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11"/>
  <workbookPr filterPrivacy="1" codeName="DieseArbeitsmappe" defaultThemeVersion="124226"/>
  <xr:revisionPtr revIDLastSave="0" documentId="13_ncr:1_{B317F6A4-081A-2842-A8BF-B8CE1077C842}" xr6:coauthVersionLast="47" xr6:coauthVersionMax="47" xr10:uidLastSave="{00000000-0000-0000-0000-000000000000}"/>
  <workbookProtection workbookAlgorithmName="SHA-512" workbookHashValue="ny6FGGgsqy6zCnlEZRq73seNpS8Imx6vjN9vh8l7590eMZpGxaCmbb4SnJwW8TYjO6wh5x/JyThgTf66g3xWjQ==" workbookSaltValue="DIRx8sl6wYnRBN5tnMszsg==" workbookSpinCount="100000" lockStructure="1"/>
  <bookViews>
    <workbookView xWindow="500" yWindow="880" windowWidth="38400" windowHeight="25700" tabRatio="912" activeTab="2" xr2:uid="{00000000-000D-0000-FFFF-FFFF00000000}"/>
  </bookViews>
  <sheets>
    <sheet name="Anleitung" sheetId="52" r:id="rId1"/>
    <sheet name="Eingabeparameter" sheetId="51" state="hidden" r:id="rId2"/>
    <sheet name="Eingabe und Ergebnis" sheetId="50" r:id="rId3"/>
    <sheet name="Erweiterte Eingabe" sheetId="58" r:id="rId4"/>
    <sheet name="Effizients Flächenausnutzung" sheetId="48" r:id="rId5"/>
    <sheet name="Rechenmodell" sheetId="49" state="hidden" r:id="rId6"/>
    <sheet name="Datenbank" sheetId="47" state="hidden" r:id="rId7"/>
    <sheet name="Kostenwerte" sheetId="71" state="hidden" r:id="rId8"/>
    <sheet name="Aussteifung" sheetId="60" state="hidden" r:id="rId9"/>
    <sheet name="Hilfstabelle_Aussteifung" sheetId="61" state="hidden" r:id="rId10"/>
    <sheet name="Detailnachweise" sheetId="63" state="hidden" r:id="rId11"/>
    <sheet name="Lasten für Detailnachweise" sheetId="67" state="hidden" r:id="rId12"/>
    <sheet name="Möblierungsschablone" sheetId="68" r:id="rId13"/>
    <sheet name="Wohnungsausnutzung" sheetId="69" r:id="rId14"/>
    <sheet name="Wohnungsausnutzung Vergleich" sheetId="70" state="hidden" r:id="rId15"/>
    <sheet name="Datenbank Fenster" sheetId="56" state="hidden" r:id="rId16"/>
    <sheet name="Hilfstabelle Gebäudeklasse" sheetId="40" state="hidden" r:id="rId17"/>
    <sheet name="Rasterbemessung DE UZ ST" sheetId="36" state="hidden" r:id="rId18"/>
    <sheet name="Bemessung Unterzüge" sheetId="62" state="hidden" r:id="rId19"/>
    <sheet name="Hilfstabellen_Mat&amp;Bem" sheetId="33" state="hidden" r:id="rId20"/>
    <sheet name="Bemessung Decken" sheetId="24" state="hidden" r:id="rId21"/>
    <sheet name="BS Anforderungen MBO (sdi)" sheetId="39" state="hidden" r:id="rId22"/>
    <sheet name="BS_Anforderungen_VARIABEL" sheetId="46" state="hidden" r:id="rId23"/>
    <sheet name="BS_Anforderungen_MBO (tri)" sheetId="59" state="hidden" r:id="rId24"/>
    <sheet name="BS_Anforderungen_MBO" sheetId="42" state="hidden" r:id="rId25"/>
    <sheet name="BS_Anforderungen_BW" sheetId="44" state="hidden" r:id="rId26"/>
    <sheet name="BS_Anforderungen_BY" sheetId="45" state="hidden" r:id="rId27"/>
    <sheet name="Schallschutzanforderungen Haupt" sheetId="41" state="hidden" r:id="rId28"/>
    <sheet name="kc-Wert für Stützen" sheetId="37" state="hidden" r:id="rId29"/>
    <sheet name="kc x h²-Wert für Stützen" sheetId="57" state="hidden" r:id="rId30"/>
    <sheet name="kc-Wert für Heißbem-Stützen" sheetId="38" state="hidden" r:id="rId31"/>
    <sheet name="ALPHA_DEUT" sheetId="31" state="hidden" r:id="rId32"/>
    <sheet name="Grafiken" sheetId="26" state="hidden" r:id="rId33"/>
  </sheets>
  <externalReferences>
    <externalReference r:id="rId34"/>
    <externalReference r:id="rId35"/>
  </externalReferences>
  <definedNames>
    <definedName name="_Spänner">Datenbank!$B$47:$E$47</definedName>
    <definedName name="a_k" localSheetId="12">'[1]Rasterbemessung DE UZ ST'!$AC$4</definedName>
    <definedName name="a_k">'Rasterbemessung DE UZ ST'!$AC$4</definedName>
    <definedName name="Abbrandart" localSheetId="12">'[1]Hilfstabellen_Mat&amp;Bem'!$AB$16:$AB$18</definedName>
    <definedName name="Abbrandart">'Hilfstabellen_Mat&amp;Bem'!$AB$16:$AB$18</definedName>
    <definedName name="Anzahl_Geschosse">'Hilfstabellen_Mat&amp;Bem'!$L$51:$L$56</definedName>
    <definedName name="Aufbau_DE" localSheetId="12">'[1]Eingabe und Ergebnis'!$B$33</definedName>
    <definedName name="Aufbau_DE">'Eingabe und Ergebnis'!$B$33</definedName>
    <definedName name="Auswahl_Ausrichtung">Aussteifung!$D$10:$D$12</definedName>
    <definedName name="Auswahl_b_ST_BSH">'Hilfstabellen_Mat&amp;Bem'!$U$28:$U$42</definedName>
    <definedName name="Auswahl_b_ST_VH">'Hilfstabellen_Mat&amp;Bem'!$O$28:$O$33</definedName>
    <definedName name="Auswahl_b_UZ_BSH">'Hilfstabellen_Mat&amp;Bem'!$U$10:$U$20</definedName>
    <definedName name="Auswahl_b_UZ_VH">'Hilfstabellen_Mat&amp;Bem'!$O$10:$O$18</definedName>
    <definedName name="Auswahl_Lage">Aussteifung!$C$10:$C$13</definedName>
    <definedName name="b_DE" localSheetId="12">'[1]Rasterbemessung DE UZ ST'!$BQ$12</definedName>
    <definedName name="b_DE">'Rasterbemessung DE UZ ST'!$BQ$12</definedName>
    <definedName name="b_ef_DE" localSheetId="12">'[1]Rasterbemessung DE UZ ST'!$BF$22</definedName>
    <definedName name="b_ef_DE">'Rasterbemessung DE UZ ST'!$BF$22</definedName>
    <definedName name="b_ef_UZ" localSheetId="12">'[1]Rasterbemessung DE UZ ST'!$AZ$33</definedName>
    <definedName name="b_ef_UZ">'Rasterbemessung DE UZ ST'!$AZ$33</definedName>
    <definedName name="b_ST" localSheetId="12">'[1]Rasterbemessung DE UZ ST'!$BB$92</definedName>
    <definedName name="b_ST">'Rasterbemessung DE UZ ST'!$BB$92</definedName>
    <definedName name="b_UZ" localSheetId="12">'[1]Rasterbemessung DE UZ ST'!$I$22</definedName>
    <definedName name="b_UZ">'Rasterbemessung DE UZ ST'!$I$22</definedName>
    <definedName name="b_UZ_max" localSheetId="12">'[1]Bemessung Unterzüge'!$D$7</definedName>
    <definedName name="b_UZ_max">'Bemessung Unterzüge'!$D$7</definedName>
    <definedName name="b_Za">Detailnachweise!$D$39</definedName>
    <definedName name="Bild" localSheetId="0">INDIRECT("Grafiken!B"&amp;MATCH('[2]Rechenwerte zur Kontrolle'!#REF!,[2]Grafiken!$A:$A,0))</definedName>
    <definedName name="Bild" localSheetId="26">INDIRECT("Grafiken!B"&amp;MATCH('Bemessung Decken'!#REF!,Grafiken!$A:$A,0))</definedName>
    <definedName name="Bild" localSheetId="24">INDIRECT("Grafiken!B"&amp;MATCH('Bemessung Decken'!#REF!,Grafiken!$A:$A,0))</definedName>
    <definedName name="Bild" localSheetId="6">INDIRECT("Grafiken!B"&amp;MATCH('[2]Rechenwerte zur Kontrolle'!#REF!,[2]Grafiken!$A:$A,0))</definedName>
    <definedName name="Bild" localSheetId="4">INDIRECT("Grafiken!B"&amp;MATCH('[2]Rechenwerte zur Kontrolle'!#REF!,[2]Grafiken!$A:$A,0))</definedName>
    <definedName name="Bild" localSheetId="2">INDIRECT("Grafiken!B"&amp;MATCH('[2]Rechenwerte zur Kontrolle'!#REF!,[2]Grafiken!$A:$A,0))</definedName>
    <definedName name="Bild" localSheetId="1">INDIRECT("Grafiken!B"&amp;MATCH('[2]Rechenwerte zur Kontrolle'!#REF!,[2]Grafiken!$A:$A,0))</definedName>
    <definedName name="Bild" localSheetId="19">INDIRECT("Grafiken!B"&amp;MATCH('Hilfstabellen_Mat&amp;Bem'!$A$209,Grafiken!$A:$A,0))</definedName>
    <definedName name="Bild" localSheetId="30">INDIRECT("Grafiken!B"&amp;MATCH('Bemessung Decken'!#REF!,Grafiken!$A:$A,0))</definedName>
    <definedName name="Bild" localSheetId="12">INDIRECT("Grafiken!B"&amp;MATCH('[1]Bemessung Decken'!#REF!,[1]Grafiken!$A:$A,0))</definedName>
    <definedName name="Bild" localSheetId="5">INDIRECT("Grafiken!B"&amp;MATCH('[2]Rechenwerte zur Kontrolle'!#REF!,[2]Grafiken!$A:$A,0))</definedName>
    <definedName name="Bild" localSheetId="27">INDIRECT("Grafiken!B"&amp;MATCH('Bemessung Decken'!#REF!,Grafiken!$A:$A,0))</definedName>
    <definedName name="Bild">INDIRECT("Grafiken!B"&amp;MATCH('Bemessung Decken'!#REF!,Grafiken!$A:$A,0))</definedName>
    <definedName name="Bild_BW" localSheetId="26">INDIRECT("Grafiken!B"&amp;MATCH('Bemessung Decken'!#REF!,Grafiken!$A:$A,0))</definedName>
    <definedName name="Bild_BW" localSheetId="12">INDIRECT("Grafiken!B"&amp;MATCH('[1]Bemessung Decken'!#REF!,[1]Grafiken!$A:$A,0))</definedName>
    <definedName name="Bild_BW">INDIRECT("Grafiken!B"&amp;MATCH('Bemessung Decken'!#REF!,Grafiken!$A:$A,0))</definedName>
    <definedName name="brand_DE" localSheetId="12">'[1]Rasterbemessung DE UZ ST'!$D$4</definedName>
    <definedName name="brand_DE">'Hilfstabelle Gebäudeklasse'!$D$31</definedName>
    <definedName name="brand_ST" localSheetId="12">'[1]Rasterbemessung DE UZ ST'!$D$87</definedName>
    <definedName name="brand_ST">'Hilfstabelle Gebäudeklasse'!$D$33</definedName>
    <definedName name="brand_UZ" localSheetId="12">'[1]Rasterbemessung DE UZ ST'!$D$23</definedName>
    <definedName name="brand_UZ">'Hilfstabelle Gebäudeklasse'!$D$32</definedName>
    <definedName name="Branddauer">'Hilfstabellen_Mat&amp;Bem'!$AB$9:$AB$12</definedName>
    <definedName name="Brettsperrholz">'Hilfstabellen_Mat&amp;Bem'!$BA$44:$BG$44</definedName>
    <definedName name="BSP_Wände">Hilfstabelle_Aussteifung!$B$108:$I$108</definedName>
    <definedName name="BSPaufbau">INDEX(Grafiken!$A$1:$B$11,MATCH('Eingabe und Ergebnis'!$D$133,Grafiken!$A:$A,0),2)</definedName>
    <definedName name="BSPWaufbau">INDEX(Grafiken!$A$1:$B$15,MATCH('Eingabe und Ergebnis'!$G$158,Grafiken!$A:$A,0),2)</definedName>
    <definedName name="Bundesland" localSheetId="27">'Schallschutzanforderungen Haupt'!$B$21:$B$42</definedName>
    <definedName name="Bundesland">'Hilfstabelle Gebäudeklasse'!$B$40:$B$57</definedName>
    <definedName name="Bundesland_Eingabe" localSheetId="12">'[1]Eingabe und Ergebnis'!$B$23</definedName>
    <definedName name="Bundesland_Eingabe">'Eingabe und Ergebnis'!$B$23</definedName>
    <definedName name="d_char_D">'Rasterbemessung DE UZ ST'!$BS$21</definedName>
    <definedName name="d_char_ST" localSheetId="12">'[1]Rasterbemessung DE UZ ST'!$BT$99</definedName>
    <definedName name="d_char_ST">'Rasterbemessung DE UZ ST'!$BT$99</definedName>
    <definedName name="d_char_UZ" localSheetId="12">'[1]Bemessung Unterzüge'!$E$29</definedName>
    <definedName name="d_char_UZ">'Bemessung Unterzüge'!$E$29</definedName>
    <definedName name="Deckenaufbau" localSheetId="12">'[1]Hilfstabellen_Mat&amp;Bem'!$AL$31:$AL$33</definedName>
    <definedName name="Deckenaufbau">'Hilfstabellen_Mat&amp;Bem'!$AL$31:$AL$33</definedName>
    <definedName name="DEGA_Empfehlung_103">'Schallschutzanforderungen Haupt'!$T$6:$T$13</definedName>
    <definedName name="DSP.E.0.mean" localSheetId="26">'Bemessung Decken'!#REF!</definedName>
    <definedName name="DSP.E.0.mean" localSheetId="24">'Bemessung Decken'!#REF!</definedName>
    <definedName name="DSP.E.0.mean" localSheetId="19">'Hilfstabellen_Mat&amp;Bem'!$CR$11</definedName>
    <definedName name="DSP.E.0.mean" localSheetId="30">'Bemessung Decken'!#REF!</definedName>
    <definedName name="DSP.E.0.mean" localSheetId="12">'[1]Bemessung Decken'!#REF!</definedName>
    <definedName name="DSP.E.0.mean" localSheetId="27">'Bemessung Decken'!#REF!</definedName>
    <definedName name="DSP.E.0.mean">'Bemessung Decken'!#REF!</definedName>
    <definedName name="DSP.E.90.mean" localSheetId="26">'Bemessung Decken'!#REF!</definedName>
    <definedName name="DSP.E.90.mean" localSheetId="24">'Bemessung Decken'!#REF!</definedName>
    <definedName name="DSP.E.90.mean" localSheetId="19">'Hilfstabellen_Mat&amp;Bem'!$CT$11</definedName>
    <definedName name="DSP.E.90.mean" localSheetId="30">'Bemessung Decken'!#REF!</definedName>
    <definedName name="DSP.E.90.mean" localSheetId="12">'[1]Bemessung Decken'!#REF!</definedName>
    <definedName name="DSP.E.90.mean" localSheetId="27">'Bemessung Decken'!#REF!</definedName>
    <definedName name="DSP.E.90.mean">'Bemessung Decken'!#REF!</definedName>
    <definedName name="DSP.f.c0k" localSheetId="26">'Bemessung Decken'!#REF!</definedName>
    <definedName name="DSP.f.c0k" localSheetId="24">'Bemessung Decken'!#REF!</definedName>
    <definedName name="DSP.f.c0k" localSheetId="19">'Hilfstabellen_Mat&amp;Bem'!$CZ$11</definedName>
    <definedName name="DSP.f.c0k" localSheetId="30">'Bemessung Decken'!#REF!</definedName>
    <definedName name="DSP.f.c0k" localSheetId="12">'[1]Bemessung Decken'!#REF!</definedName>
    <definedName name="DSP.f.c0k" localSheetId="27">'Bemessung Decken'!#REF!</definedName>
    <definedName name="DSP.f.c0k">'Bemessung Decken'!#REF!</definedName>
    <definedName name="DSP.f.m0k" localSheetId="26">'Bemessung Decken'!#REF!</definedName>
    <definedName name="DSP.f.m0k" localSheetId="24">'Bemessung Decken'!#REF!</definedName>
    <definedName name="DSP.f.m0k" localSheetId="19">'Hilfstabellen_Mat&amp;Bem'!$CS$11</definedName>
    <definedName name="DSP.f.m0k" localSheetId="30">'Bemessung Decken'!#REF!</definedName>
    <definedName name="DSP.f.m0k" localSheetId="12">'[1]Bemessung Decken'!#REF!</definedName>
    <definedName name="DSP.f.m0k" localSheetId="27">'Bemessung Decken'!#REF!</definedName>
    <definedName name="DSP.f.m0k">'Bemessung Decken'!#REF!</definedName>
    <definedName name="DSP.f.t0k" localSheetId="26">'Bemessung Decken'!#REF!</definedName>
    <definedName name="DSP.f.t0k" localSheetId="24">'Bemessung Decken'!#REF!</definedName>
    <definedName name="DSP.f.t0k" localSheetId="19">'Hilfstabellen_Mat&amp;Bem'!$CY$11</definedName>
    <definedName name="DSP.f.t0k" localSheetId="30">'Bemessung Decken'!#REF!</definedName>
    <definedName name="DSP.f.t0k" localSheetId="12">'[1]Bemessung Decken'!#REF!</definedName>
    <definedName name="DSP.f.t0k" localSheetId="27">'Bemessung Decken'!#REF!</definedName>
    <definedName name="DSP.f.t0k">'Bemessung Decken'!#REF!</definedName>
    <definedName name="DSP.f.vRk" localSheetId="26">'Bemessung Decken'!#REF!</definedName>
    <definedName name="DSP.f.vRk" localSheetId="24">'Bemessung Decken'!#REF!</definedName>
    <definedName name="DSP.f.vRk" localSheetId="19">'Hilfstabellen_Mat&amp;Bem'!$DG$11</definedName>
    <definedName name="DSP.f.vRk" localSheetId="30">'Bemessung Decken'!#REF!</definedName>
    <definedName name="DSP.f.vRk" localSheetId="12">'[1]Bemessung Decken'!#REF!</definedName>
    <definedName name="DSP.f.vRk" localSheetId="27">'Bemessung Decken'!#REF!</definedName>
    <definedName name="DSP.f.vRk">'Bemessung Decken'!#REF!</definedName>
    <definedName name="DSP.G.0.mean" localSheetId="26">'Bemessung Decken'!#REF!</definedName>
    <definedName name="DSP.G.0.mean" localSheetId="24">'Bemessung Decken'!#REF!</definedName>
    <definedName name="DSP.G.0.mean" localSheetId="19">'Hilfstabellen_Mat&amp;Bem'!$DD$11</definedName>
    <definedName name="DSP.G.0.mean" localSheetId="30">'Bemessung Decken'!#REF!</definedName>
    <definedName name="DSP.G.0.mean" localSheetId="12">'[1]Bemessung Decken'!#REF!</definedName>
    <definedName name="DSP.G.0.mean" localSheetId="27">'Bemessung Decken'!#REF!</definedName>
    <definedName name="DSP.G.0.mean">'Bemessung Decken'!#REF!</definedName>
    <definedName name="DSP.G.R.man" localSheetId="26">'Bemessung Decken'!#REF!</definedName>
    <definedName name="DSP.G.R.man" localSheetId="24">'Bemessung Decken'!#REF!</definedName>
    <definedName name="DSP.G.R.man" localSheetId="19">'Hilfstabellen_Mat&amp;Bem'!$DF$11</definedName>
    <definedName name="DSP.G.R.man" localSheetId="30">'Bemessung Decken'!#REF!</definedName>
    <definedName name="DSP.G.R.man" localSheetId="12">'[1]Bemessung Decken'!#REF!</definedName>
    <definedName name="DSP.G.R.man" localSheetId="27">'Bemessung Decken'!#REF!</definedName>
    <definedName name="DSP.G.R.man">'Bemessung Decken'!#REF!</definedName>
    <definedName name="E.0.mean" localSheetId="26">'Bemessung Decken'!#REF!</definedName>
    <definedName name="E.0.mean" localSheetId="24">'Bemessung Decken'!#REF!</definedName>
    <definedName name="E.0.mean" localSheetId="19">'Hilfstabellen_Mat&amp;Bem'!#REF!</definedName>
    <definedName name="E.0.mean" localSheetId="30">'Bemessung Decken'!#REF!</definedName>
    <definedName name="E.0.mean" localSheetId="12">'[1]Bemessung Decken'!#REF!</definedName>
    <definedName name="E.0.mean" localSheetId="27">'Bemessung Decken'!#REF!</definedName>
    <definedName name="E.0.mean">'Bemessung Decken'!#REF!</definedName>
    <definedName name="E.90.mean" localSheetId="26">'Bemessung Decken'!#REF!</definedName>
    <definedName name="E.90.mean" localSheetId="24">'Bemessung Decken'!#REF!</definedName>
    <definedName name="E.90.mean" localSheetId="19">'Hilfstabellen_Mat&amp;Bem'!#REF!</definedName>
    <definedName name="E.90.mean" localSheetId="30">'Bemessung Decken'!#REF!</definedName>
    <definedName name="E.90.mean" localSheetId="12">'[1]Bemessung Decken'!#REF!</definedName>
    <definedName name="E.90.mean" localSheetId="27">'Bemessung Decken'!#REF!</definedName>
    <definedName name="E.90.mean">'Bemessung Decken'!#REF!</definedName>
    <definedName name="Ed.GT.1" localSheetId="26">'Bemessung Decken'!#REF!</definedName>
    <definedName name="Ed.GT.1" localSheetId="24">'Bemessung Decken'!#REF!</definedName>
    <definedName name="Ed.GT.1" localSheetId="19">'Hilfstabellen_Mat&amp;Bem'!$BX$8</definedName>
    <definedName name="Ed.GT.1" localSheetId="30">'Bemessung Decken'!#REF!</definedName>
    <definedName name="Ed.GT.1" localSheetId="12">'[1]Bemessung Decken'!#REF!</definedName>
    <definedName name="Ed.GT.1" localSheetId="27">'Bemessung Decken'!#REF!</definedName>
    <definedName name="Ed.GT.1">'Bemessung Decken'!#REF!</definedName>
    <definedName name="Ed.GT.2" localSheetId="26">'Bemessung Decken'!#REF!</definedName>
    <definedName name="Ed.GT.2" localSheetId="24">'Bemessung Decken'!#REF!</definedName>
    <definedName name="Ed.GT.2" localSheetId="19">'Hilfstabellen_Mat&amp;Bem'!$BX$14</definedName>
    <definedName name="Ed.GT.2" localSheetId="30">'Bemessung Decken'!#REF!</definedName>
    <definedName name="Ed.GT.2" localSheetId="12">'[1]Bemessung Decken'!#REF!</definedName>
    <definedName name="Ed.GT.2" localSheetId="27">'Bemessung Decken'!#REF!</definedName>
    <definedName name="Ed.GT.2">'Bemessung Decken'!#REF!</definedName>
    <definedName name="Ed.GT.3" localSheetId="26">'Bemessung Decken'!#REF!</definedName>
    <definedName name="Ed.GT.3" localSheetId="24">'Bemessung Decken'!#REF!</definedName>
    <definedName name="Ed.GT.3" localSheetId="19">'Hilfstabellen_Mat&amp;Bem'!$BX$20</definedName>
    <definedName name="Ed.GT.3" localSheetId="30">'Bemessung Decken'!#REF!</definedName>
    <definedName name="Ed.GT.3" localSheetId="12">'[1]Bemessung Decken'!#REF!</definedName>
    <definedName name="Ed.GT.3" localSheetId="27">'Bemessung Decken'!#REF!</definedName>
    <definedName name="Ed.GT.3">'Bemessung Decken'!#REF!</definedName>
    <definedName name="Ed.TS.1" localSheetId="26">'Bemessung Decken'!#REF!</definedName>
    <definedName name="Ed.TS.1" localSheetId="24">'Bemessung Decken'!#REF!</definedName>
    <definedName name="Ed.TS.1" localSheetId="19">'Hilfstabellen_Mat&amp;Bem'!$BV$10</definedName>
    <definedName name="Ed.TS.1" localSheetId="30">'Bemessung Decken'!#REF!</definedName>
    <definedName name="Ed.TS.1" localSheetId="12">'[1]Bemessung Decken'!#REF!</definedName>
    <definedName name="Ed.TS.1" localSheetId="27">'Bemessung Decken'!#REF!</definedName>
    <definedName name="Ed.TS.1">'Bemessung Decken'!#REF!</definedName>
    <definedName name="Ed.TS.2" localSheetId="26">'Bemessung Decken'!#REF!</definedName>
    <definedName name="Ed.TS.2" localSheetId="24">'Bemessung Decken'!#REF!</definedName>
    <definedName name="Ed.TS.2" localSheetId="19">'Hilfstabellen_Mat&amp;Bem'!$BV$16</definedName>
    <definedName name="Ed.TS.2" localSheetId="30">'Bemessung Decken'!#REF!</definedName>
    <definedName name="Ed.TS.2" localSheetId="12">'[1]Bemessung Decken'!#REF!</definedName>
    <definedName name="Ed.TS.2" localSheetId="27">'Bemessung Decken'!#REF!</definedName>
    <definedName name="Ed.TS.2">'Bemessung Decken'!#REF!</definedName>
    <definedName name="Ed.TS.3" localSheetId="26">'Bemessung Decken'!#REF!</definedName>
    <definedName name="Ed.TS.3" localSheetId="24">'Bemessung Decken'!#REF!</definedName>
    <definedName name="Ed.TS.3" localSheetId="19">'Hilfstabellen_Mat&amp;Bem'!$BV$22</definedName>
    <definedName name="Ed.TS.3" localSheetId="30">'Bemessung Decken'!#REF!</definedName>
    <definedName name="Ed.TS.3" localSheetId="12">'[1]Bemessung Decken'!#REF!</definedName>
    <definedName name="Ed.TS.3" localSheetId="27">'Bemessung Decken'!#REF!</definedName>
    <definedName name="Ed.TS.3">'Bemessung Decken'!#REF!</definedName>
    <definedName name="Ed.TS.4" localSheetId="26">'Bemessung Decken'!#REF!</definedName>
    <definedName name="Ed.TS.4" localSheetId="24">'Bemessung Decken'!#REF!</definedName>
    <definedName name="Ed.TS.4" localSheetId="19">'Hilfstabellen_Mat&amp;Bem'!$BV$28</definedName>
    <definedName name="Ed.TS.4" localSheetId="30">'Bemessung Decken'!#REF!</definedName>
    <definedName name="Ed.TS.4" localSheetId="12">'[1]Bemessung Decken'!#REF!</definedName>
    <definedName name="Ed.TS.4" localSheetId="27">'Bemessung Decken'!#REF!</definedName>
    <definedName name="Ed.TS.4">'Bemessung Decken'!#REF!</definedName>
    <definedName name="Ed.TS.5" localSheetId="26">'Bemessung Decken'!#REF!</definedName>
    <definedName name="Ed.TS.5" localSheetId="24">'Bemessung Decken'!#REF!</definedName>
    <definedName name="Ed.TS.5" localSheetId="19">'Hilfstabellen_Mat&amp;Bem'!$BV$43</definedName>
    <definedName name="Ed.TS.5" localSheetId="30">'Bemessung Decken'!#REF!</definedName>
    <definedName name="Ed.TS.5" localSheetId="12">'[1]Bemessung Decken'!#REF!</definedName>
    <definedName name="Ed.TS.5" localSheetId="27">'Bemessung Decken'!#REF!</definedName>
    <definedName name="Ed.TS.5">'Bemessung Decken'!#REF!</definedName>
    <definedName name="EI.0" localSheetId="19">'Hilfstabellen_Mat&amp;Bem'!#REF!</definedName>
    <definedName name="EI.0">'Bemessung Decken'!$L$13</definedName>
    <definedName name="EI.8" localSheetId="19">'Hilfstabellen_Mat&amp;Bem'!#REF!</definedName>
    <definedName name="EI.8">'Bemessung Decken'!$L$21</definedName>
    <definedName name="f_grenz_DE" localSheetId="12">'[1]Erweiterte Eingabe'!$C$11</definedName>
    <definedName name="f_grenz_DE">'Erweiterte Eingabe'!$C$11</definedName>
    <definedName name="f_grenz_UZ" localSheetId="12">'[1]Erweiterte Eingabe'!$C$13</definedName>
    <definedName name="f_grenz_UZ">'Erweiterte Eingabe'!$C$13</definedName>
    <definedName name="f.cd.1" localSheetId="26">'Bemessung Decken'!#REF!</definedName>
    <definedName name="f.cd.1" localSheetId="24">'Bemessung Decken'!#REF!</definedName>
    <definedName name="f.cd.1" localSheetId="19">'Hilfstabellen_Mat&amp;Bem'!$BB$18</definedName>
    <definedName name="f.cd.1" localSheetId="30">'Bemessung Decken'!#REF!</definedName>
    <definedName name="f.cd.1" localSheetId="12">'[1]Bemessung Decken'!#REF!</definedName>
    <definedName name="f.cd.1" localSheetId="27">'Bemessung Decken'!#REF!</definedName>
    <definedName name="f.cd.1">'Bemessung Decken'!#REF!</definedName>
    <definedName name="f.cd.2" localSheetId="26">'Bemessung Decken'!#REF!</definedName>
    <definedName name="f.cd.2" localSheetId="24">'Bemessung Decken'!#REF!</definedName>
    <definedName name="f.cd.2" localSheetId="19">'Hilfstabellen_Mat&amp;Bem'!$BC$18</definedName>
    <definedName name="f.cd.2" localSheetId="30">'Bemessung Decken'!#REF!</definedName>
    <definedName name="f.cd.2" localSheetId="12">'[1]Bemessung Decken'!#REF!</definedName>
    <definedName name="f.cd.2" localSheetId="27">'Bemessung Decken'!#REF!</definedName>
    <definedName name="f.cd.2">'Bemessung Decken'!#REF!</definedName>
    <definedName name="f.cd.3" localSheetId="26">'Bemessung Decken'!#REF!</definedName>
    <definedName name="f.cd.3" localSheetId="24">'Bemessung Decken'!#REF!</definedName>
    <definedName name="f.cd.3" localSheetId="19">'Hilfstabellen_Mat&amp;Bem'!$BD$18</definedName>
    <definedName name="f.cd.3" localSheetId="30">'Bemessung Decken'!#REF!</definedName>
    <definedName name="f.cd.3" localSheetId="12">'[1]Bemessung Decken'!#REF!</definedName>
    <definedName name="f.cd.3" localSheetId="27">'Bemessung Decken'!#REF!</definedName>
    <definedName name="f.cd.3">'Bemessung Decken'!#REF!</definedName>
    <definedName name="f.cd.4" localSheetId="26">'Bemessung Decken'!#REF!</definedName>
    <definedName name="f.cd.4" localSheetId="24">'Bemessung Decken'!#REF!</definedName>
    <definedName name="f.cd.4" localSheetId="19">'Hilfstabellen_Mat&amp;Bem'!$BE$18</definedName>
    <definedName name="f.cd.4" localSheetId="30">'Bemessung Decken'!#REF!</definedName>
    <definedName name="f.cd.4" localSheetId="12">'[1]Bemessung Decken'!#REF!</definedName>
    <definedName name="f.cd.4" localSheetId="27">'Bemessung Decken'!#REF!</definedName>
    <definedName name="f.cd.4">'Bemessung Decken'!#REF!</definedName>
    <definedName name="f.cd.5" localSheetId="26">'Bemessung Decken'!#REF!</definedName>
    <definedName name="f.cd.5" localSheetId="24">'Bemessung Decken'!#REF!</definedName>
    <definedName name="f.cd.5" localSheetId="19">'Hilfstabellen_Mat&amp;Bem'!$BF$18</definedName>
    <definedName name="f.cd.5" localSheetId="30">'Bemessung Decken'!#REF!</definedName>
    <definedName name="f.cd.5" localSheetId="12">'[1]Bemessung Decken'!#REF!</definedName>
    <definedName name="f.cd.5" localSheetId="27">'Bemessung Decken'!#REF!</definedName>
    <definedName name="f.cd.5">'Bemessung Decken'!#REF!</definedName>
    <definedName name="f.md.1" localSheetId="26">'Bemessung Decken'!#REF!</definedName>
    <definedName name="f.md.1" localSheetId="24">'Bemessung Decken'!#REF!</definedName>
    <definedName name="f.md.1" localSheetId="19">'Hilfstabellen_Mat&amp;Bem'!$BB$16</definedName>
    <definedName name="f.md.1" localSheetId="30">'Bemessung Decken'!#REF!</definedName>
    <definedName name="f.md.1" localSheetId="12">'[1]Bemessung Decken'!#REF!</definedName>
    <definedName name="f.md.1" localSheetId="27">'Bemessung Decken'!#REF!</definedName>
    <definedName name="f.md.1">'Bemessung Decken'!#REF!</definedName>
    <definedName name="f.md.2" localSheetId="26">'Bemessung Decken'!#REF!</definedName>
    <definedName name="f.md.2" localSheetId="24">'Bemessung Decken'!#REF!</definedName>
    <definedName name="f.md.2" localSheetId="19">'Hilfstabellen_Mat&amp;Bem'!$BC$16</definedName>
    <definedName name="f.md.2" localSheetId="30">'Bemessung Decken'!#REF!</definedName>
    <definedName name="f.md.2" localSheetId="12">'[1]Bemessung Decken'!#REF!</definedName>
    <definedName name="f.md.2" localSheetId="27">'Bemessung Decken'!#REF!</definedName>
    <definedName name="f.md.2">'Bemessung Decken'!#REF!</definedName>
    <definedName name="f.md.3" localSheetId="26">'Bemessung Decken'!#REF!</definedName>
    <definedName name="f.md.3" localSheetId="24">'Bemessung Decken'!#REF!</definedName>
    <definedName name="f.md.3" localSheetId="19">'Hilfstabellen_Mat&amp;Bem'!$BD$16</definedName>
    <definedName name="f.md.3" localSheetId="30">'Bemessung Decken'!#REF!</definedName>
    <definedName name="f.md.3" localSheetId="12">'[1]Bemessung Decken'!#REF!</definedName>
    <definedName name="f.md.3" localSheetId="27">'Bemessung Decken'!#REF!</definedName>
    <definedName name="f.md.3">'Bemessung Decken'!#REF!</definedName>
    <definedName name="f.md.4" localSheetId="26">'Bemessung Decken'!#REF!</definedName>
    <definedName name="f.md.4" localSheetId="24">'Bemessung Decken'!#REF!</definedName>
    <definedName name="f.md.4" localSheetId="19">'Hilfstabellen_Mat&amp;Bem'!$BE$16</definedName>
    <definedName name="f.md.4" localSheetId="30">'Bemessung Decken'!#REF!</definedName>
    <definedName name="f.md.4" localSheetId="12">'[1]Bemessung Decken'!#REF!</definedName>
    <definedName name="f.md.4" localSheetId="27">'Bemessung Decken'!#REF!</definedName>
    <definedName name="f.md.4">'Bemessung Decken'!#REF!</definedName>
    <definedName name="f.md.5" localSheetId="26">'Bemessung Decken'!#REF!</definedName>
    <definedName name="f.md.5" localSheetId="24">'Bemessung Decken'!#REF!</definedName>
    <definedName name="f.md.5" localSheetId="19">'Hilfstabellen_Mat&amp;Bem'!$BF$16</definedName>
    <definedName name="f.md.5" localSheetId="30">'Bemessung Decken'!#REF!</definedName>
    <definedName name="f.md.5" localSheetId="12">'[1]Bemessung Decken'!#REF!</definedName>
    <definedName name="f.md.5" localSheetId="27">'Bemessung Decken'!#REF!</definedName>
    <definedName name="f.md.5">'Bemessung Decken'!#REF!</definedName>
    <definedName name="f.Rd.1" localSheetId="26">'Bemessung Decken'!#REF!</definedName>
    <definedName name="f.Rd.1" localSheetId="24">'Bemessung Decken'!#REF!</definedName>
    <definedName name="f.Rd.1" localSheetId="19">'Hilfstabellen_Mat&amp;Bem'!$BB$20</definedName>
    <definedName name="f.Rd.1" localSheetId="30">'Bemessung Decken'!#REF!</definedName>
    <definedName name="f.Rd.1" localSheetId="12">'[1]Bemessung Decken'!#REF!</definedName>
    <definedName name="f.Rd.1" localSheetId="27">'Bemessung Decken'!#REF!</definedName>
    <definedName name="f.Rd.1">'Bemessung Decken'!#REF!</definedName>
    <definedName name="f.Rd.2" localSheetId="26">'Bemessung Decken'!#REF!</definedName>
    <definedName name="f.Rd.2" localSheetId="24">'Bemessung Decken'!#REF!</definedName>
    <definedName name="f.Rd.2" localSheetId="19">'Hilfstabellen_Mat&amp;Bem'!$BC$20</definedName>
    <definedName name="f.Rd.2" localSheetId="30">'Bemessung Decken'!#REF!</definedName>
    <definedName name="f.Rd.2" localSheetId="12">'[1]Bemessung Decken'!#REF!</definedName>
    <definedName name="f.Rd.2" localSheetId="27">'Bemessung Decken'!#REF!</definedName>
    <definedName name="f.Rd.2">'Bemessung Decken'!#REF!</definedName>
    <definedName name="f.Rd.3" localSheetId="26">'Bemessung Decken'!#REF!</definedName>
    <definedName name="f.Rd.3" localSheetId="24">'Bemessung Decken'!#REF!</definedName>
    <definedName name="f.Rd.3" localSheetId="19">'Hilfstabellen_Mat&amp;Bem'!$BD$20</definedName>
    <definedName name="f.Rd.3" localSheetId="30">'Bemessung Decken'!#REF!</definedName>
    <definedName name="f.Rd.3" localSheetId="12">'[1]Bemessung Decken'!#REF!</definedName>
    <definedName name="f.Rd.3" localSheetId="27">'Bemessung Decken'!#REF!</definedName>
    <definedName name="f.Rd.3">'Bemessung Decken'!#REF!</definedName>
    <definedName name="f.Rd.4" localSheetId="26">'Bemessung Decken'!#REF!</definedName>
    <definedName name="f.Rd.4" localSheetId="24">'Bemessung Decken'!#REF!</definedName>
    <definedName name="f.Rd.4" localSheetId="19">'Hilfstabellen_Mat&amp;Bem'!$BE$20</definedName>
    <definedName name="f.Rd.4" localSheetId="30">'Bemessung Decken'!#REF!</definedName>
    <definedName name="f.Rd.4" localSheetId="12">'[1]Bemessung Decken'!#REF!</definedName>
    <definedName name="f.Rd.4" localSheetId="27">'Bemessung Decken'!#REF!</definedName>
    <definedName name="f.Rd.4">'Bemessung Decken'!#REF!</definedName>
    <definedName name="f.Rd.5" localSheetId="26">'Bemessung Decken'!#REF!</definedName>
    <definedName name="f.Rd.5" localSheetId="24">'Bemessung Decken'!#REF!</definedName>
    <definedName name="f.Rd.5" localSheetId="19">'Hilfstabellen_Mat&amp;Bem'!$BF$20</definedName>
    <definedName name="f.Rd.5" localSheetId="30">'Bemessung Decken'!#REF!</definedName>
    <definedName name="f.Rd.5" localSheetId="12">'[1]Bemessung Decken'!#REF!</definedName>
    <definedName name="f.Rd.5" localSheetId="27">'Bemessung Decken'!#REF!</definedName>
    <definedName name="f.Rd.5">'Bemessung Decken'!#REF!</definedName>
    <definedName name="f.td.1" localSheetId="26">'Bemessung Decken'!#REF!</definedName>
    <definedName name="f.td.1" localSheetId="24">'Bemessung Decken'!#REF!</definedName>
    <definedName name="f.td.1" localSheetId="19">'Hilfstabellen_Mat&amp;Bem'!$BB$17</definedName>
    <definedName name="f.td.1" localSheetId="30">'Bemessung Decken'!#REF!</definedName>
    <definedName name="f.td.1" localSheetId="12">'[1]Bemessung Decken'!#REF!</definedName>
    <definedName name="f.td.1" localSheetId="27">'Bemessung Decken'!#REF!</definedName>
    <definedName name="f.td.1">'Bemessung Decken'!#REF!</definedName>
    <definedName name="f.td.2" localSheetId="26">'Bemessung Decken'!#REF!</definedName>
    <definedName name="f.td.2" localSheetId="24">'Bemessung Decken'!#REF!</definedName>
    <definedName name="f.td.2" localSheetId="19">'Hilfstabellen_Mat&amp;Bem'!$BC$17</definedName>
    <definedName name="f.td.2" localSheetId="30">'Bemessung Decken'!#REF!</definedName>
    <definedName name="f.td.2" localSheetId="12">'[1]Bemessung Decken'!#REF!</definedName>
    <definedName name="f.td.2" localSheetId="27">'Bemessung Decken'!#REF!</definedName>
    <definedName name="f.td.2">'Bemessung Decken'!#REF!</definedName>
    <definedName name="f.td.3" localSheetId="26">'Bemessung Decken'!#REF!</definedName>
    <definedName name="f.td.3" localSheetId="24">'Bemessung Decken'!#REF!</definedName>
    <definedName name="f.td.3" localSheetId="19">'Hilfstabellen_Mat&amp;Bem'!$BD$17</definedName>
    <definedName name="f.td.3" localSheetId="30">'Bemessung Decken'!#REF!</definedName>
    <definedName name="f.td.3" localSheetId="12">'[1]Bemessung Decken'!#REF!</definedName>
    <definedName name="f.td.3" localSheetId="27">'Bemessung Decken'!#REF!</definedName>
    <definedName name="f.td.3">'Bemessung Decken'!#REF!</definedName>
    <definedName name="f.td.4" localSheetId="26">'Bemessung Decken'!#REF!</definedName>
    <definedName name="f.td.4" localSheetId="24">'Bemessung Decken'!#REF!</definedName>
    <definedName name="f.td.4" localSheetId="19">'Hilfstabellen_Mat&amp;Bem'!$BE$17</definedName>
    <definedName name="f.td.4" localSheetId="30">'Bemessung Decken'!#REF!</definedName>
    <definedName name="f.td.4" localSheetId="12">'[1]Bemessung Decken'!#REF!</definedName>
    <definedName name="f.td.4" localSheetId="27">'Bemessung Decken'!#REF!</definedName>
    <definedName name="f.td.4">'Bemessung Decken'!#REF!</definedName>
    <definedName name="f.td.5" localSheetId="26">'Bemessung Decken'!#REF!</definedName>
    <definedName name="f.td.5" localSheetId="24">'Bemessung Decken'!#REF!</definedName>
    <definedName name="f.td.5" localSheetId="19">'Hilfstabellen_Mat&amp;Bem'!$BF$17</definedName>
    <definedName name="f.td.5" localSheetId="30">'Bemessung Decken'!#REF!</definedName>
    <definedName name="f.td.5" localSheetId="12">'[1]Bemessung Decken'!#REF!</definedName>
    <definedName name="f.td.5" localSheetId="27">'Bemessung Decken'!#REF!</definedName>
    <definedName name="f.td.5">'Bemessung Decken'!#REF!</definedName>
    <definedName name="f.vd.1" localSheetId="26">'Bemessung Decken'!#REF!</definedName>
    <definedName name="f.vd.1" localSheetId="24">'Bemessung Decken'!#REF!</definedName>
    <definedName name="f.vd.1" localSheetId="19">'Hilfstabellen_Mat&amp;Bem'!$BB$19</definedName>
    <definedName name="f.vd.1" localSheetId="30">'Bemessung Decken'!#REF!</definedName>
    <definedName name="f.vd.1" localSheetId="12">'[1]Bemessung Decken'!#REF!</definedName>
    <definedName name="f.vd.1" localSheetId="27">'Bemessung Decken'!#REF!</definedName>
    <definedName name="f.vd.1">'Bemessung Decken'!#REF!</definedName>
    <definedName name="f.vd.2" localSheetId="26">'Bemessung Decken'!#REF!</definedName>
    <definedName name="f.vd.2" localSheetId="24">'Bemessung Decken'!#REF!</definedName>
    <definedName name="f.vd.2" localSheetId="19">'Hilfstabellen_Mat&amp;Bem'!$BC$19</definedName>
    <definedName name="f.vd.2" localSheetId="30">'Bemessung Decken'!#REF!</definedName>
    <definedName name="f.vd.2" localSheetId="12">'[1]Bemessung Decken'!#REF!</definedName>
    <definedName name="f.vd.2" localSheetId="27">'Bemessung Decken'!#REF!</definedName>
    <definedName name="f.vd.2">'Bemessung Decken'!#REF!</definedName>
    <definedName name="f.vd.3" localSheetId="26">'Bemessung Decken'!#REF!</definedName>
    <definedName name="f.vd.3" localSheetId="24">'Bemessung Decken'!#REF!</definedName>
    <definedName name="f.vd.3" localSheetId="19">'Hilfstabellen_Mat&amp;Bem'!$BD$19</definedName>
    <definedName name="f.vd.3" localSheetId="30">'Bemessung Decken'!#REF!</definedName>
    <definedName name="f.vd.3" localSheetId="12">'[1]Bemessung Decken'!#REF!</definedName>
    <definedName name="f.vd.3" localSheetId="27">'Bemessung Decken'!#REF!</definedName>
    <definedName name="f.vd.3">'Bemessung Decken'!#REF!</definedName>
    <definedName name="f.vd.4" localSheetId="26">'Bemessung Decken'!#REF!</definedName>
    <definedName name="f.vd.4" localSheetId="24">'Bemessung Decken'!#REF!</definedName>
    <definedName name="f.vd.4" localSheetId="19">'Hilfstabellen_Mat&amp;Bem'!$BE$19</definedName>
    <definedName name="f.vd.4" localSheetId="30">'Bemessung Decken'!#REF!</definedName>
    <definedName name="f.vd.4" localSheetId="12">'[1]Bemessung Decken'!#REF!</definedName>
    <definedName name="f.vd.4" localSheetId="27">'Bemessung Decken'!#REF!</definedName>
    <definedName name="f.vd.4">'Bemessung Decken'!#REF!</definedName>
    <definedName name="f.vd.5" localSheetId="26">'Bemessung Decken'!#REF!</definedName>
    <definedName name="f.vd.5" localSheetId="24">'Bemessung Decken'!#REF!</definedName>
    <definedName name="f.vd.5" localSheetId="19">'Hilfstabellen_Mat&amp;Bem'!$BF$19</definedName>
    <definedName name="f.vd.5" localSheetId="30">'Bemessung Decken'!#REF!</definedName>
    <definedName name="f.vd.5" localSheetId="12">'[1]Bemessung Decken'!#REF!</definedName>
    <definedName name="f.vd.5" localSheetId="27">'Bemessung Decken'!#REF!</definedName>
    <definedName name="f.vd.5">'Bemessung Decken'!#REF!</definedName>
    <definedName name="g_k" localSheetId="12">'[1]Rasterbemessung DE UZ ST'!$AC$3</definedName>
    <definedName name="g_k">'Rasterbemessung DE UZ ST'!$AC$3</definedName>
    <definedName name="g_k_250" localSheetId="12">'[1]Hilfstabellen_Mat&amp;Bem'!$E$41</definedName>
    <definedName name="g_k_250">'Hilfstabellen_Mat&amp;Bem'!$E$41</definedName>
    <definedName name="g_k_265" localSheetId="12">'[1]Hilfstabellen_Mat&amp;Bem'!$F$41</definedName>
    <definedName name="g_k_265">'Hilfstabellen_Mat&amp;Bem'!$F$41</definedName>
    <definedName name="g_k_285" localSheetId="12">'[1]Hilfstabellen_Mat&amp;Bem'!$G$41</definedName>
    <definedName name="g_k_285">'Hilfstabellen_Mat&amp;Bem'!$G$41</definedName>
    <definedName name="g_k_300" localSheetId="12">'[1]Hilfstabellen_Mat&amp;Bem'!$H$41</definedName>
    <definedName name="g_k_300">'Hilfstabellen_Mat&amp;Bem'!$H$41</definedName>
    <definedName name="g_k_350" localSheetId="12">'[1]Hilfstabellen_Mat&amp;Bem'!$I$41</definedName>
    <definedName name="g_k_350">'Hilfstabellen_Mat&amp;Bem'!$I$41</definedName>
    <definedName name="g_k_400" localSheetId="12">'[1]Hilfstabellen_Mat&amp;Bem'!$J$41</definedName>
    <definedName name="g_k_400">'Hilfstabellen_Mat&amp;Bem'!$J$41</definedName>
    <definedName name="g_k_450" localSheetId="12">'[1]Hilfstabellen_Mat&amp;Bem'!$K$41</definedName>
    <definedName name="g_k_450">'Hilfstabellen_Mat&amp;Bem'!$K$41</definedName>
    <definedName name="g_k_500" localSheetId="12">'[1]Hilfstabellen_Mat&amp;Bem'!$L$41</definedName>
    <definedName name="g_k_500">'Hilfstabellen_Mat&amp;Bem'!$L$41</definedName>
    <definedName name="g_k_530" localSheetId="12">'[1]Hilfstabellen_Mat&amp;Bem'!$M$41</definedName>
    <definedName name="g_k_530">'Hilfstabellen_Mat&amp;Bem'!$M$41</definedName>
    <definedName name="g_k_570" localSheetId="12">'[1]Hilfstabellen_Mat&amp;Bem'!$N$41</definedName>
    <definedName name="g_k_570">'Hilfstabellen_Mat&amp;Bem'!$N$41</definedName>
    <definedName name="g_k_600" localSheetId="12">'[1]Hilfstabellen_Mat&amp;Bem'!$O$41</definedName>
    <definedName name="g_k_600">'Hilfstabellen_Mat&amp;Bem'!$O$41</definedName>
    <definedName name="g.M.1" localSheetId="26">'Bemessung Decken'!#REF!</definedName>
    <definedName name="g.M.1" localSheetId="24">'Bemessung Decken'!#REF!</definedName>
    <definedName name="g.M.1" localSheetId="19">'Hilfstabellen_Mat&amp;Bem'!$W$216</definedName>
    <definedName name="g.M.1" localSheetId="30">'Bemessung Decken'!#REF!</definedName>
    <definedName name="g.M.1" localSheetId="12">'[1]Bemessung Decken'!#REF!</definedName>
    <definedName name="g.M.1" localSheetId="27">'Bemessung Decken'!#REF!</definedName>
    <definedName name="g.M.1">'Bemessung Decken'!#REF!</definedName>
    <definedName name="g.M.2" localSheetId="26">'Bemessung Decken'!#REF!</definedName>
    <definedName name="g.M.2" localSheetId="24">'Bemessung Decken'!#REF!</definedName>
    <definedName name="g.M.2" localSheetId="19">'Hilfstabellen_Mat&amp;Bem'!$W$219</definedName>
    <definedName name="g.M.2" localSheetId="30">'Bemessung Decken'!#REF!</definedName>
    <definedName name="g.M.2" localSheetId="12">'[1]Bemessung Decken'!#REF!</definedName>
    <definedName name="g.M.2" localSheetId="27">'Bemessung Decken'!#REF!</definedName>
    <definedName name="g.M.2">'Bemessung Decken'!#REF!</definedName>
    <definedName name="g.M.3" localSheetId="26">'Bemessung Decken'!#REF!</definedName>
    <definedName name="g.M.3" localSheetId="24">'Bemessung Decken'!#REF!</definedName>
    <definedName name="g.M.3" localSheetId="19">'Hilfstabellen_Mat&amp;Bem'!$W$222</definedName>
    <definedName name="g.M.3" localSheetId="30">'Bemessung Decken'!#REF!</definedName>
    <definedName name="g.M.3" localSheetId="12">'[1]Bemessung Decken'!#REF!</definedName>
    <definedName name="g.M.3" localSheetId="27">'Bemessung Decken'!#REF!</definedName>
    <definedName name="g.M.3">'Bemessung Decken'!#REF!</definedName>
    <definedName name="g.M.4" localSheetId="26">'Bemessung Decken'!#REF!</definedName>
    <definedName name="g.M.4" localSheetId="24">'Bemessung Decken'!#REF!</definedName>
    <definedName name="g.M.4" localSheetId="19">'Hilfstabellen_Mat&amp;Bem'!$W$225</definedName>
    <definedName name="g.M.4" localSheetId="30">'Bemessung Decken'!#REF!</definedName>
    <definedName name="g.M.4" localSheetId="12">'[1]Bemessung Decken'!#REF!</definedName>
    <definedName name="g.M.4" localSheetId="27">'Bemessung Decken'!#REF!</definedName>
    <definedName name="g.M.4">'Bemessung Decken'!#REF!</definedName>
    <definedName name="g.M.5" localSheetId="26">'Bemessung Decken'!#REF!</definedName>
    <definedName name="g.M.5" localSheetId="24">'Bemessung Decken'!#REF!</definedName>
    <definedName name="g.M.5" localSheetId="19">'Hilfstabellen_Mat&amp;Bem'!$W$228</definedName>
    <definedName name="g.M.5" localSheetId="30">'Bemessung Decken'!#REF!</definedName>
    <definedName name="g.M.5" localSheetId="12">'[1]Bemessung Decken'!#REF!</definedName>
    <definedName name="g.M.5" localSheetId="27">'Bemessung Decken'!#REF!</definedName>
    <definedName name="g.M.5">'Bemessung Decken'!#REF!</definedName>
    <definedName name="gamma_m" localSheetId="12">'[1]Rasterbemessung DE UZ ST'!$AC$10</definedName>
    <definedName name="gamma_m">'Rasterbemessung DE UZ ST'!$AC$10</definedName>
    <definedName name="gamma_mfi" localSheetId="12">'[1]Rasterbemessung DE UZ ST'!$AJ$10</definedName>
    <definedName name="gamma_mfi">'Rasterbemessung DE UZ ST'!$AJ$10</definedName>
    <definedName name="Gebäudeart" localSheetId="12">'[1]Hilfstabelle Gebäudeklasse'!$O$15:$O$17</definedName>
    <definedName name="Gebäudeart">'Hilfstabelle Gebäudeklasse'!$O$15:$O$17</definedName>
    <definedName name="Gebäudeklasse" localSheetId="12">'[1]Hilfstabelle Gebäudeklasse'!$E$40:$E$45</definedName>
    <definedName name="Gebäudeklasse" localSheetId="27">'Schallschutzanforderungen Haupt'!$F$21:$F$27</definedName>
    <definedName name="Gebäudeklasse">'Hilfstabelle Gebäudeklasse'!$E$40:$E$45</definedName>
    <definedName name="Gebrauchstauglichkeit" localSheetId="12">'[1]Hilfstabellen_Mat&amp;Bem'!$AL$9:$AL$18</definedName>
    <definedName name="Gebrauchstauglichkeit">'Hilfstabellen_Mat&amp;Bem'!$AL$9:$AL$18</definedName>
    <definedName name="Gelände_I">Hilfstabelle_Aussteifung!$H$5:$H$8</definedName>
    <definedName name="Gelände_II">Hilfstabelle_Aussteifung!$I$5:$I$8</definedName>
    <definedName name="Gelände_III">Hilfstabelle_Aussteifung!$J$5:$J$8</definedName>
    <definedName name="Gelände_IV">Hilfstabelle_Aussteifung!$K$5:$K$8</definedName>
    <definedName name="Geländekategorie" localSheetId="12">[1]Hilfstabelle_Aussteifung!$D$5:$D$8</definedName>
    <definedName name="Geländekategorie">Hilfstabelle_Aussteifung!$D$5:$D$8</definedName>
    <definedName name="Georg" localSheetId="12">#REF!</definedName>
    <definedName name="Georg">#REF!</definedName>
    <definedName name="Grafiken">Grafiken!$A$1:$A$6</definedName>
    <definedName name="h_auf" localSheetId="12">'[1]Eingabe und Ergebnis'!$N$33</definedName>
    <definedName name="h_auf">'Eingabe und Ergebnis'!$N$33</definedName>
    <definedName name="h_raum" localSheetId="12">'[1]Eingabe und Ergebnis'!$B$28</definedName>
    <definedName name="h_raum">'Eingabe und Ergebnis'!$B$28</definedName>
    <definedName name="h_Stützen" localSheetId="12">'[1]Hilfstabellen_Mat&amp;Bem'!$J$51:$J$65</definedName>
    <definedName name="h_Stützen">'Hilfstabellen_Mat&amp;Bem'!$J$51:$J$65</definedName>
    <definedName name="k_c90_UZ">Detailnachweise!$D$41</definedName>
    <definedName name="k_def" localSheetId="12">'[1]Rasterbemessung DE UZ ST'!$AC$7</definedName>
    <definedName name="k_def">'Rasterbemessung DE UZ ST'!$AC$7</definedName>
    <definedName name="k_fi_DE" localSheetId="12">'[1]Rasterbemessung DE UZ ST'!$AY$14</definedName>
    <definedName name="k_fi_DE">'Rasterbemessung DE UZ ST'!$AY$14</definedName>
    <definedName name="k_fi_ST" localSheetId="12">'[1]Rasterbemessung DE UZ ST'!$AZ$94</definedName>
    <definedName name="k_fi_ST">'Rasterbemessung DE UZ ST'!$AZ$94</definedName>
    <definedName name="k_fi_UZ" localSheetId="12">'[1]Bemessung Unterzüge'!$D$26</definedName>
    <definedName name="k_fi_UZ">'Bemessung Unterzüge'!$D$26</definedName>
    <definedName name="k_mod" localSheetId="12">'[1]Rasterbemessung DE UZ ST'!$AC$9</definedName>
    <definedName name="k_mod">'Rasterbemessung DE UZ ST'!$AC$9</definedName>
    <definedName name="k_mod_List" localSheetId="12">'[1]Hilfstabellen_Mat&amp;Bem'!$AG$9:$AG$15</definedName>
    <definedName name="k_mod_List">'Hilfstabellen_Mat&amp;Bem'!$AG$9:$AG$15</definedName>
    <definedName name="k_modfi" localSheetId="12">'[1]Rasterbemessung DE UZ ST'!$AJ$9</definedName>
    <definedName name="k_modfi">'Rasterbemessung DE UZ ST'!$AJ$9</definedName>
    <definedName name="k.cr" localSheetId="26">'Bemessung Decken'!#REF!</definedName>
    <definedName name="k.cr" localSheetId="24">'Bemessung Decken'!#REF!</definedName>
    <definedName name="k.cr" localSheetId="19">'Hilfstabellen_Mat&amp;Bem'!$CQ$7</definedName>
    <definedName name="k.cr" localSheetId="30">'Bemessung Decken'!#REF!</definedName>
    <definedName name="k.cr" localSheetId="12">'[1]Bemessung Decken'!#REF!</definedName>
    <definedName name="k.cr" localSheetId="27">'Bemessung Decken'!#REF!</definedName>
    <definedName name="k.cr">'Bemessung Decken'!#REF!</definedName>
    <definedName name="k.sys" localSheetId="26">'Bemessung Decken'!#REF!</definedName>
    <definedName name="k.sys" localSheetId="24">'Bemessung Decken'!#REF!</definedName>
    <definedName name="k.sys" localSheetId="19">'Hilfstabellen_Mat&amp;Bem'!$CQ$8</definedName>
    <definedName name="k.sys" localSheetId="30">'Bemessung Decken'!#REF!</definedName>
    <definedName name="k.sys" localSheetId="12">'[1]Bemessung Decken'!#REF!</definedName>
    <definedName name="k.sys" localSheetId="27">'Bemessung Decken'!#REF!</definedName>
    <definedName name="k.sys">'Bemessung Decken'!#REF!</definedName>
    <definedName name="Kosten_BSH_max">Kostenwerte!$D$22</definedName>
    <definedName name="Kosten_BSH_min">Kostenwerte!$B$22</definedName>
    <definedName name="Kosten_BSP_max">Kostenwerte!$D$23</definedName>
    <definedName name="Kosten_BSP_min">Kostenwerte!$B$23</definedName>
    <definedName name="Kosten_Dachaufbau_max">Kostenwerte!$D$25</definedName>
    <definedName name="Kosten_Dachaufbau_min">Kostenwerte!$B$25</definedName>
    <definedName name="Kosten_Fassade_max">Kostenwerte!$D$27</definedName>
    <definedName name="Kosten_Fassade_min">Kostenwerte!$B$27</definedName>
    <definedName name="Kosten_Fenster_max">Kostenwerte!$D$26</definedName>
    <definedName name="Kosten_Fenster_min">Kostenwerte!$B$26</definedName>
    <definedName name="Kosten_IW_max">Kostenwerte!$D$24</definedName>
    <definedName name="Kosten_IW_min">Kostenwerte!$B$24</definedName>
    <definedName name="Kosten_VH_max">Kostenwerte!$D$21</definedName>
    <definedName name="Kosten_VH_min">Kostenwerte!$B$21</definedName>
    <definedName name="l_DE" localSheetId="12">'[1]Rasterbemessung DE UZ ST'!$D$14</definedName>
    <definedName name="l_DE">'Rasterbemessung DE UZ ST'!$D$14</definedName>
    <definedName name="l_ST">'Rasterbemessung DE UZ ST'!$D$113</definedName>
    <definedName name="l_UZ">'Rasterbemessung DE UZ ST'!$D$78</definedName>
    <definedName name="L.Sw" localSheetId="19">'Hilfstabellen_Mat&amp;Bem'!$AH$14</definedName>
    <definedName name="L.Sw" localSheetId="12">'[1]Bemessung Decken'!#REF!</definedName>
    <definedName name="L.Sw">'Bemessung Decken'!#REF!</definedName>
    <definedName name="Lage_EKERN">INDEX(Grafiken!$D$1:$E$6,MATCH(Aussteifung!$M$207,Grafiken!$D:$D,0),2)</definedName>
    <definedName name="Lagenaufbau_Decke">INDEX(Grafiken!$A$1:$B$2,MATCH('Eingabe und Ergebnis'!$B$33,Grafiken!$A:$A,0),2)</definedName>
    <definedName name="M.Ed" localSheetId="19">'Hilfstabellen_Mat&amp;Bem'!$AH$16</definedName>
    <definedName name="M.Ed">'Bemessung Decken'!#REF!</definedName>
    <definedName name="Mat_Auswahl_ST">'Hilfstabellen_Mat&amp;Bem'!$E$27:$E$29</definedName>
    <definedName name="Mat_Auswahl_UZ">'Hilfstabellen_Mat&amp;Bem'!$E$9:$E$12</definedName>
    <definedName name="Mat_DE">'Rasterbemessung DE UZ ST'!$BQ$11</definedName>
    <definedName name="Mat_ST">'Rasterbemessung DE UZ ST'!$D$86</definedName>
    <definedName name="Mat_UZ">'Rasterbemessung DE UZ ST'!$D$22</definedName>
    <definedName name="MAT.1" localSheetId="26">'Bemessung Decken'!#REF!</definedName>
    <definedName name="MAT.1" localSheetId="24">'Bemessung Decken'!#REF!</definedName>
    <definedName name="MAT.1" localSheetId="19">'Hilfstabellen_Mat&amp;Bem'!$A$215</definedName>
    <definedName name="MAT.1" localSheetId="30">'Bemessung Decken'!#REF!</definedName>
    <definedName name="MAT.1" localSheetId="27">'Bemessung Decken'!#REF!</definedName>
    <definedName name="MAT.1">'Bemessung Decken'!#REF!</definedName>
    <definedName name="MAT.2" localSheetId="26">'Bemessung Decken'!#REF!</definedName>
    <definedName name="MAT.2" localSheetId="24">'Bemessung Decken'!#REF!</definedName>
    <definedName name="MAT.2" localSheetId="19">'Hilfstabellen_Mat&amp;Bem'!$A$218</definedName>
    <definedName name="MAT.2" localSheetId="30">'Bemessung Decken'!#REF!</definedName>
    <definedName name="MAT.2" localSheetId="27">'Bemessung Decken'!#REF!</definedName>
    <definedName name="MAT.2">'Bemessung Decken'!#REF!</definedName>
    <definedName name="MAT.3" localSheetId="26">'Bemessung Decken'!#REF!</definedName>
    <definedName name="MAT.3" localSheetId="24">'Bemessung Decken'!#REF!</definedName>
    <definedName name="MAT.3" localSheetId="19">'Hilfstabellen_Mat&amp;Bem'!$A$221</definedName>
    <definedName name="MAT.3" localSheetId="30">'Bemessung Decken'!#REF!</definedName>
    <definedName name="MAT.3" localSheetId="27">'Bemessung Decken'!#REF!</definedName>
    <definedName name="MAT.3">'Bemessung Decken'!#REF!</definedName>
    <definedName name="MAT.4" localSheetId="26">'Bemessung Decken'!#REF!</definedName>
    <definedName name="MAT.4" localSheetId="24">'Bemessung Decken'!#REF!</definedName>
    <definedName name="MAT.4" localSheetId="19">'Hilfstabellen_Mat&amp;Bem'!$A$224</definedName>
    <definedName name="MAT.4" localSheetId="30">'Bemessung Decken'!#REF!</definedName>
    <definedName name="MAT.4" localSheetId="27">'Bemessung Decken'!#REF!</definedName>
    <definedName name="MAT.4">'Bemessung Decken'!#REF!</definedName>
    <definedName name="MAT.5" localSheetId="26">'Bemessung Decken'!#REF!</definedName>
    <definedName name="MAT.5" localSheetId="24">'Bemessung Decken'!#REF!</definedName>
    <definedName name="MAT.5" localSheetId="19">'Hilfstabellen_Mat&amp;Bem'!$A$227</definedName>
    <definedName name="MAT.5" localSheetId="30">'Bemessung Decken'!#REF!</definedName>
    <definedName name="MAT.5" localSheetId="27">'Bemessung Decken'!#REF!</definedName>
    <definedName name="n_GESCHOSSE" localSheetId="12">'[1]Hilfstabellen_Mat&amp;Bem'!$J$152</definedName>
    <definedName name="n_GESCHOSSE">'Hilfstabellen_Mat&amp;Bem'!$J$152</definedName>
    <definedName name="n.mod.1" localSheetId="20">'Bemessung Decken'!#REF!</definedName>
    <definedName name="n.mod.1" localSheetId="19">'Hilfstabellen_Mat&amp;Bem'!$W$215</definedName>
    <definedName name="n.mod.2" localSheetId="20">'Bemessung Decken'!#REF!</definedName>
    <definedName name="n.mod.2" localSheetId="19">'Hilfstabellen_Mat&amp;Bem'!$W$218</definedName>
    <definedName name="n.mod.3" localSheetId="26">'Bemessung Decken'!#REF!</definedName>
    <definedName name="n.mod.3" localSheetId="24">'Bemessung Decken'!#REF!</definedName>
    <definedName name="n.mod.3" localSheetId="19">'Hilfstabellen_Mat&amp;Bem'!$W$221</definedName>
    <definedName name="n.mod.3" localSheetId="30">'Bemessung Decken'!#REF!</definedName>
    <definedName name="n.mod.3" localSheetId="12">'[1]Bemessung Decken'!#REF!</definedName>
    <definedName name="n.mod.3" localSheetId="27">'Bemessung Decken'!#REF!</definedName>
    <definedName name="n.mod.3">'Bemessung Decken'!#REF!</definedName>
    <definedName name="n.mod.4" localSheetId="26">'Bemessung Decken'!#REF!</definedName>
    <definedName name="n.mod.4" localSheetId="24">'Bemessung Decken'!#REF!</definedName>
    <definedName name="n.mod.4" localSheetId="19">'Hilfstabellen_Mat&amp;Bem'!$W$224</definedName>
    <definedName name="n.mod.4" localSheetId="30">'Bemessung Decken'!#REF!</definedName>
    <definedName name="n.mod.4" localSheetId="12">'[1]Bemessung Decken'!#REF!</definedName>
    <definedName name="n.mod.4" localSheetId="27">'Bemessung Decken'!#REF!</definedName>
    <definedName name="n.mod.4">'Bemessung Decken'!#REF!</definedName>
    <definedName name="n.mod.5" localSheetId="26">'Bemessung Decken'!#REF!</definedName>
    <definedName name="n.mod.5" localSheetId="24">'Bemessung Decken'!#REF!</definedName>
    <definedName name="n.mod.5" localSheetId="19">'Hilfstabellen_Mat&amp;Bem'!$W$227</definedName>
    <definedName name="n.mod.5" localSheetId="30">'Bemessung Decken'!#REF!</definedName>
    <definedName name="n.mod.5" localSheetId="12">'[1]Bemessung Decken'!#REF!</definedName>
    <definedName name="n.mod.5" localSheetId="27">'Bemessung Decken'!#REF!</definedName>
    <definedName name="n.mod.5">'Bemessung Decken'!#REF!</definedName>
    <definedName name="n.t" localSheetId="26">'Bemessung Decken'!#REF!</definedName>
    <definedName name="n.t" localSheetId="24">'Bemessung Decken'!#REF!</definedName>
    <definedName name="n.t" localSheetId="19">'Hilfstabellen_Mat&amp;Bem'!$AI$211</definedName>
    <definedName name="n.t" localSheetId="30">'Bemessung Decken'!#REF!</definedName>
    <definedName name="n.t" localSheetId="12">'[1]Bemessung Decken'!#REF!</definedName>
    <definedName name="n.t" localSheetId="27">'Bemessung Decken'!#REF!</definedName>
    <definedName name="n.t">'Bemessung Decken'!#REF!</definedName>
    <definedName name="n.w" localSheetId="26">'Bemessung Decken'!#REF!</definedName>
    <definedName name="n.w" localSheetId="24">'Bemessung Decken'!#REF!</definedName>
    <definedName name="n.w" localSheetId="19">'Hilfstabellen_Mat&amp;Bem'!$AI$210</definedName>
    <definedName name="n.w" localSheetId="30">'Bemessung Decken'!#REF!</definedName>
    <definedName name="n.w" localSheetId="12">'[1]Bemessung Decken'!#REF!</definedName>
    <definedName name="n.w" localSheetId="27">'Bemessung Decken'!#REF!</definedName>
    <definedName name="n.w">'Bemessung Decken'!#REF!</definedName>
    <definedName name="phi.1" localSheetId="26">'Bemessung Decken'!#REF!</definedName>
    <definedName name="phi.1" localSheetId="24">'Bemessung Decken'!#REF!</definedName>
    <definedName name="phi.1" localSheetId="19">'Hilfstabellen_Mat&amp;Bem'!$BW$10</definedName>
    <definedName name="phi.1" localSheetId="30">'Bemessung Decken'!#REF!</definedName>
    <definedName name="phi.1" localSheetId="12">'[1]Bemessung Decken'!#REF!</definedName>
    <definedName name="phi.1" localSheetId="27">'Bemessung Decken'!#REF!</definedName>
    <definedName name="phi.1">'Bemessung Decken'!#REF!</definedName>
    <definedName name="phi.2" localSheetId="26">'Bemessung Decken'!#REF!</definedName>
    <definedName name="phi.2" localSheetId="24">'Bemessung Decken'!#REF!</definedName>
    <definedName name="phi.2" localSheetId="19">'Hilfstabellen_Mat&amp;Bem'!$BW$16</definedName>
    <definedName name="phi.2" localSheetId="30">'Bemessung Decken'!#REF!</definedName>
    <definedName name="phi.2" localSheetId="12">'[1]Bemessung Decken'!#REF!</definedName>
    <definedName name="phi.2" localSheetId="27">'Bemessung Decken'!#REF!</definedName>
    <definedName name="phi.2">'Bemessung Decken'!#REF!</definedName>
    <definedName name="phi.3" localSheetId="26">'Bemessung Decken'!#REF!</definedName>
    <definedName name="phi.3" localSheetId="24">'Bemessung Decken'!#REF!</definedName>
    <definedName name="phi.3" localSheetId="19">'Hilfstabellen_Mat&amp;Bem'!$BW$22</definedName>
    <definedName name="phi.3" localSheetId="30">'Bemessung Decken'!#REF!</definedName>
    <definedName name="phi.3" localSheetId="12">'[1]Bemessung Decken'!#REF!</definedName>
    <definedName name="phi.3" localSheetId="27">'Bemessung Decken'!#REF!</definedName>
    <definedName name="phi.3">'Bemessung Decken'!#REF!</definedName>
    <definedName name="phi.4" localSheetId="26">'Bemessung Decken'!#REF!</definedName>
    <definedName name="phi.4" localSheetId="24">'Bemessung Decken'!#REF!</definedName>
    <definedName name="phi.4" localSheetId="19">'Hilfstabellen_Mat&amp;Bem'!$BW$28</definedName>
    <definedName name="phi.4" localSheetId="30">'Bemessung Decken'!#REF!</definedName>
    <definedName name="phi.4" localSheetId="12">'[1]Bemessung Decken'!#REF!</definedName>
    <definedName name="phi.4" localSheetId="27">'Bemessung Decken'!#REF!</definedName>
    <definedName name="phi.4">'Bemessung Decken'!#REF!</definedName>
    <definedName name="phi.5" localSheetId="26">'Bemessung Decken'!#REF!</definedName>
    <definedName name="phi.5" localSheetId="24">'Bemessung Decken'!#REF!</definedName>
    <definedName name="phi.5" localSheetId="19">'Hilfstabellen_Mat&amp;Bem'!$BW$43</definedName>
    <definedName name="phi.5" localSheetId="30">'Bemessung Decken'!#REF!</definedName>
    <definedName name="phi.5" localSheetId="12">'[1]Bemessung Decken'!#REF!</definedName>
    <definedName name="phi.5" localSheetId="27">'Bemessung Decken'!#REF!</definedName>
    <definedName name="phi.5">'Bemessung Decken'!#REF!</definedName>
    <definedName name="_xlnm.Print_Area" localSheetId="0">Anleitung!$A$1:$D$39</definedName>
    <definedName name="_xlnm.Print_Area" localSheetId="23">'BS_Anforderungen_MBO (tri)'!$A$1:$G$50,'BS_Anforderungen_MBO (tri)'!$K$77:$R$94</definedName>
    <definedName name="_xlnm.Print_Area" localSheetId="2">'Eingabe und Ergebnis'!$A$119:$L$204</definedName>
    <definedName name="_xlnm.Print_Area" localSheetId="3">'Erweiterte Eingabe'!$A$3:$I$46</definedName>
    <definedName name="_xlnm.Print_Area" localSheetId="16">'Hilfstabelle Gebäudeklasse'!$A$1:$M$33</definedName>
    <definedName name="_xlnm.Print_Area" localSheetId="12">Möblierungsschablone!$A$2:$O$67</definedName>
    <definedName name="_xlnm.Print_Area" localSheetId="17">'Rasterbemessung DE UZ ST'!$A$2:$M$118</definedName>
    <definedName name="_xlnm.Print_Area" localSheetId="13">Wohnungsausnutzung!$A$3:$O$43,Wohnungsausnutzung!$A$45:$O$86,Wohnungsausnutzung!$A$88:$O$129,Wohnungsausnutzung!$A$131:$O$172,Wohnungsausnutzung!$A$174:$O$215,Wohnungsausnutzung!$A$217:$O$258,Wohnungsausnutzung!$Q$2:$AE$43,Wohnungsausnutzung!$AG$2:$AU$43,Wohnungsausnutzung!$AW$2:$BK$43,Wohnungsausnutzung!$BM$2:$CA$43,Wohnungsausnutzung!$CC$2:$CQ$43,Wohnungsausnutzung!$CS$2:$DG$43,Wohnungsausnutzung!$DI$2:$DW$43,Wohnungsausnutzung!$DY$2:$EM$43,Wohnungsausnutzung!$Q$45:$AE$86,Wohnungsausnutzung!$AG$45:$AU$86,Wohnungsausnutzung!$AW$45:$BK$86,Wohnungsausnutzung!$BM$45:$CA$86,Wohnungsausnutzung!$CC$45:$CQ$86,Wohnungsausnutzung!$CS$45:$DG$86,Wohnungsausnutzung!$DI$45:$DW$86,Wohnungsausnutzung!$DY$45:$EM$86,Wohnungsausnutzung!$Q$88:$AE$129,Wohnungsausnutzung!$AG$88:$AU$129,Wohnungsausnutzung!$AW$88:$BK$129,Wohnungsausnutzung!$BM$88:$CA$129,Wohnungsausnutzung!$CC$88:$CQ$129,Wohnungsausnutzung!$CS$88:$DG$129,Wohnungsausnutzung!$DI$88:$DW$129,Wohnungsausnutzung!$Q$131:$AE$172,Wohnungsausnutzung!$AG$131:$AU$172,Wohnungsausnutzung!$AW$131:$BK$172,Wohnungsausnutzung!$BM$131:$CA$172,Wohnungsausnutzung!$CC$131:$CQ$172,Wohnungsausnutzung!$CS$131:$DG$172,Wohnungsausnutzung!$Q$174:$AE$215,Wohnungsausnutzung!$AG$174:$AU$215,Wohnungsausnutzung!$AW$174:$BK$215,Wohnungsausnutzung!$BM$174:$CA$215,Wohnungsausnutzung!$CC$174:$CQ$215,Wohnungsausnutzung!$Q$217:$AE$258,Wohnungsausnutzung!$AG$217:$AU$258,Wohnungsausnutzung!$AW$217:$BK$258,Wohnungsausnutzung!$BM$217:$CA$258</definedName>
    <definedName name="_xlnm.Print_Area" localSheetId="14">'Wohnungsausnutzung Vergleich'!$A$3:$I$47</definedName>
    <definedName name="_xlnm.Print_Titles" localSheetId="20">'Bemessung Decken'!#REF!</definedName>
    <definedName name="_xlnm.Print_Titles" localSheetId="19">'Hilfstabellen_Mat&amp;Bem'!$5:$5</definedName>
    <definedName name="psi_2" localSheetId="12">'[1]Rasterbemessung DE UZ ST'!$AC$8</definedName>
    <definedName name="psi_2">'Rasterbemessung DE UZ ST'!$AC$8</definedName>
    <definedName name="q_k" localSheetId="12">'[1]Rasterbemessung DE UZ ST'!$AC$5</definedName>
    <definedName name="q_k">'Rasterbemessung DE UZ ST'!$AC$5</definedName>
    <definedName name="QS_Breite_BSH">'Hilfstabellen_Mat&amp;Bem'!$U$11:$U$22</definedName>
    <definedName name="QS_Breite_VH" localSheetId="12">'[1]Hilfstabellen_Mat&amp;Bem'!$O$11:$O$16</definedName>
    <definedName name="QS_Breite_VH">'Hilfstabellen_Mat&amp;Bem'!$O$11:$O$16</definedName>
    <definedName name="RUWE_ST" localSheetId="12">'[1]Rasterbemessung DE UZ ST'!$S$94</definedName>
    <definedName name="RUWE_ST">'Rasterbemessung DE UZ ST'!$S$94</definedName>
    <definedName name="RUWE_UZ" localSheetId="12">'[1]Rasterbemessung DE UZ ST'!$S$30</definedName>
    <definedName name="RUWE_UZ">'Rasterbemessung DE UZ ST'!$S$30</definedName>
    <definedName name="Schallschutzanforderungen" localSheetId="12">'[1]Schallschutzanforderungen Haupt'!$B$4:$B$9</definedName>
    <definedName name="Schallschutzanforderungen">'Schallschutzanforderungen Haupt'!$B$4:$B$9</definedName>
    <definedName name="Schwingungsgrenzwerte" localSheetId="12">'[1]Hilfstabellen_Mat&amp;Bem'!$AL$22:$AL$26</definedName>
    <definedName name="Schwingungsgrenzwerte">'Hilfstabellen_Mat&amp;Bem'!$AL$22:$AL$26</definedName>
    <definedName name="Spannweite_Decken" localSheetId="12">'[1]Hilfstabellen_Mat&amp;Bem'!$D$49:$D$61</definedName>
    <definedName name="Spannweite_Decken">'Hilfstabellen_Mat&amp;Bem'!$D$49:$D$61</definedName>
    <definedName name="Spannweite_Unterzüge" localSheetId="12">'[1]Hilfstabellen_Mat&amp;Bem'!$G$49:$G$61</definedName>
    <definedName name="Spannweite_Unterzüge">'Hilfstabellen_Mat&amp;Bem'!$G$49:$G$61</definedName>
    <definedName name="t.DL.1" localSheetId="26">'Bemessung Decken'!#REF!</definedName>
    <definedName name="t.DL.1" localSheetId="24">'Bemessung Decken'!#REF!</definedName>
    <definedName name="t.DL.1" localSheetId="19">'Hilfstabellen_Mat&amp;Bem'!$AI$215</definedName>
    <definedName name="t.DL.1" localSheetId="30">'Bemessung Decken'!#REF!</definedName>
    <definedName name="t.DL.1" localSheetId="12">'[1]Bemessung Decken'!#REF!</definedName>
    <definedName name="t.DL.1" localSheetId="27">'Bemessung Decken'!#REF!</definedName>
    <definedName name="t.DL.1">'Bemessung Decken'!#REF!</definedName>
    <definedName name="t.DL.2" localSheetId="26">'Bemessung Decken'!#REF!</definedName>
    <definedName name="t.DL.2" localSheetId="24">'Bemessung Decken'!#REF!</definedName>
    <definedName name="t.DL.2" localSheetId="19">'Hilfstabellen_Mat&amp;Bem'!$AI$218</definedName>
    <definedName name="t.DL.2" localSheetId="30">'Bemessung Decken'!#REF!</definedName>
    <definedName name="t.DL.2" localSheetId="12">'[1]Bemessung Decken'!#REF!</definedName>
    <definedName name="t.DL.2" localSheetId="27">'Bemessung Decken'!#REF!</definedName>
    <definedName name="t.DL.2">'Bemessung Decken'!#REF!</definedName>
    <definedName name="t.DL.3" localSheetId="26">'Bemessung Decken'!#REF!</definedName>
    <definedName name="t.DL.3" localSheetId="24">'Bemessung Decken'!#REF!</definedName>
    <definedName name="t.DL.3" localSheetId="19">'Hilfstabellen_Mat&amp;Bem'!$AI$221</definedName>
    <definedName name="t.DL.3" localSheetId="30">'Bemessung Decken'!#REF!</definedName>
    <definedName name="t.DL.3" localSheetId="12">'[1]Bemessung Decken'!#REF!</definedName>
    <definedName name="t.DL.3" localSheetId="27">'Bemessung Decken'!#REF!</definedName>
    <definedName name="t.DL.3">'Bemessung Decken'!#REF!</definedName>
    <definedName name="t.DL.4" localSheetId="26">'Bemessung Decken'!#REF!</definedName>
    <definedName name="t.DL.4" localSheetId="24">'Bemessung Decken'!#REF!</definedName>
    <definedName name="t.DL.4" localSheetId="19">'Hilfstabellen_Mat&amp;Bem'!$AI$224</definedName>
    <definedName name="t.DL.4" localSheetId="30">'Bemessung Decken'!#REF!</definedName>
    <definedName name="t.DL.4" localSheetId="12">'[1]Bemessung Decken'!#REF!</definedName>
    <definedName name="t.DL.4" localSheetId="27">'Bemessung Decken'!#REF!</definedName>
    <definedName name="t.DL.4">'Bemessung Decken'!#REF!</definedName>
    <definedName name="t.DL.5" localSheetId="26">'Bemessung Decken'!#REF!</definedName>
    <definedName name="t.DL.5" localSheetId="24">'Bemessung Decken'!#REF!</definedName>
    <definedName name="t.DL.5" localSheetId="19">'Hilfstabellen_Mat&amp;Bem'!$AI$227</definedName>
    <definedName name="t.DL.5" localSheetId="30">'Bemessung Decken'!#REF!</definedName>
    <definedName name="t.DL.5" localSheetId="12">'[1]Bemessung Decken'!#REF!</definedName>
    <definedName name="t.DL.5" localSheetId="27">'Bemessung Decken'!#REF!</definedName>
    <definedName name="t.DL.5">'Bemessung Decken'!#REF!</definedName>
    <definedName name="t.MAT.1" localSheetId="26">'Bemessung Decken'!#REF!</definedName>
    <definedName name="t.MAT.1" localSheetId="24">'Bemessung Decken'!#REF!</definedName>
    <definedName name="t.MAT.1" localSheetId="19">'Hilfstabellen_Mat&amp;Bem'!$D$216</definedName>
    <definedName name="t.MAT.1" localSheetId="30">'Bemessung Decken'!#REF!</definedName>
    <definedName name="t.MAT.1" localSheetId="12">'[1]Bemessung Decken'!#REF!</definedName>
    <definedName name="t.MAT.1" localSheetId="27">'Bemessung Decken'!#REF!</definedName>
    <definedName name="t.MAT.1">'Bemessung Decken'!#REF!</definedName>
    <definedName name="t.MAT.2" localSheetId="26">'Bemessung Decken'!#REF!</definedName>
    <definedName name="t.MAT.2" localSheetId="24">'Bemessung Decken'!#REF!</definedName>
    <definedName name="t.MAT.2" localSheetId="19">'Hilfstabellen_Mat&amp;Bem'!$D$219</definedName>
    <definedName name="t.MAT.2" localSheetId="30">'Bemessung Decken'!#REF!</definedName>
    <definedName name="t.MAT.2" localSheetId="12">'[1]Bemessung Decken'!#REF!</definedName>
    <definedName name="t.MAT.2" localSheetId="27">'Bemessung Decken'!#REF!</definedName>
    <definedName name="t.MAT.2">'Bemessung Decken'!#REF!</definedName>
    <definedName name="t.MAT.3" localSheetId="26">'Bemessung Decken'!#REF!</definedName>
    <definedName name="t.MAT.3" localSheetId="24">'Bemessung Decken'!#REF!</definedName>
    <definedName name="t.MAT.3" localSheetId="19">'Hilfstabellen_Mat&amp;Bem'!$D$222</definedName>
    <definedName name="t.MAT.3" localSheetId="30">'Bemessung Decken'!#REF!</definedName>
    <definedName name="t.MAT.3" localSheetId="12">'[1]Bemessung Decken'!#REF!</definedName>
    <definedName name="t.MAT.3" localSheetId="27">'Bemessung Decken'!#REF!</definedName>
    <definedName name="t.MAT.3">'Bemessung Decken'!#REF!</definedName>
    <definedName name="t.MAT.4" localSheetId="26">'Bemessung Decken'!#REF!</definedName>
    <definedName name="t.MAT.4" localSheetId="24">'Bemessung Decken'!#REF!</definedName>
    <definedName name="t.MAT.4" localSheetId="19">'Hilfstabellen_Mat&amp;Bem'!$D$225</definedName>
    <definedName name="t.MAT.4" localSheetId="30">'Bemessung Decken'!#REF!</definedName>
    <definedName name="t.MAT.4" localSheetId="12">'[1]Bemessung Decken'!#REF!</definedName>
    <definedName name="t.MAT.4" localSheetId="27">'Bemessung Decken'!#REF!</definedName>
    <definedName name="t.MAT.4">'Bemessung Decken'!#REF!</definedName>
    <definedName name="t.MAT.5" localSheetId="26">'Bemessung Decken'!#REF!</definedName>
    <definedName name="t.MAT.5" localSheetId="24">'Bemessung Decken'!#REF!</definedName>
    <definedName name="t.MAT.5" localSheetId="19">'Hilfstabellen_Mat&amp;Bem'!$D$228</definedName>
    <definedName name="t.MAT.5" localSheetId="30">'Bemessung Decken'!#REF!</definedName>
    <definedName name="t.MAT.5" localSheetId="12">'[1]Bemessung Decken'!#REF!</definedName>
    <definedName name="t.MAT.5" localSheetId="27">'Bemessung Decken'!#REF!</definedName>
    <definedName name="t.MAT.5">'Bemessung Decken'!#REF!</definedName>
    <definedName name="Treppenkern">INDEX(Datenbank!$A$50:$B$52,MATCH('Eingabe und Ergebnis'!$B$32,Datenbank!$A$50:$A$52,0),2)</definedName>
    <definedName name="V.Ed" localSheetId="19">'Hilfstabellen_Mat&amp;Bem'!$AH$15</definedName>
    <definedName name="V.Ed" localSheetId="12">'[1]Bemessung Decken'!#REF!</definedName>
    <definedName name="V.Ed">'Bemessung Decken'!#REF!</definedName>
    <definedName name="VDI_4100__2007">'Schallschutzanforderungen Haupt'!$H$6:$H$9</definedName>
    <definedName name="VDI_4100__2012">'Schallschutzanforderungen Haupt'!$N$6:$N$9</definedName>
    <definedName name="w_fin_DE" localSheetId="12">'[1]Erweiterte Eingabe'!$C$10</definedName>
    <definedName name="w_fin_DE">'Erweiterte Eingabe'!$C$10</definedName>
    <definedName name="w_fin_UZ" localSheetId="12">'[1]Erweiterte Eingabe'!$C$12</definedName>
    <definedName name="w_fin_UZ">'Erweiterte Eingabe'!$C$12</definedName>
    <definedName name="Windlastzone" localSheetId="12">[1]Hilfstabelle_Aussteifung!$A$5:$A$9</definedName>
    <definedName name="Windlastzone">Hilfstabelle_Aussteifung!$A$5:$A$9</definedName>
    <definedName name="WZ_BB">Hilfstabelle_Aussteifung!$C$17:$F$17</definedName>
    <definedName name="WZ_BE">Hilfstabelle_Aussteifung!$C$16:$F$16</definedName>
    <definedName name="WZ_BW">Hilfstabelle_Aussteifung!$C$14:$F$14</definedName>
    <definedName name="WZ_BY">Hilfstabelle_Aussteifung!$C$15:$F$15</definedName>
    <definedName name="WZ_HB">Hilfstabelle_Aussteifung!$C$18:$F$18</definedName>
    <definedName name="WZ_HE">Hilfstabelle_Aussteifung!$C$20:$F$20</definedName>
    <definedName name="WZ_HH">Hilfstabelle_Aussteifung!$C$19:$F$19</definedName>
    <definedName name="WZ_MV">Hilfstabelle_Aussteifung!$C$21:$F$21</definedName>
    <definedName name="WZ_NI">Hilfstabelle_Aussteifung!$C$22:$F$22</definedName>
    <definedName name="WZ_NW">Hilfstabelle_Aussteifung!$C$23:$F$23</definedName>
    <definedName name="WZ_RP">Hilfstabelle_Aussteifung!$C$24:$F$24</definedName>
    <definedName name="WZ_SH">Hilfstabelle_Aussteifung!$C$28:$F$28</definedName>
    <definedName name="WZ_SL">Hilfstabelle_Aussteifung!$C$25:$F$25</definedName>
    <definedName name="WZ_SN">Hilfstabelle_Aussteifung!$C$26:$F$26</definedName>
    <definedName name="WZ_ST">Hilfstabelle_Aussteifung!$C$27:$F$27</definedName>
    <definedName name="WZ_TH">Hilfstabelle_Aussteifung!$C$29:$F$29</definedName>
  </definedNames>
  <calcPr calcId="191029" iterate="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D22" i="71" l="1"/>
  <c r="F40" i="58" s="1"/>
  <c r="D23" i="71"/>
  <c r="F41" i="58" s="1"/>
  <c r="D24" i="71"/>
  <c r="F42" i="58" s="1"/>
  <c r="D25" i="71"/>
  <c r="D26" i="71"/>
  <c r="F44" i="58" s="1"/>
  <c r="D27" i="71"/>
  <c r="F45" i="58" s="1"/>
  <c r="D21" i="71"/>
  <c r="F39" i="58" s="1"/>
  <c r="F43" i="58" l="1"/>
  <c r="K207" i="60"/>
  <c r="L207" i="60"/>
  <c r="B142" i="50"/>
  <c r="D215" i="60"/>
  <c r="D216" i="60"/>
  <c r="D217" i="60"/>
  <c r="D218" i="60"/>
  <c r="D219" i="60"/>
  <c r="D220" i="60"/>
  <c r="D221" i="60"/>
  <c r="D222" i="60"/>
  <c r="D223" i="60"/>
  <c r="D224" i="60"/>
  <c r="D214" i="60"/>
  <c r="D213" i="60"/>
  <c r="M207" i="60" l="1"/>
  <c r="B227" i="60"/>
  <c r="O50" i="48"/>
  <c r="R50" i="48"/>
  <c r="L50" i="48"/>
  <c r="S6" i="48"/>
  <c r="N6" i="48"/>
  <c r="O6" i="48"/>
  <c r="P6" i="48"/>
  <c r="Q6" i="48"/>
  <c r="R6" i="48"/>
  <c r="M6" i="48"/>
  <c r="K7" i="48"/>
  <c r="K8" i="48"/>
  <c r="K9" i="48"/>
  <c r="K10" i="48"/>
  <c r="K11" i="48"/>
  <c r="K12" i="48"/>
  <c r="K13" i="48"/>
  <c r="K14" i="48"/>
  <c r="K15" i="48"/>
  <c r="K16" i="48"/>
  <c r="K17" i="48"/>
  <c r="K18" i="48"/>
  <c r="K19" i="48"/>
  <c r="K20" i="48"/>
  <c r="K21" i="48"/>
  <c r="K22" i="48"/>
  <c r="K23" i="48"/>
  <c r="K24" i="48"/>
  <c r="K25" i="48"/>
  <c r="K26" i="48"/>
  <c r="K27" i="48"/>
  <c r="K28" i="48"/>
  <c r="K29" i="48"/>
  <c r="K30" i="48"/>
  <c r="K31" i="48"/>
  <c r="K32" i="48"/>
  <c r="K33" i="48"/>
  <c r="K34" i="48"/>
  <c r="K35" i="48"/>
  <c r="K36" i="48"/>
  <c r="K37" i="48"/>
  <c r="K38" i="48"/>
  <c r="K39" i="48"/>
  <c r="K40" i="48"/>
  <c r="K41" i="48"/>
  <c r="K42" i="48"/>
  <c r="K43" i="48"/>
  <c r="K44" i="48"/>
  <c r="K45" i="48"/>
  <c r="K46" i="48"/>
  <c r="K47" i="48"/>
  <c r="K48" i="48"/>
  <c r="K6" i="48"/>
  <c r="D228" i="60" l="1"/>
  <c r="D227" i="60"/>
  <c r="D86" i="36"/>
  <c r="J133" i="50" s="1"/>
  <c r="D22" i="36"/>
  <c r="G133" i="50" s="1"/>
  <c r="D135" i="50"/>
  <c r="X66" i="40" l="1"/>
  <c r="A45" i="48" l="1"/>
  <c r="B45" i="48"/>
  <c r="A46" i="48"/>
  <c r="B46" i="48"/>
  <c r="A47" i="48"/>
  <c r="B47" i="48"/>
  <c r="A48" i="48"/>
  <c r="B48" i="48"/>
  <c r="B50" i="48"/>
  <c r="E50" i="48"/>
  <c r="H50" i="48"/>
  <c r="A6" i="48"/>
  <c r="B6" i="48"/>
  <c r="C6" i="48"/>
  <c r="D6" i="48"/>
  <c r="E6" i="48"/>
  <c r="F6" i="48"/>
  <c r="G6" i="48"/>
  <c r="H6" i="48"/>
  <c r="I6" i="48"/>
  <c r="A7" i="48"/>
  <c r="B7" i="48"/>
  <c r="A8" i="48"/>
  <c r="B8" i="48"/>
  <c r="A9" i="48"/>
  <c r="B9" i="48"/>
  <c r="A10" i="48"/>
  <c r="B10" i="48"/>
  <c r="A11" i="48"/>
  <c r="B11" i="48"/>
  <c r="A12" i="48"/>
  <c r="B12" i="48"/>
  <c r="A13" i="48"/>
  <c r="B13" i="48"/>
  <c r="A14" i="48"/>
  <c r="B14" i="48"/>
  <c r="A15" i="48"/>
  <c r="B15" i="48"/>
  <c r="A16" i="48"/>
  <c r="B16" i="48"/>
  <c r="A17" i="48"/>
  <c r="B17" i="48"/>
  <c r="A18" i="48"/>
  <c r="B18" i="48"/>
  <c r="A19" i="48"/>
  <c r="B19" i="48"/>
  <c r="A20" i="48"/>
  <c r="B20" i="48"/>
  <c r="A21" i="48"/>
  <c r="B21" i="48"/>
  <c r="A22" i="48"/>
  <c r="B22" i="48"/>
  <c r="A23" i="48"/>
  <c r="B23" i="48"/>
  <c r="A24" i="48"/>
  <c r="B24" i="48"/>
  <c r="A25" i="48"/>
  <c r="B25" i="48"/>
  <c r="A26" i="48"/>
  <c r="B26" i="48"/>
  <c r="A27" i="48"/>
  <c r="B27" i="48"/>
  <c r="A28" i="48"/>
  <c r="B28" i="48"/>
  <c r="A29" i="48"/>
  <c r="B29" i="48"/>
  <c r="A30" i="48"/>
  <c r="B30" i="48"/>
  <c r="A31" i="48"/>
  <c r="B31" i="48"/>
  <c r="A32" i="48"/>
  <c r="B32" i="48"/>
  <c r="A33" i="48"/>
  <c r="B33" i="48"/>
  <c r="A34" i="48"/>
  <c r="B34" i="48"/>
  <c r="A35" i="48"/>
  <c r="B35" i="48"/>
  <c r="A36" i="48"/>
  <c r="B36" i="48"/>
  <c r="A37" i="48"/>
  <c r="B37" i="48"/>
  <c r="A38" i="48"/>
  <c r="B38" i="48"/>
  <c r="A39" i="48"/>
  <c r="B39" i="48"/>
  <c r="A40" i="48"/>
  <c r="B40" i="48"/>
  <c r="A41" i="48"/>
  <c r="B41" i="48"/>
  <c r="A42" i="48"/>
  <c r="B42" i="48"/>
  <c r="A43" i="48"/>
  <c r="B43" i="48"/>
  <c r="A44" i="48"/>
  <c r="B44" i="48"/>
  <c r="A4" i="48"/>
  <c r="CG85" i="69" l="1"/>
  <c r="CE85" i="69"/>
  <c r="BW85" i="69"/>
  <c r="BQ85" i="69"/>
  <c r="BO85" i="69"/>
  <c r="BA128" i="69"/>
  <c r="AY128" i="69"/>
  <c r="I171" i="69"/>
  <c r="C110" i="50"/>
  <c r="E255" i="60" l="1"/>
  <c r="D32" i="60"/>
  <c r="F110" i="50" l="1"/>
  <c r="I110" i="50"/>
  <c r="J66" i="50" l="1"/>
  <c r="E66" i="50"/>
  <c r="F66" i="50"/>
  <c r="G66" i="50"/>
  <c r="H66" i="50"/>
  <c r="I66" i="50"/>
  <c r="D66" i="50"/>
  <c r="C381" i="70" l="1"/>
  <c r="B381" i="70"/>
  <c r="C373" i="70"/>
  <c r="B373" i="70"/>
  <c r="C365" i="70"/>
  <c r="B365" i="70"/>
  <c r="C357" i="70"/>
  <c r="B357" i="70"/>
  <c r="C349" i="70"/>
  <c r="B349" i="70"/>
  <c r="C341" i="70"/>
  <c r="B341" i="70"/>
  <c r="C333" i="70"/>
  <c r="B333" i="70"/>
  <c r="C325" i="70"/>
  <c r="B325" i="70"/>
  <c r="C317" i="70"/>
  <c r="B317" i="70"/>
  <c r="C318" i="70" s="1"/>
  <c r="C309" i="70"/>
  <c r="B309" i="70"/>
  <c r="C301" i="70"/>
  <c r="B301" i="70"/>
  <c r="C293" i="70"/>
  <c r="B293" i="70"/>
  <c r="C285" i="70"/>
  <c r="B285" i="70"/>
  <c r="C277" i="70"/>
  <c r="B277" i="70"/>
  <c r="C269" i="70"/>
  <c r="B269" i="70"/>
  <c r="C261" i="70"/>
  <c r="B261" i="70"/>
  <c r="C253" i="70"/>
  <c r="B253" i="70"/>
  <c r="C245" i="70"/>
  <c r="B245" i="70"/>
  <c r="C237" i="70"/>
  <c r="B237" i="70"/>
  <c r="C229" i="70"/>
  <c r="B229" i="70"/>
  <c r="C221" i="70"/>
  <c r="B221" i="70"/>
  <c r="C213" i="70"/>
  <c r="B213" i="70"/>
  <c r="C205" i="70"/>
  <c r="B205" i="70"/>
  <c r="C197" i="70"/>
  <c r="B197" i="70"/>
  <c r="C189" i="70"/>
  <c r="B189" i="70"/>
  <c r="C181" i="70"/>
  <c r="B181" i="70"/>
  <c r="C173" i="70"/>
  <c r="B173" i="70"/>
  <c r="C165" i="70"/>
  <c r="B165" i="70"/>
  <c r="C157" i="70"/>
  <c r="B157" i="70"/>
  <c r="C149" i="70"/>
  <c r="B149" i="70"/>
  <c r="C141" i="70"/>
  <c r="B141" i="70"/>
  <c r="C133" i="70"/>
  <c r="B133" i="70"/>
  <c r="C125" i="70"/>
  <c r="B125" i="70"/>
  <c r="C117" i="70"/>
  <c r="B117" i="70"/>
  <c r="C109" i="70"/>
  <c r="B109" i="70"/>
  <c r="C101" i="70"/>
  <c r="B101" i="70"/>
  <c r="C93" i="70"/>
  <c r="C94" i="70" s="1"/>
  <c r="B93" i="70"/>
  <c r="C85" i="70"/>
  <c r="C86" i="70" s="1"/>
  <c r="B85" i="70"/>
  <c r="C77" i="70"/>
  <c r="C78" i="70" s="1"/>
  <c r="B77" i="70"/>
  <c r="C69" i="70"/>
  <c r="C70" i="70" s="1"/>
  <c r="B69" i="70"/>
  <c r="C61" i="70"/>
  <c r="C62" i="70" s="1"/>
  <c r="B61" i="70"/>
  <c r="C53" i="70"/>
  <c r="C54" i="70" s="1"/>
  <c r="B53" i="70"/>
  <c r="I4" i="70"/>
  <c r="H4" i="70"/>
  <c r="CA257" i="69"/>
  <c r="H385" i="70" s="1"/>
  <c r="BY257" i="69"/>
  <c r="G385" i="70" s="1"/>
  <c r="BW257" i="69"/>
  <c r="F385" i="70" s="1"/>
  <c r="BU257" i="69"/>
  <c r="E385" i="70" s="1"/>
  <c r="BS257" i="69"/>
  <c r="D385" i="70" s="1"/>
  <c r="BQ257" i="69"/>
  <c r="C385" i="70" s="1"/>
  <c r="BO257" i="69"/>
  <c r="B385" i="70" s="1"/>
  <c r="BK257" i="69"/>
  <c r="H377" i="70" s="1"/>
  <c r="BI257" i="69"/>
  <c r="G377" i="70" s="1"/>
  <c r="BG257" i="69"/>
  <c r="F377" i="70" s="1"/>
  <c r="BE257" i="69"/>
  <c r="E377" i="70" s="1"/>
  <c r="BC257" i="69"/>
  <c r="D377" i="70" s="1"/>
  <c r="BA257" i="69"/>
  <c r="C377" i="70" s="1"/>
  <c r="AY257" i="69"/>
  <c r="B377" i="70" s="1"/>
  <c r="AU257" i="69"/>
  <c r="H369" i="70" s="1"/>
  <c r="AS257" i="69"/>
  <c r="G369" i="70" s="1"/>
  <c r="AQ257" i="69"/>
  <c r="F369" i="70" s="1"/>
  <c r="AO257" i="69"/>
  <c r="E369" i="70" s="1"/>
  <c r="AM257" i="69"/>
  <c r="D369" i="70" s="1"/>
  <c r="AK257" i="69"/>
  <c r="C369" i="70" s="1"/>
  <c r="AI257" i="69"/>
  <c r="B369" i="70" s="1"/>
  <c r="AE257" i="69"/>
  <c r="H361" i="70" s="1"/>
  <c r="AC257" i="69"/>
  <c r="G361" i="70" s="1"/>
  <c r="AA257" i="69"/>
  <c r="F361" i="70" s="1"/>
  <c r="Y257" i="69"/>
  <c r="E361" i="70" s="1"/>
  <c r="W257" i="69"/>
  <c r="D361" i="70" s="1"/>
  <c r="U257" i="69"/>
  <c r="C361" i="70" s="1"/>
  <c r="S257" i="69"/>
  <c r="B361" i="70" s="1"/>
  <c r="O257" i="69"/>
  <c r="H97" i="70" s="1"/>
  <c r="M257" i="69"/>
  <c r="G97" i="70" s="1"/>
  <c r="K257" i="69"/>
  <c r="F97" i="70" s="1"/>
  <c r="I257" i="69"/>
  <c r="E97" i="70" s="1"/>
  <c r="G257" i="69"/>
  <c r="D97" i="70" s="1"/>
  <c r="E257" i="69"/>
  <c r="C97" i="70" s="1"/>
  <c r="C257" i="69"/>
  <c r="AO248" i="69"/>
  <c r="AM248" i="69"/>
  <c r="Y248" i="69"/>
  <c r="W248" i="69"/>
  <c r="U248" i="69"/>
  <c r="AU243" i="69"/>
  <c r="AS243" i="69"/>
  <c r="AQ243" i="69"/>
  <c r="AO243" i="69"/>
  <c r="AM243" i="69"/>
  <c r="AA243" i="69"/>
  <c r="Y243" i="69"/>
  <c r="W243" i="69"/>
  <c r="U243" i="69"/>
  <c r="BO220" i="69"/>
  <c r="AY220" i="69"/>
  <c r="AI220" i="69"/>
  <c r="S220" i="69"/>
  <c r="C220" i="69"/>
  <c r="BO219" i="69"/>
  <c r="BN219" i="69"/>
  <c r="AY219" i="69"/>
  <c r="AX219" i="69"/>
  <c r="AI219" i="69"/>
  <c r="AH219" i="69"/>
  <c r="S219" i="69"/>
  <c r="R219" i="69"/>
  <c r="C219" i="69"/>
  <c r="C221" i="69" s="1"/>
  <c r="B219" i="69"/>
  <c r="CQ214" i="69"/>
  <c r="H353" i="70" s="1"/>
  <c r="CO214" i="69"/>
  <c r="G353" i="70" s="1"/>
  <c r="CM214" i="69"/>
  <c r="F353" i="70" s="1"/>
  <c r="CK214" i="69"/>
  <c r="CI214" i="69"/>
  <c r="D353" i="70" s="1"/>
  <c r="CG214" i="69"/>
  <c r="C353" i="70" s="1"/>
  <c r="CE214" i="69"/>
  <c r="B353" i="70" s="1"/>
  <c r="CA214" i="69"/>
  <c r="H345" i="70" s="1"/>
  <c r="BY214" i="69"/>
  <c r="G345" i="70" s="1"/>
  <c r="BW214" i="69"/>
  <c r="F345" i="70" s="1"/>
  <c r="BU214" i="69"/>
  <c r="E345" i="70" s="1"/>
  <c r="BS214" i="69"/>
  <c r="D345" i="70" s="1"/>
  <c r="BQ214" i="69"/>
  <c r="C345" i="70" s="1"/>
  <c r="BO214" i="69"/>
  <c r="B345" i="70" s="1"/>
  <c r="BK214" i="69"/>
  <c r="H337" i="70" s="1"/>
  <c r="BI214" i="69"/>
  <c r="G337" i="70" s="1"/>
  <c r="BG214" i="69"/>
  <c r="F337" i="70" s="1"/>
  <c r="BE214" i="69"/>
  <c r="E337" i="70" s="1"/>
  <c r="BC214" i="69"/>
  <c r="D337" i="70" s="1"/>
  <c r="BA214" i="69"/>
  <c r="C337" i="70" s="1"/>
  <c r="AY214" i="69"/>
  <c r="B337" i="70" s="1"/>
  <c r="AU214" i="69"/>
  <c r="H329" i="70" s="1"/>
  <c r="AS214" i="69"/>
  <c r="G329" i="70" s="1"/>
  <c r="AQ214" i="69"/>
  <c r="F329" i="70" s="1"/>
  <c r="AO214" i="69"/>
  <c r="E329" i="70" s="1"/>
  <c r="AM214" i="69"/>
  <c r="D329" i="70" s="1"/>
  <c r="AK214" i="69"/>
  <c r="C329" i="70" s="1"/>
  <c r="AI214" i="69"/>
  <c r="B329" i="70" s="1"/>
  <c r="AE214" i="69"/>
  <c r="H321" i="70" s="1"/>
  <c r="AC214" i="69"/>
  <c r="G321" i="70" s="1"/>
  <c r="AA214" i="69"/>
  <c r="F321" i="70" s="1"/>
  <c r="Y214" i="69"/>
  <c r="E321" i="70" s="1"/>
  <c r="W214" i="69"/>
  <c r="D321" i="70" s="1"/>
  <c r="U214" i="69"/>
  <c r="C321" i="70" s="1"/>
  <c r="S214" i="69"/>
  <c r="B321" i="70" s="1"/>
  <c r="O214" i="69"/>
  <c r="H89" i="70" s="1"/>
  <c r="M214" i="69"/>
  <c r="G89" i="70" s="1"/>
  <c r="K214" i="69"/>
  <c r="F89" i="70" s="1"/>
  <c r="I214" i="69"/>
  <c r="E89" i="70" s="1"/>
  <c r="G214" i="69"/>
  <c r="D89" i="70" s="1"/>
  <c r="E214" i="69"/>
  <c r="C89" i="70" s="1"/>
  <c r="C214" i="69"/>
  <c r="B89" i="70" s="1"/>
  <c r="CE177" i="69"/>
  <c r="BO177" i="69"/>
  <c r="AY177" i="69"/>
  <c r="AI177" i="69"/>
  <c r="S177" i="69"/>
  <c r="C177" i="69"/>
  <c r="CE176" i="69"/>
  <c r="CD176" i="69"/>
  <c r="BO176" i="69"/>
  <c r="BN176" i="69"/>
  <c r="AY176" i="69"/>
  <c r="AX176" i="69"/>
  <c r="AI176" i="69"/>
  <c r="AH176" i="69"/>
  <c r="S176" i="69"/>
  <c r="R176" i="69"/>
  <c r="C176" i="69"/>
  <c r="C178" i="69" s="1"/>
  <c r="B176" i="69"/>
  <c r="DG171" i="69"/>
  <c r="H313" i="70" s="1"/>
  <c r="DE171" i="69"/>
  <c r="G313" i="70" s="1"/>
  <c r="DC171" i="69"/>
  <c r="F313" i="70" s="1"/>
  <c r="DA171" i="69"/>
  <c r="E313" i="70" s="1"/>
  <c r="CY171" i="69"/>
  <c r="D313" i="70" s="1"/>
  <c r="CW171" i="69"/>
  <c r="C313" i="70" s="1"/>
  <c r="CU171" i="69"/>
  <c r="B313" i="70" s="1"/>
  <c r="CQ171" i="69"/>
  <c r="H305" i="70" s="1"/>
  <c r="CO171" i="69"/>
  <c r="G305" i="70" s="1"/>
  <c r="CM171" i="69"/>
  <c r="F305" i="70" s="1"/>
  <c r="CK171" i="69"/>
  <c r="E305" i="70" s="1"/>
  <c r="CI171" i="69"/>
  <c r="D305" i="70" s="1"/>
  <c r="CG171" i="69"/>
  <c r="C305" i="70" s="1"/>
  <c r="CE171" i="69"/>
  <c r="B305" i="70" s="1"/>
  <c r="CA171" i="69"/>
  <c r="BY171" i="69"/>
  <c r="G297" i="70" s="1"/>
  <c r="BW171" i="69"/>
  <c r="F297" i="70" s="1"/>
  <c r="BU171" i="69"/>
  <c r="E297" i="70" s="1"/>
  <c r="BS171" i="69"/>
  <c r="D297" i="70" s="1"/>
  <c r="BQ171" i="69"/>
  <c r="C297" i="70" s="1"/>
  <c r="BO171" i="69"/>
  <c r="B297" i="70" s="1"/>
  <c r="BK171" i="69"/>
  <c r="H289" i="70" s="1"/>
  <c r="BI171" i="69"/>
  <c r="G289" i="70" s="1"/>
  <c r="BG171" i="69"/>
  <c r="F289" i="70" s="1"/>
  <c r="BE171" i="69"/>
  <c r="E289" i="70" s="1"/>
  <c r="BC171" i="69"/>
  <c r="D289" i="70" s="1"/>
  <c r="BA171" i="69"/>
  <c r="C289" i="70" s="1"/>
  <c r="AY171" i="69"/>
  <c r="B289" i="70" s="1"/>
  <c r="AU171" i="69"/>
  <c r="H281" i="70" s="1"/>
  <c r="AS171" i="69"/>
  <c r="G281" i="70" s="1"/>
  <c r="AQ171" i="69"/>
  <c r="F281" i="70" s="1"/>
  <c r="AO171" i="69"/>
  <c r="E281" i="70" s="1"/>
  <c r="AM171" i="69"/>
  <c r="D281" i="70" s="1"/>
  <c r="AK171" i="69"/>
  <c r="C281" i="70" s="1"/>
  <c r="AI171" i="69"/>
  <c r="B281" i="70" s="1"/>
  <c r="AE171" i="69"/>
  <c r="H273" i="70" s="1"/>
  <c r="AC171" i="69"/>
  <c r="G273" i="70" s="1"/>
  <c r="AA171" i="69"/>
  <c r="F273" i="70" s="1"/>
  <c r="Y171" i="69"/>
  <c r="E273" i="70" s="1"/>
  <c r="W171" i="69"/>
  <c r="D273" i="70" s="1"/>
  <c r="U171" i="69"/>
  <c r="C273" i="70" s="1"/>
  <c r="S171" i="69"/>
  <c r="B273" i="70" s="1"/>
  <c r="O171" i="69"/>
  <c r="H81" i="70" s="1"/>
  <c r="M171" i="69"/>
  <c r="G81" i="70" s="1"/>
  <c r="K171" i="69"/>
  <c r="F81" i="70" s="1"/>
  <c r="E81" i="70"/>
  <c r="G171" i="69"/>
  <c r="E171" i="69"/>
  <c r="C81" i="70" s="1"/>
  <c r="C171" i="69"/>
  <c r="B81" i="70" s="1"/>
  <c r="CU134" i="69"/>
  <c r="CE134" i="69"/>
  <c r="BO134" i="69"/>
  <c r="AY134" i="69"/>
  <c r="AI134" i="69"/>
  <c r="S134" i="69"/>
  <c r="C134" i="69"/>
  <c r="CU133" i="69"/>
  <c r="CT133" i="69"/>
  <c r="CE133" i="69"/>
  <c r="CD133" i="69"/>
  <c r="BO133" i="69"/>
  <c r="BN133" i="69"/>
  <c r="AY133" i="69"/>
  <c r="AX133" i="69"/>
  <c r="AI133" i="69"/>
  <c r="AH133" i="69"/>
  <c r="S133" i="69"/>
  <c r="R133" i="69"/>
  <c r="C133" i="69"/>
  <c r="C135" i="69" s="1"/>
  <c r="I172" i="69" s="1"/>
  <c r="B133" i="69"/>
  <c r="DW128" i="69"/>
  <c r="H265" i="70" s="1"/>
  <c r="DU128" i="69"/>
  <c r="G265" i="70" s="1"/>
  <c r="DS128" i="69"/>
  <c r="F265" i="70" s="1"/>
  <c r="DQ128" i="69"/>
  <c r="E265" i="70" s="1"/>
  <c r="DO128" i="69"/>
  <c r="D265" i="70" s="1"/>
  <c r="DM128" i="69"/>
  <c r="C265" i="70" s="1"/>
  <c r="DK128" i="69"/>
  <c r="B265" i="70" s="1"/>
  <c r="DG128" i="69"/>
  <c r="H257" i="70" s="1"/>
  <c r="DE128" i="69"/>
  <c r="G257" i="70" s="1"/>
  <c r="DC128" i="69"/>
  <c r="F257" i="70" s="1"/>
  <c r="DA128" i="69"/>
  <c r="E257" i="70" s="1"/>
  <c r="CY128" i="69"/>
  <c r="D257" i="70" s="1"/>
  <c r="CW128" i="69"/>
  <c r="C257" i="70" s="1"/>
  <c r="CU128" i="69"/>
  <c r="B257" i="70" s="1"/>
  <c r="CQ128" i="69"/>
  <c r="H249" i="70" s="1"/>
  <c r="CO128" i="69"/>
  <c r="G249" i="70" s="1"/>
  <c r="CM128" i="69"/>
  <c r="F249" i="70" s="1"/>
  <c r="CK128" i="69"/>
  <c r="E249" i="70" s="1"/>
  <c r="CI128" i="69"/>
  <c r="D249" i="70" s="1"/>
  <c r="CG128" i="69"/>
  <c r="C249" i="70" s="1"/>
  <c r="CE128" i="69"/>
  <c r="B249" i="70" s="1"/>
  <c r="CA128" i="69"/>
  <c r="H241" i="70" s="1"/>
  <c r="BY128" i="69"/>
  <c r="G241" i="70" s="1"/>
  <c r="BW128" i="69"/>
  <c r="F241" i="70" s="1"/>
  <c r="BU128" i="69"/>
  <c r="E241" i="70" s="1"/>
  <c r="BS128" i="69"/>
  <c r="D241" i="70" s="1"/>
  <c r="BQ128" i="69"/>
  <c r="C241" i="70" s="1"/>
  <c r="BO128" i="69"/>
  <c r="B241" i="70" s="1"/>
  <c r="BK128" i="69"/>
  <c r="H233" i="70" s="1"/>
  <c r="BI128" i="69"/>
  <c r="G233" i="70" s="1"/>
  <c r="BG128" i="69"/>
  <c r="F233" i="70" s="1"/>
  <c r="BE128" i="69"/>
  <c r="E233" i="70" s="1"/>
  <c r="BC128" i="69"/>
  <c r="D233" i="70" s="1"/>
  <c r="C233" i="70"/>
  <c r="B233" i="70"/>
  <c r="AU128" i="69"/>
  <c r="H225" i="70" s="1"/>
  <c r="AS128" i="69"/>
  <c r="G225" i="70" s="1"/>
  <c r="AQ128" i="69"/>
  <c r="F225" i="70" s="1"/>
  <c r="AO128" i="69"/>
  <c r="E225" i="70" s="1"/>
  <c r="AM128" i="69"/>
  <c r="D225" i="70" s="1"/>
  <c r="AK128" i="69"/>
  <c r="C225" i="70" s="1"/>
  <c r="AI128" i="69"/>
  <c r="B225" i="70" s="1"/>
  <c r="AE128" i="69"/>
  <c r="H217" i="70" s="1"/>
  <c r="AC128" i="69"/>
  <c r="G217" i="70" s="1"/>
  <c r="AA128" i="69"/>
  <c r="F217" i="70" s="1"/>
  <c r="Y128" i="69"/>
  <c r="E217" i="70" s="1"/>
  <c r="W128" i="69"/>
  <c r="D217" i="70" s="1"/>
  <c r="U128" i="69"/>
  <c r="C217" i="70" s="1"/>
  <c r="S128" i="69"/>
  <c r="B217" i="70" s="1"/>
  <c r="O128" i="69"/>
  <c r="H73" i="70" s="1"/>
  <c r="M128" i="69"/>
  <c r="G73" i="70" s="1"/>
  <c r="K128" i="69"/>
  <c r="F73" i="70" s="1"/>
  <c r="I128" i="69"/>
  <c r="E73" i="70" s="1"/>
  <c r="G128" i="69"/>
  <c r="D73" i="70" s="1"/>
  <c r="E128" i="69"/>
  <c r="C73" i="70" s="1"/>
  <c r="C128" i="69"/>
  <c r="B73" i="70" s="1"/>
  <c r="DK91" i="69"/>
  <c r="CU91" i="69"/>
  <c r="CE91" i="69"/>
  <c r="BO91" i="69"/>
  <c r="AY91" i="69"/>
  <c r="AI91" i="69"/>
  <c r="S91" i="69"/>
  <c r="C91" i="69"/>
  <c r="DK90" i="69"/>
  <c r="DJ90" i="69"/>
  <c r="CU90" i="69"/>
  <c r="CT90" i="69"/>
  <c r="CE90" i="69"/>
  <c r="CD90" i="69"/>
  <c r="BO90" i="69"/>
  <c r="BN90" i="69"/>
  <c r="AY90" i="69"/>
  <c r="AX90" i="69"/>
  <c r="AI90" i="69"/>
  <c r="AH90" i="69"/>
  <c r="S90" i="69"/>
  <c r="R90" i="69"/>
  <c r="C90" i="69"/>
  <c r="C92" i="69" s="1"/>
  <c r="B90" i="69"/>
  <c r="EM85" i="69"/>
  <c r="EK85" i="69"/>
  <c r="EI85" i="69"/>
  <c r="EG85" i="69"/>
  <c r="EE85" i="69"/>
  <c r="EC85" i="69"/>
  <c r="EA85" i="69"/>
  <c r="DW85" i="69"/>
  <c r="H209" i="70" s="1"/>
  <c r="DU85" i="69"/>
  <c r="G209" i="70" s="1"/>
  <c r="DS85" i="69"/>
  <c r="F209" i="70" s="1"/>
  <c r="DQ85" i="69"/>
  <c r="E209" i="70" s="1"/>
  <c r="DO85" i="69"/>
  <c r="D209" i="70" s="1"/>
  <c r="DM85" i="69"/>
  <c r="C209" i="70" s="1"/>
  <c r="DK85" i="69"/>
  <c r="B209" i="70" s="1"/>
  <c r="DG85" i="69"/>
  <c r="H201" i="70" s="1"/>
  <c r="DE85" i="69"/>
  <c r="G201" i="70" s="1"/>
  <c r="DC85" i="69"/>
  <c r="F201" i="70" s="1"/>
  <c r="DA85" i="69"/>
  <c r="E201" i="70" s="1"/>
  <c r="CY85" i="69"/>
  <c r="D201" i="70" s="1"/>
  <c r="CW85" i="69"/>
  <c r="C201" i="70" s="1"/>
  <c r="CU85" i="69"/>
  <c r="B201" i="70" s="1"/>
  <c r="CQ85" i="69"/>
  <c r="H193" i="70" s="1"/>
  <c r="CO85" i="69"/>
  <c r="G193" i="70" s="1"/>
  <c r="CM85" i="69"/>
  <c r="F193" i="70" s="1"/>
  <c r="CK85" i="69"/>
  <c r="E193" i="70" s="1"/>
  <c r="CI85" i="69"/>
  <c r="D193" i="70" s="1"/>
  <c r="C193" i="70"/>
  <c r="B193" i="70"/>
  <c r="CA85" i="69"/>
  <c r="H185" i="70" s="1"/>
  <c r="BY85" i="69"/>
  <c r="G185" i="70" s="1"/>
  <c r="F185" i="70"/>
  <c r="BU85" i="69"/>
  <c r="E185" i="70" s="1"/>
  <c r="BS85" i="69"/>
  <c r="D185" i="70" s="1"/>
  <c r="C185" i="70"/>
  <c r="B185" i="70"/>
  <c r="BK85" i="69"/>
  <c r="H177" i="70" s="1"/>
  <c r="BI85" i="69"/>
  <c r="G177" i="70" s="1"/>
  <c r="BG85" i="69"/>
  <c r="F177" i="70" s="1"/>
  <c r="BE85" i="69"/>
  <c r="E177" i="70" s="1"/>
  <c r="BC85" i="69"/>
  <c r="D177" i="70" s="1"/>
  <c r="BA85" i="69"/>
  <c r="C177" i="70" s="1"/>
  <c r="AY85" i="69"/>
  <c r="B177" i="70" s="1"/>
  <c r="AU85" i="69"/>
  <c r="H169" i="70" s="1"/>
  <c r="AS85" i="69"/>
  <c r="G169" i="70" s="1"/>
  <c r="AQ85" i="69"/>
  <c r="F169" i="70" s="1"/>
  <c r="AO85" i="69"/>
  <c r="E169" i="70" s="1"/>
  <c r="AM85" i="69"/>
  <c r="D169" i="70" s="1"/>
  <c r="AK85" i="69"/>
  <c r="C169" i="70" s="1"/>
  <c r="AI85" i="69"/>
  <c r="B169" i="70" s="1"/>
  <c r="AE85" i="69"/>
  <c r="H161" i="70" s="1"/>
  <c r="AC85" i="69"/>
  <c r="G161" i="70" s="1"/>
  <c r="AA85" i="69"/>
  <c r="F161" i="70" s="1"/>
  <c r="Y85" i="69"/>
  <c r="E161" i="70" s="1"/>
  <c r="W85" i="69"/>
  <c r="D161" i="70" s="1"/>
  <c r="U85" i="69"/>
  <c r="C161" i="70" s="1"/>
  <c r="S85" i="69"/>
  <c r="B161" i="70" s="1"/>
  <c r="O85" i="69"/>
  <c r="H65" i="70" s="1"/>
  <c r="M85" i="69"/>
  <c r="G65" i="70" s="1"/>
  <c r="K85" i="69"/>
  <c r="F65" i="70" s="1"/>
  <c r="I85" i="69"/>
  <c r="E65" i="70" s="1"/>
  <c r="G85" i="69"/>
  <c r="D65" i="70" s="1"/>
  <c r="E85" i="69"/>
  <c r="C65" i="70" s="1"/>
  <c r="C85" i="69"/>
  <c r="B65" i="70" s="1"/>
  <c r="EA48" i="69"/>
  <c r="DK48" i="69"/>
  <c r="CU48" i="69"/>
  <c r="CE48" i="69"/>
  <c r="BO48" i="69"/>
  <c r="AY48" i="69"/>
  <c r="AI48" i="69"/>
  <c r="S48" i="69"/>
  <c r="C48" i="69"/>
  <c r="EA47" i="69"/>
  <c r="DZ47" i="69"/>
  <c r="DK47" i="69"/>
  <c r="DJ47" i="69"/>
  <c r="CU47" i="69"/>
  <c r="CT47" i="69"/>
  <c r="CE47" i="69"/>
  <c r="CD47" i="69"/>
  <c r="CE49" i="69" s="1"/>
  <c r="BO47" i="69"/>
  <c r="BN47" i="69"/>
  <c r="AY47" i="69"/>
  <c r="AX47" i="69"/>
  <c r="AI47" i="69"/>
  <c r="AH47" i="69"/>
  <c r="S47" i="69"/>
  <c r="R47" i="69"/>
  <c r="S49" i="69" s="1"/>
  <c r="C47" i="69"/>
  <c r="C49" i="69" s="1"/>
  <c r="B47" i="69"/>
  <c r="EM42" i="69"/>
  <c r="EK42" i="69"/>
  <c r="EI42" i="69"/>
  <c r="EG42" i="69"/>
  <c r="EE42" i="69"/>
  <c r="EC42" i="69"/>
  <c r="EA42" i="69"/>
  <c r="DW42" i="69"/>
  <c r="H153" i="70" s="1"/>
  <c r="DU42" i="69"/>
  <c r="G153" i="70" s="1"/>
  <c r="DS42" i="69"/>
  <c r="F153" i="70" s="1"/>
  <c r="DQ42" i="69"/>
  <c r="E153" i="70" s="1"/>
  <c r="DO42" i="69"/>
  <c r="D153" i="70" s="1"/>
  <c r="DM42" i="69"/>
  <c r="C153" i="70" s="1"/>
  <c r="DK42" i="69"/>
  <c r="B153" i="70" s="1"/>
  <c r="DG42" i="69"/>
  <c r="H145" i="70" s="1"/>
  <c r="DE42" i="69"/>
  <c r="G145" i="70" s="1"/>
  <c r="DC42" i="69"/>
  <c r="F145" i="70" s="1"/>
  <c r="DA42" i="69"/>
  <c r="E145" i="70" s="1"/>
  <c r="CY42" i="69"/>
  <c r="D145" i="70" s="1"/>
  <c r="CW42" i="69"/>
  <c r="C145" i="70" s="1"/>
  <c r="CU42" i="69"/>
  <c r="B145" i="70" s="1"/>
  <c r="CQ42" i="69"/>
  <c r="H137" i="70" s="1"/>
  <c r="CO42" i="69"/>
  <c r="G137" i="70" s="1"/>
  <c r="CM42" i="69"/>
  <c r="F137" i="70" s="1"/>
  <c r="CK42" i="69"/>
  <c r="E137" i="70" s="1"/>
  <c r="CI42" i="69"/>
  <c r="D137" i="70" s="1"/>
  <c r="CG42" i="69"/>
  <c r="C137" i="70" s="1"/>
  <c r="CE42" i="69"/>
  <c r="B137" i="70" s="1"/>
  <c r="CA42" i="69"/>
  <c r="H129" i="70" s="1"/>
  <c r="BY42" i="69"/>
  <c r="G129" i="70" s="1"/>
  <c r="BW42" i="69"/>
  <c r="F129" i="70" s="1"/>
  <c r="BU42" i="69"/>
  <c r="E129" i="70" s="1"/>
  <c r="BS42" i="69"/>
  <c r="D129" i="70" s="1"/>
  <c r="BQ42" i="69"/>
  <c r="C129" i="70" s="1"/>
  <c r="BO42" i="69"/>
  <c r="B129" i="70" s="1"/>
  <c r="BK42" i="69"/>
  <c r="H121" i="70" s="1"/>
  <c r="BI42" i="69"/>
  <c r="G121" i="70" s="1"/>
  <c r="BG42" i="69"/>
  <c r="F121" i="70" s="1"/>
  <c r="BE42" i="69"/>
  <c r="E121" i="70" s="1"/>
  <c r="BC42" i="69"/>
  <c r="D121" i="70" s="1"/>
  <c r="BA42" i="69"/>
  <c r="C121" i="70" s="1"/>
  <c r="AY42" i="69"/>
  <c r="B121" i="70" s="1"/>
  <c r="AU42" i="69"/>
  <c r="H113" i="70" s="1"/>
  <c r="AS42" i="69"/>
  <c r="G113" i="70" s="1"/>
  <c r="AQ42" i="69"/>
  <c r="F113" i="70" s="1"/>
  <c r="AO42" i="69"/>
  <c r="E113" i="70" s="1"/>
  <c r="AM42" i="69"/>
  <c r="D113" i="70" s="1"/>
  <c r="AK42" i="69"/>
  <c r="C113" i="70" s="1"/>
  <c r="AI42" i="69"/>
  <c r="B113" i="70" s="1"/>
  <c r="AE42" i="69"/>
  <c r="H105" i="70" s="1"/>
  <c r="AC42" i="69"/>
  <c r="G105" i="70" s="1"/>
  <c r="AA42" i="69"/>
  <c r="F105" i="70" s="1"/>
  <c r="Y42" i="69"/>
  <c r="E105" i="70" s="1"/>
  <c r="W42" i="69"/>
  <c r="D105" i="70" s="1"/>
  <c r="U42" i="69"/>
  <c r="C105" i="70" s="1"/>
  <c r="S42" i="69"/>
  <c r="B105" i="70" s="1"/>
  <c r="K42" i="69"/>
  <c r="F57" i="70" s="1"/>
  <c r="I42" i="69"/>
  <c r="E57" i="70" s="1"/>
  <c r="G42" i="69"/>
  <c r="D57" i="70" s="1"/>
  <c r="E42" i="69"/>
  <c r="C57" i="70" s="1"/>
  <c r="C42" i="69"/>
  <c r="B57" i="70" s="1"/>
  <c r="EA5" i="69"/>
  <c r="DK5" i="69"/>
  <c r="CU5" i="69"/>
  <c r="CE5" i="69"/>
  <c r="BO5" i="69"/>
  <c r="AY5" i="69"/>
  <c r="AI5" i="69"/>
  <c r="S5" i="69"/>
  <c r="C5" i="69"/>
  <c r="EA4" i="69"/>
  <c r="DZ4" i="69"/>
  <c r="DK4" i="69"/>
  <c r="DJ4" i="69"/>
  <c r="CU4" i="69"/>
  <c r="CT4" i="69"/>
  <c r="CE4" i="69"/>
  <c r="CD4" i="69"/>
  <c r="BO4" i="69"/>
  <c r="BN4" i="69"/>
  <c r="AY4" i="69"/>
  <c r="AX4" i="69"/>
  <c r="AI4" i="69"/>
  <c r="AH4" i="69"/>
  <c r="S4" i="69"/>
  <c r="R4" i="69"/>
  <c r="C4" i="69"/>
  <c r="C6" i="69" s="1"/>
  <c r="B4" i="69"/>
  <c r="I66" i="68"/>
  <c r="G66" i="68"/>
  <c r="AC35" i="69" s="1"/>
  <c r="E66" i="68"/>
  <c r="C66" i="68"/>
  <c r="O59" i="68"/>
  <c r="M59" i="68"/>
  <c r="K59" i="68"/>
  <c r="O56" i="68"/>
  <c r="M56" i="68"/>
  <c r="K56" i="68"/>
  <c r="I56" i="68"/>
  <c r="G56" i="68"/>
  <c r="E56" i="68"/>
  <c r="DM21" i="69" s="1"/>
  <c r="C56" i="68"/>
  <c r="O49" i="68"/>
  <c r="M49" i="68"/>
  <c r="G49" i="68"/>
  <c r="O46" i="68"/>
  <c r="M46" i="68"/>
  <c r="K46" i="68"/>
  <c r="I46" i="68"/>
  <c r="G46" i="68"/>
  <c r="E46" i="68"/>
  <c r="CG20" i="69" s="1"/>
  <c r="C46" i="68"/>
  <c r="CE20" i="69" s="1"/>
  <c r="E39" i="68"/>
  <c r="C39" i="68"/>
  <c r="O36" i="68"/>
  <c r="M36" i="68"/>
  <c r="K36" i="68"/>
  <c r="BW62" i="69" s="1"/>
  <c r="BW64" i="69" s="1"/>
  <c r="I36" i="68"/>
  <c r="G36" i="68"/>
  <c r="W191" i="69" s="1"/>
  <c r="E36" i="68"/>
  <c r="C36" i="68"/>
  <c r="G29" i="68"/>
  <c r="G26" i="68"/>
  <c r="E26" i="68"/>
  <c r="C26" i="68"/>
  <c r="CY96" i="69" s="1"/>
  <c r="G19" i="68"/>
  <c r="E19" i="68"/>
  <c r="G16" i="68"/>
  <c r="E16" i="68"/>
  <c r="G13" i="68"/>
  <c r="E13" i="68"/>
  <c r="G10" i="68"/>
  <c r="E10" i="68"/>
  <c r="C10" i="68"/>
  <c r="G7" i="68"/>
  <c r="E7" i="68"/>
  <c r="C7" i="68"/>
  <c r="C350" i="70" l="1"/>
  <c r="C286" i="70"/>
  <c r="C374" i="70"/>
  <c r="BO92" i="69"/>
  <c r="CA129" i="69" s="1"/>
  <c r="I27" i="70" s="1"/>
  <c r="J90" i="50" s="1"/>
  <c r="C126" i="70"/>
  <c r="I67" i="50"/>
  <c r="R7" i="48"/>
  <c r="C110" i="70"/>
  <c r="C142" i="70"/>
  <c r="C206" i="70"/>
  <c r="C270" i="70"/>
  <c r="C302" i="70"/>
  <c r="C366" i="70"/>
  <c r="AY49" i="69"/>
  <c r="DK49" i="69"/>
  <c r="DU86" i="69" s="1"/>
  <c r="H23" i="70" s="1"/>
  <c r="CU92" i="69"/>
  <c r="CU129" i="69" s="1"/>
  <c r="C29" i="70" s="1"/>
  <c r="J67" i="50"/>
  <c r="S7" i="48"/>
  <c r="C262" i="70"/>
  <c r="CU49" i="69"/>
  <c r="DG86" i="69" s="1"/>
  <c r="I22" i="70" s="1"/>
  <c r="O61" i="68"/>
  <c r="BK244" i="69" s="1"/>
  <c r="BK246" i="69" s="1"/>
  <c r="BO6" i="69"/>
  <c r="BW43" i="69" s="1"/>
  <c r="G13" i="70" s="1"/>
  <c r="EA6" i="69"/>
  <c r="S6" i="69"/>
  <c r="U43" i="69" s="1"/>
  <c r="D10" i="70" s="1"/>
  <c r="AI49" i="69"/>
  <c r="AS86" i="69" s="1"/>
  <c r="H18" i="70" s="1"/>
  <c r="DK86" i="69"/>
  <c r="C23" i="70" s="1"/>
  <c r="K61" i="68"/>
  <c r="BG72" i="69" s="1"/>
  <c r="BG74" i="69" s="1"/>
  <c r="BG76" i="69" s="1"/>
  <c r="K86" i="69"/>
  <c r="G5" i="70" s="1"/>
  <c r="CG72" i="69"/>
  <c r="BO72" i="69"/>
  <c r="AY115" i="69"/>
  <c r="CE72" i="69"/>
  <c r="BA115" i="69"/>
  <c r="BA118" i="69" s="1"/>
  <c r="BQ72" i="69"/>
  <c r="BO163" i="69"/>
  <c r="BO166" i="69" s="1"/>
  <c r="BQ73" i="69"/>
  <c r="CG73" i="69"/>
  <c r="BO73" i="69"/>
  <c r="BA116" i="69"/>
  <c r="CE73" i="69"/>
  <c r="AY116" i="69"/>
  <c r="DO14" i="69"/>
  <c r="DO16" i="69" s="1"/>
  <c r="DG35" i="69"/>
  <c r="CG86" i="69"/>
  <c r="CE86" i="69"/>
  <c r="C21" i="70" s="1"/>
  <c r="AY20" i="69"/>
  <c r="AY22" i="69" s="1"/>
  <c r="AY24" i="69" s="1"/>
  <c r="EA63" i="69"/>
  <c r="BY121" i="69"/>
  <c r="M51" i="68"/>
  <c r="CO149" i="69" s="1"/>
  <c r="C41" i="68"/>
  <c r="AY191" i="69" s="1"/>
  <c r="S24" i="69"/>
  <c r="S26" i="69" s="1"/>
  <c r="S221" i="69"/>
  <c r="Y258" i="69" s="1"/>
  <c r="F42" i="70" s="1"/>
  <c r="AY221" i="69"/>
  <c r="BI258" i="69" s="1"/>
  <c r="H44" i="70" s="1"/>
  <c r="EI20" i="69"/>
  <c r="BW67" i="69"/>
  <c r="BW69" i="69" s="1"/>
  <c r="E41" i="68"/>
  <c r="E105" i="69" s="1"/>
  <c r="AM14" i="69"/>
  <c r="AM16" i="69" s="1"/>
  <c r="DE35" i="69"/>
  <c r="C102" i="70"/>
  <c r="C150" i="70"/>
  <c r="C342" i="70"/>
  <c r="G43" i="69"/>
  <c r="E4" i="70" s="1"/>
  <c r="BO49" i="69"/>
  <c r="BO86" i="69" s="1"/>
  <c r="C20" i="70" s="1"/>
  <c r="CM106" i="69"/>
  <c r="AY135" i="69"/>
  <c r="BE172" i="69" s="1"/>
  <c r="F33" i="70" s="1"/>
  <c r="G31" i="68"/>
  <c r="BK143" i="69" s="1"/>
  <c r="BK145" i="69" s="1"/>
  <c r="O51" i="68"/>
  <c r="CA153" i="69" s="1"/>
  <c r="CA155" i="69" s="1"/>
  <c r="BC19" i="69"/>
  <c r="BC62" i="69"/>
  <c r="CK86" i="69"/>
  <c r="F21" i="70" s="1"/>
  <c r="CI62" i="69"/>
  <c r="S135" i="69"/>
  <c r="S172" i="69" s="1"/>
  <c r="C31" i="70" s="1"/>
  <c r="CE135" i="69"/>
  <c r="CE172" i="69" s="1"/>
  <c r="C35" i="70" s="1"/>
  <c r="AI178" i="69"/>
  <c r="AQ215" i="69" s="1"/>
  <c r="G38" i="70" s="1"/>
  <c r="EC64" i="69"/>
  <c r="C190" i="70"/>
  <c r="BI86" i="69"/>
  <c r="H19" i="70" s="1"/>
  <c r="O129" i="69"/>
  <c r="I6" i="70" s="1"/>
  <c r="G105" i="69"/>
  <c r="G107" i="69" s="1"/>
  <c r="G109" i="69" s="1"/>
  <c r="C198" i="70"/>
  <c r="C326" i="70"/>
  <c r="C358" i="70"/>
  <c r="AO148" i="69"/>
  <c r="BE105" i="69"/>
  <c r="AO62" i="69"/>
  <c r="AO64" i="69" s="1"/>
  <c r="AO105" i="69"/>
  <c r="AO107" i="69" s="1"/>
  <c r="EG62" i="69"/>
  <c r="DA62" i="69"/>
  <c r="EG19" i="69"/>
  <c r="AO19" i="69"/>
  <c r="AO21" i="69" s="1"/>
  <c r="Y191" i="69"/>
  <c r="I105" i="69"/>
  <c r="I107" i="69" s="1"/>
  <c r="I109" i="69" s="1"/>
  <c r="CK62" i="69"/>
  <c r="BE62" i="69"/>
  <c r="BE64" i="69" s="1"/>
  <c r="BE66" i="69" s="1"/>
  <c r="BU19" i="69"/>
  <c r="BU21" i="69" s="1"/>
  <c r="BU23" i="69" s="1"/>
  <c r="BS106" i="69"/>
  <c r="G67" i="69"/>
  <c r="G69" i="69" s="1"/>
  <c r="G71" i="69" s="1"/>
  <c r="CI63" i="69"/>
  <c r="BC20" i="69"/>
  <c r="BC22" i="69" s="1"/>
  <c r="DO20" i="69"/>
  <c r="CI20" i="69"/>
  <c r="CY72" i="69"/>
  <c r="CI193" i="69"/>
  <c r="CI115" i="69"/>
  <c r="CI72" i="69"/>
  <c r="W72" i="69"/>
  <c r="W74" i="69" s="1"/>
  <c r="W76" i="69" s="1"/>
  <c r="DO72" i="69"/>
  <c r="AM72" i="69"/>
  <c r="AM74" i="69" s="1"/>
  <c r="CI29" i="69"/>
  <c r="CI31" i="69" s="1"/>
  <c r="W29" i="69"/>
  <c r="W31" i="69" s="1"/>
  <c r="W57" i="69"/>
  <c r="W59" i="69" s="1"/>
  <c r="W61" i="69" s="1"/>
  <c r="BS182" i="69"/>
  <c r="BC100" i="69"/>
  <c r="BC102" i="69" s="1"/>
  <c r="BS96" i="69"/>
  <c r="G57" i="69"/>
  <c r="G59" i="69" s="1"/>
  <c r="G61" i="69" s="1"/>
  <c r="W182" i="69"/>
  <c r="AM143" i="69"/>
  <c r="AM145" i="69" s="1"/>
  <c r="G100" i="69"/>
  <c r="G102" i="69" s="1"/>
  <c r="EE53" i="69"/>
  <c r="W143" i="69"/>
  <c r="W145" i="69" s="1"/>
  <c r="DO96" i="69"/>
  <c r="BC57" i="69"/>
  <c r="BC59" i="69" s="1"/>
  <c r="BC61" i="69" s="1"/>
  <c r="DO53" i="69"/>
  <c r="AM149" i="69"/>
  <c r="BS149" i="69"/>
  <c r="CK201" i="69"/>
  <c r="I72" i="69"/>
  <c r="I74" i="69" s="1"/>
  <c r="I76" i="69" s="1"/>
  <c r="BE115" i="69"/>
  <c r="BE117" i="69" s="1"/>
  <c r="DQ72" i="69"/>
  <c r="DQ74" i="69" s="1"/>
  <c r="BU72" i="69"/>
  <c r="BU74" i="69" s="1"/>
  <c r="AO72" i="69"/>
  <c r="AO74" i="69" s="1"/>
  <c r="AO29" i="69"/>
  <c r="AO31" i="69" s="1"/>
  <c r="Y29" i="69"/>
  <c r="Y31" i="69" s="1"/>
  <c r="Y201" i="69"/>
  <c r="Y203" i="69" s="1"/>
  <c r="Y115" i="69"/>
  <c r="Y117" i="69" s="1"/>
  <c r="EG29" i="69"/>
  <c r="EG31" i="69" s="1"/>
  <c r="EG33" i="69" s="1"/>
  <c r="CY53" i="69"/>
  <c r="CQ77" i="69"/>
  <c r="W115" i="69"/>
  <c r="W117" i="69" s="1"/>
  <c r="CY139" i="69"/>
  <c r="BI148" i="69"/>
  <c r="BI150" i="69" s="1"/>
  <c r="BY62" i="69"/>
  <c r="BY64" i="69" s="1"/>
  <c r="BY66" i="69" s="1"/>
  <c r="S235" i="69"/>
  <c r="CE106" i="69"/>
  <c r="C106" i="69"/>
  <c r="CU63" i="69"/>
  <c r="AI63" i="69"/>
  <c r="AY235" i="69"/>
  <c r="BO106" i="69"/>
  <c r="C24" i="69"/>
  <c r="C26" i="69" s="1"/>
  <c r="C28" i="69" s="1"/>
  <c r="CU20" i="69"/>
  <c r="S149" i="69"/>
  <c r="S106" i="69"/>
  <c r="C67" i="69"/>
  <c r="C69" i="69" s="1"/>
  <c r="C71" i="69" s="1"/>
  <c r="CU64" i="69"/>
  <c r="CU29" i="69"/>
  <c r="CU31" i="69" s="1"/>
  <c r="DK21" i="69"/>
  <c r="CU150" i="69"/>
  <c r="S72" i="69"/>
  <c r="S74" i="69" s="1"/>
  <c r="S76" i="69" s="1"/>
  <c r="M61" i="68"/>
  <c r="BY158" i="69" s="1"/>
  <c r="BY160" i="69" s="1"/>
  <c r="DU121" i="69"/>
  <c r="AU164" i="69"/>
  <c r="BK121" i="69"/>
  <c r="EK78" i="69"/>
  <c r="M78" i="69"/>
  <c r="AS164" i="69"/>
  <c r="BI121" i="69"/>
  <c r="CO78" i="69"/>
  <c r="CQ35" i="69"/>
  <c r="BK78" i="69"/>
  <c r="EM35" i="69"/>
  <c r="BI35" i="69"/>
  <c r="AY6" i="69"/>
  <c r="CE6" i="69"/>
  <c r="CG43" i="69" s="1"/>
  <c r="CI14" i="69"/>
  <c r="CI16" i="69" s="1"/>
  <c r="W19" i="69"/>
  <c r="W21" i="69" s="1"/>
  <c r="AI20" i="69"/>
  <c r="AI22" i="69" s="1"/>
  <c r="DK20" i="69"/>
  <c r="G29" i="69"/>
  <c r="G31" i="69" s="1"/>
  <c r="G33" i="69" s="1"/>
  <c r="AM34" i="69"/>
  <c r="CM34" i="69"/>
  <c r="CM37" i="69" s="1"/>
  <c r="EM34" i="69"/>
  <c r="AM57" i="69"/>
  <c r="AM59" i="69" s="1"/>
  <c r="EE73" i="69"/>
  <c r="O78" i="69"/>
  <c r="O86" i="69"/>
  <c r="I5" i="70" s="1"/>
  <c r="CK105" i="69"/>
  <c r="DQ115" i="69"/>
  <c r="I148" i="69"/>
  <c r="I150" i="69" s="1"/>
  <c r="I152" i="69" s="1"/>
  <c r="G225" i="69"/>
  <c r="CA206" i="69"/>
  <c r="BK163" i="69"/>
  <c r="BW120" i="69"/>
  <c r="BW123" i="69" s="1"/>
  <c r="BW125" i="69" s="1"/>
  <c r="CO77" i="69"/>
  <c r="AU77" i="69"/>
  <c r="C77" i="69"/>
  <c r="C80" i="69" s="1"/>
  <c r="C82" i="69" s="1"/>
  <c r="CI73" i="69"/>
  <c r="AA163" i="69"/>
  <c r="AA166" i="69" s="1"/>
  <c r="AS120" i="69"/>
  <c r="DW77" i="69"/>
  <c r="BY77" i="69"/>
  <c r="AQ77" i="69"/>
  <c r="AQ80" i="69" s="1"/>
  <c r="EC34" i="69"/>
  <c r="EC37" i="69" s="1"/>
  <c r="EC39" i="69" s="1"/>
  <c r="DE34" i="69"/>
  <c r="BY34" i="69"/>
  <c r="BG34" i="69"/>
  <c r="BG37" i="69" s="1"/>
  <c r="AK34" i="69"/>
  <c r="AK37" i="69" s="1"/>
  <c r="AO249" i="69"/>
  <c r="AO252" i="69" s="1"/>
  <c r="BQ163" i="69"/>
  <c r="BQ166" i="69" s="1"/>
  <c r="W163" i="69"/>
  <c r="DS120" i="69"/>
  <c r="DS123" i="69" s="1"/>
  <c r="AQ120" i="69"/>
  <c r="AQ123" i="69" s="1"/>
  <c r="CU77" i="69"/>
  <c r="CU80" i="69" s="1"/>
  <c r="BC77" i="69"/>
  <c r="AC77" i="69"/>
  <c r="DW34" i="69"/>
  <c r="DC34" i="69"/>
  <c r="DC37" i="69" s="1"/>
  <c r="BW34" i="69"/>
  <c r="BW37" i="69" s="1"/>
  <c r="BW39" i="69" s="1"/>
  <c r="BC34" i="69"/>
  <c r="AI34" i="69"/>
  <c r="AI37" i="69" s="1"/>
  <c r="DO29" i="69"/>
  <c r="DO31" i="69" s="1"/>
  <c r="S34" i="69"/>
  <c r="S37" i="69" s="1"/>
  <c r="BS34" i="69"/>
  <c r="DG34" i="69"/>
  <c r="W86" i="69"/>
  <c r="E17" i="70" s="1"/>
  <c r="U86" i="69"/>
  <c r="D17" i="70" s="1"/>
  <c r="BA77" i="69"/>
  <c r="BA80" i="69" s="1"/>
  <c r="BA82" i="69" s="1"/>
  <c r="BY120" i="69"/>
  <c r="CI150" i="69"/>
  <c r="M258" i="69"/>
  <c r="H9" i="70" s="1"/>
  <c r="O258" i="69"/>
  <c r="I9" i="70" s="1"/>
  <c r="K258" i="69"/>
  <c r="G9" i="70" s="1"/>
  <c r="C21" i="68"/>
  <c r="BY223" i="69" s="1"/>
  <c r="AI6" i="69"/>
  <c r="AK43" i="69" s="1"/>
  <c r="D11" i="70" s="1"/>
  <c r="BS14" i="69"/>
  <c r="BS16" i="69" s="1"/>
  <c r="BS18" i="69" s="1"/>
  <c r="EE14" i="69"/>
  <c r="EE16" i="69" s="1"/>
  <c r="I19" i="69"/>
  <c r="I21" i="69" s="1"/>
  <c r="I23" i="69" s="1"/>
  <c r="BE19" i="69"/>
  <c r="BE21" i="69" s="1"/>
  <c r="BE23" i="69" s="1"/>
  <c r="DQ29" i="69"/>
  <c r="DQ31" i="69" s="1"/>
  <c r="W34" i="69"/>
  <c r="BU34" i="69"/>
  <c r="BU37" i="69" s="1"/>
  <c r="DK34" i="69"/>
  <c r="DK37" i="69" s="1"/>
  <c r="CI148" i="69"/>
  <c r="G148" i="69"/>
  <c r="AM62" i="69"/>
  <c r="CY105" i="69"/>
  <c r="EE19" i="69"/>
  <c r="DO19" i="69"/>
  <c r="AM19" i="69"/>
  <c r="AM21" i="69" s="1"/>
  <c r="CA191" i="69"/>
  <c r="DW62" i="69"/>
  <c r="DW64" i="69" s="1"/>
  <c r="DW66" i="69" s="1"/>
  <c r="DW19" i="69"/>
  <c r="DW21" i="69" s="1"/>
  <c r="AU234" i="69"/>
  <c r="BQ149" i="69"/>
  <c r="CG63" i="69"/>
  <c r="BA20" i="69"/>
  <c r="BA22" i="69" s="1"/>
  <c r="AK158" i="69"/>
  <c r="AK160" i="69" s="1"/>
  <c r="CG150" i="69"/>
  <c r="DM64" i="69"/>
  <c r="BA193" i="69"/>
  <c r="BQ107" i="69"/>
  <c r="U72" i="69"/>
  <c r="U74" i="69" s="1"/>
  <c r="U76" i="69" s="1"/>
  <c r="CW64" i="69"/>
  <c r="E29" i="69"/>
  <c r="E31" i="69" s="1"/>
  <c r="E33" i="69" s="1"/>
  <c r="AK29" i="69"/>
  <c r="AK31" i="69" s="1"/>
  <c r="G14" i="69"/>
  <c r="G16" i="69" s="1"/>
  <c r="G18" i="69" s="1"/>
  <c r="CY14" i="69"/>
  <c r="CY16" i="69" s="1"/>
  <c r="Y19" i="69"/>
  <c r="Y21" i="69" s="1"/>
  <c r="DA19" i="69"/>
  <c r="DM20" i="69"/>
  <c r="EC21" i="69"/>
  <c r="I29" i="69"/>
  <c r="I31" i="69" s="1"/>
  <c r="I33" i="69" s="1"/>
  <c r="CG29" i="69"/>
  <c r="CG31" i="69" s="1"/>
  <c r="AO34" i="69"/>
  <c r="AO37" i="69" s="1"/>
  <c r="AO39" i="69" s="1"/>
  <c r="CQ34" i="69"/>
  <c r="BO63" i="69"/>
  <c r="AK72" i="69"/>
  <c r="AK74" i="69" s="1"/>
  <c r="E77" i="69"/>
  <c r="E80" i="69" s="1"/>
  <c r="E106" i="69"/>
  <c r="C120" i="69"/>
  <c r="C123" i="69" s="1"/>
  <c r="C125" i="69" s="1"/>
  <c r="E149" i="69"/>
  <c r="W201" i="69"/>
  <c r="EA49" i="69"/>
  <c r="EI86" i="69" s="1"/>
  <c r="AI92" i="69"/>
  <c r="AM129" i="69" s="1"/>
  <c r="E25" i="70" s="1"/>
  <c r="AI135" i="69"/>
  <c r="AS172" i="69" s="1"/>
  <c r="H32" i="70" s="1"/>
  <c r="BO135" i="69"/>
  <c r="BW172" i="69" s="1"/>
  <c r="G34" i="70" s="1"/>
  <c r="CU135" i="69"/>
  <c r="DA172" i="69" s="1"/>
  <c r="F36" i="70" s="1"/>
  <c r="S178" i="69"/>
  <c r="AC215" i="69" s="1"/>
  <c r="H37" i="70" s="1"/>
  <c r="AY178" i="69"/>
  <c r="CE178" i="69"/>
  <c r="CG215" i="69" s="1"/>
  <c r="D41" i="70" s="1"/>
  <c r="BO221" i="69"/>
  <c r="BO258" i="69" s="1"/>
  <c r="C45" i="70" s="1"/>
  <c r="C222" i="70"/>
  <c r="C254" i="70"/>
  <c r="AY92" i="69"/>
  <c r="BE129" i="69" s="1"/>
  <c r="F26" i="70" s="1"/>
  <c r="CE92" i="69"/>
  <c r="DK92" i="69"/>
  <c r="DW129" i="69" s="1"/>
  <c r="I30" i="70" s="1"/>
  <c r="C118" i="70"/>
  <c r="C158" i="70"/>
  <c r="C334" i="70"/>
  <c r="C134" i="70"/>
  <c r="C174" i="70"/>
  <c r="C230" i="70"/>
  <c r="C238" i="70"/>
  <c r="C278" i="70"/>
  <c r="C294" i="70"/>
  <c r="C310" i="70"/>
  <c r="C382" i="70"/>
  <c r="BE43" i="69"/>
  <c r="F12" i="70" s="1"/>
  <c r="BC43" i="69"/>
  <c r="E12" i="70" s="1"/>
  <c r="BA43" i="69"/>
  <c r="D12" i="70" s="1"/>
  <c r="AA234" i="69"/>
  <c r="BG234" i="69"/>
  <c r="CM191" i="69"/>
  <c r="K234" i="69"/>
  <c r="K236" i="69" s="1"/>
  <c r="K238" i="69" s="1"/>
  <c r="BW148" i="69"/>
  <c r="CM105" i="69"/>
  <c r="BW191" i="69"/>
  <c r="AQ191" i="69"/>
  <c r="K191" i="69"/>
  <c r="K193" i="69" s="1"/>
  <c r="K195" i="69" s="1"/>
  <c r="CM148" i="69"/>
  <c r="DC148" i="69"/>
  <c r="DS105" i="69"/>
  <c r="BG191" i="69"/>
  <c r="AA105" i="69"/>
  <c r="AA107" i="69" s="1"/>
  <c r="EI62" i="69"/>
  <c r="BW234" i="69"/>
  <c r="BW105" i="69"/>
  <c r="BW107" i="69" s="1"/>
  <c r="AQ62" i="69"/>
  <c r="AQ64" i="69" s="1"/>
  <c r="AQ148" i="69"/>
  <c r="AQ150" i="69" s="1"/>
  <c r="AA62" i="69"/>
  <c r="AA64" i="69" s="1"/>
  <c r="AA66" i="69" s="1"/>
  <c r="DC19" i="69"/>
  <c r="DC21" i="69" s="1"/>
  <c r="K19" i="69"/>
  <c r="K21" i="69" s="1"/>
  <c r="K23" i="69" s="1"/>
  <c r="DS19" i="69"/>
  <c r="CM62" i="69"/>
  <c r="DS62" i="69"/>
  <c r="AA191" i="69"/>
  <c r="AA193" i="69" s="1"/>
  <c r="DC105" i="69"/>
  <c r="EI19" i="69"/>
  <c r="AQ234" i="69"/>
  <c r="BG105" i="69"/>
  <c r="BG107" i="69" s="1"/>
  <c r="BG109" i="69" s="1"/>
  <c r="K62" i="69"/>
  <c r="K64" i="69" s="1"/>
  <c r="K66" i="69" s="1"/>
  <c r="AQ105" i="69"/>
  <c r="AQ107" i="69" s="1"/>
  <c r="BW19" i="69"/>
  <c r="BW21" i="69" s="1"/>
  <c r="K105" i="69"/>
  <c r="K107" i="69" s="1"/>
  <c r="K109" i="69" s="1"/>
  <c r="BG62" i="69"/>
  <c r="BG64" i="69" s="1"/>
  <c r="BG66" i="69" s="1"/>
  <c r="K148" i="69"/>
  <c r="K150" i="69" s="1"/>
  <c r="K152" i="69" s="1"/>
  <c r="BG148" i="69"/>
  <c r="DC62" i="69"/>
  <c r="CM19" i="69"/>
  <c r="CM21" i="69" s="1"/>
  <c r="BG19" i="69"/>
  <c r="BG21" i="69" s="1"/>
  <c r="AA19" i="69"/>
  <c r="AA21" i="69" s="1"/>
  <c r="AA148" i="69"/>
  <c r="AA150" i="69" s="1"/>
  <c r="AQ19" i="69"/>
  <c r="AQ21" i="69" s="1"/>
  <c r="BG225" i="69"/>
  <c r="K225" i="69"/>
  <c r="AO229" i="69"/>
  <c r="AO231" i="69" s="1"/>
  <c r="BE186" i="69"/>
  <c r="BE188" i="69" s="1"/>
  <c r="BE190" i="69" s="1"/>
  <c r="CK182" i="69"/>
  <c r="AQ182" i="69"/>
  <c r="AA225" i="69"/>
  <c r="I186" i="69"/>
  <c r="I188" i="69" s="1"/>
  <c r="I190" i="69" s="1"/>
  <c r="Y229" i="69"/>
  <c r="Y231" i="69" s="1"/>
  <c r="Y233" i="69" s="1"/>
  <c r="BW225" i="69"/>
  <c r="AA182" i="69"/>
  <c r="BU225" i="69"/>
  <c r="BU186" i="69"/>
  <c r="BU188" i="69" s="1"/>
  <c r="I143" i="69"/>
  <c r="I145" i="69" s="1"/>
  <c r="I147" i="69" s="1"/>
  <c r="AO100" i="69"/>
  <c r="AO102" i="69" s="1"/>
  <c r="BG182" i="69"/>
  <c r="DA143" i="69"/>
  <c r="DA145" i="69" s="1"/>
  <c r="AO186" i="69"/>
  <c r="AO188" i="69" s="1"/>
  <c r="BE143" i="69"/>
  <c r="BE145" i="69" s="1"/>
  <c r="BE147" i="69" s="1"/>
  <c r="AA143" i="69"/>
  <c r="AA145" i="69" s="1"/>
  <c r="DS100" i="69"/>
  <c r="DS102" i="69" s="1"/>
  <c r="CM100" i="69"/>
  <c r="CM102" i="69" s="1"/>
  <c r="BG100" i="69"/>
  <c r="BG102" i="69" s="1"/>
  <c r="I100" i="69"/>
  <c r="I102" i="69" s="1"/>
  <c r="I104" i="69" s="1"/>
  <c r="K182" i="69"/>
  <c r="K143" i="69"/>
  <c r="K145" i="69" s="1"/>
  <c r="K147" i="69" s="1"/>
  <c r="CM139" i="69"/>
  <c r="K100" i="69"/>
  <c r="K102" i="69" s="1"/>
  <c r="K104" i="69" s="1"/>
  <c r="BE229" i="69"/>
  <c r="BE231" i="69" s="1"/>
  <c r="Y186" i="69"/>
  <c r="Y188" i="69" s="1"/>
  <c r="AQ143" i="69"/>
  <c r="AQ145" i="69" s="1"/>
  <c r="AO143" i="69"/>
  <c r="AO145" i="69" s="1"/>
  <c r="BW100" i="69"/>
  <c r="BW102" i="69" s="1"/>
  <c r="AA100" i="69"/>
  <c r="AA102" i="69" s="1"/>
  <c r="EI57" i="69"/>
  <c r="EI59" i="69" s="1"/>
  <c r="DC57" i="69"/>
  <c r="DC59" i="69" s="1"/>
  <c r="DC61" i="69" s="1"/>
  <c r="BW57" i="69"/>
  <c r="BW59" i="69" s="1"/>
  <c r="Y57" i="69"/>
  <c r="Y59" i="69" s="1"/>
  <c r="Y61" i="69" s="1"/>
  <c r="DA14" i="69"/>
  <c r="DA16" i="69" s="1"/>
  <c r="AA14" i="69"/>
  <c r="AA16" i="69" s="1"/>
  <c r="BW14" i="69"/>
  <c r="BW16" i="69" s="1"/>
  <c r="BW18" i="69" s="1"/>
  <c r="Y14" i="69"/>
  <c r="Y16" i="69" s="1"/>
  <c r="BE100" i="69"/>
  <c r="BE102" i="69" s="1"/>
  <c r="AO57" i="69"/>
  <c r="AO59" i="69" s="1"/>
  <c r="BU143" i="69"/>
  <c r="BU145" i="69" s="1"/>
  <c r="BU100" i="69"/>
  <c r="BU102" i="69" s="1"/>
  <c r="BU104" i="69" s="1"/>
  <c r="Y100" i="69"/>
  <c r="Y102" i="69" s="1"/>
  <c r="EG57" i="69"/>
  <c r="EG59" i="69" s="1"/>
  <c r="DA57" i="69"/>
  <c r="DA59" i="69" s="1"/>
  <c r="DA61" i="69" s="1"/>
  <c r="BU57" i="69"/>
  <c r="BU59" i="69" s="1"/>
  <c r="BU61" i="69" s="1"/>
  <c r="DQ100" i="69"/>
  <c r="DQ102" i="69" s="1"/>
  <c r="AQ57" i="69"/>
  <c r="AQ59" i="69" s="1"/>
  <c r="DS14" i="69"/>
  <c r="DS16" i="69" s="1"/>
  <c r="BU14" i="69"/>
  <c r="BU16" i="69" s="1"/>
  <c r="AQ225" i="69"/>
  <c r="DC100" i="69"/>
  <c r="DC102" i="69" s="1"/>
  <c r="AA57" i="69"/>
  <c r="AA59" i="69" s="1"/>
  <c r="AA61" i="69" s="1"/>
  <c r="DC14" i="69"/>
  <c r="DC16" i="69" s="1"/>
  <c r="DS57" i="69"/>
  <c r="DS59" i="69" s="1"/>
  <c r="DS61" i="69" s="1"/>
  <c r="K57" i="69"/>
  <c r="K59" i="69" s="1"/>
  <c r="K61" i="69" s="1"/>
  <c r="EI14" i="69"/>
  <c r="EI16" i="69" s="1"/>
  <c r="K14" i="69"/>
  <c r="K16" i="69" s="1"/>
  <c r="K18" i="69" s="1"/>
  <c r="BE14" i="69"/>
  <c r="BE16" i="69" s="1"/>
  <c r="DQ14" i="69"/>
  <c r="DQ16" i="69" s="1"/>
  <c r="CK14" i="69"/>
  <c r="CK16" i="69" s="1"/>
  <c r="CK18" i="69" s="1"/>
  <c r="CM182" i="69"/>
  <c r="AO14" i="69"/>
  <c r="AO16" i="69" s="1"/>
  <c r="BW182" i="69"/>
  <c r="AQ100" i="69"/>
  <c r="AQ102" i="69" s="1"/>
  <c r="CK143" i="69"/>
  <c r="CK145" i="69" s="1"/>
  <c r="DA100" i="69"/>
  <c r="DA102" i="69" s="1"/>
  <c r="DC139" i="69"/>
  <c r="DQ57" i="69"/>
  <c r="DQ59" i="69" s="1"/>
  <c r="BG57" i="69"/>
  <c r="BG59" i="69" s="1"/>
  <c r="I57" i="69"/>
  <c r="I59" i="69" s="1"/>
  <c r="I61" i="69" s="1"/>
  <c r="EG14" i="69"/>
  <c r="EG16" i="69" s="1"/>
  <c r="BG14" i="69"/>
  <c r="BG16" i="69" s="1"/>
  <c r="I14" i="69"/>
  <c r="I16" i="69" s="1"/>
  <c r="I18" i="69" s="1"/>
  <c r="CK100" i="69"/>
  <c r="CK102" i="69" s="1"/>
  <c r="BE57" i="69"/>
  <c r="BE59" i="69" s="1"/>
  <c r="BE61" i="69" s="1"/>
  <c r="CM14" i="69"/>
  <c r="CM16" i="69" s="1"/>
  <c r="CM18" i="69" s="1"/>
  <c r="I229" i="69"/>
  <c r="I231" i="69" s="1"/>
  <c r="I233" i="69" s="1"/>
  <c r="Y143" i="69"/>
  <c r="Y145" i="69" s="1"/>
  <c r="AQ14" i="69"/>
  <c r="AQ16" i="69" s="1"/>
  <c r="CM57" i="69"/>
  <c r="CM59" i="69" s="1"/>
  <c r="CM61" i="69" s="1"/>
  <c r="CK57" i="69"/>
  <c r="CK59" i="69" s="1"/>
  <c r="CK61" i="69" s="1"/>
  <c r="BK251" i="69"/>
  <c r="BK208" i="69"/>
  <c r="G207" i="69"/>
  <c r="AU251" i="69"/>
  <c r="G250" i="69"/>
  <c r="AE251" i="69"/>
  <c r="AE208" i="69"/>
  <c r="BC207" i="69"/>
  <c r="O251" i="69"/>
  <c r="W250" i="69"/>
  <c r="CI207" i="69"/>
  <c r="CQ165" i="69"/>
  <c r="CY164" i="69"/>
  <c r="AM250" i="69"/>
  <c r="O165" i="69"/>
  <c r="BS164" i="69"/>
  <c r="W164" i="69"/>
  <c r="CQ122" i="69"/>
  <c r="G121" i="69"/>
  <c r="BC117" i="69"/>
  <c r="BS238" i="69"/>
  <c r="W203" i="69"/>
  <c r="CQ208" i="69"/>
  <c r="BC164" i="69"/>
  <c r="G164" i="69"/>
  <c r="BK122" i="69"/>
  <c r="AM121" i="69"/>
  <c r="DW122" i="69"/>
  <c r="CY117" i="69"/>
  <c r="AE79" i="69"/>
  <c r="DO74" i="69"/>
  <c r="AM207" i="69"/>
  <c r="DG122" i="69"/>
  <c r="W121" i="69"/>
  <c r="CI164" i="69"/>
  <c r="CA122" i="69"/>
  <c r="DW79" i="69"/>
  <c r="CI74" i="69"/>
  <c r="BC250" i="69"/>
  <c r="AU165" i="69"/>
  <c r="AU122" i="69"/>
  <c r="EM79" i="69"/>
  <c r="BC78" i="69"/>
  <c r="BC80" i="69" s="1"/>
  <c r="BC82" i="69" s="1"/>
  <c r="DG36" i="69"/>
  <c r="EE35" i="69"/>
  <c r="CI35" i="69"/>
  <c r="CA79" i="69"/>
  <c r="CY74" i="69"/>
  <c r="DO35" i="69"/>
  <c r="BS207" i="69"/>
  <c r="AE165" i="69"/>
  <c r="AE122" i="69"/>
  <c r="DG79" i="69"/>
  <c r="CQ36" i="69"/>
  <c r="O122" i="69"/>
  <c r="CI117" i="69"/>
  <c r="CQ79" i="69"/>
  <c r="AM78" i="69"/>
  <c r="CA36" i="69"/>
  <c r="AM35" i="69"/>
  <c r="EE74" i="69"/>
  <c r="BK36" i="69"/>
  <c r="AM164" i="69"/>
  <c r="AE36" i="69"/>
  <c r="BK79" i="69"/>
  <c r="W78" i="69"/>
  <c r="CA208" i="69"/>
  <c r="W35" i="69"/>
  <c r="O79" i="69"/>
  <c r="EM36" i="69"/>
  <c r="G35" i="69"/>
  <c r="G78" i="69"/>
  <c r="AU36" i="69"/>
  <c r="BK165" i="69"/>
  <c r="BC35" i="69"/>
  <c r="BC37" i="69" s="1"/>
  <c r="DG165" i="69"/>
  <c r="BS117" i="69"/>
  <c r="BS74" i="69"/>
  <c r="CA165" i="69"/>
  <c r="AU79" i="69"/>
  <c r="AU208" i="69"/>
  <c r="CY35" i="69"/>
  <c r="CA247" i="69"/>
  <c r="O208" i="69"/>
  <c r="DW36" i="69"/>
  <c r="DO117" i="69"/>
  <c r="BS35" i="69"/>
  <c r="AO235" i="69"/>
  <c r="BE235" i="69"/>
  <c r="CK149" i="69"/>
  <c r="BU106" i="69"/>
  <c r="BU235" i="69"/>
  <c r="DA149" i="69"/>
  <c r="BE149" i="69"/>
  <c r="DQ106" i="69"/>
  <c r="I235" i="69"/>
  <c r="Y192" i="69"/>
  <c r="AO110" i="69"/>
  <c r="AO112" i="69" s="1"/>
  <c r="CK106" i="69"/>
  <c r="AO67" i="69"/>
  <c r="AO69" i="69" s="1"/>
  <c r="DA63" i="69"/>
  <c r="I196" i="69"/>
  <c r="I198" i="69" s="1"/>
  <c r="I200" i="69" s="1"/>
  <c r="I153" i="69"/>
  <c r="I155" i="69" s="1"/>
  <c r="I157" i="69" s="1"/>
  <c r="AO149" i="69"/>
  <c r="I110" i="69"/>
  <c r="I112" i="69" s="1"/>
  <c r="I114" i="69" s="1"/>
  <c r="BU63" i="69"/>
  <c r="Y110" i="69"/>
  <c r="Y112" i="69" s="1"/>
  <c r="BE106" i="69"/>
  <c r="DA20" i="69"/>
  <c r="Y24" i="69"/>
  <c r="Y26" i="69" s="1"/>
  <c r="BE24" i="69"/>
  <c r="BE26" i="69" s="1"/>
  <c r="DA106" i="69"/>
  <c r="EG63" i="69"/>
  <c r="AO24" i="69"/>
  <c r="AO26" i="69" s="1"/>
  <c r="CK192" i="69"/>
  <c r="Y153" i="69"/>
  <c r="Y155" i="69" s="1"/>
  <c r="BU192" i="69"/>
  <c r="I24" i="69"/>
  <c r="I26" i="69" s="1"/>
  <c r="I28" i="69" s="1"/>
  <c r="DQ20" i="69"/>
  <c r="BU24" i="69"/>
  <c r="BU26" i="69" s="1"/>
  <c r="Y67" i="69"/>
  <c r="Y69" i="69" s="1"/>
  <c r="Y71" i="69" s="1"/>
  <c r="I67" i="69"/>
  <c r="I69" i="69" s="1"/>
  <c r="I71" i="69" s="1"/>
  <c r="CK20" i="69"/>
  <c r="EG20" i="69"/>
  <c r="CK63" i="69"/>
  <c r="CK65" i="69" s="1"/>
  <c r="CK67" i="69" s="1"/>
  <c r="BE67" i="69"/>
  <c r="BE69" i="69" s="1"/>
  <c r="BE71" i="69" s="1"/>
  <c r="Y235" i="69"/>
  <c r="BE192" i="69"/>
  <c r="AO192" i="69"/>
  <c r="BU149" i="69"/>
  <c r="DQ63" i="69"/>
  <c r="C223" i="69"/>
  <c r="C226" i="69" s="1"/>
  <c r="C228" i="69" s="1"/>
  <c r="AQ180" i="69"/>
  <c r="AM180" i="69"/>
  <c r="CM94" i="69"/>
  <c r="S8" i="69"/>
  <c r="S11" i="69" s="1"/>
  <c r="AY8" i="69"/>
  <c r="AY11" i="69" s="1"/>
  <c r="AY13" i="69" s="1"/>
  <c r="CU94" i="69"/>
  <c r="CU97" i="69" s="1"/>
  <c r="BY8" i="69"/>
  <c r="AU94" i="69"/>
  <c r="AC110" i="69"/>
  <c r="AC112" i="69" s="1"/>
  <c r="CQ201" i="69"/>
  <c r="CQ203" i="69" s="1"/>
  <c r="BK201" i="69"/>
  <c r="BK203" i="69" s="1"/>
  <c r="BK205" i="69" s="1"/>
  <c r="O244" i="69"/>
  <c r="O246" i="69" s="1"/>
  <c r="O248" i="69" s="1"/>
  <c r="AE115" i="69"/>
  <c r="AE117" i="69" s="1"/>
  <c r="AU244" i="69"/>
  <c r="AU246" i="69" s="1"/>
  <c r="CQ158" i="69"/>
  <c r="CQ160" i="69" s="1"/>
  <c r="CQ162" i="69" s="1"/>
  <c r="DG72" i="69"/>
  <c r="DG74" i="69" s="1"/>
  <c r="DG76" i="69" s="1"/>
  <c r="O72" i="69"/>
  <c r="O74" i="69" s="1"/>
  <c r="O76" i="69" s="1"/>
  <c r="CA244" i="69"/>
  <c r="AE158" i="69"/>
  <c r="AE160" i="69" s="1"/>
  <c r="O115" i="69"/>
  <c r="O117" i="69" s="1"/>
  <c r="O119" i="69" s="1"/>
  <c r="DG29" i="69"/>
  <c r="DG31" i="69" s="1"/>
  <c r="DW29" i="69"/>
  <c r="DW31" i="69" s="1"/>
  <c r="AU115" i="69"/>
  <c r="AU117" i="69" s="1"/>
  <c r="AU158" i="69"/>
  <c r="AU160" i="69" s="1"/>
  <c r="CQ72" i="69"/>
  <c r="CQ74" i="69" s="1"/>
  <c r="CQ76" i="69" s="1"/>
  <c r="CA115" i="69"/>
  <c r="CA117" i="69" s="1"/>
  <c r="CA119" i="69" s="1"/>
  <c r="CA29" i="69"/>
  <c r="CA31" i="69" s="1"/>
  <c r="CA33" i="69" s="1"/>
  <c r="EM29" i="69"/>
  <c r="EM31" i="69" s="1"/>
  <c r="EM33" i="69" s="1"/>
  <c r="E82" i="69"/>
  <c r="CA86" i="69"/>
  <c r="I20" i="70" s="1"/>
  <c r="BY86" i="69"/>
  <c r="H20" i="70" s="1"/>
  <c r="BW149" i="69"/>
  <c r="BY19" i="69"/>
  <c r="BY21" i="69" s="1"/>
  <c r="BY23" i="69" s="1"/>
  <c r="CW29" i="69"/>
  <c r="CW31" i="69" s="1"/>
  <c r="DW86" i="69"/>
  <c r="I23" i="70" s="1"/>
  <c r="DS86" i="69"/>
  <c r="G23" i="70" s="1"/>
  <c r="S158" i="69"/>
  <c r="S160" i="69" s="1"/>
  <c r="CA19" i="69"/>
  <c r="CA21" i="69" s="1"/>
  <c r="K24" i="69"/>
  <c r="K26" i="69" s="1"/>
  <c r="K28" i="69" s="1"/>
  <c r="DO86" i="69"/>
  <c r="E23" i="70" s="1"/>
  <c r="AY215" i="69"/>
  <c r="C39" i="70" s="1"/>
  <c r="BK215" i="69"/>
  <c r="I39" i="70" s="1"/>
  <c r="BG215" i="69"/>
  <c r="G39" i="70" s="1"/>
  <c r="BE215" i="69"/>
  <c r="F39" i="70" s="1"/>
  <c r="BC215" i="69"/>
  <c r="E39" i="70" s="1"/>
  <c r="BI215" i="69"/>
  <c r="H39" i="70" s="1"/>
  <c r="BA215" i="69"/>
  <c r="D39" i="70" s="1"/>
  <c r="DG19" i="69"/>
  <c r="DG21" i="69" s="1"/>
  <c r="CM63" i="69"/>
  <c r="AO129" i="69"/>
  <c r="F25" i="70" s="1"/>
  <c r="AI115" i="69"/>
  <c r="AI117" i="69" s="1"/>
  <c r="AA153" i="69"/>
  <c r="AA155" i="69" s="1"/>
  <c r="C172" i="69"/>
  <c r="C7" i="70" s="1"/>
  <c r="BI191" i="69"/>
  <c r="AY193" i="69"/>
  <c r="G21" i="68"/>
  <c r="BE249" i="69"/>
  <c r="BE252" i="69" s="1"/>
  <c r="U249" i="69"/>
  <c r="U252" i="69" s="1"/>
  <c r="C249" i="69"/>
  <c r="C252" i="69" s="1"/>
  <c r="AM249" i="69"/>
  <c r="I249" i="69"/>
  <c r="I252" i="69" s="1"/>
  <c r="BI245" i="69"/>
  <c r="BQ237" i="69"/>
  <c r="AY237" i="69"/>
  <c r="BS206" i="69"/>
  <c r="AU206" i="69"/>
  <c r="Y206" i="69"/>
  <c r="Y209" i="69" s="1"/>
  <c r="G206" i="69"/>
  <c r="BY202" i="69"/>
  <c r="AE249" i="69"/>
  <c r="G249" i="69"/>
  <c r="BG245" i="69"/>
  <c r="BO237" i="69"/>
  <c r="Y249" i="69"/>
  <c r="Y252" i="69" s="1"/>
  <c r="E249" i="69"/>
  <c r="E252" i="69" s="1"/>
  <c r="AS245" i="69"/>
  <c r="W249" i="69"/>
  <c r="BW245" i="69"/>
  <c r="BQ206" i="69"/>
  <c r="BQ209" i="69" s="1"/>
  <c r="AM206" i="69"/>
  <c r="S206" i="69"/>
  <c r="S209" i="69" s="1"/>
  <c r="BG202" i="69"/>
  <c r="S249" i="69"/>
  <c r="S252" i="69" s="1"/>
  <c r="AQ245" i="69"/>
  <c r="CQ206" i="69"/>
  <c r="BO206" i="69"/>
  <c r="BO209" i="69" s="1"/>
  <c r="AK206" i="69"/>
  <c r="AK209" i="69" s="1"/>
  <c r="O206" i="69"/>
  <c r="BE202" i="69"/>
  <c r="O249" i="69"/>
  <c r="AC245" i="69"/>
  <c r="BS237" i="69"/>
  <c r="BK206" i="69"/>
  <c r="AI206" i="69"/>
  <c r="AI209" i="69" s="1"/>
  <c r="M206" i="69"/>
  <c r="AQ202" i="69"/>
  <c r="CU163" i="69"/>
  <c r="CU166" i="69" s="1"/>
  <c r="CA163" i="69"/>
  <c r="BI163" i="69"/>
  <c r="AQ163" i="69"/>
  <c r="AQ166" i="69" s="1"/>
  <c r="Y163" i="69"/>
  <c r="Y166" i="69" s="1"/>
  <c r="G163" i="69"/>
  <c r="K249" i="69"/>
  <c r="K252" i="69" s="1"/>
  <c r="BA237" i="69"/>
  <c r="CI206" i="69"/>
  <c r="AY206" i="69"/>
  <c r="AY209" i="69" s="1"/>
  <c r="I206" i="69"/>
  <c r="I209" i="69" s="1"/>
  <c r="BW202" i="69"/>
  <c r="CQ163" i="69"/>
  <c r="BW163" i="69"/>
  <c r="BW166" i="69" s="1"/>
  <c r="BC163" i="69"/>
  <c r="AI163" i="69"/>
  <c r="AI166" i="69" s="1"/>
  <c r="M163" i="69"/>
  <c r="DE120" i="69"/>
  <c r="CM120" i="69"/>
  <c r="CM123" i="69" s="1"/>
  <c r="BU120" i="69"/>
  <c r="BU123" i="69" s="1"/>
  <c r="AK120" i="69"/>
  <c r="AK123" i="69" s="1"/>
  <c r="S120" i="69"/>
  <c r="S123" i="69" s="1"/>
  <c r="DQ116" i="69"/>
  <c r="AK237" i="69"/>
  <c r="CG206" i="69"/>
  <c r="CG209" i="69" s="1"/>
  <c r="AS206" i="69"/>
  <c r="E206" i="69"/>
  <c r="E209" i="69" s="1"/>
  <c r="BU202" i="69"/>
  <c r="CO163" i="69"/>
  <c r="BU163" i="69"/>
  <c r="BU166" i="69" s="1"/>
  <c r="BA163" i="69"/>
  <c r="BA166" i="69" s="1"/>
  <c r="AE163" i="69"/>
  <c r="K163" i="69"/>
  <c r="K166" i="69" s="1"/>
  <c r="BU249" i="69"/>
  <c r="BU252" i="69" s="1"/>
  <c r="AI237" i="69"/>
  <c r="CE206" i="69"/>
  <c r="CE209" i="69" s="1"/>
  <c r="AE206" i="69"/>
  <c r="C206" i="69"/>
  <c r="C209" i="69" s="1"/>
  <c r="AO202" i="69"/>
  <c r="CM163" i="69"/>
  <c r="CM166" i="69" s="1"/>
  <c r="BS163" i="69"/>
  <c r="AY163" i="69"/>
  <c r="AY166" i="69" s="1"/>
  <c r="AC163" i="69"/>
  <c r="I163" i="69"/>
  <c r="I166" i="69" s="1"/>
  <c r="DU120" i="69"/>
  <c r="DA120" i="69"/>
  <c r="DA123" i="69" s="1"/>
  <c r="BQ120" i="69"/>
  <c r="BQ123" i="69" s="1"/>
  <c r="AE120" i="69"/>
  <c r="M120" i="69"/>
  <c r="CY116" i="69"/>
  <c r="M249" i="69"/>
  <c r="AA245" i="69"/>
  <c r="BC206" i="69"/>
  <c r="CO202" i="69"/>
  <c r="CI163" i="69"/>
  <c r="BE163" i="69"/>
  <c r="BE166" i="69" s="1"/>
  <c r="U163" i="69"/>
  <c r="U166" i="69" s="1"/>
  <c r="DK120" i="69"/>
  <c r="DK123" i="69" s="1"/>
  <c r="CK120" i="69"/>
  <c r="CK123" i="69" s="1"/>
  <c r="BK120" i="69"/>
  <c r="AO120" i="69"/>
  <c r="AO123" i="69" s="1"/>
  <c r="O120" i="69"/>
  <c r="BS116" i="69"/>
  <c r="EM77" i="69"/>
  <c r="DS77" i="69"/>
  <c r="DS80" i="69" s="1"/>
  <c r="DA77" i="69"/>
  <c r="DA80" i="69" s="1"/>
  <c r="AY77" i="69"/>
  <c r="AY80" i="69" s="1"/>
  <c r="AE77" i="69"/>
  <c r="M77" i="69"/>
  <c r="EG73" i="69"/>
  <c r="BA206" i="69"/>
  <c r="BA209" i="69" s="1"/>
  <c r="CM202" i="69"/>
  <c r="CG163" i="69"/>
  <c r="CG166" i="69" s="1"/>
  <c r="AU163" i="69"/>
  <c r="S163" i="69"/>
  <c r="S166" i="69" s="1"/>
  <c r="DG120" i="69"/>
  <c r="CG120" i="69"/>
  <c r="CG123" i="69" s="1"/>
  <c r="BI120" i="69"/>
  <c r="AM120" i="69"/>
  <c r="K120" i="69"/>
  <c r="K123" i="69" s="1"/>
  <c r="BC116" i="69"/>
  <c r="AC206" i="69"/>
  <c r="CK202" i="69"/>
  <c r="CK203" i="69" s="1"/>
  <c r="DG163" i="69"/>
  <c r="CE163" i="69"/>
  <c r="CE166" i="69" s="1"/>
  <c r="AS163" i="69"/>
  <c r="O163" i="69"/>
  <c r="DA159" i="69"/>
  <c r="DC120" i="69"/>
  <c r="DC123" i="69" s="1"/>
  <c r="CE120" i="69"/>
  <c r="CE123" i="69" s="1"/>
  <c r="BG120" i="69"/>
  <c r="BG123" i="69" s="1"/>
  <c r="AI120" i="69"/>
  <c r="AI123" i="69" s="1"/>
  <c r="I120" i="69"/>
  <c r="I123" i="69" s="1"/>
  <c r="EI77" i="69"/>
  <c r="EI80" i="69" s="1"/>
  <c r="CW77" i="69"/>
  <c r="CW80" i="69" s="1"/>
  <c r="BK77" i="69"/>
  <c r="AS77" i="69"/>
  <c r="AA77" i="69"/>
  <c r="AA80" i="69" s="1"/>
  <c r="I77" i="69"/>
  <c r="I80" i="69" s="1"/>
  <c r="DO73" i="69"/>
  <c r="BY245" i="69"/>
  <c r="DC163" i="69"/>
  <c r="DC166" i="69" s="1"/>
  <c r="BG163" i="69"/>
  <c r="BG166" i="69" s="1"/>
  <c r="CW120" i="69"/>
  <c r="CW123" i="69" s="1"/>
  <c r="BO120" i="69"/>
  <c r="BO123" i="69" s="1"/>
  <c r="Y120" i="69"/>
  <c r="Y123" i="69" s="1"/>
  <c r="EK77" i="69"/>
  <c r="EK80" i="69" s="1"/>
  <c r="DK77" i="69"/>
  <c r="DK80" i="69" s="1"/>
  <c r="CM77" i="69"/>
  <c r="CM80" i="69" s="1"/>
  <c r="AO77" i="69"/>
  <c r="AO80" i="69" s="1"/>
  <c r="S77" i="69"/>
  <c r="S80" i="69" s="1"/>
  <c r="EK34" i="69"/>
  <c r="DS34" i="69"/>
  <c r="DS37" i="69" s="1"/>
  <c r="DA34" i="69"/>
  <c r="DA37" i="69" s="1"/>
  <c r="CI34" i="69"/>
  <c r="BQ34" i="69"/>
  <c r="BQ37" i="69" s="1"/>
  <c r="AY34" i="69"/>
  <c r="AY37" i="69" s="1"/>
  <c r="AE34" i="69"/>
  <c r="I34" i="69"/>
  <c r="I37" i="69" s="1"/>
  <c r="DQ34" i="69"/>
  <c r="DQ37" i="69" s="1"/>
  <c r="CY34" i="69"/>
  <c r="CG34" i="69"/>
  <c r="CG37" i="69" s="1"/>
  <c r="AU34" i="69"/>
  <c r="AC34" i="69"/>
  <c r="AC37" i="69" s="1"/>
  <c r="G34" i="69"/>
  <c r="CO120" i="69"/>
  <c r="G120" i="69"/>
  <c r="DO116" i="69"/>
  <c r="DC77" i="69"/>
  <c r="DC80" i="69" s="1"/>
  <c r="BE77" i="69"/>
  <c r="BE80" i="69" s="1"/>
  <c r="G77" i="69"/>
  <c r="EE34" i="69"/>
  <c r="CU34" i="69"/>
  <c r="CU37" i="69" s="1"/>
  <c r="BI34" i="69"/>
  <c r="C34" i="69"/>
  <c r="C37" i="69" s="1"/>
  <c r="BK249" i="69"/>
  <c r="U206" i="69"/>
  <c r="U209" i="69" s="1"/>
  <c r="CY163" i="69"/>
  <c r="CY166" i="69" s="1"/>
  <c r="AO163" i="69"/>
  <c r="AO166" i="69" s="1"/>
  <c r="CU120" i="69"/>
  <c r="CU123" i="69" s="1"/>
  <c r="BE120" i="69"/>
  <c r="BE123" i="69" s="1"/>
  <c r="W120" i="69"/>
  <c r="DG77" i="69"/>
  <c r="CK77" i="69"/>
  <c r="CK80" i="69" s="1"/>
  <c r="BI77" i="69"/>
  <c r="AM77" i="69"/>
  <c r="O77" i="69"/>
  <c r="EI34" i="69"/>
  <c r="EI37" i="69" s="1"/>
  <c r="BO34" i="69"/>
  <c r="BO37" i="69" s="1"/>
  <c r="AQ34" i="69"/>
  <c r="AQ37" i="69" s="1"/>
  <c r="BC249" i="69"/>
  <c r="K206" i="69"/>
  <c r="K209" i="69" s="1"/>
  <c r="CW163" i="69"/>
  <c r="CW166" i="69" s="1"/>
  <c r="AM163" i="69"/>
  <c r="CQ120" i="69"/>
  <c r="U120" i="69"/>
  <c r="U123" i="69" s="1"/>
  <c r="EC77" i="69"/>
  <c r="EC80" i="69" s="1"/>
  <c r="DE77" i="69"/>
  <c r="BG77" i="69"/>
  <c r="BG80" i="69" s="1"/>
  <c r="AK77" i="69"/>
  <c r="AK80" i="69" s="1"/>
  <c r="K77" i="69"/>
  <c r="K80" i="69" s="1"/>
  <c r="EG34" i="69"/>
  <c r="EG37" i="69" s="1"/>
  <c r="DO34" i="69"/>
  <c r="CW34" i="69"/>
  <c r="CW37" i="69" s="1"/>
  <c r="CE34" i="69"/>
  <c r="CE37" i="69" s="1"/>
  <c r="BK34" i="69"/>
  <c r="AS34" i="69"/>
  <c r="AA34" i="69"/>
  <c r="AA37" i="69" s="1"/>
  <c r="E34" i="69"/>
  <c r="E37" i="69" s="1"/>
  <c r="AU249" i="69"/>
  <c r="CK163" i="69"/>
  <c r="CK166" i="69" s="1"/>
  <c r="AK163" i="69"/>
  <c r="AK166" i="69" s="1"/>
  <c r="DW120" i="69"/>
  <c r="AU120" i="69"/>
  <c r="EA77" i="69"/>
  <c r="EA80" i="69" s="1"/>
  <c r="CA77" i="69"/>
  <c r="AI77" i="69"/>
  <c r="AI80" i="69" s="1"/>
  <c r="DM34" i="69"/>
  <c r="DM37" i="69" s="1"/>
  <c r="CA34" i="69"/>
  <c r="Y34" i="69"/>
  <c r="Y37" i="69" s="1"/>
  <c r="CU6" i="69"/>
  <c r="CE29" i="69"/>
  <c r="CE31" i="69" s="1"/>
  <c r="K34" i="69"/>
  <c r="K37" i="69" s="1"/>
  <c r="BA34" i="69"/>
  <c r="BA37" i="69" s="1"/>
  <c r="CK34" i="69"/>
  <c r="CK37" i="69" s="1"/>
  <c r="DU34" i="69"/>
  <c r="EK35" i="69"/>
  <c r="M86" i="69"/>
  <c r="H5" i="70" s="1"/>
  <c r="I86" i="69"/>
  <c r="F5" i="70" s="1"/>
  <c r="C86" i="69"/>
  <c r="C5" i="70" s="1"/>
  <c r="G86" i="69"/>
  <c r="E5" i="70" s="1"/>
  <c r="E86" i="69"/>
  <c r="D5" i="70" s="1"/>
  <c r="O62" i="69"/>
  <c r="O64" i="69" s="1"/>
  <c r="O66" i="69" s="1"/>
  <c r="AM63" i="69"/>
  <c r="BS73" i="69"/>
  <c r="U77" i="69"/>
  <c r="U80" i="69" s="1"/>
  <c r="DM77" i="69"/>
  <c r="DM80" i="69" s="1"/>
  <c r="BI78" i="69"/>
  <c r="CI116" i="69"/>
  <c r="E120" i="69"/>
  <c r="E123" i="69" s="1"/>
  <c r="CA120" i="69"/>
  <c r="BY163" i="69"/>
  <c r="D81" i="70"/>
  <c r="G172" i="69"/>
  <c r="E7" i="70" s="1"/>
  <c r="H297" i="70"/>
  <c r="CA172" i="69"/>
  <c r="I34" i="70" s="1"/>
  <c r="E172" i="69"/>
  <c r="D7" i="70" s="1"/>
  <c r="BO178" i="69"/>
  <c r="BK191" i="69"/>
  <c r="AA206" i="69"/>
  <c r="AA209" i="69" s="1"/>
  <c r="AA235" i="69"/>
  <c r="K239" i="69"/>
  <c r="K241" i="69" s="1"/>
  <c r="K243" i="69" s="1"/>
  <c r="BG235" i="69"/>
  <c r="AQ192" i="69"/>
  <c r="BW235" i="69"/>
  <c r="AQ235" i="69"/>
  <c r="DC149" i="69"/>
  <c r="BG149" i="69"/>
  <c r="K196" i="69"/>
  <c r="K198" i="69" s="1"/>
  <c r="K200" i="69" s="1"/>
  <c r="BW192" i="69"/>
  <c r="AQ153" i="69"/>
  <c r="AQ155" i="69" s="1"/>
  <c r="K153" i="69"/>
  <c r="K155" i="69" s="1"/>
  <c r="K157" i="69" s="1"/>
  <c r="DS106" i="69"/>
  <c r="BG67" i="69"/>
  <c r="BG69" i="69" s="1"/>
  <c r="BG71" i="69" s="1"/>
  <c r="CM149" i="69"/>
  <c r="K110" i="69"/>
  <c r="K112" i="69" s="1"/>
  <c r="K114" i="69" s="1"/>
  <c r="BG192" i="69"/>
  <c r="BG110" i="69"/>
  <c r="BG112" i="69" s="1"/>
  <c r="DS63" i="69"/>
  <c r="AA24" i="69"/>
  <c r="AA26" i="69" s="1"/>
  <c r="AQ24" i="69"/>
  <c r="AQ26" i="69" s="1"/>
  <c r="AQ28" i="69" s="1"/>
  <c r="AA196" i="69"/>
  <c r="AA198" i="69" s="1"/>
  <c r="DC106" i="69"/>
  <c r="AQ67" i="69"/>
  <c r="AQ69" i="69" s="1"/>
  <c r="EI63" i="69"/>
  <c r="DC63" i="69"/>
  <c r="K67" i="69"/>
  <c r="K69" i="69" s="1"/>
  <c r="K71" i="69" s="1"/>
  <c r="BG24" i="69"/>
  <c r="BG26" i="69" s="1"/>
  <c r="CM192" i="69"/>
  <c r="BW24" i="69"/>
  <c r="BW26" i="69" s="1"/>
  <c r="EA43" i="69"/>
  <c r="EM43" i="69"/>
  <c r="EK43" i="69"/>
  <c r="DE86" i="69"/>
  <c r="H22" i="70" s="1"/>
  <c r="DA86" i="69"/>
  <c r="F22" i="70" s="1"/>
  <c r="DC86" i="69"/>
  <c r="G22" i="70" s="1"/>
  <c r="CU86" i="69"/>
  <c r="C22" i="70" s="1"/>
  <c r="CY86" i="69"/>
  <c r="E22" i="70" s="1"/>
  <c r="CW86" i="69"/>
  <c r="D22" i="70" s="1"/>
  <c r="AS19" i="69"/>
  <c r="AS21" i="69" s="1"/>
  <c r="EE43" i="69"/>
  <c r="CM86" i="69"/>
  <c r="G21" i="70" s="1"/>
  <c r="CI86" i="69"/>
  <c r="E21" i="70" s="1"/>
  <c r="DE19" i="69"/>
  <c r="DE21" i="69" s="1"/>
  <c r="BS86" i="69"/>
  <c r="E20" i="70" s="1"/>
  <c r="CM24" i="69"/>
  <c r="CM26" i="69" s="1"/>
  <c r="CM28" i="69" s="1"/>
  <c r="CO19" i="69"/>
  <c r="CO21" i="69" s="1"/>
  <c r="BA63" i="69"/>
  <c r="W77" i="69"/>
  <c r="BU77" i="69"/>
  <c r="BU80" i="69" s="1"/>
  <c r="DQ77" i="69"/>
  <c r="DQ80" i="69" s="1"/>
  <c r="CO86" i="69"/>
  <c r="H21" i="70" s="1"/>
  <c r="BW110" i="69"/>
  <c r="BW112" i="69" s="1"/>
  <c r="BW114" i="69" s="1"/>
  <c r="AA120" i="69"/>
  <c r="AA123" i="69" s="1"/>
  <c r="C129" i="69"/>
  <c r="C6" i="70" s="1"/>
  <c r="C163" i="69"/>
  <c r="C166" i="69" s="1"/>
  <c r="DE163" i="69"/>
  <c r="M215" i="69"/>
  <c r="H8" i="70" s="1"/>
  <c r="I215" i="69"/>
  <c r="F8" i="70" s="1"/>
  <c r="K215" i="69"/>
  <c r="G8" i="70" s="1"/>
  <c r="G215" i="69"/>
  <c r="E8" i="70" s="1"/>
  <c r="E215" i="69"/>
  <c r="D8" i="70" s="1"/>
  <c r="O215" i="69"/>
  <c r="I8" i="70" s="1"/>
  <c r="C215" i="69"/>
  <c r="C8" i="70" s="1"/>
  <c r="W202" i="69"/>
  <c r="BI206" i="69"/>
  <c r="CA245" i="69"/>
  <c r="BC86" i="69"/>
  <c r="E19" i="70" s="1"/>
  <c r="AY86" i="69"/>
  <c r="C19" i="70" s="1"/>
  <c r="BG86" i="69"/>
  <c r="G19" i="70" s="1"/>
  <c r="BE86" i="69"/>
  <c r="F19" i="70" s="1"/>
  <c r="BA86" i="69"/>
  <c r="D19" i="70" s="1"/>
  <c r="CQ172" i="69"/>
  <c r="I35" i="70" s="1"/>
  <c r="AS234" i="69"/>
  <c r="BY234" i="69"/>
  <c r="BI234" i="69"/>
  <c r="M234" i="69"/>
  <c r="M236" i="69" s="1"/>
  <c r="M238" i="69" s="1"/>
  <c r="M191" i="69"/>
  <c r="M193" i="69" s="1"/>
  <c r="M195" i="69" s="1"/>
  <c r="BY191" i="69"/>
  <c r="AS191" i="69"/>
  <c r="CO148" i="69"/>
  <c r="DE105" i="69"/>
  <c r="DE107" i="69" s="1"/>
  <c r="AC234" i="69"/>
  <c r="DE148" i="69"/>
  <c r="M105" i="69"/>
  <c r="M107" i="69" s="1"/>
  <c r="M109" i="69" s="1"/>
  <c r="DU105" i="69"/>
  <c r="DU107" i="69" s="1"/>
  <c r="BY105" i="69"/>
  <c r="BY107" i="69" s="1"/>
  <c r="BY109" i="69" s="1"/>
  <c r="AC62" i="69"/>
  <c r="AC64" i="69" s="1"/>
  <c r="AC66" i="69" s="1"/>
  <c r="CO191" i="69"/>
  <c r="BY148" i="69"/>
  <c r="BY150" i="69" s="1"/>
  <c r="AS148" i="69"/>
  <c r="AS150" i="69" s="1"/>
  <c r="M148" i="69"/>
  <c r="M150" i="69" s="1"/>
  <c r="M152" i="69" s="1"/>
  <c r="AS105" i="69"/>
  <c r="AS107" i="69" s="1"/>
  <c r="BI62" i="69"/>
  <c r="BI64" i="69" s="1"/>
  <c r="BI66" i="69" s="1"/>
  <c r="DU62" i="69"/>
  <c r="DU64" i="69" s="1"/>
  <c r="DU66" i="69" s="1"/>
  <c r="DU19" i="69"/>
  <c r="DU21" i="69" s="1"/>
  <c r="EK19" i="69"/>
  <c r="EK21" i="69" s="1"/>
  <c r="BI105" i="69"/>
  <c r="BI107" i="69" s="1"/>
  <c r="AC191" i="69"/>
  <c r="AC193" i="69" s="1"/>
  <c r="EK62" i="69"/>
  <c r="EK64" i="69" s="1"/>
  <c r="AC105" i="69"/>
  <c r="AC107" i="69" s="1"/>
  <c r="CO62" i="69"/>
  <c r="CO64" i="69" s="1"/>
  <c r="CO66" i="69" s="1"/>
  <c r="AS62" i="69"/>
  <c r="AS64" i="69" s="1"/>
  <c r="AC19" i="69"/>
  <c r="AC21" i="69" s="1"/>
  <c r="AC148" i="69"/>
  <c r="AC150" i="69" s="1"/>
  <c r="CU82" i="69"/>
  <c r="BK86" i="69"/>
  <c r="I19" i="70" s="1"/>
  <c r="AA110" i="69"/>
  <c r="AA112" i="69" s="1"/>
  <c r="BK234" i="69"/>
  <c r="O191" i="69"/>
  <c r="O193" i="69" s="1"/>
  <c r="O195" i="69" s="1"/>
  <c r="CA234" i="69"/>
  <c r="AE234" i="69"/>
  <c r="AE191" i="69"/>
  <c r="AE193" i="69" s="1"/>
  <c r="DG148" i="69"/>
  <c r="DW105" i="69"/>
  <c r="DW107" i="69" s="1"/>
  <c r="O148" i="69"/>
  <c r="O150" i="69" s="1"/>
  <c r="O152" i="69" s="1"/>
  <c r="AE105" i="69"/>
  <c r="AE107" i="69" s="1"/>
  <c r="AU62" i="69"/>
  <c r="AU64" i="69" s="1"/>
  <c r="O234" i="69"/>
  <c r="O236" i="69" s="1"/>
  <c r="O238" i="69" s="1"/>
  <c r="CQ191" i="69"/>
  <c r="CA148" i="69"/>
  <c r="CA150" i="69" s="1"/>
  <c r="AU148" i="69"/>
  <c r="AU150" i="69" s="1"/>
  <c r="AU105" i="69"/>
  <c r="AU107" i="69" s="1"/>
  <c r="AU191" i="69"/>
  <c r="CQ105" i="69"/>
  <c r="CQ107" i="69" s="1"/>
  <c r="CA62" i="69"/>
  <c r="CA64" i="69" s="1"/>
  <c r="CA66" i="69" s="1"/>
  <c r="CQ148" i="69"/>
  <c r="CA105" i="69"/>
  <c r="CA107" i="69" s="1"/>
  <c r="CA109" i="69" s="1"/>
  <c r="EM19" i="69"/>
  <c r="EM21" i="69" s="1"/>
  <c r="AE19" i="69"/>
  <c r="AE21" i="69" s="1"/>
  <c r="DG105" i="69"/>
  <c r="DG107" i="69" s="1"/>
  <c r="CQ62" i="69"/>
  <c r="CQ64" i="69" s="1"/>
  <c r="CQ66" i="69" s="1"/>
  <c r="AE148" i="69"/>
  <c r="AE150" i="69" s="1"/>
  <c r="BK105" i="69"/>
  <c r="BK107" i="69" s="1"/>
  <c r="BK109" i="69" s="1"/>
  <c r="EM62" i="69"/>
  <c r="EM64" i="69" s="1"/>
  <c r="AU19" i="69"/>
  <c r="AU21" i="69" s="1"/>
  <c r="AU23" i="69" s="1"/>
  <c r="C236" i="69"/>
  <c r="AY236" i="69"/>
  <c r="S236" i="69"/>
  <c r="AI193" i="69"/>
  <c r="AI236" i="69"/>
  <c r="BO193" i="69"/>
  <c r="BO236" i="69"/>
  <c r="CE150" i="69"/>
  <c r="BO107" i="69"/>
  <c r="CE193" i="69"/>
  <c r="C201" i="69"/>
  <c r="C203" i="69" s="1"/>
  <c r="C205" i="69" s="1"/>
  <c r="S193" i="69"/>
  <c r="C158" i="69"/>
  <c r="C160" i="69" s="1"/>
  <c r="C162" i="69" s="1"/>
  <c r="AY150" i="69"/>
  <c r="AI158" i="69"/>
  <c r="AI160" i="69" s="1"/>
  <c r="BO150" i="69"/>
  <c r="S115" i="69"/>
  <c r="S117" i="69" s="1"/>
  <c r="AI72" i="69"/>
  <c r="AI74" i="69" s="1"/>
  <c r="DK64" i="69"/>
  <c r="DK107" i="69"/>
  <c r="EA64" i="69"/>
  <c r="BE29" i="69"/>
  <c r="BE31" i="69" s="1"/>
  <c r="BU29" i="69"/>
  <c r="BU31" i="69" s="1"/>
  <c r="BC29" i="69"/>
  <c r="BC31" i="69" s="1"/>
  <c r="S29" i="69"/>
  <c r="S31" i="69" s="1"/>
  <c r="C115" i="69"/>
  <c r="C117" i="69" s="1"/>
  <c r="C119" i="69" s="1"/>
  <c r="CU107" i="69"/>
  <c r="AY29" i="69"/>
  <c r="AY31" i="69" s="1"/>
  <c r="AY33" i="69" s="1"/>
  <c r="AY72" i="69"/>
  <c r="AY74" i="69" s="1"/>
  <c r="AY76" i="69" s="1"/>
  <c r="C72" i="69"/>
  <c r="C74" i="69" s="1"/>
  <c r="C76" i="69" s="1"/>
  <c r="BS29" i="69"/>
  <c r="BS31" i="69" s="1"/>
  <c r="BA29" i="69"/>
  <c r="BA31" i="69" s="1"/>
  <c r="AI29" i="69"/>
  <c r="AI31" i="69" s="1"/>
  <c r="EA21" i="69"/>
  <c r="DA29" i="69"/>
  <c r="DA31" i="69" s="1"/>
  <c r="BQ29" i="69"/>
  <c r="BQ31" i="69" s="1"/>
  <c r="BQ33" i="69" s="1"/>
  <c r="C29" i="69"/>
  <c r="C31" i="69" s="1"/>
  <c r="C33" i="69" s="1"/>
  <c r="BO29" i="69"/>
  <c r="BO31" i="69" s="1"/>
  <c r="BO33" i="69" s="1"/>
  <c r="DM86" i="69"/>
  <c r="D23" i="70" s="1"/>
  <c r="E21" i="68"/>
  <c r="CI43" i="69"/>
  <c r="E14" i="70" s="1"/>
  <c r="DS20" i="69"/>
  <c r="CY29" i="69"/>
  <c r="CY31" i="69" s="1"/>
  <c r="EG43" i="69"/>
  <c r="AQ110" i="69"/>
  <c r="AQ112" i="69" s="1"/>
  <c r="I43" i="69"/>
  <c r="F4" i="70" s="1"/>
  <c r="K43" i="69"/>
  <c r="G4" i="70" s="1"/>
  <c r="M62" i="69"/>
  <c r="M64" i="69" s="1"/>
  <c r="M66" i="69" s="1"/>
  <c r="AA67" i="69"/>
  <c r="AA69" i="69" s="1"/>
  <c r="AA71" i="69" s="1"/>
  <c r="AK235" i="69"/>
  <c r="CG192" i="69"/>
  <c r="E235" i="69"/>
  <c r="U192" i="69"/>
  <c r="AK149" i="69"/>
  <c r="BA192" i="69"/>
  <c r="E192" i="69"/>
  <c r="CG149" i="69"/>
  <c r="BQ106" i="69"/>
  <c r="BQ235" i="69"/>
  <c r="BA149" i="69"/>
  <c r="BA106" i="69"/>
  <c r="E67" i="69"/>
  <c r="E69" i="69" s="1"/>
  <c r="E71" i="69" s="1"/>
  <c r="EC63" i="69"/>
  <c r="BQ192" i="69"/>
  <c r="BA235" i="69"/>
  <c r="DM106" i="69"/>
  <c r="CG106" i="69"/>
  <c r="AK106" i="69"/>
  <c r="CW63" i="69"/>
  <c r="AK63" i="69"/>
  <c r="U235" i="69"/>
  <c r="U63" i="69"/>
  <c r="E24" i="69"/>
  <c r="E26" i="69" s="1"/>
  <c r="E28" i="69" s="1"/>
  <c r="EC20" i="69"/>
  <c r="CW106" i="69"/>
  <c r="U24" i="69"/>
  <c r="U26" i="69" s="1"/>
  <c r="AK192" i="69"/>
  <c r="CW149" i="69"/>
  <c r="BQ20" i="69"/>
  <c r="U106" i="69"/>
  <c r="U149" i="69"/>
  <c r="BQ63" i="69"/>
  <c r="CW20" i="69"/>
  <c r="BI19" i="69"/>
  <c r="BI21" i="69" s="1"/>
  <c r="AK20" i="69"/>
  <c r="AK22" i="69" s="1"/>
  <c r="C43" i="69"/>
  <c r="C4" i="70" s="1"/>
  <c r="S86" i="69"/>
  <c r="C17" i="70" s="1"/>
  <c r="AE86" i="69"/>
  <c r="I17" i="70" s="1"/>
  <c r="AC86" i="69"/>
  <c r="H17" i="70" s="1"/>
  <c r="AA86" i="69"/>
  <c r="G17" i="70" s="1"/>
  <c r="Y86" i="69"/>
  <c r="F17" i="70" s="1"/>
  <c r="DE62" i="69"/>
  <c r="DE64" i="69" s="1"/>
  <c r="DE66" i="69" s="1"/>
  <c r="DM63" i="69"/>
  <c r="CY106" i="69"/>
  <c r="AM106" i="69"/>
  <c r="W67" i="69"/>
  <c r="W69" i="69" s="1"/>
  <c r="W71" i="69" s="1"/>
  <c r="DO106" i="69"/>
  <c r="CI106" i="69"/>
  <c r="EE20" i="69"/>
  <c r="BS20" i="69"/>
  <c r="CY20" i="69"/>
  <c r="EE63" i="69"/>
  <c r="BC106" i="69"/>
  <c r="BS63" i="69"/>
  <c r="W106" i="69"/>
  <c r="CY63" i="69"/>
  <c r="W24" i="69"/>
  <c r="W26" i="69" s="1"/>
  <c r="AM24" i="69"/>
  <c r="AM26" i="69" s="1"/>
  <c r="G51" i="68"/>
  <c r="AU250" i="69"/>
  <c r="M250" i="69"/>
  <c r="CA246" i="69"/>
  <c r="AC246" i="69"/>
  <c r="AS207" i="69"/>
  <c r="CO203" i="69"/>
  <c r="BY246" i="69"/>
  <c r="BK207" i="69"/>
  <c r="BI246" i="69"/>
  <c r="CQ207" i="69"/>
  <c r="M207" i="69"/>
  <c r="AU207" i="69"/>
  <c r="O250" i="69"/>
  <c r="AS246" i="69"/>
  <c r="CA207" i="69"/>
  <c r="BI164" i="69"/>
  <c r="O164" i="69"/>
  <c r="BI207" i="69"/>
  <c r="DG121" i="69"/>
  <c r="AU121" i="69"/>
  <c r="AE250" i="69"/>
  <c r="DG164" i="69"/>
  <c r="BK164" i="69"/>
  <c r="M164" i="69"/>
  <c r="DE164" i="69"/>
  <c r="CQ121" i="69"/>
  <c r="CQ164" i="69"/>
  <c r="AE164" i="69"/>
  <c r="DE121" i="69"/>
  <c r="AC121" i="69"/>
  <c r="CQ78" i="69"/>
  <c r="AS78" i="69"/>
  <c r="BK250" i="69"/>
  <c r="CO164" i="69"/>
  <c r="AC164" i="69"/>
  <c r="CO121" i="69"/>
  <c r="AE207" i="69"/>
  <c r="BY203" i="69"/>
  <c r="CA121" i="69"/>
  <c r="O121" i="69"/>
  <c r="EM78" i="69"/>
  <c r="CA78" i="69"/>
  <c r="AE78" i="69"/>
  <c r="AS121" i="69"/>
  <c r="AS123" i="69" s="1"/>
  <c r="DW78" i="69"/>
  <c r="CO35" i="69"/>
  <c r="AU35" i="69"/>
  <c r="DW35" i="69"/>
  <c r="AS35" i="69"/>
  <c r="DW121" i="69"/>
  <c r="AC78" i="69"/>
  <c r="AC80" i="69" s="1"/>
  <c r="AE121" i="69"/>
  <c r="DU78" i="69"/>
  <c r="AU78" i="69"/>
  <c r="BY35" i="69"/>
  <c r="BY37" i="69" s="1"/>
  <c r="AC207" i="69"/>
  <c r="CA164" i="69"/>
  <c r="M121" i="69"/>
  <c r="DG78" i="69"/>
  <c r="DU35" i="69"/>
  <c r="CA35" i="69"/>
  <c r="O207" i="69"/>
  <c r="BY164" i="69"/>
  <c r="DE78" i="69"/>
  <c r="AE35" i="69"/>
  <c r="DK6" i="69"/>
  <c r="DO33" i="69" s="1"/>
  <c r="BK19" i="69"/>
  <c r="BK21" i="69" s="1"/>
  <c r="CQ19" i="69"/>
  <c r="CQ21" i="69" s="1"/>
  <c r="DC24" i="69"/>
  <c r="DC26" i="69" s="1"/>
  <c r="CI33" i="69"/>
  <c r="U34" i="69"/>
  <c r="U37" i="69" s="1"/>
  <c r="BE34" i="69"/>
  <c r="BE37" i="69" s="1"/>
  <c r="CO34" i="69"/>
  <c r="EA34" i="69"/>
  <c r="EA37" i="69" s="1"/>
  <c r="BK35" i="69"/>
  <c r="E43" i="69"/>
  <c r="D4" i="70" s="1"/>
  <c r="CE43" i="69"/>
  <c r="C14" i="70" s="1"/>
  <c r="AE62" i="69"/>
  <c r="AE64" i="69" s="1"/>
  <c r="AE66" i="69" s="1"/>
  <c r="BK62" i="69"/>
  <c r="BK64" i="69" s="1"/>
  <c r="BK66" i="69" s="1"/>
  <c r="DG62" i="69"/>
  <c r="DG64" i="69" s="1"/>
  <c r="DG66" i="69" s="1"/>
  <c r="BC63" i="69"/>
  <c r="DO63" i="69"/>
  <c r="CY73" i="69"/>
  <c r="Y77" i="69"/>
  <c r="Y80" i="69" s="1"/>
  <c r="BW77" i="69"/>
  <c r="BW80" i="69" s="1"/>
  <c r="DU77" i="69"/>
  <c r="BY78" i="69"/>
  <c r="CQ86" i="69"/>
  <c r="I21" i="70" s="1"/>
  <c r="BY129" i="69"/>
  <c r="H27" i="70" s="1"/>
  <c r="BU129" i="69"/>
  <c r="F27" i="70" s="1"/>
  <c r="BW129" i="69"/>
  <c r="G27" i="70" s="1"/>
  <c r="BS129" i="69"/>
  <c r="E27" i="70" s="1"/>
  <c r="BO129" i="69"/>
  <c r="C27" i="70" s="1"/>
  <c r="BQ129" i="69"/>
  <c r="D27" i="70" s="1"/>
  <c r="E129" i="69"/>
  <c r="D6" i="70" s="1"/>
  <c r="M129" i="69"/>
  <c r="H6" i="70" s="1"/>
  <c r="K129" i="69"/>
  <c r="G6" i="70" s="1"/>
  <c r="I129" i="69"/>
  <c r="F6" i="70" s="1"/>
  <c r="G104" i="69"/>
  <c r="O105" i="69"/>
  <c r="O107" i="69" s="1"/>
  <c r="O109" i="69" s="1"/>
  <c r="CO105" i="69"/>
  <c r="CO107" i="69" s="1"/>
  <c r="CE107" i="69"/>
  <c r="AC120" i="69"/>
  <c r="DM120" i="69"/>
  <c r="DM123" i="69" s="1"/>
  <c r="G129" i="69"/>
  <c r="E6" i="70" s="1"/>
  <c r="BK148" i="69"/>
  <c r="BK150" i="69" s="1"/>
  <c r="E163" i="69"/>
  <c r="E166" i="69" s="1"/>
  <c r="E353" i="70"/>
  <c r="BA236" i="69"/>
  <c r="AK236" i="69"/>
  <c r="E236" i="69"/>
  <c r="BQ193" i="69"/>
  <c r="CG193" i="69"/>
  <c r="E201" i="69"/>
  <c r="E203" i="69" s="1"/>
  <c r="E205" i="69" s="1"/>
  <c r="U193" i="69"/>
  <c r="E158" i="69"/>
  <c r="E160" i="69" s="1"/>
  <c r="E162" i="69" s="1"/>
  <c r="BA150" i="69"/>
  <c r="U158" i="69"/>
  <c r="U160" i="69" s="1"/>
  <c r="DM107" i="69"/>
  <c r="CG107" i="69"/>
  <c r="AK193" i="69"/>
  <c r="BA72" i="69"/>
  <c r="BA74" i="69" s="1"/>
  <c r="BA76" i="69" s="1"/>
  <c r="BQ236" i="69"/>
  <c r="CW150" i="69"/>
  <c r="AK115" i="69"/>
  <c r="AK117" i="69" s="1"/>
  <c r="W14" i="69"/>
  <c r="W16" i="69" s="1"/>
  <c r="G19" i="69"/>
  <c r="G21" i="69" s="1"/>
  <c r="G23" i="69" s="1"/>
  <c r="CY19" i="69"/>
  <c r="DQ19" i="69"/>
  <c r="DQ22" i="69" s="1"/>
  <c r="BO20" i="69"/>
  <c r="EA20" i="69"/>
  <c r="CK29" i="69"/>
  <c r="CK31" i="69" s="1"/>
  <c r="EE29" i="69"/>
  <c r="EE31" i="69" s="1"/>
  <c r="BS57" i="69"/>
  <c r="BS59" i="69" s="1"/>
  <c r="BS61" i="69" s="1"/>
  <c r="W62" i="69"/>
  <c r="W64" i="69" s="1"/>
  <c r="W66" i="69" s="1"/>
  <c r="BS62" i="69"/>
  <c r="DO62" i="69"/>
  <c r="Y72" i="69"/>
  <c r="Y74" i="69" s="1"/>
  <c r="Y76" i="69" s="1"/>
  <c r="EG72" i="69"/>
  <c r="EG74" i="69" s="1"/>
  <c r="S92" i="69"/>
  <c r="W100" i="69"/>
  <c r="W102" i="69" s="1"/>
  <c r="CW107" i="69"/>
  <c r="E115" i="69"/>
  <c r="E117" i="69" s="1"/>
  <c r="E119" i="69" s="1"/>
  <c r="CK115" i="69"/>
  <c r="CK117" i="69" s="1"/>
  <c r="CU149" i="69"/>
  <c r="BE158" i="69"/>
  <c r="BE160" i="69" s="1"/>
  <c r="AI192" i="69"/>
  <c r="I244" i="69"/>
  <c r="I246" i="69" s="1"/>
  <c r="I248" i="69" s="1"/>
  <c r="BC236" i="69"/>
  <c r="W236" i="69"/>
  <c r="AM236" i="69"/>
  <c r="G236" i="69"/>
  <c r="BS193" i="69"/>
  <c r="G201" i="69"/>
  <c r="G203" i="69" s="1"/>
  <c r="W193" i="69"/>
  <c r="G158" i="69"/>
  <c r="G160" i="69" s="1"/>
  <c r="BC150" i="69"/>
  <c r="W158" i="69"/>
  <c r="W160" i="69" s="1"/>
  <c r="BC193" i="69"/>
  <c r="AM158" i="69"/>
  <c r="AM160" i="69" s="1"/>
  <c r="DO115" i="69"/>
  <c r="BS115" i="69"/>
  <c r="BS72" i="69"/>
  <c r="BS236" i="69"/>
  <c r="CY150" i="69"/>
  <c r="CY115" i="69"/>
  <c r="AM115" i="69"/>
  <c r="AM117" i="69" s="1"/>
  <c r="EE72" i="69"/>
  <c r="G62" i="69"/>
  <c r="G64" i="69" s="1"/>
  <c r="G66" i="69" s="1"/>
  <c r="Y62" i="69"/>
  <c r="Y64" i="69" s="1"/>
  <c r="Y66" i="69" s="1"/>
  <c r="BU62" i="69"/>
  <c r="S63" i="69"/>
  <c r="E72" i="69"/>
  <c r="E74" i="69" s="1"/>
  <c r="E76" i="69" s="1"/>
  <c r="BC72" i="69"/>
  <c r="BC74" i="69" s="1"/>
  <c r="DA72" i="69"/>
  <c r="DA74" i="69" s="1"/>
  <c r="DA76" i="69" s="1"/>
  <c r="G115" i="69"/>
  <c r="G117" i="69" s="1"/>
  <c r="BQ150" i="69"/>
  <c r="S258" i="69"/>
  <c r="C42" i="70" s="1"/>
  <c r="AE258" i="69"/>
  <c r="I42" i="70" s="1"/>
  <c r="AC258" i="69"/>
  <c r="H42" i="70" s="1"/>
  <c r="AA258" i="69"/>
  <c r="G42" i="70" s="1"/>
  <c r="W258" i="69"/>
  <c r="E42" i="70" s="1"/>
  <c r="U258" i="69"/>
  <c r="D42" i="70" s="1"/>
  <c r="U236" i="69"/>
  <c r="W234" i="69"/>
  <c r="BC191" i="69"/>
  <c r="BS191" i="69"/>
  <c r="BC234" i="69"/>
  <c r="G234" i="69"/>
  <c r="CI191" i="69"/>
  <c r="AM234" i="69"/>
  <c r="AM148" i="69"/>
  <c r="AM151" i="69" s="1"/>
  <c r="BC105" i="69"/>
  <c r="BS234" i="69"/>
  <c r="BC148" i="69"/>
  <c r="BS148" i="69"/>
  <c r="CI105" i="69"/>
  <c r="G191" i="69"/>
  <c r="CY62" i="69"/>
  <c r="W148" i="69"/>
  <c r="CY148" i="69"/>
  <c r="DO105" i="69"/>
  <c r="BS105" i="69"/>
  <c r="W105" i="69"/>
  <c r="EE62" i="69"/>
  <c r="W235" i="69"/>
  <c r="W192" i="69"/>
  <c r="BC235" i="69"/>
  <c r="CI192" i="69"/>
  <c r="BC192" i="69"/>
  <c r="AM235" i="69"/>
  <c r="CI149" i="69"/>
  <c r="CI151" i="69" s="1"/>
  <c r="BS235" i="69"/>
  <c r="CY149" i="69"/>
  <c r="W149" i="69"/>
  <c r="BS192" i="69"/>
  <c r="CI19" i="69"/>
  <c r="CI22" i="69" s="1"/>
  <c r="CI24" i="69" s="1"/>
  <c r="AM225" i="69"/>
  <c r="CI182" i="69"/>
  <c r="AM182" i="69"/>
  <c r="W225" i="69"/>
  <c r="BS139" i="69"/>
  <c r="BS225" i="69"/>
  <c r="G143" i="69"/>
  <c r="G145" i="69" s="1"/>
  <c r="G147" i="69" s="1"/>
  <c r="BC139" i="69"/>
  <c r="BC182" i="69"/>
  <c r="CI96" i="69"/>
  <c r="G182" i="69"/>
  <c r="CI139" i="69"/>
  <c r="BC225" i="69"/>
  <c r="AM100" i="69"/>
  <c r="AM102" i="69" s="1"/>
  <c r="I234" i="69"/>
  <c r="AO234" i="69"/>
  <c r="BU191" i="69"/>
  <c r="BE234" i="69"/>
  <c r="CK191" i="69"/>
  <c r="BU234" i="69"/>
  <c r="BE148" i="69"/>
  <c r="BU105" i="69"/>
  <c r="BU148" i="69"/>
  <c r="Y234" i="69"/>
  <c r="AO191" i="69"/>
  <c r="I191" i="69"/>
  <c r="I193" i="69" s="1"/>
  <c r="I195" i="69" s="1"/>
  <c r="CK148" i="69"/>
  <c r="DA105" i="69"/>
  <c r="Y148" i="69"/>
  <c r="Y150" i="69" s="1"/>
  <c r="DQ62" i="69"/>
  <c r="BE191" i="69"/>
  <c r="DA148" i="69"/>
  <c r="DQ105" i="69"/>
  <c r="DQ108" i="69" s="1"/>
  <c r="Y105" i="69"/>
  <c r="Y107" i="69" s="1"/>
  <c r="C235" i="69"/>
  <c r="BO192" i="69"/>
  <c r="AI235" i="69"/>
  <c r="CE192" i="69"/>
  <c r="S192" i="69"/>
  <c r="BO149" i="69"/>
  <c r="AI149" i="69"/>
  <c r="AY192" i="69"/>
  <c r="C192" i="69"/>
  <c r="CU106" i="69"/>
  <c r="AI106" i="69"/>
  <c r="C149" i="69"/>
  <c r="CE63" i="69"/>
  <c r="AY63" i="69"/>
  <c r="BO235" i="69"/>
  <c r="AY149" i="69"/>
  <c r="AY106" i="69"/>
  <c r="CE149" i="69"/>
  <c r="I201" i="69"/>
  <c r="I203" i="69" s="1"/>
  <c r="I205" i="69" s="1"/>
  <c r="BU236" i="69"/>
  <c r="Y158" i="69"/>
  <c r="Y160" i="69" s="1"/>
  <c r="BU115" i="69"/>
  <c r="BU117" i="69" s="1"/>
  <c r="BU119" i="69" s="1"/>
  <c r="BE236" i="69"/>
  <c r="DA158" i="69"/>
  <c r="BU158" i="69"/>
  <c r="BU160" i="69" s="1"/>
  <c r="AO158" i="69"/>
  <c r="AO160" i="69" s="1"/>
  <c r="AO236" i="69"/>
  <c r="I115" i="69"/>
  <c r="I117" i="69" s="1"/>
  <c r="I119" i="69" s="1"/>
  <c r="I158" i="69"/>
  <c r="I160" i="69" s="1"/>
  <c r="I162" i="69" s="1"/>
  <c r="DA115" i="69"/>
  <c r="DA117" i="69" s="1"/>
  <c r="AO115" i="69"/>
  <c r="AO117" i="69" s="1"/>
  <c r="CK72" i="69"/>
  <c r="CK74" i="69" s="1"/>
  <c r="CK76" i="69" s="1"/>
  <c r="BC14" i="69"/>
  <c r="BC16" i="69" s="1"/>
  <c r="BS19" i="69"/>
  <c r="CK19" i="69"/>
  <c r="U29" i="69"/>
  <c r="U31" i="69" s="1"/>
  <c r="AM29" i="69"/>
  <c r="AM31" i="69" s="1"/>
  <c r="CI53" i="69"/>
  <c r="I62" i="69"/>
  <c r="I64" i="69" s="1"/>
  <c r="I66" i="69" s="1"/>
  <c r="DK63" i="69"/>
  <c r="G72" i="69"/>
  <c r="G74" i="69" s="1"/>
  <c r="BE72" i="69"/>
  <c r="BE74" i="69" s="1"/>
  <c r="BE76" i="69" s="1"/>
  <c r="AM105" i="69"/>
  <c r="DK106" i="69"/>
  <c r="U115" i="69"/>
  <c r="U117" i="69" s="1"/>
  <c r="BC115" i="69"/>
  <c r="BQ172" i="69"/>
  <c r="D34" i="70" s="1"/>
  <c r="BY172" i="69"/>
  <c r="H34" i="70" s="1"/>
  <c r="BC149" i="69"/>
  <c r="BS150" i="69"/>
  <c r="CK158" i="69"/>
  <c r="CK160" i="69" s="1"/>
  <c r="AM191" i="69"/>
  <c r="AM192" i="69"/>
  <c r="AM193" i="69"/>
  <c r="BK258" i="69"/>
  <c r="I44" i="70" s="1"/>
  <c r="BC258" i="69"/>
  <c r="E44" i="70" s="1"/>
  <c r="AY258" i="69"/>
  <c r="C44" i="70" s="1"/>
  <c r="BG258" i="69"/>
  <c r="G44" i="70" s="1"/>
  <c r="BE258" i="69"/>
  <c r="F44" i="70" s="1"/>
  <c r="BA258" i="69"/>
  <c r="D44" i="70" s="1"/>
  <c r="Y236" i="69"/>
  <c r="M172" i="69"/>
  <c r="H7" i="70" s="1"/>
  <c r="O172" i="69"/>
  <c r="I7" i="70" s="1"/>
  <c r="K172" i="69"/>
  <c r="G7" i="70" s="1"/>
  <c r="F7" i="70"/>
  <c r="S215" i="69"/>
  <c r="C37" i="70" s="1"/>
  <c r="CI215" i="69"/>
  <c r="E41" i="70" s="1"/>
  <c r="CE215" i="69"/>
  <c r="C41" i="70" s="1"/>
  <c r="B97" i="70"/>
  <c r="C258" i="69"/>
  <c r="C9" i="70" s="1"/>
  <c r="AI221" i="69"/>
  <c r="C166" i="70"/>
  <c r="E258" i="69"/>
  <c r="D9" i="70" s="1"/>
  <c r="G258" i="69"/>
  <c r="E9" i="70" s="1"/>
  <c r="I258" i="69"/>
  <c r="F9" i="70" s="1"/>
  <c r="C182" i="70"/>
  <c r="C214" i="70"/>
  <c r="C246" i="70"/>
  <c r="BU65" i="69" l="1"/>
  <c r="S30" i="48"/>
  <c r="BQ75" i="69"/>
  <c r="DQ117" i="69"/>
  <c r="DQ86" i="69"/>
  <c r="F23" i="70" s="1"/>
  <c r="BK29" i="69"/>
  <c r="BK31" i="69" s="1"/>
  <c r="BK33" i="69" s="1"/>
  <c r="AE72" i="69"/>
  <c r="AE74" i="69" s="1"/>
  <c r="AE76" i="69" s="1"/>
  <c r="CQ115" i="69"/>
  <c r="CQ117" i="69" s="1"/>
  <c r="CQ119" i="69" s="1"/>
  <c r="BS8" i="69"/>
  <c r="BE108" i="69"/>
  <c r="AQ18" i="69"/>
  <c r="BG61" i="69"/>
  <c r="BW109" i="69"/>
  <c r="AO43" i="69"/>
  <c r="F11" i="70" s="1"/>
  <c r="BY162" i="69"/>
  <c r="BU76" i="69"/>
  <c r="BE33" i="69"/>
  <c r="BG114" i="69"/>
  <c r="BG129" i="69"/>
  <c r="G26" i="70" s="1"/>
  <c r="H89" i="50" s="1"/>
  <c r="DG158" i="69"/>
  <c r="DG160" i="69" s="1"/>
  <c r="O158" i="69"/>
  <c r="O160" i="69" s="1"/>
  <c r="O162" i="69" s="1"/>
  <c r="O201" i="69"/>
  <c r="O203" i="69" s="1"/>
  <c r="O205" i="69" s="1"/>
  <c r="CM51" i="69"/>
  <c r="DQ61" i="69"/>
  <c r="BE104" i="69"/>
  <c r="BW104" i="69"/>
  <c r="AM23" i="69"/>
  <c r="BQ168" i="69"/>
  <c r="DQ76" i="69"/>
  <c r="BK147" i="69"/>
  <c r="AO254" i="69"/>
  <c r="CO158" i="69"/>
  <c r="CO160" i="69" s="1"/>
  <c r="CO162" i="69" s="1"/>
  <c r="EE75" i="69"/>
  <c r="U148" i="69"/>
  <c r="CY129" i="69"/>
  <c r="E29" i="70" s="1"/>
  <c r="F92" i="50" s="1"/>
  <c r="AS29" i="69"/>
  <c r="AS31" i="69" s="1"/>
  <c r="W37" i="69"/>
  <c r="U191" i="69"/>
  <c r="CW129" i="69"/>
  <c r="D29" i="70" s="1"/>
  <c r="E92" i="50" s="1"/>
  <c r="CI37" i="69"/>
  <c r="BO168" i="69"/>
  <c r="DM129" i="69"/>
  <c r="D30" i="70" s="1"/>
  <c r="DS125" i="69"/>
  <c r="CI8" i="69"/>
  <c r="CK8" i="69"/>
  <c r="CA180" i="69"/>
  <c r="BS180" i="69"/>
  <c r="O137" i="69"/>
  <c r="CQ51" i="69"/>
  <c r="DC51" i="69"/>
  <c r="DG8" i="69"/>
  <c r="DA137" i="69"/>
  <c r="CI180" i="69"/>
  <c r="AA215" i="69"/>
  <c r="G37" i="70" s="1"/>
  <c r="H100" i="50" s="1"/>
  <c r="CO37" i="69"/>
  <c r="CO39" i="69" s="1"/>
  <c r="BK51" i="69"/>
  <c r="AO51" i="69"/>
  <c r="DU51" i="69"/>
  <c r="DE137" i="69"/>
  <c r="W180" i="69"/>
  <c r="AM86" i="69"/>
  <c r="E18" i="70" s="1"/>
  <c r="AE215" i="69"/>
  <c r="I37" i="70" s="1"/>
  <c r="J100" i="50" s="1"/>
  <c r="AA200" i="69"/>
  <c r="DC129" i="69"/>
  <c r="G29" i="70" s="1"/>
  <c r="DK129" i="69"/>
  <c r="C30" i="70" s="1"/>
  <c r="D93" i="50" s="1"/>
  <c r="DO75" i="69"/>
  <c r="C62" i="69"/>
  <c r="C64" i="69" s="1"/>
  <c r="C66" i="69" s="1"/>
  <c r="DC115" i="69"/>
  <c r="DC117" i="69" s="1"/>
  <c r="DC119" i="69" s="1"/>
  <c r="M67" i="69"/>
  <c r="M69" i="69" s="1"/>
  <c r="M71" i="69" s="1"/>
  <c r="DA94" i="69"/>
  <c r="EG51" i="69"/>
  <c r="DK51" i="69"/>
  <c r="DK54" i="69" s="1"/>
  <c r="DK56" i="69" s="1"/>
  <c r="CE94" i="69"/>
  <c r="CE97" i="69" s="1"/>
  <c r="CE99" i="69" s="1"/>
  <c r="EM51" i="69"/>
  <c r="CI51" i="69"/>
  <c r="CO51" i="69"/>
  <c r="C180" i="69"/>
  <c r="C183" i="69" s="1"/>
  <c r="C185" i="69" s="1"/>
  <c r="S180" i="69"/>
  <c r="S183" i="69" s="1"/>
  <c r="S185" i="69" s="1"/>
  <c r="CQ180" i="69"/>
  <c r="BK223" i="69"/>
  <c r="Y28" i="69"/>
  <c r="AQ86" i="69"/>
  <c r="G18" i="70" s="1"/>
  <c r="H81" i="50" s="1"/>
  <c r="M229" i="69"/>
  <c r="M231" i="69" s="1"/>
  <c r="M233" i="69" s="1"/>
  <c r="AA43" i="69"/>
  <c r="G10" i="70" s="1"/>
  <c r="H73" i="50" s="1"/>
  <c r="CU19" i="69"/>
  <c r="CI18" i="69"/>
  <c r="U215" i="69"/>
  <c r="D37" i="70" s="1"/>
  <c r="E100" i="50" s="1"/>
  <c r="BI223" i="69"/>
  <c r="BG51" i="69"/>
  <c r="DE94" i="69"/>
  <c r="Y223" i="69"/>
  <c r="Y194" i="69"/>
  <c r="Y196" i="69" s="1"/>
  <c r="DO8" i="69"/>
  <c r="DW94" i="69"/>
  <c r="BY24" i="69"/>
  <c r="BY26" i="69" s="1"/>
  <c r="BY28" i="69" s="1"/>
  <c r="AE94" i="69"/>
  <c r="AS137" i="69"/>
  <c r="BY80" i="69"/>
  <c r="DW109" i="69"/>
  <c r="AC195" i="69"/>
  <c r="BI129" i="69"/>
  <c r="H26" i="70" s="1"/>
  <c r="DO37" i="69"/>
  <c r="BO62" i="69"/>
  <c r="BO65" i="69" s="1"/>
  <c r="BO67" i="69" s="1"/>
  <c r="AS72" i="69"/>
  <c r="AS74" i="69" s="1"/>
  <c r="AS76" i="69" s="1"/>
  <c r="DC72" i="69"/>
  <c r="DC74" i="69" s="1"/>
  <c r="DC76" i="69" s="1"/>
  <c r="DE67" i="69"/>
  <c r="DE69" i="69" s="1"/>
  <c r="DE71" i="69" s="1"/>
  <c r="BU137" i="69"/>
  <c r="AY94" i="69"/>
  <c r="AY97" i="69" s="1"/>
  <c r="AY99" i="69" s="1"/>
  <c r="AQ8" i="69"/>
  <c r="G180" i="69"/>
  <c r="AM137" i="69"/>
  <c r="DS51" i="69"/>
  <c r="DG51" i="69"/>
  <c r="BY180" i="69"/>
  <c r="G223" i="69"/>
  <c r="O223" i="69"/>
  <c r="AY223" i="69"/>
  <c r="AY226" i="69" s="1"/>
  <c r="AY228" i="69" s="1"/>
  <c r="BS37" i="69"/>
  <c r="BS39" i="69" s="1"/>
  <c r="CA225" i="69"/>
  <c r="DA104" i="69"/>
  <c r="AA195" i="69"/>
  <c r="DQ110" i="69"/>
  <c r="AA94" i="69"/>
  <c r="DE51" i="69"/>
  <c r="DQ104" i="69"/>
  <c r="DO129" i="69"/>
  <c r="E30" i="70" s="1"/>
  <c r="O33" i="48" s="1"/>
  <c r="BG223" i="69"/>
  <c r="AO151" i="69"/>
  <c r="CK162" i="69"/>
  <c r="BG137" i="69"/>
  <c r="BO94" i="69"/>
  <c r="BO97" i="69" s="1"/>
  <c r="BO99" i="69" s="1"/>
  <c r="AC223" i="69"/>
  <c r="BU172" i="69"/>
  <c r="F34" i="70" s="1"/>
  <c r="G97" i="50" s="1"/>
  <c r="CI108" i="69"/>
  <c r="DU29" i="69"/>
  <c r="DU31" i="69" s="1"/>
  <c r="BI109" i="69"/>
  <c r="BY152" i="69"/>
  <c r="BK129" i="69"/>
  <c r="I26" i="70" s="1"/>
  <c r="J89" i="50" s="1"/>
  <c r="BI158" i="69"/>
  <c r="BI160" i="69" s="1"/>
  <c r="BI162" i="69" s="1"/>
  <c r="BG201" i="69"/>
  <c r="Y94" i="69"/>
  <c r="Y137" i="69"/>
  <c r="W8" i="69"/>
  <c r="BG180" i="69"/>
  <c r="CM137" i="69"/>
  <c r="BI94" i="69"/>
  <c r="CQ137" i="69"/>
  <c r="AM223" i="69"/>
  <c r="BO137" i="69"/>
  <c r="BO140" i="69" s="1"/>
  <c r="BO142" i="69" s="1"/>
  <c r="BE223" i="69"/>
  <c r="BE110" i="69"/>
  <c r="Y190" i="69"/>
  <c r="CM104" i="69"/>
  <c r="CO8" i="69"/>
  <c r="DU109" i="69"/>
  <c r="C8" i="69"/>
  <c r="C11" i="69" s="1"/>
  <c r="C13" i="69" s="1"/>
  <c r="DW51" i="69"/>
  <c r="AM51" i="69"/>
  <c r="DA108" i="69"/>
  <c r="DA110" i="69" s="1"/>
  <c r="BU162" i="69"/>
  <c r="CK151" i="69"/>
  <c r="CO109" i="69"/>
  <c r="DM19" i="69"/>
  <c r="BA234" i="69"/>
  <c r="CA152" i="69"/>
  <c r="AE195" i="69"/>
  <c r="CO172" i="69"/>
  <c r="H35" i="70" s="1"/>
  <c r="BC129" i="69"/>
  <c r="E26" i="70" s="1"/>
  <c r="F89" i="50" s="1"/>
  <c r="BS209" i="69"/>
  <c r="DU72" i="69"/>
  <c r="DU74" i="69" s="1"/>
  <c r="DU76" i="69" s="1"/>
  <c r="K201" i="69"/>
  <c r="K203" i="69" s="1"/>
  <c r="K205" i="69" s="1"/>
  <c r="CU51" i="69"/>
  <c r="CU54" i="69" s="1"/>
  <c r="CU56" i="69" s="1"/>
  <c r="G137" i="69"/>
  <c r="BI51" i="69"/>
  <c r="DA8" i="69"/>
  <c r="AI8" i="69"/>
  <c r="AI11" i="69" s="1"/>
  <c r="AI13" i="69" s="1"/>
  <c r="S51" i="69"/>
  <c r="S54" i="69" s="1"/>
  <c r="S56" i="69" s="1"/>
  <c r="DC94" i="69"/>
  <c r="S94" i="69"/>
  <c r="S97" i="69" s="1"/>
  <c r="BG94" i="69"/>
  <c r="CY137" i="69"/>
  <c r="BU223" i="69"/>
  <c r="BU147" i="69"/>
  <c r="DS104" i="69"/>
  <c r="D94" i="50"/>
  <c r="M34" i="48"/>
  <c r="D92" i="50"/>
  <c r="M32" i="48"/>
  <c r="E104" i="50"/>
  <c r="N44" i="48"/>
  <c r="E74" i="50"/>
  <c r="N14" i="48"/>
  <c r="P37" i="48"/>
  <c r="E69" i="50"/>
  <c r="N9" i="48"/>
  <c r="F77" i="50"/>
  <c r="O17" i="48"/>
  <c r="J82" i="50"/>
  <c r="S22" i="48"/>
  <c r="F104" i="50"/>
  <c r="O44" i="48"/>
  <c r="H97" i="50"/>
  <c r="Q37" i="48"/>
  <c r="I105" i="50"/>
  <c r="R45" i="48"/>
  <c r="I84" i="50"/>
  <c r="R24" i="48"/>
  <c r="E85" i="50"/>
  <c r="N25" i="48"/>
  <c r="E68" i="50"/>
  <c r="N8" i="48"/>
  <c r="G88" i="50"/>
  <c r="P28" i="48"/>
  <c r="K115" i="69"/>
  <c r="K117" i="69" s="1"/>
  <c r="K119" i="69" s="1"/>
  <c r="AE43" i="69"/>
  <c r="I10" i="70" s="1"/>
  <c r="F88" i="50"/>
  <c r="O28" i="48"/>
  <c r="D86" i="50"/>
  <c r="M26" i="48"/>
  <c r="H70" i="50"/>
  <c r="Q10" i="48"/>
  <c r="H67" i="50"/>
  <c r="Q7" i="48"/>
  <c r="I98" i="50"/>
  <c r="R38" i="48"/>
  <c r="J70" i="50"/>
  <c r="S10" i="48"/>
  <c r="J107" i="50"/>
  <c r="S47" i="48"/>
  <c r="E90" i="50"/>
  <c r="N30" i="48"/>
  <c r="H80" i="50"/>
  <c r="Q20" i="48"/>
  <c r="G67" i="50"/>
  <c r="P7" i="48"/>
  <c r="J98" i="50"/>
  <c r="S38" i="48"/>
  <c r="I71" i="50"/>
  <c r="R11" i="48"/>
  <c r="F83" i="50"/>
  <c r="O23" i="48"/>
  <c r="H102" i="50"/>
  <c r="Q42" i="48"/>
  <c r="AQ115" i="69"/>
  <c r="AQ117" i="69" s="1"/>
  <c r="AQ119" i="69" s="1"/>
  <c r="BG158" i="69"/>
  <c r="BG160" i="69" s="1"/>
  <c r="BG162" i="69" s="1"/>
  <c r="BG244" i="69"/>
  <c r="BG248" i="69" s="1"/>
  <c r="AQ201" i="69"/>
  <c r="AQ205" i="69" s="1"/>
  <c r="J72" i="50"/>
  <c r="S12" i="48"/>
  <c r="D72" i="50"/>
  <c r="M12" i="48"/>
  <c r="D100" i="50"/>
  <c r="M40" i="48"/>
  <c r="I70" i="50"/>
  <c r="R10" i="48"/>
  <c r="I97" i="50"/>
  <c r="R37" i="48"/>
  <c r="J105" i="50"/>
  <c r="S45" i="48"/>
  <c r="D90" i="50"/>
  <c r="M30" i="48"/>
  <c r="E19" i="69"/>
  <c r="E21" i="69" s="1"/>
  <c r="E23" i="69" s="1"/>
  <c r="I80" i="50"/>
  <c r="R20" i="48"/>
  <c r="CG19" i="69"/>
  <c r="CG22" i="69" s="1"/>
  <c r="CG24" i="69" s="1"/>
  <c r="BQ191" i="69"/>
  <c r="G99" i="50"/>
  <c r="P39" i="48"/>
  <c r="DG67" i="69"/>
  <c r="DG69" i="69" s="1"/>
  <c r="DG71" i="69" s="1"/>
  <c r="F85" i="50"/>
  <c r="O25" i="48"/>
  <c r="DA129" i="69"/>
  <c r="F29" i="70" s="1"/>
  <c r="E70" i="50"/>
  <c r="N10" i="48"/>
  <c r="Q29" i="48"/>
  <c r="F68" i="50"/>
  <c r="O8" i="48"/>
  <c r="BK80" i="69"/>
  <c r="BK82" i="69" s="1"/>
  <c r="J102" i="50"/>
  <c r="S42" i="48"/>
  <c r="S162" i="69"/>
  <c r="K29" i="69"/>
  <c r="K31" i="69" s="1"/>
  <c r="K33" i="69" s="1"/>
  <c r="K244" i="69"/>
  <c r="K246" i="69" s="1"/>
  <c r="K248" i="69" s="1"/>
  <c r="BG115" i="69"/>
  <c r="BG117" i="69" s="1"/>
  <c r="BG119" i="69" s="1"/>
  <c r="DS115" i="69"/>
  <c r="DS117" i="69" s="1"/>
  <c r="DS119" i="69" s="1"/>
  <c r="AQ244" i="69"/>
  <c r="AQ248" i="69" s="1"/>
  <c r="AQ250" i="69" s="1"/>
  <c r="F81" i="50"/>
  <c r="O21" i="48"/>
  <c r="E75" i="50"/>
  <c r="N15" i="48"/>
  <c r="D108" i="50"/>
  <c r="M48" i="48"/>
  <c r="I72" i="50"/>
  <c r="R12" i="48"/>
  <c r="W23" i="69"/>
  <c r="W147" i="69"/>
  <c r="D98" i="50"/>
  <c r="M38" i="48"/>
  <c r="I81" i="50"/>
  <c r="R21" i="48"/>
  <c r="J68" i="50"/>
  <c r="S8" i="48"/>
  <c r="E97" i="50"/>
  <c r="N37" i="48"/>
  <c r="J80" i="50"/>
  <c r="S20" i="48"/>
  <c r="AU153" i="69"/>
  <c r="AU155" i="69" s="1"/>
  <c r="AU157" i="69" s="1"/>
  <c r="D85" i="50"/>
  <c r="M25" i="48"/>
  <c r="D68" i="50"/>
  <c r="M8" i="48"/>
  <c r="D102" i="50"/>
  <c r="M42" i="48"/>
  <c r="Q21" i="48"/>
  <c r="S39" i="69"/>
  <c r="G96" i="50"/>
  <c r="P36" i="48"/>
  <c r="I100" i="50"/>
  <c r="R40" i="48"/>
  <c r="E107" i="50"/>
  <c r="N47" i="48"/>
  <c r="DA119" i="69"/>
  <c r="H90" i="50"/>
  <c r="Q30" i="48"/>
  <c r="CY75" i="69"/>
  <c r="D77" i="50"/>
  <c r="M17" i="48"/>
  <c r="D80" i="50"/>
  <c r="M20" i="48"/>
  <c r="U62" i="69"/>
  <c r="AE153" i="69"/>
  <c r="AE155" i="69" s="1"/>
  <c r="AE157" i="69" s="1"/>
  <c r="AS109" i="69"/>
  <c r="G82" i="50"/>
  <c r="P22" i="48"/>
  <c r="J71" i="50"/>
  <c r="S11" i="48"/>
  <c r="CM158" i="69"/>
  <c r="CM160" i="69" s="1"/>
  <c r="CM162" i="69" s="1"/>
  <c r="F84" i="50"/>
  <c r="O24" i="48"/>
  <c r="H85" i="50"/>
  <c r="Q25" i="48"/>
  <c r="DG129" i="69"/>
  <c r="I29" i="70" s="1"/>
  <c r="G68" i="50"/>
  <c r="P8" i="48"/>
  <c r="F86" i="50"/>
  <c r="O26" i="48"/>
  <c r="G86" i="50"/>
  <c r="P26" i="48"/>
  <c r="BW72" i="69"/>
  <c r="BW74" i="69" s="1"/>
  <c r="BW76" i="69" s="1"/>
  <c r="BW29" i="69"/>
  <c r="BW31" i="69" s="1"/>
  <c r="BW33" i="69" s="1"/>
  <c r="EI72" i="69"/>
  <c r="EI74" i="69" s="1"/>
  <c r="EI76" i="69" s="1"/>
  <c r="BW158" i="69"/>
  <c r="BW160" i="69" s="1"/>
  <c r="BW244" i="69"/>
  <c r="AU100" i="69"/>
  <c r="AU102" i="69" s="1"/>
  <c r="AU104" i="69" s="1"/>
  <c r="Y147" i="69"/>
  <c r="CM108" i="69"/>
  <c r="G75" i="50"/>
  <c r="P15" i="48"/>
  <c r="J69" i="50"/>
  <c r="S9" i="48"/>
  <c r="CI65" i="69"/>
  <c r="CI67" i="69" s="1"/>
  <c r="D83" i="50"/>
  <c r="M23" i="48"/>
  <c r="H105" i="50"/>
  <c r="Q45" i="48"/>
  <c r="G71" i="50"/>
  <c r="P11" i="48"/>
  <c r="F90" i="50"/>
  <c r="O30" i="48"/>
  <c r="E86" i="50"/>
  <c r="N26" i="48"/>
  <c r="J97" i="50"/>
  <c r="S37" i="48"/>
  <c r="CM29" i="69"/>
  <c r="CM31" i="69" s="1"/>
  <c r="F75" i="50"/>
  <c r="O15" i="48"/>
  <c r="H101" i="50"/>
  <c r="Q41" i="48"/>
  <c r="Q40" i="48"/>
  <c r="CM72" i="69"/>
  <c r="CM74" i="69" s="1"/>
  <c r="CM76" i="69" s="1"/>
  <c r="D67" i="50"/>
  <c r="M7" i="48"/>
  <c r="E191" i="69"/>
  <c r="E194" i="69" s="1"/>
  <c r="E196" i="69" s="1"/>
  <c r="DG110" i="69"/>
  <c r="DG112" i="69" s="1"/>
  <c r="DG114" i="69" s="1"/>
  <c r="H82" i="50"/>
  <c r="Q22" i="48"/>
  <c r="E71" i="50"/>
  <c r="N11" i="48"/>
  <c r="D69" i="50"/>
  <c r="M9" i="48"/>
  <c r="H84" i="50"/>
  <c r="Q24" i="48"/>
  <c r="G85" i="50"/>
  <c r="P25" i="48"/>
  <c r="DE129" i="69"/>
  <c r="H29" i="70" s="1"/>
  <c r="F70" i="50"/>
  <c r="O10" i="48"/>
  <c r="J93" i="50"/>
  <c r="S33" i="48"/>
  <c r="I68" i="50"/>
  <c r="R8" i="48"/>
  <c r="D70" i="50"/>
  <c r="M10" i="48"/>
  <c r="E102" i="50"/>
  <c r="N42" i="48"/>
  <c r="DS72" i="69"/>
  <c r="DS74" i="69" s="1"/>
  <c r="DS76" i="69" s="1"/>
  <c r="I86" i="50"/>
  <c r="R26" i="48"/>
  <c r="K158" i="69"/>
  <c r="K160" i="69" s="1"/>
  <c r="K162" i="69" s="1"/>
  <c r="EI29" i="69"/>
  <c r="EI31" i="69" s="1"/>
  <c r="EI33" i="69" s="1"/>
  <c r="AA115" i="69"/>
  <c r="AA117" i="69" s="1"/>
  <c r="AA119" i="69" s="1"/>
  <c r="DC158" i="69"/>
  <c r="DC160" i="69" s="1"/>
  <c r="DC162" i="69" s="1"/>
  <c r="CQ14" i="69"/>
  <c r="CQ16" i="69" s="1"/>
  <c r="CQ18" i="69" s="1"/>
  <c r="Y18" i="69"/>
  <c r="G74" i="50"/>
  <c r="P14" i="48"/>
  <c r="EC62" i="69"/>
  <c r="AA29" i="69"/>
  <c r="AA31" i="69" s="1"/>
  <c r="AA33" i="69" s="1"/>
  <c r="G84" i="50"/>
  <c r="P24" i="48"/>
  <c r="F67" i="50"/>
  <c r="O7" i="48"/>
  <c r="F107" i="50"/>
  <c r="O47" i="48"/>
  <c r="G102" i="50"/>
  <c r="P42" i="48"/>
  <c r="I95" i="50"/>
  <c r="R35" i="48"/>
  <c r="F80" i="50"/>
  <c r="O20" i="48"/>
  <c r="D71" i="50"/>
  <c r="M11" i="48"/>
  <c r="E93" i="50"/>
  <c r="N33" i="48"/>
  <c r="DG149" i="69"/>
  <c r="DG151" i="69" s="1"/>
  <c r="DG153" i="69" s="1"/>
  <c r="DC29" i="69"/>
  <c r="DC31" i="69" s="1"/>
  <c r="DC33" i="69" s="1"/>
  <c r="AQ158" i="69"/>
  <c r="AQ160" i="69" s="1"/>
  <c r="AQ162" i="69" s="1"/>
  <c r="CO215" i="69"/>
  <c r="H41" i="70" s="1"/>
  <c r="G107" i="50"/>
  <c r="P47" i="48"/>
  <c r="BE194" i="69"/>
  <c r="BE196" i="69" s="1"/>
  <c r="I237" i="69"/>
  <c r="I239" i="69" s="1"/>
  <c r="G90" i="50"/>
  <c r="P30" i="48"/>
  <c r="BG29" i="69"/>
  <c r="BG31" i="69" s="1"/>
  <c r="BG33" i="69" s="1"/>
  <c r="F72" i="50"/>
  <c r="O12" i="48"/>
  <c r="CQ215" i="69"/>
  <c r="I41" i="70" s="1"/>
  <c r="H107" i="50"/>
  <c r="Q47" i="48"/>
  <c r="U33" i="69"/>
  <c r="AM104" i="69"/>
  <c r="E105" i="50"/>
  <c r="N45" i="48"/>
  <c r="F69" i="50"/>
  <c r="O9" i="48"/>
  <c r="H69" i="50"/>
  <c r="Q9" i="48"/>
  <c r="I90" i="50"/>
  <c r="R30" i="48"/>
  <c r="AQ72" i="69"/>
  <c r="AQ74" i="69" s="1"/>
  <c r="DS29" i="69"/>
  <c r="DS31" i="69" s="1"/>
  <c r="DS33" i="69" s="1"/>
  <c r="CG62" i="69"/>
  <c r="CG65" i="69" s="1"/>
  <c r="CG67" i="69" s="1"/>
  <c r="O196" i="69"/>
  <c r="O198" i="69" s="1"/>
  <c r="O200" i="69" s="1"/>
  <c r="D82" i="50"/>
  <c r="M22" i="48"/>
  <c r="F71" i="50"/>
  <c r="O11" i="48"/>
  <c r="I85" i="50"/>
  <c r="R25" i="48"/>
  <c r="BK123" i="69"/>
  <c r="BK125" i="69" s="1"/>
  <c r="I102" i="50"/>
  <c r="R42" i="48"/>
  <c r="H86" i="50"/>
  <c r="Q26" i="48"/>
  <c r="BU201" i="69"/>
  <c r="CM201" i="69"/>
  <c r="CM115" i="69"/>
  <c r="CM117" i="69" s="1"/>
  <c r="AO201" i="69"/>
  <c r="AO205" i="69" s="1"/>
  <c r="CU99" i="69"/>
  <c r="BY100" i="69"/>
  <c r="BY102" i="69" s="1"/>
  <c r="BY104" i="69" s="1"/>
  <c r="U19" i="69"/>
  <c r="U21" i="69" s="1"/>
  <c r="U23" i="69" s="1"/>
  <c r="I82" i="50"/>
  <c r="R22" i="48"/>
  <c r="I107" i="50"/>
  <c r="R47" i="48"/>
  <c r="D84" i="50"/>
  <c r="M24" i="48"/>
  <c r="BK248" i="69"/>
  <c r="D104" i="50"/>
  <c r="M44" i="48"/>
  <c r="G80" i="50"/>
  <c r="P20" i="48"/>
  <c r="J83" i="50"/>
  <c r="S23" i="48"/>
  <c r="H72" i="50"/>
  <c r="Q12" i="48"/>
  <c r="D105" i="50"/>
  <c r="M45" i="48"/>
  <c r="AA158" i="69"/>
  <c r="AA160" i="69" s="1"/>
  <c r="E82" i="50"/>
  <c r="N22" i="48"/>
  <c r="H92" i="50"/>
  <c r="Q32" i="48"/>
  <c r="AA201" i="69"/>
  <c r="AA203" i="69" s="1"/>
  <c r="AA205" i="69" s="1"/>
  <c r="AA244" i="69"/>
  <c r="AA248" i="69" s="1"/>
  <c r="E73" i="50"/>
  <c r="N13" i="48"/>
  <c r="G72" i="50"/>
  <c r="P12" i="48"/>
  <c r="Y162" i="69"/>
  <c r="G69" i="50"/>
  <c r="P9" i="48"/>
  <c r="E67" i="50"/>
  <c r="N7" i="48"/>
  <c r="E72" i="50"/>
  <c r="N12" i="48"/>
  <c r="G70" i="50"/>
  <c r="P10" i="48"/>
  <c r="D107" i="50"/>
  <c r="M47" i="48"/>
  <c r="F105" i="50"/>
  <c r="O45" i="48"/>
  <c r="I69" i="50"/>
  <c r="R9" i="48"/>
  <c r="J84" i="50"/>
  <c r="S24" i="48"/>
  <c r="AE24" i="69"/>
  <c r="AE26" i="69" s="1"/>
  <c r="AE28" i="69" s="1"/>
  <c r="AQ29" i="69"/>
  <c r="AQ31" i="69" s="1"/>
  <c r="AQ33" i="69" s="1"/>
  <c r="DG109" i="69"/>
  <c r="AE235" i="69"/>
  <c r="DE109" i="69"/>
  <c r="F82" i="50"/>
  <c r="O22" i="48"/>
  <c r="H71" i="50"/>
  <c r="Q11" i="48"/>
  <c r="BW115" i="69"/>
  <c r="BW117" i="69" s="1"/>
  <c r="BW119" i="69" s="1"/>
  <c r="I89" i="50"/>
  <c r="R29" i="48"/>
  <c r="AM65" i="69"/>
  <c r="G80" i="69"/>
  <c r="G82" i="69" s="1"/>
  <c r="F102" i="50"/>
  <c r="O42" i="48"/>
  <c r="J86" i="50"/>
  <c r="S26" i="48"/>
  <c r="I83" i="50"/>
  <c r="R23" i="48"/>
  <c r="AA72" i="69"/>
  <c r="AA74" i="69" s="1"/>
  <c r="AA76" i="69" s="1"/>
  <c r="K72" i="69"/>
  <c r="K74" i="69" s="1"/>
  <c r="K76" i="69" s="1"/>
  <c r="BE201" i="69"/>
  <c r="BW201" i="69"/>
  <c r="BW205" i="69" s="1"/>
  <c r="BW207" i="69" s="1"/>
  <c r="CQ205" i="69"/>
  <c r="BK225" i="69"/>
  <c r="DC104" i="69"/>
  <c r="H76" i="50"/>
  <c r="Q16" i="48"/>
  <c r="G89" i="50"/>
  <c r="P29" i="48"/>
  <c r="E80" i="50"/>
  <c r="N20" i="48"/>
  <c r="G105" i="50"/>
  <c r="P45" i="48"/>
  <c r="H68" i="50"/>
  <c r="Q8" i="48"/>
  <c r="J85" i="50"/>
  <c r="S25" i="48"/>
  <c r="AM215" i="69"/>
  <c r="E38" i="70" s="1"/>
  <c r="AO215" i="69"/>
  <c r="F38" i="70" s="1"/>
  <c r="AK215" i="69"/>
  <c r="D38" i="70" s="1"/>
  <c r="AI215" i="69"/>
  <c r="C38" i="70" s="1"/>
  <c r="AY148" i="69"/>
  <c r="AY151" i="69" s="1"/>
  <c r="AY153" i="69" s="1"/>
  <c r="BI14" i="69"/>
  <c r="BI16" i="69" s="1"/>
  <c r="BI18" i="69" s="1"/>
  <c r="DW57" i="69"/>
  <c r="DW59" i="69" s="1"/>
  <c r="DW61" i="69" s="1"/>
  <c r="BI229" i="69"/>
  <c r="BI231" i="69" s="1"/>
  <c r="BI233" i="69" s="1"/>
  <c r="AE229" i="69"/>
  <c r="AE231" i="69" s="1"/>
  <c r="AE233" i="69" s="1"/>
  <c r="AO190" i="69"/>
  <c r="M201" i="69"/>
  <c r="M203" i="69" s="1"/>
  <c r="M205" i="69" s="1"/>
  <c r="BI115" i="69"/>
  <c r="BI117" i="69" s="1"/>
  <c r="BI119" i="69" s="1"/>
  <c r="CO29" i="69"/>
  <c r="CO31" i="69" s="1"/>
  <c r="CO33" i="69" s="1"/>
  <c r="BY201" i="69"/>
  <c r="BY204" i="69" s="1"/>
  <c r="BY206" i="69" s="1"/>
  <c r="M244" i="69"/>
  <c r="M246" i="69" s="1"/>
  <c r="M248" i="69" s="1"/>
  <c r="M158" i="69"/>
  <c r="M160" i="69" s="1"/>
  <c r="M162" i="69" s="1"/>
  <c r="AS158" i="69"/>
  <c r="AS160" i="69" s="1"/>
  <c r="AS162" i="69" s="1"/>
  <c r="AS115" i="69"/>
  <c r="AS117" i="69" s="1"/>
  <c r="AS119" i="69" s="1"/>
  <c r="DE72" i="69"/>
  <c r="DE74" i="69" s="1"/>
  <c r="DE76" i="69" s="1"/>
  <c r="AC244" i="69"/>
  <c r="AC248" i="69" s="1"/>
  <c r="AC201" i="69"/>
  <c r="AC203" i="69" s="1"/>
  <c r="AC205" i="69" s="1"/>
  <c r="EK72" i="69"/>
  <c r="EK74" i="69" s="1"/>
  <c r="EK76" i="69" s="1"/>
  <c r="DU115" i="69"/>
  <c r="DU117" i="69" s="1"/>
  <c r="DU119" i="69" s="1"/>
  <c r="BK172" i="69"/>
  <c r="I33" i="70" s="1"/>
  <c r="AY172" i="69"/>
  <c r="C33" i="70" s="1"/>
  <c r="AS235" i="69"/>
  <c r="AS237" i="69" s="1"/>
  <c r="AS239" i="69" s="1"/>
  <c r="M196" i="69"/>
  <c r="M198" i="69" s="1"/>
  <c r="M200" i="69" s="1"/>
  <c r="AC196" i="69"/>
  <c r="AC198" i="69" s="1"/>
  <c r="AC200" i="69" s="1"/>
  <c r="CO110" i="69"/>
  <c r="CO112" i="69" s="1"/>
  <c r="CO114" i="69" s="1"/>
  <c r="BY110" i="69"/>
  <c r="BY112" i="69" s="1"/>
  <c r="BY114" i="69" s="1"/>
  <c r="AC24" i="69"/>
  <c r="AC26" i="69" s="1"/>
  <c r="AC28" i="69" s="1"/>
  <c r="M239" i="69"/>
  <c r="M241" i="69" s="1"/>
  <c r="M243" i="69" s="1"/>
  <c r="BY192" i="69"/>
  <c r="BY194" i="69" s="1"/>
  <c r="BY196" i="69" s="1"/>
  <c r="M153" i="69"/>
  <c r="M155" i="69" s="1"/>
  <c r="M157" i="69" s="1"/>
  <c r="BI67" i="69"/>
  <c r="BI69" i="69" s="1"/>
  <c r="BI71" i="69" s="1"/>
  <c r="EK24" i="69"/>
  <c r="EK26" i="69" s="1"/>
  <c r="EK28" i="69" s="1"/>
  <c r="AS110" i="69"/>
  <c r="AS112" i="69" s="1"/>
  <c r="AS114" i="69" s="1"/>
  <c r="BI235" i="69"/>
  <c r="BI237" i="69" s="1"/>
  <c r="BI239" i="69" s="1"/>
  <c r="BY67" i="69"/>
  <c r="BY69" i="69" s="1"/>
  <c r="BY71" i="69" s="1"/>
  <c r="BI24" i="69"/>
  <c r="BI26" i="69" s="1"/>
  <c r="BI28" i="69" s="1"/>
  <c r="BI153" i="69"/>
  <c r="BI155" i="69" s="1"/>
  <c r="BI157" i="69" s="1"/>
  <c r="AS192" i="69"/>
  <c r="AS194" i="69" s="1"/>
  <c r="AS196" i="69" s="1"/>
  <c r="BI110" i="69"/>
  <c r="BI112" i="69" s="1"/>
  <c r="BI114" i="69" s="1"/>
  <c r="CO24" i="69"/>
  <c r="CO26" i="69" s="1"/>
  <c r="CO28" i="69" s="1"/>
  <c r="DE24" i="69"/>
  <c r="DE26" i="69" s="1"/>
  <c r="CI172" i="69"/>
  <c r="E35" i="70" s="1"/>
  <c r="AQ71" i="69"/>
  <c r="BO105" i="69"/>
  <c r="BO108" i="69" s="1"/>
  <c r="BO110" i="69" s="1"/>
  <c r="DE29" i="69"/>
  <c r="DE31" i="69" s="1"/>
  <c r="DE33" i="69" s="1"/>
  <c r="AC67" i="69"/>
  <c r="AC69" i="69" s="1"/>
  <c r="AC71" i="69" s="1"/>
  <c r="M110" i="69"/>
  <c r="M112" i="69" s="1"/>
  <c r="M114" i="69" s="1"/>
  <c r="DA65" i="69"/>
  <c r="DA67" i="69" s="1"/>
  <c r="BI100" i="69"/>
  <c r="BI102" i="69" s="1"/>
  <c r="BI104" i="69" s="1"/>
  <c r="AK76" i="69"/>
  <c r="DE37" i="69"/>
  <c r="AM61" i="69"/>
  <c r="AE172" i="69"/>
  <c r="I31" i="70" s="1"/>
  <c r="AC172" i="69"/>
  <c r="H31" i="70" s="1"/>
  <c r="CW19" i="69"/>
  <c r="CW22" i="69" s="1"/>
  <c r="CW24" i="69" s="1"/>
  <c r="U234" i="69"/>
  <c r="U237" i="69" s="1"/>
  <c r="U239" i="69" s="1"/>
  <c r="CW148" i="69"/>
  <c r="AK62" i="69"/>
  <c r="AK65" i="69" s="1"/>
  <c r="AK67" i="69" s="1"/>
  <c r="AK191" i="69"/>
  <c r="AK194" i="69" s="1"/>
  <c r="AK196" i="69" s="1"/>
  <c r="BA148" i="69"/>
  <c r="BA151" i="69" s="1"/>
  <c r="BA153" i="69" s="1"/>
  <c r="E148" i="69"/>
  <c r="E151" i="69" s="1"/>
  <c r="E153" i="69" s="1"/>
  <c r="CG148" i="69"/>
  <c r="AK19" i="69"/>
  <c r="BA191" i="69"/>
  <c r="BA194" i="69" s="1"/>
  <c r="BA196" i="69" s="1"/>
  <c r="BQ105" i="69"/>
  <c r="BQ108" i="69" s="1"/>
  <c r="BQ110" i="69" s="1"/>
  <c r="CW62" i="69"/>
  <c r="CW65" i="69" s="1"/>
  <c r="CW67" i="69" s="1"/>
  <c r="E62" i="69"/>
  <c r="E64" i="69" s="1"/>
  <c r="E66" i="69" s="1"/>
  <c r="U162" i="69"/>
  <c r="AA157" i="69"/>
  <c r="AY19" i="69"/>
  <c r="BY72" i="69"/>
  <c r="BY74" i="69" s="1"/>
  <c r="BY76" i="69" s="1"/>
  <c r="BI201" i="69"/>
  <c r="BI203" i="69" s="1"/>
  <c r="BI205" i="69" s="1"/>
  <c r="AA172" i="69"/>
  <c r="G31" i="70" s="1"/>
  <c r="DU67" i="69"/>
  <c r="DU69" i="69" s="1"/>
  <c r="DU71" i="69" s="1"/>
  <c r="AC235" i="69"/>
  <c r="AC237" i="69" s="1"/>
  <c r="AC239" i="69" s="1"/>
  <c r="S28" i="69"/>
  <c r="EK14" i="69"/>
  <c r="EK16" i="69" s="1"/>
  <c r="EK18" i="69" s="1"/>
  <c r="AU143" i="69"/>
  <c r="AU145" i="69" s="1"/>
  <c r="AU147" i="69" s="1"/>
  <c r="AS229" i="69"/>
  <c r="AS231" i="69" s="1"/>
  <c r="AU225" i="69"/>
  <c r="EC19" i="69"/>
  <c r="EC22" i="69" s="1"/>
  <c r="EC24" i="69" s="1"/>
  <c r="DM105" i="69"/>
  <c r="DM108" i="69" s="1"/>
  <c r="DM110" i="69" s="1"/>
  <c r="D21" i="70"/>
  <c r="D14" i="70"/>
  <c r="EE33" i="69"/>
  <c r="U28" i="69"/>
  <c r="BQ19" i="69"/>
  <c r="BQ22" i="69" s="1"/>
  <c r="BQ24" i="69" s="1"/>
  <c r="CW105" i="69"/>
  <c r="CW108" i="69" s="1"/>
  <c r="CW110" i="69" s="1"/>
  <c r="E234" i="69"/>
  <c r="CK43" i="69"/>
  <c r="F14" i="70" s="1"/>
  <c r="BO191" i="69"/>
  <c r="DE115" i="69"/>
  <c r="DE117" i="69" s="1"/>
  <c r="DE119" i="69" s="1"/>
  <c r="AC153" i="69"/>
  <c r="AC155" i="69" s="1"/>
  <c r="AC157" i="69" s="1"/>
  <c r="DE110" i="69"/>
  <c r="DE112" i="69" s="1"/>
  <c r="DE114" i="69" s="1"/>
  <c r="AE14" i="69"/>
  <c r="AE16" i="69" s="1"/>
  <c r="AE18" i="69" s="1"/>
  <c r="BY57" i="69"/>
  <c r="BY59" i="69" s="1"/>
  <c r="BY61" i="69" s="1"/>
  <c r="CA100" i="69"/>
  <c r="CA102" i="69" s="1"/>
  <c r="CA104" i="69" s="1"/>
  <c r="O229" i="69"/>
  <c r="O231" i="69" s="1"/>
  <c r="O233" i="69" s="1"/>
  <c r="AA152" i="69"/>
  <c r="AQ82" i="69"/>
  <c r="AY43" i="69"/>
  <c r="C12" i="70" s="1"/>
  <c r="BK43" i="69"/>
  <c r="I12" i="70" s="1"/>
  <c r="Y33" i="69"/>
  <c r="AM147" i="69"/>
  <c r="CA43" i="69"/>
  <c r="I13" i="70" s="1"/>
  <c r="BY43" i="69"/>
  <c r="H13" i="70" s="1"/>
  <c r="BO43" i="69"/>
  <c r="C13" i="70" s="1"/>
  <c r="BG172" i="69"/>
  <c r="G33" i="70" s="1"/>
  <c r="BC18" i="69"/>
  <c r="CK153" i="69"/>
  <c r="CK33" i="69"/>
  <c r="AA162" i="69"/>
  <c r="BY29" i="69"/>
  <c r="BY31" i="69" s="1"/>
  <c r="BY33" i="69" s="1"/>
  <c r="S148" i="69"/>
  <c r="S151" i="69" s="1"/>
  <c r="S153" i="69" s="1"/>
  <c r="AC72" i="69"/>
  <c r="AC74" i="69" s="1"/>
  <c r="AC76" i="69" s="1"/>
  <c r="CQ43" i="69"/>
  <c r="I14" i="70" s="1"/>
  <c r="CO67" i="69"/>
  <c r="CO69" i="69" s="1"/>
  <c r="CO71" i="69" s="1"/>
  <c r="BE180" i="69"/>
  <c r="AE8" i="69"/>
  <c r="K51" i="69"/>
  <c r="EM8" i="69"/>
  <c r="K180" i="69"/>
  <c r="DW8" i="69"/>
  <c r="S137" i="69"/>
  <c r="S140" i="69" s="1"/>
  <c r="S142" i="69" s="1"/>
  <c r="CO180" i="69"/>
  <c r="BC223" i="69"/>
  <c r="DE14" i="69"/>
  <c r="DE16" i="69" s="1"/>
  <c r="DE18" i="69" s="1"/>
  <c r="DU14" i="69"/>
  <c r="DU16" i="69" s="1"/>
  <c r="DU18" i="69" s="1"/>
  <c r="AA23" i="69"/>
  <c r="BW23" i="69"/>
  <c r="BS43" i="69"/>
  <c r="E13" i="70" s="1"/>
  <c r="CK215" i="69"/>
  <c r="F41" i="70" s="1"/>
  <c r="CM215" i="69"/>
  <c r="G41" i="70" s="1"/>
  <c r="Y23" i="69"/>
  <c r="BA172" i="69"/>
  <c r="D33" i="70" s="1"/>
  <c r="BY115" i="69"/>
  <c r="BY117" i="69" s="1"/>
  <c r="BY119" i="69" s="1"/>
  <c r="BK23" i="69"/>
  <c r="S62" i="69"/>
  <c r="S65" i="69" s="1"/>
  <c r="S67" i="69" s="1"/>
  <c r="BQ148" i="69"/>
  <c r="BA62" i="69"/>
  <c r="BA65" i="69" s="1"/>
  <c r="BA67" i="69" s="1"/>
  <c r="AK148" i="69"/>
  <c r="AK151" i="69" s="1"/>
  <c r="AK153" i="69" s="1"/>
  <c r="AC115" i="69"/>
  <c r="AC117" i="69" s="1"/>
  <c r="CO43" i="69"/>
  <c r="H14" i="70" s="1"/>
  <c r="AI76" i="69"/>
  <c r="AE23" i="69"/>
  <c r="AU152" i="69"/>
  <c r="AC152" i="69"/>
  <c r="EK23" i="69"/>
  <c r="CO151" i="69"/>
  <c r="CO153" i="69" s="1"/>
  <c r="BG28" i="69"/>
  <c r="AA28" i="69"/>
  <c r="CG105" i="69"/>
  <c r="CG108" i="69" s="1"/>
  <c r="CG110" i="69" s="1"/>
  <c r="AM209" i="69"/>
  <c r="AM211" i="69" s="1"/>
  <c r="DK105" i="69"/>
  <c r="DK108" i="69" s="1"/>
  <c r="DK110" i="69" s="1"/>
  <c r="CO115" i="69"/>
  <c r="CO117" i="69" s="1"/>
  <c r="AS244" i="69"/>
  <c r="AS248" i="69" s="1"/>
  <c r="Y172" i="69"/>
  <c r="F31" i="70" s="1"/>
  <c r="DU110" i="69"/>
  <c r="DU112" i="69" s="1"/>
  <c r="DU114" i="69" s="1"/>
  <c r="EK67" i="69"/>
  <c r="EK69" i="69" s="1"/>
  <c r="EK71" i="69" s="1"/>
  <c r="BI192" i="69"/>
  <c r="BO8" i="69"/>
  <c r="BO11" i="69" s="1"/>
  <c r="BO13" i="69" s="1"/>
  <c r="CE51" i="69"/>
  <c r="CE54" i="69" s="1"/>
  <c r="CE56" i="69" s="1"/>
  <c r="DS8" i="69"/>
  <c r="G94" i="69"/>
  <c r="AU51" i="69"/>
  <c r="DA51" i="69"/>
  <c r="BS51" i="69"/>
  <c r="BI180" i="69"/>
  <c r="C137" i="69"/>
  <c r="C140" i="69" s="1"/>
  <c r="C142" i="69" s="1"/>
  <c r="AM8" i="69"/>
  <c r="DO94" i="69"/>
  <c r="AQ137" i="69"/>
  <c r="W137" i="69"/>
  <c r="BO180" i="69"/>
  <c r="BO183" i="69" s="1"/>
  <c r="BO185" i="69" s="1"/>
  <c r="M137" i="69"/>
  <c r="W223" i="69"/>
  <c r="CA14" i="69"/>
  <c r="CA16" i="69" s="1"/>
  <c r="CA18" i="69" s="1"/>
  <c r="DG14" i="69"/>
  <c r="DG16" i="69" s="1"/>
  <c r="DG18" i="69" s="1"/>
  <c r="O100" i="69"/>
  <c r="O102" i="69" s="1"/>
  <c r="O104" i="69" s="1"/>
  <c r="DW14" i="69"/>
  <c r="DW16" i="69" s="1"/>
  <c r="DW18" i="69" s="1"/>
  <c r="AS143" i="69"/>
  <c r="AS145" i="69" s="1"/>
  <c r="AS147" i="69" s="1"/>
  <c r="BI43" i="69"/>
  <c r="H12" i="70" s="1"/>
  <c r="BU43" i="69"/>
  <c r="F13" i="70" s="1"/>
  <c r="AC229" i="69"/>
  <c r="AC231" i="69" s="1"/>
  <c r="AC233" i="69" s="1"/>
  <c r="AS186" i="69"/>
  <c r="AS188" i="69" s="1"/>
  <c r="AS190" i="69" s="1"/>
  <c r="BK100" i="69"/>
  <c r="BK102" i="69" s="1"/>
  <c r="BK104" i="69" s="1"/>
  <c r="AE100" i="69"/>
  <c r="AE102" i="69" s="1"/>
  <c r="O186" i="69"/>
  <c r="O188" i="69" s="1"/>
  <c r="O190" i="69" s="1"/>
  <c r="AU14" i="69"/>
  <c r="AU16" i="69" s="1"/>
  <c r="AU18" i="69" s="1"/>
  <c r="CQ57" i="69"/>
  <c r="CQ59" i="69" s="1"/>
  <c r="CQ61" i="69" s="1"/>
  <c r="M57" i="69"/>
  <c r="M59" i="69" s="1"/>
  <c r="M61" i="69" s="1"/>
  <c r="DG57" i="69"/>
  <c r="DG59" i="69" s="1"/>
  <c r="DG61" i="69" s="1"/>
  <c r="EM14" i="69"/>
  <c r="EM16" i="69" s="1"/>
  <c r="EM18" i="69" s="1"/>
  <c r="AE186" i="69"/>
  <c r="AE188" i="69" s="1"/>
  <c r="AE190" i="69" s="1"/>
  <c r="BY229" i="69"/>
  <c r="BY231" i="69" s="1"/>
  <c r="BY233" i="69" s="1"/>
  <c r="CA182" i="69"/>
  <c r="M100" i="69"/>
  <c r="M102" i="69" s="1"/>
  <c r="M104" i="69" s="1"/>
  <c r="AC186" i="69"/>
  <c r="AC188" i="69" s="1"/>
  <c r="AC190" i="69" s="1"/>
  <c r="CO143" i="69"/>
  <c r="CO145" i="69" s="1"/>
  <c r="CO147" i="69" s="1"/>
  <c r="DU57" i="69"/>
  <c r="DU59" i="69" s="1"/>
  <c r="DU61" i="69" s="1"/>
  <c r="O57" i="69"/>
  <c r="O59" i="69" s="1"/>
  <c r="O61" i="69" s="1"/>
  <c r="EK57" i="69"/>
  <c r="EK59" i="69" s="1"/>
  <c r="EK61" i="69" s="1"/>
  <c r="DE57" i="69"/>
  <c r="DE59" i="69" s="1"/>
  <c r="DE61" i="69" s="1"/>
  <c r="CO186" i="69"/>
  <c r="CO188" i="69" s="1"/>
  <c r="CO190" i="69" s="1"/>
  <c r="O143" i="69"/>
  <c r="O145" i="69" s="1"/>
  <c r="O147" i="69" s="1"/>
  <c r="AU186" i="69"/>
  <c r="AU188" i="69" s="1"/>
  <c r="AU190" i="69" s="1"/>
  <c r="BI143" i="69"/>
  <c r="BI145" i="69" s="1"/>
  <c r="BI147" i="69" s="1"/>
  <c r="AS100" i="69"/>
  <c r="AS102" i="69" s="1"/>
  <c r="AS104" i="69" s="1"/>
  <c r="BY14" i="69"/>
  <c r="BY16" i="69" s="1"/>
  <c r="BY18" i="69" s="1"/>
  <c r="AS14" i="69"/>
  <c r="AS16" i="69" s="1"/>
  <c r="AS18" i="69" s="1"/>
  <c r="AC14" i="69"/>
  <c r="AC16" i="69" s="1"/>
  <c r="AC18" i="69" s="1"/>
  <c r="CA57" i="69"/>
  <c r="CA59" i="69" s="1"/>
  <c r="CA61" i="69" s="1"/>
  <c r="EM57" i="69"/>
  <c r="EM59" i="69" s="1"/>
  <c r="BK182" i="69"/>
  <c r="AC143" i="69"/>
  <c r="AC145" i="69" s="1"/>
  <c r="AC147" i="69" s="1"/>
  <c r="DG143" i="69"/>
  <c r="DG145" i="69" s="1"/>
  <c r="AS57" i="69"/>
  <c r="AS59" i="69" s="1"/>
  <c r="AS61" i="69" s="1"/>
  <c r="CQ182" i="69"/>
  <c r="BI57" i="69"/>
  <c r="BI59" i="69" s="1"/>
  <c r="BI61" i="69" s="1"/>
  <c r="BY186" i="69"/>
  <c r="BY188" i="69" s="1"/>
  <c r="BY190" i="69" s="1"/>
  <c r="AC57" i="69"/>
  <c r="AC59" i="69" s="1"/>
  <c r="AC61" i="69" s="1"/>
  <c r="EA62" i="69"/>
  <c r="EA65" i="69" s="1"/>
  <c r="BO148" i="69"/>
  <c r="EA19" i="69"/>
  <c r="EA22" i="69" s="1"/>
  <c r="EA24" i="69" s="1"/>
  <c r="AI234" i="69"/>
  <c r="AI239" i="69" s="1"/>
  <c r="AY105" i="69"/>
  <c r="AY108" i="69" s="1"/>
  <c r="AY110" i="69" s="1"/>
  <c r="C191" i="69"/>
  <c r="C194" i="69" s="1"/>
  <c r="C196" i="69" s="1"/>
  <c r="AY62" i="69"/>
  <c r="AY65" i="69" s="1"/>
  <c r="AY67" i="69" s="1"/>
  <c r="S19" i="69"/>
  <c r="S21" i="69" s="1"/>
  <c r="S23" i="69" s="1"/>
  <c r="AI191" i="69"/>
  <c r="AI194" i="69" s="1"/>
  <c r="S234" i="69"/>
  <c r="CU62" i="69"/>
  <c r="CU65" i="69" s="1"/>
  <c r="CU67" i="69" s="1"/>
  <c r="BO19" i="69"/>
  <c r="BO22" i="69" s="1"/>
  <c r="BO24" i="69" s="1"/>
  <c r="DK19" i="69"/>
  <c r="DK22" i="69" s="1"/>
  <c r="C148" i="69"/>
  <c r="C151" i="69" s="1"/>
  <c r="C153" i="69" s="1"/>
  <c r="CU105" i="69"/>
  <c r="CU108" i="69" s="1"/>
  <c r="CU110" i="69" s="1"/>
  <c r="AI105" i="69"/>
  <c r="AI108" i="69" s="1"/>
  <c r="AI110" i="69" s="1"/>
  <c r="CE19" i="69"/>
  <c r="CE22" i="69" s="1"/>
  <c r="CE24" i="69" s="1"/>
  <c r="S105" i="69"/>
  <c r="S108" i="69" s="1"/>
  <c r="BO234" i="69"/>
  <c r="AY234" i="69"/>
  <c r="DK62" i="69"/>
  <c r="DK65" i="69" s="1"/>
  <c r="DK67" i="69" s="1"/>
  <c r="CO14" i="69"/>
  <c r="CO16" i="69" s="1"/>
  <c r="CO18" i="69" s="1"/>
  <c r="BY143" i="69"/>
  <c r="BY145" i="69" s="1"/>
  <c r="BY147" i="69" s="1"/>
  <c r="CU148" i="69"/>
  <c r="CU151" i="69" s="1"/>
  <c r="CK172" i="69"/>
  <c r="F35" i="70" s="1"/>
  <c r="CG172" i="69"/>
  <c r="D35" i="70" s="1"/>
  <c r="AI86" i="69"/>
  <c r="C18" i="70" s="1"/>
  <c r="AU86" i="69"/>
  <c r="I18" i="70" s="1"/>
  <c r="AO86" i="69"/>
  <c r="F18" i="70" s="1"/>
  <c r="AU215" i="69"/>
  <c r="I38" i="70" s="1"/>
  <c r="BK152" i="69"/>
  <c r="AU66" i="69"/>
  <c r="CO201" i="69"/>
  <c r="CO204" i="69" s="1"/>
  <c r="CE148" i="69"/>
  <c r="M115" i="69"/>
  <c r="M117" i="69" s="1"/>
  <c r="M119" i="69" s="1"/>
  <c r="CO192" i="69"/>
  <c r="CO194" i="69" s="1"/>
  <c r="CO196" i="69" s="1"/>
  <c r="CO100" i="69"/>
  <c r="CO102" i="69" s="1"/>
  <c r="BK14" i="69"/>
  <c r="BK16" i="69" s="1"/>
  <c r="BK18" i="69" s="1"/>
  <c r="DG100" i="69"/>
  <c r="DG102" i="69" s="1"/>
  <c r="DG104" i="69" s="1"/>
  <c r="BI186" i="69"/>
  <c r="BI188" i="69" s="1"/>
  <c r="BI190" i="69" s="1"/>
  <c r="M186" i="69"/>
  <c r="M188" i="69" s="1"/>
  <c r="M190" i="69" s="1"/>
  <c r="CE62" i="69"/>
  <c r="W43" i="69"/>
  <c r="E10" i="70" s="1"/>
  <c r="AC43" i="69"/>
  <c r="H10" i="70" s="1"/>
  <c r="S43" i="69"/>
  <c r="C10" i="70" s="1"/>
  <c r="Y43" i="69"/>
  <c r="F10" i="70" s="1"/>
  <c r="AS215" i="69"/>
  <c r="H38" i="70" s="1"/>
  <c r="Y152" i="69"/>
  <c r="W18" i="69"/>
  <c r="U105" i="69"/>
  <c r="BA105" i="69"/>
  <c r="AK234" i="69"/>
  <c r="AE152" i="69"/>
  <c r="O80" i="69"/>
  <c r="O82" i="69" s="1"/>
  <c r="AI148" i="69"/>
  <c r="AI151" i="69" s="1"/>
  <c r="AI153" i="69" s="1"/>
  <c r="AS24" i="69"/>
  <c r="AS26" i="69" s="1"/>
  <c r="AS28" i="69" s="1"/>
  <c r="Y157" i="69"/>
  <c r="AO71" i="69"/>
  <c r="AK86" i="69"/>
  <c r="D18" i="70" s="1"/>
  <c r="CA143" i="69"/>
  <c r="CA145" i="69" s="1"/>
  <c r="CA147" i="69" s="1"/>
  <c r="CQ100" i="69"/>
  <c r="CQ102" i="69" s="1"/>
  <c r="CQ104" i="69" s="1"/>
  <c r="AI129" i="69"/>
  <c r="C25" i="70" s="1"/>
  <c r="AQ129" i="69"/>
  <c r="G25" i="70" s="1"/>
  <c r="W33" i="69"/>
  <c r="EI43" i="69"/>
  <c r="EC43" i="69"/>
  <c r="BI172" i="69"/>
  <c r="H33" i="70" s="1"/>
  <c r="AO162" i="69"/>
  <c r="EE65" i="69"/>
  <c r="EE67" i="69" s="1"/>
  <c r="AK119" i="69"/>
  <c r="C19" i="69"/>
  <c r="C21" i="69" s="1"/>
  <c r="C23" i="69" s="1"/>
  <c r="AO66" i="69"/>
  <c r="AI19" i="69"/>
  <c r="BY244" i="69"/>
  <c r="BU86" i="69"/>
  <c r="F20" i="70" s="1"/>
  <c r="U172" i="69"/>
  <c r="D31" i="70" s="1"/>
  <c r="AS67" i="69"/>
  <c r="AS69" i="69" s="1"/>
  <c r="AS71" i="69" s="1"/>
  <c r="S13" i="69"/>
  <c r="AC100" i="69"/>
  <c r="AC102" i="69" s="1"/>
  <c r="AC104" i="69" s="1"/>
  <c r="BK57" i="69"/>
  <c r="BK59" i="69" s="1"/>
  <c r="BK61" i="69" s="1"/>
  <c r="DW100" i="69"/>
  <c r="DW102" i="69" s="1"/>
  <c r="DW104" i="69" s="1"/>
  <c r="AQ66" i="69"/>
  <c r="AI62" i="69"/>
  <c r="AI65" i="69" s="1"/>
  <c r="AI67" i="69" s="1"/>
  <c r="AS223" i="69"/>
  <c r="AE180" i="69"/>
  <c r="CE180" i="69"/>
  <c r="CE183" i="69" s="1"/>
  <c r="CE185" i="69" s="1"/>
  <c r="BU180" i="69"/>
  <c r="AQ223" i="69"/>
  <c r="AC137" i="69"/>
  <c r="CE137" i="69"/>
  <c r="CE140" i="69" s="1"/>
  <c r="CE142" i="69" s="1"/>
  <c r="DG137" i="69"/>
  <c r="AO94" i="69"/>
  <c r="AI180" i="69"/>
  <c r="AI183" i="69" s="1"/>
  <c r="AI185" i="69" s="1"/>
  <c r="BU94" i="69"/>
  <c r="CO94" i="69"/>
  <c r="C51" i="69"/>
  <c r="C54" i="69" s="1"/>
  <c r="C56" i="69" s="1"/>
  <c r="CM8" i="69"/>
  <c r="AY51" i="69"/>
  <c r="AY54" i="69" s="1"/>
  <c r="AY56" i="69" s="1"/>
  <c r="AQ94" i="69"/>
  <c r="K94" i="69"/>
  <c r="CI94" i="69"/>
  <c r="AI51" i="69"/>
  <c r="AI54" i="69" s="1"/>
  <c r="AI56" i="69" s="1"/>
  <c r="K8" i="69"/>
  <c r="AI223" i="69"/>
  <c r="AI226" i="69" s="1"/>
  <c r="AI228" i="69" s="1"/>
  <c r="EI8" i="69"/>
  <c r="CA8" i="69"/>
  <c r="CU8" i="69"/>
  <c r="CU11" i="69" s="1"/>
  <c r="C94" i="69"/>
  <c r="C97" i="69" s="1"/>
  <c r="C99" i="69" s="1"/>
  <c r="AC94" i="69"/>
  <c r="EE51" i="69"/>
  <c r="AS51" i="69"/>
  <c r="AQ51" i="69"/>
  <c r="BK8" i="69"/>
  <c r="AA223" i="69"/>
  <c r="M180" i="69"/>
  <c r="BK180" i="69"/>
  <c r="AU180" i="69"/>
  <c r="K223" i="69"/>
  <c r="K137" i="69"/>
  <c r="BK137" i="69"/>
  <c r="CA137" i="69"/>
  <c r="W94" i="69"/>
  <c r="DC137" i="69"/>
  <c r="BC94" i="69"/>
  <c r="AS94" i="69"/>
  <c r="EA8" i="69"/>
  <c r="EA11" i="69" s="1"/>
  <c r="EA13" i="69" s="1"/>
  <c r="BU8" i="69"/>
  <c r="CA223" i="69"/>
  <c r="O94" i="69"/>
  <c r="AE51" i="69"/>
  <c r="BK94" i="69"/>
  <c r="O51" i="69"/>
  <c r="BO223" i="69"/>
  <c r="BO226" i="69" s="1"/>
  <c r="BO228" i="69" s="1"/>
  <c r="AC180" i="69"/>
  <c r="DK8" i="69"/>
  <c r="DK11" i="69" s="1"/>
  <c r="DK13" i="69" s="1"/>
  <c r="AU8" i="69"/>
  <c r="BS137" i="69"/>
  <c r="AA51" i="69"/>
  <c r="CU137" i="69"/>
  <c r="CU140" i="69" s="1"/>
  <c r="CU142" i="69" s="1"/>
  <c r="S223" i="69"/>
  <c r="S226" i="69" s="1"/>
  <c r="S228" i="69" s="1"/>
  <c r="EE8" i="69"/>
  <c r="G8" i="69"/>
  <c r="BC180" i="69"/>
  <c r="AA8" i="69"/>
  <c r="AE223" i="69"/>
  <c r="AY180" i="69"/>
  <c r="AY183" i="69" s="1"/>
  <c r="AY185" i="69" s="1"/>
  <c r="AA180" i="69"/>
  <c r="AY137" i="69"/>
  <c r="AY140" i="69" s="1"/>
  <c r="AY142" i="69" s="1"/>
  <c r="AU137" i="69"/>
  <c r="AA137" i="69"/>
  <c r="CQ94" i="69"/>
  <c r="BW180" i="69"/>
  <c r="CK180" i="69"/>
  <c r="CK183" i="69" s="1"/>
  <c r="CK185" i="69" s="1"/>
  <c r="BW51" i="69"/>
  <c r="DE8" i="69"/>
  <c r="CO137" i="69"/>
  <c r="BU51" i="69"/>
  <c r="DG94" i="69"/>
  <c r="DU8" i="69"/>
  <c r="AI94" i="69"/>
  <c r="AI97" i="69" s="1"/>
  <c r="AI99" i="69" s="1"/>
  <c r="W51" i="69"/>
  <c r="CA51" i="69"/>
  <c r="BO51" i="69"/>
  <c r="BO54" i="69" s="1"/>
  <c r="BO56" i="69" s="1"/>
  <c r="CA94" i="69"/>
  <c r="DS94" i="69"/>
  <c r="DQ94" i="69"/>
  <c r="CY51" i="69"/>
  <c r="M223" i="69"/>
  <c r="BW223" i="69"/>
  <c r="I180" i="69"/>
  <c r="AE137" i="69"/>
  <c r="AO223" i="69"/>
  <c r="I137" i="69"/>
  <c r="BY94" i="69"/>
  <c r="BW137" i="69"/>
  <c r="Y180" i="69"/>
  <c r="BE51" i="69"/>
  <c r="BC8" i="69"/>
  <c r="AO137" i="69"/>
  <c r="BC51" i="69"/>
  <c r="AM94" i="69"/>
  <c r="DC8" i="69"/>
  <c r="EK51" i="69"/>
  <c r="CE8" i="69"/>
  <c r="CE11" i="69" s="1"/>
  <c r="CE13" i="69" s="1"/>
  <c r="G51" i="69"/>
  <c r="CQ8" i="69"/>
  <c r="BE94" i="69"/>
  <c r="BW94" i="69"/>
  <c r="BS94" i="69"/>
  <c r="BI137" i="69"/>
  <c r="CO80" i="69"/>
  <c r="CO82" i="69" s="1"/>
  <c r="CM39" i="69"/>
  <c r="BI152" i="69"/>
  <c r="CI153" i="69"/>
  <c r="BQ62" i="69"/>
  <c r="BQ65" i="69" s="1"/>
  <c r="BA19" i="69"/>
  <c r="BQ234" i="69"/>
  <c r="BQ239" i="69" s="1"/>
  <c r="CM43" i="69"/>
  <c r="G14" i="70" s="1"/>
  <c r="AU109" i="69"/>
  <c r="CE105" i="69"/>
  <c r="CE108" i="69" s="1"/>
  <c r="C105" i="69"/>
  <c r="C108" i="69" s="1"/>
  <c r="C110" i="69" s="1"/>
  <c r="AS201" i="69"/>
  <c r="AS203" i="69" s="1"/>
  <c r="AS205" i="69" s="1"/>
  <c r="W172" i="69"/>
  <c r="E31" i="70" s="1"/>
  <c r="AE162" i="69"/>
  <c r="DU24" i="69"/>
  <c r="DU26" i="69" s="1"/>
  <c r="DU28" i="69" s="1"/>
  <c r="BY153" i="69"/>
  <c r="BY155" i="69" s="1"/>
  <c r="BY157" i="69" s="1"/>
  <c r="CY8" i="69"/>
  <c r="EI51" i="69"/>
  <c r="AI137" i="69"/>
  <c r="AI140" i="69" s="1"/>
  <c r="CK94" i="69"/>
  <c r="EA51" i="69"/>
  <c r="EA54" i="69" s="1"/>
  <c r="EA56" i="69" s="1"/>
  <c r="DK94" i="69"/>
  <c r="DK97" i="69" s="1"/>
  <c r="DK99" i="69" s="1"/>
  <c r="AO180" i="69"/>
  <c r="AS180" i="69"/>
  <c r="M143" i="69"/>
  <c r="M145" i="69" s="1"/>
  <c r="M147" i="69" s="1"/>
  <c r="CO57" i="69"/>
  <c r="CO59" i="69" s="1"/>
  <c r="CO61" i="69" s="1"/>
  <c r="DU100" i="69"/>
  <c r="DU102" i="69" s="1"/>
  <c r="DU104" i="69" s="1"/>
  <c r="AE143" i="69"/>
  <c r="AE145" i="69" s="1"/>
  <c r="AE147" i="69" s="1"/>
  <c r="CK147" i="69"/>
  <c r="BU18" i="69"/>
  <c r="BC172" i="69"/>
  <c r="E33" i="70" s="1"/>
  <c r="CE191" i="69"/>
  <c r="CE194" i="69" s="1"/>
  <c r="CE196" i="69" s="1"/>
  <c r="CG33" i="69"/>
  <c r="CG191" i="69"/>
  <c r="CG194" i="69" s="1"/>
  <c r="CG196" i="69" s="1"/>
  <c r="DM62" i="69"/>
  <c r="DM65" i="69" s="1"/>
  <c r="DM67" i="69" s="1"/>
  <c r="AK105" i="69"/>
  <c r="AQ114" i="69"/>
  <c r="EM23" i="69"/>
  <c r="CM172" i="69"/>
  <c r="G35" i="70" s="1"/>
  <c r="CO23" i="69"/>
  <c r="CE33" i="69"/>
  <c r="BC166" i="69"/>
  <c r="BC168" i="69" s="1"/>
  <c r="AK129" i="69"/>
  <c r="D25" i="70" s="1"/>
  <c r="CA23" i="69"/>
  <c r="C234" i="69"/>
  <c r="C237" i="69" s="1"/>
  <c r="C239" i="69" s="1"/>
  <c r="S191" i="69"/>
  <c r="S194" i="69" s="1"/>
  <c r="AC158" i="69"/>
  <c r="AC160" i="69" s="1"/>
  <c r="AC162" i="69" s="1"/>
  <c r="BI244" i="69"/>
  <c r="BI248" i="69" s="1"/>
  <c r="AU119" i="69"/>
  <c r="AS153" i="69"/>
  <c r="AS155" i="69" s="1"/>
  <c r="AS157" i="69" s="1"/>
  <c r="DE149" i="69"/>
  <c r="DE151" i="69" s="1"/>
  <c r="DE153" i="69" s="1"/>
  <c r="BY235" i="69"/>
  <c r="BY51" i="69"/>
  <c r="DO51" i="69"/>
  <c r="DU94" i="69"/>
  <c r="CY94" i="69"/>
  <c r="DQ51" i="69"/>
  <c r="CK137" i="69"/>
  <c r="CK51" i="69"/>
  <c r="BS223" i="69"/>
  <c r="O180" i="69"/>
  <c r="BW8" i="69"/>
  <c r="BE137" i="69"/>
  <c r="BY137" i="69"/>
  <c r="BC137" i="69"/>
  <c r="BC140" i="69" s="1"/>
  <c r="BC142" i="69" s="1"/>
  <c r="CM180" i="69"/>
  <c r="CI137" i="69"/>
  <c r="AU223" i="69"/>
  <c r="I223" i="69"/>
  <c r="O225" i="69"/>
  <c r="AE57" i="69"/>
  <c r="AE59" i="69" s="1"/>
  <c r="AE61" i="69" s="1"/>
  <c r="DE100" i="69"/>
  <c r="DE102" i="69" s="1"/>
  <c r="DE104" i="69" s="1"/>
  <c r="AU57" i="69"/>
  <c r="AU59" i="69" s="1"/>
  <c r="AU61" i="69" s="1"/>
  <c r="CQ143" i="69"/>
  <c r="CQ145" i="69" s="1"/>
  <c r="CQ147" i="69" s="1"/>
  <c r="DE143" i="69"/>
  <c r="DE145" i="69" s="1"/>
  <c r="DE147" i="69" s="1"/>
  <c r="BG43" i="69"/>
  <c r="G12" i="70" s="1"/>
  <c r="BQ43" i="69"/>
  <c r="D13" i="70" s="1"/>
  <c r="AM76" i="69"/>
  <c r="DA160" i="69"/>
  <c r="DA162" i="69" s="1"/>
  <c r="BS108" i="69"/>
  <c r="BS110" i="69" s="1"/>
  <c r="BU67" i="69"/>
  <c r="BS75" i="69"/>
  <c r="AQ76" i="69"/>
  <c r="BI23" i="69"/>
  <c r="BA33" i="69"/>
  <c r="BC33" i="69"/>
  <c r="AC23" i="69"/>
  <c r="AU166" i="69"/>
  <c r="AU168" i="69" s="1"/>
  <c r="BK72" i="69"/>
  <c r="BK74" i="69" s="1"/>
  <c r="BK76" i="69" s="1"/>
  <c r="CA72" i="69"/>
  <c r="CA74" i="69" s="1"/>
  <c r="CA76" i="69" s="1"/>
  <c r="CA158" i="69"/>
  <c r="CA160" i="69" s="1"/>
  <c r="CA162" i="69" s="1"/>
  <c r="BU28" i="69"/>
  <c r="BG18" i="69"/>
  <c r="AQ104" i="69"/>
  <c r="EI18" i="69"/>
  <c r="BW61" i="69"/>
  <c r="BE233" i="69"/>
  <c r="BG23" i="69"/>
  <c r="AQ109" i="69"/>
  <c r="CO129" i="69"/>
  <c r="H28" i="70" s="1"/>
  <c r="CI129" i="69"/>
  <c r="E28" i="70" s="1"/>
  <c r="DE172" i="69"/>
  <c r="H36" i="70" s="1"/>
  <c r="CY172" i="69"/>
  <c r="E36" i="70" s="1"/>
  <c r="BU39" i="69"/>
  <c r="AM18" i="69"/>
  <c r="CA201" i="69"/>
  <c r="CA203" i="69" s="1"/>
  <c r="CA205" i="69" s="1"/>
  <c r="BK115" i="69"/>
  <c r="BK117" i="69" s="1"/>
  <c r="BK119" i="69" s="1"/>
  <c r="DW115" i="69"/>
  <c r="DW117" i="69" s="1"/>
  <c r="DW119" i="69" s="1"/>
  <c r="AE29" i="69"/>
  <c r="AE31" i="69" s="1"/>
  <c r="AE33" i="69" s="1"/>
  <c r="CQ29" i="69"/>
  <c r="CQ31" i="69" s="1"/>
  <c r="CQ33" i="69" s="1"/>
  <c r="AE244" i="69"/>
  <c r="AE246" i="69" s="1"/>
  <c r="AE248" i="69" s="1"/>
  <c r="AU201" i="69"/>
  <c r="AU203" i="69" s="1"/>
  <c r="AU205" i="69" s="1"/>
  <c r="AU72" i="69"/>
  <c r="AU74" i="69" s="1"/>
  <c r="AU76" i="69" s="1"/>
  <c r="DW72" i="69"/>
  <c r="DW74" i="69" s="1"/>
  <c r="DW76" i="69" s="1"/>
  <c r="AU29" i="69"/>
  <c r="AU31" i="69" s="1"/>
  <c r="AU33" i="69" s="1"/>
  <c r="AO119" i="69"/>
  <c r="AO194" i="69"/>
  <c r="AO196" i="69" s="1"/>
  <c r="BE162" i="69"/>
  <c r="CQ23" i="69"/>
  <c r="W28" i="69"/>
  <c r="EE22" i="69"/>
  <c r="EE24" i="69" s="1"/>
  <c r="BS33" i="69"/>
  <c r="BU33" i="69"/>
  <c r="AI162" i="69"/>
  <c r="AS66" i="69"/>
  <c r="CI118" i="69"/>
  <c r="CI120" i="69" s="1"/>
  <c r="BS166" i="69"/>
  <c r="BS168" i="69" s="1"/>
  <c r="AI119" i="69"/>
  <c r="DG115" i="69"/>
  <c r="DG117" i="69" s="1"/>
  <c r="DG119" i="69" s="1"/>
  <c r="EM72" i="69"/>
  <c r="EM74" i="69" s="1"/>
  <c r="EM76" i="69" s="1"/>
  <c r="BK158" i="69"/>
  <c r="BK160" i="69" s="1"/>
  <c r="BK162" i="69" s="1"/>
  <c r="AE201" i="69"/>
  <c r="AE203" i="69" s="1"/>
  <c r="AE205" i="69" s="1"/>
  <c r="BE28" i="69"/>
  <c r="AM37" i="69"/>
  <c r="AM39" i="69" s="1"/>
  <c r="EG18" i="69"/>
  <c r="AQ61" i="69"/>
  <c r="AO61" i="69"/>
  <c r="AA147" i="69"/>
  <c r="CM23" i="69"/>
  <c r="BA24" i="69"/>
  <c r="BI37" i="69"/>
  <c r="BI39" i="69" s="1"/>
  <c r="AS166" i="69"/>
  <c r="AS168" i="69" s="1"/>
  <c r="BI194" i="69"/>
  <c r="BI196" i="69" s="1"/>
  <c r="AA18" i="69"/>
  <c r="EI22" i="69"/>
  <c r="EI24" i="69" s="1"/>
  <c r="BG39" i="69"/>
  <c r="AA168" i="69"/>
  <c r="AO76" i="69"/>
  <c r="BW28" i="69"/>
  <c r="CU33" i="69"/>
  <c r="M80" i="69"/>
  <c r="BW162" i="69"/>
  <c r="AO114" i="69"/>
  <c r="BE18" i="69"/>
  <c r="BG104" i="69"/>
  <c r="EE18" i="69"/>
  <c r="BY123" i="69"/>
  <c r="BY125" i="69" s="1"/>
  <c r="CY65" i="69"/>
  <c r="CY67" i="69" s="1"/>
  <c r="CA37" i="69"/>
  <c r="CA39" i="69" s="1"/>
  <c r="CQ123" i="69"/>
  <c r="DG80" i="69"/>
  <c r="AU37" i="69"/>
  <c r="O166" i="69"/>
  <c r="O168" i="69" s="1"/>
  <c r="BY247" i="69"/>
  <c r="DG37" i="69"/>
  <c r="DG39" i="69" s="1"/>
  <c r="EM37" i="69"/>
  <c r="EM39" i="69" s="1"/>
  <c r="CQ80" i="69"/>
  <c r="CQ82" i="69" s="1"/>
  <c r="BQ86" i="69"/>
  <c r="D20" i="70" s="1"/>
  <c r="BW86" i="69"/>
  <c r="G20" i="70" s="1"/>
  <c r="BW66" i="69"/>
  <c r="CE75" i="69"/>
  <c r="AU123" i="69"/>
  <c r="AU252" i="69"/>
  <c r="BK37" i="69"/>
  <c r="AE37" i="69"/>
  <c r="O123" i="69"/>
  <c r="CA166" i="69"/>
  <c r="O252" i="69"/>
  <c r="AE252" i="69"/>
  <c r="AE254" i="69" s="1"/>
  <c r="AU209" i="69"/>
  <c r="AI39" i="69"/>
  <c r="DW37" i="69"/>
  <c r="DW39" i="69" s="1"/>
  <c r="AQ125" i="69"/>
  <c r="DW80" i="69"/>
  <c r="DW82" i="69" s="1"/>
  <c r="BK166" i="69"/>
  <c r="BK168" i="69" s="1"/>
  <c r="AI24" i="69"/>
  <c r="BW71" i="69"/>
  <c r="AY118" i="69"/>
  <c r="DE166" i="69"/>
  <c r="DE168" i="69" s="1"/>
  <c r="CA123" i="69"/>
  <c r="CA125" i="69" s="1"/>
  <c r="DW123" i="69"/>
  <c r="AE209" i="69"/>
  <c r="CQ166" i="69"/>
  <c r="CQ168" i="69" s="1"/>
  <c r="BK209" i="69"/>
  <c r="CQ209" i="69"/>
  <c r="AY129" i="69"/>
  <c r="C26" i="70" s="1"/>
  <c r="BA129" i="69"/>
  <c r="D26" i="70" s="1"/>
  <c r="CQ37" i="69"/>
  <c r="CQ39" i="69" s="1"/>
  <c r="AU80" i="69"/>
  <c r="AU82" i="69" s="1"/>
  <c r="CA209" i="69"/>
  <c r="BQ77" i="69"/>
  <c r="BO75" i="69"/>
  <c r="DU80" i="69"/>
  <c r="CA80" i="69"/>
  <c r="BK252" i="69"/>
  <c r="DG166" i="69"/>
  <c r="DG123" i="69"/>
  <c r="DG125" i="69" s="1"/>
  <c r="AE80" i="69"/>
  <c r="AE82" i="69" s="1"/>
  <c r="EM80" i="69"/>
  <c r="EM82" i="69" s="1"/>
  <c r="AE123" i="69"/>
  <c r="AE166" i="69"/>
  <c r="AE168" i="69" s="1"/>
  <c r="O209" i="69"/>
  <c r="O211" i="69" s="1"/>
  <c r="CA248" i="69"/>
  <c r="CE65" i="69"/>
  <c r="CE67" i="69" s="1"/>
  <c r="EG65" i="69"/>
  <c r="EG67" i="69" s="1"/>
  <c r="BA120" i="69"/>
  <c r="CG75" i="69"/>
  <c r="CG77" i="69" s="1"/>
  <c r="CA110" i="69"/>
  <c r="CA112" i="69" s="1"/>
  <c r="CA114" i="69" s="1"/>
  <c r="DO118" i="69"/>
  <c r="DO120" i="69" s="1"/>
  <c r="AK39" i="69"/>
  <c r="CQ110" i="69"/>
  <c r="CQ112" i="69" s="1"/>
  <c r="CQ114" i="69" s="1"/>
  <c r="BK153" i="69"/>
  <c r="BK155" i="69" s="1"/>
  <c r="BK157" i="69" s="1"/>
  <c r="CA192" i="69"/>
  <c r="CA194" i="69" s="1"/>
  <c r="CA196" i="69" s="1"/>
  <c r="AS33" i="69"/>
  <c r="DU123" i="69"/>
  <c r="O153" i="69"/>
  <c r="O155" i="69" s="1"/>
  <c r="O157" i="69" s="1"/>
  <c r="AI142" i="69"/>
  <c r="EG22" i="69"/>
  <c r="EG24" i="69" s="1"/>
  <c r="AO18" i="69"/>
  <c r="AM43" i="69"/>
  <c r="E11" i="70" s="1"/>
  <c r="AE67" i="69"/>
  <c r="AE69" i="69" s="1"/>
  <c r="AE71" i="69" s="1"/>
  <c r="EC65" i="69"/>
  <c r="EC67" i="69" s="1"/>
  <c r="CK194" i="69"/>
  <c r="CK196" i="69" s="1"/>
  <c r="W108" i="69"/>
  <c r="W110" i="69" s="1"/>
  <c r="BS151" i="69"/>
  <c r="BS153" i="69" s="1"/>
  <c r="EM67" i="69"/>
  <c r="EM69" i="69" s="1"/>
  <c r="EM71" i="69" s="1"/>
  <c r="AK24" i="69"/>
  <c r="EM66" i="69"/>
  <c r="DG24" i="69"/>
  <c r="DG26" i="69" s="1"/>
  <c r="DG28" i="69" s="1"/>
  <c r="O67" i="69"/>
  <c r="O69" i="69" s="1"/>
  <c r="O71" i="69" s="1"/>
  <c r="CQ67" i="69"/>
  <c r="CQ69" i="69" s="1"/>
  <c r="CQ71" i="69" s="1"/>
  <c r="CA235" i="69"/>
  <c r="CA237" i="69" s="1"/>
  <c r="CA239" i="69" s="1"/>
  <c r="AQ157" i="69"/>
  <c r="CA67" i="69"/>
  <c r="CA69" i="69" s="1"/>
  <c r="CA71" i="69" s="1"/>
  <c r="G123" i="69"/>
  <c r="G125" i="69" s="1"/>
  <c r="AO28" i="69"/>
  <c r="BE237" i="69"/>
  <c r="BE239" i="69" s="1"/>
  <c r="BC151" i="69"/>
  <c r="BC153" i="69" s="1"/>
  <c r="AQ172" i="69"/>
  <c r="G32" i="70" s="1"/>
  <c r="AU67" i="69"/>
  <c r="AU69" i="69" s="1"/>
  <c r="AU71" i="69" s="1"/>
  <c r="EM24" i="69"/>
  <c r="EM26" i="69" s="1"/>
  <c r="EM28" i="69" s="1"/>
  <c r="AO153" i="69"/>
  <c r="DM22" i="69"/>
  <c r="DM24" i="69" s="1"/>
  <c r="AU110" i="69"/>
  <c r="AU112" i="69" s="1"/>
  <c r="AU114" i="69" s="1"/>
  <c r="CQ192" i="69"/>
  <c r="CQ194" i="69" s="1"/>
  <c r="CQ196" i="69" s="1"/>
  <c r="O110" i="69"/>
  <c r="O112" i="69" s="1"/>
  <c r="O114" i="69" s="1"/>
  <c r="BK192" i="69"/>
  <c r="AU235" i="69"/>
  <c r="AU237" i="69" s="1"/>
  <c r="AU239" i="69" s="1"/>
  <c r="AS23" i="69"/>
  <c r="AM172" i="69"/>
  <c r="E32" i="70" s="1"/>
  <c r="AU24" i="69"/>
  <c r="AU26" i="69" s="1"/>
  <c r="AU28" i="69" s="1"/>
  <c r="BG205" i="69"/>
  <c r="BG207" i="69" s="1"/>
  <c r="AO33" i="69"/>
  <c r="AO147" i="69"/>
  <c r="AU43" i="69"/>
  <c r="I11" i="70" s="1"/>
  <c r="AM28" i="69"/>
  <c r="CQ149" i="69"/>
  <c r="CQ151" i="69" s="1"/>
  <c r="CQ153" i="69" s="1"/>
  <c r="CA24" i="69"/>
  <c r="CA26" i="69" s="1"/>
  <c r="CA28" i="69" s="1"/>
  <c r="BK110" i="69"/>
  <c r="BK112" i="69" s="1"/>
  <c r="BK114" i="69" s="1"/>
  <c r="AU192" i="69"/>
  <c r="AU194" i="69" s="1"/>
  <c r="AU196" i="69" s="1"/>
  <c r="EK66" i="69"/>
  <c r="AK162" i="69"/>
  <c r="AU172" i="69"/>
  <c r="I32" i="70" s="1"/>
  <c r="AQ147" i="69"/>
  <c r="AO104" i="69"/>
  <c r="AQ23" i="69"/>
  <c r="AQ43" i="69"/>
  <c r="G11" i="70" s="1"/>
  <c r="BU258" i="69"/>
  <c r="F45" i="70" s="1"/>
  <c r="BC65" i="69"/>
  <c r="BC67" i="69" s="1"/>
  <c r="DW24" i="69"/>
  <c r="DW26" i="69" s="1"/>
  <c r="DW28" i="69" s="1"/>
  <c r="CQ24" i="69"/>
  <c r="CQ26" i="69" s="1"/>
  <c r="CQ28" i="69" s="1"/>
  <c r="BK24" i="69"/>
  <c r="BK26" i="69" s="1"/>
  <c r="BK28" i="69" s="1"/>
  <c r="AE110" i="69"/>
  <c r="AE112" i="69" s="1"/>
  <c r="AE114" i="69" s="1"/>
  <c r="BK235" i="69"/>
  <c r="BK237" i="69" s="1"/>
  <c r="BK239" i="69" s="1"/>
  <c r="AS152" i="69"/>
  <c r="BY237" i="69"/>
  <c r="BY239" i="69" s="1"/>
  <c r="EE37" i="69"/>
  <c r="EE39" i="69" s="1"/>
  <c r="AI172" i="69"/>
  <c r="C32" i="70" s="1"/>
  <c r="AQ152" i="69"/>
  <c r="CM194" i="69"/>
  <c r="CM196" i="69" s="1"/>
  <c r="AS43" i="69"/>
  <c r="H11" i="70" s="1"/>
  <c r="AK33" i="69"/>
  <c r="BC24" i="69"/>
  <c r="AM33" i="69"/>
  <c r="AM153" i="69"/>
  <c r="BW258" i="69"/>
  <c r="G45" i="70" s="1"/>
  <c r="W194" i="69"/>
  <c r="W196" i="69" s="1"/>
  <c r="CW151" i="69"/>
  <c r="CW153" i="69" s="1"/>
  <c r="AI33" i="69"/>
  <c r="BK67" i="69"/>
  <c r="BK69" i="69" s="1"/>
  <c r="BK71" i="69" s="1"/>
  <c r="DW67" i="69"/>
  <c r="DW69" i="69" s="1"/>
  <c r="DW71" i="69" s="1"/>
  <c r="DW110" i="69"/>
  <c r="DW112" i="69" s="1"/>
  <c r="DW114" i="69" s="1"/>
  <c r="O239" i="69"/>
  <c r="O241" i="69" s="1"/>
  <c r="O243" i="69" s="1"/>
  <c r="AO172" i="69"/>
  <c r="F32" i="70" s="1"/>
  <c r="M209" i="69"/>
  <c r="G252" i="69"/>
  <c r="G254" i="69" s="1"/>
  <c r="AE196" i="69"/>
  <c r="AE198" i="69" s="1"/>
  <c r="AE200" i="69" s="1"/>
  <c r="AK172" i="69"/>
  <c r="D32" i="70" s="1"/>
  <c r="AU162" i="69"/>
  <c r="CI75" i="69"/>
  <c r="CI77" i="69" s="1"/>
  <c r="AI43" i="69"/>
  <c r="C11" i="70" s="1"/>
  <c r="EG86" i="69"/>
  <c r="AM166" i="69"/>
  <c r="AM168" i="69" s="1"/>
  <c r="CM129" i="69"/>
  <c r="G28" i="70" s="1"/>
  <c r="DA22" i="69"/>
  <c r="DA24" i="69" s="1"/>
  <c r="W204" i="69"/>
  <c r="W206" i="69" s="1"/>
  <c r="CO104" i="69"/>
  <c r="DA147" i="69"/>
  <c r="DS65" i="69"/>
  <c r="DS67" i="69" s="1"/>
  <c r="CM151" i="69"/>
  <c r="CM153" i="69" s="1"/>
  <c r="CM110" i="69"/>
  <c r="BG237" i="69"/>
  <c r="BG239" i="69" s="1"/>
  <c r="BS172" i="69"/>
  <c r="E34" i="70" s="1"/>
  <c r="BO172" i="69"/>
  <c r="C34" i="70" s="1"/>
  <c r="BG8" i="69"/>
  <c r="EK8" i="69"/>
  <c r="Y205" i="69"/>
  <c r="AO23" i="69"/>
  <c r="AO109" i="69"/>
  <c r="CA157" i="69"/>
  <c r="BC237" i="69"/>
  <c r="BC239" i="69" s="1"/>
  <c r="BQ194" i="69"/>
  <c r="DC151" i="69"/>
  <c r="DC153" i="69" s="1"/>
  <c r="CK129" i="69"/>
  <c r="F28" i="70" s="1"/>
  <c r="EA86" i="69"/>
  <c r="CW172" i="69"/>
  <c r="D36" i="70" s="1"/>
  <c r="DO108" i="69"/>
  <c r="DO110" i="69" s="1"/>
  <c r="CA258" i="69"/>
  <c r="I45" i="70" s="1"/>
  <c r="DO65" i="69"/>
  <c r="DO67" i="69" s="1"/>
  <c r="EC86" i="69"/>
  <c r="E108" i="69"/>
  <c r="E110" i="69" s="1"/>
  <c r="DG172" i="69"/>
  <c r="I36" i="70" s="1"/>
  <c r="DA33" i="69"/>
  <c r="BO151" i="69"/>
  <c r="CQ109" i="69"/>
  <c r="G37" i="69"/>
  <c r="AM123" i="69"/>
  <c r="AM125" i="69" s="1"/>
  <c r="AE125" i="69"/>
  <c r="M166" i="69"/>
  <c r="M168" i="69" s="1"/>
  <c r="CI209" i="69"/>
  <c r="CI211" i="69" s="1"/>
  <c r="EE86" i="69"/>
  <c r="S237" i="69"/>
  <c r="S239" i="69" s="1"/>
  <c r="DE39" i="69"/>
  <c r="CO119" i="69"/>
  <c r="CE129" i="69"/>
  <c r="C28" i="70" s="1"/>
  <c r="CQ129" i="69"/>
  <c r="I28" i="70" s="1"/>
  <c r="CM119" i="69"/>
  <c r="W166" i="69"/>
  <c r="W168" i="69" s="1"/>
  <c r="EM61" i="69"/>
  <c r="AS233" i="69"/>
  <c r="EG61" i="69"/>
  <c r="CU22" i="69"/>
  <c r="CU24" i="69" s="1"/>
  <c r="BC104" i="69"/>
  <c r="DG23" i="69"/>
  <c r="BS194" i="69"/>
  <c r="BS196" i="69" s="1"/>
  <c r="BY258" i="69"/>
  <c r="H45" i="70" s="1"/>
  <c r="CY118" i="69"/>
  <c r="CY120" i="69" s="1"/>
  <c r="EM86" i="69"/>
  <c r="DC28" i="69"/>
  <c r="BC118" i="69"/>
  <c r="BC120" i="69" s="1"/>
  <c r="BS22" i="69"/>
  <c r="BS24" i="69" s="1"/>
  <c r="BU237" i="69"/>
  <c r="BU239" i="69" s="1"/>
  <c r="AO237" i="69"/>
  <c r="AO239" i="69" s="1"/>
  <c r="CY151" i="69"/>
  <c r="CY153" i="69" s="1"/>
  <c r="CI110" i="69"/>
  <c r="W237" i="69"/>
  <c r="W239" i="69" s="1"/>
  <c r="BQ258" i="69"/>
  <c r="D45" i="70" s="1"/>
  <c r="BS258" i="69"/>
  <c r="E45" i="70" s="1"/>
  <c r="CK119" i="69"/>
  <c r="BS65" i="69"/>
  <c r="BS67" i="69" s="1"/>
  <c r="CY108" i="69"/>
  <c r="CY110" i="69" s="1"/>
  <c r="EK86" i="69"/>
  <c r="BA108" i="69"/>
  <c r="U194" i="69"/>
  <c r="U196" i="69" s="1"/>
  <c r="CY33" i="69"/>
  <c r="CU172" i="69"/>
  <c r="C36" i="70" s="1"/>
  <c r="AE237" i="69"/>
  <c r="AE239" i="69" s="1"/>
  <c r="DC172" i="69"/>
  <c r="G36" i="70" s="1"/>
  <c r="BI123" i="69"/>
  <c r="BI125" i="69" s="1"/>
  <c r="CI166" i="69"/>
  <c r="CI168" i="69" s="1"/>
  <c r="G209" i="69"/>
  <c r="G211" i="69" s="1"/>
  <c r="CW33" i="69"/>
  <c r="CG129" i="69"/>
  <c r="D28" i="70" s="1"/>
  <c r="DG162" i="69"/>
  <c r="CK108" i="69"/>
  <c r="CK110" i="69" s="1"/>
  <c r="DG147" i="69"/>
  <c r="CK104" i="69"/>
  <c r="DA18" i="69"/>
  <c r="EI61" i="69"/>
  <c r="DC108" i="69"/>
  <c r="DC110" i="69" s="1"/>
  <c r="DS22" i="69"/>
  <c r="DS24" i="69" s="1"/>
  <c r="BW237" i="69"/>
  <c r="BW239" i="69" s="1"/>
  <c r="DS108" i="69"/>
  <c r="DS110" i="69" s="1"/>
  <c r="AQ194" i="69"/>
  <c r="AQ196" i="69" s="1"/>
  <c r="DQ129" i="69"/>
  <c r="F30" i="70" s="1"/>
  <c r="DU129" i="69"/>
  <c r="H30" i="70" s="1"/>
  <c r="DS129" i="69"/>
  <c r="G30" i="70" s="1"/>
  <c r="Y215" i="69"/>
  <c r="F37" i="70" s="1"/>
  <c r="W215" i="69"/>
  <c r="E37" i="70" s="1"/>
  <c r="AU129" i="69"/>
  <c r="I25" i="70" s="1"/>
  <c r="AS129" i="69"/>
  <c r="H25" i="70" s="1"/>
  <c r="EK29" i="69"/>
  <c r="EK31" i="69" s="1"/>
  <c r="EK33" i="69" s="1"/>
  <c r="DE158" i="69"/>
  <c r="DE160" i="69" s="1"/>
  <c r="DE162" i="69" s="1"/>
  <c r="CO72" i="69"/>
  <c r="CO74" i="69" s="1"/>
  <c r="CO76" i="69" s="1"/>
  <c r="AC29" i="69"/>
  <c r="AC31" i="69" s="1"/>
  <c r="AC33" i="69" s="1"/>
  <c r="BI72" i="69"/>
  <c r="BI74" i="69" s="1"/>
  <c r="BI76" i="69" s="1"/>
  <c r="M72" i="69"/>
  <c r="M74" i="69" s="1"/>
  <c r="M76" i="69" s="1"/>
  <c r="BI29" i="69"/>
  <c r="BI31" i="69" s="1"/>
  <c r="BI33" i="69" s="1"/>
  <c r="BE119" i="69"/>
  <c r="DO22" i="69"/>
  <c r="AM67" i="69"/>
  <c r="AS125" i="69"/>
  <c r="DO77" i="69"/>
  <c r="CA211" i="69"/>
  <c r="BY82" i="69"/>
  <c r="W129" i="69"/>
  <c r="E24" i="70" s="1"/>
  <c r="S129" i="69"/>
  <c r="C24" i="70" s="1"/>
  <c r="AE129" i="69"/>
  <c r="I24" i="70" s="1"/>
  <c r="AC129" i="69"/>
  <c r="H24" i="70" s="1"/>
  <c r="AA129" i="69"/>
  <c r="G24" i="70" s="1"/>
  <c r="Y129" i="69"/>
  <c r="F24" i="70" s="1"/>
  <c r="U129" i="69"/>
  <c r="D24" i="70" s="1"/>
  <c r="E168" i="69"/>
  <c r="BA39" i="69"/>
  <c r="DO39" i="69"/>
  <c r="BE125" i="69"/>
  <c r="G39" i="69"/>
  <c r="BA211" i="69"/>
  <c r="G76" i="69"/>
  <c r="EG76" i="69"/>
  <c r="DQ82" i="69"/>
  <c r="K39" i="69"/>
  <c r="DM39" i="69"/>
  <c r="CU125" i="69"/>
  <c r="BQ39" i="69"/>
  <c r="CK205" i="69"/>
  <c r="BU82" i="69"/>
  <c r="E39" i="69"/>
  <c r="AO168" i="69"/>
  <c r="CI39" i="69"/>
  <c r="CE168" i="69"/>
  <c r="BQ125" i="69"/>
  <c r="DQ119" i="69"/>
  <c r="M211" i="69"/>
  <c r="Y104" i="69"/>
  <c r="DQ24" i="69"/>
  <c r="EA39" i="69"/>
  <c r="W80" i="69"/>
  <c r="W82" i="69" s="1"/>
  <c r="E125" i="69"/>
  <c r="AK82" i="69"/>
  <c r="AM80" i="69"/>
  <c r="AM82" i="69" s="1"/>
  <c r="CG39" i="69"/>
  <c r="EK82" i="69"/>
  <c r="DG168" i="69"/>
  <c r="DA125" i="69"/>
  <c r="BU168" i="69"/>
  <c r="G166" i="69"/>
  <c r="G168" i="69" s="1"/>
  <c r="BO211" i="69"/>
  <c r="BO239" i="69"/>
  <c r="CM65" i="69"/>
  <c r="CM67" i="69" s="1"/>
  <c r="AA237" i="69"/>
  <c r="AA239" i="69" s="1"/>
  <c r="DW23" i="69"/>
  <c r="EE77" i="69"/>
  <c r="AK239" i="69"/>
  <c r="AE109" i="69"/>
  <c r="AA125" i="69"/>
  <c r="AS37" i="69"/>
  <c r="BI80" i="69"/>
  <c r="CY37" i="69"/>
  <c r="AA82" i="69"/>
  <c r="S168" i="69"/>
  <c r="DU125" i="69"/>
  <c r="CO166" i="69"/>
  <c r="Y168" i="69"/>
  <c r="DW33" i="69"/>
  <c r="S99" i="69"/>
  <c r="BU190" i="69"/>
  <c r="U119" i="69"/>
  <c r="BU151" i="69"/>
  <c r="BU153" i="69" s="1"/>
  <c r="W151" i="69"/>
  <c r="W153" i="69" s="1"/>
  <c r="AM119" i="69"/>
  <c r="BE39" i="69"/>
  <c r="U65" i="69"/>
  <c r="U67" i="69" s="1"/>
  <c r="E237" i="69"/>
  <c r="E239" i="69" s="1"/>
  <c r="BC39" i="69"/>
  <c r="Y119" i="69"/>
  <c r="AA211" i="69"/>
  <c r="K211" i="69"/>
  <c r="CK82" i="69"/>
  <c r="DQ39" i="69"/>
  <c r="EK37" i="69"/>
  <c r="BO125" i="69"/>
  <c r="AS80" i="69"/>
  <c r="CE125" i="69"/>
  <c r="AC209" i="69"/>
  <c r="CK125" i="69"/>
  <c r="M252" i="69"/>
  <c r="I168" i="69"/>
  <c r="CE211" i="69"/>
  <c r="BU125" i="69"/>
  <c r="AQ168" i="69"/>
  <c r="AM252" i="69"/>
  <c r="AM254" i="69" s="1"/>
  <c r="S110" i="69"/>
  <c r="BW246" i="69"/>
  <c r="DG33" i="69"/>
  <c r="DC65" i="69"/>
  <c r="DC67" i="69" s="1"/>
  <c r="EI65" i="69"/>
  <c r="EI67" i="69" s="1"/>
  <c r="BW194" i="69"/>
  <c r="BW196" i="69" s="1"/>
  <c r="DS43" i="69"/>
  <c r="G16" i="70" s="1"/>
  <c r="DW43" i="69"/>
  <c r="I16" i="70" s="1"/>
  <c r="DU43" i="69"/>
  <c r="H16" i="70" s="1"/>
  <c r="DO43" i="69"/>
  <c r="E16" i="70" s="1"/>
  <c r="DM43" i="69"/>
  <c r="D16" i="70" s="1"/>
  <c r="DQ43" i="69"/>
  <c r="F16" i="70" s="1"/>
  <c r="DK43" i="69"/>
  <c r="C16" i="70" s="1"/>
  <c r="DQ33" i="69"/>
  <c r="BQ215" i="69"/>
  <c r="D40" i="70" s="1"/>
  <c r="CA215" i="69"/>
  <c r="I40" i="70" s="1"/>
  <c r="BY215" i="69"/>
  <c r="H40" i="70" s="1"/>
  <c r="BS215" i="69"/>
  <c r="E40" i="70" s="1"/>
  <c r="BO215" i="69"/>
  <c r="C40" i="70" s="1"/>
  <c r="BW215" i="69"/>
  <c r="G40" i="70" s="1"/>
  <c r="BU215" i="69"/>
  <c r="F40" i="70" s="1"/>
  <c r="BO39" i="69"/>
  <c r="AY44" i="69"/>
  <c r="B120" i="70" s="1"/>
  <c r="B122" i="70" s="1"/>
  <c r="M61" i="70" s="1"/>
  <c r="C15" i="48" s="1"/>
  <c r="AY39" i="69"/>
  <c r="CW82" i="69"/>
  <c r="K168" i="69"/>
  <c r="CU168" i="69"/>
  <c r="BE254" i="69"/>
  <c r="BE205" i="69"/>
  <c r="AC119" i="69"/>
  <c r="C168" i="69"/>
  <c r="DM82" i="69"/>
  <c r="EG39" i="69"/>
  <c r="AC39" i="69"/>
  <c r="EI82" i="69"/>
  <c r="AC114" i="69"/>
  <c r="DQ18" i="69"/>
  <c r="Y109" i="69"/>
  <c r="K82" i="69"/>
  <c r="AU39" i="69"/>
  <c r="CG125" i="69"/>
  <c r="BI224" i="69"/>
  <c r="BI226" i="69" s="1"/>
  <c r="BI228" i="69" s="1"/>
  <c r="AM224" i="69"/>
  <c r="AM226" i="69" s="1"/>
  <c r="AM228" i="69" s="1"/>
  <c r="K224" i="69"/>
  <c r="BQ223" i="69"/>
  <c r="BQ226" i="69" s="1"/>
  <c r="BQ228" i="69" s="1"/>
  <c r="CA224" i="69"/>
  <c r="BE224" i="69"/>
  <c r="AC224" i="69"/>
  <c r="AC226" i="69" s="1"/>
  <c r="AC228" i="69" s="1"/>
  <c r="G224" i="69"/>
  <c r="G226" i="69" s="1"/>
  <c r="G228" i="69" s="1"/>
  <c r="BS224" i="69"/>
  <c r="BS226" i="69" s="1"/>
  <c r="BS228" i="69" s="1"/>
  <c r="AE224" i="69"/>
  <c r="AE226" i="69" s="1"/>
  <c r="E223" i="69"/>
  <c r="E226" i="69" s="1"/>
  <c r="E228" i="69" s="1"/>
  <c r="CM181" i="69"/>
  <c r="CM183" i="69" s="1"/>
  <c r="CM185" i="69" s="1"/>
  <c r="BK181" i="69"/>
  <c r="AO181" i="69"/>
  <c r="M181" i="69"/>
  <c r="BQ180" i="69"/>
  <c r="BQ183" i="69" s="1"/>
  <c r="BQ185" i="69" s="1"/>
  <c r="BK224" i="69"/>
  <c r="AA224" i="69"/>
  <c r="AA226" i="69" s="1"/>
  <c r="AA228" i="69" s="1"/>
  <c r="BA223" i="69"/>
  <c r="BA226" i="69" s="1"/>
  <c r="BA228" i="69" s="1"/>
  <c r="CK181" i="69"/>
  <c r="BI181" i="69"/>
  <c r="BI183" i="69" s="1"/>
  <c r="BI185" i="69" s="1"/>
  <c r="AM181" i="69"/>
  <c r="AM183" i="69" s="1"/>
  <c r="AM185" i="69" s="1"/>
  <c r="K181" i="69"/>
  <c r="BG224" i="69"/>
  <c r="BG226" i="69" s="1"/>
  <c r="BG228" i="69" s="1"/>
  <c r="Y224" i="69"/>
  <c r="CI181" i="69"/>
  <c r="CI183" i="69" s="1"/>
  <c r="CI185" i="69" s="1"/>
  <c r="BG181" i="69"/>
  <c r="AE181" i="69"/>
  <c r="I181" i="69"/>
  <c r="I183" i="69" s="1"/>
  <c r="I185" i="69" s="1"/>
  <c r="BW224" i="69"/>
  <c r="O224" i="69"/>
  <c r="CA181" i="69"/>
  <c r="AS181" i="69"/>
  <c r="CO138" i="69"/>
  <c r="CO140" i="69" s="1"/>
  <c r="CO142" i="69" s="1"/>
  <c r="BS138" i="69"/>
  <c r="AQ138" i="69"/>
  <c r="O138" i="69"/>
  <c r="O140" i="69" s="1"/>
  <c r="O142" i="69" s="1"/>
  <c r="BQ137" i="69"/>
  <c r="BQ140" i="69" s="1"/>
  <c r="BQ142" i="69" s="1"/>
  <c r="O96" i="69"/>
  <c r="BU224" i="69"/>
  <c r="BU226" i="69" s="1"/>
  <c r="BU228" i="69" s="1"/>
  <c r="M224" i="69"/>
  <c r="BY181" i="69"/>
  <c r="AQ181" i="69"/>
  <c r="AQ183" i="69" s="1"/>
  <c r="AQ185" i="69" s="1"/>
  <c r="U180" i="69"/>
  <c r="U183" i="69" s="1"/>
  <c r="U185" i="69" s="1"/>
  <c r="CM138" i="69"/>
  <c r="CM140" i="69" s="1"/>
  <c r="CM142" i="69" s="1"/>
  <c r="BK138" i="69"/>
  <c r="AO138" i="69"/>
  <c r="AO140" i="69" s="1"/>
  <c r="M138" i="69"/>
  <c r="CG137" i="69"/>
  <c r="CG140" i="69" s="1"/>
  <c r="CG142" i="69" s="1"/>
  <c r="BC224" i="69"/>
  <c r="I224" i="69"/>
  <c r="I226" i="69" s="1"/>
  <c r="BW181" i="69"/>
  <c r="BW183" i="69" s="1"/>
  <c r="BW185" i="69" s="1"/>
  <c r="AC181" i="69"/>
  <c r="DG138" i="69"/>
  <c r="CK138" i="69"/>
  <c r="BI138" i="69"/>
  <c r="AM138" i="69"/>
  <c r="AM140" i="69" s="1"/>
  <c r="K138" i="69"/>
  <c r="CW137" i="69"/>
  <c r="CW140" i="69" s="1"/>
  <c r="CW142" i="69" s="1"/>
  <c r="DW95" i="69"/>
  <c r="DW97" i="69" s="1"/>
  <c r="DW99" i="69" s="1"/>
  <c r="AS224" i="69"/>
  <c r="AU181" i="69"/>
  <c r="E180" i="69"/>
  <c r="E183" i="69" s="1"/>
  <c r="E185" i="69" s="1"/>
  <c r="CA138" i="69"/>
  <c r="AS138" i="69"/>
  <c r="DE95" i="69"/>
  <c r="DE97" i="69" s="1"/>
  <c r="DE99" i="69" s="1"/>
  <c r="CI95" i="69"/>
  <c r="BG95" i="69"/>
  <c r="BG97" i="69" s="1"/>
  <c r="BG99" i="69" s="1"/>
  <c r="AE95" i="69"/>
  <c r="AE97" i="69" s="1"/>
  <c r="AE99" i="69" s="1"/>
  <c r="I95" i="69"/>
  <c r="E94" i="69"/>
  <c r="E97" i="69" s="1"/>
  <c r="E99" i="69" s="1"/>
  <c r="AQ224" i="69"/>
  <c r="AQ226" i="69" s="1"/>
  <c r="AQ228" i="69" s="1"/>
  <c r="AA181" i="69"/>
  <c r="AA183" i="69" s="1"/>
  <c r="AK180" i="69"/>
  <c r="AK183" i="69" s="1"/>
  <c r="AK185" i="69" s="1"/>
  <c r="BY138" i="69"/>
  <c r="AE138" i="69"/>
  <c r="BA137" i="69"/>
  <c r="BA140" i="69" s="1"/>
  <c r="BA142" i="69" s="1"/>
  <c r="U137" i="69"/>
  <c r="U140" i="69" s="1"/>
  <c r="U142" i="69" s="1"/>
  <c r="AO224" i="69"/>
  <c r="AO226" i="69" s="1"/>
  <c r="AK223" i="69"/>
  <c r="AK226" i="69" s="1"/>
  <c r="AK228" i="69" s="1"/>
  <c r="CQ181" i="69"/>
  <c r="Y181" i="69"/>
  <c r="DE138" i="69"/>
  <c r="BW138" i="69"/>
  <c r="AC138" i="69"/>
  <c r="K96" i="69"/>
  <c r="DA95" i="69"/>
  <c r="DA97" i="69" s="1"/>
  <c r="BY95" i="69"/>
  <c r="BC95" i="69"/>
  <c r="AA95" i="69"/>
  <c r="AA97" i="69" s="1"/>
  <c r="AK94" i="69"/>
  <c r="AK97" i="69" s="1"/>
  <c r="AK99" i="69" s="1"/>
  <c r="W224" i="69"/>
  <c r="W226" i="69" s="1"/>
  <c r="W228" i="69" s="1"/>
  <c r="CO181" i="69"/>
  <c r="DC138" i="69"/>
  <c r="BC138" i="69"/>
  <c r="E137" i="69"/>
  <c r="E140" i="69" s="1"/>
  <c r="E142" i="69" s="1"/>
  <c r="DS95" i="69"/>
  <c r="CM95" i="69"/>
  <c r="CM97" i="69" s="1"/>
  <c r="BE95" i="69"/>
  <c r="BE97" i="69" s="1"/>
  <c r="W95" i="69"/>
  <c r="W97" i="69" s="1"/>
  <c r="BQ94" i="69"/>
  <c r="BQ97" i="69" s="1"/>
  <c r="BQ99" i="69" s="1"/>
  <c r="U94" i="69"/>
  <c r="U97" i="69" s="1"/>
  <c r="U99" i="69" s="1"/>
  <c r="EG52" i="69"/>
  <c r="DE52" i="69"/>
  <c r="DE54" i="69" s="1"/>
  <c r="DE56" i="69" s="1"/>
  <c r="CI52" i="69"/>
  <c r="BG52" i="69"/>
  <c r="BG54" i="69" s="1"/>
  <c r="I52" i="69"/>
  <c r="U51" i="69"/>
  <c r="U54" i="69" s="1"/>
  <c r="U56" i="69" s="1"/>
  <c r="BK10" i="69"/>
  <c r="EK9" i="69"/>
  <c r="DO9" i="69"/>
  <c r="DO11" i="69" s="1"/>
  <c r="DO13" i="69" s="1"/>
  <c r="CM9" i="69"/>
  <c r="CM11" i="69" s="1"/>
  <c r="AO9" i="69"/>
  <c r="I9" i="69"/>
  <c r="U8" i="69"/>
  <c r="U11" i="69" s="1"/>
  <c r="U13" i="69" s="1"/>
  <c r="BG10" i="69"/>
  <c r="DG9" i="69"/>
  <c r="CK9" i="69"/>
  <c r="CK11" i="69" s="1"/>
  <c r="CK13" i="69" s="1"/>
  <c r="BI9" i="69"/>
  <c r="AM9" i="69"/>
  <c r="AM11" i="69" s="1"/>
  <c r="G9" i="69"/>
  <c r="AK8" i="69"/>
  <c r="AK11" i="69" s="1"/>
  <c r="Y138" i="69"/>
  <c r="DG95" i="69"/>
  <c r="AQ95" i="69"/>
  <c r="AQ97" i="69" s="1"/>
  <c r="AQ99" i="69" s="1"/>
  <c r="CY52" i="69"/>
  <c r="AU52" i="69"/>
  <c r="BU181" i="69"/>
  <c r="CG180" i="69"/>
  <c r="CG183" i="69" s="1"/>
  <c r="CG185" i="69" s="1"/>
  <c r="DA138" i="69"/>
  <c r="DA140" i="69" s="1"/>
  <c r="DA142" i="69" s="1"/>
  <c r="AU138" i="69"/>
  <c r="DQ95" i="69"/>
  <c r="CK95" i="69"/>
  <c r="AU95" i="69"/>
  <c r="AU97" i="69" s="1"/>
  <c r="AU99" i="69" s="1"/>
  <c r="DM94" i="69"/>
  <c r="DM97" i="69" s="1"/>
  <c r="DM99" i="69" s="1"/>
  <c r="AE53" i="69"/>
  <c r="EE52" i="69"/>
  <c r="DC52" i="69"/>
  <c r="DC54" i="69" s="1"/>
  <c r="CA52" i="69"/>
  <c r="CA54" i="69" s="1"/>
  <c r="CA56" i="69" s="1"/>
  <c r="BE52" i="69"/>
  <c r="BE54" i="69" s="1"/>
  <c r="AC52" i="69"/>
  <c r="G52" i="69"/>
  <c r="AK51" i="69"/>
  <c r="AK54" i="69" s="1"/>
  <c r="AK56" i="69" s="1"/>
  <c r="EI9" i="69"/>
  <c r="O53" i="69"/>
  <c r="Y52" i="69"/>
  <c r="BS181" i="69"/>
  <c r="CY138" i="69"/>
  <c r="CY140" i="69" s="1"/>
  <c r="CY142" i="69" s="1"/>
  <c r="AA138" i="69"/>
  <c r="DO95" i="69"/>
  <c r="CA95" i="69"/>
  <c r="AS95" i="69"/>
  <c r="M95" i="69"/>
  <c r="AA53" i="69"/>
  <c r="DW52" i="69"/>
  <c r="DA52" i="69"/>
  <c r="BY52" i="69"/>
  <c r="BC52" i="69"/>
  <c r="BA51" i="69"/>
  <c r="BA54" i="69" s="1"/>
  <c r="BA56" i="69" s="1"/>
  <c r="AU10" i="69"/>
  <c r="EG9" i="69"/>
  <c r="DE9" i="69"/>
  <c r="CI9" i="69"/>
  <c r="CI11" i="69" s="1"/>
  <c r="BA8" i="69"/>
  <c r="BA11" i="69" s="1"/>
  <c r="BA13" i="69" s="1"/>
  <c r="BE181" i="69"/>
  <c r="CQ138" i="69"/>
  <c r="CQ140" i="69" s="1"/>
  <c r="AK137" i="69"/>
  <c r="AK140" i="69" s="1"/>
  <c r="AK142" i="69" s="1"/>
  <c r="BW95" i="69"/>
  <c r="CG94" i="69"/>
  <c r="CG97" i="69" s="1"/>
  <c r="CG99" i="69" s="1"/>
  <c r="DU52" i="69"/>
  <c r="DU54" i="69" s="1"/>
  <c r="DU56" i="69" s="1"/>
  <c r="BW52" i="69"/>
  <c r="BQ51" i="69"/>
  <c r="BQ54" i="69" s="1"/>
  <c r="BQ56" i="69" s="1"/>
  <c r="W138" i="69"/>
  <c r="BU95" i="69"/>
  <c r="G95" i="69"/>
  <c r="EI52" i="69"/>
  <c r="EI54" i="69" s="1"/>
  <c r="EI56" i="69" s="1"/>
  <c r="CK52" i="69"/>
  <c r="AM52" i="69"/>
  <c r="AM54" i="69" s="1"/>
  <c r="EC51" i="69"/>
  <c r="EC54" i="69" s="1"/>
  <c r="EC56" i="69" s="1"/>
  <c r="DU9" i="69"/>
  <c r="CA9" i="69"/>
  <c r="AS9" i="69"/>
  <c r="DS52" i="69"/>
  <c r="DS54" i="69" s="1"/>
  <c r="W52" i="69"/>
  <c r="CG51" i="69"/>
  <c r="CG54" i="69" s="1"/>
  <c r="CG56" i="69" s="1"/>
  <c r="AQ10" i="69"/>
  <c r="DS9" i="69"/>
  <c r="BY9" i="69"/>
  <c r="BY11" i="69" s="1"/>
  <c r="DO52" i="69"/>
  <c r="M52" i="69"/>
  <c r="AA10" i="69"/>
  <c r="BU9" i="69"/>
  <c r="EC8" i="69"/>
  <c r="EC11" i="69" s="1"/>
  <c r="EC13" i="69" s="1"/>
  <c r="CI138" i="69"/>
  <c r="CI140" i="69" s="1"/>
  <c r="DC95" i="69"/>
  <c r="BI52" i="69"/>
  <c r="BI54" i="69" s="1"/>
  <c r="BI56" i="69" s="1"/>
  <c r="K10" i="69"/>
  <c r="BS9" i="69"/>
  <c r="BS11" i="69" s="1"/>
  <c r="K53" i="69"/>
  <c r="CY9" i="69"/>
  <c r="W9" i="69"/>
  <c r="W11" i="69" s="1"/>
  <c r="BG138" i="69"/>
  <c r="AC95" i="69"/>
  <c r="CO52" i="69"/>
  <c r="CO54" i="69" s="1"/>
  <c r="CW51" i="69"/>
  <c r="CW54" i="69" s="1"/>
  <c r="CW56" i="69" s="1"/>
  <c r="EK52" i="69"/>
  <c r="AO52" i="69"/>
  <c r="AO54" i="69" s="1"/>
  <c r="DW9" i="69"/>
  <c r="U223" i="69"/>
  <c r="U226" i="69" s="1"/>
  <c r="U228" i="69" s="1"/>
  <c r="BC181" i="69"/>
  <c r="I138" i="69"/>
  <c r="BS95" i="69"/>
  <c r="BU52" i="69"/>
  <c r="BK52" i="69"/>
  <c r="BK54" i="69" s="1"/>
  <c r="BQ8" i="69"/>
  <c r="BQ11" i="69" s="1"/>
  <c r="BQ13" i="69" s="1"/>
  <c r="E51" i="69"/>
  <c r="E54" i="69" s="1"/>
  <c r="CY95" i="69"/>
  <c r="AS52" i="69"/>
  <c r="AU224" i="69"/>
  <c r="CQ9" i="69"/>
  <c r="CQ11" i="69" s="1"/>
  <c r="CQ13" i="69" s="1"/>
  <c r="BA180" i="69"/>
  <c r="BA183" i="69" s="1"/>
  <c r="BA185" i="69" s="1"/>
  <c r="W181" i="69"/>
  <c r="W183" i="69" s="1"/>
  <c r="W185" i="69" s="1"/>
  <c r="G138" i="69"/>
  <c r="G140" i="69" s="1"/>
  <c r="BK95" i="69"/>
  <c r="DQ52" i="69"/>
  <c r="BS52" i="69"/>
  <c r="AE10" i="69"/>
  <c r="DQ9" i="69"/>
  <c r="BW9" i="69"/>
  <c r="AC9" i="69"/>
  <c r="O181" i="69"/>
  <c r="DU95" i="69"/>
  <c r="BI95" i="69"/>
  <c r="DM51" i="69"/>
  <c r="DM54" i="69" s="1"/>
  <c r="DM56" i="69" s="1"/>
  <c r="DC9" i="69"/>
  <c r="CW8" i="69"/>
  <c r="CW11" i="69" s="1"/>
  <c r="CW13" i="69" s="1"/>
  <c r="G181" i="69"/>
  <c r="AO95" i="69"/>
  <c r="DG52" i="69"/>
  <c r="DG54" i="69" s="1"/>
  <c r="DG56" i="69" s="1"/>
  <c r="DA9" i="69"/>
  <c r="DA11" i="69" s="1"/>
  <c r="Y9" i="69"/>
  <c r="E8" i="69"/>
  <c r="E11" i="69" s="1"/>
  <c r="E13" i="69" s="1"/>
  <c r="BY224" i="69"/>
  <c r="BY226" i="69" s="1"/>
  <c r="BY228" i="69" s="1"/>
  <c r="BU138" i="69"/>
  <c r="BU140" i="69" s="1"/>
  <c r="BU142" i="69" s="1"/>
  <c r="AM95" i="69"/>
  <c r="BA94" i="69"/>
  <c r="BA97" i="69" s="1"/>
  <c r="BA99" i="69" s="1"/>
  <c r="CQ52" i="69"/>
  <c r="CQ54" i="69" s="1"/>
  <c r="EM9" i="69"/>
  <c r="BE9" i="69"/>
  <c r="CQ95" i="69"/>
  <c r="CW94" i="69"/>
  <c r="CW97" i="69" s="1"/>
  <c r="CW99" i="69" s="1"/>
  <c r="EM52" i="69"/>
  <c r="EM54" i="69" s="1"/>
  <c r="EM56" i="69" s="1"/>
  <c r="AQ52" i="69"/>
  <c r="EE9" i="69"/>
  <c r="BC9" i="69"/>
  <c r="BC11" i="69" s="1"/>
  <c r="BE138" i="69"/>
  <c r="CO95" i="69"/>
  <c r="Y95" i="69"/>
  <c r="Y97" i="69" s="1"/>
  <c r="Y99" i="69" s="1"/>
  <c r="CM52" i="69"/>
  <c r="CM54" i="69" s="1"/>
  <c r="CM56" i="69" s="1"/>
  <c r="CO9" i="69"/>
  <c r="DM8" i="69"/>
  <c r="DM11" i="69" s="1"/>
  <c r="DM13" i="69" s="1"/>
  <c r="CG8" i="69"/>
  <c r="CG11" i="69" s="1"/>
  <c r="CG13" i="69" s="1"/>
  <c r="CK140" i="69"/>
  <c r="CK142" i="69" s="1"/>
  <c r="DO18" i="69"/>
  <c r="BC194" i="69"/>
  <c r="BY39" i="69"/>
  <c r="AA39" i="69"/>
  <c r="CY168" i="69"/>
  <c r="I82" i="69"/>
  <c r="AO125" i="69"/>
  <c r="BW168" i="69"/>
  <c r="BO194" i="69"/>
  <c r="BO196" i="69" s="1"/>
  <c r="Y114" i="69"/>
  <c r="Y237" i="69"/>
  <c r="Y239" i="69" s="1"/>
  <c r="BC108" i="69"/>
  <c r="BC110" i="69" s="1"/>
  <c r="G119" i="69"/>
  <c r="AE52" i="69"/>
  <c r="BK9" i="69"/>
  <c r="BE8" i="69"/>
  <c r="O95" i="69"/>
  <c r="M94" i="69"/>
  <c r="AA52" i="69"/>
  <c r="BG9" i="69"/>
  <c r="AE9" i="69"/>
  <c r="K95" i="69"/>
  <c r="M51" i="69"/>
  <c r="Y8" i="69"/>
  <c r="EG8" i="69"/>
  <c r="I94" i="69"/>
  <c r="AO8" i="69"/>
  <c r="K9" i="69"/>
  <c r="AC8" i="69"/>
  <c r="AU9" i="69"/>
  <c r="AQ9" i="69"/>
  <c r="O52" i="69"/>
  <c r="I51" i="69"/>
  <c r="AS8" i="69"/>
  <c r="I8" i="69"/>
  <c r="AA9" i="69"/>
  <c r="K52" i="69"/>
  <c r="AC51" i="69"/>
  <c r="DQ8" i="69"/>
  <c r="BI8" i="69"/>
  <c r="Y51" i="69"/>
  <c r="BG82" i="69"/>
  <c r="DC82" i="69"/>
  <c r="Y125" i="69"/>
  <c r="AK125" i="69"/>
  <c r="W252" i="69"/>
  <c r="W254" i="69" s="1"/>
  <c r="AK258" i="69"/>
  <c r="D43" i="70" s="1"/>
  <c r="AI258" i="69"/>
  <c r="C43" i="70" s="1"/>
  <c r="AQ258" i="69"/>
  <c r="G43" i="70" s="1"/>
  <c r="AO258" i="69"/>
  <c r="F43" i="70" s="1"/>
  <c r="AM258" i="69"/>
  <c r="E43" i="70" s="1"/>
  <c r="AU258" i="69"/>
  <c r="I43" i="70" s="1"/>
  <c r="AS258" i="69"/>
  <c r="H43" i="70" s="1"/>
  <c r="BU108" i="69"/>
  <c r="BU110" i="69" s="1"/>
  <c r="AM237" i="69"/>
  <c r="BC76" i="69"/>
  <c r="U39" i="69"/>
  <c r="DK39" i="69"/>
  <c r="S33" i="69"/>
  <c r="S44" i="69"/>
  <c r="B104" i="70" s="1"/>
  <c r="B106" i="70" s="1"/>
  <c r="M59" i="70" s="1"/>
  <c r="C13" i="48" s="1"/>
  <c r="BI209" i="69"/>
  <c r="DU37" i="69"/>
  <c r="DG43" i="69"/>
  <c r="I15" i="70" s="1"/>
  <c r="DA43" i="69"/>
  <c r="F15" i="70" s="1"/>
  <c r="DE43" i="69"/>
  <c r="H15" i="70" s="1"/>
  <c r="DC43" i="69"/>
  <c r="G15" i="70" s="1"/>
  <c r="CY43" i="69"/>
  <c r="E15" i="70" s="1"/>
  <c r="CU43" i="69"/>
  <c r="C15" i="70" s="1"/>
  <c r="DC39" i="69"/>
  <c r="CW43" i="69"/>
  <c r="D15" i="70" s="1"/>
  <c r="CE39" i="69"/>
  <c r="DE80" i="69"/>
  <c r="BC252" i="69"/>
  <c r="BC254" i="69" s="1"/>
  <c r="C39" i="69"/>
  <c r="I39" i="69"/>
  <c r="S82" i="69"/>
  <c r="CW125" i="69"/>
  <c r="DC125" i="69"/>
  <c r="CG168" i="69"/>
  <c r="DA82" i="69"/>
  <c r="DK125" i="69"/>
  <c r="AC166" i="69"/>
  <c r="E211" i="69"/>
  <c r="CM125" i="69"/>
  <c r="I211" i="69"/>
  <c r="BI166" i="69"/>
  <c r="S254" i="69"/>
  <c r="E254" i="69"/>
  <c r="Y211" i="69"/>
  <c r="C254" i="69"/>
  <c r="AU248" i="69"/>
  <c r="CU13" i="69"/>
  <c r="CA11" i="69"/>
  <c r="CA13" i="69" s="1"/>
  <c r="W119" i="69"/>
  <c r="AO233" i="69"/>
  <c r="DO24" i="69"/>
  <c r="BG151" i="69"/>
  <c r="BG153" i="69" s="1"/>
  <c r="AQ237" i="69"/>
  <c r="AQ239" i="69" s="1"/>
  <c r="DC23" i="69"/>
  <c r="AA109" i="69"/>
  <c r="CY18" i="69"/>
  <c r="G162" i="69"/>
  <c r="AA114" i="69"/>
  <c r="CK168" i="69"/>
  <c r="U125" i="69"/>
  <c r="CU39" i="69"/>
  <c r="DC168" i="69"/>
  <c r="BE168" i="69"/>
  <c r="CG211" i="69"/>
  <c r="S211" i="69"/>
  <c r="BS211" i="69"/>
  <c r="W39" i="69"/>
  <c r="AE104" i="69"/>
  <c r="BS77" i="69"/>
  <c r="EI39" i="69"/>
  <c r="CM82" i="69"/>
  <c r="CM168" i="69"/>
  <c r="AI168" i="69"/>
  <c r="CY77" i="69"/>
  <c r="BS118" i="69"/>
  <c r="G205" i="69"/>
  <c r="DU82" i="69"/>
  <c r="G235" i="69"/>
  <c r="G237" i="69" s="1"/>
  <c r="G192" i="69"/>
  <c r="G194" i="69" s="1"/>
  <c r="G110" i="69"/>
  <c r="G112" i="69" s="1"/>
  <c r="G114" i="69" s="1"/>
  <c r="G24" i="69"/>
  <c r="G26" i="69" s="1"/>
  <c r="G28" i="69" s="1"/>
  <c r="G149" i="69"/>
  <c r="G151" i="69" s="1"/>
  <c r="G153" i="69" s="1"/>
  <c r="U82" i="69"/>
  <c r="AI82" i="69"/>
  <c r="DK82" i="69"/>
  <c r="I125" i="69"/>
  <c r="M82" i="69"/>
  <c r="BA168" i="69"/>
  <c r="K254" i="69"/>
  <c r="AK211" i="69"/>
  <c r="BQ211" i="69"/>
  <c r="AC82" i="69"/>
  <c r="BU194" i="69"/>
  <c r="BU196" i="69" s="1"/>
  <c r="BS239" i="69"/>
  <c r="BW82" i="69"/>
  <c r="CG151" i="69"/>
  <c r="CG153" i="69" s="1"/>
  <c r="BE82" i="69"/>
  <c r="DA39" i="69"/>
  <c r="AI125" i="69"/>
  <c r="BC209" i="69"/>
  <c r="BC211" i="69" s="1"/>
  <c r="C211" i="69"/>
  <c r="S130" i="69"/>
  <c r="B216" i="70" s="1"/>
  <c r="B218" i="70" s="1"/>
  <c r="M73" i="70" s="1"/>
  <c r="C27" i="48" s="1"/>
  <c r="S125" i="69"/>
  <c r="AI211" i="69"/>
  <c r="AM194" i="69"/>
  <c r="AM196" i="69" s="1"/>
  <c r="DA151" i="69"/>
  <c r="DA153" i="69" s="1"/>
  <c r="AM162" i="69"/>
  <c r="CY22" i="69"/>
  <c r="CY24" i="69" s="1"/>
  <c r="Y82" i="69"/>
  <c r="BA239" i="69"/>
  <c r="DU23" i="69"/>
  <c r="EA82" i="69"/>
  <c r="CW168" i="69"/>
  <c r="U211" i="69"/>
  <c r="DS39" i="69"/>
  <c r="BG125" i="69"/>
  <c r="AY82" i="69"/>
  <c r="I254" i="69"/>
  <c r="CM33" i="69"/>
  <c r="DS18" i="69"/>
  <c r="DQ65" i="69"/>
  <c r="DQ67" i="69" s="1"/>
  <c r="W162" i="69"/>
  <c r="DM125" i="69"/>
  <c r="U108" i="69"/>
  <c r="U110" i="69" s="1"/>
  <c r="AK108" i="69"/>
  <c r="AK110" i="69" s="1"/>
  <c r="AM108" i="69"/>
  <c r="AM110" i="69" s="1"/>
  <c r="CK22" i="69"/>
  <c r="CK24" i="69" s="1"/>
  <c r="BE151" i="69"/>
  <c r="BE153" i="69" s="1"/>
  <c r="CI194" i="69"/>
  <c r="W104" i="69"/>
  <c r="AC123" i="69"/>
  <c r="DU33" i="69"/>
  <c r="BQ151" i="69"/>
  <c r="U151" i="69"/>
  <c r="U153" i="69" s="1"/>
  <c r="S119" i="69"/>
  <c r="AC109" i="69"/>
  <c r="DE23" i="69"/>
  <c r="BK194" i="69"/>
  <c r="BK196" i="69" s="1"/>
  <c r="BY166" i="69"/>
  <c r="CK39" i="69"/>
  <c r="Y39" i="69"/>
  <c r="AK168" i="69"/>
  <c r="CW39" i="69"/>
  <c r="EC82" i="69"/>
  <c r="AQ39" i="69"/>
  <c r="W123" i="69"/>
  <c r="W125" i="69" s="1"/>
  <c r="CO123" i="69"/>
  <c r="AO82" i="69"/>
  <c r="BG168" i="69"/>
  <c r="K125" i="69"/>
  <c r="DS82" i="69"/>
  <c r="U168" i="69"/>
  <c r="M123" i="69"/>
  <c r="AY168" i="69"/>
  <c r="BU254" i="69"/>
  <c r="AS209" i="69"/>
  <c r="DE123" i="69"/>
  <c r="AY211" i="69"/>
  <c r="Y254" i="69"/>
  <c r="U254" i="69"/>
  <c r="AY239" i="69"/>
  <c r="CE151" i="69"/>
  <c r="CE153" i="69" s="1"/>
  <c r="AY194" i="69"/>
  <c r="AY196" i="69" s="1"/>
  <c r="BU205" i="69"/>
  <c r="CM203" i="69"/>
  <c r="AE119" i="69"/>
  <c r="DE28" i="69"/>
  <c r="DC18" i="69"/>
  <c r="AA104" i="69"/>
  <c r="BG194" i="69"/>
  <c r="BG196" i="69" s="1"/>
  <c r="BW151" i="69"/>
  <c r="BW153" i="69" s="1"/>
  <c r="CE110" i="69" l="1"/>
  <c r="CE130" i="69"/>
  <c r="B248" i="70" s="1"/>
  <c r="B250" i="70" s="1"/>
  <c r="M77" i="70" s="1"/>
  <c r="C31" i="48" s="1"/>
  <c r="BK97" i="69"/>
  <c r="EI11" i="69"/>
  <c r="DC140" i="69"/>
  <c r="DC142" i="69" s="1"/>
  <c r="CA140" i="69"/>
  <c r="CA142" i="69" s="1"/>
  <c r="DG140" i="69"/>
  <c r="W54" i="69"/>
  <c r="AS97" i="69"/>
  <c r="AS99" i="69" s="1"/>
  <c r="Q13" i="48"/>
  <c r="DE11" i="69"/>
  <c r="O183" i="69"/>
  <c r="BW54" i="69"/>
  <c r="CA97" i="69"/>
  <c r="O29" i="48"/>
  <c r="N32" i="48"/>
  <c r="M183" i="69"/>
  <c r="M185" i="69" s="1"/>
  <c r="F93" i="50"/>
  <c r="O32" i="48"/>
  <c r="CO11" i="69"/>
  <c r="CO13" i="69" s="1"/>
  <c r="DK44" i="69"/>
  <c r="B152" i="70" s="1"/>
  <c r="B154" i="70" s="1"/>
  <c r="M65" i="70" s="1"/>
  <c r="C19" i="48" s="1"/>
  <c r="BG140" i="69"/>
  <c r="BG142" i="69" s="1"/>
  <c r="BY183" i="69"/>
  <c r="BY185" i="69" s="1"/>
  <c r="S29" i="48"/>
  <c r="BC226" i="69"/>
  <c r="BW140" i="69"/>
  <c r="BW142" i="69" s="1"/>
  <c r="BU183" i="69"/>
  <c r="BU185" i="69" s="1"/>
  <c r="AQ140" i="69"/>
  <c r="AQ142" i="69" s="1"/>
  <c r="G97" i="69"/>
  <c r="G99" i="69" s="1"/>
  <c r="BI97" i="69"/>
  <c r="BI99" i="69" s="1"/>
  <c r="CK54" i="69"/>
  <c r="CI54" i="69"/>
  <c r="CI56" i="69" s="1"/>
  <c r="DS97" i="69"/>
  <c r="BC97" i="69"/>
  <c r="BC99" i="69" s="1"/>
  <c r="CQ183" i="69"/>
  <c r="CQ185" i="69" s="1"/>
  <c r="AS140" i="69"/>
  <c r="AS142" i="69" s="1"/>
  <c r="Y226" i="69"/>
  <c r="Y228" i="69" s="1"/>
  <c r="AI44" i="69"/>
  <c r="B112" i="70" s="1"/>
  <c r="B114" i="70" s="1"/>
  <c r="M60" i="70" s="1"/>
  <c r="C14" i="48" s="1"/>
  <c r="CY97" i="69"/>
  <c r="CY99" i="69" s="1"/>
  <c r="BY97" i="69"/>
  <c r="BY99" i="69" s="1"/>
  <c r="DG97" i="69"/>
  <c r="DG99" i="69" s="1"/>
  <c r="EG54" i="69"/>
  <c r="EG56" i="69" s="1"/>
  <c r="G54" i="69"/>
  <c r="G56" i="69" s="1"/>
  <c r="BW226" i="69"/>
  <c r="BW228" i="69" s="1"/>
  <c r="BE226" i="69"/>
  <c r="M33" i="48"/>
  <c r="S40" i="48"/>
  <c r="N40" i="48"/>
  <c r="AE54" i="69"/>
  <c r="G183" i="69"/>
  <c r="G185" i="69" s="1"/>
  <c r="BW11" i="69"/>
  <c r="BW13" i="69" s="1"/>
  <c r="DG11" i="69"/>
  <c r="CO183" i="69"/>
  <c r="CO185" i="69" s="1"/>
  <c r="AC140" i="69"/>
  <c r="AC142" i="69" s="1"/>
  <c r="DK24" i="69"/>
  <c r="I140" i="69"/>
  <c r="I142" i="69" s="1"/>
  <c r="DC97" i="69"/>
  <c r="BS87" i="69"/>
  <c r="DW54" i="69"/>
  <c r="BS183" i="69"/>
  <c r="Y140" i="69"/>
  <c r="V173" i="69" s="1"/>
  <c r="E272" i="70" s="1"/>
  <c r="E274" i="70" s="1"/>
  <c r="P80" i="70" s="1"/>
  <c r="F34" i="48" s="1"/>
  <c r="DE140" i="69"/>
  <c r="DE142" i="69" s="1"/>
  <c r="CI97" i="69"/>
  <c r="BS140" i="69"/>
  <c r="BS142" i="69" s="1"/>
  <c r="BG183" i="69"/>
  <c r="BO173" i="69"/>
  <c r="B296" i="70" s="1"/>
  <c r="B298" i="70" s="1"/>
  <c r="M83" i="70" s="1"/>
  <c r="C37" i="48" s="1"/>
  <c r="H106" i="50"/>
  <c r="Q46" i="48"/>
  <c r="G93" i="50"/>
  <c r="P33" i="48"/>
  <c r="F74" i="50"/>
  <c r="O14" i="48"/>
  <c r="D101" i="50"/>
  <c r="M41" i="48"/>
  <c r="E108" i="50"/>
  <c r="N48" i="48"/>
  <c r="F91" i="50"/>
  <c r="O31" i="48"/>
  <c r="F96" i="50"/>
  <c r="O36" i="48"/>
  <c r="G73" i="50"/>
  <c r="P13" i="48"/>
  <c r="E101" i="50"/>
  <c r="N41" i="48"/>
  <c r="J78" i="50"/>
  <c r="S18" i="48"/>
  <c r="E106" i="50"/>
  <c r="N46" i="48"/>
  <c r="DC11" i="69"/>
  <c r="CY44" i="69" s="1"/>
  <c r="F144" i="70" s="1"/>
  <c r="F146" i="70" s="1"/>
  <c r="Q64" i="70" s="1"/>
  <c r="G18" i="48" s="1"/>
  <c r="AU226" i="69"/>
  <c r="AU228" i="69" s="1"/>
  <c r="DS11" i="69"/>
  <c r="BY140" i="69"/>
  <c r="BY142" i="69" s="1"/>
  <c r="K226" i="69"/>
  <c r="K228" i="69" s="1"/>
  <c r="G103" i="50"/>
  <c r="P43" i="48"/>
  <c r="D79" i="50"/>
  <c r="M19" i="48"/>
  <c r="G87" i="50"/>
  <c r="P27" i="48"/>
  <c r="I88" i="50"/>
  <c r="R28" i="48"/>
  <c r="F97" i="50"/>
  <c r="O37" i="48"/>
  <c r="D74" i="50"/>
  <c r="M14" i="48"/>
  <c r="I74" i="50"/>
  <c r="R14" i="48"/>
  <c r="I91" i="50"/>
  <c r="R31" i="48"/>
  <c r="O226" i="69"/>
  <c r="O228" i="69" s="1"/>
  <c r="BU54" i="69"/>
  <c r="BU56" i="69" s="1"/>
  <c r="AU140" i="69"/>
  <c r="AU142" i="69" s="1"/>
  <c r="AC97" i="69"/>
  <c r="AC99" i="69" s="1"/>
  <c r="AE183" i="69"/>
  <c r="AE185" i="69" s="1"/>
  <c r="D73" i="50"/>
  <c r="M13" i="48"/>
  <c r="G81" i="50"/>
  <c r="P21" i="48"/>
  <c r="J75" i="50"/>
  <c r="S15" i="48"/>
  <c r="I94" i="50"/>
  <c r="R34" i="48"/>
  <c r="G101" i="50"/>
  <c r="P41" i="48"/>
  <c r="I78" i="50"/>
  <c r="R18" i="48"/>
  <c r="H83" i="50"/>
  <c r="Q23" i="48"/>
  <c r="J74" i="50"/>
  <c r="S14" i="48"/>
  <c r="E83" i="50"/>
  <c r="N23" i="48"/>
  <c r="J101" i="50"/>
  <c r="S41" i="48"/>
  <c r="E96" i="50"/>
  <c r="N36" i="48"/>
  <c r="CQ97" i="69"/>
  <c r="CQ99" i="69" s="1"/>
  <c r="AS54" i="69"/>
  <c r="AS56" i="69" s="1"/>
  <c r="BC183" i="69"/>
  <c r="BC185" i="69" s="1"/>
  <c r="K140" i="69"/>
  <c r="H103" i="50"/>
  <c r="Q43" i="48"/>
  <c r="G79" i="50"/>
  <c r="P19" i="48"/>
  <c r="H87" i="50"/>
  <c r="Q27" i="48"/>
  <c r="J88" i="50"/>
  <c r="S28" i="48"/>
  <c r="C130" i="69"/>
  <c r="B72" i="70" s="1"/>
  <c r="B74" i="70" s="1"/>
  <c r="M55" i="70" s="1"/>
  <c r="C9" i="48" s="1"/>
  <c r="J108" i="50"/>
  <c r="S48" i="48"/>
  <c r="H95" i="50"/>
  <c r="Q35" i="48"/>
  <c r="E76" i="50"/>
  <c r="N16" i="48"/>
  <c r="F94" i="50"/>
  <c r="O34" i="48"/>
  <c r="BW97" i="69"/>
  <c r="BW99" i="69" s="1"/>
  <c r="AS226" i="69"/>
  <c r="AS228" i="69" s="1"/>
  <c r="E94" i="50"/>
  <c r="N34" i="48"/>
  <c r="I73" i="50"/>
  <c r="R13" i="48"/>
  <c r="J81" i="50"/>
  <c r="S21" i="48"/>
  <c r="H104" i="50"/>
  <c r="Q44" i="48"/>
  <c r="D75" i="50"/>
  <c r="M15" i="48"/>
  <c r="J94" i="50"/>
  <c r="S34" i="48"/>
  <c r="D96" i="50"/>
  <c r="M36" i="48"/>
  <c r="F101" i="50"/>
  <c r="O41" i="48"/>
  <c r="I92" i="50"/>
  <c r="R32" i="48"/>
  <c r="J92" i="50"/>
  <c r="S32" i="48"/>
  <c r="I77" i="50"/>
  <c r="R17" i="48"/>
  <c r="I104" i="50"/>
  <c r="R44" i="48"/>
  <c r="H74" i="50"/>
  <c r="Q14" i="48"/>
  <c r="H98" i="50"/>
  <c r="Q38" i="48"/>
  <c r="BK11" i="69"/>
  <c r="BK13" i="69" s="1"/>
  <c r="I106" i="50"/>
  <c r="R46" i="48"/>
  <c r="AC54" i="69"/>
  <c r="AC56" i="69" s="1"/>
  <c r="EE54" i="69"/>
  <c r="EE56" i="69" s="1"/>
  <c r="G11" i="69"/>
  <c r="G13" i="69" s="1"/>
  <c r="BK226" i="69"/>
  <c r="BK228" i="69" s="1"/>
  <c r="D103" i="50"/>
  <c r="M43" i="48"/>
  <c r="E79" i="50"/>
  <c r="N19" i="48"/>
  <c r="I87" i="50"/>
  <c r="R27" i="48"/>
  <c r="F100" i="50"/>
  <c r="O40" i="48"/>
  <c r="H91" i="50"/>
  <c r="Q31" i="48"/>
  <c r="G95" i="50"/>
  <c r="P35" i="48"/>
  <c r="E89" i="50"/>
  <c r="N29" i="48"/>
  <c r="H75" i="50"/>
  <c r="Q15" i="48"/>
  <c r="G83" i="50"/>
  <c r="P23" i="48"/>
  <c r="I96" i="50"/>
  <c r="R36" i="48"/>
  <c r="E81" i="50"/>
  <c r="N21" i="48"/>
  <c r="F73" i="50"/>
  <c r="O13" i="48"/>
  <c r="D81" i="50"/>
  <c r="M21" i="48"/>
  <c r="G104" i="50"/>
  <c r="P44" i="48"/>
  <c r="J77" i="50"/>
  <c r="S17" i="48"/>
  <c r="H96" i="50"/>
  <c r="Q36" i="48"/>
  <c r="E77" i="50"/>
  <c r="N17" i="48"/>
  <c r="J96" i="50"/>
  <c r="S36" i="48"/>
  <c r="F108" i="50"/>
  <c r="O48" i="48"/>
  <c r="G78" i="50"/>
  <c r="P18" i="48"/>
  <c r="E87" i="50"/>
  <c r="N27" i="48"/>
  <c r="D88" i="50"/>
  <c r="M28" i="48"/>
  <c r="D78" i="50"/>
  <c r="M18" i="48"/>
  <c r="F103" i="50"/>
  <c r="O43" i="48"/>
  <c r="F79" i="50"/>
  <c r="O19" i="48"/>
  <c r="J87" i="50"/>
  <c r="S27" i="48"/>
  <c r="G100" i="50"/>
  <c r="P40" i="48"/>
  <c r="H99" i="50"/>
  <c r="Q39" i="48"/>
  <c r="E99" i="50"/>
  <c r="N39" i="48"/>
  <c r="H108" i="50"/>
  <c r="Q48" i="48"/>
  <c r="D95" i="50"/>
  <c r="M35" i="48"/>
  <c r="J95" i="50"/>
  <c r="S35" i="48"/>
  <c r="D89" i="50"/>
  <c r="M29" i="48"/>
  <c r="E88" i="50"/>
  <c r="N28" i="48"/>
  <c r="E98" i="50"/>
  <c r="N38" i="48"/>
  <c r="G76" i="50"/>
  <c r="P16" i="48"/>
  <c r="F76" i="50"/>
  <c r="O16" i="48"/>
  <c r="D76" i="50"/>
  <c r="M16" i="48"/>
  <c r="E84" i="50"/>
  <c r="N24" i="48"/>
  <c r="H79" i="50"/>
  <c r="Q19" i="48"/>
  <c r="F95" i="50"/>
  <c r="O35" i="48"/>
  <c r="H88" i="50"/>
  <c r="Q28" i="48"/>
  <c r="D97" i="50"/>
  <c r="M37" i="48"/>
  <c r="E78" i="50"/>
  <c r="N18" i="48"/>
  <c r="J106" i="50"/>
  <c r="S46" i="48"/>
  <c r="K54" i="69"/>
  <c r="K56" i="69" s="1"/>
  <c r="C44" i="69"/>
  <c r="B56" i="70" s="1"/>
  <c r="B58" i="70" s="1"/>
  <c r="M53" i="70" s="1"/>
  <c r="C7" i="48" s="1"/>
  <c r="F78" i="50"/>
  <c r="O18" i="48"/>
  <c r="F106" i="50"/>
  <c r="O46" i="48"/>
  <c r="I103" i="50"/>
  <c r="R43" i="48"/>
  <c r="I79" i="50"/>
  <c r="R19" i="48"/>
  <c r="D87" i="50"/>
  <c r="M27" i="48"/>
  <c r="H93" i="50"/>
  <c r="Q33" i="48"/>
  <c r="J91" i="50"/>
  <c r="S31" i="48"/>
  <c r="G98" i="50"/>
  <c r="P38" i="48"/>
  <c r="I75" i="50"/>
  <c r="R15" i="48"/>
  <c r="DA54" i="69"/>
  <c r="DA56" i="69" s="1"/>
  <c r="I76" i="50"/>
  <c r="R16" i="48"/>
  <c r="G77" i="50"/>
  <c r="P17" i="48"/>
  <c r="F98" i="50"/>
  <c r="O38" i="48"/>
  <c r="J104" i="50"/>
  <c r="S44" i="48"/>
  <c r="J73" i="50"/>
  <c r="S13" i="48"/>
  <c r="E103" i="50"/>
  <c r="N43" i="48"/>
  <c r="I99" i="50"/>
  <c r="R39" i="48"/>
  <c r="H77" i="50"/>
  <c r="Q17" i="48"/>
  <c r="I101" i="50"/>
  <c r="R41" i="48"/>
  <c r="D106" i="50"/>
  <c r="M46" i="48"/>
  <c r="T216" i="69"/>
  <c r="C320" i="70" s="1"/>
  <c r="C322" i="70" s="1"/>
  <c r="N86" i="70" s="1"/>
  <c r="D40" i="48" s="1"/>
  <c r="AI87" i="69"/>
  <c r="B168" i="70" s="1"/>
  <c r="B170" i="70" s="1"/>
  <c r="M67" i="70" s="1"/>
  <c r="C21" i="48" s="1"/>
  <c r="H78" i="50"/>
  <c r="Q18" i="48"/>
  <c r="G106" i="50"/>
  <c r="P46" i="48"/>
  <c r="J103" i="50"/>
  <c r="S43" i="48"/>
  <c r="J79" i="50"/>
  <c r="S19" i="48"/>
  <c r="F87" i="50"/>
  <c r="O27" i="48"/>
  <c r="I93" i="50"/>
  <c r="R33" i="48"/>
  <c r="E91" i="50"/>
  <c r="N31" i="48"/>
  <c r="D99" i="50"/>
  <c r="M39" i="48"/>
  <c r="I108" i="50"/>
  <c r="R48" i="48"/>
  <c r="D91" i="50"/>
  <c r="M31" i="48"/>
  <c r="J99" i="50"/>
  <c r="S39" i="48"/>
  <c r="G91" i="50"/>
  <c r="P31" i="48"/>
  <c r="E95" i="50"/>
  <c r="N35" i="48"/>
  <c r="G108" i="50"/>
  <c r="P48" i="48"/>
  <c r="F99" i="50"/>
  <c r="O39" i="48"/>
  <c r="CY11" i="69"/>
  <c r="CY13" i="69" s="1"/>
  <c r="AQ54" i="69"/>
  <c r="AQ56" i="69" s="1"/>
  <c r="AU54" i="69"/>
  <c r="AU56" i="69" s="1"/>
  <c r="G94" i="50"/>
  <c r="P34" i="48"/>
  <c r="J76" i="50"/>
  <c r="S16" i="48"/>
  <c r="H94" i="50"/>
  <c r="Q34" i="48"/>
  <c r="G92" i="50"/>
  <c r="P32" i="48"/>
  <c r="EA87" i="69"/>
  <c r="EA67" i="69"/>
  <c r="CU153" i="69"/>
  <c r="CU173" i="69"/>
  <c r="B312" i="70" s="1"/>
  <c r="B314" i="70" s="1"/>
  <c r="M85" i="70" s="1"/>
  <c r="C39" i="48" s="1"/>
  <c r="AI196" i="69"/>
  <c r="AI216" i="69"/>
  <c r="B328" i="70" s="1"/>
  <c r="B330" i="70" s="1"/>
  <c r="M87" i="70" s="1"/>
  <c r="C41" i="48" s="1"/>
  <c r="S196" i="69"/>
  <c r="S216" i="69"/>
  <c r="B320" i="70" s="1"/>
  <c r="B322" i="70" s="1"/>
  <c r="M86" i="70" s="1"/>
  <c r="C40" i="48" s="1"/>
  <c r="BS54" i="69"/>
  <c r="BS56" i="69" s="1"/>
  <c r="AS183" i="69"/>
  <c r="AS185" i="69" s="1"/>
  <c r="S173" i="69"/>
  <c r="B272" i="70" s="1"/>
  <c r="B274" i="70" s="1"/>
  <c r="M80" i="70" s="1"/>
  <c r="C34" i="48" s="1"/>
  <c r="AA11" i="69"/>
  <c r="W44" i="69" s="1"/>
  <c r="F104" i="70" s="1"/>
  <c r="F106" i="70" s="1"/>
  <c r="Q59" i="70" s="1"/>
  <c r="G13" i="48" s="1"/>
  <c r="EM11" i="69"/>
  <c r="EM13" i="69" s="1"/>
  <c r="DU97" i="69"/>
  <c r="DU99" i="69" s="1"/>
  <c r="DW11" i="69"/>
  <c r="DW13" i="69" s="1"/>
  <c r="BI140" i="69"/>
  <c r="BI142" i="69" s="1"/>
  <c r="CA183" i="69"/>
  <c r="CA185" i="69" s="1"/>
  <c r="AE211" i="69"/>
  <c r="K183" i="69"/>
  <c r="K185" i="69" s="1"/>
  <c r="BC54" i="69"/>
  <c r="BC56" i="69" s="1"/>
  <c r="AU11" i="69"/>
  <c r="AU13" i="69" s="1"/>
  <c r="Y183" i="69"/>
  <c r="Y185" i="69" s="1"/>
  <c r="DQ54" i="69"/>
  <c r="DQ56" i="69" s="1"/>
  <c r="BE140" i="69"/>
  <c r="BE142" i="69" s="1"/>
  <c r="BU11" i="69"/>
  <c r="BU13" i="69" s="1"/>
  <c r="M140" i="69"/>
  <c r="EA44" i="69"/>
  <c r="AI259" i="69"/>
  <c r="B368" i="70" s="1"/>
  <c r="B370" i="70" s="1"/>
  <c r="M92" i="70" s="1"/>
  <c r="C46" i="48" s="1"/>
  <c r="EE11" i="69"/>
  <c r="EE13" i="69" s="1"/>
  <c r="BU97" i="69"/>
  <c r="BU99" i="69" s="1"/>
  <c r="CY54" i="69"/>
  <c r="CY56" i="69" s="1"/>
  <c r="AU183" i="69"/>
  <c r="AU185" i="69" s="1"/>
  <c r="AO183" i="69"/>
  <c r="AO185" i="69" s="1"/>
  <c r="C87" i="69"/>
  <c r="B64" i="70" s="1"/>
  <c r="B66" i="70" s="1"/>
  <c r="M54" i="70" s="1"/>
  <c r="C8" i="48" s="1"/>
  <c r="CV130" i="69"/>
  <c r="C256" i="70" s="1"/>
  <c r="C258" i="70" s="1"/>
  <c r="N78" i="70" s="1"/>
  <c r="D32" i="48" s="1"/>
  <c r="CE44" i="69"/>
  <c r="B136" i="70" s="1"/>
  <c r="B138" i="70" s="1"/>
  <c r="M63" i="70" s="1"/>
  <c r="C17" i="48" s="1"/>
  <c r="AM97" i="69"/>
  <c r="AM99" i="69" s="1"/>
  <c r="DO54" i="69"/>
  <c r="DO56" i="69" s="1"/>
  <c r="W140" i="69"/>
  <c r="W142" i="69" s="1"/>
  <c r="BE183" i="69"/>
  <c r="BE185" i="69" s="1"/>
  <c r="BY54" i="69"/>
  <c r="BY56" i="69" s="1"/>
  <c r="AA140" i="69"/>
  <c r="CK97" i="69"/>
  <c r="CK99" i="69" s="1"/>
  <c r="AC183" i="69"/>
  <c r="AC185" i="69" s="1"/>
  <c r="BK183" i="69"/>
  <c r="BK185" i="69" s="1"/>
  <c r="CA226" i="69"/>
  <c r="CA228" i="69" s="1"/>
  <c r="CO97" i="69"/>
  <c r="CO99" i="69" s="1"/>
  <c r="M226" i="69"/>
  <c r="M228" i="69" s="1"/>
  <c r="AO97" i="69"/>
  <c r="AO99" i="69" s="1"/>
  <c r="EK54" i="69"/>
  <c r="DO97" i="69"/>
  <c r="BK140" i="69"/>
  <c r="BK142" i="69" s="1"/>
  <c r="BI11" i="69"/>
  <c r="BI13" i="69" s="1"/>
  <c r="BS97" i="69"/>
  <c r="BS99" i="69" s="1"/>
  <c r="DU11" i="69"/>
  <c r="DU13" i="69" s="1"/>
  <c r="DQ97" i="69"/>
  <c r="DQ99" i="69" s="1"/>
  <c r="AE140" i="69"/>
  <c r="AE142" i="69" s="1"/>
  <c r="CV44" i="69"/>
  <c r="C144" i="70" s="1"/>
  <c r="C146" i="70" s="1"/>
  <c r="N64" i="70" s="1"/>
  <c r="D18" i="48" s="1"/>
  <c r="M54" i="69"/>
  <c r="M56" i="69" s="1"/>
  <c r="AY130" i="69"/>
  <c r="AY120" i="69"/>
  <c r="BQ67" i="69"/>
  <c r="BP87" i="69"/>
  <c r="C184" i="70" s="1"/>
  <c r="C186" i="70" s="1"/>
  <c r="N69" i="70" s="1"/>
  <c r="D23" i="48" s="1"/>
  <c r="CE216" i="69"/>
  <c r="B352" i="70" s="1"/>
  <c r="B354" i="70" s="1"/>
  <c r="M90" i="70" s="1"/>
  <c r="C44" i="48" s="1"/>
  <c r="CE77" i="69"/>
  <c r="CE87" i="69"/>
  <c r="B192" i="70" s="1"/>
  <c r="B194" i="70" s="1"/>
  <c r="M70" i="70" s="1"/>
  <c r="C24" i="48" s="1"/>
  <c r="BA110" i="69"/>
  <c r="AZ130" i="69"/>
  <c r="C232" i="70" s="1"/>
  <c r="C234" i="70" s="1"/>
  <c r="N75" i="70" s="1"/>
  <c r="D29" i="48" s="1"/>
  <c r="BP216" i="69"/>
  <c r="C344" i="70" s="1"/>
  <c r="C346" i="70" s="1"/>
  <c r="N89" i="70" s="1"/>
  <c r="D43" i="48" s="1"/>
  <c r="BO77" i="69"/>
  <c r="BO87" i="69"/>
  <c r="B184" i="70" s="1"/>
  <c r="B186" i="70" s="1"/>
  <c r="M69" i="70" s="1"/>
  <c r="C23" i="48" s="1"/>
  <c r="CF87" i="69"/>
  <c r="C192" i="70" s="1"/>
  <c r="C194" i="70" s="1"/>
  <c r="N70" i="70" s="1"/>
  <c r="D24" i="48" s="1"/>
  <c r="AI173" i="69"/>
  <c r="B280" i="70" s="1"/>
  <c r="B282" i="70" s="1"/>
  <c r="M81" i="70" s="1"/>
  <c r="C35" i="48" s="1"/>
  <c r="AA54" i="69"/>
  <c r="AI130" i="69"/>
  <c r="B224" i="70" s="1"/>
  <c r="B226" i="70" s="1"/>
  <c r="M74" i="70" s="1"/>
  <c r="C28" i="48" s="1"/>
  <c r="CU87" i="69"/>
  <c r="B200" i="70" s="1"/>
  <c r="B202" i="70" s="1"/>
  <c r="M71" i="70" s="1"/>
  <c r="C25" i="48" s="1"/>
  <c r="BQ196" i="69"/>
  <c r="S259" i="69"/>
  <c r="B360" i="70" s="1"/>
  <c r="B362" i="70" s="1"/>
  <c r="M91" i="70" s="1"/>
  <c r="C45" i="48" s="1"/>
  <c r="EK11" i="69"/>
  <c r="EK13" i="69" s="1"/>
  <c r="K97" i="69"/>
  <c r="K99" i="69" s="1"/>
  <c r="AI241" i="69"/>
  <c r="BO130" i="69"/>
  <c r="B240" i="70" s="1"/>
  <c r="B242" i="70" s="1"/>
  <c r="M76" i="70" s="1"/>
  <c r="C30" i="48" s="1"/>
  <c r="BP130" i="69"/>
  <c r="C240" i="70" s="1"/>
  <c r="C242" i="70" s="1"/>
  <c r="N76" i="70" s="1"/>
  <c r="D30" i="48" s="1"/>
  <c r="D173" i="69"/>
  <c r="C80" i="70" s="1"/>
  <c r="C82" i="70" s="1"/>
  <c r="N56" i="70" s="1"/>
  <c r="D10" i="48" s="1"/>
  <c r="BG11" i="69"/>
  <c r="BG13" i="69" s="1"/>
  <c r="K11" i="69"/>
  <c r="K13" i="69" s="1"/>
  <c r="CV87" i="69"/>
  <c r="C200" i="70" s="1"/>
  <c r="C202" i="70" s="1"/>
  <c r="N71" i="70" s="1"/>
  <c r="D25" i="48" s="1"/>
  <c r="T259" i="69"/>
  <c r="C360" i="70" s="1"/>
  <c r="C362" i="70" s="1"/>
  <c r="N91" i="70" s="1"/>
  <c r="D45" i="48" s="1"/>
  <c r="S87" i="69"/>
  <c r="B160" i="70" s="1"/>
  <c r="B162" i="70" s="1"/>
  <c r="M66" i="70" s="1"/>
  <c r="C20" i="48" s="1"/>
  <c r="AM173" i="69"/>
  <c r="F280" i="70" s="1"/>
  <c r="F282" i="70" s="1"/>
  <c r="Q81" i="70" s="1"/>
  <c r="G35" i="48" s="1"/>
  <c r="AY87" i="69"/>
  <c r="B176" i="70" s="1"/>
  <c r="B178" i="70" s="1"/>
  <c r="M68" i="70" s="1"/>
  <c r="C22" i="48" s="1"/>
  <c r="CU44" i="69"/>
  <c r="B144" i="70" s="1"/>
  <c r="B146" i="70" s="1"/>
  <c r="M64" i="70" s="1"/>
  <c r="C18" i="48" s="1"/>
  <c r="DQ11" i="69"/>
  <c r="DQ13" i="69" s="1"/>
  <c r="AQ11" i="69"/>
  <c r="AQ13" i="69" s="1"/>
  <c r="BO153" i="69"/>
  <c r="BE56" i="69"/>
  <c r="BB87" i="69"/>
  <c r="E176" i="70" s="1"/>
  <c r="E178" i="70" s="1"/>
  <c r="P68" i="70" s="1"/>
  <c r="F22" i="48" s="1"/>
  <c r="DS56" i="69"/>
  <c r="DO87" i="69"/>
  <c r="F208" i="70" s="1"/>
  <c r="F210" i="70" s="1"/>
  <c r="Q72" i="70" s="1"/>
  <c r="G26" i="48" s="1"/>
  <c r="DG142" i="69"/>
  <c r="DA173" i="69"/>
  <c r="H312" i="70" s="1"/>
  <c r="H314" i="70" s="1"/>
  <c r="S85" i="70" s="1"/>
  <c r="I39" i="48" s="1"/>
  <c r="BK56" i="69"/>
  <c r="BE87" i="69"/>
  <c r="H176" i="70" s="1"/>
  <c r="H178" i="70" s="1"/>
  <c r="S68" i="70" s="1"/>
  <c r="I22" i="48" s="1"/>
  <c r="CQ142" i="69"/>
  <c r="CK173" i="69"/>
  <c r="H304" i="70" s="1"/>
  <c r="H306" i="70" s="1"/>
  <c r="S84" i="70" s="1"/>
  <c r="I38" i="48" s="1"/>
  <c r="DO99" i="69"/>
  <c r="DM130" i="69"/>
  <c r="D264" i="70" s="1"/>
  <c r="D266" i="70" s="1"/>
  <c r="O79" i="70" s="1"/>
  <c r="E33" i="48" s="1"/>
  <c r="AA142" i="69"/>
  <c r="W173" i="69"/>
  <c r="F272" i="70" s="1"/>
  <c r="F274" i="70" s="1"/>
  <c r="Q80" i="70" s="1"/>
  <c r="G34" i="48" s="1"/>
  <c r="DG13" i="69"/>
  <c r="DA44" i="69"/>
  <c r="H144" i="70" s="1"/>
  <c r="H146" i="70" s="1"/>
  <c r="S64" i="70" s="1"/>
  <c r="I18" i="48" s="1"/>
  <c r="EE87" i="69"/>
  <c r="BS44" i="69"/>
  <c r="F128" i="70" s="1"/>
  <c r="F130" i="70" s="1"/>
  <c r="Q62" i="70" s="1"/>
  <c r="G16" i="48" s="1"/>
  <c r="BP44" i="69"/>
  <c r="C128" i="70" s="1"/>
  <c r="C130" i="70" s="1"/>
  <c r="N62" i="70" s="1"/>
  <c r="D16" i="48" s="1"/>
  <c r="DL44" i="69"/>
  <c r="C152" i="70" s="1"/>
  <c r="C154" i="70" s="1"/>
  <c r="N65" i="70" s="1"/>
  <c r="D19" i="48" s="1"/>
  <c r="EB44" i="69"/>
  <c r="AZ173" i="69"/>
  <c r="C288" i="70" s="1"/>
  <c r="C290" i="70" s="1"/>
  <c r="N82" i="70" s="1"/>
  <c r="D36" i="48" s="1"/>
  <c r="DK87" i="69"/>
  <c r="B208" i="70" s="1"/>
  <c r="B210" i="70" s="1"/>
  <c r="M72" i="70" s="1"/>
  <c r="C26" i="48" s="1"/>
  <c r="AJ130" i="69"/>
  <c r="C224" i="70" s="1"/>
  <c r="C226" i="70" s="1"/>
  <c r="N74" i="70" s="1"/>
  <c r="D28" i="48" s="1"/>
  <c r="AC11" i="69"/>
  <c r="AC13" i="69" s="1"/>
  <c r="X44" i="69"/>
  <c r="G104" i="70" s="1"/>
  <c r="G106" i="70" s="1"/>
  <c r="R59" i="70" s="1"/>
  <c r="H13" i="48" s="1"/>
  <c r="BS130" i="69"/>
  <c r="F240" i="70" s="1"/>
  <c r="F242" i="70" s="1"/>
  <c r="Q76" i="70" s="1"/>
  <c r="G30" i="48" s="1"/>
  <c r="AJ87" i="69"/>
  <c r="C168" i="70" s="1"/>
  <c r="C170" i="70" s="1"/>
  <c r="N67" i="70" s="1"/>
  <c r="D21" i="48" s="1"/>
  <c r="AZ216" i="69"/>
  <c r="C336" i="70" s="1"/>
  <c r="C338" i="70" s="1"/>
  <c r="N88" i="70" s="1"/>
  <c r="D42" i="48" s="1"/>
  <c r="BS173" i="69"/>
  <c r="F296" i="70" s="1"/>
  <c r="F298" i="70" s="1"/>
  <c r="Q83" i="70" s="1"/>
  <c r="G37" i="48" s="1"/>
  <c r="T173" i="69"/>
  <c r="C272" i="70" s="1"/>
  <c r="C274" i="70" s="1"/>
  <c r="N80" i="70" s="1"/>
  <c r="D34" i="48" s="1"/>
  <c r="DL130" i="69"/>
  <c r="C264" i="70" s="1"/>
  <c r="C266" i="70" s="1"/>
  <c r="N79" i="70" s="1"/>
  <c r="D33" i="48" s="1"/>
  <c r="CI173" i="69"/>
  <c r="F304" i="70" s="1"/>
  <c r="F306" i="70" s="1"/>
  <c r="Q84" i="70" s="1"/>
  <c r="G38" i="48" s="1"/>
  <c r="AY216" i="69"/>
  <c r="B336" i="70" s="1"/>
  <c r="B338" i="70" s="1"/>
  <c r="M88" i="70" s="1"/>
  <c r="C42" i="48" s="1"/>
  <c r="C216" i="69"/>
  <c r="B88" i="70" s="1"/>
  <c r="B90" i="70" s="1"/>
  <c r="M57" i="70" s="1"/>
  <c r="C11" i="48" s="1"/>
  <c r="CF216" i="69"/>
  <c r="C352" i="70" s="1"/>
  <c r="C354" i="70" s="1"/>
  <c r="N90" i="70" s="1"/>
  <c r="D44" i="48" s="1"/>
  <c r="CF173" i="69"/>
  <c r="C304" i="70" s="1"/>
  <c r="C306" i="70" s="1"/>
  <c r="N84" i="70" s="1"/>
  <c r="D38" i="48" s="1"/>
  <c r="C47" i="70"/>
  <c r="O54" i="69"/>
  <c r="O56" i="69" s="1"/>
  <c r="Y11" i="69"/>
  <c r="Y13" i="69" s="1"/>
  <c r="BE11" i="69"/>
  <c r="BE13" i="69" s="1"/>
  <c r="AE11" i="69"/>
  <c r="AE13" i="69" s="1"/>
  <c r="O97" i="69"/>
  <c r="O99" i="69" s="1"/>
  <c r="BO44" i="69"/>
  <c r="B128" i="70" s="1"/>
  <c r="B130" i="70" s="1"/>
  <c r="M62" i="70" s="1"/>
  <c r="C16" i="48" s="1"/>
  <c r="BO216" i="69"/>
  <c r="B344" i="70" s="1"/>
  <c r="B346" i="70" s="1"/>
  <c r="M89" i="70" s="1"/>
  <c r="C43" i="48" s="1"/>
  <c r="BY13" i="69"/>
  <c r="BT44" i="69"/>
  <c r="G128" i="70" s="1"/>
  <c r="G130" i="70" s="1"/>
  <c r="R62" i="70" s="1"/>
  <c r="H16" i="48" s="1"/>
  <c r="W99" i="69"/>
  <c r="U130" i="69"/>
  <c r="D216" i="70" s="1"/>
  <c r="D218" i="70" s="1"/>
  <c r="O73" i="70" s="1"/>
  <c r="E27" i="48" s="1"/>
  <c r="DS13" i="69"/>
  <c r="DO44" i="69"/>
  <c r="F152" i="70" s="1"/>
  <c r="F154" i="70" s="1"/>
  <c r="Q65" i="70" s="1"/>
  <c r="G19" i="48" s="1"/>
  <c r="BE99" i="69"/>
  <c r="BB130" i="69"/>
  <c r="E232" i="70" s="1"/>
  <c r="E234" i="70" s="1"/>
  <c r="P75" i="70" s="1"/>
  <c r="F29" i="48" s="1"/>
  <c r="CI99" i="69"/>
  <c r="CG130" i="69"/>
  <c r="D248" i="70" s="1"/>
  <c r="D250" i="70" s="1"/>
  <c r="O77" i="70" s="1"/>
  <c r="E31" i="48" s="1"/>
  <c r="I228" i="69"/>
  <c r="F259" i="69"/>
  <c r="E96" i="70" s="1"/>
  <c r="E98" i="70" s="1"/>
  <c r="P58" i="70" s="1"/>
  <c r="F12" i="48" s="1"/>
  <c r="DE13" i="69"/>
  <c r="CZ44" i="69"/>
  <c r="G144" i="70" s="1"/>
  <c r="G146" i="70" s="1"/>
  <c r="R64" i="70" s="1"/>
  <c r="H18" i="48" s="1"/>
  <c r="CM99" i="69"/>
  <c r="CI130" i="69"/>
  <c r="F248" i="70" s="1"/>
  <c r="F250" i="70" s="1"/>
  <c r="Q77" i="70" s="1"/>
  <c r="G31" i="48" s="1"/>
  <c r="BC228" i="69"/>
  <c r="BA259" i="69"/>
  <c r="D376" i="70" s="1"/>
  <c r="D378" i="70" s="1"/>
  <c r="O93" i="70" s="1"/>
  <c r="E47" i="48" s="1"/>
  <c r="AE228" i="69"/>
  <c r="Y259" i="69"/>
  <c r="H360" i="70" s="1"/>
  <c r="H362" i="70" s="1"/>
  <c r="S91" i="70" s="1"/>
  <c r="I45" i="48" s="1"/>
  <c r="AE56" i="69"/>
  <c r="Y87" i="69"/>
  <c r="H160" i="70" s="1"/>
  <c r="H162" i="70" s="1"/>
  <c r="S66" i="70" s="1"/>
  <c r="I20" i="48" s="1"/>
  <c r="W13" i="69"/>
  <c r="U44" i="69"/>
  <c r="D104" i="70" s="1"/>
  <c r="D106" i="70" s="1"/>
  <c r="O59" i="70" s="1"/>
  <c r="E13" i="48" s="1"/>
  <c r="CK56" i="69"/>
  <c r="CH87" i="69"/>
  <c r="E192" i="70" s="1"/>
  <c r="E194" i="70" s="1"/>
  <c r="P70" i="70" s="1"/>
  <c r="F24" i="48" s="1"/>
  <c r="BR44" i="69"/>
  <c r="E128" i="70" s="1"/>
  <c r="E130" i="70" s="1"/>
  <c r="P62" i="70" s="1"/>
  <c r="F16" i="48" s="1"/>
  <c r="EI13" i="69"/>
  <c r="EE44" i="69"/>
  <c r="AM13" i="69"/>
  <c r="AK44" i="69"/>
  <c r="D112" i="70" s="1"/>
  <c r="D114" i="70" s="1"/>
  <c r="O60" i="70" s="1"/>
  <c r="E14" i="48" s="1"/>
  <c r="CM13" i="69"/>
  <c r="CI44" i="69"/>
  <c r="F136" i="70" s="1"/>
  <c r="F138" i="70" s="1"/>
  <c r="Q63" i="70" s="1"/>
  <c r="G17" i="48" s="1"/>
  <c r="M142" i="69"/>
  <c r="H173" i="69"/>
  <c r="G80" i="70" s="1"/>
  <c r="G82" i="70" s="1"/>
  <c r="R56" i="70" s="1"/>
  <c r="H10" i="48" s="1"/>
  <c r="AA13" i="69"/>
  <c r="BC13" i="69"/>
  <c r="BA44" i="69"/>
  <c r="D120" i="70" s="1"/>
  <c r="D122" i="70" s="1"/>
  <c r="O61" i="70" s="1"/>
  <c r="E15" i="48" s="1"/>
  <c r="CQ56" i="69"/>
  <c r="CK87" i="69"/>
  <c r="H192" i="70" s="1"/>
  <c r="H194" i="70" s="1"/>
  <c r="S70" i="70" s="1"/>
  <c r="I24" i="48" s="1"/>
  <c r="O185" i="69"/>
  <c r="I216" i="69"/>
  <c r="H88" i="70" s="1"/>
  <c r="H90" i="70" s="1"/>
  <c r="S57" i="70" s="1"/>
  <c r="I11" i="48" s="1"/>
  <c r="G142" i="69"/>
  <c r="E173" i="69"/>
  <c r="D80" i="70" s="1"/>
  <c r="D82" i="70" s="1"/>
  <c r="O56" i="70" s="1"/>
  <c r="E10" i="48" s="1"/>
  <c r="AO56" i="69"/>
  <c r="AL87" i="69"/>
  <c r="E168" i="70" s="1"/>
  <c r="E170" i="70" s="1"/>
  <c r="P67" i="70" s="1"/>
  <c r="F21" i="48" s="1"/>
  <c r="CA99" i="69"/>
  <c r="BU130" i="69"/>
  <c r="H240" i="70" s="1"/>
  <c r="H242" i="70" s="1"/>
  <c r="S76" i="70" s="1"/>
  <c r="I30" i="48" s="1"/>
  <c r="DA99" i="69"/>
  <c r="CX130" i="69"/>
  <c r="E256" i="70" s="1"/>
  <c r="E258" i="70" s="1"/>
  <c r="P78" i="70" s="1"/>
  <c r="F32" i="48" s="1"/>
  <c r="AO142" i="69"/>
  <c r="AL173" i="69"/>
  <c r="E280" i="70" s="1"/>
  <c r="E282" i="70" s="1"/>
  <c r="P81" i="70" s="1"/>
  <c r="F35" i="48" s="1"/>
  <c r="CO56" i="69"/>
  <c r="CJ87" i="69"/>
  <c r="G192" i="70" s="1"/>
  <c r="G194" i="70" s="1"/>
  <c r="R70" i="70" s="1"/>
  <c r="H24" i="48" s="1"/>
  <c r="DC99" i="69"/>
  <c r="CY130" i="69"/>
  <c r="F256" i="70" s="1"/>
  <c r="F258" i="70" s="1"/>
  <c r="Q78" i="70" s="1"/>
  <c r="G32" i="48" s="1"/>
  <c r="CI13" i="69"/>
  <c r="CG44" i="69"/>
  <c r="D136" i="70" s="1"/>
  <c r="D138" i="70" s="1"/>
  <c r="O63" i="70" s="1"/>
  <c r="E17" i="48" s="1"/>
  <c r="BS185" i="69"/>
  <c r="BQ216" i="69"/>
  <c r="D344" i="70" s="1"/>
  <c r="D346" i="70" s="1"/>
  <c r="O89" i="70" s="1"/>
  <c r="E43" i="48" s="1"/>
  <c r="BG185" i="69"/>
  <c r="BC216" i="69"/>
  <c r="F336" i="70" s="1"/>
  <c r="F338" i="70" s="1"/>
  <c r="Q88" i="70" s="1"/>
  <c r="G42" i="48" s="1"/>
  <c r="DC56" i="69"/>
  <c r="CY87" i="69"/>
  <c r="F200" i="70" s="1"/>
  <c r="F202" i="70" s="1"/>
  <c r="Q71" i="70" s="1"/>
  <c r="G25" i="48" s="1"/>
  <c r="V216" i="69"/>
  <c r="E320" i="70" s="1"/>
  <c r="E322" i="70" s="1"/>
  <c r="P86" i="70" s="1"/>
  <c r="F40" i="48" s="1"/>
  <c r="AA185" i="69"/>
  <c r="W216" i="69"/>
  <c r="F320" i="70" s="1"/>
  <c r="F322" i="70" s="1"/>
  <c r="Q86" i="70" s="1"/>
  <c r="G40" i="48" s="1"/>
  <c r="BE228" i="69"/>
  <c r="BB259" i="69"/>
  <c r="E376" i="70" s="1"/>
  <c r="E378" i="70" s="1"/>
  <c r="P93" i="70" s="1"/>
  <c r="F47" i="48" s="1"/>
  <c r="BW56" i="69"/>
  <c r="F184" i="70"/>
  <c r="F186" i="70" s="1"/>
  <c r="Q69" i="70" s="1"/>
  <c r="G23" i="48" s="1"/>
  <c r="DW56" i="69"/>
  <c r="DQ87" i="69"/>
  <c r="H208" i="70" s="1"/>
  <c r="H210" i="70" s="1"/>
  <c r="S72" i="70" s="1"/>
  <c r="I26" i="48" s="1"/>
  <c r="CI142" i="69"/>
  <c r="CG173" i="69"/>
  <c r="D304" i="70" s="1"/>
  <c r="D306" i="70" s="1"/>
  <c r="O84" i="70" s="1"/>
  <c r="E38" i="48" s="1"/>
  <c r="AM56" i="69"/>
  <c r="AK87" i="69"/>
  <c r="D168" i="70" s="1"/>
  <c r="D170" i="70" s="1"/>
  <c r="O67" i="70" s="1"/>
  <c r="E21" i="48" s="1"/>
  <c r="BG56" i="69"/>
  <c r="BC87" i="69"/>
  <c r="F176" i="70" s="1"/>
  <c r="F178" i="70" s="1"/>
  <c r="Q68" i="70" s="1"/>
  <c r="G22" i="48" s="1"/>
  <c r="AA99" i="69"/>
  <c r="W130" i="69"/>
  <c r="F216" i="70" s="1"/>
  <c r="F218" i="70" s="1"/>
  <c r="Q73" i="70" s="1"/>
  <c r="G27" i="48" s="1"/>
  <c r="K142" i="69"/>
  <c r="G173" i="69"/>
  <c r="F80" i="70" s="1"/>
  <c r="F82" i="70" s="1"/>
  <c r="Q56" i="70" s="1"/>
  <c r="G10" i="48" s="1"/>
  <c r="DS99" i="69"/>
  <c r="DO130" i="69"/>
  <c r="F264" i="70" s="1"/>
  <c r="F266" i="70" s="1"/>
  <c r="Q79" i="70" s="1"/>
  <c r="G33" i="48" s="1"/>
  <c r="AM142" i="69"/>
  <c r="AK173" i="69"/>
  <c r="D280" i="70" s="1"/>
  <c r="D282" i="70" s="1"/>
  <c r="O81" i="70" s="1"/>
  <c r="E35" i="48" s="1"/>
  <c r="DA13" i="69"/>
  <c r="CX44" i="69"/>
  <c r="E144" i="70" s="1"/>
  <c r="E146" i="70" s="1"/>
  <c r="P64" i="70" s="1"/>
  <c r="F18" i="48" s="1"/>
  <c r="BK99" i="69"/>
  <c r="BE130" i="69"/>
  <c r="H232" i="70" s="1"/>
  <c r="H234" i="70" s="1"/>
  <c r="S75" i="70" s="1"/>
  <c r="I29" i="48" s="1"/>
  <c r="U87" i="69"/>
  <c r="D160" i="70" s="1"/>
  <c r="D162" i="70" s="1"/>
  <c r="O66" i="70" s="1"/>
  <c r="E20" i="48" s="1"/>
  <c r="W56" i="69"/>
  <c r="AA56" i="69"/>
  <c r="W87" i="69"/>
  <c r="F160" i="70" s="1"/>
  <c r="F162" i="70" s="1"/>
  <c r="Q66" i="70" s="1"/>
  <c r="G20" i="48" s="1"/>
  <c r="EK56" i="69"/>
  <c r="EF87" i="69"/>
  <c r="BS13" i="69"/>
  <c r="BQ44" i="69"/>
  <c r="D128" i="70" s="1"/>
  <c r="D130" i="70" s="1"/>
  <c r="O62" i="70" s="1"/>
  <c r="E16" i="48" s="1"/>
  <c r="G196" i="69"/>
  <c r="E216" i="69"/>
  <c r="D88" i="70" s="1"/>
  <c r="D90" i="70" s="1"/>
  <c r="O57" i="70" s="1"/>
  <c r="E11" i="48" s="1"/>
  <c r="CY39" i="69"/>
  <c r="CW44" i="69"/>
  <c r="D144" i="70" s="1"/>
  <c r="D146" i="70" s="1"/>
  <c r="O64" i="70" s="1"/>
  <c r="E18" i="48" s="1"/>
  <c r="BY249" i="69"/>
  <c r="BT259" i="69"/>
  <c r="G384" i="70" s="1"/>
  <c r="G386" i="70" s="1"/>
  <c r="R94" i="70" s="1"/>
  <c r="H48" i="48" s="1"/>
  <c r="BA216" i="69"/>
  <c r="D336" i="70" s="1"/>
  <c r="D338" i="70" s="1"/>
  <c r="O88" i="70" s="1"/>
  <c r="E42" i="48" s="1"/>
  <c r="BC196" i="69"/>
  <c r="D259" i="69"/>
  <c r="C96" i="70" s="1"/>
  <c r="C98" i="70" s="1"/>
  <c r="N58" i="70" s="1"/>
  <c r="D12" i="48" s="1"/>
  <c r="AO87" i="69"/>
  <c r="H168" i="70" s="1"/>
  <c r="H170" i="70" s="1"/>
  <c r="S67" i="70" s="1"/>
  <c r="I21" i="48" s="1"/>
  <c r="I47" i="70"/>
  <c r="BA173" i="69"/>
  <c r="D288" i="70" s="1"/>
  <c r="D290" i="70" s="1"/>
  <c r="O82" i="70" s="1"/>
  <c r="E36" i="48" s="1"/>
  <c r="E87" i="69"/>
  <c r="D64" i="70" s="1"/>
  <c r="D66" i="70" s="1"/>
  <c r="O54" i="70" s="1"/>
  <c r="E8" i="48" s="1"/>
  <c r="AE39" i="69"/>
  <c r="BQ153" i="69"/>
  <c r="BP173" i="69"/>
  <c r="C296" i="70" s="1"/>
  <c r="C298" i="70" s="1"/>
  <c r="N83" i="70" s="1"/>
  <c r="D37" i="48" s="1"/>
  <c r="DP87" i="69"/>
  <c r="G208" i="70" s="1"/>
  <c r="G210" i="70" s="1"/>
  <c r="R72" i="70" s="1"/>
  <c r="H26" i="48" s="1"/>
  <c r="T44" i="69"/>
  <c r="C104" i="70" s="1"/>
  <c r="C106" i="70" s="1"/>
  <c r="N59" i="70" s="1"/>
  <c r="D13" i="48" s="1"/>
  <c r="CQ211" i="69"/>
  <c r="CK216" i="69"/>
  <c r="H352" i="70" s="1"/>
  <c r="H354" i="70" s="1"/>
  <c r="S90" i="70" s="1"/>
  <c r="I44" i="48" s="1"/>
  <c r="DL87" i="69"/>
  <c r="C208" i="70" s="1"/>
  <c r="C210" i="70" s="1"/>
  <c r="N72" i="70" s="1"/>
  <c r="D26" i="48" s="1"/>
  <c r="CH130" i="69"/>
  <c r="E248" i="70" s="1"/>
  <c r="E250" i="70" s="1"/>
  <c r="P77" i="70" s="1"/>
  <c r="F31" i="48" s="1"/>
  <c r="EC87" i="69"/>
  <c r="CF44" i="69"/>
  <c r="C136" i="70" s="1"/>
  <c r="C138" i="70" s="1"/>
  <c r="N63" i="70" s="1"/>
  <c r="D17" i="48" s="1"/>
  <c r="BC259" i="69"/>
  <c r="F376" i="70" s="1"/>
  <c r="F378" i="70" s="1"/>
  <c r="Q93" i="70" s="1"/>
  <c r="G47" i="48" s="1"/>
  <c r="BG250" i="69"/>
  <c r="CE173" i="69"/>
  <c r="B304" i="70" s="1"/>
  <c r="B306" i="70" s="1"/>
  <c r="M84" i="70" s="1"/>
  <c r="C38" i="48" s="1"/>
  <c r="CX173" i="69"/>
  <c r="E312" i="70" s="1"/>
  <c r="E314" i="70" s="1"/>
  <c r="P85" i="70" s="1"/>
  <c r="F39" i="48" s="1"/>
  <c r="CU130" i="69"/>
  <c r="B256" i="70" s="1"/>
  <c r="B258" i="70" s="1"/>
  <c r="M78" i="70" s="1"/>
  <c r="C32" i="48" s="1"/>
  <c r="I173" i="69"/>
  <c r="H80" i="70" s="1"/>
  <c r="H82" i="70" s="1"/>
  <c r="S56" i="70" s="1"/>
  <c r="I10" i="48" s="1"/>
  <c r="DM44" i="69"/>
  <c r="D152" i="70" s="1"/>
  <c r="D154" i="70" s="1"/>
  <c r="O65" i="70" s="1"/>
  <c r="E19" i="48" s="1"/>
  <c r="AC125" i="69"/>
  <c r="AJ259" i="69"/>
  <c r="C368" i="70" s="1"/>
  <c r="C370" i="70" s="1"/>
  <c r="N92" i="70" s="1"/>
  <c r="D46" i="48" s="1"/>
  <c r="AK241" i="69"/>
  <c r="X259" i="69"/>
  <c r="G360" i="70" s="1"/>
  <c r="G362" i="70" s="1"/>
  <c r="R91" i="70" s="1"/>
  <c r="H45" i="48" s="1"/>
  <c r="AC250" i="69"/>
  <c r="CY173" i="69"/>
  <c r="F312" i="70" s="1"/>
  <c r="F314" i="70" s="1"/>
  <c r="Q85" i="70" s="1"/>
  <c r="G39" i="48" s="1"/>
  <c r="BD259" i="69"/>
  <c r="G376" i="70" s="1"/>
  <c r="G378" i="70" s="1"/>
  <c r="R93" i="70" s="1"/>
  <c r="H47" i="48" s="1"/>
  <c r="BI250" i="69"/>
  <c r="CZ87" i="69"/>
  <c r="G200" i="70" s="1"/>
  <c r="G202" i="70" s="1"/>
  <c r="R71" i="70" s="1"/>
  <c r="H25" i="48" s="1"/>
  <c r="DE82" i="69"/>
  <c r="V130" i="69"/>
  <c r="E216" i="70" s="1"/>
  <c r="E218" i="70" s="1"/>
  <c r="P73" i="70" s="1"/>
  <c r="F27" i="48" s="1"/>
  <c r="AK13" i="69"/>
  <c r="AJ44" i="69"/>
  <c r="C112" i="70" s="1"/>
  <c r="C114" i="70" s="1"/>
  <c r="N60" i="70" s="1"/>
  <c r="D14" i="48" s="1"/>
  <c r="E259" i="69"/>
  <c r="D96" i="70" s="1"/>
  <c r="D98" i="70" s="1"/>
  <c r="O58" i="70" s="1"/>
  <c r="E12" i="48" s="1"/>
  <c r="G239" i="69"/>
  <c r="AU211" i="69"/>
  <c r="AN216" i="69"/>
  <c r="G328" i="70" s="1"/>
  <c r="G330" i="70" s="1"/>
  <c r="R87" i="70" s="1"/>
  <c r="H41" i="48" s="1"/>
  <c r="AS211" i="69"/>
  <c r="AA250" i="69"/>
  <c r="W259" i="69"/>
  <c r="F360" i="70" s="1"/>
  <c r="F362" i="70" s="1"/>
  <c r="Q91" i="70" s="1"/>
  <c r="G45" i="48" s="1"/>
  <c r="AJ216" i="69"/>
  <c r="C328" i="70" s="1"/>
  <c r="C330" i="70" s="1"/>
  <c r="N87" i="70" s="1"/>
  <c r="D41" i="48" s="1"/>
  <c r="T87" i="69"/>
  <c r="C160" i="70" s="1"/>
  <c r="C162" i="70" s="1"/>
  <c r="N66" i="70" s="1"/>
  <c r="D20" i="48" s="1"/>
  <c r="F47" i="70"/>
  <c r="AS39" i="69"/>
  <c r="EB87" i="69"/>
  <c r="AK216" i="69"/>
  <c r="D328" i="70" s="1"/>
  <c r="D330" i="70" s="1"/>
  <c r="O87" i="70" s="1"/>
  <c r="E41" i="48" s="1"/>
  <c r="AC211" i="69"/>
  <c r="BE44" i="69"/>
  <c r="H120" i="70" s="1"/>
  <c r="H122" i="70" s="1"/>
  <c r="S61" i="70" s="1"/>
  <c r="I15" i="48" s="1"/>
  <c r="BK39" i="69"/>
  <c r="CJ44" i="69"/>
  <c r="G136" i="70" s="1"/>
  <c r="G138" i="70" s="1"/>
  <c r="R63" i="70" s="1"/>
  <c r="H17" i="48" s="1"/>
  <c r="BR173" i="69"/>
  <c r="E296" i="70" s="1"/>
  <c r="E298" i="70" s="1"/>
  <c r="P83" i="70" s="1"/>
  <c r="F37" i="48" s="1"/>
  <c r="AZ259" i="69"/>
  <c r="C376" i="70" s="1"/>
  <c r="C378" i="70" s="1"/>
  <c r="N93" i="70" s="1"/>
  <c r="D47" i="48" s="1"/>
  <c r="BA241" i="69"/>
  <c r="Y130" i="69"/>
  <c r="H216" i="70" s="1"/>
  <c r="H218" i="70" s="1"/>
  <c r="S73" i="70" s="1"/>
  <c r="I27" i="48" s="1"/>
  <c r="AC168" i="69"/>
  <c r="AO130" i="69"/>
  <c r="H224" i="70" s="1"/>
  <c r="H226" i="70" s="1"/>
  <c r="S74" i="70" s="1"/>
  <c r="I28" i="48" s="1"/>
  <c r="AU125" i="69"/>
  <c r="O125" i="69"/>
  <c r="CV173" i="69"/>
  <c r="C312" i="70" s="1"/>
  <c r="C314" i="70" s="1"/>
  <c r="N85" i="70" s="1"/>
  <c r="D39" i="48" s="1"/>
  <c r="T130" i="69"/>
  <c r="C216" i="70" s="1"/>
  <c r="C218" i="70" s="1"/>
  <c r="N73" i="70" s="1"/>
  <c r="D27" i="48" s="1"/>
  <c r="BI168" i="69"/>
  <c r="AO11" i="69"/>
  <c r="CM205" i="69"/>
  <c r="CI216" i="69"/>
  <c r="F352" i="70" s="1"/>
  <c r="F354" i="70" s="1"/>
  <c r="Q90" i="70" s="1"/>
  <c r="G44" i="48" s="1"/>
  <c r="AY241" i="69"/>
  <c r="AY259" i="69"/>
  <c r="B376" i="70" s="1"/>
  <c r="B378" i="70" s="1"/>
  <c r="M93" i="70" s="1"/>
  <c r="C47" i="48" s="1"/>
  <c r="BU173" i="69"/>
  <c r="H296" i="70" s="1"/>
  <c r="H298" i="70" s="1"/>
  <c r="S83" i="70" s="1"/>
  <c r="I37" i="48" s="1"/>
  <c r="CA168" i="69"/>
  <c r="AY173" i="69"/>
  <c r="B288" i="70" s="1"/>
  <c r="B290" i="70" s="1"/>
  <c r="M82" i="70" s="1"/>
  <c r="C36" i="48" s="1"/>
  <c r="CW130" i="69"/>
  <c r="D256" i="70" s="1"/>
  <c r="D258" i="70" s="1"/>
  <c r="O78" i="70" s="1"/>
  <c r="E32" i="48" s="1"/>
  <c r="BS241" i="69"/>
  <c r="BQ259" i="69"/>
  <c r="D384" i="70" s="1"/>
  <c r="D386" i="70" s="1"/>
  <c r="O94" i="70" s="1"/>
  <c r="E48" i="48" s="1"/>
  <c r="CQ125" i="69"/>
  <c r="AN173" i="69"/>
  <c r="G280" i="70" s="1"/>
  <c r="G282" i="70" s="1"/>
  <c r="R81" i="70" s="1"/>
  <c r="H35" i="48" s="1"/>
  <c r="BU259" i="69"/>
  <c r="H384" i="70" s="1"/>
  <c r="H386" i="70" s="1"/>
  <c r="S94" i="70" s="1"/>
  <c r="I48" i="48" s="1"/>
  <c r="CA250" i="69"/>
  <c r="C259" i="69"/>
  <c r="B96" i="70" s="1"/>
  <c r="B98" i="70" s="1"/>
  <c r="M58" i="70" s="1"/>
  <c r="C12" i="48" s="1"/>
  <c r="DK130" i="69"/>
  <c r="B264" i="70" s="1"/>
  <c r="B266" i="70" s="1"/>
  <c r="M79" i="70" s="1"/>
  <c r="C33" i="48" s="1"/>
  <c r="CO206" i="69"/>
  <c r="BA87" i="69"/>
  <c r="D176" i="70" s="1"/>
  <c r="D178" i="70" s="1"/>
  <c r="O68" i="70" s="1"/>
  <c r="E22" i="48" s="1"/>
  <c r="AS11" i="69"/>
  <c r="AS13" i="69" s="1"/>
  <c r="I97" i="69"/>
  <c r="M97" i="69"/>
  <c r="M99" i="69" s="1"/>
  <c r="CK44" i="69"/>
  <c r="H136" i="70" s="1"/>
  <c r="H138" i="70" s="1"/>
  <c r="S63" i="70" s="1"/>
  <c r="I17" i="48" s="1"/>
  <c r="BU44" i="69"/>
  <c r="H128" i="70" s="1"/>
  <c r="H130" i="70" s="1"/>
  <c r="S62" i="70" s="1"/>
  <c r="I16" i="48" s="1"/>
  <c r="AS82" i="69"/>
  <c r="AN87" i="69"/>
  <c r="G168" i="70" s="1"/>
  <c r="G170" i="70" s="1"/>
  <c r="R67" i="70" s="1"/>
  <c r="H21" i="48" s="1"/>
  <c r="AM130" i="69"/>
  <c r="F224" i="70" s="1"/>
  <c r="F226" i="70" s="1"/>
  <c r="Q74" i="70" s="1"/>
  <c r="G28" i="48" s="1"/>
  <c r="U259" i="69"/>
  <c r="D360" i="70" s="1"/>
  <c r="D362" i="70" s="1"/>
  <c r="O91" i="70" s="1"/>
  <c r="E45" i="48" s="1"/>
  <c r="D44" i="69"/>
  <c r="C56" i="70" s="1"/>
  <c r="C58" i="70" s="1"/>
  <c r="N53" i="70" s="1"/>
  <c r="D7" i="48" s="1"/>
  <c r="B232" i="70"/>
  <c r="B234" i="70" s="1"/>
  <c r="M75" i="70" s="1"/>
  <c r="C29" i="48" s="1"/>
  <c r="AN130" i="69"/>
  <c r="G224" i="70" s="1"/>
  <c r="G226" i="70" s="1"/>
  <c r="R74" i="70" s="1"/>
  <c r="H28" i="48" s="1"/>
  <c r="BC173" i="69"/>
  <c r="F288" i="70" s="1"/>
  <c r="F290" i="70" s="1"/>
  <c r="Q82" i="70" s="1"/>
  <c r="G36" i="48" s="1"/>
  <c r="AK259" i="69"/>
  <c r="D368" i="70" s="1"/>
  <c r="D370" i="70" s="1"/>
  <c r="O92" i="70" s="1"/>
  <c r="E46" i="48" s="1"/>
  <c r="AM239" i="69"/>
  <c r="DE125" i="69"/>
  <c r="CZ130" i="69"/>
  <c r="G256" i="70" s="1"/>
  <c r="G258" i="70" s="1"/>
  <c r="R78" i="70" s="1"/>
  <c r="H32" i="48" s="1"/>
  <c r="EK39" i="69"/>
  <c r="BD87" i="69"/>
  <c r="G176" i="70" s="1"/>
  <c r="G178" i="70" s="1"/>
  <c r="R68" i="70" s="1"/>
  <c r="H22" i="48" s="1"/>
  <c r="BI82" i="69"/>
  <c r="CG216" i="69"/>
  <c r="D352" i="70" s="1"/>
  <c r="D354" i="70" s="1"/>
  <c r="O90" i="70" s="1"/>
  <c r="E44" i="48" s="1"/>
  <c r="CI196" i="69"/>
  <c r="AO173" i="69"/>
  <c r="H280" i="70" s="1"/>
  <c r="H282" i="70" s="1"/>
  <c r="S81" i="70" s="1"/>
  <c r="I35" i="48" s="1"/>
  <c r="BU87" i="69"/>
  <c r="H184" i="70" s="1"/>
  <c r="H186" i="70" s="1"/>
  <c r="S69" i="70" s="1"/>
  <c r="I23" i="48" s="1"/>
  <c r="CA82" i="69"/>
  <c r="CH216" i="69"/>
  <c r="E352" i="70" s="1"/>
  <c r="E354" i="70" s="1"/>
  <c r="P90" i="70" s="1"/>
  <c r="F44" i="48" s="1"/>
  <c r="AO228" i="69"/>
  <c r="AL259" i="69"/>
  <c r="E368" i="70" s="1"/>
  <c r="E370" i="70" s="1"/>
  <c r="P92" i="70" s="1"/>
  <c r="F46" i="48" s="1"/>
  <c r="BQ241" i="69"/>
  <c r="BP259" i="69"/>
  <c r="C384" i="70" s="1"/>
  <c r="C386" i="70" s="1"/>
  <c r="N94" i="70" s="1"/>
  <c r="D48" i="48" s="1"/>
  <c r="DA130" i="69"/>
  <c r="H256" i="70" s="1"/>
  <c r="H258" i="70" s="1"/>
  <c r="S78" i="70" s="1"/>
  <c r="I32" i="48" s="1"/>
  <c r="D216" i="69"/>
  <c r="C88" i="70" s="1"/>
  <c r="C90" i="70" s="1"/>
  <c r="N57" i="70" s="1"/>
  <c r="D11" i="48" s="1"/>
  <c r="E130" i="69"/>
  <c r="D72" i="70" s="1"/>
  <c r="D74" i="70" s="1"/>
  <c r="O55" i="70" s="1"/>
  <c r="E9" i="48" s="1"/>
  <c r="E56" i="69"/>
  <c r="D87" i="69"/>
  <c r="C64" i="70" s="1"/>
  <c r="C66" i="70" s="1"/>
  <c r="N54" i="70" s="1"/>
  <c r="D8" i="48" s="1"/>
  <c r="CF130" i="69"/>
  <c r="C248" i="70" s="1"/>
  <c r="C250" i="70" s="1"/>
  <c r="N77" i="70" s="1"/>
  <c r="D31" i="48" s="1"/>
  <c r="BS259" i="69"/>
  <c r="F384" i="70" s="1"/>
  <c r="F386" i="70" s="1"/>
  <c r="Q94" i="70" s="1"/>
  <c r="G48" i="48" s="1"/>
  <c r="BW248" i="69"/>
  <c r="BR259" i="69"/>
  <c r="E384" i="70" s="1"/>
  <c r="E386" i="70" s="1"/>
  <c r="P94" i="70" s="1"/>
  <c r="F48" i="48" s="1"/>
  <c r="CH44" i="69"/>
  <c r="E136" i="70" s="1"/>
  <c r="E138" i="70" s="1"/>
  <c r="P63" i="70" s="1"/>
  <c r="F17" i="48" s="1"/>
  <c r="BS216" i="69"/>
  <c r="F344" i="70" s="1"/>
  <c r="F346" i="70" s="1"/>
  <c r="Q89" i="70" s="1"/>
  <c r="G43" i="48" s="1"/>
  <c r="DQ130" i="69"/>
  <c r="H264" i="70" s="1"/>
  <c r="H266" i="70" s="1"/>
  <c r="S79" i="70" s="1"/>
  <c r="I33" i="48" s="1"/>
  <c r="DW125" i="69"/>
  <c r="M254" i="69"/>
  <c r="BE259" i="69"/>
  <c r="H376" i="70" s="1"/>
  <c r="H378" i="70" s="1"/>
  <c r="S93" i="70" s="1"/>
  <c r="I47" i="48" s="1"/>
  <c r="BK254" i="69"/>
  <c r="D130" i="69"/>
  <c r="C72" i="70" s="1"/>
  <c r="C74" i="70" s="1"/>
  <c r="N55" i="70" s="1"/>
  <c r="D9" i="48" s="1"/>
  <c r="AO207" i="69"/>
  <c r="I259" i="69"/>
  <c r="H96" i="70" s="1"/>
  <c r="H98" i="70" s="1"/>
  <c r="S58" i="70" s="1"/>
  <c r="I12" i="48" s="1"/>
  <c r="O254" i="69"/>
  <c r="CO125" i="69"/>
  <c r="BY168" i="69"/>
  <c r="AQ207" i="69"/>
  <c r="AM216" i="69"/>
  <c r="F328" i="70" s="1"/>
  <c r="F330" i="70" s="1"/>
  <c r="Q87" i="70" s="1"/>
  <c r="G41" i="48" s="1"/>
  <c r="AO259" i="69"/>
  <c r="H368" i="70" s="1"/>
  <c r="H370" i="70" s="1"/>
  <c r="S92" i="70" s="1"/>
  <c r="I46" i="48" s="1"/>
  <c r="AU254" i="69"/>
  <c r="DU39" i="69"/>
  <c r="I11" i="69"/>
  <c r="BU207" i="69"/>
  <c r="BR216" i="69"/>
  <c r="E344" i="70" s="1"/>
  <c r="E346" i="70" s="1"/>
  <c r="P89" i="70" s="1"/>
  <c r="F43" i="48" s="1"/>
  <c r="AZ87" i="69"/>
  <c r="C176" i="70" s="1"/>
  <c r="C178" i="70" s="1"/>
  <c r="N68" i="70" s="1"/>
  <c r="D22" i="48" s="1"/>
  <c r="M125" i="69"/>
  <c r="AJ173" i="69"/>
  <c r="C280" i="70" s="1"/>
  <c r="C282" i="70" s="1"/>
  <c r="N81" i="70" s="1"/>
  <c r="D35" i="48" s="1"/>
  <c r="BE216" i="69"/>
  <c r="H336" i="70" s="1"/>
  <c r="H338" i="70" s="1"/>
  <c r="S88" i="70" s="1"/>
  <c r="I42" i="48" s="1"/>
  <c r="BK211" i="69"/>
  <c r="BC130" i="69"/>
  <c r="F232" i="70" s="1"/>
  <c r="F234" i="70" s="1"/>
  <c r="Q75" i="70" s="1"/>
  <c r="G29" i="48" s="1"/>
  <c r="AM259" i="69"/>
  <c r="F368" i="70" s="1"/>
  <c r="F370" i="70" s="1"/>
  <c r="Q92" i="70" s="1"/>
  <c r="G46" i="48" s="1"/>
  <c r="BT216" i="69"/>
  <c r="G344" i="70" s="1"/>
  <c r="G346" i="70" s="1"/>
  <c r="R89" i="70" s="1"/>
  <c r="H43" i="48" s="1"/>
  <c r="BS120" i="69"/>
  <c r="CI87" i="69"/>
  <c r="F192" i="70" s="1"/>
  <c r="F194" i="70" s="1"/>
  <c r="Q70" i="70" s="1"/>
  <c r="G24" i="48" s="1"/>
  <c r="BB173" i="69"/>
  <c r="E288" i="70" s="1"/>
  <c r="E290" i="70" s="1"/>
  <c r="P82" i="70" s="1"/>
  <c r="F36" i="48" s="1"/>
  <c r="CH173" i="69"/>
  <c r="E304" i="70" s="1"/>
  <c r="E306" i="70" s="1"/>
  <c r="P84" i="70" s="1"/>
  <c r="F38" i="48" s="1"/>
  <c r="F216" i="69"/>
  <c r="E88" i="70" s="1"/>
  <c r="E90" i="70" s="1"/>
  <c r="P57" i="70" s="1"/>
  <c r="F11" i="48" s="1"/>
  <c r="DA87" i="69"/>
  <c r="H200" i="70" s="1"/>
  <c r="H202" i="70" s="1"/>
  <c r="S71" i="70" s="1"/>
  <c r="I25" i="48" s="1"/>
  <c r="DG82" i="69"/>
  <c r="BD216" i="69"/>
  <c r="G336" i="70" s="1"/>
  <c r="G338" i="70" s="1"/>
  <c r="R88" i="70" s="1"/>
  <c r="H42" i="48" s="1"/>
  <c r="BI211" i="69"/>
  <c r="Y54" i="69"/>
  <c r="I54" i="69"/>
  <c r="EG11" i="69"/>
  <c r="CW173" i="69"/>
  <c r="D312" i="70" s="1"/>
  <c r="D314" i="70" s="1"/>
  <c r="O85" i="70" s="1"/>
  <c r="E39" i="48" s="1"/>
  <c r="C173" i="69"/>
  <c r="B80" i="70" s="1"/>
  <c r="B82" i="70" s="1"/>
  <c r="M56" i="70" s="1"/>
  <c r="C10" i="48" s="1"/>
  <c r="BE207" i="69"/>
  <c r="EG87" i="69"/>
  <c r="AS250" i="69"/>
  <c r="G216" i="69"/>
  <c r="F88" i="70" s="1"/>
  <c r="F90" i="70" s="1"/>
  <c r="Q57" i="70" s="1"/>
  <c r="G11" i="48" s="1"/>
  <c r="CJ173" i="69"/>
  <c r="G304" i="70" s="1"/>
  <c r="G306" i="70" s="1"/>
  <c r="R84" i="70" s="1"/>
  <c r="H38" i="48" s="1"/>
  <c r="CO168" i="69"/>
  <c r="BO241" i="69"/>
  <c r="BO259" i="69"/>
  <c r="B384" i="70" s="1"/>
  <c r="B386" i="70" s="1"/>
  <c r="M94" i="70" s="1"/>
  <c r="C48" i="48" s="1"/>
  <c r="H216" i="69"/>
  <c r="G88" i="70" s="1"/>
  <c r="G90" i="70" s="1"/>
  <c r="R57" i="70" s="1"/>
  <c r="H11" i="48" s="1"/>
  <c r="AZ44" i="69"/>
  <c r="C120" i="70" s="1"/>
  <c r="C122" i="70" s="1"/>
  <c r="N61" i="70" s="1"/>
  <c r="D15" i="48" s="1"/>
  <c r="U216" i="69"/>
  <c r="D320" i="70" s="1"/>
  <c r="D322" i="70" s="1"/>
  <c r="O86" i="70" s="1"/>
  <c r="E40" i="48" s="1"/>
  <c r="AO62" i="49"/>
  <c r="AP62" i="49"/>
  <c r="AQ62" i="49"/>
  <c r="AR62" i="49"/>
  <c r="AO63" i="49"/>
  <c r="AP63" i="49"/>
  <c r="AQ63" i="49"/>
  <c r="AR63" i="49"/>
  <c r="AN63" i="49"/>
  <c r="AN62" i="49"/>
  <c r="AM63" i="49"/>
  <c r="AM62" i="49"/>
  <c r="AL62" i="49"/>
  <c r="AK62" i="49"/>
  <c r="AK63" i="49"/>
  <c r="AL63" i="49"/>
  <c r="AJ63" i="49"/>
  <c r="AJ62" i="49"/>
  <c r="BA63" i="49"/>
  <c r="AX62" i="49"/>
  <c r="AY62" i="49"/>
  <c r="AZ62" i="49"/>
  <c r="BA62" i="49"/>
  <c r="AX63" i="49"/>
  <c r="AY63" i="49"/>
  <c r="AZ63" i="49"/>
  <c r="AW63" i="49"/>
  <c r="AW62" i="49"/>
  <c r="AT62" i="49"/>
  <c r="AU62" i="49"/>
  <c r="AV62" i="49"/>
  <c r="AT63" i="49"/>
  <c r="AU63" i="49"/>
  <c r="AV63" i="49"/>
  <c r="AS63" i="49"/>
  <c r="AS62" i="49"/>
  <c r="CM62" i="49"/>
  <c r="CN62" i="49"/>
  <c r="CO62" i="49"/>
  <c r="CP62" i="49"/>
  <c r="CQ62" i="49"/>
  <c r="CR62" i="49"/>
  <c r="CM63" i="49"/>
  <c r="CN63" i="49"/>
  <c r="CO63" i="49"/>
  <c r="CP63" i="49"/>
  <c r="CQ63" i="49"/>
  <c r="CR63" i="49"/>
  <c r="CL63" i="49"/>
  <c r="CL62" i="49"/>
  <c r="CD62" i="49"/>
  <c r="CE62" i="49"/>
  <c r="CF62" i="49"/>
  <c r="CG62" i="49"/>
  <c r="CH62" i="49"/>
  <c r="CI62" i="49"/>
  <c r="CD63" i="49"/>
  <c r="CE63" i="49"/>
  <c r="CF63" i="49"/>
  <c r="CG63" i="49"/>
  <c r="CH63" i="49"/>
  <c r="CI63" i="49"/>
  <c r="CC63" i="49"/>
  <c r="CC62" i="49"/>
  <c r="BZ63" i="49"/>
  <c r="BU62" i="49"/>
  <c r="BV62" i="49"/>
  <c r="BW62" i="49"/>
  <c r="BX62" i="49"/>
  <c r="BY62" i="49"/>
  <c r="BZ62" i="49"/>
  <c r="BU63" i="49"/>
  <c r="BV63" i="49"/>
  <c r="BW63" i="49"/>
  <c r="BX63" i="49"/>
  <c r="BY63" i="49"/>
  <c r="BT63" i="49"/>
  <c r="BT62" i="49"/>
  <c r="BR62" i="49"/>
  <c r="BS62" i="49"/>
  <c r="BR63" i="49"/>
  <c r="BS63" i="49"/>
  <c r="BQ63" i="49"/>
  <c r="BQ62" i="49"/>
  <c r="BP63" i="49"/>
  <c r="BL62" i="49"/>
  <c r="BM62" i="49"/>
  <c r="BN62" i="49"/>
  <c r="BO62" i="49"/>
  <c r="BP62" i="49"/>
  <c r="BL63" i="49"/>
  <c r="BM63" i="49"/>
  <c r="BN63" i="49"/>
  <c r="BO63" i="49"/>
  <c r="BK63" i="49"/>
  <c r="BK62" i="49"/>
  <c r="BJ63" i="49"/>
  <c r="BJ62" i="49"/>
  <c r="BI63" i="49"/>
  <c r="BI62" i="49"/>
  <c r="BH63" i="49"/>
  <c r="BH62" i="49"/>
  <c r="BG63" i="49"/>
  <c r="BG62" i="49"/>
  <c r="BF63" i="49"/>
  <c r="BF62" i="49"/>
  <c r="BE63" i="49"/>
  <c r="BE62" i="49"/>
  <c r="BD63" i="49"/>
  <c r="BD62" i="49"/>
  <c r="BC63" i="49"/>
  <c r="BC62" i="49"/>
  <c r="BB63" i="49"/>
  <c r="BB62" i="49"/>
  <c r="AD62" i="49"/>
  <c r="AE62" i="49"/>
  <c r="AF62" i="49"/>
  <c r="AG62" i="49"/>
  <c r="AH62" i="49"/>
  <c r="AI62" i="49"/>
  <c r="AD63" i="49"/>
  <c r="AE63" i="49"/>
  <c r="AF63" i="49"/>
  <c r="AG63" i="49"/>
  <c r="AH63" i="49"/>
  <c r="AI63" i="49"/>
  <c r="AC63" i="49"/>
  <c r="AC62" i="49"/>
  <c r="AB63" i="49"/>
  <c r="AB62" i="49"/>
  <c r="AA63" i="49"/>
  <c r="AA62" i="49"/>
  <c r="U62" i="49"/>
  <c r="V62" i="49"/>
  <c r="W62" i="49"/>
  <c r="X62" i="49"/>
  <c r="Y62" i="49"/>
  <c r="Z62" i="49"/>
  <c r="U63" i="49"/>
  <c r="V63" i="49"/>
  <c r="W63" i="49"/>
  <c r="X63" i="49"/>
  <c r="Y63" i="49"/>
  <c r="Z63" i="49"/>
  <c r="T63" i="49"/>
  <c r="T62" i="49"/>
  <c r="S63" i="49"/>
  <c r="S62" i="49"/>
  <c r="R63" i="49"/>
  <c r="R62" i="49"/>
  <c r="P62" i="49"/>
  <c r="Q62" i="49"/>
  <c r="O62" i="49"/>
  <c r="N62" i="49"/>
  <c r="K63" i="49"/>
  <c r="L63" i="49"/>
  <c r="M63" i="49"/>
  <c r="N63" i="49"/>
  <c r="O63" i="49"/>
  <c r="P63" i="49"/>
  <c r="Q63" i="49"/>
  <c r="J63" i="49"/>
  <c r="J62" i="49"/>
  <c r="I63" i="49"/>
  <c r="I62" i="49"/>
  <c r="C63" i="49"/>
  <c r="D63" i="49"/>
  <c r="E63" i="49"/>
  <c r="F63" i="49"/>
  <c r="G63" i="49"/>
  <c r="H63" i="49"/>
  <c r="B63" i="49"/>
  <c r="B62" i="49"/>
  <c r="M62" i="49"/>
  <c r="L62" i="49"/>
  <c r="K62" i="49"/>
  <c r="H62" i="49"/>
  <c r="G62" i="49"/>
  <c r="F62" i="49"/>
  <c r="E62" i="49"/>
  <c r="D62" i="49"/>
  <c r="C62" i="49"/>
  <c r="CR61" i="49"/>
  <c r="CQ61" i="49"/>
  <c r="CP61" i="49"/>
  <c r="CO61" i="49"/>
  <c r="CN61" i="49"/>
  <c r="CM61" i="49"/>
  <c r="CL61" i="49"/>
  <c r="CI61" i="49"/>
  <c r="CH61" i="49"/>
  <c r="CG61" i="49"/>
  <c r="CF61" i="49"/>
  <c r="CE61" i="49"/>
  <c r="CD61" i="49"/>
  <c r="CC61" i="49"/>
  <c r="BZ61" i="49"/>
  <c r="BY61" i="49"/>
  <c r="BX61" i="49"/>
  <c r="BW61" i="49"/>
  <c r="BV61" i="49"/>
  <c r="BU61" i="49"/>
  <c r="BT61" i="49"/>
  <c r="BS61" i="49"/>
  <c r="BR61" i="49"/>
  <c r="BQ61" i="49"/>
  <c r="BP61" i="49"/>
  <c r="BO61" i="49"/>
  <c r="BN61" i="49"/>
  <c r="BM61" i="49"/>
  <c r="BL61" i="49"/>
  <c r="BK61" i="49"/>
  <c r="BJ61" i="49"/>
  <c r="BI61" i="49"/>
  <c r="BH61" i="49"/>
  <c r="BG61" i="49"/>
  <c r="BF61" i="49"/>
  <c r="BE61" i="49"/>
  <c r="BD61" i="49"/>
  <c r="BC61" i="49"/>
  <c r="BB61" i="49"/>
  <c r="BA61" i="49"/>
  <c r="AZ61" i="49"/>
  <c r="AY61" i="49"/>
  <c r="AX61" i="49"/>
  <c r="AW61" i="49"/>
  <c r="AV61" i="49"/>
  <c r="AU61" i="49"/>
  <c r="AT61" i="49"/>
  <c r="AS61" i="49"/>
  <c r="AR61" i="49"/>
  <c r="AQ61" i="49"/>
  <c r="AP61" i="49"/>
  <c r="AO61" i="49"/>
  <c r="AN61" i="49"/>
  <c r="AM61" i="49"/>
  <c r="AL61" i="49"/>
  <c r="AK61" i="49"/>
  <c r="AJ61" i="49"/>
  <c r="AD61" i="49"/>
  <c r="AE61" i="49"/>
  <c r="AF61" i="49"/>
  <c r="AG61" i="49"/>
  <c r="AH61" i="49"/>
  <c r="AI61" i="49"/>
  <c r="AC61" i="49"/>
  <c r="AB61" i="49"/>
  <c r="S61" i="49"/>
  <c r="AA61" i="49"/>
  <c r="J61" i="49"/>
  <c r="T61" i="49"/>
  <c r="U61" i="49"/>
  <c r="V61" i="49"/>
  <c r="W61" i="49"/>
  <c r="X61" i="49"/>
  <c r="Y61" i="49"/>
  <c r="Z61" i="49"/>
  <c r="R61" i="49"/>
  <c r="I61" i="49"/>
  <c r="K61" i="49"/>
  <c r="L61" i="49"/>
  <c r="M61" i="49"/>
  <c r="N61" i="49"/>
  <c r="O61" i="49"/>
  <c r="P61" i="49"/>
  <c r="Q61" i="49"/>
  <c r="C61" i="49"/>
  <c r="D61" i="49"/>
  <c r="E61" i="49"/>
  <c r="F61" i="49"/>
  <c r="G61" i="49"/>
  <c r="H61" i="49"/>
  <c r="B61" i="49"/>
  <c r="C51" i="47"/>
  <c r="C50" i="47"/>
  <c r="Y216" i="69" l="1"/>
  <c r="H320" i="70" s="1"/>
  <c r="H322" i="70" s="1"/>
  <c r="S86" i="70" s="1"/>
  <c r="I40" i="48" s="1"/>
  <c r="AN259" i="69"/>
  <c r="G368" i="70" s="1"/>
  <c r="G370" i="70" s="1"/>
  <c r="R92" i="70" s="1"/>
  <c r="H46" i="48" s="1"/>
  <c r="BQ173" i="69"/>
  <c r="D296" i="70" s="1"/>
  <c r="D298" i="70" s="1"/>
  <c r="O83" i="70" s="1"/>
  <c r="E37" i="48" s="1"/>
  <c r="CG87" i="69"/>
  <c r="D192" i="70" s="1"/>
  <c r="D194" i="70" s="1"/>
  <c r="O70" i="70" s="1"/>
  <c r="E24" i="48" s="1"/>
  <c r="F173" i="69"/>
  <c r="E80" i="70" s="1"/>
  <c r="E82" i="70" s="1"/>
  <c r="P56" i="70" s="1"/>
  <c r="F10" i="48" s="1"/>
  <c r="X87" i="69"/>
  <c r="G160" i="70" s="1"/>
  <c r="G162" i="70" s="1"/>
  <c r="R66" i="70" s="1"/>
  <c r="H20" i="48" s="1"/>
  <c r="Y44" i="69"/>
  <c r="H104" i="70" s="1"/>
  <c r="H106" i="70" s="1"/>
  <c r="S59" i="70" s="1"/>
  <c r="I13" i="48" s="1"/>
  <c r="Y142" i="69"/>
  <c r="ED87" i="69"/>
  <c r="CX87" i="69"/>
  <c r="E200" i="70" s="1"/>
  <c r="E202" i="70" s="1"/>
  <c r="P71" i="70" s="1"/>
  <c r="F25" i="48" s="1"/>
  <c r="V259" i="69"/>
  <c r="E360" i="70" s="1"/>
  <c r="E362" i="70" s="1"/>
  <c r="P91" i="70" s="1"/>
  <c r="F45" i="48" s="1"/>
  <c r="G259" i="69"/>
  <c r="F96" i="70" s="1"/>
  <c r="F98" i="70" s="1"/>
  <c r="Q58" i="70" s="1"/>
  <c r="G12" i="48" s="1"/>
  <c r="BE173" i="69"/>
  <c r="H288" i="70" s="1"/>
  <c r="H290" i="70" s="1"/>
  <c r="S82" i="70" s="1"/>
  <c r="I36" i="48" s="1"/>
  <c r="EG44" i="69"/>
  <c r="BD130" i="69"/>
  <c r="G232" i="70" s="1"/>
  <c r="G234" i="70" s="1"/>
  <c r="R75" i="70" s="1"/>
  <c r="H29" i="48" s="1"/>
  <c r="X216" i="69"/>
  <c r="G320" i="70" s="1"/>
  <c r="G322" i="70" s="1"/>
  <c r="R86" i="70" s="1"/>
  <c r="H40" i="48" s="1"/>
  <c r="BT130" i="69"/>
  <c r="G240" i="70" s="1"/>
  <c r="G242" i="70" s="1"/>
  <c r="R76" i="70" s="1"/>
  <c r="H30" i="48" s="1"/>
  <c r="CZ173" i="69"/>
  <c r="G312" i="70" s="1"/>
  <c r="G314" i="70" s="1"/>
  <c r="R85" i="70" s="1"/>
  <c r="H39" i="48" s="1"/>
  <c r="BA130" i="69"/>
  <c r="D232" i="70" s="1"/>
  <c r="D234" i="70" s="1"/>
  <c r="O75" i="70" s="1"/>
  <c r="E29" i="48" s="1"/>
  <c r="BD44" i="69"/>
  <c r="G120" i="70" s="1"/>
  <c r="G122" i="70" s="1"/>
  <c r="R61" i="70" s="1"/>
  <c r="H15" i="48" s="1"/>
  <c r="X173" i="69"/>
  <c r="G272" i="70" s="1"/>
  <c r="G274" i="70" s="1"/>
  <c r="R80" i="70" s="1"/>
  <c r="H34" i="48" s="1"/>
  <c r="G87" i="69"/>
  <c r="F64" i="70" s="1"/>
  <c r="F66" i="70" s="1"/>
  <c r="Q54" i="70" s="1"/>
  <c r="G8" i="48" s="1"/>
  <c r="BT173" i="69"/>
  <c r="G296" i="70" s="1"/>
  <c r="G298" i="70" s="1"/>
  <c r="R83" i="70" s="1"/>
  <c r="H37" i="48" s="1"/>
  <c r="CJ216" i="69"/>
  <c r="G352" i="70" s="1"/>
  <c r="G354" i="70" s="1"/>
  <c r="R90" i="70" s="1"/>
  <c r="H44" i="48" s="1"/>
  <c r="CK130" i="69"/>
  <c r="H248" i="70" s="1"/>
  <c r="H250" i="70" s="1"/>
  <c r="S77" i="70" s="1"/>
  <c r="I31" i="48" s="1"/>
  <c r="J110" i="50"/>
  <c r="S50" i="48"/>
  <c r="BQ87" i="69"/>
  <c r="D184" i="70" s="1"/>
  <c r="D186" i="70" s="1"/>
  <c r="O69" i="70" s="1"/>
  <c r="E23" i="48" s="1"/>
  <c r="Y173" i="69"/>
  <c r="H272" i="70" s="1"/>
  <c r="H274" i="70" s="1"/>
  <c r="S80" i="70" s="1"/>
  <c r="I34" i="48" s="1"/>
  <c r="E44" i="69"/>
  <c r="D56" i="70" s="1"/>
  <c r="D58" i="70" s="1"/>
  <c r="O53" i="70" s="1"/>
  <c r="E7" i="48" s="1"/>
  <c r="AL130" i="69"/>
  <c r="E224" i="70" s="1"/>
  <c r="E226" i="70" s="1"/>
  <c r="P74" i="70" s="1"/>
  <c r="F28" i="48" s="1"/>
  <c r="I130" i="69"/>
  <c r="H72" i="70" s="1"/>
  <c r="H74" i="70" s="1"/>
  <c r="S55" i="70" s="1"/>
  <c r="I9" i="48" s="1"/>
  <c r="G110" i="50"/>
  <c r="P50" i="48"/>
  <c r="DC13" i="69"/>
  <c r="AM87" i="69"/>
  <c r="F168" i="70" s="1"/>
  <c r="F170" i="70" s="1"/>
  <c r="Q67" i="70" s="1"/>
  <c r="G21" i="48" s="1"/>
  <c r="X130" i="69"/>
  <c r="G216" i="70" s="1"/>
  <c r="G218" i="70" s="1"/>
  <c r="R73" i="70" s="1"/>
  <c r="H27" i="48" s="1"/>
  <c r="AL216" i="69"/>
  <c r="E328" i="70" s="1"/>
  <c r="E330" i="70" s="1"/>
  <c r="P87" i="70" s="1"/>
  <c r="F41" i="48" s="1"/>
  <c r="CW87" i="69"/>
  <c r="D200" i="70" s="1"/>
  <c r="D202" i="70" s="1"/>
  <c r="O71" i="70" s="1"/>
  <c r="E25" i="48" s="1"/>
  <c r="D110" i="50"/>
  <c r="M50" i="48"/>
  <c r="BR87" i="69"/>
  <c r="E184" i="70" s="1"/>
  <c r="E186" i="70" s="1"/>
  <c r="P69" i="70" s="1"/>
  <c r="F23" i="48" s="1"/>
  <c r="BT87" i="69"/>
  <c r="G184" i="70" s="1"/>
  <c r="G186" i="70" s="1"/>
  <c r="R69" i="70" s="1"/>
  <c r="H23" i="48" s="1"/>
  <c r="BU216" i="69"/>
  <c r="H344" i="70" s="1"/>
  <c r="H346" i="70" s="1"/>
  <c r="S89" i="70" s="1"/>
  <c r="I43" i="48" s="1"/>
  <c r="DP44" i="69"/>
  <c r="G152" i="70" s="1"/>
  <c r="G154" i="70" s="1"/>
  <c r="R65" i="70" s="1"/>
  <c r="H19" i="48" s="1"/>
  <c r="CJ130" i="69"/>
  <c r="G248" i="70" s="1"/>
  <c r="G250" i="70" s="1"/>
  <c r="R77" i="70" s="1"/>
  <c r="H31" i="48" s="1"/>
  <c r="H259" i="69"/>
  <c r="G96" i="70" s="1"/>
  <c r="G98" i="70" s="1"/>
  <c r="R58" i="70" s="1"/>
  <c r="H12" i="48" s="1"/>
  <c r="BB216" i="69"/>
  <c r="E336" i="70" s="1"/>
  <c r="E338" i="70" s="1"/>
  <c r="P88" i="70" s="1"/>
  <c r="F42" i="48" s="1"/>
  <c r="AK130" i="69"/>
  <c r="D224" i="70" s="1"/>
  <c r="D226" i="70" s="1"/>
  <c r="O74" i="70" s="1"/>
  <c r="E28" i="48" s="1"/>
  <c r="EC44" i="69"/>
  <c r="AO44" i="69"/>
  <c r="H112" i="70" s="1"/>
  <c r="H114" i="70" s="1"/>
  <c r="S60" i="70" s="1"/>
  <c r="I14" i="48" s="1"/>
  <c r="DN130" i="69"/>
  <c r="E264" i="70" s="1"/>
  <c r="E266" i="70" s="1"/>
  <c r="P79" i="70" s="1"/>
  <c r="F33" i="48" s="1"/>
  <c r="DQ44" i="69"/>
  <c r="H152" i="70" s="1"/>
  <c r="H154" i="70" s="1"/>
  <c r="S65" i="70" s="1"/>
  <c r="I19" i="48" s="1"/>
  <c r="AO216" i="69"/>
  <c r="H328" i="70" s="1"/>
  <c r="H330" i="70" s="1"/>
  <c r="S87" i="70" s="1"/>
  <c r="I41" i="48" s="1"/>
  <c r="BD173" i="69"/>
  <c r="G288" i="70" s="1"/>
  <c r="G290" i="70" s="1"/>
  <c r="R82" i="70" s="1"/>
  <c r="H36" i="48" s="1"/>
  <c r="BQ130" i="69"/>
  <c r="D240" i="70" s="1"/>
  <c r="D242" i="70" s="1"/>
  <c r="O76" i="70" s="1"/>
  <c r="E30" i="48" s="1"/>
  <c r="DN87" i="69"/>
  <c r="E208" i="70" s="1"/>
  <c r="E210" i="70" s="1"/>
  <c r="P72" i="70" s="1"/>
  <c r="F26" i="48" s="1"/>
  <c r="G130" i="69"/>
  <c r="F72" i="70" s="1"/>
  <c r="F74" i="70" s="1"/>
  <c r="Q55" i="70" s="1"/>
  <c r="G9" i="48" s="1"/>
  <c r="DP130" i="69"/>
  <c r="G264" i="70" s="1"/>
  <c r="G266" i="70" s="1"/>
  <c r="R79" i="70" s="1"/>
  <c r="H33" i="48" s="1"/>
  <c r="H87" i="69"/>
  <c r="G64" i="70" s="1"/>
  <c r="G66" i="70" s="1"/>
  <c r="R54" i="70" s="1"/>
  <c r="H8" i="48" s="1"/>
  <c r="EF44" i="69"/>
  <c r="BR130" i="69"/>
  <c r="E240" i="70" s="1"/>
  <c r="E242" i="70" s="1"/>
  <c r="P76" i="70" s="1"/>
  <c r="F30" i="48" s="1"/>
  <c r="DM87" i="69"/>
  <c r="D208" i="70" s="1"/>
  <c r="D210" i="70" s="1"/>
  <c r="O72" i="70" s="1"/>
  <c r="E26" i="48" s="1"/>
  <c r="U173" i="69"/>
  <c r="D272" i="70" s="1"/>
  <c r="D274" i="70" s="1"/>
  <c r="O80" i="70" s="1"/>
  <c r="E34" i="48" s="1"/>
  <c r="G44" i="69"/>
  <c r="F56" i="70" s="1"/>
  <c r="F58" i="70" s="1"/>
  <c r="Q53" i="70" s="1"/>
  <c r="G7" i="48" s="1"/>
  <c r="BC44" i="69"/>
  <c r="F120" i="70" s="1"/>
  <c r="F122" i="70" s="1"/>
  <c r="Q61" i="70" s="1"/>
  <c r="G15" i="48" s="1"/>
  <c r="DN44" i="69"/>
  <c r="E152" i="70" s="1"/>
  <c r="E154" i="70" s="1"/>
  <c r="P65" i="70" s="1"/>
  <c r="F19" i="48" s="1"/>
  <c r="AM44" i="69"/>
  <c r="F112" i="70" s="1"/>
  <c r="F114" i="70" s="1"/>
  <c r="Q60" i="70" s="1"/>
  <c r="G14" i="48" s="1"/>
  <c r="V44" i="69"/>
  <c r="E104" i="70" s="1"/>
  <c r="E106" i="70" s="1"/>
  <c r="P59" i="70" s="1"/>
  <c r="F13" i="48" s="1"/>
  <c r="I87" i="69"/>
  <c r="H64" i="70" s="1"/>
  <c r="H66" i="70" s="1"/>
  <c r="S54" i="70" s="1"/>
  <c r="AN44" i="69"/>
  <c r="G112" i="70" s="1"/>
  <c r="G114" i="70" s="1"/>
  <c r="R60" i="70" s="1"/>
  <c r="H14" i="48" s="1"/>
  <c r="BB44" i="69"/>
  <c r="E120" i="70" s="1"/>
  <c r="E122" i="70" s="1"/>
  <c r="P61" i="70" s="1"/>
  <c r="F15" i="48" s="1"/>
  <c r="H130" i="69"/>
  <c r="G72" i="70" s="1"/>
  <c r="G74" i="70" s="1"/>
  <c r="R55" i="70" s="1"/>
  <c r="H9" i="48" s="1"/>
  <c r="EG13" i="69"/>
  <c r="ED44" i="69"/>
  <c r="I13" i="69"/>
  <c r="F44" i="69"/>
  <c r="E56" i="70" s="1"/>
  <c r="E58" i="70" s="1"/>
  <c r="P53" i="70" s="1"/>
  <c r="F7" i="48" s="1"/>
  <c r="I56" i="69"/>
  <c r="F87" i="69"/>
  <c r="E64" i="70" s="1"/>
  <c r="E66" i="70" s="1"/>
  <c r="P54" i="70" s="1"/>
  <c r="F8" i="48" s="1"/>
  <c r="I99" i="69"/>
  <c r="F130" i="69"/>
  <c r="E72" i="70" s="1"/>
  <c r="E74" i="70" s="1"/>
  <c r="P55" i="70" s="1"/>
  <c r="F9" i="48" s="1"/>
  <c r="AO13" i="69"/>
  <c r="AL44" i="69"/>
  <c r="E112" i="70" s="1"/>
  <c r="E114" i="70" s="1"/>
  <c r="P60" i="70" s="1"/>
  <c r="F14" i="48" s="1"/>
  <c r="Y56" i="69"/>
  <c r="V87" i="69"/>
  <c r="E160" i="70" s="1"/>
  <c r="E162" i="70" s="1"/>
  <c r="P66" i="70" s="1"/>
  <c r="F20" i="48" s="1"/>
  <c r="C52" i="47"/>
  <c r="P96" i="70" l="1"/>
  <c r="F50" i="48" s="1"/>
  <c r="I8" i="48"/>
  <c r="S96" i="70"/>
  <c r="I50" i="48" s="1"/>
  <c r="M96" i="70"/>
  <c r="C50" i="48" s="1"/>
  <c r="D28" i="63"/>
  <c r="D63" i="63"/>
  <c r="D62" i="63"/>
  <c r="M48" i="63"/>
  <c r="D86" i="63"/>
  <c r="C93" i="61" l="1"/>
  <c r="H76" i="61"/>
  <c r="H117" i="61" l="1"/>
  <c r="I117" i="61"/>
  <c r="H118" i="61"/>
  <c r="I118" i="61"/>
  <c r="G117" i="61"/>
  <c r="G118" i="61"/>
  <c r="E118" i="61"/>
  <c r="E117" i="61"/>
  <c r="E123" i="60"/>
  <c r="D41" i="63" l="1"/>
  <c r="S87" i="36"/>
  <c r="D27" i="63"/>
  <c r="C5" i="60" l="1"/>
  <c r="C4" i="60"/>
  <c r="D38" i="60"/>
  <c r="E135" i="60"/>
  <c r="E129" i="60"/>
  <c r="E64" i="60"/>
  <c r="J5" i="60"/>
  <c r="J4" i="60"/>
  <c r="B17" i="40" l="1"/>
  <c r="J152" i="33"/>
  <c r="E107" i="60" s="1"/>
  <c r="D88" i="36"/>
  <c r="N10" i="49" l="1"/>
  <c r="G159" i="50"/>
  <c r="F107" i="60"/>
  <c r="G158" i="50" s="1"/>
  <c r="E286" i="60"/>
  <c r="D65" i="63"/>
  <c r="G76" i="61"/>
  <c r="D50" i="60"/>
  <c r="D80" i="61" l="1"/>
  <c r="D82" i="61"/>
  <c r="D77" i="61"/>
  <c r="D79" i="61"/>
  <c r="D81" i="61"/>
  <c r="D83" i="61"/>
  <c r="D78" i="61"/>
  <c r="E116" i="60"/>
  <c r="E111" i="60"/>
  <c r="E110" i="60"/>
  <c r="E109" i="60"/>
  <c r="E112" i="60"/>
  <c r="E113" i="60"/>
  <c r="E115" i="60"/>
  <c r="E114" i="60"/>
  <c r="B19" i="49"/>
  <c r="B18" i="49"/>
  <c r="N18" i="49" l="1"/>
  <c r="J18" i="49"/>
  <c r="N9" i="49" s="1"/>
  <c r="F18" i="49"/>
  <c r="C86" i="61"/>
  <c r="O76" i="61"/>
  <c r="C90" i="61"/>
  <c r="K76" i="61"/>
  <c r="N76" i="61"/>
  <c r="C87" i="61"/>
  <c r="J76" i="61"/>
  <c r="C91" i="61"/>
  <c r="C88" i="61"/>
  <c r="M76" i="61"/>
  <c r="C92" i="61"/>
  <c r="I76" i="61"/>
  <c r="L76" i="61"/>
  <c r="C89" i="61"/>
  <c r="E118" i="60"/>
  <c r="B12" i="49" l="1"/>
  <c r="B11" i="49"/>
  <c r="S6" i="49" s="1"/>
  <c r="B10" i="49"/>
  <c r="B5" i="49"/>
  <c r="G176" i="50" l="1"/>
  <c r="S7" i="49"/>
  <c r="B104" i="49" l="1"/>
  <c r="N4" i="40" l="1"/>
  <c r="C93" i="49" l="1"/>
  <c r="D93" i="49"/>
  <c r="E93" i="49"/>
  <c r="F93" i="49"/>
  <c r="G93" i="49"/>
  <c r="H93" i="49"/>
  <c r="I93" i="49"/>
  <c r="J93" i="49"/>
  <c r="K93" i="49"/>
  <c r="BM10" i="47" l="1"/>
  <c r="BN10" i="47"/>
  <c r="BO10" i="47"/>
  <c r="BP10" i="47"/>
  <c r="BQ10" i="47"/>
  <c r="BR10" i="47"/>
  <c r="BS10" i="47"/>
  <c r="BT10" i="47"/>
  <c r="BL10" i="47"/>
  <c r="BD10" i="47"/>
  <c r="BE10" i="47"/>
  <c r="BF10" i="47"/>
  <c r="BG10" i="47"/>
  <c r="BH10" i="47"/>
  <c r="BI10" i="47"/>
  <c r="BJ10" i="47"/>
  <c r="BK10" i="47"/>
  <c r="BC10" i="47"/>
  <c r="AU10" i="47"/>
  <c r="AV10" i="47"/>
  <c r="AW10" i="47"/>
  <c r="AX10" i="47"/>
  <c r="AY10" i="47"/>
  <c r="AZ10" i="47"/>
  <c r="BA10" i="47"/>
  <c r="BB10" i="47"/>
  <c r="AT10" i="47"/>
  <c r="AL10" i="47"/>
  <c r="AM10" i="47"/>
  <c r="AN10" i="47"/>
  <c r="AO10" i="47"/>
  <c r="AP10" i="47"/>
  <c r="AQ10" i="47"/>
  <c r="AR10" i="47"/>
  <c r="AS10" i="47"/>
  <c r="AK10" i="47"/>
  <c r="AC10" i="47"/>
  <c r="AD10" i="47"/>
  <c r="AE10" i="47"/>
  <c r="AF10" i="47"/>
  <c r="AG10" i="47"/>
  <c r="AH10" i="47"/>
  <c r="AI10" i="47"/>
  <c r="AJ10" i="47"/>
  <c r="AB10" i="47"/>
  <c r="T10" i="47"/>
  <c r="U10" i="47"/>
  <c r="V10" i="47"/>
  <c r="W10" i="47"/>
  <c r="X10" i="47"/>
  <c r="Y10" i="47"/>
  <c r="Z10" i="47"/>
  <c r="AA10" i="47"/>
  <c r="S10" i="47"/>
  <c r="K10" i="47"/>
  <c r="L10" i="47"/>
  <c r="M10" i="47"/>
  <c r="N10" i="47"/>
  <c r="O10" i="47"/>
  <c r="P10" i="47"/>
  <c r="Q10" i="47"/>
  <c r="R10" i="47"/>
  <c r="J10" i="47"/>
  <c r="L37" i="67" l="1"/>
  <c r="L32" i="67"/>
  <c r="L23" i="67"/>
  <c r="V37" i="67"/>
  <c r="V23" i="67"/>
  <c r="V32" i="67"/>
  <c r="AF37" i="67"/>
  <c r="AF32" i="67"/>
  <c r="AF23" i="67"/>
  <c r="AP37" i="67"/>
  <c r="AP23" i="67"/>
  <c r="AP32" i="67"/>
  <c r="AZ37" i="67"/>
  <c r="AZ32" i="67"/>
  <c r="AZ23" i="67"/>
  <c r="BT37" i="67"/>
  <c r="BT32" i="67"/>
  <c r="BT23" i="67"/>
  <c r="O32" i="67"/>
  <c r="O23" i="67"/>
  <c r="O37" i="67"/>
  <c r="U37" i="67"/>
  <c r="U23" i="67"/>
  <c r="U32" i="67"/>
  <c r="AE32" i="67"/>
  <c r="AE23" i="67"/>
  <c r="AE37" i="67"/>
  <c r="AS37" i="67"/>
  <c r="AS23" i="67"/>
  <c r="AS32" i="67"/>
  <c r="AT37" i="67"/>
  <c r="AT23" i="67"/>
  <c r="AT32" i="67"/>
  <c r="AY32" i="67"/>
  <c r="AY37" i="67"/>
  <c r="AY23" i="67"/>
  <c r="AU32" i="67"/>
  <c r="AU23" i="67"/>
  <c r="AU37" i="67"/>
  <c r="BI37" i="67"/>
  <c r="BI32" i="67"/>
  <c r="BI23" i="67"/>
  <c r="BE37" i="67"/>
  <c r="BE32" i="67"/>
  <c r="BE23" i="67"/>
  <c r="BS32" i="67"/>
  <c r="BS23" i="67"/>
  <c r="BS37" i="67"/>
  <c r="S32" i="67"/>
  <c r="S37" i="67"/>
  <c r="S23" i="67"/>
  <c r="AH37" i="67"/>
  <c r="AH23" i="67"/>
  <c r="AH32" i="67"/>
  <c r="AN37" i="67"/>
  <c r="AN32" i="67"/>
  <c r="AN23" i="67"/>
  <c r="BB37" i="67"/>
  <c r="BB23" i="67"/>
  <c r="BB32" i="67"/>
  <c r="AX37" i="67"/>
  <c r="AX23" i="67"/>
  <c r="AX32" i="67"/>
  <c r="BC32" i="67"/>
  <c r="BC23" i="67"/>
  <c r="BC37" i="67"/>
  <c r="BH37" i="67"/>
  <c r="BH32" i="67"/>
  <c r="BH23" i="67"/>
  <c r="BD37" i="67"/>
  <c r="BD32" i="67"/>
  <c r="BD23" i="67"/>
  <c r="BR37" i="67"/>
  <c r="BR32" i="67"/>
  <c r="BR23" i="67"/>
  <c r="BN37" i="67"/>
  <c r="BN32" i="67"/>
  <c r="BN23" i="67"/>
  <c r="P37" i="67"/>
  <c r="P32" i="67"/>
  <c r="P23" i="67"/>
  <c r="Z37" i="67"/>
  <c r="Z23" i="67"/>
  <c r="Z32" i="67"/>
  <c r="AJ37" i="67"/>
  <c r="AJ32" i="67"/>
  <c r="AJ23" i="67"/>
  <c r="AK37" i="67"/>
  <c r="AK23" i="67"/>
  <c r="AK32" i="67"/>
  <c r="AL37" i="67"/>
  <c r="AL23" i="67"/>
  <c r="AL32" i="67"/>
  <c r="AV37" i="67"/>
  <c r="AV32" i="67"/>
  <c r="AV23" i="67"/>
  <c r="BJ37" i="67"/>
  <c r="BJ32" i="67"/>
  <c r="BJ23" i="67"/>
  <c r="BF37" i="67"/>
  <c r="BF32" i="67"/>
  <c r="BF23" i="67"/>
  <c r="BP37" i="67"/>
  <c r="BP32" i="67"/>
  <c r="BP23" i="67"/>
  <c r="J37" i="67"/>
  <c r="J23" i="67"/>
  <c r="J32" i="67"/>
  <c r="K32" i="67"/>
  <c r="K37" i="67"/>
  <c r="K23" i="67"/>
  <c r="Y37" i="67"/>
  <c r="Y23" i="67"/>
  <c r="Y32" i="67"/>
  <c r="AI32" i="67"/>
  <c r="AI37" i="67"/>
  <c r="AI23" i="67"/>
  <c r="AO37" i="67"/>
  <c r="AO23" i="67"/>
  <c r="AO32" i="67"/>
  <c r="BO32" i="67"/>
  <c r="BO37" i="67"/>
  <c r="BO23" i="67"/>
  <c r="R37" i="67"/>
  <c r="R23" i="67"/>
  <c r="R32" i="67"/>
  <c r="N37" i="67"/>
  <c r="N23" i="67"/>
  <c r="N32" i="67"/>
  <c r="X37" i="67"/>
  <c r="X32" i="67"/>
  <c r="X23" i="67"/>
  <c r="T37" i="67"/>
  <c r="T32" i="67"/>
  <c r="T23" i="67"/>
  <c r="AD37" i="67"/>
  <c r="AD23" i="67"/>
  <c r="AD32" i="67"/>
  <c r="AR37" i="67"/>
  <c r="AR32" i="67"/>
  <c r="AR23" i="67"/>
  <c r="Q37" i="67"/>
  <c r="Q23" i="67"/>
  <c r="Q32" i="67"/>
  <c r="M37" i="67"/>
  <c r="M23" i="67"/>
  <c r="M32" i="67"/>
  <c r="AA32" i="67"/>
  <c r="AA37" i="67"/>
  <c r="AA23" i="67"/>
  <c r="W32" i="67"/>
  <c r="W23" i="67"/>
  <c r="W37" i="67"/>
  <c r="AB37" i="67"/>
  <c r="AB32" i="67"/>
  <c r="AB23" i="67"/>
  <c r="AG37" i="67"/>
  <c r="AG23" i="67"/>
  <c r="AG32" i="67"/>
  <c r="AC37" i="67"/>
  <c r="AC23" i="67"/>
  <c r="AC32" i="67"/>
  <c r="AQ32" i="67"/>
  <c r="AQ37" i="67"/>
  <c r="AQ23" i="67"/>
  <c r="AM32" i="67"/>
  <c r="AM23" i="67"/>
  <c r="AM37" i="67"/>
  <c r="BA37" i="67"/>
  <c r="BA23" i="67"/>
  <c r="BA32" i="67"/>
  <c r="AW37" i="67"/>
  <c r="AW23" i="67"/>
  <c r="AW32" i="67"/>
  <c r="BK32" i="67"/>
  <c r="BK23" i="67"/>
  <c r="BK37" i="67"/>
  <c r="BG32" i="67"/>
  <c r="BG23" i="67"/>
  <c r="BG37" i="67"/>
  <c r="BL37" i="67"/>
  <c r="BL32" i="67"/>
  <c r="BL23" i="67"/>
  <c r="BQ37" i="67"/>
  <c r="BQ32" i="67"/>
  <c r="BQ23" i="67"/>
  <c r="BM37" i="67"/>
  <c r="BM32" i="67"/>
  <c r="BM23" i="67"/>
  <c r="B8" i="49" l="1"/>
  <c r="B7" i="49"/>
  <c r="B103" i="49"/>
  <c r="B102" i="49"/>
  <c r="E203" i="60" l="1"/>
  <c r="E183" i="60"/>
  <c r="E193" i="60"/>
  <c r="E173" i="60"/>
  <c r="E153" i="60"/>
  <c r="K213" i="60" s="1"/>
  <c r="E163" i="60"/>
  <c r="E166" i="60"/>
  <c r="E176" i="60"/>
  <c r="E156" i="60"/>
  <c r="K217" i="60" s="1"/>
  <c r="E196" i="60"/>
  <c r="E206" i="60"/>
  <c r="E186" i="60"/>
  <c r="E238" i="60"/>
  <c r="E287" i="60"/>
  <c r="D53" i="60"/>
  <c r="E143" i="60"/>
  <c r="D52" i="60"/>
  <c r="E142" i="60"/>
  <c r="F11" i="49"/>
  <c r="AC4" i="36"/>
  <c r="N33" i="50"/>
  <c r="J24" i="36"/>
  <c r="J23" i="36"/>
  <c r="J5" i="36"/>
  <c r="J4" i="36"/>
  <c r="E157" i="60" l="1"/>
  <c r="K218" i="60" s="1"/>
  <c r="K219" i="60" s="1"/>
  <c r="E187" i="60"/>
  <c r="N218" i="60" s="1"/>
  <c r="N219" i="60" s="1"/>
  <c r="N217" i="60"/>
  <c r="E174" i="60"/>
  <c r="M214" i="60" s="1"/>
  <c r="M215" i="60" s="1"/>
  <c r="M213" i="60"/>
  <c r="E207" i="60"/>
  <c r="P218" i="60" s="1"/>
  <c r="P219" i="60" s="1"/>
  <c r="P217" i="60"/>
  <c r="L217" i="60"/>
  <c r="E167" i="60"/>
  <c r="L218" i="60" s="1"/>
  <c r="L219" i="60" s="1"/>
  <c r="E194" i="60"/>
  <c r="O214" i="60" s="1"/>
  <c r="O215" i="60" s="1"/>
  <c r="O213" i="60"/>
  <c r="E197" i="60"/>
  <c r="O218" i="60" s="1"/>
  <c r="O219" i="60" s="1"/>
  <c r="O217" i="60"/>
  <c r="E164" i="60"/>
  <c r="L214" i="60" s="1"/>
  <c r="L215" i="60" s="1"/>
  <c r="L213" i="60"/>
  <c r="E184" i="60"/>
  <c r="N214" i="60" s="1"/>
  <c r="N215" i="60" s="1"/>
  <c r="N213" i="60"/>
  <c r="E177" i="60"/>
  <c r="M218" i="60" s="1"/>
  <c r="M219" i="60" s="1"/>
  <c r="M217" i="60"/>
  <c r="E204" i="60"/>
  <c r="P214" i="60" s="1"/>
  <c r="P215" i="60" s="1"/>
  <c r="P213" i="60"/>
  <c r="S14" i="47"/>
  <c r="R26" i="49" s="1"/>
  <c r="S15" i="47"/>
  <c r="E230" i="60" l="1"/>
  <c r="E232" i="60"/>
  <c r="R27" i="49"/>
  <c r="S38" i="67"/>
  <c r="S33" i="67"/>
  <c r="S24" i="67"/>
  <c r="S24" i="47"/>
  <c r="T169" i="33" s="1"/>
  <c r="S25" i="47"/>
  <c r="BS14" i="47"/>
  <c r="BT14" i="47"/>
  <c r="BS15" i="47"/>
  <c r="BT15" i="47"/>
  <c r="BR15" i="47"/>
  <c r="BM14" i="47"/>
  <c r="BN14" i="47"/>
  <c r="BO14" i="47"/>
  <c r="BP14" i="47"/>
  <c r="BQ14" i="47"/>
  <c r="BR14" i="47"/>
  <c r="BM15" i="47"/>
  <c r="BN15" i="47"/>
  <c r="BO15" i="47"/>
  <c r="BP15" i="47"/>
  <c r="BQ15" i="47"/>
  <c r="BL15" i="47"/>
  <c r="BL14" i="47"/>
  <c r="BJ14" i="47"/>
  <c r="BK14" i="47"/>
  <c r="BJ15" i="47"/>
  <c r="BK15" i="47"/>
  <c r="BI15" i="47"/>
  <c r="BH15" i="47"/>
  <c r="BD14" i="47"/>
  <c r="BE14" i="47"/>
  <c r="BF14" i="47"/>
  <c r="BG14" i="47"/>
  <c r="BH14" i="47"/>
  <c r="BI14" i="47"/>
  <c r="BD15" i="47"/>
  <c r="BE15" i="47"/>
  <c r="BF15" i="47"/>
  <c r="BG15" i="47"/>
  <c r="BC15" i="47"/>
  <c r="BC14" i="47"/>
  <c r="BB14" i="47"/>
  <c r="BB15" i="47"/>
  <c r="AY14" i="47"/>
  <c r="AZ14" i="47"/>
  <c r="BA14" i="47"/>
  <c r="AY15" i="47"/>
  <c r="AZ15" i="47"/>
  <c r="BA15" i="47"/>
  <c r="AX15" i="47"/>
  <c r="AU14" i="47"/>
  <c r="AV14" i="47"/>
  <c r="AW14" i="47"/>
  <c r="AX14" i="47"/>
  <c r="AU15" i="47"/>
  <c r="AV15" i="47"/>
  <c r="AW15" i="47"/>
  <c r="AT15" i="47"/>
  <c r="AT14" i="47"/>
  <c r="AS26" i="49" s="1"/>
  <c r="AS14" i="47"/>
  <c r="AS15" i="47"/>
  <c r="AO14" i="47"/>
  <c r="AP14" i="47"/>
  <c r="AO26" i="49" s="1"/>
  <c r="AQ14" i="47"/>
  <c r="AR14" i="47"/>
  <c r="AO15" i="47"/>
  <c r="AP15" i="47"/>
  <c r="AQ15" i="47"/>
  <c r="AR15" i="47"/>
  <c r="AN15" i="47"/>
  <c r="AM14" i="47"/>
  <c r="AN14" i="47"/>
  <c r="AM15" i="47"/>
  <c r="AL14" i="47"/>
  <c r="AL15" i="47"/>
  <c r="AK15" i="47"/>
  <c r="AK14" i="47"/>
  <c r="O7" i="57"/>
  <c r="G7" i="57"/>
  <c r="L7" i="57"/>
  <c r="B7" i="57"/>
  <c r="E7" i="57"/>
  <c r="C7" i="57"/>
  <c r="M7" i="57"/>
  <c r="D7" i="57"/>
  <c r="H7" i="57"/>
  <c r="K7" i="57"/>
  <c r="I7" i="57"/>
  <c r="N7" i="57"/>
  <c r="P7" i="57"/>
  <c r="F7" i="57"/>
  <c r="J7" i="57"/>
  <c r="AK38" i="67" l="1"/>
  <c r="AK33" i="67"/>
  <c r="AK24" i="67"/>
  <c r="AQ38" i="67"/>
  <c r="AQ33" i="67"/>
  <c r="AQ24" i="67"/>
  <c r="AV38" i="67"/>
  <c r="AV33" i="67"/>
  <c r="AV24" i="67"/>
  <c r="AZ38" i="67"/>
  <c r="AZ33" i="67"/>
  <c r="AZ24" i="67"/>
  <c r="BC38" i="67"/>
  <c r="BC33" i="67"/>
  <c r="BC24" i="67"/>
  <c r="BD38" i="67"/>
  <c r="BD33" i="67"/>
  <c r="BD24" i="67"/>
  <c r="BI38" i="67"/>
  <c r="BI24" i="67"/>
  <c r="BI33" i="67"/>
  <c r="BP38" i="67"/>
  <c r="BP33" i="67"/>
  <c r="BP24" i="67"/>
  <c r="BS33" i="67"/>
  <c r="BS38" i="67"/>
  <c r="BS24" i="67"/>
  <c r="AO27" i="49"/>
  <c r="AP33" i="67"/>
  <c r="AP24" i="67"/>
  <c r="AP38" i="67"/>
  <c r="AU38" i="67"/>
  <c r="AU33" i="67"/>
  <c r="AU24" i="67"/>
  <c r="AY38" i="67"/>
  <c r="AY33" i="67"/>
  <c r="AY24" i="67"/>
  <c r="BA27" i="49"/>
  <c r="BB33" i="67"/>
  <c r="BB38" i="67"/>
  <c r="BB24" i="67"/>
  <c r="BK33" i="67"/>
  <c r="BK38" i="67"/>
  <c r="BK24" i="67"/>
  <c r="BN27" i="49"/>
  <c r="BO33" i="67"/>
  <c r="BO38" i="67"/>
  <c r="BO24" i="67"/>
  <c r="AN38" i="67"/>
  <c r="AN33" i="67"/>
  <c r="AN24" i="67"/>
  <c r="AO38" i="67"/>
  <c r="AO24" i="67"/>
  <c r="AO33" i="67"/>
  <c r="AT33" i="67"/>
  <c r="AT38" i="67"/>
  <c r="AT24" i="67"/>
  <c r="AX33" i="67"/>
  <c r="AX38" i="67"/>
  <c r="AX24" i="67"/>
  <c r="BF33" i="67"/>
  <c r="BF24" i="67"/>
  <c r="BF38" i="67"/>
  <c r="BJ33" i="67"/>
  <c r="BJ38" i="67"/>
  <c r="BJ24" i="67"/>
  <c r="BL38" i="67"/>
  <c r="BL33" i="67"/>
  <c r="BL24" i="67"/>
  <c r="BN33" i="67"/>
  <c r="BN38" i="67"/>
  <c r="BN24" i="67"/>
  <c r="BR33" i="67"/>
  <c r="BR38" i="67"/>
  <c r="BR24" i="67"/>
  <c r="AK27" i="49"/>
  <c r="AL33" i="67"/>
  <c r="AL38" i="67"/>
  <c r="AL24" i="67"/>
  <c r="BG38" i="67"/>
  <c r="BG33" i="67"/>
  <c r="BG24" i="67"/>
  <c r="AM38" i="67"/>
  <c r="AM33" i="67"/>
  <c r="AM24" i="67"/>
  <c r="AR38" i="67"/>
  <c r="AR33" i="67"/>
  <c r="AR24" i="67"/>
  <c r="AS38" i="67"/>
  <c r="AS24" i="67"/>
  <c r="AS33" i="67"/>
  <c r="AW38" i="67"/>
  <c r="AW33" i="67"/>
  <c r="AW24" i="67"/>
  <c r="BA38" i="67"/>
  <c r="BA33" i="67"/>
  <c r="BA24" i="67"/>
  <c r="BE38" i="67"/>
  <c r="BE24" i="67"/>
  <c r="BE33" i="67"/>
  <c r="BH38" i="67"/>
  <c r="BH33" i="67"/>
  <c r="BH24" i="67"/>
  <c r="BQ38" i="67"/>
  <c r="BQ33" i="67"/>
  <c r="BQ24" i="67"/>
  <c r="BM38" i="67"/>
  <c r="BM33" i="67"/>
  <c r="BM24" i="67"/>
  <c r="BT38" i="67"/>
  <c r="BT33" i="67"/>
  <c r="BT24" i="67"/>
  <c r="T195" i="33"/>
  <c r="R13" i="62"/>
  <c r="T194" i="33"/>
  <c r="R9" i="62"/>
  <c r="R11" i="62" s="1"/>
  <c r="T170" i="33"/>
  <c r="BK25" i="47"/>
  <c r="BL170" i="33" s="1"/>
  <c r="BJ27" i="49"/>
  <c r="BK24" i="47"/>
  <c r="BL194" i="33" s="1"/>
  <c r="BJ26" i="49"/>
  <c r="BL24" i="47"/>
  <c r="BK26" i="49"/>
  <c r="BQ25" i="47"/>
  <c r="BP27" i="49"/>
  <c r="BM25" i="47"/>
  <c r="BN170" i="33" s="1"/>
  <c r="BL27" i="49"/>
  <c r="BQ24" i="47"/>
  <c r="BP9" i="62" s="1"/>
  <c r="BP11" i="62" s="1"/>
  <c r="BP26" i="49"/>
  <c r="BO24" i="47"/>
  <c r="BN26" i="49"/>
  <c r="BM24" i="47"/>
  <c r="BL26" i="49"/>
  <c r="BT25" i="47"/>
  <c r="BU195" i="33" s="1"/>
  <c r="BS27" i="49"/>
  <c r="BT24" i="47"/>
  <c r="BS9" i="62" s="1"/>
  <c r="BS11" i="62" s="1"/>
  <c r="BS26" i="49"/>
  <c r="BO25" i="47"/>
  <c r="BL25" i="47"/>
  <c r="BK27" i="49"/>
  <c r="BP25" i="47"/>
  <c r="BO27" i="49"/>
  <c r="BN25" i="47"/>
  <c r="BO195" i="33" s="1"/>
  <c r="BM27" i="49"/>
  <c r="BR24" i="47"/>
  <c r="BQ26" i="49"/>
  <c r="BP24" i="47"/>
  <c r="BO26" i="49"/>
  <c r="BN24" i="47"/>
  <c r="BM26" i="49"/>
  <c r="BR25" i="47"/>
  <c r="BQ27" i="49"/>
  <c r="BS25" i="47"/>
  <c r="BR27" i="49"/>
  <c r="BS24" i="47"/>
  <c r="BR26" i="49"/>
  <c r="BA24" i="47"/>
  <c r="AZ26" i="49"/>
  <c r="AW24" i="47"/>
  <c r="AV26" i="49"/>
  <c r="BH25" i="47"/>
  <c r="BG27" i="49"/>
  <c r="AK24" i="47"/>
  <c r="AJ26" i="49"/>
  <c r="AR25" i="47"/>
  <c r="AQ27" i="49"/>
  <c r="AS25" i="47"/>
  <c r="AR27" i="49"/>
  <c r="AZ24" i="47"/>
  <c r="AY26" i="49"/>
  <c r="BE25" i="47"/>
  <c r="BD27" i="49"/>
  <c r="AK25" i="47"/>
  <c r="AJ27" i="49"/>
  <c r="AQ25" i="47"/>
  <c r="AP27" i="49"/>
  <c r="AS24" i="47"/>
  <c r="AR26" i="49"/>
  <c r="AV24" i="47"/>
  <c r="AU26" i="49"/>
  <c r="AY24" i="47"/>
  <c r="AX26" i="49"/>
  <c r="BD25" i="47"/>
  <c r="BC27" i="49"/>
  <c r="BI25" i="47"/>
  <c r="BJ170" i="33" s="1"/>
  <c r="BH27" i="49"/>
  <c r="BB25" i="47"/>
  <c r="AO24" i="47"/>
  <c r="AN26" i="49"/>
  <c r="BF25" i="47"/>
  <c r="BG195" i="33" s="1"/>
  <c r="BE27" i="49"/>
  <c r="AU24" i="47"/>
  <c r="AT26" i="49"/>
  <c r="AL24" i="47"/>
  <c r="AK26" i="49"/>
  <c r="AO25" i="47"/>
  <c r="AN27" i="49"/>
  <c r="AT25" i="47"/>
  <c r="AU170" i="33" s="1"/>
  <c r="AS27" i="49"/>
  <c r="AX25" i="47"/>
  <c r="AW27" i="49"/>
  <c r="BB24" i="47"/>
  <c r="BA26" i="49"/>
  <c r="BH24" i="47"/>
  <c r="BG26" i="49"/>
  <c r="BJ25" i="47"/>
  <c r="BK195" i="33" s="1"/>
  <c r="BI27" i="49"/>
  <c r="AP25" i="47"/>
  <c r="BG24" i="47"/>
  <c r="BF26" i="49"/>
  <c r="AL25" i="47"/>
  <c r="AN25" i="47"/>
  <c r="AM27" i="49"/>
  <c r="AN24" i="47"/>
  <c r="AO169" i="33" s="1"/>
  <c r="AM26" i="49"/>
  <c r="BJ24" i="47"/>
  <c r="BI26" i="49"/>
  <c r="AT24" i="47"/>
  <c r="AX24" i="47"/>
  <c r="AW26" i="49"/>
  <c r="BD24" i="47"/>
  <c r="BC26" i="49"/>
  <c r="BI24" i="47"/>
  <c r="BH26" i="49"/>
  <c r="AM25" i="47"/>
  <c r="AL27" i="49"/>
  <c r="AR24" i="47"/>
  <c r="AQ26" i="49"/>
  <c r="AW25" i="47"/>
  <c r="AV27" i="49"/>
  <c r="BA25" i="47"/>
  <c r="AZ27" i="49"/>
  <c r="BC24" i="47"/>
  <c r="BB9" i="62" s="1"/>
  <c r="BB11" i="62" s="1"/>
  <c r="BB26" i="49"/>
  <c r="AQ24" i="47"/>
  <c r="AP26" i="49"/>
  <c r="AV25" i="47"/>
  <c r="AU27" i="49"/>
  <c r="AZ25" i="47"/>
  <c r="AY27" i="49"/>
  <c r="BC25" i="47"/>
  <c r="BB27" i="49"/>
  <c r="BF24" i="47"/>
  <c r="BE26" i="49"/>
  <c r="AM24" i="47"/>
  <c r="AL9" i="62" s="1"/>
  <c r="AL11" i="62" s="1"/>
  <c r="AL26" i="49"/>
  <c r="AU25" i="47"/>
  <c r="AT27" i="49"/>
  <c r="AY25" i="47"/>
  <c r="AX13" i="62" s="1"/>
  <c r="AX27" i="49"/>
  <c r="BG25" i="47"/>
  <c r="BF13" i="62" s="1"/>
  <c r="BF27" i="49"/>
  <c r="BE24" i="47"/>
  <c r="BD26" i="49"/>
  <c r="AP24" i="47"/>
  <c r="AI14" i="47"/>
  <c r="AJ14" i="47"/>
  <c r="AI15" i="47"/>
  <c r="AJ15" i="47"/>
  <c r="AE14" i="47"/>
  <c r="AF14" i="47"/>
  <c r="AG14" i="47"/>
  <c r="AH14" i="47"/>
  <c r="AE15" i="47"/>
  <c r="AF15" i="47"/>
  <c r="AG15" i="47"/>
  <c r="AH15" i="47"/>
  <c r="AD15" i="47"/>
  <c r="AC14" i="47"/>
  <c r="AD14" i="47"/>
  <c r="AC15" i="47"/>
  <c r="AB15" i="47"/>
  <c r="AB14" i="47"/>
  <c r="Y14" i="47"/>
  <c r="Z14" i="47"/>
  <c r="AA14" i="47"/>
  <c r="Y15" i="47"/>
  <c r="Z15" i="47"/>
  <c r="AA15" i="47"/>
  <c r="U14" i="47"/>
  <c r="V14" i="47"/>
  <c r="W14" i="47"/>
  <c r="X14" i="47"/>
  <c r="U15" i="47"/>
  <c r="V15" i="47"/>
  <c r="W15" i="47"/>
  <c r="X15" i="47"/>
  <c r="T15" i="47"/>
  <c r="T14" i="47"/>
  <c r="R14" i="47"/>
  <c r="R15" i="47"/>
  <c r="O14" i="47"/>
  <c r="P14" i="47"/>
  <c r="Q14" i="47"/>
  <c r="O15" i="47"/>
  <c r="P15" i="47"/>
  <c r="Q15" i="47"/>
  <c r="K14" i="47"/>
  <c r="L14" i="47"/>
  <c r="K26" i="49" s="1"/>
  <c r="M14" i="47"/>
  <c r="N14" i="47"/>
  <c r="K15" i="47"/>
  <c r="L15" i="47"/>
  <c r="M15" i="47"/>
  <c r="N15" i="47"/>
  <c r="J14" i="47"/>
  <c r="J15" i="47"/>
  <c r="V33" i="67" l="1"/>
  <c r="V38" i="67"/>
  <c r="V24" i="67"/>
  <c r="N33" i="67"/>
  <c r="N38" i="67"/>
  <c r="N24" i="67"/>
  <c r="Q38" i="67"/>
  <c r="Q33" i="67"/>
  <c r="Q24" i="67"/>
  <c r="Y38" i="67"/>
  <c r="Y24" i="67"/>
  <c r="Y33" i="67"/>
  <c r="AF38" i="67"/>
  <c r="AF33" i="67"/>
  <c r="AF24" i="67"/>
  <c r="M38" i="67"/>
  <c r="M24" i="67"/>
  <c r="M33" i="67"/>
  <c r="P38" i="67"/>
  <c r="P33" i="67"/>
  <c r="P24" i="67"/>
  <c r="U38" i="67"/>
  <c r="U33" i="67"/>
  <c r="U24" i="67"/>
  <c r="AD33" i="67"/>
  <c r="AD38" i="67"/>
  <c r="AD24" i="67"/>
  <c r="AE38" i="67"/>
  <c r="AE33" i="67"/>
  <c r="AE24" i="67"/>
  <c r="K27" i="49"/>
  <c r="L38" i="67"/>
  <c r="L33" i="67"/>
  <c r="L24" i="67"/>
  <c r="T38" i="67"/>
  <c r="T33" i="67"/>
  <c r="T24" i="67"/>
  <c r="AB38" i="67"/>
  <c r="AB33" i="67"/>
  <c r="AB24" i="67"/>
  <c r="J33" i="67"/>
  <c r="J24" i="67"/>
  <c r="J38" i="67"/>
  <c r="O38" i="67"/>
  <c r="O33" i="67"/>
  <c r="O24" i="67"/>
  <c r="R33" i="67"/>
  <c r="R38" i="67"/>
  <c r="R24" i="67"/>
  <c r="X38" i="67"/>
  <c r="X33" i="67"/>
  <c r="X24" i="67"/>
  <c r="AA38" i="67"/>
  <c r="AA33" i="67"/>
  <c r="AA24" i="67"/>
  <c r="AC38" i="67"/>
  <c r="AC24" i="67"/>
  <c r="AC33" i="67"/>
  <c r="AH33" i="67"/>
  <c r="AH38" i="67"/>
  <c r="AH24" i="67"/>
  <c r="AJ38" i="67"/>
  <c r="AJ33" i="67"/>
  <c r="AJ24" i="67"/>
  <c r="K38" i="67"/>
  <c r="K33" i="67"/>
  <c r="K24" i="67"/>
  <c r="W38" i="67"/>
  <c r="W33" i="67"/>
  <c r="W24" i="67"/>
  <c r="Z33" i="67"/>
  <c r="Z24" i="67"/>
  <c r="Z38" i="67"/>
  <c r="AG38" i="67"/>
  <c r="AG33" i="67"/>
  <c r="AG24" i="67"/>
  <c r="AI38" i="67"/>
  <c r="AI33" i="67"/>
  <c r="AI24" i="67"/>
  <c r="BU194" i="33"/>
  <c r="BR169" i="33"/>
  <c r="BR194" i="33"/>
  <c r="BK194" i="33"/>
  <c r="BI9" i="62"/>
  <c r="BI11" i="62" s="1"/>
  <c r="AQ195" i="33"/>
  <c r="AO13" i="62"/>
  <c r="AY195" i="33"/>
  <c r="AW13" i="62"/>
  <c r="AV169" i="33"/>
  <c r="AT9" i="62"/>
  <c r="AT11" i="62" s="1"/>
  <c r="BL169" i="33"/>
  <c r="BJ9" i="62"/>
  <c r="BJ11" i="62" s="1"/>
  <c r="AV195" i="33"/>
  <c r="AT13" i="62"/>
  <c r="BA170" i="33"/>
  <c r="AY13" i="62"/>
  <c r="BB195" i="33"/>
  <c r="AZ13" i="62"/>
  <c r="BE170" i="33"/>
  <c r="BC13" i="62"/>
  <c r="AR195" i="33"/>
  <c r="AP13" i="62"/>
  <c r="AT170" i="33"/>
  <c r="AR13" i="62"/>
  <c r="AX194" i="33"/>
  <c r="AV9" i="62"/>
  <c r="AV11" i="62" s="1"/>
  <c r="BS170" i="33"/>
  <c r="BQ13" i="62"/>
  <c r="BO170" i="33"/>
  <c r="BM13" i="62"/>
  <c r="AQ194" i="33"/>
  <c r="AO9" i="62"/>
  <c r="AO11" i="62" s="1"/>
  <c r="BJ169" i="33"/>
  <c r="BH9" i="62"/>
  <c r="BH11" i="62" s="1"/>
  <c r="BU169" i="33"/>
  <c r="AO194" i="33"/>
  <c r="AM9" i="62"/>
  <c r="AM11" i="62" s="1"/>
  <c r="BK170" i="33"/>
  <c r="BI13" i="62"/>
  <c r="AU195" i="33"/>
  <c r="AS13" i="62"/>
  <c r="BG170" i="33"/>
  <c r="BE13" i="62"/>
  <c r="BU170" i="33"/>
  <c r="BS13" i="62"/>
  <c r="BN195" i="33"/>
  <c r="BL13" i="62"/>
  <c r="BL195" i="33"/>
  <c r="BJ13" i="62"/>
  <c r="BF169" i="33"/>
  <c r="BD9" i="62"/>
  <c r="BD11" i="62" s="1"/>
  <c r="AX170" i="33"/>
  <c r="AV13" i="62"/>
  <c r="BE194" i="33"/>
  <c r="BC9" i="62"/>
  <c r="BC11" i="62" s="1"/>
  <c r="AZ194" i="33"/>
  <c r="AX9" i="62"/>
  <c r="AX11" i="62" s="1"/>
  <c r="AL195" i="33"/>
  <c r="AJ13" i="62"/>
  <c r="AS170" i="33"/>
  <c r="AQ13" i="62"/>
  <c r="BB169" i="33"/>
  <c r="AZ9" i="62"/>
  <c r="AZ11" i="62" s="1"/>
  <c r="BO169" i="33"/>
  <c r="BM9" i="62"/>
  <c r="BM11" i="62" s="1"/>
  <c r="BQ170" i="33"/>
  <c r="BO13" i="62"/>
  <c r="AO170" i="33"/>
  <c r="AM13" i="62"/>
  <c r="BI194" i="33"/>
  <c r="BG9" i="62"/>
  <c r="BG11" i="62" s="1"/>
  <c r="AP170" i="33"/>
  <c r="AN13" i="62"/>
  <c r="AP194" i="33"/>
  <c r="AN9" i="62"/>
  <c r="AN11" i="62" s="1"/>
  <c r="BN194" i="33"/>
  <c r="BL9" i="62"/>
  <c r="BL11" i="62" s="1"/>
  <c r="BR195" i="33"/>
  <c r="BP13" i="62"/>
  <c r="BG194" i="33"/>
  <c r="BE9" i="62"/>
  <c r="BE11" i="62" s="1"/>
  <c r="AR169" i="33"/>
  <c r="AP9" i="62"/>
  <c r="AP11" i="62" s="1"/>
  <c r="AS194" i="33"/>
  <c r="AQ9" i="62"/>
  <c r="AQ11" i="62" s="1"/>
  <c r="AY194" i="33"/>
  <c r="AW9" i="62"/>
  <c r="AW11" i="62" s="1"/>
  <c r="AM195" i="33"/>
  <c r="AK13" i="62"/>
  <c r="BC170" i="33"/>
  <c r="BA13" i="62"/>
  <c r="AW194" i="33"/>
  <c r="AU9" i="62"/>
  <c r="AU11" i="62" s="1"/>
  <c r="BF195" i="33"/>
  <c r="BD13" i="62"/>
  <c r="AL194" i="33"/>
  <c r="AJ9" i="62"/>
  <c r="AJ11" i="62" s="1"/>
  <c r="BT169" i="33"/>
  <c r="BR9" i="62"/>
  <c r="BR11" i="62" s="1"/>
  <c r="BQ169" i="33"/>
  <c r="BO9" i="62"/>
  <c r="BO11" i="62" s="1"/>
  <c r="BM170" i="33"/>
  <c r="BK13" i="62"/>
  <c r="AY170" i="33"/>
  <c r="AU194" i="33"/>
  <c r="AS9" i="62"/>
  <c r="AS11" i="62" s="1"/>
  <c r="BC194" i="33"/>
  <c r="BA9" i="62"/>
  <c r="BA11" i="62" s="1"/>
  <c r="AM194" i="33"/>
  <c r="AK9" i="62"/>
  <c r="AK11" i="62" s="1"/>
  <c r="BP170" i="33"/>
  <c r="BN13" i="62"/>
  <c r="BP169" i="33"/>
  <c r="BN9" i="62"/>
  <c r="BN11" i="62" s="1"/>
  <c r="BM194" i="33"/>
  <c r="BK9" i="62"/>
  <c r="BK11" i="62" s="1"/>
  <c r="AW170" i="33"/>
  <c r="AU13" i="62"/>
  <c r="BJ194" i="33"/>
  <c r="BA195" i="33"/>
  <c r="AT195" i="33"/>
  <c r="BD170" i="33"/>
  <c r="BB13" i="62"/>
  <c r="AN195" i="33"/>
  <c r="AL13" i="62"/>
  <c r="BH169" i="33"/>
  <c r="BF9" i="62"/>
  <c r="BF11" i="62" s="1"/>
  <c r="BJ195" i="33"/>
  <c r="BH13" i="62"/>
  <c r="AT194" i="33"/>
  <c r="AR9" i="62"/>
  <c r="AR11" i="62" s="1"/>
  <c r="BA194" i="33"/>
  <c r="AY9" i="62"/>
  <c r="AY11" i="62" s="1"/>
  <c r="BI170" i="33"/>
  <c r="BG13" i="62"/>
  <c r="BT195" i="33"/>
  <c r="BR13" i="62"/>
  <c r="BS169" i="33"/>
  <c r="BQ9" i="62"/>
  <c r="BQ11" i="62" s="1"/>
  <c r="BM169" i="33"/>
  <c r="BP195" i="33"/>
  <c r="BP194" i="33"/>
  <c r="AM169" i="33"/>
  <c r="AV194" i="33"/>
  <c r="AW169" i="33"/>
  <c r="BB170" i="33"/>
  <c r="AQ169" i="33"/>
  <c r="BD195" i="33"/>
  <c r="AT169" i="33"/>
  <c r="BT170" i="33"/>
  <c r="BI195" i="33"/>
  <c r="BS194" i="33"/>
  <c r="BR170" i="33"/>
  <c r="BA169" i="33"/>
  <c r="BH194" i="33"/>
  <c r="AS195" i="33"/>
  <c r="AP195" i="33"/>
  <c r="BQ195" i="33"/>
  <c r="AX195" i="33"/>
  <c r="AL170" i="33"/>
  <c r="BB194" i="33"/>
  <c r="AZ169" i="33"/>
  <c r="AM170" i="33"/>
  <c r="BN169" i="33"/>
  <c r="AQ170" i="33"/>
  <c r="BC169" i="33"/>
  <c r="BO194" i="33"/>
  <c r="AN170" i="33"/>
  <c r="BK169" i="33"/>
  <c r="BQ194" i="33"/>
  <c r="BF194" i="33"/>
  <c r="BC195" i="33"/>
  <c r="BS195" i="33"/>
  <c r="BE169" i="33"/>
  <c r="BF170" i="33"/>
  <c r="AL169" i="33"/>
  <c r="AX169" i="33"/>
  <c r="AW195" i="33"/>
  <c r="BE195" i="33"/>
  <c r="BM195" i="33"/>
  <c r="AS169" i="33"/>
  <c r="AV170" i="33"/>
  <c r="BT194" i="33"/>
  <c r="AR170" i="33"/>
  <c r="U25" i="47"/>
  <c r="T27" i="49"/>
  <c r="J25" i="47"/>
  <c r="I27" i="49"/>
  <c r="L24" i="47"/>
  <c r="R25" i="47"/>
  <c r="Q27" i="49"/>
  <c r="X24" i="47"/>
  <c r="W26" i="49"/>
  <c r="Z24" i="47"/>
  <c r="Y9" i="62" s="1"/>
  <c r="Y11" i="62" s="1"/>
  <c r="Y26" i="49"/>
  <c r="AH25" i="47"/>
  <c r="AG13" i="62" s="1"/>
  <c r="AG27" i="49"/>
  <c r="AJ25" i="47"/>
  <c r="AI27" i="49"/>
  <c r="BI169" i="33"/>
  <c r="BH195" i="33"/>
  <c r="BH170" i="33"/>
  <c r="O24" i="47"/>
  <c r="N26" i="49"/>
  <c r="AE24" i="47"/>
  <c r="AD26" i="49"/>
  <c r="W24" i="47"/>
  <c r="V26" i="49"/>
  <c r="AG25" i="47"/>
  <c r="AF27" i="49"/>
  <c r="AI25" i="47"/>
  <c r="AH27" i="49"/>
  <c r="M24" i="47"/>
  <c r="L26" i="49"/>
  <c r="AD25" i="47"/>
  <c r="AC27" i="49"/>
  <c r="V24" i="47"/>
  <c r="U9" i="62" s="1"/>
  <c r="U11" i="62" s="1"/>
  <c r="U26" i="49"/>
  <c r="AZ195" i="33"/>
  <c r="AZ170" i="33"/>
  <c r="BD169" i="33"/>
  <c r="BD194" i="33"/>
  <c r="AA24" i="47"/>
  <c r="Z26" i="49"/>
  <c r="R24" i="47"/>
  <c r="Q26" i="49"/>
  <c r="Q25" i="47"/>
  <c r="P13" i="62" s="1"/>
  <c r="P27" i="49"/>
  <c r="AJ24" i="47"/>
  <c r="AI9" i="62" s="1"/>
  <c r="AI11" i="62" s="1"/>
  <c r="AI26" i="49"/>
  <c r="M25" i="47"/>
  <c r="L27" i="49"/>
  <c r="T25" i="47"/>
  <c r="S27" i="49"/>
  <c r="AB25" i="47"/>
  <c r="AA27" i="49"/>
  <c r="AI24" i="47"/>
  <c r="AH26" i="49"/>
  <c r="J24" i="47"/>
  <c r="I26" i="49"/>
  <c r="AB24" i="47"/>
  <c r="AA9" i="62" s="1"/>
  <c r="AA11" i="62" s="1"/>
  <c r="AA26" i="49"/>
  <c r="AO195" i="33"/>
  <c r="P25" i="47"/>
  <c r="O27" i="49"/>
  <c r="U24" i="47"/>
  <c r="V169" i="33" s="1"/>
  <c r="T26" i="49"/>
  <c r="AE25" i="47"/>
  <c r="AD27" i="49"/>
  <c r="L25" i="47"/>
  <c r="O25" i="47"/>
  <c r="N27" i="49"/>
  <c r="X25" i="47"/>
  <c r="W27" i="49"/>
  <c r="AA25" i="47"/>
  <c r="Z27" i="49"/>
  <c r="AC25" i="47"/>
  <c r="AB27" i="49"/>
  <c r="AH24" i="47"/>
  <c r="AG26" i="49"/>
  <c r="BG169" i="33"/>
  <c r="AU169" i="33"/>
  <c r="AR194" i="33"/>
  <c r="Y24" i="47"/>
  <c r="X26" i="49"/>
  <c r="T24" i="47"/>
  <c r="S26" i="49"/>
  <c r="AD24" i="47"/>
  <c r="AC26" i="49"/>
  <c r="K24" i="47"/>
  <c r="J26" i="49"/>
  <c r="N25" i="47"/>
  <c r="M13" i="62" s="1"/>
  <c r="M27" i="49"/>
  <c r="AF25" i="47"/>
  <c r="AE13" i="62" s="1"/>
  <c r="AE27" i="49"/>
  <c r="K25" i="47"/>
  <c r="J27" i="49"/>
  <c r="Q24" i="47"/>
  <c r="P26" i="49"/>
  <c r="W25" i="47"/>
  <c r="V27" i="49"/>
  <c r="Z25" i="47"/>
  <c r="Y27" i="49"/>
  <c r="AG24" i="47"/>
  <c r="AF26" i="49"/>
  <c r="AP169" i="33"/>
  <c r="N24" i="47"/>
  <c r="M9" i="62" s="1"/>
  <c r="M11" i="62" s="1"/>
  <c r="M26" i="49"/>
  <c r="P24" i="47"/>
  <c r="O26" i="49"/>
  <c r="V25" i="47"/>
  <c r="U13" i="62" s="1"/>
  <c r="U27" i="49"/>
  <c r="Y25" i="47"/>
  <c r="X27" i="49"/>
  <c r="AC24" i="47"/>
  <c r="AB26" i="49"/>
  <c r="AF24" i="47"/>
  <c r="AE9" i="62" s="1"/>
  <c r="AE11" i="62" s="1"/>
  <c r="AE26" i="49"/>
  <c r="AY169" i="33"/>
  <c r="AN169" i="33"/>
  <c r="AN194" i="33"/>
  <c r="AB169" i="33"/>
  <c r="Q194" i="33" l="1"/>
  <c r="O9" i="62"/>
  <c r="O11" i="62" s="1"/>
  <c r="AH170" i="33"/>
  <c r="AF13" i="62"/>
  <c r="V195" i="33"/>
  <c r="T13" i="62"/>
  <c r="AA195" i="33"/>
  <c r="Y13" i="62"/>
  <c r="U195" i="33"/>
  <c r="S13" i="62"/>
  <c r="S194" i="33"/>
  <c r="Q9" i="62"/>
  <c r="Q11" i="62" s="1"/>
  <c r="X195" i="33"/>
  <c r="V13" i="62"/>
  <c r="Z169" i="33"/>
  <c r="X9" i="62"/>
  <c r="X11" i="62" s="1"/>
  <c r="AF170" i="33"/>
  <c r="AD13" i="62"/>
  <c r="Y194" i="33"/>
  <c r="W9" i="62"/>
  <c r="W11" i="62" s="1"/>
  <c r="AD170" i="33"/>
  <c r="AB13" i="62"/>
  <c r="AD194" i="33"/>
  <c r="AB9" i="62"/>
  <c r="AB11" i="62" s="1"/>
  <c r="AB195" i="33"/>
  <c r="Z13" i="62"/>
  <c r="K169" i="33"/>
  <c r="I9" i="62"/>
  <c r="I11" i="62" s="1"/>
  <c r="N195" i="33"/>
  <c r="L13" i="62"/>
  <c r="AB194" i="33"/>
  <c r="Z9" i="62"/>
  <c r="Z11" i="62" s="1"/>
  <c r="AE195" i="33"/>
  <c r="AC13" i="62"/>
  <c r="X169" i="33"/>
  <c r="V9" i="62"/>
  <c r="V11" i="62" s="1"/>
  <c r="R194" i="33"/>
  <c r="P9" i="62"/>
  <c r="P11" i="62" s="1"/>
  <c r="L194" i="33"/>
  <c r="J9" i="62"/>
  <c r="J11" i="62" s="1"/>
  <c r="V194" i="33"/>
  <c r="T9" i="62"/>
  <c r="T11" i="62" s="1"/>
  <c r="AK170" i="33"/>
  <c r="AI13" i="62"/>
  <c r="S170" i="33"/>
  <c r="Q13" i="62"/>
  <c r="U194" i="33"/>
  <c r="S9" i="62"/>
  <c r="S11" i="62" s="1"/>
  <c r="Z195" i="33"/>
  <c r="X13" i="62"/>
  <c r="AF194" i="33"/>
  <c r="AD9" i="62"/>
  <c r="AD11" i="62" s="1"/>
  <c r="M194" i="33"/>
  <c r="K9" i="62"/>
  <c r="K11" i="62" s="1"/>
  <c r="AH194" i="33"/>
  <c r="AF9" i="62"/>
  <c r="AF11" i="62" s="1"/>
  <c r="L195" i="33"/>
  <c r="J13" i="62"/>
  <c r="AE194" i="33"/>
  <c r="AC9" i="62"/>
  <c r="AC11" i="62" s="1"/>
  <c r="Q195" i="33"/>
  <c r="O13" i="62"/>
  <c r="M195" i="33"/>
  <c r="K13" i="62"/>
  <c r="Y195" i="33"/>
  <c r="W13" i="62"/>
  <c r="AJ169" i="33"/>
  <c r="AH9" i="62"/>
  <c r="AH11" i="62" s="1"/>
  <c r="N194" i="33"/>
  <c r="L9" i="62"/>
  <c r="L11" i="62" s="1"/>
  <c r="AI194" i="33"/>
  <c r="AG9" i="62"/>
  <c r="AG11" i="62" s="1"/>
  <c r="P195" i="33"/>
  <c r="N13" i="62"/>
  <c r="AC170" i="33"/>
  <c r="AA13" i="62"/>
  <c r="AJ170" i="33"/>
  <c r="AH13" i="62"/>
  <c r="P194" i="33"/>
  <c r="N9" i="62"/>
  <c r="N11" i="62" s="1"/>
  <c r="K170" i="33"/>
  <c r="I13" i="62"/>
  <c r="V170" i="33"/>
  <c r="AF169" i="33"/>
  <c r="N169" i="33"/>
  <c r="Y170" i="33"/>
  <c r="M169" i="33"/>
  <c r="AH195" i="33"/>
  <c r="AB170" i="33"/>
  <c r="AD195" i="33"/>
  <c r="S169" i="33"/>
  <c r="AJ194" i="33"/>
  <c r="Z194" i="33"/>
  <c r="AE169" i="33"/>
  <c r="AA170" i="33"/>
  <c r="Q170" i="33"/>
  <c r="U170" i="33"/>
  <c r="K194" i="33"/>
  <c r="AC195" i="33"/>
  <c r="AJ195" i="33"/>
  <c r="K195" i="33"/>
  <c r="U169" i="33"/>
  <c r="AD169" i="33"/>
  <c r="P169" i="33"/>
  <c r="AF195" i="33"/>
  <c r="X170" i="33"/>
  <c r="L170" i="33"/>
  <c r="AK195" i="33"/>
  <c r="Y169" i="33"/>
  <c r="S195" i="33"/>
  <c r="AK194" i="33"/>
  <c r="AK169" i="33"/>
  <c r="AI195" i="33"/>
  <c r="AI170" i="33"/>
  <c r="Z170" i="33"/>
  <c r="X194" i="33"/>
  <c r="W195" i="33"/>
  <c r="W170" i="33"/>
  <c r="AI169" i="33"/>
  <c r="Q169" i="33"/>
  <c r="N170" i="33"/>
  <c r="AG170" i="33"/>
  <c r="AG195" i="33"/>
  <c r="R195" i="33"/>
  <c r="R170" i="33"/>
  <c r="AE170" i="33"/>
  <c r="AG194" i="33"/>
  <c r="AG169" i="33"/>
  <c r="AA194" i="33"/>
  <c r="AA169" i="33"/>
  <c r="AC194" i="33"/>
  <c r="AC169" i="33"/>
  <c r="W194" i="33"/>
  <c r="W169" i="33"/>
  <c r="AH169" i="33"/>
  <c r="L169" i="33"/>
  <c r="O195" i="33"/>
  <c r="O170" i="33"/>
  <c r="P170" i="33"/>
  <c r="M170" i="33"/>
  <c r="R169" i="33"/>
  <c r="O194" i="33"/>
  <c r="O169" i="33"/>
  <c r="M17" i="58" l="1"/>
  <c r="B14" i="40"/>
  <c r="B11" i="40"/>
  <c r="D11" i="40" s="1"/>
  <c r="F42" i="33"/>
  <c r="G42" i="33"/>
  <c r="H42" i="33"/>
  <c r="I42" i="33"/>
  <c r="J42" i="33"/>
  <c r="K42" i="33"/>
  <c r="L42" i="33"/>
  <c r="M42" i="33"/>
  <c r="N42" i="33"/>
  <c r="O42" i="33"/>
  <c r="E42" i="33"/>
  <c r="S50" i="33"/>
  <c r="E40" i="33" s="1"/>
  <c r="C62" i="24"/>
  <c r="C61" i="24"/>
  <c r="C60" i="24"/>
  <c r="C59" i="24"/>
  <c r="C58" i="24"/>
  <c r="C57" i="24"/>
  <c r="C56" i="24"/>
  <c r="C53" i="24"/>
  <c r="C52" i="24"/>
  <c r="C51" i="24"/>
  <c r="C50" i="24"/>
  <c r="C49" i="24"/>
  <c r="C48" i="24"/>
  <c r="C47" i="24"/>
  <c r="C44" i="24"/>
  <c r="C43" i="24"/>
  <c r="C42" i="24"/>
  <c r="C41" i="24"/>
  <c r="C40" i="24"/>
  <c r="C39" i="24"/>
  <c r="C38" i="24"/>
  <c r="C29" i="24"/>
  <c r="C20" i="24"/>
  <c r="S6" i="24"/>
  <c r="R6" i="24"/>
  <c r="R9" i="24" s="1"/>
  <c r="Q6" i="24"/>
  <c r="P6" i="24"/>
  <c r="O6" i="24"/>
  <c r="N6" i="24"/>
  <c r="M6" i="24"/>
  <c r="L6" i="24"/>
  <c r="K6" i="24"/>
  <c r="J6" i="24"/>
  <c r="I6" i="24"/>
  <c r="M8" i="36"/>
  <c r="L8" i="36"/>
  <c r="K8" i="36"/>
  <c r="C189" i="33"/>
  <c r="C190" i="33"/>
  <c r="C191" i="33"/>
  <c r="C164" i="33"/>
  <c r="C165" i="33"/>
  <c r="C166" i="33"/>
  <c r="C144" i="33"/>
  <c r="C145" i="33"/>
  <c r="C146" i="33"/>
  <c r="C127" i="33"/>
  <c r="C128" i="33"/>
  <c r="C129" i="33"/>
  <c r="C114" i="33"/>
  <c r="C115" i="33"/>
  <c r="C116" i="33"/>
  <c r="C101" i="33"/>
  <c r="C102" i="33"/>
  <c r="C103" i="33"/>
  <c r="B73" i="36"/>
  <c r="B74" i="36"/>
  <c r="B75" i="36"/>
  <c r="B60" i="36"/>
  <c r="B61" i="36"/>
  <c r="B62" i="36"/>
  <c r="B48" i="36"/>
  <c r="B49" i="36"/>
  <c r="B50" i="36"/>
  <c r="B36" i="36"/>
  <c r="B37" i="36"/>
  <c r="B38" i="36"/>
  <c r="BF11" i="36"/>
  <c r="C81" i="33"/>
  <c r="E81" i="33" s="1"/>
  <c r="C82" i="33"/>
  <c r="E82" i="33" s="1"/>
  <c r="C83" i="33"/>
  <c r="E83" i="33" s="1"/>
  <c r="AC50" i="33"/>
  <c r="AB50" i="33"/>
  <c r="AB66" i="33" s="1"/>
  <c r="AA50" i="33"/>
  <c r="Z50" i="33"/>
  <c r="Z66" i="33" s="1"/>
  <c r="Y50" i="33"/>
  <c r="X50" i="33"/>
  <c r="X66" i="33" s="1"/>
  <c r="W50" i="33"/>
  <c r="V50" i="33"/>
  <c r="V66" i="33" s="1"/>
  <c r="U50" i="33"/>
  <c r="T50" i="33"/>
  <c r="T66" i="33" s="1"/>
  <c r="S66" i="33" l="1"/>
  <c r="I9" i="24"/>
  <c r="U66" i="33"/>
  <c r="G40" i="33"/>
  <c r="W56" i="33"/>
  <c r="I40" i="33"/>
  <c r="Y66" i="33"/>
  <c r="K40" i="33"/>
  <c r="AA66" i="33"/>
  <c r="M40" i="33"/>
  <c r="AC66" i="33"/>
  <c r="O40" i="33"/>
  <c r="N40" i="33"/>
  <c r="L40" i="33"/>
  <c r="J40" i="33"/>
  <c r="H40" i="33"/>
  <c r="F40" i="33"/>
  <c r="S9" i="24"/>
  <c r="Q9" i="24"/>
  <c r="Y56" i="33"/>
  <c r="U56" i="33"/>
  <c r="AA56" i="33"/>
  <c r="W66" i="33"/>
  <c r="S56" i="33"/>
  <c r="AC56" i="33"/>
  <c r="Z56" i="33"/>
  <c r="X56" i="33"/>
  <c r="V56" i="33"/>
  <c r="T56" i="33"/>
  <c r="AB56" i="33"/>
  <c r="S23" i="36" l="1"/>
  <c r="C188" i="33"/>
  <c r="C187" i="33"/>
  <c r="C186" i="33"/>
  <c r="C185" i="33"/>
  <c r="C184" i="33"/>
  <c r="C183" i="33"/>
  <c r="C182" i="33"/>
  <c r="C181" i="33"/>
  <c r="B8" i="37"/>
  <c r="A9" i="57"/>
  <c r="A10" i="57"/>
  <c r="A11" i="57"/>
  <c r="A12" i="57"/>
  <c r="A13" i="57"/>
  <c r="A14" i="57"/>
  <c r="A15" i="57"/>
  <c r="A16" i="57"/>
  <c r="A17" i="57"/>
  <c r="A18" i="57"/>
  <c r="A19" i="57"/>
  <c r="A20" i="57"/>
  <c r="A21" i="57"/>
  <c r="A22" i="57"/>
  <c r="A23" i="57"/>
  <c r="A24" i="57"/>
  <c r="A25" i="57"/>
  <c r="A26" i="57"/>
  <c r="A27" i="57"/>
  <c r="A28" i="57"/>
  <c r="A29" i="57"/>
  <c r="A30" i="57"/>
  <c r="A31" i="57"/>
  <c r="A32" i="57"/>
  <c r="A33" i="57"/>
  <c r="A34" i="57"/>
  <c r="A35" i="57"/>
  <c r="A36" i="57"/>
  <c r="A37" i="57"/>
  <c r="A38" i="57"/>
  <c r="A39" i="57"/>
  <c r="A40" i="57"/>
  <c r="A41" i="57"/>
  <c r="A42" i="57"/>
  <c r="A43" i="57"/>
  <c r="A44" i="57"/>
  <c r="A45" i="57"/>
  <c r="A46" i="57"/>
  <c r="A47" i="57"/>
  <c r="A48" i="57"/>
  <c r="A49" i="57"/>
  <c r="A50" i="57"/>
  <c r="A51" i="57"/>
  <c r="A52" i="57"/>
  <c r="A53" i="57"/>
  <c r="A54" i="57"/>
  <c r="A55" i="57"/>
  <c r="A56" i="57"/>
  <c r="A57" i="57"/>
  <c r="A58" i="57"/>
  <c r="A59" i="57"/>
  <c r="A60" i="57"/>
  <c r="A61" i="57"/>
  <c r="A62" i="57"/>
  <c r="A63" i="57"/>
  <c r="A64" i="57"/>
  <c r="A65" i="57"/>
  <c r="A66" i="57"/>
  <c r="A67" i="57"/>
  <c r="A68" i="57"/>
  <c r="A69" i="57"/>
  <c r="A70" i="57"/>
  <c r="A71" i="57"/>
  <c r="A72" i="57"/>
  <c r="A73" i="57"/>
  <c r="A74" i="57"/>
  <c r="A75" i="57"/>
  <c r="A76" i="57"/>
  <c r="A77" i="57"/>
  <c r="A78" i="57"/>
  <c r="A79" i="57"/>
  <c r="A80" i="57"/>
  <c r="A81" i="57"/>
  <c r="A82" i="57"/>
  <c r="A83" i="57"/>
  <c r="A84" i="57"/>
  <c r="A85" i="57"/>
  <c r="A86" i="57"/>
  <c r="A87" i="57"/>
  <c r="A88" i="57"/>
  <c r="A89" i="57"/>
  <c r="A90" i="57"/>
  <c r="A91" i="57"/>
  <c r="A92" i="57"/>
  <c r="A93" i="57"/>
  <c r="A94" i="57"/>
  <c r="A95" i="57"/>
  <c r="A96" i="57"/>
  <c r="A97" i="57"/>
  <c r="A98" i="57"/>
  <c r="A99" i="57"/>
  <c r="A100" i="57"/>
  <c r="A101" i="57"/>
  <c r="A102" i="57"/>
  <c r="A103" i="57"/>
  <c r="A104" i="57"/>
  <c r="A105" i="57"/>
  <c r="A106" i="57"/>
  <c r="A107" i="57"/>
  <c r="A108" i="57"/>
  <c r="A109" i="57"/>
  <c r="A110" i="57"/>
  <c r="A111" i="57"/>
  <c r="A112" i="57"/>
  <c r="A113" i="57"/>
  <c r="A114" i="57"/>
  <c r="A115" i="57"/>
  <c r="A116" i="57"/>
  <c r="A117" i="57"/>
  <c r="A118" i="57"/>
  <c r="A119" i="57"/>
  <c r="A120" i="57"/>
  <c r="A121" i="57"/>
  <c r="A122" i="57"/>
  <c r="A123" i="57"/>
  <c r="A124" i="57"/>
  <c r="A125" i="57"/>
  <c r="A126" i="57"/>
  <c r="A127" i="57"/>
  <c r="A128" i="57"/>
  <c r="A129" i="57"/>
  <c r="A130" i="57"/>
  <c r="A131" i="57"/>
  <c r="A132" i="57"/>
  <c r="A133" i="57"/>
  <c r="A134" i="57"/>
  <c r="A135" i="57"/>
  <c r="A136" i="57"/>
  <c r="A137" i="57"/>
  <c r="A138" i="57"/>
  <c r="A139" i="57"/>
  <c r="A140" i="57"/>
  <c r="A141" i="57"/>
  <c r="A142" i="57"/>
  <c r="A143" i="57"/>
  <c r="A144" i="57"/>
  <c r="A145" i="57"/>
  <c r="A146" i="57"/>
  <c r="A147" i="57"/>
  <c r="A148" i="57"/>
  <c r="A149" i="57"/>
  <c r="A150" i="57"/>
  <c r="A151" i="57"/>
  <c r="A152" i="57"/>
  <c r="A153" i="57"/>
  <c r="A154" i="57"/>
  <c r="A155" i="57"/>
  <c r="A156" i="57"/>
  <c r="A157" i="57"/>
  <c r="A158" i="57"/>
  <c r="A159" i="57"/>
  <c r="A160" i="57"/>
  <c r="A161" i="57"/>
  <c r="A162" i="57"/>
  <c r="A163" i="57"/>
  <c r="A164" i="57"/>
  <c r="A165" i="57"/>
  <c r="A166" i="57"/>
  <c r="A167" i="57"/>
  <c r="A168" i="57"/>
  <c r="A169" i="57"/>
  <c r="A170" i="57"/>
  <c r="A171" i="57"/>
  <c r="A172" i="57"/>
  <c r="A173" i="57"/>
  <c r="A174" i="57"/>
  <c r="A175" i="57"/>
  <c r="A176" i="57"/>
  <c r="A177" i="57"/>
  <c r="A178" i="57"/>
  <c r="A179" i="57"/>
  <c r="A180" i="57"/>
  <c r="A181" i="57"/>
  <c r="A182" i="57"/>
  <c r="A183" i="57"/>
  <c r="A184" i="57"/>
  <c r="A185" i="57"/>
  <c r="A186" i="57"/>
  <c r="A187" i="57"/>
  <c r="A188" i="57"/>
  <c r="A189" i="57"/>
  <c r="A190" i="57"/>
  <c r="A191" i="57"/>
  <c r="A192" i="57"/>
  <c r="A193" i="57"/>
  <c r="A194" i="57"/>
  <c r="A195" i="57"/>
  <c r="A196" i="57"/>
  <c r="A197" i="57"/>
  <c r="A198" i="57"/>
  <c r="A199" i="57"/>
  <c r="A200" i="57"/>
  <c r="A201" i="57"/>
  <c r="A202" i="57"/>
  <c r="A203" i="57"/>
  <c r="A204" i="57"/>
  <c r="A205" i="57"/>
  <c r="A206" i="57"/>
  <c r="A207" i="57"/>
  <c r="A208" i="57"/>
  <c r="A209" i="57"/>
  <c r="A210" i="57"/>
  <c r="A211" i="57"/>
  <c r="A212" i="57"/>
  <c r="A213" i="57"/>
  <c r="A214" i="57"/>
  <c r="A215" i="57"/>
  <c r="A216" i="57"/>
  <c r="A217" i="57"/>
  <c r="A218" i="57"/>
  <c r="A219" i="57"/>
  <c r="A220" i="57"/>
  <c r="A221" i="57"/>
  <c r="A222" i="57"/>
  <c r="A223" i="57"/>
  <c r="A224" i="57"/>
  <c r="A225" i="57"/>
  <c r="A226" i="57"/>
  <c r="A227" i="57"/>
  <c r="A228" i="57"/>
  <c r="A229" i="57"/>
  <c r="A230" i="57"/>
  <c r="A231" i="57"/>
  <c r="A232" i="57"/>
  <c r="A233" i="57"/>
  <c r="A234" i="57"/>
  <c r="A235" i="57"/>
  <c r="A236" i="57"/>
  <c r="A237" i="57"/>
  <c r="A238" i="57"/>
  <c r="A239" i="57"/>
  <c r="A240" i="57"/>
  <c r="A241" i="57"/>
  <c r="A242" i="57"/>
  <c r="A243" i="57"/>
  <c r="A244" i="57"/>
  <c r="A245" i="57"/>
  <c r="A246" i="57"/>
  <c r="A247" i="57"/>
  <c r="A248" i="57"/>
  <c r="A249" i="57"/>
  <c r="A250" i="57"/>
  <c r="A251" i="57"/>
  <c r="A252" i="57"/>
  <c r="A253" i="57"/>
  <c r="A254" i="57"/>
  <c r="A255" i="57"/>
  <c r="A256" i="57"/>
  <c r="A257" i="57"/>
  <c r="A258" i="57"/>
  <c r="A259" i="57"/>
  <c r="A260" i="57"/>
  <c r="A261" i="57"/>
  <c r="A262" i="57"/>
  <c r="A263" i="57"/>
  <c r="A264" i="57"/>
  <c r="A265" i="57"/>
  <c r="A266" i="57"/>
  <c r="A267" i="57"/>
  <c r="A268" i="57"/>
  <c r="A269" i="57"/>
  <c r="A270" i="57"/>
  <c r="A271" i="57"/>
  <c r="A272" i="57"/>
  <c r="A273" i="57"/>
  <c r="A274" i="57"/>
  <c r="A275" i="57"/>
  <c r="A276" i="57"/>
  <c r="A277" i="57"/>
  <c r="A278" i="57"/>
  <c r="A279" i="57"/>
  <c r="A280" i="57"/>
  <c r="A281" i="57"/>
  <c r="A282" i="57"/>
  <c r="A283" i="57"/>
  <c r="A284" i="57"/>
  <c r="A285" i="57"/>
  <c r="A286" i="57"/>
  <c r="A287" i="57"/>
  <c r="A288" i="57"/>
  <c r="A289" i="57"/>
  <c r="A290" i="57"/>
  <c r="A291" i="57"/>
  <c r="A292" i="57"/>
  <c r="A293" i="57"/>
  <c r="A294" i="57"/>
  <c r="A295" i="57"/>
  <c r="A296" i="57"/>
  <c r="A297" i="57"/>
  <c r="A298" i="57"/>
  <c r="A299" i="57"/>
  <c r="A300" i="57"/>
  <c r="A301" i="57"/>
  <c r="A302" i="57"/>
  <c r="A303" i="57"/>
  <c r="A304" i="57"/>
  <c r="A305" i="57"/>
  <c r="A306" i="57"/>
  <c r="A307" i="57"/>
  <c r="A308" i="57"/>
  <c r="A309" i="57"/>
  <c r="A310" i="57"/>
  <c r="A311" i="57"/>
  <c r="A312" i="57"/>
  <c r="A313" i="57"/>
  <c r="A314" i="57"/>
  <c r="A315" i="57"/>
  <c r="A316" i="57"/>
  <c r="A317" i="57"/>
  <c r="A318" i="57"/>
  <c r="A319" i="57"/>
  <c r="A320" i="57"/>
  <c r="A321" i="57"/>
  <c r="A322" i="57"/>
  <c r="A323" i="57"/>
  <c r="A324" i="57"/>
  <c r="A325" i="57"/>
  <c r="A326" i="57"/>
  <c r="A327" i="57"/>
  <c r="A328" i="57"/>
  <c r="A329" i="57"/>
  <c r="A330" i="57"/>
  <c r="A331" i="57"/>
  <c r="A332" i="57"/>
  <c r="A333" i="57"/>
  <c r="A334" i="57"/>
  <c r="A335" i="57"/>
  <c r="A336" i="57"/>
  <c r="A337" i="57"/>
  <c r="A338" i="57"/>
  <c r="A339" i="57"/>
  <c r="A340" i="57"/>
  <c r="A341" i="57"/>
  <c r="A342" i="57"/>
  <c r="A343" i="57"/>
  <c r="A344" i="57"/>
  <c r="A345" i="57"/>
  <c r="A346" i="57"/>
  <c r="A347" i="57"/>
  <c r="A348" i="57"/>
  <c r="C156" i="33"/>
  <c r="C163" i="33"/>
  <c r="C157" i="33"/>
  <c r="C158" i="33"/>
  <c r="C159" i="33"/>
  <c r="C160" i="33"/>
  <c r="C161" i="33"/>
  <c r="C162" i="33"/>
  <c r="AZ9" i="38"/>
  <c r="BA9" i="38"/>
  <c r="BJ9" i="38"/>
  <c r="BK9" i="38"/>
  <c r="BT9" i="38"/>
  <c r="BU9" i="38"/>
  <c r="CD9" i="38"/>
  <c r="CE9" i="38"/>
  <c r="CN9" i="38"/>
  <c r="CO9" i="38"/>
  <c r="CX9" i="38"/>
  <c r="CY9" i="38"/>
  <c r="DH9" i="38"/>
  <c r="DI9" i="38"/>
  <c r="DR9" i="38"/>
  <c r="DS9" i="38"/>
  <c r="EB9" i="38"/>
  <c r="EC9" i="38"/>
  <c r="EL9" i="38"/>
  <c r="EM9" i="38"/>
  <c r="AZ10" i="38"/>
  <c r="BA10" i="38"/>
  <c r="BJ10" i="38"/>
  <c r="BK10" i="38"/>
  <c r="BT10" i="38"/>
  <c r="BU10" i="38"/>
  <c r="CD10" i="38"/>
  <c r="CE10" i="38"/>
  <c r="CN10" i="38"/>
  <c r="CO10" i="38"/>
  <c r="CX10" i="38"/>
  <c r="CY10" i="38"/>
  <c r="DH10" i="38"/>
  <c r="DI10" i="38"/>
  <c r="DR10" i="38"/>
  <c r="DS10" i="38"/>
  <c r="EB10" i="38"/>
  <c r="EC10" i="38"/>
  <c r="EL10" i="38"/>
  <c r="EM10" i="38"/>
  <c r="AZ11" i="38"/>
  <c r="BA11" i="38"/>
  <c r="BJ11" i="38"/>
  <c r="BK11" i="38"/>
  <c r="BT11" i="38"/>
  <c r="BU11" i="38"/>
  <c r="CD11" i="38"/>
  <c r="CE11" i="38"/>
  <c r="CN11" i="38"/>
  <c r="CO11" i="38"/>
  <c r="CX11" i="38"/>
  <c r="CY11" i="38"/>
  <c r="DH11" i="38"/>
  <c r="DI11" i="38"/>
  <c r="DR11" i="38"/>
  <c r="DS11" i="38"/>
  <c r="EB11" i="38"/>
  <c r="EC11" i="38"/>
  <c r="EL11" i="38"/>
  <c r="EM11" i="38"/>
  <c r="AZ12" i="38"/>
  <c r="BA12" i="38"/>
  <c r="BJ12" i="38"/>
  <c r="BK12" i="38"/>
  <c r="BT12" i="38"/>
  <c r="BU12" i="38"/>
  <c r="CD12" i="38"/>
  <c r="CE12" i="38"/>
  <c r="CN12" i="38"/>
  <c r="CO12" i="38"/>
  <c r="CX12" i="38"/>
  <c r="CY12" i="38"/>
  <c r="DH12" i="38"/>
  <c r="DI12" i="38"/>
  <c r="DR12" i="38"/>
  <c r="DS12" i="38"/>
  <c r="EB12" i="38"/>
  <c r="EC12" i="38"/>
  <c r="EL12" i="38"/>
  <c r="EM12" i="38"/>
  <c r="AZ13" i="38"/>
  <c r="BA13" i="38"/>
  <c r="BJ13" i="38"/>
  <c r="BK13" i="38"/>
  <c r="BT13" i="38"/>
  <c r="BU13" i="38"/>
  <c r="CD13" i="38"/>
  <c r="CE13" i="38"/>
  <c r="CN13" i="38"/>
  <c r="CO13" i="38"/>
  <c r="CX13" i="38"/>
  <c r="CY13" i="38"/>
  <c r="DH13" i="38"/>
  <c r="DI13" i="38"/>
  <c r="DR13" i="38"/>
  <c r="DS13" i="38"/>
  <c r="EB13" i="38"/>
  <c r="EC13" i="38"/>
  <c r="EL13" i="38"/>
  <c r="EM13" i="38"/>
  <c r="AZ14" i="38"/>
  <c r="BA14" i="38"/>
  <c r="BJ14" i="38"/>
  <c r="BK14" i="38"/>
  <c r="BT14" i="38"/>
  <c r="BU14" i="38"/>
  <c r="CD14" i="38"/>
  <c r="CE14" i="38"/>
  <c r="CN14" i="38"/>
  <c r="CO14" i="38"/>
  <c r="CX14" i="38"/>
  <c r="CY14" i="38"/>
  <c r="DH14" i="38"/>
  <c r="DI14" i="38"/>
  <c r="DR14" i="38"/>
  <c r="DS14" i="38"/>
  <c r="EB14" i="38"/>
  <c r="EC14" i="38"/>
  <c r="EL14" i="38"/>
  <c r="EM14" i="38"/>
  <c r="AZ15" i="38"/>
  <c r="BA15" i="38"/>
  <c r="BJ15" i="38"/>
  <c r="BK15" i="38"/>
  <c r="BT15" i="38"/>
  <c r="BU15" i="38"/>
  <c r="CD15" i="38"/>
  <c r="CE15" i="38"/>
  <c r="CN15" i="38"/>
  <c r="CO15" i="38"/>
  <c r="CX15" i="38"/>
  <c r="CY15" i="38"/>
  <c r="DH15" i="38"/>
  <c r="DI15" i="38"/>
  <c r="DR15" i="38"/>
  <c r="DS15" i="38"/>
  <c r="EB15" i="38"/>
  <c r="EC15" i="38"/>
  <c r="EL15" i="38"/>
  <c r="EM15" i="38"/>
  <c r="AZ16" i="38"/>
  <c r="BA16" i="38"/>
  <c r="BJ16" i="38"/>
  <c r="BK16" i="38"/>
  <c r="BT16" i="38"/>
  <c r="BU16" i="38"/>
  <c r="CD16" i="38"/>
  <c r="CE16" i="38"/>
  <c r="CN16" i="38"/>
  <c r="CO16" i="38"/>
  <c r="CX16" i="38"/>
  <c r="CY16" i="38"/>
  <c r="DH16" i="38"/>
  <c r="DI16" i="38"/>
  <c r="DR16" i="38"/>
  <c r="DS16" i="38"/>
  <c r="EB16" i="38"/>
  <c r="EC16" i="38"/>
  <c r="EL16" i="38"/>
  <c r="EM16" i="38"/>
  <c r="AZ17" i="38"/>
  <c r="BA17" i="38"/>
  <c r="BJ17" i="38"/>
  <c r="BK17" i="38"/>
  <c r="BT17" i="38"/>
  <c r="BU17" i="38"/>
  <c r="CD17" i="38"/>
  <c r="CE17" i="38"/>
  <c r="CN17" i="38"/>
  <c r="CO17" i="38"/>
  <c r="CX17" i="38"/>
  <c r="CY17" i="38"/>
  <c r="DH17" i="38"/>
  <c r="DI17" i="38"/>
  <c r="DR17" i="38"/>
  <c r="DS17" i="38"/>
  <c r="EB17" i="38"/>
  <c r="EC17" i="38"/>
  <c r="EL17" i="38"/>
  <c r="EM17" i="38"/>
  <c r="AZ18" i="38"/>
  <c r="BA18" i="38"/>
  <c r="BJ18" i="38"/>
  <c r="BK18" i="38"/>
  <c r="BT18" i="38"/>
  <c r="BU18" i="38"/>
  <c r="CD18" i="38"/>
  <c r="CE18" i="38"/>
  <c r="CN18" i="38"/>
  <c r="CO18" i="38"/>
  <c r="CX18" i="38"/>
  <c r="CY18" i="38"/>
  <c r="DH18" i="38"/>
  <c r="DI18" i="38"/>
  <c r="DR18" i="38"/>
  <c r="DS18" i="38"/>
  <c r="EB18" i="38"/>
  <c r="EC18" i="38"/>
  <c r="EL18" i="38"/>
  <c r="EM18" i="38"/>
  <c r="AZ19" i="38"/>
  <c r="BA19" i="38"/>
  <c r="BJ19" i="38"/>
  <c r="BK19" i="38"/>
  <c r="BT19" i="38"/>
  <c r="BU19" i="38"/>
  <c r="CD19" i="38"/>
  <c r="CE19" i="38"/>
  <c r="CN19" i="38"/>
  <c r="CO19" i="38"/>
  <c r="CX19" i="38"/>
  <c r="CY19" i="38"/>
  <c r="DH19" i="38"/>
  <c r="DI19" i="38"/>
  <c r="DR19" i="38"/>
  <c r="DS19" i="38"/>
  <c r="EB19" i="38"/>
  <c r="EC19" i="38"/>
  <c r="EL19" i="38"/>
  <c r="EM19" i="38"/>
  <c r="AZ20" i="38"/>
  <c r="BA20" i="38"/>
  <c r="BJ20" i="38"/>
  <c r="BK20" i="38"/>
  <c r="BT20" i="38"/>
  <c r="BU20" i="38"/>
  <c r="CD20" i="38"/>
  <c r="CE20" i="38"/>
  <c r="CN20" i="38"/>
  <c r="CO20" i="38"/>
  <c r="CX20" i="38"/>
  <c r="CY20" i="38"/>
  <c r="DH20" i="38"/>
  <c r="DI20" i="38"/>
  <c r="DR20" i="38"/>
  <c r="DS20" i="38"/>
  <c r="EB20" i="38"/>
  <c r="EC20" i="38"/>
  <c r="EL20" i="38"/>
  <c r="EM20" i="38"/>
  <c r="AZ21" i="38"/>
  <c r="BA21" i="38"/>
  <c r="BJ21" i="38"/>
  <c r="BK21" i="38"/>
  <c r="BT21" i="38"/>
  <c r="BU21" i="38"/>
  <c r="CD21" i="38"/>
  <c r="CE21" i="38"/>
  <c r="CN21" i="38"/>
  <c r="CO21" i="38"/>
  <c r="CX21" i="38"/>
  <c r="CY21" i="38"/>
  <c r="DH21" i="38"/>
  <c r="DI21" i="38"/>
  <c r="DR21" i="38"/>
  <c r="DS21" i="38"/>
  <c r="EB21" i="38"/>
  <c r="EC21" i="38"/>
  <c r="EL21" i="38"/>
  <c r="EM21" i="38"/>
  <c r="AZ22" i="38"/>
  <c r="BA22" i="38"/>
  <c r="BJ22" i="38"/>
  <c r="BK22" i="38"/>
  <c r="BT22" i="38"/>
  <c r="BU22" i="38"/>
  <c r="CD22" i="38"/>
  <c r="CE22" i="38"/>
  <c r="CN22" i="38"/>
  <c r="CO22" i="38"/>
  <c r="CX22" i="38"/>
  <c r="CY22" i="38"/>
  <c r="DH22" i="38"/>
  <c r="DI22" i="38"/>
  <c r="DR22" i="38"/>
  <c r="DS22" i="38"/>
  <c r="EB22" i="38"/>
  <c r="EC22" i="38"/>
  <c r="EL22" i="38"/>
  <c r="EM22" i="38"/>
  <c r="AZ23" i="38"/>
  <c r="BA23" i="38"/>
  <c r="BJ23" i="38"/>
  <c r="BK23" i="38"/>
  <c r="BT23" i="38"/>
  <c r="BU23" i="38"/>
  <c r="CD23" i="38"/>
  <c r="CE23" i="38"/>
  <c r="CN23" i="38"/>
  <c r="CO23" i="38"/>
  <c r="CX23" i="38"/>
  <c r="CY23" i="38"/>
  <c r="DH23" i="38"/>
  <c r="DI23" i="38"/>
  <c r="DR23" i="38"/>
  <c r="DS23" i="38"/>
  <c r="EB23" i="38"/>
  <c r="EC23" i="38"/>
  <c r="EL23" i="38"/>
  <c r="EM23" i="38"/>
  <c r="AZ24" i="38"/>
  <c r="BA24" i="38"/>
  <c r="BJ24" i="38"/>
  <c r="BK24" i="38"/>
  <c r="BT24" i="38"/>
  <c r="BU24" i="38"/>
  <c r="CD24" i="38"/>
  <c r="CE24" i="38"/>
  <c r="CN24" i="38"/>
  <c r="CO24" i="38"/>
  <c r="CX24" i="38"/>
  <c r="CY24" i="38"/>
  <c r="DH24" i="38"/>
  <c r="DI24" i="38"/>
  <c r="DR24" i="38"/>
  <c r="DS24" i="38"/>
  <c r="EB24" i="38"/>
  <c r="EC24" i="38"/>
  <c r="EL24" i="38"/>
  <c r="EM24" i="38"/>
  <c r="AZ25" i="38"/>
  <c r="BA25" i="38"/>
  <c r="BJ25" i="38"/>
  <c r="BK25" i="38"/>
  <c r="BT25" i="38"/>
  <c r="BU25" i="38"/>
  <c r="CD25" i="38"/>
  <c r="CE25" i="38"/>
  <c r="CN25" i="38"/>
  <c r="CO25" i="38"/>
  <c r="CX25" i="38"/>
  <c r="CY25" i="38"/>
  <c r="DH25" i="38"/>
  <c r="DI25" i="38"/>
  <c r="DR25" i="38"/>
  <c r="DS25" i="38"/>
  <c r="EB25" i="38"/>
  <c r="EC25" i="38"/>
  <c r="EL25" i="38"/>
  <c r="EM25" i="38"/>
  <c r="AZ26" i="38"/>
  <c r="BA26" i="38"/>
  <c r="BJ26" i="38"/>
  <c r="BK26" i="38"/>
  <c r="BT26" i="38"/>
  <c r="BU26" i="38"/>
  <c r="CD26" i="38"/>
  <c r="CE26" i="38"/>
  <c r="CN26" i="38"/>
  <c r="CO26" i="38"/>
  <c r="CX26" i="38"/>
  <c r="CY26" i="38"/>
  <c r="DH26" i="38"/>
  <c r="DI26" i="38"/>
  <c r="DR26" i="38"/>
  <c r="DS26" i="38"/>
  <c r="EB26" i="38"/>
  <c r="EC26" i="38"/>
  <c r="EL26" i="38"/>
  <c r="EM26" i="38"/>
  <c r="AZ27" i="38"/>
  <c r="BA27" i="38"/>
  <c r="BJ27" i="38"/>
  <c r="BK27" i="38"/>
  <c r="BT27" i="38"/>
  <c r="BU27" i="38"/>
  <c r="CD27" i="38"/>
  <c r="CE27" i="38"/>
  <c r="CN27" i="38"/>
  <c r="CO27" i="38"/>
  <c r="CX27" i="38"/>
  <c r="CY27" i="38"/>
  <c r="DH27" i="38"/>
  <c r="DI27" i="38"/>
  <c r="DR27" i="38"/>
  <c r="DS27" i="38"/>
  <c r="EB27" i="38"/>
  <c r="EC27" i="38"/>
  <c r="EL27" i="38"/>
  <c r="EM27" i="38"/>
  <c r="AZ28" i="38"/>
  <c r="BA28" i="38"/>
  <c r="BJ28" i="38"/>
  <c r="BK28" i="38"/>
  <c r="BT28" i="38"/>
  <c r="BU28" i="38"/>
  <c r="CD28" i="38"/>
  <c r="CE28" i="38"/>
  <c r="CN28" i="38"/>
  <c r="CO28" i="38"/>
  <c r="CX28" i="38"/>
  <c r="CY28" i="38"/>
  <c r="DH28" i="38"/>
  <c r="DI28" i="38"/>
  <c r="DR28" i="38"/>
  <c r="DS28" i="38"/>
  <c r="EB28" i="38"/>
  <c r="EC28" i="38"/>
  <c r="EL28" i="38"/>
  <c r="EM28" i="38"/>
  <c r="AZ29" i="38"/>
  <c r="BA29" i="38"/>
  <c r="BJ29" i="38"/>
  <c r="BK29" i="38"/>
  <c r="BT29" i="38"/>
  <c r="BU29" i="38"/>
  <c r="CD29" i="38"/>
  <c r="CE29" i="38"/>
  <c r="CN29" i="38"/>
  <c r="CO29" i="38"/>
  <c r="CX29" i="38"/>
  <c r="CY29" i="38"/>
  <c r="DH29" i="38"/>
  <c r="DI29" i="38"/>
  <c r="DR29" i="38"/>
  <c r="DS29" i="38"/>
  <c r="EB29" i="38"/>
  <c r="EC29" i="38"/>
  <c r="EL29" i="38"/>
  <c r="EM29" i="38"/>
  <c r="AZ30" i="38"/>
  <c r="BA30" i="38"/>
  <c r="BJ30" i="38"/>
  <c r="BK30" i="38"/>
  <c r="BT30" i="38"/>
  <c r="BU30" i="38"/>
  <c r="CD30" i="38"/>
  <c r="CE30" i="38"/>
  <c r="CN30" i="38"/>
  <c r="CO30" i="38"/>
  <c r="CX30" i="38"/>
  <c r="CY30" i="38"/>
  <c r="DH30" i="38"/>
  <c r="DI30" i="38"/>
  <c r="DR30" i="38"/>
  <c r="DS30" i="38"/>
  <c r="EB30" i="38"/>
  <c r="EC30" i="38"/>
  <c r="EL30" i="38"/>
  <c r="EM30" i="38"/>
  <c r="AZ31" i="38"/>
  <c r="BA31" i="38"/>
  <c r="BJ31" i="38"/>
  <c r="BK31" i="38"/>
  <c r="BT31" i="38"/>
  <c r="BU31" i="38"/>
  <c r="CD31" i="38"/>
  <c r="CE31" i="38"/>
  <c r="CN31" i="38"/>
  <c r="CO31" i="38"/>
  <c r="CX31" i="38"/>
  <c r="CY31" i="38"/>
  <c r="DH31" i="38"/>
  <c r="DI31" i="38"/>
  <c r="DR31" i="38"/>
  <c r="DS31" i="38"/>
  <c r="EB31" i="38"/>
  <c r="EC31" i="38"/>
  <c r="EL31" i="38"/>
  <c r="EM31" i="38"/>
  <c r="AZ32" i="38"/>
  <c r="BA32" i="38"/>
  <c r="BJ32" i="38"/>
  <c r="BK32" i="38"/>
  <c r="BT32" i="38"/>
  <c r="BU32" i="38"/>
  <c r="CD32" i="38"/>
  <c r="CE32" i="38"/>
  <c r="CN32" i="38"/>
  <c r="CO32" i="38"/>
  <c r="CX32" i="38"/>
  <c r="CY32" i="38"/>
  <c r="DH32" i="38"/>
  <c r="DI32" i="38"/>
  <c r="DR32" i="38"/>
  <c r="DS32" i="38"/>
  <c r="EB32" i="38"/>
  <c r="EC32" i="38"/>
  <c r="EL32" i="38"/>
  <c r="EM32" i="38"/>
  <c r="AZ33" i="38"/>
  <c r="BA33" i="38"/>
  <c r="BJ33" i="38"/>
  <c r="BK33" i="38"/>
  <c r="BT33" i="38"/>
  <c r="BU33" i="38"/>
  <c r="CD33" i="38"/>
  <c r="CE33" i="38"/>
  <c r="CN33" i="38"/>
  <c r="CO33" i="38"/>
  <c r="CX33" i="38"/>
  <c r="CY33" i="38"/>
  <c r="DH33" i="38"/>
  <c r="DI33" i="38"/>
  <c r="DR33" i="38"/>
  <c r="DS33" i="38"/>
  <c r="EB33" i="38"/>
  <c r="EC33" i="38"/>
  <c r="EL33" i="38"/>
  <c r="EM33" i="38"/>
  <c r="AZ34" i="38"/>
  <c r="BA34" i="38"/>
  <c r="BJ34" i="38"/>
  <c r="BK34" i="38"/>
  <c r="BT34" i="38"/>
  <c r="BU34" i="38"/>
  <c r="CD34" i="38"/>
  <c r="CE34" i="38"/>
  <c r="CN34" i="38"/>
  <c r="CO34" i="38"/>
  <c r="CX34" i="38"/>
  <c r="CY34" i="38"/>
  <c r="DH34" i="38"/>
  <c r="DI34" i="38"/>
  <c r="DR34" i="38"/>
  <c r="DS34" i="38"/>
  <c r="EB34" i="38"/>
  <c r="EC34" i="38"/>
  <c r="EL34" i="38"/>
  <c r="EM34" i="38"/>
  <c r="AZ35" i="38"/>
  <c r="BA35" i="38"/>
  <c r="BJ35" i="38"/>
  <c r="BK35" i="38"/>
  <c r="BT35" i="38"/>
  <c r="BU35" i="38"/>
  <c r="CD35" i="38"/>
  <c r="CE35" i="38"/>
  <c r="CN35" i="38"/>
  <c r="CO35" i="38"/>
  <c r="CX35" i="38"/>
  <c r="CY35" i="38"/>
  <c r="DH35" i="38"/>
  <c r="DI35" i="38"/>
  <c r="DR35" i="38"/>
  <c r="DS35" i="38"/>
  <c r="EB35" i="38"/>
  <c r="EC35" i="38"/>
  <c r="EL35" i="38"/>
  <c r="EM35" i="38"/>
  <c r="AZ36" i="38"/>
  <c r="BA36" i="38"/>
  <c r="BJ36" i="38"/>
  <c r="BK36" i="38"/>
  <c r="BT36" i="38"/>
  <c r="BU36" i="38"/>
  <c r="CD36" i="38"/>
  <c r="CE36" i="38"/>
  <c r="CN36" i="38"/>
  <c r="CO36" i="38"/>
  <c r="CX36" i="38"/>
  <c r="CY36" i="38"/>
  <c r="DH36" i="38"/>
  <c r="DI36" i="38"/>
  <c r="DR36" i="38"/>
  <c r="DS36" i="38"/>
  <c r="EB36" i="38"/>
  <c r="EC36" i="38"/>
  <c r="EL36" i="38"/>
  <c r="EM36" i="38"/>
  <c r="AZ37" i="38"/>
  <c r="BA37" i="38"/>
  <c r="BJ37" i="38"/>
  <c r="BK37" i="38"/>
  <c r="BT37" i="38"/>
  <c r="BU37" i="38"/>
  <c r="CD37" i="38"/>
  <c r="CE37" i="38"/>
  <c r="CN37" i="38"/>
  <c r="CO37" i="38"/>
  <c r="CX37" i="38"/>
  <c r="CY37" i="38"/>
  <c r="DH37" i="38"/>
  <c r="DI37" i="38"/>
  <c r="DR37" i="38"/>
  <c r="DS37" i="38"/>
  <c r="EB37" i="38"/>
  <c r="EC37" i="38"/>
  <c r="EL37" i="38"/>
  <c r="EM37" i="38"/>
  <c r="AZ38" i="38"/>
  <c r="BA38" i="38"/>
  <c r="BJ38" i="38"/>
  <c r="BK38" i="38"/>
  <c r="BT38" i="38"/>
  <c r="BU38" i="38"/>
  <c r="CD38" i="38"/>
  <c r="CE38" i="38"/>
  <c r="CN38" i="38"/>
  <c r="CO38" i="38"/>
  <c r="CX38" i="38"/>
  <c r="CY38" i="38"/>
  <c r="DH38" i="38"/>
  <c r="DI38" i="38"/>
  <c r="DR38" i="38"/>
  <c r="DS38" i="38"/>
  <c r="EB38" i="38"/>
  <c r="EC38" i="38"/>
  <c r="EL38" i="38"/>
  <c r="EM38" i="38"/>
  <c r="AZ39" i="38"/>
  <c r="BA39" i="38"/>
  <c r="BJ39" i="38"/>
  <c r="BK39" i="38"/>
  <c r="BT39" i="38"/>
  <c r="BU39" i="38"/>
  <c r="CD39" i="38"/>
  <c r="CE39" i="38"/>
  <c r="CN39" i="38"/>
  <c r="CO39" i="38"/>
  <c r="CX39" i="38"/>
  <c r="CY39" i="38"/>
  <c r="DH39" i="38"/>
  <c r="DI39" i="38"/>
  <c r="DR39" i="38"/>
  <c r="DS39" i="38"/>
  <c r="EB39" i="38"/>
  <c r="EC39" i="38"/>
  <c r="EL39" i="38"/>
  <c r="EM39" i="38"/>
  <c r="AZ40" i="38"/>
  <c r="BA40" i="38"/>
  <c r="BJ40" i="38"/>
  <c r="BK40" i="38"/>
  <c r="BT40" i="38"/>
  <c r="BU40" i="38"/>
  <c r="CD40" i="38"/>
  <c r="CE40" i="38"/>
  <c r="CN40" i="38"/>
  <c r="CO40" i="38"/>
  <c r="CX40" i="38"/>
  <c r="CY40" i="38"/>
  <c r="DH40" i="38"/>
  <c r="DI40" i="38"/>
  <c r="DR40" i="38"/>
  <c r="DS40" i="38"/>
  <c r="EB40" i="38"/>
  <c r="EC40" i="38"/>
  <c r="EL40" i="38"/>
  <c r="EM40" i="38"/>
  <c r="AZ41" i="38"/>
  <c r="BA41" i="38"/>
  <c r="BJ41" i="38"/>
  <c r="BK41" i="38"/>
  <c r="BT41" i="38"/>
  <c r="BU41" i="38"/>
  <c r="CD41" i="38"/>
  <c r="CE41" i="38"/>
  <c r="CN41" i="38"/>
  <c r="CO41" i="38"/>
  <c r="CX41" i="38"/>
  <c r="CY41" i="38"/>
  <c r="DH41" i="38"/>
  <c r="DI41" i="38"/>
  <c r="DR41" i="38"/>
  <c r="DS41" i="38"/>
  <c r="EB41" i="38"/>
  <c r="EC41" i="38"/>
  <c r="EL41" i="38"/>
  <c r="EM41" i="38"/>
  <c r="AZ42" i="38"/>
  <c r="BA42" i="38"/>
  <c r="BJ42" i="38"/>
  <c r="BK42" i="38"/>
  <c r="BT42" i="38"/>
  <c r="BU42" i="38"/>
  <c r="CD42" i="38"/>
  <c r="CE42" i="38"/>
  <c r="CN42" i="38"/>
  <c r="CO42" i="38"/>
  <c r="CX42" i="38"/>
  <c r="CY42" i="38"/>
  <c r="DH42" i="38"/>
  <c r="DI42" i="38"/>
  <c r="DR42" i="38"/>
  <c r="DS42" i="38"/>
  <c r="EB42" i="38"/>
  <c r="EC42" i="38"/>
  <c r="EL42" i="38"/>
  <c r="EM42" i="38"/>
  <c r="AZ43" i="38"/>
  <c r="BA43" i="38"/>
  <c r="BJ43" i="38"/>
  <c r="BK43" i="38"/>
  <c r="BT43" i="38"/>
  <c r="BU43" i="38"/>
  <c r="CD43" i="38"/>
  <c r="CE43" i="38"/>
  <c r="CN43" i="38"/>
  <c r="CO43" i="38"/>
  <c r="CX43" i="38"/>
  <c r="CY43" i="38"/>
  <c r="DH43" i="38"/>
  <c r="DI43" i="38"/>
  <c r="DR43" i="38"/>
  <c r="DS43" i="38"/>
  <c r="EB43" i="38"/>
  <c r="EC43" i="38"/>
  <c r="EL43" i="38"/>
  <c r="EM43" i="38"/>
  <c r="AZ44" i="38"/>
  <c r="BA44" i="38"/>
  <c r="BJ44" i="38"/>
  <c r="BK44" i="38"/>
  <c r="BT44" i="38"/>
  <c r="BU44" i="38"/>
  <c r="CD44" i="38"/>
  <c r="CE44" i="38"/>
  <c r="CN44" i="38"/>
  <c r="CO44" i="38"/>
  <c r="CX44" i="38"/>
  <c r="CY44" i="38"/>
  <c r="DH44" i="38"/>
  <c r="DI44" i="38"/>
  <c r="DR44" i="38"/>
  <c r="DS44" i="38"/>
  <c r="EB44" i="38"/>
  <c r="EC44" i="38"/>
  <c r="EL44" i="38"/>
  <c r="EM44" i="38"/>
  <c r="AZ45" i="38"/>
  <c r="BA45" i="38"/>
  <c r="BJ45" i="38"/>
  <c r="BK45" i="38"/>
  <c r="BT45" i="38"/>
  <c r="BU45" i="38"/>
  <c r="CD45" i="38"/>
  <c r="CE45" i="38"/>
  <c r="CN45" i="38"/>
  <c r="CO45" i="38"/>
  <c r="CX45" i="38"/>
  <c r="CY45" i="38"/>
  <c r="DH45" i="38"/>
  <c r="DI45" i="38"/>
  <c r="DR45" i="38"/>
  <c r="DS45" i="38"/>
  <c r="EB45" i="38"/>
  <c r="EC45" i="38"/>
  <c r="EL45" i="38"/>
  <c r="EM45" i="38"/>
  <c r="AZ46" i="38"/>
  <c r="BA46" i="38"/>
  <c r="BJ46" i="38"/>
  <c r="BK46" i="38"/>
  <c r="BT46" i="38"/>
  <c r="BU46" i="38"/>
  <c r="CD46" i="38"/>
  <c r="CE46" i="38"/>
  <c r="CN46" i="38"/>
  <c r="CO46" i="38"/>
  <c r="CX46" i="38"/>
  <c r="CY46" i="38"/>
  <c r="DH46" i="38"/>
  <c r="DI46" i="38"/>
  <c r="DR46" i="38"/>
  <c r="DS46" i="38"/>
  <c r="EB46" i="38"/>
  <c r="EC46" i="38"/>
  <c r="EL46" i="38"/>
  <c r="EM46" i="38"/>
  <c r="AZ47" i="38"/>
  <c r="BA47" i="38"/>
  <c r="BJ47" i="38"/>
  <c r="BK47" i="38"/>
  <c r="BT47" i="38"/>
  <c r="BU47" i="38"/>
  <c r="CD47" i="38"/>
  <c r="CE47" i="38"/>
  <c r="CN47" i="38"/>
  <c r="CO47" i="38"/>
  <c r="CX47" i="38"/>
  <c r="CY47" i="38"/>
  <c r="DH47" i="38"/>
  <c r="DI47" i="38"/>
  <c r="DR47" i="38"/>
  <c r="DS47" i="38"/>
  <c r="EB47" i="38"/>
  <c r="EC47" i="38"/>
  <c r="EL47" i="38"/>
  <c r="EM47" i="38"/>
  <c r="AZ48" i="38"/>
  <c r="BA48" i="38"/>
  <c r="BJ48" i="38"/>
  <c r="BK48" i="38"/>
  <c r="BT48" i="38"/>
  <c r="BU48" i="38"/>
  <c r="CD48" i="38"/>
  <c r="CE48" i="38"/>
  <c r="CN48" i="38"/>
  <c r="CO48" i="38"/>
  <c r="CX48" i="38"/>
  <c r="CY48" i="38"/>
  <c r="DH48" i="38"/>
  <c r="DI48" i="38"/>
  <c r="DR48" i="38"/>
  <c r="DS48" i="38"/>
  <c r="EB48" i="38"/>
  <c r="EC48" i="38"/>
  <c r="EL48" i="38"/>
  <c r="EM48" i="38"/>
  <c r="AZ49" i="38"/>
  <c r="BA49" i="38"/>
  <c r="BJ49" i="38"/>
  <c r="BK49" i="38"/>
  <c r="BT49" i="38"/>
  <c r="BU49" i="38"/>
  <c r="CD49" i="38"/>
  <c r="CE49" i="38"/>
  <c r="CN49" i="38"/>
  <c r="CO49" i="38"/>
  <c r="CX49" i="38"/>
  <c r="CY49" i="38"/>
  <c r="DH49" i="38"/>
  <c r="DI49" i="38"/>
  <c r="DR49" i="38"/>
  <c r="DS49" i="38"/>
  <c r="EB49" i="38"/>
  <c r="EC49" i="38"/>
  <c r="EL49" i="38"/>
  <c r="EM49" i="38"/>
  <c r="AZ50" i="38"/>
  <c r="BA50" i="38"/>
  <c r="BJ50" i="38"/>
  <c r="BK50" i="38"/>
  <c r="BT50" i="38"/>
  <c r="BU50" i="38"/>
  <c r="CD50" i="38"/>
  <c r="CE50" i="38"/>
  <c r="CN50" i="38"/>
  <c r="CO50" i="38"/>
  <c r="CX50" i="38"/>
  <c r="CY50" i="38"/>
  <c r="DH50" i="38"/>
  <c r="DI50" i="38"/>
  <c r="DR50" i="38"/>
  <c r="DS50" i="38"/>
  <c r="EB50" i="38"/>
  <c r="EC50" i="38"/>
  <c r="EL50" i="38"/>
  <c r="EM50" i="38"/>
  <c r="AZ51" i="38"/>
  <c r="BA51" i="38"/>
  <c r="BJ51" i="38"/>
  <c r="BK51" i="38"/>
  <c r="BT51" i="38"/>
  <c r="BU51" i="38"/>
  <c r="CD51" i="38"/>
  <c r="CE51" i="38"/>
  <c r="CN51" i="38"/>
  <c r="CO51" i="38"/>
  <c r="CX51" i="38"/>
  <c r="CY51" i="38"/>
  <c r="DH51" i="38"/>
  <c r="DI51" i="38"/>
  <c r="DR51" i="38"/>
  <c r="DS51" i="38"/>
  <c r="EB51" i="38"/>
  <c r="EC51" i="38"/>
  <c r="EL51" i="38"/>
  <c r="EM51" i="38"/>
  <c r="AZ52" i="38"/>
  <c r="BA52" i="38"/>
  <c r="BJ52" i="38"/>
  <c r="BK52" i="38"/>
  <c r="BT52" i="38"/>
  <c r="BU52" i="38"/>
  <c r="CD52" i="38"/>
  <c r="CE52" i="38"/>
  <c r="CN52" i="38"/>
  <c r="CO52" i="38"/>
  <c r="CX52" i="38"/>
  <c r="CY52" i="38"/>
  <c r="DH52" i="38"/>
  <c r="DI52" i="38"/>
  <c r="DR52" i="38"/>
  <c r="DS52" i="38"/>
  <c r="EB52" i="38"/>
  <c r="EC52" i="38"/>
  <c r="EL52" i="38"/>
  <c r="EM52" i="38"/>
  <c r="AZ53" i="38"/>
  <c r="BA53" i="38"/>
  <c r="BJ53" i="38"/>
  <c r="BK53" i="38"/>
  <c r="BT53" i="38"/>
  <c r="BU53" i="38"/>
  <c r="CD53" i="38"/>
  <c r="CE53" i="38"/>
  <c r="CN53" i="38"/>
  <c r="CO53" i="38"/>
  <c r="CX53" i="38"/>
  <c r="CY53" i="38"/>
  <c r="DH53" i="38"/>
  <c r="DI53" i="38"/>
  <c r="DR53" i="38"/>
  <c r="DS53" i="38"/>
  <c r="EB53" i="38"/>
  <c r="EC53" i="38"/>
  <c r="EL53" i="38"/>
  <c r="EM53" i="38"/>
  <c r="AZ54" i="38"/>
  <c r="BA54" i="38"/>
  <c r="BJ54" i="38"/>
  <c r="BK54" i="38"/>
  <c r="BT54" i="38"/>
  <c r="BU54" i="38"/>
  <c r="CD54" i="38"/>
  <c r="CE54" i="38"/>
  <c r="CN54" i="38"/>
  <c r="CO54" i="38"/>
  <c r="CX54" i="38"/>
  <c r="CY54" i="38"/>
  <c r="DH54" i="38"/>
  <c r="DI54" i="38"/>
  <c r="DR54" i="38"/>
  <c r="DS54" i="38"/>
  <c r="EB54" i="38"/>
  <c r="EC54" i="38"/>
  <c r="EL54" i="38"/>
  <c r="EM54" i="38"/>
  <c r="AZ55" i="38"/>
  <c r="BA55" i="38"/>
  <c r="BJ55" i="38"/>
  <c r="BK55" i="38"/>
  <c r="BT55" i="38"/>
  <c r="BU55" i="38"/>
  <c r="CD55" i="38"/>
  <c r="CE55" i="38"/>
  <c r="CN55" i="38"/>
  <c r="CO55" i="38"/>
  <c r="CX55" i="38"/>
  <c r="CY55" i="38"/>
  <c r="DH55" i="38"/>
  <c r="DI55" i="38"/>
  <c r="DR55" i="38"/>
  <c r="DS55" i="38"/>
  <c r="EB55" i="38"/>
  <c r="EC55" i="38"/>
  <c r="EL55" i="38"/>
  <c r="EM55" i="38"/>
  <c r="AZ56" i="38"/>
  <c r="BA56" i="38"/>
  <c r="BJ56" i="38"/>
  <c r="BK56" i="38"/>
  <c r="BT56" i="38"/>
  <c r="BU56" i="38"/>
  <c r="CD56" i="38"/>
  <c r="CE56" i="38"/>
  <c r="CN56" i="38"/>
  <c r="CO56" i="38"/>
  <c r="CX56" i="38"/>
  <c r="CY56" i="38"/>
  <c r="DH56" i="38"/>
  <c r="DI56" i="38"/>
  <c r="DR56" i="38"/>
  <c r="DS56" i="38"/>
  <c r="EB56" i="38"/>
  <c r="EC56" i="38"/>
  <c r="EL56" i="38"/>
  <c r="EM56" i="38"/>
  <c r="AZ57" i="38"/>
  <c r="BA57" i="38"/>
  <c r="BJ57" i="38"/>
  <c r="BK57" i="38"/>
  <c r="BT57" i="38"/>
  <c r="BU57" i="38"/>
  <c r="CD57" i="38"/>
  <c r="CE57" i="38"/>
  <c r="CN57" i="38"/>
  <c r="CO57" i="38"/>
  <c r="CX57" i="38"/>
  <c r="CY57" i="38"/>
  <c r="DH57" i="38"/>
  <c r="DI57" i="38"/>
  <c r="DR57" i="38"/>
  <c r="DS57" i="38"/>
  <c r="EB57" i="38"/>
  <c r="EC57" i="38"/>
  <c r="EL57" i="38"/>
  <c r="EM57" i="38"/>
  <c r="AZ58" i="38"/>
  <c r="BA58" i="38"/>
  <c r="BJ58" i="38"/>
  <c r="BK58" i="38"/>
  <c r="BT58" i="38"/>
  <c r="BU58" i="38"/>
  <c r="CD58" i="38"/>
  <c r="CE58" i="38"/>
  <c r="CN58" i="38"/>
  <c r="CO58" i="38"/>
  <c r="CX58" i="38"/>
  <c r="CY58" i="38"/>
  <c r="DH58" i="38"/>
  <c r="DI58" i="38"/>
  <c r="DR58" i="38"/>
  <c r="DS58" i="38"/>
  <c r="EB58" i="38"/>
  <c r="EC58" i="38"/>
  <c r="EL58" i="38"/>
  <c r="EM58" i="38"/>
  <c r="AZ59" i="38"/>
  <c r="BA59" i="38"/>
  <c r="BJ59" i="38"/>
  <c r="BK59" i="38"/>
  <c r="BT59" i="38"/>
  <c r="BU59" i="38"/>
  <c r="CD59" i="38"/>
  <c r="CE59" i="38"/>
  <c r="CN59" i="38"/>
  <c r="CO59" i="38"/>
  <c r="CX59" i="38"/>
  <c r="CY59" i="38"/>
  <c r="DH59" i="38"/>
  <c r="DI59" i="38"/>
  <c r="DR59" i="38"/>
  <c r="DS59" i="38"/>
  <c r="EB59" i="38"/>
  <c r="EC59" i="38"/>
  <c r="EL59" i="38"/>
  <c r="EM59" i="38"/>
  <c r="AZ60" i="38"/>
  <c r="BA60" i="38"/>
  <c r="BJ60" i="38"/>
  <c r="BK60" i="38"/>
  <c r="BT60" i="38"/>
  <c r="BU60" i="38"/>
  <c r="CD60" i="38"/>
  <c r="CE60" i="38"/>
  <c r="CN60" i="38"/>
  <c r="CO60" i="38"/>
  <c r="CX60" i="38"/>
  <c r="CY60" i="38"/>
  <c r="DH60" i="38"/>
  <c r="DI60" i="38"/>
  <c r="DR60" i="38"/>
  <c r="DS60" i="38"/>
  <c r="EB60" i="38"/>
  <c r="EC60" i="38"/>
  <c r="EL60" i="38"/>
  <c r="EM60" i="38"/>
  <c r="AZ61" i="38"/>
  <c r="BA61" i="38"/>
  <c r="BJ61" i="38"/>
  <c r="BK61" i="38"/>
  <c r="BT61" i="38"/>
  <c r="BU61" i="38"/>
  <c r="CD61" i="38"/>
  <c r="CE61" i="38"/>
  <c r="CN61" i="38"/>
  <c r="CO61" i="38"/>
  <c r="CX61" i="38"/>
  <c r="CY61" i="38"/>
  <c r="DH61" i="38"/>
  <c r="DI61" i="38"/>
  <c r="DR61" i="38"/>
  <c r="DS61" i="38"/>
  <c r="EB61" i="38"/>
  <c r="EC61" i="38"/>
  <c r="EL61" i="38"/>
  <c r="EM61" i="38"/>
  <c r="AZ62" i="38"/>
  <c r="BA62" i="38"/>
  <c r="BJ62" i="38"/>
  <c r="BK62" i="38"/>
  <c r="BT62" i="38"/>
  <c r="BU62" i="38"/>
  <c r="CD62" i="38"/>
  <c r="CE62" i="38"/>
  <c r="CN62" i="38"/>
  <c r="CO62" i="38"/>
  <c r="CX62" i="38"/>
  <c r="CY62" i="38"/>
  <c r="DH62" i="38"/>
  <c r="DI62" i="38"/>
  <c r="DR62" i="38"/>
  <c r="DS62" i="38"/>
  <c r="EB62" i="38"/>
  <c r="EC62" i="38"/>
  <c r="EL62" i="38"/>
  <c r="EM62" i="38"/>
  <c r="AZ63" i="38"/>
  <c r="BA63" i="38"/>
  <c r="BJ63" i="38"/>
  <c r="BK63" i="38"/>
  <c r="BT63" i="38"/>
  <c r="BU63" i="38"/>
  <c r="CD63" i="38"/>
  <c r="CE63" i="38"/>
  <c r="CN63" i="38"/>
  <c r="CO63" i="38"/>
  <c r="CX63" i="38"/>
  <c r="CY63" i="38"/>
  <c r="DH63" i="38"/>
  <c r="DI63" i="38"/>
  <c r="DR63" i="38"/>
  <c r="DS63" i="38"/>
  <c r="EB63" i="38"/>
  <c r="EC63" i="38"/>
  <c r="EL63" i="38"/>
  <c r="EM63" i="38"/>
  <c r="AZ64" i="38"/>
  <c r="BA64" i="38"/>
  <c r="BJ64" i="38"/>
  <c r="BK64" i="38"/>
  <c r="BT64" i="38"/>
  <c r="BU64" i="38"/>
  <c r="CD64" i="38"/>
  <c r="CE64" i="38"/>
  <c r="CN64" i="38"/>
  <c r="CO64" i="38"/>
  <c r="CX64" i="38"/>
  <c r="CY64" i="38"/>
  <c r="DH64" i="38"/>
  <c r="DI64" i="38"/>
  <c r="DR64" i="38"/>
  <c r="DS64" i="38"/>
  <c r="EB64" i="38"/>
  <c r="EC64" i="38"/>
  <c r="EL64" i="38"/>
  <c r="EM64" i="38"/>
  <c r="AZ65" i="38"/>
  <c r="BA65" i="38"/>
  <c r="BJ65" i="38"/>
  <c r="BK65" i="38"/>
  <c r="BT65" i="38"/>
  <c r="BU65" i="38"/>
  <c r="CD65" i="38"/>
  <c r="CE65" i="38"/>
  <c r="CN65" i="38"/>
  <c r="CO65" i="38"/>
  <c r="CX65" i="38"/>
  <c r="CY65" i="38"/>
  <c r="DH65" i="38"/>
  <c r="DI65" i="38"/>
  <c r="DR65" i="38"/>
  <c r="DS65" i="38"/>
  <c r="EB65" i="38"/>
  <c r="EC65" i="38"/>
  <c r="EL65" i="38"/>
  <c r="EM65" i="38"/>
  <c r="AZ66" i="38"/>
  <c r="BA66" i="38"/>
  <c r="BJ66" i="38"/>
  <c r="BK66" i="38"/>
  <c r="BT66" i="38"/>
  <c r="BU66" i="38"/>
  <c r="CD66" i="38"/>
  <c r="CE66" i="38"/>
  <c r="CN66" i="38"/>
  <c r="CO66" i="38"/>
  <c r="CX66" i="38"/>
  <c r="CY66" i="38"/>
  <c r="DH66" i="38"/>
  <c r="DI66" i="38"/>
  <c r="DR66" i="38"/>
  <c r="DS66" i="38"/>
  <c r="EB66" i="38"/>
  <c r="EC66" i="38"/>
  <c r="EL66" i="38"/>
  <c r="EM66" i="38"/>
  <c r="AZ67" i="38"/>
  <c r="BA67" i="38"/>
  <c r="BJ67" i="38"/>
  <c r="BK67" i="38"/>
  <c r="BT67" i="38"/>
  <c r="BU67" i="38"/>
  <c r="CD67" i="38"/>
  <c r="CE67" i="38"/>
  <c r="CN67" i="38"/>
  <c r="CO67" i="38"/>
  <c r="CX67" i="38"/>
  <c r="CY67" i="38"/>
  <c r="DH67" i="38"/>
  <c r="DI67" i="38"/>
  <c r="DR67" i="38"/>
  <c r="DS67" i="38"/>
  <c r="EB67" i="38"/>
  <c r="EC67" i="38"/>
  <c r="EL67" i="38"/>
  <c r="EM67" i="38"/>
  <c r="AZ68" i="38"/>
  <c r="BA68" i="38"/>
  <c r="BJ68" i="38"/>
  <c r="BK68" i="38"/>
  <c r="BT68" i="38"/>
  <c r="BU68" i="38"/>
  <c r="CD68" i="38"/>
  <c r="CE68" i="38"/>
  <c r="CN68" i="38"/>
  <c r="CO68" i="38"/>
  <c r="CX68" i="38"/>
  <c r="CY68" i="38"/>
  <c r="DH68" i="38"/>
  <c r="DI68" i="38"/>
  <c r="DR68" i="38"/>
  <c r="DS68" i="38"/>
  <c r="EB68" i="38"/>
  <c r="EC68" i="38"/>
  <c r="EL68" i="38"/>
  <c r="EM68" i="38"/>
  <c r="AZ69" i="38"/>
  <c r="BA69" i="38"/>
  <c r="BJ69" i="38"/>
  <c r="BK69" i="38"/>
  <c r="BT69" i="38"/>
  <c r="BU69" i="38"/>
  <c r="CD69" i="38"/>
  <c r="CE69" i="38"/>
  <c r="CN69" i="38"/>
  <c r="CO69" i="38"/>
  <c r="CX69" i="38"/>
  <c r="CY69" i="38"/>
  <c r="DH69" i="38"/>
  <c r="DI69" i="38"/>
  <c r="DR69" i="38"/>
  <c r="DS69" i="38"/>
  <c r="EB69" i="38"/>
  <c r="EC69" i="38"/>
  <c r="EL69" i="38"/>
  <c r="EM69" i="38"/>
  <c r="AZ70" i="38"/>
  <c r="BA70" i="38"/>
  <c r="BJ70" i="38"/>
  <c r="BK70" i="38"/>
  <c r="BT70" i="38"/>
  <c r="BU70" i="38"/>
  <c r="CD70" i="38"/>
  <c r="CE70" i="38"/>
  <c r="CN70" i="38"/>
  <c r="CO70" i="38"/>
  <c r="CX70" i="38"/>
  <c r="CY70" i="38"/>
  <c r="DH70" i="38"/>
  <c r="DI70" i="38"/>
  <c r="DR70" i="38"/>
  <c r="DS70" i="38"/>
  <c r="EB70" i="38"/>
  <c r="EC70" i="38"/>
  <c r="EL70" i="38"/>
  <c r="EM70" i="38"/>
  <c r="AZ71" i="38"/>
  <c r="BA71" i="38"/>
  <c r="BJ71" i="38"/>
  <c r="BK71" i="38"/>
  <c r="BT71" i="38"/>
  <c r="BU71" i="38"/>
  <c r="CD71" i="38"/>
  <c r="CE71" i="38"/>
  <c r="CN71" i="38"/>
  <c r="CO71" i="38"/>
  <c r="CX71" i="38"/>
  <c r="CY71" i="38"/>
  <c r="DH71" i="38"/>
  <c r="DI71" i="38"/>
  <c r="DR71" i="38"/>
  <c r="DS71" i="38"/>
  <c r="EB71" i="38"/>
  <c r="EC71" i="38"/>
  <c r="EL71" i="38"/>
  <c r="EM71" i="38"/>
  <c r="AZ72" i="38"/>
  <c r="BA72" i="38"/>
  <c r="BJ72" i="38"/>
  <c r="BK72" i="38"/>
  <c r="BT72" i="38"/>
  <c r="BU72" i="38"/>
  <c r="CD72" i="38"/>
  <c r="CE72" i="38"/>
  <c r="CN72" i="38"/>
  <c r="CO72" i="38"/>
  <c r="CX72" i="38"/>
  <c r="CY72" i="38"/>
  <c r="DH72" i="38"/>
  <c r="DI72" i="38"/>
  <c r="DR72" i="38"/>
  <c r="DS72" i="38"/>
  <c r="EB72" i="38"/>
  <c r="EC72" i="38"/>
  <c r="EL72" i="38"/>
  <c r="EM72" i="38"/>
  <c r="AZ73" i="38"/>
  <c r="BA73" i="38"/>
  <c r="BJ73" i="38"/>
  <c r="BK73" i="38"/>
  <c r="BT73" i="38"/>
  <c r="BU73" i="38"/>
  <c r="CD73" i="38"/>
  <c r="CE73" i="38"/>
  <c r="CN73" i="38"/>
  <c r="CO73" i="38"/>
  <c r="CX73" i="38"/>
  <c r="CY73" i="38"/>
  <c r="DH73" i="38"/>
  <c r="DI73" i="38"/>
  <c r="DR73" i="38"/>
  <c r="DS73" i="38"/>
  <c r="EB73" i="38"/>
  <c r="EC73" i="38"/>
  <c r="EL73" i="38"/>
  <c r="EM73" i="38"/>
  <c r="AZ74" i="38"/>
  <c r="BA74" i="38"/>
  <c r="BJ74" i="38"/>
  <c r="BK74" i="38"/>
  <c r="BT74" i="38"/>
  <c r="BU74" i="38"/>
  <c r="CD74" i="38"/>
  <c r="CE74" i="38"/>
  <c r="CN74" i="38"/>
  <c r="CO74" i="38"/>
  <c r="CX74" i="38"/>
  <c r="CY74" i="38"/>
  <c r="DH74" i="38"/>
  <c r="DI74" i="38"/>
  <c r="DR74" i="38"/>
  <c r="DS74" i="38"/>
  <c r="EB74" i="38"/>
  <c r="EC74" i="38"/>
  <c r="EL74" i="38"/>
  <c r="EM74" i="38"/>
  <c r="AZ75" i="38"/>
  <c r="BA75" i="38"/>
  <c r="BJ75" i="38"/>
  <c r="BK75" i="38"/>
  <c r="BT75" i="38"/>
  <c r="BU75" i="38"/>
  <c r="CD75" i="38"/>
  <c r="CE75" i="38"/>
  <c r="CN75" i="38"/>
  <c r="CO75" i="38"/>
  <c r="CX75" i="38"/>
  <c r="CY75" i="38"/>
  <c r="DH75" i="38"/>
  <c r="DI75" i="38"/>
  <c r="DR75" i="38"/>
  <c r="DS75" i="38"/>
  <c r="EB75" i="38"/>
  <c r="EC75" i="38"/>
  <c r="EL75" i="38"/>
  <c r="EM75" i="38"/>
  <c r="AZ76" i="38"/>
  <c r="BA76" i="38"/>
  <c r="BJ76" i="38"/>
  <c r="BK76" i="38"/>
  <c r="BT76" i="38"/>
  <c r="BU76" i="38"/>
  <c r="CD76" i="38"/>
  <c r="CE76" i="38"/>
  <c r="CN76" i="38"/>
  <c r="CO76" i="38"/>
  <c r="CX76" i="38"/>
  <c r="CY76" i="38"/>
  <c r="DH76" i="38"/>
  <c r="DI76" i="38"/>
  <c r="DR76" i="38"/>
  <c r="DS76" i="38"/>
  <c r="EB76" i="38"/>
  <c r="EC76" i="38"/>
  <c r="EL76" i="38"/>
  <c r="EM76" i="38"/>
  <c r="AZ77" i="38"/>
  <c r="BA77" i="38"/>
  <c r="BJ77" i="38"/>
  <c r="BK77" i="38"/>
  <c r="BT77" i="38"/>
  <c r="BU77" i="38"/>
  <c r="CD77" i="38"/>
  <c r="CE77" i="38"/>
  <c r="CN77" i="38"/>
  <c r="CO77" i="38"/>
  <c r="CX77" i="38"/>
  <c r="CY77" i="38"/>
  <c r="DH77" i="38"/>
  <c r="DI77" i="38"/>
  <c r="DR77" i="38"/>
  <c r="DS77" i="38"/>
  <c r="EB77" i="38"/>
  <c r="EC77" i="38"/>
  <c r="EL77" i="38"/>
  <c r="EM77" i="38"/>
  <c r="AZ78" i="38"/>
  <c r="BA78" i="38"/>
  <c r="BJ78" i="38"/>
  <c r="BK78" i="38"/>
  <c r="BT78" i="38"/>
  <c r="BU78" i="38"/>
  <c r="CD78" i="38"/>
  <c r="CE78" i="38"/>
  <c r="CN78" i="38"/>
  <c r="CO78" i="38"/>
  <c r="CX78" i="38"/>
  <c r="CY78" i="38"/>
  <c r="DH78" i="38"/>
  <c r="DI78" i="38"/>
  <c r="DR78" i="38"/>
  <c r="DS78" i="38"/>
  <c r="EB78" i="38"/>
  <c r="EC78" i="38"/>
  <c r="EL78" i="38"/>
  <c r="EM78" i="38"/>
  <c r="AZ79" i="38"/>
  <c r="BA79" i="38"/>
  <c r="BJ79" i="38"/>
  <c r="BK79" i="38"/>
  <c r="BT79" i="38"/>
  <c r="BU79" i="38"/>
  <c r="CD79" i="38"/>
  <c r="CE79" i="38"/>
  <c r="CN79" i="38"/>
  <c r="CO79" i="38"/>
  <c r="CX79" i="38"/>
  <c r="CY79" i="38"/>
  <c r="DH79" i="38"/>
  <c r="DI79" i="38"/>
  <c r="DR79" i="38"/>
  <c r="DS79" i="38"/>
  <c r="EB79" i="38"/>
  <c r="EC79" i="38"/>
  <c r="EL79" i="38"/>
  <c r="EM79" i="38"/>
  <c r="AZ80" i="38"/>
  <c r="BA80" i="38"/>
  <c r="BJ80" i="38"/>
  <c r="BK80" i="38"/>
  <c r="BT80" i="38"/>
  <c r="BU80" i="38"/>
  <c r="CD80" i="38"/>
  <c r="CE80" i="38"/>
  <c r="CN80" i="38"/>
  <c r="CO80" i="38"/>
  <c r="CX80" i="38"/>
  <c r="CY80" i="38"/>
  <c r="DH80" i="38"/>
  <c r="DI80" i="38"/>
  <c r="DR80" i="38"/>
  <c r="DS80" i="38"/>
  <c r="EB80" i="38"/>
  <c r="EC80" i="38"/>
  <c r="EL80" i="38"/>
  <c r="EM80" i="38"/>
  <c r="AZ81" i="38"/>
  <c r="BA81" i="38"/>
  <c r="BJ81" i="38"/>
  <c r="BK81" i="38"/>
  <c r="BT81" i="38"/>
  <c r="BU81" i="38"/>
  <c r="CD81" i="38"/>
  <c r="CE81" i="38"/>
  <c r="CN81" i="38"/>
  <c r="CO81" i="38"/>
  <c r="CX81" i="38"/>
  <c r="CY81" i="38"/>
  <c r="DH81" i="38"/>
  <c r="DI81" i="38"/>
  <c r="DR81" i="38"/>
  <c r="DS81" i="38"/>
  <c r="EB81" i="38"/>
  <c r="EC81" i="38"/>
  <c r="EL81" i="38"/>
  <c r="EM81" i="38"/>
  <c r="AZ82" i="38"/>
  <c r="BA82" i="38"/>
  <c r="BJ82" i="38"/>
  <c r="BK82" i="38"/>
  <c r="BT82" i="38"/>
  <c r="BU82" i="38"/>
  <c r="CD82" i="38"/>
  <c r="CE82" i="38"/>
  <c r="CN82" i="38"/>
  <c r="CO82" i="38"/>
  <c r="CX82" i="38"/>
  <c r="CY82" i="38"/>
  <c r="DH82" i="38"/>
  <c r="DI82" i="38"/>
  <c r="DR82" i="38"/>
  <c r="DS82" i="38"/>
  <c r="EB82" i="38"/>
  <c r="EC82" i="38"/>
  <c r="EL82" i="38"/>
  <c r="EM82" i="38"/>
  <c r="AZ83" i="38"/>
  <c r="BA83" i="38"/>
  <c r="BJ83" i="38"/>
  <c r="BK83" i="38"/>
  <c r="BT83" i="38"/>
  <c r="BU83" i="38"/>
  <c r="CD83" i="38"/>
  <c r="CE83" i="38"/>
  <c r="CN83" i="38"/>
  <c r="CO83" i="38"/>
  <c r="CX83" i="38"/>
  <c r="CY83" i="38"/>
  <c r="DH83" i="38"/>
  <c r="DI83" i="38"/>
  <c r="DR83" i="38"/>
  <c r="DS83" i="38"/>
  <c r="EB83" i="38"/>
  <c r="EC83" i="38"/>
  <c r="EL83" i="38"/>
  <c r="EM83" i="38"/>
  <c r="AZ84" i="38"/>
  <c r="BA84" i="38"/>
  <c r="BJ84" i="38"/>
  <c r="BK84" i="38"/>
  <c r="BT84" i="38"/>
  <c r="BU84" i="38"/>
  <c r="CD84" i="38"/>
  <c r="CE84" i="38"/>
  <c r="CN84" i="38"/>
  <c r="CO84" i="38"/>
  <c r="CX84" i="38"/>
  <c r="CY84" i="38"/>
  <c r="DH84" i="38"/>
  <c r="DI84" i="38"/>
  <c r="DR84" i="38"/>
  <c r="DS84" i="38"/>
  <c r="EB84" i="38"/>
  <c r="EC84" i="38"/>
  <c r="EL84" i="38"/>
  <c r="EM84" i="38"/>
  <c r="AZ85" i="38"/>
  <c r="BA85" i="38"/>
  <c r="BJ85" i="38"/>
  <c r="BK85" i="38"/>
  <c r="BT85" i="38"/>
  <c r="BU85" i="38"/>
  <c r="CD85" i="38"/>
  <c r="CE85" i="38"/>
  <c r="CN85" i="38"/>
  <c r="CO85" i="38"/>
  <c r="CX85" i="38"/>
  <c r="CY85" i="38"/>
  <c r="DH85" i="38"/>
  <c r="DI85" i="38"/>
  <c r="DR85" i="38"/>
  <c r="DS85" i="38"/>
  <c r="EB85" i="38"/>
  <c r="EC85" i="38"/>
  <c r="EL85" i="38"/>
  <c r="EM85" i="38"/>
  <c r="AZ86" i="38"/>
  <c r="BA86" i="38"/>
  <c r="BJ86" i="38"/>
  <c r="BK86" i="38"/>
  <c r="BT86" i="38"/>
  <c r="BU86" i="38"/>
  <c r="CD86" i="38"/>
  <c r="CE86" i="38"/>
  <c r="CN86" i="38"/>
  <c r="CO86" i="38"/>
  <c r="CX86" i="38"/>
  <c r="CY86" i="38"/>
  <c r="DH86" i="38"/>
  <c r="DI86" i="38"/>
  <c r="DR86" i="38"/>
  <c r="DS86" i="38"/>
  <c r="EB86" i="38"/>
  <c r="EC86" i="38"/>
  <c r="EL86" i="38"/>
  <c r="EM86" i="38"/>
  <c r="AZ87" i="38"/>
  <c r="BA87" i="38"/>
  <c r="BJ87" i="38"/>
  <c r="BK87" i="38"/>
  <c r="BT87" i="38"/>
  <c r="BU87" i="38"/>
  <c r="CD87" i="38"/>
  <c r="CE87" i="38"/>
  <c r="CN87" i="38"/>
  <c r="CO87" i="38"/>
  <c r="CX87" i="38"/>
  <c r="CY87" i="38"/>
  <c r="DH87" i="38"/>
  <c r="DI87" i="38"/>
  <c r="DR87" i="38"/>
  <c r="DS87" i="38"/>
  <c r="EB87" i="38"/>
  <c r="EC87" i="38"/>
  <c r="EL87" i="38"/>
  <c r="EM87" i="38"/>
  <c r="AZ88" i="38"/>
  <c r="BA88" i="38"/>
  <c r="BJ88" i="38"/>
  <c r="BK88" i="38"/>
  <c r="BT88" i="38"/>
  <c r="BU88" i="38"/>
  <c r="CD88" i="38"/>
  <c r="CE88" i="38"/>
  <c r="CN88" i="38"/>
  <c r="CO88" i="38"/>
  <c r="CX88" i="38"/>
  <c r="CY88" i="38"/>
  <c r="DH88" i="38"/>
  <c r="DI88" i="38"/>
  <c r="DR88" i="38"/>
  <c r="DS88" i="38"/>
  <c r="EB88" i="38"/>
  <c r="EC88" i="38"/>
  <c r="EL88" i="38"/>
  <c r="EM88" i="38"/>
  <c r="AZ89" i="38"/>
  <c r="BA89" i="38"/>
  <c r="BJ89" i="38"/>
  <c r="BK89" i="38"/>
  <c r="BT89" i="38"/>
  <c r="BU89" i="38"/>
  <c r="CD89" i="38"/>
  <c r="CE89" i="38"/>
  <c r="CN89" i="38"/>
  <c r="CO89" i="38"/>
  <c r="CX89" i="38"/>
  <c r="CY89" i="38"/>
  <c r="DH89" i="38"/>
  <c r="DI89" i="38"/>
  <c r="DR89" i="38"/>
  <c r="DS89" i="38"/>
  <c r="EB89" i="38"/>
  <c r="EC89" i="38"/>
  <c r="EL89" i="38"/>
  <c r="EM89" i="38"/>
  <c r="AZ90" i="38"/>
  <c r="BA90" i="38"/>
  <c r="BJ90" i="38"/>
  <c r="BK90" i="38"/>
  <c r="BT90" i="38"/>
  <c r="BU90" i="38"/>
  <c r="CD90" i="38"/>
  <c r="CE90" i="38"/>
  <c r="CN90" i="38"/>
  <c r="CO90" i="38"/>
  <c r="CX90" i="38"/>
  <c r="CY90" i="38"/>
  <c r="DH90" i="38"/>
  <c r="DI90" i="38"/>
  <c r="DR90" i="38"/>
  <c r="DS90" i="38"/>
  <c r="EB90" i="38"/>
  <c r="EC90" i="38"/>
  <c r="EL90" i="38"/>
  <c r="EM90" i="38"/>
  <c r="AZ91" i="38"/>
  <c r="BA91" i="38"/>
  <c r="BJ91" i="38"/>
  <c r="BK91" i="38"/>
  <c r="BT91" i="38"/>
  <c r="BU91" i="38"/>
  <c r="CD91" i="38"/>
  <c r="CE91" i="38"/>
  <c r="CN91" i="38"/>
  <c r="CO91" i="38"/>
  <c r="CX91" i="38"/>
  <c r="CY91" i="38"/>
  <c r="DH91" i="38"/>
  <c r="DI91" i="38"/>
  <c r="DR91" i="38"/>
  <c r="DS91" i="38"/>
  <c r="EB91" i="38"/>
  <c r="EC91" i="38"/>
  <c r="EL91" i="38"/>
  <c r="EM91" i="38"/>
  <c r="AZ92" i="38"/>
  <c r="BA92" i="38"/>
  <c r="BJ92" i="38"/>
  <c r="BK92" i="38"/>
  <c r="BT92" i="38"/>
  <c r="BU92" i="38"/>
  <c r="CD92" i="38"/>
  <c r="CE92" i="38"/>
  <c r="CN92" i="38"/>
  <c r="CO92" i="38"/>
  <c r="CX92" i="38"/>
  <c r="CY92" i="38"/>
  <c r="DH92" i="38"/>
  <c r="DI92" i="38"/>
  <c r="DR92" i="38"/>
  <c r="DS92" i="38"/>
  <c r="EB92" i="38"/>
  <c r="EC92" i="38"/>
  <c r="EL92" i="38"/>
  <c r="EM92" i="38"/>
  <c r="AZ93" i="38"/>
  <c r="BA93" i="38"/>
  <c r="BJ93" i="38"/>
  <c r="BK93" i="38"/>
  <c r="BT93" i="38"/>
  <c r="BU93" i="38"/>
  <c r="CD93" i="38"/>
  <c r="CE93" i="38"/>
  <c r="CN93" i="38"/>
  <c r="CO93" i="38"/>
  <c r="CX93" i="38"/>
  <c r="CY93" i="38"/>
  <c r="DH93" i="38"/>
  <c r="DI93" i="38"/>
  <c r="DR93" i="38"/>
  <c r="DS93" i="38"/>
  <c r="EB93" i="38"/>
  <c r="EC93" i="38"/>
  <c r="EL93" i="38"/>
  <c r="EM93" i="38"/>
  <c r="AZ94" i="38"/>
  <c r="BA94" i="38"/>
  <c r="BJ94" i="38"/>
  <c r="BK94" i="38"/>
  <c r="BT94" i="38"/>
  <c r="BU94" i="38"/>
  <c r="CD94" i="38"/>
  <c r="CE94" i="38"/>
  <c r="CN94" i="38"/>
  <c r="CO94" i="38"/>
  <c r="CX94" i="38"/>
  <c r="CY94" i="38"/>
  <c r="DH94" i="38"/>
  <c r="DI94" i="38"/>
  <c r="DR94" i="38"/>
  <c r="DS94" i="38"/>
  <c r="EB94" i="38"/>
  <c r="EC94" i="38"/>
  <c r="EL94" i="38"/>
  <c r="EM94" i="38"/>
  <c r="AZ95" i="38"/>
  <c r="BA95" i="38"/>
  <c r="BJ95" i="38"/>
  <c r="BK95" i="38"/>
  <c r="BT95" i="38"/>
  <c r="BU95" i="38"/>
  <c r="CD95" i="38"/>
  <c r="CE95" i="38"/>
  <c r="CN95" i="38"/>
  <c r="CO95" i="38"/>
  <c r="CX95" i="38"/>
  <c r="CY95" i="38"/>
  <c r="DH95" i="38"/>
  <c r="DI95" i="38"/>
  <c r="DR95" i="38"/>
  <c r="DS95" i="38"/>
  <c r="EB95" i="38"/>
  <c r="EC95" i="38"/>
  <c r="EL95" i="38"/>
  <c r="EM95" i="38"/>
  <c r="AZ96" i="38"/>
  <c r="BA96" i="38"/>
  <c r="BJ96" i="38"/>
  <c r="BK96" i="38"/>
  <c r="BT96" i="38"/>
  <c r="BU96" i="38"/>
  <c r="CD96" i="38"/>
  <c r="CE96" i="38"/>
  <c r="CN96" i="38"/>
  <c r="CO96" i="38"/>
  <c r="CX96" i="38"/>
  <c r="CY96" i="38"/>
  <c r="DH96" i="38"/>
  <c r="DI96" i="38"/>
  <c r="DR96" i="38"/>
  <c r="DS96" i="38"/>
  <c r="EB96" i="38"/>
  <c r="EC96" i="38"/>
  <c r="EL96" i="38"/>
  <c r="EM96" i="38"/>
  <c r="AZ97" i="38"/>
  <c r="BA97" i="38"/>
  <c r="BJ97" i="38"/>
  <c r="BK97" i="38"/>
  <c r="BT97" i="38"/>
  <c r="BU97" i="38"/>
  <c r="CD97" i="38"/>
  <c r="CE97" i="38"/>
  <c r="CN97" i="38"/>
  <c r="CO97" i="38"/>
  <c r="CX97" i="38"/>
  <c r="CY97" i="38"/>
  <c r="DH97" i="38"/>
  <c r="DI97" i="38"/>
  <c r="DR97" i="38"/>
  <c r="DS97" i="38"/>
  <c r="EB97" i="38"/>
  <c r="EC97" i="38"/>
  <c r="EL97" i="38"/>
  <c r="EM97" i="38"/>
  <c r="AZ98" i="38"/>
  <c r="BA98" i="38"/>
  <c r="BJ98" i="38"/>
  <c r="BK98" i="38"/>
  <c r="BT98" i="38"/>
  <c r="BU98" i="38"/>
  <c r="CD98" i="38"/>
  <c r="CE98" i="38"/>
  <c r="CN98" i="38"/>
  <c r="CO98" i="38"/>
  <c r="CX98" i="38"/>
  <c r="CY98" i="38"/>
  <c r="DH98" i="38"/>
  <c r="DI98" i="38"/>
  <c r="DR98" i="38"/>
  <c r="DS98" i="38"/>
  <c r="EB98" i="38"/>
  <c r="EC98" i="38"/>
  <c r="EL98" i="38"/>
  <c r="EM98" i="38"/>
  <c r="AZ99" i="38"/>
  <c r="BA99" i="38"/>
  <c r="BJ99" i="38"/>
  <c r="BK99" i="38"/>
  <c r="BT99" i="38"/>
  <c r="BU99" i="38"/>
  <c r="CD99" i="38"/>
  <c r="CE99" i="38"/>
  <c r="CN99" i="38"/>
  <c r="CO99" i="38"/>
  <c r="CX99" i="38"/>
  <c r="CY99" i="38"/>
  <c r="DH99" i="38"/>
  <c r="DI99" i="38"/>
  <c r="DR99" i="38"/>
  <c r="DS99" i="38"/>
  <c r="EB99" i="38"/>
  <c r="EC99" i="38"/>
  <c r="EL99" i="38"/>
  <c r="EM99" i="38"/>
  <c r="AZ100" i="38"/>
  <c r="BA100" i="38"/>
  <c r="BJ100" i="38"/>
  <c r="BK100" i="38"/>
  <c r="BT100" i="38"/>
  <c r="BU100" i="38"/>
  <c r="CD100" i="38"/>
  <c r="CE100" i="38"/>
  <c r="CN100" i="38"/>
  <c r="CO100" i="38"/>
  <c r="CX100" i="38"/>
  <c r="CY100" i="38"/>
  <c r="DH100" i="38"/>
  <c r="DI100" i="38"/>
  <c r="DR100" i="38"/>
  <c r="DS100" i="38"/>
  <c r="EB100" i="38"/>
  <c r="EC100" i="38"/>
  <c r="EL100" i="38"/>
  <c r="EM100" i="38"/>
  <c r="AZ101" i="38"/>
  <c r="BA101" i="38"/>
  <c r="BJ101" i="38"/>
  <c r="BK101" i="38"/>
  <c r="BT101" i="38"/>
  <c r="BU101" i="38"/>
  <c r="CD101" i="38"/>
  <c r="CE101" i="38"/>
  <c r="CN101" i="38"/>
  <c r="CO101" i="38"/>
  <c r="CX101" i="38"/>
  <c r="CY101" i="38"/>
  <c r="DH101" i="38"/>
  <c r="DI101" i="38"/>
  <c r="DR101" i="38"/>
  <c r="DS101" i="38"/>
  <c r="EB101" i="38"/>
  <c r="EC101" i="38"/>
  <c r="EL101" i="38"/>
  <c r="EM101" i="38"/>
  <c r="AZ102" i="38"/>
  <c r="BA102" i="38"/>
  <c r="BJ102" i="38"/>
  <c r="BK102" i="38"/>
  <c r="BT102" i="38"/>
  <c r="BU102" i="38"/>
  <c r="CD102" i="38"/>
  <c r="CE102" i="38"/>
  <c r="CN102" i="38"/>
  <c r="CO102" i="38"/>
  <c r="CX102" i="38"/>
  <c r="CY102" i="38"/>
  <c r="DH102" i="38"/>
  <c r="DI102" i="38"/>
  <c r="DR102" i="38"/>
  <c r="DS102" i="38"/>
  <c r="EB102" i="38"/>
  <c r="EC102" i="38"/>
  <c r="EL102" i="38"/>
  <c r="EM102" i="38"/>
  <c r="AZ103" i="38"/>
  <c r="BA103" i="38"/>
  <c r="BJ103" i="38"/>
  <c r="BK103" i="38"/>
  <c r="BT103" i="38"/>
  <c r="BU103" i="38"/>
  <c r="CD103" i="38"/>
  <c r="CE103" i="38"/>
  <c r="CN103" i="38"/>
  <c r="CO103" i="38"/>
  <c r="CX103" i="38"/>
  <c r="CY103" i="38"/>
  <c r="DH103" i="38"/>
  <c r="DI103" i="38"/>
  <c r="DR103" i="38"/>
  <c r="DS103" i="38"/>
  <c r="EB103" i="38"/>
  <c r="EC103" i="38"/>
  <c r="EL103" i="38"/>
  <c r="EM103" i="38"/>
  <c r="AZ104" i="38"/>
  <c r="BA104" i="38"/>
  <c r="BJ104" i="38"/>
  <c r="BK104" i="38"/>
  <c r="BT104" i="38"/>
  <c r="BU104" i="38"/>
  <c r="CD104" i="38"/>
  <c r="CE104" i="38"/>
  <c r="CN104" i="38"/>
  <c r="CO104" i="38"/>
  <c r="CX104" i="38"/>
  <c r="CY104" i="38"/>
  <c r="DH104" i="38"/>
  <c r="DI104" i="38"/>
  <c r="DR104" i="38"/>
  <c r="DS104" i="38"/>
  <c r="EB104" i="38"/>
  <c r="EC104" i="38"/>
  <c r="EL104" i="38"/>
  <c r="EM104" i="38"/>
  <c r="AZ105" i="38"/>
  <c r="BA105" i="38"/>
  <c r="BJ105" i="38"/>
  <c r="BK105" i="38"/>
  <c r="BT105" i="38"/>
  <c r="BU105" i="38"/>
  <c r="CD105" i="38"/>
  <c r="CE105" i="38"/>
  <c r="CN105" i="38"/>
  <c r="CO105" i="38"/>
  <c r="CX105" i="38"/>
  <c r="CY105" i="38"/>
  <c r="DH105" i="38"/>
  <c r="DI105" i="38"/>
  <c r="DR105" i="38"/>
  <c r="DS105" i="38"/>
  <c r="EB105" i="38"/>
  <c r="EC105" i="38"/>
  <c r="EL105" i="38"/>
  <c r="EM105" i="38"/>
  <c r="AZ106" i="38"/>
  <c r="BA106" i="38"/>
  <c r="BJ106" i="38"/>
  <c r="BK106" i="38"/>
  <c r="BT106" i="38"/>
  <c r="BU106" i="38"/>
  <c r="CD106" i="38"/>
  <c r="CE106" i="38"/>
  <c r="CN106" i="38"/>
  <c r="CO106" i="38"/>
  <c r="CX106" i="38"/>
  <c r="CY106" i="38"/>
  <c r="DH106" i="38"/>
  <c r="DI106" i="38"/>
  <c r="DR106" i="38"/>
  <c r="DS106" i="38"/>
  <c r="EB106" i="38"/>
  <c r="EC106" i="38"/>
  <c r="EL106" i="38"/>
  <c r="EM106" i="38"/>
  <c r="AZ107" i="38"/>
  <c r="BA107" i="38"/>
  <c r="BJ107" i="38"/>
  <c r="BK107" i="38"/>
  <c r="BT107" i="38"/>
  <c r="BU107" i="38"/>
  <c r="CD107" i="38"/>
  <c r="CE107" i="38"/>
  <c r="CN107" i="38"/>
  <c r="CO107" i="38"/>
  <c r="CX107" i="38"/>
  <c r="CY107" i="38"/>
  <c r="DH107" i="38"/>
  <c r="DI107" i="38"/>
  <c r="DR107" i="38"/>
  <c r="DS107" i="38"/>
  <c r="EB107" i="38"/>
  <c r="EC107" i="38"/>
  <c r="EL107" i="38"/>
  <c r="EM107" i="38"/>
  <c r="AZ108" i="38"/>
  <c r="BA108" i="38"/>
  <c r="BJ108" i="38"/>
  <c r="BK108" i="38"/>
  <c r="BT108" i="38"/>
  <c r="BU108" i="38"/>
  <c r="CD108" i="38"/>
  <c r="CE108" i="38"/>
  <c r="CN108" i="38"/>
  <c r="CO108" i="38"/>
  <c r="CX108" i="38"/>
  <c r="CY108" i="38"/>
  <c r="DH108" i="38"/>
  <c r="DI108" i="38"/>
  <c r="DR108" i="38"/>
  <c r="DS108" i="38"/>
  <c r="EB108" i="38"/>
  <c r="EC108" i="38"/>
  <c r="EL108" i="38"/>
  <c r="EM108" i="38"/>
  <c r="AZ109" i="38"/>
  <c r="BA109" i="38"/>
  <c r="BJ109" i="38"/>
  <c r="BK109" i="38"/>
  <c r="BT109" i="38"/>
  <c r="BU109" i="38"/>
  <c r="CD109" i="38"/>
  <c r="CE109" i="38"/>
  <c r="CN109" i="38"/>
  <c r="CO109" i="38"/>
  <c r="CX109" i="38"/>
  <c r="CY109" i="38"/>
  <c r="DH109" i="38"/>
  <c r="DI109" i="38"/>
  <c r="DR109" i="38"/>
  <c r="DS109" i="38"/>
  <c r="EB109" i="38"/>
  <c r="EC109" i="38"/>
  <c r="EL109" i="38"/>
  <c r="EM109" i="38"/>
  <c r="AZ110" i="38"/>
  <c r="BA110" i="38"/>
  <c r="BJ110" i="38"/>
  <c r="BK110" i="38"/>
  <c r="BT110" i="38"/>
  <c r="BU110" i="38"/>
  <c r="CD110" i="38"/>
  <c r="CE110" i="38"/>
  <c r="CN110" i="38"/>
  <c r="CO110" i="38"/>
  <c r="CX110" i="38"/>
  <c r="CY110" i="38"/>
  <c r="DH110" i="38"/>
  <c r="DI110" i="38"/>
  <c r="DR110" i="38"/>
  <c r="DS110" i="38"/>
  <c r="EB110" i="38"/>
  <c r="EC110" i="38"/>
  <c r="EL110" i="38"/>
  <c r="EM110" i="38"/>
  <c r="AZ111" i="38"/>
  <c r="BA111" i="38"/>
  <c r="BJ111" i="38"/>
  <c r="BK111" i="38"/>
  <c r="BT111" i="38"/>
  <c r="BU111" i="38"/>
  <c r="CD111" i="38"/>
  <c r="CE111" i="38"/>
  <c r="CN111" i="38"/>
  <c r="CO111" i="38"/>
  <c r="CX111" i="38"/>
  <c r="CY111" i="38"/>
  <c r="DH111" i="38"/>
  <c r="DI111" i="38"/>
  <c r="DR111" i="38"/>
  <c r="DS111" i="38"/>
  <c r="EB111" i="38"/>
  <c r="EC111" i="38"/>
  <c r="EL111" i="38"/>
  <c r="EM111" i="38"/>
  <c r="AZ112" i="38"/>
  <c r="BA112" i="38"/>
  <c r="BJ112" i="38"/>
  <c r="BK112" i="38"/>
  <c r="BT112" i="38"/>
  <c r="BU112" i="38"/>
  <c r="CD112" i="38"/>
  <c r="CE112" i="38"/>
  <c r="CN112" i="38"/>
  <c r="CO112" i="38"/>
  <c r="CX112" i="38"/>
  <c r="CY112" i="38"/>
  <c r="DH112" i="38"/>
  <c r="DI112" i="38"/>
  <c r="DR112" i="38"/>
  <c r="DS112" i="38"/>
  <c r="EB112" i="38"/>
  <c r="EC112" i="38"/>
  <c r="EL112" i="38"/>
  <c r="EM112" i="38"/>
  <c r="AZ113" i="38"/>
  <c r="BA113" i="38"/>
  <c r="BJ113" i="38"/>
  <c r="BK113" i="38"/>
  <c r="BT113" i="38"/>
  <c r="BU113" i="38"/>
  <c r="CD113" i="38"/>
  <c r="CE113" i="38"/>
  <c r="CN113" i="38"/>
  <c r="CO113" i="38"/>
  <c r="CX113" i="38"/>
  <c r="CY113" i="38"/>
  <c r="DH113" i="38"/>
  <c r="DI113" i="38"/>
  <c r="DR113" i="38"/>
  <c r="DS113" i="38"/>
  <c r="EB113" i="38"/>
  <c r="EC113" i="38"/>
  <c r="EL113" i="38"/>
  <c r="EM113" i="38"/>
  <c r="AZ114" i="38"/>
  <c r="BA114" i="38"/>
  <c r="BJ114" i="38"/>
  <c r="BK114" i="38"/>
  <c r="BT114" i="38"/>
  <c r="BU114" i="38"/>
  <c r="CD114" i="38"/>
  <c r="CE114" i="38"/>
  <c r="CN114" i="38"/>
  <c r="CO114" i="38"/>
  <c r="CX114" i="38"/>
  <c r="CY114" i="38"/>
  <c r="DH114" i="38"/>
  <c r="DI114" i="38"/>
  <c r="DR114" i="38"/>
  <c r="DS114" i="38"/>
  <c r="EB114" i="38"/>
  <c r="EC114" i="38"/>
  <c r="EL114" i="38"/>
  <c r="EM114" i="38"/>
  <c r="AZ115" i="38"/>
  <c r="BA115" i="38"/>
  <c r="BJ115" i="38"/>
  <c r="BK115" i="38"/>
  <c r="BT115" i="38"/>
  <c r="BU115" i="38"/>
  <c r="CD115" i="38"/>
  <c r="CE115" i="38"/>
  <c r="CN115" i="38"/>
  <c r="CO115" i="38"/>
  <c r="CX115" i="38"/>
  <c r="CY115" i="38"/>
  <c r="DH115" i="38"/>
  <c r="DI115" i="38"/>
  <c r="DR115" i="38"/>
  <c r="DS115" i="38"/>
  <c r="EB115" i="38"/>
  <c r="EC115" i="38"/>
  <c r="EL115" i="38"/>
  <c r="EM115" i="38"/>
  <c r="AZ116" i="38"/>
  <c r="BA116" i="38"/>
  <c r="BJ116" i="38"/>
  <c r="BK116" i="38"/>
  <c r="BT116" i="38"/>
  <c r="BU116" i="38"/>
  <c r="CD116" i="38"/>
  <c r="CE116" i="38"/>
  <c r="CN116" i="38"/>
  <c r="CO116" i="38"/>
  <c r="CX116" i="38"/>
  <c r="CY116" i="38"/>
  <c r="DH116" i="38"/>
  <c r="DI116" i="38"/>
  <c r="DR116" i="38"/>
  <c r="DS116" i="38"/>
  <c r="EB116" i="38"/>
  <c r="EC116" i="38"/>
  <c r="EL116" i="38"/>
  <c r="EM116" i="38"/>
  <c r="AZ117" i="38"/>
  <c r="BA117" i="38"/>
  <c r="BJ117" i="38"/>
  <c r="BK117" i="38"/>
  <c r="BT117" i="38"/>
  <c r="BU117" i="38"/>
  <c r="CD117" i="38"/>
  <c r="CE117" i="38"/>
  <c r="CN117" i="38"/>
  <c r="CO117" i="38"/>
  <c r="CX117" i="38"/>
  <c r="CY117" i="38"/>
  <c r="DH117" i="38"/>
  <c r="DI117" i="38"/>
  <c r="DR117" i="38"/>
  <c r="DS117" i="38"/>
  <c r="EB117" i="38"/>
  <c r="EC117" i="38"/>
  <c r="EL117" i="38"/>
  <c r="EM117" i="38"/>
  <c r="AZ118" i="38"/>
  <c r="BA118" i="38"/>
  <c r="BJ118" i="38"/>
  <c r="BK118" i="38"/>
  <c r="BT118" i="38"/>
  <c r="BU118" i="38"/>
  <c r="CD118" i="38"/>
  <c r="CE118" i="38"/>
  <c r="CN118" i="38"/>
  <c r="CO118" i="38"/>
  <c r="CX118" i="38"/>
  <c r="CY118" i="38"/>
  <c r="DH118" i="38"/>
  <c r="DI118" i="38"/>
  <c r="DR118" i="38"/>
  <c r="DS118" i="38"/>
  <c r="EB118" i="38"/>
  <c r="EC118" i="38"/>
  <c r="EL118" i="38"/>
  <c r="EM118" i="38"/>
  <c r="AZ119" i="38"/>
  <c r="BA119" i="38"/>
  <c r="BJ119" i="38"/>
  <c r="BK119" i="38"/>
  <c r="BT119" i="38"/>
  <c r="BU119" i="38"/>
  <c r="CD119" i="38"/>
  <c r="CE119" i="38"/>
  <c r="CN119" i="38"/>
  <c r="CO119" i="38"/>
  <c r="CX119" i="38"/>
  <c r="CY119" i="38"/>
  <c r="DH119" i="38"/>
  <c r="DI119" i="38"/>
  <c r="DR119" i="38"/>
  <c r="DS119" i="38"/>
  <c r="EB119" i="38"/>
  <c r="EC119" i="38"/>
  <c r="EL119" i="38"/>
  <c r="EM119" i="38"/>
  <c r="AZ120" i="38"/>
  <c r="BA120" i="38"/>
  <c r="BJ120" i="38"/>
  <c r="BK120" i="38"/>
  <c r="BT120" i="38"/>
  <c r="BU120" i="38"/>
  <c r="CD120" i="38"/>
  <c r="CE120" i="38"/>
  <c r="CN120" i="38"/>
  <c r="CO120" i="38"/>
  <c r="CX120" i="38"/>
  <c r="CY120" i="38"/>
  <c r="DH120" i="38"/>
  <c r="DI120" i="38"/>
  <c r="DR120" i="38"/>
  <c r="DS120" i="38"/>
  <c r="EB120" i="38"/>
  <c r="EC120" i="38"/>
  <c r="EL120" i="38"/>
  <c r="EM120" i="38"/>
  <c r="AZ121" i="38"/>
  <c r="BA121" i="38"/>
  <c r="BJ121" i="38"/>
  <c r="BK121" i="38"/>
  <c r="BT121" i="38"/>
  <c r="BU121" i="38"/>
  <c r="CD121" i="38"/>
  <c r="CE121" i="38"/>
  <c r="CN121" i="38"/>
  <c r="CO121" i="38"/>
  <c r="CX121" i="38"/>
  <c r="CY121" i="38"/>
  <c r="DH121" i="38"/>
  <c r="DI121" i="38"/>
  <c r="DR121" i="38"/>
  <c r="DS121" i="38"/>
  <c r="EB121" i="38"/>
  <c r="EC121" i="38"/>
  <c r="EL121" i="38"/>
  <c r="EM121" i="38"/>
  <c r="AZ122" i="38"/>
  <c r="BA122" i="38"/>
  <c r="BJ122" i="38"/>
  <c r="BK122" i="38"/>
  <c r="BT122" i="38"/>
  <c r="BU122" i="38"/>
  <c r="CD122" i="38"/>
  <c r="CE122" i="38"/>
  <c r="CN122" i="38"/>
  <c r="CO122" i="38"/>
  <c r="CX122" i="38"/>
  <c r="CY122" i="38"/>
  <c r="DH122" i="38"/>
  <c r="DI122" i="38"/>
  <c r="DR122" i="38"/>
  <c r="DS122" i="38"/>
  <c r="EB122" i="38"/>
  <c r="EC122" i="38"/>
  <c r="EL122" i="38"/>
  <c r="EM122" i="38"/>
  <c r="AZ123" i="38"/>
  <c r="BA123" i="38"/>
  <c r="BJ123" i="38"/>
  <c r="BK123" i="38"/>
  <c r="BT123" i="38"/>
  <c r="BU123" i="38"/>
  <c r="CD123" i="38"/>
  <c r="CE123" i="38"/>
  <c r="CN123" i="38"/>
  <c r="CO123" i="38"/>
  <c r="CX123" i="38"/>
  <c r="CY123" i="38"/>
  <c r="DH123" i="38"/>
  <c r="DI123" i="38"/>
  <c r="DR123" i="38"/>
  <c r="DS123" i="38"/>
  <c r="EB123" i="38"/>
  <c r="EC123" i="38"/>
  <c r="EL123" i="38"/>
  <c r="EM123" i="38"/>
  <c r="AZ124" i="38"/>
  <c r="BA124" i="38"/>
  <c r="BJ124" i="38"/>
  <c r="BK124" i="38"/>
  <c r="BT124" i="38"/>
  <c r="BU124" i="38"/>
  <c r="CD124" i="38"/>
  <c r="CE124" i="38"/>
  <c r="CN124" i="38"/>
  <c r="CO124" i="38"/>
  <c r="CX124" i="38"/>
  <c r="CY124" i="38"/>
  <c r="DH124" i="38"/>
  <c r="DI124" i="38"/>
  <c r="DR124" i="38"/>
  <c r="DS124" i="38"/>
  <c r="EB124" i="38"/>
  <c r="EC124" i="38"/>
  <c r="EL124" i="38"/>
  <c r="EM124" i="38"/>
  <c r="AZ125" i="38"/>
  <c r="BA125" i="38"/>
  <c r="BJ125" i="38"/>
  <c r="BK125" i="38"/>
  <c r="BT125" i="38"/>
  <c r="BU125" i="38"/>
  <c r="CD125" i="38"/>
  <c r="CE125" i="38"/>
  <c r="CN125" i="38"/>
  <c r="CO125" i="38"/>
  <c r="CX125" i="38"/>
  <c r="CY125" i="38"/>
  <c r="DH125" i="38"/>
  <c r="DI125" i="38"/>
  <c r="DR125" i="38"/>
  <c r="DS125" i="38"/>
  <c r="EB125" i="38"/>
  <c r="EC125" i="38"/>
  <c r="EL125" i="38"/>
  <c r="EM125" i="38"/>
  <c r="AZ126" i="38"/>
  <c r="BA126" i="38"/>
  <c r="BJ126" i="38"/>
  <c r="BK126" i="38"/>
  <c r="BT126" i="38"/>
  <c r="BU126" i="38"/>
  <c r="CD126" i="38"/>
  <c r="CE126" i="38"/>
  <c r="CN126" i="38"/>
  <c r="CO126" i="38"/>
  <c r="CX126" i="38"/>
  <c r="CY126" i="38"/>
  <c r="DH126" i="38"/>
  <c r="DI126" i="38"/>
  <c r="DR126" i="38"/>
  <c r="DS126" i="38"/>
  <c r="EB126" i="38"/>
  <c r="EC126" i="38"/>
  <c r="EL126" i="38"/>
  <c r="EM126" i="38"/>
  <c r="AZ127" i="38"/>
  <c r="BA127" i="38"/>
  <c r="BJ127" i="38"/>
  <c r="BK127" i="38"/>
  <c r="BT127" i="38"/>
  <c r="BU127" i="38"/>
  <c r="CD127" i="38"/>
  <c r="CE127" i="38"/>
  <c r="CN127" i="38"/>
  <c r="CO127" i="38"/>
  <c r="CX127" i="38"/>
  <c r="CY127" i="38"/>
  <c r="DH127" i="38"/>
  <c r="DI127" i="38"/>
  <c r="DR127" i="38"/>
  <c r="DS127" i="38"/>
  <c r="EB127" i="38"/>
  <c r="EC127" i="38"/>
  <c r="EL127" i="38"/>
  <c r="EM127" i="38"/>
  <c r="AZ128" i="38"/>
  <c r="BA128" i="38"/>
  <c r="BJ128" i="38"/>
  <c r="BK128" i="38"/>
  <c r="BT128" i="38"/>
  <c r="BU128" i="38"/>
  <c r="CD128" i="38"/>
  <c r="CE128" i="38"/>
  <c r="CN128" i="38"/>
  <c r="CO128" i="38"/>
  <c r="CX128" i="38"/>
  <c r="CY128" i="38"/>
  <c r="DH128" i="38"/>
  <c r="DI128" i="38"/>
  <c r="DR128" i="38"/>
  <c r="DS128" i="38"/>
  <c r="EB128" i="38"/>
  <c r="EC128" i="38"/>
  <c r="EL128" i="38"/>
  <c r="EM128" i="38"/>
  <c r="AZ129" i="38"/>
  <c r="BA129" i="38"/>
  <c r="BJ129" i="38"/>
  <c r="BK129" i="38"/>
  <c r="BT129" i="38"/>
  <c r="BU129" i="38"/>
  <c r="CD129" i="38"/>
  <c r="CE129" i="38"/>
  <c r="CN129" i="38"/>
  <c r="CO129" i="38"/>
  <c r="CX129" i="38"/>
  <c r="CY129" i="38"/>
  <c r="DH129" i="38"/>
  <c r="DI129" i="38"/>
  <c r="DR129" i="38"/>
  <c r="DS129" i="38"/>
  <c r="EB129" i="38"/>
  <c r="EC129" i="38"/>
  <c r="EL129" i="38"/>
  <c r="EM129" i="38"/>
  <c r="AZ130" i="38"/>
  <c r="BA130" i="38"/>
  <c r="BJ130" i="38"/>
  <c r="BK130" i="38"/>
  <c r="BT130" i="38"/>
  <c r="BU130" i="38"/>
  <c r="CD130" i="38"/>
  <c r="CE130" i="38"/>
  <c r="CN130" i="38"/>
  <c r="CO130" i="38"/>
  <c r="CX130" i="38"/>
  <c r="CY130" i="38"/>
  <c r="DH130" i="38"/>
  <c r="DI130" i="38"/>
  <c r="DR130" i="38"/>
  <c r="DS130" i="38"/>
  <c r="EB130" i="38"/>
  <c r="EC130" i="38"/>
  <c r="EL130" i="38"/>
  <c r="EM130" i="38"/>
  <c r="AZ131" i="38"/>
  <c r="BA131" i="38"/>
  <c r="BJ131" i="38"/>
  <c r="BK131" i="38"/>
  <c r="BT131" i="38"/>
  <c r="BU131" i="38"/>
  <c r="CD131" i="38"/>
  <c r="CE131" i="38"/>
  <c r="CN131" i="38"/>
  <c r="CO131" i="38"/>
  <c r="CX131" i="38"/>
  <c r="CY131" i="38"/>
  <c r="DH131" i="38"/>
  <c r="DI131" i="38"/>
  <c r="DR131" i="38"/>
  <c r="DS131" i="38"/>
  <c r="EB131" i="38"/>
  <c r="EC131" i="38"/>
  <c r="EL131" i="38"/>
  <c r="EM131" i="38"/>
  <c r="AZ132" i="38"/>
  <c r="BA132" i="38"/>
  <c r="BJ132" i="38"/>
  <c r="BK132" i="38"/>
  <c r="BT132" i="38"/>
  <c r="BU132" i="38"/>
  <c r="CD132" i="38"/>
  <c r="CE132" i="38"/>
  <c r="CN132" i="38"/>
  <c r="CO132" i="38"/>
  <c r="CX132" i="38"/>
  <c r="CY132" i="38"/>
  <c r="DH132" i="38"/>
  <c r="DI132" i="38"/>
  <c r="DR132" i="38"/>
  <c r="DS132" i="38"/>
  <c r="EB132" i="38"/>
  <c r="EC132" i="38"/>
  <c r="EL132" i="38"/>
  <c r="EM132" i="38"/>
  <c r="AZ133" i="38"/>
  <c r="BA133" i="38"/>
  <c r="BJ133" i="38"/>
  <c r="BK133" i="38"/>
  <c r="BT133" i="38"/>
  <c r="BU133" i="38"/>
  <c r="CD133" i="38"/>
  <c r="CE133" i="38"/>
  <c r="CN133" i="38"/>
  <c r="CO133" i="38"/>
  <c r="CX133" i="38"/>
  <c r="CY133" i="38"/>
  <c r="DH133" i="38"/>
  <c r="DI133" i="38"/>
  <c r="DR133" i="38"/>
  <c r="DS133" i="38"/>
  <c r="EB133" i="38"/>
  <c r="EC133" i="38"/>
  <c r="EL133" i="38"/>
  <c r="EM133" i="38"/>
  <c r="AZ134" i="38"/>
  <c r="BA134" i="38"/>
  <c r="BJ134" i="38"/>
  <c r="BK134" i="38"/>
  <c r="BT134" i="38"/>
  <c r="BU134" i="38"/>
  <c r="CD134" i="38"/>
  <c r="CE134" i="38"/>
  <c r="CN134" i="38"/>
  <c r="CO134" i="38"/>
  <c r="CX134" i="38"/>
  <c r="CY134" i="38"/>
  <c r="DH134" i="38"/>
  <c r="DI134" i="38"/>
  <c r="DR134" i="38"/>
  <c r="DS134" i="38"/>
  <c r="EB134" i="38"/>
  <c r="EC134" i="38"/>
  <c r="EL134" i="38"/>
  <c r="EM134" i="38"/>
  <c r="AZ135" i="38"/>
  <c r="BA135" i="38"/>
  <c r="BJ135" i="38"/>
  <c r="BK135" i="38"/>
  <c r="BT135" i="38"/>
  <c r="BU135" i="38"/>
  <c r="CD135" i="38"/>
  <c r="CE135" i="38"/>
  <c r="CN135" i="38"/>
  <c r="CO135" i="38"/>
  <c r="CX135" i="38"/>
  <c r="CY135" i="38"/>
  <c r="DH135" i="38"/>
  <c r="DI135" i="38"/>
  <c r="DR135" i="38"/>
  <c r="DS135" i="38"/>
  <c r="EB135" i="38"/>
  <c r="EC135" i="38"/>
  <c r="EL135" i="38"/>
  <c r="EM135" i="38"/>
  <c r="AZ136" i="38"/>
  <c r="BA136" i="38"/>
  <c r="BJ136" i="38"/>
  <c r="BK136" i="38"/>
  <c r="BT136" i="38"/>
  <c r="BU136" i="38"/>
  <c r="CD136" i="38"/>
  <c r="CE136" i="38"/>
  <c r="CN136" i="38"/>
  <c r="CO136" i="38"/>
  <c r="CX136" i="38"/>
  <c r="CY136" i="38"/>
  <c r="DH136" i="38"/>
  <c r="DI136" i="38"/>
  <c r="DR136" i="38"/>
  <c r="DS136" i="38"/>
  <c r="EB136" i="38"/>
  <c r="EC136" i="38"/>
  <c r="EL136" i="38"/>
  <c r="EM136" i="38"/>
  <c r="AZ137" i="38"/>
  <c r="BA137" i="38"/>
  <c r="BJ137" i="38"/>
  <c r="BK137" i="38"/>
  <c r="BT137" i="38"/>
  <c r="BU137" i="38"/>
  <c r="CD137" i="38"/>
  <c r="CE137" i="38"/>
  <c r="CN137" i="38"/>
  <c r="CO137" i="38"/>
  <c r="CX137" i="38"/>
  <c r="CY137" i="38"/>
  <c r="DH137" i="38"/>
  <c r="DI137" i="38"/>
  <c r="DR137" i="38"/>
  <c r="DS137" i="38"/>
  <c r="EB137" i="38"/>
  <c r="EC137" i="38"/>
  <c r="EL137" i="38"/>
  <c r="EM137" i="38"/>
  <c r="AZ138" i="38"/>
  <c r="BA138" i="38"/>
  <c r="BJ138" i="38"/>
  <c r="BK138" i="38"/>
  <c r="BT138" i="38"/>
  <c r="BU138" i="38"/>
  <c r="CD138" i="38"/>
  <c r="CE138" i="38"/>
  <c r="CN138" i="38"/>
  <c r="CO138" i="38"/>
  <c r="CX138" i="38"/>
  <c r="CY138" i="38"/>
  <c r="DH138" i="38"/>
  <c r="DI138" i="38"/>
  <c r="DR138" i="38"/>
  <c r="DS138" i="38"/>
  <c r="EB138" i="38"/>
  <c r="EC138" i="38"/>
  <c r="EL138" i="38"/>
  <c r="EM138" i="38"/>
  <c r="AZ139" i="38"/>
  <c r="BA139" i="38"/>
  <c r="BJ139" i="38"/>
  <c r="BK139" i="38"/>
  <c r="BT139" i="38"/>
  <c r="BU139" i="38"/>
  <c r="CD139" i="38"/>
  <c r="CE139" i="38"/>
  <c r="CN139" i="38"/>
  <c r="CO139" i="38"/>
  <c r="CX139" i="38"/>
  <c r="CY139" i="38"/>
  <c r="DH139" i="38"/>
  <c r="DI139" i="38"/>
  <c r="DR139" i="38"/>
  <c r="DS139" i="38"/>
  <c r="EB139" i="38"/>
  <c r="EC139" i="38"/>
  <c r="EL139" i="38"/>
  <c r="EM139" i="38"/>
  <c r="AZ140" i="38"/>
  <c r="BA140" i="38"/>
  <c r="BJ140" i="38"/>
  <c r="BK140" i="38"/>
  <c r="BT140" i="38"/>
  <c r="BU140" i="38"/>
  <c r="CD140" i="38"/>
  <c r="CE140" i="38"/>
  <c r="CN140" i="38"/>
  <c r="CO140" i="38"/>
  <c r="CX140" i="38"/>
  <c r="CY140" i="38"/>
  <c r="DH140" i="38"/>
  <c r="DI140" i="38"/>
  <c r="DR140" i="38"/>
  <c r="DS140" i="38"/>
  <c r="EB140" i="38"/>
  <c r="EC140" i="38"/>
  <c r="EL140" i="38"/>
  <c r="EM140" i="38"/>
  <c r="AZ141" i="38"/>
  <c r="BA141" i="38"/>
  <c r="BJ141" i="38"/>
  <c r="BK141" i="38"/>
  <c r="BT141" i="38"/>
  <c r="BU141" i="38"/>
  <c r="CD141" i="38"/>
  <c r="CE141" i="38"/>
  <c r="CN141" i="38"/>
  <c r="CO141" i="38"/>
  <c r="CX141" i="38"/>
  <c r="CY141" i="38"/>
  <c r="DH141" i="38"/>
  <c r="DI141" i="38"/>
  <c r="DR141" i="38"/>
  <c r="DS141" i="38"/>
  <c r="EB141" i="38"/>
  <c r="EC141" i="38"/>
  <c r="EL141" i="38"/>
  <c r="EM141" i="38"/>
  <c r="AZ142" i="38"/>
  <c r="BA142" i="38"/>
  <c r="BJ142" i="38"/>
  <c r="BK142" i="38"/>
  <c r="BT142" i="38"/>
  <c r="BU142" i="38"/>
  <c r="CD142" i="38"/>
  <c r="CE142" i="38"/>
  <c r="CN142" i="38"/>
  <c r="CO142" i="38"/>
  <c r="CX142" i="38"/>
  <c r="CY142" i="38"/>
  <c r="DH142" i="38"/>
  <c r="DI142" i="38"/>
  <c r="DR142" i="38"/>
  <c r="DS142" i="38"/>
  <c r="EB142" i="38"/>
  <c r="EC142" i="38"/>
  <c r="EL142" i="38"/>
  <c r="EM142" i="38"/>
  <c r="AZ143" i="38"/>
  <c r="BA143" i="38"/>
  <c r="BJ143" i="38"/>
  <c r="BK143" i="38"/>
  <c r="BT143" i="38"/>
  <c r="BU143" i="38"/>
  <c r="CD143" i="38"/>
  <c r="CE143" i="38"/>
  <c r="CN143" i="38"/>
  <c r="CO143" i="38"/>
  <c r="CX143" i="38"/>
  <c r="CY143" i="38"/>
  <c r="DH143" i="38"/>
  <c r="DI143" i="38"/>
  <c r="DR143" i="38"/>
  <c r="DS143" i="38"/>
  <c r="EB143" i="38"/>
  <c r="EC143" i="38"/>
  <c r="EL143" i="38"/>
  <c r="EM143" i="38"/>
  <c r="AZ144" i="38"/>
  <c r="BA144" i="38"/>
  <c r="BJ144" i="38"/>
  <c r="BK144" i="38"/>
  <c r="BT144" i="38"/>
  <c r="BU144" i="38"/>
  <c r="CD144" i="38"/>
  <c r="CE144" i="38"/>
  <c r="CN144" i="38"/>
  <c r="CO144" i="38"/>
  <c r="CX144" i="38"/>
  <c r="CY144" i="38"/>
  <c r="DH144" i="38"/>
  <c r="DI144" i="38"/>
  <c r="DR144" i="38"/>
  <c r="DS144" i="38"/>
  <c r="EB144" i="38"/>
  <c r="EC144" i="38"/>
  <c r="EL144" i="38"/>
  <c r="EM144" i="38"/>
  <c r="AZ145" i="38"/>
  <c r="BA145" i="38"/>
  <c r="BJ145" i="38"/>
  <c r="BK145" i="38"/>
  <c r="BT145" i="38"/>
  <c r="BU145" i="38"/>
  <c r="CD145" i="38"/>
  <c r="CE145" i="38"/>
  <c r="CN145" i="38"/>
  <c r="CO145" i="38"/>
  <c r="CX145" i="38"/>
  <c r="CY145" i="38"/>
  <c r="DH145" i="38"/>
  <c r="DI145" i="38"/>
  <c r="DR145" i="38"/>
  <c r="DS145" i="38"/>
  <c r="EB145" i="38"/>
  <c r="EC145" i="38"/>
  <c r="EL145" i="38"/>
  <c r="EM145" i="38"/>
  <c r="AZ146" i="38"/>
  <c r="BA146" i="38"/>
  <c r="BJ146" i="38"/>
  <c r="BK146" i="38"/>
  <c r="BT146" i="38"/>
  <c r="BU146" i="38"/>
  <c r="CD146" i="38"/>
  <c r="CE146" i="38"/>
  <c r="CN146" i="38"/>
  <c r="CO146" i="38"/>
  <c r="CX146" i="38"/>
  <c r="CY146" i="38"/>
  <c r="DH146" i="38"/>
  <c r="DI146" i="38"/>
  <c r="DR146" i="38"/>
  <c r="DS146" i="38"/>
  <c r="EB146" i="38"/>
  <c r="EC146" i="38"/>
  <c r="EL146" i="38"/>
  <c r="EM146" i="38"/>
  <c r="AZ147" i="38"/>
  <c r="BA147" i="38"/>
  <c r="BJ147" i="38"/>
  <c r="BK147" i="38"/>
  <c r="BT147" i="38"/>
  <c r="BU147" i="38"/>
  <c r="CD147" i="38"/>
  <c r="CE147" i="38"/>
  <c r="CN147" i="38"/>
  <c r="CO147" i="38"/>
  <c r="CX147" i="38"/>
  <c r="CY147" i="38"/>
  <c r="DH147" i="38"/>
  <c r="DI147" i="38"/>
  <c r="DR147" i="38"/>
  <c r="DS147" i="38"/>
  <c r="EB147" i="38"/>
  <c r="EC147" i="38"/>
  <c r="EL147" i="38"/>
  <c r="EM147" i="38"/>
  <c r="AZ148" i="38"/>
  <c r="BA148" i="38"/>
  <c r="BJ148" i="38"/>
  <c r="BK148" i="38"/>
  <c r="BT148" i="38"/>
  <c r="BU148" i="38"/>
  <c r="CD148" i="38"/>
  <c r="CE148" i="38"/>
  <c r="CN148" i="38"/>
  <c r="CO148" i="38"/>
  <c r="CX148" i="38"/>
  <c r="CY148" i="38"/>
  <c r="DH148" i="38"/>
  <c r="DI148" i="38"/>
  <c r="DR148" i="38"/>
  <c r="DS148" i="38"/>
  <c r="EB148" i="38"/>
  <c r="EC148" i="38"/>
  <c r="EL148" i="38"/>
  <c r="EM148" i="38"/>
  <c r="AZ149" i="38"/>
  <c r="BA149" i="38"/>
  <c r="BJ149" i="38"/>
  <c r="BK149" i="38"/>
  <c r="BT149" i="38"/>
  <c r="BU149" i="38"/>
  <c r="CD149" i="38"/>
  <c r="CE149" i="38"/>
  <c r="CN149" i="38"/>
  <c r="CO149" i="38"/>
  <c r="CX149" i="38"/>
  <c r="CY149" i="38"/>
  <c r="DH149" i="38"/>
  <c r="DI149" i="38"/>
  <c r="DR149" i="38"/>
  <c r="DS149" i="38"/>
  <c r="EB149" i="38"/>
  <c r="EC149" i="38"/>
  <c r="EL149" i="38"/>
  <c r="EM149" i="38"/>
  <c r="AZ150" i="38"/>
  <c r="BA150" i="38"/>
  <c r="BJ150" i="38"/>
  <c r="BK150" i="38"/>
  <c r="BT150" i="38"/>
  <c r="BU150" i="38"/>
  <c r="CD150" i="38"/>
  <c r="CE150" i="38"/>
  <c r="CN150" i="38"/>
  <c r="CO150" i="38"/>
  <c r="CX150" i="38"/>
  <c r="CY150" i="38"/>
  <c r="DH150" i="38"/>
  <c r="DI150" i="38"/>
  <c r="DR150" i="38"/>
  <c r="DS150" i="38"/>
  <c r="EB150" i="38"/>
  <c r="EC150" i="38"/>
  <c r="EL150" i="38"/>
  <c r="EM150" i="38"/>
  <c r="AZ151" i="38"/>
  <c r="BA151" i="38"/>
  <c r="BJ151" i="38"/>
  <c r="BK151" i="38"/>
  <c r="BT151" i="38"/>
  <c r="BU151" i="38"/>
  <c r="CD151" i="38"/>
  <c r="CE151" i="38"/>
  <c r="CN151" i="38"/>
  <c r="CO151" i="38"/>
  <c r="CX151" i="38"/>
  <c r="CY151" i="38"/>
  <c r="DH151" i="38"/>
  <c r="DI151" i="38"/>
  <c r="DR151" i="38"/>
  <c r="DS151" i="38"/>
  <c r="EB151" i="38"/>
  <c r="EC151" i="38"/>
  <c r="EL151" i="38"/>
  <c r="EM151" i="38"/>
  <c r="AZ152" i="38"/>
  <c r="BA152" i="38"/>
  <c r="BJ152" i="38"/>
  <c r="BK152" i="38"/>
  <c r="BT152" i="38"/>
  <c r="BU152" i="38"/>
  <c r="CD152" i="38"/>
  <c r="CE152" i="38"/>
  <c r="CN152" i="38"/>
  <c r="CO152" i="38"/>
  <c r="CX152" i="38"/>
  <c r="CY152" i="38"/>
  <c r="DH152" i="38"/>
  <c r="DI152" i="38"/>
  <c r="DR152" i="38"/>
  <c r="DS152" i="38"/>
  <c r="EB152" i="38"/>
  <c r="EC152" i="38"/>
  <c r="EL152" i="38"/>
  <c r="EM152" i="38"/>
  <c r="AZ153" i="38"/>
  <c r="BA153" i="38"/>
  <c r="BJ153" i="38"/>
  <c r="BK153" i="38"/>
  <c r="BT153" i="38"/>
  <c r="BU153" i="38"/>
  <c r="CD153" i="38"/>
  <c r="CE153" i="38"/>
  <c r="CN153" i="38"/>
  <c r="CO153" i="38"/>
  <c r="CX153" i="38"/>
  <c r="CY153" i="38"/>
  <c r="DH153" i="38"/>
  <c r="DI153" i="38"/>
  <c r="DR153" i="38"/>
  <c r="DS153" i="38"/>
  <c r="EB153" i="38"/>
  <c r="EC153" i="38"/>
  <c r="EL153" i="38"/>
  <c r="EM153" i="38"/>
  <c r="AZ154" i="38"/>
  <c r="BA154" i="38"/>
  <c r="BJ154" i="38"/>
  <c r="BK154" i="38"/>
  <c r="BT154" i="38"/>
  <c r="BU154" i="38"/>
  <c r="CD154" i="38"/>
  <c r="CE154" i="38"/>
  <c r="CN154" i="38"/>
  <c r="CO154" i="38"/>
  <c r="CX154" i="38"/>
  <c r="CY154" i="38"/>
  <c r="DH154" i="38"/>
  <c r="DI154" i="38"/>
  <c r="DR154" i="38"/>
  <c r="DS154" i="38"/>
  <c r="EB154" i="38"/>
  <c r="EC154" i="38"/>
  <c r="EL154" i="38"/>
  <c r="EM154" i="38"/>
  <c r="AZ155" i="38"/>
  <c r="BA155" i="38"/>
  <c r="BJ155" i="38"/>
  <c r="BK155" i="38"/>
  <c r="BT155" i="38"/>
  <c r="BU155" i="38"/>
  <c r="CD155" i="38"/>
  <c r="CE155" i="38"/>
  <c r="CN155" i="38"/>
  <c r="CO155" i="38"/>
  <c r="CX155" i="38"/>
  <c r="CY155" i="38"/>
  <c r="DH155" i="38"/>
  <c r="DI155" i="38"/>
  <c r="DR155" i="38"/>
  <c r="DS155" i="38"/>
  <c r="EB155" i="38"/>
  <c r="EC155" i="38"/>
  <c r="EL155" i="38"/>
  <c r="EM155" i="38"/>
  <c r="AZ156" i="38"/>
  <c r="BA156" i="38"/>
  <c r="BJ156" i="38"/>
  <c r="BK156" i="38"/>
  <c r="BT156" i="38"/>
  <c r="BU156" i="38"/>
  <c r="CD156" i="38"/>
  <c r="CE156" i="38"/>
  <c r="CN156" i="38"/>
  <c r="CO156" i="38"/>
  <c r="CX156" i="38"/>
  <c r="CY156" i="38"/>
  <c r="DH156" i="38"/>
  <c r="DI156" i="38"/>
  <c r="DR156" i="38"/>
  <c r="DS156" i="38"/>
  <c r="EB156" i="38"/>
  <c r="EC156" i="38"/>
  <c r="EL156" i="38"/>
  <c r="EM156" i="38"/>
  <c r="AZ157" i="38"/>
  <c r="BA157" i="38"/>
  <c r="BJ157" i="38"/>
  <c r="BK157" i="38"/>
  <c r="BT157" i="38"/>
  <c r="BU157" i="38"/>
  <c r="CD157" i="38"/>
  <c r="CE157" i="38"/>
  <c r="CN157" i="38"/>
  <c r="CO157" i="38"/>
  <c r="CX157" i="38"/>
  <c r="CY157" i="38"/>
  <c r="DH157" i="38"/>
  <c r="DI157" i="38"/>
  <c r="DR157" i="38"/>
  <c r="DS157" i="38"/>
  <c r="EB157" i="38"/>
  <c r="EC157" i="38"/>
  <c r="EL157" i="38"/>
  <c r="EM157" i="38"/>
  <c r="AZ158" i="38"/>
  <c r="BA158" i="38"/>
  <c r="BJ158" i="38"/>
  <c r="BK158" i="38"/>
  <c r="BT158" i="38"/>
  <c r="BU158" i="38"/>
  <c r="CD158" i="38"/>
  <c r="CE158" i="38"/>
  <c r="CN158" i="38"/>
  <c r="CO158" i="38"/>
  <c r="CX158" i="38"/>
  <c r="CY158" i="38"/>
  <c r="DH158" i="38"/>
  <c r="DI158" i="38"/>
  <c r="DR158" i="38"/>
  <c r="DS158" i="38"/>
  <c r="EB158" i="38"/>
  <c r="EC158" i="38"/>
  <c r="EL158" i="38"/>
  <c r="EM158" i="38"/>
  <c r="AZ159" i="38"/>
  <c r="BA159" i="38"/>
  <c r="BJ159" i="38"/>
  <c r="BK159" i="38"/>
  <c r="BT159" i="38"/>
  <c r="BU159" i="38"/>
  <c r="CD159" i="38"/>
  <c r="CE159" i="38"/>
  <c r="CN159" i="38"/>
  <c r="CO159" i="38"/>
  <c r="CX159" i="38"/>
  <c r="CY159" i="38"/>
  <c r="DH159" i="38"/>
  <c r="DI159" i="38"/>
  <c r="DR159" i="38"/>
  <c r="DS159" i="38"/>
  <c r="EB159" i="38"/>
  <c r="EC159" i="38"/>
  <c r="EL159" i="38"/>
  <c r="EM159" i="38"/>
  <c r="AZ160" i="38"/>
  <c r="BA160" i="38"/>
  <c r="BJ160" i="38"/>
  <c r="BK160" i="38"/>
  <c r="BT160" i="38"/>
  <c r="BU160" i="38"/>
  <c r="CD160" i="38"/>
  <c r="CE160" i="38"/>
  <c r="CN160" i="38"/>
  <c r="CO160" i="38"/>
  <c r="CX160" i="38"/>
  <c r="CY160" i="38"/>
  <c r="DH160" i="38"/>
  <c r="DI160" i="38"/>
  <c r="DR160" i="38"/>
  <c r="DS160" i="38"/>
  <c r="EB160" i="38"/>
  <c r="EC160" i="38"/>
  <c r="EL160" i="38"/>
  <c r="EM160" i="38"/>
  <c r="AZ161" i="38"/>
  <c r="BA161" i="38"/>
  <c r="BJ161" i="38"/>
  <c r="BK161" i="38"/>
  <c r="BT161" i="38"/>
  <c r="BU161" i="38"/>
  <c r="CD161" i="38"/>
  <c r="CE161" i="38"/>
  <c r="CN161" i="38"/>
  <c r="CO161" i="38"/>
  <c r="CX161" i="38"/>
  <c r="CY161" i="38"/>
  <c r="DH161" i="38"/>
  <c r="DI161" i="38"/>
  <c r="DR161" i="38"/>
  <c r="DS161" i="38"/>
  <c r="EB161" i="38"/>
  <c r="EC161" i="38"/>
  <c r="EL161" i="38"/>
  <c r="EM161" i="38"/>
  <c r="AZ162" i="38"/>
  <c r="BA162" i="38"/>
  <c r="BJ162" i="38"/>
  <c r="BK162" i="38"/>
  <c r="BT162" i="38"/>
  <c r="BU162" i="38"/>
  <c r="CD162" i="38"/>
  <c r="CE162" i="38"/>
  <c r="CN162" i="38"/>
  <c r="CO162" i="38"/>
  <c r="CX162" i="38"/>
  <c r="CY162" i="38"/>
  <c r="DH162" i="38"/>
  <c r="DI162" i="38"/>
  <c r="DR162" i="38"/>
  <c r="DS162" i="38"/>
  <c r="EB162" i="38"/>
  <c r="EC162" i="38"/>
  <c r="EL162" i="38"/>
  <c r="EM162" i="38"/>
  <c r="AZ163" i="38"/>
  <c r="BA163" i="38"/>
  <c r="BJ163" i="38"/>
  <c r="BK163" i="38"/>
  <c r="BT163" i="38"/>
  <c r="BU163" i="38"/>
  <c r="CD163" i="38"/>
  <c r="CE163" i="38"/>
  <c r="CN163" i="38"/>
  <c r="CO163" i="38"/>
  <c r="CX163" i="38"/>
  <c r="CY163" i="38"/>
  <c r="DH163" i="38"/>
  <c r="DI163" i="38"/>
  <c r="DR163" i="38"/>
  <c r="DS163" i="38"/>
  <c r="EB163" i="38"/>
  <c r="EC163" i="38"/>
  <c r="EL163" i="38"/>
  <c r="EM163" i="38"/>
  <c r="AZ164" i="38"/>
  <c r="BA164" i="38"/>
  <c r="BJ164" i="38"/>
  <c r="BK164" i="38"/>
  <c r="BT164" i="38"/>
  <c r="BU164" i="38"/>
  <c r="CD164" i="38"/>
  <c r="CE164" i="38"/>
  <c r="CN164" i="38"/>
  <c r="CO164" i="38"/>
  <c r="CX164" i="38"/>
  <c r="CY164" i="38"/>
  <c r="DH164" i="38"/>
  <c r="DI164" i="38"/>
  <c r="DR164" i="38"/>
  <c r="DS164" i="38"/>
  <c r="EB164" i="38"/>
  <c r="EC164" i="38"/>
  <c r="EL164" i="38"/>
  <c r="EM164" i="38"/>
  <c r="AZ165" i="38"/>
  <c r="BA165" i="38"/>
  <c r="BJ165" i="38"/>
  <c r="BK165" i="38"/>
  <c r="BT165" i="38"/>
  <c r="BU165" i="38"/>
  <c r="CD165" i="38"/>
  <c r="CE165" i="38"/>
  <c r="CN165" i="38"/>
  <c r="CO165" i="38"/>
  <c r="CX165" i="38"/>
  <c r="CY165" i="38"/>
  <c r="DH165" i="38"/>
  <c r="DI165" i="38"/>
  <c r="DR165" i="38"/>
  <c r="DS165" i="38"/>
  <c r="EB165" i="38"/>
  <c r="EC165" i="38"/>
  <c r="EL165" i="38"/>
  <c r="EM165" i="38"/>
  <c r="AZ166" i="38"/>
  <c r="BA166" i="38"/>
  <c r="BJ166" i="38"/>
  <c r="BK166" i="38"/>
  <c r="BT166" i="38"/>
  <c r="BU166" i="38"/>
  <c r="CD166" i="38"/>
  <c r="CE166" i="38"/>
  <c r="CN166" i="38"/>
  <c r="CO166" i="38"/>
  <c r="CX166" i="38"/>
  <c r="CY166" i="38"/>
  <c r="DH166" i="38"/>
  <c r="DI166" i="38"/>
  <c r="DR166" i="38"/>
  <c r="DS166" i="38"/>
  <c r="EB166" i="38"/>
  <c r="EC166" i="38"/>
  <c r="EL166" i="38"/>
  <c r="EM166" i="38"/>
  <c r="AZ167" i="38"/>
  <c r="BA167" i="38"/>
  <c r="BJ167" i="38"/>
  <c r="BK167" i="38"/>
  <c r="BT167" i="38"/>
  <c r="BU167" i="38"/>
  <c r="CD167" i="38"/>
  <c r="CE167" i="38"/>
  <c r="CN167" i="38"/>
  <c r="CO167" i="38"/>
  <c r="CX167" i="38"/>
  <c r="CY167" i="38"/>
  <c r="DH167" i="38"/>
  <c r="DI167" i="38"/>
  <c r="DR167" i="38"/>
  <c r="DS167" i="38"/>
  <c r="EB167" i="38"/>
  <c r="EC167" i="38"/>
  <c r="EL167" i="38"/>
  <c r="EM167" i="38"/>
  <c r="AZ168" i="38"/>
  <c r="BA168" i="38"/>
  <c r="BJ168" i="38"/>
  <c r="BK168" i="38"/>
  <c r="BT168" i="38"/>
  <c r="BU168" i="38"/>
  <c r="CD168" i="38"/>
  <c r="CE168" i="38"/>
  <c r="CN168" i="38"/>
  <c r="CO168" i="38"/>
  <c r="CX168" i="38"/>
  <c r="CY168" i="38"/>
  <c r="DH168" i="38"/>
  <c r="DI168" i="38"/>
  <c r="DR168" i="38"/>
  <c r="DS168" i="38"/>
  <c r="EB168" i="38"/>
  <c r="EC168" i="38"/>
  <c r="EL168" i="38"/>
  <c r="EM168" i="38"/>
  <c r="AZ169" i="38"/>
  <c r="BA169" i="38"/>
  <c r="BJ169" i="38"/>
  <c r="BK169" i="38"/>
  <c r="BT169" i="38"/>
  <c r="BU169" i="38"/>
  <c r="CD169" i="38"/>
  <c r="CE169" i="38"/>
  <c r="CN169" i="38"/>
  <c r="CO169" i="38"/>
  <c r="CX169" i="38"/>
  <c r="CY169" i="38"/>
  <c r="DH169" i="38"/>
  <c r="DI169" i="38"/>
  <c r="DR169" i="38"/>
  <c r="DS169" i="38"/>
  <c r="EB169" i="38"/>
  <c r="EC169" i="38"/>
  <c r="EL169" i="38"/>
  <c r="EM169" i="38"/>
  <c r="AZ170" i="38"/>
  <c r="BA170" i="38"/>
  <c r="BJ170" i="38"/>
  <c r="BK170" i="38"/>
  <c r="BT170" i="38"/>
  <c r="BU170" i="38"/>
  <c r="CD170" i="38"/>
  <c r="CE170" i="38"/>
  <c r="CN170" i="38"/>
  <c r="CO170" i="38"/>
  <c r="CX170" i="38"/>
  <c r="CY170" i="38"/>
  <c r="DH170" i="38"/>
  <c r="DI170" i="38"/>
  <c r="DR170" i="38"/>
  <c r="DS170" i="38"/>
  <c r="EB170" i="38"/>
  <c r="EC170" i="38"/>
  <c r="EL170" i="38"/>
  <c r="EM170" i="38"/>
  <c r="AZ171" i="38"/>
  <c r="BA171" i="38"/>
  <c r="BJ171" i="38"/>
  <c r="BK171" i="38"/>
  <c r="BT171" i="38"/>
  <c r="BU171" i="38"/>
  <c r="CD171" i="38"/>
  <c r="CE171" i="38"/>
  <c r="CN171" i="38"/>
  <c r="CO171" i="38"/>
  <c r="CX171" i="38"/>
  <c r="CY171" i="38"/>
  <c r="DH171" i="38"/>
  <c r="DI171" i="38"/>
  <c r="DR171" i="38"/>
  <c r="DS171" i="38"/>
  <c r="EB171" i="38"/>
  <c r="EC171" i="38"/>
  <c r="EL171" i="38"/>
  <c r="EM171" i="38"/>
  <c r="AZ172" i="38"/>
  <c r="BA172" i="38"/>
  <c r="BJ172" i="38"/>
  <c r="BK172" i="38"/>
  <c r="BT172" i="38"/>
  <c r="BU172" i="38"/>
  <c r="CD172" i="38"/>
  <c r="CE172" i="38"/>
  <c r="CN172" i="38"/>
  <c r="CO172" i="38"/>
  <c r="CX172" i="38"/>
  <c r="CY172" i="38"/>
  <c r="DH172" i="38"/>
  <c r="DI172" i="38"/>
  <c r="DR172" i="38"/>
  <c r="DS172" i="38"/>
  <c r="EB172" i="38"/>
  <c r="EC172" i="38"/>
  <c r="EL172" i="38"/>
  <c r="EM172" i="38"/>
  <c r="AZ173" i="38"/>
  <c r="BA173" i="38"/>
  <c r="BJ173" i="38"/>
  <c r="BK173" i="38"/>
  <c r="BT173" i="38"/>
  <c r="BU173" i="38"/>
  <c r="CD173" i="38"/>
  <c r="CE173" i="38"/>
  <c r="CN173" i="38"/>
  <c r="CO173" i="38"/>
  <c r="CX173" i="38"/>
  <c r="CY173" i="38"/>
  <c r="DH173" i="38"/>
  <c r="DI173" i="38"/>
  <c r="DR173" i="38"/>
  <c r="DS173" i="38"/>
  <c r="EB173" i="38"/>
  <c r="EC173" i="38"/>
  <c r="EL173" i="38"/>
  <c r="EM173" i="38"/>
  <c r="AZ174" i="38"/>
  <c r="BA174" i="38"/>
  <c r="BJ174" i="38"/>
  <c r="BK174" i="38"/>
  <c r="BT174" i="38"/>
  <c r="BU174" i="38"/>
  <c r="CD174" i="38"/>
  <c r="CE174" i="38"/>
  <c r="CN174" i="38"/>
  <c r="CO174" i="38"/>
  <c r="CX174" i="38"/>
  <c r="CY174" i="38"/>
  <c r="DH174" i="38"/>
  <c r="DI174" i="38"/>
  <c r="DR174" i="38"/>
  <c r="DS174" i="38"/>
  <c r="EB174" i="38"/>
  <c r="EC174" i="38"/>
  <c r="EL174" i="38"/>
  <c r="EM174" i="38"/>
  <c r="AZ175" i="38"/>
  <c r="BA175" i="38"/>
  <c r="BJ175" i="38"/>
  <c r="BK175" i="38"/>
  <c r="BT175" i="38"/>
  <c r="BU175" i="38"/>
  <c r="CD175" i="38"/>
  <c r="CE175" i="38"/>
  <c r="CN175" i="38"/>
  <c r="CO175" i="38"/>
  <c r="CX175" i="38"/>
  <c r="CY175" i="38"/>
  <c r="DH175" i="38"/>
  <c r="DI175" i="38"/>
  <c r="DR175" i="38"/>
  <c r="DS175" i="38"/>
  <c r="EB175" i="38"/>
  <c r="EC175" i="38"/>
  <c r="EL175" i="38"/>
  <c r="EM175" i="38"/>
  <c r="AZ176" i="38"/>
  <c r="BA176" i="38"/>
  <c r="BJ176" i="38"/>
  <c r="BK176" i="38"/>
  <c r="BT176" i="38"/>
  <c r="BU176" i="38"/>
  <c r="CD176" i="38"/>
  <c r="CE176" i="38"/>
  <c r="CN176" i="38"/>
  <c r="CO176" i="38"/>
  <c r="CX176" i="38"/>
  <c r="CY176" i="38"/>
  <c r="DH176" i="38"/>
  <c r="DI176" i="38"/>
  <c r="DR176" i="38"/>
  <c r="DS176" i="38"/>
  <c r="EB176" i="38"/>
  <c r="EC176" i="38"/>
  <c r="EL176" i="38"/>
  <c r="EM176" i="38"/>
  <c r="AZ177" i="38"/>
  <c r="BA177" i="38"/>
  <c r="BJ177" i="38"/>
  <c r="BK177" i="38"/>
  <c r="BT177" i="38"/>
  <c r="BU177" i="38"/>
  <c r="CD177" i="38"/>
  <c r="CE177" i="38"/>
  <c r="CN177" i="38"/>
  <c r="CO177" i="38"/>
  <c r="CX177" i="38"/>
  <c r="CY177" i="38"/>
  <c r="DH177" i="38"/>
  <c r="DI177" i="38"/>
  <c r="DR177" i="38"/>
  <c r="DS177" i="38"/>
  <c r="EB177" i="38"/>
  <c r="EC177" i="38"/>
  <c r="EL177" i="38"/>
  <c r="EM177" i="38"/>
  <c r="AZ178" i="38"/>
  <c r="BA178" i="38"/>
  <c r="BJ178" i="38"/>
  <c r="BK178" i="38"/>
  <c r="BT178" i="38"/>
  <c r="BU178" i="38"/>
  <c r="CD178" i="38"/>
  <c r="CE178" i="38"/>
  <c r="CN178" i="38"/>
  <c r="CO178" i="38"/>
  <c r="CX178" i="38"/>
  <c r="CY178" i="38"/>
  <c r="DH178" i="38"/>
  <c r="DI178" i="38"/>
  <c r="DR178" i="38"/>
  <c r="DS178" i="38"/>
  <c r="EB178" i="38"/>
  <c r="EC178" i="38"/>
  <c r="EL178" i="38"/>
  <c r="EM178" i="38"/>
  <c r="AZ179" i="38"/>
  <c r="BA179" i="38"/>
  <c r="BJ179" i="38"/>
  <c r="BK179" i="38"/>
  <c r="BT179" i="38"/>
  <c r="BU179" i="38"/>
  <c r="CD179" i="38"/>
  <c r="CE179" i="38"/>
  <c r="CN179" i="38"/>
  <c r="CO179" i="38"/>
  <c r="CX179" i="38"/>
  <c r="CY179" i="38"/>
  <c r="DH179" i="38"/>
  <c r="DI179" i="38"/>
  <c r="DR179" i="38"/>
  <c r="DS179" i="38"/>
  <c r="EB179" i="38"/>
  <c r="EC179" i="38"/>
  <c r="EL179" i="38"/>
  <c r="EM179" i="38"/>
  <c r="AZ180" i="38"/>
  <c r="BA180" i="38"/>
  <c r="BJ180" i="38"/>
  <c r="BK180" i="38"/>
  <c r="BT180" i="38"/>
  <c r="BU180" i="38"/>
  <c r="CD180" i="38"/>
  <c r="CE180" i="38"/>
  <c r="CN180" i="38"/>
  <c r="CO180" i="38"/>
  <c r="CX180" i="38"/>
  <c r="CY180" i="38"/>
  <c r="DH180" i="38"/>
  <c r="DI180" i="38"/>
  <c r="DR180" i="38"/>
  <c r="DS180" i="38"/>
  <c r="EB180" i="38"/>
  <c r="EC180" i="38"/>
  <c r="EL180" i="38"/>
  <c r="EM180" i="38"/>
  <c r="AZ181" i="38"/>
  <c r="BA181" i="38"/>
  <c r="BJ181" i="38"/>
  <c r="BK181" i="38"/>
  <c r="BT181" i="38"/>
  <c r="BU181" i="38"/>
  <c r="CD181" i="38"/>
  <c r="CE181" i="38"/>
  <c r="CN181" i="38"/>
  <c r="CO181" i="38"/>
  <c r="CX181" i="38"/>
  <c r="CY181" i="38"/>
  <c r="DH181" i="38"/>
  <c r="DI181" i="38"/>
  <c r="DR181" i="38"/>
  <c r="DS181" i="38"/>
  <c r="EB181" i="38"/>
  <c r="EC181" i="38"/>
  <c r="EL181" i="38"/>
  <c r="EM181" i="38"/>
  <c r="AZ182" i="38"/>
  <c r="BA182" i="38"/>
  <c r="BJ182" i="38"/>
  <c r="BK182" i="38"/>
  <c r="BT182" i="38"/>
  <c r="BU182" i="38"/>
  <c r="CD182" i="38"/>
  <c r="CE182" i="38"/>
  <c r="CN182" i="38"/>
  <c r="CO182" i="38"/>
  <c r="CX182" i="38"/>
  <c r="CY182" i="38"/>
  <c r="DH182" i="38"/>
  <c r="DI182" i="38"/>
  <c r="DR182" i="38"/>
  <c r="DS182" i="38"/>
  <c r="EB182" i="38"/>
  <c r="EC182" i="38"/>
  <c r="EL182" i="38"/>
  <c r="EM182" i="38"/>
  <c r="AZ183" i="38"/>
  <c r="BA183" i="38"/>
  <c r="BJ183" i="38"/>
  <c r="BK183" i="38"/>
  <c r="BT183" i="38"/>
  <c r="BU183" i="38"/>
  <c r="CD183" i="38"/>
  <c r="CE183" i="38"/>
  <c r="CN183" i="38"/>
  <c r="CO183" i="38"/>
  <c r="CX183" i="38"/>
  <c r="CY183" i="38"/>
  <c r="DH183" i="38"/>
  <c r="DI183" i="38"/>
  <c r="DR183" i="38"/>
  <c r="DS183" i="38"/>
  <c r="EB183" i="38"/>
  <c r="EC183" i="38"/>
  <c r="EL183" i="38"/>
  <c r="EM183" i="38"/>
  <c r="AZ184" i="38"/>
  <c r="BA184" i="38"/>
  <c r="BJ184" i="38"/>
  <c r="BK184" i="38"/>
  <c r="BT184" i="38"/>
  <c r="BU184" i="38"/>
  <c r="CD184" i="38"/>
  <c r="CE184" i="38"/>
  <c r="CN184" i="38"/>
  <c r="CO184" i="38"/>
  <c r="CX184" i="38"/>
  <c r="CY184" i="38"/>
  <c r="DH184" i="38"/>
  <c r="DI184" i="38"/>
  <c r="DR184" i="38"/>
  <c r="DS184" i="38"/>
  <c r="EB184" i="38"/>
  <c r="EC184" i="38"/>
  <c r="EL184" i="38"/>
  <c r="EM184" i="38"/>
  <c r="AZ185" i="38"/>
  <c r="BA185" i="38"/>
  <c r="BJ185" i="38"/>
  <c r="BK185" i="38"/>
  <c r="BT185" i="38"/>
  <c r="BU185" i="38"/>
  <c r="CD185" i="38"/>
  <c r="CE185" i="38"/>
  <c r="CN185" i="38"/>
  <c r="CO185" i="38"/>
  <c r="CX185" i="38"/>
  <c r="CY185" i="38"/>
  <c r="DH185" i="38"/>
  <c r="DI185" i="38"/>
  <c r="DR185" i="38"/>
  <c r="DS185" i="38"/>
  <c r="EB185" i="38"/>
  <c r="EC185" i="38"/>
  <c r="EL185" i="38"/>
  <c r="EM185" i="38"/>
  <c r="AZ186" i="38"/>
  <c r="BA186" i="38"/>
  <c r="BJ186" i="38"/>
  <c r="BK186" i="38"/>
  <c r="BT186" i="38"/>
  <c r="BU186" i="38"/>
  <c r="CD186" i="38"/>
  <c r="CE186" i="38"/>
  <c r="CN186" i="38"/>
  <c r="CO186" i="38"/>
  <c r="CX186" i="38"/>
  <c r="CY186" i="38"/>
  <c r="DH186" i="38"/>
  <c r="DI186" i="38"/>
  <c r="DR186" i="38"/>
  <c r="DS186" i="38"/>
  <c r="EB186" i="38"/>
  <c r="EC186" i="38"/>
  <c r="EL186" i="38"/>
  <c r="EM186" i="38"/>
  <c r="AZ187" i="38"/>
  <c r="BA187" i="38"/>
  <c r="BJ187" i="38"/>
  <c r="BK187" i="38"/>
  <c r="BT187" i="38"/>
  <c r="BU187" i="38"/>
  <c r="CD187" i="38"/>
  <c r="CE187" i="38"/>
  <c r="CN187" i="38"/>
  <c r="CO187" i="38"/>
  <c r="CX187" i="38"/>
  <c r="CY187" i="38"/>
  <c r="DH187" i="38"/>
  <c r="DI187" i="38"/>
  <c r="DR187" i="38"/>
  <c r="DS187" i="38"/>
  <c r="EB187" i="38"/>
  <c r="EC187" i="38"/>
  <c r="EL187" i="38"/>
  <c r="EM187" i="38"/>
  <c r="AZ188" i="38"/>
  <c r="BA188" i="38"/>
  <c r="BJ188" i="38"/>
  <c r="BK188" i="38"/>
  <c r="BT188" i="38"/>
  <c r="BU188" i="38"/>
  <c r="CD188" i="38"/>
  <c r="CE188" i="38"/>
  <c r="CN188" i="38"/>
  <c r="CO188" i="38"/>
  <c r="CX188" i="38"/>
  <c r="CY188" i="38"/>
  <c r="DH188" i="38"/>
  <c r="DI188" i="38"/>
  <c r="DR188" i="38"/>
  <c r="DS188" i="38"/>
  <c r="EB188" i="38"/>
  <c r="EC188" i="38"/>
  <c r="EL188" i="38"/>
  <c r="EM188" i="38"/>
  <c r="AZ189" i="38"/>
  <c r="BA189" i="38"/>
  <c r="BJ189" i="38"/>
  <c r="BK189" i="38"/>
  <c r="BT189" i="38"/>
  <c r="BU189" i="38"/>
  <c r="CD189" i="38"/>
  <c r="CE189" i="38"/>
  <c r="CN189" i="38"/>
  <c r="CO189" i="38"/>
  <c r="CX189" i="38"/>
  <c r="CY189" i="38"/>
  <c r="DH189" i="38"/>
  <c r="DI189" i="38"/>
  <c r="DR189" i="38"/>
  <c r="DS189" i="38"/>
  <c r="EB189" i="38"/>
  <c r="EC189" i="38"/>
  <c r="EL189" i="38"/>
  <c r="EM189" i="38"/>
  <c r="AZ190" i="38"/>
  <c r="BA190" i="38"/>
  <c r="BJ190" i="38"/>
  <c r="BK190" i="38"/>
  <c r="BT190" i="38"/>
  <c r="BU190" i="38"/>
  <c r="CD190" i="38"/>
  <c r="CE190" i="38"/>
  <c r="CN190" i="38"/>
  <c r="CO190" i="38"/>
  <c r="CX190" i="38"/>
  <c r="CY190" i="38"/>
  <c r="DH190" i="38"/>
  <c r="DI190" i="38"/>
  <c r="DR190" i="38"/>
  <c r="DS190" i="38"/>
  <c r="EB190" i="38"/>
  <c r="EC190" i="38"/>
  <c r="EL190" i="38"/>
  <c r="EM190" i="38"/>
  <c r="AZ191" i="38"/>
  <c r="BA191" i="38"/>
  <c r="BJ191" i="38"/>
  <c r="BK191" i="38"/>
  <c r="BT191" i="38"/>
  <c r="BU191" i="38"/>
  <c r="CD191" i="38"/>
  <c r="CE191" i="38"/>
  <c r="CN191" i="38"/>
  <c r="CO191" i="38"/>
  <c r="CX191" i="38"/>
  <c r="CY191" i="38"/>
  <c r="DH191" i="38"/>
  <c r="DI191" i="38"/>
  <c r="DR191" i="38"/>
  <c r="DS191" i="38"/>
  <c r="EB191" i="38"/>
  <c r="EC191" i="38"/>
  <c r="EL191" i="38"/>
  <c r="EM191" i="38"/>
  <c r="AZ192" i="38"/>
  <c r="BA192" i="38"/>
  <c r="BJ192" i="38"/>
  <c r="BK192" i="38"/>
  <c r="BT192" i="38"/>
  <c r="BU192" i="38"/>
  <c r="CD192" i="38"/>
  <c r="CE192" i="38"/>
  <c r="CN192" i="38"/>
  <c r="CO192" i="38"/>
  <c r="CX192" i="38"/>
  <c r="CY192" i="38"/>
  <c r="DH192" i="38"/>
  <c r="DI192" i="38"/>
  <c r="DR192" i="38"/>
  <c r="DS192" i="38"/>
  <c r="EB192" i="38"/>
  <c r="EC192" i="38"/>
  <c r="EL192" i="38"/>
  <c r="EM192" i="38"/>
  <c r="AZ193" i="38"/>
  <c r="BA193" i="38"/>
  <c r="BJ193" i="38"/>
  <c r="BK193" i="38"/>
  <c r="BT193" i="38"/>
  <c r="BU193" i="38"/>
  <c r="CD193" i="38"/>
  <c r="CE193" i="38"/>
  <c r="CN193" i="38"/>
  <c r="CO193" i="38"/>
  <c r="CX193" i="38"/>
  <c r="CY193" i="38"/>
  <c r="DH193" i="38"/>
  <c r="DI193" i="38"/>
  <c r="DR193" i="38"/>
  <c r="DS193" i="38"/>
  <c r="EB193" i="38"/>
  <c r="EC193" i="38"/>
  <c r="EL193" i="38"/>
  <c r="EM193" i="38"/>
  <c r="AZ194" i="38"/>
  <c r="BA194" i="38"/>
  <c r="BJ194" i="38"/>
  <c r="BK194" i="38"/>
  <c r="BT194" i="38"/>
  <c r="BU194" i="38"/>
  <c r="CD194" i="38"/>
  <c r="CE194" i="38"/>
  <c r="CN194" i="38"/>
  <c r="CO194" i="38"/>
  <c r="CX194" i="38"/>
  <c r="CY194" i="38"/>
  <c r="DH194" i="38"/>
  <c r="DI194" i="38"/>
  <c r="DR194" i="38"/>
  <c r="DS194" i="38"/>
  <c r="EB194" i="38"/>
  <c r="EC194" i="38"/>
  <c r="EL194" i="38"/>
  <c r="EM194" i="38"/>
  <c r="AZ195" i="38"/>
  <c r="BA195" i="38"/>
  <c r="BJ195" i="38"/>
  <c r="BK195" i="38"/>
  <c r="BT195" i="38"/>
  <c r="BU195" i="38"/>
  <c r="CD195" i="38"/>
  <c r="CE195" i="38"/>
  <c r="CN195" i="38"/>
  <c r="CO195" i="38"/>
  <c r="CX195" i="38"/>
  <c r="CY195" i="38"/>
  <c r="DH195" i="38"/>
  <c r="DI195" i="38"/>
  <c r="DR195" i="38"/>
  <c r="DS195" i="38"/>
  <c r="EB195" i="38"/>
  <c r="EC195" i="38"/>
  <c r="EL195" i="38"/>
  <c r="EM195" i="38"/>
  <c r="AZ196" i="38"/>
  <c r="BA196" i="38"/>
  <c r="BJ196" i="38"/>
  <c r="BK196" i="38"/>
  <c r="BT196" i="38"/>
  <c r="BU196" i="38"/>
  <c r="CD196" i="38"/>
  <c r="CE196" i="38"/>
  <c r="CN196" i="38"/>
  <c r="CO196" i="38"/>
  <c r="CX196" i="38"/>
  <c r="CY196" i="38"/>
  <c r="DH196" i="38"/>
  <c r="DI196" i="38"/>
  <c r="DR196" i="38"/>
  <c r="DS196" i="38"/>
  <c r="EB196" i="38"/>
  <c r="EC196" i="38"/>
  <c r="EL196" i="38"/>
  <c r="EM196" i="38"/>
  <c r="AZ197" i="38"/>
  <c r="BA197" i="38"/>
  <c r="BJ197" i="38"/>
  <c r="BK197" i="38"/>
  <c r="BT197" i="38"/>
  <c r="BU197" i="38"/>
  <c r="CD197" i="38"/>
  <c r="CE197" i="38"/>
  <c r="CN197" i="38"/>
  <c r="CO197" i="38"/>
  <c r="CX197" i="38"/>
  <c r="CY197" i="38"/>
  <c r="DH197" i="38"/>
  <c r="DI197" i="38"/>
  <c r="DR197" i="38"/>
  <c r="DS197" i="38"/>
  <c r="EB197" i="38"/>
  <c r="EC197" i="38"/>
  <c r="EL197" i="38"/>
  <c r="EM197" i="38"/>
  <c r="AZ198" i="38"/>
  <c r="BA198" i="38"/>
  <c r="BJ198" i="38"/>
  <c r="BK198" i="38"/>
  <c r="BT198" i="38"/>
  <c r="BU198" i="38"/>
  <c r="CD198" i="38"/>
  <c r="CE198" i="38"/>
  <c r="CN198" i="38"/>
  <c r="CO198" i="38"/>
  <c r="CX198" i="38"/>
  <c r="CY198" i="38"/>
  <c r="DH198" i="38"/>
  <c r="DI198" i="38"/>
  <c r="DR198" i="38"/>
  <c r="DS198" i="38"/>
  <c r="EB198" i="38"/>
  <c r="EC198" i="38"/>
  <c r="EL198" i="38"/>
  <c r="EM198" i="38"/>
  <c r="AZ199" i="38"/>
  <c r="BA199" i="38"/>
  <c r="BJ199" i="38"/>
  <c r="BK199" i="38"/>
  <c r="BT199" i="38"/>
  <c r="BU199" i="38"/>
  <c r="CD199" i="38"/>
  <c r="CE199" i="38"/>
  <c r="CN199" i="38"/>
  <c r="CO199" i="38"/>
  <c r="CX199" i="38"/>
  <c r="CY199" i="38"/>
  <c r="DH199" i="38"/>
  <c r="DI199" i="38"/>
  <c r="DR199" i="38"/>
  <c r="DS199" i="38"/>
  <c r="EB199" i="38"/>
  <c r="EC199" i="38"/>
  <c r="EL199" i="38"/>
  <c r="EM199" i="38"/>
  <c r="AZ200" i="38"/>
  <c r="BA200" i="38"/>
  <c r="BJ200" i="38"/>
  <c r="BK200" i="38"/>
  <c r="BT200" i="38"/>
  <c r="BU200" i="38"/>
  <c r="CD200" i="38"/>
  <c r="CE200" i="38"/>
  <c r="CN200" i="38"/>
  <c r="CO200" i="38"/>
  <c r="CX200" i="38"/>
  <c r="CY200" i="38"/>
  <c r="DH200" i="38"/>
  <c r="DI200" i="38"/>
  <c r="DR200" i="38"/>
  <c r="DS200" i="38"/>
  <c r="EB200" i="38"/>
  <c r="EC200" i="38"/>
  <c r="EL200" i="38"/>
  <c r="EM200" i="38"/>
  <c r="AZ201" i="38"/>
  <c r="BA201" i="38"/>
  <c r="BJ201" i="38"/>
  <c r="BK201" i="38"/>
  <c r="BT201" i="38"/>
  <c r="BU201" i="38"/>
  <c r="CD201" i="38"/>
  <c r="CE201" i="38"/>
  <c r="CN201" i="38"/>
  <c r="CO201" i="38"/>
  <c r="CX201" i="38"/>
  <c r="CY201" i="38"/>
  <c r="DH201" i="38"/>
  <c r="DI201" i="38"/>
  <c r="DR201" i="38"/>
  <c r="DS201" i="38"/>
  <c r="EB201" i="38"/>
  <c r="EC201" i="38"/>
  <c r="EL201" i="38"/>
  <c r="EM201" i="38"/>
  <c r="AZ202" i="38"/>
  <c r="BA202" i="38"/>
  <c r="BJ202" i="38"/>
  <c r="BK202" i="38"/>
  <c r="BT202" i="38"/>
  <c r="BU202" i="38"/>
  <c r="CD202" i="38"/>
  <c r="CE202" i="38"/>
  <c r="CN202" i="38"/>
  <c r="CO202" i="38"/>
  <c r="CX202" i="38"/>
  <c r="CY202" i="38"/>
  <c r="DH202" i="38"/>
  <c r="DI202" i="38"/>
  <c r="DR202" i="38"/>
  <c r="DS202" i="38"/>
  <c r="EB202" i="38"/>
  <c r="EC202" i="38"/>
  <c r="EL202" i="38"/>
  <c r="EM202" i="38"/>
  <c r="AZ203" i="38"/>
  <c r="BA203" i="38"/>
  <c r="BJ203" i="38"/>
  <c r="BK203" i="38"/>
  <c r="BT203" i="38"/>
  <c r="BU203" i="38"/>
  <c r="CD203" i="38"/>
  <c r="CE203" i="38"/>
  <c r="CN203" i="38"/>
  <c r="CO203" i="38"/>
  <c r="CX203" i="38"/>
  <c r="CY203" i="38"/>
  <c r="DH203" i="38"/>
  <c r="DI203" i="38"/>
  <c r="DR203" i="38"/>
  <c r="DS203" i="38"/>
  <c r="EB203" i="38"/>
  <c r="EC203" i="38"/>
  <c r="EL203" i="38"/>
  <c r="EM203" i="38"/>
  <c r="AZ204" i="38"/>
  <c r="BA204" i="38"/>
  <c r="BJ204" i="38"/>
  <c r="BK204" i="38"/>
  <c r="BT204" i="38"/>
  <c r="BU204" i="38"/>
  <c r="CD204" i="38"/>
  <c r="CE204" i="38"/>
  <c r="CN204" i="38"/>
  <c r="CO204" i="38"/>
  <c r="CX204" i="38"/>
  <c r="CY204" i="38"/>
  <c r="DH204" i="38"/>
  <c r="DI204" i="38"/>
  <c r="DR204" i="38"/>
  <c r="DS204" i="38"/>
  <c r="EB204" i="38"/>
  <c r="EC204" i="38"/>
  <c r="EL204" i="38"/>
  <c r="EM204" i="38"/>
  <c r="AZ205" i="38"/>
  <c r="BA205" i="38"/>
  <c r="BJ205" i="38"/>
  <c r="BK205" i="38"/>
  <c r="BT205" i="38"/>
  <c r="BU205" i="38"/>
  <c r="CD205" i="38"/>
  <c r="CE205" i="38"/>
  <c r="CN205" i="38"/>
  <c r="CO205" i="38"/>
  <c r="CX205" i="38"/>
  <c r="CY205" i="38"/>
  <c r="DH205" i="38"/>
  <c r="DI205" i="38"/>
  <c r="DR205" i="38"/>
  <c r="DS205" i="38"/>
  <c r="EB205" i="38"/>
  <c r="EC205" i="38"/>
  <c r="EL205" i="38"/>
  <c r="EM205" i="38"/>
  <c r="AZ206" i="38"/>
  <c r="BA206" i="38"/>
  <c r="BJ206" i="38"/>
  <c r="BK206" i="38"/>
  <c r="BT206" i="38"/>
  <c r="BU206" i="38"/>
  <c r="CD206" i="38"/>
  <c r="CE206" i="38"/>
  <c r="CN206" i="38"/>
  <c r="CO206" i="38"/>
  <c r="CX206" i="38"/>
  <c r="CY206" i="38"/>
  <c r="DH206" i="38"/>
  <c r="DI206" i="38"/>
  <c r="DR206" i="38"/>
  <c r="DS206" i="38"/>
  <c r="EB206" i="38"/>
  <c r="EC206" i="38"/>
  <c r="EL206" i="38"/>
  <c r="EM206" i="38"/>
  <c r="AZ207" i="38"/>
  <c r="BA207" i="38"/>
  <c r="BJ207" i="38"/>
  <c r="BK207" i="38"/>
  <c r="BT207" i="38"/>
  <c r="BU207" i="38"/>
  <c r="CD207" i="38"/>
  <c r="CE207" i="38"/>
  <c r="CN207" i="38"/>
  <c r="CO207" i="38"/>
  <c r="CX207" i="38"/>
  <c r="CY207" i="38"/>
  <c r="DH207" i="38"/>
  <c r="DI207" i="38"/>
  <c r="DR207" i="38"/>
  <c r="DS207" i="38"/>
  <c r="EB207" i="38"/>
  <c r="EC207" i="38"/>
  <c r="EL207" i="38"/>
  <c r="EM207" i="38"/>
  <c r="AZ208" i="38"/>
  <c r="BA208" i="38"/>
  <c r="BJ208" i="38"/>
  <c r="BK208" i="38"/>
  <c r="BT208" i="38"/>
  <c r="BU208" i="38"/>
  <c r="CD208" i="38"/>
  <c r="CE208" i="38"/>
  <c r="CN208" i="38"/>
  <c r="CO208" i="38"/>
  <c r="CX208" i="38"/>
  <c r="CY208" i="38"/>
  <c r="DH208" i="38"/>
  <c r="DI208" i="38"/>
  <c r="DR208" i="38"/>
  <c r="DS208" i="38"/>
  <c r="EB208" i="38"/>
  <c r="EC208" i="38"/>
  <c r="EL208" i="38"/>
  <c r="EM208" i="38"/>
  <c r="AZ209" i="38"/>
  <c r="BA209" i="38"/>
  <c r="BJ209" i="38"/>
  <c r="BK209" i="38"/>
  <c r="BT209" i="38"/>
  <c r="BU209" i="38"/>
  <c r="CD209" i="38"/>
  <c r="CE209" i="38"/>
  <c r="CN209" i="38"/>
  <c r="CO209" i="38"/>
  <c r="CX209" i="38"/>
  <c r="CY209" i="38"/>
  <c r="DH209" i="38"/>
  <c r="DI209" i="38"/>
  <c r="DR209" i="38"/>
  <c r="DS209" i="38"/>
  <c r="EB209" i="38"/>
  <c r="EC209" i="38"/>
  <c r="EL209" i="38"/>
  <c r="EM209" i="38"/>
  <c r="AZ210" i="38"/>
  <c r="BA210" i="38"/>
  <c r="BJ210" i="38"/>
  <c r="BK210" i="38"/>
  <c r="BT210" i="38"/>
  <c r="BU210" i="38"/>
  <c r="CD210" i="38"/>
  <c r="CE210" i="38"/>
  <c r="CN210" i="38"/>
  <c r="CO210" i="38"/>
  <c r="CX210" i="38"/>
  <c r="CY210" i="38"/>
  <c r="DH210" i="38"/>
  <c r="DI210" i="38"/>
  <c r="DR210" i="38"/>
  <c r="DS210" i="38"/>
  <c r="EB210" i="38"/>
  <c r="EC210" i="38"/>
  <c r="EL210" i="38"/>
  <c r="EM210" i="38"/>
  <c r="AZ211" i="38"/>
  <c r="BA211" i="38"/>
  <c r="BJ211" i="38"/>
  <c r="BK211" i="38"/>
  <c r="BT211" i="38"/>
  <c r="BU211" i="38"/>
  <c r="CD211" i="38"/>
  <c r="CE211" i="38"/>
  <c r="CN211" i="38"/>
  <c r="CO211" i="38"/>
  <c r="CX211" i="38"/>
  <c r="CY211" i="38"/>
  <c r="DH211" i="38"/>
  <c r="DI211" i="38"/>
  <c r="DR211" i="38"/>
  <c r="DS211" i="38"/>
  <c r="EB211" i="38"/>
  <c r="EC211" i="38"/>
  <c r="EL211" i="38"/>
  <c r="EM211" i="38"/>
  <c r="AZ212" i="38"/>
  <c r="BA212" i="38"/>
  <c r="BJ212" i="38"/>
  <c r="BK212" i="38"/>
  <c r="BT212" i="38"/>
  <c r="BU212" i="38"/>
  <c r="CD212" i="38"/>
  <c r="CE212" i="38"/>
  <c r="CN212" i="38"/>
  <c r="CO212" i="38"/>
  <c r="CX212" i="38"/>
  <c r="CY212" i="38"/>
  <c r="DH212" i="38"/>
  <c r="DI212" i="38"/>
  <c r="DR212" i="38"/>
  <c r="DS212" i="38"/>
  <c r="EB212" i="38"/>
  <c r="EC212" i="38"/>
  <c r="EL212" i="38"/>
  <c r="EM212" i="38"/>
  <c r="AZ213" i="38"/>
  <c r="BA213" i="38"/>
  <c r="BJ213" i="38"/>
  <c r="BK213" i="38"/>
  <c r="BT213" i="38"/>
  <c r="BU213" i="38"/>
  <c r="CD213" i="38"/>
  <c r="CE213" i="38"/>
  <c r="CN213" i="38"/>
  <c r="CO213" i="38"/>
  <c r="CX213" i="38"/>
  <c r="CY213" i="38"/>
  <c r="DH213" i="38"/>
  <c r="DI213" i="38"/>
  <c r="DR213" i="38"/>
  <c r="DS213" i="38"/>
  <c r="EB213" i="38"/>
  <c r="EC213" i="38"/>
  <c r="EL213" i="38"/>
  <c r="EM213" i="38"/>
  <c r="AZ214" i="38"/>
  <c r="BA214" i="38"/>
  <c r="BJ214" i="38"/>
  <c r="BK214" i="38"/>
  <c r="BT214" i="38"/>
  <c r="BU214" i="38"/>
  <c r="CD214" i="38"/>
  <c r="CE214" i="38"/>
  <c r="CN214" i="38"/>
  <c r="CO214" i="38"/>
  <c r="CX214" i="38"/>
  <c r="CY214" i="38"/>
  <c r="DH214" i="38"/>
  <c r="DI214" i="38"/>
  <c r="DR214" i="38"/>
  <c r="DS214" i="38"/>
  <c r="EB214" i="38"/>
  <c r="EC214" i="38"/>
  <c r="EL214" i="38"/>
  <c r="EM214" i="38"/>
  <c r="AZ215" i="38"/>
  <c r="BA215" i="38"/>
  <c r="BJ215" i="38"/>
  <c r="BK215" i="38"/>
  <c r="BT215" i="38"/>
  <c r="BU215" i="38"/>
  <c r="CD215" i="38"/>
  <c r="CE215" i="38"/>
  <c r="CN215" i="38"/>
  <c r="CO215" i="38"/>
  <c r="CX215" i="38"/>
  <c r="CY215" i="38"/>
  <c r="DH215" i="38"/>
  <c r="DI215" i="38"/>
  <c r="DR215" i="38"/>
  <c r="DS215" i="38"/>
  <c r="EB215" i="38"/>
  <c r="EC215" i="38"/>
  <c r="EL215" i="38"/>
  <c r="EM215" i="38"/>
  <c r="AZ216" i="38"/>
  <c r="BA216" i="38"/>
  <c r="BJ216" i="38"/>
  <c r="BK216" i="38"/>
  <c r="BT216" i="38"/>
  <c r="BU216" i="38"/>
  <c r="CD216" i="38"/>
  <c r="CE216" i="38"/>
  <c r="CN216" i="38"/>
  <c r="CO216" i="38"/>
  <c r="CX216" i="38"/>
  <c r="CY216" i="38"/>
  <c r="DH216" i="38"/>
  <c r="DI216" i="38"/>
  <c r="DR216" i="38"/>
  <c r="DS216" i="38"/>
  <c r="EB216" i="38"/>
  <c r="EC216" i="38"/>
  <c r="EL216" i="38"/>
  <c r="EM216" i="38"/>
  <c r="AZ217" i="38"/>
  <c r="BA217" i="38"/>
  <c r="BJ217" i="38"/>
  <c r="BK217" i="38"/>
  <c r="BT217" i="38"/>
  <c r="BU217" i="38"/>
  <c r="CD217" i="38"/>
  <c r="CE217" i="38"/>
  <c r="CN217" i="38"/>
  <c r="CO217" i="38"/>
  <c r="CX217" i="38"/>
  <c r="CY217" i="38"/>
  <c r="DH217" i="38"/>
  <c r="DI217" i="38"/>
  <c r="DR217" i="38"/>
  <c r="DS217" i="38"/>
  <c r="EB217" i="38"/>
  <c r="EC217" i="38"/>
  <c r="EL217" i="38"/>
  <c r="EM217" i="38"/>
  <c r="AZ218" i="38"/>
  <c r="BA218" i="38"/>
  <c r="BJ218" i="38"/>
  <c r="BK218" i="38"/>
  <c r="BT218" i="38"/>
  <c r="BU218" i="38"/>
  <c r="CD218" i="38"/>
  <c r="CE218" i="38"/>
  <c r="CN218" i="38"/>
  <c r="CO218" i="38"/>
  <c r="CX218" i="38"/>
  <c r="CY218" i="38"/>
  <c r="DH218" i="38"/>
  <c r="DI218" i="38"/>
  <c r="DR218" i="38"/>
  <c r="DS218" i="38"/>
  <c r="EB218" i="38"/>
  <c r="EC218" i="38"/>
  <c r="EL218" i="38"/>
  <c r="EM218" i="38"/>
  <c r="AZ219" i="38"/>
  <c r="BA219" i="38"/>
  <c r="BJ219" i="38"/>
  <c r="BK219" i="38"/>
  <c r="BT219" i="38"/>
  <c r="BU219" i="38"/>
  <c r="CD219" i="38"/>
  <c r="CE219" i="38"/>
  <c r="CN219" i="38"/>
  <c r="CO219" i="38"/>
  <c r="CX219" i="38"/>
  <c r="CY219" i="38"/>
  <c r="DH219" i="38"/>
  <c r="DI219" i="38"/>
  <c r="DR219" i="38"/>
  <c r="DS219" i="38"/>
  <c r="EB219" i="38"/>
  <c r="EC219" i="38"/>
  <c r="EL219" i="38"/>
  <c r="EM219" i="38"/>
  <c r="AZ220" i="38"/>
  <c r="BA220" i="38"/>
  <c r="BJ220" i="38"/>
  <c r="BK220" i="38"/>
  <c r="BT220" i="38"/>
  <c r="BU220" i="38"/>
  <c r="CD220" i="38"/>
  <c r="CE220" i="38"/>
  <c r="CN220" i="38"/>
  <c r="CO220" i="38"/>
  <c r="CX220" i="38"/>
  <c r="CY220" i="38"/>
  <c r="DH220" i="38"/>
  <c r="DI220" i="38"/>
  <c r="DR220" i="38"/>
  <c r="DS220" i="38"/>
  <c r="EB220" i="38"/>
  <c r="EC220" i="38"/>
  <c r="EL220" i="38"/>
  <c r="EM220" i="38"/>
  <c r="AZ221" i="38"/>
  <c r="BA221" i="38"/>
  <c r="BJ221" i="38"/>
  <c r="BK221" i="38"/>
  <c r="BT221" i="38"/>
  <c r="BU221" i="38"/>
  <c r="CD221" i="38"/>
  <c r="CE221" i="38"/>
  <c r="CN221" i="38"/>
  <c r="CO221" i="38"/>
  <c r="CX221" i="38"/>
  <c r="CY221" i="38"/>
  <c r="DH221" i="38"/>
  <c r="DI221" i="38"/>
  <c r="DR221" i="38"/>
  <c r="DS221" i="38"/>
  <c r="EB221" i="38"/>
  <c r="EC221" i="38"/>
  <c r="EL221" i="38"/>
  <c r="EM221" i="38"/>
  <c r="AZ222" i="38"/>
  <c r="BA222" i="38"/>
  <c r="BJ222" i="38"/>
  <c r="BK222" i="38"/>
  <c r="BT222" i="38"/>
  <c r="BU222" i="38"/>
  <c r="CD222" i="38"/>
  <c r="CE222" i="38"/>
  <c r="CN222" i="38"/>
  <c r="CO222" i="38"/>
  <c r="CX222" i="38"/>
  <c r="CY222" i="38"/>
  <c r="DH222" i="38"/>
  <c r="DI222" i="38"/>
  <c r="DR222" i="38"/>
  <c r="DS222" i="38"/>
  <c r="EB222" i="38"/>
  <c r="EC222" i="38"/>
  <c r="EL222" i="38"/>
  <c r="EM222" i="38"/>
  <c r="AZ223" i="38"/>
  <c r="BA223" i="38"/>
  <c r="BJ223" i="38"/>
  <c r="BK223" i="38"/>
  <c r="BT223" i="38"/>
  <c r="BU223" i="38"/>
  <c r="CD223" i="38"/>
  <c r="CE223" i="38"/>
  <c r="CN223" i="38"/>
  <c r="CO223" i="38"/>
  <c r="CX223" i="38"/>
  <c r="CY223" i="38"/>
  <c r="DH223" i="38"/>
  <c r="DI223" i="38"/>
  <c r="DR223" i="38"/>
  <c r="DS223" i="38"/>
  <c r="EB223" i="38"/>
  <c r="EC223" i="38"/>
  <c r="EL223" i="38"/>
  <c r="EM223" i="38"/>
  <c r="AZ224" i="38"/>
  <c r="BA224" i="38"/>
  <c r="BJ224" i="38"/>
  <c r="BK224" i="38"/>
  <c r="BT224" i="38"/>
  <c r="BU224" i="38"/>
  <c r="CD224" i="38"/>
  <c r="CE224" i="38"/>
  <c r="CN224" i="38"/>
  <c r="CO224" i="38"/>
  <c r="CX224" i="38"/>
  <c r="CY224" i="38"/>
  <c r="DH224" i="38"/>
  <c r="DI224" i="38"/>
  <c r="DR224" i="38"/>
  <c r="DS224" i="38"/>
  <c r="EB224" i="38"/>
  <c r="EC224" i="38"/>
  <c r="EL224" i="38"/>
  <c r="EM224" i="38"/>
  <c r="AZ225" i="38"/>
  <c r="BA225" i="38"/>
  <c r="BJ225" i="38"/>
  <c r="BK225" i="38"/>
  <c r="BT225" i="38"/>
  <c r="BU225" i="38"/>
  <c r="CD225" i="38"/>
  <c r="CE225" i="38"/>
  <c r="CN225" i="38"/>
  <c r="CO225" i="38"/>
  <c r="CX225" i="38"/>
  <c r="CY225" i="38"/>
  <c r="DH225" i="38"/>
  <c r="DI225" i="38"/>
  <c r="DR225" i="38"/>
  <c r="DS225" i="38"/>
  <c r="EB225" i="38"/>
  <c r="EC225" i="38"/>
  <c r="EL225" i="38"/>
  <c r="EM225" i="38"/>
  <c r="AZ226" i="38"/>
  <c r="BA226" i="38"/>
  <c r="BJ226" i="38"/>
  <c r="BK226" i="38"/>
  <c r="BT226" i="38"/>
  <c r="BU226" i="38"/>
  <c r="CD226" i="38"/>
  <c r="CE226" i="38"/>
  <c r="CN226" i="38"/>
  <c r="CO226" i="38"/>
  <c r="CX226" i="38"/>
  <c r="CY226" i="38"/>
  <c r="DH226" i="38"/>
  <c r="DI226" i="38"/>
  <c r="DR226" i="38"/>
  <c r="DS226" i="38"/>
  <c r="EB226" i="38"/>
  <c r="EC226" i="38"/>
  <c r="EL226" i="38"/>
  <c r="EM226" i="38"/>
  <c r="AZ227" i="38"/>
  <c r="BA227" i="38"/>
  <c r="BJ227" i="38"/>
  <c r="BK227" i="38"/>
  <c r="BT227" i="38"/>
  <c r="BU227" i="38"/>
  <c r="CD227" i="38"/>
  <c r="CE227" i="38"/>
  <c r="CN227" i="38"/>
  <c r="CO227" i="38"/>
  <c r="CX227" i="38"/>
  <c r="CY227" i="38"/>
  <c r="DH227" i="38"/>
  <c r="DI227" i="38"/>
  <c r="DR227" i="38"/>
  <c r="DS227" i="38"/>
  <c r="EB227" i="38"/>
  <c r="EC227" i="38"/>
  <c r="EL227" i="38"/>
  <c r="EM227" i="38"/>
  <c r="AZ228" i="38"/>
  <c r="BA228" i="38"/>
  <c r="BJ228" i="38"/>
  <c r="BK228" i="38"/>
  <c r="BT228" i="38"/>
  <c r="BU228" i="38"/>
  <c r="CD228" i="38"/>
  <c r="CE228" i="38"/>
  <c r="CN228" i="38"/>
  <c r="CO228" i="38"/>
  <c r="CX228" i="38"/>
  <c r="CY228" i="38"/>
  <c r="DH228" i="38"/>
  <c r="DI228" i="38"/>
  <c r="DR228" i="38"/>
  <c r="DS228" i="38"/>
  <c r="EB228" i="38"/>
  <c r="EC228" i="38"/>
  <c r="EL228" i="38"/>
  <c r="EM228" i="38"/>
  <c r="AZ229" i="38"/>
  <c r="BA229" i="38"/>
  <c r="BJ229" i="38"/>
  <c r="BK229" i="38"/>
  <c r="BT229" i="38"/>
  <c r="BU229" i="38"/>
  <c r="CD229" i="38"/>
  <c r="CE229" i="38"/>
  <c r="CN229" i="38"/>
  <c r="CO229" i="38"/>
  <c r="CX229" i="38"/>
  <c r="CY229" i="38"/>
  <c r="DH229" i="38"/>
  <c r="DI229" i="38"/>
  <c r="DR229" i="38"/>
  <c r="DS229" i="38"/>
  <c r="EB229" i="38"/>
  <c r="EC229" i="38"/>
  <c r="EL229" i="38"/>
  <c r="EM229" i="38"/>
  <c r="AZ230" i="38"/>
  <c r="BA230" i="38"/>
  <c r="BJ230" i="38"/>
  <c r="BK230" i="38"/>
  <c r="BT230" i="38"/>
  <c r="BU230" i="38"/>
  <c r="CD230" i="38"/>
  <c r="CE230" i="38"/>
  <c r="CN230" i="38"/>
  <c r="CO230" i="38"/>
  <c r="CX230" i="38"/>
  <c r="CY230" i="38"/>
  <c r="DH230" i="38"/>
  <c r="DI230" i="38"/>
  <c r="DR230" i="38"/>
  <c r="DS230" i="38"/>
  <c r="EB230" i="38"/>
  <c r="EC230" i="38"/>
  <c r="EL230" i="38"/>
  <c r="EM230" i="38"/>
  <c r="AZ231" i="38"/>
  <c r="BA231" i="38"/>
  <c r="BJ231" i="38"/>
  <c r="BK231" i="38"/>
  <c r="BT231" i="38"/>
  <c r="BU231" i="38"/>
  <c r="CD231" i="38"/>
  <c r="CE231" i="38"/>
  <c r="CN231" i="38"/>
  <c r="CO231" i="38"/>
  <c r="CX231" i="38"/>
  <c r="CY231" i="38"/>
  <c r="DH231" i="38"/>
  <c r="DI231" i="38"/>
  <c r="DR231" i="38"/>
  <c r="DS231" i="38"/>
  <c r="EB231" i="38"/>
  <c r="EC231" i="38"/>
  <c r="EL231" i="38"/>
  <c r="EM231" i="38"/>
  <c r="AZ232" i="38"/>
  <c r="BA232" i="38"/>
  <c r="BJ232" i="38"/>
  <c r="BK232" i="38"/>
  <c r="BT232" i="38"/>
  <c r="BU232" i="38"/>
  <c r="CD232" i="38"/>
  <c r="CE232" i="38"/>
  <c r="CN232" i="38"/>
  <c r="CO232" i="38"/>
  <c r="CX232" i="38"/>
  <c r="CY232" i="38"/>
  <c r="DH232" i="38"/>
  <c r="DI232" i="38"/>
  <c r="DR232" i="38"/>
  <c r="DS232" i="38"/>
  <c r="EB232" i="38"/>
  <c r="EC232" i="38"/>
  <c r="EL232" i="38"/>
  <c r="EM232" i="38"/>
  <c r="AZ233" i="38"/>
  <c r="BA233" i="38"/>
  <c r="BJ233" i="38"/>
  <c r="BK233" i="38"/>
  <c r="BT233" i="38"/>
  <c r="BU233" i="38"/>
  <c r="CD233" i="38"/>
  <c r="CE233" i="38"/>
  <c r="CN233" i="38"/>
  <c r="CO233" i="38"/>
  <c r="CX233" i="38"/>
  <c r="CY233" i="38"/>
  <c r="DH233" i="38"/>
  <c r="DI233" i="38"/>
  <c r="DR233" i="38"/>
  <c r="DS233" i="38"/>
  <c r="EB233" i="38"/>
  <c r="EC233" i="38"/>
  <c r="EL233" i="38"/>
  <c r="EM233" i="38"/>
  <c r="AZ234" i="38"/>
  <c r="BA234" i="38"/>
  <c r="BJ234" i="38"/>
  <c r="BK234" i="38"/>
  <c r="BT234" i="38"/>
  <c r="BU234" i="38"/>
  <c r="CD234" i="38"/>
  <c r="CE234" i="38"/>
  <c r="CN234" i="38"/>
  <c r="CO234" i="38"/>
  <c r="CX234" i="38"/>
  <c r="CY234" i="38"/>
  <c r="DH234" i="38"/>
  <c r="DI234" i="38"/>
  <c r="DR234" i="38"/>
  <c r="DS234" i="38"/>
  <c r="EB234" i="38"/>
  <c r="EC234" i="38"/>
  <c r="EL234" i="38"/>
  <c r="EM234" i="38"/>
  <c r="AZ235" i="38"/>
  <c r="BA235" i="38"/>
  <c r="BJ235" i="38"/>
  <c r="BK235" i="38"/>
  <c r="BT235" i="38"/>
  <c r="BU235" i="38"/>
  <c r="CD235" i="38"/>
  <c r="CE235" i="38"/>
  <c r="CN235" i="38"/>
  <c r="CO235" i="38"/>
  <c r="CX235" i="38"/>
  <c r="CY235" i="38"/>
  <c r="DH235" i="38"/>
  <c r="DI235" i="38"/>
  <c r="DR235" i="38"/>
  <c r="DS235" i="38"/>
  <c r="EB235" i="38"/>
  <c r="EC235" i="38"/>
  <c r="EL235" i="38"/>
  <c r="EM235" i="38"/>
  <c r="AZ236" i="38"/>
  <c r="BA236" i="38"/>
  <c r="BJ236" i="38"/>
  <c r="BK236" i="38"/>
  <c r="BT236" i="38"/>
  <c r="BU236" i="38"/>
  <c r="CD236" i="38"/>
  <c r="CE236" i="38"/>
  <c r="CN236" i="38"/>
  <c r="CO236" i="38"/>
  <c r="CX236" i="38"/>
  <c r="CY236" i="38"/>
  <c r="DH236" i="38"/>
  <c r="DI236" i="38"/>
  <c r="DR236" i="38"/>
  <c r="DS236" i="38"/>
  <c r="EB236" i="38"/>
  <c r="EC236" i="38"/>
  <c r="EL236" i="38"/>
  <c r="EM236" i="38"/>
  <c r="AZ237" i="38"/>
  <c r="BA237" i="38"/>
  <c r="BJ237" i="38"/>
  <c r="BK237" i="38"/>
  <c r="BT237" i="38"/>
  <c r="BU237" i="38"/>
  <c r="CD237" i="38"/>
  <c r="CE237" i="38"/>
  <c r="CN237" i="38"/>
  <c r="CO237" i="38"/>
  <c r="CX237" i="38"/>
  <c r="CY237" i="38"/>
  <c r="DH237" i="38"/>
  <c r="DI237" i="38"/>
  <c r="DR237" i="38"/>
  <c r="DS237" i="38"/>
  <c r="EB237" i="38"/>
  <c r="EC237" i="38"/>
  <c r="EL237" i="38"/>
  <c r="EM237" i="38"/>
  <c r="AZ238" i="38"/>
  <c r="BA238" i="38"/>
  <c r="BJ238" i="38"/>
  <c r="BK238" i="38"/>
  <c r="BT238" i="38"/>
  <c r="BU238" i="38"/>
  <c r="CD238" i="38"/>
  <c r="CE238" i="38"/>
  <c r="CN238" i="38"/>
  <c r="CO238" i="38"/>
  <c r="CX238" i="38"/>
  <c r="CY238" i="38"/>
  <c r="DH238" i="38"/>
  <c r="DI238" i="38"/>
  <c r="DR238" i="38"/>
  <c r="DS238" i="38"/>
  <c r="EB238" i="38"/>
  <c r="EC238" i="38"/>
  <c r="EL238" i="38"/>
  <c r="EM238" i="38"/>
  <c r="AZ239" i="38"/>
  <c r="BA239" i="38"/>
  <c r="BJ239" i="38"/>
  <c r="BK239" i="38"/>
  <c r="BT239" i="38"/>
  <c r="BU239" i="38"/>
  <c r="CD239" i="38"/>
  <c r="CE239" i="38"/>
  <c r="CN239" i="38"/>
  <c r="CO239" i="38"/>
  <c r="CX239" i="38"/>
  <c r="CY239" i="38"/>
  <c r="DH239" i="38"/>
  <c r="DI239" i="38"/>
  <c r="DR239" i="38"/>
  <c r="DS239" i="38"/>
  <c r="EB239" i="38"/>
  <c r="EC239" i="38"/>
  <c r="EL239" i="38"/>
  <c r="EM239" i="38"/>
  <c r="AZ240" i="38"/>
  <c r="BA240" i="38"/>
  <c r="BJ240" i="38"/>
  <c r="BK240" i="38"/>
  <c r="BT240" i="38"/>
  <c r="BU240" i="38"/>
  <c r="CD240" i="38"/>
  <c r="CE240" i="38"/>
  <c r="CN240" i="38"/>
  <c r="CO240" i="38"/>
  <c r="CX240" i="38"/>
  <c r="CY240" i="38"/>
  <c r="DH240" i="38"/>
  <c r="DI240" i="38"/>
  <c r="DR240" i="38"/>
  <c r="DS240" i="38"/>
  <c r="EB240" i="38"/>
  <c r="EC240" i="38"/>
  <c r="EL240" i="38"/>
  <c r="EM240" i="38"/>
  <c r="AZ241" i="38"/>
  <c r="BA241" i="38"/>
  <c r="BJ241" i="38"/>
  <c r="BK241" i="38"/>
  <c r="BT241" i="38"/>
  <c r="BU241" i="38"/>
  <c r="CD241" i="38"/>
  <c r="CE241" i="38"/>
  <c r="CN241" i="38"/>
  <c r="CO241" i="38"/>
  <c r="CX241" i="38"/>
  <c r="CY241" i="38"/>
  <c r="DH241" i="38"/>
  <c r="DI241" i="38"/>
  <c r="DR241" i="38"/>
  <c r="DS241" i="38"/>
  <c r="EB241" i="38"/>
  <c r="EC241" i="38"/>
  <c r="EL241" i="38"/>
  <c r="EM241" i="38"/>
  <c r="AZ242" i="38"/>
  <c r="BA242" i="38"/>
  <c r="BJ242" i="38"/>
  <c r="BK242" i="38"/>
  <c r="BT242" i="38"/>
  <c r="BU242" i="38"/>
  <c r="CD242" i="38"/>
  <c r="CE242" i="38"/>
  <c r="CN242" i="38"/>
  <c r="CO242" i="38"/>
  <c r="CX242" i="38"/>
  <c r="CY242" i="38"/>
  <c r="DH242" i="38"/>
  <c r="DI242" i="38"/>
  <c r="DR242" i="38"/>
  <c r="DS242" i="38"/>
  <c r="EB242" i="38"/>
  <c r="EC242" i="38"/>
  <c r="EL242" i="38"/>
  <c r="EM242" i="38"/>
  <c r="AZ243" i="38"/>
  <c r="BA243" i="38"/>
  <c r="BJ243" i="38"/>
  <c r="BK243" i="38"/>
  <c r="BT243" i="38"/>
  <c r="BU243" i="38"/>
  <c r="CD243" i="38"/>
  <c r="CE243" i="38"/>
  <c r="CN243" i="38"/>
  <c r="CO243" i="38"/>
  <c r="CX243" i="38"/>
  <c r="CY243" i="38"/>
  <c r="DH243" i="38"/>
  <c r="DI243" i="38"/>
  <c r="DR243" i="38"/>
  <c r="DS243" i="38"/>
  <c r="EB243" i="38"/>
  <c r="EC243" i="38"/>
  <c r="EL243" i="38"/>
  <c r="EM243" i="38"/>
  <c r="AZ244" i="38"/>
  <c r="BA244" i="38"/>
  <c r="BJ244" i="38"/>
  <c r="BK244" i="38"/>
  <c r="BT244" i="38"/>
  <c r="BU244" i="38"/>
  <c r="CD244" i="38"/>
  <c r="CE244" i="38"/>
  <c r="CN244" i="38"/>
  <c r="CO244" i="38"/>
  <c r="CX244" i="38"/>
  <c r="CY244" i="38"/>
  <c r="DH244" i="38"/>
  <c r="DI244" i="38"/>
  <c r="DR244" i="38"/>
  <c r="DS244" i="38"/>
  <c r="EB244" i="38"/>
  <c r="EC244" i="38"/>
  <c r="EL244" i="38"/>
  <c r="EM244" i="38"/>
  <c r="AZ245" i="38"/>
  <c r="BA245" i="38"/>
  <c r="BJ245" i="38"/>
  <c r="BK245" i="38"/>
  <c r="BT245" i="38"/>
  <c r="BU245" i="38"/>
  <c r="CD245" i="38"/>
  <c r="CE245" i="38"/>
  <c r="CN245" i="38"/>
  <c r="CO245" i="38"/>
  <c r="CX245" i="38"/>
  <c r="CY245" i="38"/>
  <c r="DH245" i="38"/>
  <c r="DI245" i="38"/>
  <c r="DR245" i="38"/>
  <c r="DS245" i="38"/>
  <c r="EB245" i="38"/>
  <c r="EC245" i="38"/>
  <c r="EL245" i="38"/>
  <c r="EM245" i="38"/>
  <c r="AZ246" i="38"/>
  <c r="BA246" i="38"/>
  <c r="BJ246" i="38"/>
  <c r="BK246" i="38"/>
  <c r="BT246" i="38"/>
  <c r="BU246" i="38"/>
  <c r="CD246" i="38"/>
  <c r="CE246" i="38"/>
  <c r="CN246" i="38"/>
  <c r="CO246" i="38"/>
  <c r="CX246" i="38"/>
  <c r="CY246" i="38"/>
  <c r="DH246" i="38"/>
  <c r="DI246" i="38"/>
  <c r="DR246" i="38"/>
  <c r="DS246" i="38"/>
  <c r="EB246" i="38"/>
  <c r="EC246" i="38"/>
  <c r="EL246" i="38"/>
  <c r="EM246" i="38"/>
  <c r="AZ247" i="38"/>
  <c r="BA247" i="38"/>
  <c r="BJ247" i="38"/>
  <c r="BK247" i="38"/>
  <c r="BT247" i="38"/>
  <c r="BU247" i="38"/>
  <c r="CD247" i="38"/>
  <c r="CE247" i="38"/>
  <c r="CN247" i="38"/>
  <c r="CO247" i="38"/>
  <c r="CX247" i="38"/>
  <c r="CY247" i="38"/>
  <c r="DH247" i="38"/>
  <c r="DI247" i="38"/>
  <c r="DR247" i="38"/>
  <c r="DS247" i="38"/>
  <c r="EB247" i="38"/>
  <c r="EC247" i="38"/>
  <c r="EL247" i="38"/>
  <c r="EM247" i="38"/>
  <c r="AZ248" i="38"/>
  <c r="BA248" i="38"/>
  <c r="BJ248" i="38"/>
  <c r="BK248" i="38"/>
  <c r="BT248" i="38"/>
  <c r="BU248" i="38"/>
  <c r="CD248" i="38"/>
  <c r="CE248" i="38"/>
  <c r="CN248" i="38"/>
  <c r="CO248" i="38"/>
  <c r="CX248" i="38"/>
  <c r="CY248" i="38"/>
  <c r="DH248" i="38"/>
  <c r="DI248" i="38"/>
  <c r="DR248" i="38"/>
  <c r="DS248" i="38"/>
  <c r="EB248" i="38"/>
  <c r="EC248" i="38"/>
  <c r="EL248" i="38"/>
  <c r="EM248" i="38"/>
  <c r="AZ249" i="38"/>
  <c r="BA249" i="38"/>
  <c r="BJ249" i="38"/>
  <c r="BK249" i="38"/>
  <c r="BT249" i="38"/>
  <c r="BU249" i="38"/>
  <c r="CD249" i="38"/>
  <c r="CE249" i="38"/>
  <c r="CN249" i="38"/>
  <c r="CO249" i="38"/>
  <c r="CX249" i="38"/>
  <c r="CY249" i="38"/>
  <c r="DH249" i="38"/>
  <c r="DI249" i="38"/>
  <c r="DR249" i="38"/>
  <c r="DS249" i="38"/>
  <c r="EB249" i="38"/>
  <c r="EC249" i="38"/>
  <c r="EL249" i="38"/>
  <c r="EM249" i="38"/>
  <c r="AZ250" i="38"/>
  <c r="BA250" i="38"/>
  <c r="BJ250" i="38"/>
  <c r="BK250" i="38"/>
  <c r="BT250" i="38"/>
  <c r="BU250" i="38"/>
  <c r="CD250" i="38"/>
  <c r="CE250" i="38"/>
  <c r="CN250" i="38"/>
  <c r="CO250" i="38"/>
  <c r="CX250" i="38"/>
  <c r="CY250" i="38"/>
  <c r="DH250" i="38"/>
  <c r="DI250" i="38"/>
  <c r="DR250" i="38"/>
  <c r="DS250" i="38"/>
  <c r="EB250" i="38"/>
  <c r="EC250" i="38"/>
  <c r="EL250" i="38"/>
  <c r="EM250" i="38"/>
  <c r="AZ251" i="38"/>
  <c r="BA251" i="38"/>
  <c r="BJ251" i="38"/>
  <c r="BK251" i="38"/>
  <c r="BT251" i="38"/>
  <c r="BU251" i="38"/>
  <c r="CD251" i="38"/>
  <c r="CE251" i="38"/>
  <c r="CN251" i="38"/>
  <c r="CO251" i="38"/>
  <c r="CX251" i="38"/>
  <c r="CY251" i="38"/>
  <c r="DH251" i="38"/>
  <c r="DI251" i="38"/>
  <c r="DR251" i="38"/>
  <c r="DS251" i="38"/>
  <c r="EB251" i="38"/>
  <c r="EC251" i="38"/>
  <c r="EL251" i="38"/>
  <c r="EM251" i="38"/>
  <c r="AZ252" i="38"/>
  <c r="BA252" i="38"/>
  <c r="BJ252" i="38"/>
  <c r="BK252" i="38"/>
  <c r="BT252" i="38"/>
  <c r="BU252" i="38"/>
  <c r="CD252" i="38"/>
  <c r="CE252" i="38"/>
  <c r="CN252" i="38"/>
  <c r="CO252" i="38"/>
  <c r="CX252" i="38"/>
  <c r="CY252" i="38"/>
  <c r="DH252" i="38"/>
  <c r="DI252" i="38"/>
  <c r="DR252" i="38"/>
  <c r="DS252" i="38"/>
  <c r="EB252" i="38"/>
  <c r="EC252" i="38"/>
  <c r="EL252" i="38"/>
  <c r="EM252" i="38"/>
  <c r="AZ253" i="38"/>
  <c r="BA253" i="38"/>
  <c r="BJ253" i="38"/>
  <c r="BK253" i="38"/>
  <c r="BT253" i="38"/>
  <c r="BU253" i="38"/>
  <c r="CD253" i="38"/>
  <c r="CE253" i="38"/>
  <c r="CN253" i="38"/>
  <c r="CO253" i="38"/>
  <c r="CX253" i="38"/>
  <c r="CY253" i="38"/>
  <c r="DH253" i="38"/>
  <c r="DI253" i="38"/>
  <c r="DR253" i="38"/>
  <c r="DS253" i="38"/>
  <c r="EB253" i="38"/>
  <c r="EC253" i="38"/>
  <c r="EL253" i="38"/>
  <c r="EM253" i="38"/>
  <c r="AZ254" i="38"/>
  <c r="BA254" i="38"/>
  <c r="BJ254" i="38"/>
  <c r="BK254" i="38"/>
  <c r="BT254" i="38"/>
  <c r="BU254" i="38"/>
  <c r="CD254" i="38"/>
  <c r="CE254" i="38"/>
  <c r="CN254" i="38"/>
  <c r="CO254" i="38"/>
  <c r="CX254" i="38"/>
  <c r="CY254" i="38"/>
  <c r="DH254" i="38"/>
  <c r="DI254" i="38"/>
  <c r="DR254" i="38"/>
  <c r="DS254" i="38"/>
  <c r="EB254" i="38"/>
  <c r="EC254" i="38"/>
  <c r="EL254" i="38"/>
  <c r="EM254" i="38"/>
  <c r="AZ255" i="38"/>
  <c r="BA255" i="38"/>
  <c r="BJ255" i="38"/>
  <c r="BK255" i="38"/>
  <c r="BT255" i="38"/>
  <c r="BU255" i="38"/>
  <c r="CD255" i="38"/>
  <c r="CE255" i="38"/>
  <c r="CN255" i="38"/>
  <c r="CO255" i="38"/>
  <c r="CX255" i="38"/>
  <c r="CY255" i="38"/>
  <c r="DH255" i="38"/>
  <c r="DI255" i="38"/>
  <c r="DR255" i="38"/>
  <c r="DS255" i="38"/>
  <c r="EB255" i="38"/>
  <c r="EC255" i="38"/>
  <c r="EL255" i="38"/>
  <c r="EM255" i="38"/>
  <c r="AZ256" i="38"/>
  <c r="BA256" i="38"/>
  <c r="BJ256" i="38"/>
  <c r="BK256" i="38"/>
  <c r="BT256" i="38"/>
  <c r="BU256" i="38"/>
  <c r="CD256" i="38"/>
  <c r="CE256" i="38"/>
  <c r="CN256" i="38"/>
  <c r="CO256" i="38"/>
  <c r="CX256" i="38"/>
  <c r="CY256" i="38"/>
  <c r="DH256" i="38"/>
  <c r="DI256" i="38"/>
  <c r="DR256" i="38"/>
  <c r="DS256" i="38"/>
  <c r="EB256" i="38"/>
  <c r="EC256" i="38"/>
  <c r="EL256" i="38"/>
  <c r="EM256" i="38"/>
  <c r="AZ257" i="38"/>
  <c r="BA257" i="38"/>
  <c r="BJ257" i="38"/>
  <c r="BK257" i="38"/>
  <c r="BT257" i="38"/>
  <c r="BU257" i="38"/>
  <c r="CD257" i="38"/>
  <c r="CE257" i="38"/>
  <c r="CN257" i="38"/>
  <c r="CO257" i="38"/>
  <c r="CX257" i="38"/>
  <c r="CY257" i="38"/>
  <c r="DH257" i="38"/>
  <c r="DI257" i="38"/>
  <c r="DR257" i="38"/>
  <c r="DS257" i="38"/>
  <c r="EB257" i="38"/>
  <c r="EC257" i="38"/>
  <c r="EL257" i="38"/>
  <c r="EM257" i="38"/>
  <c r="AZ258" i="38"/>
  <c r="BA258" i="38"/>
  <c r="BJ258" i="38"/>
  <c r="BK258" i="38"/>
  <c r="BT258" i="38"/>
  <c r="BU258" i="38"/>
  <c r="CD258" i="38"/>
  <c r="CE258" i="38"/>
  <c r="CN258" i="38"/>
  <c r="CO258" i="38"/>
  <c r="CX258" i="38"/>
  <c r="CY258" i="38"/>
  <c r="DH258" i="38"/>
  <c r="DI258" i="38"/>
  <c r="DR258" i="38"/>
  <c r="DS258" i="38"/>
  <c r="EB258" i="38"/>
  <c r="EC258" i="38"/>
  <c r="EL258" i="38"/>
  <c r="EM258" i="38"/>
  <c r="AZ259" i="38"/>
  <c r="BA259" i="38"/>
  <c r="BJ259" i="38"/>
  <c r="BK259" i="38"/>
  <c r="BT259" i="38"/>
  <c r="BU259" i="38"/>
  <c r="CD259" i="38"/>
  <c r="CE259" i="38"/>
  <c r="CN259" i="38"/>
  <c r="CO259" i="38"/>
  <c r="CX259" i="38"/>
  <c r="CY259" i="38"/>
  <c r="DH259" i="38"/>
  <c r="DI259" i="38"/>
  <c r="DR259" i="38"/>
  <c r="DS259" i="38"/>
  <c r="EB259" i="38"/>
  <c r="EC259" i="38"/>
  <c r="EL259" i="38"/>
  <c r="EM259" i="38"/>
  <c r="AZ260" i="38"/>
  <c r="BA260" i="38"/>
  <c r="BJ260" i="38"/>
  <c r="BK260" i="38"/>
  <c r="BT260" i="38"/>
  <c r="BU260" i="38"/>
  <c r="CD260" i="38"/>
  <c r="CE260" i="38"/>
  <c r="CN260" i="38"/>
  <c r="CO260" i="38"/>
  <c r="CX260" i="38"/>
  <c r="CY260" i="38"/>
  <c r="DH260" i="38"/>
  <c r="DI260" i="38"/>
  <c r="DR260" i="38"/>
  <c r="DS260" i="38"/>
  <c r="EB260" i="38"/>
  <c r="EC260" i="38"/>
  <c r="EL260" i="38"/>
  <c r="EM260" i="38"/>
  <c r="AZ261" i="38"/>
  <c r="BA261" i="38"/>
  <c r="BJ261" i="38"/>
  <c r="BK261" i="38"/>
  <c r="BT261" i="38"/>
  <c r="BU261" i="38"/>
  <c r="CD261" i="38"/>
  <c r="CE261" i="38"/>
  <c r="CN261" i="38"/>
  <c r="CO261" i="38"/>
  <c r="CX261" i="38"/>
  <c r="CY261" i="38"/>
  <c r="DH261" i="38"/>
  <c r="DI261" i="38"/>
  <c r="DR261" i="38"/>
  <c r="DS261" i="38"/>
  <c r="EB261" i="38"/>
  <c r="EC261" i="38"/>
  <c r="EL261" i="38"/>
  <c r="EM261" i="38"/>
  <c r="AZ262" i="38"/>
  <c r="BA262" i="38"/>
  <c r="BJ262" i="38"/>
  <c r="BK262" i="38"/>
  <c r="BT262" i="38"/>
  <c r="BU262" i="38"/>
  <c r="CD262" i="38"/>
  <c r="CE262" i="38"/>
  <c r="CN262" i="38"/>
  <c r="CO262" i="38"/>
  <c r="CX262" i="38"/>
  <c r="CY262" i="38"/>
  <c r="DH262" i="38"/>
  <c r="DI262" i="38"/>
  <c r="DR262" i="38"/>
  <c r="DS262" i="38"/>
  <c r="EB262" i="38"/>
  <c r="EC262" i="38"/>
  <c r="EL262" i="38"/>
  <c r="EM262" i="38"/>
  <c r="AZ263" i="38"/>
  <c r="BA263" i="38"/>
  <c r="BJ263" i="38"/>
  <c r="BK263" i="38"/>
  <c r="BT263" i="38"/>
  <c r="BU263" i="38"/>
  <c r="CD263" i="38"/>
  <c r="CE263" i="38"/>
  <c r="CN263" i="38"/>
  <c r="CO263" i="38"/>
  <c r="CX263" i="38"/>
  <c r="CY263" i="38"/>
  <c r="DH263" i="38"/>
  <c r="DI263" i="38"/>
  <c r="DR263" i="38"/>
  <c r="DS263" i="38"/>
  <c r="EB263" i="38"/>
  <c r="EC263" i="38"/>
  <c r="EL263" i="38"/>
  <c r="EM263" i="38"/>
  <c r="AZ264" i="38"/>
  <c r="BA264" i="38"/>
  <c r="BJ264" i="38"/>
  <c r="BK264" i="38"/>
  <c r="BT264" i="38"/>
  <c r="BU264" i="38"/>
  <c r="CD264" i="38"/>
  <c r="CE264" i="38"/>
  <c r="CN264" i="38"/>
  <c r="CO264" i="38"/>
  <c r="CX264" i="38"/>
  <c r="CY264" i="38"/>
  <c r="DH264" i="38"/>
  <c r="DI264" i="38"/>
  <c r="DR264" i="38"/>
  <c r="DS264" i="38"/>
  <c r="EB264" i="38"/>
  <c r="EC264" i="38"/>
  <c r="EL264" i="38"/>
  <c r="EM264" i="38"/>
  <c r="AZ265" i="38"/>
  <c r="BA265" i="38"/>
  <c r="BJ265" i="38"/>
  <c r="BK265" i="38"/>
  <c r="BT265" i="38"/>
  <c r="BU265" i="38"/>
  <c r="CD265" i="38"/>
  <c r="CE265" i="38"/>
  <c r="CN265" i="38"/>
  <c r="CO265" i="38"/>
  <c r="CX265" i="38"/>
  <c r="CY265" i="38"/>
  <c r="DH265" i="38"/>
  <c r="DI265" i="38"/>
  <c r="DR265" i="38"/>
  <c r="DS265" i="38"/>
  <c r="EB265" i="38"/>
  <c r="EC265" i="38"/>
  <c r="EL265" i="38"/>
  <c r="EM265" i="38"/>
  <c r="AZ266" i="38"/>
  <c r="BA266" i="38"/>
  <c r="BJ266" i="38"/>
  <c r="BK266" i="38"/>
  <c r="BT266" i="38"/>
  <c r="BU266" i="38"/>
  <c r="CD266" i="38"/>
  <c r="CE266" i="38"/>
  <c r="CN266" i="38"/>
  <c r="CO266" i="38"/>
  <c r="CX266" i="38"/>
  <c r="CY266" i="38"/>
  <c r="DH266" i="38"/>
  <c r="DI266" i="38"/>
  <c r="DR266" i="38"/>
  <c r="DS266" i="38"/>
  <c r="EB266" i="38"/>
  <c r="EC266" i="38"/>
  <c r="EL266" i="38"/>
  <c r="EM266" i="38"/>
  <c r="AZ267" i="38"/>
  <c r="BA267" i="38"/>
  <c r="BJ267" i="38"/>
  <c r="BK267" i="38"/>
  <c r="BT267" i="38"/>
  <c r="BU267" i="38"/>
  <c r="CD267" i="38"/>
  <c r="CE267" i="38"/>
  <c r="CN267" i="38"/>
  <c r="CO267" i="38"/>
  <c r="CX267" i="38"/>
  <c r="CY267" i="38"/>
  <c r="DH267" i="38"/>
  <c r="DI267" i="38"/>
  <c r="DR267" i="38"/>
  <c r="DS267" i="38"/>
  <c r="EB267" i="38"/>
  <c r="EC267" i="38"/>
  <c r="EL267" i="38"/>
  <c r="EM267" i="38"/>
  <c r="AZ268" i="38"/>
  <c r="BA268" i="38"/>
  <c r="BJ268" i="38"/>
  <c r="BK268" i="38"/>
  <c r="BT268" i="38"/>
  <c r="BU268" i="38"/>
  <c r="CD268" i="38"/>
  <c r="CE268" i="38"/>
  <c r="CN268" i="38"/>
  <c r="CO268" i="38"/>
  <c r="CX268" i="38"/>
  <c r="CY268" i="38"/>
  <c r="DH268" i="38"/>
  <c r="DI268" i="38"/>
  <c r="DR268" i="38"/>
  <c r="DS268" i="38"/>
  <c r="EB268" i="38"/>
  <c r="EC268" i="38"/>
  <c r="EL268" i="38"/>
  <c r="EM268" i="38"/>
  <c r="EL8" i="38"/>
  <c r="EB8" i="38"/>
  <c r="ED255" i="38" s="1"/>
  <c r="DR8" i="38"/>
  <c r="DH8" i="38"/>
  <c r="CX8" i="38"/>
  <c r="CN8" i="38"/>
  <c r="CD8" i="38"/>
  <c r="BT8" i="38"/>
  <c r="BJ8" i="38"/>
  <c r="AZ8" i="38"/>
  <c r="BA121" i="37"/>
  <c r="BK121" i="37"/>
  <c r="BU121" i="37"/>
  <c r="CE121" i="37"/>
  <c r="CO121" i="37"/>
  <c r="CY121" i="37"/>
  <c r="DI121" i="37"/>
  <c r="DS121" i="37"/>
  <c r="EC121" i="37"/>
  <c r="EM121" i="37"/>
  <c r="BA122" i="37"/>
  <c r="BK122" i="37"/>
  <c r="BU122" i="37"/>
  <c r="CE122" i="37"/>
  <c r="CO122" i="37"/>
  <c r="CY122" i="37"/>
  <c r="DI122" i="37"/>
  <c r="DS122" i="37"/>
  <c r="EC122" i="37"/>
  <c r="EM122" i="37"/>
  <c r="BA123" i="37"/>
  <c r="BK123" i="37"/>
  <c r="BU123" i="37"/>
  <c r="CE123" i="37"/>
  <c r="CO123" i="37"/>
  <c r="CY123" i="37"/>
  <c r="DI123" i="37"/>
  <c r="DS123" i="37"/>
  <c r="EC123" i="37"/>
  <c r="EM123" i="37"/>
  <c r="BA124" i="37"/>
  <c r="BK124" i="37"/>
  <c r="BU124" i="37"/>
  <c r="CE124" i="37"/>
  <c r="CO124" i="37"/>
  <c r="CY124" i="37"/>
  <c r="DI124" i="37"/>
  <c r="DS124" i="37"/>
  <c r="EC124" i="37"/>
  <c r="EM124" i="37"/>
  <c r="BA125" i="37"/>
  <c r="BK125" i="37"/>
  <c r="BU125" i="37"/>
  <c r="CE125" i="37"/>
  <c r="CO125" i="37"/>
  <c r="CY125" i="37"/>
  <c r="DI125" i="37"/>
  <c r="DS125" i="37"/>
  <c r="EC125" i="37"/>
  <c r="EM125" i="37"/>
  <c r="BA126" i="37"/>
  <c r="BK126" i="37"/>
  <c r="BU126" i="37"/>
  <c r="CE126" i="37"/>
  <c r="CO126" i="37"/>
  <c r="CY126" i="37"/>
  <c r="DI126" i="37"/>
  <c r="DS126" i="37"/>
  <c r="EC126" i="37"/>
  <c r="EM126" i="37"/>
  <c r="BA127" i="37"/>
  <c r="BK127" i="37"/>
  <c r="BU127" i="37"/>
  <c r="CE127" i="37"/>
  <c r="CO127" i="37"/>
  <c r="CY127" i="37"/>
  <c r="DI127" i="37"/>
  <c r="DS127" i="37"/>
  <c r="EC127" i="37"/>
  <c r="EM127" i="37"/>
  <c r="BA128" i="37"/>
  <c r="BK128" i="37"/>
  <c r="BU128" i="37"/>
  <c r="CE128" i="37"/>
  <c r="CO128" i="37"/>
  <c r="CY128" i="37"/>
  <c r="DI128" i="37"/>
  <c r="DS128" i="37"/>
  <c r="EC128" i="37"/>
  <c r="EM128" i="37"/>
  <c r="BA129" i="37"/>
  <c r="BK129" i="37"/>
  <c r="BU129" i="37"/>
  <c r="CE129" i="37"/>
  <c r="CO129" i="37"/>
  <c r="CY129" i="37"/>
  <c r="DI129" i="37"/>
  <c r="DS129" i="37"/>
  <c r="EC129" i="37"/>
  <c r="EM129" i="37"/>
  <c r="BA130" i="37"/>
  <c r="BK130" i="37"/>
  <c r="BU130" i="37"/>
  <c r="CE130" i="37"/>
  <c r="CO130" i="37"/>
  <c r="CY130" i="37"/>
  <c r="DI130" i="37"/>
  <c r="DS130" i="37"/>
  <c r="EC130" i="37"/>
  <c r="EM130" i="37"/>
  <c r="BA131" i="37"/>
  <c r="BK131" i="37"/>
  <c r="BU131" i="37"/>
  <c r="CE131" i="37"/>
  <c r="CO131" i="37"/>
  <c r="CY131" i="37"/>
  <c r="DI131" i="37"/>
  <c r="DS131" i="37"/>
  <c r="EC131" i="37"/>
  <c r="EM131" i="37"/>
  <c r="BA132" i="37"/>
  <c r="BK132" i="37"/>
  <c r="BU132" i="37"/>
  <c r="CE132" i="37"/>
  <c r="CO132" i="37"/>
  <c r="CY132" i="37"/>
  <c r="DI132" i="37"/>
  <c r="DS132" i="37"/>
  <c r="EC132" i="37"/>
  <c r="EM132" i="37"/>
  <c r="BA133" i="37"/>
  <c r="BK133" i="37"/>
  <c r="BU133" i="37"/>
  <c r="CE133" i="37"/>
  <c r="CO133" i="37"/>
  <c r="CY133" i="37"/>
  <c r="DI133" i="37"/>
  <c r="DS133" i="37"/>
  <c r="EC133" i="37"/>
  <c r="EM133" i="37"/>
  <c r="BA134" i="37"/>
  <c r="BK134" i="37"/>
  <c r="BU134" i="37"/>
  <c r="CE134" i="37"/>
  <c r="CO134" i="37"/>
  <c r="CY134" i="37"/>
  <c r="DI134" i="37"/>
  <c r="DS134" i="37"/>
  <c r="EC134" i="37"/>
  <c r="EM134" i="37"/>
  <c r="BA135" i="37"/>
  <c r="BK135" i="37"/>
  <c r="BU135" i="37"/>
  <c r="CE135" i="37"/>
  <c r="CO135" i="37"/>
  <c r="CY135" i="37"/>
  <c r="DI135" i="37"/>
  <c r="DS135" i="37"/>
  <c r="EC135" i="37"/>
  <c r="EM135" i="37"/>
  <c r="BA136" i="37"/>
  <c r="BK136" i="37"/>
  <c r="BU136" i="37"/>
  <c r="CE136" i="37"/>
  <c r="CO136" i="37"/>
  <c r="CY136" i="37"/>
  <c r="DI136" i="37"/>
  <c r="DS136" i="37"/>
  <c r="EC136" i="37"/>
  <c r="EM136" i="37"/>
  <c r="BA137" i="37"/>
  <c r="BK137" i="37"/>
  <c r="BU137" i="37"/>
  <c r="CE137" i="37"/>
  <c r="CO137" i="37"/>
  <c r="CY137" i="37"/>
  <c r="DI137" i="37"/>
  <c r="DS137" i="37"/>
  <c r="EC137" i="37"/>
  <c r="EM137" i="37"/>
  <c r="BA138" i="37"/>
  <c r="BK138" i="37"/>
  <c r="BU138" i="37"/>
  <c r="CE138" i="37"/>
  <c r="CO138" i="37"/>
  <c r="CY138" i="37"/>
  <c r="DI138" i="37"/>
  <c r="DS138" i="37"/>
  <c r="EC138" i="37"/>
  <c r="EM138" i="37"/>
  <c r="BA139" i="37"/>
  <c r="BK139" i="37"/>
  <c r="BU139" i="37"/>
  <c r="CE139" i="37"/>
  <c r="CO139" i="37"/>
  <c r="CY139" i="37"/>
  <c r="DI139" i="37"/>
  <c r="DS139" i="37"/>
  <c r="EC139" i="37"/>
  <c r="EM139" i="37"/>
  <c r="BA140" i="37"/>
  <c r="BK140" i="37"/>
  <c r="BU140" i="37"/>
  <c r="CE140" i="37"/>
  <c r="CO140" i="37"/>
  <c r="CY140" i="37"/>
  <c r="DI140" i="37"/>
  <c r="DS140" i="37"/>
  <c r="EC140" i="37"/>
  <c r="EM140" i="37"/>
  <c r="BA141" i="37"/>
  <c r="BK141" i="37"/>
  <c r="BU141" i="37"/>
  <c r="CE141" i="37"/>
  <c r="CO141" i="37"/>
  <c r="CY141" i="37"/>
  <c r="DI141" i="37"/>
  <c r="DS141" i="37"/>
  <c r="EC141" i="37"/>
  <c r="EM141" i="37"/>
  <c r="BA142" i="37"/>
  <c r="BK142" i="37"/>
  <c r="BU142" i="37"/>
  <c r="CE142" i="37"/>
  <c r="CO142" i="37"/>
  <c r="CY142" i="37"/>
  <c r="DI142" i="37"/>
  <c r="DS142" i="37"/>
  <c r="EC142" i="37"/>
  <c r="EM142" i="37"/>
  <c r="BA143" i="37"/>
  <c r="BK143" i="37"/>
  <c r="BU143" i="37"/>
  <c r="CE143" i="37"/>
  <c r="CO143" i="37"/>
  <c r="CY143" i="37"/>
  <c r="DI143" i="37"/>
  <c r="DS143" i="37"/>
  <c r="EC143" i="37"/>
  <c r="EM143" i="37"/>
  <c r="BA144" i="37"/>
  <c r="BK144" i="37"/>
  <c r="BU144" i="37"/>
  <c r="CE144" i="37"/>
  <c r="CO144" i="37"/>
  <c r="CY144" i="37"/>
  <c r="DI144" i="37"/>
  <c r="DS144" i="37"/>
  <c r="EC144" i="37"/>
  <c r="EM144" i="37"/>
  <c r="BA145" i="37"/>
  <c r="BK145" i="37"/>
  <c r="BU145" i="37"/>
  <c r="CE145" i="37"/>
  <c r="CO145" i="37"/>
  <c r="CY145" i="37"/>
  <c r="DI145" i="37"/>
  <c r="DS145" i="37"/>
  <c r="EC145" i="37"/>
  <c r="EM145" i="37"/>
  <c r="BA146" i="37"/>
  <c r="BK146" i="37"/>
  <c r="BU146" i="37"/>
  <c r="CE146" i="37"/>
  <c r="CO146" i="37"/>
  <c r="CY146" i="37"/>
  <c r="DI146" i="37"/>
  <c r="DS146" i="37"/>
  <c r="EC146" i="37"/>
  <c r="EM146" i="37"/>
  <c r="BA147" i="37"/>
  <c r="BK147" i="37"/>
  <c r="BU147" i="37"/>
  <c r="CE147" i="37"/>
  <c r="CO147" i="37"/>
  <c r="CY147" i="37"/>
  <c r="DI147" i="37"/>
  <c r="DS147" i="37"/>
  <c r="EC147" i="37"/>
  <c r="EM147" i="37"/>
  <c r="BA148" i="37"/>
  <c r="BK148" i="37"/>
  <c r="BU148" i="37"/>
  <c r="CE148" i="37"/>
  <c r="CO148" i="37"/>
  <c r="CY148" i="37"/>
  <c r="DI148" i="37"/>
  <c r="DS148" i="37"/>
  <c r="EC148" i="37"/>
  <c r="EM148" i="37"/>
  <c r="BA149" i="37"/>
  <c r="BK149" i="37"/>
  <c r="BU149" i="37"/>
  <c r="CE149" i="37"/>
  <c r="CO149" i="37"/>
  <c r="CY149" i="37"/>
  <c r="DI149" i="37"/>
  <c r="DS149" i="37"/>
  <c r="EC149" i="37"/>
  <c r="EM149" i="37"/>
  <c r="BA150" i="37"/>
  <c r="BK150" i="37"/>
  <c r="BU150" i="37"/>
  <c r="CE150" i="37"/>
  <c r="CO150" i="37"/>
  <c r="CY150" i="37"/>
  <c r="DI150" i="37"/>
  <c r="DS150" i="37"/>
  <c r="EC150" i="37"/>
  <c r="EM150" i="37"/>
  <c r="BA151" i="37"/>
  <c r="BK151" i="37"/>
  <c r="BU151" i="37"/>
  <c r="CE151" i="37"/>
  <c r="CO151" i="37"/>
  <c r="CY151" i="37"/>
  <c r="DI151" i="37"/>
  <c r="DS151" i="37"/>
  <c r="EC151" i="37"/>
  <c r="EM151" i="37"/>
  <c r="BA152" i="37"/>
  <c r="BK152" i="37"/>
  <c r="BU152" i="37"/>
  <c r="CE152" i="37"/>
  <c r="CO152" i="37"/>
  <c r="CY152" i="37"/>
  <c r="DI152" i="37"/>
  <c r="DS152" i="37"/>
  <c r="EC152" i="37"/>
  <c r="EM152" i="37"/>
  <c r="BA153" i="37"/>
  <c r="BK153" i="37"/>
  <c r="BU153" i="37"/>
  <c r="CE153" i="37"/>
  <c r="CO153" i="37"/>
  <c r="CY153" i="37"/>
  <c r="DI153" i="37"/>
  <c r="DS153" i="37"/>
  <c r="EC153" i="37"/>
  <c r="EM153" i="37"/>
  <c r="BA154" i="37"/>
  <c r="BK154" i="37"/>
  <c r="BU154" i="37"/>
  <c r="CE154" i="37"/>
  <c r="CO154" i="37"/>
  <c r="CY154" i="37"/>
  <c r="DI154" i="37"/>
  <c r="DS154" i="37"/>
  <c r="EC154" i="37"/>
  <c r="EM154" i="37"/>
  <c r="BA155" i="37"/>
  <c r="BK155" i="37"/>
  <c r="BU155" i="37"/>
  <c r="CE155" i="37"/>
  <c r="CO155" i="37"/>
  <c r="CY155" i="37"/>
  <c r="DI155" i="37"/>
  <c r="DS155" i="37"/>
  <c r="EC155" i="37"/>
  <c r="EM155" i="37"/>
  <c r="BA156" i="37"/>
  <c r="BK156" i="37"/>
  <c r="BU156" i="37"/>
  <c r="CE156" i="37"/>
  <c r="CO156" i="37"/>
  <c r="CY156" i="37"/>
  <c r="DI156" i="37"/>
  <c r="DS156" i="37"/>
  <c r="EC156" i="37"/>
  <c r="EM156" i="37"/>
  <c r="BA157" i="37"/>
  <c r="BK157" i="37"/>
  <c r="BU157" i="37"/>
  <c r="CE157" i="37"/>
  <c r="CO157" i="37"/>
  <c r="CY157" i="37"/>
  <c r="DI157" i="37"/>
  <c r="DS157" i="37"/>
  <c r="EC157" i="37"/>
  <c r="EM157" i="37"/>
  <c r="BA158" i="37"/>
  <c r="BK158" i="37"/>
  <c r="BU158" i="37"/>
  <c r="CE158" i="37"/>
  <c r="CO158" i="37"/>
  <c r="CY158" i="37"/>
  <c r="DI158" i="37"/>
  <c r="DS158" i="37"/>
  <c r="EC158" i="37"/>
  <c r="EM158" i="37"/>
  <c r="BA159" i="37"/>
  <c r="BK159" i="37"/>
  <c r="BU159" i="37"/>
  <c r="CE159" i="37"/>
  <c r="CO159" i="37"/>
  <c r="CY159" i="37"/>
  <c r="DI159" i="37"/>
  <c r="DS159" i="37"/>
  <c r="EC159" i="37"/>
  <c r="EM159" i="37"/>
  <c r="BA160" i="37"/>
  <c r="BK160" i="37"/>
  <c r="BU160" i="37"/>
  <c r="CE160" i="37"/>
  <c r="CO160" i="37"/>
  <c r="CY160" i="37"/>
  <c r="DI160" i="37"/>
  <c r="DS160" i="37"/>
  <c r="EC160" i="37"/>
  <c r="EM160" i="37"/>
  <c r="BA161" i="37"/>
  <c r="BK161" i="37"/>
  <c r="BU161" i="37"/>
  <c r="CE161" i="37"/>
  <c r="CO161" i="37"/>
  <c r="CY161" i="37"/>
  <c r="DI161" i="37"/>
  <c r="DS161" i="37"/>
  <c r="EC161" i="37"/>
  <c r="EM161" i="37"/>
  <c r="BA162" i="37"/>
  <c r="BK162" i="37"/>
  <c r="BU162" i="37"/>
  <c r="CE162" i="37"/>
  <c r="CO162" i="37"/>
  <c r="CY162" i="37"/>
  <c r="DI162" i="37"/>
  <c r="DS162" i="37"/>
  <c r="EC162" i="37"/>
  <c r="EM162" i="37"/>
  <c r="BA163" i="37"/>
  <c r="BK163" i="37"/>
  <c r="BU163" i="37"/>
  <c r="CE163" i="37"/>
  <c r="CO163" i="37"/>
  <c r="CY163" i="37"/>
  <c r="DI163" i="37"/>
  <c r="DS163" i="37"/>
  <c r="EC163" i="37"/>
  <c r="EM163" i="37"/>
  <c r="BA164" i="37"/>
  <c r="BK164" i="37"/>
  <c r="BU164" i="37"/>
  <c r="CE164" i="37"/>
  <c r="CO164" i="37"/>
  <c r="CY164" i="37"/>
  <c r="DI164" i="37"/>
  <c r="DS164" i="37"/>
  <c r="EC164" i="37"/>
  <c r="EM164" i="37"/>
  <c r="BA165" i="37"/>
  <c r="BK165" i="37"/>
  <c r="BU165" i="37"/>
  <c r="CE165" i="37"/>
  <c r="CO165" i="37"/>
  <c r="CY165" i="37"/>
  <c r="DI165" i="37"/>
  <c r="DS165" i="37"/>
  <c r="EC165" i="37"/>
  <c r="EM165" i="37"/>
  <c r="BA166" i="37"/>
  <c r="BK166" i="37"/>
  <c r="BU166" i="37"/>
  <c r="CE166" i="37"/>
  <c r="CO166" i="37"/>
  <c r="CY166" i="37"/>
  <c r="DI166" i="37"/>
  <c r="DS166" i="37"/>
  <c r="EC166" i="37"/>
  <c r="EM166" i="37"/>
  <c r="BA167" i="37"/>
  <c r="BK167" i="37"/>
  <c r="BU167" i="37"/>
  <c r="CE167" i="37"/>
  <c r="CO167" i="37"/>
  <c r="CY167" i="37"/>
  <c r="DI167" i="37"/>
  <c r="DS167" i="37"/>
  <c r="EC167" i="37"/>
  <c r="EM167" i="37"/>
  <c r="BA168" i="37"/>
  <c r="BK168" i="37"/>
  <c r="BU168" i="37"/>
  <c r="CE168" i="37"/>
  <c r="CO168" i="37"/>
  <c r="CY168" i="37"/>
  <c r="DI168" i="37"/>
  <c r="DS168" i="37"/>
  <c r="EC168" i="37"/>
  <c r="EM168" i="37"/>
  <c r="BA169" i="37"/>
  <c r="BK169" i="37"/>
  <c r="BU169" i="37"/>
  <c r="CE169" i="37"/>
  <c r="CO169" i="37"/>
  <c r="CY169" i="37"/>
  <c r="DI169" i="37"/>
  <c r="DS169" i="37"/>
  <c r="EC169" i="37"/>
  <c r="EM169" i="37"/>
  <c r="BA170" i="37"/>
  <c r="BK170" i="37"/>
  <c r="BU170" i="37"/>
  <c r="CE170" i="37"/>
  <c r="CO170" i="37"/>
  <c r="CY170" i="37"/>
  <c r="DI170" i="37"/>
  <c r="DS170" i="37"/>
  <c r="EC170" i="37"/>
  <c r="EM170" i="37"/>
  <c r="BA171" i="37"/>
  <c r="BK171" i="37"/>
  <c r="BU171" i="37"/>
  <c r="CE171" i="37"/>
  <c r="CO171" i="37"/>
  <c r="CY171" i="37"/>
  <c r="DI171" i="37"/>
  <c r="DS171" i="37"/>
  <c r="EC171" i="37"/>
  <c r="EM171" i="37"/>
  <c r="BA172" i="37"/>
  <c r="BK172" i="37"/>
  <c r="BU172" i="37"/>
  <c r="CE172" i="37"/>
  <c r="CO172" i="37"/>
  <c r="CY172" i="37"/>
  <c r="DI172" i="37"/>
  <c r="DS172" i="37"/>
  <c r="EC172" i="37"/>
  <c r="EM172" i="37"/>
  <c r="BA173" i="37"/>
  <c r="BK173" i="37"/>
  <c r="BU173" i="37"/>
  <c r="CE173" i="37"/>
  <c r="CO173" i="37"/>
  <c r="CY173" i="37"/>
  <c r="DI173" i="37"/>
  <c r="DS173" i="37"/>
  <c r="EC173" i="37"/>
  <c r="EM173" i="37"/>
  <c r="BA174" i="37"/>
  <c r="BK174" i="37"/>
  <c r="BU174" i="37"/>
  <c r="CE174" i="37"/>
  <c r="CO174" i="37"/>
  <c r="CY174" i="37"/>
  <c r="DI174" i="37"/>
  <c r="DS174" i="37"/>
  <c r="EC174" i="37"/>
  <c r="EM174" i="37"/>
  <c r="BA175" i="37"/>
  <c r="BK175" i="37"/>
  <c r="BU175" i="37"/>
  <c r="CE175" i="37"/>
  <c r="CO175" i="37"/>
  <c r="CY175" i="37"/>
  <c r="DI175" i="37"/>
  <c r="DS175" i="37"/>
  <c r="EC175" i="37"/>
  <c r="EM175" i="37"/>
  <c r="BA176" i="37"/>
  <c r="BK176" i="37"/>
  <c r="BU176" i="37"/>
  <c r="CE176" i="37"/>
  <c r="CO176" i="37"/>
  <c r="CY176" i="37"/>
  <c r="DI176" i="37"/>
  <c r="DS176" i="37"/>
  <c r="EC176" i="37"/>
  <c r="EM176" i="37"/>
  <c r="BA177" i="37"/>
  <c r="BK177" i="37"/>
  <c r="BU177" i="37"/>
  <c r="CE177" i="37"/>
  <c r="CO177" i="37"/>
  <c r="CY177" i="37"/>
  <c r="DI177" i="37"/>
  <c r="DS177" i="37"/>
  <c r="EC177" i="37"/>
  <c r="EM177" i="37"/>
  <c r="BA178" i="37"/>
  <c r="BK178" i="37"/>
  <c r="BU178" i="37"/>
  <c r="CE178" i="37"/>
  <c r="CO178" i="37"/>
  <c r="CY178" i="37"/>
  <c r="DI178" i="37"/>
  <c r="DS178" i="37"/>
  <c r="EC178" i="37"/>
  <c r="EM178" i="37"/>
  <c r="BA179" i="37"/>
  <c r="BK179" i="37"/>
  <c r="BU179" i="37"/>
  <c r="CE179" i="37"/>
  <c r="CO179" i="37"/>
  <c r="CY179" i="37"/>
  <c r="DI179" i="37"/>
  <c r="DS179" i="37"/>
  <c r="EC179" i="37"/>
  <c r="EM179" i="37"/>
  <c r="BA180" i="37"/>
  <c r="BK180" i="37"/>
  <c r="BU180" i="37"/>
  <c r="CE180" i="37"/>
  <c r="CO180" i="37"/>
  <c r="CY180" i="37"/>
  <c r="DI180" i="37"/>
  <c r="DS180" i="37"/>
  <c r="EC180" i="37"/>
  <c r="EM180" i="37"/>
  <c r="BA181" i="37"/>
  <c r="BK181" i="37"/>
  <c r="BU181" i="37"/>
  <c r="CE181" i="37"/>
  <c r="CO181" i="37"/>
  <c r="CY181" i="37"/>
  <c r="DI181" i="37"/>
  <c r="DS181" i="37"/>
  <c r="EC181" i="37"/>
  <c r="EM181" i="37"/>
  <c r="BA182" i="37"/>
  <c r="BK182" i="37"/>
  <c r="BU182" i="37"/>
  <c r="CE182" i="37"/>
  <c r="CO182" i="37"/>
  <c r="CY182" i="37"/>
  <c r="DI182" i="37"/>
  <c r="DS182" i="37"/>
  <c r="EC182" i="37"/>
  <c r="EM182" i="37"/>
  <c r="BA183" i="37"/>
  <c r="BK183" i="37"/>
  <c r="BU183" i="37"/>
  <c r="CE183" i="37"/>
  <c r="CO183" i="37"/>
  <c r="CY183" i="37"/>
  <c r="DI183" i="37"/>
  <c r="DS183" i="37"/>
  <c r="EC183" i="37"/>
  <c r="EM183" i="37"/>
  <c r="BA184" i="37"/>
  <c r="BK184" i="37"/>
  <c r="BU184" i="37"/>
  <c r="CE184" i="37"/>
  <c r="CO184" i="37"/>
  <c r="CY184" i="37"/>
  <c r="DI184" i="37"/>
  <c r="DS184" i="37"/>
  <c r="EC184" i="37"/>
  <c r="EM184" i="37"/>
  <c r="BA185" i="37"/>
  <c r="BK185" i="37"/>
  <c r="BU185" i="37"/>
  <c r="CE185" i="37"/>
  <c r="CO185" i="37"/>
  <c r="CY185" i="37"/>
  <c r="DI185" i="37"/>
  <c r="DS185" i="37"/>
  <c r="EC185" i="37"/>
  <c r="EM185" i="37"/>
  <c r="BA186" i="37"/>
  <c r="BK186" i="37"/>
  <c r="BU186" i="37"/>
  <c r="CE186" i="37"/>
  <c r="CO186" i="37"/>
  <c r="CY186" i="37"/>
  <c r="DI186" i="37"/>
  <c r="DS186" i="37"/>
  <c r="EC186" i="37"/>
  <c r="EM186" i="37"/>
  <c r="BA187" i="37"/>
  <c r="BK187" i="37"/>
  <c r="BU187" i="37"/>
  <c r="CE187" i="37"/>
  <c r="CO187" i="37"/>
  <c r="CY187" i="37"/>
  <c r="DI187" i="37"/>
  <c r="DS187" i="37"/>
  <c r="EC187" i="37"/>
  <c r="EM187" i="37"/>
  <c r="BA188" i="37"/>
  <c r="BK188" i="37"/>
  <c r="BU188" i="37"/>
  <c r="CE188" i="37"/>
  <c r="CO188" i="37"/>
  <c r="CY188" i="37"/>
  <c r="DI188" i="37"/>
  <c r="DS188" i="37"/>
  <c r="EC188" i="37"/>
  <c r="EM188" i="37"/>
  <c r="BA189" i="37"/>
  <c r="BK189" i="37"/>
  <c r="BU189" i="37"/>
  <c r="CE189" i="37"/>
  <c r="CO189" i="37"/>
  <c r="CY189" i="37"/>
  <c r="DI189" i="37"/>
  <c r="DS189" i="37"/>
  <c r="EC189" i="37"/>
  <c r="EM189" i="37"/>
  <c r="BA190" i="37"/>
  <c r="BK190" i="37"/>
  <c r="BU190" i="37"/>
  <c r="CE190" i="37"/>
  <c r="CO190" i="37"/>
  <c r="CY190" i="37"/>
  <c r="DI190" i="37"/>
  <c r="DS190" i="37"/>
  <c r="EC190" i="37"/>
  <c r="EM190" i="37"/>
  <c r="BA191" i="37"/>
  <c r="BK191" i="37"/>
  <c r="BU191" i="37"/>
  <c r="CE191" i="37"/>
  <c r="CO191" i="37"/>
  <c r="CY191" i="37"/>
  <c r="DI191" i="37"/>
  <c r="DS191" i="37"/>
  <c r="EC191" i="37"/>
  <c r="EM191" i="37"/>
  <c r="BA192" i="37"/>
  <c r="BK192" i="37"/>
  <c r="BU192" i="37"/>
  <c r="CE192" i="37"/>
  <c r="CO192" i="37"/>
  <c r="CY192" i="37"/>
  <c r="DI192" i="37"/>
  <c r="DS192" i="37"/>
  <c r="EC192" i="37"/>
  <c r="EM192" i="37"/>
  <c r="BA193" i="37"/>
  <c r="BK193" i="37"/>
  <c r="BU193" i="37"/>
  <c r="CE193" i="37"/>
  <c r="CO193" i="37"/>
  <c r="CY193" i="37"/>
  <c r="DI193" i="37"/>
  <c r="DS193" i="37"/>
  <c r="EC193" i="37"/>
  <c r="EM193" i="37"/>
  <c r="BA194" i="37"/>
  <c r="BK194" i="37"/>
  <c r="BU194" i="37"/>
  <c r="CE194" i="37"/>
  <c r="CO194" i="37"/>
  <c r="CY194" i="37"/>
  <c r="DI194" i="37"/>
  <c r="DS194" i="37"/>
  <c r="EC194" i="37"/>
  <c r="EM194" i="37"/>
  <c r="BA195" i="37"/>
  <c r="BK195" i="37"/>
  <c r="BU195" i="37"/>
  <c r="CE195" i="37"/>
  <c r="CO195" i="37"/>
  <c r="CY195" i="37"/>
  <c r="DI195" i="37"/>
  <c r="DS195" i="37"/>
  <c r="EC195" i="37"/>
  <c r="EM195" i="37"/>
  <c r="BA196" i="37"/>
  <c r="BK196" i="37"/>
  <c r="BU196" i="37"/>
  <c r="CE196" i="37"/>
  <c r="CO196" i="37"/>
  <c r="CY196" i="37"/>
  <c r="DI196" i="37"/>
  <c r="DS196" i="37"/>
  <c r="EC196" i="37"/>
  <c r="EM196" i="37"/>
  <c r="BA197" i="37"/>
  <c r="BK197" i="37"/>
  <c r="BU197" i="37"/>
  <c r="CE197" i="37"/>
  <c r="CO197" i="37"/>
  <c r="CY197" i="37"/>
  <c r="DI197" i="37"/>
  <c r="DS197" i="37"/>
  <c r="EC197" i="37"/>
  <c r="EM197" i="37"/>
  <c r="BA198" i="37"/>
  <c r="BK198" i="37"/>
  <c r="BU198" i="37"/>
  <c r="CE198" i="37"/>
  <c r="CO198" i="37"/>
  <c r="CY198" i="37"/>
  <c r="DI198" i="37"/>
  <c r="DS198" i="37"/>
  <c r="EC198" i="37"/>
  <c r="EM198" i="37"/>
  <c r="BA199" i="37"/>
  <c r="BK199" i="37"/>
  <c r="BU199" i="37"/>
  <c r="CE199" i="37"/>
  <c r="CO199" i="37"/>
  <c r="CY199" i="37"/>
  <c r="DI199" i="37"/>
  <c r="DS199" i="37"/>
  <c r="EC199" i="37"/>
  <c r="EM199" i="37"/>
  <c r="BA200" i="37"/>
  <c r="BK200" i="37"/>
  <c r="BU200" i="37"/>
  <c r="CE200" i="37"/>
  <c r="CO200" i="37"/>
  <c r="CY200" i="37"/>
  <c r="DI200" i="37"/>
  <c r="DS200" i="37"/>
  <c r="EC200" i="37"/>
  <c r="EM200" i="37"/>
  <c r="BA201" i="37"/>
  <c r="BK201" i="37"/>
  <c r="BU201" i="37"/>
  <c r="CE201" i="37"/>
  <c r="CO201" i="37"/>
  <c r="CY201" i="37"/>
  <c r="DI201" i="37"/>
  <c r="DS201" i="37"/>
  <c r="EC201" i="37"/>
  <c r="EM201" i="37"/>
  <c r="BA202" i="37"/>
  <c r="BK202" i="37"/>
  <c r="BU202" i="37"/>
  <c r="CE202" i="37"/>
  <c r="CO202" i="37"/>
  <c r="CY202" i="37"/>
  <c r="DI202" i="37"/>
  <c r="DS202" i="37"/>
  <c r="EC202" i="37"/>
  <c r="EM202" i="37"/>
  <c r="BA203" i="37"/>
  <c r="BK203" i="37"/>
  <c r="BU203" i="37"/>
  <c r="CE203" i="37"/>
  <c r="CO203" i="37"/>
  <c r="CY203" i="37"/>
  <c r="DI203" i="37"/>
  <c r="DS203" i="37"/>
  <c r="EC203" i="37"/>
  <c r="EM203" i="37"/>
  <c r="BA204" i="37"/>
  <c r="BK204" i="37"/>
  <c r="BU204" i="37"/>
  <c r="CE204" i="37"/>
  <c r="CO204" i="37"/>
  <c r="CY204" i="37"/>
  <c r="DI204" i="37"/>
  <c r="DS204" i="37"/>
  <c r="EC204" i="37"/>
  <c r="EM204" i="37"/>
  <c r="BA205" i="37"/>
  <c r="BK205" i="37"/>
  <c r="BU205" i="37"/>
  <c r="CE205" i="37"/>
  <c r="CO205" i="37"/>
  <c r="CY205" i="37"/>
  <c r="DI205" i="37"/>
  <c r="DS205" i="37"/>
  <c r="EC205" i="37"/>
  <c r="EM205" i="37"/>
  <c r="BA206" i="37"/>
  <c r="BK206" i="37"/>
  <c r="BU206" i="37"/>
  <c r="CE206" i="37"/>
  <c r="CO206" i="37"/>
  <c r="CY206" i="37"/>
  <c r="DI206" i="37"/>
  <c r="DS206" i="37"/>
  <c r="EC206" i="37"/>
  <c r="EM206" i="37"/>
  <c r="BA207" i="37"/>
  <c r="BK207" i="37"/>
  <c r="BU207" i="37"/>
  <c r="CE207" i="37"/>
  <c r="CO207" i="37"/>
  <c r="CY207" i="37"/>
  <c r="DI207" i="37"/>
  <c r="DS207" i="37"/>
  <c r="EC207" i="37"/>
  <c r="EM207" i="37"/>
  <c r="BA208" i="37"/>
  <c r="BK208" i="37"/>
  <c r="BU208" i="37"/>
  <c r="CE208" i="37"/>
  <c r="CO208" i="37"/>
  <c r="CY208" i="37"/>
  <c r="DI208" i="37"/>
  <c r="DS208" i="37"/>
  <c r="EC208" i="37"/>
  <c r="EM208" i="37"/>
  <c r="BA209" i="37"/>
  <c r="BK209" i="37"/>
  <c r="BU209" i="37"/>
  <c r="CE209" i="37"/>
  <c r="CO209" i="37"/>
  <c r="CY209" i="37"/>
  <c r="DI209" i="37"/>
  <c r="DS209" i="37"/>
  <c r="EC209" i="37"/>
  <c r="EM209" i="37"/>
  <c r="BA210" i="37"/>
  <c r="BK210" i="37"/>
  <c r="BU210" i="37"/>
  <c r="CE210" i="37"/>
  <c r="CO210" i="37"/>
  <c r="CY210" i="37"/>
  <c r="DI210" i="37"/>
  <c r="DS210" i="37"/>
  <c r="EC210" i="37"/>
  <c r="EM210" i="37"/>
  <c r="BA211" i="37"/>
  <c r="BK211" i="37"/>
  <c r="BU211" i="37"/>
  <c r="CE211" i="37"/>
  <c r="CO211" i="37"/>
  <c r="CY211" i="37"/>
  <c r="DI211" i="37"/>
  <c r="DS211" i="37"/>
  <c r="EC211" i="37"/>
  <c r="EM211" i="37"/>
  <c r="BA212" i="37"/>
  <c r="BK212" i="37"/>
  <c r="BU212" i="37"/>
  <c r="CE212" i="37"/>
  <c r="CO212" i="37"/>
  <c r="CY212" i="37"/>
  <c r="DI212" i="37"/>
  <c r="DS212" i="37"/>
  <c r="EC212" i="37"/>
  <c r="EM212" i="37"/>
  <c r="BA213" i="37"/>
  <c r="BK213" i="37"/>
  <c r="BU213" i="37"/>
  <c r="CE213" i="37"/>
  <c r="CO213" i="37"/>
  <c r="CY213" i="37"/>
  <c r="DI213" i="37"/>
  <c r="DS213" i="37"/>
  <c r="EC213" i="37"/>
  <c r="EM213" i="37"/>
  <c r="BA214" i="37"/>
  <c r="BK214" i="37"/>
  <c r="BU214" i="37"/>
  <c r="CE214" i="37"/>
  <c r="CO214" i="37"/>
  <c r="CY214" i="37"/>
  <c r="DI214" i="37"/>
  <c r="DS214" i="37"/>
  <c r="EC214" i="37"/>
  <c r="EM214" i="37"/>
  <c r="BA215" i="37"/>
  <c r="BK215" i="37"/>
  <c r="BU215" i="37"/>
  <c r="CE215" i="37"/>
  <c r="CO215" i="37"/>
  <c r="CY215" i="37"/>
  <c r="DI215" i="37"/>
  <c r="DS215" i="37"/>
  <c r="EC215" i="37"/>
  <c r="EM215" i="37"/>
  <c r="BA216" i="37"/>
  <c r="BK216" i="37"/>
  <c r="BU216" i="37"/>
  <c r="CE216" i="37"/>
  <c r="CO216" i="37"/>
  <c r="CY216" i="37"/>
  <c r="DI216" i="37"/>
  <c r="DS216" i="37"/>
  <c r="EC216" i="37"/>
  <c r="EM216" i="37"/>
  <c r="BA217" i="37"/>
  <c r="BK217" i="37"/>
  <c r="BU217" i="37"/>
  <c r="CE217" i="37"/>
  <c r="CO217" i="37"/>
  <c r="CY217" i="37"/>
  <c r="DI217" i="37"/>
  <c r="DS217" i="37"/>
  <c r="EC217" i="37"/>
  <c r="EM217" i="37"/>
  <c r="BA218" i="37"/>
  <c r="BK218" i="37"/>
  <c r="BU218" i="37"/>
  <c r="CE218" i="37"/>
  <c r="CO218" i="37"/>
  <c r="CY218" i="37"/>
  <c r="DI218" i="37"/>
  <c r="DS218" i="37"/>
  <c r="EC218" i="37"/>
  <c r="EM218" i="37"/>
  <c r="BA219" i="37"/>
  <c r="BK219" i="37"/>
  <c r="BU219" i="37"/>
  <c r="CE219" i="37"/>
  <c r="CO219" i="37"/>
  <c r="CY219" i="37"/>
  <c r="DI219" i="37"/>
  <c r="DS219" i="37"/>
  <c r="EC219" i="37"/>
  <c r="EM219" i="37"/>
  <c r="BA220" i="37"/>
  <c r="BK220" i="37"/>
  <c r="BU220" i="37"/>
  <c r="CE220" i="37"/>
  <c r="CO220" i="37"/>
  <c r="CY220" i="37"/>
  <c r="DI220" i="37"/>
  <c r="DS220" i="37"/>
  <c r="EC220" i="37"/>
  <c r="EM220" i="37"/>
  <c r="BA221" i="37"/>
  <c r="BK221" i="37"/>
  <c r="BU221" i="37"/>
  <c r="CE221" i="37"/>
  <c r="CO221" i="37"/>
  <c r="CY221" i="37"/>
  <c r="DI221" i="37"/>
  <c r="DS221" i="37"/>
  <c r="EC221" i="37"/>
  <c r="EM221" i="37"/>
  <c r="BA222" i="37"/>
  <c r="BK222" i="37"/>
  <c r="BU222" i="37"/>
  <c r="CE222" i="37"/>
  <c r="CO222" i="37"/>
  <c r="CY222" i="37"/>
  <c r="DI222" i="37"/>
  <c r="DS222" i="37"/>
  <c r="EC222" i="37"/>
  <c r="EM222" i="37"/>
  <c r="BA223" i="37"/>
  <c r="BK223" i="37"/>
  <c r="BU223" i="37"/>
  <c r="CE223" i="37"/>
  <c r="CO223" i="37"/>
  <c r="CY223" i="37"/>
  <c r="DI223" i="37"/>
  <c r="DS223" i="37"/>
  <c r="EC223" i="37"/>
  <c r="EM223" i="37"/>
  <c r="BA224" i="37"/>
  <c r="BK224" i="37"/>
  <c r="BU224" i="37"/>
  <c r="CE224" i="37"/>
  <c r="CO224" i="37"/>
  <c r="CY224" i="37"/>
  <c r="DI224" i="37"/>
  <c r="DS224" i="37"/>
  <c r="EC224" i="37"/>
  <c r="EM224" i="37"/>
  <c r="BA225" i="37"/>
  <c r="BK225" i="37"/>
  <c r="BU225" i="37"/>
  <c r="CE225" i="37"/>
  <c r="CO225" i="37"/>
  <c r="CY225" i="37"/>
  <c r="DI225" i="37"/>
  <c r="DS225" i="37"/>
  <c r="EC225" i="37"/>
  <c r="EM225" i="37"/>
  <c r="BA226" i="37"/>
  <c r="BK226" i="37"/>
  <c r="BU226" i="37"/>
  <c r="CE226" i="37"/>
  <c r="CO226" i="37"/>
  <c r="CY226" i="37"/>
  <c r="DI226" i="37"/>
  <c r="DS226" i="37"/>
  <c r="EC226" i="37"/>
  <c r="EM226" i="37"/>
  <c r="BA227" i="37"/>
  <c r="BK227" i="37"/>
  <c r="BU227" i="37"/>
  <c r="CE227" i="37"/>
  <c r="CO227" i="37"/>
  <c r="CY227" i="37"/>
  <c r="DI227" i="37"/>
  <c r="DS227" i="37"/>
  <c r="EC227" i="37"/>
  <c r="EM227" i="37"/>
  <c r="BA228" i="37"/>
  <c r="BK228" i="37"/>
  <c r="BU228" i="37"/>
  <c r="CE228" i="37"/>
  <c r="CO228" i="37"/>
  <c r="CY228" i="37"/>
  <c r="DI228" i="37"/>
  <c r="DS228" i="37"/>
  <c r="EC228" i="37"/>
  <c r="EM228" i="37"/>
  <c r="BA229" i="37"/>
  <c r="BK229" i="37"/>
  <c r="BU229" i="37"/>
  <c r="CE229" i="37"/>
  <c r="CO229" i="37"/>
  <c r="CY229" i="37"/>
  <c r="DI229" i="37"/>
  <c r="DS229" i="37"/>
  <c r="EC229" i="37"/>
  <c r="EM229" i="37"/>
  <c r="BA230" i="37"/>
  <c r="BK230" i="37"/>
  <c r="BU230" i="37"/>
  <c r="CE230" i="37"/>
  <c r="CO230" i="37"/>
  <c r="CY230" i="37"/>
  <c r="DI230" i="37"/>
  <c r="DS230" i="37"/>
  <c r="EC230" i="37"/>
  <c r="EM230" i="37"/>
  <c r="BA231" i="37"/>
  <c r="BK231" i="37"/>
  <c r="BU231" i="37"/>
  <c r="CE231" i="37"/>
  <c r="CO231" i="37"/>
  <c r="CY231" i="37"/>
  <c r="DI231" i="37"/>
  <c r="DS231" i="37"/>
  <c r="EC231" i="37"/>
  <c r="EM231" i="37"/>
  <c r="BA232" i="37"/>
  <c r="BK232" i="37"/>
  <c r="BU232" i="37"/>
  <c r="CE232" i="37"/>
  <c r="CO232" i="37"/>
  <c r="CY232" i="37"/>
  <c r="DI232" i="37"/>
  <c r="DS232" i="37"/>
  <c r="EC232" i="37"/>
  <c r="EM232" i="37"/>
  <c r="BA233" i="37"/>
  <c r="BK233" i="37"/>
  <c r="BU233" i="37"/>
  <c r="CE233" i="37"/>
  <c r="CO233" i="37"/>
  <c r="CY233" i="37"/>
  <c r="DI233" i="37"/>
  <c r="DS233" i="37"/>
  <c r="EC233" i="37"/>
  <c r="EM233" i="37"/>
  <c r="BA234" i="37"/>
  <c r="BK234" i="37"/>
  <c r="BU234" i="37"/>
  <c r="CE234" i="37"/>
  <c r="CO234" i="37"/>
  <c r="CY234" i="37"/>
  <c r="DI234" i="37"/>
  <c r="DS234" i="37"/>
  <c r="EC234" i="37"/>
  <c r="EM234" i="37"/>
  <c r="BA235" i="37"/>
  <c r="BK235" i="37"/>
  <c r="BU235" i="37"/>
  <c r="CE235" i="37"/>
  <c r="CO235" i="37"/>
  <c r="CY235" i="37"/>
  <c r="DI235" i="37"/>
  <c r="DS235" i="37"/>
  <c r="EC235" i="37"/>
  <c r="EM235" i="37"/>
  <c r="BA236" i="37"/>
  <c r="BK236" i="37"/>
  <c r="BU236" i="37"/>
  <c r="CE236" i="37"/>
  <c r="CO236" i="37"/>
  <c r="CY236" i="37"/>
  <c r="DI236" i="37"/>
  <c r="DS236" i="37"/>
  <c r="EC236" i="37"/>
  <c r="EM236" i="37"/>
  <c r="BA237" i="37"/>
  <c r="BK237" i="37"/>
  <c r="BU237" i="37"/>
  <c r="CE237" i="37"/>
  <c r="CO237" i="37"/>
  <c r="CY237" i="37"/>
  <c r="DI237" i="37"/>
  <c r="DS237" i="37"/>
  <c r="EC237" i="37"/>
  <c r="EM237" i="37"/>
  <c r="BA238" i="37"/>
  <c r="BK238" i="37"/>
  <c r="BU238" i="37"/>
  <c r="CE238" i="37"/>
  <c r="CO238" i="37"/>
  <c r="CY238" i="37"/>
  <c r="DI238" i="37"/>
  <c r="DS238" i="37"/>
  <c r="EC238" i="37"/>
  <c r="EM238" i="37"/>
  <c r="BA239" i="37"/>
  <c r="BK239" i="37"/>
  <c r="BU239" i="37"/>
  <c r="CE239" i="37"/>
  <c r="CO239" i="37"/>
  <c r="CY239" i="37"/>
  <c r="DI239" i="37"/>
  <c r="DS239" i="37"/>
  <c r="EC239" i="37"/>
  <c r="EM239" i="37"/>
  <c r="BA240" i="37"/>
  <c r="BK240" i="37"/>
  <c r="BU240" i="37"/>
  <c r="CE240" i="37"/>
  <c r="CO240" i="37"/>
  <c r="CY240" i="37"/>
  <c r="DI240" i="37"/>
  <c r="DS240" i="37"/>
  <c r="EC240" i="37"/>
  <c r="EM240" i="37"/>
  <c r="BA241" i="37"/>
  <c r="BK241" i="37"/>
  <c r="BU241" i="37"/>
  <c r="CE241" i="37"/>
  <c r="CO241" i="37"/>
  <c r="CY241" i="37"/>
  <c r="DI241" i="37"/>
  <c r="DS241" i="37"/>
  <c r="EC241" i="37"/>
  <c r="EM241" i="37"/>
  <c r="BA242" i="37"/>
  <c r="BK242" i="37"/>
  <c r="BU242" i="37"/>
  <c r="CE242" i="37"/>
  <c r="CO242" i="37"/>
  <c r="CY242" i="37"/>
  <c r="DI242" i="37"/>
  <c r="DS242" i="37"/>
  <c r="EC242" i="37"/>
  <c r="EM242" i="37"/>
  <c r="BA243" i="37"/>
  <c r="BK243" i="37"/>
  <c r="BU243" i="37"/>
  <c r="CE243" i="37"/>
  <c r="CO243" i="37"/>
  <c r="CY243" i="37"/>
  <c r="DI243" i="37"/>
  <c r="DS243" i="37"/>
  <c r="EC243" i="37"/>
  <c r="EM243" i="37"/>
  <c r="BA244" i="37"/>
  <c r="BK244" i="37"/>
  <c r="BU244" i="37"/>
  <c r="CE244" i="37"/>
  <c r="CO244" i="37"/>
  <c r="CY244" i="37"/>
  <c r="DI244" i="37"/>
  <c r="DS244" i="37"/>
  <c r="EC244" i="37"/>
  <c r="EM244" i="37"/>
  <c r="BA245" i="37"/>
  <c r="BK245" i="37"/>
  <c r="BU245" i="37"/>
  <c r="CE245" i="37"/>
  <c r="CO245" i="37"/>
  <c r="CY245" i="37"/>
  <c r="DI245" i="37"/>
  <c r="DS245" i="37"/>
  <c r="EC245" i="37"/>
  <c r="EM245" i="37"/>
  <c r="BA246" i="37"/>
  <c r="BK246" i="37"/>
  <c r="BU246" i="37"/>
  <c r="CE246" i="37"/>
  <c r="CO246" i="37"/>
  <c r="CY246" i="37"/>
  <c r="DI246" i="37"/>
  <c r="DS246" i="37"/>
  <c r="EC246" i="37"/>
  <c r="EM246" i="37"/>
  <c r="BA247" i="37"/>
  <c r="BK247" i="37"/>
  <c r="BU247" i="37"/>
  <c r="CE247" i="37"/>
  <c r="CO247" i="37"/>
  <c r="CY247" i="37"/>
  <c r="DI247" i="37"/>
  <c r="DS247" i="37"/>
  <c r="EC247" i="37"/>
  <c r="EM247" i="37"/>
  <c r="BA248" i="37"/>
  <c r="BK248" i="37"/>
  <c r="BU248" i="37"/>
  <c r="CE248" i="37"/>
  <c r="CO248" i="37"/>
  <c r="CY248" i="37"/>
  <c r="DI248" i="37"/>
  <c r="DS248" i="37"/>
  <c r="EC248" i="37"/>
  <c r="EM248" i="37"/>
  <c r="BA249" i="37"/>
  <c r="BK249" i="37"/>
  <c r="BU249" i="37"/>
  <c r="CE249" i="37"/>
  <c r="CO249" i="37"/>
  <c r="CY249" i="37"/>
  <c r="DI249" i="37"/>
  <c r="DS249" i="37"/>
  <c r="EC249" i="37"/>
  <c r="EM249" i="37"/>
  <c r="BA250" i="37"/>
  <c r="BK250" i="37"/>
  <c r="BU250" i="37"/>
  <c r="CE250" i="37"/>
  <c r="CO250" i="37"/>
  <c r="CY250" i="37"/>
  <c r="DI250" i="37"/>
  <c r="DS250" i="37"/>
  <c r="EC250" i="37"/>
  <c r="EM250" i="37"/>
  <c r="BA251" i="37"/>
  <c r="BK251" i="37"/>
  <c r="BU251" i="37"/>
  <c r="CE251" i="37"/>
  <c r="CO251" i="37"/>
  <c r="CY251" i="37"/>
  <c r="DI251" i="37"/>
  <c r="DS251" i="37"/>
  <c r="EC251" i="37"/>
  <c r="EM251" i="37"/>
  <c r="BA252" i="37"/>
  <c r="BK252" i="37"/>
  <c r="BU252" i="37"/>
  <c r="CE252" i="37"/>
  <c r="CO252" i="37"/>
  <c r="CY252" i="37"/>
  <c r="DI252" i="37"/>
  <c r="DS252" i="37"/>
  <c r="EC252" i="37"/>
  <c r="EM252" i="37"/>
  <c r="BA253" i="37"/>
  <c r="BK253" i="37"/>
  <c r="BU253" i="37"/>
  <c r="CE253" i="37"/>
  <c r="CO253" i="37"/>
  <c r="CY253" i="37"/>
  <c r="DI253" i="37"/>
  <c r="DS253" i="37"/>
  <c r="EC253" i="37"/>
  <c r="EM253" i="37"/>
  <c r="BA254" i="37"/>
  <c r="BK254" i="37"/>
  <c r="BU254" i="37"/>
  <c r="CE254" i="37"/>
  <c r="CO254" i="37"/>
  <c r="CY254" i="37"/>
  <c r="DI254" i="37"/>
  <c r="DS254" i="37"/>
  <c r="EC254" i="37"/>
  <c r="EM254" i="37"/>
  <c r="BA255" i="37"/>
  <c r="BK255" i="37"/>
  <c r="BU255" i="37"/>
  <c r="CE255" i="37"/>
  <c r="CO255" i="37"/>
  <c r="CY255" i="37"/>
  <c r="DI255" i="37"/>
  <c r="DS255" i="37"/>
  <c r="EC255" i="37"/>
  <c r="EM255" i="37"/>
  <c r="BA256" i="37"/>
  <c r="BK256" i="37"/>
  <c r="BU256" i="37"/>
  <c r="CE256" i="37"/>
  <c r="CO256" i="37"/>
  <c r="CY256" i="37"/>
  <c r="DI256" i="37"/>
  <c r="DS256" i="37"/>
  <c r="EC256" i="37"/>
  <c r="EM256" i="37"/>
  <c r="BA257" i="37"/>
  <c r="BK257" i="37"/>
  <c r="BU257" i="37"/>
  <c r="CE257" i="37"/>
  <c r="CO257" i="37"/>
  <c r="CY257" i="37"/>
  <c r="DI257" i="37"/>
  <c r="DS257" i="37"/>
  <c r="EC257" i="37"/>
  <c r="EM257" i="37"/>
  <c r="BA258" i="37"/>
  <c r="BK258" i="37"/>
  <c r="BU258" i="37"/>
  <c r="CE258" i="37"/>
  <c r="CO258" i="37"/>
  <c r="CY258" i="37"/>
  <c r="DI258" i="37"/>
  <c r="DS258" i="37"/>
  <c r="EC258" i="37"/>
  <c r="EM258" i="37"/>
  <c r="BA259" i="37"/>
  <c r="BK259" i="37"/>
  <c r="BU259" i="37"/>
  <c r="CE259" i="37"/>
  <c r="CO259" i="37"/>
  <c r="CY259" i="37"/>
  <c r="DI259" i="37"/>
  <c r="DS259" i="37"/>
  <c r="EC259" i="37"/>
  <c r="EM259" i="37"/>
  <c r="BA260" i="37"/>
  <c r="BK260" i="37"/>
  <c r="BU260" i="37"/>
  <c r="CE260" i="37"/>
  <c r="CO260" i="37"/>
  <c r="CY260" i="37"/>
  <c r="DI260" i="37"/>
  <c r="DS260" i="37"/>
  <c r="EC260" i="37"/>
  <c r="EM260" i="37"/>
  <c r="BA261" i="37"/>
  <c r="BK261" i="37"/>
  <c r="BU261" i="37"/>
  <c r="CE261" i="37"/>
  <c r="CO261" i="37"/>
  <c r="CY261" i="37"/>
  <c r="DI261" i="37"/>
  <c r="DS261" i="37"/>
  <c r="EC261" i="37"/>
  <c r="EM261" i="37"/>
  <c r="BA262" i="37"/>
  <c r="BK262" i="37"/>
  <c r="BU262" i="37"/>
  <c r="CE262" i="37"/>
  <c r="CO262" i="37"/>
  <c r="CY262" i="37"/>
  <c r="DI262" i="37"/>
  <c r="DS262" i="37"/>
  <c r="EC262" i="37"/>
  <c r="EM262" i="37"/>
  <c r="BA263" i="37"/>
  <c r="BK263" i="37"/>
  <c r="BU263" i="37"/>
  <c r="CE263" i="37"/>
  <c r="CO263" i="37"/>
  <c r="CY263" i="37"/>
  <c r="DI263" i="37"/>
  <c r="DS263" i="37"/>
  <c r="EC263" i="37"/>
  <c r="EM263" i="37"/>
  <c r="BA264" i="37"/>
  <c r="BK264" i="37"/>
  <c r="BU264" i="37"/>
  <c r="CE264" i="37"/>
  <c r="CO264" i="37"/>
  <c r="CY264" i="37"/>
  <c r="DI264" i="37"/>
  <c r="DS264" i="37"/>
  <c r="EC264" i="37"/>
  <c r="EM264" i="37"/>
  <c r="BA265" i="37"/>
  <c r="BK265" i="37"/>
  <c r="BU265" i="37"/>
  <c r="CE265" i="37"/>
  <c r="CO265" i="37"/>
  <c r="CY265" i="37"/>
  <c r="DI265" i="37"/>
  <c r="DS265" i="37"/>
  <c r="EC265" i="37"/>
  <c r="EM265" i="37"/>
  <c r="BA266" i="37"/>
  <c r="BK266" i="37"/>
  <c r="BU266" i="37"/>
  <c r="CE266" i="37"/>
  <c r="CO266" i="37"/>
  <c r="CY266" i="37"/>
  <c r="DI266" i="37"/>
  <c r="DS266" i="37"/>
  <c r="EC266" i="37"/>
  <c r="EM266" i="37"/>
  <c r="BA267" i="37"/>
  <c r="BK267" i="37"/>
  <c r="BU267" i="37"/>
  <c r="CE267" i="37"/>
  <c r="CO267" i="37"/>
  <c r="CY267" i="37"/>
  <c r="DI267" i="37"/>
  <c r="DS267" i="37"/>
  <c r="EC267" i="37"/>
  <c r="EM267" i="37"/>
  <c r="BA268" i="37"/>
  <c r="BK268" i="37"/>
  <c r="BU268" i="37"/>
  <c r="CE268" i="37"/>
  <c r="CO268" i="37"/>
  <c r="CY268" i="37"/>
  <c r="DI268" i="37"/>
  <c r="DS268" i="37"/>
  <c r="EC268" i="37"/>
  <c r="EM268" i="37"/>
  <c r="BA269" i="37"/>
  <c r="BK269" i="37"/>
  <c r="BU269" i="37"/>
  <c r="CE269" i="37"/>
  <c r="CO269" i="37"/>
  <c r="CY269" i="37"/>
  <c r="DI269" i="37"/>
  <c r="DS269" i="37"/>
  <c r="EC269" i="37"/>
  <c r="EM269" i="37"/>
  <c r="BA270" i="37"/>
  <c r="BK270" i="37"/>
  <c r="BU270" i="37"/>
  <c r="CE270" i="37"/>
  <c r="CO270" i="37"/>
  <c r="CY270" i="37"/>
  <c r="DI270" i="37"/>
  <c r="DS270" i="37"/>
  <c r="EC270" i="37"/>
  <c r="EM270" i="37"/>
  <c r="BA271" i="37"/>
  <c r="BK271" i="37"/>
  <c r="BU271" i="37"/>
  <c r="CE271" i="37"/>
  <c r="CO271" i="37"/>
  <c r="CY271" i="37"/>
  <c r="DI271" i="37"/>
  <c r="DS271" i="37"/>
  <c r="EC271" i="37"/>
  <c r="EM271" i="37"/>
  <c r="BA272" i="37"/>
  <c r="BK272" i="37"/>
  <c r="BU272" i="37"/>
  <c r="CE272" i="37"/>
  <c r="CO272" i="37"/>
  <c r="CY272" i="37"/>
  <c r="DI272" i="37"/>
  <c r="DS272" i="37"/>
  <c r="EC272" i="37"/>
  <c r="EM272" i="37"/>
  <c r="BA273" i="37"/>
  <c r="BK273" i="37"/>
  <c r="BU273" i="37"/>
  <c r="CE273" i="37"/>
  <c r="CO273" i="37"/>
  <c r="CY273" i="37"/>
  <c r="DI273" i="37"/>
  <c r="DS273" i="37"/>
  <c r="EC273" i="37"/>
  <c r="EM273" i="37"/>
  <c r="BA274" i="37"/>
  <c r="BK274" i="37"/>
  <c r="BU274" i="37"/>
  <c r="CE274" i="37"/>
  <c r="CO274" i="37"/>
  <c r="CY274" i="37"/>
  <c r="DI274" i="37"/>
  <c r="DS274" i="37"/>
  <c r="EC274" i="37"/>
  <c r="EM274" i="37"/>
  <c r="BA275" i="37"/>
  <c r="BK275" i="37"/>
  <c r="BU275" i="37"/>
  <c r="CE275" i="37"/>
  <c r="CO275" i="37"/>
  <c r="CY275" i="37"/>
  <c r="DI275" i="37"/>
  <c r="DS275" i="37"/>
  <c r="EC275" i="37"/>
  <c r="EM275" i="37"/>
  <c r="BA276" i="37"/>
  <c r="BK276" i="37"/>
  <c r="BU276" i="37"/>
  <c r="CE276" i="37"/>
  <c r="CO276" i="37"/>
  <c r="CY276" i="37"/>
  <c r="DI276" i="37"/>
  <c r="DS276" i="37"/>
  <c r="EC276" i="37"/>
  <c r="EM276" i="37"/>
  <c r="BA277" i="37"/>
  <c r="BK277" i="37"/>
  <c r="BU277" i="37"/>
  <c r="CE277" i="37"/>
  <c r="CO277" i="37"/>
  <c r="CY277" i="37"/>
  <c r="DI277" i="37"/>
  <c r="DS277" i="37"/>
  <c r="EC277" i="37"/>
  <c r="EM277" i="37"/>
  <c r="BA278" i="37"/>
  <c r="BK278" i="37"/>
  <c r="BU278" i="37"/>
  <c r="CE278" i="37"/>
  <c r="CO278" i="37"/>
  <c r="CY278" i="37"/>
  <c r="DI278" i="37"/>
  <c r="DS278" i="37"/>
  <c r="EC278" i="37"/>
  <c r="EM278" i="37"/>
  <c r="BA279" i="37"/>
  <c r="BK279" i="37"/>
  <c r="BU279" i="37"/>
  <c r="CE279" i="37"/>
  <c r="CO279" i="37"/>
  <c r="CY279" i="37"/>
  <c r="DI279" i="37"/>
  <c r="DS279" i="37"/>
  <c r="EC279" i="37"/>
  <c r="EM279" i="37"/>
  <c r="BA280" i="37"/>
  <c r="BK280" i="37"/>
  <c r="BU280" i="37"/>
  <c r="CE280" i="37"/>
  <c r="CO280" i="37"/>
  <c r="CY280" i="37"/>
  <c r="DI280" i="37"/>
  <c r="DS280" i="37"/>
  <c r="EC280" i="37"/>
  <c r="EM280" i="37"/>
  <c r="BA281" i="37"/>
  <c r="BK281" i="37"/>
  <c r="BU281" i="37"/>
  <c r="CE281" i="37"/>
  <c r="CO281" i="37"/>
  <c r="CY281" i="37"/>
  <c r="DI281" i="37"/>
  <c r="DS281" i="37"/>
  <c r="EC281" i="37"/>
  <c r="EM281" i="37"/>
  <c r="BA282" i="37"/>
  <c r="BK282" i="37"/>
  <c r="BU282" i="37"/>
  <c r="CE282" i="37"/>
  <c r="CO282" i="37"/>
  <c r="CY282" i="37"/>
  <c r="DI282" i="37"/>
  <c r="DS282" i="37"/>
  <c r="EC282" i="37"/>
  <c r="EM282" i="37"/>
  <c r="BA283" i="37"/>
  <c r="BK283" i="37"/>
  <c r="BU283" i="37"/>
  <c r="CE283" i="37"/>
  <c r="CO283" i="37"/>
  <c r="CY283" i="37"/>
  <c r="DI283" i="37"/>
  <c r="DS283" i="37"/>
  <c r="EC283" i="37"/>
  <c r="EM283" i="37"/>
  <c r="BA284" i="37"/>
  <c r="BK284" i="37"/>
  <c r="BU284" i="37"/>
  <c r="CE284" i="37"/>
  <c r="CO284" i="37"/>
  <c r="CY284" i="37"/>
  <c r="DI284" i="37"/>
  <c r="DS284" i="37"/>
  <c r="EC284" i="37"/>
  <c r="EM284" i="37"/>
  <c r="BA285" i="37"/>
  <c r="BK285" i="37"/>
  <c r="BU285" i="37"/>
  <c r="CE285" i="37"/>
  <c r="CO285" i="37"/>
  <c r="CY285" i="37"/>
  <c r="DI285" i="37"/>
  <c r="DS285" i="37"/>
  <c r="EC285" i="37"/>
  <c r="EM285" i="37"/>
  <c r="BA286" i="37"/>
  <c r="BK286" i="37"/>
  <c r="BU286" i="37"/>
  <c r="CE286" i="37"/>
  <c r="CO286" i="37"/>
  <c r="CY286" i="37"/>
  <c r="DI286" i="37"/>
  <c r="DS286" i="37"/>
  <c r="EC286" i="37"/>
  <c r="EM286" i="37"/>
  <c r="BA287" i="37"/>
  <c r="BK287" i="37"/>
  <c r="BU287" i="37"/>
  <c r="CE287" i="37"/>
  <c r="CO287" i="37"/>
  <c r="CY287" i="37"/>
  <c r="DI287" i="37"/>
  <c r="DS287" i="37"/>
  <c r="EC287" i="37"/>
  <c r="EM287" i="37"/>
  <c r="BA288" i="37"/>
  <c r="BK288" i="37"/>
  <c r="BU288" i="37"/>
  <c r="CE288" i="37"/>
  <c r="CO288" i="37"/>
  <c r="CY288" i="37"/>
  <c r="DI288" i="37"/>
  <c r="DS288" i="37"/>
  <c r="EC288" i="37"/>
  <c r="EM288" i="37"/>
  <c r="BA289" i="37"/>
  <c r="BK289" i="37"/>
  <c r="BU289" i="37"/>
  <c r="CE289" i="37"/>
  <c r="CO289" i="37"/>
  <c r="CY289" i="37"/>
  <c r="DI289" i="37"/>
  <c r="DS289" i="37"/>
  <c r="EC289" i="37"/>
  <c r="EM289" i="37"/>
  <c r="BA290" i="37"/>
  <c r="BK290" i="37"/>
  <c r="BU290" i="37"/>
  <c r="CE290" i="37"/>
  <c r="CO290" i="37"/>
  <c r="CY290" i="37"/>
  <c r="DI290" i="37"/>
  <c r="DS290" i="37"/>
  <c r="EC290" i="37"/>
  <c r="EM290" i="37"/>
  <c r="BA291" i="37"/>
  <c r="BK291" i="37"/>
  <c r="BU291" i="37"/>
  <c r="CE291" i="37"/>
  <c r="CO291" i="37"/>
  <c r="CY291" i="37"/>
  <c r="DI291" i="37"/>
  <c r="DS291" i="37"/>
  <c r="EC291" i="37"/>
  <c r="EM291" i="37"/>
  <c r="BA292" i="37"/>
  <c r="BK292" i="37"/>
  <c r="BU292" i="37"/>
  <c r="CE292" i="37"/>
  <c r="CO292" i="37"/>
  <c r="CY292" i="37"/>
  <c r="DI292" i="37"/>
  <c r="DS292" i="37"/>
  <c r="EC292" i="37"/>
  <c r="EM292" i="37"/>
  <c r="BA293" i="37"/>
  <c r="BK293" i="37"/>
  <c r="BU293" i="37"/>
  <c r="CE293" i="37"/>
  <c r="CO293" i="37"/>
  <c r="CY293" i="37"/>
  <c r="DI293" i="37"/>
  <c r="DS293" i="37"/>
  <c r="EC293" i="37"/>
  <c r="EM293" i="37"/>
  <c r="BA294" i="37"/>
  <c r="BK294" i="37"/>
  <c r="BU294" i="37"/>
  <c r="CE294" i="37"/>
  <c r="CO294" i="37"/>
  <c r="CY294" i="37"/>
  <c r="DI294" i="37"/>
  <c r="DS294" i="37"/>
  <c r="EC294" i="37"/>
  <c r="EM294" i="37"/>
  <c r="BA295" i="37"/>
  <c r="BK295" i="37"/>
  <c r="BU295" i="37"/>
  <c r="CE295" i="37"/>
  <c r="CO295" i="37"/>
  <c r="CY295" i="37"/>
  <c r="DI295" i="37"/>
  <c r="DS295" i="37"/>
  <c r="EC295" i="37"/>
  <c r="EM295" i="37"/>
  <c r="BA296" i="37"/>
  <c r="BK296" i="37"/>
  <c r="BU296" i="37"/>
  <c r="CE296" i="37"/>
  <c r="CO296" i="37"/>
  <c r="CY296" i="37"/>
  <c r="DI296" i="37"/>
  <c r="DS296" i="37"/>
  <c r="EC296" i="37"/>
  <c r="EM296" i="37"/>
  <c r="BA297" i="37"/>
  <c r="BK297" i="37"/>
  <c r="BU297" i="37"/>
  <c r="CE297" i="37"/>
  <c r="CO297" i="37"/>
  <c r="CY297" i="37"/>
  <c r="DI297" i="37"/>
  <c r="DS297" i="37"/>
  <c r="EC297" i="37"/>
  <c r="EM297" i="37"/>
  <c r="BA298" i="37"/>
  <c r="BK298" i="37"/>
  <c r="BU298" i="37"/>
  <c r="CE298" i="37"/>
  <c r="CO298" i="37"/>
  <c r="CY298" i="37"/>
  <c r="DI298" i="37"/>
  <c r="DS298" i="37"/>
  <c r="EC298" i="37"/>
  <c r="EM298" i="37"/>
  <c r="BA299" i="37"/>
  <c r="BK299" i="37"/>
  <c r="BU299" i="37"/>
  <c r="CE299" i="37"/>
  <c r="CO299" i="37"/>
  <c r="CY299" i="37"/>
  <c r="DI299" i="37"/>
  <c r="DS299" i="37"/>
  <c r="EC299" i="37"/>
  <c r="EM299" i="37"/>
  <c r="BA300" i="37"/>
  <c r="BK300" i="37"/>
  <c r="BU300" i="37"/>
  <c r="CE300" i="37"/>
  <c r="CO300" i="37"/>
  <c r="CY300" i="37"/>
  <c r="DI300" i="37"/>
  <c r="DS300" i="37"/>
  <c r="EC300" i="37"/>
  <c r="EM300" i="37"/>
  <c r="BA301" i="37"/>
  <c r="BK301" i="37"/>
  <c r="BU301" i="37"/>
  <c r="CE301" i="37"/>
  <c r="CO301" i="37"/>
  <c r="CY301" i="37"/>
  <c r="DI301" i="37"/>
  <c r="DS301" i="37"/>
  <c r="EC301" i="37"/>
  <c r="EM301" i="37"/>
  <c r="BA302" i="37"/>
  <c r="BK302" i="37"/>
  <c r="BU302" i="37"/>
  <c r="CE302" i="37"/>
  <c r="CO302" i="37"/>
  <c r="CY302" i="37"/>
  <c r="DI302" i="37"/>
  <c r="DS302" i="37"/>
  <c r="EC302" i="37"/>
  <c r="EM302" i="37"/>
  <c r="BA303" i="37"/>
  <c r="BK303" i="37"/>
  <c r="BU303" i="37"/>
  <c r="CE303" i="37"/>
  <c r="CO303" i="37"/>
  <c r="CY303" i="37"/>
  <c r="DI303" i="37"/>
  <c r="DS303" i="37"/>
  <c r="EC303" i="37"/>
  <c r="EM303" i="37"/>
  <c r="BA304" i="37"/>
  <c r="BK304" i="37"/>
  <c r="BU304" i="37"/>
  <c r="CE304" i="37"/>
  <c r="CO304" i="37"/>
  <c r="CY304" i="37"/>
  <c r="DI304" i="37"/>
  <c r="DS304" i="37"/>
  <c r="EC304" i="37"/>
  <c r="EM304" i="37"/>
  <c r="BA305" i="37"/>
  <c r="BK305" i="37"/>
  <c r="BU305" i="37"/>
  <c r="CE305" i="37"/>
  <c r="CO305" i="37"/>
  <c r="CY305" i="37"/>
  <c r="DI305" i="37"/>
  <c r="DS305" i="37"/>
  <c r="EC305" i="37"/>
  <c r="EM305" i="37"/>
  <c r="BA306" i="37"/>
  <c r="BK306" i="37"/>
  <c r="BU306" i="37"/>
  <c r="CE306" i="37"/>
  <c r="CO306" i="37"/>
  <c r="CY306" i="37"/>
  <c r="DI306" i="37"/>
  <c r="DS306" i="37"/>
  <c r="EC306" i="37"/>
  <c r="EM306" i="37"/>
  <c r="BA307" i="37"/>
  <c r="BK307" i="37"/>
  <c r="BU307" i="37"/>
  <c r="CE307" i="37"/>
  <c r="CO307" i="37"/>
  <c r="CY307" i="37"/>
  <c r="DI307" i="37"/>
  <c r="DS307" i="37"/>
  <c r="EC307" i="37"/>
  <c r="EM307" i="37"/>
  <c r="BA308" i="37"/>
  <c r="BK308" i="37"/>
  <c r="BU308" i="37"/>
  <c r="CE308" i="37"/>
  <c r="CO308" i="37"/>
  <c r="CY308" i="37"/>
  <c r="DI308" i="37"/>
  <c r="DS308" i="37"/>
  <c r="EC308" i="37"/>
  <c r="EM308" i="37"/>
  <c r="BA309" i="37"/>
  <c r="BK309" i="37"/>
  <c r="BU309" i="37"/>
  <c r="CE309" i="37"/>
  <c r="CO309" i="37"/>
  <c r="CY309" i="37"/>
  <c r="DI309" i="37"/>
  <c r="DS309" i="37"/>
  <c r="EC309" i="37"/>
  <c r="EM309" i="37"/>
  <c r="BA310" i="37"/>
  <c r="BK310" i="37"/>
  <c r="BU310" i="37"/>
  <c r="CE310" i="37"/>
  <c r="CO310" i="37"/>
  <c r="CY310" i="37"/>
  <c r="DI310" i="37"/>
  <c r="DS310" i="37"/>
  <c r="EC310" i="37"/>
  <c r="EM310" i="37"/>
  <c r="BA311" i="37"/>
  <c r="BK311" i="37"/>
  <c r="BU311" i="37"/>
  <c r="CE311" i="37"/>
  <c r="CO311" i="37"/>
  <c r="CY311" i="37"/>
  <c r="DI311" i="37"/>
  <c r="DS311" i="37"/>
  <c r="EC311" i="37"/>
  <c r="EM311" i="37"/>
  <c r="BA312" i="37"/>
  <c r="BK312" i="37"/>
  <c r="BU312" i="37"/>
  <c r="CE312" i="37"/>
  <c r="CO312" i="37"/>
  <c r="CY312" i="37"/>
  <c r="DI312" i="37"/>
  <c r="DS312" i="37"/>
  <c r="EC312" i="37"/>
  <c r="EM312" i="37"/>
  <c r="BA313" i="37"/>
  <c r="BK313" i="37"/>
  <c r="BU313" i="37"/>
  <c r="CE313" i="37"/>
  <c r="CO313" i="37"/>
  <c r="CY313" i="37"/>
  <c r="DI313" i="37"/>
  <c r="DS313" i="37"/>
  <c r="EC313" i="37"/>
  <c r="EM313" i="37"/>
  <c r="BA314" i="37"/>
  <c r="BK314" i="37"/>
  <c r="BU314" i="37"/>
  <c r="CE314" i="37"/>
  <c r="CO314" i="37"/>
  <c r="CY314" i="37"/>
  <c r="DI314" i="37"/>
  <c r="DS314" i="37"/>
  <c r="EC314" i="37"/>
  <c r="EM314" i="37"/>
  <c r="BA315" i="37"/>
  <c r="BK315" i="37"/>
  <c r="BU315" i="37"/>
  <c r="CE315" i="37"/>
  <c r="CO315" i="37"/>
  <c r="CY315" i="37"/>
  <c r="DI315" i="37"/>
  <c r="DS315" i="37"/>
  <c r="EC315" i="37"/>
  <c r="EM315" i="37"/>
  <c r="BA316" i="37"/>
  <c r="BK316" i="37"/>
  <c r="BU316" i="37"/>
  <c r="CE316" i="37"/>
  <c r="CO316" i="37"/>
  <c r="CY316" i="37"/>
  <c r="DI316" i="37"/>
  <c r="DS316" i="37"/>
  <c r="EC316" i="37"/>
  <c r="EM316" i="37"/>
  <c r="BA317" i="37"/>
  <c r="BK317" i="37"/>
  <c r="BU317" i="37"/>
  <c r="CE317" i="37"/>
  <c r="CO317" i="37"/>
  <c r="CY317" i="37"/>
  <c r="DI317" i="37"/>
  <c r="DS317" i="37"/>
  <c r="EC317" i="37"/>
  <c r="EM317" i="37"/>
  <c r="BA318" i="37"/>
  <c r="BK318" i="37"/>
  <c r="BU318" i="37"/>
  <c r="CE318" i="37"/>
  <c r="CO318" i="37"/>
  <c r="CY318" i="37"/>
  <c r="DI318" i="37"/>
  <c r="DS318" i="37"/>
  <c r="EC318" i="37"/>
  <c r="EM318" i="37"/>
  <c r="BA319" i="37"/>
  <c r="BK319" i="37"/>
  <c r="BU319" i="37"/>
  <c r="CE319" i="37"/>
  <c r="CO319" i="37"/>
  <c r="CY319" i="37"/>
  <c r="DI319" i="37"/>
  <c r="DS319" i="37"/>
  <c r="EC319" i="37"/>
  <c r="EM319" i="37"/>
  <c r="BA320" i="37"/>
  <c r="BK320" i="37"/>
  <c r="BU320" i="37"/>
  <c r="CE320" i="37"/>
  <c r="CO320" i="37"/>
  <c r="CY320" i="37"/>
  <c r="DI320" i="37"/>
  <c r="DS320" i="37"/>
  <c r="EC320" i="37"/>
  <c r="EM320" i="37"/>
  <c r="BA321" i="37"/>
  <c r="BK321" i="37"/>
  <c r="BU321" i="37"/>
  <c r="CE321" i="37"/>
  <c r="CO321" i="37"/>
  <c r="CY321" i="37"/>
  <c r="DI321" i="37"/>
  <c r="DS321" i="37"/>
  <c r="EC321" i="37"/>
  <c r="EM321" i="37"/>
  <c r="BA322" i="37"/>
  <c r="BK322" i="37"/>
  <c r="BU322" i="37"/>
  <c r="CE322" i="37"/>
  <c r="CO322" i="37"/>
  <c r="CY322" i="37"/>
  <c r="DI322" i="37"/>
  <c r="DS322" i="37"/>
  <c r="EC322" i="37"/>
  <c r="EM322" i="37"/>
  <c r="BA323" i="37"/>
  <c r="BK323" i="37"/>
  <c r="BU323" i="37"/>
  <c r="CE323" i="37"/>
  <c r="CO323" i="37"/>
  <c r="CY323" i="37"/>
  <c r="DI323" i="37"/>
  <c r="DS323" i="37"/>
  <c r="EC323" i="37"/>
  <c r="EM323" i="37"/>
  <c r="BA324" i="37"/>
  <c r="BK324" i="37"/>
  <c r="BU324" i="37"/>
  <c r="CE324" i="37"/>
  <c r="CO324" i="37"/>
  <c r="CY324" i="37"/>
  <c r="DI324" i="37"/>
  <c r="DS324" i="37"/>
  <c r="EC324" i="37"/>
  <c r="EM324" i="37"/>
  <c r="BA325" i="37"/>
  <c r="BK325" i="37"/>
  <c r="BU325" i="37"/>
  <c r="CE325" i="37"/>
  <c r="CO325" i="37"/>
  <c r="CY325" i="37"/>
  <c r="DI325" i="37"/>
  <c r="DS325" i="37"/>
  <c r="EC325" i="37"/>
  <c r="EM325" i="37"/>
  <c r="BA326" i="37"/>
  <c r="BK326" i="37"/>
  <c r="BU326" i="37"/>
  <c r="CE326" i="37"/>
  <c r="CO326" i="37"/>
  <c r="CY326" i="37"/>
  <c r="DI326" i="37"/>
  <c r="DS326" i="37"/>
  <c r="EC326" i="37"/>
  <c r="EM326" i="37"/>
  <c r="BA327" i="37"/>
  <c r="BK327" i="37"/>
  <c r="BU327" i="37"/>
  <c r="CE327" i="37"/>
  <c r="CO327" i="37"/>
  <c r="CY327" i="37"/>
  <c r="DI327" i="37"/>
  <c r="DS327" i="37"/>
  <c r="EC327" i="37"/>
  <c r="EM327" i="37"/>
  <c r="BA328" i="37"/>
  <c r="BK328" i="37"/>
  <c r="BU328" i="37"/>
  <c r="CE328" i="37"/>
  <c r="CO328" i="37"/>
  <c r="CY328" i="37"/>
  <c r="DI328" i="37"/>
  <c r="DS328" i="37"/>
  <c r="EC328" i="37"/>
  <c r="EM328" i="37"/>
  <c r="BA329" i="37"/>
  <c r="BK329" i="37"/>
  <c r="BU329" i="37"/>
  <c r="CE329" i="37"/>
  <c r="CO329" i="37"/>
  <c r="CY329" i="37"/>
  <c r="DI329" i="37"/>
  <c r="DS329" i="37"/>
  <c r="EC329" i="37"/>
  <c r="EM329" i="37"/>
  <c r="BA330" i="37"/>
  <c r="BK330" i="37"/>
  <c r="BU330" i="37"/>
  <c r="CE330" i="37"/>
  <c r="CO330" i="37"/>
  <c r="CY330" i="37"/>
  <c r="DI330" i="37"/>
  <c r="DS330" i="37"/>
  <c r="EC330" i="37"/>
  <c r="EM330" i="37"/>
  <c r="BA331" i="37"/>
  <c r="BK331" i="37"/>
  <c r="BU331" i="37"/>
  <c r="CE331" i="37"/>
  <c r="CO331" i="37"/>
  <c r="CY331" i="37"/>
  <c r="DI331" i="37"/>
  <c r="DS331" i="37"/>
  <c r="EC331" i="37"/>
  <c r="EM331" i="37"/>
  <c r="BA332" i="37"/>
  <c r="BK332" i="37"/>
  <c r="BU332" i="37"/>
  <c r="CE332" i="37"/>
  <c r="CO332" i="37"/>
  <c r="CY332" i="37"/>
  <c r="DI332" i="37"/>
  <c r="DS332" i="37"/>
  <c r="EC332" i="37"/>
  <c r="EM332" i="37"/>
  <c r="BA333" i="37"/>
  <c r="BK333" i="37"/>
  <c r="BU333" i="37"/>
  <c r="CE333" i="37"/>
  <c r="CO333" i="37"/>
  <c r="CY333" i="37"/>
  <c r="DI333" i="37"/>
  <c r="DS333" i="37"/>
  <c r="EC333" i="37"/>
  <c r="EM333" i="37"/>
  <c r="BA334" i="37"/>
  <c r="BK334" i="37"/>
  <c r="BU334" i="37"/>
  <c r="CE334" i="37"/>
  <c r="CO334" i="37"/>
  <c r="CY334" i="37"/>
  <c r="DI334" i="37"/>
  <c r="DS334" i="37"/>
  <c r="EC334" i="37"/>
  <c r="EM334" i="37"/>
  <c r="BA335" i="37"/>
  <c r="BK335" i="37"/>
  <c r="BU335" i="37"/>
  <c r="CE335" i="37"/>
  <c r="CO335" i="37"/>
  <c r="CY335" i="37"/>
  <c r="DI335" i="37"/>
  <c r="DS335" i="37"/>
  <c r="EC335" i="37"/>
  <c r="EM335" i="37"/>
  <c r="BA336" i="37"/>
  <c r="BK336" i="37"/>
  <c r="BU336" i="37"/>
  <c r="CE336" i="37"/>
  <c r="CO336" i="37"/>
  <c r="CY336" i="37"/>
  <c r="DI336" i="37"/>
  <c r="DS336" i="37"/>
  <c r="EC336" i="37"/>
  <c r="EM336" i="37"/>
  <c r="BA337" i="37"/>
  <c r="BK337" i="37"/>
  <c r="BU337" i="37"/>
  <c r="CE337" i="37"/>
  <c r="CO337" i="37"/>
  <c r="CY337" i="37"/>
  <c r="DI337" i="37"/>
  <c r="DS337" i="37"/>
  <c r="EC337" i="37"/>
  <c r="EM337" i="37"/>
  <c r="BA338" i="37"/>
  <c r="BK338" i="37"/>
  <c r="BU338" i="37"/>
  <c r="CE338" i="37"/>
  <c r="CO338" i="37"/>
  <c r="CY338" i="37"/>
  <c r="DI338" i="37"/>
  <c r="DS338" i="37"/>
  <c r="EC338" i="37"/>
  <c r="EM338" i="37"/>
  <c r="BA339" i="37"/>
  <c r="BK339" i="37"/>
  <c r="BU339" i="37"/>
  <c r="CE339" i="37"/>
  <c r="CO339" i="37"/>
  <c r="CY339" i="37"/>
  <c r="DI339" i="37"/>
  <c r="DS339" i="37"/>
  <c r="EC339" i="37"/>
  <c r="EM339" i="37"/>
  <c r="BA340" i="37"/>
  <c r="BK340" i="37"/>
  <c r="BU340" i="37"/>
  <c r="CE340" i="37"/>
  <c r="CO340" i="37"/>
  <c r="CY340" i="37"/>
  <c r="DI340" i="37"/>
  <c r="DS340" i="37"/>
  <c r="EC340" i="37"/>
  <c r="EM340" i="37"/>
  <c r="BA341" i="37"/>
  <c r="BK341" i="37"/>
  <c r="BU341" i="37"/>
  <c r="CE341" i="37"/>
  <c r="CO341" i="37"/>
  <c r="CY341" i="37"/>
  <c r="DI341" i="37"/>
  <c r="DS341" i="37"/>
  <c r="EC341" i="37"/>
  <c r="EM341" i="37"/>
  <c r="BA342" i="37"/>
  <c r="BK342" i="37"/>
  <c r="BU342" i="37"/>
  <c r="CE342" i="37"/>
  <c r="CO342" i="37"/>
  <c r="CY342" i="37"/>
  <c r="DI342" i="37"/>
  <c r="DS342" i="37"/>
  <c r="EC342" i="37"/>
  <c r="EM342" i="37"/>
  <c r="BA343" i="37"/>
  <c r="BK343" i="37"/>
  <c r="BU343" i="37"/>
  <c r="CE343" i="37"/>
  <c r="CO343" i="37"/>
  <c r="CY343" i="37"/>
  <c r="DI343" i="37"/>
  <c r="DS343" i="37"/>
  <c r="EC343" i="37"/>
  <c r="EM343" i="37"/>
  <c r="BA344" i="37"/>
  <c r="BK344" i="37"/>
  <c r="BU344" i="37"/>
  <c r="CE344" i="37"/>
  <c r="CO344" i="37"/>
  <c r="CY344" i="37"/>
  <c r="DI344" i="37"/>
  <c r="DS344" i="37"/>
  <c r="EC344" i="37"/>
  <c r="EM344" i="37"/>
  <c r="BA345" i="37"/>
  <c r="BK345" i="37"/>
  <c r="BU345" i="37"/>
  <c r="CE345" i="37"/>
  <c r="CO345" i="37"/>
  <c r="CY345" i="37"/>
  <c r="DI345" i="37"/>
  <c r="DS345" i="37"/>
  <c r="EC345" i="37"/>
  <c r="EM345" i="37"/>
  <c r="BA346" i="37"/>
  <c r="BK346" i="37"/>
  <c r="BU346" i="37"/>
  <c r="CE346" i="37"/>
  <c r="CO346" i="37"/>
  <c r="CY346" i="37"/>
  <c r="DI346" i="37"/>
  <c r="DS346" i="37"/>
  <c r="EC346" i="37"/>
  <c r="EM346" i="37"/>
  <c r="BA347" i="37"/>
  <c r="BK347" i="37"/>
  <c r="BU347" i="37"/>
  <c r="CE347" i="37"/>
  <c r="CO347" i="37"/>
  <c r="CY347" i="37"/>
  <c r="DI347" i="37"/>
  <c r="DS347" i="37"/>
  <c r="EC347" i="37"/>
  <c r="EM347" i="37"/>
  <c r="BA348" i="37"/>
  <c r="BK348" i="37"/>
  <c r="BU348" i="37"/>
  <c r="CE348" i="37"/>
  <c r="CO348" i="37"/>
  <c r="CY348" i="37"/>
  <c r="DI348" i="37"/>
  <c r="DS348" i="37"/>
  <c r="EC348" i="37"/>
  <c r="EM348" i="37"/>
  <c r="BA10" i="37"/>
  <c r="BK10" i="37"/>
  <c r="BU10" i="37"/>
  <c r="CE10" i="37"/>
  <c r="CO10" i="37"/>
  <c r="CY10" i="37"/>
  <c r="DI10" i="37"/>
  <c r="DS10" i="37"/>
  <c r="EC10" i="37"/>
  <c r="EM10" i="37"/>
  <c r="BA11" i="37"/>
  <c r="BK11" i="37"/>
  <c r="BU11" i="37"/>
  <c r="CE11" i="37"/>
  <c r="CO11" i="37"/>
  <c r="CY11" i="37"/>
  <c r="DI11" i="37"/>
  <c r="DS11" i="37"/>
  <c r="EC11" i="37"/>
  <c r="EM11" i="37"/>
  <c r="BA12" i="37"/>
  <c r="BK12" i="37"/>
  <c r="BU12" i="37"/>
  <c r="CE12" i="37"/>
  <c r="CO12" i="37"/>
  <c r="CY12" i="37"/>
  <c r="DI12" i="37"/>
  <c r="DS12" i="37"/>
  <c r="EC12" i="37"/>
  <c r="EM12" i="37"/>
  <c r="BA13" i="37"/>
  <c r="BK13" i="37"/>
  <c r="BU13" i="37"/>
  <c r="CE13" i="37"/>
  <c r="CO13" i="37"/>
  <c r="CY13" i="37"/>
  <c r="DI13" i="37"/>
  <c r="DS13" i="37"/>
  <c r="EC13" i="37"/>
  <c r="EM13" i="37"/>
  <c r="BA14" i="37"/>
  <c r="BK14" i="37"/>
  <c r="BU14" i="37"/>
  <c r="CE14" i="37"/>
  <c r="CO14" i="37"/>
  <c r="CY14" i="37"/>
  <c r="DI14" i="37"/>
  <c r="DS14" i="37"/>
  <c r="EC14" i="37"/>
  <c r="EM14" i="37"/>
  <c r="BA15" i="37"/>
  <c r="BK15" i="37"/>
  <c r="BU15" i="37"/>
  <c r="CE15" i="37"/>
  <c r="CO15" i="37"/>
  <c r="CY15" i="37"/>
  <c r="DI15" i="37"/>
  <c r="DS15" i="37"/>
  <c r="EC15" i="37"/>
  <c r="EM15" i="37"/>
  <c r="BA16" i="37"/>
  <c r="BK16" i="37"/>
  <c r="BU16" i="37"/>
  <c r="CE16" i="37"/>
  <c r="CO16" i="37"/>
  <c r="CY16" i="37"/>
  <c r="DI16" i="37"/>
  <c r="DS16" i="37"/>
  <c r="EC16" i="37"/>
  <c r="EM16" i="37"/>
  <c r="BA17" i="37"/>
  <c r="BK17" i="37"/>
  <c r="BU17" i="37"/>
  <c r="CE17" i="37"/>
  <c r="CO17" i="37"/>
  <c r="CY17" i="37"/>
  <c r="DI17" i="37"/>
  <c r="DS17" i="37"/>
  <c r="EC17" i="37"/>
  <c r="EM17" i="37"/>
  <c r="BA18" i="37"/>
  <c r="BK18" i="37"/>
  <c r="BU18" i="37"/>
  <c r="CE18" i="37"/>
  <c r="CO18" i="37"/>
  <c r="CY18" i="37"/>
  <c r="DI18" i="37"/>
  <c r="DS18" i="37"/>
  <c r="EC18" i="37"/>
  <c r="EM18" i="37"/>
  <c r="BA19" i="37"/>
  <c r="BK19" i="37"/>
  <c r="BU19" i="37"/>
  <c r="CE19" i="37"/>
  <c r="CO19" i="37"/>
  <c r="CY19" i="37"/>
  <c r="DI19" i="37"/>
  <c r="DS19" i="37"/>
  <c r="EC19" i="37"/>
  <c r="EM19" i="37"/>
  <c r="BA20" i="37"/>
  <c r="BK20" i="37"/>
  <c r="BU20" i="37"/>
  <c r="CE20" i="37"/>
  <c r="CO20" i="37"/>
  <c r="CY20" i="37"/>
  <c r="DI20" i="37"/>
  <c r="DS20" i="37"/>
  <c r="EC20" i="37"/>
  <c r="EM20" i="37"/>
  <c r="BA21" i="37"/>
  <c r="BK21" i="37"/>
  <c r="BU21" i="37"/>
  <c r="CE21" i="37"/>
  <c r="CO21" i="37"/>
  <c r="CY21" i="37"/>
  <c r="DI21" i="37"/>
  <c r="DS21" i="37"/>
  <c r="EC21" i="37"/>
  <c r="EM21" i="37"/>
  <c r="BA22" i="37"/>
  <c r="BK22" i="37"/>
  <c r="BU22" i="37"/>
  <c r="CE22" i="37"/>
  <c r="CO22" i="37"/>
  <c r="CY22" i="37"/>
  <c r="DI22" i="37"/>
  <c r="DS22" i="37"/>
  <c r="EC22" i="37"/>
  <c r="EM22" i="37"/>
  <c r="BA23" i="37"/>
  <c r="BK23" i="37"/>
  <c r="BU23" i="37"/>
  <c r="CE23" i="37"/>
  <c r="CO23" i="37"/>
  <c r="CY23" i="37"/>
  <c r="DI23" i="37"/>
  <c r="DS23" i="37"/>
  <c r="EC23" i="37"/>
  <c r="EM23" i="37"/>
  <c r="BA24" i="37"/>
  <c r="BK24" i="37"/>
  <c r="BU24" i="37"/>
  <c r="CE24" i="37"/>
  <c r="CO24" i="37"/>
  <c r="CY24" i="37"/>
  <c r="DI24" i="37"/>
  <c r="DS24" i="37"/>
  <c r="EC24" i="37"/>
  <c r="EM24" i="37"/>
  <c r="BA25" i="37"/>
  <c r="BK25" i="37"/>
  <c r="BU25" i="37"/>
  <c r="CE25" i="37"/>
  <c r="CO25" i="37"/>
  <c r="CY25" i="37"/>
  <c r="DI25" i="37"/>
  <c r="DS25" i="37"/>
  <c r="EC25" i="37"/>
  <c r="EM25" i="37"/>
  <c r="BA26" i="37"/>
  <c r="BK26" i="37"/>
  <c r="BU26" i="37"/>
  <c r="CE26" i="37"/>
  <c r="CO26" i="37"/>
  <c r="CY26" i="37"/>
  <c r="DI26" i="37"/>
  <c r="DS26" i="37"/>
  <c r="EC26" i="37"/>
  <c r="EM26" i="37"/>
  <c r="BA27" i="37"/>
  <c r="BK27" i="37"/>
  <c r="BU27" i="37"/>
  <c r="CE27" i="37"/>
  <c r="CO27" i="37"/>
  <c r="CY27" i="37"/>
  <c r="DI27" i="37"/>
  <c r="DS27" i="37"/>
  <c r="EC27" i="37"/>
  <c r="EM27" i="37"/>
  <c r="BA28" i="37"/>
  <c r="BK28" i="37"/>
  <c r="BU28" i="37"/>
  <c r="CE28" i="37"/>
  <c r="CO28" i="37"/>
  <c r="CY28" i="37"/>
  <c r="DI28" i="37"/>
  <c r="DS28" i="37"/>
  <c r="EC28" i="37"/>
  <c r="EM28" i="37"/>
  <c r="BA29" i="37"/>
  <c r="BK29" i="37"/>
  <c r="BU29" i="37"/>
  <c r="CE29" i="37"/>
  <c r="CO29" i="37"/>
  <c r="CY29" i="37"/>
  <c r="DI29" i="37"/>
  <c r="DS29" i="37"/>
  <c r="EC29" i="37"/>
  <c r="EM29" i="37"/>
  <c r="BA30" i="37"/>
  <c r="BK30" i="37"/>
  <c r="BU30" i="37"/>
  <c r="CE30" i="37"/>
  <c r="CO30" i="37"/>
  <c r="CY30" i="37"/>
  <c r="DI30" i="37"/>
  <c r="DS30" i="37"/>
  <c r="EC30" i="37"/>
  <c r="EM30" i="37"/>
  <c r="BA31" i="37"/>
  <c r="BK31" i="37"/>
  <c r="BU31" i="37"/>
  <c r="CE31" i="37"/>
  <c r="CO31" i="37"/>
  <c r="CY31" i="37"/>
  <c r="DI31" i="37"/>
  <c r="DS31" i="37"/>
  <c r="EC31" i="37"/>
  <c r="EM31" i="37"/>
  <c r="BA32" i="37"/>
  <c r="BK32" i="37"/>
  <c r="BU32" i="37"/>
  <c r="CE32" i="37"/>
  <c r="CO32" i="37"/>
  <c r="CY32" i="37"/>
  <c r="DI32" i="37"/>
  <c r="DS32" i="37"/>
  <c r="EC32" i="37"/>
  <c r="EM32" i="37"/>
  <c r="BA33" i="37"/>
  <c r="BK33" i="37"/>
  <c r="BU33" i="37"/>
  <c r="CE33" i="37"/>
  <c r="CO33" i="37"/>
  <c r="CY33" i="37"/>
  <c r="DI33" i="37"/>
  <c r="DS33" i="37"/>
  <c r="EC33" i="37"/>
  <c r="EM33" i="37"/>
  <c r="BA34" i="37"/>
  <c r="BK34" i="37"/>
  <c r="BU34" i="37"/>
  <c r="CE34" i="37"/>
  <c r="CO34" i="37"/>
  <c r="CY34" i="37"/>
  <c r="DI34" i="37"/>
  <c r="DS34" i="37"/>
  <c r="EC34" i="37"/>
  <c r="EM34" i="37"/>
  <c r="BA35" i="37"/>
  <c r="BK35" i="37"/>
  <c r="BU35" i="37"/>
  <c r="CE35" i="37"/>
  <c r="CO35" i="37"/>
  <c r="CY35" i="37"/>
  <c r="DI35" i="37"/>
  <c r="DS35" i="37"/>
  <c r="EC35" i="37"/>
  <c r="EM35" i="37"/>
  <c r="BA36" i="37"/>
  <c r="BK36" i="37"/>
  <c r="BU36" i="37"/>
  <c r="CE36" i="37"/>
  <c r="CO36" i="37"/>
  <c r="CY36" i="37"/>
  <c r="DI36" i="37"/>
  <c r="DS36" i="37"/>
  <c r="EC36" i="37"/>
  <c r="EM36" i="37"/>
  <c r="BA37" i="37"/>
  <c r="BK37" i="37"/>
  <c r="BU37" i="37"/>
  <c r="CE37" i="37"/>
  <c r="CO37" i="37"/>
  <c r="CY37" i="37"/>
  <c r="DI37" i="37"/>
  <c r="DS37" i="37"/>
  <c r="EC37" i="37"/>
  <c r="EM37" i="37"/>
  <c r="BA38" i="37"/>
  <c r="BK38" i="37"/>
  <c r="BU38" i="37"/>
  <c r="CE38" i="37"/>
  <c r="CO38" i="37"/>
  <c r="CY38" i="37"/>
  <c r="DI38" i="37"/>
  <c r="DS38" i="37"/>
  <c r="EC38" i="37"/>
  <c r="EM38" i="37"/>
  <c r="BA39" i="37"/>
  <c r="BK39" i="37"/>
  <c r="BU39" i="37"/>
  <c r="CE39" i="37"/>
  <c r="CO39" i="37"/>
  <c r="CY39" i="37"/>
  <c r="DI39" i="37"/>
  <c r="DS39" i="37"/>
  <c r="EC39" i="37"/>
  <c r="EM39" i="37"/>
  <c r="BA40" i="37"/>
  <c r="BK40" i="37"/>
  <c r="BU40" i="37"/>
  <c r="CE40" i="37"/>
  <c r="CO40" i="37"/>
  <c r="CY40" i="37"/>
  <c r="DI40" i="37"/>
  <c r="DS40" i="37"/>
  <c r="EC40" i="37"/>
  <c r="EM40" i="37"/>
  <c r="BA41" i="37"/>
  <c r="BK41" i="37"/>
  <c r="BU41" i="37"/>
  <c r="CE41" i="37"/>
  <c r="CO41" i="37"/>
  <c r="CY41" i="37"/>
  <c r="DI41" i="37"/>
  <c r="DS41" i="37"/>
  <c r="EC41" i="37"/>
  <c r="EM41" i="37"/>
  <c r="BA42" i="37"/>
  <c r="BK42" i="37"/>
  <c r="BU42" i="37"/>
  <c r="CE42" i="37"/>
  <c r="CO42" i="37"/>
  <c r="CY42" i="37"/>
  <c r="DI42" i="37"/>
  <c r="DS42" i="37"/>
  <c r="EC42" i="37"/>
  <c r="EM42" i="37"/>
  <c r="BA43" i="37"/>
  <c r="BK43" i="37"/>
  <c r="BU43" i="37"/>
  <c r="CE43" i="37"/>
  <c r="CO43" i="37"/>
  <c r="CY43" i="37"/>
  <c r="DI43" i="37"/>
  <c r="DS43" i="37"/>
  <c r="EC43" i="37"/>
  <c r="EM43" i="37"/>
  <c r="BA44" i="37"/>
  <c r="BK44" i="37"/>
  <c r="BU44" i="37"/>
  <c r="CE44" i="37"/>
  <c r="CO44" i="37"/>
  <c r="CY44" i="37"/>
  <c r="DI44" i="37"/>
  <c r="DS44" i="37"/>
  <c r="EC44" i="37"/>
  <c r="EM44" i="37"/>
  <c r="BA45" i="37"/>
  <c r="BK45" i="37"/>
  <c r="BU45" i="37"/>
  <c r="CE45" i="37"/>
  <c r="CO45" i="37"/>
  <c r="CY45" i="37"/>
  <c r="DI45" i="37"/>
  <c r="DS45" i="37"/>
  <c r="EC45" i="37"/>
  <c r="EM45" i="37"/>
  <c r="BA46" i="37"/>
  <c r="BK46" i="37"/>
  <c r="BU46" i="37"/>
  <c r="CE46" i="37"/>
  <c r="CO46" i="37"/>
  <c r="CY46" i="37"/>
  <c r="DI46" i="37"/>
  <c r="DS46" i="37"/>
  <c r="EC46" i="37"/>
  <c r="EM46" i="37"/>
  <c r="BA47" i="37"/>
  <c r="BK47" i="37"/>
  <c r="BU47" i="37"/>
  <c r="CE47" i="37"/>
  <c r="CO47" i="37"/>
  <c r="CY47" i="37"/>
  <c r="DI47" i="37"/>
  <c r="DS47" i="37"/>
  <c r="EC47" i="37"/>
  <c r="EM47" i="37"/>
  <c r="BA48" i="37"/>
  <c r="BK48" i="37"/>
  <c r="BU48" i="37"/>
  <c r="CE48" i="37"/>
  <c r="CO48" i="37"/>
  <c r="CY48" i="37"/>
  <c r="DI48" i="37"/>
  <c r="DS48" i="37"/>
  <c r="EC48" i="37"/>
  <c r="EM48" i="37"/>
  <c r="BA49" i="37"/>
  <c r="BK49" i="37"/>
  <c r="BU49" i="37"/>
  <c r="CE49" i="37"/>
  <c r="CO49" i="37"/>
  <c r="CY49" i="37"/>
  <c r="DI49" i="37"/>
  <c r="DS49" i="37"/>
  <c r="EC49" i="37"/>
  <c r="EM49" i="37"/>
  <c r="BA50" i="37"/>
  <c r="BK50" i="37"/>
  <c r="BU50" i="37"/>
  <c r="CE50" i="37"/>
  <c r="CO50" i="37"/>
  <c r="CY50" i="37"/>
  <c r="DI50" i="37"/>
  <c r="DS50" i="37"/>
  <c r="EC50" i="37"/>
  <c r="EM50" i="37"/>
  <c r="BA51" i="37"/>
  <c r="BK51" i="37"/>
  <c r="BU51" i="37"/>
  <c r="CE51" i="37"/>
  <c r="CO51" i="37"/>
  <c r="CY51" i="37"/>
  <c r="DI51" i="37"/>
  <c r="DS51" i="37"/>
  <c r="EC51" i="37"/>
  <c r="EM51" i="37"/>
  <c r="BA52" i="37"/>
  <c r="BK52" i="37"/>
  <c r="BU52" i="37"/>
  <c r="CE52" i="37"/>
  <c r="CO52" i="37"/>
  <c r="CY52" i="37"/>
  <c r="DI52" i="37"/>
  <c r="DS52" i="37"/>
  <c r="EC52" i="37"/>
  <c r="EM52" i="37"/>
  <c r="BA53" i="37"/>
  <c r="BK53" i="37"/>
  <c r="BU53" i="37"/>
  <c r="CE53" i="37"/>
  <c r="CO53" i="37"/>
  <c r="CY53" i="37"/>
  <c r="DI53" i="37"/>
  <c r="DS53" i="37"/>
  <c r="EC53" i="37"/>
  <c r="EM53" i="37"/>
  <c r="BA54" i="37"/>
  <c r="BK54" i="37"/>
  <c r="BU54" i="37"/>
  <c r="CE54" i="37"/>
  <c r="CO54" i="37"/>
  <c r="CY54" i="37"/>
  <c r="DI54" i="37"/>
  <c r="DS54" i="37"/>
  <c r="EC54" i="37"/>
  <c r="EM54" i="37"/>
  <c r="BA55" i="37"/>
  <c r="BK55" i="37"/>
  <c r="BU55" i="37"/>
  <c r="CE55" i="37"/>
  <c r="CO55" i="37"/>
  <c r="CY55" i="37"/>
  <c r="DI55" i="37"/>
  <c r="DS55" i="37"/>
  <c r="EC55" i="37"/>
  <c r="EM55" i="37"/>
  <c r="BA56" i="37"/>
  <c r="BK56" i="37"/>
  <c r="BU56" i="37"/>
  <c r="CE56" i="37"/>
  <c r="CO56" i="37"/>
  <c r="CY56" i="37"/>
  <c r="DI56" i="37"/>
  <c r="DS56" i="37"/>
  <c r="EC56" i="37"/>
  <c r="EM56" i="37"/>
  <c r="BA57" i="37"/>
  <c r="BK57" i="37"/>
  <c r="BU57" i="37"/>
  <c r="CE57" i="37"/>
  <c r="CO57" i="37"/>
  <c r="CY57" i="37"/>
  <c r="DI57" i="37"/>
  <c r="DS57" i="37"/>
  <c r="EC57" i="37"/>
  <c r="EM57" i="37"/>
  <c r="BA58" i="37"/>
  <c r="BK58" i="37"/>
  <c r="BU58" i="37"/>
  <c r="CE58" i="37"/>
  <c r="CO58" i="37"/>
  <c r="CY58" i="37"/>
  <c r="DI58" i="37"/>
  <c r="DS58" i="37"/>
  <c r="EC58" i="37"/>
  <c r="EM58" i="37"/>
  <c r="BA59" i="37"/>
  <c r="BK59" i="37"/>
  <c r="BU59" i="37"/>
  <c r="CE59" i="37"/>
  <c r="CO59" i="37"/>
  <c r="CY59" i="37"/>
  <c r="DI59" i="37"/>
  <c r="DS59" i="37"/>
  <c r="EC59" i="37"/>
  <c r="EM59" i="37"/>
  <c r="BA60" i="37"/>
  <c r="BK60" i="37"/>
  <c r="BU60" i="37"/>
  <c r="CE60" i="37"/>
  <c r="CO60" i="37"/>
  <c r="CY60" i="37"/>
  <c r="DI60" i="37"/>
  <c r="DS60" i="37"/>
  <c r="EC60" i="37"/>
  <c r="EM60" i="37"/>
  <c r="BA61" i="37"/>
  <c r="BK61" i="37"/>
  <c r="BU61" i="37"/>
  <c r="CE61" i="37"/>
  <c r="CO61" i="37"/>
  <c r="CY61" i="37"/>
  <c r="DI61" i="37"/>
  <c r="DS61" i="37"/>
  <c r="EC61" i="37"/>
  <c r="EM61" i="37"/>
  <c r="BA62" i="37"/>
  <c r="BK62" i="37"/>
  <c r="BU62" i="37"/>
  <c r="CE62" i="37"/>
  <c r="CO62" i="37"/>
  <c r="CY62" i="37"/>
  <c r="DI62" i="37"/>
  <c r="DS62" i="37"/>
  <c r="EC62" i="37"/>
  <c r="EM62" i="37"/>
  <c r="BA63" i="37"/>
  <c r="BK63" i="37"/>
  <c r="BU63" i="37"/>
  <c r="CE63" i="37"/>
  <c r="CO63" i="37"/>
  <c r="CY63" i="37"/>
  <c r="DI63" i="37"/>
  <c r="DS63" i="37"/>
  <c r="EC63" i="37"/>
  <c r="EM63" i="37"/>
  <c r="BA64" i="37"/>
  <c r="BK64" i="37"/>
  <c r="BU64" i="37"/>
  <c r="CE64" i="37"/>
  <c r="CO64" i="37"/>
  <c r="CY64" i="37"/>
  <c r="DI64" i="37"/>
  <c r="DS64" i="37"/>
  <c r="EC64" i="37"/>
  <c r="EM64" i="37"/>
  <c r="BA65" i="37"/>
  <c r="BK65" i="37"/>
  <c r="BU65" i="37"/>
  <c r="CE65" i="37"/>
  <c r="CO65" i="37"/>
  <c r="CY65" i="37"/>
  <c r="DI65" i="37"/>
  <c r="DS65" i="37"/>
  <c r="EC65" i="37"/>
  <c r="EM65" i="37"/>
  <c r="BA66" i="37"/>
  <c r="BK66" i="37"/>
  <c r="BU66" i="37"/>
  <c r="CE66" i="37"/>
  <c r="CO66" i="37"/>
  <c r="CY66" i="37"/>
  <c r="DI66" i="37"/>
  <c r="DS66" i="37"/>
  <c r="EC66" i="37"/>
  <c r="EM66" i="37"/>
  <c r="BA67" i="37"/>
  <c r="BK67" i="37"/>
  <c r="BU67" i="37"/>
  <c r="CE67" i="37"/>
  <c r="CO67" i="37"/>
  <c r="CY67" i="37"/>
  <c r="DI67" i="37"/>
  <c r="DS67" i="37"/>
  <c r="EC67" i="37"/>
  <c r="EM67" i="37"/>
  <c r="BA68" i="37"/>
  <c r="BK68" i="37"/>
  <c r="BU68" i="37"/>
  <c r="CE68" i="37"/>
  <c r="CO68" i="37"/>
  <c r="CY68" i="37"/>
  <c r="DI68" i="37"/>
  <c r="DS68" i="37"/>
  <c r="EC68" i="37"/>
  <c r="EM68" i="37"/>
  <c r="BA69" i="37"/>
  <c r="BK69" i="37"/>
  <c r="BU69" i="37"/>
  <c r="CE69" i="37"/>
  <c r="CO69" i="37"/>
  <c r="CY69" i="37"/>
  <c r="DI69" i="37"/>
  <c r="DS69" i="37"/>
  <c r="EC69" i="37"/>
  <c r="EM69" i="37"/>
  <c r="BA70" i="37"/>
  <c r="BK70" i="37"/>
  <c r="BU70" i="37"/>
  <c r="CE70" i="37"/>
  <c r="CO70" i="37"/>
  <c r="CY70" i="37"/>
  <c r="DI70" i="37"/>
  <c r="DS70" i="37"/>
  <c r="EC70" i="37"/>
  <c r="EM70" i="37"/>
  <c r="BA71" i="37"/>
  <c r="BK71" i="37"/>
  <c r="BU71" i="37"/>
  <c r="CE71" i="37"/>
  <c r="CO71" i="37"/>
  <c r="CY71" i="37"/>
  <c r="DI71" i="37"/>
  <c r="DS71" i="37"/>
  <c r="EC71" i="37"/>
  <c r="EM71" i="37"/>
  <c r="BA72" i="37"/>
  <c r="BK72" i="37"/>
  <c r="BU72" i="37"/>
  <c r="CE72" i="37"/>
  <c r="CO72" i="37"/>
  <c r="CY72" i="37"/>
  <c r="DI72" i="37"/>
  <c r="DS72" i="37"/>
  <c r="EC72" i="37"/>
  <c r="EM72" i="37"/>
  <c r="BA73" i="37"/>
  <c r="BK73" i="37"/>
  <c r="BU73" i="37"/>
  <c r="CE73" i="37"/>
  <c r="CO73" i="37"/>
  <c r="CY73" i="37"/>
  <c r="DI73" i="37"/>
  <c r="DS73" i="37"/>
  <c r="EC73" i="37"/>
  <c r="EM73" i="37"/>
  <c r="BA74" i="37"/>
  <c r="BK74" i="37"/>
  <c r="BU74" i="37"/>
  <c r="CE74" i="37"/>
  <c r="CO74" i="37"/>
  <c r="CY74" i="37"/>
  <c r="DI74" i="37"/>
  <c r="DS74" i="37"/>
  <c r="EC74" i="37"/>
  <c r="EM74" i="37"/>
  <c r="BA75" i="37"/>
  <c r="BK75" i="37"/>
  <c r="BU75" i="37"/>
  <c r="CE75" i="37"/>
  <c r="CO75" i="37"/>
  <c r="CY75" i="37"/>
  <c r="DI75" i="37"/>
  <c r="DS75" i="37"/>
  <c r="EC75" i="37"/>
  <c r="EM75" i="37"/>
  <c r="BA76" i="37"/>
  <c r="BK76" i="37"/>
  <c r="BU76" i="37"/>
  <c r="CE76" i="37"/>
  <c r="CO76" i="37"/>
  <c r="CY76" i="37"/>
  <c r="DI76" i="37"/>
  <c r="DS76" i="37"/>
  <c r="EC76" i="37"/>
  <c r="EM76" i="37"/>
  <c r="BA77" i="37"/>
  <c r="BK77" i="37"/>
  <c r="BU77" i="37"/>
  <c r="CE77" i="37"/>
  <c r="CO77" i="37"/>
  <c r="CY77" i="37"/>
  <c r="DI77" i="37"/>
  <c r="DS77" i="37"/>
  <c r="EC77" i="37"/>
  <c r="EM77" i="37"/>
  <c r="BA78" i="37"/>
  <c r="BK78" i="37"/>
  <c r="BU78" i="37"/>
  <c r="CE78" i="37"/>
  <c r="CO78" i="37"/>
  <c r="CY78" i="37"/>
  <c r="DI78" i="37"/>
  <c r="DS78" i="37"/>
  <c r="EC78" i="37"/>
  <c r="EM78" i="37"/>
  <c r="BA79" i="37"/>
  <c r="BK79" i="37"/>
  <c r="BU79" i="37"/>
  <c r="CE79" i="37"/>
  <c r="CO79" i="37"/>
  <c r="CY79" i="37"/>
  <c r="DI79" i="37"/>
  <c r="DS79" i="37"/>
  <c r="EC79" i="37"/>
  <c r="EM79" i="37"/>
  <c r="BA80" i="37"/>
  <c r="BK80" i="37"/>
  <c r="BU80" i="37"/>
  <c r="CE80" i="37"/>
  <c r="CO80" i="37"/>
  <c r="CY80" i="37"/>
  <c r="DI80" i="37"/>
  <c r="DS80" i="37"/>
  <c r="EC80" i="37"/>
  <c r="EM80" i="37"/>
  <c r="BA81" i="37"/>
  <c r="BK81" i="37"/>
  <c r="BU81" i="37"/>
  <c r="CE81" i="37"/>
  <c r="CO81" i="37"/>
  <c r="CY81" i="37"/>
  <c r="DI81" i="37"/>
  <c r="DS81" i="37"/>
  <c r="EC81" i="37"/>
  <c r="EM81" i="37"/>
  <c r="BA82" i="37"/>
  <c r="BK82" i="37"/>
  <c r="BU82" i="37"/>
  <c r="CE82" i="37"/>
  <c r="CO82" i="37"/>
  <c r="CY82" i="37"/>
  <c r="DI82" i="37"/>
  <c r="DS82" i="37"/>
  <c r="EC82" i="37"/>
  <c r="EM82" i="37"/>
  <c r="BA83" i="37"/>
  <c r="BK83" i="37"/>
  <c r="BU83" i="37"/>
  <c r="CE83" i="37"/>
  <c r="CO83" i="37"/>
  <c r="CY83" i="37"/>
  <c r="DI83" i="37"/>
  <c r="DS83" i="37"/>
  <c r="EC83" i="37"/>
  <c r="EM83" i="37"/>
  <c r="BA84" i="37"/>
  <c r="BK84" i="37"/>
  <c r="BU84" i="37"/>
  <c r="CE84" i="37"/>
  <c r="CO84" i="37"/>
  <c r="CY84" i="37"/>
  <c r="DI84" i="37"/>
  <c r="DS84" i="37"/>
  <c r="EC84" i="37"/>
  <c r="EM84" i="37"/>
  <c r="BA85" i="37"/>
  <c r="BK85" i="37"/>
  <c r="BU85" i="37"/>
  <c r="CE85" i="37"/>
  <c r="CO85" i="37"/>
  <c r="CY85" i="37"/>
  <c r="DI85" i="37"/>
  <c r="DS85" i="37"/>
  <c r="EC85" i="37"/>
  <c r="EM85" i="37"/>
  <c r="BA86" i="37"/>
  <c r="BK86" i="37"/>
  <c r="BU86" i="37"/>
  <c r="CE86" i="37"/>
  <c r="CO86" i="37"/>
  <c r="CY86" i="37"/>
  <c r="DI86" i="37"/>
  <c r="DS86" i="37"/>
  <c r="EC86" i="37"/>
  <c r="EM86" i="37"/>
  <c r="BA87" i="37"/>
  <c r="BK87" i="37"/>
  <c r="BU87" i="37"/>
  <c r="CE87" i="37"/>
  <c r="CO87" i="37"/>
  <c r="CY87" i="37"/>
  <c r="DI87" i="37"/>
  <c r="DS87" i="37"/>
  <c r="EC87" i="37"/>
  <c r="EM87" i="37"/>
  <c r="BA88" i="37"/>
  <c r="BK88" i="37"/>
  <c r="BU88" i="37"/>
  <c r="CE88" i="37"/>
  <c r="CO88" i="37"/>
  <c r="CY88" i="37"/>
  <c r="DI88" i="37"/>
  <c r="DS88" i="37"/>
  <c r="EC88" i="37"/>
  <c r="EM88" i="37"/>
  <c r="BA89" i="37"/>
  <c r="BK89" i="37"/>
  <c r="BU89" i="37"/>
  <c r="CE89" i="37"/>
  <c r="CO89" i="37"/>
  <c r="CY89" i="37"/>
  <c r="DI89" i="37"/>
  <c r="DS89" i="37"/>
  <c r="EC89" i="37"/>
  <c r="EM89" i="37"/>
  <c r="BA90" i="37"/>
  <c r="BK90" i="37"/>
  <c r="BU90" i="37"/>
  <c r="CE90" i="37"/>
  <c r="CO90" i="37"/>
  <c r="CY90" i="37"/>
  <c r="DI90" i="37"/>
  <c r="DS90" i="37"/>
  <c r="EC90" i="37"/>
  <c r="EM90" i="37"/>
  <c r="BA91" i="37"/>
  <c r="BK91" i="37"/>
  <c r="BU91" i="37"/>
  <c r="CE91" i="37"/>
  <c r="CO91" i="37"/>
  <c r="CY91" i="37"/>
  <c r="DI91" i="37"/>
  <c r="DS91" i="37"/>
  <c r="EC91" i="37"/>
  <c r="EM91" i="37"/>
  <c r="BA92" i="37"/>
  <c r="BK92" i="37"/>
  <c r="BU92" i="37"/>
  <c r="CE92" i="37"/>
  <c r="CO92" i="37"/>
  <c r="CY92" i="37"/>
  <c r="DI92" i="37"/>
  <c r="DS92" i="37"/>
  <c r="EC92" i="37"/>
  <c r="EM92" i="37"/>
  <c r="BA93" i="37"/>
  <c r="BK93" i="37"/>
  <c r="BU93" i="37"/>
  <c r="CE93" i="37"/>
  <c r="CO93" i="37"/>
  <c r="CY93" i="37"/>
  <c r="DI93" i="37"/>
  <c r="DS93" i="37"/>
  <c r="EC93" i="37"/>
  <c r="EM93" i="37"/>
  <c r="BA94" i="37"/>
  <c r="BK94" i="37"/>
  <c r="BU94" i="37"/>
  <c r="CE94" i="37"/>
  <c r="CO94" i="37"/>
  <c r="CY94" i="37"/>
  <c r="DI94" i="37"/>
  <c r="DS94" i="37"/>
  <c r="EC94" i="37"/>
  <c r="EM94" i="37"/>
  <c r="BA95" i="37"/>
  <c r="BK95" i="37"/>
  <c r="BU95" i="37"/>
  <c r="CE95" i="37"/>
  <c r="CO95" i="37"/>
  <c r="CY95" i="37"/>
  <c r="DI95" i="37"/>
  <c r="DS95" i="37"/>
  <c r="EC95" i="37"/>
  <c r="EM95" i="37"/>
  <c r="BA96" i="37"/>
  <c r="BK96" i="37"/>
  <c r="BU96" i="37"/>
  <c r="CE96" i="37"/>
  <c r="CO96" i="37"/>
  <c r="CY96" i="37"/>
  <c r="DI96" i="37"/>
  <c r="DS96" i="37"/>
  <c r="EC96" i="37"/>
  <c r="EM96" i="37"/>
  <c r="BA97" i="37"/>
  <c r="BK97" i="37"/>
  <c r="BU97" i="37"/>
  <c r="CE97" i="37"/>
  <c r="CO97" i="37"/>
  <c r="CY97" i="37"/>
  <c r="DI97" i="37"/>
  <c r="DS97" i="37"/>
  <c r="EC97" i="37"/>
  <c r="EM97" i="37"/>
  <c r="BA98" i="37"/>
  <c r="BK98" i="37"/>
  <c r="BU98" i="37"/>
  <c r="CE98" i="37"/>
  <c r="CO98" i="37"/>
  <c r="CY98" i="37"/>
  <c r="DI98" i="37"/>
  <c r="DS98" i="37"/>
  <c r="EC98" i="37"/>
  <c r="EM98" i="37"/>
  <c r="BA99" i="37"/>
  <c r="BK99" i="37"/>
  <c r="BU99" i="37"/>
  <c r="CE99" i="37"/>
  <c r="CO99" i="37"/>
  <c r="CY99" i="37"/>
  <c r="DI99" i="37"/>
  <c r="DS99" i="37"/>
  <c r="EC99" i="37"/>
  <c r="EM99" i="37"/>
  <c r="BA100" i="37"/>
  <c r="BK100" i="37"/>
  <c r="BU100" i="37"/>
  <c r="CE100" i="37"/>
  <c r="CO100" i="37"/>
  <c r="CY100" i="37"/>
  <c r="DI100" i="37"/>
  <c r="DS100" i="37"/>
  <c r="EC100" i="37"/>
  <c r="EM100" i="37"/>
  <c r="BA101" i="37"/>
  <c r="BK101" i="37"/>
  <c r="BU101" i="37"/>
  <c r="CE101" i="37"/>
  <c r="CO101" i="37"/>
  <c r="CY101" i="37"/>
  <c r="DI101" i="37"/>
  <c r="DS101" i="37"/>
  <c r="EC101" i="37"/>
  <c r="EM101" i="37"/>
  <c r="BA102" i="37"/>
  <c r="BK102" i="37"/>
  <c r="BU102" i="37"/>
  <c r="CE102" i="37"/>
  <c r="CO102" i="37"/>
  <c r="CY102" i="37"/>
  <c r="DI102" i="37"/>
  <c r="DS102" i="37"/>
  <c r="EC102" i="37"/>
  <c r="EM102" i="37"/>
  <c r="BA103" i="37"/>
  <c r="BK103" i="37"/>
  <c r="BU103" i="37"/>
  <c r="CE103" i="37"/>
  <c r="CO103" i="37"/>
  <c r="CY103" i="37"/>
  <c r="DI103" i="37"/>
  <c r="DS103" i="37"/>
  <c r="EC103" i="37"/>
  <c r="EM103" i="37"/>
  <c r="BA104" i="37"/>
  <c r="BK104" i="37"/>
  <c r="BU104" i="37"/>
  <c r="CE104" i="37"/>
  <c r="CO104" i="37"/>
  <c r="CY104" i="37"/>
  <c r="DI104" i="37"/>
  <c r="DS104" i="37"/>
  <c r="EC104" i="37"/>
  <c r="EM104" i="37"/>
  <c r="BA105" i="37"/>
  <c r="BK105" i="37"/>
  <c r="BU105" i="37"/>
  <c r="CE105" i="37"/>
  <c r="CO105" i="37"/>
  <c r="CY105" i="37"/>
  <c r="DI105" i="37"/>
  <c r="DS105" i="37"/>
  <c r="EC105" i="37"/>
  <c r="EM105" i="37"/>
  <c r="BA106" i="37"/>
  <c r="BK106" i="37"/>
  <c r="BU106" i="37"/>
  <c r="CE106" i="37"/>
  <c r="CO106" i="37"/>
  <c r="CY106" i="37"/>
  <c r="DI106" i="37"/>
  <c r="DS106" i="37"/>
  <c r="EC106" i="37"/>
  <c r="EM106" i="37"/>
  <c r="BA107" i="37"/>
  <c r="BK107" i="37"/>
  <c r="BU107" i="37"/>
  <c r="CE107" i="37"/>
  <c r="CO107" i="37"/>
  <c r="CY107" i="37"/>
  <c r="DI107" i="37"/>
  <c r="DS107" i="37"/>
  <c r="EC107" i="37"/>
  <c r="EM107" i="37"/>
  <c r="BA108" i="37"/>
  <c r="BK108" i="37"/>
  <c r="BU108" i="37"/>
  <c r="CE108" i="37"/>
  <c r="CO108" i="37"/>
  <c r="CY108" i="37"/>
  <c r="DI108" i="37"/>
  <c r="DS108" i="37"/>
  <c r="EC108" i="37"/>
  <c r="EM108" i="37"/>
  <c r="BA109" i="37"/>
  <c r="BK109" i="37"/>
  <c r="BU109" i="37"/>
  <c r="CE109" i="37"/>
  <c r="CO109" i="37"/>
  <c r="CY109" i="37"/>
  <c r="DI109" i="37"/>
  <c r="DS109" i="37"/>
  <c r="EC109" i="37"/>
  <c r="EM109" i="37"/>
  <c r="BA110" i="37"/>
  <c r="BK110" i="37"/>
  <c r="BU110" i="37"/>
  <c r="CE110" i="37"/>
  <c r="CO110" i="37"/>
  <c r="CY110" i="37"/>
  <c r="DI110" i="37"/>
  <c r="DS110" i="37"/>
  <c r="EC110" i="37"/>
  <c r="EM110" i="37"/>
  <c r="BA111" i="37"/>
  <c r="BK111" i="37"/>
  <c r="BU111" i="37"/>
  <c r="CE111" i="37"/>
  <c r="CO111" i="37"/>
  <c r="CY111" i="37"/>
  <c r="DI111" i="37"/>
  <c r="DS111" i="37"/>
  <c r="EC111" i="37"/>
  <c r="EM111" i="37"/>
  <c r="BA112" i="37"/>
  <c r="BK112" i="37"/>
  <c r="BU112" i="37"/>
  <c r="CE112" i="37"/>
  <c r="CO112" i="37"/>
  <c r="CY112" i="37"/>
  <c r="DI112" i="37"/>
  <c r="DS112" i="37"/>
  <c r="EC112" i="37"/>
  <c r="EM112" i="37"/>
  <c r="BA113" i="37"/>
  <c r="BK113" i="37"/>
  <c r="BU113" i="37"/>
  <c r="CE113" i="37"/>
  <c r="CO113" i="37"/>
  <c r="CY113" i="37"/>
  <c r="DI113" i="37"/>
  <c r="DS113" i="37"/>
  <c r="EC113" i="37"/>
  <c r="EM113" i="37"/>
  <c r="BA114" i="37"/>
  <c r="BK114" i="37"/>
  <c r="BU114" i="37"/>
  <c r="CE114" i="37"/>
  <c r="CO114" i="37"/>
  <c r="CY114" i="37"/>
  <c r="DI114" i="37"/>
  <c r="DS114" i="37"/>
  <c r="EC114" i="37"/>
  <c r="EM114" i="37"/>
  <c r="BA115" i="37"/>
  <c r="BK115" i="37"/>
  <c r="BU115" i="37"/>
  <c r="CE115" i="37"/>
  <c r="CO115" i="37"/>
  <c r="CY115" i="37"/>
  <c r="DI115" i="37"/>
  <c r="DS115" i="37"/>
  <c r="EC115" i="37"/>
  <c r="EM115" i="37"/>
  <c r="BA116" i="37"/>
  <c r="BK116" i="37"/>
  <c r="BU116" i="37"/>
  <c r="CE116" i="37"/>
  <c r="CO116" i="37"/>
  <c r="CY116" i="37"/>
  <c r="DI116" i="37"/>
  <c r="DS116" i="37"/>
  <c r="EC116" i="37"/>
  <c r="EM116" i="37"/>
  <c r="BA117" i="37"/>
  <c r="BK117" i="37"/>
  <c r="BU117" i="37"/>
  <c r="CE117" i="37"/>
  <c r="CO117" i="37"/>
  <c r="CY117" i="37"/>
  <c r="DI117" i="37"/>
  <c r="DS117" i="37"/>
  <c r="EC117" i="37"/>
  <c r="EM117" i="37"/>
  <c r="BA118" i="37"/>
  <c r="BK118" i="37"/>
  <c r="BU118" i="37"/>
  <c r="CE118" i="37"/>
  <c r="CO118" i="37"/>
  <c r="CY118" i="37"/>
  <c r="DI118" i="37"/>
  <c r="DS118" i="37"/>
  <c r="EC118" i="37"/>
  <c r="EM118" i="37"/>
  <c r="BA119" i="37"/>
  <c r="BK119" i="37"/>
  <c r="BU119" i="37"/>
  <c r="CE119" i="37"/>
  <c r="CO119" i="37"/>
  <c r="CY119" i="37"/>
  <c r="DI119" i="37"/>
  <c r="DS119" i="37"/>
  <c r="EC119" i="37"/>
  <c r="EM119" i="37"/>
  <c r="BA120" i="37"/>
  <c r="BK120" i="37"/>
  <c r="BU120" i="37"/>
  <c r="CE120" i="37"/>
  <c r="CO120" i="37"/>
  <c r="CY120" i="37"/>
  <c r="DI120" i="37"/>
  <c r="DS120" i="37"/>
  <c r="EC120" i="37"/>
  <c r="EM120" i="37"/>
  <c r="BA9" i="37"/>
  <c r="BK9" i="37"/>
  <c r="BU9" i="37"/>
  <c r="CE9" i="37"/>
  <c r="CO9" i="37"/>
  <c r="CY9" i="37"/>
  <c r="DI9" i="37"/>
  <c r="DS9" i="37"/>
  <c r="EC9" i="37"/>
  <c r="EM9" i="37"/>
  <c r="EL8" i="37"/>
  <c r="EB8" i="37"/>
  <c r="DR8" i="37"/>
  <c r="DH8" i="37"/>
  <c r="CX8" i="37"/>
  <c r="CN8" i="37"/>
  <c r="CD8" i="37"/>
  <c r="BT8" i="37"/>
  <c r="BJ8" i="37"/>
  <c r="AZ8" i="37"/>
  <c r="D14" i="40"/>
  <c r="D17" i="40"/>
  <c r="CP105" i="37" l="1"/>
  <c r="S30" i="36"/>
  <c r="S91" i="36"/>
  <c r="BB105" i="37"/>
  <c r="ED312" i="37"/>
  <c r="DJ252" i="38"/>
  <c r="CZ86" i="37"/>
  <c r="DT86" i="37"/>
  <c r="EN85" i="37"/>
  <c r="S33" i="36"/>
  <c r="BB106" i="37"/>
  <c r="DT104" i="37"/>
  <c r="CZ104" i="37"/>
  <c r="EN103" i="37"/>
  <c r="DT103" i="37"/>
  <c r="CZ103" i="37"/>
  <c r="EN102" i="37"/>
  <c r="DT102" i="37"/>
  <c r="CZ102" i="37"/>
  <c r="EN101" i="37"/>
  <c r="DT101" i="37"/>
  <c r="CZ101" i="37"/>
  <c r="EN100" i="37"/>
  <c r="DT100" i="37"/>
  <c r="CZ100" i="37"/>
  <c r="EN99" i="37"/>
  <c r="DT99" i="37"/>
  <c r="CZ99" i="37"/>
  <c r="EN98" i="37"/>
  <c r="DT98" i="37"/>
  <c r="CZ98" i="37"/>
  <c r="EN97" i="37"/>
  <c r="DT97" i="37"/>
  <c r="CZ97" i="37"/>
  <c r="EN96" i="37"/>
  <c r="DT96" i="37"/>
  <c r="CZ96" i="37"/>
  <c r="EN95" i="37"/>
  <c r="DT95" i="37"/>
  <c r="CZ95" i="37"/>
  <c r="EN94" i="37"/>
  <c r="DT94" i="37"/>
  <c r="CZ94" i="37"/>
  <c r="EN93" i="37"/>
  <c r="DT93" i="37"/>
  <c r="CZ93" i="37"/>
  <c r="EN92" i="37"/>
  <c r="DT92" i="37"/>
  <c r="CZ92" i="37"/>
  <c r="EN91" i="37"/>
  <c r="DT91" i="37"/>
  <c r="CZ91" i="37"/>
  <c r="EN90" i="37"/>
  <c r="DT90" i="37"/>
  <c r="CZ90" i="37"/>
  <c r="EN89" i="37"/>
  <c r="DT89" i="37"/>
  <c r="CZ89" i="37"/>
  <c r="EN88" i="37"/>
  <c r="DT88" i="37"/>
  <c r="CZ88" i="37"/>
  <c r="EN87" i="37"/>
  <c r="DT87" i="37"/>
  <c r="CZ87" i="37"/>
  <c r="EN86" i="37"/>
  <c r="CP106" i="37"/>
  <c r="BL122" i="37"/>
  <c r="BL124" i="37"/>
  <c r="BL170" i="37"/>
  <c r="BL171" i="37"/>
  <c r="BL172" i="37"/>
  <c r="BL174" i="37"/>
  <c r="BL176" i="37"/>
  <c r="BL177" i="37"/>
  <c r="BL178" i="37"/>
  <c r="BL179" i="37"/>
  <c r="BL181" i="37"/>
  <c r="BL183" i="37"/>
  <c r="BL193" i="37"/>
  <c r="BL194" i="37"/>
  <c r="BL195" i="37"/>
  <c r="BL196" i="37"/>
  <c r="BL197" i="37"/>
  <c r="BL198" i="37"/>
  <c r="BL199" i="37"/>
  <c r="BL200" i="37"/>
  <c r="BL201" i="37"/>
  <c r="BL202" i="37"/>
  <c r="BL203" i="37"/>
  <c r="BL204" i="37"/>
  <c r="BL205" i="37"/>
  <c r="BL206" i="37"/>
  <c r="BL207" i="37"/>
  <c r="BL208" i="37"/>
  <c r="BL209" i="37"/>
  <c r="BL210" i="37"/>
  <c r="BL211" i="37"/>
  <c r="BL212" i="37"/>
  <c r="BL213" i="37"/>
  <c r="BL214" i="37"/>
  <c r="BL215" i="37"/>
  <c r="BL216" i="37"/>
  <c r="BL217" i="37"/>
  <c r="BL218" i="37"/>
  <c r="BL220" i="37"/>
  <c r="BL121" i="37"/>
  <c r="BL123" i="37"/>
  <c r="BL125" i="37"/>
  <c r="BL157" i="37"/>
  <c r="BL158" i="37"/>
  <c r="BL159" i="37"/>
  <c r="BL160" i="37"/>
  <c r="BL161" i="37"/>
  <c r="BL162" i="37"/>
  <c r="BL163" i="37"/>
  <c r="BL164" i="37"/>
  <c r="BL165" i="37"/>
  <c r="BL166" i="37"/>
  <c r="BL167" i="37"/>
  <c r="BL168" i="37"/>
  <c r="BL169" i="37"/>
  <c r="BL173" i="37"/>
  <c r="BL175" i="37"/>
  <c r="BL180" i="37"/>
  <c r="BL182" i="37"/>
  <c r="BL184" i="37"/>
  <c r="BL219" i="37"/>
  <c r="BL262" i="37"/>
  <c r="BL263" i="37"/>
  <c r="BL264" i="37"/>
  <c r="BL265" i="37"/>
  <c r="BL266" i="37"/>
  <c r="BL267" i="37"/>
  <c r="BL268" i="37"/>
  <c r="BL269" i="37"/>
  <c r="BL270" i="37"/>
  <c r="BL271" i="37"/>
  <c r="BL272" i="37"/>
  <c r="BL273" i="37"/>
  <c r="BL274" i="37"/>
  <c r="BL275" i="37"/>
  <c r="BL276" i="37"/>
  <c r="BL277" i="37"/>
  <c r="BL278" i="37"/>
  <c r="BL279" i="37"/>
  <c r="BL280" i="37"/>
  <c r="BL281" i="37"/>
  <c r="BL282" i="37"/>
  <c r="BL283" i="37"/>
  <c r="BL284" i="37"/>
  <c r="BL285" i="37"/>
  <c r="BL286" i="37"/>
  <c r="BL287" i="37"/>
  <c r="BL288" i="37"/>
  <c r="BL289" i="37"/>
  <c r="BL290" i="37"/>
  <c r="BL291" i="37"/>
  <c r="BL292" i="37"/>
  <c r="BL293" i="37"/>
  <c r="BL294" i="37"/>
  <c r="BL295" i="37"/>
  <c r="BL296" i="37"/>
  <c r="BL297" i="37"/>
  <c r="BL298" i="37"/>
  <c r="BL299" i="37"/>
  <c r="BL300" i="37"/>
  <c r="BL301" i="37"/>
  <c r="BL302" i="37"/>
  <c r="BL303" i="37"/>
  <c r="BL304" i="37"/>
  <c r="BL305" i="37"/>
  <c r="BL306" i="37"/>
  <c r="BL307" i="37"/>
  <c r="BL308" i="37"/>
  <c r="BL309" i="37"/>
  <c r="BL310" i="37"/>
  <c r="BL311" i="37"/>
  <c r="BL312" i="37"/>
  <c r="BL313" i="37"/>
  <c r="BL314" i="37"/>
  <c r="BL315" i="37"/>
  <c r="BL316" i="37"/>
  <c r="BL317" i="37"/>
  <c r="BL318" i="37"/>
  <c r="BL319" i="37"/>
  <c r="BL320" i="37"/>
  <c r="BL321" i="37"/>
  <c r="BL322" i="37"/>
  <c r="BL323" i="37"/>
  <c r="BL324" i="37"/>
  <c r="BL325" i="37"/>
  <c r="BL326" i="37"/>
  <c r="BL327" i="37"/>
  <c r="BL328" i="37"/>
  <c r="BL329" i="37"/>
  <c r="BL330" i="37"/>
  <c r="BL331" i="37"/>
  <c r="BL332" i="37"/>
  <c r="BL333" i="37"/>
  <c r="BL334" i="37"/>
  <c r="BL335" i="37"/>
  <c r="BL336" i="37"/>
  <c r="BL337" i="37"/>
  <c r="BL338" i="37"/>
  <c r="BL339" i="37"/>
  <c r="BL340" i="37"/>
  <c r="BL341" i="37"/>
  <c r="BL342" i="37"/>
  <c r="BL343" i="37"/>
  <c r="BL344" i="37"/>
  <c r="BL345" i="37"/>
  <c r="BV121" i="37"/>
  <c r="BV123" i="37"/>
  <c r="BV125" i="37"/>
  <c r="BV157" i="37"/>
  <c r="BV158" i="37"/>
  <c r="BV159" i="37"/>
  <c r="BV160" i="37"/>
  <c r="BV161" i="37"/>
  <c r="BV162" i="37"/>
  <c r="BV163" i="37"/>
  <c r="BV164" i="37"/>
  <c r="BV165" i="37"/>
  <c r="BV166" i="37"/>
  <c r="BV167" i="37"/>
  <c r="BV168" i="37"/>
  <c r="BV169" i="37"/>
  <c r="BV170" i="37"/>
  <c r="BV171" i="37"/>
  <c r="BV172" i="37"/>
  <c r="BV174" i="37"/>
  <c r="BV176" i="37"/>
  <c r="BV177" i="37"/>
  <c r="BV178" i="37"/>
  <c r="BV179" i="37"/>
  <c r="BV181" i="37"/>
  <c r="BV183" i="37"/>
  <c r="BV193" i="37"/>
  <c r="BV194" i="37"/>
  <c r="BV195" i="37"/>
  <c r="BV196" i="37"/>
  <c r="BV197" i="37"/>
  <c r="BV198" i="37"/>
  <c r="BV199" i="37"/>
  <c r="BV200" i="37"/>
  <c r="BV201" i="37"/>
  <c r="BV202" i="37"/>
  <c r="BV203" i="37"/>
  <c r="BV204" i="37"/>
  <c r="BV205" i="37"/>
  <c r="BV206" i="37"/>
  <c r="BV207" i="37"/>
  <c r="BV208" i="37"/>
  <c r="BV209" i="37"/>
  <c r="BV210" i="37"/>
  <c r="BV211" i="37"/>
  <c r="BV212" i="37"/>
  <c r="BV213" i="37"/>
  <c r="BV214" i="37"/>
  <c r="BV215" i="37"/>
  <c r="BV216" i="37"/>
  <c r="BV217" i="37"/>
  <c r="BV218" i="37"/>
  <c r="BV220" i="37"/>
  <c r="BV307" i="37"/>
  <c r="BV308" i="37"/>
  <c r="BV309" i="37"/>
  <c r="BV122" i="37"/>
  <c r="BV124" i="37"/>
  <c r="BV173" i="37"/>
  <c r="BV175" i="37"/>
  <c r="BV180" i="37"/>
  <c r="BV182" i="37"/>
  <c r="BV184" i="37"/>
  <c r="BV219" i="37"/>
  <c r="BV262" i="37"/>
  <c r="BV263" i="37"/>
  <c r="BV264" i="37"/>
  <c r="BV265" i="37"/>
  <c r="BV266" i="37"/>
  <c r="BV267" i="37"/>
  <c r="BV268" i="37"/>
  <c r="BV269" i="37"/>
  <c r="BV270" i="37"/>
  <c r="BV271" i="37"/>
  <c r="BV272" i="37"/>
  <c r="BV273" i="37"/>
  <c r="BV274" i="37"/>
  <c r="BV275" i="37"/>
  <c r="BV276" i="37"/>
  <c r="BV277" i="37"/>
  <c r="BV310" i="37"/>
  <c r="BV311" i="37"/>
  <c r="BV278" i="37"/>
  <c r="BV279" i="37"/>
  <c r="BV280" i="37"/>
  <c r="BV281" i="37"/>
  <c r="BV282" i="37"/>
  <c r="BV283" i="37"/>
  <c r="BV284" i="37"/>
  <c r="BV285" i="37"/>
  <c r="BV286" i="37"/>
  <c r="BV287" i="37"/>
  <c r="BV288" i="37"/>
  <c r="BV289" i="37"/>
  <c r="BV290" i="37"/>
  <c r="BV291" i="37"/>
  <c r="BV292" i="37"/>
  <c r="BV293" i="37"/>
  <c r="BV294" i="37"/>
  <c r="BV295" i="37"/>
  <c r="BV296" i="37"/>
  <c r="BV297" i="37"/>
  <c r="BV298" i="37"/>
  <c r="BV299" i="37"/>
  <c r="BV300" i="37"/>
  <c r="BV301" i="37"/>
  <c r="BV302" i="37"/>
  <c r="BV303" i="37"/>
  <c r="BV304" i="37"/>
  <c r="BV305" i="37"/>
  <c r="BV306" i="37"/>
  <c r="CF121" i="37"/>
  <c r="CF123" i="37"/>
  <c r="CF170" i="37"/>
  <c r="CF171" i="37"/>
  <c r="CF173" i="37"/>
  <c r="CF175" i="37"/>
  <c r="CF176" i="37"/>
  <c r="CF177" i="37"/>
  <c r="CF178" i="37"/>
  <c r="CF179" i="37"/>
  <c r="CF180" i="37"/>
  <c r="CF182" i="37"/>
  <c r="CF184" i="37"/>
  <c r="CF193" i="37"/>
  <c r="CF194" i="37"/>
  <c r="CF195" i="37"/>
  <c r="CF196" i="37"/>
  <c r="CF197" i="37"/>
  <c r="CF198" i="37"/>
  <c r="CF199" i="37"/>
  <c r="CF200" i="37"/>
  <c r="CF201" i="37"/>
  <c r="CF202" i="37"/>
  <c r="CF203" i="37"/>
  <c r="CF204" i="37"/>
  <c r="CF205" i="37"/>
  <c r="CF206" i="37"/>
  <c r="CF207" i="37"/>
  <c r="CF208" i="37"/>
  <c r="CF209" i="37"/>
  <c r="CF210" i="37"/>
  <c r="CF211" i="37"/>
  <c r="CF212" i="37"/>
  <c r="CF213" i="37"/>
  <c r="CF214" i="37"/>
  <c r="CF215" i="37"/>
  <c r="CF216" i="37"/>
  <c r="CF217" i="37"/>
  <c r="CF219" i="37"/>
  <c r="CF122" i="37"/>
  <c r="CF124" i="37"/>
  <c r="CF157" i="37"/>
  <c r="CF158" i="37"/>
  <c r="CF159" i="37"/>
  <c r="CF160" i="37"/>
  <c r="CF161" i="37"/>
  <c r="CF162" i="37"/>
  <c r="CF163" i="37"/>
  <c r="CF164" i="37"/>
  <c r="CF165" i="37"/>
  <c r="CF166" i="37"/>
  <c r="CF167" i="37"/>
  <c r="CF168" i="37"/>
  <c r="CF169" i="37"/>
  <c r="CF172" i="37"/>
  <c r="CF174" i="37"/>
  <c r="CF181" i="37"/>
  <c r="CF183" i="37"/>
  <c r="CF218" i="37"/>
  <c r="CF220" i="37"/>
  <c r="CF262" i="37"/>
  <c r="CF263" i="37"/>
  <c r="CF264" i="37"/>
  <c r="CF265" i="37"/>
  <c r="CF266" i="37"/>
  <c r="CF267" i="37"/>
  <c r="CF268" i="37"/>
  <c r="CF269" i="37"/>
  <c r="CF270" i="37"/>
  <c r="CF271" i="37"/>
  <c r="CF272" i="37"/>
  <c r="CF273" i="37"/>
  <c r="CF274" i="37"/>
  <c r="CF275" i="37"/>
  <c r="CF276" i="37"/>
  <c r="CF277" i="37"/>
  <c r="CF278" i="37"/>
  <c r="CF279" i="37"/>
  <c r="CF280" i="37"/>
  <c r="CF281" i="37"/>
  <c r="CF282" i="37"/>
  <c r="CF283" i="37"/>
  <c r="CF284" i="37"/>
  <c r="CF285" i="37"/>
  <c r="CF286" i="37"/>
  <c r="CF287" i="37"/>
  <c r="CF288" i="37"/>
  <c r="CF289" i="37"/>
  <c r="CF290" i="37"/>
  <c r="CF291" i="37"/>
  <c r="CF292" i="37"/>
  <c r="CF293" i="37"/>
  <c r="CF294" i="37"/>
  <c r="CF295" i="37"/>
  <c r="CF296" i="37"/>
  <c r="CF297" i="37"/>
  <c r="CF298" i="37"/>
  <c r="CF299" i="37"/>
  <c r="CF300" i="37"/>
  <c r="CF301" i="37"/>
  <c r="CF302" i="37"/>
  <c r="CF303" i="37"/>
  <c r="CF304" i="37"/>
  <c r="CF305" i="37"/>
  <c r="CF306" i="37"/>
  <c r="CF307" i="37"/>
  <c r="CF308" i="37"/>
  <c r="CF309" i="37"/>
  <c r="CF310" i="37"/>
  <c r="CF311" i="37"/>
  <c r="CF312" i="37"/>
  <c r="CF313" i="37"/>
  <c r="CF314" i="37"/>
  <c r="CF315" i="37"/>
  <c r="CF316" i="37"/>
  <c r="CF317" i="37"/>
  <c r="CF318" i="37"/>
  <c r="CF319" i="37"/>
  <c r="CF320" i="37"/>
  <c r="CF321" i="37"/>
  <c r="CF322" i="37"/>
  <c r="CF323" i="37"/>
  <c r="CF324" i="37"/>
  <c r="CF325" i="37"/>
  <c r="CF326" i="37"/>
  <c r="CF327" i="37"/>
  <c r="CF328" i="37"/>
  <c r="CF329" i="37"/>
  <c r="CF330" i="37"/>
  <c r="CF331" i="37"/>
  <c r="CF332" i="37"/>
  <c r="CF333" i="37"/>
  <c r="CF334" i="37"/>
  <c r="CF335" i="37"/>
  <c r="CF336" i="37"/>
  <c r="CF337" i="37"/>
  <c r="CF338" i="37"/>
  <c r="CF339" i="37"/>
  <c r="CF340" i="37"/>
  <c r="CF341" i="37"/>
  <c r="CF342" i="37"/>
  <c r="CF343" i="37"/>
  <c r="CF344" i="37"/>
  <c r="CF345" i="37"/>
  <c r="DJ121" i="37"/>
  <c r="DJ123" i="37"/>
  <c r="DJ156" i="37"/>
  <c r="DJ157" i="37"/>
  <c r="DJ158" i="37"/>
  <c r="DJ159" i="37"/>
  <c r="DJ160" i="37"/>
  <c r="DJ161" i="37"/>
  <c r="DJ162" i="37"/>
  <c r="DJ163" i="37"/>
  <c r="DJ164" i="37"/>
  <c r="DJ165" i="37"/>
  <c r="DJ166" i="37"/>
  <c r="DJ167" i="37"/>
  <c r="DJ168" i="37"/>
  <c r="DJ169" i="37"/>
  <c r="DJ170" i="37"/>
  <c r="DJ172" i="37"/>
  <c r="DJ174" i="37"/>
  <c r="DJ176" i="37"/>
  <c r="DJ177" i="37"/>
  <c r="DJ178" i="37"/>
  <c r="DJ179" i="37"/>
  <c r="DJ181" i="37"/>
  <c r="DJ183" i="37"/>
  <c r="DJ193" i="37"/>
  <c r="DJ194" i="37"/>
  <c r="DJ195" i="37"/>
  <c r="DJ196" i="37"/>
  <c r="DJ197" i="37"/>
  <c r="DJ198" i="37"/>
  <c r="DJ199" i="37"/>
  <c r="DJ200" i="37"/>
  <c r="DJ201" i="37"/>
  <c r="DJ202" i="37"/>
  <c r="DJ203" i="37"/>
  <c r="DJ204" i="37"/>
  <c r="DJ205" i="37"/>
  <c r="DJ206" i="37"/>
  <c r="DJ207" i="37"/>
  <c r="DJ208" i="37"/>
  <c r="DJ209" i="37"/>
  <c r="DJ210" i="37"/>
  <c r="DJ211" i="37"/>
  <c r="DJ212" i="37"/>
  <c r="DJ213" i="37"/>
  <c r="DJ214" i="37"/>
  <c r="DJ215" i="37"/>
  <c r="DJ216" i="37"/>
  <c r="DJ217" i="37"/>
  <c r="DJ218" i="37"/>
  <c r="DJ220" i="37"/>
  <c r="DJ306" i="37"/>
  <c r="DJ307" i="37"/>
  <c r="DJ308" i="37"/>
  <c r="DJ309" i="37"/>
  <c r="DJ122" i="37"/>
  <c r="DJ124" i="37"/>
  <c r="DJ171" i="37"/>
  <c r="DJ173" i="37"/>
  <c r="DJ175" i="37"/>
  <c r="DJ180" i="37"/>
  <c r="DJ182" i="37"/>
  <c r="DJ184" i="37"/>
  <c r="DJ219" i="37"/>
  <c r="DJ262" i="37"/>
  <c r="DJ263" i="37"/>
  <c r="DJ264" i="37"/>
  <c r="DJ265" i="37"/>
  <c r="DJ266" i="37"/>
  <c r="DJ267" i="37"/>
  <c r="DJ268" i="37"/>
  <c r="DJ269" i="37"/>
  <c r="DJ270" i="37"/>
  <c r="DJ271" i="37"/>
  <c r="DJ272" i="37"/>
  <c r="DJ273" i="37"/>
  <c r="DJ274" i="37"/>
  <c r="DJ275" i="37"/>
  <c r="DJ276" i="37"/>
  <c r="DJ277" i="37"/>
  <c r="DJ310" i="37"/>
  <c r="DJ311" i="37"/>
  <c r="DJ278" i="37"/>
  <c r="DJ279" i="37"/>
  <c r="DJ280" i="37"/>
  <c r="DJ281" i="37"/>
  <c r="DJ282" i="37"/>
  <c r="DJ283" i="37"/>
  <c r="DJ284" i="37"/>
  <c r="DJ285" i="37"/>
  <c r="DJ286" i="37"/>
  <c r="DJ287" i="37"/>
  <c r="DJ288" i="37"/>
  <c r="DJ289" i="37"/>
  <c r="DJ290" i="37"/>
  <c r="DJ291" i="37"/>
  <c r="DJ292" i="37"/>
  <c r="DJ293" i="37"/>
  <c r="DJ294" i="37"/>
  <c r="DJ295" i="37"/>
  <c r="DJ296" i="37"/>
  <c r="DJ297" i="37"/>
  <c r="DJ298" i="37"/>
  <c r="DJ299" i="37"/>
  <c r="DJ300" i="37"/>
  <c r="DJ301" i="37"/>
  <c r="DJ302" i="37"/>
  <c r="DJ303" i="37"/>
  <c r="DJ304" i="37"/>
  <c r="DJ305" i="37"/>
  <c r="BV106" i="37"/>
  <c r="ED105" i="37"/>
  <c r="DJ105" i="37"/>
  <c r="BV105" i="37"/>
  <c r="CF104" i="37"/>
  <c r="CF101" i="37"/>
  <c r="CF99" i="37"/>
  <c r="CF96" i="37"/>
  <c r="CF95" i="37"/>
  <c r="CF92" i="37"/>
  <c r="CF91" i="37"/>
  <c r="BL91" i="37"/>
  <c r="BL89" i="37"/>
  <c r="BB122" i="37"/>
  <c r="BB124" i="37"/>
  <c r="BB157" i="37"/>
  <c r="BB158" i="37"/>
  <c r="BB159" i="37"/>
  <c r="BB160" i="37"/>
  <c r="BB161" i="37"/>
  <c r="BB162" i="37"/>
  <c r="BB163" i="37"/>
  <c r="BB164" i="37"/>
  <c r="BB165" i="37"/>
  <c r="BB166" i="37"/>
  <c r="BB167" i="37"/>
  <c r="BB168" i="37"/>
  <c r="BB169" i="37"/>
  <c r="BB170" i="37"/>
  <c r="BB171" i="37"/>
  <c r="BB173" i="37"/>
  <c r="BB175" i="37"/>
  <c r="BB177" i="37"/>
  <c r="BB178" i="37"/>
  <c r="BB179" i="37"/>
  <c r="BB180" i="37"/>
  <c r="BB182" i="37"/>
  <c r="BB184" i="37"/>
  <c r="BB193" i="37"/>
  <c r="BB194" i="37"/>
  <c r="BB195" i="37"/>
  <c r="BB196" i="37"/>
  <c r="BB197" i="37"/>
  <c r="BB198" i="37"/>
  <c r="BB199" i="37"/>
  <c r="BB200" i="37"/>
  <c r="BB201" i="37"/>
  <c r="BB202" i="37"/>
  <c r="BB203" i="37"/>
  <c r="BB204" i="37"/>
  <c r="BB205" i="37"/>
  <c r="BB206" i="37"/>
  <c r="BB207" i="37"/>
  <c r="BB208" i="37"/>
  <c r="BB209" i="37"/>
  <c r="BB210" i="37"/>
  <c r="BB211" i="37"/>
  <c r="BB212" i="37"/>
  <c r="BB213" i="37"/>
  <c r="BB214" i="37"/>
  <c r="BB215" i="37"/>
  <c r="BB216" i="37"/>
  <c r="BB217" i="37"/>
  <c r="BB219" i="37"/>
  <c r="BB221" i="37"/>
  <c r="BB307" i="37"/>
  <c r="BB308" i="37"/>
  <c r="BB309" i="37"/>
  <c r="BB121" i="37"/>
  <c r="BB123" i="37"/>
  <c r="BB125" i="37"/>
  <c r="BB172" i="37"/>
  <c r="BB174" i="37"/>
  <c r="BB176" i="37"/>
  <c r="BB181" i="37"/>
  <c r="BB183" i="37"/>
  <c r="BB185" i="37"/>
  <c r="BB218" i="37"/>
  <c r="BB220" i="37"/>
  <c r="BB262" i="37"/>
  <c r="BB263" i="37"/>
  <c r="BB264" i="37"/>
  <c r="BB265" i="37"/>
  <c r="BB266" i="37"/>
  <c r="BB267" i="37"/>
  <c r="BB268" i="37"/>
  <c r="BB269" i="37"/>
  <c r="BB270" i="37"/>
  <c r="BB271" i="37"/>
  <c r="BB272" i="37"/>
  <c r="BB273" i="37"/>
  <c r="BB274" i="37"/>
  <c r="BB275" i="37"/>
  <c r="BB276" i="37"/>
  <c r="BB277" i="37"/>
  <c r="BB310" i="37"/>
  <c r="BB311" i="37"/>
  <c r="BB312" i="37"/>
  <c r="BB278" i="37"/>
  <c r="BB279" i="37"/>
  <c r="BB280" i="37"/>
  <c r="BB281" i="37"/>
  <c r="BB282" i="37"/>
  <c r="BB283" i="37"/>
  <c r="BB284" i="37"/>
  <c r="BB285" i="37"/>
  <c r="BB286" i="37"/>
  <c r="BB287" i="37"/>
  <c r="BB288" i="37"/>
  <c r="BB289" i="37"/>
  <c r="BB290" i="37"/>
  <c r="BB291" i="37"/>
  <c r="BB292" i="37"/>
  <c r="BB293" i="37"/>
  <c r="BB294" i="37"/>
  <c r="BB295" i="37"/>
  <c r="BB296" i="37"/>
  <c r="BB297" i="37"/>
  <c r="BB298" i="37"/>
  <c r="BB299" i="37"/>
  <c r="BB300" i="37"/>
  <c r="BB301" i="37"/>
  <c r="BB302" i="37"/>
  <c r="BB303" i="37"/>
  <c r="BB304" i="37"/>
  <c r="BB305" i="37"/>
  <c r="BB306" i="37"/>
  <c r="CP122" i="37"/>
  <c r="CP124" i="37"/>
  <c r="CP156" i="37"/>
  <c r="CP157" i="37"/>
  <c r="CP158" i="37"/>
  <c r="CP159" i="37"/>
  <c r="CP160" i="37"/>
  <c r="CP161" i="37"/>
  <c r="CP162" i="37"/>
  <c r="CP163" i="37"/>
  <c r="CP164" i="37"/>
  <c r="CP165" i="37"/>
  <c r="CP166" i="37"/>
  <c r="CP167" i="37"/>
  <c r="CP168" i="37"/>
  <c r="CP169" i="37"/>
  <c r="CP170" i="37"/>
  <c r="CP171" i="37"/>
  <c r="CP173" i="37"/>
  <c r="CP175" i="37"/>
  <c r="CP176" i="37"/>
  <c r="CP177" i="37"/>
  <c r="CP178" i="37"/>
  <c r="CP179" i="37"/>
  <c r="CP180" i="37"/>
  <c r="CP182" i="37"/>
  <c r="CP184" i="37"/>
  <c r="CP193" i="37"/>
  <c r="CP194" i="37"/>
  <c r="CP195" i="37"/>
  <c r="CP196" i="37"/>
  <c r="CP197" i="37"/>
  <c r="CP198" i="37"/>
  <c r="CP199" i="37"/>
  <c r="CP200" i="37"/>
  <c r="CP201" i="37"/>
  <c r="CP202" i="37"/>
  <c r="CP203" i="37"/>
  <c r="CP204" i="37"/>
  <c r="CP205" i="37"/>
  <c r="CP206" i="37"/>
  <c r="CP207" i="37"/>
  <c r="CP208" i="37"/>
  <c r="CP209" i="37"/>
  <c r="CP210" i="37"/>
  <c r="CP211" i="37"/>
  <c r="CP212" i="37"/>
  <c r="CP213" i="37"/>
  <c r="CP214" i="37"/>
  <c r="CP215" i="37"/>
  <c r="CP216" i="37"/>
  <c r="CP217" i="37"/>
  <c r="CP219" i="37"/>
  <c r="CP306" i="37"/>
  <c r="CP307" i="37"/>
  <c r="CP308" i="37"/>
  <c r="CP309" i="37"/>
  <c r="CP121" i="37"/>
  <c r="CP123" i="37"/>
  <c r="CP172" i="37"/>
  <c r="CP174" i="37"/>
  <c r="CP181" i="37"/>
  <c r="CP183" i="37"/>
  <c r="CP218" i="37"/>
  <c r="CP220" i="37"/>
  <c r="CP262" i="37"/>
  <c r="CP263" i="37"/>
  <c r="CP264" i="37"/>
  <c r="CP265" i="37"/>
  <c r="CP266" i="37"/>
  <c r="CP267" i="37"/>
  <c r="CP268" i="37"/>
  <c r="CP269" i="37"/>
  <c r="CP270" i="37"/>
  <c r="CP271" i="37"/>
  <c r="CP272" i="37"/>
  <c r="CP273" i="37"/>
  <c r="CP274" i="37"/>
  <c r="CP275" i="37"/>
  <c r="CP276" i="37"/>
  <c r="CP277" i="37"/>
  <c r="CP310" i="37"/>
  <c r="CP311" i="37"/>
  <c r="CP278" i="37"/>
  <c r="CP279" i="37"/>
  <c r="CP280" i="37"/>
  <c r="CP281" i="37"/>
  <c r="CP282" i="37"/>
  <c r="CP283" i="37"/>
  <c r="CP284" i="37"/>
  <c r="CP285" i="37"/>
  <c r="CP286" i="37"/>
  <c r="CP287" i="37"/>
  <c r="CP288" i="37"/>
  <c r="CP289" i="37"/>
  <c r="CP290" i="37"/>
  <c r="CP291" i="37"/>
  <c r="CP292" i="37"/>
  <c r="CP293" i="37"/>
  <c r="CP294" i="37"/>
  <c r="CP295" i="37"/>
  <c r="CP296" i="37"/>
  <c r="CP297" i="37"/>
  <c r="CP298" i="37"/>
  <c r="CP299" i="37"/>
  <c r="CP300" i="37"/>
  <c r="CP301" i="37"/>
  <c r="CP302" i="37"/>
  <c r="CP303" i="37"/>
  <c r="CP304" i="37"/>
  <c r="CP305" i="37"/>
  <c r="CZ122" i="37"/>
  <c r="CZ124" i="37"/>
  <c r="CZ170" i="37"/>
  <c r="CZ172" i="37"/>
  <c r="CZ174" i="37"/>
  <c r="CZ176" i="37"/>
  <c r="CZ177" i="37"/>
  <c r="CZ178" i="37"/>
  <c r="CZ179" i="37"/>
  <c r="CZ181" i="37"/>
  <c r="CZ183" i="37"/>
  <c r="CZ193" i="37"/>
  <c r="CZ194" i="37"/>
  <c r="CZ195" i="37"/>
  <c r="CZ196" i="37"/>
  <c r="CZ197" i="37"/>
  <c r="CZ198" i="37"/>
  <c r="CZ199" i="37"/>
  <c r="CZ200" i="37"/>
  <c r="CZ201" i="37"/>
  <c r="CZ202" i="37"/>
  <c r="CZ203" i="37"/>
  <c r="CZ204" i="37"/>
  <c r="CZ205" i="37"/>
  <c r="CZ206" i="37"/>
  <c r="CZ207" i="37"/>
  <c r="CZ208" i="37"/>
  <c r="CZ209" i="37"/>
  <c r="CZ210" i="37"/>
  <c r="CZ211" i="37"/>
  <c r="CZ212" i="37"/>
  <c r="CZ213" i="37"/>
  <c r="CZ214" i="37"/>
  <c r="CZ215" i="37"/>
  <c r="CZ216" i="37"/>
  <c r="CZ217" i="37"/>
  <c r="CZ218" i="37"/>
  <c r="CZ220" i="37"/>
  <c r="CZ121" i="37"/>
  <c r="CZ123" i="37"/>
  <c r="CZ156" i="37"/>
  <c r="CZ157" i="37"/>
  <c r="CZ158" i="37"/>
  <c r="CZ159" i="37"/>
  <c r="CZ160" i="37"/>
  <c r="CZ161" i="37"/>
  <c r="CZ162" i="37"/>
  <c r="CZ163" i="37"/>
  <c r="CZ164" i="37"/>
  <c r="CZ165" i="37"/>
  <c r="CZ166" i="37"/>
  <c r="CZ167" i="37"/>
  <c r="CZ168" i="37"/>
  <c r="CZ169" i="37"/>
  <c r="CZ171" i="37"/>
  <c r="CZ173" i="37"/>
  <c r="CZ175" i="37"/>
  <c r="CZ180" i="37"/>
  <c r="CZ182" i="37"/>
  <c r="CZ184" i="37"/>
  <c r="CZ219" i="37"/>
  <c r="CZ262" i="37"/>
  <c r="CZ263" i="37"/>
  <c r="CZ264" i="37"/>
  <c r="CZ265" i="37"/>
  <c r="CZ266" i="37"/>
  <c r="CZ267" i="37"/>
  <c r="CZ268" i="37"/>
  <c r="CZ269" i="37"/>
  <c r="CZ270" i="37"/>
  <c r="CZ271" i="37"/>
  <c r="CZ272" i="37"/>
  <c r="CZ273" i="37"/>
  <c r="CZ274" i="37"/>
  <c r="CZ275" i="37"/>
  <c r="CZ276" i="37"/>
  <c r="CZ277" i="37"/>
  <c r="CZ278" i="37"/>
  <c r="CZ279" i="37"/>
  <c r="CZ280" i="37"/>
  <c r="CZ281" i="37"/>
  <c r="CZ282" i="37"/>
  <c r="CZ283" i="37"/>
  <c r="CZ284" i="37"/>
  <c r="CZ285" i="37"/>
  <c r="CZ286" i="37"/>
  <c r="CZ287" i="37"/>
  <c r="CZ288" i="37"/>
  <c r="CZ289" i="37"/>
  <c r="CZ290" i="37"/>
  <c r="CZ291" i="37"/>
  <c r="CZ292" i="37"/>
  <c r="CZ293" i="37"/>
  <c r="CZ294" i="37"/>
  <c r="CZ295" i="37"/>
  <c r="CZ296" i="37"/>
  <c r="CZ297" i="37"/>
  <c r="CZ298" i="37"/>
  <c r="CZ299" i="37"/>
  <c r="CZ300" i="37"/>
  <c r="CZ301" i="37"/>
  <c r="CZ302" i="37"/>
  <c r="CZ303" i="37"/>
  <c r="CZ304" i="37"/>
  <c r="CZ305" i="37"/>
  <c r="CZ306" i="37"/>
  <c r="CZ307" i="37"/>
  <c r="CZ308" i="37"/>
  <c r="CZ309" i="37"/>
  <c r="CZ310" i="37"/>
  <c r="CZ311" i="37"/>
  <c r="CZ312" i="37"/>
  <c r="CZ313" i="37"/>
  <c r="CZ314" i="37"/>
  <c r="CZ315" i="37"/>
  <c r="CZ316" i="37"/>
  <c r="CZ317" i="37"/>
  <c r="CZ318" i="37"/>
  <c r="CZ319" i="37"/>
  <c r="CZ320" i="37"/>
  <c r="CZ321" i="37"/>
  <c r="CZ322" i="37"/>
  <c r="CZ323" i="37"/>
  <c r="CZ324" i="37"/>
  <c r="CZ325" i="37"/>
  <c r="CZ326" i="37"/>
  <c r="CZ327" i="37"/>
  <c r="CZ328" i="37"/>
  <c r="CZ329" i="37"/>
  <c r="CZ330" i="37"/>
  <c r="CZ331" i="37"/>
  <c r="CZ332" i="37"/>
  <c r="CZ333" i="37"/>
  <c r="CZ334" i="37"/>
  <c r="CZ335" i="37"/>
  <c r="CZ336" i="37"/>
  <c r="CZ337" i="37"/>
  <c r="CZ338" i="37"/>
  <c r="CZ339" i="37"/>
  <c r="CZ340" i="37"/>
  <c r="CZ341" i="37"/>
  <c r="CZ342" i="37"/>
  <c r="CZ343" i="37"/>
  <c r="CZ344" i="37"/>
  <c r="CZ345" i="37"/>
  <c r="DT121" i="37"/>
  <c r="DT123" i="37"/>
  <c r="DT170" i="37"/>
  <c r="DT171" i="37"/>
  <c r="DT173" i="37"/>
  <c r="DT175" i="37"/>
  <c r="DT176" i="37"/>
  <c r="DT177" i="37"/>
  <c r="DT178" i="37"/>
  <c r="DT179" i="37"/>
  <c r="DT180" i="37"/>
  <c r="DT182" i="37"/>
  <c r="DT184" i="37"/>
  <c r="DT192" i="37"/>
  <c r="DT193" i="37"/>
  <c r="DT194" i="37"/>
  <c r="DT195" i="37"/>
  <c r="DT196" i="37"/>
  <c r="DT197" i="37"/>
  <c r="DT198" i="37"/>
  <c r="DT199" i="37"/>
  <c r="DT200" i="37"/>
  <c r="DT201" i="37"/>
  <c r="DT202" i="37"/>
  <c r="DT203" i="37"/>
  <c r="DT204" i="37"/>
  <c r="DT205" i="37"/>
  <c r="DT206" i="37"/>
  <c r="DT207" i="37"/>
  <c r="DT208" i="37"/>
  <c r="DT209" i="37"/>
  <c r="DT210" i="37"/>
  <c r="DT211" i="37"/>
  <c r="DT212" i="37"/>
  <c r="DT213" i="37"/>
  <c r="DT214" i="37"/>
  <c r="DT215" i="37"/>
  <c r="DT216" i="37"/>
  <c r="DT217" i="37"/>
  <c r="DT219" i="37"/>
  <c r="DT122" i="37"/>
  <c r="DT124" i="37"/>
  <c r="DT156" i="37"/>
  <c r="DT157" i="37"/>
  <c r="DT158" i="37"/>
  <c r="DT159" i="37"/>
  <c r="DT160" i="37"/>
  <c r="DT161" i="37"/>
  <c r="DT162" i="37"/>
  <c r="DT163" i="37"/>
  <c r="DT164" i="37"/>
  <c r="DT165" i="37"/>
  <c r="DT166" i="37"/>
  <c r="DT167" i="37"/>
  <c r="DT168" i="37"/>
  <c r="DT169" i="37"/>
  <c r="DT172" i="37"/>
  <c r="DT174" i="37"/>
  <c r="DT181" i="37"/>
  <c r="DT183" i="37"/>
  <c r="DT218" i="37"/>
  <c r="DT220" i="37"/>
  <c r="DT261" i="37"/>
  <c r="DT262" i="37"/>
  <c r="DT263" i="37"/>
  <c r="DT264" i="37"/>
  <c r="DT265" i="37"/>
  <c r="DT266" i="37"/>
  <c r="DT267" i="37"/>
  <c r="DT268" i="37"/>
  <c r="DT269" i="37"/>
  <c r="DT270" i="37"/>
  <c r="DT271" i="37"/>
  <c r="DT272" i="37"/>
  <c r="DT273" i="37"/>
  <c r="DT274" i="37"/>
  <c r="DT275" i="37"/>
  <c r="DT276" i="37"/>
  <c r="DT277" i="37"/>
  <c r="DT278" i="37"/>
  <c r="DT279" i="37"/>
  <c r="DT280" i="37"/>
  <c r="DT281" i="37"/>
  <c r="DT282" i="37"/>
  <c r="DT283" i="37"/>
  <c r="DT284" i="37"/>
  <c r="DT285" i="37"/>
  <c r="DT286" i="37"/>
  <c r="DT287" i="37"/>
  <c r="DT288" i="37"/>
  <c r="DT289" i="37"/>
  <c r="DT290" i="37"/>
  <c r="DT291" i="37"/>
  <c r="DT292" i="37"/>
  <c r="DT293" i="37"/>
  <c r="DT294" i="37"/>
  <c r="DT295" i="37"/>
  <c r="DT296" i="37"/>
  <c r="DT297" i="37"/>
  <c r="DT298" i="37"/>
  <c r="DT299" i="37"/>
  <c r="DT300" i="37"/>
  <c r="DT301" i="37"/>
  <c r="DT302" i="37"/>
  <c r="DT303" i="37"/>
  <c r="DT304" i="37"/>
  <c r="DT305" i="37"/>
  <c r="DT306" i="37"/>
  <c r="DT307" i="37"/>
  <c r="DT308" i="37"/>
  <c r="DT309" i="37"/>
  <c r="DT310" i="37"/>
  <c r="DT311" i="37"/>
  <c r="DT312" i="37"/>
  <c r="DT313" i="37"/>
  <c r="DT314" i="37"/>
  <c r="DT315" i="37"/>
  <c r="DT316" i="37"/>
  <c r="DT317" i="37"/>
  <c r="DT318" i="37"/>
  <c r="DT319" i="37"/>
  <c r="DT320" i="37"/>
  <c r="DT321" i="37"/>
  <c r="DT322" i="37"/>
  <c r="DT323" i="37"/>
  <c r="DT324" i="37"/>
  <c r="DT325" i="37"/>
  <c r="DT326" i="37"/>
  <c r="DT327" i="37"/>
  <c r="DT328" i="37"/>
  <c r="DT329" i="37"/>
  <c r="DT330" i="37"/>
  <c r="DT331" i="37"/>
  <c r="DT332" i="37"/>
  <c r="DT333" i="37"/>
  <c r="DT334" i="37"/>
  <c r="DT335" i="37"/>
  <c r="DT336" i="37"/>
  <c r="DT337" i="37"/>
  <c r="DT338" i="37"/>
  <c r="DT339" i="37"/>
  <c r="DT340" i="37"/>
  <c r="DT341" i="37"/>
  <c r="DT342" i="37"/>
  <c r="DT343" i="37"/>
  <c r="DT344" i="37"/>
  <c r="DT345" i="37"/>
  <c r="EN122" i="37"/>
  <c r="EN124" i="37"/>
  <c r="EN170" i="37"/>
  <c r="EN172" i="37"/>
  <c r="EN174" i="37"/>
  <c r="EN176" i="37"/>
  <c r="EN177" i="37"/>
  <c r="EN178" i="37"/>
  <c r="EN179" i="37"/>
  <c r="EN181" i="37"/>
  <c r="EN183" i="37"/>
  <c r="EN192" i="37"/>
  <c r="EN193" i="37"/>
  <c r="EN194" i="37"/>
  <c r="EN195" i="37"/>
  <c r="EN196" i="37"/>
  <c r="EN197" i="37"/>
  <c r="EN198" i="37"/>
  <c r="EN199" i="37"/>
  <c r="EN200" i="37"/>
  <c r="EN201" i="37"/>
  <c r="EN202" i="37"/>
  <c r="EN203" i="37"/>
  <c r="EN204" i="37"/>
  <c r="EN205" i="37"/>
  <c r="EN206" i="37"/>
  <c r="EN207" i="37"/>
  <c r="EN208" i="37"/>
  <c r="EN209" i="37"/>
  <c r="EN210" i="37"/>
  <c r="EN211" i="37"/>
  <c r="EN212" i="37"/>
  <c r="EN213" i="37"/>
  <c r="EN214" i="37"/>
  <c r="EN215" i="37"/>
  <c r="EN216" i="37"/>
  <c r="EN218" i="37"/>
  <c r="EN220" i="37"/>
  <c r="EN121" i="37"/>
  <c r="EN123" i="37"/>
  <c r="EN156" i="37"/>
  <c r="EN157" i="37"/>
  <c r="EN158" i="37"/>
  <c r="EN159" i="37"/>
  <c r="EN160" i="37"/>
  <c r="EN161" i="37"/>
  <c r="EN162" i="37"/>
  <c r="EN163" i="37"/>
  <c r="EN164" i="37"/>
  <c r="EN165" i="37"/>
  <c r="EN166" i="37"/>
  <c r="EN167" i="37"/>
  <c r="EN168" i="37"/>
  <c r="EN169" i="37"/>
  <c r="EN171" i="37"/>
  <c r="EN173" i="37"/>
  <c r="EN175" i="37"/>
  <c r="EN180" i="37"/>
  <c r="EN182" i="37"/>
  <c r="EN184" i="37"/>
  <c r="EN217" i="37"/>
  <c r="EN219" i="37"/>
  <c r="EN261" i="37"/>
  <c r="EN262" i="37"/>
  <c r="EN263" i="37"/>
  <c r="EN264" i="37"/>
  <c r="EN265" i="37"/>
  <c r="EN266" i="37"/>
  <c r="EN267" i="37"/>
  <c r="EN268" i="37"/>
  <c r="EN269" i="37"/>
  <c r="EN270" i="37"/>
  <c r="EN271" i="37"/>
  <c r="EN272" i="37"/>
  <c r="EN273" i="37"/>
  <c r="EN274" i="37"/>
  <c r="EN275" i="37"/>
  <c r="EN276" i="37"/>
  <c r="EN277" i="37"/>
  <c r="EN278" i="37"/>
  <c r="EN279" i="37"/>
  <c r="EN280" i="37"/>
  <c r="EN281" i="37"/>
  <c r="EN282" i="37"/>
  <c r="EN283" i="37"/>
  <c r="EN284" i="37"/>
  <c r="EN285" i="37"/>
  <c r="EN286" i="37"/>
  <c r="EN287" i="37"/>
  <c r="EN288" i="37"/>
  <c r="EN289" i="37"/>
  <c r="EN290" i="37"/>
  <c r="EN291" i="37"/>
  <c r="EN292" i="37"/>
  <c r="EN293" i="37"/>
  <c r="EN294" i="37"/>
  <c r="EN295" i="37"/>
  <c r="EN296" i="37"/>
  <c r="EN297" i="37"/>
  <c r="EN298" i="37"/>
  <c r="EN299" i="37"/>
  <c r="EN300" i="37"/>
  <c r="EN301" i="37"/>
  <c r="EN302" i="37"/>
  <c r="EN303" i="37"/>
  <c r="EN304" i="37"/>
  <c r="EN305" i="37"/>
  <c r="EN306" i="37"/>
  <c r="EN307" i="37"/>
  <c r="EN308" i="37"/>
  <c r="EN309" i="37"/>
  <c r="EN310" i="37"/>
  <c r="EN311" i="37"/>
  <c r="EN312" i="37"/>
  <c r="EN313" i="37"/>
  <c r="EN314" i="37"/>
  <c r="EN315" i="37"/>
  <c r="EN316" i="37"/>
  <c r="EN317" i="37"/>
  <c r="EN318" i="37"/>
  <c r="EN319" i="37"/>
  <c r="EN320" i="37"/>
  <c r="EN321" i="37"/>
  <c r="EN322" i="37"/>
  <c r="EN323" i="37"/>
  <c r="EN324" i="37"/>
  <c r="EN325" i="37"/>
  <c r="EN326" i="37"/>
  <c r="EN327" i="37"/>
  <c r="EN328" i="37"/>
  <c r="EN329" i="37"/>
  <c r="EN330" i="37"/>
  <c r="EN331" i="37"/>
  <c r="EN332" i="37"/>
  <c r="EN333" i="37"/>
  <c r="EN334" i="37"/>
  <c r="EN335" i="37"/>
  <c r="EN336" i="37"/>
  <c r="EN337" i="37"/>
  <c r="EN338" i="37"/>
  <c r="EN339" i="37"/>
  <c r="EN340" i="37"/>
  <c r="EN341" i="37"/>
  <c r="EN342" i="37"/>
  <c r="EN343" i="37"/>
  <c r="EN344" i="37"/>
  <c r="EN9" i="37"/>
  <c r="ED9" i="37"/>
  <c r="DT9" i="37"/>
  <c r="DJ9" i="37"/>
  <c r="CZ9" i="37"/>
  <c r="CP9" i="37"/>
  <c r="CF9" i="37"/>
  <c r="BV9" i="37"/>
  <c r="BL9" i="37"/>
  <c r="BB9" i="37"/>
  <c r="EN120" i="37"/>
  <c r="ED120" i="37"/>
  <c r="DT120" i="37"/>
  <c r="DJ120" i="37"/>
  <c r="CZ120" i="37"/>
  <c r="CP120" i="37"/>
  <c r="CF120" i="37"/>
  <c r="BV120" i="37"/>
  <c r="BL120" i="37"/>
  <c r="BB120" i="37"/>
  <c r="EN119" i="37"/>
  <c r="ED119" i="37"/>
  <c r="DT119" i="37"/>
  <c r="DJ119" i="37"/>
  <c r="CZ119" i="37"/>
  <c r="CP119" i="37"/>
  <c r="CF119" i="37"/>
  <c r="BV119" i="37"/>
  <c r="BL119" i="37"/>
  <c r="BB119" i="37"/>
  <c r="EN118" i="37"/>
  <c r="ED118" i="37"/>
  <c r="DT118" i="37"/>
  <c r="DJ118" i="37"/>
  <c r="CZ118" i="37"/>
  <c r="CP118" i="37"/>
  <c r="CF118" i="37"/>
  <c r="BV118" i="37"/>
  <c r="BL118" i="37"/>
  <c r="BB118" i="37"/>
  <c r="EN117" i="37"/>
  <c r="ED117" i="37"/>
  <c r="DT117" i="37"/>
  <c r="DJ117" i="37"/>
  <c r="CZ117" i="37"/>
  <c r="CP117" i="37"/>
  <c r="CF117" i="37"/>
  <c r="BV117" i="37"/>
  <c r="BL117" i="37"/>
  <c r="BB117" i="37"/>
  <c r="EN116" i="37"/>
  <c r="ED116" i="37"/>
  <c r="DT116" i="37"/>
  <c r="DJ116" i="37"/>
  <c r="CZ116" i="37"/>
  <c r="CP116" i="37"/>
  <c r="CF116" i="37"/>
  <c r="BV116" i="37"/>
  <c r="BL116" i="37"/>
  <c r="BB116" i="37"/>
  <c r="EN115" i="37"/>
  <c r="ED115" i="37"/>
  <c r="DT115" i="37"/>
  <c r="DJ115" i="37"/>
  <c r="CZ115" i="37"/>
  <c r="CP115" i="37"/>
  <c r="CF115" i="37"/>
  <c r="BV115" i="37"/>
  <c r="BL115" i="37"/>
  <c r="BB115" i="37"/>
  <c r="EN114" i="37"/>
  <c r="ED114" i="37"/>
  <c r="DT114" i="37"/>
  <c r="DJ114" i="37"/>
  <c r="CZ114" i="37"/>
  <c r="CP114" i="37"/>
  <c r="CF114" i="37"/>
  <c r="BV114" i="37"/>
  <c r="BL114" i="37"/>
  <c r="BB114" i="37"/>
  <c r="EN113" i="37"/>
  <c r="ED113" i="37"/>
  <c r="DT113" i="37"/>
  <c r="DJ113" i="37"/>
  <c r="CZ113" i="37"/>
  <c r="CP113" i="37"/>
  <c r="CF113" i="37"/>
  <c r="BV113" i="37"/>
  <c r="BL113" i="37"/>
  <c r="BB113" i="37"/>
  <c r="EN112" i="37"/>
  <c r="ED112" i="37"/>
  <c r="DT112" i="37"/>
  <c r="DJ112" i="37"/>
  <c r="CZ112" i="37"/>
  <c r="CP112" i="37"/>
  <c r="CF112" i="37"/>
  <c r="BV112" i="37"/>
  <c r="BL112" i="37"/>
  <c r="BB112" i="37"/>
  <c r="EN111" i="37"/>
  <c r="ED111" i="37"/>
  <c r="DT111" i="37"/>
  <c r="DJ111" i="37"/>
  <c r="CZ111" i="37"/>
  <c r="CP111" i="37"/>
  <c r="CF111" i="37"/>
  <c r="BV111" i="37"/>
  <c r="BL111" i="37"/>
  <c r="BB111" i="37"/>
  <c r="EN110" i="37"/>
  <c r="ED110" i="37"/>
  <c r="DT110" i="37"/>
  <c r="DJ110" i="37"/>
  <c r="CZ110" i="37"/>
  <c r="CP110" i="37"/>
  <c r="CF110" i="37"/>
  <c r="BV110" i="37"/>
  <c r="BL110" i="37"/>
  <c r="BB110" i="37"/>
  <c r="EN109" i="37"/>
  <c r="ED109" i="37"/>
  <c r="DT109" i="37"/>
  <c r="DJ109" i="37"/>
  <c r="CZ109" i="37"/>
  <c r="CP109" i="37"/>
  <c r="CF109" i="37"/>
  <c r="BV109" i="37"/>
  <c r="BL109" i="37"/>
  <c r="BB109" i="37"/>
  <c r="EN108" i="37"/>
  <c r="ED108" i="37"/>
  <c r="DT108" i="37"/>
  <c r="DJ108" i="37"/>
  <c r="CZ108" i="37"/>
  <c r="CP108" i="37"/>
  <c r="CF108" i="37"/>
  <c r="BV108" i="37"/>
  <c r="BL108" i="37"/>
  <c r="BB108" i="37"/>
  <c r="EN107" i="37"/>
  <c r="ED107" i="37"/>
  <c r="DT107" i="37"/>
  <c r="DJ107" i="37"/>
  <c r="CZ107" i="37"/>
  <c r="CP107" i="37"/>
  <c r="CF107" i="37"/>
  <c r="BV107" i="37"/>
  <c r="BL107" i="37"/>
  <c r="BB107" i="37"/>
  <c r="EN106" i="37"/>
  <c r="DT106" i="37"/>
  <c r="CZ106" i="37"/>
  <c r="CF106" i="37"/>
  <c r="BL106" i="37"/>
  <c r="EN105" i="37"/>
  <c r="DT105" i="37"/>
  <c r="CZ105" i="37"/>
  <c r="CF105" i="37"/>
  <c r="BL105" i="37"/>
  <c r="EN104" i="37"/>
  <c r="ED104" i="37"/>
  <c r="DJ104" i="37"/>
  <c r="CP104" i="37"/>
  <c r="BV104" i="37"/>
  <c r="BB104" i="37"/>
  <c r="ED103" i="37"/>
  <c r="DJ103" i="37"/>
  <c r="CP103" i="37"/>
  <c r="BV103" i="37"/>
  <c r="BB103" i="37"/>
  <c r="ED102" i="37"/>
  <c r="DJ102" i="37"/>
  <c r="CP102" i="37"/>
  <c r="BV102" i="37"/>
  <c r="BB102" i="37"/>
  <c r="ED101" i="37"/>
  <c r="DJ101" i="37"/>
  <c r="CP101" i="37"/>
  <c r="BV101" i="37"/>
  <c r="BB101" i="37"/>
  <c r="ED100" i="37"/>
  <c r="DJ100" i="37"/>
  <c r="CP100" i="37"/>
  <c r="BV100" i="37"/>
  <c r="BB100" i="37"/>
  <c r="ED99" i="37"/>
  <c r="DJ99" i="37"/>
  <c r="CP99" i="37"/>
  <c r="BV99" i="37"/>
  <c r="BB99" i="37"/>
  <c r="ED98" i="37"/>
  <c r="DJ98" i="37"/>
  <c r="CP98" i="37"/>
  <c r="BV98" i="37"/>
  <c r="BB98" i="37"/>
  <c r="ED97" i="37"/>
  <c r="DJ97" i="37"/>
  <c r="CP97" i="37"/>
  <c r="BV97" i="37"/>
  <c r="BB97" i="37"/>
  <c r="ED96" i="37"/>
  <c r="DJ96" i="37"/>
  <c r="CP96" i="37"/>
  <c r="BV96" i="37"/>
  <c r="BB96" i="37"/>
  <c r="ED95" i="37"/>
  <c r="DJ95" i="37"/>
  <c r="CP95" i="37"/>
  <c r="BV95" i="37"/>
  <c r="BB95" i="37"/>
  <c r="ED94" i="37"/>
  <c r="DJ94" i="37"/>
  <c r="CP94" i="37"/>
  <c r="BV94" i="37"/>
  <c r="BB94" i="37"/>
  <c r="ED93" i="37"/>
  <c r="DJ93" i="37"/>
  <c r="CP93" i="37"/>
  <c r="BV93" i="37"/>
  <c r="BB93" i="37"/>
  <c r="ED92" i="37"/>
  <c r="DJ92" i="37"/>
  <c r="CP92" i="37"/>
  <c r="BV92" i="37"/>
  <c r="BB92" i="37"/>
  <c r="ED91" i="37"/>
  <c r="DJ91" i="37"/>
  <c r="CP91" i="37"/>
  <c r="BV91" i="37"/>
  <c r="BB91" i="37"/>
  <c r="ED90" i="37"/>
  <c r="DJ90" i="37"/>
  <c r="CP90" i="37"/>
  <c r="BV90" i="37"/>
  <c r="BB90" i="37"/>
  <c r="ED89" i="37"/>
  <c r="DJ89" i="37"/>
  <c r="CP89" i="37"/>
  <c r="BV89" i="37"/>
  <c r="BB89" i="37"/>
  <c r="ED88" i="37"/>
  <c r="DJ88" i="37"/>
  <c r="CP88" i="37"/>
  <c r="BV88" i="37"/>
  <c r="BB88" i="37"/>
  <c r="ED87" i="37"/>
  <c r="DJ87" i="37"/>
  <c r="CP87" i="37"/>
  <c r="CP54" i="37"/>
  <c r="BV54" i="37"/>
  <c r="BB54" i="37"/>
  <c r="ED53" i="37"/>
  <c r="DJ53" i="37"/>
  <c r="CP53" i="37"/>
  <c r="BV53" i="37"/>
  <c r="BB53" i="37"/>
  <c r="ED52" i="37"/>
  <c r="DJ52" i="37"/>
  <c r="CP52" i="37"/>
  <c r="BV52" i="37"/>
  <c r="ED48" i="37"/>
  <c r="DJ48" i="37"/>
  <c r="CP48" i="37"/>
  <c r="BV48" i="37"/>
  <c r="BB48" i="37"/>
  <c r="ED47" i="37"/>
  <c r="DJ47" i="37"/>
  <c r="CP47" i="37"/>
  <c r="BV47" i="37"/>
  <c r="BB47" i="37"/>
  <c r="ED46" i="37"/>
  <c r="DJ46" i="37"/>
  <c r="CP46" i="37"/>
  <c r="BV46" i="37"/>
  <c r="BB46" i="37"/>
  <c r="ED45" i="37"/>
  <c r="DJ45" i="37"/>
  <c r="CP45" i="37"/>
  <c r="BV45" i="37"/>
  <c r="BB45" i="37"/>
  <c r="ED44" i="37"/>
  <c r="DJ44" i="37"/>
  <c r="CP44" i="37"/>
  <c r="BV44" i="37"/>
  <c r="BB44" i="37"/>
  <c r="ED43" i="37"/>
  <c r="DJ43" i="37"/>
  <c r="CP43" i="37"/>
  <c r="BV43" i="37"/>
  <c r="BB43" i="37"/>
  <c r="ED42" i="37"/>
  <c r="DJ42" i="37"/>
  <c r="CP42" i="37"/>
  <c r="BV42" i="37"/>
  <c r="BB42" i="37"/>
  <c r="ED41" i="37"/>
  <c r="DJ41" i="37"/>
  <c r="CP41" i="37"/>
  <c r="BV41" i="37"/>
  <c r="BB41" i="37"/>
  <c r="ED40" i="37"/>
  <c r="DJ40" i="37"/>
  <c r="CP40" i="37"/>
  <c r="BV40" i="37"/>
  <c r="BB40" i="37"/>
  <c r="ED39" i="37"/>
  <c r="DJ39" i="37"/>
  <c r="CP39" i="37"/>
  <c r="BV39" i="37"/>
  <c r="BB39" i="37"/>
  <c r="ED38" i="37"/>
  <c r="DJ38" i="37"/>
  <c r="CP38" i="37"/>
  <c r="CF38" i="37"/>
  <c r="BV38" i="37"/>
  <c r="BL38" i="37"/>
  <c r="BB38" i="37"/>
  <c r="EN37" i="37"/>
  <c r="ED37" i="37"/>
  <c r="DT37" i="37"/>
  <c r="DJ37" i="37"/>
  <c r="CZ37" i="37"/>
  <c r="CP37" i="37"/>
  <c r="BV37" i="37"/>
  <c r="BB37" i="37"/>
  <c r="ED36" i="37"/>
  <c r="DJ36" i="37"/>
  <c r="CP36" i="37"/>
  <c r="BV14" i="37"/>
  <c r="EN13" i="37"/>
  <c r="ED13" i="37"/>
  <c r="CZ13" i="37"/>
  <c r="CP13" i="37"/>
  <c r="BL13" i="37"/>
  <c r="BB13" i="37"/>
  <c r="DT12" i="37"/>
  <c r="DJ12" i="37"/>
  <c r="CF12" i="37"/>
  <c r="BV12" i="37"/>
  <c r="EN11" i="37"/>
  <c r="ED11" i="37"/>
  <c r="CZ11" i="37"/>
  <c r="CP11" i="37"/>
  <c r="BL11" i="37"/>
  <c r="BB11" i="37"/>
  <c r="DT10" i="37"/>
  <c r="DJ10" i="37"/>
  <c r="CF10" i="37"/>
  <c r="BV10" i="37"/>
  <c r="ED348" i="37"/>
  <c r="DJ348" i="37"/>
  <c r="CP348" i="37"/>
  <c r="BV348" i="37"/>
  <c r="EN347" i="37"/>
  <c r="DT347" i="37"/>
  <c r="CZ347" i="37"/>
  <c r="CF347" i="37"/>
  <c r="BL347" i="37"/>
  <c r="EN346" i="37"/>
  <c r="DT346" i="37"/>
  <c r="CZ346" i="37"/>
  <c r="CF346" i="37"/>
  <c r="BL346" i="37"/>
  <c r="EN345" i="37"/>
  <c r="ED345" i="37"/>
  <c r="DJ345" i="37"/>
  <c r="CP345" i="37"/>
  <c r="BV345" i="37"/>
  <c r="BB345" i="37"/>
  <c r="ED344" i="37"/>
  <c r="DJ344" i="37"/>
  <c r="CP344" i="37"/>
  <c r="BV344" i="37"/>
  <c r="BB344" i="37"/>
  <c r="ED343" i="37"/>
  <c r="DJ343" i="37"/>
  <c r="CP343" i="37"/>
  <c r="BV343" i="37"/>
  <c r="BB343" i="37"/>
  <c r="ED342" i="37"/>
  <c r="DJ342" i="37"/>
  <c r="CP342" i="37"/>
  <c r="BV342" i="37"/>
  <c r="BB342" i="37"/>
  <c r="ED341" i="37"/>
  <c r="DJ341" i="37"/>
  <c r="CP341" i="37"/>
  <c r="BV341" i="37"/>
  <c r="BB341" i="37"/>
  <c r="ED340" i="37"/>
  <c r="DJ340" i="37"/>
  <c r="CP340" i="37"/>
  <c r="BV340" i="37"/>
  <c r="BB340" i="37"/>
  <c r="ED339" i="37"/>
  <c r="DJ339" i="37"/>
  <c r="CP339" i="37"/>
  <c r="BV339" i="37"/>
  <c r="BB339" i="37"/>
  <c r="ED338" i="37"/>
  <c r="DJ338" i="37"/>
  <c r="CP338" i="37"/>
  <c r="BV338" i="37"/>
  <c r="BB338" i="37"/>
  <c r="ED337" i="37"/>
  <c r="DJ337" i="37"/>
  <c r="CP337" i="37"/>
  <c r="BV337" i="37"/>
  <c r="BB337" i="37"/>
  <c r="ED336" i="37"/>
  <c r="DJ336" i="37"/>
  <c r="CP336" i="37"/>
  <c r="BV336" i="37"/>
  <c r="BB336" i="37"/>
  <c r="ED335" i="37"/>
  <c r="DJ335" i="37"/>
  <c r="CP335" i="37"/>
  <c r="BV335" i="37"/>
  <c r="BB335" i="37"/>
  <c r="ED334" i="37"/>
  <c r="DJ334" i="37"/>
  <c r="CP334" i="37"/>
  <c r="BV334" i="37"/>
  <c r="BB334" i="37"/>
  <c r="ED333" i="37"/>
  <c r="DJ333" i="37"/>
  <c r="CP333" i="37"/>
  <c r="BV333" i="37"/>
  <c r="BB333" i="37"/>
  <c r="ED332" i="37"/>
  <c r="DJ332" i="37"/>
  <c r="CP332" i="37"/>
  <c r="BV332" i="37"/>
  <c r="BB332" i="37"/>
  <c r="ED331" i="37"/>
  <c r="DJ331" i="37"/>
  <c r="CP331" i="37"/>
  <c r="BV331" i="37"/>
  <c r="BB331" i="37"/>
  <c r="ED330" i="37"/>
  <c r="DJ330" i="37"/>
  <c r="CP330" i="37"/>
  <c r="BV330" i="37"/>
  <c r="BB330" i="37"/>
  <c r="ED329" i="37"/>
  <c r="DJ329" i="37"/>
  <c r="CP329" i="37"/>
  <c r="BV329" i="37"/>
  <c r="BB329" i="37"/>
  <c r="ED328" i="37"/>
  <c r="DJ328" i="37"/>
  <c r="CP328" i="37"/>
  <c r="BV328" i="37"/>
  <c r="BB328" i="37"/>
  <c r="ED327" i="37"/>
  <c r="DJ327" i="37"/>
  <c r="CP327" i="37"/>
  <c r="BV327" i="37"/>
  <c r="BB327" i="37"/>
  <c r="ED326" i="37"/>
  <c r="DJ326" i="37"/>
  <c r="CP326" i="37"/>
  <c r="BV326" i="37"/>
  <c r="BB326" i="37"/>
  <c r="ED325" i="37"/>
  <c r="DJ325" i="37"/>
  <c r="CP325" i="37"/>
  <c r="BV325" i="37"/>
  <c r="BB325" i="37"/>
  <c r="ED324" i="37"/>
  <c r="DJ324" i="37"/>
  <c r="CP324" i="37"/>
  <c r="BV324" i="37"/>
  <c r="BB324" i="37"/>
  <c r="ED323" i="37"/>
  <c r="DJ323" i="37"/>
  <c r="CP323" i="37"/>
  <c r="BV323" i="37"/>
  <c r="BB323" i="37"/>
  <c r="ED322" i="37"/>
  <c r="DJ322" i="37"/>
  <c r="CP322" i="37"/>
  <c r="BV322" i="37"/>
  <c r="BB322" i="37"/>
  <c r="ED321" i="37"/>
  <c r="DJ321" i="37"/>
  <c r="CP321" i="37"/>
  <c r="BV321" i="37"/>
  <c r="BB321" i="37"/>
  <c r="ED320" i="37"/>
  <c r="DJ320" i="37"/>
  <c r="CP320" i="37"/>
  <c r="BV320" i="37"/>
  <c r="BB320" i="37"/>
  <c r="ED319" i="37"/>
  <c r="DJ319" i="37"/>
  <c r="CP319" i="37"/>
  <c r="BV319" i="37"/>
  <c r="BB319" i="37"/>
  <c r="ED318" i="37"/>
  <c r="DJ318" i="37"/>
  <c r="CP318" i="37"/>
  <c r="BV318" i="37"/>
  <c r="BB318" i="37"/>
  <c r="ED317" i="37"/>
  <c r="DJ317" i="37"/>
  <c r="CP317" i="37"/>
  <c r="BV317" i="37"/>
  <c r="BB317" i="37"/>
  <c r="ED316" i="37"/>
  <c r="DJ316" i="37"/>
  <c r="CP316" i="37"/>
  <c r="BV316" i="37"/>
  <c r="BB316" i="37"/>
  <c r="ED315" i="37"/>
  <c r="DJ315" i="37"/>
  <c r="CP315" i="37"/>
  <c r="BV315" i="37"/>
  <c r="BB315" i="37"/>
  <c r="ED314" i="37"/>
  <c r="DJ314" i="37"/>
  <c r="CP314" i="37"/>
  <c r="BV314" i="37"/>
  <c r="BB314" i="37"/>
  <c r="ED313" i="37"/>
  <c r="DJ313" i="37"/>
  <c r="CP313" i="37"/>
  <c r="BV313" i="37"/>
  <c r="BB313" i="37"/>
  <c r="DJ312" i="37"/>
  <c r="CP312" i="37"/>
  <c r="BV312" i="37"/>
  <c r="ED122" i="37"/>
  <c r="ED124" i="37"/>
  <c r="ED156" i="37"/>
  <c r="ED157" i="37"/>
  <c r="ED158" i="37"/>
  <c r="ED159" i="37"/>
  <c r="ED160" i="37"/>
  <c r="ED161" i="37"/>
  <c r="ED162" i="37"/>
  <c r="ED163" i="37"/>
  <c r="ED164" i="37"/>
  <c r="ED165" i="37"/>
  <c r="ED166" i="37"/>
  <c r="ED167" i="37"/>
  <c r="ED168" i="37"/>
  <c r="ED169" i="37"/>
  <c r="ED170" i="37"/>
  <c r="ED171" i="37"/>
  <c r="ED173" i="37"/>
  <c r="ED175" i="37"/>
  <c r="ED176" i="37"/>
  <c r="ED177" i="37"/>
  <c r="ED178" i="37"/>
  <c r="ED179" i="37"/>
  <c r="ED180" i="37"/>
  <c r="ED182" i="37"/>
  <c r="ED184" i="37"/>
  <c r="ED192" i="37"/>
  <c r="ED193" i="37"/>
  <c r="ED194" i="37"/>
  <c r="ED195" i="37"/>
  <c r="ED196" i="37"/>
  <c r="ED197" i="37"/>
  <c r="ED198" i="37"/>
  <c r="ED199" i="37"/>
  <c r="ED200" i="37"/>
  <c r="ED201" i="37"/>
  <c r="ED202" i="37"/>
  <c r="ED203" i="37"/>
  <c r="ED204" i="37"/>
  <c r="ED205" i="37"/>
  <c r="ED206" i="37"/>
  <c r="ED207" i="37"/>
  <c r="ED208" i="37"/>
  <c r="ED209" i="37"/>
  <c r="ED210" i="37"/>
  <c r="ED211" i="37"/>
  <c r="ED212" i="37"/>
  <c r="ED213" i="37"/>
  <c r="ED214" i="37"/>
  <c r="ED215" i="37"/>
  <c r="ED216" i="37"/>
  <c r="ED217" i="37"/>
  <c r="ED219" i="37"/>
  <c r="ED306" i="37"/>
  <c r="ED307" i="37"/>
  <c r="ED308" i="37"/>
  <c r="ED121" i="37"/>
  <c r="ED123" i="37"/>
  <c r="ED172" i="37"/>
  <c r="ED174" i="37"/>
  <c r="ED181" i="37"/>
  <c r="ED183" i="37"/>
  <c r="ED218" i="37"/>
  <c r="ED220" i="37"/>
  <c r="ED261" i="37"/>
  <c r="ED262" i="37"/>
  <c r="ED263" i="37"/>
  <c r="ED264" i="37"/>
  <c r="ED265" i="37"/>
  <c r="ED266" i="37"/>
  <c r="ED267" i="37"/>
  <c r="ED268" i="37"/>
  <c r="ED269" i="37"/>
  <c r="ED270" i="37"/>
  <c r="ED271" i="37"/>
  <c r="ED272" i="37"/>
  <c r="ED273" i="37"/>
  <c r="ED274" i="37"/>
  <c r="ED275" i="37"/>
  <c r="ED276" i="37"/>
  <c r="ED309" i="37"/>
  <c r="ED310" i="37"/>
  <c r="ED311" i="37"/>
  <c r="ED277" i="37"/>
  <c r="ED278" i="37"/>
  <c r="ED279" i="37"/>
  <c r="ED280" i="37"/>
  <c r="ED281" i="37"/>
  <c r="ED282" i="37"/>
  <c r="ED283" i="37"/>
  <c r="ED284" i="37"/>
  <c r="ED285" i="37"/>
  <c r="ED286" i="37"/>
  <c r="ED287" i="37"/>
  <c r="ED288" i="37"/>
  <c r="ED289" i="37"/>
  <c r="ED290" i="37"/>
  <c r="ED291" i="37"/>
  <c r="ED292" i="37"/>
  <c r="ED293" i="37"/>
  <c r="ED294" i="37"/>
  <c r="ED295" i="37"/>
  <c r="ED296" i="37"/>
  <c r="ED297" i="37"/>
  <c r="ED298" i="37"/>
  <c r="ED299" i="37"/>
  <c r="ED300" i="37"/>
  <c r="ED301" i="37"/>
  <c r="ED302" i="37"/>
  <c r="ED303" i="37"/>
  <c r="ED304" i="37"/>
  <c r="ED305" i="37"/>
  <c r="ED106" i="37"/>
  <c r="DJ106" i="37"/>
  <c r="BL104" i="37"/>
  <c r="CF103" i="37"/>
  <c r="BL103" i="37"/>
  <c r="CF102" i="37"/>
  <c r="BL102" i="37"/>
  <c r="BL101" i="37"/>
  <c r="CF100" i="37"/>
  <c r="BL100" i="37"/>
  <c r="BL99" i="37"/>
  <c r="CF98" i="37"/>
  <c r="BL98" i="37"/>
  <c r="CF97" i="37"/>
  <c r="BL97" i="37"/>
  <c r="BL96" i="37"/>
  <c r="BL95" i="37"/>
  <c r="CF94" i="37"/>
  <c r="BL94" i="37"/>
  <c r="CF93" i="37"/>
  <c r="BL93" i="37"/>
  <c r="BL92" i="37"/>
  <c r="CF90" i="37"/>
  <c r="BL90" i="37"/>
  <c r="CF89" i="37"/>
  <c r="CF88" i="37"/>
  <c r="BL88" i="37"/>
  <c r="CF87" i="37"/>
  <c r="BV87" i="37"/>
  <c r="BL87" i="37"/>
  <c r="BB87" i="37"/>
  <c r="ED86" i="37"/>
  <c r="DJ86" i="37"/>
  <c r="CP86" i="37"/>
  <c r="CF86" i="37"/>
  <c r="BV86" i="37"/>
  <c r="BL86" i="37"/>
  <c r="BB86" i="37"/>
  <c r="ED85" i="37"/>
  <c r="DT85" i="37"/>
  <c r="DJ85" i="37"/>
  <c r="CZ85" i="37"/>
  <c r="CP85" i="37"/>
  <c r="CF85" i="37"/>
  <c r="BV85" i="37"/>
  <c r="BL85" i="37"/>
  <c r="BB85" i="37"/>
  <c r="EN84" i="37"/>
  <c r="ED84" i="37"/>
  <c r="DT84" i="37"/>
  <c r="DJ84" i="37"/>
  <c r="CZ84" i="37"/>
  <c r="CP84" i="37"/>
  <c r="CF84" i="37"/>
  <c r="BV84" i="37"/>
  <c r="BL84" i="37"/>
  <c r="BB84" i="37"/>
  <c r="EN83" i="37"/>
  <c r="ED83" i="37"/>
  <c r="DT83" i="37"/>
  <c r="DJ83" i="37"/>
  <c r="CZ83" i="37"/>
  <c r="CP83" i="37"/>
  <c r="CF83" i="37"/>
  <c r="BV83" i="37"/>
  <c r="BL83" i="37"/>
  <c r="BB83" i="37"/>
  <c r="EN82" i="37"/>
  <c r="ED82" i="37"/>
  <c r="DT82" i="37"/>
  <c r="DJ82" i="37"/>
  <c r="CZ82" i="37"/>
  <c r="CP82" i="37"/>
  <c r="CF82" i="37"/>
  <c r="BV82" i="37"/>
  <c r="BL82" i="37"/>
  <c r="BB82" i="37"/>
  <c r="EN81" i="37"/>
  <c r="ED81" i="37"/>
  <c r="DT81" i="37"/>
  <c r="DJ81" i="37"/>
  <c r="CZ81" i="37"/>
  <c r="CP81" i="37"/>
  <c r="CF81" i="37"/>
  <c r="BV81" i="37"/>
  <c r="BL81" i="37"/>
  <c r="BB81" i="37"/>
  <c r="EN80" i="37"/>
  <c r="ED80" i="37"/>
  <c r="DT80" i="37"/>
  <c r="DJ80" i="37"/>
  <c r="CZ80" i="37"/>
  <c r="CP80" i="37"/>
  <c r="CF80" i="37"/>
  <c r="BV80" i="37"/>
  <c r="BL80" i="37"/>
  <c r="BB80" i="37"/>
  <c r="EN79" i="37"/>
  <c r="ED79" i="37"/>
  <c r="DT79" i="37"/>
  <c r="DJ79" i="37"/>
  <c r="CZ79" i="37"/>
  <c r="CP79" i="37"/>
  <c r="CF79" i="37"/>
  <c r="BV79" i="37"/>
  <c r="BL79" i="37"/>
  <c r="BB79" i="37"/>
  <c r="EN78" i="37"/>
  <c r="ED78" i="37"/>
  <c r="DT78" i="37"/>
  <c r="DJ78" i="37"/>
  <c r="CZ78" i="37"/>
  <c r="CP78" i="37"/>
  <c r="CF78" i="37"/>
  <c r="BV78" i="37"/>
  <c r="BL78" i="37"/>
  <c r="BB78" i="37"/>
  <c r="EN77" i="37"/>
  <c r="ED77" i="37"/>
  <c r="DT77" i="37"/>
  <c r="DJ77" i="37"/>
  <c r="CZ77" i="37"/>
  <c r="CP77" i="37"/>
  <c r="CF77" i="37"/>
  <c r="BV77" i="37"/>
  <c r="BL77" i="37"/>
  <c r="BB77" i="37"/>
  <c r="EN76" i="37"/>
  <c r="ED76" i="37"/>
  <c r="DT76" i="37"/>
  <c r="DJ76" i="37"/>
  <c r="CZ76" i="37"/>
  <c r="CP76" i="37"/>
  <c r="CF76" i="37"/>
  <c r="BV76" i="37"/>
  <c r="BL76" i="37"/>
  <c r="BB76" i="37"/>
  <c r="EN75" i="37"/>
  <c r="ED75" i="37"/>
  <c r="DT75" i="37"/>
  <c r="DJ75" i="37"/>
  <c r="CZ75" i="37"/>
  <c r="CP75" i="37"/>
  <c r="CF75" i="37"/>
  <c r="BV75" i="37"/>
  <c r="BL75" i="37"/>
  <c r="BB75" i="37"/>
  <c r="EN74" i="37"/>
  <c r="ED74" i="37"/>
  <c r="DT74" i="37"/>
  <c r="DJ74" i="37"/>
  <c r="CZ74" i="37"/>
  <c r="CP74" i="37"/>
  <c r="CF74" i="37"/>
  <c r="BV74" i="37"/>
  <c r="BL74" i="37"/>
  <c r="BB74" i="37"/>
  <c r="EN73" i="37"/>
  <c r="ED73" i="37"/>
  <c r="DT73" i="37"/>
  <c r="DJ73" i="37"/>
  <c r="CZ73" i="37"/>
  <c r="CP73" i="37"/>
  <c r="CF73" i="37"/>
  <c r="BV73" i="37"/>
  <c r="BL73" i="37"/>
  <c r="BB73" i="37"/>
  <c r="EN72" i="37"/>
  <c r="ED72" i="37"/>
  <c r="DT72" i="37"/>
  <c r="DJ72" i="37"/>
  <c r="CZ72" i="37"/>
  <c r="CP72" i="37"/>
  <c r="CF72" i="37"/>
  <c r="BV72" i="37"/>
  <c r="BL72" i="37"/>
  <c r="BB72" i="37"/>
  <c r="EN71" i="37"/>
  <c r="ED71" i="37"/>
  <c r="DT71" i="37"/>
  <c r="DJ71" i="37"/>
  <c r="CZ71" i="37"/>
  <c r="CP71" i="37"/>
  <c r="CF71" i="37"/>
  <c r="BV71" i="37"/>
  <c r="BL71" i="37"/>
  <c r="BB71" i="37"/>
  <c r="EN70" i="37"/>
  <c r="ED70" i="37"/>
  <c r="DT70" i="37"/>
  <c r="DJ70" i="37"/>
  <c r="CZ70" i="37"/>
  <c r="CP70" i="37"/>
  <c r="CF70" i="37"/>
  <c r="BV70" i="37"/>
  <c r="BL70" i="37"/>
  <c r="BB70" i="37"/>
  <c r="EN69" i="37"/>
  <c r="ED69" i="37"/>
  <c r="DT69" i="37"/>
  <c r="DJ69" i="37"/>
  <c r="CZ69" i="37"/>
  <c r="CP69" i="37"/>
  <c r="CF69" i="37"/>
  <c r="BV69" i="37"/>
  <c r="BL69" i="37"/>
  <c r="BB69" i="37"/>
  <c r="EN68" i="37"/>
  <c r="ED68" i="37"/>
  <c r="DT68" i="37"/>
  <c r="DJ68" i="37"/>
  <c r="CZ68" i="37"/>
  <c r="CP68" i="37"/>
  <c r="CF68" i="37"/>
  <c r="BV68" i="37"/>
  <c r="BL68" i="37"/>
  <c r="BB68" i="37"/>
  <c r="EN67" i="37"/>
  <c r="ED67" i="37"/>
  <c r="DT67" i="37"/>
  <c r="DJ67" i="37"/>
  <c r="CZ67" i="37"/>
  <c r="CP67" i="37"/>
  <c r="CF67" i="37"/>
  <c r="BV67" i="37"/>
  <c r="BL67" i="37"/>
  <c r="BB67" i="37"/>
  <c r="EN66" i="37"/>
  <c r="ED66" i="37"/>
  <c r="DT66" i="37"/>
  <c r="DJ66" i="37"/>
  <c r="CZ66" i="37"/>
  <c r="CP66" i="37"/>
  <c r="CF66" i="37"/>
  <c r="BV66" i="37"/>
  <c r="BL66" i="37"/>
  <c r="BB66" i="37"/>
  <c r="EN65" i="37"/>
  <c r="ED65" i="37"/>
  <c r="DT65" i="37"/>
  <c r="DJ65" i="37"/>
  <c r="CZ65" i="37"/>
  <c r="CP65" i="37"/>
  <c r="CF65" i="37"/>
  <c r="BV65" i="37"/>
  <c r="BL65" i="37"/>
  <c r="BB65" i="37"/>
  <c r="EN64" i="37"/>
  <c r="ED64" i="37"/>
  <c r="DT64" i="37"/>
  <c r="DJ64" i="37"/>
  <c r="CZ64" i="37"/>
  <c r="CP64" i="37"/>
  <c r="CF64" i="37"/>
  <c r="BV64" i="37"/>
  <c r="BL64" i="37"/>
  <c r="BB64" i="37"/>
  <c r="EN63" i="37"/>
  <c r="ED63" i="37"/>
  <c r="DT63" i="37"/>
  <c r="DJ63" i="37"/>
  <c r="CZ63" i="37"/>
  <c r="CP63" i="37"/>
  <c r="CF63" i="37"/>
  <c r="BV63" i="37"/>
  <c r="BL63" i="37"/>
  <c r="BB63" i="37"/>
  <c r="EN62" i="37"/>
  <c r="ED62" i="37"/>
  <c r="DT62" i="37"/>
  <c r="DJ62" i="37"/>
  <c r="CZ62" i="37"/>
  <c r="CP62" i="37"/>
  <c r="CF62" i="37"/>
  <c r="BV62" i="37"/>
  <c r="BL62" i="37"/>
  <c r="BB62" i="37"/>
  <c r="EN61" i="37"/>
  <c r="ED61" i="37"/>
  <c r="DT61" i="37"/>
  <c r="DJ61" i="37"/>
  <c r="CZ61" i="37"/>
  <c r="CP61" i="37"/>
  <c r="CF61" i="37"/>
  <c r="BV61" i="37"/>
  <c r="BL61" i="37"/>
  <c r="BB61" i="37"/>
  <c r="EN60" i="37"/>
  <c r="ED60" i="37"/>
  <c r="DT60" i="37"/>
  <c r="DJ60" i="37"/>
  <c r="CZ60" i="37"/>
  <c r="CP60" i="37"/>
  <c r="CF60" i="37"/>
  <c r="BV60" i="37"/>
  <c r="BL60" i="37"/>
  <c r="BB60" i="37"/>
  <c r="EN59" i="37"/>
  <c r="ED59" i="37"/>
  <c r="DT59" i="37"/>
  <c r="DJ59" i="37"/>
  <c r="CZ59" i="37"/>
  <c r="CP59" i="37"/>
  <c r="CF59" i="37"/>
  <c r="BV59" i="37"/>
  <c r="BL59" i="37"/>
  <c r="BB59" i="37"/>
  <c r="EN58" i="37"/>
  <c r="ED58" i="37"/>
  <c r="DT58" i="37"/>
  <c r="DJ58" i="37"/>
  <c r="CZ58" i="37"/>
  <c r="CP58" i="37"/>
  <c r="CF58" i="37"/>
  <c r="BV58" i="37"/>
  <c r="BL58" i="37"/>
  <c r="BB58" i="37"/>
  <c r="EN57" i="37"/>
  <c r="ED57" i="37"/>
  <c r="DT57" i="37"/>
  <c r="DJ57" i="37"/>
  <c r="CZ57" i="37"/>
  <c r="CP57" i="37"/>
  <c r="CF57" i="37"/>
  <c r="BV57" i="37"/>
  <c r="BL57" i="37"/>
  <c r="BB57" i="37"/>
  <c r="EN56" i="37"/>
  <c r="ED56" i="37"/>
  <c r="DT56" i="37"/>
  <c r="DJ56" i="37"/>
  <c r="CZ56" i="37"/>
  <c r="CP56" i="37"/>
  <c r="CF56" i="37"/>
  <c r="BV56" i="37"/>
  <c r="BL56" i="37"/>
  <c r="BB56" i="37"/>
  <c r="EN55" i="37"/>
  <c r="ED55" i="37"/>
  <c r="DT55" i="37"/>
  <c r="DJ55" i="37"/>
  <c r="CZ55" i="37"/>
  <c r="CP55" i="37"/>
  <c r="CF55" i="37"/>
  <c r="BV55" i="37"/>
  <c r="BL55" i="37"/>
  <c r="BB55" i="37"/>
  <c r="EN54" i="37"/>
  <c r="ED54" i="37"/>
  <c r="DT54" i="37"/>
  <c r="DJ54" i="37"/>
  <c r="CZ54" i="37"/>
  <c r="CF54" i="37"/>
  <c r="BL54" i="37"/>
  <c r="EN53" i="37"/>
  <c r="DT53" i="37"/>
  <c r="CZ53" i="37"/>
  <c r="CF53" i="37"/>
  <c r="BL53" i="37"/>
  <c r="EN52" i="37"/>
  <c r="DT52" i="37"/>
  <c r="CZ52" i="37"/>
  <c r="CF52" i="37"/>
  <c r="BL52" i="37"/>
  <c r="BB52" i="37"/>
  <c r="EN51" i="37"/>
  <c r="ED51" i="37"/>
  <c r="DT51" i="37"/>
  <c r="DJ51" i="37"/>
  <c r="CZ51" i="37"/>
  <c r="CP51" i="37"/>
  <c r="CF51" i="37"/>
  <c r="BV51" i="37"/>
  <c r="BL51" i="37"/>
  <c r="BB51" i="37"/>
  <c r="EN50" i="37"/>
  <c r="ED50" i="37"/>
  <c r="DT50" i="37"/>
  <c r="DJ50" i="37"/>
  <c r="CZ50" i="37"/>
  <c r="CP50" i="37"/>
  <c r="CF50" i="37"/>
  <c r="BV50" i="37"/>
  <c r="BL50" i="37"/>
  <c r="BB50" i="37"/>
  <c r="EN49" i="37"/>
  <c r="ED49" i="37"/>
  <c r="DT49" i="37"/>
  <c r="DJ49" i="37"/>
  <c r="CZ49" i="37"/>
  <c r="CP49" i="37"/>
  <c r="CF49" i="37"/>
  <c r="BV49" i="37"/>
  <c r="BL49" i="37"/>
  <c r="BB49" i="37"/>
  <c r="EN48" i="37"/>
  <c r="DT48" i="37"/>
  <c r="CZ48" i="37"/>
  <c r="CF48" i="37"/>
  <c r="BL48" i="37"/>
  <c r="EN47" i="37"/>
  <c r="DT47" i="37"/>
  <c r="CZ47" i="37"/>
  <c r="CF47" i="37"/>
  <c r="BL47" i="37"/>
  <c r="EN46" i="37"/>
  <c r="DT46" i="37"/>
  <c r="CZ46" i="37"/>
  <c r="CF46" i="37"/>
  <c r="BL46" i="37"/>
  <c r="EN45" i="37"/>
  <c r="DT45" i="37"/>
  <c r="CZ45" i="37"/>
  <c r="CF45" i="37"/>
  <c r="BL45" i="37"/>
  <c r="EN44" i="37"/>
  <c r="DT44" i="37"/>
  <c r="CZ44" i="37"/>
  <c r="CF44" i="37"/>
  <c r="BL44" i="37"/>
  <c r="EN43" i="37"/>
  <c r="DT43" i="37"/>
  <c r="CZ43" i="37"/>
  <c r="CF43" i="37"/>
  <c r="BL43" i="37"/>
  <c r="EN42" i="37"/>
  <c r="DT42" i="37"/>
  <c r="CZ42" i="37"/>
  <c r="CF42" i="37"/>
  <c r="BL42" i="37"/>
  <c r="EN41" i="37"/>
  <c r="DT41" i="37"/>
  <c r="CZ41" i="37"/>
  <c r="CF41" i="37"/>
  <c r="BL41" i="37"/>
  <c r="EN40" i="37"/>
  <c r="DT40" i="37"/>
  <c r="CZ40" i="37"/>
  <c r="CF40" i="37"/>
  <c r="BL40" i="37"/>
  <c r="EN39" i="37"/>
  <c r="DT39" i="37"/>
  <c r="CZ39" i="37"/>
  <c r="CF39" i="37"/>
  <c r="BL39" i="37"/>
  <c r="EN38" i="37"/>
  <c r="DT38" i="37"/>
  <c r="CZ38" i="37"/>
  <c r="CF37" i="37"/>
  <c r="BL37" i="37"/>
  <c r="EN36" i="37"/>
  <c r="DT36" i="37"/>
  <c r="CZ36" i="37"/>
  <c r="CF36" i="37"/>
  <c r="BV36" i="37"/>
  <c r="BL36" i="37"/>
  <c r="BL14" i="37"/>
  <c r="BB14" i="37"/>
  <c r="DT13" i="37"/>
  <c r="DJ13" i="37"/>
  <c r="CF13" i="37"/>
  <c r="BV13" i="37"/>
  <c r="EN12" i="37"/>
  <c r="ED12" i="37"/>
  <c r="CZ12" i="37"/>
  <c r="CP12" i="37"/>
  <c r="BL12" i="37"/>
  <c r="BB12" i="37"/>
  <c r="DT11" i="37"/>
  <c r="DJ11" i="37"/>
  <c r="CF11" i="37"/>
  <c r="BV11" i="37"/>
  <c r="EN10" i="37"/>
  <c r="ED10" i="37"/>
  <c r="CZ10" i="37"/>
  <c r="CP10" i="37"/>
  <c r="BL10" i="37"/>
  <c r="BB10" i="37"/>
  <c r="EN348" i="37"/>
  <c r="DT348" i="37"/>
  <c r="CZ348" i="37"/>
  <c r="CF348" i="37"/>
  <c r="BL348" i="37"/>
  <c r="BB348" i="37"/>
  <c r="ED347" i="37"/>
  <c r="DJ347" i="37"/>
  <c r="CP347" i="37"/>
  <c r="BV347" i="37"/>
  <c r="BB347" i="37"/>
  <c r="ED346" i="37"/>
  <c r="DJ346" i="37"/>
  <c r="CP346" i="37"/>
  <c r="BV346" i="37"/>
  <c r="BB346" i="37"/>
  <c r="CF156" i="37"/>
  <c r="BB18" i="38"/>
  <c r="BB19" i="38"/>
  <c r="BB22" i="38"/>
  <c r="BB23" i="38"/>
  <c r="BB24" i="38"/>
  <c r="BB25" i="38"/>
  <c r="BB26" i="38"/>
  <c r="BB27" i="38"/>
  <c r="BB14" i="38"/>
  <c r="BB16" i="38"/>
  <c r="BB52" i="38"/>
  <c r="BB53" i="38"/>
  <c r="BB56" i="38"/>
  <c r="BB15" i="38"/>
  <c r="BB54" i="38"/>
  <c r="BB55" i="38"/>
  <c r="BB58" i="38"/>
  <c r="BB59" i="38"/>
  <c r="BB99" i="38"/>
  <c r="BB101" i="38"/>
  <c r="BB103" i="38"/>
  <c r="BB105" i="38"/>
  <c r="BB107" i="38"/>
  <c r="BB109" i="38"/>
  <c r="BB112" i="38"/>
  <c r="BB113" i="38"/>
  <c r="BB13" i="38"/>
  <c r="BB20" i="38"/>
  <c r="BB28" i="38"/>
  <c r="BB51" i="38"/>
  <c r="BB60" i="38"/>
  <c r="BB102" i="38"/>
  <c r="BB106" i="38"/>
  <c r="BB110" i="38"/>
  <c r="BB111" i="38"/>
  <c r="BB117" i="38"/>
  <c r="BB119" i="38"/>
  <c r="BB121" i="38"/>
  <c r="BB123" i="38"/>
  <c r="BB125" i="38"/>
  <c r="BB127" i="38"/>
  <c r="BB129" i="38"/>
  <c r="BB131" i="38"/>
  <c r="BB133" i="38"/>
  <c r="BB135" i="38"/>
  <c r="BB137" i="38"/>
  <c r="BB139" i="38"/>
  <c r="BB141" i="38"/>
  <c r="BB143" i="38"/>
  <c r="BB145" i="38"/>
  <c r="BB147" i="38"/>
  <c r="BB149" i="38"/>
  <c r="BB151" i="38"/>
  <c r="BB153" i="38"/>
  <c r="BB154" i="38"/>
  <c r="BB157" i="38"/>
  <c r="BB158" i="38"/>
  <c r="BB161" i="38"/>
  <c r="BB162" i="38"/>
  <c r="BB165" i="38"/>
  <c r="BB166" i="38"/>
  <c r="BB170" i="38"/>
  <c r="BB172" i="38"/>
  <c r="BB174" i="38"/>
  <c r="BB176" i="38"/>
  <c r="BB178" i="38"/>
  <c r="BB180" i="38"/>
  <c r="BB182" i="38"/>
  <c r="BB184" i="38"/>
  <c r="BB186" i="38"/>
  <c r="BB188" i="38"/>
  <c r="BB190" i="38"/>
  <c r="BB192" i="38"/>
  <c r="BB194" i="38"/>
  <c r="BB196" i="38"/>
  <c r="BB198" i="38"/>
  <c r="BB17" i="38"/>
  <c r="BB21" i="38"/>
  <c r="BB57" i="38"/>
  <c r="BB100" i="38"/>
  <c r="BB108" i="38"/>
  <c r="BB114" i="38"/>
  <c r="BB115" i="38"/>
  <c r="BB120" i="38"/>
  <c r="BB124" i="38"/>
  <c r="BB128" i="38"/>
  <c r="BB104" i="38"/>
  <c r="BB116" i="38"/>
  <c r="BB118" i="38"/>
  <c r="BB122" i="38"/>
  <c r="BB126" i="38"/>
  <c r="BB130" i="38"/>
  <c r="BB134" i="38"/>
  <c r="BB138" i="38"/>
  <c r="BB142" i="38"/>
  <c r="BB146" i="38"/>
  <c r="BB150" i="38"/>
  <c r="BB159" i="38"/>
  <c r="BB160" i="38"/>
  <c r="BB167" i="38"/>
  <c r="BB168" i="38"/>
  <c r="BB136" i="38"/>
  <c r="BB144" i="38"/>
  <c r="BB152" i="38"/>
  <c r="BB163" i="38"/>
  <c r="BB164" i="38"/>
  <c r="BB173" i="38"/>
  <c r="BB177" i="38"/>
  <c r="BB181" i="38"/>
  <c r="BB185" i="38"/>
  <c r="BB189" i="38"/>
  <c r="BB193" i="38"/>
  <c r="BB197" i="38"/>
  <c r="BB200" i="38"/>
  <c r="BB202" i="38"/>
  <c r="BB204" i="38"/>
  <c r="BB206" i="38"/>
  <c r="BB208" i="38"/>
  <c r="BB210" i="38"/>
  <c r="BB212" i="38"/>
  <c r="BB214" i="38"/>
  <c r="BB216" i="38"/>
  <c r="BB218" i="38"/>
  <c r="BB220" i="38"/>
  <c r="BB222" i="38"/>
  <c r="BB224" i="38"/>
  <c r="BB226" i="38"/>
  <c r="BB228" i="38"/>
  <c r="BB230" i="38"/>
  <c r="BB233" i="38"/>
  <c r="BB234" i="38"/>
  <c r="BB237" i="38"/>
  <c r="BB238" i="38"/>
  <c r="BB241" i="38"/>
  <c r="BB242" i="38"/>
  <c r="BB245" i="38"/>
  <c r="BB246" i="38"/>
  <c r="BB249" i="38"/>
  <c r="BB250" i="38"/>
  <c r="BB253" i="38"/>
  <c r="BB254" i="38"/>
  <c r="BB257" i="38"/>
  <c r="BB258" i="38"/>
  <c r="BB132" i="38"/>
  <c r="BB140" i="38"/>
  <c r="BB148" i="38"/>
  <c r="BB155" i="38"/>
  <c r="BB156" i="38"/>
  <c r="BB169" i="38"/>
  <c r="BB171" i="38"/>
  <c r="BB175" i="38"/>
  <c r="BB179" i="38"/>
  <c r="BB183" i="38"/>
  <c r="BB187" i="38"/>
  <c r="BB191" i="38"/>
  <c r="BB195" i="38"/>
  <c r="BB199" i="38"/>
  <c r="BB201" i="38"/>
  <c r="BB203" i="38"/>
  <c r="BB205" i="38"/>
  <c r="BB207" i="38"/>
  <c r="BB209" i="38"/>
  <c r="BB211" i="38"/>
  <c r="BB213" i="38"/>
  <c r="BB215" i="38"/>
  <c r="BB217" i="38"/>
  <c r="BB219" i="38"/>
  <c r="BB221" i="38"/>
  <c r="BB223" i="38"/>
  <c r="BB225" i="38"/>
  <c r="BB227" i="38"/>
  <c r="BB229" i="38"/>
  <c r="BB231" i="38"/>
  <c r="BB232" i="38"/>
  <c r="BB235" i="38"/>
  <c r="BB236" i="38"/>
  <c r="BB239" i="38"/>
  <c r="BB240" i="38"/>
  <c r="BB243" i="38"/>
  <c r="BB244" i="38"/>
  <c r="BB247" i="38"/>
  <c r="BB248" i="38"/>
  <c r="BL10" i="38"/>
  <c r="BL12" i="38"/>
  <c r="BL30" i="38"/>
  <c r="BL31" i="38"/>
  <c r="BL34" i="38"/>
  <c r="BL35" i="38"/>
  <c r="BL37" i="38"/>
  <c r="BL38" i="38"/>
  <c r="BL39" i="38"/>
  <c r="BL40" i="38"/>
  <c r="BL41" i="38"/>
  <c r="BL42" i="38"/>
  <c r="BL43" i="38"/>
  <c r="BL44" i="38"/>
  <c r="BL45" i="38"/>
  <c r="BL46" i="38"/>
  <c r="BL47" i="38"/>
  <c r="BL48" i="38"/>
  <c r="BL49" i="38"/>
  <c r="BL50" i="38"/>
  <c r="BL11" i="38"/>
  <c r="BL29" i="38"/>
  <c r="BL36" i="38"/>
  <c r="BL63" i="38"/>
  <c r="BL65" i="38"/>
  <c r="BL67" i="38"/>
  <c r="BL69" i="38"/>
  <c r="BL71" i="38"/>
  <c r="BL73" i="38"/>
  <c r="BL75" i="38"/>
  <c r="BL77" i="38"/>
  <c r="BL80" i="38"/>
  <c r="BL81" i="38"/>
  <c r="BL84" i="38"/>
  <c r="BL85" i="38"/>
  <c r="BL88" i="38"/>
  <c r="BL89" i="38"/>
  <c r="BL92" i="38"/>
  <c r="BL93" i="38"/>
  <c r="BL96" i="38"/>
  <c r="BL97" i="38"/>
  <c r="BL32" i="38"/>
  <c r="BL33" i="38"/>
  <c r="BL62" i="38"/>
  <c r="BL66" i="38"/>
  <c r="BL70" i="38"/>
  <c r="BL74" i="38"/>
  <c r="BL82" i="38"/>
  <c r="BL83" i="38"/>
  <c r="BL90" i="38"/>
  <c r="BL91" i="38"/>
  <c r="BL98" i="38"/>
  <c r="BL9" i="38"/>
  <c r="BL60" i="38"/>
  <c r="BL61" i="38"/>
  <c r="BL64" i="38"/>
  <c r="BL68" i="38"/>
  <c r="BL72" i="38"/>
  <c r="BL78" i="38"/>
  <c r="BL79" i="38"/>
  <c r="BL94" i="38"/>
  <c r="BL95" i="38"/>
  <c r="BL76" i="38"/>
  <c r="BL86" i="38"/>
  <c r="BL87" i="38"/>
  <c r="BV18" i="38"/>
  <c r="BV21" i="38"/>
  <c r="BV22" i="38"/>
  <c r="BV23" i="38"/>
  <c r="BV24" i="38"/>
  <c r="BV25" i="38"/>
  <c r="BV26" i="38"/>
  <c r="BV27" i="38"/>
  <c r="BV13" i="38"/>
  <c r="BV15" i="38"/>
  <c r="BV17" i="38"/>
  <c r="BV19" i="38"/>
  <c r="BV20" i="38"/>
  <c r="BV51" i="38"/>
  <c r="BV52" i="38"/>
  <c r="BV55" i="38"/>
  <c r="BV14" i="38"/>
  <c r="BV28" i="38"/>
  <c r="BV57" i="38"/>
  <c r="BV58" i="38"/>
  <c r="BV100" i="38"/>
  <c r="BV102" i="38"/>
  <c r="BV104" i="38"/>
  <c r="BV106" i="38"/>
  <c r="BV108" i="38"/>
  <c r="BV110" i="38"/>
  <c r="BV111" i="38"/>
  <c r="BV112" i="38"/>
  <c r="BV115" i="38"/>
  <c r="BV16" i="38"/>
  <c r="BV53" i="38"/>
  <c r="BV54" i="38"/>
  <c r="BV56" i="38"/>
  <c r="BV101" i="38"/>
  <c r="BV105" i="38"/>
  <c r="BV109" i="38"/>
  <c r="BV113" i="38"/>
  <c r="BV114" i="38"/>
  <c r="BV118" i="38"/>
  <c r="BV120" i="38"/>
  <c r="BV122" i="38"/>
  <c r="BV124" i="38"/>
  <c r="BV126" i="38"/>
  <c r="BV128" i="38"/>
  <c r="BV130" i="38"/>
  <c r="BV132" i="38"/>
  <c r="BV134" i="38"/>
  <c r="BV136" i="38"/>
  <c r="BV138" i="38"/>
  <c r="BV140" i="38"/>
  <c r="BV142" i="38"/>
  <c r="BV144" i="38"/>
  <c r="BV146" i="38"/>
  <c r="BV148" i="38"/>
  <c r="BV150" i="38"/>
  <c r="BV152" i="38"/>
  <c r="BV153" i="38"/>
  <c r="BV156" i="38"/>
  <c r="BV157" i="38"/>
  <c r="BV160" i="38"/>
  <c r="BV161" i="38"/>
  <c r="BV164" i="38"/>
  <c r="BV165" i="38"/>
  <c r="BV168" i="38"/>
  <c r="BV169" i="38"/>
  <c r="BV171" i="38"/>
  <c r="BV173" i="38"/>
  <c r="BV175" i="38"/>
  <c r="BV177" i="38"/>
  <c r="BV179" i="38"/>
  <c r="BV181" i="38"/>
  <c r="BV183" i="38"/>
  <c r="BV185" i="38"/>
  <c r="BV187" i="38"/>
  <c r="BV189" i="38"/>
  <c r="BV191" i="38"/>
  <c r="BV193" i="38"/>
  <c r="BV195" i="38"/>
  <c r="BV197" i="38"/>
  <c r="BV199" i="38"/>
  <c r="BV59" i="38"/>
  <c r="BV103" i="38"/>
  <c r="BV116" i="38"/>
  <c r="BV119" i="38"/>
  <c r="BV123" i="38"/>
  <c r="BV127" i="38"/>
  <c r="BV131" i="38"/>
  <c r="BV99" i="38"/>
  <c r="BV107" i="38"/>
  <c r="BV117" i="38"/>
  <c r="BV121" i="38"/>
  <c r="BV125" i="38"/>
  <c r="BV129" i="38"/>
  <c r="BV133" i="38"/>
  <c r="BV137" i="38"/>
  <c r="BV141" i="38"/>
  <c r="BV145" i="38"/>
  <c r="BV149" i="38"/>
  <c r="BV154" i="38"/>
  <c r="BV155" i="38"/>
  <c r="BV162" i="38"/>
  <c r="BV163" i="38"/>
  <c r="BV139" i="38"/>
  <c r="BV147" i="38"/>
  <c r="BV166" i="38"/>
  <c r="BV167" i="38"/>
  <c r="BV172" i="38"/>
  <c r="BV176" i="38"/>
  <c r="BV180" i="38"/>
  <c r="BV184" i="38"/>
  <c r="BV188" i="38"/>
  <c r="BV192" i="38"/>
  <c r="BV196" i="38"/>
  <c r="BV201" i="38"/>
  <c r="BV203" i="38"/>
  <c r="BV205" i="38"/>
  <c r="BV207" i="38"/>
  <c r="BV209" i="38"/>
  <c r="BV211" i="38"/>
  <c r="BV213" i="38"/>
  <c r="BV215" i="38"/>
  <c r="BV217" i="38"/>
  <c r="BV219" i="38"/>
  <c r="BV221" i="38"/>
  <c r="BV223" i="38"/>
  <c r="BV225" i="38"/>
  <c r="BV227" i="38"/>
  <c r="BV229" i="38"/>
  <c r="BV232" i="38"/>
  <c r="BV233" i="38"/>
  <c r="BV236" i="38"/>
  <c r="BV237" i="38"/>
  <c r="BV240" i="38"/>
  <c r="BV241" i="38"/>
  <c r="BV244" i="38"/>
  <c r="BV245" i="38"/>
  <c r="BV248" i="38"/>
  <c r="BV249" i="38"/>
  <c r="BV252" i="38"/>
  <c r="BV253" i="38"/>
  <c r="BV256" i="38"/>
  <c r="BV257" i="38"/>
  <c r="BV135" i="38"/>
  <c r="BV143" i="38"/>
  <c r="BV151" i="38"/>
  <c r="BV158" i="38"/>
  <c r="BV159" i="38"/>
  <c r="BV170" i="38"/>
  <c r="BV174" i="38"/>
  <c r="BV178" i="38"/>
  <c r="BV182" i="38"/>
  <c r="BV186" i="38"/>
  <c r="BV190" i="38"/>
  <c r="BV194" i="38"/>
  <c r="BV198" i="38"/>
  <c r="BV200" i="38"/>
  <c r="BV202" i="38"/>
  <c r="BV204" i="38"/>
  <c r="BV206" i="38"/>
  <c r="BV208" i="38"/>
  <c r="BV210" i="38"/>
  <c r="BV212" i="38"/>
  <c r="BV214" i="38"/>
  <c r="BV216" i="38"/>
  <c r="BV218" i="38"/>
  <c r="BV220" i="38"/>
  <c r="BV222" i="38"/>
  <c r="BV224" i="38"/>
  <c r="BV226" i="38"/>
  <c r="BV228" i="38"/>
  <c r="BV230" i="38"/>
  <c r="BV231" i="38"/>
  <c r="BV234" i="38"/>
  <c r="BV235" i="38"/>
  <c r="BV238" i="38"/>
  <c r="BV239" i="38"/>
  <c r="BV242" i="38"/>
  <c r="BV243" i="38"/>
  <c r="BV246" i="38"/>
  <c r="BV247" i="38"/>
  <c r="CP20" i="38"/>
  <c r="CP21" i="38"/>
  <c r="CP23" i="38"/>
  <c r="CP24" i="38"/>
  <c r="CP25" i="38"/>
  <c r="CP26" i="38"/>
  <c r="CP12" i="38"/>
  <c r="CP14" i="38"/>
  <c r="CP16" i="38"/>
  <c r="CP22" i="38"/>
  <c r="CP51" i="38"/>
  <c r="CP54" i="38"/>
  <c r="CP55" i="38"/>
  <c r="CP13" i="38"/>
  <c r="CP17" i="38"/>
  <c r="CP18" i="38"/>
  <c r="CP19" i="38"/>
  <c r="CP27" i="38"/>
  <c r="CP52" i="38"/>
  <c r="CP53" i="38"/>
  <c r="CP56" i="38"/>
  <c r="CP57" i="38"/>
  <c r="CP99" i="38"/>
  <c r="CP101" i="38"/>
  <c r="CP103" i="38"/>
  <c r="CP105" i="38"/>
  <c r="CP107" i="38"/>
  <c r="CP109" i="38"/>
  <c r="CP110" i="38"/>
  <c r="CP111" i="38"/>
  <c r="CP114" i="38"/>
  <c r="CP58" i="38"/>
  <c r="CP59" i="38"/>
  <c r="CP100" i="38"/>
  <c r="CP104" i="38"/>
  <c r="CP108" i="38"/>
  <c r="CP116" i="38"/>
  <c r="CP117" i="38"/>
  <c r="CP119" i="38"/>
  <c r="CP121" i="38"/>
  <c r="CP123" i="38"/>
  <c r="CP125" i="38"/>
  <c r="CP127" i="38"/>
  <c r="CP129" i="38"/>
  <c r="CP131" i="38"/>
  <c r="CP133" i="38"/>
  <c r="CP135" i="38"/>
  <c r="CP137" i="38"/>
  <c r="CP139" i="38"/>
  <c r="CP141" i="38"/>
  <c r="CP143" i="38"/>
  <c r="CP145" i="38"/>
  <c r="CP147" i="38"/>
  <c r="CP149" i="38"/>
  <c r="CP151" i="38"/>
  <c r="CP155" i="38"/>
  <c r="CP156" i="38"/>
  <c r="CP159" i="38"/>
  <c r="CP160" i="38"/>
  <c r="CP163" i="38"/>
  <c r="CP164" i="38"/>
  <c r="CP167" i="38"/>
  <c r="CP168" i="38"/>
  <c r="CP170" i="38"/>
  <c r="CP172" i="38"/>
  <c r="CP174" i="38"/>
  <c r="CP176" i="38"/>
  <c r="CP178" i="38"/>
  <c r="CP180" i="38"/>
  <c r="CP182" i="38"/>
  <c r="CP184" i="38"/>
  <c r="CP186" i="38"/>
  <c r="CP188" i="38"/>
  <c r="CP190" i="38"/>
  <c r="CP192" i="38"/>
  <c r="CP194" i="38"/>
  <c r="CP196" i="38"/>
  <c r="CP198" i="38"/>
  <c r="CP15" i="38"/>
  <c r="CP28" i="38"/>
  <c r="CP106" i="38"/>
  <c r="CP118" i="38"/>
  <c r="CP122" i="38"/>
  <c r="CP126" i="38"/>
  <c r="CP130" i="38"/>
  <c r="CP102" i="38"/>
  <c r="CP112" i="38"/>
  <c r="CP113" i="38"/>
  <c r="CP115" i="38"/>
  <c r="CP120" i="38"/>
  <c r="CP124" i="38"/>
  <c r="CP128" i="38"/>
  <c r="CP132" i="38"/>
  <c r="CP136" i="38"/>
  <c r="CP140" i="38"/>
  <c r="CP144" i="38"/>
  <c r="CP148" i="38"/>
  <c r="CP152" i="38"/>
  <c r="CP157" i="38"/>
  <c r="CP158" i="38"/>
  <c r="CP165" i="38"/>
  <c r="CP166" i="38"/>
  <c r="CP169" i="38"/>
  <c r="CP134" i="38"/>
  <c r="CP142" i="38"/>
  <c r="CP150" i="38"/>
  <c r="CP153" i="38"/>
  <c r="CP154" i="38"/>
  <c r="CP171" i="38"/>
  <c r="CP175" i="38"/>
  <c r="CP179" i="38"/>
  <c r="CP183" i="38"/>
  <c r="CP187" i="38"/>
  <c r="CP191" i="38"/>
  <c r="CP195" i="38"/>
  <c r="CP199" i="38"/>
  <c r="CP200" i="38"/>
  <c r="CP202" i="38"/>
  <c r="CP204" i="38"/>
  <c r="CP206" i="38"/>
  <c r="CP208" i="38"/>
  <c r="CP210" i="38"/>
  <c r="CP212" i="38"/>
  <c r="CP214" i="38"/>
  <c r="CP216" i="38"/>
  <c r="CP218" i="38"/>
  <c r="CP220" i="38"/>
  <c r="CP222" i="38"/>
  <c r="CP224" i="38"/>
  <c r="CP226" i="38"/>
  <c r="CP228" i="38"/>
  <c r="CP231" i="38"/>
  <c r="CP232" i="38"/>
  <c r="CP235" i="38"/>
  <c r="CP236" i="38"/>
  <c r="CP239" i="38"/>
  <c r="CP240" i="38"/>
  <c r="CP243" i="38"/>
  <c r="CP244" i="38"/>
  <c r="CP247" i="38"/>
  <c r="CP248" i="38"/>
  <c r="CP251" i="38"/>
  <c r="CP252" i="38"/>
  <c r="CP255" i="38"/>
  <c r="CP256" i="38"/>
  <c r="CP259" i="38"/>
  <c r="CP138" i="38"/>
  <c r="CP146" i="38"/>
  <c r="CP161" i="38"/>
  <c r="CP162" i="38"/>
  <c r="CP173" i="38"/>
  <c r="CP177" i="38"/>
  <c r="CP181" i="38"/>
  <c r="CP185" i="38"/>
  <c r="CP189" i="38"/>
  <c r="CP193" i="38"/>
  <c r="CP197" i="38"/>
  <c r="CP201" i="38"/>
  <c r="CP203" i="38"/>
  <c r="CP205" i="38"/>
  <c r="CP207" i="38"/>
  <c r="CP209" i="38"/>
  <c r="CP211" i="38"/>
  <c r="CP213" i="38"/>
  <c r="CP215" i="38"/>
  <c r="CP217" i="38"/>
  <c r="CP219" i="38"/>
  <c r="CP221" i="38"/>
  <c r="CP223" i="38"/>
  <c r="CP225" i="38"/>
  <c r="CP227" i="38"/>
  <c r="CP229" i="38"/>
  <c r="CP230" i="38"/>
  <c r="CP233" i="38"/>
  <c r="CP234" i="38"/>
  <c r="CP237" i="38"/>
  <c r="CP238" i="38"/>
  <c r="CP241" i="38"/>
  <c r="CP242" i="38"/>
  <c r="CP245" i="38"/>
  <c r="CP246" i="38"/>
  <c r="DT9" i="38"/>
  <c r="DT11" i="38"/>
  <c r="DT31" i="38"/>
  <c r="DT32" i="38"/>
  <c r="DT35" i="38"/>
  <c r="DT36" i="38"/>
  <c r="DT37" i="38"/>
  <c r="DT38" i="38"/>
  <c r="DT39" i="38"/>
  <c r="DT40" i="38"/>
  <c r="DT41" i="38"/>
  <c r="DT42" i="38"/>
  <c r="DT43" i="38"/>
  <c r="DT44" i="38"/>
  <c r="DT45" i="38"/>
  <c r="DT46" i="38"/>
  <c r="DT47" i="38"/>
  <c r="DT48" i="38"/>
  <c r="DT49" i="38"/>
  <c r="DT29" i="38"/>
  <c r="DT30" i="38"/>
  <c r="DT60" i="38"/>
  <c r="DT62" i="38"/>
  <c r="DT64" i="38"/>
  <c r="DT66" i="38"/>
  <c r="DT68" i="38"/>
  <c r="DT70" i="38"/>
  <c r="DT72" i="38"/>
  <c r="DT74" i="38"/>
  <c r="DT76" i="38"/>
  <c r="DT77" i="38"/>
  <c r="DT78" i="38"/>
  <c r="DT81" i="38"/>
  <c r="DT82" i="38"/>
  <c r="DT85" i="38"/>
  <c r="DT86" i="38"/>
  <c r="DT89" i="38"/>
  <c r="DT90" i="38"/>
  <c r="DT93" i="38"/>
  <c r="DT94" i="38"/>
  <c r="DT97" i="38"/>
  <c r="DT63" i="38"/>
  <c r="DT67" i="38"/>
  <c r="DT71" i="38"/>
  <c r="DT75" i="38"/>
  <c r="DT83" i="38"/>
  <c r="DT84" i="38"/>
  <c r="DT91" i="38"/>
  <c r="DT92" i="38"/>
  <c r="DT10" i="38"/>
  <c r="DT33" i="38"/>
  <c r="DT34" i="38"/>
  <c r="DT61" i="38"/>
  <c r="DT65" i="38"/>
  <c r="DT69" i="38"/>
  <c r="DT73" i="38"/>
  <c r="DT87" i="38"/>
  <c r="DT88" i="38"/>
  <c r="DT79" i="38"/>
  <c r="DT80" i="38"/>
  <c r="DT95" i="38"/>
  <c r="DT96" i="38"/>
  <c r="EN268" i="38"/>
  <c r="ED268" i="38"/>
  <c r="CZ268" i="38"/>
  <c r="CP268" i="38"/>
  <c r="BL268" i="38"/>
  <c r="BB268" i="38"/>
  <c r="DT267" i="38"/>
  <c r="DJ267" i="38"/>
  <c r="CF267" i="38"/>
  <c r="BV267" i="38"/>
  <c r="EN266" i="38"/>
  <c r="ED266" i="38"/>
  <c r="CZ266" i="38"/>
  <c r="CP266" i="38"/>
  <c r="BL266" i="38"/>
  <c r="BB266" i="38"/>
  <c r="DT265" i="38"/>
  <c r="DJ265" i="38"/>
  <c r="CF265" i="38"/>
  <c r="BV265" i="38"/>
  <c r="EN264" i="38"/>
  <c r="ED264" i="38"/>
  <c r="CZ264" i="38"/>
  <c r="CP264" i="38"/>
  <c r="BL264" i="38"/>
  <c r="BB264" i="38"/>
  <c r="DT263" i="38"/>
  <c r="DJ263" i="38"/>
  <c r="CF263" i="38"/>
  <c r="BV263" i="38"/>
  <c r="BB263" i="38"/>
  <c r="CP262" i="38"/>
  <c r="BV262" i="38"/>
  <c r="DJ261" i="38"/>
  <c r="CP261" i="38"/>
  <c r="ED260" i="38"/>
  <c r="DJ260" i="38"/>
  <c r="BB260" i="38"/>
  <c r="ED259" i="38"/>
  <c r="BB259" i="38"/>
  <c r="CP258" i="38"/>
  <c r="CP257" i="38"/>
  <c r="ED256" i="38"/>
  <c r="BV255" i="38"/>
  <c r="BV254" i="38"/>
  <c r="DJ253" i="38"/>
  <c r="BB252" i="38"/>
  <c r="BB251" i="38"/>
  <c r="CP250" i="38"/>
  <c r="CP249" i="38"/>
  <c r="DJ192" i="37"/>
  <c r="CF9" i="38"/>
  <c r="CF11" i="38"/>
  <c r="CF29" i="38"/>
  <c r="CF30" i="38"/>
  <c r="CF33" i="38"/>
  <c r="CF34" i="38"/>
  <c r="CF37" i="38"/>
  <c r="CF38" i="38"/>
  <c r="CF39" i="38"/>
  <c r="CF40" i="38"/>
  <c r="CF41" i="38"/>
  <c r="CF42" i="38"/>
  <c r="CF43" i="38"/>
  <c r="CF44" i="38"/>
  <c r="CF45" i="38"/>
  <c r="CF46" i="38"/>
  <c r="CF47" i="38"/>
  <c r="CF48" i="38"/>
  <c r="CF49" i="38"/>
  <c r="CF50" i="38"/>
  <c r="CF10" i="38"/>
  <c r="CF31" i="38"/>
  <c r="CF32" i="38"/>
  <c r="CF61" i="38"/>
  <c r="CF62" i="38"/>
  <c r="CF64" i="38"/>
  <c r="CF66" i="38"/>
  <c r="CF68" i="38"/>
  <c r="CF70" i="38"/>
  <c r="CF72" i="38"/>
  <c r="CF74" i="38"/>
  <c r="CF76" i="38"/>
  <c r="CF79" i="38"/>
  <c r="CF80" i="38"/>
  <c r="CF83" i="38"/>
  <c r="CF84" i="38"/>
  <c r="CF87" i="38"/>
  <c r="CF88" i="38"/>
  <c r="CF91" i="38"/>
  <c r="CF92" i="38"/>
  <c r="CF95" i="38"/>
  <c r="CF96" i="38"/>
  <c r="CF35" i="38"/>
  <c r="CF36" i="38"/>
  <c r="CF60" i="38"/>
  <c r="CF65" i="38"/>
  <c r="CF69" i="38"/>
  <c r="CF73" i="38"/>
  <c r="CF77" i="38"/>
  <c r="CF78" i="38"/>
  <c r="CF85" i="38"/>
  <c r="CF86" i="38"/>
  <c r="CF93" i="38"/>
  <c r="CF94" i="38"/>
  <c r="CF12" i="38"/>
  <c r="CF63" i="38"/>
  <c r="CF67" i="38"/>
  <c r="CF71" i="38"/>
  <c r="CF75" i="38"/>
  <c r="CF81" i="38"/>
  <c r="CF82" i="38"/>
  <c r="CF97" i="38"/>
  <c r="CF98" i="38"/>
  <c r="CF89" i="38"/>
  <c r="CF90" i="38"/>
  <c r="CZ10" i="38"/>
  <c r="CZ29" i="38"/>
  <c r="CZ32" i="38"/>
  <c r="CZ33" i="38"/>
  <c r="CZ36" i="38"/>
  <c r="CZ37" i="38"/>
  <c r="CZ38" i="38"/>
  <c r="CZ39" i="38"/>
  <c r="CZ40" i="38"/>
  <c r="CZ41" i="38"/>
  <c r="CZ42" i="38"/>
  <c r="CZ43" i="38"/>
  <c r="CZ44" i="38"/>
  <c r="CZ45" i="38"/>
  <c r="CZ46" i="38"/>
  <c r="CZ47" i="38"/>
  <c r="CZ48" i="38"/>
  <c r="CZ49" i="38"/>
  <c r="CZ9" i="38"/>
  <c r="CZ34" i="38"/>
  <c r="CZ35" i="38"/>
  <c r="CZ60" i="38"/>
  <c r="CZ61" i="38"/>
  <c r="CZ63" i="38"/>
  <c r="CZ65" i="38"/>
  <c r="CZ67" i="38"/>
  <c r="CZ69" i="38"/>
  <c r="CZ71" i="38"/>
  <c r="CZ73" i="38"/>
  <c r="CZ75" i="38"/>
  <c r="CZ78" i="38"/>
  <c r="CZ79" i="38"/>
  <c r="CZ82" i="38"/>
  <c r="CZ83" i="38"/>
  <c r="CZ86" i="38"/>
  <c r="CZ87" i="38"/>
  <c r="CZ90" i="38"/>
  <c r="CZ91" i="38"/>
  <c r="CZ94" i="38"/>
  <c r="CZ95" i="38"/>
  <c r="CZ11" i="38"/>
  <c r="CZ64" i="38"/>
  <c r="CZ68" i="38"/>
  <c r="CZ72" i="38"/>
  <c r="CZ76" i="38"/>
  <c r="CZ80" i="38"/>
  <c r="CZ81" i="38"/>
  <c r="CZ88" i="38"/>
  <c r="CZ89" i="38"/>
  <c r="CZ96" i="38"/>
  <c r="CZ97" i="38"/>
  <c r="CZ30" i="38"/>
  <c r="CZ31" i="38"/>
  <c r="CZ62" i="38"/>
  <c r="CZ66" i="38"/>
  <c r="CZ70" i="38"/>
  <c r="CZ84" i="38"/>
  <c r="CZ85" i="38"/>
  <c r="CZ74" i="38"/>
  <c r="CZ77" i="38"/>
  <c r="CZ92" i="38"/>
  <c r="CZ93" i="38"/>
  <c r="DJ19" i="38"/>
  <c r="DJ20" i="38"/>
  <c r="DJ23" i="38"/>
  <c r="DJ24" i="38"/>
  <c r="DJ25" i="38"/>
  <c r="DJ26" i="38"/>
  <c r="DJ13" i="38"/>
  <c r="DJ15" i="38"/>
  <c r="DJ17" i="38"/>
  <c r="DJ18" i="38"/>
  <c r="DJ50" i="38"/>
  <c r="DJ53" i="38"/>
  <c r="DJ54" i="38"/>
  <c r="DJ12" i="38"/>
  <c r="DJ16" i="38"/>
  <c r="DJ21" i="38"/>
  <c r="DJ22" i="38"/>
  <c r="DJ28" i="38"/>
  <c r="DJ55" i="38"/>
  <c r="DJ56" i="38"/>
  <c r="DJ59" i="38"/>
  <c r="DJ98" i="38"/>
  <c r="DJ100" i="38"/>
  <c r="DJ102" i="38"/>
  <c r="DJ104" i="38"/>
  <c r="DJ106" i="38"/>
  <c r="DJ108" i="38"/>
  <c r="DJ110" i="38"/>
  <c r="DJ113" i="38"/>
  <c r="DJ114" i="38"/>
  <c r="DJ14" i="38"/>
  <c r="DJ99" i="38"/>
  <c r="DJ103" i="38"/>
  <c r="DJ107" i="38"/>
  <c r="DJ111" i="38"/>
  <c r="DJ112" i="38"/>
  <c r="DJ115" i="38"/>
  <c r="DJ116" i="38"/>
  <c r="DJ118" i="38"/>
  <c r="DJ120" i="38"/>
  <c r="DJ122" i="38"/>
  <c r="DJ124" i="38"/>
  <c r="DJ126" i="38"/>
  <c r="DJ128" i="38"/>
  <c r="DJ130" i="38"/>
  <c r="DJ132" i="38"/>
  <c r="DJ134" i="38"/>
  <c r="DJ136" i="38"/>
  <c r="DJ138" i="38"/>
  <c r="DJ140" i="38"/>
  <c r="DJ142" i="38"/>
  <c r="DJ144" i="38"/>
  <c r="DJ146" i="38"/>
  <c r="DJ148" i="38"/>
  <c r="DJ150" i="38"/>
  <c r="DJ152" i="38"/>
  <c r="DJ154" i="38"/>
  <c r="DJ155" i="38"/>
  <c r="DJ158" i="38"/>
  <c r="DJ159" i="38"/>
  <c r="DJ162" i="38"/>
  <c r="DJ163" i="38"/>
  <c r="DJ166" i="38"/>
  <c r="DJ167" i="38"/>
  <c r="DJ169" i="38"/>
  <c r="DJ171" i="38"/>
  <c r="DJ173" i="38"/>
  <c r="DJ175" i="38"/>
  <c r="DJ177" i="38"/>
  <c r="DJ179" i="38"/>
  <c r="DJ181" i="38"/>
  <c r="DJ183" i="38"/>
  <c r="DJ185" i="38"/>
  <c r="DJ187" i="38"/>
  <c r="DJ189" i="38"/>
  <c r="DJ191" i="38"/>
  <c r="DJ193" i="38"/>
  <c r="DJ195" i="38"/>
  <c r="DJ197" i="38"/>
  <c r="DJ199" i="38"/>
  <c r="DJ27" i="38"/>
  <c r="DJ51" i="38"/>
  <c r="DJ52" i="38"/>
  <c r="DJ57" i="38"/>
  <c r="DJ58" i="38"/>
  <c r="DJ101" i="38"/>
  <c r="DJ109" i="38"/>
  <c r="DJ117" i="38"/>
  <c r="DJ121" i="38"/>
  <c r="DJ125" i="38"/>
  <c r="DJ129" i="38"/>
  <c r="DJ105" i="38"/>
  <c r="DJ119" i="38"/>
  <c r="DJ123" i="38"/>
  <c r="DJ127" i="38"/>
  <c r="DJ131" i="38"/>
  <c r="DJ135" i="38"/>
  <c r="DJ139" i="38"/>
  <c r="DJ143" i="38"/>
  <c r="DJ147" i="38"/>
  <c r="DJ151" i="38"/>
  <c r="DJ153" i="38"/>
  <c r="DJ160" i="38"/>
  <c r="DJ161" i="38"/>
  <c r="DJ168" i="38"/>
  <c r="DJ137" i="38"/>
  <c r="DJ145" i="38"/>
  <c r="DJ156" i="38"/>
  <c r="DJ157" i="38"/>
  <c r="DJ170" i="38"/>
  <c r="DJ174" i="38"/>
  <c r="DJ178" i="38"/>
  <c r="DJ182" i="38"/>
  <c r="DJ186" i="38"/>
  <c r="DJ190" i="38"/>
  <c r="DJ194" i="38"/>
  <c r="DJ198" i="38"/>
  <c r="DJ201" i="38"/>
  <c r="DJ203" i="38"/>
  <c r="DJ205" i="38"/>
  <c r="DJ207" i="38"/>
  <c r="DJ209" i="38"/>
  <c r="DJ211" i="38"/>
  <c r="DJ213" i="38"/>
  <c r="DJ215" i="38"/>
  <c r="DJ217" i="38"/>
  <c r="DJ219" i="38"/>
  <c r="DJ221" i="38"/>
  <c r="DJ223" i="38"/>
  <c r="DJ225" i="38"/>
  <c r="DJ227" i="38"/>
  <c r="DJ229" i="38"/>
  <c r="DJ230" i="38"/>
  <c r="DJ231" i="38"/>
  <c r="DJ234" i="38"/>
  <c r="DJ235" i="38"/>
  <c r="DJ238" i="38"/>
  <c r="DJ239" i="38"/>
  <c r="DJ242" i="38"/>
  <c r="DJ243" i="38"/>
  <c r="DJ246" i="38"/>
  <c r="DJ247" i="38"/>
  <c r="DJ250" i="38"/>
  <c r="DJ251" i="38"/>
  <c r="DJ254" i="38"/>
  <c r="DJ255" i="38"/>
  <c r="DJ258" i="38"/>
  <c r="DJ133" i="38"/>
  <c r="DJ141" i="38"/>
  <c r="DJ149" i="38"/>
  <c r="DJ164" i="38"/>
  <c r="DJ165" i="38"/>
  <c r="DJ172" i="38"/>
  <c r="DJ176" i="38"/>
  <c r="DJ180" i="38"/>
  <c r="DJ184" i="38"/>
  <c r="DJ188" i="38"/>
  <c r="DJ192" i="38"/>
  <c r="DJ196" i="38"/>
  <c r="DJ200" i="38"/>
  <c r="DJ202" i="38"/>
  <c r="DJ204" i="38"/>
  <c r="DJ206" i="38"/>
  <c r="DJ208" i="38"/>
  <c r="DJ210" i="38"/>
  <c r="DJ212" i="38"/>
  <c r="DJ214" i="38"/>
  <c r="DJ216" i="38"/>
  <c r="DJ218" i="38"/>
  <c r="DJ220" i="38"/>
  <c r="DJ222" i="38"/>
  <c r="DJ224" i="38"/>
  <c r="DJ226" i="38"/>
  <c r="DJ228" i="38"/>
  <c r="DJ232" i="38"/>
  <c r="DJ233" i="38"/>
  <c r="DJ236" i="38"/>
  <c r="DJ237" i="38"/>
  <c r="DJ240" i="38"/>
  <c r="DJ241" i="38"/>
  <c r="DJ244" i="38"/>
  <c r="DJ245" i="38"/>
  <c r="DJ248" i="38"/>
  <c r="ED18" i="38"/>
  <c r="ED19" i="38"/>
  <c r="ED22" i="38"/>
  <c r="ED23" i="38"/>
  <c r="ED24" i="38"/>
  <c r="ED25" i="38"/>
  <c r="ED26" i="38"/>
  <c r="ED12" i="38"/>
  <c r="ED14" i="38"/>
  <c r="ED16" i="38"/>
  <c r="ED20" i="38"/>
  <c r="ED21" i="38"/>
  <c r="ED52" i="38"/>
  <c r="ED53" i="38"/>
  <c r="ED15" i="38"/>
  <c r="ED27" i="38"/>
  <c r="ED50" i="38"/>
  <c r="ED51" i="38"/>
  <c r="ED58" i="38"/>
  <c r="ED59" i="38"/>
  <c r="ED99" i="38"/>
  <c r="ED101" i="38"/>
  <c r="ED103" i="38"/>
  <c r="ED105" i="38"/>
  <c r="ED107" i="38"/>
  <c r="ED109" i="38"/>
  <c r="ED112" i="38"/>
  <c r="ED113" i="38"/>
  <c r="ED17" i="38"/>
  <c r="ED56" i="38"/>
  <c r="ED57" i="38"/>
  <c r="ED98" i="38"/>
  <c r="ED102" i="38"/>
  <c r="ED106" i="38"/>
  <c r="ED114" i="38"/>
  <c r="ED115" i="38"/>
  <c r="ED117" i="38"/>
  <c r="ED119" i="38"/>
  <c r="ED121" i="38"/>
  <c r="ED123" i="38"/>
  <c r="ED125" i="38"/>
  <c r="ED127" i="38"/>
  <c r="ED129" i="38"/>
  <c r="ED131" i="38"/>
  <c r="ED133" i="38"/>
  <c r="ED135" i="38"/>
  <c r="ED137" i="38"/>
  <c r="ED139" i="38"/>
  <c r="ED141" i="38"/>
  <c r="ED143" i="38"/>
  <c r="ED145" i="38"/>
  <c r="ED147" i="38"/>
  <c r="ED149" i="38"/>
  <c r="ED151" i="38"/>
  <c r="ED153" i="38"/>
  <c r="ED154" i="38"/>
  <c r="ED157" i="38"/>
  <c r="ED158" i="38"/>
  <c r="ED161" i="38"/>
  <c r="ED162" i="38"/>
  <c r="ED165" i="38"/>
  <c r="ED166" i="38"/>
  <c r="ED168" i="38"/>
  <c r="ED170" i="38"/>
  <c r="ED172" i="38"/>
  <c r="ED174" i="38"/>
  <c r="ED176" i="38"/>
  <c r="ED178" i="38"/>
  <c r="ED180" i="38"/>
  <c r="ED182" i="38"/>
  <c r="ED184" i="38"/>
  <c r="ED186" i="38"/>
  <c r="ED188" i="38"/>
  <c r="ED190" i="38"/>
  <c r="ED192" i="38"/>
  <c r="ED194" i="38"/>
  <c r="ED196" i="38"/>
  <c r="ED198" i="38"/>
  <c r="ED13" i="38"/>
  <c r="ED54" i="38"/>
  <c r="ED55" i="38"/>
  <c r="ED104" i="38"/>
  <c r="ED110" i="38"/>
  <c r="ED111" i="38"/>
  <c r="ED116" i="38"/>
  <c r="ED120" i="38"/>
  <c r="ED124" i="38"/>
  <c r="ED128" i="38"/>
  <c r="ED100" i="38"/>
  <c r="ED108" i="38"/>
  <c r="ED118" i="38"/>
  <c r="ED122" i="38"/>
  <c r="ED126" i="38"/>
  <c r="ED130" i="38"/>
  <c r="ED134" i="38"/>
  <c r="ED138" i="38"/>
  <c r="ED142" i="38"/>
  <c r="ED146" i="38"/>
  <c r="ED150" i="38"/>
  <c r="ED155" i="38"/>
  <c r="ED156" i="38"/>
  <c r="ED163" i="38"/>
  <c r="ED164" i="38"/>
  <c r="ED132" i="38"/>
  <c r="ED140" i="38"/>
  <c r="ED148" i="38"/>
  <c r="ED159" i="38"/>
  <c r="ED160" i="38"/>
  <c r="ED169" i="38"/>
  <c r="ED173" i="38"/>
  <c r="ED177" i="38"/>
  <c r="ED181" i="38"/>
  <c r="ED185" i="38"/>
  <c r="ED189" i="38"/>
  <c r="ED193" i="38"/>
  <c r="ED197" i="38"/>
  <c r="ED200" i="38"/>
  <c r="ED202" i="38"/>
  <c r="ED204" i="38"/>
  <c r="ED206" i="38"/>
  <c r="ED208" i="38"/>
  <c r="ED210" i="38"/>
  <c r="ED212" i="38"/>
  <c r="ED214" i="38"/>
  <c r="ED216" i="38"/>
  <c r="ED218" i="38"/>
  <c r="ED220" i="38"/>
  <c r="ED222" i="38"/>
  <c r="ED224" i="38"/>
  <c r="ED226" i="38"/>
  <c r="ED228" i="38"/>
  <c r="ED230" i="38"/>
  <c r="ED233" i="38"/>
  <c r="ED234" i="38"/>
  <c r="ED237" i="38"/>
  <c r="ED238" i="38"/>
  <c r="ED241" i="38"/>
  <c r="ED242" i="38"/>
  <c r="ED245" i="38"/>
  <c r="ED246" i="38"/>
  <c r="ED249" i="38"/>
  <c r="ED250" i="38"/>
  <c r="ED253" i="38"/>
  <c r="ED254" i="38"/>
  <c r="ED257" i="38"/>
  <c r="ED258" i="38"/>
  <c r="ED136" i="38"/>
  <c r="ED144" i="38"/>
  <c r="ED152" i="38"/>
  <c r="ED167" i="38"/>
  <c r="ED171" i="38"/>
  <c r="ED175" i="38"/>
  <c r="ED179" i="38"/>
  <c r="ED183" i="38"/>
  <c r="ED187" i="38"/>
  <c r="ED191" i="38"/>
  <c r="ED195" i="38"/>
  <c r="ED199" i="38"/>
  <c r="ED201" i="38"/>
  <c r="ED203" i="38"/>
  <c r="ED205" i="38"/>
  <c r="ED207" i="38"/>
  <c r="ED209" i="38"/>
  <c r="ED211" i="38"/>
  <c r="ED213" i="38"/>
  <c r="ED215" i="38"/>
  <c r="ED217" i="38"/>
  <c r="ED219" i="38"/>
  <c r="ED221" i="38"/>
  <c r="ED223" i="38"/>
  <c r="ED225" i="38"/>
  <c r="ED227" i="38"/>
  <c r="ED229" i="38"/>
  <c r="ED231" i="38"/>
  <c r="ED232" i="38"/>
  <c r="ED235" i="38"/>
  <c r="ED236" i="38"/>
  <c r="ED239" i="38"/>
  <c r="ED240" i="38"/>
  <c r="ED243" i="38"/>
  <c r="ED244" i="38"/>
  <c r="ED247" i="38"/>
  <c r="ED248" i="38"/>
  <c r="EN10" i="38"/>
  <c r="EN30" i="38"/>
  <c r="EN31" i="38"/>
  <c r="EN34" i="38"/>
  <c r="EN35" i="38"/>
  <c r="EN36" i="38"/>
  <c r="EN37" i="38"/>
  <c r="EN38" i="38"/>
  <c r="EN39" i="38"/>
  <c r="EN40" i="38"/>
  <c r="EN41" i="38"/>
  <c r="EN42" i="38"/>
  <c r="EN43" i="38"/>
  <c r="EN44" i="38"/>
  <c r="EN45" i="38"/>
  <c r="EN46" i="38"/>
  <c r="EN47" i="38"/>
  <c r="EN48" i="38"/>
  <c r="EN49" i="38"/>
  <c r="EN11" i="38"/>
  <c r="EN32" i="38"/>
  <c r="EN33" i="38"/>
  <c r="EN61" i="38"/>
  <c r="EN63" i="38"/>
  <c r="EN65" i="38"/>
  <c r="EN67" i="38"/>
  <c r="EN69" i="38"/>
  <c r="EN71" i="38"/>
  <c r="EN73" i="38"/>
  <c r="EN75" i="38"/>
  <c r="EN77" i="38"/>
  <c r="EN80" i="38"/>
  <c r="EN81" i="38"/>
  <c r="EN84" i="38"/>
  <c r="EN85" i="38"/>
  <c r="EN88" i="38"/>
  <c r="EN89" i="38"/>
  <c r="EN92" i="38"/>
  <c r="EN93" i="38"/>
  <c r="EN96" i="38"/>
  <c r="EN97" i="38"/>
  <c r="EN9" i="38"/>
  <c r="EN28" i="38"/>
  <c r="EN29" i="38"/>
  <c r="EN60" i="38"/>
  <c r="EN62" i="38"/>
  <c r="EN66" i="38"/>
  <c r="EN70" i="38"/>
  <c r="EN74" i="38"/>
  <c r="EN78" i="38"/>
  <c r="EN79" i="38"/>
  <c r="EN86" i="38"/>
  <c r="EN87" i="38"/>
  <c r="EN94" i="38"/>
  <c r="EN95" i="38"/>
  <c r="EN64" i="38"/>
  <c r="EN68" i="38"/>
  <c r="EN72" i="38"/>
  <c r="EN76" i="38"/>
  <c r="EN90" i="38"/>
  <c r="EN91" i="38"/>
  <c r="EN82" i="38"/>
  <c r="EN83" i="38"/>
  <c r="DT268" i="38"/>
  <c r="DJ268" i="38"/>
  <c r="CF268" i="38"/>
  <c r="BV268" i="38"/>
  <c r="EN267" i="38"/>
  <c r="ED267" i="38"/>
  <c r="CZ267" i="38"/>
  <c r="CP267" i="38"/>
  <c r="BL267" i="38"/>
  <c r="BB267" i="38"/>
  <c r="DT266" i="38"/>
  <c r="DJ266" i="38"/>
  <c r="CF266" i="38"/>
  <c r="BV266" i="38"/>
  <c r="EN265" i="38"/>
  <c r="ED265" i="38"/>
  <c r="CZ265" i="38"/>
  <c r="CP265" i="38"/>
  <c r="BL265" i="38"/>
  <c r="BB265" i="38"/>
  <c r="DT264" i="38"/>
  <c r="DJ264" i="38"/>
  <c r="CF264" i="38"/>
  <c r="BV264" i="38"/>
  <c r="EN263" i="38"/>
  <c r="ED263" i="38"/>
  <c r="CZ263" i="38"/>
  <c r="CP263" i="38"/>
  <c r="ED262" i="38"/>
  <c r="DJ262" i="38"/>
  <c r="BB262" i="38"/>
  <c r="ED261" i="38"/>
  <c r="BV261" i="38"/>
  <c r="BB261" i="38"/>
  <c r="CP260" i="38"/>
  <c r="BV260" i="38"/>
  <c r="DJ259" i="38"/>
  <c r="BV259" i="38"/>
  <c r="BV258" i="38"/>
  <c r="DJ257" i="38"/>
  <c r="DJ256" i="38"/>
  <c r="BB256" i="38"/>
  <c r="BB255" i="38"/>
  <c r="CP254" i="38"/>
  <c r="CP253" i="38"/>
  <c r="ED252" i="38"/>
  <c r="ED251" i="38"/>
  <c r="BV251" i="38"/>
  <c r="BV250" i="38"/>
  <c r="DJ249" i="38"/>
  <c r="EN229" i="38"/>
  <c r="CZ229" i="38"/>
  <c r="BL229" i="38"/>
  <c r="DT228" i="38"/>
  <c r="CF228" i="38"/>
  <c r="EN227" i="38"/>
  <c r="CZ227" i="38"/>
  <c r="BL227" i="38"/>
  <c r="DT226" i="38"/>
  <c r="CF226" i="38"/>
  <c r="EN225" i="38"/>
  <c r="CZ225" i="38"/>
  <c r="BL225" i="38"/>
  <c r="DT224" i="38"/>
  <c r="CF224" i="38"/>
  <c r="EN223" i="38"/>
  <c r="CZ223" i="38"/>
  <c r="BL223" i="38"/>
  <c r="DT222" i="38"/>
  <c r="CF222" i="38"/>
  <c r="EN221" i="38"/>
  <c r="CZ221" i="38"/>
  <c r="BL221" i="38"/>
  <c r="DT220" i="38"/>
  <c r="CF220" i="38"/>
  <c r="EN219" i="38"/>
  <c r="CZ219" i="38"/>
  <c r="BL219" i="38"/>
  <c r="DT218" i="38"/>
  <c r="CF218" i="38"/>
  <c r="EN217" i="38"/>
  <c r="CZ217" i="38"/>
  <c r="BL217" i="38"/>
  <c r="DT216" i="38"/>
  <c r="CF216" i="38"/>
  <c r="EN215" i="38"/>
  <c r="CZ215" i="38"/>
  <c r="BL215" i="38"/>
  <c r="DT214" i="38"/>
  <c r="CF214" i="38"/>
  <c r="EN213" i="38"/>
  <c r="CZ213" i="38"/>
  <c r="BL213" i="38"/>
  <c r="DT212" i="38"/>
  <c r="CF212" i="38"/>
  <c r="EN211" i="38"/>
  <c r="CZ211" i="38"/>
  <c r="BL211" i="38"/>
  <c r="DT210" i="38"/>
  <c r="CF210" i="38"/>
  <c r="EN209" i="38"/>
  <c r="CZ209" i="38"/>
  <c r="BL209" i="38"/>
  <c r="DT208" i="38"/>
  <c r="CF208" i="38"/>
  <c r="EN207" i="38"/>
  <c r="CZ207" i="38"/>
  <c r="BL207" i="38"/>
  <c r="DT206" i="38"/>
  <c r="CF206" i="38"/>
  <c r="EN205" i="38"/>
  <c r="CZ205" i="38"/>
  <c r="BL205" i="38"/>
  <c r="DT204" i="38"/>
  <c r="CF204" i="38"/>
  <c r="EN203" i="38"/>
  <c r="CZ203" i="38"/>
  <c r="BL203" i="38"/>
  <c r="DT202" i="38"/>
  <c r="CF202" i="38"/>
  <c r="EN201" i="38"/>
  <c r="CZ201" i="38"/>
  <c r="BL201" i="38"/>
  <c r="DT200" i="38"/>
  <c r="CF200" i="38"/>
  <c r="EN199" i="38"/>
  <c r="BL199" i="38"/>
  <c r="CF198" i="38"/>
  <c r="CZ197" i="38"/>
  <c r="DT196" i="38"/>
  <c r="EN195" i="38"/>
  <c r="BL195" i="38"/>
  <c r="CF194" i="38"/>
  <c r="CZ193" i="38"/>
  <c r="DT192" i="38"/>
  <c r="EN191" i="38"/>
  <c r="BL191" i="38"/>
  <c r="CF190" i="38"/>
  <c r="CZ189" i="38"/>
  <c r="DT188" i="38"/>
  <c r="EN187" i="38"/>
  <c r="BL187" i="38"/>
  <c r="CF186" i="38"/>
  <c r="CZ185" i="38"/>
  <c r="DT184" i="38"/>
  <c r="EN183" i="38"/>
  <c r="BL183" i="38"/>
  <c r="CF182" i="38"/>
  <c r="CZ181" i="38"/>
  <c r="DT180" i="38"/>
  <c r="EN179" i="38"/>
  <c r="BL179" i="38"/>
  <c r="CF178" i="38"/>
  <c r="CZ177" i="38"/>
  <c r="DT176" i="38"/>
  <c r="EN175" i="38"/>
  <c r="BL175" i="38"/>
  <c r="CF174" i="38"/>
  <c r="CZ173" i="38"/>
  <c r="DT172" i="38"/>
  <c r="EN171" i="38"/>
  <c r="BL171" i="38"/>
  <c r="CF170" i="38"/>
  <c r="BL169" i="38"/>
  <c r="CF151" i="38"/>
  <c r="DT149" i="38"/>
  <c r="BL148" i="38"/>
  <c r="CZ146" i="38"/>
  <c r="EN144" i="38"/>
  <c r="CF143" i="38"/>
  <c r="DT141" i="38"/>
  <c r="BL140" i="38"/>
  <c r="CZ138" i="38"/>
  <c r="EN136" i="38"/>
  <c r="CF135" i="38"/>
  <c r="DT133" i="38"/>
  <c r="BL132" i="38"/>
  <c r="DT229" i="38"/>
  <c r="CF229" i="38"/>
  <c r="EN228" i="38"/>
  <c r="CZ228" i="38"/>
  <c r="BL228" i="38"/>
  <c r="DT227" i="38"/>
  <c r="CF227" i="38"/>
  <c r="EN226" i="38"/>
  <c r="CZ226" i="38"/>
  <c r="BL226" i="38"/>
  <c r="DT225" i="38"/>
  <c r="CF225" i="38"/>
  <c r="EN224" i="38"/>
  <c r="CZ224" i="38"/>
  <c r="BL224" i="38"/>
  <c r="DT223" i="38"/>
  <c r="CF223" i="38"/>
  <c r="EN222" i="38"/>
  <c r="CZ222" i="38"/>
  <c r="BL222" i="38"/>
  <c r="DT221" i="38"/>
  <c r="CF221" i="38"/>
  <c r="EN220" i="38"/>
  <c r="CZ220" i="38"/>
  <c r="BL220" i="38"/>
  <c r="DT219" i="38"/>
  <c r="CF219" i="38"/>
  <c r="EN218" i="38"/>
  <c r="CZ218" i="38"/>
  <c r="BL218" i="38"/>
  <c r="DT217" i="38"/>
  <c r="CF217" i="38"/>
  <c r="EN216" i="38"/>
  <c r="CZ216" i="38"/>
  <c r="BL216" i="38"/>
  <c r="DT215" i="38"/>
  <c r="CF215" i="38"/>
  <c r="EN214" i="38"/>
  <c r="CZ214" i="38"/>
  <c r="BL214" i="38"/>
  <c r="DT213" i="38"/>
  <c r="CF213" i="38"/>
  <c r="EN212" i="38"/>
  <c r="CZ212" i="38"/>
  <c r="BL212" i="38"/>
  <c r="DT211" i="38"/>
  <c r="CF211" i="38"/>
  <c r="EN210" i="38"/>
  <c r="CZ210" i="38"/>
  <c r="BL210" i="38"/>
  <c r="DT209" i="38"/>
  <c r="CF209" i="38"/>
  <c r="EN208" i="38"/>
  <c r="CZ208" i="38"/>
  <c r="BL208" i="38"/>
  <c r="DT207" i="38"/>
  <c r="CF207" i="38"/>
  <c r="EN206" i="38"/>
  <c r="CZ206" i="38"/>
  <c r="BL206" i="38"/>
  <c r="DT205" i="38"/>
  <c r="CF205" i="38"/>
  <c r="EN204" i="38"/>
  <c r="CZ204" i="38"/>
  <c r="BL204" i="38"/>
  <c r="DT203" i="38"/>
  <c r="CF203" i="38"/>
  <c r="EN202" i="38"/>
  <c r="CZ202" i="38"/>
  <c r="BL202" i="38"/>
  <c r="DT201" i="38"/>
  <c r="CF201" i="38"/>
  <c r="EN200" i="38"/>
  <c r="CZ200" i="38"/>
  <c r="BL200" i="38"/>
  <c r="CZ199" i="38"/>
  <c r="DT198" i="38"/>
  <c r="EN197" i="38"/>
  <c r="BL197" i="38"/>
  <c r="CF196" i="38"/>
  <c r="CZ195" i="38"/>
  <c r="DT194" i="38"/>
  <c r="EN193" i="38"/>
  <c r="BL193" i="38"/>
  <c r="CF192" i="38"/>
  <c r="CZ191" i="38"/>
  <c r="DT190" i="38"/>
  <c r="EN189" i="38"/>
  <c r="BL189" i="38"/>
  <c r="CF188" i="38"/>
  <c r="CZ187" i="38"/>
  <c r="DT186" i="38"/>
  <c r="EN185" i="38"/>
  <c r="BL185" i="38"/>
  <c r="CF184" i="38"/>
  <c r="CZ183" i="38"/>
  <c r="DT182" i="38"/>
  <c r="EN181" i="38"/>
  <c r="BL181" i="38"/>
  <c r="CF180" i="38"/>
  <c r="CZ179" i="38"/>
  <c r="DT178" i="38"/>
  <c r="EN177" i="38"/>
  <c r="BL177" i="38"/>
  <c r="CF176" i="38"/>
  <c r="CZ175" i="38"/>
  <c r="DT174" i="38"/>
  <c r="EN173" i="38"/>
  <c r="BL173" i="38"/>
  <c r="CF172" i="38"/>
  <c r="CZ171" i="38"/>
  <c r="DT170" i="38"/>
  <c r="EN169" i="38"/>
  <c r="BL152" i="38"/>
  <c r="CZ150" i="38"/>
  <c r="EN148" i="38"/>
  <c r="CF147" i="38"/>
  <c r="DT145" i="38"/>
  <c r="BL144" i="38"/>
  <c r="CZ142" i="38"/>
  <c r="EN140" i="38"/>
  <c r="CF139" i="38"/>
  <c r="DT137" i="38"/>
  <c r="BL136" i="38"/>
  <c r="CZ134" i="38"/>
  <c r="EN132" i="38"/>
  <c r="CZ169" i="38"/>
  <c r="DT168" i="38"/>
  <c r="CZ152" i="38"/>
  <c r="DT151" i="38"/>
  <c r="EN150" i="38"/>
  <c r="BL150" i="38"/>
  <c r="CF149" i="38"/>
  <c r="CZ148" i="38"/>
  <c r="DT147" i="38"/>
  <c r="EN146" i="38"/>
  <c r="BL146" i="38"/>
  <c r="CF145" i="38"/>
  <c r="CZ144" i="38"/>
  <c r="DT143" i="38"/>
  <c r="EN142" i="38"/>
  <c r="BL142" i="38"/>
  <c r="CF141" i="38"/>
  <c r="CZ140" i="38"/>
  <c r="DT139" i="38"/>
  <c r="EN138" i="38"/>
  <c r="BL138" i="38"/>
  <c r="CF137" i="38"/>
  <c r="CZ136" i="38"/>
  <c r="DT135" i="38"/>
  <c r="EN134" i="38"/>
  <c r="BL134" i="38"/>
  <c r="CF133" i="38"/>
  <c r="CZ132" i="38"/>
  <c r="DT131" i="38"/>
  <c r="EN130" i="38"/>
  <c r="BL130" i="38"/>
  <c r="CF129" i="38"/>
  <c r="CZ128" i="38"/>
  <c r="DT127" i="38"/>
  <c r="EN126" i="38"/>
  <c r="BL126" i="38"/>
  <c r="CF125" i="38"/>
  <c r="CZ124" i="38"/>
  <c r="DT123" i="38"/>
  <c r="EN122" i="38"/>
  <c r="BL122" i="38"/>
  <c r="CF121" i="38"/>
  <c r="CZ120" i="38"/>
  <c r="DT119" i="38"/>
  <c r="EN118" i="38"/>
  <c r="BL118" i="38"/>
  <c r="CF117" i="38"/>
  <c r="CZ116" i="38"/>
  <c r="EN108" i="38"/>
  <c r="CF107" i="38"/>
  <c r="DT105" i="38"/>
  <c r="BL104" i="38"/>
  <c r="CZ102" i="38"/>
  <c r="EN100" i="38"/>
  <c r="CF99" i="38"/>
  <c r="BV76" i="38"/>
  <c r="DJ74" i="38"/>
  <c r="CF131" i="38"/>
  <c r="CZ130" i="38"/>
  <c r="DT129" i="38"/>
  <c r="EN128" i="38"/>
  <c r="BL128" i="38"/>
  <c r="CF127" i="38"/>
  <c r="CZ126" i="38"/>
  <c r="DT125" i="38"/>
  <c r="EN124" i="38"/>
  <c r="BL124" i="38"/>
  <c r="CF123" i="38"/>
  <c r="CZ122" i="38"/>
  <c r="DT121" i="38"/>
  <c r="EN120" i="38"/>
  <c r="BL120" i="38"/>
  <c r="CF119" i="38"/>
  <c r="CZ118" i="38"/>
  <c r="DT117" i="38"/>
  <c r="EN116" i="38"/>
  <c r="DT109" i="38"/>
  <c r="BL108" i="38"/>
  <c r="CZ106" i="38"/>
  <c r="EN104" i="38"/>
  <c r="CF103" i="38"/>
  <c r="DT101" i="38"/>
  <c r="BL100" i="38"/>
  <c r="CZ98" i="38"/>
  <c r="CP98" i="38"/>
  <c r="BB77" i="38"/>
  <c r="CP75" i="38"/>
  <c r="ED73" i="38"/>
  <c r="BB73" i="38"/>
  <c r="BV72" i="38"/>
  <c r="CP71" i="38"/>
  <c r="DJ70" i="38"/>
  <c r="ED69" i="38"/>
  <c r="BB69" i="38"/>
  <c r="BV68" i="38"/>
  <c r="CP67" i="38"/>
  <c r="DJ66" i="38"/>
  <c r="ED65" i="38"/>
  <c r="BB65" i="38"/>
  <c r="BV64" i="38"/>
  <c r="CP63" i="38"/>
  <c r="DJ62" i="38"/>
  <c r="ED61" i="38"/>
  <c r="DT199" i="38"/>
  <c r="CF199" i="38"/>
  <c r="EN198" i="38"/>
  <c r="CZ198" i="38"/>
  <c r="BL198" i="38"/>
  <c r="DT197" i="38"/>
  <c r="CF197" i="38"/>
  <c r="EN196" i="38"/>
  <c r="CZ196" i="38"/>
  <c r="BL196" i="38"/>
  <c r="DT195" i="38"/>
  <c r="CF195" i="38"/>
  <c r="EN194" i="38"/>
  <c r="CZ194" i="38"/>
  <c r="BL194" i="38"/>
  <c r="DT193" i="38"/>
  <c r="CF193" i="38"/>
  <c r="EN192" i="38"/>
  <c r="CZ192" i="38"/>
  <c r="BL192" i="38"/>
  <c r="DT191" i="38"/>
  <c r="CF191" i="38"/>
  <c r="EN190" i="38"/>
  <c r="CZ190" i="38"/>
  <c r="BL190" i="38"/>
  <c r="DT189" i="38"/>
  <c r="CF189" i="38"/>
  <c r="EN188" i="38"/>
  <c r="CZ188" i="38"/>
  <c r="BL188" i="38"/>
  <c r="DT187" i="38"/>
  <c r="CF187" i="38"/>
  <c r="EN186" i="38"/>
  <c r="CZ186" i="38"/>
  <c r="BL186" i="38"/>
  <c r="DT185" i="38"/>
  <c r="CF185" i="38"/>
  <c r="EN184" i="38"/>
  <c r="CZ184" i="38"/>
  <c r="BL184" i="38"/>
  <c r="DT183" i="38"/>
  <c r="CF183" i="38"/>
  <c r="EN182" i="38"/>
  <c r="CZ182" i="38"/>
  <c r="BL182" i="38"/>
  <c r="DT181" i="38"/>
  <c r="CF181" i="38"/>
  <c r="EN180" i="38"/>
  <c r="CZ180" i="38"/>
  <c r="BL180" i="38"/>
  <c r="DT179" i="38"/>
  <c r="CF179" i="38"/>
  <c r="EN178" i="38"/>
  <c r="CZ178" i="38"/>
  <c r="BL178" i="38"/>
  <c r="DT177" i="38"/>
  <c r="CF177" i="38"/>
  <c r="EN176" i="38"/>
  <c r="CZ176" i="38"/>
  <c r="BL176" i="38"/>
  <c r="DT175" i="38"/>
  <c r="CF175" i="38"/>
  <c r="EN174" i="38"/>
  <c r="CZ174" i="38"/>
  <c r="BL174" i="38"/>
  <c r="DT173" i="38"/>
  <c r="CF173" i="38"/>
  <c r="EN172" i="38"/>
  <c r="CZ172" i="38"/>
  <c r="BL172" i="38"/>
  <c r="DT171" i="38"/>
  <c r="CF171" i="38"/>
  <c r="EN170" i="38"/>
  <c r="CZ170" i="38"/>
  <c r="BL170" i="38"/>
  <c r="DT169" i="38"/>
  <c r="CF169" i="38"/>
  <c r="EN168" i="38"/>
  <c r="CZ168" i="38"/>
  <c r="CF152" i="38"/>
  <c r="EN151" i="38"/>
  <c r="CZ151" i="38"/>
  <c r="BL151" i="38"/>
  <c r="DT150" i="38"/>
  <c r="CF150" i="38"/>
  <c r="EN149" i="38"/>
  <c r="CZ149" i="38"/>
  <c r="BL149" i="38"/>
  <c r="DT148" i="38"/>
  <c r="CF148" i="38"/>
  <c r="EN147" i="38"/>
  <c r="CZ147" i="38"/>
  <c r="BL147" i="38"/>
  <c r="DT146" i="38"/>
  <c r="CF146" i="38"/>
  <c r="EN145" i="38"/>
  <c r="CZ145" i="38"/>
  <c r="BL145" i="38"/>
  <c r="DT144" i="38"/>
  <c r="CF144" i="38"/>
  <c r="EN143" i="38"/>
  <c r="CZ143" i="38"/>
  <c r="BL143" i="38"/>
  <c r="DT142" i="38"/>
  <c r="CF142" i="38"/>
  <c r="EN141" i="38"/>
  <c r="CZ141" i="38"/>
  <c r="BL141" i="38"/>
  <c r="DT140" i="38"/>
  <c r="CF140" i="38"/>
  <c r="EN139" i="38"/>
  <c r="CZ139" i="38"/>
  <c r="BL139" i="38"/>
  <c r="DT138" i="38"/>
  <c r="CF138" i="38"/>
  <c r="EN137" i="38"/>
  <c r="CZ137" i="38"/>
  <c r="BL137" i="38"/>
  <c r="DT136" i="38"/>
  <c r="CF136" i="38"/>
  <c r="EN135" i="38"/>
  <c r="CZ135" i="38"/>
  <c r="BL135" i="38"/>
  <c r="DT134" i="38"/>
  <c r="CF134" i="38"/>
  <c r="EN133" i="38"/>
  <c r="CZ133" i="38"/>
  <c r="BL133" i="38"/>
  <c r="DT132" i="38"/>
  <c r="CF132" i="38"/>
  <c r="EN131" i="38"/>
  <c r="CZ131" i="38"/>
  <c r="BL131" i="38"/>
  <c r="DT130" i="38"/>
  <c r="CF130" i="38"/>
  <c r="EN129" i="38"/>
  <c r="CZ129" i="38"/>
  <c r="BL129" i="38"/>
  <c r="DT128" i="38"/>
  <c r="CF128" i="38"/>
  <c r="EN127" i="38"/>
  <c r="CZ127" i="38"/>
  <c r="BL127" i="38"/>
  <c r="DT126" i="38"/>
  <c r="CF126" i="38"/>
  <c r="EN125" i="38"/>
  <c r="CZ125" i="38"/>
  <c r="BL125" i="38"/>
  <c r="DT124" i="38"/>
  <c r="CF124" i="38"/>
  <c r="EN123" i="38"/>
  <c r="CZ123" i="38"/>
  <c r="BL123" i="38"/>
  <c r="DT122" i="38"/>
  <c r="CF122" i="38"/>
  <c r="EN121" i="38"/>
  <c r="CZ121" i="38"/>
  <c r="BL121" i="38"/>
  <c r="DT120" i="38"/>
  <c r="CF120" i="38"/>
  <c r="EN119" i="38"/>
  <c r="CZ119" i="38"/>
  <c r="BL119" i="38"/>
  <c r="DT118" i="38"/>
  <c r="CF118" i="38"/>
  <c r="EN117" i="38"/>
  <c r="CZ117" i="38"/>
  <c r="BL117" i="38"/>
  <c r="DT116" i="38"/>
  <c r="BL110" i="38"/>
  <c r="CF109" i="38"/>
  <c r="CZ108" i="38"/>
  <c r="DT107" i="38"/>
  <c r="EN106" i="38"/>
  <c r="BL106" i="38"/>
  <c r="CF105" i="38"/>
  <c r="CZ104" i="38"/>
  <c r="DT103" i="38"/>
  <c r="EN102" i="38"/>
  <c r="BL102" i="38"/>
  <c r="CF101" i="38"/>
  <c r="CZ100" i="38"/>
  <c r="DT99" i="38"/>
  <c r="EN98" i="38"/>
  <c r="DJ76" i="38"/>
  <c r="ED75" i="38"/>
  <c r="BB75" i="38"/>
  <c r="BV74" i="38"/>
  <c r="CP73" i="38"/>
  <c r="DJ72" i="38"/>
  <c r="ED71" i="38"/>
  <c r="BB71" i="38"/>
  <c r="BV70" i="38"/>
  <c r="CP69" i="38"/>
  <c r="DJ68" i="38"/>
  <c r="ED67" i="38"/>
  <c r="BB67" i="38"/>
  <c r="BV66" i="38"/>
  <c r="CP65" i="38"/>
  <c r="DJ64" i="38"/>
  <c r="ED63" i="38"/>
  <c r="BB63" i="38"/>
  <c r="BV62" i="38"/>
  <c r="CP61" i="38"/>
  <c r="EN109" i="38"/>
  <c r="CZ109" i="38"/>
  <c r="BL109" i="38"/>
  <c r="DT108" i="38"/>
  <c r="CF108" i="38"/>
  <c r="EN107" i="38"/>
  <c r="CZ107" i="38"/>
  <c r="BL107" i="38"/>
  <c r="DT106" i="38"/>
  <c r="CF106" i="38"/>
  <c r="EN105" i="38"/>
  <c r="CZ105" i="38"/>
  <c r="BL105" i="38"/>
  <c r="DT104" i="38"/>
  <c r="CF104" i="38"/>
  <c r="EN103" i="38"/>
  <c r="CZ103" i="38"/>
  <c r="BL103" i="38"/>
  <c r="DT102" i="38"/>
  <c r="CF102" i="38"/>
  <c r="EN101" i="38"/>
  <c r="CZ101" i="38"/>
  <c r="BL101" i="38"/>
  <c r="DT100" i="38"/>
  <c r="CF100" i="38"/>
  <c r="EN99" i="38"/>
  <c r="CZ99" i="38"/>
  <c r="BL99" i="38"/>
  <c r="DT98" i="38"/>
  <c r="ED76" i="38"/>
  <c r="CP76" i="38"/>
  <c r="BB76" i="38"/>
  <c r="DJ75" i="38"/>
  <c r="BV75" i="38"/>
  <c r="ED74" i="38"/>
  <c r="CP74" i="38"/>
  <c r="BB74" i="38"/>
  <c r="DJ73" i="38"/>
  <c r="BV73" i="38"/>
  <c r="ED72" i="38"/>
  <c r="CP72" i="38"/>
  <c r="BB72" i="38"/>
  <c r="DJ71" i="38"/>
  <c r="BV71" i="38"/>
  <c r="ED70" i="38"/>
  <c r="CP70" i="38"/>
  <c r="BB70" i="38"/>
  <c r="DJ69" i="38"/>
  <c r="BV69" i="38"/>
  <c r="ED68" i="38"/>
  <c r="CP68" i="38"/>
  <c r="BB68" i="38"/>
  <c r="DJ67" i="38"/>
  <c r="BV67" i="38"/>
  <c r="ED66" i="38"/>
  <c r="CP66" i="38"/>
  <c r="BB66" i="38"/>
  <c r="DJ65" i="38"/>
  <c r="BV65" i="38"/>
  <c r="ED64" i="38"/>
  <c r="CP64" i="38"/>
  <c r="BB64" i="38"/>
  <c r="DJ63" i="38"/>
  <c r="BV63" i="38"/>
  <c r="ED62" i="38"/>
  <c r="CP62" i="38"/>
  <c r="BB62" i="38"/>
  <c r="DJ61" i="38"/>
  <c r="DT28" i="38"/>
  <c r="BL263" i="38"/>
  <c r="DT262" i="38"/>
  <c r="CF262" i="38"/>
  <c r="EN261" i="38"/>
  <c r="CZ261" i="38"/>
  <c r="BL261" i="38"/>
  <c r="DT260" i="38"/>
  <c r="CF260" i="38"/>
  <c r="EN259" i="38"/>
  <c r="CZ259" i="38"/>
  <c r="BL259" i="38"/>
  <c r="DT258" i="38"/>
  <c r="CF258" i="38"/>
  <c r="EN257" i="38"/>
  <c r="CZ257" i="38"/>
  <c r="BL257" i="38"/>
  <c r="DT256" i="38"/>
  <c r="CF256" i="38"/>
  <c r="EN255" i="38"/>
  <c r="CZ255" i="38"/>
  <c r="BL255" i="38"/>
  <c r="DT254" i="38"/>
  <c r="CF254" i="38"/>
  <c r="EN253" i="38"/>
  <c r="CZ253" i="38"/>
  <c r="BL253" i="38"/>
  <c r="DT252" i="38"/>
  <c r="CF252" i="38"/>
  <c r="EN251" i="38"/>
  <c r="CZ251" i="38"/>
  <c r="BL251" i="38"/>
  <c r="DT250" i="38"/>
  <c r="CF250" i="38"/>
  <c r="EN249" i="38"/>
  <c r="CZ249" i="38"/>
  <c r="BL249" i="38"/>
  <c r="DT248" i="38"/>
  <c r="CF248" i="38"/>
  <c r="EN247" i="38"/>
  <c r="CZ247" i="38"/>
  <c r="BL247" i="38"/>
  <c r="DT246" i="38"/>
  <c r="CF246" i="38"/>
  <c r="EN245" i="38"/>
  <c r="CZ245" i="38"/>
  <c r="BL245" i="38"/>
  <c r="DT244" i="38"/>
  <c r="CF244" i="38"/>
  <c r="EN243" i="38"/>
  <c r="CZ243" i="38"/>
  <c r="BL243" i="38"/>
  <c r="DT242" i="38"/>
  <c r="CF242" i="38"/>
  <c r="EN241" i="38"/>
  <c r="CZ241" i="38"/>
  <c r="BL241" i="38"/>
  <c r="DT240" i="38"/>
  <c r="CF240" i="38"/>
  <c r="EN239" i="38"/>
  <c r="CZ239" i="38"/>
  <c r="BL239" i="38"/>
  <c r="DT238" i="38"/>
  <c r="CF238" i="38"/>
  <c r="EN237" i="38"/>
  <c r="CZ237" i="38"/>
  <c r="BL237" i="38"/>
  <c r="DT236" i="38"/>
  <c r="CF236" i="38"/>
  <c r="EN235" i="38"/>
  <c r="CZ235" i="38"/>
  <c r="BL235" i="38"/>
  <c r="DT234" i="38"/>
  <c r="CF234" i="38"/>
  <c r="EN233" i="38"/>
  <c r="CZ233" i="38"/>
  <c r="BL233" i="38"/>
  <c r="DT232" i="38"/>
  <c r="CF232" i="38"/>
  <c r="EN231" i="38"/>
  <c r="CZ231" i="38"/>
  <c r="BL231" i="38"/>
  <c r="DT230" i="38"/>
  <c r="CF230" i="38"/>
  <c r="EN262" i="38"/>
  <c r="CZ262" i="38"/>
  <c r="BL262" i="38"/>
  <c r="DT261" i="38"/>
  <c r="CF261" i="38"/>
  <c r="EN260" i="38"/>
  <c r="CZ260" i="38"/>
  <c r="BL260" i="38"/>
  <c r="DT259" i="38"/>
  <c r="CF259" i="38"/>
  <c r="EN258" i="38"/>
  <c r="CZ258" i="38"/>
  <c r="BL258" i="38"/>
  <c r="DT257" i="38"/>
  <c r="CF257" i="38"/>
  <c r="EN256" i="38"/>
  <c r="CZ256" i="38"/>
  <c r="BL256" i="38"/>
  <c r="DT255" i="38"/>
  <c r="CF255" i="38"/>
  <c r="EN254" i="38"/>
  <c r="CZ254" i="38"/>
  <c r="BL254" i="38"/>
  <c r="DT253" i="38"/>
  <c r="CF253" i="38"/>
  <c r="EN252" i="38"/>
  <c r="CZ252" i="38"/>
  <c r="BL252" i="38"/>
  <c r="DT251" i="38"/>
  <c r="CF251" i="38"/>
  <c r="EN250" i="38"/>
  <c r="CZ250" i="38"/>
  <c r="BL250" i="38"/>
  <c r="DT249" i="38"/>
  <c r="CF249" i="38"/>
  <c r="EN248" i="38"/>
  <c r="CZ248" i="38"/>
  <c r="BL248" i="38"/>
  <c r="DT247" i="38"/>
  <c r="CF247" i="38"/>
  <c r="EN246" i="38"/>
  <c r="CZ246" i="38"/>
  <c r="BL246" i="38"/>
  <c r="DT245" i="38"/>
  <c r="CF245" i="38"/>
  <c r="EN244" i="38"/>
  <c r="CZ244" i="38"/>
  <c r="BL244" i="38"/>
  <c r="DT243" i="38"/>
  <c r="CF243" i="38"/>
  <c r="EN242" i="38"/>
  <c r="CZ242" i="38"/>
  <c r="BL242" i="38"/>
  <c r="DT241" i="38"/>
  <c r="CF241" i="38"/>
  <c r="EN240" i="38"/>
  <c r="CZ240" i="38"/>
  <c r="BL240" i="38"/>
  <c r="DT239" i="38"/>
  <c r="CF239" i="38"/>
  <c r="EN238" i="38"/>
  <c r="CZ238" i="38"/>
  <c r="BL238" i="38"/>
  <c r="DT237" i="38"/>
  <c r="CF237" i="38"/>
  <c r="EN236" i="38"/>
  <c r="CZ236" i="38"/>
  <c r="BL236" i="38"/>
  <c r="DT235" i="38"/>
  <c r="CF235" i="38"/>
  <c r="EN234" i="38"/>
  <c r="CZ234" i="38"/>
  <c r="BL234" i="38"/>
  <c r="DT233" i="38"/>
  <c r="CF233" i="38"/>
  <c r="EN232" i="38"/>
  <c r="CZ232" i="38"/>
  <c r="BL232" i="38"/>
  <c r="DT231" i="38"/>
  <c r="CF231" i="38"/>
  <c r="EN230" i="38"/>
  <c r="CZ230" i="38"/>
  <c r="BL230" i="38"/>
  <c r="CF168" i="38"/>
  <c r="EN167" i="38"/>
  <c r="CZ167" i="38"/>
  <c r="BL167" i="38"/>
  <c r="DT166" i="38"/>
  <c r="CF166" i="38"/>
  <c r="EN165" i="38"/>
  <c r="CZ165" i="38"/>
  <c r="BL165" i="38"/>
  <c r="DT164" i="38"/>
  <c r="CF164" i="38"/>
  <c r="EN163" i="38"/>
  <c r="CZ163" i="38"/>
  <c r="BL163" i="38"/>
  <c r="DT162" i="38"/>
  <c r="CF162" i="38"/>
  <c r="EN161" i="38"/>
  <c r="CZ161" i="38"/>
  <c r="BL161" i="38"/>
  <c r="DT160" i="38"/>
  <c r="CF160" i="38"/>
  <c r="EN159" i="38"/>
  <c r="CZ159" i="38"/>
  <c r="BL159" i="38"/>
  <c r="DT158" i="38"/>
  <c r="CF158" i="38"/>
  <c r="EN157" i="38"/>
  <c r="CZ157" i="38"/>
  <c r="BL157" i="38"/>
  <c r="DT156" i="38"/>
  <c r="CF156" i="38"/>
  <c r="EN155" i="38"/>
  <c r="CZ155" i="38"/>
  <c r="BL155" i="38"/>
  <c r="DT154" i="38"/>
  <c r="CF154" i="38"/>
  <c r="EN153" i="38"/>
  <c r="CZ153" i="38"/>
  <c r="BL153" i="38"/>
  <c r="DT152" i="38"/>
  <c r="BL168" i="38"/>
  <c r="DT167" i="38"/>
  <c r="CF167" i="38"/>
  <c r="EN166" i="38"/>
  <c r="CZ166" i="38"/>
  <c r="BL166" i="38"/>
  <c r="DT165" i="38"/>
  <c r="CF165" i="38"/>
  <c r="EN164" i="38"/>
  <c r="CZ164" i="38"/>
  <c r="BL164" i="38"/>
  <c r="DT163" i="38"/>
  <c r="CF163" i="38"/>
  <c r="EN162" i="38"/>
  <c r="CZ162" i="38"/>
  <c r="BL162" i="38"/>
  <c r="DT161" i="38"/>
  <c r="CF161" i="38"/>
  <c r="EN160" i="38"/>
  <c r="CZ160" i="38"/>
  <c r="BL160" i="38"/>
  <c r="DT159" i="38"/>
  <c r="CF159" i="38"/>
  <c r="EN158" i="38"/>
  <c r="CZ158" i="38"/>
  <c r="BL158" i="38"/>
  <c r="DT157" i="38"/>
  <c r="CF157" i="38"/>
  <c r="EN156" i="38"/>
  <c r="CZ156" i="38"/>
  <c r="BL156" i="38"/>
  <c r="DT155" i="38"/>
  <c r="CF155" i="38"/>
  <c r="EN154" i="38"/>
  <c r="CZ154" i="38"/>
  <c r="BL154" i="38"/>
  <c r="DT153" i="38"/>
  <c r="CF153" i="38"/>
  <c r="EN152" i="38"/>
  <c r="BL116" i="38"/>
  <c r="DT115" i="38"/>
  <c r="CF115" i="38"/>
  <c r="EN114" i="38"/>
  <c r="CZ114" i="38"/>
  <c r="BL114" i="38"/>
  <c r="DT113" i="38"/>
  <c r="CF113" i="38"/>
  <c r="EN112" i="38"/>
  <c r="CZ112" i="38"/>
  <c r="BL112" i="38"/>
  <c r="DT111" i="38"/>
  <c r="CF111" i="38"/>
  <c r="EN110" i="38"/>
  <c r="CZ110" i="38"/>
  <c r="CF116" i="38"/>
  <c r="EN115" i="38"/>
  <c r="CZ115" i="38"/>
  <c r="BL115" i="38"/>
  <c r="DT114" i="38"/>
  <c r="CF114" i="38"/>
  <c r="EN113" i="38"/>
  <c r="CZ113" i="38"/>
  <c r="BL113" i="38"/>
  <c r="DT112" i="38"/>
  <c r="CF112" i="38"/>
  <c r="EN111" i="38"/>
  <c r="CZ111" i="38"/>
  <c r="BL111" i="38"/>
  <c r="DT110" i="38"/>
  <c r="CF110" i="38"/>
  <c r="BV98" i="38"/>
  <c r="ED97" i="38"/>
  <c r="CP97" i="38"/>
  <c r="BB97" i="38"/>
  <c r="DJ96" i="38"/>
  <c r="BV96" i="38"/>
  <c r="ED95" i="38"/>
  <c r="CP95" i="38"/>
  <c r="BB95" i="38"/>
  <c r="DJ94" i="38"/>
  <c r="BV94" i="38"/>
  <c r="ED93" i="38"/>
  <c r="CP93" i="38"/>
  <c r="BB93" i="38"/>
  <c r="DJ92" i="38"/>
  <c r="BV92" i="38"/>
  <c r="ED91" i="38"/>
  <c r="CP91" i="38"/>
  <c r="BB91" i="38"/>
  <c r="DJ90" i="38"/>
  <c r="BV90" i="38"/>
  <c r="ED89" i="38"/>
  <c r="CP89" i="38"/>
  <c r="BB89" i="38"/>
  <c r="DJ88" i="38"/>
  <c r="BV88" i="38"/>
  <c r="ED87" i="38"/>
  <c r="CP87" i="38"/>
  <c r="BB87" i="38"/>
  <c r="DJ86" i="38"/>
  <c r="BV86" i="38"/>
  <c r="ED85" i="38"/>
  <c r="CP85" i="38"/>
  <c r="BB85" i="38"/>
  <c r="DJ84" i="38"/>
  <c r="BV84" i="38"/>
  <c r="ED83" i="38"/>
  <c r="CP83" i="38"/>
  <c r="BB83" i="38"/>
  <c r="DJ82" i="38"/>
  <c r="BV82" i="38"/>
  <c r="ED81" i="38"/>
  <c r="CP81" i="38"/>
  <c r="BB81" i="38"/>
  <c r="DJ80" i="38"/>
  <c r="BV80" i="38"/>
  <c r="ED79" i="38"/>
  <c r="CP79" i="38"/>
  <c r="BB79" i="38"/>
  <c r="DJ78" i="38"/>
  <c r="BV78" i="38"/>
  <c r="ED77" i="38"/>
  <c r="CP77" i="38"/>
  <c r="BB98" i="38"/>
  <c r="DJ97" i="38"/>
  <c r="BV97" i="38"/>
  <c r="ED96" i="38"/>
  <c r="CP96" i="38"/>
  <c r="BB96" i="38"/>
  <c r="DJ95" i="38"/>
  <c r="BV95" i="38"/>
  <c r="ED94" i="38"/>
  <c r="CP94" i="38"/>
  <c r="BB94" i="38"/>
  <c r="DJ93" i="38"/>
  <c r="BV93" i="38"/>
  <c r="ED92" i="38"/>
  <c r="CP92" i="38"/>
  <c r="BB92" i="38"/>
  <c r="DJ91" i="38"/>
  <c r="BV91" i="38"/>
  <c r="ED90" i="38"/>
  <c r="CP90" i="38"/>
  <c r="BB90" i="38"/>
  <c r="DJ89" i="38"/>
  <c r="BV89" i="38"/>
  <c r="ED88" i="38"/>
  <c r="CP88" i="38"/>
  <c r="BB88" i="38"/>
  <c r="DJ87" i="38"/>
  <c r="BV87" i="38"/>
  <c r="ED86" i="38"/>
  <c r="CP86" i="38"/>
  <c r="BB86" i="38"/>
  <c r="DJ85" i="38"/>
  <c r="BV85" i="38"/>
  <c r="ED84" i="38"/>
  <c r="CP84" i="38"/>
  <c r="BB84" i="38"/>
  <c r="DJ83" i="38"/>
  <c r="BV83" i="38"/>
  <c r="ED82" i="38"/>
  <c r="CP82" i="38"/>
  <c r="BB82" i="38"/>
  <c r="DJ81" i="38"/>
  <c r="BV81" i="38"/>
  <c r="ED80" i="38"/>
  <c r="CP80" i="38"/>
  <c r="BB80" i="38"/>
  <c r="DJ79" i="38"/>
  <c r="BV79" i="38"/>
  <c r="ED78" i="38"/>
  <c r="CP78" i="38"/>
  <c r="BB78" i="38"/>
  <c r="DJ77" i="38"/>
  <c r="BV77" i="38"/>
  <c r="BV61" i="38"/>
  <c r="ED60" i="38"/>
  <c r="CP60" i="38"/>
  <c r="BB61" i="38"/>
  <c r="DJ60" i="38"/>
  <c r="BV60" i="38"/>
  <c r="EN59" i="38"/>
  <c r="CZ59" i="38"/>
  <c r="BL59" i="38"/>
  <c r="DT58" i="38"/>
  <c r="CF58" i="38"/>
  <c r="EN57" i="38"/>
  <c r="CZ57" i="38"/>
  <c r="BL57" i="38"/>
  <c r="DT56" i="38"/>
  <c r="CF56" i="38"/>
  <c r="EN55" i="38"/>
  <c r="CZ55" i="38"/>
  <c r="BL55" i="38"/>
  <c r="DT54" i="38"/>
  <c r="CF54" i="38"/>
  <c r="EN53" i="38"/>
  <c r="CZ53" i="38"/>
  <c r="DT59" i="38"/>
  <c r="CF59" i="38"/>
  <c r="EN58" i="38"/>
  <c r="CZ58" i="38"/>
  <c r="BL58" i="38"/>
  <c r="DT57" i="38"/>
  <c r="CF57" i="38"/>
  <c r="EN56" i="38"/>
  <c r="CZ56" i="38"/>
  <c r="BL56" i="38"/>
  <c r="DT55" i="38"/>
  <c r="CF55" i="38"/>
  <c r="EN54" i="38"/>
  <c r="CZ54" i="38"/>
  <c r="BL54" i="38"/>
  <c r="DT53" i="38"/>
  <c r="CF53" i="38"/>
  <c r="EN52" i="38"/>
  <c r="CZ52" i="38"/>
  <c r="BL52" i="38"/>
  <c r="DT51" i="38"/>
  <c r="CF51" i="38"/>
  <c r="EN50" i="38"/>
  <c r="CZ50" i="38"/>
  <c r="BL53" i="38"/>
  <c r="DT52" i="38"/>
  <c r="CF52" i="38"/>
  <c r="EN51" i="38"/>
  <c r="CZ51" i="38"/>
  <c r="BL51" i="38"/>
  <c r="DT50" i="38"/>
  <c r="CP50" i="38"/>
  <c r="BB50" i="38"/>
  <c r="DJ49" i="38"/>
  <c r="BV49" i="38"/>
  <c r="ED48" i="38"/>
  <c r="CP48" i="38"/>
  <c r="BB48" i="38"/>
  <c r="DJ47" i="38"/>
  <c r="BV47" i="38"/>
  <c r="ED46" i="38"/>
  <c r="CP46" i="38"/>
  <c r="BB46" i="38"/>
  <c r="DJ45" i="38"/>
  <c r="BV45" i="38"/>
  <c r="ED44" i="38"/>
  <c r="CP44" i="38"/>
  <c r="BB44" i="38"/>
  <c r="DJ43" i="38"/>
  <c r="BV43" i="38"/>
  <c r="ED42" i="38"/>
  <c r="CP42" i="38"/>
  <c r="BB42" i="38"/>
  <c r="DJ41" i="38"/>
  <c r="BV41" i="38"/>
  <c r="ED40" i="38"/>
  <c r="CP40" i="38"/>
  <c r="BB40" i="38"/>
  <c r="DJ39" i="38"/>
  <c r="BV39" i="38"/>
  <c r="ED38" i="38"/>
  <c r="CP38" i="38"/>
  <c r="BB38" i="38"/>
  <c r="DJ37" i="38"/>
  <c r="BV37" i="38"/>
  <c r="ED36" i="38"/>
  <c r="CP36" i="38"/>
  <c r="BB36" i="38"/>
  <c r="DJ35" i="38"/>
  <c r="BV35" i="38"/>
  <c r="ED34" i="38"/>
  <c r="CP34" i="38"/>
  <c r="BB34" i="38"/>
  <c r="DJ33" i="38"/>
  <c r="BV33" i="38"/>
  <c r="ED32" i="38"/>
  <c r="CP32" i="38"/>
  <c r="BB32" i="38"/>
  <c r="DJ31" i="38"/>
  <c r="BV31" i="38"/>
  <c r="ED30" i="38"/>
  <c r="CP30" i="38"/>
  <c r="BB30" i="38"/>
  <c r="DJ29" i="38"/>
  <c r="BV29" i="38"/>
  <c r="ED28" i="38"/>
  <c r="CF28" i="38"/>
  <c r="EN27" i="38"/>
  <c r="CZ27" i="38"/>
  <c r="BL27" i="38"/>
  <c r="DT26" i="38"/>
  <c r="CF26" i="38"/>
  <c r="EN25" i="38"/>
  <c r="CZ25" i="38"/>
  <c r="BL25" i="38"/>
  <c r="DT24" i="38"/>
  <c r="CF24" i="38"/>
  <c r="EN23" i="38"/>
  <c r="CZ23" i="38"/>
  <c r="BL23" i="38"/>
  <c r="BV50" i="38"/>
  <c r="ED49" i="38"/>
  <c r="CP49" i="38"/>
  <c r="BB49" i="38"/>
  <c r="DJ48" i="38"/>
  <c r="BV48" i="38"/>
  <c r="ED47" i="38"/>
  <c r="CP47" i="38"/>
  <c r="BB47" i="38"/>
  <c r="DJ46" i="38"/>
  <c r="BV46" i="38"/>
  <c r="ED45" i="38"/>
  <c r="CP45" i="38"/>
  <c r="BB45" i="38"/>
  <c r="DJ44" i="38"/>
  <c r="BV44" i="38"/>
  <c r="ED43" i="38"/>
  <c r="CP43" i="38"/>
  <c r="BB43" i="38"/>
  <c r="DJ42" i="38"/>
  <c r="BV42" i="38"/>
  <c r="ED41" i="38"/>
  <c r="CP41" i="38"/>
  <c r="BB41" i="38"/>
  <c r="DJ40" i="38"/>
  <c r="BV40" i="38"/>
  <c r="ED39" i="38"/>
  <c r="CP39" i="38"/>
  <c r="BB39" i="38"/>
  <c r="DJ38" i="38"/>
  <c r="BV38" i="38"/>
  <c r="ED37" i="38"/>
  <c r="CP37" i="38"/>
  <c r="BB37" i="38"/>
  <c r="DJ36" i="38"/>
  <c r="BV36" i="38"/>
  <c r="ED35" i="38"/>
  <c r="CP35" i="38"/>
  <c r="BB35" i="38"/>
  <c r="DJ34" i="38"/>
  <c r="BV34" i="38"/>
  <c r="ED33" i="38"/>
  <c r="CP33" i="38"/>
  <c r="BB33" i="38"/>
  <c r="DJ32" i="38"/>
  <c r="BV32" i="38"/>
  <c r="ED31" i="38"/>
  <c r="CP31" i="38"/>
  <c r="BB31" i="38"/>
  <c r="DJ30" i="38"/>
  <c r="BV30" i="38"/>
  <c r="ED29" i="38"/>
  <c r="CP29" i="38"/>
  <c r="BB29" i="38"/>
  <c r="DT22" i="38"/>
  <c r="CF22" i="38"/>
  <c r="EN21" i="38"/>
  <c r="CZ21" i="38"/>
  <c r="BL21" i="38"/>
  <c r="DT20" i="38"/>
  <c r="CF20" i="38"/>
  <c r="EN19" i="38"/>
  <c r="CZ19" i="38"/>
  <c r="BL19" i="38"/>
  <c r="DT18" i="38"/>
  <c r="CF18" i="38"/>
  <c r="EN17" i="38"/>
  <c r="DT17" i="38"/>
  <c r="CF17" i="38"/>
  <c r="EN16" i="38"/>
  <c r="CZ16" i="38"/>
  <c r="BL16" i="38"/>
  <c r="DT15" i="38"/>
  <c r="CF15" i="38"/>
  <c r="EN14" i="38"/>
  <c r="CZ14" i="38"/>
  <c r="BL14" i="38"/>
  <c r="DT13" i="38"/>
  <c r="CF13" i="38"/>
  <c r="EN12" i="38"/>
  <c r="CZ12" i="38"/>
  <c r="BV12" i="38"/>
  <c r="CP11" i="38"/>
  <c r="DJ10" i="38"/>
  <c r="ED9" i="38"/>
  <c r="BB9" i="38"/>
  <c r="CZ28" i="38"/>
  <c r="BL28" i="38"/>
  <c r="DT27" i="38"/>
  <c r="CF27" i="38"/>
  <c r="EN26" i="38"/>
  <c r="CZ26" i="38"/>
  <c r="BL26" i="38"/>
  <c r="DT25" i="38"/>
  <c r="CF25" i="38"/>
  <c r="EN24" i="38"/>
  <c r="CZ24" i="38"/>
  <c r="BL24" i="38"/>
  <c r="DT23" i="38"/>
  <c r="CF23" i="38"/>
  <c r="EN22" i="38"/>
  <c r="CZ22" i="38"/>
  <c r="BL22" i="38"/>
  <c r="DT21" i="38"/>
  <c r="CF21" i="38"/>
  <c r="EN20" i="38"/>
  <c r="CZ20" i="38"/>
  <c r="BL20" i="38"/>
  <c r="DT19" i="38"/>
  <c r="CF19" i="38"/>
  <c r="EN18" i="38"/>
  <c r="CZ18" i="38"/>
  <c r="BL18" i="38"/>
  <c r="ED11" i="38"/>
  <c r="BB11" i="38"/>
  <c r="BV10" i="38"/>
  <c r="CP9" i="38"/>
  <c r="CZ17" i="38"/>
  <c r="BL17" i="38"/>
  <c r="DT16" i="38"/>
  <c r="CF16" i="38"/>
  <c r="EN15" i="38"/>
  <c r="CZ15" i="38"/>
  <c r="BL15" i="38"/>
  <c r="DT14" i="38"/>
  <c r="CF14" i="38"/>
  <c r="EN13" i="38"/>
  <c r="CZ13" i="38"/>
  <c r="BL13" i="38"/>
  <c r="DT12" i="38"/>
  <c r="BB12" i="38"/>
  <c r="DJ11" i="38"/>
  <c r="BV11" i="38"/>
  <c r="ED10" i="38"/>
  <c r="CP10" i="38"/>
  <c r="BB10" i="38"/>
  <c r="DJ9" i="38"/>
  <c r="BV9" i="38"/>
  <c r="CZ261" i="37"/>
  <c r="CF261" i="37"/>
  <c r="BL261" i="37"/>
  <c r="EN260" i="37"/>
  <c r="DT260" i="37"/>
  <c r="CZ260" i="37"/>
  <c r="CF260" i="37"/>
  <c r="BL260" i="37"/>
  <c r="EN259" i="37"/>
  <c r="DT259" i="37"/>
  <c r="CZ259" i="37"/>
  <c r="CF259" i="37"/>
  <c r="BL259" i="37"/>
  <c r="EN258" i="37"/>
  <c r="DT258" i="37"/>
  <c r="CZ258" i="37"/>
  <c r="CF258" i="37"/>
  <c r="BL258" i="37"/>
  <c r="EN257" i="37"/>
  <c r="DT257" i="37"/>
  <c r="CZ257" i="37"/>
  <c r="CF257" i="37"/>
  <c r="BL257" i="37"/>
  <c r="EN256" i="37"/>
  <c r="DT256" i="37"/>
  <c r="CZ256" i="37"/>
  <c r="CF256" i="37"/>
  <c r="BL256" i="37"/>
  <c r="EN255" i="37"/>
  <c r="DT255" i="37"/>
  <c r="CZ255" i="37"/>
  <c r="CF255" i="37"/>
  <c r="BL255" i="37"/>
  <c r="EN254" i="37"/>
  <c r="DT254" i="37"/>
  <c r="CZ254" i="37"/>
  <c r="CF254" i="37"/>
  <c r="BL254" i="37"/>
  <c r="EN253" i="37"/>
  <c r="DT253" i="37"/>
  <c r="CZ253" i="37"/>
  <c r="CF253" i="37"/>
  <c r="BL253" i="37"/>
  <c r="EN252" i="37"/>
  <c r="DT252" i="37"/>
  <c r="CZ252" i="37"/>
  <c r="CF252" i="37"/>
  <c r="BL252" i="37"/>
  <c r="EN251" i="37"/>
  <c r="DT251" i="37"/>
  <c r="CZ251" i="37"/>
  <c r="CF251" i="37"/>
  <c r="BL251" i="37"/>
  <c r="EN250" i="37"/>
  <c r="DT250" i="37"/>
  <c r="CZ250" i="37"/>
  <c r="CF250" i="37"/>
  <c r="BL250" i="37"/>
  <c r="EN249" i="37"/>
  <c r="DT249" i="37"/>
  <c r="CZ249" i="37"/>
  <c r="CF249" i="37"/>
  <c r="BL249" i="37"/>
  <c r="EN248" i="37"/>
  <c r="DT248" i="37"/>
  <c r="CZ248" i="37"/>
  <c r="CF248" i="37"/>
  <c r="BL248" i="37"/>
  <c r="EN247" i="37"/>
  <c r="DT247" i="37"/>
  <c r="CZ247" i="37"/>
  <c r="CF247" i="37"/>
  <c r="BL247" i="37"/>
  <c r="EN246" i="37"/>
  <c r="DT246" i="37"/>
  <c r="CZ246" i="37"/>
  <c r="CF246" i="37"/>
  <c r="BL246" i="37"/>
  <c r="EN245" i="37"/>
  <c r="DT245" i="37"/>
  <c r="CZ245" i="37"/>
  <c r="CF245" i="37"/>
  <c r="BL245" i="37"/>
  <c r="EN244" i="37"/>
  <c r="DT244" i="37"/>
  <c r="CZ244" i="37"/>
  <c r="CF244" i="37"/>
  <c r="BL244" i="37"/>
  <c r="EN243" i="37"/>
  <c r="DT243" i="37"/>
  <c r="CZ243" i="37"/>
  <c r="CF243" i="37"/>
  <c r="BL243" i="37"/>
  <c r="EN242" i="37"/>
  <c r="DT242" i="37"/>
  <c r="CZ242" i="37"/>
  <c r="CF242" i="37"/>
  <c r="BL242" i="37"/>
  <c r="EN241" i="37"/>
  <c r="DT241" i="37"/>
  <c r="CZ241" i="37"/>
  <c r="CF241" i="37"/>
  <c r="BL241" i="37"/>
  <c r="EN240" i="37"/>
  <c r="DT240" i="37"/>
  <c r="CZ240" i="37"/>
  <c r="CF240" i="37"/>
  <c r="BL240" i="37"/>
  <c r="EN239" i="37"/>
  <c r="DT239" i="37"/>
  <c r="CZ239" i="37"/>
  <c r="CF239" i="37"/>
  <c r="BL239" i="37"/>
  <c r="EN238" i="37"/>
  <c r="DT238" i="37"/>
  <c r="CZ238" i="37"/>
  <c r="CF238" i="37"/>
  <c r="BL238" i="37"/>
  <c r="EN237" i="37"/>
  <c r="DT237" i="37"/>
  <c r="CZ237" i="37"/>
  <c r="CF237" i="37"/>
  <c r="BL237" i="37"/>
  <c r="EN236" i="37"/>
  <c r="DT236" i="37"/>
  <c r="CZ236" i="37"/>
  <c r="CF236" i="37"/>
  <c r="BL236" i="37"/>
  <c r="EN235" i="37"/>
  <c r="DT235" i="37"/>
  <c r="CZ235" i="37"/>
  <c r="CF235" i="37"/>
  <c r="BL235" i="37"/>
  <c r="EN234" i="37"/>
  <c r="DT234" i="37"/>
  <c r="CZ234" i="37"/>
  <c r="CF234" i="37"/>
  <c r="BL234" i="37"/>
  <c r="EN233" i="37"/>
  <c r="DT233" i="37"/>
  <c r="CZ233" i="37"/>
  <c r="CF233" i="37"/>
  <c r="BL233" i="37"/>
  <c r="EN232" i="37"/>
  <c r="DT232" i="37"/>
  <c r="CZ232" i="37"/>
  <c r="CF232" i="37"/>
  <c r="BL232" i="37"/>
  <c r="EN231" i="37"/>
  <c r="DT231" i="37"/>
  <c r="CZ231" i="37"/>
  <c r="CF231" i="37"/>
  <c r="BL231" i="37"/>
  <c r="EN230" i="37"/>
  <c r="DT230" i="37"/>
  <c r="CZ230" i="37"/>
  <c r="CF230" i="37"/>
  <c r="BL230" i="37"/>
  <c r="EN229" i="37"/>
  <c r="DT229" i="37"/>
  <c r="CZ229" i="37"/>
  <c r="CF229" i="37"/>
  <c r="BL229" i="37"/>
  <c r="EN228" i="37"/>
  <c r="DT228" i="37"/>
  <c r="CZ228" i="37"/>
  <c r="CF228" i="37"/>
  <c r="BL228" i="37"/>
  <c r="EN227" i="37"/>
  <c r="DT227" i="37"/>
  <c r="CZ227" i="37"/>
  <c r="CF227" i="37"/>
  <c r="BL227" i="37"/>
  <c r="EN226" i="37"/>
  <c r="DT226" i="37"/>
  <c r="CZ226" i="37"/>
  <c r="CF226" i="37"/>
  <c r="BL226" i="37"/>
  <c r="EN225" i="37"/>
  <c r="DT225" i="37"/>
  <c r="CZ225" i="37"/>
  <c r="CF225" i="37"/>
  <c r="BL225" i="37"/>
  <c r="EN224" i="37"/>
  <c r="DT224" i="37"/>
  <c r="CZ224" i="37"/>
  <c r="CF224" i="37"/>
  <c r="BL224" i="37"/>
  <c r="EN223" i="37"/>
  <c r="DT223" i="37"/>
  <c r="CZ223" i="37"/>
  <c r="CF223" i="37"/>
  <c r="BL223" i="37"/>
  <c r="EN222" i="37"/>
  <c r="DT222" i="37"/>
  <c r="CZ222" i="37"/>
  <c r="CF222" i="37"/>
  <c r="BL222" i="37"/>
  <c r="EN221" i="37"/>
  <c r="DT221" i="37"/>
  <c r="CZ221" i="37"/>
  <c r="CF221" i="37"/>
  <c r="BL221" i="37"/>
  <c r="DJ261" i="37"/>
  <c r="CP261" i="37"/>
  <c r="BV261" i="37"/>
  <c r="BB261" i="37"/>
  <c r="ED260" i="37"/>
  <c r="DJ260" i="37"/>
  <c r="CP260" i="37"/>
  <c r="BV260" i="37"/>
  <c r="BB260" i="37"/>
  <c r="ED259" i="37"/>
  <c r="DJ259" i="37"/>
  <c r="CP259" i="37"/>
  <c r="BV259" i="37"/>
  <c r="BB259" i="37"/>
  <c r="ED258" i="37"/>
  <c r="DJ258" i="37"/>
  <c r="CP258" i="37"/>
  <c r="BV258" i="37"/>
  <c r="BB258" i="37"/>
  <c r="ED257" i="37"/>
  <c r="DJ257" i="37"/>
  <c r="CP257" i="37"/>
  <c r="BV257" i="37"/>
  <c r="BB257" i="37"/>
  <c r="ED256" i="37"/>
  <c r="DJ256" i="37"/>
  <c r="CP256" i="37"/>
  <c r="BV256" i="37"/>
  <c r="BB256" i="37"/>
  <c r="ED255" i="37"/>
  <c r="DJ255" i="37"/>
  <c r="CP255" i="37"/>
  <c r="BV255" i="37"/>
  <c r="BB255" i="37"/>
  <c r="ED254" i="37"/>
  <c r="DJ254" i="37"/>
  <c r="CP254" i="37"/>
  <c r="BV254" i="37"/>
  <c r="BB254" i="37"/>
  <c r="ED253" i="37"/>
  <c r="DJ253" i="37"/>
  <c r="CP253" i="37"/>
  <c r="BV253" i="37"/>
  <c r="BB253" i="37"/>
  <c r="ED252" i="37"/>
  <c r="DJ252" i="37"/>
  <c r="CP252" i="37"/>
  <c r="BV252" i="37"/>
  <c r="BB252" i="37"/>
  <c r="ED251" i="37"/>
  <c r="DJ251" i="37"/>
  <c r="CP251" i="37"/>
  <c r="BV251" i="37"/>
  <c r="BB251" i="37"/>
  <c r="ED250" i="37"/>
  <c r="DJ250" i="37"/>
  <c r="CP250" i="37"/>
  <c r="BV250" i="37"/>
  <c r="BB250" i="37"/>
  <c r="ED249" i="37"/>
  <c r="DJ249" i="37"/>
  <c r="CP249" i="37"/>
  <c r="BV249" i="37"/>
  <c r="BB249" i="37"/>
  <c r="ED248" i="37"/>
  <c r="DJ248" i="37"/>
  <c r="CP248" i="37"/>
  <c r="BV248" i="37"/>
  <c r="BB248" i="37"/>
  <c r="ED247" i="37"/>
  <c r="DJ247" i="37"/>
  <c r="CP247" i="37"/>
  <c r="BV247" i="37"/>
  <c r="BB247" i="37"/>
  <c r="ED246" i="37"/>
  <c r="DJ246" i="37"/>
  <c r="CP246" i="37"/>
  <c r="BV246" i="37"/>
  <c r="BB246" i="37"/>
  <c r="ED245" i="37"/>
  <c r="DJ245" i="37"/>
  <c r="CP245" i="37"/>
  <c r="BV245" i="37"/>
  <c r="BB245" i="37"/>
  <c r="ED244" i="37"/>
  <c r="DJ244" i="37"/>
  <c r="CP244" i="37"/>
  <c r="BV244" i="37"/>
  <c r="BB244" i="37"/>
  <c r="ED243" i="37"/>
  <c r="DJ243" i="37"/>
  <c r="CP243" i="37"/>
  <c r="BV243" i="37"/>
  <c r="BB243" i="37"/>
  <c r="ED242" i="37"/>
  <c r="DJ242" i="37"/>
  <c r="CP242" i="37"/>
  <c r="BV242" i="37"/>
  <c r="BB242" i="37"/>
  <c r="ED241" i="37"/>
  <c r="DJ241" i="37"/>
  <c r="CP241" i="37"/>
  <c r="BV241" i="37"/>
  <c r="BB241" i="37"/>
  <c r="ED240" i="37"/>
  <c r="DJ240" i="37"/>
  <c r="CP240" i="37"/>
  <c r="BV240" i="37"/>
  <c r="BB240" i="37"/>
  <c r="ED239" i="37"/>
  <c r="DJ239" i="37"/>
  <c r="CP239" i="37"/>
  <c r="BV239" i="37"/>
  <c r="BB239" i="37"/>
  <c r="ED238" i="37"/>
  <c r="DJ238" i="37"/>
  <c r="CP238" i="37"/>
  <c r="BV238" i="37"/>
  <c r="BB238" i="37"/>
  <c r="ED237" i="37"/>
  <c r="DJ237" i="37"/>
  <c r="CP237" i="37"/>
  <c r="BV237" i="37"/>
  <c r="BB237" i="37"/>
  <c r="ED236" i="37"/>
  <c r="DJ236" i="37"/>
  <c r="CP236" i="37"/>
  <c r="BV236" i="37"/>
  <c r="BB236" i="37"/>
  <c r="ED235" i="37"/>
  <c r="DJ235" i="37"/>
  <c r="CP235" i="37"/>
  <c r="BV235" i="37"/>
  <c r="BB235" i="37"/>
  <c r="ED234" i="37"/>
  <c r="DJ234" i="37"/>
  <c r="CP234" i="37"/>
  <c r="BV234" i="37"/>
  <c r="BB234" i="37"/>
  <c r="ED233" i="37"/>
  <c r="DJ233" i="37"/>
  <c r="CP233" i="37"/>
  <c r="BV233" i="37"/>
  <c r="BB233" i="37"/>
  <c r="ED232" i="37"/>
  <c r="DJ232" i="37"/>
  <c r="CP232" i="37"/>
  <c r="BV232" i="37"/>
  <c r="BB232" i="37"/>
  <c r="ED231" i="37"/>
  <c r="DJ231" i="37"/>
  <c r="CP231" i="37"/>
  <c r="BV231" i="37"/>
  <c r="BB231" i="37"/>
  <c r="ED230" i="37"/>
  <c r="DJ230" i="37"/>
  <c r="CP230" i="37"/>
  <c r="BV230" i="37"/>
  <c r="BB230" i="37"/>
  <c r="ED229" i="37"/>
  <c r="DJ229" i="37"/>
  <c r="CP229" i="37"/>
  <c r="BV229" i="37"/>
  <c r="BB229" i="37"/>
  <c r="ED228" i="37"/>
  <c r="DJ228" i="37"/>
  <c r="CP228" i="37"/>
  <c r="BV228" i="37"/>
  <c r="BB228" i="37"/>
  <c r="ED227" i="37"/>
  <c r="DJ227" i="37"/>
  <c r="CP227" i="37"/>
  <c r="BV227" i="37"/>
  <c r="BB227" i="37"/>
  <c r="ED226" i="37"/>
  <c r="DJ226" i="37"/>
  <c r="CP226" i="37"/>
  <c r="BV226" i="37"/>
  <c r="BB226" i="37"/>
  <c r="ED225" i="37"/>
  <c r="DJ225" i="37"/>
  <c r="CP225" i="37"/>
  <c r="BV225" i="37"/>
  <c r="BB225" i="37"/>
  <c r="ED224" i="37"/>
  <c r="DJ224" i="37"/>
  <c r="CP224" i="37"/>
  <c r="BV224" i="37"/>
  <c r="BB224" i="37"/>
  <c r="ED223" i="37"/>
  <c r="DJ223" i="37"/>
  <c r="CP223" i="37"/>
  <c r="BV223" i="37"/>
  <c r="BB223" i="37"/>
  <c r="ED222" i="37"/>
  <c r="DJ222" i="37"/>
  <c r="CP222" i="37"/>
  <c r="BV222" i="37"/>
  <c r="BB222" i="37"/>
  <c r="ED221" i="37"/>
  <c r="DJ221" i="37"/>
  <c r="CP221" i="37"/>
  <c r="BV221" i="37"/>
  <c r="CZ192" i="37"/>
  <c r="CF192" i="37"/>
  <c r="BL192" i="37"/>
  <c r="EN191" i="37"/>
  <c r="DT191" i="37"/>
  <c r="CZ191" i="37"/>
  <c r="CF191" i="37"/>
  <c r="BL191" i="37"/>
  <c r="EN190" i="37"/>
  <c r="DT190" i="37"/>
  <c r="CZ190" i="37"/>
  <c r="CF190" i="37"/>
  <c r="BL190" i="37"/>
  <c r="EN189" i="37"/>
  <c r="DT189" i="37"/>
  <c r="CZ189" i="37"/>
  <c r="CF189" i="37"/>
  <c r="BL189" i="37"/>
  <c r="EN188" i="37"/>
  <c r="DT188" i="37"/>
  <c r="CZ188" i="37"/>
  <c r="CF188" i="37"/>
  <c r="BL188" i="37"/>
  <c r="EN187" i="37"/>
  <c r="DT187" i="37"/>
  <c r="CZ187" i="37"/>
  <c r="CF187" i="37"/>
  <c r="BL187" i="37"/>
  <c r="EN186" i="37"/>
  <c r="DT186" i="37"/>
  <c r="CZ186" i="37"/>
  <c r="CF186" i="37"/>
  <c r="BL186" i="37"/>
  <c r="EN185" i="37"/>
  <c r="DT185" i="37"/>
  <c r="CZ185" i="37"/>
  <c r="CF185" i="37"/>
  <c r="BL185" i="37"/>
  <c r="CP192" i="37"/>
  <c r="BV192" i="37"/>
  <c r="BB192" i="37"/>
  <c r="ED191" i="37"/>
  <c r="DJ191" i="37"/>
  <c r="CP191" i="37"/>
  <c r="BV191" i="37"/>
  <c r="BB191" i="37"/>
  <c r="ED190" i="37"/>
  <c r="DJ190" i="37"/>
  <c r="CP190" i="37"/>
  <c r="BV190" i="37"/>
  <c r="BB190" i="37"/>
  <c r="ED189" i="37"/>
  <c r="DJ189" i="37"/>
  <c r="CP189" i="37"/>
  <c r="BV189" i="37"/>
  <c r="BB189" i="37"/>
  <c r="ED188" i="37"/>
  <c r="DJ188" i="37"/>
  <c r="CP188" i="37"/>
  <c r="BV188" i="37"/>
  <c r="BB188" i="37"/>
  <c r="ED187" i="37"/>
  <c r="DJ187" i="37"/>
  <c r="CP187" i="37"/>
  <c r="BV187" i="37"/>
  <c r="BB187" i="37"/>
  <c r="ED186" i="37"/>
  <c r="DJ186" i="37"/>
  <c r="CP186" i="37"/>
  <c r="BV186" i="37"/>
  <c r="BB186" i="37"/>
  <c r="ED185" i="37"/>
  <c r="DJ185" i="37"/>
  <c r="CP185" i="37"/>
  <c r="BV185" i="37"/>
  <c r="BL156" i="37"/>
  <c r="EN155" i="37"/>
  <c r="DT155" i="37"/>
  <c r="CZ155" i="37"/>
  <c r="CF155" i="37"/>
  <c r="BL155" i="37"/>
  <c r="EN154" i="37"/>
  <c r="DT154" i="37"/>
  <c r="CZ154" i="37"/>
  <c r="CF154" i="37"/>
  <c r="BL154" i="37"/>
  <c r="EN153" i="37"/>
  <c r="DT153" i="37"/>
  <c r="CZ153" i="37"/>
  <c r="CF153" i="37"/>
  <c r="BL153" i="37"/>
  <c r="EN152" i="37"/>
  <c r="DT152" i="37"/>
  <c r="CZ152" i="37"/>
  <c r="CF152" i="37"/>
  <c r="BL152" i="37"/>
  <c r="EN151" i="37"/>
  <c r="DT151" i="37"/>
  <c r="CZ151" i="37"/>
  <c r="CF151" i="37"/>
  <c r="BL151" i="37"/>
  <c r="EN150" i="37"/>
  <c r="DT150" i="37"/>
  <c r="CZ150" i="37"/>
  <c r="CF150" i="37"/>
  <c r="BL150" i="37"/>
  <c r="EN149" i="37"/>
  <c r="DT149" i="37"/>
  <c r="CZ149" i="37"/>
  <c r="CF149" i="37"/>
  <c r="BL149" i="37"/>
  <c r="EN148" i="37"/>
  <c r="DT148" i="37"/>
  <c r="CZ148" i="37"/>
  <c r="CF148" i="37"/>
  <c r="BL148" i="37"/>
  <c r="EN147" i="37"/>
  <c r="DT147" i="37"/>
  <c r="CZ147" i="37"/>
  <c r="CF147" i="37"/>
  <c r="BL147" i="37"/>
  <c r="EN146" i="37"/>
  <c r="DT146" i="37"/>
  <c r="CZ146" i="37"/>
  <c r="CF146" i="37"/>
  <c r="BL146" i="37"/>
  <c r="EN145" i="37"/>
  <c r="DT145" i="37"/>
  <c r="CZ145" i="37"/>
  <c r="CF145" i="37"/>
  <c r="BL145" i="37"/>
  <c r="EN144" i="37"/>
  <c r="DT144" i="37"/>
  <c r="CZ144" i="37"/>
  <c r="CF144" i="37"/>
  <c r="BL144" i="37"/>
  <c r="EN143" i="37"/>
  <c r="DT143" i="37"/>
  <c r="CZ143" i="37"/>
  <c r="CF143" i="37"/>
  <c r="BL143" i="37"/>
  <c r="EN142" i="37"/>
  <c r="DT142" i="37"/>
  <c r="CZ142" i="37"/>
  <c r="CF142" i="37"/>
  <c r="BL142" i="37"/>
  <c r="EN141" i="37"/>
  <c r="DT141" i="37"/>
  <c r="CZ141" i="37"/>
  <c r="CF141" i="37"/>
  <c r="BL141" i="37"/>
  <c r="EN140" i="37"/>
  <c r="DT140" i="37"/>
  <c r="CZ140" i="37"/>
  <c r="CF140" i="37"/>
  <c r="BL140" i="37"/>
  <c r="EN139" i="37"/>
  <c r="DT139" i="37"/>
  <c r="CZ139" i="37"/>
  <c r="CF139" i="37"/>
  <c r="BL139" i="37"/>
  <c r="EN138" i="37"/>
  <c r="DT138" i="37"/>
  <c r="CZ138" i="37"/>
  <c r="CF138" i="37"/>
  <c r="BL138" i="37"/>
  <c r="EN137" i="37"/>
  <c r="DT137" i="37"/>
  <c r="CZ137" i="37"/>
  <c r="CF137" i="37"/>
  <c r="BL137" i="37"/>
  <c r="EN136" i="37"/>
  <c r="DT136" i="37"/>
  <c r="CZ136" i="37"/>
  <c r="CF136" i="37"/>
  <c r="BL136" i="37"/>
  <c r="EN135" i="37"/>
  <c r="DT135" i="37"/>
  <c r="CZ135" i="37"/>
  <c r="CF135" i="37"/>
  <c r="BL135" i="37"/>
  <c r="EN134" i="37"/>
  <c r="DT134" i="37"/>
  <c r="CZ134" i="37"/>
  <c r="CF134" i="37"/>
  <c r="BL134" i="37"/>
  <c r="EN133" i="37"/>
  <c r="DT133" i="37"/>
  <c r="CZ133" i="37"/>
  <c r="CF133" i="37"/>
  <c r="BL133" i="37"/>
  <c r="EN132" i="37"/>
  <c r="DT132" i="37"/>
  <c r="CZ132" i="37"/>
  <c r="CF132" i="37"/>
  <c r="BL132" i="37"/>
  <c r="EN131" i="37"/>
  <c r="DT131" i="37"/>
  <c r="CZ131" i="37"/>
  <c r="CF131" i="37"/>
  <c r="BL131" i="37"/>
  <c r="EN130" i="37"/>
  <c r="DT130" i="37"/>
  <c r="CZ130" i="37"/>
  <c r="CF130" i="37"/>
  <c r="BL130" i="37"/>
  <c r="EN129" i="37"/>
  <c r="DT129" i="37"/>
  <c r="CZ129" i="37"/>
  <c r="CF129" i="37"/>
  <c r="BL129" i="37"/>
  <c r="EN128" i="37"/>
  <c r="DT128" i="37"/>
  <c r="CZ128" i="37"/>
  <c r="CF128" i="37"/>
  <c r="BL128" i="37"/>
  <c r="EN127" i="37"/>
  <c r="DT127" i="37"/>
  <c r="CZ127" i="37"/>
  <c r="CF127" i="37"/>
  <c r="BL127" i="37"/>
  <c r="EN126" i="37"/>
  <c r="DT126" i="37"/>
  <c r="CZ126" i="37"/>
  <c r="CF126" i="37"/>
  <c r="BL126" i="37"/>
  <c r="EN125" i="37"/>
  <c r="DT125" i="37"/>
  <c r="CZ125" i="37"/>
  <c r="CF125" i="37"/>
  <c r="BV156" i="37"/>
  <c r="BB156" i="37"/>
  <c r="ED155" i="37"/>
  <c r="DJ155" i="37"/>
  <c r="CP155" i="37"/>
  <c r="BV155" i="37"/>
  <c r="BB155" i="37"/>
  <c r="ED154" i="37"/>
  <c r="DJ154" i="37"/>
  <c r="CP154" i="37"/>
  <c r="BV154" i="37"/>
  <c r="BB154" i="37"/>
  <c r="ED153" i="37"/>
  <c r="DJ153" i="37"/>
  <c r="CP153" i="37"/>
  <c r="BV153" i="37"/>
  <c r="BB153" i="37"/>
  <c r="ED152" i="37"/>
  <c r="DJ152" i="37"/>
  <c r="CP152" i="37"/>
  <c r="BV152" i="37"/>
  <c r="BB152" i="37"/>
  <c r="ED151" i="37"/>
  <c r="DJ151" i="37"/>
  <c r="CP151" i="37"/>
  <c r="BV151" i="37"/>
  <c r="BB151" i="37"/>
  <c r="ED150" i="37"/>
  <c r="DJ150" i="37"/>
  <c r="CP150" i="37"/>
  <c r="BV150" i="37"/>
  <c r="BB150" i="37"/>
  <c r="ED149" i="37"/>
  <c r="DJ149" i="37"/>
  <c r="CP149" i="37"/>
  <c r="BV149" i="37"/>
  <c r="BB149" i="37"/>
  <c r="ED148" i="37"/>
  <c r="DJ148" i="37"/>
  <c r="CP148" i="37"/>
  <c r="BV148" i="37"/>
  <c r="BB148" i="37"/>
  <c r="ED147" i="37"/>
  <c r="DJ147" i="37"/>
  <c r="CP147" i="37"/>
  <c r="BV147" i="37"/>
  <c r="BB147" i="37"/>
  <c r="ED146" i="37"/>
  <c r="DJ146" i="37"/>
  <c r="CP146" i="37"/>
  <c r="BV146" i="37"/>
  <c r="BB146" i="37"/>
  <c r="ED145" i="37"/>
  <c r="DJ145" i="37"/>
  <c r="CP145" i="37"/>
  <c r="BV145" i="37"/>
  <c r="BB145" i="37"/>
  <c r="ED144" i="37"/>
  <c r="DJ144" i="37"/>
  <c r="CP144" i="37"/>
  <c r="BV144" i="37"/>
  <c r="BB144" i="37"/>
  <c r="ED143" i="37"/>
  <c r="DJ143" i="37"/>
  <c r="CP143" i="37"/>
  <c r="BV143" i="37"/>
  <c r="BB143" i="37"/>
  <c r="ED142" i="37"/>
  <c r="DJ142" i="37"/>
  <c r="CP142" i="37"/>
  <c r="BV142" i="37"/>
  <c r="BB142" i="37"/>
  <c r="ED141" i="37"/>
  <c r="DJ141" i="37"/>
  <c r="CP141" i="37"/>
  <c r="BV141" i="37"/>
  <c r="BB141" i="37"/>
  <c r="ED140" i="37"/>
  <c r="DJ140" i="37"/>
  <c r="CP140" i="37"/>
  <c r="BV140" i="37"/>
  <c r="BB140" i="37"/>
  <c r="ED139" i="37"/>
  <c r="DJ139" i="37"/>
  <c r="CP139" i="37"/>
  <c r="BV139" i="37"/>
  <c r="BB139" i="37"/>
  <c r="ED138" i="37"/>
  <c r="DJ138" i="37"/>
  <c r="CP138" i="37"/>
  <c r="BV138" i="37"/>
  <c r="BB138" i="37"/>
  <c r="ED137" i="37"/>
  <c r="DJ137" i="37"/>
  <c r="CP137" i="37"/>
  <c r="BV137" i="37"/>
  <c r="BB137" i="37"/>
  <c r="ED136" i="37"/>
  <c r="DJ136" i="37"/>
  <c r="CP136" i="37"/>
  <c r="BV136" i="37"/>
  <c r="BB136" i="37"/>
  <c r="ED135" i="37"/>
  <c r="DJ135" i="37"/>
  <c r="CP135" i="37"/>
  <c r="BV135" i="37"/>
  <c r="BB135" i="37"/>
  <c r="ED134" i="37"/>
  <c r="DJ134" i="37"/>
  <c r="CP134" i="37"/>
  <c r="BV134" i="37"/>
  <c r="BB134" i="37"/>
  <c r="ED133" i="37"/>
  <c r="DJ133" i="37"/>
  <c r="CP133" i="37"/>
  <c r="BV133" i="37"/>
  <c r="BB133" i="37"/>
  <c r="ED132" i="37"/>
  <c r="DJ132" i="37"/>
  <c r="CP132" i="37"/>
  <c r="BV132" i="37"/>
  <c r="BB132" i="37"/>
  <c r="ED131" i="37"/>
  <c r="DJ131" i="37"/>
  <c r="CP131" i="37"/>
  <c r="BV131" i="37"/>
  <c r="BB131" i="37"/>
  <c r="ED130" i="37"/>
  <c r="DJ130" i="37"/>
  <c r="CP130" i="37"/>
  <c r="BV130" i="37"/>
  <c r="BB130" i="37"/>
  <c r="ED129" i="37"/>
  <c r="DJ129" i="37"/>
  <c r="CP129" i="37"/>
  <c r="BV129" i="37"/>
  <c r="BB129" i="37"/>
  <c r="ED128" i="37"/>
  <c r="DJ128" i="37"/>
  <c r="CP128" i="37"/>
  <c r="BV128" i="37"/>
  <c r="BB128" i="37"/>
  <c r="ED127" i="37"/>
  <c r="DJ127" i="37"/>
  <c r="CP127" i="37"/>
  <c r="BV127" i="37"/>
  <c r="BB127" i="37"/>
  <c r="ED126" i="37"/>
  <c r="DJ126" i="37"/>
  <c r="CP126" i="37"/>
  <c r="BV126" i="37"/>
  <c r="BB126" i="37"/>
  <c r="ED125" i="37"/>
  <c r="DJ125" i="37"/>
  <c r="CP125" i="37"/>
  <c r="BB36" i="37"/>
  <c r="ED35" i="37"/>
  <c r="DJ35" i="37"/>
  <c r="CP35" i="37"/>
  <c r="BV35" i="37"/>
  <c r="BB35" i="37"/>
  <c r="ED34" i="37"/>
  <c r="DJ34" i="37"/>
  <c r="CP34" i="37"/>
  <c r="BV34" i="37"/>
  <c r="BB34" i="37"/>
  <c r="ED33" i="37"/>
  <c r="DJ33" i="37"/>
  <c r="CP33" i="37"/>
  <c r="BV33" i="37"/>
  <c r="BB33" i="37"/>
  <c r="ED32" i="37"/>
  <c r="DJ32" i="37"/>
  <c r="CP32" i="37"/>
  <c r="BV32" i="37"/>
  <c r="BB32" i="37"/>
  <c r="ED31" i="37"/>
  <c r="DJ31" i="37"/>
  <c r="CP31" i="37"/>
  <c r="BV31" i="37"/>
  <c r="BB31" i="37"/>
  <c r="ED30" i="37"/>
  <c r="DJ30" i="37"/>
  <c r="CP30" i="37"/>
  <c r="BV30" i="37"/>
  <c r="BB30" i="37"/>
  <c r="ED29" i="37"/>
  <c r="DJ29" i="37"/>
  <c r="CP29" i="37"/>
  <c r="BV29" i="37"/>
  <c r="BB29" i="37"/>
  <c r="ED28" i="37"/>
  <c r="DJ28" i="37"/>
  <c r="CP28" i="37"/>
  <c r="BV28" i="37"/>
  <c r="BB28" i="37"/>
  <c r="ED27" i="37"/>
  <c r="DJ27" i="37"/>
  <c r="EN35" i="37"/>
  <c r="DT35" i="37"/>
  <c r="CZ35" i="37"/>
  <c r="CF35" i="37"/>
  <c r="BL35" i="37"/>
  <c r="EN34" i="37"/>
  <c r="DT34" i="37"/>
  <c r="CZ34" i="37"/>
  <c r="CF34" i="37"/>
  <c r="BL34" i="37"/>
  <c r="EN33" i="37"/>
  <c r="DT33" i="37"/>
  <c r="CZ33" i="37"/>
  <c r="CF33" i="37"/>
  <c r="BL33" i="37"/>
  <c r="EN32" i="37"/>
  <c r="DT32" i="37"/>
  <c r="CZ32" i="37"/>
  <c r="CF32" i="37"/>
  <c r="BL32" i="37"/>
  <c r="EN31" i="37"/>
  <c r="DT31" i="37"/>
  <c r="CZ31" i="37"/>
  <c r="CF31" i="37"/>
  <c r="BL31" i="37"/>
  <c r="EN30" i="37"/>
  <c r="DT30" i="37"/>
  <c r="CZ30" i="37"/>
  <c r="CF30" i="37"/>
  <c r="BL30" i="37"/>
  <c r="EN29" i="37"/>
  <c r="DT29" i="37"/>
  <c r="CZ29" i="37"/>
  <c r="CF29" i="37"/>
  <c r="BL29" i="37"/>
  <c r="EN28" i="37"/>
  <c r="DT28" i="37"/>
  <c r="CZ28" i="37"/>
  <c r="CF28" i="37"/>
  <c r="BL28" i="37"/>
  <c r="EN27" i="37"/>
  <c r="DT27" i="37"/>
  <c r="CZ27" i="37"/>
  <c r="CF27" i="37"/>
  <c r="BL27" i="37"/>
  <c r="EN26" i="37"/>
  <c r="DT26" i="37"/>
  <c r="CZ26" i="37"/>
  <c r="CF26" i="37"/>
  <c r="BL26" i="37"/>
  <c r="EN25" i="37"/>
  <c r="DT25" i="37"/>
  <c r="CZ25" i="37"/>
  <c r="CF25" i="37"/>
  <c r="BL25" i="37"/>
  <c r="EN24" i="37"/>
  <c r="DT24" i="37"/>
  <c r="CZ24" i="37"/>
  <c r="CF24" i="37"/>
  <c r="BL24" i="37"/>
  <c r="EN23" i="37"/>
  <c r="DT23" i="37"/>
  <c r="CZ23" i="37"/>
  <c r="CF23" i="37"/>
  <c r="BL23" i="37"/>
  <c r="EN22" i="37"/>
  <c r="DT22" i="37"/>
  <c r="CZ22" i="37"/>
  <c r="CF22" i="37"/>
  <c r="BL22" i="37"/>
  <c r="EN21" i="37"/>
  <c r="DT21" i="37"/>
  <c r="CZ21" i="37"/>
  <c r="CF21" i="37"/>
  <c r="BL21" i="37"/>
  <c r="EN20" i="37"/>
  <c r="DT20" i="37"/>
  <c r="CZ20" i="37"/>
  <c r="CF20" i="37"/>
  <c r="BL20" i="37"/>
  <c r="EN19" i="37"/>
  <c r="DT19" i="37"/>
  <c r="CZ19" i="37"/>
  <c r="CF19" i="37"/>
  <c r="BL19" i="37"/>
  <c r="EN18" i="37"/>
  <c r="DT18" i="37"/>
  <c r="CZ18" i="37"/>
  <c r="CF18" i="37"/>
  <c r="BL18" i="37"/>
  <c r="EN17" i="37"/>
  <c r="DT17" i="37"/>
  <c r="CZ17" i="37"/>
  <c r="CF17" i="37"/>
  <c r="BL17" i="37"/>
  <c r="EN16" i="37"/>
  <c r="DT16" i="37"/>
  <c r="CZ16" i="37"/>
  <c r="CF16" i="37"/>
  <c r="BL16" i="37"/>
  <c r="EN15" i="37"/>
  <c r="DT15" i="37"/>
  <c r="CZ15" i="37"/>
  <c r="CF15" i="37"/>
  <c r="BL15" i="37"/>
  <c r="EN14" i="37"/>
  <c r="DT14" i="37"/>
  <c r="CZ14" i="37"/>
  <c r="CF14" i="37"/>
  <c r="CP27" i="37"/>
  <c r="BV27" i="37"/>
  <c r="BB27" i="37"/>
  <c r="ED26" i="37"/>
  <c r="DJ26" i="37"/>
  <c r="CP26" i="37"/>
  <c r="BV26" i="37"/>
  <c r="BB26" i="37"/>
  <c r="ED25" i="37"/>
  <c r="DJ25" i="37"/>
  <c r="CP25" i="37"/>
  <c r="BV25" i="37"/>
  <c r="BB25" i="37"/>
  <c r="ED24" i="37"/>
  <c r="DJ24" i="37"/>
  <c r="CP24" i="37"/>
  <c r="BV24" i="37"/>
  <c r="BB24" i="37"/>
  <c r="ED23" i="37"/>
  <c r="DJ23" i="37"/>
  <c r="CP23" i="37"/>
  <c r="BV23" i="37"/>
  <c r="BB23" i="37"/>
  <c r="ED22" i="37"/>
  <c r="DJ22" i="37"/>
  <c r="CP22" i="37"/>
  <c r="BV22" i="37"/>
  <c r="BB22" i="37"/>
  <c r="ED21" i="37"/>
  <c r="DJ21" i="37"/>
  <c r="CP21" i="37"/>
  <c r="BV21" i="37"/>
  <c r="BB21" i="37"/>
  <c r="ED20" i="37"/>
  <c r="DJ20" i="37"/>
  <c r="CP20" i="37"/>
  <c r="BV20" i="37"/>
  <c r="BB20" i="37"/>
  <c r="ED19" i="37"/>
  <c r="DJ19" i="37"/>
  <c r="CP19" i="37"/>
  <c r="BV19" i="37"/>
  <c r="BB19" i="37"/>
  <c r="ED18" i="37"/>
  <c r="DJ18" i="37"/>
  <c r="CP18" i="37"/>
  <c r="BV18" i="37"/>
  <c r="BB18" i="37"/>
  <c r="ED17" i="37"/>
  <c r="DJ17" i="37"/>
  <c r="CP17" i="37"/>
  <c r="BV17" i="37"/>
  <c r="BB17" i="37"/>
  <c r="ED16" i="37"/>
  <c r="DJ16" i="37"/>
  <c r="CP16" i="37"/>
  <c r="BV16" i="37"/>
  <c r="BB16" i="37"/>
  <c r="ED15" i="37"/>
  <c r="DJ15" i="37"/>
  <c r="CP15" i="37"/>
  <c r="BV15" i="37"/>
  <c r="BB15" i="37"/>
  <c r="ED14" i="37"/>
  <c r="DJ14" i="37"/>
  <c r="CP14" i="37"/>
  <c r="M269" i="37"/>
  <c r="W269" i="37"/>
  <c r="AG269" i="37"/>
  <c r="AQ269" i="37"/>
  <c r="M270" i="37"/>
  <c r="W270" i="37"/>
  <c r="AG270" i="37"/>
  <c r="AQ270" i="37"/>
  <c r="M271" i="37"/>
  <c r="W271" i="37"/>
  <c r="AG271" i="37"/>
  <c r="AQ271" i="37"/>
  <c r="M272" i="37"/>
  <c r="W272" i="37"/>
  <c r="AG272" i="37"/>
  <c r="AQ272" i="37"/>
  <c r="M273" i="37"/>
  <c r="W273" i="37"/>
  <c r="AG273" i="37"/>
  <c r="AQ273" i="37"/>
  <c r="M274" i="37"/>
  <c r="W274" i="37"/>
  <c r="AG274" i="37"/>
  <c r="AQ274" i="37"/>
  <c r="M275" i="37"/>
  <c r="W275" i="37"/>
  <c r="AG275" i="37"/>
  <c r="AQ275" i="37"/>
  <c r="M276" i="37"/>
  <c r="W276" i="37"/>
  <c r="AG276" i="37"/>
  <c r="AQ276" i="37"/>
  <c r="M277" i="37"/>
  <c r="W277" i="37"/>
  <c r="AG277" i="37"/>
  <c r="AQ277" i="37"/>
  <c r="M278" i="37"/>
  <c r="W278" i="37"/>
  <c r="AG278" i="37"/>
  <c r="AQ278" i="37"/>
  <c r="M279" i="37"/>
  <c r="W279" i="37"/>
  <c r="AG279" i="37"/>
  <c r="AQ279" i="37"/>
  <c r="M280" i="37"/>
  <c r="W280" i="37"/>
  <c r="AG280" i="37"/>
  <c r="AQ280" i="37"/>
  <c r="M281" i="37"/>
  <c r="W281" i="37"/>
  <c r="AG281" i="37"/>
  <c r="AQ281" i="37"/>
  <c r="M282" i="37"/>
  <c r="W282" i="37"/>
  <c r="AG282" i="37"/>
  <c r="AQ282" i="37"/>
  <c r="M283" i="37"/>
  <c r="W283" i="37"/>
  <c r="AG283" i="37"/>
  <c r="AQ283" i="37"/>
  <c r="M284" i="37"/>
  <c r="W284" i="37"/>
  <c r="AG284" i="37"/>
  <c r="AQ284" i="37"/>
  <c r="M285" i="37"/>
  <c r="W285" i="37"/>
  <c r="AG285" i="37"/>
  <c r="AQ285" i="37"/>
  <c r="M286" i="37"/>
  <c r="W286" i="37"/>
  <c r="AG286" i="37"/>
  <c r="AQ286" i="37"/>
  <c r="M287" i="37"/>
  <c r="W287" i="37"/>
  <c r="AG287" i="37"/>
  <c r="AQ287" i="37"/>
  <c r="M288" i="37"/>
  <c r="W288" i="37"/>
  <c r="AG288" i="37"/>
  <c r="AQ288" i="37"/>
  <c r="M289" i="37"/>
  <c r="W289" i="37"/>
  <c r="AG289" i="37"/>
  <c r="AQ289" i="37"/>
  <c r="M290" i="37"/>
  <c r="W290" i="37"/>
  <c r="AG290" i="37"/>
  <c r="AQ290" i="37"/>
  <c r="M291" i="37"/>
  <c r="W291" i="37"/>
  <c r="AG291" i="37"/>
  <c r="AQ291" i="37"/>
  <c r="M292" i="37"/>
  <c r="W292" i="37"/>
  <c r="AG292" i="37"/>
  <c r="AQ292" i="37"/>
  <c r="M293" i="37"/>
  <c r="W293" i="37"/>
  <c r="AG293" i="37"/>
  <c r="AQ293" i="37"/>
  <c r="M294" i="37"/>
  <c r="W294" i="37"/>
  <c r="AG294" i="37"/>
  <c r="AQ294" i="37"/>
  <c r="M295" i="37"/>
  <c r="W295" i="37"/>
  <c r="AG295" i="37"/>
  <c r="AQ295" i="37"/>
  <c r="M296" i="37"/>
  <c r="W296" i="37"/>
  <c r="AG296" i="37"/>
  <c r="AQ296" i="37"/>
  <c r="M297" i="37"/>
  <c r="W297" i="37"/>
  <c r="AG297" i="37"/>
  <c r="AQ297" i="37"/>
  <c r="M298" i="37"/>
  <c r="W298" i="37"/>
  <c r="AG298" i="37"/>
  <c r="AQ298" i="37"/>
  <c r="M299" i="37"/>
  <c r="W299" i="37"/>
  <c r="AG299" i="37"/>
  <c r="AQ299" i="37"/>
  <c r="M300" i="37"/>
  <c r="W300" i="37"/>
  <c r="AG300" i="37"/>
  <c r="AQ300" i="37"/>
  <c r="M301" i="37"/>
  <c r="W301" i="37"/>
  <c r="AG301" i="37"/>
  <c r="AQ301" i="37"/>
  <c r="M302" i="37"/>
  <c r="W302" i="37"/>
  <c r="AG302" i="37"/>
  <c r="AQ302" i="37"/>
  <c r="M303" i="37"/>
  <c r="W303" i="37"/>
  <c r="AG303" i="37"/>
  <c r="AQ303" i="37"/>
  <c r="M304" i="37"/>
  <c r="W304" i="37"/>
  <c r="AG304" i="37"/>
  <c r="AQ304" i="37"/>
  <c r="M305" i="37"/>
  <c r="W305" i="37"/>
  <c r="AG305" i="37"/>
  <c r="AQ305" i="37"/>
  <c r="M306" i="37"/>
  <c r="W306" i="37"/>
  <c r="AG306" i="37"/>
  <c r="AQ306" i="37"/>
  <c r="M307" i="37"/>
  <c r="W307" i="37"/>
  <c r="AG307" i="37"/>
  <c r="AQ307" i="37"/>
  <c r="M308" i="37"/>
  <c r="W308" i="37"/>
  <c r="AG308" i="37"/>
  <c r="AQ308" i="37"/>
  <c r="M309" i="37"/>
  <c r="W309" i="37"/>
  <c r="AG309" i="37"/>
  <c r="AQ309" i="37"/>
  <c r="M310" i="37"/>
  <c r="W310" i="37"/>
  <c r="AG310" i="37"/>
  <c r="AQ310" i="37"/>
  <c r="M311" i="37"/>
  <c r="W311" i="37"/>
  <c r="AG311" i="37"/>
  <c r="AQ311" i="37"/>
  <c r="M312" i="37"/>
  <c r="W312" i="37"/>
  <c r="AG312" i="37"/>
  <c r="AQ312" i="37"/>
  <c r="M313" i="37"/>
  <c r="W313" i="37"/>
  <c r="AG313" i="37"/>
  <c r="AQ313" i="37"/>
  <c r="M314" i="37"/>
  <c r="W314" i="37"/>
  <c r="AG314" i="37"/>
  <c r="AQ314" i="37"/>
  <c r="M315" i="37"/>
  <c r="W315" i="37"/>
  <c r="AG315" i="37"/>
  <c r="AQ315" i="37"/>
  <c r="M316" i="37"/>
  <c r="W316" i="37"/>
  <c r="AG316" i="37"/>
  <c r="AQ316" i="37"/>
  <c r="M317" i="37"/>
  <c r="W317" i="37"/>
  <c r="AG317" i="37"/>
  <c r="AQ317" i="37"/>
  <c r="M318" i="37"/>
  <c r="W318" i="37"/>
  <c r="AG318" i="37"/>
  <c r="AQ318" i="37"/>
  <c r="M319" i="37"/>
  <c r="W319" i="37"/>
  <c r="AG319" i="37"/>
  <c r="AQ319" i="37"/>
  <c r="M320" i="37"/>
  <c r="W320" i="37"/>
  <c r="AG320" i="37"/>
  <c r="AQ320" i="37"/>
  <c r="M321" i="37"/>
  <c r="W321" i="37"/>
  <c r="AG321" i="37"/>
  <c r="AQ321" i="37"/>
  <c r="M322" i="37"/>
  <c r="W322" i="37"/>
  <c r="AG322" i="37"/>
  <c r="AQ322" i="37"/>
  <c r="M323" i="37"/>
  <c r="W323" i="37"/>
  <c r="AG323" i="37"/>
  <c r="AQ323" i="37"/>
  <c r="M324" i="37"/>
  <c r="W324" i="37"/>
  <c r="AG324" i="37"/>
  <c r="AQ324" i="37"/>
  <c r="M325" i="37"/>
  <c r="W325" i="37"/>
  <c r="AG325" i="37"/>
  <c r="AQ325" i="37"/>
  <c r="M326" i="37"/>
  <c r="W326" i="37"/>
  <c r="AG326" i="37"/>
  <c r="AQ326" i="37"/>
  <c r="M327" i="37"/>
  <c r="W327" i="37"/>
  <c r="AG327" i="37"/>
  <c r="AQ327" i="37"/>
  <c r="M328" i="37"/>
  <c r="W328" i="37"/>
  <c r="AG328" i="37"/>
  <c r="AQ328" i="37"/>
  <c r="M329" i="37"/>
  <c r="W329" i="37"/>
  <c r="AG329" i="37"/>
  <c r="AQ329" i="37"/>
  <c r="M330" i="37"/>
  <c r="W330" i="37"/>
  <c r="AG330" i="37"/>
  <c r="AQ330" i="37"/>
  <c r="M331" i="37"/>
  <c r="W331" i="37"/>
  <c r="AG331" i="37"/>
  <c r="AQ331" i="37"/>
  <c r="M332" i="37"/>
  <c r="W332" i="37"/>
  <c r="AG332" i="37"/>
  <c r="AQ332" i="37"/>
  <c r="M333" i="37"/>
  <c r="W333" i="37"/>
  <c r="AG333" i="37"/>
  <c r="AQ333" i="37"/>
  <c r="M334" i="37"/>
  <c r="W334" i="37"/>
  <c r="AG334" i="37"/>
  <c r="AQ334" i="37"/>
  <c r="M335" i="37"/>
  <c r="W335" i="37"/>
  <c r="AG335" i="37"/>
  <c r="AQ335" i="37"/>
  <c r="M336" i="37"/>
  <c r="W336" i="37"/>
  <c r="AG336" i="37"/>
  <c r="AQ336" i="37"/>
  <c r="M337" i="37"/>
  <c r="W337" i="37"/>
  <c r="AG337" i="37"/>
  <c r="AQ337" i="37"/>
  <c r="M338" i="37"/>
  <c r="W338" i="37"/>
  <c r="AG338" i="37"/>
  <c r="AQ338" i="37"/>
  <c r="M339" i="37"/>
  <c r="W339" i="37"/>
  <c r="AG339" i="37"/>
  <c r="AQ339" i="37"/>
  <c r="M340" i="37"/>
  <c r="W340" i="37"/>
  <c r="AG340" i="37"/>
  <c r="AQ340" i="37"/>
  <c r="M341" i="37"/>
  <c r="W341" i="37"/>
  <c r="AG341" i="37"/>
  <c r="AQ341" i="37"/>
  <c r="M342" i="37"/>
  <c r="W342" i="37"/>
  <c r="AG342" i="37"/>
  <c r="AQ342" i="37"/>
  <c r="M343" i="37"/>
  <c r="W343" i="37"/>
  <c r="AG343" i="37"/>
  <c r="AQ343" i="37"/>
  <c r="M344" i="37"/>
  <c r="W344" i="37"/>
  <c r="AG344" i="37"/>
  <c r="AQ344" i="37"/>
  <c r="M345" i="37"/>
  <c r="W345" i="37"/>
  <c r="AG345" i="37"/>
  <c r="AQ345" i="37"/>
  <c r="M346" i="37"/>
  <c r="W346" i="37"/>
  <c r="AG346" i="37"/>
  <c r="AQ346" i="37"/>
  <c r="M347" i="37"/>
  <c r="W347" i="37"/>
  <c r="AG347" i="37"/>
  <c r="AQ347" i="37"/>
  <c r="M348" i="37"/>
  <c r="W348" i="37"/>
  <c r="AG348" i="37"/>
  <c r="AQ348" i="37"/>
  <c r="C15" i="47"/>
  <c r="M104" i="36"/>
  <c r="L104" i="36"/>
  <c r="K104" i="36"/>
  <c r="M91" i="36"/>
  <c r="L91" i="36"/>
  <c r="K91" i="36"/>
  <c r="I14" i="47"/>
  <c r="H14" i="47"/>
  <c r="G14" i="47"/>
  <c r="F14" i="47"/>
  <c r="E14" i="47"/>
  <c r="D14" i="47"/>
  <c r="C14" i="47"/>
  <c r="D15" i="47"/>
  <c r="E15" i="47"/>
  <c r="F15" i="47"/>
  <c r="G15" i="47"/>
  <c r="H15" i="47"/>
  <c r="I15" i="47"/>
  <c r="D10" i="47"/>
  <c r="E10" i="47"/>
  <c r="F10" i="47"/>
  <c r="G10" i="47"/>
  <c r="H10" i="47"/>
  <c r="I10" i="47"/>
  <c r="C10" i="47"/>
  <c r="M27" i="36"/>
  <c r="L27" i="36"/>
  <c r="K27" i="36"/>
  <c r="N92" i="33"/>
  <c r="N105" i="33" s="1"/>
  <c r="M92" i="33"/>
  <c r="L92" i="33"/>
  <c r="H43" i="47"/>
  <c r="I43" i="47"/>
  <c r="J43" i="47"/>
  <c r="K43" i="47"/>
  <c r="L43" i="47"/>
  <c r="M43" i="47"/>
  <c r="N43" i="47"/>
  <c r="O43" i="47"/>
  <c r="P43" i="47"/>
  <c r="Q43" i="47"/>
  <c r="R43" i="47"/>
  <c r="S43" i="47"/>
  <c r="T43" i="47"/>
  <c r="U43" i="47"/>
  <c r="V43" i="47"/>
  <c r="W43" i="47"/>
  <c r="X43" i="47"/>
  <c r="Y43" i="47"/>
  <c r="Z43" i="47"/>
  <c r="AA43" i="47"/>
  <c r="AB43" i="47"/>
  <c r="AC43" i="47"/>
  <c r="AD43" i="47"/>
  <c r="AE43" i="47"/>
  <c r="AF43" i="47"/>
  <c r="AG43" i="47"/>
  <c r="AH43" i="47"/>
  <c r="AI43" i="47"/>
  <c r="AJ43" i="47"/>
  <c r="AK43" i="47"/>
  <c r="AL43" i="47"/>
  <c r="AM43" i="47"/>
  <c r="AN43" i="47"/>
  <c r="AO43" i="47"/>
  <c r="AP43" i="47"/>
  <c r="AQ43" i="47"/>
  <c r="H44" i="47"/>
  <c r="I44" i="47"/>
  <c r="J44" i="47"/>
  <c r="K44" i="47"/>
  <c r="L44" i="47"/>
  <c r="M44" i="47"/>
  <c r="N44" i="47"/>
  <c r="O44" i="47"/>
  <c r="P44" i="47"/>
  <c r="Q44" i="47"/>
  <c r="R44" i="47"/>
  <c r="S44" i="47"/>
  <c r="T44" i="47"/>
  <c r="U44" i="47"/>
  <c r="V44" i="47"/>
  <c r="W44" i="47"/>
  <c r="X44" i="47"/>
  <c r="Y44" i="47"/>
  <c r="Z44" i="47"/>
  <c r="AA44" i="47"/>
  <c r="AB44" i="47"/>
  <c r="AC44" i="47"/>
  <c r="AD44" i="47"/>
  <c r="AE44" i="47"/>
  <c r="AF44" i="47"/>
  <c r="AG44" i="47"/>
  <c r="AH44" i="47"/>
  <c r="AI44" i="47"/>
  <c r="AJ44" i="47"/>
  <c r="AK44" i="47"/>
  <c r="AL44" i="47"/>
  <c r="AM44" i="47"/>
  <c r="AN44" i="47"/>
  <c r="AO44" i="47"/>
  <c r="AP44" i="47"/>
  <c r="AQ44" i="47"/>
  <c r="H45" i="47"/>
  <c r="I45" i="47"/>
  <c r="J45" i="47"/>
  <c r="K45" i="47"/>
  <c r="L45" i="47"/>
  <c r="M45" i="47"/>
  <c r="N45" i="47"/>
  <c r="O45" i="47"/>
  <c r="P45" i="47"/>
  <c r="Q45" i="47"/>
  <c r="R45" i="47"/>
  <c r="S45" i="47"/>
  <c r="T45" i="47"/>
  <c r="U45" i="47"/>
  <c r="V45" i="47"/>
  <c r="W45" i="47"/>
  <c r="X45" i="47"/>
  <c r="Y45" i="47"/>
  <c r="Z45" i="47"/>
  <c r="AA45" i="47"/>
  <c r="AB45" i="47"/>
  <c r="AC45" i="47"/>
  <c r="AD45" i="47"/>
  <c r="AE45" i="47"/>
  <c r="AF45" i="47"/>
  <c r="AG45" i="47"/>
  <c r="AH45" i="47"/>
  <c r="AI45" i="47"/>
  <c r="AJ45" i="47"/>
  <c r="AK45" i="47"/>
  <c r="AL45" i="47"/>
  <c r="AM45" i="47"/>
  <c r="AN45" i="47"/>
  <c r="AO45" i="47"/>
  <c r="AP45" i="47"/>
  <c r="AQ45" i="47"/>
  <c r="B43" i="47"/>
  <c r="C43" i="47"/>
  <c r="D43" i="47"/>
  <c r="E43" i="47"/>
  <c r="F43" i="47"/>
  <c r="G43" i="47"/>
  <c r="B44" i="47"/>
  <c r="C44" i="47"/>
  <c r="D44" i="47"/>
  <c r="E44" i="47"/>
  <c r="F44" i="47"/>
  <c r="G44" i="47"/>
  <c r="B45" i="47"/>
  <c r="C45" i="47"/>
  <c r="D45" i="47"/>
  <c r="E45" i="47"/>
  <c r="F45" i="47"/>
  <c r="G45" i="47"/>
  <c r="B42" i="47"/>
  <c r="A45" i="47"/>
  <c r="A44" i="47"/>
  <c r="A43" i="47"/>
  <c r="I37" i="67" l="1"/>
  <c r="I23" i="67"/>
  <c r="I32" i="67"/>
  <c r="I14" i="67"/>
  <c r="I6" i="67"/>
  <c r="E37" i="67"/>
  <c r="E23" i="67"/>
  <c r="E32" i="67"/>
  <c r="E14" i="67"/>
  <c r="E6" i="67"/>
  <c r="G38" i="67"/>
  <c r="G33" i="67"/>
  <c r="G24" i="67"/>
  <c r="H37" i="67"/>
  <c r="H32" i="67"/>
  <c r="H14" i="67"/>
  <c r="H23" i="67"/>
  <c r="H6" i="67"/>
  <c r="D37" i="67"/>
  <c r="D32" i="67"/>
  <c r="D14" i="67"/>
  <c r="D6" i="67"/>
  <c r="D23" i="67"/>
  <c r="F33" i="67"/>
  <c r="F38" i="67"/>
  <c r="F24" i="67"/>
  <c r="C24" i="67"/>
  <c r="C38" i="67"/>
  <c r="C33" i="67"/>
  <c r="G32" i="67"/>
  <c r="G14" i="67"/>
  <c r="G23" i="67"/>
  <c r="G37" i="67"/>
  <c r="G6" i="67"/>
  <c r="I38" i="67"/>
  <c r="I24" i="67"/>
  <c r="I33" i="67"/>
  <c r="E38" i="67"/>
  <c r="E33" i="67"/>
  <c r="E24" i="67"/>
  <c r="C32" i="67"/>
  <c r="C14" i="67"/>
  <c r="C37" i="67"/>
  <c r="C23" i="67"/>
  <c r="C6" i="67"/>
  <c r="F37" i="67"/>
  <c r="F23" i="67"/>
  <c r="F32" i="67"/>
  <c r="F14" i="67"/>
  <c r="F6" i="67"/>
  <c r="H38" i="67"/>
  <c r="H33" i="67"/>
  <c r="H24" i="67"/>
  <c r="D38" i="67"/>
  <c r="D33" i="67"/>
  <c r="D24" i="67"/>
  <c r="N118" i="33"/>
  <c r="AI135" i="33" s="1"/>
  <c r="I25" i="47"/>
  <c r="H13" i="62" s="1"/>
  <c r="H27" i="49"/>
  <c r="E24" i="47"/>
  <c r="D26" i="49"/>
  <c r="H25" i="47"/>
  <c r="G27" i="49"/>
  <c r="F24" i="47"/>
  <c r="E26" i="49"/>
  <c r="G25" i="47"/>
  <c r="H195" i="33" s="1"/>
  <c r="F27" i="49"/>
  <c r="G24" i="47"/>
  <c r="F26" i="49"/>
  <c r="C25" i="47"/>
  <c r="B27" i="49"/>
  <c r="H24" i="47"/>
  <c r="G26" i="49"/>
  <c r="E25" i="47"/>
  <c r="D27" i="49"/>
  <c r="I24" i="47"/>
  <c r="H26" i="49"/>
  <c r="F25" i="47"/>
  <c r="E27" i="49"/>
  <c r="D25" i="47"/>
  <c r="C27" i="49"/>
  <c r="C24" i="47"/>
  <c r="B26" i="49"/>
  <c r="D24" i="47"/>
  <c r="C26" i="49"/>
  <c r="L116" i="33"/>
  <c r="L114" i="33"/>
  <c r="L115" i="33"/>
  <c r="N116" i="33"/>
  <c r="N115" i="33"/>
  <c r="N114" i="33"/>
  <c r="M116" i="33"/>
  <c r="M114" i="33"/>
  <c r="M115" i="33"/>
  <c r="L64" i="36"/>
  <c r="K64" i="36"/>
  <c r="M64" i="36"/>
  <c r="L135" i="33"/>
  <c r="L180" i="33"/>
  <c r="L155" i="33"/>
  <c r="N135" i="33"/>
  <c r="N180" i="33"/>
  <c r="N155" i="33"/>
  <c r="L118" i="33"/>
  <c r="AG135" i="33" s="1"/>
  <c r="L105" i="33"/>
  <c r="M118" i="33"/>
  <c r="AH135" i="33" s="1"/>
  <c r="M180" i="33"/>
  <c r="M155" i="33"/>
  <c r="M135" i="33"/>
  <c r="M105" i="33"/>
  <c r="S27" i="36"/>
  <c r="J170" i="33" l="1"/>
  <c r="AI119" i="33"/>
  <c r="J195" i="33"/>
  <c r="F19" i="49" a="1"/>
  <c r="F19" i="49" s="1"/>
  <c r="E237" i="60" s="1"/>
  <c r="G194" i="33"/>
  <c r="E9" i="62"/>
  <c r="E11" i="62" s="1"/>
  <c r="G170" i="33"/>
  <c r="E13" i="62"/>
  <c r="D195" i="33"/>
  <c r="B13" i="62"/>
  <c r="I195" i="33"/>
  <c r="G13" i="62"/>
  <c r="E194" i="33"/>
  <c r="C9" i="62"/>
  <c r="C11" i="62" s="1"/>
  <c r="J194" i="33"/>
  <c r="H9" i="62"/>
  <c r="H11" i="62" s="1"/>
  <c r="H194" i="33"/>
  <c r="F9" i="62"/>
  <c r="F11" i="62" s="1"/>
  <c r="F194" i="33"/>
  <c r="D9" i="62"/>
  <c r="D11" i="62" s="1"/>
  <c r="E195" i="33"/>
  <c r="C13" i="62"/>
  <c r="I169" i="33"/>
  <c r="G9" i="62"/>
  <c r="G11" i="62" s="1"/>
  <c r="D194" i="33"/>
  <c r="B9" i="62"/>
  <c r="B11" i="62" s="1"/>
  <c r="F195" i="33"/>
  <c r="D13" i="62"/>
  <c r="H170" i="33"/>
  <c r="F13" i="62"/>
  <c r="H169" i="33"/>
  <c r="F169" i="33"/>
  <c r="F170" i="33"/>
  <c r="J169" i="33"/>
  <c r="X8" i="49"/>
  <c r="X17" i="49"/>
  <c r="X18" i="49"/>
  <c r="X7" i="49"/>
  <c r="X3" i="49"/>
  <c r="E169" i="33"/>
  <c r="AH119" i="33"/>
  <c r="E170" i="33"/>
  <c r="G195" i="33"/>
  <c r="I194" i="33"/>
  <c r="D170" i="33"/>
  <c r="G169" i="33"/>
  <c r="I170" i="33"/>
  <c r="AG119" i="33"/>
  <c r="S94" i="36"/>
  <c r="S97" i="36"/>
  <c r="D169" i="33"/>
  <c r="H1738" i="56"/>
  <c r="H1737" i="56"/>
  <c r="H1736" i="56"/>
  <c r="H1735" i="56"/>
  <c r="H1734" i="56"/>
  <c r="H1733" i="56"/>
  <c r="H1732" i="56"/>
  <c r="H1731" i="56"/>
  <c r="H1730" i="56"/>
  <c r="H1729" i="56"/>
  <c r="H1728" i="56"/>
  <c r="H1727" i="56"/>
  <c r="H1726" i="56"/>
  <c r="H1725" i="56"/>
  <c r="H1724" i="56"/>
  <c r="H1723" i="56"/>
  <c r="H1722" i="56"/>
  <c r="H1721" i="56"/>
  <c r="H1720" i="56"/>
  <c r="H1719" i="56"/>
  <c r="H1718" i="56"/>
  <c r="H1717" i="56"/>
  <c r="H1716" i="56"/>
  <c r="H1715" i="56"/>
  <c r="H1714" i="56"/>
  <c r="H1713" i="56"/>
  <c r="H1712" i="56"/>
  <c r="H1711" i="56"/>
  <c r="H1710" i="56"/>
  <c r="H1709" i="56"/>
  <c r="H1708" i="56"/>
  <c r="H1707" i="56"/>
  <c r="H1706" i="56"/>
  <c r="H1705" i="56"/>
  <c r="H1704" i="56"/>
  <c r="H1703" i="56"/>
  <c r="H1702" i="56"/>
  <c r="H1701" i="56"/>
  <c r="H1700" i="56"/>
  <c r="H1699" i="56"/>
  <c r="H1698" i="56"/>
  <c r="H1697" i="56"/>
  <c r="H1696" i="56"/>
  <c r="H1695" i="56"/>
  <c r="H1694" i="56"/>
  <c r="H1693" i="56"/>
  <c r="H1692" i="56"/>
  <c r="H1691" i="56"/>
  <c r="H1690" i="56"/>
  <c r="H1689" i="56"/>
  <c r="H1688" i="56"/>
  <c r="H1687" i="56"/>
  <c r="H1686" i="56"/>
  <c r="H1685" i="56"/>
  <c r="H1684" i="56"/>
  <c r="H1683" i="56"/>
  <c r="H1682" i="56"/>
  <c r="H1681" i="56"/>
  <c r="H1680" i="56"/>
  <c r="H1679" i="56"/>
  <c r="H1678" i="56"/>
  <c r="H1677" i="56"/>
  <c r="H1676" i="56"/>
  <c r="H1675" i="56"/>
  <c r="H1674" i="56"/>
  <c r="H1673" i="56"/>
  <c r="H1672" i="56"/>
  <c r="H1671" i="56"/>
  <c r="H1670" i="56"/>
  <c r="H1669" i="56"/>
  <c r="H1668" i="56"/>
  <c r="H1667" i="56"/>
  <c r="H1666" i="56"/>
  <c r="H1665" i="56"/>
  <c r="H1664" i="56"/>
  <c r="H1663" i="56"/>
  <c r="H1662" i="56"/>
  <c r="H1661" i="56"/>
  <c r="H1660" i="56"/>
  <c r="H1659" i="56"/>
  <c r="H1658" i="56"/>
  <c r="H1657" i="56"/>
  <c r="H1656" i="56"/>
  <c r="H1655" i="56"/>
  <c r="H1654" i="56"/>
  <c r="H1653" i="56"/>
  <c r="H1652" i="56"/>
  <c r="H1651" i="56"/>
  <c r="H1650" i="56"/>
  <c r="H1649" i="56"/>
  <c r="H1648" i="56"/>
  <c r="H1647" i="56"/>
  <c r="H1646" i="56"/>
  <c r="H1645" i="56"/>
  <c r="H1644" i="56"/>
  <c r="H1643" i="56"/>
  <c r="H1642" i="56"/>
  <c r="H1641" i="56"/>
  <c r="H1640" i="56"/>
  <c r="H1639" i="56"/>
  <c r="H1638" i="56"/>
  <c r="H1637" i="56"/>
  <c r="H1636" i="56"/>
  <c r="H1635" i="56"/>
  <c r="H1634" i="56"/>
  <c r="H1633" i="56"/>
  <c r="H1632" i="56"/>
  <c r="H1631" i="56"/>
  <c r="H1630" i="56"/>
  <c r="H1629" i="56"/>
  <c r="H1628" i="56"/>
  <c r="H1627" i="56"/>
  <c r="H1626" i="56"/>
  <c r="H1625" i="56"/>
  <c r="H1624" i="56"/>
  <c r="H1623" i="56"/>
  <c r="H1622" i="56"/>
  <c r="H1621" i="56"/>
  <c r="H1620" i="56"/>
  <c r="H1619" i="56"/>
  <c r="H1618" i="56"/>
  <c r="H1617" i="56"/>
  <c r="H1616" i="56"/>
  <c r="H1615" i="56"/>
  <c r="H1614" i="56"/>
  <c r="H1613" i="56"/>
  <c r="H1612" i="56"/>
  <c r="H1611" i="56"/>
  <c r="H1610" i="56"/>
  <c r="H1609" i="56"/>
  <c r="H1608" i="56"/>
  <c r="H1607" i="56"/>
  <c r="H1606" i="56"/>
  <c r="H1605" i="56"/>
  <c r="H1604" i="56"/>
  <c r="H1603" i="56"/>
  <c r="H1602" i="56"/>
  <c r="H1601" i="56"/>
  <c r="H1600" i="56"/>
  <c r="H1599" i="56"/>
  <c r="H1598" i="56"/>
  <c r="H1597" i="56"/>
  <c r="H1596" i="56"/>
  <c r="H1595" i="56"/>
  <c r="H1594" i="56"/>
  <c r="H1593" i="56"/>
  <c r="H1592" i="56"/>
  <c r="H1591" i="56"/>
  <c r="H1590" i="56"/>
  <c r="H1589" i="56"/>
  <c r="H1588" i="56"/>
  <c r="H1587" i="56"/>
  <c r="H1586" i="56"/>
  <c r="H1585" i="56"/>
  <c r="H1584" i="56"/>
  <c r="H1583" i="56"/>
  <c r="H1582" i="56"/>
  <c r="H1581" i="56"/>
  <c r="H1580" i="56"/>
  <c r="H1579" i="56"/>
  <c r="H1578" i="56"/>
  <c r="H1577" i="56"/>
  <c r="H1576" i="56"/>
  <c r="H1575" i="56"/>
  <c r="H1574" i="56"/>
  <c r="H1573" i="56"/>
  <c r="H1572" i="56"/>
  <c r="H1571" i="56"/>
  <c r="H1570" i="56"/>
  <c r="H1569" i="56"/>
  <c r="H1568" i="56"/>
  <c r="H1567" i="56"/>
  <c r="H1566" i="56"/>
  <c r="H1565" i="56"/>
  <c r="H1564" i="56"/>
  <c r="H1563" i="56"/>
  <c r="H1562" i="56"/>
  <c r="H1561" i="56"/>
  <c r="H1560" i="56"/>
  <c r="H1559" i="56"/>
  <c r="H1558" i="56"/>
  <c r="H1557" i="56"/>
  <c r="H1556" i="56"/>
  <c r="H1555" i="56"/>
  <c r="H1554" i="56"/>
  <c r="H1553" i="56"/>
  <c r="H1552" i="56"/>
  <c r="H1551" i="56"/>
  <c r="H1550" i="56"/>
  <c r="H1549" i="56"/>
  <c r="H1548" i="56"/>
  <c r="H1547" i="56"/>
  <c r="H1546" i="56"/>
  <c r="H1545" i="56"/>
  <c r="H1544" i="56"/>
  <c r="H1543" i="56"/>
  <c r="H1542" i="56"/>
  <c r="H1541" i="56"/>
  <c r="H1540" i="56"/>
  <c r="H1539" i="56"/>
  <c r="H1538" i="56"/>
  <c r="H1537" i="56"/>
  <c r="H1536" i="56"/>
  <c r="H1535" i="56"/>
  <c r="H1534" i="56"/>
  <c r="H1533" i="56"/>
  <c r="H1532" i="56"/>
  <c r="H1531" i="56"/>
  <c r="H1530" i="56"/>
  <c r="H1529" i="56"/>
  <c r="H1528" i="56"/>
  <c r="H1527" i="56"/>
  <c r="H1526" i="56"/>
  <c r="H1525" i="56"/>
  <c r="H1524" i="56"/>
  <c r="H1523" i="56"/>
  <c r="H1522" i="56"/>
  <c r="H1521" i="56"/>
  <c r="H1520" i="56"/>
  <c r="H1519" i="56"/>
  <c r="H1518" i="56"/>
  <c r="H1517" i="56"/>
  <c r="H1516" i="56"/>
  <c r="H1515" i="56"/>
  <c r="H1514" i="56"/>
  <c r="H1513" i="56"/>
  <c r="H1512" i="56"/>
  <c r="H1511" i="56"/>
  <c r="H1510" i="56"/>
  <c r="H1509" i="56"/>
  <c r="H1508" i="56"/>
  <c r="H1507" i="56"/>
  <c r="H1506" i="56"/>
  <c r="H1505" i="56"/>
  <c r="H1504" i="56"/>
  <c r="H1503" i="56"/>
  <c r="H1502" i="56"/>
  <c r="H1501" i="56"/>
  <c r="H1500" i="56"/>
  <c r="H1499" i="56"/>
  <c r="H1498" i="56"/>
  <c r="H1497" i="56"/>
  <c r="H1496" i="56"/>
  <c r="H1495" i="56"/>
  <c r="H1494" i="56"/>
  <c r="H1493" i="56"/>
  <c r="H1492" i="56"/>
  <c r="H1490" i="56"/>
  <c r="H1489" i="56"/>
  <c r="H1488" i="56"/>
  <c r="H1487" i="56"/>
  <c r="H1486" i="56"/>
  <c r="H1485" i="56"/>
  <c r="H1484" i="56"/>
  <c r="H1483" i="56"/>
  <c r="H1482" i="56"/>
  <c r="H1481" i="56"/>
  <c r="H1480" i="56"/>
  <c r="H1479" i="56"/>
  <c r="H1478" i="56"/>
  <c r="H1477" i="56"/>
  <c r="H1476" i="56"/>
  <c r="H1475" i="56"/>
  <c r="H1474" i="56"/>
  <c r="H1473" i="56"/>
  <c r="H1472" i="56"/>
  <c r="H1471" i="56"/>
  <c r="H1470" i="56"/>
  <c r="H1469" i="56"/>
  <c r="H1468" i="56"/>
  <c r="H1467" i="56"/>
  <c r="H1466" i="56"/>
  <c r="H1465" i="56"/>
  <c r="H1464" i="56"/>
  <c r="H1463" i="56"/>
  <c r="H1462" i="56"/>
  <c r="H1461" i="56"/>
  <c r="H1460" i="56"/>
  <c r="H1459" i="56"/>
  <c r="H1458" i="56"/>
  <c r="H1457" i="56"/>
  <c r="H1456" i="56"/>
  <c r="H1455" i="56"/>
  <c r="H1454" i="56"/>
  <c r="H1453" i="56"/>
  <c r="H1452" i="56"/>
  <c r="H1451" i="56"/>
  <c r="H1450" i="56"/>
  <c r="H1449" i="56"/>
  <c r="H1448" i="56"/>
  <c r="H1447" i="56"/>
  <c r="H1446" i="56"/>
  <c r="H1445" i="56"/>
  <c r="H1444" i="56"/>
  <c r="H1443" i="56"/>
  <c r="H1442" i="56"/>
  <c r="H1441" i="56"/>
  <c r="H1440" i="56"/>
  <c r="H1439" i="56"/>
  <c r="H1438" i="56"/>
  <c r="H1437" i="56"/>
  <c r="H1436" i="56"/>
  <c r="H1435" i="56"/>
  <c r="H1434" i="56"/>
  <c r="H1433" i="56"/>
  <c r="H1432" i="56"/>
  <c r="H1431" i="56"/>
  <c r="H1430" i="56"/>
  <c r="H1429" i="56"/>
  <c r="H1428" i="56"/>
  <c r="H1427" i="56"/>
  <c r="H1426" i="56"/>
  <c r="H1425" i="56"/>
  <c r="H1424" i="56"/>
  <c r="H1423" i="56"/>
  <c r="H1422" i="56"/>
  <c r="H1421" i="56"/>
  <c r="H1420" i="56"/>
  <c r="H1419" i="56"/>
  <c r="H1418" i="56"/>
  <c r="H1417" i="56"/>
  <c r="H1416" i="56"/>
  <c r="H1415" i="56"/>
  <c r="H1414" i="56"/>
  <c r="H1413" i="56"/>
  <c r="H1412" i="56"/>
  <c r="H1411" i="56"/>
  <c r="H1410" i="56"/>
  <c r="H1409" i="56"/>
  <c r="H1408" i="56"/>
  <c r="H1407" i="56"/>
  <c r="H1406" i="56"/>
  <c r="H1405" i="56"/>
  <c r="H1404" i="56"/>
  <c r="H1403" i="56"/>
  <c r="H1402" i="56"/>
  <c r="H1401" i="56"/>
  <c r="H1400" i="56"/>
  <c r="H1399" i="56"/>
  <c r="H1398" i="56"/>
  <c r="H1397" i="56"/>
  <c r="H1396" i="56"/>
  <c r="H1395" i="56"/>
  <c r="H1394" i="56"/>
  <c r="H1393" i="56"/>
  <c r="H1392" i="56"/>
  <c r="H1391" i="56"/>
  <c r="H1390" i="56"/>
  <c r="H1389" i="56"/>
  <c r="H1388" i="56"/>
  <c r="H1387" i="56"/>
  <c r="H1386" i="56"/>
  <c r="H1385" i="56"/>
  <c r="H1384" i="56"/>
  <c r="H1383" i="56"/>
  <c r="H1382" i="56"/>
  <c r="H1381" i="56"/>
  <c r="H1380" i="56"/>
  <c r="H1379" i="56"/>
  <c r="H1378" i="56"/>
  <c r="H1377" i="56"/>
  <c r="H1376" i="56"/>
  <c r="H1375" i="56"/>
  <c r="H1374" i="56"/>
  <c r="H1373" i="56"/>
  <c r="H1372" i="56"/>
  <c r="H1371" i="56"/>
  <c r="H1370" i="56"/>
  <c r="H1369" i="56"/>
  <c r="H1368" i="56"/>
  <c r="H1367" i="56"/>
  <c r="H1366" i="56"/>
  <c r="H1365" i="56"/>
  <c r="H1364" i="56"/>
  <c r="H1363" i="56"/>
  <c r="H1362" i="56"/>
  <c r="H1361" i="56"/>
  <c r="H1360" i="56"/>
  <c r="H1359" i="56"/>
  <c r="H1358" i="56"/>
  <c r="H1357" i="56"/>
  <c r="H1356" i="56"/>
  <c r="H1355" i="56"/>
  <c r="H1354" i="56"/>
  <c r="H1353" i="56"/>
  <c r="H1352" i="56"/>
  <c r="H1351" i="56"/>
  <c r="H1350" i="56"/>
  <c r="H1349" i="56"/>
  <c r="H1348" i="56"/>
  <c r="H1347" i="56"/>
  <c r="H1346" i="56"/>
  <c r="H1345" i="56"/>
  <c r="H1344" i="56"/>
  <c r="H1343" i="56"/>
  <c r="H1342" i="56"/>
  <c r="H1341" i="56"/>
  <c r="H1340" i="56"/>
  <c r="H1339" i="56"/>
  <c r="H1338" i="56"/>
  <c r="H1337" i="56"/>
  <c r="H1336" i="56"/>
  <c r="H1335" i="56"/>
  <c r="H1334" i="56"/>
  <c r="H1333" i="56"/>
  <c r="H1332" i="56"/>
  <c r="H1331" i="56"/>
  <c r="H1330" i="56"/>
  <c r="H1329" i="56"/>
  <c r="H1328" i="56"/>
  <c r="H1327" i="56"/>
  <c r="H1326" i="56"/>
  <c r="H1325" i="56"/>
  <c r="H1324" i="56"/>
  <c r="H1323" i="56"/>
  <c r="H1322" i="56"/>
  <c r="H1321" i="56"/>
  <c r="H1320" i="56"/>
  <c r="H1319" i="56"/>
  <c r="H1318" i="56"/>
  <c r="H1317" i="56"/>
  <c r="H1316" i="56"/>
  <c r="H1315" i="56"/>
  <c r="H1314" i="56"/>
  <c r="H1313" i="56"/>
  <c r="H1312" i="56"/>
  <c r="H1311" i="56"/>
  <c r="H1310" i="56"/>
  <c r="H1309" i="56"/>
  <c r="H1308" i="56"/>
  <c r="H1307" i="56"/>
  <c r="H1306" i="56"/>
  <c r="H1305" i="56"/>
  <c r="H1304" i="56"/>
  <c r="H1303" i="56"/>
  <c r="H1302" i="56"/>
  <c r="H1301" i="56"/>
  <c r="H1300" i="56"/>
  <c r="H1299" i="56"/>
  <c r="H1298" i="56"/>
  <c r="H1297" i="56"/>
  <c r="H1296" i="56"/>
  <c r="H1295" i="56"/>
  <c r="H1294" i="56"/>
  <c r="H1293" i="56"/>
  <c r="H1292" i="56"/>
  <c r="H1291" i="56"/>
  <c r="H1290" i="56"/>
  <c r="H1289" i="56"/>
  <c r="H1288" i="56"/>
  <c r="H1287" i="56"/>
  <c r="H1286" i="56"/>
  <c r="H1285" i="56"/>
  <c r="H1284" i="56"/>
  <c r="H1283" i="56"/>
  <c r="H1282" i="56"/>
  <c r="H1281" i="56"/>
  <c r="H1280" i="56"/>
  <c r="H1279" i="56"/>
  <c r="H1278" i="56"/>
  <c r="H1277" i="56"/>
  <c r="H1276" i="56"/>
  <c r="H1275" i="56"/>
  <c r="H1274" i="56"/>
  <c r="H1273" i="56"/>
  <c r="H1272" i="56"/>
  <c r="H1271" i="56"/>
  <c r="H1270" i="56"/>
  <c r="H1269" i="56"/>
  <c r="H1268" i="56"/>
  <c r="H1267" i="56"/>
  <c r="H1266" i="56"/>
  <c r="H1265" i="56"/>
  <c r="H1264" i="56"/>
  <c r="H1263" i="56"/>
  <c r="H1262" i="56"/>
  <c r="H1261" i="56"/>
  <c r="H1260" i="56"/>
  <c r="H1259" i="56"/>
  <c r="H1258" i="56"/>
  <c r="H1257" i="56"/>
  <c r="H1256" i="56"/>
  <c r="H1255" i="56"/>
  <c r="H1254" i="56"/>
  <c r="H1253" i="56"/>
  <c r="H1252" i="56"/>
  <c r="H1251" i="56"/>
  <c r="H1250" i="56"/>
  <c r="H1249" i="56"/>
  <c r="H1248" i="56"/>
  <c r="H1247" i="56"/>
  <c r="H1246" i="56"/>
  <c r="H1245" i="56"/>
  <c r="H1244" i="56"/>
  <c r="H1242" i="56"/>
  <c r="H1241" i="56"/>
  <c r="H1240" i="56"/>
  <c r="H1239" i="56"/>
  <c r="H1238" i="56"/>
  <c r="H1237" i="56"/>
  <c r="H1236" i="56"/>
  <c r="H1235" i="56"/>
  <c r="H1234" i="56"/>
  <c r="H1233" i="56"/>
  <c r="H1232" i="56"/>
  <c r="H1231" i="56"/>
  <c r="H1230" i="56"/>
  <c r="H1229" i="56"/>
  <c r="H1228" i="56"/>
  <c r="H1227" i="56"/>
  <c r="H1226" i="56"/>
  <c r="H1225" i="56"/>
  <c r="H1224" i="56"/>
  <c r="H1223" i="56"/>
  <c r="H1222" i="56"/>
  <c r="H1221" i="56"/>
  <c r="H1220" i="56"/>
  <c r="H1219" i="56"/>
  <c r="H1218" i="56"/>
  <c r="H1217" i="56"/>
  <c r="H1216" i="56"/>
  <c r="H1215" i="56"/>
  <c r="H1214" i="56"/>
  <c r="H1213" i="56"/>
  <c r="H1212" i="56"/>
  <c r="H1211" i="56"/>
  <c r="H1210" i="56"/>
  <c r="H1209" i="56"/>
  <c r="H1208" i="56"/>
  <c r="H1207" i="56"/>
  <c r="H1206" i="56"/>
  <c r="H1205" i="56"/>
  <c r="H1204" i="56"/>
  <c r="H1203" i="56"/>
  <c r="H1202" i="56"/>
  <c r="H1201" i="56"/>
  <c r="H1200" i="56"/>
  <c r="H1199" i="56"/>
  <c r="H1198" i="56"/>
  <c r="H1197" i="56"/>
  <c r="H1196" i="56"/>
  <c r="H1195" i="56"/>
  <c r="H1194" i="56"/>
  <c r="H1193" i="56"/>
  <c r="H1192" i="56"/>
  <c r="H1191" i="56"/>
  <c r="H1190" i="56"/>
  <c r="H1189" i="56"/>
  <c r="H1188" i="56"/>
  <c r="H1187" i="56"/>
  <c r="H1186" i="56"/>
  <c r="H1185" i="56"/>
  <c r="H1184" i="56"/>
  <c r="H1183" i="56"/>
  <c r="H1182" i="56"/>
  <c r="H1181" i="56"/>
  <c r="H1180" i="56"/>
  <c r="H1179" i="56"/>
  <c r="H1178" i="56"/>
  <c r="H1177" i="56"/>
  <c r="H1176" i="56"/>
  <c r="H1175" i="56"/>
  <c r="H1174" i="56"/>
  <c r="H1173" i="56"/>
  <c r="H1172" i="56"/>
  <c r="H1171" i="56"/>
  <c r="H1170" i="56"/>
  <c r="H1169" i="56"/>
  <c r="H1168" i="56"/>
  <c r="H1167" i="56"/>
  <c r="H1166" i="56"/>
  <c r="H1165" i="56"/>
  <c r="H1164" i="56"/>
  <c r="H1163" i="56"/>
  <c r="H1162" i="56"/>
  <c r="H1161" i="56"/>
  <c r="H1160" i="56"/>
  <c r="H1159" i="56"/>
  <c r="H1158" i="56"/>
  <c r="H1157" i="56"/>
  <c r="H1156" i="56"/>
  <c r="H1155" i="56"/>
  <c r="H1154" i="56"/>
  <c r="H1153" i="56"/>
  <c r="H1152" i="56"/>
  <c r="H1151" i="56"/>
  <c r="H1150" i="56"/>
  <c r="H1149" i="56"/>
  <c r="H1148" i="56"/>
  <c r="H1147" i="56"/>
  <c r="H1146" i="56"/>
  <c r="H1145" i="56"/>
  <c r="H1144" i="56"/>
  <c r="H1143" i="56"/>
  <c r="H1142" i="56"/>
  <c r="H1141" i="56"/>
  <c r="H1140" i="56"/>
  <c r="H1139" i="56"/>
  <c r="H1138" i="56"/>
  <c r="H1137" i="56"/>
  <c r="H1136" i="56"/>
  <c r="H1135" i="56"/>
  <c r="H1134" i="56"/>
  <c r="H1133" i="56"/>
  <c r="H1132" i="56"/>
  <c r="H1131" i="56"/>
  <c r="H1130" i="56"/>
  <c r="H1129" i="56"/>
  <c r="H1128" i="56"/>
  <c r="H1127" i="56"/>
  <c r="H1126" i="56"/>
  <c r="H1125" i="56"/>
  <c r="H1124" i="56"/>
  <c r="H1123" i="56"/>
  <c r="H1122" i="56"/>
  <c r="H1121" i="56"/>
  <c r="H1120" i="56"/>
  <c r="H1119" i="56"/>
  <c r="H1118" i="56"/>
  <c r="H1117" i="56"/>
  <c r="H1116" i="56"/>
  <c r="H1115" i="56"/>
  <c r="H1114" i="56"/>
  <c r="H1113" i="56"/>
  <c r="H1112" i="56"/>
  <c r="H1111" i="56"/>
  <c r="H1110" i="56"/>
  <c r="H1109" i="56"/>
  <c r="H1108" i="56"/>
  <c r="H1107" i="56"/>
  <c r="H1106" i="56"/>
  <c r="H1105" i="56"/>
  <c r="H1104" i="56"/>
  <c r="H1103" i="56"/>
  <c r="H1102" i="56"/>
  <c r="H1101" i="56"/>
  <c r="H1100" i="56"/>
  <c r="H1099" i="56"/>
  <c r="H1098" i="56"/>
  <c r="H1097" i="56"/>
  <c r="H1096" i="56"/>
  <c r="H1095" i="56"/>
  <c r="H1094" i="56"/>
  <c r="H1093" i="56"/>
  <c r="H1092" i="56"/>
  <c r="H1091" i="56"/>
  <c r="H1090" i="56"/>
  <c r="H1089" i="56"/>
  <c r="H1088" i="56"/>
  <c r="H1087" i="56"/>
  <c r="H1086" i="56"/>
  <c r="H1085" i="56"/>
  <c r="H1084" i="56"/>
  <c r="H1083" i="56"/>
  <c r="H1082" i="56"/>
  <c r="H1081" i="56"/>
  <c r="H1080" i="56"/>
  <c r="H1079" i="56"/>
  <c r="H1078" i="56"/>
  <c r="H1077" i="56"/>
  <c r="H1076" i="56"/>
  <c r="H1075" i="56"/>
  <c r="H1074" i="56"/>
  <c r="H1073" i="56"/>
  <c r="H1072" i="56"/>
  <c r="H1071" i="56"/>
  <c r="H1070" i="56"/>
  <c r="H1069" i="56"/>
  <c r="H1068" i="56"/>
  <c r="H1067" i="56"/>
  <c r="H1066" i="56"/>
  <c r="H1065" i="56"/>
  <c r="H1064" i="56"/>
  <c r="H1063" i="56"/>
  <c r="H1062" i="56"/>
  <c r="H1061" i="56"/>
  <c r="H1060" i="56"/>
  <c r="H1059" i="56"/>
  <c r="H1058" i="56"/>
  <c r="H1057" i="56"/>
  <c r="H1056" i="56"/>
  <c r="H1055" i="56"/>
  <c r="H1054" i="56"/>
  <c r="H1053" i="56"/>
  <c r="H1052" i="56"/>
  <c r="H1051" i="56"/>
  <c r="H1050" i="56"/>
  <c r="H1049" i="56"/>
  <c r="H1048" i="56"/>
  <c r="H1047" i="56"/>
  <c r="H1046" i="56"/>
  <c r="H1045" i="56"/>
  <c r="H1044" i="56"/>
  <c r="H1043" i="56"/>
  <c r="H1042" i="56"/>
  <c r="H1041" i="56"/>
  <c r="H1040" i="56"/>
  <c r="H1039" i="56"/>
  <c r="H1038" i="56"/>
  <c r="H1037" i="56"/>
  <c r="H1036" i="56"/>
  <c r="H1035" i="56"/>
  <c r="H1034" i="56"/>
  <c r="H1033" i="56"/>
  <c r="H1032" i="56"/>
  <c r="H1031" i="56"/>
  <c r="H1030" i="56"/>
  <c r="H1029" i="56"/>
  <c r="H1028" i="56"/>
  <c r="H1027" i="56"/>
  <c r="H1026" i="56"/>
  <c r="H1025" i="56"/>
  <c r="H1024" i="56"/>
  <c r="H1023" i="56"/>
  <c r="H1022" i="56"/>
  <c r="H1021" i="56"/>
  <c r="H1020" i="56"/>
  <c r="H1019" i="56"/>
  <c r="H1018" i="56"/>
  <c r="H1017" i="56"/>
  <c r="H1016" i="56"/>
  <c r="H1015" i="56"/>
  <c r="H1014" i="56"/>
  <c r="H1013" i="56"/>
  <c r="H1012" i="56"/>
  <c r="H1011" i="56"/>
  <c r="H1010" i="56"/>
  <c r="H1009" i="56"/>
  <c r="H1008" i="56"/>
  <c r="H1007" i="56"/>
  <c r="H1006" i="56"/>
  <c r="H1005" i="56"/>
  <c r="H1004" i="56"/>
  <c r="H1003" i="56"/>
  <c r="H1002" i="56"/>
  <c r="H1001" i="56"/>
  <c r="H1000" i="56"/>
  <c r="H999" i="56"/>
  <c r="H998" i="56"/>
  <c r="H997" i="56"/>
  <c r="H996" i="56"/>
  <c r="H994" i="56"/>
  <c r="H993" i="56"/>
  <c r="H992" i="56"/>
  <c r="H991" i="56"/>
  <c r="H990" i="56"/>
  <c r="H989" i="56"/>
  <c r="H988" i="56"/>
  <c r="H987" i="56"/>
  <c r="H986" i="56"/>
  <c r="H985" i="56"/>
  <c r="H984" i="56"/>
  <c r="H983" i="56"/>
  <c r="H982" i="56"/>
  <c r="H981" i="56"/>
  <c r="H980" i="56"/>
  <c r="H979" i="56"/>
  <c r="H978" i="56"/>
  <c r="H977" i="56"/>
  <c r="H976" i="56"/>
  <c r="H975" i="56"/>
  <c r="H974" i="56"/>
  <c r="H973" i="56"/>
  <c r="H972" i="56"/>
  <c r="H971" i="56"/>
  <c r="H970" i="56"/>
  <c r="H969" i="56"/>
  <c r="H968" i="56"/>
  <c r="H967" i="56"/>
  <c r="H966" i="56"/>
  <c r="H965" i="56"/>
  <c r="H964" i="56"/>
  <c r="H963" i="56"/>
  <c r="H962" i="56"/>
  <c r="H961" i="56"/>
  <c r="H960" i="56"/>
  <c r="H959" i="56"/>
  <c r="H958" i="56"/>
  <c r="H957" i="56"/>
  <c r="H956" i="56"/>
  <c r="H955" i="56"/>
  <c r="H954" i="56"/>
  <c r="H953" i="56"/>
  <c r="H952" i="56"/>
  <c r="H951" i="56"/>
  <c r="H950" i="56"/>
  <c r="H949" i="56"/>
  <c r="H948" i="56"/>
  <c r="H947" i="56"/>
  <c r="H946" i="56"/>
  <c r="H945" i="56"/>
  <c r="H944" i="56"/>
  <c r="H943" i="56"/>
  <c r="H942" i="56"/>
  <c r="H941" i="56"/>
  <c r="H940" i="56"/>
  <c r="H939" i="56"/>
  <c r="H938" i="56"/>
  <c r="H937" i="56"/>
  <c r="H936" i="56"/>
  <c r="H935" i="56"/>
  <c r="H934" i="56"/>
  <c r="H933" i="56"/>
  <c r="H932" i="56"/>
  <c r="H931" i="56"/>
  <c r="H930" i="56"/>
  <c r="H929" i="56"/>
  <c r="H928" i="56"/>
  <c r="H927" i="56"/>
  <c r="H926" i="56"/>
  <c r="H925" i="56"/>
  <c r="H924" i="56"/>
  <c r="H923" i="56"/>
  <c r="H922" i="56"/>
  <c r="H921" i="56"/>
  <c r="H920" i="56"/>
  <c r="H919" i="56"/>
  <c r="H918" i="56"/>
  <c r="H917" i="56"/>
  <c r="H916" i="56"/>
  <c r="H915" i="56"/>
  <c r="H914" i="56"/>
  <c r="H913" i="56"/>
  <c r="H912" i="56"/>
  <c r="H911" i="56"/>
  <c r="H910" i="56"/>
  <c r="H909" i="56"/>
  <c r="H908" i="56"/>
  <c r="H907" i="56"/>
  <c r="H906" i="56"/>
  <c r="H905" i="56"/>
  <c r="H904" i="56"/>
  <c r="H903" i="56"/>
  <c r="H902" i="56"/>
  <c r="H901" i="56"/>
  <c r="H900" i="56"/>
  <c r="H899" i="56"/>
  <c r="H898" i="56"/>
  <c r="H897" i="56"/>
  <c r="H896" i="56"/>
  <c r="H895" i="56"/>
  <c r="H894" i="56"/>
  <c r="H893" i="56"/>
  <c r="H892" i="56"/>
  <c r="H891" i="56"/>
  <c r="H890" i="56"/>
  <c r="H889" i="56"/>
  <c r="H888" i="56"/>
  <c r="H887" i="56"/>
  <c r="H886" i="56"/>
  <c r="H885" i="56"/>
  <c r="H884" i="56"/>
  <c r="H883" i="56"/>
  <c r="H882" i="56"/>
  <c r="H881" i="56"/>
  <c r="H880" i="56"/>
  <c r="H879" i="56"/>
  <c r="H878" i="56"/>
  <c r="H877" i="56"/>
  <c r="H876" i="56"/>
  <c r="H875" i="56"/>
  <c r="H874" i="56"/>
  <c r="H873" i="56"/>
  <c r="H872" i="56"/>
  <c r="H871" i="56"/>
  <c r="H870" i="56"/>
  <c r="H869" i="56"/>
  <c r="H868" i="56"/>
  <c r="H867" i="56"/>
  <c r="H866" i="56"/>
  <c r="H865" i="56"/>
  <c r="H864" i="56"/>
  <c r="H863" i="56"/>
  <c r="H862" i="56"/>
  <c r="H861" i="56"/>
  <c r="H860" i="56"/>
  <c r="H859" i="56"/>
  <c r="H858" i="56"/>
  <c r="H857" i="56"/>
  <c r="H856" i="56"/>
  <c r="H855" i="56"/>
  <c r="H854" i="56"/>
  <c r="H853" i="56"/>
  <c r="H852" i="56"/>
  <c r="H851" i="56"/>
  <c r="H850" i="56"/>
  <c r="H849" i="56"/>
  <c r="H848" i="56"/>
  <c r="H847" i="56"/>
  <c r="H846" i="56"/>
  <c r="H845" i="56"/>
  <c r="H844" i="56"/>
  <c r="H843" i="56"/>
  <c r="H842" i="56"/>
  <c r="H841" i="56"/>
  <c r="H840" i="56"/>
  <c r="H839" i="56"/>
  <c r="H838" i="56"/>
  <c r="H837" i="56"/>
  <c r="H836" i="56"/>
  <c r="H835" i="56"/>
  <c r="H834" i="56"/>
  <c r="H833" i="56"/>
  <c r="H832" i="56"/>
  <c r="H831" i="56"/>
  <c r="H830" i="56"/>
  <c r="H829" i="56"/>
  <c r="H828" i="56"/>
  <c r="H827" i="56"/>
  <c r="H826" i="56"/>
  <c r="H825" i="56"/>
  <c r="H824" i="56"/>
  <c r="H823" i="56"/>
  <c r="H822" i="56"/>
  <c r="H821" i="56"/>
  <c r="H820" i="56"/>
  <c r="H819" i="56"/>
  <c r="H818" i="56"/>
  <c r="H817" i="56"/>
  <c r="H816" i="56"/>
  <c r="H815" i="56"/>
  <c r="H814" i="56"/>
  <c r="H813" i="56"/>
  <c r="H812" i="56"/>
  <c r="H811" i="56"/>
  <c r="H810" i="56"/>
  <c r="H809" i="56"/>
  <c r="H808" i="56"/>
  <c r="H807" i="56"/>
  <c r="H806" i="56"/>
  <c r="H805" i="56"/>
  <c r="H804" i="56"/>
  <c r="H803" i="56"/>
  <c r="H802" i="56"/>
  <c r="H801" i="56"/>
  <c r="H800" i="56"/>
  <c r="H799" i="56"/>
  <c r="H798" i="56"/>
  <c r="H797" i="56"/>
  <c r="H796" i="56"/>
  <c r="H795" i="56"/>
  <c r="H794" i="56"/>
  <c r="H793" i="56"/>
  <c r="H792" i="56"/>
  <c r="H791" i="56"/>
  <c r="H790" i="56"/>
  <c r="H789" i="56"/>
  <c r="H788" i="56"/>
  <c r="H787" i="56"/>
  <c r="H786" i="56"/>
  <c r="H785" i="56"/>
  <c r="H784" i="56"/>
  <c r="H783" i="56"/>
  <c r="H782" i="56"/>
  <c r="H781" i="56"/>
  <c r="H780" i="56"/>
  <c r="H779" i="56"/>
  <c r="H778" i="56"/>
  <c r="H777" i="56"/>
  <c r="H776" i="56"/>
  <c r="H775" i="56"/>
  <c r="H774" i="56"/>
  <c r="H773" i="56"/>
  <c r="H772" i="56"/>
  <c r="H771" i="56"/>
  <c r="H770" i="56"/>
  <c r="H769" i="56"/>
  <c r="H768" i="56"/>
  <c r="H767" i="56"/>
  <c r="H766" i="56"/>
  <c r="H765" i="56"/>
  <c r="H764" i="56"/>
  <c r="H763" i="56"/>
  <c r="H762" i="56"/>
  <c r="H761" i="56"/>
  <c r="H760" i="56"/>
  <c r="H759" i="56"/>
  <c r="H758" i="56"/>
  <c r="H757" i="56"/>
  <c r="H756" i="56"/>
  <c r="H755" i="56"/>
  <c r="H754" i="56"/>
  <c r="H753" i="56"/>
  <c r="H752" i="56"/>
  <c r="H751" i="56"/>
  <c r="H750" i="56"/>
  <c r="H749" i="56"/>
  <c r="H748" i="56"/>
  <c r="H746" i="56"/>
  <c r="H745" i="56"/>
  <c r="H744" i="56"/>
  <c r="H743" i="56"/>
  <c r="H742" i="56"/>
  <c r="H741" i="56"/>
  <c r="H740" i="56"/>
  <c r="H739" i="56"/>
  <c r="H738" i="56"/>
  <c r="H737" i="56"/>
  <c r="H736" i="56"/>
  <c r="H735" i="56"/>
  <c r="H734" i="56"/>
  <c r="H733" i="56"/>
  <c r="H732" i="56"/>
  <c r="H731" i="56"/>
  <c r="H730" i="56"/>
  <c r="H729" i="56"/>
  <c r="H728" i="56"/>
  <c r="H727" i="56"/>
  <c r="H726" i="56"/>
  <c r="H725" i="56"/>
  <c r="H724" i="56"/>
  <c r="H723" i="56"/>
  <c r="H722" i="56"/>
  <c r="H721" i="56"/>
  <c r="H720" i="56"/>
  <c r="H719" i="56"/>
  <c r="H718" i="56"/>
  <c r="H717" i="56"/>
  <c r="H716" i="56"/>
  <c r="H715" i="56"/>
  <c r="H714" i="56"/>
  <c r="H713" i="56"/>
  <c r="H712" i="56"/>
  <c r="H711" i="56"/>
  <c r="H710" i="56"/>
  <c r="H709" i="56"/>
  <c r="H708" i="56"/>
  <c r="H707" i="56"/>
  <c r="H706" i="56"/>
  <c r="H705" i="56"/>
  <c r="H704" i="56"/>
  <c r="H703" i="56"/>
  <c r="H702" i="56"/>
  <c r="H701" i="56"/>
  <c r="H700" i="56"/>
  <c r="H699" i="56"/>
  <c r="H698" i="56"/>
  <c r="H697" i="56"/>
  <c r="H696" i="56"/>
  <c r="H695" i="56"/>
  <c r="H694" i="56"/>
  <c r="H693" i="56"/>
  <c r="H692" i="56"/>
  <c r="H691" i="56"/>
  <c r="H690" i="56"/>
  <c r="H689" i="56"/>
  <c r="H688" i="56"/>
  <c r="H687" i="56"/>
  <c r="H686" i="56"/>
  <c r="H685" i="56"/>
  <c r="H684" i="56"/>
  <c r="H683" i="56"/>
  <c r="H682" i="56"/>
  <c r="H681" i="56"/>
  <c r="H680" i="56"/>
  <c r="H679" i="56"/>
  <c r="H678" i="56"/>
  <c r="H677" i="56"/>
  <c r="H676" i="56"/>
  <c r="H675" i="56"/>
  <c r="H674" i="56"/>
  <c r="H673" i="56"/>
  <c r="H672" i="56"/>
  <c r="H671" i="56"/>
  <c r="H670" i="56"/>
  <c r="H669" i="56"/>
  <c r="H668" i="56"/>
  <c r="H667" i="56"/>
  <c r="H666" i="56"/>
  <c r="H665" i="56"/>
  <c r="H664" i="56"/>
  <c r="H663" i="56"/>
  <c r="H662" i="56"/>
  <c r="H661" i="56"/>
  <c r="H660" i="56"/>
  <c r="H659" i="56"/>
  <c r="H658" i="56"/>
  <c r="H657" i="56"/>
  <c r="H656" i="56"/>
  <c r="H655" i="56"/>
  <c r="H654" i="56"/>
  <c r="H653" i="56"/>
  <c r="H652" i="56"/>
  <c r="H651" i="56"/>
  <c r="H650" i="56"/>
  <c r="H649" i="56"/>
  <c r="H648" i="56"/>
  <c r="H647" i="56"/>
  <c r="H646" i="56"/>
  <c r="H645" i="56"/>
  <c r="H644" i="56"/>
  <c r="H643" i="56"/>
  <c r="H642" i="56"/>
  <c r="H641" i="56"/>
  <c r="H640" i="56"/>
  <c r="H639" i="56"/>
  <c r="H638" i="56"/>
  <c r="H637" i="56"/>
  <c r="H636" i="56"/>
  <c r="H635" i="56"/>
  <c r="H634" i="56"/>
  <c r="H633" i="56"/>
  <c r="H632" i="56"/>
  <c r="H631" i="56"/>
  <c r="H630" i="56"/>
  <c r="H629" i="56"/>
  <c r="H628" i="56"/>
  <c r="H627" i="56"/>
  <c r="H626" i="56"/>
  <c r="H625" i="56"/>
  <c r="H624" i="56"/>
  <c r="H623" i="56"/>
  <c r="H622" i="56"/>
  <c r="H621" i="56"/>
  <c r="H620" i="56"/>
  <c r="H619" i="56"/>
  <c r="H618" i="56"/>
  <c r="H617" i="56"/>
  <c r="H616" i="56"/>
  <c r="H615" i="56"/>
  <c r="H614" i="56"/>
  <c r="H613" i="56"/>
  <c r="H612" i="56"/>
  <c r="H611" i="56"/>
  <c r="H610" i="56"/>
  <c r="H609" i="56"/>
  <c r="H608" i="56"/>
  <c r="H607" i="56"/>
  <c r="H606" i="56"/>
  <c r="H605" i="56"/>
  <c r="H604" i="56"/>
  <c r="H603" i="56"/>
  <c r="H602" i="56"/>
  <c r="H601" i="56"/>
  <c r="H600" i="56"/>
  <c r="H599" i="56"/>
  <c r="H598" i="56"/>
  <c r="H597" i="56"/>
  <c r="H596" i="56"/>
  <c r="H595" i="56"/>
  <c r="H594" i="56"/>
  <c r="H593" i="56"/>
  <c r="H592" i="56"/>
  <c r="H591" i="56"/>
  <c r="H590" i="56"/>
  <c r="H589" i="56"/>
  <c r="H588" i="56"/>
  <c r="H587" i="56"/>
  <c r="H586" i="56"/>
  <c r="H585" i="56"/>
  <c r="H584" i="56"/>
  <c r="H583" i="56"/>
  <c r="H582" i="56"/>
  <c r="H581" i="56"/>
  <c r="H580" i="56"/>
  <c r="H579" i="56"/>
  <c r="H578" i="56"/>
  <c r="H577" i="56"/>
  <c r="H576" i="56"/>
  <c r="H575" i="56"/>
  <c r="H574" i="56"/>
  <c r="H573" i="56"/>
  <c r="H572" i="56"/>
  <c r="H571" i="56"/>
  <c r="H570" i="56"/>
  <c r="H569" i="56"/>
  <c r="H568" i="56"/>
  <c r="H567" i="56"/>
  <c r="H566" i="56"/>
  <c r="H565" i="56"/>
  <c r="H564" i="56"/>
  <c r="H563" i="56"/>
  <c r="H562" i="56"/>
  <c r="H561" i="56"/>
  <c r="H560" i="56"/>
  <c r="H559" i="56"/>
  <c r="H558" i="56"/>
  <c r="H557" i="56"/>
  <c r="H556" i="56"/>
  <c r="H555" i="56"/>
  <c r="H554" i="56"/>
  <c r="H553" i="56"/>
  <c r="H552" i="56"/>
  <c r="H551" i="56"/>
  <c r="H550" i="56"/>
  <c r="H549" i="56"/>
  <c r="H548" i="56"/>
  <c r="H547" i="56"/>
  <c r="H546" i="56"/>
  <c r="H545" i="56"/>
  <c r="H544" i="56"/>
  <c r="H543" i="56"/>
  <c r="H542" i="56"/>
  <c r="H541" i="56"/>
  <c r="H540" i="56"/>
  <c r="H539" i="56"/>
  <c r="H538" i="56"/>
  <c r="H537" i="56"/>
  <c r="H536" i="56"/>
  <c r="H535" i="56"/>
  <c r="H534" i="56"/>
  <c r="H533" i="56"/>
  <c r="H532" i="56"/>
  <c r="H531" i="56"/>
  <c r="H530" i="56"/>
  <c r="H529" i="56"/>
  <c r="H528" i="56"/>
  <c r="H527" i="56"/>
  <c r="H526" i="56"/>
  <c r="H525" i="56"/>
  <c r="H524" i="56"/>
  <c r="H523" i="56"/>
  <c r="H522" i="56"/>
  <c r="H521" i="56"/>
  <c r="H520" i="56"/>
  <c r="H519" i="56"/>
  <c r="H518" i="56"/>
  <c r="H517" i="56"/>
  <c r="H516" i="56"/>
  <c r="H515" i="56"/>
  <c r="H514" i="56"/>
  <c r="H513" i="56"/>
  <c r="H512" i="56"/>
  <c r="H511" i="56"/>
  <c r="H510" i="56"/>
  <c r="H509" i="56"/>
  <c r="H508" i="56"/>
  <c r="H507" i="56"/>
  <c r="H506" i="56"/>
  <c r="H505" i="56"/>
  <c r="H504" i="56"/>
  <c r="H503" i="56"/>
  <c r="H502" i="56"/>
  <c r="H501" i="56"/>
  <c r="H500" i="56"/>
  <c r="H498" i="56"/>
  <c r="H497" i="56"/>
  <c r="H496" i="56"/>
  <c r="H495" i="56"/>
  <c r="H494" i="56"/>
  <c r="H493" i="56"/>
  <c r="H492" i="56"/>
  <c r="H491" i="56"/>
  <c r="H490" i="56"/>
  <c r="H489" i="56"/>
  <c r="H488" i="56"/>
  <c r="H487" i="56"/>
  <c r="H486" i="56"/>
  <c r="H485" i="56"/>
  <c r="H484" i="56"/>
  <c r="H483" i="56"/>
  <c r="H482" i="56"/>
  <c r="H481" i="56"/>
  <c r="H480" i="56"/>
  <c r="H479" i="56"/>
  <c r="H478" i="56"/>
  <c r="H477" i="56"/>
  <c r="H476" i="56"/>
  <c r="H475" i="56"/>
  <c r="H474" i="56"/>
  <c r="H473" i="56"/>
  <c r="H472" i="56"/>
  <c r="H471" i="56"/>
  <c r="H470" i="56"/>
  <c r="H469" i="56"/>
  <c r="H468" i="56"/>
  <c r="H467" i="56"/>
  <c r="H466" i="56"/>
  <c r="H465" i="56"/>
  <c r="H464" i="56"/>
  <c r="H463" i="56"/>
  <c r="H462" i="56"/>
  <c r="H461" i="56"/>
  <c r="H460" i="56"/>
  <c r="H459" i="56"/>
  <c r="H458" i="56"/>
  <c r="H457" i="56"/>
  <c r="H456" i="56"/>
  <c r="H455" i="56"/>
  <c r="H454" i="56"/>
  <c r="H453" i="56"/>
  <c r="H452" i="56"/>
  <c r="H451" i="56"/>
  <c r="H450" i="56"/>
  <c r="H449" i="56"/>
  <c r="H448" i="56"/>
  <c r="H447" i="56"/>
  <c r="H446" i="56"/>
  <c r="H445" i="56"/>
  <c r="H444" i="56"/>
  <c r="H443" i="56"/>
  <c r="H442" i="56"/>
  <c r="H441" i="56"/>
  <c r="H440" i="56"/>
  <c r="H439" i="56"/>
  <c r="H438" i="56"/>
  <c r="H437" i="56"/>
  <c r="H436" i="56"/>
  <c r="H435" i="56"/>
  <c r="H434" i="56"/>
  <c r="H433" i="56"/>
  <c r="H432" i="56"/>
  <c r="H431" i="56"/>
  <c r="H430" i="56"/>
  <c r="H429" i="56"/>
  <c r="H428" i="56"/>
  <c r="H427" i="56"/>
  <c r="H426" i="56"/>
  <c r="H425" i="56"/>
  <c r="H424" i="56"/>
  <c r="H423" i="56"/>
  <c r="H422" i="56"/>
  <c r="H421" i="56"/>
  <c r="H420" i="56"/>
  <c r="H419" i="56"/>
  <c r="H418" i="56"/>
  <c r="H417" i="56"/>
  <c r="H416" i="56"/>
  <c r="H415" i="56"/>
  <c r="H414" i="56"/>
  <c r="H413" i="56"/>
  <c r="H412" i="56"/>
  <c r="H411" i="56"/>
  <c r="H410" i="56"/>
  <c r="H409" i="56"/>
  <c r="H408" i="56"/>
  <c r="H407" i="56"/>
  <c r="H406" i="56"/>
  <c r="H405" i="56"/>
  <c r="H404" i="56"/>
  <c r="H403" i="56"/>
  <c r="H402" i="56"/>
  <c r="H401" i="56"/>
  <c r="H400" i="56"/>
  <c r="H399" i="56"/>
  <c r="H398" i="56"/>
  <c r="H397" i="56"/>
  <c r="H396" i="56"/>
  <c r="H395" i="56"/>
  <c r="H394" i="56"/>
  <c r="H393" i="56"/>
  <c r="H392" i="56"/>
  <c r="H391" i="56"/>
  <c r="H390" i="56"/>
  <c r="H389" i="56"/>
  <c r="H388" i="56"/>
  <c r="H387" i="56"/>
  <c r="H386" i="56"/>
  <c r="H385" i="56"/>
  <c r="H384" i="56"/>
  <c r="H383" i="56"/>
  <c r="H382" i="56"/>
  <c r="H381" i="56"/>
  <c r="H380" i="56"/>
  <c r="H379" i="56"/>
  <c r="H378" i="56"/>
  <c r="H377" i="56"/>
  <c r="H376" i="56"/>
  <c r="H375" i="56"/>
  <c r="H374" i="56"/>
  <c r="H373" i="56"/>
  <c r="H372" i="56"/>
  <c r="H371" i="56"/>
  <c r="H370" i="56"/>
  <c r="H369" i="56"/>
  <c r="H368" i="56"/>
  <c r="H367" i="56"/>
  <c r="H366" i="56"/>
  <c r="H365" i="56"/>
  <c r="H364" i="56"/>
  <c r="H363" i="56"/>
  <c r="H362" i="56"/>
  <c r="H361" i="56"/>
  <c r="H360" i="56"/>
  <c r="H359" i="56"/>
  <c r="H358" i="56"/>
  <c r="H357" i="56"/>
  <c r="H356" i="56"/>
  <c r="H355" i="56"/>
  <c r="H354" i="56"/>
  <c r="H353" i="56"/>
  <c r="H352" i="56"/>
  <c r="H351" i="56"/>
  <c r="H350" i="56"/>
  <c r="H349" i="56"/>
  <c r="H348" i="56"/>
  <c r="H347" i="56"/>
  <c r="H346" i="56"/>
  <c r="H345" i="56"/>
  <c r="H344" i="56"/>
  <c r="H343" i="56"/>
  <c r="H342" i="56"/>
  <c r="H341" i="56"/>
  <c r="H340" i="56"/>
  <c r="H339" i="56"/>
  <c r="H338" i="56"/>
  <c r="H337" i="56"/>
  <c r="H336" i="56"/>
  <c r="H335" i="56"/>
  <c r="H334" i="56"/>
  <c r="H333" i="56"/>
  <c r="H332" i="56"/>
  <c r="H331" i="56"/>
  <c r="H330" i="56"/>
  <c r="H329" i="56"/>
  <c r="H328" i="56"/>
  <c r="H327" i="56"/>
  <c r="H326" i="56"/>
  <c r="H325" i="56"/>
  <c r="H324" i="56"/>
  <c r="H323" i="56"/>
  <c r="H322" i="56"/>
  <c r="H321" i="56"/>
  <c r="H320" i="56"/>
  <c r="H319" i="56"/>
  <c r="H318" i="56"/>
  <c r="H317" i="56"/>
  <c r="H316" i="56"/>
  <c r="H315" i="56"/>
  <c r="H314" i="56"/>
  <c r="H313" i="56"/>
  <c r="H312" i="56"/>
  <c r="H311" i="56"/>
  <c r="H310" i="56"/>
  <c r="H309" i="56"/>
  <c r="H308" i="56"/>
  <c r="H307" i="56"/>
  <c r="H306" i="56"/>
  <c r="H305" i="56"/>
  <c r="H304" i="56"/>
  <c r="H303" i="56"/>
  <c r="H302" i="56"/>
  <c r="H301" i="56"/>
  <c r="H300" i="56"/>
  <c r="H299" i="56"/>
  <c r="H298" i="56"/>
  <c r="H297" i="56"/>
  <c r="H296" i="56"/>
  <c r="H295" i="56"/>
  <c r="H294" i="56"/>
  <c r="H293" i="56"/>
  <c r="H292" i="56"/>
  <c r="H291" i="56"/>
  <c r="H290" i="56"/>
  <c r="H289" i="56"/>
  <c r="H288" i="56"/>
  <c r="H287" i="56"/>
  <c r="H286" i="56"/>
  <c r="H285" i="56"/>
  <c r="H284" i="56"/>
  <c r="H283" i="56"/>
  <c r="H282" i="56"/>
  <c r="H281" i="56"/>
  <c r="H280" i="56"/>
  <c r="H279" i="56"/>
  <c r="H278" i="56"/>
  <c r="H277" i="56"/>
  <c r="H276" i="56"/>
  <c r="H275" i="56"/>
  <c r="H274" i="56"/>
  <c r="H273" i="56"/>
  <c r="H272" i="56"/>
  <c r="H271" i="56"/>
  <c r="H270" i="56"/>
  <c r="H269" i="56"/>
  <c r="H268" i="56"/>
  <c r="H267" i="56"/>
  <c r="H266" i="56"/>
  <c r="H265" i="56"/>
  <c r="H264" i="56"/>
  <c r="H263" i="56"/>
  <c r="H262" i="56"/>
  <c r="H261" i="56"/>
  <c r="H260" i="56"/>
  <c r="H259" i="56"/>
  <c r="H258" i="56"/>
  <c r="H257" i="56"/>
  <c r="H256" i="56"/>
  <c r="H255" i="56"/>
  <c r="H254" i="56"/>
  <c r="H253" i="56"/>
  <c r="H252" i="56"/>
  <c r="H250" i="56"/>
  <c r="H249" i="56"/>
  <c r="H248" i="56"/>
  <c r="H247" i="56"/>
  <c r="H246" i="56"/>
  <c r="H245" i="56"/>
  <c r="H244" i="56"/>
  <c r="H243" i="56"/>
  <c r="H242" i="56"/>
  <c r="H241" i="56"/>
  <c r="H240" i="56"/>
  <c r="H239" i="56"/>
  <c r="H238" i="56"/>
  <c r="H237" i="56"/>
  <c r="H236" i="56"/>
  <c r="H235" i="56"/>
  <c r="H234" i="56"/>
  <c r="H233" i="56"/>
  <c r="H232" i="56"/>
  <c r="H231" i="56"/>
  <c r="H230" i="56"/>
  <c r="H229" i="56"/>
  <c r="H228" i="56"/>
  <c r="H227" i="56"/>
  <c r="H226" i="56"/>
  <c r="H225" i="56"/>
  <c r="H224" i="56"/>
  <c r="H223" i="56"/>
  <c r="H222" i="56"/>
  <c r="H221" i="56"/>
  <c r="H220" i="56"/>
  <c r="H219" i="56"/>
  <c r="H218" i="56"/>
  <c r="H217" i="56"/>
  <c r="H216" i="56"/>
  <c r="H215" i="56"/>
  <c r="H214" i="56"/>
  <c r="H213" i="56"/>
  <c r="H212" i="56"/>
  <c r="H211" i="56"/>
  <c r="H210" i="56"/>
  <c r="H209" i="56"/>
  <c r="H208" i="56"/>
  <c r="H207" i="56"/>
  <c r="H206" i="56"/>
  <c r="H205" i="56"/>
  <c r="H204" i="56"/>
  <c r="H203" i="56"/>
  <c r="H202" i="56"/>
  <c r="H201" i="56"/>
  <c r="H200" i="56"/>
  <c r="H199" i="56"/>
  <c r="H198" i="56"/>
  <c r="H197" i="56"/>
  <c r="H196" i="56"/>
  <c r="H195" i="56"/>
  <c r="H194" i="56"/>
  <c r="H193" i="56"/>
  <c r="H192" i="56"/>
  <c r="H191" i="56"/>
  <c r="H190" i="56"/>
  <c r="H189" i="56"/>
  <c r="H188" i="56"/>
  <c r="H187" i="56"/>
  <c r="H186" i="56"/>
  <c r="H185" i="56"/>
  <c r="H184" i="56"/>
  <c r="H183" i="56"/>
  <c r="H182" i="56"/>
  <c r="H181" i="56"/>
  <c r="H180" i="56"/>
  <c r="H179" i="56"/>
  <c r="H178" i="56"/>
  <c r="H177" i="56"/>
  <c r="H176" i="56"/>
  <c r="H175" i="56"/>
  <c r="H174" i="56"/>
  <c r="H173" i="56"/>
  <c r="H172" i="56"/>
  <c r="H171" i="56"/>
  <c r="H170" i="56"/>
  <c r="H169" i="56"/>
  <c r="H168" i="56"/>
  <c r="H167" i="56"/>
  <c r="H166" i="56"/>
  <c r="H165" i="56"/>
  <c r="H164" i="56"/>
  <c r="H163" i="56"/>
  <c r="H162" i="56"/>
  <c r="H161" i="56"/>
  <c r="H160" i="56"/>
  <c r="H159" i="56"/>
  <c r="H158" i="56"/>
  <c r="H157" i="56"/>
  <c r="H156" i="56"/>
  <c r="H155" i="56"/>
  <c r="H154" i="56"/>
  <c r="H153" i="56"/>
  <c r="H152" i="56"/>
  <c r="H151" i="56"/>
  <c r="H150" i="56"/>
  <c r="H149" i="56"/>
  <c r="H148" i="56"/>
  <c r="H147" i="56"/>
  <c r="H146" i="56"/>
  <c r="H145" i="56"/>
  <c r="H144" i="56"/>
  <c r="H143" i="56"/>
  <c r="H142" i="56"/>
  <c r="H141" i="56"/>
  <c r="H140" i="56"/>
  <c r="H139" i="56"/>
  <c r="H138" i="56"/>
  <c r="H137" i="56"/>
  <c r="H136" i="56"/>
  <c r="H135" i="56"/>
  <c r="H134" i="56"/>
  <c r="H133" i="56"/>
  <c r="H132" i="56"/>
  <c r="H131" i="56"/>
  <c r="H130" i="56"/>
  <c r="H129" i="56"/>
  <c r="H128" i="56"/>
  <c r="H127" i="56"/>
  <c r="H126" i="56"/>
  <c r="H125" i="56"/>
  <c r="H124" i="56"/>
  <c r="H123" i="56"/>
  <c r="H122" i="56"/>
  <c r="H121" i="56"/>
  <c r="H120" i="56"/>
  <c r="H119" i="56"/>
  <c r="H118" i="56"/>
  <c r="H117" i="56"/>
  <c r="H116" i="56"/>
  <c r="H115" i="56"/>
  <c r="H114" i="56"/>
  <c r="H113" i="56"/>
  <c r="H112" i="56"/>
  <c r="H111" i="56"/>
  <c r="H110" i="56"/>
  <c r="H109" i="56"/>
  <c r="H108" i="56"/>
  <c r="H107" i="56"/>
  <c r="H106" i="56"/>
  <c r="H105" i="56"/>
  <c r="H104" i="56"/>
  <c r="H103" i="56"/>
  <c r="H102" i="56"/>
  <c r="H101" i="56"/>
  <c r="H100" i="56"/>
  <c r="H99" i="56"/>
  <c r="H98" i="56"/>
  <c r="H97" i="56"/>
  <c r="H96" i="56"/>
  <c r="H95" i="56"/>
  <c r="H94" i="56"/>
  <c r="H93" i="56"/>
  <c r="H92" i="56"/>
  <c r="H91" i="56"/>
  <c r="H90" i="56"/>
  <c r="H89" i="56"/>
  <c r="H88" i="56"/>
  <c r="H87" i="56"/>
  <c r="H86" i="56"/>
  <c r="H85" i="56"/>
  <c r="H84" i="56"/>
  <c r="H83" i="56"/>
  <c r="H82" i="56"/>
  <c r="H81" i="56"/>
  <c r="H80" i="56"/>
  <c r="H79" i="56"/>
  <c r="H78" i="56"/>
  <c r="H77" i="56"/>
  <c r="H76" i="56"/>
  <c r="H75" i="56"/>
  <c r="H74" i="56"/>
  <c r="H73" i="56"/>
  <c r="H72" i="56"/>
  <c r="H71" i="56"/>
  <c r="H70" i="56"/>
  <c r="H69" i="56"/>
  <c r="H68" i="56"/>
  <c r="H67" i="56"/>
  <c r="H66" i="56"/>
  <c r="H65" i="56"/>
  <c r="H64" i="56"/>
  <c r="H63" i="56"/>
  <c r="H62" i="56"/>
  <c r="H61" i="56"/>
  <c r="H60" i="56"/>
  <c r="H59" i="56"/>
  <c r="H58" i="56"/>
  <c r="H57" i="56"/>
  <c r="H56" i="56"/>
  <c r="H55" i="56"/>
  <c r="H54" i="56"/>
  <c r="H53" i="56"/>
  <c r="H52" i="56"/>
  <c r="H51" i="56"/>
  <c r="H50" i="56"/>
  <c r="H49" i="56"/>
  <c r="H48" i="56"/>
  <c r="H47" i="56"/>
  <c r="H46" i="56"/>
  <c r="H45" i="56"/>
  <c r="H44" i="56"/>
  <c r="H43" i="56"/>
  <c r="H42" i="56"/>
  <c r="H41" i="56"/>
  <c r="H40" i="56"/>
  <c r="H39" i="56"/>
  <c r="H38" i="56"/>
  <c r="H37" i="56"/>
  <c r="H36" i="56"/>
  <c r="H35" i="56"/>
  <c r="H34" i="56"/>
  <c r="H33" i="56"/>
  <c r="H32" i="56"/>
  <c r="H31" i="56"/>
  <c r="H30" i="56"/>
  <c r="H29" i="56"/>
  <c r="H28" i="56"/>
  <c r="H27" i="56"/>
  <c r="H26" i="56"/>
  <c r="H25" i="56"/>
  <c r="H24" i="56"/>
  <c r="H23" i="56"/>
  <c r="H22" i="56"/>
  <c r="H21" i="56"/>
  <c r="H20" i="56"/>
  <c r="H19" i="56"/>
  <c r="H18" i="56"/>
  <c r="H17" i="56"/>
  <c r="H16" i="56"/>
  <c r="H15" i="56"/>
  <c r="H14" i="56"/>
  <c r="H13" i="56"/>
  <c r="H12" i="56"/>
  <c r="H11" i="56"/>
  <c r="H10" i="56"/>
  <c r="H9" i="56"/>
  <c r="H8" i="56"/>
  <c r="H7" i="56"/>
  <c r="H6" i="56"/>
  <c r="H5" i="56"/>
  <c r="H4" i="56"/>
  <c r="B106" i="49"/>
  <c r="B105" i="49"/>
  <c r="B89" i="49"/>
  <c r="B90" i="49" s="1"/>
  <c r="B15" i="49"/>
  <c r="S3" i="49" s="1"/>
  <c r="G174" i="50" s="1"/>
  <c r="B14" i="49"/>
  <c r="B16" i="49" s="1"/>
  <c r="F28" i="50" s="1"/>
  <c r="B6" i="49"/>
  <c r="B3" i="49"/>
  <c r="B2" i="49"/>
  <c r="B4" i="40"/>
  <c r="D4" i="40" s="1"/>
  <c r="AB60" i="40" s="1"/>
  <c r="AQ42" i="47"/>
  <c r="AP42" i="47"/>
  <c r="AO42" i="47"/>
  <c r="AN42" i="47"/>
  <c r="AM42" i="47"/>
  <c r="AL42" i="47"/>
  <c r="AK42" i="47"/>
  <c r="AJ42" i="47"/>
  <c r="AI42" i="47"/>
  <c r="AH42" i="47"/>
  <c r="AG42" i="47"/>
  <c r="AF42" i="47"/>
  <c r="AE42" i="47"/>
  <c r="AD42" i="47"/>
  <c r="AC42" i="47"/>
  <c r="AB42" i="47"/>
  <c r="AA42" i="47"/>
  <c r="Z42" i="47"/>
  <c r="Y42" i="47"/>
  <c r="X42" i="47"/>
  <c r="W42" i="47"/>
  <c r="V42" i="47"/>
  <c r="U42" i="47"/>
  <c r="T42" i="47"/>
  <c r="S42" i="47"/>
  <c r="R42" i="47"/>
  <c r="Q42" i="47"/>
  <c r="P42" i="47"/>
  <c r="O42" i="47"/>
  <c r="N42" i="47"/>
  <c r="M42" i="47"/>
  <c r="L42" i="47"/>
  <c r="K42" i="47"/>
  <c r="J42" i="47"/>
  <c r="I42" i="47"/>
  <c r="H42" i="47"/>
  <c r="G42" i="47"/>
  <c r="F42" i="47"/>
  <c r="E42" i="47"/>
  <c r="D42" i="47"/>
  <c r="C42" i="47"/>
  <c r="A42" i="47"/>
  <c r="AQ41" i="47"/>
  <c r="AP41" i="47"/>
  <c r="AO41" i="47"/>
  <c r="AN41" i="47"/>
  <c r="AM41" i="47"/>
  <c r="AL41" i="47"/>
  <c r="AK41" i="47"/>
  <c r="AJ41" i="47"/>
  <c r="AI41" i="47"/>
  <c r="AH41" i="47"/>
  <c r="AG41" i="47"/>
  <c r="AF41" i="47"/>
  <c r="AE41" i="47"/>
  <c r="AD41" i="47"/>
  <c r="AC41" i="47"/>
  <c r="AB41" i="47"/>
  <c r="AA41" i="47"/>
  <c r="Z41" i="47"/>
  <c r="Y41" i="47"/>
  <c r="X41" i="47"/>
  <c r="W41" i="47"/>
  <c r="V41" i="47"/>
  <c r="U41" i="47"/>
  <c r="T41" i="47"/>
  <c r="S41" i="47"/>
  <c r="R41" i="47"/>
  <c r="Q41" i="47"/>
  <c r="P41" i="47"/>
  <c r="O41" i="47"/>
  <c r="N41" i="47"/>
  <c r="M41" i="47"/>
  <c r="L41" i="47"/>
  <c r="K41" i="47"/>
  <c r="J41" i="47"/>
  <c r="I41" i="47"/>
  <c r="H41" i="47"/>
  <c r="G41" i="47"/>
  <c r="F41" i="47"/>
  <c r="E41" i="47"/>
  <c r="D41" i="47"/>
  <c r="C41" i="47"/>
  <c r="B41" i="47"/>
  <c r="A41" i="47"/>
  <c r="AQ40" i="47"/>
  <c r="AP40" i="47"/>
  <c r="AO40" i="47"/>
  <c r="AN40" i="47"/>
  <c r="AM40" i="47"/>
  <c r="AL40" i="47"/>
  <c r="AK40" i="47"/>
  <c r="AJ40" i="47"/>
  <c r="AI40" i="47"/>
  <c r="AH40" i="47"/>
  <c r="AG40" i="47"/>
  <c r="AF40" i="47"/>
  <c r="AE40" i="47"/>
  <c r="AD40" i="47"/>
  <c r="AC40" i="47"/>
  <c r="AB40" i="47"/>
  <c r="AA40" i="47"/>
  <c r="Z40" i="47"/>
  <c r="Y40" i="47"/>
  <c r="X40" i="47"/>
  <c r="W40" i="47"/>
  <c r="V40" i="47"/>
  <c r="U40" i="47"/>
  <c r="T40" i="47"/>
  <c r="S40" i="47"/>
  <c r="R40" i="47"/>
  <c r="Q40" i="47"/>
  <c r="P40" i="47"/>
  <c r="O40" i="47"/>
  <c r="N40" i="47"/>
  <c r="M40" i="47"/>
  <c r="L40" i="47"/>
  <c r="K40" i="47"/>
  <c r="J40" i="47"/>
  <c r="I40" i="47"/>
  <c r="H40" i="47"/>
  <c r="G40" i="47"/>
  <c r="F40" i="47"/>
  <c r="E40" i="47"/>
  <c r="D40" i="47"/>
  <c r="C40" i="47"/>
  <c r="B40" i="47"/>
  <c r="A40" i="47"/>
  <c r="AQ39" i="47"/>
  <c r="AP39" i="47"/>
  <c r="AO39" i="47"/>
  <c r="AN39" i="47"/>
  <c r="AM39" i="47"/>
  <c r="AL39" i="47"/>
  <c r="AK39" i="47"/>
  <c r="AJ39" i="47"/>
  <c r="AI39" i="47"/>
  <c r="AH39" i="47"/>
  <c r="AG39" i="47"/>
  <c r="AF39" i="47"/>
  <c r="AE39" i="47"/>
  <c r="AD39" i="47"/>
  <c r="AC39" i="47"/>
  <c r="AB39" i="47"/>
  <c r="AA39" i="47"/>
  <c r="Z39" i="47"/>
  <c r="Y39" i="47"/>
  <c r="X39" i="47"/>
  <c r="W39" i="47"/>
  <c r="V39" i="47"/>
  <c r="U39" i="47"/>
  <c r="T39" i="47"/>
  <c r="S39" i="47"/>
  <c r="R39" i="47"/>
  <c r="Q39" i="47"/>
  <c r="P39" i="47"/>
  <c r="O39" i="47"/>
  <c r="N39" i="47"/>
  <c r="M39" i="47"/>
  <c r="L39" i="47"/>
  <c r="K39" i="47"/>
  <c r="J39" i="47"/>
  <c r="I39" i="47"/>
  <c r="H39" i="47"/>
  <c r="G39" i="47"/>
  <c r="F39" i="47"/>
  <c r="E39" i="47"/>
  <c r="D39" i="47"/>
  <c r="C39" i="47"/>
  <c r="B39" i="47"/>
  <c r="A39" i="47"/>
  <c r="AQ38" i="47"/>
  <c r="AP38" i="47"/>
  <c r="AO38" i="47"/>
  <c r="AN38" i="47"/>
  <c r="AM38" i="47"/>
  <c r="AL38" i="47"/>
  <c r="AK38" i="47"/>
  <c r="AJ38" i="47"/>
  <c r="AI38" i="47"/>
  <c r="AH38" i="47"/>
  <c r="AG38" i="47"/>
  <c r="AF38" i="47"/>
  <c r="AE38" i="47"/>
  <c r="AD38" i="47"/>
  <c r="AC38" i="47"/>
  <c r="AB38" i="47"/>
  <c r="AA38" i="47"/>
  <c r="Z38" i="47"/>
  <c r="Y38" i="47"/>
  <c r="X38" i="47"/>
  <c r="W38" i="47"/>
  <c r="V38" i="47"/>
  <c r="U38" i="47"/>
  <c r="T38" i="47"/>
  <c r="S38" i="47"/>
  <c r="R38" i="47"/>
  <c r="Q38" i="47"/>
  <c r="P38" i="47"/>
  <c r="O38" i="47"/>
  <c r="N38" i="47"/>
  <c r="M38" i="47"/>
  <c r="L38" i="47"/>
  <c r="K38" i="47"/>
  <c r="J38" i="47"/>
  <c r="I38" i="47"/>
  <c r="H38" i="47"/>
  <c r="G38" i="47"/>
  <c r="F38" i="47"/>
  <c r="E38" i="47"/>
  <c r="D38" i="47"/>
  <c r="C38" i="47"/>
  <c r="B38" i="47"/>
  <c r="A38" i="47"/>
  <c r="AQ37" i="47"/>
  <c r="AP37" i="47"/>
  <c r="AO37" i="47"/>
  <c r="AN37" i="47"/>
  <c r="AM37" i="47"/>
  <c r="AL37" i="47"/>
  <c r="AK37" i="47"/>
  <c r="AJ37" i="47"/>
  <c r="AI37" i="47"/>
  <c r="AH37" i="47"/>
  <c r="AG37" i="47"/>
  <c r="AF37" i="47"/>
  <c r="AE37" i="47"/>
  <c r="AD37" i="47"/>
  <c r="AC37" i="47"/>
  <c r="AB37" i="47"/>
  <c r="AA37" i="47"/>
  <c r="Z37" i="47"/>
  <c r="Y37" i="47"/>
  <c r="X37" i="47"/>
  <c r="W37" i="47"/>
  <c r="V37" i="47"/>
  <c r="U37" i="47"/>
  <c r="T37" i="47"/>
  <c r="S37" i="47"/>
  <c r="R37" i="47"/>
  <c r="Q37" i="47"/>
  <c r="P37" i="47"/>
  <c r="O37" i="47"/>
  <c r="N37" i="47"/>
  <c r="M37" i="47"/>
  <c r="L37" i="47"/>
  <c r="K37" i="47"/>
  <c r="J37" i="47"/>
  <c r="I37" i="47"/>
  <c r="H37" i="47"/>
  <c r="G37" i="47"/>
  <c r="F37" i="47"/>
  <c r="E37" i="47"/>
  <c r="D37" i="47"/>
  <c r="C37" i="47"/>
  <c r="B37" i="47"/>
  <c r="A37" i="47"/>
  <c r="AQ36" i="47"/>
  <c r="AP36" i="47"/>
  <c r="AO36" i="47"/>
  <c r="AN36" i="47"/>
  <c r="AM36" i="47"/>
  <c r="AL36" i="47"/>
  <c r="AK36" i="47"/>
  <c r="AJ36" i="47"/>
  <c r="AI36" i="47"/>
  <c r="AH36" i="47"/>
  <c r="AG36" i="47"/>
  <c r="AF36" i="47"/>
  <c r="AE36" i="47"/>
  <c r="AD36" i="47"/>
  <c r="AC36" i="47"/>
  <c r="AB36" i="47"/>
  <c r="AA36" i="47"/>
  <c r="Z36" i="47"/>
  <c r="Y36" i="47"/>
  <c r="X36" i="47"/>
  <c r="W36" i="47"/>
  <c r="V36" i="47"/>
  <c r="U36" i="47"/>
  <c r="T36" i="47"/>
  <c r="S36" i="47"/>
  <c r="R36" i="47"/>
  <c r="Q36" i="47"/>
  <c r="P36" i="47"/>
  <c r="O36" i="47"/>
  <c r="N36" i="47"/>
  <c r="M36" i="47"/>
  <c r="L36" i="47"/>
  <c r="K36" i="47"/>
  <c r="J36" i="47"/>
  <c r="I36" i="47"/>
  <c r="H36" i="47"/>
  <c r="G36" i="47"/>
  <c r="F36" i="47"/>
  <c r="E36" i="47"/>
  <c r="D36" i="47"/>
  <c r="C36" i="47"/>
  <c r="B36" i="47"/>
  <c r="A36" i="47"/>
  <c r="J3" i="60"/>
  <c r="E154" i="60" l="1"/>
  <c r="K214" i="60" s="1"/>
  <c r="J19" i="49"/>
  <c r="J20" i="49"/>
  <c r="N19" i="49"/>
  <c r="F20" i="49"/>
  <c r="D131" i="50"/>
  <c r="D132" i="50" s="1"/>
  <c r="G132" i="50" s="1"/>
  <c r="D25" i="63"/>
  <c r="D6" i="63"/>
  <c r="G131" i="50"/>
  <c r="D26" i="63"/>
  <c r="C70" i="49"/>
  <c r="K70" i="49"/>
  <c r="B70" i="49"/>
  <c r="E70" i="49"/>
  <c r="F70" i="49"/>
  <c r="G70" i="49"/>
  <c r="H70" i="49"/>
  <c r="I70" i="49"/>
  <c r="J70" i="49"/>
  <c r="D70" i="49"/>
  <c r="C67" i="49"/>
  <c r="C76" i="49" s="1"/>
  <c r="K67" i="49"/>
  <c r="K76" i="49" s="1"/>
  <c r="H67" i="49"/>
  <c r="H76" i="49" s="1"/>
  <c r="I67" i="49"/>
  <c r="I76" i="49" s="1"/>
  <c r="J67" i="49"/>
  <c r="J76" i="49" s="1"/>
  <c r="D67" i="49"/>
  <c r="D76" i="49" s="1"/>
  <c r="B67" i="49"/>
  <c r="B76" i="49" s="1"/>
  <c r="E67" i="49"/>
  <c r="E76" i="49" s="1"/>
  <c r="F67" i="49"/>
  <c r="F76" i="49" s="1"/>
  <c r="G67" i="49"/>
  <c r="G76" i="49" s="1"/>
  <c r="B86" i="49"/>
  <c r="K86" i="49"/>
  <c r="I86" i="49"/>
  <c r="J86" i="49"/>
  <c r="CT28" i="49"/>
  <c r="CM28" i="49"/>
  <c r="CE28" i="49"/>
  <c r="T28" i="49"/>
  <c r="AR28" i="49"/>
  <c r="BH28" i="49"/>
  <c r="CN28" i="49"/>
  <c r="BU28" i="49"/>
  <c r="CF28" i="49"/>
  <c r="U28" i="49"/>
  <c r="AC28" i="49"/>
  <c r="AK28" i="49"/>
  <c r="AS28" i="49"/>
  <c r="BA28" i="49"/>
  <c r="BI28" i="49"/>
  <c r="BQ28" i="49"/>
  <c r="CG28" i="49"/>
  <c r="CO28" i="49"/>
  <c r="BV28" i="49"/>
  <c r="V28" i="49"/>
  <c r="AD28" i="49"/>
  <c r="AL28" i="49"/>
  <c r="AT28" i="49"/>
  <c r="BB28" i="49"/>
  <c r="BJ28" i="49"/>
  <c r="BR28" i="49"/>
  <c r="CH28" i="49"/>
  <c r="CP28" i="49"/>
  <c r="BY28" i="49"/>
  <c r="BT28" i="49"/>
  <c r="O28" i="49"/>
  <c r="W28" i="49"/>
  <c r="AE28" i="49"/>
  <c r="AM28" i="49"/>
  <c r="AU28" i="49"/>
  <c r="BC28" i="49"/>
  <c r="BK28" i="49"/>
  <c r="BS28" i="49"/>
  <c r="BZ28" i="49"/>
  <c r="P28" i="49"/>
  <c r="X28" i="49"/>
  <c r="AN28" i="49"/>
  <c r="AV28" i="49"/>
  <c r="BL28" i="49"/>
  <c r="CI28" i="49"/>
  <c r="CQ28" i="49"/>
  <c r="BW28" i="49"/>
  <c r="AF28" i="49"/>
  <c r="BD28" i="49"/>
  <c r="CJ28" i="49"/>
  <c r="CR28" i="49"/>
  <c r="CC28" i="49"/>
  <c r="BX28" i="49"/>
  <c r="Q28" i="49"/>
  <c r="Y28" i="49"/>
  <c r="AG28" i="49"/>
  <c r="AO28" i="49"/>
  <c r="AW28" i="49"/>
  <c r="BE28" i="49"/>
  <c r="BM28" i="49"/>
  <c r="CK28" i="49"/>
  <c r="CS28" i="49"/>
  <c r="CD28" i="49"/>
  <c r="CA28" i="49"/>
  <c r="R28" i="49"/>
  <c r="Z28" i="49"/>
  <c r="AH28" i="49"/>
  <c r="AP28" i="49"/>
  <c r="AX28" i="49"/>
  <c r="BF28" i="49"/>
  <c r="BN28" i="49"/>
  <c r="CL28" i="49"/>
  <c r="CB28" i="49"/>
  <c r="S28" i="49"/>
  <c r="AA28" i="49"/>
  <c r="AI28" i="49"/>
  <c r="AQ28" i="49"/>
  <c r="AY28" i="49"/>
  <c r="BG28" i="49"/>
  <c r="BO28" i="49"/>
  <c r="AB28" i="49"/>
  <c r="AJ28" i="49"/>
  <c r="AZ28" i="49"/>
  <c r="BP28" i="49"/>
  <c r="CH30" i="49"/>
  <c r="CH31" i="49" s="1"/>
  <c r="CP30" i="49"/>
  <c r="CP31" i="49" s="1"/>
  <c r="BY30" i="49"/>
  <c r="BY31" i="49" s="1"/>
  <c r="S30" i="49"/>
  <c r="S31" i="49" s="1"/>
  <c r="AQ30" i="49"/>
  <c r="AQ31" i="49" s="1"/>
  <c r="BG30" i="49"/>
  <c r="BG31" i="49" s="1"/>
  <c r="CT30" i="49"/>
  <c r="CT31" i="49" s="1"/>
  <c r="CI30" i="49"/>
  <c r="CI31" i="49" s="1"/>
  <c r="CQ30" i="49"/>
  <c r="CQ31" i="49" s="1"/>
  <c r="CC30" i="49"/>
  <c r="CC31" i="49" s="1"/>
  <c r="T30" i="49"/>
  <c r="T31" i="49" s="1"/>
  <c r="AB30" i="49"/>
  <c r="AB31" i="49" s="1"/>
  <c r="AJ30" i="49"/>
  <c r="AJ31" i="49" s="1"/>
  <c r="AR30" i="49"/>
  <c r="AR31" i="49" s="1"/>
  <c r="AZ30" i="49"/>
  <c r="AZ31" i="49" s="1"/>
  <c r="BH30" i="49"/>
  <c r="BH31" i="49" s="1"/>
  <c r="BP30" i="49"/>
  <c r="BP31" i="49" s="1"/>
  <c r="BI30" i="49"/>
  <c r="BI31" i="49" s="1"/>
  <c r="CJ30" i="49"/>
  <c r="CJ31" i="49" s="1"/>
  <c r="CR30" i="49"/>
  <c r="CR31" i="49" s="1"/>
  <c r="CF30" i="49"/>
  <c r="BV30" i="49"/>
  <c r="BV31" i="49" s="1"/>
  <c r="U30" i="49"/>
  <c r="U31" i="49" s="1"/>
  <c r="AC30" i="49"/>
  <c r="AC31" i="49" s="1"/>
  <c r="AK30" i="49"/>
  <c r="AK31" i="49" s="1"/>
  <c r="AS30" i="49"/>
  <c r="AS31" i="49" s="1"/>
  <c r="BA30" i="49"/>
  <c r="BA31" i="49" s="1"/>
  <c r="BQ30" i="49"/>
  <c r="BQ31" i="49" s="1"/>
  <c r="CK30" i="49"/>
  <c r="CK31" i="49" s="1"/>
  <c r="CS30" i="49"/>
  <c r="CS31" i="49" s="1"/>
  <c r="BW30" i="49"/>
  <c r="BW31" i="49" s="1"/>
  <c r="V30" i="49"/>
  <c r="V51" i="49" s="1"/>
  <c r="AD30" i="49"/>
  <c r="AD31" i="49" s="1"/>
  <c r="AL30" i="49"/>
  <c r="AT30" i="49"/>
  <c r="AT31" i="49" s="1"/>
  <c r="BB30" i="49"/>
  <c r="BJ30" i="49"/>
  <c r="BJ31" i="49" s="1"/>
  <c r="BR30" i="49"/>
  <c r="BR31" i="49" s="1"/>
  <c r="W30" i="49"/>
  <c r="W31" i="49" s="1"/>
  <c r="AE30" i="49"/>
  <c r="AE31" i="49" s="1"/>
  <c r="AU30" i="49"/>
  <c r="AU31" i="49" s="1"/>
  <c r="BK30" i="49"/>
  <c r="BK31" i="49" s="1"/>
  <c r="CL30" i="49"/>
  <c r="CL31" i="49" s="1"/>
  <c r="CA30" i="49"/>
  <c r="O30" i="49"/>
  <c r="I71" i="49" s="1"/>
  <c r="I72" i="49" s="1"/>
  <c r="AM30" i="49"/>
  <c r="AM31" i="49" s="1"/>
  <c r="BC30" i="49"/>
  <c r="BC31" i="49" s="1"/>
  <c r="BS30" i="49"/>
  <c r="BS31" i="49" s="1"/>
  <c r="CM30" i="49"/>
  <c r="CM31" i="49" s="1"/>
  <c r="CD30" i="49"/>
  <c r="CD31" i="49" s="1"/>
  <c r="P30" i="49"/>
  <c r="P31" i="49" s="1"/>
  <c r="X30" i="49"/>
  <c r="X31" i="49" s="1"/>
  <c r="AF30" i="49"/>
  <c r="AF31" i="49" s="1"/>
  <c r="AN30" i="49"/>
  <c r="AN31" i="49" s="1"/>
  <c r="AV30" i="49"/>
  <c r="AV31" i="49" s="1"/>
  <c r="BD30" i="49"/>
  <c r="BD31" i="49" s="1"/>
  <c r="BL30" i="49"/>
  <c r="BL31" i="49" s="1"/>
  <c r="BE30" i="49"/>
  <c r="BE31" i="49" s="1"/>
  <c r="CN30" i="49"/>
  <c r="CN31" i="49" s="1"/>
  <c r="CE30" i="49"/>
  <c r="CE31" i="49" s="1"/>
  <c r="Q30" i="49"/>
  <c r="K71" i="49" s="1"/>
  <c r="K72" i="49" s="1"/>
  <c r="Y30" i="49"/>
  <c r="Y31" i="49" s="1"/>
  <c r="AG30" i="49"/>
  <c r="AG31" i="49" s="1"/>
  <c r="AO30" i="49"/>
  <c r="AO31" i="49" s="1"/>
  <c r="AW30" i="49"/>
  <c r="AW31" i="49" s="1"/>
  <c r="BM30" i="49"/>
  <c r="BM31" i="49" s="1"/>
  <c r="CG30" i="49"/>
  <c r="CG31" i="49" s="1"/>
  <c r="CO30" i="49"/>
  <c r="CO31" i="49" s="1"/>
  <c r="BZ30" i="49"/>
  <c r="BZ31" i="49" s="1"/>
  <c r="BU30" i="49"/>
  <c r="BU31" i="49" s="1"/>
  <c r="R30" i="49"/>
  <c r="R31" i="49" s="1"/>
  <c r="Z30" i="49"/>
  <c r="Z31" i="49" s="1"/>
  <c r="AH30" i="49"/>
  <c r="AH31" i="49" s="1"/>
  <c r="AP30" i="49"/>
  <c r="AP31" i="49" s="1"/>
  <c r="AX30" i="49"/>
  <c r="AX31" i="49" s="1"/>
  <c r="BF30" i="49"/>
  <c r="BF31" i="49" s="1"/>
  <c r="BN30" i="49"/>
  <c r="BN31" i="49" s="1"/>
  <c r="BX30" i="49"/>
  <c r="BX31" i="49" s="1"/>
  <c r="AA30" i="49"/>
  <c r="AA31" i="49" s="1"/>
  <c r="AI30" i="49"/>
  <c r="AI31" i="49" s="1"/>
  <c r="AY30" i="49"/>
  <c r="AY31" i="49" s="1"/>
  <c r="BO30" i="49"/>
  <c r="BO31" i="49" s="1"/>
  <c r="CB30" i="49"/>
  <c r="CB31" i="49" s="1"/>
  <c r="BT30" i="49"/>
  <c r="BT31" i="49" s="1"/>
  <c r="J28" i="49"/>
  <c r="K28" i="49"/>
  <c r="L28" i="49"/>
  <c r="M28" i="49"/>
  <c r="N28" i="49"/>
  <c r="I28" i="49"/>
  <c r="M30" i="49"/>
  <c r="M31" i="49" s="1"/>
  <c r="N30" i="49"/>
  <c r="N31" i="49" s="1"/>
  <c r="J30" i="49"/>
  <c r="J31" i="49" s="1"/>
  <c r="K30" i="49"/>
  <c r="K31" i="49" s="1"/>
  <c r="I30" i="49"/>
  <c r="I31" i="49" s="1"/>
  <c r="L30" i="49"/>
  <c r="L31" i="49" s="1"/>
  <c r="F30" i="49"/>
  <c r="F71" i="49" s="1"/>
  <c r="H30" i="49"/>
  <c r="H71" i="49" s="1"/>
  <c r="H72" i="49" s="1"/>
  <c r="D30" i="49"/>
  <c r="D71" i="49" s="1"/>
  <c r="D72" i="49" s="1"/>
  <c r="B30" i="49"/>
  <c r="B71" i="49" s="1"/>
  <c r="B72" i="49" s="1"/>
  <c r="G30" i="49"/>
  <c r="G71" i="49" s="1"/>
  <c r="G72" i="49" s="1"/>
  <c r="C30" i="49"/>
  <c r="C71" i="49" s="1"/>
  <c r="E30" i="49"/>
  <c r="E71" i="49" s="1"/>
  <c r="B28" i="49"/>
  <c r="H28" i="49"/>
  <c r="G98" i="49"/>
  <c r="G96" i="49" s="1"/>
  <c r="C98" i="49"/>
  <c r="C96" i="49" s="1"/>
  <c r="B98" i="49"/>
  <c r="B96" i="49" s="1"/>
  <c r="D98" i="49"/>
  <c r="D96" i="49" s="1"/>
  <c r="F98" i="49"/>
  <c r="F96" i="49" s="1"/>
  <c r="H98" i="49"/>
  <c r="H96" i="49" s="1"/>
  <c r="E98" i="49"/>
  <c r="E96" i="49" s="1"/>
  <c r="B91" i="49"/>
  <c r="B113" i="49"/>
  <c r="C28" i="49"/>
  <c r="E28" i="49"/>
  <c r="G28" i="49"/>
  <c r="D28" i="49"/>
  <c r="F28" i="49"/>
  <c r="D86" i="49"/>
  <c r="F86" i="49"/>
  <c r="H86" i="49"/>
  <c r="B114" i="49"/>
  <c r="C86" i="49"/>
  <c r="E86" i="49"/>
  <c r="G86" i="49"/>
  <c r="BY39" i="49" l="1"/>
  <c r="D39" i="49"/>
  <c r="AL51" i="49"/>
  <c r="I39" i="49"/>
  <c r="BF39" i="49"/>
  <c r="S39" i="49"/>
  <c r="CR39" i="49"/>
  <c r="BV39" i="49"/>
  <c r="CE39" i="49"/>
  <c r="CH39" i="49"/>
  <c r="CQ39" i="49"/>
  <c r="BT39" i="49"/>
  <c r="AL39" i="49"/>
  <c r="BX39" i="49"/>
  <c r="CI39" i="49"/>
  <c r="BK39" i="49"/>
  <c r="AS39" i="49"/>
  <c r="BP39" i="49"/>
  <c r="BM39" i="49"/>
  <c r="CC39" i="49"/>
  <c r="BL39" i="49"/>
  <c r="BC39" i="49"/>
  <c r="CP39" i="49"/>
  <c r="AK39" i="49"/>
  <c r="BE39" i="49"/>
  <c r="AV39" i="49"/>
  <c r="AU39" i="49"/>
  <c r="AJ39" i="49"/>
  <c r="CO39" i="49"/>
  <c r="CM39" i="49"/>
  <c r="J39" i="49"/>
  <c r="R39" i="49"/>
  <c r="BD39" i="49"/>
  <c r="CG39" i="49"/>
  <c r="CF39" i="49"/>
  <c r="BO39" i="49"/>
  <c r="CL39" i="49"/>
  <c r="BB39" i="49"/>
  <c r="BU39" i="49"/>
  <c r="BN39" i="49"/>
  <c r="CD39" i="49"/>
  <c r="BW39" i="49"/>
  <c r="BZ39" i="49"/>
  <c r="AT39" i="49"/>
  <c r="CN39" i="49"/>
  <c r="H68" i="49"/>
  <c r="H69" i="49" s="1"/>
  <c r="H39" i="49"/>
  <c r="E68" i="49"/>
  <c r="E69" i="49" s="1"/>
  <c r="E39" i="49"/>
  <c r="B68" i="49"/>
  <c r="B69" i="49" s="1"/>
  <c r="B39" i="49"/>
  <c r="F68" i="49"/>
  <c r="F69" i="49" s="1"/>
  <c r="F39" i="49"/>
  <c r="G68" i="49"/>
  <c r="G69" i="49" s="1"/>
  <c r="G39" i="49"/>
  <c r="C68" i="49"/>
  <c r="C69" i="49" s="1"/>
  <c r="C39" i="49"/>
  <c r="K215" i="60"/>
  <c r="E231" i="60" s="1"/>
  <c r="E229" i="60"/>
  <c r="E242" i="60" s="1"/>
  <c r="CA51" i="49"/>
  <c r="BB51" i="49"/>
  <c r="F72" i="49"/>
  <c r="F4" i="49"/>
  <c r="E72" i="49"/>
  <c r="J75" i="49"/>
  <c r="J77" i="49" s="1"/>
  <c r="I75" i="49"/>
  <c r="I77" i="49" s="1"/>
  <c r="G75" i="49"/>
  <c r="G77" i="49" s="1"/>
  <c r="K75" i="49"/>
  <c r="K77" i="49" s="1"/>
  <c r="H75" i="49"/>
  <c r="H77" i="49" s="1"/>
  <c r="F75" i="49"/>
  <c r="F77" i="49" s="1"/>
  <c r="C75" i="49"/>
  <c r="C77" i="49" s="1"/>
  <c r="D75" i="49"/>
  <c r="D77" i="49" s="1"/>
  <c r="E75" i="49"/>
  <c r="E77" i="49" s="1"/>
  <c r="B75" i="49"/>
  <c r="BZ47" i="49"/>
  <c r="BZ58" i="49"/>
  <c r="CN47" i="49"/>
  <c r="CN58" i="49"/>
  <c r="I47" i="49"/>
  <c r="I58" i="49"/>
  <c r="AY58" i="49"/>
  <c r="AY47" i="49"/>
  <c r="CS47" i="49"/>
  <c r="CS58" i="49"/>
  <c r="Q47" i="49"/>
  <c r="Q58" i="49"/>
  <c r="AL47" i="49"/>
  <c r="AL58" i="49"/>
  <c r="BA58" i="49"/>
  <c r="BA47" i="49"/>
  <c r="BH47" i="49"/>
  <c r="BH58" i="49"/>
  <c r="N47" i="49"/>
  <c r="N58" i="49"/>
  <c r="AQ47" i="49"/>
  <c r="AQ58" i="49"/>
  <c r="AX47" i="49"/>
  <c r="AX58" i="49"/>
  <c r="CK47" i="49"/>
  <c r="CK58" i="49"/>
  <c r="BX58" i="49"/>
  <c r="BX47" i="49"/>
  <c r="CI58" i="49"/>
  <c r="CI47" i="49"/>
  <c r="BK58" i="49"/>
  <c r="BK47" i="49"/>
  <c r="BY47" i="49"/>
  <c r="BY58" i="49"/>
  <c r="AD58" i="49"/>
  <c r="AD47" i="49"/>
  <c r="AS47" i="49"/>
  <c r="AS58" i="49"/>
  <c r="AR47" i="49"/>
  <c r="AR58" i="49"/>
  <c r="Y47" i="49"/>
  <c r="Y58" i="49"/>
  <c r="AT58" i="49"/>
  <c r="AT47" i="49"/>
  <c r="CQ58" i="49"/>
  <c r="CQ47" i="49"/>
  <c r="M58" i="49"/>
  <c r="M47" i="49"/>
  <c r="BP47" i="49"/>
  <c r="BP58" i="49"/>
  <c r="AI58" i="49"/>
  <c r="AI47" i="49"/>
  <c r="AP47" i="49"/>
  <c r="AP58" i="49"/>
  <c r="BM47" i="49"/>
  <c r="BM58" i="49"/>
  <c r="CC47" i="49"/>
  <c r="CC58" i="49"/>
  <c r="BL58" i="49"/>
  <c r="BL47" i="49"/>
  <c r="BC58" i="49"/>
  <c r="BC47" i="49"/>
  <c r="CP47" i="49"/>
  <c r="CP58" i="49"/>
  <c r="V47" i="49"/>
  <c r="V58" i="49"/>
  <c r="AK47" i="49"/>
  <c r="AK58" i="49"/>
  <c r="T47" i="49"/>
  <c r="T58" i="49"/>
  <c r="L58" i="49"/>
  <c r="L47" i="49"/>
  <c r="AZ58" i="49"/>
  <c r="AZ47" i="49"/>
  <c r="AA47" i="49"/>
  <c r="AA58" i="49"/>
  <c r="AH47" i="49"/>
  <c r="AH58" i="49"/>
  <c r="BE47" i="49"/>
  <c r="BE58" i="49"/>
  <c r="CR58" i="49"/>
  <c r="CR47" i="49"/>
  <c r="AV58" i="49"/>
  <c r="AV47" i="49"/>
  <c r="AU58" i="49"/>
  <c r="AU47" i="49"/>
  <c r="CH47" i="49"/>
  <c r="CH58" i="49"/>
  <c r="BV47" i="49"/>
  <c r="BV58" i="49"/>
  <c r="AC58" i="49"/>
  <c r="AC47" i="49"/>
  <c r="CE47" i="49"/>
  <c r="CE58" i="49"/>
  <c r="CD47" i="49"/>
  <c r="CD58" i="49"/>
  <c r="BI47" i="49"/>
  <c r="BI58" i="49"/>
  <c r="BF47" i="49"/>
  <c r="BF58" i="49"/>
  <c r="K47" i="49"/>
  <c r="K58" i="49"/>
  <c r="AJ58" i="49"/>
  <c r="AJ47" i="49"/>
  <c r="S47" i="49"/>
  <c r="S58" i="49"/>
  <c r="Z47" i="49"/>
  <c r="Z58" i="49"/>
  <c r="AW47" i="49"/>
  <c r="AW58" i="49"/>
  <c r="CJ58" i="49"/>
  <c r="CJ47" i="49"/>
  <c r="AN58" i="49"/>
  <c r="AN47" i="49"/>
  <c r="AM58" i="49"/>
  <c r="AM47" i="49"/>
  <c r="BR58" i="49"/>
  <c r="BR47" i="49"/>
  <c r="CO58" i="49"/>
  <c r="CO47" i="49"/>
  <c r="U47" i="49"/>
  <c r="U58" i="49"/>
  <c r="CM47" i="49"/>
  <c r="CM58" i="49"/>
  <c r="BG58" i="49"/>
  <c r="BG47" i="49"/>
  <c r="BW58" i="49"/>
  <c r="BW47" i="49"/>
  <c r="O58" i="49"/>
  <c r="O47" i="49"/>
  <c r="BS58" i="49"/>
  <c r="BS47" i="49"/>
  <c r="AB58" i="49"/>
  <c r="AB47" i="49"/>
  <c r="CB58" i="49"/>
  <c r="CB47" i="49"/>
  <c r="R47" i="49"/>
  <c r="R58" i="49"/>
  <c r="AO47" i="49"/>
  <c r="AO58" i="49"/>
  <c r="BD58" i="49"/>
  <c r="BD47" i="49"/>
  <c r="X58" i="49"/>
  <c r="X47" i="49"/>
  <c r="AE58" i="49"/>
  <c r="AE47" i="49"/>
  <c r="BJ47" i="49"/>
  <c r="BJ58" i="49"/>
  <c r="CG47" i="49"/>
  <c r="CG58" i="49"/>
  <c r="CF58" i="49"/>
  <c r="CF47" i="49"/>
  <c r="CT47" i="49"/>
  <c r="CT58" i="49"/>
  <c r="BN47" i="49"/>
  <c r="BN58" i="49"/>
  <c r="BT58" i="49"/>
  <c r="BT47" i="49"/>
  <c r="J47" i="49"/>
  <c r="J58" i="49"/>
  <c r="BO47" i="49"/>
  <c r="BO58" i="49"/>
  <c r="CL47" i="49"/>
  <c r="CL58" i="49"/>
  <c r="CA58" i="49"/>
  <c r="CA47" i="49"/>
  <c r="AG47" i="49"/>
  <c r="AG58" i="49"/>
  <c r="AF58" i="49"/>
  <c r="AF47" i="49"/>
  <c r="P58" i="49"/>
  <c r="P47" i="49"/>
  <c r="W58" i="49"/>
  <c r="W47" i="49"/>
  <c r="BB47" i="49"/>
  <c r="BB58" i="49"/>
  <c r="BQ47" i="49"/>
  <c r="BQ58" i="49"/>
  <c r="BU47" i="49"/>
  <c r="BU58" i="49"/>
  <c r="CF31" i="49"/>
  <c r="O31" i="49"/>
  <c r="BB31" i="49"/>
  <c r="BN29" i="49"/>
  <c r="BN32" i="49"/>
  <c r="BN33" i="49" s="1"/>
  <c r="BW29" i="49"/>
  <c r="BW32" i="49"/>
  <c r="BW33" i="49" s="1"/>
  <c r="AT29" i="49"/>
  <c r="AT32" i="49"/>
  <c r="AT33" i="49" s="1"/>
  <c r="AY29" i="49"/>
  <c r="AY32" i="49"/>
  <c r="AY33" i="49" s="1"/>
  <c r="CQ29" i="49"/>
  <c r="CQ32" i="49"/>
  <c r="CQ33" i="49" s="1"/>
  <c r="AL29" i="49"/>
  <c r="AL32" i="49"/>
  <c r="AL33" i="49" s="1"/>
  <c r="BX29" i="49"/>
  <c r="BX32" i="49"/>
  <c r="BX33" i="49" s="1"/>
  <c r="BY29" i="49"/>
  <c r="BY32" i="49"/>
  <c r="BY33" i="49" s="1"/>
  <c r="AR29" i="49"/>
  <c r="AR32" i="49"/>
  <c r="AR33" i="49" s="1"/>
  <c r="AP29" i="49"/>
  <c r="AP32" i="49"/>
  <c r="AP33" i="49" s="1"/>
  <c r="CC32" i="49"/>
  <c r="CC33" i="49" s="1"/>
  <c r="BL29" i="49"/>
  <c r="BL32" i="49"/>
  <c r="BL33" i="49" s="1"/>
  <c r="BC29" i="49"/>
  <c r="BC32" i="49"/>
  <c r="BC33" i="49" s="1"/>
  <c r="CP29" i="49"/>
  <c r="CP32" i="49"/>
  <c r="CP33" i="49" s="1"/>
  <c r="AK29" i="49"/>
  <c r="AK32" i="49"/>
  <c r="AK33" i="49" s="1"/>
  <c r="T29" i="49"/>
  <c r="T32" i="49"/>
  <c r="T33" i="49" s="1"/>
  <c r="L29" i="49"/>
  <c r="L32" i="49"/>
  <c r="L33" i="49" s="1"/>
  <c r="AZ29" i="49"/>
  <c r="AZ32" i="49"/>
  <c r="AZ33" i="49" s="1"/>
  <c r="AA29" i="49"/>
  <c r="AA32" i="49"/>
  <c r="AA33" i="49" s="1"/>
  <c r="AH32" i="49"/>
  <c r="AH33" i="49" s="1"/>
  <c r="BE29" i="49"/>
  <c r="BE32" i="49"/>
  <c r="BE33" i="49" s="1"/>
  <c r="CR32" i="49"/>
  <c r="CR33" i="49" s="1"/>
  <c r="AV29" i="49"/>
  <c r="AV32" i="49"/>
  <c r="AV33" i="49" s="1"/>
  <c r="AU29" i="49"/>
  <c r="AU32" i="49"/>
  <c r="AU33" i="49" s="1"/>
  <c r="CH29" i="49"/>
  <c r="CH32" i="49"/>
  <c r="CH33" i="49" s="1"/>
  <c r="BV29" i="49"/>
  <c r="BV32" i="49"/>
  <c r="BV33" i="49" s="1"/>
  <c r="AC29" i="49"/>
  <c r="AC32" i="49"/>
  <c r="AC33" i="49" s="1"/>
  <c r="CE29" i="49"/>
  <c r="CE32" i="49"/>
  <c r="CE33" i="49" s="1"/>
  <c r="CA31" i="49"/>
  <c r="BZ29" i="49"/>
  <c r="BZ32" i="49"/>
  <c r="BZ33" i="49" s="1"/>
  <c r="CN29" i="49"/>
  <c r="CN32" i="49"/>
  <c r="CN33" i="49" s="1"/>
  <c r="Q29" i="49"/>
  <c r="Q32" i="49"/>
  <c r="Q33" i="49" s="1"/>
  <c r="BT32" i="49"/>
  <c r="BT33" i="49" s="1"/>
  <c r="N29" i="49"/>
  <c r="N32" i="49"/>
  <c r="N33" i="49" s="1"/>
  <c r="AX29" i="49"/>
  <c r="AX32" i="49"/>
  <c r="AX33" i="49" s="1"/>
  <c r="AD32" i="49"/>
  <c r="AD33" i="49" s="1"/>
  <c r="BP29" i="49"/>
  <c r="BP32" i="49"/>
  <c r="BP33" i="49" s="1"/>
  <c r="K29" i="49"/>
  <c r="K32" i="49"/>
  <c r="K33" i="49" s="1"/>
  <c r="K88" i="49" s="1"/>
  <c r="AJ29" i="49"/>
  <c r="AJ32" i="49"/>
  <c r="AJ33" i="49" s="1"/>
  <c r="S32" i="49"/>
  <c r="S33" i="49" s="1"/>
  <c r="Z29" i="49"/>
  <c r="Z32" i="49"/>
  <c r="Z33" i="49" s="1"/>
  <c r="AW29" i="49"/>
  <c r="AW32" i="49"/>
  <c r="AW33" i="49" s="1"/>
  <c r="CJ29" i="49"/>
  <c r="CJ32" i="49"/>
  <c r="CJ33" i="49" s="1"/>
  <c r="AN29" i="49"/>
  <c r="AN32" i="49"/>
  <c r="AN33" i="49" s="1"/>
  <c r="AM29" i="49"/>
  <c r="AM32" i="49"/>
  <c r="AM33" i="49" s="1"/>
  <c r="BR29" i="49"/>
  <c r="BR32" i="49"/>
  <c r="BR33" i="49" s="1"/>
  <c r="CO29" i="49"/>
  <c r="CO32" i="49"/>
  <c r="CO33" i="49" s="1"/>
  <c r="U29" i="49"/>
  <c r="U32" i="49"/>
  <c r="U33" i="49" s="1"/>
  <c r="CM29" i="49"/>
  <c r="CM32" i="49"/>
  <c r="CM33" i="49" s="1"/>
  <c r="V31" i="49"/>
  <c r="AL31" i="49"/>
  <c r="CD29" i="49"/>
  <c r="CD32" i="49"/>
  <c r="CD33" i="49" s="1"/>
  <c r="BI29" i="49"/>
  <c r="BI32" i="49"/>
  <c r="BI33" i="49" s="1"/>
  <c r="CS29" i="49"/>
  <c r="CS32" i="49"/>
  <c r="CS33" i="49" s="1"/>
  <c r="BH29" i="49"/>
  <c r="BH32" i="49"/>
  <c r="BH33" i="49" s="1"/>
  <c r="CK32" i="49"/>
  <c r="CK33" i="49" s="1"/>
  <c r="BK29" i="49"/>
  <c r="BK32" i="49"/>
  <c r="BK33" i="49" s="1"/>
  <c r="AS29" i="49"/>
  <c r="AS32" i="49"/>
  <c r="AS33" i="49" s="1"/>
  <c r="M29" i="49"/>
  <c r="M32" i="49"/>
  <c r="M33" i="49" s="1"/>
  <c r="AI29" i="49"/>
  <c r="AI32" i="49"/>
  <c r="AI33" i="49" s="1"/>
  <c r="BM29" i="49"/>
  <c r="BM32" i="49"/>
  <c r="BM33" i="49" s="1"/>
  <c r="V29" i="49"/>
  <c r="V32" i="49"/>
  <c r="V33" i="49" s="1"/>
  <c r="J29" i="49"/>
  <c r="J32" i="49"/>
  <c r="J33" i="49" s="1"/>
  <c r="J88" i="49" s="1"/>
  <c r="AB32" i="49"/>
  <c r="AB33" i="49" s="1"/>
  <c r="CB29" i="49"/>
  <c r="CB32" i="49"/>
  <c r="CB33" i="49" s="1"/>
  <c r="R29" i="49"/>
  <c r="R32" i="49"/>
  <c r="R33" i="49" s="1"/>
  <c r="AO29" i="49"/>
  <c r="AO32" i="49"/>
  <c r="AO33" i="49" s="1"/>
  <c r="BD29" i="49"/>
  <c r="BD32" i="49"/>
  <c r="BD33" i="49" s="1"/>
  <c r="X29" i="49"/>
  <c r="X32" i="49"/>
  <c r="X33" i="49" s="1"/>
  <c r="AE29" i="49"/>
  <c r="AE32" i="49"/>
  <c r="AE33" i="49" s="1"/>
  <c r="BJ29" i="49"/>
  <c r="BJ32" i="49"/>
  <c r="BJ33" i="49" s="1"/>
  <c r="CG29" i="49"/>
  <c r="CG32" i="49"/>
  <c r="CG33" i="49" s="1"/>
  <c r="CF29" i="49"/>
  <c r="CF32" i="49"/>
  <c r="CF33" i="49" s="1"/>
  <c r="CT29" i="49"/>
  <c r="CT32" i="49"/>
  <c r="CT33" i="49" s="1"/>
  <c r="Q31" i="49"/>
  <c r="BG29" i="49"/>
  <c r="BG32" i="49"/>
  <c r="BG33" i="49" s="1"/>
  <c r="Y29" i="49"/>
  <c r="Y32" i="49"/>
  <c r="Y33" i="49" s="1"/>
  <c r="O29" i="49"/>
  <c r="O32" i="49"/>
  <c r="O33" i="49" s="1"/>
  <c r="I29" i="49"/>
  <c r="I32" i="49"/>
  <c r="I33" i="49" s="1"/>
  <c r="I88" i="49" s="1"/>
  <c r="BF29" i="49"/>
  <c r="BF32" i="49"/>
  <c r="BF33" i="49" s="1"/>
  <c r="BS29" i="49"/>
  <c r="BS32" i="49"/>
  <c r="BS33" i="49" s="1"/>
  <c r="BA29" i="49"/>
  <c r="BA32" i="49"/>
  <c r="BA33" i="49" s="1"/>
  <c r="AQ29" i="49"/>
  <c r="AQ32" i="49"/>
  <c r="AQ33" i="49" s="1"/>
  <c r="CI32" i="49"/>
  <c r="CI33" i="49" s="1"/>
  <c r="BO29" i="49"/>
  <c r="BO32" i="49"/>
  <c r="BO33" i="49" s="1"/>
  <c r="CL32" i="49"/>
  <c r="CL33" i="49" s="1"/>
  <c r="CA29" i="49"/>
  <c r="CA32" i="49"/>
  <c r="CA33" i="49" s="1"/>
  <c r="AG29" i="49"/>
  <c r="AG32" i="49"/>
  <c r="AG33" i="49" s="1"/>
  <c r="AF29" i="49"/>
  <c r="AF32" i="49"/>
  <c r="AF33" i="49" s="1"/>
  <c r="P29" i="49"/>
  <c r="P32" i="49"/>
  <c r="P33" i="49" s="1"/>
  <c r="W29" i="49"/>
  <c r="W32" i="49"/>
  <c r="W33" i="49" s="1"/>
  <c r="BB29" i="49"/>
  <c r="BB32" i="49"/>
  <c r="BB33" i="49" s="1"/>
  <c r="BQ29" i="49"/>
  <c r="BQ32" i="49"/>
  <c r="BQ33" i="49" s="1"/>
  <c r="BU29" i="49"/>
  <c r="BU32" i="49"/>
  <c r="BU33" i="49" s="1"/>
  <c r="C72" i="49"/>
  <c r="BT29" i="49"/>
  <c r="I68" i="49"/>
  <c r="I69" i="49" s="1"/>
  <c r="F7" i="49"/>
  <c r="D68" i="49"/>
  <c r="CL29" i="49"/>
  <c r="K68" i="49"/>
  <c r="K69" i="49" s="1"/>
  <c r="F8" i="49"/>
  <c r="J71" i="49"/>
  <c r="J72" i="49" s="1"/>
  <c r="CC29" i="49"/>
  <c r="J68" i="49"/>
  <c r="J69" i="49" s="1"/>
  <c r="U51" i="49"/>
  <c r="CN51" i="49"/>
  <c r="CI51" i="49"/>
  <c r="CK51" i="49"/>
  <c r="BM51" i="49"/>
  <c r="BK51" i="49"/>
  <c r="AS51" i="49"/>
  <c r="AG51" i="49"/>
  <c r="W51" i="49"/>
  <c r="P51" i="49"/>
  <c r="BQ51" i="49"/>
  <c r="BU51" i="49"/>
  <c r="AV51" i="49"/>
  <c r="AF51" i="49"/>
  <c r="AB51" i="49"/>
  <c r="CQ51" i="49"/>
  <c r="CR51" i="49"/>
  <c r="AD51" i="49"/>
  <c r="S51" i="49"/>
  <c r="CR29" i="49"/>
  <c r="AD29" i="49"/>
  <c r="K37" i="49"/>
  <c r="AX51" i="49"/>
  <c r="BA51" i="49"/>
  <c r="T51" i="49"/>
  <c r="AY51" i="49"/>
  <c r="AH51" i="49"/>
  <c r="BE51" i="49"/>
  <c r="CH51" i="49"/>
  <c r="BH51" i="49"/>
  <c r="Y51" i="49"/>
  <c r="CS51" i="49"/>
  <c r="AR51" i="49"/>
  <c r="BG51" i="49"/>
  <c r="AW51" i="49"/>
  <c r="CJ51" i="49"/>
  <c r="CM51" i="49"/>
  <c r="BS51" i="49"/>
  <c r="BN51" i="49"/>
  <c r="BZ51" i="49"/>
  <c r="O51" i="49"/>
  <c r="AQ51" i="49"/>
  <c r="CI29" i="49"/>
  <c r="S29" i="49"/>
  <c r="CK29" i="49"/>
  <c r="AH29" i="49"/>
  <c r="Q51" i="49"/>
  <c r="BF51" i="49"/>
  <c r="AB29" i="49"/>
  <c r="CB51" i="49"/>
  <c r="BD51" i="49"/>
  <c r="X51" i="49"/>
  <c r="AE51" i="49"/>
  <c r="CG51" i="49"/>
  <c r="CD51" i="49"/>
  <c r="BT51" i="49"/>
  <c r="CL51" i="49"/>
  <c r="BW51" i="49"/>
  <c r="AT51" i="49"/>
  <c r="BI51" i="49"/>
  <c r="AJ51" i="49"/>
  <c r="J37" i="49"/>
  <c r="BO51" i="49"/>
  <c r="BV51" i="49"/>
  <c r="AC51" i="49"/>
  <c r="R51" i="49"/>
  <c r="BJ51" i="49"/>
  <c r="CT51" i="49"/>
  <c r="H51" i="49"/>
  <c r="AZ51" i="49"/>
  <c r="AA51" i="49"/>
  <c r="BP51" i="49"/>
  <c r="AP51" i="49"/>
  <c r="CC51" i="49"/>
  <c r="CP51" i="49"/>
  <c r="Z51" i="49"/>
  <c r="AN51" i="49"/>
  <c r="AM51" i="49"/>
  <c r="BR51" i="49"/>
  <c r="CO51" i="49"/>
  <c r="I51" i="49"/>
  <c r="CF51" i="49"/>
  <c r="K51" i="49"/>
  <c r="AU51" i="49"/>
  <c r="CH37" i="49"/>
  <c r="BX51" i="49"/>
  <c r="BY51" i="49"/>
  <c r="M51" i="49"/>
  <c r="AO51" i="49"/>
  <c r="AI51" i="49"/>
  <c r="BL51" i="49"/>
  <c r="BC51" i="49"/>
  <c r="AK51" i="49"/>
  <c r="C51" i="49"/>
  <c r="BO41" i="49"/>
  <c r="BO37" i="49"/>
  <c r="CL41" i="49"/>
  <c r="CL37" i="49"/>
  <c r="CA39" i="49"/>
  <c r="CA40" i="49" s="1"/>
  <c r="CA41" i="49"/>
  <c r="CA42" i="49" s="1"/>
  <c r="CA37" i="49"/>
  <c r="CA38" i="49" s="1"/>
  <c r="AG37" i="49"/>
  <c r="AG41" i="49"/>
  <c r="AG39" i="49"/>
  <c r="AF37" i="49"/>
  <c r="AF41" i="49"/>
  <c r="AF39" i="49"/>
  <c r="P37" i="49"/>
  <c r="P39" i="49"/>
  <c r="P41" i="49"/>
  <c r="W37" i="49"/>
  <c r="W41" i="49"/>
  <c r="W39" i="49"/>
  <c r="BB37" i="49"/>
  <c r="BB41" i="49"/>
  <c r="BQ37" i="49"/>
  <c r="BQ41" i="49"/>
  <c r="BQ39" i="49"/>
  <c r="BU41" i="49"/>
  <c r="BU37" i="49"/>
  <c r="CB39" i="49"/>
  <c r="CB40" i="49" s="1"/>
  <c r="CJ37" i="49"/>
  <c r="CJ38" i="49" s="1"/>
  <c r="BG37" i="49"/>
  <c r="BG41" i="49"/>
  <c r="BG39" i="49"/>
  <c r="BN41" i="49"/>
  <c r="BN37" i="49"/>
  <c r="CD41" i="49"/>
  <c r="CD37" i="49"/>
  <c r="Y39" i="49"/>
  <c r="Y37" i="49"/>
  <c r="Y41" i="49"/>
  <c r="BW37" i="49"/>
  <c r="BW41" i="49"/>
  <c r="BZ37" i="49"/>
  <c r="BZ41" i="49"/>
  <c r="O41" i="49"/>
  <c r="O39" i="49"/>
  <c r="O37" i="49"/>
  <c r="AT41" i="49"/>
  <c r="AT37" i="49"/>
  <c r="BI37" i="49"/>
  <c r="BI39" i="49"/>
  <c r="BI41" i="49"/>
  <c r="CN37" i="49"/>
  <c r="CN41" i="49"/>
  <c r="CP37" i="49"/>
  <c r="AY39" i="49"/>
  <c r="AY37" i="49"/>
  <c r="AY41" i="49"/>
  <c r="BF37" i="49"/>
  <c r="BF41" i="49"/>
  <c r="CS41" i="49"/>
  <c r="CS42" i="49" s="1"/>
  <c r="CS37" i="49"/>
  <c r="CS38" i="49" s="1"/>
  <c r="CS39" i="49"/>
  <c r="CS40" i="49" s="1"/>
  <c r="Q41" i="49"/>
  <c r="Q37" i="49"/>
  <c r="Q39" i="49"/>
  <c r="CQ37" i="49"/>
  <c r="CQ41" i="49"/>
  <c r="BS37" i="49"/>
  <c r="BS39" i="49"/>
  <c r="BS41" i="49"/>
  <c r="BT37" i="49"/>
  <c r="BT41" i="49"/>
  <c r="AL37" i="49"/>
  <c r="AL41" i="49"/>
  <c r="BA39" i="49"/>
  <c r="BA37" i="49"/>
  <c r="BA41" i="49"/>
  <c r="BH39" i="49"/>
  <c r="BH41" i="49"/>
  <c r="BH37" i="49"/>
  <c r="AQ39" i="49"/>
  <c r="AQ37" i="49"/>
  <c r="AQ41" i="49"/>
  <c r="AX37" i="49"/>
  <c r="AX41" i="49"/>
  <c r="AX39" i="49"/>
  <c r="CK39" i="49"/>
  <c r="CK40" i="49" s="1"/>
  <c r="CK41" i="49"/>
  <c r="CK42" i="49" s="1"/>
  <c r="CK37" i="49"/>
  <c r="CK38" i="49" s="1"/>
  <c r="BX41" i="49"/>
  <c r="BX37" i="49"/>
  <c r="CI41" i="49"/>
  <c r="CI37" i="49"/>
  <c r="BK41" i="49"/>
  <c r="BK37" i="49"/>
  <c r="BY41" i="49"/>
  <c r="BY37" i="49"/>
  <c r="AD41" i="49"/>
  <c r="AD39" i="49"/>
  <c r="AD37" i="49"/>
  <c r="AS41" i="49"/>
  <c r="AS37" i="49"/>
  <c r="AR41" i="49"/>
  <c r="AR39" i="49"/>
  <c r="AR37" i="49"/>
  <c r="BP37" i="49"/>
  <c r="BP41" i="49"/>
  <c r="AI41" i="49"/>
  <c r="AI39" i="49"/>
  <c r="AI37" i="49"/>
  <c r="AP39" i="49"/>
  <c r="AP37" i="49"/>
  <c r="AP41" i="49"/>
  <c r="BM41" i="49"/>
  <c r="BM37" i="49"/>
  <c r="CC37" i="49"/>
  <c r="CC41" i="49"/>
  <c r="BL41" i="49"/>
  <c r="BL37" i="49"/>
  <c r="BC37" i="49"/>
  <c r="BC41" i="49"/>
  <c r="CP41" i="49"/>
  <c r="V41" i="49"/>
  <c r="V39" i="49"/>
  <c r="V37" i="49"/>
  <c r="AK37" i="49"/>
  <c r="AK41" i="49"/>
  <c r="T41" i="49"/>
  <c r="T39" i="49"/>
  <c r="T37" i="49"/>
  <c r="CT37" i="49"/>
  <c r="CT38" i="49" s="1"/>
  <c r="AZ39" i="49"/>
  <c r="AZ37" i="49"/>
  <c r="AZ41" i="49"/>
  <c r="AA41" i="49"/>
  <c r="AA39" i="49"/>
  <c r="AA37" i="49"/>
  <c r="AH39" i="49"/>
  <c r="AH37" i="49"/>
  <c r="AH41" i="49"/>
  <c r="BE37" i="49"/>
  <c r="BE41" i="49"/>
  <c r="CR41" i="49"/>
  <c r="CR37" i="49"/>
  <c r="AV41" i="49"/>
  <c r="AV37" i="49"/>
  <c r="AU41" i="49"/>
  <c r="AU37" i="49"/>
  <c r="CH41" i="49"/>
  <c r="BV37" i="49"/>
  <c r="BV41" i="49"/>
  <c r="AC41" i="49"/>
  <c r="AC39" i="49"/>
  <c r="AC37" i="49"/>
  <c r="CE51" i="49"/>
  <c r="CE37" i="49"/>
  <c r="CE41" i="49"/>
  <c r="AJ41" i="49"/>
  <c r="AJ37" i="49"/>
  <c r="S41" i="49"/>
  <c r="S37" i="49"/>
  <c r="Z39" i="49"/>
  <c r="Z37" i="49"/>
  <c r="Z41" i="49"/>
  <c r="AW41" i="49"/>
  <c r="AW39" i="49"/>
  <c r="AW37" i="49"/>
  <c r="CJ41" i="49"/>
  <c r="CJ42" i="49" s="1"/>
  <c r="CJ39" i="49"/>
  <c r="CJ40" i="49" s="1"/>
  <c r="AN39" i="49"/>
  <c r="AN37" i="49"/>
  <c r="AN41" i="49"/>
  <c r="AM39" i="49"/>
  <c r="AM37" i="49"/>
  <c r="AM41" i="49"/>
  <c r="BR39" i="49"/>
  <c r="BR41" i="49"/>
  <c r="BR37" i="49"/>
  <c r="CO37" i="49"/>
  <c r="CO41" i="49"/>
  <c r="U41" i="49"/>
  <c r="U39" i="49"/>
  <c r="U37" i="49"/>
  <c r="CM37" i="49"/>
  <c r="CM41" i="49"/>
  <c r="AB39" i="49"/>
  <c r="AB37" i="49"/>
  <c r="AB41" i="49"/>
  <c r="CB37" i="49"/>
  <c r="CB38" i="49" s="1"/>
  <c r="CB41" i="49"/>
  <c r="CB42" i="49" s="1"/>
  <c r="R37" i="49"/>
  <c r="R41" i="49"/>
  <c r="AO39" i="49"/>
  <c r="AO37" i="49"/>
  <c r="AO41" i="49"/>
  <c r="BD37" i="49"/>
  <c r="BD41" i="49"/>
  <c r="X39" i="49"/>
  <c r="X37" i="49"/>
  <c r="X41" i="49"/>
  <c r="AE37" i="49"/>
  <c r="AE41" i="49"/>
  <c r="AE39" i="49"/>
  <c r="BJ37" i="49"/>
  <c r="BJ39" i="49"/>
  <c r="BJ41" i="49"/>
  <c r="CG41" i="49"/>
  <c r="CG37" i="49"/>
  <c r="CF41" i="49"/>
  <c r="CF37" i="49"/>
  <c r="CT39" i="49"/>
  <c r="CT40" i="49" s="1"/>
  <c r="CT41" i="49"/>
  <c r="CT42" i="49" s="1"/>
  <c r="F41" i="49"/>
  <c r="J51" i="49"/>
  <c r="L51" i="49"/>
  <c r="I41" i="49"/>
  <c r="I37" i="49"/>
  <c r="N41" i="49"/>
  <c r="N37" i="49"/>
  <c r="N39" i="49"/>
  <c r="M37" i="49"/>
  <c r="M41" i="49"/>
  <c r="M39" i="49"/>
  <c r="L39" i="49"/>
  <c r="L37" i="49"/>
  <c r="L41" i="49"/>
  <c r="K39" i="49"/>
  <c r="K41" i="49"/>
  <c r="N51" i="49"/>
  <c r="J41" i="49"/>
  <c r="G51" i="49"/>
  <c r="D51" i="49"/>
  <c r="D31" i="49"/>
  <c r="F31" i="49"/>
  <c r="E41" i="49"/>
  <c r="E31" i="49"/>
  <c r="B51" i="49"/>
  <c r="F51" i="49"/>
  <c r="E51" i="49"/>
  <c r="D41" i="49"/>
  <c r="G41" i="49"/>
  <c r="C31" i="49"/>
  <c r="H41" i="49"/>
  <c r="C29" i="49"/>
  <c r="C41" i="49"/>
  <c r="G31" i="49"/>
  <c r="B31" i="49"/>
  <c r="H31" i="49"/>
  <c r="G29" i="49"/>
  <c r="F47" i="49"/>
  <c r="F48" i="49" s="1"/>
  <c r="F58" i="49"/>
  <c r="F32" i="49"/>
  <c r="F37" i="49"/>
  <c r="B47" i="49"/>
  <c r="B48" i="49" s="1"/>
  <c r="B58" i="49"/>
  <c r="B32" i="49"/>
  <c r="B41" i="49"/>
  <c r="B37" i="49"/>
  <c r="F29" i="49"/>
  <c r="B29" i="49"/>
  <c r="E37" i="49"/>
  <c r="E47" i="49"/>
  <c r="E48" i="49" s="1"/>
  <c r="E58" i="49"/>
  <c r="E32" i="49"/>
  <c r="E29" i="49"/>
  <c r="H47" i="49"/>
  <c r="H48" i="49" s="1"/>
  <c r="H58" i="49"/>
  <c r="H32" i="49"/>
  <c r="H37" i="49"/>
  <c r="D47" i="49"/>
  <c r="D48" i="49" s="1"/>
  <c r="D58" i="49"/>
  <c r="D32" i="49"/>
  <c r="D37" i="49"/>
  <c r="H29" i="49"/>
  <c r="D29" i="49"/>
  <c r="G37" i="49"/>
  <c r="G47" i="49"/>
  <c r="G48" i="49" s="1"/>
  <c r="G58" i="49"/>
  <c r="G32" i="49"/>
  <c r="C37" i="49"/>
  <c r="C47" i="49"/>
  <c r="C48" i="49" s="1"/>
  <c r="C58" i="49"/>
  <c r="C32" i="49"/>
  <c r="N5" i="40"/>
  <c r="N20" i="49" l="1"/>
  <c r="J21" i="49" s="1"/>
  <c r="B125" i="50"/>
  <c r="S9" i="49"/>
  <c r="B126" i="50"/>
  <c r="F9" i="49"/>
  <c r="B183" i="50"/>
  <c r="S8" i="49"/>
  <c r="G177" i="50" s="1"/>
  <c r="B77" i="49"/>
  <c r="S14" i="49" s="1"/>
  <c r="B192" i="50" s="1"/>
  <c r="J11" i="49"/>
  <c r="J7" i="49"/>
  <c r="J9" i="49"/>
  <c r="F2" i="49"/>
  <c r="B186" i="50" s="1"/>
  <c r="B92" i="49"/>
  <c r="D69" i="49"/>
  <c r="F3" i="49"/>
  <c r="CB43" i="49"/>
  <c r="CB44" i="49" s="1"/>
  <c r="CJ43" i="49"/>
  <c r="CJ44" i="49" s="1"/>
  <c r="CS43" i="49"/>
  <c r="CS44" i="49" s="1"/>
  <c r="CK43" i="49"/>
  <c r="CK44" i="49" s="1"/>
  <c r="CT43" i="49"/>
  <c r="CT44" i="49" s="1"/>
  <c r="CA43" i="49"/>
  <c r="CA44" i="49" s="1"/>
  <c r="F33" i="49"/>
  <c r="F88" i="49" s="1"/>
  <c r="H33" i="49"/>
  <c r="H88" i="49" s="1"/>
  <c r="B33" i="49"/>
  <c r="D33" i="49"/>
  <c r="D88" i="49" s="1"/>
  <c r="E33" i="49"/>
  <c r="E88" i="49" s="1"/>
  <c r="C33" i="49"/>
  <c r="C88" i="49" s="1"/>
  <c r="G33" i="49"/>
  <c r="G88" i="49" s="1"/>
  <c r="X80" i="40"/>
  <c r="Q80" i="40"/>
  <c r="R80" i="40"/>
  <c r="S80" i="40"/>
  <c r="T80" i="40"/>
  <c r="K80" i="40"/>
  <c r="L80" i="40"/>
  <c r="D80" i="40"/>
  <c r="E80" i="40"/>
  <c r="F80" i="40"/>
  <c r="G80" i="40"/>
  <c r="X79" i="40"/>
  <c r="Q79" i="40"/>
  <c r="R79" i="40"/>
  <c r="S79" i="40"/>
  <c r="T79" i="40"/>
  <c r="K79" i="40"/>
  <c r="L79" i="40"/>
  <c r="D79" i="40"/>
  <c r="E79" i="40"/>
  <c r="F79" i="40"/>
  <c r="G79" i="40"/>
  <c r="X78" i="40"/>
  <c r="Q78" i="40"/>
  <c r="R78" i="40"/>
  <c r="S78" i="40"/>
  <c r="T78" i="40"/>
  <c r="K78" i="40"/>
  <c r="L78" i="40"/>
  <c r="D78" i="40"/>
  <c r="E78" i="40"/>
  <c r="F78" i="40"/>
  <c r="G78" i="40"/>
  <c r="X77" i="40"/>
  <c r="Q77" i="40"/>
  <c r="R77" i="40"/>
  <c r="S77" i="40"/>
  <c r="T77" i="40"/>
  <c r="K77" i="40"/>
  <c r="L77" i="40"/>
  <c r="D77" i="40"/>
  <c r="E77" i="40"/>
  <c r="F77" i="40"/>
  <c r="G77" i="40"/>
  <c r="X76" i="40"/>
  <c r="T76" i="40"/>
  <c r="S76" i="40"/>
  <c r="R76" i="40"/>
  <c r="Q76" i="40"/>
  <c r="L76" i="40"/>
  <c r="K76" i="40"/>
  <c r="G76" i="40"/>
  <c r="F76" i="40"/>
  <c r="E76" i="40"/>
  <c r="D76" i="40"/>
  <c r="X73" i="40"/>
  <c r="Q73" i="40"/>
  <c r="R73" i="40"/>
  <c r="S73" i="40"/>
  <c r="T73" i="40"/>
  <c r="K73" i="40"/>
  <c r="L73" i="40"/>
  <c r="D73" i="40"/>
  <c r="E73" i="40"/>
  <c r="F73" i="40"/>
  <c r="G73" i="40"/>
  <c r="X72" i="40"/>
  <c r="Q72" i="40"/>
  <c r="R72" i="40"/>
  <c r="S72" i="40"/>
  <c r="T72" i="40"/>
  <c r="K72" i="40"/>
  <c r="L72" i="40"/>
  <c r="D72" i="40"/>
  <c r="E72" i="40"/>
  <c r="F72" i="40"/>
  <c r="G72" i="40"/>
  <c r="X71" i="40"/>
  <c r="Q71" i="40"/>
  <c r="R71" i="40"/>
  <c r="S71" i="40"/>
  <c r="T71" i="40"/>
  <c r="K71" i="40"/>
  <c r="L71" i="40"/>
  <c r="D71" i="40"/>
  <c r="E71" i="40"/>
  <c r="F71" i="40"/>
  <c r="G71" i="40"/>
  <c r="X70" i="40"/>
  <c r="Q70" i="40"/>
  <c r="R70" i="40"/>
  <c r="S70" i="40"/>
  <c r="T70" i="40"/>
  <c r="K70" i="40"/>
  <c r="L70" i="40"/>
  <c r="D70" i="40"/>
  <c r="E70" i="40"/>
  <c r="F70" i="40"/>
  <c r="G70" i="40"/>
  <c r="X69" i="40"/>
  <c r="Q69" i="40"/>
  <c r="R69" i="40"/>
  <c r="S69" i="40"/>
  <c r="T69" i="40"/>
  <c r="K69" i="40"/>
  <c r="L69" i="40"/>
  <c r="X67" i="40"/>
  <c r="X68" i="40"/>
  <c r="X65" i="40"/>
  <c r="Q66" i="40"/>
  <c r="R66" i="40"/>
  <c r="S66" i="40"/>
  <c r="T66" i="40"/>
  <c r="Q67" i="40"/>
  <c r="R67" i="40"/>
  <c r="S67" i="40"/>
  <c r="T67" i="40"/>
  <c r="Q68" i="40"/>
  <c r="R68" i="40"/>
  <c r="S68" i="40"/>
  <c r="T68" i="40"/>
  <c r="R65" i="40"/>
  <c r="S65" i="40"/>
  <c r="T65" i="40"/>
  <c r="Q65" i="40"/>
  <c r="K66" i="40"/>
  <c r="L66" i="40"/>
  <c r="K67" i="40"/>
  <c r="L67" i="40"/>
  <c r="K68" i="40"/>
  <c r="L68" i="40"/>
  <c r="L65" i="40"/>
  <c r="K65" i="40"/>
  <c r="D66" i="40"/>
  <c r="E66" i="40"/>
  <c r="F66" i="40"/>
  <c r="G66" i="40"/>
  <c r="D67" i="40"/>
  <c r="E67" i="40"/>
  <c r="F67" i="40"/>
  <c r="G67" i="40"/>
  <c r="D68" i="40"/>
  <c r="E68" i="40"/>
  <c r="F68" i="40"/>
  <c r="G68" i="40"/>
  <c r="D69" i="40"/>
  <c r="E69" i="40"/>
  <c r="F69" i="40"/>
  <c r="G69" i="40"/>
  <c r="E65" i="40"/>
  <c r="F65" i="40"/>
  <c r="G65" i="40"/>
  <c r="D65" i="40"/>
  <c r="O67" i="40" l="1"/>
  <c r="E241" i="60"/>
  <c r="E243" i="60" s="1"/>
  <c r="G243" i="60" s="1"/>
  <c r="D37" i="60"/>
  <c r="F21" i="49"/>
  <c r="F22" i="49" s="1"/>
  <c r="N3" i="49"/>
  <c r="G183" i="50" s="1"/>
  <c r="N2" i="49"/>
  <c r="AC14" i="49" s="1"/>
  <c r="B182" i="50"/>
  <c r="D26" i="60" s="1"/>
  <c r="F5" i="49"/>
  <c r="B88" i="49"/>
  <c r="D39" i="60" l="1"/>
  <c r="D40" i="60" s="1"/>
  <c r="D41" i="60" s="1"/>
  <c r="D42" i="60" s="1"/>
  <c r="G182" i="50"/>
  <c r="D43" i="60"/>
  <c r="D44" i="60" s="1"/>
  <c r="D33" i="60"/>
  <c r="D28" i="60"/>
  <c r="D29" i="60" s="1"/>
  <c r="D30" i="60" s="1"/>
  <c r="D31" i="60" s="1"/>
  <c r="E67" i="60"/>
  <c r="D26" i="40"/>
  <c r="F5" i="41"/>
  <c r="D5" i="41"/>
  <c r="T13" i="41"/>
  <c r="T12" i="41"/>
  <c r="T11" i="41"/>
  <c r="T10" i="41"/>
  <c r="T9" i="41"/>
  <c r="T8" i="41"/>
  <c r="T7" i="41"/>
  <c r="T5" i="41"/>
  <c r="N9" i="41"/>
  <c r="N8" i="41"/>
  <c r="N7" i="41"/>
  <c r="N5" i="41"/>
  <c r="H9" i="41"/>
  <c r="H8" i="41"/>
  <c r="H7" i="41"/>
  <c r="H5" i="41"/>
  <c r="D24" i="40"/>
  <c r="D46" i="60" l="1"/>
  <c r="E253" i="60" s="1"/>
  <c r="D35" i="60"/>
  <c r="E252" i="60" s="1"/>
  <c r="B9" i="41"/>
  <c r="B8" i="41"/>
  <c r="B7" i="41"/>
  <c r="B6" i="41"/>
  <c r="B5" i="41"/>
  <c r="F21" i="46"/>
  <c r="E40" i="46"/>
  <c r="E29" i="46"/>
  <c r="E23" i="46"/>
  <c r="G30" i="46"/>
  <c r="F7" i="46"/>
  <c r="F34" i="46"/>
  <c r="E14" i="46"/>
  <c r="C38" i="46"/>
  <c r="G49" i="46"/>
  <c r="E56" i="46"/>
  <c r="C36" i="46"/>
  <c r="G34" i="46"/>
  <c r="D36" i="46"/>
  <c r="D50" i="46"/>
  <c r="D39" i="46"/>
  <c r="C5" i="46"/>
  <c r="E26" i="46"/>
  <c r="D10" i="46"/>
  <c r="F26" i="46"/>
  <c r="C25" i="46"/>
  <c r="F19" i="46"/>
  <c r="F46" i="46"/>
  <c r="G8" i="46"/>
  <c r="C28" i="46"/>
  <c r="C44" i="46"/>
  <c r="F33" i="46"/>
  <c r="D13" i="46"/>
  <c r="D33" i="46"/>
  <c r="C4" i="46"/>
  <c r="G7" i="46"/>
  <c r="E38" i="46"/>
  <c r="G6" i="46"/>
  <c r="E34" i="46"/>
  <c r="D7" i="46"/>
  <c r="C27" i="46"/>
  <c r="C56" i="46"/>
  <c r="D34" i="46"/>
  <c r="G24" i="46"/>
  <c r="D44" i="46"/>
  <c r="C34" i="46"/>
  <c r="G10" i="46"/>
  <c r="F5" i="46"/>
  <c r="D6" i="46"/>
  <c r="C50" i="46"/>
  <c r="E46" i="46"/>
  <c r="D20" i="46"/>
  <c r="C35" i="46"/>
  <c r="F39" i="46"/>
  <c r="C43" i="46"/>
  <c r="F29" i="46"/>
  <c r="E24" i="46"/>
  <c r="C13" i="46"/>
  <c r="G18" i="46"/>
  <c r="G23" i="46"/>
  <c r="E20" i="46"/>
  <c r="F8" i="46"/>
  <c r="F56" i="46"/>
  <c r="G21" i="46"/>
  <c r="C53" i="46"/>
  <c r="F44" i="46"/>
  <c r="C8" i="46"/>
  <c r="D56" i="46"/>
  <c r="D42" i="46"/>
  <c r="D43" i="46"/>
  <c r="D21" i="46"/>
  <c r="F43" i="46"/>
  <c r="E44" i="46"/>
  <c r="D46" i="46"/>
  <c r="F6" i="46"/>
  <c r="F49" i="46"/>
  <c r="E13" i="46"/>
  <c r="E27" i="46"/>
  <c r="E49" i="46"/>
  <c r="C20" i="46"/>
  <c r="C17" i="46"/>
  <c r="C30" i="46"/>
  <c r="C19" i="46"/>
  <c r="G28" i="46"/>
  <c r="E10" i="46"/>
  <c r="G27" i="46"/>
  <c r="E30" i="46"/>
  <c r="D16" i="46"/>
  <c r="G14" i="46"/>
  <c r="D35" i="46"/>
  <c r="F18" i="46"/>
  <c r="C37" i="46"/>
  <c r="E16" i="46"/>
  <c r="D29" i="46"/>
  <c r="G25" i="46"/>
  <c r="G5" i="46"/>
  <c r="G29" i="46"/>
  <c r="C23" i="46"/>
  <c r="E39" i="46"/>
  <c r="G16" i="46"/>
  <c r="D37" i="46"/>
  <c r="F30" i="46"/>
  <c r="G42" i="46"/>
  <c r="E43" i="46"/>
  <c r="C49" i="46"/>
  <c r="F35" i="46"/>
  <c r="C26" i="46"/>
  <c r="F53" i="46"/>
  <c r="E17" i="46"/>
  <c r="E18" i="46"/>
  <c r="F50" i="46"/>
  <c r="C10" i="46"/>
  <c r="F10" i="46"/>
  <c r="E19" i="46"/>
  <c r="G38" i="46"/>
  <c r="C39" i="46"/>
  <c r="E36" i="46"/>
  <c r="E4" i="46"/>
  <c r="C42" i="46"/>
  <c r="C29" i="46"/>
  <c r="C6" i="46"/>
  <c r="D11" i="46"/>
  <c r="G4" i="46"/>
  <c r="F27" i="46"/>
  <c r="C21" i="46"/>
  <c r="C16" i="46"/>
  <c r="D27" i="46"/>
  <c r="F13" i="46"/>
  <c r="E28" i="46"/>
  <c r="D18" i="46"/>
  <c r="D14" i="46"/>
  <c r="F25" i="46"/>
  <c r="E42" i="46"/>
  <c r="F40" i="46"/>
  <c r="F24" i="46"/>
  <c r="D28" i="46"/>
  <c r="F28" i="46"/>
  <c r="F17" i="46"/>
  <c r="C18" i="46"/>
  <c r="C14" i="46"/>
  <c r="F38" i="46"/>
  <c r="E25" i="46"/>
  <c r="C40" i="46"/>
  <c r="D40" i="46"/>
  <c r="G53" i="46"/>
  <c r="G37" i="46"/>
  <c r="C7" i="46"/>
  <c r="E37" i="46"/>
  <c r="E8" i="46"/>
  <c r="C24" i="46"/>
  <c r="G46" i="46"/>
  <c r="G19" i="46"/>
  <c r="D5" i="46"/>
  <c r="D30" i="46"/>
  <c r="G13" i="46"/>
  <c r="G11" i="46"/>
  <c r="D53" i="46"/>
  <c r="F11" i="46"/>
  <c r="E6" i="46"/>
  <c r="F4" i="46"/>
  <c r="D24" i="46"/>
  <c r="E33" i="46"/>
  <c r="G43" i="46"/>
  <c r="F20" i="46"/>
  <c r="D8" i="46"/>
  <c r="E50" i="46"/>
  <c r="F36" i="46"/>
  <c r="E53" i="46"/>
  <c r="F42" i="46"/>
  <c r="E21" i="46"/>
  <c r="F16" i="46"/>
  <c r="E5" i="46"/>
  <c r="F14" i="46"/>
  <c r="C11" i="46"/>
  <c r="G35" i="46"/>
  <c r="G44" i="46"/>
  <c r="F23" i="46"/>
  <c r="D4" i="46"/>
  <c r="D19" i="46"/>
  <c r="G39" i="46"/>
  <c r="F37" i="46"/>
  <c r="D23" i="46"/>
  <c r="G56" i="46"/>
  <c r="D26" i="46"/>
  <c r="G20" i="46"/>
  <c r="D17" i="46"/>
  <c r="D38" i="46"/>
  <c r="G26" i="46"/>
  <c r="E35" i="46"/>
  <c r="G50" i="46"/>
  <c r="G33" i="46"/>
  <c r="D25" i="46"/>
  <c r="G17" i="46"/>
  <c r="C33" i="46"/>
  <c r="E11" i="46"/>
  <c r="G40" i="46"/>
  <c r="C46" i="46"/>
  <c r="E7" i="46"/>
  <c r="G36" i="46"/>
  <c r="D49" i="46"/>
  <c r="E254" i="60" l="1"/>
  <c r="H31" i="41"/>
  <c r="I31" i="41"/>
  <c r="H32" i="41"/>
  <c r="I32" i="41"/>
  <c r="H33" i="41"/>
  <c r="I33" i="41"/>
  <c r="H34" i="41"/>
  <c r="I34" i="41"/>
  <c r="H35" i="41"/>
  <c r="I35" i="41"/>
  <c r="H36" i="41"/>
  <c r="I36" i="41"/>
  <c r="H42" i="41"/>
  <c r="I42" i="41"/>
  <c r="H44" i="41"/>
  <c r="I44" i="41"/>
  <c r="H45" i="41"/>
  <c r="I45" i="41"/>
  <c r="H46" i="41"/>
  <c r="I46" i="41"/>
  <c r="H47" i="41"/>
  <c r="I47" i="41"/>
  <c r="H48" i="41"/>
  <c r="I48" i="41"/>
  <c r="H50" i="41"/>
  <c r="I50" i="41"/>
  <c r="H51" i="41"/>
  <c r="I51" i="41"/>
  <c r="H27" i="41"/>
  <c r="I27" i="41"/>
  <c r="H28" i="41"/>
  <c r="I28" i="41"/>
  <c r="H29" i="41"/>
  <c r="I29" i="41"/>
  <c r="H30" i="41"/>
  <c r="I30" i="41"/>
  <c r="I26" i="41"/>
  <c r="H26" i="41"/>
  <c r="I67" i="40" l="1"/>
  <c r="AQ9" i="37"/>
  <c r="AQ10" i="37"/>
  <c r="AQ11" i="37"/>
  <c r="AQ12" i="37"/>
  <c r="AQ13" i="37"/>
  <c r="AQ14" i="37"/>
  <c r="AQ15" i="37"/>
  <c r="AQ16" i="37"/>
  <c r="AQ17" i="37"/>
  <c r="AQ18" i="37"/>
  <c r="AQ19" i="37"/>
  <c r="AQ20" i="37"/>
  <c r="AQ21" i="37"/>
  <c r="AQ22" i="37"/>
  <c r="AQ23" i="37"/>
  <c r="AQ24" i="37"/>
  <c r="AQ25" i="37"/>
  <c r="AQ26" i="37"/>
  <c r="AQ27" i="37"/>
  <c r="AQ28" i="37"/>
  <c r="AQ29" i="37"/>
  <c r="AQ30" i="37"/>
  <c r="AQ31" i="37"/>
  <c r="AQ32" i="37"/>
  <c r="AQ33" i="37"/>
  <c r="AQ34" i="37"/>
  <c r="AQ35" i="37"/>
  <c r="AQ36" i="37"/>
  <c r="AQ37" i="37"/>
  <c r="AQ38" i="37"/>
  <c r="AQ39" i="37"/>
  <c r="AQ40" i="37"/>
  <c r="AQ41" i="37"/>
  <c r="AQ42" i="37"/>
  <c r="AQ43" i="37"/>
  <c r="AQ44" i="37"/>
  <c r="AQ45" i="37"/>
  <c r="AQ46" i="37"/>
  <c r="AQ47" i="37"/>
  <c r="AQ48" i="37"/>
  <c r="AQ49" i="37"/>
  <c r="AQ50" i="37"/>
  <c r="AQ51" i="37"/>
  <c r="AQ52" i="37"/>
  <c r="AQ53" i="37"/>
  <c r="AQ54" i="37"/>
  <c r="AQ55" i="37"/>
  <c r="AQ56" i="37"/>
  <c r="AQ57" i="37"/>
  <c r="AQ58" i="37"/>
  <c r="AQ59" i="37"/>
  <c r="AQ60" i="37"/>
  <c r="AQ61" i="37"/>
  <c r="AQ62" i="37"/>
  <c r="AQ63" i="37"/>
  <c r="AQ64" i="37"/>
  <c r="AQ65" i="37"/>
  <c r="AQ66" i="37"/>
  <c r="AQ67" i="37"/>
  <c r="AQ68" i="37"/>
  <c r="AQ69" i="37"/>
  <c r="AQ70" i="37"/>
  <c r="AQ71" i="37"/>
  <c r="AQ72" i="37"/>
  <c r="AQ73" i="37"/>
  <c r="AQ74" i="37"/>
  <c r="AQ75" i="37"/>
  <c r="AQ76" i="37"/>
  <c r="AQ77" i="37"/>
  <c r="AQ78" i="37"/>
  <c r="AQ79" i="37"/>
  <c r="AQ80" i="37"/>
  <c r="AQ81" i="37"/>
  <c r="AQ82" i="37"/>
  <c r="AQ83" i="37"/>
  <c r="AQ84" i="37"/>
  <c r="AQ85" i="37"/>
  <c r="AQ86" i="37"/>
  <c r="AQ87" i="37"/>
  <c r="AQ88" i="37"/>
  <c r="AQ89" i="37"/>
  <c r="AQ90" i="37"/>
  <c r="AQ91" i="37"/>
  <c r="AQ92" i="37"/>
  <c r="AQ93" i="37"/>
  <c r="AQ94" i="37"/>
  <c r="AQ95" i="37"/>
  <c r="AQ96" i="37"/>
  <c r="AQ97" i="37"/>
  <c r="AQ98" i="37"/>
  <c r="AQ99" i="37"/>
  <c r="AQ100" i="37"/>
  <c r="AQ101" i="37"/>
  <c r="AQ102" i="37"/>
  <c r="AQ103" i="37"/>
  <c r="AQ104" i="37"/>
  <c r="AQ105" i="37"/>
  <c r="AQ106" i="37"/>
  <c r="AQ107" i="37"/>
  <c r="AQ108" i="37"/>
  <c r="AQ109" i="37"/>
  <c r="AQ110" i="37"/>
  <c r="AQ111" i="37"/>
  <c r="AQ112" i="37"/>
  <c r="AQ113" i="37"/>
  <c r="AQ114" i="37"/>
  <c r="AQ115" i="37"/>
  <c r="AQ116" i="37"/>
  <c r="AQ117" i="37"/>
  <c r="AQ118" i="37"/>
  <c r="AQ119" i="37"/>
  <c r="AQ120" i="37"/>
  <c r="AQ121" i="37"/>
  <c r="AQ122" i="37"/>
  <c r="AQ123" i="37"/>
  <c r="AQ124" i="37"/>
  <c r="AQ125" i="37"/>
  <c r="AQ126" i="37"/>
  <c r="AQ127" i="37"/>
  <c r="AQ128" i="37"/>
  <c r="AQ129" i="37"/>
  <c r="AQ130" i="37"/>
  <c r="AQ131" i="37"/>
  <c r="AQ132" i="37"/>
  <c r="AQ133" i="37"/>
  <c r="AQ134" i="37"/>
  <c r="AQ135" i="37"/>
  <c r="AQ136" i="37"/>
  <c r="AQ137" i="37"/>
  <c r="AQ138" i="37"/>
  <c r="AQ139" i="37"/>
  <c r="AQ140" i="37"/>
  <c r="AQ141" i="37"/>
  <c r="AQ142" i="37"/>
  <c r="AQ143" i="37"/>
  <c r="AQ144" i="37"/>
  <c r="AQ145" i="37"/>
  <c r="AQ146" i="37"/>
  <c r="AQ147" i="37"/>
  <c r="AQ148" i="37"/>
  <c r="AQ149" i="37"/>
  <c r="AQ150" i="37"/>
  <c r="AQ151" i="37"/>
  <c r="AQ152" i="37"/>
  <c r="AQ153" i="37"/>
  <c r="AQ154" i="37"/>
  <c r="AQ155" i="37"/>
  <c r="AQ156" i="37"/>
  <c r="AQ157" i="37"/>
  <c r="AQ158" i="37"/>
  <c r="AQ159" i="37"/>
  <c r="AQ160" i="37"/>
  <c r="AQ161" i="37"/>
  <c r="AQ162" i="37"/>
  <c r="AQ163" i="37"/>
  <c r="AQ164" i="37"/>
  <c r="AQ165" i="37"/>
  <c r="AQ166" i="37"/>
  <c r="AQ167" i="37"/>
  <c r="AQ168" i="37"/>
  <c r="AQ169" i="37"/>
  <c r="AQ170" i="37"/>
  <c r="AQ171" i="37"/>
  <c r="AQ172" i="37"/>
  <c r="AQ173" i="37"/>
  <c r="AQ174" i="37"/>
  <c r="AQ175" i="37"/>
  <c r="AQ176" i="37"/>
  <c r="AQ177" i="37"/>
  <c r="AQ178" i="37"/>
  <c r="AQ179" i="37"/>
  <c r="AQ180" i="37"/>
  <c r="AQ181" i="37"/>
  <c r="AQ182" i="37"/>
  <c r="AQ183" i="37"/>
  <c r="AQ184" i="37"/>
  <c r="AQ185" i="37"/>
  <c r="AQ186" i="37"/>
  <c r="AQ187" i="37"/>
  <c r="AQ188" i="37"/>
  <c r="AQ189" i="37"/>
  <c r="AQ190" i="37"/>
  <c r="AQ191" i="37"/>
  <c r="AQ192" i="37"/>
  <c r="AQ193" i="37"/>
  <c r="AQ194" i="37"/>
  <c r="AQ195" i="37"/>
  <c r="AQ196" i="37"/>
  <c r="AQ197" i="37"/>
  <c r="AQ198" i="37"/>
  <c r="AQ199" i="37"/>
  <c r="AQ200" i="37"/>
  <c r="AQ201" i="37"/>
  <c r="AQ202" i="37"/>
  <c r="AQ203" i="37"/>
  <c r="AQ204" i="37"/>
  <c r="AQ205" i="37"/>
  <c r="AQ206" i="37"/>
  <c r="AQ207" i="37"/>
  <c r="AQ208" i="37"/>
  <c r="AQ209" i="37"/>
  <c r="AQ210" i="37"/>
  <c r="AQ211" i="37"/>
  <c r="AQ212" i="37"/>
  <c r="AQ213" i="37"/>
  <c r="AQ214" i="37"/>
  <c r="AQ215" i="37"/>
  <c r="AQ216" i="37"/>
  <c r="AQ217" i="37"/>
  <c r="AQ218" i="37"/>
  <c r="AQ219" i="37"/>
  <c r="AQ220" i="37"/>
  <c r="AQ221" i="37"/>
  <c r="AQ222" i="37"/>
  <c r="AQ223" i="37"/>
  <c r="AQ224" i="37"/>
  <c r="AQ225" i="37"/>
  <c r="AQ226" i="37"/>
  <c r="AQ227" i="37"/>
  <c r="AQ228" i="37"/>
  <c r="AQ229" i="37"/>
  <c r="AQ230" i="37"/>
  <c r="AQ231" i="37"/>
  <c r="AQ232" i="37"/>
  <c r="AQ233" i="37"/>
  <c r="AQ234" i="37"/>
  <c r="AQ235" i="37"/>
  <c r="AQ236" i="37"/>
  <c r="AQ237" i="37"/>
  <c r="AQ238" i="37"/>
  <c r="AQ239" i="37"/>
  <c r="AQ240" i="37"/>
  <c r="AQ241" i="37"/>
  <c r="AQ242" i="37"/>
  <c r="AQ243" i="37"/>
  <c r="AQ244" i="37"/>
  <c r="AQ245" i="37"/>
  <c r="AQ246" i="37"/>
  <c r="AQ247" i="37"/>
  <c r="AQ248" i="37"/>
  <c r="AQ249" i="37"/>
  <c r="AQ250" i="37"/>
  <c r="AQ251" i="37"/>
  <c r="AQ252" i="37"/>
  <c r="AQ253" i="37"/>
  <c r="AQ254" i="37"/>
  <c r="AQ255" i="37"/>
  <c r="AQ256" i="37"/>
  <c r="AQ257" i="37"/>
  <c r="AQ258" i="37"/>
  <c r="AQ259" i="37"/>
  <c r="AQ260" i="37"/>
  <c r="AQ261" i="37"/>
  <c r="AQ262" i="37"/>
  <c r="AQ263" i="37"/>
  <c r="AQ264" i="37"/>
  <c r="AQ265" i="37"/>
  <c r="AQ266" i="37"/>
  <c r="AQ267" i="37"/>
  <c r="AQ268" i="37"/>
  <c r="AG9" i="37"/>
  <c r="AG10" i="37"/>
  <c r="AG11" i="37"/>
  <c r="AG12" i="37"/>
  <c r="AG13" i="37"/>
  <c r="AG14" i="37"/>
  <c r="AG15" i="37"/>
  <c r="AG16" i="37"/>
  <c r="AG17" i="37"/>
  <c r="AG18" i="37"/>
  <c r="AG19" i="37"/>
  <c r="AG20" i="37"/>
  <c r="AG21" i="37"/>
  <c r="AG22" i="37"/>
  <c r="AG23" i="37"/>
  <c r="AG24" i="37"/>
  <c r="AG25" i="37"/>
  <c r="AG26" i="37"/>
  <c r="AG27" i="37"/>
  <c r="AG28" i="37"/>
  <c r="AG29" i="37"/>
  <c r="AG30" i="37"/>
  <c r="AG31" i="37"/>
  <c r="AG32" i="37"/>
  <c r="AG33" i="37"/>
  <c r="AG34" i="37"/>
  <c r="AG35" i="37"/>
  <c r="AG36" i="37"/>
  <c r="AG37" i="37"/>
  <c r="AG38" i="37"/>
  <c r="AG39" i="37"/>
  <c r="AG40" i="37"/>
  <c r="AG41" i="37"/>
  <c r="AG42" i="37"/>
  <c r="AG43" i="37"/>
  <c r="AG44" i="37"/>
  <c r="AG45" i="37"/>
  <c r="AG46" i="37"/>
  <c r="AG47" i="37"/>
  <c r="AG48" i="37"/>
  <c r="AG49" i="37"/>
  <c r="AG50" i="37"/>
  <c r="AG51" i="37"/>
  <c r="AG52" i="37"/>
  <c r="AG53" i="37"/>
  <c r="AG54" i="37"/>
  <c r="AG55" i="37"/>
  <c r="AG56" i="37"/>
  <c r="AG57" i="37"/>
  <c r="AG58" i="37"/>
  <c r="AG59" i="37"/>
  <c r="AG60" i="37"/>
  <c r="AG61" i="37"/>
  <c r="AG62" i="37"/>
  <c r="AG63" i="37"/>
  <c r="AG64" i="37"/>
  <c r="AG65" i="37"/>
  <c r="AG66" i="37"/>
  <c r="AG67" i="37"/>
  <c r="AG68" i="37"/>
  <c r="AG69" i="37"/>
  <c r="AG70" i="37"/>
  <c r="AG71" i="37"/>
  <c r="AG72" i="37"/>
  <c r="AG73" i="37"/>
  <c r="AG74" i="37"/>
  <c r="AG75" i="37"/>
  <c r="AG76" i="37"/>
  <c r="AG77" i="37"/>
  <c r="AG78" i="37"/>
  <c r="AG79" i="37"/>
  <c r="AG80" i="37"/>
  <c r="AG81" i="37"/>
  <c r="AG82" i="37"/>
  <c r="AG83" i="37"/>
  <c r="AG84" i="37"/>
  <c r="AG85" i="37"/>
  <c r="AG86" i="37"/>
  <c r="AG87" i="37"/>
  <c r="AG88" i="37"/>
  <c r="AG89" i="37"/>
  <c r="AG90" i="37"/>
  <c r="AG91" i="37"/>
  <c r="AG92" i="37"/>
  <c r="AG93" i="37"/>
  <c r="AG94" i="37"/>
  <c r="AG95" i="37"/>
  <c r="AG96" i="37"/>
  <c r="AG97" i="37"/>
  <c r="AG98" i="37"/>
  <c r="AG99" i="37"/>
  <c r="AG100" i="37"/>
  <c r="AG101" i="37"/>
  <c r="AG102" i="37"/>
  <c r="AG103" i="37"/>
  <c r="AG104" i="37"/>
  <c r="AG105" i="37"/>
  <c r="AG106" i="37"/>
  <c r="AG107" i="37"/>
  <c r="AG108" i="37"/>
  <c r="AG109" i="37"/>
  <c r="AG110" i="37"/>
  <c r="AG111" i="37"/>
  <c r="AG112" i="37"/>
  <c r="AG113" i="37"/>
  <c r="AG114" i="37"/>
  <c r="AG115" i="37"/>
  <c r="AG116" i="37"/>
  <c r="AG117" i="37"/>
  <c r="AG118" i="37"/>
  <c r="AG119" i="37"/>
  <c r="AG120" i="37"/>
  <c r="AG121" i="37"/>
  <c r="AG122" i="37"/>
  <c r="AG123" i="37"/>
  <c r="AG124" i="37"/>
  <c r="AG125" i="37"/>
  <c r="AG126" i="37"/>
  <c r="AG127" i="37"/>
  <c r="AG128" i="37"/>
  <c r="AG129" i="37"/>
  <c r="AG130" i="37"/>
  <c r="AG131" i="37"/>
  <c r="AG132" i="37"/>
  <c r="AG133" i="37"/>
  <c r="AG134" i="37"/>
  <c r="AG135" i="37"/>
  <c r="AG136" i="37"/>
  <c r="AG137" i="37"/>
  <c r="AG138" i="37"/>
  <c r="AG139" i="37"/>
  <c r="AG140" i="37"/>
  <c r="AG141" i="37"/>
  <c r="AG142" i="37"/>
  <c r="AG143" i="37"/>
  <c r="AG144" i="37"/>
  <c r="AG145" i="37"/>
  <c r="AG146" i="37"/>
  <c r="AG147" i="37"/>
  <c r="AG148" i="37"/>
  <c r="AG149" i="37"/>
  <c r="AG150" i="37"/>
  <c r="AG151" i="37"/>
  <c r="AG152" i="37"/>
  <c r="AG153" i="37"/>
  <c r="AG154" i="37"/>
  <c r="AG155" i="37"/>
  <c r="AG156" i="37"/>
  <c r="AG157" i="37"/>
  <c r="AG158" i="37"/>
  <c r="AG159" i="37"/>
  <c r="AG160" i="37"/>
  <c r="AG161" i="37"/>
  <c r="AG162" i="37"/>
  <c r="AG163" i="37"/>
  <c r="AG164" i="37"/>
  <c r="AG165" i="37"/>
  <c r="AG166" i="37"/>
  <c r="AG167" i="37"/>
  <c r="AG168" i="37"/>
  <c r="AG169" i="37"/>
  <c r="AG170" i="37"/>
  <c r="AG171" i="37"/>
  <c r="AG172" i="37"/>
  <c r="AG173" i="37"/>
  <c r="AG174" i="37"/>
  <c r="AG175" i="37"/>
  <c r="AG176" i="37"/>
  <c r="AG177" i="37"/>
  <c r="AG178" i="37"/>
  <c r="AG179" i="37"/>
  <c r="AG180" i="37"/>
  <c r="AG181" i="37"/>
  <c r="AG182" i="37"/>
  <c r="AG183" i="37"/>
  <c r="AG184" i="37"/>
  <c r="AG185" i="37"/>
  <c r="AG186" i="37"/>
  <c r="AG187" i="37"/>
  <c r="AG188" i="37"/>
  <c r="AG189" i="37"/>
  <c r="AG190" i="37"/>
  <c r="AG191" i="37"/>
  <c r="AG192" i="37"/>
  <c r="AG193" i="37"/>
  <c r="AG194" i="37"/>
  <c r="AG195" i="37"/>
  <c r="AG196" i="37"/>
  <c r="AG197" i="37"/>
  <c r="AG198" i="37"/>
  <c r="AG199" i="37"/>
  <c r="AG200" i="37"/>
  <c r="AG201" i="37"/>
  <c r="AG202" i="37"/>
  <c r="AG203" i="37"/>
  <c r="AG204" i="37"/>
  <c r="AG205" i="37"/>
  <c r="AG206" i="37"/>
  <c r="AG207" i="37"/>
  <c r="AG208" i="37"/>
  <c r="AG209" i="37"/>
  <c r="AG210" i="37"/>
  <c r="AG211" i="37"/>
  <c r="AG212" i="37"/>
  <c r="AG213" i="37"/>
  <c r="AG214" i="37"/>
  <c r="AG215" i="37"/>
  <c r="AG216" i="37"/>
  <c r="AG217" i="37"/>
  <c r="AG218" i="37"/>
  <c r="AG219" i="37"/>
  <c r="AG220" i="37"/>
  <c r="AG221" i="37"/>
  <c r="AG222" i="37"/>
  <c r="AG223" i="37"/>
  <c r="AG224" i="37"/>
  <c r="AG225" i="37"/>
  <c r="AG226" i="37"/>
  <c r="AG227" i="37"/>
  <c r="AG228" i="37"/>
  <c r="AG229" i="37"/>
  <c r="AG230" i="37"/>
  <c r="AG231" i="37"/>
  <c r="AG232" i="37"/>
  <c r="AG233" i="37"/>
  <c r="AG234" i="37"/>
  <c r="AG235" i="37"/>
  <c r="AG236" i="37"/>
  <c r="AG237" i="37"/>
  <c r="AG238" i="37"/>
  <c r="AG239" i="37"/>
  <c r="AG240" i="37"/>
  <c r="AG241" i="37"/>
  <c r="AG242" i="37"/>
  <c r="AG243" i="37"/>
  <c r="AG244" i="37"/>
  <c r="AG245" i="37"/>
  <c r="AG246" i="37"/>
  <c r="AG247" i="37"/>
  <c r="AG248" i="37"/>
  <c r="AG249" i="37"/>
  <c r="AG250" i="37"/>
  <c r="AG251" i="37"/>
  <c r="AG252" i="37"/>
  <c r="AG253" i="37"/>
  <c r="AG254" i="37"/>
  <c r="AG255" i="37"/>
  <c r="AG256" i="37"/>
  <c r="AG257" i="37"/>
  <c r="AG258" i="37"/>
  <c r="AG259" i="37"/>
  <c r="AG260" i="37"/>
  <c r="AG261" i="37"/>
  <c r="AG262" i="37"/>
  <c r="AG263" i="37"/>
  <c r="AG264" i="37"/>
  <c r="AG265" i="37"/>
  <c r="AG266" i="37"/>
  <c r="AG267" i="37"/>
  <c r="AG268" i="37"/>
  <c r="W9" i="37"/>
  <c r="W10" i="37"/>
  <c r="W11" i="37"/>
  <c r="W12" i="37"/>
  <c r="W13" i="37"/>
  <c r="W14" i="37"/>
  <c r="W15" i="37"/>
  <c r="W16" i="37"/>
  <c r="W17" i="37"/>
  <c r="W18" i="37"/>
  <c r="W19" i="37"/>
  <c r="W20" i="37"/>
  <c r="W21" i="37"/>
  <c r="W22" i="37"/>
  <c r="W23" i="37"/>
  <c r="W24" i="37"/>
  <c r="W25" i="37"/>
  <c r="W26" i="37"/>
  <c r="W27" i="37"/>
  <c r="W28" i="37"/>
  <c r="W29" i="37"/>
  <c r="W30" i="37"/>
  <c r="W31" i="37"/>
  <c r="W32" i="37"/>
  <c r="W33" i="37"/>
  <c r="W34" i="37"/>
  <c r="W35" i="37"/>
  <c r="W36" i="37"/>
  <c r="W37" i="37"/>
  <c r="W38" i="37"/>
  <c r="W39" i="37"/>
  <c r="W40" i="37"/>
  <c r="W41" i="37"/>
  <c r="W42" i="37"/>
  <c r="W43" i="37"/>
  <c r="W44" i="37"/>
  <c r="W45" i="37"/>
  <c r="W46" i="37"/>
  <c r="W47" i="37"/>
  <c r="W48" i="37"/>
  <c r="W49" i="37"/>
  <c r="W50" i="37"/>
  <c r="W51" i="37"/>
  <c r="W52" i="37"/>
  <c r="W53" i="37"/>
  <c r="W54" i="37"/>
  <c r="W55" i="37"/>
  <c r="W56" i="37"/>
  <c r="W57" i="37"/>
  <c r="W58" i="37"/>
  <c r="W59" i="37"/>
  <c r="W60" i="37"/>
  <c r="W61" i="37"/>
  <c r="W62" i="37"/>
  <c r="W63" i="37"/>
  <c r="W64" i="37"/>
  <c r="W65" i="37"/>
  <c r="W66" i="37"/>
  <c r="W67" i="37"/>
  <c r="W68" i="37"/>
  <c r="W69" i="37"/>
  <c r="W70" i="37"/>
  <c r="W71" i="37"/>
  <c r="W72" i="37"/>
  <c r="W73" i="37"/>
  <c r="W74" i="37"/>
  <c r="W75" i="37"/>
  <c r="W76" i="37"/>
  <c r="W77" i="37"/>
  <c r="W78" i="37"/>
  <c r="W79" i="37"/>
  <c r="W80" i="37"/>
  <c r="W81" i="37"/>
  <c r="W82" i="37"/>
  <c r="W83" i="37"/>
  <c r="W84" i="37"/>
  <c r="W85" i="37"/>
  <c r="W86" i="37"/>
  <c r="W87" i="37"/>
  <c r="W88" i="37"/>
  <c r="W89" i="37"/>
  <c r="W90" i="37"/>
  <c r="W91" i="37"/>
  <c r="W92" i="37"/>
  <c r="W93" i="37"/>
  <c r="W94" i="37"/>
  <c r="W95" i="37"/>
  <c r="W96" i="37"/>
  <c r="W97" i="37"/>
  <c r="W98" i="37"/>
  <c r="W99" i="37"/>
  <c r="W100" i="37"/>
  <c r="W101" i="37"/>
  <c r="W102" i="37"/>
  <c r="W103" i="37"/>
  <c r="W104" i="37"/>
  <c r="W105" i="37"/>
  <c r="W106" i="37"/>
  <c r="W107" i="37"/>
  <c r="W108" i="37"/>
  <c r="W109" i="37"/>
  <c r="W110" i="37"/>
  <c r="W111" i="37"/>
  <c r="W112" i="37"/>
  <c r="W113" i="37"/>
  <c r="W114" i="37"/>
  <c r="W115" i="37"/>
  <c r="W116" i="37"/>
  <c r="W117" i="37"/>
  <c r="W118" i="37"/>
  <c r="W119" i="37"/>
  <c r="W120" i="37"/>
  <c r="W121" i="37"/>
  <c r="W122" i="37"/>
  <c r="W123" i="37"/>
  <c r="W124" i="37"/>
  <c r="W125" i="37"/>
  <c r="W126" i="37"/>
  <c r="W127" i="37"/>
  <c r="W128" i="37"/>
  <c r="W129" i="37"/>
  <c r="W130" i="37"/>
  <c r="W131" i="37"/>
  <c r="W132" i="37"/>
  <c r="W133" i="37"/>
  <c r="W134" i="37"/>
  <c r="W135" i="37"/>
  <c r="W136" i="37"/>
  <c r="W137" i="37"/>
  <c r="W138" i="37"/>
  <c r="W139" i="37"/>
  <c r="W140" i="37"/>
  <c r="W141" i="37"/>
  <c r="W142" i="37"/>
  <c r="W143" i="37"/>
  <c r="W144" i="37"/>
  <c r="W145" i="37"/>
  <c r="W146" i="37"/>
  <c r="W147" i="37"/>
  <c r="W148" i="37"/>
  <c r="W149" i="37"/>
  <c r="W150" i="37"/>
  <c r="W151" i="37"/>
  <c r="W152" i="37"/>
  <c r="W153" i="37"/>
  <c r="W154" i="37"/>
  <c r="W155" i="37"/>
  <c r="W156" i="37"/>
  <c r="W157" i="37"/>
  <c r="W158" i="37"/>
  <c r="W159" i="37"/>
  <c r="W160" i="37"/>
  <c r="W161" i="37"/>
  <c r="W162" i="37"/>
  <c r="W163" i="37"/>
  <c r="W164" i="37"/>
  <c r="W165" i="37"/>
  <c r="W166" i="37"/>
  <c r="W167" i="37"/>
  <c r="W168" i="37"/>
  <c r="W169" i="37"/>
  <c r="W170" i="37"/>
  <c r="W171" i="37"/>
  <c r="W172" i="37"/>
  <c r="W173" i="37"/>
  <c r="W174" i="37"/>
  <c r="W175" i="37"/>
  <c r="W176" i="37"/>
  <c r="W177" i="37"/>
  <c r="W178" i="37"/>
  <c r="W179" i="37"/>
  <c r="W180" i="37"/>
  <c r="W181" i="37"/>
  <c r="W182" i="37"/>
  <c r="W183" i="37"/>
  <c r="W184" i="37"/>
  <c r="W185" i="37"/>
  <c r="W186" i="37"/>
  <c r="W187" i="37"/>
  <c r="W188" i="37"/>
  <c r="W189" i="37"/>
  <c r="W190" i="37"/>
  <c r="W191" i="37"/>
  <c r="W192" i="37"/>
  <c r="W193" i="37"/>
  <c r="W194" i="37"/>
  <c r="W195" i="37"/>
  <c r="W196" i="37"/>
  <c r="W197" i="37"/>
  <c r="W198" i="37"/>
  <c r="W199" i="37"/>
  <c r="W200" i="37"/>
  <c r="W201" i="37"/>
  <c r="W202" i="37"/>
  <c r="W203" i="37"/>
  <c r="W204" i="37"/>
  <c r="W205" i="37"/>
  <c r="W206" i="37"/>
  <c r="W207" i="37"/>
  <c r="W208" i="37"/>
  <c r="W209" i="37"/>
  <c r="W210" i="37"/>
  <c r="W211" i="37"/>
  <c r="W212" i="37"/>
  <c r="W213" i="37"/>
  <c r="W214" i="37"/>
  <c r="W215" i="37"/>
  <c r="W216" i="37"/>
  <c r="W217" i="37"/>
  <c r="W218" i="37"/>
  <c r="W219" i="37"/>
  <c r="W220" i="37"/>
  <c r="W221" i="37"/>
  <c r="W222" i="37"/>
  <c r="W223" i="37"/>
  <c r="W224" i="37"/>
  <c r="W225" i="37"/>
  <c r="W226" i="37"/>
  <c r="W227" i="37"/>
  <c r="W228" i="37"/>
  <c r="W229" i="37"/>
  <c r="W230" i="37"/>
  <c r="W231" i="37"/>
  <c r="W232" i="37"/>
  <c r="W233" i="37"/>
  <c r="W234" i="37"/>
  <c r="W235" i="37"/>
  <c r="W236" i="37"/>
  <c r="W237" i="37"/>
  <c r="W238" i="37"/>
  <c r="W239" i="37"/>
  <c r="W240" i="37"/>
  <c r="W241" i="37"/>
  <c r="W242" i="37"/>
  <c r="W243" i="37"/>
  <c r="W244" i="37"/>
  <c r="W245" i="37"/>
  <c r="W246" i="37"/>
  <c r="W247" i="37"/>
  <c r="W248" i="37"/>
  <c r="W249" i="37"/>
  <c r="W250" i="37"/>
  <c r="W251" i="37"/>
  <c r="W252" i="37"/>
  <c r="W253" i="37"/>
  <c r="W254" i="37"/>
  <c r="W255" i="37"/>
  <c r="W256" i="37"/>
  <c r="W257" i="37"/>
  <c r="W258" i="37"/>
  <c r="W259" i="37"/>
  <c r="W260" i="37"/>
  <c r="W261" i="37"/>
  <c r="W262" i="37"/>
  <c r="W263" i="37"/>
  <c r="W264" i="37"/>
  <c r="W265" i="37"/>
  <c r="W266" i="37"/>
  <c r="W267" i="37"/>
  <c r="W268" i="37"/>
  <c r="M9" i="37"/>
  <c r="M10" i="37"/>
  <c r="M11" i="37"/>
  <c r="M12" i="37"/>
  <c r="M13" i="37"/>
  <c r="M14" i="37"/>
  <c r="M15" i="37"/>
  <c r="M16" i="37"/>
  <c r="M17" i="37"/>
  <c r="M18" i="37"/>
  <c r="M19" i="37"/>
  <c r="M20" i="37"/>
  <c r="M21" i="37"/>
  <c r="M22" i="37"/>
  <c r="M23" i="37"/>
  <c r="M24" i="37"/>
  <c r="M25" i="37"/>
  <c r="M26" i="37"/>
  <c r="M27" i="37"/>
  <c r="M28" i="37"/>
  <c r="M29" i="37"/>
  <c r="M30" i="37"/>
  <c r="M31" i="37"/>
  <c r="M32" i="37"/>
  <c r="M33" i="37"/>
  <c r="M34" i="37"/>
  <c r="M35" i="37"/>
  <c r="M36" i="37"/>
  <c r="M37" i="37"/>
  <c r="M38" i="37"/>
  <c r="M39" i="37"/>
  <c r="M40" i="37"/>
  <c r="M41" i="37"/>
  <c r="M42" i="37"/>
  <c r="M43" i="37"/>
  <c r="M44" i="37"/>
  <c r="M45" i="37"/>
  <c r="M46" i="37"/>
  <c r="M47" i="37"/>
  <c r="M48" i="37"/>
  <c r="M49" i="37"/>
  <c r="M50" i="37"/>
  <c r="M51" i="37"/>
  <c r="M52" i="37"/>
  <c r="M53" i="37"/>
  <c r="M54" i="37"/>
  <c r="M55" i="37"/>
  <c r="M56" i="37"/>
  <c r="M57" i="37"/>
  <c r="M58" i="37"/>
  <c r="M59" i="37"/>
  <c r="M60" i="37"/>
  <c r="M61" i="37"/>
  <c r="M62" i="37"/>
  <c r="M63" i="37"/>
  <c r="M64" i="37"/>
  <c r="M65" i="37"/>
  <c r="M66" i="37"/>
  <c r="M67" i="37"/>
  <c r="M68" i="37"/>
  <c r="M69" i="37"/>
  <c r="M70" i="37"/>
  <c r="M71" i="37"/>
  <c r="M72" i="37"/>
  <c r="M73" i="37"/>
  <c r="M74" i="37"/>
  <c r="M75" i="37"/>
  <c r="M76" i="37"/>
  <c r="M77" i="37"/>
  <c r="M78" i="37"/>
  <c r="M79" i="37"/>
  <c r="M80" i="37"/>
  <c r="M81" i="37"/>
  <c r="M82" i="37"/>
  <c r="M83" i="37"/>
  <c r="M84" i="37"/>
  <c r="M85" i="37"/>
  <c r="M86" i="37"/>
  <c r="M87" i="37"/>
  <c r="M88" i="37"/>
  <c r="M89" i="37"/>
  <c r="M90" i="37"/>
  <c r="M91" i="37"/>
  <c r="M92" i="37"/>
  <c r="M93" i="37"/>
  <c r="M94" i="37"/>
  <c r="M95" i="37"/>
  <c r="M96" i="37"/>
  <c r="M97" i="37"/>
  <c r="M98" i="37"/>
  <c r="M99" i="37"/>
  <c r="M100" i="37"/>
  <c r="M101" i="37"/>
  <c r="M102" i="37"/>
  <c r="M103" i="37"/>
  <c r="M104" i="37"/>
  <c r="M105" i="37"/>
  <c r="M106" i="37"/>
  <c r="M107" i="37"/>
  <c r="M108" i="37"/>
  <c r="M109" i="37"/>
  <c r="M110" i="37"/>
  <c r="M111" i="37"/>
  <c r="M112" i="37"/>
  <c r="M113" i="37"/>
  <c r="M114" i="37"/>
  <c r="M115" i="37"/>
  <c r="M116" i="37"/>
  <c r="M117" i="37"/>
  <c r="M118" i="37"/>
  <c r="M119" i="37"/>
  <c r="M120" i="37"/>
  <c r="M121" i="37"/>
  <c r="M122" i="37"/>
  <c r="M123" i="37"/>
  <c r="M124" i="37"/>
  <c r="M125" i="37"/>
  <c r="M126" i="37"/>
  <c r="M127" i="37"/>
  <c r="M128" i="37"/>
  <c r="M129" i="37"/>
  <c r="M130" i="37"/>
  <c r="M131" i="37"/>
  <c r="M132" i="37"/>
  <c r="M133" i="37"/>
  <c r="M134" i="37"/>
  <c r="M135" i="37"/>
  <c r="M136" i="37"/>
  <c r="M137" i="37"/>
  <c r="M138" i="37"/>
  <c r="M139" i="37"/>
  <c r="M140" i="37"/>
  <c r="M141" i="37"/>
  <c r="M142" i="37"/>
  <c r="M143" i="37"/>
  <c r="M144" i="37"/>
  <c r="M145" i="37"/>
  <c r="M146" i="37"/>
  <c r="M147" i="37"/>
  <c r="M148" i="37"/>
  <c r="M149" i="37"/>
  <c r="M150" i="37"/>
  <c r="M151" i="37"/>
  <c r="M152" i="37"/>
  <c r="M153" i="37"/>
  <c r="M154" i="37"/>
  <c r="M155" i="37"/>
  <c r="M156" i="37"/>
  <c r="M157" i="37"/>
  <c r="M158" i="37"/>
  <c r="M159" i="37"/>
  <c r="M160" i="37"/>
  <c r="M161" i="37"/>
  <c r="M162" i="37"/>
  <c r="M163" i="37"/>
  <c r="M164" i="37"/>
  <c r="M165" i="37"/>
  <c r="M166" i="37"/>
  <c r="M167" i="37"/>
  <c r="M168" i="37"/>
  <c r="M169" i="37"/>
  <c r="M170" i="37"/>
  <c r="M171" i="37"/>
  <c r="M172" i="37"/>
  <c r="M173" i="37"/>
  <c r="M174" i="37"/>
  <c r="M175" i="37"/>
  <c r="M176" i="37"/>
  <c r="M177" i="37"/>
  <c r="M178" i="37"/>
  <c r="M179" i="37"/>
  <c r="M180" i="37"/>
  <c r="M181" i="37"/>
  <c r="M182" i="37"/>
  <c r="M183" i="37"/>
  <c r="M184" i="37"/>
  <c r="M185" i="37"/>
  <c r="M186" i="37"/>
  <c r="M187" i="37"/>
  <c r="M188" i="37"/>
  <c r="M189" i="37"/>
  <c r="M190" i="37"/>
  <c r="M191" i="37"/>
  <c r="M192" i="37"/>
  <c r="M193" i="37"/>
  <c r="M194" i="37"/>
  <c r="M195" i="37"/>
  <c r="M196" i="37"/>
  <c r="M197" i="37"/>
  <c r="M198" i="37"/>
  <c r="M199" i="37"/>
  <c r="M200" i="37"/>
  <c r="M201" i="37"/>
  <c r="M202" i="37"/>
  <c r="M203" i="37"/>
  <c r="M204" i="37"/>
  <c r="M205" i="37"/>
  <c r="M206" i="37"/>
  <c r="M207" i="37"/>
  <c r="M208" i="37"/>
  <c r="M209" i="37"/>
  <c r="M210" i="37"/>
  <c r="M211" i="37"/>
  <c r="M212" i="37"/>
  <c r="M213" i="37"/>
  <c r="M214" i="37"/>
  <c r="M215" i="37"/>
  <c r="M216" i="37"/>
  <c r="M217" i="37"/>
  <c r="M218" i="37"/>
  <c r="M219" i="37"/>
  <c r="M220" i="37"/>
  <c r="M221" i="37"/>
  <c r="M222" i="37"/>
  <c r="M223" i="37"/>
  <c r="M224" i="37"/>
  <c r="M225" i="37"/>
  <c r="M226" i="37"/>
  <c r="M227" i="37"/>
  <c r="M228" i="37"/>
  <c r="M229" i="37"/>
  <c r="M230" i="37"/>
  <c r="M231" i="37"/>
  <c r="M232" i="37"/>
  <c r="M233" i="37"/>
  <c r="M234" i="37"/>
  <c r="M235" i="37"/>
  <c r="M236" i="37"/>
  <c r="M237" i="37"/>
  <c r="M238" i="37"/>
  <c r="M239" i="37"/>
  <c r="M240" i="37"/>
  <c r="M241" i="37"/>
  <c r="M242" i="37"/>
  <c r="M243" i="37"/>
  <c r="M244" i="37"/>
  <c r="M245" i="37"/>
  <c r="M246" i="37"/>
  <c r="M247" i="37"/>
  <c r="M248" i="37"/>
  <c r="M249" i="37"/>
  <c r="M250" i="37"/>
  <c r="M251" i="37"/>
  <c r="M252" i="37"/>
  <c r="M253" i="37"/>
  <c r="M254" i="37"/>
  <c r="M255" i="37"/>
  <c r="M256" i="37"/>
  <c r="M257" i="37"/>
  <c r="M258" i="37"/>
  <c r="M259" i="37"/>
  <c r="M260" i="37"/>
  <c r="M261" i="37"/>
  <c r="M262" i="37"/>
  <c r="M263" i="37"/>
  <c r="M264" i="37"/>
  <c r="M265" i="37"/>
  <c r="M266" i="37"/>
  <c r="M267" i="37"/>
  <c r="M268" i="37"/>
  <c r="C8" i="37"/>
  <c r="A8" i="57" l="1"/>
  <c r="EC8" i="37"/>
  <c r="DI8" i="37"/>
  <c r="CE8" i="37"/>
  <c r="BU8" i="37"/>
  <c r="BK8" i="37"/>
  <c r="EM8" i="37"/>
  <c r="DS8" i="37"/>
  <c r="CY8" i="37"/>
  <c r="CO8" i="37"/>
  <c r="BA8" i="37"/>
  <c r="AQ8" i="37"/>
  <c r="M8" i="37"/>
  <c r="AG8" i="37"/>
  <c r="W8" i="37"/>
  <c r="C91" i="24"/>
  <c r="C82" i="24"/>
  <c r="BB8" i="37" l="1"/>
  <c r="CZ8" i="37"/>
  <c r="EN8" i="37"/>
  <c r="BV8" i="37"/>
  <c r="DJ8" i="37"/>
  <c r="CP8" i="37"/>
  <c r="DT8" i="37"/>
  <c r="BL8" i="37"/>
  <c r="CF8" i="37"/>
  <c r="ED8" i="37"/>
  <c r="E116" i="36"/>
  <c r="D112" i="36"/>
  <c r="D111" i="36"/>
  <c r="D77" i="36"/>
  <c r="C104" i="36"/>
  <c r="D104" i="36"/>
  <c r="E104" i="36"/>
  <c r="F104" i="36"/>
  <c r="G104" i="36"/>
  <c r="H104" i="36"/>
  <c r="I104" i="36"/>
  <c r="J104" i="36"/>
  <c r="W22" i="38"/>
  <c r="AG22" i="38"/>
  <c r="AQ22" i="38"/>
  <c r="W23" i="38"/>
  <c r="AG23" i="38"/>
  <c r="AQ23" i="38"/>
  <c r="W24" i="38"/>
  <c r="AG24" i="38"/>
  <c r="AQ24" i="38"/>
  <c r="W25" i="38"/>
  <c r="AG25" i="38"/>
  <c r="AQ25" i="38"/>
  <c r="W26" i="38"/>
  <c r="AG26" i="38"/>
  <c r="AQ26" i="38"/>
  <c r="W27" i="38"/>
  <c r="AG27" i="38"/>
  <c r="AQ27" i="38"/>
  <c r="W28" i="38"/>
  <c r="AG28" i="38"/>
  <c r="AQ28" i="38"/>
  <c r="W29" i="38"/>
  <c r="AG29" i="38"/>
  <c r="AQ29" i="38"/>
  <c r="W30" i="38"/>
  <c r="AG30" i="38"/>
  <c r="AQ30" i="38"/>
  <c r="W31" i="38"/>
  <c r="AG31" i="38"/>
  <c r="AQ31" i="38"/>
  <c r="W32" i="38"/>
  <c r="AG32" i="38"/>
  <c r="AQ32" i="38"/>
  <c r="W33" i="38"/>
  <c r="AG33" i="38"/>
  <c r="AQ33" i="38"/>
  <c r="W34" i="38"/>
  <c r="AG34" i="38"/>
  <c r="AQ34" i="38"/>
  <c r="W35" i="38"/>
  <c r="AG35" i="38"/>
  <c r="AQ35" i="38"/>
  <c r="W36" i="38"/>
  <c r="AG36" i="38"/>
  <c r="AQ36" i="38"/>
  <c r="W37" i="38"/>
  <c r="AG37" i="38"/>
  <c r="AQ37" i="38"/>
  <c r="W38" i="38"/>
  <c r="AG38" i="38"/>
  <c r="AQ38" i="38"/>
  <c r="W39" i="38"/>
  <c r="AG39" i="38"/>
  <c r="AQ39" i="38"/>
  <c r="W40" i="38"/>
  <c r="AG40" i="38"/>
  <c r="AQ40" i="38"/>
  <c r="W41" i="38"/>
  <c r="AG41" i="38"/>
  <c r="AQ41" i="38"/>
  <c r="W42" i="38"/>
  <c r="AG42" i="38"/>
  <c r="AQ42" i="38"/>
  <c r="W43" i="38"/>
  <c r="AG43" i="38"/>
  <c r="AQ43" i="38"/>
  <c r="W44" i="38"/>
  <c r="AG44" i="38"/>
  <c r="AQ44" i="38"/>
  <c r="W45" i="38"/>
  <c r="AG45" i="38"/>
  <c r="AQ45" i="38"/>
  <c r="W46" i="38"/>
  <c r="AG46" i="38"/>
  <c r="AQ46" i="38"/>
  <c r="W47" i="38"/>
  <c r="AG47" i="38"/>
  <c r="AQ47" i="38"/>
  <c r="W48" i="38"/>
  <c r="AG48" i="38"/>
  <c r="AQ48" i="38"/>
  <c r="W49" i="38"/>
  <c r="AG49" i="38"/>
  <c r="AQ49" i="38"/>
  <c r="W50" i="38"/>
  <c r="AG50" i="38"/>
  <c r="AQ50" i="38"/>
  <c r="W51" i="38"/>
  <c r="AG51" i="38"/>
  <c r="AQ51" i="38"/>
  <c r="W52" i="38"/>
  <c r="AG52" i="38"/>
  <c r="AQ52" i="38"/>
  <c r="W53" i="38"/>
  <c r="AG53" i="38"/>
  <c r="AQ53" i="38"/>
  <c r="W54" i="38"/>
  <c r="AG54" i="38"/>
  <c r="AQ54" i="38"/>
  <c r="W55" i="38"/>
  <c r="AG55" i="38"/>
  <c r="AQ55" i="38"/>
  <c r="W56" i="38"/>
  <c r="AG56" i="38"/>
  <c r="AQ56" i="38"/>
  <c r="W57" i="38"/>
  <c r="AG57" i="38"/>
  <c r="AQ57" i="38"/>
  <c r="W58" i="38"/>
  <c r="AG58" i="38"/>
  <c r="AQ58" i="38"/>
  <c r="W59" i="38"/>
  <c r="AG59" i="38"/>
  <c r="AQ59" i="38"/>
  <c r="W60" i="38"/>
  <c r="AG60" i="38"/>
  <c r="AQ60" i="38"/>
  <c r="W61" i="38"/>
  <c r="AG61" i="38"/>
  <c r="AQ61" i="38"/>
  <c r="W62" i="38"/>
  <c r="AG62" i="38"/>
  <c r="AQ62" i="38"/>
  <c r="W63" i="38"/>
  <c r="AG63" i="38"/>
  <c r="AQ63" i="38"/>
  <c r="W64" i="38"/>
  <c r="AG64" i="38"/>
  <c r="AQ64" i="38"/>
  <c r="W65" i="38"/>
  <c r="AG65" i="38"/>
  <c r="AQ65" i="38"/>
  <c r="W66" i="38"/>
  <c r="AG66" i="38"/>
  <c r="AQ66" i="38"/>
  <c r="W67" i="38"/>
  <c r="AG67" i="38"/>
  <c r="AQ67" i="38"/>
  <c r="W68" i="38"/>
  <c r="AG68" i="38"/>
  <c r="AQ68" i="38"/>
  <c r="W69" i="38"/>
  <c r="AG69" i="38"/>
  <c r="AQ69" i="38"/>
  <c r="W70" i="38"/>
  <c r="AG70" i="38"/>
  <c r="AQ70" i="38"/>
  <c r="W71" i="38"/>
  <c r="AG71" i="38"/>
  <c r="AQ71" i="38"/>
  <c r="W72" i="38"/>
  <c r="AG72" i="38"/>
  <c r="AQ72" i="38"/>
  <c r="W73" i="38"/>
  <c r="AG73" i="38"/>
  <c r="AQ73" i="38"/>
  <c r="W74" i="38"/>
  <c r="AG74" i="38"/>
  <c r="AQ74" i="38"/>
  <c r="W75" i="38"/>
  <c r="AG75" i="38"/>
  <c r="AQ75" i="38"/>
  <c r="W76" i="38"/>
  <c r="AG76" i="38"/>
  <c r="AQ76" i="38"/>
  <c r="W77" i="38"/>
  <c r="AG77" i="38"/>
  <c r="AQ77" i="38"/>
  <c r="W78" i="38"/>
  <c r="AG78" i="38"/>
  <c r="AQ78" i="38"/>
  <c r="W79" i="38"/>
  <c r="AG79" i="38"/>
  <c r="AQ79" i="38"/>
  <c r="W80" i="38"/>
  <c r="AG80" i="38"/>
  <c r="AQ80" i="38"/>
  <c r="W81" i="38"/>
  <c r="AG81" i="38"/>
  <c r="AQ81" i="38"/>
  <c r="W82" i="38"/>
  <c r="AG82" i="38"/>
  <c r="AQ82" i="38"/>
  <c r="W83" i="38"/>
  <c r="AG83" i="38"/>
  <c r="AQ83" i="38"/>
  <c r="W84" i="38"/>
  <c r="AG84" i="38"/>
  <c r="AQ84" i="38"/>
  <c r="W85" i="38"/>
  <c r="AG85" i="38"/>
  <c r="AQ85" i="38"/>
  <c r="W86" i="38"/>
  <c r="AG86" i="38"/>
  <c r="AQ86" i="38"/>
  <c r="W87" i="38"/>
  <c r="AG87" i="38"/>
  <c r="AQ87" i="38"/>
  <c r="W88" i="38"/>
  <c r="AG88" i="38"/>
  <c r="AQ88" i="38"/>
  <c r="W89" i="38"/>
  <c r="AG89" i="38"/>
  <c r="AQ89" i="38"/>
  <c r="W90" i="38"/>
  <c r="AG90" i="38"/>
  <c r="AQ90" i="38"/>
  <c r="W91" i="38"/>
  <c r="AG91" i="38"/>
  <c r="AQ91" i="38"/>
  <c r="W92" i="38"/>
  <c r="AG92" i="38"/>
  <c r="AQ92" i="38"/>
  <c r="W93" i="38"/>
  <c r="AG93" i="38"/>
  <c r="AQ93" i="38"/>
  <c r="W94" i="38"/>
  <c r="AG94" i="38"/>
  <c r="AQ94" i="38"/>
  <c r="W95" i="38"/>
  <c r="AG95" i="38"/>
  <c r="AQ95" i="38"/>
  <c r="W96" i="38"/>
  <c r="AG96" i="38"/>
  <c r="AQ96" i="38"/>
  <c r="W97" i="38"/>
  <c r="AG97" i="38"/>
  <c r="AQ97" i="38"/>
  <c r="W98" i="38"/>
  <c r="AG98" i="38"/>
  <c r="AQ98" i="38"/>
  <c r="W99" i="38"/>
  <c r="AG99" i="38"/>
  <c r="AQ99" i="38"/>
  <c r="W100" i="38"/>
  <c r="AG100" i="38"/>
  <c r="AQ100" i="38"/>
  <c r="W101" i="38"/>
  <c r="AG101" i="38"/>
  <c r="AQ101" i="38"/>
  <c r="W102" i="38"/>
  <c r="AG102" i="38"/>
  <c r="AQ102" i="38"/>
  <c r="W103" i="38"/>
  <c r="AG103" i="38"/>
  <c r="AQ103" i="38"/>
  <c r="W104" i="38"/>
  <c r="AG104" i="38"/>
  <c r="AQ104" i="38"/>
  <c r="W105" i="38"/>
  <c r="AG105" i="38"/>
  <c r="AQ105" i="38"/>
  <c r="W106" i="38"/>
  <c r="AG106" i="38"/>
  <c r="AQ106" i="38"/>
  <c r="W107" i="38"/>
  <c r="AG107" i="38"/>
  <c r="AQ107" i="38"/>
  <c r="W108" i="38"/>
  <c r="AG108" i="38"/>
  <c r="AQ108" i="38"/>
  <c r="W109" i="38"/>
  <c r="AG109" i="38"/>
  <c r="AQ109" i="38"/>
  <c r="W110" i="38"/>
  <c r="AG110" i="38"/>
  <c r="AQ110" i="38"/>
  <c r="W111" i="38"/>
  <c r="AG111" i="38"/>
  <c r="AQ111" i="38"/>
  <c r="W112" i="38"/>
  <c r="AG112" i="38"/>
  <c r="AQ112" i="38"/>
  <c r="W113" i="38"/>
  <c r="AG113" i="38"/>
  <c r="AQ113" i="38"/>
  <c r="W114" i="38"/>
  <c r="AG114" i="38"/>
  <c r="AQ114" i="38"/>
  <c r="W115" i="38"/>
  <c r="AG115" i="38"/>
  <c r="AQ115" i="38"/>
  <c r="W116" i="38"/>
  <c r="AG116" i="38"/>
  <c r="AQ116" i="38"/>
  <c r="W117" i="38"/>
  <c r="AG117" i="38"/>
  <c r="AQ117" i="38"/>
  <c r="W118" i="38"/>
  <c r="AG118" i="38"/>
  <c r="AQ118" i="38"/>
  <c r="W119" i="38"/>
  <c r="AG119" i="38"/>
  <c r="AQ119" i="38"/>
  <c r="W120" i="38"/>
  <c r="AG120" i="38"/>
  <c r="AQ120" i="38"/>
  <c r="W121" i="38"/>
  <c r="AG121" i="38"/>
  <c r="AQ121" i="38"/>
  <c r="W122" i="38"/>
  <c r="AG122" i="38"/>
  <c r="AQ122" i="38"/>
  <c r="W123" i="38"/>
  <c r="AG123" i="38"/>
  <c r="AQ123" i="38"/>
  <c r="W124" i="38"/>
  <c r="AG124" i="38"/>
  <c r="AQ124" i="38"/>
  <c r="W125" i="38"/>
  <c r="AG125" i="38"/>
  <c r="AQ125" i="38"/>
  <c r="W126" i="38"/>
  <c r="AG126" i="38"/>
  <c r="AQ126" i="38"/>
  <c r="W127" i="38"/>
  <c r="AG127" i="38"/>
  <c r="AQ127" i="38"/>
  <c r="W128" i="38"/>
  <c r="AG128" i="38"/>
  <c r="AQ128" i="38"/>
  <c r="W129" i="38"/>
  <c r="AG129" i="38"/>
  <c r="AQ129" i="38"/>
  <c r="W130" i="38"/>
  <c r="AG130" i="38"/>
  <c r="AQ130" i="38"/>
  <c r="W131" i="38"/>
  <c r="AG131" i="38"/>
  <c r="AQ131" i="38"/>
  <c r="W132" i="38"/>
  <c r="AG132" i="38"/>
  <c r="AQ132" i="38"/>
  <c r="W133" i="38"/>
  <c r="AG133" i="38"/>
  <c r="AQ133" i="38"/>
  <c r="W134" i="38"/>
  <c r="AG134" i="38"/>
  <c r="AQ134" i="38"/>
  <c r="W135" i="38"/>
  <c r="AG135" i="38"/>
  <c r="AQ135" i="38"/>
  <c r="W136" i="38"/>
  <c r="AG136" i="38"/>
  <c r="AQ136" i="38"/>
  <c r="W137" i="38"/>
  <c r="AG137" i="38"/>
  <c r="AQ137" i="38"/>
  <c r="W138" i="38"/>
  <c r="AG138" i="38"/>
  <c r="AQ138" i="38"/>
  <c r="W139" i="38"/>
  <c r="AG139" i="38"/>
  <c r="AQ139" i="38"/>
  <c r="W140" i="38"/>
  <c r="AG140" i="38"/>
  <c r="AQ140" i="38"/>
  <c r="W141" i="38"/>
  <c r="AG141" i="38"/>
  <c r="AQ141" i="38"/>
  <c r="W142" i="38"/>
  <c r="AG142" i="38"/>
  <c r="AQ142" i="38"/>
  <c r="W143" i="38"/>
  <c r="AG143" i="38"/>
  <c r="AQ143" i="38"/>
  <c r="W144" i="38"/>
  <c r="AG144" i="38"/>
  <c r="AQ144" i="38"/>
  <c r="W145" i="38"/>
  <c r="AG145" i="38"/>
  <c r="AQ145" i="38"/>
  <c r="W146" i="38"/>
  <c r="AG146" i="38"/>
  <c r="AQ146" i="38"/>
  <c r="W147" i="38"/>
  <c r="AG147" i="38"/>
  <c r="AQ147" i="38"/>
  <c r="W148" i="38"/>
  <c r="AG148" i="38"/>
  <c r="AQ148" i="38"/>
  <c r="W149" i="38"/>
  <c r="AG149" i="38"/>
  <c r="AQ149" i="38"/>
  <c r="W150" i="38"/>
  <c r="AG150" i="38"/>
  <c r="AQ150" i="38"/>
  <c r="W151" i="38"/>
  <c r="AG151" i="38"/>
  <c r="AQ151" i="38"/>
  <c r="W152" i="38"/>
  <c r="AG152" i="38"/>
  <c r="AQ152" i="38"/>
  <c r="W153" i="38"/>
  <c r="AG153" i="38"/>
  <c r="AQ153" i="38"/>
  <c r="W154" i="38"/>
  <c r="AG154" i="38"/>
  <c r="AQ154" i="38"/>
  <c r="W155" i="38"/>
  <c r="AG155" i="38"/>
  <c r="AQ155" i="38"/>
  <c r="W156" i="38"/>
  <c r="AG156" i="38"/>
  <c r="AQ156" i="38"/>
  <c r="W157" i="38"/>
  <c r="AG157" i="38"/>
  <c r="AQ157" i="38"/>
  <c r="W158" i="38"/>
  <c r="AG158" i="38"/>
  <c r="AQ158" i="38"/>
  <c r="W159" i="38"/>
  <c r="AG159" i="38"/>
  <c r="AQ159" i="38"/>
  <c r="W160" i="38"/>
  <c r="AG160" i="38"/>
  <c r="AQ160" i="38"/>
  <c r="W161" i="38"/>
  <c r="AG161" i="38"/>
  <c r="AQ161" i="38"/>
  <c r="W162" i="38"/>
  <c r="AG162" i="38"/>
  <c r="AQ162" i="38"/>
  <c r="W163" i="38"/>
  <c r="AG163" i="38"/>
  <c r="AQ163" i="38"/>
  <c r="W164" i="38"/>
  <c r="AG164" i="38"/>
  <c r="AQ164" i="38"/>
  <c r="W165" i="38"/>
  <c r="AG165" i="38"/>
  <c r="AQ165" i="38"/>
  <c r="W166" i="38"/>
  <c r="AG166" i="38"/>
  <c r="AQ166" i="38"/>
  <c r="W167" i="38"/>
  <c r="AG167" i="38"/>
  <c r="AQ167" i="38"/>
  <c r="W168" i="38"/>
  <c r="AG168" i="38"/>
  <c r="AQ168" i="38"/>
  <c r="W169" i="38"/>
  <c r="AG169" i="38"/>
  <c r="AQ169" i="38"/>
  <c r="W170" i="38"/>
  <c r="AG170" i="38"/>
  <c r="AQ170" i="38"/>
  <c r="W171" i="38"/>
  <c r="AG171" i="38"/>
  <c r="AQ171" i="38"/>
  <c r="W172" i="38"/>
  <c r="AG172" i="38"/>
  <c r="AQ172" i="38"/>
  <c r="W173" i="38"/>
  <c r="AG173" i="38"/>
  <c r="AQ173" i="38"/>
  <c r="W174" i="38"/>
  <c r="AG174" i="38"/>
  <c r="AQ174" i="38"/>
  <c r="W175" i="38"/>
  <c r="AG175" i="38"/>
  <c r="AQ175" i="38"/>
  <c r="W176" i="38"/>
  <c r="AG176" i="38"/>
  <c r="AQ176" i="38"/>
  <c r="W177" i="38"/>
  <c r="AG177" i="38"/>
  <c r="AQ177" i="38"/>
  <c r="W178" i="38"/>
  <c r="AG178" i="38"/>
  <c r="AQ178" i="38"/>
  <c r="W179" i="38"/>
  <c r="AG179" i="38"/>
  <c r="AQ179" i="38"/>
  <c r="W180" i="38"/>
  <c r="AG180" i="38"/>
  <c r="AQ180" i="38"/>
  <c r="W181" i="38"/>
  <c r="AG181" i="38"/>
  <c r="AQ181" i="38"/>
  <c r="W182" i="38"/>
  <c r="AG182" i="38"/>
  <c r="AQ182" i="38"/>
  <c r="W183" i="38"/>
  <c r="AG183" i="38"/>
  <c r="AQ183" i="38"/>
  <c r="W184" i="38"/>
  <c r="AG184" i="38"/>
  <c r="AQ184" i="38"/>
  <c r="W185" i="38"/>
  <c r="AG185" i="38"/>
  <c r="AQ185" i="38"/>
  <c r="W186" i="38"/>
  <c r="AG186" i="38"/>
  <c r="AQ186" i="38"/>
  <c r="W187" i="38"/>
  <c r="AG187" i="38"/>
  <c r="AQ187" i="38"/>
  <c r="W188" i="38"/>
  <c r="AG188" i="38"/>
  <c r="AQ188" i="38"/>
  <c r="W189" i="38"/>
  <c r="AG189" i="38"/>
  <c r="AQ189" i="38"/>
  <c r="W190" i="38"/>
  <c r="AG190" i="38"/>
  <c r="AQ190" i="38"/>
  <c r="W191" i="38"/>
  <c r="AG191" i="38"/>
  <c r="AQ191" i="38"/>
  <c r="W192" i="38"/>
  <c r="AG192" i="38"/>
  <c r="AQ192" i="38"/>
  <c r="W193" i="38"/>
  <c r="AG193" i="38"/>
  <c r="AQ193" i="38"/>
  <c r="W194" i="38"/>
  <c r="AG194" i="38"/>
  <c r="AQ194" i="38"/>
  <c r="W195" i="38"/>
  <c r="AG195" i="38"/>
  <c r="AQ195" i="38"/>
  <c r="W196" i="38"/>
  <c r="AG196" i="38"/>
  <c r="AQ196" i="38"/>
  <c r="W197" i="38"/>
  <c r="AG197" i="38"/>
  <c r="AQ197" i="38"/>
  <c r="W198" i="38"/>
  <c r="AG198" i="38"/>
  <c r="AQ198" i="38"/>
  <c r="W199" i="38"/>
  <c r="AG199" i="38"/>
  <c r="AQ199" i="38"/>
  <c r="W200" i="38"/>
  <c r="AG200" i="38"/>
  <c r="AQ200" i="38"/>
  <c r="W201" i="38"/>
  <c r="AG201" i="38"/>
  <c r="AQ201" i="38"/>
  <c r="W202" i="38"/>
  <c r="AG202" i="38"/>
  <c r="AQ202" i="38"/>
  <c r="W203" i="38"/>
  <c r="AG203" i="38"/>
  <c r="AQ203" i="38"/>
  <c r="W204" i="38"/>
  <c r="AG204" i="38"/>
  <c r="AQ204" i="38"/>
  <c r="W205" i="38"/>
  <c r="AG205" i="38"/>
  <c r="AQ205" i="38"/>
  <c r="W206" i="38"/>
  <c r="AG206" i="38"/>
  <c r="AQ206" i="38"/>
  <c r="W207" i="38"/>
  <c r="AG207" i="38"/>
  <c r="AQ207" i="38"/>
  <c r="W208" i="38"/>
  <c r="AG208" i="38"/>
  <c r="AQ208" i="38"/>
  <c r="W209" i="38"/>
  <c r="AG209" i="38"/>
  <c r="AQ209" i="38"/>
  <c r="W210" i="38"/>
  <c r="AG210" i="38"/>
  <c r="AQ210" i="38"/>
  <c r="W211" i="38"/>
  <c r="AG211" i="38"/>
  <c r="AQ211" i="38"/>
  <c r="W212" i="38"/>
  <c r="AG212" i="38"/>
  <c r="AQ212" i="38"/>
  <c r="W213" i="38"/>
  <c r="AG213" i="38"/>
  <c r="AQ213" i="38"/>
  <c r="W214" i="38"/>
  <c r="AG214" i="38"/>
  <c r="AQ214" i="38"/>
  <c r="W215" i="38"/>
  <c r="AG215" i="38"/>
  <c r="AQ215" i="38"/>
  <c r="W216" i="38"/>
  <c r="AG216" i="38"/>
  <c r="AQ216" i="38"/>
  <c r="W217" i="38"/>
  <c r="AG217" i="38"/>
  <c r="AQ217" i="38"/>
  <c r="W218" i="38"/>
  <c r="AG218" i="38"/>
  <c r="AQ218" i="38"/>
  <c r="W219" i="38"/>
  <c r="AG219" i="38"/>
  <c r="AQ219" i="38"/>
  <c r="W220" i="38"/>
  <c r="AG220" i="38"/>
  <c r="AQ220" i="38"/>
  <c r="W221" i="38"/>
  <c r="AG221" i="38"/>
  <c r="AQ221" i="38"/>
  <c r="W222" i="38"/>
  <c r="AG222" i="38"/>
  <c r="AQ222" i="38"/>
  <c r="W223" i="38"/>
  <c r="AG223" i="38"/>
  <c r="AQ223" i="38"/>
  <c r="W224" i="38"/>
  <c r="AG224" i="38"/>
  <c r="AQ224" i="38"/>
  <c r="W225" i="38"/>
  <c r="AG225" i="38"/>
  <c r="AQ225" i="38"/>
  <c r="W226" i="38"/>
  <c r="AG226" i="38"/>
  <c r="AQ226" i="38"/>
  <c r="W227" i="38"/>
  <c r="AG227" i="38"/>
  <c r="AQ227" i="38"/>
  <c r="W228" i="38"/>
  <c r="AG228" i="38"/>
  <c r="AQ228" i="38"/>
  <c r="W229" i="38"/>
  <c r="AG229" i="38"/>
  <c r="AQ229" i="38"/>
  <c r="W230" i="38"/>
  <c r="AG230" i="38"/>
  <c r="AQ230" i="38"/>
  <c r="W231" i="38"/>
  <c r="AG231" i="38"/>
  <c r="AQ231" i="38"/>
  <c r="W232" i="38"/>
  <c r="AG232" i="38"/>
  <c r="AQ232" i="38"/>
  <c r="W233" i="38"/>
  <c r="AG233" i="38"/>
  <c r="AQ233" i="38"/>
  <c r="W234" i="38"/>
  <c r="AG234" i="38"/>
  <c r="AQ234" i="38"/>
  <c r="W235" i="38"/>
  <c r="AG235" i="38"/>
  <c r="AQ235" i="38"/>
  <c r="W236" i="38"/>
  <c r="AG236" i="38"/>
  <c r="AQ236" i="38"/>
  <c r="W237" i="38"/>
  <c r="AG237" i="38"/>
  <c r="AQ237" i="38"/>
  <c r="W238" i="38"/>
  <c r="AG238" i="38"/>
  <c r="AQ238" i="38"/>
  <c r="W239" i="38"/>
  <c r="AG239" i="38"/>
  <c r="AQ239" i="38"/>
  <c r="W240" i="38"/>
  <c r="AG240" i="38"/>
  <c r="AQ240" i="38"/>
  <c r="W241" i="38"/>
  <c r="AG241" i="38"/>
  <c r="AQ241" i="38"/>
  <c r="W242" i="38"/>
  <c r="AG242" i="38"/>
  <c r="AQ242" i="38"/>
  <c r="W243" i="38"/>
  <c r="AG243" i="38"/>
  <c r="AQ243" i="38"/>
  <c r="W244" i="38"/>
  <c r="AG244" i="38"/>
  <c r="AQ244" i="38"/>
  <c r="W245" i="38"/>
  <c r="AG245" i="38"/>
  <c r="AQ245" i="38"/>
  <c r="W246" i="38"/>
  <c r="AG246" i="38"/>
  <c r="AQ246" i="38"/>
  <c r="W247" i="38"/>
  <c r="AG247" i="38"/>
  <c r="AQ247" i="38"/>
  <c r="W248" i="38"/>
  <c r="AG248" i="38"/>
  <c r="AQ248" i="38"/>
  <c r="W249" i="38"/>
  <c r="AG249" i="38"/>
  <c r="AQ249" i="38"/>
  <c r="W250" i="38"/>
  <c r="AG250" i="38"/>
  <c r="AQ250" i="38"/>
  <c r="W251" i="38"/>
  <c r="AG251" i="38"/>
  <c r="AQ251" i="38"/>
  <c r="W252" i="38"/>
  <c r="AG252" i="38"/>
  <c r="AQ252" i="38"/>
  <c r="W253" i="38"/>
  <c r="AG253" i="38"/>
  <c r="AQ253" i="38"/>
  <c r="W254" i="38"/>
  <c r="AG254" i="38"/>
  <c r="AQ254" i="38"/>
  <c r="W255" i="38"/>
  <c r="AG255" i="38"/>
  <c r="AQ255" i="38"/>
  <c r="W256" i="38"/>
  <c r="AG256" i="38"/>
  <c r="AQ256" i="38"/>
  <c r="W257" i="38"/>
  <c r="AG257" i="38"/>
  <c r="AQ257" i="38"/>
  <c r="W258" i="38"/>
  <c r="AG258" i="38"/>
  <c r="AQ258" i="38"/>
  <c r="W259" i="38"/>
  <c r="AG259" i="38"/>
  <c r="AQ259" i="38"/>
  <c r="W260" i="38"/>
  <c r="AG260" i="38"/>
  <c r="AQ260" i="38"/>
  <c r="W261" i="38"/>
  <c r="AG261" i="38"/>
  <c r="AQ261" i="38"/>
  <c r="W262" i="38"/>
  <c r="AG262" i="38"/>
  <c r="AQ262" i="38"/>
  <c r="W263" i="38"/>
  <c r="AG263" i="38"/>
  <c r="AQ263" i="38"/>
  <c r="W264" i="38"/>
  <c r="AG264" i="38"/>
  <c r="AQ264" i="38"/>
  <c r="W265" i="38"/>
  <c r="AG265" i="38"/>
  <c r="AQ265" i="38"/>
  <c r="W266" i="38"/>
  <c r="AG266" i="38"/>
  <c r="AQ266" i="38"/>
  <c r="W267" i="38"/>
  <c r="AG267" i="38"/>
  <c r="AQ267" i="38"/>
  <c r="W268" i="38"/>
  <c r="AG268" i="38"/>
  <c r="AQ268" i="38"/>
  <c r="AQ9" i="38"/>
  <c r="AQ10" i="38"/>
  <c r="AQ11" i="38"/>
  <c r="AQ12" i="38"/>
  <c r="AQ13" i="38"/>
  <c r="AQ14" i="38"/>
  <c r="AQ15" i="38"/>
  <c r="AQ16" i="38"/>
  <c r="AQ17" i="38"/>
  <c r="AQ18" i="38"/>
  <c r="AQ19" i="38"/>
  <c r="AQ20" i="38"/>
  <c r="AQ21" i="38"/>
  <c r="AG9" i="38"/>
  <c r="AG10" i="38"/>
  <c r="AG11" i="38"/>
  <c r="AG12" i="38"/>
  <c r="AG13" i="38"/>
  <c r="AG14" i="38"/>
  <c r="AG15" i="38"/>
  <c r="AG16" i="38"/>
  <c r="AG17" i="38"/>
  <c r="AG18" i="38"/>
  <c r="AG19" i="38"/>
  <c r="AG20" i="38"/>
  <c r="AG21" i="38"/>
  <c r="W9" i="38"/>
  <c r="W10" i="38"/>
  <c r="W11" i="38"/>
  <c r="W12" i="38"/>
  <c r="W13" i="38"/>
  <c r="W14" i="38"/>
  <c r="W15" i="38"/>
  <c r="W16" i="38"/>
  <c r="W17" i="38"/>
  <c r="W18" i="38"/>
  <c r="W19" i="38"/>
  <c r="W20" i="38"/>
  <c r="W21" i="38"/>
  <c r="M9" i="38"/>
  <c r="M10" i="38"/>
  <c r="M11" i="38"/>
  <c r="M12" i="38"/>
  <c r="M13" i="38"/>
  <c r="M14" i="38"/>
  <c r="M15" i="38"/>
  <c r="M16" i="38"/>
  <c r="M17" i="38"/>
  <c r="M18" i="38"/>
  <c r="M19" i="38"/>
  <c r="M20" i="38"/>
  <c r="M21" i="38"/>
  <c r="M22" i="38"/>
  <c r="M23" i="38"/>
  <c r="M24" i="38"/>
  <c r="M25" i="38"/>
  <c r="M26" i="38"/>
  <c r="M27" i="38"/>
  <c r="M28" i="38"/>
  <c r="M29" i="38"/>
  <c r="M30" i="38"/>
  <c r="M31" i="38"/>
  <c r="M32" i="38"/>
  <c r="M33" i="38"/>
  <c r="M34" i="38"/>
  <c r="M35" i="38"/>
  <c r="M36" i="38"/>
  <c r="M37" i="38"/>
  <c r="M38" i="38"/>
  <c r="M39" i="38"/>
  <c r="M40" i="38"/>
  <c r="M41" i="38"/>
  <c r="M42" i="38"/>
  <c r="M43" i="38"/>
  <c r="M44" i="38"/>
  <c r="M45" i="38"/>
  <c r="M46" i="38"/>
  <c r="M47" i="38"/>
  <c r="M48" i="38"/>
  <c r="M49" i="38"/>
  <c r="M50" i="38"/>
  <c r="M51" i="38"/>
  <c r="M52" i="38"/>
  <c r="M53" i="38"/>
  <c r="M54" i="38"/>
  <c r="M55" i="38"/>
  <c r="M56" i="38"/>
  <c r="M57" i="38"/>
  <c r="M58" i="38"/>
  <c r="M59" i="38"/>
  <c r="M60" i="38"/>
  <c r="M61" i="38"/>
  <c r="M62" i="38"/>
  <c r="M63" i="38"/>
  <c r="M64" i="38"/>
  <c r="M65" i="38"/>
  <c r="M66" i="38"/>
  <c r="M67" i="38"/>
  <c r="M68" i="38"/>
  <c r="M69" i="38"/>
  <c r="M70" i="38"/>
  <c r="M71" i="38"/>
  <c r="M72" i="38"/>
  <c r="M73" i="38"/>
  <c r="M74" i="38"/>
  <c r="M75" i="38"/>
  <c r="M76" i="38"/>
  <c r="M77" i="38"/>
  <c r="M78" i="38"/>
  <c r="M79" i="38"/>
  <c r="M80" i="38"/>
  <c r="M81" i="38"/>
  <c r="M82" i="38"/>
  <c r="M83" i="38"/>
  <c r="M84" i="38"/>
  <c r="M85" i="38"/>
  <c r="M86" i="38"/>
  <c r="M87" i="38"/>
  <c r="M88" i="38"/>
  <c r="M89" i="38"/>
  <c r="M90" i="38"/>
  <c r="M91" i="38"/>
  <c r="M92" i="38"/>
  <c r="M93" i="38"/>
  <c r="M94" i="38"/>
  <c r="M95" i="38"/>
  <c r="M96" i="38"/>
  <c r="M97" i="38"/>
  <c r="M98" i="38"/>
  <c r="M99" i="38"/>
  <c r="M100" i="38"/>
  <c r="M101" i="38"/>
  <c r="M102" i="38"/>
  <c r="M103" i="38"/>
  <c r="M104" i="38"/>
  <c r="M105" i="38"/>
  <c r="M106" i="38"/>
  <c r="M107" i="38"/>
  <c r="M108" i="38"/>
  <c r="M109" i="38"/>
  <c r="M110" i="38"/>
  <c r="M111" i="38"/>
  <c r="M112" i="38"/>
  <c r="M113" i="38"/>
  <c r="M114" i="38"/>
  <c r="M115" i="38"/>
  <c r="M116" i="38"/>
  <c r="M117" i="38"/>
  <c r="M118" i="38"/>
  <c r="M119" i="38"/>
  <c r="M120" i="38"/>
  <c r="M121" i="38"/>
  <c r="M122" i="38"/>
  <c r="M123" i="38"/>
  <c r="M124" i="38"/>
  <c r="M125" i="38"/>
  <c r="M126" i="38"/>
  <c r="M127" i="38"/>
  <c r="M128" i="38"/>
  <c r="M129" i="38"/>
  <c r="M130" i="38"/>
  <c r="M131" i="38"/>
  <c r="M132" i="38"/>
  <c r="M133" i="38"/>
  <c r="M134" i="38"/>
  <c r="M135" i="38"/>
  <c r="M136" i="38"/>
  <c r="M137" i="38"/>
  <c r="M138" i="38"/>
  <c r="M139" i="38"/>
  <c r="M140" i="38"/>
  <c r="M141" i="38"/>
  <c r="M142" i="38"/>
  <c r="M143" i="38"/>
  <c r="M144" i="38"/>
  <c r="M145" i="38"/>
  <c r="M146" i="38"/>
  <c r="M147" i="38"/>
  <c r="M148" i="38"/>
  <c r="M149" i="38"/>
  <c r="M150" i="38"/>
  <c r="M151" i="38"/>
  <c r="M152" i="38"/>
  <c r="M153" i="38"/>
  <c r="M154" i="38"/>
  <c r="M155" i="38"/>
  <c r="M156" i="38"/>
  <c r="M157" i="38"/>
  <c r="M158" i="38"/>
  <c r="M159" i="38"/>
  <c r="M160" i="38"/>
  <c r="M161" i="38"/>
  <c r="M162" i="38"/>
  <c r="M163" i="38"/>
  <c r="M164" i="38"/>
  <c r="M165" i="38"/>
  <c r="M166" i="38"/>
  <c r="M167" i="38"/>
  <c r="M168" i="38"/>
  <c r="M169" i="38"/>
  <c r="M170" i="38"/>
  <c r="M171" i="38"/>
  <c r="M172" i="38"/>
  <c r="M173" i="38"/>
  <c r="M174" i="38"/>
  <c r="M175" i="38"/>
  <c r="M176" i="38"/>
  <c r="M177" i="38"/>
  <c r="M178" i="38"/>
  <c r="M179" i="38"/>
  <c r="M180" i="38"/>
  <c r="M181" i="38"/>
  <c r="M182" i="38"/>
  <c r="M183" i="38"/>
  <c r="M184" i="38"/>
  <c r="M185" i="38"/>
  <c r="M186" i="38"/>
  <c r="M187" i="38"/>
  <c r="M188" i="38"/>
  <c r="M189" i="38"/>
  <c r="M190" i="38"/>
  <c r="M191" i="38"/>
  <c r="M192" i="38"/>
  <c r="M193" i="38"/>
  <c r="M194" i="38"/>
  <c r="M195" i="38"/>
  <c r="M196" i="38"/>
  <c r="M197" i="38"/>
  <c r="M198" i="38"/>
  <c r="M199" i="38"/>
  <c r="M200" i="38"/>
  <c r="M201" i="38"/>
  <c r="M202" i="38"/>
  <c r="M203" i="38"/>
  <c r="M204" i="38"/>
  <c r="M205" i="38"/>
  <c r="M206" i="38"/>
  <c r="M207" i="38"/>
  <c r="M208" i="38"/>
  <c r="M209" i="38"/>
  <c r="M210" i="38"/>
  <c r="M211" i="38"/>
  <c r="M212" i="38"/>
  <c r="M213" i="38"/>
  <c r="M214" i="38"/>
  <c r="M215" i="38"/>
  <c r="M216" i="38"/>
  <c r="M217" i="38"/>
  <c r="M218" i="38"/>
  <c r="M219" i="38"/>
  <c r="M220" i="38"/>
  <c r="M221" i="38"/>
  <c r="M222" i="38"/>
  <c r="M223" i="38"/>
  <c r="M224" i="38"/>
  <c r="M225" i="38"/>
  <c r="M226" i="38"/>
  <c r="M227" i="38"/>
  <c r="M228" i="38"/>
  <c r="M229" i="38"/>
  <c r="M230" i="38"/>
  <c r="M231" i="38"/>
  <c r="M232" i="38"/>
  <c r="M233" i="38"/>
  <c r="M234" i="38"/>
  <c r="M235" i="38"/>
  <c r="M236" i="38"/>
  <c r="M237" i="38"/>
  <c r="M238" i="38"/>
  <c r="M239" i="38"/>
  <c r="M240" i="38"/>
  <c r="M241" i="38"/>
  <c r="M242" i="38"/>
  <c r="M243" i="38"/>
  <c r="M244" i="38"/>
  <c r="M245" i="38"/>
  <c r="M246" i="38"/>
  <c r="M247" i="38"/>
  <c r="M248" i="38"/>
  <c r="M249" i="38"/>
  <c r="M250" i="38"/>
  <c r="M251" i="38"/>
  <c r="M252" i="38"/>
  <c r="M253" i="38"/>
  <c r="M254" i="38"/>
  <c r="M255" i="38"/>
  <c r="M256" i="38"/>
  <c r="M257" i="38"/>
  <c r="M258" i="38"/>
  <c r="M259" i="38"/>
  <c r="M260" i="38"/>
  <c r="M261" i="38"/>
  <c r="M262" i="38"/>
  <c r="M263" i="38"/>
  <c r="M264" i="38"/>
  <c r="M265" i="38"/>
  <c r="M266" i="38"/>
  <c r="M267" i="38"/>
  <c r="M268" i="38"/>
  <c r="AP8" i="38"/>
  <c r="AF8" i="38"/>
  <c r="V8" i="38"/>
  <c r="L8" i="38"/>
  <c r="C8" i="38"/>
  <c r="B8" i="38"/>
  <c r="D22" i="38" s="1"/>
  <c r="C5" i="38"/>
  <c r="X138" i="33"/>
  <c r="X139" i="33"/>
  <c r="X140" i="33"/>
  <c r="X141" i="33"/>
  <c r="X137" i="33"/>
  <c r="N264" i="38" l="1"/>
  <c r="AH265" i="38"/>
  <c r="AQ8" i="38"/>
  <c r="DS8" i="38"/>
  <c r="DI8" i="38"/>
  <c r="BU8" i="38"/>
  <c r="BK8" i="38"/>
  <c r="EM8" i="38"/>
  <c r="EC8" i="38"/>
  <c r="CY8" i="38"/>
  <c r="CO8" i="38"/>
  <c r="CE8" i="38"/>
  <c r="BA8" i="38"/>
  <c r="BB8" i="38" s="1"/>
  <c r="X23" i="38"/>
  <c r="X27" i="38"/>
  <c r="X32" i="38"/>
  <c r="X36" i="38"/>
  <c r="X40" i="38"/>
  <c r="X44" i="38"/>
  <c r="X48" i="38"/>
  <c r="X52" i="38"/>
  <c r="X56" i="38"/>
  <c r="X60" i="38"/>
  <c r="X64" i="38"/>
  <c r="X68" i="38"/>
  <c r="X72" i="38"/>
  <c r="X76" i="38"/>
  <c r="X80" i="38"/>
  <c r="X84" i="38"/>
  <c r="X88" i="38"/>
  <c r="X25" i="38"/>
  <c r="X29" i="38"/>
  <c r="X34" i="38"/>
  <c r="X38" i="38"/>
  <c r="X42" i="38"/>
  <c r="X46" i="38"/>
  <c r="X50" i="38"/>
  <c r="X54" i="38"/>
  <c r="X58" i="38"/>
  <c r="X66" i="38"/>
  <c r="X74" i="38"/>
  <c r="X82" i="38"/>
  <c r="X92" i="38"/>
  <c r="X96" i="38"/>
  <c r="X100" i="38"/>
  <c r="X104" i="38"/>
  <c r="X108" i="38"/>
  <c r="X112" i="38"/>
  <c r="X116" i="38"/>
  <c r="X120" i="38"/>
  <c r="X124" i="38"/>
  <c r="X128" i="38"/>
  <c r="X133" i="38"/>
  <c r="X137" i="38"/>
  <c r="X62" i="38"/>
  <c r="X70" i="38"/>
  <c r="X78" i="38"/>
  <c r="X86" i="38"/>
  <c r="X90" i="38"/>
  <c r="X94" i="38"/>
  <c r="X98" i="38"/>
  <c r="X102" i="38"/>
  <c r="X106" i="38"/>
  <c r="X110" i="38"/>
  <c r="X114" i="38"/>
  <c r="X118" i="38"/>
  <c r="X122" i="38"/>
  <c r="X126" i="38"/>
  <c r="X130" i="38"/>
  <c r="X135" i="38"/>
  <c r="X139" i="38"/>
  <c r="X143" i="38"/>
  <c r="X147" i="38"/>
  <c r="X151" i="38"/>
  <c r="X155" i="38"/>
  <c r="X159" i="38"/>
  <c r="X163" i="38"/>
  <c r="X167" i="38"/>
  <c r="X171" i="38"/>
  <c r="X175" i="38"/>
  <c r="X179" i="38"/>
  <c r="X183" i="38"/>
  <c r="X187" i="38"/>
  <c r="X191" i="38"/>
  <c r="X195" i="38"/>
  <c r="X199" i="38"/>
  <c r="X203" i="38"/>
  <c r="X207" i="38"/>
  <c r="X211" i="38"/>
  <c r="X215" i="38"/>
  <c r="X219" i="38"/>
  <c r="X223" i="38"/>
  <c r="X227" i="38"/>
  <c r="X231" i="38"/>
  <c r="X235" i="38"/>
  <c r="X239" i="38"/>
  <c r="X243" i="38"/>
  <c r="X247" i="38"/>
  <c r="X251" i="38"/>
  <c r="X255" i="38"/>
  <c r="X259" i="38"/>
  <c r="X141" i="38"/>
  <c r="X145" i="38"/>
  <c r="X149" i="38"/>
  <c r="X153" i="38"/>
  <c r="X157" i="38"/>
  <c r="X161" i="38"/>
  <c r="X165" i="38"/>
  <c r="X169" i="38"/>
  <c r="X173" i="38"/>
  <c r="X177" i="38"/>
  <c r="X181" i="38"/>
  <c r="X185" i="38"/>
  <c r="X189" i="38"/>
  <c r="X193" i="38"/>
  <c r="X197" i="38"/>
  <c r="X201" i="38"/>
  <c r="X205" i="38"/>
  <c r="X209" i="38"/>
  <c r="X213" i="38"/>
  <c r="X217" i="38"/>
  <c r="X221" i="38"/>
  <c r="X225" i="38"/>
  <c r="X229" i="38"/>
  <c r="X233" i="38"/>
  <c r="X237" i="38"/>
  <c r="X241" i="38"/>
  <c r="X245" i="38"/>
  <c r="X249" i="38"/>
  <c r="X253" i="38"/>
  <c r="X257" i="38"/>
  <c r="AR23" i="38"/>
  <c r="AR27" i="38"/>
  <c r="AR32" i="38"/>
  <c r="AR36" i="38"/>
  <c r="AR40" i="38"/>
  <c r="AR44" i="38"/>
  <c r="AR48" i="38"/>
  <c r="AR52" i="38"/>
  <c r="AR56" i="38"/>
  <c r="AR60" i="38"/>
  <c r="AR64" i="38"/>
  <c r="AR68" i="38"/>
  <c r="AR72" i="38"/>
  <c r="AR76" i="38"/>
  <c r="AR80" i="38"/>
  <c r="AR84" i="38"/>
  <c r="AR25" i="38"/>
  <c r="AR29" i="38"/>
  <c r="AR34" i="38"/>
  <c r="AR38" i="38"/>
  <c r="AR42" i="38"/>
  <c r="AR46" i="38"/>
  <c r="AR50" i="38"/>
  <c r="AR54" i="38"/>
  <c r="AR58" i="38"/>
  <c r="AR66" i="38"/>
  <c r="AR74" i="38"/>
  <c r="AR82" i="38"/>
  <c r="AR88" i="38"/>
  <c r="AR92" i="38"/>
  <c r="AR96" i="38"/>
  <c r="AR100" i="38"/>
  <c r="AR104" i="38"/>
  <c r="AR108" i="38"/>
  <c r="AR112" i="38"/>
  <c r="AR116" i="38"/>
  <c r="AR120" i="38"/>
  <c r="AR124" i="38"/>
  <c r="AR128" i="38"/>
  <c r="AR133" i="38"/>
  <c r="AR137" i="38"/>
  <c r="AR62" i="38"/>
  <c r="AR70" i="38"/>
  <c r="AR78" i="38"/>
  <c r="AR86" i="38"/>
  <c r="AR90" i="38"/>
  <c r="AR94" i="38"/>
  <c r="AR98" i="38"/>
  <c r="AR102" i="38"/>
  <c r="AR106" i="38"/>
  <c r="AR110" i="38"/>
  <c r="AR114" i="38"/>
  <c r="AR118" i="38"/>
  <c r="AR122" i="38"/>
  <c r="AR126" i="38"/>
  <c r="AR130" i="38"/>
  <c r="AR131" i="38"/>
  <c r="AR135" i="38"/>
  <c r="AR143" i="38"/>
  <c r="AR147" i="38"/>
  <c r="AR151" i="38"/>
  <c r="AR155" i="38"/>
  <c r="AR159" i="38"/>
  <c r="AR163" i="38"/>
  <c r="AR167" i="38"/>
  <c r="AR171" i="38"/>
  <c r="AR175" i="38"/>
  <c r="AR179" i="38"/>
  <c r="AR183" i="38"/>
  <c r="AR187" i="38"/>
  <c r="AR191" i="38"/>
  <c r="AR195" i="38"/>
  <c r="AR199" i="38"/>
  <c r="AR203" i="38"/>
  <c r="AR207" i="38"/>
  <c r="AR211" i="38"/>
  <c r="AR215" i="38"/>
  <c r="AR219" i="38"/>
  <c r="AR223" i="38"/>
  <c r="AR227" i="38"/>
  <c r="AR231" i="38"/>
  <c r="AR235" i="38"/>
  <c r="AR239" i="38"/>
  <c r="AR243" i="38"/>
  <c r="AR247" i="38"/>
  <c r="AR251" i="38"/>
  <c r="AR255" i="38"/>
  <c r="AR259" i="38"/>
  <c r="AR139" i="38"/>
  <c r="AR141" i="38"/>
  <c r="AR145" i="38"/>
  <c r="AR149" i="38"/>
  <c r="AR153" i="38"/>
  <c r="AR157" i="38"/>
  <c r="AR161" i="38"/>
  <c r="AR165" i="38"/>
  <c r="AR169" i="38"/>
  <c r="AR173" i="38"/>
  <c r="AR177" i="38"/>
  <c r="AR181" i="38"/>
  <c r="AR185" i="38"/>
  <c r="AR189" i="38"/>
  <c r="AR193" i="38"/>
  <c r="AR197" i="38"/>
  <c r="AR201" i="38"/>
  <c r="AR205" i="38"/>
  <c r="AR209" i="38"/>
  <c r="AR213" i="38"/>
  <c r="AR217" i="38"/>
  <c r="AR221" i="38"/>
  <c r="AR225" i="38"/>
  <c r="AR229" i="38"/>
  <c r="AR233" i="38"/>
  <c r="AR237" i="38"/>
  <c r="AR241" i="38"/>
  <c r="AR245" i="38"/>
  <c r="AR249" i="38"/>
  <c r="AR253" i="38"/>
  <c r="AR257" i="38"/>
  <c r="X9" i="38"/>
  <c r="N10" i="38"/>
  <c r="N11" i="38"/>
  <c r="AH11" i="38"/>
  <c r="N13" i="38"/>
  <c r="AH13" i="38"/>
  <c r="AH14" i="38"/>
  <c r="X15" i="38"/>
  <c r="N16" i="38"/>
  <c r="D267" i="38"/>
  <c r="D265" i="38"/>
  <c r="D263" i="38"/>
  <c r="D261" i="38"/>
  <c r="D259" i="38"/>
  <c r="D257" i="38"/>
  <c r="D255" i="38"/>
  <c r="D253" i="38"/>
  <c r="D251" i="38"/>
  <c r="D249" i="38"/>
  <c r="D247" i="38"/>
  <c r="D245" i="38"/>
  <c r="D243" i="38"/>
  <c r="D241" i="38"/>
  <c r="D239" i="38"/>
  <c r="D237" i="38"/>
  <c r="D235" i="38"/>
  <c r="D233" i="38"/>
  <c r="D231" i="38"/>
  <c r="D229" i="38"/>
  <c r="D227" i="38"/>
  <c r="D225" i="38"/>
  <c r="D223" i="38"/>
  <c r="D221" i="38"/>
  <c r="D219" i="38"/>
  <c r="D217" i="38"/>
  <c r="D215" i="38"/>
  <c r="D213" i="38"/>
  <c r="D211" i="38"/>
  <c r="D209" i="38"/>
  <c r="D207" i="38"/>
  <c r="D205" i="38"/>
  <c r="D203" i="38"/>
  <c r="D201" i="38"/>
  <c r="D199" i="38"/>
  <c r="D197" i="38"/>
  <c r="D195" i="38"/>
  <c r="D193" i="38"/>
  <c r="D191" i="38"/>
  <c r="D189" i="38"/>
  <c r="D187" i="38"/>
  <c r="D185" i="38"/>
  <c r="D183" i="38"/>
  <c r="D181" i="38"/>
  <c r="D179" i="38"/>
  <c r="D177" i="38"/>
  <c r="D175" i="38"/>
  <c r="D173" i="38"/>
  <c r="D171" i="38"/>
  <c r="D169" i="38"/>
  <c r="D167" i="38"/>
  <c r="D165" i="38"/>
  <c r="D163" i="38"/>
  <c r="D161" i="38"/>
  <c r="D159" i="38"/>
  <c r="D157" i="38"/>
  <c r="D155" i="38"/>
  <c r="D153" i="38"/>
  <c r="D151" i="38"/>
  <c r="D149" i="38"/>
  <c r="D147" i="38"/>
  <c r="D145" i="38"/>
  <c r="D143" i="38"/>
  <c r="D141" i="38"/>
  <c r="D139" i="38"/>
  <c r="D137" i="38"/>
  <c r="D135" i="38"/>
  <c r="D133" i="38"/>
  <c r="D131" i="38"/>
  <c r="D129" i="38"/>
  <c r="D127" i="38"/>
  <c r="D125" i="38"/>
  <c r="D123" i="38"/>
  <c r="D121" i="38"/>
  <c r="D119" i="38"/>
  <c r="D117" i="38"/>
  <c r="D115" i="38"/>
  <c r="D113" i="38"/>
  <c r="D111" i="38"/>
  <c r="D109" i="38"/>
  <c r="D107" i="38"/>
  <c r="D105" i="38"/>
  <c r="D103" i="38"/>
  <c r="D101" i="38"/>
  <c r="D99" i="38"/>
  <c r="D97" i="38"/>
  <c r="D95" i="38"/>
  <c r="D93" i="38"/>
  <c r="D91" i="38"/>
  <c r="D89" i="38"/>
  <c r="D87" i="38"/>
  <c r="D85" i="38"/>
  <c r="D83" i="38"/>
  <c r="D81" i="38"/>
  <c r="D79" i="38"/>
  <c r="D77" i="38"/>
  <c r="D75" i="38"/>
  <c r="D73" i="38"/>
  <c r="D71" i="38"/>
  <c r="D69" i="38"/>
  <c r="D67" i="38"/>
  <c r="D65" i="38"/>
  <c r="D63" i="38"/>
  <c r="D61" i="38"/>
  <c r="D59" i="38"/>
  <c r="D57" i="38"/>
  <c r="D55" i="38"/>
  <c r="D53" i="38"/>
  <c r="D51" i="38"/>
  <c r="D49" i="38"/>
  <c r="D47" i="38"/>
  <c r="D45" i="38"/>
  <c r="D43" i="38"/>
  <c r="D41" i="38"/>
  <c r="D39" i="38"/>
  <c r="D37" i="38"/>
  <c r="D35" i="38"/>
  <c r="D33" i="38"/>
  <c r="D31" i="38"/>
  <c r="D29" i="38"/>
  <c r="D27" i="38"/>
  <c r="D25" i="38"/>
  <c r="D23" i="38"/>
  <c r="M8" i="38"/>
  <c r="N8" i="38" s="1"/>
  <c r="AG8" i="38"/>
  <c r="AH8" i="38" s="1"/>
  <c r="AH12" i="38"/>
  <c r="N268" i="38"/>
  <c r="AR265" i="38"/>
  <c r="X265" i="38"/>
  <c r="N265" i="38"/>
  <c r="N22" i="38"/>
  <c r="N23" i="38"/>
  <c r="N26" i="38"/>
  <c r="N27" i="38"/>
  <c r="N30" i="38"/>
  <c r="N31" i="38"/>
  <c r="N32" i="38"/>
  <c r="N35" i="38"/>
  <c r="N36" i="38"/>
  <c r="N39" i="38"/>
  <c r="N40" i="38"/>
  <c r="N43" i="38"/>
  <c r="N44" i="38"/>
  <c r="N47" i="38"/>
  <c r="N48" i="38"/>
  <c r="N51" i="38"/>
  <c r="N52" i="38"/>
  <c r="N55" i="38"/>
  <c r="N56" i="38"/>
  <c r="N59" i="38"/>
  <c r="N60" i="38"/>
  <c r="N63" i="38"/>
  <c r="N64" i="38"/>
  <c r="N67" i="38"/>
  <c r="N68" i="38"/>
  <c r="N71" i="38"/>
  <c r="N72" i="38"/>
  <c r="N75" i="38"/>
  <c r="N76" i="38"/>
  <c r="N79" i="38"/>
  <c r="N80" i="38"/>
  <c r="N83" i="38"/>
  <c r="N84" i="38"/>
  <c r="N87" i="38"/>
  <c r="N88" i="38"/>
  <c r="N24" i="38"/>
  <c r="N25" i="38"/>
  <c r="N28" i="38"/>
  <c r="N29" i="38"/>
  <c r="N33" i="38"/>
  <c r="N34" i="38"/>
  <c r="N37" i="38"/>
  <c r="N38" i="38"/>
  <c r="N41" i="38"/>
  <c r="N42" i="38"/>
  <c r="N45" i="38"/>
  <c r="N46" i="38"/>
  <c r="N49" i="38"/>
  <c r="N50" i="38"/>
  <c r="N53" i="38"/>
  <c r="N54" i="38"/>
  <c r="N57" i="38"/>
  <c r="N58" i="38"/>
  <c r="N65" i="38"/>
  <c r="N66" i="38"/>
  <c r="N73" i="38"/>
  <c r="N74" i="38"/>
  <c r="N81" i="38"/>
  <c r="N82" i="38"/>
  <c r="N91" i="38"/>
  <c r="N92" i="38"/>
  <c r="N95" i="38"/>
  <c r="N96" i="38"/>
  <c r="N99" i="38"/>
  <c r="N100" i="38"/>
  <c r="N103" i="38"/>
  <c r="N104" i="38"/>
  <c r="N107" i="38"/>
  <c r="N108" i="38"/>
  <c r="N111" i="38"/>
  <c r="N112" i="38"/>
  <c r="N115" i="38"/>
  <c r="N116" i="38"/>
  <c r="N119" i="38"/>
  <c r="N120" i="38"/>
  <c r="N123" i="38"/>
  <c r="N124" i="38"/>
  <c r="N127" i="38"/>
  <c r="N128" i="38"/>
  <c r="N131" i="38"/>
  <c r="N132" i="38"/>
  <c r="N133" i="38"/>
  <c r="N136" i="38"/>
  <c r="N137" i="38"/>
  <c r="N140" i="38"/>
  <c r="N61" i="38"/>
  <c r="N62" i="38"/>
  <c r="N69" i="38"/>
  <c r="N70" i="38"/>
  <c r="N77" i="38"/>
  <c r="N78" i="38"/>
  <c r="N85" i="38"/>
  <c r="N86" i="38"/>
  <c r="N89" i="38"/>
  <c r="N90" i="38"/>
  <c r="N93" i="38"/>
  <c r="N94" i="38"/>
  <c r="N97" i="38"/>
  <c r="N98" i="38"/>
  <c r="N101" i="38"/>
  <c r="N102" i="38"/>
  <c r="N105" i="38"/>
  <c r="N106" i="38"/>
  <c r="N109" i="38"/>
  <c r="N110" i="38"/>
  <c r="N113" i="38"/>
  <c r="N114" i="38"/>
  <c r="N117" i="38"/>
  <c r="N118" i="38"/>
  <c r="N121" i="38"/>
  <c r="N122" i="38"/>
  <c r="N125" i="38"/>
  <c r="N126" i="38"/>
  <c r="N129" i="38"/>
  <c r="N130" i="38"/>
  <c r="N134" i="38"/>
  <c r="N135" i="38"/>
  <c r="N138" i="38"/>
  <c r="N139" i="38"/>
  <c r="N142" i="38"/>
  <c r="N143" i="38"/>
  <c r="N146" i="38"/>
  <c r="N147" i="38"/>
  <c r="N150" i="38"/>
  <c r="N151" i="38"/>
  <c r="N154" i="38"/>
  <c r="N155" i="38"/>
  <c r="N158" i="38"/>
  <c r="N159" i="38"/>
  <c r="N162" i="38"/>
  <c r="N163" i="38"/>
  <c r="N166" i="38"/>
  <c r="N167" i="38"/>
  <c r="N170" i="38"/>
  <c r="N171" i="38"/>
  <c r="N174" i="38"/>
  <c r="N175" i="38"/>
  <c r="N178" i="38"/>
  <c r="N179" i="38"/>
  <c r="N182" i="38"/>
  <c r="N183" i="38"/>
  <c r="N186" i="38"/>
  <c r="N187" i="38"/>
  <c r="N190" i="38"/>
  <c r="N191" i="38"/>
  <c r="N194" i="38"/>
  <c r="N195" i="38"/>
  <c r="N198" i="38"/>
  <c r="N199" i="38"/>
  <c r="N202" i="38"/>
  <c r="N203" i="38"/>
  <c r="N206" i="38"/>
  <c r="N207" i="38"/>
  <c r="N210" i="38"/>
  <c r="N211" i="38"/>
  <c r="N214" i="38"/>
  <c r="N215" i="38"/>
  <c r="N218" i="38"/>
  <c r="N219" i="38"/>
  <c r="N222" i="38"/>
  <c r="N223" i="38"/>
  <c r="N226" i="38"/>
  <c r="N227" i="38"/>
  <c r="N230" i="38"/>
  <c r="N231" i="38"/>
  <c r="N234" i="38"/>
  <c r="N235" i="38"/>
  <c r="N238" i="38"/>
  <c r="N239" i="38"/>
  <c r="N242" i="38"/>
  <c r="N243" i="38"/>
  <c r="N246" i="38"/>
  <c r="N247" i="38"/>
  <c r="N250" i="38"/>
  <c r="N251" i="38"/>
  <c r="N254" i="38"/>
  <c r="N255" i="38"/>
  <c r="N258" i="38"/>
  <c r="N259" i="38"/>
  <c r="N262" i="38"/>
  <c r="N141" i="38"/>
  <c r="N144" i="38"/>
  <c r="N145" i="38"/>
  <c r="N148" i="38"/>
  <c r="N149" i="38"/>
  <c r="N152" i="38"/>
  <c r="N153" i="38"/>
  <c r="N156" i="38"/>
  <c r="N157" i="38"/>
  <c r="N160" i="38"/>
  <c r="N161" i="38"/>
  <c r="N164" i="38"/>
  <c r="N165" i="38"/>
  <c r="N168" i="38"/>
  <c r="N169" i="38"/>
  <c r="N172" i="38"/>
  <c r="N173" i="38"/>
  <c r="N176" i="38"/>
  <c r="N177" i="38"/>
  <c r="N180" i="38"/>
  <c r="N181" i="38"/>
  <c r="N184" i="38"/>
  <c r="N185" i="38"/>
  <c r="N188" i="38"/>
  <c r="N189" i="38"/>
  <c r="N192" i="38"/>
  <c r="N193" i="38"/>
  <c r="N196" i="38"/>
  <c r="N197" i="38"/>
  <c r="N200" i="38"/>
  <c r="N201" i="38"/>
  <c r="N204" i="38"/>
  <c r="N205" i="38"/>
  <c r="N208" i="38"/>
  <c r="N209" i="38"/>
  <c r="N212" i="38"/>
  <c r="N213" i="38"/>
  <c r="N216" i="38"/>
  <c r="N217" i="38"/>
  <c r="N220" i="38"/>
  <c r="N221" i="38"/>
  <c r="N224" i="38"/>
  <c r="N225" i="38"/>
  <c r="N228" i="38"/>
  <c r="N229" i="38"/>
  <c r="N232" i="38"/>
  <c r="N233" i="38"/>
  <c r="N236" i="38"/>
  <c r="N237" i="38"/>
  <c r="N240" i="38"/>
  <c r="N241" i="38"/>
  <c r="N244" i="38"/>
  <c r="N245" i="38"/>
  <c r="N248" i="38"/>
  <c r="N249" i="38"/>
  <c r="N252" i="38"/>
  <c r="N253" i="38"/>
  <c r="N256" i="38"/>
  <c r="N257" i="38"/>
  <c r="N260" i="38"/>
  <c r="N261" i="38"/>
  <c r="AH23" i="38"/>
  <c r="AH27" i="38"/>
  <c r="AH32" i="38"/>
  <c r="AH36" i="38"/>
  <c r="AH40" i="38"/>
  <c r="AH44" i="38"/>
  <c r="AH48" i="38"/>
  <c r="AH52" i="38"/>
  <c r="AH56" i="38"/>
  <c r="AH60" i="38"/>
  <c r="AH64" i="38"/>
  <c r="AH68" i="38"/>
  <c r="AH72" i="38"/>
  <c r="AH76" i="38"/>
  <c r="AH80" i="38"/>
  <c r="AH84" i="38"/>
  <c r="AH88" i="38"/>
  <c r="AH25" i="38"/>
  <c r="AH29" i="38"/>
  <c r="AH34" i="38"/>
  <c r="AH38" i="38"/>
  <c r="AH42" i="38"/>
  <c r="AH46" i="38"/>
  <c r="AH50" i="38"/>
  <c r="AH54" i="38"/>
  <c r="AH58" i="38"/>
  <c r="AH66" i="38"/>
  <c r="AH74" i="38"/>
  <c r="AH82" i="38"/>
  <c r="AH92" i="38"/>
  <c r="AH96" i="38"/>
  <c r="AH100" i="38"/>
  <c r="AH104" i="38"/>
  <c r="AH108" i="38"/>
  <c r="AH112" i="38"/>
  <c r="AH116" i="38"/>
  <c r="AH120" i="38"/>
  <c r="AH124" i="38"/>
  <c r="AH128" i="38"/>
  <c r="AH133" i="38"/>
  <c r="AH137" i="38"/>
  <c r="AH62" i="38"/>
  <c r="AH70" i="38"/>
  <c r="AH78" i="38"/>
  <c r="AH86" i="38"/>
  <c r="AH90" i="38"/>
  <c r="AH94" i="38"/>
  <c r="AH98" i="38"/>
  <c r="AH102" i="38"/>
  <c r="AH106" i="38"/>
  <c r="AH110" i="38"/>
  <c r="AH114" i="38"/>
  <c r="AH118" i="38"/>
  <c r="AH122" i="38"/>
  <c r="AH126" i="38"/>
  <c r="AH130" i="38"/>
  <c r="AH131" i="38"/>
  <c r="AH135" i="38"/>
  <c r="AH143" i="38"/>
  <c r="AH147" i="38"/>
  <c r="AH151" i="38"/>
  <c r="AH155" i="38"/>
  <c r="AH159" i="38"/>
  <c r="AH163" i="38"/>
  <c r="AH167" i="38"/>
  <c r="AH171" i="38"/>
  <c r="AH175" i="38"/>
  <c r="AH179" i="38"/>
  <c r="AH183" i="38"/>
  <c r="AH187" i="38"/>
  <c r="AH191" i="38"/>
  <c r="AH195" i="38"/>
  <c r="AH199" i="38"/>
  <c r="AH203" i="38"/>
  <c r="AH207" i="38"/>
  <c r="AH211" i="38"/>
  <c r="AH215" i="38"/>
  <c r="AH219" i="38"/>
  <c r="AH223" i="38"/>
  <c r="AH227" i="38"/>
  <c r="AH231" i="38"/>
  <c r="AH235" i="38"/>
  <c r="AH239" i="38"/>
  <c r="AH243" i="38"/>
  <c r="AH247" i="38"/>
  <c r="AH251" i="38"/>
  <c r="AH255" i="38"/>
  <c r="AH259" i="38"/>
  <c r="AH139" i="38"/>
  <c r="AH141" i="38"/>
  <c r="AH145" i="38"/>
  <c r="AH149" i="38"/>
  <c r="AH153" i="38"/>
  <c r="AH157" i="38"/>
  <c r="AH161" i="38"/>
  <c r="AH165" i="38"/>
  <c r="AH169" i="38"/>
  <c r="AH173" i="38"/>
  <c r="AH177" i="38"/>
  <c r="AH181" i="38"/>
  <c r="AH185" i="38"/>
  <c r="AH189" i="38"/>
  <c r="AH193" i="38"/>
  <c r="AH197" i="38"/>
  <c r="AH201" i="38"/>
  <c r="AH205" i="38"/>
  <c r="AH209" i="38"/>
  <c r="AH213" i="38"/>
  <c r="AH217" i="38"/>
  <c r="AH221" i="38"/>
  <c r="AH225" i="38"/>
  <c r="AH229" i="38"/>
  <c r="AH233" i="38"/>
  <c r="AH237" i="38"/>
  <c r="AH241" i="38"/>
  <c r="AH245" i="38"/>
  <c r="AH249" i="38"/>
  <c r="AH253" i="38"/>
  <c r="AH257" i="38"/>
  <c r="N9" i="38"/>
  <c r="AH9" i="38"/>
  <c r="AH10" i="38"/>
  <c r="X11" i="38"/>
  <c r="N12" i="38"/>
  <c r="X13" i="38"/>
  <c r="N14" i="38"/>
  <c r="N15" i="38"/>
  <c r="AH15" i="38"/>
  <c r="D268" i="38"/>
  <c r="D266" i="38"/>
  <c r="D264" i="38"/>
  <c r="D262" i="38"/>
  <c r="D260" i="38"/>
  <c r="D258" i="38"/>
  <c r="D256" i="38"/>
  <c r="D254" i="38"/>
  <c r="D252" i="38"/>
  <c r="D250" i="38"/>
  <c r="D248" i="38"/>
  <c r="D246" i="38"/>
  <c r="D244" i="38"/>
  <c r="D242" i="38"/>
  <c r="D240" i="38"/>
  <c r="D238" i="38"/>
  <c r="D236" i="38"/>
  <c r="D234" i="38"/>
  <c r="D232" i="38"/>
  <c r="D230" i="38"/>
  <c r="D228" i="38"/>
  <c r="D226" i="38"/>
  <c r="D224" i="38"/>
  <c r="D222" i="38"/>
  <c r="D220" i="38"/>
  <c r="D218" i="38"/>
  <c r="D216" i="38"/>
  <c r="D214" i="38"/>
  <c r="D212" i="38"/>
  <c r="D210" i="38"/>
  <c r="D208" i="38"/>
  <c r="D206" i="38"/>
  <c r="D204" i="38"/>
  <c r="D202" i="38"/>
  <c r="D200" i="38"/>
  <c r="D198" i="38"/>
  <c r="D196" i="38"/>
  <c r="D194" i="38"/>
  <c r="D192" i="38"/>
  <c r="D190" i="38"/>
  <c r="D188" i="38"/>
  <c r="D186" i="38"/>
  <c r="D184" i="38"/>
  <c r="D182" i="38"/>
  <c r="D180" i="38"/>
  <c r="D178" i="38"/>
  <c r="D176" i="38"/>
  <c r="D174" i="38"/>
  <c r="D172" i="38"/>
  <c r="D170" i="38"/>
  <c r="D168" i="38"/>
  <c r="D166" i="38"/>
  <c r="D164" i="38"/>
  <c r="D162" i="38"/>
  <c r="D160" i="38"/>
  <c r="D158" i="38"/>
  <c r="D156" i="38"/>
  <c r="D154" i="38"/>
  <c r="D152" i="38"/>
  <c r="D150" i="38"/>
  <c r="D148" i="38"/>
  <c r="D146" i="38"/>
  <c r="D144" i="38"/>
  <c r="D142" i="38"/>
  <c r="D140" i="38"/>
  <c r="D138" i="38"/>
  <c r="D136" i="38"/>
  <c r="D134" i="38"/>
  <c r="D132" i="38"/>
  <c r="D130" i="38"/>
  <c r="D128" i="38"/>
  <c r="D126" i="38"/>
  <c r="D124" i="38"/>
  <c r="D122" i="38"/>
  <c r="D120" i="38"/>
  <c r="D118" i="38"/>
  <c r="D116" i="38"/>
  <c r="D114" i="38"/>
  <c r="D112" i="38"/>
  <c r="D110" i="38"/>
  <c r="D108" i="38"/>
  <c r="D106" i="38"/>
  <c r="D104" i="38"/>
  <c r="D102" i="38"/>
  <c r="D100" i="38"/>
  <c r="D98" i="38"/>
  <c r="D96" i="38"/>
  <c r="D94" i="38"/>
  <c r="D92" i="38"/>
  <c r="D90" i="38"/>
  <c r="D88" i="38"/>
  <c r="D86" i="38"/>
  <c r="D84" i="38"/>
  <c r="D82" i="38"/>
  <c r="D80" i="38"/>
  <c r="D78" i="38"/>
  <c r="D76" i="38"/>
  <c r="D74" i="38"/>
  <c r="D72" i="38"/>
  <c r="D70" i="38"/>
  <c r="D68" i="38"/>
  <c r="D66" i="38"/>
  <c r="D64" i="38"/>
  <c r="D62" i="38"/>
  <c r="D60" i="38"/>
  <c r="D58" i="38"/>
  <c r="D56" i="38"/>
  <c r="D54" i="38"/>
  <c r="D52" i="38"/>
  <c r="D50" i="38"/>
  <c r="D48" i="38"/>
  <c r="D46" i="38"/>
  <c r="D44" i="38"/>
  <c r="D42" i="38"/>
  <c r="D40" i="38"/>
  <c r="D38" i="38"/>
  <c r="D36" i="38"/>
  <c r="D34" i="38"/>
  <c r="D32" i="38"/>
  <c r="D30" i="38"/>
  <c r="D28" i="38"/>
  <c r="D26" i="38"/>
  <c r="D24" i="38"/>
  <c r="W8" i="38"/>
  <c r="X8" i="38" s="1"/>
  <c r="X14" i="38"/>
  <c r="X12" i="38"/>
  <c r="X10" i="38"/>
  <c r="AR267" i="38"/>
  <c r="AH267" i="38"/>
  <c r="X267" i="38"/>
  <c r="N267" i="38"/>
  <c r="N266" i="38"/>
  <c r="AR263" i="38"/>
  <c r="AH263" i="38"/>
  <c r="X263" i="38"/>
  <c r="N263" i="38"/>
  <c r="AR261" i="38"/>
  <c r="AH261" i="38"/>
  <c r="X261" i="38"/>
  <c r="AR246" i="38"/>
  <c r="X246" i="38"/>
  <c r="AH244" i="38"/>
  <c r="AR242" i="38"/>
  <c r="X242" i="38"/>
  <c r="AH240" i="38"/>
  <c r="AR238" i="38"/>
  <c r="X238" i="38"/>
  <c r="AH236" i="38"/>
  <c r="AR234" i="38"/>
  <c r="X234" i="38"/>
  <c r="AH232" i="38"/>
  <c r="AR230" i="38"/>
  <c r="X230" i="38"/>
  <c r="AH228" i="38"/>
  <c r="AR226" i="38"/>
  <c r="X226" i="38"/>
  <c r="AH246" i="38"/>
  <c r="AR244" i="38"/>
  <c r="X244" i="38"/>
  <c r="AH242" i="38"/>
  <c r="AR240" i="38"/>
  <c r="X240" i="38"/>
  <c r="AH238" i="38"/>
  <c r="AR236" i="38"/>
  <c r="X236" i="38"/>
  <c r="AH234" i="38"/>
  <c r="AR232" i="38"/>
  <c r="X232" i="38"/>
  <c r="AH230" i="38"/>
  <c r="AR228" i="38"/>
  <c r="X228" i="38"/>
  <c r="AH226" i="38"/>
  <c r="AR30" i="38"/>
  <c r="X268" i="38"/>
  <c r="AH266" i="38"/>
  <c r="AR264" i="38"/>
  <c r="X264" i="38"/>
  <c r="AH262" i="38"/>
  <c r="X260" i="38"/>
  <c r="AH258" i="38"/>
  <c r="AH254" i="38"/>
  <c r="AR252" i="38"/>
  <c r="X252" i="38"/>
  <c r="AH250" i="38"/>
  <c r="AR248" i="38"/>
  <c r="AR268" i="38"/>
  <c r="AR260" i="38"/>
  <c r="AR256" i="38"/>
  <c r="X256" i="38"/>
  <c r="X248" i="38"/>
  <c r="AH268" i="38"/>
  <c r="AR266" i="38"/>
  <c r="X266" i="38"/>
  <c r="AH264" i="38"/>
  <c r="AR262" i="38"/>
  <c r="X262" i="38"/>
  <c r="AH260" i="38"/>
  <c r="AR258" i="38"/>
  <c r="X258" i="38"/>
  <c r="AH256" i="38"/>
  <c r="AR254" i="38"/>
  <c r="X254" i="38"/>
  <c r="AH252" i="38"/>
  <c r="AR250" i="38"/>
  <c r="X250" i="38"/>
  <c r="AH248" i="38"/>
  <c r="AR224" i="38"/>
  <c r="X224" i="38"/>
  <c r="AH222" i="38"/>
  <c r="AR220" i="38"/>
  <c r="X220" i="38"/>
  <c r="AH218" i="38"/>
  <c r="AR216" i="38"/>
  <c r="X216" i="38"/>
  <c r="AH214" i="38"/>
  <c r="AR212" i="38"/>
  <c r="X212" i="38"/>
  <c r="AH210" i="38"/>
  <c r="AR208" i="38"/>
  <c r="X208" i="38"/>
  <c r="AH206" i="38"/>
  <c r="AR204" i="38"/>
  <c r="X204" i="38"/>
  <c r="AH202" i="38"/>
  <c r="AR200" i="38"/>
  <c r="X200" i="38"/>
  <c r="AH198" i="38"/>
  <c r="AR196" i="38"/>
  <c r="X196" i="38"/>
  <c r="AH194" i="38"/>
  <c r="AR192" i="38"/>
  <c r="X192" i="38"/>
  <c r="AH190" i="38"/>
  <c r="AR188" i="38"/>
  <c r="X188" i="38"/>
  <c r="AH186" i="38"/>
  <c r="AR184" i="38"/>
  <c r="X184" i="38"/>
  <c r="AH182" i="38"/>
  <c r="AR180" i="38"/>
  <c r="X180" i="38"/>
  <c r="AH178" i="38"/>
  <c r="AH224" i="38"/>
  <c r="AR222" i="38"/>
  <c r="X222" i="38"/>
  <c r="AH220" i="38"/>
  <c r="AR218" i="38"/>
  <c r="X218" i="38"/>
  <c r="AH216" i="38"/>
  <c r="AR214" i="38"/>
  <c r="X214" i="38"/>
  <c r="AH212" i="38"/>
  <c r="AR210" i="38"/>
  <c r="X210" i="38"/>
  <c r="AH208" i="38"/>
  <c r="AR206" i="38"/>
  <c r="X206" i="38"/>
  <c r="AH204" i="38"/>
  <c r="AR202" i="38"/>
  <c r="X202" i="38"/>
  <c r="AH200" i="38"/>
  <c r="AR198" i="38"/>
  <c r="X198" i="38"/>
  <c r="AH196" i="38"/>
  <c r="AR194" i="38"/>
  <c r="X194" i="38"/>
  <c r="AH192" i="38"/>
  <c r="AR190" i="38"/>
  <c r="X190" i="38"/>
  <c r="AH188" i="38"/>
  <c r="AR186" i="38"/>
  <c r="X186" i="38"/>
  <c r="AH184" i="38"/>
  <c r="AR182" i="38"/>
  <c r="X182" i="38"/>
  <c r="AH180" i="38"/>
  <c r="AR178" i="38"/>
  <c r="X178" i="38"/>
  <c r="AR176" i="38"/>
  <c r="X176" i="38"/>
  <c r="AH174" i="38"/>
  <c r="AR172" i="38"/>
  <c r="X172" i="38"/>
  <c r="AH170" i="38"/>
  <c r="AR168" i="38"/>
  <c r="X168" i="38"/>
  <c r="AH166" i="38"/>
  <c r="AR164" i="38"/>
  <c r="X164" i="38"/>
  <c r="AH162" i="38"/>
  <c r="AR160" i="38"/>
  <c r="X160" i="38"/>
  <c r="AH158" i="38"/>
  <c r="AR156" i="38"/>
  <c r="X156" i="38"/>
  <c r="AH154" i="38"/>
  <c r="AR152" i="38"/>
  <c r="X152" i="38"/>
  <c r="AH150" i="38"/>
  <c r="AR148" i="38"/>
  <c r="X148" i="38"/>
  <c r="AH146" i="38"/>
  <c r="AR144" i="38"/>
  <c r="X144" i="38"/>
  <c r="AH142" i="38"/>
  <c r="AR140" i="38"/>
  <c r="X140" i="38"/>
  <c r="AH138" i="38"/>
  <c r="AR136" i="38"/>
  <c r="X136" i="38"/>
  <c r="AH134" i="38"/>
  <c r="AR132" i="38"/>
  <c r="X132" i="38"/>
  <c r="AH129" i="38"/>
  <c r="AR127" i="38"/>
  <c r="X127" i="38"/>
  <c r="AH121" i="38"/>
  <c r="AR119" i="38"/>
  <c r="X119" i="38"/>
  <c r="AH113" i="38"/>
  <c r="AR111" i="38"/>
  <c r="X111" i="38"/>
  <c r="AH105" i="38"/>
  <c r="AR103" i="38"/>
  <c r="X103" i="38"/>
  <c r="AH97" i="38"/>
  <c r="AR95" i="38"/>
  <c r="X95" i="38"/>
  <c r="AH176" i="38"/>
  <c r="AR174" i="38"/>
  <c r="X174" i="38"/>
  <c r="AH172" i="38"/>
  <c r="AR170" i="38"/>
  <c r="X170" i="38"/>
  <c r="AH168" i="38"/>
  <c r="AR166" i="38"/>
  <c r="X166" i="38"/>
  <c r="AH164" i="38"/>
  <c r="AR162" i="38"/>
  <c r="X162" i="38"/>
  <c r="AH160" i="38"/>
  <c r="AR158" i="38"/>
  <c r="X158" i="38"/>
  <c r="AH156" i="38"/>
  <c r="AR154" i="38"/>
  <c r="X154" i="38"/>
  <c r="AH152" i="38"/>
  <c r="AR150" i="38"/>
  <c r="X150" i="38"/>
  <c r="AH148" i="38"/>
  <c r="AR146" i="38"/>
  <c r="X146" i="38"/>
  <c r="AH144" i="38"/>
  <c r="AR142" i="38"/>
  <c r="X142" i="38"/>
  <c r="AH140" i="38"/>
  <c r="AR138" i="38"/>
  <c r="X138" i="38"/>
  <c r="AH136" i="38"/>
  <c r="AR134" i="38"/>
  <c r="X134" i="38"/>
  <c r="AH132" i="38"/>
  <c r="X131" i="38"/>
  <c r="AH125" i="38"/>
  <c r="AR123" i="38"/>
  <c r="X123" i="38"/>
  <c r="AH117" i="38"/>
  <c r="AR115" i="38"/>
  <c r="X115" i="38"/>
  <c r="AH109" i="38"/>
  <c r="AR107" i="38"/>
  <c r="X107" i="38"/>
  <c r="AH101" i="38"/>
  <c r="AR99" i="38"/>
  <c r="X99" i="38"/>
  <c r="AH93" i="38"/>
  <c r="AR91" i="38"/>
  <c r="X91" i="38"/>
  <c r="AH89" i="38"/>
  <c r="AR87" i="38"/>
  <c r="X87" i="38"/>
  <c r="AH85" i="38"/>
  <c r="AR83" i="38"/>
  <c r="X83" i="38"/>
  <c r="AH81" i="38"/>
  <c r="AR79" i="38"/>
  <c r="X79" i="38"/>
  <c r="AH77" i="38"/>
  <c r="AR75" i="38"/>
  <c r="X75" i="38"/>
  <c r="AH69" i="38"/>
  <c r="AR67" i="38"/>
  <c r="X67" i="38"/>
  <c r="AH61" i="38"/>
  <c r="AR59" i="38"/>
  <c r="X59" i="38"/>
  <c r="AH53" i="38"/>
  <c r="AR51" i="38"/>
  <c r="X51" i="38"/>
  <c r="AH45" i="38"/>
  <c r="AH28" i="38"/>
  <c r="AR26" i="38"/>
  <c r="X26" i="38"/>
  <c r="AR129" i="38"/>
  <c r="X129" i="38"/>
  <c r="AH127" i="38"/>
  <c r="AR125" i="38"/>
  <c r="X125" i="38"/>
  <c r="AH123" i="38"/>
  <c r="AR121" i="38"/>
  <c r="X121" i="38"/>
  <c r="AH119" i="38"/>
  <c r="AR117" i="38"/>
  <c r="X117" i="38"/>
  <c r="AH115" i="38"/>
  <c r="AR113" i="38"/>
  <c r="X113" i="38"/>
  <c r="AH111" i="38"/>
  <c r="AR109" i="38"/>
  <c r="X109" i="38"/>
  <c r="AH107" i="38"/>
  <c r="AR105" i="38"/>
  <c r="X105" i="38"/>
  <c r="AH103" i="38"/>
  <c r="AR101" i="38"/>
  <c r="X101" i="38"/>
  <c r="AH99" i="38"/>
  <c r="AR97" i="38"/>
  <c r="X97" i="38"/>
  <c r="AH95" i="38"/>
  <c r="AR93" i="38"/>
  <c r="X93" i="38"/>
  <c r="AH91" i="38"/>
  <c r="AR89" i="38"/>
  <c r="X89" i="38"/>
  <c r="AH87" i="38"/>
  <c r="AR85" i="38"/>
  <c r="X85" i="38"/>
  <c r="AH83" i="38"/>
  <c r="AR81" i="38"/>
  <c r="X81" i="38"/>
  <c r="AH79" i="38"/>
  <c r="AR77" i="38"/>
  <c r="X77" i="38"/>
  <c r="AH75" i="38"/>
  <c r="AR73" i="38"/>
  <c r="AH73" i="38"/>
  <c r="AR71" i="38"/>
  <c r="X71" i="38"/>
  <c r="AH65" i="38"/>
  <c r="AR63" i="38"/>
  <c r="X63" i="38"/>
  <c r="AH57" i="38"/>
  <c r="AR55" i="38"/>
  <c r="X55" i="38"/>
  <c r="AH49" i="38"/>
  <c r="AR47" i="38"/>
  <c r="X47" i="38"/>
  <c r="AH39" i="38"/>
  <c r="AR37" i="38"/>
  <c r="X37" i="38"/>
  <c r="AH31" i="38"/>
  <c r="X73" i="38"/>
  <c r="AH71" i="38"/>
  <c r="AR69" i="38"/>
  <c r="X69" i="38"/>
  <c r="AH67" i="38"/>
  <c r="AR65" i="38"/>
  <c r="X65" i="38"/>
  <c r="AH63" i="38"/>
  <c r="AR61" i="38"/>
  <c r="X61" i="38"/>
  <c r="AH59" i="38"/>
  <c r="AR57" i="38"/>
  <c r="X57" i="38"/>
  <c r="AH55" i="38"/>
  <c r="AR53" i="38"/>
  <c r="X53" i="38"/>
  <c r="AH51" i="38"/>
  <c r="AR49" i="38"/>
  <c r="X49" i="38"/>
  <c r="AH47" i="38"/>
  <c r="AR45" i="38"/>
  <c r="X45" i="38"/>
  <c r="AH43" i="38"/>
  <c r="AR41" i="38"/>
  <c r="X41" i="38"/>
  <c r="AH35" i="38"/>
  <c r="AR33" i="38"/>
  <c r="X33" i="38"/>
  <c r="AR43" i="38"/>
  <c r="X43" i="38"/>
  <c r="AH41" i="38"/>
  <c r="AR39" i="38"/>
  <c r="X39" i="38"/>
  <c r="AH37" i="38"/>
  <c r="AR35" i="38"/>
  <c r="X35" i="38"/>
  <c r="AH33" i="38"/>
  <c r="AR31" i="38"/>
  <c r="X31" i="38"/>
  <c r="X30" i="38"/>
  <c r="AH24" i="38"/>
  <c r="AR22" i="38"/>
  <c r="X22" i="38"/>
  <c r="AH30" i="38"/>
  <c r="AR28" i="38"/>
  <c r="X28" i="38"/>
  <c r="AH26" i="38"/>
  <c r="AR24" i="38"/>
  <c r="X24" i="38"/>
  <c r="AH22" i="38"/>
  <c r="D21" i="38"/>
  <c r="D20" i="38"/>
  <c r="D19" i="38"/>
  <c r="D18" i="38"/>
  <c r="D17" i="38"/>
  <c r="D8" i="38"/>
  <c r="AR21" i="38"/>
  <c r="AR20" i="38"/>
  <c r="AR19" i="38"/>
  <c r="AR18" i="38"/>
  <c r="AR17" i="38"/>
  <c r="AR16" i="38"/>
  <c r="AR8" i="38"/>
  <c r="D9" i="38"/>
  <c r="AR9" i="38"/>
  <c r="D10" i="38"/>
  <c r="AR10" i="38"/>
  <c r="D11" i="38"/>
  <c r="AR11" i="38"/>
  <c r="D12" i="38"/>
  <c r="AR12" i="38"/>
  <c r="D13" i="38"/>
  <c r="AR13" i="38"/>
  <c r="D14" i="38"/>
  <c r="AR14" i="38"/>
  <c r="D15" i="38"/>
  <c r="AR15" i="38"/>
  <c r="D16" i="38"/>
  <c r="X21" i="38"/>
  <c r="X20" i="38"/>
  <c r="X19" i="38"/>
  <c r="X18" i="38"/>
  <c r="X17" i="38"/>
  <c r="X16" i="38"/>
  <c r="N21" i="38"/>
  <c r="N20" i="38"/>
  <c r="N19" i="38"/>
  <c r="N18" i="38"/>
  <c r="N17" i="38"/>
  <c r="AH21" i="38"/>
  <c r="AH20" i="38"/>
  <c r="AH19" i="38"/>
  <c r="AH18" i="38"/>
  <c r="AH17" i="38"/>
  <c r="AH16" i="38"/>
  <c r="CF8" i="38" l="1"/>
  <c r="CZ8" i="38"/>
  <c r="EN8" i="38"/>
  <c r="BV8" i="38"/>
  <c r="DT8" i="38"/>
  <c r="CP8" i="38"/>
  <c r="ED8" i="38"/>
  <c r="BL8" i="38"/>
  <c r="DJ8" i="38"/>
  <c r="C137" i="33"/>
  <c r="C138" i="33"/>
  <c r="C139" i="33"/>
  <c r="C140" i="33"/>
  <c r="C141" i="33"/>
  <c r="C142" i="33"/>
  <c r="C143" i="33"/>
  <c r="C136" i="33"/>
  <c r="C119" i="33"/>
  <c r="BG54" i="33" l="1"/>
  <c r="BG53" i="33"/>
  <c r="X122" i="33" l="1"/>
  <c r="X123" i="33"/>
  <c r="X124" i="33"/>
  <c r="X125" i="33"/>
  <c r="X121" i="33"/>
  <c r="AP8" i="37"/>
  <c r="AF8" i="37"/>
  <c r="V8" i="37"/>
  <c r="L8" i="37"/>
  <c r="C5" i="37"/>
  <c r="BL72" i="33"/>
  <c r="AK252" i="31"/>
  <c r="BO7" i="33"/>
  <c r="BN7" i="33"/>
  <c r="B93" i="36"/>
  <c r="B94" i="36"/>
  <c r="B95" i="36"/>
  <c r="B96" i="36"/>
  <c r="J91" i="36"/>
  <c r="I91" i="36"/>
  <c r="H91" i="36"/>
  <c r="G91" i="36"/>
  <c r="F91" i="36"/>
  <c r="E91" i="36"/>
  <c r="D91" i="36"/>
  <c r="C91" i="36"/>
  <c r="B92" i="36"/>
  <c r="K92" i="33"/>
  <c r="J92" i="33"/>
  <c r="I92" i="33"/>
  <c r="H92" i="33"/>
  <c r="G92" i="33"/>
  <c r="F92" i="33"/>
  <c r="E92" i="33"/>
  <c r="D92" i="33"/>
  <c r="J27" i="36"/>
  <c r="I27" i="36"/>
  <c r="H27" i="36"/>
  <c r="G27" i="36"/>
  <c r="F27" i="36"/>
  <c r="E27" i="36"/>
  <c r="D27" i="36"/>
  <c r="C27" i="36"/>
  <c r="C74" i="33"/>
  <c r="C120" i="33"/>
  <c r="C121" i="33"/>
  <c r="C122" i="33"/>
  <c r="C123" i="33"/>
  <c r="C124" i="33"/>
  <c r="C125" i="33"/>
  <c r="C126" i="33"/>
  <c r="C107" i="33"/>
  <c r="C108" i="33"/>
  <c r="C109" i="33"/>
  <c r="C110" i="33"/>
  <c r="C111" i="33"/>
  <c r="C112" i="33"/>
  <c r="C113" i="33"/>
  <c r="C106" i="33"/>
  <c r="C94" i="33"/>
  <c r="C95" i="33"/>
  <c r="C96" i="33"/>
  <c r="C97" i="33"/>
  <c r="C98" i="33"/>
  <c r="C99" i="33"/>
  <c r="C100" i="33"/>
  <c r="C93" i="33"/>
  <c r="C75" i="33"/>
  <c r="C76" i="33"/>
  <c r="C77" i="33"/>
  <c r="C78" i="33"/>
  <c r="C79" i="33"/>
  <c r="C80" i="33"/>
  <c r="C73" i="33"/>
  <c r="B66" i="36"/>
  <c r="B67" i="36"/>
  <c r="B68" i="36"/>
  <c r="B69" i="36"/>
  <c r="B70" i="36"/>
  <c r="B71" i="36"/>
  <c r="B72" i="36"/>
  <c r="B65" i="36"/>
  <c r="B53" i="36"/>
  <c r="B54" i="36"/>
  <c r="B55" i="36"/>
  <c r="B56" i="36"/>
  <c r="B57" i="36"/>
  <c r="B58" i="36"/>
  <c r="B59" i="36"/>
  <c r="B52" i="36"/>
  <c r="B41" i="36"/>
  <c r="B42" i="36"/>
  <c r="B43" i="36"/>
  <c r="B44" i="36"/>
  <c r="B45" i="36"/>
  <c r="B46" i="36"/>
  <c r="B47" i="36"/>
  <c r="B40" i="36"/>
  <c r="B29" i="36"/>
  <c r="B30" i="36"/>
  <c r="B31" i="36"/>
  <c r="B32" i="36"/>
  <c r="B33" i="36"/>
  <c r="B34" i="36"/>
  <c r="B35" i="36"/>
  <c r="B28" i="36"/>
  <c r="J8" i="36"/>
  <c r="I8" i="36"/>
  <c r="H8" i="36"/>
  <c r="G8" i="36"/>
  <c r="F8" i="36"/>
  <c r="E8" i="36"/>
  <c r="D8" i="36"/>
  <c r="C8" i="36"/>
  <c r="E73" i="33" l="1"/>
  <c r="D116" i="33"/>
  <c r="D114" i="33"/>
  <c r="D115" i="33"/>
  <c r="F116" i="33"/>
  <c r="F115" i="33"/>
  <c r="F114" i="33"/>
  <c r="H115" i="33"/>
  <c r="H116" i="33"/>
  <c r="H114" i="33"/>
  <c r="J116" i="33"/>
  <c r="J115" i="33"/>
  <c r="J114" i="33"/>
  <c r="E116" i="33"/>
  <c r="E114" i="33"/>
  <c r="E115" i="33"/>
  <c r="G114" i="33"/>
  <c r="G115" i="33"/>
  <c r="G116" i="33"/>
  <c r="I115" i="33"/>
  <c r="I116" i="33"/>
  <c r="I114" i="33"/>
  <c r="K114" i="33"/>
  <c r="K115" i="33"/>
  <c r="K116" i="33"/>
  <c r="E180" i="33"/>
  <c r="E155" i="33"/>
  <c r="G180" i="33"/>
  <c r="G155" i="33"/>
  <c r="I180" i="33"/>
  <c r="I155" i="33"/>
  <c r="K180" i="33"/>
  <c r="K155" i="33"/>
  <c r="D180" i="33"/>
  <c r="D155" i="33"/>
  <c r="F180" i="33"/>
  <c r="F155" i="33"/>
  <c r="H180" i="33"/>
  <c r="H155" i="33"/>
  <c r="J180" i="33"/>
  <c r="J155" i="33"/>
  <c r="X277" i="37"/>
  <c r="X281" i="37"/>
  <c r="X285" i="37"/>
  <c r="X291" i="37"/>
  <c r="X295" i="37"/>
  <c r="X299" i="37"/>
  <c r="X272" i="37"/>
  <c r="X279" i="37"/>
  <c r="X283" i="37"/>
  <c r="X289" i="37"/>
  <c r="X293" i="37"/>
  <c r="X301" i="37"/>
  <c r="X302" i="37"/>
  <c r="X306" i="37"/>
  <c r="X310" i="37"/>
  <c r="X314" i="37"/>
  <c r="X318" i="37"/>
  <c r="X322" i="37"/>
  <c r="X329" i="37"/>
  <c r="X333" i="37"/>
  <c r="X337" i="37"/>
  <c r="X341" i="37"/>
  <c r="X345" i="37"/>
  <c r="X270" i="37"/>
  <c r="X288" i="37"/>
  <c r="X304" i="37"/>
  <c r="X312" i="37"/>
  <c r="X320" i="37"/>
  <c r="X327" i="37"/>
  <c r="X335" i="37"/>
  <c r="X343" i="37"/>
  <c r="X274" i="37"/>
  <c r="X297" i="37"/>
  <c r="X308" i="37"/>
  <c r="X316" i="37"/>
  <c r="X324" i="37"/>
  <c r="X331" i="37"/>
  <c r="X339" i="37"/>
  <c r="X347" i="37"/>
  <c r="X309" i="37"/>
  <c r="X344" i="37"/>
  <c r="X336" i="37"/>
  <c r="X328" i="37"/>
  <c r="X305" i="37"/>
  <c r="X348" i="37"/>
  <c r="X340" i="37"/>
  <c r="X332" i="37"/>
  <c r="X346" i="37"/>
  <c r="X342" i="37"/>
  <c r="X338" i="37"/>
  <c r="X334" i="37"/>
  <c r="X330" i="37"/>
  <c r="X326" i="37"/>
  <c r="X307" i="37"/>
  <c r="X303" i="37"/>
  <c r="X325" i="37"/>
  <c r="X323" i="37"/>
  <c r="X321" i="37"/>
  <c r="X319" i="37"/>
  <c r="X317" i="37"/>
  <c r="X315" i="37"/>
  <c r="X313" i="37"/>
  <c r="X311" i="37"/>
  <c r="X300" i="37"/>
  <c r="X298" i="37"/>
  <c r="X296" i="37"/>
  <c r="X294" i="37"/>
  <c r="X292" i="37"/>
  <c r="X290" i="37"/>
  <c r="X287" i="37"/>
  <c r="X275" i="37"/>
  <c r="X273" i="37"/>
  <c r="X271" i="37"/>
  <c r="X269" i="37"/>
  <c r="X286" i="37"/>
  <c r="X284" i="37"/>
  <c r="X282" i="37"/>
  <c r="X280" i="37"/>
  <c r="X278" i="37"/>
  <c r="X276" i="37"/>
  <c r="AR8" i="37"/>
  <c r="AR270" i="37"/>
  <c r="AR272" i="37"/>
  <c r="AR274" i="37"/>
  <c r="AR277" i="37"/>
  <c r="AR281" i="37"/>
  <c r="AR291" i="37"/>
  <c r="AR295" i="37"/>
  <c r="AR299" i="37"/>
  <c r="AR279" i="37"/>
  <c r="AR283" i="37"/>
  <c r="AR289" i="37"/>
  <c r="AR293" i="37"/>
  <c r="AR301" i="37"/>
  <c r="AR302" i="37"/>
  <c r="AR306" i="37"/>
  <c r="AR310" i="37"/>
  <c r="AR314" i="37"/>
  <c r="AR318" i="37"/>
  <c r="AR322" i="37"/>
  <c r="AR325" i="37"/>
  <c r="AR329" i="37"/>
  <c r="AR333" i="37"/>
  <c r="AR337" i="37"/>
  <c r="AR341" i="37"/>
  <c r="AR345" i="37"/>
  <c r="AR285" i="37"/>
  <c r="AR288" i="37"/>
  <c r="AR304" i="37"/>
  <c r="AR312" i="37"/>
  <c r="AR320" i="37"/>
  <c r="AR327" i="37"/>
  <c r="AR335" i="37"/>
  <c r="AR343" i="37"/>
  <c r="AR297" i="37"/>
  <c r="AR308" i="37"/>
  <c r="AR316" i="37"/>
  <c r="AR324" i="37"/>
  <c r="AR331" i="37"/>
  <c r="AR339" i="37"/>
  <c r="AR347" i="37"/>
  <c r="AR344" i="37"/>
  <c r="AR336" i="37"/>
  <c r="AR328" i="37"/>
  <c r="AR305" i="37"/>
  <c r="AR348" i="37"/>
  <c r="AR340" i="37"/>
  <c r="AR332" i="37"/>
  <c r="AR346" i="37"/>
  <c r="AR342" i="37"/>
  <c r="AR338" i="37"/>
  <c r="AR334" i="37"/>
  <c r="AR330" i="37"/>
  <c r="AR326" i="37"/>
  <c r="AR307" i="37"/>
  <c r="AR303" i="37"/>
  <c r="AR323" i="37"/>
  <c r="AR321" i="37"/>
  <c r="AR319" i="37"/>
  <c r="AR317" i="37"/>
  <c r="AR315" i="37"/>
  <c r="AR313" i="37"/>
  <c r="AR311" i="37"/>
  <c r="AR309" i="37"/>
  <c r="AR275" i="37"/>
  <c r="AR286" i="37"/>
  <c r="AR300" i="37"/>
  <c r="AR298" i="37"/>
  <c r="AR296" i="37"/>
  <c r="AR294" i="37"/>
  <c r="AR292" i="37"/>
  <c r="AR290" i="37"/>
  <c r="AR284" i="37"/>
  <c r="AR282" i="37"/>
  <c r="AR280" i="37"/>
  <c r="AR278" i="37"/>
  <c r="AR276" i="37"/>
  <c r="AR287" i="37"/>
  <c r="AR273" i="37"/>
  <c r="AR271" i="37"/>
  <c r="AR269" i="37"/>
  <c r="D8" i="37"/>
  <c r="D269" i="37"/>
  <c r="D270" i="37"/>
  <c r="D271" i="37"/>
  <c r="D272" i="37"/>
  <c r="D273" i="37"/>
  <c r="D274" i="37"/>
  <c r="D275" i="37"/>
  <c r="D277" i="37"/>
  <c r="D278" i="37"/>
  <c r="D281" i="37"/>
  <c r="D287" i="37"/>
  <c r="D290" i="37"/>
  <c r="D291" i="37"/>
  <c r="D292" i="37"/>
  <c r="D295" i="37"/>
  <c r="D296" i="37"/>
  <c r="D299" i="37"/>
  <c r="D276" i="37"/>
  <c r="D279" i="37"/>
  <c r="D283" i="37"/>
  <c r="D285" i="37"/>
  <c r="D286" i="37"/>
  <c r="D289" i="37"/>
  <c r="D293" i="37"/>
  <c r="D298" i="37"/>
  <c r="D301" i="37"/>
  <c r="D302" i="37"/>
  <c r="D305" i="37"/>
  <c r="D306" i="37"/>
  <c r="D309" i="37"/>
  <c r="D310" i="37"/>
  <c r="D313" i="37"/>
  <c r="D314" i="37"/>
  <c r="D317" i="37"/>
  <c r="D318" i="37"/>
  <c r="D321" i="37"/>
  <c r="D322" i="37"/>
  <c r="D325" i="37"/>
  <c r="D328" i="37"/>
  <c r="D329" i="37"/>
  <c r="D332" i="37"/>
  <c r="D333" i="37"/>
  <c r="D336" i="37"/>
  <c r="D337" i="37"/>
  <c r="D340" i="37"/>
  <c r="D341" i="37"/>
  <c r="D344" i="37"/>
  <c r="D345" i="37"/>
  <c r="D348" i="37"/>
  <c r="D282" i="37"/>
  <c r="D288" i="37"/>
  <c r="D304" i="37"/>
  <c r="D307" i="37"/>
  <c r="D312" i="37"/>
  <c r="D315" i="37"/>
  <c r="D320" i="37"/>
  <c r="D323" i="37"/>
  <c r="D327" i="37"/>
  <c r="D330" i="37"/>
  <c r="D335" i="37"/>
  <c r="D338" i="37"/>
  <c r="D343" i="37"/>
  <c r="D346" i="37"/>
  <c r="D280" i="37"/>
  <c r="D284" i="37"/>
  <c r="D294" i="37"/>
  <c r="D297" i="37"/>
  <c r="D300" i="37"/>
  <c r="D303" i="37"/>
  <c r="D308" i="37"/>
  <c r="D311" i="37"/>
  <c r="D316" i="37"/>
  <c r="D319" i="37"/>
  <c r="D324" i="37"/>
  <c r="D326" i="37"/>
  <c r="D331" i="37"/>
  <c r="D334" i="37"/>
  <c r="D339" i="37"/>
  <c r="D342" i="37"/>
  <c r="D347" i="37"/>
  <c r="N279" i="37"/>
  <c r="N281" i="37"/>
  <c r="N285" i="37"/>
  <c r="N288" i="37"/>
  <c r="N293" i="37"/>
  <c r="N297" i="37"/>
  <c r="N272" i="37"/>
  <c r="N277" i="37"/>
  <c r="N283" i="37"/>
  <c r="N289" i="37"/>
  <c r="N291" i="37"/>
  <c r="N299" i="37"/>
  <c r="N302" i="37"/>
  <c r="N306" i="37"/>
  <c r="N310" i="37"/>
  <c r="N314" i="37"/>
  <c r="N318" i="37"/>
  <c r="N322" i="37"/>
  <c r="N329" i="37"/>
  <c r="N333" i="37"/>
  <c r="N337" i="37"/>
  <c r="N341" i="37"/>
  <c r="N345" i="37"/>
  <c r="N270" i="37"/>
  <c r="N295" i="37"/>
  <c r="N304" i="37"/>
  <c r="N312" i="37"/>
  <c r="N320" i="37"/>
  <c r="N327" i="37"/>
  <c r="N335" i="37"/>
  <c r="N343" i="37"/>
  <c r="N274" i="37"/>
  <c r="N301" i="37"/>
  <c r="N308" i="37"/>
  <c r="N316" i="37"/>
  <c r="N324" i="37"/>
  <c r="N331" i="37"/>
  <c r="N339" i="37"/>
  <c r="N347" i="37"/>
  <c r="N311" i="37"/>
  <c r="N303" i="37"/>
  <c r="N290" i="37"/>
  <c r="N346" i="37"/>
  <c r="N338" i="37"/>
  <c r="N330" i="37"/>
  <c r="N307" i="37"/>
  <c r="N342" i="37"/>
  <c r="N334" i="37"/>
  <c r="N326" i="37"/>
  <c r="N348" i="37"/>
  <c r="N344" i="37"/>
  <c r="N340" i="37"/>
  <c r="N336" i="37"/>
  <c r="N332" i="37"/>
  <c r="N328" i="37"/>
  <c r="N309" i="37"/>
  <c r="N305" i="37"/>
  <c r="N325" i="37"/>
  <c r="N323" i="37"/>
  <c r="N321" i="37"/>
  <c r="N319" i="37"/>
  <c r="N317" i="37"/>
  <c r="N315" i="37"/>
  <c r="N313" i="37"/>
  <c r="N300" i="37"/>
  <c r="N298" i="37"/>
  <c r="N296" i="37"/>
  <c r="N294" i="37"/>
  <c r="N292" i="37"/>
  <c r="N287" i="37"/>
  <c r="N286" i="37"/>
  <c r="N284" i="37"/>
  <c r="N282" i="37"/>
  <c r="N280" i="37"/>
  <c r="N278" i="37"/>
  <c r="N276" i="37"/>
  <c r="N275" i="37"/>
  <c r="N273" i="37"/>
  <c r="N271" i="37"/>
  <c r="N269" i="37"/>
  <c r="AH270" i="37"/>
  <c r="AH272" i="37"/>
  <c r="AH274" i="37"/>
  <c r="AH279" i="37"/>
  <c r="AH281" i="37"/>
  <c r="AH288" i="37"/>
  <c r="AH293" i="37"/>
  <c r="AH297" i="37"/>
  <c r="AH277" i="37"/>
  <c r="AH283" i="37"/>
  <c r="AH289" i="37"/>
  <c r="AH291" i="37"/>
  <c r="AH299" i="37"/>
  <c r="AH302" i="37"/>
  <c r="AH306" i="37"/>
  <c r="AH310" i="37"/>
  <c r="AH314" i="37"/>
  <c r="AH318" i="37"/>
  <c r="AH322" i="37"/>
  <c r="AH329" i="37"/>
  <c r="AH333" i="37"/>
  <c r="AH337" i="37"/>
  <c r="AH341" i="37"/>
  <c r="AH345" i="37"/>
  <c r="AH285" i="37"/>
  <c r="AH295" i="37"/>
  <c r="AH304" i="37"/>
  <c r="AH312" i="37"/>
  <c r="AH320" i="37"/>
  <c r="AH327" i="37"/>
  <c r="AH335" i="37"/>
  <c r="AH343" i="37"/>
  <c r="AH301" i="37"/>
  <c r="AH308" i="37"/>
  <c r="AH316" i="37"/>
  <c r="AH324" i="37"/>
  <c r="AH331" i="37"/>
  <c r="AH339" i="37"/>
  <c r="AH347" i="37"/>
  <c r="AH346" i="37"/>
  <c r="AH338" i="37"/>
  <c r="AH330" i="37"/>
  <c r="AH307" i="37"/>
  <c r="AH342" i="37"/>
  <c r="AH334" i="37"/>
  <c r="AH326" i="37"/>
  <c r="AH348" i="37"/>
  <c r="AH344" i="37"/>
  <c r="AH340" i="37"/>
  <c r="AH336" i="37"/>
  <c r="AH332" i="37"/>
  <c r="AH328" i="37"/>
  <c r="AH309" i="37"/>
  <c r="AH305" i="37"/>
  <c r="AH325" i="37"/>
  <c r="AH323" i="37"/>
  <c r="AH321" i="37"/>
  <c r="AH319" i="37"/>
  <c r="AH317" i="37"/>
  <c r="AH315" i="37"/>
  <c r="AH313" i="37"/>
  <c r="AH311" i="37"/>
  <c r="AH303" i="37"/>
  <c r="AH296" i="37"/>
  <c r="AH294" i="37"/>
  <c r="AH292" i="37"/>
  <c r="AH290" i="37"/>
  <c r="AH282" i="37"/>
  <c r="AH280" i="37"/>
  <c r="AH278" i="37"/>
  <c r="AH276" i="37"/>
  <c r="AH275" i="37"/>
  <c r="AH273" i="37"/>
  <c r="AH271" i="37"/>
  <c r="AH269" i="37"/>
  <c r="AH300" i="37"/>
  <c r="AH298" i="37"/>
  <c r="AH287" i="37"/>
  <c r="AH286" i="37"/>
  <c r="AH284" i="37"/>
  <c r="M106" i="33"/>
  <c r="L106" i="33"/>
  <c r="N106" i="33"/>
  <c r="N112" i="33"/>
  <c r="L112" i="33"/>
  <c r="M112" i="33"/>
  <c r="L110" i="33"/>
  <c r="N110" i="33"/>
  <c r="M110" i="33"/>
  <c r="L108" i="33"/>
  <c r="N108" i="33"/>
  <c r="M108" i="33"/>
  <c r="N113" i="33"/>
  <c r="L113" i="33"/>
  <c r="M113" i="33"/>
  <c r="N111" i="33"/>
  <c r="L111" i="33"/>
  <c r="M111" i="33"/>
  <c r="L109" i="33"/>
  <c r="N109" i="33"/>
  <c r="M109" i="33"/>
  <c r="L107" i="33"/>
  <c r="N107" i="33"/>
  <c r="M107" i="33"/>
  <c r="E106" i="33"/>
  <c r="G106" i="33"/>
  <c r="I106" i="33"/>
  <c r="K106" i="33"/>
  <c r="F106" i="33"/>
  <c r="H106" i="33"/>
  <c r="J106" i="33"/>
  <c r="D106" i="33"/>
  <c r="D112" i="33"/>
  <c r="F112" i="33"/>
  <c r="H112" i="33"/>
  <c r="J112" i="33"/>
  <c r="E112" i="33"/>
  <c r="G112" i="33"/>
  <c r="I112" i="33"/>
  <c r="K112" i="33"/>
  <c r="D110" i="33"/>
  <c r="F110" i="33"/>
  <c r="H110" i="33"/>
  <c r="J110" i="33"/>
  <c r="E110" i="33"/>
  <c r="G110" i="33"/>
  <c r="I110" i="33"/>
  <c r="K110" i="33"/>
  <c r="D108" i="33"/>
  <c r="F108" i="33"/>
  <c r="H108" i="33"/>
  <c r="J108" i="33"/>
  <c r="E108" i="33"/>
  <c r="G108" i="33"/>
  <c r="I108" i="33"/>
  <c r="K108" i="33"/>
  <c r="D113" i="33"/>
  <c r="F113" i="33"/>
  <c r="H113" i="33"/>
  <c r="J113" i="33"/>
  <c r="E113" i="33"/>
  <c r="G113" i="33"/>
  <c r="I113" i="33"/>
  <c r="K113" i="33"/>
  <c r="D111" i="33"/>
  <c r="F111" i="33"/>
  <c r="H111" i="33"/>
  <c r="J111" i="33"/>
  <c r="E111" i="33"/>
  <c r="G111" i="33"/>
  <c r="I111" i="33"/>
  <c r="K111" i="33"/>
  <c r="D109" i="33"/>
  <c r="F109" i="33"/>
  <c r="H109" i="33"/>
  <c r="J109" i="33"/>
  <c r="E109" i="33"/>
  <c r="G109" i="33"/>
  <c r="I109" i="33"/>
  <c r="K109" i="33"/>
  <c r="D107" i="33"/>
  <c r="F107" i="33"/>
  <c r="H107" i="33"/>
  <c r="J107" i="33"/>
  <c r="E107" i="33"/>
  <c r="G107" i="33"/>
  <c r="I107" i="33"/>
  <c r="K107" i="33"/>
  <c r="X9" i="37"/>
  <c r="X10" i="37"/>
  <c r="X11" i="37"/>
  <c r="X12" i="37"/>
  <c r="X13" i="37"/>
  <c r="X14" i="37"/>
  <c r="X15" i="37"/>
  <c r="X16" i="37"/>
  <c r="X17" i="37"/>
  <c r="X18" i="37"/>
  <c r="X19" i="37"/>
  <c r="X20" i="37"/>
  <c r="X21" i="37"/>
  <c r="X22" i="37"/>
  <c r="X23" i="37"/>
  <c r="X24" i="37"/>
  <c r="X25" i="37"/>
  <c r="X26" i="37"/>
  <c r="X27" i="37"/>
  <c r="X28" i="37"/>
  <c r="X29" i="37"/>
  <c r="X30" i="37"/>
  <c r="X31" i="37"/>
  <c r="X32" i="37"/>
  <c r="X33" i="37"/>
  <c r="X34" i="37"/>
  <c r="X35" i="37"/>
  <c r="X36" i="37"/>
  <c r="X37" i="37"/>
  <c r="X38" i="37"/>
  <c r="X39" i="37"/>
  <c r="X40" i="37"/>
  <c r="X41" i="37"/>
  <c r="X42" i="37"/>
  <c r="X43" i="37"/>
  <c r="X44" i="37"/>
  <c r="X45" i="37"/>
  <c r="X46" i="37"/>
  <c r="X47" i="37"/>
  <c r="X48" i="37"/>
  <c r="X49" i="37"/>
  <c r="X50" i="37"/>
  <c r="X51" i="37"/>
  <c r="X264" i="37"/>
  <c r="X260" i="37"/>
  <c r="X256" i="37"/>
  <c r="X252" i="37"/>
  <c r="X248" i="37"/>
  <c r="X244" i="37"/>
  <c r="X240" i="37"/>
  <c r="X236" i="37"/>
  <c r="X232" i="37"/>
  <c r="X265" i="37"/>
  <c r="X261" i="37"/>
  <c r="X257" i="37"/>
  <c r="X253" i="37"/>
  <c r="X249" i="37"/>
  <c r="X245" i="37"/>
  <c r="X241" i="37"/>
  <c r="X237" i="37"/>
  <c r="X233" i="37"/>
  <c r="X229" i="37"/>
  <c r="X225" i="37"/>
  <c r="X221" i="37"/>
  <c r="X217" i="37"/>
  <c r="X213" i="37"/>
  <c r="X209" i="37"/>
  <c r="X228" i="37"/>
  <c r="X224" i="37"/>
  <c r="X220" i="37"/>
  <c r="X216" i="37"/>
  <c r="X212" i="37"/>
  <c r="X208" i="37"/>
  <c r="X204" i="37"/>
  <c r="X200" i="37"/>
  <c r="X196" i="37"/>
  <c r="X192" i="37"/>
  <c r="X188" i="37"/>
  <c r="X184" i="37"/>
  <c r="X203" i="37"/>
  <c r="X199" i="37"/>
  <c r="X195" i="37"/>
  <c r="X191" i="37"/>
  <c r="X187" i="37"/>
  <c r="X268" i="37"/>
  <c r="X180" i="37"/>
  <c r="X176" i="37"/>
  <c r="X172" i="37"/>
  <c r="X168" i="37"/>
  <c r="X164" i="37"/>
  <c r="X160" i="37"/>
  <c r="X156" i="37"/>
  <c r="X152" i="37"/>
  <c r="X148" i="37"/>
  <c r="X144" i="37"/>
  <c r="X140" i="37"/>
  <c r="X136" i="37"/>
  <c r="X132" i="37"/>
  <c r="X128" i="37"/>
  <c r="X124" i="37"/>
  <c r="X120" i="37"/>
  <c r="X116" i="37"/>
  <c r="X112" i="37"/>
  <c r="X108" i="37"/>
  <c r="X104" i="37"/>
  <c r="X100" i="37"/>
  <c r="X96" i="37"/>
  <c r="X92" i="37"/>
  <c r="X88" i="37"/>
  <c r="X84" i="37"/>
  <c r="X80" i="37"/>
  <c r="X76" i="37"/>
  <c r="X72" i="37"/>
  <c r="X68" i="37"/>
  <c r="X64" i="37"/>
  <c r="X60" i="37"/>
  <c r="X56" i="37"/>
  <c r="X52" i="37"/>
  <c r="X181" i="37"/>
  <c r="X177" i="37"/>
  <c r="X173" i="37"/>
  <c r="X169" i="37"/>
  <c r="X165" i="37"/>
  <c r="X161" i="37"/>
  <c r="X157" i="37"/>
  <c r="X153" i="37"/>
  <c r="X149" i="37"/>
  <c r="X145" i="37"/>
  <c r="X141" i="37"/>
  <c r="X137" i="37"/>
  <c r="X133" i="37"/>
  <c r="X129" i="37"/>
  <c r="X125" i="37"/>
  <c r="X121" i="37"/>
  <c r="X117" i="37"/>
  <c r="X113" i="37"/>
  <c r="X109" i="37"/>
  <c r="X105" i="37"/>
  <c r="X101" i="37"/>
  <c r="X97" i="37"/>
  <c r="X93" i="37"/>
  <c r="X89" i="37"/>
  <c r="X85" i="37"/>
  <c r="X81" i="37"/>
  <c r="X77" i="37"/>
  <c r="X73" i="37"/>
  <c r="X69" i="37"/>
  <c r="X65" i="37"/>
  <c r="X61" i="37"/>
  <c r="X57" i="37"/>
  <c r="X53" i="37"/>
  <c r="X266" i="37"/>
  <c r="X262" i="37"/>
  <c r="X258" i="37"/>
  <c r="X254" i="37"/>
  <c r="X250" i="37"/>
  <c r="X246" i="37"/>
  <c r="X242" i="37"/>
  <c r="X238" i="37"/>
  <c r="X234" i="37"/>
  <c r="X230" i="37"/>
  <c r="X267" i="37"/>
  <c r="X263" i="37"/>
  <c r="X259" i="37"/>
  <c r="X255" i="37"/>
  <c r="X251" i="37"/>
  <c r="X247" i="37"/>
  <c r="X243" i="37"/>
  <c r="X239" i="37"/>
  <c r="X235" i="37"/>
  <c r="X231" i="37"/>
  <c r="X227" i="37"/>
  <c r="X223" i="37"/>
  <c r="X219" i="37"/>
  <c r="X215" i="37"/>
  <c r="X211" i="37"/>
  <c r="X207" i="37"/>
  <c r="X226" i="37"/>
  <c r="X222" i="37"/>
  <c r="X218" i="37"/>
  <c r="X214" i="37"/>
  <c r="X210" i="37"/>
  <c r="X206" i="37"/>
  <c r="X202" i="37"/>
  <c r="X198" i="37"/>
  <c r="X194" i="37"/>
  <c r="X190" i="37"/>
  <c r="X186" i="37"/>
  <c r="X205" i="37"/>
  <c r="X201" i="37"/>
  <c r="X197" i="37"/>
  <c r="X193" i="37"/>
  <c r="X189" i="37"/>
  <c r="X185" i="37"/>
  <c r="X182" i="37"/>
  <c r="X178" i="37"/>
  <c r="X174" i="37"/>
  <c r="X170" i="37"/>
  <c r="X166" i="37"/>
  <c r="X162" i="37"/>
  <c r="X158" i="37"/>
  <c r="X154" i="37"/>
  <c r="X150" i="37"/>
  <c r="X146" i="37"/>
  <c r="X142" i="37"/>
  <c r="X138" i="37"/>
  <c r="X134" i="37"/>
  <c r="X130" i="37"/>
  <c r="X126" i="37"/>
  <c r="X122" i="37"/>
  <c r="X118" i="37"/>
  <c r="X114" i="37"/>
  <c r="X110" i="37"/>
  <c r="X106" i="37"/>
  <c r="X102" i="37"/>
  <c r="X98" i="37"/>
  <c r="X94" i="37"/>
  <c r="X90" i="37"/>
  <c r="X86" i="37"/>
  <c r="X82" i="37"/>
  <c r="X78" i="37"/>
  <c r="X74" i="37"/>
  <c r="X70" i="37"/>
  <c r="X66" i="37"/>
  <c r="X62" i="37"/>
  <c r="X58" i="37"/>
  <c r="X54" i="37"/>
  <c r="X183" i="37"/>
  <c r="X179" i="37"/>
  <c r="X175" i="37"/>
  <c r="X171" i="37"/>
  <c r="X167" i="37"/>
  <c r="X163" i="37"/>
  <c r="X159" i="37"/>
  <c r="X155" i="37"/>
  <c r="X151" i="37"/>
  <c r="X147" i="37"/>
  <c r="X143" i="37"/>
  <c r="X139" i="37"/>
  <c r="X135" i="37"/>
  <c r="X131" i="37"/>
  <c r="X127" i="37"/>
  <c r="X123" i="37"/>
  <c r="X119" i="37"/>
  <c r="X115" i="37"/>
  <c r="X111" i="37"/>
  <c r="X107" i="37"/>
  <c r="X103" i="37"/>
  <c r="X99" i="37"/>
  <c r="X95" i="37"/>
  <c r="X91" i="37"/>
  <c r="X87" i="37"/>
  <c r="X83" i="37"/>
  <c r="X79" i="37"/>
  <c r="X75" i="37"/>
  <c r="X71" i="37"/>
  <c r="X67" i="37"/>
  <c r="X63" i="37"/>
  <c r="X59" i="37"/>
  <c r="X55" i="37"/>
  <c r="AR9" i="37"/>
  <c r="AR10" i="37"/>
  <c r="AR11" i="37"/>
  <c r="AR12" i="37"/>
  <c r="AR13" i="37"/>
  <c r="AR14" i="37"/>
  <c r="AR15" i="37"/>
  <c r="AR16" i="37"/>
  <c r="AR17" i="37"/>
  <c r="AR18" i="37"/>
  <c r="AR19" i="37"/>
  <c r="AR20" i="37"/>
  <c r="AR21" i="37"/>
  <c r="AR22" i="37"/>
  <c r="AR23" i="37"/>
  <c r="AR24" i="37"/>
  <c r="AR25" i="37"/>
  <c r="AR26" i="37"/>
  <c r="AR27" i="37"/>
  <c r="AR28" i="37"/>
  <c r="AR29" i="37"/>
  <c r="AR30" i="37"/>
  <c r="AR31" i="37"/>
  <c r="AR32" i="37"/>
  <c r="AR33" i="37"/>
  <c r="AR34" i="37"/>
  <c r="AR35" i="37"/>
  <c r="AR36" i="37"/>
  <c r="AR37" i="37"/>
  <c r="AR38" i="37"/>
  <c r="AR39" i="37"/>
  <c r="AR40" i="37"/>
  <c r="AR41" i="37"/>
  <c r="AR42" i="37"/>
  <c r="AR43" i="37"/>
  <c r="AR44" i="37"/>
  <c r="AR45" i="37"/>
  <c r="AR46" i="37"/>
  <c r="AR47" i="37"/>
  <c r="AR48" i="37"/>
  <c r="AR49" i="37"/>
  <c r="AR50" i="37"/>
  <c r="AR51" i="37"/>
  <c r="AR52" i="37"/>
  <c r="AR53" i="37"/>
  <c r="AR54" i="37"/>
  <c r="AR55" i="37"/>
  <c r="AR56" i="37"/>
  <c r="AR57" i="37"/>
  <c r="AR58" i="37"/>
  <c r="AR59" i="37"/>
  <c r="AR60" i="37"/>
  <c r="AR61" i="37"/>
  <c r="AR62" i="37"/>
  <c r="AR63" i="37"/>
  <c r="AR64" i="37"/>
  <c r="AR65" i="37"/>
  <c r="AR66" i="37"/>
  <c r="AR67" i="37"/>
  <c r="AR68" i="37"/>
  <c r="AR69" i="37"/>
  <c r="AR70" i="37"/>
  <c r="AR71" i="37"/>
  <c r="AR72" i="37"/>
  <c r="AR73" i="37"/>
  <c r="AR74" i="37"/>
  <c r="AR75" i="37"/>
  <c r="AR76" i="37"/>
  <c r="AR77" i="37"/>
  <c r="AR78" i="37"/>
  <c r="AR79" i="37"/>
  <c r="AR80" i="37"/>
  <c r="AR81" i="37"/>
  <c r="AR82" i="37"/>
  <c r="AR83" i="37"/>
  <c r="AR84" i="37"/>
  <c r="AR85" i="37"/>
  <c r="AR86" i="37"/>
  <c r="AR87" i="37"/>
  <c r="AR88" i="37"/>
  <c r="AR89" i="37"/>
  <c r="AR90" i="37"/>
  <c r="AR91" i="37"/>
  <c r="AR92" i="37"/>
  <c r="AR93" i="37"/>
  <c r="AR94" i="37"/>
  <c r="AR95" i="37"/>
  <c r="AR96" i="37"/>
  <c r="AR97" i="37"/>
  <c r="AR98" i="37"/>
  <c r="AR99" i="37"/>
  <c r="AR100" i="37"/>
  <c r="AR101" i="37"/>
  <c r="AR102" i="37"/>
  <c r="AR103" i="37"/>
  <c r="AR104" i="37"/>
  <c r="AR105" i="37"/>
  <c r="AR106" i="37"/>
  <c r="AR107" i="37"/>
  <c r="AR108" i="37"/>
  <c r="AR109" i="37"/>
  <c r="AR110" i="37"/>
  <c r="AR111" i="37"/>
  <c r="AR112" i="37"/>
  <c r="AR113" i="37"/>
  <c r="AR114" i="37"/>
  <c r="AR115" i="37"/>
  <c r="AR116" i="37"/>
  <c r="AR117" i="37"/>
  <c r="AR118" i="37"/>
  <c r="AR119" i="37"/>
  <c r="AR120" i="37"/>
  <c r="AR121" i="37"/>
  <c r="AR122" i="37"/>
  <c r="AR123" i="37"/>
  <c r="AR124" i="37"/>
  <c r="AR125" i="37"/>
  <c r="AR126" i="37"/>
  <c r="AR127" i="37"/>
  <c r="AR128" i="37"/>
  <c r="AR129" i="37"/>
  <c r="AR130" i="37"/>
  <c r="AR131" i="37"/>
  <c r="AR132" i="37"/>
  <c r="AR133" i="37"/>
  <c r="AR134" i="37"/>
  <c r="AR135" i="37"/>
  <c r="AR136" i="37"/>
  <c r="AR137" i="37"/>
  <c r="AR138" i="37"/>
  <c r="AR139" i="37"/>
  <c r="AR140" i="37"/>
  <c r="AR141" i="37"/>
  <c r="AR142" i="37"/>
  <c r="AR143" i="37"/>
  <c r="AR144" i="37"/>
  <c r="AR145" i="37"/>
  <c r="AR146" i="37"/>
  <c r="AR147" i="37"/>
  <c r="AR176" i="37"/>
  <c r="AR177" i="37"/>
  <c r="AR178" i="37"/>
  <c r="AR179" i="37"/>
  <c r="AR180" i="37"/>
  <c r="AR181" i="37"/>
  <c r="AR182" i="37"/>
  <c r="AR183" i="37"/>
  <c r="AR184" i="37"/>
  <c r="AR185" i="37"/>
  <c r="AR186" i="37"/>
  <c r="AR187" i="37"/>
  <c r="AR188" i="37"/>
  <c r="AR189" i="37"/>
  <c r="AR190" i="37"/>
  <c r="AR191" i="37"/>
  <c r="AR192" i="37"/>
  <c r="AR193" i="37"/>
  <c r="AR194" i="37"/>
  <c r="AR195" i="37"/>
  <c r="AR196" i="37"/>
  <c r="AR197" i="37"/>
  <c r="AR198" i="37"/>
  <c r="AR199" i="37"/>
  <c r="AR200" i="37"/>
  <c r="AR201" i="37"/>
  <c r="AR202" i="37"/>
  <c r="AR203" i="37"/>
  <c r="AR204" i="37"/>
  <c r="AR205" i="37"/>
  <c r="AR206" i="37"/>
  <c r="AR207" i="37"/>
  <c r="AR208" i="37"/>
  <c r="AR209" i="37"/>
  <c r="AR210" i="37"/>
  <c r="AR211" i="37"/>
  <c r="AR212" i="37"/>
  <c r="AR213" i="37"/>
  <c r="AR214" i="37"/>
  <c r="AR215" i="37"/>
  <c r="AR216" i="37"/>
  <c r="AR217" i="37"/>
  <c r="AR218" i="37"/>
  <c r="AR219" i="37"/>
  <c r="AR220" i="37"/>
  <c r="AR221" i="37"/>
  <c r="AR222" i="37"/>
  <c r="AR223" i="37"/>
  <c r="AR224" i="37"/>
  <c r="AR225" i="37"/>
  <c r="AR226" i="37"/>
  <c r="AR227" i="37"/>
  <c r="AR228" i="37"/>
  <c r="AR229" i="37"/>
  <c r="AR230" i="37"/>
  <c r="AR231" i="37"/>
  <c r="AR232" i="37"/>
  <c r="AR233" i="37"/>
  <c r="AR234" i="37"/>
  <c r="AR235" i="37"/>
  <c r="AR236" i="37"/>
  <c r="AR237" i="37"/>
  <c r="AR238" i="37"/>
  <c r="AR239" i="37"/>
  <c r="AR240" i="37"/>
  <c r="AR241" i="37"/>
  <c r="AR242" i="37"/>
  <c r="AR243" i="37"/>
  <c r="AR244" i="37"/>
  <c r="AR245" i="37"/>
  <c r="AR246" i="37"/>
  <c r="AR247" i="37"/>
  <c r="AR248" i="37"/>
  <c r="AR249" i="37"/>
  <c r="AR250" i="37"/>
  <c r="AR251" i="37"/>
  <c r="AR252" i="37"/>
  <c r="AR253" i="37"/>
  <c r="AR254" i="37"/>
  <c r="AR255" i="37"/>
  <c r="AR256" i="37"/>
  <c r="AR257" i="37"/>
  <c r="AR258" i="37"/>
  <c r="AR259" i="37"/>
  <c r="AR260" i="37"/>
  <c r="AR261" i="37"/>
  <c r="AR262" i="37"/>
  <c r="AR263" i="37"/>
  <c r="AR264" i="37"/>
  <c r="AR265" i="37"/>
  <c r="AR266" i="37"/>
  <c r="AR267" i="37"/>
  <c r="AR268" i="37"/>
  <c r="AR171" i="37"/>
  <c r="AR165" i="37"/>
  <c r="AR157" i="37"/>
  <c r="AR175" i="37"/>
  <c r="AR161" i="37"/>
  <c r="AR155" i="37"/>
  <c r="AR149" i="37"/>
  <c r="AR172" i="37"/>
  <c r="AR168" i="37"/>
  <c r="AR164" i="37"/>
  <c r="AR160" i="37"/>
  <c r="AR156" i="37"/>
  <c r="AR152" i="37"/>
  <c r="AR148" i="37"/>
  <c r="AR173" i="37"/>
  <c r="AR167" i="37"/>
  <c r="AR163" i="37"/>
  <c r="AR151" i="37"/>
  <c r="AR169" i="37"/>
  <c r="AR159" i="37"/>
  <c r="AR153" i="37"/>
  <c r="AR174" i="37"/>
  <c r="AR170" i="37"/>
  <c r="AR166" i="37"/>
  <c r="AR162" i="37"/>
  <c r="AR158" i="37"/>
  <c r="AR154" i="37"/>
  <c r="AR150" i="37"/>
  <c r="D10" i="37"/>
  <c r="D12" i="37"/>
  <c r="D14" i="37"/>
  <c r="D16" i="37"/>
  <c r="D18" i="37"/>
  <c r="D20" i="37"/>
  <c r="D22" i="37"/>
  <c r="D24" i="37"/>
  <c r="D26" i="37"/>
  <c r="D28" i="37"/>
  <c r="D30" i="37"/>
  <c r="D32" i="37"/>
  <c r="D34" i="37"/>
  <c r="D36" i="37"/>
  <c r="D38" i="37"/>
  <c r="D40" i="37"/>
  <c r="D42" i="37"/>
  <c r="D44" i="37"/>
  <c r="D46" i="37"/>
  <c r="D48" i="37"/>
  <c r="D50" i="37"/>
  <c r="D52" i="37"/>
  <c r="D54" i="37"/>
  <c r="D56" i="37"/>
  <c r="D58" i="37"/>
  <c r="D60" i="37"/>
  <c r="D62" i="37"/>
  <c r="D64" i="37"/>
  <c r="D66" i="37"/>
  <c r="D68" i="37"/>
  <c r="D70" i="37"/>
  <c r="D72" i="37"/>
  <c r="D74" i="37"/>
  <c r="D76" i="37"/>
  <c r="D78" i="37"/>
  <c r="D80" i="37"/>
  <c r="D82" i="37"/>
  <c r="D84" i="37"/>
  <c r="D86" i="37"/>
  <c r="D88" i="37"/>
  <c r="D90" i="37"/>
  <c r="D92" i="37"/>
  <c r="D94" i="37"/>
  <c r="D96" i="37"/>
  <c r="D98" i="37"/>
  <c r="D100" i="37"/>
  <c r="D102" i="37"/>
  <c r="D104" i="37"/>
  <c r="D106" i="37"/>
  <c r="D108" i="37"/>
  <c r="D110" i="37"/>
  <c r="D112" i="37"/>
  <c r="D114" i="37"/>
  <c r="D116" i="37"/>
  <c r="D118" i="37"/>
  <c r="D120" i="37"/>
  <c r="D122" i="37"/>
  <c r="D124" i="37"/>
  <c r="D126" i="37"/>
  <c r="D128" i="37"/>
  <c r="D130" i="37"/>
  <c r="D132" i="37"/>
  <c r="D134" i="37"/>
  <c r="D136" i="37"/>
  <c r="D138" i="37"/>
  <c r="D140" i="37"/>
  <c r="D142" i="37"/>
  <c r="D144" i="37"/>
  <c r="D146" i="37"/>
  <c r="D148" i="37"/>
  <c r="D150" i="37"/>
  <c r="D152" i="37"/>
  <c r="D154" i="37"/>
  <c r="D156" i="37"/>
  <c r="D158" i="37"/>
  <c r="D160" i="37"/>
  <c r="D162" i="37"/>
  <c r="D164" i="37"/>
  <c r="D166" i="37"/>
  <c r="D168" i="37"/>
  <c r="D9" i="37"/>
  <c r="D11" i="37"/>
  <c r="D13" i="37"/>
  <c r="D15" i="37"/>
  <c r="D17" i="37"/>
  <c r="D19" i="37"/>
  <c r="D21" i="37"/>
  <c r="D23" i="37"/>
  <c r="D25" i="37"/>
  <c r="D27" i="37"/>
  <c r="D29" i="37"/>
  <c r="D31" i="37"/>
  <c r="D33" i="37"/>
  <c r="D35" i="37"/>
  <c r="D37" i="37"/>
  <c r="D39" i="37"/>
  <c r="D41" i="37"/>
  <c r="D43" i="37"/>
  <c r="D45" i="37"/>
  <c r="D47" i="37"/>
  <c r="D49" i="37"/>
  <c r="D51" i="37"/>
  <c r="D53" i="37"/>
  <c r="D55" i="37"/>
  <c r="D57" i="37"/>
  <c r="D59" i="37"/>
  <c r="D61" i="37"/>
  <c r="D63" i="37"/>
  <c r="D65" i="37"/>
  <c r="D67" i="37"/>
  <c r="D69" i="37"/>
  <c r="D71" i="37"/>
  <c r="D73" i="37"/>
  <c r="D75" i="37"/>
  <c r="D77" i="37"/>
  <c r="D79" i="37"/>
  <c r="D81" i="37"/>
  <c r="D83" i="37"/>
  <c r="D85" i="37"/>
  <c r="D87" i="37"/>
  <c r="D89" i="37"/>
  <c r="D91" i="37"/>
  <c r="D93" i="37"/>
  <c r="D95" i="37"/>
  <c r="D97" i="37"/>
  <c r="D99" i="37"/>
  <c r="D101" i="37"/>
  <c r="D103" i="37"/>
  <c r="D105" i="37"/>
  <c r="D107" i="37"/>
  <c r="D109" i="37"/>
  <c r="D111" i="37"/>
  <c r="D113" i="37"/>
  <c r="D115" i="37"/>
  <c r="D117" i="37"/>
  <c r="D119" i="37"/>
  <c r="D121" i="37"/>
  <c r="D123" i="37"/>
  <c r="D125" i="37"/>
  <c r="D127" i="37"/>
  <c r="D129" i="37"/>
  <c r="D131" i="37"/>
  <c r="D133" i="37"/>
  <c r="D135" i="37"/>
  <c r="D137" i="37"/>
  <c r="D139" i="37"/>
  <c r="D141" i="37"/>
  <c r="D143" i="37"/>
  <c r="D145" i="37"/>
  <c r="D147" i="37"/>
  <c r="D149" i="37"/>
  <c r="D151" i="37"/>
  <c r="D153" i="37"/>
  <c r="D155" i="37"/>
  <c r="D157" i="37"/>
  <c r="D159" i="37"/>
  <c r="D161" i="37"/>
  <c r="D163" i="37"/>
  <c r="D165" i="37"/>
  <c r="D167" i="37"/>
  <c r="D169" i="37"/>
  <c r="D170" i="37"/>
  <c r="D172" i="37"/>
  <c r="D174" i="37"/>
  <c r="D176" i="37"/>
  <c r="D178" i="37"/>
  <c r="D180" i="37"/>
  <c r="D182" i="37"/>
  <c r="D184" i="37"/>
  <c r="D186" i="37"/>
  <c r="D188" i="37"/>
  <c r="D190" i="37"/>
  <c r="D192" i="37"/>
  <c r="D194" i="37"/>
  <c r="D198" i="37"/>
  <c r="D202" i="37"/>
  <c r="D212" i="37"/>
  <c r="D222" i="37"/>
  <c r="D232" i="37"/>
  <c r="D244" i="37"/>
  <c r="D252" i="37"/>
  <c r="D262" i="37"/>
  <c r="D171" i="37"/>
  <c r="D173" i="37"/>
  <c r="D175" i="37"/>
  <c r="D177" i="37"/>
  <c r="D179" i="37"/>
  <c r="D181" i="37"/>
  <c r="D183" i="37"/>
  <c r="D185" i="37"/>
  <c r="D187" i="37"/>
  <c r="D189" i="37"/>
  <c r="D191" i="37"/>
  <c r="D193" i="37"/>
  <c r="D195" i="37"/>
  <c r="D197" i="37"/>
  <c r="D199" i="37"/>
  <c r="D201" i="37"/>
  <c r="D203" i="37"/>
  <c r="D205" i="37"/>
  <c r="D207" i="37"/>
  <c r="D209" i="37"/>
  <c r="D211" i="37"/>
  <c r="D213" i="37"/>
  <c r="D215" i="37"/>
  <c r="D217" i="37"/>
  <c r="D219" i="37"/>
  <c r="D221" i="37"/>
  <c r="D223" i="37"/>
  <c r="D225" i="37"/>
  <c r="D227" i="37"/>
  <c r="D229" i="37"/>
  <c r="D231" i="37"/>
  <c r="D233" i="37"/>
  <c r="D235" i="37"/>
  <c r="D237" i="37"/>
  <c r="D239" i="37"/>
  <c r="D241" i="37"/>
  <c r="D243" i="37"/>
  <c r="D245" i="37"/>
  <c r="D247" i="37"/>
  <c r="D249" i="37"/>
  <c r="D251" i="37"/>
  <c r="D253" i="37"/>
  <c r="D255" i="37"/>
  <c r="D257" i="37"/>
  <c r="D259" i="37"/>
  <c r="D261" i="37"/>
  <c r="D263" i="37"/>
  <c r="D265" i="37"/>
  <c r="D267" i="37"/>
  <c r="D196" i="37"/>
  <c r="D200" i="37"/>
  <c r="D204" i="37"/>
  <c r="D206" i="37"/>
  <c r="D208" i="37"/>
  <c r="D210" i="37"/>
  <c r="D214" i="37"/>
  <c r="D216" i="37"/>
  <c r="D218" i="37"/>
  <c r="D220" i="37"/>
  <c r="D224" i="37"/>
  <c r="D226" i="37"/>
  <c r="D228" i="37"/>
  <c r="D230" i="37"/>
  <c r="D234" i="37"/>
  <c r="D236" i="37"/>
  <c r="D238" i="37"/>
  <c r="D240" i="37"/>
  <c r="D242" i="37"/>
  <c r="D246" i="37"/>
  <c r="D248" i="37"/>
  <c r="D250" i="37"/>
  <c r="D254" i="37"/>
  <c r="D256" i="37"/>
  <c r="D258" i="37"/>
  <c r="D260" i="37"/>
  <c r="D264" i="37"/>
  <c r="D266" i="37"/>
  <c r="D268" i="37"/>
  <c r="N211" i="37"/>
  <c r="N212" i="37"/>
  <c r="N213" i="37"/>
  <c r="N214" i="37"/>
  <c r="N215" i="37"/>
  <c r="N216" i="37"/>
  <c r="N217" i="37"/>
  <c r="N218" i="37"/>
  <c r="N219" i="37"/>
  <c r="N220" i="37"/>
  <c r="N221" i="37"/>
  <c r="N222" i="37"/>
  <c r="N223" i="37"/>
  <c r="N224" i="37"/>
  <c r="N225" i="37"/>
  <c r="N226" i="37"/>
  <c r="N227" i="37"/>
  <c r="N228" i="37"/>
  <c r="N229" i="37"/>
  <c r="N230" i="37"/>
  <c r="N231" i="37"/>
  <c r="N232" i="37"/>
  <c r="N233" i="37"/>
  <c r="N234" i="37"/>
  <c r="N235" i="37"/>
  <c r="N236" i="37"/>
  <c r="N237" i="37"/>
  <c r="N238" i="37"/>
  <c r="N239" i="37"/>
  <c r="N240" i="37"/>
  <c r="N241" i="37"/>
  <c r="N242" i="37"/>
  <c r="N243" i="37"/>
  <c r="N244" i="37"/>
  <c r="N245" i="37"/>
  <c r="N246" i="37"/>
  <c r="N247" i="37"/>
  <c r="N248" i="37"/>
  <c r="N249" i="37"/>
  <c r="N250" i="37"/>
  <c r="N251" i="37"/>
  <c r="N252" i="37"/>
  <c r="N253" i="37"/>
  <c r="N254" i="37"/>
  <c r="N255" i="37"/>
  <c r="N256" i="37"/>
  <c r="N257" i="37"/>
  <c r="N258" i="37"/>
  <c r="N259" i="37"/>
  <c r="N260" i="37"/>
  <c r="N261" i="37"/>
  <c r="N262" i="37"/>
  <c r="N263" i="37"/>
  <c r="N264" i="37"/>
  <c r="N265" i="37"/>
  <c r="N266" i="37"/>
  <c r="N267" i="37"/>
  <c r="N268" i="37"/>
  <c r="N9" i="37"/>
  <c r="N10" i="37"/>
  <c r="N11" i="37"/>
  <c r="N12" i="37"/>
  <c r="N13" i="37"/>
  <c r="N14" i="37"/>
  <c r="N15" i="37"/>
  <c r="N16" i="37"/>
  <c r="N17" i="37"/>
  <c r="N18" i="37"/>
  <c r="N19" i="37"/>
  <c r="N20" i="37"/>
  <c r="N21" i="37"/>
  <c r="N22" i="37"/>
  <c r="N23" i="37"/>
  <c r="N24" i="37"/>
  <c r="N25" i="37"/>
  <c r="N26" i="37"/>
  <c r="N27" i="37"/>
  <c r="N28" i="37"/>
  <c r="N29" i="37"/>
  <c r="N30" i="37"/>
  <c r="N31" i="37"/>
  <c r="N32" i="37"/>
  <c r="N33" i="37"/>
  <c r="N34" i="37"/>
  <c r="N35" i="37"/>
  <c r="N36" i="37"/>
  <c r="N37" i="37"/>
  <c r="N38" i="37"/>
  <c r="N39" i="37"/>
  <c r="N40" i="37"/>
  <c r="N41" i="37"/>
  <c r="N42" i="37"/>
  <c r="N43" i="37"/>
  <c r="N44" i="37"/>
  <c r="N45" i="37"/>
  <c r="N46" i="37"/>
  <c r="N47" i="37"/>
  <c r="N48" i="37"/>
  <c r="N49" i="37"/>
  <c r="N50" i="37"/>
  <c r="N51" i="37"/>
  <c r="N94" i="37"/>
  <c r="N95" i="37"/>
  <c r="N96" i="37"/>
  <c r="N97" i="37"/>
  <c r="N98" i="37"/>
  <c r="N99" i="37"/>
  <c r="N100" i="37"/>
  <c r="N101" i="37"/>
  <c r="N210" i="37"/>
  <c r="N208" i="37"/>
  <c r="N204" i="37"/>
  <c r="N200" i="37"/>
  <c r="N196" i="37"/>
  <c r="N192" i="37"/>
  <c r="N188" i="37"/>
  <c r="N184" i="37"/>
  <c r="N180" i="37"/>
  <c r="N176" i="37"/>
  <c r="N172" i="37"/>
  <c r="N168" i="37"/>
  <c r="N164" i="37"/>
  <c r="N160" i="37"/>
  <c r="N156" i="37"/>
  <c r="N152" i="37"/>
  <c r="N148" i="37"/>
  <c r="N144" i="37"/>
  <c r="N140" i="37"/>
  <c r="N136" i="37"/>
  <c r="N132" i="37"/>
  <c r="N128" i="37"/>
  <c r="N124" i="37"/>
  <c r="N120" i="37"/>
  <c r="N116" i="37"/>
  <c r="N112" i="37"/>
  <c r="N108" i="37"/>
  <c r="N104" i="37"/>
  <c r="N207" i="37"/>
  <c r="N203" i="37"/>
  <c r="N199" i="37"/>
  <c r="N195" i="37"/>
  <c r="N191" i="37"/>
  <c r="N187" i="37"/>
  <c r="N183" i="37"/>
  <c r="N179" i="37"/>
  <c r="N175" i="37"/>
  <c r="N171" i="37"/>
  <c r="N167" i="37"/>
  <c r="N163" i="37"/>
  <c r="N159" i="37"/>
  <c r="N155" i="37"/>
  <c r="N151" i="37"/>
  <c r="N147" i="37"/>
  <c r="N143" i="37"/>
  <c r="N139" i="37"/>
  <c r="N135" i="37"/>
  <c r="N131" i="37"/>
  <c r="N127" i="37"/>
  <c r="N123" i="37"/>
  <c r="N119" i="37"/>
  <c r="N115" i="37"/>
  <c r="N111" i="37"/>
  <c r="N107" i="37"/>
  <c r="N103" i="37"/>
  <c r="N91" i="37"/>
  <c r="N87" i="37"/>
  <c r="N83" i="37"/>
  <c r="N79" i="37"/>
  <c r="N75" i="37"/>
  <c r="N71" i="37"/>
  <c r="N67" i="37"/>
  <c r="N63" i="37"/>
  <c r="N59" i="37"/>
  <c r="N55" i="37"/>
  <c r="N92" i="37"/>
  <c r="N88" i="37"/>
  <c r="N84" i="37"/>
  <c r="N80" i="37"/>
  <c r="N76" i="37"/>
  <c r="N72" i="37"/>
  <c r="N68" i="37"/>
  <c r="N64" i="37"/>
  <c r="N60" i="37"/>
  <c r="N56" i="37"/>
  <c r="N52" i="37"/>
  <c r="N209" i="37"/>
  <c r="N206" i="37"/>
  <c r="N202" i="37"/>
  <c r="N198" i="37"/>
  <c r="N194" i="37"/>
  <c r="N190" i="37"/>
  <c r="N186" i="37"/>
  <c r="N182" i="37"/>
  <c r="N178" i="37"/>
  <c r="N174" i="37"/>
  <c r="N170" i="37"/>
  <c r="N166" i="37"/>
  <c r="N162" i="37"/>
  <c r="N158" i="37"/>
  <c r="N154" i="37"/>
  <c r="N150" i="37"/>
  <c r="N146" i="37"/>
  <c r="N142" i="37"/>
  <c r="N138" i="37"/>
  <c r="N134" i="37"/>
  <c r="N130" i="37"/>
  <c r="N126" i="37"/>
  <c r="N122" i="37"/>
  <c r="N118" i="37"/>
  <c r="N114" i="37"/>
  <c r="N110" i="37"/>
  <c r="N106" i="37"/>
  <c r="N102" i="37"/>
  <c r="N205" i="37"/>
  <c r="N201" i="37"/>
  <c r="N197" i="37"/>
  <c r="N193" i="37"/>
  <c r="N189" i="37"/>
  <c r="N185" i="37"/>
  <c r="N181" i="37"/>
  <c r="N177" i="37"/>
  <c r="N173" i="37"/>
  <c r="N169" i="37"/>
  <c r="N165" i="37"/>
  <c r="N161" i="37"/>
  <c r="N157" i="37"/>
  <c r="N153" i="37"/>
  <c r="N149" i="37"/>
  <c r="N145" i="37"/>
  <c r="N141" i="37"/>
  <c r="N137" i="37"/>
  <c r="N133" i="37"/>
  <c r="N129" i="37"/>
  <c r="N125" i="37"/>
  <c r="N121" i="37"/>
  <c r="N117" i="37"/>
  <c r="N113" i="37"/>
  <c r="N109" i="37"/>
  <c r="N105" i="37"/>
  <c r="N93" i="37"/>
  <c r="N89" i="37"/>
  <c r="N85" i="37"/>
  <c r="N81" i="37"/>
  <c r="N77" i="37"/>
  <c r="N73" i="37"/>
  <c r="N69" i="37"/>
  <c r="N65" i="37"/>
  <c r="N61" i="37"/>
  <c r="N57" i="37"/>
  <c r="N53" i="37"/>
  <c r="N90" i="37"/>
  <c r="N86" i="37"/>
  <c r="N82" i="37"/>
  <c r="N78" i="37"/>
  <c r="N74" i="37"/>
  <c r="N70" i="37"/>
  <c r="N66" i="37"/>
  <c r="N62" i="37"/>
  <c r="N58" i="37"/>
  <c r="N54" i="37"/>
  <c r="AH9" i="37"/>
  <c r="AH10" i="37"/>
  <c r="AH11" i="37"/>
  <c r="AH12" i="37"/>
  <c r="AH13" i="37"/>
  <c r="AH14" i="37"/>
  <c r="AH15" i="37"/>
  <c r="AH16" i="37"/>
  <c r="AH17" i="37"/>
  <c r="AH18" i="37"/>
  <c r="AH19" i="37"/>
  <c r="AH20" i="37"/>
  <c r="AH21" i="37"/>
  <c r="AH22" i="37"/>
  <c r="AH23" i="37"/>
  <c r="AH24" i="37"/>
  <c r="AH25" i="37"/>
  <c r="AH26" i="37"/>
  <c r="AH27" i="37"/>
  <c r="AH28" i="37"/>
  <c r="AH29" i="37"/>
  <c r="AH30" i="37"/>
  <c r="AH31" i="37"/>
  <c r="AH32" i="37"/>
  <c r="AH33" i="37"/>
  <c r="AH34" i="37"/>
  <c r="AH35" i="37"/>
  <c r="AH36" i="37"/>
  <c r="AH37" i="37"/>
  <c r="AH38" i="37"/>
  <c r="AH39" i="37"/>
  <c r="AH40" i="37"/>
  <c r="AH41" i="37"/>
  <c r="AH42" i="37"/>
  <c r="AH43" i="37"/>
  <c r="AH44" i="37"/>
  <c r="AH45" i="37"/>
  <c r="AH46" i="37"/>
  <c r="AH47" i="37"/>
  <c r="AH48" i="37"/>
  <c r="AH49" i="37"/>
  <c r="AH50" i="37"/>
  <c r="AH51" i="37"/>
  <c r="AH265" i="37"/>
  <c r="AH261" i="37"/>
  <c r="AH257" i="37"/>
  <c r="AH253" i="37"/>
  <c r="AH249" i="37"/>
  <c r="AH245" i="37"/>
  <c r="AH241" i="37"/>
  <c r="AH237" i="37"/>
  <c r="AH233" i="37"/>
  <c r="AH229" i="37"/>
  <c r="AH225" i="37"/>
  <c r="AH221" i="37"/>
  <c r="AH217" i="37"/>
  <c r="AH213" i="37"/>
  <c r="AH209" i="37"/>
  <c r="AH205" i="37"/>
  <c r="AH201" i="37"/>
  <c r="AH197" i="37"/>
  <c r="AH193" i="37"/>
  <c r="AH189" i="37"/>
  <c r="AH185" i="37"/>
  <c r="AH266" i="37"/>
  <c r="AH262" i="37"/>
  <c r="AH258" i="37"/>
  <c r="AH254" i="37"/>
  <c r="AH250" i="37"/>
  <c r="AH246" i="37"/>
  <c r="AH242" i="37"/>
  <c r="AH238" i="37"/>
  <c r="AH234" i="37"/>
  <c r="AH230" i="37"/>
  <c r="AH226" i="37"/>
  <c r="AH222" i="37"/>
  <c r="AH218" i="37"/>
  <c r="AH214" i="37"/>
  <c r="AH210" i="37"/>
  <c r="AH206" i="37"/>
  <c r="AH202" i="37"/>
  <c r="AH198" i="37"/>
  <c r="AH194" i="37"/>
  <c r="AH190" i="37"/>
  <c r="AH186" i="37"/>
  <c r="AH182" i="37"/>
  <c r="AH178" i="37"/>
  <c r="AH174" i="37"/>
  <c r="AH170" i="37"/>
  <c r="AH166" i="37"/>
  <c r="AH162" i="37"/>
  <c r="AH158" i="37"/>
  <c r="AH154" i="37"/>
  <c r="AH150" i="37"/>
  <c r="AH146" i="37"/>
  <c r="AH142" i="37"/>
  <c r="AH138" i="37"/>
  <c r="AH134" i="37"/>
  <c r="AH130" i="37"/>
  <c r="AH126" i="37"/>
  <c r="AH122" i="37"/>
  <c r="AH118" i="37"/>
  <c r="AH114" i="37"/>
  <c r="AH110" i="37"/>
  <c r="AH106" i="37"/>
  <c r="AH102" i="37"/>
  <c r="AH98" i="37"/>
  <c r="AH94" i="37"/>
  <c r="AH90" i="37"/>
  <c r="AH86" i="37"/>
  <c r="AH82" i="37"/>
  <c r="AH78" i="37"/>
  <c r="AH74" i="37"/>
  <c r="AH70" i="37"/>
  <c r="AH66" i="37"/>
  <c r="AH62" i="37"/>
  <c r="AH58" i="37"/>
  <c r="AH54" i="37"/>
  <c r="AH183" i="37"/>
  <c r="AH179" i="37"/>
  <c r="AH175" i="37"/>
  <c r="AH171" i="37"/>
  <c r="AH167" i="37"/>
  <c r="AH163" i="37"/>
  <c r="AH159" i="37"/>
  <c r="AH155" i="37"/>
  <c r="AH151" i="37"/>
  <c r="AH147" i="37"/>
  <c r="AH143" i="37"/>
  <c r="AH139" i="37"/>
  <c r="AH135" i="37"/>
  <c r="AH131" i="37"/>
  <c r="AH127" i="37"/>
  <c r="AH123" i="37"/>
  <c r="AH119" i="37"/>
  <c r="AH115" i="37"/>
  <c r="AH111" i="37"/>
  <c r="AH107" i="37"/>
  <c r="AH103" i="37"/>
  <c r="AH99" i="37"/>
  <c r="AH95" i="37"/>
  <c r="AH91" i="37"/>
  <c r="AH87" i="37"/>
  <c r="AH83" i="37"/>
  <c r="AH79" i="37"/>
  <c r="AH75" i="37"/>
  <c r="AH71" i="37"/>
  <c r="AH67" i="37"/>
  <c r="AH63" i="37"/>
  <c r="AH59" i="37"/>
  <c r="AH55" i="37"/>
  <c r="AH267" i="37"/>
  <c r="AH263" i="37"/>
  <c r="AH259" i="37"/>
  <c r="AH255" i="37"/>
  <c r="AH251" i="37"/>
  <c r="AH247" i="37"/>
  <c r="AH243" i="37"/>
  <c r="AH239" i="37"/>
  <c r="AH235" i="37"/>
  <c r="AH231" i="37"/>
  <c r="AH227" i="37"/>
  <c r="AH223" i="37"/>
  <c r="AH219" i="37"/>
  <c r="AH215" i="37"/>
  <c r="AH211" i="37"/>
  <c r="AH207" i="37"/>
  <c r="AH203" i="37"/>
  <c r="AH199" i="37"/>
  <c r="AH195" i="37"/>
  <c r="AH191" i="37"/>
  <c r="AH187" i="37"/>
  <c r="AH264" i="37"/>
  <c r="AH260" i="37"/>
  <c r="AH256" i="37"/>
  <c r="AH252" i="37"/>
  <c r="AH248" i="37"/>
  <c r="AH244" i="37"/>
  <c r="AH240" i="37"/>
  <c r="AH236" i="37"/>
  <c r="AH232" i="37"/>
  <c r="AH228" i="37"/>
  <c r="AH224" i="37"/>
  <c r="AH220" i="37"/>
  <c r="AH216" i="37"/>
  <c r="AH212" i="37"/>
  <c r="AH208" i="37"/>
  <c r="AH204" i="37"/>
  <c r="AH200" i="37"/>
  <c r="AH196" i="37"/>
  <c r="AH192" i="37"/>
  <c r="AH188" i="37"/>
  <c r="AH184" i="37"/>
  <c r="AH268" i="37"/>
  <c r="AH180" i="37"/>
  <c r="AH176" i="37"/>
  <c r="AH172" i="37"/>
  <c r="AH168" i="37"/>
  <c r="AH164" i="37"/>
  <c r="AH160" i="37"/>
  <c r="AH156" i="37"/>
  <c r="AH152" i="37"/>
  <c r="AH148" i="37"/>
  <c r="AH144" i="37"/>
  <c r="AH140" i="37"/>
  <c r="AH136" i="37"/>
  <c r="AH132" i="37"/>
  <c r="AH128" i="37"/>
  <c r="AH124" i="37"/>
  <c r="AH120" i="37"/>
  <c r="AH116" i="37"/>
  <c r="AH112" i="37"/>
  <c r="AH108" i="37"/>
  <c r="AH104" i="37"/>
  <c r="AH100" i="37"/>
  <c r="AH96" i="37"/>
  <c r="AH92" i="37"/>
  <c r="AH88" i="37"/>
  <c r="AH84" i="37"/>
  <c r="AH80" i="37"/>
  <c r="AH76" i="37"/>
  <c r="AH72" i="37"/>
  <c r="AH68" i="37"/>
  <c r="AH64" i="37"/>
  <c r="AH60" i="37"/>
  <c r="AH56" i="37"/>
  <c r="AH52" i="37"/>
  <c r="AH181" i="37"/>
  <c r="AH177" i="37"/>
  <c r="AH173" i="37"/>
  <c r="AH169" i="37"/>
  <c r="AH165" i="37"/>
  <c r="AH161" i="37"/>
  <c r="AH157" i="37"/>
  <c r="AH153" i="37"/>
  <c r="AH149" i="37"/>
  <c r="AH145" i="37"/>
  <c r="AH141" i="37"/>
  <c r="AH137" i="37"/>
  <c r="AH133" i="37"/>
  <c r="AH129" i="37"/>
  <c r="AH125" i="37"/>
  <c r="AH121" i="37"/>
  <c r="AH117" i="37"/>
  <c r="AH113" i="37"/>
  <c r="AH109" i="37"/>
  <c r="AH105" i="37"/>
  <c r="AH101" i="37"/>
  <c r="AH97" i="37"/>
  <c r="AH93" i="37"/>
  <c r="AH89" i="37"/>
  <c r="AH85" i="37"/>
  <c r="AH81" i="37"/>
  <c r="AH77" i="37"/>
  <c r="AH73" i="37"/>
  <c r="AH69" i="37"/>
  <c r="AH65" i="37"/>
  <c r="AH61" i="37"/>
  <c r="AH57" i="37"/>
  <c r="AH53" i="37"/>
  <c r="E118" i="33"/>
  <c r="Z135" i="33" s="1"/>
  <c r="E135" i="33"/>
  <c r="G118" i="33"/>
  <c r="AB135" i="33" s="1"/>
  <c r="G135" i="33"/>
  <c r="I118" i="33"/>
  <c r="AD135" i="33" s="1"/>
  <c r="I135" i="33"/>
  <c r="K118" i="33"/>
  <c r="AF135" i="33" s="1"/>
  <c r="K135" i="33"/>
  <c r="D105" i="33"/>
  <c r="D135" i="33"/>
  <c r="F105" i="33"/>
  <c r="F135" i="33"/>
  <c r="H105" i="33"/>
  <c r="H135" i="33"/>
  <c r="J105" i="33"/>
  <c r="J135" i="33"/>
  <c r="B105" i="36"/>
  <c r="B98" i="36"/>
  <c r="B101" i="36"/>
  <c r="B108" i="36"/>
  <c r="B99" i="36"/>
  <c r="B106" i="36"/>
  <c r="B102" i="36"/>
  <c r="B109" i="36"/>
  <c r="B100" i="36"/>
  <c r="B107" i="36"/>
  <c r="N8" i="37"/>
  <c r="X8" i="37"/>
  <c r="AH8" i="37"/>
  <c r="F118" i="33"/>
  <c r="J118" i="33"/>
  <c r="D118" i="33"/>
  <c r="H118" i="33"/>
  <c r="K105" i="33"/>
  <c r="I105" i="33"/>
  <c r="G105" i="33"/>
  <c r="E105" i="33"/>
  <c r="BT27" i="67" l="1"/>
  <c r="BS27" i="67"/>
  <c r="F27" i="67"/>
  <c r="C27" i="67"/>
  <c r="V27" i="67"/>
  <c r="J27" i="67"/>
  <c r="AA27" i="67"/>
  <c r="AJ27" i="67"/>
  <c r="U27" i="67"/>
  <c r="W27" i="67"/>
  <c r="AN27" i="67"/>
  <c r="BR27" i="67"/>
  <c r="AX27" i="67"/>
  <c r="BG27" i="67"/>
  <c r="AW27" i="67"/>
  <c r="BD27" i="67"/>
  <c r="BH27" i="67"/>
  <c r="AS27" i="67"/>
  <c r="D70" i="63"/>
  <c r="D33" i="63"/>
  <c r="G27" i="67"/>
  <c r="T27" i="67"/>
  <c r="R27" i="67"/>
  <c r="AB27" i="67"/>
  <c r="N27" i="67"/>
  <c r="AF27" i="67"/>
  <c r="AH27" i="67"/>
  <c r="K27" i="67"/>
  <c r="BE27" i="67"/>
  <c r="BQ27" i="67"/>
  <c r="AP27" i="67"/>
  <c r="AZ27" i="67"/>
  <c r="BF27" i="67"/>
  <c r="BP27" i="67"/>
  <c r="BK27" i="67"/>
  <c r="AU27" i="67"/>
  <c r="BI27" i="67"/>
  <c r="D27" i="67"/>
  <c r="H27" i="67"/>
  <c r="X27" i="67"/>
  <c r="AE27" i="67"/>
  <c r="Q27" i="67"/>
  <c r="O27" i="67"/>
  <c r="AD27" i="67"/>
  <c r="AI27" i="67"/>
  <c r="AG27" i="67"/>
  <c r="BJ27" i="67"/>
  <c r="AY27" i="67"/>
  <c r="AM27" i="67"/>
  <c r="BO27" i="67"/>
  <c r="BM27" i="67"/>
  <c r="AV27" i="67"/>
  <c r="BB27" i="67"/>
  <c r="BA27" i="67"/>
  <c r="AL27" i="67"/>
  <c r="I27" i="67"/>
  <c r="E27" i="67"/>
  <c r="P27" i="67"/>
  <c r="Z27" i="67"/>
  <c r="AC27" i="67"/>
  <c r="L27" i="67"/>
  <c r="Y27" i="67"/>
  <c r="M27" i="67"/>
  <c r="AQ27" i="67"/>
  <c r="AK27" i="67"/>
  <c r="BL27" i="67"/>
  <c r="BC27" i="67"/>
  <c r="AO27" i="67"/>
  <c r="BN27" i="67"/>
  <c r="AT27" i="67"/>
  <c r="AR27" i="67"/>
  <c r="S27" i="67"/>
  <c r="D79" i="63"/>
  <c r="AD119" i="33"/>
  <c r="Z119" i="33"/>
  <c r="AF119" i="33"/>
  <c r="AB119" i="33"/>
  <c r="Y135" i="33"/>
  <c r="Y119" i="33"/>
  <c r="AC135" i="33"/>
  <c r="AC119" i="33"/>
  <c r="AE135" i="33"/>
  <c r="AE119" i="33"/>
  <c r="AA135" i="33"/>
  <c r="AA119" i="33"/>
  <c r="C90" i="24"/>
  <c r="C89" i="24"/>
  <c r="C88" i="24"/>
  <c r="C87" i="24"/>
  <c r="C86" i="24"/>
  <c r="C85" i="24"/>
  <c r="C76" i="24"/>
  <c r="C23" i="24"/>
  <c r="C14" i="24"/>
  <c r="BF22" i="36"/>
  <c r="C81" i="24"/>
  <c r="C80" i="24"/>
  <c r="C79" i="24"/>
  <c r="C78" i="24"/>
  <c r="C77" i="24"/>
  <c r="C28" i="24"/>
  <c r="C27" i="24"/>
  <c r="C26" i="24"/>
  <c r="C25" i="24"/>
  <c r="C24" i="24"/>
  <c r="C19" i="24"/>
  <c r="C18" i="24"/>
  <c r="C17" i="24"/>
  <c r="C16" i="24"/>
  <c r="C15" i="24"/>
  <c r="BE54" i="33" l="1"/>
  <c r="BF54" i="33"/>
  <c r="BF53" i="33"/>
  <c r="BE53" i="33"/>
  <c r="BD54" i="33"/>
  <c r="BD53" i="33"/>
  <c r="BC54" i="33"/>
  <c r="BC53" i="33"/>
  <c r="BB54" i="33"/>
  <c r="BB53" i="33"/>
  <c r="BA54" i="33"/>
  <c r="BA53" i="33"/>
  <c r="X69" i="33" l="1"/>
  <c r="S71" i="33"/>
  <c r="V67" i="33"/>
  <c r="V74" i="33" s="1"/>
  <c r="T68" i="33"/>
  <c r="T75" i="33" s="1"/>
  <c r="Z73" i="33"/>
  <c r="Z80" i="33" s="1"/>
  <c r="AB73" i="33"/>
  <c r="S73" i="33"/>
  <c r="S80" i="33" s="1"/>
  <c r="V70" i="33"/>
  <c r="V77" i="33" s="1"/>
  <c r="X73" i="33"/>
  <c r="S72" i="33"/>
  <c r="S79" i="33" s="1"/>
  <c r="V71" i="33"/>
  <c r="T72" i="33"/>
  <c r="T79" i="33" s="1"/>
  <c r="Z70" i="33"/>
  <c r="Z77" i="33" s="1"/>
  <c r="AB68" i="33"/>
  <c r="AB75" i="33" s="1"/>
  <c r="X67" i="33"/>
  <c r="X74" i="33" s="1"/>
  <c r="T73" i="33"/>
  <c r="T80" i="33" s="1"/>
  <c r="Z67" i="33"/>
  <c r="Z74" i="33" s="1"/>
  <c r="T71" i="33"/>
  <c r="T78" i="33" s="1"/>
  <c r="X70" i="33"/>
  <c r="X77" i="33" s="1"/>
  <c r="S67" i="33"/>
  <c r="S74" i="33" s="1"/>
  <c r="S81" i="33" s="1"/>
  <c r="I71" i="24" s="1"/>
  <c r="V68" i="33"/>
  <c r="V75" i="33" s="1"/>
  <c r="T69" i="33"/>
  <c r="Z71" i="33"/>
  <c r="Z78" i="33" s="1"/>
  <c r="AB70" i="33"/>
  <c r="AB77" i="33" s="1"/>
  <c r="V72" i="33"/>
  <c r="V79" i="33" s="1"/>
  <c r="S70" i="33"/>
  <c r="S77" i="33" s="1"/>
  <c r="X68" i="33"/>
  <c r="X75" i="33" s="1"/>
  <c r="S69" i="33"/>
  <c r="S76" i="33" s="1"/>
  <c r="V73" i="33"/>
  <c r="V80" i="33" s="1"/>
  <c r="T70" i="33"/>
  <c r="T77" i="33" s="1"/>
  <c r="AB67" i="33"/>
  <c r="AB74" i="33" s="1"/>
  <c r="AB69" i="33"/>
  <c r="AB76" i="33" s="1"/>
  <c r="X72" i="33"/>
  <c r="X79" i="33" s="1"/>
  <c r="S68" i="33"/>
  <c r="V69" i="33"/>
  <c r="Z68" i="33"/>
  <c r="Z75" i="33" s="1"/>
  <c r="AB71" i="33"/>
  <c r="AB78" i="33" s="1"/>
  <c r="X71" i="33"/>
  <c r="X78" i="33" s="1"/>
  <c r="T67" i="33"/>
  <c r="T74" i="33" s="1"/>
  <c r="Z72" i="33"/>
  <c r="Z79" i="33" s="1"/>
  <c r="AB72" i="33"/>
  <c r="Z69" i="33"/>
  <c r="AC71" i="33"/>
  <c r="AC78" i="33" s="1"/>
  <c r="U68" i="33"/>
  <c r="U75" i="33" s="1"/>
  <c r="AA69" i="33"/>
  <c r="W68" i="33"/>
  <c r="W75" i="33" s="1"/>
  <c r="Y69" i="33"/>
  <c r="Y76" i="33" s="1"/>
  <c r="AC70" i="33"/>
  <c r="AC77" i="33" s="1"/>
  <c r="U72" i="33"/>
  <c r="U79" i="33" s="1"/>
  <c r="AA73" i="33"/>
  <c r="AA80" i="33" s="1"/>
  <c r="W72" i="33"/>
  <c r="W79" i="33" s="1"/>
  <c r="Y67" i="33"/>
  <c r="Y74" i="33" s="1"/>
  <c r="AA72" i="33"/>
  <c r="AA79" i="33" s="1"/>
  <c r="AC67" i="33"/>
  <c r="AC74" i="33" s="1"/>
  <c r="U69" i="33"/>
  <c r="U76" i="33" s="1"/>
  <c r="AA70" i="33"/>
  <c r="AA77" i="33" s="1"/>
  <c r="W69" i="33"/>
  <c r="W76" i="33" s="1"/>
  <c r="Y71" i="33"/>
  <c r="Y78" i="33" s="1"/>
  <c r="AC68" i="33"/>
  <c r="AC75" i="33" s="1"/>
  <c r="U73" i="33"/>
  <c r="U80" i="33" s="1"/>
  <c r="AA71" i="33"/>
  <c r="AA78" i="33" s="1"/>
  <c r="W73" i="33"/>
  <c r="W80" i="33" s="1"/>
  <c r="Y72" i="33"/>
  <c r="Y79" i="33" s="1"/>
  <c r="AC72" i="33"/>
  <c r="AC79" i="33" s="1"/>
  <c r="U67" i="33"/>
  <c r="U74" i="33" s="1"/>
  <c r="AA67" i="33"/>
  <c r="AA74" i="33" s="1"/>
  <c r="Y73" i="33"/>
  <c r="Y80" i="33" s="1"/>
  <c r="AA68" i="33"/>
  <c r="AA75" i="33" s="1"/>
  <c r="W67" i="33"/>
  <c r="W74" i="33" s="1"/>
  <c r="Y68" i="33"/>
  <c r="Y75" i="33" s="1"/>
  <c r="U71" i="33"/>
  <c r="U78" i="33" s="1"/>
  <c r="AC69" i="33"/>
  <c r="AC76" i="33" s="1"/>
  <c r="U70" i="33"/>
  <c r="U77" i="33" s="1"/>
  <c r="W70" i="33"/>
  <c r="W77" i="33" s="1"/>
  <c r="Y70" i="33"/>
  <c r="Y77" i="33" s="1"/>
  <c r="AC73" i="33"/>
  <c r="AC80" i="33" s="1"/>
  <c r="W71" i="33"/>
  <c r="W78" i="33" s="1"/>
  <c r="T76" i="33"/>
  <c r="X80" i="33"/>
  <c r="AB80" i="33"/>
  <c r="AB79" i="33"/>
  <c r="S78" i="33"/>
  <c r="AA76" i="33"/>
  <c r="S75" i="33"/>
  <c r="V76" i="33"/>
  <c r="X76" i="33"/>
  <c r="Z76" i="33"/>
  <c r="V78" i="33"/>
  <c r="BF12" i="36"/>
  <c r="U81" i="33" l="1"/>
  <c r="K71" i="24" s="1"/>
  <c r="V81" i="33"/>
  <c r="L71" i="24" s="1"/>
  <c r="T81" i="33"/>
  <c r="J71" i="24" s="1"/>
  <c r="W81" i="33"/>
  <c r="M71" i="24" s="1"/>
  <c r="Z81" i="33"/>
  <c r="P71" i="24" s="1"/>
  <c r="AA81" i="33"/>
  <c r="Q71" i="24" s="1"/>
  <c r="AB81" i="33"/>
  <c r="R71" i="24" s="1"/>
  <c r="Y81" i="33"/>
  <c r="O71" i="24" s="1"/>
  <c r="X81" i="33"/>
  <c r="N71" i="24" s="1"/>
  <c r="AC81" i="33"/>
  <c r="S71" i="24" s="1"/>
  <c r="C64" i="36" l="1"/>
  <c r="D64" i="36"/>
  <c r="E64" i="36"/>
  <c r="F64" i="36"/>
  <c r="G64" i="36"/>
  <c r="H64" i="36"/>
  <c r="I64" i="36"/>
  <c r="J64" i="36"/>
  <c r="E81" i="36"/>
  <c r="E74" i="33"/>
  <c r="C9" i="67" s="1"/>
  <c r="E75" i="33"/>
  <c r="E77" i="33"/>
  <c r="F9" i="67" s="1"/>
  <c r="E78" i="33"/>
  <c r="G9" i="67" s="1"/>
  <c r="E79" i="33"/>
  <c r="H9" i="67" s="1"/>
  <c r="E80" i="33"/>
  <c r="I9" i="67" s="1"/>
  <c r="J9" i="24"/>
  <c r="K9" i="24"/>
  <c r="L9" i="24"/>
  <c r="M9" i="24"/>
  <c r="N9" i="24"/>
  <c r="O9" i="24"/>
  <c r="P9" i="24"/>
  <c r="BM7" i="33"/>
  <c r="BA28" i="33"/>
  <c r="BL60" i="33"/>
  <c r="BA27" i="33"/>
  <c r="BA26" i="33"/>
  <c r="BL58" i="33"/>
  <c r="D9" i="67" l="1"/>
  <c r="E76" i="33"/>
  <c r="E9" i="67" s="1"/>
  <c r="D9" i="63" l="1"/>
  <c r="BG216" i="31"/>
  <c r="BH216" i="31"/>
  <c r="BI216" i="31"/>
  <c r="BJ216" i="31"/>
  <c r="BK216" i="31"/>
  <c r="BL216" i="31"/>
  <c r="BM216" i="31"/>
  <c r="BN216" i="31"/>
  <c r="BO216" i="31"/>
  <c r="BP216" i="31"/>
  <c r="BQ216" i="31"/>
  <c r="BR216" i="31"/>
  <c r="BS216" i="31"/>
  <c r="BV216" i="31"/>
  <c r="BW216" i="31"/>
  <c r="BF216" i="31"/>
  <c r="AM216" i="31"/>
  <c r="AN216" i="31"/>
  <c r="AO216" i="31"/>
  <c r="AP216" i="31"/>
  <c r="AQ216" i="31"/>
  <c r="AR216" i="31"/>
  <c r="AS216" i="31"/>
  <c r="AT216" i="31"/>
  <c r="AU216" i="31"/>
  <c r="AV216" i="31"/>
  <c r="AW216" i="31"/>
  <c r="AL216" i="31"/>
  <c r="BL13" i="33" l="1"/>
  <c r="BL14" i="33"/>
  <c r="BL15" i="33"/>
  <c r="BL16" i="33"/>
  <c r="BL17" i="33"/>
  <c r="BL18" i="33"/>
  <c r="BL19" i="33"/>
  <c r="BL20" i="33"/>
  <c r="BL21" i="33"/>
  <c r="BL22" i="33"/>
  <c r="BL23" i="33"/>
  <c r="BL25" i="33"/>
  <c r="BL26" i="33"/>
  <c r="BL27" i="33"/>
  <c r="BL28" i="33"/>
  <c r="BL29" i="33"/>
  <c r="BL30" i="33"/>
  <c r="BL31" i="33"/>
  <c r="BL32" i="33"/>
  <c r="BL43" i="33"/>
  <c r="BL44" i="33"/>
  <c r="BL45" i="33"/>
  <c r="BL46" i="33"/>
  <c r="BL47" i="33"/>
  <c r="BL48" i="33"/>
  <c r="BL50" i="33"/>
  <c r="BL51" i="33"/>
  <c r="BL52" i="33"/>
  <c r="BL53" i="33"/>
  <c r="BL55" i="33"/>
  <c r="BL56" i="33"/>
  <c r="BL57" i="33"/>
  <c r="BL59" i="33"/>
  <c r="BL61" i="33"/>
  <c r="BL66" i="33"/>
  <c r="BL67" i="33"/>
  <c r="BL68" i="33"/>
  <c r="BL69" i="33"/>
  <c r="BL70" i="33"/>
  <c r="BL71" i="33"/>
  <c r="BL12" i="33"/>
  <c r="BL11" i="33"/>
  <c r="BK13" i="33"/>
  <c r="BK14" i="33"/>
  <c r="BK15" i="33"/>
  <c r="BK16" i="33"/>
  <c r="BK17" i="33"/>
  <c r="BK18" i="33"/>
  <c r="BK19" i="33"/>
  <c r="BK20" i="33"/>
  <c r="BK21" i="33"/>
  <c r="BK22" i="33"/>
  <c r="BK23" i="33"/>
  <c r="BK24" i="33"/>
  <c r="BK25" i="33"/>
  <c r="BK26" i="33"/>
  <c r="BK27" i="33"/>
  <c r="BK28" i="33"/>
  <c r="BK29" i="33"/>
  <c r="BK30" i="33"/>
  <c r="BK31" i="33"/>
  <c r="BK32" i="33"/>
  <c r="BK33" i="33"/>
  <c r="BK43" i="33"/>
  <c r="BK44" i="33"/>
  <c r="BK45" i="33"/>
  <c r="BK46" i="33"/>
  <c r="BK47" i="33"/>
  <c r="BK48" i="33"/>
  <c r="BK49" i="33"/>
  <c r="BK50" i="33"/>
  <c r="BK51" i="33"/>
  <c r="BK52" i="33"/>
  <c r="BK53" i="33"/>
  <c r="BK54" i="33"/>
  <c r="BK55" i="33"/>
  <c r="BK56" i="33"/>
  <c r="BK57" i="33"/>
  <c r="BK58" i="33"/>
  <c r="BK59" i="33"/>
  <c r="BK60" i="33"/>
  <c r="BK61" i="33"/>
  <c r="BK66" i="33"/>
  <c r="BK67" i="33"/>
  <c r="BK68" i="33"/>
  <c r="BK69" i="33"/>
  <c r="BK70" i="33"/>
  <c r="BK71" i="33"/>
  <c r="BK12" i="33"/>
  <c r="BK11" i="33"/>
  <c r="CD11" i="33"/>
  <c r="CD12" i="33"/>
  <c r="CD13" i="33"/>
  <c r="CD14" i="33"/>
  <c r="CD15" i="33"/>
  <c r="CD16" i="33"/>
  <c r="CD17" i="33"/>
  <c r="CD18" i="33"/>
  <c r="CD19" i="33"/>
  <c r="CD20" i="33"/>
  <c r="CD21" i="33"/>
  <c r="CD22" i="33"/>
  <c r="CD23" i="33"/>
  <c r="CD24" i="33"/>
  <c r="CD25" i="33"/>
  <c r="CD26" i="33"/>
  <c r="CD27" i="33"/>
  <c r="CD28" i="33"/>
  <c r="CD29" i="33"/>
  <c r="CD30" i="33"/>
  <c r="CD31" i="33"/>
  <c r="CD32" i="33"/>
  <c r="CD33" i="33"/>
  <c r="CD43" i="33"/>
  <c r="CD44" i="33"/>
  <c r="CD45" i="33"/>
  <c r="CD46" i="33"/>
  <c r="CD47" i="33"/>
  <c r="CD48" i="33"/>
  <c r="CD49" i="33"/>
  <c r="CD50" i="33"/>
  <c r="CD51" i="33"/>
  <c r="CD52" i="33"/>
  <c r="CD53" i="33"/>
  <c r="CD54" i="33"/>
  <c r="CD55" i="33"/>
  <c r="CD56" i="33"/>
  <c r="CD57" i="33"/>
  <c r="CD58" i="33"/>
  <c r="CD59" i="33"/>
  <c r="CD60" i="33"/>
  <c r="CD61" i="33"/>
  <c r="CD66" i="33"/>
  <c r="CD67" i="33"/>
  <c r="CD68" i="33"/>
  <c r="CD69" i="33"/>
  <c r="CD70" i="33"/>
  <c r="CD71" i="33"/>
  <c r="CD72" i="33"/>
  <c r="CD73" i="33"/>
  <c r="CD74" i="33"/>
  <c r="CD75" i="33"/>
  <c r="CD93" i="33"/>
  <c r="CD208" i="33"/>
  <c r="CD209" i="33"/>
  <c r="CD210" i="33"/>
  <c r="CD211" i="33"/>
  <c r="CD212" i="33"/>
  <c r="CD213" i="33"/>
  <c r="CD214" i="33"/>
  <c r="CD215" i="33"/>
  <c r="CD216" i="33"/>
  <c r="CD217" i="33"/>
  <c r="CD218" i="33"/>
  <c r="CD219" i="33"/>
  <c r="CD220" i="33"/>
  <c r="CD221" i="33"/>
  <c r="CD10" i="33"/>
  <c r="CD9" i="33"/>
  <c r="CC209" i="33"/>
  <c r="CC210" i="33"/>
  <c r="CC211" i="33"/>
  <c r="CC213" i="33"/>
  <c r="CC214" i="33"/>
  <c r="CC215" i="33"/>
  <c r="CC216" i="33"/>
  <c r="CC217" i="33"/>
  <c r="CB218" i="33"/>
  <c r="CB219" i="33"/>
  <c r="CB220" i="33"/>
  <c r="CB221" i="33"/>
  <c r="CB215" i="33"/>
  <c r="CB216" i="33"/>
  <c r="CB217" i="33"/>
  <c r="CB211" i="33"/>
  <c r="CB212" i="33"/>
  <c r="CB213" i="33"/>
  <c r="CB214" i="33"/>
  <c r="CB208" i="33"/>
  <c r="CB209" i="33"/>
  <c r="CB210" i="33"/>
  <c r="CB60" i="33"/>
  <c r="CB61" i="33"/>
  <c r="CB66" i="33"/>
  <c r="CB67" i="33"/>
  <c r="CB68" i="33"/>
  <c r="CB69" i="33"/>
  <c r="CB70" i="33"/>
  <c r="CB71" i="33"/>
  <c r="CB72" i="33"/>
  <c r="CB73" i="33"/>
  <c r="CB74" i="33"/>
  <c r="CB75" i="33"/>
  <c r="CB93" i="33"/>
  <c r="CB48" i="33"/>
  <c r="CB49" i="33"/>
  <c r="CB50" i="33"/>
  <c r="CB51" i="33"/>
  <c r="CB52" i="33"/>
  <c r="CB53" i="33"/>
  <c r="CB54" i="33"/>
  <c r="CB55" i="33"/>
  <c r="CB56" i="33"/>
  <c r="CB57" i="33"/>
  <c r="CB58" i="33"/>
  <c r="CB59" i="33"/>
  <c r="CB11" i="33"/>
  <c r="CB12" i="33"/>
  <c r="CB13" i="33"/>
  <c r="CB14" i="33"/>
  <c r="CB15" i="33"/>
  <c r="CB16" i="33"/>
  <c r="CB17" i="33"/>
  <c r="CB18" i="33"/>
  <c r="CB19" i="33"/>
  <c r="CB20" i="33"/>
  <c r="CB21" i="33"/>
  <c r="CB22" i="33"/>
  <c r="CB23" i="33"/>
  <c r="CB24" i="33"/>
  <c r="CB25" i="33"/>
  <c r="CB26" i="33"/>
  <c r="CB27" i="33"/>
  <c r="CB28" i="33"/>
  <c r="CB29" i="33"/>
  <c r="CB30" i="33"/>
  <c r="CB31" i="33"/>
  <c r="CB32" i="33"/>
  <c r="CB33" i="33"/>
  <c r="CB43" i="33"/>
  <c r="CB44" i="33"/>
  <c r="CB45" i="33"/>
  <c r="CB46" i="33"/>
  <c r="CB47" i="33"/>
  <c r="CB10" i="33"/>
  <c r="CB9" i="33"/>
  <c r="AI211" i="33" l="1"/>
  <c r="BT47" i="33" s="1"/>
  <c r="BZ210" i="33"/>
  <c r="AI210" i="33"/>
  <c r="BS47" i="33" s="1"/>
  <c r="BZ209" i="33"/>
  <c r="BZ208" i="33"/>
  <c r="BZ93" i="33"/>
  <c r="BZ75" i="33"/>
  <c r="BZ74" i="33"/>
  <c r="BZ73" i="33"/>
  <c r="BZ72" i="33"/>
  <c r="BZ71" i="33"/>
  <c r="BZ70" i="33"/>
  <c r="BZ69" i="33"/>
  <c r="BZ68" i="33"/>
  <c r="BZ67" i="33"/>
  <c r="BZ66" i="33"/>
  <c r="BZ61" i="33"/>
  <c r="BZ60" i="33"/>
  <c r="BZ59" i="33"/>
  <c r="BZ58" i="33"/>
  <c r="BZ57" i="33"/>
  <c r="BZ56" i="33"/>
  <c r="BZ55" i="33"/>
  <c r="BZ54" i="33"/>
  <c r="BZ53" i="33"/>
  <c r="BV53" i="33"/>
  <c r="BT51" i="33" s="1"/>
  <c r="BZ52" i="33"/>
  <c r="BZ51" i="33"/>
  <c r="BZ50" i="33"/>
  <c r="BZ49" i="33"/>
  <c r="BZ48" i="33"/>
  <c r="BZ47" i="33"/>
  <c r="BZ46" i="33"/>
  <c r="BZ45" i="33"/>
  <c r="BZ44" i="33"/>
  <c r="BZ43" i="33"/>
  <c r="BS43" i="33"/>
  <c r="BZ33" i="33"/>
  <c r="BZ32" i="33"/>
  <c r="BV32" i="33"/>
  <c r="BT32" i="33"/>
  <c r="BU32" i="33" s="1"/>
  <c r="BW32" i="33" s="1"/>
  <c r="BS32" i="33"/>
  <c r="BZ31" i="33"/>
  <c r="BZ30" i="33"/>
  <c r="BZ29" i="33"/>
  <c r="BZ28" i="33"/>
  <c r="BS28" i="33"/>
  <c r="BZ27" i="33"/>
  <c r="BZ26" i="33"/>
  <c r="BV26" i="33"/>
  <c r="BT26" i="33"/>
  <c r="BT28" i="33" s="1"/>
  <c r="W225" i="33" s="1"/>
  <c r="BS26" i="33"/>
  <c r="BZ25" i="33"/>
  <c r="DF24" i="33"/>
  <c r="DD24" i="33"/>
  <c r="CP24" i="33"/>
  <c r="CQ24" i="33" s="1"/>
  <c r="BZ24" i="33"/>
  <c r="DF23" i="33"/>
  <c r="DD23" i="33"/>
  <c r="CP23" i="33"/>
  <c r="CQ23" i="33" s="1"/>
  <c r="BZ23" i="33"/>
  <c r="DF22" i="33"/>
  <c r="DD22" i="33"/>
  <c r="CP22" i="33"/>
  <c r="CQ22" i="33" s="1"/>
  <c r="BZ22" i="33"/>
  <c r="BS22" i="33"/>
  <c r="DF21" i="33"/>
  <c r="DD21" i="33"/>
  <c r="CP21" i="33"/>
  <c r="CQ21" i="33" s="1"/>
  <c r="BZ21" i="33"/>
  <c r="DF20" i="33"/>
  <c r="DD20" i="33"/>
  <c r="CP20" i="33"/>
  <c r="CQ20" i="33" s="1"/>
  <c r="BZ20" i="33"/>
  <c r="BV20" i="33"/>
  <c r="BT20" i="33"/>
  <c r="BT22" i="33" s="1"/>
  <c r="W222" i="33" s="1"/>
  <c r="BS20" i="33"/>
  <c r="BZ19" i="33"/>
  <c r="BZ18" i="33"/>
  <c r="BZ17" i="33"/>
  <c r="BZ16" i="33"/>
  <c r="BS16" i="33"/>
  <c r="BZ15" i="33"/>
  <c r="BZ14" i="33"/>
  <c r="BV14" i="33"/>
  <c r="BT14" i="33"/>
  <c r="BU14" i="33" s="1"/>
  <c r="BW14" i="33" s="1"/>
  <c r="BS14" i="33"/>
  <c r="BZ13" i="33"/>
  <c r="BB13" i="33"/>
  <c r="BA13" i="33"/>
  <c r="BZ12" i="33"/>
  <c r="DE11" i="33"/>
  <c r="DG11" i="33" s="1"/>
  <c r="CW11" i="33"/>
  <c r="CV11" i="33"/>
  <c r="CT11" i="33"/>
  <c r="BZ11" i="33"/>
  <c r="BZ10" i="33"/>
  <c r="BS10" i="33"/>
  <c r="BZ9" i="33"/>
  <c r="BZ8" i="33"/>
  <c r="BV8" i="33"/>
  <c r="BT8" i="33"/>
  <c r="BT10" i="33" s="1"/>
  <c r="W216" i="33" s="1"/>
  <c r="BS8" i="33"/>
  <c r="BQ7" i="33"/>
  <c r="BP7" i="33"/>
  <c r="CL6" i="33"/>
  <c r="CK6" i="33"/>
  <c r="CJ6" i="33"/>
  <c r="CI6" i="33"/>
  <c r="CH6" i="33"/>
  <c r="BV51" i="33" l="1"/>
  <c r="BU47" i="33"/>
  <c r="BU52" i="33"/>
  <c r="DN20" i="33"/>
  <c r="DA20" i="33" s="1"/>
  <c r="DN21" i="33"/>
  <c r="DA21" i="33" s="1"/>
  <c r="DK22" i="33"/>
  <c r="CX22" i="33" s="1"/>
  <c r="DL23" i="33"/>
  <c r="DL24" i="33"/>
  <c r="BU8" i="33"/>
  <c r="BW8" i="33" s="1"/>
  <c r="BU10" i="33" s="1"/>
  <c r="W215" i="33" s="1"/>
  <c r="CI210" i="33"/>
  <c r="CI214" i="33"/>
  <c r="CI216" i="33"/>
  <c r="CI209" i="33"/>
  <c r="CI213" i="33"/>
  <c r="CI217" i="33"/>
  <c r="CI211" i="33"/>
  <c r="CI215" i="33"/>
  <c r="CK210" i="33"/>
  <c r="CK214" i="33"/>
  <c r="CK216" i="33"/>
  <c r="CK211" i="33"/>
  <c r="CK215" i="33"/>
  <c r="CK209" i="33"/>
  <c r="CK213" i="33"/>
  <c r="CK217" i="33"/>
  <c r="BN8" i="33"/>
  <c r="BT16" i="33"/>
  <c r="W219" i="33" s="1"/>
  <c r="CH209" i="33"/>
  <c r="CH211" i="33"/>
  <c r="CH213" i="33"/>
  <c r="CH215" i="33"/>
  <c r="CH217" i="33"/>
  <c r="CH210" i="33"/>
  <c r="CH214" i="33"/>
  <c r="CH216" i="33"/>
  <c r="CJ209" i="33"/>
  <c r="CJ211" i="33"/>
  <c r="CJ213" i="33"/>
  <c r="CJ215" i="33"/>
  <c r="CJ217" i="33"/>
  <c r="CJ216" i="33"/>
  <c r="CJ210" i="33"/>
  <c r="CJ214" i="33"/>
  <c r="CL209" i="33"/>
  <c r="CL211" i="33"/>
  <c r="CL213" i="33"/>
  <c r="CL215" i="33"/>
  <c r="CL217" i="33"/>
  <c r="CL210" i="33"/>
  <c r="CL214" i="33"/>
  <c r="CL216" i="33"/>
  <c r="BO8" i="33"/>
  <c r="BQ8" i="33"/>
  <c r="BQ9" i="33"/>
  <c r="BQ14" i="33" s="1"/>
  <c r="BU20" i="33"/>
  <c r="BW20" i="33" s="1"/>
  <c r="BX20" i="33" s="1"/>
  <c r="DI22" i="33"/>
  <c r="CR22" i="33" s="1"/>
  <c r="BP9" i="33"/>
  <c r="BP70" i="33" s="1"/>
  <c r="BP8" i="33"/>
  <c r="DJ23" i="33"/>
  <c r="CT23" i="33" s="1"/>
  <c r="DJ24" i="33"/>
  <c r="CT24" i="33" s="1"/>
  <c r="DM24" i="33"/>
  <c r="CV24" i="33" s="1"/>
  <c r="DM22" i="33"/>
  <c r="CV22" i="33" s="1"/>
  <c r="DN23" i="33"/>
  <c r="DA23" i="33" s="1"/>
  <c r="DN24" i="33"/>
  <c r="DA24" i="33" s="1"/>
  <c r="BU26" i="33"/>
  <c r="BW26" i="33" s="1"/>
  <c r="BU28" i="33" s="1"/>
  <c r="W224" i="33" s="1"/>
  <c r="BW16" i="33"/>
  <c r="BU16" i="33"/>
  <c r="W218" i="33" s="1"/>
  <c r="BX14" i="33"/>
  <c r="BM8" i="33"/>
  <c r="DL20" i="33"/>
  <c r="DL21" i="33"/>
  <c r="DJ20" i="33"/>
  <c r="CT20" i="33" s="1"/>
  <c r="DJ21" i="33"/>
  <c r="CT21" i="33" s="1"/>
  <c r="BW43" i="33"/>
  <c r="BU43" i="33"/>
  <c r="W227" i="33" s="1"/>
  <c r="BX32" i="33"/>
  <c r="BT43" i="33"/>
  <c r="W228" i="33" s="1"/>
  <c r="DI20" i="33"/>
  <c r="CR20" i="33" s="1"/>
  <c r="DK20" i="33"/>
  <c r="CX20" i="33" s="1"/>
  <c r="DM20" i="33"/>
  <c r="CV20" i="33" s="1"/>
  <c r="DI21" i="33"/>
  <c r="CR21" i="33" s="1"/>
  <c r="DK21" i="33"/>
  <c r="CX21" i="33" s="1"/>
  <c r="DM21" i="33"/>
  <c r="CV21" i="33" s="1"/>
  <c r="DJ22" i="33"/>
  <c r="CT22" i="33" s="1"/>
  <c r="DL22" i="33"/>
  <c r="DN22" i="33"/>
  <c r="DA22" i="33" s="1"/>
  <c r="DI23" i="33"/>
  <c r="CR23" i="33" s="1"/>
  <c r="DK23" i="33"/>
  <c r="CX23" i="33" s="1"/>
  <c r="DM23" i="33"/>
  <c r="CV23" i="33" s="1"/>
  <c r="DI24" i="33"/>
  <c r="CR24" i="33" s="1"/>
  <c r="DK24" i="33"/>
  <c r="CX24" i="33" s="1"/>
  <c r="BV52" i="33"/>
  <c r="BT52" i="33"/>
  <c r="BU51" i="33"/>
  <c r="AK251" i="31"/>
  <c r="BW250" i="31"/>
  <c r="BV250" i="31"/>
  <c r="BS250" i="31"/>
  <c r="BR250" i="31"/>
  <c r="BQ250" i="31"/>
  <c r="BP250" i="31"/>
  <c r="BO250" i="31"/>
  <c r="BN250" i="31"/>
  <c r="BM250" i="31"/>
  <c r="BL250" i="31"/>
  <c r="BK250" i="31"/>
  <c r="BJ250" i="31"/>
  <c r="BI250" i="31"/>
  <c r="BH250" i="31"/>
  <c r="BG250" i="31"/>
  <c r="BF250" i="31"/>
  <c r="AW250" i="31"/>
  <c r="AV250" i="31"/>
  <c r="AU250" i="31"/>
  <c r="AT250" i="31"/>
  <c r="AS250" i="31"/>
  <c r="AR250" i="31"/>
  <c r="AQ250" i="31"/>
  <c r="AP250" i="31"/>
  <c r="AO250" i="31"/>
  <c r="AN250" i="31"/>
  <c r="AM250" i="31"/>
  <c r="AL250" i="31"/>
  <c r="AK250" i="31"/>
  <c r="BW249" i="31"/>
  <c r="BV249" i="31"/>
  <c r="BS249" i="31"/>
  <c r="BR249" i="31"/>
  <c r="BQ249" i="31"/>
  <c r="BP249" i="31"/>
  <c r="BO249" i="31"/>
  <c r="BN249" i="31"/>
  <c r="BM249" i="31"/>
  <c r="BL249" i="31"/>
  <c r="BK249" i="31"/>
  <c r="BJ249" i="31"/>
  <c r="BI249" i="31"/>
  <c r="BH249" i="31"/>
  <c r="BG249" i="31"/>
  <c r="BF249" i="31"/>
  <c r="AW249" i="31"/>
  <c r="AV249" i="31"/>
  <c r="AU249" i="31"/>
  <c r="AT249" i="31"/>
  <c r="AS249" i="31"/>
  <c r="AR249" i="31"/>
  <c r="AQ249" i="31"/>
  <c r="AP249" i="31"/>
  <c r="AO249" i="31"/>
  <c r="AN249" i="31"/>
  <c r="AM249" i="31"/>
  <c r="AL249" i="31"/>
  <c r="AK249" i="31"/>
  <c r="BW248" i="31"/>
  <c r="BV248" i="31"/>
  <c r="BS248" i="31"/>
  <c r="BR248" i="31"/>
  <c r="BQ248" i="31"/>
  <c r="BP248" i="31"/>
  <c r="BO248" i="31"/>
  <c r="BN248" i="31"/>
  <c r="BM248" i="31"/>
  <c r="BL248" i="31"/>
  <c r="BK248" i="31"/>
  <c r="BJ248" i="31"/>
  <c r="BI248" i="31"/>
  <c r="BH248" i="31"/>
  <c r="BG248" i="31"/>
  <c r="BF248" i="31"/>
  <c r="AW248" i="31"/>
  <c r="AV248" i="31"/>
  <c r="AU248" i="31"/>
  <c r="AT248" i="31"/>
  <c r="AS248" i="31"/>
  <c r="AR248" i="31"/>
  <c r="AQ248" i="31"/>
  <c r="AP248" i="31"/>
  <c r="AO248" i="31"/>
  <c r="AN248" i="31"/>
  <c r="AM248" i="31"/>
  <c r="AL248" i="31"/>
  <c r="AK248" i="31"/>
  <c r="AK247" i="31"/>
  <c r="AK246" i="31"/>
  <c r="AK245" i="31"/>
  <c r="AK244" i="31"/>
  <c r="AK243" i="31"/>
  <c r="AK242" i="31"/>
  <c r="AK241" i="31"/>
  <c r="AK240" i="31"/>
  <c r="AK239" i="31"/>
  <c r="AK238" i="31"/>
  <c r="BW237" i="31"/>
  <c r="BV237" i="31"/>
  <c r="BS237" i="31"/>
  <c r="BR237" i="31"/>
  <c r="BQ237" i="31"/>
  <c r="BP237" i="31"/>
  <c r="BO237" i="31"/>
  <c r="BN237" i="31"/>
  <c r="BM237" i="31"/>
  <c r="BL237" i="31"/>
  <c r="BK237" i="31"/>
  <c r="BJ237" i="31"/>
  <c r="BI237" i="31"/>
  <c r="BH237" i="31"/>
  <c r="BG237" i="31"/>
  <c r="BF237" i="31"/>
  <c r="BE237" i="31"/>
  <c r="BD237" i="31"/>
  <c r="BC237" i="31"/>
  <c r="BB237" i="31"/>
  <c r="BA237" i="31"/>
  <c r="AZ237" i="31"/>
  <c r="AY237" i="31"/>
  <c r="AX237" i="31"/>
  <c r="AW237" i="31"/>
  <c r="AV237" i="31"/>
  <c r="AU237" i="31"/>
  <c r="AT237" i="31"/>
  <c r="AS237" i="31"/>
  <c r="AR237" i="31"/>
  <c r="AQ237" i="31"/>
  <c r="AP237" i="31"/>
  <c r="AO237" i="31"/>
  <c r="AN237" i="31"/>
  <c r="AM237" i="31"/>
  <c r="AL237" i="31"/>
  <c r="AK237" i="31"/>
  <c r="DE236" i="31"/>
  <c r="DD236" i="31"/>
  <c r="DC236" i="31"/>
  <c r="DB236" i="31"/>
  <c r="BW236" i="31"/>
  <c r="BV236" i="31"/>
  <c r="BS236" i="31"/>
  <c r="BR236" i="31"/>
  <c r="BQ236" i="31"/>
  <c r="BP236" i="31"/>
  <c r="BO236" i="31"/>
  <c r="BN236" i="31"/>
  <c r="BM236" i="31"/>
  <c r="BL236" i="31"/>
  <c r="BK236" i="31"/>
  <c r="BJ236" i="31"/>
  <c r="BI236" i="31"/>
  <c r="BH236" i="31"/>
  <c r="BG236" i="31"/>
  <c r="BF236" i="31"/>
  <c r="BE236" i="31"/>
  <c r="BD236" i="31"/>
  <c r="BC236" i="31"/>
  <c r="BB236" i="31"/>
  <c r="BA236" i="31"/>
  <c r="AZ236" i="31"/>
  <c r="AY236" i="31"/>
  <c r="AX236" i="31"/>
  <c r="AW236" i="31"/>
  <c r="AV236" i="31"/>
  <c r="AU236" i="31"/>
  <c r="AT236" i="31"/>
  <c r="AS236" i="31"/>
  <c r="AR236" i="31"/>
  <c r="AQ236" i="31"/>
  <c r="AP236" i="31"/>
  <c r="AO236" i="31"/>
  <c r="AN236" i="31"/>
  <c r="AM236" i="31"/>
  <c r="AL236" i="31"/>
  <c r="AK236" i="31"/>
  <c r="BW235" i="31"/>
  <c r="BV235" i="31"/>
  <c r="BS235" i="31"/>
  <c r="BR235" i="31"/>
  <c r="BQ235" i="31"/>
  <c r="BP235" i="31"/>
  <c r="BO235" i="31"/>
  <c r="BN235" i="31"/>
  <c r="BM235" i="31"/>
  <c r="BL235" i="31"/>
  <c r="BK235" i="31"/>
  <c r="BJ235" i="31"/>
  <c r="BI235" i="31"/>
  <c r="BH235" i="31"/>
  <c r="BG235" i="31"/>
  <c r="BF235" i="31"/>
  <c r="BE235" i="31"/>
  <c r="BD235" i="31"/>
  <c r="BC235" i="31"/>
  <c r="BB235" i="31"/>
  <c r="BA235" i="31"/>
  <c r="AZ235" i="31"/>
  <c r="AY235" i="31"/>
  <c r="AX235" i="31"/>
  <c r="AW235" i="31"/>
  <c r="AV235" i="31"/>
  <c r="AU235" i="31"/>
  <c r="AT235" i="31"/>
  <c r="AS235" i="31"/>
  <c r="AR235" i="31"/>
  <c r="AQ235" i="31"/>
  <c r="AP235" i="31"/>
  <c r="AO235" i="31"/>
  <c r="AN235" i="31"/>
  <c r="AM235" i="31"/>
  <c r="AL235" i="31"/>
  <c r="AK235" i="31"/>
  <c r="BW234" i="31"/>
  <c r="BV234" i="31"/>
  <c r="BS234" i="31"/>
  <c r="BR234" i="31"/>
  <c r="BQ234" i="31"/>
  <c r="BP234" i="31"/>
  <c r="BO234" i="31"/>
  <c r="BN234" i="31"/>
  <c r="BM234" i="31"/>
  <c r="BL234" i="31"/>
  <c r="BK234" i="31"/>
  <c r="BJ234" i="31"/>
  <c r="BI234" i="31"/>
  <c r="BH234" i="31"/>
  <c r="BG234" i="31"/>
  <c r="BF234" i="31"/>
  <c r="BE234" i="31"/>
  <c r="BD234" i="31"/>
  <c r="BC234" i="31"/>
  <c r="BB234" i="31"/>
  <c r="BA234" i="31"/>
  <c r="AZ234" i="31"/>
  <c r="AY234" i="31"/>
  <c r="AX234" i="31"/>
  <c r="AW234" i="31"/>
  <c r="AV234" i="31"/>
  <c r="AU234" i="31"/>
  <c r="AT234" i="31"/>
  <c r="AS234" i="31"/>
  <c r="AR234" i="31"/>
  <c r="AQ234" i="31"/>
  <c r="AP234" i="31"/>
  <c r="AO234" i="31"/>
  <c r="AN234" i="31"/>
  <c r="AM234" i="31"/>
  <c r="AL234" i="31"/>
  <c r="AK234" i="31"/>
  <c r="AK233" i="31"/>
  <c r="BW232" i="31"/>
  <c r="BV232" i="31"/>
  <c r="BS232" i="31"/>
  <c r="BR232" i="31"/>
  <c r="BQ232" i="31"/>
  <c r="BP232" i="31"/>
  <c r="BO232" i="31"/>
  <c r="BN232" i="31"/>
  <c r="BM232" i="31"/>
  <c r="BL232" i="31"/>
  <c r="BK232" i="31"/>
  <c r="BJ232" i="31"/>
  <c r="BI232" i="31"/>
  <c r="BH232" i="31"/>
  <c r="BG232" i="31"/>
  <c r="BF232" i="31"/>
  <c r="BE232" i="31"/>
  <c r="BD232" i="31"/>
  <c r="BC232" i="31"/>
  <c r="BB232" i="31"/>
  <c r="BA232" i="31"/>
  <c r="AZ232" i="31"/>
  <c r="AY232" i="31"/>
  <c r="AX232" i="31"/>
  <c r="AW232" i="31"/>
  <c r="AV232" i="31"/>
  <c r="AU232" i="31"/>
  <c r="AT232" i="31"/>
  <c r="AS232" i="31"/>
  <c r="AR232" i="31"/>
  <c r="AQ232" i="31"/>
  <c r="AP232" i="31"/>
  <c r="AO232" i="31"/>
  <c r="AN232" i="31"/>
  <c r="AM232" i="31"/>
  <c r="AL232" i="31"/>
  <c r="AK232" i="31"/>
  <c r="BW231" i="31"/>
  <c r="BV231" i="31"/>
  <c r="BS231" i="31"/>
  <c r="BR231" i="31"/>
  <c r="BQ231" i="31"/>
  <c r="BP231" i="31"/>
  <c r="BO231" i="31"/>
  <c r="BN231" i="31"/>
  <c r="BM231" i="31"/>
  <c r="BL231" i="31"/>
  <c r="BK231" i="31"/>
  <c r="BJ231" i="31"/>
  <c r="BI231" i="31"/>
  <c r="BH231" i="31"/>
  <c r="BG231" i="31"/>
  <c r="BF231" i="31"/>
  <c r="BE231" i="31"/>
  <c r="BD231" i="31"/>
  <c r="BC231" i="31"/>
  <c r="BB231" i="31"/>
  <c r="BA231" i="31"/>
  <c r="AZ231" i="31"/>
  <c r="AY231" i="31"/>
  <c r="AX231" i="31"/>
  <c r="AW231" i="31"/>
  <c r="AV231" i="31"/>
  <c r="AU231" i="31"/>
  <c r="AT231" i="31"/>
  <c r="AS231" i="31"/>
  <c r="AR231" i="31"/>
  <c r="AQ231" i="31"/>
  <c r="AP231" i="31"/>
  <c r="AO231" i="31"/>
  <c r="AN231" i="31"/>
  <c r="AM231" i="31"/>
  <c r="AL231" i="31"/>
  <c r="AK231" i="31"/>
  <c r="BW230" i="31"/>
  <c r="BV230" i="31"/>
  <c r="BS230" i="31"/>
  <c r="BR230" i="31"/>
  <c r="BQ230" i="31"/>
  <c r="BP230" i="31"/>
  <c r="BO230" i="31"/>
  <c r="BN230" i="31"/>
  <c r="BM230" i="31"/>
  <c r="BL230" i="31"/>
  <c r="BK230" i="31"/>
  <c r="BJ230" i="31"/>
  <c r="BI230" i="31"/>
  <c r="BH230" i="31"/>
  <c r="BG230" i="31"/>
  <c r="BF230" i="31"/>
  <c r="BE230" i="31"/>
  <c r="BD230" i="31"/>
  <c r="BC230" i="31"/>
  <c r="BB230" i="31"/>
  <c r="BA230" i="31"/>
  <c r="AZ230" i="31"/>
  <c r="AY230" i="31"/>
  <c r="AX230" i="31"/>
  <c r="AW230" i="31"/>
  <c r="AV230" i="31"/>
  <c r="AU230" i="31"/>
  <c r="AT230" i="31"/>
  <c r="AS230" i="31"/>
  <c r="AR230" i="31"/>
  <c r="AQ230" i="31"/>
  <c r="AP230" i="31"/>
  <c r="AO230" i="31"/>
  <c r="AN230" i="31"/>
  <c r="AM230" i="31"/>
  <c r="AL230" i="31"/>
  <c r="AK230" i="31"/>
  <c r="BW229" i="31"/>
  <c r="BV229" i="31"/>
  <c r="BS229" i="31"/>
  <c r="BR229" i="31"/>
  <c r="BQ229" i="31"/>
  <c r="BP229" i="31"/>
  <c r="BO229" i="31"/>
  <c r="BN229" i="31"/>
  <c r="BM229" i="31"/>
  <c r="BL229" i="31"/>
  <c r="BK229" i="31"/>
  <c r="BJ229" i="31"/>
  <c r="BI229" i="31"/>
  <c r="BH229" i="31"/>
  <c r="BG229" i="31"/>
  <c r="BF229" i="31"/>
  <c r="BE229" i="31"/>
  <c r="BD229" i="31"/>
  <c r="BC229" i="31"/>
  <c r="BB229" i="31"/>
  <c r="BA229" i="31"/>
  <c r="AZ229" i="31"/>
  <c r="AY229" i="31"/>
  <c r="AX229" i="31"/>
  <c r="AW229" i="31"/>
  <c r="AV229" i="31"/>
  <c r="AU229" i="31"/>
  <c r="AT229" i="31"/>
  <c r="AS229" i="31"/>
  <c r="AR229" i="31"/>
  <c r="AQ229" i="31"/>
  <c r="AP229" i="31"/>
  <c r="AO229" i="31"/>
  <c r="AN229" i="31"/>
  <c r="AM229" i="31"/>
  <c r="AL229" i="31"/>
  <c r="AK229" i="31"/>
  <c r="BW228" i="31"/>
  <c r="BV228" i="31"/>
  <c r="BS228" i="31"/>
  <c r="BR228" i="31"/>
  <c r="BQ228" i="31"/>
  <c r="BP228" i="31"/>
  <c r="BO228" i="31"/>
  <c r="BN228" i="31"/>
  <c r="BM228" i="31"/>
  <c r="BL228" i="31"/>
  <c r="BK228" i="31"/>
  <c r="BJ228" i="31"/>
  <c r="BI228" i="31"/>
  <c r="BH228" i="31"/>
  <c r="BG228" i="31"/>
  <c r="BF228" i="31"/>
  <c r="BE228" i="31"/>
  <c r="BD228" i="31"/>
  <c r="BC228" i="31"/>
  <c r="BB228" i="31"/>
  <c r="BA228" i="31"/>
  <c r="AZ228" i="31"/>
  <c r="AY228" i="31"/>
  <c r="AX228" i="31"/>
  <c r="AW228" i="31"/>
  <c r="AV228" i="31"/>
  <c r="AU228" i="31"/>
  <c r="AT228" i="31"/>
  <c r="AS228" i="31"/>
  <c r="AR228" i="31"/>
  <c r="AQ228" i="31"/>
  <c r="AP228" i="31"/>
  <c r="AO228" i="31"/>
  <c r="AN228" i="31"/>
  <c r="AM228" i="31"/>
  <c r="AL228" i="31"/>
  <c r="AK228" i="31"/>
  <c r="BW227" i="31"/>
  <c r="BV227" i="31"/>
  <c r="BS227" i="31"/>
  <c r="BR227" i="31"/>
  <c r="BQ227" i="31"/>
  <c r="BP227" i="31"/>
  <c r="BO227" i="31"/>
  <c r="BN227" i="31"/>
  <c r="BM227" i="31"/>
  <c r="BL227" i="31"/>
  <c r="BK227" i="31"/>
  <c r="BJ227" i="31"/>
  <c r="BI227" i="31"/>
  <c r="BH227" i="31"/>
  <c r="BG227" i="31"/>
  <c r="BF227" i="31"/>
  <c r="BE227" i="31"/>
  <c r="BD227" i="31"/>
  <c r="BC227" i="31"/>
  <c r="BB227" i="31"/>
  <c r="BA227" i="31"/>
  <c r="AZ227" i="31"/>
  <c r="AY227" i="31"/>
  <c r="AX227" i="31"/>
  <c r="AW227" i="31"/>
  <c r="AV227" i="31"/>
  <c r="AU227" i="31"/>
  <c r="AT227" i="31"/>
  <c r="AS227" i="31"/>
  <c r="AR227" i="31"/>
  <c r="AQ227" i="31"/>
  <c r="AP227" i="31"/>
  <c r="AO227" i="31"/>
  <c r="AN227" i="31"/>
  <c r="AM227" i="31"/>
  <c r="AL227" i="31"/>
  <c r="AK227" i="31"/>
  <c r="AK226" i="31"/>
  <c r="AK225" i="31"/>
  <c r="AK224" i="31"/>
  <c r="BW223" i="31"/>
  <c r="BV223" i="31"/>
  <c r="AK223" i="31"/>
  <c r="AK222" i="31"/>
  <c r="BW221" i="31"/>
  <c r="BV221" i="31"/>
  <c r="AK221" i="31"/>
  <c r="DE220" i="31"/>
  <c r="DD220" i="31"/>
  <c r="DC220" i="31"/>
  <c r="DB220" i="31"/>
  <c r="AK220" i="31"/>
  <c r="AK219" i="31"/>
  <c r="AK218" i="31"/>
  <c r="AK217" i="31"/>
  <c r="BE216" i="31"/>
  <c r="BD216" i="31"/>
  <c r="BC216" i="31"/>
  <c r="BB216" i="31"/>
  <c r="BA216" i="31"/>
  <c r="AZ216" i="31"/>
  <c r="AY216" i="31"/>
  <c r="AX216" i="31"/>
  <c r="AK216" i="31"/>
  <c r="AK215" i="31"/>
  <c r="AK214" i="31"/>
  <c r="AK213" i="31"/>
  <c r="AK212" i="31"/>
  <c r="AK211" i="31"/>
  <c r="AK210" i="31"/>
  <c r="AK209" i="31"/>
  <c r="AK208" i="31"/>
  <c r="AK207" i="31"/>
  <c r="AK206" i="31"/>
  <c r="AK205" i="31"/>
  <c r="AK204" i="31"/>
  <c r="AK203" i="31"/>
  <c r="AK202" i="31"/>
  <c r="AK201" i="31"/>
  <c r="DG200" i="31"/>
  <c r="DF200" i="31"/>
  <c r="DE200" i="31"/>
  <c r="DD200" i="31"/>
  <c r="DC200" i="31"/>
  <c r="DB200" i="31"/>
  <c r="CQ200" i="31"/>
  <c r="CP200" i="31"/>
  <c r="CO200" i="31"/>
  <c r="CN200" i="31"/>
  <c r="CM200" i="31"/>
  <c r="CL200" i="31"/>
  <c r="CK200" i="31"/>
  <c r="CJ200" i="31"/>
  <c r="CI200" i="31"/>
  <c r="CH200" i="31"/>
  <c r="CG200" i="31"/>
  <c r="CF200" i="31"/>
  <c r="CE200" i="31"/>
  <c r="CD200" i="31"/>
  <c r="CC200" i="31"/>
  <c r="CB200" i="31"/>
  <c r="CA200" i="31"/>
  <c r="BZ200" i="31"/>
  <c r="BY200" i="31"/>
  <c r="BX200" i="31"/>
  <c r="BW200" i="31"/>
  <c r="BV200" i="31"/>
  <c r="BS200" i="31"/>
  <c r="BR200" i="31"/>
  <c r="BQ200" i="31"/>
  <c r="BP200" i="31"/>
  <c r="BO200" i="31"/>
  <c r="BN200" i="31"/>
  <c r="BM200" i="31"/>
  <c r="BL200" i="31"/>
  <c r="BK200" i="31"/>
  <c r="BJ200" i="31"/>
  <c r="BI200" i="31"/>
  <c r="BH200" i="31"/>
  <c r="BG200" i="31"/>
  <c r="BF200" i="31"/>
  <c r="BE200" i="31"/>
  <c r="BD200" i="31"/>
  <c r="BC200" i="31"/>
  <c r="BB200" i="31"/>
  <c r="BA200" i="31"/>
  <c r="AZ200" i="31"/>
  <c r="AY200" i="31"/>
  <c r="AX200" i="31"/>
  <c r="AW200" i="31"/>
  <c r="AV200" i="31"/>
  <c r="AU200" i="31"/>
  <c r="AT200" i="31"/>
  <c r="AS200" i="31"/>
  <c r="AR200" i="31"/>
  <c r="AQ200" i="31"/>
  <c r="AP200" i="31"/>
  <c r="AO200" i="31"/>
  <c r="AN200" i="31"/>
  <c r="AM200" i="31"/>
  <c r="AL200" i="31"/>
  <c r="AK200" i="31"/>
  <c r="DE199" i="31"/>
  <c r="DD199" i="31"/>
  <c r="DC199" i="31"/>
  <c r="DB199" i="31"/>
  <c r="CQ199" i="31"/>
  <c r="CP199" i="31"/>
  <c r="CO199" i="31"/>
  <c r="CN199" i="31"/>
  <c r="CM199" i="31"/>
  <c r="CL199" i="31"/>
  <c r="CK199" i="31"/>
  <c r="CJ199" i="31"/>
  <c r="CI199" i="31"/>
  <c r="CH199" i="31"/>
  <c r="CG199" i="31"/>
  <c r="CF199" i="31"/>
  <c r="CE199" i="31"/>
  <c r="CD199" i="31"/>
  <c r="CC199" i="31"/>
  <c r="CB199" i="31"/>
  <c r="CA199" i="31"/>
  <c r="BZ199" i="31"/>
  <c r="BY199" i="31"/>
  <c r="BX199" i="31"/>
  <c r="BW199" i="31"/>
  <c r="BV199" i="31"/>
  <c r="BS199" i="31"/>
  <c r="BR199" i="31"/>
  <c r="BQ199" i="31"/>
  <c r="BP199" i="31"/>
  <c r="BO199" i="31"/>
  <c r="BN199" i="31"/>
  <c r="BM199" i="31"/>
  <c r="BL199" i="31"/>
  <c r="BK199" i="31"/>
  <c r="BJ199" i="31"/>
  <c r="BI199" i="31"/>
  <c r="BH199" i="31"/>
  <c r="BG199" i="31"/>
  <c r="BF199" i="31"/>
  <c r="BE199" i="31"/>
  <c r="BD199" i="31"/>
  <c r="BC199" i="31"/>
  <c r="BB199" i="31"/>
  <c r="BA199" i="31"/>
  <c r="AZ199" i="31"/>
  <c r="AY199" i="31"/>
  <c r="AX199" i="31"/>
  <c r="AW199" i="31"/>
  <c r="AV199" i="31"/>
  <c r="AU199" i="31"/>
  <c r="AT199" i="31"/>
  <c r="AS199" i="31"/>
  <c r="AR199" i="31"/>
  <c r="AQ199" i="31"/>
  <c r="AP199" i="31"/>
  <c r="AO199" i="31"/>
  <c r="AN199" i="31"/>
  <c r="AM199" i="31"/>
  <c r="AL199" i="31"/>
  <c r="AK199" i="31"/>
  <c r="AC114" i="31"/>
  <c r="BX8" i="33" l="1"/>
  <c r="BW10" i="33"/>
  <c r="BP72" i="33"/>
  <c r="BE31" i="33" s="1"/>
  <c r="BQ72" i="33"/>
  <c r="BF31" i="33" s="1"/>
  <c r="BU22" i="33"/>
  <c r="W221" i="33" s="1"/>
  <c r="DE22" i="33" s="1"/>
  <c r="BW22" i="33"/>
  <c r="BW28" i="33"/>
  <c r="BX26" i="33"/>
  <c r="BP12" i="33"/>
  <c r="BE17" i="33" s="1"/>
  <c r="BP14" i="33"/>
  <c r="BP16" i="33"/>
  <c r="BP18" i="33"/>
  <c r="BP20" i="33"/>
  <c r="BP22" i="33"/>
  <c r="BP25" i="33"/>
  <c r="BE25" i="33" s="1"/>
  <c r="BP27" i="33"/>
  <c r="BE30" i="33" s="1"/>
  <c r="BP29" i="33"/>
  <c r="BE29" i="33" s="1"/>
  <c r="BP31" i="33"/>
  <c r="BP43" i="33"/>
  <c r="BP45" i="33"/>
  <c r="BE19" i="33" s="1"/>
  <c r="BP47" i="33"/>
  <c r="BE21" i="33" s="1"/>
  <c r="BP50" i="33"/>
  <c r="BP52" i="33"/>
  <c r="BP55" i="33"/>
  <c r="BP57" i="33"/>
  <c r="BP59" i="33"/>
  <c r="BE27" i="33" s="1"/>
  <c r="BP61" i="33"/>
  <c r="BP67" i="33"/>
  <c r="BP69" i="33"/>
  <c r="BP71" i="33"/>
  <c r="BP11" i="33"/>
  <c r="BP13" i="33"/>
  <c r="BP15" i="33"/>
  <c r="BP17" i="33"/>
  <c r="BP19" i="33"/>
  <c r="BP21" i="33"/>
  <c r="BE23" i="33" s="1"/>
  <c r="BP23" i="33"/>
  <c r="BE24" i="33" s="1"/>
  <c r="BP26" i="33"/>
  <c r="BP28" i="33"/>
  <c r="BP30" i="33"/>
  <c r="BP32" i="33"/>
  <c r="BP44" i="33"/>
  <c r="BE18" i="33" s="1"/>
  <c r="BP46" i="33"/>
  <c r="BE20" i="33" s="1"/>
  <c r="BP48" i="33"/>
  <c r="BE22" i="33" s="1"/>
  <c r="BP51" i="33"/>
  <c r="BP53" i="33"/>
  <c r="BP56" i="33"/>
  <c r="BP58" i="33"/>
  <c r="BE26" i="33" s="1"/>
  <c r="BP60" i="33"/>
  <c r="BE28" i="33" s="1"/>
  <c r="BP66" i="33"/>
  <c r="BP68" i="33"/>
  <c r="BQ70" i="33"/>
  <c r="BQ68" i="33"/>
  <c r="BQ66" i="33"/>
  <c r="BQ60" i="33"/>
  <c r="BF28" i="33" s="1"/>
  <c r="BQ58" i="33"/>
  <c r="BF26" i="33" s="1"/>
  <c r="BQ56" i="33"/>
  <c r="BQ53" i="33"/>
  <c r="BQ51" i="33"/>
  <c r="BQ48" i="33"/>
  <c r="BF22" i="33" s="1"/>
  <c r="BQ46" i="33"/>
  <c r="BF20" i="33" s="1"/>
  <c r="BQ44" i="33"/>
  <c r="BF18" i="33" s="1"/>
  <c r="BQ32" i="33"/>
  <c r="BQ30" i="33"/>
  <c r="BQ28" i="33"/>
  <c r="BQ26" i="33"/>
  <c r="BQ23" i="33"/>
  <c r="BF24" i="33" s="1"/>
  <c r="BQ21" i="33"/>
  <c r="BF23" i="33" s="1"/>
  <c r="BQ19" i="33"/>
  <c r="BQ17" i="33"/>
  <c r="BQ15" i="33"/>
  <c r="BQ13" i="33"/>
  <c r="BQ11" i="33"/>
  <c r="BF16" i="33" s="1"/>
  <c r="BQ71" i="33"/>
  <c r="BQ69" i="33"/>
  <c r="BQ67" i="33"/>
  <c r="BQ61" i="33"/>
  <c r="BQ12" i="33"/>
  <c r="BF17" i="33" s="1"/>
  <c r="BQ59" i="33"/>
  <c r="BF27" i="33" s="1"/>
  <c r="BQ57" i="33"/>
  <c r="BQ55" i="33"/>
  <c r="BQ52" i="33"/>
  <c r="BQ50" i="33"/>
  <c r="BQ47" i="33"/>
  <c r="BF21" i="33" s="1"/>
  <c r="BQ45" i="33"/>
  <c r="BF19" i="33" s="1"/>
  <c r="BQ43" i="33"/>
  <c r="BQ31" i="33"/>
  <c r="BQ29" i="33"/>
  <c r="BF29" i="33" s="1"/>
  <c r="BQ27" i="33"/>
  <c r="BF30" i="33" s="1"/>
  <c r="BQ25" i="33"/>
  <c r="BF25" i="33" s="1"/>
  <c r="BQ22" i="33"/>
  <c r="BQ20" i="33"/>
  <c r="BQ18" i="33"/>
  <c r="BQ16" i="33"/>
  <c r="DB24" i="33"/>
  <c r="CZ24" i="33"/>
  <c r="DG24" i="33"/>
  <c r="DE24" i="33"/>
  <c r="DC24" i="33"/>
  <c r="CY24" i="33"/>
  <c r="CU24" i="33"/>
  <c r="BV43" i="33"/>
  <c r="CW24" i="33"/>
  <c r="CS24" i="33"/>
  <c r="DB20" i="33"/>
  <c r="CZ20" i="33"/>
  <c r="CW20" i="33"/>
  <c r="CS20" i="33"/>
  <c r="DG20" i="33"/>
  <c r="DE20" i="33"/>
  <c r="DC20" i="33"/>
  <c r="CY20" i="33"/>
  <c r="CU20" i="33"/>
  <c r="BV10" i="33"/>
  <c r="DB21" i="33"/>
  <c r="CZ21" i="33"/>
  <c r="CW21" i="33"/>
  <c r="CS21" i="33"/>
  <c r="DG21" i="33"/>
  <c r="DE21" i="33"/>
  <c r="DC21" i="33"/>
  <c r="CY21" i="33"/>
  <c r="CU21" i="33"/>
  <c r="BV16" i="33"/>
  <c r="DB23" i="33"/>
  <c r="CZ23" i="33"/>
  <c r="BV28" i="33"/>
  <c r="DG23" i="33"/>
  <c r="DE23" i="33"/>
  <c r="DC23" i="33"/>
  <c r="CY23" i="33"/>
  <c r="CU23" i="33"/>
  <c r="CW23" i="33"/>
  <c r="CS23" i="33"/>
  <c r="DG22" i="33" l="1"/>
  <c r="DB22" i="33"/>
  <c r="CW22" i="33"/>
  <c r="CS22" i="33"/>
  <c r="DC22" i="33"/>
  <c r="CZ22" i="33"/>
  <c r="BV22" i="33"/>
  <c r="CU22" i="33"/>
  <c r="CY22" i="33"/>
  <c r="BE16" i="33"/>
  <c r="IP479" i="31"/>
  <c r="IM479" i="31"/>
  <c r="IH479" i="31"/>
  <c r="IG479" i="31"/>
  <c r="IP478" i="31"/>
  <c r="IM478" i="31"/>
  <c r="IH478" i="31"/>
  <c r="IG478" i="31"/>
  <c r="IP477" i="31"/>
  <c r="IM477" i="31"/>
  <c r="IH477" i="31"/>
  <c r="IG477" i="31"/>
  <c r="IP476" i="31"/>
  <c r="IM476" i="31"/>
  <c r="IH476" i="31"/>
  <c r="IG476" i="31"/>
  <c r="IP475" i="31"/>
  <c r="IM475" i="31"/>
  <c r="IH475" i="31"/>
  <c r="IG475" i="31"/>
  <c r="IP474" i="31"/>
  <c r="IM474" i="31"/>
  <c r="IH474" i="31"/>
  <c r="IG474" i="31"/>
  <c r="IP473" i="31"/>
  <c r="IM473" i="31"/>
  <c r="IH473" i="31"/>
  <c r="IG473" i="31"/>
  <c r="IP472" i="31"/>
  <c r="IM472" i="31"/>
  <c r="IH472" i="31"/>
  <c r="IG472" i="31"/>
  <c r="IP471" i="31"/>
  <c r="IM471" i="31"/>
  <c r="IH471" i="31"/>
  <c r="IG471" i="31"/>
  <c r="IP470" i="31"/>
  <c r="IM470" i="31"/>
  <c r="IH470" i="31"/>
  <c r="IG470" i="31"/>
  <c r="IP469" i="31"/>
  <c r="IM469" i="31"/>
  <c r="IH469" i="31"/>
  <c r="IG469" i="31"/>
  <c r="IP468" i="31"/>
  <c r="IM468" i="31"/>
  <c r="IH468" i="31"/>
  <c r="IG468" i="31"/>
  <c r="IP467" i="31"/>
  <c r="IM467" i="31"/>
  <c r="IH467" i="31"/>
  <c r="IG467" i="31"/>
  <c r="IP466" i="31"/>
  <c r="IM466" i="31"/>
  <c r="IH466" i="31"/>
  <c r="IG466" i="31"/>
  <c r="IP465" i="31"/>
  <c r="IM465" i="31"/>
  <c r="IH465" i="31"/>
  <c r="IG465" i="31"/>
  <c r="IP464" i="31"/>
  <c r="IM464" i="31"/>
  <c r="IH464" i="31"/>
  <c r="IG464" i="31"/>
  <c r="IP463" i="31"/>
  <c r="IM463" i="31"/>
  <c r="IH463" i="31"/>
  <c r="IG463" i="31"/>
  <c r="IP462" i="31"/>
  <c r="IM462" i="31"/>
  <c r="IH462" i="31"/>
  <c r="IG462" i="31"/>
  <c r="IP461" i="31"/>
  <c r="IM461" i="31"/>
  <c r="IH461" i="31"/>
  <c r="IG461" i="31"/>
  <c r="IP460" i="31"/>
  <c r="IM460" i="31"/>
  <c r="IH460" i="31"/>
  <c r="IG460" i="31"/>
  <c r="IP459" i="31"/>
  <c r="IM459" i="31"/>
  <c r="IH459" i="31"/>
  <c r="IG459" i="31"/>
  <c r="IP458" i="31"/>
  <c r="IM458" i="31"/>
  <c r="IH458" i="31"/>
  <c r="IG458" i="31"/>
  <c r="IP457" i="31"/>
  <c r="IM457" i="31"/>
  <c r="IH457" i="31"/>
  <c r="IG457" i="31"/>
  <c r="IP456" i="31"/>
  <c r="IM456" i="31"/>
  <c r="IH456" i="31"/>
  <c r="IG456" i="31"/>
  <c r="IP455" i="31"/>
  <c r="IM455" i="31"/>
  <c r="IH455" i="31"/>
  <c r="IG455" i="31"/>
  <c r="IP454" i="31"/>
  <c r="IM454" i="31"/>
  <c r="IH454" i="31"/>
  <c r="IG454" i="31"/>
  <c r="IP453" i="31"/>
  <c r="IM453" i="31"/>
  <c r="IH453" i="31"/>
  <c r="IG453" i="31"/>
  <c r="IP452" i="31"/>
  <c r="IM452" i="31"/>
  <c r="IH452" i="31"/>
  <c r="IG452" i="31"/>
  <c r="IP451" i="31"/>
  <c r="IM451" i="31"/>
  <c r="IH451" i="31"/>
  <c r="IG451" i="31"/>
  <c r="IP450" i="31"/>
  <c r="IM450" i="31"/>
  <c r="IH450" i="31"/>
  <c r="IG450" i="31"/>
  <c r="IP449" i="31"/>
  <c r="IM449" i="31"/>
  <c r="IH449" i="31"/>
  <c r="IG449" i="31"/>
  <c r="IP448" i="31"/>
  <c r="IM448" i="31"/>
  <c r="IH448" i="31"/>
  <c r="IG448" i="31"/>
  <c r="IP447" i="31"/>
  <c r="IM447" i="31"/>
  <c r="IH447" i="31"/>
  <c r="IG447" i="31"/>
  <c r="IP446" i="31"/>
  <c r="IM446" i="31"/>
  <c r="IH446" i="31"/>
  <c r="IG446" i="31"/>
  <c r="IP445" i="31"/>
  <c r="IM445" i="31"/>
  <c r="IH445" i="31"/>
  <c r="IG445" i="31"/>
  <c r="IP444" i="31"/>
  <c r="IM444" i="31"/>
  <c r="IH444" i="31"/>
  <c r="IG444" i="31"/>
  <c r="IP443" i="31"/>
  <c r="IM443" i="31"/>
  <c r="IH443" i="31"/>
  <c r="IG443" i="31"/>
  <c r="IP442" i="31"/>
  <c r="IM442" i="31"/>
  <c r="IH442" i="31"/>
  <c r="IG442" i="31"/>
  <c r="IP441" i="31"/>
  <c r="IM441" i="31"/>
  <c r="IH441" i="31"/>
  <c r="IG441" i="31"/>
  <c r="IP440" i="31"/>
  <c r="IM440" i="31"/>
  <c r="IH440" i="31"/>
  <c r="IG440" i="31"/>
  <c r="IP439" i="31"/>
  <c r="IM439" i="31"/>
  <c r="IH439" i="31"/>
  <c r="IG439" i="31"/>
  <c r="IP438" i="31"/>
  <c r="IH438" i="31"/>
  <c r="IG438" i="31"/>
  <c r="IP437" i="31"/>
  <c r="IH437" i="31"/>
  <c r="IG437" i="31"/>
  <c r="IP436" i="31"/>
  <c r="IM436" i="31"/>
  <c r="IH436" i="31"/>
  <c r="IG436" i="31"/>
  <c r="IP435" i="31"/>
  <c r="IM435" i="31"/>
  <c r="IH435" i="31"/>
  <c r="IG435" i="31"/>
  <c r="IP434" i="31"/>
  <c r="IM434" i="31"/>
  <c r="IH434" i="31"/>
  <c r="IK434" i="31" s="1"/>
  <c r="IG434" i="31"/>
  <c r="IB434" i="31" a="1"/>
  <c r="IB434" i="31" s="1"/>
  <c r="IP433" i="31"/>
  <c r="IM433" i="31"/>
  <c r="IH433" i="31"/>
  <c r="IK433" i="31" s="1"/>
  <c r="IG433" i="31"/>
  <c r="IB433" i="31" a="1"/>
  <c r="IB433" i="31" s="1"/>
  <c r="IP432" i="31"/>
  <c r="IM432" i="31"/>
  <c r="IH432" i="31"/>
  <c r="IK432" i="31" s="1"/>
  <c r="IG432" i="31"/>
  <c r="IP431" i="31"/>
  <c r="IM431" i="31"/>
  <c r="IH431" i="31"/>
  <c r="IK431" i="31" s="1"/>
  <c r="IG431" i="31"/>
  <c r="IP430" i="31"/>
  <c r="IM430" i="31"/>
  <c r="IH430" i="31"/>
  <c r="IK430" i="31" s="1"/>
  <c r="IG430" i="31"/>
  <c r="IP429" i="31"/>
  <c r="IM429" i="31"/>
  <c r="IH429" i="31"/>
  <c r="IK429" i="31" s="1"/>
  <c r="IG429" i="31"/>
  <c r="IP428" i="31"/>
  <c r="IM428" i="31"/>
  <c r="IH428" i="31"/>
  <c r="IK428" i="31" s="1"/>
  <c r="IG428" i="31"/>
  <c r="IP427" i="31"/>
  <c r="IM427" i="31"/>
  <c r="IH427" i="31"/>
  <c r="IK427" i="31" s="1"/>
  <c r="IG427" i="31"/>
  <c r="IP426" i="31"/>
  <c r="IM426" i="31"/>
  <c r="IH426" i="31"/>
  <c r="IK426" i="31" s="1"/>
  <c r="IG426" i="31"/>
  <c r="IP425" i="31"/>
  <c r="IM425" i="31"/>
  <c r="IH425" i="31"/>
  <c r="IK425" i="31" s="1"/>
  <c r="IG425" i="31"/>
  <c r="IP424" i="31"/>
  <c r="IM424" i="31"/>
  <c r="IH424" i="31"/>
  <c r="IK424" i="31" s="1"/>
  <c r="IG424" i="31"/>
  <c r="IP423" i="31"/>
  <c r="IM423" i="31"/>
  <c r="IH423" i="31"/>
  <c r="IK423" i="31" s="1"/>
  <c r="IG423" i="31"/>
  <c r="IP422" i="31"/>
  <c r="IM422" i="31"/>
  <c r="IH422" i="31"/>
  <c r="IK422" i="31" s="1"/>
  <c r="IG422" i="31"/>
  <c r="IP421" i="31"/>
  <c r="IM421" i="31"/>
  <c r="IH421" i="31"/>
  <c r="IK421" i="31" s="1"/>
  <c r="IG421" i="31"/>
  <c r="IP420" i="31"/>
  <c r="IM420" i="31"/>
  <c r="IH420" i="31"/>
  <c r="IK420" i="31" s="1"/>
  <c r="IG420" i="31"/>
  <c r="IP419" i="31"/>
  <c r="IM419" i="31"/>
  <c r="IH419" i="31"/>
  <c r="IK419" i="31" s="1"/>
  <c r="IG419" i="31"/>
  <c r="IP418" i="31"/>
  <c r="IM418" i="31"/>
  <c r="IH418" i="31"/>
  <c r="IK418" i="31" s="1"/>
  <c r="IG418" i="31"/>
  <c r="IP417" i="31"/>
  <c r="IM417" i="31"/>
  <c r="IH417" i="31"/>
  <c r="IK417" i="31" s="1"/>
  <c r="IG417" i="31"/>
  <c r="IP416" i="31"/>
  <c r="IM416" i="31"/>
  <c r="IH416" i="31"/>
  <c r="IK416" i="31" s="1"/>
  <c r="IG416" i="31"/>
  <c r="IP415" i="31"/>
  <c r="IM415" i="31"/>
  <c r="IH415" i="31"/>
  <c r="IK415" i="31" s="1"/>
  <c r="IG415" i="31"/>
  <c r="IP414" i="31"/>
  <c r="IM414" i="31"/>
  <c r="IH414" i="31"/>
  <c r="IK414" i="31" s="1"/>
  <c r="IG414" i="31"/>
  <c r="IB410" i="31" a="1"/>
  <c r="IB410" i="31" s="1"/>
  <c r="HB349" i="31"/>
  <c r="HB348" i="31"/>
  <c r="HB347" i="31"/>
  <c r="HB346" i="31"/>
  <c r="HB345" i="31"/>
  <c r="HB344" i="31"/>
  <c r="HI336" i="31"/>
  <c r="HH336" i="31"/>
  <c r="HG336" i="31"/>
  <c r="HF336" i="31"/>
  <c r="HE336" i="31"/>
  <c r="HD336" i="31"/>
  <c r="HC336" i="31"/>
  <c r="HB336" i="31"/>
  <c r="HA336" i="31"/>
  <c r="GZ336" i="31"/>
  <c r="GY336" i="31"/>
  <c r="GX336" i="31"/>
  <c r="GB336" i="31"/>
  <c r="GT333" i="31"/>
  <c r="GS333" i="31"/>
  <c r="GR333" i="31"/>
  <c r="GQ333" i="31"/>
  <c r="GP333" i="31"/>
  <c r="GO333" i="31"/>
  <c r="GN333" i="31"/>
  <c r="GM333" i="31"/>
  <c r="GL333" i="31"/>
  <c r="GK333" i="31"/>
  <c r="GG329" i="31"/>
  <c r="GC329" i="31"/>
  <c r="GM328" i="31"/>
  <c r="GL328" i="31"/>
  <c r="GG328" i="31"/>
  <c r="GC328" i="31"/>
  <c r="GL327" i="31"/>
  <c r="GC327" i="31"/>
  <c r="GL326" i="31"/>
  <c r="GG326" i="31"/>
  <c r="GC326" i="31"/>
  <c r="GL325" i="31"/>
  <c r="GL324" i="31"/>
  <c r="FK294" i="31"/>
  <c r="FJ294" i="31"/>
  <c r="FI294" i="31"/>
  <c r="FH294" i="31"/>
  <c r="FG294" i="31"/>
  <c r="FF294" i="31"/>
  <c r="FE294" i="31"/>
  <c r="FD294" i="31"/>
  <c r="FC294" i="31"/>
  <c r="FB294" i="31"/>
  <c r="FA294" i="31"/>
  <c r="EZ294" i="31"/>
  <c r="EP287" i="31"/>
  <c r="EO287" i="31"/>
  <c r="EM287" i="31"/>
  <c r="EL287" i="31"/>
  <c r="EK287" i="31"/>
  <c r="EJ287" i="31"/>
  <c r="EI287" i="31"/>
  <c r="EH287" i="31"/>
  <c r="EG287" i="31"/>
  <c r="EF287" i="31"/>
  <c r="EE287" i="31"/>
  <c r="ED287" i="31"/>
  <c r="FK286" i="31"/>
  <c r="FJ286" i="31"/>
  <c r="FI286" i="31"/>
  <c r="FH286" i="31"/>
  <c r="FG286" i="31"/>
  <c r="FF286" i="31"/>
  <c r="FE286" i="31"/>
  <c r="FD286" i="31"/>
  <c r="FC286" i="31"/>
  <c r="FB286" i="31"/>
  <c r="FA286" i="31"/>
  <c r="EZ286" i="31"/>
  <c r="EV286" i="31"/>
  <c r="EU286" i="31"/>
  <c r="ET286" i="31"/>
  <c r="EO285" i="31"/>
  <c r="EP282" i="31"/>
  <c r="EO282" i="31"/>
  <c r="FU280" i="31"/>
  <c r="FT280" i="31"/>
  <c r="FS280" i="31"/>
  <c r="FR280" i="31"/>
  <c r="FQ280" i="31"/>
  <c r="FP280" i="31"/>
  <c r="FO280" i="31"/>
  <c r="FJ279" i="31"/>
  <c r="FE278" i="31"/>
  <c r="AD189" i="31"/>
  <c r="AE192" i="31"/>
  <c r="AD192" i="31"/>
  <c r="Z182" i="31"/>
  <c r="Z181" i="31"/>
  <c r="Z180" i="31"/>
  <c r="CC219" i="33" s="1"/>
  <c r="AE189" i="31"/>
  <c r="Z179" i="31"/>
  <c r="CC218" i="33" s="1"/>
  <c r="Z173" i="31"/>
  <c r="CC212" i="33" s="1"/>
  <c r="Z169" i="31"/>
  <c r="CC208" i="33" s="1"/>
  <c r="Z168" i="31"/>
  <c r="Z167" i="31"/>
  <c r="Z166" i="31"/>
  <c r="Z165" i="31"/>
  <c r="Z164" i="31"/>
  <c r="Z163" i="31"/>
  <c r="CC71" i="33" s="1"/>
  <c r="Z162" i="31"/>
  <c r="Z161" i="31"/>
  <c r="Z160" i="31"/>
  <c r="CC68" i="33" s="1"/>
  <c r="Z159" i="31"/>
  <c r="Z158" i="31"/>
  <c r="Z157" i="31"/>
  <c r="Z156" i="31"/>
  <c r="Z155" i="31"/>
  <c r="Z154" i="31"/>
  <c r="Z153" i="31"/>
  <c r="Z152" i="31"/>
  <c r="Z151" i="31"/>
  <c r="Z150" i="31"/>
  <c r="Z149" i="31"/>
  <c r="CC53" i="33" s="1"/>
  <c r="Z148" i="31"/>
  <c r="CC52" i="33" s="1"/>
  <c r="Z147" i="31"/>
  <c r="Z146" i="31"/>
  <c r="Z145" i="31"/>
  <c r="Z144" i="31"/>
  <c r="Z143" i="31"/>
  <c r="Z142" i="31"/>
  <c r="Z141" i="31"/>
  <c r="Z140" i="31"/>
  <c r="Z139" i="31"/>
  <c r="Z138" i="31"/>
  <c r="Z137" i="31"/>
  <c r="Z136" i="31"/>
  <c r="Z135" i="31"/>
  <c r="Z134" i="31"/>
  <c r="Z133" i="31"/>
  <c r="Z132" i="31"/>
  <c r="Z131" i="31"/>
  <c r="Z130" i="31"/>
  <c r="Z129" i="31"/>
  <c r="Z128" i="31"/>
  <c r="Z127" i="31"/>
  <c r="Z126" i="31"/>
  <c r="Z125" i="31"/>
  <c r="Z124" i="31"/>
  <c r="Z123" i="31"/>
  <c r="Z122" i="31"/>
  <c r="Z121" i="31"/>
  <c r="Z120" i="31"/>
  <c r="Z119" i="31"/>
  <c r="Z118" i="31"/>
  <c r="Z117" i="31"/>
  <c r="Z116" i="31"/>
  <c r="Z115" i="31"/>
  <c r="Z114" i="31"/>
  <c r="L63" i="31"/>
  <c r="L62" i="31"/>
  <c r="L61" i="31"/>
  <c r="L60" i="31"/>
  <c r="L59" i="31"/>
  <c r="L58" i="31"/>
  <c r="L57" i="31"/>
  <c r="L56" i="31"/>
  <c r="L55" i="31"/>
  <c r="L54" i="31"/>
  <c r="L53" i="31"/>
  <c r="L52" i="31"/>
  <c r="L51" i="31"/>
  <c r="L50" i="31"/>
  <c r="L49" i="31"/>
  <c r="L48" i="31"/>
  <c r="L47" i="31"/>
  <c r="L46" i="31"/>
  <c r="L45" i="31"/>
  <c r="L44" i="31"/>
  <c r="L43" i="31"/>
  <c r="L42" i="31"/>
  <c r="L41" i="31"/>
  <c r="L40" i="31"/>
  <c r="L39" i="31"/>
  <c r="L38" i="31"/>
  <c r="L37" i="31"/>
  <c r="L36" i="31"/>
  <c r="L35" i="31"/>
  <c r="L34" i="31"/>
  <c r="L33" i="31"/>
  <c r="L32" i="31"/>
  <c r="L31" i="31"/>
  <c r="AA30" i="31"/>
  <c r="Y30" i="31"/>
  <c r="L30" i="31"/>
  <c r="AA29" i="31"/>
  <c r="AB29" i="31" s="1"/>
  <c r="Y29" i="31"/>
  <c r="L29" i="31"/>
  <c r="AA28" i="31"/>
  <c r="AB28" i="31" s="1"/>
  <c r="Y28" i="31"/>
  <c r="L28" i="31"/>
  <c r="AA27" i="31"/>
  <c r="AB27" i="31" s="1"/>
  <c r="Y27" i="31"/>
  <c r="L27" i="31"/>
  <c r="AA26" i="31"/>
  <c r="AB26" i="31" s="1"/>
  <c r="Y26" i="31"/>
  <c r="L26" i="31"/>
  <c r="AA25" i="31"/>
  <c r="AB25" i="31" s="1"/>
  <c r="Y25" i="31"/>
  <c r="L25" i="31"/>
  <c r="AA24" i="31"/>
  <c r="AB24" i="31" s="1"/>
  <c r="Y24" i="31"/>
  <c r="L24" i="31"/>
  <c r="AA23" i="31"/>
  <c r="AB23" i="31" s="1"/>
  <c r="Y23" i="31"/>
  <c r="L23" i="31"/>
  <c r="AA22" i="31"/>
  <c r="AB22" i="31" s="1"/>
  <c r="Y22" i="31"/>
  <c r="L22" i="31"/>
  <c r="AA21" i="31"/>
  <c r="AB21" i="31" s="1"/>
  <c r="Y21" i="31"/>
  <c r="L21" i="31"/>
  <c r="AA20" i="31"/>
  <c r="AB20" i="31" s="1"/>
  <c r="Y20" i="31"/>
  <c r="L20" i="31"/>
  <c r="AA19" i="31"/>
  <c r="AB19" i="31" s="1"/>
  <c r="Y19" i="31"/>
  <c r="L19" i="31"/>
  <c r="AA18" i="31"/>
  <c r="AB18" i="31" s="1"/>
  <c r="Y18" i="31"/>
  <c r="L18" i="31"/>
  <c r="AA17" i="31"/>
  <c r="AB17" i="31" s="1"/>
  <c r="Y17" i="31"/>
  <c r="L17" i="31"/>
  <c r="AA16" i="31"/>
  <c r="AB16" i="31" s="1"/>
  <c r="Y16" i="31"/>
  <c r="L16" i="31"/>
  <c r="AA15" i="31"/>
  <c r="AB15" i="31" s="1"/>
  <c r="Y15" i="31"/>
  <c r="L15" i="31"/>
  <c r="AA14" i="31"/>
  <c r="AB14" i="31" s="1"/>
  <c r="Y14" i="31"/>
  <c r="L14" i="31"/>
  <c r="AA13" i="31"/>
  <c r="AB13" i="31" s="1"/>
  <c r="Y13" i="31"/>
  <c r="L13" i="31"/>
  <c r="AA12" i="31"/>
  <c r="AB12" i="31" s="1"/>
  <c r="Y12" i="31"/>
  <c r="L12" i="31"/>
  <c r="AA11" i="31"/>
  <c r="AB11" i="31" s="1"/>
  <c r="Y11" i="31"/>
  <c r="L11" i="31"/>
  <c r="AA10" i="31"/>
  <c r="AB10" i="31" s="1"/>
  <c r="Y10" i="31"/>
  <c r="L10" i="31"/>
  <c r="AA9" i="31"/>
  <c r="AB9" i="31" s="1"/>
  <c r="Y9" i="31"/>
  <c r="L9" i="31"/>
  <c r="AA8" i="31"/>
  <c r="AB8" i="31" s="1"/>
  <c r="Y8" i="31"/>
  <c r="L8" i="31"/>
  <c r="AA7" i="31"/>
  <c r="AB7" i="31" s="1"/>
  <c r="Y7" i="31"/>
  <c r="L7" i="31"/>
  <c r="AA6" i="31"/>
  <c r="AB6" i="31" s="1"/>
  <c r="Y6" i="31"/>
  <c r="AA5" i="31"/>
  <c r="AB5" i="31" s="1"/>
  <c r="Y5" i="31"/>
  <c r="AL202" i="31" l="1"/>
  <c r="CC9" i="33"/>
  <c r="AN202" i="31"/>
  <c r="CC11" i="33"/>
  <c r="AP202" i="31"/>
  <c r="CC13" i="33"/>
  <c r="AR202" i="31"/>
  <c r="CC15" i="33"/>
  <c r="AT202" i="31"/>
  <c r="CC17" i="33"/>
  <c r="AV202" i="31"/>
  <c r="CC19" i="33"/>
  <c r="AX202" i="31"/>
  <c r="CC21" i="33"/>
  <c r="AZ202" i="31"/>
  <c r="CC23" i="33"/>
  <c r="BB202" i="31"/>
  <c r="CC25" i="33"/>
  <c r="BD202" i="31"/>
  <c r="CC27" i="33"/>
  <c r="BF202" i="31"/>
  <c r="CC29" i="33"/>
  <c r="BH202" i="31"/>
  <c r="CC31" i="33"/>
  <c r="BJ202" i="31"/>
  <c r="CC33" i="33"/>
  <c r="BL202" i="31"/>
  <c r="CC44" i="33"/>
  <c r="BN202" i="31"/>
  <c r="CC46" i="33"/>
  <c r="BP202" i="31"/>
  <c r="CC48" i="33"/>
  <c r="BR202" i="31"/>
  <c r="CC50" i="33"/>
  <c r="CK52" i="33"/>
  <c r="CI52" i="33"/>
  <c r="CH52" i="33"/>
  <c r="CJ52" i="33"/>
  <c r="CL52" i="33"/>
  <c r="BV202" i="31"/>
  <c r="CC54" i="33"/>
  <c r="BX202" i="31"/>
  <c r="CC56" i="33"/>
  <c r="BZ202" i="31"/>
  <c r="CC58" i="33"/>
  <c r="CB202" i="31"/>
  <c r="CC60" i="33"/>
  <c r="CD202" i="31"/>
  <c r="CC66" i="33"/>
  <c r="CI68" i="33"/>
  <c r="CH68" i="33"/>
  <c r="CJ68" i="33"/>
  <c r="CK68" i="33"/>
  <c r="CL68" i="33"/>
  <c r="CJ202" i="31"/>
  <c r="CC70" i="33"/>
  <c r="CM202" i="31"/>
  <c r="CC72" i="33"/>
  <c r="CO202" i="31"/>
  <c r="CC74" i="33"/>
  <c r="CQ202" i="31"/>
  <c r="CC93" i="33"/>
  <c r="CK212" i="33"/>
  <c r="CI212" i="33"/>
  <c r="CH212" i="33"/>
  <c r="CJ212" i="33"/>
  <c r="CL212" i="33"/>
  <c r="DF202" i="31"/>
  <c r="CC220" i="33"/>
  <c r="AM202" i="31"/>
  <c r="CC10" i="33"/>
  <c r="AO202" i="31"/>
  <c r="CC12" i="33"/>
  <c r="AQ202" i="31"/>
  <c r="CC14" i="33"/>
  <c r="AS202" i="31"/>
  <c r="CC16" i="33"/>
  <c r="AU202" i="31"/>
  <c r="CC18" i="33"/>
  <c r="AW202" i="31"/>
  <c r="CC20" i="33"/>
  <c r="AY202" i="31"/>
  <c r="CC22" i="33"/>
  <c r="BA202" i="31"/>
  <c r="CC24" i="33"/>
  <c r="BC202" i="31"/>
  <c r="CC26" i="33"/>
  <c r="BE202" i="31"/>
  <c r="CC28" i="33"/>
  <c r="BG202" i="31"/>
  <c r="CC30" i="33"/>
  <c r="BI202" i="31"/>
  <c r="CC32" i="33"/>
  <c r="BK202" i="31"/>
  <c r="CC43" i="33"/>
  <c r="BM202" i="31"/>
  <c r="CC45" i="33"/>
  <c r="BO202" i="31"/>
  <c r="CC47" i="33"/>
  <c r="BQ202" i="31"/>
  <c r="CC49" i="33"/>
  <c r="BS202" i="31"/>
  <c r="CC51" i="33"/>
  <c r="CI53" i="33"/>
  <c r="CL53" i="33"/>
  <c r="CK53" i="33"/>
  <c r="CH53" i="33"/>
  <c r="CJ53" i="33"/>
  <c r="BW202" i="31"/>
  <c r="CC55" i="33"/>
  <c r="BY202" i="31"/>
  <c r="CC57" i="33"/>
  <c r="CA202" i="31"/>
  <c r="CC59" i="33"/>
  <c r="CC202" i="31"/>
  <c r="CC61" i="33"/>
  <c r="CE202" i="31"/>
  <c r="CC67" i="33"/>
  <c r="CI202" i="31"/>
  <c r="CC69" i="33"/>
  <c r="CI71" i="33"/>
  <c r="CH71" i="33"/>
  <c r="CL71" i="33"/>
  <c r="CK71" i="33"/>
  <c r="CJ71" i="33"/>
  <c r="CN202" i="31"/>
  <c r="CC73" i="33"/>
  <c r="CP202" i="31"/>
  <c r="CC75" i="33"/>
  <c r="CK208" i="33"/>
  <c r="CH208" i="33"/>
  <c r="CJ208" i="33"/>
  <c r="CL208" i="33"/>
  <c r="CI208" i="33"/>
  <c r="CI218" i="33"/>
  <c r="CJ218" i="33"/>
  <c r="CK218" i="33"/>
  <c r="CH218" i="33"/>
  <c r="CL218" i="33"/>
  <c r="CK219" i="33"/>
  <c r="CH219" i="33"/>
  <c r="CJ219" i="33"/>
  <c r="CI219" i="33"/>
  <c r="CL219" i="33"/>
  <c r="DG202" i="31"/>
  <c r="CC221" i="33"/>
  <c r="CH202" i="31"/>
  <c r="CG202" i="31"/>
  <c r="CF202" i="31"/>
  <c r="CL202" i="31"/>
  <c r="CK202" i="31"/>
  <c r="DC202" i="31"/>
  <c r="DB202" i="31"/>
  <c r="DE202" i="31"/>
  <c r="DD202" i="31"/>
  <c r="CI75" i="33" l="1"/>
  <c r="CJ75" i="33"/>
  <c r="CK75" i="33"/>
  <c r="CH75" i="33"/>
  <c r="CL75" i="33"/>
  <c r="CK73" i="33"/>
  <c r="CI73" i="33"/>
  <c r="CH73" i="33"/>
  <c r="CJ73" i="33"/>
  <c r="CL73" i="33"/>
  <c r="CI51" i="33"/>
  <c r="CH51" i="33"/>
  <c r="CJ51" i="33"/>
  <c r="CK51" i="33"/>
  <c r="CL51" i="33"/>
  <c r="CK49" i="33"/>
  <c r="CL49" i="33"/>
  <c r="CI49" i="33"/>
  <c r="CH49" i="33"/>
  <c r="CJ49" i="33"/>
  <c r="CK47" i="33"/>
  <c r="CH47" i="33"/>
  <c r="CJ47" i="33"/>
  <c r="CI47" i="33"/>
  <c r="CL47" i="33"/>
  <c r="CL45" i="33"/>
  <c r="CI45" i="33"/>
  <c r="CJ45" i="33"/>
  <c r="CK45" i="33"/>
  <c r="CH45" i="33"/>
  <c r="CI43" i="33"/>
  <c r="BN9" i="33" s="1"/>
  <c r="CL43" i="33"/>
  <c r="CJ43" i="33"/>
  <c r="CK43" i="33"/>
  <c r="CH43" i="33"/>
  <c r="CL32" i="33"/>
  <c r="CK32" i="33"/>
  <c r="CJ32" i="33"/>
  <c r="CI32" i="33"/>
  <c r="CH32" i="33"/>
  <c r="CJ30" i="33"/>
  <c r="CL30" i="33"/>
  <c r="CI30" i="33"/>
  <c r="CK30" i="33"/>
  <c r="CH30" i="33"/>
  <c r="CK28" i="33"/>
  <c r="CH28" i="33"/>
  <c r="CI28" i="33"/>
  <c r="CL28" i="33"/>
  <c r="CJ28" i="33"/>
  <c r="CK26" i="33"/>
  <c r="CH26" i="33"/>
  <c r="CJ26" i="33"/>
  <c r="CI26" i="33"/>
  <c r="CL26" i="33"/>
  <c r="CK24" i="33"/>
  <c r="CH24" i="33"/>
  <c r="CJ24" i="33"/>
  <c r="CI24" i="33"/>
  <c r="CL24" i="33"/>
  <c r="CL22" i="33"/>
  <c r="CJ22" i="33"/>
  <c r="CK22" i="33"/>
  <c r="CI22" i="33"/>
  <c r="CH22" i="33"/>
  <c r="CI20" i="33"/>
  <c r="CL20" i="33"/>
  <c r="CK20" i="33"/>
  <c r="CH20" i="33"/>
  <c r="CJ20" i="33"/>
  <c r="CK18" i="33"/>
  <c r="CH18" i="33"/>
  <c r="CI18" i="33"/>
  <c r="CL18" i="33"/>
  <c r="CJ18" i="33"/>
  <c r="CK16" i="33"/>
  <c r="CH16" i="33"/>
  <c r="CJ16" i="33"/>
  <c r="CI16" i="33"/>
  <c r="CL16" i="33"/>
  <c r="CI14" i="33"/>
  <c r="CL14" i="33"/>
  <c r="CJ14" i="33"/>
  <c r="BO9" i="33" s="1"/>
  <c r="CK14" i="33"/>
  <c r="CH14" i="33"/>
  <c r="BM9" i="33" s="1"/>
  <c r="CI12" i="33"/>
  <c r="CL12" i="33"/>
  <c r="CJ12" i="33"/>
  <c r="CK12" i="33"/>
  <c r="CH12" i="33"/>
  <c r="CJ10" i="33"/>
  <c r="CI10" i="33"/>
  <c r="CL10" i="33"/>
  <c r="CK10" i="33"/>
  <c r="CH10" i="33"/>
  <c r="CK220" i="33"/>
  <c r="CH220" i="33"/>
  <c r="CJ220" i="33"/>
  <c r="CL220" i="33"/>
  <c r="CI220" i="33"/>
  <c r="CI66" i="33"/>
  <c r="CJ66" i="33"/>
  <c r="CK66" i="33"/>
  <c r="CH66" i="33"/>
  <c r="CL66" i="33"/>
  <c r="CK60" i="33"/>
  <c r="CI60" i="33"/>
  <c r="CH60" i="33"/>
  <c r="CJ60" i="33"/>
  <c r="CL60" i="33"/>
  <c r="CI58" i="33"/>
  <c r="CH58" i="33"/>
  <c r="CL58" i="33"/>
  <c r="CK58" i="33"/>
  <c r="CJ58" i="33"/>
  <c r="CK56" i="33"/>
  <c r="CH56" i="33"/>
  <c r="CJ56" i="33"/>
  <c r="CL56" i="33"/>
  <c r="CI56" i="33"/>
  <c r="CI54" i="33"/>
  <c r="CJ54" i="33"/>
  <c r="CK54" i="33"/>
  <c r="CH54" i="33"/>
  <c r="CL54" i="33"/>
  <c r="CK221" i="33"/>
  <c r="CL221" i="33"/>
  <c r="CI221" i="33"/>
  <c r="CH221" i="33"/>
  <c r="CJ221" i="33"/>
  <c r="CK69" i="33"/>
  <c r="CI69" i="33"/>
  <c r="CH69" i="33"/>
  <c r="CJ69" i="33"/>
  <c r="CL69" i="33"/>
  <c r="CI67" i="33"/>
  <c r="CH67" i="33"/>
  <c r="CL67" i="33"/>
  <c r="CK67" i="33"/>
  <c r="CJ67" i="33"/>
  <c r="CI61" i="33"/>
  <c r="CL61" i="33"/>
  <c r="CK61" i="33"/>
  <c r="CH61" i="33"/>
  <c r="CJ61" i="33"/>
  <c r="CI59" i="33"/>
  <c r="CH59" i="33"/>
  <c r="CJ59" i="33"/>
  <c r="CK59" i="33"/>
  <c r="CL59" i="33"/>
  <c r="CK57" i="33"/>
  <c r="CL57" i="33"/>
  <c r="CI57" i="33"/>
  <c r="CH57" i="33"/>
  <c r="CJ57" i="33"/>
  <c r="CK55" i="33"/>
  <c r="CH55" i="33"/>
  <c r="CJ55" i="33"/>
  <c r="CI55" i="33"/>
  <c r="CL55" i="33"/>
  <c r="CK93" i="33"/>
  <c r="CH93" i="33"/>
  <c r="CJ93" i="33"/>
  <c r="CI93" i="33"/>
  <c r="CL93" i="33"/>
  <c r="CI74" i="33"/>
  <c r="CL74" i="33"/>
  <c r="CK74" i="33"/>
  <c r="CH74" i="33"/>
  <c r="CJ74" i="33"/>
  <c r="CI72" i="33"/>
  <c r="CH72" i="33"/>
  <c r="CJ72" i="33"/>
  <c r="CK72" i="33"/>
  <c r="CL72" i="33"/>
  <c r="CI70" i="33"/>
  <c r="CL70" i="33"/>
  <c r="CK70" i="33"/>
  <c r="CH70" i="33"/>
  <c r="CJ70" i="33"/>
  <c r="CI50" i="33"/>
  <c r="CH50" i="33"/>
  <c r="CL50" i="33"/>
  <c r="CK50" i="33"/>
  <c r="CJ50" i="33"/>
  <c r="CK48" i="33"/>
  <c r="CH48" i="33"/>
  <c r="CJ48" i="33"/>
  <c r="CL48" i="33"/>
  <c r="CI48" i="33"/>
  <c r="CI46" i="33"/>
  <c r="CJ46" i="33"/>
  <c r="CK46" i="33"/>
  <c r="CH46" i="33"/>
  <c r="CL46" i="33"/>
  <c r="CI44" i="33"/>
  <c r="CL44" i="33"/>
  <c r="CK44" i="33"/>
  <c r="CH44" i="33"/>
  <c r="CJ44" i="33"/>
  <c r="CK33" i="33"/>
  <c r="CJ33" i="33"/>
  <c r="CL33" i="33"/>
  <c r="CI33" i="33"/>
  <c r="CH33" i="33"/>
  <c r="CL31" i="33"/>
  <c r="CK31" i="33"/>
  <c r="CI31" i="33"/>
  <c r="CJ31" i="33"/>
  <c r="CH31" i="33"/>
  <c r="CL29" i="33"/>
  <c r="CK29" i="33"/>
  <c r="CI29" i="33"/>
  <c r="CJ29" i="33"/>
  <c r="CH29" i="33"/>
  <c r="CK27" i="33"/>
  <c r="CH27" i="33"/>
  <c r="CJ27" i="33"/>
  <c r="CI27" i="33"/>
  <c r="CL27" i="33"/>
  <c r="CK25" i="33"/>
  <c r="CH25" i="33"/>
  <c r="CJ25" i="33"/>
  <c r="CI25" i="33"/>
  <c r="CL25" i="33"/>
  <c r="CK23" i="33"/>
  <c r="CH23" i="33"/>
  <c r="CJ23" i="33"/>
  <c r="CI23" i="33"/>
  <c r="CL23" i="33"/>
  <c r="CK21" i="33"/>
  <c r="CH21" i="33"/>
  <c r="CI21" i="33"/>
  <c r="CL21" i="33"/>
  <c r="CJ21" i="33"/>
  <c r="CI19" i="33"/>
  <c r="CK19" i="33"/>
  <c r="CJ19" i="33"/>
  <c r="CL19" i="33"/>
  <c r="CH19" i="33"/>
  <c r="CL17" i="33"/>
  <c r="CI17" i="33"/>
  <c r="CJ17" i="33"/>
  <c r="CK17" i="33"/>
  <c r="CH17" i="33"/>
  <c r="CI15" i="33"/>
  <c r="CL15" i="33"/>
  <c r="CK15" i="33"/>
  <c r="CH15" i="33"/>
  <c r="CJ15" i="33"/>
  <c r="CJ13" i="33"/>
  <c r="CI13" i="33"/>
  <c r="CL13" i="33"/>
  <c r="CK13" i="33"/>
  <c r="CH13" i="33"/>
  <c r="CI11" i="33"/>
  <c r="CL11" i="33"/>
  <c r="CK11" i="33"/>
  <c r="CH11" i="33"/>
  <c r="CJ11" i="33"/>
  <c r="CH9" i="33"/>
  <c r="CJ9" i="33"/>
  <c r="CK9" i="33"/>
  <c r="CL9" i="33"/>
  <c r="CI9" i="33"/>
  <c r="BM11" i="33" l="1"/>
  <c r="BB16" i="33" s="1"/>
  <c r="BM66" i="33"/>
  <c r="BM14" i="33"/>
  <c r="BM22" i="33"/>
  <c r="BM31" i="33"/>
  <c r="BM55" i="33"/>
  <c r="BM60" i="33"/>
  <c r="BB28" i="33" s="1"/>
  <c r="AY14" i="36" s="1"/>
  <c r="BM44" i="33"/>
  <c r="BB18" i="33" s="1"/>
  <c r="BM68" i="33"/>
  <c r="BM20" i="33"/>
  <c r="BM29" i="33"/>
  <c r="BB29" i="33" s="1"/>
  <c r="BM47" i="33"/>
  <c r="BB21" i="33" s="1"/>
  <c r="BM57" i="33"/>
  <c r="BM19" i="33"/>
  <c r="BM46" i="33"/>
  <c r="BB20" i="33" s="1"/>
  <c r="BM67" i="33"/>
  <c r="BM21" i="33"/>
  <c r="BM48" i="33"/>
  <c r="BB22" i="33" s="1"/>
  <c r="BM50" i="33"/>
  <c r="BM15" i="33"/>
  <c r="BM51" i="33"/>
  <c r="BM26" i="33"/>
  <c r="BM72" i="33"/>
  <c r="BB31" i="33" s="1"/>
  <c r="BM69" i="33"/>
  <c r="BM70" i="33"/>
  <c r="BM18" i="33"/>
  <c r="BM27" i="33"/>
  <c r="BB30" i="33" s="1"/>
  <c r="BM45" i="33"/>
  <c r="BB19" i="33" s="1"/>
  <c r="BM23" i="33"/>
  <c r="BB24" i="33" s="1"/>
  <c r="BM17" i="33"/>
  <c r="BM61" i="33"/>
  <c r="BM16" i="33"/>
  <c r="BM25" i="33"/>
  <c r="BB25" i="33" s="1"/>
  <c r="I69" i="24" s="1"/>
  <c r="I70" i="24" s="1"/>
  <c r="BM43" i="33"/>
  <c r="BM52" i="33"/>
  <c r="BM12" i="33"/>
  <c r="BB17" i="33" s="1"/>
  <c r="BM28" i="33"/>
  <c r="BM56" i="33"/>
  <c r="BM13" i="33"/>
  <c r="BM30" i="33"/>
  <c r="BM58" i="33"/>
  <c r="BB26" i="33" s="1"/>
  <c r="BM59" i="33"/>
  <c r="BB27" i="33" s="1"/>
  <c r="BS19" i="36" s="1"/>
  <c r="BM32" i="33"/>
  <c r="BM71" i="33"/>
  <c r="BM53" i="33"/>
  <c r="BO14" i="33"/>
  <c r="BO70" i="33"/>
  <c r="BO66" i="33"/>
  <c r="BO60" i="33"/>
  <c r="BD28" i="33" s="1"/>
  <c r="BO56" i="33"/>
  <c r="BO51" i="33"/>
  <c r="BO46" i="33"/>
  <c r="BD20" i="33" s="1"/>
  <c r="BO32" i="33"/>
  <c r="BO28" i="33"/>
  <c r="BO23" i="33"/>
  <c r="BD24" i="33" s="1"/>
  <c r="BO19" i="33"/>
  <c r="BO15" i="33"/>
  <c r="BO11" i="33"/>
  <c r="BD16" i="33" s="1"/>
  <c r="BO69" i="33"/>
  <c r="BO61" i="33"/>
  <c r="BO57" i="33"/>
  <c r="BO52" i="33"/>
  <c r="BO47" i="33"/>
  <c r="BD21" i="33" s="1"/>
  <c r="BO43" i="33"/>
  <c r="BO29" i="33"/>
  <c r="BD29" i="33" s="1"/>
  <c r="BO25" i="33"/>
  <c r="BD25" i="33" s="1"/>
  <c r="BO20" i="33"/>
  <c r="BO16" i="33"/>
  <c r="BO72" i="33"/>
  <c r="BD31" i="33" s="1"/>
  <c r="BO68" i="33"/>
  <c r="BO12" i="33"/>
  <c r="BD17" i="33" s="1"/>
  <c r="BO58" i="33"/>
  <c r="BD26" i="33" s="1"/>
  <c r="BT98" i="36" s="1"/>
  <c r="BO53" i="33"/>
  <c r="BO48" i="33"/>
  <c r="BD22" i="33" s="1"/>
  <c r="BO44" i="33"/>
  <c r="BD18" i="33" s="1"/>
  <c r="BO30" i="33"/>
  <c r="BO26" i="33"/>
  <c r="BO21" i="33"/>
  <c r="BO17" i="33"/>
  <c r="BO13" i="33"/>
  <c r="BO71" i="33"/>
  <c r="BO67" i="33"/>
  <c r="BO59" i="33"/>
  <c r="BD27" i="33" s="1"/>
  <c r="BO55" i="33"/>
  <c r="BO50" i="33"/>
  <c r="BO45" i="33"/>
  <c r="BD19" i="33" s="1"/>
  <c r="BO31" i="33"/>
  <c r="BO27" i="33"/>
  <c r="BD30" i="33" s="1"/>
  <c r="BO22" i="33"/>
  <c r="BO18" i="33"/>
  <c r="BN59" i="33"/>
  <c r="BC27" i="33" s="1"/>
  <c r="BN67" i="33"/>
  <c r="BN72" i="33"/>
  <c r="BC31" i="33" s="1"/>
  <c r="BN52" i="33"/>
  <c r="BN14" i="33"/>
  <c r="BN43" i="33"/>
  <c r="BN13" i="33"/>
  <c r="BN32" i="33"/>
  <c r="BN47" i="33"/>
  <c r="BC21" i="33" s="1"/>
  <c r="BN16" i="33"/>
  <c r="BN21" i="33"/>
  <c r="BN50" i="33"/>
  <c r="BN56" i="33"/>
  <c r="BN20" i="33"/>
  <c r="BN53" i="33"/>
  <c r="BN26" i="33"/>
  <c r="BN70" i="33"/>
  <c r="BN55" i="33"/>
  <c r="BN27" i="33"/>
  <c r="BC30" i="33" s="1"/>
  <c r="BN60" i="33"/>
  <c r="BC28" i="33" s="1"/>
  <c r="D26" i="62" s="1"/>
  <c r="BN23" i="33"/>
  <c r="BC24" i="33" s="1"/>
  <c r="BN46" i="33"/>
  <c r="BC20" i="33" s="1"/>
  <c r="BN19" i="33"/>
  <c r="BN25" i="33"/>
  <c r="BC25" i="33" s="1"/>
  <c r="BN69" i="33"/>
  <c r="BN30" i="33"/>
  <c r="BN61" i="33"/>
  <c r="BN58" i="33"/>
  <c r="BC26" i="33" s="1"/>
  <c r="BN31" i="33"/>
  <c r="BN57" i="33"/>
  <c r="BN29" i="33"/>
  <c r="BC29" i="33" s="1"/>
  <c r="BN48" i="33"/>
  <c r="BC22" i="33" s="1"/>
  <c r="BN68" i="33"/>
  <c r="BN22" i="33"/>
  <c r="BN15" i="33"/>
  <c r="BN12" i="33"/>
  <c r="BC17" i="33" s="1"/>
  <c r="BN44" i="33"/>
  <c r="BC18" i="33" s="1"/>
  <c r="BN17" i="33"/>
  <c r="BN66" i="33"/>
  <c r="BN45" i="33"/>
  <c r="BC19" i="33" s="1"/>
  <c r="BN18" i="33"/>
  <c r="BN51" i="33"/>
  <c r="BN71" i="33"/>
  <c r="BN28" i="33"/>
  <c r="BN11" i="33"/>
  <c r="BC16" i="33" s="1"/>
  <c r="BS31" i="36" l="1"/>
  <c r="E28" i="62"/>
  <c r="BB23" i="33"/>
  <c r="BC23" i="33"/>
  <c r="AZ94" i="36"/>
  <c r="EE312" i="37"/>
  <c r="EF312" i="37" s="1"/>
  <c r="EG312" i="37" s="1"/>
  <c r="EI312" i="37" s="1"/>
  <c r="EO103" i="37"/>
  <c r="EP103" i="37" s="1"/>
  <c r="EQ103" i="37" s="1"/>
  <c r="ES103" i="37" s="1"/>
  <c r="EO101" i="37"/>
  <c r="EP101" i="37" s="1"/>
  <c r="EQ101" i="37" s="1"/>
  <c r="ES101" i="37" s="1"/>
  <c r="DA99" i="37"/>
  <c r="DB99" i="37" s="1"/>
  <c r="DC99" i="37" s="1"/>
  <c r="DE99" i="37" s="1"/>
  <c r="EO97" i="37"/>
  <c r="EP97" i="37" s="1"/>
  <c r="EQ97" i="37" s="1"/>
  <c r="ES97" i="37" s="1"/>
  <c r="DA95" i="37"/>
  <c r="DB95" i="37" s="1"/>
  <c r="DC95" i="37" s="1"/>
  <c r="DE95" i="37" s="1"/>
  <c r="EO93" i="37"/>
  <c r="EP93" i="37" s="1"/>
  <c r="EQ93" i="37" s="1"/>
  <c r="ES93" i="37" s="1"/>
  <c r="DA91" i="37"/>
  <c r="DB91" i="37" s="1"/>
  <c r="DC91" i="37" s="1"/>
  <c r="DE91" i="37" s="1"/>
  <c r="BC106" i="37"/>
  <c r="BD106" i="37" s="1"/>
  <c r="BE106" i="37" s="1"/>
  <c r="BG106" i="37" s="1"/>
  <c r="DA103" i="37"/>
  <c r="DB103" i="37" s="1"/>
  <c r="DC103" i="37" s="1"/>
  <c r="DE103" i="37" s="1"/>
  <c r="DU101" i="37"/>
  <c r="DV101" i="37" s="1"/>
  <c r="DW101" i="37" s="1"/>
  <c r="DY101" i="37" s="1"/>
  <c r="EO99" i="37"/>
  <c r="EP99" i="37" s="1"/>
  <c r="EQ99" i="37" s="1"/>
  <c r="ES99" i="37" s="1"/>
  <c r="DU97" i="37"/>
  <c r="DV97" i="37" s="1"/>
  <c r="DW97" i="37" s="1"/>
  <c r="DY97" i="37" s="1"/>
  <c r="EO95" i="37"/>
  <c r="EP95" i="37" s="1"/>
  <c r="EQ95" i="37" s="1"/>
  <c r="ES95" i="37" s="1"/>
  <c r="DA93" i="37"/>
  <c r="DB93" i="37" s="1"/>
  <c r="DC93" i="37" s="1"/>
  <c r="DE93" i="37" s="1"/>
  <c r="EO91" i="37"/>
  <c r="EP91" i="37" s="1"/>
  <c r="EQ91" i="37" s="1"/>
  <c r="ES91" i="37" s="1"/>
  <c r="CQ105" i="37"/>
  <c r="CR105" i="37" s="1"/>
  <c r="CS105" i="37" s="1"/>
  <c r="CU105" i="37" s="1"/>
  <c r="DU99" i="37"/>
  <c r="DV99" i="37" s="1"/>
  <c r="DW99" i="37" s="1"/>
  <c r="DY99" i="37" s="1"/>
  <c r="DA96" i="37"/>
  <c r="DB96" i="37" s="1"/>
  <c r="DC96" i="37" s="1"/>
  <c r="DE96" i="37" s="1"/>
  <c r="DU94" i="37"/>
  <c r="DV94" i="37" s="1"/>
  <c r="DW94" i="37" s="1"/>
  <c r="DY94" i="37" s="1"/>
  <c r="DU91" i="37"/>
  <c r="DV91" i="37" s="1"/>
  <c r="DW91" i="37" s="1"/>
  <c r="DY91" i="37" s="1"/>
  <c r="DU89" i="37"/>
  <c r="DV89" i="37" s="1"/>
  <c r="DW89" i="37" s="1"/>
  <c r="DY89" i="37" s="1"/>
  <c r="EO87" i="37"/>
  <c r="EP87" i="37" s="1"/>
  <c r="EQ87" i="37" s="1"/>
  <c r="ES87" i="37" s="1"/>
  <c r="DK252" i="38"/>
  <c r="DL252" i="38" s="1"/>
  <c r="DM252" i="38" s="1"/>
  <c r="DO252" i="38" s="1"/>
  <c r="DU100" i="37"/>
  <c r="DV100" i="37" s="1"/>
  <c r="DW100" i="37" s="1"/>
  <c r="DY100" i="37" s="1"/>
  <c r="DA90" i="37"/>
  <c r="DB90" i="37" s="1"/>
  <c r="DC90" i="37" s="1"/>
  <c r="DE90" i="37" s="1"/>
  <c r="EO86" i="37"/>
  <c r="EP86" i="37" s="1"/>
  <c r="EQ86" i="37" s="1"/>
  <c r="ES86" i="37" s="1"/>
  <c r="DA86" i="37"/>
  <c r="DB86" i="37" s="1"/>
  <c r="DC86" i="37" s="1"/>
  <c r="DE86" i="37" s="1"/>
  <c r="DU104" i="37"/>
  <c r="DV104" i="37" s="1"/>
  <c r="DW104" i="37" s="1"/>
  <c r="DY104" i="37" s="1"/>
  <c r="DU93" i="37"/>
  <c r="DV93" i="37" s="1"/>
  <c r="DW93" i="37" s="1"/>
  <c r="DY93" i="37" s="1"/>
  <c r="DA89" i="37"/>
  <c r="DB89" i="37" s="1"/>
  <c r="DC89" i="37" s="1"/>
  <c r="DE89" i="37" s="1"/>
  <c r="DU87" i="37"/>
  <c r="DV87" i="37" s="1"/>
  <c r="DW87" i="37" s="1"/>
  <c r="DY87" i="37" s="1"/>
  <c r="DK14" i="37"/>
  <c r="DL14" i="37" s="1"/>
  <c r="DM14" i="37" s="1"/>
  <c r="DO14" i="37" s="1"/>
  <c r="BC17" i="37"/>
  <c r="BD17" i="37" s="1"/>
  <c r="BE17" i="37" s="1"/>
  <c r="BG17" i="37" s="1"/>
  <c r="BC19" i="37"/>
  <c r="BD19" i="37" s="1"/>
  <c r="BE19" i="37" s="1"/>
  <c r="BG19" i="37" s="1"/>
  <c r="DK20" i="37"/>
  <c r="DL20" i="37" s="1"/>
  <c r="DM20" i="37" s="1"/>
  <c r="DO20" i="37" s="1"/>
  <c r="BW22" i="37"/>
  <c r="BX22" i="37" s="1"/>
  <c r="BY22" i="37" s="1"/>
  <c r="CA22" i="37" s="1"/>
  <c r="EE23" i="37"/>
  <c r="EF23" i="37" s="1"/>
  <c r="EG23" i="37" s="1"/>
  <c r="EI23" i="37" s="1"/>
  <c r="CQ25" i="37"/>
  <c r="CR25" i="37" s="1"/>
  <c r="CS25" i="37" s="1"/>
  <c r="CU25" i="37" s="1"/>
  <c r="BC27" i="37"/>
  <c r="BD27" i="37" s="1"/>
  <c r="BE27" i="37" s="1"/>
  <c r="BG27" i="37" s="1"/>
  <c r="CG15" i="37"/>
  <c r="CH15" i="37" s="1"/>
  <c r="CI15" i="37" s="1"/>
  <c r="CK15" i="37" s="1"/>
  <c r="EO16" i="37"/>
  <c r="EP16" i="37" s="1"/>
  <c r="EQ16" i="37" s="1"/>
  <c r="ES16" i="37" s="1"/>
  <c r="DA18" i="37"/>
  <c r="DB18" i="37" s="1"/>
  <c r="DC18" i="37" s="1"/>
  <c r="DE18" i="37" s="1"/>
  <c r="BM20" i="37"/>
  <c r="BN20" i="37" s="1"/>
  <c r="BO20" i="37" s="1"/>
  <c r="BQ20" i="37" s="1"/>
  <c r="DU21" i="37"/>
  <c r="DV21" i="37" s="1"/>
  <c r="DW21" i="37" s="1"/>
  <c r="DY21" i="37" s="1"/>
  <c r="CG23" i="37"/>
  <c r="CH23" i="37" s="1"/>
  <c r="CI23" i="37" s="1"/>
  <c r="CK23" i="37" s="1"/>
  <c r="EO24" i="37"/>
  <c r="EP24" i="37" s="1"/>
  <c r="EQ24" i="37" s="1"/>
  <c r="ES24" i="37" s="1"/>
  <c r="DA26" i="37"/>
  <c r="DB26" i="37" s="1"/>
  <c r="DC26" i="37" s="1"/>
  <c r="DE26" i="37" s="1"/>
  <c r="BM28" i="37"/>
  <c r="BN28" i="37" s="1"/>
  <c r="BO28" i="37" s="1"/>
  <c r="BQ28" i="37" s="1"/>
  <c r="DU29" i="37"/>
  <c r="DV29" i="37" s="1"/>
  <c r="DW29" i="37" s="1"/>
  <c r="DY29" i="37" s="1"/>
  <c r="CG31" i="37"/>
  <c r="CH31" i="37" s="1"/>
  <c r="CI31" i="37" s="1"/>
  <c r="CK31" i="37" s="1"/>
  <c r="EO32" i="37"/>
  <c r="EP32" i="37" s="1"/>
  <c r="EQ32" i="37" s="1"/>
  <c r="ES32" i="37" s="1"/>
  <c r="DA34" i="37"/>
  <c r="DB34" i="37" s="1"/>
  <c r="DC34" i="37" s="1"/>
  <c r="DE34" i="37" s="1"/>
  <c r="DK27" i="37"/>
  <c r="DL27" i="37" s="1"/>
  <c r="DM27" i="37" s="1"/>
  <c r="DO27" i="37" s="1"/>
  <c r="BW29" i="37"/>
  <c r="BX29" i="37" s="1"/>
  <c r="BY29" i="37" s="1"/>
  <c r="CA29" i="37" s="1"/>
  <c r="EE30" i="37"/>
  <c r="EF30" i="37" s="1"/>
  <c r="EG30" i="37" s="1"/>
  <c r="EI30" i="37" s="1"/>
  <c r="CQ32" i="37"/>
  <c r="CR32" i="37" s="1"/>
  <c r="CS32" i="37" s="1"/>
  <c r="CU32" i="37" s="1"/>
  <c r="BC34" i="37"/>
  <c r="BD34" i="37" s="1"/>
  <c r="BE34" i="37" s="1"/>
  <c r="BG34" i="37" s="1"/>
  <c r="DK35" i="37"/>
  <c r="DL35" i="37" s="1"/>
  <c r="DM35" i="37" s="1"/>
  <c r="DO35" i="37" s="1"/>
  <c r="BW126" i="37"/>
  <c r="BX126" i="37" s="1"/>
  <c r="BY126" i="37" s="1"/>
  <c r="CA126" i="37" s="1"/>
  <c r="EE127" i="37"/>
  <c r="EF127" i="37" s="1"/>
  <c r="EG127" i="37" s="1"/>
  <c r="EI127" i="37" s="1"/>
  <c r="CQ129" i="37"/>
  <c r="CR129" i="37" s="1"/>
  <c r="CS129" i="37" s="1"/>
  <c r="CU129" i="37" s="1"/>
  <c r="BC131" i="37"/>
  <c r="BD131" i="37" s="1"/>
  <c r="BE131" i="37" s="1"/>
  <c r="BG131" i="37" s="1"/>
  <c r="DK132" i="37"/>
  <c r="DL132" i="37" s="1"/>
  <c r="DM132" i="37" s="1"/>
  <c r="DO132" i="37" s="1"/>
  <c r="BW134" i="37"/>
  <c r="BX134" i="37" s="1"/>
  <c r="BY134" i="37" s="1"/>
  <c r="CA134" i="37" s="1"/>
  <c r="EE135" i="37"/>
  <c r="EF135" i="37" s="1"/>
  <c r="EG135" i="37" s="1"/>
  <c r="EI135" i="37" s="1"/>
  <c r="CQ137" i="37"/>
  <c r="CR137" i="37" s="1"/>
  <c r="CS137" i="37" s="1"/>
  <c r="CU137" i="37" s="1"/>
  <c r="BC139" i="37"/>
  <c r="BD139" i="37" s="1"/>
  <c r="BE139" i="37" s="1"/>
  <c r="BG139" i="37" s="1"/>
  <c r="DK140" i="37"/>
  <c r="DL140" i="37" s="1"/>
  <c r="DM140" i="37" s="1"/>
  <c r="DO140" i="37" s="1"/>
  <c r="BW142" i="37"/>
  <c r="BX142" i="37" s="1"/>
  <c r="BY142" i="37" s="1"/>
  <c r="CA142" i="37" s="1"/>
  <c r="EE143" i="37"/>
  <c r="EF143" i="37" s="1"/>
  <c r="EG143" i="37" s="1"/>
  <c r="EI143" i="37" s="1"/>
  <c r="CQ145" i="37"/>
  <c r="CR145" i="37" s="1"/>
  <c r="CS145" i="37" s="1"/>
  <c r="CU145" i="37" s="1"/>
  <c r="BC147" i="37"/>
  <c r="BD147" i="37" s="1"/>
  <c r="BE147" i="37" s="1"/>
  <c r="BG147" i="37" s="1"/>
  <c r="DK148" i="37"/>
  <c r="DL148" i="37" s="1"/>
  <c r="DM148" i="37" s="1"/>
  <c r="DO148" i="37" s="1"/>
  <c r="BW150" i="37"/>
  <c r="BX150" i="37" s="1"/>
  <c r="BY150" i="37" s="1"/>
  <c r="CA150" i="37" s="1"/>
  <c r="EE151" i="37"/>
  <c r="EF151" i="37" s="1"/>
  <c r="EG151" i="37" s="1"/>
  <c r="EI151" i="37" s="1"/>
  <c r="CQ153" i="37"/>
  <c r="CR153" i="37" s="1"/>
  <c r="CS153" i="37" s="1"/>
  <c r="CU153" i="37" s="1"/>
  <c r="BC155" i="37"/>
  <c r="BD155" i="37" s="1"/>
  <c r="BE155" i="37" s="1"/>
  <c r="BG155" i="37" s="1"/>
  <c r="DA125" i="37"/>
  <c r="DB125" i="37" s="1"/>
  <c r="DC125" i="37" s="1"/>
  <c r="DE125" i="37" s="1"/>
  <c r="BM127" i="37"/>
  <c r="BN127" i="37" s="1"/>
  <c r="BO127" i="37" s="1"/>
  <c r="BQ127" i="37" s="1"/>
  <c r="DU128" i="37"/>
  <c r="DV128" i="37" s="1"/>
  <c r="DW128" i="37" s="1"/>
  <c r="DY128" i="37" s="1"/>
  <c r="CG130" i="37"/>
  <c r="CH130" i="37" s="1"/>
  <c r="CI130" i="37" s="1"/>
  <c r="CK130" i="37" s="1"/>
  <c r="EO131" i="37"/>
  <c r="EP131" i="37" s="1"/>
  <c r="EQ131" i="37" s="1"/>
  <c r="ES131" i="37" s="1"/>
  <c r="DA133" i="37"/>
  <c r="DB133" i="37" s="1"/>
  <c r="DC133" i="37" s="1"/>
  <c r="DE133" i="37" s="1"/>
  <c r="BM135" i="37"/>
  <c r="BN135" i="37" s="1"/>
  <c r="BO135" i="37" s="1"/>
  <c r="BQ135" i="37" s="1"/>
  <c r="DU136" i="37"/>
  <c r="DV136" i="37" s="1"/>
  <c r="DW136" i="37" s="1"/>
  <c r="DY136" i="37" s="1"/>
  <c r="CG138" i="37"/>
  <c r="CH138" i="37" s="1"/>
  <c r="CI138" i="37" s="1"/>
  <c r="CK138" i="37" s="1"/>
  <c r="EO139" i="37"/>
  <c r="EP139" i="37" s="1"/>
  <c r="EQ139" i="37" s="1"/>
  <c r="ES139" i="37" s="1"/>
  <c r="DA141" i="37"/>
  <c r="DB141" i="37" s="1"/>
  <c r="DC141" i="37" s="1"/>
  <c r="DE141" i="37" s="1"/>
  <c r="BM143" i="37"/>
  <c r="BN143" i="37" s="1"/>
  <c r="BO143" i="37" s="1"/>
  <c r="BQ143" i="37" s="1"/>
  <c r="DU144" i="37"/>
  <c r="DV144" i="37" s="1"/>
  <c r="DW144" i="37" s="1"/>
  <c r="DY144" i="37" s="1"/>
  <c r="CG146" i="37"/>
  <c r="CH146" i="37" s="1"/>
  <c r="CI146" i="37" s="1"/>
  <c r="CK146" i="37" s="1"/>
  <c r="EO147" i="37"/>
  <c r="EP147" i="37" s="1"/>
  <c r="EQ147" i="37" s="1"/>
  <c r="ES147" i="37" s="1"/>
  <c r="DA149" i="37"/>
  <c r="DB149" i="37" s="1"/>
  <c r="DC149" i="37" s="1"/>
  <c r="DE149" i="37" s="1"/>
  <c r="BM151" i="37"/>
  <c r="BN151" i="37" s="1"/>
  <c r="BO151" i="37" s="1"/>
  <c r="BQ151" i="37" s="1"/>
  <c r="DU152" i="37"/>
  <c r="DV152" i="37" s="1"/>
  <c r="DW152" i="37" s="1"/>
  <c r="DY152" i="37" s="1"/>
  <c r="CG154" i="37"/>
  <c r="CH154" i="37" s="1"/>
  <c r="CI154" i="37" s="1"/>
  <c r="CK154" i="37" s="1"/>
  <c r="EO155" i="37"/>
  <c r="EP155" i="37" s="1"/>
  <c r="EQ155" i="37" s="1"/>
  <c r="ES155" i="37" s="1"/>
  <c r="CQ186" i="37"/>
  <c r="CR186" i="37" s="1"/>
  <c r="CS186" i="37" s="1"/>
  <c r="CU186" i="37" s="1"/>
  <c r="BC188" i="37"/>
  <c r="BD188" i="37" s="1"/>
  <c r="BE188" i="37" s="1"/>
  <c r="BG188" i="37" s="1"/>
  <c r="DK189" i="37"/>
  <c r="DL189" i="37" s="1"/>
  <c r="DM189" i="37" s="1"/>
  <c r="DO189" i="37" s="1"/>
  <c r="BW191" i="37"/>
  <c r="BX191" i="37" s="1"/>
  <c r="BY191" i="37" s="1"/>
  <c r="CA191" i="37" s="1"/>
  <c r="DA104" i="37"/>
  <c r="DB104" i="37" s="1"/>
  <c r="DC104" i="37" s="1"/>
  <c r="DE104" i="37" s="1"/>
  <c r="EO102" i="37"/>
  <c r="EP102" i="37" s="1"/>
  <c r="EQ102" i="37" s="1"/>
  <c r="ES102" i="37" s="1"/>
  <c r="DA100" i="37"/>
  <c r="DB100" i="37" s="1"/>
  <c r="DC100" i="37" s="1"/>
  <c r="DE100" i="37" s="1"/>
  <c r="EO98" i="37"/>
  <c r="EP98" i="37" s="1"/>
  <c r="EQ98" i="37" s="1"/>
  <c r="ES98" i="37" s="1"/>
  <c r="EO96" i="37"/>
  <c r="EP96" i="37" s="1"/>
  <c r="EQ96" i="37" s="1"/>
  <c r="ES96" i="37" s="1"/>
  <c r="EO94" i="37"/>
  <c r="EP94" i="37" s="1"/>
  <c r="EQ94" i="37" s="1"/>
  <c r="ES94" i="37" s="1"/>
  <c r="EO92" i="37"/>
  <c r="EP92" i="37" s="1"/>
  <c r="EQ92" i="37" s="1"/>
  <c r="ES92" i="37" s="1"/>
  <c r="CQ106" i="37"/>
  <c r="CR106" i="37" s="1"/>
  <c r="CS106" i="37" s="1"/>
  <c r="CU106" i="37" s="1"/>
  <c r="BC105" i="37"/>
  <c r="BD105" i="37" s="1"/>
  <c r="BE105" i="37" s="1"/>
  <c r="BG105" i="37" s="1"/>
  <c r="DU102" i="37"/>
  <c r="DV102" i="37" s="1"/>
  <c r="DW102" i="37" s="1"/>
  <c r="DY102" i="37" s="1"/>
  <c r="EO100" i="37"/>
  <c r="EP100" i="37" s="1"/>
  <c r="EQ100" i="37" s="1"/>
  <c r="ES100" i="37" s="1"/>
  <c r="DU98" i="37"/>
  <c r="DV98" i="37" s="1"/>
  <c r="DW98" i="37" s="1"/>
  <c r="DY98" i="37" s="1"/>
  <c r="DU96" i="37"/>
  <c r="DV96" i="37" s="1"/>
  <c r="DW96" i="37" s="1"/>
  <c r="DY96" i="37" s="1"/>
  <c r="DA94" i="37"/>
  <c r="DB94" i="37" s="1"/>
  <c r="DC94" i="37" s="1"/>
  <c r="DE94" i="37" s="1"/>
  <c r="DU92" i="37"/>
  <c r="DV92" i="37" s="1"/>
  <c r="DW92" i="37" s="1"/>
  <c r="DY92" i="37" s="1"/>
  <c r="EO89" i="37"/>
  <c r="EP89" i="37" s="1"/>
  <c r="EQ89" i="37" s="1"/>
  <c r="ES89" i="37" s="1"/>
  <c r="DA102" i="37"/>
  <c r="DB102" i="37" s="1"/>
  <c r="DC102" i="37" s="1"/>
  <c r="DE102" i="37" s="1"/>
  <c r="DA98" i="37"/>
  <c r="DB98" i="37" s="1"/>
  <c r="DC98" i="37" s="1"/>
  <c r="DE98" i="37" s="1"/>
  <c r="DU95" i="37"/>
  <c r="DV95" i="37" s="1"/>
  <c r="DW95" i="37" s="1"/>
  <c r="DY95" i="37" s="1"/>
  <c r="DA92" i="37"/>
  <c r="DB92" i="37" s="1"/>
  <c r="DC92" i="37" s="1"/>
  <c r="DE92" i="37" s="1"/>
  <c r="DU90" i="37"/>
  <c r="DV90" i="37" s="1"/>
  <c r="DW90" i="37" s="1"/>
  <c r="DY90" i="37" s="1"/>
  <c r="DU88" i="37"/>
  <c r="DV88" i="37" s="1"/>
  <c r="DW88" i="37" s="1"/>
  <c r="DY88" i="37" s="1"/>
  <c r="DA87" i="37"/>
  <c r="DB87" i="37" s="1"/>
  <c r="DC87" i="37" s="1"/>
  <c r="DE87" i="37" s="1"/>
  <c r="DA101" i="37"/>
  <c r="DB101" i="37" s="1"/>
  <c r="DC101" i="37" s="1"/>
  <c r="DE101" i="37" s="1"/>
  <c r="DA97" i="37"/>
  <c r="DB97" i="37" s="1"/>
  <c r="DC97" i="37" s="1"/>
  <c r="DE97" i="37" s="1"/>
  <c r="DA88" i="37"/>
  <c r="DB88" i="37" s="1"/>
  <c r="DC88" i="37" s="1"/>
  <c r="DE88" i="37" s="1"/>
  <c r="DU86" i="37"/>
  <c r="DV86" i="37" s="1"/>
  <c r="DW86" i="37" s="1"/>
  <c r="DY86" i="37" s="1"/>
  <c r="EO85" i="37"/>
  <c r="EP85" i="37" s="1"/>
  <c r="EQ85" i="37" s="1"/>
  <c r="ES85" i="37" s="1"/>
  <c r="DU103" i="37"/>
  <c r="DV103" i="37" s="1"/>
  <c r="DW103" i="37" s="1"/>
  <c r="DY103" i="37" s="1"/>
  <c r="EO90" i="37"/>
  <c r="EP90" i="37" s="1"/>
  <c r="EQ90" i="37" s="1"/>
  <c r="ES90" i="37" s="1"/>
  <c r="EO88" i="37"/>
  <c r="EP88" i="37" s="1"/>
  <c r="EQ88" i="37" s="1"/>
  <c r="ES88" i="37" s="1"/>
  <c r="EE255" i="38"/>
  <c r="EF255" i="38" s="1"/>
  <c r="EG255" i="38" s="1"/>
  <c r="EI255" i="38" s="1"/>
  <c r="EE15" i="37"/>
  <c r="EF15" i="37" s="1"/>
  <c r="EG15" i="37" s="1"/>
  <c r="EI15" i="37" s="1"/>
  <c r="BW18" i="37"/>
  <c r="BX18" i="37" s="1"/>
  <c r="BY18" i="37" s="1"/>
  <c r="CA18" i="37" s="1"/>
  <c r="EE19" i="37"/>
  <c r="EF19" i="37" s="1"/>
  <c r="EG19" i="37" s="1"/>
  <c r="EI19" i="37" s="1"/>
  <c r="CQ21" i="37"/>
  <c r="CR21" i="37" s="1"/>
  <c r="CS21" i="37" s="1"/>
  <c r="CU21" i="37" s="1"/>
  <c r="BC23" i="37"/>
  <c r="BD23" i="37" s="1"/>
  <c r="BE23" i="37" s="1"/>
  <c r="BG23" i="37" s="1"/>
  <c r="DK24" i="37"/>
  <c r="DL24" i="37" s="1"/>
  <c r="DM24" i="37" s="1"/>
  <c r="DO24" i="37" s="1"/>
  <c r="BW26" i="37"/>
  <c r="BX26" i="37" s="1"/>
  <c r="BY26" i="37" s="1"/>
  <c r="CA26" i="37" s="1"/>
  <c r="DA14" i="37"/>
  <c r="DB14" i="37" s="1"/>
  <c r="DC14" i="37" s="1"/>
  <c r="DE14" i="37" s="1"/>
  <c r="BM16" i="37"/>
  <c r="BN16" i="37" s="1"/>
  <c r="BO16" i="37" s="1"/>
  <c r="BQ16" i="37" s="1"/>
  <c r="DU17" i="37"/>
  <c r="DV17" i="37" s="1"/>
  <c r="DW17" i="37" s="1"/>
  <c r="DY17" i="37" s="1"/>
  <c r="CG19" i="37"/>
  <c r="CH19" i="37" s="1"/>
  <c r="CI19" i="37" s="1"/>
  <c r="CK19" i="37" s="1"/>
  <c r="EO20" i="37"/>
  <c r="EP20" i="37" s="1"/>
  <c r="EQ20" i="37" s="1"/>
  <c r="ES20" i="37" s="1"/>
  <c r="DA22" i="37"/>
  <c r="DB22" i="37" s="1"/>
  <c r="DC22" i="37" s="1"/>
  <c r="DE22" i="37" s="1"/>
  <c r="BM24" i="37"/>
  <c r="BN24" i="37" s="1"/>
  <c r="BO24" i="37" s="1"/>
  <c r="BQ24" i="37" s="1"/>
  <c r="DU25" i="37"/>
  <c r="DV25" i="37" s="1"/>
  <c r="DW25" i="37" s="1"/>
  <c r="DY25" i="37" s="1"/>
  <c r="CG27" i="37"/>
  <c r="CH27" i="37" s="1"/>
  <c r="CI27" i="37" s="1"/>
  <c r="CK27" i="37" s="1"/>
  <c r="EO28" i="37"/>
  <c r="EP28" i="37" s="1"/>
  <c r="EQ28" i="37" s="1"/>
  <c r="ES28" i="37" s="1"/>
  <c r="DA30" i="37"/>
  <c r="DB30" i="37" s="1"/>
  <c r="DC30" i="37" s="1"/>
  <c r="DE30" i="37" s="1"/>
  <c r="BM32" i="37"/>
  <c r="BN32" i="37" s="1"/>
  <c r="BO32" i="37" s="1"/>
  <c r="BQ32" i="37" s="1"/>
  <c r="DU33" i="37"/>
  <c r="DV33" i="37" s="1"/>
  <c r="DW33" i="37" s="1"/>
  <c r="DY33" i="37" s="1"/>
  <c r="CG35" i="37"/>
  <c r="CH35" i="37" s="1"/>
  <c r="CI35" i="37" s="1"/>
  <c r="CK35" i="37" s="1"/>
  <c r="CQ28" i="37"/>
  <c r="CR28" i="37" s="1"/>
  <c r="CS28" i="37" s="1"/>
  <c r="CU28" i="37" s="1"/>
  <c r="BC30" i="37"/>
  <c r="BD30" i="37" s="1"/>
  <c r="BE30" i="37" s="1"/>
  <c r="BG30" i="37" s="1"/>
  <c r="DK31" i="37"/>
  <c r="DL31" i="37" s="1"/>
  <c r="DM31" i="37" s="1"/>
  <c r="DO31" i="37" s="1"/>
  <c r="BW33" i="37"/>
  <c r="BX33" i="37" s="1"/>
  <c r="BY33" i="37" s="1"/>
  <c r="CA33" i="37" s="1"/>
  <c r="EE34" i="37"/>
  <c r="EF34" i="37" s="1"/>
  <c r="EG34" i="37" s="1"/>
  <c r="EI34" i="37" s="1"/>
  <c r="CQ125" i="37"/>
  <c r="CR125" i="37" s="1"/>
  <c r="CS125" i="37" s="1"/>
  <c r="CU125" i="37" s="1"/>
  <c r="BC127" i="37"/>
  <c r="BD127" i="37" s="1"/>
  <c r="BE127" i="37" s="1"/>
  <c r="BG127" i="37" s="1"/>
  <c r="DK128" i="37"/>
  <c r="DL128" i="37" s="1"/>
  <c r="DM128" i="37" s="1"/>
  <c r="DO128" i="37" s="1"/>
  <c r="BW130" i="37"/>
  <c r="BX130" i="37" s="1"/>
  <c r="BY130" i="37" s="1"/>
  <c r="CA130" i="37" s="1"/>
  <c r="EE131" i="37"/>
  <c r="EF131" i="37" s="1"/>
  <c r="EG131" i="37" s="1"/>
  <c r="EI131" i="37" s="1"/>
  <c r="CQ133" i="37"/>
  <c r="CR133" i="37" s="1"/>
  <c r="CS133" i="37" s="1"/>
  <c r="CU133" i="37" s="1"/>
  <c r="BC135" i="37"/>
  <c r="BD135" i="37" s="1"/>
  <c r="BE135" i="37" s="1"/>
  <c r="BG135" i="37" s="1"/>
  <c r="DK136" i="37"/>
  <c r="DL136" i="37" s="1"/>
  <c r="DM136" i="37" s="1"/>
  <c r="DO136" i="37" s="1"/>
  <c r="BW138" i="37"/>
  <c r="BX138" i="37" s="1"/>
  <c r="BY138" i="37" s="1"/>
  <c r="CA138" i="37" s="1"/>
  <c r="EE139" i="37"/>
  <c r="EF139" i="37" s="1"/>
  <c r="EG139" i="37" s="1"/>
  <c r="EI139" i="37" s="1"/>
  <c r="CQ141" i="37"/>
  <c r="CR141" i="37" s="1"/>
  <c r="CS141" i="37" s="1"/>
  <c r="CU141" i="37" s="1"/>
  <c r="BC143" i="37"/>
  <c r="BD143" i="37" s="1"/>
  <c r="BE143" i="37" s="1"/>
  <c r="BG143" i="37" s="1"/>
  <c r="DK144" i="37"/>
  <c r="DL144" i="37" s="1"/>
  <c r="DM144" i="37" s="1"/>
  <c r="DO144" i="37" s="1"/>
  <c r="BW146" i="37"/>
  <c r="BX146" i="37" s="1"/>
  <c r="BY146" i="37" s="1"/>
  <c r="CA146" i="37" s="1"/>
  <c r="EE147" i="37"/>
  <c r="EF147" i="37" s="1"/>
  <c r="EG147" i="37" s="1"/>
  <c r="EI147" i="37" s="1"/>
  <c r="CQ149" i="37"/>
  <c r="CR149" i="37" s="1"/>
  <c r="CS149" i="37" s="1"/>
  <c r="CU149" i="37" s="1"/>
  <c r="BC151" i="37"/>
  <c r="BD151" i="37" s="1"/>
  <c r="BE151" i="37" s="1"/>
  <c r="BG151" i="37" s="1"/>
  <c r="DK152" i="37"/>
  <c r="DL152" i="37" s="1"/>
  <c r="DM152" i="37" s="1"/>
  <c r="DO152" i="37" s="1"/>
  <c r="BW154" i="37"/>
  <c r="BX154" i="37" s="1"/>
  <c r="BY154" i="37" s="1"/>
  <c r="CA154" i="37" s="1"/>
  <c r="EE155" i="37"/>
  <c r="EF155" i="37" s="1"/>
  <c r="EG155" i="37" s="1"/>
  <c r="EI155" i="37" s="1"/>
  <c r="CG126" i="37"/>
  <c r="CH126" i="37" s="1"/>
  <c r="CI126" i="37" s="1"/>
  <c r="CK126" i="37" s="1"/>
  <c r="EO127" i="37"/>
  <c r="EP127" i="37" s="1"/>
  <c r="EQ127" i="37" s="1"/>
  <c r="ES127" i="37" s="1"/>
  <c r="DA129" i="37"/>
  <c r="DB129" i="37" s="1"/>
  <c r="DC129" i="37" s="1"/>
  <c r="DE129" i="37" s="1"/>
  <c r="BM131" i="37"/>
  <c r="BN131" i="37" s="1"/>
  <c r="BO131" i="37" s="1"/>
  <c r="BQ131" i="37" s="1"/>
  <c r="DU132" i="37"/>
  <c r="DV132" i="37" s="1"/>
  <c r="DW132" i="37" s="1"/>
  <c r="DY132" i="37" s="1"/>
  <c r="CG134" i="37"/>
  <c r="CH134" i="37" s="1"/>
  <c r="CI134" i="37" s="1"/>
  <c r="CK134" i="37" s="1"/>
  <c r="EO135" i="37"/>
  <c r="EP135" i="37" s="1"/>
  <c r="EQ135" i="37" s="1"/>
  <c r="ES135" i="37" s="1"/>
  <c r="DA137" i="37"/>
  <c r="DB137" i="37" s="1"/>
  <c r="DC137" i="37" s="1"/>
  <c r="DE137" i="37" s="1"/>
  <c r="BM139" i="37"/>
  <c r="BN139" i="37" s="1"/>
  <c r="BO139" i="37" s="1"/>
  <c r="BQ139" i="37" s="1"/>
  <c r="DU140" i="37"/>
  <c r="DV140" i="37" s="1"/>
  <c r="DW140" i="37" s="1"/>
  <c r="DY140" i="37" s="1"/>
  <c r="CG142" i="37"/>
  <c r="CH142" i="37" s="1"/>
  <c r="CI142" i="37" s="1"/>
  <c r="CK142" i="37" s="1"/>
  <c r="EO143" i="37"/>
  <c r="EP143" i="37" s="1"/>
  <c r="EQ143" i="37" s="1"/>
  <c r="ES143" i="37" s="1"/>
  <c r="DA145" i="37"/>
  <c r="DB145" i="37" s="1"/>
  <c r="DC145" i="37" s="1"/>
  <c r="DE145" i="37" s="1"/>
  <c r="BM147" i="37"/>
  <c r="BN147" i="37" s="1"/>
  <c r="BO147" i="37" s="1"/>
  <c r="BQ147" i="37" s="1"/>
  <c r="DU148" i="37"/>
  <c r="DV148" i="37" s="1"/>
  <c r="DW148" i="37" s="1"/>
  <c r="DY148" i="37" s="1"/>
  <c r="CG150" i="37"/>
  <c r="CH150" i="37" s="1"/>
  <c r="CI150" i="37" s="1"/>
  <c r="CK150" i="37" s="1"/>
  <c r="EO151" i="37"/>
  <c r="EP151" i="37" s="1"/>
  <c r="EQ151" i="37" s="1"/>
  <c r="ES151" i="37" s="1"/>
  <c r="DA153" i="37"/>
  <c r="DB153" i="37" s="1"/>
  <c r="DC153" i="37" s="1"/>
  <c r="DE153" i="37" s="1"/>
  <c r="BM155" i="37"/>
  <c r="BN155" i="37" s="1"/>
  <c r="BO155" i="37" s="1"/>
  <c r="BQ155" i="37" s="1"/>
  <c r="DK185" i="37"/>
  <c r="DL185" i="37" s="1"/>
  <c r="DM185" i="37" s="1"/>
  <c r="DO185" i="37" s="1"/>
  <c r="BW187" i="37"/>
  <c r="BX187" i="37" s="1"/>
  <c r="BY187" i="37" s="1"/>
  <c r="CA187" i="37" s="1"/>
  <c r="EE188" i="37"/>
  <c r="EF188" i="37" s="1"/>
  <c r="EG188" i="37" s="1"/>
  <c r="EI188" i="37" s="1"/>
  <c r="CQ190" i="37"/>
  <c r="CR190" i="37" s="1"/>
  <c r="CS190" i="37" s="1"/>
  <c r="CU190" i="37" s="1"/>
  <c r="BC192" i="37"/>
  <c r="BD192" i="37" s="1"/>
  <c r="BE192" i="37" s="1"/>
  <c r="BG192" i="37" s="1"/>
  <c r="BM186" i="37"/>
  <c r="BN186" i="37" s="1"/>
  <c r="BO186" i="37" s="1"/>
  <c r="BQ186" i="37" s="1"/>
  <c r="DU187" i="37"/>
  <c r="DV187" i="37" s="1"/>
  <c r="DW187" i="37" s="1"/>
  <c r="DY187" i="37" s="1"/>
  <c r="CG189" i="37"/>
  <c r="CH189" i="37" s="1"/>
  <c r="CI189" i="37" s="1"/>
  <c r="CK189" i="37" s="1"/>
  <c r="EO190" i="37"/>
  <c r="EP190" i="37" s="1"/>
  <c r="EQ190" i="37" s="1"/>
  <c r="ES190" i="37" s="1"/>
  <c r="DA192" i="37"/>
  <c r="DB192" i="37" s="1"/>
  <c r="DC192" i="37" s="1"/>
  <c r="DE192" i="37" s="1"/>
  <c r="DK222" i="37"/>
  <c r="DL222" i="37" s="1"/>
  <c r="DM222" i="37" s="1"/>
  <c r="DO222" i="37" s="1"/>
  <c r="BW224" i="37"/>
  <c r="BX224" i="37" s="1"/>
  <c r="BY224" i="37" s="1"/>
  <c r="CA224" i="37" s="1"/>
  <c r="EE225" i="37"/>
  <c r="EF225" i="37" s="1"/>
  <c r="EG225" i="37" s="1"/>
  <c r="EI225" i="37" s="1"/>
  <c r="CQ227" i="37"/>
  <c r="CR227" i="37" s="1"/>
  <c r="CS227" i="37" s="1"/>
  <c r="CU227" i="37" s="1"/>
  <c r="BC229" i="37"/>
  <c r="BD229" i="37" s="1"/>
  <c r="BE229" i="37" s="1"/>
  <c r="BG229" i="37" s="1"/>
  <c r="DK230" i="37"/>
  <c r="DL230" i="37" s="1"/>
  <c r="DM230" i="37" s="1"/>
  <c r="DO230" i="37" s="1"/>
  <c r="BW232" i="37"/>
  <c r="BX232" i="37" s="1"/>
  <c r="BY232" i="37" s="1"/>
  <c r="CA232" i="37" s="1"/>
  <c r="EE233" i="37"/>
  <c r="EF233" i="37" s="1"/>
  <c r="EG233" i="37" s="1"/>
  <c r="EI233" i="37" s="1"/>
  <c r="CQ235" i="37"/>
  <c r="CR235" i="37" s="1"/>
  <c r="CS235" i="37" s="1"/>
  <c r="CU235" i="37" s="1"/>
  <c r="BC237" i="37"/>
  <c r="BD237" i="37" s="1"/>
  <c r="BE237" i="37" s="1"/>
  <c r="BG237" i="37" s="1"/>
  <c r="DK238" i="37"/>
  <c r="DL238" i="37" s="1"/>
  <c r="DM238" i="37" s="1"/>
  <c r="DO238" i="37" s="1"/>
  <c r="BW240" i="37"/>
  <c r="BX240" i="37" s="1"/>
  <c r="BY240" i="37" s="1"/>
  <c r="CA240" i="37" s="1"/>
  <c r="EE241" i="37"/>
  <c r="EF241" i="37" s="1"/>
  <c r="EG241" i="37" s="1"/>
  <c r="EI241" i="37" s="1"/>
  <c r="CQ243" i="37"/>
  <c r="CR243" i="37" s="1"/>
  <c r="CS243" i="37" s="1"/>
  <c r="CU243" i="37" s="1"/>
  <c r="BC245" i="37"/>
  <c r="BD245" i="37" s="1"/>
  <c r="BE245" i="37" s="1"/>
  <c r="BG245" i="37" s="1"/>
  <c r="DK246" i="37"/>
  <c r="DL246" i="37" s="1"/>
  <c r="DM246" i="37" s="1"/>
  <c r="DO246" i="37" s="1"/>
  <c r="BW248" i="37"/>
  <c r="BX248" i="37" s="1"/>
  <c r="BY248" i="37" s="1"/>
  <c r="CA248" i="37" s="1"/>
  <c r="EE249" i="37"/>
  <c r="EF249" i="37" s="1"/>
  <c r="EG249" i="37" s="1"/>
  <c r="EI249" i="37" s="1"/>
  <c r="CQ251" i="37"/>
  <c r="CR251" i="37" s="1"/>
  <c r="CS251" i="37" s="1"/>
  <c r="CU251" i="37" s="1"/>
  <c r="BC253" i="37"/>
  <c r="BD253" i="37" s="1"/>
  <c r="BE253" i="37" s="1"/>
  <c r="BG253" i="37" s="1"/>
  <c r="DK254" i="37"/>
  <c r="DL254" i="37" s="1"/>
  <c r="DM254" i="37" s="1"/>
  <c r="DO254" i="37" s="1"/>
  <c r="BW256" i="37"/>
  <c r="BX256" i="37" s="1"/>
  <c r="BY256" i="37" s="1"/>
  <c r="CA256" i="37" s="1"/>
  <c r="EE257" i="37"/>
  <c r="EF257" i="37" s="1"/>
  <c r="EG257" i="37" s="1"/>
  <c r="EI257" i="37" s="1"/>
  <c r="CQ259" i="37"/>
  <c r="CR259" i="37" s="1"/>
  <c r="CS259" i="37" s="1"/>
  <c r="CU259" i="37" s="1"/>
  <c r="BC261" i="37"/>
  <c r="BD261" i="37" s="1"/>
  <c r="BE261" i="37" s="1"/>
  <c r="BG261" i="37" s="1"/>
  <c r="EO221" i="37"/>
  <c r="EP221" i="37" s="1"/>
  <c r="EQ221" i="37" s="1"/>
  <c r="ES221" i="37" s="1"/>
  <c r="DA223" i="37"/>
  <c r="DB223" i="37" s="1"/>
  <c r="DC223" i="37" s="1"/>
  <c r="DE223" i="37" s="1"/>
  <c r="BM225" i="37"/>
  <c r="BN225" i="37" s="1"/>
  <c r="BO225" i="37" s="1"/>
  <c r="BQ225" i="37" s="1"/>
  <c r="DU226" i="37"/>
  <c r="DV226" i="37" s="1"/>
  <c r="DW226" i="37" s="1"/>
  <c r="DY226" i="37" s="1"/>
  <c r="CG228" i="37"/>
  <c r="CH228" i="37" s="1"/>
  <c r="CI228" i="37" s="1"/>
  <c r="CK228" i="37" s="1"/>
  <c r="EO229" i="37"/>
  <c r="EP229" i="37" s="1"/>
  <c r="EQ229" i="37" s="1"/>
  <c r="ES229" i="37" s="1"/>
  <c r="DA231" i="37"/>
  <c r="DB231" i="37" s="1"/>
  <c r="DC231" i="37" s="1"/>
  <c r="DE231" i="37" s="1"/>
  <c r="BM233" i="37"/>
  <c r="BN233" i="37" s="1"/>
  <c r="BO233" i="37" s="1"/>
  <c r="BQ233" i="37" s="1"/>
  <c r="DU234" i="37"/>
  <c r="DV234" i="37" s="1"/>
  <c r="DW234" i="37" s="1"/>
  <c r="DY234" i="37" s="1"/>
  <c r="CG236" i="37"/>
  <c r="CH236" i="37" s="1"/>
  <c r="CI236" i="37" s="1"/>
  <c r="CK236" i="37" s="1"/>
  <c r="EO237" i="37"/>
  <c r="EP237" i="37" s="1"/>
  <c r="EQ237" i="37" s="1"/>
  <c r="ES237" i="37" s="1"/>
  <c r="DA239" i="37"/>
  <c r="DB239" i="37" s="1"/>
  <c r="DC239" i="37" s="1"/>
  <c r="DE239" i="37" s="1"/>
  <c r="BM241" i="37"/>
  <c r="BN241" i="37" s="1"/>
  <c r="BO241" i="37" s="1"/>
  <c r="BQ241" i="37" s="1"/>
  <c r="DU242" i="37"/>
  <c r="DV242" i="37" s="1"/>
  <c r="DW242" i="37" s="1"/>
  <c r="DY242" i="37" s="1"/>
  <c r="CG244" i="37"/>
  <c r="CH244" i="37" s="1"/>
  <c r="CI244" i="37" s="1"/>
  <c r="CK244" i="37" s="1"/>
  <c r="EO245" i="37"/>
  <c r="EP245" i="37" s="1"/>
  <c r="EQ245" i="37" s="1"/>
  <c r="ES245" i="37" s="1"/>
  <c r="DA247" i="37"/>
  <c r="DB247" i="37" s="1"/>
  <c r="DC247" i="37" s="1"/>
  <c r="DE247" i="37" s="1"/>
  <c r="BM249" i="37"/>
  <c r="BN249" i="37" s="1"/>
  <c r="BO249" i="37" s="1"/>
  <c r="BQ249" i="37" s="1"/>
  <c r="DU250" i="37"/>
  <c r="DV250" i="37" s="1"/>
  <c r="DW250" i="37" s="1"/>
  <c r="DY250" i="37" s="1"/>
  <c r="CG252" i="37"/>
  <c r="CH252" i="37" s="1"/>
  <c r="CI252" i="37" s="1"/>
  <c r="CK252" i="37" s="1"/>
  <c r="EO253" i="37"/>
  <c r="EP253" i="37" s="1"/>
  <c r="EQ253" i="37" s="1"/>
  <c r="ES253" i="37" s="1"/>
  <c r="DA255" i="37"/>
  <c r="DB255" i="37" s="1"/>
  <c r="DC255" i="37" s="1"/>
  <c r="DE255" i="37" s="1"/>
  <c r="BM257" i="37"/>
  <c r="BN257" i="37" s="1"/>
  <c r="BO257" i="37" s="1"/>
  <c r="BQ257" i="37" s="1"/>
  <c r="DU258" i="37"/>
  <c r="DV258" i="37" s="1"/>
  <c r="DW258" i="37" s="1"/>
  <c r="DY258" i="37" s="1"/>
  <c r="CG260" i="37"/>
  <c r="CH260" i="37" s="1"/>
  <c r="CI260" i="37" s="1"/>
  <c r="CK260" i="37" s="1"/>
  <c r="DA261" i="37"/>
  <c r="DB261" i="37" s="1"/>
  <c r="DC261" i="37" s="1"/>
  <c r="DE261" i="37" s="1"/>
  <c r="CQ10" i="38"/>
  <c r="CR10" i="38" s="1"/>
  <c r="CS10" i="38" s="1"/>
  <c r="CU10" i="38" s="1"/>
  <c r="BC12" i="38"/>
  <c r="BD12" i="38" s="1"/>
  <c r="BE12" i="38" s="1"/>
  <c r="BG12" i="38" s="1"/>
  <c r="EO13" i="38"/>
  <c r="EP13" i="38" s="1"/>
  <c r="EQ13" i="38" s="1"/>
  <c r="ES13" i="38" s="1"/>
  <c r="DA15" i="38"/>
  <c r="DB15" i="38" s="1"/>
  <c r="DC15" i="38" s="1"/>
  <c r="DE15" i="38" s="1"/>
  <c r="BM17" i="38"/>
  <c r="BN17" i="38" s="1"/>
  <c r="BO17" i="38" s="1"/>
  <c r="BQ17" i="38" s="1"/>
  <c r="BC11" i="38"/>
  <c r="BD11" i="38" s="1"/>
  <c r="BE11" i="38" s="1"/>
  <c r="BG11" i="38" s="1"/>
  <c r="EO18" i="38"/>
  <c r="EP18" i="38" s="1"/>
  <c r="EQ18" i="38" s="1"/>
  <c r="ES18" i="38" s="1"/>
  <c r="DA20" i="38"/>
  <c r="DB20" i="38" s="1"/>
  <c r="DC20" i="38" s="1"/>
  <c r="DE20" i="38" s="1"/>
  <c r="BM22" i="38"/>
  <c r="BN22" i="38" s="1"/>
  <c r="BO22" i="38" s="1"/>
  <c r="BQ22" i="38" s="1"/>
  <c r="DU23" i="38"/>
  <c r="DV23" i="38" s="1"/>
  <c r="DW23" i="38" s="1"/>
  <c r="DY23" i="38" s="1"/>
  <c r="CG25" i="38"/>
  <c r="CH25" i="38" s="1"/>
  <c r="CI25" i="38" s="1"/>
  <c r="CK25" i="38" s="1"/>
  <c r="EO26" i="38"/>
  <c r="EP26" i="38" s="1"/>
  <c r="EQ26" i="38" s="1"/>
  <c r="ES26" i="38" s="1"/>
  <c r="DA28" i="38"/>
  <c r="DB28" i="38" s="1"/>
  <c r="DC28" i="38" s="1"/>
  <c r="DE28" i="38" s="1"/>
  <c r="CQ11" i="38"/>
  <c r="CR11" i="38" s="1"/>
  <c r="CS11" i="38" s="1"/>
  <c r="CU11" i="38" s="1"/>
  <c r="CG13" i="38"/>
  <c r="CH13" i="38" s="1"/>
  <c r="CI13" i="38" s="1"/>
  <c r="CK13" i="38" s="1"/>
  <c r="EO14" i="38"/>
  <c r="EP14" i="38" s="1"/>
  <c r="EQ14" i="38" s="1"/>
  <c r="ES14" i="38" s="1"/>
  <c r="DA16" i="38"/>
  <c r="DB16" i="38" s="1"/>
  <c r="DC16" i="38" s="1"/>
  <c r="DE16" i="38" s="1"/>
  <c r="EO17" i="38"/>
  <c r="EP17" i="38" s="1"/>
  <c r="EQ17" i="38" s="1"/>
  <c r="ES17" i="38" s="1"/>
  <c r="DA19" i="38"/>
  <c r="DB19" i="38" s="1"/>
  <c r="DC19" i="38" s="1"/>
  <c r="DE19" i="38" s="1"/>
  <c r="BM21" i="38"/>
  <c r="BN21" i="38" s="1"/>
  <c r="BO21" i="38" s="1"/>
  <c r="BQ21" i="38" s="1"/>
  <c r="DU22" i="38"/>
  <c r="DV22" i="38" s="1"/>
  <c r="DW22" i="38" s="1"/>
  <c r="DY22" i="38" s="1"/>
  <c r="BW30" i="38"/>
  <c r="BX30" i="38" s="1"/>
  <c r="BY30" i="38" s="1"/>
  <c r="CA30" i="38" s="1"/>
  <c r="EE31" i="38"/>
  <c r="EF31" i="38" s="1"/>
  <c r="EG31" i="38" s="1"/>
  <c r="EI31" i="38" s="1"/>
  <c r="CQ33" i="38"/>
  <c r="CR33" i="38" s="1"/>
  <c r="CS33" i="38" s="1"/>
  <c r="CU33" i="38" s="1"/>
  <c r="BC35" i="38"/>
  <c r="BD35" i="38" s="1"/>
  <c r="BE35" i="38" s="1"/>
  <c r="BG35" i="38" s="1"/>
  <c r="DK36" i="38"/>
  <c r="DL36" i="38" s="1"/>
  <c r="DM36" i="38" s="1"/>
  <c r="DO36" i="38" s="1"/>
  <c r="BW38" i="38"/>
  <c r="BX38" i="38" s="1"/>
  <c r="BY38" i="38" s="1"/>
  <c r="CA38" i="38" s="1"/>
  <c r="EE39" i="38"/>
  <c r="EF39" i="38" s="1"/>
  <c r="EG39" i="38" s="1"/>
  <c r="EI39" i="38" s="1"/>
  <c r="CQ41" i="38"/>
  <c r="CR41" i="38" s="1"/>
  <c r="CS41" i="38" s="1"/>
  <c r="CU41" i="38" s="1"/>
  <c r="BC43" i="38"/>
  <c r="BD43" i="38" s="1"/>
  <c r="BE43" i="38" s="1"/>
  <c r="BG43" i="38" s="1"/>
  <c r="DK44" i="38"/>
  <c r="DL44" i="38" s="1"/>
  <c r="DM44" i="38" s="1"/>
  <c r="DO44" i="38" s="1"/>
  <c r="BW46" i="38"/>
  <c r="BX46" i="38" s="1"/>
  <c r="BY46" i="38" s="1"/>
  <c r="CA46" i="38" s="1"/>
  <c r="EE47" i="38"/>
  <c r="EF47" i="38" s="1"/>
  <c r="EG47" i="38" s="1"/>
  <c r="EI47" i="38" s="1"/>
  <c r="CQ49" i="38"/>
  <c r="CR49" i="38" s="1"/>
  <c r="CS49" i="38" s="1"/>
  <c r="CU49" i="38" s="1"/>
  <c r="DA23" i="38"/>
  <c r="DB23" i="38" s="1"/>
  <c r="DC23" i="38" s="1"/>
  <c r="DE23" i="38" s="1"/>
  <c r="BM25" i="38"/>
  <c r="BN25" i="38" s="1"/>
  <c r="BO25" i="38" s="1"/>
  <c r="BQ25" i="38" s="1"/>
  <c r="DU26" i="38"/>
  <c r="DV26" i="38" s="1"/>
  <c r="DW26" i="38" s="1"/>
  <c r="DY26" i="38" s="1"/>
  <c r="CG28" i="38"/>
  <c r="CH28" i="38" s="1"/>
  <c r="CI28" i="38" s="1"/>
  <c r="CK28" i="38" s="1"/>
  <c r="BC30" i="38"/>
  <c r="BD30" i="38" s="1"/>
  <c r="BE30" i="38" s="1"/>
  <c r="BG30" i="38" s="1"/>
  <c r="DK31" i="38"/>
  <c r="DL31" i="38" s="1"/>
  <c r="DM31" i="38" s="1"/>
  <c r="DO31" i="38" s="1"/>
  <c r="BW33" i="38"/>
  <c r="BX33" i="38" s="1"/>
  <c r="BY33" i="38" s="1"/>
  <c r="CA33" i="38" s="1"/>
  <c r="EE34" i="38"/>
  <c r="EF34" i="38" s="1"/>
  <c r="EG34" i="38" s="1"/>
  <c r="EI34" i="38" s="1"/>
  <c r="CQ36" i="38"/>
  <c r="CR36" i="38" s="1"/>
  <c r="CS36" i="38" s="1"/>
  <c r="CU36" i="38" s="1"/>
  <c r="BC38" i="38"/>
  <c r="BD38" i="38" s="1"/>
  <c r="BE38" i="38" s="1"/>
  <c r="BG38" i="38" s="1"/>
  <c r="DK39" i="38"/>
  <c r="DL39" i="38" s="1"/>
  <c r="DM39" i="38" s="1"/>
  <c r="DO39" i="38" s="1"/>
  <c r="BW41" i="38"/>
  <c r="BX41" i="38" s="1"/>
  <c r="BY41" i="38" s="1"/>
  <c r="CA41" i="38" s="1"/>
  <c r="EE42" i="38"/>
  <c r="EF42" i="38" s="1"/>
  <c r="EG42" i="38" s="1"/>
  <c r="EI42" i="38" s="1"/>
  <c r="CQ44" i="38"/>
  <c r="CR44" i="38" s="1"/>
  <c r="CS44" i="38" s="1"/>
  <c r="CU44" i="38" s="1"/>
  <c r="BC46" i="38"/>
  <c r="BD46" i="38" s="1"/>
  <c r="BE46" i="38" s="1"/>
  <c r="BG46" i="38" s="1"/>
  <c r="DK47" i="38"/>
  <c r="DL47" i="38" s="1"/>
  <c r="DM47" i="38" s="1"/>
  <c r="DO47" i="38" s="1"/>
  <c r="BC50" i="38"/>
  <c r="BD50" i="38" s="1"/>
  <c r="BE50" i="38" s="1"/>
  <c r="BG50" i="38" s="1"/>
  <c r="BM53" i="38"/>
  <c r="BN53" i="38" s="1"/>
  <c r="BO53" i="38" s="1"/>
  <c r="BQ53" i="38" s="1"/>
  <c r="CG53" i="38"/>
  <c r="CH53" i="38" s="1"/>
  <c r="CI53" i="38" s="1"/>
  <c r="CK53" i="38" s="1"/>
  <c r="DA56" i="38"/>
  <c r="DB56" i="38" s="1"/>
  <c r="DC56" i="38" s="1"/>
  <c r="DE56" i="38" s="1"/>
  <c r="DU59" i="38"/>
  <c r="DV59" i="38" s="1"/>
  <c r="DW59" i="38" s="1"/>
  <c r="DY59" i="38" s="1"/>
  <c r="CG56" i="38"/>
  <c r="CH56" i="38" s="1"/>
  <c r="CI56" i="38" s="1"/>
  <c r="CK56" i="38" s="1"/>
  <c r="DA59" i="38"/>
  <c r="DB59" i="38" s="1"/>
  <c r="DC59" i="38" s="1"/>
  <c r="DE59" i="38" s="1"/>
  <c r="BW61" i="38"/>
  <c r="BX61" i="38" s="1"/>
  <c r="BY61" i="38" s="1"/>
  <c r="CA61" i="38" s="1"/>
  <c r="BC80" i="38"/>
  <c r="BD80" i="38" s="1"/>
  <c r="BE80" i="38" s="1"/>
  <c r="BG80" i="38" s="1"/>
  <c r="BW83" i="38"/>
  <c r="BX83" i="38" s="1"/>
  <c r="BY83" i="38" s="1"/>
  <c r="CA83" i="38" s="1"/>
  <c r="CQ86" i="38"/>
  <c r="CR86" i="38" s="1"/>
  <c r="CS86" i="38" s="1"/>
  <c r="CU86" i="38" s="1"/>
  <c r="DK89" i="38"/>
  <c r="DL89" i="38" s="1"/>
  <c r="DM89" i="38" s="1"/>
  <c r="DO89" i="38" s="1"/>
  <c r="EE92" i="38"/>
  <c r="EF92" i="38" s="1"/>
  <c r="EG92" i="38" s="1"/>
  <c r="EI92" i="38" s="1"/>
  <c r="BC96" i="38"/>
  <c r="BD96" i="38" s="1"/>
  <c r="BE96" i="38" s="1"/>
  <c r="BG96" i="38" s="1"/>
  <c r="BW78" i="38"/>
  <c r="BX78" i="38" s="1"/>
  <c r="BY78" i="38" s="1"/>
  <c r="CA78" i="38" s="1"/>
  <c r="CQ81" i="38"/>
  <c r="CR81" i="38" s="1"/>
  <c r="CS81" i="38" s="1"/>
  <c r="CU81" i="38" s="1"/>
  <c r="DK84" i="38"/>
  <c r="DL84" i="38" s="1"/>
  <c r="DM84" i="38" s="1"/>
  <c r="DO84" i="38" s="1"/>
  <c r="EE87" i="38"/>
  <c r="EF87" i="38" s="1"/>
  <c r="EG87" i="38" s="1"/>
  <c r="EI87" i="38" s="1"/>
  <c r="BC91" i="38"/>
  <c r="BD91" i="38" s="1"/>
  <c r="BE91" i="38" s="1"/>
  <c r="BG91" i="38" s="1"/>
  <c r="BW94" i="38"/>
  <c r="BX94" i="38" s="1"/>
  <c r="BY94" i="38" s="1"/>
  <c r="CA94" i="38" s="1"/>
  <c r="CQ97" i="38"/>
  <c r="CR97" i="38" s="1"/>
  <c r="CS97" i="38" s="1"/>
  <c r="CU97" i="38" s="1"/>
  <c r="EO154" i="38"/>
  <c r="EP154" i="38" s="1"/>
  <c r="EQ154" i="38" s="1"/>
  <c r="ES154" i="38" s="1"/>
  <c r="BM158" i="38"/>
  <c r="BN158" i="38" s="1"/>
  <c r="BO158" i="38" s="1"/>
  <c r="BQ158" i="38" s="1"/>
  <c r="CG161" i="38"/>
  <c r="CH161" i="38" s="1"/>
  <c r="CI161" i="38" s="1"/>
  <c r="CK161" i="38" s="1"/>
  <c r="DA164" i="38"/>
  <c r="DB164" i="38" s="1"/>
  <c r="DC164" i="38" s="1"/>
  <c r="DE164" i="38" s="1"/>
  <c r="DU167" i="38"/>
  <c r="DV167" i="38" s="1"/>
  <c r="DW167" i="38" s="1"/>
  <c r="DY167" i="38" s="1"/>
  <c r="BM155" i="38"/>
  <c r="BN155" i="38" s="1"/>
  <c r="BO155" i="38" s="1"/>
  <c r="BQ155" i="38" s="1"/>
  <c r="CG158" i="38"/>
  <c r="CH158" i="38" s="1"/>
  <c r="CI158" i="38" s="1"/>
  <c r="CK158" i="38" s="1"/>
  <c r="DA161" i="38"/>
  <c r="DB161" i="38" s="1"/>
  <c r="DC161" i="38" s="1"/>
  <c r="DE161" i="38" s="1"/>
  <c r="DU164" i="38"/>
  <c r="DV164" i="38" s="1"/>
  <c r="DW164" i="38" s="1"/>
  <c r="DY164" i="38" s="1"/>
  <c r="EO167" i="38"/>
  <c r="EP167" i="38" s="1"/>
  <c r="EQ167" i="38" s="1"/>
  <c r="ES167" i="38" s="1"/>
  <c r="CQ14" i="37"/>
  <c r="CR14" i="37" s="1"/>
  <c r="CS14" i="37" s="1"/>
  <c r="CU14" i="37" s="1"/>
  <c r="BC16" i="37"/>
  <c r="BD16" i="37" s="1"/>
  <c r="BE16" i="37" s="1"/>
  <c r="BG16" i="37" s="1"/>
  <c r="DK17" i="37"/>
  <c r="DL17" i="37" s="1"/>
  <c r="DM17" i="37" s="1"/>
  <c r="DO17" i="37" s="1"/>
  <c r="BW19" i="37"/>
  <c r="BX19" i="37" s="1"/>
  <c r="BY19" i="37" s="1"/>
  <c r="CA19" i="37" s="1"/>
  <c r="EE20" i="37"/>
  <c r="EF20" i="37" s="1"/>
  <c r="EG20" i="37" s="1"/>
  <c r="EI20" i="37" s="1"/>
  <c r="CQ22" i="37"/>
  <c r="CR22" i="37" s="1"/>
  <c r="CS22" i="37" s="1"/>
  <c r="CU22" i="37" s="1"/>
  <c r="BC24" i="37"/>
  <c r="BD24" i="37" s="1"/>
  <c r="BE24" i="37" s="1"/>
  <c r="BG24" i="37" s="1"/>
  <c r="DK25" i="37"/>
  <c r="DL25" i="37" s="1"/>
  <c r="DM25" i="37" s="1"/>
  <c r="DO25" i="37" s="1"/>
  <c r="BW27" i="37"/>
  <c r="BX27" i="37" s="1"/>
  <c r="BY27" i="37" s="1"/>
  <c r="CA27" i="37" s="1"/>
  <c r="DA15" i="37"/>
  <c r="DB15" i="37" s="1"/>
  <c r="DC15" i="37" s="1"/>
  <c r="DE15" i="37" s="1"/>
  <c r="BM17" i="37"/>
  <c r="BN17" i="37" s="1"/>
  <c r="BO17" i="37" s="1"/>
  <c r="BQ17" i="37" s="1"/>
  <c r="DU18" i="37"/>
  <c r="DV18" i="37" s="1"/>
  <c r="DW18" i="37" s="1"/>
  <c r="DY18" i="37" s="1"/>
  <c r="CG20" i="37"/>
  <c r="CH20" i="37" s="1"/>
  <c r="CI20" i="37" s="1"/>
  <c r="CK20" i="37" s="1"/>
  <c r="EO21" i="37"/>
  <c r="EP21" i="37" s="1"/>
  <c r="EQ21" i="37" s="1"/>
  <c r="ES21" i="37" s="1"/>
  <c r="DA23" i="37"/>
  <c r="DB23" i="37" s="1"/>
  <c r="DC23" i="37" s="1"/>
  <c r="DE23" i="37" s="1"/>
  <c r="BM25" i="37"/>
  <c r="BN25" i="37" s="1"/>
  <c r="BO25" i="37" s="1"/>
  <c r="BQ25" i="37" s="1"/>
  <c r="DU26" i="37"/>
  <c r="DV26" i="37" s="1"/>
  <c r="DW26" i="37" s="1"/>
  <c r="DY26" i="37" s="1"/>
  <c r="CG28" i="37"/>
  <c r="CH28" i="37" s="1"/>
  <c r="CI28" i="37" s="1"/>
  <c r="CK28" i="37" s="1"/>
  <c r="EO29" i="37"/>
  <c r="EP29" i="37" s="1"/>
  <c r="EQ29" i="37" s="1"/>
  <c r="ES29" i="37" s="1"/>
  <c r="DA31" i="37"/>
  <c r="DB31" i="37" s="1"/>
  <c r="DC31" i="37" s="1"/>
  <c r="DE31" i="37" s="1"/>
  <c r="BM33" i="37"/>
  <c r="BN33" i="37" s="1"/>
  <c r="BO33" i="37" s="1"/>
  <c r="BQ33" i="37" s="1"/>
  <c r="DU34" i="37"/>
  <c r="DV34" i="37" s="1"/>
  <c r="DW34" i="37" s="1"/>
  <c r="DY34" i="37" s="1"/>
  <c r="EE27" i="37"/>
  <c r="EF27" i="37" s="1"/>
  <c r="EG27" i="37" s="1"/>
  <c r="EI27" i="37" s="1"/>
  <c r="CQ29" i="37"/>
  <c r="CR29" i="37" s="1"/>
  <c r="CS29" i="37" s="1"/>
  <c r="CU29" i="37" s="1"/>
  <c r="BC31" i="37"/>
  <c r="BD31" i="37" s="1"/>
  <c r="BE31" i="37" s="1"/>
  <c r="BG31" i="37" s="1"/>
  <c r="DK32" i="37"/>
  <c r="DL32" i="37" s="1"/>
  <c r="DM32" i="37" s="1"/>
  <c r="DO32" i="37" s="1"/>
  <c r="BW34" i="37"/>
  <c r="BX34" i="37" s="1"/>
  <c r="BY34" i="37" s="1"/>
  <c r="CA34" i="37" s="1"/>
  <c r="EE35" i="37"/>
  <c r="EF35" i="37" s="1"/>
  <c r="EG35" i="37" s="1"/>
  <c r="EI35" i="37" s="1"/>
  <c r="EE126" i="37"/>
  <c r="EF126" i="37" s="1"/>
  <c r="EG126" i="37" s="1"/>
  <c r="EI126" i="37" s="1"/>
  <c r="CQ128" i="37"/>
  <c r="CR128" i="37" s="1"/>
  <c r="CS128" i="37" s="1"/>
  <c r="CU128" i="37" s="1"/>
  <c r="BC130" i="37"/>
  <c r="BD130" i="37" s="1"/>
  <c r="BE130" i="37" s="1"/>
  <c r="BG130" i="37" s="1"/>
  <c r="DK131" i="37"/>
  <c r="DL131" i="37" s="1"/>
  <c r="DM131" i="37" s="1"/>
  <c r="DO131" i="37" s="1"/>
  <c r="BW133" i="37"/>
  <c r="BX133" i="37" s="1"/>
  <c r="BY133" i="37" s="1"/>
  <c r="CA133" i="37" s="1"/>
  <c r="EE134" i="37"/>
  <c r="EF134" i="37" s="1"/>
  <c r="EG134" i="37" s="1"/>
  <c r="EI134" i="37" s="1"/>
  <c r="CQ136" i="37"/>
  <c r="CR136" i="37" s="1"/>
  <c r="CS136" i="37" s="1"/>
  <c r="CU136" i="37" s="1"/>
  <c r="BC138" i="37"/>
  <c r="BD138" i="37" s="1"/>
  <c r="BE138" i="37" s="1"/>
  <c r="BG138" i="37" s="1"/>
  <c r="DK139" i="37"/>
  <c r="DL139" i="37" s="1"/>
  <c r="DM139" i="37" s="1"/>
  <c r="DO139" i="37" s="1"/>
  <c r="BW141" i="37"/>
  <c r="BX141" i="37" s="1"/>
  <c r="BY141" i="37" s="1"/>
  <c r="CA141" i="37" s="1"/>
  <c r="EE142" i="37"/>
  <c r="EF142" i="37" s="1"/>
  <c r="EG142" i="37" s="1"/>
  <c r="EI142" i="37" s="1"/>
  <c r="CQ144" i="37"/>
  <c r="CR144" i="37" s="1"/>
  <c r="CS144" i="37" s="1"/>
  <c r="CU144" i="37" s="1"/>
  <c r="BC146" i="37"/>
  <c r="BD146" i="37" s="1"/>
  <c r="BE146" i="37" s="1"/>
  <c r="BG146" i="37" s="1"/>
  <c r="DK147" i="37"/>
  <c r="DL147" i="37" s="1"/>
  <c r="DM147" i="37" s="1"/>
  <c r="DO147" i="37" s="1"/>
  <c r="BW149" i="37"/>
  <c r="BX149" i="37" s="1"/>
  <c r="BY149" i="37" s="1"/>
  <c r="CA149" i="37" s="1"/>
  <c r="EE150" i="37"/>
  <c r="EF150" i="37" s="1"/>
  <c r="EG150" i="37" s="1"/>
  <c r="EI150" i="37" s="1"/>
  <c r="CQ152" i="37"/>
  <c r="CR152" i="37" s="1"/>
  <c r="CS152" i="37" s="1"/>
  <c r="CU152" i="37" s="1"/>
  <c r="BC154" i="37"/>
  <c r="BD154" i="37" s="1"/>
  <c r="BE154" i="37" s="1"/>
  <c r="BG154" i="37" s="1"/>
  <c r="DK155" i="37"/>
  <c r="DL155" i="37" s="1"/>
  <c r="DM155" i="37" s="1"/>
  <c r="DO155" i="37" s="1"/>
  <c r="BM126" i="37"/>
  <c r="BN126" i="37" s="1"/>
  <c r="BO126" i="37" s="1"/>
  <c r="BQ126" i="37" s="1"/>
  <c r="DU127" i="37"/>
  <c r="DV127" i="37" s="1"/>
  <c r="DW127" i="37" s="1"/>
  <c r="DY127" i="37" s="1"/>
  <c r="CG129" i="37"/>
  <c r="CH129" i="37" s="1"/>
  <c r="CI129" i="37" s="1"/>
  <c r="CK129" i="37" s="1"/>
  <c r="EO130" i="37"/>
  <c r="EP130" i="37" s="1"/>
  <c r="EQ130" i="37" s="1"/>
  <c r="ES130" i="37" s="1"/>
  <c r="DA132" i="37"/>
  <c r="DB132" i="37" s="1"/>
  <c r="DC132" i="37" s="1"/>
  <c r="DE132" i="37" s="1"/>
  <c r="BM134" i="37"/>
  <c r="BN134" i="37" s="1"/>
  <c r="BO134" i="37" s="1"/>
  <c r="BQ134" i="37" s="1"/>
  <c r="DU135" i="37"/>
  <c r="DV135" i="37" s="1"/>
  <c r="DW135" i="37" s="1"/>
  <c r="DY135" i="37" s="1"/>
  <c r="CG137" i="37"/>
  <c r="CH137" i="37" s="1"/>
  <c r="CI137" i="37" s="1"/>
  <c r="CK137" i="37" s="1"/>
  <c r="EO138" i="37"/>
  <c r="EP138" i="37" s="1"/>
  <c r="EQ138" i="37" s="1"/>
  <c r="ES138" i="37" s="1"/>
  <c r="DA140" i="37"/>
  <c r="DB140" i="37" s="1"/>
  <c r="DC140" i="37" s="1"/>
  <c r="DE140" i="37" s="1"/>
  <c r="BM142" i="37"/>
  <c r="BN142" i="37" s="1"/>
  <c r="BO142" i="37" s="1"/>
  <c r="BQ142" i="37" s="1"/>
  <c r="DU143" i="37"/>
  <c r="DV143" i="37" s="1"/>
  <c r="DW143" i="37" s="1"/>
  <c r="DY143" i="37" s="1"/>
  <c r="CG145" i="37"/>
  <c r="CH145" i="37" s="1"/>
  <c r="CI145" i="37" s="1"/>
  <c r="CK145" i="37" s="1"/>
  <c r="EO146" i="37"/>
  <c r="EP146" i="37" s="1"/>
  <c r="EQ146" i="37" s="1"/>
  <c r="ES146" i="37" s="1"/>
  <c r="DA148" i="37"/>
  <c r="DB148" i="37" s="1"/>
  <c r="DC148" i="37" s="1"/>
  <c r="DE148" i="37" s="1"/>
  <c r="BM150" i="37"/>
  <c r="BN150" i="37" s="1"/>
  <c r="BO150" i="37" s="1"/>
  <c r="BQ150" i="37" s="1"/>
  <c r="DU151" i="37"/>
  <c r="DV151" i="37" s="1"/>
  <c r="DW151" i="37" s="1"/>
  <c r="DY151" i="37" s="1"/>
  <c r="CG153" i="37"/>
  <c r="CH153" i="37" s="1"/>
  <c r="CI153" i="37" s="1"/>
  <c r="CK153" i="37" s="1"/>
  <c r="EO154" i="37"/>
  <c r="EP154" i="37" s="1"/>
  <c r="EQ154" i="37" s="1"/>
  <c r="ES154" i="37" s="1"/>
  <c r="CQ185" i="37"/>
  <c r="CR185" i="37" s="1"/>
  <c r="CS185" i="37" s="1"/>
  <c r="CU185" i="37" s="1"/>
  <c r="BC187" i="37"/>
  <c r="BD187" i="37" s="1"/>
  <c r="BE187" i="37" s="1"/>
  <c r="BG187" i="37" s="1"/>
  <c r="DK188" i="37"/>
  <c r="DL188" i="37" s="1"/>
  <c r="DM188" i="37" s="1"/>
  <c r="DO188" i="37" s="1"/>
  <c r="BW190" i="37"/>
  <c r="BX190" i="37" s="1"/>
  <c r="BY190" i="37" s="1"/>
  <c r="CA190" i="37" s="1"/>
  <c r="EE191" i="37"/>
  <c r="EF191" i="37" s="1"/>
  <c r="EG191" i="37" s="1"/>
  <c r="EI191" i="37" s="1"/>
  <c r="EO185" i="37"/>
  <c r="EP185" i="37" s="1"/>
  <c r="EQ185" i="37" s="1"/>
  <c r="ES185" i="37" s="1"/>
  <c r="DA187" i="37"/>
  <c r="DB187" i="37" s="1"/>
  <c r="DC187" i="37" s="1"/>
  <c r="DE187" i="37" s="1"/>
  <c r="BM189" i="37"/>
  <c r="BN189" i="37" s="1"/>
  <c r="BO189" i="37" s="1"/>
  <c r="BQ189" i="37" s="1"/>
  <c r="DU190" i="37"/>
  <c r="DV190" i="37" s="1"/>
  <c r="DW190" i="37" s="1"/>
  <c r="DY190" i="37" s="1"/>
  <c r="CG192" i="37"/>
  <c r="CH192" i="37" s="1"/>
  <c r="CI192" i="37" s="1"/>
  <c r="CK192" i="37" s="1"/>
  <c r="CQ222" i="37"/>
  <c r="CR222" i="37" s="1"/>
  <c r="CS222" i="37" s="1"/>
  <c r="CU222" i="37" s="1"/>
  <c r="BC224" i="37"/>
  <c r="BD224" i="37" s="1"/>
  <c r="BE224" i="37" s="1"/>
  <c r="BG224" i="37" s="1"/>
  <c r="DK225" i="37"/>
  <c r="DL225" i="37" s="1"/>
  <c r="DM225" i="37" s="1"/>
  <c r="DO225" i="37" s="1"/>
  <c r="BW227" i="37"/>
  <c r="BX227" i="37" s="1"/>
  <c r="BY227" i="37" s="1"/>
  <c r="CA227" i="37" s="1"/>
  <c r="EE228" i="37"/>
  <c r="EF228" i="37" s="1"/>
  <c r="EG228" i="37" s="1"/>
  <c r="EI228" i="37" s="1"/>
  <c r="CQ230" i="37"/>
  <c r="CR230" i="37" s="1"/>
  <c r="CS230" i="37" s="1"/>
  <c r="CU230" i="37" s="1"/>
  <c r="BC232" i="37"/>
  <c r="BD232" i="37" s="1"/>
  <c r="BE232" i="37" s="1"/>
  <c r="BG232" i="37" s="1"/>
  <c r="DK233" i="37"/>
  <c r="DL233" i="37" s="1"/>
  <c r="DM233" i="37" s="1"/>
  <c r="DO233" i="37" s="1"/>
  <c r="BW235" i="37"/>
  <c r="BX235" i="37" s="1"/>
  <c r="BY235" i="37" s="1"/>
  <c r="CA235" i="37" s="1"/>
  <c r="EE236" i="37"/>
  <c r="EF236" i="37" s="1"/>
  <c r="EG236" i="37" s="1"/>
  <c r="EI236" i="37" s="1"/>
  <c r="CQ238" i="37"/>
  <c r="CR238" i="37" s="1"/>
  <c r="CS238" i="37" s="1"/>
  <c r="CU238" i="37" s="1"/>
  <c r="BC240" i="37"/>
  <c r="BD240" i="37" s="1"/>
  <c r="BE240" i="37" s="1"/>
  <c r="BG240" i="37" s="1"/>
  <c r="DK241" i="37"/>
  <c r="DL241" i="37" s="1"/>
  <c r="DM241" i="37" s="1"/>
  <c r="DO241" i="37" s="1"/>
  <c r="BW243" i="37"/>
  <c r="BX243" i="37" s="1"/>
  <c r="BY243" i="37" s="1"/>
  <c r="CA243" i="37" s="1"/>
  <c r="EE244" i="37"/>
  <c r="EF244" i="37" s="1"/>
  <c r="EG244" i="37" s="1"/>
  <c r="EI244" i="37" s="1"/>
  <c r="CQ246" i="37"/>
  <c r="CR246" i="37" s="1"/>
  <c r="CS246" i="37" s="1"/>
  <c r="CU246" i="37" s="1"/>
  <c r="BC248" i="37"/>
  <c r="BD248" i="37" s="1"/>
  <c r="BE248" i="37" s="1"/>
  <c r="BG248" i="37" s="1"/>
  <c r="DK249" i="37"/>
  <c r="DL249" i="37" s="1"/>
  <c r="DM249" i="37" s="1"/>
  <c r="DO249" i="37" s="1"/>
  <c r="BW251" i="37"/>
  <c r="BX251" i="37" s="1"/>
  <c r="BY251" i="37" s="1"/>
  <c r="CA251" i="37" s="1"/>
  <c r="EE252" i="37"/>
  <c r="EF252" i="37" s="1"/>
  <c r="EG252" i="37" s="1"/>
  <c r="EI252" i="37" s="1"/>
  <c r="CQ254" i="37"/>
  <c r="CR254" i="37" s="1"/>
  <c r="CS254" i="37" s="1"/>
  <c r="CU254" i="37" s="1"/>
  <c r="BC256" i="37"/>
  <c r="BD256" i="37" s="1"/>
  <c r="BE256" i="37" s="1"/>
  <c r="BG256" i="37" s="1"/>
  <c r="DK257" i="37"/>
  <c r="DL257" i="37" s="1"/>
  <c r="DM257" i="37" s="1"/>
  <c r="DO257" i="37" s="1"/>
  <c r="BW259" i="37"/>
  <c r="BX259" i="37" s="1"/>
  <c r="BY259" i="37" s="1"/>
  <c r="CA259" i="37" s="1"/>
  <c r="EE260" i="37"/>
  <c r="EF260" i="37" s="1"/>
  <c r="EG260" i="37" s="1"/>
  <c r="EI260" i="37" s="1"/>
  <c r="DU221" i="37"/>
  <c r="DV221" i="37" s="1"/>
  <c r="DW221" i="37" s="1"/>
  <c r="DY221" i="37" s="1"/>
  <c r="CG223" i="37"/>
  <c r="CH223" i="37" s="1"/>
  <c r="CI223" i="37" s="1"/>
  <c r="CK223" i="37" s="1"/>
  <c r="EO224" i="37"/>
  <c r="EP224" i="37" s="1"/>
  <c r="EQ224" i="37" s="1"/>
  <c r="ES224" i="37" s="1"/>
  <c r="DA226" i="37"/>
  <c r="DB226" i="37" s="1"/>
  <c r="DC226" i="37" s="1"/>
  <c r="DE226" i="37" s="1"/>
  <c r="BM228" i="37"/>
  <c r="BN228" i="37" s="1"/>
  <c r="BO228" i="37" s="1"/>
  <c r="BQ228" i="37" s="1"/>
  <c r="DU229" i="37"/>
  <c r="DV229" i="37" s="1"/>
  <c r="DW229" i="37" s="1"/>
  <c r="DY229" i="37" s="1"/>
  <c r="CG231" i="37"/>
  <c r="CH231" i="37" s="1"/>
  <c r="CI231" i="37" s="1"/>
  <c r="CK231" i="37" s="1"/>
  <c r="EO232" i="37"/>
  <c r="EP232" i="37" s="1"/>
  <c r="EQ232" i="37" s="1"/>
  <c r="ES232" i="37" s="1"/>
  <c r="DA234" i="37"/>
  <c r="DB234" i="37" s="1"/>
  <c r="DC234" i="37" s="1"/>
  <c r="DE234" i="37" s="1"/>
  <c r="BM236" i="37"/>
  <c r="BN236" i="37" s="1"/>
  <c r="BO236" i="37" s="1"/>
  <c r="BQ236" i="37" s="1"/>
  <c r="DU237" i="37"/>
  <c r="DV237" i="37" s="1"/>
  <c r="DW237" i="37" s="1"/>
  <c r="DY237" i="37" s="1"/>
  <c r="CG239" i="37"/>
  <c r="CH239" i="37" s="1"/>
  <c r="CI239" i="37" s="1"/>
  <c r="CK239" i="37" s="1"/>
  <c r="EO240" i="37"/>
  <c r="EP240" i="37" s="1"/>
  <c r="EQ240" i="37" s="1"/>
  <c r="ES240" i="37" s="1"/>
  <c r="DA242" i="37"/>
  <c r="DB242" i="37" s="1"/>
  <c r="DC242" i="37" s="1"/>
  <c r="DE242" i="37" s="1"/>
  <c r="BM244" i="37"/>
  <c r="BN244" i="37" s="1"/>
  <c r="BO244" i="37" s="1"/>
  <c r="BQ244" i="37" s="1"/>
  <c r="DU245" i="37"/>
  <c r="DV245" i="37" s="1"/>
  <c r="DW245" i="37" s="1"/>
  <c r="DY245" i="37" s="1"/>
  <c r="CG247" i="37"/>
  <c r="CH247" i="37" s="1"/>
  <c r="CI247" i="37" s="1"/>
  <c r="CK247" i="37" s="1"/>
  <c r="EO248" i="37"/>
  <c r="EP248" i="37" s="1"/>
  <c r="EQ248" i="37" s="1"/>
  <c r="ES248" i="37" s="1"/>
  <c r="DA250" i="37"/>
  <c r="DB250" i="37" s="1"/>
  <c r="DC250" i="37" s="1"/>
  <c r="DE250" i="37" s="1"/>
  <c r="BM252" i="37"/>
  <c r="BN252" i="37" s="1"/>
  <c r="BO252" i="37" s="1"/>
  <c r="BQ252" i="37" s="1"/>
  <c r="DU253" i="37"/>
  <c r="DV253" i="37" s="1"/>
  <c r="DW253" i="37" s="1"/>
  <c r="DY253" i="37" s="1"/>
  <c r="CG255" i="37"/>
  <c r="CH255" i="37" s="1"/>
  <c r="CI255" i="37" s="1"/>
  <c r="CK255" i="37" s="1"/>
  <c r="EO256" i="37"/>
  <c r="EP256" i="37" s="1"/>
  <c r="EQ256" i="37" s="1"/>
  <c r="ES256" i="37" s="1"/>
  <c r="DA258" i="37"/>
  <c r="DB258" i="37" s="1"/>
  <c r="DC258" i="37" s="1"/>
  <c r="DE258" i="37" s="1"/>
  <c r="BM260" i="37"/>
  <c r="BN260" i="37" s="1"/>
  <c r="BO260" i="37" s="1"/>
  <c r="BQ260" i="37" s="1"/>
  <c r="DK49" i="38"/>
  <c r="DL49" i="38" s="1"/>
  <c r="DM49" i="38" s="1"/>
  <c r="DO49" i="38" s="1"/>
  <c r="DU52" i="38"/>
  <c r="DV52" i="38" s="1"/>
  <c r="DW52" i="38" s="1"/>
  <c r="DY52" i="38" s="1"/>
  <c r="EO52" i="38"/>
  <c r="EP52" i="38" s="1"/>
  <c r="EQ52" i="38" s="1"/>
  <c r="ES52" i="38" s="1"/>
  <c r="BM56" i="38"/>
  <c r="BN56" i="38" s="1"/>
  <c r="BO56" i="38" s="1"/>
  <c r="BQ56" i="38" s="1"/>
  <c r="CG59" i="38"/>
  <c r="CH59" i="38" s="1"/>
  <c r="CI59" i="38" s="1"/>
  <c r="CK59" i="38" s="1"/>
  <c r="EO55" i="38"/>
  <c r="EP55" i="38" s="1"/>
  <c r="EQ55" i="38" s="1"/>
  <c r="ES55" i="38" s="1"/>
  <c r="BM59" i="38"/>
  <c r="BN59" i="38" s="1"/>
  <c r="BO59" i="38" s="1"/>
  <c r="BQ59" i="38" s="1"/>
  <c r="BW77" i="38"/>
  <c r="BX77" i="38" s="1"/>
  <c r="BY77" i="38" s="1"/>
  <c r="CA77" i="38" s="1"/>
  <c r="CQ80" i="38"/>
  <c r="CR80" i="38" s="1"/>
  <c r="CS80" i="38" s="1"/>
  <c r="CU80" i="38" s="1"/>
  <c r="DK83" i="38"/>
  <c r="DL83" i="38" s="1"/>
  <c r="DM83" i="38" s="1"/>
  <c r="DO83" i="38" s="1"/>
  <c r="EE86" i="38"/>
  <c r="EF86" i="38" s="1"/>
  <c r="EG86" i="38" s="1"/>
  <c r="EI86" i="38" s="1"/>
  <c r="BC90" i="38"/>
  <c r="BD90" i="38" s="1"/>
  <c r="BE90" i="38" s="1"/>
  <c r="BG90" i="38" s="1"/>
  <c r="BW93" i="38"/>
  <c r="BX93" i="38" s="1"/>
  <c r="BY93" i="38" s="1"/>
  <c r="CA93" i="38" s="1"/>
  <c r="CQ96" i="38"/>
  <c r="CR96" i="38" s="1"/>
  <c r="CS96" i="38" s="1"/>
  <c r="CU96" i="38" s="1"/>
  <c r="DK78" i="38"/>
  <c r="DL78" i="38" s="1"/>
  <c r="DM78" i="38" s="1"/>
  <c r="DO78" i="38" s="1"/>
  <c r="EE81" i="38"/>
  <c r="EF81" i="38" s="1"/>
  <c r="EG81" i="38" s="1"/>
  <c r="EI81" i="38" s="1"/>
  <c r="BC85" i="38"/>
  <c r="BD85" i="38" s="1"/>
  <c r="BE85" i="38" s="1"/>
  <c r="BG85" i="38" s="1"/>
  <c r="BW88" i="38"/>
  <c r="BX88" i="38" s="1"/>
  <c r="BY88" i="38" s="1"/>
  <c r="CA88" i="38" s="1"/>
  <c r="CQ91" i="38"/>
  <c r="CR91" i="38" s="1"/>
  <c r="CS91" i="38" s="1"/>
  <c r="CU91" i="38" s="1"/>
  <c r="DK94" i="38"/>
  <c r="DL94" i="38" s="1"/>
  <c r="DM94" i="38" s="1"/>
  <c r="DO94" i="38" s="1"/>
  <c r="EE97" i="38"/>
  <c r="EF97" i="38" s="1"/>
  <c r="EG97" i="38" s="1"/>
  <c r="EI97" i="38" s="1"/>
  <c r="DA111" i="38"/>
  <c r="DB111" i="38" s="1"/>
  <c r="DC111" i="38" s="1"/>
  <c r="DE111" i="38" s="1"/>
  <c r="BM113" i="38"/>
  <c r="BN113" i="38" s="1"/>
  <c r="BO113" i="38" s="1"/>
  <c r="BQ113" i="38" s="1"/>
  <c r="DU114" i="38"/>
  <c r="DV114" i="38" s="1"/>
  <c r="DW114" i="38" s="1"/>
  <c r="DY114" i="38" s="1"/>
  <c r="CG116" i="38"/>
  <c r="CH116" i="38" s="1"/>
  <c r="CI116" i="38" s="1"/>
  <c r="CK116" i="38" s="1"/>
  <c r="DU111" i="38"/>
  <c r="DV111" i="38" s="1"/>
  <c r="DW111" i="38" s="1"/>
  <c r="DY111" i="38" s="1"/>
  <c r="CG113" i="38"/>
  <c r="CH113" i="38" s="1"/>
  <c r="CI113" i="38" s="1"/>
  <c r="CK113" i="38" s="1"/>
  <c r="EO114" i="38"/>
  <c r="EP114" i="38" s="1"/>
  <c r="EQ114" i="38" s="1"/>
  <c r="ES114" i="38" s="1"/>
  <c r="EO152" i="38"/>
  <c r="EP152" i="38" s="1"/>
  <c r="EQ152" i="38" s="1"/>
  <c r="ES152" i="38" s="1"/>
  <c r="BM156" i="38"/>
  <c r="BN156" i="38" s="1"/>
  <c r="BO156" i="38" s="1"/>
  <c r="BQ156" i="38" s="1"/>
  <c r="CG159" i="38"/>
  <c r="CH159" i="38" s="1"/>
  <c r="CI159" i="38" s="1"/>
  <c r="CK159" i="38" s="1"/>
  <c r="DA162" i="38"/>
  <c r="DB162" i="38" s="1"/>
  <c r="DC162" i="38" s="1"/>
  <c r="DE162" i="38" s="1"/>
  <c r="DU165" i="38"/>
  <c r="DV165" i="38" s="1"/>
  <c r="DW165" i="38" s="1"/>
  <c r="DY165" i="38" s="1"/>
  <c r="BM153" i="38"/>
  <c r="BN153" i="38" s="1"/>
  <c r="BO153" i="38" s="1"/>
  <c r="BQ153" i="38" s="1"/>
  <c r="CG156" i="38"/>
  <c r="CH156" i="38" s="1"/>
  <c r="CI156" i="38" s="1"/>
  <c r="CK156" i="38" s="1"/>
  <c r="DA159" i="38"/>
  <c r="DB159" i="38" s="1"/>
  <c r="DC159" i="38" s="1"/>
  <c r="DE159" i="38" s="1"/>
  <c r="DU162" i="38"/>
  <c r="DV162" i="38" s="1"/>
  <c r="DW162" i="38" s="1"/>
  <c r="DY162" i="38" s="1"/>
  <c r="EO165" i="38"/>
  <c r="EP165" i="38" s="1"/>
  <c r="EQ165" i="38" s="1"/>
  <c r="ES165" i="38" s="1"/>
  <c r="DA230" i="38"/>
  <c r="DB230" i="38" s="1"/>
  <c r="DC230" i="38" s="1"/>
  <c r="DE230" i="38" s="1"/>
  <c r="DU233" i="38"/>
  <c r="DV233" i="38" s="1"/>
  <c r="DW233" i="38" s="1"/>
  <c r="DY233" i="38" s="1"/>
  <c r="EO236" i="38"/>
  <c r="EP236" i="38" s="1"/>
  <c r="EQ236" i="38" s="1"/>
  <c r="ES236" i="38" s="1"/>
  <c r="BM240" i="38"/>
  <c r="BN240" i="38" s="1"/>
  <c r="BO240" i="38" s="1"/>
  <c r="BQ240" i="38" s="1"/>
  <c r="CG243" i="38"/>
  <c r="CH243" i="38" s="1"/>
  <c r="CI243" i="38" s="1"/>
  <c r="CK243" i="38" s="1"/>
  <c r="DA246" i="38"/>
  <c r="DB246" i="38" s="1"/>
  <c r="DC246" i="38" s="1"/>
  <c r="DE246" i="38" s="1"/>
  <c r="DU249" i="38"/>
  <c r="DV249" i="38" s="1"/>
  <c r="DW249" i="38" s="1"/>
  <c r="DY249" i="38" s="1"/>
  <c r="EO252" i="38"/>
  <c r="EP252" i="38" s="1"/>
  <c r="EQ252" i="38" s="1"/>
  <c r="ES252" i="38" s="1"/>
  <c r="BM256" i="38"/>
  <c r="BN256" i="38" s="1"/>
  <c r="BO256" i="38" s="1"/>
  <c r="BQ256" i="38" s="1"/>
  <c r="CG259" i="38"/>
  <c r="CH259" i="38" s="1"/>
  <c r="CI259" i="38" s="1"/>
  <c r="CK259" i="38" s="1"/>
  <c r="DA262" i="38"/>
  <c r="DB262" i="38" s="1"/>
  <c r="DC262" i="38" s="1"/>
  <c r="DE262" i="38" s="1"/>
  <c r="DU232" i="38"/>
  <c r="DV232" i="38" s="1"/>
  <c r="DW232" i="38" s="1"/>
  <c r="DY232" i="38" s="1"/>
  <c r="EO235" i="38"/>
  <c r="EP235" i="38" s="1"/>
  <c r="EQ235" i="38" s="1"/>
  <c r="ES235" i="38" s="1"/>
  <c r="BM239" i="38"/>
  <c r="BN239" i="38" s="1"/>
  <c r="BO239" i="38" s="1"/>
  <c r="BQ239" i="38" s="1"/>
  <c r="CG242" i="38"/>
  <c r="CH242" i="38" s="1"/>
  <c r="CI242" i="38" s="1"/>
  <c r="CK242" i="38" s="1"/>
  <c r="DA245" i="38"/>
  <c r="DB245" i="38" s="1"/>
  <c r="DC245" i="38" s="1"/>
  <c r="DE245" i="38" s="1"/>
  <c r="DU248" i="38"/>
  <c r="DV248" i="38" s="1"/>
  <c r="DW248" i="38" s="1"/>
  <c r="DY248" i="38" s="1"/>
  <c r="EO251" i="38"/>
  <c r="EP251" i="38" s="1"/>
  <c r="EQ251" i="38" s="1"/>
  <c r="ES251" i="38" s="1"/>
  <c r="BM255" i="38"/>
  <c r="BN255" i="38" s="1"/>
  <c r="BO255" i="38" s="1"/>
  <c r="BQ255" i="38" s="1"/>
  <c r="CG258" i="38"/>
  <c r="CH258" i="38" s="1"/>
  <c r="CI258" i="38" s="1"/>
  <c r="CK258" i="38" s="1"/>
  <c r="DA261" i="38"/>
  <c r="DB261" i="38" s="1"/>
  <c r="DC261" i="38" s="1"/>
  <c r="DE261" i="38" s="1"/>
  <c r="BC62" i="38"/>
  <c r="BD62" i="38" s="1"/>
  <c r="BE62" i="38" s="1"/>
  <c r="BG62" i="38" s="1"/>
  <c r="BW65" i="38"/>
  <c r="BX65" i="38" s="1"/>
  <c r="BY65" i="38" s="1"/>
  <c r="CA65" i="38" s="1"/>
  <c r="CQ68" i="38"/>
  <c r="CR68" i="38" s="1"/>
  <c r="CS68" i="38" s="1"/>
  <c r="CU68" i="38" s="1"/>
  <c r="DK71" i="38"/>
  <c r="DL71" i="38" s="1"/>
  <c r="DM71" i="38" s="1"/>
  <c r="DO71" i="38" s="1"/>
  <c r="EE74" i="38"/>
  <c r="EF74" i="38" s="1"/>
  <c r="EG74" i="38" s="1"/>
  <c r="EI74" i="38" s="1"/>
  <c r="DA99" i="38"/>
  <c r="DB99" i="38" s="1"/>
  <c r="DC99" i="38" s="1"/>
  <c r="DE99" i="38" s="1"/>
  <c r="DU102" i="38"/>
  <c r="DV102" i="38" s="1"/>
  <c r="DW102" i="38" s="1"/>
  <c r="DY102" i="38" s="1"/>
  <c r="EO105" i="38"/>
  <c r="EP105" i="38" s="1"/>
  <c r="EQ105" i="38" s="1"/>
  <c r="ES105" i="38" s="1"/>
  <c r="BM109" i="38"/>
  <c r="BN109" i="38" s="1"/>
  <c r="BO109" i="38" s="1"/>
  <c r="BQ109" i="38" s="1"/>
  <c r="CQ65" i="38"/>
  <c r="CR65" i="38" s="1"/>
  <c r="CS65" i="38" s="1"/>
  <c r="CU65" i="38" s="1"/>
  <c r="EE71" i="38"/>
  <c r="EF71" i="38" s="1"/>
  <c r="EG71" i="38" s="1"/>
  <c r="EI71" i="38" s="1"/>
  <c r="DU99" i="38"/>
  <c r="DV99" i="38" s="1"/>
  <c r="DW99" i="38" s="1"/>
  <c r="DY99" i="38" s="1"/>
  <c r="BM106" i="38"/>
  <c r="BN106" i="38" s="1"/>
  <c r="BO106" i="38" s="1"/>
  <c r="BQ106" i="38" s="1"/>
  <c r="DA117" i="38"/>
  <c r="DB117" i="38" s="1"/>
  <c r="DC117" i="38" s="1"/>
  <c r="DE117" i="38" s="1"/>
  <c r="DU120" i="38"/>
  <c r="DV120" i="38" s="1"/>
  <c r="DW120" i="38" s="1"/>
  <c r="DY120" i="38" s="1"/>
  <c r="EO123" i="38"/>
  <c r="EP123" i="38" s="1"/>
  <c r="EQ123" i="38" s="1"/>
  <c r="ES123" i="38" s="1"/>
  <c r="BM127" i="38"/>
  <c r="BN127" i="38" s="1"/>
  <c r="BO127" i="38" s="1"/>
  <c r="BQ127" i="38" s="1"/>
  <c r="CG130" i="38"/>
  <c r="CH130" i="38" s="1"/>
  <c r="CI130" i="38" s="1"/>
  <c r="CK130" i="38" s="1"/>
  <c r="CG185" i="37"/>
  <c r="CH185" i="37" s="1"/>
  <c r="CI185" i="37" s="1"/>
  <c r="CK185" i="37" s="1"/>
  <c r="EO186" i="37"/>
  <c r="EP186" i="37" s="1"/>
  <c r="EQ186" i="37" s="1"/>
  <c r="ES186" i="37" s="1"/>
  <c r="DA188" i="37"/>
  <c r="DB188" i="37" s="1"/>
  <c r="DC188" i="37" s="1"/>
  <c r="DE188" i="37" s="1"/>
  <c r="BM190" i="37"/>
  <c r="BN190" i="37" s="1"/>
  <c r="BO190" i="37" s="1"/>
  <c r="BQ190" i="37" s="1"/>
  <c r="DU191" i="37"/>
  <c r="DV191" i="37" s="1"/>
  <c r="DW191" i="37" s="1"/>
  <c r="DY191" i="37" s="1"/>
  <c r="EE221" i="37"/>
  <c r="EF221" i="37" s="1"/>
  <c r="EG221" i="37" s="1"/>
  <c r="EI221" i="37" s="1"/>
  <c r="CQ223" i="37"/>
  <c r="CR223" i="37" s="1"/>
  <c r="CS223" i="37" s="1"/>
  <c r="CU223" i="37" s="1"/>
  <c r="BC225" i="37"/>
  <c r="BD225" i="37" s="1"/>
  <c r="BE225" i="37" s="1"/>
  <c r="BG225" i="37" s="1"/>
  <c r="DK226" i="37"/>
  <c r="DL226" i="37" s="1"/>
  <c r="DM226" i="37" s="1"/>
  <c r="DO226" i="37" s="1"/>
  <c r="BW228" i="37"/>
  <c r="BX228" i="37" s="1"/>
  <c r="BY228" i="37" s="1"/>
  <c r="CA228" i="37" s="1"/>
  <c r="EE229" i="37"/>
  <c r="EF229" i="37" s="1"/>
  <c r="EG229" i="37" s="1"/>
  <c r="EI229" i="37" s="1"/>
  <c r="CQ231" i="37"/>
  <c r="CR231" i="37" s="1"/>
  <c r="CS231" i="37" s="1"/>
  <c r="CU231" i="37" s="1"/>
  <c r="BC233" i="37"/>
  <c r="BD233" i="37" s="1"/>
  <c r="BE233" i="37" s="1"/>
  <c r="BG233" i="37" s="1"/>
  <c r="DK234" i="37"/>
  <c r="DL234" i="37" s="1"/>
  <c r="DM234" i="37" s="1"/>
  <c r="DO234" i="37" s="1"/>
  <c r="BW236" i="37"/>
  <c r="BX236" i="37" s="1"/>
  <c r="BY236" i="37" s="1"/>
  <c r="CA236" i="37" s="1"/>
  <c r="EE237" i="37"/>
  <c r="EF237" i="37" s="1"/>
  <c r="EG237" i="37" s="1"/>
  <c r="EI237" i="37" s="1"/>
  <c r="CQ239" i="37"/>
  <c r="CR239" i="37" s="1"/>
  <c r="CS239" i="37" s="1"/>
  <c r="CU239" i="37" s="1"/>
  <c r="BC241" i="37"/>
  <c r="BD241" i="37" s="1"/>
  <c r="BE241" i="37" s="1"/>
  <c r="BG241" i="37" s="1"/>
  <c r="DK242" i="37"/>
  <c r="DL242" i="37" s="1"/>
  <c r="DM242" i="37" s="1"/>
  <c r="DO242" i="37" s="1"/>
  <c r="BW244" i="37"/>
  <c r="BX244" i="37" s="1"/>
  <c r="BY244" i="37" s="1"/>
  <c r="CA244" i="37" s="1"/>
  <c r="EE245" i="37"/>
  <c r="EF245" i="37" s="1"/>
  <c r="EG245" i="37" s="1"/>
  <c r="EI245" i="37" s="1"/>
  <c r="CQ247" i="37"/>
  <c r="CR247" i="37" s="1"/>
  <c r="CS247" i="37" s="1"/>
  <c r="CU247" i="37" s="1"/>
  <c r="BC249" i="37"/>
  <c r="BD249" i="37" s="1"/>
  <c r="BE249" i="37" s="1"/>
  <c r="BG249" i="37" s="1"/>
  <c r="DK250" i="37"/>
  <c r="DL250" i="37" s="1"/>
  <c r="DM250" i="37" s="1"/>
  <c r="DO250" i="37" s="1"/>
  <c r="BW252" i="37"/>
  <c r="BX252" i="37" s="1"/>
  <c r="BY252" i="37" s="1"/>
  <c r="CA252" i="37" s="1"/>
  <c r="EE253" i="37"/>
  <c r="EF253" i="37" s="1"/>
  <c r="EG253" i="37" s="1"/>
  <c r="EI253" i="37" s="1"/>
  <c r="CQ255" i="37"/>
  <c r="CR255" i="37" s="1"/>
  <c r="CS255" i="37" s="1"/>
  <c r="CU255" i="37" s="1"/>
  <c r="BC257" i="37"/>
  <c r="BD257" i="37" s="1"/>
  <c r="BE257" i="37" s="1"/>
  <c r="BG257" i="37" s="1"/>
  <c r="DK258" i="37"/>
  <c r="DL258" i="37" s="1"/>
  <c r="DM258" i="37" s="1"/>
  <c r="DO258" i="37" s="1"/>
  <c r="BW260" i="37"/>
  <c r="BX260" i="37" s="1"/>
  <c r="BY260" i="37" s="1"/>
  <c r="CA260" i="37" s="1"/>
  <c r="BM221" i="37"/>
  <c r="BN221" i="37" s="1"/>
  <c r="BO221" i="37" s="1"/>
  <c r="BQ221" i="37" s="1"/>
  <c r="DU222" i="37"/>
  <c r="DV222" i="37" s="1"/>
  <c r="DW222" i="37" s="1"/>
  <c r="DY222" i="37" s="1"/>
  <c r="CG224" i="37"/>
  <c r="CH224" i="37" s="1"/>
  <c r="CI224" i="37" s="1"/>
  <c r="CK224" i="37" s="1"/>
  <c r="EO225" i="37"/>
  <c r="EP225" i="37" s="1"/>
  <c r="EQ225" i="37" s="1"/>
  <c r="ES225" i="37" s="1"/>
  <c r="DA227" i="37"/>
  <c r="DB227" i="37" s="1"/>
  <c r="DC227" i="37" s="1"/>
  <c r="DE227" i="37" s="1"/>
  <c r="BM229" i="37"/>
  <c r="BN229" i="37" s="1"/>
  <c r="BO229" i="37" s="1"/>
  <c r="BQ229" i="37" s="1"/>
  <c r="DU230" i="37"/>
  <c r="DV230" i="37" s="1"/>
  <c r="DW230" i="37" s="1"/>
  <c r="DY230" i="37" s="1"/>
  <c r="CG232" i="37"/>
  <c r="CH232" i="37" s="1"/>
  <c r="CI232" i="37" s="1"/>
  <c r="CK232" i="37" s="1"/>
  <c r="EO233" i="37"/>
  <c r="EP233" i="37" s="1"/>
  <c r="EQ233" i="37" s="1"/>
  <c r="ES233" i="37" s="1"/>
  <c r="DA235" i="37"/>
  <c r="DB235" i="37" s="1"/>
  <c r="DC235" i="37" s="1"/>
  <c r="DE235" i="37" s="1"/>
  <c r="BM237" i="37"/>
  <c r="BN237" i="37" s="1"/>
  <c r="BO237" i="37" s="1"/>
  <c r="BQ237" i="37" s="1"/>
  <c r="DU238" i="37"/>
  <c r="DV238" i="37" s="1"/>
  <c r="DW238" i="37" s="1"/>
  <c r="DY238" i="37" s="1"/>
  <c r="CG240" i="37"/>
  <c r="CH240" i="37" s="1"/>
  <c r="CI240" i="37" s="1"/>
  <c r="CK240" i="37" s="1"/>
  <c r="EO241" i="37"/>
  <c r="EP241" i="37" s="1"/>
  <c r="EQ241" i="37" s="1"/>
  <c r="ES241" i="37" s="1"/>
  <c r="DA243" i="37"/>
  <c r="DB243" i="37" s="1"/>
  <c r="DC243" i="37" s="1"/>
  <c r="DE243" i="37" s="1"/>
  <c r="BM245" i="37"/>
  <c r="BN245" i="37" s="1"/>
  <c r="BO245" i="37" s="1"/>
  <c r="BQ245" i="37" s="1"/>
  <c r="DU246" i="37"/>
  <c r="DV246" i="37" s="1"/>
  <c r="DW246" i="37" s="1"/>
  <c r="DY246" i="37" s="1"/>
  <c r="CG248" i="37"/>
  <c r="CH248" i="37" s="1"/>
  <c r="CI248" i="37" s="1"/>
  <c r="CK248" i="37" s="1"/>
  <c r="EO249" i="37"/>
  <c r="EP249" i="37" s="1"/>
  <c r="EQ249" i="37" s="1"/>
  <c r="ES249" i="37" s="1"/>
  <c r="DA251" i="37"/>
  <c r="DB251" i="37" s="1"/>
  <c r="DC251" i="37" s="1"/>
  <c r="DE251" i="37" s="1"/>
  <c r="BM253" i="37"/>
  <c r="BN253" i="37" s="1"/>
  <c r="BO253" i="37" s="1"/>
  <c r="BQ253" i="37" s="1"/>
  <c r="DU254" i="37"/>
  <c r="DV254" i="37" s="1"/>
  <c r="DW254" i="37" s="1"/>
  <c r="DY254" i="37" s="1"/>
  <c r="CG256" i="37"/>
  <c r="CH256" i="37" s="1"/>
  <c r="CI256" i="37" s="1"/>
  <c r="CK256" i="37" s="1"/>
  <c r="EO257" i="37"/>
  <c r="EP257" i="37" s="1"/>
  <c r="EQ257" i="37" s="1"/>
  <c r="ES257" i="37" s="1"/>
  <c r="DA259" i="37"/>
  <c r="DB259" i="37" s="1"/>
  <c r="DC259" i="37" s="1"/>
  <c r="DE259" i="37" s="1"/>
  <c r="BM261" i="37"/>
  <c r="BN261" i="37" s="1"/>
  <c r="BO261" i="37" s="1"/>
  <c r="BQ261" i="37" s="1"/>
  <c r="DK9" i="38"/>
  <c r="DL9" i="38" s="1"/>
  <c r="DM9" i="38" s="1"/>
  <c r="DO9" i="38" s="1"/>
  <c r="BW11" i="38"/>
  <c r="BX11" i="38" s="1"/>
  <c r="BY11" i="38" s="1"/>
  <c r="CA11" i="38" s="1"/>
  <c r="BM13" i="38"/>
  <c r="BN13" i="38" s="1"/>
  <c r="BO13" i="38" s="1"/>
  <c r="BQ13" i="38" s="1"/>
  <c r="DU14" i="38"/>
  <c r="DV14" i="38" s="1"/>
  <c r="DW14" i="38" s="1"/>
  <c r="DY14" i="38" s="1"/>
  <c r="CG16" i="38"/>
  <c r="CH16" i="38" s="1"/>
  <c r="CI16" i="38" s="1"/>
  <c r="CK16" i="38" s="1"/>
  <c r="CQ9" i="38"/>
  <c r="CR9" i="38" s="1"/>
  <c r="CS9" i="38" s="1"/>
  <c r="CU9" i="38" s="1"/>
  <c r="BM18" i="38"/>
  <c r="BN18" i="38" s="1"/>
  <c r="BO18" i="38" s="1"/>
  <c r="BQ18" i="38" s="1"/>
  <c r="DU19" i="38"/>
  <c r="DV19" i="38" s="1"/>
  <c r="DW19" i="38" s="1"/>
  <c r="DY19" i="38" s="1"/>
  <c r="CG21" i="38"/>
  <c r="CH21" i="38" s="1"/>
  <c r="CI21" i="38" s="1"/>
  <c r="CK21" i="38" s="1"/>
  <c r="EO22" i="38"/>
  <c r="EP22" i="38" s="1"/>
  <c r="EQ22" i="38" s="1"/>
  <c r="ES22" i="38" s="1"/>
  <c r="DA24" i="38"/>
  <c r="DB24" i="38" s="1"/>
  <c r="DC24" i="38" s="1"/>
  <c r="DE24" i="38" s="1"/>
  <c r="BM26" i="38"/>
  <c r="BN26" i="38" s="1"/>
  <c r="BO26" i="38" s="1"/>
  <c r="BQ26" i="38" s="1"/>
  <c r="DU27" i="38"/>
  <c r="DV27" i="38" s="1"/>
  <c r="DW27" i="38" s="1"/>
  <c r="DY27" i="38" s="1"/>
  <c r="EE9" i="38"/>
  <c r="EF9" i="38" s="1"/>
  <c r="EG9" i="38" s="1"/>
  <c r="EI9" i="38" s="1"/>
  <c r="DA12" i="38"/>
  <c r="DB12" i="38" s="1"/>
  <c r="DC12" i="38" s="1"/>
  <c r="DE12" i="38" s="1"/>
  <c r="BM14" i="38"/>
  <c r="BN14" i="38" s="1"/>
  <c r="BO14" i="38" s="1"/>
  <c r="BQ14" i="38" s="1"/>
  <c r="DU15" i="38"/>
  <c r="DV15" i="38" s="1"/>
  <c r="DW15" i="38" s="1"/>
  <c r="DY15" i="38" s="1"/>
  <c r="CG17" i="38"/>
  <c r="CH17" i="38" s="1"/>
  <c r="CI17" i="38" s="1"/>
  <c r="CK17" i="38" s="1"/>
  <c r="DU18" i="38"/>
  <c r="DV18" i="38" s="1"/>
  <c r="DW18" i="38" s="1"/>
  <c r="DY18" i="38" s="1"/>
  <c r="CG20" i="38"/>
  <c r="CH20" i="38" s="1"/>
  <c r="CI20" i="38" s="1"/>
  <c r="CK20" i="38" s="1"/>
  <c r="EO21" i="38"/>
  <c r="EP21" i="38" s="1"/>
  <c r="EQ21" i="38" s="1"/>
  <c r="ES21" i="38" s="1"/>
  <c r="CQ29" i="38"/>
  <c r="CR29" i="38" s="1"/>
  <c r="CS29" i="38" s="1"/>
  <c r="CU29" i="38" s="1"/>
  <c r="BC31" i="38"/>
  <c r="BD31" i="38" s="1"/>
  <c r="BE31" i="38" s="1"/>
  <c r="BG31" i="38" s="1"/>
  <c r="DK32" i="38"/>
  <c r="DL32" i="38" s="1"/>
  <c r="DM32" i="38" s="1"/>
  <c r="DO32" i="38" s="1"/>
  <c r="BW34" i="38"/>
  <c r="BX34" i="38" s="1"/>
  <c r="BY34" i="38" s="1"/>
  <c r="CA34" i="38" s="1"/>
  <c r="EE35" i="38"/>
  <c r="EF35" i="38" s="1"/>
  <c r="EG35" i="38" s="1"/>
  <c r="EI35" i="38" s="1"/>
  <c r="CQ37" i="38"/>
  <c r="CR37" i="38" s="1"/>
  <c r="CS37" i="38" s="1"/>
  <c r="CU37" i="38" s="1"/>
  <c r="BC39" i="38"/>
  <c r="BD39" i="38" s="1"/>
  <c r="BE39" i="38" s="1"/>
  <c r="BG39" i="38" s="1"/>
  <c r="DK40" i="38"/>
  <c r="DL40" i="38" s="1"/>
  <c r="DM40" i="38" s="1"/>
  <c r="DO40" i="38" s="1"/>
  <c r="BW42" i="38"/>
  <c r="BX42" i="38" s="1"/>
  <c r="BY42" i="38" s="1"/>
  <c r="CA42" i="38" s="1"/>
  <c r="EE43" i="38"/>
  <c r="EF43" i="38" s="1"/>
  <c r="EG43" i="38" s="1"/>
  <c r="EI43" i="38" s="1"/>
  <c r="CQ45" i="38"/>
  <c r="CR45" i="38" s="1"/>
  <c r="CS45" i="38" s="1"/>
  <c r="CU45" i="38" s="1"/>
  <c r="BC47" i="38"/>
  <c r="BD47" i="38" s="1"/>
  <c r="BE47" i="38" s="1"/>
  <c r="BG47" i="38" s="1"/>
  <c r="DK48" i="38"/>
  <c r="DL48" i="38" s="1"/>
  <c r="DM48" i="38" s="1"/>
  <c r="DO48" i="38" s="1"/>
  <c r="BW50" i="38"/>
  <c r="BX50" i="38" s="1"/>
  <c r="BY50" i="38" s="1"/>
  <c r="CA50" i="38" s="1"/>
  <c r="CG24" i="38"/>
  <c r="CH24" i="38" s="1"/>
  <c r="CI24" i="38" s="1"/>
  <c r="CK24" i="38" s="1"/>
  <c r="EO25" i="38"/>
  <c r="EP25" i="38" s="1"/>
  <c r="EQ25" i="38" s="1"/>
  <c r="ES25" i="38" s="1"/>
  <c r="DA27" i="38"/>
  <c r="DB27" i="38" s="1"/>
  <c r="DC27" i="38" s="1"/>
  <c r="DE27" i="38" s="1"/>
  <c r="BW29" i="38"/>
  <c r="BX29" i="38" s="1"/>
  <c r="BY29" i="38" s="1"/>
  <c r="CA29" i="38" s="1"/>
  <c r="EE30" i="38"/>
  <c r="EF30" i="38" s="1"/>
  <c r="EG30" i="38" s="1"/>
  <c r="EI30" i="38" s="1"/>
  <c r="CQ32" i="38"/>
  <c r="CR32" i="38" s="1"/>
  <c r="CS32" i="38" s="1"/>
  <c r="CU32" i="38" s="1"/>
  <c r="BC34" i="38"/>
  <c r="BD34" i="38" s="1"/>
  <c r="BE34" i="38" s="1"/>
  <c r="BG34" i="38" s="1"/>
  <c r="DK35" i="38"/>
  <c r="DL35" i="38" s="1"/>
  <c r="DM35" i="38" s="1"/>
  <c r="DO35" i="38" s="1"/>
  <c r="BW37" i="38"/>
  <c r="BX37" i="38" s="1"/>
  <c r="BY37" i="38" s="1"/>
  <c r="CA37" i="38" s="1"/>
  <c r="EE38" i="38"/>
  <c r="EF38" i="38" s="1"/>
  <c r="EG38" i="38" s="1"/>
  <c r="EI38" i="38" s="1"/>
  <c r="CQ40" i="38"/>
  <c r="CR40" i="38" s="1"/>
  <c r="CS40" i="38" s="1"/>
  <c r="CU40" i="38" s="1"/>
  <c r="BC42" i="38"/>
  <c r="BD42" i="38" s="1"/>
  <c r="BE42" i="38" s="1"/>
  <c r="BG42" i="38" s="1"/>
  <c r="DK43" i="38"/>
  <c r="DL43" i="38" s="1"/>
  <c r="DM43" i="38" s="1"/>
  <c r="DO43" i="38" s="1"/>
  <c r="BW45" i="38"/>
  <c r="BX45" i="38" s="1"/>
  <c r="BY45" i="38" s="1"/>
  <c r="CA45" i="38" s="1"/>
  <c r="EE46" i="38"/>
  <c r="EF46" i="38" s="1"/>
  <c r="EG46" i="38" s="1"/>
  <c r="EI46" i="38" s="1"/>
  <c r="CQ48" i="38"/>
  <c r="CR48" i="38" s="1"/>
  <c r="CS48" i="38" s="1"/>
  <c r="CU48" i="38" s="1"/>
  <c r="DA51" i="38"/>
  <c r="DB51" i="38" s="1"/>
  <c r="DC51" i="38" s="1"/>
  <c r="DE51" i="38" s="1"/>
  <c r="DU51" i="38"/>
  <c r="DV51" i="38" s="1"/>
  <c r="DW51" i="38" s="1"/>
  <c r="DY51" i="38" s="1"/>
  <c r="EO54" i="38"/>
  <c r="EP54" i="38" s="1"/>
  <c r="EQ54" i="38" s="1"/>
  <c r="ES54" i="38" s="1"/>
  <c r="BM58" i="38"/>
  <c r="BN58" i="38" s="1"/>
  <c r="BO58" i="38" s="1"/>
  <c r="BQ58" i="38" s="1"/>
  <c r="DU54" i="38"/>
  <c r="DV54" i="38" s="1"/>
  <c r="DW54" i="38" s="1"/>
  <c r="DY54" i="38" s="1"/>
  <c r="EO57" i="38"/>
  <c r="EP57" i="38" s="1"/>
  <c r="EQ57" i="38" s="1"/>
  <c r="ES57" i="38" s="1"/>
  <c r="BC61" i="38"/>
  <c r="BD61" i="38" s="1"/>
  <c r="BE61" i="38" s="1"/>
  <c r="BG61" i="38" s="1"/>
  <c r="CQ78" i="38"/>
  <c r="CR78" i="38" s="1"/>
  <c r="CS78" i="38" s="1"/>
  <c r="CU78" i="38" s="1"/>
  <c r="DK81" i="38"/>
  <c r="DL81" i="38" s="1"/>
  <c r="DM81" i="38" s="1"/>
  <c r="DO81" i="38" s="1"/>
  <c r="EE84" i="38"/>
  <c r="EF84" i="38" s="1"/>
  <c r="EG84" i="38" s="1"/>
  <c r="EI84" i="38" s="1"/>
  <c r="BC88" i="38"/>
  <c r="BD88" i="38" s="1"/>
  <c r="BE88" i="38" s="1"/>
  <c r="BG88" i="38" s="1"/>
  <c r="BW91" i="38"/>
  <c r="BX91" i="38" s="1"/>
  <c r="BY91" i="38" s="1"/>
  <c r="CA91" i="38" s="1"/>
  <c r="CQ94" i="38"/>
  <c r="CR94" i="38" s="1"/>
  <c r="CS94" i="38" s="1"/>
  <c r="CU94" i="38" s="1"/>
  <c r="DK97" i="38"/>
  <c r="DL97" i="38" s="1"/>
  <c r="DM97" i="38" s="1"/>
  <c r="DO97" i="38" s="1"/>
  <c r="EE79" i="38"/>
  <c r="EF79" i="38" s="1"/>
  <c r="EG79" i="38" s="1"/>
  <c r="EI79" i="38" s="1"/>
  <c r="BC83" i="38"/>
  <c r="BD83" i="38" s="1"/>
  <c r="BE83" i="38" s="1"/>
  <c r="BG83" i="38" s="1"/>
  <c r="BW86" i="38"/>
  <c r="BX86" i="38" s="1"/>
  <c r="BY86" i="38" s="1"/>
  <c r="CA86" i="38" s="1"/>
  <c r="CQ89" i="38"/>
  <c r="CR89" i="38" s="1"/>
  <c r="CS89" i="38" s="1"/>
  <c r="CU89" i="38" s="1"/>
  <c r="DK92" i="38"/>
  <c r="DL92" i="38" s="1"/>
  <c r="DM92" i="38" s="1"/>
  <c r="DO92" i="38" s="1"/>
  <c r="EE95" i="38"/>
  <c r="EF95" i="38" s="1"/>
  <c r="EG95" i="38" s="1"/>
  <c r="EI95" i="38" s="1"/>
  <c r="CG153" i="38"/>
  <c r="CH153" i="38" s="1"/>
  <c r="CI153" i="38" s="1"/>
  <c r="CK153" i="38" s="1"/>
  <c r="DA156" i="38"/>
  <c r="DB156" i="38" s="1"/>
  <c r="DC156" i="38" s="1"/>
  <c r="DE156" i="38" s="1"/>
  <c r="DU159" i="38"/>
  <c r="DV159" i="38" s="1"/>
  <c r="DW159" i="38" s="1"/>
  <c r="DY159" i="38" s="1"/>
  <c r="EO162" i="38"/>
  <c r="EP162" i="38" s="1"/>
  <c r="EQ162" i="38" s="1"/>
  <c r="ES162" i="38" s="1"/>
  <c r="BM166" i="38"/>
  <c r="BN166" i="38" s="1"/>
  <c r="BO166" i="38" s="1"/>
  <c r="BQ166" i="38" s="1"/>
  <c r="DA153" i="38"/>
  <c r="DB153" i="38" s="1"/>
  <c r="DC153" i="38" s="1"/>
  <c r="DE153" i="38" s="1"/>
  <c r="DU156" i="38"/>
  <c r="DV156" i="38" s="1"/>
  <c r="DW156" i="38" s="1"/>
  <c r="DY156" i="38" s="1"/>
  <c r="EO159" i="38"/>
  <c r="EP159" i="38" s="1"/>
  <c r="EQ159" i="38" s="1"/>
  <c r="ES159" i="38" s="1"/>
  <c r="BM163" i="38"/>
  <c r="BN163" i="38" s="1"/>
  <c r="BO163" i="38" s="1"/>
  <c r="BQ163" i="38" s="1"/>
  <c r="CG166" i="38"/>
  <c r="CH166" i="38" s="1"/>
  <c r="CI166" i="38" s="1"/>
  <c r="CK166" i="38" s="1"/>
  <c r="BW16" i="37"/>
  <c r="BX16" i="37" s="1"/>
  <c r="BY16" i="37" s="1"/>
  <c r="CA16" i="37" s="1"/>
  <c r="BW15" i="37"/>
  <c r="BX15" i="37" s="1"/>
  <c r="BY15" i="37" s="1"/>
  <c r="CA15" i="37" s="1"/>
  <c r="EE16" i="37"/>
  <c r="EF16" i="37" s="1"/>
  <c r="EG16" i="37" s="1"/>
  <c r="EI16" i="37" s="1"/>
  <c r="CQ18" i="37"/>
  <c r="CR18" i="37" s="1"/>
  <c r="CS18" i="37" s="1"/>
  <c r="CU18" i="37" s="1"/>
  <c r="BC20" i="37"/>
  <c r="BD20" i="37" s="1"/>
  <c r="BE20" i="37" s="1"/>
  <c r="BG20" i="37" s="1"/>
  <c r="DK21" i="37"/>
  <c r="DL21" i="37" s="1"/>
  <c r="DM21" i="37" s="1"/>
  <c r="DO21" i="37" s="1"/>
  <c r="BW23" i="37"/>
  <c r="BX23" i="37" s="1"/>
  <c r="BY23" i="37" s="1"/>
  <c r="CA23" i="37" s="1"/>
  <c r="EE24" i="37"/>
  <c r="EF24" i="37" s="1"/>
  <c r="EG24" i="37" s="1"/>
  <c r="EI24" i="37" s="1"/>
  <c r="CQ26" i="37"/>
  <c r="CR26" i="37" s="1"/>
  <c r="CS26" i="37" s="1"/>
  <c r="CU26" i="37" s="1"/>
  <c r="DU14" i="37"/>
  <c r="DV14" i="37" s="1"/>
  <c r="DW14" i="37" s="1"/>
  <c r="DY14" i="37" s="1"/>
  <c r="CG16" i="37"/>
  <c r="CH16" i="37" s="1"/>
  <c r="CI16" i="37" s="1"/>
  <c r="CK16" i="37" s="1"/>
  <c r="EO17" i="37"/>
  <c r="EP17" i="37" s="1"/>
  <c r="EQ17" i="37" s="1"/>
  <c r="ES17" i="37" s="1"/>
  <c r="DA19" i="37"/>
  <c r="DB19" i="37" s="1"/>
  <c r="DC19" i="37" s="1"/>
  <c r="DE19" i="37" s="1"/>
  <c r="BM21" i="37"/>
  <c r="BN21" i="37" s="1"/>
  <c r="BO21" i="37" s="1"/>
  <c r="BQ21" i="37" s="1"/>
  <c r="DU22" i="37"/>
  <c r="DV22" i="37" s="1"/>
  <c r="DW22" i="37" s="1"/>
  <c r="DY22" i="37" s="1"/>
  <c r="CG24" i="37"/>
  <c r="CH24" i="37" s="1"/>
  <c r="CI24" i="37" s="1"/>
  <c r="CK24" i="37" s="1"/>
  <c r="EO25" i="37"/>
  <c r="EP25" i="37" s="1"/>
  <c r="EQ25" i="37" s="1"/>
  <c r="ES25" i="37" s="1"/>
  <c r="DA27" i="37"/>
  <c r="DB27" i="37" s="1"/>
  <c r="DC27" i="37" s="1"/>
  <c r="DE27" i="37" s="1"/>
  <c r="BM29" i="37"/>
  <c r="BN29" i="37" s="1"/>
  <c r="BO29" i="37" s="1"/>
  <c r="BQ29" i="37" s="1"/>
  <c r="DU30" i="37"/>
  <c r="DV30" i="37" s="1"/>
  <c r="DW30" i="37" s="1"/>
  <c r="DY30" i="37" s="1"/>
  <c r="CG32" i="37"/>
  <c r="CH32" i="37" s="1"/>
  <c r="CI32" i="37" s="1"/>
  <c r="CK32" i="37" s="1"/>
  <c r="EO33" i="37"/>
  <c r="EP33" i="37" s="1"/>
  <c r="EQ33" i="37" s="1"/>
  <c r="ES33" i="37" s="1"/>
  <c r="DA35" i="37"/>
  <c r="DB35" i="37" s="1"/>
  <c r="DC35" i="37" s="1"/>
  <c r="DE35" i="37" s="1"/>
  <c r="DK28" i="37"/>
  <c r="DL28" i="37" s="1"/>
  <c r="DM28" i="37" s="1"/>
  <c r="DO28" i="37" s="1"/>
  <c r="BW30" i="37"/>
  <c r="BX30" i="37" s="1"/>
  <c r="BY30" i="37" s="1"/>
  <c r="CA30" i="37" s="1"/>
  <c r="EE31" i="37"/>
  <c r="EF31" i="37" s="1"/>
  <c r="EG31" i="37" s="1"/>
  <c r="EI31" i="37" s="1"/>
  <c r="CQ33" i="37"/>
  <c r="CR33" i="37" s="1"/>
  <c r="CS33" i="37" s="1"/>
  <c r="CU33" i="37" s="1"/>
  <c r="BC35" i="37"/>
  <c r="BD35" i="37" s="1"/>
  <c r="BE35" i="37" s="1"/>
  <c r="BG35" i="37" s="1"/>
  <c r="BC126" i="37"/>
  <c r="BD126" i="37" s="1"/>
  <c r="BE126" i="37" s="1"/>
  <c r="BG126" i="37" s="1"/>
  <c r="DK127" i="37"/>
  <c r="DL127" i="37" s="1"/>
  <c r="DM127" i="37" s="1"/>
  <c r="DO127" i="37" s="1"/>
  <c r="BW129" i="37"/>
  <c r="BX129" i="37" s="1"/>
  <c r="BY129" i="37" s="1"/>
  <c r="CA129" i="37" s="1"/>
  <c r="EE130" i="37"/>
  <c r="EF130" i="37" s="1"/>
  <c r="EG130" i="37" s="1"/>
  <c r="EI130" i="37" s="1"/>
  <c r="CQ132" i="37"/>
  <c r="CR132" i="37" s="1"/>
  <c r="CS132" i="37" s="1"/>
  <c r="CU132" i="37" s="1"/>
  <c r="BC134" i="37"/>
  <c r="BD134" i="37" s="1"/>
  <c r="BE134" i="37" s="1"/>
  <c r="BG134" i="37" s="1"/>
  <c r="DK135" i="37"/>
  <c r="DL135" i="37" s="1"/>
  <c r="DM135" i="37" s="1"/>
  <c r="DO135" i="37" s="1"/>
  <c r="BW137" i="37"/>
  <c r="BX137" i="37" s="1"/>
  <c r="BY137" i="37" s="1"/>
  <c r="CA137" i="37" s="1"/>
  <c r="EE138" i="37"/>
  <c r="EF138" i="37" s="1"/>
  <c r="EG138" i="37" s="1"/>
  <c r="EI138" i="37" s="1"/>
  <c r="CQ140" i="37"/>
  <c r="CR140" i="37" s="1"/>
  <c r="CS140" i="37" s="1"/>
  <c r="CU140" i="37" s="1"/>
  <c r="BC142" i="37"/>
  <c r="BD142" i="37" s="1"/>
  <c r="BE142" i="37" s="1"/>
  <c r="BG142" i="37" s="1"/>
  <c r="DK143" i="37"/>
  <c r="DL143" i="37" s="1"/>
  <c r="DM143" i="37" s="1"/>
  <c r="DO143" i="37" s="1"/>
  <c r="BW145" i="37"/>
  <c r="BX145" i="37" s="1"/>
  <c r="BY145" i="37" s="1"/>
  <c r="CA145" i="37" s="1"/>
  <c r="EE146" i="37"/>
  <c r="EF146" i="37" s="1"/>
  <c r="EG146" i="37" s="1"/>
  <c r="EI146" i="37" s="1"/>
  <c r="CQ148" i="37"/>
  <c r="CR148" i="37" s="1"/>
  <c r="CS148" i="37" s="1"/>
  <c r="CU148" i="37" s="1"/>
  <c r="BC150" i="37"/>
  <c r="BD150" i="37" s="1"/>
  <c r="BE150" i="37" s="1"/>
  <c r="BG150" i="37" s="1"/>
  <c r="DK151" i="37"/>
  <c r="DL151" i="37" s="1"/>
  <c r="DM151" i="37" s="1"/>
  <c r="DO151" i="37" s="1"/>
  <c r="BW153" i="37"/>
  <c r="BX153" i="37" s="1"/>
  <c r="BY153" i="37" s="1"/>
  <c r="CA153" i="37" s="1"/>
  <c r="EE154" i="37"/>
  <c r="EF154" i="37" s="1"/>
  <c r="EG154" i="37" s="1"/>
  <c r="EI154" i="37" s="1"/>
  <c r="CG125" i="37"/>
  <c r="CH125" i="37" s="1"/>
  <c r="CI125" i="37" s="1"/>
  <c r="CK125" i="37" s="1"/>
  <c r="EO126" i="37"/>
  <c r="EP126" i="37" s="1"/>
  <c r="EQ126" i="37" s="1"/>
  <c r="ES126" i="37" s="1"/>
  <c r="DA128" i="37"/>
  <c r="DB128" i="37" s="1"/>
  <c r="DC128" i="37" s="1"/>
  <c r="DE128" i="37" s="1"/>
  <c r="BM130" i="37"/>
  <c r="BN130" i="37" s="1"/>
  <c r="BO130" i="37" s="1"/>
  <c r="BQ130" i="37" s="1"/>
  <c r="DU131" i="37"/>
  <c r="DV131" i="37" s="1"/>
  <c r="DW131" i="37" s="1"/>
  <c r="DY131" i="37" s="1"/>
  <c r="CG133" i="37"/>
  <c r="CH133" i="37" s="1"/>
  <c r="CI133" i="37" s="1"/>
  <c r="CK133" i="37" s="1"/>
  <c r="EO134" i="37"/>
  <c r="EP134" i="37" s="1"/>
  <c r="EQ134" i="37" s="1"/>
  <c r="ES134" i="37" s="1"/>
  <c r="DA136" i="37"/>
  <c r="DB136" i="37" s="1"/>
  <c r="DC136" i="37" s="1"/>
  <c r="DE136" i="37" s="1"/>
  <c r="BM138" i="37"/>
  <c r="BN138" i="37" s="1"/>
  <c r="BO138" i="37" s="1"/>
  <c r="BQ138" i="37" s="1"/>
  <c r="DU139" i="37"/>
  <c r="DV139" i="37" s="1"/>
  <c r="DW139" i="37" s="1"/>
  <c r="DY139" i="37" s="1"/>
  <c r="CG141" i="37"/>
  <c r="CH141" i="37" s="1"/>
  <c r="CI141" i="37" s="1"/>
  <c r="CK141" i="37" s="1"/>
  <c r="EO142" i="37"/>
  <c r="EP142" i="37" s="1"/>
  <c r="EQ142" i="37" s="1"/>
  <c r="ES142" i="37" s="1"/>
  <c r="DA144" i="37"/>
  <c r="DB144" i="37" s="1"/>
  <c r="DC144" i="37" s="1"/>
  <c r="DE144" i="37" s="1"/>
  <c r="BM146" i="37"/>
  <c r="BN146" i="37" s="1"/>
  <c r="BO146" i="37" s="1"/>
  <c r="BQ146" i="37" s="1"/>
  <c r="DU147" i="37"/>
  <c r="DV147" i="37" s="1"/>
  <c r="DW147" i="37" s="1"/>
  <c r="DY147" i="37" s="1"/>
  <c r="CG149" i="37"/>
  <c r="CH149" i="37" s="1"/>
  <c r="CI149" i="37" s="1"/>
  <c r="CK149" i="37" s="1"/>
  <c r="EO150" i="37"/>
  <c r="EP150" i="37" s="1"/>
  <c r="EQ150" i="37" s="1"/>
  <c r="ES150" i="37" s="1"/>
  <c r="DA152" i="37"/>
  <c r="DB152" i="37" s="1"/>
  <c r="DC152" i="37" s="1"/>
  <c r="DE152" i="37" s="1"/>
  <c r="BM154" i="37"/>
  <c r="BN154" i="37" s="1"/>
  <c r="BO154" i="37" s="1"/>
  <c r="BQ154" i="37" s="1"/>
  <c r="DU155" i="37"/>
  <c r="DV155" i="37" s="1"/>
  <c r="DW155" i="37" s="1"/>
  <c r="DY155" i="37" s="1"/>
  <c r="BW186" i="37"/>
  <c r="BX186" i="37" s="1"/>
  <c r="BY186" i="37" s="1"/>
  <c r="CA186" i="37" s="1"/>
  <c r="EE187" i="37"/>
  <c r="EF187" i="37" s="1"/>
  <c r="EG187" i="37" s="1"/>
  <c r="EI187" i="37" s="1"/>
  <c r="CQ189" i="37"/>
  <c r="CR189" i="37" s="1"/>
  <c r="CS189" i="37" s="1"/>
  <c r="CU189" i="37" s="1"/>
  <c r="BC191" i="37"/>
  <c r="BD191" i="37" s="1"/>
  <c r="BE191" i="37" s="1"/>
  <c r="BG191" i="37" s="1"/>
  <c r="BM185" i="37"/>
  <c r="BN185" i="37" s="1"/>
  <c r="BO185" i="37" s="1"/>
  <c r="BQ185" i="37" s="1"/>
  <c r="DU186" i="37"/>
  <c r="DV186" i="37" s="1"/>
  <c r="DW186" i="37" s="1"/>
  <c r="DY186" i="37" s="1"/>
  <c r="CG188" i="37"/>
  <c r="CH188" i="37" s="1"/>
  <c r="CI188" i="37" s="1"/>
  <c r="CK188" i="37" s="1"/>
  <c r="EO189" i="37"/>
  <c r="EP189" i="37" s="1"/>
  <c r="EQ189" i="37" s="1"/>
  <c r="ES189" i="37" s="1"/>
  <c r="DA191" i="37"/>
  <c r="DB191" i="37" s="1"/>
  <c r="DC191" i="37" s="1"/>
  <c r="DE191" i="37" s="1"/>
  <c r="DK221" i="37"/>
  <c r="DL221" i="37" s="1"/>
  <c r="DM221" i="37" s="1"/>
  <c r="DO221" i="37" s="1"/>
  <c r="BW223" i="37"/>
  <c r="BX223" i="37" s="1"/>
  <c r="BY223" i="37" s="1"/>
  <c r="CA223" i="37" s="1"/>
  <c r="EE224" i="37"/>
  <c r="EF224" i="37" s="1"/>
  <c r="EG224" i="37" s="1"/>
  <c r="EI224" i="37" s="1"/>
  <c r="CQ226" i="37"/>
  <c r="CR226" i="37" s="1"/>
  <c r="CS226" i="37" s="1"/>
  <c r="CU226" i="37" s="1"/>
  <c r="BC228" i="37"/>
  <c r="BD228" i="37" s="1"/>
  <c r="BE228" i="37" s="1"/>
  <c r="BG228" i="37" s="1"/>
  <c r="DK229" i="37"/>
  <c r="DL229" i="37" s="1"/>
  <c r="DM229" i="37" s="1"/>
  <c r="DO229" i="37" s="1"/>
  <c r="BW231" i="37"/>
  <c r="BX231" i="37" s="1"/>
  <c r="BY231" i="37" s="1"/>
  <c r="CA231" i="37" s="1"/>
  <c r="EE232" i="37"/>
  <c r="EF232" i="37" s="1"/>
  <c r="EG232" i="37" s="1"/>
  <c r="EI232" i="37" s="1"/>
  <c r="CQ234" i="37"/>
  <c r="CR234" i="37" s="1"/>
  <c r="CS234" i="37" s="1"/>
  <c r="CU234" i="37" s="1"/>
  <c r="BC236" i="37"/>
  <c r="BD236" i="37" s="1"/>
  <c r="BE236" i="37" s="1"/>
  <c r="BG236" i="37" s="1"/>
  <c r="DK237" i="37"/>
  <c r="DL237" i="37" s="1"/>
  <c r="DM237" i="37" s="1"/>
  <c r="DO237" i="37" s="1"/>
  <c r="BW239" i="37"/>
  <c r="BX239" i="37" s="1"/>
  <c r="BY239" i="37" s="1"/>
  <c r="CA239" i="37" s="1"/>
  <c r="EE240" i="37"/>
  <c r="EF240" i="37" s="1"/>
  <c r="EG240" i="37" s="1"/>
  <c r="EI240" i="37" s="1"/>
  <c r="CQ242" i="37"/>
  <c r="CR242" i="37" s="1"/>
  <c r="CS242" i="37" s="1"/>
  <c r="CU242" i="37" s="1"/>
  <c r="BC244" i="37"/>
  <c r="BD244" i="37" s="1"/>
  <c r="BE244" i="37" s="1"/>
  <c r="BG244" i="37" s="1"/>
  <c r="DK245" i="37"/>
  <c r="DL245" i="37" s="1"/>
  <c r="DM245" i="37" s="1"/>
  <c r="DO245" i="37" s="1"/>
  <c r="BW247" i="37"/>
  <c r="BX247" i="37" s="1"/>
  <c r="BY247" i="37" s="1"/>
  <c r="CA247" i="37" s="1"/>
  <c r="EE248" i="37"/>
  <c r="EF248" i="37" s="1"/>
  <c r="EG248" i="37" s="1"/>
  <c r="EI248" i="37" s="1"/>
  <c r="CQ250" i="37"/>
  <c r="CR250" i="37" s="1"/>
  <c r="CS250" i="37" s="1"/>
  <c r="CU250" i="37" s="1"/>
  <c r="BC252" i="37"/>
  <c r="BD252" i="37" s="1"/>
  <c r="BE252" i="37" s="1"/>
  <c r="BG252" i="37" s="1"/>
  <c r="DK253" i="37"/>
  <c r="DL253" i="37" s="1"/>
  <c r="DM253" i="37" s="1"/>
  <c r="DO253" i="37" s="1"/>
  <c r="BW255" i="37"/>
  <c r="BX255" i="37" s="1"/>
  <c r="BY255" i="37" s="1"/>
  <c r="CA255" i="37" s="1"/>
  <c r="EE256" i="37"/>
  <c r="EF256" i="37" s="1"/>
  <c r="EG256" i="37" s="1"/>
  <c r="EI256" i="37" s="1"/>
  <c r="CQ258" i="37"/>
  <c r="CR258" i="37" s="1"/>
  <c r="CS258" i="37" s="1"/>
  <c r="CU258" i="37" s="1"/>
  <c r="BC260" i="37"/>
  <c r="BD260" i="37" s="1"/>
  <c r="BE260" i="37" s="1"/>
  <c r="BG260" i="37" s="1"/>
  <c r="DK261" i="37"/>
  <c r="DL261" i="37" s="1"/>
  <c r="DM261" i="37" s="1"/>
  <c r="DO261" i="37" s="1"/>
  <c r="DA222" i="37"/>
  <c r="DB222" i="37" s="1"/>
  <c r="DC222" i="37" s="1"/>
  <c r="DE222" i="37" s="1"/>
  <c r="BM224" i="37"/>
  <c r="BN224" i="37" s="1"/>
  <c r="BO224" i="37" s="1"/>
  <c r="BQ224" i="37" s="1"/>
  <c r="DU225" i="37"/>
  <c r="DV225" i="37" s="1"/>
  <c r="DW225" i="37" s="1"/>
  <c r="DY225" i="37" s="1"/>
  <c r="CG227" i="37"/>
  <c r="CH227" i="37" s="1"/>
  <c r="CI227" i="37" s="1"/>
  <c r="CK227" i="37" s="1"/>
  <c r="EO228" i="37"/>
  <c r="EP228" i="37" s="1"/>
  <c r="EQ228" i="37" s="1"/>
  <c r="ES228" i="37" s="1"/>
  <c r="DA230" i="37"/>
  <c r="DB230" i="37" s="1"/>
  <c r="DC230" i="37" s="1"/>
  <c r="DE230" i="37" s="1"/>
  <c r="BM232" i="37"/>
  <c r="BN232" i="37" s="1"/>
  <c r="BO232" i="37" s="1"/>
  <c r="BQ232" i="37" s="1"/>
  <c r="DU233" i="37"/>
  <c r="DV233" i="37" s="1"/>
  <c r="DW233" i="37" s="1"/>
  <c r="DY233" i="37" s="1"/>
  <c r="CG235" i="37"/>
  <c r="CH235" i="37" s="1"/>
  <c r="CI235" i="37" s="1"/>
  <c r="CK235" i="37" s="1"/>
  <c r="EO236" i="37"/>
  <c r="EP236" i="37" s="1"/>
  <c r="EQ236" i="37" s="1"/>
  <c r="ES236" i="37" s="1"/>
  <c r="DA238" i="37"/>
  <c r="DB238" i="37" s="1"/>
  <c r="DC238" i="37" s="1"/>
  <c r="DE238" i="37" s="1"/>
  <c r="BM240" i="37"/>
  <c r="BN240" i="37" s="1"/>
  <c r="BO240" i="37" s="1"/>
  <c r="BQ240" i="37" s="1"/>
  <c r="DU241" i="37"/>
  <c r="DV241" i="37" s="1"/>
  <c r="DW241" i="37" s="1"/>
  <c r="DY241" i="37" s="1"/>
  <c r="CG243" i="37"/>
  <c r="CH243" i="37" s="1"/>
  <c r="CI243" i="37" s="1"/>
  <c r="CK243" i="37" s="1"/>
  <c r="EO244" i="37"/>
  <c r="EP244" i="37" s="1"/>
  <c r="EQ244" i="37" s="1"/>
  <c r="ES244" i="37" s="1"/>
  <c r="DA246" i="37"/>
  <c r="DB246" i="37" s="1"/>
  <c r="DC246" i="37" s="1"/>
  <c r="DE246" i="37" s="1"/>
  <c r="BM248" i="37"/>
  <c r="BN248" i="37" s="1"/>
  <c r="BO248" i="37" s="1"/>
  <c r="BQ248" i="37" s="1"/>
  <c r="DU249" i="37"/>
  <c r="DV249" i="37" s="1"/>
  <c r="DW249" i="37" s="1"/>
  <c r="DY249" i="37" s="1"/>
  <c r="CG251" i="37"/>
  <c r="CH251" i="37" s="1"/>
  <c r="CI251" i="37" s="1"/>
  <c r="CK251" i="37" s="1"/>
  <c r="EO252" i="37"/>
  <c r="EP252" i="37" s="1"/>
  <c r="EQ252" i="37" s="1"/>
  <c r="ES252" i="37" s="1"/>
  <c r="DA254" i="37"/>
  <c r="DB254" i="37" s="1"/>
  <c r="DC254" i="37" s="1"/>
  <c r="DE254" i="37" s="1"/>
  <c r="BM256" i="37"/>
  <c r="BN256" i="37" s="1"/>
  <c r="BO256" i="37" s="1"/>
  <c r="BQ256" i="37" s="1"/>
  <c r="DU257" i="37"/>
  <c r="DV257" i="37" s="1"/>
  <c r="DW257" i="37" s="1"/>
  <c r="DY257" i="37" s="1"/>
  <c r="CG259" i="37"/>
  <c r="CH259" i="37" s="1"/>
  <c r="CI259" i="37" s="1"/>
  <c r="CK259" i="37" s="1"/>
  <c r="EO260" i="37"/>
  <c r="EP260" i="37" s="1"/>
  <c r="EQ260" i="37" s="1"/>
  <c r="ES260" i="37" s="1"/>
  <c r="BM51" i="38"/>
  <c r="BN51" i="38" s="1"/>
  <c r="BO51" i="38" s="1"/>
  <c r="BQ51" i="38" s="1"/>
  <c r="CG51" i="38"/>
  <c r="CH51" i="38" s="1"/>
  <c r="CI51" i="38" s="1"/>
  <c r="CK51" i="38" s="1"/>
  <c r="DA54" i="38"/>
  <c r="DB54" i="38" s="1"/>
  <c r="DC54" i="38" s="1"/>
  <c r="DE54" i="38" s="1"/>
  <c r="DU57" i="38"/>
  <c r="DV57" i="38" s="1"/>
  <c r="DW57" i="38" s="1"/>
  <c r="DY57" i="38" s="1"/>
  <c r="CG54" i="38"/>
  <c r="CH54" i="38" s="1"/>
  <c r="CI54" i="38" s="1"/>
  <c r="CK54" i="38" s="1"/>
  <c r="DA57" i="38"/>
  <c r="DB57" i="38" s="1"/>
  <c r="DC57" i="38" s="1"/>
  <c r="DE57" i="38" s="1"/>
  <c r="DK60" i="38"/>
  <c r="DL60" i="38" s="1"/>
  <c r="DM60" i="38" s="1"/>
  <c r="DO60" i="38" s="1"/>
  <c r="EE78" i="38"/>
  <c r="EF78" i="38" s="1"/>
  <c r="EG78" i="38" s="1"/>
  <c r="EI78" i="38" s="1"/>
  <c r="BC82" i="38"/>
  <c r="BD82" i="38" s="1"/>
  <c r="BE82" i="38" s="1"/>
  <c r="BG82" i="38" s="1"/>
  <c r="BW85" i="38"/>
  <c r="BX85" i="38" s="1"/>
  <c r="BY85" i="38" s="1"/>
  <c r="CA85" i="38" s="1"/>
  <c r="CQ88" i="38"/>
  <c r="CR88" i="38" s="1"/>
  <c r="CS88" i="38" s="1"/>
  <c r="CU88" i="38" s="1"/>
  <c r="DK91" i="38"/>
  <c r="DL91" i="38" s="1"/>
  <c r="DM91" i="38" s="1"/>
  <c r="DO91" i="38" s="1"/>
  <c r="EE94" i="38"/>
  <c r="EF94" i="38" s="1"/>
  <c r="EG94" i="38" s="1"/>
  <c r="EI94" i="38" s="1"/>
  <c r="BC98" i="38"/>
  <c r="BD98" i="38" s="1"/>
  <c r="BE98" i="38" s="1"/>
  <c r="BG98" i="38" s="1"/>
  <c r="BW80" i="38"/>
  <c r="BX80" i="38" s="1"/>
  <c r="BY80" i="38" s="1"/>
  <c r="CA80" i="38" s="1"/>
  <c r="CQ83" i="38"/>
  <c r="CR83" i="38" s="1"/>
  <c r="CS83" i="38" s="1"/>
  <c r="CU83" i="38" s="1"/>
  <c r="DK86" i="38"/>
  <c r="DL86" i="38" s="1"/>
  <c r="DM86" i="38" s="1"/>
  <c r="DO86" i="38" s="1"/>
  <c r="EE89" i="38"/>
  <c r="EF89" i="38" s="1"/>
  <c r="EG89" i="38" s="1"/>
  <c r="EI89" i="38" s="1"/>
  <c r="BC93" i="38"/>
  <c r="BD93" i="38" s="1"/>
  <c r="BE93" i="38" s="1"/>
  <c r="BG93" i="38" s="1"/>
  <c r="BW96" i="38"/>
  <c r="BX96" i="38" s="1"/>
  <c r="BY96" i="38" s="1"/>
  <c r="CA96" i="38" s="1"/>
  <c r="DU110" i="38"/>
  <c r="DV110" i="38" s="1"/>
  <c r="DW110" i="38" s="1"/>
  <c r="DY110" i="38" s="1"/>
  <c r="CG112" i="38"/>
  <c r="CH112" i="38" s="1"/>
  <c r="CI112" i="38" s="1"/>
  <c r="CK112" i="38" s="1"/>
  <c r="EO113" i="38"/>
  <c r="EP113" i="38" s="1"/>
  <c r="EQ113" i="38" s="1"/>
  <c r="ES113" i="38" s="1"/>
  <c r="DA115" i="38"/>
  <c r="DB115" i="38" s="1"/>
  <c r="DC115" i="38" s="1"/>
  <c r="DE115" i="38" s="1"/>
  <c r="EO110" i="38"/>
  <c r="EP110" i="38" s="1"/>
  <c r="EQ110" i="38" s="1"/>
  <c r="ES110" i="38" s="1"/>
  <c r="DA112" i="38"/>
  <c r="DB112" i="38" s="1"/>
  <c r="DC112" i="38" s="1"/>
  <c r="DE112" i="38" s="1"/>
  <c r="BM114" i="38"/>
  <c r="BN114" i="38" s="1"/>
  <c r="BO114" i="38" s="1"/>
  <c r="BQ114" i="38" s="1"/>
  <c r="DU115" i="38"/>
  <c r="DV115" i="38" s="1"/>
  <c r="DW115" i="38" s="1"/>
  <c r="DY115" i="38" s="1"/>
  <c r="DA154" i="38"/>
  <c r="DB154" i="38" s="1"/>
  <c r="DC154" i="38" s="1"/>
  <c r="DE154" i="38" s="1"/>
  <c r="DU157" i="38"/>
  <c r="DV157" i="38" s="1"/>
  <c r="DW157" i="38" s="1"/>
  <c r="DY157" i="38" s="1"/>
  <c r="EO160" i="38"/>
  <c r="EP160" i="38" s="1"/>
  <c r="EQ160" i="38" s="1"/>
  <c r="ES160" i="38" s="1"/>
  <c r="BM164" i="38"/>
  <c r="BN164" i="38" s="1"/>
  <c r="BO164" i="38" s="1"/>
  <c r="BQ164" i="38" s="1"/>
  <c r="CG167" i="38"/>
  <c r="CH167" i="38" s="1"/>
  <c r="CI167" i="38" s="1"/>
  <c r="CK167" i="38" s="1"/>
  <c r="DU154" i="38"/>
  <c r="DV154" i="38" s="1"/>
  <c r="DW154" i="38" s="1"/>
  <c r="DY154" i="38" s="1"/>
  <c r="EO157" i="38"/>
  <c r="EP157" i="38" s="1"/>
  <c r="EQ157" i="38" s="1"/>
  <c r="ES157" i="38" s="1"/>
  <c r="BM161" i="38"/>
  <c r="BN161" i="38" s="1"/>
  <c r="BO161" i="38" s="1"/>
  <c r="BQ161" i="38" s="1"/>
  <c r="CG164" i="38"/>
  <c r="CH164" i="38" s="1"/>
  <c r="CI164" i="38" s="1"/>
  <c r="CK164" i="38" s="1"/>
  <c r="DA167" i="38"/>
  <c r="DB167" i="38" s="1"/>
  <c r="DC167" i="38" s="1"/>
  <c r="DE167" i="38" s="1"/>
  <c r="BM232" i="38"/>
  <c r="BN232" i="38" s="1"/>
  <c r="BO232" i="38" s="1"/>
  <c r="BQ232" i="38" s="1"/>
  <c r="CG235" i="38"/>
  <c r="CH235" i="38" s="1"/>
  <c r="CI235" i="38" s="1"/>
  <c r="CK235" i="38" s="1"/>
  <c r="DA238" i="38"/>
  <c r="DB238" i="38" s="1"/>
  <c r="DC238" i="38" s="1"/>
  <c r="DE238" i="38" s="1"/>
  <c r="DU241" i="38"/>
  <c r="DV241" i="38" s="1"/>
  <c r="DW241" i="38" s="1"/>
  <c r="DY241" i="38" s="1"/>
  <c r="EO244" i="38"/>
  <c r="EP244" i="38" s="1"/>
  <c r="EQ244" i="38" s="1"/>
  <c r="ES244" i="38" s="1"/>
  <c r="BM248" i="38"/>
  <c r="BN248" i="38" s="1"/>
  <c r="BO248" i="38" s="1"/>
  <c r="BQ248" i="38" s="1"/>
  <c r="CG251" i="38"/>
  <c r="CH251" i="38" s="1"/>
  <c r="CI251" i="38" s="1"/>
  <c r="CK251" i="38" s="1"/>
  <c r="DA254" i="38"/>
  <c r="DB254" i="38" s="1"/>
  <c r="DC254" i="38" s="1"/>
  <c r="DE254" i="38" s="1"/>
  <c r="DU257" i="38"/>
  <c r="DV257" i="38" s="1"/>
  <c r="DW257" i="38" s="1"/>
  <c r="DY257" i="38" s="1"/>
  <c r="EO260" i="38"/>
  <c r="EP260" i="38" s="1"/>
  <c r="EQ260" i="38" s="1"/>
  <c r="ES260" i="38" s="1"/>
  <c r="BM231" i="38"/>
  <c r="BN231" i="38" s="1"/>
  <c r="BO231" i="38" s="1"/>
  <c r="BQ231" i="38" s="1"/>
  <c r="CG234" i="38"/>
  <c r="CH234" i="38" s="1"/>
  <c r="CI234" i="38" s="1"/>
  <c r="CK234" i="38" s="1"/>
  <c r="DA237" i="38"/>
  <c r="DB237" i="38" s="1"/>
  <c r="DC237" i="38" s="1"/>
  <c r="DE237" i="38" s="1"/>
  <c r="DU240" i="38"/>
  <c r="DV240" i="38" s="1"/>
  <c r="DW240" i="38" s="1"/>
  <c r="DY240" i="38" s="1"/>
  <c r="EO243" i="38"/>
  <c r="EP243" i="38" s="1"/>
  <c r="EQ243" i="38" s="1"/>
  <c r="ES243" i="38" s="1"/>
  <c r="BM247" i="38"/>
  <c r="BN247" i="38" s="1"/>
  <c r="BO247" i="38" s="1"/>
  <c r="BQ247" i="38" s="1"/>
  <c r="CG250" i="38"/>
  <c r="CH250" i="38" s="1"/>
  <c r="CI250" i="38" s="1"/>
  <c r="CK250" i="38" s="1"/>
  <c r="DA253" i="38"/>
  <c r="DB253" i="38" s="1"/>
  <c r="DC253" i="38" s="1"/>
  <c r="DE253" i="38" s="1"/>
  <c r="DU256" i="38"/>
  <c r="DV256" i="38" s="1"/>
  <c r="DW256" i="38" s="1"/>
  <c r="DY256" i="38" s="1"/>
  <c r="EO259" i="38"/>
  <c r="EP259" i="38" s="1"/>
  <c r="EQ259" i="38" s="1"/>
  <c r="ES259" i="38" s="1"/>
  <c r="BM263" i="38"/>
  <c r="BN263" i="38" s="1"/>
  <c r="BO263" i="38" s="1"/>
  <c r="BQ263" i="38" s="1"/>
  <c r="DK63" i="38"/>
  <c r="DL63" i="38" s="1"/>
  <c r="DM63" i="38" s="1"/>
  <c r="DO63" i="38" s="1"/>
  <c r="EE66" i="38"/>
  <c r="EF66" i="38" s="1"/>
  <c r="EG66" i="38" s="1"/>
  <c r="EI66" i="38" s="1"/>
  <c r="BC70" i="38"/>
  <c r="BD70" i="38" s="1"/>
  <c r="BE70" i="38" s="1"/>
  <c r="BG70" i="38" s="1"/>
  <c r="BW73" i="38"/>
  <c r="BX73" i="38" s="1"/>
  <c r="BY73" i="38" s="1"/>
  <c r="CA73" i="38" s="1"/>
  <c r="CQ76" i="38"/>
  <c r="CR76" i="38" s="1"/>
  <c r="CS76" i="38" s="1"/>
  <c r="CU76" i="38" s="1"/>
  <c r="BM101" i="38"/>
  <c r="BN101" i="38" s="1"/>
  <c r="BO101" i="38" s="1"/>
  <c r="BQ101" i="38" s="1"/>
  <c r="CG104" i="38"/>
  <c r="CH104" i="38" s="1"/>
  <c r="CI104" i="38" s="1"/>
  <c r="CK104" i="38" s="1"/>
  <c r="DA107" i="38"/>
  <c r="DB107" i="38" s="1"/>
  <c r="DC107" i="38" s="1"/>
  <c r="DE107" i="38" s="1"/>
  <c r="BW62" i="38"/>
  <c r="BX62" i="38" s="1"/>
  <c r="BY62" i="38" s="1"/>
  <c r="CA62" i="38" s="1"/>
  <c r="DK68" i="38"/>
  <c r="DL68" i="38" s="1"/>
  <c r="DM68" i="38" s="1"/>
  <c r="DO68" i="38" s="1"/>
  <c r="BC75" i="38"/>
  <c r="BD75" i="38" s="1"/>
  <c r="BE75" i="38" s="1"/>
  <c r="BG75" i="38" s="1"/>
  <c r="EO102" i="38"/>
  <c r="EP102" i="38" s="1"/>
  <c r="EQ102" i="38" s="1"/>
  <c r="ES102" i="38" s="1"/>
  <c r="CG109" i="38"/>
  <c r="CH109" i="38" s="1"/>
  <c r="CI109" i="38" s="1"/>
  <c r="CK109" i="38" s="1"/>
  <c r="BM119" i="38"/>
  <c r="BN119" i="38" s="1"/>
  <c r="BO119" i="38" s="1"/>
  <c r="BQ119" i="38" s="1"/>
  <c r="CG122" i="38"/>
  <c r="CH122" i="38" s="1"/>
  <c r="CI122" i="38" s="1"/>
  <c r="CK122" i="38" s="1"/>
  <c r="DA125" i="38"/>
  <c r="DB125" i="38" s="1"/>
  <c r="DC125" i="38" s="1"/>
  <c r="DE125" i="38" s="1"/>
  <c r="DU128" i="38"/>
  <c r="DV128" i="38" s="1"/>
  <c r="DW128" i="38" s="1"/>
  <c r="DY128" i="38" s="1"/>
  <c r="EO131" i="38"/>
  <c r="EP131" i="38" s="1"/>
  <c r="EQ131" i="38" s="1"/>
  <c r="ES131" i="38" s="1"/>
  <c r="DA133" i="38"/>
  <c r="DB133" i="38" s="1"/>
  <c r="DC133" i="38" s="1"/>
  <c r="DE133" i="38" s="1"/>
  <c r="DU136" i="38"/>
  <c r="DV136" i="38" s="1"/>
  <c r="DW136" i="38" s="1"/>
  <c r="DY136" i="38" s="1"/>
  <c r="EO139" i="38"/>
  <c r="EP139" i="38" s="1"/>
  <c r="EQ139" i="38" s="1"/>
  <c r="ES139" i="38" s="1"/>
  <c r="BM143" i="38"/>
  <c r="BN143" i="38" s="1"/>
  <c r="BO143" i="38" s="1"/>
  <c r="BQ143" i="38" s="1"/>
  <c r="CG146" i="38"/>
  <c r="CH146" i="38" s="1"/>
  <c r="CI146" i="38" s="1"/>
  <c r="CK146" i="38" s="1"/>
  <c r="DA149" i="38"/>
  <c r="DB149" i="38" s="1"/>
  <c r="DC149" i="38" s="1"/>
  <c r="DE149" i="38" s="1"/>
  <c r="DA168" i="38"/>
  <c r="DB168" i="38" s="1"/>
  <c r="DC168" i="38" s="1"/>
  <c r="DE168" i="38" s="1"/>
  <c r="DU171" i="38"/>
  <c r="DV171" i="38" s="1"/>
  <c r="DW171" i="38" s="1"/>
  <c r="DY171" i="38" s="1"/>
  <c r="EO174" i="38"/>
  <c r="EP174" i="38" s="1"/>
  <c r="EQ174" i="38" s="1"/>
  <c r="ES174" i="38" s="1"/>
  <c r="BM178" i="38"/>
  <c r="BN178" i="38" s="1"/>
  <c r="BO178" i="38" s="1"/>
  <c r="BQ178" i="38" s="1"/>
  <c r="CG181" i="38"/>
  <c r="CH181" i="38" s="1"/>
  <c r="CI181" i="38" s="1"/>
  <c r="CK181" i="38" s="1"/>
  <c r="DA184" i="38"/>
  <c r="DB184" i="38" s="1"/>
  <c r="DC184" i="38" s="1"/>
  <c r="DE184" i="38" s="1"/>
  <c r="DU187" i="38"/>
  <c r="DV187" i="38" s="1"/>
  <c r="DW187" i="38" s="1"/>
  <c r="DY187" i="38" s="1"/>
  <c r="EO190" i="38"/>
  <c r="EP190" i="38" s="1"/>
  <c r="EQ190" i="38" s="1"/>
  <c r="ES190" i="38" s="1"/>
  <c r="BM194" i="38"/>
  <c r="BN194" i="38" s="1"/>
  <c r="BO194" i="38" s="1"/>
  <c r="BQ194" i="38" s="1"/>
  <c r="CG197" i="38"/>
  <c r="CH197" i="38" s="1"/>
  <c r="CI197" i="38" s="1"/>
  <c r="CK197" i="38" s="1"/>
  <c r="DK62" i="38"/>
  <c r="DL62" i="38" s="1"/>
  <c r="DM62" i="38" s="1"/>
  <c r="DO62" i="38" s="1"/>
  <c r="BC69" i="38"/>
  <c r="BD69" i="38" s="1"/>
  <c r="BE69" i="38" s="1"/>
  <c r="BG69" i="38" s="1"/>
  <c r="BC77" i="38"/>
  <c r="BD77" i="38" s="1"/>
  <c r="BE77" i="38" s="1"/>
  <c r="BG77" i="38" s="1"/>
  <c r="BM108" i="38"/>
  <c r="BN108" i="38" s="1"/>
  <c r="BO108" i="38" s="1"/>
  <c r="BQ108" i="38" s="1"/>
  <c r="DU121" i="38"/>
  <c r="DV121" i="38" s="1"/>
  <c r="DW121" i="38" s="1"/>
  <c r="DY121" i="38" s="1"/>
  <c r="BM128" i="38"/>
  <c r="BN128" i="38" s="1"/>
  <c r="BO128" i="38" s="1"/>
  <c r="BQ128" i="38" s="1"/>
  <c r="EO100" i="38"/>
  <c r="EP100" i="38" s="1"/>
  <c r="EQ100" i="38" s="1"/>
  <c r="ES100" i="38" s="1"/>
  <c r="BM118" i="38"/>
  <c r="BN118" i="38" s="1"/>
  <c r="BO118" i="38" s="1"/>
  <c r="BQ118" i="38" s="1"/>
  <c r="DA124" i="38"/>
  <c r="DB124" i="38" s="1"/>
  <c r="DC124" i="38" s="1"/>
  <c r="DE124" i="38" s="1"/>
  <c r="EO130" i="38"/>
  <c r="EP130" i="38" s="1"/>
  <c r="EQ130" i="38" s="1"/>
  <c r="ES130" i="38" s="1"/>
  <c r="CG137" i="38"/>
  <c r="CH137" i="38" s="1"/>
  <c r="CI137" i="38" s="1"/>
  <c r="CK137" i="38" s="1"/>
  <c r="DU143" i="38"/>
  <c r="DV143" i="38" s="1"/>
  <c r="DW143" i="38" s="1"/>
  <c r="DY143" i="38" s="1"/>
  <c r="BM150" i="38"/>
  <c r="BN150" i="38" s="1"/>
  <c r="BO150" i="38" s="1"/>
  <c r="BQ150" i="38" s="1"/>
  <c r="BM136" i="38"/>
  <c r="BN136" i="38" s="1"/>
  <c r="BO136" i="38" s="1"/>
  <c r="BQ136" i="38" s="1"/>
  <c r="EO148" i="38"/>
  <c r="EP148" i="38" s="1"/>
  <c r="EQ148" i="38" s="1"/>
  <c r="ES148" i="38" s="1"/>
  <c r="EO173" i="38"/>
  <c r="EP173" i="38" s="1"/>
  <c r="EQ173" i="38" s="1"/>
  <c r="ES173" i="38" s="1"/>
  <c r="CG180" i="38"/>
  <c r="CH180" i="38" s="1"/>
  <c r="CI180" i="38" s="1"/>
  <c r="CK180" i="38" s="1"/>
  <c r="DU186" i="38"/>
  <c r="DV186" i="38" s="1"/>
  <c r="DW186" i="38" s="1"/>
  <c r="DY186" i="38" s="1"/>
  <c r="BM193" i="38"/>
  <c r="BN193" i="38" s="1"/>
  <c r="BO193" i="38" s="1"/>
  <c r="BQ193" i="38" s="1"/>
  <c r="DA199" i="38"/>
  <c r="DB199" i="38" s="1"/>
  <c r="DC199" i="38" s="1"/>
  <c r="DE199" i="38" s="1"/>
  <c r="EO202" i="38"/>
  <c r="EP202" i="38" s="1"/>
  <c r="EQ202" i="38" s="1"/>
  <c r="ES202" i="38" s="1"/>
  <c r="BM206" i="38"/>
  <c r="BN206" i="38" s="1"/>
  <c r="BO206" i="38" s="1"/>
  <c r="BQ206" i="38" s="1"/>
  <c r="CG209" i="38"/>
  <c r="CH209" i="38" s="1"/>
  <c r="CI209" i="38" s="1"/>
  <c r="CK209" i="38" s="1"/>
  <c r="DA212" i="38"/>
  <c r="DB212" i="38" s="1"/>
  <c r="DC212" i="38" s="1"/>
  <c r="DE212" i="38" s="1"/>
  <c r="DU215" i="38"/>
  <c r="DV215" i="38" s="1"/>
  <c r="DW215" i="38" s="1"/>
  <c r="DY215" i="38" s="1"/>
  <c r="EO218" i="38"/>
  <c r="EP218" i="38" s="1"/>
  <c r="EQ218" i="38" s="1"/>
  <c r="ES218" i="38" s="1"/>
  <c r="BM222" i="38"/>
  <c r="BN222" i="38" s="1"/>
  <c r="BO222" i="38" s="1"/>
  <c r="BQ222" i="38" s="1"/>
  <c r="CG225" i="38"/>
  <c r="CH225" i="38" s="1"/>
  <c r="CI225" i="38" s="1"/>
  <c r="CK225" i="38" s="1"/>
  <c r="DA228" i="38"/>
  <c r="DB228" i="38" s="1"/>
  <c r="DC228" i="38" s="1"/>
  <c r="DE228" i="38" s="1"/>
  <c r="DA138" i="38"/>
  <c r="DB138" i="38" s="1"/>
  <c r="DC138" i="38" s="1"/>
  <c r="DE138" i="38" s="1"/>
  <c r="CG151" i="38"/>
  <c r="CH151" i="38" s="1"/>
  <c r="CI151" i="38" s="1"/>
  <c r="CK151" i="38" s="1"/>
  <c r="BM175" i="38"/>
  <c r="BN175" i="38" s="1"/>
  <c r="BO175" i="38" s="1"/>
  <c r="BQ175" i="38" s="1"/>
  <c r="DA181" i="38"/>
  <c r="DB181" i="38" s="1"/>
  <c r="DC181" i="38" s="1"/>
  <c r="DE181" i="38" s="1"/>
  <c r="EO187" i="38"/>
  <c r="EP187" i="38" s="1"/>
  <c r="EQ187" i="38" s="1"/>
  <c r="ES187" i="38" s="1"/>
  <c r="CG194" i="38"/>
  <c r="CH194" i="38" s="1"/>
  <c r="CI194" i="38" s="1"/>
  <c r="CK194" i="38" s="1"/>
  <c r="CG200" i="38"/>
  <c r="CH200" i="38" s="1"/>
  <c r="CI200" i="38" s="1"/>
  <c r="CK200" i="38" s="1"/>
  <c r="DA203" i="38"/>
  <c r="DB203" i="38" s="1"/>
  <c r="DC203" i="38" s="1"/>
  <c r="DE203" i="38" s="1"/>
  <c r="DU206" i="38"/>
  <c r="DV206" i="38" s="1"/>
  <c r="DW206" i="38" s="1"/>
  <c r="DY206" i="38" s="1"/>
  <c r="EO209" i="38"/>
  <c r="EP209" i="38" s="1"/>
  <c r="EQ209" i="38" s="1"/>
  <c r="ES209" i="38" s="1"/>
  <c r="BM213" i="38"/>
  <c r="BN213" i="38" s="1"/>
  <c r="BO213" i="38" s="1"/>
  <c r="BQ213" i="38" s="1"/>
  <c r="CG216" i="38"/>
  <c r="CH216" i="38" s="1"/>
  <c r="CI216" i="38" s="1"/>
  <c r="CK216" i="38" s="1"/>
  <c r="DA219" i="38"/>
  <c r="DB219" i="38" s="1"/>
  <c r="DC219" i="38" s="1"/>
  <c r="DE219" i="38" s="1"/>
  <c r="DU222" i="38"/>
  <c r="DV222" i="38" s="1"/>
  <c r="DW222" i="38" s="1"/>
  <c r="DY222" i="38" s="1"/>
  <c r="EO225" i="38"/>
  <c r="EP225" i="38" s="1"/>
  <c r="EQ225" i="38" s="1"/>
  <c r="ES225" i="38" s="1"/>
  <c r="BM229" i="38"/>
  <c r="BN229" i="38" s="1"/>
  <c r="BO229" i="38" s="1"/>
  <c r="BQ229" i="38" s="1"/>
  <c r="CQ253" i="38"/>
  <c r="CR253" i="38" s="1"/>
  <c r="CS253" i="38" s="1"/>
  <c r="CU253" i="38" s="1"/>
  <c r="DK259" i="38"/>
  <c r="DL259" i="38" s="1"/>
  <c r="DM259" i="38" s="1"/>
  <c r="DO259" i="38" s="1"/>
  <c r="EE262" i="38"/>
  <c r="EF262" i="38" s="1"/>
  <c r="EG262" i="38" s="1"/>
  <c r="EI262" i="38" s="1"/>
  <c r="DU264" i="38"/>
  <c r="DV264" i="38" s="1"/>
  <c r="DW264" i="38" s="1"/>
  <c r="DY264" i="38" s="1"/>
  <c r="CG266" i="38"/>
  <c r="CH266" i="38" s="1"/>
  <c r="CI266" i="38" s="1"/>
  <c r="CK266" i="38" s="1"/>
  <c r="EO267" i="38"/>
  <c r="EP267" i="38" s="1"/>
  <c r="EQ267" i="38" s="1"/>
  <c r="ES267" i="38" s="1"/>
  <c r="EO90" i="38"/>
  <c r="EP90" i="38" s="1"/>
  <c r="EQ90" i="38" s="1"/>
  <c r="ES90" i="38" s="1"/>
  <c r="EO86" i="38"/>
  <c r="EP86" i="38" s="1"/>
  <c r="EQ86" i="38" s="1"/>
  <c r="ES86" i="38" s="1"/>
  <c r="EO29" i="38"/>
  <c r="EP29" i="38" s="1"/>
  <c r="EQ29" i="38" s="1"/>
  <c r="ES29" i="38" s="1"/>
  <c r="EO88" i="38"/>
  <c r="EP88" i="38" s="1"/>
  <c r="EQ88" i="38" s="1"/>
  <c r="ES88" i="38" s="1"/>
  <c r="EO71" i="38"/>
  <c r="EP71" i="38" s="1"/>
  <c r="EQ71" i="38" s="1"/>
  <c r="ES71" i="38" s="1"/>
  <c r="EO11" i="38"/>
  <c r="EP11" i="38" s="1"/>
  <c r="EQ11" i="38" s="1"/>
  <c r="ES11" i="38" s="1"/>
  <c r="EO42" i="38"/>
  <c r="EP42" i="38" s="1"/>
  <c r="EQ42" i="38" s="1"/>
  <c r="ES42" i="38" s="1"/>
  <c r="EO34" i="38"/>
  <c r="EP34" i="38" s="1"/>
  <c r="EQ34" i="38" s="1"/>
  <c r="ES34" i="38" s="1"/>
  <c r="EE240" i="38"/>
  <c r="EF240" i="38" s="1"/>
  <c r="EG240" i="38" s="1"/>
  <c r="EI240" i="38" s="1"/>
  <c r="EE225" i="38"/>
  <c r="EF225" i="38" s="1"/>
  <c r="EG225" i="38" s="1"/>
  <c r="EI225" i="38" s="1"/>
  <c r="EE209" i="38"/>
  <c r="EF209" i="38" s="1"/>
  <c r="EG209" i="38" s="1"/>
  <c r="EI209" i="38" s="1"/>
  <c r="EE187" i="38"/>
  <c r="EF187" i="38" s="1"/>
  <c r="EG187" i="38" s="1"/>
  <c r="EI187" i="38" s="1"/>
  <c r="EE136" i="38"/>
  <c r="EF136" i="38" s="1"/>
  <c r="EG136" i="38" s="1"/>
  <c r="EI136" i="38" s="1"/>
  <c r="EE245" i="38"/>
  <c r="EF245" i="38" s="1"/>
  <c r="EG245" i="38" s="1"/>
  <c r="EI245" i="38" s="1"/>
  <c r="EE228" i="38"/>
  <c r="EF228" i="38" s="1"/>
  <c r="EG228" i="38" s="1"/>
  <c r="EI228" i="38" s="1"/>
  <c r="EE212" i="38"/>
  <c r="EF212" i="38" s="1"/>
  <c r="EG212" i="38" s="1"/>
  <c r="EI212" i="38" s="1"/>
  <c r="EE193" i="38"/>
  <c r="EF193" i="38" s="1"/>
  <c r="EG193" i="38" s="1"/>
  <c r="EI193" i="38" s="1"/>
  <c r="EE159" i="38"/>
  <c r="EF159" i="38" s="1"/>
  <c r="EG159" i="38" s="1"/>
  <c r="EI159" i="38" s="1"/>
  <c r="EE150" i="38"/>
  <c r="EF150" i="38" s="1"/>
  <c r="EG150" i="38" s="1"/>
  <c r="EI150" i="38" s="1"/>
  <c r="EE118" i="38"/>
  <c r="EF118" i="38" s="1"/>
  <c r="EG118" i="38" s="1"/>
  <c r="EI118" i="38" s="1"/>
  <c r="EE110" i="38"/>
  <c r="EF110" i="38" s="1"/>
  <c r="EG110" i="38" s="1"/>
  <c r="EI110" i="38" s="1"/>
  <c r="EE192" i="38"/>
  <c r="EF192" i="38" s="1"/>
  <c r="EG192" i="38" s="1"/>
  <c r="EI192" i="38" s="1"/>
  <c r="EE176" i="38"/>
  <c r="EF176" i="38" s="1"/>
  <c r="EG176" i="38" s="1"/>
  <c r="EI176" i="38" s="1"/>
  <c r="EE161" i="38"/>
  <c r="EF161" i="38" s="1"/>
  <c r="EG161" i="38" s="1"/>
  <c r="EI161" i="38" s="1"/>
  <c r="EE145" i="38"/>
  <c r="EF145" i="38" s="1"/>
  <c r="EG145" i="38" s="1"/>
  <c r="EI145" i="38" s="1"/>
  <c r="EE129" i="38"/>
  <c r="EF129" i="38" s="1"/>
  <c r="EG129" i="38" s="1"/>
  <c r="EI129" i="38" s="1"/>
  <c r="EE114" i="38"/>
  <c r="EF114" i="38" s="1"/>
  <c r="EG114" i="38" s="1"/>
  <c r="EI114" i="38" s="1"/>
  <c r="EE112" i="38"/>
  <c r="EF112" i="38" s="1"/>
  <c r="EG112" i="38" s="1"/>
  <c r="EI112" i="38" s="1"/>
  <c r="EE58" i="38"/>
  <c r="EF58" i="38" s="1"/>
  <c r="EG58" i="38" s="1"/>
  <c r="EI58" i="38" s="1"/>
  <c r="EE20" i="38"/>
  <c r="EF20" i="38" s="1"/>
  <c r="EG20" i="38" s="1"/>
  <c r="EI20" i="38" s="1"/>
  <c r="EE22" i="38"/>
  <c r="EF22" i="38" s="1"/>
  <c r="EG22" i="38" s="1"/>
  <c r="EI22" i="38" s="1"/>
  <c r="DK237" i="38"/>
  <c r="DL237" i="38" s="1"/>
  <c r="DM237" i="38" s="1"/>
  <c r="DO237" i="38" s="1"/>
  <c r="DK220" i="38"/>
  <c r="DL220" i="38" s="1"/>
  <c r="DM220" i="38" s="1"/>
  <c r="DO220" i="38" s="1"/>
  <c r="DK204" i="38"/>
  <c r="DL204" i="38" s="1"/>
  <c r="DM204" i="38" s="1"/>
  <c r="DO204" i="38" s="1"/>
  <c r="DK176" i="38"/>
  <c r="DL176" i="38" s="1"/>
  <c r="DM176" i="38" s="1"/>
  <c r="DO176" i="38" s="1"/>
  <c r="DK255" i="38"/>
  <c r="DL255" i="38" s="1"/>
  <c r="DM255" i="38" s="1"/>
  <c r="DO255" i="38" s="1"/>
  <c r="DK239" i="38"/>
  <c r="DL239" i="38" s="1"/>
  <c r="DM239" i="38" s="1"/>
  <c r="DO239" i="38" s="1"/>
  <c r="DK225" i="38"/>
  <c r="DL225" i="38" s="1"/>
  <c r="DM225" i="38" s="1"/>
  <c r="DO225" i="38" s="1"/>
  <c r="DK209" i="38"/>
  <c r="DL209" i="38" s="1"/>
  <c r="DM209" i="38" s="1"/>
  <c r="DO209" i="38" s="1"/>
  <c r="DK186" i="38"/>
  <c r="DL186" i="38" s="1"/>
  <c r="DM186" i="38" s="1"/>
  <c r="DO186" i="38" s="1"/>
  <c r="DK137" i="38"/>
  <c r="DL137" i="38" s="1"/>
  <c r="DM137" i="38" s="1"/>
  <c r="DO137" i="38" s="1"/>
  <c r="DK139" i="38"/>
  <c r="DL139" i="38" s="1"/>
  <c r="DM139" i="38" s="1"/>
  <c r="DO139" i="38" s="1"/>
  <c r="DK125" i="38"/>
  <c r="DL125" i="38" s="1"/>
  <c r="DM125" i="38" s="1"/>
  <c r="DO125" i="38" s="1"/>
  <c r="DK51" i="38"/>
  <c r="DL51" i="38" s="1"/>
  <c r="DM51" i="38" s="1"/>
  <c r="DO51" i="38" s="1"/>
  <c r="DK187" i="38"/>
  <c r="DL187" i="38" s="1"/>
  <c r="DM187" i="38" s="1"/>
  <c r="DO187" i="38" s="1"/>
  <c r="DK171" i="38"/>
  <c r="DL171" i="38" s="1"/>
  <c r="DM171" i="38" s="1"/>
  <c r="DO171" i="38" s="1"/>
  <c r="DK155" i="38"/>
  <c r="DL155" i="38" s="1"/>
  <c r="DM155" i="38" s="1"/>
  <c r="DO155" i="38" s="1"/>
  <c r="DK140" i="38"/>
  <c r="DL140" i="38" s="1"/>
  <c r="DM140" i="38" s="1"/>
  <c r="DO140" i="38" s="1"/>
  <c r="DK124" i="38"/>
  <c r="DL124" i="38" s="1"/>
  <c r="DM124" i="38" s="1"/>
  <c r="DO124" i="38" s="1"/>
  <c r="DK107" i="38"/>
  <c r="DL107" i="38" s="1"/>
  <c r="DM107" i="38" s="1"/>
  <c r="DO107" i="38" s="1"/>
  <c r="DK106" i="38"/>
  <c r="DL106" i="38" s="1"/>
  <c r="DM106" i="38" s="1"/>
  <c r="DO106" i="38" s="1"/>
  <c r="DK28" i="38"/>
  <c r="DL28" i="38" s="1"/>
  <c r="DM28" i="38" s="1"/>
  <c r="DO28" i="38" s="1"/>
  <c r="DK18" i="38"/>
  <c r="DL18" i="38" s="1"/>
  <c r="DM18" i="38" s="1"/>
  <c r="DO18" i="38" s="1"/>
  <c r="DK20" i="38"/>
  <c r="DL20" i="38" s="1"/>
  <c r="DM20" i="38" s="1"/>
  <c r="DO20" i="38" s="1"/>
  <c r="DA70" i="38"/>
  <c r="DB70" i="38" s="1"/>
  <c r="DC70" i="38" s="1"/>
  <c r="DE70" i="38" s="1"/>
  <c r="DA88" i="38"/>
  <c r="DB88" i="38" s="1"/>
  <c r="DC88" i="38" s="1"/>
  <c r="DE88" i="38" s="1"/>
  <c r="DA95" i="38"/>
  <c r="DB95" i="38" s="1"/>
  <c r="DC95" i="38" s="1"/>
  <c r="DE95" i="38" s="1"/>
  <c r="DA79" i="38"/>
  <c r="DB79" i="38" s="1"/>
  <c r="DC79" i="38" s="1"/>
  <c r="DE79" i="38" s="1"/>
  <c r="DA63" i="38"/>
  <c r="DB63" i="38" s="1"/>
  <c r="DC63" i="38" s="1"/>
  <c r="DE63" i="38" s="1"/>
  <c r="DA47" i="38"/>
  <c r="DB47" i="38" s="1"/>
  <c r="DC47" i="38" s="1"/>
  <c r="DE47" i="38" s="1"/>
  <c r="DA39" i="38"/>
  <c r="DB39" i="38" s="1"/>
  <c r="DC39" i="38" s="1"/>
  <c r="DE39" i="38" s="1"/>
  <c r="CG90" i="38"/>
  <c r="CH90" i="38" s="1"/>
  <c r="CI90" i="38" s="1"/>
  <c r="CK90" i="38" s="1"/>
  <c r="CG67" i="38"/>
  <c r="CH67" i="38" s="1"/>
  <c r="CI67" i="38" s="1"/>
  <c r="CK67" i="38" s="1"/>
  <c r="CG77" i="38"/>
  <c r="CH77" i="38" s="1"/>
  <c r="CI77" i="38" s="1"/>
  <c r="CK77" i="38" s="1"/>
  <c r="CG95" i="38"/>
  <c r="CH95" i="38" s="1"/>
  <c r="CI95" i="38" s="1"/>
  <c r="CK95" i="38" s="1"/>
  <c r="CG79" i="38"/>
  <c r="CH79" i="38" s="1"/>
  <c r="CI79" i="38" s="1"/>
  <c r="CK79" i="38" s="1"/>
  <c r="CG62" i="38"/>
  <c r="CH62" i="38" s="1"/>
  <c r="CI62" i="38" s="1"/>
  <c r="CK62" i="38" s="1"/>
  <c r="CG47" i="38"/>
  <c r="CH47" i="38" s="1"/>
  <c r="CI47" i="38" s="1"/>
  <c r="CK47" i="38" s="1"/>
  <c r="CG39" i="38"/>
  <c r="CH39" i="38" s="1"/>
  <c r="CI39" i="38" s="1"/>
  <c r="CK39" i="38" s="1"/>
  <c r="CG9" i="38"/>
  <c r="CH9" i="38" s="1"/>
  <c r="CI9" i="38" s="1"/>
  <c r="CK9" i="38" s="1"/>
  <c r="BW255" i="38"/>
  <c r="BX255" i="38" s="1"/>
  <c r="BY255" i="38" s="1"/>
  <c r="CA255" i="38" s="1"/>
  <c r="EE260" i="38"/>
  <c r="EF260" i="38" s="1"/>
  <c r="EG260" i="38" s="1"/>
  <c r="EI260" i="38" s="1"/>
  <c r="DK263" i="38"/>
  <c r="DL263" i="38" s="1"/>
  <c r="DM263" i="38" s="1"/>
  <c r="DO263" i="38" s="1"/>
  <c r="BW265" i="38"/>
  <c r="BX265" i="38" s="1"/>
  <c r="BY265" i="38" s="1"/>
  <c r="CA265" i="38" s="1"/>
  <c r="EE266" i="38"/>
  <c r="EF266" i="38" s="1"/>
  <c r="EG266" i="38" s="1"/>
  <c r="EI266" i="38" s="1"/>
  <c r="CQ268" i="38"/>
  <c r="CR268" i="38" s="1"/>
  <c r="CS268" i="38" s="1"/>
  <c r="CU268" i="38" s="1"/>
  <c r="DU87" i="38"/>
  <c r="DV87" i="38" s="1"/>
  <c r="DW87" i="38" s="1"/>
  <c r="DY87" i="38" s="1"/>
  <c r="DU92" i="38"/>
  <c r="DV92" i="38" s="1"/>
  <c r="DW92" i="38" s="1"/>
  <c r="DY92" i="38" s="1"/>
  <c r="DU97" i="38"/>
  <c r="DV97" i="38" s="1"/>
  <c r="DW97" i="38" s="1"/>
  <c r="DY97" i="38" s="1"/>
  <c r="DU81" i="38"/>
  <c r="DV81" i="38" s="1"/>
  <c r="DW81" i="38" s="1"/>
  <c r="DY81" i="38" s="1"/>
  <c r="DU66" i="38"/>
  <c r="DV66" i="38" s="1"/>
  <c r="DW66" i="38" s="1"/>
  <c r="DY66" i="38" s="1"/>
  <c r="DU47" i="38"/>
  <c r="DV47" i="38" s="1"/>
  <c r="DW47" i="38" s="1"/>
  <c r="DY47" i="38" s="1"/>
  <c r="DU39" i="38"/>
  <c r="DV39" i="38" s="1"/>
  <c r="DW39" i="38" s="1"/>
  <c r="DY39" i="38" s="1"/>
  <c r="DU9" i="38"/>
  <c r="DV9" i="38" s="1"/>
  <c r="DW9" i="38" s="1"/>
  <c r="DY9" i="38" s="1"/>
  <c r="CQ233" i="38"/>
  <c r="CR233" i="38" s="1"/>
  <c r="CS233" i="38" s="1"/>
  <c r="CU233" i="38" s="1"/>
  <c r="CQ217" i="38"/>
  <c r="CR217" i="38" s="1"/>
  <c r="CS217" i="38" s="1"/>
  <c r="CU217" i="38" s="1"/>
  <c r="CQ201" i="38"/>
  <c r="CR201" i="38" s="1"/>
  <c r="CS201" i="38" s="1"/>
  <c r="CU201" i="38" s="1"/>
  <c r="CQ162" i="38"/>
  <c r="CR162" i="38" s="1"/>
  <c r="CS162" i="38" s="1"/>
  <c r="CU162" i="38" s="1"/>
  <c r="CQ251" i="38"/>
  <c r="CR251" i="38" s="1"/>
  <c r="CS251" i="38" s="1"/>
  <c r="CU251" i="38" s="1"/>
  <c r="CQ235" i="38"/>
  <c r="CR235" i="38" s="1"/>
  <c r="CS235" i="38" s="1"/>
  <c r="CU235" i="38" s="1"/>
  <c r="CQ218" i="38"/>
  <c r="CR218" i="38" s="1"/>
  <c r="CS218" i="38" s="1"/>
  <c r="CU218" i="38" s="1"/>
  <c r="CQ202" i="38"/>
  <c r="CR202" i="38" s="1"/>
  <c r="CS202" i="38" s="1"/>
  <c r="CU202" i="38" s="1"/>
  <c r="CQ175" i="38"/>
  <c r="CR175" i="38" s="1"/>
  <c r="CS175" i="38" s="1"/>
  <c r="CU175" i="38" s="1"/>
  <c r="CQ166" i="38"/>
  <c r="CR166" i="38" s="1"/>
  <c r="CS166" i="38" s="1"/>
  <c r="CU166" i="38" s="1"/>
  <c r="CQ136" i="38"/>
  <c r="CR136" i="38" s="1"/>
  <c r="CS136" i="38" s="1"/>
  <c r="CU136" i="38" s="1"/>
  <c r="CQ102" i="38"/>
  <c r="CR102" i="38" s="1"/>
  <c r="CS102" i="38" s="1"/>
  <c r="CU102" i="38" s="1"/>
  <c r="CQ198" i="38"/>
  <c r="CR198" i="38" s="1"/>
  <c r="CS198" i="38" s="1"/>
  <c r="CU198" i="38" s="1"/>
  <c r="CQ182" i="38"/>
  <c r="CR182" i="38" s="1"/>
  <c r="CS182" i="38" s="1"/>
  <c r="CU182" i="38" s="1"/>
  <c r="CQ167" i="38"/>
  <c r="CR167" i="38" s="1"/>
  <c r="CS167" i="38" s="1"/>
  <c r="CU167" i="38" s="1"/>
  <c r="CQ149" i="38"/>
  <c r="CR149" i="38" s="1"/>
  <c r="CS149" i="38" s="1"/>
  <c r="CU149" i="38" s="1"/>
  <c r="CQ133" i="38"/>
  <c r="CR133" i="38" s="1"/>
  <c r="CS133" i="38" s="1"/>
  <c r="CU133" i="38" s="1"/>
  <c r="CQ117" i="38"/>
  <c r="CR117" i="38" s="1"/>
  <c r="CS117" i="38" s="1"/>
  <c r="CU117" i="38" s="1"/>
  <c r="CQ111" i="38"/>
  <c r="CR111" i="38" s="1"/>
  <c r="CS111" i="38" s="1"/>
  <c r="CU111" i="38" s="1"/>
  <c r="CQ57" i="38"/>
  <c r="CR57" i="38" s="1"/>
  <c r="CS57" i="38" s="1"/>
  <c r="CU57" i="38" s="1"/>
  <c r="CQ13" i="38"/>
  <c r="CR13" i="38" s="1"/>
  <c r="CS13" i="38" s="1"/>
  <c r="CU13" i="38" s="1"/>
  <c r="CQ26" i="38"/>
  <c r="CR26" i="38" s="1"/>
  <c r="CS26" i="38" s="1"/>
  <c r="CU26" i="38" s="1"/>
  <c r="BW243" i="38"/>
  <c r="BX243" i="38" s="1"/>
  <c r="BY243" i="38" s="1"/>
  <c r="CA243" i="38" s="1"/>
  <c r="BW228" i="38"/>
  <c r="BX228" i="38" s="1"/>
  <c r="BY228" i="38" s="1"/>
  <c r="CA228" i="38" s="1"/>
  <c r="BW212" i="38"/>
  <c r="BX212" i="38" s="1"/>
  <c r="BY212" i="38" s="1"/>
  <c r="CA212" i="38" s="1"/>
  <c r="BW194" i="38"/>
  <c r="BX194" i="38" s="1"/>
  <c r="BY194" i="38" s="1"/>
  <c r="CA194" i="38" s="1"/>
  <c r="BW158" i="38"/>
  <c r="BX158" i="38" s="1"/>
  <c r="BY158" i="38" s="1"/>
  <c r="CA158" i="38" s="1"/>
  <c r="BW249" i="38"/>
  <c r="BX249" i="38" s="1"/>
  <c r="BY249" i="38" s="1"/>
  <c r="CA249" i="38" s="1"/>
  <c r="BW233" i="38"/>
  <c r="BX233" i="38" s="1"/>
  <c r="BY233" i="38" s="1"/>
  <c r="CA233" i="38" s="1"/>
  <c r="BW217" i="38"/>
  <c r="BX217" i="38" s="1"/>
  <c r="BY217" i="38" s="1"/>
  <c r="CA217" i="38" s="1"/>
  <c r="BW201" i="38"/>
  <c r="BX201" i="38" s="1"/>
  <c r="BY201" i="38" s="1"/>
  <c r="CA201" i="38" s="1"/>
  <c r="BW167" i="38"/>
  <c r="BX167" i="38" s="1"/>
  <c r="BY167" i="38" s="1"/>
  <c r="CA167" i="38" s="1"/>
  <c r="BW149" i="38"/>
  <c r="BX149" i="38" s="1"/>
  <c r="BY149" i="38" s="1"/>
  <c r="CA149" i="38" s="1"/>
  <c r="BW117" i="38"/>
  <c r="BX117" i="38" s="1"/>
  <c r="BY117" i="38" s="1"/>
  <c r="CA117" i="38" s="1"/>
  <c r="BW103" i="38"/>
  <c r="BX103" i="38" s="1"/>
  <c r="BY103" i="38" s="1"/>
  <c r="CA103" i="38" s="1"/>
  <c r="BW187" i="38"/>
  <c r="BX187" i="38" s="1"/>
  <c r="BY187" i="38" s="1"/>
  <c r="CA187" i="38" s="1"/>
  <c r="BW171" i="38"/>
  <c r="BX171" i="38" s="1"/>
  <c r="BY171" i="38" s="1"/>
  <c r="CA171" i="38" s="1"/>
  <c r="BW156" i="38"/>
  <c r="BX156" i="38" s="1"/>
  <c r="BY156" i="38" s="1"/>
  <c r="CA156" i="38" s="1"/>
  <c r="BW140" i="38"/>
  <c r="BX140" i="38" s="1"/>
  <c r="BY140" i="38" s="1"/>
  <c r="CA140" i="38" s="1"/>
  <c r="BW124" i="38"/>
  <c r="BX124" i="38" s="1"/>
  <c r="BY124" i="38" s="1"/>
  <c r="CA124" i="38" s="1"/>
  <c r="BW101" i="38"/>
  <c r="BX101" i="38" s="1"/>
  <c r="BY101" i="38" s="1"/>
  <c r="CA101" i="38" s="1"/>
  <c r="BW110" i="38"/>
  <c r="BX110" i="38" s="1"/>
  <c r="BY110" i="38" s="1"/>
  <c r="CA110" i="38" s="1"/>
  <c r="BW28" i="38"/>
  <c r="BX28" i="38" s="1"/>
  <c r="BY28" i="38" s="1"/>
  <c r="CA28" i="38" s="1"/>
  <c r="BW15" i="38"/>
  <c r="BX15" i="38" s="1"/>
  <c r="BY15" i="38" s="1"/>
  <c r="CA15" i="38" s="1"/>
  <c r="BW21" i="38"/>
  <c r="BX21" i="38" s="1"/>
  <c r="BY21" i="38" s="1"/>
  <c r="CA21" i="38" s="1"/>
  <c r="BM78" i="38"/>
  <c r="BN78" i="38" s="1"/>
  <c r="BO78" i="38" s="1"/>
  <c r="BQ78" i="38" s="1"/>
  <c r="BM91" i="38"/>
  <c r="BN91" i="38" s="1"/>
  <c r="BO91" i="38" s="1"/>
  <c r="BQ91" i="38" s="1"/>
  <c r="BM33" i="38"/>
  <c r="BN33" i="38" s="1"/>
  <c r="BO33" i="38" s="1"/>
  <c r="BQ33" i="38" s="1"/>
  <c r="BM85" i="38"/>
  <c r="BN85" i="38" s="1"/>
  <c r="BO85" i="38" s="1"/>
  <c r="BQ85" i="38" s="1"/>
  <c r="BM69" i="38"/>
  <c r="BN69" i="38" s="1"/>
  <c r="BO69" i="38" s="1"/>
  <c r="BQ69" i="38" s="1"/>
  <c r="BM49" i="38"/>
  <c r="BN49" i="38" s="1"/>
  <c r="BO49" i="38" s="1"/>
  <c r="BQ49" i="38" s="1"/>
  <c r="BM41" i="38"/>
  <c r="BN41" i="38" s="1"/>
  <c r="BO41" i="38" s="1"/>
  <c r="BQ41" i="38" s="1"/>
  <c r="BM30" i="38"/>
  <c r="BN30" i="38" s="1"/>
  <c r="BO30" i="38" s="1"/>
  <c r="BQ30" i="38" s="1"/>
  <c r="BC239" i="38"/>
  <c r="BD239" i="38" s="1"/>
  <c r="BE239" i="38" s="1"/>
  <c r="BG239" i="38" s="1"/>
  <c r="BC223" i="38"/>
  <c r="BD223" i="38" s="1"/>
  <c r="BE223" i="38" s="1"/>
  <c r="BG223" i="38" s="1"/>
  <c r="BC207" i="38"/>
  <c r="BD207" i="38" s="1"/>
  <c r="BE207" i="38" s="1"/>
  <c r="BG207" i="38" s="1"/>
  <c r="BC183" i="38"/>
  <c r="BD183" i="38" s="1"/>
  <c r="BE183" i="38" s="1"/>
  <c r="BG183" i="38" s="1"/>
  <c r="BC140" i="38"/>
  <c r="BD140" i="38" s="1"/>
  <c r="BE140" i="38" s="1"/>
  <c r="BG140" i="38" s="1"/>
  <c r="BC246" i="38"/>
  <c r="BD246" i="38" s="1"/>
  <c r="BE246" i="38" s="1"/>
  <c r="BG246" i="38" s="1"/>
  <c r="BC230" i="38"/>
  <c r="BD230" i="38" s="1"/>
  <c r="BE230" i="38" s="1"/>
  <c r="BG230" i="38" s="1"/>
  <c r="BC214" i="38"/>
  <c r="BD214" i="38" s="1"/>
  <c r="BE214" i="38" s="1"/>
  <c r="BG214" i="38" s="1"/>
  <c r="BC197" i="38"/>
  <c r="BD197" i="38" s="1"/>
  <c r="BE197" i="38" s="1"/>
  <c r="BG197" i="38" s="1"/>
  <c r="BC163" i="38"/>
  <c r="BD163" i="38" s="1"/>
  <c r="BE163" i="38" s="1"/>
  <c r="BG163" i="38" s="1"/>
  <c r="BC150" i="38"/>
  <c r="BD150" i="38" s="1"/>
  <c r="BE150" i="38" s="1"/>
  <c r="BG150" i="38" s="1"/>
  <c r="BC118" i="38"/>
  <c r="BD118" i="38" s="1"/>
  <c r="BE118" i="38" s="1"/>
  <c r="BG118" i="38" s="1"/>
  <c r="BC108" i="38"/>
  <c r="BD108" i="38" s="1"/>
  <c r="BE108" i="38" s="1"/>
  <c r="BG108" i="38" s="1"/>
  <c r="BC192" i="38"/>
  <c r="BD192" i="38" s="1"/>
  <c r="BE192" i="38" s="1"/>
  <c r="BG192" i="38" s="1"/>
  <c r="BC176" i="38"/>
  <c r="BD176" i="38" s="1"/>
  <c r="BE176" i="38" s="1"/>
  <c r="BG176" i="38" s="1"/>
  <c r="BC158" i="38"/>
  <c r="BD158" i="38" s="1"/>
  <c r="BE158" i="38" s="1"/>
  <c r="BG158" i="38" s="1"/>
  <c r="BC143" i="38"/>
  <c r="BD143" i="38" s="1"/>
  <c r="BE143" i="38" s="1"/>
  <c r="BG143" i="38" s="1"/>
  <c r="BC127" i="38"/>
  <c r="BD127" i="38" s="1"/>
  <c r="BE127" i="38" s="1"/>
  <c r="BG127" i="38" s="1"/>
  <c r="BC106" i="38"/>
  <c r="BD106" i="38" s="1"/>
  <c r="BE106" i="38" s="1"/>
  <c r="BG106" i="38" s="1"/>
  <c r="BC112" i="38"/>
  <c r="BD112" i="38" s="1"/>
  <c r="BE112" i="38" s="1"/>
  <c r="BG112" i="38" s="1"/>
  <c r="BC58" i="38"/>
  <c r="BD58" i="38" s="1"/>
  <c r="BE58" i="38" s="1"/>
  <c r="BG58" i="38" s="1"/>
  <c r="BC14" i="38"/>
  <c r="BD14" i="38" s="1"/>
  <c r="BE14" i="38" s="1"/>
  <c r="BG14" i="38" s="1"/>
  <c r="BC18" i="38"/>
  <c r="BD18" i="38" s="1"/>
  <c r="BE18" i="38" s="1"/>
  <c r="BG18" i="38" s="1"/>
  <c r="BM99" i="37"/>
  <c r="BN99" i="37" s="1"/>
  <c r="BO99" i="37" s="1"/>
  <c r="BQ99" i="37" s="1"/>
  <c r="DU231" i="38"/>
  <c r="DV231" i="38" s="1"/>
  <c r="DW231" i="38" s="1"/>
  <c r="DY231" i="38" s="1"/>
  <c r="EO234" i="38"/>
  <c r="EP234" i="38" s="1"/>
  <c r="EQ234" i="38" s="1"/>
  <c r="ES234" i="38" s="1"/>
  <c r="BM238" i="38"/>
  <c r="BN238" i="38" s="1"/>
  <c r="BO238" i="38" s="1"/>
  <c r="BQ238" i="38" s="1"/>
  <c r="CG241" i="38"/>
  <c r="CH241" i="38" s="1"/>
  <c r="CI241" i="38" s="1"/>
  <c r="CK241" i="38" s="1"/>
  <c r="DA244" i="38"/>
  <c r="DB244" i="38" s="1"/>
  <c r="DC244" i="38" s="1"/>
  <c r="DE244" i="38" s="1"/>
  <c r="DU247" i="38"/>
  <c r="DV247" i="38" s="1"/>
  <c r="DW247" i="38" s="1"/>
  <c r="DY247" i="38" s="1"/>
  <c r="EO250" i="38"/>
  <c r="EP250" i="38" s="1"/>
  <c r="EQ250" i="38" s="1"/>
  <c r="ES250" i="38" s="1"/>
  <c r="BM254" i="38"/>
  <c r="BN254" i="38" s="1"/>
  <c r="BO254" i="38" s="1"/>
  <c r="BQ254" i="38" s="1"/>
  <c r="CG257" i="38"/>
  <c r="CH257" i="38" s="1"/>
  <c r="CI257" i="38" s="1"/>
  <c r="CK257" i="38" s="1"/>
  <c r="DA260" i="38"/>
  <c r="DB260" i="38" s="1"/>
  <c r="DC260" i="38" s="1"/>
  <c r="DE260" i="38" s="1"/>
  <c r="DU230" i="38"/>
  <c r="DV230" i="38" s="1"/>
  <c r="DW230" i="38" s="1"/>
  <c r="DY230" i="38" s="1"/>
  <c r="EO233" i="38"/>
  <c r="EP233" i="38" s="1"/>
  <c r="EQ233" i="38" s="1"/>
  <c r="ES233" i="38" s="1"/>
  <c r="BM237" i="38"/>
  <c r="BN237" i="38" s="1"/>
  <c r="BO237" i="38" s="1"/>
  <c r="BQ237" i="38" s="1"/>
  <c r="CG240" i="38"/>
  <c r="CH240" i="38" s="1"/>
  <c r="CI240" i="38" s="1"/>
  <c r="CK240" i="38" s="1"/>
  <c r="DA243" i="38"/>
  <c r="DB243" i="38" s="1"/>
  <c r="DC243" i="38" s="1"/>
  <c r="DE243" i="38" s="1"/>
  <c r="DU246" i="38"/>
  <c r="DV246" i="38" s="1"/>
  <c r="DW246" i="38" s="1"/>
  <c r="DY246" i="38" s="1"/>
  <c r="EO249" i="38"/>
  <c r="EP249" i="38" s="1"/>
  <c r="EQ249" i="38" s="1"/>
  <c r="ES249" i="38" s="1"/>
  <c r="BM253" i="38"/>
  <c r="BN253" i="38" s="1"/>
  <c r="BO253" i="38" s="1"/>
  <c r="BQ253" i="38" s="1"/>
  <c r="CG256" i="38"/>
  <c r="CH256" i="38" s="1"/>
  <c r="CI256" i="38" s="1"/>
  <c r="CK256" i="38" s="1"/>
  <c r="DA259" i="38"/>
  <c r="DB259" i="38" s="1"/>
  <c r="DC259" i="38" s="1"/>
  <c r="DE259" i="38" s="1"/>
  <c r="DU262" i="38"/>
  <c r="DV262" i="38" s="1"/>
  <c r="DW262" i="38" s="1"/>
  <c r="DY262" i="38" s="1"/>
  <c r="BC64" i="38"/>
  <c r="BD64" i="38" s="1"/>
  <c r="BE64" i="38" s="1"/>
  <c r="BG64" i="38" s="1"/>
  <c r="BW67" i="38"/>
  <c r="BX67" i="38" s="1"/>
  <c r="BY67" i="38" s="1"/>
  <c r="CA67" i="38" s="1"/>
  <c r="CQ70" i="38"/>
  <c r="CR70" i="38" s="1"/>
  <c r="CS70" i="38" s="1"/>
  <c r="CU70" i="38" s="1"/>
  <c r="DK73" i="38"/>
  <c r="DL73" i="38" s="1"/>
  <c r="DM73" i="38" s="1"/>
  <c r="DO73" i="38" s="1"/>
  <c r="EE76" i="38"/>
  <c r="EF76" i="38" s="1"/>
  <c r="EG76" i="38" s="1"/>
  <c r="EI76" i="38" s="1"/>
  <c r="DA101" i="38"/>
  <c r="DB101" i="38" s="1"/>
  <c r="DC101" i="38" s="1"/>
  <c r="DE101" i="38" s="1"/>
  <c r="DU104" i="38"/>
  <c r="DV104" i="38" s="1"/>
  <c r="DW104" i="38" s="1"/>
  <c r="DY104" i="38" s="1"/>
  <c r="EO107" i="38"/>
  <c r="EP107" i="38" s="1"/>
  <c r="EQ107" i="38" s="1"/>
  <c r="ES107" i="38" s="1"/>
  <c r="BC63" i="38"/>
  <c r="BD63" i="38" s="1"/>
  <c r="BE63" i="38" s="1"/>
  <c r="BG63" i="38" s="1"/>
  <c r="CQ69" i="38"/>
  <c r="CR69" i="38" s="1"/>
  <c r="CS69" i="38" s="1"/>
  <c r="CU69" i="38" s="1"/>
  <c r="EE75" i="38"/>
  <c r="EF75" i="38" s="1"/>
  <c r="EG75" i="38" s="1"/>
  <c r="EI75" i="38" s="1"/>
  <c r="DU103" i="38"/>
  <c r="DV103" i="38" s="1"/>
  <c r="DW103" i="38" s="1"/>
  <c r="DY103" i="38" s="1"/>
  <c r="BM110" i="38"/>
  <c r="BN110" i="38" s="1"/>
  <c r="BO110" i="38" s="1"/>
  <c r="BQ110" i="38" s="1"/>
  <c r="DA119" i="38"/>
  <c r="DB119" i="38" s="1"/>
  <c r="DC119" i="38" s="1"/>
  <c r="DE119" i="38" s="1"/>
  <c r="DU122" i="38"/>
  <c r="DV122" i="38" s="1"/>
  <c r="DW122" i="38" s="1"/>
  <c r="DY122" i="38" s="1"/>
  <c r="EO125" i="38"/>
  <c r="EP125" i="38" s="1"/>
  <c r="EQ125" i="38" s="1"/>
  <c r="ES125" i="38" s="1"/>
  <c r="BM129" i="38"/>
  <c r="BN129" i="38" s="1"/>
  <c r="BO129" i="38" s="1"/>
  <c r="BQ129" i="38" s="1"/>
  <c r="CG132" i="38"/>
  <c r="CH132" i="38" s="1"/>
  <c r="CI132" i="38" s="1"/>
  <c r="CK132" i="38" s="1"/>
  <c r="DA135" i="38"/>
  <c r="DB135" i="38" s="1"/>
  <c r="DC135" i="38" s="1"/>
  <c r="DE135" i="38" s="1"/>
  <c r="DU138" i="38"/>
  <c r="DV138" i="38" s="1"/>
  <c r="DW138" i="38" s="1"/>
  <c r="DY138" i="38" s="1"/>
  <c r="EO141" i="38"/>
  <c r="EP141" i="38" s="1"/>
  <c r="EQ141" i="38" s="1"/>
  <c r="ES141" i="38" s="1"/>
  <c r="BM145" i="38"/>
  <c r="BN145" i="38" s="1"/>
  <c r="BO145" i="38" s="1"/>
  <c r="BQ145" i="38" s="1"/>
  <c r="CG148" i="38"/>
  <c r="CH148" i="38" s="1"/>
  <c r="CI148" i="38" s="1"/>
  <c r="CK148" i="38" s="1"/>
  <c r="DA151" i="38"/>
  <c r="DB151" i="38" s="1"/>
  <c r="DC151" i="38" s="1"/>
  <c r="DE151" i="38" s="1"/>
  <c r="DA170" i="38"/>
  <c r="DB170" i="38" s="1"/>
  <c r="DC170" i="38" s="1"/>
  <c r="DE170" i="38" s="1"/>
  <c r="DU173" i="38"/>
  <c r="DV173" i="38" s="1"/>
  <c r="DW173" i="38" s="1"/>
  <c r="DY173" i="38" s="1"/>
  <c r="EO176" i="38"/>
  <c r="EP176" i="38" s="1"/>
  <c r="EQ176" i="38" s="1"/>
  <c r="ES176" i="38" s="1"/>
  <c r="BM180" i="38"/>
  <c r="BN180" i="38" s="1"/>
  <c r="BO180" i="38" s="1"/>
  <c r="BQ180" i="38" s="1"/>
  <c r="CG183" i="38"/>
  <c r="CH183" i="38" s="1"/>
  <c r="CI183" i="38" s="1"/>
  <c r="CK183" i="38" s="1"/>
  <c r="DA186" i="38"/>
  <c r="DB186" i="38" s="1"/>
  <c r="DC186" i="38" s="1"/>
  <c r="DE186" i="38" s="1"/>
  <c r="DU189" i="38"/>
  <c r="DV189" i="38" s="1"/>
  <c r="DW189" i="38" s="1"/>
  <c r="DY189" i="38" s="1"/>
  <c r="EO192" i="38"/>
  <c r="EP192" i="38" s="1"/>
  <c r="EQ192" i="38" s="1"/>
  <c r="ES192" i="38" s="1"/>
  <c r="BM196" i="38"/>
  <c r="BN196" i="38" s="1"/>
  <c r="BO196" i="38" s="1"/>
  <c r="BQ196" i="38" s="1"/>
  <c r="CG199" i="38"/>
  <c r="CH199" i="38" s="1"/>
  <c r="CI199" i="38" s="1"/>
  <c r="CK199" i="38" s="1"/>
  <c r="DK66" i="38"/>
  <c r="DL66" i="38" s="1"/>
  <c r="DM66" i="38" s="1"/>
  <c r="DO66" i="38" s="1"/>
  <c r="BC73" i="38"/>
  <c r="BD73" i="38" s="1"/>
  <c r="BE73" i="38" s="1"/>
  <c r="BG73" i="38" s="1"/>
  <c r="CG103" i="38"/>
  <c r="CH103" i="38" s="1"/>
  <c r="CI103" i="38" s="1"/>
  <c r="CK103" i="38" s="1"/>
  <c r="CG119" i="38"/>
  <c r="CH119" i="38" s="1"/>
  <c r="CI119" i="38" s="1"/>
  <c r="CK119" i="38" s="1"/>
  <c r="DU125" i="38"/>
  <c r="DV125" i="38" s="1"/>
  <c r="DW125" i="38" s="1"/>
  <c r="DY125" i="38" s="1"/>
  <c r="DK74" i="38"/>
  <c r="DL74" i="38" s="1"/>
  <c r="DM74" i="38" s="1"/>
  <c r="DO74" i="38" s="1"/>
  <c r="EO108" i="38"/>
  <c r="EP108" i="38" s="1"/>
  <c r="EQ108" i="38" s="1"/>
  <c r="ES108" i="38" s="1"/>
  <c r="BM122" i="38"/>
  <c r="BN122" i="38" s="1"/>
  <c r="BO122" i="38" s="1"/>
  <c r="BQ122" i="38" s="1"/>
  <c r="DA128" i="38"/>
  <c r="DB128" i="38" s="1"/>
  <c r="DC128" i="38" s="1"/>
  <c r="DE128" i="38" s="1"/>
  <c r="EO134" i="38"/>
  <c r="EP134" i="38" s="1"/>
  <c r="EQ134" i="38" s="1"/>
  <c r="ES134" i="38" s="1"/>
  <c r="CG141" i="38"/>
  <c r="CH141" i="38" s="1"/>
  <c r="CI141" i="38" s="1"/>
  <c r="CK141" i="38" s="1"/>
  <c r="DU147" i="38"/>
  <c r="DV147" i="38" s="1"/>
  <c r="DW147" i="38" s="1"/>
  <c r="DY147" i="38" s="1"/>
  <c r="DA169" i="38"/>
  <c r="DB169" i="38" s="1"/>
  <c r="DC169" i="38" s="1"/>
  <c r="DE169" i="38" s="1"/>
  <c r="BM144" i="38"/>
  <c r="BN144" i="38" s="1"/>
  <c r="BO144" i="38" s="1"/>
  <c r="BQ144" i="38" s="1"/>
  <c r="DA171" i="38"/>
  <c r="DB171" i="38" s="1"/>
  <c r="DC171" i="38" s="1"/>
  <c r="DE171" i="38" s="1"/>
  <c r="EO177" i="38"/>
  <c r="EP177" i="38" s="1"/>
  <c r="EQ177" i="38" s="1"/>
  <c r="ES177" i="38" s="1"/>
  <c r="CG184" i="38"/>
  <c r="CH184" i="38" s="1"/>
  <c r="CI184" i="38" s="1"/>
  <c r="CK184" i="38" s="1"/>
  <c r="DU190" i="38"/>
  <c r="DV190" i="38" s="1"/>
  <c r="DW190" i="38" s="1"/>
  <c r="DY190" i="38" s="1"/>
  <c r="BM197" i="38"/>
  <c r="BN197" i="38" s="1"/>
  <c r="BO197" i="38" s="1"/>
  <c r="BQ197" i="38" s="1"/>
  <c r="DU201" i="38"/>
  <c r="DV201" i="38" s="1"/>
  <c r="DW201" i="38" s="1"/>
  <c r="DY201" i="38" s="1"/>
  <c r="EO204" i="38"/>
  <c r="EP204" i="38" s="1"/>
  <c r="EQ204" i="38" s="1"/>
  <c r="ES204" i="38" s="1"/>
  <c r="BM208" i="38"/>
  <c r="BN208" i="38" s="1"/>
  <c r="BO208" i="38" s="1"/>
  <c r="BQ208" i="38" s="1"/>
  <c r="CG211" i="38"/>
  <c r="CH211" i="38" s="1"/>
  <c r="CI211" i="38" s="1"/>
  <c r="CK211" i="38" s="1"/>
  <c r="DA214" i="38"/>
  <c r="DB214" i="38" s="1"/>
  <c r="DC214" i="38" s="1"/>
  <c r="DE214" i="38" s="1"/>
  <c r="DU217" i="38"/>
  <c r="DV217" i="38" s="1"/>
  <c r="DW217" i="38" s="1"/>
  <c r="DY217" i="38" s="1"/>
  <c r="EO220" i="38"/>
  <c r="EP220" i="38" s="1"/>
  <c r="EQ220" i="38" s="1"/>
  <c r="ES220" i="38" s="1"/>
  <c r="BM224" i="38"/>
  <c r="BN224" i="38" s="1"/>
  <c r="BO224" i="38" s="1"/>
  <c r="BQ224" i="38" s="1"/>
  <c r="CG227" i="38"/>
  <c r="CH227" i="38" s="1"/>
  <c r="CI227" i="38" s="1"/>
  <c r="CK227" i="38" s="1"/>
  <c r="DU133" i="38"/>
  <c r="DV133" i="38" s="1"/>
  <c r="DW133" i="38" s="1"/>
  <c r="DY133" i="38" s="1"/>
  <c r="DA146" i="38"/>
  <c r="DB146" i="38" s="1"/>
  <c r="DC146" i="38" s="1"/>
  <c r="DE146" i="38" s="1"/>
  <c r="DU172" i="38"/>
  <c r="DV172" i="38" s="1"/>
  <c r="DW172" i="38" s="1"/>
  <c r="DY172" i="38" s="1"/>
  <c r="BM179" i="38"/>
  <c r="BN179" i="38" s="1"/>
  <c r="BO179" i="38" s="1"/>
  <c r="BQ179" i="38" s="1"/>
  <c r="DA185" i="38"/>
  <c r="DB185" i="38" s="1"/>
  <c r="DC185" i="38" s="1"/>
  <c r="DE185" i="38" s="1"/>
  <c r="EO191" i="38"/>
  <c r="EP191" i="38" s="1"/>
  <c r="EQ191" i="38" s="1"/>
  <c r="ES191" i="38" s="1"/>
  <c r="CG198" i="38"/>
  <c r="CH198" i="38" s="1"/>
  <c r="CI198" i="38" s="1"/>
  <c r="CK198" i="38" s="1"/>
  <c r="CG202" i="38"/>
  <c r="CH202" i="38" s="1"/>
  <c r="CI202" i="38" s="1"/>
  <c r="CK202" i="38" s="1"/>
  <c r="DA205" i="38"/>
  <c r="DB205" i="38" s="1"/>
  <c r="DC205" i="38" s="1"/>
  <c r="DE205" i="38" s="1"/>
  <c r="DU208" i="38"/>
  <c r="DV208" i="38" s="1"/>
  <c r="DW208" i="38" s="1"/>
  <c r="DY208" i="38" s="1"/>
  <c r="EO211" i="38"/>
  <c r="EP211" i="38" s="1"/>
  <c r="EQ211" i="38" s="1"/>
  <c r="ES211" i="38" s="1"/>
  <c r="BM215" i="38"/>
  <c r="BN215" i="38" s="1"/>
  <c r="BO215" i="38" s="1"/>
  <c r="BQ215" i="38" s="1"/>
  <c r="CG218" i="38"/>
  <c r="CH218" i="38" s="1"/>
  <c r="CI218" i="38" s="1"/>
  <c r="CK218" i="38" s="1"/>
  <c r="DA221" i="38"/>
  <c r="DB221" i="38" s="1"/>
  <c r="DC221" i="38" s="1"/>
  <c r="DE221" i="38" s="1"/>
  <c r="DU224" i="38"/>
  <c r="DV224" i="38" s="1"/>
  <c r="DW224" i="38" s="1"/>
  <c r="DY224" i="38" s="1"/>
  <c r="EO227" i="38"/>
  <c r="EP227" i="38" s="1"/>
  <c r="EQ227" i="38" s="1"/>
  <c r="ES227" i="38" s="1"/>
  <c r="BW251" i="38"/>
  <c r="BX251" i="38" s="1"/>
  <c r="BY251" i="38" s="1"/>
  <c r="CA251" i="38" s="1"/>
  <c r="DK257" i="38"/>
  <c r="DL257" i="38" s="1"/>
  <c r="DM257" i="38" s="1"/>
  <c r="DO257" i="38" s="1"/>
  <c r="EE261" i="38"/>
  <c r="EF261" i="38" s="1"/>
  <c r="EG261" i="38" s="1"/>
  <c r="EI261" i="38" s="1"/>
  <c r="BW264" i="38"/>
  <c r="BX264" i="38" s="1"/>
  <c r="BY264" i="38" s="1"/>
  <c r="CA264" i="38" s="1"/>
  <c r="EE265" i="38"/>
  <c r="EF265" i="38" s="1"/>
  <c r="EG265" i="38" s="1"/>
  <c r="EI265" i="38" s="1"/>
  <c r="CQ267" i="38"/>
  <c r="CR267" i="38" s="1"/>
  <c r="CS267" i="38" s="1"/>
  <c r="CU267" i="38" s="1"/>
  <c r="EO83" i="38"/>
  <c r="EP83" i="38" s="1"/>
  <c r="EQ83" i="38" s="1"/>
  <c r="ES83" i="38" s="1"/>
  <c r="EO95" i="38"/>
  <c r="EP95" i="38" s="1"/>
  <c r="EQ95" i="38" s="1"/>
  <c r="ES95" i="38" s="1"/>
  <c r="EO66" i="38"/>
  <c r="EP66" i="38" s="1"/>
  <c r="EQ66" i="38" s="1"/>
  <c r="ES66" i="38" s="1"/>
  <c r="EO93" i="38"/>
  <c r="EP93" i="38" s="1"/>
  <c r="EQ93" i="38" s="1"/>
  <c r="ES93" i="38" s="1"/>
  <c r="EO77" i="38"/>
  <c r="EP77" i="38" s="1"/>
  <c r="EQ77" i="38" s="1"/>
  <c r="ES77" i="38" s="1"/>
  <c r="EO61" i="38"/>
  <c r="EP61" i="38" s="1"/>
  <c r="EQ61" i="38" s="1"/>
  <c r="ES61" i="38" s="1"/>
  <c r="EO45" i="38"/>
  <c r="EP45" i="38" s="1"/>
  <c r="EQ45" i="38" s="1"/>
  <c r="ES45" i="38" s="1"/>
  <c r="EO37" i="38"/>
  <c r="EP37" i="38" s="1"/>
  <c r="EQ37" i="38" s="1"/>
  <c r="ES37" i="38" s="1"/>
  <c r="EE247" i="38"/>
  <c r="EF247" i="38" s="1"/>
  <c r="EG247" i="38" s="1"/>
  <c r="EI247" i="38" s="1"/>
  <c r="BM135" i="38"/>
  <c r="BN135" i="38" s="1"/>
  <c r="BO135" i="38" s="1"/>
  <c r="BQ135" i="38" s="1"/>
  <c r="CG138" i="38"/>
  <c r="CH138" i="38" s="1"/>
  <c r="CI138" i="38" s="1"/>
  <c r="CK138" i="38" s="1"/>
  <c r="DA141" i="38"/>
  <c r="DB141" i="38" s="1"/>
  <c r="DC141" i="38" s="1"/>
  <c r="DE141" i="38" s="1"/>
  <c r="DU144" i="38"/>
  <c r="DV144" i="38" s="1"/>
  <c r="DW144" i="38" s="1"/>
  <c r="DY144" i="38" s="1"/>
  <c r="EO147" i="38"/>
  <c r="EP147" i="38" s="1"/>
  <c r="EQ147" i="38" s="1"/>
  <c r="ES147" i="38" s="1"/>
  <c r="BM151" i="38"/>
  <c r="BN151" i="38" s="1"/>
  <c r="BO151" i="38" s="1"/>
  <c r="BQ151" i="38" s="1"/>
  <c r="BM170" i="38"/>
  <c r="BN170" i="38" s="1"/>
  <c r="BO170" i="38" s="1"/>
  <c r="BQ170" i="38" s="1"/>
  <c r="CG173" i="38"/>
  <c r="CH173" i="38" s="1"/>
  <c r="CI173" i="38" s="1"/>
  <c r="CK173" i="38" s="1"/>
  <c r="DA176" i="38"/>
  <c r="DB176" i="38" s="1"/>
  <c r="DC176" i="38" s="1"/>
  <c r="DE176" i="38" s="1"/>
  <c r="DU179" i="38"/>
  <c r="DV179" i="38" s="1"/>
  <c r="DW179" i="38" s="1"/>
  <c r="DY179" i="38" s="1"/>
  <c r="EO182" i="38"/>
  <c r="EP182" i="38" s="1"/>
  <c r="EQ182" i="38" s="1"/>
  <c r="ES182" i="38" s="1"/>
  <c r="BM186" i="38"/>
  <c r="BN186" i="38" s="1"/>
  <c r="BO186" i="38" s="1"/>
  <c r="BQ186" i="38" s="1"/>
  <c r="CG189" i="38"/>
  <c r="CH189" i="38" s="1"/>
  <c r="CI189" i="38" s="1"/>
  <c r="CK189" i="38" s="1"/>
  <c r="DA192" i="38"/>
  <c r="DB192" i="38" s="1"/>
  <c r="DC192" i="38" s="1"/>
  <c r="DE192" i="38" s="1"/>
  <c r="DU195" i="38"/>
  <c r="DV195" i="38" s="1"/>
  <c r="DW195" i="38" s="1"/>
  <c r="DY195" i="38" s="1"/>
  <c r="EO198" i="38"/>
  <c r="EP198" i="38" s="1"/>
  <c r="EQ198" i="38" s="1"/>
  <c r="ES198" i="38" s="1"/>
  <c r="EE65" i="38"/>
  <c r="EF65" i="38" s="1"/>
  <c r="EG65" i="38" s="1"/>
  <c r="EI65" i="38" s="1"/>
  <c r="BW72" i="38"/>
  <c r="BX72" i="38" s="1"/>
  <c r="BY72" i="38" s="1"/>
  <c r="CA72" i="38" s="1"/>
  <c r="DU101" i="38"/>
  <c r="DV101" i="38" s="1"/>
  <c r="DW101" i="38" s="1"/>
  <c r="DY101" i="38" s="1"/>
  <c r="DA118" i="38"/>
  <c r="DB118" i="38" s="1"/>
  <c r="DC118" i="38" s="1"/>
  <c r="DE118" i="38" s="1"/>
  <c r="EO124" i="38"/>
  <c r="EP124" i="38" s="1"/>
  <c r="EQ124" i="38" s="1"/>
  <c r="ES124" i="38" s="1"/>
  <c r="CG131" i="38"/>
  <c r="CH131" i="38" s="1"/>
  <c r="CI131" i="38" s="1"/>
  <c r="CK131" i="38" s="1"/>
  <c r="CG107" i="38"/>
  <c r="CH107" i="38" s="1"/>
  <c r="CI107" i="38" s="1"/>
  <c r="CK107" i="38" s="1"/>
  <c r="CG121" i="38"/>
  <c r="CH121" i="38" s="1"/>
  <c r="CI121" i="38" s="1"/>
  <c r="CK121" i="38" s="1"/>
  <c r="DU127" i="38"/>
  <c r="DV127" i="38" s="1"/>
  <c r="DW127" i="38" s="1"/>
  <c r="DY127" i="38" s="1"/>
  <c r="BM134" i="38"/>
  <c r="BN134" i="38" s="1"/>
  <c r="BO134" i="38" s="1"/>
  <c r="BQ134" i="38" s="1"/>
  <c r="DA140" i="38"/>
  <c r="DB140" i="38" s="1"/>
  <c r="DC140" i="38" s="1"/>
  <c r="DE140" i="38" s="1"/>
  <c r="EO146" i="38"/>
  <c r="EP146" i="38" s="1"/>
  <c r="EQ146" i="38" s="1"/>
  <c r="ES146" i="38" s="1"/>
  <c r="DU168" i="38"/>
  <c r="DV168" i="38" s="1"/>
  <c r="DW168" i="38" s="1"/>
  <c r="DY168" i="38" s="1"/>
  <c r="DA142" i="38"/>
  <c r="DB142" i="38" s="1"/>
  <c r="DC142" i="38" s="1"/>
  <c r="DE142" i="38" s="1"/>
  <c r="DU170" i="38"/>
  <c r="DV170" i="38" s="1"/>
  <c r="DW170" i="38" s="1"/>
  <c r="DY170" i="38" s="1"/>
  <c r="BM177" i="38"/>
  <c r="BN177" i="38" s="1"/>
  <c r="BO177" i="38" s="1"/>
  <c r="BQ177" i="38" s="1"/>
  <c r="DA183" i="38"/>
  <c r="DB183" i="38" s="1"/>
  <c r="DC183" i="38" s="1"/>
  <c r="DE183" i="38" s="1"/>
  <c r="EO189" i="38"/>
  <c r="EP189" i="38" s="1"/>
  <c r="EQ189" i="38" s="1"/>
  <c r="ES189" i="38" s="1"/>
  <c r="CG196" i="38"/>
  <c r="CH196" i="38" s="1"/>
  <c r="CI196" i="38" s="1"/>
  <c r="CK196" i="38" s="1"/>
  <c r="CG201" i="38"/>
  <c r="CH201" i="38" s="1"/>
  <c r="CI201" i="38" s="1"/>
  <c r="CK201" i="38" s="1"/>
  <c r="DA204" i="38"/>
  <c r="DB204" i="38" s="1"/>
  <c r="DC204" i="38" s="1"/>
  <c r="DE204" i="38" s="1"/>
  <c r="DU207" i="38"/>
  <c r="DV207" i="38" s="1"/>
  <c r="DW207" i="38" s="1"/>
  <c r="DY207" i="38" s="1"/>
  <c r="EO210" i="38"/>
  <c r="EP210" i="38" s="1"/>
  <c r="EQ210" i="38" s="1"/>
  <c r="ES210" i="38" s="1"/>
  <c r="BM214" i="38"/>
  <c r="BN214" i="38" s="1"/>
  <c r="BO214" i="38" s="1"/>
  <c r="BQ214" i="38" s="1"/>
  <c r="CG217" i="38"/>
  <c r="CH217" i="38" s="1"/>
  <c r="CI217" i="38" s="1"/>
  <c r="CK217" i="38" s="1"/>
  <c r="DA220" i="38"/>
  <c r="DB220" i="38" s="1"/>
  <c r="DC220" i="38" s="1"/>
  <c r="DE220" i="38" s="1"/>
  <c r="DU223" i="38"/>
  <c r="DV223" i="38" s="1"/>
  <c r="DW223" i="38" s="1"/>
  <c r="DY223" i="38" s="1"/>
  <c r="EO226" i="38"/>
  <c r="EP226" i="38" s="1"/>
  <c r="EQ226" i="38" s="1"/>
  <c r="ES226" i="38" s="1"/>
  <c r="BM132" i="38"/>
  <c r="BN132" i="38" s="1"/>
  <c r="BO132" i="38" s="1"/>
  <c r="BQ132" i="38" s="1"/>
  <c r="EO144" i="38"/>
  <c r="EP144" i="38" s="1"/>
  <c r="EQ144" i="38" s="1"/>
  <c r="ES144" i="38" s="1"/>
  <c r="EO171" i="38"/>
  <c r="EP171" i="38" s="1"/>
  <c r="EQ171" i="38" s="1"/>
  <c r="ES171" i="38" s="1"/>
  <c r="CG178" i="38"/>
  <c r="CH178" i="38" s="1"/>
  <c r="CI178" i="38" s="1"/>
  <c r="CK178" i="38" s="1"/>
  <c r="DU184" i="38"/>
  <c r="DV184" i="38" s="1"/>
  <c r="DW184" i="38" s="1"/>
  <c r="DY184" i="38" s="1"/>
  <c r="BM191" i="38"/>
  <c r="BN191" i="38" s="1"/>
  <c r="BO191" i="38" s="1"/>
  <c r="BQ191" i="38" s="1"/>
  <c r="DA197" i="38"/>
  <c r="DB197" i="38" s="1"/>
  <c r="DC197" i="38" s="1"/>
  <c r="DE197" i="38" s="1"/>
  <c r="EO201" i="38"/>
  <c r="EP201" i="38" s="1"/>
  <c r="EQ201" i="38" s="1"/>
  <c r="ES201" i="38" s="1"/>
  <c r="BM205" i="38"/>
  <c r="BN205" i="38" s="1"/>
  <c r="BO205" i="38" s="1"/>
  <c r="BQ205" i="38" s="1"/>
  <c r="CG208" i="38"/>
  <c r="CH208" i="38" s="1"/>
  <c r="CI208" i="38" s="1"/>
  <c r="CK208" i="38" s="1"/>
  <c r="DA211" i="38"/>
  <c r="DB211" i="38" s="1"/>
  <c r="DC211" i="38" s="1"/>
  <c r="DE211" i="38" s="1"/>
  <c r="DU214" i="38"/>
  <c r="DV214" i="38" s="1"/>
  <c r="DW214" i="38" s="1"/>
  <c r="DY214" i="38" s="1"/>
  <c r="EO217" i="38"/>
  <c r="EP217" i="38" s="1"/>
  <c r="EQ217" i="38" s="1"/>
  <c r="ES217" i="38" s="1"/>
  <c r="BM221" i="38"/>
  <c r="BN221" i="38" s="1"/>
  <c r="BO221" i="38" s="1"/>
  <c r="BQ221" i="38" s="1"/>
  <c r="CG224" i="38"/>
  <c r="CH224" i="38" s="1"/>
  <c r="CI224" i="38" s="1"/>
  <c r="CK224" i="38" s="1"/>
  <c r="DA227" i="38"/>
  <c r="DB227" i="38" s="1"/>
  <c r="DC227" i="38" s="1"/>
  <c r="DE227" i="38" s="1"/>
  <c r="BW250" i="38"/>
  <c r="BX250" i="38" s="1"/>
  <c r="BY250" i="38" s="1"/>
  <c r="CA250" i="38" s="1"/>
  <c r="DK256" i="38"/>
  <c r="DL256" i="38" s="1"/>
  <c r="DM256" i="38" s="1"/>
  <c r="DO256" i="38" s="1"/>
  <c r="BW261" i="38"/>
  <c r="BX261" i="38" s="1"/>
  <c r="BY261" i="38" s="1"/>
  <c r="CA261" i="38" s="1"/>
  <c r="EO263" i="38"/>
  <c r="EP263" i="38" s="1"/>
  <c r="EQ263" i="38" s="1"/>
  <c r="ES263" i="38" s="1"/>
  <c r="DA265" i="38"/>
  <c r="DB265" i="38" s="1"/>
  <c r="DC265" i="38" s="1"/>
  <c r="DE265" i="38" s="1"/>
  <c r="BM267" i="38"/>
  <c r="BN267" i="38" s="1"/>
  <c r="BO267" i="38" s="1"/>
  <c r="BQ267" i="38" s="1"/>
  <c r="DU268" i="38"/>
  <c r="DV268" i="38" s="1"/>
  <c r="DW268" i="38" s="1"/>
  <c r="DY268" i="38" s="1"/>
  <c r="EO64" i="38"/>
  <c r="EP64" i="38" s="1"/>
  <c r="EQ64" i="38" s="1"/>
  <c r="ES64" i="38" s="1"/>
  <c r="EO70" i="38"/>
  <c r="EP70" i="38" s="1"/>
  <c r="EQ70" i="38" s="1"/>
  <c r="ES70" i="38" s="1"/>
  <c r="EO96" i="38"/>
  <c r="EP96" i="38" s="1"/>
  <c r="EQ96" i="38" s="1"/>
  <c r="ES96" i="38" s="1"/>
  <c r="EO80" i="38"/>
  <c r="EP80" i="38" s="1"/>
  <c r="EQ80" i="38" s="1"/>
  <c r="ES80" i="38" s="1"/>
  <c r="EO63" i="38"/>
  <c r="EP63" i="38" s="1"/>
  <c r="EQ63" i="38" s="1"/>
  <c r="ES63" i="38" s="1"/>
  <c r="EO46" i="38"/>
  <c r="EP46" i="38" s="1"/>
  <c r="EQ46" i="38" s="1"/>
  <c r="ES46" i="38" s="1"/>
  <c r="EO38" i="38"/>
  <c r="EP38" i="38" s="1"/>
  <c r="EQ38" i="38" s="1"/>
  <c r="ES38" i="38" s="1"/>
  <c r="EE248" i="38"/>
  <c r="EF248" i="38" s="1"/>
  <c r="EG248" i="38" s="1"/>
  <c r="EI248" i="38" s="1"/>
  <c r="EE232" i="38"/>
  <c r="EF232" i="38" s="1"/>
  <c r="EG232" i="38" s="1"/>
  <c r="EI232" i="38" s="1"/>
  <c r="EE217" i="38"/>
  <c r="EF217" i="38" s="1"/>
  <c r="EG217" i="38" s="1"/>
  <c r="EI217" i="38" s="1"/>
  <c r="EE201" i="38"/>
  <c r="EF201" i="38" s="1"/>
  <c r="EG201" i="38" s="1"/>
  <c r="EI201" i="38" s="1"/>
  <c r="EE171" i="38"/>
  <c r="EF171" i="38" s="1"/>
  <c r="EG171" i="38" s="1"/>
  <c r="EI171" i="38" s="1"/>
  <c r="EE253" i="38"/>
  <c r="EF253" i="38" s="1"/>
  <c r="EG253" i="38" s="1"/>
  <c r="EI253" i="38" s="1"/>
  <c r="EE237" i="38"/>
  <c r="EF237" i="38" s="1"/>
  <c r="EG237" i="38" s="1"/>
  <c r="EI237" i="38" s="1"/>
  <c r="EE220" i="38"/>
  <c r="EF220" i="38" s="1"/>
  <c r="EG220" i="38" s="1"/>
  <c r="EI220" i="38" s="1"/>
  <c r="EE204" i="38"/>
  <c r="EF204" i="38" s="1"/>
  <c r="EG204" i="38" s="1"/>
  <c r="EI204" i="38" s="1"/>
  <c r="EE177" i="38"/>
  <c r="EF177" i="38" s="1"/>
  <c r="EG177" i="38" s="1"/>
  <c r="EI177" i="38" s="1"/>
  <c r="EE164" i="38"/>
  <c r="EF164" i="38" s="1"/>
  <c r="EG164" i="38" s="1"/>
  <c r="EI164" i="38" s="1"/>
  <c r="EE134" i="38"/>
  <c r="EF134" i="38" s="1"/>
  <c r="EG134" i="38" s="1"/>
  <c r="EI134" i="38" s="1"/>
  <c r="EE124" i="38"/>
  <c r="EF124" i="38" s="1"/>
  <c r="EG124" i="38" s="1"/>
  <c r="EI124" i="38" s="1"/>
  <c r="EE13" i="38"/>
  <c r="EF13" i="38" s="1"/>
  <c r="EG13" i="38" s="1"/>
  <c r="EI13" i="38" s="1"/>
  <c r="EE184" i="38"/>
  <c r="EF184" i="38" s="1"/>
  <c r="EG184" i="38" s="1"/>
  <c r="EI184" i="38" s="1"/>
  <c r="EE168" i="38"/>
  <c r="EF168" i="38" s="1"/>
  <c r="EG168" i="38" s="1"/>
  <c r="EI168" i="38" s="1"/>
  <c r="EE153" i="38"/>
  <c r="EF153" i="38" s="1"/>
  <c r="EG153" i="38" s="1"/>
  <c r="EI153" i="38" s="1"/>
  <c r="EE137" i="38"/>
  <c r="EF137" i="38" s="1"/>
  <c r="EG137" i="38" s="1"/>
  <c r="EI137" i="38" s="1"/>
  <c r="EE121" i="38"/>
  <c r="EF121" i="38" s="1"/>
  <c r="EG121" i="38" s="1"/>
  <c r="EI121" i="38" s="1"/>
  <c r="EE57" i="38"/>
  <c r="EF57" i="38" s="1"/>
  <c r="EG57" i="38" s="1"/>
  <c r="EI57" i="38" s="1"/>
  <c r="EE103" i="38"/>
  <c r="EF103" i="38" s="1"/>
  <c r="EG103" i="38" s="1"/>
  <c r="EI103" i="38" s="1"/>
  <c r="EE15" i="38"/>
  <c r="EF15" i="38" s="1"/>
  <c r="EG15" i="38" s="1"/>
  <c r="EI15" i="38" s="1"/>
  <c r="EE26" i="38"/>
  <c r="EF26" i="38" s="1"/>
  <c r="EG26" i="38" s="1"/>
  <c r="EI26" i="38" s="1"/>
  <c r="DK245" i="38"/>
  <c r="DL245" i="38" s="1"/>
  <c r="DM245" i="38" s="1"/>
  <c r="DO245" i="38" s="1"/>
  <c r="DK228" i="38"/>
  <c r="DL228" i="38" s="1"/>
  <c r="DM228" i="38" s="1"/>
  <c r="DO228" i="38" s="1"/>
  <c r="DK212" i="38"/>
  <c r="DL212" i="38" s="1"/>
  <c r="DM212" i="38" s="1"/>
  <c r="DO212" i="38" s="1"/>
  <c r="DK192" i="38"/>
  <c r="DL192" i="38" s="1"/>
  <c r="DM192" i="38" s="1"/>
  <c r="DO192" i="38" s="1"/>
  <c r="DK149" i="38"/>
  <c r="DL149" i="38" s="1"/>
  <c r="DM149" i="38" s="1"/>
  <c r="DO149" i="38" s="1"/>
  <c r="DK247" i="38"/>
  <c r="DL247" i="38" s="1"/>
  <c r="DM247" i="38" s="1"/>
  <c r="DO247" i="38" s="1"/>
  <c r="DK231" i="38"/>
  <c r="DL231" i="38" s="1"/>
  <c r="DM231" i="38" s="1"/>
  <c r="DO231" i="38" s="1"/>
  <c r="DK217" i="38"/>
  <c r="DL217" i="38" s="1"/>
  <c r="DM217" i="38" s="1"/>
  <c r="DO217" i="38" s="1"/>
  <c r="DK201" i="38"/>
  <c r="DL201" i="38" s="1"/>
  <c r="DM201" i="38" s="1"/>
  <c r="DO201" i="38" s="1"/>
  <c r="DK170" i="38"/>
  <c r="DL170" i="38" s="1"/>
  <c r="DM170" i="38" s="1"/>
  <c r="DO170" i="38" s="1"/>
  <c r="DK153" i="38"/>
  <c r="DL153" i="38" s="1"/>
  <c r="DM153" i="38" s="1"/>
  <c r="DO153" i="38" s="1"/>
  <c r="DK123" i="38"/>
  <c r="DL123" i="38" s="1"/>
  <c r="DM123" i="38" s="1"/>
  <c r="DO123" i="38" s="1"/>
  <c r="DK101" i="38"/>
  <c r="DL101" i="38" s="1"/>
  <c r="DM101" i="38" s="1"/>
  <c r="DO101" i="38" s="1"/>
  <c r="DK195" i="38"/>
  <c r="DL195" i="38" s="1"/>
  <c r="DM195" i="38" s="1"/>
  <c r="DO195" i="38" s="1"/>
  <c r="DK179" i="38"/>
  <c r="DL179" i="38" s="1"/>
  <c r="DM179" i="38" s="1"/>
  <c r="DO179" i="38" s="1"/>
  <c r="DK163" i="38"/>
  <c r="DL163" i="38" s="1"/>
  <c r="DM163" i="38" s="1"/>
  <c r="DO163" i="38" s="1"/>
  <c r="DK148" i="38"/>
  <c r="DL148" i="38" s="1"/>
  <c r="DM148" i="38" s="1"/>
  <c r="DO148" i="38" s="1"/>
  <c r="DK132" i="38"/>
  <c r="DL132" i="38" s="1"/>
  <c r="DM132" i="38" s="1"/>
  <c r="DO132" i="38" s="1"/>
  <c r="DK116" i="38"/>
  <c r="DL116" i="38" s="1"/>
  <c r="DM116" i="38" s="1"/>
  <c r="DO116" i="38" s="1"/>
  <c r="DK114" i="38"/>
  <c r="DL114" i="38" s="1"/>
  <c r="DM114" i="38" s="1"/>
  <c r="DO114" i="38" s="1"/>
  <c r="DK98" i="38"/>
  <c r="DL98" i="38" s="1"/>
  <c r="DM98" i="38" s="1"/>
  <c r="DO98" i="38" s="1"/>
  <c r="DK12" i="38"/>
  <c r="DL12" i="38" s="1"/>
  <c r="DM12" i="38" s="1"/>
  <c r="DO12" i="38" s="1"/>
  <c r="DK26" i="38"/>
  <c r="DL26" i="38" s="1"/>
  <c r="DM26" i="38" s="1"/>
  <c r="DO26" i="38" s="1"/>
  <c r="DA77" i="38"/>
  <c r="DB77" i="38" s="1"/>
  <c r="DC77" i="38" s="1"/>
  <c r="DE77" i="38" s="1"/>
  <c r="DA30" i="38"/>
  <c r="DB30" i="38" s="1"/>
  <c r="DC30" i="38" s="1"/>
  <c r="DE30" i="38" s="1"/>
  <c r="DA72" i="38"/>
  <c r="DB72" i="38" s="1"/>
  <c r="DC72" i="38" s="1"/>
  <c r="DE72" i="38" s="1"/>
  <c r="DA87" i="38"/>
  <c r="DB87" i="38" s="1"/>
  <c r="DC87" i="38" s="1"/>
  <c r="DE87" i="38" s="1"/>
  <c r="DA71" i="38"/>
  <c r="DB71" i="38" s="1"/>
  <c r="DC71" i="38" s="1"/>
  <c r="DE71" i="38" s="1"/>
  <c r="DA34" i="38"/>
  <c r="DB34" i="38" s="1"/>
  <c r="DC34" i="38" s="1"/>
  <c r="DE34" i="38" s="1"/>
  <c r="DA43" i="38"/>
  <c r="DB43" i="38" s="1"/>
  <c r="DC43" i="38" s="1"/>
  <c r="DE43" i="38" s="1"/>
  <c r="DA33" i="38"/>
  <c r="DB33" i="38" s="1"/>
  <c r="DC33" i="38" s="1"/>
  <c r="DE33" i="38" s="1"/>
  <c r="CG82" i="38"/>
  <c r="CH82" i="38" s="1"/>
  <c r="CI82" i="38" s="1"/>
  <c r="CK82" i="38" s="1"/>
  <c r="CG93" i="38"/>
  <c r="CH93" i="38" s="1"/>
  <c r="CI93" i="38" s="1"/>
  <c r="CK93" i="38" s="1"/>
  <c r="CG60" i="38"/>
  <c r="CH60" i="38" s="1"/>
  <c r="CI60" i="38" s="1"/>
  <c r="CK60" i="38" s="1"/>
  <c r="CG87" i="38"/>
  <c r="CH87" i="38" s="1"/>
  <c r="CI87" i="38" s="1"/>
  <c r="CK87" i="38" s="1"/>
  <c r="CG70" i="38"/>
  <c r="CH70" i="38" s="1"/>
  <c r="CI70" i="38" s="1"/>
  <c r="CK70" i="38" s="1"/>
  <c r="CG10" i="38"/>
  <c r="CH10" i="38" s="1"/>
  <c r="CI10" i="38" s="1"/>
  <c r="CK10" i="38" s="1"/>
  <c r="CG43" i="38"/>
  <c r="CH43" i="38" s="1"/>
  <c r="CI43" i="38" s="1"/>
  <c r="CK43" i="38" s="1"/>
  <c r="CG33" i="38"/>
  <c r="CH33" i="38" s="1"/>
  <c r="CI33" i="38" s="1"/>
  <c r="CK33" i="38" s="1"/>
  <c r="BC251" i="38"/>
  <c r="BD251" i="38" s="1"/>
  <c r="BE251" i="38" s="1"/>
  <c r="BG251" i="38" s="1"/>
  <c r="BC259" i="38"/>
  <c r="BD259" i="38" s="1"/>
  <c r="BE259" i="38" s="1"/>
  <c r="BG259" i="38" s="1"/>
  <c r="CQ262" i="38"/>
  <c r="CR262" i="38" s="1"/>
  <c r="CS262" i="38" s="1"/>
  <c r="CU262" i="38" s="1"/>
  <c r="CQ264" i="38"/>
  <c r="CR264" i="38" s="1"/>
  <c r="CS264" i="38" s="1"/>
  <c r="CU264" i="38" s="1"/>
  <c r="BC266" i="38"/>
  <c r="BD266" i="38" s="1"/>
  <c r="BE266" i="38" s="1"/>
  <c r="BG266" i="38" s="1"/>
  <c r="DK267" i="38"/>
  <c r="DL267" i="38" s="1"/>
  <c r="DM267" i="38" s="1"/>
  <c r="DO267" i="38" s="1"/>
  <c r="DU95" i="38"/>
  <c r="DV95" i="38" s="1"/>
  <c r="DW95" i="38" s="1"/>
  <c r="DY95" i="38" s="1"/>
  <c r="DU61" i="38"/>
  <c r="DV61" i="38" s="1"/>
  <c r="DW61" i="38" s="1"/>
  <c r="DY61" i="38" s="1"/>
  <c r="DU75" i="38"/>
  <c r="DV75" i="38" s="1"/>
  <c r="DW75" i="38" s="1"/>
  <c r="DY75" i="38" s="1"/>
  <c r="DU89" i="38"/>
  <c r="DV89" i="38" s="1"/>
  <c r="DW89" i="38" s="1"/>
  <c r="DY89" i="38" s="1"/>
  <c r="DU74" i="38"/>
  <c r="DV74" i="38" s="1"/>
  <c r="DW74" i="38" s="1"/>
  <c r="DY74" i="38" s="1"/>
  <c r="DU30" i="38"/>
  <c r="DV30" i="38" s="1"/>
  <c r="DW30" i="38" s="1"/>
  <c r="DY30" i="38" s="1"/>
  <c r="DU43" i="38"/>
  <c r="DV43" i="38" s="1"/>
  <c r="DW43" i="38" s="1"/>
  <c r="DY43" i="38" s="1"/>
  <c r="DU35" i="38"/>
  <c r="DV35" i="38" s="1"/>
  <c r="DW35" i="38" s="1"/>
  <c r="DY35" i="38" s="1"/>
  <c r="CQ241" i="38"/>
  <c r="CR241" i="38" s="1"/>
  <c r="CS241" i="38" s="1"/>
  <c r="CU241" i="38" s="1"/>
  <c r="CQ225" i="38"/>
  <c r="CR225" i="38" s="1"/>
  <c r="CS225" i="38" s="1"/>
  <c r="CU225" i="38" s="1"/>
  <c r="CQ209" i="38"/>
  <c r="CR209" i="38" s="1"/>
  <c r="CS209" i="38" s="1"/>
  <c r="CU209" i="38" s="1"/>
  <c r="CQ185" i="38"/>
  <c r="CR185" i="38" s="1"/>
  <c r="CS185" i="38" s="1"/>
  <c r="CU185" i="38" s="1"/>
  <c r="CQ259" i="38"/>
  <c r="CR259" i="38" s="1"/>
  <c r="CS259" i="38" s="1"/>
  <c r="CU259" i="38" s="1"/>
  <c r="CQ243" i="38"/>
  <c r="CR243" i="38" s="1"/>
  <c r="CS243" i="38" s="1"/>
  <c r="CU243" i="38" s="1"/>
  <c r="CQ226" i="38"/>
  <c r="CR226" i="38" s="1"/>
  <c r="CS226" i="38" s="1"/>
  <c r="CU226" i="38" s="1"/>
  <c r="CQ210" i="38"/>
  <c r="CR210" i="38" s="1"/>
  <c r="CS210" i="38" s="1"/>
  <c r="CU210" i="38" s="1"/>
  <c r="CQ191" i="38"/>
  <c r="CR191" i="38" s="1"/>
  <c r="CS191" i="38" s="1"/>
  <c r="CU191" i="38" s="1"/>
  <c r="CQ150" i="38"/>
  <c r="CR150" i="38" s="1"/>
  <c r="CS150" i="38" s="1"/>
  <c r="CU150" i="38" s="1"/>
  <c r="CQ152" i="38"/>
  <c r="CR152" i="38" s="1"/>
  <c r="CS152" i="38" s="1"/>
  <c r="CU152" i="38" s="1"/>
  <c r="CQ120" i="38"/>
  <c r="CR120" i="38" s="1"/>
  <c r="CS120" i="38" s="1"/>
  <c r="CU120" i="38" s="1"/>
  <c r="CQ118" i="38"/>
  <c r="CR118" i="38" s="1"/>
  <c r="CS118" i="38" s="1"/>
  <c r="CU118" i="38" s="1"/>
  <c r="CQ190" i="38"/>
  <c r="CR190" i="38" s="1"/>
  <c r="CS190" i="38" s="1"/>
  <c r="CU190" i="38" s="1"/>
  <c r="CQ174" i="38"/>
  <c r="CR174" i="38" s="1"/>
  <c r="CS174" i="38" s="1"/>
  <c r="CU174" i="38" s="1"/>
  <c r="CQ159" i="38"/>
  <c r="CR159" i="38" s="1"/>
  <c r="CS159" i="38" s="1"/>
  <c r="CU159" i="38" s="1"/>
  <c r="CQ141" i="38"/>
  <c r="CR141" i="38" s="1"/>
  <c r="CS141" i="38" s="1"/>
  <c r="CU141" i="38" s="1"/>
  <c r="CQ125" i="38"/>
  <c r="CR125" i="38" s="1"/>
  <c r="CS125" i="38" s="1"/>
  <c r="CU125" i="38" s="1"/>
  <c r="CQ100" i="38"/>
  <c r="CR100" i="38" s="1"/>
  <c r="CS100" i="38" s="1"/>
  <c r="CU100" i="38" s="1"/>
  <c r="CQ105" i="38"/>
  <c r="CR105" i="38" s="1"/>
  <c r="CS105" i="38" s="1"/>
  <c r="CU105" i="38" s="1"/>
  <c r="CQ27" i="38"/>
  <c r="CR27" i="38" s="1"/>
  <c r="CS27" i="38" s="1"/>
  <c r="CU27" i="38" s="1"/>
  <c r="CQ22" i="38"/>
  <c r="CR22" i="38" s="1"/>
  <c r="CS22" i="38" s="1"/>
  <c r="CU22" i="38" s="1"/>
  <c r="CQ21" i="38"/>
  <c r="CR21" i="38" s="1"/>
  <c r="CS21" i="38" s="1"/>
  <c r="CU21" i="38" s="1"/>
  <c r="BW235" i="38"/>
  <c r="BX235" i="38" s="1"/>
  <c r="BY235" i="38" s="1"/>
  <c r="CA235" i="38" s="1"/>
  <c r="BW220" i="38"/>
  <c r="BX220" i="38" s="1"/>
  <c r="BY220" i="38" s="1"/>
  <c r="CA220" i="38" s="1"/>
  <c r="BW204" i="38"/>
  <c r="BX204" i="38" s="1"/>
  <c r="BY204" i="38" s="1"/>
  <c r="CA204" i="38" s="1"/>
  <c r="BW178" i="38"/>
  <c r="BX178" i="38" s="1"/>
  <c r="BY178" i="38" s="1"/>
  <c r="CA178" i="38" s="1"/>
  <c r="BW257" i="38"/>
  <c r="BX257" i="38" s="1"/>
  <c r="BY257" i="38" s="1"/>
  <c r="CA257" i="38" s="1"/>
  <c r="BW241" i="38"/>
  <c r="BX241" i="38" s="1"/>
  <c r="BY241" i="38" s="1"/>
  <c r="CA241" i="38" s="1"/>
  <c r="BW225" i="38"/>
  <c r="BX225" i="38" s="1"/>
  <c r="BY225" i="38" s="1"/>
  <c r="CA225" i="38" s="1"/>
  <c r="BW209" i="38"/>
  <c r="BX209" i="38" s="1"/>
  <c r="BY209" i="38" s="1"/>
  <c r="CA209" i="38" s="1"/>
  <c r="BW184" i="38"/>
  <c r="BX184" i="38" s="1"/>
  <c r="BY184" i="38" s="1"/>
  <c r="CA184" i="38" s="1"/>
  <c r="BW163" i="38"/>
  <c r="BX163" i="38" s="1"/>
  <c r="BY163" i="38" s="1"/>
  <c r="CA163" i="38" s="1"/>
  <c r="BW133" i="38"/>
  <c r="BX133" i="38" s="1"/>
  <c r="BY133" i="38" s="1"/>
  <c r="CA133" i="38" s="1"/>
  <c r="BW127" i="38"/>
  <c r="BX127" i="38" s="1"/>
  <c r="BY127" i="38" s="1"/>
  <c r="CA127" i="38" s="1"/>
  <c r="BW195" i="38"/>
  <c r="BX195" i="38" s="1"/>
  <c r="BY195" i="38" s="1"/>
  <c r="CA195" i="38" s="1"/>
  <c r="BW179" i="38"/>
  <c r="BX179" i="38" s="1"/>
  <c r="BY179" i="38" s="1"/>
  <c r="CA179" i="38" s="1"/>
  <c r="BW164" i="38"/>
  <c r="BX164" i="38" s="1"/>
  <c r="BY164" i="38" s="1"/>
  <c r="CA164" i="38" s="1"/>
  <c r="BW148" i="38"/>
  <c r="BX148" i="38" s="1"/>
  <c r="BY148" i="38" s="1"/>
  <c r="CA148" i="38" s="1"/>
  <c r="BW132" i="38"/>
  <c r="BX132" i="38" s="1"/>
  <c r="BY132" i="38" s="1"/>
  <c r="CA132" i="38" s="1"/>
  <c r="BW114" i="38"/>
  <c r="BX114" i="38" s="1"/>
  <c r="BY114" i="38" s="1"/>
  <c r="CA114" i="38" s="1"/>
  <c r="BW16" i="38"/>
  <c r="BX16" i="38" s="1"/>
  <c r="BY16" i="38" s="1"/>
  <c r="CA16" i="38" s="1"/>
  <c r="BW102" i="38"/>
  <c r="BX102" i="38" s="1"/>
  <c r="BY102" i="38" s="1"/>
  <c r="CA102" i="38" s="1"/>
  <c r="BW51" i="38"/>
  <c r="BX51" i="38" s="1"/>
  <c r="BY51" i="38" s="1"/>
  <c r="CA51" i="38" s="1"/>
  <c r="BW25" i="38"/>
  <c r="BX25" i="38" s="1"/>
  <c r="BY25" i="38" s="1"/>
  <c r="CA25" i="38" s="1"/>
  <c r="BM76" i="38"/>
  <c r="BN76" i="38" s="1"/>
  <c r="BO76" i="38" s="1"/>
  <c r="BQ76" i="38" s="1"/>
  <c r="BM61" i="38"/>
  <c r="BN61" i="38" s="1"/>
  <c r="BO61" i="38" s="1"/>
  <c r="BQ61" i="38" s="1"/>
  <c r="BM74" i="38"/>
  <c r="BN74" i="38" s="1"/>
  <c r="BO74" i="38" s="1"/>
  <c r="BQ74" i="38" s="1"/>
  <c r="BM93" i="38"/>
  <c r="BN93" i="38" s="1"/>
  <c r="BO93" i="38" s="1"/>
  <c r="BQ93" i="38" s="1"/>
  <c r="BM77" i="38"/>
  <c r="BN77" i="38" s="1"/>
  <c r="BO77" i="38" s="1"/>
  <c r="BQ77" i="38" s="1"/>
  <c r="BM36" i="38"/>
  <c r="BN36" i="38" s="1"/>
  <c r="BO36" i="38" s="1"/>
  <c r="BQ36" i="38" s="1"/>
  <c r="BM45" i="38"/>
  <c r="BN45" i="38" s="1"/>
  <c r="BO45" i="38" s="1"/>
  <c r="BQ45" i="38" s="1"/>
  <c r="BM37" i="38"/>
  <c r="BN37" i="38" s="1"/>
  <c r="BO37" i="38" s="1"/>
  <c r="BQ37" i="38" s="1"/>
  <c r="BC247" i="38"/>
  <c r="BD247" i="38" s="1"/>
  <c r="BE247" i="38" s="1"/>
  <c r="BG247" i="38" s="1"/>
  <c r="BC231" i="38"/>
  <c r="BD231" i="38" s="1"/>
  <c r="BE231" i="38" s="1"/>
  <c r="BG231" i="38" s="1"/>
  <c r="BC215" i="38"/>
  <c r="BD215" i="38" s="1"/>
  <c r="BE215" i="38" s="1"/>
  <c r="BG215" i="38" s="1"/>
  <c r="BC199" i="38"/>
  <c r="BD199" i="38" s="1"/>
  <c r="BE199" i="38" s="1"/>
  <c r="BG199" i="38" s="1"/>
  <c r="BC169" i="38"/>
  <c r="BD169" i="38" s="1"/>
  <c r="BE169" i="38" s="1"/>
  <c r="BG169" i="38" s="1"/>
  <c r="BC254" i="38"/>
  <c r="BD254" i="38" s="1"/>
  <c r="BE254" i="38" s="1"/>
  <c r="BG254" i="38" s="1"/>
  <c r="BC238" i="38"/>
  <c r="BD238" i="38" s="1"/>
  <c r="BE238" i="38" s="1"/>
  <c r="BG238" i="38" s="1"/>
  <c r="BC222" i="38"/>
  <c r="BD222" i="38" s="1"/>
  <c r="BE222" i="38" s="1"/>
  <c r="BG222" i="38" s="1"/>
  <c r="BC206" i="38"/>
  <c r="BD206" i="38" s="1"/>
  <c r="BE206" i="38" s="1"/>
  <c r="BG206" i="38" s="1"/>
  <c r="BC181" i="38"/>
  <c r="BD181" i="38" s="1"/>
  <c r="BE181" i="38" s="1"/>
  <c r="BG181" i="38" s="1"/>
  <c r="BC168" i="38"/>
  <c r="BD168" i="38" s="1"/>
  <c r="BE168" i="38" s="1"/>
  <c r="BG168" i="38" s="1"/>
  <c r="BC134" i="38"/>
  <c r="BD134" i="38" s="1"/>
  <c r="BE134" i="38" s="1"/>
  <c r="BG134" i="38" s="1"/>
  <c r="BC124" i="38"/>
  <c r="BD124" i="38" s="1"/>
  <c r="BE124" i="38" s="1"/>
  <c r="BG124" i="38" s="1"/>
  <c r="BC17" i="38"/>
  <c r="BD17" i="38" s="1"/>
  <c r="BE17" i="38" s="1"/>
  <c r="BG17" i="38" s="1"/>
  <c r="BC184" i="38"/>
  <c r="BD184" i="38" s="1"/>
  <c r="BE184" i="38" s="1"/>
  <c r="BG184" i="38" s="1"/>
  <c r="BC166" i="38"/>
  <c r="BD166" i="38" s="1"/>
  <c r="BE166" i="38" s="1"/>
  <c r="BG166" i="38" s="1"/>
  <c r="BC151" i="38"/>
  <c r="BD151" i="38" s="1"/>
  <c r="BE151" i="38" s="1"/>
  <c r="BG151" i="38" s="1"/>
  <c r="BC135" i="38"/>
  <c r="BD135" i="38" s="1"/>
  <c r="BE135" i="38" s="1"/>
  <c r="BG135" i="38" s="1"/>
  <c r="BC119" i="38"/>
  <c r="BD119" i="38" s="1"/>
  <c r="BE119" i="38" s="1"/>
  <c r="BG119" i="38" s="1"/>
  <c r="BC28" i="38"/>
  <c r="BD28" i="38" s="1"/>
  <c r="BE28" i="38" s="1"/>
  <c r="BG28" i="38" s="1"/>
  <c r="BC103" i="38"/>
  <c r="BD103" i="38" s="1"/>
  <c r="BE103" i="38" s="1"/>
  <c r="BG103" i="38" s="1"/>
  <c r="BC56" i="38"/>
  <c r="BD56" i="38" s="1"/>
  <c r="BE56" i="38" s="1"/>
  <c r="BG56" i="38" s="1"/>
  <c r="BC24" i="38"/>
  <c r="BD24" i="38" s="1"/>
  <c r="BE24" i="38" s="1"/>
  <c r="BG24" i="38" s="1"/>
  <c r="CG94" i="37"/>
  <c r="CH94" i="37" s="1"/>
  <c r="CI94" i="37" s="1"/>
  <c r="CK94" i="37" s="1"/>
  <c r="BM230" i="38"/>
  <c r="BN230" i="38" s="1"/>
  <c r="BO230" i="38" s="1"/>
  <c r="BQ230" i="38" s="1"/>
  <c r="CG233" i="38"/>
  <c r="CH233" i="38" s="1"/>
  <c r="CI233" i="38" s="1"/>
  <c r="CK233" i="38" s="1"/>
  <c r="DA236" i="38"/>
  <c r="DB236" i="38" s="1"/>
  <c r="DC236" i="38" s="1"/>
  <c r="DE236" i="38" s="1"/>
  <c r="DU239" i="38"/>
  <c r="DV239" i="38" s="1"/>
  <c r="DW239" i="38" s="1"/>
  <c r="DY239" i="38" s="1"/>
  <c r="EO242" i="38"/>
  <c r="EP242" i="38" s="1"/>
  <c r="EQ242" i="38" s="1"/>
  <c r="ES242" i="38" s="1"/>
  <c r="BM246" i="38"/>
  <c r="BN246" i="38" s="1"/>
  <c r="BO246" i="38" s="1"/>
  <c r="BQ246" i="38" s="1"/>
  <c r="CG249" i="38"/>
  <c r="CH249" i="38" s="1"/>
  <c r="CI249" i="38" s="1"/>
  <c r="CK249" i="38" s="1"/>
  <c r="DA252" i="38"/>
  <c r="DB252" i="38" s="1"/>
  <c r="DC252" i="38" s="1"/>
  <c r="DE252" i="38" s="1"/>
  <c r="DU255" i="38"/>
  <c r="DV255" i="38" s="1"/>
  <c r="DW255" i="38" s="1"/>
  <c r="DY255" i="38" s="1"/>
  <c r="EO258" i="38"/>
  <c r="EP258" i="38" s="1"/>
  <c r="EQ258" i="38" s="1"/>
  <c r="ES258" i="38" s="1"/>
  <c r="BM262" i="38"/>
  <c r="BN262" i="38" s="1"/>
  <c r="BO262" i="38" s="1"/>
  <c r="BQ262" i="38" s="1"/>
  <c r="CG232" i="38"/>
  <c r="CH232" i="38" s="1"/>
  <c r="CI232" i="38" s="1"/>
  <c r="CK232" i="38" s="1"/>
  <c r="DA235" i="38"/>
  <c r="DB235" i="38" s="1"/>
  <c r="DC235" i="38" s="1"/>
  <c r="DE235" i="38" s="1"/>
  <c r="DU238" i="38"/>
  <c r="DV238" i="38" s="1"/>
  <c r="DW238" i="38" s="1"/>
  <c r="DY238" i="38" s="1"/>
  <c r="EO241" i="38"/>
  <c r="EP241" i="38" s="1"/>
  <c r="EQ241" i="38" s="1"/>
  <c r="ES241" i="38" s="1"/>
  <c r="BM245" i="38"/>
  <c r="BN245" i="38" s="1"/>
  <c r="BO245" i="38" s="1"/>
  <c r="BQ245" i="38" s="1"/>
  <c r="CG248" i="38"/>
  <c r="CH248" i="38" s="1"/>
  <c r="CI248" i="38" s="1"/>
  <c r="CK248" i="38" s="1"/>
  <c r="DA251" i="38"/>
  <c r="DB251" i="38" s="1"/>
  <c r="DC251" i="38" s="1"/>
  <c r="DE251" i="38" s="1"/>
  <c r="DU254" i="38"/>
  <c r="DV254" i="38" s="1"/>
  <c r="DW254" i="38" s="1"/>
  <c r="DY254" i="38" s="1"/>
  <c r="EO257" i="38"/>
  <c r="EP257" i="38" s="1"/>
  <c r="EQ257" i="38" s="1"/>
  <c r="ES257" i="38" s="1"/>
  <c r="BM261" i="38"/>
  <c r="BN261" i="38" s="1"/>
  <c r="BO261" i="38" s="1"/>
  <c r="BQ261" i="38" s="1"/>
  <c r="CQ62" i="38"/>
  <c r="CR62" i="38" s="1"/>
  <c r="CS62" i="38" s="1"/>
  <c r="CU62" i="38" s="1"/>
  <c r="DK65" i="38"/>
  <c r="DL65" i="38" s="1"/>
  <c r="DM65" i="38" s="1"/>
  <c r="DO65" i="38" s="1"/>
  <c r="EE68" i="38"/>
  <c r="EF68" i="38" s="1"/>
  <c r="EG68" i="38" s="1"/>
  <c r="EI68" i="38" s="1"/>
  <c r="BC72" i="38"/>
  <c r="BD72" i="38" s="1"/>
  <c r="BE72" i="38" s="1"/>
  <c r="BG72" i="38" s="1"/>
  <c r="BW75" i="38"/>
  <c r="BX75" i="38" s="1"/>
  <c r="BY75" i="38" s="1"/>
  <c r="CA75" i="38" s="1"/>
  <c r="EO99" i="38"/>
  <c r="EP99" i="38" s="1"/>
  <c r="EQ99" i="38" s="1"/>
  <c r="ES99" i="38" s="1"/>
  <c r="BM103" i="38"/>
  <c r="BN103" i="38" s="1"/>
  <c r="BO103" i="38" s="1"/>
  <c r="BQ103" i="38" s="1"/>
  <c r="CG106" i="38"/>
  <c r="CH106" i="38" s="1"/>
  <c r="CI106" i="38" s="1"/>
  <c r="CK106" i="38" s="1"/>
  <c r="DA109" i="38"/>
  <c r="DB109" i="38" s="1"/>
  <c r="DC109" i="38" s="1"/>
  <c r="DE109" i="38" s="1"/>
  <c r="BW66" i="38"/>
  <c r="BX66" i="38" s="1"/>
  <c r="BY66" i="38" s="1"/>
  <c r="CA66" i="38" s="1"/>
  <c r="DK72" i="38"/>
  <c r="DL72" i="38" s="1"/>
  <c r="DM72" i="38" s="1"/>
  <c r="DO72" i="38" s="1"/>
  <c r="DA100" i="38"/>
  <c r="DB100" i="38" s="1"/>
  <c r="DC100" i="38" s="1"/>
  <c r="DE100" i="38" s="1"/>
  <c r="EO106" i="38"/>
  <c r="EP106" i="38" s="1"/>
  <c r="EQ106" i="38" s="1"/>
  <c r="ES106" i="38" s="1"/>
  <c r="EO117" i="38"/>
  <c r="EP117" i="38" s="1"/>
  <c r="EQ117" i="38" s="1"/>
  <c r="ES117" i="38" s="1"/>
  <c r="BM121" i="38"/>
  <c r="BN121" i="38" s="1"/>
  <c r="BO121" i="38" s="1"/>
  <c r="BQ121" i="38" s="1"/>
  <c r="CG124" i="38"/>
  <c r="CH124" i="38" s="1"/>
  <c r="CI124" i="38" s="1"/>
  <c r="CK124" i="38" s="1"/>
  <c r="DA127" i="38"/>
  <c r="DB127" i="38" s="1"/>
  <c r="DC127" i="38" s="1"/>
  <c r="DE127" i="38" s="1"/>
  <c r="DU130" i="38"/>
  <c r="DV130" i="38" s="1"/>
  <c r="DW130" i="38" s="1"/>
  <c r="DY130" i="38" s="1"/>
  <c r="EO133" i="38"/>
  <c r="EP133" i="38" s="1"/>
  <c r="EQ133" i="38" s="1"/>
  <c r="ES133" i="38" s="1"/>
  <c r="BM137" i="38"/>
  <c r="BN137" i="38" s="1"/>
  <c r="BO137" i="38" s="1"/>
  <c r="BQ137" i="38" s="1"/>
  <c r="CG140" i="38"/>
  <c r="CH140" i="38" s="1"/>
  <c r="CI140" i="38" s="1"/>
  <c r="CK140" i="38" s="1"/>
  <c r="DA143" i="38"/>
  <c r="DB143" i="38" s="1"/>
  <c r="DC143" i="38" s="1"/>
  <c r="DE143" i="38" s="1"/>
  <c r="DU146" i="38"/>
  <c r="DV146" i="38" s="1"/>
  <c r="DW146" i="38" s="1"/>
  <c r="DY146" i="38" s="1"/>
  <c r="EO149" i="38"/>
  <c r="EP149" i="38" s="1"/>
  <c r="EQ149" i="38" s="1"/>
  <c r="ES149" i="38" s="1"/>
  <c r="EO168" i="38"/>
  <c r="EP168" i="38" s="1"/>
  <c r="EQ168" i="38" s="1"/>
  <c r="ES168" i="38" s="1"/>
  <c r="BM172" i="38"/>
  <c r="BN172" i="38" s="1"/>
  <c r="BO172" i="38" s="1"/>
  <c r="BQ172" i="38" s="1"/>
  <c r="CG175" i="38"/>
  <c r="CH175" i="38" s="1"/>
  <c r="CI175" i="38" s="1"/>
  <c r="CK175" i="38" s="1"/>
  <c r="DA178" i="38"/>
  <c r="DB178" i="38" s="1"/>
  <c r="DC178" i="38" s="1"/>
  <c r="DE178" i="38" s="1"/>
  <c r="DU181" i="38"/>
  <c r="DV181" i="38" s="1"/>
  <c r="DW181" i="38" s="1"/>
  <c r="DY181" i="38" s="1"/>
  <c r="EO184" i="38"/>
  <c r="EP184" i="38" s="1"/>
  <c r="EQ184" i="38" s="1"/>
  <c r="ES184" i="38" s="1"/>
  <c r="BM188" i="38"/>
  <c r="BN188" i="38" s="1"/>
  <c r="BO188" i="38" s="1"/>
  <c r="BQ188" i="38" s="1"/>
  <c r="CG191" i="38"/>
  <c r="CH191" i="38" s="1"/>
  <c r="CI191" i="38" s="1"/>
  <c r="CK191" i="38" s="1"/>
  <c r="DA194" i="38"/>
  <c r="DB194" i="38" s="1"/>
  <c r="DC194" i="38" s="1"/>
  <c r="DE194" i="38" s="1"/>
  <c r="DU197" i="38"/>
  <c r="DV197" i="38" s="1"/>
  <c r="DW197" i="38" s="1"/>
  <c r="DY197" i="38" s="1"/>
  <c r="CQ63" i="38"/>
  <c r="CR63" i="38" s="1"/>
  <c r="CS63" i="38" s="1"/>
  <c r="CU63" i="38" s="1"/>
  <c r="EE69" i="38"/>
  <c r="EF69" i="38" s="1"/>
  <c r="EG69" i="38" s="1"/>
  <c r="EI69" i="38" s="1"/>
  <c r="CQ98" i="38"/>
  <c r="CR98" i="38" s="1"/>
  <c r="CS98" i="38" s="1"/>
  <c r="CU98" i="38" s="1"/>
  <c r="DU109" i="38"/>
  <c r="DV109" i="38" s="1"/>
  <c r="DW109" i="38" s="1"/>
  <c r="DY109" i="38" s="1"/>
  <c r="DA122" i="38"/>
  <c r="DB122" i="38" s="1"/>
  <c r="DC122" i="38" s="1"/>
  <c r="DE122" i="38" s="1"/>
  <c r="EO128" i="38"/>
  <c r="EP128" i="38" s="1"/>
  <c r="EQ128" i="38" s="1"/>
  <c r="ES128" i="38" s="1"/>
  <c r="DA102" i="38"/>
  <c r="DB102" i="38" s="1"/>
  <c r="DC102" i="38" s="1"/>
  <c r="DE102" i="38" s="1"/>
  <c r="EO118" i="38"/>
  <c r="EP118" i="38" s="1"/>
  <c r="EQ118" i="38" s="1"/>
  <c r="ES118" i="38" s="1"/>
  <c r="CG125" i="38"/>
  <c r="CH125" i="38" s="1"/>
  <c r="CI125" i="38" s="1"/>
  <c r="CK125" i="38" s="1"/>
  <c r="DU131" i="38"/>
  <c r="DV131" i="38" s="1"/>
  <c r="DW131" i="38" s="1"/>
  <c r="DY131" i="38" s="1"/>
  <c r="BM138" i="38"/>
  <c r="BN138" i="38" s="1"/>
  <c r="BO138" i="38" s="1"/>
  <c r="BQ138" i="38" s="1"/>
  <c r="DA144" i="38"/>
  <c r="DB144" i="38" s="1"/>
  <c r="DC144" i="38" s="1"/>
  <c r="DE144" i="38" s="1"/>
  <c r="EO150" i="38"/>
  <c r="EP150" i="38" s="1"/>
  <c r="EQ150" i="38" s="1"/>
  <c r="ES150" i="38" s="1"/>
  <c r="DU137" i="38"/>
  <c r="DV137" i="38" s="1"/>
  <c r="DW137" i="38" s="1"/>
  <c r="DY137" i="38" s="1"/>
  <c r="DA150" i="38"/>
  <c r="DB150" i="38" s="1"/>
  <c r="DC150" i="38" s="1"/>
  <c r="DE150" i="38" s="1"/>
  <c r="DU174" i="38"/>
  <c r="DV174" i="38" s="1"/>
  <c r="DW174" i="38" s="1"/>
  <c r="DY174" i="38" s="1"/>
  <c r="BM181" i="38"/>
  <c r="BN181" i="38" s="1"/>
  <c r="BO181" i="38" s="1"/>
  <c r="BQ181" i="38" s="1"/>
  <c r="DA187" i="38"/>
  <c r="DB187" i="38" s="1"/>
  <c r="DC187" i="38" s="1"/>
  <c r="DE187" i="38" s="1"/>
  <c r="EO193" i="38"/>
  <c r="EP193" i="38" s="1"/>
  <c r="EQ193" i="38" s="1"/>
  <c r="ES193" i="38" s="1"/>
  <c r="BM200" i="38"/>
  <c r="BN200" i="38" s="1"/>
  <c r="BO200" i="38" s="1"/>
  <c r="BQ200" i="38" s="1"/>
  <c r="CG203" i="38"/>
  <c r="CH203" i="38" s="1"/>
  <c r="CI203" i="38" s="1"/>
  <c r="CK203" i="38" s="1"/>
  <c r="DA206" i="38"/>
  <c r="DB206" i="38" s="1"/>
  <c r="DC206" i="38" s="1"/>
  <c r="DE206" i="38" s="1"/>
  <c r="DU209" i="38"/>
  <c r="DV209" i="38" s="1"/>
  <c r="DW209" i="38" s="1"/>
  <c r="DY209" i="38" s="1"/>
  <c r="EO212" i="38"/>
  <c r="EP212" i="38" s="1"/>
  <c r="EQ212" i="38" s="1"/>
  <c r="ES212" i="38" s="1"/>
  <c r="BM216" i="38"/>
  <c r="BN216" i="38" s="1"/>
  <c r="BO216" i="38" s="1"/>
  <c r="BQ216" i="38" s="1"/>
  <c r="CG219" i="38"/>
  <c r="CH219" i="38" s="1"/>
  <c r="CI219" i="38" s="1"/>
  <c r="CK219" i="38" s="1"/>
  <c r="DA222" i="38"/>
  <c r="DB222" i="38" s="1"/>
  <c r="DC222" i="38" s="1"/>
  <c r="DE222" i="38" s="1"/>
  <c r="DU225" i="38"/>
  <c r="DV225" i="38" s="1"/>
  <c r="DW225" i="38" s="1"/>
  <c r="DY225" i="38" s="1"/>
  <c r="EO228" i="38"/>
  <c r="EP228" i="38" s="1"/>
  <c r="EQ228" i="38" s="1"/>
  <c r="ES228" i="38" s="1"/>
  <c r="BM140" i="38"/>
  <c r="BN140" i="38" s="1"/>
  <c r="BO140" i="38" s="1"/>
  <c r="BQ140" i="38" s="1"/>
  <c r="BM169" i="38"/>
  <c r="BN169" i="38" s="1"/>
  <c r="BO169" i="38" s="1"/>
  <c r="BQ169" i="38" s="1"/>
  <c r="EO175" i="38"/>
  <c r="EP175" i="38" s="1"/>
  <c r="EQ175" i="38" s="1"/>
  <c r="ES175" i="38" s="1"/>
  <c r="CG182" i="38"/>
  <c r="CH182" i="38" s="1"/>
  <c r="CI182" i="38" s="1"/>
  <c r="CK182" i="38" s="1"/>
  <c r="DU188" i="38"/>
  <c r="DV188" i="38" s="1"/>
  <c r="DW188" i="38" s="1"/>
  <c r="DY188" i="38" s="1"/>
  <c r="BM195" i="38"/>
  <c r="BN195" i="38" s="1"/>
  <c r="BO195" i="38" s="1"/>
  <c r="BQ195" i="38" s="1"/>
  <c r="DU200" i="38"/>
  <c r="DV200" i="38" s="1"/>
  <c r="DW200" i="38" s="1"/>
  <c r="DY200" i="38" s="1"/>
  <c r="EO203" i="38"/>
  <c r="EP203" i="38" s="1"/>
  <c r="EQ203" i="38" s="1"/>
  <c r="ES203" i="38" s="1"/>
  <c r="BM207" i="38"/>
  <c r="BN207" i="38" s="1"/>
  <c r="BO207" i="38" s="1"/>
  <c r="BQ207" i="38" s="1"/>
  <c r="CG210" i="38"/>
  <c r="CH210" i="38" s="1"/>
  <c r="CI210" i="38" s="1"/>
  <c r="CK210" i="38" s="1"/>
  <c r="DA213" i="38"/>
  <c r="DB213" i="38" s="1"/>
  <c r="DC213" i="38" s="1"/>
  <c r="DE213" i="38" s="1"/>
  <c r="DU216" i="38"/>
  <c r="DV216" i="38" s="1"/>
  <c r="DW216" i="38" s="1"/>
  <c r="DY216" i="38" s="1"/>
  <c r="EO219" i="38"/>
  <c r="EP219" i="38" s="1"/>
  <c r="EQ219" i="38" s="1"/>
  <c r="ES219" i="38" s="1"/>
  <c r="BM223" i="38"/>
  <c r="BN223" i="38" s="1"/>
  <c r="BO223" i="38" s="1"/>
  <c r="BQ223" i="38" s="1"/>
  <c r="CG226" i="38"/>
  <c r="CH226" i="38" s="1"/>
  <c r="CI226" i="38" s="1"/>
  <c r="CK226" i="38" s="1"/>
  <c r="DA229" i="38"/>
  <c r="DB229" i="38" s="1"/>
  <c r="DC229" i="38" s="1"/>
  <c r="DE229" i="38" s="1"/>
  <c r="CQ254" i="38"/>
  <c r="CR254" i="38" s="1"/>
  <c r="CS254" i="38" s="1"/>
  <c r="CU254" i="38" s="1"/>
  <c r="BW260" i="38"/>
  <c r="BX260" i="38" s="1"/>
  <c r="BY260" i="38" s="1"/>
  <c r="CA260" i="38" s="1"/>
  <c r="CQ263" i="38"/>
  <c r="CR263" i="38" s="1"/>
  <c r="CS263" i="38" s="1"/>
  <c r="CU263" i="38" s="1"/>
  <c r="BC265" i="38"/>
  <c r="BD265" i="38" s="1"/>
  <c r="BE265" i="38" s="1"/>
  <c r="BG265" i="38" s="1"/>
  <c r="DK266" i="38"/>
  <c r="DL266" i="38" s="1"/>
  <c r="DM266" i="38" s="1"/>
  <c r="DO266" i="38" s="1"/>
  <c r="BW268" i="38"/>
  <c r="BX268" i="38" s="1"/>
  <c r="BY268" i="38" s="1"/>
  <c r="CA268" i="38" s="1"/>
  <c r="EO76" i="38"/>
  <c r="EP76" i="38" s="1"/>
  <c r="EQ76" i="38" s="1"/>
  <c r="ES76" i="38" s="1"/>
  <c r="EO79" i="38"/>
  <c r="EP79" i="38" s="1"/>
  <c r="EQ79" i="38" s="1"/>
  <c r="ES79" i="38" s="1"/>
  <c r="EO28" i="38"/>
  <c r="EP28" i="38" s="1"/>
  <c r="EQ28" i="38" s="1"/>
  <c r="ES28" i="38" s="1"/>
  <c r="EO85" i="38"/>
  <c r="EP85" i="38" s="1"/>
  <c r="EQ85" i="38" s="1"/>
  <c r="ES85" i="38" s="1"/>
  <c r="EO69" i="38"/>
  <c r="EP69" i="38" s="1"/>
  <c r="EQ69" i="38" s="1"/>
  <c r="ES69" i="38" s="1"/>
  <c r="EO49" i="38"/>
  <c r="EP49" i="38" s="1"/>
  <c r="EQ49" i="38" s="1"/>
  <c r="ES49" i="38" s="1"/>
  <c r="EO41" i="38"/>
  <c r="EP41" i="38" s="1"/>
  <c r="EQ41" i="38" s="1"/>
  <c r="ES41" i="38" s="1"/>
  <c r="EO31" i="38"/>
  <c r="EP31" i="38" s="1"/>
  <c r="EQ31" i="38" s="1"/>
  <c r="ES31" i="38" s="1"/>
  <c r="EE239" i="38"/>
  <c r="EF239" i="38" s="1"/>
  <c r="EG239" i="38" s="1"/>
  <c r="EI239" i="38" s="1"/>
  <c r="EE223" i="38"/>
  <c r="EF223" i="38" s="1"/>
  <c r="EG223" i="38" s="1"/>
  <c r="EI223" i="38" s="1"/>
  <c r="EE207" i="38"/>
  <c r="EF207" i="38" s="1"/>
  <c r="EG207" i="38" s="1"/>
  <c r="EI207" i="38" s="1"/>
  <c r="EE183" i="38"/>
  <c r="EF183" i="38" s="1"/>
  <c r="EG183" i="38" s="1"/>
  <c r="EI183" i="38" s="1"/>
  <c r="EE258" i="38"/>
  <c r="EF258" i="38" s="1"/>
  <c r="EG258" i="38" s="1"/>
  <c r="EI258" i="38" s="1"/>
  <c r="EE242" i="38"/>
  <c r="EF242" i="38" s="1"/>
  <c r="EG242" i="38" s="1"/>
  <c r="EI242" i="38" s="1"/>
  <c r="EE226" i="38"/>
  <c r="EF226" i="38" s="1"/>
  <c r="EG226" i="38" s="1"/>
  <c r="EI226" i="38" s="1"/>
  <c r="EE210" i="38"/>
  <c r="EF210" i="38" s="1"/>
  <c r="EG210" i="38" s="1"/>
  <c r="EI210" i="38" s="1"/>
  <c r="EE189" i="38"/>
  <c r="EF189" i="38" s="1"/>
  <c r="EG189" i="38" s="1"/>
  <c r="EI189" i="38" s="1"/>
  <c r="EE148" i="38"/>
  <c r="EF148" i="38" s="1"/>
  <c r="EG148" i="38" s="1"/>
  <c r="EI148" i="38" s="1"/>
  <c r="EE146" i="38"/>
  <c r="EF146" i="38" s="1"/>
  <c r="EG146" i="38" s="1"/>
  <c r="EI146" i="38" s="1"/>
  <c r="EE108" i="38"/>
  <c r="EF108" i="38" s="1"/>
  <c r="EG108" i="38" s="1"/>
  <c r="EI108" i="38" s="1"/>
  <c r="EE104" i="38"/>
  <c r="EF104" i="38" s="1"/>
  <c r="EG104" i="38" s="1"/>
  <c r="EI104" i="38" s="1"/>
  <c r="EE190" i="38"/>
  <c r="EF190" i="38" s="1"/>
  <c r="EG190" i="38" s="1"/>
  <c r="EI190" i="38" s="1"/>
  <c r="EE174" i="38"/>
  <c r="EF174" i="38" s="1"/>
  <c r="EG174" i="38" s="1"/>
  <c r="EI174" i="38" s="1"/>
  <c r="EE158" i="38"/>
  <c r="EF158" i="38" s="1"/>
  <c r="EG158" i="38" s="1"/>
  <c r="EI158" i="38" s="1"/>
  <c r="EE143" i="38"/>
  <c r="EF143" i="38" s="1"/>
  <c r="EG143" i="38" s="1"/>
  <c r="EI143" i="38" s="1"/>
  <c r="EE127" i="38"/>
  <c r="EF127" i="38" s="1"/>
  <c r="EG127" i="38" s="1"/>
  <c r="EI127" i="38" s="1"/>
  <c r="EE106" i="38"/>
  <c r="EF106" i="38" s="1"/>
  <c r="EG106" i="38" s="1"/>
  <c r="EI106" i="38" s="1"/>
  <c r="EE109" i="38"/>
  <c r="EF109" i="38" s="1"/>
  <c r="EG109" i="38" s="1"/>
  <c r="EI109" i="38" s="1"/>
  <c r="EE51" i="38"/>
  <c r="EF51" i="38" s="1"/>
  <c r="EG51" i="38" s="1"/>
  <c r="EI51" i="38" s="1"/>
  <c r="EE16" i="38"/>
  <c r="EF16" i="38" s="1"/>
  <c r="EG16" i="38" s="1"/>
  <c r="EI16" i="38" s="1"/>
  <c r="EE19" i="38"/>
  <c r="EF19" i="38" s="1"/>
  <c r="EG19" i="38" s="1"/>
  <c r="EI19" i="38" s="1"/>
  <c r="DK236" i="38"/>
  <c r="DL236" i="38" s="1"/>
  <c r="DM236" i="38" s="1"/>
  <c r="DO236" i="38" s="1"/>
  <c r="DK218" i="38"/>
  <c r="DL218" i="38" s="1"/>
  <c r="DM218" i="38" s="1"/>
  <c r="DO218" i="38" s="1"/>
  <c r="DK202" i="38"/>
  <c r="DL202" i="38" s="1"/>
  <c r="DM202" i="38" s="1"/>
  <c r="DO202" i="38" s="1"/>
  <c r="DK172" i="38"/>
  <c r="DL172" i="38" s="1"/>
  <c r="DM172" i="38" s="1"/>
  <c r="DO172" i="38" s="1"/>
  <c r="DK254" i="38"/>
  <c r="DL254" i="38" s="1"/>
  <c r="DM254" i="38" s="1"/>
  <c r="DO254" i="38" s="1"/>
  <c r="DK238" i="38"/>
  <c r="DL238" i="38" s="1"/>
  <c r="DM238" i="38" s="1"/>
  <c r="DO238" i="38" s="1"/>
  <c r="DK223" i="38"/>
  <c r="DL223" i="38" s="1"/>
  <c r="DM223" i="38" s="1"/>
  <c r="DO223" i="38" s="1"/>
  <c r="DK207" i="38"/>
  <c r="DL207" i="38" s="1"/>
  <c r="DM207" i="38" s="1"/>
  <c r="DO207" i="38" s="1"/>
  <c r="DK182" i="38"/>
  <c r="DL182" i="38" s="1"/>
  <c r="DM182" i="38" s="1"/>
  <c r="DO182" i="38" s="1"/>
  <c r="DK168" i="38"/>
  <c r="DL168" i="38" s="1"/>
  <c r="DM168" i="38" s="1"/>
  <c r="DO168" i="38" s="1"/>
  <c r="DK135" i="38"/>
  <c r="DL135" i="38" s="1"/>
  <c r="DM135" i="38" s="1"/>
  <c r="DO135" i="38" s="1"/>
  <c r="DK121" i="38"/>
  <c r="DL121" i="38" s="1"/>
  <c r="DM121" i="38" s="1"/>
  <c r="DO121" i="38" s="1"/>
  <c r="DK27" i="38"/>
  <c r="DL27" i="38" s="1"/>
  <c r="DM27" i="38" s="1"/>
  <c r="DO27" i="38" s="1"/>
  <c r="DK185" i="38"/>
  <c r="DL185" i="38" s="1"/>
  <c r="DM185" i="38" s="1"/>
  <c r="DO185" i="38" s="1"/>
  <c r="DK169" i="38"/>
  <c r="DL169" i="38" s="1"/>
  <c r="DM169" i="38" s="1"/>
  <c r="DO169" i="38" s="1"/>
  <c r="DK154" i="38"/>
  <c r="DL154" i="38" s="1"/>
  <c r="DM154" i="38" s="1"/>
  <c r="DO154" i="38" s="1"/>
  <c r="DK138" i="38"/>
  <c r="DL138" i="38" s="1"/>
  <c r="DM138" i="38" s="1"/>
  <c r="DO138" i="38" s="1"/>
  <c r="DK122" i="38"/>
  <c r="DL122" i="38" s="1"/>
  <c r="DM122" i="38" s="1"/>
  <c r="DO122" i="38" s="1"/>
  <c r="DK103" i="38"/>
  <c r="DL103" i="38" s="1"/>
  <c r="DM103" i="38" s="1"/>
  <c r="DO103" i="38" s="1"/>
  <c r="DK104" i="38"/>
  <c r="DL104" i="38" s="1"/>
  <c r="DM104" i="38" s="1"/>
  <c r="DO104" i="38" s="1"/>
  <c r="DK22" i="38"/>
  <c r="DL22" i="38" s="1"/>
  <c r="DM22" i="38" s="1"/>
  <c r="DO22" i="38" s="1"/>
  <c r="DK17" i="38"/>
  <c r="DL17" i="38" s="1"/>
  <c r="DM17" i="38" s="1"/>
  <c r="DO17" i="38" s="1"/>
  <c r="DK19" i="38"/>
  <c r="DL19" i="38" s="1"/>
  <c r="DM19" i="38" s="1"/>
  <c r="DO19" i="38" s="1"/>
  <c r="DA66" i="38"/>
  <c r="DB66" i="38" s="1"/>
  <c r="DC66" i="38" s="1"/>
  <c r="DE66" i="38" s="1"/>
  <c r="DA81" i="38"/>
  <c r="DB81" i="38" s="1"/>
  <c r="DC81" i="38" s="1"/>
  <c r="DE81" i="38" s="1"/>
  <c r="DA94" i="38"/>
  <c r="DB94" i="38" s="1"/>
  <c r="DC94" i="38" s="1"/>
  <c r="DE94" i="38" s="1"/>
  <c r="DA78" i="38"/>
  <c r="DB78" i="38" s="1"/>
  <c r="DC78" i="38" s="1"/>
  <c r="DE78" i="38" s="1"/>
  <c r="DA61" i="38"/>
  <c r="DB61" i="38" s="1"/>
  <c r="DC61" i="38" s="1"/>
  <c r="DE61" i="38" s="1"/>
  <c r="DA46" i="38"/>
  <c r="DB46" i="38" s="1"/>
  <c r="DC46" i="38" s="1"/>
  <c r="DE46" i="38" s="1"/>
  <c r="DA38" i="38"/>
  <c r="DB38" i="38" s="1"/>
  <c r="DC38" i="38" s="1"/>
  <c r="DE38" i="38" s="1"/>
  <c r="CG89" i="38"/>
  <c r="CH89" i="38" s="1"/>
  <c r="CI89" i="38" s="1"/>
  <c r="CK89" i="38" s="1"/>
  <c r="CG63" i="38"/>
  <c r="CH63" i="38" s="1"/>
  <c r="CI63" i="38" s="1"/>
  <c r="CK63" i="38" s="1"/>
  <c r="CG73" i="38"/>
  <c r="CH73" i="38" s="1"/>
  <c r="CI73" i="38" s="1"/>
  <c r="CK73" i="38" s="1"/>
  <c r="CG92" i="38"/>
  <c r="CH92" i="38" s="1"/>
  <c r="CI92" i="38" s="1"/>
  <c r="CK92" i="38" s="1"/>
  <c r="CG76" i="38"/>
  <c r="CH76" i="38" s="1"/>
  <c r="CI76" i="38" s="1"/>
  <c r="CK76" i="38" s="1"/>
  <c r="CG61" i="38"/>
  <c r="CH61" i="38" s="1"/>
  <c r="CI61" i="38" s="1"/>
  <c r="CK61" i="38" s="1"/>
  <c r="CG46" i="38"/>
  <c r="CH46" i="38" s="1"/>
  <c r="CI46" i="38" s="1"/>
  <c r="CK46" i="38" s="1"/>
  <c r="CG38" i="38"/>
  <c r="CH38" i="38" s="1"/>
  <c r="CI38" i="38" s="1"/>
  <c r="CK38" i="38" s="1"/>
  <c r="DK192" i="37"/>
  <c r="DL192" i="37" s="1"/>
  <c r="DM192" i="37" s="1"/>
  <c r="DO192" i="37" s="1"/>
  <c r="EE256" i="38"/>
  <c r="EF256" i="38" s="1"/>
  <c r="EG256" i="38" s="1"/>
  <c r="EI256" i="38" s="1"/>
  <c r="CQ261" i="38"/>
  <c r="CR261" i="38" s="1"/>
  <c r="CS261" i="38" s="1"/>
  <c r="CU261" i="38" s="1"/>
  <c r="DU263" i="38"/>
  <c r="DV263" i="38" s="1"/>
  <c r="DW263" i="38" s="1"/>
  <c r="DY263" i="38" s="1"/>
  <c r="CG265" i="38"/>
  <c r="CH265" i="38" s="1"/>
  <c r="CI265" i="38" s="1"/>
  <c r="CK265" i="38" s="1"/>
  <c r="EO266" i="38"/>
  <c r="EP266" i="38" s="1"/>
  <c r="EQ266" i="38" s="1"/>
  <c r="ES266" i="38" s="1"/>
  <c r="DA268" i="38"/>
  <c r="DB268" i="38" s="1"/>
  <c r="DC268" i="38" s="1"/>
  <c r="DE268" i="38" s="1"/>
  <c r="DU88" i="38"/>
  <c r="DV88" i="38" s="1"/>
  <c r="DW88" i="38" s="1"/>
  <c r="DY88" i="38" s="1"/>
  <c r="DU10" i="38"/>
  <c r="DV10" i="38" s="1"/>
  <c r="DW10" i="38" s="1"/>
  <c r="DY10" i="38" s="1"/>
  <c r="DU63" i="38"/>
  <c r="DV63" i="38" s="1"/>
  <c r="DW63" i="38" s="1"/>
  <c r="DY63" i="38" s="1"/>
  <c r="DU82" i="38"/>
  <c r="DV82" i="38" s="1"/>
  <c r="DW82" i="38" s="1"/>
  <c r="DY82" i="38" s="1"/>
  <c r="DU68" i="38"/>
  <c r="DV68" i="38" s="1"/>
  <c r="DW68" i="38" s="1"/>
  <c r="DY68" i="38" s="1"/>
  <c r="DU48" i="38"/>
  <c r="DV48" i="38" s="1"/>
  <c r="DW48" i="38" s="1"/>
  <c r="DY48" i="38" s="1"/>
  <c r="DU40" i="38"/>
  <c r="DV40" i="38" s="1"/>
  <c r="DW40" i="38" s="1"/>
  <c r="DY40" i="38" s="1"/>
  <c r="DU11" i="38"/>
  <c r="DV11" i="38" s="1"/>
  <c r="DW11" i="38" s="1"/>
  <c r="DY11" i="38" s="1"/>
  <c r="CQ234" i="38"/>
  <c r="CR234" i="38" s="1"/>
  <c r="CS234" i="38" s="1"/>
  <c r="CU234" i="38" s="1"/>
  <c r="CQ219" i="38"/>
  <c r="CR219" i="38" s="1"/>
  <c r="CS219" i="38" s="1"/>
  <c r="CU219" i="38" s="1"/>
  <c r="CQ203" i="38"/>
  <c r="CR203" i="38" s="1"/>
  <c r="CS203" i="38" s="1"/>
  <c r="CU203" i="38" s="1"/>
  <c r="CQ173" i="38"/>
  <c r="CR173" i="38" s="1"/>
  <c r="CS173" i="38" s="1"/>
  <c r="CU173" i="38" s="1"/>
  <c r="CQ252" i="38"/>
  <c r="CR252" i="38" s="1"/>
  <c r="CS252" i="38" s="1"/>
  <c r="CU252" i="38" s="1"/>
  <c r="CQ236" i="38"/>
  <c r="CR236" i="38" s="1"/>
  <c r="CS236" i="38" s="1"/>
  <c r="CU236" i="38" s="1"/>
  <c r="CQ220" i="38"/>
  <c r="CR220" i="38" s="1"/>
  <c r="CS220" i="38" s="1"/>
  <c r="CU220" i="38" s="1"/>
  <c r="CQ204" i="38"/>
  <c r="CR204" i="38" s="1"/>
  <c r="CS204" i="38" s="1"/>
  <c r="CU204" i="38" s="1"/>
  <c r="CQ179" i="38"/>
  <c r="CR179" i="38" s="1"/>
  <c r="CS179" i="38" s="1"/>
  <c r="CU179" i="38" s="1"/>
  <c r="CQ169" i="38"/>
  <c r="CR169" i="38" s="1"/>
  <c r="CS169" i="38" s="1"/>
  <c r="CU169" i="38" s="1"/>
  <c r="CQ140" i="38"/>
  <c r="CR140" i="38" s="1"/>
  <c r="CS140" i="38" s="1"/>
  <c r="CU140" i="38" s="1"/>
  <c r="CQ112" i="38"/>
  <c r="CR112" i="38" s="1"/>
  <c r="CS112" i="38" s="1"/>
  <c r="CU112" i="38" s="1"/>
  <c r="CQ15" i="38"/>
  <c r="CR15" i="38" s="1"/>
  <c r="CS15" i="38" s="1"/>
  <c r="CU15" i="38" s="1"/>
  <c r="CQ184" i="38"/>
  <c r="CR184" i="38" s="1"/>
  <c r="CS184" i="38" s="1"/>
  <c r="CU184" i="38" s="1"/>
  <c r="CQ168" i="38"/>
  <c r="CR168" i="38" s="1"/>
  <c r="CS168" i="38" s="1"/>
  <c r="CU168" i="38" s="1"/>
  <c r="CQ151" i="38"/>
  <c r="CR151" i="38" s="1"/>
  <c r="CS151" i="38" s="1"/>
  <c r="CU151" i="38" s="1"/>
  <c r="CQ135" i="38"/>
  <c r="CR135" i="38" s="1"/>
  <c r="CS135" i="38" s="1"/>
  <c r="CU135" i="38" s="1"/>
  <c r="CQ119" i="38"/>
  <c r="CR119" i="38" s="1"/>
  <c r="CS119" i="38" s="1"/>
  <c r="CU119" i="38" s="1"/>
  <c r="CQ114" i="38"/>
  <c r="CR114" i="38" s="1"/>
  <c r="CS114" i="38" s="1"/>
  <c r="CU114" i="38" s="1"/>
  <c r="CQ99" i="38"/>
  <c r="CR99" i="38" s="1"/>
  <c r="CS99" i="38" s="1"/>
  <c r="CU99" i="38" s="1"/>
  <c r="CQ17" i="38"/>
  <c r="CR17" i="38" s="1"/>
  <c r="CS17" i="38" s="1"/>
  <c r="CU17" i="38" s="1"/>
  <c r="CQ12" i="38"/>
  <c r="CR12" i="38" s="1"/>
  <c r="CS12" i="38" s="1"/>
  <c r="CU12" i="38" s="1"/>
  <c r="BW246" i="38"/>
  <c r="BX246" i="38" s="1"/>
  <c r="BY246" i="38" s="1"/>
  <c r="CA246" i="38" s="1"/>
  <c r="BW230" i="38"/>
  <c r="BX230" i="38" s="1"/>
  <c r="BY230" i="38" s="1"/>
  <c r="CA230" i="38" s="1"/>
  <c r="BW214" i="38"/>
  <c r="BX214" i="38" s="1"/>
  <c r="BY214" i="38" s="1"/>
  <c r="CA214" i="38" s="1"/>
  <c r="BW198" i="38"/>
  <c r="BX198" i="38" s="1"/>
  <c r="BY198" i="38" s="1"/>
  <c r="CA198" i="38" s="1"/>
  <c r="BW159" i="38"/>
  <c r="BX159" i="38" s="1"/>
  <c r="BY159" i="38" s="1"/>
  <c r="CA159" i="38" s="1"/>
  <c r="BW252" i="38"/>
  <c r="BX252" i="38" s="1"/>
  <c r="BY252" i="38" s="1"/>
  <c r="CA252" i="38" s="1"/>
  <c r="BW236" i="38"/>
  <c r="BX236" i="38" s="1"/>
  <c r="BY236" i="38" s="1"/>
  <c r="CA236" i="38" s="1"/>
  <c r="BW219" i="38"/>
  <c r="BX219" i="38" s="1"/>
  <c r="BY219" i="38" s="1"/>
  <c r="CA219" i="38" s="1"/>
  <c r="BW203" i="38"/>
  <c r="BX203" i="38" s="1"/>
  <c r="BY203" i="38" s="1"/>
  <c r="CA203" i="38" s="1"/>
  <c r="BW172" i="38"/>
  <c r="BX172" i="38" s="1"/>
  <c r="BY172" i="38" s="1"/>
  <c r="CA172" i="38" s="1"/>
  <c r="BW154" i="38"/>
  <c r="BX154" i="38" s="1"/>
  <c r="BY154" i="38" s="1"/>
  <c r="CA154" i="38" s="1"/>
  <c r="BW121" i="38"/>
  <c r="BX121" i="38" s="1"/>
  <c r="BY121" i="38" s="1"/>
  <c r="CA121" i="38" s="1"/>
  <c r="CQ346" i="37"/>
  <c r="CR346" i="37" s="1"/>
  <c r="CS346" i="37" s="1"/>
  <c r="CU346" i="37" s="1"/>
  <c r="BC348" i="37"/>
  <c r="BD348" i="37" s="1"/>
  <c r="BE348" i="37" s="1"/>
  <c r="BG348" i="37" s="1"/>
  <c r="CQ10" i="37"/>
  <c r="CR10" i="37" s="1"/>
  <c r="CS10" i="37" s="1"/>
  <c r="CU10" i="37" s="1"/>
  <c r="BC12" i="37"/>
  <c r="BD12" i="37" s="1"/>
  <c r="BE12" i="37" s="1"/>
  <c r="BG12" i="37" s="1"/>
  <c r="DK13" i="37"/>
  <c r="DL13" i="37" s="1"/>
  <c r="DM13" i="37" s="1"/>
  <c r="DO13" i="37" s="1"/>
  <c r="DU36" i="37"/>
  <c r="DV36" i="37" s="1"/>
  <c r="DW36" i="37" s="1"/>
  <c r="DY36" i="37" s="1"/>
  <c r="CG39" i="37"/>
  <c r="CH39" i="37" s="1"/>
  <c r="CI39" i="37" s="1"/>
  <c r="CK39" i="37" s="1"/>
  <c r="EO40" i="37"/>
  <c r="EP40" i="37" s="1"/>
  <c r="EQ40" i="37" s="1"/>
  <c r="ES40" i="37" s="1"/>
  <c r="DA42" i="37"/>
  <c r="DB42" i="37" s="1"/>
  <c r="DC42" i="37" s="1"/>
  <c r="DE42" i="37" s="1"/>
  <c r="BM44" i="37"/>
  <c r="BN44" i="37" s="1"/>
  <c r="BO44" i="37" s="1"/>
  <c r="BQ44" i="37" s="1"/>
  <c r="DU45" i="37"/>
  <c r="DV45" i="37" s="1"/>
  <c r="DW45" i="37" s="1"/>
  <c r="DY45" i="37" s="1"/>
  <c r="CG47" i="37"/>
  <c r="CH47" i="37" s="1"/>
  <c r="CI47" i="37" s="1"/>
  <c r="CK47" i="37" s="1"/>
  <c r="EO48" i="37"/>
  <c r="EP48" i="37" s="1"/>
  <c r="EQ48" i="37" s="1"/>
  <c r="ES48" i="37" s="1"/>
  <c r="DU49" i="37"/>
  <c r="DV49" i="37" s="1"/>
  <c r="DW49" i="37" s="1"/>
  <c r="DY49" i="37" s="1"/>
  <c r="DA50" i="37"/>
  <c r="DB50" i="37" s="1"/>
  <c r="DC50" i="37" s="1"/>
  <c r="DE50" i="37" s="1"/>
  <c r="CG51" i="37"/>
  <c r="CH51" i="37" s="1"/>
  <c r="CI51" i="37" s="1"/>
  <c r="CK51" i="37" s="1"/>
  <c r="BM52" i="37"/>
  <c r="BN52" i="37" s="1"/>
  <c r="BO52" i="37" s="1"/>
  <c r="BQ52" i="37" s="1"/>
  <c r="DU53" i="37"/>
  <c r="DV53" i="37" s="1"/>
  <c r="DW53" i="37" s="1"/>
  <c r="DY53" i="37" s="1"/>
  <c r="EO54" i="37"/>
  <c r="EP54" i="37" s="1"/>
  <c r="EQ54" i="37" s="1"/>
  <c r="ES54" i="37" s="1"/>
  <c r="DU55" i="37"/>
  <c r="DV55" i="37" s="1"/>
  <c r="DW55" i="37" s="1"/>
  <c r="DY55" i="37" s="1"/>
  <c r="DA56" i="37"/>
  <c r="DB56" i="37" s="1"/>
  <c r="DC56" i="37" s="1"/>
  <c r="DE56" i="37" s="1"/>
  <c r="CG57" i="37"/>
  <c r="CH57" i="37" s="1"/>
  <c r="CI57" i="37" s="1"/>
  <c r="CK57" i="37" s="1"/>
  <c r="BM58" i="37"/>
  <c r="BN58" i="37" s="1"/>
  <c r="BO58" i="37" s="1"/>
  <c r="BQ58" i="37" s="1"/>
  <c r="EO58" i="37"/>
  <c r="EP58" i="37" s="1"/>
  <c r="EQ58" i="37" s="1"/>
  <c r="ES58" i="37" s="1"/>
  <c r="DU59" i="37"/>
  <c r="DV59" i="37" s="1"/>
  <c r="DW59" i="37" s="1"/>
  <c r="DY59" i="37" s="1"/>
  <c r="DA60" i="37"/>
  <c r="DB60" i="37" s="1"/>
  <c r="DC60" i="37" s="1"/>
  <c r="DE60" i="37" s="1"/>
  <c r="CG61" i="37"/>
  <c r="CH61" i="37" s="1"/>
  <c r="CI61" i="37" s="1"/>
  <c r="CK61" i="37" s="1"/>
  <c r="BM62" i="37"/>
  <c r="BN62" i="37" s="1"/>
  <c r="BO62" i="37" s="1"/>
  <c r="BQ62" i="37" s="1"/>
  <c r="EO62" i="37"/>
  <c r="EP62" i="37" s="1"/>
  <c r="EQ62" i="37" s="1"/>
  <c r="ES62" i="37" s="1"/>
  <c r="DU63" i="37"/>
  <c r="DV63" i="37" s="1"/>
  <c r="DW63" i="37" s="1"/>
  <c r="DY63" i="37" s="1"/>
  <c r="DA64" i="37"/>
  <c r="DB64" i="37" s="1"/>
  <c r="DC64" i="37" s="1"/>
  <c r="DE64" i="37" s="1"/>
  <c r="CG65" i="37"/>
  <c r="CH65" i="37" s="1"/>
  <c r="CI65" i="37" s="1"/>
  <c r="CK65" i="37" s="1"/>
  <c r="BM66" i="37"/>
  <c r="BN66" i="37" s="1"/>
  <c r="BO66" i="37" s="1"/>
  <c r="BQ66" i="37" s="1"/>
  <c r="EO66" i="37"/>
  <c r="EP66" i="37" s="1"/>
  <c r="EQ66" i="37" s="1"/>
  <c r="ES66" i="37" s="1"/>
  <c r="DU67" i="37"/>
  <c r="DV67" i="37" s="1"/>
  <c r="DW67" i="37" s="1"/>
  <c r="DY67" i="37" s="1"/>
  <c r="DA68" i="37"/>
  <c r="DB68" i="37" s="1"/>
  <c r="DC68" i="37" s="1"/>
  <c r="DE68" i="37" s="1"/>
  <c r="CG69" i="37"/>
  <c r="CH69" i="37" s="1"/>
  <c r="CI69" i="37" s="1"/>
  <c r="CK69" i="37" s="1"/>
  <c r="BM70" i="37"/>
  <c r="BN70" i="37" s="1"/>
  <c r="BO70" i="37" s="1"/>
  <c r="BQ70" i="37" s="1"/>
  <c r="EO70" i="37"/>
  <c r="EP70" i="37" s="1"/>
  <c r="EQ70" i="37" s="1"/>
  <c r="ES70" i="37" s="1"/>
  <c r="DU71" i="37"/>
  <c r="DV71" i="37" s="1"/>
  <c r="DW71" i="37" s="1"/>
  <c r="DY71" i="37" s="1"/>
  <c r="DA72" i="37"/>
  <c r="DB72" i="37" s="1"/>
  <c r="DC72" i="37" s="1"/>
  <c r="DE72" i="37" s="1"/>
  <c r="CG73" i="37"/>
  <c r="CH73" i="37" s="1"/>
  <c r="CI73" i="37" s="1"/>
  <c r="CK73" i="37" s="1"/>
  <c r="BM74" i="37"/>
  <c r="BN74" i="37" s="1"/>
  <c r="BO74" i="37" s="1"/>
  <c r="BQ74" i="37" s="1"/>
  <c r="EO74" i="37"/>
  <c r="EP74" i="37" s="1"/>
  <c r="EQ74" i="37" s="1"/>
  <c r="ES74" i="37" s="1"/>
  <c r="DU75" i="37"/>
  <c r="DV75" i="37" s="1"/>
  <c r="DW75" i="37" s="1"/>
  <c r="DY75" i="37" s="1"/>
  <c r="DA76" i="37"/>
  <c r="DB76" i="37" s="1"/>
  <c r="DC76" i="37" s="1"/>
  <c r="DE76" i="37" s="1"/>
  <c r="CG77" i="37"/>
  <c r="CH77" i="37" s="1"/>
  <c r="CI77" i="37" s="1"/>
  <c r="CK77" i="37" s="1"/>
  <c r="BM78" i="37"/>
  <c r="BN78" i="37" s="1"/>
  <c r="BO78" i="37" s="1"/>
  <c r="BQ78" i="37" s="1"/>
  <c r="EO78" i="37"/>
  <c r="EP78" i="37" s="1"/>
  <c r="EQ78" i="37" s="1"/>
  <c r="ES78" i="37" s="1"/>
  <c r="DU79" i="37"/>
  <c r="DV79" i="37" s="1"/>
  <c r="DW79" i="37" s="1"/>
  <c r="DY79" i="37" s="1"/>
  <c r="DA80" i="37"/>
  <c r="DB80" i="37" s="1"/>
  <c r="DC80" i="37" s="1"/>
  <c r="DE80" i="37" s="1"/>
  <c r="CG81" i="37"/>
  <c r="CH81" i="37" s="1"/>
  <c r="CI81" i="37" s="1"/>
  <c r="CK81" i="37" s="1"/>
  <c r="BM82" i="37"/>
  <c r="BN82" i="37" s="1"/>
  <c r="BO82" i="37" s="1"/>
  <c r="BQ82" i="37" s="1"/>
  <c r="EO82" i="37"/>
  <c r="EP82" i="37" s="1"/>
  <c r="EQ82" i="37" s="1"/>
  <c r="ES82" i="37" s="1"/>
  <c r="DU83" i="37"/>
  <c r="DV83" i="37" s="1"/>
  <c r="DW83" i="37" s="1"/>
  <c r="DY83" i="37" s="1"/>
  <c r="DA84" i="37"/>
  <c r="DB84" i="37" s="1"/>
  <c r="DC84" i="37" s="1"/>
  <c r="DE84" i="37" s="1"/>
  <c r="CG85" i="37"/>
  <c r="CH85" i="37" s="1"/>
  <c r="CI85" i="37" s="1"/>
  <c r="CK85" i="37" s="1"/>
  <c r="CG86" i="37"/>
  <c r="CH86" i="37" s="1"/>
  <c r="CI86" i="37" s="1"/>
  <c r="CK86" i="37" s="1"/>
  <c r="BM90" i="37"/>
  <c r="BN90" i="37" s="1"/>
  <c r="BO90" i="37" s="1"/>
  <c r="BQ90" i="37" s="1"/>
  <c r="CG98" i="37"/>
  <c r="CH98" i="37" s="1"/>
  <c r="CI98" i="37" s="1"/>
  <c r="CK98" i="37" s="1"/>
  <c r="EE305" i="37"/>
  <c r="EF305" i="37" s="1"/>
  <c r="EG305" i="37" s="1"/>
  <c r="EI305" i="37" s="1"/>
  <c r="EE297" i="37"/>
  <c r="EF297" i="37" s="1"/>
  <c r="EG297" i="37" s="1"/>
  <c r="EI297" i="37" s="1"/>
  <c r="EE289" i="37"/>
  <c r="EF289" i="37" s="1"/>
  <c r="EG289" i="37" s="1"/>
  <c r="EI289" i="37" s="1"/>
  <c r="EE281" i="37"/>
  <c r="EF281" i="37" s="1"/>
  <c r="EG281" i="37" s="1"/>
  <c r="EI281" i="37" s="1"/>
  <c r="EE276" i="37"/>
  <c r="EF276" i="37" s="1"/>
  <c r="EG276" i="37" s="1"/>
  <c r="EI276" i="37" s="1"/>
  <c r="EE268" i="37"/>
  <c r="EF268" i="37" s="1"/>
  <c r="EG268" i="37" s="1"/>
  <c r="EI268" i="37" s="1"/>
  <c r="EE220" i="37"/>
  <c r="EF220" i="37" s="1"/>
  <c r="EG220" i="37" s="1"/>
  <c r="EI220" i="37" s="1"/>
  <c r="EE308" i="37"/>
  <c r="EF308" i="37" s="1"/>
  <c r="EG308" i="37" s="1"/>
  <c r="EI308" i="37" s="1"/>
  <c r="EE213" i="37"/>
  <c r="EF213" i="37" s="1"/>
  <c r="EG213" i="37" s="1"/>
  <c r="EI213" i="37" s="1"/>
  <c r="EE205" i="37"/>
  <c r="EF205" i="37" s="1"/>
  <c r="EG205" i="37" s="1"/>
  <c r="EI205" i="37" s="1"/>
  <c r="EE197" i="37"/>
  <c r="EF197" i="37" s="1"/>
  <c r="EG197" i="37" s="1"/>
  <c r="EI197" i="37" s="1"/>
  <c r="EE180" i="37"/>
  <c r="EF180" i="37" s="1"/>
  <c r="EG180" i="37" s="1"/>
  <c r="EI180" i="37" s="1"/>
  <c r="EE170" i="37"/>
  <c r="EF170" i="37" s="1"/>
  <c r="EG170" i="37" s="1"/>
  <c r="EI170" i="37" s="1"/>
  <c r="EE162" i="37"/>
  <c r="EF162" i="37" s="1"/>
  <c r="EG162" i="37" s="1"/>
  <c r="EI162" i="37" s="1"/>
  <c r="EE122" i="37"/>
  <c r="EF122" i="37" s="1"/>
  <c r="EG122" i="37" s="1"/>
  <c r="EI122" i="37" s="1"/>
  <c r="EE313" i="37"/>
  <c r="EF313" i="37" s="1"/>
  <c r="EG313" i="37" s="1"/>
  <c r="EI313" i="37" s="1"/>
  <c r="BW123" i="38"/>
  <c r="BX123" i="38" s="1"/>
  <c r="BY123" i="38" s="1"/>
  <c r="CA123" i="38" s="1"/>
  <c r="BW193" i="38"/>
  <c r="BX193" i="38" s="1"/>
  <c r="BY193" i="38" s="1"/>
  <c r="CA193" i="38" s="1"/>
  <c r="BW177" i="38"/>
  <c r="BX177" i="38" s="1"/>
  <c r="BY177" i="38" s="1"/>
  <c r="CA177" i="38" s="1"/>
  <c r="BW161" i="38"/>
  <c r="BX161" i="38" s="1"/>
  <c r="BY161" i="38" s="1"/>
  <c r="CA161" i="38" s="1"/>
  <c r="BW146" i="38"/>
  <c r="BX146" i="38" s="1"/>
  <c r="BY146" i="38" s="1"/>
  <c r="CA146" i="38" s="1"/>
  <c r="BW130" i="38"/>
  <c r="BX130" i="38" s="1"/>
  <c r="BY130" i="38" s="1"/>
  <c r="CA130" i="38" s="1"/>
  <c r="BW113" i="38"/>
  <c r="BX113" i="38" s="1"/>
  <c r="BY113" i="38" s="1"/>
  <c r="CA113" i="38" s="1"/>
  <c r="BW115" i="38"/>
  <c r="BX115" i="38" s="1"/>
  <c r="BY115" i="38" s="1"/>
  <c r="CA115" i="38" s="1"/>
  <c r="BW100" i="38"/>
  <c r="BX100" i="38" s="1"/>
  <c r="BY100" i="38" s="1"/>
  <c r="CA100" i="38" s="1"/>
  <c r="BW20" i="38"/>
  <c r="BX20" i="38" s="1"/>
  <c r="BY20" i="38" s="1"/>
  <c r="CA20" i="38" s="1"/>
  <c r="BW24" i="38"/>
  <c r="BX24" i="38" s="1"/>
  <c r="BY24" i="38" s="1"/>
  <c r="CA24" i="38" s="1"/>
  <c r="BM95" i="38"/>
  <c r="BN95" i="38" s="1"/>
  <c r="BO95" i="38" s="1"/>
  <c r="BQ95" i="38" s="1"/>
  <c r="BM60" i="38"/>
  <c r="BN60" i="38" s="1"/>
  <c r="BO60" i="38" s="1"/>
  <c r="BQ60" i="38" s="1"/>
  <c r="BM70" i="38"/>
  <c r="BN70" i="38" s="1"/>
  <c r="BO70" i="38" s="1"/>
  <c r="BQ70" i="38" s="1"/>
  <c r="BM92" i="38"/>
  <c r="BN92" i="38" s="1"/>
  <c r="BO92" i="38" s="1"/>
  <c r="BQ92" i="38" s="1"/>
  <c r="BM75" i="38"/>
  <c r="BN75" i="38" s="1"/>
  <c r="BO75" i="38" s="1"/>
  <c r="BQ75" i="38" s="1"/>
  <c r="BM29" i="38"/>
  <c r="BN29" i="38" s="1"/>
  <c r="BO29" i="38" s="1"/>
  <c r="BQ29" i="38" s="1"/>
  <c r="BM44" i="38"/>
  <c r="BN44" i="38" s="1"/>
  <c r="BO44" i="38" s="1"/>
  <c r="BQ44" i="38" s="1"/>
  <c r="BM35" i="38"/>
  <c r="BN35" i="38" s="1"/>
  <c r="BO35" i="38" s="1"/>
  <c r="BQ35" i="38" s="1"/>
  <c r="BC244" i="38"/>
  <c r="BD244" i="38" s="1"/>
  <c r="BE244" i="38" s="1"/>
  <c r="BG244" i="38" s="1"/>
  <c r="BC229" i="38"/>
  <c r="BD229" i="38" s="1"/>
  <c r="BE229" i="38" s="1"/>
  <c r="BG229" i="38" s="1"/>
  <c r="BC213" i="38"/>
  <c r="BD213" i="38" s="1"/>
  <c r="BE213" i="38" s="1"/>
  <c r="BG213" i="38" s="1"/>
  <c r="BC195" i="38"/>
  <c r="BD195" i="38" s="1"/>
  <c r="BE195" i="38" s="1"/>
  <c r="BG195" i="38" s="1"/>
  <c r="BC156" i="38"/>
  <c r="BD156" i="38" s="1"/>
  <c r="BE156" i="38" s="1"/>
  <c r="BG156" i="38" s="1"/>
  <c r="BC253" i="38"/>
  <c r="BD253" i="38" s="1"/>
  <c r="BE253" i="38" s="1"/>
  <c r="BG253" i="38" s="1"/>
  <c r="BC237" i="38"/>
  <c r="BD237" i="38" s="1"/>
  <c r="BE237" i="38" s="1"/>
  <c r="BG237" i="38" s="1"/>
  <c r="BC220" i="38"/>
  <c r="BD220" i="38" s="1"/>
  <c r="BE220" i="38" s="1"/>
  <c r="BG220" i="38" s="1"/>
  <c r="BC204" i="38"/>
  <c r="BD204" i="38" s="1"/>
  <c r="BE204" i="38" s="1"/>
  <c r="BG204" i="38" s="1"/>
  <c r="BC177" i="38"/>
  <c r="BD177" i="38" s="1"/>
  <c r="BE177" i="38" s="1"/>
  <c r="BG177" i="38" s="1"/>
  <c r="BC167" i="38"/>
  <c r="BD167" i="38" s="1"/>
  <c r="BE167" i="38" s="1"/>
  <c r="BG167" i="38" s="1"/>
  <c r="BC130" i="38"/>
  <c r="BD130" i="38" s="1"/>
  <c r="BE130" i="38" s="1"/>
  <c r="BG130" i="38" s="1"/>
  <c r="BC120" i="38"/>
  <c r="BD120" i="38" s="1"/>
  <c r="BE120" i="38" s="1"/>
  <c r="BG120" i="38" s="1"/>
  <c r="BC198" i="38"/>
  <c r="BD198" i="38" s="1"/>
  <c r="BE198" i="38" s="1"/>
  <c r="BG198" i="38" s="1"/>
  <c r="BC182" i="38"/>
  <c r="BD182" i="38" s="1"/>
  <c r="BE182" i="38" s="1"/>
  <c r="BG182" i="38" s="1"/>
  <c r="BC165" i="38"/>
  <c r="BD165" i="38" s="1"/>
  <c r="BE165" i="38" s="1"/>
  <c r="BG165" i="38" s="1"/>
  <c r="BC149" i="38"/>
  <c r="BD149" i="38" s="1"/>
  <c r="BE149" i="38" s="1"/>
  <c r="BG149" i="38" s="1"/>
  <c r="BC133" i="38"/>
  <c r="BD133" i="38" s="1"/>
  <c r="BE133" i="38" s="1"/>
  <c r="BG133" i="38" s="1"/>
  <c r="BC117" i="38"/>
  <c r="BD117" i="38" s="1"/>
  <c r="BE117" i="38" s="1"/>
  <c r="BG117" i="38" s="1"/>
  <c r="BC20" i="38"/>
  <c r="BD20" i="38" s="1"/>
  <c r="BE20" i="38" s="1"/>
  <c r="BG20" i="38" s="1"/>
  <c r="BC101" i="38"/>
  <c r="BD101" i="38" s="1"/>
  <c r="BE101" i="38" s="1"/>
  <c r="BG101" i="38" s="1"/>
  <c r="BC53" i="38"/>
  <c r="BD53" i="38" s="1"/>
  <c r="BE53" i="38" s="1"/>
  <c r="BG53" i="38" s="1"/>
  <c r="BC23" i="38"/>
  <c r="BD23" i="38" s="1"/>
  <c r="BE23" i="38" s="1"/>
  <c r="BG23" i="38" s="1"/>
  <c r="DK346" i="37"/>
  <c r="DL346" i="37" s="1"/>
  <c r="DM346" i="37" s="1"/>
  <c r="DO346" i="37" s="1"/>
  <c r="BM348" i="37"/>
  <c r="BN348" i="37" s="1"/>
  <c r="BO348" i="37" s="1"/>
  <c r="BQ348" i="37" s="1"/>
  <c r="DA10" i="37"/>
  <c r="DB10" i="37" s="1"/>
  <c r="DC10" i="37" s="1"/>
  <c r="DE10" i="37" s="1"/>
  <c r="BM12" i="37"/>
  <c r="BN12" i="37" s="1"/>
  <c r="BO12" i="37" s="1"/>
  <c r="BQ12" i="37" s="1"/>
  <c r="DU13" i="37"/>
  <c r="DV13" i="37" s="1"/>
  <c r="DW13" i="37" s="1"/>
  <c r="DY13" i="37" s="1"/>
  <c r="EO36" i="37"/>
  <c r="EP36" i="37" s="1"/>
  <c r="EQ36" i="37" s="1"/>
  <c r="ES36" i="37" s="1"/>
  <c r="DA39" i="37"/>
  <c r="DB39" i="37" s="1"/>
  <c r="DC39" i="37" s="1"/>
  <c r="DE39" i="37" s="1"/>
  <c r="BM41" i="37"/>
  <c r="BN41" i="37" s="1"/>
  <c r="BO41" i="37" s="1"/>
  <c r="BQ41" i="37" s="1"/>
  <c r="DU42" i="37"/>
  <c r="DV42" i="37" s="1"/>
  <c r="DW42" i="37" s="1"/>
  <c r="DY42" i="37" s="1"/>
  <c r="CG44" i="37"/>
  <c r="CH44" i="37" s="1"/>
  <c r="CI44" i="37" s="1"/>
  <c r="CK44" i="37" s="1"/>
  <c r="EO45" i="37"/>
  <c r="EP45" i="37" s="1"/>
  <c r="EQ45" i="37" s="1"/>
  <c r="ES45" i="37" s="1"/>
  <c r="DA47" i="37"/>
  <c r="DB47" i="37" s="1"/>
  <c r="DC47" i="37" s="1"/>
  <c r="DE47" i="37" s="1"/>
  <c r="BC49" i="37"/>
  <c r="BD49" i="37" s="1"/>
  <c r="BE49" i="37" s="1"/>
  <c r="BG49" i="37" s="1"/>
  <c r="EE49" i="37"/>
  <c r="EF49" i="37" s="1"/>
  <c r="EG49" i="37" s="1"/>
  <c r="EI49" i="37" s="1"/>
  <c r="DK50" i="37"/>
  <c r="DL50" i="37" s="1"/>
  <c r="DM50" i="37" s="1"/>
  <c r="DO50" i="37" s="1"/>
  <c r="CQ51" i="37"/>
  <c r="CR51" i="37" s="1"/>
  <c r="CS51" i="37" s="1"/>
  <c r="CU51" i="37" s="1"/>
  <c r="CG52" i="37"/>
  <c r="CH52" i="37" s="1"/>
  <c r="CI52" i="37" s="1"/>
  <c r="CK52" i="37" s="1"/>
  <c r="EO53" i="37"/>
  <c r="EP53" i="37" s="1"/>
  <c r="EQ53" i="37" s="1"/>
  <c r="ES53" i="37" s="1"/>
  <c r="BC55" i="37"/>
  <c r="BD55" i="37" s="1"/>
  <c r="BE55" i="37" s="1"/>
  <c r="BG55" i="37" s="1"/>
  <c r="EE55" i="37"/>
  <c r="EF55" i="37" s="1"/>
  <c r="EG55" i="37" s="1"/>
  <c r="EI55" i="37" s="1"/>
  <c r="DK56" i="37"/>
  <c r="DL56" i="37" s="1"/>
  <c r="DM56" i="37" s="1"/>
  <c r="DO56" i="37" s="1"/>
  <c r="CQ57" i="37"/>
  <c r="CR57" i="37" s="1"/>
  <c r="CS57" i="37" s="1"/>
  <c r="CU57" i="37" s="1"/>
  <c r="BW58" i="37"/>
  <c r="BX58" i="37" s="1"/>
  <c r="BY58" i="37" s="1"/>
  <c r="CA58" i="37" s="1"/>
  <c r="BC59" i="37"/>
  <c r="BD59" i="37" s="1"/>
  <c r="BE59" i="37" s="1"/>
  <c r="BG59" i="37" s="1"/>
  <c r="EE59" i="37"/>
  <c r="EF59" i="37" s="1"/>
  <c r="EG59" i="37" s="1"/>
  <c r="EI59" i="37" s="1"/>
  <c r="DK60" i="37"/>
  <c r="DL60" i="37" s="1"/>
  <c r="DM60" i="37" s="1"/>
  <c r="DO60" i="37" s="1"/>
  <c r="CQ61" i="37"/>
  <c r="CR61" i="37" s="1"/>
  <c r="CS61" i="37" s="1"/>
  <c r="CU61" i="37" s="1"/>
  <c r="BW62" i="37"/>
  <c r="BX62" i="37" s="1"/>
  <c r="BY62" i="37" s="1"/>
  <c r="CA62" i="37" s="1"/>
  <c r="BC63" i="37"/>
  <c r="BD63" i="37" s="1"/>
  <c r="BE63" i="37" s="1"/>
  <c r="BG63" i="37" s="1"/>
  <c r="EE63" i="37"/>
  <c r="EF63" i="37" s="1"/>
  <c r="EG63" i="37" s="1"/>
  <c r="EI63" i="37" s="1"/>
  <c r="DK64" i="37"/>
  <c r="DL64" i="37" s="1"/>
  <c r="DM64" i="37" s="1"/>
  <c r="DO64" i="37" s="1"/>
  <c r="CQ65" i="37"/>
  <c r="CR65" i="37" s="1"/>
  <c r="CS65" i="37" s="1"/>
  <c r="CU65" i="37" s="1"/>
  <c r="BW66" i="37"/>
  <c r="BX66" i="37" s="1"/>
  <c r="BY66" i="37" s="1"/>
  <c r="CA66" i="37" s="1"/>
  <c r="BC67" i="37"/>
  <c r="BD67" i="37" s="1"/>
  <c r="BE67" i="37" s="1"/>
  <c r="BG67" i="37" s="1"/>
  <c r="EE67" i="37"/>
  <c r="EF67" i="37" s="1"/>
  <c r="EG67" i="37" s="1"/>
  <c r="EI67" i="37" s="1"/>
  <c r="DK68" i="37"/>
  <c r="DL68" i="37" s="1"/>
  <c r="DM68" i="37" s="1"/>
  <c r="DO68" i="37" s="1"/>
  <c r="CQ69" i="37"/>
  <c r="CR69" i="37" s="1"/>
  <c r="CS69" i="37" s="1"/>
  <c r="CU69" i="37" s="1"/>
  <c r="BW70" i="37"/>
  <c r="BX70" i="37" s="1"/>
  <c r="BY70" i="37" s="1"/>
  <c r="CA70" i="37" s="1"/>
  <c r="BC71" i="37"/>
  <c r="BD71" i="37" s="1"/>
  <c r="BE71" i="37" s="1"/>
  <c r="BG71" i="37" s="1"/>
  <c r="EE71" i="37"/>
  <c r="EF71" i="37" s="1"/>
  <c r="EG71" i="37" s="1"/>
  <c r="EI71" i="37" s="1"/>
  <c r="DK72" i="37"/>
  <c r="DL72" i="37" s="1"/>
  <c r="DM72" i="37" s="1"/>
  <c r="DO72" i="37" s="1"/>
  <c r="CQ73" i="37"/>
  <c r="CR73" i="37" s="1"/>
  <c r="CS73" i="37" s="1"/>
  <c r="CU73" i="37" s="1"/>
  <c r="BW74" i="37"/>
  <c r="BX74" i="37" s="1"/>
  <c r="BY74" i="37" s="1"/>
  <c r="CA74" i="37" s="1"/>
  <c r="BC75" i="37"/>
  <c r="BD75" i="37" s="1"/>
  <c r="BE75" i="37" s="1"/>
  <c r="BG75" i="37" s="1"/>
  <c r="EE75" i="37"/>
  <c r="EF75" i="37" s="1"/>
  <c r="EG75" i="37" s="1"/>
  <c r="EI75" i="37" s="1"/>
  <c r="DK76" i="37"/>
  <c r="DL76" i="37" s="1"/>
  <c r="DM76" i="37" s="1"/>
  <c r="DO76" i="37" s="1"/>
  <c r="CQ77" i="37"/>
  <c r="CR77" i="37" s="1"/>
  <c r="CS77" i="37" s="1"/>
  <c r="CU77" i="37" s="1"/>
  <c r="BW78" i="37"/>
  <c r="BX78" i="37" s="1"/>
  <c r="BY78" i="37" s="1"/>
  <c r="CA78" i="37" s="1"/>
  <c r="BC79" i="37"/>
  <c r="BD79" i="37" s="1"/>
  <c r="BE79" i="37" s="1"/>
  <c r="BG79" i="37" s="1"/>
  <c r="EE79" i="37"/>
  <c r="EF79" i="37" s="1"/>
  <c r="EG79" i="37" s="1"/>
  <c r="EI79" i="37" s="1"/>
  <c r="DK80" i="37"/>
  <c r="DL80" i="37" s="1"/>
  <c r="DM80" i="37" s="1"/>
  <c r="DO80" i="37" s="1"/>
  <c r="CQ81" i="37"/>
  <c r="CR81" i="37" s="1"/>
  <c r="CS81" i="37" s="1"/>
  <c r="CU81" i="37" s="1"/>
  <c r="BW82" i="37"/>
  <c r="BX82" i="37" s="1"/>
  <c r="BY82" i="37" s="1"/>
  <c r="CA82" i="37" s="1"/>
  <c r="BC83" i="37"/>
  <c r="BD83" i="37" s="1"/>
  <c r="BE83" i="37" s="1"/>
  <c r="BG83" i="37" s="1"/>
  <c r="EE83" i="37"/>
  <c r="EF83" i="37" s="1"/>
  <c r="EG83" i="37" s="1"/>
  <c r="EI83" i="37" s="1"/>
  <c r="DK84" i="37"/>
  <c r="DL84" i="37" s="1"/>
  <c r="DM84" i="37" s="1"/>
  <c r="DO84" i="37" s="1"/>
  <c r="CQ85" i="37"/>
  <c r="CR85" i="37" s="1"/>
  <c r="CS85" i="37" s="1"/>
  <c r="CU85" i="37" s="1"/>
  <c r="BW86" i="37"/>
  <c r="BX86" i="37" s="1"/>
  <c r="BY86" i="37" s="1"/>
  <c r="CA86" i="37" s="1"/>
  <c r="BC87" i="37"/>
  <c r="BD87" i="37" s="1"/>
  <c r="BE87" i="37" s="1"/>
  <c r="BG87" i="37" s="1"/>
  <c r="CG90" i="37"/>
  <c r="CH90" i="37" s="1"/>
  <c r="CI90" i="37" s="1"/>
  <c r="CK90" i="37" s="1"/>
  <c r="BM98" i="37"/>
  <c r="BN98" i="37" s="1"/>
  <c r="BO98" i="37" s="1"/>
  <c r="BQ98" i="37" s="1"/>
  <c r="CG103" i="37"/>
  <c r="CH103" i="37" s="1"/>
  <c r="CI103" i="37" s="1"/>
  <c r="CK103" i="37" s="1"/>
  <c r="EE302" i="37"/>
  <c r="EF302" i="37" s="1"/>
  <c r="EG302" i="37" s="1"/>
  <c r="EI302" i="37" s="1"/>
  <c r="EE294" i="37"/>
  <c r="EF294" i="37" s="1"/>
  <c r="EG294" i="37" s="1"/>
  <c r="EI294" i="37" s="1"/>
  <c r="EE286" i="37"/>
  <c r="EF286" i="37" s="1"/>
  <c r="EG286" i="37" s="1"/>
  <c r="EI286" i="37" s="1"/>
  <c r="EE278" i="37"/>
  <c r="EF278" i="37" s="1"/>
  <c r="EG278" i="37" s="1"/>
  <c r="EI278" i="37" s="1"/>
  <c r="EE273" i="37"/>
  <c r="EF273" i="37" s="1"/>
  <c r="EG273" i="37" s="1"/>
  <c r="EI273" i="37" s="1"/>
  <c r="EE265" i="37"/>
  <c r="EF265" i="37" s="1"/>
  <c r="EG265" i="37" s="1"/>
  <c r="EI265" i="37" s="1"/>
  <c r="EE181" i="37"/>
  <c r="EF181" i="37" s="1"/>
  <c r="EG181" i="37" s="1"/>
  <c r="EI181" i="37" s="1"/>
  <c r="EE219" i="37"/>
  <c r="EF219" i="37" s="1"/>
  <c r="EG219" i="37" s="1"/>
  <c r="EI219" i="37" s="1"/>
  <c r="EE210" i="37"/>
  <c r="EF210" i="37" s="1"/>
  <c r="EG210" i="37" s="1"/>
  <c r="EI210" i="37" s="1"/>
  <c r="EE202" i="37"/>
  <c r="EF202" i="37" s="1"/>
  <c r="EG202" i="37" s="1"/>
  <c r="EI202" i="37" s="1"/>
  <c r="EE194" i="37"/>
  <c r="EF194" i="37" s="1"/>
  <c r="EG194" i="37" s="1"/>
  <c r="EI194" i="37" s="1"/>
  <c r="EE177" i="37"/>
  <c r="EF177" i="37" s="1"/>
  <c r="EG177" i="37" s="1"/>
  <c r="EI177" i="37" s="1"/>
  <c r="EE167" i="37"/>
  <c r="EF167" i="37" s="1"/>
  <c r="EG167" i="37" s="1"/>
  <c r="EI167" i="37" s="1"/>
  <c r="EE159" i="37"/>
  <c r="EF159" i="37" s="1"/>
  <c r="EG159" i="37" s="1"/>
  <c r="EI159" i="37" s="1"/>
  <c r="DK312" i="37"/>
  <c r="DL312" i="37" s="1"/>
  <c r="DM312" i="37" s="1"/>
  <c r="DO312" i="37" s="1"/>
  <c r="CQ314" i="37"/>
  <c r="CR314" i="37" s="1"/>
  <c r="CS314" i="37" s="1"/>
  <c r="CU314" i="37" s="1"/>
  <c r="BC316" i="37"/>
  <c r="BD316" i="37" s="1"/>
  <c r="BE316" i="37" s="1"/>
  <c r="BG316" i="37" s="1"/>
  <c r="DK317" i="37"/>
  <c r="DL317" i="37" s="1"/>
  <c r="DM317" i="37" s="1"/>
  <c r="DO317" i="37" s="1"/>
  <c r="BW319" i="37"/>
  <c r="BX319" i="37" s="1"/>
  <c r="BY319" i="37" s="1"/>
  <c r="CA319" i="37" s="1"/>
  <c r="EE320" i="37"/>
  <c r="EF320" i="37" s="1"/>
  <c r="EG320" i="37" s="1"/>
  <c r="EI320" i="37" s="1"/>
  <c r="CQ322" i="37"/>
  <c r="CR322" i="37" s="1"/>
  <c r="CS322" i="37" s="1"/>
  <c r="CU322" i="37" s="1"/>
  <c r="BC324" i="37"/>
  <c r="BD324" i="37" s="1"/>
  <c r="BE324" i="37" s="1"/>
  <c r="BG324" i="37" s="1"/>
  <c r="DK325" i="37"/>
  <c r="DL325" i="37" s="1"/>
  <c r="DM325" i="37" s="1"/>
  <c r="DO325" i="37" s="1"/>
  <c r="BW327" i="37"/>
  <c r="BX327" i="37" s="1"/>
  <c r="BY327" i="37" s="1"/>
  <c r="CA327" i="37" s="1"/>
  <c r="EE328" i="37"/>
  <c r="EF328" i="37" s="1"/>
  <c r="EG328" i="37" s="1"/>
  <c r="EI328" i="37" s="1"/>
  <c r="CQ330" i="37"/>
  <c r="CR330" i="37" s="1"/>
  <c r="CS330" i="37" s="1"/>
  <c r="CU330" i="37" s="1"/>
  <c r="BC332" i="37"/>
  <c r="BD332" i="37" s="1"/>
  <c r="BE332" i="37" s="1"/>
  <c r="BG332" i="37" s="1"/>
  <c r="DK333" i="37"/>
  <c r="DL333" i="37" s="1"/>
  <c r="DM333" i="37" s="1"/>
  <c r="DO333" i="37" s="1"/>
  <c r="BW335" i="37"/>
  <c r="BX335" i="37" s="1"/>
  <c r="BY335" i="37" s="1"/>
  <c r="CA335" i="37" s="1"/>
  <c r="EE336" i="37"/>
  <c r="EF336" i="37" s="1"/>
  <c r="EG336" i="37" s="1"/>
  <c r="EI336" i="37" s="1"/>
  <c r="CQ338" i="37"/>
  <c r="CR338" i="37" s="1"/>
  <c r="CS338" i="37" s="1"/>
  <c r="CU338" i="37" s="1"/>
  <c r="BC340" i="37"/>
  <c r="BD340" i="37" s="1"/>
  <c r="BE340" i="37" s="1"/>
  <c r="BG340" i="37" s="1"/>
  <c r="DK341" i="37"/>
  <c r="DL341" i="37" s="1"/>
  <c r="DM341" i="37" s="1"/>
  <c r="DO341" i="37" s="1"/>
  <c r="BW343" i="37"/>
  <c r="BX343" i="37" s="1"/>
  <c r="BY343" i="37" s="1"/>
  <c r="CA343" i="37" s="1"/>
  <c r="EE344" i="37"/>
  <c r="EF344" i="37" s="1"/>
  <c r="EG344" i="37" s="1"/>
  <c r="EI344" i="37" s="1"/>
  <c r="CG346" i="37"/>
  <c r="CH346" i="37" s="1"/>
  <c r="CI346" i="37" s="1"/>
  <c r="CK346" i="37" s="1"/>
  <c r="EO347" i="37"/>
  <c r="EP347" i="37" s="1"/>
  <c r="EQ347" i="37" s="1"/>
  <c r="ES347" i="37" s="1"/>
  <c r="DU10" i="37"/>
  <c r="DV10" i="37" s="1"/>
  <c r="DW10" i="37" s="1"/>
  <c r="DY10" i="37" s="1"/>
  <c r="CG12" i="37"/>
  <c r="CH12" i="37" s="1"/>
  <c r="CI12" i="37" s="1"/>
  <c r="CK12" i="37" s="1"/>
  <c r="EO13" i="37"/>
  <c r="EP13" i="37" s="1"/>
  <c r="EQ13" i="37" s="1"/>
  <c r="ES13" i="37" s="1"/>
  <c r="DA37" i="37"/>
  <c r="DB37" i="37" s="1"/>
  <c r="DC37" i="37" s="1"/>
  <c r="DE37" i="37" s="1"/>
  <c r="CG38" i="37"/>
  <c r="CH38" i="37" s="1"/>
  <c r="CI38" i="37" s="1"/>
  <c r="CK38" i="37" s="1"/>
  <c r="EE39" i="37"/>
  <c r="EF39" i="37" s="1"/>
  <c r="EG39" i="37" s="1"/>
  <c r="EI39" i="37" s="1"/>
  <c r="CQ41" i="37"/>
  <c r="CR41" i="37" s="1"/>
  <c r="CS41" i="37" s="1"/>
  <c r="CU41" i="37" s="1"/>
  <c r="BC43" i="37"/>
  <c r="BD43" i="37" s="1"/>
  <c r="BE43" i="37" s="1"/>
  <c r="BG43" i="37" s="1"/>
  <c r="DK16" i="37"/>
  <c r="DL16" i="37" s="1"/>
  <c r="DM16" i="37" s="1"/>
  <c r="DO16" i="37" s="1"/>
  <c r="DK18" i="37"/>
  <c r="DL18" i="37" s="1"/>
  <c r="DM18" i="37" s="1"/>
  <c r="DO18" i="37" s="1"/>
  <c r="BW20" i="37"/>
  <c r="BX20" i="37" s="1"/>
  <c r="BY20" i="37" s="1"/>
  <c r="CA20" i="37" s="1"/>
  <c r="EE21" i="37"/>
  <c r="EF21" i="37" s="1"/>
  <c r="EG21" i="37" s="1"/>
  <c r="EI21" i="37" s="1"/>
  <c r="CQ23" i="37"/>
  <c r="CR23" i="37" s="1"/>
  <c r="CS23" i="37" s="1"/>
  <c r="CU23" i="37" s="1"/>
  <c r="BC25" i="37"/>
  <c r="BD25" i="37" s="1"/>
  <c r="BE25" i="37" s="1"/>
  <c r="BG25" i="37" s="1"/>
  <c r="DK26" i="37"/>
  <c r="DL26" i="37" s="1"/>
  <c r="DM26" i="37" s="1"/>
  <c r="DO26" i="37" s="1"/>
  <c r="EO14" i="37"/>
  <c r="EP14" i="37" s="1"/>
  <c r="EQ14" i="37" s="1"/>
  <c r="ES14" i="37" s="1"/>
  <c r="DA16" i="37"/>
  <c r="DB16" i="37" s="1"/>
  <c r="DC16" i="37" s="1"/>
  <c r="DE16" i="37" s="1"/>
  <c r="BM18" i="37"/>
  <c r="BN18" i="37" s="1"/>
  <c r="BO18" i="37" s="1"/>
  <c r="BQ18" i="37" s="1"/>
  <c r="DU19" i="37"/>
  <c r="DV19" i="37" s="1"/>
  <c r="DW19" i="37" s="1"/>
  <c r="DY19" i="37" s="1"/>
  <c r="CG21" i="37"/>
  <c r="CH21" i="37" s="1"/>
  <c r="CI21" i="37" s="1"/>
  <c r="CK21" i="37" s="1"/>
  <c r="EO22" i="37"/>
  <c r="EP22" i="37" s="1"/>
  <c r="EQ22" i="37" s="1"/>
  <c r="ES22" i="37" s="1"/>
  <c r="DA24" i="37"/>
  <c r="DB24" i="37" s="1"/>
  <c r="DC24" i="37" s="1"/>
  <c r="DE24" i="37" s="1"/>
  <c r="BM26" i="37"/>
  <c r="BN26" i="37" s="1"/>
  <c r="BO26" i="37" s="1"/>
  <c r="BQ26" i="37" s="1"/>
  <c r="DU27" i="37"/>
  <c r="DV27" i="37" s="1"/>
  <c r="DW27" i="37" s="1"/>
  <c r="DY27" i="37" s="1"/>
  <c r="CG29" i="37"/>
  <c r="CH29" i="37" s="1"/>
  <c r="CI29" i="37" s="1"/>
  <c r="CK29" i="37" s="1"/>
  <c r="EO30" i="37"/>
  <c r="EP30" i="37" s="1"/>
  <c r="EQ30" i="37" s="1"/>
  <c r="ES30" i="37" s="1"/>
  <c r="DA32" i="37"/>
  <c r="DB32" i="37" s="1"/>
  <c r="DC32" i="37" s="1"/>
  <c r="DE32" i="37" s="1"/>
  <c r="BM34" i="37"/>
  <c r="BN34" i="37" s="1"/>
  <c r="BO34" i="37" s="1"/>
  <c r="BQ34" i="37" s="1"/>
  <c r="DU35" i="37"/>
  <c r="DV35" i="37" s="1"/>
  <c r="DW35" i="37" s="1"/>
  <c r="DY35" i="37" s="1"/>
  <c r="EE28" i="37"/>
  <c r="EF28" i="37" s="1"/>
  <c r="EG28" i="37" s="1"/>
  <c r="EI28" i="37" s="1"/>
  <c r="CQ30" i="37"/>
  <c r="CR30" i="37" s="1"/>
  <c r="CS30" i="37" s="1"/>
  <c r="CU30" i="37" s="1"/>
  <c r="BC32" i="37"/>
  <c r="BD32" i="37" s="1"/>
  <c r="BE32" i="37" s="1"/>
  <c r="BG32" i="37" s="1"/>
  <c r="DK33" i="37"/>
  <c r="DL33" i="37" s="1"/>
  <c r="DM33" i="37" s="1"/>
  <c r="DO33" i="37" s="1"/>
  <c r="BW35" i="37"/>
  <c r="BX35" i="37" s="1"/>
  <c r="BY35" i="37" s="1"/>
  <c r="CA35" i="37" s="1"/>
  <c r="EE125" i="37"/>
  <c r="EF125" i="37" s="1"/>
  <c r="EG125" i="37" s="1"/>
  <c r="EI125" i="37" s="1"/>
  <c r="CQ127" i="37"/>
  <c r="CR127" i="37" s="1"/>
  <c r="CS127" i="37" s="1"/>
  <c r="CU127" i="37" s="1"/>
  <c r="BC129" i="37"/>
  <c r="BD129" i="37" s="1"/>
  <c r="BE129" i="37" s="1"/>
  <c r="BG129" i="37" s="1"/>
  <c r="DK130" i="37"/>
  <c r="DL130" i="37" s="1"/>
  <c r="DM130" i="37" s="1"/>
  <c r="DO130" i="37" s="1"/>
  <c r="BW132" i="37"/>
  <c r="BX132" i="37" s="1"/>
  <c r="BY132" i="37" s="1"/>
  <c r="CA132" i="37" s="1"/>
  <c r="EE133" i="37"/>
  <c r="EF133" i="37" s="1"/>
  <c r="EG133" i="37" s="1"/>
  <c r="EI133" i="37" s="1"/>
  <c r="CQ135" i="37"/>
  <c r="CR135" i="37" s="1"/>
  <c r="CS135" i="37" s="1"/>
  <c r="CU135" i="37" s="1"/>
  <c r="BC137" i="37"/>
  <c r="BD137" i="37" s="1"/>
  <c r="BE137" i="37" s="1"/>
  <c r="BG137" i="37" s="1"/>
  <c r="DK138" i="37"/>
  <c r="DL138" i="37" s="1"/>
  <c r="DM138" i="37" s="1"/>
  <c r="DO138" i="37" s="1"/>
  <c r="BW140" i="37"/>
  <c r="BX140" i="37" s="1"/>
  <c r="BY140" i="37" s="1"/>
  <c r="CA140" i="37" s="1"/>
  <c r="EE141" i="37"/>
  <c r="EF141" i="37" s="1"/>
  <c r="EG141" i="37" s="1"/>
  <c r="EI141" i="37" s="1"/>
  <c r="CQ143" i="37"/>
  <c r="CR143" i="37" s="1"/>
  <c r="CS143" i="37" s="1"/>
  <c r="CU143" i="37" s="1"/>
  <c r="BC145" i="37"/>
  <c r="BD145" i="37" s="1"/>
  <c r="BE145" i="37" s="1"/>
  <c r="BG145" i="37" s="1"/>
  <c r="DK146" i="37"/>
  <c r="DL146" i="37" s="1"/>
  <c r="DM146" i="37" s="1"/>
  <c r="DO146" i="37" s="1"/>
  <c r="BW148" i="37"/>
  <c r="BX148" i="37" s="1"/>
  <c r="BY148" i="37" s="1"/>
  <c r="CA148" i="37" s="1"/>
  <c r="EE149" i="37"/>
  <c r="EF149" i="37" s="1"/>
  <c r="EG149" i="37" s="1"/>
  <c r="EI149" i="37" s="1"/>
  <c r="CQ151" i="37"/>
  <c r="CR151" i="37" s="1"/>
  <c r="CS151" i="37" s="1"/>
  <c r="CU151" i="37" s="1"/>
  <c r="BC153" i="37"/>
  <c r="BD153" i="37" s="1"/>
  <c r="BE153" i="37" s="1"/>
  <c r="BG153" i="37" s="1"/>
  <c r="DK154" i="37"/>
  <c r="DL154" i="37" s="1"/>
  <c r="DM154" i="37" s="1"/>
  <c r="DO154" i="37" s="1"/>
  <c r="BW156" i="37"/>
  <c r="BX156" i="37" s="1"/>
  <c r="BY156" i="37" s="1"/>
  <c r="CA156" i="37" s="1"/>
  <c r="DU126" i="37"/>
  <c r="DV126" i="37" s="1"/>
  <c r="DW126" i="37" s="1"/>
  <c r="DY126" i="37" s="1"/>
  <c r="CG128" i="37"/>
  <c r="CH128" i="37" s="1"/>
  <c r="CI128" i="37" s="1"/>
  <c r="CK128" i="37" s="1"/>
  <c r="EO129" i="37"/>
  <c r="EP129" i="37" s="1"/>
  <c r="EQ129" i="37" s="1"/>
  <c r="ES129" i="37" s="1"/>
  <c r="DA131" i="37"/>
  <c r="DB131" i="37" s="1"/>
  <c r="DC131" i="37" s="1"/>
  <c r="DE131" i="37" s="1"/>
  <c r="BM133" i="37"/>
  <c r="BN133" i="37" s="1"/>
  <c r="BO133" i="37" s="1"/>
  <c r="BQ133" i="37" s="1"/>
  <c r="DU134" i="37"/>
  <c r="DV134" i="37" s="1"/>
  <c r="DW134" i="37" s="1"/>
  <c r="DY134" i="37" s="1"/>
  <c r="CG136" i="37"/>
  <c r="CH136" i="37" s="1"/>
  <c r="CI136" i="37" s="1"/>
  <c r="CK136" i="37" s="1"/>
  <c r="EO137" i="37"/>
  <c r="EP137" i="37" s="1"/>
  <c r="EQ137" i="37" s="1"/>
  <c r="ES137" i="37" s="1"/>
  <c r="DA139" i="37"/>
  <c r="DB139" i="37" s="1"/>
  <c r="DC139" i="37" s="1"/>
  <c r="DE139" i="37" s="1"/>
  <c r="BM141" i="37"/>
  <c r="BN141" i="37" s="1"/>
  <c r="BO141" i="37" s="1"/>
  <c r="BQ141" i="37" s="1"/>
  <c r="DU142" i="37"/>
  <c r="DV142" i="37" s="1"/>
  <c r="DW142" i="37" s="1"/>
  <c r="DY142" i="37" s="1"/>
  <c r="CG144" i="37"/>
  <c r="CH144" i="37" s="1"/>
  <c r="CI144" i="37" s="1"/>
  <c r="CK144" i="37" s="1"/>
  <c r="EO145" i="37"/>
  <c r="EP145" i="37" s="1"/>
  <c r="EQ145" i="37" s="1"/>
  <c r="ES145" i="37" s="1"/>
  <c r="DA147" i="37"/>
  <c r="DB147" i="37" s="1"/>
  <c r="DC147" i="37" s="1"/>
  <c r="DE147" i="37" s="1"/>
  <c r="BM149" i="37"/>
  <c r="BN149" i="37" s="1"/>
  <c r="BO149" i="37" s="1"/>
  <c r="BQ149" i="37" s="1"/>
  <c r="DU150" i="37"/>
  <c r="DV150" i="37" s="1"/>
  <c r="DW150" i="37" s="1"/>
  <c r="DY150" i="37" s="1"/>
  <c r="CG152" i="37"/>
  <c r="CH152" i="37" s="1"/>
  <c r="CI152" i="37" s="1"/>
  <c r="CK152" i="37" s="1"/>
  <c r="EO153" i="37"/>
  <c r="EP153" i="37" s="1"/>
  <c r="EQ153" i="37" s="1"/>
  <c r="ES153" i="37" s="1"/>
  <c r="DA155" i="37"/>
  <c r="DB155" i="37" s="1"/>
  <c r="DC155" i="37" s="1"/>
  <c r="DE155" i="37" s="1"/>
  <c r="BC186" i="37"/>
  <c r="BD186" i="37" s="1"/>
  <c r="BE186" i="37" s="1"/>
  <c r="BG186" i="37" s="1"/>
  <c r="DK187" i="37"/>
  <c r="DL187" i="37" s="1"/>
  <c r="DM187" i="37" s="1"/>
  <c r="DO187" i="37" s="1"/>
  <c r="BW189" i="37"/>
  <c r="BX189" i="37" s="1"/>
  <c r="BY189" i="37" s="1"/>
  <c r="CA189" i="37" s="1"/>
  <c r="EE190" i="37"/>
  <c r="EF190" i="37" s="1"/>
  <c r="EG190" i="37" s="1"/>
  <c r="EI190" i="37" s="1"/>
  <c r="CQ192" i="37"/>
  <c r="CR192" i="37" s="1"/>
  <c r="CS192" i="37" s="1"/>
  <c r="CU192" i="37" s="1"/>
  <c r="DA186" i="37"/>
  <c r="DB186" i="37" s="1"/>
  <c r="DC186" i="37" s="1"/>
  <c r="DE186" i="37" s="1"/>
  <c r="BM188" i="37"/>
  <c r="BN188" i="37" s="1"/>
  <c r="BO188" i="37" s="1"/>
  <c r="BQ188" i="37" s="1"/>
  <c r="DU189" i="37"/>
  <c r="DV189" i="37" s="1"/>
  <c r="DW189" i="37" s="1"/>
  <c r="DY189" i="37" s="1"/>
  <c r="CG191" i="37"/>
  <c r="CH191" i="37" s="1"/>
  <c r="CI191" i="37" s="1"/>
  <c r="CK191" i="37" s="1"/>
  <c r="CQ221" i="37"/>
  <c r="CR221" i="37" s="1"/>
  <c r="CS221" i="37" s="1"/>
  <c r="CU221" i="37" s="1"/>
  <c r="BC223" i="37"/>
  <c r="BD223" i="37" s="1"/>
  <c r="BE223" i="37" s="1"/>
  <c r="BG223" i="37" s="1"/>
  <c r="DK224" i="37"/>
  <c r="DL224" i="37" s="1"/>
  <c r="DM224" i="37" s="1"/>
  <c r="DO224" i="37" s="1"/>
  <c r="BW226" i="37"/>
  <c r="BX226" i="37" s="1"/>
  <c r="BY226" i="37" s="1"/>
  <c r="CA226" i="37" s="1"/>
  <c r="EE227" i="37"/>
  <c r="EF227" i="37" s="1"/>
  <c r="EG227" i="37" s="1"/>
  <c r="EI227" i="37" s="1"/>
  <c r="CQ229" i="37"/>
  <c r="CR229" i="37" s="1"/>
  <c r="CS229" i="37" s="1"/>
  <c r="CU229" i="37" s="1"/>
  <c r="BC231" i="37"/>
  <c r="BD231" i="37" s="1"/>
  <c r="BE231" i="37" s="1"/>
  <c r="BG231" i="37" s="1"/>
  <c r="DK232" i="37"/>
  <c r="DL232" i="37" s="1"/>
  <c r="DM232" i="37" s="1"/>
  <c r="DO232" i="37" s="1"/>
  <c r="BW234" i="37"/>
  <c r="BX234" i="37" s="1"/>
  <c r="BY234" i="37" s="1"/>
  <c r="CA234" i="37" s="1"/>
  <c r="EE235" i="37"/>
  <c r="EF235" i="37" s="1"/>
  <c r="EG235" i="37" s="1"/>
  <c r="EI235" i="37" s="1"/>
  <c r="CQ237" i="37"/>
  <c r="CR237" i="37" s="1"/>
  <c r="CS237" i="37" s="1"/>
  <c r="CU237" i="37" s="1"/>
  <c r="BC239" i="37"/>
  <c r="BD239" i="37" s="1"/>
  <c r="BE239" i="37" s="1"/>
  <c r="BG239" i="37" s="1"/>
  <c r="DK240" i="37"/>
  <c r="DL240" i="37" s="1"/>
  <c r="DM240" i="37" s="1"/>
  <c r="DO240" i="37" s="1"/>
  <c r="BW242" i="37"/>
  <c r="BX242" i="37" s="1"/>
  <c r="BY242" i="37" s="1"/>
  <c r="CA242" i="37" s="1"/>
  <c r="EE243" i="37"/>
  <c r="EF243" i="37" s="1"/>
  <c r="EG243" i="37" s="1"/>
  <c r="EI243" i="37" s="1"/>
  <c r="CQ245" i="37"/>
  <c r="CR245" i="37" s="1"/>
  <c r="CS245" i="37" s="1"/>
  <c r="CU245" i="37" s="1"/>
  <c r="BC247" i="37"/>
  <c r="BD247" i="37" s="1"/>
  <c r="BE247" i="37" s="1"/>
  <c r="BG247" i="37" s="1"/>
  <c r="DK248" i="37"/>
  <c r="DL248" i="37" s="1"/>
  <c r="DM248" i="37" s="1"/>
  <c r="DO248" i="37" s="1"/>
  <c r="BW250" i="37"/>
  <c r="BX250" i="37" s="1"/>
  <c r="BY250" i="37" s="1"/>
  <c r="CA250" i="37" s="1"/>
  <c r="EE251" i="37"/>
  <c r="EF251" i="37" s="1"/>
  <c r="EG251" i="37" s="1"/>
  <c r="EI251" i="37" s="1"/>
  <c r="CQ253" i="37"/>
  <c r="CR253" i="37" s="1"/>
  <c r="CS253" i="37" s="1"/>
  <c r="CU253" i="37" s="1"/>
  <c r="BC255" i="37"/>
  <c r="BD255" i="37" s="1"/>
  <c r="BE255" i="37" s="1"/>
  <c r="BG255" i="37" s="1"/>
  <c r="DK256" i="37"/>
  <c r="DL256" i="37" s="1"/>
  <c r="DM256" i="37" s="1"/>
  <c r="DO256" i="37" s="1"/>
  <c r="BW258" i="37"/>
  <c r="BX258" i="37" s="1"/>
  <c r="BY258" i="37" s="1"/>
  <c r="CA258" i="37" s="1"/>
  <c r="EE259" i="37"/>
  <c r="EF259" i="37" s="1"/>
  <c r="EG259" i="37" s="1"/>
  <c r="EI259" i="37" s="1"/>
  <c r="CQ261" i="37"/>
  <c r="CR261" i="37" s="1"/>
  <c r="CS261" i="37" s="1"/>
  <c r="CU261" i="37" s="1"/>
  <c r="CG222" i="37"/>
  <c r="CH222" i="37" s="1"/>
  <c r="CI222" i="37" s="1"/>
  <c r="CK222" i="37" s="1"/>
  <c r="EO223" i="37"/>
  <c r="EP223" i="37" s="1"/>
  <c r="EQ223" i="37" s="1"/>
  <c r="ES223" i="37" s="1"/>
  <c r="DA225" i="37"/>
  <c r="DB225" i="37" s="1"/>
  <c r="DC225" i="37" s="1"/>
  <c r="DE225" i="37" s="1"/>
  <c r="BM227" i="37"/>
  <c r="BN227" i="37" s="1"/>
  <c r="BO227" i="37" s="1"/>
  <c r="BQ227" i="37" s="1"/>
  <c r="DU228" i="37"/>
  <c r="DV228" i="37" s="1"/>
  <c r="DW228" i="37" s="1"/>
  <c r="DY228" i="37" s="1"/>
  <c r="CG230" i="37"/>
  <c r="CH230" i="37" s="1"/>
  <c r="CI230" i="37" s="1"/>
  <c r="CK230" i="37" s="1"/>
  <c r="EO231" i="37"/>
  <c r="EP231" i="37" s="1"/>
  <c r="EQ231" i="37" s="1"/>
  <c r="ES231" i="37" s="1"/>
  <c r="DA233" i="37"/>
  <c r="DB233" i="37" s="1"/>
  <c r="DC233" i="37" s="1"/>
  <c r="DE233" i="37" s="1"/>
  <c r="BM235" i="37"/>
  <c r="BN235" i="37" s="1"/>
  <c r="BO235" i="37" s="1"/>
  <c r="BQ235" i="37" s="1"/>
  <c r="DU236" i="37"/>
  <c r="DV236" i="37" s="1"/>
  <c r="DW236" i="37" s="1"/>
  <c r="DY236" i="37" s="1"/>
  <c r="CG238" i="37"/>
  <c r="CH238" i="37" s="1"/>
  <c r="CI238" i="37" s="1"/>
  <c r="CK238" i="37" s="1"/>
  <c r="EO239" i="37"/>
  <c r="EP239" i="37" s="1"/>
  <c r="EQ239" i="37" s="1"/>
  <c r="ES239" i="37" s="1"/>
  <c r="DA241" i="37"/>
  <c r="DB241" i="37" s="1"/>
  <c r="DC241" i="37" s="1"/>
  <c r="DE241" i="37" s="1"/>
  <c r="BM243" i="37"/>
  <c r="BN243" i="37" s="1"/>
  <c r="BO243" i="37" s="1"/>
  <c r="BQ243" i="37" s="1"/>
  <c r="DU244" i="37"/>
  <c r="DV244" i="37" s="1"/>
  <c r="DW244" i="37" s="1"/>
  <c r="DY244" i="37" s="1"/>
  <c r="CG246" i="37"/>
  <c r="CH246" i="37" s="1"/>
  <c r="CI246" i="37" s="1"/>
  <c r="CK246" i="37" s="1"/>
  <c r="EO247" i="37"/>
  <c r="EP247" i="37" s="1"/>
  <c r="EQ247" i="37" s="1"/>
  <c r="ES247" i="37" s="1"/>
  <c r="DA249" i="37"/>
  <c r="DB249" i="37" s="1"/>
  <c r="DC249" i="37" s="1"/>
  <c r="DE249" i="37" s="1"/>
  <c r="BM251" i="37"/>
  <c r="BN251" i="37" s="1"/>
  <c r="BO251" i="37" s="1"/>
  <c r="BQ251" i="37" s="1"/>
  <c r="DU252" i="37"/>
  <c r="DV252" i="37" s="1"/>
  <c r="DW252" i="37" s="1"/>
  <c r="DY252" i="37" s="1"/>
  <c r="CG254" i="37"/>
  <c r="CH254" i="37" s="1"/>
  <c r="CI254" i="37" s="1"/>
  <c r="CK254" i="37" s="1"/>
  <c r="EO255" i="37"/>
  <c r="EP255" i="37" s="1"/>
  <c r="EQ255" i="37" s="1"/>
  <c r="ES255" i="37" s="1"/>
  <c r="DA257" i="37"/>
  <c r="DB257" i="37" s="1"/>
  <c r="DC257" i="37" s="1"/>
  <c r="DE257" i="37" s="1"/>
  <c r="BM259" i="37"/>
  <c r="BN259" i="37" s="1"/>
  <c r="BO259" i="37" s="1"/>
  <c r="BQ259" i="37" s="1"/>
  <c r="DU260" i="37"/>
  <c r="DV260" i="37" s="1"/>
  <c r="DW260" i="37" s="1"/>
  <c r="DY260" i="37" s="1"/>
  <c r="BW9" i="38"/>
  <c r="BX9" i="38" s="1"/>
  <c r="BY9" i="38" s="1"/>
  <c r="CA9" i="38" s="1"/>
  <c r="EE10" i="38"/>
  <c r="EF10" i="38" s="1"/>
  <c r="EG10" i="38" s="1"/>
  <c r="EI10" i="38" s="1"/>
  <c r="DU12" i="38"/>
  <c r="DV12" i="38" s="1"/>
  <c r="DW12" i="38" s="1"/>
  <c r="DY12" i="38" s="1"/>
  <c r="CG14" i="38"/>
  <c r="CH14" i="38" s="1"/>
  <c r="CI14" i="38" s="1"/>
  <c r="CK14" i="38" s="1"/>
  <c r="EO15" i="38"/>
  <c r="EP15" i="38" s="1"/>
  <c r="EQ15" i="38" s="1"/>
  <c r="ES15" i="38" s="1"/>
  <c r="DA17" i="38"/>
  <c r="DB17" i="38" s="1"/>
  <c r="DC17" i="38" s="1"/>
  <c r="DE17" i="38" s="1"/>
  <c r="EE11" i="38"/>
  <c r="EF11" i="38" s="1"/>
  <c r="EG11" i="38" s="1"/>
  <c r="EI11" i="38" s="1"/>
  <c r="CG19" i="38"/>
  <c r="CH19" i="38" s="1"/>
  <c r="CI19" i="38" s="1"/>
  <c r="CK19" i="38" s="1"/>
  <c r="EO20" i="38"/>
  <c r="EP20" i="38" s="1"/>
  <c r="EQ20" i="38" s="1"/>
  <c r="ES20" i="38" s="1"/>
  <c r="DA22" i="38"/>
  <c r="DB22" i="38" s="1"/>
  <c r="DC22" i="38" s="1"/>
  <c r="DE22" i="38" s="1"/>
  <c r="BM24" i="38"/>
  <c r="BN24" i="38" s="1"/>
  <c r="BO24" i="38" s="1"/>
  <c r="BQ24" i="38" s="1"/>
  <c r="DU25" i="38"/>
  <c r="DV25" i="38" s="1"/>
  <c r="DW25" i="38" s="1"/>
  <c r="DY25" i="38" s="1"/>
  <c r="CG27" i="38"/>
  <c r="CH27" i="38" s="1"/>
  <c r="CI27" i="38" s="1"/>
  <c r="CK27" i="38" s="1"/>
  <c r="BC9" i="38"/>
  <c r="BD9" i="38" s="1"/>
  <c r="BE9" i="38" s="1"/>
  <c r="BG9" i="38" s="1"/>
  <c r="BW12" i="38"/>
  <c r="BX12" i="38" s="1"/>
  <c r="BY12" i="38" s="1"/>
  <c r="CA12" i="38" s="1"/>
  <c r="DU13" i="38"/>
  <c r="DV13" i="38" s="1"/>
  <c r="DW13" i="38" s="1"/>
  <c r="DY13" i="38" s="1"/>
  <c r="CG15" i="38"/>
  <c r="CH15" i="38" s="1"/>
  <c r="CI15" i="38" s="1"/>
  <c r="CK15" i="38" s="1"/>
  <c r="EO16" i="38"/>
  <c r="EP16" i="38" s="1"/>
  <c r="EQ16" i="38" s="1"/>
  <c r="ES16" i="38" s="1"/>
  <c r="CG18" i="38"/>
  <c r="CH18" i="38" s="1"/>
  <c r="CI18" i="38" s="1"/>
  <c r="CK18" i="38" s="1"/>
  <c r="EO19" i="38"/>
  <c r="EP19" i="38" s="1"/>
  <c r="EQ19" i="38" s="1"/>
  <c r="ES19" i="38" s="1"/>
  <c r="DA21" i="38"/>
  <c r="DB21" i="38" s="1"/>
  <c r="DC21" i="38" s="1"/>
  <c r="DE21" i="38" s="1"/>
  <c r="BC29" i="38"/>
  <c r="BD29" i="38" s="1"/>
  <c r="BE29" i="38" s="1"/>
  <c r="BG29" i="38" s="1"/>
  <c r="DK30" i="38"/>
  <c r="DL30" i="38" s="1"/>
  <c r="DM30" i="38" s="1"/>
  <c r="DO30" i="38" s="1"/>
  <c r="BW32" i="38"/>
  <c r="BX32" i="38" s="1"/>
  <c r="BY32" i="38" s="1"/>
  <c r="CA32" i="38" s="1"/>
  <c r="EE33" i="38"/>
  <c r="EF33" i="38" s="1"/>
  <c r="EG33" i="38" s="1"/>
  <c r="EI33" i="38" s="1"/>
  <c r="CQ35" i="38"/>
  <c r="CR35" i="38" s="1"/>
  <c r="CS35" i="38" s="1"/>
  <c r="CU35" i="38" s="1"/>
  <c r="BC37" i="38"/>
  <c r="BD37" i="38" s="1"/>
  <c r="BE37" i="38" s="1"/>
  <c r="BG37" i="38" s="1"/>
  <c r="DK38" i="38"/>
  <c r="DL38" i="38" s="1"/>
  <c r="DM38" i="38" s="1"/>
  <c r="DO38" i="38" s="1"/>
  <c r="BW40" i="38"/>
  <c r="BX40" i="38" s="1"/>
  <c r="BY40" i="38" s="1"/>
  <c r="CA40" i="38" s="1"/>
  <c r="EE41" i="38"/>
  <c r="EF41" i="38" s="1"/>
  <c r="EG41" i="38" s="1"/>
  <c r="EI41" i="38" s="1"/>
  <c r="CQ43" i="38"/>
  <c r="CR43" i="38" s="1"/>
  <c r="CS43" i="38" s="1"/>
  <c r="CU43" i="38" s="1"/>
  <c r="BC45" i="38"/>
  <c r="BD45" i="38" s="1"/>
  <c r="BE45" i="38" s="1"/>
  <c r="BG45" i="38" s="1"/>
  <c r="DK46" i="38"/>
  <c r="DL46" i="38" s="1"/>
  <c r="DM46" i="38" s="1"/>
  <c r="DO46" i="38" s="1"/>
  <c r="BW48" i="38"/>
  <c r="BX48" i="38" s="1"/>
  <c r="BY48" i="38" s="1"/>
  <c r="CA48" i="38" s="1"/>
  <c r="EE49" i="38"/>
  <c r="EF49" i="38" s="1"/>
  <c r="EG49" i="38" s="1"/>
  <c r="EI49" i="38" s="1"/>
  <c r="EO23" i="38"/>
  <c r="EP23" i="38" s="1"/>
  <c r="EQ23" i="38" s="1"/>
  <c r="ES23" i="38" s="1"/>
  <c r="DA25" i="38"/>
  <c r="DB25" i="38" s="1"/>
  <c r="DC25" i="38" s="1"/>
  <c r="DE25" i="38" s="1"/>
  <c r="BM27" i="38"/>
  <c r="BN27" i="38" s="1"/>
  <c r="BO27" i="38" s="1"/>
  <c r="BQ27" i="38" s="1"/>
  <c r="EE28" i="38"/>
  <c r="EF28" i="38" s="1"/>
  <c r="EG28" i="38" s="1"/>
  <c r="EI28" i="38" s="1"/>
  <c r="CQ30" i="38"/>
  <c r="CR30" i="38" s="1"/>
  <c r="CS30" i="38" s="1"/>
  <c r="CU30" i="38" s="1"/>
  <c r="BC32" i="38"/>
  <c r="BD32" i="38" s="1"/>
  <c r="BE32" i="38" s="1"/>
  <c r="BG32" i="38" s="1"/>
  <c r="DK33" i="38"/>
  <c r="DL33" i="38" s="1"/>
  <c r="DM33" i="38" s="1"/>
  <c r="DO33" i="38" s="1"/>
  <c r="BW35" i="38"/>
  <c r="BX35" i="38" s="1"/>
  <c r="BY35" i="38" s="1"/>
  <c r="CA35" i="38" s="1"/>
  <c r="EE36" i="38"/>
  <c r="EF36" i="38" s="1"/>
  <c r="EG36" i="38" s="1"/>
  <c r="EI36" i="38" s="1"/>
  <c r="CQ38" i="38"/>
  <c r="CR38" i="38" s="1"/>
  <c r="CS38" i="38" s="1"/>
  <c r="CU38" i="38" s="1"/>
  <c r="BC40" i="38"/>
  <c r="BD40" i="38" s="1"/>
  <c r="BE40" i="38" s="1"/>
  <c r="BG40" i="38" s="1"/>
  <c r="DK41" i="38"/>
  <c r="DL41" i="38" s="1"/>
  <c r="DM41" i="38" s="1"/>
  <c r="DO41" i="38" s="1"/>
  <c r="BW43" i="38"/>
  <c r="BX43" i="38" s="1"/>
  <c r="BY43" i="38" s="1"/>
  <c r="CA43" i="38" s="1"/>
  <c r="EE44" i="38"/>
  <c r="EF44" i="38" s="1"/>
  <c r="EG44" i="38" s="1"/>
  <c r="EI44" i="38" s="1"/>
  <c r="CQ46" i="38"/>
  <c r="CR46" i="38" s="1"/>
  <c r="CS46" i="38" s="1"/>
  <c r="CU46" i="38" s="1"/>
  <c r="BC48" i="38"/>
  <c r="BD48" i="38" s="1"/>
  <c r="BE48" i="38" s="1"/>
  <c r="BG48" i="38" s="1"/>
  <c r="DU50" i="38"/>
  <c r="DV50" i="38" s="1"/>
  <c r="DW50" i="38" s="1"/>
  <c r="DY50" i="38" s="1"/>
  <c r="EO50" i="38"/>
  <c r="EP50" i="38" s="1"/>
  <c r="EQ50" i="38" s="1"/>
  <c r="ES50" i="38" s="1"/>
  <c r="BM54" i="38"/>
  <c r="BN54" i="38" s="1"/>
  <c r="BO54" i="38" s="1"/>
  <c r="BQ54" i="38" s="1"/>
  <c r="CG57" i="38"/>
  <c r="CH57" i="38" s="1"/>
  <c r="CI57" i="38" s="1"/>
  <c r="CK57" i="38" s="1"/>
  <c r="EO53" i="38"/>
  <c r="EP53" i="38" s="1"/>
  <c r="EQ53" i="38" s="1"/>
  <c r="ES53" i="38" s="1"/>
  <c r="BM57" i="38"/>
  <c r="BN57" i="38" s="1"/>
  <c r="BO57" i="38" s="1"/>
  <c r="BQ57" i="38" s="1"/>
  <c r="BW60" i="38"/>
  <c r="BX60" i="38" s="1"/>
  <c r="BY60" i="38" s="1"/>
  <c r="CA60" i="38" s="1"/>
  <c r="DK77" i="38"/>
  <c r="DL77" i="38" s="1"/>
  <c r="DM77" i="38" s="1"/>
  <c r="DO77" i="38" s="1"/>
  <c r="EE80" i="38"/>
  <c r="EF80" i="38" s="1"/>
  <c r="EG80" i="38" s="1"/>
  <c r="EI80" i="38" s="1"/>
  <c r="BC84" i="38"/>
  <c r="BD84" i="38" s="1"/>
  <c r="BE84" i="38" s="1"/>
  <c r="BG84" i="38" s="1"/>
  <c r="BW87" i="38"/>
  <c r="BX87" i="38" s="1"/>
  <c r="BY87" i="38" s="1"/>
  <c r="CA87" i="38" s="1"/>
  <c r="CQ90" i="38"/>
  <c r="CR90" i="38" s="1"/>
  <c r="CS90" i="38" s="1"/>
  <c r="CU90" i="38" s="1"/>
  <c r="DK93" i="38"/>
  <c r="DL93" i="38" s="1"/>
  <c r="DM93" i="38" s="1"/>
  <c r="DO93" i="38" s="1"/>
  <c r="EE96" i="38"/>
  <c r="EF96" i="38" s="1"/>
  <c r="EG96" i="38" s="1"/>
  <c r="EI96" i="38" s="1"/>
  <c r="BC79" i="38"/>
  <c r="BD79" i="38" s="1"/>
  <c r="BE79" i="38" s="1"/>
  <c r="BG79" i="38" s="1"/>
  <c r="BW82" i="38"/>
  <c r="BX82" i="38" s="1"/>
  <c r="BY82" i="38" s="1"/>
  <c r="CA82" i="38" s="1"/>
  <c r="CQ85" i="38"/>
  <c r="CR85" i="38" s="1"/>
  <c r="CS85" i="38" s="1"/>
  <c r="CU85" i="38" s="1"/>
  <c r="DK88" i="38"/>
  <c r="DL88" i="38" s="1"/>
  <c r="DM88" i="38" s="1"/>
  <c r="DO88" i="38" s="1"/>
  <c r="EE91" i="38"/>
  <c r="EF91" i="38" s="1"/>
  <c r="EG91" i="38" s="1"/>
  <c r="EI91" i="38" s="1"/>
  <c r="BC95" i="38"/>
  <c r="BD95" i="38" s="1"/>
  <c r="BE95" i="38" s="1"/>
  <c r="BG95" i="38" s="1"/>
  <c r="BW98" i="38"/>
  <c r="BX98" i="38" s="1"/>
  <c r="BY98" i="38" s="1"/>
  <c r="CA98" i="38" s="1"/>
  <c r="DU155" i="38"/>
  <c r="DV155" i="38" s="1"/>
  <c r="DW155" i="38" s="1"/>
  <c r="DY155" i="38" s="1"/>
  <c r="EO158" i="38"/>
  <c r="EP158" i="38" s="1"/>
  <c r="EQ158" i="38" s="1"/>
  <c r="ES158" i="38" s="1"/>
  <c r="BM162" i="38"/>
  <c r="BN162" i="38" s="1"/>
  <c r="BO162" i="38" s="1"/>
  <c r="BQ162" i="38" s="1"/>
  <c r="CG165" i="38"/>
  <c r="CH165" i="38" s="1"/>
  <c r="CI165" i="38" s="1"/>
  <c r="CK165" i="38" s="1"/>
  <c r="DU152" i="38"/>
  <c r="DV152" i="38" s="1"/>
  <c r="DW152" i="38" s="1"/>
  <c r="DY152" i="38" s="1"/>
  <c r="EO155" i="38"/>
  <c r="EP155" i="38" s="1"/>
  <c r="EQ155" i="38" s="1"/>
  <c r="ES155" i="38" s="1"/>
  <c r="BM159" i="38"/>
  <c r="BN159" i="38" s="1"/>
  <c r="BO159" i="38" s="1"/>
  <c r="BQ159" i="38" s="1"/>
  <c r="CG162" i="38"/>
  <c r="CH162" i="38" s="1"/>
  <c r="CI162" i="38" s="1"/>
  <c r="CK162" i="38" s="1"/>
  <c r="DA165" i="38"/>
  <c r="DB165" i="38" s="1"/>
  <c r="DC165" i="38" s="1"/>
  <c r="DE165" i="38" s="1"/>
  <c r="BC15" i="37"/>
  <c r="BD15" i="37" s="1"/>
  <c r="BE15" i="37" s="1"/>
  <c r="BG15" i="37" s="1"/>
  <c r="EE14" i="37"/>
  <c r="EF14" i="37" s="1"/>
  <c r="EG14" i="37" s="1"/>
  <c r="EI14" i="37" s="1"/>
  <c r="CQ16" i="37"/>
  <c r="CR16" i="37" s="1"/>
  <c r="CS16" i="37" s="1"/>
  <c r="CU16" i="37" s="1"/>
  <c r="BC18" i="37"/>
  <c r="BD18" i="37" s="1"/>
  <c r="BE18" i="37" s="1"/>
  <c r="BG18" i="37" s="1"/>
  <c r="DK19" i="37"/>
  <c r="DL19" i="37" s="1"/>
  <c r="DM19" i="37" s="1"/>
  <c r="DO19" i="37" s="1"/>
  <c r="BW21" i="37"/>
  <c r="BX21" i="37" s="1"/>
  <c r="BY21" i="37" s="1"/>
  <c r="CA21" i="37" s="1"/>
  <c r="EE22" i="37"/>
  <c r="EF22" i="37" s="1"/>
  <c r="EG22" i="37" s="1"/>
  <c r="EI22" i="37" s="1"/>
  <c r="CQ24" i="37"/>
  <c r="CR24" i="37" s="1"/>
  <c r="CS24" i="37" s="1"/>
  <c r="CU24" i="37" s="1"/>
  <c r="BC26" i="37"/>
  <c r="BD26" i="37" s="1"/>
  <c r="BE26" i="37" s="1"/>
  <c r="BG26" i="37" s="1"/>
  <c r="CG14" i="37"/>
  <c r="CH14" i="37" s="1"/>
  <c r="CI14" i="37" s="1"/>
  <c r="CK14" i="37" s="1"/>
  <c r="EO15" i="37"/>
  <c r="EP15" i="37" s="1"/>
  <c r="EQ15" i="37" s="1"/>
  <c r="ES15" i="37" s="1"/>
  <c r="DA17" i="37"/>
  <c r="DB17" i="37" s="1"/>
  <c r="DC17" i="37" s="1"/>
  <c r="DE17" i="37" s="1"/>
  <c r="BM19" i="37"/>
  <c r="BN19" i="37" s="1"/>
  <c r="BO19" i="37" s="1"/>
  <c r="BQ19" i="37" s="1"/>
  <c r="DU20" i="37"/>
  <c r="DV20" i="37" s="1"/>
  <c r="DW20" i="37" s="1"/>
  <c r="DY20" i="37" s="1"/>
  <c r="CG22" i="37"/>
  <c r="CH22" i="37" s="1"/>
  <c r="CI22" i="37" s="1"/>
  <c r="CK22" i="37" s="1"/>
  <c r="EO23" i="37"/>
  <c r="EP23" i="37" s="1"/>
  <c r="EQ23" i="37" s="1"/>
  <c r="ES23" i="37" s="1"/>
  <c r="DA25" i="37"/>
  <c r="DB25" i="37" s="1"/>
  <c r="DC25" i="37" s="1"/>
  <c r="DE25" i="37" s="1"/>
  <c r="BM27" i="37"/>
  <c r="BN27" i="37" s="1"/>
  <c r="BO27" i="37" s="1"/>
  <c r="BQ27" i="37" s="1"/>
  <c r="DU28" i="37"/>
  <c r="DV28" i="37" s="1"/>
  <c r="DW28" i="37" s="1"/>
  <c r="DY28" i="37" s="1"/>
  <c r="CG30" i="37"/>
  <c r="CH30" i="37" s="1"/>
  <c r="CI30" i="37" s="1"/>
  <c r="CK30" i="37" s="1"/>
  <c r="EO31" i="37"/>
  <c r="EP31" i="37" s="1"/>
  <c r="EQ31" i="37" s="1"/>
  <c r="ES31" i="37" s="1"/>
  <c r="DA33" i="37"/>
  <c r="DB33" i="37" s="1"/>
  <c r="DC33" i="37" s="1"/>
  <c r="DE33" i="37" s="1"/>
  <c r="BM35" i="37"/>
  <c r="BN35" i="37" s="1"/>
  <c r="BO35" i="37" s="1"/>
  <c r="BQ35" i="37" s="1"/>
  <c r="BW28" i="37"/>
  <c r="BX28" i="37" s="1"/>
  <c r="BY28" i="37" s="1"/>
  <c r="CA28" i="37" s="1"/>
  <c r="EE29" i="37"/>
  <c r="EF29" i="37" s="1"/>
  <c r="EG29" i="37" s="1"/>
  <c r="EI29" i="37" s="1"/>
  <c r="CQ31" i="37"/>
  <c r="CR31" i="37" s="1"/>
  <c r="CS31" i="37" s="1"/>
  <c r="CU31" i="37" s="1"/>
  <c r="BC33" i="37"/>
  <c r="BD33" i="37" s="1"/>
  <c r="BE33" i="37" s="1"/>
  <c r="BG33" i="37" s="1"/>
  <c r="DK34" i="37"/>
  <c r="DL34" i="37" s="1"/>
  <c r="DM34" i="37" s="1"/>
  <c r="DO34" i="37" s="1"/>
  <c r="DK125" i="37"/>
  <c r="DL125" i="37" s="1"/>
  <c r="DM125" i="37" s="1"/>
  <c r="DO125" i="37" s="1"/>
  <c r="BW127" i="37"/>
  <c r="BX127" i="37" s="1"/>
  <c r="BY127" i="37" s="1"/>
  <c r="CA127" i="37" s="1"/>
  <c r="EE128" i="37"/>
  <c r="EF128" i="37" s="1"/>
  <c r="EG128" i="37" s="1"/>
  <c r="EI128" i="37" s="1"/>
  <c r="CQ130" i="37"/>
  <c r="CR130" i="37" s="1"/>
  <c r="CS130" i="37" s="1"/>
  <c r="CU130" i="37" s="1"/>
  <c r="BC132" i="37"/>
  <c r="BD132" i="37" s="1"/>
  <c r="BE132" i="37" s="1"/>
  <c r="BG132" i="37" s="1"/>
  <c r="DK133" i="37"/>
  <c r="DL133" i="37" s="1"/>
  <c r="DM133" i="37" s="1"/>
  <c r="DO133" i="37" s="1"/>
  <c r="BW135" i="37"/>
  <c r="BX135" i="37" s="1"/>
  <c r="BY135" i="37" s="1"/>
  <c r="CA135" i="37" s="1"/>
  <c r="EE136" i="37"/>
  <c r="EF136" i="37" s="1"/>
  <c r="EG136" i="37" s="1"/>
  <c r="EI136" i="37" s="1"/>
  <c r="CQ138" i="37"/>
  <c r="CR138" i="37" s="1"/>
  <c r="CS138" i="37" s="1"/>
  <c r="CU138" i="37" s="1"/>
  <c r="BC140" i="37"/>
  <c r="BD140" i="37" s="1"/>
  <c r="BE140" i="37" s="1"/>
  <c r="BG140" i="37" s="1"/>
  <c r="DK141" i="37"/>
  <c r="DL141" i="37" s="1"/>
  <c r="DM141" i="37" s="1"/>
  <c r="DO141" i="37" s="1"/>
  <c r="BW143" i="37"/>
  <c r="BX143" i="37" s="1"/>
  <c r="BY143" i="37" s="1"/>
  <c r="CA143" i="37" s="1"/>
  <c r="EE144" i="37"/>
  <c r="EF144" i="37" s="1"/>
  <c r="EG144" i="37" s="1"/>
  <c r="EI144" i="37" s="1"/>
  <c r="CQ146" i="37"/>
  <c r="CR146" i="37" s="1"/>
  <c r="CS146" i="37" s="1"/>
  <c r="CU146" i="37" s="1"/>
  <c r="BC148" i="37"/>
  <c r="BD148" i="37" s="1"/>
  <c r="BE148" i="37" s="1"/>
  <c r="BG148" i="37" s="1"/>
  <c r="DK149" i="37"/>
  <c r="DL149" i="37" s="1"/>
  <c r="DM149" i="37" s="1"/>
  <c r="DO149" i="37" s="1"/>
  <c r="BW151" i="37"/>
  <c r="BX151" i="37" s="1"/>
  <c r="BY151" i="37" s="1"/>
  <c r="CA151" i="37" s="1"/>
  <c r="EE152" i="37"/>
  <c r="EF152" i="37" s="1"/>
  <c r="EG152" i="37" s="1"/>
  <c r="EI152" i="37" s="1"/>
  <c r="CQ154" i="37"/>
  <c r="CR154" i="37" s="1"/>
  <c r="CS154" i="37" s="1"/>
  <c r="CU154" i="37" s="1"/>
  <c r="BC156" i="37"/>
  <c r="BD156" i="37" s="1"/>
  <c r="BE156" i="37" s="1"/>
  <c r="BG156" i="37" s="1"/>
  <c r="DA126" i="37"/>
  <c r="DB126" i="37" s="1"/>
  <c r="DC126" i="37" s="1"/>
  <c r="DE126" i="37" s="1"/>
  <c r="BM128" i="37"/>
  <c r="BN128" i="37" s="1"/>
  <c r="BO128" i="37" s="1"/>
  <c r="BQ128" i="37" s="1"/>
  <c r="DU129" i="37"/>
  <c r="DV129" i="37" s="1"/>
  <c r="DW129" i="37" s="1"/>
  <c r="DY129" i="37" s="1"/>
  <c r="CG131" i="37"/>
  <c r="CH131" i="37" s="1"/>
  <c r="CI131" i="37" s="1"/>
  <c r="CK131" i="37" s="1"/>
  <c r="EO132" i="37"/>
  <c r="EP132" i="37" s="1"/>
  <c r="EQ132" i="37" s="1"/>
  <c r="ES132" i="37" s="1"/>
  <c r="DA134" i="37"/>
  <c r="DB134" i="37" s="1"/>
  <c r="DC134" i="37" s="1"/>
  <c r="DE134" i="37" s="1"/>
  <c r="BM136" i="37"/>
  <c r="BN136" i="37" s="1"/>
  <c r="BO136" i="37" s="1"/>
  <c r="BQ136" i="37" s="1"/>
  <c r="DU137" i="37"/>
  <c r="DV137" i="37" s="1"/>
  <c r="DW137" i="37" s="1"/>
  <c r="DY137" i="37" s="1"/>
  <c r="CG139" i="37"/>
  <c r="CH139" i="37" s="1"/>
  <c r="CI139" i="37" s="1"/>
  <c r="CK139" i="37" s="1"/>
  <c r="EO140" i="37"/>
  <c r="EP140" i="37" s="1"/>
  <c r="EQ140" i="37" s="1"/>
  <c r="ES140" i="37" s="1"/>
  <c r="DA142" i="37"/>
  <c r="DB142" i="37" s="1"/>
  <c r="DC142" i="37" s="1"/>
  <c r="DE142" i="37" s="1"/>
  <c r="BM144" i="37"/>
  <c r="BN144" i="37" s="1"/>
  <c r="BO144" i="37" s="1"/>
  <c r="BQ144" i="37" s="1"/>
  <c r="DU145" i="37"/>
  <c r="DV145" i="37" s="1"/>
  <c r="DW145" i="37" s="1"/>
  <c r="DY145" i="37" s="1"/>
  <c r="CG147" i="37"/>
  <c r="CH147" i="37" s="1"/>
  <c r="CI147" i="37" s="1"/>
  <c r="CK147" i="37" s="1"/>
  <c r="EO148" i="37"/>
  <c r="EP148" i="37" s="1"/>
  <c r="EQ148" i="37" s="1"/>
  <c r="ES148" i="37" s="1"/>
  <c r="DA150" i="37"/>
  <c r="DB150" i="37" s="1"/>
  <c r="DC150" i="37" s="1"/>
  <c r="DE150" i="37" s="1"/>
  <c r="BM152" i="37"/>
  <c r="BN152" i="37" s="1"/>
  <c r="BO152" i="37" s="1"/>
  <c r="BQ152" i="37" s="1"/>
  <c r="DU153" i="37"/>
  <c r="DV153" i="37" s="1"/>
  <c r="DW153" i="37" s="1"/>
  <c r="DY153" i="37" s="1"/>
  <c r="CG155" i="37"/>
  <c r="CH155" i="37" s="1"/>
  <c r="CI155" i="37" s="1"/>
  <c r="CK155" i="37" s="1"/>
  <c r="EE185" i="37"/>
  <c r="EF185" i="37" s="1"/>
  <c r="EG185" i="37" s="1"/>
  <c r="EI185" i="37" s="1"/>
  <c r="CQ187" i="37"/>
  <c r="CR187" i="37" s="1"/>
  <c r="CS187" i="37" s="1"/>
  <c r="CU187" i="37" s="1"/>
  <c r="BC189" i="37"/>
  <c r="BD189" i="37" s="1"/>
  <c r="BE189" i="37" s="1"/>
  <c r="BG189" i="37" s="1"/>
  <c r="DK190" i="37"/>
  <c r="DL190" i="37" s="1"/>
  <c r="DM190" i="37" s="1"/>
  <c r="DO190" i="37" s="1"/>
  <c r="BW192" i="37"/>
  <c r="BX192" i="37" s="1"/>
  <c r="BY192" i="37" s="1"/>
  <c r="CA192" i="37" s="1"/>
  <c r="CG186" i="37"/>
  <c r="CH186" i="37" s="1"/>
  <c r="CI186" i="37" s="1"/>
  <c r="CK186" i="37" s="1"/>
  <c r="EO187" i="37"/>
  <c r="EP187" i="37" s="1"/>
  <c r="EQ187" i="37" s="1"/>
  <c r="ES187" i="37" s="1"/>
  <c r="DA189" i="37"/>
  <c r="DB189" i="37" s="1"/>
  <c r="DC189" i="37" s="1"/>
  <c r="DE189" i="37" s="1"/>
  <c r="BM191" i="37"/>
  <c r="BN191" i="37" s="1"/>
  <c r="BO191" i="37" s="1"/>
  <c r="BQ191" i="37" s="1"/>
  <c r="BW221" i="37"/>
  <c r="BX221" i="37" s="1"/>
  <c r="BY221" i="37" s="1"/>
  <c r="CA221" i="37" s="1"/>
  <c r="EE222" i="37"/>
  <c r="EF222" i="37" s="1"/>
  <c r="EG222" i="37" s="1"/>
  <c r="EI222" i="37" s="1"/>
  <c r="CQ224" i="37"/>
  <c r="CR224" i="37" s="1"/>
  <c r="CS224" i="37" s="1"/>
  <c r="CU224" i="37" s="1"/>
  <c r="BC226" i="37"/>
  <c r="BD226" i="37" s="1"/>
  <c r="BE226" i="37" s="1"/>
  <c r="BG226" i="37" s="1"/>
  <c r="DK227" i="37"/>
  <c r="DL227" i="37" s="1"/>
  <c r="DM227" i="37" s="1"/>
  <c r="DO227" i="37" s="1"/>
  <c r="BW229" i="37"/>
  <c r="BX229" i="37" s="1"/>
  <c r="BY229" i="37" s="1"/>
  <c r="CA229" i="37" s="1"/>
  <c r="EE230" i="37"/>
  <c r="EF230" i="37" s="1"/>
  <c r="EG230" i="37" s="1"/>
  <c r="EI230" i="37" s="1"/>
  <c r="CQ232" i="37"/>
  <c r="CR232" i="37" s="1"/>
  <c r="CS232" i="37" s="1"/>
  <c r="CU232" i="37" s="1"/>
  <c r="BC234" i="37"/>
  <c r="BD234" i="37" s="1"/>
  <c r="BE234" i="37" s="1"/>
  <c r="BG234" i="37" s="1"/>
  <c r="DK235" i="37"/>
  <c r="DL235" i="37" s="1"/>
  <c r="DM235" i="37" s="1"/>
  <c r="DO235" i="37" s="1"/>
  <c r="BW237" i="37"/>
  <c r="BX237" i="37" s="1"/>
  <c r="BY237" i="37" s="1"/>
  <c r="CA237" i="37" s="1"/>
  <c r="EE238" i="37"/>
  <c r="EF238" i="37" s="1"/>
  <c r="EG238" i="37" s="1"/>
  <c r="EI238" i="37" s="1"/>
  <c r="CQ240" i="37"/>
  <c r="CR240" i="37" s="1"/>
  <c r="CS240" i="37" s="1"/>
  <c r="CU240" i="37" s="1"/>
  <c r="BC242" i="37"/>
  <c r="BD242" i="37" s="1"/>
  <c r="BE242" i="37" s="1"/>
  <c r="BG242" i="37" s="1"/>
  <c r="DK243" i="37"/>
  <c r="DL243" i="37" s="1"/>
  <c r="DM243" i="37" s="1"/>
  <c r="DO243" i="37" s="1"/>
  <c r="BW245" i="37"/>
  <c r="BX245" i="37" s="1"/>
  <c r="BY245" i="37" s="1"/>
  <c r="CA245" i="37" s="1"/>
  <c r="EE246" i="37"/>
  <c r="EF246" i="37" s="1"/>
  <c r="EG246" i="37" s="1"/>
  <c r="EI246" i="37" s="1"/>
  <c r="CQ248" i="37"/>
  <c r="CR248" i="37" s="1"/>
  <c r="CS248" i="37" s="1"/>
  <c r="CU248" i="37" s="1"/>
  <c r="BC250" i="37"/>
  <c r="BD250" i="37" s="1"/>
  <c r="BE250" i="37" s="1"/>
  <c r="BG250" i="37" s="1"/>
  <c r="DK251" i="37"/>
  <c r="DL251" i="37" s="1"/>
  <c r="DM251" i="37" s="1"/>
  <c r="DO251" i="37" s="1"/>
  <c r="BW253" i="37"/>
  <c r="BX253" i="37" s="1"/>
  <c r="BY253" i="37" s="1"/>
  <c r="CA253" i="37" s="1"/>
  <c r="EE254" i="37"/>
  <c r="EF254" i="37" s="1"/>
  <c r="EG254" i="37" s="1"/>
  <c r="EI254" i="37" s="1"/>
  <c r="CQ256" i="37"/>
  <c r="CR256" i="37" s="1"/>
  <c r="CS256" i="37" s="1"/>
  <c r="CU256" i="37" s="1"/>
  <c r="BC258" i="37"/>
  <c r="BD258" i="37" s="1"/>
  <c r="BE258" i="37" s="1"/>
  <c r="BG258" i="37" s="1"/>
  <c r="DK259" i="37"/>
  <c r="DL259" i="37" s="1"/>
  <c r="DM259" i="37" s="1"/>
  <c r="DO259" i="37" s="1"/>
  <c r="BW261" i="37"/>
  <c r="BX261" i="37" s="1"/>
  <c r="BY261" i="37" s="1"/>
  <c r="CA261" i="37" s="1"/>
  <c r="BM222" i="37"/>
  <c r="BN222" i="37" s="1"/>
  <c r="BO222" i="37" s="1"/>
  <c r="BQ222" i="37" s="1"/>
  <c r="DU223" i="37"/>
  <c r="DV223" i="37" s="1"/>
  <c r="DW223" i="37" s="1"/>
  <c r="DY223" i="37" s="1"/>
  <c r="CG225" i="37"/>
  <c r="CH225" i="37" s="1"/>
  <c r="CI225" i="37" s="1"/>
  <c r="CK225" i="37" s="1"/>
  <c r="EO226" i="37"/>
  <c r="EP226" i="37" s="1"/>
  <c r="EQ226" i="37" s="1"/>
  <c r="ES226" i="37" s="1"/>
  <c r="DA228" i="37"/>
  <c r="DB228" i="37" s="1"/>
  <c r="DC228" i="37" s="1"/>
  <c r="DE228" i="37" s="1"/>
  <c r="BM230" i="37"/>
  <c r="BN230" i="37" s="1"/>
  <c r="BO230" i="37" s="1"/>
  <c r="BQ230" i="37" s="1"/>
  <c r="DU231" i="37"/>
  <c r="DV231" i="37" s="1"/>
  <c r="DW231" i="37" s="1"/>
  <c r="DY231" i="37" s="1"/>
  <c r="CG233" i="37"/>
  <c r="CH233" i="37" s="1"/>
  <c r="CI233" i="37" s="1"/>
  <c r="CK233" i="37" s="1"/>
  <c r="EO234" i="37"/>
  <c r="EP234" i="37" s="1"/>
  <c r="EQ234" i="37" s="1"/>
  <c r="ES234" i="37" s="1"/>
  <c r="DA236" i="37"/>
  <c r="DB236" i="37" s="1"/>
  <c r="DC236" i="37" s="1"/>
  <c r="DE236" i="37" s="1"/>
  <c r="BM238" i="37"/>
  <c r="BN238" i="37" s="1"/>
  <c r="BO238" i="37" s="1"/>
  <c r="BQ238" i="37" s="1"/>
  <c r="DU239" i="37"/>
  <c r="DV239" i="37" s="1"/>
  <c r="DW239" i="37" s="1"/>
  <c r="DY239" i="37" s="1"/>
  <c r="CG241" i="37"/>
  <c r="CH241" i="37" s="1"/>
  <c r="CI241" i="37" s="1"/>
  <c r="CK241" i="37" s="1"/>
  <c r="EO242" i="37"/>
  <c r="EP242" i="37" s="1"/>
  <c r="EQ242" i="37" s="1"/>
  <c r="ES242" i="37" s="1"/>
  <c r="DA244" i="37"/>
  <c r="DB244" i="37" s="1"/>
  <c r="DC244" i="37" s="1"/>
  <c r="DE244" i="37" s="1"/>
  <c r="BM246" i="37"/>
  <c r="BN246" i="37" s="1"/>
  <c r="BO246" i="37" s="1"/>
  <c r="BQ246" i="37" s="1"/>
  <c r="DU247" i="37"/>
  <c r="DV247" i="37" s="1"/>
  <c r="DW247" i="37" s="1"/>
  <c r="DY247" i="37" s="1"/>
  <c r="CG249" i="37"/>
  <c r="CH249" i="37" s="1"/>
  <c r="CI249" i="37" s="1"/>
  <c r="CK249" i="37" s="1"/>
  <c r="EO250" i="37"/>
  <c r="EP250" i="37" s="1"/>
  <c r="EQ250" i="37" s="1"/>
  <c r="ES250" i="37" s="1"/>
  <c r="DA252" i="37"/>
  <c r="DB252" i="37" s="1"/>
  <c r="DC252" i="37" s="1"/>
  <c r="DE252" i="37" s="1"/>
  <c r="BM254" i="37"/>
  <c r="BN254" i="37" s="1"/>
  <c r="BO254" i="37" s="1"/>
  <c r="BQ254" i="37" s="1"/>
  <c r="DU255" i="37"/>
  <c r="DV255" i="37" s="1"/>
  <c r="DW255" i="37" s="1"/>
  <c r="DY255" i="37" s="1"/>
  <c r="CG257" i="37"/>
  <c r="CH257" i="37" s="1"/>
  <c r="CI257" i="37" s="1"/>
  <c r="CK257" i="37" s="1"/>
  <c r="EO258" i="37"/>
  <c r="EP258" i="37" s="1"/>
  <c r="EQ258" i="37" s="1"/>
  <c r="ES258" i="37" s="1"/>
  <c r="DA260" i="37"/>
  <c r="DB260" i="37" s="1"/>
  <c r="DC260" i="37" s="1"/>
  <c r="DE260" i="37" s="1"/>
  <c r="CQ50" i="38"/>
  <c r="CR50" i="38" s="1"/>
  <c r="CS50" i="38" s="1"/>
  <c r="CU50" i="38" s="1"/>
  <c r="DA50" i="38"/>
  <c r="DB50" i="38" s="1"/>
  <c r="DC50" i="38" s="1"/>
  <c r="DE50" i="38" s="1"/>
  <c r="DU53" i="38"/>
  <c r="DV53" i="38" s="1"/>
  <c r="DW53" i="38" s="1"/>
  <c r="DY53" i="38" s="1"/>
  <c r="EO56" i="38"/>
  <c r="EP56" i="38" s="1"/>
  <c r="EQ56" i="38" s="1"/>
  <c r="ES56" i="38" s="1"/>
  <c r="DA53" i="38"/>
  <c r="DB53" i="38" s="1"/>
  <c r="DC53" i="38" s="1"/>
  <c r="DE53" i="38" s="1"/>
  <c r="DU56" i="38"/>
  <c r="DV56" i="38" s="1"/>
  <c r="DW56" i="38" s="1"/>
  <c r="DY56" i="38" s="1"/>
  <c r="EO59" i="38"/>
  <c r="EP59" i="38" s="1"/>
  <c r="EQ59" i="38" s="1"/>
  <c r="ES59" i="38" s="1"/>
  <c r="BC78" i="38"/>
  <c r="BD78" i="38" s="1"/>
  <c r="BE78" i="38" s="1"/>
  <c r="BG78" i="38" s="1"/>
  <c r="BW81" i="38"/>
  <c r="BX81" i="38" s="1"/>
  <c r="BY81" i="38" s="1"/>
  <c r="CA81" i="38" s="1"/>
  <c r="CQ84" i="38"/>
  <c r="CR84" i="38" s="1"/>
  <c r="CS84" i="38" s="1"/>
  <c r="CU84" i="38" s="1"/>
  <c r="DK87" i="38"/>
  <c r="DL87" i="38" s="1"/>
  <c r="DM87" i="38" s="1"/>
  <c r="DO87" i="38" s="1"/>
  <c r="EE90" i="38"/>
  <c r="EF90" i="38" s="1"/>
  <c r="EG90" i="38" s="1"/>
  <c r="EI90" i="38" s="1"/>
  <c r="BC94" i="38"/>
  <c r="BD94" i="38" s="1"/>
  <c r="BE94" i="38" s="1"/>
  <c r="BG94" i="38" s="1"/>
  <c r="BW97" i="38"/>
  <c r="BX97" i="38" s="1"/>
  <c r="BY97" i="38" s="1"/>
  <c r="CA97" i="38" s="1"/>
  <c r="EE231" i="38"/>
  <c r="EF231" i="38" s="1"/>
  <c r="EG231" i="38" s="1"/>
  <c r="EI231" i="38" s="1"/>
  <c r="EE215" i="38"/>
  <c r="EF215" i="38" s="1"/>
  <c r="EG215" i="38" s="1"/>
  <c r="EI215" i="38" s="1"/>
  <c r="EE199" i="38"/>
  <c r="EF199" i="38" s="1"/>
  <c r="EG199" i="38" s="1"/>
  <c r="EI199" i="38" s="1"/>
  <c r="EE167" i="38"/>
  <c r="EF167" i="38" s="1"/>
  <c r="EG167" i="38" s="1"/>
  <c r="EI167" i="38" s="1"/>
  <c r="EE250" i="38"/>
  <c r="EF250" i="38" s="1"/>
  <c r="EG250" i="38" s="1"/>
  <c r="EI250" i="38" s="1"/>
  <c r="EE234" i="38"/>
  <c r="EF234" i="38" s="1"/>
  <c r="EG234" i="38" s="1"/>
  <c r="EI234" i="38" s="1"/>
  <c r="EE218" i="38"/>
  <c r="EF218" i="38" s="1"/>
  <c r="EG218" i="38" s="1"/>
  <c r="EI218" i="38" s="1"/>
  <c r="EE202" i="38"/>
  <c r="EF202" i="38" s="1"/>
  <c r="EG202" i="38" s="1"/>
  <c r="EI202" i="38" s="1"/>
  <c r="EE173" i="38"/>
  <c r="EF173" i="38" s="1"/>
  <c r="EG173" i="38" s="1"/>
  <c r="EI173" i="38" s="1"/>
  <c r="EE163" i="38"/>
  <c r="EF163" i="38" s="1"/>
  <c r="EG163" i="38" s="1"/>
  <c r="EI163" i="38" s="1"/>
  <c r="EE130" i="38"/>
  <c r="EF130" i="38" s="1"/>
  <c r="EG130" i="38" s="1"/>
  <c r="EI130" i="38" s="1"/>
  <c r="EE120" i="38"/>
  <c r="EF120" i="38" s="1"/>
  <c r="EG120" i="38" s="1"/>
  <c r="EI120" i="38" s="1"/>
  <c r="EE198" i="38"/>
  <c r="EF198" i="38" s="1"/>
  <c r="EG198" i="38" s="1"/>
  <c r="EI198" i="38" s="1"/>
  <c r="EE182" i="38"/>
  <c r="EF182" i="38" s="1"/>
  <c r="EG182" i="38" s="1"/>
  <c r="EI182" i="38" s="1"/>
  <c r="EE166" i="38"/>
  <c r="EF166" i="38" s="1"/>
  <c r="EG166" i="38" s="1"/>
  <c r="EI166" i="38" s="1"/>
  <c r="EE151" i="38"/>
  <c r="EF151" i="38" s="1"/>
  <c r="EG151" i="38" s="1"/>
  <c r="EI151" i="38" s="1"/>
  <c r="EE135" i="38"/>
  <c r="EF135" i="38" s="1"/>
  <c r="EG135" i="38" s="1"/>
  <c r="EI135" i="38" s="1"/>
  <c r="EE119" i="38"/>
  <c r="EF119" i="38" s="1"/>
  <c r="EG119" i="38" s="1"/>
  <c r="EI119" i="38" s="1"/>
  <c r="EE56" i="38"/>
  <c r="EF56" i="38" s="1"/>
  <c r="EG56" i="38" s="1"/>
  <c r="EI56" i="38" s="1"/>
  <c r="EE101" i="38"/>
  <c r="EF101" i="38" s="1"/>
  <c r="EG101" i="38" s="1"/>
  <c r="EI101" i="38" s="1"/>
  <c r="EE53" i="38"/>
  <c r="EF53" i="38" s="1"/>
  <c r="EG53" i="38" s="1"/>
  <c r="EI53" i="38" s="1"/>
  <c r="EE25" i="38"/>
  <c r="EF25" i="38" s="1"/>
  <c r="EG25" i="38" s="1"/>
  <c r="EI25" i="38" s="1"/>
  <c r="DK244" i="38"/>
  <c r="DL244" i="38" s="1"/>
  <c r="DM244" i="38" s="1"/>
  <c r="DO244" i="38" s="1"/>
  <c r="DK226" i="38"/>
  <c r="DL226" i="38" s="1"/>
  <c r="DM226" i="38" s="1"/>
  <c r="DO226" i="38" s="1"/>
  <c r="DK210" i="38"/>
  <c r="DL210" i="38" s="1"/>
  <c r="DM210" i="38" s="1"/>
  <c r="DO210" i="38" s="1"/>
  <c r="DK188" i="38"/>
  <c r="DL188" i="38" s="1"/>
  <c r="DM188" i="38" s="1"/>
  <c r="DO188" i="38" s="1"/>
  <c r="DK141" i="38"/>
  <c r="DL141" i="38" s="1"/>
  <c r="DM141" i="38" s="1"/>
  <c r="DO141" i="38" s="1"/>
  <c r="DK246" i="38"/>
  <c r="DL246" i="38" s="1"/>
  <c r="DM246" i="38" s="1"/>
  <c r="DO246" i="38" s="1"/>
  <c r="DK230" i="38"/>
  <c r="DL230" i="38" s="1"/>
  <c r="DM230" i="38" s="1"/>
  <c r="DO230" i="38" s="1"/>
  <c r="DK215" i="38"/>
  <c r="DL215" i="38" s="1"/>
  <c r="DM215" i="38" s="1"/>
  <c r="DO215" i="38" s="1"/>
  <c r="DK198" i="38"/>
  <c r="DL198" i="38" s="1"/>
  <c r="DM198" i="38" s="1"/>
  <c r="DO198" i="38" s="1"/>
  <c r="DK157" i="38"/>
  <c r="DL157" i="38" s="1"/>
  <c r="DM157" i="38" s="1"/>
  <c r="DO157" i="38" s="1"/>
  <c r="DK151" i="38"/>
  <c r="DL151" i="38" s="1"/>
  <c r="DM151" i="38" s="1"/>
  <c r="DO151" i="38" s="1"/>
  <c r="DK119" i="38"/>
  <c r="DL119" i="38" s="1"/>
  <c r="DM119" i="38" s="1"/>
  <c r="DO119" i="38" s="1"/>
  <c r="DK58" i="38"/>
  <c r="DL58" i="38" s="1"/>
  <c r="DM58" i="38" s="1"/>
  <c r="DO58" i="38" s="1"/>
  <c r="DK193" i="38"/>
  <c r="DL193" i="38" s="1"/>
  <c r="DM193" i="38" s="1"/>
  <c r="DO193" i="38" s="1"/>
  <c r="DK177" i="38"/>
  <c r="DL177" i="38" s="1"/>
  <c r="DM177" i="38" s="1"/>
  <c r="DO177" i="38" s="1"/>
  <c r="DK162" i="38"/>
  <c r="DL162" i="38" s="1"/>
  <c r="DM162" i="38" s="1"/>
  <c r="DO162" i="38" s="1"/>
  <c r="DK146" i="38"/>
  <c r="DL146" i="38" s="1"/>
  <c r="DM146" i="38" s="1"/>
  <c r="DO146" i="38" s="1"/>
  <c r="DK130" i="38"/>
  <c r="DL130" i="38" s="1"/>
  <c r="DM130" i="38" s="1"/>
  <c r="DO130" i="38" s="1"/>
  <c r="DK115" i="38"/>
  <c r="DL115" i="38" s="1"/>
  <c r="DM115" i="38" s="1"/>
  <c r="DO115" i="38" s="1"/>
  <c r="DK113" i="38"/>
  <c r="DL113" i="38" s="1"/>
  <c r="DM113" i="38" s="1"/>
  <c r="DO113" i="38" s="1"/>
  <c r="DK59" i="38"/>
  <c r="DL59" i="38" s="1"/>
  <c r="DM59" i="38" s="1"/>
  <c r="DO59" i="38" s="1"/>
  <c r="DK54" i="38"/>
  <c r="DL54" i="38" s="1"/>
  <c r="DM54" i="38" s="1"/>
  <c r="DO54" i="38" s="1"/>
  <c r="DK25" i="38"/>
  <c r="DL25" i="38" s="1"/>
  <c r="DM25" i="38" s="1"/>
  <c r="DO25" i="38" s="1"/>
  <c r="DA74" i="38"/>
  <c r="DB74" i="38" s="1"/>
  <c r="DC74" i="38" s="1"/>
  <c r="DE74" i="38" s="1"/>
  <c r="DA97" i="38"/>
  <c r="DB97" i="38" s="1"/>
  <c r="DC97" i="38" s="1"/>
  <c r="DE97" i="38" s="1"/>
  <c r="DA68" i="38"/>
  <c r="DB68" i="38" s="1"/>
  <c r="DC68" i="38" s="1"/>
  <c r="DE68" i="38" s="1"/>
  <c r="DA86" i="38"/>
  <c r="DB86" i="38" s="1"/>
  <c r="DC86" i="38" s="1"/>
  <c r="DE86" i="38" s="1"/>
  <c r="DA69" i="38"/>
  <c r="DB69" i="38" s="1"/>
  <c r="DC69" i="38" s="1"/>
  <c r="DE69" i="38" s="1"/>
  <c r="DA9" i="38"/>
  <c r="DB9" i="38" s="1"/>
  <c r="DC9" i="38" s="1"/>
  <c r="DE9" i="38" s="1"/>
  <c r="DA42" i="38"/>
  <c r="DB42" i="38" s="1"/>
  <c r="DC42" i="38" s="1"/>
  <c r="DE42" i="38" s="1"/>
  <c r="DA32" i="38"/>
  <c r="DB32" i="38" s="1"/>
  <c r="DC32" i="38" s="1"/>
  <c r="DE32" i="38" s="1"/>
  <c r="CG81" i="38"/>
  <c r="CH81" i="38" s="1"/>
  <c r="CI81" i="38" s="1"/>
  <c r="CK81" i="38" s="1"/>
  <c r="CG86" i="38"/>
  <c r="CH86" i="38" s="1"/>
  <c r="CI86" i="38" s="1"/>
  <c r="CK86" i="38" s="1"/>
  <c r="CG36" i="38"/>
  <c r="CH36" i="38" s="1"/>
  <c r="CI36" i="38" s="1"/>
  <c r="CK36" i="38" s="1"/>
  <c r="CG84" i="38"/>
  <c r="CH84" i="38" s="1"/>
  <c r="CI84" i="38" s="1"/>
  <c r="CK84" i="38" s="1"/>
  <c r="CG68" i="38"/>
  <c r="CH68" i="38" s="1"/>
  <c r="CI68" i="38" s="1"/>
  <c r="CK68" i="38" s="1"/>
  <c r="CG50" i="38"/>
  <c r="CH50" i="38" s="1"/>
  <c r="CI50" i="38" s="1"/>
  <c r="CK50" i="38" s="1"/>
  <c r="CG42" i="38"/>
  <c r="CH42" i="38" s="1"/>
  <c r="CI42" i="38" s="1"/>
  <c r="CK42" i="38" s="1"/>
  <c r="CG30" i="38"/>
  <c r="CH30" i="38" s="1"/>
  <c r="CI30" i="38" s="1"/>
  <c r="CK30" i="38" s="1"/>
  <c r="BC252" i="38"/>
  <c r="BD252" i="38" s="1"/>
  <c r="BE252" i="38" s="1"/>
  <c r="BG252" i="38" s="1"/>
  <c r="EE259" i="38"/>
  <c r="EF259" i="38" s="1"/>
  <c r="EG259" i="38" s="1"/>
  <c r="EI259" i="38" s="1"/>
  <c r="BC263" i="38"/>
  <c r="BD263" i="38" s="1"/>
  <c r="BE263" i="38" s="1"/>
  <c r="BG263" i="38" s="1"/>
  <c r="DA264" i="38"/>
  <c r="DB264" i="38" s="1"/>
  <c r="DC264" i="38" s="1"/>
  <c r="DE264" i="38" s="1"/>
  <c r="BM266" i="38"/>
  <c r="BN266" i="38" s="1"/>
  <c r="BO266" i="38" s="1"/>
  <c r="BQ266" i="38" s="1"/>
  <c r="DU267" i="38"/>
  <c r="DV267" i="38" s="1"/>
  <c r="DW267" i="38" s="1"/>
  <c r="DY267" i="38" s="1"/>
  <c r="DU96" i="38"/>
  <c r="DV96" i="38" s="1"/>
  <c r="DW96" i="38" s="1"/>
  <c r="DY96" i="38" s="1"/>
  <c r="DU65" i="38"/>
  <c r="DV65" i="38" s="1"/>
  <c r="DW65" i="38" s="1"/>
  <c r="DY65" i="38" s="1"/>
  <c r="DU83" i="38"/>
  <c r="DV83" i="38" s="1"/>
  <c r="DW83" i="38" s="1"/>
  <c r="DY83" i="38" s="1"/>
  <c r="DU90" i="38"/>
  <c r="DV90" i="38" s="1"/>
  <c r="DW90" i="38" s="1"/>
  <c r="DY90" i="38" s="1"/>
  <c r="DU76" i="38"/>
  <c r="DV76" i="38" s="1"/>
  <c r="DW76" i="38" s="1"/>
  <c r="DY76" i="38" s="1"/>
  <c r="DU60" i="38"/>
  <c r="DV60" i="38" s="1"/>
  <c r="DW60" i="38" s="1"/>
  <c r="DY60" i="38" s="1"/>
  <c r="DU44" i="38"/>
  <c r="DV44" i="38" s="1"/>
  <c r="DW44" i="38" s="1"/>
  <c r="DY44" i="38" s="1"/>
  <c r="DU36" i="38"/>
  <c r="DV36" i="38" s="1"/>
  <c r="DW36" i="38" s="1"/>
  <c r="DY36" i="38" s="1"/>
  <c r="CQ242" i="38"/>
  <c r="CR242" i="38" s="1"/>
  <c r="CS242" i="38" s="1"/>
  <c r="CU242" i="38" s="1"/>
  <c r="CQ227" i="38"/>
  <c r="CR227" i="38" s="1"/>
  <c r="CS227" i="38" s="1"/>
  <c r="CU227" i="38" s="1"/>
  <c r="CQ211" i="38"/>
  <c r="CR211" i="38" s="1"/>
  <c r="CS211" i="38" s="1"/>
  <c r="CU211" i="38" s="1"/>
  <c r="CQ189" i="38"/>
  <c r="CR189" i="38" s="1"/>
  <c r="CS189" i="38" s="1"/>
  <c r="CU189" i="38" s="1"/>
  <c r="CQ138" i="38"/>
  <c r="CR138" i="38" s="1"/>
  <c r="CS138" i="38" s="1"/>
  <c r="CU138" i="38" s="1"/>
  <c r="CQ244" i="38"/>
  <c r="CR244" i="38" s="1"/>
  <c r="CS244" i="38" s="1"/>
  <c r="CU244" i="38" s="1"/>
  <c r="CQ228" i="38"/>
  <c r="CR228" i="38" s="1"/>
  <c r="CS228" i="38" s="1"/>
  <c r="CU228" i="38" s="1"/>
  <c r="CQ212" i="38"/>
  <c r="CR212" i="38" s="1"/>
  <c r="CS212" i="38" s="1"/>
  <c r="CU212" i="38" s="1"/>
  <c r="CQ195" i="38"/>
  <c r="CR195" i="38" s="1"/>
  <c r="CS195" i="38" s="1"/>
  <c r="CU195" i="38" s="1"/>
  <c r="CQ153" i="38"/>
  <c r="CR153" i="38" s="1"/>
  <c r="CS153" i="38" s="1"/>
  <c r="CU153" i="38" s="1"/>
  <c r="CQ157" i="38"/>
  <c r="CR157" i="38" s="1"/>
  <c r="CS157" i="38" s="1"/>
  <c r="CU157" i="38" s="1"/>
  <c r="CQ124" i="38"/>
  <c r="CR124" i="38" s="1"/>
  <c r="CS124" i="38" s="1"/>
  <c r="CU124" i="38" s="1"/>
  <c r="CQ122" i="38"/>
  <c r="CR122" i="38" s="1"/>
  <c r="CS122" i="38" s="1"/>
  <c r="CU122" i="38" s="1"/>
  <c r="CQ192" i="38"/>
  <c r="CR192" i="38" s="1"/>
  <c r="CS192" i="38" s="1"/>
  <c r="CU192" i="38" s="1"/>
  <c r="CQ176" i="38"/>
  <c r="CR176" i="38" s="1"/>
  <c r="CS176" i="38" s="1"/>
  <c r="CU176" i="38" s="1"/>
  <c r="CQ160" i="38"/>
  <c r="CR160" i="38" s="1"/>
  <c r="CS160" i="38" s="1"/>
  <c r="CU160" i="38" s="1"/>
  <c r="CQ143" i="38"/>
  <c r="CR143" i="38" s="1"/>
  <c r="CS143" i="38" s="1"/>
  <c r="CU143" i="38" s="1"/>
  <c r="CQ127" i="38"/>
  <c r="CR127" i="38" s="1"/>
  <c r="CS127" i="38" s="1"/>
  <c r="CU127" i="38" s="1"/>
  <c r="CQ104" i="38"/>
  <c r="CR104" i="38" s="1"/>
  <c r="CS104" i="38" s="1"/>
  <c r="CU104" i="38" s="1"/>
  <c r="CQ107" i="38"/>
  <c r="CR107" i="38" s="1"/>
  <c r="CS107" i="38" s="1"/>
  <c r="CU107" i="38" s="1"/>
  <c r="CQ52" i="38"/>
  <c r="CR52" i="38" s="1"/>
  <c r="CS52" i="38" s="1"/>
  <c r="CU52" i="38" s="1"/>
  <c r="CQ51" i="38"/>
  <c r="CR51" i="38" s="1"/>
  <c r="CS51" i="38" s="1"/>
  <c r="CU51" i="38" s="1"/>
  <c r="CQ23" i="38"/>
  <c r="CR23" i="38" s="1"/>
  <c r="CS23" i="38" s="1"/>
  <c r="CU23" i="38" s="1"/>
  <c r="BW238" i="38"/>
  <c r="BX238" i="38" s="1"/>
  <c r="BY238" i="38" s="1"/>
  <c r="CA238" i="38" s="1"/>
  <c r="BW222" i="38"/>
  <c r="BX222" i="38" s="1"/>
  <c r="BY222" i="38" s="1"/>
  <c r="CA222" i="38" s="1"/>
  <c r="BW206" i="38"/>
  <c r="BX206" i="38" s="1"/>
  <c r="BY206" i="38" s="1"/>
  <c r="CA206" i="38" s="1"/>
  <c r="BW182" i="38"/>
  <c r="BX182" i="38" s="1"/>
  <c r="BY182" i="38" s="1"/>
  <c r="CA182" i="38" s="1"/>
  <c r="BW135" i="38"/>
  <c r="BX135" i="38" s="1"/>
  <c r="BY135" i="38" s="1"/>
  <c r="CA135" i="38" s="1"/>
  <c r="BW244" i="38"/>
  <c r="BX244" i="38" s="1"/>
  <c r="BY244" i="38" s="1"/>
  <c r="CA244" i="38" s="1"/>
  <c r="BW227" i="38"/>
  <c r="BX227" i="38" s="1"/>
  <c r="BY227" i="38" s="1"/>
  <c r="CA227" i="38" s="1"/>
  <c r="BW211" i="38"/>
  <c r="BX211" i="38" s="1"/>
  <c r="BY211" i="38" s="1"/>
  <c r="CA211" i="38" s="1"/>
  <c r="BW188" i="38"/>
  <c r="BX188" i="38" s="1"/>
  <c r="BY188" i="38" s="1"/>
  <c r="CA188" i="38" s="1"/>
  <c r="BW139" i="38"/>
  <c r="BX139" i="38" s="1"/>
  <c r="BY139" i="38" s="1"/>
  <c r="CA139" i="38" s="1"/>
  <c r="BW137" i="38"/>
  <c r="BX137" i="38" s="1"/>
  <c r="BY137" i="38" s="1"/>
  <c r="CA137" i="38" s="1"/>
  <c r="BW131" i="38"/>
  <c r="BX131" i="38" s="1"/>
  <c r="BY131" i="38" s="1"/>
  <c r="CA131" i="38" s="1"/>
  <c r="BW347" i="37"/>
  <c r="BX347" i="37" s="1"/>
  <c r="BY347" i="37" s="1"/>
  <c r="CA347" i="37" s="1"/>
  <c r="DU348" i="37"/>
  <c r="DV348" i="37" s="1"/>
  <c r="DW348" i="37" s="1"/>
  <c r="DY348" i="37" s="1"/>
  <c r="BW11" i="37"/>
  <c r="BX11" i="37" s="1"/>
  <c r="BY11" i="37" s="1"/>
  <c r="CA11" i="37" s="1"/>
  <c r="EE12" i="37"/>
  <c r="EF12" i="37" s="1"/>
  <c r="EG12" i="37" s="1"/>
  <c r="EI12" i="37" s="1"/>
  <c r="BM36" i="37"/>
  <c r="BN36" i="37" s="1"/>
  <c r="BO36" i="37" s="1"/>
  <c r="BQ36" i="37" s="1"/>
  <c r="DA38" i="37"/>
  <c r="DB38" i="37" s="1"/>
  <c r="DC38" i="37" s="1"/>
  <c r="DE38" i="37" s="1"/>
  <c r="BM40" i="37"/>
  <c r="BN40" i="37" s="1"/>
  <c r="BO40" i="37" s="1"/>
  <c r="BQ40" i="37" s="1"/>
  <c r="DU41" i="37"/>
  <c r="DV41" i="37" s="1"/>
  <c r="DW41" i="37" s="1"/>
  <c r="DY41" i="37" s="1"/>
  <c r="CG43" i="37"/>
  <c r="CH43" i="37" s="1"/>
  <c r="CI43" i="37" s="1"/>
  <c r="CK43" i="37" s="1"/>
  <c r="EO44" i="37"/>
  <c r="EP44" i="37" s="1"/>
  <c r="EQ44" i="37" s="1"/>
  <c r="ES44" i="37" s="1"/>
  <c r="DA46" i="37"/>
  <c r="DB46" i="37" s="1"/>
  <c r="DC46" i="37" s="1"/>
  <c r="DE46" i="37" s="1"/>
  <c r="BM48" i="37"/>
  <c r="BN48" i="37" s="1"/>
  <c r="BO48" i="37" s="1"/>
  <c r="BQ48" i="37" s="1"/>
  <c r="CG49" i="37"/>
  <c r="CH49" i="37" s="1"/>
  <c r="CI49" i="37" s="1"/>
  <c r="CK49" i="37" s="1"/>
  <c r="BM50" i="37"/>
  <c r="BN50" i="37" s="1"/>
  <c r="BO50" i="37" s="1"/>
  <c r="BQ50" i="37" s="1"/>
  <c r="EO50" i="37"/>
  <c r="EP50" i="37" s="1"/>
  <c r="EQ50" i="37" s="1"/>
  <c r="ES50" i="37" s="1"/>
  <c r="DU51" i="37"/>
  <c r="DV51" i="37" s="1"/>
  <c r="DW51" i="37" s="1"/>
  <c r="DY51" i="37" s="1"/>
  <c r="EO52" i="37"/>
  <c r="EP52" i="37" s="1"/>
  <c r="EQ52" i="37" s="1"/>
  <c r="ES52" i="37" s="1"/>
  <c r="DA54" i="37"/>
  <c r="DB54" i="37" s="1"/>
  <c r="DC54" i="37" s="1"/>
  <c r="DE54" i="37" s="1"/>
  <c r="CG55" i="37"/>
  <c r="CH55" i="37" s="1"/>
  <c r="CI55" i="37" s="1"/>
  <c r="CK55" i="37" s="1"/>
  <c r="BM56" i="37"/>
  <c r="BN56" i="37" s="1"/>
  <c r="BO56" i="37" s="1"/>
  <c r="BQ56" i="37" s="1"/>
  <c r="EO56" i="37"/>
  <c r="EP56" i="37" s="1"/>
  <c r="EQ56" i="37" s="1"/>
  <c r="ES56" i="37" s="1"/>
  <c r="DU57" i="37"/>
  <c r="DV57" i="37" s="1"/>
  <c r="DW57" i="37" s="1"/>
  <c r="DY57" i="37" s="1"/>
  <c r="DA58" i="37"/>
  <c r="DB58" i="37" s="1"/>
  <c r="DC58" i="37" s="1"/>
  <c r="DE58" i="37" s="1"/>
  <c r="CG59" i="37"/>
  <c r="CH59" i="37" s="1"/>
  <c r="CI59" i="37" s="1"/>
  <c r="CK59" i="37" s="1"/>
  <c r="BM60" i="37"/>
  <c r="BN60" i="37" s="1"/>
  <c r="BO60" i="37" s="1"/>
  <c r="BQ60" i="37" s="1"/>
  <c r="EO60" i="37"/>
  <c r="EP60" i="37" s="1"/>
  <c r="EQ60" i="37" s="1"/>
  <c r="ES60" i="37" s="1"/>
  <c r="DU61" i="37"/>
  <c r="DV61" i="37" s="1"/>
  <c r="DW61" i="37" s="1"/>
  <c r="DY61" i="37" s="1"/>
  <c r="DA62" i="37"/>
  <c r="DB62" i="37" s="1"/>
  <c r="DC62" i="37" s="1"/>
  <c r="DE62" i="37" s="1"/>
  <c r="CG63" i="37"/>
  <c r="CH63" i="37" s="1"/>
  <c r="CI63" i="37" s="1"/>
  <c r="CK63" i="37" s="1"/>
  <c r="BM64" i="37"/>
  <c r="BN64" i="37" s="1"/>
  <c r="BO64" i="37" s="1"/>
  <c r="BQ64" i="37" s="1"/>
  <c r="EO64" i="37"/>
  <c r="EP64" i="37" s="1"/>
  <c r="EQ64" i="37" s="1"/>
  <c r="ES64" i="37" s="1"/>
  <c r="DU65" i="37"/>
  <c r="DV65" i="37" s="1"/>
  <c r="DW65" i="37" s="1"/>
  <c r="DY65" i="37" s="1"/>
  <c r="DA66" i="37"/>
  <c r="DB66" i="37" s="1"/>
  <c r="DC66" i="37" s="1"/>
  <c r="DE66" i="37" s="1"/>
  <c r="CG67" i="37"/>
  <c r="CH67" i="37" s="1"/>
  <c r="CI67" i="37" s="1"/>
  <c r="CK67" i="37" s="1"/>
  <c r="BM68" i="37"/>
  <c r="BN68" i="37" s="1"/>
  <c r="BO68" i="37" s="1"/>
  <c r="BQ68" i="37" s="1"/>
  <c r="EO68" i="37"/>
  <c r="EP68" i="37" s="1"/>
  <c r="EQ68" i="37" s="1"/>
  <c r="ES68" i="37" s="1"/>
  <c r="DU69" i="37"/>
  <c r="DV69" i="37" s="1"/>
  <c r="DW69" i="37" s="1"/>
  <c r="DY69" i="37" s="1"/>
  <c r="DA70" i="37"/>
  <c r="DB70" i="37" s="1"/>
  <c r="DC70" i="37" s="1"/>
  <c r="DE70" i="37" s="1"/>
  <c r="CG71" i="37"/>
  <c r="CH71" i="37" s="1"/>
  <c r="CI71" i="37" s="1"/>
  <c r="CK71" i="37" s="1"/>
  <c r="BM72" i="37"/>
  <c r="BN72" i="37" s="1"/>
  <c r="BO72" i="37" s="1"/>
  <c r="BQ72" i="37" s="1"/>
  <c r="EO72" i="37"/>
  <c r="EP72" i="37" s="1"/>
  <c r="EQ72" i="37" s="1"/>
  <c r="ES72" i="37" s="1"/>
  <c r="DU73" i="37"/>
  <c r="DV73" i="37" s="1"/>
  <c r="DW73" i="37" s="1"/>
  <c r="DY73" i="37" s="1"/>
  <c r="DA74" i="37"/>
  <c r="DB74" i="37" s="1"/>
  <c r="DC74" i="37" s="1"/>
  <c r="DE74" i="37" s="1"/>
  <c r="CG75" i="37"/>
  <c r="CH75" i="37" s="1"/>
  <c r="CI75" i="37" s="1"/>
  <c r="CK75" i="37" s="1"/>
  <c r="BM76" i="37"/>
  <c r="BN76" i="37" s="1"/>
  <c r="BO76" i="37" s="1"/>
  <c r="BQ76" i="37" s="1"/>
  <c r="EO76" i="37"/>
  <c r="EP76" i="37" s="1"/>
  <c r="EQ76" i="37" s="1"/>
  <c r="ES76" i="37" s="1"/>
  <c r="DU77" i="37"/>
  <c r="DV77" i="37" s="1"/>
  <c r="DW77" i="37" s="1"/>
  <c r="DY77" i="37" s="1"/>
  <c r="DA78" i="37"/>
  <c r="DB78" i="37" s="1"/>
  <c r="DC78" i="37" s="1"/>
  <c r="DE78" i="37" s="1"/>
  <c r="CG79" i="37"/>
  <c r="CH79" i="37" s="1"/>
  <c r="CI79" i="37" s="1"/>
  <c r="CK79" i="37" s="1"/>
  <c r="BM80" i="37"/>
  <c r="BN80" i="37" s="1"/>
  <c r="BO80" i="37" s="1"/>
  <c r="BQ80" i="37" s="1"/>
  <c r="EO80" i="37"/>
  <c r="EP80" i="37" s="1"/>
  <c r="EQ80" i="37" s="1"/>
  <c r="ES80" i="37" s="1"/>
  <c r="DU81" i="37"/>
  <c r="DV81" i="37" s="1"/>
  <c r="DW81" i="37" s="1"/>
  <c r="DY81" i="37" s="1"/>
  <c r="DA82" i="37"/>
  <c r="DB82" i="37" s="1"/>
  <c r="DC82" i="37" s="1"/>
  <c r="DE82" i="37" s="1"/>
  <c r="CG83" i="37"/>
  <c r="CH83" i="37" s="1"/>
  <c r="CI83" i="37" s="1"/>
  <c r="CK83" i="37" s="1"/>
  <c r="BM84" i="37"/>
  <c r="BN84" i="37" s="1"/>
  <c r="BO84" i="37" s="1"/>
  <c r="BQ84" i="37" s="1"/>
  <c r="EO84" i="37"/>
  <c r="EP84" i="37" s="1"/>
  <c r="EQ84" i="37" s="1"/>
  <c r="ES84" i="37" s="1"/>
  <c r="DU85" i="37"/>
  <c r="DV85" i="37" s="1"/>
  <c r="DW85" i="37" s="1"/>
  <c r="DY85" i="37" s="1"/>
  <c r="CG87" i="37"/>
  <c r="CH87" i="37" s="1"/>
  <c r="CI87" i="37" s="1"/>
  <c r="CK87" i="37" s="1"/>
  <c r="BM95" i="37"/>
  <c r="BN95" i="37" s="1"/>
  <c r="BO95" i="37" s="1"/>
  <c r="BQ95" i="37" s="1"/>
  <c r="CG102" i="37"/>
  <c r="CH102" i="37" s="1"/>
  <c r="CI102" i="37" s="1"/>
  <c r="CK102" i="37" s="1"/>
  <c r="EE301" i="37"/>
  <c r="EF301" i="37" s="1"/>
  <c r="EG301" i="37" s="1"/>
  <c r="EI301" i="37" s="1"/>
  <c r="EE293" i="37"/>
  <c r="EF293" i="37" s="1"/>
  <c r="EG293" i="37" s="1"/>
  <c r="EI293" i="37" s="1"/>
  <c r="EE285" i="37"/>
  <c r="EF285" i="37" s="1"/>
  <c r="EG285" i="37" s="1"/>
  <c r="EI285" i="37" s="1"/>
  <c r="EE277" i="37"/>
  <c r="EF277" i="37" s="1"/>
  <c r="EG277" i="37" s="1"/>
  <c r="EI277" i="37" s="1"/>
  <c r="EE272" i="37"/>
  <c r="EF272" i="37" s="1"/>
  <c r="EG272" i="37" s="1"/>
  <c r="EI272" i="37" s="1"/>
  <c r="EE264" i="37"/>
  <c r="EF264" i="37" s="1"/>
  <c r="EG264" i="37" s="1"/>
  <c r="EI264" i="37" s="1"/>
  <c r="EE174" i="37"/>
  <c r="EF174" i="37" s="1"/>
  <c r="EG174" i="37" s="1"/>
  <c r="EI174" i="37" s="1"/>
  <c r="EE217" i="37"/>
  <c r="EF217" i="37" s="1"/>
  <c r="EG217" i="37" s="1"/>
  <c r="EI217" i="37" s="1"/>
  <c r="EE209" i="37"/>
  <c r="EF209" i="37" s="1"/>
  <c r="EG209" i="37" s="1"/>
  <c r="EI209" i="37" s="1"/>
  <c r="EE201" i="37"/>
  <c r="EF201" i="37" s="1"/>
  <c r="EG201" i="37" s="1"/>
  <c r="EI201" i="37" s="1"/>
  <c r="EE193" i="37"/>
  <c r="EF193" i="37" s="1"/>
  <c r="EG193" i="37" s="1"/>
  <c r="EI193" i="37" s="1"/>
  <c r="EE176" i="37"/>
  <c r="EF176" i="37" s="1"/>
  <c r="EG176" i="37" s="1"/>
  <c r="EI176" i="37" s="1"/>
  <c r="EE166" i="37"/>
  <c r="EF166" i="37" s="1"/>
  <c r="EG166" i="37" s="1"/>
  <c r="EI166" i="37" s="1"/>
  <c r="EE158" i="37"/>
  <c r="EF158" i="37" s="1"/>
  <c r="EG158" i="37" s="1"/>
  <c r="EI158" i="37" s="1"/>
  <c r="BC313" i="37"/>
  <c r="BD313" i="37" s="1"/>
  <c r="BE313" i="37" s="1"/>
  <c r="BG313" i="37" s="1"/>
  <c r="DK314" i="37"/>
  <c r="DL314" i="37" s="1"/>
  <c r="DM314" i="37" s="1"/>
  <c r="DO314" i="37" s="1"/>
  <c r="BW59" i="38"/>
  <c r="BX59" i="38" s="1"/>
  <c r="BY59" i="38" s="1"/>
  <c r="CA59" i="38" s="1"/>
  <c r="BW185" i="38"/>
  <c r="BX185" i="38" s="1"/>
  <c r="BY185" i="38" s="1"/>
  <c r="CA185" i="38" s="1"/>
  <c r="BW169" i="38"/>
  <c r="BX169" i="38" s="1"/>
  <c r="BY169" i="38" s="1"/>
  <c r="CA169" i="38" s="1"/>
  <c r="BW153" i="38"/>
  <c r="BX153" i="38" s="1"/>
  <c r="BY153" i="38" s="1"/>
  <c r="CA153" i="38" s="1"/>
  <c r="BW138" i="38"/>
  <c r="BX138" i="38" s="1"/>
  <c r="BY138" i="38" s="1"/>
  <c r="CA138" i="38" s="1"/>
  <c r="BW122" i="38"/>
  <c r="BX122" i="38" s="1"/>
  <c r="BY122" i="38" s="1"/>
  <c r="CA122" i="38" s="1"/>
  <c r="BW56" i="38"/>
  <c r="BX56" i="38" s="1"/>
  <c r="BY56" i="38" s="1"/>
  <c r="CA56" i="38" s="1"/>
  <c r="BW108" i="38"/>
  <c r="BX108" i="38" s="1"/>
  <c r="BY108" i="38" s="1"/>
  <c r="CA108" i="38" s="1"/>
  <c r="BW14" i="38"/>
  <c r="BX14" i="38" s="1"/>
  <c r="BY14" i="38" s="1"/>
  <c r="CA14" i="38" s="1"/>
  <c r="BW13" i="38"/>
  <c r="BX13" i="38" s="1"/>
  <c r="BY13" i="38" s="1"/>
  <c r="CA13" i="38" s="1"/>
  <c r="BW18" i="38"/>
  <c r="BX18" i="38" s="1"/>
  <c r="BY18" i="38" s="1"/>
  <c r="CA18" i="38" s="1"/>
  <c r="BM72" i="38"/>
  <c r="BN72" i="38" s="1"/>
  <c r="BO72" i="38" s="1"/>
  <c r="BQ72" i="38" s="1"/>
  <c r="BM90" i="38"/>
  <c r="BN90" i="38" s="1"/>
  <c r="BO90" i="38" s="1"/>
  <c r="BQ90" i="38" s="1"/>
  <c r="BM32" i="38"/>
  <c r="BN32" i="38" s="1"/>
  <c r="BO32" i="38" s="1"/>
  <c r="BQ32" i="38" s="1"/>
  <c r="BM84" i="38"/>
  <c r="BN84" i="38" s="1"/>
  <c r="BO84" i="38" s="1"/>
  <c r="BQ84" i="38" s="1"/>
  <c r="BM67" i="38"/>
  <c r="BN67" i="38" s="1"/>
  <c r="BO67" i="38" s="1"/>
  <c r="BQ67" i="38" s="1"/>
  <c r="BM48" i="38"/>
  <c r="BN48" i="38" s="1"/>
  <c r="BO48" i="38" s="1"/>
  <c r="BQ48" i="38" s="1"/>
  <c r="BM40" i="38"/>
  <c r="BN40" i="38" s="1"/>
  <c r="BO40" i="38" s="1"/>
  <c r="BQ40" i="38" s="1"/>
  <c r="BM12" i="38"/>
  <c r="BN12" i="38" s="1"/>
  <c r="BO12" i="38" s="1"/>
  <c r="BQ12" i="38" s="1"/>
  <c r="BC236" i="38"/>
  <c r="BD236" i="38" s="1"/>
  <c r="BE236" i="38" s="1"/>
  <c r="BG236" i="38" s="1"/>
  <c r="BC221" i="38"/>
  <c r="BD221" i="38" s="1"/>
  <c r="BE221" i="38" s="1"/>
  <c r="BG221" i="38" s="1"/>
  <c r="BC205" i="38"/>
  <c r="BD205" i="38" s="1"/>
  <c r="BE205" i="38" s="1"/>
  <c r="BG205" i="38" s="1"/>
  <c r="BC179" i="38"/>
  <c r="BD179" i="38" s="1"/>
  <c r="BE179" i="38" s="1"/>
  <c r="BG179" i="38" s="1"/>
  <c r="BC132" i="38"/>
  <c r="BD132" i="38" s="1"/>
  <c r="BE132" i="38" s="1"/>
  <c r="BG132" i="38" s="1"/>
  <c r="BC245" i="38"/>
  <c r="BD245" i="38" s="1"/>
  <c r="BE245" i="38" s="1"/>
  <c r="BG245" i="38" s="1"/>
  <c r="BC228" i="38"/>
  <c r="BD228" i="38" s="1"/>
  <c r="BE228" i="38" s="1"/>
  <c r="BG228" i="38" s="1"/>
  <c r="BC212" i="38"/>
  <c r="BD212" i="38" s="1"/>
  <c r="BE212" i="38" s="1"/>
  <c r="BG212" i="38" s="1"/>
  <c r="BC193" i="38"/>
  <c r="BD193" i="38" s="1"/>
  <c r="BE193" i="38" s="1"/>
  <c r="BG193" i="38" s="1"/>
  <c r="BC152" i="38"/>
  <c r="BD152" i="38" s="1"/>
  <c r="BE152" i="38" s="1"/>
  <c r="BG152" i="38" s="1"/>
  <c r="BC146" i="38"/>
  <c r="BD146" i="38" s="1"/>
  <c r="BE146" i="38" s="1"/>
  <c r="BG146" i="38" s="1"/>
  <c r="BC116" i="38"/>
  <c r="BD116" i="38" s="1"/>
  <c r="BE116" i="38" s="1"/>
  <c r="BG116" i="38" s="1"/>
  <c r="BC100" i="38"/>
  <c r="BD100" i="38" s="1"/>
  <c r="BE100" i="38" s="1"/>
  <c r="BG100" i="38" s="1"/>
  <c r="BC190" i="38"/>
  <c r="BD190" i="38" s="1"/>
  <c r="BE190" i="38" s="1"/>
  <c r="BG190" i="38" s="1"/>
  <c r="BC174" i="38"/>
  <c r="BD174" i="38" s="1"/>
  <c r="BE174" i="38" s="1"/>
  <c r="BG174" i="38" s="1"/>
  <c r="BC157" i="38"/>
  <c r="BD157" i="38" s="1"/>
  <c r="BE157" i="38" s="1"/>
  <c r="BG157" i="38" s="1"/>
  <c r="BC141" i="38"/>
  <c r="BD141" i="38" s="1"/>
  <c r="BE141" i="38" s="1"/>
  <c r="BG141" i="38" s="1"/>
  <c r="BC125" i="38"/>
  <c r="BD125" i="38" s="1"/>
  <c r="BE125" i="38" s="1"/>
  <c r="BG125" i="38" s="1"/>
  <c r="BC102" i="38"/>
  <c r="BD102" i="38" s="1"/>
  <c r="BE102" i="38" s="1"/>
  <c r="BG102" i="38" s="1"/>
  <c r="BC109" i="38"/>
  <c r="BD109" i="38" s="1"/>
  <c r="BE109" i="38" s="1"/>
  <c r="BG109" i="38" s="1"/>
  <c r="BC55" i="38"/>
  <c r="BD55" i="38" s="1"/>
  <c r="BE55" i="38" s="1"/>
  <c r="BG55" i="38" s="1"/>
  <c r="BC27" i="38"/>
  <c r="BD27" i="38" s="1"/>
  <c r="BE27" i="38" s="1"/>
  <c r="BG27" i="38" s="1"/>
  <c r="CG156" i="37"/>
  <c r="CH156" i="37" s="1"/>
  <c r="CI156" i="37" s="1"/>
  <c r="CK156" i="37" s="1"/>
  <c r="CQ347" i="37"/>
  <c r="CR347" i="37" s="1"/>
  <c r="CS347" i="37" s="1"/>
  <c r="CU347" i="37" s="1"/>
  <c r="EO348" i="37"/>
  <c r="EP348" i="37" s="1"/>
  <c r="EQ348" i="37" s="1"/>
  <c r="ES348" i="37" s="1"/>
  <c r="CG11" i="37"/>
  <c r="CH11" i="37" s="1"/>
  <c r="CI11" i="37" s="1"/>
  <c r="CK11" i="37" s="1"/>
  <c r="EO12" i="37"/>
  <c r="EP12" i="37" s="1"/>
  <c r="EQ12" i="37" s="1"/>
  <c r="ES12" i="37" s="1"/>
  <c r="BW36" i="37"/>
  <c r="BX36" i="37" s="1"/>
  <c r="BY36" i="37" s="1"/>
  <c r="CA36" i="37" s="1"/>
  <c r="DU38" i="37"/>
  <c r="DV38" i="37" s="1"/>
  <c r="DW38" i="37" s="1"/>
  <c r="DY38" i="37" s="1"/>
  <c r="CG40" i="37"/>
  <c r="CH40" i="37" s="1"/>
  <c r="CI40" i="37" s="1"/>
  <c r="CK40" i="37" s="1"/>
  <c r="EO41" i="37"/>
  <c r="EP41" i="37" s="1"/>
  <c r="EQ41" i="37" s="1"/>
  <c r="ES41" i="37" s="1"/>
  <c r="DA43" i="37"/>
  <c r="DB43" i="37" s="1"/>
  <c r="DC43" i="37" s="1"/>
  <c r="DE43" i="37" s="1"/>
  <c r="BM45" i="37"/>
  <c r="BN45" i="37" s="1"/>
  <c r="BO45" i="37" s="1"/>
  <c r="BQ45" i="37" s="1"/>
  <c r="DU46" i="37"/>
  <c r="DV46" i="37" s="1"/>
  <c r="DW46" i="37" s="1"/>
  <c r="DY46" i="37" s="1"/>
  <c r="CG48" i="37"/>
  <c r="CH48" i="37" s="1"/>
  <c r="CI48" i="37" s="1"/>
  <c r="CK48" i="37" s="1"/>
  <c r="CQ49" i="37"/>
  <c r="CR49" i="37" s="1"/>
  <c r="CS49" i="37" s="1"/>
  <c r="CU49" i="37" s="1"/>
  <c r="BW50" i="37"/>
  <c r="BX50" i="37" s="1"/>
  <c r="BY50" i="37" s="1"/>
  <c r="CA50" i="37" s="1"/>
  <c r="BC51" i="37"/>
  <c r="BD51" i="37" s="1"/>
  <c r="BE51" i="37" s="1"/>
  <c r="BG51" i="37" s="1"/>
  <c r="EE51" i="37"/>
  <c r="EF51" i="37" s="1"/>
  <c r="EG51" i="37" s="1"/>
  <c r="EI51" i="37" s="1"/>
  <c r="BM53" i="37"/>
  <c r="BN53" i="37" s="1"/>
  <c r="BO53" i="37" s="1"/>
  <c r="BQ53" i="37" s="1"/>
  <c r="DK54" i="37"/>
  <c r="DL54" i="37" s="1"/>
  <c r="DM54" i="37" s="1"/>
  <c r="DO54" i="37" s="1"/>
  <c r="CQ55" i="37"/>
  <c r="CR55" i="37" s="1"/>
  <c r="CS55" i="37" s="1"/>
  <c r="CU55" i="37" s="1"/>
  <c r="BW56" i="37"/>
  <c r="BX56" i="37" s="1"/>
  <c r="BY56" i="37" s="1"/>
  <c r="CA56" i="37" s="1"/>
  <c r="BC57" i="37"/>
  <c r="BD57" i="37" s="1"/>
  <c r="BE57" i="37" s="1"/>
  <c r="BG57" i="37" s="1"/>
  <c r="EE57" i="37"/>
  <c r="EF57" i="37" s="1"/>
  <c r="EG57" i="37" s="1"/>
  <c r="EI57" i="37" s="1"/>
  <c r="DK58" i="37"/>
  <c r="DL58" i="37" s="1"/>
  <c r="DM58" i="37" s="1"/>
  <c r="DO58" i="37" s="1"/>
  <c r="CQ59" i="37"/>
  <c r="CR59" i="37" s="1"/>
  <c r="CS59" i="37" s="1"/>
  <c r="CU59" i="37" s="1"/>
  <c r="BW60" i="37"/>
  <c r="BX60" i="37" s="1"/>
  <c r="BY60" i="37" s="1"/>
  <c r="CA60" i="37" s="1"/>
  <c r="BC61" i="37"/>
  <c r="BD61" i="37" s="1"/>
  <c r="BE61" i="37" s="1"/>
  <c r="BG61" i="37" s="1"/>
  <c r="EE61" i="37"/>
  <c r="EF61" i="37" s="1"/>
  <c r="EG61" i="37" s="1"/>
  <c r="EI61" i="37" s="1"/>
  <c r="DK62" i="37"/>
  <c r="DL62" i="37" s="1"/>
  <c r="DM62" i="37" s="1"/>
  <c r="DO62" i="37" s="1"/>
  <c r="CQ63" i="37"/>
  <c r="CR63" i="37" s="1"/>
  <c r="CS63" i="37" s="1"/>
  <c r="CU63" i="37" s="1"/>
  <c r="BW64" i="37"/>
  <c r="BX64" i="37" s="1"/>
  <c r="BY64" i="37" s="1"/>
  <c r="CA64" i="37" s="1"/>
  <c r="BC65" i="37"/>
  <c r="BD65" i="37" s="1"/>
  <c r="BE65" i="37" s="1"/>
  <c r="BG65" i="37" s="1"/>
  <c r="EE65" i="37"/>
  <c r="EF65" i="37" s="1"/>
  <c r="EG65" i="37" s="1"/>
  <c r="EI65" i="37" s="1"/>
  <c r="DK66" i="37"/>
  <c r="DL66" i="37" s="1"/>
  <c r="DM66" i="37" s="1"/>
  <c r="DO66" i="37" s="1"/>
  <c r="CQ67" i="37"/>
  <c r="CR67" i="37" s="1"/>
  <c r="CS67" i="37" s="1"/>
  <c r="CU67" i="37" s="1"/>
  <c r="BW68" i="37"/>
  <c r="BX68" i="37" s="1"/>
  <c r="BY68" i="37" s="1"/>
  <c r="CA68" i="37" s="1"/>
  <c r="BC69" i="37"/>
  <c r="BD69" i="37" s="1"/>
  <c r="BE69" i="37" s="1"/>
  <c r="BG69" i="37" s="1"/>
  <c r="EE69" i="37"/>
  <c r="EF69" i="37" s="1"/>
  <c r="EG69" i="37" s="1"/>
  <c r="EI69" i="37" s="1"/>
  <c r="DK70" i="37"/>
  <c r="DL70" i="37" s="1"/>
  <c r="DM70" i="37" s="1"/>
  <c r="DO70" i="37" s="1"/>
  <c r="CQ71" i="37"/>
  <c r="CR71" i="37" s="1"/>
  <c r="CS71" i="37" s="1"/>
  <c r="CU71" i="37" s="1"/>
  <c r="BW72" i="37"/>
  <c r="BX72" i="37" s="1"/>
  <c r="BY72" i="37" s="1"/>
  <c r="CA72" i="37" s="1"/>
  <c r="BC73" i="37"/>
  <c r="BD73" i="37" s="1"/>
  <c r="BE73" i="37" s="1"/>
  <c r="BG73" i="37" s="1"/>
  <c r="EE73" i="37"/>
  <c r="EF73" i="37" s="1"/>
  <c r="EG73" i="37" s="1"/>
  <c r="EI73" i="37" s="1"/>
  <c r="DK74" i="37"/>
  <c r="DL74" i="37" s="1"/>
  <c r="DM74" i="37" s="1"/>
  <c r="DO74" i="37" s="1"/>
  <c r="CQ75" i="37"/>
  <c r="CR75" i="37" s="1"/>
  <c r="CS75" i="37" s="1"/>
  <c r="CU75" i="37" s="1"/>
  <c r="BW76" i="37"/>
  <c r="BX76" i="37" s="1"/>
  <c r="BY76" i="37" s="1"/>
  <c r="CA76" i="37" s="1"/>
  <c r="BC77" i="37"/>
  <c r="BD77" i="37" s="1"/>
  <c r="BE77" i="37" s="1"/>
  <c r="BG77" i="37" s="1"/>
  <c r="EE77" i="37"/>
  <c r="EF77" i="37" s="1"/>
  <c r="EG77" i="37" s="1"/>
  <c r="EI77" i="37" s="1"/>
  <c r="DK78" i="37"/>
  <c r="DL78" i="37" s="1"/>
  <c r="DM78" i="37" s="1"/>
  <c r="DO78" i="37" s="1"/>
  <c r="CQ79" i="37"/>
  <c r="CR79" i="37" s="1"/>
  <c r="CS79" i="37" s="1"/>
  <c r="CU79" i="37" s="1"/>
  <c r="BW80" i="37"/>
  <c r="BX80" i="37" s="1"/>
  <c r="BY80" i="37" s="1"/>
  <c r="CA80" i="37" s="1"/>
  <c r="BC81" i="37"/>
  <c r="BD81" i="37" s="1"/>
  <c r="BE81" i="37" s="1"/>
  <c r="BG81" i="37" s="1"/>
  <c r="EE81" i="37"/>
  <c r="EF81" i="37" s="1"/>
  <c r="EG81" i="37" s="1"/>
  <c r="EI81" i="37" s="1"/>
  <c r="DK82" i="37"/>
  <c r="DL82" i="37" s="1"/>
  <c r="DM82" i="37" s="1"/>
  <c r="DO82" i="37" s="1"/>
  <c r="CQ83" i="37"/>
  <c r="CR83" i="37" s="1"/>
  <c r="CS83" i="37" s="1"/>
  <c r="CU83" i="37" s="1"/>
  <c r="BW84" i="37"/>
  <c r="BX84" i="37" s="1"/>
  <c r="BY84" i="37" s="1"/>
  <c r="CA84" i="37" s="1"/>
  <c r="BC85" i="37"/>
  <c r="BD85" i="37" s="1"/>
  <c r="BE85" i="37" s="1"/>
  <c r="BG85" i="37" s="1"/>
  <c r="EE85" i="37"/>
  <c r="EF85" i="37" s="1"/>
  <c r="EG85" i="37" s="1"/>
  <c r="EI85" i="37" s="1"/>
  <c r="DK86" i="37"/>
  <c r="DL86" i="37" s="1"/>
  <c r="DM86" i="37" s="1"/>
  <c r="DO86" i="37" s="1"/>
  <c r="CG88" i="37"/>
  <c r="CH88" i="37" s="1"/>
  <c r="CI88" i="37" s="1"/>
  <c r="CK88" i="37" s="1"/>
  <c r="BM94" i="37"/>
  <c r="BN94" i="37" s="1"/>
  <c r="BO94" i="37" s="1"/>
  <c r="BQ94" i="37" s="1"/>
  <c r="BM101" i="37"/>
  <c r="BN101" i="37" s="1"/>
  <c r="BO101" i="37" s="1"/>
  <c r="BQ101" i="37" s="1"/>
  <c r="EE106" i="37"/>
  <c r="EF106" i="37" s="1"/>
  <c r="EG106" i="37" s="1"/>
  <c r="EI106" i="37" s="1"/>
  <c r="EE298" i="37"/>
  <c r="EF298" i="37" s="1"/>
  <c r="EG298" i="37" s="1"/>
  <c r="EI298" i="37" s="1"/>
  <c r="EE290" i="37"/>
  <c r="EF290" i="37" s="1"/>
  <c r="EG290" i="37" s="1"/>
  <c r="EI290" i="37" s="1"/>
  <c r="EE282" i="37"/>
  <c r="EF282" i="37" s="1"/>
  <c r="EG282" i="37" s="1"/>
  <c r="EI282" i="37" s="1"/>
  <c r="EE309" i="37"/>
  <c r="EF309" i="37" s="1"/>
  <c r="EG309" i="37" s="1"/>
  <c r="EI309" i="37" s="1"/>
  <c r="EE269" i="37"/>
  <c r="EF269" i="37" s="1"/>
  <c r="EG269" i="37" s="1"/>
  <c r="EI269" i="37" s="1"/>
  <c r="EE261" i="37"/>
  <c r="EF261" i="37" s="1"/>
  <c r="EG261" i="37" s="1"/>
  <c r="EI261" i="37" s="1"/>
  <c r="EE121" i="37"/>
  <c r="EF121" i="37" s="1"/>
  <c r="EG121" i="37" s="1"/>
  <c r="EI121" i="37" s="1"/>
  <c r="EE214" i="37"/>
  <c r="EF214" i="37" s="1"/>
  <c r="EG214" i="37" s="1"/>
  <c r="EI214" i="37" s="1"/>
  <c r="EE206" i="37"/>
  <c r="EF206" i="37" s="1"/>
  <c r="EG206" i="37" s="1"/>
  <c r="EI206" i="37" s="1"/>
  <c r="EE198" i="37"/>
  <c r="EF198" i="37" s="1"/>
  <c r="EG198" i="37" s="1"/>
  <c r="EI198" i="37" s="1"/>
  <c r="EE182" i="37"/>
  <c r="EF182" i="37" s="1"/>
  <c r="EG182" i="37" s="1"/>
  <c r="EI182" i="37" s="1"/>
  <c r="EE171" i="37"/>
  <c r="EF171" i="37" s="1"/>
  <c r="EG171" i="37" s="1"/>
  <c r="EI171" i="37" s="1"/>
  <c r="EE163" i="37"/>
  <c r="EF163" i="37" s="1"/>
  <c r="EG163" i="37" s="1"/>
  <c r="EI163" i="37" s="1"/>
  <c r="EE124" i="37"/>
  <c r="EF124" i="37" s="1"/>
  <c r="EG124" i="37" s="1"/>
  <c r="EI124" i="37" s="1"/>
  <c r="DK313" i="37"/>
  <c r="DL313" i="37" s="1"/>
  <c r="DM313" i="37" s="1"/>
  <c r="DO313" i="37" s="1"/>
  <c r="BW315" i="37"/>
  <c r="BX315" i="37" s="1"/>
  <c r="BY315" i="37" s="1"/>
  <c r="CA315" i="37" s="1"/>
  <c r="EE316" i="37"/>
  <c r="EF316" i="37" s="1"/>
  <c r="EG316" i="37" s="1"/>
  <c r="EI316" i="37" s="1"/>
  <c r="CQ318" i="37"/>
  <c r="CR318" i="37" s="1"/>
  <c r="CS318" i="37" s="1"/>
  <c r="CU318" i="37" s="1"/>
  <c r="BC320" i="37"/>
  <c r="BD320" i="37" s="1"/>
  <c r="BE320" i="37" s="1"/>
  <c r="BG320" i="37" s="1"/>
  <c r="DK321" i="37"/>
  <c r="DL321" i="37" s="1"/>
  <c r="DM321" i="37" s="1"/>
  <c r="DO321" i="37" s="1"/>
  <c r="BW323" i="37"/>
  <c r="BX323" i="37" s="1"/>
  <c r="BY323" i="37" s="1"/>
  <c r="CA323" i="37" s="1"/>
  <c r="EE324" i="37"/>
  <c r="EF324" i="37" s="1"/>
  <c r="EG324" i="37" s="1"/>
  <c r="EI324" i="37" s="1"/>
  <c r="CQ326" i="37"/>
  <c r="CR326" i="37" s="1"/>
  <c r="CS326" i="37" s="1"/>
  <c r="CU326" i="37" s="1"/>
  <c r="BC328" i="37"/>
  <c r="BD328" i="37" s="1"/>
  <c r="BE328" i="37" s="1"/>
  <c r="BG328" i="37" s="1"/>
  <c r="DK329" i="37"/>
  <c r="DL329" i="37" s="1"/>
  <c r="DM329" i="37" s="1"/>
  <c r="DO329" i="37" s="1"/>
  <c r="BW331" i="37"/>
  <c r="BX331" i="37" s="1"/>
  <c r="BY331" i="37" s="1"/>
  <c r="CA331" i="37" s="1"/>
  <c r="EE332" i="37"/>
  <c r="EF332" i="37" s="1"/>
  <c r="EG332" i="37" s="1"/>
  <c r="EI332" i="37" s="1"/>
  <c r="CQ334" i="37"/>
  <c r="CR334" i="37" s="1"/>
  <c r="CS334" i="37" s="1"/>
  <c r="CU334" i="37" s="1"/>
  <c r="BC336" i="37"/>
  <c r="BD336" i="37" s="1"/>
  <c r="BE336" i="37" s="1"/>
  <c r="BG336" i="37" s="1"/>
  <c r="DK337" i="37"/>
  <c r="DL337" i="37" s="1"/>
  <c r="DM337" i="37" s="1"/>
  <c r="DO337" i="37" s="1"/>
  <c r="BW339" i="37"/>
  <c r="BX339" i="37" s="1"/>
  <c r="BY339" i="37" s="1"/>
  <c r="CA339" i="37" s="1"/>
  <c r="EE340" i="37"/>
  <c r="EF340" i="37" s="1"/>
  <c r="EG340" i="37" s="1"/>
  <c r="EI340" i="37" s="1"/>
  <c r="CQ342" i="37"/>
  <c r="CR342" i="37" s="1"/>
  <c r="CS342" i="37" s="1"/>
  <c r="CU342" i="37" s="1"/>
  <c r="BC344" i="37"/>
  <c r="BD344" i="37" s="1"/>
  <c r="BE344" i="37" s="1"/>
  <c r="BG344" i="37" s="1"/>
  <c r="DK345" i="37"/>
  <c r="DL345" i="37" s="1"/>
  <c r="DM345" i="37" s="1"/>
  <c r="DO345" i="37" s="1"/>
  <c r="BM347" i="37"/>
  <c r="BN347" i="37" s="1"/>
  <c r="BO347" i="37" s="1"/>
  <c r="BQ347" i="37" s="1"/>
  <c r="EE348" i="37"/>
  <c r="EF348" i="37" s="1"/>
  <c r="EG348" i="37" s="1"/>
  <c r="EI348" i="37" s="1"/>
  <c r="DA11" i="37"/>
  <c r="DB11" i="37" s="1"/>
  <c r="DC11" i="37" s="1"/>
  <c r="DE11" i="37" s="1"/>
  <c r="BM13" i="37"/>
  <c r="BN13" i="37" s="1"/>
  <c r="BO13" i="37" s="1"/>
  <c r="BQ13" i="37" s="1"/>
  <c r="EE36" i="37"/>
  <c r="EF36" i="37" s="1"/>
  <c r="EG36" i="37" s="1"/>
  <c r="EI36" i="37" s="1"/>
  <c r="EO37" i="37"/>
  <c r="EP37" i="37" s="1"/>
  <c r="EQ37" i="37" s="1"/>
  <c r="ES37" i="37" s="1"/>
  <c r="BC39" i="37"/>
  <c r="BD39" i="37" s="1"/>
  <c r="BE39" i="37" s="1"/>
  <c r="BG39" i="37" s="1"/>
  <c r="DK40" i="37"/>
  <c r="DL40" i="37" s="1"/>
  <c r="DM40" i="37" s="1"/>
  <c r="DO40" i="37" s="1"/>
  <c r="BW42" i="37"/>
  <c r="BX42" i="37" s="1"/>
  <c r="BY42" i="37" s="1"/>
  <c r="CA42" i="37" s="1"/>
  <c r="CQ15" i="37"/>
  <c r="CR15" i="37" s="1"/>
  <c r="CS15" i="37" s="1"/>
  <c r="CU15" i="37" s="1"/>
  <c r="EE17" i="37"/>
  <c r="EF17" i="37" s="1"/>
  <c r="EG17" i="37" s="1"/>
  <c r="EI17" i="37" s="1"/>
  <c r="CQ19" i="37"/>
  <c r="CR19" i="37" s="1"/>
  <c r="CS19" i="37" s="1"/>
  <c r="CU19" i="37" s="1"/>
  <c r="BC21" i="37"/>
  <c r="BD21" i="37" s="1"/>
  <c r="BE21" i="37" s="1"/>
  <c r="BG21" i="37" s="1"/>
  <c r="DK22" i="37"/>
  <c r="DL22" i="37" s="1"/>
  <c r="DM22" i="37" s="1"/>
  <c r="DO22" i="37" s="1"/>
  <c r="BW24" i="37"/>
  <c r="BX24" i="37" s="1"/>
  <c r="BY24" i="37" s="1"/>
  <c r="CA24" i="37" s="1"/>
  <c r="EE25" i="37"/>
  <c r="EF25" i="37" s="1"/>
  <c r="EG25" i="37" s="1"/>
  <c r="EI25" i="37" s="1"/>
  <c r="CQ27" i="37"/>
  <c r="CR27" i="37" s="1"/>
  <c r="CS27" i="37" s="1"/>
  <c r="CU27" i="37" s="1"/>
  <c r="DU15" i="37"/>
  <c r="DV15" i="37" s="1"/>
  <c r="DW15" i="37" s="1"/>
  <c r="DY15" i="37" s="1"/>
  <c r="CG17" i="37"/>
  <c r="CH17" i="37" s="1"/>
  <c r="CI17" i="37" s="1"/>
  <c r="CK17" i="37" s="1"/>
  <c r="EO18" i="37"/>
  <c r="EP18" i="37" s="1"/>
  <c r="EQ18" i="37" s="1"/>
  <c r="ES18" i="37" s="1"/>
  <c r="DA20" i="37"/>
  <c r="DB20" i="37" s="1"/>
  <c r="DC20" i="37" s="1"/>
  <c r="DE20" i="37" s="1"/>
  <c r="BM22" i="37"/>
  <c r="BN22" i="37" s="1"/>
  <c r="BO22" i="37" s="1"/>
  <c r="BQ22" i="37" s="1"/>
  <c r="DU23" i="37"/>
  <c r="DV23" i="37" s="1"/>
  <c r="DW23" i="37" s="1"/>
  <c r="DY23" i="37" s="1"/>
  <c r="CG25" i="37"/>
  <c r="CH25" i="37" s="1"/>
  <c r="CI25" i="37" s="1"/>
  <c r="CK25" i="37" s="1"/>
  <c r="EO26" i="37"/>
  <c r="EP26" i="37" s="1"/>
  <c r="EQ26" i="37" s="1"/>
  <c r="ES26" i="37" s="1"/>
  <c r="DA28" i="37"/>
  <c r="DB28" i="37" s="1"/>
  <c r="DC28" i="37" s="1"/>
  <c r="DE28" i="37" s="1"/>
  <c r="BM30" i="37"/>
  <c r="BN30" i="37" s="1"/>
  <c r="BO30" i="37" s="1"/>
  <c r="BQ30" i="37" s="1"/>
  <c r="DU31" i="37"/>
  <c r="DV31" i="37" s="1"/>
  <c r="DW31" i="37" s="1"/>
  <c r="DY31" i="37" s="1"/>
  <c r="CG33" i="37"/>
  <c r="CH33" i="37" s="1"/>
  <c r="CI33" i="37" s="1"/>
  <c r="CK33" i="37" s="1"/>
  <c r="EO34" i="37"/>
  <c r="EP34" i="37" s="1"/>
  <c r="EQ34" i="37" s="1"/>
  <c r="ES34" i="37" s="1"/>
  <c r="BC28" i="37"/>
  <c r="BD28" i="37" s="1"/>
  <c r="BE28" i="37" s="1"/>
  <c r="BG28" i="37" s="1"/>
  <c r="DK29" i="37"/>
  <c r="DL29" i="37" s="1"/>
  <c r="DM29" i="37" s="1"/>
  <c r="DO29" i="37" s="1"/>
  <c r="BW31" i="37"/>
  <c r="BX31" i="37" s="1"/>
  <c r="BY31" i="37" s="1"/>
  <c r="CA31" i="37" s="1"/>
  <c r="EE32" i="37"/>
  <c r="EF32" i="37" s="1"/>
  <c r="EG32" i="37" s="1"/>
  <c r="EI32" i="37" s="1"/>
  <c r="CQ34" i="37"/>
  <c r="CR34" i="37" s="1"/>
  <c r="CS34" i="37" s="1"/>
  <c r="CU34" i="37" s="1"/>
  <c r="BC36" i="37"/>
  <c r="BD36" i="37" s="1"/>
  <c r="BE36" i="37" s="1"/>
  <c r="BG36" i="37" s="1"/>
  <c r="DK126" i="37"/>
  <c r="DL126" i="37" s="1"/>
  <c r="DM126" i="37" s="1"/>
  <c r="DO126" i="37" s="1"/>
  <c r="BW128" i="37"/>
  <c r="BX128" i="37" s="1"/>
  <c r="BY128" i="37" s="1"/>
  <c r="CA128" i="37" s="1"/>
  <c r="EE129" i="37"/>
  <c r="EF129" i="37" s="1"/>
  <c r="EG129" i="37" s="1"/>
  <c r="EI129" i="37" s="1"/>
  <c r="CQ131" i="37"/>
  <c r="CR131" i="37" s="1"/>
  <c r="CS131" i="37" s="1"/>
  <c r="CU131" i="37" s="1"/>
  <c r="BC133" i="37"/>
  <c r="BD133" i="37" s="1"/>
  <c r="BE133" i="37" s="1"/>
  <c r="BG133" i="37" s="1"/>
  <c r="DK134" i="37"/>
  <c r="DL134" i="37" s="1"/>
  <c r="DM134" i="37" s="1"/>
  <c r="DO134" i="37" s="1"/>
  <c r="BW136" i="37"/>
  <c r="BX136" i="37" s="1"/>
  <c r="BY136" i="37" s="1"/>
  <c r="CA136" i="37" s="1"/>
  <c r="EE137" i="37"/>
  <c r="EF137" i="37" s="1"/>
  <c r="EG137" i="37" s="1"/>
  <c r="EI137" i="37" s="1"/>
  <c r="CQ139" i="37"/>
  <c r="CR139" i="37" s="1"/>
  <c r="CS139" i="37" s="1"/>
  <c r="CU139" i="37" s="1"/>
  <c r="BC141" i="37"/>
  <c r="BD141" i="37" s="1"/>
  <c r="BE141" i="37" s="1"/>
  <c r="BG141" i="37" s="1"/>
  <c r="DK142" i="37"/>
  <c r="DL142" i="37" s="1"/>
  <c r="DM142" i="37" s="1"/>
  <c r="DO142" i="37" s="1"/>
  <c r="BW144" i="37"/>
  <c r="BX144" i="37" s="1"/>
  <c r="BY144" i="37" s="1"/>
  <c r="CA144" i="37" s="1"/>
  <c r="EE145" i="37"/>
  <c r="EF145" i="37" s="1"/>
  <c r="EG145" i="37" s="1"/>
  <c r="EI145" i="37" s="1"/>
  <c r="CQ147" i="37"/>
  <c r="CR147" i="37" s="1"/>
  <c r="CS147" i="37" s="1"/>
  <c r="CU147" i="37" s="1"/>
  <c r="BC149" i="37"/>
  <c r="BD149" i="37" s="1"/>
  <c r="BE149" i="37" s="1"/>
  <c r="BG149" i="37" s="1"/>
  <c r="DK150" i="37"/>
  <c r="DL150" i="37" s="1"/>
  <c r="DM150" i="37" s="1"/>
  <c r="DO150" i="37" s="1"/>
  <c r="BW152" i="37"/>
  <c r="BX152" i="37" s="1"/>
  <c r="BY152" i="37" s="1"/>
  <c r="CA152" i="37" s="1"/>
  <c r="EE153" i="37"/>
  <c r="EF153" i="37" s="1"/>
  <c r="EG153" i="37" s="1"/>
  <c r="EI153" i="37" s="1"/>
  <c r="CQ155" i="37"/>
  <c r="CR155" i="37" s="1"/>
  <c r="CS155" i="37" s="1"/>
  <c r="CU155" i="37" s="1"/>
  <c r="EO125" i="37"/>
  <c r="EP125" i="37" s="1"/>
  <c r="EQ125" i="37" s="1"/>
  <c r="ES125" i="37" s="1"/>
  <c r="DA127" i="37"/>
  <c r="DB127" i="37" s="1"/>
  <c r="DC127" i="37" s="1"/>
  <c r="DE127" i="37" s="1"/>
  <c r="BM129" i="37"/>
  <c r="BN129" i="37" s="1"/>
  <c r="BO129" i="37" s="1"/>
  <c r="BQ129" i="37" s="1"/>
  <c r="DU130" i="37"/>
  <c r="DV130" i="37" s="1"/>
  <c r="DW130" i="37" s="1"/>
  <c r="DY130" i="37" s="1"/>
  <c r="CG132" i="37"/>
  <c r="CH132" i="37" s="1"/>
  <c r="CI132" i="37" s="1"/>
  <c r="CK132" i="37" s="1"/>
  <c r="EO133" i="37"/>
  <c r="EP133" i="37" s="1"/>
  <c r="EQ133" i="37" s="1"/>
  <c r="ES133" i="37" s="1"/>
  <c r="DA135" i="37"/>
  <c r="DB135" i="37" s="1"/>
  <c r="DC135" i="37" s="1"/>
  <c r="DE135" i="37" s="1"/>
  <c r="BM137" i="37"/>
  <c r="BN137" i="37" s="1"/>
  <c r="BO137" i="37" s="1"/>
  <c r="BQ137" i="37" s="1"/>
  <c r="DU138" i="37"/>
  <c r="DV138" i="37" s="1"/>
  <c r="DW138" i="37" s="1"/>
  <c r="DY138" i="37" s="1"/>
  <c r="CG140" i="37"/>
  <c r="CH140" i="37" s="1"/>
  <c r="CI140" i="37" s="1"/>
  <c r="CK140" i="37" s="1"/>
  <c r="EO141" i="37"/>
  <c r="EP141" i="37" s="1"/>
  <c r="EQ141" i="37" s="1"/>
  <c r="ES141" i="37" s="1"/>
  <c r="DA143" i="37"/>
  <c r="DB143" i="37" s="1"/>
  <c r="DC143" i="37" s="1"/>
  <c r="DE143" i="37" s="1"/>
  <c r="BM145" i="37"/>
  <c r="BN145" i="37" s="1"/>
  <c r="BO145" i="37" s="1"/>
  <c r="BQ145" i="37" s="1"/>
  <c r="DU146" i="37"/>
  <c r="DV146" i="37" s="1"/>
  <c r="DW146" i="37" s="1"/>
  <c r="DY146" i="37" s="1"/>
  <c r="CG148" i="37"/>
  <c r="CH148" i="37" s="1"/>
  <c r="CI148" i="37" s="1"/>
  <c r="CK148" i="37" s="1"/>
  <c r="EO149" i="37"/>
  <c r="EP149" i="37" s="1"/>
  <c r="EQ149" i="37" s="1"/>
  <c r="ES149" i="37" s="1"/>
  <c r="DA151" i="37"/>
  <c r="DB151" i="37" s="1"/>
  <c r="DC151" i="37" s="1"/>
  <c r="DE151" i="37" s="1"/>
  <c r="BM153" i="37"/>
  <c r="BN153" i="37" s="1"/>
  <c r="BO153" i="37" s="1"/>
  <c r="BQ153" i="37" s="1"/>
  <c r="DU154" i="37"/>
  <c r="DV154" i="37" s="1"/>
  <c r="DW154" i="37" s="1"/>
  <c r="DY154" i="37" s="1"/>
  <c r="BW185" i="37"/>
  <c r="BX185" i="37" s="1"/>
  <c r="BY185" i="37" s="1"/>
  <c r="CA185" i="37" s="1"/>
  <c r="EE186" i="37"/>
  <c r="EF186" i="37" s="1"/>
  <c r="EG186" i="37" s="1"/>
  <c r="EI186" i="37" s="1"/>
  <c r="CQ188" i="37"/>
  <c r="CR188" i="37" s="1"/>
  <c r="CS188" i="37" s="1"/>
  <c r="CU188" i="37" s="1"/>
  <c r="BC190" i="37"/>
  <c r="BD190" i="37" s="1"/>
  <c r="BE190" i="37" s="1"/>
  <c r="BG190" i="37" s="1"/>
  <c r="DK191" i="37"/>
  <c r="DL191" i="37" s="1"/>
  <c r="DM191" i="37" s="1"/>
  <c r="DO191" i="37" s="1"/>
  <c r="DU185" i="37"/>
  <c r="DV185" i="37" s="1"/>
  <c r="DW185" i="37" s="1"/>
  <c r="DY185" i="37" s="1"/>
  <c r="CG187" i="37"/>
  <c r="CH187" i="37" s="1"/>
  <c r="CI187" i="37" s="1"/>
  <c r="CK187" i="37" s="1"/>
  <c r="EO188" i="37"/>
  <c r="EP188" i="37" s="1"/>
  <c r="EQ188" i="37" s="1"/>
  <c r="ES188" i="37" s="1"/>
  <c r="DA190" i="37"/>
  <c r="DB190" i="37" s="1"/>
  <c r="DC190" i="37" s="1"/>
  <c r="DE190" i="37" s="1"/>
  <c r="BM192" i="37"/>
  <c r="BN192" i="37" s="1"/>
  <c r="BO192" i="37" s="1"/>
  <c r="BQ192" i="37" s="1"/>
  <c r="BW222" i="37"/>
  <c r="BX222" i="37" s="1"/>
  <c r="BY222" i="37" s="1"/>
  <c r="CA222" i="37" s="1"/>
  <c r="EE223" i="37"/>
  <c r="EF223" i="37" s="1"/>
  <c r="EG223" i="37" s="1"/>
  <c r="EI223" i="37" s="1"/>
  <c r="CQ225" i="37"/>
  <c r="CR225" i="37" s="1"/>
  <c r="CS225" i="37" s="1"/>
  <c r="CU225" i="37" s="1"/>
  <c r="BC227" i="37"/>
  <c r="BD227" i="37" s="1"/>
  <c r="BE227" i="37" s="1"/>
  <c r="BG227" i="37" s="1"/>
  <c r="DK228" i="37"/>
  <c r="DL228" i="37" s="1"/>
  <c r="DM228" i="37" s="1"/>
  <c r="DO228" i="37" s="1"/>
  <c r="BW230" i="37"/>
  <c r="BX230" i="37" s="1"/>
  <c r="BY230" i="37" s="1"/>
  <c r="CA230" i="37" s="1"/>
  <c r="EE231" i="37"/>
  <c r="EF231" i="37" s="1"/>
  <c r="EG231" i="37" s="1"/>
  <c r="EI231" i="37" s="1"/>
  <c r="CQ233" i="37"/>
  <c r="CR233" i="37" s="1"/>
  <c r="CS233" i="37" s="1"/>
  <c r="CU233" i="37" s="1"/>
  <c r="BC235" i="37"/>
  <c r="BD235" i="37" s="1"/>
  <c r="BE235" i="37" s="1"/>
  <c r="BG235" i="37" s="1"/>
  <c r="DK236" i="37"/>
  <c r="DL236" i="37" s="1"/>
  <c r="DM236" i="37" s="1"/>
  <c r="DO236" i="37" s="1"/>
  <c r="BW238" i="37"/>
  <c r="BX238" i="37" s="1"/>
  <c r="BY238" i="37" s="1"/>
  <c r="CA238" i="37" s="1"/>
  <c r="EE239" i="37"/>
  <c r="EF239" i="37" s="1"/>
  <c r="EG239" i="37" s="1"/>
  <c r="EI239" i="37" s="1"/>
  <c r="CQ241" i="37"/>
  <c r="CR241" i="37" s="1"/>
  <c r="CS241" i="37" s="1"/>
  <c r="CU241" i="37" s="1"/>
  <c r="BC243" i="37"/>
  <c r="BD243" i="37" s="1"/>
  <c r="BE243" i="37" s="1"/>
  <c r="BG243" i="37" s="1"/>
  <c r="DK244" i="37"/>
  <c r="DL244" i="37" s="1"/>
  <c r="DM244" i="37" s="1"/>
  <c r="DO244" i="37" s="1"/>
  <c r="BW246" i="37"/>
  <c r="BX246" i="37" s="1"/>
  <c r="BY246" i="37" s="1"/>
  <c r="CA246" i="37" s="1"/>
  <c r="EE247" i="37"/>
  <c r="EF247" i="37" s="1"/>
  <c r="EG247" i="37" s="1"/>
  <c r="EI247" i="37" s="1"/>
  <c r="CQ249" i="37"/>
  <c r="CR249" i="37" s="1"/>
  <c r="CS249" i="37" s="1"/>
  <c r="CU249" i="37" s="1"/>
  <c r="BC251" i="37"/>
  <c r="BD251" i="37" s="1"/>
  <c r="BE251" i="37" s="1"/>
  <c r="BG251" i="37" s="1"/>
  <c r="DK252" i="37"/>
  <c r="DL252" i="37" s="1"/>
  <c r="DM252" i="37" s="1"/>
  <c r="DO252" i="37" s="1"/>
  <c r="BW254" i="37"/>
  <c r="BX254" i="37" s="1"/>
  <c r="BY254" i="37" s="1"/>
  <c r="CA254" i="37" s="1"/>
  <c r="EE255" i="37"/>
  <c r="EF255" i="37" s="1"/>
  <c r="EG255" i="37" s="1"/>
  <c r="EI255" i="37" s="1"/>
  <c r="CQ257" i="37"/>
  <c r="CR257" i="37" s="1"/>
  <c r="CS257" i="37" s="1"/>
  <c r="CU257" i="37" s="1"/>
  <c r="BC259" i="37"/>
  <c r="BD259" i="37" s="1"/>
  <c r="BE259" i="37" s="1"/>
  <c r="BG259" i="37" s="1"/>
  <c r="DK260" i="37"/>
  <c r="DL260" i="37" s="1"/>
  <c r="DM260" i="37" s="1"/>
  <c r="DO260" i="37" s="1"/>
  <c r="DA221" i="37"/>
  <c r="DB221" i="37" s="1"/>
  <c r="DC221" i="37" s="1"/>
  <c r="DE221" i="37" s="1"/>
  <c r="BM223" i="37"/>
  <c r="BN223" i="37" s="1"/>
  <c r="BO223" i="37" s="1"/>
  <c r="BQ223" i="37" s="1"/>
  <c r="DU224" i="37"/>
  <c r="DV224" i="37" s="1"/>
  <c r="DW224" i="37" s="1"/>
  <c r="DY224" i="37" s="1"/>
  <c r="CG226" i="37"/>
  <c r="CH226" i="37" s="1"/>
  <c r="CI226" i="37" s="1"/>
  <c r="CK226" i="37" s="1"/>
  <c r="EO227" i="37"/>
  <c r="EP227" i="37" s="1"/>
  <c r="EQ227" i="37" s="1"/>
  <c r="ES227" i="37" s="1"/>
  <c r="DA229" i="37"/>
  <c r="DB229" i="37" s="1"/>
  <c r="DC229" i="37" s="1"/>
  <c r="DE229" i="37" s="1"/>
  <c r="BM231" i="37"/>
  <c r="BN231" i="37" s="1"/>
  <c r="BO231" i="37" s="1"/>
  <c r="BQ231" i="37" s="1"/>
  <c r="DU232" i="37"/>
  <c r="DV232" i="37" s="1"/>
  <c r="DW232" i="37" s="1"/>
  <c r="DY232" i="37" s="1"/>
  <c r="CG234" i="37"/>
  <c r="CH234" i="37" s="1"/>
  <c r="CI234" i="37" s="1"/>
  <c r="CK234" i="37" s="1"/>
  <c r="EO235" i="37"/>
  <c r="EP235" i="37" s="1"/>
  <c r="EQ235" i="37" s="1"/>
  <c r="ES235" i="37" s="1"/>
  <c r="DA237" i="37"/>
  <c r="DB237" i="37" s="1"/>
  <c r="DC237" i="37" s="1"/>
  <c r="DE237" i="37" s="1"/>
  <c r="BM239" i="37"/>
  <c r="BN239" i="37" s="1"/>
  <c r="BO239" i="37" s="1"/>
  <c r="BQ239" i="37" s="1"/>
  <c r="DU240" i="37"/>
  <c r="DV240" i="37" s="1"/>
  <c r="DW240" i="37" s="1"/>
  <c r="DY240" i="37" s="1"/>
  <c r="CG242" i="37"/>
  <c r="CH242" i="37" s="1"/>
  <c r="CI242" i="37" s="1"/>
  <c r="CK242" i="37" s="1"/>
  <c r="EO243" i="37"/>
  <c r="EP243" i="37" s="1"/>
  <c r="EQ243" i="37" s="1"/>
  <c r="ES243" i="37" s="1"/>
  <c r="DA245" i="37"/>
  <c r="DB245" i="37" s="1"/>
  <c r="DC245" i="37" s="1"/>
  <c r="DE245" i="37" s="1"/>
  <c r="BM247" i="37"/>
  <c r="BN247" i="37" s="1"/>
  <c r="BO247" i="37" s="1"/>
  <c r="BQ247" i="37" s="1"/>
  <c r="DU248" i="37"/>
  <c r="DV248" i="37" s="1"/>
  <c r="DW248" i="37" s="1"/>
  <c r="DY248" i="37" s="1"/>
  <c r="CG250" i="37"/>
  <c r="CH250" i="37" s="1"/>
  <c r="CI250" i="37" s="1"/>
  <c r="CK250" i="37" s="1"/>
  <c r="EO251" i="37"/>
  <c r="EP251" i="37" s="1"/>
  <c r="EQ251" i="37" s="1"/>
  <c r="ES251" i="37" s="1"/>
  <c r="DA253" i="37"/>
  <c r="DB253" i="37" s="1"/>
  <c r="DC253" i="37" s="1"/>
  <c r="DE253" i="37" s="1"/>
  <c r="BM255" i="37"/>
  <c r="BN255" i="37" s="1"/>
  <c r="BO255" i="37" s="1"/>
  <c r="BQ255" i="37" s="1"/>
  <c r="DU256" i="37"/>
  <c r="DV256" i="37" s="1"/>
  <c r="DW256" i="37" s="1"/>
  <c r="DY256" i="37" s="1"/>
  <c r="CG258" i="37"/>
  <c r="CH258" i="37" s="1"/>
  <c r="CI258" i="37" s="1"/>
  <c r="CK258" i="37" s="1"/>
  <c r="EO259" i="37"/>
  <c r="EP259" i="37" s="1"/>
  <c r="EQ259" i="37" s="1"/>
  <c r="ES259" i="37" s="1"/>
  <c r="CG261" i="37"/>
  <c r="CH261" i="37" s="1"/>
  <c r="CI261" i="37" s="1"/>
  <c r="CK261" i="37" s="1"/>
  <c r="BC10" i="38"/>
  <c r="BD10" i="38" s="1"/>
  <c r="BE10" i="38" s="1"/>
  <c r="BG10" i="38" s="1"/>
  <c r="DK11" i="38"/>
  <c r="DL11" i="38" s="1"/>
  <c r="DM11" i="38" s="1"/>
  <c r="DO11" i="38" s="1"/>
  <c r="DA13" i="38"/>
  <c r="DB13" i="38" s="1"/>
  <c r="DC13" i="38" s="1"/>
  <c r="DE13" i="38" s="1"/>
  <c r="BM15" i="38"/>
  <c r="BN15" i="38" s="1"/>
  <c r="BO15" i="38" s="1"/>
  <c r="BQ15" i="38" s="1"/>
  <c r="DU16" i="38"/>
  <c r="DV16" i="38" s="1"/>
  <c r="DW16" i="38" s="1"/>
  <c r="DY16" i="38" s="1"/>
  <c r="BW10" i="38"/>
  <c r="BX10" i="38" s="1"/>
  <c r="BY10" i="38" s="1"/>
  <c r="CA10" i="38" s="1"/>
  <c r="DA18" i="38"/>
  <c r="DB18" i="38" s="1"/>
  <c r="DC18" i="38" s="1"/>
  <c r="DE18" i="38" s="1"/>
  <c r="BM20" i="38"/>
  <c r="BN20" i="38" s="1"/>
  <c r="BO20" i="38" s="1"/>
  <c r="BQ20" i="38" s="1"/>
  <c r="DU21" i="38"/>
  <c r="DV21" i="38" s="1"/>
  <c r="DW21" i="38" s="1"/>
  <c r="DY21" i="38" s="1"/>
  <c r="CG23" i="38"/>
  <c r="CH23" i="38" s="1"/>
  <c r="CI23" i="38" s="1"/>
  <c r="CK23" i="38" s="1"/>
  <c r="EO24" i="38"/>
  <c r="EP24" i="38" s="1"/>
  <c r="EQ24" i="38" s="1"/>
  <c r="ES24" i="38" s="1"/>
  <c r="DA26" i="38"/>
  <c r="DB26" i="38" s="1"/>
  <c r="DC26" i="38" s="1"/>
  <c r="DE26" i="38" s="1"/>
  <c r="BM28" i="38"/>
  <c r="BN28" i="38" s="1"/>
  <c r="BO28" i="38" s="1"/>
  <c r="BQ28" i="38" s="1"/>
  <c r="DK10" i="38"/>
  <c r="DL10" i="38" s="1"/>
  <c r="DM10" i="38" s="1"/>
  <c r="DO10" i="38" s="1"/>
  <c r="EO12" i="38"/>
  <c r="EP12" i="38" s="1"/>
  <c r="EQ12" i="38" s="1"/>
  <c r="ES12" i="38" s="1"/>
  <c r="DA14" i="38"/>
  <c r="DB14" i="38" s="1"/>
  <c r="DC14" i="38" s="1"/>
  <c r="DE14" i="38" s="1"/>
  <c r="BM16" i="38"/>
  <c r="BN16" i="38" s="1"/>
  <c r="BO16" i="38" s="1"/>
  <c r="BQ16" i="38" s="1"/>
  <c r="DU17" i="38"/>
  <c r="DV17" i="38" s="1"/>
  <c r="DW17" i="38" s="1"/>
  <c r="DY17" i="38" s="1"/>
  <c r="BM19" i="38"/>
  <c r="BN19" i="38" s="1"/>
  <c r="BO19" i="38" s="1"/>
  <c r="BQ19" i="38" s="1"/>
  <c r="DU20" i="38"/>
  <c r="DV20" i="38" s="1"/>
  <c r="DW20" i="38" s="1"/>
  <c r="DY20" i="38" s="1"/>
  <c r="CG22" i="38"/>
  <c r="CH22" i="38" s="1"/>
  <c r="CI22" i="38" s="1"/>
  <c r="CK22" i="38" s="1"/>
  <c r="EE29" i="38"/>
  <c r="EF29" i="38" s="1"/>
  <c r="EG29" i="38" s="1"/>
  <c r="EI29" i="38" s="1"/>
  <c r="CQ31" i="38"/>
  <c r="CR31" i="38" s="1"/>
  <c r="CS31" i="38" s="1"/>
  <c r="CU31" i="38" s="1"/>
  <c r="BC33" i="38"/>
  <c r="BD33" i="38" s="1"/>
  <c r="BE33" i="38" s="1"/>
  <c r="BG33" i="38" s="1"/>
  <c r="DK34" i="38"/>
  <c r="DL34" i="38" s="1"/>
  <c r="DM34" i="38" s="1"/>
  <c r="DO34" i="38" s="1"/>
  <c r="BW36" i="38"/>
  <c r="BX36" i="38" s="1"/>
  <c r="BY36" i="38" s="1"/>
  <c r="CA36" i="38" s="1"/>
  <c r="EE37" i="38"/>
  <c r="EF37" i="38" s="1"/>
  <c r="EG37" i="38" s="1"/>
  <c r="EI37" i="38" s="1"/>
  <c r="CQ39" i="38"/>
  <c r="CR39" i="38" s="1"/>
  <c r="CS39" i="38" s="1"/>
  <c r="CU39" i="38" s="1"/>
  <c r="BC41" i="38"/>
  <c r="BD41" i="38" s="1"/>
  <c r="BE41" i="38" s="1"/>
  <c r="BG41" i="38" s="1"/>
  <c r="DK42" i="38"/>
  <c r="DL42" i="38" s="1"/>
  <c r="DM42" i="38" s="1"/>
  <c r="DO42" i="38" s="1"/>
  <c r="BW44" i="38"/>
  <c r="BX44" i="38" s="1"/>
  <c r="BY44" i="38" s="1"/>
  <c r="CA44" i="38" s="1"/>
  <c r="EE45" i="38"/>
  <c r="EF45" i="38" s="1"/>
  <c r="EG45" i="38" s="1"/>
  <c r="EI45" i="38" s="1"/>
  <c r="CQ47" i="38"/>
  <c r="CR47" i="38" s="1"/>
  <c r="CS47" i="38" s="1"/>
  <c r="CU47" i="38" s="1"/>
  <c r="BC49" i="38"/>
  <c r="BD49" i="38" s="1"/>
  <c r="BE49" i="38" s="1"/>
  <c r="BG49" i="38" s="1"/>
  <c r="BM23" i="38"/>
  <c r="BN23" i="38" s="1"/>
  <c r="BO23" i="38" s="1"/>
  <c r="BQ23" i="38" s="1"/>
  <c r="DU24" i="38"/>
  <c r="DV24" i="38" s="1"/>
  <c r="DW24" i="38" s="1"/>
  <c r="DY24" i="38" s="1"/>
  <c r="CG26" i="38"/>
  <c r="CH26" i="38" s="1"/>
  <c r="CI26" i="38" s="1"/>
  <c r="CK26" i="38" s="1"/>
  <c r="EO27" i="38"/>
  <c r="EP27" i="38" s="1"/>
  <c r="EQ27" i="38" s="1"/>
  <c r="ES27" i="38" s="1"/>
  <c r="DK29" i="38"/>
  <c r="DL29" i="38" s="1"/>
  <c r="DM29" i="38" s="1"/>
  <c r="DO29" i="38" s="1"/>
  <c r="BW31" i="38"/>
  <c r="BX31" i="38" s="1"/>
  <c r="BY31" i="38" s="1"/>
  <c r="CA31" i="38" s="1"/>
  <c r="EE32" i="38"/>
  <c r="EF32" i="38" s="1"/>
  <c r="EG32" i="38" s="1"/>
  <c r="EI32" i="38" s="1"/>
  <c r="CQ34" i="38"/>
  <c r="CR34" i="38" s="1"/>
  <c r="CS34" i="38" s="1"/>
  <c r="CU34" i="38" s="1"/>
  <c r="BC36" i="38"/>
  <c r="BD36" i="38" s="1"/>
  <c r="BE36" i="38" s="1"/>
  <c r="BG36" i="38" s="1"/>
  <c r="DK37" i="38"/>
  <c r="DL37" i="38" s="1"/>
  <c r="DM37" i="38" s="1"/>
  <c r="DO37" i="38" s="1"/>
  <c r="BW39" i="38"/>
  <c r="BX39" i="38" s="1"/>
  <c r="BY39" i="38" s="1"/>
  <c r="CA39" i="38" s="1"/>
  <c r="EE40" i="38"/>
  <c r="EF40" i="38" s="1"/>
  <c r="EG40" i="38" s="1"/>
  <c r="EI40" i="38" s="1"/>
  <c r="CQ42" i="38"/>
  <c r="CR42" i="38" s="1"/>
  <c r="CS42" i="38" s="1"/>
  <c r="CU42" i="38" s="1"/>
  <c r="BC44" i="38"/>
  <c r="BD44" i="38" s="1"/>
  <c r="BE44" i="38" s="1"/>
  <c r="BG44" i="38" s="1"/>
  <c r="DK45" i="38"/>
  <c r="DL45" i="38" s="1"/>
  <c r="DM45" i="38" s="1"/>
  <c r="DO45" i="38" s="1"/>
  <c r="BW47" i="38"/>
  <c r="BX47" i="38" s="1"/>
  <c r="BY47" i="38" s="1"/>
  <c r="CA47" i="38" s="1"/>
  <c r="BW49" i="38"/>
  <c r="BX49" i="38" s="1"/>
  <c r="BY49" i="38" s="1"/>
  <c r="CA49" i="38" s="1"/>
  <c r="CG52" i="38"/>
  <c r="CH52" i="38" s="1"/>
  <c r="CI52" i="38" s="1"/>
  <c r="CK52" i="38" s="1"/>
  <c r="DA52" i="38"/>
  <c r="DB52" i="38" s="1"/>
  <c r="DC52" i="38" s="1"/>
  <c r="DE52" i="38" s="1"/>
  <c r="DU55" i="38"/>
  <c r="DV55" i="38" s="1"/>
  <c r="DW55" i="38" s="1"/>
  <c r="DY55" i="38" s="1"/>
  <c r="EO58" i="38"/>
  <c r="EP58" i="38" s="1"/>
  <c r="EQ58" i="38" s="1"/>
  <c r="ES58" i="38" s="1"/>
  <c r="DA55" i="38"/>
  <c r="DB55" i="38" s="1"/>
  <c r="DC55" i="38" s="1"/>
  <c r="DE55" i="38" s="1"/>
  <c r="DU58" i="38"/>
  <c r="DV58" i="38" s="1"/>
  <c r="DW58" i="38" s="1"/>
  <c r="DY58" i="38" s="1"/>
  <c r="CQ60" i="38"/>
  <c r="CR60" i="38" s="1"/>
  <c r="CS60" i="38" s="1"/>
  <c r="CU60" i="38" s="1"/>
  <c r="BW79" i="38"/>
  <c r="BX79" i="38" s="1"/>
  <c r="BY79" i="38" s="1"/>
  <c r="CA79" i="38" s="1"/>
  <c r="CQ82" i="38"/>
  <c r="CR82" i="38" s="1"/>
  <c r="CS82" i="38" s="1"/>
  <c r="CU82" i="38" s="1"/>
  <c r="DK85" i="38"/>
  <c r="DL85" i="38" s="1"/>
  <c r="DM85" i="38" s="1"/>
  <c r="DO85" i="38" s="1"/>
  <c r="EE88" i="38"/>
  <c r="EF88" i="38" s="1"/>
  <c r="EG88" i="38" s="1"/>
  <c r="EI88" i="38" s="1"/>
  <c r="BC92" i="38"/>
  <c r="BD92" i="38" s="1"/>
  <c r="BE92" i="38" s="1"/>
  <c r="BG92" i="38" s="1"/>
  <c r="BW95" i="38"/>
  <c r="BX95" i="38" s="1"/>
  <c r="BY95" i="38" s="1"/>
  <c r="CA95" i="38" s="1"/>
  <c r="CQ77" i="38"/>
  <c r="CR77" i="38" s="1"/>
  <c r="CS77" i="38" s="1"/>
  <c r="CU77" i="38" s="1"/>
  <c r="DK80" i="38"/>
  <c r="DL80" i="38" s="1"/>
  <c r="DM80" i="38" s="1"/>
  <c r="DO80" i="38" s="1"/>
  <c r="EE83" i="38"/>
  <c r="EF83" i="38" s="1"/>
  <c r="EG83" i="38" s="1"/>
  <c r="EI83" i="38" s="1"/>
  <c r="BC87" i="38"/>
  <c r="BD87" i="38" s="1"/>
  <c r="BE87" i="38" s="1"/>
  <c r="BG87" i="38" s="1"/>
  <c r="BW90" i="38"/>
  <c r="BX90" i="38" s="1"/>
  <c r="BY90" i="38" s="1"/>
  <c r="CA90" i="38" s="1"/>
  <c r="CQ93" i="38"/>
  <c r="CR93" i="38" s="1"/>
  <c r="CS93" i="38" s="1"/>
  <c r="CU93" i="38" s="1"/>
  <c r="DK96" i="38"/>
  <c r="DL96" i="38" s="1"/>
  <c r="DM96" i="38" s="1"/>
  <c r="DO96" i="38" s="1"/>
  <c r="BM154" i="38"/>
  <c r="BN154" i="38" s="1"/>
  <c r="BO154" i="38" s="1"/>
  <c r="BQ154" i="38" s="1"/>
  <c r="CG157" i="38"/>
  <c r="CH157" i="38" s="1"/>
  <c r="CI157" i="38" s="1"/>
  <c r="CK157" i="38" s="1"/>
  <c r="DA160" i="38"/>
  <c r="DB160" i="38" s="1"/>
  <c r="DC160" i="38" s="1"/>
  <c r="DE160" i="38" s="1"/>
  <c r="DU163" i="38"/>
  <c r="DV163" i="38" s="1"/>
  <c r="DW163" i="38" s="1"/>
  <c r="DY163" i="38" s="1"/>
  <c r="EO166" i="38"/>
  <c r="EP166" i="38" s="1"/>
  <c r="EQ166" i="38" s="1"/>
  <c r="ES166" i="38" s="1"/>
  <c r="CG154" i="38"/>
  <c r="CH154" i="38" s="1"/>
  <c r="CI154" i="38" s="1"/>
  <c r="CK154" i="38" s="1"/>
  <c r="DA157" i="38"/>
  <c r="DB157" i="38" s="1"/>
  <c r="DC157" i="38" s="1"/>
  <c r="DE157" i="38" s="1"/>
  <c r="DU160" i="38"/>
  <c r="DV160" i="38" s="1"/>
  <c r="DW160" i="38" s="1"/>
  <c r="DY160" i="38" s="1"/>
  <c r="EO163" i="38"/>
  <c r="EP163" i="38" s="1"/>
  <c r="EQ163" i="38" s="1"/>
  <c r="ES163" i="38" s="1"/>
  <c r="BM167" i="38"/>
  <c r="BN167" i="38" s="1"/>
  <c r="BO167" i="38" s="1"/>
  <c r="BQ167" i="38" s="1"/>
  <c r="CQ17" i="37"/>
  <c r="CR17" i="37" s="1"/>
  <c r="CS17" i="37" s="1"/>
  <c r="CU17" i="37" s="1"/>
  <c r="DK15" i="37"/>
  <c r="DL15" i="37" s="1"/>
  <c r="DM15" i="37" s="1"/>
  <c r="DO15" i="37" s="1"/>
  <c r="BW17" i="37"/>
  <c r="BX17" i="37" s="1"/>
  <c r="BY17" i="37" s="1"/>
  <c r="CA17" i="37" s="1"/>
  <c r="EE18" i="37"/>
  <c r="EF18" i="37" s="1"/>
  <c r="EG18" i="37" s="1"/>
  <c r="EI18" i="37" s="1"/>
  <c r="CQ20" i="37"/>
  <c r="CR20" i="37" s="1"/>
  <c r="CS20" i="37" s="1"/>
  <c r="CU20" i="37" s="1"/>
  <c r="BC22" i="37"/>
  <c r="BD22" i="37" s="1"/>
  <c r="BE22" i="37" s="1"/>
  <c r="BG22" i="37" s="1"/>
  <c r="DK23" i="37"/>
  <c r="DL23" i="37" s="1"/>
  <c r="DM23" i="37" s="1"/>
  <c r="DO23" i="37" s="1"/>
  <c r="BW25" i="37"/>
  <c r="BX25" i="37" s="1"/>
  <c r="BY25" i="37" s="1"/>
  <c r="CA25" i="37" s="1"/>
  <c r="EE26" i="37"/>
  <c r="EF26" i="37" s="1"/>
  <c r="EG26" i="37" s="1"/>
  <c r="EI26" i="37" s="1"/>
  <c r="BM15" i="37"/>
  <c r="BN15" i="37" s="1"/>
  <c r="BO15" i="37" s="1"/>
  <c r="BQ15" i="37" s="1"/>
  <c r="DU16" i="37"/>
  <c r="DV16" i="37" s="1"/>
  <c r="DW16" i="37" s="1"/>
  <c r="DY16" i="37" s="1"/>
  <c r="CG18" i="37"/>
  <c r="CH18" i="37" s="1"/>
  <c r="CI18" i="37" s="1"/>
  <c r="CK18" i="37" s="1"/>
  <c r="EO19" i="37"/>
  <c r="EP19" i="37" s="1"/>
  <c r="EQ19" i="37" s="1"/>
  <c r="ES19" i="37" s="1"/>
  <c r="DA21" i="37"/>
  <c r="DB21" i="37" s="1"/>
  <c r="DC21" i="37" s="1"/>
  <c r="DE21" i="37" s="1"/>
  <c r="BM23" i="37"/>
  <c r="BN23" i="37" s="1"/>
  <c r="BO23" i="37" s="1"/>
  <c r="BQ23" i="37" s="1"/>
  <c r="DU24" i="37"/>
  <c r="DV24" i="37" s="1"/>
  <c r="DW24" i="37" s="1"/>
  <c r="DY24" i="37" s="1"/>
  <c r="CG26" i="37"/>
  <c r="CH26" i="37" s="1"/>
  <c r="CI26" i="37" s="1"/>
  <c r="CK26" i="37" s="1"/>
  <c r="EO27" i="37"/>
  <c r="EP27" i="37" s="1"/>
  <c r="EQ27" i="37" s="1"/>
  <c r="ES27" i="37" s="1"/>
  <c r="DA29" i="37"/>
  <c r="DB29" i="37" s="1"/>
  <c r="DC29" i="37" s="1"/>
  <c r="DE29" i="37" s="1"/>
  <c r="BM31" i="37"/>
  <c r="BN31" i="37" s="1"/>
  <c r="BO31" i="37" s="1"/>
  <c r="BQ31" i="37" s="1"/>
  <c r="DU32" i="37"/>
  <c r="DV32" i="37" s="1"/>
  <c r="DW32" i="37" s="1"/>
  <c r="DY32" i="37" s="1"/>
  <c r="CG34" i="37"/>
  <c r="CH34" i="37" s="1"/>
  <c r="CI34" i="37" s="1"/>
  <c r="CK34" i="37" s="1"/>
  <c r="EO35" i="37"/>
  <c r="EP35" i="37" s="1"/>
  <c r="EQ35" i="37" s="1"/>
  <c r="ES35" i="37" s="1"/>
  <c r="BC29" i="37"/>
  <c r="BD29" i="37" s="1"/>
  <c r="BE29" i="37" s="1"/>
  <c r="BG29" i="37" s="1"/>
  <c r="DK30" i="37"/>
  <c r="DL30" i="37" s="1"/>
  <c r="DM30" i="37" s="1"/>
  <c r="DO30" i="37" s="1"/>
  <c r="BW32" i="37"/>
  <c r="BX32" i="37" s="1"/>
  <c r="BY32" i="37" s="1"/>
  <c r="CA32" i="37" s="1"/>
  <c r="EE33" i="37"/>
  <c r="EF33" i="37" s="1"/>
  <c r="EG33" i="37" s="1"/>
  <c r="EI33" i="37" s="1"/>
  <c r="CQ35" i="37"/>
  <c r="CR35" i="37" s="1"/>
  <c r="CS35" i="37" s="1"/>
  <c r="CU35" i="37" s="1"/>
  <c r="CQ126" i="37"/>
  <c r="CR126" i="37" s="1"/>
  <c r="CS126" i="37" s="1"/>
  <c r="CU126" i="37" s="1"/>
  <c r="BC128" i="37"/>
  <c r="BD128" i="37" s="1"/>
  <c r="BE128" i="37" s="1"/>
  <c r="BG128" i="37" s="1"/>
  <c r="DK129" i="37"/>
  <c r="DL129" i="37" s="1"/>
  <c r="DM129" i="37" s="1"/>
  <c r="DO129" i="37" s="1"/>
  <c r="BW131" i="37"/>
  <c r="BX131" i="37" s="1"/>
  <c r="BY131" i="37" s="1"/>
  <c r="CA131" i="37" s="1"/>
  <c r="EE132" i="37"/>
  <c r="EF132" i="37" s="1"/>
  <c r="EG132" i="37" s="1"/>
  <c r="EI132" i="37" s="1"/>
  <c r="CQ134" i="37"/>
  <c r="CR134" i="37" s="1"/>
  <c r="CS134" i="37" s="1"/>
  <c r="CU134" i="37" s="1"/>
  <c r="BC136" i="37"/>
  <c r="BD136" i="37" s="1"/>
  <c r="BE136" i="37" s="1"/>
  <c r="BG136" i="37" s="1"/>
  <c r="DK137" i="37"/>
  <c r="DL137" i="37" s="1"/>
  <c r="DM137" i="37" s="1"/>
  <c r="DO137" i="37" s="1"/>
  <c r="BW139" i="37"/>
  <c r="BX139" i="37" s="1"/>
  <c r="BY139" i="37" s="1"/>
  <c r="CA139" i="37" s="1"/>
  <c r="EE140" i="37"/>
  <c r="EF140" i="37" s="1"/>
  <c r="EG140" i="37" s="1"/>
  <c r="EI140" i="37" s="1"/>
  <c r="CQ142" i="37"/>
  <c r="CR142" i="37" s="1"/>
  <c r="CS142" i="37" s="1"/>
  <c r="CU142" i="37" s="1"/>
  <c r="BC144" i="37"/>
  <c r="BD144" i="37" s="1"/>
  <c r="BE144" i="37" s="1"/>
  <c r="BG144" i="37" s="1"/>
  <c r="DK145" i="37"/>
  <c r="DL145" i="37" s="1"/>
  <c r="DM145" i="37" s="1"/>
  <c r="DO145" i="37" s="1"/>
  <c r="BW147" i="37"/>
  <c r="BX147" i="37" s="1"/>
  <c r="BY147" i="37" s="1"/>
  <c r="CA147" i="37" s="1"/>
  <c r="EE148" i="37"/>
  <c r="EF148" i="37" s="1"/>
  <c r="EG148" i="37" s="1"/>
  <c r="EI148" i="37" s="1"/>
  <c r="CQ150" i="37"/>
  <c r="CR150" i="37" s="1"/>
  <c r="CS150" i="37" s="1"/>
  <c r="CU150" i="37" s="1"/>
  <c r="BC152" i="37"/>
  <c r="BD152" i="37" s="1"/>
  <c r="BE152" i="37" s="1"/>
  <c r="BG152" i="37" s="1"/>
  <c r="DK153" i="37"/>
  <c r="DL153" i="37" s="1"/>
  <c r="DM153" i="37" s="1"/>
  <c r="DO153" i="37" s="1"/>
  <c r="BW155" i="37"/>
  <c r="BX155" i="37" s="1"/>
  <c r="BY155" i="37" s="1"/>
  <c r="CA155" i="37" s="1"/>
  <c r="DU125" i="37"/>
  <c r="DV125" i="37" s="1"/>
  <c r="DW125" i="37" s="1"/>
  <c r="DY125" i="37" s="1"/>
  <c r="CG127" i="37"/>
  <c r="CH127" i="37" s="1"/>
  <c r="CI127" i="37" s="1"/>
  <c r="CK127" i="37" s="1"/>
  <c r="EO128" i="37"/>
  <c r="EP128" i="37" s="1"/>
  <c r="EQ128" i="37" s="1"/>
  <c r="ES128" i="37" s="1"/>
  <c r="DA130" i="37"/>
  <c r="DB130" i="37" s="1"/>
  <c r="DC130" i="37" s="1"/>
  <c r="DE130" i="37" s="1"/>
  <c r="BM132" i="37"/>
  <c r="BN132" i="37" s="1"/>
  <c r="BO132" i="37" s="1"/>
  <c r="BQ132" i="37" s="1"/>
  <c r="DU133" i="37"/>
  <c r="DV133" i="37" s="1"/>
  <c r="DW133" i="37" s="1"/>
  <c r="DY133" i="37" s="1"/>
  <c r="CG135" i="37"/>
  <c r="CH135" i="37" s="1"/>
  <c r="CI135" i="37" s="1"/>
  <c r="CK135" i="37" s="1"/>
  <c r="EO136" i="37"/>
  <c r="EP136" i="37" s="1"/>
  <c r="EQ136" i="37" s="1"/>
  <c r="ES136" i="37" s="1"/>
  <c r="DA138" i="37"/>
  <c r="DB138" i="37" s="1"/>
  <c r="DC138" i="37" s="1"/>
  <c r="DE138" i="37" s="1"/>
  <c r="BM140" i="37"/>
  <c r="BN140" i="37" s="1"/>
  <c r="BO140" i="37" s="1"/>
  <c r="BQ140" i="37" s="1"/>
  <c r="DU141" i="37"/>
  <c r="DV141" i="37" s="1"/>
  <c r="DW141" i="37" s="1"/>
  <c r="DY141" i="37" s="1"/>
  <c r="CG143" i="37"/>
  <c r="CH143" i="37" s="1"/>
  <c r="CI143" i="37" s="1"/>
  <c r="CK143" i="37" s="1"/>
  <c r="EO144" i="37"/>
  <c r="EP144" i="37" s="1"/>
  <c r="EQ144" i="37" s="1"/>
  <c r="ES144" i="37" s="1"/>
  <c r="DA146" i="37"/>
  <c r="DB146" i="37" s="1"/>
  <c r="DC146" i="37" s="1"/>
  <c r="DE146" i="37" s="1"/>
  <c r="BM148" i="37"/>
  <c r="BN148" i="37" s="1"/>
  <c r="BO148" i="37" s="1"/>
  <c r="BQ148" i="37" s="1"/>
  <c r="DU149" i="37"/>
  <c r="DV149" i="37" s="1"/>
  <c r="DW149" i="37" s="1"/>
  <c r="DY149" i="37" s="1"/>
  <c r="CG151" i="37"/>
  <c r="CH151" i="37" s="1"/>
  <c r="CI151" i="37" s="1"/>
  <c r="CK151" i="37" s="1"/>
  <c r="EO152" i="37"/>
  <c r="EP152" i="37" s="1"/>
  <c r="EQ152" i="37" s="1"/>
  <c r="ES152" i="37" s="1"/>
  <c r="DA154" i="37"/>
  <c r="DB154" i="37" s="1"/>
  <c r="DC154" i="37" s="1"/>
  <c r="DE154" i="37" s="1"/>
  <c r="BM156" i="37"/>
  <c r="BN156" i="37" s="1"/>
  <c r="BO156" i="37" s="1"/>
  <c r="BQ156" i="37" s="1"/>
  <c r="DK186" i="37"/>
  <c r="DL186" i="37" s="1"/>
  <c r="DM186" i="37" s="1"/>
  <c r="DO186" i="37" s="1"/>
  <c r="BW188" i="37"/>
  <c r="BX188" i="37" s="1"/>
  <c r="BY188" i="37" s="1"/>
  <c r="CA188" i="37" s="1"/>
  <c r="EE189" i="37"/>
  <c r="EF189" i="37" s="1"/>
  <c r="EG189" i="37" s="1"/>
  <c r="EI189" i="37" s="1"/>
  <c r="CQ191" i="37"/>
  <c r="CR191" i="37" s="1"/>
  <c r="CS191" i="37" s="1"/>
  <c r="CU191" i="37" s="1"/>
  <c r="DA185" i="37"/>
  <c r="DB185" i="37" s="1"/>
  <c r="DC185" i="37" s="1"/>
  <c r="DE185" i="37" s="1"/>
  <c r="BM187" i="37"/>
  <c r="BN187" i="37" s="1"/>
  <c r="BO187" i="37" s="1"/>
  <c r="BQ187" i="37" s="1"/>
  <c r="DU188" i="37"/>
  <c r="DV188" i="37" s="1"/>
  <c r="DW188" i="37" s="1"/>
  <c r="DY188" i="37" s="1"/>
  <c r="CG190" i="37"/>
  <c r="CH190" i="37" s="1"/>
  <c r="CI190" i="37" s="1"/>
  <c r="CK190" i="37" s="1"/>
  <c r="EO191" i="37"/>
  <c r="EP191" i="37" s="1"/>
  <c r="EQ191" i="37" s="1"/>
  <c r="ES191" i="37" s="1"/>
  <c r="BC222" i="37"/>
  <c r="BD222" i="37" s="1"/>
  <c r="BE222" i="37" s="1"/>
  <c r="BG222" i="37" s="1"/>
  <c r="DK223" i="37"/>
  <c r="DL223" i="37" s="1"/>
  <c r="DM223" i="37" s="1"/>
  <c r="DO223" i="37" s="1"/>
  <c r="BW225" i="37"/>
  <c r="BX225" i="37" s="1"/>
  <c r="BY225" i="37" s="1"/>
  <c r="CA225" i="37" s="1"/>
  <c r="EE226" i="37"/>
  <c r="EF226" i="37" s="1"/>
  <c r="EG226" i="37" s="1"/>
  <c r="EI226" i="37" s="1"/>
  <c r="CQ228" i="37"/>
  <c r="CR228" i="37" s="1"/>
  <c r="CS228" i="37" s="1"/>
  <c r="CU228" i="37" s="1"/>
  <c r="BC230" i="37"/>
  <c r="BD230" i="37" s="1"/>
  <c r="BE230" i="37" s="1"/>
  <c r="BG230" i="37" s="1"/>
  <c r="DK231" i="37"/>
  <c r="DL231" i="37" s="1"/>
  <c r="DM231" i="37" s="1"/>
  <c r="DO231" i="37" s="1"/>
  <c r="BW233" i="37"/>
  <c r="BX233" i="37" s="1"/>
  <c r="BY233" i="37" s="1"/>
  <c r="CA233" i="37" s="1"/>
  <c r="EE234" i="37"/>
  <c r="EF234" i="37" s="1"/>
  <c r="EG234" i="37" s="1"/>
  <c r="EI234" i="37" s="1"/>
  <c r="CQ236" i="37"/>
  <c r="CR236" i="37" s="1"/>
  <c r="CS236" i="37" s="1"/>
  <c r="CU236" i="37" s="1"/>
  <c r="BC238" i="37"/>
  <c r="BD238" i="37" s="1"/>
  <c r="BE238" i="37" s="1"/>
  <c r="BG238" i="37" s="1"/>
  <c r="DK239" i="37"/>
  <c r="DL239" i="37" s="1"/>
  <c r="DM239" i="37" s="1"/>
  <c r="DO239" i="37" s="1"/>
  <c r="BW241" i="37"/>
  <c r="BX241" i="37" s="1"/>
  <c r="BY241" i="37" s="1"/>
  <c r="CA241" i="37" s="1"/>
  <c r="EE242" i="37"/>
  <c r="EF242" i="37" s="1"/>
  <c r="EG242" i="37" s="1"/>
  <c r="EI242" i="37" s="1"/>
  <c r="CQ244" i="37"/>
  <c r="CR244" i="37" s="1"/>
  <c r="CS244" i="37" s="1"/>
  <c r="CU244" i="37" s="1"/>
  <c r="BC246" i="37"/>
  <c r="BD246" i="37" s="1"/>
  <c r="BE246" i="37" s="1"/>
  <c r="BG246" i="37" s="1"/>
  <c r="DK247" i="37"/>
  <c r="DL247" i="37" s="1"/>
  <c r="DM247" i="37" s="1"/>
  <c r="DO247" i="37" s="1"/>
  <c r="BW249" i="37"/>
  <c r="BX249" i="37" s="1"/>
  <c r="BY249" i="37" s="1"/>
  <c r="CA249" i="37" s="1"/>
  <c r="EE250" i="37"/>
  <c r="EF250" i="37" s="1"/>
  <c r="EG250" i="37" s="1"/>
  <c r="EI250" i="37" s="1"/>
  <c r="CQ252" i="37"/>
  <c r="CR252" i="37" s="1"/>
  <c r="CS252" i="37" s="1"/>
  <c r="CU252" i="37" s="1"/>
  <c r="BC254" i="37"/>
  <c r="BD254" i="37" s="1"/>
  <c r="BE254" i="37" s="1"/>
  <c r="BG254" i="37" s="1"/>
  <c r="DK255" i="37"/>
  <c r="DL255" i="37" s="1"/>
  <c r="DM255" i="37" s="1"/>
  <c r="DO255" i="37" s="1"/>
  <c r="BW257" i="37"/>
  <c r="BX257" i="37" s="1"/>
  <c r="BY257" i="37" s="1"/>
  <c r="CA257" i="37" s="1"/>
  <c r="EE258" i="37"/>
  <c r="EF258" i="37" s="1"/>
  <c r="EG258" i="37" s="1"/>
  <c r="EI258" i="37" s="1"/>
  <c r="CQ260" i="37"/>
  <c r="CR260" i="37" s="1"/>
  <c r="CS260" i="37" s="1"/>
  <c r="CU260" i="37" s="1"/>
  <c r="CG221" i="37"/>
  <c r="CH221" i="37" s="1"/>
  <c r="CI221" i="37" s="1"/>
  <c r="CK221" i="37" s="1"/>
  <c r="EO222" i="37"/>
  <c r="EP222" i="37" s="1"/>
  <c r="EQ222" i="37" s="1"/>
  <c r="ES222" i="37" s="1"/>
  <c r="DA224" i="37"/>
  <c r="DB224" i="37" s="1"/>
  <c r="DC224" i="37" s="1"/>
  <c r="DE224" i="37" s="1"/>
  <c r="BM226" i="37"/>
  <c r="BN226" i="37" s="1"/>
  <c r="BO226" i="37" s="1"/>
  <c r="BQ226" i="37" s="1"/>
  <c r="DU227" i="37"/>
  <c r="DV227" i="37" s="1"/>
  <c r="DW227" i="37" s="1"/>
  <c r="DY227" i="37" s="1"/>
  <c r="CG229" i="37"/>
  <c r="CH229" i="37" s="1"/>
  <c r="CI229" i="37" s="1"/>
  <c r="CK229" i="37" s="1"/>
  <c r="EO230" i="37"/>
  <c r="EP230" i="37" s="1"/>
  <c r="EQ230" i="37" s="1"/>
  <c r="ES230" i="37" s="1"/>
  <c r="DA232" i="37"/>
  <c r="DB232" i="37" s="1"/>
  <c r="DC232" i="37" s="1"/>
  <c r="DE232" i="37" s="1"/>
  <c r="BM234" i="37"/>
  <c r="BN234" i="37" s="1"/>
  <c r="BO234" i="37" s="1"/>
  <c r="BQ234" i="37" s="1"/>
  <c r="DU235" i="37"/>
  <c r="DV235" i="37" s="1"/>
  <c r="DW235" i="37" s="1"/>
  <c r="DY235" i="37" s="1"/>
  <c r="CG237" i="37"/>
  <c r="CH237" i="37" s="1"/>
  <c r="CI237" i="37" s="1"/>
  <c r="CK237" i="37" s="1"/>
  <c r="EO238" i="37"/>
  <c r="EP238" i="37" s="1"/>
  <c r="EQ238" i="37" s="1"/>
  <c r="ES238" i="37" s="1"/>
  <c r="DA240" i="37"/>
  <c r="DB240" i="37" s="1"/>
  <c r="DC240" i="37" s="1"/>
  <c r="DE240" i="37" s="1"/>
  <c r="BM242" i="37"/>
  <c r="BN242" i="37" s="1"/>
  <c r="BO242" i="37" s="1"/>
  <c r="BQ242" i="37" s="1"/>
  <c r="DU243" i="37"/>
  <c r="DV243" i="37" s="1"/>
  <c r="DW243" i="37" s="1"/>
  <c r="DY243" i="37" s="1"/>
  <c r="CG245" i="37"/>
  <c r="CH245" i="37" s="1"/>
  <c r="CI245" i="37" s="1"/>
  <c r="CK245" i="37" s="1"/>
  <c r="EO246" i="37"/>
  <c r="EP246" i="37" s="1"/>
  <c r="EQ246" i="37" s="1"/>
  <c r="ES246" i="37" s="1"/>
  <c r="DA248" i="37"/>
  <c r="DB248" i="37" s="1"/>
  <c r="DC248" i="37" s="1"/>
  <c r="DE248" i="37" s="1"/>
  <c r="BM250" i="37"/>
  <c r="BN250" i="37" s="1"/>
  <c r="BO250" i="37" s="1"/>
  <c r="BQ250" i="37" s="1"/>
  <c r="DU251" i="37"/>
  <c r="DV251" i="37" s="1"/>
  <c r="DW251" i="37" s="1"/>
  <c r="DY251" i="37" s="1"/>
  <c r="CG253" i="37"/>
  <c r="CH253" i="37" s="1"/>
  <c r="CI253" i="37" s="1"/>
  <c r="CK253" i="37" s="1"/>
  <c r="EO254" i="37"/>
  <c r="EP254" i="37" s="1"/>
  <c r="EQ254" i="37" s="1"/>
  <c r="ES254" i="37" s="1"/>
  <c r="DA256" i="37"/>
  <c r="DB256" i="37" s="1"/>
  <c r="DC256" i="37" s="1"/>
  <c r="DE256" i="37" s="1"/>
  <c r="BM258" i="37"/>
  <c r="BN258" i="37" s="1"/>
  <c r="BO258" i="37" s="1"/>
  <c r="BQ258" i="37" s="1"/>
  <c r="DU259" i="37"/>
  <c r="DV259" i="37" s="1"/>
  <c r="DW259" i="37" s="1"/>
  <c r="DY259" i="37" s="1"/>
  <c r="EE48" i="38"/>
  <c r="EF48" i="38" s="1"/>
  <c r="EG48" i="38" s="1"/>
  <c r="EI48" i="38" s="1"/>
  <c r="EO51" i="38"/>
  <c r="EP51" i="38" s="1"/>
  <c r="EQ51" i="38" s="1"/>
  <c r="ES51" i="38" s="1"/>
  <c r="BM52" i="38"/>
  <c r="BN52" i="38" s="1"/>
  <c r="BO52" i="38" s="1"/>
  <c r="BQ52" i="38" s="1"/>
  <c r="CG55" i="38"/>
  <c r="CH55" i="38" s="1"/>
  <c r="CI55" i="38" s="1"/>
  <c r="CK55" i="38" s="1"/>
  <c r="DA58" i="38"/>
  <c r="DB58" i="38" s="1"/>
  <c r="DC58" i="38" s="1"/>
  <c r="DE58" i="38" s="1"/>
  <c r="BM55" i="38"/>
  <c r="BN55" i="38" s="1"/>
  <c r="BO55" i="38" s="1"/>
  <c r="BQ55" i="38" s="1"/>
  <c r="CG58" i="38"/>
  <c r="CH58" i="38" s="1"/>
  <c r="CI58" i="38" s="1"/>
  <c r="CK58" i="38" s="1"/>
  <c r="EE60" i="38"/>
  <c r="EF60" i="38" s="1"/>
  <c r="EG60" i="38" s="1"/>
  <c r="EI60" i="38" s="1"/>
  <c r="DK79" i="38"/>
  <c r="DL79" i="38" s="1"/>
  <c r="DM79" i="38" s="1"/>
  <c r="DO79" i="38" s="1"/>
  <c r="EE82" i="38"/>
  <c r="EF82" i="38" s="1"/>
  <c r="EG82" i="38" s="1"/>
  <c r="EI82" i="38" s="1"/>
  <c r="BC86" i="38"/>
  <c r="BD86" i="38" s="1"/>
  <c r="BE86" i="38" s="1"/>
  <c r="BG86" i="38" s="1"/>
  <c r="BW89" i="38"/>
  <c r="BX89" i="38" s="1"/>
  <c r="BY89" i="38" s="1"/>
  <c r="CA89" i="38" s="1"/>
  <c r="CQ92" i="38"/>
  <c r="CR92" i="38" s="1"/>
  <c r="CS92" i="38" s="1"/>
  <c r="CU92" i="38" s="1"/>
  <c r="DK95" i="38"/>
  <c r="DL95" i="38" s="1"/>
  <c r="DM95" i="38" s="1"/>
  <c r="DO95" i="38" s="1"/>
  <c r="EE77" i="38"/>
  <c r="EF77" i="38" s="1"/>
  <c r="EG77" i="38" s="1"/>
  <c r="EI77" i="38" s="1"/>
  <c r="CQ79" i="38"/>
  <c r="CR79" i="38" s="1"/>
  <c r="CS79" i="38" s="1"/>
  <c r="CU79" i="38" s="1"/>
  <c r="DK82" i="38"/>
  <c r="DL82" i="38" s="1"/>
  <c r="DM82" i="38" s="1"/>
  <c r="DO82" i="38" s="1"/>
  <c r="EE85" i="38"/>
  <c r="EF85" i="38" s="1"/>
  <c r="EG85" i="38" s="1"/>
  <c r="EI85" i="38" s="1"/>
  <c r="BC89" i="38"/>
  <c r="BD89" i="38" s="1"/>
  <c r="BE89" i="38" s="1"/>
  <c r="BG89" i="38" s="1"/>
  <c r="BW92" i="38"/>
  <c r="BX92" i="38" s="1"/>
  <c r="BY92" i="38" s="1"/>
  <c r="CA92" i="38" s="1"/>
  <c r="CQ95" i="38"/>
  <c r="CR95" i="38" s="1"/>
  <c r="CS95" i="38" s="1"/>
  <c r="CU95" i="38" s="1"/>
  <c r="CG110" i="38"/>
  <c r="CH110" i="38" s="1"/>
  <c r="CI110" i="38" s="1"/>
  <c r="CK110" i="38" s="1"/>
  <c r="EO111" i="38"/>
  <c r="EP111" i="38" s="1"/>
  <c r="EQ111" i="38" s="1"/>
  <c r="ES111" i="38" s="1"/>
  <c r="DA113" i="38"/>
  <c r="DB113" i="38" s="1"/>
  <c r="DC113" i="38" s="1"/>
  <c r="DE113" i="38" s="1"/>
  <c r="BM115" i="38"/>
  <c r="BN115" i="38" s="1"/>
  <c r="BO115" i="38" s="1"/>
  <c r="BQ115" i="38" s="1"/>
  <c r="DA110" i="38"/>
  <c r="DB110" i="38" s="1"/>
  <c r="DC110" i="38" s="1"/>
  <c r="DE110" i="38" s="1"/>
  <c r="BM112" i="38"/>
  <c r="BN112" i="38" s="1"/>
  <c r="BO112" i="38" s="1"/>
  <c r="BQ112" i="38" s="1"/>
  <c r="DU113" i="38"/>
  <c r="DV113" i="38" s="1"/>
  <c r="DW113" i="38" s="1"/>
  <c r="DY113" i="38" s="1"/>
  <c r="CG115" i="38"/>
  <c r="CH115" i="38" s="1"/>
  <c r="CI115" i="38" s="1"/>
  <c r="CK115" i="38" s="1"/>
  <c r="DU153" i="38"/>
  <c r="DV153" i="38" s="1"/>
  <c r="DW153" i="38" s="1"/>
  <c r="DY153" i="38" s="1"/>
  <c r="EO156" i="38"/>
  <c r="EP156" i="38" s="1"/>
  <c r="EQ156" i="38" s="1"/>
  <c r="ES156" i="38" s="1"/>
  <c r="BM160" i="38"/>
  <c r="BN160" i="38" s="1"/>
  <c r="BO160" i="38" s="1"/>
  <c r="BQ160" i="38" s="1"/>
  <c r="CG163" i="38"/>
  <c r="CH163" i="38" s="1"/>
  <c r="CI163" i="38" s="1"/>
  <c r="CK163" i="38" s="1"/>
  <c r="DA166" i="38"/>
  <c r="DB166" i="38" s="1"/>
  <c r="DC166" i="38" s="1"/>
  <c r="DE166" i="38" s="1"/>
  <c r="EO153" i="38"/>
  <c r="EP153" i="38" s="1"/>
  <c r="EQ153" i="38" s="1"/>
  <c r="ES153" i="38" s="1"/>
  <c r="BM157" i="38"/>
  <c r="BN157" i="38" s="1"/>
  <c r="BO157" i="38" s="1"/>
  <c r="BQ157" i="38" s="1"/>
  <c r="CG160" i="38"/>
  <c r="CH160" i="38" s="1"/>
  <c r="CI160" i="38" s="1"/>
  <c r="CK160" i="38" s="1"/>
  <c r="DA163" i="38"/>
  <c r="DB163" i="38" s="1"/>
  <c r="DC163" i="38" s="1"/>
  <c r="DE163" i="38" s="1"/>
  <c r="DU166" i="38"/>
  <c r="DV166" i="38" s="1"/>
  <c r="DW166" i="38" s="1"/>
  <c r="DY166" i="38" s="1"/>
  <c r="CG231" i="38"/>
  <c r="CH231" i="38" s="1"/>
  <c r="CI231" i="38" s="1"/>
  <c r="CK231" i="38" s="1"/>
  <c r="DA234" i="38"/>
  <c r="DB234" i="38" s="1"/>
  <c r="DC234" i="38" s="1"/>
  <c r="DE234" i="38" s="1"/>
  <c r="DU237" i="38"/>
  <c r="DV237" i="38" s="1"/>
  <c r="DW237" i="38" s="1"/>
  <c r="DY237" i="38" s="1"/>
  <c r="EO240" i="38"/>
  <c r="EP240" i="38" s="1"/>
  <c r="EQ240" i="38" s="1"/>
  <c r="ES240" i="38" s="1"/>
  <c r="BM244" i="38"/>
  <c r="BN244" i="38" s="1"/>
  <c r="BO244" i="38" s="1"/>
  <c r="BQ244" i="38" s="1"/>
  <c r="CG247" i="38"/>
  <c r="CH247" i="38" s="1"/>
  <c r="CI247" i="38" s="1"/>
  <c r="CK247" i="38" s="1"/>
  <c r="DA250" i="38"/>
  <c r="DB250" i="38" s="1"/>
  <c r="DC250" i="38" s="1"/>
  <c r="DE250" i="38" s="1"/>
  <c r="DU253" i="38"/>
  <c r="DV253" i="38" s="1"/>
  <c r="DW253" i="38" s="1"/>
  <c r="DY253" i="38" s="1"/>
  <c r="EO256" i="38"/>
  <c r="EP256" i="38" s="1"/>
  <c r="EQ256" i="38" s="1"/>
  <c r="ES256" i="38" s="1"/>
  <c r="BM260" i="38"/>
  <c r="BN260" i="38" s="1"/>
  <c r="BO260" i="38" s="1"/>
  <c r="BQ260" i="38" s="1"/>
  <c r="CG230" i="38"/>
  <c r="CH230" i="38" s="1"/>
  <c r="CI230" i="38" s="1"/>
  <c r="CK230" i="38" s="1"/>
  <c r="DA233" i="38"/>
  <c r="DB233" i="38" s="1"/>
  <c r="DC233" i="38" s="1"/>
  <c r="DE233" i="38" s="1"/>
  <c r="DU236" i="38"/>
  <c r="DV236" i="38" s="1"/>
  <c r="DW236" i="38" s="1"/>
  <c r="DY236" i="38" s="1"/>
  <c r="EO239" i="38"/>
  <c r="EP239" i="38" s="1"/>
  <c r="EQ239" i="38" s="1"/>
  <c r="ES239" i="38" s="1"/>
  <c r="BM243" i="38"/>
  <c r="BN243" i="38" s="1"/>
  <c r="BO243" i="38" s="1"/>
  <c r="BQ243" i="38" s="1"/>
  <c r="CG246" i="38"/>
  <c r="CH246" i="38" s="1"/>
  <c r="CI246" i="38" s="1"/>
  <c r="CK246" i="38" s="1"/>
  <c r="DA249" i="38"/>
  <c r="DB249" i="38" s="1"/>
  <c r="DC249" i="38" s="1"/>
  <c r="DE249" i="38" s="1"/>
  <c r="DU252" i="38"/>
  <c r="DV252" i="38" s="1"/>
  <c r="DW252" i="38" s="1"/>
  <c r="DY252" i="38" s="1"/>
  <c r="EO255" i="38"/>
  <c r="EP255" i="38" s="1"/>
  <c r="EQ255" i="38" s="1"/>
  <c r="ES255" i="38" s="1"/>
  <c r="BM259" i="38"/>
  <c r="BN259" i="38" s="1"/>
  <c r="BO259" i="38" s="1"/>
  <c r="BQ259" i="38" s="1"/>
  <c r="CG262" i="38"/>
  <c r="CH262" i="38" s="1"/>
  <c r="CI262" i="38" s="1"/>
  <c r="CK262" i="38" s="1"/>
  <c r="EE62" i="38"/>
  <c r="EF62" i="38" s="1"/>
  <c r="EG62" i="38" s="1"/>
  <c r="EI62" i="38" s="1"/>
  <c r="BC66" i="38"/>
  <c r="BD66" i="38" s="1"/>
  <c r="BE66" i="38" s="1"/>
  <c r="BG66" i="38" s="1"/>
  <c r="BW69" i="38"/>
  <c r="BX69" i="38" s="1"/>
  <c r="BY69" i="38" s="1"/>
  <c r="CA69" i="38" s="1"/>
  <c r="CQ72" i="38"/>
  <c r="CR72" i="38" s="1"/>
  <c r="CS72" i="38" s="1"/>
  <c r="CU72" i="38" s="1"/>
  <c r="DK75" i="38"/>
  <c r="DL75" i="38" s="1"/>
  <c r="DM75" i="38" s="1"/>
  <c r="DO75" i="38" s="1"/>
  <c r="CG100" i="38"/>
  <c r="CH100" i="38" s="1"/>
  <c r="CI100" i="38" s="1"/>
  <c r="CK100" i="38" s="1"/>
  <c r="DA103" i="38"/>
  <c r="DB103" i="38" s="1"/>
  <c r="DC103" i="38" s="1"/>
  <c r="DE103" i="38" s="1"/>
  <c r="DU106" i="38"/>
  <c r="DV106" i="38" s="1"/>
  <c r="DW106" i="38" s="1"/>
  <c r="DY106" i="38" s="1"/>
  <c r="EO109" i="38"/>
  <c r="EP109" i="38" s="1"/>
  <c r="EQ109" i="38" s="1"/>
  <c r="ES109" i="38" s="1"/>
  <c r="BC67" i="38"/>
  <c r="BD67" i="38" s="1"/>
  <c r="BE67" i="38" s="1"/>
  <c r="BG67" i="38" s="1"/>
  <c r="CQ73" i="38"/>
  <c r="CR73" i="38" s="1"/>
  <c r="CS73" i="38" s="1"/>
  <c r="CU73" i="38" s="1"/>
  <c r="CG101" i="38"/>
  <c r="CH101" i="38" s="1"/>
  <c r="CI101" i="38" s="1"/>
  <c r="CK101" i="38" s="1"/>
  <c r="DU107" i="38"/>
  <c r="DV107" i="38" s="1"/>
  <c r="DW107" i="38" s="1"/>
  <c r="DY107" i="38" s="1"/>
  <c r="CG118" i="38"/>
  <c r="CH118" i="38" s="1"/>
  <c r="CI118" i="38" s="1"/>
  <c r="CK118" i="38" s="1"/>
  <c r="DA121" i="38"/>
  <c r="DB121" i="38" s="1"/>
  <c r="DC121" i="38" s="1"/>
  <c r="DE121" i="38" s="1"/>
  <c r="DU124" i="38"/>
  <c r="DV124" i="38" s="1"/>
  <c r="DW124" i="38" s="1"/>
  <c r="DY124" i="38" s="1"/>
  <c r="EO127" i="38"/>
  <c r="EP127" i="38" s="1"/>
  <c r="EQ127" i="38" s="1"/>
  <c r="ES127" i="38" s="1"/>
  <c r="BM131" i="38"/>
  <c r="BN131" i="38" s="1"/>
  <c r="BO131" i="38" s="1"/>
  <c r="BQ131" i="38" s="1"/>
  <c r="CG134" i="38"/>
  <c r="CH134" i="38" s="1"/>
  <c r="CI134" i="38" s="1"/>
  <c r="CK134" i="38" s="1"/>
  <c r="DA137" i="38"/>
  <c r="DB137" i="38" s="1"/>
  <c r="DC137" i="38" s="1"/>
  <c r="DE137" i="38" s="1"/>
  <c r="DU140" i="38"/>
  <c r="DV140" i="38" s="1"/>
  <c r="DW140" i="38" s="1"/>
  <c r="DY140" i="38" s="1"/>
  <c r="EO143" i="38"/>
  <c r="EP143" i="38" s="1"/>
  <c r="EQ143" i="38" s="1"/>
  <c r="ES143" i="38" s="1"/>
  <c r="BM147" i="38"/>
  <c r="BN147" i="38" s="1"/>
  <c r="BO147" i="38" s="1"/>
  <c r="BQ147" i="38" s="1"/>
  <c r="CG150" i="38"/>
  <c r="CH150" i="38" s="1"/>
  <c r="CI150" i="38" s="1"/>
  <c r="CK150" i="38" s="1"/>
  <c r="CG169" i="38"/>
  <c r="CH169" i="38" s="1"/>
  <c r="CI169" i="38" s="1"/>
  <c r="CK169" i="38" s="1"/>
  <c r="DA172" i="38"/>
  <c r="DB172" i="38" s="1"/>
  <c r="DC172" i="38" s="1"/>
  <c r="DE172" i="38" s="1"/>
  <c r="DU175" i="38"/>
  <c r="DV175" i="38" s="1"/>
  <c r="DW175" i="38" s="1"/>
  <c r="DY175" i="38" s="1"/>
  <c r="EO178" i="38"/>
  <c r="EP178" i="38" s="1"/>
  <c r="EQ178" i="38" s="1"/>
  <c r="ES178" i="38" s="1"/>
  <c r="BM182" i="38"/>
  <c r="BN182" i="38" s="1"/>
  <c r="BO182" i="38" s="1"/>
  <c r="BQ182" i="38" s="1"/>
  <c r="CG185" i="38"/>
  <c r="CH185" i="38" s="1"/>
  <c r="CI185" i="38" s="1"/>
  <c r="CK185" i="38" s="1"/>
  <c r="DA188" i="38"/>
  <c r="DB188" i="38" s="1"/>
  <c r="DC188" i="38" s="1"/>
  <c r="DE188" i="38" s="1"/>
  <c r="DU191" i="38"/>
  <c r="DV191" i="38" s="1"/>
  <c r="DW191" i="38" s="1"/>
  <c r="DY191" i="38" s="1"/>
  <c r="EO194" i="38"/>
  <c r="EP194" i="38" s="1"/>
  <c r="EQ194" i="38" s="1"/>
  <c r="ES194" i="38" s="1"/>
  <c r="BM198" i="38"/>
  <c r="BN198" i="38" s="1"/>
  <c r="BO198" i="38" s="1"/>
  <c r="BQ198" i="38" s="1"/>
  <c r="BW64" i="38"/>
  <c r="BX64" i="38" s="1"/>
  <c r="BY64" i="38" s="1"/>
  <c r="CA64" i="38" s="1"/>
  <c r="DK70" i="38"/>
  <c r="DL70" i="38" s="1"/>
  <c r="DM70" i="38" s="1"/>
  <c r="DO70" i="38" s="1"/>
  <c r="DA98" i="38"/>
  <c r="DB98" i="38" s="1"/>
  <c r="DC98" i="38" s="1"/>
  <c r="DE98" i="38" s="1"/>
  <c r="EO116" i="38"/>
  <c r="EP116" i="38" s="1"/>
  <c r="EQ116" i="38" s="1"/>
  <c r="ES116" i="38" s="1"/>
  <c r="CG123" i="38"/>
  <c r="CH123" i="38" s="1"/>
  <c r="CI123" i="38" s="1"/>
  <c r="CK123" i="38" s="1"/>
  <c r="DU129" i="38"/>
  <c r="DV129" i="38" s="1"/>
  <c r="DW129" i="38" s="1"/>
  <c r="DY129" i="38" s="1"/>
  <c r="BM104" i="38"/>
  <c r="BN104" i="38" s="1"/>
  <c r="BO104" i="38" s="1"/>
  <c r="BQ104" i="38" s="1"/>
  <c r="DU119" i="38"/>
  <c r="DV119" i="38" s="1"/>
  <c r="DW119" i="38" s="1"/>
  <c r="DY119" i="38" s="1"/>
  <c r="BM126" i="38"/>
  <c r="BN126" i="38" s="1"/>
  <c r="BO126" i="38" s="1"/>
  <c r="BQ126" i="38" s="1"/>
  <c r="DA132" i="38"/>
  <c r="DB132" i="38" s="1"/>
  <c r="DC132" i="38" s="1"/>
  <c r="DE132" i="38" s="1"/>
  <c r="EO138" i="38"/>
  <c r="EP138" i="38" s="1"/>
  <c r="EQ138" i="38" s="1"/>
  <c r="ES138" i="38" s="1"/>
  <c r="CG145" i="38"/>
  <c r="CH145" i="38" s="1"/>
  <c r="CI145" i="38" s="1"/>
  <c r="CK145" i="38" s="1"/>
  <c r="DU151" i="38"/>
  <c r="DV151" i="38" s="1"/>
  <c r="DW151" i="38" s="1"/>
  <c r="DY151" i="38" s="1"/>
  <c r="CG139" i="38"/>
  <c r="CH139" i="38" s="1"/>
  <c r="CI139" i="38" s="1"/>
  <c r="CK139" i="38" s="1"/>
  <c r="BM152" i="38"/>
  <c r="BN152" i="38" s="1"/>
  <c r="BO152" i="38" s="1"/>
  <c r="BQ152" i="38" s="1"/>
  <c r="DA175" i="38"/>
  <c r="DB175" i="38" s="1"/>
  <c r="DC175" i="38" s="1"/>
  <c r="DE175" i="38" s="1"/>
  <c r="EO181" i="38"/>
  <c r="EP181" i="38" s="1"/>
  <c r="EQ181" i="38" s="1"/>
  <c r="ES181" i="38" s="1"/>
  <c r="CG188" i="38"/>
  <c r="CH188" i="38" s="1"/>
  <c r="CI188" i="38" s="1"/>
  <c r="CK188" i="38" s="1"/>
  <c r="DU194" i="38"/>
  <c r="DV194" i="38" s="1"/>
  <c r="DW194" i="38" s="1"/>
  <c r="DY194" i="38" s="1"/>
  <c r="DA200" i="38"/>
  <c r="DB200" i="38" s="1"/>
  <c r="DC200" i="38" s="1"/>
  <c r="DE200" i="38" s="1"/>
  <c r="DU203" i="38"/>
  <c r="DV203" i="38" s="1"/>
  <c r="DW203" i="38" s="1"/>
  <c r="DY203" i="38" s="1"/>
  <c r="EO206" i="38"/>
  <c r="EP206" i="38" s="1"/>
  <c r="EQ206" i="38" s="1"/>
  <c r="ES206" i="38" s="1"/>
  <c r="BM210" i="38"/>
  <c r="BN210" i="38" s="1"/>
  <c r="BO210" i="38" s="1"/>
  <c r="BQ210" i="38" s="1"/>
  <c r="CG213" i="38"/>
  <c r="CH213" i="38" s="1"/>
  <c r="CI213" i="38" s="1"/>
  <c r="CK213" i="38" s="1"/>
  <c r="DA216" i="38"/>
  <c r="DB216" i="38" s="1"/>
  <c r="DC216" i="38" s="1"/>
  <c r="DE216" i="38" s="1"/>
  <c r="DU219" i="38"/>
  <c r="DV219" i="38" s="1"/>
  <c r="DW219" i="38" s="1"/>
  <c r="DY219" i="38" s="1"/>
  <c r="EO222" i="38"/>
  <c r="EP222" i="38" s="1"/>
  <c r="EQ222" i="38" s="1"/>
  <c r="ES222" i="38" s="1"/>
  <c r="BM226" i="38"/>
  <c r="BN226" i="38" s="1"/>
  <c r="BO226" i="38" s="1"/>
  <c r="BQ226" i="38" s="1"/>
  <c r="CG229" i="38"/>
  <c r="CH229" i="38" s="1"/>
  <c r="CI229" i="38" s="1"/>
  <c r="CK229" i="38" s="1"/>
  <c r="DU141" i="38"/>
  <c r="DV141" i="38" s="1"/>
  <c r="DW141" i="38" s="1"/>
  <c r="DY141" i="38" s="1"/>
  <c r="CG170" i="38"/>
  <c r="CH170" i="38" s="1"/>
  <c r="CI170" i="38" s="1"/>
  <c r="CK170" i="38" s="1"/>
  <c r="DU176" i="38"/>
  <c r="DV176" i="38" s="1"/>
  <c r="DW176" i="38" s="1"/>
  <c r="DY176" i="38" s="1"/>
  <c r="BM183" i="38"/>
  <c r="BN183" i="38" s="1"/>
  <c r="BO183" i="38" s="1"/>
  <c r="BQ183" i="38" s="1"/>
  <c r="DA189" i="38"/>
  <c r="DB189" i="38" s="1"/>
  <c r="DC189" i="38" s="1"/>
  <c r="DE189" i="38" s="1"/>
  <c r="EO195" i="38"/>
  <c r="EP195" i="38" s="1"/>
  <c r="EQ195" i="38" s="1"/>
  <c r="ES195" i="38" s="1"/>
  <c r="BM201" i="38"/>
  <c r="BN201" i="38" s="1"/>
  <c r="BO201" i="38" s="1"/>
  <c r="BQ201" i="38" s="1"/>
  <c r="CG204" i="38"/>
  <c r="CH204" i="38" s="1"/>
  <c r="CI204" i="38" s="1"/>
  <c r="CK204" i="38" s="1"/>
  <c r="DA207" i="38"/>
  <c r="DB207" i="38" s="1"/>
  <c r="DC207" i="38" s="1"/>
  <c r="DE207" i="38" s="1"/>
  <c r="DU210" i="38"/>
  <c r="DV210" i="38" s="1"/>
  <c r="DW210" i="38" s="1"/>
  <c r="DY210" i="38" s="1"/>
  <c r="EO213" i="38"/>
  <c r="EP213" i="38" s="1"/>
  <c r="EQ213" i="38" s="1"/>
  <c r="ES213" i="38" s="1"/>
  <c r="BM217" i="38"/>
  <c r="BN217" i="38" s="1"/>
  <c r="BO217" i="38" s="1"/>
  <c r="BQ217" i="38" s="1"/>
  <c r="CG220" i="38"/>
  <c r="CH220" i="38" s="1"/>
  <c r="CI220" i="38" s="1"/>
  <c r="CK220" i="38" s="1"/>
  <c r="DA223" i="38"/>
  <c r="DB223" i="38" s="1"/>
  <c r="DC223" i="38" s="1"/>
  <c r="DE223" i="38" s="1"/>
  <c r="DU226" i="38"/>
  <c r="DV226" i="38" s="1"/>
  <c r="DW226" i="38" s="1"/>
  <c r="DY226" i="38" s="1"/>
  <c r="EO229" i="38"/>
  <c r="EP229" i="38" s="1"/>
  <c r="EQ229" i="38" s="1"/>
  <c r="ES229" i="38" s="1"/>
  <c r="BC255" i="38"/>
  <c r="BD255" i="38" s="1"/>
  <c r="BE255" i="38" s="1"/>
  <c r="BG255" i="38" s="1"/>
  <c r="CQ260" i="38"/>
  <c r="CR260" i="38" s="1"/>
  <c r="CS260" i="38" s="1"/>
  <c r="CU260" i="38" s="1"/>
  <c r="DA263" i="38"/>
  <c r="DB263" i="38" s="1"/>
  <c r="DC263" i="38" s="1"/>
  <c r="DE263" i="38" s="1"/>
  <c r="BM265" i="38"/>
  <c r="BN265" i="38" s="1"/>
  <c r="BO265" i="38" s="1"/>
  <c r="BQ265" i="38" s="1"/>
  <c r="DU266" i="38"/>
  <c r="DV266" i="38" s="1"/>
  <c r="DW266" i="38" s="1"/>
  <c r="DY266" i="38" s="1"/>
  <c r="CG268" i="38"/>
  <c r="CH268" i="38" s="1"/>
  <c r="CI268" i="38" s="1"/>
  <c r="CK268" i="38" s="1"/>
  <c r="EO72" i="38"/>
  <c r="EP72" i="38" s="1"/>
  <c r="EQ72" i="38" s="1"/>
  <c r="ES72" i="38" s="1"/>
  <c r="EO78" i="38"/>
  <c r="EP78" i="38" s="1"/>
  <c r="EQ78" i="38" s="1"/>
  <c r="ES78" i="38" s="1"/>
  <c r="EO9" i="38"/>
  <c r="EP9" i="38" s="1"/>
  <c r="EQ9" i="38" s="1"/>
  <c r="ES9" i="38" s="1"/>
  <c r="EO84" i="38"/>
  <c r="EP84" i="38" s="1"/>
  <c r="EQ84" i="38" s="1"/>
  <c r="ES84" i="38" s="1"/>
  <c r="EO67" i="38"/>
  <c r="EP67" i="38" s="1"/>
  <c r="EQ67" i="38" s="1"/>
  <c r="ES67" i="38" s="1"/>
  <c r="EO48" i="38"/>
  <c r="EP48" i="38" s="1"/>
  <c r="EQ48" i="38" s="1"/>
  <c r="ES48" i="38" s="1"/>
  <c r="EO40" i="38"/>
  <c r="EP40" i="38" s="1"/>
  <c r="EQ40" i="38" s="1"/>
  <c r="ES40" i="38" s="1"/>
  <c r="EO30" i="38"/>
  <c r="EP30" i="38" s="1"/>
  <c r="EQ30" i="38" s="1"/>
  <c r="ES30" i="38" s="1"/>
  <c r="EE236" i="38"/>
  <c r="EF236" i="38" s="1"/>
  <c r="EG236" i="38" s="1"/>
  <c r="EI236" i="38" s="1"/>
  <c r="EE221" i="38"/>
  <c r="EF221" i="38" s="1"/>
  <c r="EG221" i="38" s="1"/>
  <c r="EI221" i="38" s="1"/>
  <c r="EE205" i="38"/>
  <c r="EF205" i="38" s="1"/>
  <c r="EG205" i="38" s="1"/>
  <c r="EI205" i="38" s="1"/>
  <c r="EE179" i="38"/>
  <c r="EF179" i="38" s="1"/>
  <c r="EG179" i="38" s="1"/>
  <c r="EI179" i="38" s="1"/>
  <c r="EE257" i="38"/>
  <c r="EF257" i="38" s="1"/>
  <c r="EG257" i="38" s="1"/>
  <c r="EI257" i="38" s="1"/>
  <c r="EE241" i="38"/>
  <c r="EF241" i="38" s="1"/>
  <c r="EG241" i="38" s="1"/>
  <c r="EI241" i="38" s="1"/>
  <c r="EE224" i="38"/>
  <c r="EF224" i="38" s="1"/>
  <c r="EG224" i="38" s="1"/>
  <c r="EI224" i="38" s="1"/>
  <c r="EE208" i="38"/>
  <c r="EF208" i="38" s="1"/>
  <c r="EG208" i="38" s="1"/>
  <c r="EI208" i="38" s="1"/>
  <c r="EE185" i="38"/>
  <c r="EF185" i="38" s="1"/>
  <c r="EG185" i="38" s="1"/>
  <c r="EI185" i="38" s="1"/>
  <c r="EE140" i="38"/>
  <c r="EF140" i="38" s="1"/>
  <c r="EG140" i="38" s="1"/>
  <c r="EI140" i="38" s="1"/>
  <c r="EE142" i="38"/>
  <c r="EF142" i="38" s="1"/>
  <c r="EG142" i="38" s="1"/>
  <c r="EI142" i="38" s="1"/>
  <c r="EE100" i="38"/>
  <c r="EF100" i="38" s="1"/>
  <c r="EG100" i="38" s="1"/>
  <c r="EI100" i="38" s="1"/>
  <c r="EE55" i="38"/>
  <c r="EF55" i="38" s="1"/>
  <c r="EG55" i="38" s="1"/>
  <c r="EI55" i="38" s="1"/>
  <c r="EE188" i="38"/>
  <c r="EF188" i="38" s="1"/>
  <c r="EG188" i="38" s="1"/>
  <c r="EI188" i="38" s="1"/>
  <c r="EE172" i="38"/>
  <c r="EF172" i="38" s="1"/>
  <c r="EG172" i="38" s="1"/>
  <c r="EI172" i="38" s="1"/>
  <c r="EE157" i="38"/>
  <c r="EF157" i="38" s="1"/>
  <c r="EG157" i="38" s="1"/>
  <c r="EI157" i="38" s="1"/>
  <c r="EE141" i="38"/>
  <c r="EF141" i="38" s="1"/>
  <c r="EG141" i="38" s="1"/>
  <c r="EI141" i="38" s="1"/>
  <c r="EE125" i="38"/>
  <c r="EF125" i="38" s="1"/>
  <c r="EG125" i="38" s="1"/>
  <c r="EI125" i="38" s="1"/>
  <c r="EE102" i="38"/>
  <c r="EF102" i="38" s="1"/>
  <c r="EG102" i="38" s="1"/>
  <c r="EI102" i="38" s="1"/>
  <c r="EE107" i="38"/>
  <c r="EF107" i="38" s="1"/>
  <c r="EG107" i="38" s="1"/>
  <c r="EI107" i="38" s="1"/>
  <c r="EE50" i="38"/>
  <c r="EF50" i="38" s="1"/>
  <c r="EG50" i="38" s="1"/>
  <c r="EI50" i="38" s="1"/>
  <c r="EE14" i="38"/>
  <c r="EF14" i="38" s="1"/>
  <c r="EG14" i="38" s="1"/>
  <c r="EI14" i="38" s="1"/>
  <c r="EE18" i="38"/>
  <c r="EF18" i="38" s="1"/>
  <c r="EG18" i="38" s="1"/>
  <c r="EI18" i="38" s="1"/>
  <c r="DK233" i="38"/>
  <c r="DL233" i="38" s="1"/>
  <c r="DM233" i="38" s="1"/>
  <c r="DO233" i="38" s="1"/>
  <c r="DK216" i="38"/>
  <c r="DL216" i="38" s="1"/>
  <c r="DM216" i="38" s="1"/>
  <c r="DO216" i="38" s="1"/>
  <c r="DK200" i="38"/>
  <c r="DL200" i="38" s="1"/>
  <c r="DM200" i="38" s="1"/>
  <c r="DO200" i="38" s="1"/>
  <c r="DK165" i="38"/>
  <c r="DL165" i="38" s="1"/>
  <c r="DM165" i="38" s="1"/>
  <c r="DO165" i="38" s="1"/>
  <c r="DK251" i="38"/>
  <c r="DL251" i="38" s="1"/>
  <c r="DM251" i="38" s="1"/>
  <c r="DO251" i="38" s="1"/>
  <c r="DK235" i="38"/>
  <c r="DL235" i="38" s="1"/>
  <c r="DM235" i="38" s="1"/>
  <c r="DO235" i="38" s="1"/>
  <c r="DK221" i="38"/>
  <c r="DL221" i="38" s="1"/>
  <c r="DM221" i="38" s="1"/>
  <c r="DO221" i="38" s="1"/>
  <c r="DK205" i="38"/>
  <c r="DL205" i="38" s="1"/>
  <c r="DM205" i="38" s="1"/>
  <c r="DO205" i="38" s="1"/>
  <c r="DK178" i="38"/>
  <c r="DL178" i="38" s="1"/>
  <c r="DM178" i="38" s="1"/>
  <c r="DO178" i="38" s="1"/>
  <c r="DK161" i="38"/>
  <c r="DL161" i="38" s="1"/>
  <c r="DM161" i="38" s="1"/>
  <c r="DO161" i="38" s="1"/>
  <c r="DK131" i="38"/>
  <c r="DL131" i="38" s="1"/>
  <c r="DM131" i="38" s="1"/>
  <c r="DO131" i="38" s="1"/>
  <c r="DK117" i="38"/>
  <c r="DL117" i="38" s="1"/>
  <c r="DM117" i="38" s="1"/>
  <c r="DO117" i="38" s="1"/>
  <c r="DK199" i="38"/>
  <c r="DL199" i="38" s="1"/>
  <c r="DM199" i="38" s="1"/>
  <c r="DO199" i="38" s="1"/>
  <c r="DK183" i="38"/>
  <c r="DL183" i="38" s="1"/>
  <c r="DM183" i="38" s="1"/>
  <c r="DO183" i="38" s="1"/>
  <c r="DK167" i="38"/>
  <c r="DL167" i="38" s="1"/>
  <c r="DM167" i="38" s="1"/>
  <c r="DO167" i="38" s="1"/>
  <c r="DK152" i="38"/>
  <c r="DL152" i="38" s="1"/>
  <c r="DM152" i="38" s="1"/>
  <c r="DO152" i="38" s="1"/>
  <c r="DK136" i="38"/>
  <c r="DL136" i="38" s="1"/>
  <c r="DM136" i="38" s="1"/>
  <c r="DO136" i="38" s="1"/>
  <c r="DK120" i="38"/>
  <c r="DL120" i="38" s="1"/>
  <c r="DM120" i="38" s="1"/>
  <c r="DO120" i="38" s="1"/>
  <c r="DK99" i="38"/>
  <c r="DL99" i="38" s="1"/>
  <c r="DM99" i="38" s="1"/>
  <c r="DO99" i="38" s="1"/>
  <c r="DK102" i="38"/>
  <c r="DL102" i="38" s="1"/>
  <c r="DM102" i="38" s="1"/>
  <c r="DO102" i="38" s="1"/>
  <c r="DK21" i="38"/>
  <c r="DL21" i="38" s="1"/>
  <c r="DM21" i="38" s="1"/>
  <c r="DO21" i="38" s="1"/>
  <c r="DK15" i="38"/>
  <c r="DL15" i="38" s="1"/>
  <c r="DM15" i="38" s="1"/>
  <c r="DO15" i="38" s="1"/>
  <c r="DA93" i="38"/>
  <c r="DB93" i="38" s="1"/>
  <c r="DC93" i="38" s="1"/>
  <c r="DE93" i="38" s="1"/>
  <c r="DA62" i="38"/>
  <c r="DB62" i="38" s="1"/>
  <c r="DC62" i="38" s="1"/>
  <c r="DE62" i="38" s="1"/>
  <c r="DA80" i="38"/>
  <c r="DB80" i="38" s="1"/>
  <c r="DC80" i="38" s="1"/>
  <c r="DE80" i="38" s="1"/>
  <c r="DA91" i="38"/>
  <c r="DB91" i="38" s="1"/>
  <c r="DC91" i="38" s="1"/>
  <c r="DE91" i="38" s="1"/>
  <c r="DA75" i="38"/>
  <c r="DB75" i="38" s="1"/>
  <c r="DC75" i="38" s="1"/>
  <c r="DE75" i="38" s="1"/>
  <c r="DA60" i="38"/>
  <c r="DB60" i="38" s="1"/>
  <c r="DC60" i="38" s="1"/>
  <c r="DE60" i="38" s="1"/>
  <c r="DA45" i="38"/>
  <c r="DB45" i="38" s="1"/>
  <c r="DC45" i="38" s="1"/>
  <c r="DE45" i="38" s="1"/>
  <c r="DA37" i="38"/>
  <c r="DB37" i="38" s="1"/>
  <c r="DC37" i="38" s="1"/>
  <c r="DE37" i="38" s="1"/>
  <c r="CG98" i="38"/>
  <c r="CH98" i="38" s="1"/>
  <c r="CI98" i="38" s="1"/>
  <c r="CK98" i="38" s="1"/>
  <c r="CG12" i="38"/>
  <c r="CH12" i="38" s="1"/>
  <c r="CI12" i="38" s="1"/>
  <c r="CK12" i="38" s="1"/>
  <c r="CG69" i="38"/>
  <c r="CH69" i="38" s="1"/>
  <c r="CI69" i="38" s="1"/>
  <c r="CK69" i="38" s="1"/>
  <c r="CG91" i="38"/>
  <c r="CH91" i="38" s="1"/>
  <c r="CI91" i="38" s="1"/>
  <c r="CK91" i="38" s="1"/>
  <c r="CG74" i="38"/>
  <c r="CH74" i="38" s="1"/>
  <c r="CI74" i="38" s="1"/>
  <c r="CK74" i="38" s="1"/>
  <c r="CG32" i="38"/>
  <c r="CH32" i="38" s="1"/>
  <c r="CI32" i="38" s="1"/>
  <c r="CK32" i="38" s="1"/>
  <c r="CG45" i="38"/>
  <c r="CH45" i="38" s="1"/>
  <c r="CI45" i="38" s="1"/>
  <c r="CK45" i="38" s="1"/>
  <c r="CG37" i="38"/>
  <c r="CH37" i="38" s="1"/>
  <c r="CI37" i="38" s="1"/>
  <c r="CK37" i="38" s="1"/>
  <c r="CQ249" i="38"/>
  <c r="CR249" i="38" s="1"/>
  <c r="CS249" i="38" s="1"/>
  <c r="CU249" i="38" s="1"/>
  <c r="CQ257" i="38"/>
  <c r="CR257" i="38" s="1"/>
  <c r="CS257" i="38" s="1"/>
  <c r="CU257" i="38" s="1"/>
  <c r="DK261" i="38"/>
  <c r="DL261" i="38" s="1"/>
  <c r="DM261" i="38" s="1"/>
  <c r="DO261" i="38" s="1"/>
  <c r="BC264" i="38"/>
  <c r="BD264" i="38" s="1"/>
  <c r="BE264" i="38" s="1"/>
  <c r="BG264" i="38" s="1"/>
  <c r="DK265" i="38"/>
  <c r="DL265" i="38" s="1"/>
  <c r="DM265" i="38" s="1"/>
  <c r="DO265" i="38" s="1"/>
  <c r="BW267" i="38"/>
  <c r="BX267" i="38" s="1"/>
  <c r="BY267" i="38" s="1"/>
  <c r="CA267" i="38" s="1"/>
  <c r="EE268" i="38"/>
  <c r="EF268" i="38" s="1"/>
  <c r="EG268" i="38" s="1"/>
  <c r="EI268" i="38" s="1"/>
  <c r="DU69" i="38"/>
  <c r="DV69" i="38" s="1"/>
  <c r="DW69" i="38" s="1"/>
  <c r="DY69" i="38" s="1"/>
  <c r="DU84" i="38"/>
  <c r="DV84" i="38" s="1"/>
  <c r="DW84" i="38" s="1"/>
  <c r="DY84" i="38" s="1"/>
  <c r="DU93" i="38"/>
  <c r="DV93" i="38" s="1"/>
  <c r="DW93" i="38" s="1"/>
  <c r="DY93" i="38" s="1"/>
  <c r="DU77" i="38"/>
  <c r="DV77" i="38" s="1"/>
  <c r="DW77" i="38" s="1"/>
  <c r="DY77" i="38" s="1"/>
  <c r="DU62" i="38"/>
  <c r="DV62" i="38" s="1"/>
  <c r="DW62" i="38" s="1"/>
  <c r="DY62" i="38" s="1"/>
  <c r="DU45" i="38"/>
  <c r="DV45" i="38" s="1"/>
  <c r="DW45" i="38" s="1"/>
  <c r="DY45" i="38" s="1"/>
  <c r="DU37" i="38"/>
  <c r="DV37" i="38" s="1"/>
  <c r="DW37" i="38" s="1"/>
  <c r="DY37" i="38" s="1"/>
  <c r="CQ245" i="38"/>
  <c r="CR245" i="38" s="1"/>
  <c r="CS245" i="38" s="1"/>
  <c r="CU245" i="38" s="1"/>
  <c r="CQ229" i="38"/>
  <c r="CR229" i="38" s="1"/>
  <c r="CS229" i="38" s="1"/>
  <c r="CU229" i="38" s="1"/>
  <c r="CQ213" i="38"/>
  <c r="CR213" i="38" s="1"/>
  <c r="CS213" i="38" s="1"/>
  <c r="CU213" i="38" s="1"/>
  <c r="CQ193" i="38"/>
  <c r="CR193" i="38" s="1"/>
  <c r="CS193" i="38" s="1"/>
  <c r="CU193" i="38" s="1"/>
  <c r="CQ146" i="38"/>
  <c r="CR146" i="38" s="1"/>
  <c r="CS146" i="38" s="1"/>
  <c r="CU146" i="38" s="1"/>
  <c r="CQ247" i="38"/>
  <c r="CR247" i="38" s="1"/>
  <c r="CS247" i="38" s="1"/>
  <c r="CU247" i="38" s="1"/>
  <c r="CQ231" i="38"/>
  <c r="CR231" i="38" s="1"/>
  <c r="CS231" i="38" s="1"/>
  <c r="CU231" i="38" s="1"/>
  <c r="CQ214" i="38"/>
  <c r="CR214" i="38" s="1"/>
  <c r="CS214" i="38" s="1"/>
  <c r="CU214" i="38" s="1"/>
  <c r="CQ199" i="38"/>
  <c r="CR199" i="38" s="1"/>
  <c r="CS199" i="38" s="1"/>
  <c r="CU199" i="38" s="1"/>
  <c r="CQ154" i="38"/>
  <c r="CR154" i="38" s="1"/>
  <c r="CS154" i="38" s="1"/>
  <c r="CU154" i="38" s="1"/>
  <c r="CQ158" i="38"/>
  <c r="CR158" i="38" s="1"/>
  <c r="CS158" i="38" s="1"/>
  <c r="CU158" i="38" s="1"/>
  <c r="CQ128" i="38"/>
  <c r="CR128" i="38" s="1"/>
  <c r="CS128" i="38" s="1"/>
  <c r="CU128" i="38" s="1"/>
  <c r="CQ126" i="38"/>
  <c r="CR126" i="38" s="1"/>
  <c r="CS126" i="38" s="1"/>
  <c r="CU126" i="38" s="1"/>
  <c r="CQ194" i="38"/>
  <c r="CR194" i="38" s="1"/>
  <c r="CS194" i="38" s="1"/>
  <c r="CU194" i="38" s="1"/>
  <c r="CQ178" i="38"/>
  <c r="CR178" i="38" s="1"/>
  <c r="CS178" i="38" s="1"/>
  <c r="CU178" i="38" s="1"/>
  <c r="CQ163" i="38"/>
  <c r="CR163" i="38" s="1"/>
  <c r="CS163" i="38" s="1"/>
  <c r="CU163" i="38" s="1"/>
  <c r="CQ145" i="38"/>
  <c r="CR145" i="38" s="1"/>
  <c r="CS145" i="38" s="1"/>
  <c r="CU145" i="38" s="1"/>
  <c r="CQ129" i="38"/>
  <c r="CR129" i="38" s="1"/>
  <c r="CS129" i="38" s="1"/>
  <c r="CU129" i="38" s="1"/>
  <c r="CQ108" i="38"/>
  <c r="CR108" i="38" s="1"/>
  <c r="CS108" i="38" s="1"/>
  <c r="CU108" i="38" s="1"/>
  <c r="CQ109" i="38"/>
  <c r="CR109" i="38" s="1"/>
  <c r="CS109" i="38" s="1"/>
  <c r="CU109" i="38" s="1"/>
  <c r="CQ53" i="38"/>
  <c r="CR53" i="38" s="1"/>
  <c r="CS53" i="38" s="1"/>
  <c r="CU53" i="38" s="1"/>
  <c r="CQ54" i="38"/>
  <c r="CR54" i="38" s="1"/>
  <c r="CS54" i="38" s="1"/>
  <c r="CU54" i="38" s="1"/>
  <c r="CQ24" i="38"/>
  <c r="CR24" i="38" s="1"/>
  <c r="CS24" i="38" s="1"/>
  <c r="CU24" i="38" s="1"/>
  <c r="BW239" i="38"/>
  <c r="BX239" i="38" s="1"/>
  <c r="BY239" i="38" s="1"/>
  <c r="CA239" i="38" s="1"/>
  <c r="BW224" i="38"/>
  <c r="BX224" i="38" s="1"/>
  <c r="BY224" i="38" s="1"/>
  <c r="CA224" i="38" s="1"/>
  <c r="BW208" i="38"/>
  <c r="BX208" i="38" s="1"/>
  <c r="BY208" i="38" s="1"/>
  <c r="CA208" i="38" s="1"/>
  <c r="BW186" i="38"/>
  <c r="BX186" i="38" s="1"/>
  <c r="BY186" i="38" s="1"/>
  <c r="CA186" i="38" s="1"/>
  <c r="BW143" i="38"/>
  <c r="BX143" i="38" s="1"/>
  <c r="BY143" i="38" s="1"/>
  <c r="CA143" i="38" s="1"/>
  <c r="BW245" i="38"/>
  <c r="BX245" i="38" s="1"/>
  <c r="BY245" i="38" s="1"/>
  <c r="CA245" i="38" s="1"/>
  <c r="BW229" i="38"/>
  <c r="BX229" i="38" s="1"/>
  <c r="BY229" i="38" s="1"/>
  <c r="CA229" i="38" s="1"/>
  <c r="BW213" i="38"/>
  <c r="BX213" i="38" s="1"/>
  <c r="BY213" i="38" s="1"/>
  <c r="CA213" i="38" s="1"/>
  <c r="BW192" i="38"/>
  <c r="BX192" i="38" s="1"/>
  <c r="BY192" i="38" s="1"/>
  <c r="CA192" i="38" s="1"/>
  <c r="BW147" i="38"/>
  <c r="BX147" i="38" s="1"/>
  <c r="BY147" i="38" s="1"/>
  <c r="CA147" i="38" s="1"/>
  <c r="BW141" i="38"/>
  <c r="BX141" i="38" s="1"/>
  <c r="BY141" i="38" s="1"/>
  <c r="CA141" i="38" s="1"/>
  <c r="BW99" i="38"/>
  <c r="BX99" i="38" s="1"/>
  <c r="BY99" i="38" s="1"/>
  <c r="CA99" i="38" s="1"/>
  <c r="BW199" i="38"/>
  <c r="BX199" i="38" s="1"/>
  <c r="BY199" i="38" s="1"/>
  <c r="CA199" i="38" s="1"/>
  <c r="BW183" i="38"/>
  <c r="BX183" i="38" s="1"/>
  <c r="BY183" i="38" s="1"/>
  <c r="CA183" i="38" s="1"/>
  <c r="BW168" i="38"/>
  <c r="BX168" i="38" s="1"/>
  <c r="BY168" i="38" s="1"/>
  <c r="CA168" i="38" s="1"/>
  <c r="BW152" i="38"/>
  <c r="BX152" i="38" s="1"/>
  <c r="BY152" i="38" s="1"/>
  <c r="CA152" i="38" s="1"/>
  <c r="BW136" i="38"/>
  <c r="BX136" i="38" s="1"/>
  <c r="BY136" i="38" s="1"/>
  <c r="CA136" i="38" s="1"/>
  <c r="BW120" i="38"/>
  <c r="BX120" i="38" s="1"/>
  <c r="BY120" i="38" s="1"/>
  <c r="CA120" i="38" s="1"/>
  <c r="BW54" i="38"/>
  <c r="BX54" i="38" s="1"/>
  <c r="BY54" i="38" s="1"/>
  <c r="CA54" i="38" s="1"/>
  <c r="BW106" i="38"/>
  <c r="BX106" i="38" s="1"/>
  <c r="BY106" i="38" s="1"/>
  <c r="CA106" i="38" s="1"/>
  <c r="BW55" i="38"/>
  <c r="BX55" i="38" s="1"/>
  <c r="BY55" i="38" s="1"/>
  <c r="CA55" i="38" s="1"/>
  <c r="BW27" i="38"/>
  <c r="BX27" i="38" s="1"/>
  <c r="BY27" i="38" s="1"/>
  <c r="CA27" i="38" s="1"/>
  <c r="BM87" i="38"/>
  <c r="BN87" i="38" s="1"/>
  <c r="BO87" i="38" s="1"/>
  <c r="BQ87" i="38" s="1"/>
  <c r="BM68" i="38"/>
  <c r="BN68" i="38" s="1"/>
  <c r="BO68" i="38" s="1"/>
  <c r="BQ68" i="38" s="1"/>
  <c r="BM83" i="38"/>
  <c r="BN83" i="38" s="1"/>
  <c r="BO83" i="38" s="1"/>
  <c r="BQ83" i="38" s="1"/>
  <c r="BM97" i="38"/>
  <c r="BN97" i="38" s="1"/>
  <c r="BO97" i="38" s="1"/>
  <c r="BQ97" i="38" s="1"/>
  <c r="BM81" i="38"/>
  <c r="BN81" i="38" s="1"/>
  <c r="BO81" i="38" s="1"/>
  <c r="BQ81" i="38" s="1"/>
  <c r="BM65" i="38"/>
  <c r="BN65" i="38" s="1"/>
  <c r="BO65" i="38" s="1"/>
  <c r="BQ65" i="38" s="1"/>
  <c r="BM47" i="38"/>
  <c r="BN47" i="38" s="1"/>
  <c r="BO47" i="38" s="1"/>
  <c r="BQ47" i="38" s="1"/>
  <c r="BM39" i="38"/>
  <c r="BN39" i="38" s="1"/>
  <c r="BO39" i="38" s="1"/>
  <c r="BQ39" i="38" s="1"/>
  <c r="BM10" i="38"/>
  <c r="BN10" i="38" s="1"/>
  <c r="BO10" i="38" s="1"/>
  <c r="BQ10" i="38" s="1"/>
  <c r="BC235" i="38"/>
  <c r="BD235" i="38" s="1"/>
  <c r="BE235" i="38" s="1"/>
  <c r="BG235" i="38" s="1"/>
  <c r="BC219" i="38"/>
  <c r="BD219" i="38" s="1"/>
  <c r="BE219" i="38" s="1"/>
  <c r="BG219" i="38" s="1"/>
  <c r="BC203" i="38"/>
  <c r="BD203" i="38" s="1"/>
  <c r="BE203" i="38" s="1"/>
  <c r="BG203" i="38" s="1"/>
  <c r="BC175" i="38"/>
  <c r="BD175" i="38" s="1"/>
  <c r="BE175" i="38" s="1"/>
  <c r="BG175" i="38" s="1"/>
  <c r="BC258" i="38"/>
  <c r="BD258" i="38" s="1"/>
  <c r="BE258" i="38" s="1"/>
  <c r="BG258" i="38" s="1"/>
  <c r="BC242" i="38"/>
  <c r="BD242" i="38" s="1"/>
  <c r="BE242" i="38" s="1"/>
  <c r="BG242" i="38" s="1"/>
  <c r="BC226" i="38"/>
  <c r="BD226" i="38" s="1"/>
  <c r="BE226" i="38" s="1"/>
  <c r="BG226" i="38" s="1"/>
  <c r="BC210" i="38"/>
  <c r="BD210" i="38" s="1"/>
  <c r="BE210" i="38" s="1"/>
  <c r="BG210" i="38" s="1"/>
  <c r="BC189" i="38"/>
  <c r="BD189" i="38" s="1"/>
  <c r="BE189" i="38" s="1"/>
  <c r="BG189" i="38" s="1"/>
  <c r="BC144" i="38"/>
  <c r="BD144" i="38" s="1"/>
  <c r="BE144" i="38" s="1"/>
  <c r="BG144" i="38" s="1"/>
  <c r="BC142" i="38"/>
  <c r="BD142" i="38" s="1"/>
  <c r="BE142" i="38" s="1"/>
  <c r="BG142" i="38" s="1"/>
  <c r="BC104" i="38"/>
  <c r="BD104" i="38" s="1"/>
  <c r="BE104" i="38" s="1"/>
  <c r="BG104" i="38" s="1"/>
  <c r="BC57" i="38"/>
  <c r="BD57" i="38" s="1"/>
  <c r="BE57" i="38" s="1"/>
  <c r="BG57" i="38" s="1"/>
  <c r="BC188" i="38"/>
  <c r="BD188" i="38" s="1"/>
  <c r="BE188" i="38" s="1"/>
  <c r="BG188" i="38" s="1"/>
  <c r="BC172" i="38"/>
  <c r="BD172" i="38" s="1"/>
  <c r="BE172" i="38" s="1"/>
  <c r="BG172" i="38" s="1"/>
  <c r="BC154" i="38"/>
  <c r="BD154" i="38" s="1"/>
  <c r="BE154" i="38" s="1"/>
  <c r="BG154" i="38" s="1"/>
  <c r="BC139" i="38"/>
  <c r="BD139" i="38" s="1"/>
  <c r="BE139" i="38" s="1"/>
  <c r="BG139" i="38" s="1"/>
  <c r="BC123" i="38"/>
  <c r="BD123" i="38" s="1"/>
  <c r="BE123" i="38" s="1"/>
  <c r="BG123" i="38" s="1"/>
  <c r="BC60" i="38"/>
  <c r="BD60" i="38" s="1"/>
  <c r="BE60" i="38" s="1"/>
  <c r="BG60" i="38" s="1"/>
  <c r="BC107" i="38"/>
  <c r="BD107" i="38" s="1"/>
  <c r="BE107" i="38" s="1"/>
  <c r="BG107" i="38" s="1"/>
  <c r="BC54" i="38"/>
  <c r="BD54" i="38" s="1"/>
  <c r="BE54" i="38" s="1"/>
  <c r="BG54" i="38" s="1"/>
  <c r="BC26" i="38"/>
  <c r="BD26" i="38" s="1"/>
  <c r="BE26" i="38" s="1"/>
  <c r="BG26" i="38" s="1"/>
  <c r="BM93" i="37"/>
  <c r="BN93" i="37" s="1"/>
  <c r="BO93" i="37" s="1"/>
  <c r="BQ93" i="37" s="1"/>
  <c r="BM103" i="37"/>
  <c r="BN103" i="37" s="1"/>
  <c r="BO103" i="37" s="1"/>
  <c r="BQ103" i="37" s="1"/>
  <c r="DA232" i="38"/>
  <c r="DB232" i="38" s="1"/>
  <c r="DC232" i="38" s="1"/>
  <c r="DE232" i="38" s="1"/>
  <c r="DU235" i="38"/>
  <c r="DV235" i="38" s="1"/>
  <c r="DW235" i="38" s="1"/>
  <c r="DY235" i="38" s="1"/>
  <c r="EO238" i="38"/>
  <c r="EP238" i="38" s="1"/>
  <c r="EQ238" i="38" s="1"/>
  <c r="ES238" i="38" s="1"/>
  <c r="BM242" i="38"/>
  <c r="BN242" i="38" s="1"/>
  <c r="BO242" i="38" s="1"/>
  <c r="BQ242" i="38" s="1"/>
  <c r="CG245" i="38"/>
  <c r="CH245" i="38" s="1"/>
  <c r="CI245" i="38" s="1"/>
  <c r="CK245" i="38" s="1"/>
  <c r="DA248" i="38"/>
  <c r="DB248" i="38" s="1"/>
  <c r="DC248" i="38" s="1"/>
  <c r="DE248" i="38" s="1"/>
  <c r="DU251" i="38"/>
  <c r="DV251" i="38" s="1"/>
  <c r="DW251" i="38" s="1"/>
  <c r="DY251" i="38" s="1"/>
  <c r="EO254" i="38"/>
  <c r="EP254" i="38" s="1"/>
  <c r="EQ254" i="38" s="1"/>
  <c r="ES254" i="38" s="1"/>
  <c r="BM258" i="38"/>
  <c r="BN258" i="38" s="1"/>
  <c r="BO258" i="38" s="1"/>
  <c r="BQ258" i="38" s="1"/>
  <c r="CG261" i="38"/>
  <c r="CH261" i="38" s="1"/>
  <c r="CI261" i="38" s="1"/>
  <c r="CK261" i="38" s="1"/>
  <c r="DA231" i="38"/>
  <c r="DB231" i="38" s="1"/>
  <c r="DC231" i="38" s="1"/>
  <c r="DE231" i="38" s="1"/>
  <c r="DU234" i="38"/>
  <c r="DV234" i="38" s="1"/>
  <c r="DW234" i="38" s="1"/>
  <c r="DY234" i="38" s="1"/>
  <c r="EO237" i="38"/>
  <c r="EP237" i="38" s="1"/>
  <c r="EQ237" i="38" s="1"/>
  <c r="ES237" i="38" s="1"/>
  <c r="BM241" i="38"/>
  <c r="BN241" i="38" s="1"/>
  <c r="BO241" i="38" s="1"/>
  <c r="BQ241" i="38" s="1"/>
  <c r="CG244" i="38"/>
  <c r="CH244" i="38" s="1"/>
  <c r="CI244" i="38" s="1"/>
  <c r="CK244" i="38" s="1"/>
  <c r="DA247" i="38"/>
  <c r="DB247" i="38" s="1"/>
  <c r="DC247" i="38" s="1"/>
  <c r="DE247" i="38" s="1"/>
  <c r="DU250" i="38"/>
  <c r="DV250" i="38" s="1"/>
  <c r="DW250" i="38" s="1"/>
  <c r="DY250" i="38" s="1"/>
  <c r="EO253" i="38"/>
  <c r="EP253" i="38" s="1"/>
  <c r="EQ253" i="38" s="1"/>
  <c r="ES253" i="38" s="1"/>
  <c r="BM257" i="38"/>
  <c r="BN257" i="38" s="1"/>
  <c r="BO257" i="38" s="1"/>
  <c r="BQ257" i="38" s="1"/>
  <c r="CG260" i="38"/>
  <c r="CH260" i="38" s="1"/>
  <c r="CI260" i="38" s="1"/>
  <c r="CK260" i="38" s="1"/>
  <c r="DK61" i="38"/>
  <c r="DL61" i="38" s="1"/>
  <c r="DM61" i="38" s="1"/>
  <c r="DO61" i="38" s="1"/>
  <c r="EE64" i="38"/>
  <c r="EF64" i="38" s="1"/>
  <c r="EG64" i="38" s="1"/>
  <c r="EI64" i="38" s="1"/>
  <c r="BC68" i="38"/>
  <c r="BD68" i="38" s="1"/>
  <c r="BE68" i="38" s="1"/>
  <c r="BG68" i="38" s="1"/>
  <c r="BW71" i="38"/>
  <c r="BX71" i="38" s="1"/>
  <c r="BY71" i="38" s="1"/>
  <c r="CA71" i="38" s="1"/>
  <c r="CQ74" i="38"/>
  <c r="CR74" i="38" s="1"/>
  <c r="CS74" i="38" s="1"/>
  <c r="CU74" i="38" s="1"/>
  <c r="BM99" i="38"/>
  <c r="BN99" i="38" s="1"/>
  <c r="BO99" i="38" s="1"/>
  <c r="BQ99" i="38" s="1"/>
  <c r="CG102" i="38"/>
  <c r="CH102" i="38" s="1"/>
  <c r="CI102" i="38" s="1"/>
  <c r="CK102" i="38" s="1"/>
  <c r="DA105" i="38"/>
  <c r="DB105" i="38" s="1"/>
  <c r="DC105" i="38" s="1"/>
  <c r="DE105" i="38" s="1"/>
  <c r="DU108" i="38"/>
  <c r="DV108" i="38" s="1"/>
  <c r="DW108" i="38" s="1"/>
  <c r="DY108" i="38" s="1"/>
  <c r="DK64" i="38"/>
  <c r="DL64" i="38" s="1"/>
  <c r="DM64" i="38" s="1"/>
  <c r="DO64" i="38" s="1"/>
  <c r="BC71" i="38"/>
  <c r="BD71" i="38" s="1"/>
  <c r="BE71" i="38" s="1"/>
  <c r="BG71" i="38" s="1"/>
  <c r="EO98" i="38"/>
  <c r="EP98" i="38" s="1"/>
  <c r="EQ98" i="38" s="1"/>
  <c r="ES98" i="38" s="1"/>
  <c r="CG105" i="38"/>
  <c r="CH105" i="38" s="1"/>
  <c r="CI105" i="38" s="1"/>
  <c r="CK105" i="38" s="1"/>
  <c r="BM117" i="38"/>
  <c r="BN117" i="38" s="1"/>
  <c r="BO117" i="38" s="1"/>
  <c r="BQ117" i="38" s="1"/>
  <c r="CG120" i="38"/>
  <c r="CH120" i="38" s="1"/>
  <c r="CI120" i="38" s="1"/>
  <c r="CK120" i="38" s="1"/>
  <c r="DA123" i="38"/>
  <c r="DB123" i="38" s="1"/>
  <c r="DC123" i="38" s="1"/>
  <c r="DE123" i="38" s="1"/>
  <c r="DU126" i="38"/>
  <c r="DV126" i="38" s="1"/>
  <c r="DW126" i="38" s="1"/>
  <c r="DY126" i="38" s="1"/>
  <c r="EO129" i="38"/>
  <c r="EP129" i="38" s="1"/>
  <c r="EQ129" i="38" s="1"/>
  <c r="ES129" i="38" s="1"/>
  <c r="BM133" i="38"/>
  <c r="BN133" i="38" s="1"/>
  <c r="BO133" i="38" s="1"/>
  <c r="BQ133" i="38" s="1"/>
  <c r="CG136" i="38"/>
  <c r="CH136" i="38" s="1"/>
  <c r="CI136" i="38" s="1"/>
  <c r="CK136" i="38" s="1"/>
  <c r="DA139" i="38"/>
  <c r="DB139" i="38" s="1"/>
  <c r="DC139" i="38" s="1"/>
  <c r="DE139" i="38" s="1"/>
  <c r="DU142" i="38"/>
  <c r="DV142" i="38" s="1"/>
  <c r="DW142" i="38" s="1"/>
  <c r="DY142" i="38" s="1"/>
  <c r="EO145" i="38"/>
  <c r="EP145" i="38" s="1"/>
  <c r="EQ145" i="38" s="1"/>
  <c r="ES145" i="38" s="1"/>
  <c r="BM149" i="38"/>
  <c r="BN149" i="38" s="1"/>
  <c r="BO149" i="38" s="1"/>
  <c r="BQ149" i="38" s="1"/>
  <c r="CG152" i="38"/>
  <c r="CH152" i="38" s="1"/>
  <c r="CI152" i="38" s="1"/>
  <c r="CK152" i="38" s="1"/>
  <c r="CG171" i="38"/>
  <c r="CH171" i="38" s="1"/>
  <c r="CI171" i="38" s="1"/>
  <c r="CK171" i="38" s="1"/>
  <c r="DA174" i="38"/>
  <c r="DB174" i="38" s="1"/>
  <c r="DC174" i="38" s="1"/>
  <c r="DE174" i="38" s="1"/>
  <c r="DU177" i="38"/>
  <c r="DV177" i="38" s="1"/>
  <c r="DW177" i="38" s="1"/>
  <c r="DY177" i="38" s="1"/>
  <c r="EO180" i="38"/>
  <c r="EP180" i="38" s="1"/>
  <c r="EQ180" i="38" s="1"/>
  <c r="ES180" i="38" s="1"/>
  <c r="BM184" i="38"/>
  <c r="BN184" i="38" s="1"/>
  <c r="BO184" i="38" s="1"/>
  <c r="BQ184" i="38" s="1"/>
  <c r="CG187" i="38"/>
  <c r="CH187" i="38" s="1"/>
  <c r="CI187" i="38" s="1"/>
  <c r="CK187" i="38" s="1"/>
  <c r="DA190" i="38"/>
  <c r="DB190" i="38" s="1"/>
  <c r="DC190" i="38" s="1"/>
  <c r="DE190" i="38" s="1"/>
  <c r="DU193" i="38"/>
  <c r="DV193" i="38" s="1"/>
  <c r="DW193" i="38" s="1"/>
  <c r="DY193" i="38" s="1"/>
  <c r="EO196" i="38"/>
  <c r="EP196" i="38" s="1"/>
  <c r="EQ196" i="38" s="1"/>
  <c r="ES196" i="38" s="1"/>
  <c r="EE61" i="38"/>
  <c r="EF61" i="38" s="1"/>
  <c r="EG61" i="38" s="1"/>
  <c r="EI61" i="38" s="1"/>
  <c r="BW68" i="38"/>
  <c r="BX68" i="38" s="1"/>
  <c r="BY68" i="38" s="1"/>
  <c r="CA68" i="38" s="1"/>
  <c r="CQ75" i="38"/>
  <c r="CR75" i="38" s="1"/>
  <c r="CS75" i="38" s="1"/>
  <c r="CU75" i="38" s="1"/>
  <c r="DA106" i="38"/>
  <c r="DB106" i="38" s="1"/>
  <c r="DC106" i="38" s="1"/>
  <c r="DE106" i="38" s="1"/>
  <c r="EO120" i="38"/>
  <c r="EP120" i="38" s="1"/>
  <c r="EQ120" i="38" s="1"/>
  <c r="ES120" i="38" s="1"/>
  <c r="CG127" i="38"/>
  <c r="CH127" i="38" s="1"/>
  <c r="CI127" i="38" s="1"/>
  <c r="CK127" i="38" s="1"/>
  <c r="CG99" i="38"/>
  <c r="CH99" i="38" s="1"/>
  <c r="CI99" i="38" s="1"/>
  <c r="CK99" i="38" s="1"/>
  <c r="CG117" i="38"/>
  <c r="CH117" i="38" s="1"/>
  <c r="CI117" i="38" s="1"/>
  <c r="CK117" i="38" s="1"/>
  <c r="DU123" i="38"/>
  <c r="DV123" i="38" s="1"/>
  <c r="DW123" i="38" s="1"/>
  <c r="DY123" i="38" s="1"/>
  <c r="BM130" i="38"/>
  <c r="BN130" i="38" s="1"/>
  <c r="BO130" i="38" s="1"/>
  <c r="BQ130" i="38" s="1"/>
  <c r="DA136" i="38"/>
  <c r="DB136" i="38" s="1"/>
  <c r="DC136" i="38" s="1"/>
  <c r="DE136" i="38" s="1"/>
  <c r="EO142" i="38"/>
  <c r="EP142" i="38" s="1"/>
  <c r="EQ142" i="38" s="1"/>
  <c r="ES142" i="38" s="1"/>
  <c r="CG149" i="38"/>
  <c r="CH149" i="38" s="1"/>
  <c r="CI149" i="38" s="1"/>
  <c r="CK149" i="38" s="1"/>
  <c r="DA134" i="38"/>
  <c r="DB134" i="38" s="1"/>
  <c r="DC134" i="38" s="1"/>
  <c r="DE134" i="38" s="1"/>
  <c r="CG147" i="38"/>
  <c r="CH147" i="38" s="1"/>
  <c r="CI147" i="38" s="1"/>
  <c r="CK147" i="38" s="1"/>
  <c r="BM173" i="38"/>
  <c r="BN173" i="38" s="1"/>
  <c r="BO173" i="38" s="1"/>
  <c r="BQ173" i="38" s="1"/>
  <c r="DA179" i="38"/>
  <c r="DB179" i="38" s="1"/>
  <c r="DC179" i="38" s="1"/>
  <c r="DE179" i="38" s="1"/>
  <c r="EO185" i="38"/>
  <c r="EP185" i="38" s="1"/>
  <c r="EQ185" i="38" s="1"/>
  <c r="ES185" i="38" s="1"/>
  <c r="CG192" i="38"/>
  <c r="CH192" i="38" s="1"/>
  <c r="CI192" i="38" s="1"/>
  <c r="CK192" i="38" s="1"/>
  <c r="DU198" i="38"/>
  <c r="DV198" i="38" s="1"/>
  <c r="DW198" i="38" s="1"/>
  <c r="DY198" i="38" s="1"/>
  <c r="DA202" i="38"/>
  <c r="DB202" i="38" s="1"/>
  <c r="DC202" i="38" s="1"/>
  <c r="DE202" i="38" s="1"/>
  <c r="DU205" i="38"/>
  <c r="DV205" i="38" s="1"/>
  <c r="DW205" i="38" s="1"/>
  <c r="DY205" i="38" s="1"/>
  <c r="EO208" i="38"/>
  <c r="EP208" i="38" s="1"/>
  <c r="EQ208" i="38" s="1"/>
  <c r="ES208" i="38" s="1"/>
  <c r="BM212" i="38"/>
  <c r="BN212" i="38" s="1"/>
  <c r="BO212" i="38" s="1"/>
  <c r="BQ212" i="38" s="1"/>
  <c r="CG215" i="38"/>
  <c r="CH215" i="38" s="1"/>
  <c r="CI215" i="38" s="1"/>
  <c r="CK215" i="38" s="1"/>
  <c r="DA218" i="38"/>
  <c r="DB218" i="38" s="1"/>
  <c r="DC218" i="38" s="1"/>
  <c r="DE218" i="38" s="1"/>
  <c r="DU221" i="38"/>
  <c r="DV221" i="38" s="1"/>
  <c r="DW221" i="38" s="1"/>
  <c r="DY221" i="38" s="1"/>
  <c r="EO224" i="38"/>
  <c r="EP224" i="38" s="1"/>
  <c r="EQ224" i="38" s="1"/>
  <c r="ES224" i="38" s="1"/>
  <c r="BM228" i="38"/>
  <c r="BN228" i="38" s="1"/>
  <c r="BO228" i="38" s="1"/>
  <c r="BQ228" i="38" s="1"/>
  <c r="EO136" i="38"/>
  <c r="EP136" i="38" s="1"/>
  <c r="EQ136" i="38" s="1"/>
  <c r="ES136" i="38" s="1"/>
  <c r="DU149" i="38"/>
  <c r="DV149" i="38" s="1"/>
  <c r="DW149" i="38" s="1"/>
  <c r="DY149" i="38" s="1"/>
  <c r="CG174" i="38"/>
  <c r="CH174" i="38" s="1"/>
  <c r="CI174" i="38" s="1"/>
  <c r="CK174" i="38" s="1"/>
  <c r="DU180" i="38"/>
  <c r="DV180" i="38" s="1"/>
  <c r="DW180" i="38" s="1"/>
  <c r="DY180" i="38" s="1"/>
  <c r="BM187" i="38"/>
  <c r="BN187" i="38" s="1"/>
  <c r="BO187" i="38" s="1"/>
  <c r="BQ187" i="38" s="1"/>
  <c r="DA193" i="38"/>
  <c r="DB193" i="38" s="1"/>
  <c r="DC193" i="38" s="1"/>
  <c r="DE193" i="38" s="1"/>
  <c r="EO199" i="38"/>
  <c r="EP199" i="38" s="1"/>
  <c r="EQ199" i="38" s="1"/>
  <c r="ES199" i="38" s="1"/>
  <c r="BM203" i="38"/>
  <c r="BN203" i="38" s="1"/>
  <c r="BO203" i="38" s="1"/>
  <c r="BQ203" i="38" s="1"/>
  <c r="CG206" i="38"/>
  <c r="CH206" i="38" s="1"/>
  <c r="CI206" i="38" s="1"/>
  <c r="CK206" i="38" s="1"/>
  <c r="DA209" i="38"/>
  <c r="DB209" i="38" s="1"/>
  <c r="DC209" i="38" s="1"/>
  <c r="DE209" i="38" s="1"/>
  <c r="DU212" i="38"/>
  <c r="DV212" i="38" s="1"/>
  <c r="DW212" i="38" s="1"/>
  <c r="DY212" i="38" s="1"/>
  <c r="EO215" i="38"/>
  <c r="EP215" i="38" s="1"/>
  <c r="EQ215" i="38" s="1"/>
  <c r="ES215" i="38" s="1"/>
  <c r="BM219" i="38"/>
  <c r="BN219" i="38" s="1"/>
  <c r="BO219" i="38" s="1"/>
  <c r="BQ219" i="38" s="1"/>
  <c r="CG222" i="38"/>
  <c r="CH222" i="38" s="1"/>
  <c r="CI222" i="38" s="1"/>
  <c r="CK222" i="38" s="1"/>
  <c r="DA225" i="38"/>
  <c r="DB225" i="38" s="1"/>
  <c r="DC225" i="38" s="1"/>
  <c r="DE225" i="38" s="1"/>
  <c r="DU228" i="38"/>
  <c r="DV228" i="38" s="1"/>
  <c r="DW228" i="38" s="1"/>
  <c r="DY228" i="38" s="1"/>
  <c r="EE252" i="38"/>
  <c r="EF252" i="38" s="1"/>
  <c r="EG252" i="38" s="1"/>
  <c r="EI252" i="38" s="1"/>
  <c r="BW259" i="38"/>
  <c r="BX259" i="38" s="1"/>
  <c r="BY259" i="38" s="1"/>
  <c r="CA259" i="38" s="1"/>
  <c r="DK262" i="38"/>
  <c r="DL262" i="38" s="1"/>
  <c r="DM262" i="38" s="1"/>
  <c r="DO262" i="38" s="1"/>
  <c r="DK264" i="38"/>
  <c r="DL264" i="38" s="1"/>
  <c r="DM264" i="38" s="1"/>
  <c r="DO264" i="38" s="1"/>
  <c r="BW266" i="38"/>
  <c r="BX266" i="38" s="1"/>
  <c r="BY266" i="38" s="1"/>
  <c r="CA266" i="38" s="1"/>
  <c r="EE267" i="38"/>
  <c r="EF267" i="38" s="1"/>
  <c r="EG267" i="38" s="1"/>
  <c r="EI267" i="38" s="1"/>
  <c r="EO91" i="38"/>
  <c r="EP91" i="38" s="1"/>
  <c r="EQ91" i="38" s="1"/>
  <c r="ES91" i="38" s="1"/>
  <c r="EO87" i="38"/>
  <c r="EP87" i="38" s="1"/>
  <c r="EQ87" i="38" s="1"/>
  <c r="ES87" i="38" s="1"/>
  <c r="EO60" i="38"/>
  <c r="EP60" i="38" s="1"/>
  <c r="EQ60" i="38" s="1"/>
  <c r="ES60" i="38" s="1"/>
  <c r="EO89" i="38"/>
  <c r="EP89" i="38" s="1"/>
  <c r="EQ89" i="38" s="1"/>
  <c r="ES89" i="38" s="1"/>
  <c r="EO73" i="38"/>
  <c r="EP73" i="38" s="1"/>
  <c r="EQ73" i="38" s="1"/>
  <c r="ES73" i="38" s="1"/>
  <c r="EO32" i="38"/>
  <c r="EP32" i="38" s="1"/>
  <c r="EQ32" i="38" s="1"/>
  <c r="ES32" i="38" s="1"/>
  <c r="EO43" i="38"/>
  <c r="EP43" i="38" s="1"/>
  <c r="EQ43" i="38" s="1"/>
  <c r="ES43" i="38" s="1"/>
  <c r="EO35" i="38"/>
  <c r="EP35" i="38" s="1"/>
  <c r="EQ35" i="38" s="1"/>
  <c r="ES35" i="38" s="1"/>
  <c r="EE243" i="38"/>
  <c r="EF243" i="38" s="1"/>
  <c r="EG243" i="38" s="1"/>
  <c r="EI243" i="38" s="1"/>
  <c r="EE227" i="38"/>
  <c r="EF227" i="38" s="1"/>
  <c r="EG227" i="38" s="1"/>
  <c r="EI227" i="38" s="1"/>
  <c r="EE211" i="38"/>
  <c r="EF211" i="38" s="1"/>
  <c r="EG211" i="38" s="1"/>
  <c r="EI211" i="38" s="1"/>
  <c r="EE191" i="38"/>
  <c r="EF191" i="38" s="1"/>
  <c r="EG191" i="38" s="1"/>
  <c r="EI191" i="38" s="1"/>
  <c r="EE144" i="38"/>
  <c r="EF144" i="38" s="1"/>
  <c r="EG144" i="38" s="1"/>
  <c r="EI144" i="38" s="1"/>
  <c r="EE246" i="38"/>
  <c r="EF246" i="38" s="1"/>
  <c r="EG246" i="38" s="1"/>
  <c r="EI246" i="38" s="1"/>
  <c r="EE230" i="38"/>
  <c r="EF230" i="38" s="1"/>
  <c r="EG230" i="38" s="1"/>
  <c r="EI230" i="38" s="1"/>
  <c r="EE214" i="38"/>
  <c r="EF214" i="38" s="1"/>
  <c r="EG214" i="38" s="1"/>
  <c r="EI214" i="38" s="1"/>
  <c r="EE197" i="38"/>
  <c r="EF197" i="38" s="1"/>
  <c r="EG197" i="38" s="1"/>
  <c r="EI197" i="38" s="1"/>
  <c r="EE160" i="38"/>
  <c r="EF160" i="38" s="1"/>
  <c r="EG160" i="38" s="1"/>
  <c r="EI160" i="38" s="1"/>
  <c r="EE155" i="38"/>
  <c r="EF155" i="38" s="1"/>
  <c r="EG155" i="38" s="1"/>
  <c r="EI155" i="38" s="1"/>
  <c r="EE122" i="38"/>
  <c r="EF122" i="38" s="1"/>
  <c r="EG122" i="38" s="1"/>
  <c r="EI122" i="38" s="1"/>
  <c r="EE111" i="38"/>
  <c r="EF111" i="38" s="1"/>
  <c r="EG111" i="38" s="1"/>
  <c r="EI111" i="38" s="1"/>
  <c r="EE194" i="38"/>
  <c r="EF194" i="38" s="1"/>
  <c r="EG194" i="38" s="1"/>
  <c r="EI194" i="38" s="1"/>
  <c r="EE178" i="38"/>
  <c r="EF178" i="38" s="1"/>
  <c r="EG178" i="38" s="1"/>
  <c r="EI178" i="38" s="1"/>
  <c r="EE162" i="38"/>
  <c r="EF162" i="38" s="1"/>
  <c r="EG162" i="38" s="1"/>
  <c r="EI162" i="38" s="1"/>
  <c r="EE147" i="38"/>
  <c r="EF147" i="38" s="1"/>
  <c r="EG147" i="38" s="1"/>
  <c r="EI147" i="38" s="1"/>
  <c r="EE131" i="38"/>
  <c r="EF131" i="38" s="1"/>
  <c r="EG131" i="38" s="1"/>
  <c r="EI131" i="38" s="1"/>
  <c r="EE115" i="38"/>
  <c r="EF115" i="38" s="1"/>
  <c r="EG115" i="38" s="1"/>
  <c r="EI115" i="38" s="1"/>
  <c r="EE113" i="38"/>
  <c r="EF113" i="38" s="1"/>
  <c r="EG113" i="38" s="1"/>
  <c r="EI113" i="38" s="1"/>
  <c r="EE59" i="38"/>
  <c r="EF59" i="38" s="1"/>
  <c r="EG59" i="38" s="1"/>
  <c r="EI59" i="38" s="1"/>
  <c r="EE21" i="38"/>
  <c r="EF21" i="38" s="1"/>
  <c r="EG21" i="38" s="1"/>
  <c r="EI21" i="38" s="1"/>
  <c r="EE23" i="38"/>
  <c r="EF23" i="38" s="1"/>
  <c r="EG23" i="38" s="1"/>
  <c r="EI23" i="38" s="1"/>
  <c r="DK240" i="38"/>
  <c r="DL240" i="38" s="1"/>
  <c r="DM240" i="38" s="1"/>
  <c r="DO240" i="38" s="1"/>
  <c r="DK222" i="38"/>
  <c r="DL222" i="38" s="1"/>
  <c r="DM222" i="38" s="1"/>
  <c r="DO222" i="38" s="1"/>
  <c r="DK206" i="38"/>
  <c r="DL206" i="38" s="1"/>
  <c r="DM206" i="38" s="1"/>
  <c r="DO206" i="38" s="1"/>
  <c r="DK180" i="38"/>
  <c r="DL180" i="38" s="1"/>
  <c r="DM180" i="38" s="1"/>
  <c r="DO180" i="38" s="1"/>
  <c r="DK258" i="38"/>
  <c r="DL258" i="38" s="1"/>
  <c r="DM258" i="38" s="1"/>
  <c r="DO258" i="38" s="1"/>
  <c r="DK242" i="38"/>
  <c r="DL242" i="38" s="1"/>
  <c r="DM242" i="38" s="1"/>
  <c r="DO242" i="38" s="1"/>
  <c r="DK227" i="38"/>
  <c r="DL227" i="38" s="1"/>
  <c r="DM227" i="38" s="1"/>
  <c r="DO227" i="38" s="1"/>
  <c r="DK211" i="38"/>
  <c r="DL211" i="38" s="1"/>
  <c r="DM211" i="38" s="1"/>
  <c r="DO211" i="38" s="1"/>
  <c r="DK190" i="38"/>
  <c r="DL190" i="38" s="1"/>
  <c r="DM190" i="38" s="1"/>
  <c r="DO190" i="38" s="1"/>
  <c r="DK145" i="38"/>
  <c r="DL145" i="38" s="1"/>
  <c r="DM145" i="38" s="1"/>
  <c r="DO145" i="38" s="1"/>
  <c r="DK143" i="38"/>
  <c r="DL143" i="38" s="1"/>
  <c r="DM143" i="38" s="1"/>
  <c r="DO143" i="38" s="1"/>
  <c r="DK129" i="38"/>
  <c r="DL129" i="38" s="1"/>
  <c r="DM129" i="38" s="1"/>
  <c r="DO129" i="38" s="1"/>
  <c r="DK52" i="38"/>
  <c r="DL52" i="38" s="1"/>
  <c r="DM52" i="38" s="1"/>
  <c r="DO52" i="38" s="1"/>
  <c r="DK189" i="38"/>
  <c r="DL189" i="38" s="1"/>
  <c r="DM189" i="38" s="1"/>
  <c r="DO189" i="38" s="1"/>
  <c r="DK173" i="38"/>
  <c r="DL173" i="38" s="1"/>
  <c r="DM173" i="38" s="1"/>
  <c r="DO173" i="38" s="1"/>
  <c r="DK158" i="38"/>
  <c r="DL158" i="38" s="1"/>
  <c r="DM158" i="38" s="1"/>
  <c r="DO158" i="38" s="1"/>
  <c r="DK142" i="38"/>
  <c r="DL142" i="38" s="1"/>
  <c r="DM142" i="38" s="1"/>
  <c r="DO142" i="38" s="1"/>
  <c r="DK126" i="38"/>
  <c r="DL126" i="38" s="1"/>
  <c r="DM126" i="38" s="1"/>
  <c r="DO126" i="38" s="1"/>
  <c r="DK111" i="38"/>
  <c r="DL111" i="38" s="1"/>
  <c r="DM111" i="38" s="1"/>
  <c r="DO111" i="38" s="1"/>
  <c r="DK108" i="38"/>
  <c r="DL108" i="38" s="1"/>
  <c r="DM108" i="38" s="1"/>
  <c r="DO108" i="38" s="1"/>
  <c r="DK55" i="38"/>
  <c r="DL55" i="38" s="1"/>
  <c r="DM55" i="38" s="1"/>
  <c r="DO55" i="38" s="1"/>
  <c r="DK50" i="38"/>
  <c r="DL50" i="38" s="1"/>
  <c r="DM50" i="38" s="1"/>
  <c r="DO50" i="38" s="1"/>
  <c r="DK23" i="38"/>
  <c r="DL23" i="38" s="1"/>
  <c r="DM23" i="38" s="1"/>
  <c r="DO23" i="38" s="1"/>
  <c r="DA84" i="38"/>
  <c r="DB84" i="38" s="1"/>
  <c r="DC84" i="38" s="1"/>
  <c r="DE84" i="38" s="1"/>
  <c r="DA89" i="38"/>
  <c r="DB89" i="38" s="1"/>
  <c r="DC89" i="38" s="1"/>
  <c r="DE89" i="38" s="1"/>
  <c r="DA11" i="38"/>
  <c r="DB11" i="38" s="1"/>
  <c r="DC11" i="38" s="1"/>
  <c r="DE11" i="38" s="1"/>
  <c r="DA82" i="38"/>
  <c r="DB82" i="38" s="1"/>
  <c r="DC82" i="38" s="1"/>
  <c r="DE82" i="38" s="1"/>
  <c r="DA65" i="38"/>
  <c r="DB65" i="38" s="1"/>
  <c r="DC65" i="38" s="1"/>
  <c r="DE65" i="38" s="1"/>
  <c r="DA48" i="38"/>
  <c r="DB48" i="38" s="1"/>
  <c r="DC48" i="38" s="1"/>
  <c r="DE48" i="38" s="1"/>
  <c r="DA40" i="38"/>
  <c r="DB40" i="38" s="1"/>
  <c r="DC40" i="38" s="1"/>
  <c r="DE40" i="38" s="1"/>
  <c r="DA10" i="38"/>
  <c r="DB10" i="38" s="1"/>
  <c r="DC10" i="38" s="1"/>
  <c r="DE10" i="38" s="1"/>
  <c r="CG71" i="38"/>
  <c r="CH71" i="38" s="1"/>
  <c r="CI71" i="38" s="1"/>
  <c r="CK71" i="38" s="1"/>
  <c r="CG78" i="38"/>
  <c r="CH78" i="38" s="1"/>
  <c r="CI78" i="38" s="1"/>
  <c r="CK78" i="38" s="1"/>
  <c r="CG96" i="38"/>
  <c r="CH96" i="38" s="1"/>
  <c r="CI96" i="38" s="1"/>
  <c r="CK96" i="38" s="1"/>
  <c r="CG80" i="38"/>
  <c r="CH80" i="38" s="1"/>
  <c r="CI80" i="38" s="1"/>
  <c r="CK80" i="38" s="1"/>
  <c r="CG64" i="38"/>
  <c r="CH64" i="38" s="1"/>
  <c r="CI64" i="38" s="1"/>
  <c r="CK64" i="38" s="1"/>
  <c r="CG48" i="38"/>
  <c r="CH48" i="38" s="1"/>
  <c r="CI48" i="38" s="1"/>
  <c r="CK48" i="38" s="1"/>
  <c r="CG40" i="38"/>
  <c r="CH40" i="38" s="1"/>
  <c r="CI40" i="38" s="1"/>
  <c r="CK40" i="38" s="1"/>
  <c r="CG11" i="38"/>
  <c r="CH11" i="38" s="1"/>
  <c r="CI11" i="38" s="1"/>
  <c r="CK11" i="38" s="1"/>
  <c r="BW254" i="38"/>
  <c r="BX254" i="38" s="1"/>
  <c r="BY254" i="38" s="1"/>
  <c r="CA254" i="38" s="1"/>
  <c r="DK260" i="38"/>
  <c r="DL260" i="38" s="1"/>
  <c r="DM260" i="38" s="1"/>
  <c r="DO260" i="38" s="1"/>
  <c r="CG263" i="38"/>
  <c r="CH263" i="38" s="1"/>
  <c r="CI263" i="38" s="1"/>
  <c r="CK263" i="38" s="1"/>
  <c r="EO264" i="38"/>
  <c r="EP264" i="38" s="1"/>
  <c r="EQ264" i="38" s="1"/>
  <c r="ES264" i="38" s="1"/>
  <c r="DA266" i="38"/>
  <c r="DB266" i="38" s="1"/>
  <c r="DC266" i="38" s="1"/>
  <c r="DE266" i="38" s="1"/>
  <c r="BM268" i="38"/>
  <c r="BN268" i="38" s="1"/>
  <c r="BO268" i="38" s="1"/>
  <c r="BQ268" i="38" s="1"/>
  <c r="DU80" i="38"/>
  <c r="DV80" i="38" s="1"/>
  <c r="DW80" i="38" s="1"/>
  <c r="DY80" i="38" s="1"/>
  <c r="DU34" i="38"/>
  <c r="DV34" i="38" s="1"/>
  <c r="DW34" i="38" s="1"/>
  <c r="DY34" i="38" s="1"/>
  <c r="DU71" i="38"/>
  <c r="DV71" i="38" s="1"/>
  <c r="DW71" i="38" s="1"/>
  <c r="DY71" i="38" s="1"/>
  <c r="DU86" i="38"/>
  <c r="DV86" i="38" s="1"/>
  <c r="DW86" i="38" s="1"/>
  <c r="DY86" i="38" s="1"/>
  <c r="DU72" i="38"/>
  <c r="DV72" i="38" s="1"/>
  <c r="DW72" i="38" s="1"/>
  <c r="DY72" i="38" s="1"/>
  <c r="DU29" i="38"/>
  <c r="DV29" i="38" s="1"/>
  <c r="DW29" i="38" s="1"/>
  <c r="DY29" i="38" s="1"/>
  <c r="DU42" i="38"/>
  <c r="DV42" i="38" s="1"/>
  <c r="DW42" i="38" s="1"/>
  <c r="DY42" i="38" s="1"/>
  <c r="DU32" i="38"/>
  <c r="DV32" i="38" s="1"/>
  <c r="DW32" i="38" s="1"/>
  <c r="DY32" i="38" s="1"/>
  <c r="CQ238" i="38"/>
  <c r="CR238" i="38" s="1"/>
  <c r="CS238" i="38" s="1"/>
  <c r="CU238" i="38" s="1"/>
  <c r="CQ223" i="38"/>
  <c r="CR223" i="38" s="1"/>
  <c r="CS223" i="38" s="1"/>
  <c r="CU223" i="38" s="1"/>
  <c r="CQ207" i="38"/>
  <c r="CR207" i="38" s="1"/>
  <c r="CS207" i="38" s="1"/>
  <c r="CU207" i="38" s="1"/>
  <c r="CQ181" i="38"/>
  <c r="CR181" i="38" s="1"/>
  <c r="CS181" i="38" s="1"/>
  <c r="CU181" i="38" s="1"/>
  <c r="CQ256" i="38"/>
  <c r="CR256" i="38" s="1"/>
  <c r="CS256" i="38" s="1"/>
  <c r="CU256" i="38" s="1"/>
  <c r="CQ240" i="38"/>
  <c r="CR240" i="38" s="1"/>
  <c r="CS240" i="38" s="1"/>
  <c r="CU240" i="38" s="1"/>
  <c r="CQ224" i="38"/>
  <c r="CR224" i="38" s="1"/>
  <c r="CS224" i="38" s="1"/>
  <c r="CU224" i="38" s="1"/>
  <c r="CQ208" i="38"/>
  <c r="CR208" i="38" s="1"/>
  <c r="CS208" i="38" s="1"/>
  <c r="CU208" i="38" s="1"/>
  <c r="CQ187" i="38"/>
  <c r="CR187" i="38" s="1"/>
  <c r="CS187" i="38" s="1"/>
  <c r="CU187" i="38" s="1"/>
  <c r="CQ142" i="38"/>
  <c r="CR142" i="38" s="1"/>
  <c r="CS142" i="38" s="1"/>
  <c r="CU142" i="38" s="1"/>
  <c r="CQ148" i="38"/>
  <c r="CR148" i="38" s="1"/>
  <c r="CS148" i="38" s="1"/>
  <c r="CU148" i="38" s="1"/>
  <c r="CQ115" i="38"/>
  <c r="CR115" i="38" s="1"/>
  <c r="CS115" i="38" s="1"/>
  <c r="CU115" i="38" s="1"/>
  <c r="CQ106" i="38"/>
  <c r="CR106" i="38" s="1"/>
  <c r="CS106" i="38" s="1"/>
  <c r="CU106" i="38" s="1"/>
  <c r="CQ188" i="38"/>
  <c r="CR188" i="38" s="1"/>
  <c r="CS188" i="38" s="1"/>
  <c r="CU188" i="38" s="1"/>
  <c r="CQ172" i="38"/>
  <c r="CR172" i="38" s="1"/>
  <c r="CS172" i="38" s="1"/>
  <c r="CU172" i="38" s="1"/>
  <c r="CQ156" i="38"/>
  <c r="CR156" i="38" s="1"/>
  <c r="CS156" i="38" s="1"/>
  <c r="CU156" i="38" s="1"/>
  <c r="CQ139" i="38"/>
  <c r="CR139" i="38" s="1"/>
  <c r="CS139" i="38" s="1"/>
  <c r="CU139" i="38" s="1"/>
  <c r="CQ123" i="38"/>
  <c r="CR123" i="38" s="1"/>
  <c r="CS123" i="38" s="1"/>
  <c r="CU123" i="38" s="1"/>
  <c r="CQ59" i="38"/>
  <c r="CR59" i="38" s="1"/>
  <c r="CS59" i="38" s="1"/>
  <c r="CU59" i="38" s="1"/>
  <c r="CQ103" i="38"/>
  <c r="CR103" i="38" s="1"/>
  <c r="CS103" i="38" s="1"/>
  <c r="CU103" i="38" s="1"/>
  <c r="CQ19" i="38"/>
  <c r="CR19" i="38" s="1"/>
  <c r="CS19" i="38" s="1"/>
  <c r="CU19" i="38" s="1"/>
  <c r="CQ16" i="38"/>
  <c r="CR16" i="38" s="1"/>
  <c r="CS16" i="38" s="1"/>
  <c r="CU16" i="38" s="1"/>
  <c r="CQ20" i="38"/>
  <c r="CR20" i="38" s="1"/>
  <c r="CS20" i="38" s="1"/>
  <c r="CU20" i="38" s="1"/>
  <c r="BW234" i="38"/>
  <c r="BX234" i="38" s="1"/>
  <c r="BY234" i="38" s="1"/>
  <c r="CA234" i="38" s="1"/>
  <c r="BW218" i="38"/>
  <c r="BX218" i="38" s="1"/>
  <c r="BY218" i="38" s="1"/>
  <c r="CA218" i="38" s="1"/>
  <c r="BW202" i="38"/>
  <c r="BX202" i="38" s="1"/>
  <c r="BY202" i="38" s="1"/>
  <c r="CA202" i="38" s="1"/>
  <c r="BW174" i="38"/>
  <c r="BX174" i="38" s="1"/>
  <c r="BY174" i="38" s="1"/>
  <c r="CA174" i="38" s="1"/>
  <c r="BW256" i="38"/>
  <c r="BX256" i="38" s="1"/>
  <c r="BY256" i="38" s="1"/>
  <c r="CA256" i="38" s="1"/>
  <c r="BW240" i="38"/>
  <c r="BX240" i="38" s="1"/>
  <c r="BY240" i="38" s="1"/>
  <c r="CA240" i="38" s="1"/>
  <c r="BW223" i="38"/>
  <c r="BX223" i="38" s="1"/>
  <c r="BY223" i="38" s="1"/>
  <c r="CA223" i="38" s="1"/>
  <c r="BW207" i="38"/>
  <c r="BX207" i="38" s="1"/>
  <c r="BY207" i="38" s="1"/>
  <c r="CA207" i="38" s="1"/>
  <c r="BW180" i="38"/>
  <c r="BX180" i="38" s="1"/>
  <c r="BY180" i="38" s="1"/>
  <c r="CA180" i="38" s="1"/>
  <c r="BW162" i="38"/>
  <c r="BX162" i="38" s="1"/>
  <c r="BY162" i="38" s="1"/>
  <c r="CA162" i="38" s="1"/>
  <c r="BW129" i="38"/>
  <c r="BX129" i="38" s="1"/>
  <c r="BY129" i="38" s="1"/>
  <c r="CA129" i="38" s="1"/>
  <c r="BC346" i="37"/>
  <c r="BD346" i="37" s="1"/>
  <c r="BE346" i="37" s="1"/>
  <c r="BG346" i="37" s="1"/>
  <c r="DK347" i="37"/>
  <c r="DL347" i="37" s="1"/>
  <c r="DM347" i="37" s="1"/>
  <c r="DO347" i="37" s="1"/>
  <c r="BC10" i="37"/>
  <c r="BD10" i="37" s="1"/>
  <c r="BE10" i="37" s="1"/>
  <c r="BG10" i="37" s="1"/>
  <c r="DK11" i="37"/>
  <c r="DL11" i="37" s="1"/>
  <c r="DM11" i="37" s="1"/>
  <c r="DO11" i="37" s="1"/>
  <c r="BW13" i="37"/>
  <c r="BX13" i="37" s="1"/>
  <c r="BY13" i="37" s="1"/>
  <c r="CA13" i="37" s="1"/>
  <c r="CG36" i="37"/>
  <c r="CH36" i="37" s="1"/>
  <c r="CI36" i="37" s="1"/>
  <c r="CK36" i="37" s="1"/>
  <c r="EO38" i="37"/>
  <c r="EP38" i="37" s="1"/>
  <c r="EQ38" i="37" s="1"/>
  <c r="ES38" i="37" s="1"/>
  <c r="DA40" i="37"/>
  <c r="DB40" i="37" s="1"/>
  <c r="DC40" i="37" s="1"/>
  <c r="DE40" i="37" s="1"/>
  <c r="BM42" i="37"/>
  <c r="BN42" i="37" s="1"/>
  <c r="BO42" i="37" s="1"/>
  <c r="BQ42" i="37" s="1"/>
  <c r="DU43" i="37"/>
  <c r="DV43" i="37" s="1"/>
  <c r="DW43" i="37" s="1"/>
  <c r="DY43" i="37" s="1"/>
  <c r="CG45" i="37"/>
  <c r="CH45" i="37" s="1"/>
  <c r="CI45" i="37" s="1"/>
  <c r="CK45" i="37" s="1"/>
  <c r="EO46" i="37"/>
  <c r="EP46" i="37" s="1"/>
  <c r="EQ46" i="37" s="1"/>
  <c r="ES46" i="37" s="1"/>
  <c r="DA48" i="37"/>
  <c r="DB48" i="37" s="1"/>
  <c r="DC48" i="37" s="1"/>
  <c r="DE48" i="37" s="1"/>
  <c r="DA49" i="37"/>
  <c r="DB49" i="37" s="1"/>
  <c r="DC49" i="37" s="1"/>
  <c r="DE49" i="37" s="1"/>
  <c r="CG50" i="37"/>
  <c r="CH50" i="37" s="1"/>
  <c r="CI50" i="37" s="1"/>
  <c r="CK50" i="37" s="1"/>
  <c r="BM51" i="37"/>
  <c r="BN51" i="37" s="1"/>
  <c r="BO51" i="37" s="1"/>
  <c r="BQ51" i="37" s="1"/>
  <c r="EO51" i="37"/>
  <c r="EP51" i="37" s="1"/>
  <c r="EQ51" i="37" s="1"/>
  <c r="ES51" i="37" s="1"/>
  <c r="CG53" i="37"/>
  <c r="CH53" i="37" s="1"/>
  <c r="CI53" i="37" s="1"/>
  <c r="CK53" i="37" s="1"/>
  <c r="DU54" i="37"/>
  <c r="DV54" i="37" s="1"/>
  <c r="DW54" i="37" s="1"/>
  <c r="DY54" i="37" s="1"/>
  <c r="DA55" i="37"/>
  <c r="DB55" i="37" s="1"/>
  <c r="DC55" i="37" s="1"/>
  <c r="DE55" i="37" s="1"/>
  <c r="CG56" i="37"/>
  <c r="CH56" i="37" s="1"/>
  <c r="CI56" i="37" s="1"/>
  <c r="CK56" i="37" s="1"/>
  <c r="BM57" i="37"/>
  <c r="BN57" i="37" s="1"/>
  <c r="BO57" i="37" s="1"/>
  <c r="BQ57" i="37" s="1"/>
  <c r="EO57" i="37"/>
  <c r="EP57" i="37" s="1"/>
  <c r="EQ57" i="37" s="1"/>
  <c r="ES57" i="37" s="1"/>
  <c r="DU58" i="37"/>
  <c r="DV58" i="37" s="1"/>
  <c r="DW58" i="37" s="1"/>
  <c r="DY58" i="37" s="1"/>
  <c r="DA59" i="37"/>
  <c r="DB59" i="37" s="1"/>
  <c r="DC59" i="37" s="1"/>
  <c r="DE59" i="37" s="1"/>
  <c r="CG60" i="37"/>
  <c r="CH60" i="37" s="1"/>
  <c r="CI60" i="37" s="1"/>
  <c r="CK60" i="37" s="1"/>
  <c r="BM61" i="37"/>
  <c r="BN61" i="37" s="1"/>
  <c r="BO61" i="37" s="1"/>
  <c r="BQ61" i="37" s="1"/>
  <c r="EO61" i="37"/>
  <c r="EP61" i="37" s="1"/>
  <c r="EQ61" i="37" s="1"/>
  <c r="ES61" i="37" s="1"/>
  <c r="DU62" i="37"/>
  <c r="DV62" i="37" s="1"/>
  <c r="DW62" i="37" s="1"/>
  <c r="DY62" i="37" s="1"/>
  <c r="DA63" i="37"/>
  <c r="DB63" i="37" s="1"/>
  <c r="DC63" i="37" s="1"/>
  <c r="DE63" i="37" s="1"/>
  <c r="CG64" i="37"/>
  <c r="CH64" i="37" s="1"/>
  <c r="CI64" i="37" s="1"/>
  <c r="CK64" i="37" s="1"/>
  <c r="BM65" i="37"/>
  <c r="BN65" i="37" s="1"/>
  <c r="BO65" i="37" s="1"/>
  <c r="BQ65" i="37" s="1"/>
  <c r="EO65" i="37"/>
  <c r="EP65" i="37" s="1"/>
  <c r="EQ65" i="37" s="1"/>
  <c r="ES65" i="37" s="1"/>
  <c r="DU66" i="37"/>
  <c r="DV66" i="37" s="1"/>
  <c r="DW66" i="37" s="1"/>
  <c r="DY66" i="37" s="1"/>
  <c r="DA67" i="37"/>
  <c r="DB67" i="37" s="1"/>
  <c r="DC67" i="37" s="1"/>
  <c r="DE67" i="37" s="1"/>
  <c r="CG68" i="37"/>
  <c r="CH68" i="37" s="1"/>
  <c r="CI68" i="37" s="1"/>
  <c r="CK68" i="37" s="1"/>
  <c r="BM69" i="37"/>
  <c r="BN69" i="37" s="1"/>
  <c r="BO69" i="37" s="1"/>
  <c r="BQ69" i="37" s="1"/>
  <c r="EO69" i="37"/>
  <c r="EP69" i="37" s="1"/>
  <c r="EQ69" i="37" s="1"/>
  <c r="ES69" i="37" s="1"/>
  <c r="DU70" i="37"/>
  <c r="DV70" i="37" s="1"/>
  <c r="DW70" i="37" s="1"/>
  <c r="DY70" i="37" s="1"/>
  <c r="DA71" i="37"/>
  <c r="DB71" i="37" s="1"/>
  <c r="DC71" i="37" s="1"/>
  <c r="DE71" i="37" s="1"/>
  <c r="CG72" i="37"/>
  <c r="CH72" i="37" s="1"/>
  <c r="CI72" i="37" s="1"/>
  <c r="CK72" i="37" s="1"/>
  <c r="BM73" i="37"/>
  <c r="BN73" i="37" s="1"/>
  <c r="BO73" i="37" s="1"/>
  <c r="BQ73" i="37" s="1"/>
  <c r="EO73" i="37"/>
  <c r="EP73" i="37" s="1"/>
  <c r="EQ73" i="37" s="1"/>
  <c r="ES73" i="37" s="1"/>
  <c r="DU74" i="37"/>
  <c r="DV74" i="37" s="1"/>
  <c r="DW74" i="37" s="1"/>
  <c r="DY74" i="37" s="1"/>
  <c r="DA75" i="37"/>
  <c r="DB75" i="37" s="1"/>
  <c r="DC75" i="37" s="1"/>
  <c r="DE75" i="37" s="1"/>
  <c r="CG76" i="37"/>
  <c r="CH76" i="37" s="1"/>
  <c r="CI76" i="37" s="1"/>
  <c r="CK76" i="37" s="1"/>
  <c r="BM77" i="37"/>
  <c r="BN77" i="37" s="1"/>
  <c r="BO77" i="37" s="1"/>
  <c r="BQ77" i="37" s="1"/>
  <c r="EO77" i="37"/>
  <c r="EP77" i="37" s="1"/>
  <c r="EQ77" i="37" s="1"/>
  <c r="ES77" i="37" s="1"/>
  <c r="DU78" i="37"/>
  <c r="DV78" i="37" s="1"/>
  <c r="DW78" i="37" s="1"/>
  <c r="DY78" i="37" s="1"/>
  <c r="DA79" i="37"/>
  <c r="DB79" i="37" s="1"/>
  <c r="DC79" i="37" s="1"/>
  <c r="DE79" i="37" s="1"/>
  <c r="CG80" i="37"/>
  <c r="CH80" i="37" s="1"/>
  <c r="CI80" i="37" s="1"/>
  <c r="CK80" i="37" s="1"/>
  <c r="BM81" i="37"/>
  <c r="BN81" i="37" s="1"/>
  <c r="BO81" i="37" s="1"/>
  <c r="BQ81" i="37" s="1"/>
  <c r="EO81" i="37"/>
  <c r="EP81" i="37" s="1"/>
  <c r="EQ81" i="37" s="1"/>
  <c r="ES81" i="37" s="1"/>
  <c r="DU82" i="37"/>
  <c r="DV82" i="37" s="1"/>
  <c r="DW82" i="37" s="1"/>
  <c r="DY82" i="37" s="1"/>
  <c r="DA83" i="37"/>
  <c r="DB83" i="37" s="1"/>
  <c r="DC83" i="37" s="1"/>
  <c r="DE83" i="37" s="1"/>
  <c r="CG84" i="37"/>
  <c r="CH84" i="37" s="1"/>
  <c r="CI84" i="37" s="1"/>
  <c r="CK84" i="37" s="1"/>
  <c r="BM85" i="37"/>
  <c r="BN85" i="37" s="1"/>
  <c r="BO85" i="37" s="1"/>
  <c r="BQ85" i="37" s="1"/>
  <c r="BM86" i="37"/>
  <c r="BN86" i="37" s="1"/>
  <c r="BO86" i="37" s="1"/>
  <c r="BQ86" i="37" s="1"/>
  <c r="BM88" i="37"/>
  <c r="BN88" i="37" s="1"/>
  <c r="BO88" i="37" s="1"/>
  <c r="BQ88" i="37" s="1"/>
  <c r="BM97" i="37"/>
  <c r="BN97" i="37" s="1"/>
  <c r="BO97" i="37" s="1"/>
  <c r="BQ97" i="37" s="1"/>
  <c r="DK106" i="37"/>
  <c r="DL106" i="37" s="1"/>
  <c r="DM106" i="37" s="1"/>
  <c r="DO106" i="37" s="1"/>
  <c r="EE299" i="37"/>
  <c r="EF299" i="37" s="1"/>
  <c r="EG299" i="37" s="1"/>
  <c r="EI299" i="37" s="1"/>
  <c r="EE291" i="37"/>
  <c r="EF291" i="37" s="1"/>
  <c r="EG291" i="37" s="1"/>
  <c r="EI291" i="37" s="1"/>
  <c r="EE283" i="37"/>
  <c r="EF283" i="37" s="1"/>
  <c r="EG283" i="37" s="1"/>
  <c r="EI283" i="37" s="1"/>
  <c r="EE310" i="37"/>
  <c r="EF310" i="37" s="1"/>
  <c r="EG310" i="37" s="1"/>
  <c r="EI310" i="37" s="1"/>
  <c r="EE270" i="37"/>
  <c r="EF270" i="37" s="1"/>
  <c r="EG270" i="37" s="1"/>
  <c r="EI270" i="37" s="1"/>
  <c r="EE262" i="37"/>
  <c r="EF262" i="37" s="1"/>
  <c r="EG262" i="37" s="1"/>
  <c r="EI262" i="37" s="1"/>
  <c r="EE123" i="37"/>
  <c r="EF123" i="37" s="1"/>
  <c r="EG123" i="37" s="1"/>
  <c r="EI123" i="37" s="1"/>
  <c r="EE215" i="37"/>
  <c r="EF215" i="37" s="1"/>
  <c r="EG215" i="37" s="1"/>
  <c r="EI215" i="37" s="1"/>
  <c r="EE207" i="37"/>
  <c r="EF207" i="37" s="1"/>
  <c r="EG207" i="37" s="1"/>
  <c r="EI207" i="37" s="1"/>
  <c r="EE199" i="37"/>
  <c r="EF199" i="37" s="1"/>
  <c r="EG199" i="37" s="1"/>
  <c r="EI199" i="37" s="1"/>
  <c r="EE184" i="37"/>
  <c r="EF184" i="37" s="1"/>
  <c r="EG184" i="37" s="1"/>
  <c r="EI184" i="37" s="1"/>
  <c r="EE173" i="37"/>
  <c r="EF173" i="37" s="1"/>
  <c r="EG173" i="37" s="1"/>
  <c r="EI173" i="37" s="1"/>
  <c r="EE164" i="37"/>
  <c r="EF164" i="37" s="1"/>
  <c r="EG164" i="37" s="1"/>
  <c r="EI164" i="37" s="1"/>
  <c r="EE156" i="37"/>
  <c r="EF156" i="37" s="1"/>
  <c r="EG156" i="37" s="1"/>
  <c r="EI156" i="37" s="1"/>
  <c r="CQ313" i="37"/>
  <c r="CR313" i="37" s="1"/>
  <c r="CS313" i="37" s="1"/>
  <c r="CU313" i="37" s="1"/>
  <c r="BC315" i="37"/>
  <c r="BD315" i="37" s="1"/>
  <c r="BE315" i="37" s="1"/>
  <c r="BG315" i="37" s="1"/>
  <c r="BW197" i="38"/>
  <c r="BX197" i="38" s="1"/>
  <c r="BY197" i="38" s="1"/>
  <c r="CA197" i="38" s="1"/>
  <c r="BW181" i="38"/>
  <c r="BX181" i="38" s="1"/>
  <c r="BY181" i="38" s="1"/>
  <c r="CA181" i="38" s="1"/>
  <c r="BW165" i="38"/>
  <c r="BX165" i="38" s="1"/>
  <c r="BY165" i="38" s="1"/>
  <c r="CA165" i="38" s="1"/>
  <c r="BW150" i="38"/>
  <c r="BX150" i="38" s="1"/>
  <c r="BY150" i="38" s="1"/>
  <c r="CA150" i="38" s="1"/>
  <c r="BW134" i="38"/>
  <c r="BX134" i="38" s="1"/>
  <c r="BY134" i="38" s="1"/>
  <c r="CA134" i="38" s="1"/>
  <c r="BW118" i="38"/>
  <c r="BX118" i="38" s="1"/>
  <c r="BY118" i="38" s="1"/>
  <c r="CA118" i="38" s="1"/>
  <c r="BW53" i="38"/>
  <c r="BX53" i="38" s="1"/>
  <c r="BY53" i="38" s="1"/>
  <c r="CA53" i="38" s="1"/>
  <c r="BW104" i="38"/>
  <c r="BX104" i="38" s="1"/>
  <c r="BY104" i="38" s="1"/>
  <c r="CA104" i="38" s="1"/>
  <c r="BW52" i="38"/>
  <c r="BX52" i="38" s="1"/>
  <c r="BY52" i="38" s="1"/>
  <c r="CA52" i="38" s="1"/>
  <c r="BW26" i="38"/>
  <c r="BX26" i="38" s="1"/>
  <c r="BY26" i="38" s="1"/>
  <c r="CA26" i="38" s="1"/>
  <c r="BM86" i="38"/>
  <c r="BN86" i="38" s="1"/>
  <c r="BO86" i="38" s="1"/>
  <c r="BQ86" i="38" s="1"/>
  <c r="BM64" i="38"/>
  <c r="BN64" i="38" s="1"/>
  <c r="BO64" i="38" s="1"/>
  <c r="BQ64" i="38" s="1"/>
  <c r="BM82" i="38"/>
  <c r="BN82" i="38" s="1"/>
  <c r="BO82" i="38" s="1"/>
  <c r="BQ82" i="38" s="1"/>
  <c r="BM96" i="38"/>
  <c r="BN96" i="38" s="1"/>
  <c r="BO96" i="38" s="1"/>
  <c r="BQ96" i="38" s="1"/>
  <c r="BM80" i="38"/>
  <c r="BN80" i="38" s="1"/>
  <c r="BO80" i="38" s="1"/>
  <c r="BQ80" i="38" s="1"/>
  <c r="BM63" i="38"/>
  <c r="BN63" i="38" s="1"/>
  <c r="BO63" i="38" s="1"/>
  <c r="BQ63" i="38" s="1"/>
  <c r="BM46" i="38"/>
  <c r="BN46" i="38" s="1"/>
  <c r="BO46" i="38" s="1"/>
  <c r="BQ46" i="38" s="1"/>
  <c r="BM38" i="38"/>
  <c r="BN38" i="38" s="1"/>
  <c r="BO38" i="38" s="1"/>
  <c r="BQ38" i="38" s="1"/>
  <c r="BC248" i="38"/>
  <c r="BD248" i="38" s="1"/>
  <c r="BE248" i="38" s="1"/>
  <c r="BG248" i="38" s="1"/>
  <c r="BC232" i="38"/>
  <c r="BD232" i="38" s="1"/>
  <c r="BE232" i="38" s="1"/>
  <c r="BG232" i="38" s="1"/>
  <c r="BC217" i="38"/>
  <c r="BD217" i="38" s="1"/>
  <c r="BE217" i="38" s="1"/>
  <c r="BG217" i="38" s="1"/>
  <c r="BC201" i="38"/>
  <c r="BD201" i="38" s="1"/>
  <c r="BE201" i="38" s="1"/>
  <c r="BG201" i="38" s="1"/>
  <c r="BC171" i="38"/>
  <c r="BD171" i="38" s="1"/>
  <c r="BE171" i="38" s="1"/>
  <c r="BG171" i="38" s="1"/>
  <c r="BC257" i="38"/>
  <c r="BD257" i="38" s="1"/>
  <c r="BE257" i="38" s="1"/>
  <c r="BG257" i="38" s="1"/>
  <c r="BC241" i="38"/>
  <c r="BD241" i="38" s="1"/>
  <c r="BE241" i="38" s="1"/>
  <c r="BG241" i="38" s="1"/>
  <c r="BC224" i="38"/>
  <c r="BD224" i="38" s="1"/>
  <c r="BE224" i="38" s="1"/>
  <c r="BG224" i="38" s="1"/>
  <c r="BC208" i="38"/>
  <c r="BD208" i="38" s="1"/>
  <c r="BE208" i="38" s="1"/>
  <c r="BG208" i="38" s="1"/>
  <c r="BC185" i="38"/>
  <c r="BD185" i="38" s="1"/>
  <c r="BE185" i="38" s="1"/>
  <c r="BG185" i="38" s="1"/>
  <c r="BC136" i="38"/>
  <c r="BD136" i="38" s="1"/>
  <c r="BE136" i="38" s="1"/>
  <c r="BG136" i="38" s="1"/>
  <c r="BC138" i="38"/>
  <c r="BD138" i="38" s="1"/>
  <c r="BE138" i="38" s="1"/>
  <c r="BG138" i="38" s="1"/>
  <c r="BC128" i="38"/>
  <c r="BD128" i="38" s="1"/>
  <c r="BE128" i="38" s="1"/>
  <c r="BG128" i="38" s="1"/>
  <c r="BC21" i="38"/>
  <c r="BD21" i="38" s="1"/>
  <c r="BE21" i="38" s="1"/>
  <c r="BG21" i="38" s="1"/>
  <c r="BC186" i="38"/>
  <c r="BD186" i="38" s="1"/>
  <c r="BE186" i="38" s="1"/>
  <c r="BG186" i="38" s="1"/>
  <c r="BC170" i="38"/>
  <c r="BD170" i="38" s="1"/>
  <c r="BE170" i="38" s="1"/>
  <c r="BG170" i="38" s="1"/>
  <c r="BC153" i="38"/>
  <c r="BD153" i="38" s="1"/>
  <c r="BE153" i="38" s="1"/>
  <c r="BG153" i="38" s="1"/>
  <c r="BC137" i="38"/>
  <c r="BD137" i="38" s="1"/>
  <c r="BE137" i="38" s="1"/>
  <c r="BG137" i="38" s="1"/>
  <c r="BC121" i="38"/>
  <c r="BD121" i="38" s="1"/>
  <c r="BE121" i="38" s="1"/>
  <c r="BG121" i="38" s="1"/>
  <c r="BC51" i="38"/>
  <c r="BD51" i="38" s="1"/>
  <c r="BE51" i="38" s="1"/>
  <c r="BG51" i="38" s="1"/>
  <c r="BC105" i="38"/>
  <c r="BD105" i="38" s="1"/>
  <c r="BE105" i="38" s="1"/>
  <c r="BG105" i="38" s="1"/>
  <c r="BC15" i="38"/>
  <c r="BD15" i="38" s="1"/>
  <c r="BE15" i="38" s="1"/>
  <c r="BG15" i="38" s="1"/>
  <c r="BC25" i="38"/>
  <c r="BD25" i="38" s="1"/>
  <c r="BE25" i="38" s="1"/>
  <c r="BG25" i="38" s="1"/>
  <c r="BW346" i="37"/>
  <c r="BX346" i="37" s="1"/>
  <c r="BY346" i="37" s="1"/>
  <c r="CA346" i="37" s="1"/>
  <c r="EE347" i="37"/>
  <c r="EF347" i="37" s="1"/>
  <c r="EG347" i="37" s="1"/>
  <c r="EI347" i="37" s="1"/>
  <c r="BM10" i="37"/>
  <c r="BN10" i="37" s="1"/>
  <c r="BO10" i="37" s="1"/>
  <c r="BQ10" i="37" s="1"/>
  <c r="DU11" i="37"/>
  <c r="DV11" i="37" s="1"/>
  <c r="DW11" i="37" s="1"/>
  <c r="DY11" i="37" s="1"/>
  <c r="CG13" i="37"/>
  <c r="CH13" i="37" s="1"/>
  <c r="CI13" i="37" s="1"/>
  <c r="CK13" i="37" s="1"/>
  <c r="DA36" i="37"/>
  <c r="DB36" i="37" s="1"/>
  <c r="DC36" i="37" s="1"/>
  <c r="DE36" i="37" s="1"/>
  <c r="BM39" i="37"/>
  <c r="BN39" i="37" s="1"/>
  <c r="BO39" i="37" s="1"/>
  <c r="BQ39" i="37" s="1"/>
  <c r="DU40" i="37"/>
  <c r="DV40" i="37" s="1"/>
  <c r="DW40" i="37" s="1"/>
  <c r="DY40" i="37" s="1"/>
  <c r="CG42" i="37"/>
  <c r="CH42" i="37" s="1"/>
  <c r="CI42" i="37" s="1"/>
  <c r="CK42" i="37" s="1"/>
  <c r="EO43" i="37"/>
  <c r="EP43" i="37" s="1"/>
  <c r="EQ43" i="37" s="1"/>
  <c r="ES43" i="37" s="1"/>
  <c r="DA45" i="37"/>
  <c r="DB45" i="37" s="1"/>
  <c r="DC45" i="37" s="1"/>
  <c r="DE45" i="37" s="1"/>
  <c r="BM47" i="37"/>
  <c r="BN47" i="37" s="1"/>
  <c r="BO47" i="37" s="1"/>
  <c r="BQ47" i="37" s="1"/>
  <c r="DU48" i="37"/>
  <c r="DV48" i="37" s="1"/>
  <c r="DW48" i="37" s="1"/>
  <c r="DY48" i="37" s="1"/>
  <c r="DK49" i="37"/>
  <c r="DL49" i="37" s="1"/>
  <c r="DM49" i="37" s="1"/>
  <c r="DO49" i="37" s="1"/>
  <c r="CQ50" i="37"/>
  <c r="CR50" i="37" s="1"/>
  <c r="CS50" i="37" s="1"/>
  <c r="CU50" i="37" s="1"/>
  <c r="BW51" i="37"/>
  <c r="BX51" i="37" s="1"/>
  <c r="BY51" i="37" s="1"/>
  <c r="CA51" i="37" s="1"/>
  <c r="BC52" i="37"/>
  <c r="BD52" i="37" s="1"/>
  <c r="BE52" i="37" s="1"/>
  <c r="BG52" i="37" s="1"/>
  <c r="DA53" i="37"/>
  <c r="DB53" i="37" s="1"/>
  <c r="DC53" i="37" s="1"/>
  <c r="DE53" i="37" s="1"/>
  <c r="EE54" i="37"/>
  <c r="EF54" i="37" s="1"/>
  <c r="EG54" i="37" s="1"/>
  <c r="EI54" i="37" s="1"/>
  <c r="DK55" i="37"/>
  <c r="DL55" i="37" s="1"/>
  <c r="DM55" i="37" s="1"/>
  <c r="DO55" i="37" s="1"/>
  <c r="CQ56" i="37"/>
  <c r="CR56" i="37" s="1"/>
  <c r="CS56" i="37" s="1"/>
  <c r="CU56" i="37" s="1"/>
  <c r="BW57" i="37"/>
  <c r="BX57" i="37" s="1"/>
  <c r="BY57" i="37" s="1"/>
  <c r="CA57" i="37" s="1"/>
  <c r="BC58" i="37"/>
  <c r="BD58" i="37" s="1"/>
  <c r="BE58" i="37" s="1"/>
  <c r="BG58" i="37" s="1"/>
  <c r="EE58" i="37"/>
  <c r="EF58" i="37" s="1"/>
  <c r="EG58" i="37" s="1"/>
  <c r="EI58" i="37" s="1"/>
  <c r="DK59" i="37"/>
  <c r="DL59" i="37" s="1"/>
  <c r="DM59" i="37" s="1"/>
  <c r="DO59" i="37" s="1"/>
  <c r="CQ60" i="37"/>
  <c r="CR60" i="37" s="1"/>
  <c r="CS60" i="37" s="1"/>
  <c r="CU60" i="37" s="1"/>
  <c r="BW61" i="37"/>
  <c r="BX61" i="37" s="1"/>
  <c r="BY61" i="37" s="1"/>
  <c r="CA61" i="37" s="1"/>
  <c r="BC62" i="37"/>
  <c r="BD62" i="37" s="1"/>
  <c r="BE62" i="37" s="1"/>
  <c r="BG62" i="37" s="1"/>
  <c r="EE62" i="37"/>
  <c r="EF62" i="37" s="1"/>
  <c r="EG62" i="37" s="1"/>
  <c r="EI62" i="37" s="1"/>
  <c r="DK63" i="37"/>
  <c r="DL63" i="37" s="1"/>
  <c r="DM63" i="37" s="1"/>
  <c r="DO63" i="37" s="1"/>
  <c r="CQ64" i="37"/>
  <c r="CR64" i="37" s="1"/>
  <c r="CS64" i="37" s="1"/>
  <c r="CU64" i="37" s="1"/>
  <c r="BW65" i="37"/>
  <c r="BX65" i="37" s="1"/>
  <c r="BY65" i="37" s="1"/>
  <c r="CA65" i="37" s="1"/>
  <c r="BC66" i="37"/>
  <c r="BD66" i="37" s="1"/>
  <c r="BE66" i="37" s="1"/>
  <c r="BG66" i="37" s="1"/>
  <c r="EE66" i="37"/>
  <c r="EF66" i="37" s="1"/>
  <c r="EG66" i="37" s="1"/>
  <c r="EI66" i="37" s="1"/>
  <c r="DK67" i="37"/>
  <c r="DL67" i="37" s="1"/>
  <c r="DM67" i="37" s="1"/>
  <c r="DO67" i="37" s="1"/>
  <c r="CQ68" i="37"/>
  <c r="CR68" i="37" s="1"/>
  <c r="CS68" i="37" s="1"/>
  <c r="CU68" i="37" s="1"/>
  <c r="BW69" i="37"/>
  <c r="BX69" i="37" s="1"/>
  <c r="BY69" i="37" s="1"/>
  <c r="CA69" i="37" s="1"/>
  <c r="BC70" i="37"/>
  <c r="BD70" i="37" s="1"/>
  <c r="BE70" i="37" s="1"/>
  <c r="BG70" i="37" s="1"/>
  <c r="EE70" i="37"/>
  <c r="EF70" i="37" s="1"/>
  <c r="EG70" i="37" s="1"/>
  <c r="EI70" i="37" s="1"/>
  <c r="DK71" i="37"/>
  <c r="DL71" i="37" s="1"/>
  <c r="DM71" i="37" s="1"/>
  <c r="DO71" i="37" s="1"/>
  <c r="CQ72" i="37"/>
  <c r="CR72" i="37" s="1"/>
  <c r="CS72" i="37" s="1"/>
  <c r="CU72" i="37" s="1"/>
  <c r="BW73" i="37"/>
  <c r="BX73" i="37" s="1"/>
  <c r="BY73" i="37" s="1"/>
  <c r="CA73" i="37" s="1"/>
  <c r="BC74" i="37"/>
  <c r="BD74" i="37" s="1"/>
  <c r="BE74" i="37" s="1"/>
  <c r="BG74" i="37" s="1"/>
  <c r="EE74" i="37"/>
  <c r="EF74" i="37" s="1"/>
  <c r="EG74" i="37" s="1"/>
  <c r="EI74" i="37" s="1"/>
  <c r="DK75" i="37"/>
  <c r="DL75" i="37" s="1"/>
  <c r="DM75" i="37" s="1"/>
  <c r="DO75" i="37" s="1"/>
  <c r="CQ76" i="37"/>
  <c r="CR76" i="37" s="1"/>
  <c r="CS76" i="37" s="1"/>
  <c r="CU76" i="37" s="1"/>
  <c r="BW77" i="37"/>
  <c r="BX77" i="37" s="1"/>
  <c r="BY77" i="37" s="1"/>
  <c r="CA77" i="37" s="1"/>
  <c r="BC78" i="37"/>
  <c r="BD78" i="37" s="1"/>
  <c r="BE78" i="37" s="1"/>
  <c r="BG78" i="37" s="1"/>
  <c r="EE78" i="37"/>
  <c r="EF78" i="37" s="1"/>
  <c r="EG78" i="37" s="1"/>
  <c r="EI78" i="37" s="1"/>
  <c r="DK79" i="37"/>
  <c r="DL79" i="37" s="1"/>
  <c r="DM79" i="37" s="1"/>
  <c r="DO79" i="37" s="1"/>
  <c r="CQ80" i="37"/>
  <c r="CR80" i="37" s="1"/>
  <c r="CS80" i="37" s="1"/>
  <c r="CU80" i="37" s="1"/>
  <c r="BC81" i="38"/>
  <c r="BD81" i="38" s="1"/>
  <c r="BE81" i="38" s="1"/>
  <c r="BG81" i="38" s="1"/>
  <c r="BW84" i="38"/>
  <c r="BX84" i="38" s="1"/>
  <c r="BY84" i="38" s="1"/>
  <c r="CA84" i="38" s="1"/>
  <c r="CQ87" i="38"/>
  <c r="CR87" i="38" s="1"/>
  <c r="CS87" i="38" s="1"/>
  <c r="CU87" i="38" s="1"/>
  <c r="DK90" i="38"/>
  <c r="DL90" i="38" s="1"/>
  <c r="DM90" i="38" s="1"/>
  <c r="DO90" i="38" s="1"/>
  <c r="EE93" i="38"/>
  <c r="EF93" i="38" s="1"/>
  <c r="EG93" i="38" s="1"/>
  <c r="EI93" i="38" s="1"/>
  <c r="BC97" i="38"/>
  <c r="BD97" i="38" s="1"/>
  <c r="BE97" i="38" s="1"/>
  <c r="BG97" i="38" s="1"/>
  <c r="BM111" i="38"/>
  <c r="BN111" i="38" s="1"/>
  <c r="BO111" i="38" s="1"/>
  <c r="BQ111" i="38" s="1"/>
  <c r="DU112" i="38"/>
  <c r="DV112" i="38" s="1"/>
  <c r="DW112" i="38" s="1"/>
  <c r="DY112" i="38" s="1"/>
  <c r="CG114" i="38"/>
  <c r="CH114" i="38" s="1"/>
  <c r="CI114" i="38" s="1"/>
  <c r="CK114" i="38" s="1"/>
  <c r="EO115" i="38"/>
  <c r="EP115" i="38" s="1"/>
  <c r="EQ115" i="38" s="1"/>
  <c r="ES115" i="38" s="1"/>
  <c r="CG111" i="38"/>
  <c r="CH111" i="38" s="1"/>
  <c r="CI111" i="38" s="1"/>
  <c r="CK111" i="38" s="1"/>
  <c r="EO112" i="38"/>
  <c r="EP112" i="38" s="1"/>
  <c r="EQ112" i="38" s="1"/>
  <c r="ES112" i="38" s="1"/>
  <c r="DA114" i="38"/>
  <c r="DB114" i="38" s="1"/>
  <c r="DC114" i="38" s="1"/>
  <c r="DE114" i="38" s="1"/>
  <c r="BM116" i="38"/>
  <c r="BN116" i="38" s="1"/>
  <c r="BO116" i="38" s="1"/>
  <c r="BQ116" i="38" s="1"/>
  <c r="CG155" i="38"/>
  <c r="CH155" i="38" s="1"/>
  <c r="CI155" i="38" s="1"/>
  <c r="CK155" i="38" s="1"/>
  <c r="DA158" i="38"/>
  <c r="DB158" i="38" s="1"/>
  <c r="DC158" i="38" s="1"/>
  <c r="DE158" i="38" s="1"/>
  <c r="DU161" i="38"/>
  <c r="DV161" i="38" s="1"/>
  <c r="DW161" i="38" s="1"/>
  <c r="DY161" i="38" s="1"/>
  <c r="EO164" i="38"/>
  <c r="EP164" i="38" s="1"/>
  <c r="EQ164" i="38" s="1"/>
  <c r="ES164" i="38" s="1"/>
  <c r="BM168" i="38"/>
  <c r="BN168" i="38" s="1"/>
  <c r="BO168" i="38" s="1"/>
  <c r="BQ168" i="38" s="1"/>
  <c r="DA155" i="38"/>
  <c r="DB155" i="38" s="1"/>
  <c r="DC155" i="38" s="1"/>
  <c r="DE155" i="38" s="1"/>
  <c r="DU158" i="38"/>
  <c r="DV158" i="38" s="1"/>
  <c r="DW158" i="38" s="1"/>
  <c r="DY158" i="38" s="1"/>
  <c r="EO161" i="38"/>
  <c r="EP161" i="38" s="1"/>
  <c r="EQ161" i="38" s="1"/>
  <c r="ES161" i="38" s="1"/>
  <c r="BM165" i="38"/>
  <c r="BN165" i="38" s="1"/>
  <c r="BO165" i="38" s="1"/>
  <c r="BQ165" i="38" s="1"/>
  <c r="CG168" i="38"/>
  <c r="CH168" i="38" s="1"/>
  <c r="CI168" i="38" s="1"/>
  <c r="CK168" i="38" s="1"/>
  <c r="EO232" i="38"/>
  <c r="EP232" i="38" s="1"/>
  <c r="EQ232" i="38" s="1"/>
  <c r="ES232" i="38" s="1"/>
  <c r="BM236" i="38"/>
  <c r="BN236" i="38" s="1"/>
  <c r="BO236" i="38" s="1"/>
  <c r="BQ236" i="38" s="1"/>
  <c r="CG239" i="38"/>
  <c r="CH239" i="38" s="1"/>
  <c r="CI239" i="38" s="1"/>
  <c r="CK239" i="38" s="1"/>
  <c r="DA242" i="38"/>
  <c r="DB242" i="38" s="1"/>
  <c r="DC242" i="38" s="1"/>
  <c r="DE242" i="38" s="1"/>
  <c r="DU245" i="38"/>
  <c r="DV245" i="38" s="1"/>
  <c r="DW245" i="38" s="1"/>
  <c r="DY245" i="38" s="1"/>
  <c r="EO248" i="38"/>
  <c r="EP248" i="38" s="1"/>
  <c r="EQ248" i="38" s="1"/>
  <c r="ES248" i="38" s="1"/>
  <c r="BM252" i="38"/>
  <c r="BN252" i="38" s="1"/>
  <c r="BO252" i="38" s="1"/>
  <c r="BQ252" i="38" s="1"/>
  <c r="CG255" i="38"/>
  <c r="CH255" i="38" s="1"/>
  <c r="CI255" i="38" s="1"/>
  <c r="CK255" i="38" s="1"/>
  <c r="DA258" i="38"/>
  <c r="DB258" i="38" s="1"/>
  <c r="DC258" i="38" s="1"/>
  <c r="DE258" i="38" s="1"/>
  <c r="DU261" i="38"/>
  <c r="DV261" i="38" s="1"/>
  <c r="DW261" i="38" s="1"/>
  <c r="DY261" i="38" s="1"/>
  <c r="EO231" i="38"/>
  <c r="EP231" i="38" s="1"/>
  <c r="EQ231" i="38" s="1"/>
  <c r="ES231" i="38" s="1"/>
  <c r="BM235" i="38"/>
  <c r="BN235" i="38" s="1"/>
  <c r="BO235" i="38" s="1"/>
  <c r="BQ235" i="38" s="1"/>
  <c r="CG238" i="38"/>
  <c r="CH238" i="38" s="1"/>
  <c r="CI238" i="38" s="1"/>
  <c r="CK238" i="38" s="1"/>
  <c r="DA241" i="38"/>
  <c r="DB241" i="38" s="1"/>
  <c r="DC241" i="38" s="1"/>
  <c r="DE241" i="38" s="1"/>
  <c r="DU244" i="38"/>
  <c r="DV244" i="38" s="1"/>
  <c r="DW244" i="38" s="1"/>
  <c r="DY244" i="38" s="1"/>
  <c r="EO247" i="38"/>
  <c r="EP247" i="38" s="1"/>
  <c r="EQ247" i="38" s="1"/>
  <c r="ES247" i="38" s="1"/>
  <c r="BM251" i="38"/>
  <c r="BN251" i="38" s="1"/>
  <c r="BO251" i="38" s="1"/>
  <c r="BQ251" i="38" s="1"/>
  <c r="CG254" i="38"/>
  <c r="CH254" i="38" s="1"/>
  <c r="CI254" i="38" s="1"/>
  <c r="CK254" i="38" s="1"/>
  <c r="DA257" i="38"/>
  <c r="DB257" i="38" s="1"/>
  <c r="DC257" i="38" s="1"/>
  <c r="DE257" i="38" s="1"/>
  <c r="DU260" i="38"/>
  <c r="DV260" i="38" s="1"/>
  <c r="DW260" i="38" s="1"/>
  <c r="DY260" i="38" s="1"/>
  <c r="DU28" i="38"/>
  <c r="DV28" i="38" s="1"/>
  <c r="DW28" i="38" s="1"/>
  <c r="DY28" i="38" s="1"/>
  <c r="CQ64" i="38"/>
  <c r="CR64" i="38" s="1"/>
  <c r="CS64" i="38" s="1"/>
  <c r="CU64" i="38" s="1"/>
  <c r="DK67" i="38"/>
  <c r="DL67" i="38" s="1"/>
  <c r="DM67" i="38" s="1"/>
  <c r="DO67" i="38" s="1"/>
  <c r="EE70" i="38"/>
  <c r="EF70" i="38" s="1"/>
  <c r="EG70" i="38" s="1"/>
  <c r="EI70" i="38" s="1"/>
  <c r="BC74" i="38"/>
  <c r="BD74" i="38" s="1"/>
  <c r="BE74" i="38" s="1"/>
  <c r="BG74" i="38" s="1"/>
  <c r="DU98" i="38"/>
  <c r="DV98" i="38" s="1"/>
  <c r="DW98" i="38" s="1"/>
  <c r="DY98" i="38" s="1"/>
  <c r="EO101" i="38"/>
  <c r="EP101" i="38" s="1"/>
  <c r="EQ101" i="38" s="1"/>
  <c r="ES101" i="38" s="1"/>
  <c r="BM105" i="38"/>
  <c r="BN105" i="38" s="1"/>
  <c r="BO105" i="38" s="1"/>
  <c r="BQ105" i="38" s="1"/>
  <c r="CG108" i="38"/>
  <c r="CH108" i="38" s="1"/>
  <c r="CI108" i="38" s="1"/>
  <c r="CK108" i="38" s="1"/>
  <c r="EE63" i="38"/>
  <c r="EF63" i="38" s="1"/>
  <c r="EG63" i="38" s="1"/>
  <c r="EI63" i="38" s="1"/>
  <c r="BW70" i="38"/>
  <c r="BX70" i="38" s="1"/>
  <c r="BY70" i="38" s="1"/>
  <c r="CA70" i="38" s="1"/>
  <c r="DK76" i="38"/>
  <c r="DL76" i="38" s="1"/>
  <c r="DM76" i="38" s="1"/>
  <c r="DO76" i="38" s="1"/>
  <c r="DA104" i="38"/>
  <c r="DB104" i="38" s="1"/>
  <c r="DC104" i="38" s="1"/>
  <c r="DE104" i="38" s="1"/>
  <c r="DU116" i="38"/>
  <c r="DV116" i="38" s="1"/>
  <c r="DW116" i="38" s="1"/>
  <c r="DY116" i="38" s="1"/>
  <c r="EO119" i="38"/>
  <c r="EP119" i="38" s="1"/>
  <c r="EQ119" i="38" s="1"/>
  <c r="ES119" i="38" s="1"/>
  <c r="BM123" i="38"/>
  <c r="BN123" i="38" s="1"/>
  <c r="BO123" i="38" s="1"/>
  <c r="BQ123" i="38" s="1"/>
  <c r="CG126" i="38"/>
  <c r="CH126" i="38" s="1"/>
  <c r="CI126" i="38" s="1"/>
  <c r="CK126" i="38" s="1"/>
  <c r="DA129" i="38"/>
  <c r="DB129" i="38" s="1"/>
  <c r="DC129" i="38" s="1"/>
  <c r="DE129" i="38" s="1"/>
  <c r="DU132" i="38"/>
  <c r="DV132" i="38" s="1"/>
  <c r="DW132" i="38" s="1"/>
  <c r="DY132" i="38" s="1"/>
  <c r="EO135" i="38"/>
  <c r="EP135" i="38" s="1"/>
  <c r="EQ135" i="38" s="1"/>
  <c r="ES135" i="38" s="1"/>
  <c r="BM139" i="38"/>
  <c r="BN139" i="38" s="1"/>
  <c r="BO139" i="38" s="1"/>
  <c r="BQ139" i="38" s="1"/>
  <c r="CG142" i="38"/>
  <c r="CH142" i="38" s="1"/>
  <c r="CI142" i="38" s="1"/>
  <c r="CK142" i="38" s="1"/>
  <c r="DA145" i="38"/>
  <c r="DB145" i="38" s="1"/>
  <c r="DC145" i="38" s="1"/>
  <c r="DE145" i="38" s="1"/>
  <c r="DU148" i="38"/>
  <c r="DV148" i="38" s="1"/>
  <c r="DW148" i="38" s="1"/>
  <c r="DY148" i="38" s="1"/>
  <c r="EO151" i="38"/>
  <c r="EP151" i="38" s="1"/>
  <c r="EQ151" i="38" s="1"/>
  <c r="ES151" i="38" s="1"/>
  <c r="EO170" i="38"/>
  <c r="EP170" i="38" s="1"/>
  <c r="EQ170" i="38" s="1"/>
  <c r="ES170" i="38" s="1"/>
  <c r="BM174" i="38"/>
  <c r="BN174" i="38" s="1"/>
  <c r="BO174" i="38" s="1"/>
  <c r="BQ174" i="38" s="1"/>
  <c r="CG177" i="38"/>
  <c r="CH177" i="38" s="1"/>
  <c r="CI177" i="38" s="1"/>
  <c r="CK177" i="38" s="1"/>
  <c r="DA180" i="38"/>
  <c r="DB180" i="38" s="1"/>
  <c r="DC180" i="38" s="1"/>
  <c r="DE180" i="38" s="1"/>
  <c r="DU183" i="38"/>
  <c r="DV183" i="38" s="1"/>
  <c r="DW183" i="38" s="1"/>
  <c r="DY183" i="38" s="1"/>
  <c r="EO186" i="38"/>
  <c r="EP186" i="38" s="1"/>
  <c r="EQ186" i="38" s="1"/>
  <c r="ES186" i="38" s="1"/>
  <c r="BM190" i="38"/>
  <c r="BN190" i="38" s="1"/>
  <c r="BO190" i="38" s="1"/>
  <c r="BQ190" i="38" s="1"/>
  <c r="CG193" i="38"/>
  <c r="CH193" i="38" s="1"/>
  <c r="CI193" i="38" s="1"/>
  <c r="CK193" i="38" s="1"/>
  <c r="DA196" i="38"/>
  <c r="DB196" i="38" s="1"/>
  <c r="DC196" i="38" s="1"/>
  <c r="DE196" i="38" s="1"/>
  <c r="DU199" i="38"/>
  <c r="DV199" i="38" s="1"/>
  <c r="DW199" i="38" s="1"/>
  <c r="DY199" i="38" s="1"/>
  <c r="CQ67" i="38"/>
  <c r="CR67" i="38" s="1"/>
  <c r="CS67" i="38" s="1"/>
  <c r="CU67" i="38" s="1"/>
  <c r="EE73" i="38"/>
  <c r="EF73" i="38" s="1"/>
  <c r="EG73" i="38" s="1"/>
  <c r="EI73" i="38" s="1"/>
  <c r="EO104" i="38"/>
  <c r="EP104" i="38" s="1"/>
  <c r="EQ104" i="38" s="1"/>
  <c r="ES104" i="38" s="1"/>
  <c r="BM120" i="38"/>
  <c r="BN120" i="38" s="1"/>
  <c r="BO120" i="38" s="1"/>
  <c r="BQ120" i="38" s="1"/>
  <c r="DA126" i="38"/>
  <c r="DB126" i="38" s="1"/>
  <c r="DC126" i="38" s="1"/>
  <c r="DE126" i="38" s="1"/>
  <c r="BW76" i="38"/>
  <c r="BX76" i="38" s="1"/>
  <c r="BY76" i="38" s="1"/>
  <c r="CA76" i="38" s="1"/>
  <c r="DA116" i="38"/>
  <c r="DB116" i="38" s="1"/>
  <c r="DC116" i="38" s="1"/>
  <c r="DE116" i="38" s="1"/>
  <c r="EO122" i="38"/>
  <c r="EP122" i="38" s="1"/>
  <c r="EQ122" i="38" s="1"/>
  <c r="ES122" i="38" s="1"/>
  <c r="CG129" i="38"/>
  <c r="CH129" i="38" s="1"/>
  <c r="CI129" i="38" s="1"/>
  <c r="CK129" i="38" s="1"/>
  <c r="DU135" i="38"/>
  <c r="DV135" i="38" s="1"/>
  <c r="DW135" i="38" s="1"/>
  <c r="DY135" i="38" s="1"/>
  <c r="BM142" i="38"/>
  <c r="BN142" i="38" s="1"/>
  <c r="BO142" i="38" s="1"/>
  <c r="BQ142" i="38" s="1"/>
  <c r="DA148" i="38"/>
  <c r="DB148" i="38" s="1"/>
  <c r="DC148" i="38" s="1"/>
  <c r="DE148" i="38" s="1"/>
  <c r="EO132" i="38"/>
  <c r="EP132" i="38" s="1"/>
  <c r="EQ132" i="38" s="1"/>
  <c r="ES132" i="38" s="1"/>
  <c r="DU145" i="38"/>
  <c r="DV145" i="38" s="1"/>
  <c r="DW145" i="38" s="1"/>
  <c r="DY145" i="38" s="1"/>
  <c r="CG172" i="38"/>
  <c r="CH172" i="38" s="1"/>
  <c r="CI172" i="38" s="1"/>
  <c r="CK172" i="38" s="1"/>
  <c r="DU178" i="38"/>
  <c r="DV178" i="38" s="1"/>
  <c r="DW178" i="38" s="1"/>
  <c r="DY178" i="38" s="1"/>
  <c r="BM185" i="38"/>
  <c r="BN185" i="38" s="1"/>
  <c r="BO185" i="38" s="1"/>
  <c r="BQ185" i="38" s="1"/>
  <c r="DA191" i="38"/>
  <c r="DB191" i="38" s="1"/>
  <c r="DC191" i="38" s="1"/>
  <c r="DE191" i="38" s="1"/>
  <c r="EO197" i="38"/>
  <c r="EP197" i="38" s="1"/>
  <c r="EQ197" i="38" s="1"/>
  <c r="ES197" i="38" s="1"/>
  <c r="BM202" i="38"/>
  <c r="BN202" i="38" s="1"/>
  <c r="BO202" i="38" s="1"/>
  <c r="BQ202" i="38" s="1"/>
  <c r="CG205" i="38"/>
  <c r="CH205" i="38" s="1"/>
  <c r="CI205" i="38" s="1"/>
  <c r="CK205" i="38" s="1"/>
  <c r="DA208" i="38"/>
  <c r="DB208" i="38" s="1"/>
  <c r="DC208" i="38" s="1"/>
  <c r="DE208" i="38" s="1"/>
  <c r="DU211" i="38"/>
  <c r="DV211" i="38" s="1"/>
  <c r="DW211" i="38" s="1"/>
  <c r="DY211" i="38" s="1"/>
  <c r="EO214" i="38"/>
  <c r="EP214" i="38" s="1"/>
  <c r="EQ214" i="38" s="1"/>
  <c r="ES214" i="38" s="1"/>
  <c r="BM218" i="38"/>
  <c r="BN218" i="38" s="1"/>
  <c r="BO218" i="38" s="1"/>
  <c r="BQ218" i="38" s="1"/>
  <c r="CG221" i="38"/>
  <c r="CH221" i="38" s="1"/>
  <c r="CI221" i="38" s="1"/>
  <c r="CK221" i="38" s="1"/>
  <c r="DA224" i="38"/>
  <c r="DB224" i="38" s="1"/>
  <c r="DC224" i="38" s="1"/>
  <c r="DE224" i="38" s="1"/>
  <c r="DU227" i="38"/>
  <c r="DV227" i="38" s="1"/>
  <c r="DW227" i="38" s="1"/>
  <c r="DY227" i="38" s="1"/>
  <c r="CG135" i="38"/>
  <c r="CH135" i="38" s="1"/>
  <c r="CI135" i="38" s="1"/>
  <c r="CK135" i="38" s="1"/>
  <c r="BM148" i="38"/>
  <c r="BN148" i="38" s="1"/>
  <c r="BO148" i="38" s="1"/>
  <c r="BQ148" i="38" s="1"/>
  <c r="DA173" i="38"/>
  <c r="DB173" i="38" s="1"/>
  <c r="DC173" i="38" s="1"/>
  <c r="DE173" i="38" s="1"/>
  <c r="EO179" i="38"/>
  <c r="EP179" i="38" s="1"/>
  <c r="EQ179" i="38" s="1"/>
  <c r="ES179" i="38" s="1"/>
  <c r="CG186" i="38"/>
  <c r="CH186" i="38" s="1"/>
  <c r="CI186" i="38" s="1"/>
  <c r="CK186" i="38" s="1"/>
  <c r="DU192" i="38"/>
  <c r="DV192" i="38" s="1"/>
  <c r="DW192" i="38" s="1"/>
  <c r="DY192" i="38" s="1"/>
  <c r="BM199" i="38"/>
  <c r="BN199" i="38" s="1"/>
  <c r="BO199" i="38" s="1"/>
  <c r="BQ199" i="38" s="1"/>
  <c r="DU202" i="38"/>
  <c r="DV202" i="38" s="1"/>
  <c r="DW202" i="38" s="1"/>
  <c r="DY202" i="38" s="1"/>
  <c r="EO205" i="38"/>
  <c r="EP205" i="38" s="1"/>
  <c r="EQ205" i="38" s="1"/>
  <c r="ES205" i="38" s="1"/>
  <c r="BM209" i="38"/>
  <c r="BN209" i="38" s="1"/>
  <c r="BO209" i="38" s="1"/>
  <c r="BQ209" i="38" s="1"/>
  <c r="CG212" i="38"/>
  <c r="CH212" i="38" s="1"/>
  <c r="CI212" i="38" s="1"/>
  <c r="CK212" i="38" s="1"/>
  <c r="DA215" i="38"/>
  <c r="DB215" i="38" s="1"/>
  <c r="DC215" i="38" s="1"/>
  <c r="DE215" i="38" s="1"/>
  <c r="DU218" i="38"/>
  <c r="DV218" i="38" s="1"/>
  <c r="DW218" i="38" s="1"/>
  <c r="DY218" i="38" s="1"/>
  <c r="EO221" i="38"/>
  <c r="EP221" i="38" s="1"/>
  <c r="EQ221" i="38" s="1"/>
  <c r="ES221" i="38" s="1"/>
  <c r="BM225" i="38"/>
  <c r="BN225" i="38" s="1"/>
  <c r="BO225" i="38" s="1"/>
  <c r="BQ225" i="38" s="1"/>
  <c r="CG228" i="38"/>
  <c r="CH228" i="38" s="1"/>
  <c r="CI228" i="38" s="1"/>
  <c r="CK228" i="38" s="1"/>
  <c r="EE251" i="38"/>
  <c r="EF251" i="38" s="1"/>
  <c r="EG251" i="38" s="1"/>
  <c r="EI251" i="38" s="1"/>
  <c r="BW258" i="38"/>
  <c r="BX258" i="38" s="1"/>
  <c r="BY258" i="38" s="1"/>
  <c r="CA258" i="38" s="1"/>
  <c r="BC262" i="38"/>
  <c r="BD262" i="38" s="1"/>
  <c r="BE262" i="38" s="1"/>
  <c r="BG262" i="38" s="1"/>
  <c r="CG264" i="38"/>
  <c r="CH264" i="38" s="1"/>
  <c r="CI264" i="38" s="1"/>
  <c r="CK264" i="38" s="1"/>
  <c r="EO265" i="38"/>
  <c r="EP265" i="38" s="1"/>
  <c r="EQ265" i="38" s="1"/>
  <c r="ES265" i="38" s="1"/>
  <c r="DA267" i="38"/>
  <c r="DB267" i="38" s="1"/>
  <c r="DC267" i="38" s="1"/>
  <c r="DE267" i="38" s="1"/>
  <c r="EO82" i="38"/>
  <c r="EP82" i="38" s="1"/>
  <c r="EQ82" i="38" s="1"/>
  <c r="ES82" i="38" s="1"/>
  <c r="EO94" i="38"/>
  <c r="EP94" i="38" s="1"/>
  <c r="EQ94" i="38" s="1"/>
  <c r="ES94" i="38" s="1"/>
  <c r="EO62" i="38"/>
  <c r="EP62" i="38" s="1"/>
  <c r="EQ62" i="38" s="1"/>
  <c r="ES62" i="38" s="1"/>
  <c r="EO92" i="38"/>
  <c r="EP92" i="38" s="1"/>
  <c r="EQ92" i="38" s="1"/>
  <c r="ES92" i="38" s="1"/>
  <c r="EO75" i="38"/>
  <c r="EP75" i="38" s="1"/>
  <c r="EQ75" i="38" s="1"/>
  <c r="ES75" i="38" s="1"/>
  <c r="EO33" i="38"/>
  <c r="EP33" i="38" s="1"/>
  <c r="EQ33" i="38" s="1"/>
  <c r="ES33" i="38" s="1"/>
  <c r="EO44" i="38"/>
  <c r="EP44" i="38" s="1"/>
  <c r="EQ44" i="38" s="1"/>
  <c r="ES44" i="38" s="1"/>
  <c r="EO36" i="38"/>
  <c r="EP36" i="38" s="1"/>
  <c r="EQ36" i="38" s="1"/>
  <c r="ES36" i="38" s="1"/>
  <c r="EE244" i="38"/>
  <c r="EF244" i="38" s="1"/>
  <c r="EG244" i="38" s="1"/>
  <c r="EI244" i="38" s="1"/>
  <c r="EE229" i="38"/>
  <c r="EF229" i="38" s="1"/>
  <c r="EG229" i="38" s="1"/>
  <c r="EI229" i="38" s="1"/>
  <c r="EE213" i="38"/>
  <c r="EF213" i="38" s="1"/>
  <c r="EG213" i="38" s="1"/>
  <c r="EI213" i="38" s="1"/>
  <c r="EE195" i="38"/>
  <c r="EF195" i="38" s="1"/>
  <c r="EG195" i="38" s="1"/>
  <c r="EI195" i="38" s="1"/>
  <c r="EE152" i="38"/>
  <c r="EF152" i="38" s="1"/>
  <c r="EG152" i="38" s="1"/>
  <c r="EI152" i="38" s="1"/>
  <c r="EE249" i="38"/>
  <c r="EF249" i="38" s="1"/>
  <c r="EG249" i="38" s="1"/>
  <c r="EI249" i="38" s="1"/>
  <c r="EE233" i="38"/>
  <c r="EF233" i="38" s="1"/>
  <c r="EG233" i="38" s="1"/>
  <c r="EI233" i="38" s="1"/>
  <c r="EE216" i="38"/>
  <c r="EF216" i="38" s="1"/>
  <c r="EG216" i="38" s="1"/>
  <c r="EI216" i="38" s="1"/>
  <c r="EE200" i="38"/>
  <c r="EF200" i="38" s="1"/>
  <c r="EG200" i="38" s="1"/>
  <c r="EI200" i="38" s="1"/>
  <c r="EE169" i="38"/>
  <c r="EF169" i="38" s="1"/>
  <c r="EG169" i="38" s="1"/>
  <c r="EI169" i="38" s="1"/>
  <c r="EE156" i="38"/>
  <c r="EF156" i="38" s="1"/>
  <c r="EG156" i="38" s="1"/>
  <c r="EI156" i="38" s="1"/>
  <c r="EE126" i="38"/>
  <c r="EF126" i="38" s="1"/>
  <c r="EG126" i="38" s="1"/>
  <c r="EI126" i="38" s="1"/>
  <c r="EE116" i="38"/>
  <c r="EF116" i="38" s="1"/>
  <c r="EG116" i="38" s="1"/>
  <c r="EI116" i="38" s="1"/>
  <c r="EE196" i="38"/>
  <c r="EF196" i="38" s="1"/>
  <c r="EG196" i="38" s="1"/>
  <c r="EI196" i="38" s="1"/>
  <c r="EE180" i="38"/>
  <c r="EF180" i="38" s="1"/>
  <c r="EG180" i="38" s="1"/>
  <c r="EI180" i="38" s="1"/>
  <c r="EE165" i="38"/>
  <c r="EF165" i="38" s="1"/>
  <c r="EG165" i="38" s="1"/>
  <c r="EI165" i="38" s="1"/>
  <c r="EE149" i="38"/>
  <c r="EF149" i="38" s="1"/>
  <c r="EG149" i="38" s="1"/>
  <c r="EI149" i="38" s="1"/>
  <c r="EE133" i="38"/>
  <c r="EF133" i="38" s="1"/>
  <c r="EG133" i="38" s="1"/>
  <c r="EI133" i="38" s="1"/>
  <c r="EE117" i="38"/>
  <c r="EF117" i="38" s="1"/>
  <c r="EG117" i="38" s="1"/>
  <c r="EI117" i="38" s="1"/>
  <c r="EE17" i="38"/>
  <c r="EF17" i="38" s="1"/>
  <c r="EG17" i="38" s="1"/>
  <c r="EI17" i="38" s="1"/>
  <c r="EE99" i="38"/>
  <c r="EF99" i="38" s="1"/>
  <c r="EG99" i="38" s="1"/>
  <c r="EI99" i="38" s="1"/>
  <c r="EE52" i="38"/>
  <c r="EF52" i="38" s="1"/>
  <c r="EG52" i="38" s="1"/>
  <c r="EI52" i="38" s="1"/>
  <c r="EE24" i="38"/>
  <c r="EF24" i="38" s="1"/>
  <c r="EG24" i="38" s="1"/>
  <c r="EI24" i="38" s="1"/>
  <c r="DK241" i="38"/>
  <c r="DL241" i="38" s="1"/>
  <c r="DM241" i="38" s="1"/>
  <c r="DO241" i="38" s="1"/>
  <c r="DK224" i="38"/>
  <c r="DL224" i="38" s="1"/>
  <c r="DM224" i="38" s="1"/>
  <c r="DO224" i="38" s="1"/>
  <c r="DK208" i="38"/>
  <c r="DL208" i="38" s="1"/>
  <c r="DM208" i="38" s="1"/>
  <c r="DO208" i="38" s="1"/>
  <c r="DK184" i="38"/>
  <c r="DL184" i="38" s="1"/>
  <c r="DM184" i="38" s="1"/>
  <c r="DO184" i="38" s="1"/>
  <c r="DK133" i="38"/>
  <c r="DL133" i="38" s="1"/>
  <c r="DM133" i="38" s="1"/>
  <c r="DO133" i="38" s="1"/>
  <c r="DK243" i="38"/>
  <c r="DL243" i="38" s="1"/>
  <c r="DM243" i="38" s="1"/>
  <c r="DO243" i="38" s="1"/>
  <c r="DK229" i="38"/>
  <c r="DL229" i="38" s="1"/>
  <c r="DM229" i="38" s="1"/>
  <c r="DO229" i="38" s="1"/>
  <c r="DK213" i="38"/>
  <c r="DL213" i="38" s="1"/>
  <c r="DM213" i="38" s="1"/>
  <c r="DO213" i="38" s="1"/>
  <c r="DK194" i="38"/>
  <c r="DL194" i="38" s="1"/>
  <c r="DM194" i="38" s="1"/>
  <c r="DO194" i="38" s="1"/>
  <c r="DK156" i="38"/>
  <c r="DL156" i="38" s="1"/>
  <c r="DM156" i="38" s="1"/>
  <c r="DO156" i="38" s="1"/>
  <c r="DK147" i="38"/>
  <c r="DL147" i="38" s="1"/>
  <c r="DM147" i="38" s="1"/>
  <c r="DO147" i="38" s="1"/>
  <c r="DK105" i="38"/>
  <c r="DL105" i="38" s="1"/>
  <c r="DM105" i="38" s="1"/>
  <c r="DO105" i="38" s="1"/>
  <c r="DK57" i="38"/>
  <c r="DL57" i="38" s="1"/>
  <c r="DM57" i="38" s="1"/>
  <c r="DO57" i="38" s="1"/>
  <c r="DK191" i="38"/>
  <c r="DL191" i="38" s="1"/>
  <c r="DM191" i="38" s="1"/>
  <c r="DO191" i="38" s="1"/>
  <c r="DK175" i="38"/>
  <c r="DL175" i="38" s="1"/>
  <c r="DM175" i="38" s="1"/>
  <c r="DO175" i="38" s="1"/>
  <c r="DK159" i="38"/>
  <c r="DL159" i="38" s="1"/>
  <c r="DM159" i="38" s="1"/>
  <c r="DO159" i="38" s="1"/>
  <c r="DK144" i="38"/>
  <c r="DL144" i="38" s="1"/>
  <c r="DM144" i="38" s="1"/>
  <c r="DO144" i="38" s="1"/>
  <c r="DK128" i="38"/>
  <c r="DL128" i="38" s="1"/>
  <c r="DM128" i="38" s="1"/>
  <c r="DO128" i="38" s="1"/>
  <c r="DK112" i="38"/>
  <c r="DL112" i="38" s="1"/>
  <c r="DM112" i="38" s="1"/>
  <c r="DO112" i="38" s="1"/>
  <c r="DK110" i="38"/>
  <c r="DL110" i="38" s="1"/>
  <c r="DM110" i="38" s="1"/>
  <c r="DO110" i="38" s="1"/>
  <c r="DK56" i="38"/>
  <c r="DL56" i="38" s="1"/>
  <c r="DM56" i="38" s="1"/>
  <c r="DO56" i="38" s="1"/>
  <c r="DK53" i="38"/>
  <c r="DL53" i="38" s="1"/>
  <c r="DM53" i="38" s="1"/>
  <c r="DO53" i="38" s="1"/>
  <c r="DK24" i="38"/>
  <c r="DL24" i="38" s="1"/>
  <c r="DM24" i="38" s="1"/>
  <c r="DO24" i="38" s="1"/>
  <c r="DA85" i="38"/>
  <c r="DB85" i="38" s="1"/>
  <c r="DC85" i="38" s="1"/>
  <c r="DE85" i="38" s="1"/>
  <c r="DA96" i="38"/>
  <c r="DB96" i="38" s="1"/>
  <c r="DC96" i="38" s="1"/>
  <c r="DE96" i="38" s="1"/>
  <c r="DA64" i="38"/>
  <c r="DB64" i="38" s="1"/>
  <c r="DC64" i="38" s="1"/>
  <c r="DE64" i="38" s="1"/>
  <c r="DA83" i="38"/>
  <c r="DB83" i="38" s="1"/>
  <c r="DC83" i="38" s="1"/>
  <c r="DE83" i="38" s="1"/>
  <c r="DA67" i="38"/>
  <c r="DB67" i="38" s="1"/>
  <c r="DC67" i="38" s="1"/>
  <c r="DE67" i="38" s="1"/>
  <c r="DA49" i="38"/>
  <c r="DB49" i="38" s="1"/>
  <c r="DC49" i="38" s="1"/>
  <c r="DE49" i="38" s="1"/>
  <c r="DA41" i="38"/>
  <c r="DB41" i="38" s="1"/>
  <c r="DC41" i="38" s="1"/>
  <c r="DE41" i="38" s="1"/>
  <c r="DA29" i="38"/>
  <c r="DB29" i="38" s="1"/>
  <c r="DC29" i="38" s="1"/>
  <c r="DE29" i="38" s="1"/>
  <c r="CG75" i="38"/>
  <c r="CH75" i="38" s="1"/>
  <c r="CI75" i="38" s="1"/>
  <c r="CK75" i="38" s="1"/>
  <c r="CG85" i="38"/>
  <c r="CH85" i="38" s="1"/>
  <c r="CI85" i="38" s="1"/>
  <c r="CK85" i="38" s="1"/>
  <c r="CG35" i="38"/>
  <c r="CH35" i="38" s="1"/>
  <c r="CI35" i="38" s="1"/>
  <c r="CK35" i="38" s="1"/>
  <c r="CG83" i="38"/>
  <c r="CH83" i="38" s="1"/>
  <c r="CI83" i="38" s="1"/>
  <c r="CK83" i="38" s="1"/>
  <c r="CG66" i="38"/>
  <c r="CH66" i="38" s="1"/>
  <c r="CI66" i="38" s="1"/>
  <c r="CK66" i="38" s="1"/>
  <c r="CG49" i="38"/>
  <c r="CH49" i="38" s="1"/>
  <c r="CI49" i="38" s="1"/>
  <c r="CK49" i="38" s="1"/>
  <c r="CG41" i="38"/>
  <c r="CH41" i="38" s="1"/>
  <c r="CI41" i="38" s="1"/>
  <c r="CK41" i="38" s="1"/>
  <c r="CG29" i="38"/>
  <c r="CH29" i="38" s="1"/>
  <c r="CI29" i="38" s="1"/>
  <c r="CK29" i="38" s="1"/>
  <c r="DK253" i="38"/>
  <c r="DL253" i="38" s="1"/>
  <c r="DM253" i="38" s="1"/>
  <c r="DO253" i="38" s="1"/>
  <c r="BC260" i="38"/>
  <c r="BD260" i="38" s="1"/>
  <c r="BE260" i="38" s="1"/>
  <c r="BG260" i="38" s="1"/>
  <c r="BW263" i="38"/>
  <c r="BX263" i="38" s="1"/>
  <c r="BY263" i="38" s="1"/>
  <c r="CA263" i="38" s="1"/>
  <c r="EE264" i="38"/>
  <c r="EF264" i="38" s="1"/>
  <c r="EG264" i="38" s="1"/>
  <c r="EI264" i="38" s="1"/>
  <c r="CQ266" i="38"/>
  <c r="CR266" i="38" s="1"/>
  <c r="CS266" i="38" s="1"/>
  <c r="CU266" i="38" s="1"/>
  <c r="BC268" i="38"/>
  <c r="BD268" i="38" s="1"/>
  <c r="BE268" i="38" s="1"/>
  <c r="BG268" i="38" s="1"/>
  <c r="DU79" i="38"/>
  <c r="DV79" i="38" s="1"/>
  <c r="DW79" i="38" s="1"/>
  <c r="DY79" i="38" s="1"/>
  <c r="DU33" i="38"/>
  <c r="DV33" i="38" s="1"/>
  <c r="DW33" i="38" s="1"/>
  <c r="DY33" i="38" s="1"/>
  <c r="DU67" i="38"/>
  <c r="DV67" i="38" s="1"/>
  <c r="DW67" i="38" s="1"/>
  <c r="DY67" i="38" s="1"/>
  <c r="DU85" i="38"/>
  <c r="DV85" i="38" s="1"/>
  <c r="DW85" i="38" s="1"/>
  <c r="DY85" i="38" s="1"/>
  <c r="DU70" i="38"/>
  <c r="DV70" i="38" s="1"/>
  <c r="DW70" i="38" s="1"/>
  <c r="DY70" i="38" s="1"/>
  <c r="DU49" i="38"/>
  <c r="DV49" i="38" s="1"/>
  <c r="DW49" i="38" s="1"/>
  <c r="DY49" i="38" s="1"/>
  <c r="DU41" i="38"/>
  <c r="DV41" i="38" s="1"/>
  <c r="DW41" i="38" s="1"/>
  <c r="DY41" i="38" s="1"/>
  <c r="DU31" i="38"/>
  <c r="DV31" i="38" s="1"/>
  <c r="DW31" i="38" s="1"/>
  <c r="DY31" i="38" s="1"/>
  <c r="CQ237" i="38"/>
  <c r="CR237" i="38" s="1"/>
  <c r="CS237" i="38" s="1"/>
  <c r="CU237" i="38" s="1"/>
  <c r="CQ221" i="38"/>
  <c r="CR221" i="38" s="1"/>
  <c r="CS221" i="38" s="1"/>
  <c r="CU221" i="38" s="1"/>
  <c r="CQ205" i="38"/>
  <c r="CR205" i="38" s="1"/>
  <c r="CS205" i="38" s="1"/>
  <c r="CU205" i="38" s="1"/>
  <c r="CQ177" i="38"/>
  <c r="CR177" i="38" s="1"/>
  <c r="CS177" i="38" s="1"/>
  <c r="CU177" i="38" s="1"/>
  <c r="CQ255" i="38"/>
  <c r="CR255" i="38" s="1"/>
  <c r="CS255" i="38" s="1"/>
  <c r="CU255" i="38" s="1"/>
  <c r="CQ239" i="38"/>
  <c r="CR239" i="38" s="1"/>
  <c r="CS239" i="38" s="1"/>
  <c r="CU239" i="38" s="1"/>
  <c r="CQ222" i="38"/>
  <c r="CR222" i="38" s="1"/>
  <c r="CS222" i="38" s="1"/>
  <c r="CU222" i="38" s="1"/>
  <c r="CQ206" i="38"/>
  <c r="CR206" i="38" s="1"/>
  <c r="CS206" i="38" s="1"/>
  <c r="CU206" i="38" s="1"/>
  <c r="CQ183" i="38"/>
  <c r="CR183" i="38" s="1"/>
  <c r="CS183" i="38" s="1"/>
  <c r="CU183" i="38" s="1"/>
  <c r="CQ134" i="38"/>
  <c r="CR134" i="38" s="1"/>
  <c r="CS134" i="38" s="1"/>
  <c r="CU134" i="38" s="1"/>
  <c r="CQ144" i="38"/>
  <c r="CR144" i="38" s="1"/>
  <c r="CS144" i="38" s="1"/>
  <c r="CU144" i="38" s="1"/>
  <c r="CQ113" i="38"/>
  <c r="CR113" i="38" s="1"/>
  <c r="CS113" i="38" s="1"/>
  <c r="CU113" i="38" s="1"/>
  <c r="CQ28" i="38"/>
  <c r="CR28" i="38" s="1"/>
  <c r="CS28" i="38" s="1"/>
  <c r="CU28" i="38" s="1"/>
  <c r="CQ186" i="38"/>
  <c r="CR186" i="38" s="1"/>
  <c r="CS186" i="38" s="1"/>
  <c r="CU186" i="38" s="1"/>
  <c r="CQ170" i="38"/>
  <c r="CR170" i="38" s="1"/>
  <c r="CS170" i="38" s="1"/>
  <c r="CU170" i="38" s="1"/>
  <c r="CQ155" i="38"/>
  <c r="CR155" i="38" s="1"/>
  <c r="CS155" i="38" s="1"/>
  <c r="CU155" i="38" s="1"/>
  <c r="CQ137" i="38"/>
  <c r="CR137" i="38" s="1"/>
  <c r="CS137" i="38" s="1"/>
  <c r="CU137" i="38" s="1"/>
  <c r="CQ121" i="38"/>
  <c r="CR121" i="38" s="1"/>
  <c r="CS121" i="38" s="1"/>
  <c r="CU121" i="38" s="1"/>
  <c r="CQ58" i="38"/>
  <c r="CR58" i="38" s="1"/>
  <c r="CS58" i="38" s="1"/>
  <c r="CU58" i="38" s="1"/>
  <c r="CQ101" i="38"/>
  <c r="CR101" i="38" s="1"/>
  <c r="CS101" i="38" s="1"/>
  <c r="CU101" i="38" s="1"/>
  <c r="CQ18" i="38"/>
  <c r="CR18" i="38" s="1"/>
  <c r="CS18" i="38" s="1"/>
  <c r="CU18" i="38" s="1"/>
  <c r="CQ14" i="38"/>
  <c r="CR14" i="38" s="1"/>
  <c r="CS14" i="38" s="1"/>
  <c r="CU14" i="38" s="1"/>
  <c r="BW247" i="38"/>
  <c r="BX247" i="38" s="1"/>
  <c r="BY247" i="38" s="1"/>
  <c r="CA247" i="38" s="1"/>
  <c r="BW231" i="38"/>
  <c r="BX231" i="38" s="1"/>
  <c r="BY231" i="38" s="1"/>
  <c r="CA231" i="38" s="1"/>
  <c r="BW216" i="38"/>
  <c r="BX216" i="38" s="1"/>
  <c r="BY216" i="38" s="1"/>
  <c r="CA216" i="38" s="1"/>
  <c r="BW200" i="38"/>
  <c r="BX200" i="38" s="1"/>
  <c r="BY200" i="38" s="1"/>
  <c r="CA200" i="38" s="1"/>
  <c r="BW170" i="38"/>
  <c r="BX170" i="38" s="1"/>
  <c r="BY170" i="38" s="1"/>
  <c r="CA170" i="38" s="1"/>
  <c r="BW253" i="38"/>
  <c r="BX253" i="38" s="1"/>
  <c r="BY253" i="38" s="1"/>
  <c r="CA253" i="38" s="1"/>
  <c r="BW237" i="38"/>
  <c r="BX237" i="38" s="1"/>
  <c r="BY237" i="38" s="1"/>
  <c r="CA237" i="38" s="1"/>
  <c r="BW221" i="38"/>
  <c r="BX221" i="38" s="1"/>
  <c r="BY221" i="38" s="1"/>
  <c r="CA221" i="38" s="1"/>
  <c r="BW205" i="38"/>
  <c r="BX205" i="38" s="1"/>
  <c r="BY205" i="38" s="1"/>
  <c r="CA205" i="38" s="1"/>
  <c r="BW176" i="38"/>
  <c r="BX176" i="38" s="1"/>
  <c r="BY176" i="38" s="1"/>
  <c r="CA176" i="38" s="1"/>
  <c r="BW155" i="38"/>
  <c r="BX155" i="38" s="1"/>
  <c r="BY155" i="38" s="1"/>
  <c r="CA155" i="38" s="1"/>
  <c r="BW125" i="38"/>
  <c r="BX125" i="38" s="1"/>
  <c r="BY125" i="38" s="1"/>
  <c r="CA125" i="38" s="1"/>
  <c r="BW119" i="38"/>
  <c r="BX119" i="38" s="1"/>
  <c r="BY119" i="38" s="1"/>
  <c r="CA119" i="38" s="1"/>
  <c r="BW191" i="38"/>
  <c r="BX191" i="38" s="1"/>
  <c r="BY191" i="38" s="1"/>
  <c r="CA191" i="38" s="1"/>
  <c r="BW175" i="38"/>
  <c r="BX175" i="38" s="1"/>
  <c r="BY175" i="38" s="1"/>
  <c r="CA175" i="38" s="1"/>
  <c r="BW160" i="38"/>
  <c r="BX160" i="38" s="1"/>
  <c r="BY160" i="38" s="1"/>
  <c r="CA160" i="38" s="1"/>
  <c r="BW144" i="38"/>
  <c r="BX144" i="38" s="1"/>
  <c r="BY144" i="38" s="1"/>
  <c r="CA144" i="38" s="1"/>
  <c r="BW128" i="38"/>
  <c r="BX128" i="38" s="1"/>
  <c r="BY128" i="38" s="1"/>
  <c r="CA128" i="38" s="1"/>
  <c r="BW109" i="38"/>
  <c r="BX109" i="38" s="1"/>
  <c r="BY109" i="38" s="1"/>
  <c r="CA109" i="38" s="1"/>
  <c r="BW112" i="38"/>
  <c r="BX112" i="38" s="1"/>
  <c r="BY112" i="38" s="1"/>
  <c r="CA112" i="38" s="1"/>
  <c r="BW58" i="38"/>
  <c r="BX58" i="38" s="1"/>
  <c r="BY58" i="38" s="1"/>
  <c r="CA58" i="38" s="1"/>
  <c r="BW19" i="38"/>
  <c r="BX19" i="38" s="1"/>
  <c r="BY19" i="38" s="1"/>
  <c r="CA19" i="38" s="1"/>
  <c r="BW23" i="38"/>
  <c r="BX23" i="38" s="1"/>
  <c r="BY23" i="38" s="1"/>
  <c r="CA23" i="38" s="1"/>
  <c r="BM94" i="38"/>
  <c r="BN94" i="38" s="1"/>
  <c r="BO94" i="38" s="1"/>
  <c r="BQ94" i="38" s="1"/>
  <c r="BM9" i="38"/>
  <c r="BN9" i="38" s="1"/>
  <c r="BO9" i="38" s="1"/>
  <c r="BQ9" i="38" s="1"/>
  <c r="BM66" i="38"/>
  <c r="BN66" i="38" s="1"/>
  <c r="BO66" i="38" s="1"/>
  <c r="BQ66" i="38" s="1"/>
  <c r="BM89" i="38"/>
  <c r="BN89" i="38" s="1"/>
  <c r="BO89" i="38" s="1"/>
  <c r="BQ89" i="38" s="1"/>
  <c r="BM73" i="38"/>
  <c r="BN73" i="38" s="1"/>
  <c r="BO73" i="38" s="1"/>
  <c r="BQ73" i="38" s="1"/>
  <c r="BM11" i="38"/>
  <c r="BN11" i="38" s="1"/>
  <c r="BO11" i="38" s="1"/>
  <c r="BQ11" i="38" s="1"/>
  <c r="BM43" i="38"/>
  <c r="BN43" i="38" s="1"/>
  <c r="BO43" i="38" s="1"/>
  <c r="BQ43" i="38" s="1"/>
  <c r="BM34" i="38"/>
  <c r="BN34" i="38" s="1"/>
  <c r="BO34" i="38" s="1"/>
  <c r="BQ34" i="38" s="1"/>
  <c r="BC243" i="38"/>
  <c r="BD243" i="38" s="1"/>
  <c r="BE243" i="38" s="1"/>
  <c r="BG243" i="38" s="1"/>
  <c r="BC227" i="38"/>
  <c r="BD227" i="38" s="1"/>
  <c r="BE227" i="38" s="1"/>
  <c r="BG227" i="38" s="1"/>
  <c r="BC211" i="38"/>
  <c r="BD211" i="38" s="1"/>
  <c r="BE211" i="38" s="1"/>
  <c r="BG211" i="38" s="1"/>
  <c r="BC191" i="38"/>
  <c r="BD191" i="38" s="1"/>
  <c r="BE191" i="38" s="1"/>
  <c r="BG191" i="38" s="1"/>
  <c r="BC155" i="38"/>
  <c r="BD155" i="38" s="1"/>
  <c r="BE155" i="38" s="1"/>
  <c r="BG155" i="38" s="1"/>
  <c r="BC250" i="38"/>
  <c r="BD250" i="38" s="1"/>
  <c r="BE250" i="38" s="1"/>
  <c r="BG250" i="38" s="1"/>
  <c r="BC234" i="38"/>
  <c r="BD234" i="38" s="1"/>
  <c r="BE234" i="38" s="1"/>
  <c r="BG234" i="38" s="1"/>
  <c r="BC218" i="38"/>
  <c r="BD218" i="38" s="1"/>
  <c r="BE218" i="38" s="1"/>
  <c r="BG218" i="38" s="1"/>
  <c r="BC202" i="38"/>
  <c r="BD202" i="38" s="1"/>
  <c r="BE202" i="38" s="1"/>
  <c r="BG202" i="38" s="1"/>
  <c r="BC173" i="38"/>
  <c r="BD173" i="38" s="1"/>
  <c r="BE173" i="38" s="1"/>
  <c r="BG173" i="38" s="1"/>
  <c r="BC160" i="38"/>
  <c r="BD160" i="38" s="1"/>
  <c r="BE160" i="38" s="1"/>
  <c r="BG160" i="38" s="1"/>
  <c r="BC126" i="38"/>
  <c r="BD126" i="38" s="1"/>
  <c r="BE126" i="38" s="1"/>
  <c r="BG126" i="38" s="1"/>
  <c r="BC115" i="38"/>
  <c r="BD115" i="38" s="1"/>
  <c r="BE115" i="38" s="1"/>
  <c r="BG115" i="38" s="1"/>
  <c r="BC196" i="38"/>
  <c r="BD196" i="38" s="1"/>
  <c r="BE196" i="38" s="1"/>
  <c r="BG196" i="38" s="1"/>
  <c r="BC180" i="38"/>
  <c r="BD180" i="38" s="1"/>
  <c r="BE180" i="38" s="1"/>
  <c r="BG180" i="38" s="1"/>
  <c r="BC162" i="38"/>
  <c r="BD162" i="38" s="1"/>
  <c r="BE162" i="38" s="1"/>
  <c r="BG162" i="38" s="1"/>
  <c r="BC147" i="38"/>
  <c r="BD147" i="38" s="1"/>
  <c r="BE147" i="38" s="1"/>
  <c r="BG147" i="38" s="1"/>
  <c r="BC131" i="38"/>
  <c r="BD131" i="38" s="1"/>
  <c r="BE131" i="38" s="1"/>
  <c r="BG131" i="38" s="1"/>
  <c r="BC111" i="38"/>
  <c r="BD111" i="38" s="1"/>
  <c r="BE111" i="38" s="1"/>
  <c r="BG111" i="38" s="1"/>
  <c r="BC13" i="38"/>
  <c r="BD13" i="38" s="1"/>
  <c r="BE13" i="38" s="1"/>
  <c r="BG13" i="38" s="1"/>
  <c r="BC99" i="38"/>
  <c r="BD99" i="38" s="1"/>
  <c r="BE99" i="38" s="1"/>
  <c r="BG99" i="38" s="1"/>
  <c r="BC52" i="38"/>
  <c r="BD52" i="38" s="1"/>
  <c r="BE52" i="38" s="1"/>
  <c r="BG52" i="38" s="1"/>
  <c r="BC22" i="38"/>
  <c r="BD22" i="38" s="1"/>
  <c r="BE22" i="38" s="1"/>
  <c r="BG22" i="38" s="1"/>
  <c r="BM96" i="37"/>
  <c r="BN96" i="37" s="1"/>
  <c r="BO96" i="37" s="1"/>
  <c r="BQ96" i="37" s="1"/>
  <c r="EO230" i="38"/>
  <c r="EP230" i="38" s="1"/>
  <c r="EQ230" i="38" s="1"/>
  <c r="ES230" i="38" s="1"/>
  <c r="BM234" i="38"/>
  <c r="BN234" i="38" s="1"/>
  <c r="BO234" i="38" s="1"/>
  <c r="BQ234" i="38" s="1"/>
  <c r="CG237" i="38"/>
  <c r="CH237" i="38" s="1"/>
  <c r="CI237" i="38" s="1"/>
  <c r="CK237" i="38" s="1"/>
  <c r="DA240" i="38"/>
  <c r="DB240" i="38" s="1"/>
  <c r="DC240" i="38" s="1"/>
  <c r="DE240" i="38" s="1"/>
  <c r="DU243" i="38"/>
  <c r="DV243" i="38" s="1"/>
  <c r="DW243" i="38" s="1"/>
  <c r="DY243" i="38" s="1"/>
  <c r="EO246" i="38"/>
  <c r="EP246" i="38" s="1"/>
  <c r="EQ246" i="38" s="1"/>
  <c r="ES246" i="38" s="1"/>
  <c r="BM250" i="38"/>
  <c r="BN250" i="38" s="1"/>
  <c r="BO250" i="38" s="1"/>
  <c r="BQ250" i="38" s="1"/>
  <c r="CG253" i="38"/>
  <c r="CH253" i="38" s="1"/>
  <c r="CI253" i="38" s="1"/>
  <c r="CK253" i="38" s="1"/>
  <c r="DA256" i="38"/>
  <c r="DB256" i="38" s="1"/>
  <c r="DC256" i="38" s="1"/>
  <c r="DE256" i="38" s="1"/>
  <c r="DU259" i="38"/>
  <c r="DV259" i="38" s="1"/>
  <c r="DW259" i="38" s="1"/>
  <c r="DY259" i="38" s="1"/>
  <c r="EO262" i="38"/>
  <c r="EP262" i="38" s="1"/>
  <c r="EQ262" i="38" s="1"/>
  <c r="ES262" i="38" s="1"/>
  <c r="BM233" i="38"/>
  <c r="BN233" i="38" s="1"/>
  <c r="BO233" i="38" s="1"/>
  <c r="BQ233" i="38" s="1"/>
  <c r="CG236" i="38"/>
  <c r="CH236" i="38" s="1"/>
  <c r="CI236" i="38" s="1"/>
  <c r="CK236" i="38" s="1"/>
  <c r="DA239" i="38"/>
  <c r="DB239" i="38" s="1"/>
  <c r="DC239" i="38" s="1"/>
  <c r="DE239" i="38" s="1"/>
  <c r="DU242" i="38"/>
  <c r="DV242" i="38" s="1"/>
  <c r="DW242" i="38" s="1"/>
  <c r="DY242" i="38" s="1"/>
  <c r="EO245" i="38"/>
  <c r="EP245" i="38" s="1"/>
  <c r="EQ245" i="38" s="1"/>
  <c r="ES245" i="38" s="1"/>
  <c r="BM249" i="38"/>
  <c r="BN249" i="38" s="1"/>
  <c r="BO249" i="38" s="1"/>
  <c r="BQ249" i="38" s="1"/>
  <c r="CG252" i="38"/>
  <c r="CH252" i="38" s="1"/>
  <c r="CI252" i="38" s="1"/>
  <c r="CK252" i="38" s="1"/>
  <c r="DA255" i="38"/>
  <c r="DB255" i="38" s="1"/>
  <c r="DC255" i="38" s="1"/>
  <c r="DE255" i="38" s="1"/>
  <c r="DU258" i="38"/>
  <c r="DV258" i="38" s="1"/>
  <c r="DW258" i="38" s="1"/>
  <c r="DY258" i="38" s="1"/>
  <c r="EO261" i="38"/>
  <c r="EP261" i="38" s="1"/>
  <c r="EQ261" i="38" s="1"/>
  <c r="ES261" i="38" s="1"/>
  <c r="BW63" i="38"/>
  <c r="BX63" i="38" s="1"/>
  <c r="BY63" i="38" s="1"/>
  <c r="CA63" i="38" s="1"/>
  <c r="CQ66" i="38"/>
  <c r="CR66" i="38" s="1"/>
  <c r="CS66" i="38" s="1"/>
  <c r="CU66" i="38" s="1"/>
  <c r="DK69" i="38"/>
  <c r="DL69" i="38" s="1"/>
  <c r="DM69" i="38" s="1"/>
  <c r="DO69" i="38" s="1"/>
  <c r="EE72" i="38"/>
  <c r="EF72" i="38" s="1"/>
  <c r="EG72" i="38" s="1"/>
  <c r="EI72" i="38" s="1"/>
  <c r="BC76" i="38"/>
  <c r="BD76" i="38" s="1"/>
  <c r="BE76" i="38" s="1"/>
  <c r="BG76" i="38" s="1"/>
  <c r="DU100" i="38"/>
  <c r="DV100" i="38" s="1"/>
  <c r="DW100" i="38" s="1"/>
  <c r="DY100" i="38" s="1"/>
  <c r="EO103" i="38"/>
  <c r="EP103" i="38" s="1"/>
  <c r="EQ103" i="38" s="1"/>
  <c r="ES103" i="38" s="1"/>
  <c r="BM107" i="38"/>
  <c r="BN107" i="38" s="1"/>
  <c r="BO107" i="38" s="1"/>
  <c r="BQ107" i="38" s="1"/>
  <c r="CQ61" i="38"/>
  <c r="CR61" i="38" s="1"/>
  <c r="CS61" i="38" s="1"/>
  <c r="CU61" i="38" s="1"/>
  <c r="EE67" i="38"/>
  <c r="EF67" i="38" s="1"/>
  <c r="EG67" i="38" s="1"/>
  <c r="EI67" i="38" s="1"/>
  <c r="BW74" i="38"/>
  <c r="BX74" i="38" s="1"/>
  <c r="BY74" i="38" s="1"/>
  <c r="CA74" i="38" s="1"/>
  <c r="BM102" i="38"/>
  <c r="BN102" i="38" s="1"/>
  <c r="BO102" i="38" s="1"/>
  <c r="BQ102" i="38" s="1"/>
  <c r="DA108" i="38"/>
  <c r="DB108" i="38" s="1"/>
  <c r="DC108" i="38" s="1"/>
  <c r="DE108" i="38" s="1"/>
  <c r="DU118" i="38"/>
  <c r="DV118" i="38" s="1"/>
  <c r="DW118" i="38" s="1"/>
  <c r="DY118" i="38" s="1"/>
  <c r="EO121" i="38"/>
  <c r="EP121" i="38" s="1"/>
  <c r="EQ121" i="38" s="1"/>
  <c r="ES121" i="38" s="1"/>
  <c r="BM125" i="38"/>
  <c r="BN125" i="38" s="1"/>
  <c r="BO125" i="38" s="1"/>
  <c r="BQ125" i="38" s="1"/>
  <c r="CG128" i="38"/>
  <c r="CH128" i="38" s="1"/>
  <c r="CI128" i="38" s="1"/>
  <c r="CK128" i="38" s="1"/>
  <c r="DA131" i="38"/>
  <c r="DB131" i="38" s="1"/>
  <c r="DC131" i="38" s="1"/>
  <c r="DE131" i="38" s="1"/>
  <c r="DU134" i="38"/>
  <c r="DV134" i="38" s="1"/>
  <c r="DW134" i="38" s="1"/>
  <c r="DY134" i="38" s="1"/>
  <c r="EO137" i="38"/>
  <c r="EP137" i="38" s="1"/>
  <c r="EQ137" i="38" s="1"/>
  <c r="ES137" i="38" s="1"/>
  <c r="BM141" i="38"/>
  <c r="BN141" i="38" s="1"/>
  <c r="BO141" i="38" s="1"/>
  <c r="BQ141" i="38" s="1"/>
  <c r="CG144" i="38"/>
  <c r="CH144" i="38" s="1"/>
  <c r="CI144" i="38" s="1"/>
  <c r="CK144" i="38" s="1"/>
  <c r="DA147" i="38"/>
  <c r="DB147" i="38" s="1"/>
  <c r="DC147" i="38" s="1"/>
  <c r="DE147" i="38" s="1"/>
  <c r="DU150" i="38"/>
  <c r="DV150" i="38" s="1"/>
  <c r="DW150" i="38" s="1"/>
  <c r="DY150" i="38" s="1"/>
  <c r="DU169" i="38"/>
  <c r="DV169" i="38" s="1"/>
  <c r="DW169" i="38" s="1"/>
  <c r="DY169" i="38" s="1"/>
  <c r="EO172" i="38"/>
  <c r="EP172" i="38" s="1"/>
  <c r="EQ172" i="38" s="1"/>
  <c r="ES172" i="38" s="1"/>
  <c r="BM176" i="38"/>
  <c r="BN176" i="38" s="1"/>
  <c r="BO176" i="38" s="1"/>
  <c r="BQ176" i="38" s="1"/>
  <c r="CG179" i="38"/>
  <c r="CH179" i="38" s="1"/>
  <c r="CI179" i="38" s="1"/>
  <c r="CK179" i="38" s="1"/>
  <c r="DA182" i="38"/>
  <c r="DB182" i="38" s="1"/>
  <c r="DC182" i="38" s="1"/>
  <c r="DE182" i="38" s="1"/>
  <c r="DU185" i="38"/>
  <c r="DV185" i="38" s="1"/>
  <c r="DW185" i="38" s="1"/>
  <c r="DY185" i="38" s="1"/>
  <c r="EO188" i="38"/>
  <c r="EP188" i="38" s="1"/>
  <c r="EQ188" i="38" s="1"/>
  <c r="ES188" i="38" s="1"/>
  <c r="BM192" i="38"/>
  <c r="BN192" i="38" s="1"/>
  <c r="BO192" i="38" s="1"/>
  <c r="BQ192" i="38" s="1"/>
  <c r="CG195" i="38"/>
  <c r="CH195" i="38" s="1"/>
  <c r="CI195" i="38" s="1"/>
  <c r="CK195" i="38" s="1"/>
  <c r="DA198" i="38"/>
  <c r="DB198" i="38" s="1"/>
  <c r="DC198" i="38" s="1"/>
  <c r="DE198" i="38" s="1"/>
  <c r="BC65" i="38"/>
  <c r="BD65" i="38" s="1"/>
  <c r="BE65" i="38" s="1"/>
  <c r="BG65" i="38" s="1"/>
  <c r="CQ71" i="38"/>
  <c r="CR71" i="38" s="1"/>
  <c r="CS71" i="38" s="1"/>
  <c r="CU71" i="38" s="1"/>
  <c r="BM100" i="38"/>
  <c r="BN100" i="38" s="1"/>
  <c r="BO100" i="38" s="1"/>
  <c r="BQ100" i="38" s="1"/>
  <c r="DU117" i="38"/>
  <c r="DV117" i="38" s="1"/>
  <c r="DW117" i="38" s="1"/>
  <c r="DY117" i="38" s="1"/>
  <c r="BM124" i="38"/>
  <c r="BN124" i="38" s="1"/>
  <c r="BO124" i="38" s="1"/>
  <c r="BQ124" i="38" s="1"/>
  <c r="DA130" i="38"/>
  <c r="DB130" i="38" s="1"/>
  <c r="DC130" i="38" s="1"/>
  <c r="DE130" i="38" s="1"/>
  <c r="DU105" i="38"/>
  <c r="DV105" i="38" s="1"/>
  <c r="DW105" i="38" s="1"/>
  <c r="DY105" i="38" s="1"/>
  <c r="DA120" i="38"/>
  <c r="DB120" i="38" s="1"/>
  <c r="DC120" i="38" s="1"/>
  <c r="DE120" i="38" s="1"/>
  <c r="EO126" i="38"/>
  <c r="EP126" i="38" s="1"/>
  <c r="EQ126" i="38" s="1"/>
  <c r="ES126" i="38" s="1"/>
  <c r="CG133" i="38"/>
  <c r="CH133" i="38" s="1"/>
  <c r="CI133" i="38" s="1"/>
  <c r="CK133" i="38" s="1"/>
  <c r="DU139" i="38"/>
  <c r="DV139" i="38" s="1"/>
  <c r="DW139" i="38" s="1"/>
  <c r="DY139" i="38" s="1"/>
  <c r="BM146" i="38"/>
  <c r="BN146" i="38" s="1"/>
  <c r="BO146" i="38" s="1"/>
  <c r="BQ146" i="38" s="1"/>
  <c r="DA152" i="38"/>
  <c r="DB152" i="38" s="1"/>
  <c r="DC152" i="38" s="1"/>
  <c r="DE152" i="38" s="1"/>
  <c r="EO140" i="38"/>
  <c r="EP140" i="38" s="1"/>
  <c r="EQ140" i="38" s="1"/>
  <c r="ES140" i="38" s="1"/>
  <c r="EO169" i="38"/>
  <c r="EP169" i="38" s="1"/>
  <c r="EQ169" i="38" s="1"/>
  <c r="ES169" i="38" s="1"/>
  <c r="CG176" i="38"/>
  <c r="CH176" i="38" s="1"/>
  <c r="CI176" i="38" s="1"/>
  <c r="CK176" i="38" s="1"/>
  <c r="DU182" i="38"/>
  <c r="DV182" i="38" s="1"/>
  <c r="DW182" i="38" s="1"/>
  <c r="DY182" i="38" s="1"/>
  <c r="BM189" i="38"/>
  <c r="BN189" i="38" s="1"/>
  <c r="BO189" i="38" s="1"/>
  <c r="BQ189" i="38" s="1"/>
  <c r="DA195" i="38"/>
  <c r="DB195" i="38" s="1"/>
  <c r="DC195" i="38" s="1"/>
  <c r="DE195" i="38" s="1"/>
  <c r="EO200" i="38"/>
  <c r="EP200" i="38" s="1"/>
  <c r="EQ200" i="38" s="1"/>
  <c r="ES200" i="38" s="1"/>
  <c r="BM204" i="38"/>
  <c r="BN204" i="38" s="1"/>
  <c r="BO204" i="38" s="1"/>
  <c r="BQ204" i="38" s="1"/>
  <c r="CG207" i="38"/>
  <c r="CH207" i="38" s="1"/>
  <c r="CI207" i="38" s="1"/>
  <c r="CK207" i="38" s="1"/>
  <c r="DA210" i="38"/>
  <c r="DB210" i="38" s="1"/>
  <c r="DC210" i="38" s="1"/>
  <c r="DE210" i="38" s="1"/>
  <c r="DU213" i="38"/>
  <c r="DV213" i="38" s="1"/>
  <c r="DW213" i="38" s="1"/>
  <c r="DY213" i="38" s="1"/>
  <c r="EO216" i="38"/>
  <c r="EP216" i="38" s="1"/>
  <c r="EQ216" i="38" s="1"/>
  <c r="ES216" i="38" s="1"/>
  <c r="BM220" i="38"/>
  <c r="BN220" i="38" s="1"/>
  <c r="BO220" i="38" s="1"/>
  <c r="BQ220" i="38" s="1"/>
  <c r="CG223" i="38"/>
  <c r="CH223" i="38" s="1"/>
  <c r="CI223" i="38" s="1"/>
  <c r="CK223" i="38" s="1"/>
  <c r="DA226" i="38"/>
  <c r="DB226" i="38" s="1"/>
  <c r="DC226" i="38" s="1"/>
  <c r="DE226" i="38" s="1"/>
  <c r="DU229" i="38"/>
  <c r="DV229" i="38" s="1"/>
  <c r="DW229" i="38" s="1"/>
  <c r="DY229" i="38" s="1"/>
  <c r="CG143" i="38"/>
  <c r="CH143" i="38" s="1"/>
  <c r="CI143" i="38" s="1"/>
  <c r="CK143" i="38" s="1"/>
  <c r="BM171" i="38"/>
  <c r="BN171" i="38" s="1"/>
  <c r="BO171" i="38" s="1"/>
  <c r="BQ171" i="38" s="1"/>
  <c r="DA177" i="38"/>
  <c r="DB177" i="38" s="1"/>
  <c r="DC177" i="38" s="1"/>
  <c r="DE177" i="38" s="1"/>
  <c r="EO183" i="38"/>
  <c r="EP183" i="38" s="1"/>
  <c r="EQ183" i="38" s="1"/>
  <c r="ES183" i="38" s="1"/>
  <c r="CG190" i="38"/>
  <c r="CH190" i="38" s="1"/>
  <c r="CI190" i="38" s="1"/>
  <c r="CK190" i="38" s="1"/>
  <c r="DU196" i="38"/>
  <c r="DV196" i="38" s="1"/>
  <c r="DW196" i="38" s="1"/>
  <c r="DY196" i="38" s="1"/>
  <c r="DA201" i="38"/>
  <c r="DB201" i="38" s="1"/>
  <c r="DC201" i="38" s="1"/>
  <c r="DE201" i="38" s="1"/>
  <c r="DU204" i="38"/>
  <c r="DV204" i="38" s="1"/>
  <c r="DW204" i="38" s="1"/>
  <c r="DY204" i="38" s="1"/>
  <c r="EO207" i="38"/>
  <c r="EP207" i="38" s="1"/>
  <c r="EQ207" i="38" s="1"/>
  <c r="ES207" i="38" s="1"/>
  <c r="BM211" i="38"/>
  <c r="BN211" i="38" s="1"/>
  <c r="BO211" i="38" s="1"/>
  <c r="BQ211" i="38" s="1"/>
  <c r="CG214" i="38"/>
  <c r="CH214" i="38" s="1"/>
  <c r="CI214" i="38" s="1"/>
  <c r="CK214" i="38" s="1"/>
  <c r="DA217" i="38"/>
  <c r="DB217" i="38" s="1"/>
  <c r="DC217" i="38" s="1"/>
  <c r="DE217" i="38" s="1"/>
  <c r="DU220" i="38"/>
  <c r="DV220" i="38" s="1"/>
  <c r="DW220" i="38" s="1"/>
  <c r="DY220" i="38" s="1"/>
  <c r="EO223" i="38"/>
  <c r="EP223" i="38" s="1"/>
  <c r="EQ223" i="38" s="1"/>
  <c r="ES223" i="38" s="1"/>
  <c r="BM227" i="38"/>
  <c r="BN227" i="38" s="1"/>
  <c r="BO227" i="38" s="1"/>
  <c r="BQ227" i="38" s="1"/>
  <c r="DK249" i="38"/>
  <c r="DL249" i="38" s="1"/>
  <c r="DM249" i="38" s="1"/>
  <c r="DO249" i="38" s="1"/>
  <c r="BC256" i="38"/>
  <c r="BD256" i="38" s="1"/>
  <c r="BE256" i="38" s="1"/>
  <c r="BG256" i="38" s="1"/>
  <c r="BC261" i="38"/>
  <c r="BD261" i="38" s="1"/>
  <c r="BE261" i="38" s="1"/>
  <c r="BG261" i="38" s="1"/>
  <c r="EE263" i="38"/>
  <c r="EF263" i="38" s="1"/>
  <c r="EG263" i="38" s="1"/>
  <c r="EI263" i="38" s="1"/>
  <c r="CQ265" i="38"/>
  <c r="CR265" i="38" s="1"/>
  <c r="CS265" i="38" s="1"/>
  <c r="CU265" i="38" s="1"/>
  <c r="BC267" i="38"/>
  <c r="BD267" i="38" s="1"/>
  <c r="BE267" i="38" s="1"/>
  <c r="BG267" i="38" s="1"/>
  <c r="DK268" i="38"/>
  <c r="DL268" i="38" s="1"/>
  <c r="DM268" i="38" s="1"/>
  <c r="DO268" i="38" s="1"/>
  <c r="EO68" i="38"/>
  <c r="EP68" i="38" s="1"/>
  <c r="EQ68" i="38" s="1"/>
  <c r="ES68" i="38" s="1"/>
  <c r="EO74" i="38"/>
  <c r="EP74" i="38" s="1"/>
  <c r="EQ74" i="38" s="1"/>
  <c r="ES74" i="38" s="1"/>
  <c r="EO97" i="38"/>
  <c r="EP97" i="38" s="1"/>
  <c r="EQ97" i="38" s="1"/>
  <c r="ES97" i="38" s="1"/>
  <c r="EO81" i="38"/>
  <c r="EP81" i="38" s="1"/>
  <c r="EQ81" i="38" s="1"/>
  <c r="ES81" i="38" s="1"/>
  <c r="EO65" i="38"/>
  <c r="EP65" i="38" s="1"/>
  <c r="EQ65" i="38" s="1"/>
  <c r="ES65" i="38" s="1"/>
  <c r="EO47" i="38"/>
  <c r="EP47" i="38" s="1"/>
  <c r="EQ47" i="38" s="1"/>
  <c r="ES47" i="38" s="1"/>
  <c r="EO39" i="38"/>
  <c r="EP39" i="38" s="1"/>
  <c r="EQ39" i="38" s="1"/>
  <c r="ES39" i="38" s="1"/>
  <c r="EO10" i="38"/>
  <c r="EP10" i="38" s="1"/>
  <c r="EQ10" i="38" s="1"/>
  <c r="ES10" i="38" s="1"/>
  <c r="EE235" i="38"/>
  <c r="EF235" i="38" s="1"/>
  <c r="EG235" i="38" s="1"/>
  <c r="EI235" i="38" s="1"/>
  <c r="EE219" i="38"/>
  <c r="EF219" i="38" s="1"/>
  <c r="EG219" i="38" s="1"/>
  <c r="EI219" i="38" s="1"/>
  <c r="EE203" i="38"/>
  <c r="EF203" i="38" s="1"/>
  <c r="EG203" i="38" s="1"/>
  <c r="EI203" i="38" s="1"/>
  <c r="EE175" i="38"/>
  <c r="EF175" i="38" s="1"/>
  <c r="EG175" i="38" s="1"/>
  <c r="EI175" i="38" s="1"/>
  <c r="EE254" i="38"/>
  <c r="EF254" i="38" s="1"/>
  <c r="EG254" i="38" s="1"/>
  <c r="EI254" i="38" s="1"/>
  <c r="EE238" i="38"/>
  <c r="EF238" i="38" s="1"/>
  <c r="EG238" i="38" s="1"/>
  <c r="EI238" i="38" s="1"/>
  <c r="EE222" i="38"/>
  <c r="EF222" i="38" s="1"/>
  <c r="EG222" i="38" s="1"/>
  <c r="EI222" i="38" s="1"/>
  <c r="EE206" i="38"/>
  <c r="EF206" i="38" s="1"/>
  <c r="EG206" i="38" s="1"/>
  <c r="EI206" i="38" s="1"/>
  <c r="EE181" i="38"/>
  <c r="EF181" i="38" s="1"/>
  <c r="EG181" i="38" s="1"/>
  <c r="EI181" i="38" s="1"/>
  <c r="EE132" i="38"/>
  <c r="EF132" i="38" s="1"/>
  <c r="EG132" i="38" s="1"/>
  <c r="EI132" i="38" s="1"/>
  <c r="EE138" i="38"/>
  <c r="EF138" i="38" s="1"/>
  <c r="EG138" i="38" s="1"/>
  <c r="EI138" i="38" s="1"/>
  <c r="EE128" i="38"/>
  <c r="EF128" i="38" s="1"/>
  <c r="EG128" i="38" s="1"/>
  <c r="EI128" i="38" s="1"/>
  <c r="EE54" i="38"/>
  <c r="EF54" i="38" s="1"/>
  <c r="EG54" i="38" s="1"/>
  <c r="EI54" i="38" s="1"/>
  <c r="EE186" i="38"/>
  <c r="EF186" i="38" s="1"/>
  <c r="EG186" i="38" s="1"/>
  <c r="EI186" i="38" s="1"/>
  <c r="EE170" i="38"/>
  <c r="EF170" i="38" s="1"/>
  <c r="EG170" i="38" s="1"/>
  <c r="EI170" i="38" s="1"/>
  <c r="EE154" i="38"/>
  <c r="EF154" i="38" s="1"/>
  <c r="EG154" i="38" s="1"/>
  <c r="EI154" i="38" s="1"/>
  <c r="EE139" i="38"/>
  <c r="EF139" i="38" s="1"/>
  <c r="EG139" i="38" s="1"/>
  <c r="EI139" i="38" s="1"/>
  <c r="EE123" i="38"/>
  <c r="EF123" i="38" s="1"/>
  <c r="EG123" i="38" s="1"/>
  <c r="EI123" i="38" s="1"/>
  <c r="EE98" i="38"/>
  <c r="EF98" i="38" s="1"/>
  <c r="EG98" i="38" s="1"/>
  <c r="EI98" i="38" s="1"/>
  <c r="EE105" i="38"/>
  <c r="EF105" i="38" s="1"/>
  <c r="EG105" i="38" s="1"/>
  <c r="EI105" i="38" s="1"/>
  <c r="EE27" i="38"/>
  <c r="EF27" i="38" s="1"/>
  <c r="EG27" i="38" s="1"/>
  <c r="EI27" i="38" s="1"/>
  <c r="EE12" i="38"/>
  <c r="EF12" i="38" s="1"/>
  <c r="EG12" i="38" s="1"/>
  <c r="EI12" i="38" s="1"/>
  <c r="DK248" i="38"/>
  <c r="DL248" i="38" s="1"/>
  <c r="DM248" i="38" s="1"/>
  <c r="DO248" i="38" s="1"/>
  <c r="DK232" i="38"/>
  <c r="DL232" i="38" s="1"/>
  <c r="DM232" i="38" s="1"/>
  <c r="DO232" i="38" s="1"/>
  <c r="DK214" i="38"/>
  <c r="DL214" i="38" s="1"/>
  <c r="DM214" i="38" s="1"/>
  <c r="DO214" i="38" s="1"/>
  <c r="DK196" i="38"/>
  <c r="DL196" i="38" s="1"/>
  <c r="DM196" i="38" s="1"/>
  <c r="DO196" i="38" s="1"/>
  <c r="DK164" i="38"/>
  <c r="DL164" i="38" s="1"/>
  <c r="DM164" i="38" s="1"/>
  <c r="DO164" i="38" s="1"/>
  <c r="DK250" i="38"/>
  <c r="DL250" i="38" s="1"/>
  <c r="DM250" i="38" s="1"/>
  <c r="DO250" i="38" s="1"/>
  <c r="DK234" i="38"/>
  <c r="DL234" i="38" s="1"/>
  <c r="DM234" i="38" s="1"/>
  <c r="DO234" i="38" s="1"/>
  <c r="DK219" i="38"/>
  <c r="DL219" i="38" s="1"/>
  <c r="DM219" i="38" s="1"/>
  <c r="DO219" i="38" s="1"/>
  <c r="DK203" i="38"/>
  <c r="DL203" i="38" s="1"/>
  <c r="DM203" i="38" s="1"/>
  <c r="DO203" i="38" s="1"/>
  <c r="DK174" i="38"/>
  <c r="DL174" i="38" s="1"/>
  <c r="DM174" i="38" s="1"/>
  <c r="DO174" i="38" s="1"/>
  <c r="DK160" i="38"/>
  <c r="DL160" i="38" s="1"/>
  <c r="DM160" i="38" s="1"/>
  <c r="DO160" i="38" s="1"/>
  <c r="DK127" i="38"/>
  <c r="DL127" i="38" s="1"/>
  <c r="DM127" i="38" s="1"/>
  <c r="DO127" i="38" s="1"/>
  <c r="DK109" i="38"/>
  <c r="DL109" i="38" s="1"/>
  <c r="DM109" i="38" s="1"/>
  <c r="DO109" i="38" s="1"/>
  <c r="DK197" i="38"/>
  <c r="DL197" i="38" s="1"/>
  <c r="DM197" i="38" s="1"/>
  <c r="DO197" i="38" s="1"/>
  <c r="DK181" i="38"/>
  <c r="DL181" i="38" s="1"/>
  <c r="DM181" i="38" s="1"/>
  <c r="DO181" i="38" s="1"/>
  <c r="DK166" i="38"/>
  <c r="DL166" i="38" s="1"/>
  <c r="DM166" i="38" s="1"/>
  <c r="DO166" i="38" s="1"/>
  <c r="DK150" i="38"/>
  <c r="DL150" i="38" s="1"/>
  <c r="DM150" i="38" s="1"/>
  <c r="DO150" i="38" s="1"/>
  <c r="DK134" i="38"/>
  <c r="DL134" i="38" s="1"/>
  <c r="DM134" i="38" s="1"/>
  <c r="DO134" i="38" s="1"/>
  <c r="DK118" i="38"/>
  <c r="DL118" i="38" s="1"/>
  <c r="DM118" i="38" s="1"/>
  <c r="DO118" i="38" s="1"/>
  <c r="DK14" i="38"/>
  <c r="DL14" i="38" s="1"/>
  <c r="DM14" i="38" s="1"/>
  <c r="DO14" i="38" s="1"/>
  <c r="DK100" i="38"/>
  <c r="DL100" i="38" s="1"/>
  <c r="DM100" i="38" s="1"/>
  <c r="DO100" i="38" s="1"/>
  <c r="DK16" i="38"/>
  <c r="DL16" i="38" s="1"/>
  <c r="DM16" i="38" s="1"/>
  <c r="DO16" i="38" s="1"/>
  <c r="DK13" i="38"/>
  <c r="DL13" i="38" s="1"/>
  <c r="DM13" i="38" s="1"/>
  <c r="DO13" i="38" s="1"/>
  <c r="DA92" i="38"/>
  <c r="DB92" i="38" s="1"/>
  <c r="DC92" i="38" s="1"/>
  <c r="DE92" i="38" s="1"/>
  <c r="DA31" i="38"/>
  <c r="DB31" i="38" s="1"/>
  <c r="DC31" i="38" s="1"/>
  <c r="DE31" i="38" s="1"/>
  <c r="DA76" i="38"/>
  <c r="DB76" i="38" s="1"/>
  <c r="DC76" i="38" s="1"/>
  <c r="DE76" i="38" s="1"/>
  <c r="DA90" i="38"/>
  <c r="DB90" i="38" s="1"/>
  <c r="DC90" i="38" s="1"/>
  <c r="DE90" i="38" s="1"/>
  <c r="DA73" i="38"/>
  <c r="DB73" i="38" s="1"/>
  <c r="DC73" i="38" s="1"/>
  <c r="DE73" i="38" s="1"/>
  <c r="DA35" i="38"/>
  <c r="DB35" i="38" s="1"/>
  <c r="DC35" i="38" s="1"/>
  <c r="DE35" i="38" s="1"/>
  <c r="DA44" i="38"/>
  <c r="DB44" i="38" s="1"/>
  <c r="DC44" i="38" s="1"/>
  <c r="DE44" i="38" s="1"/>
  <c r="DA36" i="38"/>
  <c r="DB36" i="38" s="1"/>
  <c r="DC36" i="38" s="1"/>
  <c r="DE36" i="38" s="1"/>
  <c r="CG97" i="38"/>
  <c r="CH97" i="38" s="1"/>
  <c r="CI97" i="38" s="1"/>
  <c r="CK97" i="38" s="1"/>
  <c r="CG94" i="38"/>
  <c r="CH94" i="38" s="1"/>
  <c r="CI94" i="38" s="1"/>
  <c r="CK94" i="38" s="1"/>
  <c r="CG65" i="38"/>
  <c r="CH65" i="38" s="1"/>
  <c r="CI65" i="38" s="1"/>
  <c r="CK65" i="38" s="1"/>
  <c r="CG88" i="38"/>
  <c r="CH88" i="38" s="1"/>
  <c r="CI88" i="38" s="1"/>
  <c r="CK88" i="38" s="1"/>
  <c r="CG72" i="38"/>
  <c r="CH72" i="38" s="1"/>
  <c r="CI72" i="38" s="1"/>
  <c r="CK72" i="38" s="1"/>
  <c r="CG31" i="38"/>
  <c r="CH31" i="38" s="1"/>
  <c r="CI31" i="38" s="1"/>
  <c r="CK31" i="38" s="1"/>
  <c r="CG44" i="38"/>
  <c r="CH44" i="38" s="1"/>
  <c r="CI44" i="38" s="1"/>
  <c r="CK44" i="38" s="1"/>
  <c r="CG34" i="38"/>
  <c r="CH34" i="38" s="1"/>
  <c r="CI34" i="38" s="1"/>
  <c r="CK34" i="38" s="1"/>
  <c r="CQ250" i="38"/>
  <c r="CR250" i="38" s="1"/>
  <c r="CS250" i="38" s="1"/>
  <c r="CU250" i="38" s="1"/>
  <c r="CQ258" i="38"/>
  <c r="CR258" i="38" s="1"/>
  <c r="CS258" i="38" s="1"/>
  <c r="CU258" i="38" s="1"/>
  <c r="BW262" i="38"/>
  <c r="BX262" i="38" s="1"/>
  <c r="BY262" i="38" s="1"/>
  <c r="CA262" i="38" s="1"/>
  <c r="BM264" i="38"/>
  <c r="BN264" i="38" s="1"/>
  <c r="BO264" i="38" s="1"/>
  <c r="BQ264" i="38" s="1"/>
  <c r="DU265" i="38"/>
  <c r="DV265" i="38" s="1"/>
  <c r="DW265" i="38" s="1"/>
  <c r="DY265" i="38" s="1"/>
  <c r="CG267" i="38"/>
  <c r="CH267" i="38" s="1"/>
  <c r="CI267" i="38" s="1"/>
  <c r="CK267" i="38" s="1"/>
  <c r="EO268" i="38"/>
  <c r="EP268" i="38" s="1"/>
  <c r="EQ268" i="38" s="1"/>
  <c r="ES268" i="38" s="1"/>
  <c r="DU73" i="38"/>
  <c r="DV73" i="38" s="1"/>
  <c r="DW73" i="38" s="1"/>
  <c r="DY73" i="38" s="1"/>
  <c r="DU91" i="38"/>
  <c r="DV91" i="38" s="1"/>
  <c r="DW91" i="38" s="1"/>
  <c r="DY91" i="38" s="1"/>
  <c r="DU94" i="38"/>
  <c r="DV94" i="38" s="1"/>
  <c r="DW94" i="38" s="1"/>
  <c r="DY94" i="38" s="1"/>
  <c r="DU78" i="38"/>
  <c r="DV78" i="38" s="1"/>
  <c r="DW78" i="38" s="1"/>
  <c r="DY78" i="38" s="1"/>
  <c r="DU64" i="38"/>
  <c r="DV64" i="38" s="1"/>
  <c r="DW64" i="38" s="1"/>
  <c r="DY64" i="38" s="1"/>
  <c r="DU46" i="38"/>
  <c r="DV46" i="38" s="1"/>
  <c r="DW46" i="38" s="1"/>
  <c r="DY46" i="38" s="1"/>
  <c r="DU38" i="38"/>
  <c r="DV38" i="38" s="1"/>
  <c r="DW38" i="38" s="1"/>
  <c r="DY38" i="38" s="1"/>
  <c r="CQ246" i="38"/>
  <c r="CR246" i="38" s="1"/>
  <c r="CS246" i="38" s="1"/>
  <c r="CU246" i="38" s="1"/>
  <c r="CQ230" i="38"/>
  <c r="CR230" i="38" s="1"/>
  <c r="CS230" i="38" s="1"/>
  <c r="CU230" i="38" s="1"/>
  <c r="CQ215" i="38"/>
  <c r="CR215" i="38" s="1"/>
  <c r="CS215" i="38" s="1"/>
  <c r="CU215" i="38" s="1"/>
  <c r="CQ197" i="38"/>
  <c r="CR197" i="38" s="1"/>
  <c r="CS197" i="38" s="1"/>
  <c r="CU197" i="38" s="1"/>
  <c r="CQ161" i="38"/>
  <c r="CR161" i="38" s="1"/>
  <c r="CS161" i="38" s="1"/>
  <c r="CU161" i="38" s="1"/>
  <c r="CQ248" i="38"/>
  <c r="CR248" i="38" s="1"/>
  <c r="CS248" i="38" s="1"/>
  <c r="CU248" i="38" s="1"/>
  <c r="CQ232" i="38"/>
  <c r="CR232" i="38" s="1"/>
  <c r="CS232" i="38" s="1"/>
  <c r="CU232" i="38" s="1"/>
  <c r="CQ216" i="38"/>
  <c r="CR216" i="38" s="1"/>
  <c r="CS216" i="38" s="1"/>
  <c r="CU216" i="38" s="1"/>
  <c r="CQ200" i="38"/>
  <c r="CR200" i="38" s="1"/>
  <c r="CS200" i="38" s="1"/>
  <c r="CU200" i="38" s="1"/>
  <c r="CQ171" i="38"/>
  <c r="CR171" i="38" s="1"/>
  <c r="CS171" i="38" s="1"/>
  <c r="CU171" i="38" s="1"/>
  <c r="CQ165" i="38"/>
  <c r="CR165" i="38" s="1"/>
  <c r="CS165" i="38" s="1"/>
  <c r="CU165" i="38" s="1"/>
  <c r="CQ132" i="38"/>
  <c r="CR132" i="38" s="1"/>
  <c r="CS132" i="38" s="1"/>
  <c r="CU132" i="38" s="1"/>
  <c r="CQ130" i="38"/>
  <c r="CR130" i="38" s="1"/>
  <c r="CS130" i="38" s="1"/>
  <c r="CU130" i="38" s="1"/>
  <c r="CQ196" i="38"/>
  <c r="CR196" i="38" s="1"/>
  <c r="CS196" i="38" s="1"/>
  <c r="CU196" i="38" s="1"/>
  <c r="CQ180" i="38"/>
  <c r="CR180" i="38" s="1"/>
  <c r="CS180" i="38" s="1"/>
  <c r="CU180" i="38" s="1"/>
  <c r="CQ164" i="38"/>
  <c r="CR164" i="38" s="1"/>
  <c r="CS164" i="38" s="1"/>
  <c r="CU164" i="38" s="1"/>
  <c r="CQ147" i="38"/>
  <c r="CR147" i="38" s="1"/>
  <c r="CS147" i="38" s="1"/>
  <c r="CU147" i="38" s="1"/>
  <c r="CQ131" i="38"/>
  <c r="CR131" i="38" s="1"/>
  <c r="CS131" i="38" s="1"/>
  <c r="CU131" i="38" s="1"/>
  <c r="CQ116" i="38"/>
  <c r="CR116" i="38" s="1"/>
  <c r="CS116" i="38" s="1"/>
  <c r="CU116" i="38" s="1"/>
  <c r="CQ110" i="38"/>
  <c r="CR110" i="38" s="1"/>
  <c r="CS110" i="38" s="1"/>
  <c r="CU110" i="38" s="1"/>
  <c r="CQ56" i="38"/>
  <c r="CR56" i="38" s="1"/>
  <c r="CS56" i="38" s="1"/>
  <c r="CU56" i="38" s="1"/>
  <c r="CQ55" i="38"/>
  <c r="CR55" i="38" s="1"/>
  <c r="CS55" i="38" s="1"/>
  <c r="CU55" i="38" s="1"/>
  <c r="CQ25" i="38"/>
  <c r="CR25" i="38" s="1"/>
  <c r="CS25" i="38" s="1"/>
  <c r="CU25" i="38" s="1"/>
  <c r="BW242" i="38"/>
  <c r="BX242" i="38" s="1"/>
  <c r="BY242" i="38" s="1"/>
  <c r="CA242" i="38" s="1"/>
  <c r="BW226" i="38"/>
  <c r="BX226" i="38" s="1"/>
  <c r="BY226" i="38" s="1"/>
  <c r="CA226" i="38" s="1"/>
  <c r="BW210" i="38"/>
  <c r="BX210" i="38" s="1"/>
  <c r="BY210" i="38" s="1"/>
  <c r="CA210" i="38" s="1"/>
  <c r="BW190" i="38"/>
  <c r="BX190" i="38" s="1"/>
  <c r="BY190" i="38" s="1"/>
  <c r="CA190" i="38" s="1"/>
  <c r="BW151" i="38"/>
  <c r="BX151" i="38" s="1"/>
  <c r="BY151" i="38" s="1"/>
  <c r="CA151" i="38" s="1"/>
  <c r="BW248" i="38"/>
  <c r="BX248" i="38" s="1"/>
  <c r="BY248" i="38" s="1"/>
  <c r="CA248" i="38" s="1"/>
  <c r="BW232" i="38"/>
  <c r="BX232" i="38" s="1"/>
  <c r="BY232" i="38" s="1"/>
  <c r="CA232" i="38" s="1"/>
  <c r="BW215" i="38"/>
  <c r="BX215" i="38" s="1"/>
  <c r="BY215" i="38" s="1"/>
  <c r="CA215" i="38" s="1"/>
  <c r="BW196" i="38"/>
  <c r="BX196" i="38" s="1"/>
  <c r="BY196" i="38" s="1"/>
  <c r="CA196" i="38" s="1"/>
  <c r="BW166" i="38"/>
  <c r="BX166" i="38" s="1"/>
  <c r="BY166" i="38" s="1"/>
  <c r="CA166" i="38" s="1"/>
  <c r="BW145" i="38"/>
  <c r="BX145" i="38" s="1"/>
  <c r="BY145" i="38" s="1"/>
  <c r="CA145" i="38" s="1"/>
  <c r="BW107" i="38"/>
  <c r="BX107" i="38" s="1"/>
  <c r="BY107" i="38" s="1"/>
  <c r="CA107" i="38" s="1"/>
  <c r="EE346" i="37"/>
  <c r="EF346" i="37" s="1"/>
  <c r="EG346" i="37" s="1"/>
  <c r="EI346" i="37" s="1"/>
  <c r="CG348" i="37"/>
  <c r="CH348" i="37" s="1"/>
  <c r="CI348" i="37" s="1"/>
  <c r="CK348" i="37" s="1"/>
  <c r="EE10" i="37"/>
  <c r="EF10" i="37" s="1"/>
  <c r="EG10" i="37" s="1"/>
  <c r="EI10" i="37" s="1"/>
  <c r="CQ12" i="37"/>
  <c r="CR12" i="37" s="1"/>
  <c r="CS12" i="37" s="1"/>
  <c r="CU12" i="37" s="1"/>
  <c r="BC14" i="37"/>
  <c r="BD14" i="37" s="1"/>
  <c r="BE14" i="37" s="1"/>
  <c r="BG14" i="37" s="1"/>
  <c r="BM37" i="37"/>
  <c r="BN37" i="37" s="1"/>
  <c r="BO37" i="37" s="1"/>
  <c r="BQ37" i="37" s="1"/>
  <c r="DU39" i="37"/>
  <c r="DV39" i="37" s="1"/>
  <c r="DW39" i="37" s="1"/>
  <c r="DY39" i="37" s="1"/>
  <c r="CG41" i="37"/>
  <c r="CH41" i="37" s="1"/>
  <c r="CI41" i="37" s="1"/>
  <c r="CK41" i="37" s="1"/>
  <c r="EO42" i="37"/>
  <c r="EP42" i="37" s="1"/>
  <c r="EQ42" i="37" s="1"/>
  <c r="ES42" i="37" s="1"/>
  <c r="DA44" i="37"/>
  <c r="DB44" i="37" s="1"/>
  <c r="DC44" i="37" s="1"/>
  <c r="DE44" i="37" s="1"/>
  <c r="BM46" i="37"/>
  <c r="BN46" i="37" s="1"/>
  <c r="BO46" i="37" s="1"/>
  <c r="BQ46" i="37" s="1"/>
  <c r="DU47" i="37"/>
  <c r="DV47" i="37" s="1"/>
  <c r="DW47" i="37" s="1"/>
  <c r="DY47" i="37" s="1"/>
  <c r="BM49" i="37"/>
  <c r="BN49" i="37" s="1"/>
  <c r="BO49" i="37" s="1"/>
  <c r="BQ49" i="37" s="1"/>
  <c r="EO49" i="37"/>
  <c r="EP49" i="37" s="1"/>
  <c r="EQ49" i="37" s="1"/>
  <c r="ES49" i="37" s="1"/>
  <c r="DU50" i="37"/>
  <c r="DV50" i="37" s="1"/>
  <c r="DW50" i="37" s="1"/>
  <c r="DY50" i="37" s="1"/>
  <c r="DA51" i="37"/>
  <c r="DB51" i="37" s="1"/>
  <c r="DC51" i="37" s="1"/>
  <c r="DE51" i="37" s="1"/>
  <c r="DA52" i="37"/>
  <c r="DB52" i="37" s="1"/>
  <c r="DC52" i="37" s="1"/>
  <c r="DE52" i="37" s="1"/>
  <c r="BM54" i="37"/>
  <c r="BN54" i="37" s="1"/>
  <c r="BO54" i="37" s="1"/>
  <c r="BQ54" i="37" s="1"/>
  <c r="BM55" i="37"/>
  <c r="BN55" i="37" s="1"/>
  <c r="BO55" i="37" s="1"/>
  <c r="BQ55" i="37" s="1"/>
  <c r="EO55" i="37"/>
  <c r="EP55" i="37" s="1"/>
  <c r="EQ55" i="37" s="1"/>
  <c r="ES55" i="37" s="1"/>
  <c r="DU56" i="37"/>
  <c r="DV56" i="37" s="1"/>
  <c r="DW56" i="37" s="1"/>
  <c r="DY56" i="37" s="1"/>
  <c r="DA57" i="37"/>
  <c r="DB57" i="37" s="1"/>
  <c r="DC57" i="37" s="1"/>
  <c r="DE57" i="37" s="1"/>
  <c r="CG58" i="37"/>
  <c r="CH58" i="37" s="1"/>
  <c r="CI58" i="37" s="1"/>
  <c r="CK58" i="37" s="1"/>
  <c r="BM59" i="37"/>
  <c r="BN59" i="37" s="1"/>
  <c r="BO59" i="37" s="1"/>
  <c r="BQ59" i="37" s="1"/>
  <c r="EO59" i="37"/>
  <c r="EP59" i="37" s="1"/>
  <c r="EQ59" i="37" s="1"/>
  <c r="ES59" i="37" s="1"/>
  <c r="DU60" i="37"/>
  <c r="DV60" i="37" s="1"/>
  <c r="DW60" i="37" s="1"/>
  <c r="DY60" i="37" s="1"/>
  <c r="DA61" i="37"/>
  <c r="DB61" i="37" s="1"/>
  <c r="DC61" i="37" s="1"/>
  <c r="DE61" i="37" s="1"/>
  <c r="CG62" i="37"/>
  <c r="CH62" i="37" s="1"/>
  <c r="CI62" i="37" s="1"/>
  <c r="CK62" i="37" s="1"/>
  <c r="BM63" i="37"/>
  <c r="BN63" i="37" s="1"/>
  <c r="BO63" i="37" s="1"/>
  <c r="BQ63" i="37" s="1"/>
  <c r="EO63" i="37"/>
  <c r="EP63" i="37" s="1"/>
  <c r="EQ63" i="37" s="1"/>
  <c r="ES63" i="37" s="1"/>
  <c r="DU64" i="37"/>
  <c r="DV64" i="37" s="1"/>
  <c r="DW64" i="37" s="1"/>
  <c r="DY64" i="37" s="1"/>
  <c r="DA65" i="37"/>
  <c r="DB65" i="37" s="1"/>
  <c r="DC65" i="37" s="1"/>
  <c r="DE65" i="37" s="1"/>
  <c r="CG66" i="37"/>
  <c r="CH66" i="37" s="1"/>
  <c r="CI66" i="37" s="1"/>
  <c r="CK66" i="37" s="1"/>
  <c r="BM67" i="37"/>
  <c r="BN67" i="37" s="1"/>
  <c r="BO67" i="37" s="1"/>
  <c r="BQ67" i="37" s="1"/>
  <c r="EO67" i="37"/>
  <c r="EP67" i="37" s="1"/>
  <c r="EQ67" i="37" s="1"/>
  <c r="ES67" i="37" s="1"/>
  <c r="DU68" i="37"/>
  <c r="DV68" i="37" s="1"/>
  <c r="DW68" i="37" s="1"/>
  <c r="DY68" i="37" s="1"/>
  <c r="DA69" i="37"/>
  <c r="DB69" i="37" s="1"/>
  <c r="DC69" i="37" s="1"/>
  <c r="DE69" i="37" s="1"/>
  <c r="CG70" i="37"/>
  <c r="CH70" i="37" s="1"/>
  <c r="CI70" i="37" s="1"/>
  <c r="CK70" i="37" s="1"/>
  <c r="BM71" i="37"/>
  <c r="BN71" i="37" s="1"/>
  <c r="BO71" i="37" s="1"/>
  <c r="BQ71" i="37" s="1"/>
  <c r="EO71" i="37"/>
  <c r="EP71" i="37" s="1"/>
  <c r="EQ71" i="37" s="1"/>
  <c r="ES71" i="37" s="1"/>
  <c r="DU72" i="37"/>
  <c r="DV72" i="37" s="1"/>
  <c r="DW72" i="37" s="1"/>
  <c r="DY72" i="37" s="1"/>
  <c r="DA73" i="37"/>
  <c r="DB73" i="37" s="1"/>
  <c r="DC73" i="37" s="1"/>
  <c r="DE73" i="37" s="1"/>
  <c r="CG74" i="37"/>
  <c r="CH74" i="37" s="1"/>
  <c r="CI74" i="37" s="1"/>
  <c r="CK74" i="37" s="1"/>
  <c r="BM75" i="37"/>
  <c r="BN75" i="37" s="1"/>
  <c r="BO75" i="37" s="1"/>
  <c r="BQ75" i="37" s="1"/>
  <c r="EO75" i="37"/>
  <c r="EP75" i="37" s="1"/>
  <c r="EQ75" i="37" s="1"/>
  <c r="ES75" i="37" s="1"/>
  <c r="DU76" i="37"/>
  <c r="DV76" i="37" s="1"/>
  <c r="DW76" i="37" s="1"/>
  <c r="DY76" i="37" s="1"/>
  <c r="DA77" i="37"/>
  <c r="DB77" i="37" s="1"/>
  <c r="DC77" i="37" s="1"/>
  <c r="DE77" i="37" s="1"/>
  <c r="CG78" i="37"/>
  <c r="CH78" i="37" s="1"/>
  <c r="CI78" i="37" s="1"/>
  <c r="CK78" i="37" s="1"/>
  <c r="BM79" i="37"/>
  <c r="BN79" i="37" s="1"/>
  <c r="BO79" i="37" s="1"/>
  <c r="BQ79" i="37" s="1"/>
  <c r="EO79" i="37"/>
  <c r="EP79" i="37" s="1"/>
  <c r="EQ79" i="37" s="1"/>
  <c r="ES79" i="37" s="1"/>
  <c r="DU80" i="37"/>
  <c r="DV80" i="37" s="1"/>
  <c r="DW80" i="37" s="1"/>
  <c r="DY80" i="37" s="1"/>
  <c r="DA81" i="37"/>
  <c r="DB81" i="37" s="1"/>
  <c r="DC81" i="37" s="1"/>
  <c r="DE81" i="37" s="1"/>
  <c r="CG82" i="37"/>
  <c r="CH82" i="37" s="1"/>
  <c r="CI82" i="37" s="1"/>
  <c r="CK82" i="37" s="1"/>
  <c r="BM83" i="37"/>
  <c r="BN83" i="37" s="1"/>
  <c r="BO83" i="37" s="1"/>
  <c r="BQ83" i="37" s="1"/>
  <c r="EO83" i="37"/>
  <c r="EP83" i="37" s="1"/>
  <c r="EQ83" i="37" s="1"/>
  <c r="ES83" i="37" s="1"/>
  <c r="DU84" i="37"/>
  <c r="DV84" i="37" s="1"/>
  <c r="DW84" i="37" s="1"/>
  <c r="DY84" i="37" s="1"/>
  <c r="DA85" i="37"/>
  <c r="DB85" i="37" s="1"/>
  <c r="DC85" i="37" s="1"/>
  <c r="DE85" i="37" s="1"/>
  <c r="BM87" i="37"/>
  <c r="BN87" i="37" s="1"/>
  <c r="BO87" i="37" s="1"/>
  <c r="BQ87" i="37" s="1"/>
  <c r="BM92" i="37"/>
  <c r="BN92" i="37" s="1"/>
  <c r="BO92" i="37" s="1"/>
  <c r="BQ92" i="37" s="1"/>
  <c r="BM100" i="37"/>
  <c r="BN100" i="37" s="1"/>
  <c r="BO100" i="37" s="1"/>
  <c r="BQ100" i="37" s="1"/>
  <c r="EE303" i="37"/>
  <c r="EF303" i="37" s="1"/>
  <c r="EG303" i="37" s="1"/>
  <c r="EI303" i="37" s="1"/>
  <c r="EE295" i="37"/>
  <c r="EF295" i="37" s="1"/>
  <c r="EG295" i="37" s="1"/>
  <c r="EI295" i="37" s="1"/>
  <c r="EE287" i="37"/>
  <c r="EF287" i="37" s="1"/>
  <c r="EG287" i="37" s="1"/>
  <c r="EI287" i="37" s="1"/>
  <c r="EE279" i="37"/>
  <c r="EF279" i="37" s="1"/>
  <c r="EG279" i="37" s="1"/>
  <c r="EI279" i="37" s="1"/>
  <c r="EE274" i="37"/>
  <c r="EF274" i="37" s="1"/>
  <c r="EG274" i="37" s="1"/>
  <c r="EI274" i="37" s="1"/>
  <c r="EE266" i="37"/>
  <c r="EF266" i="37" s="1"/>
  <c r="EG266" i="37" s="1"/>
  <c r="EI266" i="37" s="1"/>
  <c r="EE183" i="37"/>
  <c r="EF183" i="37" s="1"/>
  <c r="EG183" i="37" s="1"/>
  <c r="EI183" i="37" s="1"/>
  <c r="EE306" i="37"/>
  <c r="EF306" i="37" s="1"/>
  <c r="EG306" i="37" s="1"/>
  <c r="EI306" i="37" s="1"/>
  <c r="EE211" i="37"/>
  <c r="EF211" i="37" s="1"/>
  <c r="EG211" i="37" s="1"/>
  <c r="EI211" i="37" s="1"/>
  <c r="EE203" i="37"/>
  <c r="EF203" i="37" s="1"/>
  <c r="EG203" i="37" s="1"/>
  <c r="EI203" i="37" s="1"/>
  <c r="EE195" i="37"/>
  <c r="EF195" i="37" s="1"/>
  <c r="EG195" i="37" s="1"/>
  <c r="EI195" i="37" s="1"/>
  <c r="EE178" i="37"/>
  <c r="EF178" i="37" s="1"/>
  <c r="EG178" i="37" s="1"/>
  <c r="EI178" i="37" s="1"/>
  <c r="EE168" i="37"/>
  <c r="EF168" i="37" s="1"/>
  <c r="EG168" i="37" s="1"/>
  <c r="EI168" i="37" s="1"/>
  <c r="EE160" i="37"/>
  <c r="EF160" i="37" s="1"/>
  <c r="EG160" i="37" s="1"/>
  <c r="EI160" i="37" s="1"/>
  <c r="CQ312" i="37"/>
  <c r="CR312" i="37" s="1"/>
  <c r="CS312" i="37" s="1"/>
  <c r="CU312" i="37" s="1"/>
  <c r="BW314" i="37"/>
  <c r="BX314" i="37" s="1"/>
  <c r="BY314" i="37" s="1"/>
  <c r="CA314" i="37" s="1"/>
  <c r="BW116" i="38"/>
  <c r="BX116" i="38" s="1"/>
  <c r="BY116" i="38" s="1"/>
  <c r="CA116" i="38" s="1"/>
  <c r="BW189" i="38"/>
  <c r="BX189" i="38" s="1"/>
  <c r="BY189" i="38" s="1"/>
  <c r="CA189" i="38" s="1"/>
  <c r="BW173" i="38"/>
  <c r="BX173" i="38" s="1"/>
  <c r="BY173" i="38" s="1"/>
  <c r="CA173" i="38" s="1"/>
  <c r="BW157" i="38"/>
  <c r="BX157" i="38" s="1"/>
  <c r="BY157" i="38" s="1"/>
  <c r="CA157" i="38" s="1"/>
  <c r="BW142" i="38"/>
  <c r="BX142" i="38" s="1"/>
  <c r="BY142" i="38" s="1"/>
  <c r="CA142" i="38" s="1"/>
  <c r="BW126" i="38"/>
  <c r="BX126" i="38" s="1"/>
  <c r="BY126" i="38" s="1"/>
  <c r="CA126" i="38" s="1"/>
  <c r="BW105" i="38"/>
  <c r="BX105" i="38" s="1"/>
  <c r="BY105" i="38" s="1"/>
  <c r="CA105" i="38" s="1"/>
  <c r="BW111" i="38"/>
  <c r="BX111" i="38" s="1"/>
  <c r="BY111" i="38" s="1"/>
  <c r="CA111" i="38" s="1"/>
  <c r="BW57" i="38"/>
  <c r="BX57" i="38" s="1"/>
  <c r="BY57" i="38" s="1"/>
  <c r="CA57" i="38" s="1"/>
  <c r="BW17" i="38"/>
  <c r="BX17" i="38" s="1"/>
  <c r="BY17" i="38" s="1"/>
  <c r="CA17" i="38" s="1"/>
  <c r="BW22" i="38"/>
  <c r="BX22" i="38" s="1"/>
  <c r="BY22" i="38" s="1"/>
  <c r="CA22" i="38" s="1"/>
  <c r="BM79" i="38"/>
  <c r="BN79" i="38" s="1"/>
  <c r="BO79" i="38" s="1"/>
  <c r="BQ79" i="38" s="1"/>
  <c r="BM98" i="38"/>
  <c r="BN98" i="38" s="1"/>
  <c r="BO98" i="38" s="1"/>
  <c r="BQ98" i="38" s="1"/>
  <c r="BM62" i="38"/>
  <c r="BN62" i="38" s="1"/>
  <c r="BO62" i="38" s="1"/>
  <c r="BQ62" i="38" s="1"/>
  <c r="BM88" i="38"/>
  <c r="BN88" i="38" s="1"/>
  <c r="BO88" i="38" s="1"/>
  <c r="BQ88" i="38" s="1"/>
  <c r="BM71" i="38"/>
  <c r="BN71" i="38" s="1"/>
  <c r="BO71" i="38" s="1"/>
  <c r="BQ71" i="38" s="1"/>
  <c r="BM50" i="38"/>
  <c r="BN50" i="38" s="1"/>
  <c r="BO50" i="38" s="1"/>
  <c r="BQ50" i="38" s="1"/>
  <c r="BM42" i="38"/>
  <c r="BN42" i="38" s="1"/>
  <c r="BO42" i="38" s="1"/>
  <c r="BQ42" i="38" s="1"/>
  <c r="BM31" i="38"/>
  <c r="BN31" i="38" s="1"/>
  <c r="BO31" i="38" s="1"/>
  <c r="BQ31" i="38" s="1"/>
  <c r="BC240" i="38"/>
  <c r="BD240" i="38" s="1"/>
  <c r="BE240" i="38" s="1"/>
  <c r="BG240" i="38" s="1"/>
  <c r="BC225" i="38"/>
  <c r="BD225" i="38" s="1"/>
  <c r="BE225" i="38" s="1"/>
  <c r="BG225" i="38" s="1"/>
  <c r="BC209" i="38"/>
  <c r="BD209" i="38" s="1"/>
  <c r="BE209" i="38" s="1"/>
  <c r="BG209" i="38" s="1"/>
  <c r="BC187" i="38"/>
  <c r="BD187" i="38" s="1"/>
  <c r="BE187" i="38" s="1"/>
  <c r="BG187" i="38" s="1"/>
  <c r="BC148" i="38"/>
  <c r="BD148" i="38" s="1"/>
  <c r="BE148" i="38" s="1"/>
  <c r="BG148" i="38" s="1"/>
  <c r="BC249" i="38"/>
  <c r="BD249" i="38" s="1"/>
  <c r="BE249" i="38" s="1"/>
  <c r="BG249" i="38" s="1"/>
  <c r="BC233" i="38"/>
  <c r="BD233" i="38" s="1"/>
  <c r="BE233" i="38" s="1"/>
  <c r="BG233" i="38" s="1"/>
  <c r="BC216" i="38"/>
  <c r="BD216" i="38" s="1"/>
  <c r="BE216" i="38" s="1"/>
  <c r="BG216" i="38" s="1"/>
  <c r="BC200" i="38"/>
  <c r="BD200" i="38" s="1"/>
  <c r="BE200" i="38" s="1"/>
  <c r="BG200" i="38" s="1"/>
  <c r="BC164" i="38"/>
  <c r="BD164" i="38" s="1"/>
  <c r="BE164" i="38" s="1"/>
  <c r="BG164" i="38" s="1"/>
  <c r="BC159" i="38"/>
  <c r="BD159" i="38" s="1"/>
  <c r="BE159" i="38" s="1"/>
  <c r="BG159" i="38" s="1"/>
  <c r="BC122" i="38"/>
  <c r="BD122" i="38" s="1"/>
  <c r="BE122" i="38" s="1"/>
  <c r="BG122" i="38" s="1"/>
  <c r="BC114" i="38"/>
  <c r="BD114" i="38" s="1"/>
  <c r="BE114" i="38" s="1"/>
  <c r="BG114" i="38" s="1"/>
  <c r="BC194" i="38"/>
  <c r="BD194" i="38" s="1"/>
  <c r="BE194" i="38" s="1"/>
  <c r="BG194" i="38" s="1"/>
  <c r="BC178" i="38"/>
  <c r="BD178" i="38" s="1"/>
  <c r="BE178" i="38" s="1"/>
  <c r="BG178" i="38" s="1"/>
  <c r="BC161" i="38"/>
  <c r="BD161" i="38" s="1"/>
  <c r="BE161" i="38" s="1"/>
  <c r="BG161" i="38" s="1"/>
  <c r="BC145" i="38"/>
  <c r="BD145" i="38" s="1"/>
  <c r="BE145" i="38" s="1"/>
  <c r="BG145" i="38" s="1"/>
  <c r="BC129" i="38"/>
  <c r="BD129" i="38" s="1"/>
  <c r="BE129" i="38" s="1"/>
  <c r="BG129" i="38" s="1"/>
  <c r="BC110" i="38"/>
  <c r="BD110" i="38" s="1"/>
  <c r="BE110" i="38" s="1"/>
  <c r="BG110" i="38" s="1"/>
  <c r="BC113" i="38"/>
  <c r="BD113" i="38" s="1"/>
  <c r="BE113" i="38" s="1"/>
  <c r="BG113" i="38" s="1"/>
  <c r="BC59" i="38"/>
  <c r="BD59" i="38" s="1"/>
  <c r="BE59" i="38" s="1"/>
  <c r="BG59" i="38" s="1"/>
  <c r="BC16" i="38"/>
  <c r="BD16" i="38" s="1"/>
  <c r="BE16" i="38" s="1"/>
  <c r="BG16" i="38" s="1"/>
  <c r="BC19" i="38"/>
  <c r="BD19" i="38" s="1"/>
  <c r="BE19" i="38" s="1"/>
  <c r="BG19" i="38" s="1"/>
  <c r="BC347" i="37"/>
  <c r="BD347" i="37" s="1"/>
  <c r="BE347" i="37" s="1"/>
  <c r="BG347" i="37" s="1"/>
  <c r="DA348" i="37"/>
  <c r="DB348" i="37" s="1"/>
  <c r="DC348" i="37" s="1"/>
  <c r="DE348" i="37" s="1"/>
  <c r="EO10" i="37"/>
  <c r="EP10" i="37" s="1"/>
  <c r="EQ10" i="37" s="1"/>
  <c r="ES10" i="37" s="1"/>
  <c r="DA12" i="37"/>
  <c r="DB12" i="37" s="1"/>
  <c r="DC12" i="37" s="1"/>
  <c r="DE12" i="37" s="1"/>
  <c r="BM14" i="37"/>
  <c r="BN14" i="37" s="1"/>
  <c r="BO14" i="37" s="1"/>
  <c r="BQ14" i="37" s="1"/>
  <c r="CG37" i="37"/>
  <c r="CH37" i="37" s="1"/>
  <c r="CI37" i="37" s="1"/>
  <c r="CK37" i="37" s="1"/>
  <c r="EO39" i="37"/>
  <c r="EP39" i="37" s="1"/>
  <c r="EQ39" i="37" s="1"/>
  <c r="ES39" i="37" s="1"/>
  <c r="DA41" i="37"/>
  <c r="DB41" i="37" s="1"/>
  <c r="DC41" i="37" s="1"/>
  <c r="DE41" i="37" s="1"/>
  <c r="BM43" i="37"/>
  <c r="BN43" i="37" s="1"/>
  <c r="BO43" i="37" s="1"/>
  <c r="BQ43" i="37" s="1"/>
  <c r="DU44" i="37"/>
  <c r="DV44" i="37" s="1"/>
  <c r="DW44" i="37" s="1"/>
  <c r="DY44" i="37" s="1"/>
  <c r="CG46" i="37"/>
  <c r="CH46" i="37" s="1"/>
  <c r="CI46" i="37" s="1"/>
  <c r="CK46" i="37" s="1"/>
  <c r="EO47" i="37"/>
  <c r="EP47" i="37" s="1"/>
  <c r="EQ47" i="37" s="1"/>
  <c r="ES47" i="37" s="1"/>
  <c r="BW49" i="37"/>
  <c r="BX49" i="37" s="1"/>
  <c r="BY49" i="37" s="1"/>
  <c r="CA49" i="37" s="1"/>
  <c r="BC50" i="37"/>
  <c r="BD50" i="37" s="1"/>
  <c r="BE50" i="37" s="1"/>
  <c r="BG50" i="37" s="1"/>
  <c r="EE50" i="37"/>
  <c r="EF50" i="37" s="1"/>
  <c r="EG50" i="37" s="1"/>
  <c r="EI50" i="37" s="1"/>
  <c r="DK51" i="37"/>
  <c r="DL51" i="37" s="1"/>
  <c r="DM51" i="37" s="1"/>
  <c r="DO51" i="37" s="1"/>
  <c r="DU52" i="37"/>
  <c r="DV52" i="37" s="1"/>
  <c r="DW52" i="37" s="1"/>
  <c r="DY52" i="37" s="1"/>
  <c r="CG54" i="37"/>
  <c r="CH54" i="37" s="1"/>
  <c r="CI54" i="37" s="1"/>
  <c r="CK54" i="37" s="1"/>
  <c r="BW55" i="37"/>
  <c r="BX55" i="37" s="1"/>
  <c r="BY55" i="37" s="1"/>
  <c r="CA55" i="37" s="1"/>
  <c r="BC56" i="37"/>
  <c r="BD56" i="37" s="1"/>
  <c r="BE56" i="37" s="1"/>
  <c r="BG56" i="37" s="1"/>
  <c r="EE56" i="37"/>
  <c r="EF56" i="37" s="1"/>
  <c r="EG56" i="37" s="1"/>
  <c r="EI56" i="37" s="1"/>
  <c r="DK57" i="37"/>
  <c r="DL57" i="37" s="1"/>
  <c r="DM57" i="37" s="1"/>
  <c r="DO57" i="37" s="1"/>
  <c r="CQ58" i="37"/>
  <c r="CR58" i="37" s="1"/>
  <c r="CS58" i="37" s="1"/>
  <c r="CU58" i="37" s="1"/>
  <c r="BW59" i="37"/>
  <c r="BX59" i="37" s="1"/>
  <c r="BY59" i="37" s="1"/>
  <c r="CA59" i="37" s="1"/>
  <c r="BC60" i="37"/>
  <c r="BD60" i="37" s="1"/>
  <c r="BE60" i="37" s="1"/>
  <c r="BG60" i="37" s="1"/>
  <c r="EE60" i="37"/>
  <c r="EF60" i="37" s="1"/>
  <c r="EG60" i="37" s="1"/>
  <c r="EI60" i="37" s="1"/>
  <c r="DK61" i="37"/>
  <c r="DL61" i="37" s="1"/>
  <c r="DM61" i="37" s="1"/>
  <c r="DO61" i="37" s="1"/>
  <c r="CQ62" i="37"/>
  <c r="CR62" i="37" s="1"/>
  <c r="CS62" i="37" s="1"/>
  <c r="CU62" i="37" s="1"/>
  <c r="BW63" i="37"/>
  <c r="BX63" i="37" s="1"/>
  <c r="BY63" i="37" s="1"/>
  <c r="CA63" i="37" s="1"/>
  <c r="BC64" i="37"/>
  <c r="BD64" i="37" s="1"/>
  <c r="BE64" i="37" s="1"/>
  <c r="BG64" i="37" s="1"/>
  <c r="EE64" i="37"/>
  <c r="EF64" i="37" s="1"/>
  <c r="EG64" i="37" s="1"/>
  <c r="EI64" i="37" s="1"/>
  <c r="DK65" i="37"/>
  <c r="DL65" i="37" s="1"/>
  <c r="DM65" i="37" s="1"/>
  <c r="DO65" i="37" s="1"/>
  <c r="CQ66" i="37"/>
  <c r="CR66" i="37" s="1"/>
  <c r="CS66" i="37" s="1"/>
  <c r="CU66" i="37" s="1"/>
  <c r="BW67" i="37"/>
  <c r="BX67" i="37" s="1"/>
  <c r="BY67" i="37" s="1"/>
  <c r="CA67" i="37" s="1"/>
  <c r="BC68" i="37"/>
  <c r="BD68" i="37" s="1"/>
  <c r="BE68" i="37" s="1"/>
  <c r="BG68" i="37" s="1"/>
  <c r="EE68" i="37"/>
  <c r="EF68" i="37" s="1"/>
  <c r="EG68" i="37" s="1"/>
  <c r="EI68" i="37" s="1"/>
  <c r="DK69" i="37"/>
  <c r="DL69" i="37" s="1"/>
  <c r="DM69" i="37" s="1"/>
  <c r="DO69" i="37" s="1"/>
  <c r="CQ70" i="37"/>
  <c r="CR70" i="37" s="1"/>
  <c r="CS70" i="37" s="1"/>
  <c r="CU70" i="37" s="1"/>
  <c r="BW71" i="37"/>
  <c r="BX71" i="37" s="1"/>
  <c r="BY71" i="37" s="1"/>
  <c r="CA71" i="37" s="1"/>
  <c r="BC72" i="37"/>
  <c r="BD72" i="37" s="1"/>
  <c r="BE72" i="37" s="1"/>
  <c r="BG72" i="37" s="1"/>
  <c r="EE72" i="37"/>
  <c r="EF72" i="37" s="1"/>
  <c r="EG72" i="37" s="1"/>
  <c r="EI72" i="37" s="1"/>
  <c r="DK73" i="37"/>
  <c r="DL73" i="37" s="1"/>
  <c r="DM73" i="37" s="1"/>
  <c r="DO73" i="37" s="1"/>
  <c r="CQ74" i="37"/>
  <c r="CR74" i="37" s="1"/>
  <c r="CS74" i="37" s="1"/>
  <c r="CU74" i="37" s="1"/>
  <c r="BW75" i="37"/>
  <c r="BX75" i="37" s="1"/>
  <c r="BY75" i="37" s="1"/>
  <c r="CA75" i="37" s="1"/>
  <c r="BC76" i="37"/>
  <c r="BD76" i="37" s="1"/>
  <c r="BE76" i="37" s="1"/>
  <c r="BG76" i="37" s="1"/>
  <c r="EE76" i="37"/>
  <c r="EF76" i="37" s="1"/>
  <c r="EG76" i="37" s="1"/>
  <c r="EI76" i="37" s="1"/>
  <c r="DK77" i="37"/>
  <c r="DL77" i="37" s="1"/>
  <c r="DM77" i="37" s="1"/>
  <c r="DO77" i="37" s="1"/>
  <c r="CQ78" i="37"/>
  <c r="CR78" i="37" s="1"/>
  <c r="CS78" i="37" s="1"/>
  <c r="CU78" i="37" s="1"/>
  <c r="BW79" i="37"/>
  <c r="BX79" i="37" s="1"/>
  <c r="BY79" i="37" s="1"/>
  <c r="CA79" i="37" s="1"/>
  <c r="BC80" i="37"/>
  <c r="BD80" i="37" s="1"/>
  <c r="BE80" i="37" s="1"/>
  <c r="BG80" i="37" s="1"/>
  <c r="EE80" i="37"/>
  <c r="EF80" i="37" s="1"/>
  <c r="EG80" i="37" s="1"/>
  <c r="EI80" i="37" s="1"/>
  <c r="DK81" i="37"/>
  <c r="DL81" i="37" s="1"/>
  <c r="DM81" i="37" s="1"/>
  <c r="DO81" i="37" s="1"/>
  <c r="CQ82" i="37"/>
  <c r="CR82" i="37" s="1"/>
  <c r="CS82" i="37" s="1"/>
  <c r="CU82" i="37" s="1"/>
  <c r="BW83" i="37"/>
  <c r="BX83" i="37" s="1"/>
  <c r="BY83" i="37" s="1"/>
  <c r="CA83" i="37" s="1"/>
  <c r="BC84" i="37"/>
  <c r="BD84" i="37" s="1"/>
  <c r="BE84" i="37" s="1"/>
  <c r="BG84" i="37" s="1"/>
  <c r="EE84" i="37"/>
  <c r="EF84" i="37" s="1"/>
  <c r="EG84" i="37" s="1"/>
  <c r="EI84" i="37" s="1"/>
  <c r="DK85" i="37"/>
  <c r="DL85" i="37" s="1"/>
  <c r="DM85" i="37" s="1"/>
  <c r="DO85" i="37" s="1"/>
  <c r="CQ86" i="37"/>
  <c r="CR86" i="37" s="1"/>
  <c r="CS86" i="37" s="1"/>
  <c r="CU86" i="37" s="1"/>
  <c r="BW87" i="37"/>
  <c r="BX87" i="37" s="1"/>
  <c r="BY87" i="37" s="1"/>
  <c r="CA87" i="37" s="1"/>
  <c r="CG93" i="37"/>
  <c r="CH93" i="37" s="1"/>
  <c r="CI93" i="37" s="1"/>
  <c r="CK93" i="37" s="1"/>
  <c r="CG100" i="37"/>
  <c r="CH100" i="37" s="1"/>
  <c r="CI100" i="37" s="1"/>
  <c r="CK100" i="37" s="1"/>
  <c r="BM104" i="37"/>
  <c r="BN104" i="37" s="1"/>
  <c r="BO104" i="37" s="1"/>
  <c r="BQ104" i="37" s="1"/>
  <c r="EE300" i="37"/>
  <c r="EF300" i="37" s="1"/>
  <c r="EG300" i="37" s="1"/>
  <c r="EI300" i="37" s="1"/>
  <c r="EE292" i="37"/>
  <c r="EF292" i="37" s="1"/>
  <c r="EG292" i="37" s="1"/>
  <c r="EI292" i="37" s="1"/>
  <c r="EE284" i="37"/>
  <c r="EF284" i="37" s="1"/>
  <c r="EG284" i="37" s="1"/>
  <c r="EI284" i="37" s="1"/>
  <c r="EE311" i="37"/>
  <c r="EF311" i="37" s="1"/>
  <c r="EG311" i="37" s="1"/>
  <c r="EI311" i="37" s="1"/>
  <c r="EE271" i="37"/>
  <c r="EF271" i="37" s="1"/>
  <c r="EG271" i="37" s="1"/>
  <c r="EI271" i="37" s="1"/>
  <c r="EE263" i="37"/>
  <c r="EF263" i="37" s="1"/>
  <c r="EG263" i="37" s="1"/>
  <c r="EI263" i="37" s="1"/>
  <c r="EE172" i="37"/>
  <c r="EF172" i="37" s="1"/>
  <c r="EG172" i="37" s="1"/>
  <c r="EI172" i="37" s="1"/>
  <c r="EE216" i="37"/>
  <c r="EF216" i="37" s="1"/>
  <c r="EG216" i="37" s="1"/>
  <c r="EI216" i="37" s="1"/>
  <c r="EE208" i="37"/>
  <c r="EF208" i="37" s="1"/>
  <c r="EG208" i="37" s="1"/>
  <c r="EI208" i="37" s="1"/>
  <c r="EE200" i="37"/>
  <c r="EF200" i="37" s="1"/>
  <c r="EG200" i="37" s="1"/>
  <c r="EI200" i="37" s="1"/>
  <c r="EE192" i="37"/>
  <c r="EF192" i="37" s="1"/>
  <c r="EG192" i="37" s="1"/>
  <c r="EI192" i="37" s="1"/>
  <c r="EE175" i="37"/>
  <c r="EF175" i="37" s="1"/>
  <c r="EG175" i="37" s="1"/>
  <c r="EI175" i="37" s="1"/>
  <c r="EE165" i="37"/>
  <c r="EF165" i="37" s="1"/>
  <c r="EG165" i="37" s="1"/>
  <c r="EI165" i="37" s="1"/>
  <c r="EE157" i="37"/>
  <c r="EF157" i="37" s="1"/>
  <c r="EG157" i="37" s="1"/>
  <c r="EI157" i="37" s="1"/>
  <c r="BW313" i="37"/>
  <c r="BX313" i="37" s="1"/>
  <c r="BY313" i="37" s="1"/>
  <c r="CA313" i="37" s="1"/>
  <c r="EE314" i="37"/>
  <c r="EF314" i="37" s="1"/>
  <c r="EG314" i="37" s="1"/>
  <c r="EI314" i="37" s="1"/>
  <c r="CQ316" i="37"/>
  <c r="CR316" i="37" s="1"/>
  <c r="CS316" i="37" s="1"/>
  <c r="CU316" i="37" s="1"/>
  <c r="BC318" i="37"/>
  <c r="BD318" i="37" s="1"/>
  <c r="BE318" i="37" s="1"/>
  <c r="BG318" i="37" s="1"/>
  <c r="DK319" i="37"/>
  <c r="DL319" i="37" s="1"/>
  <c r="DM319" i="37" s="1"/>
  <c r="DO319" i="37" s="1"/>
  <c r="BW321" i="37"/>
  <c r="BX321" i="37" s="1"/>
  <c r="BY321" i="37" s="1"/>
  <c r="CA321" i="37" s="1"/>
  <c r="EE322" i="37"/>
  <c r="EF322" i="37" s="1"/>
  <c r="EG322" i="37" s="1"/>
  <c r="EI322" i="37" s="1"/>
  <c r="CQ324" i="37"/>
  <c r="CR324" i="37" s="1"/>
  <c r="CS324" i="37" s="1"/>
  <c r="CU324" i="37" s="1"/>
  <c r="BC326" i="37"/>
  <c r="BD326" i="37" s="1"/>
  <c r="BE326" i="37" s="1"/>
  <c r="BG326" i="37" s="1"/>
  <c r="DK327" i="37"/>
  <c r="DL327" i="37" s="1"/>
  <c r="DM327" i="37" s="1"/>
  <c r="DO327" i="37" s="1"/>
  <c r="BW329" i="37"/>
  <c r="BX329" i="37" s="1"/>
  <c r="BY329" i="37" s="1"/>
  <c r="CA329" i="37" s="1"/>
  <c r="EE330" i="37"/>
  <c r="EF330" i="37" s="1"/>
  <c r="EG330" i="37" s="1"/>
  <c r="EI330" i="37" s="1"/>
  <c r="CQ332" i="37"/>
  <c r="CR332" i="37" s="1"/>
  <c r="CS332" i="37" s="1"/>
  <c r="CU332" i="37" s="1"/>
  <c r="BC334" i="37"/>
  <c r="BD334" i="37" s="1"/>
  <c r="BE334" i="37" s="1"/>
  <c r="BG334" i="37" s="1"/>
  <c r="DK335" i="37"/>
  <c r="DL335" i="37" s="1"/>
  <c r="DM335" i="37" s="1"/>
  <c r="DO335" i="37" s="1"/>
  <c r="BW337" i="37"/>
  <c r="BX337" i="37" s="1"/>
  <c r="BY337" i="37" s="1"/>
  <c r="CA337" i="37" s="1"/>
  <c r="EE338" i="37"/>
  <c r="EF338" i="37" s="1"/>
  <c r="EG338" i="37" s="1"/>
  <c r="EI338" i="37" s="1"/>
  <c r="CQ340" i="37"/>
  <c r="CR340" i="37" s="1"/>
  <c r="CS340" i="37" s="1"/>
  <c r="CU340" i="37" s="1"/>
  <c r="BC342" i="37"/>
  <c r="BD342" i="37" s="1"/>
  <c r="BE342" i="37" s="1"/>
  <c r="BG342" i="37" s="1"/>
  <c r="DK343" i="37"/>
  <c r="DL343" i="37" s="1"/>
  <c r="DM343" i="37" s="1"/>
  <c r="DO343" i="37" s="1"/>
  <c r="BW345" i="37"/>
  <c r="BX345" i="37" s="1"/>
  <c r="BY345" i="37" s="1"/>
  <c r="CA345" i="37" s="1"/>
  <c r="DU346" i="37"/>
  <c r="DV346" i="37" s="1"/>
  <c r="DW346" i="37" s="1"/>
  <c r="DY346" i="37" s="1"/>
  <c r="CQ348" i="37"/>
  <c r="CR348" i="37" s="1"/>
  <c r="CS348" i="37" s="1"/>
  <c r="CU348" i="37" s="1"/>
  <c r="BM11" i="37"/>
  <c r="BN11" i="37" s="1"/>
  <c r="BO11" i="37" s="1"/>
  <c r="BQ11" i="37" s="1"/>
  <c r="DU12" i="37"/>
  <c r="DV12" i="37" s="1"/>
  <c r="DW12" i="37" s="1"/>
  <c r="DY12" i="37" s="1"/>
  <c r="CQ36" i="37"/>
  <c r="CR36" i="37" s="1"/>
  <c r="CS36" i="37" s="1"/>
  <c r="CU36" i="37" s="1"/>
  <c r="DU37" i="37"/>
  <c r="DV37" i="37" s="1"/>
  <c r="DW37" i="37" s="1"/>
  <c r="DY37" i="37" s="1"/>
  <c r="DK38" i="37"/>
  <c r="DL38" i="37" s="1"/>
  <c r="DM38" i="37" s="1"/>
  <c r="DO38" i="37" s="1"/>
  <c r="BW40" i="37"/>
  <c r="BX40" i="37" s="1"/>
  <c r="BY40" i="37" s="1"/>
  <c r="CA40" i="37" s="1"/>
  <c r="EE41" i="37"/>
  <c r="EF41" i="37" s="1"/>
  <c r="EG41" i="37" s="1"/>
  <c r="EI41" i="37" s="1"/>
  <c r="CQ43" i="37"/>
  <c r="CR43" i="37" s="1"/>
  <c r="CS43" i="37" s="1"/>
  <c r="CU43" i="37" s="1"/>
  <c r="BC45" i="37"/>
  <c r="BD45" i="37" s="1"/>
  <c r="BE45" i="37" s="1"/>
  <c r="BG45" i="37" s="1"/>
  <c r="DK46" i="37"/>
  <c r="DL46" i="37" s="1"/>
  <c r="DM46" i="37" s="1"/>
  <c r="DO46" i="37" s="1"/>
  <c r="BW48" i="37"/>
  <c r="BX48" i="37" s="1"/>
  <c r="BY48" i="37" s="1"/>
  <c r="CA48" i="37" s="1"/>
  <c r="BC53" i="37"/>
  <c r="BD53" i="37" s="1"/>
  <c r="BE53" i="37" s="1"/>
  <c r="BG53" i="37" s="1"/>
  <c r="CQ87" i="37"/>
  <c r="CR87" i="37" s="1"/>
  <c r="CS87" i="37" s="1"/>
  <c r="CU87" i="37" s="1"/>
  <c r="BC89" i="37"/>
  <c r="BD89" i="37" s="1"/>
  <c r="BE89" i="37" s="1"/>
  <c r="BG89" i="37" s="1"/>
  <c r="DK90" i="37"/>
  <c r="DL90" i="37" s="1"/>
  <c r="DM90" i="37" s="1"/>
  <c r="DO90" i="37" s="1"/>
  <c r="BW92" i="37"/>
  <c r="BX92" i="37" s="1"/>
  <c r="BY92" i="37" s="1"/>
  <c r="CA92" i="37" s="1"/>
  <c r="EE93" i="37"/>
  <c r="EF93" i="37" s="1"/>
  <c r="EG93" i="37" s="1"/>
  <c r="EI93" i="37" s="1"/>
  <c r="CQ95" i="37"/>
  <c r="CR95" i="37" s="1"/>
  <c r="CS95" i="37" s="1"/>
  <c r="CU95" i="37" s="1"/>
  <c r="BC97" i="37"/>
  <c r="BD97" i="37" s="1"/>
  <c r="BE97" i="37" s="1"/>
  <c r="BG97" i="37" s="1"/>
  <c r="DK98" i="37"/>
  <c r="DL98" i="37" s="1"/>
  <c r="DM98" i="37" s="1"/>
  <c r="DO98" i="37" s="1"/>
  <c r="BW100" i="37"/>
  <c r="BX100" i="37" s="1"/>
  <c r="BY100" i="37" s="1"/>
  <c r="CA100" i="37" s="1"/>
  <c r="EE101" i="37"/>
  <c r="EF101" i="37" s="1"/>
  <c r="EG101" i="37" s="1"/>
  <c r="EI101" i="37" s="1"/>
  <c r="CQ103" i="37"/>
  <c r="CR103" i="37" s="1"/>
  <c r="CS103" i="37" s="1"/>
  <c r="CU103" i="37" s="1"/>
  <c r="EO104" i="37"/>
  <c r="EP104" i="37" s="1"/>
  <c r="EQ104" i="37" s="1"/>
  <c r="ES104" i="37" s="1"/>
  <c r="DA106" i="37"/>
  <c r="DB106" i="37" s="1"/>
  <c r="DC106" i="37" s="1"/>
  <c r="DE106" i="37" s="1"/>
  <c r="DA107" i="37"/>
  <c r="DB107" i="37" s="1"/>
  <c r="DC107" i="37" s="1"/>
  <c r="DE107" i="37" s="1"/>
  <c r="CG108" i="37"/>
  <c r="CH108" i="37" s="1"/>
  <c r="CI108" i="37" s="1"/>
  <c r="CK108" i="37" s="1"/>
  <c r="BM109" i="37"/>
  <c r="BN109" i="37" s="1"/>
  <c r="BO109" i="37" s="1"/>
  <c r="BQ109" i="37" s="1"/>
  <c r="EO109" i="37"/>
  <c r="EP109" i="37" s="1"/>
  <c r="EQ109" i="37" s="1"/>
  <c r="ES109" i="37" s="1"/>
  <c r="DU110" i="37"/>
  <c r="DV110" i="37" s="1"/>
  <c r="DW110" i="37" s="1"/>
  <c r="DY110" i="37" s="1"/>
  <c r="DA111" i="37"/>
  <c r="DB111" i="37" s="1"/>
  <c r="DC111" i="37" s="1"/>
  <c r="DE111" i="37" s="1"/>
  <c r="CG112" i="37"/>
  <c r="CH112" i="37" s="1"/>
  <c r="CI112" i="37" s="1"/>
  <c r="CK112" i="37" s="1"/>
  <c r="BM113" i="37"/>
  <c r="BN113" i="37" s="1"/>
  <c r="BO113" i="37" s="1"/>
  <c r="BQ113" i="37" s="1"/>
  <c r="EO113" i="37"/>
  <c r="EP113" i="37" s="1"/>
  <c r="EQ113" i="37" s="1"/>
  <c r="ES113" i="37" s="1"/>
  <c r="DU114" i="37"/>
  <c r="DV114" i="37" s="1"/>
  <c r="DW114" i="37" s="1"/>
  <c r="DY114" i="37" s="1"/>
  <c r="DA115" i="37"/>
  <c r="DB115" i="37" s="1"/>
  <c r="DC115" i="37" s="1"/>
  <c r="DE115" i="37" s="1"/>
  <c r="CG116" i="37"/>
  <c r="CH116" i="37" s="1"/>
  <c r="CI116" i="37" s="1"/>
  <c r="CK116" i="37" s="1"/>
  <c r="BM117" i="37"/>
  <c r="BN117" i="37" s="1"/>
  <c r="BO117" i="37" s="1"/>
  <c r="BQ117" i="37" s="1"/>
  <c r="EO117" i="37"/>
  <c r="EP117" i="37" s="1"/>
  <c r="EQ117" i="37" s="1"/>
  <c r="ES117" i="37" s="1"/>
  <c r="DU118" i="37"/>
  <c r="DV118" i="37" s="1"/>
  <c r="DW118" i="37" s="1"/>
  <c r="DY118" i="37" s="1"/>
  <c r="DA119" i="37"/>
  <c r="DB119" i="37" s="1"/>
  <c r="DC119" i="37" s="1"/>
  <c r="DE119" i="37" s="1"/>
  <c r="CG120" i="37"/>
  <c r="CH120" i="37" s="1"/>
  <c r="CI120" i="37" s="1"/>
  <c r="CK120" i="37" s="1"/>
  <c r="BM9" i="37"/>
  <c r="BN9" i="37" s="1"/>
  <c r="BO9" i="37" s="1"/>
  <c r="BQ9" i="37" s="1"/>
  <c r="EO9" i="37"/>
  <c r="EP9" i="37" s="1"/>
  <c r="EQ9" i="37" s="1"/>
  <c r="ES9" i="37" s="1"/>
  <c r="EO337" i="37"/>
  <c r="EP337" i="37" s="1"/>
  <c r="EQ337" i="37" s="1"/>
  <c r="ES337" i="37" s="1"/>
  <c r="EO329" i="37"/>
  <c r="EP329" i="37" s="1"/>
  <c r="EQ329" i="37" s="1"/>
  <c r="ES329" i="37" s="1"/>
  <c r="EO321" i="37"/>
  <c r="EP321" i="37" s="1"/>
  <c r="EQ321" i="37" s="1"/>
  <c r="ES321" i="37" s="1"/>
  <c r="EO313" i="37"/>
  <c r="EP313" i="37" s="1"/>
  <c r="EQ313" i="37" s="1"/>
  <c r="ES313" i="37" s="1"/>
  <c r="EO305" i="37"/>
  <c r="EP305" i="37" s="1"/>
  <c r="EQ305" i="37" s="1"/>
  <c r="ES305" i="37" s="1"/>
  <c r="EO297" i="37"/>
  <c r="EP297" i="37" s="1"/>
  <c r="EQ297" i="37" s="1"/>
  <c r="ES297" i="37" s="1"/>
  <c r="EO289" i="37"/>
  <c r="EP289" i="37" s="1"/>
  <c r="EQ289" i="37" s="1"/>
  <c r="ES289" i="37" s="1"/>
  <c r="EO281" i="37"/>
  <c r="EP281" i="37" s="1"/>
  <c r="EQ281" i="37" s="1"/>
  <c r="ES281" i="37" s="1"/>
  <c r="EO273" i="37"/>
  <c r="EP273" i="37" s="1"/>
  <c r="EQ273" i="37" s="1"/>
  <c r="ES273" i="37" s="1"/>
  <c r="EO265" i="37"/>
  <c r="EP265" i="37" s="1"/>
  <c r="EQ265" i="37" s="1"/>
  <c r="ES265" i="37" s="1"/>
  <c r="EO182" i="37"/>
  <c r="EP182" i="37" s="1"/>
  <c r="EQ182" i="37" s="1"/>
  <c r="ES182" i="37" s="1"/>
  <c r="EO166" i="37"/>
  <c r="EP166" i="37" s="1"/>
  <c r="EQ166" i="37" s="1"/>
  <c r="ES166" i="37" s="1"/>
  <c r="EO158" i="37"/>
  <c r="EP158" i="37" s="1"/>
  <c r="EQ158" i="37" s="1"/>
  <c r="ES158" i="37" s="1"/>
  <c r="EO215" i="37"/>
  <c r="EP215" i="37" s="1"/>
  <c r="EQ215" i="37" s="1"/>
  <c r="ES215" i="37" s="1"/>
  <c r="EO207" i="37"/>
  <c r="EP207" i="37" s="1"/>
  <c r="EQ207" i="37" s="1"/>
  <c r="ES207" i="37" s="1"/>
  <c r="EO199" i="37"/>
  <c r="EP199" i="37" s="1"/>
  <c r="EQ199" i="37" s="1"/>
  <c r="ES199" i="37" s="1"/>
  <c r="EO183" i="37"/>
  <c r="EP183" i="37" s="1"/>
  <c r="EQ183" i="37" s="1"/>
  <c r="ES183" i="37" s="1"/>
  <c r="EO170" i="37"/>
  <c r="EP170" i="37" s="1"/>
  <c r="EQ170" i="37" s="1"/>
  <c r="ES170" i="37" s="1"/>
  <c r="DU341" i="37"/>
  <c r="DV341" i="37" s="1"/>
  <c r="DW341" i="37" s="1"/>
  <c r="DY341" i="37" s="1"/>
  <c r="DU333" i="37"/>
  <c r="DV333" i="37" s="1"/>
  <c r="DW333" i="37" s="1"/>
  <c r="DY333" i="37" s="1"/>
  <c r="DU325" i="37"/>
  <c r="DV325" i="37" s="1"/>
  <c r="DW325" i="37" s="1"/>
  <c r="DY325" i="37" s="1"/>
  <c r="DU317" i="37"/>
  <c r="DV317" i="37" s="1"/>
  <c r="DW317" i="37" s="1"/>
  <c r="DY317" i="37" s="1"/>
  <c r="DU309" i="37"/>
  <c r="DV309" i="37" s="1"/>
  <c r="DW309" i="37" s="1"/>
  <c r="DY309" i="37" s="1"/>
  <c r="DU301" i="37"/>
  <c r="DV301" i="37" s="1"/>
  <c r="DW301" i="37" s="1"/>
  <c r="DY301" i="37" s="1"/>
  <c r="DU293" i="37"/>
  <c r="DV293" i="37" s="1"/>
  <c r="DW293" i="37" s="1"/>
  <c r="DY293" i="37" s="1"/>
  <c r="DU285" i="37"/>
  <c r="DV285" i="37" s="1"/>
  <c r="DW285" i="37" s="1"/>
  <c r="DY285" i="37" s="1"/>
  <c r="DU277" i="37"/>
  <c r="DV277" i="37" s="1"/>
  <c r="DW277" i="37" s="1"/>
  <c r="DY277" i="37" s="1"/>
  <c r="DU269" i="37"/>
  <c r="DV269" i="37" s="1"/>
  <c r="DW269" i="37" s="1"/>
  <c r="DY269" i="37" s="1"/>
  <c r="DU261" i="37"/>
  <c r="DV261" i="37" s="1"/>
  <c r="DW261" i="37" s="1"/>
  <c r="DY261" i="37" s="1"/>
  <c r="DU168" i="37"/>
  <c r="DV168" i="37" s="1"/>
  <c r="DW168" i="37" s="1"/>
  <c r="DY168" i="37" s="1"/>
  <c r="DU160" i="37"/>
  <c r="DV160" i="37" s="1"/>
  <c r="DW160" i="37" s="1"/>
  <c r="DY160" i="37" s="1"/>
  <c r="DU217" i="37"/>
  <c r="DV217" i="37" s="1"/>
  <c r="DW217" i="37" s="1"/>
  <c r="DY217" i="37" s="1"/>
  <c r="DU209" i="37"/>
  <c r="DV209" i="37" s="1"/>
  <c r="DW209" i="37" s="1"/>
  <c r="DY209" i="37" s="1"/>
  <c r="DU201" i="37"/>
  <c r="DV201" i="37" s="1"/>
  <c r="DW201" i="37" s="1"/>
  <c r="DY201" i="37" s="1"/>
  <c r="DU193" i="37"/>
  <c r="DV193" i="37" s="1"/>
  <c r="DW193" i="37" s="1"/>
  <c r="DY193" i="37" s="1"/>
  <c r="DU176" i="37"/>
  <c r="DV176" i="37" s="1"/>
  <c r="DW176" i="37" s="1"/>
  <c r="DY176" i="37" s="1"/>
  <c r="DA345" i="37"/>
  <c r="DB345" i="37" s="1"/>
  <c r="DC345" i="37" s="1"/>
  <c r="DE345" i="37" s="1"/>
  <c r="DA337" i="37"/>
  <c r="DB337" i="37" s="1"/>
  <c r="DC337" i="37" s="1"/>
  <c r="DE337" i="37" s="1"/>
  <c r="DA329" i="37"/>
  <c r="DB329" i="37" s="1"/>
  <c r="DC329" i="37" s="1"/>
  <c r="DE329" i="37" s="1"/>
  <c r="DA321" i="37"/>
  <c r="DB321" i="37" s="1"/>
  <c r="DC321" i="37" s="1"/>
  <c r="DE321" i="37" s="1"/>
  <c r="DA313" i="37"/>
  <c r="DB313" i="37" s="1"/>
  <c r="DC313" i="37" s="1"/>
  <c r="DE313" i="37" s="1"/>
  <c r="DA305" i="37"/>
  <c r="DB305" i="37" s="1"/>
  <c r="DC305" i="37" s="1"/>
  <c r="DE305" i="37" s="1"/>
  <c r="DA297" i="37"/>
  <c r="DB297" i="37" s="1"/>
  <c r="DC297" i="37" s="1"/>
  <c r="DE297" i="37" s="1"/>
  <c r="DA289" i="37"/>
  <c r="DB289" i="37" s="1"/>
  <c r="DC289" i="37" s="1"/>
  <c r="DE289" i="37" s="1"/>
  <c r="DA281" i="37"/>
  <c r="DB281" i="37" s="1"/>
  <c r="DC281" i="37" s="1"/>
  <c r="DE281" i="37" s="1"/>
  <c r="DA273" i="37"/>
  <c r="DB273" i="37" s="1"/>
  <c r="DC273" i="37" s="1"/>
  <c r="DE273" i="37" s="1"/>
  <c r="DA265" i="37"/>
  <c r="DB265" i="37" s="1"/>
  <c r="DC265" i="37" s="1"/>
  <c r="DE265" i="37" s="1"/>
  <c r="DA175" i="37"/>
  <c r="DB175" i="37" s="1"/>
  <c r="DC175" i="37" s="1"/>
  <c r="DE175" i="37" s="1"/>
  <c r="DA164" i="37"/>
  <c r="DB164" i="37" s="1"/>
  <c r="DC164" i="37" s="1"/>
  <c r="DE164" i="37" s="1"/>
  <c r="DA156" i="37"/>
  <c r="DB156" i="37" s="1"/>
  <c r="DC156" i="37" s="1"/>
  <c r="DE156" i="37" s="1"/>
  <c r="DA214" i="37"/>
  <c r="DB214" i="37" s="1"/>
  <c r="DC214" i="37" s="1"/>
  <c r="DE214" i="37" s="1"/>
  <c r="DA206" i="37"/>
  <c r="DB206" i="37" s="1"/>
  <c r="DC206" i="37" s="1"/>
  <c r="DE206" i="37" s="1"/>
  <c r="DA198" i="37"/>
  <c r="DB198" i="37" s="1"/>
  <c r="DC198" i="37" s="1"/>
  <c r="DE198" i="37" s="1"/>
  <c r="DA179" i="37"/>
  <c r="DB179" i="37" s="1"/>
  <c r="DC179" i="37" s="1"/>
  <c r="DE179" i="37" s="1"/>
  <c r="DA122" i="37"/>
  <c r="DB122" i="37" s="1"/>
  <c r="DC122" i="37" s="1"/>
  <c r="DE122" i="37" s="1"/>
  <c r="CQ299" i="37"/>
  <c r="CR299" i="37" s="1"/>
  <c r="CS299" i="37" s="1"/>
  <c r="CU299" i="37" s="1"/>
  <c r="CQ291" i="37"/>
  <c r="CR291" i="37" s="1"/>
  <c r="CS291" i="37" s="1"/>
  <c r="CU291" i="37" s="1"/>
  <c r="CQ283" i="37"/>
  <c r="CR283" i="37" s="1"/>
  <c r="CS283" i="37" s="1"/>
  <c r="CU283" i="37" s="1"/>
  <c r="CQ277" i="37"/>
  <c r="CR277" i="37" s="1"/>
  <c r="CS277" i="37" s="1"/>
  <c r="CU277" i="37" s="1"/>
  <c r="CQ269" i="37"/>
  <c r="CR269" i="37" s="1"/>
  <c r="CS269" i="37" s="1"/>
  <c r="CU269" i="37" s="1"/>
  <c r="CQ220" i="37"/>
  <c r="CR220" i="37" s="1"/>
  <c r="CS220" i="37" s="1"/>
  <c r="CU220" i="37" s="1"/>
  <c r="CQ309" i="37"/>
  <c r="CR309" i="37" s="1"/>
  <c r="CS309" i="37" s="1"/>
  <c r="CU309" i="37" s="1"/>
  <c r="CQ214" i="37"/>
  <c r="CR214" i="37" s="1"/>
  <c r="CS214" i="37" s="1"/>
  <c r="CU214" i="37" s="1"/>
  <c r="CQ206" i="37"/>
  <c r="CR206" i="37" s="1"/>
  <c r="CS206" i="37" s="1"/>
  <c r="CU206" i="37" s="1"/>
  <c r="CQ198" i="37"/>
  <c r="CR198" i="37" s="1"/>
  <c r="CS198" i="37" s="1"/>
  <c r="CU198" i="37" s="1"/>
  <c r="CQ180" i="37"/>
  <c r="CR180" i="37" s="1"/>
  <c r="CS180" i="37" s="1"/>
  <c r="CU180" i="37" s="1"/>
  <c r="CQ170" i="37"/>
  <c r="CR170" i="37" s="1"/>
  <c r="CS170" i="37" s="1"/>
  <c r="CU170" i="37" s="1"/>
  <c r="CQ162" i="37"/>
  <c r="CR162" i="37" s="1"/>
  <c r="CS162" i="37" s="1"/>
  <c r="CU162" i="37" s="1"/>
  <c r="CQ122" i="37"/>
  <c r="CR122" i="37" s="1"/>
  <c r="CS122" i="37" s="1"/>
  <c r="CU122" i="37" s="1"/>
  <c r="BC299" i="37"/>
  <c r="BD299" i="37" s="1"/>
  <c r="BE299" i="37" s="1"/>
  <c r="BG299" i="37" s="1"/>
  <c r="BC291" i="37"/>
  <c r="BD291" i="37" s="1"/>
  <c r="BE291" i="37" s="1"/>
  <c r="BG291" i="37" s="1"/>
  <c r="BC283" i="37"/>
  <c r="BD283" i="37" s="1"/>
  <c r="BE283" i="37" s="1"/>
  <c r="BG283" i="37" s="1"/>
  <c r="BC310" i="37"/>
  <c r="BD310" i="37" s="1"/>
  <c r="BE310" i="37" s="1"/>
  <c r="BG310" i="37" s="1"/>
  <c r="BC270" i="37"/>
  <c r="BD270" i="37" s="1"/>
  <c r="BE270" i="37" s="1"/>
  <c r="BG270" i="37" s="1"/>
  <c r="BC262" i="37"/>
  <c r="BD262" i="37" s="1"/>
  <c r="BE262" i="37" s="1"/>
  <c r="BG262" i="37" s="1"/>
  <c r="BC172" i="37"/>
  <c r="BD172" i="37" s="1"/>
  <c r="BE172" i="37" s="1"/>
  <c r="BG172" i="37" s="1"/>
  <c r="BC219" i="37"/>
  <c r="BD219" i="37" s="1"/>
  <c r="BE219" i="37" s="1"/>
  <c r="BG219" i="37" s="1"/>
  <c r="BC210" i="37"/>
  <c r="BD210" i="37" s="1"/>
  <c r="BE210" i="37" s="1"/>
  <c r="BG210" i="37" s="1"/>
  <c r="BC202" i="37"/>
  <c r="BD202" i="37" s="1"/>
  <c r="BE202" i="37" s="1"/>
  <c r="BG202" i="37" s="1"/>
  <c r="BC194" i="37"/>
  <c r="BD194" i="37" s="1"/>
  <c r="BE194" i="37" s="1"/>
  <c r="BG194" i="37" s="1"/>
  <c r="BC175" i="37"/>
  <c r="BD175" i="37" s="1"/>
  <c r="BE175" i="37" s="1"/>
  <c r="BG175" i="37" s="1"/>
  <c r="BC165" i="37"/>
  <c r="BD165" i="37" s="1"/>
  <c r="BE165" i="37" s="1"/>
  <c r="BG165" i="37" s="1"/>
  <c r="BC157" i="37"/>
  <c r="BD157" i="37" s="1"/>
  <c r="BE157" i="37" s="1"/>
  <c r="BG157" i="37" s="1"/>
  <c r="CG99" i="37"/>
  <c r="CH99" i="37" s="1"/>
  <c r="CI99" i="37" s="1"/>
  <c r="CK99" i="37" s="1"/>
  <c r="DK302" i="37"/>
  <c r="DL302" i="37" s="1"/>
  <c r="DM302" i="37" s="1"/>
  <c r="DO302" i="37" s="1"/>
  <c r="DK294" i="37"/>
  <c r="DL294" i="37" s="1"/>
  <c r="DM294" i="37" s="1"/>
  <c r="DO294" i="37" s="1"/>
  <c r="DK286" i="37"/>
  <c r="DL286" i="37" s="1"/>
  <c r="DM286" i="37" s="1"/>
  <c r="DO286" i="37" s="1"/>
  <c r="DK278" i="37"/>
  <c r="DL278" i="37" s="1"/>
  <c r="DM278" i="37" s="1"/>
  <c r="DO278" i="37" s="1"/>
  <c r="DK272" i="37"/>
  <c r="DL272" i="37" s="1"/>
  <c r="DM272" i="37" s="1"/>
  <c r="DO272" i="37" s="1"/>
  <c r="DK264" i="37"/>
  <c r="DL264" i="37" s="1"/>
  <c r="DM264" i="37" s="1"/>
  <c r="DO264" i="37" s="1"/>
  <c r="DK173" i="37"/>
  <c r="DL173" i="37" s="1"/>
  <c r="DM173" i="37" s="1"/>
  <c r="DO173" i="37" s="1"/>
  <c r="DK220" i="37"/>
  <c r="DL220" i="37" s="1"/>
  <c r="DM220" i="37" s="1"/>
  <c r="DO220" i="37" s="1"/>
  <c r="DK211" i="37"/>
  <c r="DL211" i="37" s="1"/>
  <c r="DM211" i="37" s="1"/>
  <c r="DO211" i="37" s="1"/>
  <c r="DK203" i="37"/>
  <c r="DL203" i="37" s="1"/>
  <c r="DM203" i="37" s="1"/>
  <c r="DO203" i="37" s="1"/>
  <c r="DK195" i="37"/>
  <c r="DL195" i="37" s="1"/>
  <c r="DM195" i="37" s="1"/>
  <c r="DO195" i="37" s="1"/>
  <c r="DK176" i="37"/>
  <c r="DL176" i="37" s="1"/>
  <c r="DM176" i="37" s="1"/>
  <c r="DO176" i="37" s="1"/>
  <c r="DK165" i="37"/>
  <c r="DL165" i="37" s="1"/>
  <c r="DM165" i="37" s="1"/>
  <c r="DO165" i="37" s="1"/>
  <c r="DK157" i="37"/>
  <c r="DL157" i="37" s="1"/>
  <c r="DM157" i="37" s="1"/>
  <c r="DO157" i="37" s="1"/>
  <c r="CG340" i="37"/>
  <c r="CH340" i="37" s="1"/>
  <c r="CI340" i="37" s="1"/>
  <c r="CK340" i="37" s="1"/>
  <c r="CG332" i="37"/>
  <c r="CH332" i="37" s="1"/>
  <c r="CI332" i="37" s="1"/>
  <c r="CK332" i="37" s="1"/>
  <c r="CG324" i="37"/>
  <c r="CH324" i="37" s="1"/>
  <c r="CI324" i="37" s="1"/>
  <c r="CK324" i="37" s="1"/>
  <c r="CG316" i="37"/>
  <c r="CH316" i="37" s="1"/>
  <c r="CI316" i="37" s="1"/>
  <c r="CK316" i="37" s="1"/>
  <c r="CG308" i="37"/>
  <c r="CH308" i="37" s="1"/>
  <c r="CI308" i="37" s="1"/>
  <c r="CK308" i="37" s="1"/>
  <c r="CG300" i="37"/>
  <c r="CH300" i="37" s="1"/>
  <c r="CI300" i="37" s="1"/>
  <c r="CK300" i="37" s="1"/>
  <c r="CG292" i="37"/>
  <c r="CH292" i="37" s="1"/>
  <c r="CI292" i="37" s="1"/>
  <c r="CK292" i="37" s="1"/>
  <c r="CG284" i="37"/>
  <c r="CH284" i="37" s="1"/>
  <c r="CI284" i="37" s="1"/>
  <c r="CK284" i="37" s="1"/>
  <c r="CG276" i="37"/>
  <c r="CH276" i="37" s="1"/>
  <c r="CI276" i="37" s="1"/>
  <c r="CK276" i="37" s="1"/>
  <c r="CG268" i="37"/>
  <c r="CH268" i="37" s="1"/>
  <c r="CI268" i="37" s="1"/>
  <c r="CK268" i="37" s="1"/>
  <c r="CG218" i="37"/>
  <c r="CH218" i="37" s="1"/>
  <c r="CI218" i="37" s="1"/>
  <c r="CK218" i="37" s="1"/>
  <c r="CG166" i="37"/>
  <c r="CH166" i="37" s="1"/>
  <c r="CI166" i="37" s="1"/>
  <c r="CK166" i="37" s="1"/>
  <c r="CG158" i="37"/>
  <c r="CH158" i="37" s="1"/>
  <c r="CI158" i="37" s="1"/>
  <c r="CK158" i="37" s="1"/>
  <c r="CG214" i="37"/>
  <c r="CH214" i="37" s="1"/>
  <c r="CI214" i="37" s="1"/>
  <c r="CK214" i="37" s="1"/>
  <c r="CG206" i="37"/>
  <c r="CH206" i="37" s="1"/>
  <c r="CI206" i="37" s="1"/>
  <c r="CK206" i="37" s="1"/>
  <c r="CG198" i="37"/>
  <c r="CH198" i="37" s="1"/>
  <c r="CI198" i="37" s="1"/>
  <c r="CK198" i="37" s="1"/>
  <c r="CG180" i="37"/>
  <c r="CH180" i="37" s="1"/>
  <c r="CI180" i="37" s="1"/>
  <c r="CK180" i="37" s="1"/>
  <c r="CG170" i="37"/>
  <c r="CH170" i="37" s="1"/>
  <c r="CI170" i="37" s="1"/>
  <c r="CK170" i="37" s="1"/>
  <c r="BW301" i="37"/>
  <c r="BX301" i="37" s="1"/>
  <c r="BY301" i="37" s="1"/>
  <c r="CA301" i="37" s="1"/>
  <c r="BW293" i="37"/>
  <c r="BX293" i="37" s="1"/>
  <c r="BY293" i="37" s="1"/>
  <c r="CA293" i="37" s="1"/>
  <c r="BW285" i="37"/>
  <c r="BX285" i="37" s="1"/>
  <c r="BY285" i="37" s="1"/>
  <c r="CA285" i="37" s="1"/>
  <c r="BW311" i="37"/>
  <c r="BX311" i="37" s="1"/>
  <c r="BY311" i="37" s="1"/>
  <c r="CA311" i="37" s="1"/>
  <c r="BW271" i="37"/>
  <c r="BX271" i="37" s="1"/>
  <c r="BY271" i="37" s="1"/>
  <c r="CA271" i="37" s="1"/>
  <c r="BW263" i="37"/>
  <c r="BX263" i="37" s="1"/>
  <c r="BY263" i="37" s="1"/>
  <c r="CA263" i="37" s="1"/>
  <c r="BW124" i="37"/>
  <c r="BX124" i="37" s="1"/>
  <c r="BY124" i="37" s="1"/>
  <c r="CA124" i="37" s="1"/>
  <c r="BW216" i="37"/>
  <c r="BX216" i="37" s="1"/>
  <c r="BY216" i="37" s="1"/>
  <c r="CA216" i="37" s="1"/>
  <c r="BW208" i="37"/>
  <c r="BX208" i="37" s="1"/>
  <c r="BY208" i="37" s="1"/>
  <c r="CA208" i="37" s="1"/>
  <c r="BW200" i="37"/>
  <c r="BX200" i="37" s="1"/>
  <c r="BY200" i="37" s="1"/>
  <c r="CA200" i="37" s="1"/>
  <c r="BW183" i="37"/>
  <c r="BX183" i="37" s="1"/>
  <c r="BY183" i="37" s="1"/>
  <c r="CA183" i="37" s="1"/>
  <c r="BW171" i="37"/>
  <c r="BX171" i="37" s="1"/>
  <c r="BY171" i="37" s="1"/>
  <c r="CA171" i="37" s="1"/>
  <c r="BW163" i="37"/>
  <c r="BX163" i="37" s="1"/>
  <c r="BY163" i="37" s="1"/>
  <c r="CA163" i="37" s="1"/>
  <c r="BW123" i="37"/>
  <c r="BX123" i="37" s="1"/>
  <c r="BY123" i="37" s="1"/>
  <c r="CA123" i="37" s="1"/>
  <c r="BM339" i="37"/>
  <c r="BN339" i="37" s="1"/>
  <c r="BO339" i="37" s="1"/>
  <c r="BQ339" i="37" s="1"/>
  <c r="BM331" i="37"/>
  <c r="BN331" i="37" s="1"/>
  <c r="BO331" i="37" s="1"/>
  <c r="BQ331" i="37" s="1"/>
  <c r="BM323" i="37"/>
  <c r="BN323" i="37" s="1"/>
  <c r="BO323" i="37" s="1"/>
  <c r="BQ323" i="37" s="1"/>
  <c r="BM315" i="37"/>
  <c r="BN315" i="37" s="1"/>
  <c r="BO315" i="37" s="1"/>
  <c r="BQ315" i="37" s="1"/>
  <c r="BM307" i="37"/>
  <c r="BN307" i="37" s="1"/>
  <c r="BO307" i="37" s="1"/>
  <c r="BQ307" i="37" s="1"/>
  <c r="BM299" i="37"/>
  <c r="BN299" i="37" s="1"/>
  <c r="BO299" i="37" s="1"/>
  <c r="BQ299" i="37" s="1"/>
  <c r="BM291" i="37"/>
  <c r="BN291" i="37" s="1"/>
  <c r="BO291" i="37" s="1"/>
  <c r="BQ291" i="37" s="1"/>
  <c r="BM283" i="37"/>
  <c r="BN283" i="37" s="1"/>
  <c r="BO283" i="37" s="1"/>
  <c r="BQ283" i="37" s="1"/>
  <c r="BM275" i="37"/>
  <c r="BN275" i="37" s="1"/>
  <c r="BO275" i="37" s="1"/>
  <c r="BQ275" i="37" s="1"/>
  <c r="BM267" i="37"/>
  <c r="BN267" i="37" s="1"/>
  <c r="BO267" i="37" s="1"/>
  <c r="BQ267" i="37" s="1"/>
  <c r="BM182" i="37"/>
  <c r="BN182" i="37" s="1"/>
  <c r="BO182" i="37" s="1"/>
  <c r="BQ182" i="37" s="1"/>
  <c r="BM165" i="37"/>
  <c r="BN165" i="37" s="1"/>
  <c r="BO165" i="37" s="1"/>
  <c r="BQ165" i="37" s="1"/>
  <c r="BM157" i="37"/>
  <c r="BN157" i="37" s="1"/>
  <c r="BO157" i="37" s="1"/>
  <c r="BQ157" i="37" s="1"/>
  <c r="BM215" i="37"/>
  <c r="BN215" i="37" s="1"/>
  <c r="BO215" i="37" s="1"/>
  <c r="BQ215" i="37" s="1"/>
  <c r="BM207" i="37"/>
  <c r="BN207" i="37" s="1"/>
  <c r="BO207" i="37" s="1"/>
  <c r="BQ207" i="37" s="1"/>
  <c r="BM199" i="37"/>
  <c r="BN199" i="37" s="1"/>
  <c r="BO199" i="37" s="1"/>
  <c r="BQ199" i="37" s="1"/>
  <c r="BM181" i="37"/>
  <c r="BN181" i="37" s="1"/>
  <c r="BO181" i="37" s="1"/>
  <c r="BQ181" i="37" s="1"/>
  <c r="BM170" i="37"/>
  <c r="BN170" i="37" s="1"/>
  <c r="BO170" i="37" s="1"/>
  <c r="BQ170" i="37" s="1"/>
  <c r="BW316" i="37"/>
  <c r="BX316" i="37" s="1"/>
  <c r="BY316" i="37" s="1"/>
  <c r="CA316" i="37" s="1"/>
  <c r="EE317" i="37"/>
  <c r="EF317" i="37" s="1"/>
  <c r="EG317" i="37" s="1"/>
  <c r="EI317" i="37" s="1"/>
  <c r="CQ319" i="37"/>
  <c r="CR319" i="37" s="1"/>
  <c r="CS319" i="37" s="1"/>
  <c r="CU319" i="37" s="1"/>
  <c r="BC321" i="37"/>
  <c r="BD321" i="37" s="1"/>
  <c r="BE321" i="37" s="1"/>
  <c r="BG321" i="37" s="1"/>
  <c r="DK322" i="37"/>
  <c r="DL322" i="37" s="1"/>
  <c r="DM322" i="37" s="1"/>
  <c r="DO322" i="37" s="1"/>
  <c r="BW324" i="37"/>
  <c r="BX324" i="37" s="1"/>
  <c r="BY324" i="37" s="1"/>
  <c r="CA324" i="37" s="1"/>
  <c r="EE325" i="37"/>
  <c r="EF325" i="37" s="1"/>
  <c r="EG325" i="37" s="1"/>
  <c r="EI325" i="37" s="1"/>
  <c r="CQ327" i="37"/>
  <c r="CR327" i="37" s="1"/>
  <c r="CS327" i="37" s="1"/>
  <c r="CU327" i="37" s="1"/>
  <c r="BC329" i="37"/>
  <c r="BD329" i="37" s="1"/>
  <c r="BE329" i="37" s="1"/>
  <c r="BG329" i="37" s="1"/>
  <c r="DK330" i="37"/>
  <c r="DL330" i="37" s="1"/>
  <c r="DM330" i="37" s="1"/>
  <c r="DO330" i="37" s="1"/>
  <c r="BW332" i="37"/>
  <c r="BX332" i="37" s="1"/>
  <c r="BY332" i="37" s="1"/>
  <c r="CA332" i="37" s="1"/>
  <c r="EE333" i="37"/>
  <c r="EF333" i="37" s="1"/>
  <c r="EG333" i="37" s="1"/>
  <c r="EI333" i="37" s="1"/>
  <c r="CQ335" i="37"/>
  <c r="CR335" i="37" s="1"/>
  <c r="CS335" i="37" s="1"/>
  <c r="CU335" i="37" s="1"/>
  <c r="BC337" i="37"/>
  <c r="BD337" i="37" s="1"/>
  <c r="BE337" i="37" s="1"/>
  <c r="BG337" i="37" s="1"/>
  <c r="DK338" i="37"/>
  <c r="DL338" i="37" s="1"/>
  <c r="DM338" i="37" s="1"/>
  <c r="DO338" i="37" s="1"/>
  <c r="BW340" i="37"/>
  <c r="BX340" i="37" s="1"/>
  <c r="BY340" i="37" s="1"/>
  <c r="CA340" i="37" s="1"/>
  <c r="EE341" i="37"/>
  <c r="EF341" i="37" s="1"/>
  <c r="EG341" i="37" s="1"/>
  <c r="EI341" i="37" s="1"/>
  <c r="CQ343" i="37"/>
  <c r="CR343" i="37" s="1"/>
  <c r="CS343" i="37" s="1"/>
  <c r="CU343" i="37" s="1"/>
  <c r="BC345" i="37"/>
  <c r="BD345" i="37" s="1"/>
  <c r="BE345" i="37" s="1"/>
  <c r="BG345" i="37" s="1"/>
  <c r="DA346" i="37"/>
  <c r="DB346" i="37" s="1"/>
  <c r="DC346" i="37" s="1"/>
  <c r="DE346" i="37" s="1"/>
  <c r="BW348" i="37"/>
  <c r="BX348" i="37" s="1"/>
  <c r="BY348" i="37" s="1"/>
  <c r="CA348" i="37" s="1"/>
  <c r="BC11" i="37"/>
  <c r="BD11" i="37" s="1"/>
  <c r="BE11" i="37" s="1"/>
  <c r="BG11" i="37" s="1"/>
  <c r="DK12" i="37"/>
  <c r="DL12" i="37" s="1"/>
  <c r="DM12" i="37" s="1"/>
  <c r="DO12" i="37" s="1"/>
  <c r="BW14" i="37"/>
  <c r="BX14" i="37" s="1"/>
  <c r="BY14" i="37" s="1"/>
  <c r="CA14" i="37" s="1"/>
  <c r="DK37" i="37"/>
  <c r="DL37" i="37" s="1"/>
  <c r="DM37" i="37" s="1"/>
  <c r="DO37" i="37" s="1"/>
  <c r="CQ38" i="37"/>
  <c r="CR38" i="37" s="1"/>
  <c r="CS38" i="37" s="1"/>
  <c r="CU38" i="37" s="1"/>
  <c r="BC40" i="37"/>
  <c r="BD40" i="37" s="1"/>
  <c r="BE40" i="37" s="1"/>
  <c r="BG40" i="37" s="1"/>
  <c r="DK41" i="37"/>
  <c r="DL41" i="37" s="1"/>
  <c r="DM41" i="37" s="1"/>
  <c r="DO41" i="37" s="1"/>
  <c r="BW43" i="37"/>
  <c r="BX43" i="37" s="1"/>
  <c r="BY43" i="37" s="1"/>
  <c r="CA43" i="37" s="1"/>
  <c r="EE44" i="37"/>
  <c r="EF44" i="37" s="1"/>
  <c r="EG44" i="37" s="1"/>
  <c r="EI44" i="37" s="1"/>
  <c r="CQ46" i="37"/>
  <c r="CR46" i="37" s="1"/>
  <c r="CS46" i="37" s="1"/>
  <c r="CU46" i="37" s="1"/>
  <c r="BC48" i="37"/>
  <c r="BD48" i="37" s="1"/>
  <c r="BE48" i="37" s="1"/>
  <c r="BG48" i="37" s="1"/>
  <c r="EE52" i="37"/>
  <c r="EF52" i="37" s="1"/>
  <c r="EG52" i="37" s="1"/>
  <c r="EI52" i="37" s="1"/>
  <c r="CQ54" i="37"/>
  <c r="CR54" i="37" s="1"/>
  <c r="CS54" i="37" s="1"/>
  <c r="CU54" i="37" s="1"/>
  <c r="EE88" i="37"/>
  <c r="EF88" i="37" s="1"/>
  <c r="EG88" i="37" s="1"/>
  <c r="EI88" i="37" s="1"/>
  <c r="CQ90" i="37"/>
  <c r="CR90" i="37" s="1"/>
  <c r="CS90" i="37" s="1"/>
  <c r="CU90" i="37" s="1"/>
  <c r="BC92" i="37"/>
  <c r="BD92" i="37" s="1"/>
  <c r="BE92" i="37" s="1"/>
  <c r="BG92" i="37" s="1"/>
  <c r="DK93" i="37"/>
  <c r="DL93" i="37" s="1"/>
  <c r="DM93" i="37" s="1"/>
  <c r="DO93" i="37" s="1"/>
  <c r="BW95" i="37"/>
  <c r="BX95" i="37" s="1"/>
  <c r="BY95" i="37" s="1"/>
  <c r="CA95" i="37" s="1"/>
  <c r="EE96" i="37"/>
  <c r="EF96" i="37" s="1"/>
  <c r="EG96" i="37" s="1"/>
  <c r="EI96" i="37" s="1"/>
  <c r="CQ98" i="37"/>
  <c r="CR98" i="37" s="1"/>
  <c r="CS98" i="37" s="1"/>
  <c r="CU98" i="37" s="1"/>
  <c r="BC100" i="37"/>
  <c r="BD100" i="37" s="1"/>
  <c r="BE100" i="37" s="1"/>
  <c r="BG100" i="37" s="1"/>
  <c r="DK101" i="37"/>
  <c r="DL101" i="37" s="1"/>
  <c r="DM101" i="37" s="1"/>
  <c r="DO101" i="37" s="1"/>
  <c r="BW103" i="37"/>
  <c r="BX103" i="37" s="1"/>
  <c r="BY103" i="37" s="1"/>
  <c r="CA103" i="37" s="1"/>
  <c r="EE104" i="37"/>
  <c r="EF104" i="37" s="1"/>
  <c r="EG104" i="37" s="1"/>
  <c r="EI104" i="37" s="1"/>
  <c r="CG106" i="37"/>
  <c r="CH106" i="37" s="1"/>
  <c r="CI106" i="37" s="1"/>
  <c r="CK106" i="37" s="1"/>
  <c r="CQ107" i="37"/>
  <c r="CR107" i="37" s="1"/>
  <c r="CS107" i="37" s="1"/>
  <c r="CU107" i="37" s="1"/>
  <c r="BW108" i="37"/>
  <c r="BX108" i="37" s="1"/>
  <c r="BY108" i="37" s="1"/>
  <c r="CA108" i="37" s="1"/>
  <c r="BC109" i="37"/>
  <c r="BD109" i="37" s="1"/>
  <c r="BE109" i="37" s="1"/>
  <c r="BG109" i="37" s="1"/>
  <c r="EE109" i="37"/>
  <c r="EF109" i="37" s="1"/>
  <c r="EG109" i="37" s="1"/>
  <c r="EI109" i="37" s="1"/>
  <c r="DK110" i="37"/>
  <c r="DL110" i="37" s="1"/>
  <c r="DM110" i="37" s="1"/>
  <c r="DO110" i="37" s="1"/>
  <c r="CQ111" i="37"/>
  <c r="CR111" i="37" s="1"/>
  <c r="CS111" i="37" s="1"/>
  <c r="CU111" i="37" s="1"/>
  <c r="BW112" i="37"/>
  <c r="BX112" i="37" s="1"/>
  <c r="BY112" i="37" s="1"/>
  <c r="CA112" i="37" s="1"/>
  <c r="BC113" i="37"/>
  <c r="BD113" i="37" s="1"/>
  <c r="BE113" i="37" s="1"/>
  <c r="BG113" i="37" s="1"/>
  <c r="EE113" i="37"/>
  <c r="EF113" i="37" s="1"/>
  <c r="EG113" i="37" s="1"/>
  <c r="EI113" i="37" s="1"/>
  <c r="DK114" i="37"/>
  <c r="DL114" i="37" s="1"/>
  <c r="DM114" i="37" s="1"/>
  <c r="DO114" i="37" s="1"/>
  <c r="CQ115" i="37"/>
  <c r="CR115" i="37" s="1"/>
  <c r="CS115" i="37" s="1"/>
  <c r="CU115" i="37" s="1"/>
  <c r="BW116" i="37"/>
  <c r="BX116" i="37" s="1"/>
  <c r="BY116" i="37" s="1"/>
  <c r="CA116" i="37" s="1"/>
  <c r="BC117" i="37"/>
  <c r="BD117" i="37" s="1"/>
  <c r="BE117" i="37" s="1"/>
  <c r="BG117" i="37" s="1"/>
  <c r="EE117" i="37"/>
  <c r="EF117" i="37" s="1"/>
  <c r="EG117" i="37" s="1"/>
  <c r="EI117" i="37" s="1"/>
  <c r="DK118" i="37"/>
  <c r="DL118" i="37" s="1"/>
  <c r="DM118" i="37" s="1"/>
  <c r="DO118" i="37" s="1"/>
  <c r="CQ119" i="37"/>
  <c r="CR119" i="37" s="1"/>
  <c r="CS119" i="37" s="1"/>
  <c r="CU119" i="37" s="1"/>
  <c r="BW120" i="37"/>
  <c r="BX120" i="37" s="1"/>
  <c r="BY120" i="37" s="1"/>
  <c r="CA120" i="37" s="1"/>
  <c r="BC9" i="37"/>
  <c r="BD9" i="37" s="1"/>
  <c r="BE9" i="37" s="1"/>
  <c r="BG9" i="37" s="1"/>
  <c r="EE9" i="37"/>
  <c r="EF9" i="37" s="1"/>
  <c r="EG9" i="37" s="1"/>
  <c r="EI9" i="37" s="1"/>
  <c r="EO338" i="37"/>
  <c r="EP338" i="37" s="1"/>
  <c r="EQ338" i="37" s="1"/>
  <c r="ES338" i="37" s="1"/>
  <c r="EO330" i="37"/>
  <c r="EP330" i="37" s="1"/>
  <c r="EQ330" i="37" s="1"/>
  <c r="ES330" i="37" s="1"/>
  <c r="EO322" i="37"/>
  <c r="EP322" i="37" s="1"/>
  <c r="EQ322" i="37" s="1"/>
  <c r="ES322" i="37" s="1"/>
  <c r="EO314" i="37"/>
  <c r="EP314" i="37" s="1"/>
  <c r="EQ314" i="37" s="1"/>
  <c r="ES314" i="37" s="1"/>
  <c r="EO306" i="37"/>
  <c r="EP306" i="37" s="1"/>
  <c r="EQ306" i="37" s="1"/>
  <c r="ES306" i="37" s="1"/>
  <c r="EO298" i="37"/>
  <c r="EP298" i="37" s="1"/>
  <c r="EQ298" i="37" s="1"/>
  <c r="ES298" i="37" s="1"/>
  <c r="EO290" i="37"/>
  <c r="EP290" i="37" s="1"/>
  <c r="EQ290" i="37" s="1"/>
  <c r="ES290" i="37" s="1"/>
  <c r="EO282" i="37"/>
  <c r="EP282" i="37" s="1"/>
  <c r="EQ282" i="37" s="1"/>
  <c r="ES282" i="37" s="1"/>
  <c r="EO274" i="37"/>
  <c r="EP274" i="37" s="1"/>
  <c r="EQ274" i="37" s="1"/>
  <c r="ES274" i="37" s="1"/>
  <c r="EO266" i="37"/>
  <c r="EP266" i="37" s="1"/>
  <c r="EQ266" i="37" s="1"/>
  <c r="ES266" i="37" s="1"/>
  <c r="EO184" i="37"/>
  <c r="EP184" i="37" s="1"/>
  <c r="EQ184" i="37" s="1"/>
  <c r="ES184" i="37" s="1"/>
  <c r="EO167" i="37"/>
  <c r="EP167" i="37" s="1"/>
  <c r="EQ167" i="37" s="1"/>
  <c r="ES167" i="37" s="1"/>
  <c r="EO159" i="37"/>
  <c r="EP159" i="37" s="1"/>
  <c r="EQ159" i="37" s="1"/>
  <c r="ES159" i="37" s="1"/>
  <c r="EO216" i="37"/>
  <c r="EP216" i="37" s="1"/>
  <c r="EQ216" i="37" s="1"/>
  <c r="ES216" i="37" s="1"/>
  <c r="EO208" i="37"/>
  <c r="EP208" i="37" s="1"/>
  <c r="EQ208" i="37" s="1"/>
  <c r="ES208" i="37" s="1"/>
  <c r="EO200" i="37"/>
  <c r="EP200" i="37" s="1"/>
  <c r="EQ200" i="37" s="1"/>
  <c r="ES200" i="37" s="1"/>
  <c r="EO192" i="37"/>
  <c r="EP192" i="37" s="1"/>
  <c r="EQ192" i="37" s="1"/>
  <c r="ES192" i="37" s="1"/>
  <c r="EO172" i="37"/>
  <c r="EP172" i="37" s="1"/>
  <c r="EQ172" i="37" s="1"/>
  <c r="ES172" i="37" s="1"/>
  <c r="DU340" i="37"/>
  <c r="DV340" i="37" s="1"/>
  <c r="DW340" i="37" s="1"/>
  <c r="DY340" i="37" s="1"/>
  <c r="DU332" i="37"/>
  <c r="DV332" i="37" s="1"/>
  <c r="DW332" i="37" s="1"/>
  <c r="DY332" i="37" s="1"/>
  <c r="DU324" i="37"/>
  <c r="DV324" i="37" s="1"/>
  <c r="DW324" i="37" s="1"/>
  <c r="DY324" i="37" s="1"/>
  <c r="DU316" i="37"/>
  <c r="DV316" i="37" s="1"/>
  <c r="DW316" i="37" s="1"/>
  <c r="DY316" i="37" s="1"/>
  <c r="DU308" i="37"/>
  <c r="DV308" i="37" s="1"/>
  <c r="DW308" i="37" s="1"/>
  <c r="DY308" i="37" s="1"/>
  <c r="DU300" i="37"/>
  <c r="DV300" i="37" s="1"/>
  <c r="DW300" i="37" s="1"/>
  <c r="DY300" i="37" s="1"/>
  <c r="DU292" i="37"/>
  <c r="DV292" i="37" s="1"/>
  <c r="DW292" i="37" s="1"/>
  <c r="DY292" i="37" s="1"/>
  <c r="DU284" i="37"/>
  <c r="DV284" i="37" s="1"/>
  <c r="DW284" i="37" s="1"/>
  <c r="DY284" i="37" s="1"/>
  <c r="DU276" i="37"/>
  <c r="DV276" i="37" s="1"/>
  <c r="DW276" i="37" s="1"/>
  <c r="DY276" i="37" s="1"/>
  <c r="DU268" i="37"/>
  <c r="DV268" i="37" s="1"/>
  <c r="DW268" i="37" s="1"/>
  <c r="DY268" i="37" s="1"/>
  <c r="DU220" i="37"/>
  <c r="DV220" i="37" s="1"/>
  <c r="DW220" i="37" s="1"/>
  <c r="DY220" i="37" s="1"/>
  <c r="EE43" i="37"/>
  <c r="EF43" i="37" s="1"/>
  <c r="EG43" i="37" s="1"/>
  <c r="EI43" i="37" s="1"/>
  <c r="BC47" i="37"/>
  <c r="BD47" i="37" s="1"/>
  <c r="BE47" i="37" s="1"/>
  <c r="BG47" i="37" s="1"/>
  <c r="CQ53" i="37"/>
  <c r="CR53" i="37" s="1"/>
  <c r="CS53" i="37" s="1"/>
  <c r="CU53" i="37" s="1"/>
  <c r="CQ89" i="37"/>
  <c r="CR89" i="37" s="1"/>
  <c r="CS89" i="37" s="1"/>
  <c r="CU89" i="37" s="1"/>
  <c r="DK92" i="37"/>
  <c r="DL92" i="37" s="1"/>
  <c r="DM92" i="37" s="1"/>
  <c r="DO92" i="37" s="1"/>
  <c r="EE95" i="37"/>
  <c r="EF95" i="37" s="1"/>
  <c r="EG95" i="37" s="1"/>
  <c r="EI95" i="37" s="1"/>
  <c r="BC99" i="37"/>
  <c r="BD99" i="37" s="1"/>
  <c r="BE99" i="37" s="1"/>
  <c r="BG99" i="37" s="1"/>
  <c r="BW102" i="37"/>
  <c r="BX102" i="37" s="1"/>
  <c r="BY102" i="37" s="1"/>
  <c r="CA102" i="37" s="1"/>
  <c r="CG105" i="37"/>
  <c r="CH105" i="37" s="1"/>
  <c r="CI105" i="37" s="1"/>
  <c r="CK105" i="37" s="1"/>
  <c r="DU107" i="37"/>
  <c r="DV107" i="37" s="1"/>
  <c r="DW107" i="37" s="1"/>
  <c r="DY107" i="37" s="1"/>
  <c r="CG109" i="37"/>
  <c r="CH109" i="37" s="1"/>
  <c r="CI109" i="37" s="1"/>
  <c r="CK109" i="37" s="1"/>
  <c r="EO110" i="37"/>
  <c r="EP110" i="37" s="1"/>
  <c r="EQ110" i="37" s="1"/>
  <c r="ES110" i="37" s="1"/>
  <c r="DA112" i="37"/>
  <c r="DB112" i="37" s="1"/>
  <c r="DC112" i="37" s="1"/>
  <c r="DE112" i="37" s="1"/>
  <c r="BM114" i="37"/>
  <c r="BN114" i="37" s="1"/>
  <c r="BO114" i="37" s="1"/>
  <c r="BQ114" i="37" s="1"/>
  <c r="DU115" i="37"/>
  <c r="DV115" i="37" s="1"/>
  <c r="DW115" i="37" s="1"/>
  <c r="DY115" i="37" s="1"/>
  <c r="CG117" i="37"/>
  <c r="CH117" i="37" s="1"/>
  <c r="CI117" i="37" s="1"/>
  <c r="CK117" i="37" s="1"/>
  <c r="EO118" i="37"/>
  <c r="EP118" i="37" s="1"/>
  <c r="EQ118" i="37" s="1"/>
  <c r="ES118" i="37" s="1"/>
  <c r="DA120" i="37"/>
  <c r="DB120" i="37" s="1"/>
  <c r="DC120" i="37" s="1"/>
  <c r="DE120" i="37" s="1"/>
  <c r="EO343" i="37"/>
  <c r="EP343" i="37" s="1"/>
  <c r="EQ343" i="37" s="1"/>
  <c r="ES343" i="37" s="1"/>
  <c r="EO327" i="37"/>
  <c r="EP327" i="37" s="1"/>
  <c r="EQ327" i="37" s="1"/>
  <c r="ES327" i="37" s="1"/>
  <c r="EO311" i="37"/>
  <c r="EP311" i="37" s="1"/>
  <c r="EQ311" i="37" s="1"/>
  <c r="ES311" i="37" s="1"/>
  <c r="EO295" i="37"/>
  <c r="EP295" i="37" s="1"/>
  <c r="EQ295" i="37" s="1"/>
  <c r="ES295" i="37" s="1"/>
  <c r="EO279" i="37"/>
  <c r="EP279" i="37" s="1"/>
  <c r="EQ279" i="37" s="1"/>
  <c r="ES279" i="37" s="1"/>
  <c r="EO263" i="37"/>
  <c r="EP263" i="37" s="1"/>
  <c r="EQ263" i="37" s="1"/>
  <c r="ES263" i="37" s="1"/>
  <c r="EO164" i="37"/>
  <c r="EP164" i="37" s="1"/>
  <c r="EQ164" i="37" s="1"/>
  <c r="ES164" i="37" s="1"/>
  <c r="EO213" i="37"/>
  <c r="EP213" i="37" s="1"/>
  <c r="EQ213" i="37" s="1"/>
  <c r="ES213" i="37" s="1"/>
  <c r="EO197" i="37"/>
  <c r="EP197" i="37" s="1"/>
  <c r="EQ197" i="37" s="1"/>
  <c r="ES197" i="37" s="1"/>
  <c r="EO122" i="37"/>
  <c r="EP122" i="37" s="1"/>
  <c r="EQ122" i="37" s="1"/>
  <c r="ES122" i="37" s="1"/>
  <c r="DU331" i="37"/>
  <c r="DV331" i="37" s="1"/>
  <c r="DW331" i="37" s="1"/>
  <c r="DY331" i="37" s="1"/>
  <c r="DU315" i="37"/>
  <c r="DV315" i="37" s="1"/>
  <c r="DW315" i="37" s="1"/>
  <c r="DY315" i="37" s="1"/>
  <c r="DU299" i="37"/>
  <c r="DV299" i="37" s="1"/>
  <c r="DW299" i="37" s="1"/>
  <c r="DY299" i="37" s="1"/>
  <c r="DU283" i="37"/>
  <c r="DV283" i="37" s="1"/>
  <c r="DW283" i="37" s="1"/>
  <c r="DY283" i="37" s="1"/>
  <c r="DU267" i="37"/>
  <c r="DV267" i="37" s="1"/>
  <c r="DW267" i="37" s="1"/>
  <c r="DY267" i="37" s="1"/>
  <c r="DU166" i="37"/>
  <c r="DV166" i="37" s="1"/>
  <c r="DW166" i="37" s="1"/>
  <c r="DY166" i="37" s="1"/>
  <c r="DU215" i="37"/>
  <c r="DV215" i="37" s="1"/>
  <c r="DW215" i="37" s="1"/>
  <c r="DY215" i="37" s="1"/>
  <c r="DU199" i="37"/>
  <c r="DV199" i="37" s="1"/>
  <c r="DW199" i="37" s="1"/>
  <c r="DY199" i="37" s="1"/>
  <c r="DU173" i="37"/>
  <c r="DV173" i="37" s="1"/>
  <c r="DW173" i="37" s="1"/>
  <c r="DY173" i="37" s="1"/>
  <c r="DA335" i="37"/>
  <c r="DB335" i="37" s="1"/>
  <c r="DC335" i="37" s="1"/>
  <c r="DE335" i="37" s="1"/>
  <c r="DA319" i="37"/>
  <c r="DB319" i="37" s="1"/>
  <c r="DC319" i="37" s="1"/>
  <c r="DE319" i="37" s="1"/>
  <c r="DA303" i="37"/>
  <c r="DB303" i="37" s="1"/>
  <c r="DC303" i="37" s="1"/>
  <c r="DE303" i="37" s="1"/>
  <c r="DA287" i="37"/>
  <c r="DB287" i="37" s="1"/>
  <c r="DC287" i="37" s="1"/>
  <c r="DE287" i="37" s="1"/>
  <c r="DA271" i="37"/>
  <c r="DB271" i="37" s="1"/>
  <c r="DC271" i="37" s="1"/>
  <c r="DE271" i="37" s="1"/>
  <c r="DA171" i="37"/>
  <c r="DB171" i="37" s="1"/>
  <c r="DC171" i="37" s="1"/>
  <c r="DE171" i="37" s="1"/>
  <c r="DA121" i="37"/>
  <c r="DB121" i="37" s="1"/>
  <c r="DC121" i="37" s="1"/>
  <c r="DE121" i="37" s="1"/>
  <c r="DA204" i="37"/>
  <c r="DB204" i="37" s="1"/>
  <c r="DC204" i="37" s="1"/>
  <c r="DE204" i="37" s="1"/>
  <c r="DA177" i="37"/>
  <c r="DB177" i="37" s="1"/>
  <c r="DC177" i="37" s="1"/>
  <c r="DE177" i="37" s="1"/>
  <c r="CQ297" i="37"/>
  <c r="CR297" i="37" s="1"/>
  <c r="CS297" i="37" s="1"/>
  <c r="CU297" i="37" s="1"/>
  <c r="CQ281" i="37"/>
  <c r="CR281" i="37" s="1"/>
  <c r="CS281" i="37" s="1"/>
  <c r="CU281" i="37" s="1"/>
  <c r="CQ267" i="37"/>
  <c r="CR267" i="37" s="1"/>
  <c r="CS267" i="37" s="1"/>
  <c r="CU267" i="37" s="1"/>
  <c r="CQ307" i="37"/>
  <c r="CR307" i="37" s="1"/>
  <c r="CS307" i="37" s="1"/>
  <c r="CU307" i="37" s="1"/>
  <c r="CQ204" i="37"/>
  <c r="CR204" i="37" s="1"/>
  <c r="CS204" i="37" s="1"/>
  <c r="CU204" i="37" s="1"/>
  <c r="CQ178" i="37"/>
  <c r="CR178" i="37" s="1"/>
  <c r="CS178" i="37" s="1"/>
  <c r="CU178" i="37" s="1"/>
  <c r="CQ160" i="37"/>
  <c r="CR160" i="37" s="1"/>
  <c r="CS160" i="37" s="1"/>
  <c r="CU160" i="37" s="1"/>
  <c r="BC297" i="37"/>
  <c r="BD297" i="37" s="1"/>
  <c r="BE297" i="37" s="1"/>
  <c r="BG297" i="37" s="1"/>
  <c r="BC281" i="37"/>
  <c r="BD281" i="37" s="1"/>
  <c r="BE281" i="37" s="1"/>
  <c r="BG281" i="37" s="1"/>
  <c r="BC268" i="37"/>
  <c r="BD268" i="37" s="1"/>
  <c r="BE268" i="37" s="1"/>
  <c r="BG268" i="37" s="1"/>
  <c r="BC123" i="37"/>
  <c r="BD123" i="37" s="1"/>
  <c r="BE123" i="37" s="1"/>
  <c r="BG123" i="37" s="1"/>
  <c r="BC208" i="37"/>
  <c r="BD208" i="37" s="1"/>
  <c r="BE208" i="37" s="1"/>
  <c r="BG208" i="37" s="1"/>
  <c r="BC184" i="37"/>
  <c r="BD184" i="37" s="1"/>
  <c r="BE184" i="37" s="1"/>
  <c r="BG184" i="37" s="1"/>
  <c r="BC163" i="37"/>
  <c r="BD163" i="37" s="1"/>
  <c r="BE163" i="37" s="1"/>
  <c r="BG163" i="37" s="1"/>
  <c r="CG104" i="37"/>
  <c r="CH104" i="37" s="1"/>
  <c r="CI104" i="37" s="1"/>
  <c r="CK104" i="37" s="1"/>
  <c r="DK292" i="37"/>
  <c r="DL292" i="37" s="1"/>
  <c r="DM292" i="37" s="1"/>
  <c r="DO292" i="37" s="1"/>
  <c r="DK310" i="37"/>
  <c r="DL310" i="37" s="1"/>
  <c r="DM310" i="37" s="1"/>
  <c r="DO310" i="37" s="1"/>
  <c r="DK262" i="37"/>
  <c r="DL262" i="37" s="1"/>
  <c r="DM262" i="37" s="1"/>
  <c r="DO262" i="37" s="1"/>
  <c r="DK217" i="37"/>
  <c r="DL217" i="37" s="1"/>
  <c r="DM217" i="37" s="1"/>
  <c r="DO217" i="37" s="1"/>
  <c r="DK201" i="37"/>
  <c r="DL201" i="37" s="1"/>
  <c r="DM201" i="37" s="1"/>
  <c r="DO201" i="37" s="1"/>
  <c r="DK172" i="37"/>
  <c r="DL172" i="37" s="1"/>
  <c r="DM172" i="37" s="1"/>
  <c r="DO172" i="37" s="1"/>
  <c r="DK123" i="37"/>
  <c r="DL123" i="37" s="1"/>
  <c r="DM123" i="37" s="1"/>
  <c r="DO123" i="37" s="1"/>
  <c r="CG330" i="37"/>
  <c r="CH330" i="37" s="1"/>
  <c r="CI330" i="37" s="1"/>
  <c r="CK330" i="37" s="1"/>
  <c r="CG314" i="37"/>
  <c r="CH314" i="37" s="1"/>
  <c r="CI314" i="37" s="1"/>
  <c r="CK314" i="37" s="1"/>
  <c r="CG298" i="37"/>
  <c r="CH298" i="37" s="1"/>
  <c r="CI298" i="37" s="1"/>
  <c r="CK298" i="37" s="1"/>
  <c r="CG282" i="37"/>
  <c r="CH282" i="37" s="1"/>
  <c r="CI282" i="37" s="1"/>
  <c r="CK282" i="37" s="1"/>
  <c r="CG266" i="37"/>
  <c r="CH266" i="37" s="1"/>
  <c r="CI266" i="37" s="1"/>
  <c r="CK266" i="37" s="1"/>
  <c r="CG164" i="37"/>
  <c r="CH164" i="37" s="1"/>
  <c r="CI164" i="37" s="1"/>
  <c r="CK164" i="37" s="1"/>
  <c r="CG212" i="37"/>
  <c r="CH212" i="37" s="1"/>
  <c r="CI212" i="37" s="1"/>
  <c r="CK212" i="37" s="1"/>
  <c r="CG196" i="37"/>
  <c r="CH196" i="37" s="1"/>
  <c r="CI196" i="37" s="1"/>
  <c r="CK196" i="37" s="1"/>
  <c r="CG121" i="37"/>
  <c r="CH121" i="37" s="1"/>
  <c r="CI121" i="37" s="1"/>
  <c r="CK121" i="37" s="1"/>
  <c r="BW291" i="37"/>
  <c r="BX291" i="37" s="1"/>
  <c r="BY291" i="37" s="1"/>
  <c r="CA291" i="37" s="1"/>
  <c r="BW277" i="37"/>
  <c r="BX277" i="37" s="1"/>
  <c r="BY277" i="37" s="1"/>
  <c r="CA277" i="37" s="1"/>
  <c r="BW219" i="37"/>
  <c r="BX219" i="37" s="1"/>
  <c r="BY219" i="37" s="1"/>
  <c r="CA219" i="37" s="1"/>
  <c r="BW214" i="37"/>
  <c r="BX214" i="37" s="1"/>
  <c r="BY214" i="37" s="1"/>
  <c r="CA214" i="37" s="1"/>
  <c r="BW198" i="37"/>
  <c r="BX198" i="37" s="1"/>
  <c r="BY198" i="37" s="1"/>
  <c r="CA198" i="37" s="1"/>
  <c r="BW169" i="37"/>
  <c r="BX169" i="37" s="1"/>
  <c r="BY169" i="37" s="1"/>
  <c r="CA169" i="37" s="1"/>
  <c r="BM345" i="37"/>
  <c r="BN345" i="37" s="1"/>
  <c r="BO345" i="37" s="1"/>
  <c r="BQ345" i="37" s="1"/>
  <c r="BM329" i="37"/>
  <c r="BN329" i="37" s="1"/>
  <c r="BO329" i="37" s="1"/>
  <c r="BQ329" i="37" s="1"/>
  <c r="BM313" i="37"/>
  <c r="BN313" i="37" s="1"/>
  <c r="BO313" i="37" s="1"/>
  <c r="BQ313" i="37" s="1"/>
  <c r="BM297" i="37"/>
  <c r="BN297" i="37" s="1"/>
  <c r="BO297" i="37" s="1"/>
  <c r="BQ297" i="37" s="1"/>
  <c r="BM281" i="37"/>
  <c r="BN281" i="37" s="1"/>
  <c r="BO281" i="37" s="1"/>
  <c r="BQ281" i="37" s="1"/>
  <c r="BM265" i="37"/>
  <c r="BN265" i="37" s="1"/>
  <c r="BO265" i="37" s="1"/>
  <c r="BQ265" i="37" s="1"/>
  <c r="BM163" i="37"/>
  <c r="BN163" i="37" s="1"/>
  <c r="BO163" i="37" s="1"/>
  <c r="BQ163" i="37" s="1"/>
  <c r="BM213" i="37"/>
  <c r="BN213" i="37" s="1"/>
  <c r="BO213" i="37" s="1"/>
  <c r="BQ213" i="37" s="1"/>
  <c r="BM197" i="37"/>
  <c r="BN197" i="37" s="1"/>
  <c r="BO197" i="37" s="1"/>
  <c r="BQ197" i="37" s="1"/>
  <c r="BM122" i="37"/>
  <c r="BN122" i="37" s="1"/>
  <c r="BO122" i="37" s="1"/>
  <c r="BQ122" i="37" s="1"/>
  <c r="BW318" i="37"/>
  <c r="BX318" i="37" s="1"/>
  <c r="BY318" i="37" s="1"/>
  <c r="CA318" i="37" s="1"/>
  <c r="CQ321" i="37"/>
  <c r="CR321" i="37" s="1"/>
  <c r="CS321" i="37" s="1"/>
  <c r="CU321" i="37" s="1"/>
  <c r="DK324" i="37"/>
  <c r="DL324" i="37" s="1"/>
  <c r="DM324" i="37" s="1"/>
  <c r="DO324" i="37" s="1"/>
  <c r="EE327" i="37"/>
  <c r="EF327" i="37" s="1"/>
  <c r="EG327" i="37" s="1"/>
  <c r="EI327" i="37" s="1"/>
  <c r="BC331" i="37"/>
  <c r="BD331" i="37" s="1"/>
  <c r="BE331" i="37" s="1"/>
  <c r="BG331" i="37" s="1"/>
  <c r="BW334" i="37"/>
  <c r="BX334" i="37" s="1"/>
  <c r="BY334" i="37" s="1"/>
  <c r="CA334" i="37" s="1"/>
  <c r="CQ337" i="37"/>
  <c r="CR337" i="37" s="1"/>
  <c r="CS337" i="37" s="1"/>
  <c r="CU337" i="37" s="1"/>
  <c r="DK340" i="37"/>
  <c r="DL340" i="37" s="1"/>
  <c r="DM340" i="37" s="1"/>
  <c r="DO340" i="37" s="1"/>
  <c r="EE343" i="37"/>
  <c r="EF343" i="37" s="1"/>
  <c r="EG343" i="37" s="1"/>
  <c r="EI343" i="37" s="1"/>
  <c r="EO346" i="37"/>
  <c r="EP346" i="37" s="1"/>
  <c r="EQ346" i="37" s="1"/>
  <c r="ES346" i="37" s="1"/>
  <c r="CQ11" i="37"/>
  <c r="CR11" i="37" s="1"/>
  <c r="CS11" i="37" s="1"/>
  <c r="CU11" i="37" s="1"/>
  <c r="DK36" i="37"/>
  <c r="DL36" i="37" s="1"/>
  <c r="DM36" i="37" s="1"/>
  <c r="DO36" i="37" s="1"/>
  <c r="EE38" i="37"/>
  <c r="EF38" i="37" s="1"/>
  <c r="EG38" i="37" s="1"/>
  <c r="EI38" i="37" s="1"/>
  <c r="BC42" i="37"/>
  <c r="BD42" i="37" s="1"/>
  <c r="BE42" i="37" s="1"/>
  <c r="BG42" i="37" s="1"/>
  <c r="BW45" i="37"/>
  <c r="BX45" i="37" s="1"/>
  <c r="BY45" i="37" s="1"/>
  <c r="CA45" i="37" s="1"/>
  <c r="CQ48" i="37"/>
  <c r="CR48" i="37" s="1"/>
  <c r="CS48" i="37" s="1"/>
  <c r="CU48" i="37" s="1"/>
  <c r="DK87" i="37"/>
  <c r="DL87" i="37" s="1"/>
  <c r="DM87" i="37" s="1"/>
  <c r="DO87" i="37" s="1"/>
  <c r="EE90" i="37"/>
  <c r="EF90" i="37" s="1"/>
  <c r="EG90" i="37" s="1"/>
  <c r="EI90" i="37" s="1"/>
  <c r="BC94" i="37"/>
  <c r="BD94" i="37" s="1"/>
  <c r="BE94" i="37" s="1"/>
  <c r="BG94" i="37" s="1"/>
  <c r="BW97" i="37"/>
  <c r="BX97" i="37" s="1"/>
  <c r="BY97" i="37" s="1"/>
  <c r="CA97" i="37" s="1"/>
  <c r="CQ100" i="37"/>
  <c r="CR100" i="37" s="1"/>
  <c r="CS100" i="37" s="1"/>
  <c r="CU100" i="37" s="1"/>
  <c r="DK103" i="37"/>
  <c r="DL103" i="37" s="1"/>
  <c r="DM103" i="37" s="1"/>
  <c r="DO103" i="37" s="1"/>
  <c r="DU106" i="37"/>
  <c r="DV106" i="37" s="1"/>
  <c r="DW106" i="37" s="1"/>
  <c r="DY106" i="37" s="1"/>
  <c r="CQ108" i="37"/>
  <c r="CR108" i="37" s="1"/>
  <c r="CS108" i="37" s="1"/>
  <c r="CU108" i="37" s="1"/>
  <c r="BC110" i="37"/>
  <c r="BD110" i="37" s="1"/>
  <c r="BE110" i="37" s="1"/>
  <c r="BG110" i="37" s="1"/>
  <c r="DK111" i="37"/>
  <c r="DL111" i="37" s="1"/>
  <c r="DM111" i="37" s="1"/>
  <c r="DO111" i="37" s="1"/>
  <c r="BW113" i="37"/>
  <c r="BX113" i="37" s="1"/>
  <c r="BY113" i="37" s="1"/>
  <c r="CA113" i="37" s="1"/>
  <c r="EE114" i="37"/>
  <c r="EF114" i="37" s="1"/>
  <c r="EG114" i="37" s="1"/>
  <c r="EI114" i="37" s="1"/>
  <c r="CQ116" i="37"/>
  <c r="CR116" i="37" s="1"/>
  <c r="CS116" i="37" s="1"/>
  <c r="CU116" i="37" s="1"/>
  <c r="BC118" i="37"/>
  <c r="BD118" i="37" s="1"/>
  <c r="BE118" i="37" s="1"/>
  <c r="BG118" i="37" s="1"/>
  <c r="DK119" i="37"/>
  <c r="DL119" i="37" s="1"/>
  <c r="DM119" i="37" s="1"/>
  <c r="DO119" i="37" s="1"/>
  <c r="BW9" i="37"/>
  <c r="BX9" i="37" s="1"/>
  <c r="BY9" i="37" s="1"/>
  <c r="CA9" i="37" s="1"/>
  <c r="EO336" i="37"/>
  <c r="EP336" i="37" s="1"/>
  <c r="EQ336" i="37" s="1"/>
  <c r="ES336" i="37" s="1"/>
  <c r="EO320" i="37"/>
  <c r="EP320" i="37" s="1"/>
  <c r="EQ320" i="37" s="1"/>
  <c r="ES320" i="37" s="1"/>
  <c r="EO304" i="37"/>
  <c r="EP304" i="37" s="1"/>
  <c r="EQ304" i="37" s="1"/>
  <c r="ES304" i="37" s="1"/>
  <c r="EO288" i="37"/>
  <c r="EP288" i="37" s="1"/>
  <c r="EQ288" i="37" s="1"/>
  <c r="ES288" i="37" s="1"/>
  <c r="EO272" i="37"/>
  <c r="EP272" i="37" s="1"/>
  <c r="EQ272" i="37" s="1"/>
  <c r="ES272" i="37" s="1"/>
  <c r="EO180" i="37"/>
  <c r="EP180" i="37" s="1"/>
  <c r="EQ180" i="37" s="1"/>
  <c r="ES180" i="37" s="1"/>
  <c r="EO157" i="37"/>
  <c r="EP157" i="37" s="1"/>
  <c r="EQ157" i="37" s="1"/>
  <c r="ES157" i="37" s="1"/>
  <c r="EO206" i="37"/>
  <c r="EP206" i="37" s="1"/>
  <c r="EQ206" i="37" s="1"/>
  <c r="ES206" i="37" s="1"/>
  <c r="EO181" i="37"/>
  <c r="EP181" i="37" s="1"/>
  <c r="EQ181" i="37" s="1"/>
  <c r="ES181" i="37" s="1"/>
  <c r="DU338" i="37"/>
  <c r="DV338" i="37" s="1"/>
  <c r="DW338" i="37" s="1"/>
  <c r="DY338" i="37" s="1"/>
  <c r="DU322" i="37"/>
  <c r="DV322" i="37" s="1"/>
  <c r="DW322" i="37" s="1"/>
  <c r="DY322" i="37" s="1"/>
  <c r="DU306" i="37"/>
  <c r="DV306" i="37" s="1"/>
  <c r="DW306" i="37" s="1"/>
  <c r="DY306" i="37" s="1"/>
  <c r="DU290" i="37"/>
  <c r="DV290" i="37" s="1"/>
  <c r="DW290" i="37" s="1"/>
  <c r="DY290" i="37" s="1"/>
  <c r="DU274" i="37"/>
  <c r="DV274" i="37" s="1"/>
  <c r="DW274" i="37" s="1"/>
  <c r="DY274" i="37" s="1"/>
  <c r="DU183" i="37"/>
  <c r="DV183" i="37" s="1"/>
  <c r="DW183" i="37" s="1"/>
  <c r="DY183" i="37" s="1"/>
  <c r="DU163" i="37"/>
  <c r="DV163" i="37" s="1"/>
  <c r="DW163" i="37" s="1"/>
  <c r="DY163" i="37" s="1"/>
  <c r="DU124" i="37"/>
  <c r="DV124" i="37" s="1"/>
  <c r="DW124" i="37" s="1"/>
  <c r="DY124" i="37" s="1"/>
  <c r="DU212" i="37"/>
  <c r="DV212" i="37" s="1"/>
  <c r="DW212" i="37" s="1"/>
  <c r="DY212" i="37" s="1"/>
  <c r="DU204" i="37"/>
  <c r="DV204" i="37" s="1"/>
  <c r="DW204" i="37" s="1"/>
  <c r="DY204" i="37" s="1"/>
  <c r="DU196" i="37"/>
  <c r="DV196" i="37" s="1"/>
  <c r="DW196" i="37" s="1"/>
  <c r="DY196" i="37" s="1"/>
  <c r="DU179" i="37"/>
  <c r="DV179" i="37" s="1"/>
  <c r="DW179" i="37" s="1"/>
  <c r="DY179" i="37" s="1"/>
  <c r="DU123" i="37"/>
  <c r="DV123" i="37" s="1"/>
  <c r="DW123" i="37" s="1"/>
  <c r="DY123" i="37" s="1"/>
  <c r="DA338" i="37"/>
  <c r="DB338" i="37" s="1"/>
  <c r="DC338" i="37" s="1"/>
  <c r="DE338" i="37" s="1"/>
  <c r="DA330" i="37"/>
  <c r="DB330" i="37" s="1"/>
  <c r="DC330" i="37" s="1"/>
  <c r="DE330" i="37" s="1"/>
  <c r="DA322" i="37"/>
  <c r="DB322" i="37" s="1"/>
  <c r="DC322" i="37" s="1"/>
  <c r="DE322" i="37" s="1"/>
  <c r="DA314" i="37"/>
  <c r="DB314" i="37" s="1"/>
  <c r="DC314" i="37" s="1"/>
  <c r="DE314" i="37" s="1"/>
  <c r="DA306" i="37"/>
  <c r="DB306" i="37" s="1"/>
  <c r="DC306" i="37" s="1"/>
  <c r="DE306" i="37" s="1"/>
  <c r="DA298" i="37"/>
  <c r="DB298" i="37" s="1"/>
  <c r="DC298" i="37" s="1"/>
  <c r="DE298" i="37" s="1"/>
  <c r="DA290" i="37"/>
  <c r="DB290" i="37" s="1"/>
  <c r="DC290" i="37" s="1"/>
  <c r="DE290" i="37" s="1"/>
  <c r="DA282" i="37"/>
  <c r="DB282" i="37" s="1"/>
  <c r="DC282" i="37" s="1"/>
  <c r="DE282" i="37" s="1"/>
  <c r="DA274" i="37"/>
  <c r="DB274" i="37" s="1"/>
  <c r="DC274" i="37" s="1"/>
  <c r="DE274" i="37" s="1"/>
  <c r="DA266" i="37"/>
  <c r="DB266" i="37" s="1"/>
  <c r="DC266" i="37" s="1"/>
  <c r="DE266" i="37" s="1"/>
  <c r="DA180" i="37"/>
  <c r="DB180" i="37" s="1"/>
  <c r="DC180" i="37" s="1"/>
  <c r="DE180" i="37" s="1"/>
  <c r="DA165" i="37"/>
  <c r="DB165" i="37" s="1"/>
  <c r="DC165" i="37" s="1"/>
  <c r="DE165" i="37" s="1"/>
  <c r="DA157" i="37"/>
  <c r="DB157" i="37" s="1"/>
  <c r="DC157" i="37" s="1"/>
  <c r="DE157" i="37" s="1"/>
  <c r="DA215" i="37"/>
  <c r="DB215" i="37" s="1"/>
  <c r="DC215" i="37" s="1"/>
  <c r="DE215" i="37" s="1"/>
  <c r="DA207" i="37"/>
  <c r="DB207" i="37" s="1"/>
  <c r="DC207" i="37" s="1"/>
  <c r="DE207" i="37" s="1"/>
  <c r="DA199" i="37"/>
  <c r="DB199" i="37" s="1"/>
  <c r="DC199" i="37" s="1"/>
  <c r="DE199" i="37" s="1"/>
  <c r="DA181" i="37"/>
  <c r="DB181" i="37" s="1"/>
  <c r="DC181" i="37" s="1"/>
  <c r="DE181" i="37" s="1"/>
  <c r="DA124" i="37"/>
  <c r="DB124" i="37" s="1"/>
  <c r="DC124" i="37" s="1"/>
  <c r="DE124" i="37" s="1"/>
  <c r="CQ298" i="37"/>
  <c r="CR298" i="37" s="1"/>
  <c r="CS298" i="37" s="1"/>
  <c r="CU298" i="37" s="1"/>
  <c r="CQ290" i="37"/>
  <c r="CR290" i="37" s="1"/>
  <c r="CS290" i="37" s="1"/>
  <c r="CU290" i="37" s="1"/>
  <c r="CQ282" i="37"/>
  <c r="CR282" i="37" s="1"/>
  <c r="CS282" i="37" s="1"/>
  <c r="CU282" i="37" s="1"/>
  <c r="CQ276" i="37"/>
  <c r="CR276" i="37" s="1"/>
  <c r="CS276" i="37" s="1"/>
  <c r="CU276" i="37" s="1"/>
  <c r="CQ268" i="37"/>
  <c r="CR268" i="37" s="1"/>
  <c r="CS268" i="37" s="1"/>
  <c r="CU268" i="37" s="1"/>
  <c r="CQ218" i="37"/>
  <c r="CR218" i="37" s="1"/>
  <c r="CS218" i="37" s="1"/>
  <c r="CU218" i="37" s="1"/>
  <c r="CQ308" i="37"/>
  <c r="CR308" i="37" s="1"/>
  <c r="CS308" i="37" s="1"/>
  <c r="CU308" i="37" s="1"/>
  <c r="CQ213" i="37"/>
  <c r="CR213" i="37" s="1"/>
  <c r="CS213" i="37" s="1"/>
  <c r="CU213" i="37" s="1"/>
  <c r="CQ205" i="37"/>
  <c r="CR205" i="37" s="1"/>
  <c r="CS205" i="37" s="1"/>
  <c r="CU205" i="37" s="1"/>
  <c r="CQ197" i="37"/>
  <c r="CR197" i="37" s="1"/>
  <c r="CS197" i="37" s="1"/>
  <c r="CU197" i="37" s="1"/>
  <c r="CQ179" i="37"/>
  <c r="CR179" i="37" s="1"/>
  <c r="CS179" i="37" s="1"/>
  <c r="CU179" i="37" s="1"/>
  <c r="CQ169" i="37"/>
  <c r="CR169" i="37" s="1"/>
  <c r="CS169" i="37" s="1"/>
  <c r="CU169" i="37" s="1"/>
  <c r="CQ161" i="37"/>
  <c r="CR161" i="37" s="1"/>
  <c r="CS161" i="37" s="1"/>
  <c r="CU161" i="37" s="1"/>
  <c r="BC306" i="37"/>
  <c r="BD306" i="37" s="1"/>
  <c r="BE306" i="37" s="1"/>
  <c r="BG306" i="37" s="1"/>
  <c r="BC298" i="37"/>
  <c r="BD298" i="37" s="1"/>
  <c r="BE298" i="37" s="1"/>
  <c r="BG298" i="37" s="1"/>
  <c r="BC290" i="37"/>
  <c r="BD290" i="37" s="1"/>
  <c r="BE290" i="37" s="1"/>
  <c r="BG290" i="37" s="1"/>
  <c r="BC282" i="37"/>
  <c r="BD282" i="37" s="1"/>
  <c r="BE282" i="37" s="1"/>
  <c r="BG282" i="37" s="1"/>
  <c r="BC277" i="37"/>
  <c r="BD277" i="37" s="1"/>
  <c r="BE277" i="37" s="1"/>
  <c r="BG277" i="37" s="1"/>
  <c r="BC269" i="37"/>
  <c r="BD269" i="37" s="1"/>
  <c r="BE269" i="37" s="1"/>
  <c r="BG269" i="37" s="1"/>
  <c r="BC220" i="37"/>
  <c r="BD220" i="37" s="1"/>
  <c r="BE220" i="37" s="1"/>
  <c r="BG220" i="37" s="1"/>
  <c r="BC125" i="37"/>
  <c r="BD125" i="37" s="1"/>
  <c r="BE125" i="37" s="1"/>
  <c r="BG125" i="37" s="1"/>
  <c r="BC217" i="37"/>
  <c r="BD217" i="37" s="1"/>
  <c r="BE217" i="37" s="1"/>
  <c r="BG217" i="37" s="1"/>
  <c r="BC209" i="37"/>
  <c r="BD209" i="37" s="1"/>
  <c r="BE209" i="37" s="1"/>
  <c r="BG209" i="37" s="1"/>
  <c r="BC201" i="37"/>
  <c r="BD201" i="37" s="1"/>
  <c r="BE201" i="37" s="1"/>
  <c r="BG201" i="37" s="1"/>
  <c r="BC193" i="37"/>
  <c r="BD193" i="37" s="1"/>
  <c r="BE193" i="37" s="1"/>
  <c r="BG193" i="37" s="1"/>
  <c r="BC173" i="37"/>
  <c r="BD173" i="37" s="1"/>
  <c r="BE173" i="37" s="1"/>
  <c r="BG173" i="37" s="1"/>
  <c r="BC164" i="37"/>
  <c r="BD164" i="37" s="1"/>
  <c r="BE164" i="37" s="1"/>
  <c r="BG164" i="37" s="1"/>
  <c r="BC124" i="37"/>
  <c r="BD124" i="37" s="1"/>
  <c r="BE124" i="37" s="1"/>
  <c r="BG124" i="37" s="1"/>
  <c r="CG96" i="37"/>
  <c r="CH96" i="37" s="1"/>
  <c r="CI96" i="37" s="1"/>
  <c r="CK96" i="37" s="1"/>
  <c r="BW106" i="37"/>
  <c r="BX106" i="37" s="1"/>
  <c r="BY106" i="37" s="1"/>
  <c r="CA106" i="37" s="1"/>
  <c r="DK299" i="37"/>
  <c r="DL299" i="37" s="1"/>
  <c r="DM299" i="37" s="1"/>
  <c r="DO299" i="37" s="1"/>
  <c r="DK291" i="37"/>
  <c r="DL291" i="37" s="1"/>
  <c r="DM291" i="37" s="1"/>
  <c r="DO291" i="37" s="1"/>
  <c r="DK283" i="37"/>
  <c r="DL283" i="37" s="1"/>
  <c r="DM283" i="37" s="1"/>
  <c r="DO283" i="37" s="1"/>
  <c r="DK277" i="37"/>
  <c r="DL277" i="37" s="1"/>
  <c r="DM277" i="37" s="1"/>
  <c r="DO277" i="37" s="1"/>
  <c r="DK269" i="37"/>
  <c r="DL269" i="37" s="1"/>
  <c r="DM269" i="37" s="1"/>
  <c r="DO269" i="37" s="1"/>
  <c r="DK219" i="37"/>
  <c r="DL219" i="37" s="1"/>
  <c r="DM219" i="37" s="1"/>
  <c r="DO219" i="37" s="1"/>
  <c r="DK122" i="37"/>
  <c r="DL122" i="37" s="1"/>
  <c r="DM122" i="37" s="1"/>
  <c r="DO122" i="37" s="1"/>
  <c r="DK216" i="37"/>
  <c r="DL216" i="37" s="1"/>
  <c r="DM216" i="37" s="1"/>
  <c r="DO216" i="37" s="1"/>
  <c r="DK208" i="37"/>
  <c r="DL208" i="37" s="1"/>
  <c r="DM208" i="37" s="1"/>
  <c r="DO208" i="37" s="1"/>
  <c r="DK200" i="37"/>
  <c r="DL200" i="37" s="1"/>
  <c r="DM200" i="37" s="1"/>
  <c r="DO200" i="37" s="1"/>
  <c r="DK183" i="37"/>
  <c r="DL183" i="37" s="1"/>
  <c r="DM183" i="37" s="1"/>
  <c r="DO183" i="37" s="1"/>
  <c r="DK170" i="37"/>
  <c r="DL170" i="37" s="1"/>
  <c r="DM170" i="37" s="1"/>
  <c r="DO170" i="37" s="1"/>
  <c r="DK162" i="37"/>
  <c r="DL162" i="37" s="1"/>
  <c r="DM162" i="37" s="1"/>
  <c r="DO162" i="37" s="1"/>
  <c r="DK121" i="37"/>
  <c r="DL121" i="37" s="1"/>
  <c r="DM121" i="37" s="1"/>
  <c r="DO121" i="37" s="1"/>
  <c r="CG339" i="37"/>
  <c r="CH339" i="37" s="1"/>
  <c r="CI339" i="37" s="1"/>
  <c r="CK339" i="37" s="1"/>
  <c r="CG331" i="37"/>
  <c r="CH331" i="37" s="1"/>
  <c r="CI331" i="37" s="1"/>
  <c r="CK331" i="37" s="1"/>
  <c r="CG323" i="37"/>
  <c r="CH323" i="37" s="1"/>
  <c r="CI323" i="37" s="1"/>
  <c r="CK323" i="37" s="1"/>
  <c r="CG315" i="37"/>
  <c r="CH315" i="37" s="1"/>
  <c r="CI315" i="37" s="1"/>
  <c r="CK315" i="37" s="1"/>
  <c r="CG307" i="37"/>
  <c r="CH307" i="37" s="1"/>
  <c r="CI307" i="37" s="1"/>
  <c r="CK307" i="37" s="1"/>
  <c r="CG299" i="37"/>
  <c r="CH299" i="37" s="1"/>
  <c r="CI299" i="37" s="1"/>
  <c r="CK299" i="37" s="1"/>
  <c r="CG291" i="37"/>
  <c r="CH291" i="37" s="1"/>
  <c r="CI291" i="37" s="1"/>
  <c r="CK291" i="37" s="1"/>
  <c r="CG283" i="37"/>
  <c r="CH283" i="37" s="1"/>
  <c r="CI283" i="37" s="1"/>
  <c r="CK283" i="37" s="1"/>
  <c r="CG275" i="37"/>
  <c r="CH275" i="37" s="1"/>
  <c r="CI275" i="37" s="1"/>
  <c r="CK275" i="37" s="1"/>
  <c r="CG267" i="37"/>
  <c r="CH267" i="37" s="1"/>
  <c r="CI267" i="37" s="1"/>
  <c r="CK267" i="37" s="1"/>
  <c r="CG183" i="37"/>
  <c r="CH183" i="37" s="1"/>
  <c r="CI183" i="37" s="1"/>
  <c r="CK183" i="37" s="1"/>
  <c r="CG165" i="37"/>
  <c r="CH165" i="37" s="1"/>
  <c r="CI165" i="37" s="1"/>
  <c r="CK165" i="37" s="1"/>
  <c r="CG157" i="37"/>
  <c r="CH157" i="37" s="1"/>
  <c r="CI157" i="37" s="1"/>
  <c r="CK157" i="37" s="1"/>
  <c r="CG213" i="37"/>
  <c r="CH213" i="37" s="1"/>
  <c r="CI213" i="37" s="1"/>
  <c r="CK213" i="37" s="1"/>
  <c r="CG205" i="37"/>
  <c r="CH205" i="37" s="1"/>
  <c r="CI205" i="37" s="1"/>
  <c r="CK205" i="37" s="1"/>
  <c r="CG197" i="37"/>
  <c r="CH197" i="37" s="1"/>
  <c r="CI197" i="37" s="1"/>
  <c r="CK197" i="37" s="1"/>
  <c r="CG179" i="37"/>
  <c r="CH179" i="37" s="1"/>
  <c r="CI179" i="37" s="1"/>
  <c r="CK179" i="37" s="1"/>
  <c r="CG123" i="37"/>
  <c r="CH123" i="37" s="1"/>
  <c r="CI123" i="37" s="1"/>
  <c r="CK123" i="37" s="1"/>
  <c r="BW300" i="37"/>
  <c r="BX300" i="37" s="1"/>
  <c r="BY300" i="37" s="1"/>
  <c r="CA300" i="37" s="1"/>
  <c r="BW292" i="37"/>
  <c r="BX292" i="37" s="1"/>
  <c r="BY292" i="37" s="1"/>
  <c r="CA292" i="37" s="1"/>
  <c r="BW284" i="37"/>
  <c r="BX284" i="37" s="1"/>
  <c r="BY284" i="37" s="1"/>
  <c r="CA284" i="37" s="1"/>
  <c r="BW310" i="37"/>
  <c r="BX310" i="37" s="1"/>
  <c r="BY310" i="37" s="1"/>
  <c r="CA310" i="37" s="1"/>
  <c r="BW270" i="37"/>
  <c r="BX270" i="37" s="1"/>
  <c r="BY270" i="37" s="1"/>
  <c r="CA270" i="37" s="1"/>
  <c r="BW262" i="37"/>
  <c r="BX262" i="37" s="1"/>
  <c r="BY262" i="37" s="1"/>
  <c r="CA262" i="37" s="1"/>
  <c r="BW122" i="37"/>
  <c r="BX122" i="37" s="1"/>
  <c r="BY122" i="37" s="1"/>
  <c r="CA122" i="37" s="1"/>
  <c r="BW215" i="37"/>
  <c r="BX215" i="37" s="1"/>
  <c r="BY215" i="37" s="1"/>
  <c r="CA215" i="37" s="1"/>
  <c r="BW207" i="37"/>
  <c r="BX207" i="37" s="1"/>
  <c r="BY207" i="37" s="1"/>
  <c r="CA207" i="37" s="1"/>
  <c r="BW199" i="37"/>
  <c r="BX199" i="37" s="1"/>
  <c r="BY199" i="37" s="1"/>
  <c r="CA199" i="37" s="1"/>
  <c r="BW181" i="37"/>
  <c r="BX181" i="37" s="1"/>
  <c r="BY181" i="37" s="1"/>
  <c r="CA181" i="37" s="1"/>
  <c r="BW170" i="37"/>
  <c r="BX170" i="37" s="1"/>
  <c r="BY170" i="37" s="1"/>
  <c r="CA170" i="37" s="1"/>
  <c r="BW162" i="37"/>
  <c r="BX162" i="37" s="1"/>
  <c r="BY162" i="37" s="1"/>
  <c r="CA162" i="37" s="1"/>
  <c r="BW121" i="37"/>
  <c r="BX121" i="37" s="1"/>
  <c r="BY121" i="37" s="1"/>
  <c r="CA121" i="37" s="1"/>
  <c r="BM338" i="37"/>
  <c r="BN338" i="37" s="1"/>
  <c r="BO338" i="37" s="1"/>
  <c r="BQ338" i="37" s="1"/>
  <c r="BM330" i="37"/>
  <c r="BN330" i="37" s="1"/>
  <c r="BO330" i="37" s="1"/>
  <c r="BQ330" i="37" s="1"/>
  <c r="BM322" i="37"/>
  <c r="BN322" i="37" s="1"/>
  <c r="BO322" i="37" s="1"/>
  <c r="BQ322" i="37" s="1"/>
  <c r="BM314" i="37"/>
  <c r="BN314" i="37" s="1"/>
  <c r="BO314" i="37" s="1"/>
  <c r="BQ314" i="37" s="1"/>
  <c r="BM306" i="37"/>
  <c r="BN306" i="37" s="1"/>
  <c r="BO306" i="37" s="1"/>
  <c r="BQ306" i="37" s="1"/>
  <c r="BM298" i="37"/>
  <c r="BN298" i="37" s="1"/>
  <c r="BO298" i="37" s="1"/>
  <c r="BQ298" i="37" s="1"/>
  <c r="BM290" i="37"/>
  <c r="BN290" i="37" s="1"/>
  <c r="BO290" i="37" s="1"/>
  <c r="BQ290" i="37" s="1"/>
  <c r="BM282" i="37"/>
  <c r="BN282" i="37" s="1"/>
  <c r="BO282" i="37" s="1"/>
  <c r="BQ282" i="37" s="1"/>
  <c r="BM274" i="37"/>
  <c r="BN274" i="37" s="1"/>
  <c r="BO274" i="37" s="1"/>
  <c r="BQ274" i="37" s="1"/>
  <c r="BM266" i="37"/>
  <c r="BN266" i="37" s="1"/>
  <c r="BO266" i="37" s="1"/>
  <c r="BQ266" i="37" s="1"/>
  <c r="BM180" i="37"/>
  <c r="BN180" i="37" s="1"/>
  <c r="BO180" i="37" s="1"/>
  <c r="BQ180" i="37" s="1"/>
  <c r="BM164" i="37"/>
  <c r="BN164" i="37" s="1"/>
  <c r="BO164" i="37" s="1"/>
  <c r="BQ164" i="37" s="1"/>
  <c r="BM125" i="37"/>
  <c r="BN125" i="37" s="1"/>
  <c r="BO125" i="37" s="1"/>
  <c r="BQ125" i="37" s="1"/>
  <c r="BM214" i="37"/>
  <c r="BN214" i="37" s="1"/>
  <c r="BO214" i="37" s="1"/>
  <c r="BQ214" i="37" s="1"/>
  <c r="BM206" i="37"/>
  <c r="BN206" i="37" s="1"/>
  <c r="BO206" i="37" s="1"/>
  <c r="BQ206" i="37" s="1"/>
  <c r="BM198" i="37"/>
  <c r="BN198" i="37" s="1"/>
  <c r="BO198" i="37" s="1"/>
  <c r="BQ198" i="37" s="1"/>
  <c r="BM179" i="37"/>
  <c r="BN179" i="37" s="1"/>
  <c r="BO179" i="37" s="1"/>
  <c r="BQ179" i="37" s="1"/>
  <c r="BM124" i="37"/>
  <c r="BN124" i="37" s="1"/>
  <c r="BO124" i="37" s="1"/>
  <c r="BQ124" i="37" s="1"/>
  <c r="DA200" i="37"/>
  <c r="DB200" i="37" s="1"/>
  <c r="DC200" i="37" s="1"/>
  <c r="DE200" i="37" s="1"/>
  <c r="CQ301" i="37"/>
  <c r="CR301" i="37" s="1"/>
  <c r="CS301" i="37" s="1"/>
  <c r="CU301" i="37" s="1"/>
  <c r="CQ311" i="37"/>
  <c r="CR311" i="37" s="1"/>
  <c r="CS311" i="37" s="1"/>
  <c r="CU311" i="37" s="1"/>
  <c r="CQ216" i="37"/>
  <c r="CR216" i="37" s="1"/>
  <c r="CS216" i="37" s="1"/>
  <c r="CU216" i="37" s="1"/>
  <c r="CQ173" i="37"/>
  <c r="CR173" i="37" s="1"/>
  <c r="CS173" i="37" s="1"/>
  <c r="CU173" i="37" s="1"/>
  <c r="BC301" i="37"/>
  <c r="BD301" i="37" s="1"/>
  <c r="BE301" i="37" s="1"/>
  <c r="BG301" i="37" s="1"/>
  <c r="BC312" i="37"/>
  <c r="BD312" i="37" s="1"/>
  <c r="BE312" i="37" s="1"/>
  <c r="BG312" i="37" s="1"/>
  <c r="BC307" i="37"/>
  <c r="BD307" i="37" s="1"/>
  <c r="BE307" i="37" s="1"/>
  <c r="BG307" i="37" s="1"/>
  <c r="BC196" i="37"/>
  <c r="BD196" i="37" s="1"/>
  <c r="BE196" i="37" s="1"/>
  <c r="BG196" i="37" s="1"/>
  <c r="CG95" i="37"/>
  <c r="CH95" i="37" s="1"/>
  <c r="CI95" i="37" s="1"/>
  <c r="CK95" i="37" s="1"/>
  <c r="DK288" i="37"/>
  <c r="DL288" i="37" s="1"/>
  <c r="DM288" i="37" s="1"/>
  <c r="DO288" i="37" s="1"/>
  <c r="DK180" i="37"/>
  <c r="DL180" i="37" s="1"/>
  <c r="DM180" i="37" s="1"/>
  <c r="DO180" i="37" s="1"/>
  <c r="DK205" i="37"/>
  <c r="DL205" i="37" s="1"/>
  <c r="DM205" i="37" s="1"/>
  <c r="DO205" i="37" s="1"/>
  <c r="DK167" i="37"/>
  <c r="DL167" i="37" s="1"/>
  <c r="DM167" i="37" s="1"/>
  <c r="DO167" i="37" s="1"/>
  <c r="CG326" i="37"/>
  <c r="CH326" i="37" s="1"/>
  <c r="CI326" i="37" s="1"/>
  <c r="CK326" i="37" s="1"/>
  <c r="CG302" i="37"/>
  <c r="CH302" i="37" s="1"/>
  <c r="CI302" i="37" s="1"/>
  <c r="CK302" i="37" s="1"/>
  <c r="CG278" i="37"/>
  <c r="CH278" i="37" s="1"/>
  <c r="CI278" i="37" s="1"/>
  <c r="CK278" i="37" s="1"/>
  <c r="CG160" i="37"/>
  <c r="CH160" i="37" s="1"/>
  <c r="CI160" i="37" s="1"/>
  <c r="CK160" i="37" s="1"/>
  <c r="CG200" i="37"/>
  <c r="CH200" i="37" s="1"/>
  <c r="CI200" i="37" s="1"/>
  <c r="CK200" i="37" s="1"/>
  <c r="BW303" i="37"/>
  <c r="BX303" i="37" s="1"/>
  <c r="BY303" i="37" s="1"/>
  <c r="CA303" i="37" s="1"/>
  <c r="BW273" i="37"/>
  <c r="BX273" i="37" s="1"/>
  <c r="BY273" i="37" s="1"/>
  <c r="CA273" i="37" s="1"/>
  <c r="BW218" i="37"/>
  <c r="BX218" i="37" s="1"/>
  <c r="BY218" i="37" s="1"/>
  <c r="CA218" i="37" s="1"/>
  <c r="BW194" i="37"/>
  <c r="BX194" i="37" s="1"/>
  <c r="BY194" i="37" s="1"/>
  <c r="CA194" i="37" s="1"/>
  <c r="BM341" i="37"/>
  <c r="BN341" i="37" s="1"/>
  <c r="BO341" i="37" s="1"/>
  <c r="BQ341" i="37" s="1"/>
  <c r="BM309" i="37"/>
  <c r="BN309" i="37" s="1"/>
  <c r="BO309" i="37" s="1"/>
  <c r="BQ309" i="37" s="1"/>
  <c r="BM285" i="37"/>
  <c r="BN285" i="37" s="1"/>
  <c r="BO285" i="37" s="1"/>
  <c r="BQ285" i="37" s="1"/>
  <c r="BM219" i="37"/>
  <c r="BN219" i="37" s="1"/>
  <c r="BO219" i="37" s="1"/>
  <c r="BQ219" i="37" s="1"/>
  <c r="BM209" i="37"/>
  <c r="BN209" i="37" s="1"/>
  <c r="BO209" i="37" s="1"/>
  <c r="BQ209" i="37" s="1"/>
  <c r="BM172" i="37"/>
  <c r="BN172" i="37" s="1"/>
  <c r="BO172" i="37" s="1"/>
  <c r="BQ172" i="37" s="1"/>
  <c r="DK320" i="37"/>
  <c r="DL320" i="37" s="1"/>
  <c r="DM320" i="37" s="1"/>
  <c r="DO320" i="37" s="1"/>
  <c r="BC327" i="37"/>
  <c r="BD327" i="37" s="1"/>
  <c r="BE327" i="37" s="1"/>
  <c r="BG327" i="37" s="1"/>
  <c r="EE331" i="37"/>
  <c r="EF331" i="37" s="1"/>
  <c r="EG331" i="37" s="1"/>
  <c r="EI331" i="37" s="1"/>
  <c r="BW338" i="37"/>
  <c r="BX338" i="37" s="1"/>
  <c r="BY338" i="37" s="1"/>
  <c r="CA338" i="37" s="1"/>
  <c r="DK344" i="37"/>
  <c r="DL344" i="37" s="1"/>
  <c r="DM344" i="37" s="1"/>
  <c r="DO344" i="37" s="1"/>
  <c r="DK10" i="37"/>
  <c r="DL10" i="37" s="1"/>
  <c r="DM10" i="37" s="1"/>
  <c r="DO10" i="37" s="1"/>
  <c r="CQ37" i="37"/>
  <c r="CR37" i="37" s="1"/>
  <c r="CS37" i="37" s="1"/>
  <c r="CU37" i="37" s="1"/>
  <c r="BW41" i="37"/>
  <c r="BX41" i="37" s="1"/>
  <c r="BY41" i="37" s="1"/>
  <c r="CA41" i="37" s="1"/>
  <c r="BC46" i="37"/>
  <c r="BD46" i="37" s="1"/>
  <c r="BE46" i="37" s="1"/>
  <c r="BG46" i="37" s="1"/>
  <c r="CQ88" i="37"/>
  <c r="CR88" i="37" s="1"/>
  <c r="CS88" i="37" s="1"/>
  <c r="CU88" i="37" s="1"/>
  <c r="BW93" i="37"/>
  <c r="BX93" i="37" s="1"/>
  <c r="BY93" i="37" s="1"/>
  <c r="CA93" i="37" s="1"/>
  <c r="BC98" i="37"/>
  <c r="BD98" i="37" s="1"/>
  <c r="BE98" i="37" s="1"/>
  <c r="BG98" i="37" s="1"/>
  <c r="CQ104" i="37"/>
  <c r="CR104" i="37" s="1"/>
  <c r="CS104" i="37" s="1"/>
  <c r="CU104" i="37" s="1"/>
  <c r="EE108" i="37"/>
  <c r="EF108" i="37" s="1"/>
  <c r="EG108" i="37" s="1"/>
  <c r="EI108" i="37" s="1"/>
  <c r="BW111" i="37"/>
  <c r="BX111" i="37" s="1"/>
  <c r="BY111" i="37" s="1"/>
  <c r="CA111" i="37" s="1"/>
  <c r="CQ114" i="37"/>
  <c r="CR114" i="37" s="1"/>
  <c r="CS114" i="37" s="1"/>
  <c r="CU114" i="37" s="1"/>
  <c r="DK117" i="37"/>
  <c r="DL117" i="37" s="1"/>
  <c r="DM117" i="37" s="1"/>
  <c r="DO117" i="37" s="1"/>
  <c r="EE120" i="37"/>
  <c r="EF120" i="37" s="1"/>
  <c r="EG120" i="37" s="1"/>
  <c r="EI120" i="37" s="1"/>
  <c r="EO332" i="37"/>
  <c r="EP332" i="37" s="1"/>
  <c r="EQ332" i="37" s="1"/>
  <c r="ES332" i="37" s="1"/>
  <c r="EO300" i="37"/>
  <c r="EP300" i="37" s="1"/>
  <c r="EQ300" i="37" s="1"/>
  <c r="ES300" i="37" s="1"/>
  <c r="EO276" i="37"/>
  <c r="EP276" i="37" s="1"/>
  <c r="EQ276" i="37" s="1"/>
  <c r="ES276" i="37" s="1"/>
  <c r="EO161" i="37"/>
  <c r="EP161" i="37" s="1"/>
  <c r="EQ161" i="37" s="1"/>
  <c r="ES161" i="37" s="1"/>
  <c r="EO194" i="37"/>
  <c r="EP194" i="37" s="1"/>
  <c r="EQ194" i="37" s="1"/>
  <c r="ES194" i="37" s="1"/>
  <c r="DU334" i="37"/>
  <c r="DV334" i="37" s="1"/>
  <c r="DW334" i="37" s="1"/>
  <c r="DY334" i="37" s="1"/>
  <c r="DU302" i="37"/>
  <c r="DV302" i="37" s="1"/>
  <c r="DW302" i="37" s="1"/>
  <c r="DY302" i="37" s="1"/>
  <c r="DU270" i="37"/>
  <c r="DV270" i="37" s="1"/>
  <c r="DW270" i="37" s="1"/>
  <c r="DY270" i="37" s="1"/>
  <c r="DU165" i="37"/>
  <c r="DV165" i="37" s="1"/>
  <c r="DW165" i="37" s="1"/>
  <c r="DY165" i="37" s="1"/>
  <c r="DU219" i="37"/>
  <c r="DV219" i="37" s="1"/>
  <c r="DW219" i="37" s="1"/>
  <c r="DY219" i="37" s="1"/>
  <c r="DU202" i="37"/>
  <c r="DV202" i="37" s="1"/>
  <c r="DW202" i="37" s="1"/>
  <c r="DY202" i="37" s="1"/>
  <c r="DU182" i="37"/>
  <c r="DV182" i="37" s="1"/>
  <c r="DW182" i="37" s="1"/>
  <c r="DY182" i="37" s="1"/>
  <c r="DA336" i="37"/>
  <c r="DB336" i="37" s="1"/>
  <c r="DC336" i="37" s="1"/>
  <c r="DE336" i="37" s="1"/>
  <c r="DA324" i="37"/>
  <c r="DB324" i="37" s="1"/>
  <c r="DC324" i="37" s="1"/>
  <c r="DE324" i="37" s="1"/>
  <c r="DA308" i="37"/>
  <c r="DB308" i="37" s="1"/>
  <c r="DC308" i="37" s="1"/>
  <c r="DE308" i="37" s="1"/>
  <c r="DA296" i="37"/>
  <c r="DB296" i="37" s="1"/>
  <c r="DC296" i="37" s="1"/>
  <c r="DE296" i="37" s="1"/>
  <c r="DA280" i="37"/>
  <c r="DB280" i="37" s="1"/>
  <c r="DC280" i="37" s="1"/>
  <c r="DE280" i="37" s="1"/>
  <c r="DA264" i="37"/>
  <c r="DB264" i="37" s="1"/>
  <c r="DC264" i="37" s="1"/>
  <c r="DE264" i="37" s="1"/>
  <c r="DA167" i="37"/>
  <c r="DB167" i="37" s="1"/>
  <c r="DC167" i="37" s="1"/>
  <c r="DE167" i="37" s="1"/>
  <c r="DA217" i="37"/>
  <c r="DB217" i="37" s="1"/>
  <c r="DC217" i="37" s="1"/>
  <c r="DE217" i="37" s="1"/>
  <c r="DA205" i="37"/>
  <c r="DB205" i="37" s="1"/>
  <c r="DC205" i="37" s="1"/>
  <c r="DE205" i="37" s="1"/>
  <c r="DA178" i="37"/>
  <c r="DB178" i="37" s="1"/>
  <c r="DC178" i="37" s="1"/>
  <c r="DE178" i="37" s="1"/>
  <c r="CQ296" i="37"/>
  <c r="CR296" i="37" s="1"/>
  <c r="CS296" i="37" s="1"/>
  <c r="CU296" i="37" s="1"/>
  <c r="CQ284" i="37"/>
  <c r="CR284" i="37" s="1"/>
  <c r="CS284" i="37" s="1"/>
  <c r="CU284" i="37" s="1"/>
  <c r="CQ270" i="37"/>
  <c r="CR270" i="37" s="1"/>
  <c r="CS270" i="37" s="1"/>
  <c r="CU270" i="37" s="1"/>
  <c r="CQ121" i="37"/>
  <c r="CR121" i="37" s="1"/>
  <c r="CS121" i="37" s="1"/>
  <c r="CU121" i="37" s="1"/>
  <c r="CQ207" i="37"/>
  <c r="CR207" i="37" s="1"/>
  <c r="CS207" i="37" s="1"/>
  <c r="CU207" i="37" s="1"/>
  <c r="CQ195" i="37"/>
  <c r="CR195" i="37" s="1"/>
  <c r="CS195" i="37" s="1"/>
  <c r="CU195" i="37" s="1"/>
  <c r="CQ167" i="37"/>
  <c r="CR167" i="37" s="1"/>
  <c r="CS167" i="37" s="1"/>
  <c r="CU167" i="37" s="1"/>
  <c r="BC304" i="37"/>
  <c r="BD304" i="37" s="1"/>
  <c r="BE304" i="37" s="1"/>
  <c r="BG304" i="37" s="1"/>
  <c r="BC292" i="37"/>
  <c r="BD292" i="37" s="1"/>
  <c r="BE292" i="37" s="1"/>
  <c r="BG292" i="37" s="1"/>
  <c r="BC280" i="37"/>
  <c r="BD280" i="37" s="1"/>
  <c r="BE280" i="37" s="1"/>
  <c r="BG280" i="37" s="1"/>
  <c r="BC267" i="37"/>
  <c r="BD267" i="37" s="1"/>
  <c r="BE267" i="37" s="1"/>
  <c r="BG267" i="37" s="1"/>
  <c r="BC121" i="37"/>
  <c r="BD121" i="37" s="1"/>
  <c r="BE121" i="37" s="1"/>
  <c r="BG121" i="37" s="1"/>
  <c r="BC207" i="37"/>
  <c r="BD207" i="37" s="1"/>
  <c r="BE207" i="37" s="1"/>
  <c r="BG207" i="37" s="1"/>
  <c r="BC182" i="37"/>
  <c r="BD182" i="37" s="1"/>
  <c r="BE182" i="37" s="1"/>
  <c r="BG182" i="37" s="1"/>
  <c r="BC162" i="37"/>
  <c r="BD162" i="37" s="1"/>
  <c r="BE162" i="37" s="1"/>
  <c r="BG162" i="37" s="1"/>
  <c r="CG101" i="37"/>
  <c r="CH101" i="37" s="1"/>
  <c r="CI101" i="37" s="1"/>
  <c r="CK101" i="37" s="1"/>
  <c r="DK297" i="37"/>
  <c r="DL297" i="37" s="1"/>
  <c r="DM297" i="37" s="1"/>
  <c r="DO297" i="37" s="1"/>
  <c r="DK285" i="37"/>
  <c r="DL285" i="37" s="1"/>
  <c r="DM285" i="37" s="1"/>
  <c r="DO285" i="37" s="1"/>
  <c r="DK271" i="37"/>
  <c r="DL271" i="37" s="1"/>
  <c r="DM271" i="37" s="1"/>
  <c r="DO271" i="37" s="1"/>
  <c r="DK171" i="37"/>
  <c r="DL171" i="37" s="1"/>
  <c r="DM171" i="37" s="1"/>
  <c r="DO171" i="37" s="1"/>
  <c r="DK214" i="37"/>
  <c r="DL214" i="37" s="1"/>
  <c r="DM214" i="37" s="1"/>
  <c r="DO214" i="37" s="1"/>
  <c r="DK198" i="37"/>
  <c r="DL198" i="37" s="1"/>
  <c r="DM198" i="37" s="1"/>
  <c r="DO198" i="37" s="1"/>
  <c r="DK168" i="37"/>
  <c r="DL168" i="37" s="1"/>
  <c r="DM168" i="37" s="1"/>
  <c r="DO168" i="37" s="1"/>
  <c r="DK156" i="37"/>
  <c r="DL156" i="37" s="1"/>
  <c r="DM156" i="37" s="1"/>
  <c r="DO156" i="37" s="1"/>
  <c r="CG333" i="37"/>
  <c r="CH333" i="37" s="1"/>
  <c r="CI333" i="37" s="1"/>
  <c r="CK333" i="37" s="1"/>
  <c r="CG317" i="37"/>
  <c r="CH317" i="37" s="1"/>
  <c r="CI317" i="37" s="1"/>
  <c r="CK317" i="37" s="1"/>
  <c r="CG301" i="37"/>
  <c r="CH301" i="37" s="1"/>
  <c r="CI301" i="37" s="1"/>
  <c r="CK301" i="37" s="1"/>
  <c r="CG285" i="37"/>
  <c r="CH285" i="37" s="1"/>
  <c r="CI285" i="37" s="1"/>
  <c r="CK285" i="37" s="1"/>
  <c r="CG273" i="37"/>
  <c r="CH273" i="37" s="1"/>
  <c r="CI273" i="37" s="1"/>
  <c r="CK273" i="37" s="1"/>
  <c r="CG174" i="37"/>
  <c r="CH174" i="37" s="1"/>
  <c r="CI174" i="37" s="1"/>
  <c r="CK174" i="37" s="1"/>
  <c r="CG122" i="37"/>
  <c r="CH122" i="37" s="1"/>
  <c r="CI122" i="37" s="1"/>
  <c r="CK122" i="37" s="1"/>
  <c r="CG207" i="37"/>
  <c r="CH207" i="37" s="1"/>
  <c r="CI207" i="37" s="1"/>
  <c r="CK207" i="37" s="1"/>
  <c r="CG182" i="37"/>
  <c r="CH182" i="37" s="1"/>
  <c r="CI182" i="37" s="1"/>
  <c r="CK182" i="37" s="1"/>
  <c r="BW302" i="37"/>
  <c r="BX302" i="37" s="1"/>
  <c r="BY302" i="37" s="1"/>
  <c r="CA302" i="37" s="1"/>
  <c r="BW290" i="37"/>
  <c r="BX290" i="37" s="1"/>
  <c r="BY290" i="37" s="1"/>
  <c r="CA290" i="37" s="1"/>
  <c r="BW276" i="37"/>
  <c r="BX276" i="37" s="1"/>
  <c r="BY276" i="37" s="1"/>
  <c r="CA276" i="37" s="1"/>
  <c r="BW264" i="37"/>
  <c r="BX264" i="37" s="1"/>
  <c r="BY264" i="37" s="1"/>
  <c r="CA264" i="37" s="1"/>
  <c r="BW217" i="37"/>
  <c r="BX217" i="37" s="1"/>
  <c r="BY217" i="37" s="1"/>
  <c r="CA217" i="37" s="1"/>
  <c r="BW205" i="37"/>
  <c r="BX205" i="37" s="1"/>
  <c r="BY205" i="37" s="1"/>
  <c r="CA205" i="37" s="1"/>
  <c r="BW178" i="37"/>
  <c r="BX178" i="37" s="1"/>
  <c r="BY178" i="37" s="1"/>
  <c r="CA178" i="37" s="1"/>
  <c r="BW160" i="37"/>
  <c r="BX160" i="37" s="1"/>
  <c r="BY160" i="37" s="1"/>
  <c r="CA160" i="37" s="1"/>
  <c r="BM336" i="37"/>
  <c r="BN336" i="37" s="1"/>
  <c r="BO336" i="37" s="1"/>
  <c r="BQ336" i="37" s="1"/>
  <c r="BM324" i="37"/>
  <c r="BN324" i="37" s="1"/>
  <c r="BO324" i="37" s="1"/>
  <c r="BQ324" i="37" s="1"/>
  <c r="BM308" i="37"/>
  <c r="BN308" i="37" s="1"/>
  <c r="BO308" i="37" s="1"/>
  <c r="BQ308" i="37" s="1"/>
  <c r="BM296" i="37"/>
  <c r="BN296" i="37" s="1"/>
  <c r="BO296" i="37" s="1"/>
  <c r="BQ296" i="37" s="1"/>
  <c r="BM280" i="37"/>
  <c r="BN280" i="37" s="1"/>
  <c r="BO280" i="37" s="1"/>
  <c r="BQ280" i="37" s="1"/>
  <c r="BM264" i="37"/>
  <c r="BN264" i="37" s="1"/>
  <c r="BO264" i="37" s="1"/>
  <c r="BQ264" i="37" s="1"/>
  <c r="BM166" i="37"/>
  <c r="BN166" i="37" s="1"/>
  <c r="BO166" i="37" s="1"/>
  <c r="BQ166" i="37" s="1"/>
  <c r="BM216" i="37"/>
  <c r="BN216" i="37" s="1"/>
  <c r="BO216" i="37" s="1"/>
  <c r="BQ216" i="37" s="1"/>
  <c r="BM196" i="37"/>
  <c r="BN196" i="37" s="1"/>
  <c r="BO196" i="37" s="1"/>
  <c r="BQ196" i="37" s="1"/>
  <c r="BM171" i="37"/>
  <c r="BN171" i="37" s="1"/>
  <c r="BO171" i="37" s="1"/>
  <c r="BQ171" i="37" s="1"/>
  <c r="BW46" i="37"/>
  <c r="BX46" i="37" s="1"/>
  <c r="BY46" i="37" s="1"/>
  <c r="CA46" i="37" s="1"/>
  <c r="DK52" i="37"/>
  <c r="DL52" i="37" s="1"/>
  <c r="DM52" i="37" s="1"/>
  <c r="DO52" i="37" s="1"/>
  <c r="DK88" i="37"/>
  <c r="DL88" i="37" s="1"/>
  <c r="DM88" i="37" s="1"/>
  <c r="DO88" i="37" s="1"/>
  <c r="EE91" i="37"/>
  <c r="EF91" i="37" s="1"/>
  <c r="EG91" i="37" s="1"/>
  <c r="EI91" i="37" s="1"/>
  <c r="BC95" i="37"/>
  <c r="BD95" i="37" s="1"/>
  <c r="BE95" i="37" s="1"/>
  <c r="BG95" i="37" s="1"/>
  <c r="BW98" i="37"/>
  <c r="BX98" i="37" s="1"/>
  <c r="BY98" i="37" s="1"/>
  <c r="CA98" i="37" s="1"/>
  <c r="CQ101" i="37"/>
  <c r="CR101" i="37" s="1"/>
  <c r="CS101" i="37" s="1"/>
  <c r="CU101" i="37" s="1"/>
  <c r="DK104" i="37"/>
  <c r="DL104" i="37" s="1"/>
  <c r="DM104" i="37" s="1"/>
  <c r="DO104" i="37" s="1"/>
  <c r="CG107" i="37"/>
  <c r="CH107" i="37" s="1"/>
  <c r="CI107" i="37" s="1"/>
  <c r="CK107" i="37" s="1"/>
  <c r="EO108" i="37"/>
  <c r="EP108" i="37" s="1"/>
  <c r="EQ108" i="37" s="1"/>
  <c r="ES108" i="37" s="1"/>
  <c r="DA110" i="37"/>
  <c r="DB110" i="37" s="1"/>
  <c r="DC110" i="37" s="1"/>
  <c r="DE110" i="37" s="1"/>
  <c r="BM112" i="37"/>
  <c r="BN112" i="37" s="1"/>
  <c r="BO112" i="37" s="1"/>
  <c r="BQ112" i="37" s="1"/>
  <c r="DU113" i="37"/>
  <c r="DV113" i="37" s="1"/>
  <c r="DW113" i="37" s="1"/>
  <c r="DY113" i="37" s="1"/>
  <c r="CG115" i="37"/>
  <c r="CH115" i="37" s="1"/>
  <c r="CI115" i="37" s="1"/>
  <c r="CK115" i="37" s="1"/>
  <c r="EO116" i="37"/>
  <c r="EP116" i="37" s="1"/>
  <c r="EQ116" i="37" s="1"/>
  <c r="ES116" i="37" s="1"/>
  <c r="DA118" i="37"/>
  <c r="DB118" i="37" s="1"/>
  <c r="DC118" i="37" s="1"/>
  <c r="DE118" i="37" s="1"/>
  <c r="BM120" i="37"/>
  <c r="BN120" i="37" s="1"/>
  <c r="BO120" i="37" s="1"/>
  <c r="BQ120" i="37" s="1"/>
  <c r="DU9" i="37"/>
  <c r="DV9" i="37" s="1"/>
  <c r="DW9" i="37" s="1"/>
  <c r="DY9" i="37" s="1"/>
  <c r="EO331" i="37"/>
  <c r="EP331" i="37" s="1"/>
  <c r="EQ331" i="37" s="1"/>
  <c r="ES331" i="37" s="1"/>
  <c r="EO315" i="37"/>
  <c r="EP315" i="37" s="1"/>
  <c r="EQ315" i="37" s="1"/>
  <c r="ES315" i="37" s="1"/>
  <c r="EO299" i="37"/>
  <c r="EP299" i="37" s="1"/>
  <c r="EQ299" i="37" s="1"/>
  <c r="ES299" i="37" s="1"/>
  <c r="EO283" i="37"/>
  <c r="EP283" i="37" s="1"/>
  <c r="EQ283" i="37" s="1"/>
  <c r="ES283" i="37" s="1"/>
  <c r="EO267" i="37"/>
  <c r="EP267" i="37" s="1"/>
  <c r="EQ267" i="37" s="1"/>
  <c r="ES267" i="37" s="1"/>
  <c r="EO168" i="37"/>
  <c r="EP168" i="37" s="1"/>
  <c r="EQ168" i="37" s="1"/>
  <c r="ES168" i="37" s="1"/>
  <c r="EO218" i="37"/>
  <c r="EP218" i="37" s="1"/>
  <c r="EQ218" i="37" s="1"/>
  <c r="ES218" i="37" s="1"/>
  <c r="EO201" i="37"/>
  <c r="EP201" i="37" s="1"/>
  <c r="EQ201" i="37" s="1"/>
  <c r="ES201" i="37" s="1"/>
  <c r="EO174" i="37"/>
  <c r="EP174" i="37" s="1"/>
  <c r="EQ174" i="37" s="1"/>
  <c r="ES174" i="37" s="1"/>
  <c r="DU335" i="37"/>
  <c r="DV335" i="37" s="1"/>
  <c r="DW335" i="37" s="1"/>
  <c r="DY335" i="37" s="1"/>
  <c r="DU319" i="37"/>
  <c r="DV319" i="37" s="1"/>
  <c r="DW319" i="37" s="1"/>
  <c r="DY319" i="37" s="1"/>
  <c r="DU303" i="37"/>
  <c r="DV303" i="37" s="1"/>
  <c r="DW303" i="37" s="1"/>
  <c r="DY303" i="37" s="1"/>
  <c r="DU287" i="37"/>
  <c r="DV287" i="37" s="1"/>
  <c r="DW287" i="37" s="1"/>
  <c r="DY287" i="37" s="1"/>
  <c r="DU271" i="37"/>
  <c r="DV271" i="37" s="1"/>
  <c r="DW271" i="37" s="1"/>
  <c r="DY271" i="37" s="1"/>
  <c r="DU172" i="37"/>
  <c r="DV172" i="37" s="1"/>
  <c r="DW172" i="37" s="1"/>
  <c r="DY172" i="37" s="1"/>
  <c r="DU211" i="37"/>
  <c r="DV211" i="37" s="1"/>
  <c r="DW211" i="37" s="1"/>
  <c r="DY211" i="37" s="1"/>
  <c r="DU195" i="37"/>
  <c r="DV195" i="37" s="1"/>
  <c r="DW195" i="37" s="1"/>
  <c r="DY195" i="37" s="1"/>
  <c r="DU121" i="37"/>
  <c r="DV121" i="37" s="1"/>
  <c r="DW121" i="37" s="1"/>
  <c r="DY121" i="37" s="1"/>
  <c r="DA331" i="37"/>
  <c r="DB331" i="37" s="1"/>
  <c r="DC331" i="37" s="1"/>
  <c r="DE331" i="37" s="1"/>
  <c r="DA315" i="37"/>
  <c r="DB315" i="37" s="1"/>
  <c r="DC315" i="37" s="1"/>
  <c r="DE315" i="37" s="1"/>
  <c r="DA299" i="37"/>
  <c r="DB299" i="37" s="1"/>
  <c r="DC299" i="37" s="1"/>
  <c r="DE299" i="37" s="1"/>
  <c r="DA283" i="37"/>
  <c r="DB283" i="37" s="1"/>
  <c r="DC283" i="37" s="1"/>
  <c r="DE283" i="37" s="1"/>
  <c r="DA267" i="37"/>
  <c r="DB267" i="37" s="1"/>
  <c r="DC267" i="37" s="1"/>
  <c r="DE267" i="37" s="1"/>
  <c r="DA166" i="37"/>
  <c r="DB166" i="37" s="1"/>
  <c r="DC166" i="37" s="1"/>
  <c r="DE166" i="37" s="1"/>
  <c r="DA216" i="37"/>
  <c r="DB216" i="37" s="1"/>
  <c r="DC216" i="37" s="1"/>
  <c r="DE216" i="37" s="1"/>
  <c r="DA183" i="37"/>
  <c r="DB183" i="37" s="1"/>
  <c r="DC183" i="37" s="1"/>
  <c r="DE183" i="37" s="1"/>
  <c r="CQ271" i="37"/>
  <c r="CR271" i="37" s="1"/>
  <c r="CS271" i="37" s="1"/>
  <c r="CU271" i="37" s="1"/>
  <c r="CQ208" i="37"/>
  <c r="CR208" i="37" s="1"/>
  <c r="CS208" i="37" s="1"/>
  <c r="CU208" i="37" s="1"/>
  <c r="CQ156" i="37"/>
  <c r="CR156" i="37" s="1"/>
  <c r="CS156" i="37" s="1"/>
  <c r="CU156" i="37" s="1"/>
  <c r="BC272" i="37"/>
  <c r="BD272" i="37" s="1"/>
  <c r="BE272" i="37" s="1"/>
  <c r="BG272" i="37" s="1"/>
  <c r="BC204" i="37"/>
  <c r="BD204" i="37" s="1"/>
  <c r="BE204" i="37" s="1"/>
  <c r="BG204" i="37" s="1"/>
  <c r="BC159" i="37"/>
  <c r="BD159" i="37" s="1"/>
  <c r="BE159" i="37" s="1"/>
  <c r="BG159" i="37" s="1"/>
  <c r="DK280" i="37"/>
  <c r="DL280" i="37" s="1"/>
  <c r="DM280" i="37" s="1"/>
  <c r="DO280" i="37" s="1"/>
  <c r="DK213" i="37"/>
  <c r="DL213" i="37" s="1"/>
  <c r="DM213" i="37" s="1"/>
  <c r="DO213" i="37" s="1"/>
  <c r="DK159" i="37"/>
  <c r="DL159" i="37" s="1"/>
  <c r="DM159" i="37" s="1"/>
  <c r="DO159" i="37" s="1"/>
  <c r="CG310" i="37"/>
  <c r="CH310" i="37" s="1"/>
  <c r="CI310" i="37" s="1"/>
  <c r="CK310" i="37" s="1"/>
  <c r="CG270" i="37"/>
  <c r="CH270" i="37" s="1"/>
  <c r="CI270" i="37" s="1"/>
  <c r="CK270" i="37" s="1"/>
  <c r="CG216" i="37"/>
  <c r="CH216" i="37" s="1"/>
  <c r="CI216" i="37" s="1"/>
  <c r="CK216" i="37" s="1"/>
  <c r="BW295" i="37"/>
  <c r="BX295" i="37" s="1"/>
  <c r="BY295" i="37" s="1"/>
  <c r="CA295" i="37" s="1"/>
  <c r="BW265" i="37"/>
  <c r="BX265" i="37" s="1"/>
  <c r="BY265" i="37" s="1"/>
  <c r="CA265" i="37" s="1"/>
  <c r="BW174" i="37"/>
  <c r="BX174" i="37" s="1"/>
  <c r="BY174" i="37" s="1"/>
  <c r="CA174" i="37" s="1"/>
  <c r="BM333" i="37"/>
  <c r="BN333" i="37" s="1"/>
  <c r="BO333" i="37" s="1"/>
  <c r="BQ333" i="37" s="1"/>
  <c r="BM293" i="37"/>
  <c r="BN293" i="37" s="1"/>
  <c r="BO293" i="37" s="1"/>
  <c r="BQ293" i="37" s="1"/>
  <c r="BM167" i="37"/>
  <c r="BN167" i="37" s="1"/>
  <c r="BO167" i="37" s="1"/>
  <c r="BQ167" i="37" s="1"/>
  <c r="BM193" i="37"/>
  <c r="BN193" i="37" s="1"/>
  <c r="BO193" i="37" s="1"/>
  <c r="BQ193" i="37" s="1"/>
  <c r="BC319" i="37"/>
  <c r="BD319" i="37" s="1"/>
  <c r="BE319" i="37" s="1"/>
  <c r="BG319" i="37" s="1"/>
  <c r="CQ325" i="37"/>
  <c r="CR325" i="37" s="1"/>
  <c r="CS325" i="37" s="1"/>
  <c r="CU325" i="37" s="1"/>
  <c r="CQ333" i="37"/>
  <c r="CR333" i="37" s="1"/>
  <c r="CS333" i="37" s="1"/>
  <c r="CU333" i="37" s="1"/>
  <c r="EE339" i="37"/>
  <c r="EF339" i="37" s="1"/>
  <c r="EG339" i="37" s="1"/>
  <c r="EI339" i="37" s="1"/>
  <c r="DU347" i="37"/>
  <c r="DV347" i="37" s="1"/>
  <c r="DW347" i="37" s="1"/>
  <c r="DY347" i="37" s="1"/>
  <c r="DK39" i="37"/>
  <c r="DL39" i="37" s="1"/>
  <c r="DM39" i="37" s="1"/>
  <c r="DO39" i="37" s="1"/>
  <c r="DK47" i="37"/>
  <c r="DL47" i="37" s="1"/>
  <c r="DM47" i="37" s="1"/>
  <c r="DO47" i="37" s="1"/>
  <c r="DK91" i="37"/>
  <c r="DL91" i="37" s="1"/>
  <c r="DM91" i="37" s="1"/>
  <c r="DO91" i="37" s="1"/>
  <c r="DK99" i="37"/>
  <c r="DL99" i="37" s="1"/>
  <c r="DM99" i="37" s="1"/>
  <c r="DO99" i="37" s="1"/>
  <c r="EO105" i="37"/>
  <c r="EP105" i="37" s="1"/>
  <c r="EQ105" i="37" s="1"/>
  <c r="ES105" i="37" s="1"/>
  <c r="CQ110" i="37"/>
  <c r="CR110" i="37" s="1"/>
  <c r="CS110" i="37" s="1"/>
  <c r="CU110" i="37" s="1"/>
  <c r="DK113" i="37"/>
  <c r="DL113" i="37" s="1"/>
  <c r="DM113" i="37" s="1"/>
  <c r="DO113" i="37" s="1"/>
  <c r="EE116" i="37"/>
  <c r="EF116" i="37" s="1"/>
  <c r="EG116" i="37" s="1"/>
  <c r="EI116" i="37" s="1"/>
  <c r="BC120" i="37"/>
  <c r="BD120" i="37" s="1"/>
  <c r="BE120" i="37" s="1"/>
  <c r="BG120" i="37" s="1"/>
  <c r="EO324" i="37"/>
  <c r="EP324" i="37" s="1"/>
  <c r="EQ324" i="37" s="1"/>
  <c r="ES324" i="37" s="1"/>
  <c r="EO284" i="37"/>
  <c r="EP284" i="37" s="1"/>
  <c r="EQ284" i="37" s="1"/>
  <c r="ES284" i="37" s="1"/>
  <c r="EO169" i="37"/>
  <c r="EP169" i="37" s="1"/>
  <c r="EQ169" i="37" s="1"/>
  <c r="ES169" i="37" s="1"/>
  <c r="EO202" i="37"/>
  <c r="EP202" i="37" s="1"/>
  <c r="EQ202" i="37" s="1"/>
  <c r="ES202" i="37" s="1"/>
  <c r="DU326" i="37"/>
  <c r="DV326" i="37" s="1"/>
  <c r="DW326" i="37" s="1"/>
  <c r="DY326" i="37" s="1"/>
  <c r="DU294" i="37"/>
  <c r="DV294" i="37" s="1"/>
  <c r="DW294" i="37" s="1"/>
  <c r="DY294" i="37" s="1"/>
  <c r="DU262" i="37"/>
  <c r="DV262" i="37" s="1"/>
  <c r="DW262" i="37" s="1"/>
  <c r="DY262" i="37" s="1"/>
  <c r="DU214" i="37"/>
  <c r="DV214" i="37" s="1"/>
  <c r="DW214" i="37" s="1"/>
  <c r="DY214" i="37" s="1"/>
  <c r="DU194" i="37"/>
  <c r="DV194" i="37" s="1"/>
  <c r="DW194" i="37" s="1"/>
  <c r="DY194" i="37" s="1"/>
  <c r="DA344" i="37"/>
  <c r="DB344" i="37" s="1"/>
  <c r="DC344" i="37" s="1"/>
  <c r="DE344" i="37" s="1"/>
  <c r="DA328" i="37"/>
  <c r="DB328" i="37" s="1"/>
  <c r="DC328" i="37" s="1"/>
  <c r="DE328" i="37" s="1"/>
  <c r="DA312" i="37"/>
  <c r="DB312" i="37" s="1"/>
  <c r="DC312" i="37" s="1"/>
  <c r="DE312" i="37" s="1"/>
  <c r="DA292" i="37"/>
  <c r="DB292" i="37" s="1"/>
  <c r="DC292" i="37" s="1"/>
  <c r="DE292" i="37" s="1"/>
  <c r="DA276" i="37"/>
  <c r="DB276" i="37" s="1"/>
  <c r="DC276" i="37" s="1"/>
  <c r="DE276" i="37" s="1"/>
  <c r="DA184" i="37"/>
  <c r="DB184" i="37" s="1"/>
  <c r="DC184" i="37" s="1"/>
  <c r="DE184" i="37" s="1"/>
  <c r="DA123" i="37"/>
  <c r="DB123" i="37" s="1"/>
  <c r="DC123" i="37" s="1"/>
  <c r="DE123" i="37" s="1"/>
  <c r="DA201" i="37"/>
  <c r="DB201" i="37" s="1"/>
  <c r="DC201" i="37" s="1"/>
  <c r="DE201" i="37" s="1"/>
  <c r="DA172" i="37"/>
  <c r="DB172" i="37" s="1"/>
  <c r="DC172" i="37" s="1"/>
  <c r="DE172" i="37" s="1"/>
  <c r="CQ292" i="37"/>
  <c r="CR292" i="37" s="1"/>
  <c r="CS292" i="37" s="1"/>
  <c r="CU292" i="37" s="1"/>
  <c r="CQ274" i="37"/>
  <c r="CR274" i="37" s="1"/>
  <c r="CS274" i="37" s="1"/>
  <c r="CU274" i="37" s="1"/>
  <c r="CQ181" i="37"/>
  <c r="CR181" i="37" s="1"/>
  <c r="CS181" i="37" s="1"/>
  <c r="CU181" i="37" s="1"/>
  <c r="CQ211" i="37"/>
  <c r="CR211" i="37" s="1"/>
  <c r="CS211" i="37" s="1"/>
  <c r="CU211" i="37" s="1"/>
  <c r="CQ182" i="37"/>
  <c r="CR182" i="37" s="1"/>
  <c r="CS182" i="37" s="1"/>
  <c r="CU182" i="37" s="1"/>
  <c r="CQ163" i="37"/>
  <c r="CR163" i="37" s="1"/>
  <c r="CS163" i="37" s="1"/>
  <c r="CU163" i="37" s="1"/>
  <c r="BC296" i="37"/>
  <c r="BD296" i="37" s="1"/>
  <c r="BE296" i="37" s="1"/>
  <c r="BG296" i="37" s="1"/>
  <c r="BC311" i="37"/>
  <c r="BD311" i="37" s="1"/>
  <c r="BE311" i="37" s="1"/>
  <c r="BG311" i="37" s="1"/>
  <c r="BC263" i="37"/>
  <c r="BD263" i="37" s="1"/>
  <c r="BE263" i="37" s="1"/>
  <c r="BG263" i="37" s="1"/>
  <c r="BC221" i="37"/>
  <c r="BD221" i="37" s="1"/>
  <c r="BE221" i="37" s="1"/>
  <c r="BG221" i="37" s="1"/>
  <c r="BC203" i="37"/>
  <c r="BD203" i="37" s="1"/>
  <c r="BE203" i="37" s="1"/>
  <c r="BG203" i="37" s="1"/>
  <c r="BC177" i="37"/>
  <c r="BD177" i="37" s="1"/>
  <c r="BE177" i="37" s="1"/>
  <c r="BG177" i="37" s="1"/>
  <c r="BC158" i="37"/>
  <c r="BD158" i="37" s="1"/>
  <c r="BE158" i="37" s="1"/>
  <c r="BG158" i="37" s="1"/>
  <c r="EE105" i="37"/>
  <c r="EF105" i="37" s="1"/>
  <c r="EG105" i="37" s="1"/>
  <c r="EI105" i="37" s="1"/>
  <c r="DK289" i="37"/>
  <c r="DL289" i="37" s="1"/>
  <c r="DM289" i="37" s="1"/>
  <c r="DO289" i="37" s="1"/>
  <c r="DK275" i="37"/>
  <c r="DL275" i="37" s="1"/>
  <c r="DM275" i="37" s="1"/>
  <c r="DO275" i="37" s="1"/>
  <c r="DK182" i="37"/>
  <c r="DL182" i="37" s="1"/>
  <c r="DM182" i="37" s="1"/>
  <c r="DO182" i="37" s="1"/>
  <c r="DK210" i="37"/>
  <c r="DL210" i="37" s="1"/>
  <c r="DM210" i="37" s="1"/>
  <c r="DO210" i="37" s="1"/>
  <c r="DK194" i="37"/>
  <c r="DL194" i="37" s="1"/>
  <c r="DM194" i="37" s="1"/>
  <c r="DO194" i="37" s="1"/>
  <c r="DK164" i="37"/>
  <c r="DL164" i="37" s="1"/>
  <c r="DM164" i="37" s="1"/>
  <c r="DO164" i="37" s="1"/>
  <c r="CG337" i="37"/>
  <c r="CH337" i="37" s="1"/>
  <c r="CI337" i="37" s="1"/>
  <c r="CK337" i="37" s="1"/>
  <c r="CG321" i="37"/>
  <c r="CH321" i="37" s="1"/>
  <c r="CI321" i="37" s="1"/>
  <c r="CK321" i="37" s="1"/>
  <c r="CG305" i="37"/>
  <c r="CH305" i="37" s="1"/>
  <c r="CI305" i="37" s="1"/>
  <c r="CK305" i="37" s="1"/>
  <c r="CG289" i="37"/>
  <c r="CH289" i="37" s="1"/>
  <c r="CI289" i="37" s="1"/>
  <c r="CK289" i="37" s="1"/>
  <c r="CG269" i="37"/>
  <c r="CH269" i="37" s="1"/>
  <c r="CI269" i="37" s="1"/>
  <c r="CK269" i="37" s="1"/>
  <c r="CG167" i="37"/>
  <c r="CH167" i="37" s="1"/>
  <c r="CI167" i="37" s="1"/>
  <c r="CK167" i="37" s="1"/>
  <c r="CG211" i="37"/>
  <c r="CH211" i="37" s="1"/>
  <c r="CI211" i="37" s="1"/>
  <c r="CK211" i="37" s="1"/>
  <c r="CG195" i="37"/>
  <c r="CH195" i="37" s="1"/>
  <c r="CI195" i="37" s="1"/>
  <c r="CK195" i="37" s="1"/>
  <c r="BW306" i="37"/>
  <c r="BX306" i="37" s="1"/>
  <c r="BY306" i="37" s="1"/>
  <c r="CA306" i="37" s="1"/>
  <c r="BW286" i="37"/>
  <c r="BX286" i="37" s="1"/>
  <c r="BY286" i="37" s="1"/>
  <c r="CA286" i="37" s="1"/>
  <c r="BW268" i="37"/>
  <c r="BX268" i="37" s="1"/>
  <c r="BY268" i="37" s="1"/>
  <c r="CA268" i="37" s="1"/>
  <c r="BW308" i="37"/>
  <c r="BX308" i="37" s="1"/>
  <c r="BY308" i="37" s="1"/>
  <c r="CA308" i="37" s="1"/>
  <c r="BW201" i="37"/>
  <c r="BX201" i="37" s="1"/>
  <c r="BY201" i="37" s="1"/>
  <c r="CA201" i="37" s="1"/>
  <c r="BW172" i="37"/>
  <c r="BX172" i="37" s="1"/>
  <c r="BY172" i="37" s="1"/>
  <c r="CA172" i="37" s="1"/>
  <c r="BW125" i="37"/>
  <c r="BX125" i="37" s="1"/>
  <c r="BY125" i="37" s="1"/>
  <c r="CA125" i="37" s="1"/>
  <c r="BM328" i="37"/>
  <c r="BN328" i="37" s="1"/>
  <c r="BO328" i="37" s="1"/>
  <c r="BQ328" i="37" s="1"/>
  <c r="BM312" i="37"/>
  <c r="BN312" i="37" s="1"/>
  <c r="BO312" i="37" s="1"/>
  <c r="BQ312" i="37" s="1"/>
  <c r="BM292" i="37"/>
  <c r="BN292" i="37" s="1"/>
  <c r="BO292" i="37" s="1"/>
  <c r="BQ292" i="37" s="1"/>
  <c r="BM276" i="37"/>
  <c r="BN276" i="37" s="1"/>
  <c r="BO276" i="37" s="1"/>
  <c r="BQ276" i="37" s="1"/>
  <c r="BM184" i="37"/>
  <c r="BN184" i="37" s="1"/>
  <c r="BO184" i="37" s="1"/>
  <c r="BQ184" i="37" s="1"/>
  <c r="BM121" i="37"/>
  <c r="BN121" i="37" s="1"/>
  <c r="BO121" i="37" s="1"/>
  <c r="BQ121" i="37" s="1"/>
  <c r="BM208" i="37"/>
  <c r="BN208" i="37" s="1"/>
  <c r="BO208" i="37" s="1"/>
  <c r="BQ208" i="37" s="1"/>
  <c r="BM177" i="37"/>
  <c r="BN177" i="37" s="1"/>
  <c r="BO177" i="37" s="1"/>
  <c r="BQ177" i="37" s="1"/>
  <c r="CQ8" i="37"/>
  <c r="CR8" i="37" s="1"/>
  <c r="CS8" i="37" s="1"/>
  <c r="CU8" i="37" s="1"/>
  <c r="DA8" i="37"/>
  <c r="DB8" i="37" s="1"/>
  <c r="DC8" i="37" s="1"/>
  <c r="DE8" i="37" s="1"/>
  <c r="EE8" i="37"/>
  <c r="EF8" i="37" s="1"/>
  <c r="EG8" i="37" s="1"/>
  <c r="EI8" i="37" s="1"/>
  <c r="DK8" i="37"/>
  <c r="DL8" i="37" s="1"/>
  <c r="DM8" i="37" s="1"/>
  <c r="DO8" i="37" s="1"/>
  <c r="BC8" i="37"/>
  <c r="BD8" i="37" s="1"/>
  <c r="BE8" i="37" s="1"/>
  <c r="BG8" i="37" s="1"/>
  <c r="DU8" i="38"/>
  <c r="DV8" i="38" s="1"/>
  <c r="DW8" i="38" s="1"/>
  <c r="DY8" i="38" s="1"/>
  <c r="DK8" i="38"/>
  <c r="DL8" i="38" s="1"/>
  <c r="DM8" i="38" s="1"/>
  <c r="DO8" i="38" s="1"/>
  <c r="EE8" i="38"/>
  <c r="EF8" i="38" s="1"/>
  <c r="EG8" i="38" s="1"/>
  <c r="EI8" i="38" s="1"/>
  <c r="DA8" i="38"/>
  <c r="DB8" i="38" s="1"/>
  <c r="DC8" i="38" s="1"/>
  <c r="DE8" i="38" s="1"/>
  <c r="CG8" i="38"/>
  <c r="CH8" i="38" s="1"/>
  <c r="CI8" i="38" s="1"/>
  <c r="CK8" i="38" s="1"/>
  <c r="AI269" i="37"/>
  <c r="AJ269" i="37" s="1"/>
  <c r="AK269" i="37" s="1"/>
  <c r="AM269" i="37" s="1"/>
  <c r="AI290" i="37"/>
  <c r="AJ290" i="37" s="1"/>
  <c r="AK290" i="37" s="1"/>
  <c r="AM290" i="37" s="1"/>
  <c r="AI317" i="37"/>
  <c r="AJ317" i="37" s="1"/>
  <c r="AK317" i="37" s="1"/>
  <c r="AM317" i="37" s="1"/>
  <c r="AI332" i="37"/>
  <c r="AJ332" i="37" s="1"/>
  <c r="AK332" i="37" s="1"/>
  <c r="AM332" i="37" s="1"/>
  <c r="AI307" i="37"/>
  <c r="AJ307" i="37" s="1"/>
  <c r="AK307" i="37" s="1"/>
  <c r="AM307" i="37" s="1"/>
  <c r="AI316" i="37"/>
  <c r="AJ316" i="37" s="1"/>
  <c r="AK316" i="37" s="1"/>
  <c r="AM316" i="37" s="1"/>
  <c r="AI304" i="37"/>
  <c r="AJ304" i="37" s="1"/>
  <c r="AK304" i="37" s="1"/>
  <c r="AM304" i="37" s="1"/>
  <c r="AI284" i="37"/>
  <c r="AJ284" i="37" s="1"/>
  <c r="AK284" i="37" s="1"/>
  <c r="AM284" i="37" s="1"/>
  <c r="AI275" i="37"/>
  <c r="AJ275" i="37" s="1"/>
  <c r="AK275" i="37" s="1"/>
  <c r="AM275" i="37" s="1"/>
  <c r="AI296" i="37"/>
  <c r="AJ296" i="37" s="1"/>
  <c r="AK296" i="37" s="1"/>
  <c r="AM296" i="37" s="1"/>
  <c r="AI323" i="37"/>
  <c r="AJ323" i="37" s="1"/>
  <c r="AK323" i="37" s="1"/>
  <c r="AM323" i="37" s="1"/>
  <c r="AI344" i="37"/>
  <c r="AJ344" i="37" s="1"/>
  <c r="AK344" i="37" s="1"/>
  <c r="AM344" i="37" s="1"/>
  <c r="AI346" i="37"/>
  <c r="AJ346" i="37" s="1"/>
  <c r="AK346" i="37" s="1"/>
  <c r="AM346" i="37" s="1"/>
  <c r="AI343" i="37"/>
  <c r="AJ343" i="37" s="1"/>
  <c r="AK343" i="37" s="1"/>
  <c r="AM343" i="37" s="1"/>
  <c r="AI345" i="37"/>
  <c r="AJ345" i="37" s="1"/>
  <c r="AK345" i="37" s="1"/>
  <c r="AM345" i="37" s="1"/>
  <c r="AI310" i="37"/>
  <c r="AJ310" i="37" s="1"/>
  <c r="AK310" i="37" s="1"/>
  <c r="AM310" i="37" s="1"/>
  <c r="AI297" i="37"/>
  <c r="AJ297" i="37" s="1"/>
  <c r="AK297" i="37" s="1"/>
  <c r="AM297" i="37" s="1"/>
  <c r="O269" i="37"/>
  <c r="P269" i="37" s="1"/>
  <c r="Q269" i="37" s="1"/>
  <c r="S269" i="37" s="1"/>
  <c r="O284" i="37"/>
  <c r="P284" i="37" s="1"/>
  <c r="Q284" i="37" s="1"/>
  <c r="S284" i="37" s="1"/>
  <c r="O313" i="37"/>
  <c r="P313" i="37" s="1"/>
  <c r="Q313" i="37" s="1"/>
  <c r="S313" i="37" s="1"/>
  <c r="O309" i="37"/>
  <c r="P309" i="37" s="1"/>
  <c r="Q309" i="37" s="1"/>
  <c r="S309" i="37" s="1"/>
  <c r="O334" i="37"/>
  <c r="P334" i="37" s="1"/>
  <c r="Q334" i="37" s="1"/>
  <c r="S334" i="37" s="1"/>
  <c r="O311" i="37"/>
  <c r="P311" i="37" s="1"/>
  <c r="Q311" i="37" s="1"/>
  <c r="S311" i="37" s="1"/>
  <c r="O274" i="37"/>
  <c r="P274" i="37" s="1"/>
  <c r="Q274" i="37" s="1"/>
  <c r="S274" i="37" s="1"/>
  <c r="O270" i="37"/>
  <c r="P270" i="37" s="1"/>
  <c r="Q270" i="37" s="1"/>
  <c r="S270" i="37" s="1"/>
  <c r="O314" i="37"/>
  <c r="P314" i="37" s="1"/>
  <c r="Q314" i="37" s="1"/>
  <c r="S314" i="37" s="1"/>
  <c r="O277" i="37"/>
  <c r="P277" i="37" s="1"/>
  <c r="Q277" i="37" s="1"/>
  <c r="S277" i="37" s="1"/>
  <c r="AI306" i="37"/>
  <c r="AJ306" i="37" s="1"/>
  <c r="AK306" i="37" s="1"/>
  <c r="AM306" i="37" s="1"/>
  <c r="AI293" i="37"/>
  <c r="AJ293" i="37" s="1"/>
  <c r="AK293" i="37" s="1"/>
  <c r="AM293" i="37" s="1"/>
  <c r="O271" i="37"/>
  <c r="P271" i="37" s="1"/>
  <c r="Q271" i="37" s="1"/>
  <c r="S271" i="37" s="1"/>
  <c r="O286" i="37"/>
  <c r="P286" i="37" s="1"/>
  <c r="Q286" i="37" s="1"/>
  <c r="S286" i="37" s="1"/>
  <c r="O315" i="37"/>
  <c r="P315" i="37" s="1"/>
  <c r="Q315" i="37" s="1"/>
  <c r="S315" i="37" s="1"/>
  <c r="O328" i="37"/>
  <c r="P328" i="37" s="1"/>
  <c r="Q328" i="37" s="1"/>
  <c r="S328" i="37" s="1"/>
  <c r="O342" i="37"/>
  <c r="P342" i="37" s="1"/>
  <c r="Q342" i="37" s="1"/>
  <c r="S342" i="37" s="1"/>
  <c r="O347" i="37"/>
  <c r="P347" i="37" s="1"/>
  <c r="Q347" i="37" s="1"/>
  <c r="S347" i="37" s="1"/>
  <c r="O343" i="37"/>
  <c r="P343" i="37" s="1"/>
  <c r="Q343" i="37" s="1"/>
  <c r="S343" i="37" s="1"/>
  <c r="O345" i="37"/>
  <c r="P345" i="37" s="1"/>
  <c r="Q345" i="37" s="1"/>
  <c r="S345" i="37" s="1"/>
  <c r="O310" i="37"/>
  <c r="P310" i="37" s="1"/>
  <c r="Q310" i="37" s="1"/>
  <c r="S310" i="37" s="1"/>
  <c r="O272" i="37"/>
  <c r="P272" i="37" s="1"/>
  <c r="Q272" i="37" s="1"/>
  <c r="S272" i="37" s="1"/>
  <c r="E342" i="37"/>
  <c r="F342" i="37" s="1"/>
  <c r="G342" i="37" s="1"/>
  <c r="I342" i="37" s="1"/>
  <c r="E311" i="37"/>
  <c r="F311" i="37" s="1"/>
  <c r="G311" i="37" s="1"/>
  <c r="I311" i="37" s="1"/>
  <c r="E346" i="37"/>
  <c r="F346" i="37" s="1"/>
  <c r="G346" i="37" s="1"/>
  <c r="I346" i="37" s="1"/>
  <c r="E315" i="37"/>
  <c r="F315" i="37" s="1"/>
  <c r="G315" i="37" s="1"/>
  <c r="I315" i="37" s="1"/>
  <c r="E344" i="37"/>
  <c r="F344" i="37" s="1"/>
  <c r="G344" i="37" s="1"/>
  <c r="I344" i="37" s="1"/>
  <c r="E328" i="37"/>
  <c r="F328" i="37" s="1"/>
  <c r="G328" i="37" s="1"/>
  <c r="I328" i="37" s="1"/>
  <c r="E310" i="37"/>
  <c r="F310" i="37" s="1"/>
  <c r="G310" i="37" s="1"/>
  <c r="I310" i="37" s="1"/>
  <c r="E289" i="37"/>
  <c r="F289" i="37" s="1"/>
  <c r="G289" i="37" s="1"/>
  <c r="I289" i="37" s="1"/>
  <c r="E295" i="37"/>
  <c r="F295" i="37" s="1"/>
  <c r="G295" i="37" s="1"/>
  <c r="I295" i="37" s="1"/>
  <c r="E275" i="37"/>
  <c r="F275" i="37" s="1"/>
  <c r="G275" i="37" s="1"/>
  <c r="I275" i="37" s="1"/>
  <c r="AS269" i="37"/>
  <c r="AT269" i="37" s="1"/>
  <c r="AU269" i="37" s="1"/>
  <c r="AW269" i="37" s="1"/>
  <c r="AS284" i="37"/>
  <c r="AT284" i="37" s="1"/>
  <c r="AU284" i="37" s="1"/>
  <c r="AW284" i="37" s="1"/>
  <c r="AS275" i="37"/>
  <c r="AT275" i="37" s="1"/>
  <c r="AU275" i="37" s="1"/>
  <c r="AW275" i="37" s="1"/>
  <c r="AS323" i="37"/>
  <c r="AT323" i="37" s="1"/>
  <c r="AU323" i="37" s="1"/>
  <c r="AW323" i="37" s="1"/>
  <c r="AS346" i="37"/>
  <c r="AT346" i="37" s="1"/>
  <c r="AU346" i="37" s="1"/>
  <c r="AW346" i="37" s="1"/>
  <c r="AS347" i="37"/>
  <c r="AT347" i="37" s="1"/>
  <c r="AU347" i="37" s="1"/>
  <c r="AW347" i="37" s="1"/>
  <c r="AS335" i="37"/>
  <c r="AT335" i="37" s="1"/>
  <c r="AU335" i="37" s="1"/>
  <c r="AW335" i="37" s="1"/>
  <c r="AS341" i="37"/>
  <c r="AT341" i="37" s="1"/>
  <c r="AU341" i="37" s="1"/>
  <c r="AW341" i="37" s="1"/>
  <c r="AS310" i="37"/>
  <c r="AT310" i="37" s="1"/>
  <c r="AU310" i="37" s="1"/>
  <c r="AW310" i="37" s="1"/>
  <c r="AS299" i="37"/>
  <c r="AT299" i="37" s="1"/>
  <c r="AU299" i="37" s="1"/>
  <c r="AW299" i="37" s="1"/>
  <c r="Y276" i="37"/>
  <c r="Z276" i="37" s="1"/>
  <c r="AA276" i="37" s="1"/>
  <c r="AC276" i="37" s="1"/>
  <c r="Y273" i="37"/>
  <c r="Z273" i="37" s="1"/>
  <c r="AA273" i="37" s="1"/>
  <c r="AC273" i="37" s="1"/>
  <c r="Y300" i="37"/>
  <c r="Z300" i="37" s="1"/>
  <c r="AA300" i="37" s="1"/>
  <c r="AC300" i="37" s="1"/>
  <c r="Y325" i="37"/>
  <c r="Z325" i="37" s="1"/>
  <c r="AA325" i="37" s="1"/>
  <c r="AC325" i="37" s="1"/>
  <c r="Y346" i="37"/>
  <c r="Z346" i="37" s="1"/>
  <c r="AA346" i="37" s="1"/>
  <c r="AC346" i="37" s="1"/>
  <c r="Y309" i="37"/>
  <c r="Z309" i="37" s="1"/>
  <c r="AA309" i="37" s="1"/>
  <c r="AC309" i="37" s="1"/>
  <c r="Y274" i="37"/>
  <c r="Z274" i="37" s="1"/>
  <c r="AA274" i="37" s="1"/>
  <c r="AC274" i="37" s="1"/>
  <c r="Y270" i="37"/>
  <c r="Z270" i="37" s="1"/>
  <c r="AA270" i="37" s="1"/>
  <c r="AC270" i="37" s="1"/>
  <c r="Y314" i="37"/>
  <c r="Z314" i="37" s="1"/>
  <c r="AA314" i="37" s="1"/>
  <c r="AC314" i="37" s="1"/>
  <c r="Y291" i="37"/>
  <c r="Z291" i="37" s="1"/>
  <c r="AA291" i="37" s="1"/>
  <c r="AC291" i="37" s="1"/>
  <c r="E331" i="37"/>
  <c r="F331" i="37" s="1"/>
  <c r="G331" i="37" s="1"/>
  <c r="I331" i="37" s="1"/>
  <c r="E304" i="37"/>
  <c r="F304" i="37" s="1"/>
  <c r="G304" i="37" s="1"/>
  <c r="I304" i="37" s="1"/>
  <c r="E305" i="37"/>
  <c r="F305" i="37" s="1"/>
  <c r="G305" i="37" s="1"/>
  <c r="I305" i="37" s="1"/>
  <c r="AS271" i="37"/>
  <c r="AT271" i="37" s="1"/>
  <c r="AU271" i="37" s="1"/>
  <c r="AW271" i="37" s="1"/>
  <c r="AS317" i="37"/>
  <c r="AT317" i="37" s="1"/>
  <c r="AU317" i="37" s="1"/>
  <c r="AW317" i="37" s="1"/>
  <c r="AS308" i="37"/>
  <c r="AT308" i="37" s="1"/>
  <c r="AU308" i="37" s="1"/>
  <c r="AW308" i="37" s="1"/>
  <c r="AS306" i="37"/>
  <c r="AT306" i="37" s="1"/>
  <c r="AU306" i="37" s="1"/>
  <c r="AW306" i="37" s="1"/>
  <c r="Y275" i="37"/>
  <c r="Z275" i="37" s="1"/>
  <c r="AA275" i="37" s="1"/>
  <c r="AC275" i="37" s="1"/>
  <c r="Y332" i="37"/>
  <c r="Z332" i="37" s="1"/>
  <c r="AA332" i="37" s="1"/>
  <c r="AC332" i="37" s="1"/>
  <c r="Y312" i="37"/>
  <c r="Z312" i="37" s="1"/>
  <c r="AA312" i="37" s="1"/>
  <c r="AC312" i="37" s="1"/>
  <c r="Y272" i="37"/>
  <c r="Z272" i="37" s="1"/>
  <c r="AA272" i="37" s="1"/>
  <c r="AC272" i="37" s="1"/>
  <c r="AI273" i="37"/>
  <c r="AJ273" i="37" s="1"/>
  <c r="AK273" i="37" s="1"/>
  <c r="AM273" i="37" s="1"/>
  <c r="AI294" i="37"/>
  <c r="AJ294" i="37" s="1"/>
  <c r="AK294" i="37" s="1"/>
  <c r="AM294" i="37" s="1"/>
  <c r="AI321" i="37"/>
  <c r="AJ321" i="37" s="1"/>
  <c r="AK321" i="37" s="1"/>
  <c r="AM321" i="37" s="1"/>
  <c r="AI340" i="37"/>
  <c r="AJ340" i="37" s="1"/>
  <c r="AK340" i="37" s="1"/>
  <c r="AM340" i="37" s="1"/>
  <c r="AI338" i="37"/>
  <c r="AJ338" i="37" s="1"/>
  <c r="AK338" i="37" s="1"/>
  <c r="AM338" i="37" s="1"/>
  <c r="AI301" i="37"/>
  <c r="AJ301" i="37" s="1"/>
  <c r="AK301" i="37" s="1"/>
  <c r="AM301" i="37" s="1"/>
  <c r="AI285" i="37"/>
  <c r="AJ285" i="37" s="1"/>
  <c r="AK285" i="37" s="1"/>
  <c r="AM285" i="37" s="1"/>
  <c r="AI287" i="37"/>
  <c r="AJ287" i="37" s="1"/>
  <c r="AK287" i="37" s="1"/>
  <c r="AM287" i="37" s="1"/>
  <c r="AI278" i="37"/>
  <c r="AJ278" i="37" s="1"/>
  <c r="AK278" i="37" s="1"/>
  <c r="AM278" i="37" s="1"/>
  <c r="AI311" i="37"/>
  <c r="AJ311" i="37" s="1"/>
  <c r="AK311" i="37" s="1"/>
  <c r="AM311" i="37" s="1"/>
  <c r="AI305" i="37"/>
  <c r="AJ305" i="37" s="1"/>
  <c r="AK305" i="37" s="1"/>
  <c r="AM305" i="37" s="1"/>
  <c r="AI326" i="37"/>
  <c r="AJ326" i="37" s="1"/>
  <c r="AK326" i="37" s="1"/>
  <c r="AM326" i="37" s="1"/>
  <c r="AI339" i="37"/>
  <c r="AJ339" i="37" s="1"/>
  <c r="AK339" i="37" s="1"/>
  <c r="AM339" i="37" s="1"/>
  <c r="AI327" i="37"/>
  <c r="AJ327" i="37" s="1"/>
  <c r="AK327" i="37" s="1"/>
  <c r="AM327" i="37" s="1"/>
  <c r="AI337" i="37"/>
  <c r="AJ337" i="37" s="1"/>
  <c r="AK337" i="37" s="1"/>
  <c r="AM337" i="37" s="1"/>
  <c r="AI302" i="37"/>
  <c r="AJ302" i="37" s="1"/>
  <c r="AK302" i="37" s="1"/>
  <c r="AM302" i="37" s="1"/>
  <c r="AI288" i="37"/>
  <c r="AJ288" i="37" s="1"/>
  <c r="AK288" i="37" s="1"/>
  <c r="AM288" i="37" s="1"/>
  <c r="O273" i="37"/>
  <c r="P273" i="37" s="1"/>
  <c r="Q273" i="37" s="1"/>
  <c r="S273" i="37" s="1"/>
  <c r="O287" i="37"/>
  <c r="P287" i="37" s="1"/>
  <c r="Q287" i="37" s="1"/>
  <c r="S287" i="37" s="1"/>
  <c r="O317" i="37"/>
  <c r="P317" i="37" s="1"/>
  <c r="Q317" i="37" s="1"/>
  <c r="S317" i="37" s="1"/>
  <c r="O332" i="37"/>
  <c r="P332" i="37" s="1"/>
  <c r="Q332" i="37" s="1"/>
  <c r="S332" i="37" s="1"/>
  <c r="O307" i="37"/>
  <c r="P307" i="37" s="1"/>
  <c r="Q307" i="37" s="1"/>
  <c r="S307" i="37" s="1"/>
  <c r="O339" i="37"/>
  <c r="P339" i="37" s="1"/>
  <c r="Q339" i="37" s="1"/>
  <c r="S339" i="37" s="1"/>
  <c r="O335" i="37"/>
  <c r="P335" i="37" s="1"/>
  <c r="Q335" i="37" s="1"/>
  <c r="S335" i="37" s="1"/>
  <c r="O341" i="37"/>
  <c r="P341" i="37" s="1"/>
  <c r="Q341" i="37" s="1"/>
  <c r="S341" i="37" s="1"/>
  <c r="O306" i="37"/>
  <c r="P306" i="37" s="1"/>
  <c r="Q306" i="37" s="1"/>
  <c r="S306" i="37" s="1"/>
  <c r="O297" i="37"/>
  <c r="P297" i="37" s="1"/>
  <c r="Q297" i="37" s="1"/>
  <c r="S297" i="37" s="1"/>
  <c r="AI299" i="37"/>
  <c r="AJ299" i="37" s="1"/>
  <c r="AK299" i="37" s="1"/>
  <c r="AM299" i="37" s="1"/>
  <c r="AI281" i="37"/>
  <c r="AJ281" i="37" s="1"/>
  <c r="AK281" i="37" s="1"/>
  <c r="AM281" i="37" s="1"/>
  <c r="O275" i="37"/>
  <c r="P275" i="37" s="1"/>
  <c r="Q275" i="37" s="1"/>
  <c r="S275" i="37" s="1"/>
  <c r="O292" i="37"/>
  <c r="P292" i="37" s="1"/>
  <c r="Q292" i="37" s="1"/>
  <c r="S292" i="37" s="1"/>
  <c r="O319" i="37"/>
  <c r="P319" i="37" s="1"/>
  <c r="Q319" i="37" s="1"/>
  <c r="S319" i="37" s="1"/>
  <c r="O336" i="37"/>
  <c r="P336" i="37" s="1"/>
  <c r="Q336" i="37" s="1"/>
  <c r="S336" i="37" s="1"/>
  <c r="O330" i="37"/>
  <c r="P330" i="37" s="1"/>
  <c r="Q330" i="37" s="1"/>
  <c r="S330" i="37" s="1"/>
  <c r="O331" i="37"/>
  <c r="P331" i="37" s="1"/>
  <c r="Q331" i="37" s="1"/>
  <c r="S331" i="37" s="1"/>
  <c r="O327" i="37"/>
  <c r="P327" i="37" s="1"/>
  <c r="Q327" i="37" s="1"/>
  <c r="S327" i="37" s="1"/>
  <c r="O337" i="37"/>
  <c r="P337" i="37" s="1"/>
  <c r="Q337" i="37" s="1"/>
  <c r="S337" i="37" s="1"/>
  <c r="O302" i="37"/>
  <c r="P302" i="37" s="1"/>
  <c r="Q302" i="37" s="1"/>
  <c r="S302" i="37" s="1"/>
  <c r="O293" i="37"/>
  <c r="P293" i="37" s="1"/>
  <c r="Q293" i="37" s="1"/>
  <c r="S293" i="37" s="1"/>
  <c r="E334" i="37"/>
  <c r="F334" i="37" s="1"/>
  <c r="G334" i="37" s="1"/>
  <c r="I334" i="37" s="1"/>
  <c r="E303" i="37"/>
  <c r="F303" i="37" s="1"/>
  <c r="G303" i="37" s="1"/>
  <c r="I303" i="37" s="1"/>
  <c r="E338" i="37"/>
  <c r="F338" i="37" s="1"/>
  <c r="G338" i="37" s="1"/>
  <c r="I338" i="37" s="1"/>
  <c r="E307" i="37"/>
  <c r="F307" i="37" s="1"/>
  <c r="G307" i="37" s="1"/>
  <c r="I307" i="37" s="1"/>
  <c r="E340" i="37"/>
  <c r="F340" i="37" s="1"/>
  <c r="G340" i="37" s="1"/>
  <c r="I340" i="37" s="1"/>
  <c r="E322" i="37"/>
  <c r="F322" i="37" s="1"/>
  <c r="G322" i="37" s="1"/>
  <c r="I322" i="37" s="1"/>
  <c r="E306" i="37"/>
  <c r="F306" i="37" s="1"/>
  <c r="G306" i="37" s="1"/>
  <c r="I306" i="37" s="1"/>
  <c r="E285" i="37"/>
  <c r="F285" i="37" s="1"/>
  <c r="G285" i="37" s="1"/>
  <c r="I285" i="37" s="1"/>
  <c r="E291" i="37"/>
  <c r="F291" i="37" s="1"/>
  <c r="G291" i="37" s="1"/>
  <c r="I291" i="37" s="1"/>
  <c r="E273" i="37"/>
  <c r="F273" i="37" s="1"/>
  <c r="G273" i="37" s="1"/>
  <c r="I273" i="37" s="1"/>
  <c r="AS273" i="37"/>
  <c r="AT273" i="37" s="1"/>
  <c r="AU273" i="37" s="1"/>
  <c r="AW273" i="37" s="1"/>
  <c r="AS292" i="37"/>
  <c r="AT292" i="37" s="1"/>
  <c r="AU292" i="37" s="1"/>
  <c r="AW292" i="37" s="1"/>
  <c r="AS311" i="37"/>
  <c r="AT311" i="37" s="1"/>
  <c r="AU311" i="37" s="1"/>
  <c r="AW311" i="37" s="1"/>
  <c r="AS307" i="37"/>
  <c r="AT307" i="37" s="1"/>
  <c r="AU307" i="37" s="1"/>
  <c r="AW307" i="37" s="1"/>
  <c r="AS340" i="37"/>
  <c r="AT340" i="37" s="1"/>
  <c r="AU340" i="37" s="1"/>
  <c r="AW340" i="37" s="1"/>
  <c r="AS331" i="37"/>
  <c r="AT331" i="37" s="1"/>
  <c r="AU331" i="37" s="1"/>
  <c r="AW331" i="37" s="1"/>
  <c r="AS320" i="37"/>
  <c r="AT320" i="37" s="1"/>
  <c r="AU320" i="37" s="1"/>
  <c r="AW320" i="37" s="1"/>
  <c r="AS333" i="37"/>
  <c r="AT333" i="37" s="1"/>
  <c r="AU333" i="37" s="1"/>
  <c r="AW333" i="37" s="1"/>
  <c r="AS302" i="37"/>
  <c r="AT302" i="37" s="1"/>
  <c r="AU302" i="37" s="1"/>
  <c r="AW302" i="37" s="1"/>
  <c r="AS291" i="37"/>
  <c r="AT291" i="37" s="1"/>
  <c r="AU291" i="37" s="1"/>
  <c r="AW291" i="37" s="1"/>
  <c r="Y280" i="37"/>
  <c r="Z280" i="37" s="1"/>
  <c r="AA280" i="37" s="1"/>
  <c r="AC280" i="37" s="1"/>
  <c r="Y287" i="37"/>
  <c r="Z287" i="37" s="1"/>
  <c r="AA287" i="37" s="1"/>
  <c r="AC287" i="37" s="1"/>
  <c r="Y313" i="37"/>
  <c r="Z313" i="37" s="1"/>
  <c r="AA313" i="37" s="1"/>
  <c r="AC313" i="37" s="1"/>
  <c r="Y307" i="37"/>
  <c r="Z307" i="37" s="1"/>
  <c r="AA307" i="37" s="1"/>
  <c r="AC307" i="37" s="1"/>
  <c r="Y340" i="37"/>
  <c r="Z340" i="37" s="1"/>
  <c r="AA340" i="37" s="1"/>
  <c r="AC340" i="37" s="1"/>
  <c r="Y339" i="37"/>
  <c r="Z339" i="37" s="1"/>
  <c r="AA339" i="37" s="1"/>
  <c r="AC339" i="37" s="1"/>
  <c r="Y335" i="37"/>
  <c r="Z335" i="37" s="1"/>
  <c r="AA335" i="37" s="1"/>
  <c r="AC335" i="37" s="1"/>
  <c r="Y341" i="37"/>
  <c r="Z341" i="37" s="1"/>
  <c r="AA341" i="37" s="1"/>
  <c r="AC341" i="37" s="1"/>
  <c r="Y306" i="37"/>
  <c r="Z306" i="37" s="1"/>
  <c r="AA306" i="37" s="1"/>
  <c r="AC306" i="37" s="1"/>
  <c r="Y299" i="37"/>
  <c r="Z299" i="37" s="1"/>
  <c r="AA299" i="37" s="1"/>
  <c r="AC299" i="37" s="1"/>
  <c r="O281" i="37"/>
  <c r="P281" i="37" s="1"/>
  <c r="Q281" i="37" s="1"/>
  <c r="S281" i="37" s="1"/>
  <c r="E324" i="37"/>
  <c r="F324" i="37" s="1"/>
  <c r="G324" i="37" s="1"/>
  <c r="I324" i="37" s="1"/>
  <c r="E294" i="37"/>
  <c r="F294" i="37" s="1"/>
  <c r="G294" i="37" s="1"/>
  <c r="I294" i="37" s="1"/>
  <c r="E327" i="37"/>
  <c r="F327" i="37" s="1"/>
  <c r="G327" i="37" s="1"/>
  <c r="I327" i="37" s="1"/>
  <c r="E282" i="37"/>
  <c r="F282" i="37" s="1"/>
  <c r="G282" i="37" s="1"/>
  <c r="I282" i="37" s="1"/>
  <c r="E333" i="37"/>
  <c r="F333" i="37" s="1"/>
  <c r="G333" i="37" s="1"/>
  <c r="I333" i="37" s="1"/>
  <c r="E317" i="37"/>
  <c r="F317" i="37" s="1"/>
  <c r="G317" i="37" s="1"/>
  <c r="I317" i="37" s="1"/>
  <c r="E301" i="37"/>
  <c r="F301" i="37" s="1"/>
  <c r="G301" i="37" s="1"/>
  <c r="I301" i="37" s="1"/>
  <c r="E276" i="37"/>
  <c r="F276" i="37" s="1"/>
  <c r="G276" i="37" s="1"/>
  <c r="I276" i="37" s="1"/>
  <c r="E281" i="37"/>
  <c r="F281" i="37" s="1"/>
  <c r="G281" i="37" s="1"/>
  <c r="I281" i="37" s="1"/>
  <c r="E270" i="37"/>
  <c r="F270" i="37" s="1"/>
  <c r="G270" i="37" s="1"/>
  <c r="I270" i="37" s="1"/>
  <c r="AS282" i="37"/>
  <c r="AT282" i="37" s="1"/>
  <c r="AU282" i="37" s="1"/>
  <c r="AW282" i="37" s="1"/>
  <c r="AS286" i="37"/>
  <c r="AT286" i="37" s="1"/>
  <c r="AU286" i="37" s="1"/>
  <c r="AW286" i="37" s="1"/>
  <c r="AS321" i="37"/>
  <c r="AT321" i="37" s="1"/>
  <c r="AU321" i="37" s="1"/>
  <c r="AW321" i="37" s="1"/>
  <c r="AS342" i="37"/>
  <c r="AT342" i="37" s="1"/>
  <c r="AU342" i="37" s="1"/>
  <c r="AW342" i="37" s="1"/>
  <c r="AS344" i="37"/>
  <c r="AT344" i="37" s="1"/>
  <c r="AU344" i="37" s="1"/>
  <c r="AW344" i="37" s="1"/>
  <c r="AS343" i="37"/>
  <c r="AT343" i="37" s="1"/>
  <c r="AU343" i="37" s="1"/>
  <c r="AW343" i="37" s="1"/>
  <c r="AS345" i="37"/>
  <c r="AT345" i="37" s="1"/>
  <c r="AU345" i="37" s="1"/>
  <c r="AW345" i="37" s="1"/>
  <c r="AS314" i="37"/>
  <c r="AT314" i="37" s="1"/>
  <c r="AU314" i="37" s="1"/>
  <c r="AW314" i="37" s="1"/>
  <c r="AS279" i="37"/>
  <c r="AT279" i="37" s="1"/>
  <c r="AU279" i="37" s="1"/>
  <c r="AW279" i="37" s="1"/>
  <c r="AS270" i="37"/>
  <c r="AT270" i="37" s="1"/>
  <c r="AU270" i="37" s="1"/>
  <c r="AW270" i="37" s="1"/>
  <c r="Y271" i="37"/>
  <c r="Z271" i="37" s="1"/>
  <c r="AA271" i="37" s="1"/>
  <c r="AC271" i="37" s="1"/>
  <c r="Y298" i="37"/>
  <c r="Z298" i="37" s="1"/>
  <c r="AA298" i="37" s="1"/>
  <c r="AC298" i="37" s="1"/>
  <c r="Y323" i="37"/>
  <c r="Z323" i="37" s="1"/>
  <c r="AA323" i="37" s="1"/>
  <c r="AC323" i="37" s="1"/>
  <c r="Y342" i="37"/>
  <c r="Z342" i="37" s="1"/>
  <c r="AA342" i="37" s="1"/>
  <c r="AC342" i="37" s="1"/>
  <c r="Y344" i="37"/>
  <c r="Z344" i="37" s="1"/>
  <c r="AA344" i="37" s="1"/>
  <c r="AC344" i="37" s="1"/>
  <c r="Y297" i="37"/>
  <c r="Z297" i="37" s="1"/>
  <c r="AA297" i="37" s="1"/>
  <c r="AC297" i="37" s="1"/>
  <c r="Y288" i="37"/>
  <c r="Z288" i="37" s="1"/>
  <c r="AA288" i="37" s="1"/>
  <c r="AC288" i="37" s="1"/>
  <c r="Y318" i="37"/>
  <c r="Z318" i="37" s="1"/>
  <c r="AA318" i="37" s="1"/>
  <c r="AC318" i="37" s="1"/>
  <c r="Y283" i="37"/>
  <c r="Z283" i="37" s="1"/>
  <c r="AA283" i="37" s="1"/>
  <c r="AC283" i="37" s="1"/>
  <c r="Y277" i="37"/>
  <c r="Z277" i="37" s="1"/>
  <c r="AA277" i="37" s="1"/>
  <c r="AC277" i="37" s="1"/>
  <c r="E347" i="37"/>
  <c r="F347" i="37" s="1"/>
  <c r="G347" i="37" s="1"/>
  <c r="I347" i="37" s="1"/>
  <c r="E300" i="37"/>
  <c r="F300" i="37" s="1"/>
  <c r="G300" i="37" s="1"/>
  <c r="I300" i="37" s="1"/>
  <c r="E320" i="37"/>
  <c r="F320" i="37" s="1"/>
  <c r="G320" i="37" s="1"/>
  <c r="I320" i="37" s="1"/>
  <c r="E337" i="37"/>
  <c r="F337" i="37" s="1"/>
  <c r="G337" i="37" s="1"/>
  <c r="I337" i="37" s="1"/>
  <c r="E313" i="37"/>
  <c r="F313" i="37" s="1"/>
  <c r="G313" i="37" s="1"/>
  <c r="I313" i="37" s="1"/>
  <c r="E283" i="37"/>
  <c r="F283" i="37" s="1"/>
  <c r="G283" i="37" s="1"/>
  <c r="I283" i="37" s="1"/>
  <c r="E277" i="37"/>
  <c r="F277" i="37" s="1"/>
  <c r="G277" i="37" s="1"/>
  <c r="I277" i="37" s="1"/>
  <c r="AS278" i="37"/>
  <c r="AT278" i="37" s="1"/>
  <c r="AU278" i="37" s="1"/>
  <c r="AW278" i="37" s="1"/>
  <c r="AS309" i="37"/>
  <c r="AT309" i="37" s="1"/>
  <c r="AU309" i="37" s="1"/>
  <c r="AW309" i="37" s="1"/>
  <c r="AS334" i="37"/>
  <c r="AT334" i="37" s="1"/>
  <c r="AU334" i="37" s="1"/>
  <c r="AW334" i="37" s="1"/>
  <c r="AS339" i="37"/>
  <c r="AT339" i="37" s="1"/>
  <c r="AU339" i="37" s="1"/>
  <c r="AW339" i="37" s="1"/>
  <c r="AS337" i="37"/>
  <c r="AT337" i="37" s="1"/>
  <c r="AU337" i="37" s="1"/>
  <c r="AW337" i="37" s="1"/>
  <c r="AS289" i="37"/>
  <c r="AT289" i="37" s="1"/>
  <c r="AU289" i="37" s="1"/>
  <c r="AW289" i="37" s="1"/>
  <c r="Y278" i="37"/>
  <c r="Z278" i="37" s="1"/>
  <c r="AA278" i="37" s="1"/>
  <c r="AC278" i="37" s="1"/>
  <c r="Y294" i="37"/>
  <c r="Z294" i="37" s="1"/>
  <c r="AA294" i="37" s="1"/>
  <c r="AC294" i="37" s="1"/>
  <c r="Y303" i="37"/>
  <c r="Z303" i="37" s="1"/>
  <c r="AA303" i="37" s="1"/>
  <c r="AC303" i="37" s="1"/>
  <c r="Y328" i="37"/>
  <c r="Z328" i="37" s="1"/>
  <c r="AA328" i="37" s="1"/>
  <c r="AC328" i="37" s="1"/>
  <c r="Y343" i="37"/>
  <c r="Z343" i="37" s="1"/>
  <c r="AA343" i="37" s="1"/>
  <c r="AC343" i="37" s="1"/>
  <c r="Y329" i="37"/>
  <c r="Z329" i="37" s="1"/>
  <c r="AA329" i="37" s="1"/>
  <c r="AC329" i="37" s="1"/>
  <c r="Y285" i="37"/>
  <c r="Z285" i="37" s="1"/>
  <c r="AA285" i="37" s="1"/>
  <c r="AC285" i="37" s="1"/>
  <c r="E58" i="37"/>
  <c r="F58" i="37" s="1"/>
  <c r="G58" i="37" s="1"/>
  <c r="I58" i="37" s="1"/>
  <c r="E66" i="37"/>
  <c r="F66" i="37" s="1"/>
  <c r="G66" i="37" s="1"/>
  <c r="I66" i="37" s="1"/>
  <c r="E74" i="37"/>
  <c r="F74" i="37" s="1"/>
  <c r="G74" i="37" s="1"/>
  <c r="I74" i="37" s="1"/>
  <c r="E82" i="37"/>
  <c r="F82" i="37" s="1"/>
  <c r="G82" i="37" s="1"/>
  <c r="I82" i="37" s="1"/>
  <c r="E90" i="37"/>
  <c r="F90" i="37" s="1"/>
  <c r="G90" i="37" s="1"/>
  <c r="I90" i="37" s="1"/>
  <c r="E98" i="37"/>
  <c r="F98" i="37" s="1"/>
  <c r="G98" i="37" s="1"/>
  <c r="I98" i="37" s="1"/>
  <c r="E106" i="37"/>
  <c r="F106" i="37" s="1"/>
  <c r="G106" i="37" s="1"/>
  <c r="I106" i="37" s="1"/>
  <c r="E114" i="37"/>
  <c r="F114" i="37" s="1"/>
  <c r="G114" i="37" s="1"/>
  <c r="I114" i="37" s="1"/>
  <c r="E122" i="37"/>
  <c r="F122" i="37" s="1"/>
  <c r="G122" i="37" s="1"/>
  <c r="I122" i="37" s="1"/>
  <c r="E130" i="37"/>
  <c r="F130" i="37" s="1"/>
  <c r="G130" i="37" s="1"/>
  <c r="I130" i="37" s="1"/>
  <c r="E138" i="37"/>
  <c r="F138" i="37" s="1"/>
  <c r="G138" i="37" s="1"/>
  <c r="I138" i="37" s="1"/>
  <c r="E146" i="37"/>
  <c r="F146" i="37" s="1"/>
  <c r="G146" i="37" s="1"/>
  <c r="I146" i="37" s="1"/>
  <c r="E154" i="37"/>
  <c r="F154" i="37" s="1"/>
  <c r="G154" i="37" s="1"/>
  <c r="I154" i="37" s="1"/>
  <c r="E162" i="37"/>
  <c r="F162" i="37" s="1"/>
  <c r="G162" i="37" s="1"/>
  <c r="I162" i="37" s="1"/>
  <c r="E170" i="37"/>
  <c r="F170" i="37" s="1"/>
  <c r="G170" i="37" s="1"/>
  <c r="I170" i="37" s="1"/>
  <c r="E178" i="37"/>
  <c r="F178" i="37" s="1"/>
  <c r="G178" i="37" s="1"/>
  <c r="I178" i="37" s="1"/>
  <c r="E186" i="37"/>
  <c r="F186" i="37" s="1"/>
  <c r="G186" i="37" s="1"/>
  <c r="I186" i="37" s="1"/>
  <c r="E194" i="37"/>
  <c r="F194" i="37" s="1"/>
  <c r="G194" i="37" s="1"/>
  <c r="I194" i="37" s="1"/>
  <c r="E202" i="37"/>
  <c r="F202" i="37" s="1"/>
  <c r="G202" i="37" s="1"/>
  <c r="I202" i="37" s="1"/>
  <c r="E210" i="37"/>
  <c r="F210" i="37" s="1"/>
  <c r="G210" i="37" s="1"/>
  <c r="I210" i="37" s="1"/>
  <c r="E218" i="37"/>
  <c r="F218" i="37" s="1"/>
  <c r="G218" i="37" s="1"/>
  <c r="I218" i="37" s="1"/>
  <c r="E226" i="37"/>
  <c r="F226" i="37" s="1"/>
  <c r="G226" i="37" s="1"/>
  <c r="I226" i="37" s="1"/>
  <c r="E234" i="37"/>
  <c r="F234" i="37" s="1"/>
  <c r="G234" i="37" s="1"/>
  <c r="I234" i="37" s="1"/>
  <c r="E242" i="37"/>
  <c r="F242" i="37" s="1"/>
  <c r="G242" i="37" s="1"/>
  <c r="I242" i="37" s="1"/>
  <c r="E250" i="37"/>
  <c r="F250" i="37" s="1"/>
  <c r="G250" i="37" s="1"/>
  <c r="I250" i="37" s="1"/>
  <c r="E258" i="37"/>
  <c r="F258" i="37" s="1"/>
  <c r="G258" i="37" s="1"/>
  <c r="I258" i="37" s="1"/>
  <c r="E266" i="37"/>
  <c r="F266" i="37" s="1"/>
  <c r="G266" i="37" s="1"/>
  <c r="I266" i="37" s="1"/>
  <c r="E11" i="37"/>
  <c r="F11" i="37" s="1"/>
  <c r="G11" i="37" s="1"/>
  <c r="I11" i="37" s="1"/>
  <c r="E21" i="37"/>
  <c r="F21" i="37" s="1"/>
  <c r="G21" i="37" s="1"/>
  <c r="I21" i="37" s="1"/>
  <c r="E25" i="37"/>
  <c r="F25" i="37" s="1"/>
  <c r="G25" i="37" s="1"/>
  <c r="I25" i="37" s="1"/>
  <c r="E31" i="37"/>
  <c r="F31" i="37" s="1"/>
  <c r="G31" i="37" s="1"/>
  <c r="I31" i="37" s="1"/>
  <c r="E39" i="37"/>
  <c r="F39" i="37" s="1"/>
  <c r="G39" i="37" s="1"/>
  <c r="I39" i="37" s="1"/>
  <c r="E45" i="37"/>
  <c r="F45" i="37" s="1"/>
  <c r="G45" i="37" s="1"/>
  <c r="I45" i="37" s="1"/>
  <c r="E51" i="37"/>
  <c r="F51" i="37" s="1"/>
  <c r="G51" i="37" s="1"/>
  <c r="I51" i="37" s="1"/>
  <c r="E64" i="37"/>
  <c r="F64" i="37" s="1"/>
  <c r="G64" i="37" s="1"/>
  <c r="I64" i="37" s="1"/>
  <c r="E72" i="37"/>
  <c r="F72" i="37" s="1"/>
  <c r="G72" i="37" s="1"/>
  <c r="I72" i="37" s="1"/>
  <c r="E17" i="37"/>
  <c r="F17" i="37" s="1"/>
  <c r="G17" i="37" s="1"/>
  <c r="I17" i="37" s="1"/>
  <c r="E27" i="37"/>
  <c r="F27" i="37" s="1"/>
  <c r="G27" i="37" s="1"/>
  <c r="I27" i="37" s="1"/>
  <c r="E37" i="37"/>
  <c r="F37" i="37" s="1"/>
  <c r="G37" i="37" s="1"/>
  <c r="I37" i="37" s="1"/>
  <c r="E49" i="37"/>
  <c r="F49" i="37" s="1"/>
  <c r="G49" i="37" s="1"/>
  <c r="I49" i="37" s="1"/>
  <c r="E56" i="37"/>
  <c r="F56" i="37" s="1"/>
  <c r="G56" i="37" s="1"/>
  <c r="I56" i="37" s="1"/>
  <c r="E88" i="37"/>
  <c r="F88" i="37" s="1"/>
  <c r="G88" i="37" s="1"/>
  <c r="I88" i="37" s="1"/>
  <c r="E104" i="37"/>
  <c r="F104" i="37" s="1"/>
  <c r="G104" i="37" s="1"/>
  <c r="I104" i="37" s="1"/>
  <c r="E120" i="37"/>
  <c r="F120" i="37" s="1"/>
  <c r="G120" i="37" s="1"/>
  <c r="I120" i="37" s="1"/>
  <c r="E136" i="37"/>
  <c r="F136" i="37" s="1"/>
  <c r="G136" i="37" s="1"/>
  <c r="I136" i="37" s="1"/>
  <c r="E152" i="37"/>
  <c r="F152" i="37" s="1"/>
  <c r="G152" i="37" s="1"/>
  <c r="I152" i="37" s="1"/>
  <c r="E168" i="37"/>
  <c r="F168" i="37" s="1"/>
  <c r="G168" i="37" s="1"/>
  <c r="I168" i="37" s="1"/>
  <c r="E184" i="37"/>
  <c r="F184" i="37" s="1"/>
  <c r="G184" i="37" s="1"/>
  <c r="I184" i="37" s="1"/>
  <c r="E200" i="37"/>
  <c r="F200" i="37" s="1"/>
  <c r="G200" i="37" s="1"/>
  <c r="I200" i="37" s="1"/>
  <c r="E216" i="37"/>
  <c r="F216" i="37" s="1"/>
  <c r="G216" i="37" s="1"/>
  <c r="I216" i="37" s="1"/>
  <c r="E240" i="37"/>
  <c r="F240" i="37" s="1"/>
  <c r="G240" i="37" s="1"/>
  <c r="I240" i="37" s="1"/>
  <c r="E76" i="37"/>
  <c r="F76" i="37" s="1"/>
  <c r="G76" i="37" s="1"/>
  <c r="I76" i="37" s="1"/>
  <c r="E92" i="37"/>
  <c r="F92" i="37" s="1"/>
  <c r="G92" i="37" s="1"/>
  <c r="I92" i="37" s="1"/>
  <c r="E108" i="37"/>
  <c r="F108" i="37" s="1"/>
  <c r="G108" i="37" s="1"/>
  <c r="I108" i="37" s="1"/>
  <c r="E124" i="37"/>
  <c r="F124" i="37" s="1"/>
  <c r="G124" i="37" s="1"/>
  <c r="I124" i="37" s="1"/>
  <c r="E140" i="37"/>
  <c r="F140" i="37" s="1"/>
  <c r="G140" i="37" s="1"/>
  <c r="I140" i="37" s="1"/>
  <c r="E156" i="37"/>
  <c r="F156" i="37" s="1"/>
  <c r="G156" i="37" s="1"/>
  <c r="I156" i="37" s="1"/>
  <c r="E172" i="37"/>
  <c r="F172" i="37" s="1"/>
  <c r="G172" i="37" s="1"/>
  <c r="I172" i="37" s="1"/>
  <c r="E188" i="37"/>
  <c r="F188" i="37" s="1"/>
  <c r="G188" i="37" s="1"/>
  <c r="I188" i="37" s="1"/>
  <c r="E204" i="37"/>
  <c r="F204" i="37" s="1"/>
  <c r="G204" i="37" s="1"/>
  <c r="I204" i="37" s="1"/>
  <c r="E220" i="37"/>
  <c r="F220" i="37" s="1"/>
  <c r="G220" i="37" s="1"/>
  <c r="I220" i="37" s="1"/>
  <c r="E236" i="37"/>
  <c r="F236" i="37" s="1"/>
  <c r="G236" i="37" s="1"/>
  <c r="I236" i="37" s="1"/>
  <c r="E252" i="37"/>
  <c r="F252" i="37" s="1"/>
  <c r="G252" i="37" s="1"/>
  <c r="I252" i="37" s="1"/>
  <c r="E268" i="37"/>
  <c r="F268" i="37" s="1"/>
  <c r="G268" i="37" s="1"/>
  <c r="I268" i="37" s="1"/>
  <c r="E256" i="37"/>
  <c r="F256" i="37" s="1"/>
  <c r="G256" i="37" s="1"/>
  <c r="I256" i="37" s="1"/>
  <c r="E255" i="37"/>
  <c r="F255" i="37" s="1"/>
  <c r="G255" i="37" s="1"/>
  <c r="I255" i="37" s="1"/>
  <c r="E223" i="37"/>
  <c r="F223" i="37" s="1"/>
  <c r="G223" i="37" s="1"/>
  <c r="I223" i="37" s="1"/>
  <c r="E259" i="37"/>
  <c r="F259" i="37" s="1"/>
  <c r="G259" i="37" s="1"/>
  <c r="I259" i="37" s="1"/>
  <c r="E227" i="37"/>
  <c r="F227" i="37" s="1"/>
  <c r="G227" i="37" s="1"/>
  <c r="I227" i="37" s="1"/>
  <c r="E195" i="37"/>
  <c r="F195" i="37" s="1"/>
  <c r="G195" i="37" s="1"/>
  <c r="I195" i="37" s="1"/>
  <c r="E163" i="37"/>
  <c r="F163" i="37" s="1"/>
  <c r="G163" i="37" s="1"/>
  <c r="I163" i="37" s="1"/>
  <c r="E131" i="37"/>
  <c r="F131" i="37" s="1"/>
  <c r="G131" i="37" s="1"/>
  <c r="I131" i="37" s="1"/>
  <c r="E97" i="37"/>
  <c r="F97" i="37" s="1"/>
  <c r="G97" i="37" s="1"/>
  <c r="I97" i="37" s="1"/>
  <c r="E263" i="37"/>
  <c r="F263" i="37" s="1"/>
  <c r="G263" i="37" s="1"/>
  <c r="I263" i="37" s="1"/>
  <c r="E175" i="37"/>
  <c r="F175" i="37" s="1"/>
  <c r="G175" i="37" s="1"/>
  <c r="I175" i="37" s="1"/>
  <c r="E143" i="37"/>
  <c r="F143" i="37" s="1"/>
  <c r="G143" i="37" s="1"/>
  <c r="I143" i="37" s="1"/>
  <c r="E109" i="37"/>
  <c r="F109" i="37" s="1"/>
  <c r="G109" i="37" s="1"/>
  <c r="I109" i="37" s="1"/>
  <c r="E77" i="37"/>
  <c r="F77" i="37" s="1"/>
  <c r="G77" i="37" s="1"/>
  <c r="I77" i="37" s="1"/>
  <c r="O266" i="37"/>
  <c r="P266" i="37" s="1"/>
  <c r="Q266" i="37" s="1"/>
  <c r="S266" i="37" s="1"/>
  <c r="O258" i="37"/>
  <c r="P258" i="37" s="1"/>
  <c r="Q258" i="37" s="1"/>
  <c r="S258" i="37" s="1"/>
  <c r="O254" i="37"/>
  <c r="P254" i="37" s="1"/>
  <c r="Q254" i="37" s="1"/>
  <c r="S254" i="37" s="1"/>
  <c r="O249" i="37"/>
  <c r="P249" i="37" s="1"/>
  <c r="Q249" i="37" s="1"/>
  <c r="S249" i="37" s="1"/>
  <c r="O245" i="37"/>
  <c r="P245" i="37" s="1"/>
  <c r="Q245" i="37" s="1"/>
  <c r="S245" i="37" s="1"/>
  <c r="O241" i="37"/>
  <c r="P241" i="37" s="1"/>
  <c r="Q241" i="37" s="1"/>
  <c r="S241" i="37" s="1"/>
  <c r="O237" i="37"/>
  <c r="P237" i="37" s="1"/>
  <c r="Q237" i="37" s="1"/>
  <c r="S237" i="37" s="1"/>
  <c r="O233" i="37"/>
  <c r="P233" i="37" s="1"/>
  <c r="Q233" i="37" s="1"/>
  <c r="S233" i="37" s="1"/>
  <c r="O229" i="37"/>
  <c r="P229" i="37" s="1"/>
  <c r="Q229" i="37" s="1"/>
  <c r="S229" i="37" s="1"/>
  <c r="O225" i="37"/>
  <c r="P225" i="37" s="1"/>
  <c r="Q225" i="37" s="1"/>
  <c r="S225" i="37" s="1"/>
  <c r="O221" i="37"/>
  <c r="P221" i="37" s="1"/>
  <c r="Q221" i="37" s="1"/>
  <c r="S221" i="37" s="1"/>
  <c r="O217" i="37"/>
  <c r="P217" i="37" s="1"/>
  <c r="Q217" i="37" s="1"/>
  <c r="S217" i="37" s="1"/>
  <c r="O213" i="37"/>
  <c r="P213" i="37" s="1"/>
  <c r="Q213" i="37" s="1"/>
  <c r="S213" i="37" s="1"/>
  <c r="O96" i="37"/>
  <c r="P96" i="37" s="1"/>
  <c r="Q96" i="37" s="1"/>
  <c r="S96" i="37" s="1"/>
  <c r="O39" i="37"/>
  <c r="P39" i="37" s="1"/>
  <c r="Q39" i="37" s="1"/>
  <c r="S39" i="37" s="1"/>
  <c r="O23" i="37"/>
  <c r="P23" i="37" s="1"/>
  <c r="Q23" i="37" s="1"/>
  <c r="S23" i="37" s="1"/>
  <c r="Y48" i="37"/>
  <c r="Z48" i="37" s="1"/>
  <c r="AA48" i="37" s="1"/>
  <c r="AC48" i="37" s="1"/>
  <c r="Y32" i="37"/>
  <c r="Z32" i="37" s="1"/>
  <c r="AA32" i="37" s="1"/>
  <c r="AC32" i="37" s="1"/>
  <c r="Y16" i="37"/>
  <c r="Z16" i="37" s="1"/>
  <c r="AA16" i="37" s="1"/>
  <c r="AC16" i="37" s="1"/>
  <c r="AI28" i="37"/>
  <c r="AJ28" i="37" s="1"/>
  <c r="AK28" i="37" s="1"/>
  <c r="AM28" i="37" s="1"/>
  <c r="AS119" i="37"/>
  <c r="AT119" i="37" s="1"/>
  <c r="AU119" i="37" s="1"/>
  <c r="AW119" i="37" s="1"/>
  <c r="AS30" i="37"/>
  <c r="AT30" i="37" s="1"/>
  <c r="AU30" i="37" s="1"/>
  <c r="AW30" i="37" s="1"/>
  <c r="O268" i="37"/>
  <c r="P268" i="37" s="1"/>
  <c r="Q268" i="37" s="1"/>
  <c r="S268" i="37" s="1"/>
  <c r="O260" i="37"/>
  <c r="P260" i="37" s="1"/>
  <c r="Q260" i="37" s="1"/>
  <c r="S260" i="37" s="1"/>
  <c r="E257" i="37"/>
  <c r="F257" i="37" s="1"/>
  <c r="G257" i="37" s="1"/>
  <c r="I257" i="37" s="1"/>
  <c r="E241" i="37"/>
  <c r="F241" i="37" s="1"/>
  <c r="G241" i="37" s="1"/>
  <c r="I241" i="37" s="1"/>
  <c r="E225" i="37"/>
  <c r="F225" i="37" s="1"/>
  <c r="G225" i="37" s="1"/>
  <c r="I225" i="37" s="1"/>
  <c r="E209" i="37"/>
  <c r="F209" i="37" s="1"/>
  <c r="G209" i="37" s="1"/>
  <c r="I209" i="37" s="1"/>
  <c r="E193" i="37"/>
  <c r="F193" i="37" s="1"/>
  <c r="G193" i="37" s="1"/>
  <c r="I193" i="37" s="1"/>
  <c r="E177" i="37"/>
  <c r="F177" i="37" s="1"/>
  <c r="G177" i="37" s="1"/>
  <c r="I177" i="37" s="1"/>
  <c r="E161" i="37"/>
  <c r="F161" i="37" s="1"/>
  <c r="G161" i="37" s="1"/>
  <c r="I161" i="37" s="1"/>
  <c r="E145" i="37"/>
  <c r="F145" i="37" s="1"/>
  <c r="G145" i="37" s="1"/>
  <c r="I145" i="37" s="1"/>
  <c r="E129" i="37"/>
  <c r="F129" i="37" s="1"/>
  <c r="G129" i="37" s="1"/>
  <c r="I129" i="37" s="1"/>
  <c r="E115" i="37"/>
  <c r="F115" i="37" s="1"/>
  <c r="G115" i="37" s="1"/>
  <c r="I115" i="37" s="1"/>
  <c r="E99" i="37"/>
  <c r="F99" i="37" s="1"/>
  <c r="G99" i="37" s="1"/>
  <c r="I99" i="37" s="1"/>
  <c r="E83" i="37"/>
  <c r="F83" i="37" s="1"/>
  <c r="G83" i="37" s="1"/>
  <c r="I83" i="37" s="1"/>
  <c r="E67" i="37"/>
  <c r="F67" i="37" s="1"/>
  <c r="G67" i="37" s="1"/>
  <c r="I67" i="37" s="1"/>
  <c r="E50" i="37"/>
  <c r="F50" i="37" s="1"/>
  <c r="G50" i="37" s="1"/>
  <c r="I50" i="37" s="1"/>
  <c r="E42" i="37"/>
  <c r="F42" i="37" s="1"/>
  <c r="G42" i="37" s="1"/>
  <c r="I42" i="37" s="1"/>
  <c r="E34" i="37"/>
  <c r="F34" i="37" s="1"/>
  <c r="G34" i="37" s="1"/>
  <c r="I34" i="37" s="1"/>
  <c r="E26" i="37"/>
  <c r="F26" i="37" s="1"/>
  <c r="G26" i="37" s="1"/>
  <c r="I26" i="37" s="1"/>
  <c r="E18" i="37"/>
  <c r="F18" i="37" s="1"/>
  <c r="G18" i="37" s="1"/>
  <c r="I18" i="37" s="1"/>
  <c r="O100" i="37"/>
  <c r="P100" i="37" s="1"/>
  <c r="Q100" i="37" s="1"/>
  <c r="S100" i="37" s="1"/>
  <c r="O43" i="37"/>
  <c r="P43" i="37" s="1"/>
  <c r="Q43" i="37" s="1"/>
  <c r="S43" i="37" s="1"/>
  <c r="O27" i="37"/>
  <c r="P27" i="37" s="1"/>
  <c r="Q27" i="37" s="1"/>
  <c r="S27" i="37" s="1"/>
  <c r="O11" i="37"/>
  <c r="P11" i="37" s="1"/>
  <c r="Q11" i="37" s="1"/>
  <c r="S11" i="37" s="1"/>
  <c r="Y263" i="37"/>
  <c r="Z263" i="37" s="1"/>
  <c r="AA263" i="37" s="1"/>
  <c r="AC263" i="37" s="1"/>
  <c r="Y255" i="37"/>
  <c r="Z255" i="37" s="1"/>
  <c r="AA255" i="37" s="1"/>
  <c r="AC255" i="37" s="1"/>
  <c r="Y247" i="37"/>
  <c r="Z247" i="37" s="1"/>
  <c r="AA247" i="37" s="1"/>
  <c r="AC247" i="37" s="1"/>
  <c r="Y239" i="37"/>
  <c r="Z239" i="37" s="1"/>
  <c r="AA239" i="37" s="1"/>
  <c r="AC239" i="37" s="1"/>
  <c r="Y231" i="37"/>
  <c r="Z231" i="37" s="1"/>
  <c r="AA231" i="37" s="1"/>
  <c r="AC231" i="37" s="1"/>
  <c r="Y223" i="37"/>
  <c r="Z223" i="37" s="1"/>
  <c r="AA223" i="37" s="1"/>
  <c r="AC223" i="37" s="1"/>
  <c r="Y215" i="37"/>
  <c r="Z215" i="37" s="1"/>
  <c r="AA215" i="37" s="1"/>
  <c r="AC215" i="37" s="1"/>
  <c r="Y207" i="37"/>
  <c r="Z207" i="37" s="1"/>
  <c r="AA207" i="37" s="1"/>
  <c r="AC207" i="37" s="1"/>
  <c r="Y199" i="37"/>
  <c r="Z199" i="37" s="1"/>
  <c r="AA199" i="37" s="1"/>
  <c r="AC199" i="37" s="1"/>
  <c r="Y191" i="37"/>
  <c r="Z191" i="37" s="1"/>
  <c r="AA191" i="37" s="1"/>
  <c r="AC191" i="37" s="1"/>
  <c r="Y51" i="37"/>
  <c r="Z51" i="37" s="1"/>
  <c r="AA51" i="37" s="1"/>
  <c r="AC51" i="37" s="1"/>
  <c r="Y35" i="37"/>
  <c r="Z35" i="37" s="1"/>
  <c r="AA35" i="37" s="1"/>
  <c r="AC35" i="37" s="1"/>
  <c r="Y19" i="37"/>
  <c r="Z19" i="37" s="1"/>
  <c r="AA19" i="37" s="1"/>
  <c r="AC19" i="37" s="1"/>
  <c r="AI265" i="37"/>
  <c r="AJ265" i="37" s="1"/>
  <c r="AK265" i="37" s="1"/>
  <c r="AM265" i="37" s="1"/>
  <c r="AI257" i="37"/>
  <c r="AJ257" i="37" s="1"/>
  <c r="AK257" i="37" s="1"/>
  <c r="AM257" i="37" s="1"/>
  <c r="AI249" i="37"/>
  <c r="AJ249" i="37" s="1"/>
  <c r="AK249" i="37" s="1"/>
  <c r="AM249" i="37" s="1"/>
  <c r="AI241" i="37"/>
  <c r="AJ241" i="37" s="1"/>
  <c r="AK241" i="37" s="1"/>
  <c r="AM241" i="37" s="1"/>
  <c r="AI233" i="37"/>
  <c r="AJ233" i="37" s="1"/>
  <c r="AK233" i="37" s="1"/>
  <c r="AM233" i="37" s="1"/>
  <c r="AI225" i="37"/>
  <c r="AJ225" i="37" s="1"/>
  <c r="AK225" i="37" s="1"/>
  <c r="AM225" i="37" s="1"/>
  <c r="AI217" i="37"/>
  <c r="AJ217" i="37" s="1"/>
  <c r="AK217" i="37" s="1"/>
  <c r="AM217" i="37" s="1"/>
  <c r="AI209" i="37"/>
  <c r="AJ209" i="37" s="1"/>
  <c r="AK209" i="37" s="1"/>
  <c r="AM209" i="37" s="1"/>
  <c r="AI201" i="37"/>
  <c r="AJ201" i="37" s="1"/>
  <c r="AK201" i="37" s="1"/>
  <c r="AM201" i="37" s="1"/>
  <c r="AI193" i="37"/>
  <c r="AJ193" i="37" s="1"/>
  <c r="AK193" i="37" s="1"/>
  <c r="AM193" i="37" s="1"/>
  <c r="AI185" i="37"/>
  <c r="AJ185" i="37" s="1"/>
  <c r="AK185" i="37" s="1"/>
  <c r="AM185" i="37" s="1"/>
  <c r="AI20" i="37"/>
  <c r="AJ20" i="37" s="1"/>
  <c r="AK20" i="37" s="1"/>
  <c r="AM20" i="37" s="1"/>
  <c r="AS101" i="37"/>
  <c r="AT101" i="37" s="1"/>
  <c r="AU101" i="37" s="1"/>
  <c r="AW101" i="37" s="1"/>
  <c r="E10" i="37"/>
  <c r="F10" i="37" s="1"/>
  <c r="G10" i="37" s="1"/>
  <c r="I10" i="37" s="1"/>
  <c r="O94" i="37"/>
  <c r="P94" i="37" s="1"/>
  <c r="Q94" i="37" s="1"/>
  <c r="S94" i="37" s="1"/>
  <c r="O44" i="37"/>
  <c r="P44" i="37" s="1"/>
  <c r="Q44" i="37" s="1"/>
  <c r="S44" i="37" s="1"/>
  <c r="O36" i="37"/>
  <c r="P36" i="37" s="1"/>
  <c r="Q36" i="37" s="1"/>
  <c r="S36" i="37" s="1"/>
  <c r="O28" i="37"/>
  <c r="P28" i="37" s="1"/>
  <c r="Q28" i="37" s="1"/>
  <c r="S28" i="37" s="1"/>
  <c r="O20" i="37"/>
  <c r="P20" i="37" s="1"/>
  <c r="Q20" i="37" s="1"/>
  <c r="S20" i="37" s="1"/>
  <c r="O12" i="37"/>
  <c r="P12" i="37" s="1"/>
  <c r="Q12" i="37" s="1"/>
  <c r="S12" i="37" s="1"/>
  <c r="Y262" i="37"/>
  <c r="Z262" i="37" s="1"/>
  <c r="AA262" i="37" s="1"/>
  <c r="AC262" i="37" s="1"/>
  <c r="Y254" i="37"/>
  <c r="Z254" i="37" s="1"/>
  <c r="AA254" i="37" s="1"/>
  <c r="AC254" i="37" s="1"/>
  <c r="Y246" i="37"/>
  <c r="Z246" i="37" s="1"/>
  <c r="AA246" i="37" s="1"/>
  <c r="AC246" i="37" s="1"/>
  <c r="Y238" i="37"/>
  <c r="Z238" i="37" s="1"/>
  <c r="AA238" i="37" s="1"/>
  <c r="AC238" i="37" s="1"/>
  <c r="Y230" i="37"/>
  <c r="Z230" i="37" s="1"/>
  <c r="AA230" i="37" s="1"/>
  <c r="AC230" i="37" s="1"/>
  <c r="Y222" i="37"/>
  <c r="Z222" i="37" s="1"/>
  <c r="AA222" i="37" s="1"/>
  <c r="AC222" i="37" s="1"/>
  <c r="Y214" i="37"/>
  <c r="Z214" i="37" s="1"/>
  <c r="AA214" i="37" s="1"/>
  <c r="AC214" i="37" s="1"/>
  <c r="Y206" i="37"/>
  <c r="Z206" i="37" s="1"/>
  <c r="AA206" i="37" s="1"/>
  <c r="AC206" i="37" s="1"/>
  <c r="Y198" i="37"/>
  <c r="Z198" i="37" s="1"/>
  <c r="AA198" i="37" s="1"/>
  <c r="AC198" i="37" s="1"/>
  <c r="Y190" i="37"/>
  <c r="Z190" i="37" s="1"/>
  <c r="AA190" i="37" s="1"/>
  <c r="AC190" i="37" s="1"/>
  <c r="Y50" i="37"/>
  <c r="Z50" i="37" s="1"/>
  <c r="AA50" i="37" s="1"/>
  <c r="AC50" i="37" s="1"/>
  <c r="Y42" i="37"/>
  <c r="Z42" i="37" s="1"/>
  <c r="AA42" i="37" s="1"/>
  <c r="AC42" i="37" s="1"/>
  <c r="Y34" i="37"/>
  <c r="Z34" i="37" s="1"/>
  <c r="AA34" i="37" s="1"/>
  <c r="AC34" i="37" s="1"/>
  <c r="Y26" i="37"/>
  <c r="Z26" i="37" s="1"/>
  <c r="AA26" i="37" s="1"/>
  <c r="AC26" i="37" s="1"/>
  <c r="Y18" i="37"/>
  <c r="Z18" i="37" s="1"/>
  <c r="AA18" i="37" s="1"/>
  <c r="AC18" i="37" s="1"/>
  <c r="Y10" i="37"/>
  <c r="Z10" i="37" s="1"/>
  <c r="AA10" i="37" s="1"/>
  <c r="AC10" i="37" s="1"/>
  <c r="AI262" i="37"/>
  <c r="AJ262" i="37" s="1"/>
  <c r="AK262" i="37" s="1"/>
  <c r="AM262" i="37" s="1"/>
  <c r="AI254" i="37"/>
  <c r="AJ254" i="37" s="1"/>
  <c r="AK254" i="37" s="1"/>
  <c r="AM254" i="37" s="1"/>
  <c r="AI246" i="37"/>
  <c r="AJ246" i="37" s="1"/>
  <c r="AK246" i="37" s="1"/>
  <c r="AM246" i="37" s="1"/>
  <c r="AI238" i="37"/>
  <c r="AJ238" i="37" s="1"/>
  <c r="AK238" i="37" s="1"/>
  <c r="AM238" i="37" s="1"/>
  <c r="AI230" i="37"/>
  <c r="AJ230" i="37" s="1"/>
  <c r="AK230" i="37" s="1"/>
  <c r="AM230" i="37" s="1"/>
  <c r="AI222" i="37"/>
  <c r="AJ222" i="37" s="1"/>
  <c r="AK222" i="37" s="1"/>
  <c r="AM222" i="37" s="1"/>
  <c r="AI39" i="37"/>
  <c r="AJ39" i="37" s="1"/>
  <c r="AK39" i="37" s="1"/>
  <c r="AM39" i="37" s="1"/>
  <c r="AI23" i="37"/>
  <c r="AJ23" i="37" s="1"/>
  <c r="AK23" i="37" s="1"/>
  <c r="AM23" i="37" s="1"/>
  <c r="AS142" i="37"/>
  <c r="AT142" i="37" s="1"/>
  <c r="AU142" i="37" s="1"/>
  <c r="AW142" i="37" s="1"/>
  <c r="AS110" i="37"/>
  <c r="AT110" i="37" s="1"/>
  <c r="AU110" i="37" s="1"/>
  <c r="AW110" i="37" s="1"/>
  <c r="AS53" i="37"/>
  <c r="AT53" i="37" s="1"/>
  <c r="AU53" i="37" s="1"/>
  <c r="AW53" i="37" s="1"/>
  <c r="AI218" i="37"/>
  <c r="AJ218" i="37" s="1"/>
  <c r="AK218" i="37" s="1"/>
  <c r="AM218" i="37" s="1"/>
  <c r="AI210" i="37"/>
  <c r="AJ210" i="37" s="1"/>
  <c r="AK210" i="37" s="1"/>
  <c r="AM210" i="37" s="1"/>
  <c r="AI202" i="37"/>
  <c r="AJ202" i="37" s="1"/>
  <c r="AK202" i="37" s="1"/>
  <c r="AM202" i="37" s="1"/>
  <c r="AI194" i="37"/>
  <c r="AJ194" i="37" s="1"/>
  <c r="AK194" i="37" s="1"/>
  <c r="AM194" i="37" s="1"/>
  <c r="AI186" i="37"/>
  <c r="AJ186" i="37" s="1"/>
  <c r="AK186" i="37" s="1"/>
  <c r="AM186" i="37" s="1"/>
  <c r="AI46" i="37"/>
  <c r="AJ46" i="37" s="1"/>
  <c r="AK46" i="37" s="1"/>
  <c r="AM46" i="37" s="1"/>
  <c r="AI38" i="37"/>
  <c r="AJ38" i="37" s="1"/>
  <c r="AK38" i="37" s="1"/>
  <c r="AM38" i="37" s="1"/>
  <c r="AI30" i="37"/>
  <c r="AJ30" i="37" s="1"/>
  <c r="AK30" i="37" s="1"/>
  <c r="AM30" i="37" s="1"/>
  <c r="AI22" i="37"/>
  <c r="AJ22" i="37" s="1"/>
  <c r="AK22" i="37" s="1"/>
  <c r="AM22" i="37" s="1"/>
  <c r="AI14" i="37"/>
  <c r="AJ14" i="37" s="1"/>
  <c r="AK14" i="37" s="1"/>
  <c r="AM14" i="37" s="1"/>
  <c r="AS268" i="37"/>
  <c r="AT268" i="37" s="1"/>
  <c r="AU268" i="37" s="1"/>
  <c r="AW268" i="37" s="1"/>
  <c r="AS264" i="37"/>
  <c r="AT264" i="37" s="1"/>
  <c r="AU264" i="37" s="1"/>
  <c r="AW264" i="37" s="1"/>
  <c r="AS260" i="37"/>
  <c r="AT260" i="37" s="1"/>
  <c r="AU260" i="37" s="1"/>
  <c r="AW260" i="37" s="1"/>
  <c r="AS256" i="37"/>
  <c r="AT256" i="37" s="1"/>
  <c r="AU256" i="37" s="1"/>
  <c r="AW256" i="37" s="1"/>
  <c r="AS252" i="37"/>
  <c r="AT252" i="37" s="1"/>
  <c r="AU252" i="37" s="1"/>
  <c r="AW252" i="37" s="1"/>
  <c r="AS248" i="37"/>
  <c r="AT248" i="37" s="1"/>
  <c r="AU248" i="37" s="1"/>
  <c r="AW248" i="37" s="1"/>
  <c r="AS244" i="37"/>
  <c r="AT244" i="37" s="1"/>
  <c r="AU244" i="37" s="1"/>
  <c r="AW244" i="37" s="1"/>
  <c r="AS240" i="37"/>
  <c r="AT240" i="37" s="1"/>
  <c r="AU240" i="37" s="1"/>
  <c r="AW240" i="37" s="1"/>
  <c r="AS236" i="37"/>
  <c r="AT236" i="37" s="1"/>
  <c r="AU236" i="37" s="1"/>
  <c r="AW236" i="37" s="1"/>
  <c r="AS232" i="37"/>
  <c r="AT232" i="37" s="1"/>
  <c r="AU232" i="37" s="1"/>
  <c r="AW232" i="37" s="1"/>
  <c r="AS228" i="37"/>
  <c r="AT228" i="37" s="1"/>
  <c r="AU228" i="37" s="1"/>
  <c r="AW228" i="37" s="1"/>
  <c r="AS224" i="37"/>
  <c r="AT224" i="37" s="1"/>
  <c r="AU224" i="37" s="1"/>
  <c r="AW224" i="37" s="1"/>
  <c r="AS220" i="37"/>
  <c r="AT220" i="37" s="1"/>
  <c r="AU220" i="37" s="1"/>
  <c r="AW220" i="37" s="1"/>
  <c r="AS216" i="37"/>
  <c r="AT216" i="37" s="1"/>
  <c r="AU216" i="37" s="1"/>
  <c r="AW216" i="37" s="1"/>
  <c r="AS212" i="37"/>
  <c r="AT212" i="37" s="1"/>
  <c r="AU212" i="37" s="1"/>
  <c r="AW212" i="37" s="1"/>
  <c r="AS208" i="37"/>
  <c r="AT208" i="37" s="1"/>
  <c r="AU208" i="37" s="1"/>
  <c r="AW208" i="37" s="1"/>
  <c r="AS204" i="37"/>
  <c r="AT204" i="37" s="1"/>
  <c r="AU204" i="37" s="1"/>
  <c r="AW204" i="37" s="1"/>
  <c r="AS200" i="37"/>
  <c r="AT200" i="37" s="1"/>
  <c r="AU200" i="37" s="1"/>
  <c r="AW200" i="37" s="1"/>
  <c r="AS196" i="37"/>
  <c r="AT196" i="37" s="1"/>
  <c r="AU196" i="37" s="1"/>
  <c r="AW196" i="37" s="1"/>
  <c r="AS192" i="37"/>
  <c r="AT192" i="37" s="1"/>
  <c r="AU192" i="37" s="1"/>
  <c r="AW192" i="37" s="1"/>
  <c r="AS147" i="37"/>
  <c r="AT147" i="37" s="1"/>
  <c r="AU147" i="37" s="1"/>
  <c r="AW147" i="37" s="1"/>
  <c r="AS131" i="37"/>
  <c r="AT131" i="37" s="1"/>
  <c r="AU131" i="37" s="1"/>
  <c r="AW131" i="37" s="1"/>
  <c r="AS115" i="37"/>
  <c r="AT115" i="37" s="1"/>
  <c r="AU115" i="37" s="1"/>
  <c r="AW115" i="37" s="1"/>
  <c r="AS93" i="37"/>
  <c r="AT93" i="37" s="1"/>
  <c r="AU93" i="37" s="1"/>
  <c r="AW93" i="37" s="1"/>
  <c r="AS62" i="37"/>
  <c r="AT62" i="37" s="1"/>
  <c r="AU62" i="37" s="1"/>
  <c r="AW62" i="37" s="1"/>
  <c r="AS34" i="37"/>
  <c r="AT34" i="37" s="1"/>
  <c r="AU34" i="37" s="1"/>
  <c r="AW34" i="37" s="1"/>
  <c r="AS188" i="37"/>
  <c r="AT188" i="37" s="1"/>
  <c r="AU188" i="37" s="1"/>
  <c r="AW188" i="37" s="1"/>
  <c r="AS184" i="37"/>
  <c r="AT184" i="37" s="1"/>
  <c r="AU184" i="37" s="1"/>
  <c r="AW184" i="37" s="1"/>
  <c r="AS180" i="37"/>
  <c r="AT180" i="37" s="1"/>
  <c r="AU180" i="37" s="1"/>
  <c r="AW180" i="37" s="1"/>
  <c r="AS176" i="37"/>
  <c r="AT176" i="37" s="1"/>
  <c r="AU176" i="37" s="1"/>
  <c r="AW176" i="37" s="1"/>
  <c r="AS140" i="37"/>
  <c r="AT140" i="37" s="1"/>
  <c r="AU140" i="37" s="1"/>
  <c r="AW140" i="37" s="1"/>
  <c r="AS132" i="37"/>
  <c r="AT132" i="37" s="1"/>
  <c r="AU132" i="37" s="1"/>
  <c r="AW132" i="37" s="1"/>
  <c r="AS124" i="37"/>
  <c r="AT124" i="37" s="1"/>
  <c r="AU124" i="37" s="1"/>
  <c r="AW124" i="37" s="1"/>
  <c r="AS116" i="37"/>
  <c r="AT116" i="37" s="1"/>
  <c r="AU116" i="37" s="1"/>
  <c r="AW116" i="37" s="1"/>
  <c r="AS108" i="37"/>
  <c r="AT108" i="37" s="1"/>
  <c r="AU108" i="37" s="1"/>
  <c r="AW108" i="37" s="1"/>
  <c r="AS96" i="37"/>
  <c r="AT96" i="37" s="1"/>
  <c r="AU96" i="37" s="1"/>
  <c r="AW96" i="37" s="1"/>
  <c r="AS80" i="37"/>
  <c r="AT80" i="37" s="1"/>
  <c r="AU80" i="37" s="1"/>
  <c r="AW80" i="37" s="1"/>
  <c r="AS58" i="37"/>
  <c r="AT58" i="37" s="1"/>
  <c r="AU58" i="37" s="1"/>
  <c r="AW58" i="37" s="1"/>
  <c r="E247" i="37"/>
  <c r="F247" i="37" s="1"/>
  <c r="G247" i="37" s="1"/>
  <c r="I247" i="37" s="1"/>
  <c r="E215" i="37"/>
  <c r="F215" i="37" s="1"/>
  <c r="G215" i="37" s="1"/>
  <c r="I215" i="37" s="1"/>
  <c r="E251" i="37"/>
  <c r="F251" i="37" s="1"/>
  <c r="G251" i="37" s="1"/>
  <c r="I251" i="37" s="1"/>
  <c r="E219" i="37"/>
  <c r="F219" i="37" s="1"/>
  <c r="G219" i="37" s="1"/>
  <c r="I219" i="37" s="1"/>
  <c r="E187" i="37"/>
  <c r="F187" i="37" s="1"/>
  <c r="G187" i="37" s="1"/>
  <c r="I187" i="37" s="1"/>
  <c r="E155" i="37"/>
  <c r="F155" i="37" s="1"/>
  <c r="G155" i="37" s="1"/>
  <c r="I155" i="37" s="1"/>
  <c r="E123" i="37"/>
  <c r="F123" i="37" s="1"/>
  <c r="G123" i="37" s="1"/>
  <c r="I123" i="37" s="1"/>
  <c r="E89" i="37"/>
  <c r="F89" i="37" s="1"/>
  <c r="G89" i="37" s="1"/>
  <c r="I89" i="37" s="1"/>
  <c r="E199" i="37"/>
  <c r="F199" i="37" s="1"/>
  <c r="G199" i="37" s="1"/>
  <c r="I199" i="37" s="1"/>
  <c r="E167" i="37"/>
  <c r="F167" i="37" s="1"/>
  <c r="G167" i="37" s="1"/>
  <c r="I167" i="37" s="1"/>
  <c r="E135" i="37"/>
  <c r="F135" i="37" s="1"/>
  <c r="G135" i="37" s="1"/>
  <c r="I135" i="37" s="1"/>
  <c r="E101" i="37"/>
  <c r="F101" i="37" s="1"/>
  <c r="G101" i="37" s="1"/>
  <c r="I101" i="37" s="1"/>
  <c r="E69" i="37"/>
  <c r="F69" i="37" s="1"/>
  <c r="G69" i="37" s="1"/>
  <c r="I69" i="37" s="1"/>
  <c r="O263" i="37"/>
  <c r="P263" i="37" s="1"/>
  <c r="Q263" i="37" s="1"/>
  <c r="S263" i="37" s="1"/>
  <c r="O257" i="37"/>
  <c r="P257" i="37" s="1"/>
  <c r="Q257" i="37" s="1"/>
  <c r="S257" i="37" s="1"/>
  <c r="O252" i="37"/>
  <c r="P252" i="37" s="1"/>
  <c r="Q252" i="37" s="1"/>
  <c r="S252" i="37" s="1"/>
  <c r="O248" i="37"/>
  <c r="P248" i="37" s="1"/>
  <c r="Q248" i="37" s="1"/>
  <c r="S248" i="37" s="1"/>
  <c r="O244" i="37"/>
  <c r="P244" i="37" s="1"/>
  <c r="Q244" i="37" s="1"/>
  <c r="S244" i="37" s="1"/>
  <c r="O240" i="37"/>
  <c r="P240" i="37" s="1"/>
  <c r="Q240" i="37" s="1"/>
  <c r="S240" i="37" s="1"/>
  <c r="O236" i="37"/>
  <c r="P236" i="37" s="1"/>
  <c r="Q236" i="37" s="1"/>
  <c r="S236" i="37" s="1"/>
  <c r="O232" i="37"/>
  <c r="P232" i="37" s="1"/>
  <c r="Q232" i="37" s="1"/>
  <c r="S232" i="37" s="1"/>
  <c r="O228" i="37"/>
  <c r="P228" i="37" s="1"/>
  <c r="Q228" i="37" s="1"/>
  <c r="S228" i="37" s="1"/>
  <c r="O224" i="37"/>
  <c r="P224" i="37" s="1"/>
  <c r="Q224" i="37" s="1"/>
  <c r="S224" i="37" s="1"/>
  <c r="O220" i="37"/>
  <c r="P220" i="37" s="1"/>
  <c r="Q220" i="37" s="1"/>
  <c r="S220" i="37" s="1"/>
  <c r="O216" i="37"/>
  <c r="P216" i="37" s="1"/>
  <c r="Q216" i="37" s="1"/>
  <c r="S216" i="37" s="1"/>
  <c r="O212" i="37"/>
  <c r="P212" i="37" s="1"/>
  <c r="Q212" i="37" s="1"/>
  <c r="S212" i="37" s="1"/>
  <c r="O95" i="37"/>
  <c r="P95" i="37" s="1"/>
  <c r="Q95" i="37" s="1"/>
  <c r="S95" i="37" s="1"/>
  <c r="O38" i="37"/>
  <c r="P38" i="37" s="1"/>
  <c r="Q38" i="37" s="1"/>
  <c r="S38" i="37" s="1"/>
  <c r="O22" i="37"/>
  <c r="P22" i="37" s="1"/>
  <c r="Q22" i="37" s="1"/>
  <c r="S22" i="37" s="1"/>
  <c r="Y47" i="37"/>
  <c r="Z47" i="37" s="1"/>
  <c r="AA47" i="37" s="1"/>
  <c r="AC47" i="37" s="1"/>
  <c r="Y31" i="37"/>
  <c r="Z31" i="37" s="1"/>
  <c r="AA31" i="37" s="1"/>
  <c r="AC31" i="37" s="1"/>
  <c r="Y15" i="37"/>
  <c r="Z15" i="37" s="1"/>
  <c r="AA15" i="37" s="1"/>
  <c r="AC15" i="37" s="1"/>
  <c r="AI27" i="37"/>
  <c r="AJ27" i="37" s="1"/>
  <c r="AK27" i="37" s="1"/>
  <c r="AM27" i="37" s="1"/>
  <c r="AS118" i="37"/>
  <c r="AT118" i="37" s="1"/>
  <c r="AU118" i="37" s="1"/>
  <c r="AW118" i="37" s="1"/>
  <c r="E61" i="37"/>
  <c r="F61" i="37" s="1"/>
  <c r="G61" i="37" s="1"/>
  <c r="I61" i="37" s="1"/>
  <c r="O265" i="37"/>
  <c r="P265" i="37" s="1"/>
  <c r="Q265" i="37" s="1"/>
  <c r="S265" i="37" s="1"/>
  <c r="O253" i="37"/>
  <c r="P253" i="37" s="1"/>
  <c r="Q253" i="37" s="1"/>
  <c r="S253" i="37" s="1"/>
  <c r="E253" i="37"/>
  <c r="F253" i="37" s="1"/>
  <c r="G253" i="37" s="1"/>
  <c r="I253" i="37" s="1"/>
  <c r="E237" i="37"/>
  <c r="F237" i="37" s="1"/>
  <c r="G237" i="37" s="1"/>
  <c r="I237" i="37" s="1"/>
  <c r="E221" i="37"/>
  <c r="F221" i="37" s="1"/>
  <c r="G221" i="37" s="1"/>
  <c r="I221" i="37" s="1"/>
  <c r="E205" i="37"/>
  <c r="F205" i="37" s="1"/>
  <c r="G205" i="37" s="1"/>
  <c r="I205" i="37" s="1"/>
  <c r="E189" i="37"/>
  <c r="F189" i="37" s="1"/>
  <c r="G189" i="37" s="1"/>
  <c r="I189" i="37" s="1"/>
  <c r="E173" i="37"/>
  <c r="F173" i="37" s="1"/>
  <c r="G173" i="37" s="1"/>
  <c r="I173" i="37" s="1"/>
  <c r="E157" i="37"/>
  <c r="F157" i="37" s="1"/>
  <c r="G157" i="37" s="1"/>
  <c r="I157" i="37" s="1"/>
  <c r="E141" i="37"/>
  <c r="F141" i="37" s="1"/>
  <c r="G141" i="37" s="1"/>
  <c r="I141" i="37" s="1"/>
  <c r="E125" i="37"/>
  <c r="F125" i="37" s="1"/>
  <c r="G125" i="37" s="1"/>
  <c r="I125" i="37" s="1"/>
  <c r="E111" i="37"/>
  <c r="F111" i="37" s="1"/>
  <c r="G111" i="37" s="1"/>
  <c r="I111" i="37" s="1"/>
  <c r="E95" i="37"/>
  <c r="F95" i="37" s="1"/>
  <c r="G95" i="37" s="1"/>
  <c r="I95" i="37" s="1"/>
  <c r="E79" i="37"/>
  <c r="F79" i="37" s="1"/>
  <c r="G79" i="37" s="1"/>
  <c r="I79" i="37" s="1"/>
  <c r="E63" i="37"/>
  <c r="F63" i="37" s="1"/>
  <c r="G63" i="37" s="1"/>
  <c r="I63" i="37" s="1"/>
  <c r="E48" i="37"/>
  <c r="F48" i="37" s="1"/>
  <c r="G48" i="37" s="1"/>
  <c r="I48" i="37" s="1"/>
  <c r="E40" i="37"/>
  <c r="F40" i="37" s="1"/>
  <c r="G40" i="37" s="1"/>
  <c r="I40" i="37" s="1"/>
  <c r="E32" i="37"/>
  <c r="F32" i="37" s="1"/>
  <c r="G32" i="37" s="1"/>
  <c r="I32" i="37" s="1"/>
  <c r="E24" i="37"/>
  <c r="F24" i="37" s="1"/>
  <c r="G24" i="37" s="1"/>
  <c r="I24" i="37" s="1"/>
  <c r="E16" i="37"/>
  <c r="F16" i="37" s="1"/>
  <c r="G16" i="37" s="1"/>
  <c r="I16" i="37" s="1"/>
  <c r="O99" i="37"/>
  <c r="P99" i="37" s="1"/>
  <c r="Q99" i="37" s="1"/>
  <c r="S99" i="37" s="1"/>
  <c r="O42" i="37"/>
  <c r="P42" i="37" s="1"/>
  <c r="Q42" i="37" s="1"/>
  <c r="S42" i="37" s="1"/>
  <c r="O26" i="37"/>
  <c r="P26" i="37" s="1"/>
  <c r="Q26" i="37" s="1"/>
  <c r="S26" i="37" s="1"/>
  <c r="O10" i="37"/>
  <c r="P10" i="37" s="1"/>
  <c r="Q10" i="37" s="1"/>
  <c r="S10" i="37" s="1"/>
  <c r="Y261" i="37"/>
  <c r="Z261" i="37" s="1"/>
  <c r="AA261" i="37" s="1"/>
  <c r="AC261" i="37" s="1"/>
  <c r="Y253" i="37"/>
  <c r="Z253" i="37" s="1"/>
  <c r="AA253" i="37" s="1"/>
  <c r="AC253" i="37" s="1"/>
  <c r="Y245" i="37"/>
  <c r="Z245" i="37" s="1"/>
  <c r="AA245" i="37" s="1"/>
  <c r="AC245" i="37" s="1"/>
  <c r="Y237" i="37"/>
  <c r="Z237" i="37" s="1"/>
  <c r="AA237" i="37" s="1"/>
  <c r="AC237" i="37" s="1"/>
  <c r="Y229" i="37"/>
  <c r="Z229" i="37" s="1"/>
  <c r="AA229" i="37" s="1"/>
  <c r="AC229" i="37" s="1"/>
  <c r="Y221" i="37"/>
  <c r="Z221" i="37" s="1"/>
  <c r="AA221" i="37" s="1"/>
  <c r="AC221" i="37" s="1"/>
  <c r="Y213" i="37"/>
  <c r="Z213" i="37" s="1"/>
  <c r="AA213" i="37" s="1"/>
  <c r="AC213" i="37" s="1"/>
  <c r="Y205" i="37"/>
  <c r="Z205" i="37" s="1"/>
  <c r="AA205" i="37" s="1"/>
  <c r="AC205" i="37" s="1"/>
  <c r="Y197" i="37"/>
  <c r="Z197" i="37" s="1"/>
  <c r="AA197" i="37" s="1"/>
  <c r="AC197" i="37" s="1"/>
  <c r="Y189" i="37"/>
  <c r="Z189" i="37" s="1"/>
  <c r="AA189" i="37" s="1"/>
  <c r="AC189" i="37" s="1"/>
  <c r="Y44" i="37"/>
  <c r="Z44" i="37" s="1"/>
  <c r="AA44" i="37" s="1"/>
  <c r="AC44" i="37" s="1"/>
  <c r="Y28" i="37"/>
  <c r="Z28" i="37" s="1"/>
  <c r="AA28" i="37" s="1"/>
  <c r="AC28" i="37" s="1"/>
  <c r="BW81" i="37"/>
  <c r="BX81" i="37" s="1"/>
  <c r="BY81" i="37" s="1"/>
  <c r="CA81" i="37" s="1"/>
  <c r="BC82" i="37"/>
  <c r="BD82" i="37" s="1"/>
  <c r="BE82" i="37" s="1"/>
  <c r="BG82" i="37" s="1"/>
  <c r="EE82" i="37"/>
  <c r="EF82" i="37" s="1"/>
  <c r="EG82" i="37" s="1"/>
  <c r="EI82" i="37" s="1"/>
  <c r="DK83" i="37"/>
  <c r="DL83" i="37" s="1"/>
  <c r="DM83" i="37" s="1"/>
  <c r="DO83" i="37" s="1"/>
  <c r="CQ84" i="37"/>
  <c r="CR84" i="37" s="1"/>
  <c r="CS84" i="37" s="1"/>
  <c r="CU84" i="37" s="1"/>
  <c r="BW85" i="37"/>
  <c r="BX85" i="37" s="1"/>
  <c r="BY85" i="37" s="1"/>
  <c r="CA85" i="37" s="1"/>
  <c r="BC86" i="37"/>
  <c r="BD86" i="37" s="1"/>
  <c r="BE86" i="37" s="1"/>
  <c r="BG86" i="37" s="1"/>
  <c r="EE86" i="37"/>
  <c r="EF86" i="37" s="1"/>
  <c r="EG86" i="37" s="1"/>
  <c r="EI86" i="37" s="1"/>
  <c r="CG89" i="37"/>
  <c r="CH89" i="37" s="1"/>
  <c r="CI89" i="37" s="1"/>
  <c r="CK89" i="37" s="1"/>
  <c r="CG97" i="37"/>
  <c r="CH97" i="37" s="1"/>
  <c r="CI97" i="37" s="1"/>
  <c r="CK97" i="37" s="1"/>
  <c r="BM102" i="37"/>
  <c r="BN102" i="37" s="1"/>
  <c r="BO102" i="37" s="1"/>
  <c r="BQ102" i="37" s="1"/>
  <c r="EE304" i="37"/>
  <c r="EF304" i="37" s="1"/>
  <c r="EG304" i="37" s="1"/>
  <c r="EI304" i="37" s="1"/>
  <c r="EE296" i="37"/>
  <c r="EF296" i="37" s="1"/>
  <c r="EG296" i="37" s="1"/>
  <c r="EI296" i="37" s="1"/>
  <c r="EE288" i="37"/>
  <c r="EF288" i="37" s="1"/>
  <c r="EG288" i="37" s="1"/>
  <c r="EI288" i="37" s="1"/>
  <c r="EE280" i="37"/>
  <c r="EF280" i="37" s="1"/>
  <c r="EG280" i="37" s="1"/>
  <c r="EI280" i="37" s="1"/>
  <c r="EE275" i="37"/>
  <c r="EF275" i="37" s="1"/>
  <c r="EG275" i="37" s="1"/>
  <c r="EI275" i="37" s="1"/>
  <c r="EE267" i="37"/>
  <c r="EF267" i="37" s="1"/>
  <c r="EG267" i="37" s="1"/>
  <c r="EI267" i="37" s="1"/>
  <c r="EE218" i="37"/>
  <c r="EF218" i="37" s="1"/>
  <c r="EG218" i="37" s="1"/>
  <c r="EI218" i="37" s="1"/>
  <c r="EE307" i="37"/>
  <c r="EF307" i="37" s="1"/>
  <c r="EG307" i="37" s="1"/>
  <c r="EI307" i="37" s="1"/>
  <c r="EE212" i="37"/>
  <c r="EF212" i="37" s="1"/>
  <c r="EG212" i="37" s="1"/>
  <c r="EI212" i="37" s="1"/>
  <c r="EE204" i="37"/>
  <c r="EF204" i="37" s="1"/>
  <c r="EG204" i="37" s="1"/>
  <c r="EI204" i="37" s="1"/>
  <c r="EE196" i="37"/>
  <c r="EF196" i="37" s="1"/>
  <c r="EG196" i="37" s="1"/>
  <c r="EI196" i="37" s="1"/>
  <c r="EE179" i="37"/>
  <c r="EF179" i="37" s="1"/>
  <c r="EG179" i="37" s="1"/>
  <c r="EI179" i="37" s="1"/>
  <c r="EE169" i="37"/>
  <c r="EF169" i="37" s="1"/>
  <c r="EG169" i="37" s="1"/>
  <c r="EI169" i="37" s="1"/>
  <c r="EE161" i="37"/>
  <c r="EF161" i="37" s="1"/>
  <c r="EG161" i="37" s="1"/>
  <c r="EI161" i="37" s="1"/>
  <c r="BW312" i="37"/>
  <c r="BX312" i="37" s="1"/>
  <c r="BY312" i="37" s="1"/>
  <c r="CA312" i="37" s="1"/>
  <c r="BC314" i="37"/>
  <c r="BD314" i="37" s="1"/>
  <c r="BE314" i="37" s="1"/>
  <c r="BG314" i="37" s="1"/>
  <c r="DK315" i="37"/>
  <c r="DL315" i="37" s="1"/>
  <c r="DM315" i="37" s="1"/>
  <c r="DO315" i="37" s="1"/>
  <c r="BW317" i="37"/>
  <c r="BX317" i="37" s="1"/>
  <c r="BY317" i="37" s="1"/>
  <c r="CA317" i="37" s="1"/>
  <c r="EE318" i="37"/>
  <c r="EF318" i="37" s="1"/>
  <c r="EG318" i="37" s="1"/>
  <c r="EI318" i="37" s="1"/>
  <c r="CQ320" i="37"/>
  <c r="CR320" i="37" s="1"/>
  <c r="CS320" i="37" s="1"/>
  <c r="CU320" i="37" s="1"/>
  <c r="BC322" i="37"/>
  <c r="BD322" i="37" s="1"/>
  <c r="BE322" i="37" s="1"/>
  <c r="BG322" i="37" s="1"/>
  <c r="DK323" i="37"/>
  <c r="DL323" i="37" s="1"/>
  <c r="DM323" i="37" s="1"/>
  <c r="DO323" i="37" s="1"/>
  <c r="BW325" i="37"/>
  <c r="BX325" i="37" s="1"/>
  <c r="BY325" i="37" s="1"/>
  <c r="CA325" i="37" s="1"/>
  <c r="EE326" i="37"/>
  <c r="EF326" i="37" s="1"/>
  <c r="EG326" i="37" s="1"/>
  <c r="EI326" i="37" s="1"/>
  <c r="CQ328" i="37"/>
  <c r="CR328" i="37" s="1"/>
  <c r="CS328" i="37" s="1"/>
  <c r="CU328" i="37" s="1"/>
  <c r="BC330" i="37"/>
  <c r="BD330" i="37" s="1"/>
  <c r="BE330" i="37" s="1"/>
  <c r="BG330" i="37" s="1"/>
  <c r="DK331" i="37"/>
  <c r="DL331" i="37" s="1"/>
  <c r="DM331" i="37" s="1"/>
  <c r="DO331" i="37" s="1"/>
  <c r="BW333" i="37"/>
  <c r="BX333" i="37" s="1"/>
  <c r="BY333" i="37" s="1"/>
  <c r="CA333" i="37" s="1"/>
  <c r="EE334" i="37"/>
  <c r="EF334" i="37" s="1"/>
  <c r="EG334" i="37" s="1"/>
  <c r="EI334" i="37" s="1"/>
  <c r="CQ336" i="37"/>
  <c r="CR336" i="37" s="1"/>
  <c r="CS336" i="37" s="1"/>
  <c r="CU336" i="37" s="1"/>
  <c r="BC338" i="37"/>
  <c r="BD338" i="37" s="1"/>
  <c r="BE338" i="37" s="1"/>
  <c r="BG338" i="37" s="1"/>
  <c r="DK339" i="37"/>
  <c r="DL339" i="37" s="1"/>
  <c r="DM339" i="37" s="1"/>
  <c r="DO339" i="37" s="1"/>
  <c r="BW341" i="37"/>
  <c r="BX341" i="37" s="1"/>
  <c r="BY341" i="37" s="1"/>
  <c r="CA341" i="37" s="1"/>
  <c r="EE342" i="37"/>
  <c r="EF342" i="37" s="1"/>
  <c r="EG342" i="37" s="1"/>
  <c r="EI342" i="37" s="1"/>
  <c r="CQ344" i="37"/>
  <c r="CR344" i="37" s="1"/>
  <c r="CS344" i="37" s="1"/>
  <c r="CU344" i="37" s="1"/>
  <c r="EO345" i="37"/>
  <c r="EP345" i="37" s="1"/>
  <c r="EQ345" i="37" s="1"/>
  <c r="ES345" i="37" s="1"/>
  <c r="DA347" i="37"/>
  <c r="DB347" i="37" s="1"/>
  <c r="DC347" i="37" s="1"/>
  <c r="DE347" i="37" s="1"/>
  <c r="CG10" i="37"/>
  <c r="CH10" i="37" s="1"/>
  <c r="CI10" i="37" s="1"/>
  <c r="CK10" i="37" s="1"/>
  <c r="EO11" i="37"/>
  <c r="EP11" i="37" s="1"/>
  <c r="EQ11" i="37" s="1"/>
  <c r="ES11" i="37" s="1"/>
  <c r="DA13" i="37"/>
  <c r="DB13" i="37" s="1"/>
  <c r="DC13" i="37" s="1"/>
  <c r="DE13" i="37" s="1"/>
  <c r="BW37" i="37"/>
  <c r="BX37" i="37" s="1"/>
  <c r="BY37" i="37" s="1"/>
  <c r="CA37" i="37" s="1"/>
  <c r="BM38" i="37"/>
  <c r="BN38" i="37" s="1"/>
  <c r="BO38" i="37" s="1"/>
  <c r="BQ38" i="37" s="1"/>
  <c r="CQ39" i="37"/>
  <c r="CR39" i="37" s="1"/>
  <c r="CS39" i="37" s="1"/>
  <c r="CU39" i="37" s="1"/>
  <c r="BC41" i="37"/>
  <c r="BD41" i="37" s="1"/>
  <c r="BE41" i="37" s="1"/>
  <c r="BG41" i="37" s="1"/>
  <c r="DK42" i="37"/>
  <c r="DL42" i="37" s="1"/>
  <c r="DM42" i="37" s="1"/>
  <c r="DO42" i="37" s="1"/>
  <c r="BW44" i="37"/>
  <c r="BX44" i="37" s="1"/>
  <c r="BY44" i="37" s="1"/>
  <c r="CA44" i="37" s="1"/>
  <c r="EE45" i="37"/>
  <c r="EF45" i="37" s="1"/>
  <c r="EG45" i="37" s="1"/>
  <c r="EI45" i="37" s="1"/>
  <c r="CQ47" i="37"/>
  <c r="CR47" i="37" s="1"/>
  <c r="CS47" i="37" s="1"/>
  <c r="CU47" i="37" s="1"/>
  <c r="BW52" i="37"/>
  <c r="BX52" i="37" s="1"/>
  <c r="BY52" i="37" s="1"/>
  <c r="CA52" i="37" s="1"/>
  <c r="EE53" i="37"/>
  <c r="EF53" i="37" s="1"/>
  <c r="EG53" i="37" s="1"/>
  <c r="EI53" i="37" s="1"/>
  <c r="BW88" i="37"/>
  <c r="BX88" i="37" s="1"/>
  <c r="BY88" i="37" s="1"/>
  <c r="CA88" i="37" s="1"/>
  <c r="EE89" i="37"/>
  <c r="EF89" i="37" s="1"/>
  <c r="EG89" i="37" s="1"/>
  <c r="EI89" i="37" s="1"/>
  <c r="CQ91" i="37"/>
  <c r="CR91" i="37" s="1"/>
  <c r="CS91" i="37" s="1"/>
  <c r="CU91" i="37" s="1"/>
  <c r="BC93" i="37"/>
  <c r="BD93" i="37" s="1"/>
  <c r="BE93" i="37" s="1"/>
  <c r="BG93" i="37" s="1"/>
  <c r="DK94" i="37"/>
  <c r="DL94" i="37" s="1"/>
  <c r="DM94" i="37" s="1"/>
  <c r="DO94" i="37" s="1"/>
  <c r="BW96" i="37"/>
  <c r="BX96" i="37" s="1"/>
  <c r="BY96" i="37" s="1"/>
  <c r="CA96" i="37" s="1"/>
  <c r="EE97" i="37"/>
  <c r="EF97" i="37" s="1"/>
  <c r="EG97" i="37" s="1"/>
  <c r="EI97" i="37" s="1"/>
  <c r="CQ99" i="37"/>
  <c r="CR99" i="37" s="1"/>
  <c r="CS99" i="37" s="1"/>
  <c r="CU99" i="37" s="1"/>
  <c r="BC101" i="37"/>
  <c r="BD101" i="37" s="1"/>
  <c r="BE101" i="37" s="1"/>
  <c r="BG101" i="37" s="1"/>
  <c r="DK102" i="37"/>
  <c r="DL102" i="37" s="1"/>
  <c r="DM102" i="37" s="1"/>
  <c r="DO102" i="37" s="1"/>
  <c r="BW104" i="37"/>
  <c r="BX104" i="37" s="1"/>
  <c r="BY104" i="37" s="1"/>
  <c r="CA104" i="37" s="1"/>
  <c r="DU105" i="37"/>
  <c r="DV105" i="37" s="1"/>
  <c r="DW105" i="37" s="1"/>
  <c r="DY105" i="37" s="1"/>
  <c r="BM107" i="37"/>
  <c r="BN107" i="37" s="1"/>
  <c r="BO107" i="37" s="1"/>
  <c r="BQ107" i="37" s="1"/>
  <c r="EO107" i="37"/>
  <c r="EP107" i="37" s="1"/>
  <c r="EQ107" i="37" s="1"/>
  <c r="ES107" i="37" s="1"/>
  <c r="DU108" i="37"/>
  <c r="DV108" i="37" s="1"/>
  <c r="DW108" i="37" s="1"/>
  <c r="DY108" i="37" s="1"/>
  <c r="DA109" i="37"/>
  <c r="DB109" i="37" s="1"/>
  <c r="DC109" i="37" s="1"/>
  <c r="DE109" i="37" s="1"/>
  <c r="CG110" i="37"/>
  <c r="CH110" i="37" s="1"/>
  <c r="CI110" i="37" s="1"/>
  <c r="CK110" i="37" s="1"/>
  <c r="BM111" i="37"/>
  <c r="BN111" i="37" s="1"/>
  <c r="BO111" i="37" s="1"/>
  <c r="BQ111" i="37" s="1"/>
  <c r="EO111" i="37"/>
  <c r="EP111" i="37" s="1"/>
  <c r="EQ111" i="37" s="1"/>
  <c r="ES111" i="37" s="1"/>
  <c r="DU112" i="37"/>
  <c r="DV112" i="37" s="1"/>
  <c r="DW112" i="37" s="1"/>
  <c r="DY112" i="37" s="1"/>
  <c r="DA113" i="37"/>
  <c r="DB113" i="37" s="1"/>
  <c r="DC113" i="37" s="1"/>
  <c r="DE113" i="37" s="1"/>
  <c r="CG114" i="37"/>
  <c r="CH114" i="37" s="1"/>
  <c r="CI114" i="37" s="1"/>
  <c r="CK114" i="37" s="1"/>
  <c r="BM115" i="37"/>
  <c r="BN115" i="37" s="1"/>
  <c r="BO115" i="37" s="1"/>
  <c r="BQ115" i="37" s="1"/>
  <c r="EO115" i="37"/>
  <c r="EP115" i="37" s="1"/>
  <c r="EQ115" i="37" s="1"/>
  <c r="ES115" i="37" s="1"/>
  <c r="DU116" i="37"/>
  <c r="DV116" i="37" s="1"/>
  <c r="DW116" i="37" s="1"/>
  <c r="DY116" i="37" s="1"/>
  <c r="DA117" i="37"/>
  <c r="DB117" i="37" s="1"/>
  <c r="DC117" i="37" s="1"/>
  <c r="DE117" i="37" s="1"/>
  <c r="CG118" i="37"/>
  <c r="CH118" i="37" s="1"/>
  <c r="CI118" i="37" s="1"/>
  <c r="CK118" i="37" s="1"/>
  <c r="BM119" i="37"/>
  <c r="BN119" i="37" s="1"/>
  <c r="BO119" i="37" s="1"/>
  <c r="BQ119" i="37" s="1"/>
  <c r="EO119" i="37"/>
  <c r="EP119" i="37" s="1"/>
  <c r="EQ119" i="37" s="1"/>
  <c r="ES119" i="37" s="1"/>
  <c r="DU120" i="37"/>
  <c r="DV120" i="37" s="1"/>
  <c r="DW120" i="37" s="1"/>
  <c r="DY120" i="37" s="1"/>
  <c r="DA9" i="37"/>
  <c r="DB9" i="37" s="1"/>
  <c r="DC9" i="37" s="1"/>
  <c r="DE9" i="37" s="1"/>
  <c r="EO341" i="37"/>
  <c r="EP341" i="37" s="1"/>
  <c r="EQ341" i="37" s="1"/>
  <c r="ES341" i="37" s="1"/>
  <c r="EO333" i="37"/>
  <c r="EP333" i="37" s="1"/>
  <c r="EQ333" i="37" s="1"/>
  <c r="ES333" i="37" s="1"/>
  <c r="EO325" i="37"/>
  <c r="EP325" i="37" s="1"/>
  <c r="EQ325" i="37" s="1"/>
  <c r="ES325" i="37" s="1"/>
  <c r="EO317" i="37"/>
  <c r="EP317" i="37" s="1"/>
  <c r="EQ317" i="37" s="1"/>
  <c r="ES317" i="37" s="1"/>
  <c r="EO309" i="37"/>
  <c r="EP309" i="37" s="1"/>
  <c r="EQ309" i="37" s="1"/>
  <c r="ES309" i="37" s="1"/>
  <c r="EO301" i="37"/>
  <c r="EP301" i="37" s="1"/>
  <c r="EQ301" i="37" s="1"/>
  <c r="ES301" i="37" s="1"/>
  <c r="EO293" i="37"/>
  <c r="EP293" i="37" s="1"/>
  <c r="EQ293" i="37" s="1"/>
  <c r="ES293" i="37" s="1"/>
  <c r="EO285" i="37"/>
  <c r="EP285" i="37" s="1"/>
  <c r="EQ285" i="37" s="1"/>
  <c r="ES285" i="37" s="1"/>
  <c r="EO277" i="37"/>
  <c r="EP277" i="37" s="1"/>
  <c r="EQ277" i="37" s="1"/>
  <c r="ES277" i="37" s="1"/>
  <c r="EO269" i="37"/>
  <c r="EP269" i="37" s="1"/>
  <c r="EQ269" i="37" s="1"/>
  <c r="ES269" i="37" s="1"/>
  <c r="EO261" i="37"/>
  <c r="EP261" i="37" s="1"/>
  <c r="EQ261" i="37" s="1"/>
  <c r="ES261" i="37" s="1"/>
  <c r="EO171" i="37"/>
  <c r="EP171" i="37" s="1"/>
  <c r="EQ171" i="37" s="1"/>
  <c r="ES171" i="37" s="1"/>
  <c r="EO162" i="37"/>
  <c r="EP162" i="37" s="1"/>
  <c r="EQ162" i="37" s="1"/>
  <c r="ES162" i="37" s="1"/>
  <c r="EO121" i="37"/>
  <c r="EP121" i="37" s="1"/>
  <c r="EQ121" i="37" s="1"/>
  <c r="ES121" i="37" s="1"/>
  <c r="EO211" i="37"/>
  <c r="EP211" i="37" s="1"/>
  <c r="EQ211" i="37" s="1"/>
  <c r="ES211" i="37" s="1"/>
  <c r="EO203" i="37"/>
  <c r="EP203" i="37" s="1"/>
  <c r="EQ203" i="37" s="1"/>
  <c r="ES203" i="37" s="1"/>
  <c r="EO195" i="37"/>
  <c r="EP195" i="37" s="1"/>
  <c r="EQ195" i="37" s="1"/>
  <c r="ES195" i="37" s="1"/>
  <c r="EO177" i="37"/>
  <c r="EP177" i="37" s="1"/>
  <c r="EQ177" i="37" s="1"/>
  <c r="ES177" i="37" s="1"/>
  <c r="DU345" i="37"/>
  <c r="DV345" i="37" s="1"/>
  <c r="DW345" i="37" s="1"/>
  <c r="DY345" i="37" s="1"/>
  <c r="DU337" i="37"/>
  <c r="DV337" i="37" s="1"/>
  <c r="DW337" i="37" s="1"/>
  <c r="DY337" i="37" s="1"/>
  <c r="DU329" i="37"/>
  <c r="DV329" i="37" s="1"/>
  <c r="DW329" i="37" s="1"/>
  <c r="DY329" i="37" s="1"/>
  <c r="DU321" i="37"/>
  <c r="DV321" i="37" s="1"/>
  <c r="DW321" i="37" s="1"/>
  <c r="DY321" i="37" s="1"/>
  <c r="DU313" i="37"/>
  <c r="DV313" i="37" s="1"/>
  <c r="DW313" i="37" s="1"/>
  <c r="DY313" i="37" s="1"/>
  <c r="DU305" i="37"/>
  <c r="DV305" i="37" s="1"/>
  <c r="DW305" i="37" s="1"/>
  <c r="DY305" i="37" s="1"/>
  <c r="DU297" i="37"/>
  <c r="DV297" i="37" s="1"/>
  <c r="DW297" i="37" s="1"/>
  <c r="DY297" i="37" s="1"/>
  <c r="DU289" i="37"/>
  <c r="DV289" i="37" s="1"/>
  <c r="DW289" i="37" s="1"/>
  <c r="DY289" i="37" s="1"/>
  <c r="DU281" i="37"/>
  <c r="DV281" i="37" s="1"/>
  <c r="DW281" i="37" s="1"/>
  <c r="DY281" i="37" s="1"/>
  <c r="DU273" i="37"/>
  <c r="DV273" i="37" s="1"/>
  <c r="DW273" i="37" s="1"/>
  <c r="DY273" i="37" s="1"/>
  <c r="DU265" i="37"/>
  <c r="DV265" i="37" s="1"/>
  <c r="DW265" i="37" s="1"/>
  <c r="DY265" i="37" s="1"/>
  <c r="DU181" i="37"/>
  <c r="DV181" i="37" s="1"/>
  <c r="DW181" i="37" s="1"/>
  <c r="DY181" i="37" s="1"/>
  <c r="DU164" i="37"/>
  <c r="DV164" i="37" s="1"/>
  <c r="DW164" i="37" s="1"/>
  <c r="DY164" i="37" s="1"/>
  <c r="DU156" i="37"/>
  <c r="DV156" i="37" s="1"/>
  <c r="DW156" i="37" s="1"/>
  <c r="DY156" i="37" s="1"/>
  <c r="DU213" i="37"/>
  <c r="DV213" i="37" s="1"/>
  <c r="DW213" i="37" s="1"/>
  <c r="DY213" i="37" s="1"/>
  <c r="DU205" i="37"/>
  <c r="DV205" i="37" s="1"/>
  <c r="DW205" i="37" s="1"/>
  <c r="DY205" i="37" s="1"/>
  <c r="DU197" i="37"/>
  <c r="DV197" i="37" s="1"/>
  <c r="DW197" i="37" s="1"/>
  <c r="DY197" i="37" s="1"/>
  <c r="DU180" i="37"/>
  <c r="DV180" i="37" s="1"/>
  <c r="DW180" i="37" s="1"/>
  <c r="DY180" i="37" s="1"/>
  <c r="DU170" i="37"/>
  <c r="DV170" i="37" s="1"/>
  <c r="DW170" i="37" s="1"/>
  <c r="DY170" i="37" s="1"/>
  <c r="DA341" i="37"/>
  <c r="DB341" i="37" s="1"/>
  <c r="DC341" i="37" s="1"/>
  <c r="DE341" i="37" s="1"/>
  <c r="DA333" i="37"/>
  <c r="DB333" i="37" s="1"/>
  <c r="DC333" i="37" s="1"/>
  <c r="DE333" i="37" s="1"/>
  <c r="DA325" i="37"/>
  <c r="DB325" i="37" s="1"/>
  <c r="DC325" i="37" s="1"/>
  <c r="DE325" i="37" s="1"/>
  <c r="DA317" i="37"/>
  <c r="DB317" i="37" s="1"/>
  <c r="DC317" i="37" s="1"/>
  <c r="DE317" i="37" s="1"/>
  <c r="DA309" i="37"/>
  <c r="DB309" i="37" s="1"/>
  <c r="DC309" i="37" s="1"/>
  <c r="DE309" i="37" s="1"/>
  <c r="DA301" i="37"/>
  <c r="DB301" i="37" s="1"/>
  <c r="DC301" i="37" s="1"/>
  <c r="DE301" i="37" s="1"/>
  <c r="DA293" i="37"/>
  <c r="DB293" i="37" s="1"/>
  <c r="DC293" i="37" s="1"/>
  <c r="DE293" i="37" s="1"/>
  <c r="DA285" i="37"/>
  <c r="DB285" i="37" s="1"/>
  <c r="DC285" i="37" s="1"/>
  <c r="DE285" i="37" s="1"/>
  <c r="DA277" i="37"/>
  <c r="DB277" i="37" s="1"/>
  <c r="DC277" i="37" s="1"/>
  <c r="DE277" i="37" s="1"/>
  <c r="DA269" i="37"/>
  <c r="DB269" i="37" s="1"/>
  <c r="DC269" i="37" s="1"/>
  <c r="DE269" i="37" s="1"/>
  <c r="DA219" i="37"/>
  <c r="DB219" i="37" s="1"/>
  <c r="DC219" i="37" s="1"/>
  <c r="DE219" i="37" s="1"/>
  <c r="DA168" i="37"/>
  <c r="DB168" i="37" s="1"/>
  <c r="DC168" i="37" s="1"/>
  <c r="DE168" i="37" s="1"/>
  <c r="DA160" i="37"/>
  <c r="DB160" i="37" s="1"/>
  <c r="DC160" i="37" s="1"/>
  <c r="DE160" i="37" s="1"/>
  <c r="DA218" i="37"/>
  <c r="DB218" i="37" s="1"/>
  <c r="DC218" i="37" s="1"/>
  <c r="DE218" i="37" s="1"/>
  <c r="DA210" i="37"/>
  <c r="DB210" i="37" s="1"/>
  <c r="DC210" i="37" s="1"/>
  <c r="DE210" i="37" s="1"/>
  <c r="DA202" i="37"/>
  <c r="DB202" i="37" s="1"/>
  <c r="DC202" i="37" s="1"/>
  <c r="DE202" i="37" s="1"/>
  <c r="DA194" i="37"/>
  <c r="DB194" i="37" s="1"/>
  <c r="DC194" i="37" s="1"/>
  <c r="DE194" i="37" s="1"/>
  <c r="DA174" i="37"/>
  <c r="DB174" i="37" s="1"/>
  <c r="DC174" i="37" s="1"/>
  <c r="DE174" i="37" s="1"/>
  <c r="CQ303" i="37"/>
  <c r="CR303" i="37" s="1"/>
  <c r="CS303" i="37" s="1"/>
  <c r="CU303" i="37" s="1"/>
  <c r="CQ295" i="37"/>
  <c r="CR295" i="37" s="1"/>
  <c r="CS295" i="37" s="1"/>
  <c r="CU295" i="37" s="1"/>
  <c r="CQ287" i="37"/>
  <c r="CR287" i="37" s="1"/>
  <c r="CS287" i="37" s="1"/>
  <c r="CU287" i="37" s="1"/>
  <c r="CQ279" i="37"/>
  <c r="CR279" i="37" s="1"/>
  <c r="CS279" i="37" s="1"/>
  <c r="CU279" i="37" s="1"/>
  <c r="CQ273" i="37"/>
  <c r="CR273" i="37" s="1"/>
  <c r="CS273" i="37" s="1"/>
  <c r="CU273" i="37" s="1"/>
  <c r="CQ265" i="37"/>
  <c r="CR265" i="37" s="1"/>
  <c r="CS265" i="37" s="1"/>
  <c r="CU265" i="37" s="1"/>
  <c r="CQ174" i="37"/>
  <c r="CR174" i="37" s="1"/>
  <c r="CS174" i="37" s="1"/>
  <c r="CU174" i="37" s="1"/>
  <c r="CQ219" i="37"/>
  <c r="CR219" i="37" s="1"/>
  <c r="CS219" i="37" s="1"/>
  <c r="CU219" i="37" s="1"/>
  <c r="CQ210" i="37"/>
  <c r="CR210" i="37" s="1"/>
  <c r="CS210" i="37" s="1"/>
  <c r="CU210" i="37" s="1"/>
  <c r="CQ202" i="37"/>
  <c r="CR202" i="37" s="1"/>
  <c r="CS202" i="37" s="1"/>
  <c r="CU202" i="37" s="1"/>
  <c r="CQ194" i="37"/>
  <c r="CR194" i="37" s="1"/>
  <c r="CS194" i="37" s="1"/>
  <c r="CU194" i="37" s="1"/>
  <c r="CQ176" i="37"/>
  <c r="CR176" i="37" s="1"/>
  <c r="CS176" i="37" s="1"/>
  <c r="CU176" i="37" s="1"/>
  <c r="CQ166" i="37"/>
  <c r="CR166" i="37" s="1"/>
  <c r="CS166" i="37" s="1"/>
  <c r="CU166" i="37" s="1"/>
  <c r="CQ158" i="37"/>
  <c r="CR158" i="37" s="1"/>
  <c r="CS158" i="37" s="1"/>
  <c r="CU158" i="37" s="1"/>
  <c r="BC303" i="37"/>
  <c r="BD303" i="37" s="1"/>
  <c r="BE303" i="37" s="1"/>
  <c r="BG303" i="37" s="1"/>
  <c r="BC295" i="37"/>
  <c r="BD295" i="37" s="1"/>
  <c r="BE295" i="37" s="1"/>
  <c r="BG295" i="37" s="1"/>
  <c r="BC287" i="37"/>
  <c r="BD287" i="37" s="1"/>
  <c r="BE287" i="37" s="1"/>
  <c r="BG287" i="37" s="1"/>
  <c r="BC279" i="37"/>
  <c r="BD279" i="37" s="1"/>
  <c r="BE279" i="37" s="1"/>
  <c r="BG279" i="37" s="1"/>
  <c r="BC274" i="37"/>
  <c r="BD274" i="37" s="1"/>
  <c r="BE274" i="37" s="1"/>
  <c r="BG274" i="37" s="1"/>
  <c r="BC266" i="37"/>
  <c r="BD266" i="37" s="1"/>
  <c r="BE266" i="37" s="1"/>
  <c r="BG266" i="37" s="1"/>
  <c r="BC183" i="37"/>
  <c r="BD183" i="37" s="1"/>
  <c r="BE183" i="37" s="1"/>
  <c r="BG183" i="37" s="1"/>
  <c r="BC309" i="37"/>
  <c r="BD309" i="37" s="1"/>
  <c r="BE309" i="37" s="1"/>
  <c r="BG309" i="37" s="1"/>
  <c r="BC214" i="37"/>
  <c r="BD214" i="37" s="1"/>
  <c r="BE214" i="37" s="1"/>
  <c r="BG214" i="37" s="1"/>
  <c r="BC206" i="37"/>
  <c r="BD206" i="37" s="1"/>
  <c r="BE206" i="37" s="1"/>
  <c r="BG206" i="37" s="1"/>
  <c r="BC198" i="37"/>
  <c r="BD198" i="37" s="1"/>
  <c r="BE198" i="37" s="1"/>
  <c r="BG198" i="37" s="1"/>
  <c r="BC180" i="37"/>
  <c r="BD180" i="37" s="1"/>
  <c r="BE180" i="37" s="1"/>
  <c r="BG180" i="37" s="1"/>
  <c r="BC169" i="37"/>
  <c r="BD169" i="37" s="1"/>
  <c r="BE169" i="37" s="1"/>
  <c r="BG169" i="37" s="1"/>
  <c r="BC161" i="37"/>
  <c r="BD161" i="37" s="1"/>
  <c r="BE161" i="37" s="1"/>
  <c r="BG161" i="37" s="1"/>
  <c r="CG91" i="37"/>
  <c r="CH91" i="37" s="1"/>
  <c r="CI91" i="37" s="1"/>
  <c r="CK91" i="37" s="1"/>
  <c r="DK105" i="37"/>
  <c r="DL105" i="37" s="1"/>
  <c r="DM105" i="37" s="1"/>
  <c r="DO105" i="37" s="1"/>
  <c r="DK298" i="37"/>
  <c r="DL298" i="37" s="1"/>
  <c r="DM298" i="37" s="1"/>
  <c r="DO298" i="37" s="1"/>
  <c r="DK290" i="37"/>
  <c r="DL290" i="37" s="1"/>
  <c r="DM290" i="37" s="1"/>
  <c r="DO290" i="37" s="1"/>
  <c r="DK282" i="37"/>
  <c r="DL282" i="37" s="1"/>
  <c r="DM282" i="37" s="1"/>
  <c r="DO282" i="37" s="1"/>
  <c r="DK276" i="37"/>
  <c r="DL276" i="37" s="1"/>
  <c r="DM276" i="37" s="1"/>
  <c r="DO276" i="37" s="1"/>
  <c r="DK268" i="37"/>
  <c r="DL268" i="37" s="1"/>
  <c r="DM268" i="37" s="1"/>
  <c r="DO268" i="37" s="1"/>
  <c r="DK184" i="37"/>
  <c r="DL184" i="37" s="1"/>
  <c r="DM184" i="37" s="1"/>
  <c r="DO184" i="37" s="1"/>
  <c r="DK309" i="37"/>
  <c r="DL309" i="37" s="1"/>
  <c r="DM309" i="37" s="1"/>
  <c r="DO309" i="37" s="1"/>
  <c r="DK215" i="37"/>
  <c r="DL215" i="37" s="1"/>
  <c r="DM215" i="37" s="1"/>
  <c r="DO215" i="37" s="1"/>
  <c r="DK207" i="37"/>
  <c r="DL207" i="37" s="1"/>
  <c r="DM207" i="37" s="1"/>
  <c r="DO207" i="37" s="1"/>
  <c r="DK199" i="37"/>
  <c r="DL199" i="37" s="1"/>
  <c r="DM199" i="37" s="1"/>
  <c r="DO199" i="37" s="1"/>
  <c r="DK181" i="37"/>
  <c r="DL181" i="37" s="1"/>
  <c r="DM181" i="37" s="1"/>
  <c r="DO181" i="37" s="1"/>
  <c r="DK169" i="37"/>
  <c r="DL169" i="37" s="1"/>
  <c r="DM169" i="37" s="1"/>
  <c r="DO169" i="37" s="1"/>
  <c r="DK161" i="37"/>
  <c r="DL161" i="37" s="1"/>
  <c r="DM161" i="37" s="1"/>
  <c r="DO161" i="37" s="1"/>
  <c r="CG344" i="37"/>
  <c r="CH344" i="37" s="1"/>
  <c r="CI344" i="37" s="1"/>
  <c r="CK344" i="37" s="1"/>
  <c r="CG336" i="37"/>
  <c r="CH336" i="37" s="1"/>
  <c r="CI336" i="37" s="1"/>
  <c r="CK336" i="37" s="1"/>
  <c r="CG328" i="37"/>
  <c r="CH328" i="37" s="1"/>
  <c r="CI328" i="37" s="1"/>
  <c r="CK328" i="37" s="1"/>
  <c r="CG320" i="37"/>
  <c r="CH320" i="37" s="1"/>
  <c r="CI320" i="37" s="1"/>
  <c r="CK320" i="37" s="1"/>
  <c r="CG312" i="37"/>
  <c r="CH312" i="37" s="1"/>
  <c r="CI312" i="37" s="1"/>
  <c r="CK312" i="37" s="1"/>
  <c r="CG304" i="37"/>
  <c r="CH304" i="37" s="1"/>
  <c r="CI304" i="37" s="1"/>
  <c r="CK304" i="37" s="1"/>
  <c r="CG296" i="37"/>
  <c r="CH296" i="37" s="1"/>
  <c r="CI296" i="37" s="1"/>
  <c r="CK296" i="37" s="1"/>
  <c r="CG288" i="37"/>
  <c r="CH288" i="37" s="1"/>
  <c r="CI288" i="37" s="1"/>
  <c r="CK288" i="37" s="1"/>
  <c r="CG280" i="37"/>
  <c r="CH280" i="37" s="1"/>
  <c r="CI280" i="37" s="1"/>
  <c r="CK280" i="37" s="1"/>
  <c r="CG272" i="37"/>
  <c r="CH272" i="37" s="1"/>
  <c r="CI272" i="37" s="1"/>
  <c r="CK272" i="37" s="1"/>
  <c r="CG264" i="37"/>
  <c r="CH264" i="37" s="1"/>
  <c r="CI264" i="37" s="1"/>
  <c r="CK264" i="37" s="1"/>
  <c r="CG172" i="37"/>
  <c r="CH172" i="37" s="1"/>
  <c r="CI172" i="37" s="1"/>
  <c r="CK172" i="37" s="1"/>
  <c r="CG162" i="37"/>
  <c r="CH162" i="37" s="1"/>
  <c r="CI162" i="37" s="1"/>
  <c r="CK162" i="37" s="1"/>
  <c r="CG219" i="37"/>
  <c r="CH219" i="37" s="1"/>
  <c r="CI219" i="37" s="1"/>
  <c r="CK219" i="37" s="1"/>
  <c r="CG210" i="37"/>
  <c r="CH210" i="37" s="1"/>
  <c r="CI210" i="37" s="1"/>
  <c r="CK210" i="37" s="1"/>
  <c r="CG202" i="37"/>
  <c r="CH202" i="37" s="1"/>
  <c r="CI202" i="37" s="1"/>
  <c r="CK202" i="37" s="1"/>
  <c r="CG194" i="37"/>
  <c r="CH194" i="37" s="1"/>
  <c r="CI194" i="37" s="1"/>
  <c r="CK194" i="37" s="1"/>
  <c r="CG176" i="37"/>
  <c r="CH176" i="37" s="1"/>
  <c r="CI176" i="37" s="1"/>
  <c r="CK176" i="37" s="1"/>
  <c r="BW305" i="37"/>
  <c r="BX305" i="37" s="1"/>
  <c r="BY305" i="37" s="1"/>
  <c r="CA305" i="37" s="1"/>
  <c r="BW297" i="37"/>
  <c r="BX297" i="37" s="1"/>
  <c r="BY297" i="37" s="1"/>
  <c r="CA297" i="37" s="1"/>
  <c r="BW289" i="37"/>
  <c r="BX289" i="37" s="1"/>
  <c r="BY289" i="37" s="1"/>
  <c r="CA289" i="37" s="1"/>
  <c r="BW281" i="37"/>
  <c r="BX281" i="37" s="1"/>
  <c r="BY281" i="37" s="1"/>
  <c r="CA281" i="37" s="1"/>
  <c r="BW275" i="37"/>
  <c r="BX275" i="37" s="1"/>
  <c r="BY275" i="37" s="1"/>
  <c r="CA275" i="37" s="1"/>
  <c r="BW267" i="37"/>
  <c r="BX267" i="37" s="1"/>
  <c r="BY267" i="37" s="1"/>
  <c r="CA267" i="37" s="1"/>
  <c r="BW182" i="37"/>
  <c r="BX182" i="37" s="1"/>
  <c r="BY182" i="37" s="1"/>
  <c r="CA182" i="37" s="1"/>
  <c r="BW307" i="37"/>
  <c r="BX307" i="37" s="1"/>
  <c r="BY307" i="37" s="1"/>
  <c r="CA307" i="37" s="1"/>
  <c r="BW212" i="37"/>
  <c r="BX212" i="37" s="1"/>
  <c r="BY212" i="37" s="1"/>
  <c r="CA212" i="37" s="1"/>
  <c r="BW204" i="37"/>
  <c r="BX204" i="37" s="1"/>
  <c r="BY204" i="37" s="1"/>
  <c r="CA204" i="37" s="1"/>
  <c r="BW196" i="37"/>
  <c r="BX196" i="37" s="1"/>
  <c r="BY196" i="37" s="1"/>
  <c r="CA196" i="37" s="1"/>
  <c r="BW177" i="37"/>
  <c r="BX177" i="37" s="1"/>
  <c r="BY177" i="37" s="1"/>
  <c r="CA177" i="37" s="1"/>
  <c r="BW167" i="37"/>
  <c r="BX167" i="37" s="1"/>
  <c r="BY167" i="37" s="1"/>
  <c r="CA167" i="37" s="1"/>
  <c r="BW159" i="37"/>
  <c r="BX159" i="37" s="1"/>
  <c r="BY159" i="37" s="1"/>
  <c r="CA159" i="37" s="1"/>
  <c r="BM343" i="37"/>
  <c r="BN343" i="37" s="1"/>
  <c r="BO343" i="37" s="1"/>
  <c r="BQ343" i="37" s="1"/>
  <c r="BM335" i="37"/>
  <c r="BN335" i="37" s="1"/>
  <c r="BO335" i="37" s="1"/>
  <c r="BQ335" i="37" s="1"/>
  <c r="BM327" i="37"/>
  <c r="BN327" i="37" s="1"/>
  <c r="BO327" i="37" s="1"/>
  <c r="BQ327" i="37" s="1"/>
  <c r="BM319" i="37"/>
  <c r="BN319" i="37" s="1"/>
  <c r="BO319" i="37" s="1"/>
  <c r="BQ319" i="37" s="1"/>
  <c r="BM311" i="37"/>
  <c r="BN311" i="37" s="1"/>
  <c r="BO311" i="37" s="1"/>
  <c r="BQ311" i="37" s="1"/>
  <c r="BM303" i="37"/>
  <c r="BN303" i="37" s="1"/>
  <c r="BO303" i="37" s="1"/>
  <c r="BQ303" i="37" s="1"/>
  <c r="BM295" i="37"/>
  <c r="BN295" i="37" s="1"/>
  <c r="BO295" i="37" s="1"/>
  <c r="BQ295" i="37" s="1"/>
  <c r="BM287" i="37"/>
  <c r="BN287" i="37" s="1"/>
  <c r="BO287" i="37" s="1"/>
  <c r="BQ287" i="37" s="1"/>
  <c r="BM279" i="37"/>
  <c r="BN279" i="37" s="1"/>
  <c r="BO279" i="37" s="1"/>
  <c r="BQ279" i="37" s="1"/>
  <c r="BM271" i="37"/>
  <c r="BN271" i="37" s="1"/>
  <c r="BO271" i="37" s="1"/>
  <c r="BQ271" i="37" s="1"/>
  <c r="BM263" i="37"/>
  <c r="BN263" i="37" s="1"/>
  <c r="BO263" i="37" s="1"/>
  <c r="BQ263" i="37" s="1"/>
  <c r="BM169" i="37"/>
  <c r="BN169" i="37" s="1"/>
  <c r="BO169" i="37" s="1"/>
  <c r="BQ169" i="37" s="1"/>
  <c r="BM161" i="37"/>
  <c r="BN161" i="37" s="1"/>
  <c r="BO161" i="37" s="1"/>
  <c r="BQ161" i="37" s="1"/>
  <c r="BM220" i="37"/>
  <c r="BN220" i="37" s="1"/>
  <c r="BO220" i="37" s="1"/>
  <c r="BQ220" i="37" s="1"/>
  <c r="BM211" i="37"/>
  <c r="BN211" i="37" s="1"/>
  <c r="BO211" i="37" s="1"/>
  <c r="BQ211" i="37" s="1"/>
  <c r="BM203" i="37"/>
  <c r="BN203" i="37" s="1"/>
  <c r="BO203" i="37" s="1"/>
  <c r="BQ203" i="37" s="1"/>
  <c r="BM195" i="37"/>
  <c r="BN195" i="37" s="1"/>
  <c r="BO195" i="37" s="1"/>
  <c r="BQ195" i="37" s="1"/>
  <c r="BM176" i="37"/>
  <c r="BN176" i="37" s="1"/>
  <c r="BO176" i="37" s="1"/>
  <c r="BQ176" i="37" s="1"/>
  <c r="CQ315" i="37"/>
  <c r="CR315" i="37" s="1"/>
  <c r="CS315" i="37" s="1"/>
  <c r="CU315" i="37" s="1"/>
  <c r="BC317" i="37"/>
  <c r="BD317" i="37" s="1"/>
  <c r="BE317" i="37" s="1"/>
  <c r="BG317" i="37" s="1"/>
  <c r="DK318" i="37"/>
  <c r="DL318" i="37" s="1"/>
  <c r="DM318" i="37" s="1"/>
  <c r="DO318" i="37" s="1"/>
  <c r="BW320" i="37"/>
  <c r="BX320" i="37" s="1"/>
  <c r="BY320" i="37" s="1"/>
  <c r="CA320" i="37" s="1"/>
  <c r="EE321" i="37"/>
  <c r="EF321" i="37" s="1"/>
  <c r="EG321" i="37" s="1"/>
  <c r="EI321" i="37" s="1"/>
  <c r="CQ323" i="37"/>
  <c r="CR323" i="37" s="1"/>
  <c r="CS323" i="37" s="1"/>
  <c r="CU323" i="37" s="1"/>
  <c r="BC325" i="37"/>
  <c r="BD325" i="37" s="1"/>
  <c r="BE325" i="37" s="1"/>
  <c r="BG325" i="37" s="1"/>
  <c r="DK326" i="37"/>
  <c r="DL326" i="37" s="1"/>
  <c r="DM326" i="37" s="1"/>
  <c r="DO326" i="37" s="1"/>
  <c r="BW328" i="37"/>
  <c r="BX328" i="37" s="1"/>
  <c r="BY328" i="37" s="1"/>
  <c r="CA328" i="37" s="1"/>
  <c r="EE329" i="37"/>
  <c r="EF329" i="37" s="1"/>
  <c r="EG329" i="37" s="1"/>
  <c r="EI329" i="37" s="1"/>
  <c r="CQ331" i="37"/>
  <c r="CR331" i="37" s="1"/>
  <c r="CS331" i="37" s="1"/>
  <c r="CU331" i="37" s="1"/>
  <c r="BC333" i="37"/>
  <c r="BD333" i="37" s="1"/>
  <c r="BE333" i="37" s="1"/>
  <c r="BG333" i="37" s="1"/>
  <c r="DK334" i="37"/>
  <c r="DL334" i="37" s="1"/>
  <c r="DM334" i="37" s="1"/>
  <c r="DO334" i="37" s="1"/>
  <c r="BW336" i="37"/>
  <c r="BX336" i="37" s="1"/>
  <c r="BY336" i="37" s="1"/>
  <c r="CA336" i="37" s="1"/>
  <c r="EE337" i="37"/>
  <c r="EF337" i="37" s="1"/>
  <c r="EG337" i="37" s="1"/>
  <c r="EI337" i="37" s="1"/>
  <c r="CQ339" i="37"/>
  <c r="CR339" i="37" s="1"/>
  <c r="CS339" i="37" s="1"/>
  <c r="CU339" i="37" s="1"/>
  <c r="BC341" i="37"/>
  <c r="BD341" i="37" s="1"/>
  <c r="BE341" i="37" s="1"/>
  <c r="BG341" i="37" s="1"/>
  <c r="DK342" i="37"/>
  <c r="DL342" i="37" s="1"/>
  <c r="DM342" i="37" s="1"/>
  <c r="DO342" i="37" s="1"/>
  <c r="BW344" i="37"/>
  <c r="BX344" i="37" s="1"/>
  <c r="BY344" i="37" s="1"/>
  <c r="CA344" i="37" s="1"/>
  <c r="EE345" i="37"/>
  <c r="EF345" i="37" s="1"/>
  <c r="EG345" i="37" s="1"/>
  <c r="EI345" i="37" s="1"/>
  <c r="CG347" i="37"/>
  <c r="CH347" i="37" s="1"/>
  <c r="CI347" i="37" s="1"/>
  <c r="CK347" i="37" s="1"/>
  <c r="BW10" i="37"/>
  <c r="BX10" i="37" s="1"/>
  <c r="BY10" i="37" s="1"/>
  <c r="CA10" i="37" s="1"/>
  <c r="EE11" i="37"/>
  <c r="EF11" i="37" s="1"/>
  <c r="EG11" i="37" s="1"/>
  <c r="EI11" i="37" s="1"/>
  <c r="CQ13" i="37"/>
  <c r="CR13" i="37" s="1"/>
  <c r="CS13" i="37" s="1"/>
  <c r="CU13" i="37" s="1"/>
  <c r="BC37" i="37"/>
  <c r="BD37" i="37" s="1"/>
  <c r="BE37" i="37" s="1"/>
  <c r="BG37" i="37" s="1"/>
  <c r="BC38" i="37"/>
  <c r="BD38" i="37" s="1"/>
  <c r="BE38" i="37" s="1"/>
  <c r="BG38" i="37" s="1"/>
  <c r="BW39" i="37"/>
  <c r="BX39" i="37" s="1"/>
  <c r="BY39" i="37" s="1"/>
  <c r="CA39" i="37" s="1"/>
  <c r="EE40" i="37"/>
  <c r="EF40" i="37" s="1"/>
  <c r="EG40" i="37" s="1"/>
  <c r="EI40" i="37" s="1"/>
  <c r="CQ42" i="37"/>
  <c r="CR42" i="37" s="1"/>
  <c r="CS42" i="37" s="1"/>
  <c r="CU42" i="37" s="1"/>
  <c r="BC44" i="37"/>
  <c r="BD44" i="37" s="1"/>
  <c r="BE44" i="37" s="1"/>
  <c r="BG44" i="37" s="1"/>
  <c r="DK45" i="37"/>
  <c r="DL45" i="37" s="1"/>
  <c r="DM45" i="37" s="1"/>
  <c r="DO45" i="37" s="1"/>
  <c r="BW47" i="37"/>
  <c r="BX47" i="37" s="1"/>
  <c r="BY47" i="37" s="1"/>
  <c r="CA47" i="37" s="1"/>
  <c r="EE48" i="37"/>
  <c r="EF48" i="37" s="1"/>
  <c r="EG48" i="37" s="1"/>
  <c r="EI48" i="37" s="1"/>
  <c r="DK53" i="37"/>
  <c r="DL53" i="37" s="1"/>
  <c r="DM53" i="37" s="1"/>
  <c r="DO53" i="37" s="1"/>
  <c r="BC88" i="37"/>
  <c r="BD88" i="37" s="1"/>
  <c r="BE88" i="37" s="1"/>
  <c r="BG88" i="37" s="1"/>
  <c r="DK89" i="37"/>
  <c r="DL89" i="37" s="1"/>
  <c r="DM89" i="37" s="1"/>
  <c r="DO89" i="37" s="1"/>
  <c r="BW91" i="37"/>
  <c r="BX91" i="37" s="1"/>
  <c r="BY91" i="37" s="1"/>
  <c r="CA91" i="37" s="1"/>
  <c r="EE92" i="37"/>
  <c r="EF92" i="37" s="1"/>
  <c r="EG92" i="37" s="1"/>
  <c r="EI92" i="37" s="1"/>
  <c r="CQ94" i="37"/>
  <c r="CR94" i="37" s="1"/>
  <c r="CS94" i="37" s="1"/>
  <c r="CU94" i="37" s="1"/>
  <c r="BC96" i="37"/>
  <c r="BD96" i="37" s="1"/>
  <c r="BE96" i="37" s="1"/>
  <c r="BG96" i="37" s="1"/>
  <c r="DK97" i="37"/>
  <c r="DL97" i="37" s="1"/>
  <c r="DM97" i="37" s="1"/>
  <c r="DO97" i="37" s="1"/>
  <c r="BW99" i="37"/>
  <c r="BX99" i="37" s="1"/>
  <c r="BY99" i="37" s="1"/>
  <c r="CA99" i="37" s="1"/>
  <c r="EE100" i="37"/>
  <c r="EF100" i="37" s="1"/>
  <c r="EG100" i="37" s="1"/>
  <c r="EI100" i="37" s="1"/>
  <c r="CQ102" i="37"/>
  <c r="CR102" i="37" s="1"/>
  <c r="CS102" i="37" s="1"/>
  <c r="CU102" i="37" s="1"/>
  <c r="BC104" i="37"/>
  <c r="BD104" i="37" s="1"/>
  <c r="BE104" i="37" s="1"/>
  <c r="BG104" i="37" s="1"/>
  <c r="DA105" i="37"/>
  <c r="DB105" i="37" s="1"/>
  <c r="DC105" i="37" s="1"/>
  <c r="DE105" i="37" s="1"/>
  <c r="BC107" i="37"/>
  <c r="BD107" i="37" s="1"/>
  <c r="BE107" i="37" s="1"/>
  <c r="BG107" i="37" s="1"/>
  <c r="EE107" i="37"/>
  <c r="EF107" i="37" s="1"/>
  <c r="EG107" i="37" s="1"/>
  <c r="EI107" i="37" s="1"/>
  <c r="DK108" i="37"/>
  <c r="DL108" i="37" s="1"/>
  <c r="DM108" i="37" s="1"/>
  <c r="DO108" i="37" s="1"/>
  <c r="CQ109" i="37"/>
  <c r="CR109" i="37" s="1"/>
  <c r="CS109" i="37" s="1"/>
  <c r="CU109" i="37" s="1"/>
  <c r="BW110" i="37"/>
  <c r="BX110" i="37" s="1"/>
  <c r="BY110" i="37" s="1"/>
  <c r="CA110" i="37" s="1"/>
  <c r="BC111" i="37"/>
  <c r="BD111" i="37" s="1"/>
  <c r="BE111" i="37" s="1"/>
  <c r="BG111" i="37" s="1"/>
  <c r="EE111" i="37"/>
  <c r="EF111" i="37" s="1"/>
  <c r="EG111" i="37" s="1"/>
  <c r="EI111" i="37" s="1"/>
  <c r="DK112" i="37"/>
  <c r="DL112" i="37" s="1"/>
  <c r="DM112" i="37" s="1"/>
  <c r="DO112" i="37" s="1"/>
  <c r="CQ113" i="37"/>
  <c r="CR113" i="37" s="1"/>
  <c r="CS113" i="37" s="1"/>
  <c r="CU113" i="37" s="1"/>
  <c r="BW114" i="37"/>
  <c r="BX114" i="37" s="1"/>
  <c r="BY114" i="37" s="1"/>
  <c r="CA114" i="37" s="1"/>
  <c r="BC115" i="37"/>
  <c r="BD115" i="37" s="1"/>
  <c r="BE115" i="37" s="1"/>
  <c r="BG115" i="37" s="1"/>
  <c r="EE115" i="37"/>
  <c r="EF115" i="37" s="1"/>
  <c r="EG115" i="37" s="1"/>
  <c r="EI115" i="37" s="1"/>
  <c r="DK116" i="37"/>
  <c r="DL116" i="37" s="1"/>
  <c r="DM116" i="37" s="1"/>
  <c r="DO116" i="37" s="1"/>
  <c r="CQ117" i="37"/>
  <c r="CR117" i="37" s="1"/>
  <c r="CS117" i="37" s="1"/>
  <c r="CU117" i="37" s="1"/>
  <c r="BW118" i="37"/>
  <c r="BX118" i="37" s="1"/>
  <c r="BY118" i="37" s="1"/>
  <c r="CA118" i="37" s="1"/>
  <c r="BC119" i="37"/>
  <c r="BD119" i="37" s="1"/>
  <c r="BE119" i="37" s="1"/>
  <c r="BG119" i="37" s="1"/>
  <c r="EE119" i="37"/>
  <c r="EF119" i="37" s="1"/>
  <c r="EG119" i="37" s="1"/>
  <c r="EI119" i="37" s="1"/>
  <c r="DK120" i="37"/>
  <c r="DL120" i="37" s="1"/>
  <c r="DM120" i="37" s="1"/>
  <c r="DO120" i="37" s="1"/>
  <c r="CQ9" i="37"/>
  <c r="CR9" i="37" s="1"/>
  <c r="CS9" i="37" s="1"/>
  <c r="CU9" i="37" s="1"/>
  <c r="EO342" i="37"/>
  <c r="EP342" i="37" s="1"/>
  <c r="EQ342" i="37" s="1"/>
  <c r="ES342" i="37" s="1"/>
  <c r="EO334" i="37"/>
  <c r="EP334" i="37" s="1"/>
  <c r="EQ334" i="37" s="1"/>
  <c r="ES334" i="37" s="1"/>
  <c r="EO326" i="37"/>
  <c r="EP326" i="37" s="1"/>
  <c r="EQ326" i="37" s="1"/>
  <c r="ES326" i="37" s="1"/>
  <c r="EO318" i="37"/>
  <c r="EP318" i="37" s="1"/>
  <c r="EQ318" i="37" s="1"/>
  <c r="ES318" i="37" s="1"/>
  <c r="EO310" i="37"/>
  <c r="EP310" i="37" s="1"/>
  <c r="EQ310" i="37" s="1"/>
  <c r="ES310" i="37" s="1"/>
  <c r="EO302" i="37"/>
  <c r="EP302" i="37" s="1"/>
  <c r="EQ302" i="37" s="1"/>
  <c r="ES302" i="37" s="1"/>
  <c r="EO294" i="37"/>
  <c r="EP294" i="37" s="1"/>
  <c r="EQ294" i="37" s="1"/>
  <c r="ES294" i="37" s="1"/>
  <c r="EO286" i="37"/>
  <c r="EP286" i="37" s="1"/>
  <c r="EQ286" i="37" s="1"/>
  <c r="ES286" i="37" s="1"/>
  <c r="EO278" i="37"/>
  <c r="EP278" i="37" s="1"/>
  <c r="EQ278" i="37" s="1"/>
  <c r="ES278" i="37" s="1"/>
  <c r="EO270" i="37"/>
  <c r="EP270" i="37" s="1"/>
  <c r="EQ270" i="37" s="1"/>
  <c r="ES270" i="37" s="1"/>
  <c r="EO262" i="37"/>
  <c r="EP262" i="37" s="1"/>
  <c r="EQ262" i="37" s="1"/>
  <c r="ES262" i="37" s="1"/>
  <c r="EO173" i="37"/>
  <c r="EP173" i="37" s="1"/>
  <c r="EQ173" i="37" s="1"/>
  <c r="ES173" i="37" s="1"/>
  <c r="EO163" i="37"/>
  <c r="EP163" i="37" s="1"/>
  <c r="EQ163" i="37" s="1"/>
  <c r="ES163" i="37" s="1"/>
  <c r="EO123" i="37"/>
  <c r="EP123" i="37" s="1"/>
  <c r="EQ123" i="37" s="1"/>
  <c r="ES123" i="37" s="1"/>
  <c r="EO212" i="37"/>
  <c r="EP212" i="37" s="1"/>
  <c r="EQ212" i="37" s="1"/>
  <c r="ES212" i="37" s="1"/>
  <c r="EO204" i="37"/>
  <c r="EP204" i="37" s="1"/>
  <c r="EQ204" i="37" s="1"/>
  <c r="ES204" i="37" s="1"/>
  <c r="EO196" i="37"/>
  <c r="EP196" i="37" s="1"/>
  <c r="EQ196" i="37" s="1"/>
  <c r="ES196" i="37" s="1"/>
  <c r="EO178" i="37"/>
  <c r="EP178" i="37" s="1"/>
  <c r="EQ178" i="37" s="1"/>
  <c r="ES178" i="37" s="1"/>
  <c r="DU344" i="37"/>
  <c r="DV344" i="37" s="1"/>
  <c r="DW344" i="37" s="1"/>
  <c r="DY344" i="37" s="1"/>
  <c r="DU336" i="37"/>
  <c r="DV336" i="37" s="1"/>
  <c r="DW336" i="37" s="1"/>
  <c r="DY336" i="37" s="1"/>
  <c r="DU328" i="37"/>
  <c r="DV328" i="37" s="1"/>
  <c r="DW328" i="37" s="1"/>
  <c r="DY328" i="37" s="1"/>
  <c r="DU320" i="37"/>
  <c r="DV320" i="37" s="1"/>
  <c r="DW320" i="37" s="1"/>
  <c r="DY320" i="37" s="1"/>
  <c r="DU312" i="37"/>
  <c r="DV312" i="37" s="1"/>
  <c r="DW312" i="37" s="1"/>
  <c r="DY312" i="37" s="1"/>
  <c r="DU304" i="37"/>
  <c r="DV304" i="37" s="1"/>
  <c r="DW304" i="37" s="1"/>
  <c r="DY304" i="37" s="1"/>
  <c r="DU296" i="37"/>
  <c r="DV296" i="37" s="1"/>
  <c r="DW296" i="37" s="1"/>
  <c r="DY296" i="37" s="1"/>
  <c r="DU288" i="37"/>
  <c r="DV288" i="37" s="1"/>
  <c r="DW288" i="37" s="1"/>
  <c r="DY288" i="37" s="1"/>
  <c r="DU280" i="37"/>
  <c r="DV280" i="37" s="1"/>
  <c r="DW280" i="37" s="1"/>
  <c r="DY280" i="37" s="1"/>
  <c r="DU272" i="37"/>
  <c r="DV272" i="37" s="1"/>
  <c r="DW272" i="37" s="1"/>
  <c r="DY272" i="37" s="1"/>
  <c r="DU264" i="37"/>
  <c r="DV264" i="37" s="1"/>
  <c r="DW264" i="37" s="1"/>
  <c r="DY264" i="37" s="1"/>
  <c r="DU174" i="37"/>
  <c r="DV174" i="37" s="1"/>
  <c r="DW174" i="37" s="1"/>
  <c r="DY174" i="37" s="1"/>
  <c r="CQ45" i="37"/>
  <c r="CR45" i="37" s="1"/>
  <c r="CS45" i="37" s="1"/>
  <c r="CU45" i="37" s="1"/>
  <c r="DK48" i="37"/>
  <c r="DL48" i="37" s="1"/>
  <c r="DM48" i="37" s="1"/>
  <c r="DO48" i="37" s="1"/>
  <c r="EE87" i="37"/>
  <c r="EF87" i="37" s="1"/>
  <c r="EG87" i="37" s="1"/>
  <c r="EI87" i="37" s="1"/>
  <c r="BC91" i="37"/>
  <c r="BD91" i="37" s="1"/>
  <c r="BE91" i="37" s="1"/>
  <c r="BG91" i="37" s="1"/>
  <c r="BW94" i="37"/>
  <c r="BX94" i="37" s="1"/>
  <c r="BY94" i="37" s="1"/>
  <c r="CA94" i="37" s="1"/>
  <c r="CQ97" i="37"/>
  <c r="CR97" i="37" s="1"/>
  <c r="CS97" i="37" s="1"/>
  <c r="CU97" i="37" s="1"/>
  <c r="DK100" i="37"/>
  <c r="DL100" i="37" s="1"/>
  <c r="DM100" i="37" s="1"/>
  <c r="DO100" i="37" s="1"/>
  <c r="EE103" i="37"/>
  <c r="EF103" i="37" s="1"/>
  <c r="EG103" i="37" s="1"/>
  <c r="EI103" i="37" s="1"/>
  <c r="EO106" i="37"/>
  <c r="EP106" i="37" s="1"/>
  <c r="EQ106" i="37" s="1"/>
  <c r="ES106" i="37" s="1"/>
  <c r="DA108" i="37"/>
  <c r="DB108" i="37" s="1"/>
  <c r="DC108" i="37" s="1"/>
  <c r="DE108" i="37" s="1"/>
  <c r="BM110" i="37"/>
  <c r="BN110" i="37" s="1"/>
  <c r="BO110" i="37" s="1"/>
  <c r="BQ110" i="37" s="1"/>
  <c r="DU111" i="37"/>
  <c r="DV111" i="37" s="1"/>
  <c r="DW111" i="37" s="1"/>
  <c r="DY111" i="37" s="1"/>
  <c r="CG113" i="37"/>
  <c r="CH113" i="37" s="1"/>
  <c r="CI113" i="37" s="1"/>
  <c r="CK113" i="37" s="1"/>
  <c r="EO114" i="37"/>
  <c r="EP114" i="37" s="1"/>
  <c r="EQ114" i="37" s="1"/>
  <c r="ES114" i="37" s="1"/>
  <c r="DA116" i="37"/>
  <c r="DB116" i="37" s="1"/>
  <c r="DC116" i="37" s="1"/>
  <c r="DE116" i="37" s="1"/>
  <c r="BM118" i="37"/>
  <c r="BN118" i="37" s="1"/>
  <c r="BO118" i="37" s="1"/>
  <c r="BQ118" i="37" s="1"/>
  <c r="DU119" i="37"/>
  <c r="DV119" i="37" s="1"/>
  <c r="DW119" i="37" s="1"/>
  <c r="DY119" i="37" s="1"/>
  <c r="CG9" i="37"/>
  <c r="CH9" i="37" s="1"/>
  <c r="CI9" i="37" s="1"/>
  <c r="CK9" i="37" s="1"/>
  <c r="EO335" i="37"/>
  <c r="EP335" i="37" s="1"/>
  <c r="EQ335" i="37" s="1"/>
  <c r="ES335" i="37" s="1"/>
  <c r="EO319" i="37"/>
  <c r="EP319" i="37" s="1"/>
  <c r="EQ319" i="37" s="1"/>
  <c r="ES319" i="37" s="1"/>
  <c r="EO303" i="37"/>
  <c r="EP303" i="37" s="1"/>
  <c r="EQ303" i="37" s="1"/>
  <c r="ES303" i="37" s="1"/>
  <c r="EO287" i="37"/>
  <c r="EP287" i="37" s="1"/>
  <c r="EQ287" i="37" s="1"/>
  <c r="ES287" i="37" s="1"/>
  <c r="EO271" i="37"/>
  <c r="EP271" i="37" s="1"/>
  <c r="EQ271" i="37" s="1"/>
  <c r="ES271" i="37" s="1"/>
  <c r="EO175" i="37"/>
  <c r="EP175" i="37" s="1"/>
  <c r="EQ175" i="37" s="1"/>
  <c r="ES175" i="37" s="1"/>
  <c r="EO156" i="37"/>
  <c r="EP156" i="37" s="1"/>
  <c r="EQ156" i="37" s="1"/>
  <c r="ES156" i="37" s="1"/>
  <c r="EO205" i="37"/>
  <c r="EP205" i="37" s="1"/>
  <c r="EQ205" i="37" s="1"/>
  <c r="ES205" i="37" s="1"/>
  <c r="EO179" i="37"/>
  <c r="EP179" i="37" s="1"/>
  <c r="EQ179" i="37" s="1"/>
  <c r="ES179" i="37" s="1"/>
  <c r="DU339" i="37"/>
  <c r="DV339" i="37" s="1"/>
  <c r="DW339" i="37" s="1"/>
  <c r="DY339" i="37" s="1"/>
  <c r="DU323" i="37"/>
  <c r="DV323" i="37" s="1"/>
  <c r="DW323" i="37" s="1"/>
  <c r="DY323" i="37" s="1"/>
  <c r="DU307" i="37"/>
  <c r="DV307" i="37" s="1"/>
  <c r="DW307" i="37" s="1"/>
  <c r="DY307" i="37" s="1"/>
  <c r="DU291" i="37"/>
  <c r="DV291" i="37" s="1"/>
  <c r="DW291" i="37" s="1"/>
  <c r="DY291" i="37" s="1"/>
  <c r="DU275" i="37"/>
  <c r="DV275" i="37" s="1"/>
  <c r="DW275" i="37" s="1"/>
  <c r="DY275" i="37" s="1"/>
  <c r="DU218" i="37"/>
  <c r="DV218" i="37" s="1"/>
  <c r="DW218" i="37" s="1"/>
  <c r="DY218" i="37" s="1"/>
  <c r="DU158" i="37"/>
  <c r="DV158" i="37" s="1"/>
  <c r="DW158" i="37" s="1"/>
  <c r="DY158" i="37" s="1"/>
  <c r="DU207" i="37"/>
  <c r="DV207" i="37" s="1"/>
  <c r="DW207" i="37" s="1"/>
  <c r="DY207" i="37" s="1"/>
  <c r="DU184" i="37"/>
  <c r="DV184" i="37" s="1"/>
  <c r="DW184" i="37" s="1"/>
  <c r="DY184" i="37" s="1"/>
  <c r="DA343" i="37"/>
  <c r="DB343" i="37" s="1"/>
  <c r="DC343" i="37" s="1"/>
  <c r="DE343" i="37" s="1"/>
  <c r="DA327" i="37"/>
  <c r="DB327" i="37" s="1"/>
  <c r="DC327" i="37" s="1"/>
  <c r="DE327" i="37" s="1"/>
  <c r="DA311" i="37"/>
  <c r="DB311" i="37" s="1"/>
  <c r="DC311" i="37" s="1"/>
  <c r="DE311" i="37" s="1"/>
  <c r="DA295" i="37"/>
  <c r="DB295" i="37" s="1"/>
  <c r="DC295" i="37" s="1"/>
  <c r="DE295" i="37" s="1"/>
  <c r="DA279" i="37"/>
  <c r="DB279" i="37" s="1"/>
  <c r="DC279" i="37" s="1"/>
  <c r="DE279" i="37" s="1"/>
  <c r="DA263" i="37"/>
  <c r="DB263" i="37" s="1"/>
  <c r="DC263" i="37" s="1"/>
  <c r="DE263" i="37" s="1"/>
  <c r="DA162" i="37"/>
  <c r="DB162" i="37" s="1"/>
  <c r="DC162" i="37" s="1"/>
  <c r="DE162" i="37" s="1"/>
  <c r="DA212" i="37"/>
  <c r="DB212" i="37" s="1"/>
  <c r="DC212" i="37" s="1"/>
  <c r="DE212" i="37" s="1"/>
  <c r="DA196" i="37"/>
  <c r="DB196" i="37" s="1"/>
  <c r="DC196" i="37" s="1"/>
  <c r="DE196" i="37" s="1"/>
  <c r="CQ305" i="37"/>
  <c r="CR305" i="37" s="1"/>
  <c r="CS305" i="37" s="1"/>
  <c r="CU305" i="37" s="1"/>
  <c r="CQ289" i="37"/>
  <c r="CR289" i="37" s="1"/>
  <c r="CS289" i="37" s="1"/>
  <c r="CU289" i="37" s="1"/>
  <c r="CQ275" i="37"/>
  <c r="CR275" i="37" s="1"/>
  <c r="CS275" i="37" s="1"/>
  <c r="CU275" i="37" s="1"/>
  <c r="CQ183" i="37"/>
  <c r="CR183" i="37" s="1"/>
  <c r="CS183" i="37" s="1"/>
  <c r="CU183" i="37" s="1"/>
  <c r="CQ212" i="37"/>
  <c r="CR212" i="37" s="1"/>
  <c r="CS212" i="37" s="1"/>
  <c r="CU212" i="37" s="1"/>
  <c r="CQ196" i="37"/>
  <c r="CR196" i="37" s="1"/>
  <c r="CS196" i="37" s="1"/>
  <c r="CU196" i="37" s="1"/>
  <c r="CQ168" i="37"/>
  <c r="CR168" i="37" s="1"/>
  <c r="CS168" i="37" s="1"/>
  <c r="CU168" i="37" s="1"/>
  <c r="BC305" i="37"/>
  <c r="BD305" i="37" s="1"/>
  <c r="BE305" i="37" s="1"/>
  <c r="BG305" i="37" s="1"/>
  <c r="BC289" i="37"/>
  <c r="BD289" i="37" s="1"/>
  <c r="BE289" i="37" s="1"/>
  <c r="BG289" i="37" s="1"/>
  <c r="BC276" i="37"/>
  <c r="BD276" i="37" s="1"/>
  <c r="BE276" i="37" s="1"/>
  <c r="BG276" i="37" s="1"/>
  <c r="BC218" i="37"/>
  <c r="BD218" i="37" s="1"/>
  <c r="BE218" i="37" s="1"/>
  <c r="BG218" i="37" s="1"/>
  <c r="BC216" i="37"/>
  <c r="BD216" i="37" s="1"/>
  <c r="BE216" i="37" s="1"/>
  <c r="BG216" i="37" s="1"/>
  <c r="BC200" i="37"/>
  <c r="BD200" i="37" s="1"/>
  <c r="BE200" i="37" s="1"/>
  <c r="BG200" i="37" s="1"/>
  <c r="BC171" i="37"/>
  <c r="BD171" i="37" s="1"/>
  <c r="BE171" i="37" s="1"/>
  <c r="BG171" i="37" s="1"/>
  <c r="BC122" i="37"/>
  <c r="BD122" i="37" s="1"/>
  <c r="BE122" i="37" s="1"/>
  <c r="BG122" i="37" s="1"/>
  <c r="DK300" i="37"/>
  <c r="DL300" i="37" s="1"/>
  <c r="DM300" i="37" s="1"/>
  <c r="DO300" i="37" s="1"/>
  <c r="DK284" i="37"/>
  <c r="DL284" i="37" s="1"/>
  <c r="DM284" i="37" s="1"/>
  <c r="DO284" i="37" s="1"/>
  <c r="DK270" i="37"/>
  <c r="DL270" i="37" s="1"/>
  <c r="DM270" i="37" s="1"/>
  <c r="DO270" i="37" s="1"/>
  <c r="DK124" i="37"/>
  <c r="DL124" i="37" s="1"/>
  <c r="DM124" i="37" s="1"/>
  <c r="DO124" i="37" s="1"/>
  <c r="DK209" i="37"/>
  <c r="DL209" i="37" s="1"/>
  <c r="DM209" i="37" s="1"/>
  <c r="DO209" i="37" s="1"/>
  <c r="DK193" i="37"/>
  <c r="DL193" i="37" s="1"/>
  <c r="DM193" i="37" s="1"/>
  <c r="DO193" i="37" s="1"/>
  <c r="DK163" i="37"/>
  <c r="DL163" i="37" s="1"/>
  <c r="DM163" i="37" s="1"/>
  <c r="DO163" i="37" s="1"/>
  <c r="CG338" i="37"/>
  <c r="CH338" i="37" s="1"/>
  <c r="CI338" i="37" s="1"/>
  <c r="CK338" i="37" s="1"/>
  <c r="CG322" i="37"/>
  <c r="CH322" i="37" s="1"/>
  <c r="CI322" i="37" s="1"/>
  <c r="CK322" i="37" s="1"/>
  <c r="CG306" i="37"/>
  <c r="CH306" i="37" s="1"/>
  <c r="CI306" i="37" s="1"/>
  <c r="CK306" i="37" s="1"/>
  <c r="CG290" i="37"/>
  <c r="CH290" i="37" s="1"/>
  <c r="CI290" i="37" s="1"/>
  <c r="CK290" i="37" s="1"/>
  <c r="CG274" i="37"/>
  <c r="CH274" i="37" s="1"/>
  <c r="CI274" i="37" s="1"/>
  <c r="CK274" i="37" s="1"/>
  <c r="CG181" i="37"/>
  <c r="CH181" i="37" s="1"/>
  <c r="CI181" i="37" s="1"/>
  <c r="CK181" i="37" s="1"/>
  <c r="CG124" i="37"/>
  <c r="CH124" i="37" s="1"/>
  <c r="CI124" i="37" s="1"/>
  <c r="CK124" i="37" s="1"/>
  <c r="CG204" i="37"/>
  <c r="CH204" i="37" s="1"/>
  <c r="CI204" i="37" s="1"/>
  <c r="CK204" i="37" s="1"/>
  <c r="CG178" i="37"/>
  <c r="CH178" i="37" s="1"/>
  <c r="CI178" i="37" s="1"/>
  <c r="CK178" i="37" s="1"/>
  <c r="BW299" i="37"/>
  <c r="BX299" i="37" s="1"/>
  <c r="BY299" i="37" s="1"/>
  <c r="CA299" i="37" s="1"/>
  <c r="BW283" i="37"/>
  <c r="BX283" i="37" s="1"/>
  <c r="BY283" i="37" s="1"/>
  <c r="CA283" i="37" s="1"/>
  <c r="BW269" i="37"/>
  <c r="BX269" i="37" s="1"/>
  <c r="BY269" i="37" s="1"/>
  <c r="CA269" i="37" s="1"/>
  <c r="BW309" i="37"/>
  <c r="BX309" i="37" s="1"/>
  <c r="BY309" i="37" s="1"/>
  <c r="CA309" i="37" s="1"/>
  <c r="BW206" i="37"/>
  <c r="BX206" i="37" s="1"/>
  <c r="BY206" i="37" s="1"/>
  <c r="CA206" i="37" s="1"/>
  <c r="BW179" i="37"/>
  <c r="BX179" i="37" s="1"/>
  <c r="BY179" i="37" s="1"/>
  <c r="CA179" i="37" s="1"/>
  <c r="BW161" i="37"/>
  <c r="BX161" i="37" s="1"/>
  <c r="BY161" i="37" s="1"/>
  <c r="CA161" i="37" s="1"/>
  <c r="BM337" i="37"/>
  <c r="BN337" i="37" s="1"/>
  <c r="BO337" i="37" s="1"/>
  <c r="BQ337" i="37" s="1"/>
  <c r="BM321" i="37"/>
  <c r="BN321" i="37" s="1"/>
  <c r="BO321" i="37" s="1"/>
  <c r="BQ321" i="37" s="1"/>
  <c r="BM305" i="37"/>
  <c r="BN305" i="37" s="1"/>
  <c r="BO305" i="37" s="1"/>
  <c r="BQ305" i="37" s="1"/>
  <c r="BM289" i="37"/>
  <c r="BN289" i="37" s="1"/>
  <c r="BO289" i="37" s="1"/>
  <c r="BQ289" i="37" s="1"/>
  <c r="BM273" i="37"/>
  <c r="BN273" i="37" s="1"/>
  <c r="BO273" i="37" s="1"/>
  <c r="BQ273" i="37" s="1"/>
  <c r="BM175" i="37"/>
  <c r="BN175" i="37" s="1"/>
  <c r="BO175" i="37" s="1"/>
  <c r="BQ175" i="37" s="1"/>
  <c r="BM123" i="37"/>
  <c r="BN123" i="37" s="1"/>
  <c r="BO123" i="37" s="1"/>
  <c r="BQ123" i="37" s="1"/>
  <c r="BM205" i="37"/>
  <c r="BN205" i="37" s="1"/>
  <c r="BO205" i="37" s="1"/>
  <c r="BQ205" i="37" s="1"/>
  <c r="BM178" i="37"/>
  <c r="BN178" i="37" s="1"/>
  <c r="BO178" i="37" s="1"/>
  <c r="BQ178" i="37" s="1"/>
  <c r="DK316" i="37"/>
  <c r="DL316" i="37" s="1"/>
  <c r="DM316" i="37" s="1"/>
  <c r="DO316" i="37" s="1"/>
  <c r="EE319" i="37"/>
  <c r="EF319" i="37" s="1"/>
  <c r="EG319" i="37" s="1"/>
  <c r="EI319" i="37" s="1"/>
  <c r="BC323" i="37"/>
  <c r="BD323" i="37" s="1"/>
  <c r="BE323" i="37" s="1"/>
  <c r="BG323" i="37" s="1"/>
  <c r="BW326" i="37"/>
  <c r="BX326" i="37" s="1"/>
  <c r="BY326" i="37" s="1"/>
  <c r="CA326" i="37" s="1"/>
  <c r="CQ329" i="37"/>
  <c r="CR329" i="37" s="1"/>
  <c r="CS329" i="37" s="1"/>
  <c r="CU329" i="37" s="1"/>
  <c r="DK332" i="37"/>
  <c r="DL332" i="37" s="1"/>
  <c r="DM332" i="37" s="1"/>
  <c r="DO332" i="37" s="1"/>
  <c r="EE335" i="37"/>
  <c r="EF335" i="37" s="1"/>
  <c r="EG335" i="37" s="1"/>
  <c r="EI335" i="37" s="1"/>
  <c r="BC339" i="37"/>
  <c r="BD339" i="37" s="1"/>
  <c r="BE339" i="37" s="1"/>
  <c r="BG339" i="37" s="1"/>
  <c r="BW342" i="37"/>
  <c r="BX342" i="37" s="1"/>
  <c r="BY342" i="37" s="1"/>
  <c r="CA342" i="37" s="1"/>
  <c r="CQ345" i="37"/>
  <c r="CR345" i="37" s="1"/>
  <c r="CS345" i="37" s="1"/>
  <c r="CU345" i="37" s="1"/>
  <c r="DK348" i="37"/>
  <c r="DL348" i="37" s="1"/>
  <c r="DM348" i="37" s="1"/>
  <c r="DO348" i="37" s="1"/>
  <c r="BC13" i="37"/>
  <c r="BD13" i="37" s="1"/>
  <c r="BE13" i="37" s="1"/>
  <c r="BG13" i="37" s="1"/>
  <c r="EE37" i="37"/>
  <c r="EF37" i="37" s="1"/>
  <c r="EG37" i="37" s="1"/>
  <c r="EI37" i="37" s="1"/>
  <c r="CQ40" i="37"/>
  <c r="CR40" i="37" s="1"/>
  <c r="CS40" i="37" s="1"/>
  <c r="CU40" i="37" s="1"/>
  <c r="DK43" i="37"/>
  <c r="DL43" i="37" s="1"/>
  <c r="DM43" i="37" s="1"/>
  <c r="DO43" i="37" s="1"/>
  <c r="EE46" i="37"/>
  <c r="EF46" i="37" s="1"/>
  <c r="EG46" i="37" s="1"/>
  <c r="EI46" i="37" s="1"/>
  <c r="BW53" i="37"/>
  <c r="BX53" i="37" s="1"/>
  <c r="BY53" i="37" s="1"/>
  <c r="CA53" i="37" s="1"/>
  <c r="BW89" i="37"/>
  <c r="BX89" i="37" s="1"/>
  <c r="BY89" i="37" s="1"/>
  <c r="CA89" i="37" s="1"/>
  <c r="CQ92" i="37"/>
  <c r="CR92" i="37" s="1"/>
  <c r="CS92" i="37" s="1"/>
  <c r="CU92" i="37" s="1"/>
  <c r="DK95" i="37"/>
  <c r="DL95" i="37" s="1"/>
  <c r="DM95" i="37" s="1"/>
  <c r="DO95" i="37" s="1"/>
  <c r="EE98" i="37"/>
  <c r="EF98" i="37" s="1"/>
  <c r="EG98" i="37" s="1"/>
  <c r="EI98" i="37" s="1"/>
  <c r="BC102" i="37"/>
  <c r="BD102" i="37" s="1"/>
  <c r="BE102" i="37" s="1"/>
  <c r="BG102" i="37" s="1"/>
  <c r="BM105" i="37"/>
  <c r="BN105" i="37" s="1"/>
  <c r="BO105" i="37" s="1"/>
  <c r="BQ105" i="37" s="1"/>
  <c r="DK107" i="37"/>
  <c r="DL107" i="37" s="1"/>
  <c r="DM107" i="37" s="1"/>
  <c r="DO107" i="37" s="1"/>
  <c r="BW109" i="37"/>
  <c r="BX109" i="37" s="1"/>
  <c r="BY109" i="37" s="1"/>
  <c r="CA109" i="37" s="1"/>
  <c r="EE110" i="37"/>
  <c r="EF110" i="37" s="1"/>
  <c r="EG110" i="37" s="1"/>
  <c r="EI110" i="37" s="1"/>
  <c r="CQ112" i="37"/>
  <c r="CR112" i="37" s="1"/>
  <c r="CS112" i="37" s="1"/>
  <c r="CU112" i="37" s="1"/>
  <c r="BC114" i="37"/>
  <c r="BD114" i="37" s="1"/>
  <c r="BE114" i="37" s="1"/>
  <c r="BG114" i="37" s="1"/>
  <c r="DK115" i="37"/>
  <c r="DL115" i="37" s="1"/>
  <c r="DM115" i="37" s="1"/>
  <c r="DO115" i="37" s="1"/>
  <c r="BW117" i="37"/>
  <c r="BX117" i="37" s="1"/>
  <c r="BY117" i="37" s="1"/>
  <c r="CA117" i="37" s="1"/>
  <c r="EE118" i="37"/>
  <c r="EF118" i="37" s="1"/>
  <c r="EG118" i="37" s="1"/>
  <c r="EI118" i="37" s="1"/>
  <c r="CQ120" i="37"/>
  <c r="CR120" i="37" s="1"/>
  <c r="CS120" i="37" s="1"/>
  <c r="CU120" i="37" s="1"/>
  <c r="EO344" i="37"/>
  <c r="EP344" i="37" s="1"/>
  <c r="EQ344" i="37" s="1"/>
  <c r="ES344" i="37" s="1"/>
  <c r="EO328" i="37"/>
  <c r="EP328" i="37" s="1"/>
  <c r="EQ328" i="37" s="1"/>
  <c r="ES328" i="37" s="1"/>
  <c r="EO312" i="37"/>
  <c r="EP312" i="37" s="1"/>
  <c r="EQ312" i="37" s="1"/>
  <c r="ES312" i="37" s="1"/>
  <c r="EO296" i="37"/>
  <c r="EP296" i="37" s="1"/>
  <c r="EQ296" i="37" s="1"/>
  <c r="ES296" i="37" s="1"/>
  <c r="EO280" i="37"/>
  <c r="EP280" i="37" s="1"/>
  <c r="EQ280" i="37" s="1"/>
  <c r="ES280" i="37" s="1"/>
  <c r="EO264" i="37"/>
  <c r="EP264" i="37" s="1"/>
  <c r="EQ264" i="37" s="1"/>
  <c r="ES264" i="37" s="1"/>
  <c r="EO165" i="37"/>
  <c r="EP165" i="37" s="1"/>
  <c r="EQ165" i="37" s="1"/>
  <c r="ES165" i="37" s="1"/>
  <c r="EO214" i="37"/>
  <c r="EP214" i="37" s="1"/>
  <c r="EQ214" i="37" s="1"/>
  <c r="ES214" i="37" s="1"/>
  <c r="EO198" i="37"/>
  <c r="EP198" i="37" s="1"/>
  <c r="EQ198" i="37" s="1"/>
  <c r="ES198" i="37" s="1"/>
  <c r="EO124" i="37"/>
  <c r="EP124" i="37" s="1"/>
  <c r="EQ124" i="37" s="1"/>
  <c r="ES124" i="37" s="1"/>
  <c r="DU330" i="37"/>
  <c r="DV330" i="37" s="1"/>
  <c r="DW330" i="37" s="1"/>
  <c r="DY330" i="37" s="1"/>
  <c r="DU314" i="37"/>
  <c r="DV314" i="37" s="1"/>
  <c r="DW314" i="37" s="1"/>
  <c r="DY314" i="37" s="1"/>
  <c r="DU298" i="37"/>
  <c r="DV298" i="37" s="1"/>
  <c r="DW298" i="37" s="1"/>
  <c r="DY298" i="37" s="1"/>
  <c r="DU282" i="37"/>
  <c r="DV282" i="37" s="1"/>
  <c r="DW282" i="37" s="1"/>
  <c r="DY282" i="37" s="1"/>
  <c r="DU266" i="37"/>
  <c r="DV266" i="37" s="1"/>
  <c r="DW266" i="37" s="1"/>
  <c r="DY266" i="37" s="1"/>
  <c r="DU167" i="37"/>
  <c r="DV167" i="37" s="1"/>
  <c r="DW167" i="37" s="1"/>
  <c r="DY167" i="37" s="1"/>
  <c r="DU159" i="37"/>
  <c r="DV159" i="37" s="1"/>
  <c r="DW159" i="37" s="1"/>
  <c r="DY159" i="37" s="1"/>
  <c r="DU216" i="37"/>
  <c r="DV216" i="37" s="1"/>
  <c r="DW216" i="37" s="1"/>
  <c r="DY216" i="37" s="1"/>
  <c r="DU208" i="37"/>
  <c r="DV208" i="37" s="1"/>
  <c r="DW208" i="37" s="1"/>
  <c r="DY208" i="37" s="1"/>
  <c r="DU200" i="37"/>
  <c r="DV200" i="37" s="1"/>
  <c r="DW200" i="37" s="1"/>
  <c r="DY200" i="37" s="1"/>
  <c r="DU192" i="37"/>
  <c r="DV192" i="37" s="1"/>
  <c r="DW192" i="37" s="1"/>
  <c r="DY192" i="37" s="1"/>
  <c r="DU175" i="37"/>
  <c r="DV175" i="37" s="1"/>
  <c r="DW175" i="37" s="1"/>
  <c r="DY175" i="37" s="1"/>
  <c r="DA342" i="37"/>
  <c r="DB342" i="37" s="1"/>
  <c r="DC342" i="37" s="1"/>
  <c r="DE342" i="37" s="1"/>
  <c r="DA334" i="37"/>
  <c r="DB334" i="37" s="1"/>
  <c r="DC334" i="37" s="1"/>
  <c r="DE334" i="37" s="1"/>
  <c r="DA326" i="37"/>
  <c r="DB326" i="37" s="1"/>
  <c r="DC326" i="37" s="1"/>
  <c r="DE326" i="37" s="1"/>
  <c r="DA318" i="37"/>
  <c r="DB318" i="37" s="1"/>
  <c r="DC318" i="37" s="1"/>
  <c r="DE318" i="37" s="1"/>
  <c r="DA310" i="37"/>
  <c r="DB310" i="37" s="1"/>
  <c r="DC310" i="37" s="1"/>
  <c r="DE310" i="37" s="1"/>
  <c r="DA302" i="37"/>
  <c r="DB302" i="37" s="1"/>
  <c r="DC302" i="37" s="1"/>
  <c r="DE302" i="37" s="1"/>
  <c r="DA294" i="37"/>
  <c r="DB294" i="37" s="1"/>
  <c r="DC294" i="37" s="1"/>
  <c r="DE294" i="37" s="1"/>
  <c r="DA286" i="37"/>
  <c r="DB286" i="37" s="1"/>
  <c r="DC286" i="37" s="1"/>
  <c r="DE286" i="37" s="1"/>
  <c r="DA278" i="37"/>
  <c r="DB278" i="37" s="1"/>
  <c r="DC278" i="37" s="1"/>
  <c r="DE278" i="37" s="1"/>
  <c r="DA270" i="37"/>
  <c r="DB270" i="37" s="1"/>
  <c r="DC270" i="37" s="1"/>
  <c r="DE270" i="37" s="1"/>
  <c r="DA262" i="37"/>
  <c r="DB262" i="37" s="1"/>
  <c r="DC262" i="37" s="1"/>
  <c r="DE262" i="37" s="1"/>
  <c r="DA169" i="37"/>
  <c r="DB169" i="37" s="1"/>
  <c r="DC169" i="37" s="1"/>
  <c r="DE169" i="37" s="1"/>
  <c r="DA161" i="37"/>
  <c r="DB161" i="37" s="1"/>
  <c r="DC161" i="37" s="1"/>
  <c r="DE161" i="37" s="1"/>
  <c r="DA220" i="37"/>
  <c r="DB220" i="37" s="1"/>
  <c r="DC220" i="37" s="1"/>
  <c r="DE220" i="37" s="1"/>
  <c r="DA211" i="37"/>
  <c r="DB211" i="37" s="1"/>
  <c r="DC211" i="37" s="1"/>
  <c r="DE211" i="37" s="1"/>
  <c r="DA203" i="37"/>
  <c r="DB203" i="37" s="1"/>
  <c r="DC203" i="37" s="1"/>
  <c r="DE203" i="37" s="1"/>
  <c r="DA195" i="37"/>
  <c r="DB195" i="37" s="1"/>
  <c r="DC195" i="37" s="1"/>
  <c r="DE195" i="37" s="1"/>
  <c r="DA176" i="37"/>
  <c r="DB176" i="37" s="1"/>
  <c r="DC176" i="37" s="1"/>
  <c r="DE176" i="37" s="1"/>
  <c r="CQ302" i="37"/>
  <c r="CR302" i="37" s="1"/>
  <c r="CS302" i="37" s="1"/>
  <c r="CU302" i="37" s="1"/>
  <c r="CQ294" i="37"/>
  <c r="CR294" i="37" s="1"/>
  <c r="CS294" i="37" s="1"/>
  <c r="CU294" i="37" s="1"/>
  <c r="CQ286" i="37"/>
  <c r="CR286" i="37" s="1"/>
  <c r="CS286" i="37" s="1"/>
  <c r="CU286" i="37" s="1"/>
  <c r="CQ278" i="37"/>
  <c r="CR278" i="37" s="1"/>
  <c r="CS278" i="37" s="1"/>
  <c r="CU278" i="37" s="1"/>
  <c r="CQ272" i="37"/>
  <c r="CR272" i="37" s="1"/>
  <c r="CS272" i="37" s="1"/>
  <c r="CU272" i="37" s="1"/>
  <c r="CQ264" i="37"/>
  <c r="CR264" i="37" s="1"/>
  <c r="CS264" i="37" s="1"/>
  <c r="CU264" i="37" s="1"/>
  <c r="CQ172" i="37"/>
  <c r="CR172" i="37" s="1"/>
  <c r="CS172" i="37" s="1"/>
  <c r="CU172" i="37" s="1"/>
  <c r="CQ217" i="37"/>
  <c r="CR217" i="37" s="1"/>
  <c r="CS217" i="37" s="1"/>
  <c r="CU217" i="37" s="1"/>
  <c r="CQ209" i="37"/>
  <c r="CR209" i="37" s="1"/>
  <c r="CS209" i="37" s="1"/>
  <c r="CU209" i="37" s="1"/>
  <c r="CQ201" i="37"/>
  <c r="CR201" i="37" s="1"/>
  <c r="CS201" i="37" s="1"/>
  <c r="CU201" i="37" s="1"/>
  <c r="CQ193" i="37"/>
  <c r="CR193" i="37" s="1"/>
  <c r="CS193" i="37" s="1"/>
  <c r="CU193" i="37" s="1"/>
  <c r="CQ175" i="37"/>
  <c r="CR175" i="37" s="1"/>
  <c r="CS175" i="37" s="1"/>
  <c r="CU175" i="37" s="1"/>
  <c r="CQ165" i="37"/>
  <c r="CR165" i="37" s="1"/>
  <c r="CS165" i="37" s="1"/>
  <c r="CU165" i="37" s="1"/>
  <c r="CQ157" i="37"/>
  <c r="CR157" i="37" s="1"/>
  <c r="CS157" i="37" s="1"/>
  <c r="CU157" i="37" s="1"/>
  <c r="BC302" i="37"/>
  <c r="BD302" i="37" s="1"/>
  <c r="BE302" i="37" s="1"/>
  <c r="BG302" i="37" s="1"/>
  <c r="BC294" i="37"/>
  <c r="BD294" i="37" s="1"/>
  <c r="BE294" i="37" s="1"/>
  <c r="BG294" i="37" s="1"/>
  <c r="BC286" i="37"/>
  <c r="BD286" i="37" s="1"/>
  <c r="BE286" i="37" s="1"/>
  <c r="BG286" i="37" s="1"/>
  <c r="BC278" i="37"/>
  <c r="BD278" i="37" s="1"/>
  <c r="BE278" i="37" s="1"/>
  <c r="BG278" i="37" s="1"/>
  <c r="BC273" i="37"/>
  <c r="BD273" i="37" s="1"/>
  <c r="BE273" i="37" s="1"/>
  <c r="BG273" i="37" s="1"/>
  <c r="BC265" i="37"/>
  <c r="BD265" i="37" s="1"/>
  <c r="BE265" i="37" s="1"/>
  <c r="BG265" i="37" s="1"/>
  <c r="BC181" i="37"/>
  <c r="BD181" i="37" s="1"/>
  <c r="BE181" i="37" s="1"/>
  <c r="BG181" i="37" s="1"/>
  <c r="BC308" i="37"/>
  <c r="BD308" i="37" s="1"/>
  <c r="BE308" i="37" s="1"/>
  <c r="BG308" i="37" s="1"/>
  <c r="BC213" i="37"/>
  <c r="BD213" i="37" s="1"/>
  <c r="BE213" i="37" s="1"/>
  <c r="BG213" i="37" s="1"/>
  <c r="BC205" i="37"/>
  <c r="BD205" i="37" s="1"/>
  <c r="BE205" i="37" s="1"/>
  <c r="BG205" i="37" s="1"/>
  <c r="BC197" i="37"/>
  <c r="BD197" i="37" s="1"/>
  <c r="BE197" i="37" s="1"/>
  <c r="BG197" i="37" s="1"/>
  <c r="BC179" i="37"/>
  <c r="BD179" i="37" s="1"/>
  <c r="BE179" i="37" s="1"/>
  <c r="BG179" i="37" s="1"/>
  <c r="BC168" i="37"/>
  <c r="BD168" i="37" s="1"/>
  <c r="BE168" i="37" s="1"/>
  <c r="BG168" i="37" s="1"/>
  <c r="BC160" i="37"/>
  <c r="BD160" i="37" s="1"/>
  <c r="BE160" i="37" s="1"/>
  <c r="BG160" i="37" s="1"/>
  <c r="BM91" i="37"/>
  <c r="BN91" i="37" s="1"/>
  <c r="BO91" i="37" s="1"/>
  <c r="BQ91" i="37" s="1"/>
  <c r="BW105" i="37"/>
  <c r="BX105" i="37" s="1"/>
  <c r="BY105" i="37" s="1"/>
  <c r="CA105" i="37" s="1"/>
  <c r="DK303" i="37"/>
  <c r="DL303" i="37" s="1"/>
  <c r="DM303" i="37" s="1"/>
  <c r="DO303" i="37" s="1"/>
  <c r="DK295" i="37"/>
  <c r="DL295" i="37" s="1"/>
  <c r="DM295" i="37" s="1"/>
  <c r="DO295" i="37" s="1"/>
  <c r="DK287" i="37"/>
  <c r="DL287" i="37" s="1"/>
  <c r="DM287" i="37" s="1"/>
  <c r="DO287" i="37" s="1"/>
  <c r="DK279" i="37"/>
  <c r="DL279" i="37" s="1"/>
  <c r="DM279" i="37" s="1"/>
  <c r="DO279" i="37" s="1"/>
  <c r="DK273" i="37"/>
  <c r="DL273" i="37" s="1"/>
  <c r="DM273" i="37" s="1"/>
  <c r="DO273" i="37" s="1"/>
  <c r="DK265" i="37"/>
  <c r="DL265" i="37" s="1"/>
  <c r="DM265" i="37" s="1"/>
  <c r="DO265" i="37" s="1"/>
  <c r="DK175" i="37"/>
  <c r="DL175" i="37" s="1"/>
  <c r="DM175" i="37" s="1"/>
  <c r="DO175" i="37" s="1"/>
  <c r="DK306" i="37"/>
  <c r="DL306" i="37" s="1"/>
  <c r="DM306" i="37" s="1"/>
  <c r="DO306" i="37" s="1"/>
  <c r="DK212" i="37"/>
  <c r="DL212" i="37" s="1"/>
  <c r="DM212" i="37" s="1"/>
  <c r="DO212" i="37" s="1"/>
  <c r="DK204" i="37"/>
  <c r="DL204" i="37" s="1"/>
  <c r="DM204" i="37" s="1"/>
  <c r="DO204" i="37" s="1"/>
  <c r="DK196" i="37"/>
  <c r="DL196" i="37" s="1"/>
  <c r="DM196" i="37" s="1"/>
  <c r="DO196" i="37" s="1"/>
  <c r="DK177" i="37"/>
  <c r="DL177" i="37" s="1"/>
  <c r="DM177" i="37" s="1"/>
  <c r="DO177" i="37" s="1"/>
  <c r="DK166" i="37"/>
  <c r="DL166" i="37" s="1"/>
  <c r="DM166" i="37" s="1"/>
  <c r="DO166" i="37" s="1"/>
  <c r="DK158" i="37"/>
  <c r="DL158" i="37" s="1"/>
  <c r="DM158" i="37" s="1"/>
  <c r="DO158" i="37" s="1"/>
  <c r="CG343" i="37"/>
  <c r="CH343" i="37" s="1"/>
  <c r="CI343" i="37" s="1"/>
  <c r="CK343" i="37" s="1"/>
  <c r="CG335" i="37"/>
  <c r="CH335" i="37" s="1"/>
  <c r="CI335" i="37" s="1"/>
  <c r="CK335" i="37" s="1"/>
  <c r="CG327" i="37"/>
  <c r="CH327" i="37" s="1"/>
  <c r="CI327" i="37" s="1"/>
  <c r="CK327" i="37" s="1"/>
  <c r="CG319" i="37"/>
  <c r="CH319" i="37" s="1"/>
  <c r="CI319" i="37" s="1"/>
  <c r="CK319" i="37" s="1"/>
  <c r="CG311" i="37"/>
  <c r="CH311" i="37" s="1"/>
  <c r="CI311" i="37" s="1"/>
  <c r="CK311" i="37" s="1"/>
  <c r="CG303" i="37"/>
  <c r="CH303" i="37" s="1"/>
  <c r="CI303" i="37" s="1"/>
  <c r="CK303" i="37" s="1"/>
  <c r="CG295" i="37"/>
  <c r="CH295" i="37" s="1"/>
  <c r="CI295" i="37" s="1"/>
  <c r="CK295" i="37" s="1"/>
  <c r="CG287" i="37"/>
  <c r="CH287" i="37" s="1"/>
  <c r="CI287" i="37" s="1"/>
  <c r="CK287" i="37" s="1"/>
  <c r="CG279" i="37"/>
  <c r="CH279" i="37" s="1"/>
  <c r="CI279" i="37" s="1"/>
  <c r="CK279" i="37" s="1"/>
  <c r="CG271" i="37"/>
  <c r="CH271" i="37" s="1"/>
  <c r="CI271" i="37" s="1"/>
  <c r="CK271" i="37" s="1"/>
  <c r="CG263" i="37"/>
  <c r="CH263" i="37" s="1"/>
  <c r="CI263" i="37" s="1"/>
  <c r="CK263" i="37" s="1"/>
  <c r="CG169" i="37"/>
  <c r="CH169" i="37" s="1"/>
  <c r="CI169" i="37" s="1"/>
  <c r="CK169" i="37" s="1"/>
  <c r="CG161" i="37"/>
  <c r="CH161" i="37" s="1"/>
  <c r="CI161" i="37" s="1"/>
  <c r="CK161" i="37" s="1"/>
  <c r="CG217" i="37"/>
  <c r="CH217" i="37" s="1"/>
  <c r="CI217" i="37" s="1"/>
  <c r="CK217" i="37" s="1"/>
  <c r="CG209" i="37"/>
  <c r="CH209" i="37" s="1"/>
  <c r="CI209" i="37" s="1"/>
  <c r="CK209" i="37" s="1"/>
  <c r="CG201" i="37"/>
  <c r="CH201" i="37" s="1"/>
  <c r="CI201" i="37" s="1"/>
  <c r="CK201" i="37" s="1"/>
  <c r="CG193" i="37"/>
  <c r="CH193" i="37" s="1"/>
  <c r="CI193" i="37" s="1"/>
  <c r="CK193" i="37" s="1"/>
  <c r="CG175" i="37"/>
  <c r="CH175" i="37" s="1"/>
  <c r="CI175" i="37" s="1"/>
  <c r="CK175" i="37" s="1"/>
  <c r="BW304" i="37"/>
  <c r="BX304" i="37" s="1"/>
  <c r="BY304" i="37" s="1"/>
  <c r="CA304" i="37" s="1"/>
  <c r="BW296" i="37"/>
  <c r="BX296" i="37" s="1"/>
  <c r="BY296" i="37" s="1"/>
  <c r="CA296" i="37" s="1"/>
  <c r="BW288" i="37"/>
  <c r="BX288" i="37" s="1"/>
  <c r="BY288" i="37" s="1"/>
  <c r="CA288" i="37" s="1"/>
  <c r="BW280" i="37"/>
  <c r="BX280" i="37" s="1"/>
  <c r="BY280" i="37" s="1"/>
  <c r="CA280" i="37" s="1"/>
  <c r="BW274" i="37"/>
  <c r="BX274" i="37" s="1"/>
  <c r="BY274" i="37" s="1"/>
  <c r="CA274" i="37" s="1"/>
  <c r="BW266" i="37"/>
  <c r="BX266" i="37" s="1"/>
  <c r="BY266" i="37" s="1"/>
  <c r="CA266" i="37" s="1"/>
  <c r="BW180" i="37"/>
  <c r="BX180" i="37" s="1"/>
  <c r="BY180" i="37" s="1"/>
  <c r="CA180" i="37" s="1"/>
  <c r="BW220" i="37"/>
  <c r="BX220" i="37" s="1"/>
  <c r="BY220" i="37" s="1"/>
  <c r="CA220" i="37" s="1"/>
  <c r="BW211" i="37"/>
  <c r="BX211" i="37" s="1"/>
  <c r="BY211" i="37" s="1"/>
  <c r="CA211" i="37" s="1"/>
  <c r="BW203" i="37"/>
  <c r="BX203" i="37" s="1"/>
  <c r="BY203" i="37" s="1"/>
  <c r="CA203" i="37" s="1"/>
  <c r="BW195" i="37"/>
  <c r="BX195" i="37" s="1"/>
  <c r="BY195" i="37" s="1"/>
  <c r="CA195" i="37" s="1"/>
  <c r="BW176" i="37"/>
  <c r="BX176" i="37" s="1"/>
  <c r="BY176" i="37" s="1"/>
  <c r="CA176" i="37" s="1"/>
  <c r="BW166" i="37"/>
  <c r="BX166" i="37" s="1"/>
  <c r="BY166" i="37" s="1"/>
  <c r="CA166" i="37" s="1"/>
  <c r="BW158" i="37"/>
  <c r="BX158" i="37" s="1"/>
  <c r="BY158" i="37" s="1"/>
  <c r="CA158" i="37" s="1"/>
  <c r="BM342" i="37"/>
  <c r="BN342" i="37" s="1"/>
  <c r="BO342" i="37" s="1"/>
  <c r="BQ342" i="37" s="1"/>
  <c r="BM334" i="37"/>
  <c r="BN334" i="37" s="1"/>
  <c r="BO334" i="37" s="1"/>
  <c r="BQ334" i="37" s="1"/>
  <c r="BM326" i="37"/>
  <c r="BN326" i="37" s="1"/>
  <c r="BO326" i="37" s="1"/>
  <c r="BQ326" i="37" s="1"/>
  <c r="BM318" i="37"/>
  <c r="BN318" i="37" s="1"/>
  <c r="BO318" i="37" s="1"/>
  <c r="BQ318" i="37" s="1"/>
  <c r="BM310" i="37"/>
  <c r="BN310" i="37" s="1"/>
  <c r="BO310" i="37" s="1"/>
  <c r="BQ310" i="37" s="1"/>
  <c r="BM302" i="37"/>
  <c r="BN302" i="37" s="1"/>
  <c r="BO302" i="37" s="1"/>
  <c r="BQ302" i="37" s="1"/>
  <c r="BM294" i="37"/>
  <c r="BN294" i="37" s="1"/>
  <c r="BO294" i="37" s="1"/>
  <c r="BQ294" i="37" s="1"/>
  <c r="BM286" i="37"/>
  <c r="BN286" i="37" s="1"/>
  <c r="BO286" i="37" s="1"/>
  <c r="BQ286" i="37" s="1"/>
  <c r="BM278" i="37"/>
  <c r="BN278" i="37" s="1"/>
  <c r="BO278" i="37" s="1"/>
  <c r="BQ278" i="37" s="1"/>
  <c r="BM270" i="37"/>
  <c r="BN270" i="37" s="1"/>
  <c r="BO270" i="37" s="1"/>
  <c r="BQ270" i="37" s="1"/>
  <c r="BM262" i="37"/>
  <c r="BN262" i="37" s="1"/>
  <c r="BO262" i="37" s="1"/>
  <c r="BQ262" i="37" s="1"/>
  <c r="BM168" i="37"/>
  <c r="BN168" i="37" s="1"/>
  <c r="BO168" i="37" s="1"/>
  <c r="BQ168" i="37" s="1"/>
  <c r="BM160" i="37"/>
  <c r="BN160" i="37" s="1"/>
  <c r="BO160" i="37" s="1"/>
  <c r="BQ160" i="37" s="1"/>
  <c r="BM218" i="37"/>
  <c r="BN218" i="37" s="1"/>
  <c r="BO218" i="37" s="1"/>
  <c r="BQ218" i="37" s="1"/>
  <c r="BM210" i="37"/>
  <c r="BN210" i="37" s="1"/>
  <c r="BO210" i="37" s="1"/>
  <c r="BQ210" i="37" s="1"/>
  <c r="BM202" i="37"/>
  <c r="BN202" i="37" s="1"/>
  <c r="BO202" i="37" s="1"/>
  <c r="BQ202" i="37" s="1"/>
  <c r="BM194" i="37"/>
  <c r="BN194" i="37" s="1"/>
  <c r="BO194" i="37" s="1"/>
  <c r="BQ194" i="37" s="1"/>
  <c r="BM174" i="37"/>
  <c r="BN174" i="37" s="1"/>
  <c r="BO174" i="37" s="1"/>
  <c r="BQ174" i="37" s="1"/>
  <c r="DU162" i="37"/>
  <c r="DV162" i="37" s="1"/>
  <c r="DW162" i="37" s="1"/>
  <c r="DY162" i="37" s="1"/>
  <c r="DA170" i="37"/>
  <c r="DB170" i="37" s="1"/>
  <c r="DC170" i="37" s="1"/>
  <c r="DE170" i="37" s="1"/>
  <c r="CQ285" i="37"/>
  <c r="CR285" i="37" s="1"/>
  <c r="CS285" i="37" s="1"/>
  <c r="CU285" i="37" s="1"/>
  <c r="CQ263" i="37"/>
  <c r="CR263" i="37" s="1"/>
  <c r="CS263" i="37" s="1"/>
  <c r="CU263" i="37" s="1"/>
  <c r="CQ200" i="37"/>
  <c r="CR200" i="37" s="1"/>
  <c r="CS200" i="37" s="1"/>
  <c r="CU200" i="37" s="1"/>
  <c r="CQ164" i="37"/>
  <c r="CR164" i="37" s="1"/>
  <c r="CS164" i="37" s="1"/>
  <c r="CU164" i="37" s="1"/>
  <c r="BC285" i="37"/>
  <c r="BD285" i="37" s="1"/>
  <c r="BE285" i="37" s="1"/>
  <c r="BG285" i="37" s="1"/>
  <c r="BC264" i="37"/>
  <c r="BD264" i="37" s="1"/>
  <c r="BE264" i="37" s="1"/>
  <c r="BG264" i="37" s="1"/>
  <c r="BC212" i="37"/>
  <c r="BD212" i="37" s="1"/>
  <c r="BE212" i="37" s="1"/>
  <c r="BG212" i="37" s="1"/>
  <c r="BC167" i="37"/>
  <c r="BD167" i="37" s="1"/>
  <c r="BE167" i="37" s="1"/>
  <c r="BG167" i="37" s="1"/>
  <c r="DK296" i="37"/>
  <c r="DL296" i="37" s="1"/>
  <c r="DM296" i="37" s="1"/>
  <c r="DO296" i="37" s="1"/>
  <c r="DK274" i="37"/>
  <c r="DL274" i="37" s="1"/>
  <c r="DM274" i="37" s="1"/>
  <c r="DO274" i="37" s="1"/>
  <c r="DK307" i="37"/>
  <c r="DL307" i="37" s="1"/>
  <c r="DM307" i="37" s="1"/>
  <c r="DO307" i="37" s="1"/>
  <c r="DK178" i="37"/>
  <c r="DL178" i="37" s="1"/>
  <c r="DM178" i="37" s="1"/>
  <c r="DO178" i="37" s="1"/>
  <c r="CG342" i="37"/>
  <c r="CH342" i="37" s="1"/>
  <c r="CI342" i="37" s="1"/>
  <c r="CK342" i="37" s="1"/>
  <c r="CG318" i="37"/>
  <c r="CH318" i="37" s="1"/>
  <c r="CI318" i="37" s="1"/>
  <c r="CK318" i="37" s="1"/>
  <c r="CG286" i="37"/>
  <c r="CH286" i="37" s="1"/>
  <c r="CI286" i="37" s="1"/>
  <c r="CK286" i="37" s="1"/>
  <c r="CG262" i="37"/>
  <c r="CH262" i="37" s="1"/>
  <c r="CI262" i="37" s="1"/>
  <c r="CK262" i="37" s="1"/>
  <c r="CG208" i="37"/>
  <c r="CH208" i="37" s="1"/>
  <c r="CI208" i="37" s="1"/>
  <c r="CK208" i="37" s="1"/>
  <c r="CG173" i="37"/>
  <c r="CH173" i="37" s="1"/>
  <c r="CI173" i="37" s="1"/>
  <c r="CK173" i="37" s="1"/>
  <c r="BW287" i="37"/>
  <c r="BX287" i="37" s="1"/>
  <c r="BY287" i="37" s="1"/>
  <c r="CA287" i="37" s="1"/>
  <c r="BW175" i="37"/>
  <c r="BX175" i="37" s="1"/>
  <c r="BY175" i="37" s="1"/>
  <c r="CA175" i="37" s="1"/>
  <c r="BW202" i="37"/>
  <c r="BX202" i="37" s="1"/>
  <c r="BY202" i="37" s="1"/>
  <c r="CA202" i="37" s="1"/>
  <c r="BW157" i="37"/>
  <c r="BX157" i="37" s="1"/>
  <c r="BY157" i="37" s="1"/>
  <c r="CA157" i="37" s="1"/>
  <c r="BM325" i="37"/>
  <c r="BN325" i="37" s="1"/>
  <c r="BO325" i="37" s="1"/>
  <c r="BQ325" i="37" s="1"/>
  <c r="BM301" i="37"/>
  <c r="BN301" i="37" s="1"/>
  <c r="BO301" i="37" s="1"/>
  <c r="BQ301" i="37" s="1"/>
  <c r="BM277" i="37"/>
  <c r="BN277" i="37" s="1"/>
  <c r="BO277" i="37" s="1"/>
  <c r="BQ277" i="37" s="1"/>
  <c r="BM159" i="37"/>
  <c r="BN159" i="37" s="1"/>
  <c r="BO159" i="37" s="1"/>
  <c r="BQ159" i="37" s="1"/>
  <c r="BM201" i="37"/>
  <c r="BN201" i="37" s="1"/>
  <c r="BO201" i="37" s="1"/>
  <c r="BQ201" i="37" s="1"/>
  <c r="CQ317" i="37"/>
  <c r="CR317" i="37" s="1"/>
  <c r="CS317" i="37" s="1"/>
  <c r="CU317" i="37" s="1"/>
  <c r="EE323" i="37"/>
  <c r="EF323" i="37" s="1"/>
  <c r="EG323" i="37" s="1"/>
  <c r="EI323" i="37" s="1"/>
  <c r="BW330" i="37"/>
  <c r="BX330" i="37" s="1"/>
  <c r="BY330" i="37" s="1"/>
  <c r="CA330" i="37" s="1"/>
  <c r="BC335" i="37"/>
  <c r="BD335" i="37" s="1"/>
  <c r="BE335" i="37" s="1"/>
  <c r="BG335" i="37" s="1"/>
  <c r="CQ341" i="37"/>
  <c r="CR341" i="37" s="1"/>
  <c r="CS341" i="37" s="1"/>
  <c r="CU341" i="37" s="1"/>
  <c r="BM346" i="37"/>
  <c r="BN346" i="37" s="1"/>
  <c r="BO346" i="37" s="1"/>
  <c r="BQ346" i="37" s="1"/>
  <c r="BW12" i="37"/>
  <c r="BX12" i="37" s="1"/>
  <c r="BY12" i="37" s="1"/>
  <c r="CA12" i="37" s="1"/>
  <c r="BW38" i="37"/>
  <c r="BX38" i="37" s="1"/>
  <c r="BY38" i="37" s="1"/>
  <c r="CA38" i="37" s="1"/>
  <c r="CQ44" i="37"/>
  <c r="CR44" i="37" s="1"/>
  <c r="CS44" i="37" s="1"/>
  <c r="CU44" i="37" s="1"/>
  <c r="CQ52" i="37"/>
  <c r="CR52" i="37" s="1"/>
  <c r="CS52" i="37" s="1"/>
  <c r="CU52" i="37" s="1"/>
  <c r="BC90" i="37"/>
  <c r="BD90" i="37" s="1"/>
  <c r="BE90" i="37" s="1"/>
  <c r="BG90" i="37" s="1"/>
  <c r="EE94" i="37"/>
  <c r="EF94" i="37" s="1"/>
  <c r="EG94" i="37" s="1"/>
  <c r="EI94" i="37" s="1"/>
  <c r="BW101" i="37"/>
  <c r="BX101" i="37" s="1"/>
  <c r="BY101" i="37" s="1"/>
  <c r="CA101" i="37" s="1"/>
  <c r="BW107" i="37"/>
  <c r="BX107" i="37" s="1"/>
  <c r="BY107" i="37" s="1"/>
  <c r="CA107" i="37" s="1"/>
  <c r="DK109" i="37"/>
  <c r="DL109" i="37" s="1"/>
  <c r="DM109" i="37" s="1"/>
  <c r="DO109" i="37" s="1"/>
  <c r="EE112" i="37"/>
  <c r="EF112" i="37" s="1"/>
  <c r="EG112" i="37" s="1"/>
  <c r="EI112" i="37" s="1"/>
  <c r="BC116" i="37"/>
  <c r="BD116" i="37" s="1"/>
  <c r="BE116" i="37" s="1"/>
  <c r="BG116" i="37" s="1"/>
  <c r="BW119" i="37"/>
  <c r="BX119" i="37" s="1"/>
  <c r="BY119" i="37" s="1"/>
  <c r="CA119" i="37" s="1"/>
  <c r="EO340" i="37"/>
  <c r="EP340" i="37" s="1"/>
  <c r="EQ340" i="37" s="1"/>
  <c r="ES340" i="37" s="1"/>
  <c r="EO316" i="37"/>
  <c r="EP316" i="37" s="1"/>
  <c r="EQ316" i="37" s="1"/>
  <c r="ES316" i="37" s="1"/>
  <c r="EO292" i="37"/>
  <c r="EP292" i="37" s="1"/>
  <c r="EQ292" i="37" s="1"/>
  <c r="ES292" i="37" s="1"/>
  <c r="EO219" i="37"/>
  <c r="EP219" i="37" s="1"/>
  <c r="EQ219" i="37" s="1"/>
  <c r="ES219" i="37" s="1"/>
  <c r="EO210" i="37"/>
  <c r="EP210" i="37" s="1"/>
  <c r="EQ210" i="37" s="1"/>
  <c r="ES210" i="37" s="1"/>
  <c r="DU342" i="37"/>
  <c r="DV342" i="37" s="1"/>
  <c r="DW342" i="37" s="1"/>
  <c r="DY342" i="37" s="1"/>
  <c r="DU318" i="37"/>
  <c r="DV318" i="37" s="1"/>
  <c r="DW318" i="37" s="1"/>
  <c r="DY318" i="37" s="1"/>
  <c r="DU286" i="37"/>
  <c r="DV286" i="37" s="1"/>
  <c r="DW286" i="37" s="1"/>
  <c r="DY286" i="37" s="1"/>
  <c r="DU169" i="37"/>
  <c r="DV169" i="37" s="1"/>
  <c r="DW169" i="37" s="1"/>
  <c r="DY169" i="37" s="1"/>
  <c r="DU157" i="37"/>
  <c r="DV157" i="37" s="1"/>
  <c r="DW157" i="37" s="1"/>
  <c r="DY157" i="37" s="1"/>
  <c r="DU210" i="37"/>
  <c r="DV210" i="37" s="1"/>
  <c r="DW210" i="37" s="1"/>
  <c r="DY210" i="37" s="1"/>
  <c r="DU198" i="37"/>
  <c r="DV198" i="37" s="1"/>
  <c r="DW198" i="37" s="1"/>
  <c r="DY198" i="37" s="1"/>
  <c r="DU171" i="37"/>
  <c r="DV171" i="37" s="1"/>
  <c r="DW171" i="37" s="1"/>
  <c r="DY171" i="37" s="1"/>
  <c r="DA332" i="37"/>
  <c r="DB332" i="37" s="1"/>
  <c r="DC332" i="37" s="1"/>
  <c r="DE332" i="37" s="1"/>
  <c r="DA316" i="37"/>
  <c r="DB316" i="37" s="1"/>
  <c r="DC316" i="37" s="1"/>
  <c r="DE316" i="37" s="1"/>
  <c r="DA300" i="37"/>
  <c r="DB300" i="37" s="1"/>
  <c r="DC300" i="37" s="1"/>
  <c r="DE300" i="37" s="1"/>
  <c r="DA288" i="37"/>
  <c r="DB288" i="37" s="1"/>
  <c r="DC288" i="37" s="1"/>
  <c r="DE288" i="37" s="1"/>
  <c r="DA272" i="37"/>
  <c r="DB272" i="37" s="1"/>
  <c r="DC272" i="37" s="1"/>
  <c r="DE272" i="37" s="1"/>
  <c r="DA173" i="37"/>
  <c r="DB173" i="37" s="1"/>
  <c r="DC173" i="37" s="1"/>
  <c r="DE173" i="37" s="1"/>
  <c r="DA159" i="37"/>
  <c r="DB159" i="37" s="1"/>
  <c r="DC159" i="37" s="1"/>
  <c r="DE159" i="37" s="1"/>
  <c r="DA209" i="37"/>
  <c r="DB209" i="37" s="1"/>
  <c r="DC209" i="37" s="1"/>
  <c r="DE209" i="37" s="1"/>
  <c r="DA197" i="37"/>
  <c r="DB197" i="37" s="1"/>
  <c r="DC197" i="37" s="1"/>
  <c r="DE197" i="37" s="1"/>
  <c r="CQ304" i="37"/>
  <c r="CR304" i="37" s="1"/>
  <c r="CS304" i="37" s="1"/>
  <c r="CU304" i="37" s="1"/>
  <c r="CQ288" i="37"/>
  <c r="CR288" i="37" s="1"/>
  <c r="CS288" i="37" s="1"/>
  <c r="CU288" i="37" s="1"/>
  <c r="CQ310" i="37"/>
  <c r="CR310" i="37" s="1"/>
  <c r="CS310" i="37" s="1"/>
  <c r="CU310" i="37" s="1"/>
  <c r="CQ262" i="37"/>
  <c r="CR262" i="37" s="1"/>
  <c r="CS262" i="37" s="1"/>
  <c r="CU262" i="37" s="1"/>
  <c r="CQ215" i="37"/>
  <c r="CR215" i="37" s="1"/>
  <c r="CS215" i="37" s="1"/>
  <c r="CU215" i="37" s="1"/>
  <c r="CQ199" i="37"/>
  <c r="CR199" i="37" s="1"/>
  <c r="CS199" i="37" s="1"/>
  <c r="CU199" i="37" s="1"/>
  <c r="CQ177" i="37"/>
  <c r="CR177" i="37" s="1"/>
  <c r="CS177" i="37" s="1"/>
  <c r="CU177" i="37" s="1"/>
  <c r="CQ159" i="37"/>
  <c r="CR159" i="37" s="1"/>
  <c r="CS159" i="37" s="1"/>
  <c r="CU159" i="37" s="1"/>
  <c r="BC300" i="37"/>
  <c r="BD300" i="37" s="1"/>
  <c r="BE300" i="37" s="1"/>
  <c r="BG300" i="37" s="1"/>
  <c r="BC284" i="37"/>
  <c r="BD284" i="37" s="1"/>
  <c r="BE284" i="37" s="1"/>
  <c r="BG284" i="37" s="1"/>
  <c r="BC275" i="37"/>
  <c r="BD275" i="37" s="1"/>
  <c r="BE275" i="37" s="1"/>
  <c r="BG275" i="37" s="1"/>
  <c r="BC185" i="37"/>
  <c r="BD185" i="37" s="1"/>
  <c r="BE185" i="37" s="1"/>
  <c r="BG185" i="37" s="1"/>
  <c r="BC215" i="37"/>
  <c r="BD215" i="37" s="1"/>
  <c r="BE215" i="37" s="1"/>
  <c r="BG215" i="37" s="1"/>
  <c r="BC195" i="37"/>
  <c r="BD195" i="37" s="1"/>
  <c r="BE195" i="37" s="1"/>
  <c r="BG195" i="37" s="1"/>
  <c r="BC170" i="37"/>
  <c r="BD170" i="37" s="1"/>
  <c r="BE170" i="37" s="1"/>
  <c r="BG170" i="37" s="1"/>
  <c r="BM89" i="37"/>
  <c r="BN89" i="37" s="1"/>
  <c r="BO89" i="37" s="1"/>
  <c r="BQ89" i="37" s="1"/>
  <c r="DK305" i="37"/>
  <c r="DL305" i="37" s="1"/>
  <c r="DM305" i="37" s="1"/>
  <c r="DO305" i="37" s="1"/>
  <c r="DK293" i="37"/>
  <c r="DL293" i="37" s="1"/>
  <c r="DM293" i="37" s="1"/>
  <c r="DO293" i="37" s="1"/>
  <c r="DK311" i="37"/>
  <c r="DL311" i="37" s="1"/>
  <c r="DM311" i="37" s="1"/>
  <c r="DO311" i="37" s="1"/>
  <c r="DK263" i="37"/>
  <c r="DL263" i="37" s="1"/>
  <c r="DM263" i="37" s="1"/>
  <c r="DO263" i="37" s="1"/>
  <c r="DK308" i="37"/>
  <c r="DL308" i="37" s="1"/>
  <c r="DM308" i="37" s="1"/>
  <c r="DO308" i="37" s="1"/>
  <c r="DK206" i="37"/>
  <c r="DL206" i="37" s="1"/>
  <c r="DM206" i="37" s="1"/>
  <c r="DO206" i="37" s="1"/>
  <c r="DK179" i="37"/>
  <c r="DL179" i="37" s="1"/>
  <c r="DM179" i="37" s="1"/>
  <c r="DO179" i="37" s="1"/>
  <c r="DK160" i="37"/>
  <c r="DL160" i="37" s="1"/>
  <c r="DM160" i="37" s="1"/>
  <c r="DO160" i="37" s="1"/>
  <c r="CG341" i="37"/>
  <c r="CH341" i="37" s="1"/>
  <c r="CI341" i="37" s="1"/>
  <c r="CK341" i="37" s="1"/>
  <c r="CG325" i="37"/>
  <c r="CH325" i="37" s="1"/>
  <c r="CI325" i="37" s="1"/>
  <c r="CK325" i="37" s="1"/>
  <c r="CG309" i="37"/>
  <c r="CH309" i="37" s="1"/>
  <c r="CI309" i="37" s="1"/>
  <c r="CK309" i="37" s="1"/>
  <c r="CG293" i="37"/>
  <c r="CH293" i="37" s="1"/>
  <c r="CI293" i="37" s="1"/>
  <c r="CK293" i="37" s="1"/>
  <c r="CG281" i="37"/>
  <c r="CH281" i="37" s="1"/>
  <c r="CI281" i="37" s="1"/>
  <c r="CK281" i="37" s="1"/>
  <c r="CG265" i="37"/>
  <c r="CH265" i="37" s="1"/>
  <c r="CI265" i="37" s="1"/>
  <c r="CK265" i="37" s="1"/>
  <c r="CG163" i="37"/>
  <c r="CH163" i="37" s="1"/>
  <c r="CI163" i="37" s="1"/>
  <c r="CK163" i="37" s="1"/>
  <c r="CG215" i="37"/>
  <c r="CH215" i="37" s="1"/>
  <c r="CI215" i="37" s="1"/>
  <c r="CK215" i="37" s="1"/>
  <c r="CG199" i="37"/>
  <c r="CH199" i="37" s="1"/>
  <c r="CI199" i="37" s="1"/>
  <c r="CK199" i="37" s="1"/>
  <c r="CG171" i="37"/>
  <c r="CH171" i="37" s="1"/>
  <c r="CI171" i="37" s="1"/>
  <c r="CK171" i="37" s="1"/>
  <c r="BW298" i="37"/>
  <c r="BX298" i="37" s="1"/>
  <c r="BY298" i="37" s="1"/>
  <c r="CA298" i="37" s="1"/>
  <c r="BW282" i="37"/>
  <c r="BX282" i="37" s="1"/>
  <c r="BY282" i="37" s="1"/>
  <c r="CA282" i="37" s="1"/>
  <c r="BW272" i="37"/>
  <c r="BX272" i="37" s="1"/>
  <c r="BY272" i="37" s="1"/>
  <c r="CA272" i="37" s="1"/>
  <c r="BW173" i="37"/>
  <c r="BX173" i="37" s="1"/>
  <c r="BY173" i="37" s="1"/>
  <c r="CA173" i="37" s="1"/>
  <c r="BW209" i="37"/>
  <c r="BX209" i="37" s="1"/>
  <c r="BY209" i="37" s="1"/>
  <c r="CA209" i="37" s="1"/>
  <c r="BW197" i="37"/>
  <c r="BX197" i="37" s="1"/>
  <c r="BY197" i="37" s="1"/>
  <c r="CA197" i="37" s="1"/>
  <c r="BW168" i="37"/>
  <c r="BX168" i="37" s="1"/>
  <c r="BY168" i="37" s="1"/>
  <c r="CA168" i="37" s="1"/>
  <c r="BM344" i="37"/>
  <c r="BN344" i="37" s="1"/>
  <c r="BO344" i="37" s="1"/>
  <c r="BQ344" i="37" s="1"/>
  <c r="BM332" i="37"/>
  <c r="BN332" i="37" s="1"/>
  <c r="BO332" i="37" s="1"/>
  <c r="BQ332" i="37" s="1"/>
  <c r="BM316" i="37"/>
  <c r="BN316" i="37" s="1"/>
  <c r="BO316" i="37" s="1"/>
  <c r="BQ316" i="37" s="1"/>
  <c r="BM304" i="37"/>
  <c r="BN304" i="37" s="1"/>
  <c r="BO304" i="37" s="1"/>
  <c r="BQ304" i="37" s="1"/>
  <c r="BM288" i="37"/>
  <c r="BN288" i="37" s="1"/>
  <c r="BO288" i="37" s="1"/>
  <c r="BQ288" i="37" s="1"/>
  <c r="BM272" i="37"/>
  <c r="BN272" i="37" s="1"/>
  <c r="BO272" i="37" s="1"/>
  <c r="BQ272" i="37" s="1"/>
  <c r="BM173" i="37"/>
  <c r="BN173" i="37" s="1"/>
  <c r="BO173" i="37" s="1"/>
  <c r="BQ173" i="37" s="1"/>
  <c r="BM158" i="37"/>
  <c r="BN158" i="37" s="1"/>
  <c r="BO158" i="37" s="1"/>
  <c r="BQ158" i="37" s="1"/>
  <c r="BM204" i="37"/>
  <c r="BN204" i="37" s="1"/>
  <c r="BO204" i="37" s="1"/>
  <c r="BQ204" i="37" s="1"/>
  <c r="BM183" i="37"/>
  <c r="BN183" i="37" s="1"/>
  <c r="BO183" i="37" s="1"/>
  <c r="BQ183" i="37" s="1"/>
  <c r="DK44" i="37"/>
  <c r="DL44" i="37" s="1"/>
  <c r="DM44" i="37" s="1"/>
  <c r="DO44" i="37" s="1"/>
  <c r="EE47" i="37"/>
  <c r="EF47" i="37" s="1"/>
  <c r="EG47" i="37" s="1"/>
  <c r="EI47" i="37" s="1"/>
  <c r="BW54" i="37"/>
  <c r="BX54" i="37" s="1"/>
  <c r="BY54" i="37" s="1"/>
  <c r="CA54" i="37" s="1"/>
  <c r="BW90" i="37"/>
  <c r="BX90" i="37" s="1"/>
  <c r="BY90" i="37" s="1"/>
  <c r="CA90" i="37" s="1"/>
  <c r="CQ93" i="37"/>
  <c r="CR93" i="37" s="1"/>
  <c r="CS93" i="37" s="1"/>
  <c r="CU93" i="37" s="1"/>
  <c r="DK96" i="37"/>
  <c r="DL96" i="37" s="1"/>
  <c r="DM96" i="37" s="1"/>
  <c r="DO96" i="37" s="1"/>
  <c r="EE99" i="37"/>
  <c r="EF99" i="37" s="1"/>
  <c r="EG99" i="37" s="1"/>
  <c r="EI99" i="37" s="1"/>
  <c r="BC103" i="37"/>
  <c r="BD103" i="37" s="1"/>
  <c r="BE103" i="37" s="1"/>
  <c r="BG103" i="37" s="1"/>
  <c r="BM106" i="37"/>
  <c r="BN106" i="37" s="1"/>
  <c r="BO106" i="37" s="1"/>
  <c r="BQ106" i="37" s="1"/>
  <c r="BM108" i="37"/>
  <c r="BN108" i="37" s="1"/>
  <c r="BO108" i="37" s="1"/>
  <c r="BQ108" i="37" s="1"/>
  <c r="DU109" i="37"/>
  <c r="DV109" i="37" s="1"/>
  <c r="DW109" i="37" s="1"/>
  <c r="DY109" i="37" s="1"/>
  <c r="CG111" i="37"/>
  <c r="CH111" i="37" s="1"/>
  <c r="CI111" i="37" s="1"/>
  <c r="CK111" i="37" s="1"/>
  <c r="EO112" i="37"/>
  <c r="EP112" i="37" s="1"/>
  <c r="EQ112" i="37" s="1"/>
  <c r="ES112" i="37" s="1"/>
  <c r="DA114" i="37"/>
  <c r="DB114" i="37" s="1"/>
  <c r="DC114" i="37" s="1"/>
  <c r="DE114" i="37" s="1"/>
  <c r="BM116" i="37"/>
  <c r="BN116" i="37" s="1"/>
  <c r="BO116" i="37" s="1"/>
  <c r="BQ116" i="37" s="1"/>
  <c r="DU117" i="37"/>
  <c r="DV117" i="37" s="1"/>
  <c r="DW117" i="37" s="1"/>
  <c r="DY117" i="37" s="1"/>
  <c r="CG119" i="37"/>
  <c r="CH119" i="37" s="1"/>
  <c r="CI119" i="37" s="1"/>
  <c r="CK119" i="37" s="1"/>
  <c r="EO120" i="37"/>
  <c r="EP120" i="37" s="1"/>
  <c r="EQ120" i="37" s="1"/>
  <c r="ES120" i="37" s="1"/>
  <c r="EO339" i="37"/>
  <c r="EP339" i="37" s="1"/>
  <c r="EQ339" i="37" s="1"/>
  <c r="ES339" i="37" s="1"/>
  <c r="EO323" i="37"/>
  <c r="EP323" i="37" s="1"/>
  <c r="EQ323" i="37" s="1"/>
  <c r="ES323" i="37" s="1"/>
  <c r="EO307" i="37"/>
  <c r="EP307" i="37" s="1"/>
  <c r="EQ307" i="37" s="1"/>
  <c r="ES307" i="37" s="1"/>
  <c r="EO291" i="37"/>
  <c r="EP291" i="37" s="1"/>
  <c r="EQ291" i="37" s="1"/>
  <c r="ES291" i="37" s="1"/>
  <c r="EO275" i="37"/>
  <c r="EP275" i="37" s="1"/>
  <c r="EQ275" i="37" s="1"/>
  <c r="ES275" i="37" s="1"/>
  <c r="EO217" i="37"/>
  <c r="EP217" i="37" s="1"/>
  <c r="EQ217" i="37" s="1"/>
  <c r="ES217" i="37" s="1"/>
  <c r="EO160" i="37"/>
  <c r="EP160" i="37" s="1"/>
  <c r="EQ160" i="37" s="1"/>
  <c r="ES160" i="37" s="1"/>
  <c r="EO209" i="37"/>
  <c r="EP209" i="37" s="1"/>
  <c r="EQ209" i="37" s="1"/>
  <c r="ES209" i="37" s="1"/>
  <c r="EO193" i="37"/>
  <c r="EP193" i="37" s="1"/>
  <c r="EQ193" i="37" s="1"/>
  <c r="ES193" i="37" s="1"/>
  <c r="DU343" i="37"/>
  <c r="DV343" i="37" s="1"/>
  <c r="DW343" i="37" s="1"/>
  <c r="DY343" i="37" s="1"/>
  <c r="DU327" i="37"/>
  <c r="DV327" i="37" s="1"/>
  <c r="DW327" i="37" s="1"/>
  <c r="DY327" i="37" s="1"/>
  <c r="DU311" i="37"/>
  <c r="DV311" i="37" s="1"/>
  <c r="DW311" i="37" s="1"/>
  <c r="DY311" i="37" s="1"/>
  <c r="DU295" i="37"/>
  <c r="DV295" i="37" s="1"/>
  <c r="DW295" i="37" s="1"/>
  <c r="DY295" i="37" s="1"/>
  <c r="DU279" i="37"/>
  <c r="DV279" i="37" s="1"/>
  <c r="DW279" i="37" s="1"/>
  <c r="DY279" i="37" s="1"/>
  <c r="DU263" i="37"/>
  <c r="DV263" i="37" s="1"/>
  <c r="DW263" i="37" s="1"/>
  <c r="DY263" i="37" s="1"/>
  <c r="DU122" i="37"/>
  <c r="DV122" i="37" s="1"/>
  <c r="DW122" i="37" s="1"/>
  <c r="DY122" i="37" s="1"/>
  <c r="DU203" i="37"/>
  <c r="DV203" i="37" s="1"/>
  <c r="DW203" i="37" s="1"/>
  <c r="DY203" i="37" s="1"/>
  <c r="DU178" i="37"/>
  <c r="DV178" i="37" s="1"/>
  <c r="DW178" i="37" s="1"/>
  <c r="DY178" i="37" s="1"/>
  <c r="DA339" i="37"/>
  <c r="DB339" i="37" s="1"/>
  <c r="DC339" i="37" s="1"/>
  <c r="DE339" i="37" s="1"/>
  <c r="DA323" i="37"/>
  <c r="DB323" i="37" s="1"/>
  <c r="DC323" i="37" s="1"/>
  <c r="DE323" i="37" s="1"/>
  <c r="DA307" i="37"/>
  <c r="DB307" i="37" s="1"/>
  <c r="DC307" i="37" s="1"/>
  <c r="DE307" i="37" s="1"/>
  <c r="DA291" i="37"/>
  <c r="DB291" i="37" s="1"/>
  <c r="DC291" i="37" s="1"/>
  <c r="DE291" i="37" s="1"/>
  <c r="DA275" i="37"/>
  <c r="DB275" i="37" s="1"/>
  <c r="DC275" i="37" s="1"/>
  <c r="DE275" i="37" s="1"/>
  <c r="DA182" i="37"/>
  <c r="DB182" i="37" s="1"/>
  <c r="DC182" i="37" s="1"/>
  <c r="DE182" i="37" s="1"/>
  <c r="DA158" i="37"/>
  <c r="DB158" i="37" s="1"/>
  <c r="DC158" i="37" s="1"/>
  <c r="DE158" i="37" s="1"/>
  <c r="DA208" i="37"/>
  <c r="DB208" i="37" s="1"/>
  <c r="DC208" i="37" s="1"/>
  <c r="DE208" i="37" s="1"/>
  <c r="CQ293" i="37"/>
  <c r="CR293" i="37" s="1"/>
  <c r="CS293" i="37" s="1"/>
  <c r="CU293" i="37" s="1"/>
  <c r="CQ123" i="37"/>
  <c r="CR123" i="37" s="1"/>
  <c r="CS123" i="37" s="1"/>
  <c r="CU123" i="37" s="1"/>
  <c r="CQ184" i="37"/>
  <c r="CR184" i="37" s="1"/>
  <c r="CS184" i="37" s="1"/>
  <c r="CU184" i="37" s="1"/>
  <c r="BC293" i="37"/>
  <c r="BD293" i="37" s="1"/>
  <c r="BE293" i="37" s="1"/>
  <c r="BG293" i="37" s="1"/>
  <c r="BC176" i="37"/>
  <c r="BD176" i="37" s="1"/>
  <c r="BE176" i="37" s="1"/>
  <c r="BG176" i="37" s="1"/>
  <c r="BC178" i="37"/>
  <c r="BD178" i="37" s="1"/>
  <c r="BE178" i="37" s="1"/>
  <c r="BG178" i="37" s="1"/>
  <c r="DK304" i="37"/>
  <c r="DL304" i="37" s="1"/>
  <c r="DM304" i="37" s="1"/>
  <c r="DO304" i="37" s="1"/>
  <c r="DK266" i="37"/>
  <c r="DL266" i="37" s="1"/>
  <c r="DM266" i="37" s="1"/>
  <c r="DO266" i="37" s="1"/>
  <c r="DK197" i="37"/>
  <c r="DL197" i="37" s="1"/>
  <c r="DM197" i="37" s="1"/>
  <c r="DO197" i="37" s="1"/>
  <c r="CG334" i="37"/>
  <c r="CH334" i="37" s="1"/>
  <c r="CI334" i="37" s="1"/>
  <c r="CK334" i="37" s="1"/>
  <c r="CG294" i="37"/>
  <c r="CH294" i="37" s="1"/>
  <c r="CI294" i="37" s="1"/>
  <c r="CK294" i="37" s="1"/>
  <c r="CG168" i="37"/>
  <c r="CH168" i="37" s="1"/>
  <c r="CI168" i="37" s="1"/>
  <c r="CK168" i="37" s="1"/>
  <c r="CG184" i="37"/>
  <c r="CH184" i="37" s="1"/>
  <c r="CI184" i="37" s="1"/>
  <c r="CK184" i="37" s="1"/>
  <c r="BW279" i="37"/>
  <c r="BX279" i="37" s="1"/>
  <c r="BY279" i="37" s="1"/>
  <c r="CA279" i="37" s="1"/>
  <c r="BW210" i="37"/>
  <c r="BX210" i="37" s="1"/>
  <c r="BY210" i="37" s="1"/>
  <c r="CA210" i="37" s="1"/>
  <c r="BW165" i="37"/>
  <c r="BX165" i="37" s="1"/>
  <c r="BY165" i="37" s="1"/>
  <c r="CA165" i="37" s="1"/>
  <c r="BM317" i="37"/>
  <c r="BN317" i="37" s="1"/>
  <c r="BO317" i="37" s="1"/>
  <c r="BQ317" i="37" s="1"/>
  <c r="BM269" i="37"/>
  <c r="BN269" i="37" s="1"/>
  <c r="BO269" i="37" s="1"/>
  <c r="BQ269" i="37" s="1"/>
  <c r="BM217" i="37"/>
  <c r="BN217" i="37" s="1"/>
  <c r="BO217" i="37" s="1"/>
  <c r="BQ217" i="37" s="1"/>
  <c r="EE315" i="37"/>
  <c r="EF315" i="37" s="1"/>
  <c r="EG315" i="37" s="1"/>
  <c r="EI315" i="37" s="1"/>
  <c r="BW322" i="37"/>
  <c r="BX322" i="37" s="1"/>
  <c r="BY322" i="37" s="1"/>
  <c r="CA322" i="37" s="1"/>
  <c r="DK328" i="37"/>
  <c r="DL328" i="37" s="1"/>
  <c r="DM328" i="37" s="1"/>
  <c r="DO328" i="37" s="1"/>
  <c r="DK336" i="37"/>
  <c r="DL336" i="37" s="1"/>
  <c r="DM336" i="37" s="1"/>
  <c r="DO336" i="37" s="1"/>
  <c r="BC343" i="37"/>
  <c r="BD343" i="37" s="1"/>
  <c r="BE343" i="37" s="1"/>
  <c r="BG343" i="37" s="1"/>
  <c r="EE13" i="37"/>
  <c r="EF13" i="37" s="1"/>
  <c r="EG13" i="37" s="1"/>
  <c r="EI13" i="37" s="1"/>
  <c r="EE42" i="37"/>
  <c r="EF42" i="37" s="1"/>
  <c r="EG42" i="37" s="1"/>
  <c r="EI42" i="37" s="1"/>
  <c r="BC54" i="37"/>
  <c r="BD54" i="37" s="1"/>
  <c r="BE54" i="37" s="1"/>
  <c r="BG54" i="37" s="1"/>
  <c r="CQ96" i="37"/>
  <c r="CR96" i="37" s="1"/>
  <c r="CS96" i="37" s="1"/>
  <c r="CU96" i="37" s="1"/>
  <c r="EE102" i="37"/>
  <c r="EF102" i="37" s="1"/>
  <c r="EG102" i="37" s="1"/>
  <c r="EI102" i="37" s="1"/>
  <c r="BC108" i="37"/>
  <c r="BD108" i="37" s="1"/>
  <c r="BE108" i="37" s="1"/>
  <c r="BG108" i="37" s="1"/>
  <c r="BC112" i="37"/>
  <c r="BD112" i="37" s="1"/>
  <c r="BE112" i="37" s="1"/>
  <c r="BG112" i="37" s="1"/>
  <c r="BW115" i="37"/>
  <c r="BX115" i="37" s="1"/>
  <c r="BY115" i="37" s="1"/>
  <c r="CA115" i="37" s="1"/>
  <c r="CQ118" i="37"/>
  <c r="CR118" i="37" s="1"/>
  <c r="CS118" i="37" s="1"/>
  <c r="CU118" i="37" s="1"/>
  <c r="DK9" i="37"/>
  <c r="DL9" i="37" s="1"/>
  <c r="DM9" i="37" s="1"/>
  <c r="DO9" i="37" s="1"/>
  <c r="EO308" i="37"/>
  <c r="EP308" i="37" s="1"/>
  <c r="EQ308" i="37" s="1"/>
  <c r="ES308" i="37" s="1"/>
  <c r="EO268" i="37"/>
  <c r="EP268" i="37" s="1"/>
  <c r="EQ268" i="37" s="1"/>
  <c r="ES268" i="37" s="1"/>
  <c r="EO220" i="37"/>
  <c r="EP220" i="37" s="1"/>
  <c r="EQ220" i="37" s="1"/>
  <c r="ES220" i="37" s="1"/>
  <c r="EO176" i="37"/>
  <c r="EP176" i="37" s="1"/>
  <c r="EQ176" i="37" s="1"/>
  <c r="ES176" i="37" s="1"/>
  <c r="DU310" i="37"/>
  <c r="DV310" i="37" s="1"/>
  <c r="DW310" i="37" s="1"/>
  <c r="DY310" i="37" s="1"/>
  <c r="DU278" i="37"/>
  <c r="DV278" i="37" s="1"/>
  <c r="DW278" i="37" s="1"/>
  <c r="DY278" i="37" s="1"/>
  <c r="DU161" i="37"/>
  <c r="DV161" i="37" s="1"/>
  <c r="DW161" i="37" s="1"/>
  <c r="DY161" i="37" s="1"/>
  <c r="DU206" i="37"/>
  <c r="DV206" i="37" s="1"/>
  <c r="DW206" i="37" s="1"/>
  <c r="DY206" i="37" s="1"/>
  <c r="DU177" i="37"/>
  <c r="DV177" i="37" s="1"/>
  <c r="DW177" i="37" s="1"/>
  <c r="DY177" i="37" s="1"/>
  <c r="DA340" i="37"/>
  <c r="DB340" i="37" s="1"/>
  <c r="DC340" i="37" s="1"/>
  <c r="DE340" i="37" s="1"/>
  <c r="DA320" i="37"/>
  <c r="DB320" i="37" s="1"/>
  <c r="DC320" i="37" s="1"/>
  <c r="DE320" i="37" s="1"/>
  <c r="DA304" i="37"/>
  <c r="DB304" i="37" s="1"/>
  <c r="DC304" i="37" s="1"/>
  <c r="DE304" i="37" s="1"/>
  <c r="DA284" i="37"/>
  <c r="DB284" i="37" s="1"/>
  <c r="DC284" i="37" s="1"/>
  <c r="DE284" i="37" s="1"/>
  <c r="DA268" i="37"/>
  <c r="DB268" i="37" s="1"/>
  <c r="DC268" i="37" s="1"/>
  <c r="DE268" i="37" s="1"/>
  <c r="DA163" i="37"/>
  <c r="DB163" i="37" s="1"/>
  <c r="DC163" i="37" s="1"/>
  <c r="DE163" i="37" s="1"/>
  <c r="DA213" i="37"/>
  <c r="DB213" i="37" s="1"/>
  <c r="DC213" i="37" s="1"/>
  <c r="DE213" i="37" s="1"/>
  <c r="DA193" i="37"/>
  <c r="DB193" i="37" s="1"/>
  <c r="DC193" i="37" s="1"/>
  <c r="DE193" i="37" s="1"/>
  <c r="CQ300" i="37"/>
  <c r="CR300" i="37" s="1"/>
  <c r="CS300" i="37" s="1"/>
  <c r="CU300" i="37" s="1"/>
  <c r="CQ280" i="37"/>
  <c r="CR280" i="37" s="1"/>
  <c r="CS280" i="37" s="1"/>
  <c r="CU280" i="37" s="1"/>
  <c r="CQ266" i="37"/>
  <c r="CR266" i="37" s="1"/>
  <c r="CS266" i="37" s="1"/>
  <c r="CU266" i="37" s="1"/>
  <c r="CQ306" i="37"/>
  <c r="CR306" i="37" s="1"/>
  <c r="CS306" i="37" s="1"/>
  <c r="CU306" i="37" s="1"/>
  <c r="CQ203" i="37"/>
  <c r="CR203" i="37" s="1"/>
  <c r="CS203" i="37" s="1"/>
  <c r="CU203" i="37" s="1"/>
  <c r="CQ171" i="37"/>
  <c r="CR171" i="37" s="1"/>
  <c r="CS171" i="37" s="1"/>
  <c r="CU171" i="37" s="1"/>
  <c r="CQ124" i="37"/>
  <c r="CR124" i="37" s="1"/>
  <c r="CS124" i="37" s="1"/>
  <c r="CU124" i="37" s="1"/>
  <c r="BC288" i="37"/>
  <c r="BD288" i="37" s="1"/>
  <c r="BE288" i="37" s="1"/>
  <c r="BG288" i="37" s="1"/>
  <c r="BC271" i="37"/>
  <c r="BD271" i="37" s="1"/>
  <c r="BE271" i="37" s="1"/>
  <c r="BG271" i="37" s="1"/>
  <c r="BC174" i="37"/>
  <c r="BD174" i="37" s="1"/>
  <c r="BE174" i="37" s="1"/>
  <c r="BG174" i="37" s="1"/>
  <c r="BC211" i="37"/>
  <c r="BD211" i="37" s="1"/>
  <c r="BE211" i="37" s="1"/>
  <c r="BG211" i="37" s="1"/>
  <c r="BC199" i="37"/>
  <c r="BD199" i="37" s="1"/>
  <c r="BE199" i="37" s="1"/>
  <c r="BG199" i="37" s="1"/>
  <c r="BC166" i="37"/>
  <c r="BD166" i="37" s="1"/>
  <c r="BE166" i="37" s="1"/>
  <c r="BG166" i="37" s="1"/>
  <c r="CG92" i="37"/>
  <c r="CH92" i="37" s="1"/>
  <c r="CI92" i="37" s="1"/>
  <c r="CK92" i="37" s="1"/>
  <c r="DK301" i="37"/>
  <c r="DL301" i="37" s="1"/>
  <c r="DM301" i="37" s="1"/>
  <c r="DO301" i="37" s="1"/>
  <c r="DK281" i="37"/>
  <c r="DL281" i="37" s="1"/>
  <c r="DM281" i="37" s="1"/>
  <c r="DO281" i="37" s="1"/>
  <c r="DK267" i="37"/>
  <c r="DL267" i="37" s="1"/>
  <c r="DM267" i="37" s="1"/>
  <c r="DO267" i="37" s="1"/>
  <c r="DK218" i="37"/>
  <c r="DL218" i="37" s="1"/>
  <c r="DM218" i="37" s="1"/>
  <c r="DO218" i="37" s="1"/>
  <c r="DK202" i="37"/>
  <c r="DL202" i="37" s="1"/>
  <c r="DM202" i="37" s="1"/>
  <c r="DO202" i="37" s="1"/>
  <c r="DK174" i="37"/>
  <c r="DL174" i="37" s="1"/>
  <c r="DM174" i="37" s="1"/>
  <c r="DO174" i="37" s="1"/>
  <c r="CG345" i="37"/>
  <c r="CH345" i="37" s="1"/>
  <c r="CI345" i="37" s="1"/>
  <c r="CK345" i="37" s="1"/>
  <c r="CG329" i="37"/>
  <c r="CH329" i="37" s="1"/>
  <c r="CI329" i="37" s="1"/>
  <c r="CK329" i="37" s="1"/>
  <c r="CG313" i="37"/>
  <c r="CH313" i="37" s="1"/>
  <c r="CI313" i="37" s="1"/>
  <c r="CK313" i="37" s="1"/>
  <c r="CG297" i="37"/>
  <c r="CH297" i="37" s="1"/>
  <c r="CI297" i="37" s="1"/>
  <c r="CK297" i="37" s="1"/>
  <c r="CG277" i="37"/>
  <c r="CH277" i="37" s="1"/>
  <c r="CI277" i="37" s="1"/>
  <c r="CK277" i="37" s="1"/>
  <c r="CG220" i="37"/>
  <c r="CH220" i="37" s="1"/>
  <c r="CI220" i="37" s="1"/>
  <c r="CK220" i="37" s="1"/>
  <c r="CG159" i="37"/>
  <c r="CH159" i="37" s="1"/>
  <c r="CI159" i="37" s="1"/>
  <c r="CK159" i="37" s="1"/>
  <c r="CG203" i="37"/>
  <c r="CH203" i="37" s="1"/>
  <c r="CI203" i="37" s="1"/>
  <c r="CK203" i="37" s="1"/>
  <c r="CG177" i="37"/>
  <c r="CH177" i="37" s="1"/>
  <c r="CI177" i="37" s="1"/>
  <c r="CK177" i="37" s="1"/>
  <c r="BW294" i="37"/>
  <c r="BX294" i="37" s="1"/>
  <c r="BY294" i="37" s="1"/>
  <c r="CA294" i="37" s="1"/>
  <c r="BW278" i="37"/>
  <c r="BX278" i="37" s="1"/>
  <c r="BY278" i="37" s="1"/>
  <c r="CA278" i="37" s="1"/>
  <c r="BW184" i="37"/>
  <c r="BX184" i="37" s="1"/>
  <c r="BY184" i="37" s="1"/>
  <c r="CA184" i="37" s="1"/>
  <c r="BW213" i="37"/>
  <c r="BX213" i="37" s="1"/>
  <c r="BY213" i="37" s="1"/>
  <c r="CA213" i="37" s="1"/>
  <c r="BW193" i="37"/>
  <c r="BX193" i="37" s="1"/>
  <c r="BY193" i="37" s="1"/>
  <c r="CA193" i="37" s="1"/>
  <c r="BW164" i="37"/>
  <c r="BX164" i="37" s="1"/>
  <c r="BY164" i="37" s="1"/>
  <c r="CA164" i="37" s="1"/>
  <c r="BM340" i="37"/>
  <c r="BN340" i="37" s="1"/>
  <c r="BO340" i="37" s="1"/>
  <c r="BQ340" i="37" s="1"/>
  <c r="BM320" i="37"/>
  <c r="BN320" i="37" s="1"/>
  <c r="BO320" i="37" s="1"/>
  <c r="BQ320" i="37" s="1"/>
  <c r="BM300" i="37"/>
  <c r="BN300" i="37" s="1"/>
  <c r="BO300" i="37" s="1"/>
  <c r="BQ300" i="37" s="1"/>
  <c r="BM284" i="37"/>
  <c r="BN284" i="37" s="1"/>
  <c r="BO284" i="37" s="1"/>
  <c r="BQ284" i="37" s="1"/>
  <c r="BM268" i="37"/>
  <c r="BN268" i="37" s="1"/>
  <c r="BO268" i="37" s="1"/>
  <c r="BQ268" i="37" s="1"/>
  <c r="BM162" i="37"/>
  <c r="BN162" i="37" s="1"/>
  <c r="BO162" i="37" s="1"/>
  <c r="BQ162" i="37" s="1"/>
  <c r="BM212" i="37"/>
  <c r="BN212" i="37" s="1"/>
  <c r="BO212" i="37" s="1"/>
  <c r="BQ212" i="37" s="1"/>
  <c r="BM200" i="37"/>
  <c r="BN200" i="37" s="1"/>
  <c r="BO200" i="37" s="1"/>
  <c r="BQ200" i="37" s="1"/>
  <c r="CG8" i="37"/>
  <c r="CH8" i="37" s="1"/>
  <c r="CI8" i="37" s="1"/>
  <c r="CK8" i="37" s="1"/>
  <c r="BW8" i="37"/>
  <c r="BX8" i="37" s="1"/>
  <c r="BY8" i="37" s="1"/>
  <c r="CA8" i="37" s="1"/>
  <c r="BM8" i="37"/>
  <c r="BN8" i="37" s="1"/>
  <c r="BO8" i="37" s="1"/>
  <c r="BQ8" i="37" s="1"/>
  <c r="DU8" i="37"/>
  <c r="DV8" i="37" s="1"/>
  <c r="DW8" i="37" s="1"/>
  <c r="DY8" i="37" s="1"/>
  <c r="EO8" i="37"/>
  <c r="EP8" i="37" s="1"/>
  <c r="EQ8" i="37" s="1"/>
  <c r="ES8" i="37" s="1"/>
  <c r="BC8" i="38"/>
  <c r="BD8" i="38" s="1"/>
  <c r="BE8" i="38" s="1"/>
  <c r="BG8" i="38" s="1"/>
  <c r="EO8" i="38"/>
  <c r="EP8" i="38" s="1"/>
  <c r="EQ8" i="38" s="1"/>
  <c r="ES8" i="38" s="1"/>
  <c r="BM8" i="38"/>
  <c r="BN8" i="38" s="1"/>
  <c r="BO8" i="38" s="1"/>
  <c r="BQ8" i="38" s="1"/>
  <c r="BW8" i="38"/>
  <c r="BX8" i="38" s="1"/>
  <c r="BY8" i="38" s="1"/>
  <c r="CA8" i="38" s="1"/>
  <c r="CQ8" i="38"/>
  <c r="CR8" i="38" s="1"/>
  <c r="CS8" i="38" s="1"/>
  <c r="CU8" i="38" s="1"/>
  <c r="AI286" i="37"/>
  <c r="AJ286" i="37" s="1"/>
  <c r="AK286" i="37" s="1"/>
  <c r="AM286" i="37" s="1"/>
  <c r="AI276" i="37"/>
  <c r="AJ276" i="37" s="1"/>
  <c r="AK276" i="37" s="1"/>
  <c r="AM276" i="37" s="1"/>
  <c r="AI303" i="37"/>
  <c r="AJ303" i="37" s="1"/>
  <c r="AK303" i="37" s="1"/>
  <c r="AM303" i="37" s="1"/>
  <c r="AI325" i="37"/>
  <c r="AJ325" i="37" s="1"/>
  <c r="AK325" i="37" s="1"/>
  <c r="AM325" i="37" s="1"/>
  <c r="AI348" i="37"/>
  <c r="AJ348" i="37" s="1"/>
  <c r="AK348" i="37" s="1"/>
  <c r="AM348" i="37" s="1"/>
  <c r="AI347" i="37"/>
  <c r="AJ347" i="37" s="1"/>
  <c r="AK347" i="37" s="1"/>
  <c r="AM347" i="37" s="1"/>
  <c r="AI335" i="37"/>
  <c r="AJ335" i="37" s="1"/>
  <c r="AK335" i="37" s="1"/>
  <c r="AM335" i="37" s="1"/>
  <c r="AI341" i="37"/>
  <c r="AJ341" i="37" s="1"/>
  <c r="AK341" i="37" s="1"/>
  <c r="AM341" i="37" s="1"/>
  <c r="AI300" i="37"/>
  <c r="AJ300" i="37" s="1"/>
  <c r="AK300" i="37" s="1"/>
  <c r="AM300" i="37" s="1"/>
  <c r="AI282" i="37"/>
  <c r="AJ282" i="37" s="1"/>
  <c r="AK282" i="37" s="1"/>
  <c r="AM282" i="37" s="1"/>
  <c r="AI315" i="37"/>
  <c r="AJ315" i="37" s="1"/>
  <c r="AK315" i="37" s="1"/>
  <c r="AM315" i="37" s="1"/>
  <c r="AI328" i="37"/>
  <c r="AJ328" i="37" s="1"/>
  <c r="AK328" i="37" s="1"/>
  <c r="AM328" i="37" s="1"/>
  <c r="AI342" i="37"/>
  <c r="AJ342" i="37" s="1"/>
  <c r="AK342" i="37" s="1"/>
  <c r="AM342" i="37" s="1"/>
  <c r="AI324" i="37"/>
  <c r="AJ324" i="37" s="1"/>
  <c r="AK324" i="37" s="1"/>
  <c r="AM324" i="37" s="1"/>
  <c r="AI312" i="37"/>
  <c r="AJ312" i="37" s="1"/>
  <c r="AK312" i="37" s="1"/>
  <c r="AM312" i="37" s="1"/>
  <c r="AI329" i="37"/>
  <c r="AJ329" i="37" s="1"/>
  <c r="AK329" i="37" s="1"/>
  <c r="AM329" i="37" s="1"/>
  <c r="AI291" i="37"/>
  <c r="AJ291" i="37" s="1"/>
  <c r="AK291" i="37" s="1"/>
  <c r="AM291" i="37" s="1"/>
  <c r="AI279" i="37"/>
  <c r="AJ279" i="37" s="1"/>
  <c r="AK279" i="37" s="1"/>
  <c r="AM279" i="37" s="1"/>
  <c r="O276" i="37"/>
  <c r="P276" i="37" s="1"/>
  <c r="Q276" i="37" s="1"/>
  <c r="S276" i="37" s="1"/>
  <c r="O294" i="37"/>
  <c r="P294" i="37" s="1"/>
  <c r="Q294" i="37" s="1"/>
  <c r="S294" i="37" s="1"/>
  <c r="O321" i="37"/>
  <c r="P321" i="37" s="1"/>
  <c r="Q321" i="37" s="1"/>
  <c r="S321" i="37" s="1"/>
  <c r="O340" i="37"/>
  <c r="P340" i="37" s="1"/>
  <c r="Q340" i="37" s="1"/>
  <c r="S340" i="37" s="1"/>
  <c r="O338" i="37"/>
  <c r="P338" i="37" s="1"/>
  <c r="Q338" i="37" s="1"/>
  <c r="S338" i="37" s="1"/>
  <c r="O324" i="37"/>
  <c r="P324" i="37" s="1"/>
  <c r="Q324" i="37" s="1"/>
  <c r="S324" i="37" s="1"/>
  <c r="O320" i="37"/>
  <c r="P320" i="37" s="1"/>
  <c r="Q320" i="37" s="1"/>
  <c r="S320" i="37" s="1"/>
  <c r="O333" i="37"/>
  <c r="P333" i="37" s="1"/>
  <c r="Q333" i="37" s="1"/>
  <c r="S333" i="37" s="1"/>
  <c r="O299" i="37"/>
  <c r="P299" i="37" s="1"/>
  <c r="Q299" i="37" s="1"/>
  <c r="S299" i="37" s="1"/>
  <c r="AI322" i="37"/>
  <c r="AJ322" i="37" s="1"/>
  <c r="AK322" i="37" s="1"/>
  <c r="AM322" i="37" s="1"/>
  <c r="AI289" i="37"/>
  <c r="AJ289" i="37" s="1"/>
  <c r="AK289" i="37" s="1"/>
  <c r="AM289" i="37" s="1"/>
  <c r="AI274" i="37"/>
  <c r="AJ274" i="37" s="1"/>
  <c r="AK274" i="37" s="1"/>
  <c r="AM274" i="37" s="1"/>
  <c r="O278" i="37"/>
  <c r="P278" i="37" s="1"/>
  <c r="Q278" i="37" s="1"/>
  <c r="S278" i="37" s="1"/>
  <c r="O296" i="37"/>
  <c r="P296" i="37" s="1"/>
  <c r="Q296" i="37" s="1"/>
  <c r="S296" i="37" s="1"/>
  <c r="O323" i="37"/>
  <c r="P323" i="37" s="1"/>
  <c r="Q323" i="37" s="1"/>
  <c r="S323" i="37" s="1"/>
  <c r="O344" i="37"/>
  <c r="P344" i="37" s="1"/>
  <c r="Q344" i="37" s="1"/>
  <c r="S344" i="37" s="1"/>
  <c r="O346" i="37"/>
  <c r="P346" i="37" s="1"/>
  <c r="Q346" i="37" s="1"/>
  <c r="S346" i="37" s="1"/>
  <c r="O316" i="37"/>
  <c r="P316" i="37" s="1"/>
  <c r="Q316" i="37" s="1"/>
  <c r="S316" i="37" s="1"/>
  <c r="O312" i="37"/>
  <c r="P312" i="37" s="1"/>
  <c r="Q312" i="37" s="1"/>
  <c r="S312" i="37" s="1"/>
  <c r="O329" i="37"/>
  <c r="P329" i="37" s="1"/>
  <c r="Q329" i="37" s="1"/>
  <c r="S329" i="37" s="1"/>
  <c r="O291" i="37"/>
  <c r="P291" i="37" s="1"/>
  <c r="Q291" i="37" s="1"/>
  <c r="S291" i="37" s="1"/>
  <c r="O285" i="37"/>
  <c r="P285" i="37" s="1"/>
  <c r="Q285" i="37" s="1"/>
  <c r="S285" i="37" s="1"/>
  <c r="E326" i="37"/>
  <c r="F326" i="37" s="1"/>
  <c r="G326" i="37" s="1"/>
  <c r="I326" i="37" s="1"/>
  <c r="E297" i="37"/>
  <c r="F297" i="37" s="1"/>
  <c r="G297" i="37" s="1"/>
  <c r="I297" i="37" s="1"/>
  <c r="E330" i="37"/>
  <c r="F330" i="37" s="1"/>
  <c r="G330" i="37" s="1"/>
  <c r="I330" i="37" s="1"/>
  <c r="E288" i="37"/>
  <c r="F288" i="37" s="1"/>
  <c r="G288" i="37" s="1"/>
  <c r="I288" i="37" s="1"/>
  <c r="E336" i="37"/>
  <c r="F336" i="37" s="1"/>
  <c r="G336" i="37" s="1"/>
  <c r="I336" i="37" s="1"/>
  <c r="E318" i="37"/>
  <c r="F318" i="37" s="1"/>
  <c r="G318" i="37" s="1"/>
  <c r="I318" i="37" s="1"/>
  <c r="E302" i="37"/>
  <c r="F302" i="37" s="1"/>
  <c r="G302" i="37" s="1"/>
  <c r="I302" i="37" s="1"/>
  <c r="E279" i="37"/>
  <c r="F279" i="37" s="1"/>
  <c r="G279" i="37" s="1"/>
  <c r="I279" i="37" s="1"/>
  <c r="E287" i="37"/>
  <c r="F287" i="37" s="1"/>
  <c r="G287" i="37" s="1"/>
  <c r="I287" i="37" s="1"/>
  <c r="E271" i="37"/>
  <c r="F271" i="37" s="1"/>
  <c r="G271" i="37" s="1"/>
  <c r="I271" i="37" s="1"/>
  <c r="AS276" i="37"/>
  <c r="AT276" i="37" s="1"/>
  <c r="AU276" i="37" s="1"/>
  <c r="AW276" i="37" s="1"/>
  <c r="AS296" i="37"/>
  <c r="AT296" i="37" s="1"/>
  <c r="AU296" i="37" s="1"/>
  <c r="AW296" i="37" s="1"/>
  <c r="AS315" i="37"/>
  <c r="AT315" i="37" s="1"/>
  <c r="AU315" i="37" s="1"/>
  <c r="AW315" i="37" s="1"/>
  <c r="AS330" i="37"/>
  <c r="AT330" i="37" s="1"/>
  <c r="AU330" i="37" s="1"/>
  <c r="AW330" i="37" s="1"/>
  <c r="AS305" i="37"/>
  <c r="AT305" i="37" s="1"/>
  <c r="AU305" i="37" s="1"/>
  <c r="AW305" i="37" s="1"/>
  <c r="AS316" i="37"/>
  <c r="AT316" i="37" s="1"/>
  <c r="AU316" i="37" s="1"/>
  <c r="AW316" i="37" s="1"/>
  <c r="AS304" i="37"/>
  <c r="AT304" i="37" s="1"/>
  <c r="AU304" i="37" s="1"/>
  <c r="AW304" i="37" s="1"/>
  <c r="AS325" i="37"/>
  <c r="AT325" i="37" s="1"/>
  <c r="AU325" i="37" s="1"/>
  <c r="AW325" i="37" s="1"/>
  <c r="AS293" i="37"/>
  <c r="AT293" i="37" s="1"/>
  <c r="AU293" i="37" s="1"/>
  <c r="AW293" i="37" s="1"/>
  <c r="AS277" i="37"/>
  <c r="AT277" i="37" s="1"/>
  <c r="AU277" i="37" s="1"/>
  <c r="AW277" i="37" s="1"/>
  <c r="Y284" i="37"/>
  <c r="Z284" i="37" s="1"/>
  <c r="AA284" i="37" s="1"/>
  <c r="AC284" i="37" s="1"/>
  <c r="Y292" i="37"/>
  <c r="Z292" i="37" s="1"/>
  <c r="AA292" i="37" s="1"/>
  <c r="AC292" i="37" s="1"/>
  <c r="Y317" i="37"/>
  <c r="Z317" i="37" s="1"/>
  <c r="AA317" i="37" s="1"/>
  <c r="AC317" i="37" s="1"/>
  <c r="Y330" i="37"/>
  <c r="Z330" i="37" s="1"/>
  <c r="AA330" i="37" s="1"/>
  <c r="AC330" i="37" s="1"/>
  <c r="Y305" i="37"/>
  <c r="Z305" i="37" s="1"/>
  <c r="AA305" i="37" s="1"/>
  <c r="AC305" i="37" s="1"/>
  <c r="Y324" i="37"/>
  <c r="Z324" i="37" s="1"/>
  <c r="AA324" i="37" s="1"/>
  <c r="AC324" i="37" s="1"/>
  <c r="Y320" i="37"/>
  <c r="Z320" i="37" s="1"/>
  <c r="AA320" i="37" s="1"/>
  <c r="AC320" i="37" s="1"/>
  <c r="Y333" i="37"/>
  <c r="Z333" i="37" s="1"/>
  <c r="AA333" i="37" s="1"/>
  <c r="AC333" i="37" s="1"/>
  <c r="Y279" i="37"/>
  <c r="Z279" i="37" s="1"/>
  <c r="AA279" i="37" s="1"/>
  <c r="AC279" i="37" s="1"/>
  <c r="O288" i="37"/>
  <c r="P288" i="37" s="1"/>
  <c r="Q288" i="37" s="1"/>
  <c r="S288" i="37" s="1"/>
  <c r="E280" i="37"/>
  <c r="F280" i="37" s="1"/>
  <c r="G280" i="37" s="1"/>
  <c r="I280" i="37" s="1"/>
  <c r="E329" i="37"/>
  <c r="F329" i="37" s="1"/>
  <c r="G329" i="37" s="1"/>
  <c r="I329" i="37" s="1"/>
  <c r="E296" i="37"/>
  <c r="F296" i="37" s="1"/>
  <c r="G296" i="37" s="1"/>
  <c r="I296" i="37" s="1"/>
  <c r="AS290" i="37"/>
  <c r="AT290" i="37" s="1"/>
  <c r="AU290" i="37" s="1"/>
  <c r="AW290" i="37" s="1"/>
  <c r="AS332" i="37"/>
  <c r="AT332" i="37" s="1"/>
  <c r="AU332" i="37" s="1"/>
  <c r="AW332" i="37" s="1"/>
  <c r="AS288" i="37"/>
  <c r="AT288" i="37" s="1"/>
  <c r="AU288" i="37" s="1"/>
  <c r="AW288" i="37" s="1"/>
  <c r="AS274" i="37"/>
  <c r="AT274" i="37" s="1"/>
  <c r="AU274" i="37" s="1"/>
  <c r="AW274" i="37" s="1"/>
  <c r="Y319" i="37"/>
  <c r="Z319" i="37" s="1"/>
  <c r="AA319" i="37" s="1"/>
  <c r="AC319" i="37" s="1"/>
  <c r="Y316" i="37"/>
  <c r="Z316" i="37" s="1"/>
  <c r="AA316" i="37" s="1"/>
  <c r="AC316" i="37" s="1"/>
  <c r="Y310" i="37"/>
  <c r="Z310" i="37" s="1"/>
  <c r="AA310" i="37" s="1"/>
  <c r="AC310" i="37" s="1"/>
  <c r="AI298" i="37"/>
  <c r="AJ298" i="37" s="1"/>
  <c r="AK298" i="37" s="1"/>
  <c r="AM298" i="37" s="1"/>
  <c r="AI280" i="37"/>
  <c r="AJ280" i="37" s="1"/>
  <c r="AK280" i="37" s="1"/>
  <c r="AM280" i="37" s="1"/>
  <c r="AI313" i="37"/>
  <c r="AJ313" i="37" s="1"/>
  <c r="AK313" i="37" s="1"/>
  <c r="AM313" i="37" s="1"/>
  <c r="AI309" i="37"/>
  <c r="AJ309" i="37" s="1"/>
  <c r="AK309" i="37" s="1"/>
  <c r="AM309" i="37" s="1"/>
  <c r="AI334" i="37"/>
  <c r="AJ334" i="37" s="1"/>
  <c r="AK334" i="37" s="1"/>
  <c r="AM334" i="37" s="1"/>
  <c r="AI331" i="37"/>
  <c r="AJ331" i="37" s="1"/>
  <c r="AK331" i="37" s="1"/>
  <c r="AM331" i="37" s="1"/>
  <c r="AI320" i="37"/>
  <c r="AJ320" i="37" s="1"/>
  <c r="AK320" i="37" s="1"/>
  <c r="AM320" i="37" s="1"/>
  <c r="AI333" i="37"/>
  <c r="AJ333" i="37" s="1"/>
  <c r="AK333" i="37" s="1"/>
  <c r="AM333" i="37" s="1"/>
  <c r="AI271" i="37"/>
  <c r="AJ271" i="37" s="1"/>
  <c r="AK271" i="37" s="1"/>
  <c r="AM271" i="37" s="1"/>
  <c r="AI292" i="37"/>
  <c r="AJ292" i="37" s="1"/>
  <c r="AK292" i="37" s="1"/>
  <c r="AM292" i="37" s="1"/>
  <c r="AI319" i="37"/>
  <c r="AJ319" i="37" s="1"/>
  <c r="AK319" i="37" s="1"/>
  <c r="AM319" i="37" s="1"/>
  <c r="AI336" i="37"/>
  <c r="AJ336" i="37" s="1"/>
  <c r="AK336" i="37" s="1"/>
  <c r="AM336" i="37" s="1"/>
  <c r="AI330" i="37"/>
  <c r="AJ330" i="37" s="1"/>
  <c r="AK330" i="37" s="1"/>
  <c r="AM330" i="37" s="1"/>
  <c r="AI308" i="37"/>
  <c r="AJ308" i="37" s="1"/>
  <c r="AK308" i="37" s="1"/>
  <c r="AM308" i="37" s="1"/>
  <c r="AI295" i="37"/>
  <c r="AJ295" i="37" s="1"/>
  <c r="AK295" i="37" s="1"/>
  <c r="AM295" i="37" s="1"/>
  <c r="AI318" i="37"/>
  <c r="AJ318" i="37" s="1"/>
  <c r="AK318" i="37" s="1"/>
  <c r="AM318" i="37" s="1"/>
  <c r="AI283" i="37"/>
  <c r="AJ283" i="37" s="1"/>
  <c r="AK283" i="37" s="1"/>
  <c r="AM283" i="37" s="1"/>
  <c r="AI272" i="37"/>
  <c r="AJ272" i="37" s="1"/>
  <c r="AK272" i="37" s="1"/>
  <c r="AM272" i="37" s="1"/>
  <c r="O280" i="37"/>
  <c r="P280" i="37" s="1"/>
  <c r="Q280" i="37" s="1"/>
  <c r="S280" i="37" s="1"/>
  <c r="O298" i="37"/>
  <c r="P298" i="37" s="1"/>
  <c r="Q298" i="37" s="1"/>
  <c r="S298" i="37" s="1"/>
  <c r="O325" i="37"/>
  <c r="P325" i="37" s="1"/>
  <c r="Q325" i="37" s="1"/>
  <c r="S325" i="37" s="1"/>
  <c r="O348" i="37"/>
  <c r="P348" i="37" s="1"/>
  <c r="Q348" i="37" s="1"/>
  <c r="S348" i="37" s="1"/>
  <c r="O290" i="37"/>
  <c r="P290" i="37" s="1"/>
  <c r="Q290" i="37" s="1"/>
  <c r="S290" i="37" s="1"/>
  <c r="O308" i="37"/>
  <c r="P308" i="37" s="1"/>
  <c r="Q308" i="37" s="1"/>
  <c r="S308" i="37" s="1"/>
  <c r="O304" i="37"/>
  <c r="P304" i="37" s="1"/>
  <c r="Q304" i="37" s="1"/>
  <c r="S304" i="37" s="1"/>
  <c r="O322" i="37"/>
  <c r="P322" i="37" s="1"/>
  <c r="Q322" i="37" s="1"/>
  <c r="S322" i="37" s="1"/>
  <c r="O289" i="37"/>
  <c r="P289" i="37" s="1"/>
  <c r="Q289" i="37" s="1"/>
  <c r="S289" i="37" s="1"/>
  <c r="AI314" i="37"/>
  <c r="AJ314" i="37" s="1"/>
  <c r="AK314" i="37" s="1"/>
  <c r="AM314" i="37" s="1"/>
  <c r="AI277" i="37"/>
  <c r="AJ277" i="37" s="1"/>
  <c r="AK277" i="37" s="1"/>
  <c r="AM277" i="37" s="1"/>
  <c r="AI270" i="37"/>
  <c r="AJ270" i="37" s="1"/>
  <c r="AK270" i="37" s="1"/>
  <c r="AM270" i="37" s="1"/>
  <c r="O282" i="37"/>
  <c r="P282" i="37" s="1"/>
  <c r="Q282" i="37" s="1"/>
  <c r="S282" i="37" s="1"/>
  <c r="O300" i="37"/>
  <c r="P300" i="37" s="1"/>
  <c r="Q300" i="37" s="1"/>
  <c r="S300" i="37" s="1"/>
  <c r="O305" i="37"/>
  <c r="P305" i="37" s="1"/>
  <c r="Q305" i="37" s="1"/>
  <c r="S305" i="37" s="1"/>
  <c r="O326" i="37"/>
  <c r="P326" i="37" s="1"/>
  <c r="Q326" i="37" s="1"/>
  <c r="S326" i="37" s="1"/>
  <c r="O303" i="37"/>
  <c r="P303" i="37" s="1"/>
  <c r="Q303" i="37" s="1"/>
  <c r="S303" i="37" s="1"/>
  <c r="O301" i="37"/>
  <c r="P301" i="37" s="1"/>
  <c r="Q301" i="37" s="1"/>
  <c r="S301" i="37" s="1"/>
  <c r="O295" i="37"/>
  <c r="P295" i="37" s="1"/>
  <c r="Q295" i="37" s="1"/>
  <c r="S295" i="37" s="1"/>
  <c r="O318" i="37"/>
  <c r="P318" i="37" s="1"/>
  <c r="Q318" i="37" s="1"/>
  <c r="S318" i="37" s="1"/>
  <c r="O283" i="37"/>
  <c r="P283" i="37" s="1"/>
  <c r="Q283" i="37" s="1"/>
  <c r="S283" i="37" s="1"/>
  <c r="O279" i="37"/>
  <c r="P279" i="37" s="1"/>
  <c r="Q279" i="37" s="1"/>
  <c r="S279" i="37" s="1"/>
  <c r="E319" i="37"/>
  <c r="F319" i="37" s="1"/>
  <c r="G319" i="37" s="1"/>
  <c r="I319" i="37" s="1"/>
  <c r="E284" i="37"/>
  <c r="F284" i="37" s="1"/>
  <c r="G284" i="37" s="1"/>
  <c r="I284" i="37" s="1"/>
  <c r="E323" i="37"/>
  <c r="F323" i="37" s="1"/>
  <c r="G323" i="37" s="1"/>
  <c r="I323" i="37" s="1"/>
  <c r="E348" i="37"/>
  <c r="F348" i="37" s="1"/>
  <c r="G348" i="37" s="1"/>
  <c r="I348" i="37" s="1"/>
  <c r="E332" i="37"/>
  <c r="F332" i="37" s="1"/>
  <c r="G332" i="37" s="1"/>
  <c r="I332" i="37" s="1"/>
  <c r="E314" i="37"/>
  <c r="F314" i="37" s="1"/>
  <c r="G314" i="37" s="1"/>
  <c r="I314" i="37" s="1"/>
  <c r="E298" i="37"/>
  <c r="F298" i="37" s="1"/>
  <c r="G298" i="37" s="1"/>
  <c r="I298" i="37" s="1"/>
  <c r="E299" i="37"/>
  <c r="F299" i="37" s="1"/>
  <c r="G299" i="37" s="1"/>
  <c r="I299" i="37" s="1"/>
  <c r="E278" i="37"/>
  <c r="F278" i="37" s="1"/>
  <c r="G278" i="37" s="1"/>
  <c r="I278" i="37" s="1"/>
  <c r="E269" i="37"/>
  <c r="F269" i="37" s="1"/>
  <c r="G269" i="37" s="1"/>
  <c r="I269" i="37" s="1"/>
  <c r="AS280" i="37"/>
  <c r="AT280" i="37" s="1"/>
  <c r="AU280" i="37" s="1"/>
  <c r="AW280" i="37" s="1"/>
  <c r="AS300" i="37"/>
  <c r="AT300" i="37" s="1"/>
  <c r="AU300" i="37" s="1"/>
  <c r="AW300" i="37" s="1"/>
  <c r="AS319" i="37"/>
  <c r="AT319" i="37" s="1"/>
  <c r="AU319" i="37" s="1"/>
  <c r="AW319" i="37" s="1"/>
  <c r="AS338" i="37"/>
  <c r="AT338" i="37" s="1"/>
  <c r="AU338" i="37" s="1"/>
  <c r="AW338" i="37" s="1"/>
  <c r="AS336" i="37"/>
  <c r="AT336" i="37" s="1"/>
  <c r="AU336" i="37" s="1"/>
  <c r="AW336" i="37" s="1"/>
  <c r="AS297" i="37"/>
  <c r="AT297" i="37" s="1"/>
  <c r="AU297" i="37" s="1"/>
  <c r="AW297" i="37" s="1"/>
  <c r="AS285" i="37"/>
  <c r="AT285" i="37" s="1"/>
  <c r="AU285" i="37" s="1"/>
  <c r="AW285" i="37" s="1"/>
  <c r="AS318" i="37"/>
  <c r="AT318" i="37" s="1"/>
  <c r="AU318" i="37" s="1"/>
  <c r="AW318" i="37" s="1"/>
  <c r="AS283" i="37"/>
  <c r="AT283" i="37" s="1"/>
  <c r="AU283" i="37" s="1"/>
  <c r="AW283" i="37" s="1"/>
  <c r="AS272" i="37"/>
  <c r="AT272" i="37" s="1"/>
  <c r="AU272" i="37" s="1"/>
  <c r="AW272" i="37" s="1"/>
  <c r="Y269" i="37"/>
  <c r="Z269" i="37" s="1"/>
  <c r="AA269" i="37" s="1"/>
  <c r="AC269" i="37" s="1"/>
  <c r="Y296" i="37"/>
  <c r="Z296" i="37" s="1"/>
  <c r="AA296" i="37" s="1"/>
  <c r="AC296" i="37" s="1"/>
  <c r="Y321" i="37"/>
  <c r="Z321" i="37" s="1"/>
  <c r="AA321" i="37" s="1"/>
  <c r="AC321" i="37" s="1"/>
  <c r="Y338" i="37"/>
  <c r="Z338" i="37" s="1"/>
  <c r="AA338" i="37" s="1"/>
  <c r="AC338" i="37" s="1"/>
  <c r="Y336" i="37"/>
  <c r="Z336" i="37" s="1"/>
  <c r="AA336" i="37" s="1"/>
  <c r="AC336" i="37" s="1"/>
  <c r="Y308" i="37"/>
  <c r="Z308" i="37" s="1"/>
  <c r="AA308" i="37" s="1"/>
  <c r="AC308" i="37" s="1"/>
  <c r="Y304" i="37"/>
  <c r="Z304" i="37" s="1"/>
  <c r="AA304" i="37" s="1"/>
  <c r="AC304" i="37" s="1"/>
  <c r="Y322" i="37"/>
  <c r="Z322" i="37" s="1"/>
  <c r="AA322" i="37" s="1"/>
  <c r="AC322" i="37" s="1"/>
  <c r="Y289" i="37"/>
  <c r="Z289" i="37" s="1"/>
  <c r="AA289" i="37" s="1"/>
  <c r="AC289" i="37" s="1"/>
  <c r="Y281" i="37"/>
  <c r="Z281" i="37" s="1"/>
  <c r="AA281" i="37" s="1"/>
  <c r="AC281" i="37" s="1"/>
  <c r="E339" i="37"/>
  <c r="F339" i="37" s="1"/>
  <c r="G339" i="37" s="1"/>
  <c r="I339" i="37" s="1"/>
  <c r="E308" i="37"/>
  <c r="F308" i="37" s="1"/>
  <c r="G308" i="37" s="1"/>
  <c r="I308" i="37" s="1"/>
  <c r="E343" i="37"/>
  <c r="F343" i="37" s="1"/>
  <c r="G343" i="37" s="1"/>
  <c r="I343" i="37" s="1"/>
  <c r="E312" i="37"/>
  <c r="F312" i="37" s="1"/>
  <c r="G312" i="37" s="1"/>
  <c r="I312" i="37" s="1"/>
  <c r="E341" i="37"/>
  <c r="F341" i="37" s="1"/>
  <c r="G341" i="37" s="1"/>
  <c r="I341" i="37" s="1"/>
  <c r="E325" i="37"/>
  <c r="F325" i="37" s="1"/>
  <c r="G325" i="37" s="1"/>
  <c r="I325" i="37" s="1"/>
  <c r="E309" i="37"/>
  <c r="F309" i="37" s="1"/>
  <c r="G309" i="37" s="1"/>
  <c r="I309" i="37" s="1"/>
  <c r="E286" i="37"/>
  <c r="F286" i="37" s="1"/>
  <c r="G286" i="37" s="1"/>
  <c r="I286" i="37" s="1"/>
  <c r="E292" i="37"/>
  <c r="F292" i="37" s="1"/>
  <c r="G292" i="37" s="1"/>
  <c r="I292" i="37" s="1"/>
  <c r="E274" i="37"/>
  <c r="F274" i="37" s="1"/>
  <c r="G274" i="37" s="1"/>
  <c r="I274" i="37" s="1"/>
  <c r="AS287" i="37"/>
  <c r="AT287" i="37" s="1"/>
  <c r="AU287" i="37" s="1"/>
  <c r="AW287" i="37" s="1"/>
  <c r="AS294" i="37"/>
  <c r="AT294" i="37" s="1"/>
  <c r="AU294" i="37" s="1"/>
  <c r="AW294" i="37" s="1"/>
  <c r="AS313" i="37"/>
  <c r="AT313" i="37" s="1"/>
  <c r="AU313" i="37" s="1"/>
  <c r="AW313" i="37" s="1"/>
  <c r="AS326" i="37"/>
  <c r="AT326" i="37" s="1"/>
  <c r="AU326" i="37" s="1"/>
  <c r="AW326" i="37" s="1"/>
  <c r="AS348" i="37"/>
  <c r="AT348" i="37" s="1"/>
  <c r="AU348" i="37" s="1"/>
  <c r="AW348" i="37" s="1"/>
  <c r="AS324" i="37"/>
  <c r="AT324" i="37" s="1"/>
  <c r="AU324" i="37" s="1"/>
  <c r="AW324" i="37" s="1"/>
  <c r="AS312" i="37"/>
  <c r="AT312" i="37" s="1"/>
  <c r="AU312" i="37" s="1"/>
  <c r="AW312" i="37" s="1"/>
  <c r="AS329" i="37"/>
  <c r="AT329" i="37" s="1"/>
  <c r="AU329" i="37" s="1"/>
  <c r="AW329" i="37" s="1"/>
  <c r="AS301" i="37"/>
  <c r="AT301" i="37" s="1"/>
  <c r="AU301" i="37" s="1"/>
  <c r="AW301" i="37" s="1"/>
  <c r="AS281" i="37"/>
  <c r="AT281" i="37" s="1"/>
  <c r="AU281" i="37" s="1"/>
  <c r="AW281" i="37" s="1"/>
  <c r="Y282" i="37"/>
  <c r="Z282" i="37" s="1"/>
  <c r="AA282" i="37" s="1"/>
  <c r="AC282" i="37" s="1"/>
  <c r="Y290" i="37"/>
  <c r="Z290" i="37" s="1"/>
  <c r="AA290" i="37" s="1"/>
  <c r="AC290" i="37" s="1"/>
  <c r="Y315" i="37"/>
  <c r="Z315" i="37" s="1"/>
  <c r="AA315" i="37" s="1"/>
  <c r="AC315" i="37" s="1"/>
  <c r="Y326" i="37"/>
  <c r="Z326" i="37" s="1"/>
  <c r="AA326" i="37" s="1"/>
  <c r="AC326" i="37" s="1"/>
  <c r="Y348" i="37"/>
  <c r="Z348" i="37" s="1"/>
  <c r="AA348" i="37" s="1"/>
  <c r="AC348" i="37" s="1"/>
  <c r="Y331" i="37"/>
  <c r="Z331" i="37" s="1"/>
  <c r="AA331" i="37" s="1"/>
  <c r="AC331" i="37" s="1"/>
  <c r="Y327" i="37"/>
  <c r="Z327" i="37" s="1"/>
  <c r="AA327" i="37" s="1"/>
  <c r="AC327" i="37" s="1"/>
  <c r="Y337" i="37"/>
  <c r="Z337" i="37" s="1"/>
  <c r="AA337" i="37" s="1"/>
  <c r="AC337" i="37" s="1"/>
  <c r="Y302" i="37"/>
  <c r="Z302" i="37" s="1"/>
  <c r="AA302" i="37" s="1"/>
  <c r="AC302" i="37" s="1"/>
  <c r="Y295" i="37"/>
  <c r="Z295" i="37" s="1"/>
  <c r="AA295" i="37" s="1"/>
  <c r="AC295" i="37" s="1"/>
  <c r="Y301" i="37"/>
  <c r="Z301" i="37" s="1"/>
  <c r="AA301" i="37" s="1"/>
  <c r="AC301" i="37" s="1"/>
  <c r="E316" i="37"/>
  <c r="F316" i="37" s="1"/>
  <c r="G316" i="37" s="1"/>
  <c r="I316" i="37" s="1"/>
  <c r="E335" i="37"/>
  <c r="F335" i="37" s="1"/>
  <c r="G335" i="37" s="1"/>
  <c r="I335" i="37" s="1"/>
  <c r="E345" i="37"/>
  <c r="F345" i="37" s="1"/>
  <c r="G345" i="37" s="1"/>
  <c r="I345" i="37" s="1"/>
  <c r="E321" i="37"/>
  <c r="F321" i="37" s="1"/>
  <c r="G321" i="37" s="1"/>
  <c r="I321" i="37" s="1"/>
  <c r="E293" i="37"/>
  <c r="F293" i="37" s="1"/>
  <c r="G293" i="37" s="1"/>
  <c r="I293" i="37" s="1"/>
  <c r="E290" i="37"/>
  <c r="F290" i="37" s="1"/>
  <c r="G290" i="37" s="1"/>
  <c r="I290" i="37" s="1"/>
  <c r="E272" i="37"/>
  <c r="F272" i="37" s="1"/>
  <c r="G272" i="37" s="1"/>
  <c r="I272" i="37" s="1"/>
  <c r="AS298" i="37"/>
  <c r="AT298" i="37" s="1"/>
  <c r="AU298" i="37" s="1"/>
  <c r="AW298" i="37" s="1"/>
  <c r="AS303" i="37"/>
  <c r="AT303" i="37" s="1"/>
  <c r="AU303" i="37" s="1"/>
  <c r="AW303" i="37" s="1"/>
  <c r="AS328" i="37"/>
  <c r="AT328" i="37" s="1"/>
  <c r="AU328" i="37" s="1"/>
  <c r="AW328" i="37" s="1"/>
  <c r="AS327" i="37"/>
  <c r="AT327" i="37" s="1"/>
  <c r="AU327" i="37" s="1"/>
  <c r="AW327" i="37" s="1"/>
  <c r="AS322" i="37"/>
  <c r="AT322" i="37" s="1"/>
  <c r="AU322" i="37" s="1"/>
  <c r="AW322" i="37" s="1"/>
  <c r="AS295" i="37"/>
  <c r="AT295" i="37" s="1"/>
  <c r="AU295" i="37" s="1"/>
  <c r="AW295" i="37" s="1"/>
  <c r="Y286" i="37"/>
  <c r="Z286" i="37" s="1"/>
  <c r="AA286" i="37" s="1"/>
  <c r="AC286" i="37" s="1"/>
  <c r="Y311" i="37"/>
  <c r="Z311" i="37" s="1"/>
  <c r="AA311" i="37" s="1"/>
  <c r="AC311" i="37" s="1"/>
  <c r="Y334" i="37"/>
  <c r="Z334" i="37" s="1"/>
  <c r="AA334" i="37" s="1"/>
  <c r="AC334" i="37" s="1"/>
  <c r="Y347" i="37"/>
  <c r="Z347" i="37" s="1"/>
  <c r="AA347" i="37" s="1"/>
  <c r="AC347" i="37" s="1"/>
  <c r="Y345" i="37"/>
  <c r="Z345" i="37" s="1"/>
  <c r="AA345" i="37" s="1"/>
  <c r="AC345" i="37" s="1"/>
  <c r="Y293" i="37"/>
  <c r="Z293" i="37" s="1"/>
  <c r="AA293" i="37" s="1"/>
  <c r="AC293" i="37" s="1"/>
  <c r="AS8" i="37"/>
  <c r="AT8" i="37" s="1"/>
  <c r="AU8" i="37" s="1"/>
  <c r="AW8" i="37" s="1"/>
  <c r="E54" i="37"/>
  <c r="F54" i="37" s="1"/>
  <c r="G54" i="37" s="1"/>
  <c r="I54" i="37" s="1"/>
  <c r="E62" i="37"/>
  <c r="F62" i="37" s="1"/>
  <c r="G62" i="37" s="1"/>
  <c r="I62" i="37" s="1"/>
  <c r="E70" i="37"/>
  <c r="F70" i="37" s="1"/>
  <c r="G70" i="37" s="1"/>
  <c r="I70" i="37" s="1"/>
  <c r="E78" i="37"/>
  <c r="F78" i="37" s="1"/>
  <c r="G78" i="37" s="1"/>
  <c r="I78" i="37" s="1"/>
  <c r="E86" i="37"/>
  <c r="F86" i="37" s="1"/>
  <c r="G86" i="37" s="1"/>
  <c r="I86" i="37" s="1"/>
  <c r="E94" i="37"/>
  <c r="F94" i="37" s="1"/>
  <c r="G94" i="37" s="1"/>
  <c r="I94" i="37" s="1"/>
  <c r="E102" i="37"/>
  <c r="F102" i="37" s="1"/>
  <c r="G102" i="37" s="1"/>
  <c r="I102" i="37" s="1"/>
  <c r="E110" i="37"/>
  <c r="F110" i="37" s="1"/>
  <c r="G110" i="37" s="1"/>
  <c r="I110" i="37" s="1"/>
  <c r="E118" i="37"/>
  <c r="F118" i="37" s="1"/>
  <c r="G118" i="37" s="1"/>
  <c r="I118" i="37" s="1"/>
  <c r="E126" i="37"/>
  <c r="F126" i="37" s="1"/>
  <c r="G126" i="37" s="1"/>
  <c r="I126" i="37" s="1"/>
  <c r="E134" i="37"/>
  <c r="F134" i="37" s="1"/>
  <c r="G134" i="37" s="1"/>
  <c r="I134" i="37" s="1"/>
  <c r="E142" i="37"/>
  <c r="F142" i="37" s="1"/>
  <c r="G142" i="37" s="1"/>
  <c r="I142" i="37" s="1"/>
  <c r="E150" i="37"/>
  <c r="F150" i="37" s="1"/>
  <c r="G150" i="37" s="1"/>
  <c r="I150" i="37" s="1"/>
  <c r="E158" i="37"/>
  <c r="F158" i="37" s="1"/>
  <c r="G158" i="37" s="1"/>
  <c r="I158" i="37" s="1"/>
  <c r="E166" i="37"/>
  <c r="F166" i="37" s="1"/>
  <c r="G166" i="37" s="1"/>
  <c r="I166" i="37" s="1"/>
  <c r="E174" i="37"/>
  <c r="F174" i="37" s="1"/>
  <c r="G174" i="37" s="1"/>
  <c r="I174" i="37" s="1"/>
  <c r="E182" i="37"/>
  <c r="F182" i="37" s="1"/>
  <c r="G182" i="37" s="1"/>
  <c r="I182" i="37" s="1"/>
  <c r="E190" i="37"/>
  <c r="F190" i="37" s="1"/>
  <c r="G190" i="37" s="1"/>
  <c r="I190" i="37" s="1"/>
  <c r="E198" i="37"/>
  <c r="F198" i="37" s="1"/>
  <c r="G198" i="37" s="1"/>
  <c r="I198" i="37" s="1"/>
  <c r="E206" i="37"/>
  <c r="F206" i="37" s="1"/>
  <c r="G206" i="37" s="1"/>
  <c r="I206" i="37" s="1"/>
  <c r="E214" i="37"/>
  <c r="F214" i="37" s="1"/>
  <c r="G214" i="37" s="1"/>
  <c r="I214" i="37" s="1"/>
  <c r="E222" i="37"/>
  <c r="F222" i="37" s="1"/>
  <c r="G222" i="37" s="1"/>
  <c r="I222" i="37" s="1"/>
  <c r="E230" i="37"/>
  <c r="F230" i="37" s="1"/>
  <c r="G230" i="37" s="1"/>
  <c r="I230" i="37" s="1"/>
  <c r="E238" i="37"/>
  <c r="F238" i="37" s="1"/>
  <c r="G238" i="37" s="1"/>
  <c r="I238" i="37" s="1"/>
  <c r="E246" i="37"/>
  <c r="F246" i="37" s="1"/>
  <c r="G246" i="37" s="1"/>
  <c r="I246" i="37" s="1"/>
  <c r="E254" i="37"/>
  <c r="F254" i="37" s="1"/>
  <c r="G254" i="37" s="1"/>
  <c r="I254" i="37" s="1"/>
  <c r="E262" i="37"/>
  <c r="F262" i="37" s="1"/>
  <c r="G262" i="37" s="1"/>
  <c r="I262" i="37" s="1"/>
  <c r="E9" i="37"/>
  <c r="F9" i="37" s="1"/>
  <c r="G9" i="37" s="1"/>
  <c r="I9" i="37" s="1"/>
  <c r="E15" i="37"/>
  <c r="F15" i="37" s="1"/>
  <c r="G15" i="37" s="1"/>
  <c r="I15" i="37" s="1"/>
  <c r="E23" i="37"/>
  <c r="F23" i="37" s="1"/>
  <c r="G23" i="37" s="1"/>
  <c r="I23" i="37" s="1"/>
  <c r="E29" i="37"/>
  <c r="F29" i="37" s="1"/>
  <c r="G29" i="37" s="1"/>
  <c r="I29" i="37" s="1"/>
  <c r="E35" i="37"/>
  <c r="F35" i="37" s="1"/>
  <c r="G35" i="37" s="1"/>
  <c r="I35" i="37" s="1"/>
  <c r="E41" i="37"/>
  <c r="F41" i="37" s="1"/>
  <c r="G41" i="37" s="1"/>
  <c r="I41" i="37" s="1"/>
  <c r="E47" i="37"/>
  <c r="F47" i="37" s="1"/>
  <c r="G47" i="37" s="1"/>
  <c r="I47" i="37" s="1"/>
  <c r="E60" i="37"/>
  <c r="F60" i="37" s="1"/>
  <c r="G60" i="37" s="1"/>
  <c r="I60" i="37" s="1"/>
  <c r="E68" i="37"/>
  <c r="F68" i="37" s="1"/>
  <c r="G68" i="37" s="1"/>
  <c r="I68" i="37" s="1"/>
  <c r="E13" i="37"/>
  <c r="F13" i="37" s="1"/>
  <c r="G13" i="37" s="1"/>
  <c r="I13" i="37" s="1"/>
  <c r="E19" i="37"/>
  <c r="F19" i="37" s="1"/>
  <c r="G19" i="37" s="1"/>
  <c r="I19" i="37" s="1"/>
  <c r="E33" i="37"/>
  <c r="F33" i="37" s="1"/>
  <c r="G33" i="37" s="1"/>
  <c r="I33" i="37" s="1"/>
  <c r="E43" i="37"/>
  <c r="F43" i="37" s="1"/>
  <c r="G43" i="37" s="1"/>
  <c r="I43" i="37" s="1"/>
  <c r="E52" i="37"/>
  <c r="F52" i="37" s="1"/>
  <c r="G52" i="37" s="1"/>
  <c r="I52" i="37" s="1"/>
  <c r="E80" i="37"/>
  <c r="F80" i="37" s="1"/>
  <c r="G80" i="37" s="1"/>
  <c r="I80" i="37" s="1"/>
  <c r="E96" i="37"/>
  <c r="F96" i="37" s="1"/>
  <c r="G96" i="37" s="1"/>
  <c r="I96" i="37" s="1"/>
  <c r="E112" i="37"/>
  <c r="F112" i="37" s="1"/>
  <c r="G112" i="37" s="1"/>
  <c r="I112" i="37" s="1"/>
  <c r="E128" i="37"/>
  <c r="F128" i="37" s="1"/>
  <c r="G128" i="37" s="1"/>
  <c r="I128" i="37" s="1"/>
  <c r="E144" i="37"/>
  <c r="F144" i="37" s="1"/>
  <c r="G144" i="37" s="1"/>
  <c r="I144" i="37" s="1"/>
  <c r="E160" i="37"/>
  <c r="F160" i="37" s="1"/>
  <c r="G160" i="37" s="1"/>
  <c r="I160" i="37" s="1"/>
  <c r="E176" i="37"/>
  <c r="F176" i="37" s="1"/>
  <c r="G176" i="37" s="1"/>
  <c r="I176" i="37" s="1"/>
  <c r="E192" i="37"/>
  <c r="F192" i="37" s="1"/>
  <c r="G192" i="37" s="1"/>
  <c r="I192" i="37" s="1"/>
  <c r="E208" i="37"/>
  <c r="F208" i="37" s="1"/>
  <c r="G208" i="37" s="1"/>
  <c r="I208" i="37" s="1"/>
  <c r="E224" i="37"/>
  <c r="F224" i="37" s="1"/>
  <c r="G224" i="37" s="1"/>
  <c r="I224" i="37" s="1"/>
  <c r="E248" i="37"/>
  <c r="F248" i="37" s="1"/>
  <c r="G248" i="37" s="1"/>
  <c r="I248" i="37" s="1"/>
  <c r="E84" i="37"/>
  <c r="F84" i="37" s="1"/>
  <c r="G84" i="37" s="1"/>
  <c r="I84" i="37" s="1"/>
  <c r="E100" i="37"/>
  <c r="F100" i="37" s="1"/>
  <c r="G100" i="37" s="1"/>
  <c r="I100" i="37" s="1"/>
  <c r="E116" i="37"/>
  <c r="F116" i="37" s="1"/>
  <c r="G116" i="37" s="1"/>
  <c r="I116" i="37" s="1"/>
  <c r="E132" i="37"/>
  <c r="F132" i="37" s="1"/>
  <c r="G132" i="37" s="1"/>
  <c r="I132" i="37" s="1"/>
  <c r="E148" i="37"/>
  <c r="F148" i="37" s="1"/>
  <c r="G148" i="37" s="1"/>
  <c r="I148" i="37" s="1"/>
  <c r="E164" i="37"/>
  <c r="F164" i="37" s="1"/>
  <c r="G164" i="37" s="1"/>
  <c r="I164" i="37" s="1"/>
  <c r="E180" i="37"/>
  <c r="F180" i="37" s="1"/>
  <c r="G180" i="37" s="1"/>
  <c r="I180" i="37" s="1"/>
  <c r="E196" i="37"/>
  <c r="F196" i="37" s="1"/>
  <c r="G196" i="37" s="1"/>
  <c r="I196" i="37" s="1"/>
  <c r="E212" i="37"/>
  <c r="F212" i="37" s="1"/>
  <c r="G212" i="37" s="1"/>
  <c r="I212" i="37" s="1"/>
  <c r="E228" i="37"/>
  <c r="F228" i="37" s="1"/>
  <c r="G228" i="37" s="1"/>
  <c r="I228" i="37" s="1"/>
  <c r="E244" i="37"/>
  <c r="F244" i="37" s="1"/>
  <c r="G244" i="37" s="1"/>
  <c r="I244" i="37" s="1"/>
  <c r="E260" i="37"/>
  <c r="F260" i="37" s="1"/>
  <c r="G260" i="37" s="1"/>
  <c r="I260" i="37" s="1"/>
  <c r="E232" i="37"/>
  <c r="F232" i="37" s="1"/>
  <c r="G232" i="37" s="1"/>
  <c r="I232" i="37" s="1"/>
  <c r="E264" i="37"/>
  <c r="F264" i="37" s="1"/>
  <c r="G264" i="37" s="1"/>
  <c r="I264" i="37" s="1"/>
  <c r="E239" i="37"/>
  <c r="F239" i="37" s="1"/>
  <c r="G239" i="37" s="1"/>
  <c r="I239" i="37" s="1"/>
  <c r="E207" i="37"/>
  <c r="F207" i="37" s="1"/>
  <c r="G207" i="37" s="1"/>
  <c r="I207" i="37" s="1"/>
  <c r="E243" i="37"/>
  <c r="F243" i="37" s="1"/>
  <c r="G243" i="37" s="1"/>
  <c r="I243" i="37" s="1"/>
  <c r="E211" i="37"/>
  <c r="F211" i="37" s="1"/>
  <c r="G211" i="37" s="1"/>
  <c r="I211" i="37" s="1"/>
  <c r="E179" i="37"/>
  <c r="F179" i="37" s="1"/>
  <c r="G179" i="37" s="1"/>
  <c r="I179" i="37" s="1"/>
  <c r="E147" i="37"/>
  <c r="F147" i="37" s="1"/>
  <c r="G147" i="37" s="1"/>
  <c r="I147" i="37" s="1"/>
  <c r="E113" i="37"/>
  <c r="F113" i="37" s="1"/>
  <c r="G113" i="37" s="1"/>
  <c r="I113" i="37" s="1"/>
  <c r="E81" i="37"/>
  <c r="F81" i="37" s="1"/>
  <c r="G81" i="37" s="1"/>
  <c r="I81" i="37" s="1"/>
  <c r="E191" i="37"/>
  <c r="F191" i="37" s="1"/>
  <c r="G191" i="37" s="1"/>
  <c r="I191" i="37" s="1"/>
  <c r="E159" i="37"/>
  <c r="F159" i="37" s="1"/>
  <c r="G159" i="37" s="1"/>
  <c r="I159" i="37" s="1"/>
  <c r="E127" i="37"/>
  <c r="F127" i="37" s="1"/>
  <c r="G127" i="37" s="1"/>
  <c r="I127" i="37" s="1"/>
  <c r="E93" i="37"/>
  <c r="F93" i="37" s="1"/>
  <c r="G93" i="37" s="1"/>
  <c r="I93" i="37" s="1"/>
  <c r="E65" i="37"/>
  <c r="F65" i="37" s="1"/>
  <c r="G65" i="37" s="1"/>
  <c r="I65" i="37" s="1"/>
  <c r="O261" i="37"/>
  <c r="P261" i="37" s="1"/>
  <c r="Q261" i="37" s="1"/>
  <c r="S261" i="37" s="1"/>
  <c r="O256" i="37"/>
  <c r="P256" i="37" s="1"/>
  <c r="Q256" i="37" s="1"/>
  <c r="S256" i="37" s="1"/>
  <c r="O251" i="37"/>
  <c r="P251" i="37" s="1"/>
  <c r="Q251" i="37" s="1"/>
  <c r="S251" i="37" s="1"/>
  <c r="O247" i="37"/>
  <c r="P247" i="37" s="1"/>
  <c r="Q247" i="37" s="1"/>
  <c r="S247" i="37" s="1"/>
  <c r="O243" i="37"/>
  <c r="P243" i="37" s="1"/>
  <c r="Q243" i="37" s="1"/>
  <c r="S243" i="37" s="1"/>
  <c r="O239" i="37"/>
  <c r="P239" i="37" s="1"/>
  <c r="Q239" i="37" s="1"/>
  <c r="S239" i="37" s="1"/>
  <c r="O235" i="37"/>
  <c r="P235" i="37" s="1"/>
  <c r="Q235" i="37" s="1"/>
  <c r="S235" i="37" s="1"/>
  <c r="O231" i="37"/>
  <c r="P231" i="37" s="1"/>
  <c r="Q231" i="37" s="1"/>
  <c r="S231" i="37" s="1"/>
  <c r="O227" i="37"/>
  <c r="P227" i="37" s="1"/>
  <c r="Q227" i="37" s="1"/>
  <c r="S227" i="37" s="1"/>
  <c r="O223" i="37"/>
  <c r="P223" i="37" s="1"/>
  <c r="Q223" i="37" s="1"/>
  <c r="S223" i="37" s="1"/>
  <c r="O219" i="37"/>
  <c r="P219" i="37" s="1"/>
  <c r="Q219" i="37" s="1"/>
  <c r="S219" i="37" s="1"/>
  <c r="O215" i="37"/>
  <c r="P215" i="37" s="1"/>
  <c r="Q215" i="37" s="1"/>
  <c r="S215" i="37" s="1"/>
  <c r="O211" i="37"/>
  <c r="P211" i="37" s="1"/>
  <c r="Q211" i="37" s="1"/>
  <c r="S211" i="37" s="1"/>
  <c r="O47" i="37"/>
  <c r="P47" i="37" s="1"/>
  <c r="Q47" i="37" s="1"/>
  <c r="S47" i="37" s="1"/>
  <c r="O31" i="37"/>
  <c r="P31" i="37" s="1"/>
  <c r="Q31" i="37" s="1"/>
  <c r="S31" i="37" s="1"/>
  <c r="O15" i="37"/>
  <c r="P15" i="37" s="1"/>
  <c r="Q15" i="37" s="1"/>
  <c r="S15" i="37" s="1"/>
  <c r="Y40" i="37"/>
  <c r="Z40" i="37" s="1"/>
  <c r="AA40" i="37" s="1"/>
  <c r="AC40" i="37" s="1"/>
  <c r="Y24" i="37"/>
  <c r="Z24" i="37" s="1"/>
  <c r="AA24" i="37" s="1"/>
  <c r="AC24" i="37" s="1"/>
  <c r="AI44" i="37"/>
  <c r="AJ44" i="37" s="1"/>
  <c r="AK44" i="37" s="1"/>
  <c r="AM44" i="37" s="1"/>
  <c r="AI12" i="37"/>
  <c r="AJ12" i="37" s="1"/>
  <c r="AK12" i="37" s="1"/>
  <c r="AM12" i="37" s="1"/>
  <c r="AS70" i="37"/>
  <c r="AT70" i="37" s="1"/>
  <c r="AU70" i="37" s="1"/>
  <c r="AW70" i="37" s="1"/>
  <c r="E57" i="37"/>
  <c r="F57" i="37" s="1"/>
  <c r="G57" i="37" s="1"/>
  <c r="I57" i="37" s="1"/>
  <c r="O264" i="37"/>
  <c r="P264" i="37" s="1"/>
  <c r="Q264" i="37" s="1"/>
  <c r="S264" i="37" s="1"/>
  <c r="E265" i="37"/>
  <c r="F265" i="37" s="1"/>
  <c r="G265" i="37" s="1"/>
  <c r="I265" i="37" s="1"/>
  <c r="E249" i="37"/>
  <c r="F249" i="37" s="1"/>
  <c r="G249" i="37" s="1"/>
  <c r="I249" i="37" s="1"/>
  <c r="E233" i="37"/>
  <c r="F233" i="37" s="1"/>
  <c r="G233" i="37" s="1"/>
  <c r="I233" i="37" s="1"/>
  <c r="E217" i="37"/>
  <c r="F217" i="37" s="1"/>
  <c r="G217" i="37" s="1"/>
  <c r="I217" i="37" s="1"/>
  <c r="E201" i="37"/>
  <c r="F201" i="37" s="1"/>
  <c r="G201" i="37" s="1"/>
  <c r="I201" i="37" s="1"/>
  <c r="E185" i="37"/>
  <c r="F185" i="37" s="1"/>
  <c r="G185" i="37" s="1"/>
  <c r="I185" i="37" s="1"/>
  <c r="E169" i="37"/>
  <c r="F169" i="37" s="1"/>
  <c r="G169" i="37" s="1"/>
  <c r="I169" i="37" s="1"/>
  <c r="E153" i="37"/>
  <c r="F153" i="37" s="1"/>
  <c r="G153" i="37" s="1"/>
  <c r="I153" i="37" s="1"/>
  <c r="E137" i="37"/>
  <c r="F137" i="37" s="1"/>
  <c r="G137" i="37" s="1"/>
  <c r="I137" i="37" s="1"/>
  <c r="E121" i="37"/>
  <c r="F121" i="37" s="1"/>
  <c r="G121" i="37" s="1"/>
  <c r="I121" i="37" s="1"/>
  <c r="E107" i="37"/>
  <c r="F107" i="37" s="1"/>
  <c r="G107" i="37" s="1"/>
  <c r="I107" i="37" s="1"/>
  <c r="E91" i="37"/>
  <c r="F91" i="37" s="1"/>
  <c r="G91" i="37" s="1"/>
  <c r="I91" i="37" s="1"/>
  <c r="E75" i="37"/>
  <c r="F75" i="37" s="1"/>
  <c r="G75" i="37" s="1"/>
  <c r="I75" i="37" s="1"/>
  <c r="E59" i="37"/>
  <c r="F59" i="37" s="1"/>
  <c r="G59" i="37" s="1"/>
  <c r="I59" i="37" s="1"/>
  <c r="E46" i="37"/>
  <c r="F46" i="37" s="1"/>
  <c r="G46" i="37" s="1"/>
  <c r="I46" i="37" s="1"/>
  <c r="E38" i="37"/>
  <c r="F38" i="37" s="1"/>
  <c r="G38" i="37" s="1"/>
  <c r="I38" i="37" s="1"/>
  <c r="E30" i="37"/>
  <c r="F30" i="37" s="1"/>
  <c r="G30" i="37" s="1"/>
  <c r="I30" i="37" s="1"/>
  <c r="E22" i="37"/>
  <c r="F22" i="37" s="1"/>
  <c r="G22" i="37" s="1"/>
  <c r="I22" i="37" s="1"/>
  <c r="E14" i="37"/>
  <c r="F14" i="37" s="1"/>
  <c r="G14" i="37" s="1"/>
  <c r="I14" i="37" s="1"/>
  <c r="O51" i="37"/>
  <c r="P51" i="37" s="1"/>
  <c r="Q51" i="37" s="1"/>
  <c r="S51" i="37" s="1"/>
  <c r="O35" i="37"/>
  <c r="P35" i="37" s="1"/>
  <c r="Q35" i="37" s="1"/>
  <c r="S35" i="37" s="1"/>
  <c r="O19" i="37"/>
  <c r="P19" i="37" s="1"/>
  <c r="Q19" i="37" s="1"/>
  <c r="S19" i="37" s="1"/>
  <c r="Y267" i="37"/>
  <c r="Z267" i="37" s="1"/>
  <c r="AA267" i="37" s="1"/>
  <c r="AC267" i="37" s="1"/>
  <c r="Y259" i="37"/>
  <c r="Z259" i="37" s="1"/>
  <c r="AA259" i="37" s="1"/>
  <c r="AC259" i="37" s="1"/>
  <c r="Y251" i="37"/>
  <c r="Z251" i="37" s="1"/>
  <c r="AA251" i="37" s="1"/>
  <c r="AC251" i="37" s="1"/>
  <c r="Y243" i="37"/>
  <c r="Z243" i="37" s="1"/>
  <c r="AA243" i="37" s="1"/>
  <c r="AC243" i="37" s="1"/>
  <c r="Y235" i="37"/>
  <c r="Z235" i="37" s="1"/>
  <c r="AA235" i="37" s="1"/>
  <c r="AC235" i="37" s="1"/>
  <c r="Y227" i="37"/>
  <c r="Z227" i="37" s="1"/>
  <c r="AA227" i="37" s="1"/>
  <c r="AC227" i="37" s="1"/>
  <c r="Y219" i="37"/>
  <c r="Z219" i="37" s="1"/>
  <c r="AA219" i="37" s="1"/>
  <c r="AC219" i="37" s="1"/>
  <c r="Y211" i="37"/>
  <c r="Z211" i="37" s="1"/>
  <c r="AA211" i="37" s="1"/>
  <c r="AC211" i="37" s="1"/>
  <c r="Y203" i="37"/>
  <c r="Z203" i="37" s="1"/>
  <c r="AA203" i="37" s="1"/>
  <c r="AC203" i="37" s="1"/>
  <c r="Y195" i="37"/>
  <c r="Z195" i="37" s="1"/>
  <c r="AA195" i="37" s="1"/>
  <c r="AC195" i="37" s="1"/>
  <c r="Y187" i="37"/>
  <c r="Z187" i="37" s="1"/>
  <c r="AA187" i="37" s="1"/>
  <c r="AC187" i="37" s="1"/>
  <c r="Y43" i="37"/>
  <c r="Z43" i="37" s="1"/>
  <c r="AA43" i="37" s="1"/>
  <c r="AC43" i="37" s="1"/>
  <c r="Y27" i="37"/>
  <c r="Z27" i="37" s="1"/>
  <c r="AA27" i="37" s="1"/>
  <c r="AC27" i="37" s="1"/>
  <c r="Y11" i="37"/>
  <c r="Z11" i="37" s="1"/>
  <c r="AA11" i="37" s="1"/>
  <c r="AC11" i="37" s="1"/>
  <c r="AI261" i="37"/>
  <c r="AJ261" i="37" s="1"/>
  <c r="AK261" i="37" s="1"/>
  <c r="AM261" i="37" s="1"/>
  <c r="AI253" i="37"/>
  <c r="AJ253" i="37" s="1"/>
  <c r="AK253" i="37" s="1"/>
  <c r="AM253" i="37" s="1"/>
  <c r="AI245" i="37"/>
  <c r="AJ245" i="37" s="1"/>
  <c r="AK245" i="37" s="1"/>
  <c r="AM245" i="37" s="1"/>
  <c r="AI237" i="37"/>
  <c r="AJ237" i="37" s="1"/>
  <c r="AK237" i="37" s="1"/>
  <c r="AM237" i="37" s="1"/>
  <c r="AI229" i="37"/>
  <c r="AJ229" i="37" s="1"/>
  <c r="AK229" i="37" s="1"/>
  <c r="AM229" i="37" s="1"/>
  <c r="AI221" i="37"/>
  <c r="AJ221" i="37" s="1"/>
  <c r="AK221" i="37" s="1"/>
  <c r="AM221" i="37" s="1"/>
  <c r="AI213" i="37"/>
  <c r="AJ213" i="37" s="1"/>
  <c r="AK213" i="37" s="1"/>
  <c r="AM213" i="37" s="1"/>
  <c r="AI205" i="37"/>
  <c r="AJ205" i="37" s="1"/>
  <c r="AK205" i="37" s="1"/>
  <c r="AM205" i="37" s="1"/>
  <c r="AI197" i="37"/>
  <c r="AJ197" i="37" s="1"/>
  <c r="AK197" i="37" s="1"/>
  <c r="AM197" i="37" s="1"/>
  <c r="AI189" i="37"/>
  <c r="AJ189" i="37" s="1"/>
  <c r="AK189" i="37" s="1"/>
  <c r="AM189" i="37" s="1"/>
  <c r="AI36" i="37"/>
  <c r="AJ36" i="37" s="1"/>
  <c r="AK36" i="37" s="1"/>
  <c r="AM36" i="37" s="1"/>
  <c r="AS135" i="37"/>
  <c r="AT135" i="37" s="1"/>
  <c r="AU135" i="37" s="1"/>
  <c r="AW135" i="37" s="1"/>
  <c r="AS46" i="37"/>
  <c r="AT46" i="37" s="1"/>
  <c r="AU46" i="37" s="1"/>
  <c r="AW46" i="37" s="1"/>
  <c r="O98" i="37"/>
  <c r="P98" i="37" s="1"/>
  <c r="Q98" i="37" s="1"/>
  <c r="S98" i="37" s="1"/>
  <c r="O48" i="37"/>
  <c r="P48" i="37" s="1"/>
  <c r="Q48" i="37" s="1"/>
  <c r="S48" i="37" s="1"/>
  <c r="O40" i="37"/>
  <c r="P40" i="37" s="1"/>
  <c r="Q40" i="37" s="1"/>
  <c r="S40" i="37" s="1"/>
  <c r="O32" i="37"/>
  <c r="P32" i="37" s="1"/>
  <c r="Q32" i="37" s="1"/>
  <c r="S32" i="37" s="1"/>
  <c r="O24" i="37"/>
  <c r="P24" i="37" s="1"/>
  <c r="Q24" i="37" s="1"/>
  <c r="S24" i="37" s="1"/>
  <c r="O16" i="37"/>
  <c r="P16" i="37" s="1"/>
  <c r="Q16" i="37" s="1"/>
  <c r="S16" i="37" s="1"/>
  <c r="Y266" i="37"/>
  <c r="Z266" i="37" s="1"/>
  <c r="AA266" i="37" s="1"/>
  <c r="AC266" i="37" s="1"/>
  <c r="Y258" i="37"/>
  <c r="Z258" i="37" s="1"/>
  <c r="AA258" i="37" s="1"/>
  <c r="AC258" i="37" s="1"/>
  <c r="Y250" i="37"/>
  <c r="Z250" i="37" s="1"/>
  <c r="AA250" i="37" s="1"/>
  <c r="AC250" i="37" s="1"/>
  <c r="Y242" i="37"/>
  <c r="Z242" i="37" s="1"/>
  <c r="AA242" i="37" s="1"/>
  <c r="AC242" i="37" s="1"/>
  <c r="Y234" i="37"/>
  <c r="Z234" i="37" s="1"/>
  <c r="AA234" i="37" s="1"/>
  <c r="AC234" i="37" s="1"/>
  <c r="Y226" i="37"/>
  <c r="Z226" i="37" s="1"/>
  <c r="AA226" i="37" s="1"/>
  <c r="AC226" i="37" s="1"/>
  <c r="Y218" i="37"/>
  <c r="Z218" i="37" s="1"/>
  <c r="AA218" i="37" s="1"/>
  <c r="AC218" i="37" s="1"/>
  <c r="Y210" i="37"/>
  <c r="Z210" i="37" s="1"/>
  <c r="AA210" i="37" s="1"/>
  <c r="AC210" i="37" s="1"/>
  <c r="Y202" i="37"/>
  <c r="Z202" i="37" s="1"/>
  <c r="AA202" i="37" s="1"/>
  <c r="AC202" i="37" s="1"/>
  <c r="Y194" i="37"/>
  <c r="Z194" i="37" s="1"/>
  <c r="AA194" i="37" s="1"/>
  <c r="AC194" i="37" s="1"/>
  <c r="Y186" i="37"/>
  <c r="Z186" i="37" s="1"/>
  <c r="AA186" i="37" s="1"/>
  <c r="AC186" i="37" s="1"/>
  <c r="Y46" i="37"/>
  <c r="Z46" i="37" s="1"/>
  <c r="AA46" i="37" s="1"/>
  <c r="AC46" i="37" s="1"/>
  <c r="Y38" i="37"/>
  <c r="Z38" i="37" s="1"/>
  <c r="AA38" i="37" s="1"/>
  <c r="AC38" i="37" s="1"/>
  <c r="Y30" i="37"/>
  <c r="Z30" i="37" s="1"/>
  <c r="AA30" i="37" s="1"/>
  <c r="AC30" i="37" s="1"/>
  <c r="Y22" i="37"/>
  <c r="Z22" i="37" s="1"/>
  <c r="AA22" i="37" s="1"/>
  <c r="AC22" i="37" s="1"/>
  <c r="Y14" i="37"/>
  <c r="Z14" i="37" s="1"/>
  <c r="AA14" i="37" s="1"/>
  <c r="AC14" i="37" s="1"/>
  <c r="AI266" i="37"/>
  <c r="AJ266" i="37" s="1"/>
  <c r="AK266" i="37" s="1"/>
  <c r="AM266" i="37" s="1"/>
  <c r="AI258" i="37"/>
  <c r="AJ258" i="37" s="1"/>
  <c r="AK258" i="37" s="1"/>
  <c r="AM258" i="37" s="1"/>
  <c r="AI250" i="37"/>
  <c r="AJ250" i="37" s="1"/>
  <c r="AK250" i="37" s="1"/>
  <c r="AM250" i="37" s="1"/>
  <c r="AI242" i="37"/>
  <c r="AJ242" i="37" s="1"/>
  <c r="AK242" i="37" s="1"/>
  <c r="AM242" i="37" s="1"/>
  <c r="AI234" i="37"/>
  <c r="AJ234" i="37" s="1"/>
  <c r="AK234" i="37" s="1"/>
  <c r="AM234" i="37" s="1"/>
  <c r="AI226" i="37"/>
  <c r="AJ226" i="37" s="1"/>
  <c r="AK226" i="37" s="1"/>
  <c r="AM226" i="37" s="1"/>
  <c r="AI47" i="37"/>
  <c r="AJ47" i="37" s="1"/>
  <c r="AK47" i="37" s="1"/>
  <c r="AM47" i="37" s="1"/>
  <c r="AI31" i="37"/>
  <c r="AJ31" i="37" s="1"/>
  <c r="AK31" i="37" s="1"/>
  <c r="AM31" i="37" s="1"/>
  <c r="AI15" i="37"/>
  <c r="AJ15" i="37" s="1"/>
  <c r="AK15" i="37" s="1"/>
  <c r="AM15" i="37" s="1"/>
  <c r="AS126" i="37"/>
  <c r="AT126" i="37" s="1"/>
  <c r="AU126" i="37" s="1"/>
  <c r="AW126" i="37" s="1"/>
  <c r="AS84" i="37"/>
  <c r="AT84" i="37" s="1"/>
  <c r="AU84" i="37" s="1"/>
  <c r="AW84" i="37" s="1"/>
  <c r="AS22" i="37"/>
  <c r="AT22" i="37" s="1"/>
  <c r="AU22" i="37" s="1"/>
  <c r="AW22" i="37" s="1"/>
  <c r="AI214" i="37"/>
  <c r="AJ214" i="37" s="1"/>
  <c r="AK214" i="37" s="1"/>
  <c r="AM214" i="37" s="1"/>
  <c r="AI206" i="37"/>
  <c r="AJ206" i="37" s="1"/>
  <c r="AK206" i="37" s="1"/>
  <c r="AM206" i="37" s="1"/>
  <c r="AI198" i="37"/>
  <c r="AJ198" i="37" s="1"/>
  <c r="AK198" i="37" s="1"/>
  <c r="AM198" i="37" s="1"/>
  <c r="AI190" i="37"/>
  <c r="AJ190" i="37" s="1"/>
  <c r="AK190" i="37" s="1"/>
  <c r="AM190" i="37" s="1"/>
  <c r="AI50" i="37"/>
  <c r="AJ50" i="37" s="1"/>
  <c r="AK50" i="37" s="1"/>
  <c r="AM50" i="37" s="1"/>
  <c r="AI42" i="37"/>
  <c r="AJ42" i="37" s="1"/>
  <c r="AK42" i="37" s="1"/>
  <c r="AM42" i="37" s="1"/>
  <c r="AI34" i="37"/>
  <c r="AJ34" i="37" s="1"/>
  <c r="AK34" i="37" s="1"/>
  <c r="AM34" i="37" s="1"/>
  <c r="AI26" i="37"/>
  <c r="AJ26" i="37" s="1"/>
  <c r="AK26" i="37" s="1"/>
  <c r="AM26" i="37" s="1"/>
  <c r="AI18" i="37"/>
  <c r="AJ18" i="37" s="1"/>
  <c r="AK18" i="37" s="1"/>
  <c r="AM18" i="37" s="1"/>
  <c r="AI10" i="37"/>
  <c r="AJ10" i="37" s="1"/>
  <c r="AK10" i="37" s="1"/>
  <c r="AM10" i="37" s="1"/>
  <c r="AS266" i="37"/>
  <c r="AT266" i="37" s="1"/>
  <c r="AU266" i="37" s="1"/>
  <c r="AW266" i="37" s="1"/>
  <c r="AS262" i="37"/>
  <c r="AT262" i="37" s="1"/>
  <c r="AU262" i="37" s="1"/>
  <c r="AW262" i="37" s="1"/>
  <c r="AS258" i="37"/>
  <c r="AT258" i="37" s="1"/>
  <c r="AU258" i="37" s="1"/>
  <c r="AW258" i="37" s="1"/>
  <c r="AS254" i="37"/>
  <c r="AT254" i="37" s="1"/>
  <c r="AU254" i="37" s="1"/>
  <c r="AW254" i="37" s="1"/>
  <c r="AS250" i="37"/>
  <c r="AT250" i="37" s="1"/>
  <c r="AU250" i="37" s="1"/>
  <c r="AW250" i="37" s="1"/>
  <c r="AS246" i="37"/>
  <c r="AT246" i="37" s="1"/>
  <c r="AU246" i="37" s="1"/>
  <c r="AW246" i="37" s="1"/>
  <c r="AS242" i="37"/>
  <c r="AT242" i="37" s="1"/>
  <c r="AU242" i="37" s="1"/>
  <c r="AW242" i="37" s="1"/>
  <c r="AS238" i="37"/>
  <c r="AT238" i="37" s="1"/>
  <c r="AU238" i="37" s="1"/>
  <c r="AW238" i="37" s="1"/>
  <c r="AS234" i="37"/>
  <c r="AT234" i="37" s="1"/>
  <c r="AU234" i="37" s="1"/>
  <c r="AW234" i="37" s="1"/>
  <c r="AS230" i="37"/>
  <c r="AT230" i="37" s="1"/>
  <c r="AU230" i="37" s="1"/>
  <c r="AW230" i="37" s="1"/>
  <c r="AS226" i="37"/>
  <c r="AT226" i="37" s="1"/>
  <c r="AU226" i="37" s="1"/>
  <c r="AW226" i="37" s="1"/>
  <c r="AS222" i="37"/>
  <c r="AT222" i="37" s="1"/>
  <c r="AU222" i="37" s="1"/>
  <c r="AW222" i="37" s="1"/>
  <c r="AS218" i="37"/>
  <c r="AT218" i="37" s="1"/>
  <c r="AU218" i="37" s="1"/>
  <c r="AW218" i="37" s="1"/>
  <c r="AS214" i="37"/>
  <c r="AT214" i="37" s="1"/>
  <c r="AU214" i="37" s="1"/>
  <c r="AW214" i="37" s="1"/>
  <c r="AS210" i="37"/>
  <c r="AT210" i="37" s="1"/>
  <c r="AU210" i="37" s="1"/>
  <c r="AW210" i="37" s="1"/>
  <c r="AS206" i="37"/>
  <c r="AT206" i="37" s="1"/>
  <c r="AU206" i="37" s="1"/>
  <c r="AW206" i="37" s="1"/>
  <c r="AS202" i="37"/>
  <c r="AT202" i="37" s="1"/>
  <c r="AU202" i="37" s="1"/>
  <c r="AW202" i="37" s="1"/>
  <c r="AS198" i="37"/>
  <c r="AT198" i="37" s="1"/>
  <c r="AU198" i="37" s="1"/>
  <c r="AW198" i="37" s="1"/>
  <c r="AS194" i="37"/>
  <c r="AT194" i="37" s="1"/>
  <c r="AU194" i="37" s="1"/>
  <c r="AW194" i="37" s="1"/>
  <c r="AS190" i="37"/>
  <c r="AT190" i="37" s="1"/>
  <c r="AU190" i="37" s="1"/>
  <c r="AW190" i="37" s="1"/>
  <c r="AS139" i="37"/>
  <c r="AT139" i="37" s="1"/>
  <c r="AU139" i="37" s="1"/>
  <c r="AW139" i="37" s="1"/>
  <c r="AS123" i="37"/>
  <c r="AT123" i="37" s="1"/>
  <c r="AU123" i="37" s="1"/>
  <c r="AW123" i="37" s="1"/>
  <c r="AS107" i="37"/>
  <c r="AT107" i="37" s="1"/>
  <c r="AU107" i="37" s="1"/>
  <c r="AW107" i="37" s="1"/>
  <c r="AS77" i="37"/>
  <c r="AT77" i="37" s="1"/>
  <c r="AU77" i="37" s="1"/>
  <c r="AW77" i="37" s="1"/>
  <c r="AS50" i="37"/>
  <c r="AT50" i="37" s="1"/>
  <c r="AU50" i="37" s="1"/>
  <c r="AW50" i="37" s="1"/>
  <c r="AS18" i="37"/>
  <c r="AT18" i="37" s="1"/>
  <c r="AU18" i="37" s="1"/>
  <c r="AW18" i="37" s="1"/>
  <c r="AS186" i="37"/>
  <c r="AT186" i="37" s="1"/>
  <c r="AU186" i="37" s="1"/>
  <c r="AW186" i="37" s="1"/>
  <c r="AS182" i="37"/>
  <c r="AT182" i="37" s="1"/>
  <c r="AU182" i="37" s="1"/>
  <c r="AW182" i="37" s="1"/>
  <c r="AS178" i="37"/>
  <c r="AT178" i="37" s="1"/>
  <c r="AU178" i="37" s="1"/>
  <c r="AW178" i="37" s="1"/>
  <c r="AS144" i="37"/>
  <c r="AT144" i="37" s="1"/>
  <c r="AU144" i="37" s="1"/>
  <c r="AW144" i="37" s="1"/>
  <c r="AS136" i="37"/>
  <c r="AT136" i="37" s="1"/>
  <c r="AU136" i="37" s="1"/>
  <c r="AW136" i="37" s="1"/>
  <c r="AS128" i="37"/>
  <c r="AT128" i="37" s="1"/>
  <c r="AU128" i="37" s="1"/>
  <c r="AW128" i="37" s="1"/>
  <c r="AS120" i="37"/>
  <c r="AT120" i="37" s="1"/>
  <c r="AU120" i="37" s="1"/>
  <c r="AW120" i="37" s="1"/>
  <c r="AS112" i="37"/>
  <c r="AT112" i="37" s="1"/>
  <c r="AU112" i="37" s="1"/>
  <c r="AW112" i="37" s="1"/>
  <c r="AS104" i="37"/>
  <c r="AT104" i="37" s="1"/>
  <c r="AU104" i="37" s="1"/>
  <c r="AW104" i="37" s="1"/>
  <c r="AS88" i="37"/>
  <c r="AT88" i="37" s="1"/>
  <c r="AU88" i="37" s="1"/>
  <c r="AW88" i="37" s="1"/>
  <c r="AS66" i="37"/>
  <c r="AT66" i="37" s="1"/>
  <c r="AU66" i="37" s="1"/>
  <c r="AW66" i="37" s="1"/>
  <c r="AS48" i="37"/>
  <c r="AT48" i="37" s="1"/>
  <c r="AU48" i="37" s="1"/>
  <c r="AW48" i="37" s="1"/>
  <c r="E231" i="37"/>
  <c r="F231" i="37" s="1"/>
  <c r="G231" i="37" s="1"/>
  <c r="I231" i="37" s="1"/>
  <c r="E267" i="37"/>
  <c r="F267" i="37" s="1"/>
  <c r="G267" i="37" s="1"/>
  <c r="I267" i="37" s="1"/>
  <c r="E235" i="37"/>
  <c r="F235" i="37" s="1"/>
  <c r="G235" i="37" s="1"/>
  <c r="I235" i="37" s="1"/>
  <c r="E203" i="37"/>
  <c r="F203" i="37" s="1"/>
  <c r="G203" i="37" s="1"/>
  <c r="I203" i="37" s="1"/>
  <c r="E171" i="37"/>
  <c r="F171" i="37" s="1"/>
  <c r="G171" i="37" s="1"/>
  <c r="I171" i="37" s="1"/>
  <c r="E139" i="37"/>
  <c r="F139" i="37" s="1"/>
  <c r="G139" i="37" s="1"/>
  <c r="I139" i="37" s="1"/>
  <c r="E105" i="37"/>
  <c r="F105" i="37" s="1"/>
  <c r="G105" i="37" s="1"/>
  <c r="I105" i="37" s="1"/>
  <c r="E73" i="37"/>
  <c r="F73" i="37" s="1"/>
  <c r="G73" i="37" s="1"/>
  <c r="I73" i="37" s="1"/>
  <c r="E183" i="37"/>
  <c r="F183" i="37" s="1"/>
  <c r="G183" i="37" s="1"/>
  <c r="I183" i="37" s="1"/>
  <c r="E151" i="37"/>
  <c r="F151" i="37" s="1"/>
  <c r="G151" i="37" s="1"/>
  <c r="I151" i="37" s="1"/>
  <c r="E119" i="37"/>
  <c r="F119" i="37" s="1"/>
  <c r="G119" i="37" s="1"/>
  <c r="I119" i="37" s="1"/>
  <c r="E85" i="37"/>
  <c r="F85" i="37" s="1"/>
  <c r="G85" i="37" s="1"/>
  <c r="I85" i="37" s="1"/>
  <c r="O267" i="37"/>
  <c r="P267" i="37" s="1"/>
  <c r="Q267" i="37" s="1"/>
  <c r="S267" i="37" s="1"/>
  <c r="O259" i="37"/>
  <c r="P259" i="37" s="1"/>
  <c r="Q259" i="37" s="1"/>
  <c r="S259" i="37" s="1"/>
  <c r="O255" i="37"/>
  <c r="P255" i="37" s="1"/>
  <c r="Q255" i="37" s="1"/>
  <c r="S255" i="37" s="1"/>
  <c r="O250" i="37"/>
  <c r="P250" i="37" s="1"/>
  <c r="Q250" i="37" s="1"/>
  <c r="S250" i="37" s="1"/>
  <c r="O246" i="37"/>
  <c r="P246" i="37" s="1"/>
  <c r="Q246" i="37" s="1"/>
  <c r="S246" i="37" s="1"/>
  <c r="O242" i="37"/>
  <c r="P242" i="37" s="1"/>
  <c r="Q242" i="37" s="1"/>
  <c r="S242" i="37" s="1"/>
  <c r="O238" i="37"/>
  <c r="P238" i="37" s="1"/>
  <c r="Q238" i="37" s="1"/>
  <c r="S238" i="37" s="1"/>
  <c r="O234" i="37"/>
  <c r="P234" i="37" s="1"/>
  <c r="Q234" i="37" s="1"/>
  <c r="S234" i="37" s="1"/>
  <c r="O230" i="37"/>
  <c r="P230" i="37" s="1"/>
  <c r="Q230" i="37" s="1"/>
  <c r="S230" i="37" s="1"/>
  <c r="O226" i="37"/>
  <c r="P226" i="37" s="1"/>
  <c r="Q226" i="37" s="1"/>
  <c r="S226" i="37" s="1"/>
  <c r="O222" i="37"/>
  <c r="P222" i="37" s="1"/>
  <c r="Q222" i="37" s="1"/>
  <c r="S222" i="37" s="1"/>
  <c r="O218" i="37"/>
  <c r="P218" i="37" s="1"/>
  <c r="Q218" i="37" s="1"/>
  <c r="S218" i="37" s="1"/>
  <c r="O214" i="37"/>
  <c r="P214" i="37" s="1"/>
  <c r="Q214" i="37" s="1"/>
  <c r="S214" i="37" s="1"/>
  <c r="O210" i="37"/>
  <c r="P210" i="37" s="1"/>
  <c r="Q210" i="37" s="1"/>
  <c r="S210" i="37" s="1"/>
  <c r="O46" i="37"/>
  <c r="P46" i="37" s="1"/>
  <c r="Q46" i="37" s="1"/>
  <c r="S46" i="37" s="1"/>
  <c r="O30" i="37"/>
  <c r="P30" i="37" s="1"/>
  <c r="Q30" i="37" s="1"/>
  <c r="S30" i="37" s="1"/>
  <c r="O14" i="37"/>
  <c r="P14" i="37" s="1"/>
  <c r="Q14" i="37" s="1"/>
  <c r="S14" i="37" s="1"/>
  <c r="Y39" i="37"/>
  <c r="Z39" i="37" s="1"/>
  <c r="AA39" i="37" s="1"/>
  <c r="AC39" i="37" s="1"/>
  <c r="Y23" i="37"/>
  <c r="Z23" i="37" s="1"/>
  <c r="AA23" i="37" s="1"/>
  <c r="AC23" i="37" s="1"/>
  <c r="AI43" i="37"/>
  <c r="AJ43" i="37" s="1"/>
  <c r="AK43" i="37" s="1"/>
  <c r="AM43" i="37" s="1"/>
  <c r="AI11" i="37"/>
  <c r="AJ11" i="37" s="1"/>
  <c r="AK11" i="37" s="1"/>
  <c r="AM11" i="37" s="1"/>
  <c r="AS69" i="37"/>
  <c r="AT69" i="37" s="1"/>
  <c r="AU69" i="37" s="1"/>
  <c r="AW69" i="37" s="1"/>
  <c r="E53" i="37"/>
  <c r="F53" i="37" s="1"/>
  <c r="G53" i="37" s="1"/>
  <c r="I53" i="37" s="1"/>
  <c r="O262" i="37"/>
  <c r="P262" i="37" s="1"/>
  <c r="Q262" i="37" s="1"/>
  <c r="S262" i="37" s="1"/>
  <c r="E261" i="37"/>
  <c r="F261" i="37" s="1"/>
  <c r="G261" i="37" s="1"/>
  <c r="I261" i="37" s="1"/>
  <c r="E245" i="37"/>
  <c r="F245" i="37" s="1"/>
  <c r="G245" i="37" s="1"/>
  <c r="I245" i="37" s="1"/>
  <c r="E229" i="37"/>
  <c r="F229" i="37" s="1"/>
  <c r="G229" i="37" s="1"/>
  <c r="I229" i="37" s="1"/>
  <c r="E213" i="37"/>
  <c r="F213" i="37" s="1"/>
  <c r="G213" i="37" s="1"/>
  <c r="I213" i="37" s="1"/>
  <c r="E197" i="37"/>
  <c r="F197" i="37" s="1"/>
  <c r="G197" i="37" s="1"/>
  <c r="I197" i="37" s="1"/>
  <c r="E181" i="37"/>
  <c r="F181" i="37" s="1"/>
  <c r="G181" i="37" s="1"/>
  <c r="I181" i="37" s="1"/>
  <c r="E165" i="37"/>
  <c r="F165" i="37" s="1"/>
  <c r="G165" i="37" s="1"/>
  <c r="I165" i="37" s="1"/>
  <c r="E149" i="37"/>
  <c r="F149" i="37" s="1"/>
  <c r="G149" i="37" s="1"/>
  <c r="I149" i="37" s="1"/>
  <c r="E133" i="37"/>
  <c r="F133" i="37" s="1"/>
  <c r="G133" i="37" s="1"/>
  <c r="I133" i="37" s="1"/>
  <c r="E117" i="37"/>
  <c r="F117" i="37" s="1"/>
  <c r="G117" i="37" s="1"/>
  <c r="I117" i="37" s="1"/>
  <c r="E103" i="37"/>
  <c r="F103" i="37" s="1"/>
  <c r="G103" i="37" s="1"/>
  <c r="I103" i="37" s="1"/>
  <c r="E87" i="37"/>
  <c r="F87" i="37" s="1"/>
  <c r="G87" i="37" s="1"/>
  <c r="I87" i="37" s="1"/>
  <c r="E71" i="37"/>
  <c r="F71" i="37" s="1"/>
  <c r="G71" i="37" s="1"/>
  <c r="I71" i="37" s="1"/>
  <c r="E55" i="37"/>
  <c r="F55" i="37" s="1"/>
  <c r="G55" i="37" s="1"/>
  <c r="I55" i="37" s="1"/>
  <c r="E44" i="37"/>
  <c r="F44" i="37" s="1"/>
  <c r="G44" i="37" s="1"/>
  <c r="I44" i="37" s="1"/>
  <c r="E36" i="37"/>
  <c r="F36" i="37" s="1"/>
  <c r="G36" i="37" s="1"/>
  <c r="I36" i="37" s="1"/>
  <c r="E28" i="37"/>
  <c r="F28" i="37" s="1"/>
  <c r="G28" i="37" s="1"/>
  <c r="I28" i="37" s="1"/>
  <c r="E20" i="37"/>
  <c r="F20" i="37" s="1"/>
  <c r="G20" i="37" s="1"/>
  <c r="I20" i="37" s="1"/>
  <c r="E12" i="37"/>
  <c r="F12" i="37" s="1"/>
  <c r="G12" i="37" s="1"/>
  <c r="I12" i="37" s="1"/>
  <c r="O50" i="37"/>
  <c r="P50" i="37" s="1"/>
  <c r="Q50" i="37" s="1"/>
  <c r="S50" i="37" s="1"/>
  <c r="O34" i="37"/>
  <c r="P34" i="37" s="1"/>
  <c r="Q34" i="37" s="1"/>
  <c r="S34" i="37" s="1"/>
  <c r="O18" i="37"/>
  <c r="P18" i="37" s="1"/>
  <c r="Q18" i="37" s="1"/>
  <c r="S18" i="37" s="1"/>
  <c r="Y265" i="37"/>
  <c r="Z265" i="37" s="1"/>
  <c r="AA265" i="37" s="1"/>
  <c r="AC265" i="37" s="1"/>
  <c r="Y257" i="37"/>
  <c r="Z257" i="37" s="1"/>
  <c r="AA257" i="37" s="1"/>
  <c r="AC257" i="37" s="1"/>
  <c r="Y249" i="37"/>
  <c r="Z249" i="37" s="1"/>
  <c r="AA249" i="37" s="1"/>
  <c r="AC249" i="37" s="1"/>
  <c r="Y241" i="37"/>
  <c r="Z241" i="37" s="1"/>
  <c r="AA241" i="37" s="1"/>
  <c r="AC241" i="37" s="1"/>
  <c r="Y233" i="37"/>
  <c r="Z233" i="37" s="1"/>
  <c r="AA233" i="37" s="1"/>
  <c r="AC233" i="37" s="1"/>
  <c r="Y225" i="37"/>
  <c r="Z225" i="37" s="1"/>
  <c r="AA225" i="37" s="1"/>
  <c r="AC225" i="37" s="1"/>
  <c r="Y217" i="37"/>
  <c r="Z217" i="37" s="1"/>
  <c r="AA217" i="37" s="1"/>
  <c r="AC217" i="37" s="1"/>
  <c r="Y209" i="37"/>
  <c r="Z209" i="37" s="1"/>
  <c r="AA209" i="37" s="1"/>
  <c r="AC209" i="37" s="1"/>
  <c r="Y201" i="37"/>
  <c r="Z201" i="37" s="1"/>
  <c r="AA201" i="37" s="1"/>
  <c r="AC201" i="37" s="1"/>
  <c r="Y193" i="37"/>
  <c r="Z193" i="37" s="1"/>
  <c r="AA193" i="37" s="1"/>
  <c r="AC193" i="37" s="1"/>
  <c r="Y185" i="37"/>
  <c r="Z185" i="37" s="1"/>
  <c r="AA185" i="37" s="1"/>
  <c r="AC185" i="37" s="1"/>
  <c r="Y36" i="37"/>
  <c r="Z36" i="37" s="1"/>
  <c r="AA36" i="37" s="1"/>
  <c r="AC36" i="37" s="1"/>
  <c r="Y12" i="37"/>
  <c r="Z12" i="37" s="1"/>
  <c r="AA12" i="37" s="1"/>
  <c r="AC12" i="37" s="1"/>
  <c r="AI263" i="37"/>
  <c r="AJ263" i="37" s="1"/>
  <c r="AK263" i="37" s="1"/>
  <c r="AM263" i="37" s="1"/>
  <c r="AI255" i="37"/>
  <c r="AJ255" i="37" s="1"/>
  <c r="AK255" i="37" s="1"/>
  <c r="AM255" i="37" s="1"/>
  <c r="AI247" i="37"/>
  <c r="AJ247" i="37" s="1"/>
  <c r="AK247" i="37" s="1"/>
  <c r="AM247" i="37" s="1"/>
  <c r="AI239" i="37"/>
  <c r="AJ239" i="37" s="1"/>
  <c r="AK239" i="37" s="1"/>
  <c r="AM239" i="37" s="1"/>
  <c r="AI231" i="37"/>
  <c r="AJ231" i="37" s="1"/>
  <c r="AK231" i="37" s="1"/>
  <c r="AM231" i="37" s="1"/>
  <c r="AI223" i="37"/>
  <c r="AJ223" i="37" s="1"/>
  <c r="AK223" i="37" s="1"/>
  <c r="AM223" i="37" s="1"/>
  <c r="AI215" i="37"/>
  <c r="AJ215" i="37" s="1"/>
  <c r="AK215" i="37" s="1"/>
  <c r="AM215" i="37" s="1"/>
  <c r="AI207" i="37"/>
  <c r="AJ207" i="37" s="1"/>
  <c r="AK207" i="37" s="1"/>
  <c r="AM207" i="37" s="1"/>
  <c r="AI199" i="37"/>
  <c r="AJ199" i="37" s="1"/>
  <c r="AK199" i="37" s="1"/>
  <c r="AM199" i="37" s="1"/>
  <c r="AI191" i="37"/>
  <c r="AJ191" i="37" s="1"/>
  <c r="AK191" i="37" s="1"/>
  <c r="AM191" i="37" s="1"/>
  <c r="AI51" i="37"/>
  <c r="AJ51" i="37" s="1"/>
  <c r="AK51" i="37" s="1"/>
  <c r="AM51" i="37" s="1"/>
  <c r="AI19" i="37"/>
  <c r="AJ19" i="37" s="1"/>
  <c r="AK19" i="37" s="1"/>
  <c r="AM19" i="37" s="1"/>
  <c r="AS100" i="37"/>
  <c r="AT100" i="37" s="1"/>
  <c r="AU100" i="37" s="1"/>
  <c r="AW100" i="37" s="1"/>
  <c r="O101" i="37"/>
  <c r="P101" i="37" s="1"/>
  <c r="Q101" i="37" s="1"/>
  <c r="S101" i="37" s="1"/>
  <c r="O49" i="37"/>
  <c r="P49" i="37" s="1"/>
  <c r="Q49" i="37" s="1"/>
  <c r="S49" i="37" s="1"/>
  <c r="O41" i="37"/>
  <c r="P41" i="37" s="1"/>
  <c r="Q41" i="37" s="1"/>
  <c r="S41" i="37" s="1"/>
  <c r="O33" i="37"/>
  <c r="P33" i="37" s="1"/>
  <c r="Q33" i="37" s="1"/>
  <c r="S33" i="37" s="1"/>
  <c r="O25" i="37"/>
  <c r="P25" i="37" s="1"/>
  <c r="Q25" i="37" s="1"/>
  <c r="S25" i="37" s="1"/>
  <c r="O17" i="37"/>
  <c r="P17" i="37" s="1"/>
  <c r="Q17" i="37" s="1"/>
  <c r="S17" i="37" s="1"/>
  <c r="O9" i="37"/>
  <c r="P9" i="37" s="1"/>
  <c r="Q9" i="37" s="1"/>
  <c r="S9" i="37" s="1"/>
  <c r="Y260" i="37"/>
  <c r="Z260" i="37" s="1"/>
  <c r="AA260" i="37" s="1"/>
  <c r="AC260" i="37" s="1"/>
  <c r="Y252" i="37"/>
  <c r="Z252" i="37" s="1"/>
  <c r="AA252" i="37" s="1"/>
  <c r="AC252" i="37" s="1"/>
  <c r="Y244" i="37"/>
  <c r="Z244" i="37" s="1"/>
  <c r="AA244" i="37" s="1"/>
  <c r="AC244" i="37" s="1"/>
  <c r="Y236" i="37"/>
  <c r="Z236" i="37" s="1"/>
  <c r="AA236" i="37" s="1"/>
  <c r="AC236" i="37" s="1"/>
  <c r="Y228" i="37"/>
  <c r="Z228" i="37" s="1"/>
  <c r="AA228" i="37" s="1"/>
  <c r="AC228" i="37" s="1"/>
  <c r="Y220" i="37"/>
  <c r="Z220" i="37" s="1"/>
  <c r="AA220" i="37" s="1"/>
  <c r="AC220" i="37" s="1"/>
  <c r="Y212" i="37"/>
  <c r="Z212" i="37" s="1"/>
  <c r="AA212" i="37" s="1"/>
  <c r="AC212" i="37" s="1"/>
  <c r="Y204" i="37"/>
  <c r="Z204" i="37" s="1"/>
  <c r="AA204" i="37" s="1"/>
  <c r="AC204" i="37" s="1"/>
  <c r="Y196" i="37"/>
  <c r="Z196" i="37" s="1"/>
  <c r="AA196" i="37" s="1"/>
  <c r="AC196" i="37" s="1"/>
  <c r="Y188" i="37"/>
  <c r="Z188" i="37" s="1"/>
  <c r="AA188" i="37" s="1"/>
  <c r="AC188" i="37" s="1"/>
  <c r="Y49" i="37"/>
  <c r="Z49" i="37" s="1"/>
  <c r="AA49" i="37" s="1"/>
  <c r="AC49" i="37" s="1"/>
  <c r="Y41" i="37"/>
  <c r="Z41" i="37" s="1"/>
  <c r="AA41" i="37" s="1"/>
  <c r="AC41" i="37" s="1"/>
  <c r="Y33" i="37"/>
  <c r="Z33" i="37" s="1"/>
  <c r="AA33" i="37" s="1"/>
  <c r="AC33" i="37" s="1"/>
  <c r="Y25" i="37"/>
  <c r="Z25" i="37" s="1"/>
  <c r="AA25" i="37" s="1"/>
  <c r="AC25" i="37" s="1"/>
  <c r="Y17" i="37"/>
  <c r="Z17" i="37" s="1"/>
  <c r="AA17" i="37" s="1"/>
  <c r="AC17" i="37" s="1"/>
  <c r="Y9" i="37"/>
  <c r="Z9" i="37" s="1"/>
  <c r="AA9" i="37" s="1"/>
  <c r="AC9" i="37" s="1"/>
  <c r="AI260" i="37"/>
  <c r="AJ260" i="37" s="1"/>
  <c r="AK260" i="37" s="1"/>
  <c r="AM260" i="37" s="1"/>
  <c r="AI252" i="37"/>
  <c r="AJ252" i="37" s="1"/>
  <c r="AK252" i="37" s="1"/>
  <c r="AM252" i="37" s="1"/>
  <c r="AI244" i="37"/>
  <c r="AJ244" i="37" s="1"/>
  <c r="AK244" i="37" s="1"/>
  <c r="AM244" i="37" s="1"/>
  <c r="AI236" i="37"/>
  <c r="AJ236" i="37" s="1"/>
  <c r="AK236" i="37" s="1"/>
  <c r="AM236" i="37" s="1"/>
  <c r="AI228" i="37"/>
  <c r="AJ228" i="37" s="1"/>
  <c r="AK228" i="37" s="1"/>
  <c r="AM228" i="37" s="1"/>
  <c r="AI48" i="37"/>
  <c r="AJ48" i="37" s="1"/>
  <c r="AK48" i="37" s="1"/>
  <c r="AM48" i="37" s="1"/>
  <c r="AI32" i="37"/>
  <c r="AJ32" i="37" s="1"/>
  <c r="AK32" i="37" s="1"/>
  <c r="AM32" i="37" s="1"/>
  <c r="AI16" i="37"/>
  <c r="AJ16" i="37" s="1"/>
  <c r="AK16" i="37" s="1"/>
  <c r="AM16" i="37" s="1"/>
  <c r="AS127" i="37"/>
  <c r="AT127" i="37" s="1"/>
  <c r="AU127" i="37" s="1"/>
  <c r="AW127" i="37" s="1"/>
  <c r="AS85" i="37"/>
  <c r="AT85" i="37" s="1"/>
  <c r="AU85" i="37" s="1"/>
  <c r="AW85" i="37" s="1"/>
  <c r="AS38" i="37"/>
  <c r="AT38" i="37" s="1"/>
  <c r="AU38" i="37" s="1"/>
  <c r="AW38" i="37" s="1"/>
  <c r="AI216" i="37"/>
  <c r="AJ216" i="37" s="1"/>
  <c r="AK216" i="37" s="1"/>
  <c r="AM216" i="37" s="1"/>
  <c r="AI208" i="37"/>
  <c r="AJ208" i="37" s="1"/>
  <c r="AK208" i="37" s="1"/>
  <c r="AM208" i="37" s="1"/>
  <c r="AI200" i="37"/>
  <c r="AJ200" i="37" s="1"/>
  <c r="AK200" i="37" s="1"/>
  <c r="AM200" i="37" s="1"/>
  <c r="AI192" i="37"/>
  <c r="AJ192" i="37" s="1"/>
  <c r="AK192" i="37" s="1"/>
  <c r="AM192" i="37" s="1"/>
  <c r="AI184" i="37"/>
  <c r="AJ184" i="37" s="1"/>
  <c r="AK184" i="37" s="1"/>
  <c r="AM184" i="37" s="1"/>
  <c r="AI45" i="37"/>
  <c r="AJ45" i="37" s="1"/>
  <c r="AK45" i="37" s="1"/>
  <c r="AM45" i="37" s="1"/>
  <c r="AI37" i="37"/>
  <c r="AJ37" i="37" s="1"/>
  <c r="AK37" i="37" s="1"/>
  <c r="AM37" i="37" s="1"/>
  <c r="AI29" i="37"/>
  <c r="AJ29" i="37" s="1"/>
  <c r="AK29" i="37" s="1"/>
  <c r="AM29" i="37" s="1"/>
  <c r="AI21" i="37"/>
  <c r="AJ21" i="37" s="1"/>
  <c r="AK21" i="37" s="1"/>
  <c r="AM21" i="37" s="1"/>
  <c r="AI13" i="37"/>
  <c r="AJ13" i="37" s="1"/>
  <c r="AK13" i="37" s="1"/>
  <c r="AM13" i="37" s="1"/>
  <c r="AS267" i="37"/>
  <c r="AT267" i="37" s="1"/>
  <c r="AU267" i="37" s="1"/>
  <c r="AW267" i="37" s="1"/>
  <c r="AS263" i="37"/>
  <c r="AT263" i="37" s="1"/>
  <c r="AU263" i="37" s="1"/>
  <c r="AW263" i="37" s="1"/>
  <c r="AS259" i="37"/>
  <c r="AT259" i="37" s="1"/>
  <c r="AU259" i="37" s="1"/>
  <c r="AW259" i="37" s="1"/>
  <c r="AS255" i="37"/>
  <c r="AT255" i="37" s="1"/>
  <c r="AU255" i="37" s="1"/>
  <c r="AW255" i="37" s="1"/>
  <c r="AS251" i="37"/>
  <c r="AT251" i="37" s="1"/>
  <c r="AU251" i="37" s="1"/>
  <c r="AW251" i="37" s="1"/>
  <c r="AS247" i="37"/>
  <c r="AT247" i="37" s="1"/>
  <c r="AU247" i="37" s="1"/>
  <c r="AW247" i="37" s="1"/>
  <c r="AS243" i="37"/>
  <c r="AT243" i="37" s="1"/>
  <c r="AU243" i="37" s="1"/>
  <c r="AW243" i="37" s="1"/>
  <c r="AS239" i="37"/>
  <c r="AT239" i="37" s="1"/>
  <c r="AU239" i="37" s="1"/>
  <c r="AW239" i="37" s="1"/>
  <c r="AS235" i="37"/>
  <c r="AT235" i="37" s="1"/>
  <c r="AU235" i="37" s="1"/>
  <c r="AW235" i="37" s="1"/>
  <c r="AS231" i="37"/>
  <c r="AT231" i="37" s="1"/>
  <c r="AU231" i="37" s="1"/>
  <c r="AW231" i="37" s="1"/>
  <c r="AS227" i="37"/>
  <c r="AT227" i="37" s="1"/>
  <c r="AU227" i="37" s="1"/>
  <c r="AW227" i="37" s="1"/>
  <c r="AS223" i="37"/>
  <c r="AT223" i="37" s="1"/>
  <c r="AU223" i="37" s="1"/>
  <c r="AW223" i="37" s="1"/>
  <c r="AS219" i="37"/>
  <c r="AT219" i="37" s="1"/>
  <c r="AU219" i="37" s="1"/>
  <c r="AW219" i="37" s="1"/>
  <c r="AS215" i="37"/>
  <c r="AT215" i="37" s="1"/>
  <c r="AU215" i="37" s="1"/>
  <c r="AW215" i="37" s="1"/>
  <c r="AS211" i="37"/>
  <c r="AT211" i="37" s="1"/>
  <c r="AU211" i="37" s="1"/>
  <c r="AW211" i="37" s="1"/>
  <c r="AS207" i="37"/>
  <c r="AT207" i="37" s="1"/>
  <c r="AU207" i="37" s="1"/>
  <c r="AW207" i="37" s="1"/>
  <c r="AS203" i="37"/>
  <c r="AT203" i="37" s="1"/>
  <c r="AU203" i="37" s="1"/>
  <c r="AW203" i="37" s="1"/>
  <c r="AS199" i="37"/>
  <c r="AT199" i="37" s="1"/>
  <c r="AU199" i="37" s="1"/>
  <c r="AW199" i="37" s="1"/>
  <c r="AS195" i="37"/>
  <c r="AT195" i="37" s="1"/>
  <c r="AU195" i="37" s="1"/>
  <c r="AW195" i="37" s="1"/>
  <c r="AS191" i="37"/>
  <c r="AT191" i="37" s="1"/>
  <c r="AU191" i="37" s="1"/>
  <c r="AW191" i="37" s="1"/>
  <c r="AS146" i="37"/>
  <c r="AT146" i="37" s="1"/>
  <c r="AU146" i="37" s="1"/>
  <c r="AW146" i="37" s="1"/>
  <c r="AS130" i="37"/>
  <c r="AT130" i="37" s="1"/>
  <c r="AU130" i="37" s="1"/>
  <c r="AW130" i="37" s="1"/>
  <c r="AS114" i="37"/>
  <c r="AT114" i="37" s="1"/>
  <c r="AU114" i="37" s="1"/>
  <c r="AW114" i="37" s="1"/>
  <c r="AS92" i="37"/>
  <c r="AT92" i="37" s="1"/>
  <c r="AU92" i="37" s="1"/>
  <c r="AW92" i="37" s="1"/>
  <c r="AS61" i="37"/>
  <c r="AT61" i="37" s="1"/>
  <c r="AU61" i="37" s="1"/>
  <c r="AW61" i="37" s="1"/>
  <c r="AS26" i="37"/>
  <c r="AT26" i="37" s="1"/>
  <c r="AU26" i="37" s="1"/>
  <c r="AW26" i="37" s="1"/>
  <c r="AS187" i="37"/>
  <c r="AT187" i="37" s="1"/>
  <c r="AU187" i="37" s="1"/>
  <c r="AW187" i="37" s="1"/>
  <c r="AS183" i="37"/>
  <c r="AT183" i="37" s="1"/>
  <c r="AU183" i="37" s="1"/>
  <c r="AW183" i="37" s="1"/>
  <c r="AS179" i="37"/>
  <c r="AT179" i="37" s="1"/>
  <c r="AU179" i="37" s="1"/>
  <c r="AW179" i="37" s="1"/>
  <c r="AS145" i="37"/>
  <c r="AT145" i="37" s="1"/>
  <c r="AU145" i="37" s="1"/>
  <c r="AW145" i="37" s="1"/>
  <c r="AS137" i="37"/>
  <c r="AT137" i="37" s="1"/>
  <c r="AU137" i="37" s="1"/>
  <c r="AW137" i="37" s="1"/>
  <c r="AS129" i="37"/>
  <c r="AT129" i="37" s="1"/>
  <c r="AU129" i="37" s="1"/>
  <c r="AW129" i="37" s="1"/>
  <c r="AS121" i="37"/>
  <c r="AT121" i="37" s="1"/>
  <c r="AU121" i="37" s="1"/>
  <c r="AW121" i="37" s="1"/>
  <c r="AS113" i="37"/>
  <c r="AT113" i="37" s="1"/>
  <c r="AU113" i="37" s="1"/>
  <c r="AW113" i="37" s="1"/>
  <c r="AS105" i="37"/>
  <c r="AT105" i="37" s="1"/>
  <c r="AU105" i="37" s="1"/>
  <c r="AW105" i="37" s="1"/>
  <c r="AS89" i="37"/>
  <c r="AT89" i="37" s="1"/>
  <c r="AU89" i="37" s="1"/>
  <c r="AW89" i="37" s="1"/>
  <c r="AS73" i="37"/>
  <c r="AT73" i="37" s="1"/>
  <c r="AU73" i="37" s="1"/>
  <c r="AW73" i="37" s="1"/>
  <c r="AS57" i="37"/>
  <c r="AT57" i="37" s="1"/>
  <c r="AU57" i="37" s="1"/>
  <c r="AW57" i="37" s="1"/>
  <c r="AS36" i="37"/>
  <c r="AT36" i="37" s="1"/>
  <c r="AU36" i="37" s="1"/>
  <c r="AW36" i="37" s="1"/>
  <c r="AS20" i="37"/>
  <c r="AT20" i="37" s="1"/>
  <c r="AU20" i="37" s="1"/>
  <c r="AW20" i="37" s="1"/>
  <c r="AS102" i="37"/>
  <c r="AT102" i="37" s="1"/>
  <c r="AU102" i="37" s="1"/>
  <c r="AW102" i="37" s="1"/>
  <c r="AS94" i="37"/>
  <c r="AT94" i="37" s="1"/>
  <c r="AU94" i="37" s="1"/>
  <c r="AW94" i="37" s="1"/>
  <c r="AS24" i="37"/>
  <c r="AT24" i="37" s="1"/>
  <c r="AU24" i="37" s="1"/>
  <c r="AW24" i="37" s="1"/>
  <c r="AS95" i="37"/>
  <c r="AT95" i="37" s="1"/>
  <c r="AU95" i="37" s="1"/>
  <c r="AW95" i="37" s="1"/>
  <c r="AS86" i="37"/>
  <c r="AT86" i="37" s="1"/>
  <c r="AU86" i="37" s="1"/>
  <c r="AW86" i="37" s="1"/>
  <c r="AS78" i="37"/>
  <c r="AT78" i="37" s="1"/>
  <c r="AU78" i="37" s="1"/>
  <c r="AW78" i="37" s="1"/>
  <c r="AS71" i="37"/>
  <c r="AT71" i="37" s="1"/>
  <c r="AU71" i="37" s="1"/>
  <c r="AW71" i="37" s="1"/>
  <c r="AS63" i="37"/>
  <c r="AT63" i="37" s="1"/>
  <c r="AU63" i="37" s="1"/>
  <c r="AW63" i="37" s="1"/>
  <c r="AS55" i="37"/>
  <c r="AT55" i="37" s="1"/>
  <c r="AU55" i="37" s="1"/>
  <c r="AW55" i="37" s="1"/>
  <c r="AS47" i="37"/>
  <c r="AT47" i="37" s="1"/>
  <c r="AU47" i="37" s="1"/>
  <c r="AW47" i="37" s="1"/>
  <c r="AS39" i="37"/>
  <c r="AT39" i="37" s="1"/>
  <c r="AU39" i="37" s="1"/>
  <c r="AW39" i="37" s="1"/>
  <c r="AS31" i="37"/>
  <c r="AT31" i="37" s="1"/>
  <c r="AU31" i="37" s="1"/>
  <c r="AW31" i="37" s="1"/>
  <c r="AS23" i="37"/>
  <c r="AT23" i="37" s="1"/>
  <c r="AU23" i="37" s="1"/>
  <c r="AW23" i="37" s="1"/>
  <c r="AS15" i="37"/>
  <c r="AT15" i="37" s="1"/>
  <c r="AU15" i="37" s="1"/>
  <c r="AW15" i="37" s="1"/>
  <c r="AS32" i="37"/>
  <c r="AT32" i="37" s="1"/>
  <c r="AU32" i="37" s="1"/>
  <c r="AW32" i="37" s="1"/>
  <c r="AS99" i="37"/>
  <c r="AT99" i="37" s="1"/>
  <c r="AU99" i="37" s="1"/>
  <c r="AW99" i="37" s="1"/>
  <c r="AS87" i="37"/>
  <c r="AT87" i="37" s="1"/>
  <c r="AU87" i="37" s="1"/>
  <c r="AW87" i="37" s="1"/>
  <c r="AS79" i="37"/>
  <c r="AT79" i="37" s="1"/>
  <c r="AU79" i="37" s="1"/>
  <c r="AW79" i="37" s="1"/>
  <c r="AS72" i="37"/>
  <c r="AT72" i="37" s="1"/>
  <c r="AU72" i="37" s="1"/>
  <c r="AW72" i="37" s="1"/>
  <c r="AS64" i="37"/>
  <c r="AT64" i="37" s="1"/>
  <c r="AU64" i="37" s="1"/>
  <c r="AW64" i="37" s="1"/>
  <c r="AS56" i="37"/>
  <c r="AT56" i="37" s="1"/>
  <c r="AU56" i="37" s="1"/>
  <c r="AW56" i="37" s="1"/>
  <c r="AS49" i="37"/>
  <c r="AT49" i="37" s="1"/>
  <c r="AU49" i="37" s="1"/>
  <c r="AW49" i="37" s="1"/>
  <c r="AS41" i="37"/>
  <c r="AT41" i="37" s="1"/>
  <c r="AU41" i="37" s="1"/>
  <c r="AW41" i="37" s="1"/>
  <c r="AS33" i="37"/>
  <c r="AT33" i="37" s="1"/>
  <c r="AU33" i="37" s="1"/>
  <c r="AW33" i="37" s="1"/>
  <c r="AS25" i="37"/>
  <c r="AT25" i="37" s="1"/>
  <c r="AU25" i="37" s="1"/>
  <c r="AW25" i="37" s="1"/>
  <c r="AS17" i="37"/>
  <c r="AT17" i="37" s="1"/>
  <c r="AU17" i="37" s="1"/>
  <c r="AW17" i="37" s="1"/>
  <c r="AS9" i="37"/>
  <c r="AT9" i="37" s="1"/>
  <c r="AU9" i="37" s="1"/>
  <c r="AW9" i="37" s="1"/>
  <c r="O82" i="37"/>
  <c r="P82" i="37" s="1"/>
  <c r="Q82" i="37" s="1"/>
  <c r="S82" i="37" s="1"/>
  <c r="O85" i="37"/>
  <c r="P85" i="37" s="1"/>
  <c r="Q85" i="37" s="1"/>
  <c r="S85" i="37" s="1"/>
  <c r="O109" i="37"/>
  <c r="P109" i="37" s="1"/>
  <c r="Q109" i="37" s="1"/>
  <c r="S109" i="37" s="1"/>
  <c r="O125" i="37"/>
  <c r="P125" i="37" s="1"/>
  <c r="Q125" i="37" s="1"/>
  <c r="S125" i="37" s="1"/>
  <c r="O141" i="37"/>
  <c r="P141" i="37" s="1"/>
  <c r="Q141" i="37" s="1"/>
  <c r="S141" i="37" s="1"/>
  <c r="O157" i="37"/>
  <c r="P157" i="37" s="1"/>
  <c r="Q157" i="37" s="1"/>
  <c r="S157" i="37" s="1"/>
  <c r="O173" i="37"/>
  <c r="P173" i="37" s="1"/>
  <c r="Q173" i="37" s="1"/>
  <c r="S173" i="37" s="1"/>
  <c r="O189" i="37"/>
  <c r="P189" i="37" s="1"/>
  <c r="Q189" i="37" s="1"/>
  <c r="S189" i="37" s="1"/>
  <c r="O205" i="37"/>
  <c r="P205" i="37" s="1"/>
  <c r="Q205" i="37" s="1"/>
  <c r="S205" i="37" s="1"/>
  <c r="O114" i="37"/>
  <c r="P114" i="37" s="1"/>
  <c r="Q114" i="37" s="1"/>
  <c r="S114" i="37" s="1"/>
  <c r="O130" i="37"/>
  <c r="P130" i="37" s="1"/>
  <c r="Q130" i="37" s="1"/>
  <c r="S130" i="37" s="1"/>
  <c r="O146" i="37"/>
  <c r="P146" i="37" s="1"/>
  <c r="Q146" i="37" s="1"/>
  <c r="S146" i="37" s="1"/>
  <c r="O162" i="37"/>
  <c r="P162" i="37" s="1"/>
  <c r="Q162" i="37" s="1"/>
  <c r="S162" i="37" s="1"/>
  <c r="O178" i="37"/>
  <c r="P178" i="37" s="1"/>
  <c r="Q178" i="37" s="1"/>
  <c r="S178" i="37" s="1"/>
  <c r="O194" i="37"/>
  <c r="P194" i="37" s="1"/>
  <c r="Q194" i="37" s="1"/>
  <c r="S194" i="37" s="1"/>
  <c r="Y53" i="37"/>
  <c r="Z53" i="37" s="1"/>
  <c r="AA53" i="37" s="1"/>
  <c r="AC53" i="37" s="1"/>
  <c r="Y69" i="37"/>
  <c r="Z69" i="37" s="1"/>
  <c r="AA69" i="37" s="1"/>
  <c r="AC69" i="37" s="1"/>
  <c r="Y85" i="37"/>
  <c r="Z85" i="37" s="1"/>
  <c r="AA85" i="37" s="1"/>
  <c r="AC85" i="37" s="1"/>
  <c r="Y101" i="37"/>
  <c r="Z101" i="37" s="1"/>
  <c r="AA101" i="37" s="1"/>
  <c r="AC101" i="37" s="1"/>
  <c r="Y117" i="37"/>
  <c r="Z117" i="37" s="1"/>
  <c r="AA117" i="37" s="1"/>
  <c r="AC117" i="37" s="1"/>
  <c r="Y133" i="37"/>
  <c r="Z133" i="37" s="1"/>
  <c r="AA133" i="37" s="1"/>
  <c r="AC133" i="37" s="1"/>
  <c r="Y145" i="37"/>
  <c r="Z145" i="37" s="1"/>
  <c r="AA145" i="37" s="1"/>
  <c r="AC145" i="37" s="1"/>
  <c r="Y159" i="37"/>
  <c r="Z159" i="37" s="1"/>
  <c r="AA159" i="37" s="1"/>
  <c r="AC159" i="37" s="1"/>
  <c r="Y175" i="37"/>
  <c r="Z175" i="37" s="1"/>
  <c r="AA175" i="37" s="1"/>
  <c r="AC175" i="37" s="1"/>
  <c r="Y58" i="37"/>
  <c r="Z58" i="37" s="1"/>
  <c r="AA58" i="37" s="1"/>
  <c r="AC58" i="37" s="1"/>
  <c r="Y74" i="37"/>
  <c r="Z74" i="37" s="1"/>
  <c r="AA74" i="37" s="1"/>
  <c r="AC74" i="37" s="1"/>
  <c r="Y90" i="37"/>
  <c r="Z90" i="37" s="1"/>
  <c r="AA90" i="37" s="1"/>
  <c r="AC90" i="37" s="1"/>
  <c r="Y106" i="37"/>
  <c r="Z106" i="37" s="1"/>
  <c r="AA106" i="37" s="1"/>
  <c r="AC106" i="37" s="1"/>
  <c r="Y122" i="37"/>
  <c r="Z122" i="37" s="1"/>
  <c r="AA122" i="37" s="1"/>
  <c r="AC122" i="37" s="1"/>
  <c r="Y138" i="37"/>
  <c r="Z138" i="37" s="1"/>
  <c r="AA138" i="37" s="1"/>
  <c r="AC138" i="37" s="1"/>
  <c r="Y154" i="37"/>
  <c r="Z154" i="37" s="1"/>
  <c r="AA154" i="37" s="1"/>
  <c r="AC154" i="37" s="1"/>
  <c r="Y170" i="37"/>
  <c r="Z170" i="37" s="1"/>
  <c r="AA170" i="37" s="1"/>
  <c r="AC170" i="37" s="1"/>
  <c r="AI53" i="37"/>
  <c r="AJ53" i="37" s="1"/>
  <c r="AK53" i="37" s="1"/>
  <c r="AM53" i="37" s="1"/>
  <c r="AI69" i="37"/>
  <c r="AJ69" i="37" s="1"/>
  <c r="AK69" i="37" s="1"/>
  <c r="AM69" i="37" s="1"/>
  <c r="AI79" i="37"/>
  <c r="AJ79" i="37" s="1"/>
  <c r="AK79" i="37" s="1"/>
  <c r="AM79" i="37" s="1"/>
  <c r="AI87" i="37"/>
  <c r="AJ87" i="37" s="1"/>
  <c r="AK87" i="37" s="1"/>
  <c r="AM87" i="37" s="1"/>
  <c r="AI95" i="37"/>
  <c r="AJ95" i="37" s="1"/>
  <c r="AK95" i="37" s="1"/>
  <c r="AM95" i="37" s="1"/>
  <c r="AI103" i="37"/>
  <c r="AJ103" i="37" s="1"/>
  <c r="AK103" i="37" s="1"/>
  <c r="AM103" i="37" s="1"/>
  <c r="AI111" i="37"/>
  <c r="AJ111" i="37" s="1"/>
  <c r="AK111" i="37" s="1"/>
  <c r="AM111" i="37" s="1"/>
  <c r="AI119" i="37"/>
  <c r="AJ119" i="37" s="1"/>
  <c r="AK119" i="37" s="1"/>
  <c r="AM119" i="37" s="1"/>
  <c r="AI127" i="37"/>
  <c r="AJ127" i="37" s="1"/>
  <c r="AK127" i="37" s="1"/>
  <c r="AM127" i="37" s="1"/>
  <c r="AI135" i="37"/>
  <c r="AJ135" i="37" s="1"/>
  <c r="AK135" i="37" s="1"/>
  <c r="AM135" i="37" s="1"/>
  <c r="AI143" i="37"/>
  <c r="AJ143" i="37" s="1"/>
  <c r="AK143" i="37" s="1"/>
  <c r="AM143" i="37" s="1"/>
  <c r="AI155" i="37"/>
  <c r="AJ155" i="37" s="1"/>
  <c r="AK155" i="37" s="1"/>
  <c r="AM155" i="37" s="1"/>
  <c r="AI171" i="37"/>
  <c r="AJ171" i="37" s="1"/>
  <c r="AK171" i="37" s="1"/>
  <c r="AM171" i="37" s="1"/>
  <c r="AI54" i="37"/>
  <c r="AJ54" i="37" s="1"/>
  <c r="AK54" i="37" s="1"/>
  <c r="AM54" i="37" s="1"/>
  <c r="AI70" i="37"/>
  <c r="AJ70" i="37" s="1"/>
  <c r="AK70" i="37" s="1"/>
  <c r="AM70" i="37" s="1"/>
  <c r="AI86" i="37"/>
  <c r="AJ86" i="37" s="1"/>
  <c r="AK86" i="37" s="1"/>
  <c r="AM86" i="37" s="1"/>
  <c r="AI102" i="37"/>
  <c r="AJ102" i="37" s="1"/>
  <c r="AK102" i="37" s="1"/>
  <c r="AM102" i="37" s="1"/>
  <c r="AI118" i="37"/>
  <c r="AJ118" i="37" s="1"/>
  <c r="AK118" i="37" s="1"/>
  <c r="AM118" i="37" s="1"/>
  <c r="AI134" i="37"/>
  <c r="AJ134" i="37" s="1"/>
  <c r="AK134" i="37" s="1"/>
  <c r="AM134" i="37" s="1"/>
  <c r="AI150" i="37"/>
  <c r="AJ150" i="37" s="1"/>
  <c r="AK150" i="37" s="1"/>
  <c r="AM150" i="37" s="1"/>
  <c r="AI166" i="37"/>
  <c r="AJ166" i="37" s="1"/>
  <c r="AK166" i="37" s="1"/>
  <c r="AM166" i="37" s="1"/>
  <c r="AI182" i="37"/>
  <c r="AJ182" i="37" s="1"/>
  <c r="AK182" i="37" s="1"/>
  <c r="AM182" i="37" s="1"/>
  <c r="AS160" i="37"/>
  <c r="AT160" i="37" s="1"/>
  <c r="AU160" i="37" s="1"/>
  <c r="AW160" i="37" s="1"/>
  <c r="AS149" i="37"/>
  <c r="AT149" i="37" s="1"/>
  <c r="AU149" i="37" s="1"/>
  <c r="AW149" i="37" s="1"/>
  <c r="AS157" i="37"/>
  <c r="AT157" i="37" s="1"/>
  <c r="AU157" i="37" s="1"/>
  <c r="AW157" i="37" s="1"/>
  <c r="O62" i="37"/>
  <c r="P62" i="37" s="1"/>
  <c r="Q62" i="37" s="1"/>
  <c r="S62" i="37" s="1"/>
  <c r="O86" i="37"/>
  <c r="P86" i="37" s="1"/>
  <c r="Q86" i="37" s="1"/>
  <c r="S86" i="37" s="1"/>
  <c r="O73" i="37"/>
  <c r="P73" i="37" s="1"/>
  <c r="Q73" i="37" s="1"/>
  <c r="S73" i="37" s="1"/>
  <c r="O56" i="37"/>
  <c r="P56" i="37" s="1"/>
  <c r="Q56" i="37" s="1"/>
  <c r="S56" i="37" s="1"/>
  <c r="O72" i="37"/>
  <c r="P72" i="37" s="1"/>
  <c r="Q72" i="37" s="1"/>
  <c r="S72" i="37" s="1"/>
  <c r="O88" i="37"/>
  <c r="P88" i="37" s="1"/>
  <c r="Q88" i="37" s="1"/>
  <c r="S88" i="37" s="1"/>
  <c r="O63" i="37"/>
  <c r="P63" i="37" s="1"/>
  <c r="Q63" i="37" s="1"/>
  <c r="S63" i="37" s="1"/>
  <c r="O79" i="37"/>
  <c r="P79" i="37" s="1"/>
  <c r="Q79" i="37" s="1"/>
  <c r="S79" i="37" s="1"/>
  <c r="O103" i="37"/>
  <c r="P103" i="37" s="1"/>
  <c r="Q103" i="37" s="1"/>
  <c r="S103" i="37" s="1"/>
  <c r="O119" i="37"/>
  <c r="P119" i="37" s="1"/>
  <c r="Q119" i="37" s="1"/>
  <c r="S119" i="37" s="1"/>
  <c r="O135" i="37"/>
  <c r="P135" i="37" s="1"/>
  <c r="Q135" i="37" s="1"/>
  <c r="S135" i="37" s="1"/>
  <c r="O151" i="37"/>
  <c r="P151" i="37" s="1"/>
  <c r="Q151" i="37" s="1"/>
  <c r="S151" i="37" s="1"/>
  <c r="O167" i="37"/>
  <c r="P167" i="37" s="1"/>
  <c r="Q167" i="37" s="1"/>
  <c r="S167" i="37" s="1"/>
  <c r="O183" i="37"/>
  <c r="P183" i="37" s="1"/>
  <c r="Q183" i="37" s="1"/>
  <c r="S183" i="37" s="1"/>
  <c r="O199" i="37"/>
  <c r="P199" i="37" s="1"/>
  <c r="Q199" i="37" s="1"/>
  <c r="S199" i="37" s="1"/>
  <c r="O108" i="37"/>
  <c r="P108" i="37" s="1"/>
  <c r="Q108" i="37" s="1"/>
  <c r="S108" i="37" s="1"/>
  <c r="O124" i="37"/>
  <c r="P124" i="37" s="1"/>
  <c r="Q124" i="37" s="1"/>
  <c r="S124" i="37" s="1"/>
  <c r="O140" i="37"/>
  <c r="P140" i="37" s="1"/>
  <c r="Q140" i="37" s="1"/>
  <c r="S140" i="37" s="1"/>
  <c r="O156" i="37"/>
  <c r="P156" i="37" s="1"/>
  <c r="Q156" i="37" s="1"/>
  <c r="S156" i="37" s="1"/>
  <c r="O172" i="37"/>
  <c r="P172" i="37" s="1"/>
  <c r="Q172" i="37" s="1"/>
  <c r="S172" i="37" s="1"/>
  <c r="O188" i="37"/>
  <c r="P188" i="37" s="1"/>
  <c r="Q188" i="37" s="1"/>
  <c r="S188" i="37" s="1"/>
  <c r="O204" i="37"/>
  <c r="P204" i="37" s="1"/>
  <c r="Q204" i="37" s="1"/>
  <c r="S204" i="37" s="1"/>
  <c r="Y59" i="37"/>
  <c r="Z59" i="37" s="1"/>
  <c r="AA59" i="37" s="1"/>
  <c r="AC59" i="37" s="1"/>
  <c r="Y75" i="37"/>
  <c r="Z75" i="37" s="1"/>
  <c r="AA75" i="37" s="1"/>
  <c r="AC75" i="37" s="1"/>
  <c r="Y91" i="37"/>
  <c r="Z91" i="37" s="1"/>
  <c r="AA91" i="37" s="1"/>
  <c r="AC91" i="37" s="1"/>
  <c r="Y107" i="37"/>
  <c r="Z107" i="37" s="1"/>
  <c r="AA107" i="37" s="1"/>
  <c r="AC107" i="37" s="1"/>
  <c r="Y123" i="37"/>
  <c r="Z123" i="37" s="1"/>
  <c r="AA123" i="37" s="1"/>
  <c r="AC123" i="37" s="1"/>
  <c r="Y139" i="37"/>
  <c r="Z139" i="37" s="1"/>
  <c r="AA139" i="37" s="1"/>
  <c r="AC139" i="37" s="1"/>
  <c r="Y161" i="37"/>
  <c r="Z161" i="37" s="1"/>
  <c r="AA161" i="37" s="1"/>
  <c r="AC161" i="37" s="1"/>
  <c r="Y177" i="37"/>
  <c r="Z177" i="37" s="1"/>
  <c r="AA177" i="37" s="1"/>
  <c r="AC177" i="37" s="1"/>
  <c r="Y60" i="37"/>
  <c r="Z60" i="37" s="1"/>
  <c r="AA60" i="37" s="1"/>
  <c r="AC60" i="37" s="1"/>
  <c r="Y76" i="37"/>
  <c r="Z76" i="37" s="1"/>
  <c r="AA76" i="37" s="1"/>
  <c r="AC76" i="37" s="1"/>
  <c r="Y92" i="37"/>
  <c r="Z92" i="37" s="1"/>
  <c r="AA92" i="37" s="1"/>
  <c r="AC92" i="37" s="1"/>
  <c r="Y108" i="37"/>
  <c r="Z108" i="37" s="1"/>
  <c r="AA108" i="37" s="1"/>
  <c r="AC108" i="37" s="1"/>
  <c r="Y124" i="37"/>
  <c r="Z124" i="37" s="1"/>
  <c r="AA124" i="37" s="1"/>
  <c r="AC124" i="37" s="1"/>
  <c r="Y140" i="37"/>
  <c r="Z140" i="37" s="1"/>
  <c r="AA140" i="37" s="1"/>
  <c r="AC140" i="37" s="1"/>
  <c r="Y156" i="37"/>
  <c r="Z156" i="37" s="1"/>
  <c r="AA156" i="37" s="1"/>
  <c r="AC156" i="37" s="1"/>
  <c r="Y172" i="37"/>
  <c r="Z172" i="37" s="1"/>
  <c r="AA172" i="37" s="1"/>
  <c r="AC172" i="37" s="1"/>
  <c r="AI55" i="37"/>
  <c r="AJ55" i="37" s="1"/>
  <c r="AK55" i="37" s="1"/>
  <c r="AM55" i="37" s="1"/>
  <c r="AI71" i="37"/>
  <c r="AJ71" i="37" s="1"/>
  <c r="AK71" i="37" s="1"/>
  <c r="AM71" i="37" s="1"/>
  <c r="AI161" i="37"/>
  <c r="AJ161" i="37" s="1"/>
  <c r="AK161" i="37" s="1"/>
  <c r="AM161" i="37" s="1"/>
  <c r="AI177" i="37"/>
  <c r="AJ177" i="37" s="1"/>
  <c r="AK177" i="37" s="1"/>
  <c r="AM177" i="37" s="1"/>
  <c r="AI60" i="37"/>
  <c r="AJ60" i="37" s="1"/>
  <c r="AK60" i="37" s="1"/>
  <c r="AM60" i="37" s="1"/>
  <c r="AI76" i="37"/>
  <c r="AJ76" i="37" s="1"/>
  <c r="AK76" i="37" s="1"/>
  <c r="AM76" i="37" s="1"/>
  <c r="AI92" i="37"/>
  <c r="AJ92" i="37" s="1"/>
  <c r="AK92" i="37" s="1"/>
  <c r="AM92" i="37" s="1"/>
  <c r="AI108" i="37"/>
  <c r="AJ108" i="37" s="1"/>
  <c r="AK108" i="37" s="1"/>
  <c r="AM108" i="37" s="1"/>
  <c r="AI124" i="37"/>
  <c r="AJ124" i="37" s="1"/>
  <c r="AK124" i="37" s="1"/>
  <c r="AM124" i="37" s="1"/>
  <c r="AI140" i="37"/>
  <c r="AJ140" i="37" s="1"/>
  <c r="AK140" i="37" s="1"/>
  <c r="AM140" i="37" s="1"/>
  <c r="AI156" i="37"/>
  <c r="AJ156" i="37" s="1"/>
  <c r="AK156" i="37" s="1"/>
  <c r="AM156" i="37" s="1"/>
  <c r="AI172" i="37"/>
  <c r="AJ172" i="37" s="1"/>
  <c r="AK172" i="37" s="1"/>
  <c r="AM172" i="37" s="1"/>
  <c r="AS150" i="37"/>
  <c r="AT150" i="37" s="1"/>
  <c r="AU150" i="37" s="1"/>
  <c r="AW150" i="37" s="1"/>
  <c r="AS166" i="37"/>
  <c r="AT166" i="37" s="1"/>
  <c r="AU166" i="37" s="1"/>
  <c r="AW166" i="37" s="1"/>
  <c r="AS159" i="37"/>
  <c r="AT159" i="37" s="1"/>
  <c r="AU159" i="37" s="1"/>
  <c r="AW159" i="37" s="1"/>
  <c r="AS167" i="37"/>
  <c r="AT167" i="37" s="1"/>
  <c r="AU167" i="37" s="1"/>
  <c r="AW167" i="37" s="1"/>
  <c r="O90" i="37"/>
  <c r="P90" i="37" s="1"/>
  <c r="Q90" i="37" s="1"/>
  <c r="S90" i="37" s="1"/>
  <c r="O89" i="37"/>
  <c r="P89" i="37" s="1"/>
  <c r="Q89" i="37" s="1"/>
  <c r="S89" i="37" s="1"/>
  <c r="O113" i="37"/>
  <c r="P113" i="37" s="1"/>
  <c r="Q113" i="37" s="1"/>
  <c r="S113" i="37" s="1"/>
  <c r="O129" i="37"/>
  <c r="P129" i="37" s="1"/>
  <c r="Q129" i="37" s="1"/>
  <c r="S129" i="37" s="1"/>
  <c r="O145" i="37"/>
  <c r="P145" i="37" s="1"/>
  <c r="Q145" i="37" s="1"/>
  <c r="S145" i="37" s="1"/>
  <c r="O161" i="37"/>
  <c r="P161" i="37" s="1"/>
  <c r="Q161" i="37" s="1"/>
  <c r="S161" i="37" s="1"/>
  <c r="O177" i="37"/>
  <c r="P177" i="37" s="1"/>
  <c r="Q177" i="37" s="1"/>
  <c r="S177" i="37" s="1"/>
  <c r="O193" i="37"/>
  <c r="P193" i="37" s="1"/>
  <c r="Q193" i="37" s="1"/>
  <c r="S193" i="37" s="1"/>
  <c r="O102" i="37"/>
  <c r="P102" i="37" s="1"/>
  <c r="Q102" i="37" s="1"/>
  <c r="S102" i="37" s="1"/>
  <c r="O118" i="37"/>
  <c r="P118" i="37" s="1"/>
  <c r="Q118" i="37" s="1"/>
  <c r="S118" i="37" s="1"/>
  <c r="O134" i="37"/>
  <c r="P134" i="37" s="1"/>
  <c r="Q134" i="37" s="1"/>
  <c r="S134" i="37" s="1"/>
  <c r="O150" i="37"/>
  <c r="P150" i="37" s="1"/>
  <c r="Q150" i="37" s="1"/>
  <c r="S150" i="37" s="1"/>
  <c r="O166" i="37"/>
  <c r="P166" i="37" s="1"/>
  <c r="Q166" i="37" s="1"/>
  <c r="S166" i="37" s="1"/>
  <c r="O182" i="37"/>
  <c r="P182" i="37" s="1"/>
  <c r="Q182" i="37" s="1"/>
  <c r="S182" i="37" s="1"/>
  <c r="O198" i="37"/>
  <c r="P198" i="37" s="1"/>
  <c r="Q198" i="37" s="1"/>
  <c r="S198" i="37" s="1"/>
  <c r="Y57" i="37"/>
  <c r="Z57" i="37" s="1"/>
  <c r="AA57" i="37" s="1"/>
  <c r="AC57" i="37" s="1"/>
  <c r="Y73" i="37"/>
  <c r="Z73" i="37" s="1"/>
  <c r="AA73" i="37" s="1"/>
  <c r="AC73" i="37" s="1"/>
  <c r="Y89" i="37"/>
  <c r="Z89" i="37" s="1"/>
  <c r="AA89" i="37" s="1"/>
  <c r="AC89" i="37" s="1"/>
  <c r="Y105" i="37"/>
  <c r="Z105" i="37" s="1"/>
  <c r="AA105" i="37" s="1"/>
  <c r="AC105" i="37" s="1"/>
  <c r="Y121" i="37"/>
  <c r="Z121" i="37" s="1"/>
  <c r="AA121" i="37" s="1"/>
  <c r="AC121" i="37" s="1"/>
  <c r="Y137" i="37"/>
  <c r="Z137" i="37" s="1"/>
  <c r="AA137" i="37" s="1"/>
  <c r="AC137" i="37" s="1"/>
  <c r="Y147" i="37"/>
  <c r="Z147" i="37" s="1"/>
  <c r="AA147" i="37" s="1"/>
  <c r="AC147" i="37" s="1"/>
  <c r="Y163" i="37"/>
  <c r="Z163" i="37" s="1"/>
  <c r="AA163" i="37" s="1"/>
  <c r="AC163" i="37" s="1"/>
  <c r="Y179" i="37"/>
  <c r="Z179" i="37" s="1"/>
  <c r="AA179" i="37" s="1"/>
  <c r="AC179" i="37" s="1"/>
  <c r="Y62" i="37"/>
  <c r="Z62" i="37" s="1"/>
  <c r="AA62" i="37" s="1"/>
  <c r="AC62" i="37" s="1"/>
  <c r="Y78" i="37"/>
  <c r="Z78" i="37" s="1"/>
  <c r="AA78" i="37" s="1"/>
  <c r="AC78" i="37" s="1"/>
  <c r="Y94" i="37"/>
  <c r="Z94" i="37" s="1"/>
  <c r="AA94" i="37" s="1"/>
  <c r="AC94" i="37" s="1"/>
  <c r="Y110" i="37"/>
  <c r="Z110" i="37" s="1"/>
  <c r="AA110" i="37" s="1"/>
  <c r="AC110" i="37" s="1"/>
  <c r="Y126" i="37"/>
  <c r="Z126" i="37" s="1"/>
  <c r="AA126" i="37" s="1"/>
  <c r="AC126" i="37" s="1"/>
  <c r="Y142" i="37"/>
  <c r="Z142" i="37" s="1"/>
  <c r="AA142" i="37" s="1"/>
  <c r="AC142" i="37" s="1"/>
  <c r="Y158" i="37"/>
  <c r="Z158" i="37" s="1"/>
  <c r="AA158" i="37" s="1"/>
  <c r="AC158" i="37" s="1"/>
  <c r="Y174" i="37"/>
  <c r="Z174" i="37" s="1"/>
  <c r="AA174" i="37" s="1"/>
  <c r="AC174" i="37" s="1"/>
  <c r="AI57" i="37"/>
  <c r="AJ57" i="37" s="1"/>
  <c r="AK57" i="37" s="1"/>
  <c r="AM57" i="37" s="1"/>
  <c r="AI73" i="37"/>
  <c r="AJ73" i="37" s="1"/>
  <c r="AK73" i="37" s="1"/>
  <c r="AM73" i="37" s="1"/>
  <c r="AI81" i="37"/>
  <c r="AJ81" i="37" s="1"/>
  <c r="AK81" i="37" s="1"/>
  <c r="AM81" i="37" s="1"/>
  <c r="AI89" i="37"/>
  <c r="AJ89" i="37" s="1"/>
  <c r="AK89" i="37" s="1"/>
  <c r="AM89" i="37" s="1"/>
  <c r="AI97" i="37"/>
  <c r="AJ97" i="37" s="1"/>
  <c r="AK97" i="37" s="1"/>
  <c r="AM97" i="37" s="1"/>
  <c r="AI105" i="37"/>
  <c r="AJ105" i="37" s="1"/>
  <c r="AK105" i="37" s="1"/>
  <c r="AM105" i="37" s="1"/>
  <c r="AI113" i="37"/>
  <c r="AJ113" i="37" s="1"/>
  <c r="AK113" i="37" s="1"/>
  <c r="AM113" i="37" s="1"/>
  <c r="AI121" i="37"/>
  <c r="AJ121" i="37" s="1"/>
  <c r="AK121" i="37" s="1"/>
  <c r="AM121" i="37" s="1"/>
  <c r="AI129" i="37"/>
  <c r="AJ129" i="37" s="1"/>
  <c r="AK129" i="37" s="1"/>
  <c r="AM129" i="37" s="1"/>
  <c r="AI137" i="37"/>
  <c r="AJ137" i="37" s="1"/>
  <c r="AK137" i="37" s="1"/>
  <c r="AM137" i="37" s="1"/>
  <c r="AI145" i="37"/>
  <c r="AJ145" i="37" s="1"/>
  <c r="AK145" i="37" s="1"/>
  <c r="AM145" i="37" s="1"/>
  <c r="AI159" i="37"/>
  <c r="AJ159" i="37" s="1"/>
  <c r="AK159" i="37" s="1"/>
  <c r="AM159" i="37" s="1"/>
  <c r="AI175" i="37"/>
  <c r="AJ175" i="37" s="1"/>
  <c r="AK175" i="37" s="1"/>
  <c r="AM175" i="37" s="1"/>
  <c r="AI58" i="37"/>
  <c r="AJ58" i="37" s="1"/>
  <c r="AK58" i="37" s="1"/>
  <c r="AM58" i="37" s="1"/>
  <c r="AI74" i="37"/>
  <c r="AJ74" i="37" s="1"/>
  <c r="AK74" i="37" s="1"/>
  <c r="AM74" i="37" s="1"/>
  <c r="AI90" i="37"/>
  <c r="AJ90" i="37" s="1"/>
  <c r="AK90" i="37" s="1"/>
  <c r="AM90" i="37" s="1"/>
  <c r="AI106" i="37"/>
  <c r="AJ106" i="37" s="1"/>
  <c r="AK106" i="37" s="1"/>
  <c r="AM106" i="37" s="1"/>
  <c r="AI122" i="37"/>
  <c r="AJ122" i="37" s="1"/>
  <c r="AK122" i="37" s="1"/>
  <c r="AM122" i="37" s="1"/>
  <c r="AI138" i="37"/>
  <c r="AJ138" i="37" s="1"/>
  <c r="AK138" i="37" s="1"/>
  <c r="AM138" i="37" s="1"/>
  <c r="AI154" i="37"/>
  <c r="AJ154" i="37" s="1"/>
  <c r="AK154" i="37" s="1"/>
  <c r="AM154" i="37" s="1"/>
  <c r="AI170" i="37"/>
  <c r="AJ170" i="37" s="1"/>
  <c r="AK170" i="37" s="1"/>
  <c r="AM170" i="37" s="1"/>
  <c r="AS148" i="37"/>
  <c r="AT148" i="37" s="1"/>
  <c r="AU148" i="37" s="1"/>
  <c r="AW148" i="37" s="1"/>
  <c r="AS164" i="37"/>
  <c r="AT164" i="37" s="1"/>
  <c r="AU164" i="37" s="1"/>
  <c r="AW164" i="37" s="1"/>
  <c r="AS155" i="37"/>
  <c r="AT155" i="37" s="1"/>
  <c r="AU155" i="37" s="1"/>
  <c r="AW155" i="37" s="1"/>
  <c r="AS165" i="37"/>
  <c r="AT165" i="37" s="1"/>
  <c r="AU165" i="37" s="1"/>
  <c r="AW165" i="37" s="1"/>
  <c r="O70" i="37"/>
  <c r="P70" i="37" s="1"/>
  <c r="Q70" i="37" s="1"/>
  <c r="S70" i="37" s="1"/>
  <c r="O53" i="37"/>
  <c r="P53" i="37" s="1"/>
  <c r="Q53" i="37" s="1"/>
  <c r="S53" i="37" s="1"/>
  <c r="O77" i="37"/>
  <c r="P77" i="37" s="1"/>
  <c r="Q77" i="37" s="1"/>
  <c r="S77" i="37" s="1"/>
  <c r="O60" i="37"/>
  <c r="P60" i="37" s="1"/>
  <c r="Q60" i="37" s="1"/>
  <c r="S60" i="37" s="1"/>
  <c r="O76" i="37"/>
  <c r="P76" i="37" s="1"/>
  <c r="Q76" i="37" s="1"/>
  <c r="S76" i="37" s="1"/>
  <c r="O92" i="37"/>
  <c r="P92" i="37" s="1"/>
  <c r="Q92" i="37" s="1"/>
  <c r="S92" i="37" s="1"/>
  <c r="O67" i="37"/>
  <c r="P67" i="37" s="1"/>
  <c r="Q67" i="37" s="1"/>
  <c r="S67" i="37" s="1"/>
  <c r="O83" i="37"/>
  <c r="P83" i="37" s="1"/>
  <c r="Q83" i="37" s="1"/>
  <c r="S83" i="37" s="1"/>
  <c r="O107" i="37"/>
  <c r="P107" i="37" s="1"/>
  <c r="Q107" i="37" s="1"/>
  <c r="S107" i="37" s="1"/>
  <c r="O123" i="37"/>
  <c r="P123" i="37" s="1"/>
  <c r="Q123" i="37" s="1"/>
  <c r="S123" i="37" s="1"/>
  <c r="O139" i="37"/>
  <c r="P139" i="37" s="1"/>
  <c r="Q139" i="37" s="1"/>
  <c r="S139" i="37" s="1"/>
  <c r="O155" i="37"/>
  <c r="P155" i="37" s="1"/>
  <c r="Q155" i="37" s="1"/>
  <c r="S155" i="37" s="1"/>
  <c r="O171" i="37"/>
  <c r="P171" i="37" s="1"/>
  <c r="Q171" i="37" s="1"/>
  <c r="S171" i="37" s="1"/>
  <c r="O187" i="37"/>
  <c r="P187" i="37" s="1"/>
  <c r="Q187" i="37" s="1"/>
  <c r="S187" i="37" s="1"/>
  <c r="O203" i="37"/>
  <c r="P203" i="37" s="1"/>
  <c r="Q203" i="37" s="1"/>
  <c r="S203" i="37" s="1"/>
  <c r="O112" i="37"/>
  <c r="P112" i="37" s="1"/>
  <c r="Q112" i="37" s="1"/>
  <c r="S112" i="37" s="1"/>
  <c r="O128" i="37"/>
  <c r="P128" i="37" s="1"/>
  <c r="Q128" i="37" s="1"/>
  <c r="S128" i="37" s="1"/>
  <c r="O144" i="37"/>
  <c r="P144" i="37" s="1"/>
  <c r="Q144" i="37" s="1"/>
  <c r="S144" i="37" s="1"/>
  <c r="O160" i="37"/>
  <c r="P160" i="37" s="1"/>
  <c r="Q160" i="37" s="1"/>
  <c r="S160" i="37" s="1"/>
  <c r="O176" i="37"/>
  <c r="P176" i="37" s="1"/>
  <c r="Q176" i="37" s="1"/>
  <c r="S176" i="37" s="1"/>
  <c r="O192" i="37"/>
  <c r="P192" i="37" s="1"/>
  <c r="Q192" i="37" s="1"/>
  <c r="S192" i="37" s="1"/>
  <c r="O208" i="37"/>
  <c r="P208" i="37" s="1"/>
  <c r="Q208" i="37" s="1"/>
  <c r="S208" i="37" s="1"/>
  <c r="Y63" i="37"/>
  <c r="Z63" i="37" s="1"/>
  <c r="AA63" i="37" s="1"/>
  <c r="AC63" i="37" s="1"/>
  <c r="Y79" i="37"/>
  <c r="Z79" i="37" s="1"/>
  <c r="AA79" i="37" s="1"/>
  <c r="AC79" i="37" s="1"/>
  <c r="Y95" i="37"/>
  <c r="Z95" i="37" s="1"/>
  <c r="AA95" i="37" s="1"/>
  <c r="AC95" i="37" s="1"/>
  <c r="Y111" i="37"/>
  <c r="Z111" i="37" s="1"/>
  <c r="AA111" i="37" s="1"/>
  <c r="AC111" i="37" s="1"/>
  <c r="Y127" i="37"/>
  <c r="Z127" i="37" s="1"/>
  <c r="AA127" i="37" s="1"/>
  <c r="AC127" i="37" s="1"/>
  <c r="Y149" i="37"/>
  <c r="Z149" i="37" s="1"/>
  <c r="AA149" i="37" s="1"/>
  <c r="AC149" i="37" s="1"/>
  <c r="Y165" i="37"/>
  <c r="Z165" i="37" s="1"/>
  <c r="AA165" i="37" s="1"/>
  <c r="AC165" i="37" s="1"/>
  <c r="Y181" i="37"/>
  <c r="Z181" i="37" s="1"/>
  <c r="AA181" i="37" s="1"/>
  <c r="AC181" i="37" s="1"/>
  <c r="Y64" i="37"/>
  <c r="Z64" i="37" s="1"/>
  <c r="AA64" i="37" s="1"/>
  <c r="AC64" i="37" s="1"/>
  <c r="Y80" i="37"/>
  <c r="Z80" i="37" s="1"/>
  <c r="AA80" i="37" s="1"/>
  <c r="AC80" i="37" s="1"/>
  <c r="Y96" i="37"/>
  <c r="Z96" i="37" s="1"/>
  <c r="AA96" i="37" s="1"/>
  <c r="AC96" i="37" s="1"/>
  <c r="Y112" i="37"/>
  <c r="Z112" i="37" s="1"/>
  <c r="AA112" i="37" s="1"/>
  <c r="AC112" i="37" s="1"/>
  <c r="Y128" i="37"/>
  <c r="Z128" i="37" s="1"/>
  <c r="AA128" i="37" s="1"/>
  <c r="AC128" i="37" s="1"/>
  <c r="Y144" i="37"/>
  <c r="Z144" i="37" s="1"/>
  <c r="AA144" i="37" s="1"/>
  <c r="AC144" i="37" s="1"/>
  <c r="Y160" i="37"/>
  <c r="Z160" i="37" s="1"/>
  <c r="AA160" i="37" s="1"/>
  <c r="AC160" i="37" s="1"/>
  <c r="Y176" i="37"/>
  <c r="Z176" i="37" s="1"/>
  <c r="AA176" i="37" s="1"/>
  <c r="AC176" i="37" s="1"/>
  <c r="AI59" i="37"/>
  <c r="AJ59" i="37" s="1"/>
  <c r="AK59" i="37" s="1"/>
  <c r="AM59" i="37" s="1"/>
  <c r="AI149" i="37"/>
  <c r="AJ149" i="37" s="1"/>
  <c r="AK149" i="37" s="1"/>
  <c r="AM149" i="37" s="1"/>
  <c r="AI165" i="37"/>
  <c r="AJ165" i="37" s="1"/>
  <c r="AK165" i="37" s="1"/>
  <c r="AM165" i="37" s="1"/>
  <c r="AI181" i="37"/>
  <c r="AJ181" i="37" s="1"/>
  <c r="AK181" i="37" s="1"/>
  <c r="AM181" i="37" s="1"/>
  <c r="AI64" i="37"/>
  <c r="AJ64" i="37" s="1"/>
  <c r="AK64" i="37" s="1"/>
  <c r="AM64" i="37" s="1"/>
  <c r="AI80" i="37"/>
  <c r="AJ80" i="37" s="1"/>
  <c r="AK80" i="37" s="1"/>
  <c r="AM80" i="37" s="1"/>
  <c r="AI96" i="37"/>
  <c r="AJ96" i="37" s="1"/>
  <c r="AK96" i="37" s="1"/>
  <c r="AM96" i="37" s="1"/>
  <c r="AI112" i="37"/>
  <c r="AJ112" i="37" s="1"/>
  <c r="AK112" i="37" s="1"/>
  <c r="AM112" i="37" s="1"/>
  <c r="AI128" i="37"/>
  <c r="AJ128" i="37" s="1"/>
  <c r="AK128" i="37" s="1"/>
  <c r="AM128" i="37" s="1"/>
  <c r="AI144" i="37"/>
  <c r="AJ144" i="37" s="1"/>
  <c r="AK144" i="37" s="1"/>
  <c r="AM144" i="37" s="1"/>
  <c r="AI160" i="37"/>
  <c r="AJ160" i="37" s="1"/>
  <c r="AK160" i="37" s="1"/>
  <c r="AM160" i="37" s="1"/>
  <c r="AI176" i="37"/>
  <c r="AJ176" i="37" s="1"/>
  <c r="AK176" i="37" s="1"/>
  <c r="AM176" i="37" s="1"/>
  <c r="AS154" i="37"/>
  <c r="AT154" i="37" s="1"/>
  <c r="AU154" i="37" s="1"/>
  <c r="AW154" i="37" s="1"/>
  <c r="AS170" i="37"/>
  <c r="AT170" i="37" s="1"/>
  <c r="AU170" i="37" s="1"/>
  <c r="AW170" i="37" s="1"/>
  <c r="AS169" i="37"/>
  <c r="AT169" i="37" s="1"/>
  <c r="AU169" i="37" s="1"/>
  <c r="AW169" i="37" s="1"/>
  <c r="AS173" i="37"/>
  <c r="AT173" i="37" s="1"/>
  <c r="AU173" i="37" s="1"/>
  <c r="AW173" i="37" s="1"/>
  <c r="O24" i="38"/>
  <c r="P24" i="38" s="1"/>
  <c r="Q24" i="38" s="1"/>
  <c r="S24" i="38" s="1"/>
  <c r="O31" i="38"/>
  <c r="P31" i="38" s="1"/>
  <c r="Q31" i="38" s="1"/>
  <c r="S31" i="38" s="1"/>
  <c r="O39" i="38"/>
  <c r="P39" i="38" s="1"/>
  <c r="Q39" i="38" s="1"/>
  <c r="S39" i="38" s="1"/>
  <c r="O51" i="38"/>
  <c r="P51" i="38" s="1"/>
  <c r="Q51" i="38" s="1"/>
  <c r="S51" i="38" s="1"/>
  <c r="O59" i="38"/>
  <c r="P59" i="38" s="1"/>
  <c r="Q59" i="38" s="1"/>
  <c r="S59" i="38" s="1"/>
  <c r="O26" i="38"/>
  <c r="P26" i="38" s="1"/>
  <c r="Q26" i="38" s="1"/>
  <c r="S26" i="38" s="1"/>
  <c r="O33" i="38"/>
  <c r="P33" i="38" s="1"/>
  <c r="Q33" i="38" s="1"/>
  <c r="S33" i="38" s="1"/>
  <c r="O55" i="38"/>
  <c r="P55" i="38" s="1"/>
  <c r="Q55" i="38" s="1"/>
  <c r="S55" i="38" s="1"/>
  <c r="O67" i="38"/>
  <c r="P67" i="38" s="1"/>
  <c r="Q67" i="38" s="1"/>
  <c r="S67" i="38" s="1"/>
  <c r="O75" i="38"/>
  <c r="P75" i="38" s="1"/>
  <c r="Q75" i="38" s="1"/>
  <c r="S75" i="38" s="1"/>
  <c r="O43" i="38"/>
  <c r="P43" i="38" s="1"/>
  <c r="Q43" i="38" s="1"/>
  <c r="S43" i="38" s="1"/>
  <c r="O71" i="38"/>
  <c r="P71" i="38" s="1"/>
  <c r="Q71" i="38" s="1"/>
  <c r="S71" i="38" s="1"/>
  <c r="O87" i="38"/>
  <c r="P87" i="38" s="1"/>
  <c r="Q87" i="38" s="1"/>
  <c r="S87" i="38" s="1"/>
  <c r="O95" i="38"/>
  <c r="P95" i="38" s="1"/>
  <c r="Q95" i="38" s="1"/>
  <c r="S95" i="38" s="1"/>
  <c r="O103" i="38"/>
  <c r="P103" i="38" s="1"/>
  <c r="Q103" i="38" s="1"/>
  <c r="S103" i="38" s="1"/>
  <c r="O111" i="38"/>
  <c r="P111" i="38" s="1"/>
  <c r="Q111" i="38" s="1"/>
  <c r="S111" i="38" s="1"/>
  <c r="O123" i="38"/>
  <c r="P123" i="38" s="1"/>
  <c r="Q123" i="38" s="1"/>
  <c r="S123" i="38" s="1"/>
  <c r="O131" i="38"/>
  <c r="P131" i="38" s="1"/>
  <c r="Q131" i="38" s="1"/>
  <c r="S131" i="38" s="1"/>
  <c r="O138" i="38"/>
  <c r="P138" i="38" s="1"/>
  <c r="Q138" i="38" s="1"/>
  <c r="S138" i="38" s="1"/>
  <c r="O146" i="38"/>
  <c r="P146" i="38" s="1"/>
  <c r="Q146" i="38" s="1"/>
  <c r="S146" i="38" s="1"/>
  <c r="O154" i="38"/>
  <c r="P154" i="38" s="1"/>
  <c r="Q154" i="38" s="1"/>
  <c r="S154" i="38" s="1"/>
  <c r="O49" i="38"/>
  <c r="P49" i="38" s="1"/>
  <c r="Q49" i="38" s="1"/>
  <c r="S49" i="38" s="1"/>
  <c r="O79" i="38"/>
  <c r="P79" i="38" s="1"/>
  <c r="Q79" i="38" s="1"/>
  <c r="S79" i="38" s="1"/>
  <c r="O93" i="38"/>
  <c r="P93" i="38" s="1"/>
  <c r="Q93" i="38" s="1"/>
  <c r="S93" i="38" s="1"/>
  <c r="O109" i="38"/>
  <c r="P109" i="38" s="1"/>
  <c r="Q109" i="38" s="1"/>
  <c r="S109" i="38" s="1"/>
  <c r="O121" i="38"/>
  <c r="P121" i="38" s="1"/>
  <c r="Q121" i="38" s="1"/>
  <c r="S121" i="38" s="1"/>
  <c r="O134" i="38"/>
  <c r="P134" i="38" s="1"/>
  <c r="Q134" i="38" s="1"/>
  <c r="S134" i="38" s="1"/>
  <c r="O150" i="38"/>
  <c r="P150" i="38" s="1"/>
  <c r="Q150" i="38" s="1"/>
  <c r="S150" i="38" s="1"/>
  <c r="O166" i="38"/>
  <c r="P166" i="38" s="1"/>
  <c r="Q166" i="38" s="1"/>
  <c r="S166" i="38" s="1"/>
  <c r="O174" i="38"/>
  <c r="P174" i="38" s="1"/>
  <c r="Q174" i="38" s="1"/>
  <c r="S174" i="38" s="1"/>
  <c r="O178" i="38"/>
  <c r="P178" i="38" s="1"/>
  <c r="Q178" i="38" s="1"/>
  <c r="S178" i="38" s="1"/>
  <c r="O81" i="38"/>
  <c r="P81" i="38" s="1"/>
  <c r="Q81" i="38" s="1"/>
  <c r="S81" i="38" s="1"/>
  <c r="O99" i="38"/>
  <c r="P99" i="38" s="1"/>
  <c r="Q99" i="38" s="1"/>
  <c r="S99" i="38" s="1"/>
  <c r="O127" i="38"/>
  <c r="P127" i="38" s="1"/>
  <c r="Q127" i="38" s="1"/>
  <c r="S127" i="38" s="1"/>
  <c r="O158" i="38"/>
  <c r="P158" i="38" s="1"/>
  <c r="Q158" i="38" s="1"/>
  <c r="S158" i="38" s="1"/>
  <c r="O162" i="38"/>
  <c r="P162" i="38" s="1"/>
  <c r="Q162" i="38" s="1"/>
  <c r="S162" i="38" s="1"/>
  <c r="O188" i="38"/>
  <c r="P188" i="38" s="1"/>
  <c r="Q188" i="38" s="1"/>
  <c r="S188" i="38" s="1"/>
  <c r="O196" i="38"/>
  <c r="P196" i="38" s="1"/>
  <c r="Q196" i="38" s="1"/>
  <c r="S196" i="38" s="1"/>
  <c r="O204" i="38"/>
  <c r="P204" i="38" s="1"/>
  <c r="Q204" i="38" s="1"/>
  <c r="S204" i="38" s="1"/>
  <c r="O212" i="38"/>
  <c r="P212" i="38" s="1"/>
  <c r="Q212" i="38" s="1"/>
  <c r="S212" i="38" s="1"/>
  <c r="O220" i="38"/>
  <c r="P220" i="38" s="1"/>
  <c r="Q220" i="38" s="1"/>
  <c r="S220" i="38" s="1"/>
  <c r="O228" i="38"/>
  <c r="P228" i="38" s="1"/>
  <c r="Q228" i="38" s="1"/>
  <c r="S228" i="38" s="1"/>
  <c r="O232" i="38"/>
  <c r="P232" i="38" s="1"/>
  <c r="Q232" i="38" s="1"/>
  <c r="S232" i="38" s="1"/>
  <c r="O236" i="38"/>
  <c r="P236" i="38" s="1"/>
  <c r="Q236" i="38" s="1"/>
  <c r="S236" i="38" s="1"/>
  <c r="O240" i="38"/>
  <c r="P240" i="38" s="1"/>
  <c r="Q240" i="38" s="1"/>
  <c r="S240" i="38" s="1"/>
  <c r="O244" i="38"/>
  <c r="P244" i="38" s="1"/>
  <c r="Q244" i="38" s="1"/>
  <c r="S244" i="38" s="1"/>
  <c r="O248" i="38"/>
  <c r="P248" i="38" s="1"/>
  <c r="Q248" i="38" s="1"/>
  <c r="S248" i="38" s="1"/>
  <c r="O256" i="38"/>
  <c r="P256" i="38" s="1"/>
  <c r="Q256" i="38" s="1"/>
  <c r="S256" i="38" s="1"/>
  <c r="O264" i="38"/>
  <c r="P264" i="38" s="1"/>
  <c r="Q264" i="38" s="1"/>
  <c r="S264" i="38" s="1"/>
  <c r="E24" i="38"/>
  <c r="F24" i="38" s="1"/>
  <c r="G24" i="38" s="1"/>
  <c r="I24" i="38" s="1"/>
  <c r="E32" i="38"/>
  <c r="F32" i="38" s="1"/>
  <c r="G32" i="38" s="1"/>
  <c r="I32" i="38" s="1"/>
  <c r="E40" i="38"/>
  <c r="F40" i="38" s="1"/>
  <c r="G40" i="38" s="1"/>
  <c r="I40" i="38" s="1"/>
  <c r="E48" i="38"/>
  <c r="F48" i="38" s="1"/>
  <c r="G48" i="38" s="1"/>
  <c r="I48" i="38" s="1"/>
  <c r="E56" i="38"/>
  <c r="F56" i="38" s="1"/>
  <c r="G56" i="38" s="1"/>
  <c r="I56" i="38" s="1"/>
  <c r="E64" i="38"/>
  <c r="F64" i="38" s="1"/>
  <c r="G64" i="38" s="1"/>
  <c r="I64" i="38" s="1"/>
  <c r="E72" i="38"/>
  <c r="F72" i="38" s="1"/>
  <c r="G72" i="38" s="1"/>
  <c r="I72" i="38" s="1"/>
  <c r="E80" i="38"/>
  <c r="F80" i="38" s="1"/>
  <c r="G80" i="38" s="1"/>
  <c r="I80" i="38" s="1"/>
  <c r="E88" i="38"/>
  <c r="F88" i="38" s="1"/>
  <c r="G88" i="38" s="1"/>
  <c r="I88" i="38" s="1"/>
  <c r="E96" i="38"/>
  <c r="F96" i="38" s="1"/>
  <c r="G96" i="38" s="1"/>
  <c r="I96" i="38" s="1"/>
  <c r="O129" i="38"/>
  <c r="P129" i="38" s="1"/>
  <c r="Q129" i="38" s="1"/>
  <c r="S129" i="38" s="1"/>
  <c r="O168" i="38"/>
  <c r="P168" i="38" s="1"/>
  <c r="Q168" i="38" s="1"/>
  <c r="S168" i="38" s="1"/>
  <c r="O192" i="38"/>
  <c r="P192" i="38" s="1"/>
  <c r="Q192" i="38" s="1"/>
  <c r="S192" i="38" s="1"/>
  <c r="O208" i="38"/>
  <c r="P208" i="38" s="1"/>
  <c r="Q208" i="38" s="1"/>
  <c r="S208" i="38" s="1"/>
  <c r="O218" i="38"/>
  <c r="P218" i="38" s="1"/>
  <c r="Q218" i="38" s="1"/>
  <c r="S218" i="38" s="1"/>
  <c r="O254" i="38"/>
  <c r="P254" i="38" s="1"/>
  <c r="Q254" i="38" s="1"/>
  <c r="S254" i="38" s="1"/>
  <c r="E22" i="38"/>
  <c r="F22" i="38" s="1"/>
  <c r="G22" i="38" s="1"/>
  <c r="I22" i="38" s="1"/>
  <c r="E38" i="38"/>
  <c r="F38" i="38" s="1"/>
  <c r="G38" i="38" s="1"/>
  <c r="I38" i="38" s="1"/>
  <c r="E78" i="38"/>
  <c r="F78" i="38" s="1"/>
  <c r="G78" i="38" s="1"/>
  <c r="I78" i="38" s="1"/>
  <c r="E201" i="38"/>
  <c r="F201" i="38" s="1"/>
  <c r="G201" i="38" s="1"/>
  <c r="I201" i="38" s="1"/>
  <c r="O101" i="38"/>
  <c r="P101" i="38" s="1"/>
  <c r="Q101" i="38" s="1"/>
  <c r="S101" i="38" s="1"/>
  <c r="O142" i="38"/>
  <c r="P142" i="38" s="1"/>
  <c r="Q142" i="38" s="1"/>
  <c r="S142" i="38" s="1"/>
  <c r="O182" i="38"/>
  <c r="P182" i="38" s="1"/>
  <c r="Q182" i="38" s="1"/>
  <c r="S182" i="38" s="1"/>
  <c r="O198" i="38"/>
  <c r="P198" i="38" s="1"/>
  <c r="Q198" i="38" s="1"/>
  <c r="S198" i="38" s="1"/>
  <c r="O224" i="38"/>
  <c r="P224" i="38" s="1"/>
  <c r="Q224" i="38" s="1"/>
  <c r="S224" i="38" s="1"/>
  <c r="O260" i="38"/>
  <c r="P260" i="38" s="1"/>
  <c r="Q260" i="38" s="1"/>
  <c r="S260" i="38" s="1"/>
  <c r="E26" i="38"/>
  <c r="F26" i="38" s="1"/>
  <c r="G26" i="38" s="1"/>
  <c r="I26" i="38" s="1"/>
  <c r="E42" i="38"/>
  <c r="F42" i="38" s="1"/>
  <c r="G42" i="38" s="1"/>
  <c r="I42" i="38" s="1"/>
  <c r="E58" i="38"/>
  <c r="F58" i="38" s="1"/>
  <c r="G58" i="38" s="1"/>
  <c r="I58" i="38" s="1"/>
  <c r="E74" i="38"/>
  <c r="F74" i="38" s="1"/>
  <c r="G74" i="38" s="1"/>
  <c r="I74" i="38" s="1"/>
  <c r="E90" i="38"/>
  <c r="F90" i="38" s="1"/>
  <c r="G90" i="38" s="1"/>
  <c r="I90" i="38" s="1"/>
  <c r="E100" i="38"/>
  <c r="F100" i="38" s="1"/>
  <c r="G100" i="38" s="1"/>
  <c r="I100" i="38" s="1"/>
  <c r="E104" i="38"/>
  <c r="F104" i="38" s="1"/>
  <c r="G104" i="38" s="1"/>
  <c r="I104" i="38" s="1"/>
  <c r="E108" i="38"/>
  <c r="F108" i="38" s="1"/>
  <c r="G108" i="38" s="1"/>
  <c r="I108" i="38" s="1"/>
  <c r="E112" i="38"/>
  <c r="F112" i="38" s="1"/>
  <c r="G112" i="38" s="1"/>
  <c r="I112" i="38" s="1"/>
  <c r="E116" i="38"/>
  <c r="F116" i="38" s="1"/>
  <c r="G116" i="38" s="1"/>
  <c r="I116" i="38" s="1"/>
  <c r="E120" i="38"/>
  <c r="F120" i="38" s="1"/>
  <c r="G120" i="38" s="1"/>
  <c r="I120" i="38" s="1"/>
  <c r="E124" i="38"/>
  <c r="F124" i="38" s="1"/>
  <c r="G124" i="38" s="1"/>
  <c r="I124" i="38" s="1"/>
  <c r="E128" i="38"/>
  <c r="F128" i="38" s="1"/>
  <c r="G128" i="38" s="1"/>
  <c r="I128" i="38" s="1"/>
  <c r="E132" i="38"/>
  <c r="F132" i="38" s="1"/>
  <c r="G132" i="38" s="1"/>
  <c r="I132" i="38" s="1"/>
  <c r="E136" i="38"/>
  <c r="F136" i="38" s="1"/>
  <c r="G136" i="38" s="1"/>
  <c r="I136" i="38" s="1"/>
  <c r="E140" i="38"/>
  <c r="F140" i="38" s="1"/>
  <c r="G140" i="38" s="1"/>
  <c r="I140" i="38" s="1"/>
  <c r="E144" i="38"/>
  <c r="F144" i="38" s="1"/>
  <c r="G144" i="38" s="1"/>
  <c r="I144" i="38" s="1"/>
  <c r="E148" i="38"/>
  <c r="F148" i="38" s="1"/>
  <c r="G148" i="38" s="1"/>
  <c r="I148" i="38" s="1"/>
  <c r="E152" i="38"/>
  <c r="F152" i="38" s="1"/>
  <c r="G152" i="38" s="1"/>
  <c r="I152" i="38" s="1"/>
  <c r="E156" i="38"/>
  <c r="F156" i="38" s="1"/>
  <c r="G156" i="38" s="1"/>
  <c r="I156" i="38" s="1"/>
  <c r="E160" i="38"/>
  <c r="F160" i="38" s="1"/>
  <c r="G160" i="38" s="1"/>
  <c r="I160" i="38" s="1"/>
  <c r="E164" i="38"/>
  <c r="F164" i="38" s="1"/>
  <c r="G164" i="38" s="1"/>
  <c r="I164" i="38" s="1"/>
  <c r="E168" i="38"/>
  <c r="F168" i="38" s="1"/>
  <c r="G168" i="38" s="1"/>
  <c r="I168" i="38" s="1"/>
  <c r="E172" i="38"/>
  <c r="F172" i="38" s="1"/>
  <c r="G172" i="38" s="1"/>
  <c r="I172" i="38" s="1"/>
  <c r="E179" i="38"/>
  <c r="F179" i="38" s="1"/>
  <c r="G179" i="38" s="1"/>
  <c r="I179" i="38" s="1"/>
  <c r="E187" i="38"/>
  <c r="F187" i="38" s="1"/>
  <c r="G187" i="38" s="1"/>
  <c r="I187" i="38" s="1"/>
  <c r="E195" i="38"/>
  <c r="F195" i="38" s="1"/>
  <c r="G195" i="38" s="1"/>
  <c r="I195" i="38" s="1"/>
  <c r="E203" i="38"/>
  <c r="F203" i="38" s="1"/>
  <c r="G203" i="38" s="1"/>
  <c r="I203" i="38" s="1"/>
  <c r="E211" i="38"/>
  <c r="F211" i="38" s="1"/>
  <c r="G211" i="38" s="1"/>
  <c r="I211" i="38" s="1"/>
  <c r="E219" i="38"/>
  <c r="F219" i="38" s="1"/>
  <c r="G219" i="38" s="1"/>
  <c r="I219" i="38" s="1"/>
  <c r="E226" i="38"/>
  <c r="F226" i="38" s="1"/>
  <c r="G226" i="38" s="1"/>
  <c r="I226" i="38" s="1"/>
  <c r="E234" i="38"/>
  <c r="F234" i="38" s="1"/>
  <c r="G234" i="38" s="1"/>
  <c r="I234" i="38" s="1"/>
  <c r="E242" i="38"/>
  <c r="F242" i="38" s="1"/>
  <c r="G242" i="38" s="1"/>
  <c r="I242" i="38" s="1"/>
  <c r="E250" i="38"/>
  <c r="F250" i="38" s="1"/>
  <c r="G250" i="38" s="1"/>
  <c r="I250" i="38" s="1"/>
  <c r="E258" i="38"/>
  <c r="F258" i="38" s="1"/>
  <c r="G258" i="38" s="1"/>
  <c r="I258" i="38" s="1"/>
  <c r="E266" i="38"/>
  <c r="F266" i="38" s="1"/>
  <c r="G266" i="38" s="1"/>
  <c r="I266" i="38" s="1"/>
  <c r="E62" i="38"/>
  <c r="F62" i="38" s="1"/>
  <c r="G62" i="38" s="1"/>
  <c r="I62" i="38" s="1"/>
  <c r="E86" i="38"/>
  <c r="F86" i="38" s="1"/>
  <c r="G86" i="38" s="1"/>
  <c r="I86" i="38" s="1"/>
  <c r="E177" i="38"/>
  <c r="F177" i="38" s="1"/>
  <c r="G177" i="38" s="1"/>
  <c r="I177" i="38" s="1"/>
  <c r="E189" i="38"/>
  <c r="F189" i="38" s="1"/>
  <c r="G189" i="38" s="1"/>
  <c r="I189" i="38" s="1"/>
  <c r="E197" i="38"/>
  <c r="F197" i="38" s="1"/>
  <c r="G197" i="38" s="1"/>
  <c r="I197" i="38" s="1"/>
  <c r="E217" i="38"/>
  <c r="F217" i="38" s="1"/>
  <c r="G217" i="38" s="1"/>
  <c r="I217" i="38" s="1"/>
  <c r="E240" i="38"/>
  <c r="F240" i="38" s="1"/>
  <c r="G240" i="38" s="1"/>
  <c r="I240" i="38" s="1"/>
  <c r="E264" i="38"/>
  <c r="F264" i="38" s="1"/>
  <c r="G264" i="38" s="1"/>
  <c r="I264" i="38" s="1"/>
  <c r="E213" i="38"/>
  <c r="F213" i="38" s="1"/>
  <c r="G213" i="38" s="1"/>
  <c r="I213" i="38" s="1"/>
  <c r="E228" i="38"/>
  <c r="F228" i="38" s="1"/>
  <c r="G228" i="38" s="1"/>
  <c r="I228" i="38" s="1"/>
  <c r="E244" i="38"/>
  <c r="F244" i="38" s="1"/>
  <c r="G244" i="38" s="1"/>
  <c r="I244" i="38" s="1"/>
  <c r="E260" i="38"/>
  <c r="F260" i="38" s="1"/>
  <c r="G260" i="38" s="1"/>
  <c r="I260" i="38" s="1"/>
  <c r="E232" i="38"/>
  <c r="F232" i="38" s="1"/>
  <c r="G232" i="38" s="1"/>
  <c r="I232" i="38" s="1"/>
  <c r="E263" i="38"/>
  <c r="F263" i="38" s="1"/>
  <c r="G263" i="38" s="1"/>
  <c r="I263" i="38" s="1"/>
  <c r="E231" i="38"/>
  <c r="F231" i="38" s="1"/>
  <c r="G231" i="38" s="1"/>
  <c r="I231" i="38" s="1"/>
  <c r="E251" i="38"/>
  <c r="F251" i="38" s="1"/>
  <c r="G251" i="38" s="1"/>
  <c r="I251" i="38" s="1"/>
  <c r="E218" i="38"/>
  <c r="F218" i="38" s="1"/>
  <c r="G218" i="38" s="1"/>
  <c r="I218" i="38" s="1"/>
  <c r="E202" i="38"/>
  <c r="F202" i="38" s="1"/>
  <c r="G202" i="38" s="1"/>
  <c r="I202" i="38" s="1"/>
  <c r="E163" i="38"/>
  <c r="F163" i="38" s="1"/>
  <c r="G163" i="38" s="1"/>
  <c r="I163" i="38" s="1"/>
  <c r="E147" i="38"/>
  <c r="F147" i="38" s="1"/>
  <c r="G147" i="38" s="1"/>
  <c r="I147" i="38" s="1"/>
  <c r="E137" i="38"/>
  <c r="F137" i="38" s="1"/>
  <c r="G137" i="38" s="1"/>
  <c r="I137" i="38" s="1"/>
  <c r="E67" i="38"/>
  <c r="F67" i="38" s="1"/>
  <c r="G67" i="38" s="1"/>
  <c r="I67" i="38" s="1"/>
  <c r="E265" i="38"/>
  <c r="F265" i="38" s="1"/>
  <c r="G265" i="38" s="1"/>
  <c r="I265" i="38" s="1"/>
  <c r="E249" i="38"/>
  <c r="F249" i="38" s="1"/>
  <c r="G249" i="38" s="1"/>
  <c r="I249" i="38" s="1"/>
  <c r="E233" i="38"/>
  <c r="F233" i="38" s="1"/>
  <c r="G233" i="38" s="1"/>
  <c r="I233" i="38" s="1"/>
  <c r="E216" i="38"/>
  <c r="F216" i="38" s="1"/>
  <c r="G216" i="38" s="1"/>
  <c r="I216" i="38" s="1"/>
  <c r="E200" i="38"/>
  <c r="F200" i="38" s="1"/>
  <c r="G200" i="38" s="1"/>
  <c r="I200" i="38" s="1"/>
  <c r="E184" i="38"/>
  <c r="F184" i="38" s="1"/>
  <c r="G184" i="38" s="1"/>
  <c r="I184" i="38" s="1"/>
  <c r="E87" i="38"/>
  <c r="F87" i="38" s="1"/>
  <c r="G87" i="38" s="1"/>
  <c r="I87" i="38" s="1"/>
  <c r="E55" i="38"/>
  <c r="F55" i="38" s="1"/>
  <c r="G55" i="38" s="1"/>
  <c r="I55" i="38" s="1"/>
  <c r="E23" i="38"/>
  <c r="F23" i="38" s="1"/>
  <c r="G23" i="38" s="1"/>
  <c r="I23" i="38" s="1"/>
  <c r="AI259" i="38"/>
  <c r="AJ259" i="38" s="1"/>
  <c r="AK259" i="38" s="1"/>
  <c r="AM259" i="38" s="1"/>
  <c r="AI253" i="38"/>
  <c r="AJ253" i="38" s="1"/>
  <c r="AK253" i="38" s="1"/>
  <c r="AM253" i="38" s="1"/>
  <c r="AS240" i="38"/>
  <c r="AT240" i="38" s="1"/>
  <c r="AU240" i="38" s="1"/>
  <c r="AW240" i="38" s="1"/>
  <c r="AS232" i="38"/>
  <c r="AT232" i="38" s="1"/>
  <c r="AU232" i="38" s="1"/>
  <c r="AW232" i="38" s="1"/>
  <c r="O225" i="38"/>
  <c r="P225" i="38" s="1"/>
  <c r="Q225" i="38" s="1"/>
  <c r="S225" i="38" s="1"/>
  <c r="O223" i="38"/>
  <c r="P223" i="38" s="1"/>
  <c r="Q223" i="38" s="1"/>
  <c r="S223" i="38" s="1"/>
  <c r="AS211" i="38"/>
  <c r="AT211" i="38" s="1"/>
  <c r="AU211" i="38" s="1"/>
  <c r="AW211" i="38" s="1"/>
  <c r="AS197" i="38"/>
  <c r="AT197" i="38" s="1"/>
  <c r="AU197" i="38" s="1"/>
  <c r="AW197" i="38" s="1"/>
  <c r="AS195" i="38"/>
  <c r="AT195" i="38" s="1"/>
  <c r="AU195" i="38" s="1"/>
  <c r="AW195" i="38" s="1"/>
  <c r="AS181" i="38"/>
  <c r="AT181" i="38" s="1"/>
  <c r="AU181" i="38" s="1"/>
  <c r="AW181" i="38" s="1"/>
  <c r="AS179" i="38"/>
  <c r="AT179" i="38" s="1"/>
  <c r="AU179" i="38" s="1"/>
  <c r="AW179" i="38" s="1"/>
  <c r="O116" i="38"/>
  <c r="P116" i="38" s="1"/>
  <c r="Q116" i="38" s="1"/>
  <c r="S116" i="38" s="1"/>
  <c r="AI110" i="38"/>
  <c r="AJ110" i="38" s="1"/>
  <c r="AK110" i="38" s="1"/>
  <c r="AM110" i="38" s="1"/>
  <c r="AI72" i="38"/>
  <c r="AJ72" i="38" s="1"/>
  <c r="AK72" i="38" s="1"/>
  <c r="AM72" i="38" s="1"/>
  <c r="E198" i="38"/>
  <c r="F198" i="38" s="1"/>
  <c r="G198" i="38" s="1"/>
  <c r="I198" i="38" s="1"/>
  <c r="E182" i="38"/>
  <c r="F182" i="38" s="1"/>
  <c r="G182" i="38" s="1"/>
  <c r="I182" i="38" s="1"/>
  <c r="E165" i="38"/>
  <c r="F165" i="38" s="1"/>
  <c r="G165" i="38" s="1"/>
  <c r="I165" i="38" s="1"/>
  <c r="E149" i="38"/>
  <c r="F149" i="38" s="1"/>
  <c r="G149" i="38" s="1"/>
  <c r="I149" i="38" s="1"/>
  <c r="E75" i="38"/>
  <c r="F75" i="38" s="1"/>
  <c r="G75" i="38" s="1"/>
  <c r="I75" i="38" s="1"/>
  <c r="AI267" i="38"/>
  <c r="AJ267" i="38" s="1"/>
  <c r="AK267" i="38" s="1"/>
  <c r="AM267" i="38" s="1"/>
  <c r="AI261" i="38"/>
  <c r="AJ261" i="38" s="1"/>
  <c r="AK261" i="38" s="1"/>
  <c r="AM261" i="38" s="1"/>
  <c r="AI251" i="38"/>
  <c r="AJ251" i="38" s="1"/>
  <c r="AK251" i="38" s="1"/>
  <c r="AM251" i="38" s="1"/>
  <c r="AS246" i="38"/>
  <c r="AT246" i="38" s="1"/>
  <c r="AU246" i="38" s="1"/>
  <c r="AW246" i="38" s="1"/>
  <c r="AS238" i="38"/>
  <c r="AT238" i="38" s="1"/>
  <c r="AU238" i="38" s="1"/>
  <c r="AW238" i="38" s="1"/>
  <c r="AS230" i="38"/>
  <c r="AT230" i="38" s="1"/>
  <c r="AU230" i="38" s="1"/>
  <c r="AW230" i="38" s="1"/>
  <c r="AI225" i="38"/>
  <c r="AJ225" i="38" s="1"/>
  <c r="AK225" i="38" s="1"/>
  <c r="AM225" i="38" s="1"/>
  <c r="AI215" i="38"/>
  <c r="AJ215" i="38" s="1"/>
  <c r="AK215" i="38" s="1"/>
  <c r="AM215" i="38" s="1"/>
  <c r="Y211" i="38"/>
  <c r="Z211" i="38" s="1"/>
  <c r="AA211" i="38" s="1"/>
  <c r="AC211" i="38" s="1"/>
  <c r="Y205" i="38"/>
  <c r="Z205" i="38" s="1"/>
  <c r="AA205" i="38" s="1"/>
  <c r="AC205" i="38" s="1"/>
  <c r="Y195" i="38"/>
  <c r="Z195" i="38" s="1"/>
  <c r="AA195" i="38" s="1"/>
  <c r="AC195" i="38" s="1"/>
  <c r="Y189" i="38"/>
  <c r="Z189" i="38" s="1"/>
  <c r="AA189" i="38" s="1"/>
  <c r="AC189" i="38" s="1"/>
  <c r="O169" i="38"/>
  <c r="P169" i="38" s="1"/>
  <c r="Q169" i="38" s="1"/>
  <c r="S169" i="38" s="1"/>
  <c r="O167" i="38"/>
  <c r="P167" i="38" s="1"/>
  <c r="Q167" i="38" s="1"/>
  <c r="S167" i="38" s="1"/>
  <c r="AI155" i="38"/>
  <c r="AJ155" i="38" s="1"/>
  <c r="AK155" i="38" s="1"/>
  <c r="AM155" i="38" s="1"/>
  <c r="AI133" i="38"/>
  <c r="AJ133" i="38" s="1"/>
  <c r="AK133" i="38" s="1"/>
  <c r="AM133" i="38" s="1"/>
  <c r="E125" i="38"/>
  <c r="F125" i="38" s="1"/>
  <c r="G125" i="38" s="1"/>
  <c r="I125" i="38" s="1"/>
  <c r="E117" i="38"/>
  <c r="F117" i="38" s="1"/>
  <c r="G117" i="38" s="1"/>
  <c r="I117" i="38" s="1"/>
  <c r="E109" i="38"/>
  <c r="F109" i="38" s="1"/>
  <c r="G109" i="38" s="1"/>
  <c r="I109" i="38" s="1"/>
  <c r="E101" i="38"/>
  <c r="F101" i="38" s="1"/>
  <c r="G101" i="38" s="1"/>
  <c r="I101" i="38" s="1"/>
  <c r="E89" i="38"/>
  <c r="F89" i="38" s="1"/>
  <c r="G89" i="38" s="1"/>
  <c r="I89" i="38" s="1"/>
  <c r="E73" i="38"/>
  <c r="F73" i="38" s="1"/>
  <c r="G73" i="38" s="1"/>
  <c r="I73" i="38" s="1"/>
  <c r="E57" i="38"/>
  <c r="F57" i="38" s="1"/>
  <c r="G57" i="38" s="1"/>
  <c r="I57" i="38" s="1"/>
  <c r="E41" i="38"/>
  <c r="F41" i="38" s="1"/>
  <c r="G41" i="38" s="1"/>
  <c r="I41" i="38" s="1"/>
  <c r="E25" i="38"/>
  <c r="F25" i="38" s="1"/>
  <c r="G25" i="38" s="1"/>
  <c r="I25" i="38" s="1"/>
  <c r="AI263" i="38"/>
  <c r="AJ263" i="38" s="1"/>
  <c r="AK263" i="38" s="1"/>
  <c r="AM263" i="38" s="1"/>
  <c r="Y261" i="38"/>
  <c r="Z261" i="38" s="1"/>
  <c r="AA261" i="38" s="1"/>
  <c r="AC261" i="38" s="1"/>
  <c r="AI255" i="38"/>
  <c r="AJ255" i="38" s="1"/>
  <c r="AK255" i="38" s="1"/>
  <c r="AM255" i="38" s="1"/>
  <c r="Y253" i="38"/>
  <c r="Z253" i="38" s="1"/>
  <c r="AA253" i="38" s="1"/>
  <c r="AC253" i="38" s="1"/>
  <c r="AI247" i="38"/>
  <c r="AJ247" i="38" s="1"/>
  <c r="AK247" i="38" s="1"/>
  <c r="AM247" i="38" s="1"/>
  <c r="AS245" i="38"/>
  <c r="AT245" i="38" s="1"/>
  <c r="AU245" i="38" s="1"/>
  <c r="AW245" i="38" s="1"/>
  <c r="AI244" i="38"/>
  <c r="AJ244" i="38" s="1"/>
  <c r="AK244" i="38" s="1"/>
  <c r="AM244" i="38" s="1"/>
  <c r="O243" i="38"/>
  <c r="P243" i="38" s="1"/>
  <c r="Q243" i="38" s="1"/>
  <c r="S243" i="38" s="1"/>
  <c r="Y241" i="38"/>
  <c r="Z241" i="38" s="1"/>
  <c r="AA241" i="38" s="1"/>
  <c r="AC241" i="38" s="1"/>
  <c r="AI239" i="38"/>
  <c r="AJ239" i="38" s="1"/>
  <c r="AK239" i="38" s="1"/>
  <c r="AM239" i="38" s="1"/>
  <c r="AS237" i="38"/>
  <c r="AT237" i="38" s="1"/>
  <c r="AU237" i="38" s="1"/>
  <c r="AW237" i="38" s="1"/>
  <c r="AI236" i="38"/>
  <c r="AJ236" i="38" s="1"/>
  <c r="AK236" i="38" s="1"/>
  <c r="AM236" i="38" s="1"/>
  <c r="O235" i="38"/>
  <c r="P235" i="38" s="1"/>
  <c r="Q235" i="38" s="1"/>
  <c r="S235" i="38" s="1"/>
  <c r="Y233" i="38"/>
  <c r="Z233" i="38" s="1"/>
  <c r="AA233" i="38" s="1"/>
  <c r="AC233" i="38" s="1"/>
  <c r="AI231" i="38"/>
  <c r="AJ231" i="38" s="1"/>
  <c r="AK231" i="38" s="1"/>
  <c r="AM231" i="38" s="1"/>
  <c r="AS229" i="38"/>
  <c r="AT229" i="38" s="1"/>
  <c r="AU229" i="38" s="1"/>
  <c r="AW229" i="38" s="1"/>
  <c r="AI228" i="38"/>
  <c r="AJ228" i="38" s="1"/>
  <c r="AK228" i="38" s="1"/>
  <c r="AM228" i="38" s="1"/>
  <c r="O227" i="38"/>
  <c r="P227" i="38" s="1"/>
  <c r="Q227" i="38" s="1"/>
  <c r="S227" i="38" s="1"/>
  <c r="AI221" i="38"/>
  <c r="AJ221" i="38" s="1"/>
  <c r="AK221" i="38" s="1"/>
  <c r="AM221" i="38" s="1"/>
  <c r="Y219" i="38"/>
  <c r="Z219" i="38" s="1"/>
  <c r="AA219" i="38" s="1"/>
  <c r="AC219" i="38" s="1"/>
  <c r="AI213" i="38"/>
  <c r="AJ213" i="38" s="1"/>
  <c r="AK213" i="38" s="1"/>
  <c r="AM213" i="38" s="1"/>
  <c r="AS209" i="38"/>
  <c r="AT209" i="38" s="1"/>
  <c r="AU209" i="38" s="1"/>
  <c r="AW209" i="38" s="1"/>
  <c r="AS207" i="38"/>
  <c r="AT207" i="38" s="1"/>
  <c r="AU207" i="38" s="1"/>
  <c r="AW207" i="38" s="1"/>
  <c r="AS201" i="38"/>
  <c r="AT201" i="38" s="1"/>
  <c r="AU201" i="38" s="1"/>
  <c r="AW201" i="38" s="1"/>
  <c r="AS199" i="38"/>
  <c r="AT199" i="38" s="1"/>
  <c r="AU199" i="38" s="1"/>
  <c r="AW199" i="38" s="1"/>
  <c r="AS193" i="38"/>
  <c r="AT193" i="38" s="1"/>
  <c r="AU193" i="38" s="1"/>
  <c r="AW193" i="38" s="1"/>
  <c r="AS191" i="38"/>
  <c r="AT191" i="38" s="1"/>
  <c r="AU191" i="38" s="1"/>
  <c r="AW191" i="38" s="1"/>
  <c r="AS185" i="38"/>
  <c r="AT185" i="38" s="1"/>
  <c r="AU185" i="38" s="1"/>
  <c r="AW185" i="38" s="1"/>
  <c r="AS183" i="38"/>
  <c r="AT183" i="38" s="1"/>
  <c r="AU183" i="38" s="1"/>
  <c r="AW183" i="38" s="1"/>
  <c r="Y175" i="38"/>
  <c r="Z175" i="38" s="1"/>
  <c r="AA175" i="38" s="1"/>
  <c r="AC175" i="38" s="1"/>
  <c r="Y165" i="38"/>
  <c r="Z165" i="38" s="1"/>
  <c r="AA165" i="38" s="1"/>
  <c r="AC165" i="38" s="1"/>
  <c r="Y159" i="38"/>
  <c r="Z159" i="38" s="1"/>
  <c r="AA159" i="38" s="1"/>
  <c r="AC159" i="38" s="1"/>
  <c r="AS139" i="38"/>
  <c r="AT139" i="38" s="1"/>
  <c r="AU139" i="38" s="1"/>
  <c r="AW139" i="38" s="1"/>
  <c r="AS137" i="38"/>
  <c r="AT137" i="38" s="1"/>
  <c r="AU137" i="38" s="1"/>
  <c r="AW137" i="38" s="1"/>
  <c r="AS122" i="38"/>
  <c r="AT122" i="38" s="1"/>
  <c r="AU122" i="38" s="1"/>
  <c r="AW122" i="38" s="1"/>
  <c r="AS98" i="38"/>
  <c r="AT98" i="38" s="1"/>
  <c r="AU98" i="38" s="1"/>
  <c r="AW98" i="38" s="1"/>
  <c r="AI92" i="38"/>
  <c r="AJ92" i="38" s="1"/>
  <c r="AK92" i="38" s="1"/>
  <c r="AM92" i="38" s="1"/>
  <c r="O179" i="38"/>
  <c r="P179" i="38" s="1"/>
  <c r="Q179" i="38" s="1"/>
  <c r="S179" i="38" s="1"/>
  <c r="O177" i="38"/>
  <c r="P177" i="38" s="1"/>
  <c r="Q177" i="38" s="1"/>
  <c r="S177" i="38" s="1"/>
  <c r="AS171" i="38"/>
  <c r="AT171" i="38" s="1"/>
  <c r="AU171" i="38" s="1"/>
  <c r="AW171" i="38" s="1"/>
  <c r="AS169" i="38"/>
  <c r="AT169" i="38" s="1"/>
  <c r="AU169" i="38" s="1"/>
  <c r="AW169" i="38" s="1"/>
  <c r="AS163" i="38"/>
  <c r="AT163" i="38" s="1"/>
  <c r="AU163" i="38" s="1"/>
  <c r="AW163" i="38" s="1"/>
  <c r="AS161" i="38"/>
  <c r="AT161" i="38" s="1"/>
  <c r="AU161" i="38" s="1"/>
  <c r="AW161" i="38" s="1"/>
  <c r="O149" i="38"/>
  <c r="P149" i="38" s="1"/>
  <c r="Q149" i="38" s="1"/>
  <c r="S149" i="38" s="1"/>
  <c r="O147" i="38"/>
  <c r="P147" i="38" s="1"/>
  <c r="Q147" i="38" s="1"/>
  <c r="S147" i="38" s="1"/>
  <c r="O133" i="38"/>
  <c r="P133" i="38" s="1"/>
  <c r="Q133" i="38" s="1"/>
  <c r="S133" i="38" s="1"/>
  <c r="AI130" i="38"/>
  <c r="AJ130" i="38" s="1"/>
  <c r="AK130" i="38" s="1"/>
  <c r="AM130" i="38" s="1"/>
  <c r="O120" i="38"/>
  <c r="P120" i="38" s="1"/>
  <c r="Q120" i="38" s="1"/>
  <c r="S120" i="38" s="1"/>
  <c r="O114" i="38"/>
  <c r="P114" i="38" s="1"/>
  <c r="Q114" i="38" s="1"/>
  <c r="S114" i="38" s="1"/>
  <c r="Y104" i="38"/>
  <c r="Z104" i="38" s="1"/>
  <c r="AA104" i="38" s="1"/>
  <c r="AC104" i="38" s="1"/>
  <c r="O98" i="38"/>
  <c r="P98" i="38" s="1"/>
  <c r="Q98" i="38" s="1"/>
  <c r="S98" i="38" s="1"/>
  <c r="AI90" i="38"/>
  <c r="AJ90" i="38" s="1"/>
  <c r="AK90" i="38" s="1"/>
  <c r="AM90" i="38" s="1"/>
  <c r="AI84" i="38"/>
  <c r="AJ84" i="38" s="1"/>
  <c r="AK84" i="38" s="1"/>
  <c r="AM84" i="38" s="1"/>
  <c r="Y78" i="38"/>
  <c r="Z78" i="38" s="1"/>
  <c r="AA78" i="38" s="1"/>
  <c r="AC78" i="38" s="1"/>
  <c r="Y60" i="38"/>
  <c r="Z60" i="38" s="1"/>
  <c r="AA60" i="38" s="1"/>
  <c r="AC60" i="38" s="1"/>
  <c r="Y54" i="38"/>
  <c r="Z54" i="38" s="1"/>
  <c r="AA54" i="38" s="1"/>
  <c r="AC54" i="38" s="1"/>
  <c r="Y38" i="38"/>
  <c r="Z38" i="38" s="1"/>
  <c r="AA38" i="38" s="1"/>
  <c r="AC38" i="38" s="1"/>
  <c r="Y32" i="38"/>
  <c r="Z32" i="38" s="1"/>
  <c r="AA32" i="38" s="1"/>
  <c r="AC32" i="38" s="1"/>
  <c r="AI29" i="38"/>
  <c r="AJ29" i="38" s="1"/>
  <c r="AK29" i="38" s="1"/>
  <c r="AM29" i="38" s="1"/>
  <c r="AS157" i="38"/>
  <c r="AT157" i="38" s="1"/>
  <c r="AU157" i="38" s="1"/>
  <c r="AW157" i="38" s="1"/>
  <c r="AS151" i="38"/>
  <c r="AT151" i="38" s="1"/>
  <c r="AU151" i="38" s="1"/>
  <c r="AW151" i="38" s="1"/>
  <c r="AS149" i="38"/>
  <c r="AT149" i="38" s="1"/>
  <c r="AU149" i="38" s="1"/>
  <c r="AW149" i="38" s="1"/>
  <c r="AS143" i="38"/>
  <c r="AT143" i="38" s="1"/>
  <c r="AU143" i="38" s="1"/>
  <c r="AW143" i="38" s="1"/>
  <c r="AS141" i="38"/>
  <c r="AT141" i="38" s="1"/>
  <c r="AU141" i="38" s="1"/>
  <c r="AW141" i="38" s="1"/>
  <c r="AS135" i="38"/>
  <c r="AT135" i="38" s="1"/>
  <c r="AU135" i="38" s="1"/>
  <c r="AW135" i="38" s="1"/>
  <c r="AS133" i="38"/>
  <c r="AT133" i="38" s="1"/>
  <c r="AU133" i="38" s="1"/>
  <c r="AW133" i="38" s="1"/>
  <c r="AS128" i="38"/>
  <c r="AT128" i="38" s="1"/>
  <c r="AU128" i="38" s="1"/>
  <c r="AW128" i="38" s="1"/>
  <c r="AI124" i="38"/>
  <c r="AJ124" i="38" s="1"/>
  <c r="AK124" i="38" s="1"/>
  <c r="AM124" i="38" s="1"/>
  <c r="AS120" i="38"/>
  <c r="AT120" i="38" s="1"/>
  <c r="AU120" i="38" s="1"/>
  <c r="AW120" i="38" s="1"/>
  <c r="AS116" i="38"/>
  <c r="AT116" i="38" s="1"/>
  <c r="AU116" i="38" s="1"/>
  <c r="AW116" i="38" s="1"/>
  <c r="AI112" i="38"/>
  <c r="AJ112" i="38" s="1"/>
  <c r="AK112" i="38" s="1"/>
  <c r="AM112" i="38" s="1"/>
  <c r="AS108" i="38"/>
  <c r="AT108" i="38" s="1"/>
  <c r="AU108" i="38" s="1"/>
  <c r="AW108" i="38" s="1"/>
  <c r="AI104" i="38"/>
  <c r="AJ104" i="38" s="1"/>
  <c r="AK104" i="38" s="1"/>
  <c r="AM104" i="38" s="1"/>
  <c r="AS100" i="38"/>
  <c r="AT100" i="38" s="1"/>
  <c r="AU100" i="38" s="1"/>
  <c r="AW100" i="38" s="1"/>
  <c r="AI96" i="38"/>
  <c r="AJ96" i="38" s="1"/>
  <c r="AK96" i="38" s="1"/>
  <c r="AM96" i="38" s="1"/>
  <c r="AS92" i="38"/>
  <c r="AT92" i="38" s="1"/>
  <c r="AU92" i="38" s="1"/>
  <c r="AW92" i="38" s="1"/>
  <c r="AS86" i="38"/>
  <c r="AT86" i="38" s="1"/>
  <c r="AU86" i="38" s="1"/>
  <c r="AW86" i="38" s="1"/>
  <c r="AS84" i="38"/>
  <c r="AT84" i="38" s="1"/>
  <c r="AU84" i="38" s="1"/>
  <c r="AW84" i="38" s="1"/>
  <c r="O72" i="38"/>
  <c r="P72" i="38" s="1"/>
  <c r="Q72" i="38" s="1"/>
  <c r="S72" i="38" s="1"/>
  <c r="AI64" i="38"/>
  <c r="AJ64" i="38" s="1"/>
  <c r="AK64" i="38" s="1"/>
  <c r="AM64" i="38" s="1"/>
  <c r="O82" i="38"/>
  <c r="P82" i="38" s="1"/>
  <c r="Q82" i="38" s="1"/>
  <c r="S82" i="38" s="1"/>
  <c r="O76" i="38"/>
  <c r="P76" i="38" s="1"/>
  <c r="Q76" i="38" s="1"/>
  <c r="S76" i="38" s="1"/>
  <c r="O74" i="38"/>
  <c r="P74" i="38" s="1"/>
  <c r="Q74" i="38" s="1"/>
  <c r="S74" i="38" s="1"/>
  <c r="AI70" i="38"/>
  <c r="AJ70" i="38" s="1"/>
  <c r="AK70" i="38" s="1"/>
  <c r="AM70" i="38" s="1"/>
  <c r="O66" i="38"/>
  <c r="P66" i="38" s="1"/>
  <c r="Q66" i="38" s="1"/>
  <c r="S66" i="38" s="1"/>
  <c r="AI62" i="38"/>
  <c r="AJ62" i="38" s="1"/>
  <c r="AK62" i="38" s="1"/>
  <c r="AM62" i="38" s="1"/>
  <c r="O56" i="38"/>
  <c r="P56" i="38" s="1"/>
  <c r="Q56" i="38" s="1"/>
  <c r="S56" i="38" s="1"/>
  <c r="AI48" i="38"/>
  <c r="AJ48" i="38" s="1"/>
  <c r="AK48" i="38" s="1"/>
  <c r="AM48" i="38" s="1"/>
  <c r="Y44" i="38"/>
  <c r="Z44" i="38" s="1"/>
  <c r="AA44" i="38" s="1"/>
  <c r="AC44" i="38" s="1"/>
  <c r="AS38" i="38"/>
  <c r="AT38" i="38" s="1"/>
  <c r="AU38" i="38" s="1"/>
  <c r="AW38" i="38" s="1"/>
  <c r="Y23" i="38"/>
  <c r="Z23" i="38" s="1"/>
  <c r="AA23" i="38" s="1"/>
  <c r="AC23" i="38" s="1"/>
  <c r="O58" i="38"/>
  <c r="P58" i="38" s="1"/>
  <c r="Q58" i="38" s="1"/>
  <c r="S58" i="38" s="1"/>
  <c r="AI54" i="38"/>
  <c r="AJ54" i="38" s="1"/>
  <c r="AK54" i="38" s="1"/>
  <c r="AM54" i="38" s="1"/>
  <c r="O50" i="38"/>
  <c r="P50" i="38" s="1"/>
  <c r="Q50" i="38" s="1"/>
  <c r="S50" i="38" s="1"/>
  <c r="AI46" i="38"/>
  <c r="AJ46" i="38" s="1"/>
  <c r="AK46" i="38" s="1"/>
  <c r="AM46" i="38" s="1"/>
  <c r="Y42" i="38"/>
  <c r="Z42" i="38" s="1"/>
  <c r="AA42" i="38" s="1"/>
  <c r="AC42" i="38" s="1"/>
  <c r="O38" i="38"/>
  <c r="P38" i="38" s="1"/>
  <c r="Q38" i="38" s="1"/>
  <c r="S38" i="38" s="1"/>
  <c r="Y34" i="38"/>
  <c r="Z34" i="38" s="1"/>
  <c r="AA34" i="38" s="1"/>
  <c r="AC34" i="38" s="1"/>
  <c r="O29" i="38"/>
  <c r="P29" i="38" s="1"/>
  <c r="Q29" i="38" s="1"/>
  <c r="S29" i="38" s="1"/>
  <c r="Y25" i="38"/>
  <c r="Z25" i="38" s="1"/>
  <c r="AA25" i="38" s="1"/>
  <c r="AC25" i="38" s="1"/>
  <c r="E255" i="38"/>
  <c r="F255" i="38" s="1"/>
  <c r="G255" i="38" s="1"/>
  <c r="I255" i="38" s="1"/>
  <c r="E223" i="38"/>
  <c r="F223" i="38" s="1"/>
  <c r="G223" i="38" s="1"/>
  <c r="I223" i="38" s="1"/>
  <c r="E243" i="38"/>
  <c r="F243" i="38" s="1"/>
  <c r="G243" i="38" s="1"/>
  <c r="I243" i="38" s="1"/>
  <c r="E210" i="38"/>
  <c r="F210" i="38" s="1"/>
  <c r="G210" i="38" s="1"/>
  <c r="I210" i="38" s="1"/>
  <c r="E174" i="38"/>
  <c r="F174" i="38" s="1"/>
  <c r="G174" i="38" s="1"/>
  <c r="I174" i="38" s="1"/>
  <c r="E159" i="38"/>
  <c r="F159" i="38" s="1"/>
  <c r="G159" i="38" s="1"/>
  <c r="I159" i="38" s="1"/>
  <c r="E145" i="38"/>
  <c r="F145" i="38" s="1"/>
  <c r="G145" i="38" s="1"/>
  <c r="I145" i="38" s="1"/>
  <c r="E131" i="38"/>
  <c r="F131" i="38" s="1"/>
  <c r="G131" i="38" s="1"/>
  <c r="I131" i="38" s="1"/>
  <c r="E51" i="38"/>
  <c r="F51" i="38" s="1"/>
  <c r="G51" i="38" s="1"/>
  <c r="I51" i="38" s="1"/>
  <c r="E261" i="38"/>
  <c r="F261" i="38" s="1"/>
  <c r="G261" i="38" s="1"/>
  <c r="I261" i="38" s="1"/>
  <c r="E245" i="38"/>
  <c r="F245" i="38" s="1"/>
  <c r="G245" i="38" s="1"/>
  <c r="I245" i="38" s="1"/>
  <c r="E229" i="38"/>
  <c r="F229" i="38" s="1"/>
  <c r="G229" i="38" s="1"/>
  <c r="I229" i="38" s="1"/>
  <c r="E212" i="38"/>
  <c r="F212" i="38" s="1"/>
  <c r="G212" i="38" s="1"/>
  <c r="I212" i="38" s="1"/>
  <c r="E196" i="38"/>
  <c r="F196" i="38" s="1"/>
  <c r="G196" i="38" s="1"/>
  <c r="I196" i="38" s="1"/>
  <c r="E180" i="38"/>
  <c r="F180" i="38" s="1"/>
  <c r="G180" i="38" s="1"/>
  <c r="I180" i="38" s="1"/>
  <c r="E79" i="38"/>
  <c r="F79" i="38" s="1"/>
  <c r="G79" i="38" s="1"/>
  <c r="I79" i="38" s="1"/>
  <c r="E47" i="38"/>
  <c r="F47" i="38" s="1"/>
  <c r="G47" i="38" s="1"/>
  <c r="I47" i="38" s="1"/>
  <c r="Y265" i="38"/>
  <c r="Z265" i="38" s="1"/>
  <c r="AA265" i="38" s="1"/>
  <c r="AC265" i="38" s="1"/>
  <c r="Y259" i="38"/>
  <c r="Z259" i="38" s="1"/>
  <c r="AA259" i="38" s="1"/>
  <c r="AC259" i="38" s="1"/>
  <c r="Y249" i="38"/>
  <c r="Z249" i="38" s="1"/>
  <c r="AA249" i="38" s="1"/>
  <c r="AC249" i="38" s="1"/>
  <c r="Y240" i="38"/>
  <c r="Z240" i="38" s="1"/>
  <c r="AA240" i="38" s="1"/>
  <c r="AC240" i="38" s="1"/>
  <c r="Y232" i="38"/>
  <c r="Z232" i="38" s="1"/>
  <c r="AA232" i="38" s="1"/>
  <c r="AC232" i="38" s="1"/>
  <c r="AS223" i="38"/>
  <c r="AT223" i="38" s="1"/>
  <c r="AU223" i="38" s="1"/>
  <c r="AW223" i="38" s="1"/>
  <c r="AS221" i="38"/>
  <c r="AT221" i="38" s="1"/>
  <c r="AU221" i="38" s="1"/>
  <c r="AW221" i="38" s="1"/>
  <c r="AI207" i="38"/>
  <c r="AJ207" i="38" s="1"/>
  <c r="AK207" i="38" s="1"/>
  <c r="AM207" i="38" s="1"/>
  <c r="AI197" i="38"/>
  <c r="AJ197" i="38" s="1"/>
  <c r="AK197" i="38" s="1"/>
  <c r="AM197" i="38" s="1"/>
  <c r="AI191" i="38"/>
  <c r="AJ191" i="38" s="1"/>
  <c r="AK191" i="38" s="1"/>
  <c r="AM191" i="38" s="1"/>
  <c r="AI181" i="38"/>
  <c r="AJ181" i="38" s="1"/>
  <c r="AK181" i="38" s="1"/>
  <c r="AM181" i="38" s="1"/>
  <c r="Y173" i="38"/>
  <c r="Z173" i="38" s="1"/>
  <c r="AA173" i="38" s="1"/>
  <c r="AC173" i="38" s="1"/>
  <c r="AS114" i="38"/>
  <c r="AT114" i="38" s="1"/>
  <c r="AU114" i="38" s="1"/>
  <c r="AW114" i="38" s="1"/>
  <c r="AI108" i="38"/>
  <c r="AJ108" i="38" s="1"/>
  <c r="AK108" i="38" s="1"/>
  <c r="AM108" i="38" s="1"/>
  <c r="Y70" i="38"/>
  <c r="Z70" i="38" s="1"/>
  <c r="AA70" i="38" s="1"/>
  <c r="AC70" i="38" s="1"/>
  <c r="E194" i="38"/>
  <c r="F194" i="38" s="1"/>
  <c r="G194" i="38" s="1"/>
  <c r="I194" i="38" s="1"/>
  <c r="E178" i="38"/>
  <c r="F178" i="38" s="1"/>
  <c r="G178" i="38" s="1"/>
  <c r="I178" i="38" s="1"/>
  <c r="E161" i="38"/>
  <c r="F161" i="38" s="1"/>
  <c r="G161" i="38" s="1"/>
  <c r="I161" i="38" s="1"/>
  <c r="E143" i="38"/>
  <c r="F143" i="38" s="1"/>
  <c r="G143" i="38" s="1"/>
  <c r="I143" i="38" s="1"/>
  <c r="E59" i="38"/>
  <c r="F59" i="38" s="1"/>
  <c r="G59" i="38" s="1"/>
  <c r="I59" i="38" s="1"/>
  <c r="Y267" i="38"/>
  <c r="Z267" i="38" s="1"/>
  <c r="AA267" i="38" s="1"/>
  <c r="AC267" i="38" s="1"/>
  <c r="Y257" i="38"/>
  <c r="Z257" i="38" s="1"/>
  <c r="AA257" i="38" s="1"/>
  <c r="AC257" i="38" s="1"/>
  <c r="Y251" i="38"/>
  <c r="Z251" i="38" s="1"/>
  <c r="AA251" i="38" s="1"/>
  <c r="AC251" i="38" s="1"/>
  <c r="Y246" i="38"/>
  <c r="Z246" i="38" s="1"/>
  <c r="AA246" i="38" s="1"/>
  <c r="AC246" i="38" s="1"/>
  <c r="Y238" i="38"/>
  <c r="Z238" i="38" s="1"/>
  <c r="AA238" i="38" s="1"/>
  <c r="AC238" i="38" s="1"/>
  <c r="Y230" i="38"/>
  <c r="Z230" i="38" s="1"/>
  <c r="AA230" i="38" s="1"/>
  <c r="AC230" i="38" s="1"/>
  <c r="Y221" i="38"/>
  <c r="Z221" i="38" s="1"/>
  <c r="AA221" i="38" s="1"/>
  <c r="AC221" i="38" s="1"/>
  <c r="Y215" i="38"/>
  <c r="Z215" i="38" s="1"/>
  <c r="AA215" i="38" s="1"/>
  <c r="AC215" i="38" s="1"/>
  <c r="O207" i="38"/>
  <c r="P207" i="38" s="1"/>
  <c r="Q207" i="38" s="1"/>
  <c r="S207" i="38" s="1"/>
  <c r="O205" i="38"/>
  <c r="P205" i="38" s="1"/>
  <c r="Q205" i="38" s="1"/>
  <c r="S205" i="38" s="1"/>
  <c r="O191" i="38"/>
  <c r="P191" i="38" s="1"/>
  <c r="Q191" i="38" s="1"/>
  <c r="S191" i="38" s="1"/>
  <c r="O189" i="38"/>
  <c r="P189" i="38" s="1"/>
  <c r="Q189" i="38" s="1"/>
  <c r="S189" i="38" s="1"/>
  <c r="AS167" i="38"/>
  <c r="AT167" i="38" s="1"/>
  <c r="AU167" i="38" s="1"/>
  <c r="AW167" i="38" s="1"/>
  <c r="AS165" i="38"/>
  <c r="AT165" i="38" s="1"/>
  <c r="AU165" i="38" s="1"/>
  <c r="AW165" i="38" s="1"/>
  <c r="Y155" i="38"/>
  <c r="Z155" i="38" s="1"/>
  <c r="AA155" i="38" s="1"/>
  <c r="AC155" i="38" s="1"/>
  <c r="Y88" i="38"/>
  <c r="Z88" i="38" s="1"/>
  <c r="AA88" i="38" s="1"/>
  <c r="AC88" i="38" s="1"/>
  <c r="E123" i="38"/>
  <c r="F123" i="38" s="1"/>
  <c r="G123" i="38" s="1"/>
  <c r="I123" i="38" s="1"/>
  <c r="E115" i="38"/>
  <c r="F115" i="38" s="1"/>
  <c r="G115" i="38" s="1"/>
  <c r="I115" i="38" s="1"/>
  <c r="E107" i="38"/>
  <c r="F107" i="38" s="1"/>
  <c r="G107" i="38" s="1"/>
  <c r="I107" i="38" s="1"/>
  <c r="E99" i="38"/>
  <c r="F99" i="38" s="1"/>
  <c r="G99" i="38" s="1"/>
  <c r="I99" i="38" s="1"/>
  <c r="E85" i="38"/>
  <c r="F85" i="38" s="1"/>
  <c r="G85" i="38" s="1"/>
  <c r="I85" i="38" s="1"/>
  <c r="E69" i="38"/>
  <c r="F69" i="38" s="1"/>
  <c r="G69" i="38" s="1"/>
  <c r="I69" i="38" s="1"/>
  <c r="E53" i="38"/>
  <c r="F53" i="38" s="1"/>
  <c r="G53" i="38" s="1"/>
  <c r="I53" i="38" s="1"/>
  <c r="E37" i="38"/>
  <c r="F37" i="38" s="1"/>
  <c r="G37" i="38" s="1"/>
  <c r="I37" i="38" s="1"/>
  <c r="AI265" i="38"/>
  <c r="AJ265" i="38" s="1"/>
  <c r="AK265" i="38" s="1"/>
  <c r="AM265" i="38" s="1"/>
  <c r="Y263" i="38"/>
  <c r="Z263" i="38" s="1"/>
  <c r="AA263" i="38" s="1"/>
  <c r="AC263" i="38" s="1"/>
  <c r="AI257" i="38"/>
  <c r="AJ257" i="38" s="1"/>
  <c r="AK257" i="38" s="1"/>
  <c r="AM257" i="38" s="1"/>
  <c r="Y255" i="38"/>
  <c r="Z255" i="38" s="1"/>
  <c r="AA255" i="38" s="1"/>
  <c r="AC255" i="38" s="1"/>
  <c r="AI249" i="38"/>
  <c r="AJ249" i="38" s="1"/>
  <c r="AK249" i="38" s="1"/>
  <c r="AM249" i="38" s="1"/>
  <c r="Y247" i="38"/>
  <c r="Z247" i="38" s="1"/>
  <c r="AA247" i="38" s="1"/>
  <c r="AC247" i="38" s="1"/>
  <c r="AI245" i="38"/>
  <c r="AJ245" i="38" s="1"/>
  <c r="AK245" i="38" s="1"/>
  <c r="AM245" i="38" s="1"/>
  <c r="AS243" i="38"/>
  <c r="AT243" i="38" s="1"/>
  <c r="AU243" i="38" s="1"/>
  <c r="AW243" i="38" s="1"/>
  <c r="AI242" i="38"/>
  <c r="AJ242" i="38" s="1"/>
  <c r="AK242" i="38" s="1"/>
  <c r="AM242" i="38" s="1"/>
  <c r="O241" i="38"/>
  <c r="P241" i="38" s="1"/>
  <c r="Q241" i="38" s="1"/>
  <c r="S241" i="38" s="1"/>
  <c r="Y239" i="38"/>
  <c r="Z239" i="38" s="1"/>
  <c r="AA239" i="38" s="1"/>
  <c r="AC239" i="38" s="1"/>
  <c r="AI237" i="38"/>
  <c r="AJ237" i="38" s="1"/>
  <c r="AK237" i="38" s="1"/>
  <c r="AM237" i="38" s="1"/>
  <c r="AS235" i="38"/>
  <c r="AT235" i="38" s="1"/>
  <c r="AU235" i="38" s="1"/>
  <c r="AW235" i="38" s="1"/>
  <c r="AI234" i="38"/>
  <c r="AJ234" i="38" s="1"/>
  <c r="AK234" i="38" s="1"/>
  <c r="AM234" i="38" s="1"/>
  <c r="O233" i="38"/>
  <c r="P233" i="38" s="1"/>
  <c r="Q233" i="38" s="1"/>
  <c r="S233" i="38" s="1"/>
  <c r="Y231" i="38"/>
  <c r="Z231" i="38" s="1"/>
  <c r="AA231" i="38" s="1"/>
  <c r="AC231" i="38" s="1"/>
  <c r="AI229" i="38"/>
  <c r="AJ229" i="38" s="1"/>
  <c r="AK229" i="38" s="1"/>
  <c r="AM229" i="38" s="1"/>
  <c r="AS227" i="38"/>
  <c r="AT227" i="38" s="1"/>
  <c r="AU227" i="38" s="1"/>
  <c r="AW227" i="38" s="1"/>
  <c r="AI226" i="38"/>
  <c r="AJ226" i="38" s="1"/>
  <c r="AK226" i="38" s="1"/>
  <c r="AM226" i="38" s="1"/>
  <c r="O221" i="38"/>
  <c r="P221" i="38" s="1"/>
  <c r="Q221" i="38" s="1"/>
  <c r="S221" i="38" s="1"/>
  <c r="O219" i="38"/>
  <c r="P219" i="38" s="1"/>
  <c r="Q219" i="38" s="1"/>
  <c r="S219" i="38" s="1"/>
  <c r="O213" i="38"/>
  <c r="P213" i="38" s="1"/>
  <c r="Q213" i="38" s="1"/>
  <c r="S213" i="38" s="1"/>
  <c r="AI209" i="38"/>
  <c r="AJ209" i="38" s="1"/>
  <c r="AK209" i="38" s="1"/>
  <c r="AM209" i="38" s="1"/>
  <c r="Y207" i="38"/>
  <c r="Z207" i="38" s="1"/>
  <c r="AA207" i="38" s="1"/>
  <c r="AC207" i="38" s="1"/>
  <c r="AI201" i="38"/>
  <c r="AJ201" i="38" s="1"/>
  <c r="AK201" i="38" s="1"/>
  <c r="AM201" i="38" s="1"/>
  <c r="Y199" i="38"/>
  <c r="Z199" i="38" s="1"/>
  <c r="AA199" i="38" s="1"/>
  <c r="AC199" i="38" s="1"/>
  <c r="AI193" i="38"/>
  <c r="AJ193" i="38" s="1"/>
  <c r="AK193" i="38" s="1"/>
  <c r="AM193" i="38" s="1"/>
  <c r="Y191" i="38"/>
  <c r="Z191" i="38" s="1"/>
  <c r="AA191" i="38" s="1"/>
  <c r="AC191" i="38" s="1"/>
  <c r="AI185" i="38"/>
  <c r="AJ185" i="38" s="1"/>
  <c r="AK185" i="38" s="1"/>
  <c r="AM185" i="38" s="1"/>
  <c r="Y183" i="38"/>
  <c r="Z183" i="38" s="1"/>
  <c r="AA183" i="38" s="1"/>
  <c r="AC183" i="38" s="1"/>
  <c r="O175" i="38"/>
  <c r="P175" i="38" s="1"/>
  <c r="Q175" i="38" s="1"/>
  <c r="S175" i="38" s="1"/>
  <c r="O161" i="38"/>
  <c r="P161" i="38" s="1"/>
  <c r="Q161" i="38" s="1"/>
  <c r="S161" i="38" s="1"/>
  <c r="O159" i="38"/>
  <c r="P159" i="38" s="1"/>
  <c r="Q159" i="38" s="1"/>
  <c r="S159" i="38" s="1"/>
  <c r="AI139" i="38"/>
  <c r="AJ139" i="38" s="1"/>
  <c r="AK139" i="38" s="1"/>
  <c r="AM139" i="38" s="1"/>
  <c r="O128" i="38"/>
  <c r="P128" i="38" s="1"/>
  <c r="Q128" i="38" s="1"/>
  <c r="S128" i="38" s="1"/>
  <c r="AI122" i="38"/>
  <c r="AJ122" i="38" s="1"/>
  <c r="AK122" i="38" s="1"/>
  <c r="AM122" i="38" s="1"/>
  <c r="Y96" i="38"/>
  <c r="Z96" i="38" s="1"/>
  <c r="AA96" i="38" s="1"/>
  <c r="AC96" i="38" s="1"/>
  <c r="O84" i="38"/>
  <c r="P84" i="38" s="1"/>
  <c r="Q84" i="38" s="1"/>
  <c r="S84" i="38" s="1"/>
  <c r="AS177" i="38"/>
  <c r="AT177" i="38" s="1"/>
  <c r="AU177" i="38" s="1"/>
  <c r="AW177" i="38" s="1"/>
  <c r="AS175" i="38"/>
  <c r="AT175" i="38" s="1"/>
  <c r="AU175" i="38" s="1"/>
  <c r="AW175" i="38" s="1"/>
  <c r="AI171" i="38"/>
  <c r="AJ171" i="38" s="1"/>
  <c r="AK171" i="38" s="1"/>
  <c r="AM171" i="38" s="1"/>
  <c r="Y169" i="38"/>
  <c r="Z169" i="38" s="1"/>
  <c r="AA169" i="38" s="1"/>
  <c r="AC169" i="38" s="1"/>
  <c r="AI163" i="38"/>
  <c r="AJ163" i="38" s="1"/>
  <c r="AK163" i="38" s="1"/>
  <c r="AM163" i="38" s="1"/>
  <c r="Y161" i="38"/>
  <c r="Z161" i="38" s="1"/>
  <c r="AA161" i="38" s="1"/>
  <c r="AC161" i="38" s="1"/>
  <c r="AS147" i="38"/>
  <c r="AT147" i="38" s="1"/>
  <c r="AU147" i="38" s="1"/>
  <c r="AW147" i="38" s="1"/>
  <c r="AS145" i="38"/>
  <c r="AT145" i="38" s="1"/>
  <c r="AU145" i="38" s="1"/>
  <c r="AW145" i="38" s="1"/>
  <c r="AS131" i="38"/>
  <c r="AT131" i="38" s="1"/>
  <c r="AU131" i="38" s="1"/>
  <c r="AW131" i="38" s="1"/>
  <c r="AI128" i="38"/>
  <c r="AJ128" i="38" s="1"/>
  <c r="AK128" i="38" s="1"/>
  <c r="AM128" i="38" s="1"/>
  <c r="AS118" i="38"/>
  <c r="AT118" i="38" s="1"/>
  <c r="AU118" i="38" s="1"/>
  <c r="AW118" i="38" s="1"/>
  <c r="AS112" i="38"/>
  <c r="AT112" i="38" s="1"/>
  <c r="AU112" i="38" s="1"/>
  <c r="AW112" i="38" s="1"/>
  <c r="AS102" i="38"/>
  <c r="AT102" i="38" s="1"/>
  <c r="AU102" i="38" s="1"/>
  <c r="AW102" i="38" s="1"/>
  <c r="AS96" i="38"/>
  <c r="AT96" i="38" s="1"/>
  <c r="AU96" i="38" s="1"/>
  <c r="AW96" i="38" s="1"/>
  <c r="Y90" i="38"/>
  <c r="Z90" i="38" s="1"/>
  <c r="AA90" i="38" s="1"/>
  <c r="AC90" i="38" s="1"/>
  <c r="O80" i="38"/>
  <c r="P80" i="38" s="1"/>
  <c r="Q80" i="38" s="1"/>
  <c r="S80" i="38" s="1"/>
  <c r="O78" i="38"/>
  <c r="P78" i="38" s="1"/>
  <c r="Q78" i="38" s="1"/>
  <c r="S78" i="38" s="1"/>
  <c r="AI58" i="38"/>
  <c r="AJ58" i="38" s="1"/>
  <c r="AK58" i="38" s="1"/>
  <c r="AM58" i="38" s="1"/>
  <c r="O54" i="38"/>
  <c r="P54" i="38" s="1"/>
  <c r="Q54" i="38" s="1"/>
  <c r="S54" i="38" s="1"/>
  <c r="AI36" i="38"/>
  <c r="AJ36" i="38" s="1"/>
  <c r="AK36" i="38" s="1"/>
  <c r="AM36" i="38" s="1"/>
  <c r="O32" i="38"/>
  <c r="P32" i="38" s="1"/>
  <c r="Q32" i="38" s="1"/>
  <c r="S32" i="38" s="1"/>
  <c r="AI27" i="38"/>
  <c r="AJ27" i="38" s="1"/>
  <c r="AK27" i="38" s="1"/>
  <c r="AM27" i="38" s="1"/>
  <c r="Y157" i="38"/>
  <c r="Z157" i="38" s="1"/>
  <c r="AA157" i="38" s="1"/>
  <c r="AC157" i="38" s="1"/>
  <c r="AI151" i="38"/>
  <c r="AJ151" i="38" s="1"/>
  <c r="AK151" i="38" s="1"/>
  <c r="AM151" i="38" s="1"/>
  <c r="Y149" i="38"/>
  <c r="Z149" i="38" s="1"/>
  <c r="AA149" i="38" s="1"/>
  <c r="AC149" i="38" s="1"/>
  <c r="AI143" i="38"/>
  <c r="AJ143" i="38" s="1"/>
  <c r="AK143" i="38" s="1"/>
  <c r="AM143" i="38" s="1"/>
  <c r="Y141" i="38"/>
  <c r="Z141" i="38" s="1"/>
  <c r="AA141" i="38" s="1"/>
  <c r="AC141" i="38" s="1"/>
  <c r="AI135" i="38"/>
  <c r="AJ135" i="38" s="1"/>
  <c r="AK135" i="38" s="1"/>
  <c r="AM135" i="38" s="1"/>
  <c r="Y133" i="38"/>
  <c r="Z133" i="38" s="1"/>
  <c r="AA133" i="38" s="1"/>
  <c r="AC133" i="38" s="1"/>
  <c r="Y128" i="38"/>
  <c r="Z128" i="38" s="1"/>
  <c r="AA128" i="38" s="1"/>
  <c r="AC128" i="38" s="1"/>
  <c r="O124" i="38"/>
  <c r="P124" i="38" s="1"/>
  <c r="Q124" i="38" s="1"/>
  <c r="S124" i="38" s="1"/>
  <c r="Y120" i="38"/>
  <c r="Z120" i="38" s="1"/>
  <c r="AA120" i="38" s="1"/>
  <c r="AC120" i="38" s="1"/>
  <c r="Y116" i="38"/>
  <c r="Z116" i="38" s="1"/>
  <c r="AA116" i="38" s="1"/>
  <c r="AC116" i="38" s="1"/>
  <c r="O112" i="38"/>
  <c r="P112" i="38" s="1"/>
  <c r="Q112" i="38" s="1"/>
  <c r="S112" i="38" s="1"/>
  <c r="Y108" i="38"/>
  <c r="Z108" i="38" s="1"/>
  <c r="AA108" i="38" s="1"/>
  <c r="AC108" i="38" s="1"/>
  <c r="O104" i="38"/>
  <c r="P104" i="38" s="1"/>
  <c r="Q104" i="38" s="1"/>
  <c r="S104" i="38" s="1"/>
  <c r="Y100" i="38"/>
  <c r="Z100" i="38" s="1"/>
  <c r="AA100" i="38" s="1"/>
  <c r="AC100" i="38" s="1"/>
  <c r="O96" i="38"/>
  <c r="P96" i="38" s="1"/>
  <c r="Q96" i="38" s="1"/>
  <c r="S96" i="38" s="1"/>
  <c r="Y92" i="38"/>
  <c r="Z92" i="38" s="1"/>
  <c r="AA92" i="38" s="1"/>
  <c r="AC92" i="38" s="1"/>
  <c r="AI86" i="38"/>
  <c r="AJ86" i="38" s="1"/>
  <c r="AK86" i="38" s="1"/>
  <c r="AM86" i="38" s="1"/>
  <c r="Y84" i="38"/>
  <c r="Z84" i="38" s="1"/>
  <c r="AA84" i="38" s="1"/>
  <c r="AC84" i="38" s="1"/>
  <c r="Y68" i="38"/>
  <c r="Z68" i="38" s="1"/>
  <c r="AA68" i="38" s="1"/>
  <c r="AC68" i="38" s="1"/>
  <c r="O48" i="38"/>
  <c r="P48" i="38" s="1"/>
  <c r="Q48" i="38" s="1"/>
  <c r="S48" i="38" s="1"/>
  <c r="AS80" i="38"/>
  <c r="AT80" i="38" s="1"/>
  <c r="AU80" i="38" s="1"/>
  <c r="AW80" i="38" s="1"/>
  <c r="AS74" i="38"/>
  <c r="AT74" i="38" s="1"/>
  <c r="AU74" i="38" s="1"/>
  <c r="AW74" i="38" s="1"/>
  <c r="AS72" i="38"/>
  <c r="AT72" i="38" s="1"/>
  <c r="AU72" i="38" s="1"/>
  <c r="AW72" i="38" s="1"/>
  <c r="AI68" i="38"/>
  <c r="AJ68" i="38" s="1"/>
  <c r="AK68" i="38" s="1"/>
  <c r="AM68" i="38" s="1"/>
  <c r="AS64" i="38"/>
  <c r="AT64" i="38" s="1"/>
  <c r="AU64" i="38" s="1"/>
  <c r="AW64" i="38" s="1"/>
  <c r="Y62" i="38"/>
  <c r="Z62" i="38" s="1"/>
  <c r="AA62" i="38" s="1"/>
  <c r="AC62" i="38" s="1"/>
  <c r="Y52" i="38"/>
  <c r="Z52" i="38" s="1"/>
  <c r="AA52" i="38" s="1"/>
  <c r="AC52" i="38" s="1"/>
  <c r="Y46" i="38"/>
  <c r="Z46" i="38" s="1"/>
  <c r="AA46" i="38" s="1"/>
  <c r="AC46" i="38" s="1"/>
  <c r="AI42" i="38"/>
  <c r="AJ42" i="38" s="1"/>
  <c r="AK42" i="38" s="1"/>
  <c r="AM42" i="38" s="1"/>
  <c r="O34" i="38"/>
  <c r="P34" i="38" s="1"/>
  <c r="Q34" i="38" s="1"/>
  <c r="S34" i="38" s="1"/>
  <c r="AI60" i="38"/>
  <c r="AJ60" i="38" s="1"/>
  <c r="AK60" i="38" s="1"/>
  <c r="AM60" i="38" s="1"/>
  <c r="AS56" i="38"/>
  <c r="AT56" i="38" s="1"/>
  <c r="AU56" i="38" s="1"/>
  <c r="AW56" i="38" s="1"/>
  <c r="AI52" i="38"/>
  <c r="AJ52" i="38" s="1"/>
  <c r="AK52" i="38" s="1"/>
  <c r="AM52" i="38" s="1"/>
  <c r="AS48" i="38"/>
  <c r="AT48" i="38" s="1"/>
  <c r="AU48" i="38" s="1"/>
  <c r="AW48" i="38" s="1"/>
  <c r="AS44" i="38"/>
  <c r="AT44" i="38" s="1"/>
  <c r="AU44" i="38" s="1"/>
  <c r="AW44" i="38" s="1"/>
  <c r="AS40" i="38"/>
  <c r="AT40" i="38" s="1"/>
  <c r="AU40" i="38" s="1"/>
  <c r="AW40" i="38" s="1"/>
  <c r="AS36" i="38"/>
  <c r="AT36" i="38" s="1"/>
  <c r="AU36" i="38" s="1"/>
  <c r="AW36" i="38" s="1"/>
  <c r="AS32" i="38"/>
  <c r="AT32" i="38" s="1"/>
  <c r="AU32" i="38" s="1"/>
  <c r="AW32" i="38" s="1"/>
  <c r="AS27" i="38"/>
  <c r="AT27" i="38" s="1"/>
  <c r="AU27" i="38" s="1"/>
  <c r="AW27" i="38" s="1"/>
  <c r="AI23" i="38"/>
  <c r="AJ23" i="38" s="1"/>
  <c r="AK23" i="38" s="1"/>
  <c r="AM23" i="38" s="1"/>
  <c r="AS22" i="38"/>
  <c r="AT22" i="38" s="1"/>
  <c r="AU22" i="38" s="1"/>
  <c r="AW22" i="38" s="1"/>
  <c r="Y33" i="38"/>
  <c r="Z33" i="38" s="1"/>
  <c r="AA33" i="38" s="1"/>
  <c r="AC33" i="38" s="1"/>
  <c r="AI26" i="38"/>
  <c r="AJ26" i="38" s="1"/>
  <c r="AK26" i="38" s="1"/>
  <c r="AM26" i="38" s="1"/>
  <c r="Y31" i="38"/>
  <c r="Z31" i="38" s="1"/>
  <c r="AA31" i="38" s="1"/>
  <c r="AC31" i="38" s="1"/>
  <c r="AI41" i="38"/>
  <c r="AJ41" i="38" s="1"/>
  <c r="AK41" i="38" s="1"/>
  <c r="AM41" i="38" s="1"/>
  <c r="AI43" i="38"/>
  <c r="AJ43" i="38" s="1"/>
  <c r="AK43" i="38" s="1"/>
  <c r="AM43" i="38" s="1"/>
  <c r="AS53" i="38"/>
  <c r="AT53" i="38" s="1"/>
  <c r="AU53" i="38" s="1"/>
  <c r="AW53" i="38" s="1"/>
  <c r="Y65" i="38"/>
  <c r="Z65" i="38" s="1"/>
  <c r="AA65" i="38" s="1"/>
  <c r="AC65" i="38" s="1"/>
  <c r="Y37" i="38"/>
  <c r="Z37" i="38" s="1"/>
  <c r="AA37" i="38" s="1"/>
  <c r="AC37" i="38" s="1"/>
  <c r="AI57" i="38"/>
  <c r="AJ57" i="38" s="1"/>
  <c r="AK57" i="38" s="1"/>
  <c r="AM57" i="38" s="1"/>
  <c r="AI75" i="38"/>
  <c r="AJ75" i="38" s="1"/>
  <c r="AK75" i="38" s="1"/>
  <c r="AM75" i="38" s="1"/>
  <c r="AS85" i="38"/>
  <c r="AT85" i="38" s="1"/>
  <c r="AU85" i="38" s="1"/>
  <c r="AW85" i="38" s="1"/>
  <c r="Y97" i="38"/>
  <c r="Z97" i="38" s="1"/>
  <c r="AA97" i="38" s="1"/>
  <c r="AC97" i="38" s="1"/>
  <c r="AI107" i="38"/>
  <c r="AJ107" i="38" s="1"/>
  <c r="AK107" i="38" s="1"/>
  <c r="AM107" i="38" s="1"/>
  <c r="AS117" i="38"/>
  <c r="AT117" i="38" s="1"/>
  <c r="AU117" i="38" s="1"/>
  <c r="AW117" i="38" s="1"/>
  <c r="Y129" i="38"/>
  <c r="Z129" i="38" s="1"/>
  <c r="AA129" i="38" s="1"/>
  <c r="AC129" i="38" s="1"/>
  <c r="AI53" i="38"/>
  <c r="AJ53" i="38" s="1"/>
  <c r="AK53" i="38" s="1"/>
  <c r="AM53" i="38" s="1"/>
  <c r="AS75" i="38"/>
  <c r="AT75" i="38" s="1"/>
  <c r="AU75" i="38" s="1"/>
  <c r="AW75" i="38" s="1"/>
  <c r="Y87" i="38"/>
  <c r="Z87" i="38" s="1"/>
  <c r="AA87" i="38" s="1"/>
  <c r="AC87" i="38" s="1"/>
  <c r="AI101" i="38"/>
  <c r="AJ101" i="38" s="1"/>
  <c r="AK101" i="38" s="1"/>
  <c r="AM101" i="38" s="1"/>
  <c r="AS123" i="38"/>
  <c r="AT123" i="38" s="1"/>
  <c r="AU123" i="38" s="1"/>
  <c r="AW123" i="38" s="1"/>
  <c r="AS138" i="38"/>
  <c r="AT138" i="38" s="1"/>
  <c r="AU138" i="38" s="1"/>
  <c r="AW138" i="38" s="1"/>
  <c r="Y150" i="38"/>
  <c r="Z150" i="38" s="1"/>
  <c r="AA150" i="38" s="1"/>
  <c r="AC150" i="38" s="1"/>
  <c r="AI160" i="38"/>
  <c r="AJ160" i="38" s="1"/>
  <c r="AK160" i="38" s="1"/>
  <c r="AM160" i="38" s="1"/>
  <c r="AS170" i="38"/>
  <c r="AT170" i="38" s="1"/>
  <c r="AU170" i="38" s="1"/>
  <c r="AW170" i="38" s="1"/>
  <c r="Y103" i="38"/>
  <c r="Z103" i="38" s="1"/>
  <c r="AA103" i="38" s="1"/>
  <c r="AC103" i="38" s="1"/>
  <c r="AI121" i="38"/>
  <c r="AJ121" i="38" s="1"/>
  <c r="AK121" i="38" s="1"/>
  <c r="AM121" i="38" s="1"/>
  <c r="Y132" i="38"/>
  <c r="Z132" i="38" s="1"/>
  <c r="AA132" i="38" s="1"/>
  <c r="AC132" i="38" s="1"/>
  <c r="AS136" i="38"/>
  <c r="AT136" i="38" s="1"/>
  <c r="AU136" i="38" s="1"/>
  <c r="AW136" i="38" s="1"/>
  <c r="AI142" i="38"/>
  <c r="AJ142" i="38" s="1"/>
  <c r="AK142" i="38" s="1"/>
  <c r="AM142" i="38" s="1"/>
  <c r="Y148" i="38"/>
  <c r="Z148" i="38" s="1"/>
  <c r="AA148" i="38" s="1"/>
  <c r="AC148" i="38" s="1"/>
  <c r="AS152" i="38"/>
  <c r="AT152" i="38" s="1"/>
  <c r="AU152" i="38" s="1"/>
  <c r="AW152" i="38" s="1"/>
  <c r="AI158" i="38"/>
  <c r="AJ158" i="38" s="1"/>
  <c r="AK158" i="38" s="1"/>
  <c r="AM158" i="38" s="1"/>
  <c r="Y164" i="38"/>
  <c r="Z164" i="38" s="1"/>
  <c r="AA164" i="38" s="1"/>
  <c r="AC164" i="38" s="1"/>
  <c r="AS168" i="38"/>
  <c r="AT168" i="38" s="1"/>
  <c r="AU168" i="38" s="1"/>
  <c r="AW168" i="38" s="1"/>
  <c r="AI174" i="38"/>
  <c r="AJ174" i="38" s="1"/>
  <c r="AK174" i="38" s="1"/>
  <c r="AM174" i="38" s="1"/>
  <c r="AS178" i="38"/>
  <c r="AT178" i="38" s="1"/>
  <c r="AU178" i="38" s="1"/>
  <c r="AW178" i="38" s="1"/>
  <c r="AI184" i="38"/>
  <c r="AJ184" i="38" s="1"/>
  <c r="AK184" i="38" s="1"/>
  <c r="AM184" i="38" s="1"/>
  <c r="Y190" i="38"/>
  <c r="Z190" i="38" s="1"/>
  <c r="AA190" i="38" s="1"/>
  <c r="AC190" i="38" s="1"/>
  <c r="AS194" i="38"/>
  <c r="AT194" i="38" s="1"/>
  <c r="AU194" i="38" s="1"/>
  <c r="AW194" i="38" s="1"/>
  <c r="AI200" i="38"/>
  <c r="AJ200" i="38" s="1"/>
  <c r="AK200" i="38" s="1"/>
  <c r="AM200" i="38" s="1"/>
  <c r="Y206" i="38"/>
  <c r="Z206" i="38" s="1"/>
  <c r="AA206" i="38" s="1"/>
  <c r="AC206" i="38" s="1"/>
  <c r="AS210" i="38"/>
  <c r="AT210" i="38" s="1"/>
  <c r="AU210" i="38" s="1"/>
  <c r="AW210" i="38" s="1"/>
  <c r="AI216" i="38"/>
  <c r="AJ216" i="38" s="1"/>
  <c r="AK216" i="38" s="1"/>
  <c r="AM216" i="38" s="1"/>
  <c r="Y222" i="38"/>
  <c r="Z222" i="38" s="1"/>
  <c r="AA222" i="38" s="1"/>
  <c r="AC222" i="38" s="1"/>
  <c r="AS180" i="38"/>
  <c r="AT180" i="38" s="1"/>
  <c r="AU180" i="38" s="1"/>
  <c r="AW180" i="38" s="1"/>
  <c r="Y192" i="38"/>
  <c r="Z192" i="38" s="1"/>
  <c r="AA192" i="38" s="1"/>
  <c r="AC192" i="38" s="1"/>
  <c r="AI202" i="38"/>
  <c r="AJ202" i="38" s="1"/>
  <c r="AK202" i="38" s="1"/>
  <c r="AM202" i="38" s="1"/>
  <c r="AS212" i="38"/>
  <c r="AT212" i="38" s="1"/>
  <c r="AU212" i="38" s="1"/>
  <c r="AW212" i="38" s="1"/>
  <c r="Y224" i="38"/>
  <c r="Z224" i="38" s="1"/>
  <c r="AA224" i="38" s="1"/>
  <c r="AC224" i="38" s="1"/>
  <c r="AI256" i="38"/>
  <c r="AJ256" i="38" s="1"/>
  <c r="AK256" i="38" s="1"/>
  <c r="AM256" i="38" s="1"/>
  <c r="AS266" i="38"/>
  <c r="AT266" i="38" s="1"/>
  <c r="AU266" i="38" s="1"/>
  <c r="AW266" i="38" s="1"/>
  <c r="AI250" i="38"/>
  <c r="AJ250" i="38" s="1"/>
  <c r="AK250" i="38" s="1"/>
  <c r="AM250" i="38" s="1"/>
  <c r="AS264" i="38"/>
  <c r="AT264" i="38" s="1"/>
  <c r="AU264" i="38" s="1"/>
  <c r="AW264" i="38" s="1"/>
  <c r="Y30" i="38"/>
  <c r="Z30" i="38" s="1"/>
  <c r="AA30" i="38" s="1"/>
  <c r="AC30" i="38" s="1"/>
  <c r="Y45" i="38"/>
  <c r="Z45" i="38" s="1"/>
  <c r="AA45" i="38" s="1"/>
  <c r="AC45" i="38" s="1"/>
  <c r="AS57" i="38"/>
  <c r="AT57" i="38" s="1"/>
  <c r="AU57" i="38" s="1"/>
  <c r="AW57" i="38" s="1"/>
  <c r="Y69" i="38"/>
  <c r="Z69" i="38" s="1"/>
  <c r="AA69" i="38" s="1"/>
  <c r="AC69" i="38" s="1"/>
  <c r="Y47" i="38"/>
  <c r="Z47" i="38" s="1"/>
  <c r="AA47" i="38" s="1"/>
  <c r="AC47" i="38" s="1"/>
  <c r="AI65" i="38"/>
  <c r="AJ65" i="38" s="1"/>
  <c r="AK65" i="38" s="1"/>
  <c r="AM65" i="38" s="1"/>
  <c r="AI79" i="38"/>
  <c r="AJ79" i="38" s="1"/>
  <c r="AK79" i="38" s="1"/>
  <c r="AM79" i="38" s="1"/>
  <c r="AS89" i="38"/>
  <c r="AT89" i="38" s="1"/>
  <c r="AU89" i="38" s="1"/>
  <c r="AW89" i="38" s="1"/>
  <c r="Y101" i="38"/>
  <c r="Z101" i="38" s="1"/>
  <c r="AA101" i="38" s="1"/>
  <c r="AC101" i="38" s="1"/>
  <c r="AI111" i="38"/>
  <c r="AJ111" i="38" s="1"/>
  <c r="AK111" i="38" s="1"/>
  <c r="AM111" i="38" s="1"/>
  <c r="AS121" i="38"/>
  <c r="AT121" i="38" s="1"/>
  <c r="AU121" i="38" s="1"/>
  <c r="AW121" i="38" s="1"/>
  <c r="AS26" i="38"/>
  <c r="AT26" i="38" s="1"/>
  <c r="AU26" i="38" s="1"/>
  <c r="AW26" i="38" s="1"/>
  <c r="AI61" i="38"/>
  <c r="AJ61" i="38" s="1"/>
  <c r="AK61" i="38" s="1"/>
  <c r="AM61" i="38" s="1"/>
  <c r="AS79" i="38"/>
  <c r="AT79" i="38" s="1"/>
  <c r="AU79" i="38" s="1"/>
  <c r="AW79" i="38" s="1"/>
  <c r="Y91" i="38"/>
  <c r="Z91" i="38" s="1"/>
  <c r="AA91" i="38" s="1"/>
  <c r="AC91" i="38" s="1"/>
  <c r="AI109" i="38"/>
  <c r="AJ109" i="38" s="1"/>
  <c r="AK109" i="38" s="1"/>
  <c r="AM109" i="38" s="1"/>
  <c r="AI132" i="38"/>
  <c r="AJ132" i="38" s="1"/>
  <c r="AK132" i="38" s="1"/>
  <c r="AM132" i="38" s="1"/>
  <c r="AS142" i="38"/>
  <c r="AT142" i="38" s="1"/>
  <c r="AU142" i="38" s="1"/>
  <c r="AW142" i="38" s="1"/>
  <c r="Y154" i="38"/>
  <c r="Z154" i="38" s="1"/>
  <c r="AA154" i="38" s="1"/>
  <c r="AC154" i="38" s="1"/>
  <c r="AI164" i="38"/>
  <c r="AJ164" i="38" s="1"/>
  <c r="AK164" i="38" s="1"/>
  <c r="AM164" i="38" s="1"/>
  <c r="AS174" i="38"/>
  <c r="AT174" i="38" s="1"/>
  <c r="AU174" i="38" s="1"/>
  <c r="AW174" i="38" s="1"/>
  <c r="Y111" i="38"/>
  <c r="Z111" i="38" s="1"/>
  <c r="AA111" i="38" s="1"/>
  <c r="AC111" i="38" s="1"/>
  <c r="AI182" i="38"/>
  <c r="AJ182" i="38" s="1"/>
  <c r="AK182" i="38" s="1"/>
  <c r="AM182" i="38" s="1"/>
  <c r="AS192" i="38"/>
  <c r="AT192" i="38" s="1"/>
  <c r="AU192" i="38" s="1"/>
  <c r="AW192" i="38" s="1"/>
  <c r="Y204" i="38"/>
  <c r="Z204" i="38" s="1"/>
  <c r="AA204" i="38" s="1"/>
  <c r="AC204" i="38" s="1"/>
  <c r="AI214" i="38"/>
  <c r="AJ214" i="38" s="1"/>
  <c r="AK214" i="38" s="1"/>
  <c r="AM214" i="38" s="1"/>
  <c r="AS224" i="38"/>
  <c r="AT224" i="38" s="1"/>
  <c r="AU224" i="38" s="1"/>
  <c r="AW224" i="38" s="1"/>
  <c r="Y258" i="38"/>
  <c r="Z258" i="38" s="1"/>
  <c r="AA258" i="38" s="1"/>
  <c r="AC258" i="38" s="1"/>
  <c r="AI268" i="38"/>
  <c r="AJ268" i="38" s="1"/>
  <c r="AK268" i="38" s="1"/>
  <c r="AM268" i="38" s="1"/>
  <c r="Y252" i="38"/>
  <c r="Z252" i="38" s="1"/>
  <c r="AA252" i="38" s="1"/>
  <c r="AC252" i="38" s="1"/>
  <c r="AI266" i="38"/>
  <c r="AJ266" i="38" s="1"/>
  <c r="AK266" i="38" s="1"/>
  <c r="AM266" i="38" s="1"/>
  <c r="AS31" i="38"/>
  <c r="AT31" i="38" s="1"/>
  <c r="AU31" i="38" s="1"/>
  <c r="AW31" i="38" s="1"/>
  <c r="AS41" i="38"/>
  <c r="AT41" i="38" s="1"/>
  <c r="AU41" i="38" s="1"/>
  <c r="AW41" i="38" s="1"/>
  <c r="AS28" i="38"/>
  <c r="AT28" i="38" s="1"/>
  <c r="AU28" i="38" s="1"/>
  <c r="AW28" i="38" s="1"/>
  <c r="AI33" i="38"/>
  <c r="AJ33" i="38" s="1"/>
  <c r="AK33" i="38" s="1"/>
  <c r="AM33" i="38" s="1"/>
  <c r="AS43" i="38"/>
  <c r="AT43" i="38" s="1"/>
  <c r="AU43" i="38" s="1"/>
  <c r="AW43" i="38" s="1"/>
  <c r="AS45" i="38"/>
  <c r="AT45" i="38" s="1"/>
  <c r="AU45" i="38" s="1"/>
  <c r="AW45" i="38" s="1"/>
  <c r="Y57" i="38"/>
  <c r="Z57" i="38" s="1"/>
  <c r="AA57" i="38" s="1"/>
  <c r="AC57" i="38" s="1"/>
  <c r="AI67" i="38"/>
  <c r="AJ67" i="38" s="1"/>
  <c r="AK67" i="38" s="1"/>
  <c r="AM67" i="38" s="1"/>
  <c r="AI39" i="38"/>
  <c r="AJ39" i="38" s="1"/>
  <c r="AK39" i="38" s="1"/>
  <c r="AM39" i="38" s="1"/>
  <c r="AS63" i="38"/>
  <c r="AT63" i="38" s="1"/>
  <c r="AU63" i="38" s="1"/>
  <c r="AW63" i="38" s="1"/>
  <c r="AS77" i="38"/>
  <c r="AT77" i="38" s="1"/>
  <c r="AU77" i="38" s="1"/>
  <c r="AW77" i="38" s="1"/>
  <c r="Y89" i="38"/>
  <c r="Z89" i="38" s="1"/>
  <c r="AA89" i="38" s="1"/>
  <c r="AC89" i="38" s="1"/>
  <c r="AI99" i="38"/>
  <c r="AJ99" i="38" s="1"/>
  <c r="AK99" i="38" s="1"/>
  <c r="AM99" i="38" s="1"/>
  <c r="AS109" i="38"/>
  <c r="AT109" i="38" s="1"/>
  <c r="AU109" i="38" s="1"/>
  <c r="AW109" i="38" s="1"/>
  <c r="Y121" i="38"/>
  <c r="Z121" i="38" s="1"/>
  <c r="AA121" i="38" s="1"/>
  <c r="AC121" i="38" s="1"/>
  <c r="Y26" i="38"/>
  <c r="Z26" i="38" s="1"/>
  <c r="AA26" i="38" s="1"/>
  <c r="AC26" i="38" s="1"/>
  <c r="AS59" i="38"/>
  <c r="AT59" i="38" s="1"/>
  <c r="AU59" i="38" s="1"/>
  <c r="AW59" i="38" s="1"/>
  <c r="Y79" i="38"/>
  <c r="Z79" i="38" s="1"/>
  <c r="AA79" i="38" s="1"/>
  <c r="AC79" i="38" s="1"/>
  <c r="AI89" i="38"/>
  <c r="AJ89" i="38" s="1"/>
  <c r="AK89" i="38" s="1"/>
  <c r="AM89" i="38" s="1"/>
  <c r="AS107" i="38"/>
  <c r="AT107" i="38" s="1"/>
  <c r="AU107" i="38" s="1"/>
  <c r="AW107" i="38" s="1"/>
  <c r="Y131" i="38"/>
  <c r="Z131" i="38" s="1"/>
  <c r="AA131" i="38" s="1"/>
  <c r="AC131" i="38" s="1"/>
  <c r="Y142" i="38"/>
  <c r="Z142" i="38" s="1"/>
  <c r="AA142" i="38" s="1"/>
  <c r="AC142" i="38" s="1"/>
  <c r="AI152" i="38"/>
  <c r="AJ152" i="38" s="1"/>
  <c r="AK152" i="38" s="1"/>
  <c r="AM152" i="38" s="1"/>
  <c r="AS162" i="38"/>
  <c r="AT162" i="38" s="1"/>
  <c r="AU162" i="38" s="1"/>
  <c r="AW162" i="38" s="1"/>
  <c r="Y174" i="38"/>
  <c r="Z174" i="38" s="1"/>
  <c r="AA174" i="38" s="1"/>
  <c r="AC174" i="38" s="1"/>
  <c r="AI105" i="38"/>
  <c r="AJ105" i="38" s="1"/>
  <c r="AK105" i="38" s="1"/>
  <c r="AM105" i="38" s="1"/>
  <c r="Y127" i="38"/>
  <c r="Z127" i="38" s="1"/>
  <c r="AA127" i="38" s="1"/>
  <c r="AC127" i="38" s="1"/>
  <c r="AS132" i="38"/>
  <c r="AT132" i="38" s="1"/>
  <c r="AU132" i="38" s="1"/>
  <c r="AW132" i="38" s="1"/>
  <c r="AI138" i="38"/>
  <c r="AJ138" i="38" s="1"/>
  <c r="AK138" i="38" s="1"/>
  <c r="AM138" i="38" s="1"/>
  <c r="Y144" i="38"/>
  <c r="Z144" i="38" s="1"/>
  <c r="AA144" i="38" s="1"/>
  <c r="AC144" i="38" s="1"/>
  <c r="AS148" i="38"/>
  <c r="AT148" i="38" s="1"/>
  <c r="AU148" i="38" s="1"/>
  <c r="AW148" i="38" s="1"/>
  <c r="AI154" i="38"/>
  <c r="AJ154" i="38" s="1"/>
  <c r="AK154" i="38" s="1"/>
  <c r="AM154" i="38" s="1"/>
  <c r="Y160" i="38"/>
  <c r="Z160" i="38" s="1"/>
  <c r="AA160" i="38" s="1"/>
  <c r="AC160" i="38" s="1"/>
  <c r="AS164" i="38"/>
  <c r="AT164" i="38" s="1"/>
  <c r="AU164" i="38" s="1"/>
  <c r="AW164" i="38" s="1"/>
  <c r="AI170" i="38"/>
  <c r="AJ170" i="38" s="1"/>
  <c r="AK170" i="38" s="1"/>
  <c r="AM170" i="38" s="1"/>
  <c r="Y176" i="38"/>
  <c r="Z176" i="38" s="1"/>
  <c r="AA176" i="38" s="1"/>
  <c r="AC176" i="38" s="1"/>
  <c r="AI180" i="38"/>
  <c r="AJ180" i="38" s="1"/>
  <c r="AK180" i="38" s="1"/>
  <c r="AM180" i="38" s="1"/>
  <c r="Y186" i="38"/>
  <c r="Z186" i="38" s="1"/>
  <c r="AA186" i="38" s="1"/>
  <c r="AC186" i="38" s="1"/>
  <c r="AS190" i="38"/>
  <c r="AT190" i="38" s="1"/>
  <c r="AU190" i="38" s="1"/>
  <c r="AW190" i="38" s="1"/>
  <c r="AI196" i="38"/>
  <c r="AJ196" i="38" s="1"/>
  <c r="AK196" i="38" s="1"/>
  <c r="AM196" i="38" s="1"/>
  <c r="Y202" i="38"/>
  <c r="Z202" i="38" s="1"/>
  <c r="AA202" i="38" s="1"/>
  <c r="AC202" i="38" s="1"/>
  <c r="AS206" i="38"/>
  <c r="AT206" i="38" s="1"/>
  <c r="AU206" i="38" s="1"/>
  <c r="AW206" i="38" s="1"/>
  <c r="AI212" i="38"/>
  <c r="AJ212" i="38" s="1"/>
  <c r="AK212" i="38" s="1"/>
  <c r="AM212" i="38" s="1"/>
  <c r="Y218" i="38"/>
  <c r="Z218" i="38" s="1"/>
  <c r="AA218" i="38" s="1"/>
  <c r="AC218" i="38" s="1"/>
  <c r="AS222" i="38"/>
  <c r="AT222" i="38" s="1"/>
  <c r="AU222" i="38" s="1"/>
  <c r="AW222" i="38" s="1"/>
  <c r="Y184" i="38"/>
  <c r="Z184" i="38" s="1"/>
  <c r="AA184" i="38" s="1"/>
  <c r="AC184" i="38" s="1"/>
  <c r="AI194" i="38"/>
  <c r="AJ194" i="38" s="1"/>
  <c r="AK194" i="38" s="1"/>
  <c r="AM194" i="38" s="1"/>
  <c r="AS204" i="38"/>
  <c r="AT204" i="38" s="1"/>
  <c r="AU204" i="38" s="1"/>
  <c r="AW204" i="38" s="1"/>
  <c r="Y216" i="38"/>
  <c r="Z216" i="38" s="1"/>
  <c r="AA216" i="38" s="1"/>
  <c r="AC216" i="38" s="1"/>
  <c r="AI248" i="38"/>
  <c r="AJ248" i="38" s="1"/>
  <c r="AK248" i="38" s="1"/>
  <c r="AM248" i="38" s="1"/>
  <c r="AS258" i="38"/>
  <c r="AT258" i="38" s="1"/>
  <c r="AU258" i="38" s="1"/>
  <c r="AW258" i="38" s="1"/>
  <c r="Y248" i="38"/>
  <c r="Z248" i="38" s="1"/>
  <c r="AA248" i="38" s="1"/>
  <c r="AC248" i="38" s="1"/>
  <c r="AS252" i="38"/>
  <c r="AT252" i="38" s="1"/>
  <c r="AU252" i="38" s="1"/>
  <c r="AW252" i="38" s="1"/>
  <c r="Y268" i="38"/>
  <c r="Z268" i="38" s="1"/>
  <c r="AA268" i="38" s="1"/>
  <c r="AC268" i="38" s="1"/>
  <c r="Y35" i="38"/>
  <c r="Z35" i="38" s="1"/>
  <c r="AA35" i="38" s="1"/>
  <c r="AC35" i="38" s="1"/>
  <c r="AS49" i="38"/>
  <c r="AT49" i="38" s="1"/>
  <c r="AU49" i="38" s="1"/>
  <c r="AW49" i="38" s="1"/>
  <c r="Y61" i="38"/>
  <c r="Z61" i="38" s="1"/>
  <c r="AA61" i="38" s="1"/>
  <c r="AC61" i="38" s="1"/>
  <c r="AI71" i="38"/>
  <c r="AJ71" i="38" s="1"/>
  <c r="AK71" i="38" s="1"/>
  <c r="AM71" i="38" s="1"/>
  <c r="AI49" i="38"/>
  <c r="AJ49" i="38" s="1"/>
  <c r="AK49" i="38" s="1"/>
  <c r="AM49" i="38" s="1"/>
  <c r="AS71" i="38"/>
  <c r="AT71" i="38" s="1"/>
  <c r="AU71" i="38" s="1"/>
  <c r="AW71" i="38" s="1"/>
  <c r="AS81" i="38"/>
  <c r="AT81" i="38" s="1"/>
  <c r="AU81" i="38" s="1"/>
  <c r="AW81" i="38" s="1"/>
  <c r="Y93" i="38"/>
  <c r="Z93" i="38" s="1"/>
  <c r="AA93" i="38" s="1"/>
  <c r="AC93" i="38" s="1"/>
  <c r="AI103" i="38"/>
  <c r="AJ103" i="38" s="1"/>
  <c r="AK103" i="38" s="1"/>
  <c r="AM103" i="38" s="1"/>
  <c r="AS113" i="38"/>
  <c r="AT113" i="38" s="1"/>
  <c r="AU113" i="38" s="1"/>
  <c r="AW113" i="38" s="1"/>
  <c r="Y125" i="38"/>
  <c r="Z125" i="38" s="1"/>
  <c r="AA125" i="38" s="1"/>
  <c r="AC125" i="38" s="1"/>
  <c r="AI45" i="38"/>
  <c r="AJ45" i="38" s="1"/>
  <c r="AK45" i="38" s="1"/>
  <c r="AM45" i="38" s="1"/>
  <c r="AS67" i="38"/>
  <c r="AT67" i="38" s="1"/>
  <c r="AU67" i="38" s="1"/>
  <c r="AW67" i="38" s="1"/>
  <c r="Y83" i="38"/>
  <c r="Z83" i="38" s="1"/>
  <c r="AA83" i="38" s="1"/>
  <c r="AC83" i="38" s="1"/>
  <c r="AI93" i="38"/>
  <c r="AJ93" i="38" s="1"/>
  <c r="AK93" i="38" s="1"/>
  <c r="AM93" i="38" s="1"/>
  <c r="AS115" i="38"/>
  <c r="AT115" i="38" s="1"/>
  <c r="AU115" i="38" s="1"/>
  <c r="AW115" i="38" s="1"/>
  <c r="AS134" i="38"/>
  <c r="AT134" i="38" s="1"/>
  <c r="AU134" i="38" s="1"/>
  <c r="AW134" i="38" s="1"/>
  <c r="Y146" i="38"/>
  <c r="Z146" i="38" s="1"/>
  <c r="AA146" i="38" s="1"/>
  <c r="AC146" i="38" s="1"/>
  <c r="AI156" i="38"/>
  <c r="AJ156" i="38" s="1"/>
  <c r="AK156" i="38" s="1"/>
  <c r="AM156" i="38" s="1"/>
  <c r="AS166" i="38"/>
  <c r="AT166" i="38" s="1"/>
  <c r="AU166" i="38" s="1"/>
  <c r="AW166" i="38" s="1"/>
  <c r="Y95" i="38"/>
  <c r="Z95" i="38" s="1"/>
  <c r="AA95" i="38" s="1"/>
  <c r="AC95" i="38" s="1"/>
  <c r="AI113" i="38"/>
  <c r="AJ113" i="38" s="1"/>
  <c r="AK113" i="38" s="1"/>
  <c r="AM113" i="38" s="1"/>
  <c r="AS184" i="38"/>
  <c r="AT184" i="38" s="1"/>
  <c r="AU184" i="38" s="1"/>
  <c r="AW184" i="38" s="1"/>
  <c r="Y196" i="38"/>
  <c r="Z196" i="38" s="1"/>
  <c r="AA196" i="38" s="1"/>
  <c r="AC196" i="38" s="1"/>
  <c r="AI206" i="38"/>
  <c r="AJ206" i="38" s="1"/>
  <c r="AK206" i="38" s="1"/>
  <c r="AM206" i="38" s="1"/>
  <c r="AS216" i="38"/>
  <c r="AT216" i="38" s="1"/>
  <c r="AU216" i="38" s="1"/>
  <c r="AW216" i="38" s="1"/>
  <c r="Y250" i="38"/>
  <c r="Z250" i="38" s="1"/>
  <c r="AA250" i="38" s="1"/>
  <c r="AC250" i="38" s="1"/>
  <c r="AI260" i="38"/>
  <c r="AJ260" i="38" s="1"/>
  <c r="AK260" i="38" s="1"/>
  <c r="AM260" i="38" s="1"/>
  <c r="Y256" i="38"/>
  <c r="Z256" i="38" s="1"/>
  <c r="AA256" i="38" s="1"/>
  <c r="AC256" i="38" s="1"/>
  <c r="AI254" i="38"/>
  <c r="AJ254" i="38" s="1"/>
  <c r="AK254" i="38" s="1"/>
  <c r="AM254" i="38" s="1"/>
  <c r="Y9" i="38"/>
  <c r="Z9" i="38" s="1"/>
  <c r="AA9" i="38" s="1"/>
  <c r="AC9" i="38" s="1"/>
  <c r="AI10" i="38"/>
  <c r="AJ10" i="38" s="1"/>
  <c r="AK10" i="38" s="1"/>
  <c r="AM10" i="38" s="1"/>
  <c r="O12" i="38"/>
  <c r="P12" i="38" s="1"/>
  <c r="Q12" i="38" s="1"/>
  <c r="S12" i="38" s="1"/>
  <c r="Y13" i="38"/>
  <c r="Z13" i="38" s="1"/>
  <c r="AA13" i="38" s="1"/>
  <c r="AC13" i="38" s="1"/>
  <c r="AI14" i="38"/>
  <c r="AJ14" i="38" s="1"/>
  <c r="AK14" i="38" s="1"/>
  <c r="AM14" i="38" s="1"/>
  <c r="O16" i="38"/>
  <c r="P16" i="38" s="1"/>
  <c r="Q16" i="38" s="1"/>
  <c r="S16" i="38" s="1"/>
  <c r="AI9" i="38"/>
  <c r="AJ9" i="38" s="1"/>
  <c r="AK9" i="38" s="1"/>
  <c r="AM9" i="38" s="1"/>
  <c r="O11" i="38"/>
  <c r="P11" i="38" s="1"/>
  <c r="Q11" i="38" s="1"/>
  <c r="S11" i="38" s="1"/>
  <c r="Y12" i="38"/>
  <c r="Z12" i="38" s="1"/>
  <c r="AA12" i="38" s="1"/>
  <c r="AC12" i="38" s="1"/>
  <c r="AI13" i="38"/>
  <c r="AJ13" i="38" s="1"/>
  <c r="AK13" i="38" s="1"/>
  <c r="AM13" i="38" s="1"/>
  <c r="O15" i="38"/>
  <c r="P15" i="38" s="1"/>
  <c r="Q15" i="38" s="1"/>
  <c r="S15" i="38" s="1"/>
  <c r="AI8" i="38"/>
  <c r="AJ8" i="38" s="1"/>
  <c r="AK8" i="38" s="1"/>
  <c r="AM8" i="38" s="1"/>
  <c r="O17" i="38"/>
  <c r="P17" i="38" s="1"/>
  <c r="Q17" i="38" s="1"/>
  <c r="S17" i="38" s="1"/>
  <c r="Y18" i="38"/>
  <c r="Z18" i="38" s="1"/>
  <c r="AA18" i="38" s="1"/>
  <c r="AC18" i="38" s="1"/>
  <c r="E14" i="38"/>
  <c r="F14" i="38" s="1"/>
  <c r="G14" i="38" s="1"/>
  <c r="I14" i="38" s="1"/>
  <c r="E10" i="38"/>
  <c r="F10" i="38" s="1"/>
  <c r="G10" i="38" s="1"/>
  <c r="I10" i="38" s="1"/>
  <c r="AS21" i="38"/>
  <c r="AI16" i="38"/>
  <c r="AJ16" i="38" s="1"/>
  <c r="AK16" i="38" s="1"/>
  <c r="AM16" i="38" s="1"/>
  <c r="O18" i="38"/>
  <c r="P18" i="38" s="1"/>
  <c r="Q18" i="38" s="1"/>
  <c r="S18" i="38" s="1"/>
  <c r="Y19" i="38"/>
  <c r="Z19" i="38" s="1"/>
  <c r="AA19" i="38" s="1"/>
  <c r="AC19" i="38" s="1"/>
  <c r="AS13" i="38"/>
  <c r="AT13" i="38" s="1"/>
  <c r="AU13" i="38" s="1"/>
  <c r="AW13" i="38" s="1"/>
  <c r="AS9" i="38"/>
  <c r="AT9" i="38" s="1"/>
  <c r="AU9" i="38" s="1"/>
  <c r="AW9" i="38" s="1"/>
  <c r="AS20" i="38"/>
  <c r="AT20" i="38" s="1"/>
  <c r="AU20" i="38" s="1"/>
  <c r="AW20" i="38" s="1"/>
  <c r="AI17" i="38"/>
  <c r="AJ17" i="38" s="1"/>
  <c r="AK17" i="38" s="1"/>
  <c r="AM17" i="38" s="1"/>
  <c r="O19" i="38"/>
  <c r="P19" i="38" s="1"/>
  <c r="Q19" i="38" s="1"/>
  <c r="S19" i="38" s="1"/>
  <c r="Y20" i="38"/>
  <c r="Z20" i="38" s="1"/>
  <c r="AA20" i="38" s="1"/>
  <c r="AC20" i="38" s="1"/>
  <c r="AS12" i="38"/>
  <c r="AT12" i="38" s="1"/>
  <c r="AU12" i="38" s="1"/>
  <c r="AW12" i="38" s="1"/>
  <c r="AS8" i="38"/>
  <c r="AT8" i="38" s="1"/>
  <c r="AU8" i="38" s="1"/>
  <c r="AW8" i="38" s="1"/>
  <c r="E8" i="38"/>
  <c r="F8" i="38" s="1"/>
  <c r="G8" i="38" s="1"/>
  <c r="I8" i="38" s="1"/>
  <c r="AI18" i="38"/>
  <c r="AJ18" i="38" s="1"/>
  <c r="AK18" i="38" s="1"/>
  <c r="AM18" i="38" s="1"/>
  <c r="O20" i="38"/>
  <c r="P20" i="38" s="1"/>
  <c r="Q20" i="38" s="1"/>
  <c r="S20" i="38" s="1"/>
  <c r="Y21" i="38"/>
  <c r="Z21" i="38" s="1"/>
  <c r="AA21" i="38" s="1"/>
  <c r="AC21" i="38" s="1"/>
  <c r="E13" i="38"/>
  <c r="F13" i="38" s="1"/>
  <c r="G13" i="38" s="1"/>
  <c r="I13" i="38" s="1"/>
  <c r="E9" i="38"/>
  <c r="F9" i="38" s="1"/>
  <c r="G9" i="38" s="1"/>
  <c r="I9" i="38" s="1"/>
  <c r="E17" i="38"/>
  <c r="F17" i="38" s="1"/>
  <c r="G17" i="38" s="1"/>
  <c r="I17" i="38" s="1"/>
  <c r="AI8" i="37"/>
  <c r="AJ8" i="37" s="1"/>
  <c r="AK8" i="37" s="1"/>
  <c r="AM8" i="37" s="1"/>
  <c r="E8" i="37"/>
  <c r="Y20" i="37"/>
  <c r="Z20" i="37" s="1"/>
  <c r="AA20" i="37" s="1"/>
  <c r="AC20" i="37" s="1"/>
  <c r="AI267" i="37"/>
  <c r="AJ267" i="37" s="1"/>
  <c r="AK267" i="37" s="1"/>
  <c r="AM267" i="37" s="1"/>
  <c r="AI259" i="37"/>
  <c r="AJ259" i="37" s="1"/>
  <c r="AK259" i="37" s="1"/>
  <c r="AM259" i="37" s="1"/>
  <c r="AI251" i="37"/>
  <c r="AJ251" i="37" s="1"/>
  <c r="AK251" i="37" s="1"/>
  <c r="AM251" i="37" s="1"/>
  <c r="AI243" i="37"/>
  <c r="AJ243" i="37" s="1"/>
  <c r="AK243" i="37" s="1"/>
  <c r="AM243" i="37" s="1"/>
  <c r="AI235" i="37"/>
  <c r="AJ235" i="37" s="1"/>
  <c r="AK235" i="37" s="1"/>
  <c r="AM235" i="37" s="1"/>
  <c r="AI227" i="37"/>
  <c r="AJ227" i="37" s="1"/>
  <c r="AK227" i="37" s="1"/>
  <c r="AM227" i="37" s="1"/>
  <c r="AI219" i="37"/>
  <c r="AJ219" i="37" s="1"/>
  <c r="AK219" i="37" s="1"/>
  <c r="AM219" i="37" s="1"/>
  <c r="AI211" i="37"/>
  <c r="AJ211" i="37" s="1"/>
  <c r="AK211" i="37" s="1"/>
  <c r="AM211" i="37" s="1"/>
  <c r="AI203" i="37"/>
  <c r="AJ203" i="37" s="1"/>
  <c r="AK203" i="37" s="1"/>
  <c r="AM203" i="37" s="1"/>
  <c r="AI195" i="37"/>
  <c r="AJ195" i="37" s="1"/>
  <c r="AK195" i="37" s="1"/>
  <c r="AM195" i="37" s="1"/>
  <c r="AI187" i="37"/>
  <c r="AJ187" i="37" s="1"/>
  <c r="AK187" i="37" s="1"/>
  <c r="AM187" i="37" s="1"/>
  <c r="AI35" i="37"/>
  <c r="AJ35" i="37" s="1"/>
  <c r="AK35" i="37" s="1"/>
  <c r="AM35" i="37" s="1"/>
  <c r="AS134" i="37"/>
  <c r="AT134" i="37" s="1"/>
  <c r="AU134" i="37" s="1"/>
  <c r="AW134" i="37" s="1"/>
  <c r="AS14" i="37"/>
  <c r="AT14" i="37" s="1"/>
  <c r="AU14" i="37" s="1"/>
  <c r="AW14" i="37" s="1"/>
  <c r="O97" i="37"/>
  <c r="P97" i="37" s="1"/>
  <c r="Q97" i="37" s="1"/>
  <c r="S97" i="37" s="1"/>
  <c r="O45" i="37"/>
  <c r="P45" i="37" s="1"/>
  <c r="Q45" i="37" s="1"/>
  <c r="S45" i="37" s="1"/>
  <c r="O37" i="37"/>
  <c r="P37" i="37" s="1"/>
  <c r="Q37" i="37" s="1"/>
  <c r="S37" i="37" s="1"/>
  <c r="O29" i="37"/>
  <c r="P29" i="37" s="1"/>
  <c r="Q29" i="37" s="1"/>
  <c r="S29" i="37" s="1"/>
  <c r="O21" i="37"/>
  <c r="P21" i="37" s="1"/>
  <c r="Q21" i="37" s="1"/>
  <c r="S21" i="37" s="1"/>
  <c r="O13" i="37"/>
  <c r="P13" i="37" s="1"/>
  <c r="Q13" i="37" s="1"/>
  <c r="S13" i="37" s="1"/>
  <c r="Y264" i="37"/>
  <c r="Z264" i="37" s="1"/>
  <c r="AA264" i="37" s="1"/>
  <c r="AC264" i="37" s="1"/>
  <c r="Y256" i="37"/>
  <c r="Z256" i="37" s="1"/>
  <c r="AA256" i="37" s="1"/>
  <c r="AC256" i="37" s="1"/>
  <c r="Y248" i="37"/>
  <c r="Z248" i="37" s="1"/>
  <c r="AA248" i="37" s="1"/>
  <c r="AC248" i="37" s="1"/>
  <c r="Y240" i="37"/>
  <c r="Z240" i="37" s="1"/>
  <c r="AA240" i="37" s="1"/>
  <c r="AC240" i="37" s="1"/>
  <c r="Y232" i="37"/>
  <c r="Z232" i="37" s="1"/>
  <c r="AA232" i="37" s="1"/>
  <c r="AC232" i="37" s="1"/>
  <c r="Y224" i="37"/>
  <c r="Z224" i="37" s="1"/>
  <c r="AA224" i="37" s="1"/>
  <c r="AC224" i="37" s="1"/>
  <c r="Y216" i="37"/>
  <c r="Z216" i="37" s="1"/>
  <c r="AA216" i="37" s="1"/>
  <c r="AC216" i="37" s="1"/>
  <c r="Y208" i="37"/>
  <c r="Z208" i="37" s="1"/>
  <c r="AA208" i="37" s="1"/>
  <c r="AC208" i="37" s="1"/>
  <c r="Y200" i="37"/>
  <c r="Z200" i="37" s="1"/>
  <c r="AA200" i="37" s="1"/>
  <c r="AC200" i="37" s="1"/>
  <c r="Y192" i="37"/>
  <c r="Z192" i="37" s="1"/>
  <c r="AA192" i="37" s="1"/>
  <c r="AC192" i="37" s="1"/>
  <c r="Y184" i="37"/>
  <c r="Z184" i="37" s="1"/>
  <c r="AA184" i="37" s="1"/>
  <c r="AC184" i="37" s="1"/>
  <c r="Y45" i="37"/>
  <c r="Z45" i="37" s="1"/>
  <c r="AA45" i="37" s="1"/>
  <c r="AC45" i="37" s="1"/>
  <c r="Y37" i="37"/>
  <c r="Z37" i="37" s="1"/>
  <c r="AA37" i="37" s="1"/>
  <c r="AC37" i="37" s="1"/>
  <c r="Y29" i="37"/>
  <c r="Z29" i="37" s="1"/>
  <c r="AA29" i="37" s="1"/>
  <c r="AC29" i="37" s="1"/>
  <c r="Y21" i="37"/>
  <c r="Z21" i="37" s="1"/>
  <c r="AA21" i="37" s="1"/>
  <c r="AC21" i="37" s="1"/>
  <c r="Y13" i="37"/>
  <c r="Z13" i="37" s="1"/>
  <c r="AA13" i="37" s="1"/>
  <c r="AC13" i="37" s="1"/>
  <c r="AI264" i="37"/>
  <c r="AJ264" i="37" s="1"/>
  <c r="AK264" i="37" s="1"/>
  <c r="AM264" i="37" s="1"/>
  <c r="AI256" i="37"/>
  <c r="AJ256" i="37" s="1"/>
  <c r="AK256" i="37" s="1"/>
  <c r="AM256" i="37" s="1"/>
  <c r="AI248" i="37"/>
  <c r="AJ248" i="37" s="1"/>
  <c r="AK248" i="37" s="1"/>
  <c r="AM248" i="37" s="1"/>
  <c r="AI240" i="37"/>
  <c r="AJ240" i="37" s="1"/>
  <c r="AK240" i="37" s="1"/>
  <c r="AM240" i="37" s="1"/>
  <c r="AI232" i="37"/>
  <c r="AJ232" i="37" s="1"/>
  <c r="AK232" i="37" s="1"/>
  <c r="AM232" i="37" s="1"/>
  <c r="AI224" i="37"/>
  <c r="AJ224" i="37" s="1"/>
  <c r="AK224" i="37" s="1"/>
  <c r="AM224" i="37" s="1"/>
  <c r="AI40" i="37"/>
  <c r="AJ40" i="37" s="1"/>
  <c r="AK40" i="37" s="1"/>
  <c r="AM40" i="37" s="1"/>
  <c r="AI24" i="37"/>
  <c r="AJ24" i="37" s="1"/>
  <c r="AK24" i="37" s="1"/>
  <c r="AM24" i="37" s="1"/>
  <c r="AS143" i="37"/>
  <c r="AT143" i="37" s="1"/>
  <c r="AU143" i="37" s="1"/>
  <c r="AW143" i="37" s="1"/>
  <c r="AS111" i="37"/>
  <c r="AT111" i="37" s="1"/>
  <c r="AU111" i="37" s="1"/>
  <c r="AW111" i="37" s="1"/>
  <c r="AS54" i="37"/>
  <c r="AT54" i="37" s="1"/>
  <c r="AU54" i="37" s="1"/>
  <c r="AW54" i="37" s="1"/>
  <c r="AI220" i="37"/>
  <c r="AJ220" i="37" s="1"/>
  <c r="AK220" i="37" s="1"/>
  <c r="AM220" i="37" s="1"/>
  <c r="AI212" i="37"/>
  <c r="AJ212" i="37" s="1"/>
  <c r="AK212" i="37" s="1"/>
  <c r="AM212" i="37" s="1"/>
  <c r="AI204" i="37"/>
  <c r="AJ204" i="37" s="1"/>
  <c r="AK204" i="37" s="1"/>
  <c r="AM204" i="37" s="1"/>
  <c r="AI196" i="37"/>
  <c r="AJ196" i="37" s="1"/>
  <c r="AK196" i="37" s="1"/>
  <c r="AM196" i="37" s="1"/>
  <c r="AI188" i="37"/>
  <c r="AJ188" i="37" s="1"/>
  <c r="AK188" i="37" s="1"/>
  <c r="AM188" i="37" s="1"/>
  <c r="AI49" i="37"/>
  <c r="AJ49" i="37" s="1"/>
  <c r="AK49" i="37" s="1"/>
  <c r="AM49" i="37" s="1"/>
  <c r="AI41" i="37"/>
  <c r="AJ41" i="37" s="1"/>
  <c r="AK41" i="37" s="1"/>
  <c r="AM41" i="37" s="1"/>
  <c r="AI33" i="37"/>
  <c r="AJ33" i="37" s="1"/>
  <c r="AK33" i="37" s="1"/>
  <c r="AM33" i="37" s="1"/>
  <c r="AI25" i="37"/>
  <c r="AJ25" i="37" s="1"/>
  <c r="AK25" i="37" s="1"/>
  <c r="AM25" i="37" s="1"/>
  <c r="AI17" i="37"/>
  <c r="AJ17" i="37" s="1"/>
  <c r="AK17" i="37" s="1"/>
  <c r="AM17" i="37" s="1"/>
  <c r="AI9" i="37"/>
  <c r="AJ9" i="37" s="1"/>
  <c r="AK9" i="37" s="1"/>
  <c r="AM9" i="37" s="1"/>
  <c r="AS265" i="37"/>
  <c r="AT265" i="37" s="1"/>
  <c r="AU265" i="37" s="1"/>
  <c r="AW265" i="37" s="1"/>
  <c r="AS261" i="37"/>
  <c r="AT261" i="37" s="1"/>
  <c r="AU261" i="37" s="1"/>
  <c r="AW261" i="37" s="1"/>
  <c r="AS257" i="37"/>
  <c r="AT257" i="37" s="1"/>
  <c r="AU257" i="37" s="1"/>
  <c r="AW257" i="37" s="1"/>
  <c r="AS253" i="37"/>
  <c r="AT253" i="37" s="1"/>
  <c r="AU253" i="37" s="1"/>
  <c r="AW253" i="37" s="1"/>
  <c r="AS249" i="37"/>
  <c r="AT249" i="37" s="1"/>
  <c r="AU249" i="37" s="1"/>
  <c r="AW249" i="37" s="1"/>
  <c r="AS245" i="37"/>
  <c r="AT245" i="37" s="1"/>
  <c r="AU245" i="37" s="1"/>
  <c r="AW245" i="37" s="1"/>
  <c r="AS241" i="37"/>
  <c r="AT241" i="37" s="1"/>
  <c r="AU241" i="37" s="1"/>
  <c r="AW241" i="37" s="1"/>
  <c r="AS237" i="37"/>
  <c r="AT237" i="37" s="1"/>
  <c r="AU237" i="37" s="1"/>
  <c r="AW237" i="37" s="1"/>
  <c r="AS233" i="37"/>
  <c r="AT233" i="37" s="1"/>
  <c r="AU233" i="37" s="1"/>
  <c r="AW233" i="37" s="1"/>
  <c r="AS229" i="37"/>
  <c r="AT229" i="37" s="1"/>
  <c r="AU229" i="37" s="1"/>
  <c r="AW229" i="37" s="1"/>
  <c r="AS225" i="37"/>
  <c r="AT225" i="37" s="1"/>
  <c r="AU225" i="37" s="1"/>
  <c r="AW225" i="37" s="1"/>
  <c r="AS221" i="37"/>
  <c r="AT221" i="37" s="1"/>
  <c r="AU221" i="37" s="1"/>
  <c r="AW221" i="37" s="1"/>
  <c r="AS217" i="37"/>
  <c r="AT217" i="37" s="1"/>
  <c r="AU217" i="37" s="1"/>
  <c r="AW217" i="37" s="1"/>
  <c r="AS213" i="37"/>
  <c r="AT213" i="37" s="1"/>
  <c r="AU213" i="37" s="1"/>
  <c r="AW213" i="37" s="1"/>
  <c r="AS209" i="37"/>
  <c r="AT209" i="37" s="1"/>
  <c r="AU209" i="37" s="1"/>
  <c r="AW209" i="37" s="1"/>
  <c r="AS205" i="37"/>
  <c r="AT205" i="37" s="1"/>
  <c r="AU205" i="37" s="1"/>
  <c r="AW205" i="37" s="1"/>
  <c r="AS201" i="37"/>
  <c r="AT201" i="37" s="1"/>
  <c r="AU201" i="37" s="1"/>
  <c r="AW201" i="37" s="1"/>
  <c r="AS197" i="37"/>
  <c r="AT197" i="37" s="1"/>
  <c r="AU197" i="37" s="1"/>
  <c r="AW197" i="37" s="1"/>
  <c r="AS193" i="37"/>
  <c r="AT193" i="37" s="1"/>
  <c r="AU193" i="37" s="1"/>
  <c r="AW193" i="37" s="1"/>
  <c r="AS189" i="37"/>
  <c r="AT189" i="37" s="1"/>
  <c r="AU189" i="37" s="1"/>
  <c r="AW189" i="37" s="1"/>
  <c r="AS138" i="37"/>
  <c r="AT138" i="37" s="1"/>
  <c r="AU138" i="37" s="1"/>
  <c r="AW138" i="37" s="1"/>
  <c r="AS122" i="37"/>
  <c r="AT122" i="37" s="1"/>
  <c r="AU122" i="37" s="1"/>
  <c r="AW122" i="37" s="1"/>
  <c r="AS106" i="37"/>
  <c r="AT106" i="37" s="1"/>
  <c r="AU106" i="37" s="1"/>
  <c r="AW106" i="37" s="1"/>
  <c r="AS76" i="37"/>
  <c r="AT76" i="37" s="1"/>
  <c r="AU76" i="37" s="1"/>
  <c r="AW76" i="37" s="1"/>
  <c r="AS42" i="37"/>
  <c r="AT42" i="37" s="1"/>
  <c r="AU42" i="37" s="1"/>
  <c r="AW42" i="37" s="1"/>
  <c r="AS10" i="37"/>
  <c r="AT10" i="37" s="1"/>
  <c r="AU10" i="37" s="1"/>
  <c r="AW10" i="37" s="1"/>
  <c r="AS185" i="37"/>
  <c r="AT185" i="37" s="1"/>
  <c r="AU185" i="37" s="1"/>
  <c r="AW185" i="37" s="1"/>
  <c r="AS181" i="37"/>
  <c r="AT181" i="37" s="1"/>
  <c r="AU181" i="37" s="1"/>
  <c r="AW181" i="37" s="1"/>
  <c r="AS177" i="37"/>
  <c r="AT177" i="37" s="1"/>
  <c r="AU177" i="37" s="1"/>
  <c r="AW177" i="37" s="1"/>
  <c r="AS141" i="37"/>
  <c r="AT141" i="37" s="1"/>
  <c r="AU141" i="37" s="1"/>
  <c r="AW141" i="37" s="1"/>
  <c r="AS133" i="37"/>
  <c r="AT133" i="37" s="1"/>
  <c r="AU133" i="37" s="1"/>
  <c r="AW133" i="37" s="1"/>
  <c r="AS125" i="37"/>
  <c r="AT125" i="37" s="1"/>
  <c r="AU125" i="37" s="1"/>
  <c r="AW125" i="37" s="1"/>
  <c r="AS117" i="37"/>
  <c r="AT117" i="37" s="1"/>
  <c r="AU117" i="37" s="1"/>
  <c r="AW117" i="37" s="1"/>
  <c r="AS109" i="37"/>
  <c r="AT109" i="37" s="1"/>
  <c r="AU109" i="37" s="1"/>
  <c r="AW109" i="37" s="1"/>
  <c r="AS97" i="37"/>
  <c r="AT97" i="37" s="1"/>
  <c r="AU97" i="37" s="1"/>
  <c r="AW97" i="37" s="1"/>
  <c r="AS81" i="37"/>
  <c r="AT81" i="37" s="1"/>
  <c r="AU81" i="37" s="1"/>
  <c r="AW81" i="37" s="1"/>
  <c r="AS65" i="37"/>
  <c r="AT65" i="37" s="1"/>
  <c r="AU65" i="37" s="1"/>
  <c r="AW65" i="37" s="1"/>
  <c r="AS44" i="37"/>
  <c r="AT44" i="37" s="1"/>
  <c r="AU44" i="37" s="1"/>
  <c r="AW44" i="37" s="1"/>
  <c r="AS28" i="37"/>
  <c r="AT28" i="37" s="1"/>
  <c r="AU28" i="37" s="1"/>
  <c r="AW28" i="37" s="1"/>
  <c r="AS12" i="37"/>
  <c r="AT12" i="37" s="1"/>
  <c r="AU12" i="37" s="1"/>
  <c r="AW12" i="37" s="1"/>
  <c r="AS98" i="37"/>
  <c r="AT98" i="37" s="1"/>
  <c r="AU98" i="37" s="1"/>
  <c r="AW98" i="37" s="1"/>
  <c r="AS40" i="37"/>
  <c r="AT40" i="37" s="1"/>
  <c r="AU40" i="37" s="1"/>
  <c r="AW40" i="37" s="1"/>
  <c r="AS103" i="37"/>
  <c r="AT103" i="37" s="1"/>
  <c r="AU103" i="37" s="1"/>
  <c r="AW103" i="37" s="1"/>
  <c r="AS90" i="37"/>
  <c r="AT90" i="37" s="1"/>
  <c r="AU90" i="37" s="1"/>
  <c r="AW90" i="37" s="1"/>
  <c r="AS82" i="37"/>
  <c r="AT82" i="37" s="1"/>
  <c r="AU82" i="37" s="1"/>
  <c r="AW82" i="37" s="1"/>
  <c r="AS74" i="37"/>
  <c r="AT74" i="37" s="1"/>
  <c r="AU74" i="37" s="1"/>
  <c r="AW74" i="37" s="1"/>
  <c r="AS67" i="37"/>
  <c r="AT67" i="37" s="1"/>
  <c r="AU67" i="37" s="1"/>
  <c r="AW67" i="37" s="1"/>
  <c r="AS59" i="37"/>
  <c r="AT59" i="37" s="1"/>
  <c r="AU59" i="37" s="1"/>
  <c r="AW59" i="37" s="1"/>
  <c r="AS51" i="37"/>
  <c r="AT51" i="37" s="1"/>
  <c r="AU51" i="37" s="1"/>
  <c r="AW51" i="37" s="1"/>
  <c r="AS43" i="37"/>
  <c r="AT43" i="37" s="1"/>
  <c r="AU43" i="37" s="1"/>
  <c r="AW43" i="37" s="1"/>
  <c r="AS35" i="37"/>
  <c r="AT35" i="37" s="1"/>
  <c r="AU35" i="37" s="1"/>
  <c r="AW35" i="37" s="1"/>
  <c r="AS27" i="37"/>
  <c r="AT27" i="37" s="1"/>
  <c r="AU27" i="37" s="1"/>
  <c r="AW27" i="37" s="1"/>
  <c r="AS19" i="37"/>
  <c r="AT19" i="37" s="1"/>
  <c r="AU19" i="37" s="1"/>
  <c r="AW19" i="37" s="1"/>
  <c r="AS11" i="37"/>
  <c r="AT11" i="37" s="1"/>
  <c r="AU11" i="37" s="1"/>
  <c r="AW11" i="37" s="1"/>
  <c r="AS16" i="37"/>
  <c r="AT16" i="37" s="1"/>
  <c r="AU16" i="37" s="1"/>
  <c r="AW16" i="37" s="1"/>
  <c r="AS91" i="37"/>
  <c r="AT91" i="37" s="1"/>
  <c r="AU91" i="37" s="1"/>
  <c r="AW91" i="37" s="1"/>
  <c r="AS83" i="37"/>
  <c r="AT83" i="37" s="1"/>
  <c r="AU83" i="37" s="1"/>
  <c r="AW83" i="37" s="1"/>
  <c r="AS75" i="37"/>
  <c r="AT75" i="37" s="1"/>
  <c r="AU75" i="37" s="1"/>
  <c r="AW75" i="37" s="1"/>
  <c r="AS68" i="37"/>
  <c r="AT68" i="37" s="1"/>
  <c r="AU68" i="37" s="1"/>
  <c r="AW68" i="37" s="1"/>
  <c r="AS60" i="37"/>
  <c r="AT60" i="37" s="1"/>
  <c r="AU60" i="37" s="1"/>
  <c r="AW60" i="37" s="1"/>
  <c r="AS52" i="37"/>
  <c r="AT52" i="37" s="1"/>
  <c r="AU52" i="37" s="1"/>
  <c r="AW52" i="37" s="1"/>
  <c r="AS45" i="37"/>
  <c r="AT45" i="37" s="1"/>
  <c r="AU45" i="37" s="1"/>
  <c r="AW45" i="37" s="1"/>
  <c r="AS37" i="37"/>
  <c r="AT37" i="37" s="1"/>
  <c r="AU37" i="37" s="1"/>
  <c r="AW37" i="37" s="1"/>
  <c r="AS29" i="37"/>
  <c r="AT29" i="37" s="1"/>
  <c r="AU29" i="37" s="1"/>
  <c r="AW29" i="37" s="1"/>
  <c r="AS21" i="37"/>
  <c r="AT21" i="37" s="1"/>
  <c r="AU21" i="37" s="1"/>
  <c r="AW21" i="37" s="1"/>
  <c r="AS13" i="37"/>
  <c r="AT13" i="37" s="1"/>
  <c r="AU13" i="37" s="1"/>
  <c r="AW13" i="37" s="1"/>
  <c r="O58" i="37"/>
  <c r="P58" i="37" s="1"/>
  <c r="Q58" i="37" s="1"/>
  <c r="S58" i="37" s="1"/>
  <c r="O57" i="37"/>
  <c r="P57" i="37" s="1"/>
  <c r="Q57" i="37" s="1"/>
  <c r="S57" i="37" s="1"/>
  <c r="O93" i="37"/>
  <c r="P93" i="37" s="1"/>
  <c r="Q93" i="37" s="1"/>
  <c r="S93" i="37" s="1"/>
  <c r="O117" i="37"/>
  <c r="P117" i="37" s="1"/>
  <c r="Q117" i="37" s="1"/>
  <c r="S117" i="37" s="1"/>
  <c r="O133" i="37"/>
  <c r="P133" i="37" s="1"/>
  <c r="Q133" i="37" s="1"/>
  <c r="S133" i="37" s="1"/>
  <c r="O149" i="37"/>
  <c r="P149" i="37" s="1"/>
  <c r="Q149" i="37" s="1"/>
  <c r="S149" i="37" s="1"/>
  <c r="O165" i="37"/>
  <c r="P165" i="37" s="1"/>
  <c r="Q165" i="37" s="1"/>
  <c r="S165" i="37" s="1"/>
  <c r="O181" i="37"/>
  <c r="P181" i="37" s="1"/>
  <c r="Q181" i="37" s="1"/>
  <c r="S181" i="37" s="1"/>
  <c r="O197" i="37"/>
  <c r="P197" i="37" s="1"/>
  <c r="Q197" i="37" s="1"/>
  <c r="S197" i="37" s="1"/>
  <c r="O106" i="37"/>
  <c r="P106" i="37" s="1"/>
  <c r="Q106" i="37" s="1"/>
  <c r="S106" i="37" s="1"/>
  <c r="O122" i="37"/>
  <c r="P122" i="37" s="1"/>
  <c r="Q122" i="37" s="1"/>
  <c r="S122" i="37" s="1"/>
  <c r="O138" i="37"/>
  <c r="P138" i="37" s="1"/>
  <c r="Q138" i="37" s="1"/>
  <c r="S138" i="37" s="1"/>
  <c r="O154" i="37"/>
  <c r="P154" i="37" s="1"/>
  <c r="Q154" i="37" s="1"/>
  <c r="S154" i="37" s="1"/>
  <c r="O170" i="37"/>
  <c r="P170" i="37" s="1"/>
  <c r="Q170" i="37" s="1"/>
  <c r="S170" i="37" s="1"/>
  <c r="O186" i="37"/>
  <c r="P186" i="37" s="1"/>
  <c r="Q186" i="37" s="1"/>
  <c r="S186" i="37" s="1"/>
  <c r="O202" i="37"/>
  <c r="P202" i="37" s="1"/>
  <c r="Q202" i="37" s="1"/>
  <c r="S202" i="37" s="1"/>
  <c r="Y61" i="37"/>
  <c r="Z61" i="37" s="1"/>
  <c r="AA61" i="37" s="1"/>
  <c r="AC61" i="37" s="1"/>
  <c r="Y77" i="37"/>
  <c r="Z77" i="37" s="1"/>
  <c r="AA77" i="37" s="1"/>
  <c r="AC77" i="37" s="1"/>
  <c r="Y93" i="37"/>
  <c r="Z93" i="37" s="1"/>
  <c r="AA93" i="37" s="1"/>
  <c r="AC93" i="37" s="1"/>
  <c r="Y109" i="37"/>
  <c r="Z109" i="37" s="1"/>
  <c r="AA109" i="37" s="1"/>
  <c r="AC109" i="37" s="1"/>
  <c r="Y125" i="37"/>
  <c r="Z125" i="37" s="1"/>
  <c r="AA125" i="37" s="1"/>
  <c r="AC125" i="37" s="1"/>
  <c r="Y141" i="37"/>
  <c r="Z141" i="37" s="1"/>
  <c r="AA141" i="37" s="1"/>
  <c r="AC141" i="37" s="1"/>
  <c r="Y151" i="37"/>
  <c r="Z151" i="37" s="1"/>
  <c r="AA151" i="37" s="1"/>
  <c r="AC151" i="37" s="1"/>
  <c r="Y167" i="37"/>
  <c r="Z167" i="37" s="1"/>
  <c r="AA167" i="37" s="1"/>
  <c r="AC167" i="37" s="1"/>
  <c r="Y183" i="37"/>
  <c r="Z183" i="37" s="1"/>
  <c r="AA183" i="37" s="1"/>
  <c r="AC183" i="37" s="1"/>
  <c r="Y66" i="37"/>
  <c r="Z66" i="37" s="1"/>
  <c r="AA66" i="37" s="1"/>
  <c r="AC66" i="37" s="1"/>
  <c r="Y82" i="37"/>
  <c r="Z82" i="37" s="1"/>
  <c r="AA82" i="37" s="1"/>
  <c r="AC82" i="37" s="1"/>
  <c r="Y98" i="37"/>
  <c r="Z98" i="37" s="1"/>
  <c r="AA98" i="37" s="1"/>
  <c r="AC98" i="37" s="1"/>
  <c r="Y114" i="37"/>
  <c r="Z114" i="37" s="1"/>
  <c r="AA114" i="37" s="1"/>
  <c r="AC114" i="37" s="1"/>
  <c r="Y130" i="37"/>
  <c r="Z130" i="37" s="1"/>
  <c r="AA130" i="37" s="1"/>
  <c r="AC130" i="37" s="1"/>
  <c r="Y146" i="37"/>
  <c r="Z146" i="37" s="1"/>
  <c r="AA146" i="37" s="1"/>
  <c r="AC146" i="37" s="1"/>
  <c r="Y162" i="37"/>
  <c r="Z162" i="37" s="1"/>
  <c r="AA162" i="37" s="1"/>
  <c r="AC162" i="37" s="1"/>
  <c r="Y178" i="37"/>
  <c r="Z178" i="37" s="1"/>
  <c r="AA178" i="37" s="1"/>
  <c r="AC178" i="37" s="1"/>
  <c r="AI61" i="37"/>
  <c r="AJ61" i="37" s="1"/>
  <c r="AK61" i="37" s="1"/>
  <c r="AM61" i="37" s="1"/>
  <c r="AI75" i="37"/>
  <c r="AJ75" i="37" s="1"/>
  <c r="AK75" i="37" s="1"/>
  <c r="AM75" i="37" s="1"/>
  <c r="AI83" i="37"/>
  <c r="AJ83" i="37" s="1"/>
  <c r="AK83" i="37" s="1"/>
  <c r="AM83" i="37" s="1"/>
  <c r="AI91" i="37"/>
  <c r="AJ91" i="37" s="1"/>
  <c r="AK91" i="37" s="1"/>
  <c r="AM91" i="37" s="1"/>
  <c r="AI99" i="37"/>
  <c r="AJ99" i="37" s="1"/>
  <c r="AK99" i="37" s="1"/>
  <c r="AM99" i="37" s="1"/>
  <c r="AI107" i="37"/>
  <c r="AJ107" i="37" s="1"/>
  <c r="AK107" i="37" s="1"/>
  <c r="AM107" i="37" s="1"/>
  <c r="AI115" i="37"/>
  <c r="AJ115" i="37" s="1"/>
  <c r="AK115" i="37" s="1"/>
  <c r="AM115" i="37" s="1"/>
  <c r="AI123" i="37"/>
  <c r="AJ123" i="37" s="1"/>
  <c r="AK123" i="37" s="1"/>
  <c r="AM123" i="37" s="1"/>
  <c r="AI131" i="37"/>
  <c r="AJ131" i="37" s="1"/>
  <c r="AK131" i="37" s="1"/>
  <c r="AM131" i="37" s="1"/>
  <c r="AI139" i="37"/>
  <c r="AJ139" i="37" s="1"/>
  <c r="AK139" i="37" s="1"/>
  <c r="AM139" i="37" s="1"/>
  <c r="AI147" i="37"/>
  <c r="AJ147" i="37" s="1"/>
  <c r="AK147" i="37" s="1"/>
  <c r="AM147" i="37" s="1"/>
  <c r="AI163" i="37"/>
  <c r="AJ163" i="37" s="1"/>
  <c r="AK163" i="37" s="1"/>
  <c r="AM163" i="37" s="1"/>
  <c r="AI179" i="37"/>
  <c r="AJ179" i="37" s="1"/>
  <c r="AK179" i="37" s="1"/>
  <c r="AM179" i="37" s="1"/>
  <c r="AI62" i="37"/>
  <c r="AJ62" i="37" s="1"/>
  <c r="AK62" i="37" s="1"/>
  <c r="AM62" i="37" s="1"/>
  <c r="AI78" i="37"/>
  <c r="AJ78" i="37" s="1"/>
  <c r="AK78" i="37" s="1"/>
  <c r="AM78" i="37" s="1"/>
  <c r="AI94" i="37"/>
  <c r="AJ94" i="37" s="1"/>
  <c r="AK94" i="37" s="1"/>
  <c r="AM94" i="37" s="1"/>
  <c r="AI110" i="37"/>
  <c r="AJ110" i="37" s="1"/>
  <c r="AK110" i="37" s="1"/>
  <c r="AM110" i="37" s="1"/>
  <c r="AI126" i="37"/>
  <c r="AJ126" i="37" s="1"/>
  <c r="AK126" i="37" s="1"/>
  <c r="AM126" i="37" s="1"/>
  <c r="AI142" i="37"/>
  <c r="AJ142" i="37" s="1"/>
  <c r="AK142" i="37" s="1"/>
  <c r="AM142" i="37" s="1"/>
  <c r="AI158" i="37"/>
  <c r="AJ158" i="37" s="1"/>
  <c r="AK158" i="37" s="1"/>
  <c r="AM158" i="37" s="1"/>
  <c r="AI174" i="37"/>
  <c r="AJ174" i="37" s="1"/>
  <c r="AK174" i="37" s="1"/>
  <c r="AM174" i="37" s="1"/>
  <c r="AS152" i="37"/>
  <c r="AT152" i="37" s="1"/>
  <c r="AU152" i="37" s="1"/>
  <c r="AW152" i="37" s="1"/>
  <c r="AS168" i="37"/>
  <c r="AT168" i="37" s="1"/>
  <c r="AU168" i="37" s="1"/>
  <c r="AW168" i="37" s="1"/>
  <c r="AS161" i="37"/>
  <c r="AT161" i="37" s="1"/>
  <c r="AU161" i="37" s="1"/>
  <c r="AW161" i="37" s="1"/>
  <c r="AS171" i="37"/>
  <c r="AT171" i="37" s="1"/>
  <c r="AU171" i="37" s="1"/>
  <c r="AW171" i="37" s="1"/>
  <c r="O74" i="37"/>
  <c r="P74" i="37" s="1"/>
  <c r="Q74" i="37" s="1"/>
  <c r="S74" i="37" s="1"/>
  <c r="O65" i="37"/>
  <c r="P65" i="37" s="1"/>
  <c r="Q65" i="37" s="1"/>
  <c r="S65" i="37" s="1"/>
  <c r="O81" i="37"/>
  <c r="P81" i="37" s="1"/>
  <c r="Q81" i="37" s="1"/>
  <c r="S81" i="37" s="1"/>
  <c r="O64" i="37"/>
  <c r="P64" i="37" s="1"/>
  <c r="Q64" i="37" s="1"/>
  <c r="S64" i="37" s="1"/>
  <c r="O80" i="37"/>
  <c r="P80" i="37" s="1"/>
  <c r="Q80" i="37" s="1"/>
  <c r="S80" i="37" s="1"/>
  <c r="O55" i="37"/>
  <c r="P55" i="37" s="1"/>
  <c r="Q55" i="37" s="1"/>
  <c r="S55" i="37" s="1"/>
  <c r="O71" i="37"/>
  <c r="P71" i="37" s="1"/>
  <c r="Q71" i="37" s="1"/>
  <c r="S71" i="37" s="1"/>
  <c r="O87" i="37"/>
  <c r="P87" i="37" s="1"/>
  <c r="Q87" i="37" s="1"/>
  <c r="S87" i="37" s="1"/>
  <c r="O111" i="37"/>
  <c r="P111" i="37" s="1"/>
  <c r="Q111" i="37" s="1"/>
  <c r="S111" i="37" s="1"/>
  <c r="O127" i="37"/>
  <c r="P127" i="37" s="1"/>
  <c r="Q127" i="37" s="1"/>
  <c r="S127" i="37" s="1"/>
  <c r="O143" i="37"/>
  <c r="P143" i="37" s="1"/>
  <c r="Q143" i="37" s="1"/>
  <c r="S143" i="37" s="1"/>
  <c r="O159" i="37"/>
  <c r="P159" i="37" s="1"/>
  <c r="Q159" i="37" s="1"/>
  <c r="S159" i="37" s="1"/>
  <c r="O175" i="37"/>
  <c r="P175" i="37" s="1"/>
  <c r="Q175" i="37" s="1"/>
  <c r="S175" i="37" s="1"/>
  <c r="O191" i="37"/>
  <c r="P191" i="37" s="1"/>
  <c r="Q191" i="37" s="1"/>
  <c r="S191" i="37" s="1"/>
  <c r="O207" i="37"/>
  <c r="P207" i="37" s="1"/>
  <c r="Q207" i="37" s="1"/>
  <c r="S207" i="37" s="1"/>
  <c r="O116" i="37"/>
  <c r="P116" i="37" s="1"/>
  <c r="Q116" i="37" s="1"/>
  <c r="S116" i="37" s="1"/>
  <c r="O132" i="37"/>
  <c r="P132" i="37" s="1"/>
  <c r="Q132" i="37" s="1"/>
  <c r="S132" i="37" s="1"/>
  <c r="O148" i="37"/>
  <c r="P148" i="37" s="1"/>
  <c r="Q148" i="37" s="1"/>
  <c r="S148" i="37" s="1"/>
  <c r="O164" i="37"/>
  <c r="P164" i="37" s="1"/>
  <c r="Q164" i="37" s="1"/>
  <c r="S164" i="37" s="1"/>
  <c r="O180" i="37"/>
  <c r="P180" i="37" s="1"/>
  <c r="Q180" i="37" s="1"/>
  <c r="S180" i="37" s="1"/>
  <c r="O196" i="37"/>
  <c r="P196" i="37" s="1"/>
  <c r="Q196" i="37" s="1"/>
  <c r="S196" i="37" s="1"/>
  <c r="O209" i="37"/>
  <c r="P209" i="37" s="1"/>
  <c r="Q209" i="37" s="1"/>
  <c r="S209" i="37" s="1"/>
  <c r="Y67" i="37"/>
  <c r="Z67" i="37" s="1"/>
  <c r="AA67" i="37" s="1"/>
  <c r="AC67" i="37" s="1"/>
  <c r="Y83" i="37"/>
  <c r="Z83" i="37" s="1"/>
  <c r="AA83" i="37" s="1"/>
  <c r="AC83" i="37" s="1"/>
  <c r="Y99" i="37"/>
  <c r="Z99" i="37" s="1"/>
  <c r="AA99" i="37" s="1"/>
  <c r="AC99" i="37" s="1"/>
  <c r="Y115" i="37"/>
  <c r="Z115" i="37" s="1"/>
  <c r="AA115" i="37" s="1"/>
  <c r="AC115" i="37" s="1"/>
  <c r="Y131" i="37"/>
  <c r="Z131" i="37" s="1"/>
  <c r="AA131" i="37" s="1"/>
  <c r="AC131" i="37" s="1"/>
  <c r="Y153" i="37"/>
  <c r="Z153" i="37" s="1"/>
  <c r="AA153" i="37" s="1"/>
  <c r="AC153" i="37" s="1"/>
  <c r="Y169" i="37"/>
  <c r="Z169" i="37" s="1"/>
  <c r="AA169" i="37" s="1"/>
  <c r="AC169" i="37" s="1"/>
  <c r="Y52" i="37"/>
  <c r="Z52" i="37" s="1"/>
  <c r="AA52" i="37" s="1"/>
  <c r="AC52" i="37" s="1"/>
  <c r="Y68" i="37"/>
  <c r="Z68" i="37" s="1"/>
  <c r="AA68" i="37" s="1"/>
  <c r="AC68" i="37" s="1"/>
  <c r="Y84" i="37"/>
  <c r="Z84" i="37" s="1"/>
  <c r="AA84" i="37" s="1"/>
  <c r="AC84" i="37" s="1"/>
  <c r="Y100" i="37"/>
  <c r="Z100" i="37" s="1"/>
  <c r="AA100" i="37" s="1"/>
  <c r="AC100" i="37" s="1"/>
  <c r="Y116" i="37"/>
  <c r="Z116" i="37" s="1"/>
  <c r="AA116" i="37" s="1"/>
  <c r="AC116" i="37" s="1"/>
  <c r="Y132" i="37"/>
  <c r="Z132" i="37" s="1"/>
  <c r="AA132" i="37" s="1"/>
  <c r="AC132" i="37" s="1"/>
  <c r="Y148" i="37"/>
  <c r="Z148" i="37" s="1"/>
  <c r="AA148" i="37" s="1"/>
  <c r="AC148" i="37" s="1"/>
  <c r="Y164" i="37"/>
  <c r="Z164" i="37" s="1"/>
  <c r="AA164" i="37" s="1"/>
  <c r="AC164" i="37" s="1"/>
  <c r="Y180" i="37"/>
  <c r="Z180" i="37" s="1"/>
  <c r="AA180" i="37" s="1"/>
  <c r="AC180" i="37" s="1"/>
  <c r="AI63" i="37"/>
  <c r="AJ63" i="37" s="1"/>
  <c r="AK63" i="37" s="1"/>
  <c r="AM63" i="37" s="1"/>
  <c r="AI153" i="37"/>
  <c r="AJ153" i="37" s="1"/>
  <c r="AK153" i="37" s="1"/>
  <c r="AM153" i="37" s="1"/>
  <c r="AI169" i="37"/>
  <c r="AJ169" i="37" s="1"/>
  <c r="AK169" i="37" s="1"/>
  <c r="AM169" i="37" s="1"/>
  <c r="AI52" i="37"/>
  <c r="AJ52" i="37" s="1"/>
  <c r="AK52" i="37" s="1"/>
  <c r="AM52" i="37" s="1"/>
  <c r="AI68" i="37"/>
  <c r="AJ68" i="37" s="1"/>
  <c r="AK68" i="37" s="1"/>
  <c r="AM68" i="37" s="1"/>
  <c r="AI84" i="37"/>
  <c r="AJ84" i="37" s="1"/>
  <c r="AK84" i="37" s="1"/>
  <c r="AM84" i="37" s="1"/>
  <c r="AI100" i="37"/>
  <c r="AJ100" i="37" s="1"/>
  <c r="AK100" i="37" s="1"/>
  <c r="AM100" i="37" s="1"/>
  <c r="AI116" i="37"/>
  <c r="AJ116" i="37" s="1"/>
  <c r="AK116" i="37" s="1"/>
  <c r="AM116" i="37" s="1"/>
  <c r="AI132" i="37"/>
  <c r="AJ132" i="37" s="1"/>
  <c r="AK132" i="37" s="1"/>
  <c r="AM132" i="37" s="1"/>
  <c r="AI148" i="37"/>
  <c r="AJ148" i="37" s="1"/>
  <c r="AK148" i="37" s="1"/>
  <c r="AM148" i="37" s="1"/>
  <c r="AI164" i="37"/>
  <c r="AJ164" i="37" s="1"/>
  <c r="AK164" i="37" s="1"/>
  <c r="AM164" i="37" s="1"/>
  <c r="AI180" i="37"/>
  <c r="AJ180" i="37" s="1"/>
  <c r="AK180" i="37" s="1"/>
  <c r="AM180" i="37" s="1"/>
  <c r="AS158" i="37"/>
  <c r="AT158" i="37" s="1"/>
  <c r="AU158" i="37" s="1"/>
  <c r="AW158" i="37" s="1"/>
  <c r="AS174" i="37"/>
  <c r="AT174" i="37" s="1"/>
  <c r="AU174" i="37" s="1"/>
  <c r="AW174" i="37" s="1"/>
  <c r="AS151" i="37"/>
  <c r="AT151" i="37" s="1"/>
  <c r="AU151" i="37" s="1"/>
  <c r="AW151" i="37" s="1"/>
  <c r="O66" i="37"/>
  <c r="P66" i="37" s="1"/>
  <c r="Q66" i="37" s="1"/>
  <c r="S66" i="37" s="1"/>
  <c r="O61" i="37"/>
  <c r="P61" i="37" s="1"/>
  <c r="Q61" i="37" s="1"/>
  <c r="S61" i="37" s="1"/>
  <c r="O105" i="37"/>
  <c r="P105" i="37" s="1"/>
  <c r="Q105" i="37" s="1"/>
  <c r="S105" i="37" s="1"/>
  <c r="O121" i="37"/>
  <c r="P121" i="37" s="1"/>
  <c r="Q121" i="37" s="1"/>
  <c r="S121" i="37" s="1"/>
  <c r="O137" i="37"/>
  <c r="P137" i="37" s="1"/>
  <c r="Q137" i="37" s="1"/>
  <c r="S137" i="37" s="1"/>
  <c r="O153" i="37"/>
  <c r="P153" i="37" s="1"/>
  <c r="Q153" i="37" s="1"/>
  <c r="S153" i="37" s="1"/>
  <c r="O169" i="37"/>
  <c r="P169" i="37" s="1"/>
  <c r="Q169" i="37" s="1"/>
  <c r="S169" i="37" s="1"/>
  <c r="O185" i="37"/>
  <c r="P185" i="37" s="1"/>
  <c r="Q185" i="37" s="1"/>
  <c r="S185" i="37" s="1"/>
  <c r="O201" i="37"/>
  <c r="P201" i="37" s="1"/>
  <c r="Q201" i="37" s="1"/>
  <c r="S201" i="37" s="1"/>
  <c r="O110" i="37"/>
  <c r="P110" i="37" s="1"/>
  <c r="Q110" i="37" s="1"/>
  <c r="S110" i="37" s="1"/>
  <c r="O126" i="37"/>
  <c r="P126" i="37" s="1"/>
  <c r="Q126" i="37" s="1"/>
  <c r="S126" i="37" s="1"/>
  <c r="O142" i="37"/>
  <c r="P142" i="37" s="1"/>
  <c r="Q142" i="37" s="1"/>
  <c r="S142" i="37" s="1"/>
  <c r="O158" i="37"/>
  <c r="P158" i="37" s="1"/>
  <c r="Q158" i="37" s="1"/>
  <c r="S158" i="37" s="1"/>
  <c r="O174" i="37"/>
  <c r="P174" i="37" s="1"/>
  <c r="Q174" i="37" s="1"/>
  <c r="S174" i="37" s="1"/>
  <c r="O190" i="37"/>
  <c r="P190" i="37" s="1"/>
  <c r="Q190" i="37" s="1"/>
  <c r="S190" i="37" s="1"/>
  <c r="O206" i="37"/>
  <c r="P206" i="37" s="1"/>
  <c r="Q206" i="37" s="1"/>
  <c r="S206" i="37" s="1"/>
  <c r="Y65" i="37"/>
  <c r="Z65" i="37" s="1"/>
  <c r="AA65" i="37" s="1"/>
  <c r="AC65" i="37" s="1"/>
  <c r="Y81" i="37"/>
  <c r="Z81" i="37" s="1"/>
  <c r="AA81" i="37" s="1"/>
  <c r="AC81" i="37" s="1"/>
  <c r="Y97" i="37"/>
  <c r="Z97" i="37" s="1"/>
  <c r="AA97" i="37" s="1"/>
  <c r="AC97" i="37" s="1"/>
  <c r="Y113" i="37"/>
  <c r="Z113" i="37" s="1"/>
  <c r="AA113" i="37" s="1"/>
  <c r="AC113" i="37" s="1"/>
  <c r="Y129" i="37"/>
  <c r="Z129" i="37" s="1"/>
  <c r="AA129" i="37" s="1"/>
  <c r="AC129" i="37" s="1"/>
  <c r="Y143" i="37"/>
  <c r="Z143" i="37" s="1"/>
  <c r="AA143" i="37" s="1"/>
  <c r="AC143" i="37" s="1"/>
  <c r="Y155" i="37"/>
  <c r="Z155" i="37" s="1"/>
  <c r="AA155" i="37" s="1"/>
  <c r="AC155" i="37" s="1"/>
  <c r="Y171" i="37"/>
  <c r="Z171" i="37" s="1"/>
  <c r="AA171" i="37" s="1"/>
  <c r="AC171" i="37" s="1"/>
  <c r="Y54" i="37"/>
  <c r="Z54" i="37" s="1"/>
  <c r="AA54" i="37" s="1"/>
  <c r="AC54" i="37" s="1"/>
  <c r="Y70" i="37"/>
  <c r="Z70" i="37" s="1"/>
  <c r="AA70" i="37" s="1"/>
  <c r="AC70" i="37" s="1"/>
  <c r="Y86" i="37"/>
  <c r="Z86" i="37" s="1"/>
  <c r="AA86" i="37" s="1"/>
  <c r="AC86" i="37" s="1"/>
  <c r="Y102" i="37"/>
  <c r="Z102" i="37" s="1"/>
  <c r="AA102" i="37" s="1"/>
  <c r="AC102" i="37" s="1"/>
  <c r="Y118" i="37"/>
  <c r="Z118" i="37" s="1"/>
  <c r="AA118" i="37" s="1"/>
  <c r="AC118" i="37" s="1"/>
  <c r="Y134" i="37"/>
  <c r="Z134" i="37" s="1"/>
  <c r="AA134" i="37" s="1"/>
  <c r="AC134" i="37" s="1"/>
  <c r="Y150" i="37"/>
  <c r="Z150" i="37" s="1"/>
  <c r="AA150" i="37" s="1"/>
  <c r="AC150" i="37" s="1"/>
  <c r="Y166" i="37"/>
  <c r="Z166" i="37" s="1"/>
  <c r="AA166" i="37" s="1"/>
  <c r="AC166" i="37" s="1"/>
  <c r="Y182" i="37"/>
  <c r="Z182" i="37" s="1"/>
  <c r="AA182" i="37" s="1"/>
  <c r="AC182" i="37" s="1"/>
  <c r="AI65" i="37"/>
  <c r="AJ65" i="37" s="1"/>
  <c r="AK65" i="37" s="1"/>
  <c r="AM65" i="37" s="1"/>
  <c r="AI77" i="37"/>
  <c r="AJ77" i="37" s="1"/>
  <c r="AK77" i="37" s="1"/>
  <c r="AM77" i="37" s="1"/>
  <c r="AI85" i="37"/>
  <c r="AJ85" i="37" s="1"/>
  <c r="AK85" i="37" s="1"/>
  <c r="AM85" i="37" s="1"/>
  <c r="AI93" i="37"/>
  <c r="AJ93" i="37" s="1"/>
  <c r="AK93" i="37" s="1"/>
  <c r="AM93" i="37" s="1"/>
  <c r="AI101" i="37"/>
  <c r="AJ101" i="37" s="1"/>
  <c r="AK101" i="37" s="1"/>
  <c r="AM101" i="37" s="1"/>
  <c r="AI109" i="37"/>
  <c r="AJ109" i="37" s="1"/>
  <c r="AK109" i="37" s="1"/>
  <c r="AM109" i="37" s="1"/>
  <c r="AI117" i="37"/>
  <c r="AJ117" i="37" s="1"/>
  <c r="AK117" i="37" s="1"/>
  <c r="AM117" i="37" s="1"/>
  <c r="AI125" i="37"/>
  <c r="AJ125" i="37" s="1"/>
  <c r="AK125" i="37" s="1"/>
  <c r="AM125" i="37" s="1"/>
  <c r="AI133" i="37"/>
  <c r="AJ133" i="37" s="1"/>
  <c r="AK133" i="37" s="1"/>
  <c r="AM133" i="37" s="1"/>
  <c r="AI141" i="37"/>
  <c r="AJ141" i="37" s="1"/>
  <c r="AK141" i="37" s="1"/>
  <c r="AM141" i="37" s="1"/>
  <c r="AI151" i="37"/>
  <c r="AJ151" i="37" s="1"/>
  <c r="AK151" i="37" s="1"/>
  <c r="AM151" i="37" s="1"/>
  <c r="AI167" i="37"/>
  <c r="AJ167" i="37" s="1"/>
  <c r="AK167" i="37" s="1"/>
  <c r="AM167" i="37" s="1"/>
  <c r="AI183" i="37"/>
  <c r="AJ183" i="37" s="1"/>
  <c r="AK183" i="37" s="1"/>
  <c r="AM183" i="37" s="1"/>
  <c r="AI66" i="37"/>
  <c r="AJ66" i="37" s="1"/>
  <c r="AK66" i="37" s="1"/>
  <c r="AM66" i="37" s="1"/>
  <c r="AI82" i="37"/>
  <c r="AJ82" i="37" s="1"/>
  <c r="AK82" i="37" s="1"/>
  <c r="AM82" i="37" s="1"/>
  <c r="AI98" i="37"/>
  <c r="AJ98" i="37" s="1"/>
  <c r="AK98" i="37" s="1"/>
  <c r="AM98" i="37" s="1"/>
  <c r="AI114" i="37"/>
  <c r="AJ114" i="37" s="1"/>
  <c r="AK114" i="37" s="1"/>
  <c r="AM114" i="37" s="1"/>
  <c r="AI130" i="37"/>
  <c r="AJ130" i="37" s="1"/>
  <c r="AK130" i="37" s="1"/>
  <c r="AM130" i="37" s="1"/>
  <c r="AI146" i="37"/>
  <c r="AJ146" i="37" s="1"/>
  <c r="AK146" i="37" s="1"/>
  <c r="AM146" i="37" s="1"/>
  <c r="AI162" i="37"/>
  <c r="AJ162" i="37" s="1"/>
  <c r="AK162" i="37" s="1"/>
  <c r="AM162" i="37" s="1"/>
  <c r="AI178" i="37"/>
  <c r="AJ178" i="37" s="1"/>
  <c r="AK178" i="37" s="1"/>
  <c r="AM178" i="37" s="1"/>
  <c r="AS156" i="37"/>
  <c r="AT156" i="37" s="1"/>
  <c r="AU156" i="37" s="1"/>
  <c r="AW156" i="37" s="1"/>
  <c r="AS172" i="37"/>
  <c r="AT172" i="37" s="1"/>
  <c r="AU172" i="37" s="1"/>
  <c r="AW172" i="37" s="1"/>
  <c r="AS175" i="37"/>
  <c r="AT175" i="37" s="1"/>
  <c r="AU175" i="37" s="1"/>
  <c r="AW175" i="37" s="1"/>
  <c r="O54" i="37"/>
  <c r="P54" i="37" s="1"/>
  <c r="Q54" i="37" s="1"/>
  <c r="S54" i="37" s="1"/>
  <c r="O78" i="37"/>
  <c r="P78" i="37" s="1"/>
  <c r="Q78" i="37" s="1"/>
  <c r="S78" i="37" s="1"/>
  <c r="O69" i="37"/>
  <c r="P69" i="37" s="1"/>
  <c r="Q69" i="37" s="1"/>
  <c r="S69" i="37" s="1"/>
  <c r="O52" i="37"/>
  <c r="P52" i="37" s="1"/>
  <c r="Q52" i="37" s="1"/>
  <c r="S52" i="37" s="1"/>
  <c r="O68" i="37"/>
  <c r="P68" i="37" s="1"/>
  <c r="Q68" i="37" s="1"/>
  <c r="S68" i="37" s="1"/>
  <c r="O84" i="37"/>
  <c r="P84" i="37" s="1"/>
  <c r="Q84" i="37" s="1"/>
  <c r="S84" i="37" s="1"/>
  <c r="O59" i="37"/>
  <c r="P59" i="37" s="1"/>
  <c r="Q59" i="37" s="1"/>
  <c r="S59" i="37" s="1"/>
  <c r="O75" i="37"/>
  <c r="P75" i="37" s="1"/>
  <c r="Q75" i="37" s="1"/>
  <c r="S75" i="37" s="1"/>
  <c r="O91" i="37"/>
  <c r="P91" i="37" s="1"/>
  <c r="Q91" i="37" s="1"/>
  <c r="S91" i="37" s="1"/>
  <c r="O115" i="37"/>
  <c r="P115" i="37" s="1"/>
  <c r="Q115" i="37" s="1"/>
  <c r="S115" i="37" s="1"/>
  <c r="O131" i="37"/>
  <c r="P131" i="37" s="1"/>
  <c r="Q131" i="37" s="1"/>
  <c r="S131" i="37" s="1"/>
  <c r="O147" i="37"/>
  <c r="P147" i="37" s="1"/>
  <c r="Q147" i="37" s="1"/>
  <c r="S147" i="37" s="1"/>
  <c r="O163" i="37"/>
  <c r="P163" i="37" s="1"/>
  <c r="Q163" i="37" s="1"/>
  <c r="S163" i="37" s="1"/>
  <c r="O179" i="37"/>
  <c r="P179" i="37" s="1"/>
  <c r="Q179" i="37" s="1"/>
  <c r="S179" i="37" s="1"/>
  <c r="O195" i="37"/>
  <c r="P195" i="37" s="1"/>
  <c r="Q195" i="37" s="1"/>
  <c r="S195" i="37" s="1"/>
  <c r="O104" i="37"/>
  <c r="P104" i="37" s="1"/>
  <c r="Q104" i="37" s="1"/>
  <c r="S104" i="37" s="1"/>
  <c r="O120" i="37"/>
  <c r="P120" i="37" s="1"/>
  <c r="Q120" i="37" s="1"/>
  <c r="S120" i="37" s="1"/>
  <c r="O136" i="37"/>
  <c r="P136" i="37" s="1"/>
  <c r="Q136" i="37" s="1"/>
  <c r="S136" i="37" s="1"/>
  <c r="O152" i="37"/>
  <c r="P152" i="37" s="1"/>
  <c r="Q152" i="37" s="1"/>
  <c r="S152" i="37" s="1"/>
  <c r="O168" i="37"/>
  <c r="P168" i="37" s="1"/>
  <c r="Q168" i="37" s="1"/>
  <c r="S168" i="37" s="1"/>
  <c r="O184" i="37"/>
  <c r="P184" i="37" s="1"/>
  <c r="Q184" i="37" s="1"/>
  <c r="S184" i="37" s="1"/>
  <c r="O200" i="37"/>
  <c r="P200" i="37" s="1"/>
  <c r="Q200" i="37" s="1"/>
  <c r="S200" i="37" s="1"/>
  <c r="Y55" i="37"/>
  <c r="Z55" i="37" s="1"/>
  <c r="AA55" i="37" s="1"/>
  <c r="AC55" i="37" s="1"/>
  <c r="Y71" i="37"/>
  <c r="Z71" i="37" s="1"/>
  <c r="AA71" i="37" s="1"/>
  <c r="AC71" i="37" s="1"/>
  <c r="Y87" i="37"/>
  <c r="Z87" i="37" s="1"/>
  <c r="AA87" i="37" s="1"/>
  <c r="AC87" i="37" s="1"/>
  <c r="Y103" i="37"/>
  <c r="Z103" i="37" s="1"/>
  <c r="AA103" i="37" s="1"/>
  <c r="AC103" i="37" s="1"/>
  <c r="Y119" i="37"/>
  <c r="Z119" i="37" s="1"/>
  <c r="AA119" i="37" s="1"/>
  <c r="AC119" i="37" s="1"/>
  <c r="Y135" i="37"/>
  <c r="Z135" i="37" s="1"/>
  <c r="AA135" i="37" s="1"/>
  <c r="AC135" i="37" s="1"/>
  <c r="Y157" i="37"/>
  <c r="Z157" i="37" s="1"/>
  <c r="AA157" i="37" s="1"/>
  <c r="AC157" i="37" s="1"/>
  <c r="Y173" i="37"/>
  <c r="Z173" i="37" s="1"/>
  <c r="AA173" i="37" s="1"/>
  <c r="AC173" i="37" s="1"/>
  <c r="Y56" i="37"/>
  <c r="Z56" i="37" s="1"/>
  <c r="AA56" i="37" s="1"/>
  <c r="AC56" i="37" s="1"/>
  <c r="Y72" i="37"/>
  <c r="Z72" i="37" s="1"/>
  <c r="AA72" i="37" s="1"/>
  <c r="AC72" i="37" s="1"/>
  <c r="Y88" i="37"/>
  <c r="Z88" i="37" s="1"/>
  <c r="AA88" i="37" s="1"/>
  <c r="AC88" i="37" s="1"/>
  <c r="Y104" i="37"/>
  <c r="Z104" i="37" s="1"/>
  <c r="AA104" i="37" s="1"/>
  <c r="AC104" i="37" s="1"/>
  <c r="Y120" i="37"/>
  <c r="Z120" i="37" s="1"/>
  <c r="AA120" i="37" s="1"/>
  <c r="AC120" i="37" s="1"/>
  <c r="Y136" i="37"/>
  <c r="Z136" i="37" s="1"/>
  <c r="AA136" i="37" s="1"/>
  <c r="AC136" i="37" s="1"/>
  <c r="Y152" i="37"/>
  <c r="Z152" i="37" s="1"/>
  <c r="AA152" i="37" s="1"/>
  <c r="AC152" i="37" s="1"/>
  <c r="Y168" i="37"/>
  <c r="Z168" i="37" s="1"/>
  <c r="AA168" i="37" s="1"/>
  <c r="AC168" i="37" s="1"/>
  <c r="Y268" i="37"/>
  <c r="Z268" i="37" s="1"/>
  <c r="AA268" i="37" s="1"/>
  <c r="AC268" i="37" s="1"/>
  <c r="AI67" i="37"/>
  <c r="AJ67" i="37" s="1"/>
  <c r="AK67" i="37" s="1"/>
  <c r="AM67" i="37" s="1"/>
  <c r="AI157" i="37"/>
  <c r="AJ157" i="37" s="1"/>
  <c r="AK157" i="37" s="1"/>
  <c r="AM157" i="37" s="1"/>
  <c r="AI173" i="37"/>
  <c r="AJ173" i="37" s="1"/>
  <c r="AK173" i="37" s="1"/>
  <c r="AM173" i="37" s="1"/>
  <c r="AI56" i="37"/>
  <c r="AJ56" i="37" s="1"/>
  <c r="AK56" i="37" s="1"/>
  <c r="AM56" i="37" s="1"/>
  <c r="AI72" i="37"/>
  <c r="AJ72" i="37" s="1"/>
  <c r="AK72" i="37" s="1"/>
  <c r="AM72" i="37" s="1"/>
  <c r="AI88" i="37"/>
  <c r="AJ88" i="37" s="1"/>
  <c r="AK88" i="37" s="1"/>
  <c r="AM88" i="37" s="1"/>
  <c r="AI104" i="37"/>
  <c r="AJ104" i="37" s="1"/>
  <c r="AK104" i="37" s="1"/>
  <c r="AM104" i="37" s="1"/>
  <c r="AI120" i="37"/>
  <c r="AJ120" i="37" s="1"/>
  <c r="AK120" i="37" s="1"/>
  <c r="AM120" i="37" s="1"/>
  <c r="AI136" i="37"/>
  <c r="AJ136" i="37" s="1"/>
  <c r="AK136" i="37" s="1"/>
  <c r="AM136" i="37" s="1"/>
  <c r="AI152" i="37"/>
  <c r="AJ152" i="37" s="1"/>
  <c r="AK152" i="37" s="1"/>
  <c r="AM152" i="37" s="1"/>
  <c r="AI168" i="37"/>
  <c r="AJ168" i="37" s="1"/>
  <c r="AK168" i="37" s="1"/>
  <c r="AM168" i="37" s="1"/>
  <c r="AI268" i="37"/>
  <c r="AJ268" i="37" s="1"/>
  <c r="AK268" i="37" s="1"/>
  <c r="AM268" i="37" s="1"/>
  <c r="AS162" i="37"/>
  <c r="AT162" i="37" s="1"/>
  <c r="AU162" i="37" s="1"/>
  <c r="AW162" i="37" s="1"/>
  <c r="AS153" i="37"/>
  <c r="AT153" i="37" s="1"/>
  <c r="AU153" i="37" s="1"/>
  <c r="AW153" i="37" s="1"/>
  <c r="AS163" i="37"/>
  <c r="AT163" i="37" s="1"/>
  <c r="AU163" i="37" s="1"/>
  <c r="AW163" i="37" s="1"/>
  <c r="O22" i="38"/>
  <c r="P22" i="38" s="1"/>
  <c r="Q22" i="38" s="1"/>
  <c r="S22" i="38" s="1"/>
  <c r="O30" i="38"/>
  <c r="P30" i="38" s="1"/>
  <c r="Q30" i="38" s="1"/>
  <c r="S30" i="38" s="1"/>
  <c r="O37" i="38"/>
  <c r="P37" i="38" s="1"/>
  <c r="Q37" i="38" s="1"/>
  <c r="S37" i="38" s="1"/>
  <c r="O45" i="38"/>
  <c r="P45" i="38" s="1"/>
  <c r="Q45" i="38" s="1"/>
  <c r="S45" i="38" s="1"/>
  <c r="O53" i="38"/>
  <c r="P53" i="38" s="1"/>
  <c r="Q53" i="38" s="1"/>
  <c r="S53" i="38" s="1"/>
  <c r="O61" i="38"/>
  <c r="P61" i="38" s="1"/>
  <c r="Q61" i="38" s="1"/>
  <c r="S61" i="38" s="1"/>
  <c r="O28" i="38"/>
  <c r="P28" i="38" s="1"/>
  <c r="Q28" i="38" s="1"/>
  <c r="S28" i="38" s="1"/>
  <c r="O35" i="38"/>
  <c r="P35" i="38" s="1"/>
  <c r="Q35" i="38" s="1"/>
  <c r="S35" i="38" s="1"/>
  <c r="O57" i="38"/>
  <c r="P57" i="38" s="1"/>
  <c r="Q57" i="38" s="1"/>
  <c r="S57" i="38" s="1"/>
  <c r="O69" i="38"/>
  <c r="P69" i="38" s="1"/>
  <c r="Q69" i="38" s="1"/>
  <c r="S69" i="38" s="1"/>
  <c r="O77" i="38"/>
  <c r="P77" i="38" s="1"/>
  <c r="Q77" i="38" s="1"/>
  <c r="S77" i="38" s="1"/>
  <c r="O47" i="38"/>
  <c r="P47" i="38" s="1"/>
  <c r="Q47" i="38" s="1"/>
  <c r="S47" i="38" s="1"/>
  <c r="O73" i="38"/>
  <c r="P73" i="38" s="1"/>
  <c r="Q73" i="38" s="1"/>
  <c r="S73" i="38" s="1"/>
  <c r="O89" i="38"/>
  <c r="P89" i="38" s="1"/>
  <c r="Q89" i="38" s="1"/>
  <c r="S89" i="38" s="1"/>
  <c r="O97" i="38"/>
  <c r="P97" i="38" s="1"/>
  <c r="Q97" i="38" s="1"/>
  <c r="S97" i="38" s="1"/>
  <c r="O105" i="38"/>
  <c r="P105" i="38" s="1"/>
  <c r="Q105" i="38" s="1"/>
  <c r="S105" i="38" s="1"/>
  <c r="O113" i="38"/>
  <c r="P113" i="38" s="1"/>
  <c r="Q113" i="38" s="1"/>
  <c r="S113" i="38" s="1"/>
  <c r="O125" i="38"/>
  <c r="P125" i="38" s="1"/>
  <c r="Q125" i="38" s="1"/>
  <c r="S125" i="38" s="1"/>
  <c r="O136" i="38"/>
  <c r="P136" i="38" s="1"/>
  <c r="Q136" i="38" s="1"/>
  <c r="S136" i="38" s="1"/>
  <c r="O144" i="38"/>
  <c r="P144" i="38" s="1"/>
  <c r="Q144" i="38" s="1"/>
  <c r="S144" i="38" s="1"/>
  <c r="O152" i="38"/>
  <c r="P152" i="38" s="1"/>
  <c r="Q152" i="38" s="1"/>
  <c r="S152" i="38" s="1"/>
  <c r="O41" i="38"/>
  <c r="P41" i="38" s="1"/>
  <c r="Q41" i="38" s="1"/>
  <c r="S41" i="38" s="1"/>
  <c r="O63" i="38"/>
  <c r="P63" i="38" s="1"/>
  <c r="Q63" i="38" s="1"/>
  <c r="S63" i="38" s="1"/>
  <c r="O91" i="38"/>
  <c r="P91" i="38" s="1"/>
  <c r="Q91" i="38" s="1"/>
  <c r="S91" i="38" s="1"/>
  <c r="O107" i="38"/>
  <c r="P107" i="38" s="1"/>
  <c r="Q107" i="38" s="1"/>
  <c r="S107" i="38" s="1"/>
  <c r="O119" i="38"/>
  <c r="P119" i="38" s="1"/>
  <c r="Q119" i="38" s="1"/>
  <c r="S119" i="38" s="1"/>
  <c r="O132" i="38"/>
  <c r="P132" i="38" s="1"/>
  <c r="Q132" i="38" s="1"/>
  <c r="S132" i="38" s="1"/>
  <c r="O148" i="38"/>
  <c r="P148" i="38" s="1"/>
  <c r="Q148" i="38" s="1"/>
  <c r="S148" i="38" s="1"/>
  <c r="O164" i="38"/>
  <c r="P164" i="38" s="1"/>
  <c r="Q164" i="38" s="1"/>
  <c r="S164" i="38" s="1"/>
  <c r="O172" i="38"/>
  <c r="P172" i="38" s="1"/>
  <c r="Q172" i="38" s="1"/>
  <c r="S172" i="38" s="1"/>
  <c r="O176" i="38"/>
  <c r="P176" i="38" s="1"/>
  <c r="Q176" i="38" s="1"/>
  <c r="S176" i="38" s="1"/>
  <c r="O180" i="38"/>
  <c r="P180" i="38" s="1"/>
  <c r="Q180" i="38" s="1"/>
  <c r="S180" i="38" s="1"/>
  <c r="O83" i="38"/>
  <c r="P83" i="38" s="1"/>
  <c r="Q83" i="38" s="1"/>
  <c r="S83" i="38" s="1"/>
  <c r="O117" i="38"/>
  <c r="P117" i="38" s="1"/>
  <c r="Q117" i="38" s="1"/>
  <c r="S117" i="38" s="1"/>
  <c r="O140" i="38"/>
  <c r="P140" i="38" s="1"/>
  <c r="Q140" i="38" s="1"/>
  <c r="S140" i="38" s="1"/>
  <c r="O160" i="38"/>
  <c r="P160" i="38" s="1"/>
  <c r="Q160" i="38" s="1"/>
  <c r="S160" i="38" s="1"/>
  <c r="O186" i="38"/>
  <c r="P186" i="38" s="1"/>
  <c r="Q186" i="38" s="1"/>
  <c r="S186" i="38" s="1"/>
  <c r="O194" i="38"/>
  <c r="P194" i="38" s="1"/>
  <c r="Q194" i="38" s="1"/>
  <c r="S194" i="38" s="1"/>
  <c r="O202" i="38"/>
  <c r="P202" i="38" s="1"/>
  <c r="Q202" i="38" s="1"/>
  <c r="S202" i="38" s="1"/>
  <c r="O210" i="38"/>
  <c r="P210" i="38" s="1"/>
  <c r="Q210" i="38" s="1"/>
  <c r="S210" i="38" s="1"/>
  <c r="O214" i="38"/>
  <c r="P214" i="38" s="1"/>
  <c r="Q214" i="38" s="1"/>
  <c r="S214" i="38" s="1"/>
  <c r="O222" i="38"/>
  <c r="P222" i="38" s="1"/>
  <c r="Q222" i="38" s="1"/>
  <c r="S222" i="38" s="1"/>
  <c r="O230" i="38"/>
  <c r="P230" i="38" s="1"/>
  <c r="Q230" i="38" s="1"/>
  <c r="S230" i="38" s="1"/>
  <c r="O234" i="38"/>
  <c r="P234" i="38" s="1"/>
  <c r="Q234" i="38" s="1"/>
  <c r="S234" i="38" s="1"/>
  <c r="O238" i="38"/>
  <c r="P238" i="38" s="1"/>
  <c r="Q238" i="38" s="1"/>
  <c r="S238" i="38" s="1"/>
  <c r="O242" i="38"/>
  <c r="P242" i="38" s="1"/>
  <c r="Q242" i="38" s="1"/>
  <c r="S242" i="38" s="1"/>
  <c r="O246" i="38"/>
  <c r="P246" i="38" s="1"/>
  <c r="Q246" i="38" s="1"/>
  <c r="S246" i="38" s="1"/>
  <c r="O250" i="38"/>
  <c r="P250" i="38" s="1"/>
  <c r="Q250" i="38" s="1"/>
  <c r="S250" i="38" s="1"/>
  <c r="O258" i="38"/>
  <c r="P258" i="38" s="1"/>
  <c r="Q258" i="38" s="1"/>
  <c r="S258" i="38" s="1"/>
  <c r="O266" i="38"/>
  <c r="P266" i="38" s="1"/>
  <c r="Q266" i="38" s="1"/>
  <c r="S266" i="38" s="1"/>
  <c r="E28" i="38"/>
  <c r="F28" i="38" s="1"/>
  <c r="G28" i="38" s="1"/>
  <c r="I28" i="38" s="1"/>
  <c r="E36" i="38"/>
  <c r="F36" i="38" s="1"/>
  <c r="G36" i="38" s="1"/>
  <c r="I36" i="38" s="1"/>
  <c r="E44" i="38"/>
  <c r="F44" i="38" s="1"/>
  <c r="G44" i="38" s="1"/>
  <c r="I44" i="38" s="1"/>
  <c r="E52" i="38"/>
  <c r="F52" i="38" s="1"/>
  <c r="G52" i="38" s="1"/>
  <c r="I52" i="38" s="1"/>
  <c r="E60" i="38"/>
  <c r="F60" i="38" s="1"/>
  <c r="G60" i="38" s="1"/>
  <c r="I60" i="38" s="1"/>
  <c r="E68" i="38"/>
  <c r="F68" i="38" s="1"/>
  <c r="G68" i="38" s="1"/>
  <c r="I68" i="38" s="1"/>
  <c r="E76" i="38"/>
  <c r="F76" i="38" s="1"/>
  <c r="G76" i="38" s="1"/>
  <c r="I76" i="38" s="1"/>
  <c r="E84" i="38"/>
  <c r="F84" i="38" s="1"/>
  <c r="G84" i="38" s="1"/>
  <c r="I84" i="38" s="1"/>
  <c r="E92" i="38"/>
  <c r="F92" i="38" s="1"/>
  <c r="G92" i="38" s="1"/>
  <c r="I92" i="38" s="1"/>
  <c r="O85" i="38"/>
  <c r="P85" i="38" s="1"/>
  <c r="Q85" i="38" s="1"/>
  <c r="S85" i="38" s="1"/>
  <c r="O156" i="38"/>
  <c r="P156" i="38" s="1"/>
  <c r="Q156" i="38" s="1"/>
  <c r="S156" i="38" s="1"/>
  <c r="O190" i="38"/>
  <c r="P190" i="38" s="1"/>
  <c r="Q190" i="38" s="1"/>
  <c r="S190" i="38" s="1"/>
  <c r="O206" i="38"/>
  <c r="P206" i="38" s="1"/>
  <c r="Q206" i="38" s="1"/>
  <c r="S206" i="38" s="1"/>
  <c r="O216" i="38"/>
  <c r="P216" i="38" s="1"/>
  <c r="Q216" i="38" s="1"/>
  <c r="S216" i="38" s="1"/>
  <c r="O252" i="38"/>
  <c r="P252" i="38" s="1"/>
  <c r="Q252" i="38" s="1"/>
  <c r="S252" i="38" s="1"/>
  <c r="O268" i="38"/>
  <c r="P268" i="38" s="1"/>
  <c r="Q268" i="38" s="1"/>
  <c r="S268" i="38" s="1"/>
  <c r="E30" i="38"/>
  <c r="F30" i="38" s="1"/>
  <c r="G30" i="38" s="1"/>
  <c r="I30" i="38" s="1"/>
  <c r="E46" i="38"/>
  <c r="F46" i="38" s="1"/>
  <c r="G46" i="38" s="1"/>
  <c r="I46" i="38" s="1"/>
  <c r="E185" i="38"/>
  <c r="F185" i="38" s="1"/>
  <c r="G185" i="38" s="1"/>
  <c r="I185" i="38" s="1"/>
  <c r="O65" i="38"/>
  <c r="P65" i="38" s="1"/>
  <c r="Q65" i="38" s="1"/>
  <c r="S65" i="38" s="1"/>
  <c r="O115" i="38"/>
  <c r="P115" i="38" s="1"/>
  <c r="Q115" i="38" s="1"/>
  <c r="S115" i="38" s="1"/>
  <c r="O170" i="38"/>
  <c r="P170" i="38" s="1"/>
  <c r="Q170" i="38" s="1"/>
  <c r="S170" i="38" s="1"/>
  <c r="O184" i="38"/>
  <c r="P184" i="38" s="1"/>
  <c r="Q184" i="38" s="1"/>
  <c r="S184" i="38" s="1"/>
  <c r="O200" i="38"/>
  <c r="P200" i="38" s="1"/>
  <c r="Q200" i="38" s="1"/>
  <c r="S200" i="38" s="1"/>
  <c r="O226" i="38"/>
  <c r="P226" i="38" s="1"/>
  <c r="Q226" i="38" s="1"/>
  <c r="S226" i="38" s="1"/>
  <c r="O262" i="38"/>
  <c r="P262" i="38" s="1"/>
  <c r="Q262" i="38" s="1"/>
  <c r="S262" i="38" s="1"/>
  <c r="E34" i="38"/>
  <c r="F34" i="38" s="1"/>
  <c r="G34" i="38" s="1"/>
  <c r="I34" i="38" s="1"/>
  <c r="E50" i="38"/>
  <c r="F50" i="38" s="1"/>
  <c r="G50" i="38" s="1"/>
  <c r="I50" i="38" s="1"/>
  <c r="E66" i="38"/>
  <c r="F66" i="38" s="1"/>
  <c r="G66" i="38" s="1"/>
  <c r="I66" i="38" s="1"/>
  <c r="E82" i="38"/>
  <c r="F82" i="38" s="1"/>
  <c r="G82" i="38" s="1"/>
  <c r="I82" i="38" s="1"/>
  <c r="E98" i="38"/>
  <c r="F98" i="38" s="1"/>
  <c r="G98" i="38" s="1"/>
  <c r="I98" i="38" s="1"/>
  <c r="E102" i="38"/>
  <c r="F102" i="38" s="1"/>
  <c r="G102" i="38" s="1"/>
  <c r="I102" i="38" s="1"/>
  <c r="E106" i="38"/>
  <c r="F106" i="38" s="1"/>
  <c r="G106" i="38" s="1"/>
  <c r="I106" i="38" s="1"/>
  <c r="E110" i="38"/>
  <c r="F110" i="38" s="1"/>
  <c r="G110" i="38" s="1"/>
  <c r="I110" i="38" s="1"/>
  <c r="E114" i="38"/>
  <c r="F114" i="38" s="1"/>
  <c r="G114" i="38" s="1"/>
  <c r="I114" i="38" s="1"/>
  <c r="E118" i="38"/>
  <c r="F118" i="38" s="1"/>
  <c r="G118" i="38" s="1"/>
  <c r="I118" i="38" s="1"/>
  <c r="E122" i="38"/>
  <c r="F122" i="38" s="1"/>
  <c r="G122" i="38" s="1"/>
  <c r="I122" i="38" s="1"/>
  <c r="E126" i="38"/>
  <c r="F126" i="38" s="1"/>
  <c r="G126" i="38" s="1"/>
  <c r="I126" i="38" s="1"/>
  <c r="E130" i="38"/>
  <c r="F130" i="38" s="1"/>
  <c r="G130" i="38" s="1"/>
  <c r="I130" i="38" s="1"/>
  <c r="E134" i="38"/>
  <c r="F134" i="38" s="1"/>
  <c r="G134" i="38" s="1"/>
  <c r="I134" i="38" s="1"/>
  <c r="E138" i="38"/>
  <c r="F138" i="38" s="1"/>
  <c r="G138" i="38" s="1"/>
  <c r="I138" i="38" s="1"/>
  <c r="E142" i="38"/>
  <c r="F142" i="38" s="1"/>
  <c r="G142" i="38" s="1"/>
  <c r="I142" i="38" s="1"/>
  <c r="E146" i="38"/>
  <c r="F146" i="38" s="1"/>
  <c r="G146" i="38" s="1"/>
  <c r="I146" i="38" s="1"/>
  <c r="E150" i="38"/>
  <c r="F150" i="38" s="1"/>
  <c r="G150" i="38" s="1"/>
  <c r="I150" i="38" s="1"/>
  <c r="E154" i="38"/>
  <c r="F154" i="38" s="1"/>
  <c r="G154" i="38" s="1"/>
  <c r="I154" i="38" s="1"/>
  <c r="E158" i="38"/>
  <c r="F158" i="38" s="1"/>
  <c r="G158" i="38" s="1"/>
  <c r="I158" i="38" s="1"/>
  <c r="E162" i="38"/>
  <c r="F162" i="38" s="1"/>
  <c r="G162" i="38" s="1"/>
  <c r="I162" i="38" s="1"/>
  <c r="E166" i="38"/>
  <c r="F166" i="38" s="1"/>
  <c r="G166" i="38" s="1"/>
  <c r="I166" i="38" s="1"/>
  <c r="E170" i="38"/>
  <c r="F170" i="38" s="1"/>
  <c r="G170" i="38" s="1"/>
  <c r="I170" i="38" s="1"/>
  <c r="E175" i="38"/>
  <c r="F175" i="38" s="1"/>
  <c r="G175" i="38" s="1"/>
  <c r="I175" i="38" s="1"/>
  <c r="E183" i="38"/>
  <c r="F183" i="38" s="1"/>
  <c r="G183" i="38" s="1"/>
  <c r="I183" i="38" s="1"/>
  <c r="E191" i="38"/>
  <c r="F191" i="38" s="1"/>
  <c r="G191" i="38" s="1"/>
  <c r="I191" i="38" s="1"/>
  <c r="E199" i="38"/>
  <c r="F199" i="38" s="1"/>
  <c r="G199" i="38" s="1"/>
  <c r="I199" i="38" s="1"/>
  <c r="E207" i="38"/>
  <c r="F207" i="38" s="1"/>
  <c r="G207" i="38" s="1"/>
  <c r="I207" i="38" s="1"/>
  <c r="E215" i="38"/>
  <c r="F215" i="38" s="1"/>
  <c r="G215" i="38" s="1"/>
  <c r="I215" i="38" s="1"/>
  <c r="E222" i="38"/>
  <c r="F222" i="38" s="1"/>
  <c r="G222" i="38" s="1"/>
  <c r="I222" i="38" s="1"/>
  <c r="E230" i="38"/>
  <c r="F230" i="38" s="1"/>
  <c r="G230" i="38" s="1"/>
  <c r="I230" i="38" s="1"/>
  <c r="E238" i="38"/>
  <c r="F238" i="38" s="1"/>
  <c r="G238" i="38" s="1"/>
  <c r="I238" i="38" s="1"/>
  <c r="E246" i="38"/>
  <c r="F246" i="38" s="1"/>
  <c r="G246" i="38" s="1"/>
  <c r="I246" i="38" s="1"/>
  <c r="E254" i="38"/>
  <c r="F254" i="38" s="1"/>
  <c r="G254" i="38" s="1"/>
  <c r="I254" i="38" s="1"/>
  <c r="E262" i="38"/>
  <c r="F262" i="38" s="1"/>
  <c r="G262" i="38" s="1"/>
  <c r="I262" i="38" s="1"/>
  <c r="E54" i="38"/>
  <c r="F54" i="38" s="1"/>
  <c r="G54" i="38" s="1"/>
  <c r="I54" i="38" s="1"/>
  <c r="E70" i="38"/>
  <c r="F70" i="38" s="1"/>
  <c r="G70" i="38" s="1"/>
  <c r="I70" i="38" s="1"/>
  <c r="E94" i="38"/>
  <c r="F94" i="38" s="1"/>
  <c r="G94" i="38" s="1"/>
  <c r="I94" i="38" s="1"/>
  <c r="E181" i="38"/>
  <c r="F181" i="38" s="1"/>
  <c r="G181" i="38" s="1"/>
  <c r="I181" i="38" s="1"/>
  <c r="E193" i="38"/>
  <c r="F193" i="38" s="1"/>
  <c r="G193" i="38" s="1"/>
  <c r="I193" i="38" s="1"/>
  <c r="E209" i="38"/>
  <c r="F209" i="38" s="1"/>
  <c r="G209" i="38" s="1"/>
  <c r="I209" i="38" s="1"/>
  <c r="E224" i="38"/>
  <c r="F224" i="38" s="1"/>
  <c r="G224" i="38" s="1"/>
  <c r="I224" i="38" s="1"/>
  <c r="E248" i="38"/>
  <c r="F248" i="38" s="1"/>
  <c r="G248" i="38" s="1"/>
  <c r="I248" i="38" s="1"/>
  <c r="E205" i="38"/>
  <c r="F205" i="38" s="1"/>
  <c r="G205" i="38" s="1"/>
  <c r="I205" i="38" s="1"/>
  <c r="E220" i="38"/>
  <c r="F220" i="38" s="1"/>
  <c r="G220" i="38" s="1"/>
  <c r="I220" i="38" s="1"/>
  <c r="E236" i="38"/>
  <c r="F236" i="38" s="1"/>
  <c r="G236" i="38" s="1"/>
  <c r="I236" i="38" s="1"/>
  <c r="E252" i="38"/>
  <c r="F252" i="38" s="1"/>
  <c r="G252" i="38" s="1"/>
  <c r="I252" i="38" s="1"/>
  <c r="E268" i="38"/>
  <c r="F268" i="38" s="1"/>
  <c r="G268" i="38" s="1"/>
  <c r="I268" i="38" s="1"/>
  <c r="E256" i="38"/>
  <c r="F256" i="38" s="1"/>
  <c r="G256" i="38" s="1"/>
  <c r="I256" i="38" s="1"/>
  <c r="E247" i="38"/>
  <c r="F247" i="38" s="1"/>
  <c r="G247" i="38" s="1"/>
  <c r="I247" i="38" s="1"/>
  <c r="E267" i="38"/>
  <c r="F267" i="38" s="1"/>
  <c r="G267" i="38" s="1"/>
  <c r="I267" i="38" s="1"/>
  <c r="E235" i="38"/>
  <c r="F235" i="38" s="1"/>
  <c r="G235" i="38" s="1"/>
  <c r="I235" i="38" s="1"/>
  <c r="E214" i="38"/>
  <c r="F214" i="38" s="1"/>
  <c r="G214" i="38" s="1"/>
  <c r="I214" i="38" s="1"/>
  <c r="E171" i="38"/>
  <c r="F171" i="38" s="1"/>
  <c r="G171" i="38" s="1"/>
  <c r="I171" i="38" s="1"/>
  <c r="E155" i="38"/>
  <c r="F155" i="38" s="1"/>
  <c r="G155" i="38" s="1"/>
  <c r="I155" i="38" s="1"/>
  <c r="E141" i="38"/>
  <c r="F141" i="38" s="1"/>
  <c r="G141" i="38" s="1"/>
  <c r="I141" i="38" s="1"/>
  <c r="E91" i="38"/>
  <c r="F91" i="38" s="1"/>
  <c r="G91" i="38" s="1"/>
  <c r="I91" i="38" s="1"/>
  <c r="E43" i="38"/>
  <c r="F43" i="38" s="1"/>
  <c r="G43" i="38" s="1"/>
  <c r="I43" i="38" s="1"/>
  <c r="E257" i="38"/>
  <c r="F257" i="38" s="1"/>
  <c r="G257" i="38" s="1"/>
  <c r="I257" i="38" s="1"/>
  <c r="E241" i="38"/>
  <c r="F241" i="38" s="1"/>
  <c r="G241" i="38" s="1"/>
  <c r="I241" i="38" s="1"/>
  <c r="E225" i="38"/>
  <c r="F225" i="38" s="1"/>
  <c r="G225" i="38" s="1"/>
  <c r="I225" i="38" s="1"/>
  <c r="E208" i="38"/>
  <c r="F208" i="38" s="1"/>
  <c r="G208" i="38" s="1"/>
  <c r="I208" i="38" s="1"/>
  <c r="E192" i="38"/>
  <c r="F192" i="38" s="1"/>
  <c r="G192" i="38" s="1"/>
  <c r="I192" i="38" s="1"/>
  <c r="E176" i="38"/>
  <c r="F176" i="38" s="1"/>
  <c r="G176" i="38" s="1"/>
  <c r="I176" i="38" s="1"/>
  <c r="E71" i="38"/>
  <c r="F71" i="38" s="1"/>
  <c r="G71" i="38" s="1"/>
  <c r="I71" i="38" s="1"/>
  <c r="E39" i="38"/>
  <c r="F39" i="38" s="1"/>
  <c r="G39" i="38" s="1"/>
  <c r="I39" i="38" s="1"/>
  <c r="O261" i="38"/>
  <c r="P261" i="38" s="1"/>
  <c r="Q261" i="38" s="1"/>
  <c r="S261" i="38" s="1"/>
  <c r="O259" i="38"/>
  <c r="P259" i="38" s="1"/>
  <c r="Q259" i="38" s="1"/>
  <c r="S259" i="38" s="1"/>
  <c r="AS244" i="38"/>
  <c r="AT244" i="38" s="1"/>
  <c r="AU244" i="38" s="1"/>
  <c r="AW244" i="38" s="1"/>
  <c r="AS236" i="38"/>
  <c r="AT236" i="38" s="1"/>
  <c r="AU236" i="38" s="1"/>
  <c r="AW236" i="38" s="1"/>
  <c r="AS228" i="38"/>
  <c r="AT228" i="38" s="1"/>
  <c r="AU228" i="38" s="1"/>
  <c r="AW228" i="38" s="1"/>
  <c r="AI223" i="38"/>
  <c r="AJ223" i="38" s="1"/>
  <c r="AK223" i="38" s="1"/>
  <c r="AM223" i="38" s="1"/>
  <c r="AI217" i="38"/>
  <c r="AJ217" i="38" s="1"/>
  <c r="AK217" i="38" s="1"/>
  <c r="AM217" i="38" s="1"/>
  <c r="Y203" i="38"/>
  <c r="Z203" i="38" s="1"/>
  <c r="AA203" i="38" s="1"/>
  <c r="AC203" i="38" s="1"/>
  <c r="Y197" i="38"/>
  <c r="Z197" i="38" s="1"/>
  <c r="AA197" i="38" s="1"/>
  <c r="AC197" i="38" s="1"/>
  <c r="Y187" i="38"/>
  <c r="Z187" i="38" s="1"/>
  <c r="AA187" i="38" s="1"/>
  <c r="AC187" i="38" s="1"/>
  <c r="Y181" i="38"/>
  <c r="Z181" i="38" s="1"/>
  <c r="AA181" i="38" s="1"/>
  <c r="AC181" i="38" s="1"/>
  <c r="AI161" i="38"/>
  <c r="AJ161" i="38" s="1"/>
  <c r="AK161" i="38" s="1"/>
  <c r="AM161" i="38" s="1"/>
  <c r="Y112" i="38"/>
  <c r="Z112" i="38" s="1"/>
  <c r="AA112" i="38" s="1"/>
  <c r="AC112" i="38" s="1"/>
  <c r="O106" i="38"/>
  <c r="P106" i="38" s="1"/>
  <c r="Q106" i="38" s="1"/>
  <c r="S106" i="38" s="1"/>
  <c r="O70" i="38"/>
  <c r="P70" i="38" s="1"/>
  <c r="Q70" i="38" s="1"/>
  <c r="S70" i="38" s="1"/>
  <c r="E190" i="38"/>
  <c r="F190" i="38" s="1"/>
  <c r="G190" i="38" s="1"/>
  <c r="I190" i="38" s="1"/>
  <c r="E173" i="38"/>
  <c r="F173" i="38" s="1"/>
  <c r="G173" i="38" s="1"/>
  <c r="I173" i="38" s="1"/>
  <c r="E157" i="38"/>
  <c r="F157" i="38" s="1"/>
  <c r="G157" i="38" s="1"/>
  <c r="I157" i="38" s="1"/>
  <c r="E135" i="38"/>
  <c r="F135" i="38" s="1"/>
  <c r="G135" i="38" s="1"/>
  <c r="I135" i="38" s="1"/>
  <c r="E27" i="38"/>
  <c r="F27" i="38" s="1"/>
  <c r="G27" i="38" s="1"/>
  <c r="I27" i="38" s="1"/>
  <c r="O267" i="38"/>
  <c r="P267" i="38" s="1"/>
  <c r="Q267" i="38" s="1"/>
  <c r="S267" i="38" s="1"/>
  <c r="O253" i="38"/>
  <c r="P253" i="38" s="1"/>
  <c r="Q253" i="38" s="1"/>
  <c r="S253" i="38" s="1"/>
  <c r="O251" i="38"/>
  <c r="P251" i="38" s="1"/>
  <c r="Q251" i="38" s="1"/>
  <c r="S251" i="38" s="1"/>
  <c r="AS242" i="38"/>
  <c r="AT242" i="38" s="1"/>
  <c r="AU242" i="38" s="1"/>
  <c r="AW242" i="38" s="1"/>
  <c r="AS234" i="38"/>
  <c r="AT234" i="38" s="1"/>
  <c r="AU234" i="38" s="1"/>
  <c r="AW234" i="38" s="1"/>
  <c r="AS226" i="38"/>
  <c r="AT226" i="38" s="1"/>
  <c r="AU226" i="38" s="1"/>
  <c r="AW226" i="38" s="1"/>
  <c r="O217" i="38"/>
  <c r="P217" i="38" s="1"/>
  <c r="Q217" i="38" s="1"/>
  <c r="S217" i="38" s="1"/>
  <c r="O215" i="38"/>
  <c r="P215" i="38" s="1"/>
  <c r="Q215" i="38" s="1"/>
  <c r="S215" i="38" s="1"/>
  <c r="AS205" i="38"/>
  <c r="AT205" i="38" s="1"/>
  <c r="AU205" i="38" s="1"/>
  <c r="AW205" i="38" s="1"/>
  <c r="AS203" i="38"/>
  <c r="AT203" i="38" s="1"/>
  <c r="AU203" i="38" s="1"/>
  <c r="AW203" i="38" s="1"/>
  <c r="AS189" i="38"/>
  <c r="AT189" i="38" s="1"/>
  <c r="AU189" i="38" s="1"/>
  <c r="AW189" i="38" s="1"/>
  <c r="AS187" i="38"/>
  <c r="AT187" i="38" s="1"/>
  <c r="AU187" i="38" s="1"/>
  <c r="AW187" i="38" s="1"/>
  <c r="AI167" i="38"/>
  <c r="AJ167" i="38" s="1"/>
  <c r="AK167" i="38" s="1"/>
  <c r="AM167" i="38" s="1"/>
  <c r="O157" i="38"/>
  <c r="P157" i="38" s="1"/>
  <c r="Q157" i="38" s="1"/>
  <c r="S157" i="38" s="1"/>
  <c r="O155" i="38"/>
  <c r="P155" i="38" s="1"/>
  <c r="Q155" i="38" s="1"/>
  <c r="S155" i="38" s="1"/>
  <c r="E129" i="38"/>
  <c r="F129" i="38" s="1"/>
  <c r="G129" i="38" s="1"/>
  <c r="I129" i="38" s="1"/>
  <c r="E121" i="38"/>
  <c r="F121" i="38" s="1"/>
  <c r="G121" i="38" s="1"/>
  <c r="I121" i="38" s="1"/>
  <c r="E113" i="38"/>
  <c r="F113" i="38" s="1"/>
  <c r="G113" i="38" s="1"/>
  <c r="I113" i="38" s="1"/>
  <c r="E105" i="38"/>
  <c r="F105" i="38" s="1"/>
  <c r="G105" i="38" s="1"/>
  <c r="I105" i="38" s="1"/>
  <c r="E97" i="38"/>
  <c r="F97" i="38" s="1"/>
  <c r="G97" i="38" s="1"/>
  <c r="I97" i="38" s="1"/>
  <c r="E81" i="38"/>
  <c r="F81" i="38" s="1"/>
  <c r="G81" i="38" s="1"/>
  <c r="I81" i="38" s="1"/>
  <c r="E65" i="38"/>
  <c r="F65" i="38" s="1"/>
  <c r="G65" i="38" s="1"/>
  <c r="I65" i="38" s="1"/>
  <c r="E49" i="38"/>
  <c r="F49" i="38" s="1"/>
  <c r="G49" i="38" s="1"/>
  <c r="I49" i="38" s="1"/>
  <c r="E33" i="38"/>
  <c r="F33" i="38" s="1"/>
  <c r="G33" i="38" s="1"/>
  <c r="I33" i="38" s="1"/>
  <c r="O265" i="38"/>
  <c r="P265" i="38" s="1"/>
  <c r="Q265" i="38" s="1"/>
  <c r="S265" i="38" s="1"/>
  <c r="O263" i="38"/>
  <c r="P263" i="38" s="1"/>
  <c r="Q263" i="38" s="1"/>
  <c r="S263" i="38" s="1"/>
  <c r="O257" i="38"/>
  <c r="P257" i="38" s="1"/>
  <c r="Q257" i="38" s="1"/>
  <c r="S257" i="38" s="1"/>
  <c r="O255" i="38"/>
  <c r="P255" i="38" s="1"/>
  <c r="Q255" i="38" s="1"/>
  <c r="S255" i="38" s="1"/>
  <c r="O249" i="38"/>
  <c r="P249" i="38" s="1"/>
  <c r="Q249" i="38" s="1"/>
  <c r="S249" i="38" s="1"/>
  <c r="O247" i="38"/>
  <c r="P247" i="38" s="1"/>
  <c r="Q247" i="38" s="1"/>
  <c r="S247" i="38" s="1"/>
  <c r="Y245" i="38"/>
  <c r="Z245" i="38" s="1"/>
  <c r="AA245" i="38" s="1"/>
  <c r="AC245" i="38" s="1"/>
  <c r="AI243" i="38"/>
  <c r="AJ243" i="38" s="1"/>
  <c r="AK243" i="38" s="1"/>
  <c r="AM243" i="38" s="1"/>
  <c r="AS241" i="38"/>
  <c r="AT241" i="38" s="1"/>
  <c r="AU241" i="38" s="1"/>
  <c r="AW241" i="38" s="1"/>
  <c r="AI240" i="38"/>
  <c r="AJ240" i="38" s="1"/>
  <c r="AK240" i="38" s="1"/>
  <c r="AM240" i="38" s="1"/>
  <c r="O239" i="38"/>
  <c r="P239" i="38" s="1"/>
  <c r="Q239" i="38" s="1"/>
  <c r="S239" i="38" s="1"/>
  <c r="Y237" i="38"/>
  <c r="Z237" i="38" s="1"/>
  <c r="AA237" i="38" s="1"/>
  <c r="AC237" i="38" s="1"/>
  <c r="AI235" i="38"/>
  <c r="AJ235" i="38" s="1"/>
  <c r="AK235" i="38" s="1"/>
  <c r="AM235" i="38" s="1"/>
  <c r="AS233" i="38"/>
  <c r="AT233" i="38" s="1"/>
  <c r="AU233" i="38" s="1"/>
  <c r="AW233" i="38" s="1"/>
  <c r="AI232" i="38"/>
  <c r="AJ232" i="38" s="1"/>
  <c r="AK232" i="38" s="1"/>
  <c r="AM232" i="38" s="1"/>
  <c r="O231" i="38"/>
  <c r="P231" i="38" s="1"/>
  <c r="Q231" i="38" s="1"/>
  <c r="S231" i="38" s="1"/>
  <c r="Y229" i="38"/>
  <c r="Z229" i="38" s="1"/>
  <c r="AA229" i="38" s="1"/>
  <c r="AC229" i="38" s="1"/>
  <c r="AI227" i="38"/>
  <c r="AJ227" i="38" s="1"/>
  <c r="AK227" i="38" s="1"/>
  <c r="AM227" i="38" s="1"/>
  <c r="AS225" i="38"/>
  <c r="AT225" i="38" s="1"/>
  <c r="AU225" i="38" s="1"/>
  <c r="AW225" i="38" s="1"/>
  <c r="AS219" i="38"/>
  <c r="AT219" i="38" s="1"/>
  <c r="AU219" i="38" s="1"/>
  <c r="AW219" i="38" s="1"/>
  <c r="AS217" i="38"/>
  <c r="AT217" i="38" s="1"/>
  <c r="AU217" i="38" s="1"/>
  <c r="AW217" i="38" s="1"/>
  <c r="AI211" i="38"/>
  <c r="AJ211" i="38" s="1"/>
  <c r="AK211" i="38" s="1"/>
  <c r="AM211" i="38" s="1"/>
  <c r="Y209" i="38"/>
  <c r="Z209" i="38" s="1"/>
  <c r="AA209" i="38" s="1"/>
  <c r="AC209" i="38" s="1"/>
  <c r="AI203" i="38"/>
  <c r="AJ203" i="38" s="1"/>
  <c r="AK203" i="38" s="1"/>
  <c r="AM203" i="38" s="1"/>
  <c r="Y201" i="38"/>
  <c r="Z201" i="38" s="1"/>
  <c r="AA201" i="38" s="1"/>
  <c r="AC201" i="38" s="1"/>
  <c r="AI195" i="38"/>
  <c r="AJ195" i="38" s="1"/>
  <c r="AK195" i="38" s="1"/>
  <c r="AM195" i="38" s="1"/>
  <c r="Y193" i="38"/>
  <c r="Z193" i="38" s="1"/>
  <c r="AA193" i="38" s="1"/>
  <c r="AC193" i="38" s="1"/>
  <c r="AI187" i="38"/>
  <c r="AJ187" i="38" s="1"/>
  <c r="AK187" i="38" s="1"/>
  <c r="AM187" i="38" s="1"/>
  <c r="Y185" i="38"/>
  <c r="Z185" i="38" s="1"/>
  <c r="AA185" i="38" s="1"/>
  <c r="AC185" i="38" s="1"/>
  <c r="Y179" i="38"/>
  <c r="Z179" i="38" s="1"/>
  <c r="AA179" i="38" s="1"/>
  <c r="AC179" i="38" s="1"/>
  <c r="AS173" i="38"/>
  <c r="AT173" i="38" s="1"/>
  <c r="AU173" i="38" s="1"/>
  <c r="AW173" i="38" s="1"/>
  <c r="AS159" i="38"/>
  <c r="AT159" i="38" s="1"/>
  <c r="AU159" i="38" s="1"/>
  <c r="AW159" i="38" s="1"/>
  <c r="AI149" i="38"/>
  <c r="AJ149" i="38" s="1"/>
  <c r="AK149" i="38" s="1"/>
  <c r="AM149" i="38" s="1"/>
  <c r="Y139" i="38"/>
  <c r="Z139" i="38" s="1"/>
  <c r="AA139" i="38" s="1"/>
  <c r="AC139" i="38" s="1"/>
  <c r="AS126" i="38"/>
  <c r="AT126" i="38" s="1"/>
  <c r="AU126" i="38" s="1"/>
  <c r="AW126" i="38" s="1"/>
  <c r="AI120" i="38"/>
  <c r="AJ120" i="38" s="1"/>
  <c r="AK120" i="38" s="1"/>
  <c r="AM120" i="38" s="1"/>
  <c r="AS94" i="38"/>
  <c r="AT94" i="38" s="1"/>
  <c r="AU94" i="38" s="1"/>
  <c r="AW94" i="38" s="1"/>
  <c r="AS82" i="38"/>
  <c r="AT82" i="38" s="1"/>
  <c r="AU82" i="38" s="1"/>
  <c r="AW82" i="38" s="1"/>
  <c r="AI177" i="38"/>
  <c r="AJ177" i="38" s="1"/>
  <c r="AK177" i="38" s="1"/>
  <c r="AM177" i="38" s="1"/>
  <c r="AI173" i="38"/>
  <c r="AJ173" i="38" s="1"/>
  <c r="AK173" i="38" s="1"/>
  <c r="AM173" i="38" s="1"/>
  <c r="Y171" i="38"/>
  <c r="Z171" i="38" s="1"/>
  <c r="AA171" i="38" s="1"/>
  <c r="AC171" i="38" s="1"/>
  <c r="AI165" i="38"/>
  <c r="AJ165" i="38" s="1"/>
  <c r="AK165" i="38" s="1"/>
  <c r="AM165" i="38" s="1"/>
  <c r="Y163" i="38"/>
  <c r="Z163" i="38" s="1"/>
  <c r="AA163" i="38" s="1"/>
  <c r="AC163" i="38" s="1"/>
  <c r="AI157" i="38"/>
  <c r="AJ157" i="38" s="1"/>
  <c r="AK157" i="38" s="1"/>
  <c r="AM157" i="38" s="1"/>
  <c r="AI147" i="38"/>
  <c r="AJ147" i="38" s="1"/>
  <c r="AK147" i="38" s="1"/>
  <c r="AM147" i="38" s="1"/>
  <c r="AI141" i="38"/>
  <c r="AJ141" i="38" s="1"/>
  <c r="AK141" i="38" s="1"/>
  <c r="AM141" i="38" s="1"/>
  <c r="AI131" i="38"/>
  <c r="AJ131" i="38" s="1"/>
  <c r="AK131" i="38" s="1"/>
  <c r="AM131" i="38" s="1"/>
  <c r="O126" i="38"/>
  <c r="P126" i="38" s="1"/>
  <c r="Q126" i="38" s="1"/>
  <c r="S126" i="38" s="1"/>
  <c r="AI118" i="38"/>
  <c r="AJ118" i="38" s="1"/>
  <c r="AK118" i="38" s="1"/>
  <c r="AM118" i="38" s="1"/>
  <c r="O108" i="38"/>
  <c r="P108" i="38" s="1"/>
  <c r="Q108" i="38" s="1"/>
  <c r="S108" i="38" s="1"/>
  <c r="AI102" i="38"/>
  <c r="AJ102" i="38" s="1"/>
  <c r="AK102" i="38" s="1"/>
  <c r="AM102" i="38" s="1"/>
  <c r="O92" i="38"/>
  <c r="P92" i="38" s="1"/>
  <c r="Q92" i="38" s="1"/>
  <c r="S92" i="38" s="1"/>
  <c r="O90" i="38"/>
  <c r="P90" i="38" s="1"/>
  <c r="Q90" i="38" s="1"/>
  <c r="S90" i="38" s="1"/>
  <c r="AS78" i="38"/>
  <c r="AT78" i="38" s="1"/>
  <c r="AU78" i="38" s="1"/>
  <c r="AW78" i="38" s="1"/>
  <c r="AS76" i="38"/>
  <c r="AT76" i="38" s="1"/>
  <c r="AU76" i="38" s="1"/>
  <c r="AW76" i="38" s="1"/>
  <c r="Y58" i="38"/>
  <c r="Z58" i="38" s="1"/>
  <c r="AA58" i="38" s="1"/>
  <c r="AC58" i="38" s="1"/>
  <c r="AS52" i="38"/>
  <c r="AT52" i="38" s="1"/>
  <c r="AU52" i="38" s="1"/>
  <c r="AW52" i="38" s="1"/>
  <c r="Y36" i="38"/>
  <c r="Z36" i="38" s="1"/>
  <c r="AA36" i="38" s="1"/>
  <c r="AC36" i="38" s="1"/>
  <c r="AS30" i="38"/>
  <c r="AT30" i="38" s="1"/>
  <c r="AU30" i="38" s="1"/>
  <c r="AW30" i="38" s="1"/>
  <c r="O25" i="38"/>
  <c r="P25" i="38" s="1"/>
  <c r="Q25" i="38" s="1"/>
  <c r="S25" i="38" s="1"/>
  <c r="AI153" i="38"/>
  <c r="AJ153" i="38" s="1"/>
  <c r="AK153" i="38" s="1"/>
  <c r="AM153" i="38" s="1"/>
  <c r="Y151" i="38"/>
  <c r="Z151" i="38" s="1"/>
  <c r="AA151" i="38" s="1"/>
  <c r="AC151" i="38" s="1"/>
  <c r="AI145" i="38"/>
  <c r="AJ145" i="38" s="1"/>
  <c r="AK145" i="38" s="1"/>
  <c r="AM145" i="38" s="1"/>
  <c r="Y143" i="38"/>
  <c r="Z143" i="38" s="1"/>
  <c r="AA143" i="38" s="1"/>
  <c r="AC143" i="38" s="1"/>
  <c r="AI137" i="38"/>
  <c r="AJ137" i="38" s="1"/>
  <c r="AK137" i="38" s="1"/>
  <c r="AM137" i="38" s="1"/>
  <c r="Y135" i="38"/>
  <c r="Z135" i="38" s="1"/>
  <c r="AA135" i="38" s="1"/>
  <c r="AC135" i="38" s="1"/>
  <c r="Y130" i="38"/>
  <c r="Z130" i="38" s="1"/>
  <c r="AA130" i="38" s="1"/>
  <c r="AC130" i="38" s="1"/>
  <c r="AI126" i="38"/>
  <c r="AJ126" i="38" s="1"/>
  <c r="AK126" i="38" s="1"/>
  <c r="AM126" i="38" s="1"/>
  <c r="Y122" i="38"/>
  <c r="Z122" i="38" s="1"/>
  <c r="AA122" i="38" s="1"/>
  <c r="AC122" i="38" s="1"/>
  <c r="Y118" i="38"/>
  <c r="Z118" i="38" s="1"/>
  <c r="AA118" i="38" s="1"/>
  <c r="AC118" i="38" s="1"/>
  <c r="AI114" i="38"/>
  <c r="AJ114" i="38" s="1"/>
  <c r="AK114" i="38" s="1"/>
  <c r="AM114" i="38" s="1"/>
  <c r="Y110" i="38"/>
  <c r="Z110" i="38" s="1"/>
  <c r="AA110" i="38" s="1"/>
  <c r="AC110" i="38" s="1"/>
  <c r="AI106" i="38"/>
  <c r="AJ106" i="38" s="1"/>
  <c r="AK106" i="38" s="1"/>
  <c r="AM106" i="38" s="1"/>
  <c r="Y102" i="38"/>
  <c r="Z102" i="38" s="1"/>
  <c r="AA102" i="38" s="1"/>
  <c r="AC102" i="38" s="1"/>
  <c r="AI98" i="38"/>
  <c r="AJ98" i="38" s="1"/>
  <c r="AK98" i="38" s="1"/>
  <c r="AM98" i="38" s="1"/>
  <c r="Y94" i="38"/>
  <c r="Z94" i="38" s="1"/>
  <c r="AA94" i="38" s="1"/>
  <c r="AC94" i="38" s="1"/>
  <c r="AI88" i="38"/>
  <c r="AJ88" i="38" s="1"/>
  <c r="AK88" i="38" s="1"/>
  <c r="AM88" i="38" s="1"/>
  <c r="Y86" i="38"/>
  <c r="Z86" i="38" s="1"/>
  <c r="AA86" i="38" s="1"/>
  <c r="AC86" i="38" s="1"/>
  <c r="AI80" i="38"/>
  <c r="AJ80" i="38" s="1"/>
  <c r="AK80" i="38" s="1"/>
  <c r="AM80" i="38" s="1"/>
  <c r="AI66" i="38"/>
  <c r="AJ66" i="38" s="1"/>
  <c r="AK66" i="38" s="1"/>
  <c r="AM66" i="38" s="1"/>
  <c r="AI82" i="38"/>
  <c r="AJ82" i="38" s="1"/>
  <c r="AK82" i="38" s="1"/>
  <c r="AM82" i="38" s="1"/>
  <c r="Y80" i="38"/>
  <c r="Z80" i="38" s="1"/>
  <c r="AA80" i="38" s="1"/>
  <c r="AC80" i="38" s="1"/>
  <c r="AI74" i="38"/>
  <c r="AJ74" i="38" s="1"/>
  <c r="AK74" i="38" s="1"/>
  <c r="AM74" i="38" s="1"/>
  <c r="Y72" i="38"/>
  <c r="Z72" i="38" s="1"/>
  <c r="AA72" i="38" s="1"/>
  <c r="AC72" i="38" s="1"/>
  <c r="O68" i="38"/>
  <c r="P68" i="38" s="1"/>
  <c r="Q68" i="38" s="1"/>
  <c r="S68" i="38" s="1"/>
  <c r="Y64" i="38"/>
  <c r="Z64" i="38" s="1"/>
  <c r="AA64" i="38" s="1"/>
  <c r="AC64" i="38" s="1"/>
  <c r="O62" i="38"/>
  <c r="P62" i="38" s="1"/>
  <c r="Q62" i="38" s="1"/>
  <c r="S62" i="38" s="1"/>
  <c r="AI50" i="38"/>
  <c r="AJ50" i="38" s="1"/>
  <c r="AK50" i="38" s="1"/>
  <c r="AM50" i="38" s="1"/>
  <c r="O46" i="38"/>
  <c r="P46" i="38" s="1"/>
  <c r="Q46" i="38" s="1"/>
  <c r="S46" i="38" s="1"/>
  <c r="Y40" i="38"/>
  <c r="Z40" i="38" s="1"/>
  <c r="AA40" i="38" s="1"/>
  <c r="AC40" i="38" s="1"/>
  <c r="O27" i="38"/>
  <c r="P27" i="38" s="1"/>
  <c r="Q27" i="38" s="1"/>
  <c r="S27" i="38" s="1"/>
  <c r="O60" i="38"/>
  <c r="P60" i="38" s="1"/>
  <c r="Q60" i="38" s="1"/>
  <c r="S60" i="38" s="1"/>
  <c r="Y56" i="38"/>
  <c r="Z56" i="38" s="1"/>
  <c r="AA56" i="38" s="1"/>
  <c r="AC56" i="38" s="1"/>
  <c r="O52" i="38"/>
  <c r="P52" i="38" s="1"/>
  <c r="Q52" i="38" s="1"/>
  <c r="S52" i="38" s="1"/>
  <c r="Y48" i="38"/>
  <c r="Z48" i="38" s="1"/>
  <c r="AA48" i="38" s="1"/>
  <c r="AC48" i="38" s="1"/>
  <c r="O44" i="38"/>
  <c r="P44" i="38" s="1"/>
  <c r="Q44" i="38" s="1"/>
  <c r="S44" i="38" s="1"/>
  <c r="AI40" i="38"/>
  <c r="AJ40" i="38" s="1"/>
  <c r="AK40" i="38" s="1"/>
  <c r="AM40" i="38" s="1"/>
  <c r="O36" i="38"/>
  <c r="P36" i="38" s="1"/>
  <c r="Q36" i="38" s="1"/>
  <c r="S36" i="38" s="1"/>
  <c r="AI32" i="38"/>
  <c r="AJ32" i="38" s="1"/>
  <c r="AK32" i="38" s="1"/>
  <c r="AM32" i="38" s="1"/>
  <c r="Y27" i="38"/>
  <c r="Z27" i="38" s="1"/>
  <c r="AA27" i="38" s="1"/>
  <c r="AC27" i="38" s="1"/>
  <c r="O23" i="38"/>
  <c r="P23" i="38" s="1"/>
  <c r="Q23" i="38" s="1"/>
  <c r="S23" i="38" s="1"/>
  <c r="E239" i="38"/>
  <c r="F239" i="38" s="1"/>
  <c r="G239" i="38" s="1"/>
  <c r="I239" i="38" s="1"/>
  <c r="E259" i="38"/>
  <c r="F259" i="38" s="1"/>
  <c r="G259" i="38" s="1"/>
  <c r="I259" i="38" s="1"/>
  <c r="E227" i="38"/>
  <c r="F227" i="38" s="1"/>
  <c r="G227" i="38" s="1"/>
  <c r="I227" i="38" s="1"/>
  <c r="E206" i="38"/>
  <c r="F206" i="38" s="1"/>
  <c r="G206" i="38" s="1"/>
  <c r="I206" i="38" s="1"/>
  <c r="E167" i="38"/>
  <c r="F167" i="38" s="1"/>
  <c r="G167" i="38" s="1"/>
  <c r="I167" i="38" s="1"/>
  <c r="E151" i="38"/>
  <c r="F151" i="38" s="1"/>
  <c r="G151" i="38" s="1"/>
  <c r="I151" i="38" s="1"/>
  <c r="E139" i="38"/>
  <c r="F139" i="38" s="1"/>
  <c r="G139" i="38" s="1"/>
  <c r="I139" i="38" s="1"/>
  <c r="E83" i="38"/>
  <c r="F83" i="38" s="1"/>
  <c r="G83" i="38" s="1"/>
  <c r="I83" i="38" s="1"/>
  <c r="E35" i="38"/>
  <c r="F35" i="38" s="1"/>
  <c r="G35" i="38" s="1"/>
  <c r="I35" i="38" s="1"/>
  <c r="E253" i="38"/>
  <c r="F253" i="38" s="1"/>
  <c r="G253" i="38" s="1"/>
  <c r="I253" i="38" s="1"/>
  <c r="E237" i="38"/>
  <c r="F237" i="38" s="1"/>
  <c r="G237" i="38" s="1"/>
  <c r="I237" i="38" s="1"/>
  <c r="E221" i="38"/>
  <c r="F221" i="38" s="1"/>
  <c r="G221" i="38" s="1"/>
  <c r="I221" i="38" s="1"/>
  <c r="E204" i="38"/>
  <c r="F204" i="38" s="1"/>
  <c r="G204" i="38" s="1"/>
  <c r="I204" i="38" s="1"/>
  <c r="E188" i="38"/>
  <c r="F188" i="38" s="1"/>
  <c r="G188" i="38" s="1"/>
  <c r="I188" i="38" s="1"/>
  <c r="E95" i="38"/>
  <c r="F95" i="38" s="1"/>
  <c r="G95" i="38" s="1"/>
  <c r="I95" i="38" s="1"/>
  <c r="E63" i="38"/>
  <c r="F63" i="38" s="1"/>
  <c r="G63" i="38" s="1"/>
  <c r="I63" i="38" s="1"/>
  <c r="E31" i="38"/>
  <c r="F31" i="38" s="1"/>
  <c r="G31" i="38" s="1"/>
  <c r="I31" i="38" s="1"/>
  <c r="AS259" i="38"/>
  <c r="AT259" i="38" s="1"/>
  <c r="AU259" i="38" s="1"/>
  <c r="AW259" i="38" s="1"/>
  <c r="AS257" i="38"/>
  <c r="AT257" i="38" s="1"/>
  <c r="AU257" i="38" s="1"/>
  <c r="AW257" i="38" s="1"/>
  <c r="Y244" i="38"/>
  <c r="Z244" i="38" s="1"/>
  <c r="AA244" i="38" s="1"/>
  <c r="AC244" i="38" s="1"/>
  <c r="Y236" i="38"/>
  <c r="Z236" i="38" s="1"/>
  <c r="AA236" i="38" s="1"/>
  <c r="AC236" i="38" s="1"/>
  <c r="Y228" i="38"/>
  <c r="Z228" i="38" s="1"/>
  <c r="AA228" i="38" s="1"/>
  <c r="AC228" i="38" s="1"/>
  <c r="Y223" i="38"/>
  <c r="Z223" i="38" s="1"/>
  <c r="AA223" i="38" s="1"/>
  <c r="AC223" i="38" s="1"/>
  <c r="Y213" i="38"/>
  <c r="Z213" i="38" s="1"/>
  <c r="AA213" i="38" s="1"/>
  <c r="AC213" i="38" s="1"/>
  <c r="O199" i="38"/>
  <c r="P199" i="38" s="1"/>
  <c r="Q199" i="38" s="1"/>
  <c r="S199" i="38" s="1"/>
  <c r="O197" i="38"/>
  <c r="P197" i="38" s="1"/>
  <c r="Q197" i="38" s="1"/>
  <c r="S197" i="38" s="1"/>
  <c r="O183" i="38"/>
  <c r="P183" i="38" s="1"/>
  <c r="Q183" i="38" s="1"/>
  <c r="S183" i="38" s="1"/>
  <c r="O181" i="38"/>
  <c r="P181" i="38" s="1"/>
  <c r="Q181" i="38" s="1"/>
  <c r="S181" i="38" s="1"/>
  <c r="Y145" i="38"/>
  <c r="Z145" i="38" s="1"/>
  <c r="AA145" i="38" s="1"/>
  <c r="AC145" i="38" s="1"/>
  <c r="AS110" i="38"/>
  <c r="AT110" i="38" s="1"/>
  <c r="AU110" i="38" s="1"/>
  <c r="AW110" i="38" s="1"/>
  <c r="AS104" i="38"/>
  <c r="AT104" i="38" s="1"/>
  <c r="AU104" i="38" s="1"/>
  <c r="AW104" i="38" s="1"/>
  <c r="AS68" i="38"/>
  <c r="AT68" i="38" s="1"/>
  <c r="AU68" i="38" s="1"/>
  <c r="AW68" i="38" s="1"/>
  <c r="E186" i="38"/>
  <c r="F186" i="38" s="1"/>
  <c r="G186" i="38" s="1"/>
  <c r="I186" i="38" s="1"/>
  <c r="E169" i="38"/>
  <c r="F169" i="38" s="1"/>
  <c r="G169" i="38" s="1"/>
  <c r="I169" i="38" s="1"/>
  <c r="E153" i="38"/>
  <c r="F153" i="38" s="1"/>
  <c r="G153" i="38" s="1"/>
  <c r="I153" i="38" s="1"/>
  <c r="E133" i="38"/>
  <c r="F133" i="38" s="1"/>
  <c r="G133" i="38" s="1"/>
  <c r="I133" i="38" s="1"/>
  <c r="AS267" i="38"/>
  <c r="AT267" i="38" s="1"/>
  <c r="AU267" i="38" s="1"/>
  <c r="AW267" i="38" s="1"/>
  <c r="AS265" i="38"/>
  <c r="AT265" i="38" s="1"/>
  <c r="AU265" i="38" s="1"/>
  <c r="AW265" i="38" s="1"/>
  <c r="AS251" i="38"/>
  <c r="AT251" i="38" s="1"/>
  <c r="AU251" i="38" s="1"/>
  <c r="AW251" i="38" s="1"/>
  <c r="AS249" i="38"/>
  <c r="AT249" i="38" s="1"/>
  <c r="AU249" i="38" s="1"/>
  <c r="AW249" i="38" s="1"/>
  <c r="Y242" i="38"/>
  <c r="Z242" i="38" s="1"/>
  <c r="AA242" i="38" s="1"/>
  <c r="AC242" i="38" s="1"/>
  <c r="Y234" i="38"/>
  <c r="Z234" i="38" s="1"/>
  <c r="AA234" i="38" s="1"/>
  <c r="AC234" i="38" s="1"/>
  <c r="Y226" i="38"/>
  <c r="Z226" i="38" s="1"/>
  <c r="AA226" i="38" s="1"/>
  <c r="AC226" i="38" s="1"/>
  <c r="AS215" i="38"/>
  <c r="AT215" i="38" s="1"/>
  <c r="AU215" i="38" s="1"/>
  <c r="AW215" i="38" s="1"/>
  <c r="AS213" i="38"/>
  <c r="AT213" i="38" s="1"/>
  <c r="AU213" i="38" s="1"/>
  <c r="AW213" i="38" s="1"/>
  <c r="AI205" i="38"/>
  <c r="AJ205" i="38" s="1"/>
  <c r="AK205" i="38" s="1"/>
  <c r="AM205" i="38" s="1"/>
  <c r="AI199" i="38"/>
  <c r="AJ199" i="38" s="1"/>
  <c r="AK199" i="38" s="1"/>
  <c r="AM199" i="38" s="1"/>
  <c r="AI189" i="38"/>
  <c r="AJ189" i="38" s="1"/>
  <c r="AK189" i="38" s="1"/>
  <c r="AM189" i="38" s="1"/>
  <c r="AI183" i="38"/>
  <c r="AJ183" i="38" s="1"/>
  <c r="AK183" i="38" s="1"/>
  <c r="AM183" i="38" s="1"/>
  <c r="Y167" i="38"/>
  <c r="Z167" i="38" s="1"/>
  <c r="AA167" i="38" s="1"/>
  <c r="AC167" i="38" s="1"/>
  <c r="AS155" i="38"/>
  <c r="AT155" i="38" s="1"/>
  <c r="AU155" i="38" s="1"/>
  <c r="AW155" i="38" s="1"/>
  <c r="AS153" i="38"/>
  <c r="AT153" i="38" s="1"/>
  <c r="AU153" i="38" s="1"/>
  <c r="AW153" i="38" s="1"/>
  <c r="E127" i="38"/>
  <c r="F127" i="38" s="1"/>
  <c r="G127" i="38" s="1"/>
  <c r="I127" i="38" s="1"/>
  <c r="E119" i="38"/>
  <c r="F119" i="38" s="1"/>
  <c r="G119" i="38" s="1"/>
  <c r="I119" i="38" s="1"/>
  <c r="E111" i="38"/>
  <c r="F111" i="38" s="1"/>
  <c r="G111" i="38" s="1"/>
  <c r="I111" i="38" s="1"/>
  <c r="E103" i="38"/>
  <c r="F103" i="38" s="1"/>
  <c r="G103" i="38" s="1"/>
  <c r="I103" i="38" s="1"/>
  <c r="E93" i="38"/>
  <c r="F93" i="38" s="1"/>
  <c r="G93" i="38" s="1"/>
  <c r="I93" i="38" s="1"/>
  <c r="E77" i="38"/>
  <c r="F77" i="38" s="1"/>
  <c r="G77" i="38" s="1"/>
  <c r="I77" i="38" s="1"/>
  <c r="E61" i="38"/>
  <c r="F61" i="38" s="1"/>
  <c r="G61" i="38" s="1"/>
  <c r="I61" i="38" s="1"/>
  <c r="E45" i="38"/>
  <c r="F45" i="38" s="1"/>
  <c r="G45" i="38" s="1"/>
  <c r="I45" i="38" s="1"/>
  <c r="E29" i="38"/>
  <c r="F29" i="38" s="1"/>
  <c r="G29" i="38" s="1"/>
  <c r="I29" i="38" s="1"/>
  <c r="AS263" i="38"/>
  <c r="AT263" i="38" s="1"/>
  <c r="AU263" i="38" s="1"/>
  <c r="AW263" i="38" s="1"/>
  <c r="AS261" i="38"/>
  <c r="AT261" i="38" s="1"/>
  <c r="AU261" i="38" s="1"/>
  <c r="AW261" i="38" s="1"/>
  <c r="AS255" i="38"/>
  <c r="AT255" i="38" s="1"/>
  <c r="AU255" i="38" s="1"/>
  <c r="AW255" i="38" s="1"/>
  <c r="AS253" i="38"/>
  <c r="AT253" i="38" s="1"/>
  <c r="AU253" i="38" s="1"/>
  <c r="AW253" i="38" s="1"/>
  <c r="AS247" i="38"/>
  <c r="AT247" i="38" s="1"/>
  <c r="AU247" i="38" s="1"/>
  <c r="AW247" i="38" s="1"/>
  <c r="AI246" i="38"/>
  <c r="AJ246" i="38" s="1"/>
  <c r="AK246" i="38" s="1"/>
  <c r="AM246" i="38" s="1"/>
  <c r="O245" i="38"/>
  <c r="P245" i="38" s="1"/>
  <c r="Q245" i="38" s="1"/>
  <c r="S245" i="38" s="1"/>
  <c r="Y243" i="38"/>
  <c r="Z243" i="38" s="1"/>
  <c r="AA243" i="38" s="1"/>
  <c r="AC243" i="38" s="1"/>
  <c r="AI241" i="38"/>
  <c r="AJ241" i="38" s="1"/>
  <c r="AK241" i="38" s="1"/>
  <c r="AM241" i="38" s="1"/>
  <c r="AS239" i="38"/>
  <c r="AT239" i="38" s="1"/>
  <c r="AU239" i="38" s="1"/>
  <c r="AW239" i="38" s="1"/>
  <c r="AI238" i="38"/>
  <c r="AJ238" i="38" s="1"/>
  <c r="AK238" i="38" s="1"/>
  <c r="AM238" i="38" s="1"/>
  <c r="O237" i="38"/>
  <c r="P237" i="38" s="1"/>
  <c r="Q237" i="38" s="1"/>
  <c r="S237" i="38" s="1"/>
  <c r="Y235" i="38"/>
  <c r="Z235" i="38" s="1"/>
  <c r="AA235" i="38" s="1"/>
  <c r="AC235" i="38" s="1"/>
  <c r="AI233" i="38"/>
  <c r="AJ233" i="38" s="1"/>
  <c r="AK233" i="38" s="1"/>
  <c r="AM233" i="38" s="1"/>
  <c r="AS231" i="38"/>
  <c r="AT231" i="38" s="1"/>
  <c r="AU231" i="38" s="1"/>
  <c r="AW231" i="38" s="1"/>
  <c r="AI230" i="38"/>
  <c r="AJ230" i="38" s="1"/>
  <c r="AK230" i="38" s="1"/>
  <c r="AM230" i="38" s="1"/>
  <c r="O229" i="38"/>
  <c r="P229" i="38" s="1"/>
  <c r="Q229" i="38" s="1"/>
  <c r="S229" i="38" s="1"/>
  <c r="Y227" i="38"/>
  <c r="Z227" i="38" s="1"/>
  <c r="AA227" i="38" s="1"/>
  <c r="AC227" i="38" s="1"/>
  <c r="Y225" i="38"/>
  <c r="Z225" i="38" s="1"/>
  <c r="AA225" i="38" s="1"/>
  <c r="AC225" i="38" s="1"/>
  <c r="AI219" i="38"/>
  <c r="AJ219" i="38" s="1"/>
  <c r="AK219" i="38" s="1"/>
  <c r="AM219" i="38" s="1"/>
  <c r="Y217" i="38"/>
  <c r="Z217" i="38" s="1"/>
  <c r="AA217" i="38" s="1"/>
  <c r="AC217" i="38" s="1"/>
  <c r="O211" i="38"/>
  <c r="P211" i="38" s="1"/>
  <c r="Q211" i="38" s="1"/>
  <c r="S211" i="38" s="1"/>
  <c r="O209" i="38"/>
  <c r="P209" i="38" s="1"/>
  <c r="Q209" i="38" s="1"/>
  <c r="S209" i="38" s="1"/>
  <c r="O203" i="38"/>
  <c r="P203" i="38" s="1"/>
  <c r="Q203" i="38" s="1"/>
  <c r="S203" i="38" s="1"/>
  <c r="O201" i="38"/>
  <c r="P201" i="38" s="1"/>
  <c r="Q201" i="38" s="1"/>
  <c r="S201" i="38" s="1"/>
  <c r="O195" i="38"/>
  <c r="P195" i="38" s="1"/>
  <c r="Q195" i="38" s="1"/>
  <c r="S195" i="38" s="1"/>
  <c r="O193" i="38"/>
  <c r="P193" i="38" s="1"/>
  <c r="Q193" i="38" s="1"/>
  <c r="S193" i="38" s="1"/>
  <c r="O187" i="38"/>
  <c r="P187" i="38" s="1"/>
  <c r="Q187" i="38" s="1"/>
  <c r="S187" i="38" s="1"/>
  <c r="O185" i="38"/>
  <c r="P185" i="38" s="1"/>
  <c r="Q185" i="38" s="1"/>
  <c r="S185" i="38" s="1"/>
  <c r="AI175" i="38"/>
  <c r="AJ175" i="38" s="1"/>
  <c r="AK175" i="38" s="1"/>
  <c r="AM175" i="38" s="1"/>
  <c r="AI169" i="38"/>
  <c r="AJ169" i="38" s="1"/>
  <c r="AK169" i="38" s="1"/>
  <c r="AM169" i="38" s="1"/>
  <c r="AI159" i="38"/>
  <c r="AJ159" i="38" s="1"/>
  <c r="AK159" i="38" s="1"/>
  <c r="AM159" i="38" s="1"/>
  <c r="O141" i="38"/>
  <c r="P141" i="38" s="1"/>
  <c r="Q141" i="38" s="1"/>
  <c r="S141" i="38" s="1"/>
  <c r="O139" i="38"/>
  <c r="P139" i="38" s="1"/>
  <c r="Q139" i="38" s="1"/>
  <c r="S139" i="38" s="1"/>
  <c r="Y124" i="38"/>
  <c r="Z124" i="38" s="1"/>
  <c r="AA124" i="38" s="1"/>
  <c r="AC124" i="38" s="1"/>
  <c r="O100" i="38"/>
  <c r="P100" i="38" s="1"/>
  <c r="Q100" i="38" s="1"/>
  <c r="S100" i="38" s="1"/>
  <c r="AI94" i="38"/>
  <c r="AJ94" i="38" s="1"/>
  <c r="AK94" i="38" s="1"/>
  <c r="AM94" i="38" s="1"/>
  <c r="AI179" i="38"/>
  <c r="AJ179" i="38" s="1"/>
  <c r="AK179" i="38" s="1"/>
  <c r="AM179" i="38" s="1"/>
  <c r="Y177" i="38"/>
  <c r="Z177" i="38" s="1"/>
  <c r="AA177" i="38" s="1"/>
  <c r="AC177" i="38" s="1"/>
  <c r="O173" i="38"/>
  <c r="P173" i="38" s="1"/>
  <c r="Q173" i="38" s="1"/>
  <c r="S173" i="38" s="1"/>
  <c r="O171" i="38"/>
  <c r="P171" i="38" s="1"/>
  <c r="Q171" i="38" s="1"/>
  <c r="S171" i="38" s="1"/>
  <c r="O165" i="38"/>
  <c r="P165" i="38" s="1"/>
  <c r="Q165" i="38" s="1"/>
  <c r="S165" i="38" s="1"/>
  <c r="O163" i="38"/>
  <c r="P163" i="38" s="1"/>
  <c r="Q163" i="38" s="1"/>
  <c r="S163" i="38" s="1"/>
  <c r="Y153" i="38"/>
  <c r="Z153" i="38" s="1"/>
  <c r="AA153" i="38" s="1"/>
  <c r="AC153" i="38" s="1"/>
  <c r="Y147" i="38"/>
  <c r="Z147" i="38" s="1"/>
  <c r="AA147" i="38" s="1"/>
  <c r="AC147" i="38" s="1"/>
  <c r="Y137" i="38"/>
  <c r="Z137" i="38" s="1"/>
  <c r="AA137" i="38" s="1"/>
  <c r="AC137" i="38" s="1"/>
  <c r="AS130" i="38"/>
  <c r="AT130" i="38" s="1"/>
  <c r="AU130" i="38" s="1"/>
  <c r="AW130" i="38" s="1"/>
  <c r="AS124" i="38"/>
  <c r="AT124" i="38" s="1"/>
  <c r="AU124" i="38" s="1"/>
  <c r="AW124" i="38" s="1"/>
  <c r="AI116" i="38"/>
  <c r="AJ116" i="38" s="1"/>
  <c r="AK116" i="38" s="1"/>
  <c r="AM116" i="38" s="1"/>
  <c r="AS106" i="38"/>
  <c r="AT106" i="38" s="1"/>
  <c r="AU106" i="38" s="1"/>
  <c r="AW106" i="38" s="1"/>
  <c r="AI100" i="38"/>
  <c r="AJ100" i="38" s="1"/>
  <c r="AK100" i="38" s="1"/>
  <c r="AM100" i="38" s="1"/>
  <c r="AS90" i="38"/>
  <c r="AT90" i="38" s="1"/>
  <c r="AU90" i="38" s="1"/>
  <c r="AW90" i="38" s="1"/>
  <c r="AS88" i="38"/>
  <c r="AT88" i="38" s="1"/>
  <c r="AU88" i="38" s="1"/>
  <c r="AW88" i="38" s="1"/>
  <c r="AI78" i="38"/>
  <c r="AJ78" i="38" s="1"/>
  <c r="AK78" i="38" s="1"/>
  <c r="AM78" i="38" s="1"/>
  <c r="O64" i="38"/>
  <c r="P64" i="38" s="1"/>
  <c r="Q64" i="38" s="1"/>
  <c r="S64" i="38" s="1"/>
  <c r="AI56" i="38"/>
  <c r="AJ56" i="38" s="1"/>
  <c r="AK56" i="38" s="1"/>
  <c r="AM56" i="38" s="1"/>
  <c r="O42" i="38"/>
  <c r="P42" i="38" s="1"/>
  <c r="Q42" i="38" s="1"/>
  <c r="S42" i="38" s="1"/>
  <c r="AI34" i="38"/>
  <c r="AJ34" i="38" s="1"/>
  <c r="AK34" i="38" s="1"/>
  <c r="AM34" i="38" s="1"/>
  <c r="AS29" i="38"/>
  <c r="AT29" i="38" s="1"/>
  <c r="AU29" i="38" s="1"/>
  <c r="AW29" i="38" s="1"/>
  <c r="AS23" i="38"/>
  <c r="AT23" i="38" s="1"/>
  <c r="AU23" i="38" s="1"/>
  <c r="AW23" i="38" s="1"/>
  <c r="O153" i="38"/>
  <c r="P153" i="38" s="1"/>
  <c r="Q153" i="38" s="1"/>
  <c r="S153" i="38" s="1"/>
  <c r="O151" i="38"/>
  <c r="P151" i="38" s="1"/>
  <c r="Q151" i="38" s="1"/>
  <c r="S151" i="38" s="1"/>
  <c r="O145" i="38"/>
  <c r="P145" i="38" s="1"/>
  <c r="Q145" i="38" s="1"/>
  <c r="S145" i="38" s="1"/>
  <c r="O143" i="38"/>
  <c r="P143" i="38" s="1"/>
  <c r="Q143" i="38" s="1"/>
  <c r="S143" i="38" s="1"/>
  <c r="O137" i="38"/>
  <c r="P137" i="38" s="1"/>
  <c r="Q137" i="38" s="1"/>
  <c r="S137" i="38" s="1"/>
  <c r="O135" i="38"/>
  <c r="P135" i="38" s="1"/>
  <c r="Q135" i="38" s="1"/>
  <c r="S135" i="38" s="1"/>
  <c r="O130" i="38"/>
  <c r="P130" i="38" s="1"/>
  <c r="Q130" i="38" s="1"/>
  <c r="S130" i="38" s="1"/>
  <c r="Y126" i="38"/>
  <c r="Z126" i="38" s="1"/>
  <c r="AA126" i="38" s="1"/>
  <c r="AC126" i="38" s="1"/>
  <c r="O122" i="38"/>
  <c r="P122" i="38" s="1"/>
  <c r="Q122" i="38" s="1"/>
  <c r="S122" i="38" s="1"/>
  <c r="O118" i="38"/>
  <c r="P118" i="38" s="1"/>
  <c r="Q118" i="38" s="1"/>
  <c r="S118" i="38" s="1"/>
  <c r="Y114" i="38"/>
  <c r="Z114" i="38" s="1"/>
  <c r="AA114" i="38" s="1"/>
  <c r="AC114" i="38" s="1"/>
  <c r="O110" i="38"/>
  <c r="P110" i="38" s="1"/>
  <c r="Q110" i="38" s="1"/>
  <c r="S110" i="38" s="1"/>
  <c r="Y106" i="38"/>
  <c r="Z106" i="38" s="1"/>
  <c r="AA106" i="38" s="1"/>
  <c r="AC106" i="38" s="1"/>
  <c r="O102" i="38"/>
  <c r="P102" i="38" s="1"/>
  <c r="Q102" i="38" s="1"/>
  <c r="S102" i="38" s="1"/>
  <c r="Y98" i="38"/>
  <c r="Z98" i="38" s="1"/>
  <c r="AA98" i="38" s="1"/>
  <c r="AC98" i="38" s="1"/>
  <c r="O94" i="38"/>
  <c r="P94" i="38" s="1"/>
  <c r="Q94" i="38" s="1"/>
  <c r="S94" i="38" s="1"/>
  <c r="O88" i="38"/>
  <c r="P88" i="38" s="1"/>
  <c r="Q88" i="38" s="1"/>
  <c r="S88" i="38" s="1"/>
  <c r="O86" i="38"/>
  <c r="P86" i="38" s="1"/>
  <c r="Q86" i="38" s="1"/>
  <c r="S86" i="38" s="1"/>
  <c r="Y76" i="38"/>
  <c r="Z76" i="38" s="1"/>
  <c r="AA76" i="38" s="1"/>
  <c r="AC76" i="38" s="1"/>
  <c r="Y66" i="38"/>
  <c r="Z66" i="38" s="1"/>
  <c r="AA66" i="38" s="1"/>
  <c r="AC66" i="38" s="1"/>
  <c r="Y82" i="38"/>
  <c r="Z82" i="38" s="1"/>
  <c r="AA82" i="38" s="1"/>
  <c r="AC82" i="38" s="1"/>
  <c r="AI76" i="38"/>
  <c r="AJ76" i="38" s="1"/>
  <c r="AK76" i="38" s="1"/>
  <c r="AM76" i="38" s="1"/>
  <c r="Y74" i="38"/>
  <c r="Z74" i="38" s="1"/>
  <c r="AA74" i="38" s="1"/>
  <c r="AC74" i="38" s="1"/>
  <c r="AS70" i="38"/>
  <c r="AT70" i="38" s="1"/>
  <c r="AU70" i="38" s="1"/>
  <c r="AW70" i="38" s="1"/>
  <c r="AS66" i="38"/>
  <c r="AT66" i="38" s="1"/>
  <c r="AU66" i="38" s="1"/>
  <c r="AW66" i="38" s="1"/>
  <c r="AS62" i="38"/>
  <c r="AT62" i="38" s="1"/>
  <c r="AU62" i="38" s="1"/>
  <c r="AW62" i="38" s="1"/>
  <c r="AS60" i="38"/>
  <c r="AT60" i="38" s="1"/>
  <c r="AU60" i="38" s="1"/>
  <c r="AW60" i="38" s="1"/>
  <c r="Y50" i="38"/>
  <c r="Z50" i="38" s="1"/>
  <c r="AA50" i="38" s="1"/>
  <c r="AC50" i="38" s="1"/>
  <c r="AI44" i="38"/>
  <c r="AJ44" i="38" s="1"/>
  <c r="AK44" i="38" s="1"/>
  <c r="AM44" i="38" s="1"/>
  <c r="O40" i="38"/>
  <c r="P40" i="38" s="1"/>
  <c r="Q40" i="38" s="1"/>
  <c r="S40" i="38" s="1"/>
  <c r="AS25" i="38"/>
  <c r="AT25" i="38" s="1"/>
  <c r="AU25" i="38" s="1"/>
  <c r="AW25" i="38" s="1"/>
  <c r="AS58" i="38"/>
  <c r="AT58" i="38" s="1"/>
  <c r="AU58" i="38" s="1"/>
  <c r="AW58" i="38" s="1"/>
  <c r="AS54" i="38"/>
  <c r="AT54" i="38" s="1"/>
  <c r="AU54" i="38" s="1"/>
  <c r="AW54" i="38" s="1"/>
  <c r="AS50" i="38"/>
  <c r="AT50" i="38" s="1"/>
  <c r="AU50" i="38" s="1"/>
  <c r="AW50" i="38" s="1"/>
  <c r="AS46" i="38"/>
  <c r="AT46" i="38" s="1"/>
  <c r="AU46" i="38" s="1"/>
  <c r="AW46" i="38" s="1"/>
  <c r="AS42" i="38"/>
  <c r="AT42" i="38" s="1"/>
  <c r="AU42" i="38" s="1"/>
  <c r="AW42" i="38" s="1"/>
  <c r="AI38" i="38"/>
  <c r="AJ38" i="38" s="1"/>
  <c r="AK38" i="38" s="1"/>
  <c r="AM38" i="38" s="1"/>
  <c r="AS34" i="38"/>
  <c r="AT34" i="38" s="1"/>
  <c r="AU34" i="38" s="1"/>
  <c r="AW34" i="38" s="1"/>
  <c r="Y29" i="38"/>
  <c r="Z29" i="38" s="1"/>
  <c r="AA29" i="38" s="1"/>
  <c r="AC29" i="38" s="1"/>
  <c r="AI25" i="38"/>
  <c r="AJ25" i="38" s="1"/>
  <c r="AK25" i="38" s="1"/>
  <c r="AM25" i="38" s="1"/>
  <c r="AI22" i="38"/>
  <c r="AJ22" i="38" s="1"/>
  <c r="AK22" i="38" s="1"/>
  <c r="AM22" i="38" s="1"/>
  <c r="AI37" i="38"/>
  <c r="AJ37" i="38" s="1"/>
  <c r="AK37" i="38" s="1"/>
  <c r="AM37" i="38" s="1"/>
  <c r="AI47" i="38"/>
  <c r="AJ47" i="38" s="1"/>
  <c r="AK47" i="38" s="1"/>
  <c r="AM47" i="38" s="1"/>
  <c r="Y22" i="38"/>
  <c r="Z22" i="38" s="1"/>
  <c r="AA22" i="38" s="1"/>
  <c r="AC22" i="38" s="1"/>
  <c r="AS35" i="38"/>
  <c r="AT35" i="38" s="1"/>
  <c r="AU35" i="38" s="1"/>
  <c r="AW35" i="38" s="1"/>
  <c r="AS33" i="38"/>
  <c r="AT33" i="38" s="1"/>
  <c r="AU33" i="38" s="1"/>
  <c r="AW33" i="38" s="1"/>
  <c r="Y49" i="38"/>
  <c r="Z49" i="38" s="1"/>
  <c r="AA49" i="38" s="1"/>
  <c r="AC49" i="38" s="1"/>
  <c r="AI59" i="38"/>
  <c r="AJ59" i="38" s="1"/>
  <c r="AK59" i="38" s="1"/>
  <c r="AM59" i="38" s="1"/>
  <c r="AS69" i="38"/>
  <c r="AT69" i="38" s="1"/>
  <c r="AU69" i="38" s="1"/>
  <c r="AW69" i="38" s="1"/>
  <c r="AS47" i="38"/>
  <c r="AT47" i="38" s="1"/>
  <c r="AU47" i="38" s="1"/>
  <c r="AW47" i="38" s="1"/>
  <c r="Y71" i="38"/>
  <c r="Z71" i="38" s="1"/>
  <c r="AA71" i="38" s="1"/>
  <c r="AC71" i="38" s="1"/>
  <c r="Y81" i="38"/>
  <c r="Z81" i="38" s="1"/>
  <c r="AA81" i="38" s="1"/>
  <c r="AC81" i="38" s="1"/>
  <c r="AI91" i="38"/>
  <c r="AJ91" i="38" s="1"/>
  <c r="AK91" i="38" s="1"/>
  <c r="AM91" i="38" s="1"/>
  <c r="AS101" i="38"/>
  <c r="AT101" i="38" s="1"/>
  <c r="AU101" i="38" s="1"/>
  <c r="AW101" i="38" s="1"/>
  <c r="Y113" i="38"/>
  <c r="Z113" i="38" s="1"/>
  <c r="AA113" i="38" s="1"/>
  <c r="AC113" i="38" s="1"/>
  <c r="AI123" i="38"/>
  <c r="AJ123" i="38" s="1"/>
  <c r="AK123" i="38" s="1"/>
  <c r="AM123" i="38" s="1"/>
  <c r="AI28" i="38"/>
  <c r="AJ28" i="38" s="1"/>
  <c r="AK28" i="38" s="1"/>
  <c r="AM28" i="38" s="1"/>
  <c r="Y67" i="38"/>
  <c r="Z67" i="38" s="1"/>
  <c r="AA67" i="38" s="1"/>
  <c r="AC67" i="38" s="1"/>
  <c r="AI81" i="38"/>
  <c r="AJ81" i="38" s="1"/>
  <c r="AK81" i="38" s="1"/>
  <c r="AM81" i="38" s="1"/>
  <c r="AS91" i="38"/>
  <c r="AT91" i="38" s="1"/>
  <c r="AU91" i="38" s="1"/>
  <c r="AW91" i="38" s="1"/>
  <c r="Y115" i="38"/>
  <c r="Z115" i="38" s="1"/>
  <c r="AA115" i="38" s="1"/>
  <c r="AC115" i="38" s="1"/>
  <c r="Y134" i="38"/>
  <c r="Z134" i="38" s="1"/>
  <c r="AA134" i="38" s="1"/>
  <c r="AC134" i="38" s="1"/>
  <c r="AI144" i="38"/>
  <c r="AJ144" i="38" s="1"/>
  <c r="AK144" i="38" s="1"/>
  <c r="AM144" i="38" s="1"/>
  <c r="AS154" i="38"/>
  <c r="AT154" i="38" s="1"/>
  <c r="AU154" i="38" s="1"/>
  <c r="AW154" i="38" s="1"/>
  <c r="Y166" i="38"/>
  <c r="Z166" i="38" s="1"/>
  <c r="AA166" i="38" s="1"/>
  <c r="AC166" i="38" s="1"/>
  <c r="AI176" i="38"/>
  <c r="AJ176" i="38" s="1"/>
  <c r="AK176" i="38" s="1"/>
  <c r="AM176" i="38" s="1"/>
  <c r="AS111" i="38"/>
  <c r="AT111" i="38" s="1"/>
  <c r="AU111" i="38" s="1"/>
  <c r="AW111" i="38" s="1"/>
  <c r="AS127" i="38"/>
  <c r="AT127" i="38" s="1"/>
  <c r="AU127" i="38" s="1"/>
  <c r="AW127" i="38" s="1"/>
  <c r="AI134" i="38"/>
  <c r="AJ134" i="38" s="1"/>
  <c r="AK134" i="38" s="1"/>
  <c r="AM134" i="38" s="1"/>
  <c r="Y140" i="38"/>
  <c r="Z140" i="38" s="1"/>
  <c r="AA140" i="38" s="1"/>
  <c r="AC140" i="38" s="1"/>
  <c r="AS144" i="38"/>
  <c r="AT144" i="38" s="1"/>
  <c r="AU144" i="38" s="1"/>
  <c r="AW144" i="38" s="1"/>
  <c r="AI150" i="38"/>
  <c r="AJ150" i="38" s="1"/>
  <c r="AK150" i="38" s="1"/>
  <c r="AM150" i="38" s="1"/>
  <c r="Y156" i="38"/>
  <c r="Z156" i="38" s="1"/>
  <c r="AA156" i="38" s="1"/>
  <c r="AC156" i="38" s="1"/>
  <c r="AS160" i="38"/>
  <c r="AT160" i="38" s="1"/>
  <c r="AU160" i="38" s="1"/>
  <c r="AW160" i="38" s="1"/>
  <c r="AI166" i="38"/>
  <c r="AJ166" i="38" s="1"/>
  <c r="AK166" i="38" s="1"/>
  <c r="AM166" i="38" s="1"/>
  <c r="Y172" i="38"/>
  <c r="Z172" i="38" s="1"/>
  <c r="AA172" i="38" s="1"/>
  <c r="AC172" i="38" s="1"/>
  <c r="AS176" i="38"/>
  <c r="AT176" i="38" s="1"/>
  <c r="AU176" i="38" s="1"/>
  <c r="AW176" i="38" s="1"/>
  <c r="Y182" i="38"/>
  <c r="Z182" i="38" s="1"/>
  <c r="AA182" i="38" s="1"/>
  <c r="AC182" i="38" s="1"/>
  <c r="AS186" i="38"/>
  <c r="AT186" i="38" s="1"/>
  <c r="AU186" i="38" s="1"/>
  <c r="AW186" i="38" s="1"/>
  <c r="AI192" i="38"/>
  <c r="AJ192" i="38" s="1"/>
  <c r="AK192" i="38" s="1"/>
  <c r="AM192" i="38" s="1"/>
  <c r="Y198" i="38"/>
  <c r="Z198" i="38" s="1"/>
  <c r="AA198" i="38" s="1"/>
  <c r="AC198" i="38" s="1"/>
  <c r="AS202" i="38"/>
  <c r="AT202" i="38" s="1"/>
  <c r="AU202" i="38" s="1"/>
  <c r="AW202" i="38" s="1"/>
  <c r="AI208" i="38"/>
  <c r="AJ208" i="38" s="1"/>
  <c r="AK208" i="38" s="1"/>
  <c r="AM208" i="38" s="1"/>
  <c r="Y214" i="38"/>
  <c r="Z214" i="38" s="1"/>
  <c r="AA214" i="38" s="1"/>
  <c r="AC214" i="38" s="1"/>
  <c r="AS218" i="38"/>
  <c r="AT218" i="38" s="1"/>
  <c r="AU218" i="38" s="1"/>
  <c r="AW218" i="38" s="1"/>
  <c r="AI224" i="38"/>
  <c r="AJ224" i="38" s="1"/>
  <c r="AK224" i="38" s="1"/>
  <c r="AM224" i="38" s="1"/>
  <c r="AI186" i="38"/>
  <c r="AJ186" i="38" s="1"/>
  <c r="AK186" i="38" s="1"/>
  <c r="AM186" i="38" s="1"/>
  <c r="AS196" i="38"/>
  <c r="AT196" i="38" s="1"/>
  <c r="AU196" i="38" s="1"/>
  <c r="AW196" i="38" s="1"/>
  <c r="Y208" i="38"/>
  <c r="Z208" i="38" s="1"/>
  <c r="AA208" i="38" s="1"/>
  <c r="AC208" i="38" s="1"/>
  <c r="AI218" i="38"/>
  <c r="AJ218" i="38" s="1"/>
  <c r="AK218" i="38" s="1"/>
  <c r="AM218" i="38" s="1"/>
  <c r="AS250" i="38"/>
  <c r="AT250" i="38" s="1"/>
  <c r="AU250" i="38" s="1"/>
  <c r="AW250" i="38" s="1"/>
  <c r="Y262" i="38"/>
  <c r="Z262" i="38" s="1"/>
  <c r="AA262" i="38" s="1"/>
  <c r="AC262" i="38" s="1"/>
  <c r="AS256" i="38"/>
  <c r="AT256" i="38" s="1"/>
  <c r="AU256" i="38" s="1"/>
  <c r="AW256" i="38" s="1"/>
  <c r="AI258" i="38"/>
  <c r="AJ258" i="38" s="1"/>
  <c r="AK258" i="38" s="1"/>
  <c r="AM258" i="38" s="1"/>
  <c r="AS24" i="38"/>
  <c r="AT24" i="38" s="1"/>
  <c r="AU24" i="38" s="1"/>
  <c r="AW24" i="38" s="1"/>
  <c r="AS39" i="38"/>
  <c r="AT39" i="38" s="1"/>
  <c r="AU39" i="38" s="1"/>
  <c r="AW39" i="38" s="1"/>
  <c r="Y53" i="38"/>
  <c r="Z53" i="38" s="1"/>
  <c r="AA53" i="38" s="1"/>
  <c r="AC53" i="38" s="1"/>
  <c r="AI63" i="38"/>
  <c r="AJ63" i="38" s="1"/>
  <c r="AK63" i="38" s="1"/>
  <c r="AM63" i="38" s="1"/>
  <c r="AI31" i="38"/>
  <c r="AJ31" i="38" s="1"/>
  <c r="AK31" i="38" s="1"/>
  <c r="AM31" i="38" s="1"/>
  <c r="AS55" i="38"/>
  <c r="AT55" i="38" s="1"/>
  <c r="AU55" i="38" s="1"/>
  <c r="AW55" i="38" s="1"/>
  <c r="AS73" i="38"/>
  <c r="AT73" i="38" s="1"/>
  <c r="AU73" i="38" s="1"/>
  <c r="AW73" i="38" s="1"/>
  <c r="Y85" i="38"/>
  <c r="Z85" i="38" s="1"/>
  <c r="AA85" i="38" s="1"/>
  <c r="AC85" i="38" s="1"/>
  <c r="AI95" i="38"/>
  <c r="AJ95" i="38" s="1"/>
  <c r="AK95" i="38" s="1"/>
  <c r="AM95" i="38" s="1"/>
  <c r="AS105" i="38"/>
  <c r="AT105" i="38" s="1"/>
  <c r="AU105" i="38" s="1"/>
  <c r="AW105" i="38" s="1"/>
  <c r="Y117" i="38"/>
  <c r="Z117" i="38" s="1"/>
  <c r="AA117" i="38" s="1"/>
  <c r="AC117" i="38" s="1"/>
  <c r="AI127" i="38"/>
  <c r="AJ127" i="38" s="1"/>
  <c r="AK127" i="38" s="1"/>
  <c r="AM127" i="38" s="1"/>
  <c r="AS51" i="38"/>
  <c r="AT51" i="38" s="1"/>
  <c r="AU51" i="38" s="1"/>
  <c r="AW51" i="38" s="1"/>
  <c r="Y75" i="38"/>
  <c r="Z75" i="38" s="1"/>
  <c r="AA75" i="38" s="1"/>
  <c r="AC75" i="38" s="1"/>
  <c r="AI85" i="38"/>
  <c r="AJ85" i="38" s="1"/>
  <c r="AK85" i="38" s="1"/>
  <c r="AM85" i="38" s="1"/>
  <c r="AS99" i="38"/>
  <c r="AT99" i="38" s="1"/>
  <c r="AU99" i="38" s="1"/>
  <c r="AW99" i="38" s="1"/>
  <c r="Y123" i="38"/>
  <c r="Z123" i="38" s="1"/>
  <c r="AA123" i="38" s="1"/>
  <c r="AC123" i="38" s="1"/>
  <c r="Y138" i="38"/>
  <c r="Z138" i="38" s="1"/>
  <c r="AA138" i="38" s="1"/>
  <c r="AC138" i="38" s="1"/>
  <c r="AI148" i="38"/>
  <c r="AJ148" i="38" s="1"/>
  <c r="AK148" i="38" s="1"/>
  <c r="AM148" i="38" s="1"/>
  <c r="AS158" i="38"/>
  <c r="AT158" i="38" s="1"/>
  <c r="AU158" i="38" s="1"/>
  <c r="AW158" i="38" s="1"/>
  <c r="Y170" i="38"/>
  <c r="Z170" i="38" s="1"/>
  <c r="AA170" i="38" s="1"/>
  <c r="AC170" i="38" s="1"/>
  <c r="AI97" i="38"/>
  <c r="AJ97" i="38" s="1"/>
  <c r="AK97" i="38" s="1"/>
  <c r="AM97" i="38" s="1"/>
  <c r="AS119" i="38"/>
  <c r="AT119" i="38" s="1"/>
  <c r="AU119" i="38" s="1"/>
  <c r="AW119" i="38" s="1"/>
  <c r="Y188" i="38"/>
  <c r="Z188" i="38" s="1"/>
  <c r="AA188" i="38" s="1"/>
  <c r="AC188" i="38" s="1"/>
  <c r="AI198" i="38"/>
  <c r="AJ198" i="38" s="1"/>
  <c r="AK198" i="38" s="1"/>
  <c r="AM198" i="38" s="1"/>
  <c r="AS208" i="38"/>
  <c r="AT208" i="38" s="1"/>
  <c r="AU208" i="38" s="1"/>
  <c r="AW208" i="38" s="1"/>
  <c r="Y220" i="38"/>
  <c r="Z220" i="38" s="1"/>
  <c r="AA220" i="38" s="1"/>
  <c r="AC220" i="38" s="1"/>
  <c r="AI252" i="38"/>
  <c r="AJ252" i="38" s="1"/>
  <c r="AK252" i="38" s="1"/>
  <c r="AM252" i="38" s="1"/>
  <c r="AS262" i="38"/>
  <c r="AT262" i="38" s="1"/>
  <c r="AU262" i="38" s="1"/>
  <c r="AW262" i="38" s="1"/>
  <c r="AS260" i="38"/>
  <c r="AT260" i="38" s="1"/>
  <c r="AU260" i="38" s="1"/>
  <c r="AW260" i="38" s="1"/>
  <c r="Y260" i="38"/>
  <c r="Z260" i="38" s="1"/>
  <c r="AA260" i="38" s="1"/>
  <c r="AC260" i="38" s="1"/>
  <c r="Y28" i="38"/>
  <c r="Z28" i="38" s="1"/>
  <c r="AA28" i="38" s="1"/>
  <c r="AC28" i="38" s="1"/>
  <c r="Y43" i="38"/>
  <c r="Z43" i="38" s="1"/>
  <c r="AA43" i="38" s="1"/>
  <c r="AC43" i="38" s="1"/>
  <c r="Y24" i="38"/>
  <c r="Z24" i="38" s="1"/>
  <c r="AA24" i="38" s="1"/>
  <c r="AC24" i="38" s="1"/>
  <c r="AI24" i="38"/>
  <c r="AJ24" i="38" s="1"/>
  <c r="AK24" i="38" s="1"/>
  <c r="AM24" i="38" s="1"/>
  <c r="Y39" i="38"/>
  <c r="Z39" i="38" s="1"/>
  <c r="AA39" i="38" s="1"/>
  <c r="AC39" i="38" s="1"/>
  <c r="Y41" i="38"/>
  <c r="Z41" i="38" s="1"/>
  <c r="AA41" i="38" s="1"/>
  <c r="AC41" i="38" s="1"/>
  <c r="AI51" i="38"/>
  <c r="AJ51" i="38" s="1"/>
  <c r="AK51" i="38" s="1"/>
  <c r="AM51" i="38" s="1"/>
  <c r="AS61" i="38"/>
  <c r="AT61" i="38" s="1"/>
  <c r="AU61" i="38" s="1"/>
  <c r="AW61" i="38" s="1"/>
  <c r="Y73" i="38"/>
  <c r="Z73" i="38" s="1"/>
  <c r="AA73" i="38" s="1"/>
  <c r="AC73" i="38" s="1"/>
  <c r="Y55" i="38"/>
  <c r="Z55" i="38" s="1"/>
  <c r="AA55" i="38" s="1"/>
  <c r="AC55" i="38" s="1"/>
  <c r="AI73" i="38"/>
  <c r="AJ73" i="38" s="1"/>
  <c r="AK73" i="38" s="1"/>
  <c r="AM73" i="38" s="1"/>
  <c r="AI83" i="38"/>
  <c r="AJ83" i="38" s="1"/>
  <c r="AK83" i="38" s="1"/>
  <c r="AM83" i="38" s="1"/>
  <c r="AS93" i="38"/>
  <c r="AT93" i="38" s="1"/>
  <c r="AU93" i="38" s="1"/>
  <c r="AW93" i="38" s="1"/>
  <c r="Y105" i="38"/>
  <c r="Z105" i="38" s="1"/>
  <c r="AA105" i="38" s="1"/>
  <c r="AC105" i="38" s="1"/>
  <c r="AI115" i="38"/>
  <c r="AJ115" i="38" s="1"/>
  <c r="AK115" i="38" s="1"/>
  <c r="AM115" i="38" s="1"/>
  <c r="AS125" i="38"/>
  <c r="AT125" i="38" s="1"/>
  <c r="AU125" i="38" s="1"/>
  <c r="AW125" i="38" s="1"/>
  <c r="Y51" i="38"/>
  <c r="Z51" i="38" s="1"/>
  <c r="AA51" i="38" s="1"/>
  <c r="AC51" i="38" s="1"/>
  <c r="AI69" i="38"/>
  <c r="AJ69" i="38" s="1"/>
  <c r="AK69" i="38" s="1"/>
  <c r="AM69" i="38" s="1"/>
  <c r="AS83" i="38"/>
  <c r="AT83" i="38" s="1"/>
  <c r="AU83" i="38" s="1"/>
  <c r="AW83" i="38" s="1"/>
  <c r="Y99" i="38"/>
  <c r="Z99" i="38" s="1"/>
  <c r="AA99" i="38" s="1"/>
  <c r="AC99" i="38" s="1"/>
  <c r="AI117" i="38"/>
  <c r="AJ117" i="38" s="1"/>
  <c r="AK117" i="38" s="1"/>
  <c r="AM117" i="38" s="1"/>
  <c r="AI136" i="38"/>
  <c r="AJ136" i="38" s="1"/>
  <c r="AK136" i="38" s="1"/>
  <c r="AM136" i="38" s="1"/>
  <c r="AS146" i="38"/>
  <c r="AT146" i="38" s="1"/>
  <c r="AU146" i="38" s="1"/>
  <c r="AW146" i="38" s="1"/>
  <c r="Y158" i="38"/>
  <c r="Z158" i="38" s="1"/>
  <c r="AA158" i="38" s="1"/>
  <c r="AC158" i="38" s="1"/>
  <c r="AI168" i="38"/>
  <c r="AJ168" i="38" s="1"/>
  <c r="AK168" i="38" s="1"/>
  <c r="AM168" i="38" s="1"/>
  <c r="AS95" i="38"/>
  <c r="AT95" i="38" s="1"/>
  <c r="AU95" i="38" s="1"/>
  <c r="AW95" i="38" s="1"/>
  <c r="Y119" i="38"/>
  <c r="Z119" i="38" s="1"/>
  <c r="AA119" i="38" s="1"/>
  <c r="AC119" i="38" s="1"/>
  <c r="AI129" i="38"/>
  <c r="AJ129" i="38" s="1"/>
  <c r="AK129" i="38" s="1"/>
  <c r="AM129" i="38" s="1"/>
  <c r="Y136" i="38"/>
  <c r="Z136" i="38" s="1"/>
  <c r="AA136" i="38" s="1"/>
  <c r="AC136" i="38" s="1"/>
  <c r="AS140" i="38"/>
  <c r="AT140" i="38" s="1"/>
  <c r="AU140" i="38" s="1"/>
  <c r="AW140" i="38" s="1"/>
  <c r="AI146" i="38"/>
  <c r="AJ146" i="38" s="1"/>
  <c r="AK146" i="38" s="1"/>
  <c r="AM146" i="38" s="1"/>
  <c r="Y152" i="38"/>
  <c r="Z152" i="38" s="1"/>
  <c r="AA152" i="38" s="1"/>
  <c r="AC152" i="38" s="1"/>
  <c r="AS156" i="38"/>
  <c r="AT156" i="38" s="1"/>
  <c r="AU156" i="38" s="1"/>
  <c r="AW156" i="38" s="1"/>
  <c r="AI162" i="38"/>
  <c r="AJ162" i="38" s="1"/>
  <c r="AK162" i="38" s="1"/>
  <c r="AM162" i="38" s="1"/>
  <c r="Y168" i="38"/>
  <c r="Z168" i="38" s="1"/>
  <c r="AA168" i="38" s="1"/>
  <c r="AC168" i="38" s="1"/>
  <c r="AS172" i="38"/>
  <c r="AT172" i="38" s="1"/>
  <c r="AU172" i="38" s="1"/>
  <c r="AW172" i="38" s="1"/>
  <c r="Y178" i="38"/>
  <c r="Z178" i="38" s="1"/>
  <c r="AA178" i="38" s="1"/>
  <c r="AC178" i="38" s="1"/>
  <c r="AS182" i="38"/>
  <c r="AT182" i="38" s="1"/>
  <c r="AU182" i="38" s="1"/>
  <c r="AW182" i="38" s="1"/>
  <c r="AI188" i="38"/>
  <c r="AJ188" i="38" s="1"/>
  <c r="AK188" i="38" s="1"/>
  <c r="AM188" i="38" s="1"/>
  <c r="Y194" i="38"/>
  <c r="Z194" i="38" s="1"/>
  <c r="AA194" i="38" s="1"/>
  <c r="AC194" i="38" s="1"/>
  <c r="AS198" i="38"/>
  <c r="AT198" i="38" s="1"/>
  <c r="AU198" i="38" s="1"/>
  <c r="AW198" i="38" s="1"/>
  <c r="AI204" i="38"/>
  <c r="AJ204" i="38" s="1"/>
  <c r="AK204" i="38" s="1"/>
  <c r="AM204" i="38" s="1"/>
  <c r="Y210" i="38"/>
  <c r="Z210" i="38" s="1"/>
  <c r="AA210" i="38" s="1"/>
  <c r="AC210" i="38" s="1"/>
  <c r="AS214" i="38"/>
  <c r="AT214" i="38" s="1"/>
  <c r="AU214" i="38" s="1"/>
  <c r="AW214" i="38" s="1"/>
  <c r="AI220" i="38"/>
  <c r="AJ220" i="38" s="1"/>
  <c r="AK220" i="38" s="1"/>
  <c r="AM220" i="38" s="1"/>
  <c r="AI178" i="38"/>
  <c r="AJ178" i="38" s="1"/>
  <c r="AK178" i="38" s="1"/>
  <c r="AM178" i="38" s="1"/>
  <c r="AS188" i="38"/>
  <c r="AT188" i="38" s="1"/>
  <c r="AU188" i="38" s="1"/>
  <c r="AW188" i="38" s="1"/>
  <c r="Y200" i="38"/>
  <c r="Z200" i="38" s="1"/>
  <c r="AA200" i="38" s="1"/>
  <c r="AC200" i="38" s="1"/>
  <c r="AI210" i="38"/>
  <c r="AJ210" i="38" s="1"/>
  <c r="AK210" i="38" s="1"/>
  <c r="AM210" i="38" s="1"/>
  <c r="AS220" i="38"/>
  <c r="AT220" i="38" s="1"/>
  <c r="AU220" i="38" s="1"/>
  <c r="AW220" i="38" s="1"/>
  <c r="Y254" i="38"/>
  <c r="Z254" i="38" s="1"/>
  <c r="AA254" i="38" s="1"/>
  <c r="AC254" i="38" s="1"/>
  <c r="AI264" i="38"/>
  <c r="AJ264" i="38" s="1"/>
  <c r="AK264" i="38" s="1"/>
  <c r="AM264" i="38" s="1"/>
  <c r="AS268" i="38"/>
  <c r="AT268" i="38" s="1"/>
  <c r="AU268" i="38" s="1"/>
  <c r="AW268" i="38" s="1"/>
  <c r="AI262" i="38"/>
  <c r="AJ262" i="38" s="1"/>
  <c r="AK262" i="38" s="1"/>
  <c r="AM262" i="38" s="1"/>
  <c r="AI30" i="38"/>
  <c r="AJ30" i="38" s="1"/>
  <c r="AK30" i="38" s="1"/>
  <c r="AM30" i="38" s="1"/>
  <c r="AI35" i="38"/>
  <c r="AJ35" i="38" s="1"/>
  <c r="AK35" i="38" s="1"/>
  <c r="AM35" i="38" s="1"/>
  <c r="AI55" i="38"/>
  <c r="AJ55" i="38" s="1"/>
  <c r="AK55" i="38" s="1"/>
  <c r="AM55" i="38" s="1"/>
  <c r="AS65" i="38"/>
  <c r="AT65" i="38" s="1"/>
  <c r="AU65" i="38" s="1"/>
  <c r="AW65" i="38" s="1"/>
  <c r="AS37" i="38"/>
  <c r="AT37" i="38" s="1"/>
  <c r="AU37" i="38" s="1"/>
  <c r="AW37" i="38" s="1"/>
  <c r="Y63" i="38"/>
  <c r="Z63" i="38" s="1"/>
  <c r="AA63" i="38" s="1"/>
  <c r="AC63" i="38" s="1"/>
  <c r="Y77" i="38"/>
  <c r="Z77" i="38" s="1"/>
  <c r="AA77" i="38" s="1"/>
  <c r="AC77" i="38" s="1"/>
  <c r="AI87" i="38"/>
  <c r="AJ87" i="38" s="1"/>
  <c r="AK87" i="38" s="1"/>
  <c r="AM87" i="38" s="1"/>
  <c r="AS97" i="38"/>
  <c r="AT97" i="38" s="1"/>
  <c r="AU97" i="38" s="1"/>
  <c r="AW97" i="38" s="1"/>
  <c r="Y109" i="38"/>
  <c r="Z109" i="38" s="1"/>
  <c r="AA109" i="38" s="1"/>
  <c r="AC109" i="38" s="1"/>
  <c r="AI119" i="38"/>
  <c r="AJ119" i="38" s="1"/>
  <c r="AK119" i="38" s="1"/>
  <c r="AM119" i="38" s="1"/>
  <c r="AS129" i="38"/>
  <c r="AT129" i="38" s="1"/>
  <c r="AU129" i="38" s="1"/>
  <c r="AW129" i="38" s="1"/>
  <c r="Y59" i="38"/>
  <c r="Z59" i="38" s="1"/>
  <c r="AA59" i="38" s="1"/>
  <c r="AC59" i="38" s="1"/>
  <c r="AI77" i="38"/>
  <c r="AJ77" i="38" s="1"/>
  <c r="AK77" i="38" s="1"/>
  <c r="AM77" i="38" s="1"/>
  <c r="AS87" i="38"/>
  <c r="AT87" i="38" s="1"/>
  <c r="AU87" i="38" s="1"/>
  <c r="AW87" i="38" s="1"/>
  <c r="Y107" i="38"/>
  <c r="Z107" i="38" s="1"/>
  <c r="AA107" i="38" s="1"/>
  <c r="AC107" i="38" s="1"/>
  <c r="AI125" i="38"/>
  <c r="AJ125" i="38" s="1"/>
  <c r="AK125" i="38" s="1"/>
  <c r="AM125" i="38" s="1"/>
  <c r="AI140" i="38"/>
  <c r="AJ140" i="38" s="1"/>
  <c r="AK140" i="38" s="1"/>
  <c r="AM140" i="38" s="1"/>
  <c r="AS150" i="38"/>
  <c r="AT150" i="38" s="1"/>
  <c r="AU150" i="38" s="1"/>
  <c r="AW150" i="38" s="1"/>
  <c r="Y162" i="38"/>
  <c r="Z162" i="38" s="1"/>
  <c r="AA162" i="38" s="1"/>
  <c r="AC162" i="38" s="1"/>
  <c r="AI172" i="38"/>
  <c r="AJ172" i="38" s="1"/>
  <c r="AK172" i="38" s="1"/>
  <c r="AM172" i="38" s="1"/>
  <c r="AS103" i="38"/>
  <c r="AT103" i="38" s="1"/>
  <c r="AU103" i="38" s="1"/>
  <c r="AW103" i="38" s="1"/>
  <c r="Y180" i="38"/>
  <c r="Z180" i="38" s="1"/>
  <c r="AA180" i="38" s="1"/>
  <c r="AC180" i="38" s="1"/>
  <c r="AI190" i="38"/>
  <c r="AJ190" i="38" s="1"/>
  <c r="AK190" i="38" s="1"/>
  <c r="AM190" i="38" s="1"/>
  <c r="AS200" i="38"/>
  <c r="AT200" i="38" s="1"/>
  <c r="AU200" i="38" s="1"/>
  <c r="AW200" i="38" s="1"/>
  <c r="Y212" i="38"/>
  <c r="Z212" i="38" s="1"/>
  <c r="AA212" i="38" s="1"/>
  <c r="AC212" i="38" s="1"/>
  <c r="AI222" i="38"/>
  <c r="AJ222" i="38" s="1"/>
  <c r="AK222" i="38" s="1"/>
  <c r="AM222" i="38" s="1"/>
  <c r="AS254" i="38"/>
  <c r="AT254" i="38" s="1"/>
  <c r="AU254" i="38" s="1"/>
  <c r="AW254" i="38" s="1"/>
  <c r="Y266" i="38"/>
  <c r="Z266" i="38" s="1"/>
  <c r="AA266" i="38" s="1"/>
  <c r="AC266" i="38" s="1"/>
  <c r="AS248" i="38"/>
  <c r="AT248" i="38" s="1"/>
  <c r="AU248" i="38" s="1"/>
  <c r="AW248" i="38" s="1"/>
  <c r="Y264" i="38"/>
  <c r="Z264" i="38" s="1"/>
  <c r="AA264" i="38" s="1"/>
  <c r="AC264" i="38" s="1"/>
  <c r="O10" i="38"/>
  <c r="P10" i="38" s="1"/>
  <c r="Q10" i="38" s="1"/>
  <c r="S10" i="38" s="1"/>
  <c r="Y11" i="38"/>
  <c r="Z11" i="38" s="1"/>
  <c r="AA11" i="38" s="1"/>
  <c r="AC11" i="38" s="1"/>
  <c r="AI12" i="38"/>
  <c r="AJ12" i="38" s="1"/>
  <c r="AK12" i="38" s="1"/>
  <c r="AM12" i="38" s="1"/>
  <c r="O14" i="38"/>
  <c r="P14" i="38" s="1"/>
  <c r="Q14" i="38" s="1"/>
  <c r="S14" i="38" s="1"/>
  <c r="Y15" i="38"/>
  <c r="Z15" i="38" s="1"/>
  <c r="AA15" i="38" s="1"/>
  <c r="AC15" i="38" s="1"/>
  <c r="O9" i="38"/>
  <c r="P9" i="38" s="1"/>
  <c r="Q9" i="38" s="1"/>
  <c r="S9" i="38" s="1"/>
  <c r="Y10" i="38"/>
  <c r="Z10" i="38" s="1"/>
  <c r="AA10" i="38" s="1"/>
  <c r="AC10" i="38" s="1"/>
  <c r="AI11" i="38"/>
  <c r="AJ11" i="38" s="1"/>
  <c r="AK11" i="38" s="1"/>
  <c r="AM11" i="38" s="1"/>
  <c r="O13" i="38"/>
  <c r="P13" i="38" s="1"/>
  <c r="Q13" i="38" s="1"/>
  <c r="S13" i="38" s="1"/>
  <c r="Y14" i="38"/>
  <c r="Z14" i="38" s="1"/>
  <c r="AA14" i="38" s="1"/>
  <c r="AC14" i="38" s="1"/>
  <c r="AI15" i="38"/>
  <c r="AJ15" i="38" s="1"/>
  <c r="AK15" i="38" s="1"/>
  <c r="AM15" i="38" s="1"/>
  <c r="AI19" i="38"/>
  <c r="AJ19" i="38" s="1"/>
  <c r="AK19" i="38" s="1"/>
  <c r="AM19" i="38" s="1"/>
  <c r="O21" i="38"/>
  <c r="P21" i="38" s="1"/>
  <c r="Q21" i="38" s="1"/>
  <c r="S21" i="38" s="1"/>
  <c r="E16" i="38"/>
  <c r="F16" i="38" s="1"/>
  <c r="G16" i="38" s="1"/>
  <c r="I16" i="38" s="1"/>
  <c r="E12" i="38"/>
  <c r="F12" i="38" s="1"/>
  <c r="G12" i="38" s="1"/>
  <c r="I12" i="38" s="1"/>
  <c r="AS17" i="38"/>
  <c r="AT17" i="38" s="1"/>
  <c r="AU17" i="38" s="1"/>
  <c r="AW17" i="38" s="1"/>
  <c r="E18" i="38"/>
  <c r="F18" i="38" s="1"/>
  <c r="G18" i="38" s="1"/>
  <c r="I18" i="38" s="1"/>
  <c r="AI20" i="38"/>
  <c r="AJ20" i="38" s="1"/>
  <c r="AK20" i="38" s="1"/>
  <c r="AM20" i="38" s="1"/>
  <c r="Y8" i="38"/>
  <c r="Z8" i="38" s="1"/>
  <c r="AA8" i="38" s="1"/>
  <c r="AC8" i="38" s="1"/>
  <c r="AS15" i="38"/>
  <c r="AT15" i="38" s="1"/>
  <c r="AU15" i="38" s="1"/>
  <c r="AW15" i="38" s="1"/>
  <c r="AS11" i="38"/>
  <c r="AT11" i="38" s="1"/>
  <c r="AU11" i="38" s="1"/>
  <c r="AW11" i="38" s="1"/>
  <c r="AS16" i="38"/>
  <c r="AT16" i="38" s="1"/>
  <c r="AU16" i="38" s="1"/>
  <c r="AW16" i="38" s="1"/>
  <c r="E19" i="38"/>
  <c r="F19" i="38" s="1"/>
  <c r="G19" i="38" s="1"/>
  <c r="I19" i="38" s="1"/>
  <c r="AI21" i="38"/>
  <c r="AJ21" i="38" s="1"/>
  <c r="AK21" i="38" s="1"/>
  <c r="AM21" i="38" s="1"/>
  <c r="Y16" i="38"/>
  <c r="Z16" i="38" s="1"/>
  <c r="AA16" i="38" s="1"/>
  <c r="AC16" i="38" s="1"/>
  <c r="AS14" i="38"/>
  <c r="AT14" i="38" s="1"/>
  <c r="AU14" i="38" s="1"/>
  <c r="AW14" i="38" s="1"/>
  <c r="AS10" i="38"/>
  <c r="AT10" i="38" s="1"/>
  <c r="AU10" i="38" s="1"/>
  <c r="AW10" i="38" s="1"/>
  <c r="AS19" i="38"/>
  <c r="AT19" i="38" s="1"/>
  <c r="AU19" i="38" s="1"/>
  <c r="AW19" i="38" s="1"/>
  <c r="E20" i="38"/>
  <c r="F20" i="38" s="1"/>
  <c r="G20" i="38" s="1"/>
  <c r="I20" i="38" s="1"/>
  <c r="O8" i="38"/>
  <c r="P8" i="38" s="1"/>
  <c r="Q8" i="38" s="1"/>
  <c r="S8" i="38" s="1"/>
  <c r="Y17" i="38"/>
  <c r="Z17" i="38" s="1"/>
  <c r="AA17" i="38" s="1"/>
  <c r="AC17" i="38" s="1"/>
  <c r="E15" i="38"/>
  <c r="F15" i="38" s="1"/>
  <c r="G15" i="38" s="1"/>
  <c r="I15" i="38" s="1"/>
  <c r="E11" i="38"/>
  <c r="F11" i="38" s="1"/>
  <c r="G11" i="38" s="1"/>
  <c r="I11" i="38" s="1"/>
  <c r="AS18" i="38"/>
  <c r="AT18" i="38" s="1"/>
  <c r="AU18" i="38" s="1"/>
  <c r="AW18" i="38" s="1"/>
  <c r="E21" i="38"/>
  <c r="F21" i="38" s="1"/>
  <c r="G21" i="38" s="1"/>
  <c r="I21" i="38" s="1"/>
  <c r="O8" i="37"/>
  <c r="P8" i="37" s="1"/>
  <c r="Q8" i="37" s="1"/>
  <c r="S8" i="37" s="1"/>
  <c r="Y8" i="37"/>
  <c r="Z8" i="37" s="1"/>
  <c r="AA8" i="37" s="1"/>
  <c r="AC8" i="37" s="1"/>
  <c r="BD23" i="33"/>
  <c r="AT21" i="38"/>
  <c r="AU21" i="38" s="1"/>
  <c r="AW21" i="38" s="1"/>
  <c r="Q69" i="24"/>
  <c r="Q70" i="24" s="1"/>
  <c r="P69" i="24"/>
  <c r="P70" i="24" s="1"/>
  <c r="S69" i="24"/>
  <c r="S70" i="24" s="1"/>
  <c r="R69" i="24"/>
  <c r="R70" i="24" s="1"/>
  <c r="K69" i="24"/>
  <c r="K70" i="24" s="1"/>
  <c r="O69" i="24"/>
  <c r="O70" i="24" s="1"/>
  <c r="L69" i="24"/>
  <c r="L70" i="24" s="1"/>
  <c r="M69" i="24"/>
  <c r="M70" i="24" s="1"/>
  <c r="J69" i="24"/>
  <c r="J70" i="24" s="1"/>
  <c r="N69" i="24"/>
  <c r="N70" i="24" s="1"/>
  <c r="F81" i="36"/>
  <c r="B107" i="49"/>
  <c r="C107" i="49"/>
  <c r="D107" i="49"/>
  <c r="E107" i="49"/>
  <c r="F107" i="49"/>
  <c r="G107" i="49"/>
  <c r="H107" i="49"/>
  <c r="F8" i="37" l="1"/>
  <c r="G8" i="37" s="1"/>
  <c r="I8" i="37" s="1"/>
  <c r="E248" i="60" l="1"/>
  <c r="B22" i="71" l="1"/>
  <c r="C40" i="58" s="1"/>
  <c r="B127" i="49"/>
  <c r="B23" i="71"/>
  <c r="C41" i="58" s="1"/>
  <c r="B128" i="49"/>
  <c r="B24" i="71"/>
  <c r="C42" i="58" s="1"/>
  <c r="B129" i="49"/>
  <c r="C133" i="49" s="1"/>
  <c r="B133" i="49" l="1"/>
  <c r="H133" i="49"/>
  <c r="F133" i="49"/>
  <c r="D133" i="49"/>
  <c r="E133" i="49"/>
  <c r="G133" i="49"/>
  <c r="B25" i="71"/>
  <c r="B121" i="49"/>
  <c r="B26" i="71"/>
  <c r="C44" i="58" s="1"/>
  <c r="B122" i="49"/>
  <c r="B27" i="71"/>
  <c r="C45" i="58" s="1"/>
  <c r="B123" i="49"/>
  <c r="B21" i="71"/>
  <c r="C39" i="58" s="1"/>
  <c r="AB14" i="49" l="1"/>
  <c r="C43" i="58"/>
  <c r="P130" i="57"/>
  <c r="P57" i="57"/>
  <c r="J328" i="57"/>
  <c r="F142" i="57"/>
  <c r="I120" i="57"/>
  <c r="J165" i="57"/>
  <c r="K315" i="57"/>
  <c r="L208" i="57"/>
  <c r="J67" i="57"/>
  <c r="I239" i="57"/>
  <c r="G318" i="57"/>
  <c r="E339" i="57"/>
  <c r="L74" i="57"/>
  <c r="L152" i="57"/>
  <c r="F219" i="57"/>
  <c r="M51" i="57"/>
  <c r="P104" i="57"/>
  <c r="I12" i="57"/>
  <c r="D151" i="57"/>
  <c r="D35" i="57"/>
  <c r="I282" i="57"/>
  <c r="J245" i="57"/>
  <c r="K284" i="57"/>
  <c r="E152" i="57"/>
  <c r="N239" i="57"/>
  <c r="F259" i="57"/>
  <c r="H332" i="57"/>
  <c r="H275" i="57"/>
  <c r="P233" i="57"/>
  <c r="K36" i="57"/>
  <c r="F184" i="57"/>
  <c r="M276" i="57"/>
  <c r="E98" i="57"/>
  <c r="G299" i="57"/>
  <c r="K200" i="57"/>
  <c r="N242" i="57"/>
  <c r="G279" i="57"/>
  <c r="B50" i="57"/>
  <c r="J106" i="57"/>
  <c r="L39" i="57"/>
  <c r="H252" i="57"/>
  <c r="F33" i="57"/>
  <c r="M251" i="57"/>
  <c r="L260" i="57"/>
  <c r="B214" i="57"/>
  <c r="B162" i="57"/>
  <c r="N325" i="57"/>
  <c r="O53" i="57"/>
  <c r="E219" i="57"/>
  <c r="P190" i="57"/>
  <c r="K105" i="57"/>
  <c r="O341" i="57"/>
  <c r="D340" i="57"/>
  <c r="M52" i="57"/>
  <c r="B236" i="57"/>
  <c r="F110" i="57"/>
  <c r="G225" i="57"/>
  <c r="F273" i="57"/>
  <c r="B264" i="57"/>
  <c r="I117" i="57"/>
  <c r="N102" i="57"/>
  <c r="C203" i="57"/>
  <c r="L117" i="57"/>
  <c r="N197" i="57"/>
  <c r="B56" i="57"/>
  <c r="B100" i="57"/>
  <c r="J334" i="57"/>
  <c r="K10" i="57"/>
  <c r="B348" i="57"/>
  <c r="D70" i="57"/>
  <c r="O166" i="57"/>
  <c r="I330" i="57"/>
  <c r="F133" i="57"/>
  <c r="L141" i="57"/>
  <c r="D230" i="57"/>
  <c r="D228" i="57"/>
  <c r="B11" i="57"/>
  <c r="O9" i="57"/>
  <c r="D315" i="57"/>
  <c r="J340" i="57"/>
  <c r="L328" i="57"/>
  <c r="K310" i="57"/>
  <c r="I16" i="57"/>
  <c r="P112" i="57"/>
  <c r="I125" i="57"/>
  <c r="J193" i="57"/>
  <c r="F25" i="57"/>
  <c r="D221" i="57"/>
  <c r="K170" i="57"/>
  <c r="O62" i="57"/>
  <c r="C103" i="57"/>
  <c r="L84" i="57"/>
  <c r="M77" i="57"/>
  <c r="I22" i="57"/>
  <c r="D110" i="57"/>
  <c r="B92" i="57"/>
  <c r="P75" i="57"/>
  <c r="J75" i="57"/>
  <c r="D131" i="57"/>
  <c r="B151" i="57"/>
  <c r="C16" i="57"/>
  <c r="D68" i="57"/>
  <c r="G213" i="57"/>
  <c r="J151" i="57"/>
  <c r="P37" i="57"/>
  <c r="G218" i="57"/>
  <c r="E55" i="57"/>
  <c r="E35" i="57"/>
  <c r="C184" i="57"/>
  <c r="E217" i="57"/>
  <c r="J123" i="57"/>
  <c r="B134" i="57"/>
  <c r="I13" i="57"/>
  <c r="J28" i="57"/>
  <c r="E46" i="57"/>
  <c r="H266" i="57"/>
  <c r="J171" i="57"/>
  <c r="B337" i="57"/>
  <c r="E258" i="57"/>
  <c r="B303" i="57"/>
  <c r="L320" i="57"/>
  <c r="N26" i="57"/>
  <c r="B245" i="57"/>
  <c r="E141" i="57"/>
  <c r="D241" i="57"/>
  <c r="D163" i="57"/>
  <c r="M11" i="57"/>
  <c r="M23" i="57"/>
  <c r="B210" i="57"/>
  <c r="H318" i="57"/>
  <c r="N89" i="57"/>
  <c r="B231" i="57"/>
  <c r="L262" i="57"/>
  <c r="P232" i="57"/>
  <c r="H201" i="57"/>
  <c r="E22" i="57"/>
  <c r="M321" i="57"/>
  <c r="F36" i="57"/>
  <c r="J246" i="57"/>
  <c r="D37" i="57"/>
  <c r="D58" i="57"/>
  <c r="E91" i="57"/>
  <c r="J249" i="57"/>
  <c r="E173" i="57"/>
  <c r="F68" i="57"/>
  <c r="K168" i="57"/>
  <c r="I233" i="57"/>
  <c r="I306" i="57"/>
  <c r="H33" i="57"/>
  <c r="J117" i="57"/>
  <c r="J87" i="57"/>
  <c r="I71" i="57"/>
  <c r="L94" i="57"/>
  <c r="N82" i="57"/>
  <c r="D174" i="57"/>
  <c r="N170" i="57"/>
  <c r="H39" i="57"/>
  <c r="I152" i="57"/>
  <c r="N257" i="57"/>
  <c r="F128" i="57"/>
  <c r="P12" i="57"/>
  <c r="M123" i="57"/>
  <c r="P25" i="57"/>
  <c r="O325" i="57"/>
  <c r="N203" i="57"/>
  <c r="F225" i="57"/>
  <c r="P252" i="57"/>
  <c r="E196" i="57"/>
  <c r="K343" i="57"/>
  <c r="F329" i="57"/>
  <c r="C323" i="57"/>
  <c r="N277" i="57"/>
  <c r="M227" i="57"/>
  <c r="B302" i="57"/>
  <c r="I329" i="57"/>
  <c r="B282" i="57"/>
  <c r="N17" i="57"/>
  <c r="B317" i="57"/>
  <c r="O232" i="57"/>
  <c r="I77" i="57"/>
  <c r="L250" i="57"/>
  <c r="D66" i="57"/>
  <c r="E311" i="57"/>
  <c r="I179" i="57"/>
  <c r="B126" i="57"/>
  <c r="L29" i="57"/>
  <c r="I215" i="57"/>
  <c r="E332" i="57"/>
  <c r="F292" i="57"/>
  <c r="J261" i="57"/>
  <c r="J285" i="57"/>
  <c r="H37" i="57"/>
  <c r="O30" i="57"/>
  <c r="M31" i="57"/>
  <c r="K48" i="57"/>
  <c r="H54" i="57"/>
  <c r="K133" i="57"/>
  <c r="N103" i="57"/>
  <c r="L124" i="57"/>
  <c r="C167" i="57"/>
  <c r="O33" i="57"/>
  <c r="L254" i="57"/>
  <c r="N342" i="57"/>
  <c r="M218" i="57"/>
  <c r="M301" i="57"/>
  <c r="C254" i="57"/>
  <c r="L87" i="57"/>
  <c r="J182" i="57"/>
  <c r="F255" i="57"/>
  <c r="J185" i="57"/>
  <c r="F161" i="57"/>
  <c r="P315" i="57"/>
  <c r="D60" i="57"/>
  <c r="K280" i="57"/>
  <c r="B19" i="57"/>
  <c r="F111" i="57"/>
  <c r="D182" i="57"/>
  <c r="E63" i="57"/>
  <c r="H74" i="57"/>
  <c r="G175" i="57"/>
  <c r="E73" i="57"/>
  <c r="E316" i="57"/>
  <c r="C35" i="57"/>
  <c r="E169" i="57"/>
  <c r="J339" i="57"/>
  <c r="O78" i="57"/>
  <c r="D130" i="57"/>
  <c r="I153" i="57"/>
  <c r="K232" i="57"/>
  <c r="P272" i="57"/>
  <c r="C215" i="57"/>
  <c r="H309" i="57"/>
  <c r="J322" i="57"/>
  <c r="N226" i="57"/>
  <c r="P164" i="57"/>
  <c r="K327" i="57"/>
  <c r="B145" i="57"/>
  <c r="O144" i="57"/>
  <c r="F66" i="57"/>
  <c r="F82" i="57"/>
  <c r="J283" i="57"/>
  <c r="L220" i="57"/>
  <c r="M172" i="57"/>
  <c r="G25" i="57"/>
  <c r="C96" i="57"/>
  <c r="M19" i="57"/>
  <c r="K110" i="57"/>
  <c r="E335" i="57"/>
  <c r="G224" i="57"/>
  <c r="P226" i="57"/>
  <c r="J311" i="57"/>
  <c r="C82" i="57"/>
  <c r="B177" i="57"/>
  <c r="J133" i="57"/>
  <c r="B262" i="57"/>
  <c r="O344" i="57"/>
  <c r="I161" i="57"/>
  <c r="D86" i="57"/>
  <c r="O138" i="57"/>
  <c r="C263" i="57"/>
  <c r="F61" i="57"/>
  <c r="I312" i="57"/>
  <c r="L111" i="57"/>
  <c r="C38" i="57"/>
  <c r="F140" i="57"/>
  <c r="B172" i="57"/>
  <c r="L301" i="57"/>
  <c r="F150" i="57"/>
  <c r="J345" i="57"/>
  <c r="N326" i="57"/>
  <c r="G135" i="57"/>
  <c r="C219" i="57"/>
  <c r="N147" i="57"/>
  <c r="C265" i="57"/>
  <c r="E284" i="57"/>
  <c r="G119" i="57"/>
  <c r="D82" i="57"/>
  <c r="F332" i="57"/>
  <c r="M164" i="57"/>
  <c r="F281" i="57"/>
  <c r="M98" i="57"/>
  <c r="K268" i="57"/>
  <c r="B297" i="57"/>
  <c r="E136" i="57"/>
  <c r="O20" i="57"/>
  <c r="G303" i="57"/>
  <c r="M65" i="57"/>
  <c r="L314" i="57"/>
  <c r="B229" i="57"/>
  <c r="P285" i="57"/>
  <c r="K314" i="57"/>
  <c r="I148" i="57"/>
  <c r="L336" i="57"/>
  <c r="O176" i="57"/>
  <c r="O209" i="57"/>
  <c r="L99" i="57"/>
  <c r="N108" i="57"/>
  <c r="M93" i="57"/>
  <c r="L82" i="57"/>
  <c r="E78" i="57"/>
  <c r="E142" i="57"/>
  <c r="E149" i="57"/>
  <c r="M47" i="57"/>
  <c r="P277" i="57"/>
  <c r="J247" i="57"/>
  <c r="G191" i="57"/>
  <c r="F286" i="57"/>
  <c r="F14" i="57"/>
  <c r="D44" i="57"/>
  <c r="N70" i="57"/>
  <c r="F15" i="57"/>
  <c r="F203" i="57"/>
  <c r="L180" i="57"/>
  <c r="B342" i="57"/>
  <c r="F347" i="57"/>
  <c r="B132" i="57"/>
  <c r="L288" i="57"/>
  <c r="N35" i="57"/>
  <c r="E45" i="57"/>
  <c r="C165" i="57"/>
  <c r="H175" i="57"/>
  <c r="F256" i="57"/>
  <c r="O73" i="57"/>
  <c r="D253" i="57"/>
  <c r="L14" i="57"/>
  <c r="G35" i="57"/>
  <c r="H284" i="57"/>
  <c r="N234" i="57"/>
  <c r="E304" i="57"/>
  <c r="E64" i="57"/>
  <c r="D149" i="57"/>
  <c r="C164" i="57"/>
  <c r="M34" i="57"/>
  <c r="O303" i="57"/>
  <c r="P231" i="57"/>
  <c r="P63" i="57"/>
  <c r="N301" i="57"/>
  <c r="C59" i="57"/>
  <c r="N95" i="57"/>
  <c r="F30" i="57"/>
  <c r="C251" i="57"/>
  <c r="E108" i="57"/>
  <c r="L59" i="57"/>
  <c r="C36" i="57"/>
  <c r="P83" i="57"/>
  <c r="K103" i="57"/>
  <c r="F37" i="57"/>
  <c r="I180" i="57"/>
  <c r="H94" i="57"/>
  <c r="P23" i="57"/>
  <c r="H271" i="57"/>
  <c r="C116" i="57"/>
  <c r="B225" i="57"/>
  <c r="K339" i="57"/>
  <c r="B153" i="57"/>
  <c r="I84" i="57"/>
  <c r="H177" i="57"/>
  <c r="H307" i="57"/>
  <c r="M122" i="57"/>
  <c r="G140" i="57"/>
  <c r="O50" i="57"/>
  <c r="C178" i="57"/>
  <c r="I252" i="57"/>
  <c r="J301" i="57"/>
  <c r="J297" i="57"/>
  <c r="L257" i="57"/>
  <c r="C218" i="57"/>
  <c r="L317" i="57"/>
  <c r="D327" i="57"/>
  <c r="L213" i="57"/>
  <c r="C61" i="57"/>
  <c r="L292" i="57"/>
  <c r="H68" i="57"/>
  <c r="M100" i="57"/>
  <c r="O210" i="57"/>
  <c r="L265" i="57"/>
  <c r="B320" i="57"/>
  <c r="G241" i="57"/>
  <c r="O335" i="57"/>
  <c r="N158" i="57"/>
  <c r="H323" i="57"/>
  <c r="F151" i="57"/>
  <c r="O55" i="57"/>
  <c r="D240" i="57"/>
  <c r="O275" i="57"/>
  <c r="B44" i="57"/>
  <c r="N98" i="57"/>
  <c r="I346" i="57"/>
  <c r="D101" i="57"/>
  <c r="M175" i="57"/>
  <c r="J94" i="57"/>
  <c r="D181" i="57"/>
  <c r="L296" i="57"/>
  <c r="O283" i="57"/>
  <c r="F274" i="57"/>
  <c r="J162" i="57"/>
  <c r="O64" i="57"/>
  <c r="H108" i="57"/>
  <c r="N162" i="57"/>
  <c r="I200" i="57"/>
  <c r="N40" i="57"/>
  <c r="N91" i="57"/>
  <c r="O79" i="57"/>
  <c r="G179" i="57"/>
  <c r="H333" i="57"/>
  <c r="M78" i="57"/>
  <c r="K81" i="57"/>
  <c r="H38" i="57"/>
  <c r="G9" i="57"/>
  <c r="N157" i="57"/>
  <c r="I174" i="57"/>
  <c r="L133" i="57"/>
  <c r="C136" i="57"/>
  <c r="E292" i="57"/>
  <c r="O269" i="57"/>
  <c r="N15" i="57"/>
  <c r="P49" i="57"/>
  <c r="L22" i="57"/>
  <c r="N46" i="57"/>
  <c r="G88" i="57"/>
  <c r="F204" i="57"/>
  <c r="N36" i="57"/>
  <c r="B25" i="57"/>
  <c r="N182" i="57"/>
  <c r="L229" i="57"/>
  <c r="K189" i="57"/>
  <c r="I317" i="57"/>
  <c r="L227" i="57"/>
  <c r="H195" i="57"/>
  <c r="D323" i="57"/>
  <c r="I265" i="57"/>
  <c r="N165" i="57"/>
  <c r="C237" i="57"/>
  <c r="N163" i="57"/>
  <c r="M178" i="57"/>
  <c r="O152" i="57"/>
  <c r="O298" i="57"/>
  <c r="D95" i="57"/>
  <c r="E315" i="57"/>
  <c r="G239" i="57"/>
  <c r="I183" i="57"/>
  <c r="B150" i="57"/>
  <c r="L187" i="57"/>
  <c r="O294" i="57"/>
  <c r="M338" i="57"/>
  <c r="B96" i="57"/>
  <c r="L287" i="57"/>
  <c r="F123" i="57"/>
  <c r="C147" i="57"/>
  <c r="O282" i="57"/>
  <c r="G75" i="57"/>
  <c r="C291" i="57"/>
  <c r="C80" i="57"/>
  <c r="C12" i="57"/>
  <c r="L281" i="57"/>
  <c r="E313" i="57"/>
  <c r="L20" i="57"/>
  <c r="E218" i="57"/>
  <c r="O218" i="57"/>
  <c r="G65" i="57"/>
  <c r="F98" i="57"/>
  <c r="F305" i="57"/>
  <c r="K274" i="57"/>
  <c r="J74" i="57"/>
  <c r="B106" i="57"/>
  <c r="G214" i="57"/>
  <c r="E140" i="57"/>
  <c r="K262" i="57"/>
  <c r="N60" i="57"/>
  <c r="L38" i="57"/>
  <c r="C306" i="57"/>
  <c r="N25" i="57"/>
  <c r="C238" i="57"/>
  <c r="G149" i="57"/>
  <c r="P308" i="57"/>
  <c r="M76" i="57"/>
  <c r="G327" i="57"/>
  <c r="N167" i="57"/>
  <c r="D171" i="57"/>
  <c r="N258" i="57"/>
  <c r="I135" i="57"/>
  <c r="I305" i="57"/>
  <c r="I21" i="57"/>
  <c r="M233" i="57"/>
  <c r="D280" i="57"/>
  <c r="B91" i="57"/>
  <c r="F342" i="57"/>
  <c r="D187" i="57"/>
  <c r="M313" i="57"/>
  <c r="H269" i="57"/>
  <c r="M296" i="57"/>
  <c r="P19" i="57"/>
  <c r="B259" i="57"/>
  <c r="H111" i="57"/>
  <c r="I54" i="57"/>
  <c r="O205" i="57"/>
  <c r="O242" i="57"/>
  <c r="F296" i="57"/>
  <c r="L185" i="57"/>
  <c r="N311" i="57"/>
  <c r="F50" i="57"/>
  <c r="B241" i="57"/>
  <c r="P189" i="57"/>
  <c r="K207" i="57"/>
  <c r="G80" i="57"/>
  <c r="F302" i="57"/>
  <c r="K56" i="57"/>
  <c r="D150" i="57"/>
  <c r="L282" i="57"/>
  <c r="N112" i="57"/>
  <c r="J192" i="57"/>
  <c r="P322" i="57"/>
  <c r="B60" i="57"/>
  <c r="P195" i="57"/>
  <c r="C9" i="57"/>
  <c r="L159" i="57"/>
  <c r="G298" i="57"/>
  <c r="L13" i="57"/>
  <c r="L313" i="57"/>
  <c r="O130" i="57"/>
  <c r="D222" i="57"/>
  <c r="M337" i="57"/>
  <c r="K117" i="57"/>
  <c r="E121" i="57"/>
  <c r="E163" i="57"/>
  <c r="D20" i="57"/>
  <c r="G217" i="57"/>
  <c r="H274" i="57"/>
  <c r="B142" i="57"/>
  <c r="D179" i="57"/>
  <c r="B318" i="57"/>
  <c r="O114" i="57"/>
  <c r="N195" i="57"/>
  <c r="D239" i="57"/>
  <c r="I343" i="57"/>
  <c r="K245" i="57"/>
  <c r="G107" i="57"/>
  <c r="M95" i="57"/>
  <c r="B307" i="57"/>
  <c r="O151" i="57"/>
  <c r="P139" i="57"/>
  <c r="M147" i="57"/>
  <c r="M188" i="57"/>
  <c r="H288" i="57"/>
  <c r="K72" i="57"/>
  <c r="F270" i="57"/>
  <c r="I290" i="57"/>
  <c r="M145" i="57"/>
  <c r="N267" i="57"/>
  <c r="J60" i="57"/>
  <c r="B305" i="57"/>
  <c r="C289" i="57"/>
  <c r="K114" i="57"/>
  <c r="B308" i="57"/>
  <c r="G18" i="57"/>
  <c r="F56" i="57"/>
  <c r="F120" i="57"/>
  <c r="F312" i="57"/>
  <c r="P94" i="57"/>
  <c r="O132" i="57"/>
  <c r="E180" i="57"/>
  <c r="D90" i="57"/>
  <c r="M140" i="57"/>
  <c r="G122" i="57"/>
  <c r="F136" i="57"/>
  <c r="K295" i="57"/>
  <c r="K222" i="57"/>
  <c r="J205" i="57"/>
  <c r="J70" i="57"/>
  <c r="C34" i="57"/>
  <c r="J228" i="57"/>
  <c r="F261" i="57"/>
  <c r="P297" i="57"/>
  <c r="O285" i="57"/>
  <c r="F63" i="57"/>
  <c r="C324" i="57"/>
  <c r="P106" i="57"/>
  <c r="D172" i="57"/>
  <c r="I256" i="57"/>
  <c r="K208" i="57"/>
  <c r="M10" i="57"/>
  <c r="I56" i="57"/>
  <c r="E233" i="57"/>
  <c r="J211" i="57"/>
  <c r="K276" i="57"/>
  <c r="I338" i="57"/>
  <c r="H14" i="57"/>
  <c r="K89" i="57"/>
  <c r="C283" i="57"/>
  <c r="D184" i="57"/>
  <c r="M284" i="57"/>
  <c r="L327" i="57"/>
  <c r="M267" i="57"/>
  <c r="I267" i="57"/>
  <c r="D272" i="57"/>
  <c r="D269" i="57"/>
  <c r="H276" i="57"/>
  <c r="H86" i="57"/>
  <c r="N183" i="57"/>
  <c r="K237" i="57"/>
  <c r="I159" i="57"/>
  <c r="F234" i="57"/>
  <c r="B216" i="57"/>
  <c r="D252" i="57"/>
  <c r="G162" i="57"/>
  <c r="F244" i="57"/>
  <c r="B286" i="57"/>
  <c r="C94" i="57"/>
  <c r="D62" i="57"/>
  <c r="H17" i="57"/>
  <c r="C311" i="57"/>
  <c r="N201" i="57"/>
  <c r="E248" i="57"/>
  <c r="K160" i="57"/>
  <c r="D105" i="57"/>
  <c r="J258" i="57"/>
  <c r="D98" i="57"/>
  <c r="I266" i="57"/>
  <c r="N132" i="57"/>
  <c r="L291" i="57"/>
  <c r="J279" i="57"/>
  <c r="I300" i="57"/>
  <c r="H181" i="57"/>
  <c r="L247" i="57"/>
  <c r="I37" i="57"/>
  <c r="B234" i="57"/>
  <c r="N8" i="57"/>
  <c r="M285" i="57"/>
  <c r="P254" i="57"/>
  <c r="N250" i="57"/>
  <c r="F297" i="57"/>
  <c r="M42" i="57"/>
  <c r="P270" i="57"/>
  <c r="J97" i="57"/>
  <c r="N270" i="57"/>
  <c r="P35" i="57"/>
  <c r="C130" i="57"/>
  <c r="C231" i="57"/>
  <c r="K345" i="57"/>
  <c r="K187" i="57"/>
  <c r="B332" i="57"/>
  <c r="B265" i="57"/>
  <c r="G215" i="57"/>
  <c r="P138" i="57"/>
  <c r="N249" i="57"/>
  <c r="P60" i="57"/>
  <c r="K247" i="57"/>
  <c r="J276" i="57"/>
  <c r="F233" i="57"/>
  <c r="K223" i="57"/>
  <c r="J57" i="57"/>
  <c r="O308" i="57"/>
  <c r="G184" i="57"/>
  <c r="F102" i="57"/>
  <c r="M37" i="57"/>
  <c r="O279" i="57"/>
  <c r="I99" i="57"/>
  <c r="L245" i="57"/>
  <c r="I49" i="57"/>
  <c r="K307" i="57"/>
  <c r="M325" i="57"/>
  <c r="F300" i="57"/>
  <c r="H301" i="57"/>
  <c r="C200" i="57"/>
  <c r="O46" i="57"/>
  <c r="L139" i="57"/>
  <c r="N164" i="57"/>
  <c r="G159" i="57"/>
  <c r="P243" i="57"/>
  <c r="M226" i="57"/>
  <c r="P13" i="57"/>
  <c r="M111" i="57"/>
  <c r="N316" i="57"/>
  <c r="L146" i="57"/>
  <c r="G127" i="57"/>
  <c r="O180" i="57"/>
  <c r="N53" i="57"/>
  <c r="N194" i="57"/>
  <c r="K94" i="57"/>
  <c r="K148" i="57"/>
  <c r="L48" i="57"/>
  <c r="G130" i="57"/>
  <c r="J14" i="57"/>
  <c r="J290" i="57"/>
  <c r="N225" i="57"/>
  <c r="O160" i="57"/>
  <c r="E285" i="57"/>
  <c r="J348" i="57"/>
  <c r="J9" i="57"/>
  <c r="J190" i="57"/>
  <c r="I136" i="57"/>
  <c r="C31" i="57"/>
  <c r="L142" i="57"/>
  <c r="E224" i="57"/>
  <c r="E288" i="57"/>
  <c r="H9" i="57"/>
  <c r="F121" i="57"/>
  <c r="M196" i="57"/>
  <c r="O304" i="57"/>
  <c r="K272" i="57"/>
  <c r="H53" i="57"/>
  <c r="E130" i="57"/>
  <c r="O336" i="57"/>
  <c r="C78" i="57"/>
  <c r="C19" i="57"/>
  <c r="G190" i="57"/>
  <c r="F333" i="57"/>
  <c r="I66" i="57"/>
  <c r="E17" i="57"/>
  <c r="G134" i="57"/>
  <c r="P117" i="57"/>
  <c r="G227" i="57"/>
  <c r="I55" i="57"/>
  <c r="L176" i="57"/>
  <c r="F272" i="57"/>
  <c r="F318" i="57"/>
  <c r="H29" i="57"/>
  <c r="N127" i="57"/>
  <c r="E160" i="57"/>
  <c r="L85" i="57"/>
  <c r="N87" i="57"/>
  <c r="L341" i="57"/>
  <c r="L91" i="57"/>
  <c r="C172" i="57"/>
  <c r="P176" i="57"/>
  <c r="J191" i="57"/>
  <c r="F313" i="57"/>
  <c r="D141" i="57"/>
  <c r="I339" i="57"/>
  <c r="I92" i="57"/>
  <c r="C271" i="57"/>
  <c r="F132" i="57"/>
  <c r="I157" i="57"/>
  <c r="B224" i="57"/>
  <c r="G277" i="57"/>
  <c r="M202" i="57"/>
  <c r="I281" i="57"/>
  <c r="I88" i="57"/>
  <c r="K47" i="57"/>
  <c r="I295" i="57"/>
  <c r="M290" i="57"/>
  <c r="P276" i="57"/>
  <c r="J114" i="57"/>
  <c r="G47" i="57"/>
  <c r="B271" i="57"/>
  <c r="I249" i="57"/>
  <c r="J44" i="57"/>
  <c r="H188" i="57"/>
  <c r="M119" i="57"/>
  <c r="K321" i="57"/>
  <c r="O260" i="57"/>
  <c r="P278" i="57"/>
  <c r="E241" i="57"/>
  <c r="K324" i="57"/>
  <c r="F107" i="57"/>
  <c r="G210" i="57"/>
  <c r="I192" i="57"/>
  <c r="D111" i="57"/>
  <c r="M275" i="57"/>
  <c r="L237" i="57"/>
  <c r="E328" i="57"/>
  <c r="B249" i="57"/>
  <c r="N57" i="57"/>
  <c r="J80" i="57"/>
  <c r="I319" i="57"/>
  <c r="F47" i="57"/>
  <c r="G319" i="57"/>
  <c r="N146" i="57"/>
  <c r="G58" i="57"/>
  <c r="N186" i="57"/>
  <c r="C56" i="57"/>
  <c r="B125" i="57"/>
  <c r="G84" i="57"/>
  <c r="E225" i="57"/>
  <c r="G103" i="57"/>
  <c r="N47" i="57"/>
  <c r="H219" i="57"/>
  <c r="H193" i="57"/>
  <c r="H185" i="57"/>
  <c r="F235" i="57"/>
  <c r="P22" i="57"/>
  <c r="L278" i="57"/>
  <c r="K225" i="57"/>
  <c r="I115" i="57"/>
  <c r="B135" i="57"/>
  <c r="B312" i="57"/>
  <c r="B206" i="57"/>
  <c r="L273" i="57"/>
  <c r="C244" i="57"/>
  <c r="D291" i="57"/>
  <c r="H170" i="57"/>
  <c r="D312" i="57"/>
  <c r="C162" i="57"/>
  <c r="C333" i="57"/>
  <c r="C95" i="57"/>
  <c r="C84" i="57"/>
  <c r="P141" i="57"/>
  <c r="M116" i="57"/>
  <c r="B304" i="57"/>
  <c r="P336" i="57"/>
  <c r="G64" i="57"/>
  <c r="D344" i="57"/>
  <c r="H137" i="57"/>
  <c r="H320" i="57"/>
  <c r="B315" i="57"/>
  <c r="J92" i="57"/>
  <c r="O323" i="57"/>
  <c r="H126" i="57"/>
  <c r="N255" i="57"/>
  <c r="B146" i="57"/>
  <c r="J124" i="57"/>
  <c r="P265" i="57"/>
  <c r="C45" i="57"/>
  <c r="I87" i="57"/>
  <c r="J127" i="57"/>
  <c r="N332" i="57"/>
  <c r="I103" i="57"/>
  <c r="B53" i="57"/>
  <c r="H20" i="57"/>
  <c r="P267" i="57"/>
  <c r="D299" i="57"/>
  <c r="H212" i="57"/>
  <c r="N66" i="57"/>
  <c r="E202" i="57"/>
  <c r="P230" i="57"/>
  <c r="J10" i="57"/>
  <c r="H313" i="57"/>
  <c r="P143" i="57"/>
  <c r="I60" i="57"/>
  <c r="B12" i="57"/>
  <c r="D175" i="57"/>
  <c r="J23" i="57"/>
  <c r="L330" i="57"/>
  <c r="L342" i="57"/>
  <c r="C176" i="57"/>
  <c r="L217" i="57"/>
  <c r="F315" i="57"/>
  <c r="F214" i="57"/>
  <c r="P157" i="57"/>
  <c r="J68" i="57"/>
  <c r="M27" i="57"/>
  <c r="N315" i="57"/>
  <c r="O143" i="57"/>
  <c r="F210" i="57"/>
  <c r="H153" i="57"/>
  <c r="B223" i="57"/>
  <c r="J46" i="57"/>
  <c r="K32" i="57"/>
  <c r="M105" i="57"/>
  <c r="E188" i="57"/>
  <c r="B290" i="57"/>
  <c r="C192" i="57"/>
  <c r="E60" i="57"/>
  <c r="N297" i="57"/>
  <c r="O47" i="57"/>
  <c r="C25" i="57"/>
  <c r="P154" i="57"/>
  <c r="N254" i="57"/>
  <c r="H330" i="57"/>
  <c r="C106" i="57"/>
  <c r="O237" i="57"/>
  <c r="I76" i="57"/>
  <c r="P45" i="57"/>
  <c r="F129" i="57"/>
  <c r="H327" i="57"/>
  <c r="D191" i="57"/>
  <c r="F124" i="57"/>
  <c r="K62" i="57"/>
  <c r="P311" i="57"/>
  <c r="M155" i="57"/>
  <c r="H117" i="57"/>
  <c r="G324" i="57"/>
  <c r="B270" i="57"/>
  <c r="K100" i="57"/>
  <c r="K164" i="57"/>
  <c r="H232" i="57"/>
  <c r="E181" i="57"/>
  <c r="E59" i="57"/>
  <c r="P55" i="57"/>
  <c r="B314" i="57"/>
  <c r="C86" i="57"/>
  <c r="D89" i="57"/>
  <c r="L258" i="57"/>
  <c r="M319" i="57"/>
  <c r="C174" i="57"/>
  <c r="I308" i="57"/>
  <c r="G142" i="57"/>
  <c r="N304" i="57"/>
  <c r="O16" i="57"/>
  <c r="B189" i="57"/>
  <c r="O194" i="57"/>
  <c r="J65" i="57"/>
  <c r="C161" i="57"/>
  <c r="O178" i="57"/>
  <c r="F79" i="57"/>
  <c r="C58" i="57"/>
  <c r="J135" i="57"/>
  <c r="J98" i="57"/>
  <c r="G268" i="57"/>
  <c r="M60" i="57"/>
  <c r="L239" i="57"/>
  <c r="L67" i="57"/>
  <c r="I119" i="57"/>
  <c r="H123" i="57"/>
  <c r="K156" i="57"/>
  <c r="C294" i="57"/>
  <c r="L243" i="57"/>
  <c r="C262" i="57"/>
  <c r="G60" i="57"/>
  <c r="I315" i="57"/>
  <c r="B323" i="57"/>
  <c r="E11" i="57"/>
  <c r="K199" i="57"/>
  <c r="G254" i="57"/>
  <c r="C70" i="57"/>
  <c r="E200" i="57"/>
  <c r="D292" i="57"/>
  <c r="L199" i="57"/>
  <c r="P122" i="57"/>
  <c r="O185" i="57"/>
  <c r="C49" i="57"/>
  <c r="N129" i="57"/>
  <c r="M18" i="57"/>
  <c r="I186" i="57"/>
  <c r="K45" i="57"/>
  <c r="F24" i="57"/>
  <c r="B17" i="57"/>
  <c r="E101" i="57"/>
  <c r="C21" i="57"/>
  <c r="B272" i="57"/>
  <c r="F241" i="57"/>
  <c r="M173" i="57"/>
  <c r="J101" i="57"/>
  <c r="K23" i="57"/>
  <c r="O214" i="57"/>
  <c r="M154" i="57"/>
  <c r="L90" i="57"/>
  <c r="E246" i="57"/>
  <c r="H335" i="57"/>
  <c r="P332" i="57"/>
  <c r="H343" i="57"/>
  <c r="E99" i="57"/>
  <c r="G146" i="57"/>
  <c r="G257" i="57"/>
  <c r="B49" i="57"/>
  <c r="C266" i="57"/>
  <c r="B255" i="57"/>
  <c r="H15" i="57"/>
  <c r="E36" i="57"/>
  <c r="L211" i="57"/>
  <c r="D137" i="57"/>
  <c r="F209" i="57"/>
  <c r="K227" i="57"/>
  <c r="G316" i="57"/>
  <c r="P257" i="57"/>
  <c r="E93" i="57"/>
  <c r="I140" i="57"/>
  <c r="N295" i="57"/>
  <c r="C127" i="57"/>
  <c r="B75" i="57"/>
  <c r="E314" i="57"/>
  <c r="I334" i="57"/>
  <c r="O312" i="57"/>
  <c r="L17" i="57"/>
  <c r="D134" i="57"/>
  <c r="D156" i="57"/>
  <c r="G132" i="57"/>
  <c r="M312" i="57"/>
  <c r="H180" i="57"/>
  <c r="K33" i="57"/>
  <c r="G211" i="57"/>
  <c r="I294" i="57"/>
  <c r="D284" i="57"/>
  <c r="H287" i="57"/>
  <c r="D321" i="57"/>
  <c r="K119" i="57"/>
  <c r="B152" i="57"/>
  <c r="D77" i="57"/>
  <c r="N75" i="57"/>
  <c r="G104" i="57"/>
  <c r="F247" i="57"/>
  <c r="H125" i="57"/>
  <c r="H141" i="57"/>
  <c r="F174" i="57"/>
  <c r="I279" i="57"/>
  <c r="J284" i="57"/>
  <c r="L174" i="57"/>
  <c r="M264" i="57"/>
  <c r="I176" i="57"/>
  <c r="G19" i="57"/>
  <c r="H280" i="57"/>
  <c r="F138" i="57"/>
  <c r="D258" i="57"/>
  <c r="M332" i="57"/>
  <c r="J36" i="57"/>
  <c r="I311" i="57"/>
  <c r="O65" i="57"/>
  <c r="M132" i="57"/>
  <c r="H30" i="57"/>
  <c r="C322" i="57"/>
  <c r="J330" i="57"/>
  <c r="K24" i="57"/>
  <c r="K182" i="57"/>
  <c r="M58" i="57"/>
  <c r="C245" i="57"/>
  <c r="I36" i="57"/>
  <c r="G205" i="57"/>
  <c r="J179" i="57"/>
  <c r="M46" i="57"/>
  <c r="P205" i="57"/>
  <c r="K238" i="57"/>
  <c r="N31" i="57"/>
  <c r="K34" i="57"/>
  <c r="D274" i="57"/>
  <c r="F254" i="57"/>
  <c r="J34" i="57"/>
  <c r="N241" i="57"/>
  <c r="P309" i="57"/>
  <c r="H224" i="57"/>
  <c r="P162" i="57"/>
  <c r="F158" i="57"/>
  <c r="M287" i="57"/>
  <c r="B23" i="57"/>
  <c r="L37" i="57"/>
  <c r="O142" i="57"/>
  <c r="E216" i="57"/>
  <c r="J116" i="57"/>
  <c r="M187" i="57"/>
  <c r="I160" i="57"/>
  <c r="L178" i="57"/>
  <c r="G21" i="57"/>
  <c r="P241" i="57"/>
  <c r="B338" i="57"/>
  <c r="J273" i="57"/>
  <c r="E242" i="57"/>
  <c r="I10" i="57"/>
  <c r="F180" i="57"/>
  <c r="K153" i="57"/>
  <c r="P109" i="57"/>
  <c r="N199" i="57"/>
  <c r="K39" i="57"/>
  <c r="N78" i="57"/>
  <c r="F179" i="57"/>
  <c r="G326" i="57"/>
  <c r="I123" i="57"/>
  <c r="L293" i="57"/>
  <c r="H253" i="57"/>
  <c r="N319" i="57"/>
  <c r="O136" i="57"/>
  <c r="J347" i="57"/>
  <c r="L190" i="57"/>
  <c r="F135" i="57"/>
  <c r="H242" i="57"/>
  <c r="D36" i="57"/>
  <c r="F83" i="57"/>
  <c r="G92" i="57"/>
  <c r="B32" i="57"/>
  <c r="N284" i="57"/>
  <c r="K190" i="57"/>
  <c r="B148" i="57"/>
  <c r="N10" i="57"/>
  <c r="B117" i="57"/>
  <c r="I309" i="57"/>
  <c r="I289" i="57"/>
  <c r="N287" i="57"/>
  <c r="I213" i="57"/>
  <c r="K107" i="57"/>
  <c r="J215" i="57"/>
  <c r="J186" i="57"/>
  <c r="J37" i="57"/>
  <c r="E31" i="57"/>
  <c r="C201" i="57"/>
  <c r="I246" i="57"/>
  <c r="H234" i="57"/>
  <c r="G56" i="57"/>
  <c r="P144" i="57"/>
  <c r="F35" i="57"/>
  <c r="G310" i="57"/>
  <c r="K257" i="57"/>
  <c r="K184" i="57"/>
  <c r="N124" i="57"/>
  <c r="P26" i="57"/>
  <c r="F171" i="57"/>
  <c r="D73" i="57"/>
  <c r="I328" i="57"/>
  <c r="E138" i="57"/>
  <c r="H130" i="57"/>
  <c r="P155" i="57"/>
  <c r="K25" i="57"/>
  <c r="F260" i="57"/>
  <c r="N184" i="57"/>
  <c r="B284" i="57"/>
  <c r="M159" i="57"/>
  <c r="C278" i="57"/>
  <c r="O101" i="57"/>
  <c r="I100" i="57"/>
  <c r="B119" i="57"/>
  <c r="I151" i="57"/>
  <c r="N121" i="57"/>
  <c r="G334" i="57"/>
  <c r="M88" i="57"/>
  <c r="O74" i="57"/>
  <c r="K334" i="57"/>
  <c r="D205" i="57"/>
  <c r="D157" i="57"/>
  <c r="H73" i="57"/>
  <c r="F152" i="57"/>
  <c r="P346" i="57"/>
  <c r="E49" i="57"/>
  <c r="N321" i="57"/>
  <c r="P286" i="57"/>
  <c r="F216" i="57"/>
  <c r="M239" i="57"/>
  <c r="I81" i="57"/>
  <c r="J295" i="57"/>
  <c r="I232" i="57"/>
  <c r="C41" i="57"/>
  <c r="E210" i="57"/>
  <c r="E123" i="57"/>
  <c r="O108" i="57"/>
  <c r="F187" i="57"/>
  <c r="K322" i="57"/>
  <c r="L26" i="57"/>
  <c r="G269" i="57"/>
  <c r="I261" i="57"/>
  <c r="P295" i="57"/>
  <c r="N314" i="57"/>
  <c r="P342" i="57"/>
  <c r="E340" i="57"/>
  <c r="J287" i="57"/>
  <c r="L194" i="57"/>
  <c r="O134" i="57"/>
  <c r="E118" i="57"/>
  <c r="I58" i="57"/>
  <c r="B28" i="57"/>
  <c r="J233" i="57"/>
  <c r="I320" i="57"/>
  <c r="I278" i="57"/>
  <c r="I72" i="57"/>
  <c r="K61" i="57"/>
  <c r="G320" i="57"/>
  <c r="H71" i="57"/>
  <c r="C286" i="57"/>
  <c r="G256" i="57"/>
  <c r="B120" i="57"/>
  <c r="O125" i="57"/>
  <c r="C157" i="57"/>
  <c r="L173" i="57"/>
  <c r="L177" i="57"/>
  <c r="J144" i="57"/>
  <c r="B73" i="57"/>
  <c r="H161" i="57"/>
  <c r="P323" i="57"/>
  <c r="O315" i="57"/>
  <c r="F22" i="57"/>
  <c r="O228" i="57"/>
  <c r="J173" i="57"/>
  <c r="K242" i="57"/>
  <c r="J76" i="57"/>
  <c r="I310" i="57"/>
  <c r="N292" i="57"/>
  <c r="F191" i="57"/>
  <c r="K144" i="57"/>
  <c r="G165" i="57"/>
  <c r="O219" i="57"/>
  <c r="K281" i="57"/>
  <c r="L76" i="57"/>
  <c r="L123" i="57"/>
  <c r="K286" i="57"/>
  <c r="B137" i="57"/>
  <c r="E238" i="57"/>
  <c r="N286" i="57"/>
  <c r="C303" i="57"/>
  <c r="E278" i="57"/>
  <c r="C331" i="57"/>
  <c r="H95" i="57"/>
  <c r="F223" i="57"/>
  <c r="J238" i="57"/>
  <c r="J84" i="57"/>
  <c r="D138" i="57"/>
  <c r="C325" i="57"/>
  <c r="O239" i="57"/>
  <c r="L167" i="57"/>
  <c r="C339" i="57"/>
  <c r="O215" i="57"/>
  <c r="I85" i="57"/>
  <c r="N171" i="57"/>
  <c r="N278" i="57"/>
  <c r="H184" i="57"/>
  <c r="D330" i="57"/>
  <c r="C39" i="57"/>
  <c r="L93" i="57"/>
  <c r="O48" i="57"/>
  <c r="D75" i="57"/>
  <c r="G50" i="57"/>
  <c r="D247" i="57"/>
  <c r="O148" i="57"/>
  <c r="J85" i="57"/>
  <c r="P27" i="57"/>
  <c r="I59" i="57"/>
  <c r="M137" i="57"/>
  <c r="H16" i="57"/>
  <c r="E159" i="57"/>
  <c r="O290" i="57"/>
  <c r="B79" i="57"/>
  <c r="C29" i="57"/>
  <c r="L98" i="57"/>
  <c r="G160" i="57"/>
  <c r="F275" i="57"/>
  <c r="M153" i="57"/>
  <c r="G37" i="57"/>
  <c r="B218" i="57"/>
  <c r="O226" i="57"/>
  <c r="K236" i="57"/>
  <c r="G193" i="57"/>
  <c r="K111" i="57"/>
  <c r="O154" i="57"/>
  <c r="P166" i="57"/>
  <c r="C223" i="57"/>
  <c r="J110" i="57"/>
  <c r="M121" i="57"/>
  <c r="N169" i="57"/>
  <c r="L171" i="57"/>
  <c r="I199" i="57"/>
  <c r="C191" i="57"/>
  <c r="K138" i="57"/>
  <c r="B306" i="57"/>
  <c r="F231" i="57"/>
  <c r="L110" i="57"/>
  <c r="B33" i="57"/>
  <c r="F45" i="57"/>
  <c r="G113" i="57"/>
  <c r="L264" i="57"/>
  <c r="D193" i="57"/>
  <c r="M12" i="57"/>
  <c r="B121" i="57"/>
  <c r="D229" i="57"/>
  <c r="J147" i="57"/>
  <c r="B191" i="57"/>
  <c r="B128" i="57"/>
  <c r="K112" i="57"/>
  <c r="G201" i="57"/>
  <c r="B295" i="57"/>
  <c r="K116" i="57"/>
  <c r="J204" i="57"/>
  <c r="K263" i="57"/>
  <c r="K63" i="57"/>
  <c r="E289" i="57"/>
  <c r="D243" i="57"/>
  <c r="M167" i="57"/>
  <c r="G263" i="57"/>
  <c r="F38" i="57"/>
  <c r="O201" i="57"/>
  <c r="B104" i="57"/>
  <c r="N330" i="57"/>
  <c r="J230" i="57"/>
  <c r="H281" i="57"/>
  <c r="P258" i="57"/>
  <c r="D270" i="57"/>
  <c r="L223" i="57"/>
  <c r="D93" i="57"/>
  <c r="M341" i="57"/>
  <c r="J145" i="57"/>
  <c r="K86" i="57"/>
  <c r="F29" i="57"/>
  <c r="K141" i="57"/>
  <c r="D212" i="57"/>
  <c r="H106" i="57"/>
  <c r="B299" i="57"/>
  <c r="H311" i="57"/>
  <c r="N238" i="57"/>
  <c r="P209" i="57"/>
  <c r="G253" i="57"/>
  <c r="O337" i="57"/>
  <c r="G77" i="57"/>
  <c r="F19" i="57"/>
  <c r="I277" i="57"/>
  <c r="E338" i="57"/>
  <c r="I193" i="57"/>
  <c r="N24" i="57"/>
  <c r="K91" i="57"/>
  <c r="P186" i="57"/>
  <c r="K123" i="57"/>
  <c r="L12" i="57"/>
  <c r="B160" i="57"/>
  <c r="N131" i="57"/>
  <c r="F147" i="57"/>
  <c r="P89" i="57"/>
  <c r="L339" i="57"/>
  <c r="B164" i="57"/>
  <c r="I230" i="57"/>
  <c r="G255" i="57"/>
  <c r="H282" i="57"/>
  <c r="L308" i="57"/>
  <c r="H72" i="57"/>
  <c r="P197" i="57"/>
  <c r="C296" i="57"/>
  <c r="N328" i="57"/>
  <c r="I150" i="57"/>
  <c r="B205" i="57"/>
  <c r="N323" i="57"/>
  <c r="P65" i="57"/>
  <c r="H25" i="57"/>
  <c r="M106" i="57"/>
  <c r="M80" i="57"/>
  <c r="P52" i="57"/>
  <c r="G267" i="57"/>
  <c r="K163" i="57"/>
  <c r="B36" i="57"/>
  <c r="G231" i="57"/>
  <c r="G234" i="57"/>
  <c r="N62" i="57"/>
  <c r="N221" i="57"/>
  <c r="G101" i="57"/>
  <c r="I288" i="57"/>
  <c r="H312" i="57"/>
  <c r="F23" i="57"/>
  <c r="F78" i="57"/>
  <c r="B93" i="57"/>
  <c r="C183" i="57"/>
  <c r="B116" i="57"/>
  <c r="H81" i="57"/>
  <c r="P178" i="57"/>
  <c r="H19" i="57"/>
  <c r="F157" i="57"/>
  <c r="G40" i="57"/>
  <c r="J271" i="57"/>
  <c r="F20" i="57"/>
  <c r="D136" i="57"/>
  <c r="N136" i="57"/>
  <c r="E298" i="57"/>
  <c r="L285" i="57"/>
  <c r="I172" i="57"/>
  <c r="M99" i="57"/>
  <c r="B136" i="57"/>
  <c r="P282" i="57"/>
  <c r="B324" i="57"/>
  <c r="B38" i="57"/>
  <c r="E273" i="57"/>
  <c r="I187" i="57"/>
  <c r="F206" i="57"/>
  <c r="J90" i="57"/>
  <c r="E145" i="57"/>
  <c r="G183" i="57"/>
  <c r="G281" i="57"/>
  <c r="H162" i="57"/>
  <c r="E321" i="57"/>
  <c r="P224" i="57"/>
  <c r="F289" i="57"/>
  <c r="H114" i="57"/>
  <c r="J25" i="57"/>
  <c r="N20" i="57"/>
  <c r="C261" i="57"/>
  <c r="H286" i="57"/>
  <c r="P328" i="57"/>
  <c r="N174" i="57"/>
  <c r="B58" i="57"/>
  <c r="I121" i="57"/>
  <c r="K84" i="57"/>
  <c r="N253" i="57"/>
  <c r="D232" i="57"/>
  <c r="E38" i="57"/>
  <c r="M184" i="57"/>
  <c r="C111" i="57"/>
  <c r="C168" i="57"/>
  <c r="H206" i="57"/>
  <c r="O220" i="57"/>
  <c r="O223" i="57"/>
  <c r="E148" i="57"/>
  <c r="E84" i="57"/>
  <c r="N228" i="57"/>
  <c r="P237" i="57"/>
  <c r="I237" i="57"/>
  <c r="K342" i="57"/>
  <c r="L137" i="57"/>
  <c r="I210" i="57"/>
  <c r="H124" i="57"/>
  <c r="N155" i="57"/>
  <c r="J149" i="57"/>
  <c r="D324" i="57"/>
  <c r="O139" i="57"/>
  <c r="K211" i="57"/>
  <c r="M311" i="57"/>
  <c r="B26" i="57"/>
  <c r="H283" i="57"/>
  <c r="N317" i="57"/>
  <c r="G145" i="57"/>
  <c r="G106" i="57"/>
  <c r="O121" i="57"/>
  <c r="J342" i="57"/>
  <c r="K51" i="57"/>
  <c r="E28" i="57"/>
  <c r="G94" i="57"/>
  <c r="K151" i="57"/>
  <c r="J203" i="57"/>
  <c r="F208" i="57"/>
  <c r="I44" i="57"/>
  <c r="D57" i="57"/>
  <c r="N337" i="57"/>
  <c r="K341" i="57"/>
  <c r="N149" i="57"/>
  <c r="G43" i="57"/>
  <c r="P46" i="57"/>
  <c r="I128" i="57"/>
  <c r="O174" i="57"/>
  <c r="E155" i="57"/>
  <c r="M245" i="57"/>
  <c r="J103" i="57"/>
  <c r="G332" i="57"/>
  <c r="B171" i="57"/>
  <c r="I190" i="57"/>
  <c r="B80" i="57"/>
  <c r="J189" i="57"/>
  <c r="F319" i="57"/>
  <c r="G346" i="57"/>
  <c r="B37" i="57"/>
  <c r="J227" i="57"/>
  <c r="F77" i="57"/>
  <c r="C74" i="57"/>
  <c r="L326" i="57"/>
  <c r="M292" i="57"/>
  <c r="L311" i="57"/>
  <c r="N142" i="57"/>
  <c r="M146" i="57"/>
  <c r="B192" i="57"/>
  <c r="L113" i="57"/>
  <c r="M72" i="57"/>
  <c r="P169" i="57"/>
  <c r="O167" i="57"/>
  <c r="N266" i="57"/>
  <c r="E281" i="57"/>
  <c r="O100" i="57"/>
  <c r="C281" i="57"/>
  <c r="M329" i="57"/>
  <c r="P217" i="57"/>
  <c r="D211" i="57"/>
  <c r="K193" i="57"/>
  <c r="O126" i="57"/>
  <c r="M297" i="57"/>
  <c r="P142" i="57"/>
  <c r="H190" i="57"/>
  <c r="H44" i="57"/>
  <c r="H308" i="57"/>
  <c r="G143" i="57"/>
  <c r="B252" i="57"/>
  <c r="E271" i="57"/>
  <c r="N114" i="57"/>
  <c r="M190" i="57"/>
  <c r="P182" i="57"/>
  <c r="E62" i="57"/>
  <c r="D217" i="57"/>
  <c r="D333" i="57"/>
  <c r="J270" i="57"/>
  <c r="I307" i="57"/>
  <c r="I8" i="57"/>
  <c r="L259" i="57"/>
  <c r="N140" i="57"/>
  <c r="B235" i="57"/>
  <c r="I259" i="57"/>
  <c r="K134" i="57"/>
  <c r="E342" i="57"/>
  <c r="B83" i="57"/>
  <c r="L266" i="57"/>
  <c r="C17" i="57"/>
  <c r="P82" i="57"/>
  <c r="L334" i="57"/>
  <c r="M294" i="57"/>
  <c r="O173" i="57"/>
  <c r="J240" i="57"/>
  <c r="L335" i="57"/>
  <c r="N273" i="57"/>
  <c r="G341" i="57"/>
  <c r="M260" i="57"/>
  <c r="G173" i="57"/>
  <c r="H302" i="57"/>
  <c r="F282" i="57"/>
  <c r="L203" i="57"/>
  <c r="E229" i="57"/>
  <c r="K293" i="57"/>
  <c r="H251" i="57"/>
  <c r="M49" i="57"/>
  <c r="C301" i="57"/>
  <c r="H326" i="57"/>
  <c r="I165" i="57"/>
  <c r="M259" i="57"/>
  <c r="F10" i="57"/>
  <c r="J214" i="57"/>
  <c r="H23" i="57"/>
  <c r="K127" i="57"/>
  <c r="B158" i="57"/>
  <c r="J267" i="57"/>
  <c r="M278" i="57"/>
  <c r="O115" i="57"/>
  <c r="D122" i="57"/>
  <c r="D28" i="57"/>
  <c r="D278" i="57"/>
  <c r="G300" i="57"/>
  <c r="F86" i="57"/>
  <c r="N117" i="57"/>
  <c r="H213" i="57"/>
  <c r="F317" i="57"/>
  <c r="J253" i="57"/>
  <c r="F166" i="57"/>
  <c r="C332" i="57"/>
  <c r="P320" i="57"/>
  <c r="J167" i="57"/>
  <c r="C207" i="57"/>
  <c r="K330" i="57"/>
  <c r="H67" i="57"/>
  <c r="F167" i="57"/>
  <c r="P181" i="57"/>
  <c r="N269" i="57"/>
  <c r="F11" i="57"/>
  <c r="L232" i="57"/>
  <c r="H187" i="57"/>
  <c r="H158" i="57"/>
  <c r="L230" i="57"/>
  <c r="N118" i="57"/>
  <c r="J19" i="57"/>
  <c r="L10" i="57"/>
  <c r="C270" i="57"/>
  <c r="O342" i="57"/>
  <c r="M94" i="57"/>
  <c r="H268" i="57"/>
  <c r="B232" i="57"/>
  <c r="G186" i="57"/>
  <c r="F178" i="57"/>
  <c r="I138" i="57"/>
  <c r="H109" i="57"/>
  <c r="L11" i="57"/>
  <c r="M53" i="57"/>
  <c r="I291" i="57"/>
  <c r="J344" i="57"/>
  <c r="P296" i="57"/>
  <c r="G344" i="57"/>
  <c r="L233" i="57"/>
  <c r="J239" i="57"/>
  <c r="M237" i="57"/>
  <c r="I118" i="57"/>
  <c r="B230" i="57"/>
  <c r="H173" i="57"/>
  <c r="G274" i="57"/>
  <c r="G14" i="57"/>
  <c r="I284" i="57"/>
  <c r="G197" i="57"/>
  <c r="L236" i="57"/>
  <c r="B326" i="57"/>
  <c r="N341" i="57"/>
  <c r="O248" i="57"/>
  <c r="H88" i="57"/>
  <c r="D133" i="57"/>
  <c r="F159" i="57"/>
  <c r="N109" i="57"/>
  <c r="F108" i="57"/>
  <c r="G45" i="57"/>
  <c r="B276" i="57"/>
  <c r="B247" i="57"/>
  <c r="K212" i="57"/>
  <c r="E44" i="57"/>
  <c r="P216" i="57"/>
  <c r="H261" i="57"/>
  <c r="O238" i="57"/>
  <c r="G243" i="57"/>
  <c r="H273" i="57"/>
  <c r="L209" i="57"/>
  <c r="J234" i="57"/>
  <c r="P53" i="57"/>
  <c r="O328" i="57"/>
  <c r="O69" i="57"/>
  <c r="J314" i="57"/>
  <c r="B114" i="57"/>
  <c r="L116" i="57"/>
  <c r="M347" i="57"/>
  <c r="D142" i="57"/>
  <c r="I173" i="57"/>
  <c r="M177" i="57"/>
  <c r="B217" i="57"/>
  <c r="L205" i="57"/>
  <c r="O150" i="57"/>
  <c r="G133" i="57"/>
  <c r="E79" i="57"/>
  <c r="N18" i="57"/>
  <c r="F237" i="57"/>
  <c r="J154" i="57"/>
  <c r="O120" i="57"/>
  <c r="D155" i="57"/>
  <c r="K125" i="57"/>
  <c r="M102" i="57"/>
  <c r="G17" i="57"/>
  <c r="H233" i="57"/>
  <c r="G48" i="57"/>
  <c r="O222" i="57"/>
  <c r="K173" i="57"/>
  <c r="L55" i="57"/>
  <c r="P246" i="57"/>
  <c r="P314" i="57"/>
  <c r="M89" i="57"/>
  <c r="P111" i="57"/>
  <c r="G29" i="57"/>
  <c r="O175" i="57"/>
  <c r="G204" i="57"/>
  <c r="N192" i="57"/>
  <c r="M298" i="57"/>
  <c r="I9" i="57"/>
  <c r="K218" i="57"/>
  <c r="F9" i="57"/>
  <c r="G209" i="57"/>
  <c r="K83" i="57"/>
  <c r="I204" i="57"/>
  <c r="I137" i="57"/>
  <c r="N116" i="57"/>
  <c r="M96" i="57"/>
  <c r="G168" i="57"/>
  <c r="K152" i="57"/>
  <c r="P148" i="57"/>
  <c r="H210" i="57"/>
  <c r="K31" i="57"/>
  <c r="J132" i="57"/>
  <c r="P140" i="57"/>
  <c r="K323" i="57"/>
  <c r="H113" i="57"/>
  <c r="K308" i="57"/>
  <c r="B346" i="57"/>
  <c r="P206" i="57"/>
  <c r="E61" i="57"/>
  <c r="K234" i="57"/>
  <c r="D32" i="57"/>
  <c r="G199" i="57"/>
  <c r="H167" i="57"/>
  <c r="E76" i="57"/>
  <c r="C217" i="57"/>
  <c r="N153" i="57"/>
  <c r="F99" i="57"/>
  <c r="D338" i="57"/>
  <c r="G286" i="57"/>
  <c r="F331" i="57"/>
  <c r="M64" i="57"/>
  <c r="I101" i="57"/>
  <c r="G128" i="57"/>
  <c r="C205" i="57"/>
  <c r="B197" i="57"/>
  <c r="G348" i="57"/>
  <c r="E326" i="57"/>
  <c r="F248" i="57"/>
  <c r="C139" i="57"/>
  <c r="I182" i="57"/>
  <c r="I243" i="57"/>
  <c r="H296" i="57"/>
  <c r="O181" i="57"/>
  <c r="K331" i="57"/>
  <c r="F28" i="57"/>
  <c r="E283" i="57"/>
  <c r="E143" i="57"/>
  <c r="E167" i="57"/>
  <c r="K129" i="57"/>
  <c r="K231" i="57"/>
  <c r="F221" i="57"/>
  <c r="F169" i="57"/>
  <c r="E165" i="57"/>
  <c r="P200" i="57"/>
  <c r="L309" i="57"/>
  <c r="J119" i="57"/>
  <c r="M33" i="57"/>
  <c r="H69" i="57"/>
  <c r="H27" i="57"/>
  <c r="C149" i="57"/>
  <c r="L274" i="57"/>
  <c r="F240" i="57"/>
  <c r="D38" i="57"/>
  <c r="N259" i="57"/>
  <c r="D322" i="57"/>
  <c r="C53" i="57"/>
  <c r="E230" i="57"/>
  <c r="D328" i="57"/>
  <c r="B293" i="57"/>
  <c r="D18" i="57"/>
  <c r="L68" i="57"/>
  <c r="D227" i="57"/>
  <c r="O247" i="57"/>
  <c r="L169" i="57"/>
  <c r="N154" i="57"/>
  <c r="F307" i="57"/>
  <c r="N280" i="57"/>
  <c r="J125" i="57"/>
  <c r="H207" i="57"/>
  <c r="I270" i="57"/>
  <c r="F199" i="57"/>
  <c r="P168" i="57"/>
  <c r="F267" i="57"/>
  <c r="O261" i="57"/>
  <c r="N334" i="57"/>
  <c r="L40" i="57"/>
  <c r="B46" i="57"/>
  <c r="J183" i="57"/>
  <c r="J77" i="57"/>
  <c r="B45" i="57"/>
  <c r="D282" i="57"/>
  <c r="K194" i="57"/>
  <c r="B133" i="57"/>
  <c r="O306" i="57"/>
  <c r="L240" i="57"/>
  <c r="J313" i="57"/>
  <c r="L286" i="57"/>
  <c r="P88" i="57"/>
  <c r="J86" i="57"/>
  <c r="E80" i="57"/>
  <c r="B175" i="57"/>
  <c r="J130" i="57"/>
  <c r="C128" i="57"/>
  <c r="L114" i="57"/>
  <c r="E247" i="57"/>
  <c r="B13" i="57"/>
  <c r="H168" i="57"/>
  <c r="M300" i="57"/>
  <c r="H220" i="57"/>
  <c r="O324" i="57"/>
  <c r="K267" i="57"/>
  <c r="N44" i="57"/>
  <c r="F277" i="57"/>
  <c r="N28" i="57"/>
  <c r="B174" i="57"/>
  <c r="P81" i="57"/>
  <c r="F76" i="57"/>
  <c r="J61" i="57"/>
  <c r="O266" i="57"/>
  <c r="O252" i="57"/>
  <c r="B105" i="57"/>
  <c r="N240" i="57"/>
  <c r="B48" i="57"/>
  <c r="F287" i="57"/>
  <c r="C129" i="57"/>
  <c r="E70" i="57"/>
  <c r="I20" i="57"/>
  <c r="E274" i="57"/>
  <c r="M282" i="57"/>
  <c r="K265" i="57"/>
  <c r="C48" i="57"/>
  <c r="B101" i="57"/>
  <c r="F249" i="57"/>
  <c r="I321" i="57"/>
  <c r="I24" i="57"/>
  <c r="I184" i="57"/>
  <c r="E33" i="57"/>
  <c r="L155" i="57"/>
  <c r="J300" i="57"/>
  <c r="E175" i="57"/>
  <c r="I113" i="57"/>
  <c r="N69" i="57"/>
  <c r="K235" i="57"/>
  <c r="B194" i="57"/>
  <c r="D177" i="57"/>
  <c r="C119" i="57"/>
  <c r="O90" i="57"/>
  <c r="H11" i="57"/>
  <c r="M126" i="57"/>
  <c r="K338" i="57"/>
  <c r="E85" i="57"/>
  <c r="K196" i="57"/>
  <c r="E198" i="57"/>
  <c r="E134" i="57"/>
  <c r="P316" i="57"/>
  <c r="F325" i="57"/>
  <c r="N188" i="57"/>
  <c r="N159" i="57"/>
  <c r="F229" i="57"/>
  <c r="G138" i="57"/>
  <c r="G171" i="57"/>
  <c r="O105" i="57"/>
  <c r="E257" i="57"/>
  <c r="H144" i="57"/>
  <c r="M135" i="57"/>
  <c r="O31" i="57"/>
  <c r="L224" i="57"/>
  <c r="F114" i="57"/>
  <c r="C208" i="57"/>
  <c r="H230" i="57"/>
  <c r="D79" i="57"/>
  <c r="I322" i="57"/>
  <c r="M142" i="57"/>
  <c r="F330" i="57"/>
  <c r="M299" i="57"/>
  <c r="H75" i="57"/>
  <c r="M197" i="57"/>
  <c r="P264" i="57"/>
  <c r="J157" i="57"/>
  <c r="D341" i="57"/>
  <c r="B90" i="57"/>
  <c r="G251" i="57"/>
  <c r="P269" i="57"/>
  <c r="C334" i="57"/>
  <c r="K143" i="57"/>
  <c r="N43" i="57"/>
  <c r="I23" i="57"/>
  <c r="P302" i="57"/>
  <c r="G68" i="57"/>
  <c r="C243" i="57"/>
  <c r="J310" i="57"/>
  <c r="B243" i="57"/>
  <c r="N138" i="57"/>
  <c r="N289" i="57"/>
  <c r="E322" i="57"/>
  <c r="D307" i="57"/>
  <c r="E318" i="57"/>
  <c r="L316" i="57"/>
  <c r="H265" i="57"/>
  <c r="D123" i="57"/>
  <c r="J160" i="57"/>
  <c r="K246" i="57"/>
  <c r="P98" i="57"/>
  <c r="M35" i="57"/>
  <c r="O274" i="57"/>
  <c r="B269" i="57"/>
  <c r="I116" i="57"/>
  <c r="O301" i="57"/>
  <c r="C10" i="57"/>
  <c r="O198" i="57"/>
  <c r="N113" i="57"/>
  <c r="H8" i="57"/>
  <c r="M158" i="57"/>
  <c r="G333" i="57"/>
  <c r="H149" i="57"/>
  <c r="G226" i="57"/>
  <c r="M326" i="57"/>
  <c r="L160" i="57"/>
  <c r="J24" i="57"/>
  <c r="B184" i="57"/>
  <c r="D8" i="57"/>
  <c r="H340" i="57"/>
  <c r="H285" i="57"/>
  <c r="H198" i="57"/>
  <c r="B261" i="57"/>
  <c r="F336" i="57"/>
  <c r="L275" i="57"/>
  <c r="J31" i="57"/>
  <c r="E185" i="57"/>
  <c r="F85" i="57"/>
  <c r="B327" i="57"/>
  <c r="B333" i="57"/>
  <c r="F250" i="57"/>
  <c r="K80" i="57"/>
  <c r="P305" i="57"/>
  <c r="H249" i="57"/>
  <c r="L132" i="57"/>
  <c r="H34" i="57"/>
  <c r="O193" i="57"/>
  <c r="N45" i="57"/>
  <c r="H315" i="57"/>
  <c r="K158" i="57"/>
  <c r="F18" i="57"/>
  <c r="P38" i="57"/>
  <c r="F295" i="57"/>
  <c r="O35" i="57"/>
  <c r="F176" i="57"/>
  <c r="P180" i="57"/>
  <c r="O164" i="57"/>
  <c r="F236" i="57"/>
  <c r="M318" i="57"/>
  <c r="K93" i="57"/>
  <c r="B72" i="57"/>
  <c r="B347" i="57"/>
  <c r="K77" i="57"/>
  <c r="M302" i="57"/>
  <c r="I254" i="57"/>
  <c r="G16" i="57"/>
  <c r="K99" i="57"/>
  <c r="L272" i="57"/>
  <c r="H119" i="57"/>
  <c r="E67" i="57"/>
  <c r="J71" i="57"/>
  <c r="B219" i="57"/>
  <c r="K336" i="57"/>
  <c r="P127" i="57"/>
  <c r="P262" i="57"/>
  <c r="O340" i="57"/>
  <c r="M112" i="57"/>
  <c r="L332" i="57"/>
  <c r="F181" i="57"/>
  <c r="O225" i="57"/>
  <c r="N331" i="57"/>
  <c r="N217" i="57"/>
  <c r="E347" i="57"/>
  <c r="P310" i="57"/>
  <c r="H256" i="57"/>
  <c r="O284" i="57"/>
  <c r="N161" i="57"/>
  <c r="G147" i="57"/>
  <c r="O208" i="57"/>
  <c r="B62" i="57"/>
  <c r="B285" i="57"/>
  <c r="F95" i="57"/>
  <c r="H120" i="57"/>
  <c r="E327" i="57"/>
  <c r="P274" i="57"/>
  <c r="E21" i="57"/>
  <c r="K188" i="57"/>
  <c r="H46" i="57"/>
  <c r="D237" i="57"/>
  <c r="J139" i="57"/>
  <c r="C115" i="57"/>
  <c r="L323" i="57"/>
  <c r="O18" i="57"/>
  <c r="J49" i="57"/>
  <c r="J50" i="57"/>
  <c r="D189" i="57"/>
  <c r="L251" i="57"/>
  <c r="D81" i="57"/>
  <c r="C276" i="57"/>
  <c r="P307" i="57"/>
  <c r="F39" i="57"/>
  <c r="I303" i="57"/>
  <c r="B187" i="57"/>
  <c r="O11" i="57"/>
  <c r="M320" i="57"/>
  <c r="E30" i="57"/>
  <c r="O83" i="57"/>
  <c r="J202" i="57"/>
  <c r="C257" i="57"/>
  <c r="L86" i="57"/>
  <c r="J115" i="57"/>
  <c r="L25" i="57"/>
  <c r="C44" i="57"/>
  <c r="F198" i="57"/>
  <c r="N34" i="57"/>
  <c r="B200" i="57"/>
  <c r="J213" i="57"/>
  <c r="D135" i="57"/>
  <c r="N275" i="57"/>
  <c r="J231" i="57"/>
  <c r="J243" i="57"/>
  <c r="B78" i="57"/>
  <c r="E213" i="57"/>
  <c r="J131" i="57"/>
  <c r="G102" i="57"/>
  <c r="B161" i="57"/>
  <c r="N126" i="57"/>
  <c r="D22" i="57"/>
  <c r="E206" i="57"/>
  <c r="L235" i="57"/>
  <c r="K259" i="57"/>
  <c r="L298" i="57"/>
  <c r="H178" i="57"/>
  <c r="M97" i="57"/>
  <c r="M220" i="57"/>
  <c r="C65" i="57"/>
  <c r="K180" i="57"/>
  <c r="E178" i="57"/>
  <c r="E226" i="57"/>
  <c r="P185" i="57"/>
  <c r="I327" i="57"/>
  <c r="D188" i="57"/>
  <c r="P312" i="57"/>
  <c r="G121" i="57"/>
  <c r="K70" i="57"/>
  <c r="I33" i="57"/>
  <c r="G294" i="57"/>
  <c r="G67" i="57"/>
  <c r="O111" i="57"/>
  <c r="E290" i="57"/>
  <c r="K60" i="57"/>
  <c r="L348" i="57"/>
  <c r="M174" i="57"/>
  <c r="L225" i="57"/>
  <c r="N88" i="57"/>
  <c r="F271" i="57"/>
  <c r="B34" i="57"/>
  <c r="P146" i="57"/>
  <c r="M20" i="57"/>
  <c r="P136" i="57"/>
  <c r="P196" i="57"/>
  <c r="K109" i="57"/>
  <c r="O207" i="57"/>
  <c r="O316" i="57"/>
  <c r="G11" i="57"/>
  <c r="P331" i="57"/>
  <c r="N79" i="57"/>
  <c r="H196" i="57"/>
  <c r="P18" i="57"/>
  <c r="O310" i="57"/>
  <c r="K326" i="57"/>
  <c r="O81" i="57"/>
  <c r="E320" i="57"/>
  <c r="D223" i="57"/>
  <c r="O49" i="57"/>
  <c r="P74" i="57"/>
  <c r="B254" i="57"/>
  <c r="J269" i="57"/>
  <c r="K49" i="57"/>
  <c r="N196" i="57"/>
  <c r="H223" i="57"/>
  <c r="K150" i="57"/>
  <c r="P72" i="57"/>
  <c r="F175" i="57"/>
  <c r="P199" i="57"/>
  <c r="G153" i="57"/>
  <c r="I224" i="57"/>
  <c r="F239" i="57"/>
  <c r="D143" i="57"/>
  <c r="J55" i="57"/>
  <c r="F311" i="57"/>
  <c r="P191" i="57"/>
  <c r="O88" i="57"/>
  <c r="J180" i="57"/>
  <c r="O184" i="57"/>
  <c r="B246" i="57"/>
  <c r="N237" i="57"/>
  <c r="C14" i="57"/>
  <c r="E253" i="57"/>
  <c r="N175" i="57"/>
  <c r="H305" i="57"/>
  <c r="C57" i="57"/>
  <c r="M238" i="57"/>
  <c r="B40" i="57"/>
  <c r="K248" i="57"/>
  <c r="N86" i="57"/>
  <c r="J58" i="57"/>
  <c r="L75" i="57"/>
  <c r="D24" i="57"/>
  <c r="K54" i="57"/>
  <c r="J170" i="57"/>
  <c r="L170" i="57"/>
  <c r="N39" i="57"/>
  <c r="B267" i="57"/>
  <c r="J51" i="57"/>
  <c r="G39" i="57"/>
  <c r="P105" i="57"/>
  <c r="H344" i="57"/>
  <c r="D33" i="57"/>
  <c r="E172" i="57"/>
  <c r="C302" i="57"/>
  <c r="D285" i="57"/>
  <c r="K92" i="57"/>
  <c r="G10" i="57"/>
  <c r="C79" i="57"/>
  <c r="O314" i="57"/>
  <c r="B176" i="57"/>
  <c r="H194" i="57"/>
  <c r="I206" i="57"/>
  <c r="J120" i="57"/>
  <c r="C234" i="57"/>
  <c r="N94" i="57"/>
  <c r="O24" i="57"/>
  <c r="I47" i="57"/>
  <c r="I141" i="57"/>
  <c r="D83" i="57"/>
  <c r="M144" i="57"/>
  <c r="K258" i="57"/>
  <c r="M221" i="57"/>
  <c r="O96" i="57"/>
  <c r="D115" i="57"/>
  <c r="K318" i="57"/>
  <c r="O317" i="57"/>
  <c r="G152" i="57"/>
  <c r="C144" i="57"/>
  <c r="D313" i="57"/>
  <c r="G280" i="57"/>
  <c r="L153" i="57"/>
  <c r="H166" i="57"/>
  <c r="P248" i="57"/>
  <c r="I203" i="57"/>
  <c r="C143" i="57"/>
  <c r="H58" i="57"/>
  <c r="I65" i="57"/>
  <c r="D165" i="57"/>
  <c r="K325" i="57"/>
  <c r="M295" i="57"/>
  <c r="I30" i="57"/>
  <c r="H150" i="57"/>
  <c r="D139" i="57"/>
  <c r="O42" i="57"/>
  <c r="P214" i="57"/>
  <c r="E262" i="57"/>
  <c r="N72" i="57"/>
  <c r="K19" i="57"/>
  <c r="O255" i="57"/>
  <c r="K228" i="57"/>
  <c r="L290" i="57"/>
  <c r="N216" i="57"/>
  <c r="K209" i="57"/>
  <c r="K337" i="57"/>
  <c r="B39" i="57"/>
  <c r="B14" i="57"/>
  <c r="I39" i="57"/>
  <c r="L195" i="57"/>
  <c r="I245" i="57"/>
  <c r="P236" i="57"/>
  <c r="I96" i="57"/>
  <c r="C252" i="57"/>
  <c r="N206" i="57"/>
  <c r="H222" i="57"/>
  <c r="I268" i="57"/>
  <c r="E52" i="57"/>
  <c r="F217" i="57"/>
  <c r="F87" i="57"/>
  <c r="N318" i="57"/>
  <c r="L119" i="57"/>
  <c r="H48" i="57"/>
  <c r="K161" i="57"/>
  <c r="H172" i="57"/>
  <c r="L175" i="57"/>
  <c r="O153" i="57"/>
  <c r="P172" i="57"/>
  <c r="G79" i="57"/>
  <c r="O10" i="57"/>
  <c r="G55" i="57"/>
  <c r="C337" i="57"/>
  <c r="E47" i="57"/>
  <c r="C242" i="57"/>
  <c r="C60" i="57"/>
  <c r="L128" i="57"/>
  <c r="P268" i="57"/>
  <c r="I340" i="57"/>
  <c r="N220" i="57"/>
  <c r="E42" i="57"/>
  <c r="P20" i="57"/>
  <c r="P102" i="57"/>
  <c r="D113" i="57"/>
  <c r="C97" i="57"/>
  <c r="L23" i="57"/>
  <c r="M212" i="57"/>
  <c r="D290" i="57"/>
  <c r="P56" i="57"/>
  <c r="L302" i="57"/>
  <c r="D303" i="57"/>
  <c r="E221" i="57"/>
  <c r="P149" i="57"/>
  <c r="C212" i="57"/>
  <c r="N134" i="57"/>
  <c r="M222" i="57"/>
  <c r="C195" i="57"/>
  <c r="F172" i="57"/>
  <c r="H317" i="57"/>
  <c r="B163" i="57"/>
  <c r="O250" i="57"/>
  <c r="P299" i="57"/>
  <c r="G137" i="57"/>
  <c r="H82" i="57"/>
  <c r="I326" i="57"/>
  <c r="G52" i="57"/>
  <c r="M110" i="57"/>
  <c r="G59" i="57"/>
  <c r="J88" i="57"/>
  <c r="P242" i="57"/>
  <c r="O157" i="57"/>
  <c r="G91" i="57"/>
  <c r="F153" i="57"/>
  <c r="N290" i="57"/>
  <c r="D76" i="57"/>
  <c r="F72" i="57"/>
  <c r="B198" i="57"/>
  <c r="I167" i="57"/>
  <c r="F212" i="57"/>
  <c r="G100" i="57"/>
  <c r="B291" i="57"/>
  <c r="K347" i="57"/>
  <c r="O318" i="57"/>
  <c r="N55" i="57"/>
  <c r="N93" i="57"/>
  <c r="M209" i="57"/>
  <c r="G236" i="57"/>
  <c r="O75" i="57"/>
  <c r="J141" i="57"/>
  <c r="D192" i="57"/>
  <c r="C342" i="57"/>
  <c r="C206" i="57"/>
  <c r="J13" i="57"/>
  <c r="O12" i="57"/>
  <c r="K216" i="57"/>
  <c r="K316" i="57"/>
  <c r="O63" i="57"/>
  <c r="H325" i="57"/>
  <c r="D54" i="57"/>
  <c r="M176" i="57"/>
  <c r="O300" i="57"/>
  <c r="P261" i="57"/>
  <c r="M307" i="57"/>
  <c r="H51" i="57"/>
  <c r="J302" i="57"/>
  <c r="F41" i="57"/>
  <c r="P50" i="57"/>
  <c r="E297" i="57"/>
  <c r="F69" i="57"/>
  <c r="B268" i="57"/>
  <c r="N27" i="57"/>
  <c r="J22" i="57"/>
  <c r="E252" i="57"/>
  <c r="F52" i="57"/>
  <c r="N204" i="57"/>
  <c r="P223" i="57"/>
  <c r="E56" i="57"/>
  <c r="C317" i="57"/>
  <c r="C146" i="57"/>
  <c r="J129" i="57"/>
  <c r="M117" i="57"/>
  <c r="E127" i="57"/>
  <c r="K149" i="57"/>
  <c r="M339" i="57"/>
  <c r="K59" i="57"/>
  <c r="J220" i="57"/>
  <c r="B29" i="57"/>
  <c r="D318" i="57"/>
  <c r="C33" i="57"/>
  <c r="K20" i="57"/>
  <c r="K239" i="57"/>
  <c r="D166" i="57"/>
  <c r="M283" i="57"/>
  <c r="B143" i="57"/>
  <c r="L164" i="57"/>
  <c r="L32" i="57"/>
  <c r="O227" i="57"/>
  <c r="H66" i="57"/>
  <c r="I90" i="57"/>
  <c r="B289" i="57"/>
  <c r="P329" i="57"/>
  <c r="G86" i="57"/>
  <c r="O276" i="57"/>
  <c r="J337" i="57"/>
  <c r="C28" i="57"/>
  <c r="J158" i="57"/>
  <c r="F200" i="57"/>
  <c r="I335" i="57"/>
  <c r="H229" i="57"/>
  <c r="G336" i="57"/>
  <c r="J325" i="57"/>
  <c r="J128" i="57"/>
  <c r="F323" i="57"/>
  <c r="B30" i="57"/>
  <c r="B140" i="57"/>
  <c r="O95" i="57"/>
  <c r="F264" i="57"/>
  <c r="J184" i="57"/>
  <c r="D91" i="57"/>
  <c r="I333" i="57"/>
  <c r="E236" i="57"/>
  <c r="N324" i="57"/>
  <c r="B147" i="57"/>
  <c r="H32" i="57"/>
  <c r="L150" i="57"/>
  <c r="B66" i="57"/>
  <c r="L200" i="57"/>
  <c r="K26" i="57"/>
  <c r="B258" i="57"/>
  <c r="B288" i="57"/>
  <c r="G296" i="57"/>
  <c r="P48" i="57"/>
  <c r="K275" i="57"/>
  <c r="O190" i="57"/>
  <c r="H225" i="57"/>
  <c r="B141" i="57"/>
  <c r="E212" i="57"/>
  <c r="F314" i="57"/>
  <c r="I93" i="57"/>
  <c r="M203" i="57"/>
  <c r="G90" i="57"/>
  <c r="E171" i="57"/>
  <c r="K333" i="57"/>
  <c r="E245" i="57"/>
  <c r="I251" i="57"/>
  <c r="D336" i="57"/>
  <c r="N198" i="57"/>
  <c r="E43" i="57"/>
  <c r="L340" i="57"/>
  <c r="F154" i="57"/>
  <c r="E54" i="57"/>
  <c r="H31" i="57"/>
  <c r="K95" i="57"/>
  <c r="B220" i="57"/>
  <c r="F309" i="57"/>
  <c r="M130" i="57"/>
  <c r="E109" i="57"/>
  <c r="B190" i="57"/>
  <c r="G70" i="57"/>
  <c r="O346" i="57"/>
  <c r="P298" i="57"/>
  <c r="G57" i="57"/>
  <c r="O182" i="57"/>
  <c r="N9" i="57"/>
  <c r="F26" i="57"/>
  <c r="M263" i="57"/>
  <c r="D242" i="57"/>
  <c r="E312" i="57"/>
  <c r="E184" i="57"/>
  <c r="G260" i="57"/>
  <c r="I134" i="57"/>
  <c r="C42" i="57"/>
  <c r="F197" i="57"/>
  <c r="O200" i="57"/>
  <c r="B124" i="57"/>
  <c r="I57" i="57"/>
  <c r="B55" i="57"/>
  <c r="F70" i="57"/>
  <c r="B109" i="57"/>
  <c r="H179" i="57"/>
  <c r="E132" i="57"/>
  <c r="I38" i="57"/>
  <c r="J140" i="57"/>
  <c r="L126" i="57"/>
  <c r="J107" i="57"/>
  <c r="L189" i="57"/>
  <c r="D40" i="57"/>
  <c r="K128" i="57"/>
  <c r="M104" i="57"/>
  <c r="I15" i="57"/>
  <c r="D67" i="57"/>
  <c r="C282" i="57"/>
  <c r="O253" i="57"/>
  <c r="J172" i="57"/>
  <c r="P64" i="57"/>
  <c r="D164" i="57"/>
  <c r="E256" i="57"/>
  <c r="C255" i="57"/>
  <c r="D109" i="57"/>
  <c r="M344" i="57"/>
  <c r="D160" i="57"/>
  <c r="F213" i="57"/>
  <c r="G120" i="57"/>
  <c r="C259" i="57"/>
  <c r="M101" i="57"/>
  <c r="B201" i="57"/>
  <c r="G258" i="57"/>
  <c r="D234" i="57"/>
  <c r="I50" i="57"/>
  <c r="G262" i="57"/>
  <c r="H279" i="57"/>
  <c r="L347" i="57"/>
  <c r="D262" i="57"/>
  <c r="G174" i="57"/>
  <c r="J207" i="57"/>
  <c r="L41" i="57"/>
  <c r="C346" i="57"/>
  <c r="G96" i="57"/>
  <c r="P256" i="57"/>
  <c r="M289" i="57"/>
  <c r="K18" i="57"/>
  <c r="D208" i="57"/>
  <c r="J236" i="57"/>
  <c r="O36" i="57"/>
  <c r="D244" i="57"/>
  <c r="P132" i="57"/>
  <c r="J272" i="57"/>
  <c r="F265" i="57"/>
  <c r="M248" i="57"/>
  <c r="L345" i="57"/>
  <c r="F134" i="57"/>
  <c r="O212" i="57"/>
  <c r="H142" i="57"/>
  <c r="E77" i="57"/>
  <c r="F126" i="57"/>
  <c r="G167" i="57"/>
  <c r="H156" i="57"/>
  <c r="N151" i="57"/>
  <c r="M168" i="57"/>
  <c r="H204" i="57"/>
  <c r="N176" i="57"/>
  <c r="K290" i="57"/>
  <c r="L222" i="57"/>
  <c r="M304" i="57"/>
  <c r="P175" i="57"/>
  <c r="H218" i="57"/>
  <c r="F58" i="57"/>
  <c r="K162" i="57"/>
  <c r="L206" i="57"/>
  <c r="K41" i="57"/>
  <c r="E34" i="57"/>
  <c r="G95" i="57"/>
  <c r="J18" i="57"/>
  <c r="N11" i="57"/>
  <c r="J43" i="57"/>
  <c r="D78" i="57"/>
  <c r="O27" i="57"/>
  <c r="M17" i="57"/>
  <c r="G115" i="57"/>
  <c r="C190" i="57"/>
  <c r="F245" i="57"/>
  <c r="G307" i="57"/>
  <c r="H40" i="57"/>
  <c r="H310" i="57"/>
  <c r="I225" i="57"/>
  <c r="I146" i="57"/>
  <c r="E88" i="57"/>
  <c r="L161" i="57"/>
  <c r="C90" i="57"/>
  <c r="J333" i="57"/>
  <c r="P304" i="57"/>
  <c r="J38" i="57"/>
  <c r="F164" i="57"/>
  <c r="E223" i="57"/>
  <c r="C155" i="57"/>
  <c r="H211" i="57"/>
  <c r="P293" i="57"/>
  <c r="P207" i="57"/>
  <c r="P347" i="57"/>
  <c r="O206" i="57"/>
  <c r="F301" i="57"/>
  <c r="O68" i="57"/>
  <c r="L129" i="57"/>
  <c r="I248" i="57"/>
  <c r="P153" i="57"/>
  <c r="B203" i="57"/>
  <c r="L343" i="57"/>
  <c r="O149" i="57"/>
  <c r="F190" i="57"/>
  <c r="F339" i="57"/>
  <c r="H129" i="57"/>
  <c r="P235" i="57"/>
  <c r="P54" i="57"/>
  <c r="N61" i="57"/>
  <c r="C246" i="57"/>
  <c r="H257" i="57"/>
  <c r="M315" i="57"/>
  <c r="L307" i="57"/>
  <c r="M170" i="57"/>
  <c r="L70" i="57"/>
  <c r="I105" i="57"/>
  <c r="I188" i="57"/>
  <c r="C267" i="57"/>
  <c r="P249" i="57"/>
  <c r="O99" i="57"/>
  <c r="O169" i="57"/>
  <c r="D15" i="57"/>
  <c r="F294" i="57"/>
  <c r="O45" i="57"/>
  <c r="F145" i="57"/>
  <c r="B77" i="57"/>
  <c r="H64" i="57"/>
  <c r="O67" i="57"/>
  <c r="K254" i="57"/>
  <c r="J91" i="57"/>
  <c r="P71" i="57"/>
  <c r="B301" i="57"/>
  <c r="P108" i="57"/>
  <c r="P107" i="57"/>
  <c r="B15" i="57"/>
  <c r="J159" i="57"/>
  <c r="C186" i="57"/>
  <c r="H272" i="57"/>
  <c r="K201" i="57"/>
  <c r="I43" i="57"/>
  <c r="J225" i="57"/>
  <c r="J11" i="57"/>
  <c r="P188" i="57"/>
  <c r="I255" i="57"/>
  <c r="C177" i="57"/>
  <c r="O183" i="57"/>
  <c r="B185" i="57"/>
  <c r="B138" i="57"/>
  <c r="C204" i="57"/>
  <c r="K270" i="57"/>
  <c r="G321" i="57"/>
  <c r="P151" i="57"/>
  <c r="L50" i="57"/>
  <c r="F97" i="57"/>
  <c r="O145" i="57"/>
  <c r="F118" i="57"/>
  <c r="H243" i="57"/>
  <c r="P345" i="57"/>
  <c r="D158" i="57"/>
  <c r="H45" i="57"/>
  <c r="I185" i="57"/>
  <c r="I218" i="57"/>
  <c r="I258" i="57"/>
  <c r="K213" i="57"/>
  <c r="P184" i="57"/>
  <c r="L186" i="57"/>
  <c r="G237" i="57"/>
  <c r="B183" i="57"/>
  <c r="I342" i="57"/>
  <c r="J256" i="57"/>
  <c r="M235" i="57"/>
  <c r="I31" i="57"/>
  <c r="N208" i="57"/>
  <c r="H238" i="57"/>
  <c r="E94" i="57"/>
  <c r="J73" i="57"/>
  <c r="H159" i="57"/>
  <c r="M206" i="57"/>
  <c r="C308" i="57"/>
  <c r="M141" i="57"/>
  <c r="B182" i="57"/>
  <c r="J281" i="57"/>
  <c r="O249" i="57"/>
  <c r="M148" i="57"/>
  <c r="J292" i="57"/>
  <c r="D326" i="57"/>
  <c r="O267" i="57"/>
  <c r="B221" i="57"/>
  <c r="N215" i="57"/>
  <c r="N49" i="57"/>
  <c r="G222" i="57"/>
  <c r="L188" i="57"/>
  <c r="L212" i="57"/>
  <c r="H62" i="57"/>
  <c r="L338" i="57"/>
  <c r="P36" i="57"/>
  <c r="O17" i="57"/>
  <c r="J266" i="57"/>
  <c r="O162" i="57"/>
  <c r="B273" i="57"/>
  <c r="D337" i="57"/>
  <c r="I287" i="57"/>
  <c r="C221" i="57"/>
  <c r="F54" i="57"/>
  <c r="D206" i="57"/>
  <c r="K64" i="57"/>
  <c r="N246" i="57"/>
  <c r="G249" i="57"/>
  <c r="N229" i="57"/>
  <c r="B215" i="57"/>
  <c r="C335" i="57"/>
  <c r="B330" i="57"/>
  <c r="O85" i="57"/>
  <c r="G304" i="57"/>
  <c r="M336" i="57"/>
  <c r="E259" i="57"/>
  <c r="I301" i="57"/>
  <c r="C304" i="57"/>
  <c r="K264" i="57"/>
  <c r="N101" i="57"/>
  <c r="P159" i="57"/>
  <c r="N90" i="57"/>
  <c r="F291" i="57"/>
  <c r="C133" i="57"/>
  <c r="I341" i="57"/>
  <c r="K340" i="57"/>
  <c r="H191" i="57"/>
  <c r="P192" i="57"/>
  <c r="N282" i="57"/>
  <c r="O241" i="57"/>
  <c r="M288" i="57"/>
  <c r="K249" i="57"/>
  <c r="N83" i="57"/>
  <c r="F106" i="57"/>
  <c r="G51" i="57"/>
  <c r="P103" i="57"/>
  <c r="I348" i="57"/>
  <c r="E267" i="57"/>
  <c r="M271" i="57"/>
  <c r="M128" i="57"/>
  <c r="H132" i="57"/>
  <c r="O288" i="57"/>
  <c r="P289" i="57"/>
  <c r="M113" i="57"/>
  <c r="D203" i="57"/>
  <c r="D121" i="57"/>
  <c r="J40" i="57"/>
  <c r="I209" i="57"/>
  <c r="O66" i="57"/>
  <c r="L279" i="57"/>
  <c r="G338" i="57"/>
  <c r="N30" i="57"/>
  <c r="O192" i="57"/>
  <c r="H63" i="57"/>
  <c r="B283" i="57"/>
  <c r="C43" i="57"/>
  <c r="P292" i="57"/>
  <c r="I73" i="57"/>
  <c r="F103" i="57"/>
  <c r="P334" i="57"/>
  <c r="D80" i="57"/>
  <c r="F17" i="57"/>
  <c r="E307" i="57"/>
  <c r="J63" i="57"/>
  <c r="F232" i="57"/>
  <c r="L337" i="57"/>
  <c r="G278" i="57"/>
  <c r="D26" i="57"/>
  <c r="K287" i="57"/>
  <c r="M69" i="57"/>
  <c r="E269" i="57"/>
  <c r="P281" i="57"/>
  <c r="C52" i="57"/>
  <c r="P300" i="57"/>
  <c r="L329" i="57"/>
  <c r="C277" i="57"/>
  <c r="J113" i="57"/>
  <c r="N310" i="57"/>
  <c r="I82" i="57"/>
  <c r="M208" i="57"/>
  <c r="D304" i="57"/>
  <c r="P80" i="57"/>
  <c r="H267" i="57"/>
  <c r="P21" i="57"/>
  <c r="I132" i="57"/>
  <c r="C239" i="57"/>
  <c r="H138" i="57"/>
  <c r="O37" i="57"/>
  <c r="D279" i="57"/>
  <c r="H197" i="57"/>
  <c r="P14" i="57"/>
  <c r="C46" i="57"/>
  <c r="M306" i="57"/>
  <c r="C275" i="57"/>
  <c r="M331" i="57"/>
  <c r="C13" i="57"/>
  <c r="P253" i="57"/>
  <c r="I25" i="57"/>
  <c r="I133" i="57"/>
  <c r="L248" i="57"/>
  <c r="M150" i="57"/>
  <c r="F186" i="57"/>
  <c r="E86" i="57"/>
  <c r="F346" i="57"/>
  <c r="O56" i="57"/>
  <c r="G309" i="57"/>
  <c r="D264" i="57"/>
  <c r="D170" i="57"/>
  <c r="H202" i="57"/>
  <c r="I272" i="57"/>
  <c r="I242" i="57"/>
  <c r="O32" i="57"/>
  <c r="L319" i="57"/>
  <c r="M109" i="57"/>
  <c r="I222" i="57"/>
  <c r="F90" i="57"/>
  <c r="F193" i="57"/>
  <c r="D51" i="57"/>
  <c r="L64" i="57"/>
  <c r="N33" i="57"/>
  <c r="P244" i="57"/>
  <c r="O203" i="57"/>
  <c r="N110" i="57"/>
  <c r="P91" i="57"/>
  <c r="J146" i="57"/>
  <c r="K220" i="57"/>
  <c r="N335" i="57"/>
  <c r="H203" i="57"/>
  <c r="F205" i="57"/>
  <c r="N104" i="57"/>
  <c r="F143" i="57"/>
  <c r="E12" i="57"/>
  <c r="N247" i="57"/>
  <c r="N52" i="57"/>
  <c r="B68" i="57"/>
  <c r="P313" i="57"/>
  <c r="O188" i="57"/>
  <c r="J175" i="57"/>
  <c r="M120" i="57"/>
  <c r="J178" i="57"/>
  <c r="D209" i="57"/>
  <c r="E331" i="57"/>
  <c r="J303" i="57"/>
  <c r="N209" i="57"/>
  <c r="H297" i="57"/>
  <c r="M36" i="57"/>
  <c r="J320" i="57"/>
  <c r="O110" i="57"/>
  <c r="P294" i="57"/>
  <c r="F168" i="57"/>
  <c r="P156" i="57"/>
  <c r="H157" i="57"/>
  <c r="N276" i="57"/>
  <c r="E187" i="57"/>
  <c r="I75" i="57"/>
  <c r="D200" i="57"/>
  <c r="L31" i="57"/>
  <c r="F122" i="57"/>
  <c r="N348" i="57"/>
  <c r="L107" i="57"/>
  <c r="F303" i="57"/>
  <c r="M43" i="57"/>
  <c r="J304" i="57"/>
  <c r="K279" i="57"/>
  <c r="C159" i="57"/>
  <c r="E176" i="57"/>
  <c r="N191" i="57"/>
  <c r="K344" i="57"/>
  <c r="P150" i="57"/>
  <c r="F34" i="57"/>
  <c r="D268" i="57"/>
  <c r="J138" i="57"/>
  <c r="C298" i="57"/>
  <c r="E161" i="57"/>
  <c r="M335" i="57"/>
  <c r="O313" i="57"/>
  <c r="F340" i="57"/>
  <c r="O44" i="57"/>
  <c r="N218" i="57"/>
  <c r="B122" i="57"/>
  <c r="E182" i="57"/>
  <c r="M161" i="57"/>
  <c r="I166" i="57"/>
  <c r="H226" i="57"/>
  <c r="G54" i="57"/>
  <c r="B195" i="57"/>
  <c r="E116" i="57"/>
  <c r="B212" i="57"/>
  <c r="G189" i="57"/>
  <c r="E174" i="57"/>
  <c r="B22" i="57"/>
  <c r="K22" i="57"/>
  <c r="C285" i="57"/>
  <c r="D45" i="57"/>
  <c r="G108" i="57"/>
  <c r="H13" i="57"/>
  <c r="L96" i="57"/>
  <c r="P16" i="57"/>
  <c r="D52" i="57"/>
  <c r="L297" i="57"/>
  <c r="E9" i="57"/>
  <c r="N63" i="57"/>
  <c r="E189" i="57"/>
  <c r="L261" i="57"/>
  <c r="B59" i="57"/>
  <c r="E317" i="57"/>
  <c r="C122" i="57"/>
  <c r="I19" i="57"/>
  <c r="K17" i="57"/>
  <c r="L346" i="57"/>
  <c r="K277" i="57"/>
  <c r="H76" i="57"/>
  <c r="M250" i="57"/>
  <c r="G89" i="57"/>
  <c r="M247" i="57"/>
  <c r="L125" i="57"/>
  <c r="E131" i="57"/>
  <c r="E197" i="57"/>
  <c r="P125" i="57"/>
  <c r="N125" i="57"/>
  <c r="M213" i="57"/>
  <c r="E50" i="57"/>
  <c r="D236" i="57"/>
  <c r="G170" i="57"/>
  <c r="E111" i="57"/>
  <c r="H235" i="57"/>
  <c r="E280" i="57"/>
  <c r="O189" i="57"/>
  <c r="G20" i="57"/>
  <c r="K44" i="57"/>
  <c r="M309" i="57"/>
  <c r="J45" i="57"/>
  <c r="O129" i="57"/>
  <c r="B86" i="57"/>
  <c r="F324" i="57"/>
  <c r="N231" i="57"/>
  <c r="L66" i="57"/>
  <c r="F57" i="57"/>
  <c r="J143" i="57"/>
  <c r="H174" i="57"/>
  <c r="E249" i="57"/>
  <c r="D251" i="57"/>
  <c r="O291" i="57"/>
  <c r="L182" i="57"/>
  <c r="E275" i="57"/>
  <c r="O28" i="57"/>
  <c r="E345" i="57"/>
  <c r="F40" i="57"/>
  <c r="J166" i="57"/>
  <c r="G233" i="57"/>
  <c r="B35" i="57"/>
  <c r="M21" i="57"/>
  <c r="L210" i="57"/>
  <c r="J79" i="57"/>
  <c r="H93" i="57"/>
  <c r="F337" i="57"/>
  <c r="L270" i="57"/>
  <c r="P95" i="57"/>
  <c r="D347" i="57"/>
  <c r="K329" i="57"/>
  <c r="F215" i="57"/>
  <c r="M28" i="57"/>
  <c r="N212" i="57"/>
  <c r="N343" i="57"/>
  <c r="M124" i="57"/>
  <c r="L79" i="57"/>
  <c r="H183" i="57"/>
  <c r="J252" i="57"/>
  <c r="F139" i="57"/>
  <c r="C293" i="57"/>
  <c r="O123" i="57"/>
  <c r="J262" i="57"/>
  <c r="C66" i="57"/>
  <c r="J242" i="57"/>
  <c r="J218" i="57"/>
  <c r="O19" i="57"/>
  <c r="E194" i="57"/>
  <c r="B213" i="57"/>
  <c r="P341" i="57"/>
  <c r="I53" i="57"/>
  <c r="G178" i="57"/>
  <c r="O254" i="57"/>
  <c r="B263" i="57"/>
  <c r="G242" i="57"/>
  <c r="B157" i="57"/>
  <c r="I45" i="57"/>
  <c r="J241" i="57"/>
  <c r="H165" i="57"/>
  <c r="I220" i="57"/>
  <c r="G78" i="57"/>
  <c r="H55" i="57"/>
  <c r="G275" i="57"/>
  <c r="M258" i="57"/>
  <c r="G112" i="57"/>
  <c r="D317" i="57"/>
  <c r="E10" i="57"/>
  <c r="E264" i="57"/>
  <c r="H56" i="57"/>
  <c r="L255" i="57"/>
  <c r="B169" i="57"/>
  <c r="H41" i="57"/>
  <c r="C91" i="57"/>
  <c r="P318" i="57"/>
  <c r="E8" i="57"/>
  <c r="B42" i="57"/>
  <c r="K255" i="57"/>
  <c r="C88" i="57"/>
  <c r="I122" i="57"/>
  <c r="K147" i="57"/>
  <c r="I247" i="57"/>
  <c r="E57" i="57"/>
  <c r="N293" i="57"/>
  <c r="D238" i="57"/>
  <c r="C89" i="57"/>
  <c r="G111" i="57"/>
  <c r="F246" i="57"/>
  <c r="B322" i="57"/>
  <c r="H65" i="57"/>
  <c r="M44" i="57"/>
  <c r="K140" i="57"/>
  <c r="J41" i="57"/>
  <c r="M189" i="57"/>
  <c r="D319" i="57"/>
  <c r="H255" i="57"/>
  <c r="P17" i="57"/>
  <c r="I139" i="57"/>
  <c r="I156" i="57"/>
  <c r="N251" i="57"/>
  <c r="L18" i="57"/>
  <c r="O119" i="57"/>
  <c r="D220" i="57"/>
  <c r="N207" i="57"/>
  <c r="D23" i="57"/>
  <c r="H304" i="57"/>
  <c r="P202" i="57"/>
  <c r="L19" i="57"/>
  <c r="M156" i="57"/>
  <c r="E282" i="57"/>
  <c r="P134" i="57"/>
  <c r="B10" i="57"/>
  <c r="C77" i="57"/>
  <c r="B173" i="57"/>
  <c r="N281" i="57"/>
  <c r="H205" i="57"/>
  <c r="D100" i="57"/>
  <c r="J196" i="57"/>
  <c r="N48" i="57"/>
  <c r="N285" i="57"/>
  <c r="H328" i="57"/>
  <c r="D176" i="57"/>
  <c r="O59" i="57"/>
  <c r="L112" i="57"/>
  <c r="B20" i="57"/>
  <c r="I223" i="57"/>
  <c r="K53" i="57"/>
  <c r="O163" i="57"/>
  <c r="M86" i="57"/>
  <c r="N156" i="57"/>
  <c r="J69" i="57"/>
  <c r="G31" i="57"/>
  <c r="K122" i="57"/>
  <c r="E135" i="57"/>
  <c r="F243" i="57"/>
  <c r="C175" i="57"/>
  <c r="B227" i="57"/>
  <c r="H136" i="57"/>
  <c r="L256" i="57"/>
  <c r="J72" i="57"/>
  <c r="D88" i="57"/>
  <c r="J288" i="57"/>
  <c r="I263" i="57"/>
  <c r="J169" i="57"/>
  <c r="E25" i="57"/>
  <c r="D72" i="57"/>
  <c r="E139" i="57"/>
  <c r="I293" i="57"/>
  <c r="O334" i="57"/>
  <c r="I234" i="57"/>
  <c r="M268" i="57"/>
  <c r="G314" i="57"/>
  <c r="E293" i="57"/>
  <c r="K214" i="57"/>
  <c r="H148" i="57"/>
  <c r="B178" i="57"/>
  <c r="E18" i="57"/>
  <c r="H294" i="57"/>
  <c r="M257" i="57"/>
  <c r="C300" i="57"/>
  <c r="I235" i="57"/>
  <c r="J338" i="57"/>
  <c r="D348" i="57"/>
  <c r="E164" i="57"/>
  <c r="C142" i="57"/>
  <c r="M62" i="57"/>
  <c r="F242" i="57"/>
  <c r="E92" i="57"/>
  <c r="O348" i="57"/>
  <c r="L97" i="57"/>
  <c r="H250" i="57"/>
  <c r="M82" i="57"/>
  <c r="B310" i="57"/>
  <c r="J321" i="57"/>
  <c r="D263" i="57"/>
  <c r="J278" i="57"/>
  <c r="D310" i="57"/>
  <c r="K224" i="57"/>
  <c r="D287" i="57"/>
  <c r="B61" i="57"/>
  <c r="G34" i="57"/>
  <c r="I331" i="57"/>
  <c r="N119" i="57"/>
  <c r="L69" i="57"/>
  <c r="K135" i="57"/>
  <c r="C108" i="57"/>
  <c r="B70" i="57"/>
  <c r="L276" i="57"/>
  <c r="O263" i="57"/>
  <c r="B9" i="57"/>
  <c r="P93" i="57"/>
  <c r="J137" i="57"/>
  <c r="B67" i="57"/>
  <c r="K16" i="57"/>
  <c r="B328" i="57"/>
  <c r="B21" i="57"/>
  <c r="M131" i="57"/>
  <c r="P68" i="57"/>
  <c r="K294" i="57"/>
  <c r="F327" i="57"/>
  <c r="O82" i="57"/>
  <c r="K68" i="57"/>
  <c r="M165" i="57"/>
  <c r="I214" i="57"/>
  <c r="B316" i="57"/>
  <c r="O168" i="57"/>
  <c r="O177" i="57"/>
  <c r="C145" i="57"/>
  <c r="N144" i="57"/>
  <c r="D218" i="57"/>
  <c r="J308" i="57"/>
  <c r="P177" i="57"/>
  <c r="P33" i="57"/>
  <c r="O343" i="57"/>
  <c r="F81" i="57"/>
  <c r="P96" i="57"/>
  <c r="K320" i="57"/>
  <c r="K171" i="57"/>
  <c r="J81" i="57"/>
  <c r="L80" i="57"/>
  <c r="L71" i="57"/>
  <c r="F224" i="57"/>
  <c r="K185" i="57"/>
  <c r="P173" i="57"/>
  <c r="M57" i="57"/>
  <c r="K28" i="57"/>
  <c r="P51" i="57"/>
  <c r="P34" i="57"/>
  <c r="G151" i="57"/>
  <c r="O305" i="57"/>
  <c r="L300" i="57"/>
  <c r="J306" i="57"/>
  <c r="G283" i="57"/>
  <c r="G110" i="57"/>
  <c r="P160" i="57"/>
  <c r="J53" i="57"/>
  <c r="B340" i="57"/>
  <c r="G345" i="57"/>
  <c r="L105" i="57"/>
  <c r="D288" i="57"/>
  <c r="J317" i="57"/>
  <c r="I17" i="57"/>
  <c r="E129" i="57"/>
  <c r="O57" i="57"/>
  <c r="D224" i="57"/>
  <c r="C100" i="57"/>
  <c r="K29" i="57"/>
  <c r="G230" i="57"/>
  <c r="K137" i="57"/>
  <c r="H60" i="57"/>
  <c r="E82" i="57"/>
  <c r="O234" i="57"/>
  <c r="J177" i="57"/>
  <c r="J250" i="57"/>
  <c r="B345" i="57"/>
  <c r="C318" i="57"/>
  <c r="M244" i="57"/>
  <c r="O278" i="57"/>
  <c r="H52" i="57"/>
  <c r="O277" i="57"/>
  <c r="P245" i="57"/>
  <c r="P28" i="57"/>
  <c r="N181" i="57"/>
  <c r="B95" i="57"/>
  <c r="G73" i="57"/>
  <c r="N308" i="57"/>
  <c r="K289" i="57"/>
  <c r="G228" i="57"/>
  <c r="I313" i="57"/>
  <c r="K43" i="57"/>
  <c r="E234" i="57"/>
  <c r="G198" i="57"/>
  <c r="D305" i="57"/>
  <c r="K178" i="57"/>
  <c r="I221" i="57"/>
  <c r="D94" i="57"/>
  <c r="P147" i="57"/>
  <c r="E114" i="57"/>
  <c r="N320" i="57"/>
  <c r="B281" i="57"/>
  <c r="I154" i="57"/>
  <c r="N143" i="57"/>
  <c r="I147" i="57"/>
  <c r="C182" i="57"/>
  <c r="I168" i="57"/>
  <c r="N283" i="57"/>
  <c r="L35" i="57"/>
  <c r="I149" i="57"/>
  <c r="D41" i="57"/>
  <c r="P69" i="57"/>
  <c r="G232" i="57"/>
  <c r="M185" i="57"/>
  <c r="C180" i="57"/>
  <c r="M134" i="57"/>
  <c r="C154" i="57"/>
  <c r="M193" i="57"/>
  <c r="E26" i="57"/>
  <c r="M286" i="57"/>
  <c r="E276" i="57"/>
  <c r="M63" i="57"/>
  <c r="G272" i="57"/>
  <c r="O122" i="57"/>
  <c r="P301" i="57"/>
  <c r="O87" i="57"/>
  <c r="C169" i="57"/>
  <c r="H57" i="57"/>
  <c r="D153" i="57"/>
  <c r="I191" i="57"/>
  <c r="K8" i="57"/>
  <c r="P211" i="57"/>
  <c r="H244" i="57"/>
  <c r="P167" i="57"/>
  <c r="F55" i="57"/>
  <c r="O289" i="57"/>
  <c r="C253" i="57"/>
  <c r="L310" i="57"/>
  <c r="M195" i="57"/>
  <c r="M236" i="57"/>
  <c r="D210" i="57"/>
  <c r="K282" i="57"/>
  <c r="O204" i="57"/>
  <c r="K309" i="57"/>
  <c r="O216" i="57"/>
  <c r="H217" i="57"/>
  <c r="D248" i="57"/>
  <c r="H292" i="57"/>
  <c r="H79" i="57"/>
  <c r="L47" i="57"/>
  <c r="F290" i="57"/>
  <c r="I241" i="57"/>
  <c r="P247" i="57"/>
  <c r="B108" i="57"/>
  <c r="I332" i="57"/>
  <c r="N302" i="57"/>
  <c r="L134" i="57"/>
  <c r="J298" i="57"/>
  <c r="J168" i="57"/>
  <c r="C193" i="57"/>
  <c r="F31" i="57"/>
  <c r="C315" i="57"/>
  <c r="G44" i="57"/>
  <c r="K215" i="57"/>
  <c r="H26" i="57"/>
  <c r="P73" i="57"/>
  <c r="C336" i="57"/>
  <c r="M138" i="57"/>
  <c r="G13" i="57"/>
  <c r="O34" i="57"/>
  <c r="C348" i="57"/>
  <c r="B222" i="57"/>
  <c r="C156" i="57"/>
  <c r="G325" i="57"/>
  <c r="H116" i="57"/>
  <c r="D249" i="57"/>
  <c r="E341" i="57"/>
  <c r="C109" i="57"/>
  <c r="H131" i="57"/>
  <c r="L284" i="57"/>
  <c r="I212" i="57"/>
  <c r="L16" i="57"/>
  <c r="K313" i="57"/>
  <c r="C148" i="57"/>
  <c r="L53" i="57"/>
  <c r="N56" i="57"/>
  <c r="P319" i="57"/>
  <c r="L249" i="57"/>
  <c r="H324" i="57"/>
  <c r="D300" i="57"/>
  <c r="I143" i="57"/>
  <c r="P330" i="57"/>
  <c r="E211" i="57"/>
  <c r="B123" i="57"/>
  <c r="K101" i="57"/>
  <c r="F194" i="57"/>
  <c r="I14" i="57"/>
  <c r="C216" i="57"/>
  <c r="I68" i="57"/>
  <c r="G177" i="57"/>
  <c r="K197" i="57"/>
  <c r="O329" i="57"/>
  <c r="J293" i="57"/>
  <c r="E323" i="57"/>
  <c r="N245" i="57"/>
  <c r="H78" i="57"/>
  <c r="N51" i="57"/>
  <c r="G311" i="57"/>
  <c r="I227" i="57"/>
  <c r="K52" i="57"/>
  <c r="H145" i="57"/>
  <c r="B97" i="57"/>
  <c r="J126" i="57"/>
  <c r="J259" i="57"/>
  <c r="K71" i="57"/>
  <c r="N122" i="57"/>
  <c r="F328" i="57"/>
  <c r="M192" i="57"/>
  <c r="M180" i="57"/>
  <c r="C290" i="57"/>
  <c r="F251" i="57"/>
  <c r="K15" i="57"/>
  <c r="D342" i="57"/>
  <c r="G15" i="57"/>
  <c r="G245" i="57"/>
  <c r="D69" i="57"/>
  <c r="C228" i="57"/>
  <c r="H241" i="57"/>
  <c r="H215" i="57"/>
  <c r="D346" i="57"/>
  <c r="P152" i="57"/>
  <c r="N133" i="57"/>
  <c r="E336" i="57"/>
  <c r="P229" i="57"/>
  <c r="H143" i="57"/>
  <c r="N100" i="57"/>
  <c r="N64" i="57"/>
  <c r="D190" i="57"/>
  <c r="L57" i="57"/>
  <c r="I107" i="57"/>
  <c r="N92" i="57"/>
  <c r="K198" i="57"/>
  <c r="O60" i="57"/>
  <c r="K195" i="57"/>
  <c r="M79" i="57"/>
  <c r="C258" i="57"/>
  <c r="P306" i="57"/>
  <c r="O273" i="57"/>
  <c r="D345" i="57"/>
  <c r="L226" i="57"/>
  <c r="O86" i="57"/>
  <c r="K240" i="57"/>
  <c r="D87" i="57"/>
  <c r="C327" i="57"/>
  <c r="F88" i="57"/>
  <c r="F320" i="57"/>
  <c r="E186" i="57"/>
  <c r="J296" i="57"/>
  <c r="M255" i="57"/>
  <c r="H18" i="57"/>
  <c r="M342" i="57"/>
  <c r="E24" i="57"/>
  <c r="P32" i="57"/>
  <c r="H103" i="57"/>
  <c r="J268" i="57"/>
  <c r="I286" i="57"/>
  <c r="H290" i="57"/>
  <c r="O320" i="57"/>
  <c r="M308" i="57"/>
  <c r="B329" i="57"/>
  <c r="F91" i="57"/>
  <c r="P145" i="57"/>
  <c r="G323" i="57"/>
  <c r="O258" i="57"/>
  <c r="F109" i="57"/>
  <c r="C209" i="57"/>
  <c r="B64" i="57"/>
  <c r="C236" i="57"/>
  <c r="D55" i="57"/>
  <c r="F262" i="57"/>
  <c r="M291" i="57"/>
  <c r="D197" i="57"/>
  <c r="D9" i="57"/>
  <c r="P227" i="57"/>
  <c r="E193" i="57"/>
  <c r="N271" i="57"/>
  <c r="C273" i="57"/>
  <c r="E232" i="57"/>
  <c r="F278" i="57"/>
  <c r="H24" i="57"/>
  <c r="F321" i="57"/>
  <c r="C344" i="57"/>
  <c r="E204" i="57"/>
  <c r="J156" i="57"/>
  <c r="C260" i="57"/>
  <c r="H336" i="57"/>
  <c r="C114" i="57"/>
  <c r="J209" i="57"/>
  <c r="E51" i="57"/>
  <c r="K174" i="57"/>
  <c r="E251" i="57"/>
  <c r="F188" i="57"/>
  <c r="O13" i="57"/>
  <c r="I18" i="57"/>
  <c r="B54" i="57"/>
  <c r="M317" i="57"/>
  <c r="P198" i="57"/>
  <c r="H127" i="57"/>
  <c r="L318" i="57"/>
  <c r="C232" i="57"/>
  <c r="K21" i="57"/>
  <c r="K155" i="57"/>
  <c r="H91" i="57"/>
  <c r="E113" i="57"/>
  <c r="H163" i="57"/>
  <c r="G136" i="57"/>
  <c r="H334" i="57"/>
  <c r="P239" i="57"/>
  <c r="P344" i="57"/>
  <c r="H221" i="57"/>
  <c r="C112" i="57"/>
  <c r="I229" i="57"/>
  <c r="E295" i="57"/>
  <c r="E344" i="57"/>
  <c r="J210" i="57"/>
  <c r="J343" i="57"/>
  <c r="O197" i="57"/>
  <c r="L271" i="57"/>
  <c r="E157" i="57"/>
  <c r="K204" i="57"/>
  <c r="J329" i="57"/>
  <c r="C67" i="57"/>
  <c r="N14" i="57"/>
  <c r="O339" i="57"/>
  <c r="M253" i="57"/>
  <c r="P212" i="57"/>
  <c r="B319" i="57"/>
  <c r="E115" i="57"/>
  <c r="B209" i="57"/>
  <c r="G329" i="57"/>
  <c r="N166" i="57"/>
  <c r="P100" i="57"/>
  <c r="J235" i="57"/>
  <c r="D261" i="57"/>
  <c r="D245" i="57"/>
  <c r="H248" i="57"/>
  <c r="M59" i="57"/>
  <c r="M252" i="57"/>
  <c r="P327" i="57"/>
  <c r="G339" i="57"/>
  <c r="P284" i="57"/>
  <c r="C268" i="57"/>
  <c r="E324" i="57"/>
  <c r="N96" i="57"/>
  <c r="F75" i="57"/>
  <c r="F92" i="57"/>
  <c r="N148" i="57"/>
  <c r="N139" i="57"/>
  <c r="M322" i="57"/>
  <c r="B127" i="57"/>
  <c r="G216" i="57"/>
  <c r="N306" i="57"/>
  <c r="C75" i="57"/>
  <c r="F148" i="57"/>
  <c r="E69" i="57"/>
  <c r="O112" i="57"/>
  <c r="J201" i="57"/>
  <c r="N105" i="57"/>
  <c r="P76" i="57"/>
  <c r="B167" i="57"/>
  <c r="C280" i="57"/>
  <c r="D148" i="57"/>
  <c r="I108" i="57"/>
  <c r="D298" i="57"/>
  <c r="P234" i="57"/>
  <c r="J294" i="57"/>
  <c r="P326" i="57"/>
  <c r="M90" i="57"/>
  <c r="H96" i="57"/>
  <c r="D147" i="57"/>
  <c r="M333" i="57"/>
  <c r="E195" i="57"/>
  <c r="F269" i="57"/>
  <c r="L154" i="57"/>
  <c r="D129" i="57"/>
  <c r="G244" i="57"/>
  <c r="G124" i="57"/>
  <c r="P42" i="57"/>
  <c r="P133" i="57"/>
  <c r="D29" i="57"/>
  <c r="J335" i="57"/>
  <c r="I70" i="57"/>
  <c r="G22" i="57"/>
  <c r="L131" i="57"/>
  <c r="P194" i="57"/>
  <c r="L106" i="57"/>
  <c r="G76" i="57"/>
  <c r="F156" i="57"/>
  <c r="C194" i="57"/>
  <c r="D107" i="57"/>
  <c r="D256" i="57"/>
  <c r="K9" i="57"/>
  <c r="C274" i="57"/>
  <c r="B280" i="57"/>
  <c r="B309" i="57"/>
  <c r="N32" i="57"/>
  <c r="D231" i="57"/>
  <c r="L60" i="57"/>
  <c r="F227" i="57"/>
  <c r="E168" i="57"/>
  <c r="L204" i="57"/>
  <c r="N222" i="57"/>
  <c r="O25" i="57"/>
  <c r="K169" i="57"/>
  <c r="J83" i="57"/>
  <c r="B82" i="57"/>
  <c r="P288" i="57"/>
  <c r="B181" i="57"/>
  <c r="F119" i="57"/>
  <c r="I264" i="57"/>
  <c r="M280" i="57"/>
  <c r="E279" i="57"/>
  <c r="B69" i="57"/>
  <c r="E309" i="57"/>
  <c r="C330" i="57"/>
  <c r="I67" i="57"/>
  <c r="E96" i="57"/>
  <c r="J264" i="57"/>
  <c r="L130" i="57"/>
  <c r="B165" i="57"/>
  <c r="D308" i="57"/>
  <c r="J95" i="57"/>
  <c r="M160" i="57"/>
  <c r="B298" i="57"/>
  <c r="D71" i="57"/>
  <c r="P219" i="57"/>
  <c r="K104" i="57"/>
  <c r="M115" i="57"/>
  <c r="N180" i="57"/>
  <c r="N74" i="57"/>
  <c r="O94" i="57"/>
  <c r="F288" i="57"/>
  <c r="K243" i="57"/>
  <c r="N205" i="57"/>
  <c r="K304" i="57"/>
  <c r="N84" i="57"/>
  <c r="D102" i="57"/>
  <c r="B81" i="57"/>
  <c r="C54" i="57"/>
  <c r="O280" i="57"/>
  <c r="K292" i="57"/>
  <c r="I304" i="57"/>
  <c r="G185" i="57"/>
  <c r="O161" i="57"/>
  <c r="P174" i="57"/>
  <c r="J16" i="57"/>
  <c r="D154" i="57"/>
  <c r="O230" i="57"/>
  <c r="O93" i="57"/>
  <c r="O244" i="57"/>
  <c r="P85" i="57"/>
  <c r="N288" i="57"/>
  <c r="B76" i="57"/>
  <c r="C307" i="57"/>
  <c r="G125" i="57"/>
  <c r="D194" i="57"/>
  <c r="M217" i="57"/>
  <c r="D169" i="57"/>
  <c r="C226" i="57"/>
  <c r="G246" i="57"/>
  <c r="F116" i="57"/>
  <c r="K250" i="57"/>
  <c r="G42" i="57"/>
  <c r="N128" i="57"/>
  <c r="O179" i="57"/>
  <c r="I158" i="57"/>
  <c r="G306" i="57"/>
  <c r="N213" i="57"/>
  <c r="B343" i="57"/>
  <c r="M272" i="57"/>
  <c r="M48" i="57"/>
  <c r="O137" i="57"/>
  <c r="N272" i="57"/>
  <c r="J112" i="57"/>
  <c r="B149" i="57"/>
  <c r="H289" i="57"/>
  <c r="N227" i="57"/>
  <c r="N141" i="57"/>
  <c r="F185" i="57"/>
  <c r="D306" i="57"/>
  <c r="C126" i="57"/>
  <c r="P118" i="57"/>
  <c r="F117" i="57"/>
  <c r="M246" i="57"/>
  <c r="G240" i="57"/>
  <c r="K241" i="57"/>
  <c r="H346" i="57"/>
  <c r="C101" i="57"/>
  <c r="E190" i="57"/>
  <c r="J32" i="57"/>
  <c r="B204" i="57"/>
  <c r="K76" i="57"/>
  <c r="L172" i="57"/>
  <c r="M314" i="57"/>
  <c r="E294" i="57"/>
  <c r="F67" i="57"/>
  <c r="M216" i="57"/>
  <c r="J118" i="57"/>
  <c r="N179" i="57"/>
  <c r="I130" i="57"/>
  <c r="N243" i="57"/>
  <c r="O256" i="57"/>
  <c r="N265" i="57"/>
  <c r="C134" i="57"/>
  <c r="J332" i="57"/>
  <c r="J62" i="57"/>
  <c r="G131" i="57"/>
  <c r="G166" i="57"/>
  <c r="O21" i="57"/>
  <c r="P337" i="57"/>
  <c r="B74" i="57"/>
  <c r="E303" i="57"/>
  <c r="P163" i="57"/>
  <c r="F196" i="57"/>
  <c r="C187" i="57"/>
  <c r="E48" i="57"/>
  <c r="E254" i="57"/>
  <c r="E330" i="57"/>
  <c r="H306" i="57"/>
  <c r="D180" i="57"/>
  <c r="I316" i="57"/>
  <c r="P99" i="57"/>
  <c r="E106" i="57"/>
  <c r="F44" i="57"/>
  <c r="E286" i="57"/>
  <c r="K75" i="57"/>
  <c r="B180" i="57"/>
  <c r="P283" i="57"/>
  <c r="F46" i="57"/>
  <c r="C30" i="57"/>
  <c r="G331" i="57"/>
  <c r="D277" i="57"/>
  <c r="H337" i="57"/>
  <c r="G53" i="57"/>
  <c r="B31" i="57"/>
  <c r="E260" i="57"/>
  <c r="D117" i="57"/>
  <c r="L120" i="57"/>
  <c r="H139" i="57"/>
  <c r="E277" i="57"/>
  <c r="B202" i="57"/>
  <c r="C338" i="57"/>
  <c r="B156" i="57"/>
  <c r="B112" i="57"/>
  <c r="C341" i="57"/>
  <c r="J48" i="57"/>
  <c r="G238" i="57"/>
  <c r="G155" i="57"/>
  <c r="H189" i="57"/>
  <c r="O270" i="57"/>
  <c r="C249" i="57"/>
  <c r="F230" i="57"/>
  <c r="O43" i="57"/>
  <c r="O131" i="57"/>
  <c r="O92" i="57"/>
  <c r="L135" i="57"/>
  <c r="K181" i="57"/>
  <c r="O72" i="57"/>
  <c r="D325" i="57"/>
  <c r="B186" i="57"/>
  <c r="C170" i="57"/>
  <c r="C171" i="57"/>
  <c r="H342" i="57"/>
  <c r="B63" i="57"/>
  <c r="L305" i="57"/>
  <c r="C292" i="57"/>
  <c r="M87" i="57"/>
  <c r="D289" i="57"/>
  <c r="K131" i="57"/>
  <c r="P335" i="57"/>
  <c r="M15" i="57"/>
  <c r="M254" i="57"/>
  <c r="I98" i="57"/>
  <c r="D215" i="57"/>
  <c r="D296" i="57"/>
  <c r="B130" i="57"/>
  <c r="N13" i="57"/>
  <c r="E220" i="57"/>
  <c r="N300" i="57"/>
  <c r="G305" i="57"/>
  <c r="B111" i="57"/>
  <c r="G265" i="57"/>
  <c r="D146" i="57"/>
  <c r="H247" i="57"/>
  <c r="B334" i="57"/>
  <c r="B278" i="57"/>
  <c r="D56" i="57"/>
  <c r="M194" i="57"/>
  <c r="B179" i="57"/>
  <c r="B88" i="57"/>
  <c r="M242" i="57"/>
  <c r="N346" i="57"/>
  <c r="J229" i="57"/>
  <c r="E154" i="57"/>
  <c r="G164" i="57"/>
  <c r="F306" i="57"/>
  <c r="O221" i="57"/>
  <c r="E137" i="57"/>
  <c r="E305" i="57"/>
  <c r="D112" i="57"/>
  <c r="B233" i="57"/>
  <c r="M230" i="57"/>
  <c r="K311" i="57"/>
  <c r="F80" i="57"/>
  <c r="L51" i="57"/>
  <c r="M73" i="57"/>
  <c r="F49" i="57"/>
  <c r="M183" i="57"/>
  <c r="N299" i="57"/>
  <c r="L219" i="57"/>
  <c r="B24" i="57"/>
  <c r="B257" i="57"/>
  <c r="J219" i="57"/>
  <c r="P66" i="57"/>
  <c r="E301" i="57"/>
  <c r="L9" i="57"/>
  <c r="F192" i="57"/>
  <c r="C181" i="57"/>
  <c r="L333" i="57"/>
  <c r="G63" i="57"/>
  <c r="G208" i="57"/>
  <c r="K79" i="57"/>
  <c r="L165" i="57"/>
  <c r="C256" i="57"/>
  <c r="L322" i="57"/>
  <c r="N230" i="57"/>
  <c r="H319" i="57"/>
  <c r="O246" i="57"/>
  <c r="C152" i="57"/>
  <c r="E166" i="57"/>
  <c r="P84" i="57"/>
  <c r="K298" i="57"/>
  <c r="L244" i="57"/>
  <c r="L201" i="57"/>
  <c r="F141" i="57"/>
  <c r="N135" i="57"/>
  <c r="G342" i="57"/>
  <c r="J194" i="57"/>
  <c r="D301" i="57"/>
  <c r="G250" i="57"/>
  <c r="O106" i="57"/>
  <c r="N224" i="57"/>
  <c r="J21" i="57"/>
  <c r="O327" i="57"/>
  <c r="C240" i="57"/>
  <c r="J318" i="57"/>
  <c r="B300" i="57"/>
  <c r="G181" i="57"/>
  <c r="L315" i="57"/>
  <c r="D39" i="57"/>
  <c r="M171" i="57"/>
  <c r="F130" i="57"/>
  <c r="M269" i="57"/>
  <c r="D225" i="57"/>
  <c r="F146" i="57"/>
  <c r="G126" i="57"/>
  <c r="O107" i="57"/>
  <c r="E201" i="57"/>
  <c r="I83" i="57"/>
  <c r="H316" i="57"/>
  <c r="F100" i="57"/>
  <c r="C225" i="57"/>
  <c r="O76" i="57"/>
  <c r="C113" i="57"/>
  <c r="P255" i="57"/>
  <c r="F310" i="57"/>
  <c r="G23" i="57"/>
  <c r="L157" i="57"/>
  <c r="P24" i="57"/>
  <c r="C158" i="57"/>
  <c r="P61" i="57"/>
  <c r="N42" i="57"/>
  <c r="P119" i="57"/>
  <c r="I112" i="57"/>
  <c r="K348" i="57"/>
  <c r="C153" i="57"/>
  <c r="M182" i="57"/>
  <c r="J96" i="57"/>
  <c r="M231" i="57"/>
  <c r="I238" i="57"/>
  <c r="M215" i="57"/>
  <c r="M166" i="57"/>
  <c r="I201" i="57"/>
  <c r="K217" i="57"/>
  <c r="H237" i="57"/>
  <c r="O61" i="57"/>
  <c r="H160" i="57"/>
  <c r="L196" i="57"/>
  <c r="I181" i="57"/>
  <c r="I302" i="57"/>
  <c r="L45" i="57"/>
  <c r="E162" i="57"/>
  <c r="H258" i="57"/>
  <c r="J341" i="57"/>
  <c r="J286" i="57"/>
  <c r="L252" i="57"/>
  <c r="G49" i="57"/>
  <c r="B102" i="57"/>
  <c r="C15" i="57"/>
  <c r="G259" i="57"/>
  <c r="F258" i="57"/>
  <c r="D140" i="57"/>
  <c r="D74" i="57"/>
  <c r="E90" i="57"/>
  <c r="L181" i="57"/>
  <c r="E308" i="57"/>
  <c r="N233" i="57"/>
  <c r="H101" i="57"/>
  <c r="G33" i="57"/>
  <c r="E150" i="57"/>
  <c r="M24" i="57"/>
  <c r="C272" i="57"/>
  <c r="J254" i="57"/>
  <c r="C131" i="57"/>
  <c r="I345" i="57"/>
  <c r="B159" i="57"/>
  <c r="M92" i="57"/>
  <c r="B71" i="57"/>
  <c r="G69" i="57"/>
  <c r="D235" i="57"/>
  <c r="K38" i="57"/>
  <c r="D128" i="57"/>
  <c r="M270" i="57"/>
  <c r="E112" i="57"/>
  <c r="I262" i="57"/>
  <c r="P92" i="57"/>
  <c r="I42" i="57"/>
  <c r="N19" i="57"/>
  <c r="G30" i="57"/>
  <c r="I91" i="57"/>
  <c r="I104" i="57"/>
  <c r="O319" i="57"/>
  <c r="K319" i="57"/>
  <c r="H122" i="57"/>
  <c r="O268" i="57"/>
  <c r="C328" i="57"/>
  <c r="D144" i="57"/>
  <c r="N54" i="57"/>
  <c r="C141" i="57"/>
  <c r="O165" i="57"/>
  <c r="O299" i="57"/>
  <c r="J198" i="57"/>
  <c r="F115" i="57"/>
  <c r="J257" i="57"/>
  <c r="H102" i="57"/>
  <c r="K30" i="57"/>
  <c r="P251" i="57"/>
  <c r="B139" i="57"/>
  <c r="K120" i="57"/>
  <c r="H277" i="57"/>
  <c r="L92" i="57"/>
  <c r="N115" i="57"/>
  <c r="P97" i="57"/>
  <c r="P135" i="57"/>
  <c r="C229" i="57"/>
  <c r="O295" i="57"/>
  <c r="F341" i="57"/>
  <c r="O26" i="57"/>
  <c r="G266" i="57"/>
  <c r="H104" i="57"/>
  <c r="L121" i="57"/>
  <c r="F65" i="57"/>
  <c r="N85" i="57"/>
  <c r="F228" i="57"/>
  <c r="E319" i="57"/>
  <c r="B260" i="57"/>
  <c r="F195" i="57"/>
  <c r="N344" i="57"/>
  <c r="I298" i="57"/>
  <c r="B103" i="57"/>
  <c r="P86" i="57"/>
  <c r="M274" i="57"/>
  <c r="M169" i="57"/>
  <c r="K233" i="57"/>
  <c r="N99" i="57"/>
  <c r="J275" i="57"/>
  <c r="P348" i="57"/>
  <c r="E19" i="57"/>
  <c r="K11" i="57"/>
  <c r="L198" i="57"/>
  <c r="C314" i="57"/>
  <c r="H348" i="57"/>
  <c r="E107" i="57"/>
  <c r="N120" i="57"/>
  <c r="N168" i="57"/>
  <c r="G41" i="57"/>
  <c r="M346" i="57"/>
  <c r="E203" i="57"/>
  <c r="H50" i="57"/>
  <c r="M179" i="57"/>
  <c r="J155" i="57"/>
  <c r="O257" i="57"/>
  <c r="L52" i="57"/>
  <c r="F338" i="57"/>
  <c r="O297" i="57"/>
  <c r="P59" i="57"/>
  <c r="H97" i="57"/>
  <c r="M83" i="57"/>
  <c r="M85" i="57"/>
  <c r="G261" i="57"/>
  <c r="G347" i="57"/>
  <c r="C124" i="57"/>
  <c r="G62" i="57"/>
  <c r="E235" i="57"/>
  <c r="I337" i="57"/>
  <c r="M103" i="57"/>
  <c r="I274" i="57"/>
  <c r="J27" i="57"/>
  <c r="E287" i="57"/>
  <c r="G192" i="57"/>
  <c r="F74" i="57"/>
  <c r="E16" i="57"/>
  <c r="F316" i="57"/>
  <c r="B99" i="57"/>
  <c r="N23" i="57"/>
  <c r="E58" i="57"/>
  <c r="N313" i="57"/>
  <c r="F162" i="57"/>
  <c r="H208" i="57"/>
  <c r="C211" i="57"/>
  <c r="K106" i="57"/>
  <c r="M67" i="57"/>
  <c r="M55" i="57"/>
  <c r="I51" i="57"/>
  <c r="I34" i="57"/>
  <c r="G176" i="57"/>
  <c r="K78" i="57"/>
  <c r="D127" i="57"/>
  <c r="F257" i="57"/>
  <c r="C222" i="57"/>
  <c r="B244" i="57"/>
  <c r="K317" i="57"/>
  <c r="K46" i="57"/>
  <c r="H84" i="57"/>
  <c r="D47" i="57"/>
  <c r="H152" i="57"/>
  <c r="B226" i="57"/>
  <c r="P114" i="57"/>
  <c r="B43" i="57"/>
  <c r="C24" i="57"/>
  <c r="I240" i="57"/>
  <c r="N235" i="57"/>
  <c r="M198" i="57"/>
  <c r="D103" i="57"/>
  <c r="K55" i="57"/>
  <c r="E125" i="57"/>
  <c r="H228" i="57"/>
  <c r="M205" i="57"/>
  <c r="K146" i="57"/>
  <c r="M204" i="57"/>
  <c r="K253" i="57"/>
  <c r="B51" i="57"/>
  <c r="G74" i="57"/>
  <c r="I171" i="57"/>
  <c r="E89" i="57"/>
  <c r="D254" i="57"/>
  <c r="E156" i="57"/>
  <c r="J12" i="57"/>
  <c r="C288" i="57"/>
  <c r="J111" i="57"/>
  <c r="P121" i="57"/>
  <c r="N16" i="57"/>
  <c r="K261" i="57"/>
  <c r="L299" i="57"/>
  <c r="H36" i="57"/>
  <c r="L268" i="57"/>
  <c r="E95" i="57"/>
  <c r="H298" i="57"/>
  <c r="N274" i="57"/>
  <c r="B256" i="57"/>
  <c r="B166" i="57"/>
  <c r="E228" i="57"/>
  <c r="H83" i="57"/>
  <c r="I29" i="57"/>
  <c r="L42" i="57"/>
  <c r="G61" i="57"/>
  <c r="E126" i="57"/>
  <c r="D309" i="57"/>
  <c r="I260" i="57"/>
  <c r="L28" i="57"/>
  <c r="P260" i="57"/>
  <c r="M25" i="57"/>
  <c r="J93" i="57"/>
  <c r="E39" i="57"/>
  <c r="M143" i="57"/>
  <c r="C20" i="57"/>
  <c r="D48" i="57"/>
  <c r="K256" i="57"/>
  <c r="O8" i="57"/>
  <c r="F268" i="57"/>
  <c r="D16" i="57"/>
  <c r="P171" i="57"/>
  <c r="I347" i="57"/>
  <c r="K37" i="57"/>
  <c r="O141" i="57"/>
  <c r="L325" i="57"/>
  <c r="I236" i="57"/>
  <c r="C99" i="57"/>
  <c r="J346" i="57"/>
  <c r="P321" i="57"/>
  <c r="G182" i="57"/>
  <c r="K251" i="57"/>
  <c r="G276" i="57"/>
  <c r="B193" i="57"/>
  <c r="G161" i="57"/>
  <c r="D198" i="57"/>
  <c r="E205" i="57"/>
  <c r="I292" i="57"/>
  <c r="C63" i="57"/>
  <c r="L231" i="57"/>
  <c r="N130" i="57"/>
  <c r="E71" i="57"/>
  <c r="E291" i="57"/>
  <c r="L63" i="57"/>
  <c r="F201" i="57"/>
  <c r="P259" i="57"/>
  <c r="C23" i="57"/>
  <c r="O187" i="57"/>
  <c r="I11" i="57"/>
  <c r="H321" i="57"/>
  <c r="N123" i="57"/>
  <c r="C233" i="57"/>
  <c r="O264" i="57"/>
  <c r="M293" i="57"/>
  <c r="J152" i="57"/>
  <c r="J17" i="57"/>
  <c r="I162" i="57"/>
  <c r="J105" i="57"/>
  <c r="N264" i="57"/>
  <c r="J291" i="57"/>
  <c r="J164" i="57"/>
  <c r="B296" i="57"/>
  <c r="J326" i="57"/>
  <c r="O29" i="57"/>
  <c r="J153" i="57"/>
  <c r="C83" i="57"/>
  <c r="M261" i="57"/>
  <c r="O271" i="57"/>
  <c r="L238" i="57"/>
  <c r="J188" i="57"/>
  <c r="I344" i="57"/>
  <c r="G98" i="57"/>
  <c r="K186" i="57"/>
  <c r="M265" i="57"/>
  <c r="M330" i="57"/>
  <c r="L344" i="57"/>
  <c r="L102" i="57"/>
  <c r="E191" i="57"/>
  <c r="K202" i="57"/>
  <c r="D314" i="57"/>
  <c r="J56" i="57"/>
  <c r="H112" i="57"/>
  <c r="J78" i="57"/>
  <c r="G292" i="57"/>
  <c r="J307" i="57"/>
  <c r="J282" i="57"/>
  <c r="B211" i="57"/>
  <c r="E329" i="57"/>
  <c r="D297" i="57"/>
  <c r="N178" i="57"/>
  <c r="F165" i="57"/>
  <c r="B251" i="57"/>
  <c r="O133" i="57"/>
  <c r="O40" i="57"/>
  <c r="C160" i="57"/>
  <c r="M256" i="57"/>
  <c r="G219" i="57"/>
  <c r="L88" i="57"/>
  <c r="L83" i="57"/>
  <c r="K50" i="57"/>
  <c r="M40" i="57"/>
  <c r="M241" i="57"/>
  <c r="P250" i="57"/>
  <c r="E74" i="57"/>
  <c r="G144" i="57"/>
  <c r="O217" i="57"/>
  <c r="L331" i="57"/>
  <c r="H262" i="57"/>
  <c r="E333" i="57"/>
  <c r="L192" i="57"/>
  <c r="G71" i="57"/>
  <c r="C343" i="57"/>
  <c r="O124" i="57"/>
  <c r="I145" i="57"/>
  <c r="M279" i="57"/>
  <c r="I52" i="57"/>
  <c r="B292" i="57"/>
  <c r="N21" i="57"/>
  <c r="P333" i="57"/>
  <c r="B335" i="57"/>
  <c r="J312" i="57"/>
  <c r="D275" i="57"/>
  <c r="M334" i="57"/>
  <c r="J200" i="57"/>
  <c r="E37" i="57"/>
  <c r="M107" i="57"/>
  <c r="P324" i="57"/>
  <c r="C329" i="57"/>
  <c r="I323" i="57"/>
  <c r="M305" i="57"/>
  <c r="I208" i="57"/>
  <c r="H135" i="57"/>
  <c r="L312" i="57"/>
  <c r="I26" i="57"/>
  <c r="G273" i="57"/>
  <c r="M136" i="57"/>
  <c r="N200" i="57"/>
  <c r="F163" i="57"/>
  <c r="H338" i="57"/>
  <c r="C166" i="57"/>
  <c r="L27" i="57"/>
  <c r="P29" i="57"/>
  <c r="N322" i="57"/>
  <c r="D46" i="57"/>
  <c r="D30" i="57"/>
  <c r="O89" i="57"/>
  <c r="E119" i="57"/>
  <c r="D43" i="57"/>
  <c r="O84" i="57"/>
  <c r="L33" i="57"/>
  <c r="I273" i="57"/>
  <c r="P213" i="57"/>
  <c r="H314" i="57"/>
  <c r="E268" i="57"/>
  <c r="O146" i="57"/>
  <c r="O41" i="57"/>
  <c r="C305" i="57"/>
  <c r="P41" i="57"/>
  <c r="B341" i="57"/>
  <c r="D59" i="57"/>
  <c r="N29" i="57"/>
  <c r="O128" i="57"/>
  <c r="I216" i="57"/>
  <c r="K14" i="57"/>
  <c r="F62" i="57"/>
  <c r="L241" i="57"/>
  <c r="P115" i="57"/>
  <c r="B144" i="57"/>
  <c r="I207" i="57"/>
  <c r="B242" i="57"/>
  <c r="F21" i="57"/>
  <c r="N219" i="57"/>
  <c r="D281" i="57"/>
  <c r="I46" i="57"/>
  <c r="M348" i="57"/>
  <c r="K244" i="57"/>
  <c r="G8" i="57"/>
  <c r="H263" i="57"/>
  <c r="J163" i="57"/>
  <c r="P203" i="57"/>
  <c r="B237" i="57"/>
  <c r="K27" i="57"/>
  <c r="E183" i="57"/>
  <c r="F308" i="57"/>
  <c r="O302" i="57"/>
  <c r="C117" i="57"/>
  <c r="C269" i="57"/>
  <c r="O331" i="57"/>
  <c r="O155" i="57"/>
  <c r="M266" i="57"/>
  <c r="O322" i="57"/>
  <c r="H12" i="57"/>
  <c r="M199" i="57"/>
  <c r="J148" i="57"/>
  <c r="D21" i="57"/>
  <c r="E299" i="57"/>
  <c r="P279" i="57"/>
  <c r="B339" i="57"/>
  <c r="F322" i="57"/>
  <c r="P339" i="57"/>
  <c r="F299" i="57"/>
  <c r="I299" i="57"/>
  <c r="P120" i="57"/>
  <c r="J82" i="57"/>
  <c r="M39" i="57"/>
  <c r="L197" i="57"/>
  <c r="J181" i="57"/>
  <c r="K176" i="57"/>
  <c r="C140" i="57"/>
  <c r="G195" i="57"/>
  <c r="H227" i="57"/>
  <c r="F276" i="57"/>
  <c r="E192" i="57"/>
  <c r="N312" i="57"/>
  <c r="G252" i="57"/>
  <c r="D213" i="57"/>
  <c r="J336" i="57"/>
  <c r="I253" i="57"/>
  <c r="N347" i="57"/>
  <c r="O103" i="57"/>
  <c r="M328" i="57"/>
  <c r="N81" i="57"/>
  <c r="M75" i="57"/>
  <c r="L202" i="57"/>
  <c r="N190" i="57"/>
  <c r="I231" i="57"/>
  <c r="I164" i="57"/>
  <c r="J217" i="57"/>
  <c r="D167" i="57"/>
  <c r="N97" i="57"/>
  <c r="E170" i="57"/>
  <c r="C62" i="57"/>
  <c r="L54" i="57"/>
  <c r="D339" i="57"/>
  <c r="P126" i="57"/>
  <c r="P47" i="57"/>
  <c r="I219" i="57"/>
  <c r="O80" i="57"/>
  <c r="H293" i="57"/>
  <c r="I198" i="57"/>
  <c r="P128" i="57"/>
  <c r="E337" i="57"/>
  <c r="C40" i="57"/>
  <c r="C313" i="57"/>
  <c r="H128" i="57"/>
  <c r="K102" i="57"/>
  <c r="F182" i="57"/>
  <c r="P124" i="57"/>
  <c r="E97" i="57"/>
  <c r="C11" i="57"/>
  <c r="P187" i="57"/>
  <c r="J121" i="57"/>
  <c r="F334" i="57"/>
  <c r="L46" i="57"/>
  <c r="O140" i="57"/>
  <c r="D10" i="57"/>
  <c r="N145" i="57"/>
  <c r="G302" i="57"/>
  <c r="H182" i="57"/>
  <c r="M200" i="57"/>
  <c r="D17" i="57"/>
  <c r="B199" i="57"/>
  <c r="F43" i="57"/>
  <c r="G223" i="57"/>
  <c r="G194" i="57"/>
  <c r="L89" i="57"/>
  <c r="O127" i="57"/>
  <c r="I61" i="57"/>
  <c r="D178" i="57"/>
  <c r="H171" i="57"/>
  <c r="G27" i="57"/>
  <c r="L118" i="57"/>
  <c r="J161" i="57"/>
  <c r="K40" i="57"/>
  <c r="F84" i="57"/>
  <c r="I314" i="57"/>
  <c r="K177" i="57"/>
  <c r="M343" i="57"/>
  <c r="E117" i="57"/>
  <c r="J30" i="57"/>
  <c r="J316" i="57"/>
  <c r="O345" i="57"/>
  <c r="D12" i="57"/>
  <c r="B277" i="57"/>
  <c r="P220" i="57"/>
  <c r="B129" i="57"/>
  <c r="I178" i="57"/>
  <c r="N193" i="57"/>
  <c r="B170" i="57"/>
  <c r="B110" i="57"/>
  <c r="K285" i="57"/>
  <c r="N262" i="57"/>
  <c r="D99" i="57"/>
  <c r="H322" i="57"/>
  <c r="L207" i="57"/>
  <c r="O159" i="57"/>
  <c r="L65" i="57"/>
  <c r="G141" i="57"/>
  <c r="K305" i="57"/>
  <c r="E310" i="57"/>
  <c r="I40" i="57"/>
  <c r="P280" i="57"/>
  <c r="N307" i="57"/>
  <c r="D119" i="57"/>
  <c r="P228" i="57"/>
  <c r="O333" i="57"/>
  <c r="C309" i="57"/>
  <c r="C92" i="57"/>
  <c r="E146" i="57"/>
  <c r="J15" i="57"/>
  <c r="C220" i="57"/>
  <c r="F304" i="57"/>
  <c r="P225" i="57"/>
  <c r="B275" i="57"/>
  <c r="N268" i="57"/>
  <c r="D267" i="57"/>
  <c r="O118" i="57"/>
  <c r="C135" i="57"/>
  <c r="I114" i="57"/>
  <c r="B65" i="57"/>
  <c r="N236" i="57"/>
  <c r="G264" i="57"/>
  <c r="L44" i="57"/>
  <c r="O236" i="57"/>
  <c r="E158" i="57"/>
  <c r="F71" i="57"/>
  <c r="H329" i="57"/>
  <c r="C163" i="57"/>
  <c r="G297" i="57"/>
  <c r="K13" i="57"/>
  <c r="J265" i="57"/>
  <c r="G188" i="57"/>
  <c r="N41" i="57"/>
  <c r="F345" i="57"/>
  <c r="E87" i="57"/>
  <c r="H199" i="57"/>
  <c r="I95" i="57"/>
  <c r="J26" i="57"/>
  <c r="J150" i="57"/>
  <c r="L81" i="57"/>
  <c r="F27" i="57"/>
  <c r="P275" i="57"/>
  <c r="I196" i="57"/>
  <c r="E243" i="57"/>
  <c r="O332" i="57"/>
  <c r="M323" i="57"/>
  <c r="E128" i="57"/>
  <c r="P101" i="57"/>
  <c r="D61" i="57"/>
  <c r="F253" i="57"/>
  <c r="J89" i="57"/>
  <c r="G150" i="57"/>
  <c r="I169" i="57"/>
  <c r="E153" i="57"/>
  <c r="H339" i="57"/>
  <c r="O147" i="57"/>
  <c r="F93" i="57"/>
  <c r="O22" i="57"/>
  <c r="D246" i="57"/>
  <c r="L43" i="57"/>
  <c r="O172" i="57"/>
  <c r="J136" i="57"/>
  <c r="D63" i="57"/>
  <c r="F94" i="57"/>
  <c r="B107" i="57"/>
  <c r="P317" i="57"/>
  <c r="I269" i="57"/>
  <c r="H200" i="57"/>
  <c r="I202" i="57"/>
  <c r="C132" i="57"/>
  <c r="O235" i="57"/>
  <c r="C107" i="57"/>
  <c r="E263" i="57"/>
  <c r="N263" i="57"/>
  <c r="N38" i="57"/>
  <c r="I86" i="57"/>
  <c r="G337" i="57"/>
  <c r="L183" i="57"/>
  <c r="D293" i="57"/>
  <c r="K299" i="57"/>
  <c r="O186" i="57"/>
  <c r="L168" i="57"/>
  <c r="H231" i="57"/>
  <c r="B89" i="57"/>
  <c r="I89" i="57"/>
  <c r="M228" i="57"/>
  <c r="D266" i="57"/>
  <c r="I69" i="57"/>
  <c r="I177" i="57"/>
  <c r="P221" i="57"/>
  <c r="E244" i="57"/>
  <c r="O51" i="57"/>
  <c r="K192" i="57"/>
  <c r="G343" i="57"/>
  <c r="M66" i="57"/>
  <c r="B321" i="57"/>
  <c r="D162" i="57"/>
  <c r="C264" i="57"/>
  <c r="M340" i="57"/>
  <c r="O309" i="57"/>
  <c r="L122" i="57"/>
  <c r="N211" i="57"/>
  <c r="D186" i="57"/>
  <c r="H164" i="57"/>
  <c r="E75" i="57"/>
  <c r="H140" i="57"/>
  <c r="O251" i="57"/>
  <c r="P338" i="57"/>
  <c r="L62" i="57"/>
  <c r="J274" i="57"/>
  <c r="L101" i="57"/>
  <c r="C199" i="57"/>
  <c r="G315" i="57"/>
  <c r="K252" i="57"/>
  <c r="M186" i="57"/>
  <c r="F177" i="57"/>
  <c r="B313" i="57"/>
  <c r="N187" i="57"/>
  <c r="C37" i="57"/>
  <c r="G322" i="57"/>
  <c r="D96" i="57"/>
  <c r="P240" i="57"/>
  <c r="P263" i="57"/>
  <c r="L115" i="57"/>
  <c r="L72" i="57"/>
  <c r="H176" i="57"/>
  <c r="F73" i="57"/>
  <c r="B27" i="57"/>
  <c r="I28" i="57"/>
  <c r="N291" i="57"/>
  <c r="P10" i="57"/>
  <c r="H303" i="57"/>
  <c r="I257" i="57"/>
  <c r="N256" i="57"/>
  <c r="G207" i="57"/>
  <c r="C287" i="57"/>
  <c r="B113" i="57"/>
  <c r="O77" i="57"/>
  <c r="I318" i="57"/>
  <c r="G154" i="57"/>
  <c r="I325" i="57"/>
  <c r="J174" i="57"/>
  <c r="D273" i="57"/>
  <c r="D64" i="57"/>
  <c r="M249" i="57"/>
  <c r="L95" i="57"/>
  <c r="G247" i="57"/>
  <c r="J100" i="57"/>
  <c r="H146" i="57"/>
  <c r="F59" i="57"/>
  <c r="H61" i="57"/>
  <c r="F16" i="57"/>
  <c r="H98" i="57"/>
  <c r="E40" i="57"/>
  <c r="I276" i="57"/>
  <c r="L143" i="57"/>
  <c r="J52" i="57"/>
  <c r="K278" i="57"/>
  <c r="E227" i="57"/>
  <c r="J222" i="57"/>
  <c r="F348" i="57"/>
  <c r="P79" i="57"/>
  <c r="N338" i="57"/>
  <c r="L140" i="57"/>
  <c r="H300" i="57"/>
  <c r="M68" i="57"/>
  <c r="M13" i="57"/>
  <c r="N106" i="57"/>
  <c r="G83" i="57"/>
  <c r="G312" i="57"/>
  <c r="I129" i="57"/>
  <c r="N107" i="57"/>
  <c r="M327" i="57"/>
  <c r="D259" i="57"/>
  <c r="J224" i="57"/>
  <c r="B344" i="57"/>
  <c r="C87" i="57"/>
  <c r="J142" i="57"/>
  <c r="I97" i="57"/>
  <c r="M345" i="57"/>
  <c r="G72" i="57"/>
  <c r="M81" i="57"/>
  <c r="O170" i="57"/>
  <c r="C27" i="57"/>
  <c r="K221" i="57"/>
  <c r="B279" i="57"/>
  <c r="H295" i="57"/>
  <c r="D216" i="57"/>
  <c r="G139" i="57"/>
  <c r="H236" i="57"/>
  <c r="C120" i="57"/>
  <c r="C123" i="57"/>
  <c r="G220" i="57"/>
  <c r="C73" i="57"/>
  <c r="I250" i="57"/>
  <c r="N309" i="57"/>
  <c r="H115" i="57"/>
  <c r="P170" i="57"/>
  <c r="P87" i="57"/>
  <c r="C196" i="57"/>
  <c r="H100" i="57"/>
  <c r="M214" i="57"/>
  <c r="M56" i="57"/>
  <c r="K87" i="57"/>
  <c r="E120" i="57"/>
  <c r="M50" i="57"/>
  <c r="N65" i="57"/>
  <c r="J248" i="57"/>
  <c r="H291" i="57"/>
  <c r="H239" i="57"/>
  <c r="F48" i="57"/>
  <c r="M38" i="57"/>
  <c r="I127" i="57"/>
  <c r="G248" i="57"/>
  <c r="F144" i="57"/>
  <c r="K203" i="57"/>
  <c r="G99" i="57"/>
  <c r="C345" i="57"/>
  <c r="C98" i="57"/>
  <c r="L104" i="57"/>
  <c r="O330" i="57"/>
  <c r="K157" i="57"/>
  <c r="F101" i="57"/>
  <c r="N333" i="57"/>
  <c r="I211" i="57"/>
  <c r="J102" i="57"/>
  <c r="C224" i="57"/>
  <c r="F89" i="57"/>
  <c r="M157" i="57"/>
  <c r="E177" i="57"/>
  <c r="D320" i="57"/>
  <c r="O243" i="57"/>
  <c r="K90" i="57"/>
  <c r="J289" i="57"/>
  <c r="M224" i="57"/>
  <c r="L77" i="57"/>
  <c r="F8" i="57"/>
  <c r="P204" i="57"/>
  <c r="K67" i="57"/>
  <c r="C47" i="57"/>
  <c r="H90" i="57"/>
  <c r="H107" i="57"/>
  <c r="M129" i="57"/>
  <c r="D255" i="57"/>
  <c r="P183" i="57"/>
  <c r="E122" i="57"/>
  <c r="L304" i="57"/>
  <c r="F137" i="57"/>
  <c r="I336" i="57"/>
  <c r="G289" i="57"/>
  <c r="J8" i="57"/>
  <c r="I48" i="57"/>
  <c r="C72" i="57"/>
  <c r="D25" i="57"/>
  <c r="H260" i="57"/>
  <c r="L166" i="57"/>
  <c r="D226" i="57"/>
  <c r="H147" i="57"/>
  <c r="M219" i="57"/>
  <c r="B207" i="57"/>
  <c r="C241" i="57"/>
  <c r="I35" i="57"/>
  <c r="D50" i="57"/>
  <c r="I228" i="57"/>
  <c r="G118" i="57"/>
  <c r="K296" i="57"/>
  <c r="O211" i="57"/>
  <c r="D343" i="57"/>
  <c r="G85" i="57"/>
  <c r="P15" i="57"/>
  <c r="D161" i="57"/>
  <c r="P158" i="57"/>
  <c r="L277" i="57"/>
  <c r="P113" i="57"/>
  <c r="G97" i="57"/>
  <c r="I142" i="57"/>
  <c r="C51" i="57"/>
  <c r="J323" i="57"/>
  <c r="C137" i="57"/>
  <c r="J299" i="57"/>
  <c r="L8" i="57"/>
  <c r="D295" i="57"/>
  <c r="B84" i="57"/>
  <c r="K191" i="57"/>
  <c r="M84" i="57"/>
  <c r="P67" i="57"/>
  <c r="D11" i="57"/>
  <c r="F127" i="57"/>
  <c r="N111" i="57"/>
  <c r="J244" i="57"/>
  <c r="H192" i="57"/>
  <c r="O39" i="57"/>
  <c r="I102" i="57"/>
  <c r="H155" i="57"/>
  <c r="P110" i="57"/>
  <c r="O156" i="57"/>
  <c r="H80" i="57"/>
  <c r="E270" i="57"/>
  <c r="O158" i="57"/>
  <c r="O52" i="57"/>
  <c r="E104" i="57"/>
  <c r="G172" i="57"/>
  <c r="P271" i="57"/>
  <c r="L228" i="57"/>
  <c r="K269" i="57"/>
  <c r="E214" i="57"/>
  <c r="I175" i="57"/>
  <c r="C150" i="57"/>
  <c r="H246" i="57"/>
  <c r="M163" i="57"/>
  <c r="K132" i="57"/>
  <c r="I74" i="57"/>
  <c r="M201" i="57"/>
  <c r="H10" i="57"/>
  <c r="D334" i="57"/>
  <c r="H28" i="57"/>
  <c r="H43" i="57"/>
  <c r="C173" i="57"/>
  <c r="D118" i="57"/>
  <c r="K96" i="57"/>
  <c r="O171" i="57"/>
  <c r="N202" i="57"/>
  <c r="L163" i="57"/>
  <c r="G46" i="57"/>
  <c r="E237" i="57"/>
  <c r="B52" i="57"/>
  <c r="B240" i="57"/>
  <c r="D294" i="57"/>
  <c r="C316" i="57"/>
  <c r="C26" i="57"/>
  <c r="E250" i="57"/>
  <c r="P218" i="57"/>
  <c r="K273" i="57"/>
  <c r="J226" i="57"/>
  <c r="K73" i="57"/>
  <c r="F284" i="57"/>
  <c r="M29" i="57"/>
  <c r="C326" i="57"/>
  <c r="F238" i="57"/>
  <c r="J33" i="57"/>
  <c r="B266" i="57"/>
  <c r="C321" i="57"/>
  <c r="B325" i="57"/>
  <c r="D92" i="57"/>
  <c r="K167" i="57"/>
  <c r="N172" i="57"/>
  <c r="B311" i="57"/>
  <c r="I80" i="57"/>
  <c r="F125" i="57"/>
  <c r="P39" i="57"/>
  <c r="P44" i="57"/>
  <c r="F283" i="57"/>
  <c r="J324" i="57"/>
  <c r="K271" i="57"/>
  <c r="G235" i="57"/>
  <c r="K303" i="57"/>
  <c r="M14" i="57"/>
  <c r="N73" i="57"/>
  <c r="M240" i="57"/>
  <c r="M70" i="57"/>
  <c r="J309" i="57"/>
  <c r="G24" i="57"/>
  <c r="C214" i="57"/>
  <c r="F105" i="57"/>
  <c r="O240" i="57"/>
  <c r="C230" i="57"/>
  <c r="I271" i="57"/>
  <c r="K154" i="57"/>
  <c r="K57" i="57"/>
  <c r="N279" i="57"/>
  <c r="C198" i="57"/>
  <c r="J277" i="57"/>
  <c r="H35" i="57"/>
  <c r="F13" i="57"/>
  <c r="M277" i="57"/>
  <c r="H92" i="57"/>
  <c r="E151" i="57"/>
  <c r="N296" i="57"/>
  <c r="P179" i="57"/>
  <c r="J35" i="57"/>
  <c r="F12" i="57"/>
  <c r="B47" i="57"/>
  <c r="J327" i="57"/>
  <c r="M9" i="57"/>
  <c r="H209" i="57"/>
  <c r="D195" i="57"/>
  <c r="F170" i="57"/>
  <c r="C22" i="57"/>
  <c r="O293" i="57"/>
  <c r="C340" i="57"/>
  <c r="F202" i="57"/>
  <c r="C279" i="57"/>
  <c r="G117" i="57"/>
  <c r="J263" i="57"/>
  <c r="M181" i="57"/>
  <c r="P8" i="57"/>
  <c r="B336" i="57"/>
  <c r="L216" i="57"/>
  <c r="L289" i="57"/>
  <c r="O287" i="57"/>
  <c r="E348" i="57"/>
  <c r="M234" i="57"/>
  <c r="D132" i="57"/>
  <c r="B196" i="57"/>
  <c r="J216" i="57"/>
  <c r="P9" i="57"/>
  <c r="K283" i="57"/>
  <c r="K312" i="57"/>
  <c r="H299" i="57"/>
  <c r="G158" i="57"/>
  <c r="M22" i="57"/>
  <c r="C213" i="57"/>
  <c r="L158" i="57"/>
  <c r="P165" i="57"/>
  <c r="L242" i="57"/>
  <c r="O296" i="57"/>
  <c r="F326" i="57"/>
  <c r="C81" i="57"/>
  <c r="D31" i="57"/>
  <c r="M151" i="57"/>
  <c r="C347" i="57"/>
  <c r="G335" i="57"/>
  <c r="O109" i="57"/>
  <c r="B8" i="57"/>
  <c r="N305" i="57"/>
  <c r="F279" i="57"/>
  <c r="L321" i="57"/>
  <c r="M71" i="57"/>
  <c r="L193" i="57"/>
  <c r="M139" i="57"/>
  <c r="I285" i="57"/>
  <c r="O116" i="57"/>
  <c r="D331" i="57"/>
  <c r="C299" i="57"/>
  <c r="G270" i="57"/>
  <c r="K230" i="57"/>
  <c r="D335" i="57"/>
  <c r="H49" i="57"/>
  <c r="K332" i="57"/>
  <c r="L156" i="57"/>
  <c r="P340" i="57"/>
  <c r="D65" i="57"/>
  <c r="I106" i="57"/>
  <c r="G156" i="57"/>
  <c r="C85" i="57"/>
  <c r="J255" i="57"/>
  <c r="F42" i="57"/>
  <c r="N137" i="57"/>
  <c r="C310" i="57"/>
  <c r="D332" i="57"/>
  <c r="C202" i="57"/>
  <c r="D116" i="57"/>
  <c r="O286" i="57"/>
  <c r="E231" i="57"/>
  <c r="C69" i="57"/>
  <c r="E110" i="57"/>
  <c r="N77" i="57"/>
  <c r="O54" i="57"/>
  <c r="O135" i="57"/>
  <c r="L36" i="57"/>
  <c r="H87" i="57"/>
  <c r="P137" i="57"/>
  <c r="O102" i="57"/>
  <c r="E272" i="57"/>
  <c r="J199" i="57"/>
  <c r="E199" i="57"/>
  <c r="B168" i="57"/>
  <c r="E20" i="57"/>
  <c r="F64" i="57"/>
  <c r="J64" i="57"/>
  <c r="I144" i="57"/>
  <c r="P70" i="57"/>
  <c r="J134" i="57"/>
  <c r="N345" i="57"/>
  <c r="M30" i="57"/>
  <c r="C125" i="57"/>
  <c r="P215" i="57"/>
  <c r="G82" i="57"/>
  <c r="F266" i="57"/>
  <c r="K58" i="57"/>
  <c r="O23" i="57"/>
  <c r="K165" i="57"/>
  <c r="F298" i="57"/>
  <c r="K12" i="57"/>
  <c r="D196" i="57"/>
  <c r="J197" i="57"/>
  <c r="H77" i="57"/>
  <c r="I111" i="57"/>
  <c r="J176" i="57"/>
  <c r="N340" i="57"/>
  <c r="F112" i="57"/>
  <c r="D257" i="57"/>
  <c r="D104" i="57"/>
  <c r="O97" i="57"/>
  <c r="G129" i="57"/>
  <c r="E343" i="57"/>
  <c r="B238" i="57"/>
  <c r="F252" i="57"/>
  <c r="L61" i="57"/>
  <c r="M207" i="57"/>
  <c r="E296" i="57"/>
  <c r="L144" i="57"/>
  <c r="D97" i="57"/>
  <c r="E239" i="57"/>
  <c r="O338" i="57"/>
  <c r="E215" i="57"/>
  <c r="I41" i="57"/>
  <c r="J108" i="57"/>
  <c r="N185" i="57"/>
  <c r="H70" i="57"/>
  <c r="G295" i="57"/>
  <c r="K260" i="57"/>
  <c r="D145" i="57"/>
  <c r="F207" i="57"/>
  <c r="E81" i="57"/>
  <c r="O259" i="57"/>
  <c r="D13" i="57"/>
  <c r="K205" i="57"/>
  <c r="I280" i="57"/>
  <c r="L24" i="57"/>
  <c r="E66" i="57"/>
  <c r="E83" i="57"/>
  <c r="O229" i="57"/>
  <c r="C105" i="57"/>
  <c r="M16" i="57"/>
  <c r="N327" i="57"/>
  <c r="P303" i="57"/>
  <c r="I244" i="57"/>
  <c r="J223" i="57"/>
  <c r="J208" i="57"/>
  <c r="J195" i="57"/>
  <c r="B248" i="57"/>
  <c r="C151" i="57"/>
  <c r="G285" i="57"/>
  <c r="E346" i="57"/>
  <c r="H245" i="57"/>
  <c r="H331" i="57"/>
  <c r="B287" i="57"/>
  <c r="F189" i="57"/>
  <c r="F155" i="57"/>
  <c r="I283" i="57"/>
  <c r="N160" i="57"/>
  <c r="K159" i="57"/>
  <c r="N150" i="57"/>
  <c r="J212" i="57"/>
  <c r="P131" i="57"/>
  <c r="H278" i="57"/>
  <c r="O58" i="57"/>
  <c r="D108" i="57"/>
  <c r="K288" i="57"/>
  <c r="D183" i="57"/>
  <c r="H240" i="57"/>
  <c r="G328" i="57"/>
  <c r="F160" i="57"/>
  <c r="H154" i="57"/>
  <c r="B94" i="57"/>
  <c r="J280" i="57"/>
  <c r="L73" i="57"/>
  <c r="E105" i="57"/>
  <c r="E72" i="57"/>
  <c r="J187" i="57"/>
  <c r="C118" i="57"/>
  <c r="M8" i="57"/>
  <c r="G203" i="57"/>
  <c r="O113" i="57"/>
  <c r="M316" i="57"/>
  <c r="E334" i="57"/>
  <c r="C248" i="57"/>
  <c r="N339" i="57"/>
  <c r="K142" i="57"/>
  <c r="J29" i="57"/>
  <c r="D271" i="57"/>
  <c r="G109" i="57"/>
  <c r="F113" i="57"/>
  <c r="I62" i="57"/>
  <c r="O347" i="57"/>
  <c r="K145" i="57"/>
  <c r="K130" i="57"/>
  <c r="G66" i="57"/>
  <c r="J59" i="57"/>
  <c r="N294" i="57"/>
  <c r="F53" i="57"/>
  <c r="I27" i="57"/>
  <c r="C250" i="57"/>
  <c r="G163" i="57"/>
  <c r="K136" i="57"/>
  <c r="K113" i="57"/>
  <c r="P31" i="57"/>
  <c r="P222" i="57"/>
  <c r="H264" i="57"/>
  <c r="N76" i="57"/>
  <c r="I110" i="57"/>
  <c r="J331" i="57"/>
  <c r="K69" i="57"/>
  <c r="N22" i="57"/>
  <c r="L263" i="57"/>
  <c r="H341" i="57"/>
  <c r="B188" i="57"/>
  <c r="H345" i="57"/>
  <c r="I63" i="57"/>
  <c r="C197" i="57"/>
  <c r="O104" i="57"/>
  <c r="B154" i="57"/>
  <c r="O14" i="57"/>
  <c r="P201" i="57"/>
  <c r="G287" i="57"/>
  <c r="C110" i="57"/>
  <c r="M232" i="57"/>
  <c r="D316" i="57"/>
  <c r="H89" i="57"/>
  <c r="D42" i="57"/>
  <c r="D260" i="57"/>
  <c r="E325" i="57"/>
  <c r="K179" i="57"/>
  <c r="G293" i="57"/>
  <c r="M191" i="57"/>
  <c r="K226" i="57"/>
  <c r="K166" i="57"/>
  <c r="G93" i="57"/>
  <c r="F293" i="57"/>
  <c r="J237" i="57"/>
  <c r="L148" i="57"/>
  <c r="G116" i="57"/>
  <c r="C210" i="57"/>
  <c r="P287" i="57"/>
  <c r="C104" i="57"/>
  <c r="M152" i="57"/>
  <c r="H110" i="57"/>
  <c r="J39" i="57"/>
  <c r="H270" i="57"/>
  <c r="H134" i="57"/>
  <c r="B115" i="57"/>
  <c r="C76" i="57"/>
  <c r="O245" i="57"/>
  <c r="K172" i="57"/>
  <c r="N298" i="57"/>
  <c r="L138" i="57"/>
  <c r="E255" i="57"/>
  <c r="H259" i="57"/>
  <c r="L100" i="57"/>
  <c r="E32" i="57"/>
  <c r="E68" i="57"/>
  <c r="L280" i="57"/>
  <c r="E222" i="57"/>
  <c r="F131" i="57"/>
  <c r="E265" i="57"/>
  <c r="P77" i="57"/>
  <c r="G169" i="57"/>
  <c r="H21" i="57"/>
  <c r="N329" i="57"/>
  <c r="I197" i="57"/>
  <c r="H118" i="57"/>
  <c r="I109" i="57"/>
  <c r="E65" i="57"/>
  <c r="I131" i="57"/>
  <c r="J315" i="57"/>
  <c r="H42" i="57"/>
  <c r="D302" i="57"/>
  <c r="O321" i="57"/>
  <c r="L221" i="57"/>
  <c r="C102" i="57"/>
  <c r="O224" i="57"/>
  <c r="N261" i="57"/>
  <c r="C189" i="57"/>
  <c r="I78" i="57"/>
  <c r="E14" i="57"/>
  <c r="M108" i="57"/>
  <c r="E102" i="57"/>
  <c r="C93" i="57"/>
  <c r="I226" i="57"/>
  <c r="M114" i="57"/>
  <c r="G340" i="57"/>
  <c r="O117" i="57"/>
  <c r="F211" i="57"/>
  <c r="C179" i="57"/>
  <c r="D201" i="57"/>
  <c r="F104" i="57"/>
  <c r="G301" i="57"/>
  <c r="E208" i="57"/>
  <c r="N12" i="57"/>
  <c r="D286" i="57"/>
  <c r="K74" i="57"/>
  <c r="M26" i="57"/>
  <c r="I189" i="57"/>
  <c r="L127" i="57"/>
  <c r="N58" i="57"/>
  <c r="C188" i="57"/>
  <c r="D283" i="57"/>
  <c r="G123" i="57"/>
  <c r="P62" i="57"/>
  <c r="P273" i="57"/>
  <c r="L15" i="57"/>
  <c r="E41" i="57"/>
  <c r="O202" i="57"/>
  <c r="E27" i="57"/>
  <c r="K42" i="57"/>
  <c r="L179" i="57"/>
  <c r="O38" i="57"/>
  <c r="M61" i="57"/>
  <c r="H214" i="57"/>
  <c r="M125" i="57"/>
  <c r="L295" i="57"/>
  <c r="G196" i="57"/>
  <c r="C185" i="57"/>
  <c r="H47" i="57"/>
  <c r="J109" i="57"/>
  <c r="M273" i="57"/>
  <c r="I124" i="57"/>
  <c r="G26" i="57"/>
  <c r="K175" i="57"/>
  <c r="G317" i="57"/>
  <c r="D199" i="57"/>
  <c r="C320" i="57"/>
  <c r="L184" i="57"/>
  <c r="P161" i="57"/>
  <c r="M118" i="57"/>
  <c r="L56" i="57"/>
  <c r="K301" i="57"/>
  <c r="E124" i="57"/>
  <c r="F222" i="57"/>
  <c r="B253" i="57"/>
  <c r="E179" i="57"/>
  <c r="L151" i="57"/>
  <c r="D204" i="57"/>
  <c r="P343" i="57"/>
  <c r="D114" i="57"/>
  <c r="P129" i="57"/>
  <c r="N152" i="57"/>
  <c r="B239" i="57"/>
  <c r="M162" i="57"/>
  <c r="H151" i="57"/>
  <c r="L283" i="57"/>
  <c r="G282" i="57"/>
  <c r="B294" i="57"/>
  <c r="I94" i="57"/>
  <c r="I170" i="57"/>
  <c r="C312" i="57"/>
  <c r="D53" i="57"/>
  <c r="M243" i="57"/>
  <c r="K306" i="57"/>
  <c r="D185" i="57"/>
  <c r="I275" i="57"/>
  <c r="G212" i="57"/>
  <c r="B85" i="57"/>
  <c r="E300" i="57"/>
  <c r="H22" i="57"/>
  <c r="P325" i="57"/>
  <c r="K328" i="57"/>
  <c r="J104" i="57"/>
  <c r="N252" i="57"/>
  <c r="E240" i="57"/>
  <c r="F285" i="57"/>
  <c r="E29" i="57"/>
  <c r="D202" i="57"/>
  <c r="E100" i="57"/>
  <c r="O311" i="57"/>
  <c r="C295" i="57"/>
  <c r="P238" i="57"/>
  <c r="I155" i="57"/>
  <c r="F335" i="57"/>
  <c r="O71" i="57"/>
  <c r="B16" i="57"/>
  <c r="L30" i="57"/>
  <c r="F280" i="57"/>
  <c r="O307" i="57"/>
  <c r="N68" i="57"/>
  <c r="D173" i="57"/>
  <c r="B331" i="57"/>
  <c r="D124" i="57"/>
  <c r="C68" i="57"/>
  <c r="C32" i="57"/>
  <c r="F344" i="57"/>
  <c r="G105" i="57"/>
  <c r="N189" i="57"/>
  <c r="E302" i="57"/>
  <c r="J42" i="57"/>
  <c r="M303" i="57"/>
  <c r="L78" i="57"/>
  <c r="E306" i="57"/>
  <c r="L162" i="57"/>
  <c r="O199" i="57"/>
  <c r="H105" i="57"/>
  <c r="K85" i="57"/>
  <c r="G81" i="57"/>
  <c r="L324" i="57"/>
  <c r="L21" i="57"/>
  <c r="N177" i="57"/>
  <c r="N260" i="57"/>
  <c r="I64" i="57"/>
  <c r="F343" i="57"/>
  <c r="P123" i="57"/>
  <c r="N210" i="57"/>
  <c r="K266" i="57"/>
  <c r="K35" i="57"/>
  <c r="K97" i="57"/>
  <c r="L246" i="57"/>
  <c r="M229" i="57"/>
  <c r="B228" i="57"/>
  <c r="C64" i="57"/>
  <c r="D265" i="57"/>
  <c r="L103" i="57"/>
  <c r="M262" i="57"/>
  <c r="K126" i="57"/>
  <c r="M54" i="57"/>
  <c r="G187" i="57"/>
  <c r="F218" i="57"/>
  <c r="D250" i="57"/>
  <c r="K206" i="57"/>
  <c r="B274" i="57"/>
  <c r="G229" i="57"/>
  <c r="N223" i="57"/>
  <c r="N67" i="57"/>
  <c r="E266" i="57"/>
  <c r="J99" i="57"/>
  <c r="M225" i="57"/>
  <c r="B118" i="57"/>
  <c r="M281" i="57"/>
  <c r="L215" i="57"/>
  <c r="P30" i="57"/>
  <c r="K88" i="57"/>
  <c r="H347" i="57"/>
  <c r="D214" i="57"/>
  <c r="B18" i="57"/>
  <c r="G308" i="57"/>
  <c r="D159" i="57"/>
  <c r="M149" i="57"/>
  <c r="G114" i="57"/>
  <c r="G36" i="57"/>
  <c r="H169" i="57"/>
  <c r="G313" i="57"/>
  <c r="M127" i="57"/>
  <c r="H186" i="57"/>
  <c r="D126" i="57"/>
  <c r="C284" i="57"/>
  <c r="K118" i="57"/>
  <c r="D85" i="57"/>
  <c r="K65" i="57"/>
  <c r="K183" i="57"/>
  <c r="C71" i="57"/>
  <c r="D233" i="57"/>
  <c r="D106" i="57"/>
  <c r="M45" i="57"/>
  <c r="C121" i="57"/>
  <c r="D84" i="57"/>
  <c r="C55" i="57"/>
  <c r="P208" i="57"/>
  <c r="O98" i="57"/>
  <c r="E147" i="57"/>
  <c r="H99" i="57"/>
  <c r="G291" i="57"/>
  <c r="L34" i="57"/>
  <c r="I205" i="57"/>
  <c r="M310" i="57"/>
  <c r="C8" i="57"/>
  <c r="O15" i="57"/>
  <c r="M210" i="57"/>
  <c r="C247" i="57"/>
  <c r="E133" i="57"/>
  <c r="C235" i="57"/>
  <c r="L108" i="57"/>
  <c r="C227" i="57"/>
  <c r="O70" i="57"/>
  <c r="L49" i="57"/>
  <c r="L145" i="57"/>
  <c r="E103" i="57"/>
  <c r="J221" i="57"/>
  <c r="O196" i="57"/>
  <c r="O326" i="57"/>
  <c r="K210" i="57"/>
  <c r="M324" i="57"/>
  <c r="P90" i="57"/>
  <c r="B250" i="57"/>
  <c r="D219" i="57"/>
  <c r="J260" i="57"/>
  <c r="K229" i="57"/>
  <c r="J47" i="57"/>
  <c r="P210" i="57"/>
  <c r="L269" i="57"/>
  <c r="F220" i="57"/>
  <c r="I32" i="57"/>
  <c r="O272" i="57"/>
  <c r="L234" i="57"/>
  <c r="J305" i="57"/>
  <c r="L294" i="57"/>
  <c r="N173" i="57"/>
  <c r="J122" i="57"/>
  <c r="L214" i="57"/>
  <c r="E207" i="57"/>
  <c r="D14" i="57"/>
  <c r="F183" i="57"/>
  <c r="P58" i="57"/>
  <c r="H85" i="57"/>
  <c r="I195" i="57"/>
  <c r="M91" i="57"/>
  <c r="E53" i="57"/>
  <c r="O191" i="57"/>
  <c r="O195" i="57"/>
  <c r="G206" i="57"/>
  <c r="G330" i="57"/>
  <c r="D276" i="57"/>
  <c r="D125" i="57"/>
  <c r="N59" i="57"/>
  <c r="K291" i="57"/>
  <c r="C297" i="57"/>
  <c r="K139" i="57"/>
  <c r="M211" i="57"/>
  <c r="N71" i="57"/>
  <c r="E15" i="57"/>
  <c r="L109" i="57"/>
  <c r="N80" i="57"/>
  <c r="P11" i="57"/>
  <c r="G32" i="57"/>
  <c r="L218" i="57"/>
  <c r="B57" i="57"/>
  <c r="E144" i="57"/>
  <c r="O91" i="57"/>
  <c r="L191" i="57"/>
  <c r="J251" i="57"/>
  <c r="K108" i="57"/>
  <c r="M74" i="57"/>
  <c r="M133" i="57"/>
  <c r="G38" i="57"/>
  <c r="G200" i="57"/>
  <c r="L147" i="57"/>
  <c r="D19" i="57"/>
  <c r="J319" i="57"/>
  <c r="J206" i="57"/>
  <c r="P266" i="57"/>
  <c r="N244" i="57"/>
  <c r="N214" i="57"/>
  <c r="L58" i="57"/>
  <c r="C18" i="57"/>
  <c r="P291" i="57"/>
  <c r="F263" i="57"/>
  <c r="G148" i="57"/>
  <c r="G157" i="57"/>
  <c r="H121" i="57"/>
  <c r="G12" i="57"/>
  <c r="M41" i="57"/>
  <c r="C319" i="57"/>
  <c r="C138" i="57"/>
  <c r="K82" i="57"/>
  <c r="D49" i="57"/>
  <c r="K121" i="57"/>
  <c r="I324" i="57"/>
  <c r="P43" i="57"/>
  <c r="O265" i="57"/>
  <c r="F96" i="57"/>
  <c r="M223" i="57"/>
  <c r="G271" i="57"/>
  <c r="B87" i="57"/>
  <c r="O231" i="57"/>
  <c r="N303" i="57"/>
  <c r="K124" i="57"/>
  <c r="G202" i="57"/>
  <c r="F173" i="57"/>
  <c r="D34" i="57"/>
  <c r="F149" i="57"/>
  <c r="I194" i="57"/>
  <c r="B155" i="57"/>
  <c r="I297" i="57"/>
  <c r="O292" i="57"/>
  <c r="J20" i="57"/>
  <c r="D27" i="57"/>
  <c r="D168" i="57"/>
  <c r="P78" i="57"/>
  <c r="L253" i="57"/>
  <c r="P193" i="57"/>
  <c r="P290" i="57"/>
  <c r="K115" i="57"/>
  <c r="K219" i="57"/>
  <c r="G28" i="57"/>
  <c r="K302" i="57"/>
  <c r="B131" i="57"/>
  <c r="K297" i="57"/>
  <c r="I79" i="57"/>
  <c r="D207" i="57"/>
  <c r="H59" i="57"/>
  <c r="H133" i="57"/>
  <c r="J232" i="57"/>
  <c r="N336" i="57"/>
  <c r="J66" i="57"/>
  <c r="O281" i="57"/>
  <c r="L136" i="57"/>
  <c r="L267" i="57"/>
  <c r="G284" i="57"/>
  <c r="J54" i="57"/>
  <c r="F51" i="57"/>
  <c r="L149" i="57"/>
  <c r="K300" i="57"/>
  <c r="B98" i="57"/>
  <c r="I163" i="57"/>
  <c r="L303" i="57"/>
  <c r="N232" i="57"/>
  <c r="F226" i="57"/>
  <c r="D329" i="57"/>
  <c r="H254" i="57"/>
  <c r="D120" i="57"/>
  <c r="K98" i="57"/>
  <c r="P40" i="57"/>
  <c r="F32" i="57"/>
  <c r="L306" i="57"/>
  <c r="G221" i="57"/>
  <c r="O213" i="57"/>
  <c r="H216" i="57"/>
  <c r="F60" i="57"/>
  <c r="N248" i="57"/>
  <c r="M32" i="57"/>
  <c r="K66" i="57"/>
  <c r="P116" i="57"/>
  <c r="I217" i="57"/>
  <c r="K346" i="57"/>
  <c r="E13" i="57"/>
  <c r="D311" i="57"/>
  <c r="B208" i="57"/>
  <c r="E23" i="57"/>
  <c r="E209" i="57"/>
  <c r="G288" i="57"/>
  <c r="O262" i="57"/>
  <c r="I296" i="57"/>
  <c r="D152" i="57"/>
  <c r="N37" i="57"/>
  <c r="K335" i="57"/>
  <c r="N50" i="57"/>
  <c r="G290" i="57"/>
  <c r="G180" i="57"/>
  <c r="C50" i="57"/>
  <c r="B41" i="57"/>
  <c r="I126" i="57"/>
  <c r="O233" i="57"/>
  <c r="G87" i="57"/>
  <c r="E261" i="57"/>
  <c r="M77" i="61"/>
  <c r="N77" i="61"/>
  <c r="N79" i="61" s="1"/>
  <c r="O77" i="61"/>
  <c r="O86" i="61" s="1"/>
  <c r="O80" i="61" l="1"/>
  <c r="O79" i="61"/>
  <c r="N87" i="61"/>
  <c r="O87" i="61" s="1"/>
  <c r="N80" i="61"/>
  <c r="M80" i="61"/>
  <c r="M88" i="61"/>
  <c r="M79" i="61"/>
  <c r="N88" i="61" l="1"/>
  <c r="O88" i="61"/>
  <c r="B8" i="40"/>
  <c r="D7" i="40" s="1"/>
  <c r="B67" i="40"/>
  <c r="M27" i="50" l="1"/>
  <c r="W62" i="40"/>
  <c r="V67" i="40" s="1"/>
  <c r="C19" i="40" s="1"/>
  <c r="C20" i="58" l="1"/>
  <c r="D40" i="50" s="1"/>
  <c r="C34" i="40"/>
  <c r="D115" i="40"/>
  <c r="D125" i="40"/>
  <c r="D116" i="40"/>
  <c r="D126" i="40"/>
  <c r="D117" i="40"/>
  <c r="H109" i="40" s="1"/>
  <c r="I109" i="40" s="1"/>
  <c r="A41" i="50" s="1"/>
  <c r="D118" i="40"/>
  <c r="C31" i="40"/>
  <c r="D31" i="40" s="1"/>
  <c r="D119" i="40"/>
  <c r="D120" i="40"/>
  <c r="C33" i="40"/>
  <c r="D33" i="40" s="1"/>
  <c r="D113" i="40"/>
  <c r="D123" i="40"/>
  <c r="D111" i="40"/>
  <c r="D112" i="40"/>
  <c r="D114" i="40"/>
  <c r="D121" i="40"/>
  <c r="D122" i="40"/>
  <c r="D124" i="40"/>
  <c r="C32" i="40"/>
  <c r="D32" i="40" s="1"/>
  <c r="BS21" i="36" l="1"/>
  <c r="D4" i="36"/>
  <c r="BT99" i="36"/>
  <c r="AZ100" i="36" s="1"/>
  <c r="D87" i="36"/>
  <c r="E29" i="62"/>
  <c r="AZ33" i="36" s="1"/>
  <c r="BS32" i="36"/>
  <c r="D23" i="36"/>
  <c r="C6" i="60"/>
  <c r="D48" i="60"/>
  <c r="D49" i="60"/>
  <c r="D57" i="60"/>
  <c r="E61" i="60"/>
  <c r="E62" i="60"/>
  <c r="E63" i="60"/>
  <c r="E65" i="60"/>
  <c r="E66" i="60"/>
  <c r="E68" i="60"/>
  <c r="E69" i="60"/>
  <c r="E70" i="60"/>
  <c r="E71" i="60"/>
  <c r="E72" i="60"/>
  <c r="E73" i="60"/>
  <c r="E77" i="60"/>
  <c r="E78" i="60"/>
  <c r="E79" i="60"/>
  <c r="E80" i="60"/>
  <c r="E81" i="60"/>
  <c r="E84" i="60"/>
  <c r="E85" i="60"/>
  <c r="E86" i="60"/>
  <c r="E87" i="60"/>
  <c r="E88" i="60"/>
  <c r="E91" i="60"/>
  <c r="E92" i="60"/>
  <c r="E95" i="60"/>
  <c r="E96" i="60"/>
  <c r="E99" i="60"/>
  <c r="I99" i="60"/>
  <c r="E100" i="60"/>
  <c r="I100" i="60"/>
  <c r="E103" i="60"/>
  <c r="E104" i="60"/>
  <c r="E124" i="60"/>
  <c r="E125" i="60"/>
  <c r="E130" i="60"/>
  <c r="E131" i="60"/>
  <c r="E136" i="60"/>
  <c r="E137" i="60"/>
  <c r="E140" i="60"/>
  <c r="E141" i="60"/>
  <c r="E144" i="60"/>
  <c r="E145" i="60"/>
  <c r="E146" i="60"/>
  <c r="E147" i="60"/>
  <c r="E155" i="60"/>
  <c r="E158" i="60"/>
  <c r="E165" i="60"/>
  <c r="E168" i="60"/>
  <c r="E175" i="60"/>
  <c r="E178" i="60"/>
  <c r="E185" i="60"/>
  <c r="E188" i="60"/>
  <c r="E195" i="60"/>
  <c r="E198" i="60"/>
  <c r="E205" i="60"/>
  <c r="E208" i="60"/>
  <c r="E213" i="60"/>
  <c r="E214" i="60"/>
  <c r="E215" i="60"/>
  <c r="E216" i="60"/>
  <c r="K216" i="60"/>
  <c r="L216" i="60"/>
  <c r="M216" i="60"/>
  <c r="N216" i="60"/>
  <c r="O216" i="60"/>
  <c r="P216" i="60"/>
  <c r="E217" i="60"/>
  <c r="E218" i="60"/>
  <c r="E219" i="60"/>
  <c r="E220" i="60"/>
  <c r="K220" i="60"/>
  <c r="L220" i="60"/>
  <c r="M220" i="60"/>
  <c r="N220" i="60"/>
  <c r="O220" i="60"/>
  <c r="P220" i="60"/>
  <c r="E221" i="60"/>
  <c r="E222" i="60"/>
  <c r="E223" i="60"/>
  <c r="E224" i="60"/>
  <c r="E227" i="60"/>
  <c r="G227" i="60"/>
  <c r="E228" i="60"/>
  <c r="G228" i="60"/>
  <c r="E246" i="60"/>
  <c r="E247" i="60"/>
  <c r="E249" i="60"/>
  <c r="E250" i="60"/>
  <c r="E261" i="60"/>
  <c r="E262" i="60"/>
  <c r="E269" i="60"/>
  <c r="E270" i="60"/>
  <c r="E278" i="60"/>
  <c r="E279" i="60"/>
  <c r="E282" i="60"/>
  <c r="E283" i="60"/>
  <c r="E288" i="60"/>
  <c r="E291" i="60"/>
  <c r="E292" i="60"/>
  <c r="I8" i="24"/>
  <c r="J8" i="24"/>
  <c r="K8" i="24"/>
  <c r="L8" i="24"/>
  <c r="M8" i="24"/>
  <c r="N8" i="24"/>
  <c r="O8" i="24"/>
  <c r="P8" i="24"/>
  <c r="Q8" i="24"/>
  <c r="R8" i="24"/>
  <c r="S8" i="24"/>
  <c r="I10" i="24"/>
  <c r="J10" i="24"/>
  <c r="K10" i="24"/>
  <c r="L10" i="24"/>
  <c r="M10" i="24"/>
  <c r="N10" i="24"/>
  <c r="O10" i="24"/>
  <c r="P10" i="24"/>
  <c r="Q10" i="24"/>
  <c r="R10" i="24"/>
  <c r="S10" i="24"/>
  <c r="I13" i="24"/>
  <c r="J13" i="24"/>
  <c r="K13" i="24"/>
  <c r="L13" i="24"/>
  <c r="M13" i="24"/>
  <c r="N13" i="24"/>
  <c r="O13" i="24"/>
  <c r="P13" i="24"/>
  <c r="Q13" i="24"/>
  <c r="R13" i="24"/>
  <c r="S13" i="24"/>
  <c r="I14" i="24"/>
  <c r="J14" i="24"/>
  <c r="K14" i="24"/>
  <c r="L14" i="24"/>
  <c r="M14" i="24"/>
  <c r="N14" i="24"/>
  <c r="O14" i="24"/>
  <c r="P14" i="24"/>
  <c r="Q14" i="24"/>
  <c r="R14" i="24"/>
  <c r="S14" i="24"/>
  <c r="I15" i="24"/>
  <c r="J15" i="24"/>
  <c r="K15" i="24"/>
  <c r="L15" i="24"/>
  <c r="M15" i="24"/>
  <c r="N15" i="24"/>
  <c r="O15" i="24"/>
  <c r="P15" i="24"/>
  <c r="Q15" i="24"/>
  <c r="R15" i="24"/>
  <c r="S15" i="24"/>
  <c r="I16" i="24"/>
  <c r="J16" i="24"/>
  <c r="K16" i="24"/>
  <c r="L16" i="24"/>
  <c r="M16" i="24"/>
  <c r="N16" i="24"/>
  <c r="O16" i="24"/>
  <c r="P16" i="24"/>
  <c r="Q16" i="24"/>
  <c r="R16" i="24"/>
  <c r="S16" i="24"/>
  <c r="I17" i="24"/>
  <c r="J17" i="24"/>
  <c r="K17" i="24"/>
  <c r="L17" i="24"/>
  <c r="M17" i="24"/>
  <c r="N17" i="24"/>
  <c r="O17" i="24"/>
  <c r="P17" i="24"/>
  <c r="Q17" i="24"/>
  <c r="R17" i="24"/>
  <c r="S17" i="24"/>
  <c r="I18" i="24"/>
  <c r="J18" i="24"/>
  <c r="K18" i="24"/>
  <c r="L18" i="24"/>
  <c r="M18" i="24"/>
  <c r="N18" i="24"/>
  <c r="O18" i="24"/>
  <c r="P18" i="24"/>
  <c r="Q18" i="24"/>
  <c r="R18" i="24"/>
  <c r="S18" i="24"/>
  <c r="I19" i="24"/>
  <c r="J19" i="24"/>
  <c r="K19" i="24"/>
  <c r="L19" i="24"/>
  <c r="M19" i="24"/>
  <c r="N19" i="24"/>
  <c r="O19" i="24"/>
  <c r="P19" i="24"/>
  <c r="Q19" i="24"/>
  <c r="R19" i="24"/>
  <c r="S19" i="24"/>
  <c r="I20" i="24"/>
  <c r="J20" i="24"/>
  <c r="K20" i="24"/>
  <c r="L20" i="24"/>
  <c r="M20" i="24"/>
  <c r="N20" i="24"/>
  <c r="O20" i="24"/>
  <c r="P20" i="24"/>
  <c r="Q20" i="24"/>
  <c r="R20" i="24"/>
  <c r="S20" i="24"/>
  <c r="I22" i="24"/>
  <c r="J22" i="24"/>
  <c r="K22" i="24"/>
  <c r="L22" i="24"/>
  <c r="M22" i="24"/>
  <c r="N22" i="24"/>
  <c r="O22" i="24"/>
  <c r="P22" i="24"/>
  <c r="Q22" i="24"/>
  <c r="R22" i="24"/>
  <c r="S22" i="24"/>
  <c r="I23" i="24"/>
  <c r="J23" i="24"/>
  <c r="K23" i="24"/>
  <c r="L23" i="24"/>
  <c r="M23" i="24"/>
  <c r="N23" i="24"/>
  <c r="O23" i="24"/>
  <c r="P23" i="24"/>
  <c r="Q23" i="24"/>
  <c r="R23" i="24"/>
  <c r="S23" i="24"/>
  <c r="I24" i="24"/>
  <c r="J24" i="24"/>
  <c r="K24" i="24"/>
  <c r="L24" i="24"/>
  <c r="M24" i="24"/>
  <c r="N24" i="24"/>
  <c r="O24" i="24"/>
  <c r="P24" i="24"/>
  <c r="Q24" i="24"/>
  <c r="R24" i="24"/>
  <c r="S24" i="24"/>
  <c r="I25" i="24"/>
  <c r="J25" i="24"/>
  <c r="K25" i="24"/>
  <c r="L25" i="24"/>
  <c r="M25" i="24"/>
  <c r="N25" i="24"/>
  <c r="O25" i="24"/>
  <c r="P25" i="24"/>
  <c r="Q25" i="24"/>
  <c r="R25" i="24"/>
  <c r="S25" i="24"/>
  <c r="I26" i="24"/>
  <c r="J26" i="24"/>
  <c r="K26" i="24"/>
  <c r="L26" i="24"/>
  <c r="M26" i="24"/>
  <c r="N26" i="24"/>
  <c r="O26" i="24"/>
  <c r="P26" i="24"/>
  <c r="Q26" i="24"/>
  <c r="R26" i="24"/>
  <c r="S26" i="24"/>
  <c r="I27" i="24"/>
  <c r="J27" i="24"/>
  <c r="K27" i="24"/>
  <c r="L27" i="24"/>
  <c r="M27" i="24"/>
  <c r="N27" i="24"/>
  <c r="O27" i="24"/>
  <c r="P27" i="24"/>
  <c r="Q27" i="24"/>
  <c r="R27" i="24"/>
  <c r="S27" i="24"/>
  <c r="I28" i="24"/>
  <c r="J28" i="24"/>
  <c r="K28" i="24"/>
  <c r="L28" i="24"/>
  <c r="M28" i="24"/>
  <c r="N28" i="24"/>
  <c r="O28" i="24"/>
  <c r="P28" i="24"/>
  <c r="Q28" i="24"/>
  <c r="R28" i="24"/>
  <c r="S28" i="24"/>
  <c r="I29" i="24"/>
  <c r="J29" i="24"/>
  <c r="K29" i="24"/>
  <c r="L29" i="24"/>
  <c r="M29" i="24"/>
  <c r="N29" i="24"/>
  <c r="O29" i="24"/>
  <c r="P29" i="24"/>
  <c r="Q29" i="24"/>
  <c r="R29" i="24"/>
  <c r="S29" i="24"/>
  <c r="I31" i="24"/>
  <c r="J31" i="24"/>
  <c r="K31" i="24"/>
  <c r="L31" i="24"/>
  <c r="M31" i="24"/>
  <c r="N31" i="24"/>
  <c r="O31" i="24"/>
  <c r="P31" i="24"/>
  <c r="Q31" i="24"/>
  <c r="R31" i="24"/>
  <c r="S31" i="24"/>
  <c r="I34" i="24"/>
  <c r="J34" i="24"/>
  <c r="K34" i="24"/>
  <c r="L34" i="24"/>
  <c r="M34" i="24"/>
  <c r="N34" i="24"/>
  <c r="O34" i="24"/>
  <c r="P34" i="24"/>
  <c r="Q34" i="24"/>
  <c r="R34" i="24"/>
  <c r="S34" i="24"/>
  <c r="I37" i="24"/>
  <c r="J37" i="24"/>
  <c r="K37" i="24"/>
  <c r="L37" i="24"/>
  <c r="M37" i="24"/>
  <c r="N37" i="24"/>
  <c r="O37" i="24"/>
  <c r="P37" i="24"/>
  <c r="Q37" i="24"/>
  <c r="R37" i="24"/>
  <c r="S37" i="24"/>
  <c r="I38" i="24"/>
  <c r="J38" i="24"/>
  <c r="K38" i="24"/>
  <c r="L38" i="24"/>
  <c r="M38" i="24"/>
  <c r="N38" i="24"/>
  <c r="O38" i="24"/>
  <c r="P38" i="24"/>
  <c r="Q38" i="24"/>
  <c r="R38" i="24"/>
  <c r="S38" i="24"/>
  <c r="I39" i="24"/>
  <c r="J39" i="24"/>
  <c r="K39" i="24"/>
  <c r="L39" i="24"/>
  <c r="M39" i="24"/>
  <c r="N39" i="24"/>
  <c r="O39" i="24"/>
  <c r="P39" i="24"/>
  <c r="Q39" i="24"/>
  <c r="R39" i="24"/>
  <c r="S39" i="24"/>
  <c r="I40" i="24"/>
  <c r="J40" i="24"/>
  <c r="K40" i="24"/>
  <c r="L40" i="24"/>
  <c r="M40" i="24"/>
  <c r="N40" i="24"/>
  <c r="O40" i="24"/>
  <c r="P40" i="24"/>
  <c r="Q40" i="24"/>
  <c r="R40" i="24"/>
  <c r="S40" i="24"/>
  <c r="I41" i="24"/>
  <c r="J41" i="24"/>
  <c r="K41" i="24"/>
  <c r="L41" i="24"/>
  <c r="M41" i="24"/>
  <c r="N41" i="24"/>
  <c r="O41" i="24"/>
  <c r="P41" i="24"/>
  <c r="Q41" i="24"/>
  <c r="R41" i="24"/>
  <c r="S41" i="24"/>
  <c r="I42" i="24"/>
  <c r="J42" i="24"/>
  <c r="K42" i="24"/>
  <c r="L42" i="24"/>
  <c r="M42" i="24"/>
  <c r="N42" i="24"/>
  <c r="O42" i="24"/>
  <c r="P42" i="24"/>
  <c r="Q42" i="24"/>
  <c r="R42" i="24"/>
  <c r="S42" i="24"/>
  <c r="I43" i="24"/>
  <c r="J43" i="24"/>
  <c r="K43" i="24"/>
  <c r="L43" i="24"/>
  <c r="M43" i="24"/>
  <c r="N43" i="24"/>
  <c r="O43" i="24"/>
  <c r="P43" i="24"/>
  <c r="Q43" i="24"/>
  <c r="R43" i="24"/>
  <c r="S43" i="24"/>
  <c r="I44" i="24"/>
  <c r="J44" i="24"/>
  <c r="K44" i="24"/>
  <c r="L44" i="24"/>
  <c r="M44" i="24"/>
  <c r="N44" i="24"/>
  <c r="O44" i="24"/>
  <c r="P44" i="24"/>
  <c r="Q44" i="24"/>
  <c r="R44" i="24"/>
  <c r="S44" i="24"/>
  <c r="I46" i="24"/>
  <c r="J46" i="24"/>
  <c r="K46" i="24"/>
  <c r="L46" i="24"/>
  <c r="M46" i="24"/>
  <c r="N46" i="24"/>
  <c r="O46" i="24"/>
  <c r="P46" i="24"/>
  <c r="Q46" i="24"/>
  <c r="R46" i="24"/>
  <c r="S46" i="24"/>
  <c r="I47" i="24"/>
  <c r="J47" i="24"/>
  <c r="K47" i="24"/>
  <c r="L47" i="24"/>
  <c r="M47" i="24"/>
  <c r="N47" i="24"/>
  <c r="O47" i="24"/>
  <c r="P47" i="24"/>
  <c r="Q47" i="24"/>
  <c r="R47" i="24"/>
  <c r="S47" i="24"/>
  <c r="I48" i="24"/>
  <c r="J48" i="24"/>
  <c r="K48" i="24"/>
  <c r="L48" i="24"/>
  <c r="M48" i="24"/>
  <c r="N48" i="24"/>
  <c r="O48" i="24"/>
  <c r="P48" i="24"/>
  <c r="Q48" i="24"/>
  <c r="R48" i="24"/>
  <c r="S48" i="24"/>
  <c r="I49" i="24"/>
  <c r="J49" i="24"/>
  <c r="K49" i="24"/>
  <c r="L49" i="24"/>
  <c r="M49" i="24"/>
  <c r="N49" i="24"/>
  <c r="O49" i="24"/>
  <c r="P49" i="24"/>
  <c r="Q49" i="24"/>
  <c r="R49" i="24"/>
  <c r="S49" i="24"/>
  <c r="I50" i="24"/>
  <c r="J50" i="24"/>
  <c r="K50" i="24"/>
  <c r="L50" i="24"/>
  <c r="M50" i="24"/>
  <c r="N50" i="24"/>
  <c r="O50" i="24"/>
  <c r="P50" i="24"/>
  <c r="Q50" i="24"/>
  <c r="R50" i="24"/>
  <c r="S50" i="24"/>
  <c r="I51" i="24"/>
  <c r="J51" i="24"/>
  <c r="K51" i="24"/>
  <c r="L51" i="24"/>
  <c r="M51" i="24"/>
  <c r="N51" i="24"/>
  <c r="O51" i="24"/>
  <c r="P51" i="24"/>
  <c r="Q51" i="24"/>
  <c r="R51" i="24"/>
  <c r="S51" i="24"/>
  <c r="I52" i="24"/>
  <c r="J52" i="24"/>
  <c r="K52" i="24"/>
  <c r="L52" i="24"/>
  <c r="M52" i="24"/>
  <c r="N52" i="24"/>
  <c r="O52" i="24"/>
  <c r="P52" i="24"/>
  <c r="Q52" i="24"/>
  <c r="R52" i="24"/>
  <c r="S52" i="24"/>
  <c r="I53" i="24"/>
  <c r="J53" i="24"/>
  <c r="K53" i="24"/>
  <c r="L53" i="24"/>
  <c r="M53" i="24"/>
  <c r="N53" i="24"/>
  <c r="O53" i="24"/>
  <c r="P53" i="24"/>
  <c r="Q53" i="24"/>
  <c r="R53" i="24"/>
  <c r="S53" i="24"/>
  <c r="I55" i="24"/>
  <c r="J55" i="24"/>
  <c r="K55" i="24"/>
  <c r="L55" i="24"/>
  <c r="M55" i="24"/>
  <c r="N55" i="24"/>
  <c r="O55" i="24"/>
  <c r="P55" i="24"/>
  <c r="Q55" i="24"/>
  <c r="R55" i="24"/>
  <c r="S55" i="24"/>
  <c r="I56" i="24"/>
  <c r="J56" i="24"/>
  <c r="K56" i="24"/>
  <c r="L56" i="24"/>
  <c r="M56" i="24"/>
  <c r="N56" i="24"/>
  <c r="O56" i="24"/>
  <c r="P56" i="24"/>
  <c r="Q56" i="24"/>
  <c r="R56" i="24"/>
  <c r="S56" i="24"/>
  <c r="I57" i="24"/>
  <c r="J57" i="24"/>
  <c r="K57" i="24"/>
  <c r="L57" i="24"/>
  <c r="M57" i="24"/>
  <c r="N57" i="24"/>
  <c r="O57" i="24"/>
  <c r="P57" i="24"/>
  <c r="Q57" i="24"/>
  <c r="R57" i="24"/>
  <c r="S57" i="24"/>
  <c r="I58" i="24"/>
  <c r="J58" i="24"/>
  <c r="K58" i="24"/>
  <c r="L58" i="24"/>
  <c r="M58" i="24"/>
  <c r="N58" i="24"/>
  <c r="O58" i="24"/>
  <c r="P58" i="24"/>
  <c r="Q58" i="24"/>
  <c r="R58" i="24"/>
  <c r="S58" i="24"/>
  <c r="I59" i="24"/>
  <c r="J59" i="24"/>
  <c r="K59" i="24"/>
  <c r="L59" i="24"/>
  <c r="M59" i="24"/>
  <c r="N59" i="24"/>
  <c r="O59" i="24"/>
  <c r="P59" i="24"/>
  <c r="Q59" i="24"/>
  <c r="R59" i="24"/>
  <c r="S59" i="24"/>
  <c r="I60" i="24"/>
  <c r="J60" i="24"/>
  <c r="K60" i="24"/>
  <c r="L60" i="24"/>
  <c r="M60" i="24"/>
  <c r="N60" i="24"/>
  <c r="O60" i="24"/>
  <c r="P60" i="24"/>
  <c r="Q60" i="24"/>
  <c r="R60" i="24"/>
  <c r="S60" i="24"/>
  <c r="I61" i="24"/>
  <c r="J61" i="24"/>
  <c r="K61" i="24"/>
  <c r="L61" i="24"/>
  <c r="M61" i="24"/>
  <c r="N61" i="24"/>
  <c r="O61" i="24"/>
  <c r="P61" i="24"/>
  <c r="Q61" i="24"/>
  <c r="R61" i="24"/>
  <c r="S61" i="24"/>
  <c r="I62" i="24"/>
  <c r="J62" i="24"/>
  <c r="K62" i="24"/>
  <c r="L62" i="24"/>
  <c r="M62" i="24"/>
  <c r="N62" i="24"/>
  <c r="O62" i="24"/>
  <c r="P62" i="24"/>
  <c r="Q62" i="24"/>
  <c r="R62" i="24"/>
  <c r="S62" i="24"/>
  <c r="I65" i="24"/>
  <c r="J65" i="24"/>
  <c r="K65" i="24"/>
  <c r="L65" i="24"/>
  <c r="M65" i="24"/>
  <c r="N65" i="24"/>
  <c r="O65" i="24"/>
  <c r="P65" i="24"/>
  <c r="Q65" i="24"/>
  <c r="R65" i="24"/>
  <c r="S65" i="24"/>
  <c r="I67" i="24"/>
  <c r="J67" i="24"/>
  <c r="K67" i="24"/>
  <c r="L67" i="24"/>
  <c r="M67" i="24"/>
  <c r="N67" i="24"/>
  <c r="O67" i="24"/>
  <c r="P67" i="24"/>
  <c r="Q67" i="24"/>
  <c r="R67" i="24"/>
  <c r="S67" i="24"/>
  <c r="I73" i="24"/>
  <c r="J73" i="24"/>
  <c r="K73" i="24"/>
  <c r="L73" i="24"/>
  <c r="M73" i="24"/>
  <c r="N73" i="24"/>
  <c r="O73" i="24"/>
  <c r="P73" i="24"/>
  <c r="Q73" i="24"/>
  <c r="R73" i="24"/>
  <c r="S73" i="24"/>
  <c r="I75" i="24"/>
  <c r="J75" i="24"/>
  <c r="K75" i="24"/>
  <c r="L75" i="24"/>
  <c r="M75" i="24"/>
  <c r="N75" i="24"/>
  <c r="O75" i="24"/>
  <c r="P75" i="24"/>
  <c r="Q75" i="24"/>
  <c r="R75" i="24"/>
  <c r="S75" i="24"/>
  <c r="I76" i="24"/>
  <c r="J76" i="24"/>
  <c r="K76" i="24"/>
  <c r="L76" i="24"/>
  <c r="M76" i="24"/>
  <c r="N76" i="24"/>
  <c r="O76" i="24"/>
  <c r="P76" i="24"/>
  <c r="Q76" i="24"/>
  <c r="R76" i="24"/>
  <c r="S76" i="24"/>
  <c r="I77" i="24"/>
  <c r="J77" i="24"/>
  <c r="K77" i="24"/>
  <c r="L77" i="24"/>
  <c r="M77" i="24"/>
  <c r="N77" i="24"/>
  <c r="O77" i="24"/>
  <c r="P77" i="24"/>
  <c r="Q77" i="24"/>
  <c r="R77" i="24"/>
  <c r="S77" i="24"/>
  <c r="I78" i="24"/>
  <c r="J78" i="24"/>
  <c r="K78" i="24"/>
  <c r="L78" i="24"/>
  <c r="M78" i="24"/>
  <c r="N78" i="24"/>
  <c r="O78" i="24"/>
  <c r="P78" i="24"/>
  <c r="Q78" i="24"/>
  <c r="R78" i="24"/>
  <c r="S78" i="24"/>
  <c r="I79" i="24"/>
  <c r="J79" i="24"/>
  <c r="K79" i="24"/>
  <c r="L79" i="24"/>
  <c r="M79" i="24"/>
  <c r="N79" i="24"/>
  <c r="O79" i="24"/>
  <c r="P79" i="24"/>
  <c r="Q79" i="24"/>
  <c r="R79" i="24"/>
  <c r="S79" i="24"/>
  <c r="I80" i="24"/>
  <c r="J80" i="24"/>
  <c r="K80" i="24"/>
  <c r="L80" i="24"/>
  <c r="M80" i="24"/>
  <c r="N80" i="24"/>
  <c r="O80" i="24"/>
  <c r="P80" i="24"/>
  <c r="Q80" i="24"/>
  <c r="R80" i="24"/>
  <c r="S80" i="24"/>
  <c r="I81" i="24"/>
  <c r="J81" i="24"/>
  <c r="K81" i="24"/>
  <c r="L81" i="24"/>
  <c r="M81" i="24"/>
  <c r="N81" i="24"/>
  <c r="O81" i="24"/>
  <c r="P81" i="24"/>
  <c r="Q81" i="24"/>
  <c r="R81" i="24"/>
  <c r="S81" i="24"/>
  <c r="I82" i="24"/>
  <c r="J82" i="24"/>
  <c r="K82" i="24"/>
  <c r="L82" i="24"/>
  <c r="M82" i="24"/>
  <c r="N82" i="24"/>
  <c r="O82" i="24"/>
  <c r="P82" i="24"/>
  <c r="Q82" i="24"/>
  <c r="R82" i="24"/>
  <c r="S82" i="24"/>
  <c r="I84" i="24"/>
  <c r="J84" i="24"/>
  <c r="K84" i="24"/>
  <c r="L84" i="24"/>
  <c r="M84" i="24"/>
  <c r="N84" i="24"/>
  <c r="O84" i="24"/>
  <c r="P84" i="24"/>
  <c r="Q84" i="24"/>
  <c r="R84" i="24"/>
  <c r="S84" i="24"/>
  <c r="I85" i="24"/>
  <c r="J85" i="24"/>
  <c r="K85" i="24"/>
  <c r="L85" i="24"/>
  <c r="M85" i="24"/>
  <c r="N85" i="24"/>
  <c r="O85" i="24"/>
  <c r="P85" i="24"/>
  <c r="Q85" i="24"/>
  <c r="R85" i="24"/>
  <c r="S85" i="24"/>
  <c r="I86" i="24"/>
  <c r="J86" i="24"/>
  <c r="K86" i="24"/>
  <c r="L86" i="24"/>
  <c r="M86" i="24"/>
  <c r="N86" i="24"/>
  <c r="O86" i="24"/>
  <c r="P86" i="24"/>
  <c r="Q86" i="24"/>
  <c r="R86" i="24"/>
  <c r="S86" i="24"/>
  <c r="I87" i="24"/>
  <c r="J87" i="24"/>
  <c r="K87" i="24"/>
  <c r="L87" i="24"/>
  <c r="M87" i="24"/>
  <c r="N87" i="24"/>
  <c r="O87" i="24"/>
  <c r="P87" i="24"/>
  <c r="Q87" i="24"/>
  <c r="R87" i="24"/>
  <c r="S87" i="24"/>
  <c r="I88" i="24"/>
  <c r="J88" i="24"/>
  <c r="K88" i="24"/>
  <c r="L88" i="24"/>
  <c r="M88" i="24"/>
  <c r="N88" i="24"/>
  <c r="O88" i="24"/>
  <c r="P88" i="24"/>
  <c r="Q88" i="24"/>
  <c r="R88" i="24"/>
  <c r="S88" i="24"/>
  <c r="I89" i="24"/>
  <c r="J89" i="24"/>
  <c r="K89" i="24"/>
  <c r="L89" i="24"/>
  <c r="M89" i="24"/>
  <c r="N89" i="24"/>
  <c r="O89" i="24"/>
  <c r="P89" i="24"/>
  <c r="Q89" i="24"/>
  <c r="R89" i="24"/>
  <c r="S89" i="24"/>
  <c r="I90" i="24"/>
  <c r="J90" i="24"/>
  <c r="K90" i="24"/>
  <c r="L90" i="24"/>
  <c r="M90" i="24"/>
  <c r="N90" i="24"/>
  <c r="O90" i="24"/>
  <c r="P90" i="24"/>
  <c r="Q90" i="24"/>
  <c r="R90" i="24"/>
  <c r="S90" i="24"/>
  <c r="I91" i="24"/>
  <c r="J91" i="24"/>
  <c r="K91" i="24"/>
  <c r="L91" i="24"/>
  <c r="M91" i="24"/>
  <c r="N91" i="24"/>
  <c r="O91" i="24"/>
  <c r="P91" i="24"/>
  <c r="Q91" i="24"/>
  <c r="R91" i="24"/>
  <c r="S91" i="24"/>
  <c r="I93" i="24"/>
  <c r="J93" i="24"/>
  <c r="K93" i="24"/>
  <c r="L93" i="24"/>
  <c r="M93" i="24"/>
  <c r="N93" i="24"/>
  <c r="O93" i="24"/>
  <c r="P93" i="24"/>
  <c r="Q93" i="24"/>
  <c r="R93" i="24"/>
  <c r="S93" i="24"/>
  <c r="I96" i="24"/>
  <c r="J96" i="24"/>
  <c r="K96" i="24"/>
  <c r="L96" i="24"/>
  <c r="M96" i="24"/>
  <c r="N96" i="24"/>
  <c r="O96" i="24"/>
  <c r="P96" i="24"/>
  <c r="Q96" i="24"/>
  <c r="R96" i="24"/>
  <c r="S96" i="24"/>
  <c r="B10" i="62"/>
  <c r="C10" i="62"/>
  <c r="D10" i="62"/>
  <c r="E10" i="62"/>
  <c r="F10" i="62"/>
  <c r="G10" i="62"/>
  <c r="H10" i="62"/>
  <c r="I10" i="62"/>
  <c r="J10" i="62"/>
  <c r="K10" i="62"/>
  <c r="L10" i="62"/>
  <c r="M10" i="62"/>
  <c r="N10" i="62"/>
  <c r="O10" i="62"/>
  <c r="P10" i="62"/>
  <c r="Q10" i="62"/>
  <c r="R10" i="62"/>
  <c r="S10" i="62"/>
  <c r="T10" i="62"/>
  <c r="U10" i="62"/>
  <c r="V10" i="62"/>
  <c r="W10" i="62"/>
  <c r="X10" i="62"/>
  <c r="Y10" i="62"/>
  <c r="Z10" i="62"/>
  <c r="AA10" i="62"/>
  <c r="AB10" i="62"/>
  <c r="AC10" i="62"/>
  <c r="AD10" i="62"/>
  <c r="AE10" i="62"/>
  <c r="AF10" i="62"/>
  <c r="AG10" i="62"/>
  <c r="AH10" i="62"/>
  <c r="AI10" i="62"/>
  <c r="AJ10" i="62"/>
  <c r="AK10" i="62"/>
  <c r="AL10" i="62"/>
  <c r="AM10" i="62"/>
  <c r="AN10" i="62"/>
  <c r="AO10" i="62"/>
  <c r="AP10" i="62"/>
  <c r="AQ10" i="62"/>
  <c r="AR10" i="62"/>
  <c r="AS10" i="62"/>
  <c r="AT10" i="62"/>
  <c r="AU10" i="62"/>
  <c r="AV10" i="62"/>
  <c r="AW10" i="62"/>
  <c r="AX10" i="62"/>
  <c r="AY10" i="62"/>
  <c r="AZ10" i="62"/>
  <c r="BA10" i="62"/>
  <c r="BB10" i="62"/>
  <c r="BC10" i="62"/>
  <c r="BD10" i="62"/>
  <c r="BE10" i="62"/>
  <c r="BF10" i="62"/>
  <c r="BG10" i="62"/>
  <c r="BH10" i="62"/>
  <c r="BI10" i="62"/>
  <c r="BJ10" i="62"/>
  <c r="BK10" i="62"/>
  <c r="BL10" i="62"/>
  <c r="BM10" i="62"/>
  <c r="BN10" i="62"/>
  <c r="BO10" i="62"/>
  <c r="BP10" i="62"/>
  <c r="BQ10" i="62"/>
  <c r="BR10" i="62"/>
  <c r="BS10" i="62"/>
  <c r="B14" i="62"/>
  <c r="C14" i="62"/>
  <c r="D14" i="62"/>
  <c r="E14" i="62"/>
  <c r="F14" i="62"/>
  <c r="G14" i="62"/>
  <c r="H14" i="62"/>
  <c r="I14" i="62"/>
  <c r="J14" i="62"/>
  <c r="K14" i="62"/>
  <c r="L14" i="62"/>
  <c r="M14" i="62"/>
  <c r="N14" i="62"/>
  <c r="O14" i="62"/>
  <c r="P14" i="62"/>
  <c r="Q14" i="62"/>
  <c r="R14" i="62"/>
  <c r="S14" i="62"/>
  <c r="T14" i="62"/>
  <c r="U14" i="62"/>
  <c r="V14" i="62"/>
  <c r="W14" i="62"/>
  <c r="X14" i="62"/>
  <c r="Y14" i="62"/>
  <c r="Z14" i="62"/>
  <c r="AA14" i="62"/>
  <c r="AB14" i="62"/>
  <c r="AC14" i="62"/>
  <c r="AD14" i="62"/>
  <c r="AE14" i="62"/>
  <c r="AF14" i="62"/>
  <c r="AG14" i="62"/>
  <c r="AH14" i="62"/>
  <c r="AI14" i="62"/>
  <c r="AJ14" i="62"/>
  <c r="AK14" i="62"/>
  <c r="AL14" i="62"/>
  <c r="AM14" i="62"/>
  <c r="AN14" i="62"/>
  <c r="AO14" i="62"/>
  <c r="AP14" i="62"/>
  <c r="AQ14" i="62"/>
  <c r="AR14" i="62"/>
  <c r="AS14" i="62"/>
  <c r="AT14" i="62"/>
  <c r="AU14" i="62"/>
  <c r="AV14" i="62"/>
  <c r="AW14" i="62"/>
  <c r="AX14" i="62"/>
  <c r="AY14" i="62"/>
  <c r="AZ14" i="62"/>
  <c r="BA14" i="62"/>
  <c r="BB14" i="62"/>
  <c r="BC14" i="62"/>
  <c r="BD14" i="62"/>
  <c r="BE14" i="62"/>
  <c r="BF14" i="62"/>
  <c r="BG14" i="62"/>
  <c r="BH14" i="62"/>
  <c r="BI14" i="62"/>
  <c r="BJ14" i="62"/>
  <c r="BK14" i="62"/>
  <c r="BL14" i="62"/>
  <c r="BM14" i="62"/>
  <c r="BN14" i="62"/>
  <c r="BO14" i="62"/>
  <c r="BP14" i="62"/>
  <c r="BQ14" i="62"/>
  <c r="BR14" i="62"/>
  <c r="BS14" i="62"/>
  <c r="B16" i="62"/>
  <c r="C16" i="62"/>
  <c r="D16" i="62"/>
  <c r="E16" i="62"/>
  <c r="F16" i="62"/>
  <c r="G16" i="62"/>
  <c r="H16" i="62"/>
  <c r="I16" i="62"/>
  <c r="J16" i="62"/>
  <c r="K16" i="62"/>
  <c r="L16" i="62"/>
  <c r="M16" i="62"/>
  <c r="N16" i="62"/>
  <c r="O16" i="62"/>
  <c r="P16" i="62"/>
  <c r="Q16" i="62"/>
  <c r="R16" i="62"/>
  <c r="S16" i="62"/>
  <c r="T16" i="62"/>
  <c r="U16" i="62"/>
  <c r="V16" i="62"/>
  <c r="W16" i="62"/>
  <c r="X16" i="62"/>
  <c r="Y16" i="62"/>
  <c r="Z16" i="62"/>
  <c r="AA16" i="62"/>
  <c r="AB16" i="62"/>
  <c r="AC16" i="62"/>
  <c r="AD16" i="62"/>
  <c r="AE16" i="62"/>
  <c r="AF16" i="62"/>
  <c r="AG16" i="62"/>
  <c r="AH16" i="62"/>
  <c r="AI16" i="62"/>
  <c r="AJ16" i="62"/>
  <c r="AK16" i="62"/>
  <c r="AL16" i="62"/>
  <c r="AM16" i="62"/>
  <c r="AN16" i="62"/>
  <c r="AO16" i="62"/>
  <c r="AP16" i="62"/>
  <c r="AQ16" i="62"/>
  <c r="AR16" i="62"/>
  <c r="AS16" i="62"/>
  <c r="AT16" i="62"/>
  <c r="AU16" i="62"/>
  <c r="AV16" i="62"/>
  <c r="AW16" i="62"/>
  <c r="AX16" i="62"/>
  <c r="AY16" i="62"/>
  <c r="AZ16" i="62"/>
  <c r="BA16" i="62"/>
  <c r="BB16" i="62"/>
  <c r="BC16" i="62"/>
  <c r="BD16" i="62"/>
  <c r="BE16" i="62"/>
  <c r="BF16" i="62"/>
  <c r="BG16" i="62"/>
  <c r="BH16" i="62"/>
  <c r="BI16" i="62"/>
  <c r="BJ16" i="62"/>
  <c r="BK16" i="62"/>
  <c r="BL16" i="62"/>
  <c r="BM16" i="62"/>
  <c r="BN16" i="62"/>
  <c r="BO16" i="62"/>
  <c r="BP16" i="62"/>
  <c r="BQ16" i="62"/>
  <c r="BR16" i="62"/>
  <c r="BS16" i="62"/>
  <c r="B21" i="62"/>
  <c r="C21" i="62"/>
  <c r="D21" i="62"/>
  <c r="E21" i="62"/>
  <c r="F21" i="62"/>
  <c r="G21" i="62"/>
  <c r="H21" i="62"/>
  <c r="I21" i="62"/>
  <c r="J21" i="62"/>
  <c r="K21" i="62"/>
  <c r="L21" i="62"/>
  <c r="M21" i="62"/>
  <c r="N21" i="62"/>
  <c r="O21" i="62"/>
  <c r="P21" i="62"/>
  <c r="Q21" i="62"/>
  <c r="R21" i="62"/>
  <c r="S21" i="62"/>
  <c r="T21" i="62"/>
  <c r="U21" i="62"/>
  <c r="V21" i="62"/>
  <c r="W21" i="62"/>
  <c r="X21" i="62"/>
  <c r="Y21" i="62"/>
  <c r="Z21" i="62"/>
  <c r="AA21" i="62"/>
  <c r="AB21" i="62"/>
  <c r="AC21" i="62"/>
  <c r="AD21" i="62"/>
  <c r="AE21" i="62"/>
  <c r="AF21" i="62"/>
  <c r="AG21" i="62"/>
  <c r="AH21" i="62"/>
  <c r="AI21" i="62"/>
  <c r="AJ21" i="62"/>
  <c r="AK21" i="62"/>
  <c r="AL21" i="62"/>
  <c r="AM21" i="62"/>
  <c r="AN21" i="62"/>
  <c r="AO21" i="62"/>
  <c r="AP21" i="62"/>
  <c r="AQ21" i="62"/>
  <c r="AR21" i="62"/>
  <c r="AS21" i="62"/>
  <c r="AT21" i="62"/>
  <c r="AU21" i="62"/>
  <c r="AV21" i="62"/>
  <c r="AW21" i="62"/>
  <c r="AX21" i="62"/>
  <c r="AY21" i="62"/>
  <c r="AZ21" i="62"/>
  <c r="BA21" i="62"/>
  <c r="BB21" i="62"/>
  <c r="BC21" i="62"/>
  <c r="BD21" i="62"/>
  <c r="BE21" i="62"/>
  <c r="BF21" i="62"/>
  <c r="BG21" i="62"/>
  <c r="BH21" i="62"/>
  <c r="BI21" i="62"/>
  <c r="BJ21" i="62"/>
  <c r="BK21" i="62"/>
  <c r="BL21" i="62"/>
  <c r="BM21" i="62"/>
  <c r="BN21" i="62"/>
  <c r="BO21" i="62"/>
  <c r="BP21" i="62"/>
  <c r="BQ21" i="62"/>
  <c r="BR21" i="62"/>
  <c r="BS21" i="62"/>
  <c r="B30" i="62"/>
  <c r="C30" i="62"/>
  <c r="D30" i="62"/>
  <c r="E30" i="62"/>
  <c r="F30" i="62"/>
  <c r="G30" i="62"/>
  <c r="H30" i="62"/>
  <c r="I30" i="62"/>
  <c r="J30" i="62"/>
  <c r="K30" i="62"/>
  <c r="L30" i="62"/>
  <c r="M30" i="62"/>
  <c r="N30" i="62"/>
  <c r="O30" i="62"/>
  <c r="P30" i="62"/>
  <c r="Q30" i="62"/>
  <c r="R30" i="62"/>
  <c r="S30" i="62"/>
  <c r="T30" i="62"/>
  <c r="U30" i="62"/>
  <c r="V30" i="62"/>
  <c r="W30" i="62"/>
  <c r="X30" i="62"/>
  <c r="Y30" i="62"/>
  <c r="Z30" i="62"/>
  <c r="AA30" i="62"/>
  <c r="AB30" i="62"/>
  <c r="AC30" i="62"/>
  <c r="AD30" i="62"/>
  <c r="AE30" i="62"/>
  <c r="AF30" i="62"/>
  <c r="AG30" i="62"/>
  <c r="AH30" i="62"/>
  <c r="AI30" i="62"/>
  <c r="AJ30" i="62"/>
  <c r="AK30" i="62"/>
  <c r="AL30" i="62"/>
  <c r="AM30" i="62"/>
  <c r="AN30" i="62"/>
  <c r="AO30" i="62"/>
  <c r="AP30" i="62"/>
  <c r="AQ30" i="62"/>
  <c r="AR30" i="62"/>
  <c r="AS30" i="62"/>
  <c r="AT30" i="62"/>
  <c r="AU30" i="62"/>
  <c r="AV30" i="62"/>
  <c r="AW30" i="62"/>
  <c r="AX30" i="62"/>
  <c r="AY30" i="62"/>
  <c r="AZ30" i="62"/>
  <c r="BA30" i="62"/>
  <c r="BB30" i="62"/>
  <c r="BC30" i="62"/>
  <c r="BD30" i="62"/>
  <c r="BE30" i="62"/>
  <c r="BF30" i="62"/>
  <c r="BG30" i="62"/>
  <c r="BH30" i="62"/>
  <c r="BI30" i="62"/>
  <c r="BJ30" i="62"/>
  <c r="BK30" i="62"/>
  <c r="BL30" i="62"/>
  <c r="BM30" i="62"/>
  <c r="BN30" i="62"/>
  <c r="BO30" i="62"/>
  <c r="BP30" i="62"/>
  <c r="BQ30" i="62"/>
  <c r="BR30" i="62"/>
  <c r="BS30" i="62"/>
  <c r="B31" i="62"/>
  <c r="C31" i="62"/>
  <c r="D31" i="62"/>
  <c r="E31" i="62"/>
  <c r="F31" i="62"/>
  <c r="G31" i="62"/>
  <c r="H31" i="62"/>
  <c r="I31" i="62"/>
  <c r="J31" i="62"/>
  <c r="K31" i="62"/>
  <c r="L31" i="62"/>
  <c r="M31" i="62"/>
  <c r="N31" i="62"/>
  <c r="O31" i="62"/>
  <c r="P31" i="62"/>
  <c r="Q31" i="62"/>
  <c r="R31" i="62"/>
  <c r="S31" i="62"/>
  <c r="T31" i="62"/>
  <c r="U31" i="62"/>
  <c r="V31" i="62"/>
  <c r="W31" i="62"/>
  <c r="X31" i="62"/>
  <c r="Y31" i="62"/>
  <c r="Z31" i="62"/>
  <c r="AA31" i="62"/>
  <c r="AB31" i="62"/>
  <c r="AC31" i="62"/>
  <c r="AD31" i="62"/>
  <c r="AE31" i="62"/>
  <c r="AF31" i="62"/>
  <c r="AG31" i="62"/>
  <c r="AH31" i="62"/>
  <c r="AI31" i="62"/>
  <c r="AJ31" i="62"/>
  <c r="AK31" i="62"/>
  <c r="AL31" i="62"/>
  <c r="AM31" i="62"/>
  <c r="AN31" i="62"/>
  <c r="AO31" i="62"/>
  <c r="AP31" i="62"/>
  <c r="AQ31" i="62"/>
  <c r="AR31" i="62"/>
  <c r="AS31" i="62"/>
  <c r="AT31" i="62"/>
  <c r="AU31" i="62"/>
  <c r="AV31" i="62"/>
  <c r="AW31" i="62"/>
  <c r="AX31" i="62"/>
  <c r="AY31" i="62"/>
  <c r="AZ31" i="62"/>
  <c r="BA31" i="62"/>
  <c r="BB31" i="62"/>
  <c r="BC31" i="62"/>
  <c r="BD31" i="62"/>
  <c r="BE31" i="62"/>
  <c r="BF31" i="62"/>
  <c r="BG31" i="62"/>
  <c r="BH31" i="62"/>
  <c r="BI31" i="62"/>
  <c r="BJ31" i="62"/>
  <c r="BK31" i="62"/>
  <c r="BL31" i="62"/>
  <c r="BM31" i="62"/>
  <c r="BN31" i="62"/>
  <c r="BO31" i="62"/>
  <c r="BP31" i="62"/>
  <c r="BQ31" i="62"/>
  <c r="BR31" i="62"/>
  <c r="BS31" i="62"/>
  <c r="B36" i="62"/>
  <c r="C36" i="62"/>
  <c r="D36" i="62"/>
  <c r="E36" i="62"/>
  <c r="F36" i="62"/>
  <c r="G36" i="62"/>
  <c r="H36" i="62"/>
  <c r="I36" i="62"/>
  <c r="J36" i="62"/>
  <c r="K36" i="62"/>
  <c r="L36" i="62"/>
  <c r="M36" i="62"/>
  <c r="N36" i="62"/>
  <c r="O36" i="62"/>
  <c r="P36" i="62"/>
  <c r="Q36" i="62"/>
  <c r="R36" i="62"/>
  <c r="S36" i="62"/>
  <c r="T36" i="62"/>
  <c r="U36" i="62"/>
  <c r="V36" i="62"/>
  <c r="W36" i="62"/>
  <c r="X36" i="62"/>
  <c r="Y36" i="62"/>
  <c r="Z36" i="62"/>
  <c r="AA36" i="62"/>
  <c r="AB36" i="62"/>
  <c r="AC36" i="62"/>
  <c r="AD36" i="62"/>
  <c r="AE36" i="62"/>
  <c r="AF36" i="62"/>
  <c r="AG36" i="62"/>
  <c r="AH36" i="62"/>
  <c r="AI36" i="62"/>
  <c r="AJ36" i="62"/>
  <c r="AK36" i="62"/>
  <c r="AL36" i="62"/>
  <c r="AM36" i="62"/>
  <c r="AN36" i="62"/>
  <c r="AO36" i="62"/>
  <c r="AP36" i="62"/>
  <c r="AQ36" i="62"/>
  <c r="AR36" i="62"/>
  <c r="AS36" i="62"/>
  <c r="AT36" i="62"/>
  <c r="AU36" i="62"/>
  <c r="AV36" i="62"/>
  <c r="AW36" i="62"/>
  <c r="AX36" i="62"/>
  <c r="AY36" i="62"/>
  <c r="AZ36" i="62"/>
  <c r="BA36" i="62"/>
  <c r="BB36" i="62"/>
  <c r="BC36" i="62"/>
  <c r="BD36" i="62"/>
  <c r="BE36" i="62"/>
  <c r="BF36" i="62"/>
  <c r="BG36" i="62"/>
  <c r="BH36" i="62"/>
  <c r="BI36" i="62"/>
  <c r="BJ36" i="62"/>
  <c r="BK36" i="62"/>
  <c r="BL36" i="62"/>
  <c r="BM36" i="62"/>
  <c r="BN36" i="62"/>
  <c r="BO36" i="62"/>
  <c r="BP36" i="62"/>
  <c r="BQ36" i="62"/>
  <c r="BR36" i="62"/>
  <c r="BS36" i="62"/>
  <c r="B41" i="62"/>
  <c r="C41" i="62"/>
  <c r="D41" i="62"/>
  <c r="E41" i="62"/>
  <c r="F41" i="62"/>
  <c r="G41" i="62"/>
  <c r="H41" i="62"/>
  <c r="I41" i="62"/>
  <c r="J41" i="62"/>
  <c r="K41" i="62"/>
  <c r="L41" i="62"/>
  <c r="M41" i="62"/>
  <c r="N41" i="62"/>
  <c r="O41" i="62"/>
  <c r="P41" i="62"/>
  <c r="Q41" i="62"/>
  <c r="R41" i="62"/>
  <c r="S41" i="62"/>
  <c r="T41" i="62"/>
  <c r="U41" i="62"/>
  <c r="V41" i="62"/>
  <c r="W41" i="62"/>
  <c r="X41" i="62"/>
  <c r="Y41" i="62"/>
  <c r="Z41" i="62"/>
  <c r="AA41" i="62"/>
  <c r="AB41" i="62"/>
  <c r="AC41" i="62"/>
  <c r="AD41" i="62"/>
  <c r="AE41" i="62"/>
  <c r="AF41" i="62"/>
  <c r="AG41" i="62"/>
  <c r="AH41" i="62"/>
  <c r="AI41" i="62"/>
  <c r="AJ41" i="62"/>
  <c r="AK41" i="62"/>
  <c r="AL41" i="62"/>
  <c r="AM41" i="62"/>
  <c r="AN41" i="62"/>
  <c r="AO41" i="62"/>
  <c r="AP41" i="62"/>
  <c r="AQ41" i="62"/>
  <c r="AR41" i="62"/>
  <c r="AS41" i="62"/>
  <c r="AT41" i="62"/>
  <c r="AU41" i="62"/>
  <c r="AV41" i="62"/>
  <c r="AW41" i="62"/>
  <c r="AX41" i="62"/>
  <c r="AY41" i="62"/>
  <c r="AZ41" i="62"/>
  <c r="BA41" i="62"/>
  <c r="BB41" i="62"/>
  <c r="BC41" i="62"/>
  <c r="BD41" i="62"/>
  <c r="BE41" i="62"/>
  <c r="BF41" i="62"/>
  <c r="BG41" i="62"/>
  <c r="BH41" i="62"/>
  <c r="BI41" i="62"/>
  <c r="BJ41" i="62"/>
  <c r="BK41" i="62"/>
  <c r="BL41" i="62"/>
  <c r="BM41" i="62"/>
  <c r="BN41" i="62"/>
  <c r="BO41" i="62"/>
  <c r="BP41" i="62"/>
  <c r="BQ41" i="62"/>
  <c r="BR41" i="62"/>
  <c r="BS41" i="62"/>
  <c r="B42" i="62"/>
  <c r="C42" i="62"/>
  <c r="D42" i="62"/>
  <c r="E42" i="62"/>
  <c r="F42" i="62"/>
  <c r="G42" i="62"/>
  <c r="H42" i="62"/>
  <c r="I42" i="62"/>
  <c r="J42" i="62"/>
  <c r="K42" i="62"/>
  <c r="L42" i="62"/>
  <c r="M42" i="62"/>
  <c r="N42" i="62"/>
  <c r="O42" i="62"/>
  <c r="P42" i="62"/>
  <c r="Q42" i="62"/>
  <c r="R42" i="62"/>
  <c r="S42" i="62"/>
  <c r="T42" i="62"/>
  <c r="U42" i="62"/>
  <c r="V42" i="62"/>
  <c r="W42" i="62"/>
  <c r="X42" i="62"/>
  <c r="Y42" i="62"/>
  <c r="Z42" i="62"/>
  <c r="AA42" i="62"/>
  <c r="AB42" i="62"/>
  <c r="AC42" i="62"/>
  <c r="AD42" i="62"/>
  <c r="AE42" i="62"/>
  <c r="AF42" i="62"/>
  <c r="AG42" i="62"/>
  <c r="AH42" i="62"/>
  <c r="AI42" i="62"/>
  <c r="AJ42" i="62"/>
  <c r="AK42" i="62"/>
  <c r="AL42" i="62"/>
  <c r="AM42" i="62"/>
  <c r="AN42" i="62"/>
  <c r="AO42" i="62"/>
  <c r="AP42" i="62"/>
  <c r="AQ42" i="62"/>
  <c r="AR42" i="62"/>
  <c r="AS42" i="62"/>
  <c r="AT42" i="62"/>
  <c r="AU42" i="62"/>
  <c r="AV42" i="62"/>
  <c r="AW42" i="62"/>
  <c r="AX42" i="62"/>
  <c r="AY42" i="62"/>
  <c r="AZ42" i="62"/>
  <c r="BA42" i="62"/>
  <c r="BB42" i="62"/>
  <c r="BC42" i="62"/>
  <c r="BD42" i="62"/>
  <c r="BE42" i="62"/>
  <c r="BF42" i="62"/>
  <c r="BG42" i="62"/>
  <c r="BH42" i="62"/>
  <c r="BI42" i="62"/>
  <c r="BJ42" i="62"/>
  <c r="BK42" i="62"/>
  <c r="BL42" i="62"/>
  <c r="BM42" i="62"/>
  <c r="BN42" i="62"/>
  <c r="BO42" i="62"/>
  <c r="BP42" i="62"/>
  <c r="BQ42" i="62"/>
  <c r="BR42" i="62"/>
  <c r="BS42" i="62"/>
  <c r="C11" i="47"/>
  <c r="D11" i="47"/>
  <c r="E11" i="47"/>
  <c r="F11" i="47"/>
  <c r="G11" i="47"/>
  <c r="H11" i="47"/>
  <c r="I11" i="47"/>
  <c r="J11" i="47"/>
  <c r="K11" i="47"/>
  <c r="L11" i="47"/>
  <c r="M11" i="47"/>
  <c r="N11" i="47"/>
  <c r="O11" i="47"/>
  <c r="P11" i="47"/>
  <c r="Q11" i="47"/>
  <c r="R11" i="47"/>
  <c r="S11" i="47"/>
  <c r="T11" i="47"/>
  <c r="U11" i="47"/>
  <c r="V11" i="47"/>
  <c r="W11" i="47"/>
  <c r="X11" i="47"/>
  <c r="Y11" i="47"/>
  <c r="Z11" i="47"/>
  <c r="AA11" i="47"/>
  <c r="AB11" i="47"/>
  <c r="AC11" i="47"/>
  <c r="AD11" i="47"/>
  <c r="AE11" i="47"/>
  <c r="AF11" i="47"/>
  <c r="AG11" i="47"/>
  <c r="AH11" i="47"/>
  <c r="AI11" i="47"/>
  <c r="AJ11" i="47"/>
  <c r="AK11" i="47"/>
  <c r="AL11" i="47"/>
  <c r="AM11" i="47"/>
  <c r="AN11" i="47"/>
  <c r="AO11" i="47"/>
  <c r="AP11" i="47"/>
  <c r="AQ11" i="47"/>
  <c r="AR11" i="47"/>
  <c r="AS11" i="47"/>
  <c r="AT11" i="47"/>
  <c r="AU11" i="47"/>
  <c r="AV11" i="47"/>
  <c r="AW11" i="47"/>
  <c r="AX11" i="47"/>
  <c r="AY11" i="47"/>
  <c r="AZ11" i="47"/>
  <c r="BA11" i="47"/>
  <c r="BB11" i="47"/>
  <c r="BC11" i="47"/>
  <c r="BD11" i="47"/>
  <c r="BE11" i="47"/>
  <c r="BF11" i="47"/>
  <c r="BG11" i="47"/>
  <c r="BH11" i="47"/>
  <c r="BI11" i="47"/>
  <c r="BJ11" i="47"/>
  <c r="BK11" i="47"/>
  <c r="BL11" i="47"/>
  <c r="BM11" i="47"/>
  <c r="BN11" i="47"/>
  <c r="BO11" i="47"/>
  <c r="BP11" i="47"/>
  <c r="BQ11" i="47"/>
  <c r="BR11" i="47"/>
  <c r="BS11" i="47"/>
  <c r="BT11" i="47"/>
  <c r="C12" i="47"/>
  <c r="D12" i="47"/>
  <c r="E12" i="47"/>
  <c r="F12" i="47"/>
  <c r="G12" i="47"/>
  <c r="H12" i="47"/>
  <c r="I12" i="47"/>
  <c r="J12" i="47"/>
  <c r="K12" i="47"/>
  <c r="L12" i="47"/>
  <c r="M12" i="47"/>
  <c r="N12" i="47"/>
  <c r="O12" i="47"/>
  <c r="P12" i="47"/>
  <c r="Q12" i="47"/>
  <c r="R12" i="47"/>
  <c r="S12" i="47"/>
  <c r="T12" i="47"/>
  <c r="U12" i="47"/>
  <c r="V12" i="47"/>
  <c r="W12" i="47"/>
  <c r="X12" i="47"/>
  <c r="Y12" i="47"/>
  <c r="Z12" i="47"/>
  <c r="AA12" i="47"/>
  <c r="AB12" i="47"/>
  <c r="AC12" i="47"/>
  <c r="AD12" i="47"/>
  <c r="AE12" i="47"/>
  <c r="AF12" i="47"/>
  <c r="AG12" i="47"/>
  <c r="AH12" i="47"/>
  <c r="AI12" i="47"/>
  <c r="AJ12" i="47"/>
  <c r="AK12" i="47"/>
  <c r="AL12" i="47"/>
  <c r="AM12" i="47"/>
  <c r="AN12" i="47"/>
  <c r="AO12" i="47"/>
  <c r="AP12" i="47"/>
  <c r="AQ12" i="47"/>
  <c r="AR12" i="47"/>
  <c r="AS12" i="47"/>
  <c r="AT12" i="47"/>
  <c r="AU12" i="47"/>
  <c r="AV12" i="47"/>
  <c r="AW12" i="47"/>
  <c r="AX12" i="47"/>
  <c r="AY12" i="47"/>
  <c r="AZ12" i="47"/>
  <c r="BA12" i="47"/>
  <c r="BB12" i="47"/>
  <c r="BC12" i="47"/>
  <c r="BD12" i="47"/>
  <c r="BE12" i="47"/>
  <c r="BF12" i="47"/>
  <c r="BG12" i="47"/>
  <c r="BH12" i="47"/>
  <c r="BI12" i="47"/>
  <c r="BJ12" i="47"/>
  <c r="BK12" i="47"/>
  <c r="BL12" i="47"/>
  <c r="BM12" i="47"/>
  <c r="BN12" i="47"/>
  <c r="BO12" i="47"/>
  <c r="BP12" i="47"/>
  <c r="BQ12" i="47"/>
  <c r="BR12" i="47"/>
  <c r="BS12" i="47"/>
  <c r="BT12" i="47"/>
  <c r="C16" i="47"/>
  <c r="D16" i="47"/>
  <c r="E16" i="47"/>
  <c r="F16" i="47"/>
  <c r="G16" i="47"/>
  <c r="H16" i="47"/>
  <c r="I16" i="47"/>
  <c r="J16" i="47"/>
  <c r="K16" i="47"/>
  <c r="L16" i="47"/>
  <c r="M16" i="47"/>
  <c r="N16" i="47"/>
  <c r="O16" i="47"/>
  <c r="P16" i="47"/>
  <c r="Q16" i="47"/>
  <c r="R16" i="47"/>
  <c r="S16" i="47"/>
  <c r="T16" i="47"/>
  <c r="U16" i="47"/>
  <c r="V16" i="47"/>
  <c r="W16" i="47"/>
  <c r="X16" i="47"/>
  <c r="Y16" i="47"/>
  <c r="Z16" i="47"/>
  <c r="AA16" i="47"/>
  <c r="AB16" i="47"/>
  <c r="AC16" i="47"/>
  <c r="AD16" i="47"/>
  <c r="AE16" i="47"/>
  <c r="AF16" i="47"/>
  <c r="AG16" i="47"/>
  <c r="AH16" i="47"/>
  <c r="AI16" i="47"/>
  <c r="AJ16" i="47"/>
  <c r="AK16" i="47"/>
  <c r="AL16" i="47"/>
  <c r="AM16" i="47"/>
  <c r="AN16" i="47"/>
  <c r="AO16" i="47"/>
  <c r="AP16" i="47"/>
  <c r="AQ16" i="47"/>
  <c r="AR16" i="47"/>
  <c r="AS16" i="47"/>
  <c r="AT16" i="47"/>
  <c r="AU16" i="47"/>
  <c r="AV16" i="47"/>
  <c r="AW16" i="47"/>
  <c r="AX16" i="47"/>
  <c r="AY16" i="47"/>
  <c r="AZ16" i="47"/>
  <c r="BA16" i="47"/>
  <c r="BB16" i="47"/>
  <c r="BC16" i="47"/>
  <c r="BD16" i="47"/>
  <c r="BE16" i="47"/>
  <c r="BF16" i="47"/>
  <c r="BG16" i="47"/>
  <c r="BH16" i="47"/>
  <c r="BI16" i="47"/>
  <c r="BJ16" i="47"/>
  <c r="BK16" i="47"/>
  <c r="BL16" i="47"/>
  <c r="BM16" i="47"/>
  <c r="BN16" i="47"/>
  <c r="BO16" i="47"/>
  <c r="BP16" i="47"/>
  <c r="BQ16" i="47"/>
  <c r="BR16" i="47"/>
  <c r="BS16" i="47"/>
  <c r="BT16" i="47"/>
  <c r="C17" i="47"/>
  <c r="D17" i="47"/>
  <c r="E17" i="47"/>
  <c r="F17" i="47"/>
  <c r="G17" i="47"/>
  <c r="H17" i="47"/>
  <c r="I17" i="47"/>
  <c r="J17" i="47"/>
  <c r="K17" i="47"/>
  <c r="L17" i="47"/>
  <c r="M17" i="47"/>
  <c r="N17" i="47"/>
  <c r="O17" i="47"/>
  <c r="P17" i="47"/>
  <c r="Q17" i="47"/>
  <c r="R17" i="47"/>
  <c r="S17" i="47"/>
  <c r="T17" i="47"/>
  <c r="U17" i="47"/>
  <c r="V17" i="47"/>
  <c r="W17" i="47"/>
  <c r="X17" i="47"/>
  <c r="Y17" i="47"/>
  <c r="Z17" i="47"/>
  <c r="AA17" i="47"/>
  <c r="AB17" i="47"/>
  <c r="AC17" i="47"/>
  <c r="AD17" i="47"/>
  <c r="AE17" i="47"/>
  <c r="AF17" i="47"/>
  <c r="AG17" i="47"/>
  <c r="AH17" i="47"/>
  <c r="AI17" i="47"/>
  <c r="AJ17" i="47"/>
  <c r="AK17" i="47"/>
  <c r="AL17" i="47"/>
  <c r="AM17" i="47"/>
  <c r="AN17" i="47"/>
  <c r="AO17" i="47"/>
  <c r="AP17" i="47"/>
  <c r="AQ17" i="47"/>
  <c r="AR17" i="47"/>
  <c r="AS17" i="47"/>
  <c r="AT17" i="47"/>
  <c r="AU17" i="47"/>
  <c r="AV17" i="47"/>
  <c r="AW17" i="47"/>
  <c r="AX17" i="47"/>
  <c r="AY17" i="47"/>
  <c r="AZ17" i="47"/>
  <c r="BA17" i="47"/>
  <c r="BB17" i="47"/>
  <c r="BC17" i="47"/>
  <c r="BD17" i="47"/>
  <c r="BE17" i="47"/>
  <c r="BF17" i="47"/>
  <c r="BG17" i="47"/>
  <c r="BH17" i="47"/>
  <c r="BI17" i="47"/>
  <c r="BJ17" i="47"/>
  <c r="BK17" i="47"/>
  <c r="BL17" i="47"/>
  <c r="BM17" i="47"/>
  <c r="BN17" i="47"/>
  <c r="BO17" i="47"/>
  <c r="BP17" i="47"/>
  <c r="BQ17" i="47"/>
  <c r="BR17" i="47"/>
  <c r="BS17" i="47"/>
  <c r="BT17" i="47"/>
  <c r="C18" i="47"/>
  <c r="D18" i="47"/>
  <c r="E18" i="47"/>
  <c r="F18" i="47"/>
  <c r="G18" i="47"/>
  <c r="H18" i="47"/>
  <c r="I18" i="47"/>
  <c r="J18" i="47"/>
  <c r="K18" i="47"/>
  <c r="L18" i="47"/>
  <c r="M18" i="47"/>
  <c r="N18" i="47"/>
  <c r="O18" i="47"/>
  <c r="P18" i="47"/>
  <c r="Q18" i="47"/>
  <c r="R18" i="47"/>
  <c r="S18" i="47"/>
  <c r="T18" i="47"/>
  <c r="U18" i="47"/>
  <c r="V18" i="47"/>
  <c r="W18" i="47"/>
  <c r="X18" i="47"/>
  <c r="Y18" i="47"/>
  <c r="Z18" i="47"/>
  <c r="AA18" i="47"/>
  <c r="AB18" i="47"/>
  <c r="AC18" i="47"/>
  <c r="AD18" i="47"/>
  <c r="AE18" i="47"/>
  <c r="AF18" i="47"/>
  <c r="AG18" i="47"/>
  <c r="AH18" i="47"/>
  <c r="AI18" i="47"/>
  <c r="AJ18" i="47"/>
  <c r="AK18" i="47"/>
  <c r="AL18" i="47"/>
  <c r="AM18" i="47"/>
  <c r="AN18" i="47"/>
  <c r="AO18" i="47"/>
  <c r="AP18" i="47"/>
  <c r="AQ18" i="47"/>
  <c r="AR18" i="47"/>
  <c r="AS18" i="47"/>
  <c r="AT18" i="47"/>
  <c r="AU18" i="47"/>
  <c r="AV18" i="47"/>
  <c r="AW18" i="47"/>
  <c r="AX18" i="47"/>
  <c r="AY18" i="47"/>
  <c r="AZ18" i="47"/>
  <c r="BA18" i="47"/>
  <c r="BB18" i="47"/>
  <c r="BC18" i="47"/>
  <c r="BD18" i="47"/>
  <c r="BE18" i="47"/>
  <c r="BF18" i="47"/>
  <c r="BG18" i="47"/>
  <c r="BH18" i="47"/>
  <c r="BI18" i="47"/>
  <c r="BJ18" i="47"/>
  <c r="BK18" i="47"/>
  <c r="BL18" i="47"/>
  <c r="BM18" i="47"/>
  <c r="BN18" i="47"/>
  <c r="BO18" i="47"/>
  <c r="BP18" i="47"/>
  <c r="BQ18" i="47"/>
  <c r="BR18" i="47"/>
  <c r="BS18" i="47"/>
  <c r="BT18" i="47"/>
  <c r="C19" i="47"/>
  <c r="D19" i="47"/>
  <c r="E19" i="47"/>
  <c r="F19" i="47"/>
  <c r="G19" i="47"/>
  <c r="H19" i="47"/>
  <c r="I19" i="47"/>
  <c r="J19" i="47"/>
  <c r="K19" i="47"/>
  <c r="L19" i="47"/>
  <c r="M19" i="47"/>
  <c r="N19" i="47"/>
  <c r="O19" i="47"/>
  <c r="P19" i="47"/>
  <c r="Q19" i="47"/>
  <c r="R19" i="47"/>
  <c r="S19" i="47"/>
  <c r="T19" i="47"/>
  <c r="U19" i="47"/>
  <c r="V19" i="47"/>
  <c r="W19" i="47"/>
  <c r="X19" i="47"/>
  <c r="Y19" i="47"/>
  <c r="Z19" i="47"/>
  <c r="AA19" i="47"/>
  <c r="AB19" i="47"/>
  <c r="AC19" i="47"/>
  <c r="AD19" i="47"/>
  <c r="AE19" i="47"/>
  <c r="AF19" i="47"/>
  <c r="AG19" i="47"/>
  <c r="AH19" i="47"/>
  <c r="AI19" i="47"/>
  <c r="AJ19" i="47"/>
  <c r="AK19" i="47"/>
  <c r="AL19" i="47"/>
  <c r="AM19" i="47"/>
  <c r="AN19" i="47"/>
  <c r="AO19" i="47"/>
  <c r="AP19" i="47"/>
  <c r="AQ19" i="47"/>
  <c r="AR19" i="47"/>
  <c r="AS19" i="47"/>
  <c r="AT19" i="47"/>
  <c r="AU19" i="47"/>
  <c r="AV19" i="47"/>
  <c r="AW19" i="47"/>
  <c r="AX19" i="47"/>
  <c r="AY19" i="47"/>
  <c r="AZ19" i="47"/>
  <c r="BA19" i="47"/>
  <c r="BB19" i="47"/>
  <c r="BC19" i="47"/>
  <c r="BD19" i="47"/>
  <c r="BE19" i="47"/>
  <c r="BF19" i="47"/>
  <c r="BG19" i="47"/>
  <c r="BH19" i="47"/>
  <c r="BI19" i="47"/>
  <c r="BJ19" i="47"/>
  <c r="BK19" i="47"/>
  <c r="BL19" i="47"/>
  <c r="BM19" i="47"/>
  <c r="BN19" i="47"/>
  <c r="BO19" i="47"/>
  <c r="BP19" i="47"/>
  <c r="BQ19" i="47"/>
  <c r="BR19" i="47"/>
  <c r="BS19" i="47"/>
  <c r="BT19" i="47"/>
  <c r="C21" i="47"/>
  <c r="D21" i="47"/>
  <c r="E21" i="47"/>
  <c r="F21" i="47"/>
  <c r="G21" i="47"/>
  <c r="H21" i="47"/>
  <c r="I21" i="47"/>
  <c r="J21" i="47"/>
  <c r="K21" i="47"/>
  <c r="L21" i="47"/>
  <c r="M21" i="47"/>
  <c r="N21" i="47"/>
  <c r="O21" i="47"/>
  <c r="P21" i="47"/>
  <c r="Q21" i="47"/>
  <c r="R21" i="47"/>
  <c r="S21" i="47"/>
  <c r="T21" i="47"/>
  <c r="U21" i="47"/>
  <c r="V21" i="47"/>
  <c r="W21" i="47"/>
  <c r="X21" i="47"/>
  <c r="Y21" i="47"/>
  <c r="Z21" i="47"/>
  <c r="AA21" i="47"/>
  <c r="AB21" i="47"/>
  <c r="AC21" i="47"/>
  <c r="AD21" i="47"/>
  <c r="AE21" i="47"/>
  <c r="AF21" i="47"/>
  <c r="AG21" i="47"/>
  <c r="AH21" i="47"/>
  <c r="AI21" i="47"/>
  <c r="AJ21" i="47"/>
  <c r="AK21" i="47"/>
  <c r="AL21" i="47"/>
  <c r="AM21" i="47"/>
  <c r="AN21" i="47"/>
  <c r="AO21" i="47"/>
  <c r="AP21" i="47"/>
  <c r="AQ21" i="47"/>
  <c r="AR21" i="47"/>
  <c r="AS21" i="47"/>
  <c r="AT21" i="47"/>
  <c r="AU21" i="47"/>
  <c r="AV21" i="47"/>
  <c r="AW21" i="47"/>
  <c r="AX21" i="47"/>
  <c r="AY21" i="47"/>
  <c r="AZ21" i="47"/>
  <c r="BA21" i="47"/>
  <c r="BB21" i="47"/>
  <c r="BC21" i="47"/>
  <c r="BD21" i="47"/>
  <c r="BE21" i="47"/>
  <c r="BF21" i="47"/>
  <c r="BG21" i="47"/>
  <c r="BH21" i="47"/>
  <c r="BI21" i="47"/>
  <c r="BJ21" i="47"/>
  <c r="BK21" i="47"/>
  <c r="BL21" i="47"/>
  <c r="BM21" i="47"/>
  <c r="BN21" i="47"/>
  <c r="BO21" i="47"/>
  <c r="BP21" i="47"/>
  <c r="BQ21" i="47"/>
  <c r="BR21" i="47"/>
  <c r="BS21" i="47"/>
  <c r="BT21" i="47"/>
  <c r="C26" i="47"/>
  <c r="D26" i="47"/>
  <c r="E26" i="47"/>
  <c r="F26" i="47"/>
  <c r="G26" i="47"/>
  <c r="H26" i="47"/>
  <c r="I26" i="47"/>
  <c r="J26" i="47"/>
  <c r="K26" i="47"/>
  <c r="L26" i="47"/>
  <c r="M26" i="47"/>
  <c r="N26" i="47"/>
  <c r="O26" i="47"/>
  <c r="P26" i="47"/>
  <c r="Q26" i="47"/>
  <c r="R26" i="47"/>
  <c r="S26" i="47"/>
  <c r="T26" i="47"/>
  <c r="U26" i="47"/>
  <c r="V26" i="47"/>
  <c r="W26" i="47"/>
  <c r="X26" i="47"/>
  <c r="Y26" i="47"/>
  <c r="Z26" i="47"/>
  <c r="AA26" i="47"/>
  <c r="AB26" i="47"/>
  <c r="AC26" i="47"/>
  <c r="AD26" i="47"/>
  <c r="AE26" i="47"/>
  <c r="AF26" i="47"/>
  <c r="AG26" i="47"/>
  <c r="AH26" i="47"/>
  <c r="AI26" i="47"/>
  <c r="AJ26" i="47"/>
  <c r="AK26" i="47"/>
  <c r="AL26" i="47"/>
  <c r="AM26" i="47"/>
  <c r="AN26" i="47"/>
  <c r="AO26" i="47"/>
  <c r="AP26" i="47"/>
  <c r="AQ26" i="47"/>
  <c r="AR26" i="47"/>
  <c r="AS26" i="47"/>
  <c r="AT26" i="47"/>
  <c r="AU26" i="47"/>
  <c r="AV26" i="47"/>
  <c r="AW26" i="47"/>
  <c r="AX26" i="47"/>
  <c r="AY26" i="47"/>
  <c r="AZ26" i="47"/>
  <c r="BA26" i="47"/>
  <c r="BB26" i="47"/>
  <c r="BC26" i="47"/>
  <c r="BD26" i="47"/>
  <c r="BE26" i="47"/>
  <c r="BF26" i="47"/>
  <c r="BG26" i="47"/>
  <c r="BH26" i="47"/>
  <c r="BI26" i="47"/>
  <c r="BJ26" i="47"/>
  <c r="BK26" i="47"/>
  <c r="BL26" i="47"/>
  <c r="BM26" i="47"/>
  <c r="BN26" i="47"/>
  <c r="BO26" i="47"/>
  <c r="BP26" i="47"/>
  <c r="BQ26" i="47"/>
  <c r="BR26" i="47"/>
  <c r="BS26" i="47"/>
  <c r="BT26" i="47"/>
  <c r="C27" i="47"/>
  <c r="D27" i="47"/>
  <c r="E27" i="47"/>
  <c r="F27" i="47"/>
  <c r="G27" i="47"/>
  <c r="H27" i="47"/>
  <c r="I27" i="47"/>
  <c r="J27" i="47"/>
  <c r="K27" i="47"/>
  <c r="L27" i="47"/>
  <c r="M27" i="47"/>
  <c r="N27" i="47"/>
  <c r="O27" i="47"/>
  <c r="P27" i="47"/>
  <c r="Q27" i="47"/>
  <c r="R27" i="47"/>
  <c r="S27" i="47"/>
  <c r="T27" i="47"/>
  <c r="U27" i="47"/>
  <c r="V27" i="47"/>
  <c r="W27" i="47"/>
  <c r="X27" i="47"/>
  <c r="Y27" i="47"/>
  <c r="Z27" i="47"/>
  <c r="AA27" i="47"/>
  <c r="AB27" i="47"/>
  <c r="AC27" i="47"/>
  <c r="AD27" i="47"/>
  <c r="AE27" i="47"/>
  <c r="AF27" i="47"/>
  <c r="AG27" i="47"/>
  <c r="AH27" i="47"/>
  <c r="AI27" i="47"/>
  <c r="AJ27" i="47"/>
  <c r="AK27" i="47"/>
  <c r="AL27" i="47"/>
  <c r="AM27" i="47"/>
  <c r="AN27" i="47"/>
  <c r="AO27" i="47"/>
  <c r="AP27" i="47"/>
  <c r="AQ27" i="47"/>
  <c r="AR27" i="47"/>
  <c r="AS27" i="47"/>
  <c r="AT27" i="47"/>
  <c r="AU27" i="47"/>
  <c r="AV27" i="47"/>
  <c r="AW27" i="47"/>
  <c r="AX27" i="47"/>
  <c r="AY27" i="47"/>
  <c r="AZ27" i="47"/>
  <c r="BA27" i="47"/>
  <c r="BB27" i="47"/>
  <c r="BC27" i="47"/>
  <c r="BD27" i="47"/>
  <c r="BE27" i="47"/>
  <c r="BF27" i="47"/>
  <c r="BG27" i="47"/>
  <c r="BH27" i="47"/>
  <c r="BI27" i="47"/>
  <c r="BJ27" i="47"/>
  <c r="BK27" i="47"/>
  <c r="BL27" i="47"/>
  <c r="BM27" i="47"/>
  <c r="BN27" i="47"/>
  <c r="BO27" i="47"/>
  <c r="BP27" i="47"/>
  <c r="BQ27" i="47"/>
  <c r="BR27" i="47"/>
  <c r="BS27" i="47"/>
  <c r="BT27" i="47"/>
  <c r="C28" i="47"/>
  <c r="D28" i="47"/>
  <c r="E28" i="47"/>
  <c r="F28" i="47"/>
  <c r="G28" i="47"/>
  <c r="H28" i="47"/>
  <c r="I28" i="47"/>
  <c r="J28" i="47"/>
  <c r="K28" i="47"/>
  <c r="L28" i="47"/>
  <c r="M28" i="47"/>
  <c r="N28" i="47"/>
  <c r="O28" i="47"/>
  <c r="P28" i="47"/>
  <c r="Q28" i="47"/>
  <c r="R28" i="47"/>
  <c r="S28" i="47"/>
  <c r="T28" i="47"/>
  <c r="U28" i="47"/>
  <c r="V28" i="47"/>
  <c r="W28" i="47"/>
  <c r="X28" i="47"/>
  <c r="Y28" i="47"/>
  <c r="Z28" i="47"/>
  <c r="AA28" i="47"/>
  <c r="AB28" i="47"/>
  <c r="AC28" i="47"/>
  <c r="AD28" i="47"/>
  <c r="AE28" i="47"/>
  <c r="AF28" i="47"/>
  <c r="AG28" i="47"/>
  <c r="AH28" i="47"/>
  <c r="AI28" i="47"/>
  <c r="AJ28" i="47"/>
  <c r="AK28" i="47"/>
  <c r="AL28" i="47"/>
  <c r="AM28" i="47"/>
  <c r="AN28" i="47"/>
  <c r="AO28" i="47"/>
  <c r="AP28" i="47"/>
  <c r="AQ28" i="47"/>
  <c r="AR28" i="47"/>
  <c r="AS28" i="47"/>
  <c r="AT28" i="47"/>
  <c r="AU28" i="47"/>
  <c r="AV28" i="47"/>
  <c r="AW28" i="47"/>
  <c r="AX28" i="47"/>
  <c r="AY28" i="47"/>
  <c r="AZ28" i="47"/>
  <c r="BA28" i="47"/>
  <c r="BB28" i="47"/>
  <c r="BC28" i="47"/>
  <c r="BD28" i="47"/>
  <c r="BE28" i="47"/>
  <c r="BF28" i="47"/>
  <c r="BG28" i="47"/>
  <c r="BH28" i="47"/>
  <c r="BI28" i="47"/>
  <c r="BJ28" i="47"/>
  <c r="BK28" i="47"/>
  <c r="BL28" i="47"/>
  <c r="BM28" i="47"/>
  <c r="BN28" i="47"/>
  <c r="BO28" i="47"/>
  <c r="BP28" i="47"/>
  <c r="BQ28" i="47"/>
  <c r="BR28" i="47"/>
  <c r="BS28" i="47"/>
  <c r="BT28" i="47"/>
  <c r="C29" i="47"/>
  <c r="D29" i="47"/>
  <c r="E29" i="47"/>
  <c r="F29" i="47"/>
  <c r="G29" i="47"/>
  <c r="H29" i="47"/>
  <c r="I29" i="47"/>
  <c r="J29" i="47"/>
  <c r="K29" i="47"/>
  <c r="L29" i="47"/>
  <c r="M29" i="47"/>
  <c r="N29" i="47"/>
  <c r="O29" i="47"/>
  <c r="P29" i="47"/>
  <c r="Q29" i="47"/>
  <c r="R29" i="47"/>
  <c r="S29" i="47"/>
  <c r="T29" i="47"/>
  <c r="U29" i="47"/>
  <c r="V29" i="47"/>
  <c r="W29" i="47"/>
  <c r="X29" i="47"/>
  <c r="Y29" i="47"/>
  <c r="Z29" i="47"/>
  <c r="AA29" i="47"/>
  <c r="AB29" i="47"/>
  <c r="AC29" i="47"/>
  <c r="AD29" i="47"/>
  <c r="AE29" i="47"/>
  <c r="AF29" i="47"/>
  <c r="AG29" i="47"/>
  <c r="AH29" i="47"/>
  <c r="AI29" i="47"/>
  <c r="AJ29" i="47"/>
  <c r="AK29" i="47"/>
  <c r="AL29" i="47"/>
  <c r="AM29" i="47"/>
  <c r="AN29" i="47"/>
  <c r="AO29" i="47"/>
  <c r="AP29" i="47"/>
  <c r="AQ29" i="47"/>
  <c r="AR29" i="47"/>
  <c r="AS29" i="47"/>
  <c r="AT29" i="47"/>
  <c r="AU29" i="47"/>
  <c r="AV29" i="47"/>
  <c r="AW29" i="47"/>
  <c r="AX29" i="47"/>
  <c r="AY29" i="47"/>
  <c r="AZ29" i="47"/>
  <c r="BA29" i="47"/>
  <c r="BB29" i="47"/>
  <c r="BC29" i="47"/>
  <c r="BD29" i="47"/>
  <c r="BE29" i="47"/>
  <c r="BF29" i="47"/>
  <c r="BG29" i="47"/>
  <c r="BH29" i="47"/>
  <c r="BI29" i="47"/>
  <c r="BJ29" i="47"/>
  <c r="BK29" i="47"/>
  <c r="BL29" i="47"/>
  <c r="BM29" i="47"/>
  <c r="BN29" i="47"/>
  <c r="BO29" i="47"/>
  <c r="BP29" i="47"/>
  <c r="BQ29" i="47"/>
  <c r="BR29" i="47"/>
  <c r="BS29" i="47"/>
  <c r="BT29" i="47"/>
  <c r="C31" i="47"/>
  <c r="D31" i="47"/>
  <c r="E31" i="47"/>
  <c r="F31" i="47"/>
  <c r="G31" i="47"/>
  <c r="H31" i="47"/>
  <c r="I31" i="47"/>
  <c r="J31" i="47"/>
  <c r="K31" i="47"/>
  <c r="L31" i="47"/>
  <c r="M31" i="47"/>
  <c r="N31" i="47"/>
  <c r="O31" i="47"/>
  <c r="P31" i="47"/>
  <c r="Q31" i="47"/>
  <c r="R31" i="47"/>
  <c r="S31" i="47"/>
  <c r="T31" i="47"/>
  <c r="U31" i="47"/>
  <c r="V31" i="47"/>
  <c r="W31" i="47"/>
  <c r="X31" i="47"/>
  <c r="Y31" i="47"/>
  <c r="Z31" i="47"/>
  <c r="AA31" i="47"/>
  <c r="AB31" i="47"/>
  <c r="AC31" i="47"/>
  <c r="AD31" i="47"/>
  <c r="AE31" i="47"/>
  <c r="AF31" i="47"/>
  <c r="AG31" i="47"/>
  <c r="AH31" i="47"/>
  <c r="AI31" i="47"/>
  <c r="AJ31" i="47"/>
  <c r="AK31" i="47"/>
  <c r="AL31" i="47"/>
  <c r="AM31" i="47"/>
  <c r="AN31" i="47"/>
  <c r="AO31" i="47"/>
  <c r="AP31" i="47"/>
  <c r="AQ31" i="47"/>
  <c r="AR31" i="47"/>
  <c r="AS31" i="47"/>
  <c r="AT31" i="47"/>
  <c r="AU31" i="47"/>
  <c r="AV31" i="47"/>
  <c r="AW31" i="47"/>
  <c r="AX31" i="47"/>
  <c r="AY31" i="47"/>
  <c r="AZ31" i="47"/>
  <c r="BA31" i="47"/>
  <c r="BB31" i="47"/>
  <c r="BC31" i="47"/>
  <c r="BD31" i="47"/>
  <c r="BE31" i="47"/>
  <c r="BF31" i="47"/>
  <c r="BG31" i="47"/>
  <c r="BH31" i="47"/>
  <c r="BI31" i="47"/>
  <c r="BJ31" i="47"/>
  <c r="BK31" i="47"/>
  <c r="BL31" i="47"/>
  <c r="BM31" i="47"/>
  <c r="BN31" i="47"/>
  <c r="BO31" i="47"/>
  <c r="BP31" i="47"/>
  <c r="BQ31" i="47"/>
  <c r="BR31" i="47"/>
  <c r="BS31" i="47"/>
  <c r="BT31" i="47"/>
  <c r="D8" i="63"/>
  <c r="D10" i="63"/>
  <c r="D11" i="63"/>
  <c r="D12" i="63"/>
  <c r="D13" i="63"/>
  <c r="D15" i="63"/>
  <c r="D16" i="63"/>
  <c r="D17" i="63"/>
  <c r="D18" i="63"/>
  <c r="D20" i="63"/>
  <c r="D29" i="63"/>
  <c r="D30" i="63"/>
  <c r="D32" i="63"/>
  <c r="D34" i="63"/>
  <c r="D35" i="63"/>
  <c r="D36" i="63"/>
  <c r="D37" i="63"/>
  <c r="H39" i="63"/>
  <c r="D40" i="63"/>
  <c r="D42" i="63"/>
  <c r="D43" i="63"/>
  <c r="D44" i="63"/>
  <c r="G44" i="63"/>
  <c r="D45" i="63"/>
  <c r="D46" i="63"/>
  <c r="D47" i="63"/>
  <c r="D48" i="63"/>
  <c r="D49" i="63"/>
  <c r="M49" i="63"/>
  <c r="D52" i="63"/>
  <c r="D53" i="63"/>
  <c r="D54" i="63"/>
  <c r="D64" i="63"/>
  <c r="D68" i="63"/>
  <c r="D69" i="63"/>
  <c r="D71" i="63"/>
  <c r="D72" i="63"/>
  <c r="D73" i="63"/>
  <c r="D74" i="63"/>
  <c r="D77" i="63"/>
  <c r="D78" i="63"/>
  <c r="D80" i="63"/>
  <c r="D81" i="63"/>
  <c r="D82" i="63"/>
  <c r="D83" i="63"/>
  <c r="D87" i="63"/>
  <c r="D88" i="63"/>
  <c r="D89" i="63"/>
  <c r="D90" i="63"/>
  <c r="B26" i="50"/>
  <c r="B53" i="50"/>
  <c r="C53" i="50"/>
  <c r="D53" i="50"/>
  <c r="E53" i="50"/>
  <c r="F53" i="50"/>
  <c r="G53" i="50"/>
  <c r="H53" i="50"/>
  <c r="I53" i="50"/>
  <c r="J53" i="50"/>
  <c r="K53" i="50"/>
  <c r="B54" i="50"/>
  <c r="C54" i="50"/>
  <c r="D54" i="50"/>
  <c r="E54" i="50"/>
  <c r="F54" i="50"/>
  <c r="G54" i="50"/>
  <c r="H54" i="50"/>
  <c r="I54" i="50"/>
  <c r="J54" i="50"/>
  <c r="K54" i="50"/>
  <c r="B55" i="50"/>
  <c r="C55" i="50"/>
  <c r="D55" i="50"/>
  <c r="E55" i="50"/>
  <c r="F55" i="50"/>
  <c r="G55" i="50"/>
  <c r="H55" i="50"/>
  <c r="I55" i="50"/>
  <c r="J55" i="50"/>
  <c r="K55" i="50"/>
  <c r="B56" i="50"/>
  <c r="C56" i="50"/>
  <c r="D56" i="50"/>
  <c r="E56" i="50"/>
  <c r="F56" i="50"/>
  <c r="G56" i="50"/>
  <c r="H56" i="50"/>
  <c r="I56" i="50"/>
  <c r="J56" i="50"/>
  <c r="K56" i="50"/>
  <c r="B57" i="50"/>
  <c r="C57" i="50"/>
  <c r="D57" i="50"/>
  <c r="E57" i="50"/>
  <c r="F57" i="50"/>
  <c r="G57" i="50"/>
  <c r="H57" i="50"/>
  <c r="I57" i="50"/>
  <c r="J57" i="50"/>
  <c r="K57" i="50"/>
  <c r="B58" i="50"/>
  <c r="C58" i="50"/>
  <c r="D58" i="50"/>
  <c r="E58" i="50"/>
  <c r="F58" i="50"/>
  <c r="G58" i="50"/>
  <c r="H58" i="50"/>
  <c r="I58" i="50"/>
  <c r="J58" i="50"/>
  <c r="K58" i="50"/>
  <c r="B59" i="50"/>
  <c r="C59" i="50"/>
  <c r="D59" i="50"/>
  <c r="E59" i="50"/>
  <c r="F59" i="50"/>
  <c r="G59" i="50"/>
  <c r="H59" i="50"/>
  <c r="I59" i="50"/>
  <c r="J59" i="50"/>
  <c r="K59" i="50"/>
  <c r="B60" i="50"/>
  <c r="C60" i="50"/>
  <c r="D60" i="50"/>
  <c r="E60" i="50"/>
  <c r="F60" i="50"/>
  <c r="G60" i="50"/>
  <c r="H60" i="50"/>
  <c r="B61" i="50"/>
  <c r="C61" i="50"/>
  <c r="D61" i="50"/>
  <c r="E61" i="50"/>
  <c r="F61" i="50"/>
  <c r="G61" i="50"/>
  <c r="H61" i="50"/>
  <c r="B62" i="50"/>
  <c r="C62" i="50"/>
  <c r="D62" i="50"/>
  <c r="E62" i="50"/>
  <c r="F62" i="50"/>
  <c r="G62" i="50"/>
  <c r="H62" i="50"/>
  <c r="J131" i="50"/>
  <c r="D133" i="50"/>
  <c r="D134" i="50"/>
  <c r="G135" i="50"/>
  <c r="J135" i="50"/>
  <c r="D136" i="50"/>
  <c r="G136" i="50"/>
  <c r="J136" i="50"/>
  <c r="D150" i="50"/>
  <c r="G150" i="50"/>
  <c r="J150" i="50"/>
  <c r="D151" i="50"/>
  <c r="G151" i="50"/>
  <c r="J151" i="50"/>
  <c r="E161" i="50"/>
  <c r="E162" i="50"/>
  <c r="B173" i="50"/>
  <c r="B174" i="50"/>
  <c r="H174" i="50"/>
  <c r="B176" i="50"/>
  <c r="B177" i="50"/>
  <c r="B178" i="50"/>
  <c r="B184" i="50"/>
  <c r="B187" i="50"/>
  <c r="B188" i="50"/>
  <c r="B189" i="50"/>
  <c r="B191" i="50"/>
  <c r="B198" i="50"/>
  <c r="B201" i="50"/>
  <c r="D201" i="50"/>
  <c r="B202" i="50"/>
  <c r="D202" i="50"/>
  <c r="H77" i="61"/>
  <c r="I77" i="61"/>
  <c r="J77" i="61"/>
  <c r="K77" i="61"/>
  <c r="L77" i="61"/>
  <c r="H78" i="61"/>
  <c r="I78" i="61"/>
  <c r="J78" i="61"/>
  <c r="K78" i="61"/>
  <c r="L78" i="61"/>
  <c r="M78" i="61"/>
  <c r="N78" i="61"/>
  <c r="O78" i="61"/>
  <c r="H79" i="61"/>
  <c r="I79" i="61"/>
  <c r="J79" i="61"/>
  <c r="K79" i="61"/>
  <c r="L79" i="61"/>
  <c r="P79" i="61"/>
  <c r="H80" i="61"/>
  <c r="I80" i="61"/>
  <c r="J80" i="61"/>
  <c r="K80" i="61"/>
  <c r="L80" i="61"/>
  <c r="P80" i="61"/>
  <c r="D86" i="61"/>
  <c r="E86" i="61"/>
  <c r="D87" i="61"/>
  <c r="E87" i="61"/>
  <c r="D88" i="61"/>
  <c r="E88" i="61"/>
  <c r="D89" i="61"/>
  <c r="E89" i="61"/>
  <c r="L89" i="61"/>
  <c r="M89" i="61"/>
  <c r="N89" i="61"/>
  <c r="O89" i="61"/>
  <c r="D90" i="61"/>
  <c r="E90" i="61"/>
  <c r="K90" i="61"/>
  <c r="L90" i="61"/>
  <c r="M90" i="61"/>
  <c r="N90" i="61"/>
  <c r="O90" i="61"/>
  <c r="D91" i="61"/>
  <c r="E91" i="61"/>
  <c r="J91" i="61"/>
  <c r="K91" i="61"/>
  <c r="L91" i="61"/>
  <c r="M91" i="61"/>
  <c r="N91" i="61"/>
  <c r="O91" i="61"/>
  <c r="D92" i="61"/>
  <c r="E92" i="61"/>
  <c r="I92" i="61"/>
  <c r="J92" i="61"/>
  <c r="K92" i="61"/>
  <c r="L92" i="61"/>
  <c r="M92" i="61"/>
  <c r="N92" i="61"/>
  <c r="O92" i="61"/>
  <c r="D93" i="61"/>
  <c r="E93" i="61"/>
  <c r="H93" i="61"/>
  <c r="I93" i="61"/>
  <c r="J93" i="61"/>
  <c r="K93" i="61"/>
  <c r="L93" i="61"/>
  <c r="M93" i="61"/>
  <c r="N93" i="61"/>
  <c r="O93" i="61"/>
  <c r="E41" i="33"/>
  <c r="F41" i="33"/>
  <c r="G41" i="33"/>
  <c r="H41" i="33"/>
  <c r="I41" i="33"/>
  <c r="J41" i="33"/>
  <c r="K41" i="33"/>
  <c r="L41" i="33"/>
  <c r="M41" i="33"/>
  <c r="N41" i="33"/>
  <c r="O41" i="33"/>
  <c r="E43" i="33"/>
  <c r="F43" i="33"/>
  <c r="G43" i="33"/>
  <c r="H43" i="33"/>
  <c r="I43" i="33"/>
  <c r="J43" i="33"/>
  <c r="K43" i="33"/>
  <c r="L43" i="33"/>
  <c r="M43" i="33"/>
  <c r="N43" i="33"/>
  <c r="O43" i="33"/>
  <c r="E44" i="33"/>
  <c r="F44" i="33"/>
  <c r="G44" i="33"/>
  <c r="H44" i="33"/>
  <c r="I44" i="33"/>
  <c r="J44" i="33"/>
  <c r="K44" i="33"/>
  <c r="L44" i="33"/>
  <c r="M44" i="33"/>
  <c r="N44" i="33"/>
  <c r="O44" i="33"/>
  <c r="E45" i="33"/>
  <c r="F45" i="33"/>
  <c r="G45" i="33"/>
  <c r="H45" i="33"/>
  <c r="I45" i="33"/>
  <c r="J45" i="33"/>
  <c r="K45" i="33"/>
  <c r="L45" i="33"/>
  <c r="M45" i="33"/>
  <c r="N45" i="33"/>
  <c r="O45" i="33"/>
  <c r="S51" i="33"/>
  <c r="T51" i="33"/>
  <c r="U51" i="33"/>
  <c r="V51" i="33"/>
  <c r="W51" i="33"/>
  <c r="X51" i="33"/>
  <c r="Y51" i="33"/>
  <c r="Z51" i="33"/>
  <c r="AA51" i="33"/>
  <c r="AB51" i="33"/>
  <c r="AC51" i="33"/>
  <c r="S52" i="33"/>
  <c r="T52" i="33"/>
  <c r="U52" i="33"/>
  <c r="V52" i="33"/>
  <c r="W52" i="33"/>
  <c r="X52" i="33"/>
  <c r="Y52" i="33"/>
  <c r="Z52" i="33"/>
  <c r="AA52" i="33"/>
  <c r="AB52" i="33"/>
  <c r="AC52" i="33"/>
  <c r="S57" i="33"/>
  <c r="T57" i="33"/>
  <c r="U57" i="33"/>
  <c r="V57" i="33"/>
  <c r="W57" i="33"/>
  <c r="X57" i="33"/>
  <c r="Y57" i="33"/>
  <c r="Z57" i="33"/>
  <c r="AA57" i="33"/>
  <c r="AB57" i="33"/>
  <c r="AC57" i="33"/>
  <c r="S58" i="33"/>
  <c r="T58" i="33"/>
  <c r="U58" i="33"/>
  <c r="V58" i="33"/>
  <c r="W58" i="33"/>
  <c r="X58" i="33"/>
  <c r="Y58" i="33"/>
  <c r="Z58" i="33"/>
  <c r="AA58" i="33"/>
  <c r="AB58" i="33"/>
  <c r="AC58" i="33"/>
  <c r="D73" i="33"/>
  <c r="D74" i="33"/>
  <c r="D75" i="33"/>
  <c r="D76" i="33"/>
  <c r="D77" i="33"/>
  <c r="D78" i="33"/>
  <c r="D79" i="33"/>
  <c r="D80" i="33"/>
  <c r="D81" i="33"/>
  <c r="D82" i="33"/>
  <c r="D83" i="33"/>
  <c r="D93" i="33"/>
  <c r="E93" i="33"/>
  <c r="F93" i="33"/>
  <c r="G93" i="33"/>
  <c r="H93" i="33"/>
  <c r="I93" i="33"/>
  <c r="J93" i="33"/>
  <c r="K93" i="33"/>
  <c r="L93" i="33"/>
  <c r="M93" i="33"/>
  <c r="N93" i="33"/>
  <c r="D94" i="33"/>
  <c r="E94" i="33"/>
  <c r="F94" i="33"/>
  <c r="G94" i="33"/>
  <c r="H94" i="33"/>
  <c r="I94" i="33"/>
  <c r="J94" i="33"/>
  <c r="K94" i="33"/>
  <c r="L94" i="33"/>
  <c r="M94" i="33"/>
  <c r="N94" i="33"/>
  <c r="D95" i="33"/>
  <c r="E95" i="33"/>
  <c r="F95" i="33"/>
  <c r="G95" i="33"/>
  <c r="H95" i="33"/>
  <c r="I95" i="33"/>
  <c r="J95" i="33"/>
  <c r="K95" i="33"/>
  <c r="L95" i="33"/>
  <c r="M95" i="33"/>
  <c r="N95" i="33"/>
  <c r="D96" i="33"/>
  <c r="E96" i="33"/>
  <c r="F96" i="33"/>
  <c r="G96" i="33"/>
  <c r="H96" i="33"/>
  <c r="I96" i="33"/>
  <c r="J96" i="33"/>
  <c r="K96" i="33"/>
  <c r="L96" i="33"/>
  <c r="M96" i="33"/>
  <c r="N96" i="33"/>
  <c r="D97" i="33"/>
  <c r="E97" i="33"/>
  <c r="F97" i="33"/>
  <c r="G97" i="33"/>
  <c r="H97" i="33"/>
  <c r="I97" i="33"/>
  <c r="J97" i="33"/>
  <c r="K97" i="33"/>
  <c r="L97" i="33"/>
  <c r="M97" i="33"/>
  <c r="N97" i="33"/>
  <c r="D98" i="33"/>
  <c r="E98" i="33"/>
  <c r="F98" i="33"/>
  <c r="G98" i="33"/>
  <c r="H98" i="33"/>
  <c r="I98" i="33"/>
  <c r="J98" i="33"/>
  <c r="K98" i="33"/>
  <c r="L98" i="33"/>
  <c r="M98" i="33"/>
  <c r="N98" i="33"/>
  <c r="D99" i="33"/>
  <c r="E99" i="33"/>
  <c r="F99" i="33"/>
  <c r="G99" i="33"/>
  <c r="H99" i="33"/>
  <c r="I99" i="33"/>
  <c r="J99" i="33"/>
  <c r="K99" i="33"/>
  <c r="L99" i="33"/>
  <c r="M99" i="33"/>
  <c r="N99" i="33"/>
  <c r="D100" i="33"/>
  <c r="E100" i="33"/>
  <c r="F100" i="33"/>
  <c r="G100" i="33"/>
  <c r="H100" i="33"/>
  <c r="I100" i="33"/>
  <c r="J100" i="33"/>
  <c r="K100" i="33"/>
  <c r="L100" i="33"/>
  <c r="M100" i="33"/>
  <c r="N100" i="33"/>
  <c r="D101" i="33"/>
  <c r="E101" i="33"/>
  <c r="F101" i="33"/>
  <c r="G101" i="33"/>
  <c r="H101" i="33"/>
  <c r="I101" i="33"/>
  <c r="J101" i="33"/>
  <c r="K101" i="33"/>
  <c r="L101" i="33"/>
  <c r="M101" i="33"/>
  <c r="N101" i="33"/>
  <c r="D102" i="33"/>
  <c r="E102" i="33"/>
  <c r="F102" i="33"/>
  <c r="G102" i="33"/>
  <c r="H102" i="33"/>
  <c r="I102" i="33"/>
  <c r="J102" i="33"/>
  <c r="K102" i="33"/>
  <c r="L102" i="33"/>
  <c r="M102" i="33"/>
  <c r="N102" i="33"/>
  <c r="D103" i="33"/>
  <c r="E103" i="33"/>
  <c r="F103" i="33"/>
  <c r="G103" i="33"/>
  <c r="H103" i="33"/>
  <c r="I103" i="33"/>
  <c r="J103" i="33"/>
  <c r="K103" i="33"/>
  <c r="L103" i="33"/>
  <c r="M103" i="33"/>
  <c r="N103" i="33"/>
  <c r="D119" i="33"/>
  <c r="E119" i="33"/>
  <c r="F119" i="33"/>
  <c r="G119" i="33"/>
  <c r="H119" i="33"/>
  <c r="I119" i="33"/>
  <c r="J119" i="33"/>
  <c r="K119" i="33"/>
  <c r="L119" i="33"/>
  <c r="M119" i="33"/>
  <c r="N119" i="33"/>
  <c r="D120" i="33"/>
  <c r="E120" i="33"/>
  <c r="F120" i="33"/>
  <c r="G120" i="33"/>
  <c r="H120" i="33"/>
  <c r="I120" i="33"/>
  <c r="J120" i="33"/>
  <c r="K120" i="33"/>
  <c r="L120" i="33"/>
  <c r="M120" i="33"/>
  <c r="N120" i="33"/>
  <c r="Y120" i="33"/>
  <c r="Z120" i="33"/>
  <c r="AA120" i="33"/>
  <c r="AB120" i="33"/>
  <c r="AC120" i="33"/>
  <c r="AD120" i="33"/>
  <c r="AE120" i="33"/>
  <c r="AF120" i="33"/>
  <c r="AG120" i="33"/>
  <c r="AH120" i="33"/>
  <c r="AI120" i="33"/>
  <c r="D121" i="33"/>
  <c r="E121" i="33"/>
  <c r="F121" i="33"/>
  <c r="G121" i="33"/>
  <c r="H121" i="33"/>
  <c r="I121" i="33"/>
  <c r="J121" i="33"/>
  <c r="K121" i="33"/>
  <c r="L121" i="33"/>
  <c r="M121" i="33"/>
  <c r="N121" i="33"/>
  <c r="Y121" i="33"/>
  <c r="Z121" i="33"/>
  <c r="AA121" i="33"/>
  <c r="AB121" i="33"/>
  <c r="AC121" i="33"/>
  <c r="AD121" i="33"/>
  <c r="AE121" i="33"/>
  <c r="AF121" i="33"/>
  <c r="AG121" i="33"/>
  <c r="AH121" i="33"/>
  <c r="AI121" i="33"/>
  <c r="D122" i="33"/>
  <c r="E122" i="33"/>
  <c r="F122" i="33"/>
  <c r="G122" i="33"/>
  <c r="H122" i="33"/>
  <c r="I122" i="33"/>
  <c r="J122" i="33"/>
  <c r="K122" i="33"/>
  <c r="L122" i="33"/>
  <c r="M122" i="33"/>
  <c r="N122" i="33"/>
  <c r="Y122" i="33"/>
  <c r="Z122" i="33"/>
  <c r="AA122" i="33"/>
  <c r="AB122" i="33"/>
  <c r="AC122" i="33"/>
  <c r="AD122" i="33"/>
  <c r="AE122" i="33"/>
  <c r="AF122" i="33"/>
  <c r="AG122" i="33"/>
  <c r="AH122" i="33"/>
  <c r="AI122" i="33"/>
  <c r="D123" i="33"/>
  <c r="E123" i="33"/>
  <c r="F123" i="33"/>
  <c r="G123" i="33"/>
  <c r="H123" i="33"/>
  <c r="I123" i="33"/>
  <c r="J123" i="33"/>
  <c r="K123" i="33"/>
  <c r="L123" i="33"/>
  <c r="M123" i="33"/>
  <c r="N123" i="33"/>
  <c r="Y123" i="33"/>
  <c r="Z123" i="33"/>
  <c r="AA123" i="33"/>
  <c r="AB123" i="33"/>
  <c r="AC123" i="33"/>
  <c r="AD123" i="33"/>
  <c r="AE123" i="33"/>
  <c r="AF123" i="33"/>
  <c r="AG123" i="33"/>
  <c r="AH123" i="33"/>
  <c r="AI123" i="33"/>
  <c r="D124" i="33"/>
  <c r="E124" i="33"/>
  <c r="F124" i="33"/>
  <c r="G124" i="33"/>
  <c r="H124" i="33"/>
  <c r="I124" i="33"/>
  <c r="J124" i="33"/>
  <c r="K124" i="33"/>
  <c r="L124" i="33"/>
  <c r="M124" i="33"/>
  <c r="N124" i="33"/>
  <c r="Y124" i="33"/>
  <c r="Z124" i="33"/>
  <c r="AA124" i="33"/>
  <c r="AB124" i="33"/>
  <c r="AC124" i="33"/>
  <c r="AD124" i="33"/>
  <c r="AE124" i="33"/>
  <c r="AF124" i="33"/>
  <c r="AG124" i="33"/>
  <c r="AH124" i="33"/>
  <c r="AI124" i="33"/>
  <c r="D125" i="33"/>
  <c r="E125" i="33"/>
  <c r="F125" i="33"/>
  <c r="G125" i="33"/>
  <c r="H125" i="33"/>
  <c r="I125" i="33"/>
  <c r="J125" i="33"/>
  <c r="K125" i="33"/>
  <c r="L125" i="33"/>
  <c r="M125" i="33"/>
  <c r="N125" i="33"/>
  <c r="Y125" i="33"/>
  <c r="Z125" i="33"/>
  <c r="AA125" i="33"/>
  <c r="AB125" i="33"/>
  <c r="AC125" i="33"/>
  <c r="AD125" i="33"/>
  <c r="AE125" i="33"/>
  <c r="AF125" i="33"/>
  <c r="AG125" i="33"/>
  <c r="AH125" i="33"/>
  <c r="AI125" i="33"/>
  <c r="D126" i="33"/>
  <c r="E126" i="33"/>
  <c r="F126" i="33"/>
  <c r="G126" i="33"/>
  <c r="H126" i="33"/>
  <c r="I126" i="33"/>
  <c r="J126" i="33"/>
  <c r="K126" i="33"/>
  <c r="L126" i="33"/>
  <c r="M126" i="33"/>
  <c r="N126" i="33"/>
  <c r="D127" i="33"/>
  <c r="E127" i="33"/>
  <c r="F127" i="33"/>
  <c r="G127" i="33"/>
  <c r="H127" i="33"/>
  <c r="I127" i="33"/>
  <c r="J127" i="33"/>
  <c r="K127" i="33"/>
  <c r="L127" i="33"/>
  <c r="M127" i="33"/>
  <c r="N127" i="33"/>
  <c r="D128" i="33"/>
  <c r="E128" i="33"/>
  <c r="F128" i="33"/>
  <c r="G128" i="33"/>
  <c r="H128" i="33"/>
  <c r="I128" i="33"/>
  <c r="J128" i="33"/>
  <c r="K128" i="33"/>
  <c r="L128" i="33"/>
  <c r="M128" i="33"/>
  <c r="N128" i="33"/>
  <c r="D129" i="33"/>
  <c r="E129" i="33"/>
  <c r="F129" i="33"/>
  <c r="G129" i="33"/>
  <c r="H129" i="33"/>
  <c r="I129" i="33"/>
  <c r="J129" i="33"/>
  <c r="K129" i="33"/>
  <c r="L129" i="33"/>
  <c r="M129" i="33"/>
  <c r="N129" i="33"/>
  <c r="D136" i="33"/>
  <c r="E136" i="33"/>
  <c r="F136" i="33"/>
  <c r="G136" i="33"/>
  <c r="H136" i="33"/>
  <c r="I136" i="33"/>
  <c r="J136" i="33"/>
  <c r="K136" i="33"/>
  <c r="L136" i="33"/>
  <c r="M136" i="33"/>
  <c r="N136" i="33"/>
  <c r="Y136" i="33"/>
  <c r="Z136" i="33"/>
  <c r="AA136" i="33"/>
  <c r="AB136" i="33"/>
  <c r="AC136" i="33"/>
  <c r="AD136" i="33"/>
  <c r="AE136" i="33"/>
  <c r="AF136" i="33"/>
  <c r="AG136" i="33"/>
  <c r="AH136" i="33"/>
  <c r="AI136" i="33"/>
  <c r="D137" i="33"/>
  <c r="E137" i="33"/>
  <c r="F137" i="33"/>
  <c r="G137" i="33"/>
  <c r="H137" i="33"/>
  <c r="I137" i="33"/>
  <c r="J137" i="33"/>
  <c r="K137" i="33"/>
  <c r="L137" i="33"/>
  <c r="M137" i="33"/>
  <c r="N137" i="33"/>
  <c r="Y137" i="33"/>
  <c r="Z137" i="33"/>
  <c r="AA137" i="33"/>
  <c r="AB137" i="33"/>
  <c r="AC137" i="33"/>
  <c r="AD137" i="33"/>
  <c r="AE137" i="33"/>
  <c r="AF137" i="33"/>
  <c r="AG137" i="33"/>
  <c r="AH137" i="33"/>
  <c r="AI137" i="33"/>
  <c r="D138" i="33"/>
  <c r="E138" i="33"/>
  <c r="F138" i="33"/>
  <c r="G138" i="33"/>
  <c r="H138" i="33"/>
  <c r="I138" i="33"/>
  <c r="J138" i="33"/>
  <c r="K138" i="33"/>
  <c r="L138" i="33"/>
  <c r="M138" i="33"/>
  <c r="N138" i="33"/>
  <c r="Y138" i="33"/>
  <c r="Z138" i="33"/>
  <c r="AA138" i="33"/>
  <c r="AB138" i="33"/>
  <c r="AC138" i="33"/>
  <c r="AD138" i="33"/>
  <c r="AE138" i="33"/>
  <c r="AF138" i="33"/>
  <c r="AG138" i="33"/>
  <c r="AH138" i="33"/>
  <c r="AI138" i="33"/>
  <c r="D139" i="33"/>
  <c r="E139" i="33"/>
  <c r="F139" i="33"/>
  <c r="G139" i="33"/>
  <c r="H139" i="33"/>
  <c r="I139" i="33"/>
  <c r="J139" i="33"/>
  <c r="K139" i="33"/>
  <c r="L139" i="33"/>
  <c r="M139" i="33"/>
  <c r="N139" i="33"/>
  <c r="Y139" i="33"/>
  <c r="Z139" i="33"/>
  <c r="AA139" i="33"/>
  <c r="AB139" i="33"/>
  <c r="AC139" i="33"/>
  <c r="AD139" i="33"/>
  <c r="AE139" i="33"/>
  <c r="AF139" i="33"/>
  <c r="AG139" i="33"/>
  <c r="AH139" i="33"/>
  <c r="AI139" i="33"/>
  <c r="D140" i="33"/>
  <c r="E140" i="33"/>
  <c r="F140" i="33"/>
  <c r="G140" i="33"/>
  <c r="H140" i="33"/>
  <c r="I140" i="33"/>
  <c r="J140" i="33"/>
  <c r="K140" i="33"/>
  <c r="L140" i="33"/>
  <c r="M140" i="33"/>
  <c r="N140" i="33"/>
  <c r="Y140" i="33"/>
  <c r="Z140" i="33"/>
  <c r="AA140" i="33"/>
  <c r="AB140" i="33"/>
  <c r="AC140" i="33"/>
  <c r="AD140" i="33"/>
  <c r="AE140" i="33"/>
  <c r="AF140" i="33"/>
  <c r="AG140" i="33"/>
  <c r="AH140" i="33"/>
  <c r="AI140" i="33"/>
  <c r="D141" i="33"/>
  <c r="E141" i="33"/>
  <c r="F141" i="33"/>
  <c r="G141" i="33"/>
  <c r="H141" i="33"/>
  <c r="I141" i="33"/>
  <c r="J141" i="33"/>
  <c r="K141" i="33"/>
  <c r="L141" i="33"/>
  <c r="M141" i="33"/>
  <c r="N141" i="33"/>
  <c r="Y141" i="33"/>
  <c r="Z141" i="33"/>
  <c r="AA141" i="33"/>
  <c r="AB141" i="33"/>
  <c r="AC141" i="33"/>
  <c r="AD141" i="33"/>
  <c r="AE141" i="33"/>
  <c r="AF141" i="33"/>
  <c r="AG141" i="33"/>
  <c r="AH141" i="33"/>
  <c r="AI141" i="33"/>
  <c r="D142" i="33"/>
  <c r="E142" i="33"/>
  <c r="F142" i="33"/>
  <c r="G142" i="33"/>
  <c r="H142" i="33"/>
  <c r="I142" i="33"/>
  <c r="J142" i="33"/>
  <c r="K142" i="33"/>
  <c r="L142" i="33"/>
  <c r="M142" i="33"/>
  <c r="N142" i="33"/>
  <c r="D143" i="33"/>
  <c r="E143" i="33"/>
  <c r="F143" i="33"/>
  <c r="G143" i="33"/>
  <c r="H143" i="33"/>
  <c r="I143" i="33"/>
  <c r="J143" i="33"/>
  <c r="K143" i="33"/>
  <c r="L143" i="33"/>
  <c r="M143" i="33"/>
  <c r="N143" i="33"/>
  <c r="D144" i="33"/>
  <c r="E144" i="33"/>
  <c r="F144" i="33"/>
  <c r="G144" i="33"/>
  <c r="H144" i="33"/>
  <c r="I144" i="33"/>
  <c r="J144" i="33"/>
  <c r="K144" i="33"/>
  <c r="L144" i="33"/>
  <c r="M144" i="33"/>
  <c r="N144" i="33"/>
  <c r="D145" i="33"/>
  <c r="E145" i="33"/>
  <c r="F145" i="33"/>
  <c r="G145" i="33"/>
  <c r="H145" i="33"/>
  <c r="I145" i="33"/>
  <c r="J145" i="33"/>
  <c r="K145" i="33"/>
  <c r="L145" i="33"/>
  <c r="M145" i="33"/>
  <c r="N145" i="33"/>
  <c r="D146" i="33"/>
  <c r="E146" i="33"/>
  <c r="F146" i="33"/>
  <c r="G146" i="33"/>
  <c r="H146" i="33"/>
  <c r="I146" i="33"/>
  <c r="J146" i="33"/>
  <c r="K146" i="33"/>
  <c r="L146" i="33"/>
  <c r="M146" i="33"/>
  <c r="N146" i="33"/>
  <c r="D156" i="33"/>
  <c r="E156" i="33"/>
  <c r="F156" i="33"/>
  <c r="G156" i="33"/>
  <c r="H156" i="33"/>
  <c r="I156" i="33"/>
  <c r="J156" i="33"/>
  <c r="K156" i="33"/>
  <c r="L156" i="33"/>
  <c r="M156" i="33"/>
  <c r="N156" i="33"/>
  <c r="D157" i="33"/>
  <c r="E157" i="33"/>
  <c r="F157" i="33"/>
  <c r="G157" i="33"/>
  <c r="H157" i="33"/>
  <c r="I157" i="33"/>
  <c r="J157" i="33"/>
  <c r="K157" i="33"/>
  <c r="L157" i="33"/>
  <c r="M157" i="33"/>
  <c r="N157" i="33"/>
  <c r="D158" i="33"/>
  <c r="E158" i="33"/>
  <c r="F158" i="33"/>
  <c r="G158" i="33"/>
  <c r="H158" i="33"/>
  <c r="I158" i="33"/>
  <c r="J158" i="33"/>
  <c r="K158" i="33"/>
  <c r="L158" i="33"/>
  <c r="M158" i="33"/>
  <c r="N158" i="33"/>
  <c r="D159" i="33"/>
  <c r="E159" i="33"/>
  <c r="F159" i="33"/>
  <c r="G159" i="33"/>
  <c r="H159" i="33"/>
  <c r="I159" i="33"/>
  <c r="J159" i="33"/>
  <c r="K159" i="33"/>
  <c r="L159" i="33"/>
  <c r="M159" i="33"/>
  <c r="N159" i="33"/>
  <c r="D160" i="33"/>
  <c r="E160" i="33"/>
  <c r="F160" i="33"/>
  <c r="G160" i="33"/>
  <c r="H160" i="33"/>
  <c r="I160" i="33"/>
  <c r="J160" i="33"/>
  <c r="K160" i="33"/>
  <c r="L160" i="33"/>
  <c r="M160" i="33"/>
  <c r="N160" i="33"/>
  <c r="D161" i="33"/>
  <c r="E161" i="33"/>
  <c r="F161" i="33"/>
  <c r="G161" i="33"/>
  <c r="H161" i="33"/>
  <c r="I161" i="33"/>
  <c r="J161" i="33"/>
  <c r="K161" i="33"/>
  <c r="L161" i="33"/>
  <c r="M161" i="33"/>
  <c r="N161" i="33"/>
  <c r="D162" i="33"/>
  <c r="E162" i="33"/>
  <c r="F162" i="33"/>
  <c r="G162" i="33"/>
  <c r="H162" i="33"/>
  <c r="I162" i="33"/>
  <c r="J162" i="33"/>
  <c r="K162" i="33"/>
  <c r="L162" i="33"/>
  <c r="M162" i="33"/>
  <c r="N162" i="33"/>
  <c r="D163" i="33"/>
  <c r="E163" i="33"/>
  <c r="F163" i="33"/>
  <c r="G163" i="33"/>
  <c r="H163" i="33"/>
  <c r="I163" i="33"/>
  <c r="J163" i="33"/>
  <c r="K163" i="33"/>
  <c r="L163" i="33"/>
  <c r="M163" i="33"/>
  <c r="N163" i="33"/>
  <c r="D164" i="33"/>
  <c r="E164" i="33"/>
  <c r="F164" i="33"/>
  <c r="G164" i="33"/>
  <c r="H164" i="33"/>
  <c r="I164" i="33"/>
  <c r="J164" i="33"/>
  <c r="K164" i="33"/>
  <c r="L164" i="33"/>
  <c r="M164" i="33"/>
  <c r="N164" i="33"/>
  <c r="D165" i="33"/>
  <c r="E165" i="33"/>
  <c r="F165" i="33"/>
  <c r="G165" i="33"/>
  <c r="H165" i="33"/>
  <c r="I165" i="33"/>
  <c r="J165" i="33"/>
  <c r="K165" i="33"/>
  <c r="L165" i="33"/>
  <c r="M165" i="33"/>
  <c r="N165" i="33"/>
  <c r="D166" i="33"/>
  <c r="E166" i="33"/>
  <c r="F166" i="33"/>
  <c r="G166" i="33"/>
  <c r="H166" i="33"/>
  <c r="I166" i="33"/>
  <c r="J166" i="33"/>
  <c r="K166" i="33"/>
  <c r="L166" i="33"/>
  <c r="M166" i="33"/>
  <c r="N166" i="33"/>
  <c r="D171" i="33"/>
  <c r="E171" i="33"/>
  <c r="F171" i="33"/>
  <c r="G171" i="33"/>
  <c r="H171" i="33"/>
  <c r="I171" i="33"/>
  <c r="J171" i="33"/>
  <c r="K171" i="33"/>
  <c r="L171" i="33"/>
  <c r="M171" i="33"/>
  <c r="N171" i="33"/>
  <c r="O171" i="33"/>
  <c r="P171" i="33"/>
  <c r="Q171" i="33"/>
  <c r="R171" i="33"/>
  <c r="S171" i="33"/>
  <c r="T171" i="33"/>
  <c r="U171" i="33"/>
  <c r="V171" i="33"/>
  <c r="W171" i="33"/>
  <c r="X171" i="33"/>
  <c r="Y171" i="33"/>
  <c r="Z171" i="33"/>
  <c r="AA171" i="33"/>
  <c r="AB171" i="33"/>
  <c r="AC171" i="33"/>
  <c r="AD171" i="33"/>
  <c r="AE171" i="33"/>
  <c r="AF171" i="33"/>
  <c r="AG171" i="33"/>
  <c r="AH171" i="33"/>
  <c r="AI171" i="33"/>
  <c r="AJ171" i="33"/>
  <c r="AK171" i="33"/>
  <c r="AL171" i="33"/>
  <c r="AM171" i="33"/>
  <c r="AN171" i="33"/>
  <c r="AO171" i="33"/>
  <c r="AP171" i="33"/>
  <c r="AQ171" i="33"/>
  <c r="AR171" i="33"/>
  <c r="AS171" i="33"/>
  <c r="AT171" i="33"/>
  <c r="AU171" i="33"/>
  <c r="AV171" i="33"/>
  <c r="AW171" i="33"/>
  <c r="AX171" i="33"/>
  <c r="AY171" i="33"/>
  <c r="AZ171" i="33"/>
  <c r="BA171" i="33"/>
  <c r="BB171" i="33"/>
  <c r="BC171" i="33"/>
  <c r="BD171" i="33"/>
  <c r="BE171" i="33"/>
  <c r="BF171" i="33"/>
  <c r="BG171" i="33"/>
  <c r="BH171" i="33"/>
  <c r="BI171" i="33"/>
  <c r="BJ171" i="33"/>
  <c r="BK171" i="33"/>
  <c r="BL171" i="33"/>
  <c r="BM171" i="33"/>
  <c r="BN171" i="33"/>
  <c r="BO171" i="33"/>
  <c r="BP171" i="33"/>
  <c r="BQ171" i="33"/>
  <c r="BR171" i="33"/>
  <c r="BS171" i="33"/>
  <c r="BT171" i="33"/>
  <c r="BU171" i="33"/>
  <c r="D173" i="33"/>
  <c r="E173" i="33"/>
  <c r="F173" i="33"/>
  <c r="G173" i="33"/>
  <c r="H173" i="33"/>
  <c r="I173" i="33"/>
  <c r="J173" i="33"/>
  <c r="K173" i="33"/>
  <c r="L173" i="33"/>
  <c r="M173" i="33"/>
  <c r="N173" i="33"/>
  <c r="O173" i="33"/>
  <c r="P173" i="33"/>
  <c r="Q173" i="33"/>
  <c r="R173" i="33"/>
  <c r="S173" i="33"/>
  <c r="T173" i="33"/>
  <c r="U173" i="33"/>
  <c r="V173" i="33"/>
  <c r="W173" i="33"/>
  <c r="X173" i="33"/>
  <c r="Y173" i="33"/>
  <c r="Z173" i="33"/>
  <c r="AA173" i="33"/>
  <c r="AB173" i="33"/>
  <c r="AC173" i="33"/>
  <c r="AD173" i="33"/>
  <c r="AE173" i="33"/>
  <c r="AF173" i="33"/>
  <c r="AG173" i="33"/>
  <c r="AH173" i="33"/>
  <c r="AI173" i="33"/>
  <c r="AJ173" i="33"/>
  <c r="AK173" i="33"/>
  <c r="AL173" i="33"/>
  <c r="AM173" i="33"/>
  <c r="AN173" i="33"/>
  <c r="AO173" i="33"/>
  <c r="AP173" i="33"/>
  <c r="AQ173" i="33"/>
  <c r="AR173" i="33"/>
  <c r="AS173" i="33"/>
  <c r="AT173" i="33"/>
  <c r="AU173" i="33"/>
  <c r="AV173" i="33"/>
  <c r="AW173" i="33"/>
  <c r="AX173" i="33"/>
  <c r="AY173" i="33"/>
  <c r="AZ173" i="33"/>
  <c r="BA173" i="33"/>
  <c r="BB173" i="33"/>
  <c r="BC173" i="33"/>
  <c r="BD173" i="33"/>
  <c r="BE173" i="33"/>
  <c r="BF173" i="33"/>
  <c r="BG173" i="33"/>
  <c r="BH173" i="33"/>
  <c r="BI173" i="33"/>
  <c r="BJ173" i="33"/>
  <c r="BK173" i="33"/>
  <c r="BL173" i="33"/>
  <c r="BM173" i="33"/>
  <c r="BN173" i="33"/>
  <c r="BO173" i="33"/>
  <c r="BP173" i="33"/>
  <c r="BQ173" i="33"/>
  <c r="BR173" i="33"/>
  <c r="BS173" i="33"/>
  <c r="BT173" i="33"/>
  <c r="BU173" i="33"/>
  <c r="D174" i="33"/>
  <c r="E174" i="33"/>
  <c r="F174" i="33"/>
  <c r="G174" i="33"/>
  <c r="H174" i="33"/>
  <c r="I174" i="33"/>
  <c r="J174" i="33"/>
  <c r="K174" i="33"/>
  <c r="L174" i="33"/>
  <c r="M174" i="33"/>
  <c r="N174" i="33"/>
  <c r="O174" i="33"/>
  <c r="P174" i="33"/>
  <c r="Q174" i="33"/>
  <c r="R174" i="33"/>
  <c r="S174" i="33"/>
  <c r="T174" i="33"/>
  <c r="U174" i="33"/>
  <c r="V174" i="33"/>
  <c r="W174" i="33"/>
  <c r="X174" i="33"/>
  <c r="Y174" i="33"/>
  <c r="Z174" i="33"/>
  <c r="AA174" i="33"/>
  <c r="AB174" i="33"/>
  <c r="AC174" i="33"/>
  <c r="AD174" i="33"/>
  <c r="AE174" i="33"/>
  <c r="AF174" i="33"/>
  <c r="AG174" i="33"/>
  <c r="AH174" i="33"/>
  <c r="AI174" i="33"/>
  <c r="AJ174" i="33"/>
  <c r="AK174" i="33"/>
  <c r="AL174" i="33"/>
  <c r="AM174" i="33"/>
  <c r="AN174" i="33"/>
  <c r="AO174" i="33"/>
  <c r="AP174" i="33"/>
  <c r="AQ174" i="33"/>
  <c r="AR174" i="33"/>
  <c r="AS174" i="33"/>
  <c r="AT174" i="33"/>
  <c r="AU174" i="33"/>
  <c r="AV174" i="33"/>
  <c r="AW174" i="33"/>
  <c r="AX174" i="33"/>
  <c r="AY174" i="33"/>
  <c r="AZ174" i="33"/>
  <c r="BA174" i="33"/>
  <c r="BB174" i="33"/>
  <c r="BC174" i="33"/>
  <c r="BD174" i="33"/>
  <c r="BE174" i="33"/>
  <c r="BF174" i="33"/>
  <c r="BG174" i="33"/>
  <c r="BH174" i="33"/>
  <c r="BI174" i="33"/>
  <c r="BJ174" i="33"/>
  <c r="BK174" i="33"/>
  <c r="BL174" i="33"/>
  <c r="BM174" i="33"/>
  <c r="BN174" i="33"/>
  <c r="BO174" i="33"/>
  <c r="BP174" i="33"/>
  <c r="BQ174" i="33"/>
  <c r="BR174" i="33"/>
  <c r="BS174" i="33"/>
  <c r="BT174" i="33"/>
  <c r="BU174" i="33"/>
  <c r="D175" i="33"/>
  <c r="E175" i="33"/>
  <c r="F175" i="33"/>
  <c r="G175" i="33"/>
  <c r="H175" i="33"/>
  <c r="I175" i="33"/>
  <c r="J175" i="33"/>
  <c r="K175" i="33"/>
  <c r="L175" i="33"/>
  <c r="M175" i="33"/>
  <c r="N175" i="33"/>
  <c r="O175" i="33"/>
  <c r="P175" i="33"/>
  <c r="Q175" i="33"/>
  <c r="R175" i="33"/>
  <c r="S175" i="33"/>
  <c r="T175" i="33"/>
  <c r="U175" i="33"/>
  <c r="V175" i="33"/>
  <c r="W175" i="33"/>
  <c r="X175" i="33"/>
  <c r="Y175" i="33"/>
  <c r="Z175" i="33"/>
  <c r="AA175" i="33"/>
  <c r="AB175" i="33"/>
  <c r="AC175" i="33"/>
  <c r="AD175" i="33"/>
  <c r="AE175" i="33"/>
  <c r="AF175" i="33"/>
  <c r="AG175" i="33"/>
  <c r="AH175" i="33"/>
  <c r="AI175" i="33"/>
  <c r="AJ175" i="33"/>
  <c r="AK175" i="33"/>
  <c r="AL175" i="33"/>
  <c r="AM175" i="33"/>
  <c r="AN175" i="33"/>
  <c r="AO175" i="33"/>
  <c r="AP175" i="33"/>
  <c r="AQ175" i="33"/>
  <c r="AR175" i="33"/>
  <c r="AS175" i="33"/>
  <c r="AT175" i="33"/>
  <c r="AU175" i="33"/>
  <c r="AV175" i="33"/>
  <c r="AW175" i="33"/>
  <c r="AX175" i="33"/>
  <c r="AY175" i="33"/>
  <c r="AZ175" i="33"/>
  <c r="BA175" i="33"/>
  <c r="BB175" i="33"/>
  <c r="BC175" i="33"/>
  <c r="BD175" i="33"/>
  <c r="BE175" i="33"/>
  <c r="BF175" i="33"/>
  <c r="BG175" i="33"/>
  <c r="BH175" i="33"/>
  <c r="BI175" i="33"/>
  <c r="BJ175" i="33"/>
  <c r="BK175" i="33"/>
  <c r="BL175" i="33"/>
  <c r="BM175" i="33"/>
  <c r="BN175" i="33"/>
  <c r="BO175" i="33"/>
  <c r="BP175" i="33"/>
  <c r="BQ175" i="33"/>
  <c r="BR175" i="33"/>
  <c r="BS175" i="33"/>
  <c r="BT175" i="33"/>
  <c r="BU175" i="33"/>
  <c r="D181" i="33"/>
  <c r="E181" i="33"/>
  <c r="F181" i="33"/>
  <c r="G181" i="33"/>
  <c r="H181" i="33"/>
  <c r="I181" i="33"/>
  <c r="J181" i="33"/>
  <c r="K181" i="33"/>
  <c r="L181" i="33"/>
  <c r="M181" i="33"/>
  <c r="N181" i="33"/>
  <c r="D182" i="33"/>
  <c r="E182" i="33"/>
  <c r="F182" i="33"/>
  <c r="G182" i="33"/>
  <c r="H182" i="33"/>
  <c r="I182" i="33"/>
  <c r="J182" i="33"/>
  <c r="K182" i="33"/>
  <c r="L182" i="33"/>
  <c r="M182" i="33"/>
  <c r="N182" i="33"/>
  <c r="D183" i="33"/>
  <c r="E183" i="33"/>
  <c r="F183" i="33"/>
  <c r="G183" i="33"/>
  <c r="H183" i="33"/>
  <c r="I183" i="33"/>
  <c r="J183" i="33"/>
  <c r="K183" i="33"/>
  <c r="L183" i="33"/>
  <c r="M183" i="33"/>
  <c r="N183" i="33"/>
  <c r="D184" i="33"/>
  <c r="E184" i="33"/>
  <c r="F184" i="33"/>
  <c r="G184" i="33"/>
  <c r="H184" i="33"/>
  <c r="I184" i="33"/>
  <c r="J184" i="33"/>
  <c r="K184" i="33"/>
  <c r="L184" i="33"/>
  <c r="M184" i="33"/>
  <c r="N184" i="33"/>
  <c r="D185" i="33"/>
  <c r="E185" i="33"/>
  <c r="F185" i="33"/>
  <c r="G185" i="33"/>
  <c r="H185" i="33"/>
  <c r="I185" i="33"/>
  <c r="J185" i="33"/>
  <c r="K185" i="33"/>
  <c r="L185" i="33"/>
  <c r="M185" i="33"/>
  <c r="N185" i="33"/>
  <c r="D186" i="33"/>
  <c r="E186" i="33"/>
  <c r="F186" i="33"/>
  <c r="G186" i="33"/>
  <c r="H186" i="33"/>
  <c r="I186" i="33"/>
  <c r="J186" i="33"/>
  <c r="K186" i="33"/>
  <c r="L186" i="33"/>
  <c r="M186" i="33"/>
  <c r="N186" i="33"/>
  <c r="D187" i="33"/>
  <c r="E187" i="33"/>
  <c r="F187" i="33"/>
  <c r="G187" i="33"/>
  <c r="H187" i="33"/>
  <c r="I187" i="33"/>
  <c r="J187" i="33"/>
  <c r="K187" i="33"/>
  <c r="L187" i="33"/>
  <c r="M187" i="33"/>
  <c r="N187" i="33"/>
  <c r="D188" i="33"/>
  <c r="E188" i="33"/>
  <c r="F188" i="33"/>
  <c r="G188" i="33"/>
  <c r="H188" i="33"/>
  <c r="I188" i="33"/>
  <c r="J188" i="33"/>
  <c r="K188" i="33"/>
  <c r="L188" i="33"/>
  <c r="M188" i="33"/>
  <c r="N188" i="33"/>
  <c r="D189" i="33"/>
  <c r="E189" i="33"/>
  <c r="F189" i="33"/>
  <c r="G189" i="33"/>
  <c r="H189" i="33"/>
  <c r="I189" i="33"/>
  <c r="J189" i="33"/>
  <c r="K189" i="33"/>
  <c r="L189" i="33"/>
  <c r="M189" i="33"/>
  <c r="N189" i="33"/>
  <c r="D190" i="33"/>
  <c r="E190" i="33"/>
  <c r="F190" i="33"/>
  <c r="G190" i="33"/>
  <c r="H190" i="33"/>
  <c r="I190" i="33"/>
  <c r="J190" i="33"/>
  <c r="K190" i="33"/>
  <c r="L190" i="33"/>
  <c r="M190" i="33"/>
  <c r="N190" i="33"/>
  <c r="D191" i="33"/>
  <c r="E191" i="33"/>
  <c r="F191" i="33"/>
  <c r="G191" i="33"/>
  <c r="H191" i="33"/>
  <c r="I191" i="33"/>
  <c r="J191" i="33"/>
  <c r="K191" i="33"/>
  <c r="L191" i="33"/>
  <c r="M191" i="33"/>
  <c r="N191" i="33"/>
  <c r="D196" i="33"/>
  <c r="E196" i="33"/>
  <c r="F196" i="33"/>
  <c r="G196" i="33"/>
  <c r="H196" i="33"/>
  <c r="I196" i="33"/>
  <c r="J196" i="33"/>
  <c r="K196" i="33"/>
  <c r="L196" i="33"/>
  <c r="M196" i="33"/>
  <c r="N196" i="33"/>
  <c r="O196" i="33"/>
  <c r="P196" i="33"/>
  <c r="Q196" i="33"/>
  <c r="R196" i="33"/>
  <c r="S196" i="33"/>
  <c r="T196" i="33"/>
  <c r="U196" i="33"/>
  <c r="V196" i="33"/>
  <c r="W196" i="33"/>
  <c r="X196" i="33"/>
  <c r="Y196" i="33"/>
  <c r="Z196" i="33"/>
  <c r="AA196" i="33"/>
  <c r="AB196" i="33"/>
  <c r="AC196" i="33"/>
  <c r="AD196" i="33"/>
  <c r="AE196" i="33"/>
  <c r="AF196" i="33"/>
  <c r="AG196" i="33"/>
  <c r="AH196" i="33"/>
  <c r="AI196" i="33"/>
  <c r="AJ196" i="33"/>
  <c r="AK196" i="33"/>
  <c r="AL196" i="33"/>
  <c r="AM196" i="33"/>
  <c r="AN196" i="33"/>
  <c r="AO196" i="33"/>
  <c r="AP196" i="33"/>
  <c r="AQ196" i="33"/>
  <c r="AR196" i="33"/>
  <c r="AS196" i="33"/>
  <c r="AT196" i="33"/>
  <c r="AU196" i="33"/>
  <c r="AV196" i="33"/>
  <c r="AW196" i="33"/>
  <c r="AX196" i="33"/>
  <c r="AY196" i="33"/>
  <c r="AZ196" i="33"/>
  <c r="BA196" i="33"/>
  <c r="BB196" i="33"/>
  <c r="BC196" i="33"/>
  <c r="BD196" i="33"/>
  <c r="BE196" i="33"/>
  <c r="BF196" i="33"/>
  <c r="BG196" i="33"/>
  <c r="BH196" i="33"/>
  <c r="BI196" i="33"/>
  <c r="BJ196" i="33"/>
  <c r="BK196" i="33"/>
  <c r="BL196" i="33"/>
  <c r="BM196" i="33"/>
  <c r="BN196" i="33"/>
  <c r="BO196" i="33"/>
  <c r="BP196" i="33"/>
  <c r="BQ196" i="33"/>
  <c r="BR196" i="33"/>
  <c r="BS196" i="33"/>
  <c r="BT196" i="33"/>
  <c r="BU196" i="33"/>
  <c r="D198" i="33"/>
  <c r="E198" i="33"/>
  <c r="F198" i="33"/>
  <c r="G198" i="33"/>
  <c r="H198" i="33"/>
  <c r="I198" i="33"/>
  <c r="J198" i="33"/>
  <c r="K198" i="33"/>
  <c r="L198" i="33"/>
  <c r="M198" i="33"/>
  <c r="N198" i="33"/>
  <c r="O198" i="33"/>
  <c r="P198" i="33"/>
  <c r="Q198" i="33"/>
  <c r="R198" i="33"/>
  <c r="S198" i="33"/>
  <c r="T198" i="33"/>
  <c r="U198" i="33"/>
  <c r="V198" i="33"/>
  <c r="W198" i="33"/>
  <c r="X198" i="33"/>
  <c r="Y198" i="33"/>
  <c r="Z198" i="33"/>
  <c r="AA198" i="33"/>
  <c r="AB198" i="33"/>
  <c r="AC198" i="33"/>
  <c r="AD198" i="33"/>
  <c r="AE198" i="33"/>
  <c r="AF198" i="33"/>
  <c r="AG198" i="33"/>
  <c r="AH198" i="33"/>
  <c r="AI198" i="33"/>
  <c r="AJ198" i="33"/>
  <c r="AK198" i="33"/>
  <c r="AL198" i="33"/>
  <c r="AM198" i="33"/>
  <c r="AN198" i="33"/>
  <c r="AO198" i="33"/>
  <c r="AP198" i="33"/>
  <c r="AQ198" i="33"/>
  <c r="AR198" i="33"/>
  <c r="AS198" i="33"/>
  <c r="AT198" i="33"/>
  <c r="AU198" i="33"/>
  <c r="AV198" i="33"/>
  <c r="AW198" i="33"/>
  <c r="AX198" i="33"/>
  <c r="AY198" i="33"/>
  <c r="AZ198" i="33"/>
  <c r="BA198" i="33"/>
  <c r="BB198" i="33"/>
  <c r="BC198" i="33"/>
  <c r="BD198" i="33"/>
  <c r="BE198" i="33"/>
  <c r="BF198" i="33"/>
  <c r="BG198" i="33"/>
  <c r="BH198" i="33"/>
  <c r="BI198" i="33"/>
  <c r="BJ198" i="33"/>
  <c r="BK198" i="33"/>
  <c r="BL198" i="33"/>
  <c r="BM198" i="33"/>
  <c r="BN198" i="33"/>
  <c r="BO198" i="33"/>
  <c r="BP198" i="33"/>
  <c r="BQ198" i="33"/>
  <c r="BR198" i="33"/>
  <c r="BS198" i="33"/>
  <c r="BT198" i="33"/>
  <c r="BU198" i="33"/>
  <c r="D199" i="33"/>
  <c r="E199" i="33"/>
  <c r="F199" i="33"/>
  <c r="G199" i="33"/>
  <c r="H199" i="33"/>
  <c r="I199" i="33"/>
  <c r="J199" i="33"/>
  <c r="K199" i="33"/>
  <c r="L199" i="33"/>
  <c r="M199" i="33"/>
  <c r="N199" i="33"/>
  <c r="O199" i="33"/>
  <c r="P199" i="33"/>
  <c r="Q199" i="33"/>
  <c r="R199" i="33"/>
  <c r="S199" i="33"/>
  <c r="T199" i="33"/>
  <c r="U199" i="33"/>
  <c r="V199" i="33"/>
  <c r="W199" i="33"/>
  <c r="X199" i="33"/>
  <c r="Y199" i="33"/>
  <c r="Z199" i="33"/>
  <c r="AA199" i="33"/>
  <c r="AB199" i="33"/>
  <c r="AC199" i="33"/>
  <c r="AD199" i="33"/>
  <c r="AE199" i="33"/>
  <c r="AF199" i="33"/>
  <c r="AG199" i="33"/>
  <c r="AH199" i="33"/>
  <c r="AI199" i="33"/>
  <c r="AJ199" i="33"/>
  <c r="AK199" i="33"/>
  <c r="AL199" i="33"/>
  <c r="AM199" i="33"/>
  <c r="AN199" i="33"/>
  <c r="AO199" i="33"/>
  <c r="AP199" i="33"/>
  <c r="AQ199" i="33"/>
  <c r="AR199" i="33"/>
  <c r="AS199" i="33"/>
  <c r="AT199" i="33"/>
  <c r="AU199" i="33"/>
  <c r="AV199" i="33"/>
  <c r="AW199" i="33"/>
  <c r="AX199" i="33"/>
  <c r="AY199" i="33"/>
  <c r="AZ199" i="33"/>
  <c r="BA199" i="33"/>
  <c r="BB199" i="33"/>
  <c r="BC199" i="33"/>
  <c r="BD199" i="33"/>
  <c r="BE199" i="33"/>
  <c r="BF199" i="33"/>
  <c r="BG199" i="33"/>
  <c r="BH199" i="33"/>
  <c r="BI199" i="33"/>
  <c r="BJ199" i="33"/>
  <c r="BK199" i="33"/>
  <c r="BL199" i="33"/>
  <c r="BM199" i="33"/>
  <c r="BN199" i="33"/>
  <c r="BO199" i="33"/>
  <c r="BP199" i="33"/>
  <c r="BQ199" i="33"/>
  <c r="BR199" i="33"/>
  <c r="BS199" i="33"/>
  <c r="BT199" i="33"/>
  <c r="BU199" i="33"/>
  <c r="D200" i="33"/>
  <c r="E200" i="33"/>
  <c r="F200" i="33"/>
  <c r="G200" i="33"/>
  <c r="H200" i="33"/>
  <c r="I200" i="33"/>
  <c r="J200" i="33"/>
  <c r="K200" i="33"/>
  <c r="L200" i="33"/>
  <c r="M200" i="33"/>
  <c r="N200" i="33"/>
  <c r="O200" i="33"/>
  <c r="P200" i="33"/>
  <c r="Q200" i="33"/>
  <c r="R200" i="33"/>
  <c r="S200" i="33"/>
  <c r="T200" i="33"/>
  <c r="U200" i="33"/>
  <c r="V200" i="33"/>
  <c r="W200" i="33"/>
  <c r="X200" i="33"/>
  <c r="Y200" i="33"/>
  <c r="Z200" i="33"/>
  <c r="AA200" i="33"/>
  <c r="AB200" i="33"/>
  <c r="AC200" i="33"/>
  <c r="AD200" i="33"/>
  <c r="AE200" i="33"/>
  <c r="AF200" i="33"/>
  <c r="AG200" i="33"/>
  <c r="AH200" i="33"/>
  <c r="AI200" i="33"/>
  <c r="AJ200" i="33"/>
  <c r="AK200" i="33"/>
  <c r="AL200" i="33"/>
  <c r="AM200" i="33"/>
  <c r="AN200" i="33"/>
  <c r="AO200" i="33"/>
  <c r="AP200" i="33"/>
  <c r="AQ200" i="33"/>
  <c r="AR200" i="33"/>
  <c r="AS200" i="33"/>
  <c r="AT200" i="33"/>
  <c r="AU200" i="33"/>
  <c r="AV200" i="33"/>
  <c r="AW200" i="33"/>
  <c r="AX200" i="33"/>
  <c r="AY200" i="33"/>
  <c r="AZ200" i="33"/>
  <c r="BA200" i="33"/>
  <c r="BB200" i="33"/>
  <c r="BC200" i="33"/>
  <c r="BD200" i="33"/>
  <c r="BE200" i="33"/>
  <c r="BF200" i="33"/>
  <c r="BG200" i="33"/>
  <c r="BH200" i="33"/>
  <c r="BI200" i="33"/>
  <c r="BJ200" i="33"/>
  <c r="BK200" i="33"/>
  <c r="BL200" i="33"/>
  <c r="BM200" i="33"/>
  <c r="BN200" i="33"/>
  <c r="BO200" i="33"/>
  <c r="BP200" i="33"/>
  <c r="BQ200" i="33"/>
  <c r="BR200" i="33"/>
  <c r="BS200" i="33"/>
  <c r="BT200" i="33"/>
  <c r="BU200" i="33"/>
  <c r="S7" i="57"/>
  <c r="T7" i="57"/>
  <c r="U7" i="57"/>
  <c r="V7" i="57"/>
  <c r="W7" i="57"/>
  <c r="X7" i="57"/>
  <c r="Y7" i="57"/>
  <c r="Z7" i="57"/>
  <c r="AA7" i="57"/>
  <c r="AB7" i="57"/>
  <c r="AC7" i="57"/>
  <c r="AD7" i="57"/>
  <c r="AE7" i="57"/>
  <c r="AF7" i="57"/>
  <c r="AG7" i="57"/>
  <c r="AH7" i="57"/>
  <c r="AI7" i="57"/>
  <c r="AJ7" i="57"/>
  <c r="AK7" i="57"/>
  <c r="AL7" i="57"/>
  <c r="AM7" i="57"/>
  <c r="AN7" i="57"/>
  <c r="AO7" i="57"/>
  <c r="AP7" i="57"/>
  <c r="AQ7" i="57"/>
  <c r="AR7" i="57"/>
  <c r="AS7" i="57"/>
  <c r="AT7" i="57"/>
  <c r="AU7" i="57"/>
  <c r="AV7" i="57"/>
  <c r="AW7" i="57"/>
  <c r="AX7" i="57"/>
  <c r="AY7" i="57"/>
  <c r="AZ7" i="57"/>
  <c r="BA7" i="57"/>
  <c r="BB7" i="57"/>
  <c r="BC7" i="57"/>
  <c r="BD7" i="57"/>
  <c r="BE7" i="57"/>
  <c r="BF7" i="57"/>
  <c r="BG7" i="57"/>
  <c r="BH7" i="57"/>
  <c r="BI7" i="57"/>
  <c r="BJ7" i="57"/>
  <c r="BK7" i="57"/>
  <c r="BL7" i="57"/>
  <c r="BM7" i="57"/>
  <c r="BN7" i="57"/>
  <c r="BO7" i="57"/>
  <c r="BP7" i="57"/>
  <c r="BQ7" i="57"/>
  <c r="BR7" i="57"/>
  <c r="BS7" i="57"/>
  <c r="BT7" i="57"/>
  <c r="BU7" i="57"/>
  <c r="BV7" i="57"/>
  <c r="BW7" i="57"/>
  <c r="BX7" i="57"/>
  <c r="BY7" i="57"/>
  <c r="BZ7" i="57"/>
  <c r="CA7" i="57"/>
  <c r="CB7" i="57"/>
  <c r="CC7" i="57"/>
  <c r="CD7" i="57"/>
  <c r="CE7" i="57"/>
  <c r="CF7" i="57"/>
  <c r="CG7" i="57"/>
  <c r="CH7" i="57"/>
  <c r="CI7" i="57"/>
  <c r="CJ7" i="57"/>
  <c r="S8" i="57"/>
  <c r="T8" i="57"/>
  <c r="U8" i="57"/>
  <c r="V8" i="57"/>
  <c r="W8" i="57"/>
  <c r="X8" i="57"/>
  <c r="Y8" i="57"/>
  <c r="Z8" i="57"/>
  <c r="AA8" i="57"/>
  <c r="AB8" i="57"/>
  <c r="AC8" i="57"/>
  <c r="AD8" i="57"/>
  <c r="AE8" i="57"/>
  <c r="AF8" i="57"/>
  <c r="AG8" i="57"/>
  <c r="AH8" i="57"/>
  <c r="AI8" i="57"/>
  <c r="AJ8" i="57"/>
  <c r="AK8" i="57"/>
  <c r="AL8" i="57"/>
  <c r="AM8" i="57"/>
  <c r="AN8" i="57"/>
  <c r="AO8" i="57"/>
  <c r="AP8" i="57"/>
  <c r="AQ8" i="57"/>
  <c r="AR8" i="57"/>
  <c r="AS8" i="57"/>
  <c r="AT8" i="57"/>
  <c r="AU8" i="57"/>
  <c r="AV8" i="57"/>
  <c r="AW8" i="57"/>
  <c r="AX8" i="57"/>
  <c r="AY8" i="57"/>
  <c r="AZ8" i="57"/>
  <c r="BA8" i="57"/>
  <c r="BB8" i="57"/>
  <c r="BC8" i="57"/>
  <c r="BD8" i="57"/>
  <c r="BE8" i="57"/>
  <c r="BF8" i="57"/>
  <c r="BG8" i="57"/>
  <c r="BH8" i="57"/>
  <c r="BI8" i="57"/>
  <c r="BJ8" i="57"/>
  <c r="BK8" i="57"/>
  <c r="BL8" i="57"/>
  <c r="BM8" i="57"/>
  <c r="BN8" i="57"/>
  <c r="BO8" i="57"/>
  <c r="BP8" i="57"/>
  <c r="BQ8" i="57"/>
  <c r="BR8" i="57"/>
  <c r="BS8" i="57"/>
  <c r="BT8" i="57"/>
  <c r="BU8" i="57"/>
  <c r="BV8" i="57"/>
  <c r="BW8" i="57"/>
  <c r="BX8" i="57"/>
  <c r="BY8" i="57"/>
  <c r="BZ8" i="57"/>
  <c r="CA8" i="57"/>
  <c r="CB8" i="57"/>
  <c r="CC8" i="57"/>
  <c r="CD8" i="57"/>
  <c r="CE8" i="57"/>
  <c r="CF8" i="57"/>
  <c r="CG8" i="57"/>
  <c r="CH8" i="57"/>
  <c r="CI8" i="57"/>
  <c r="CJ8" i="57"/>
  <c r="S9" i="57"/>
  <c r="T9" i="57"/>
  <c r="U9" i="57"/>
  <c r="V9" i="57"/>
  <c r="W9" i="57"/>
  <c r="X9" i="57"/>
  <c r="Y9" i="57"/>
  <c r="Z9" i="57"/>
  <c r="AA9" i="57"/>
  <c r="AB9" i="57"/>
  <c r="AC9" i="57"/>
  <c r="AD9" i="57"/>
  <c r="AE9" i="57"/>
  <c r="AF9" i="57"/>
  <c r="AG9" i="57"/>
  <c r="AH9" i="57"/>
  <c r="AI9" i="57"/>
  <c r="AJ9" i="57"/>
  <c r="AK9" i="57"/>
  <c r="AL9" i="57"/>
  <c r="AM9" i="57"/>
  <c r="AN9" i="57"/>
  <c r="AO9" i="57"/>
  <c r="AP9" i="57"/>
  <c r="AQ9" i="57"/>
  <c r="AR9" i="57"/>
  <c r="AS9" i="57"/>
  <c r="AT9" i="57"/>
  <c r="AU9" i="57"/>
  <c r="AV9" i="57"/>
  <c r="AW9" i="57"/>
  <c r="AX9" i="57"/>
  <c r="AY9" i="57"/>
  <c r="AZ9" i="57"/>
  <c r="BA9" i="57"/>
  <c r="BB9" i="57"/>
  <c r="BC9" i="57"/>
  <c r="BD9" i="57"/>
  <c r="BE9" i="57"/>
  <c r="BF9" i="57"/>
  <c r="BG9" i="57"/>
  <c r="BH9" i="57"/>
  <c r="BI9" i="57"/>
  <c r="BJ9" i="57"/>
  <c r="BK9" i="57"/>
  <c r="BL9" i="57"/>
  <c r="BM9" i="57"/>
  <c r="BN9" i="57"/>
  <c r="BO9" i="57"/>
  <c r="BP9" i="57"/>
  <c r="BQ9" i="57"/>
  <c r="BR9" i="57"/>
  <c r="BS9" i="57"/>
  <c r="BT9" i="57"/>
  <c r="BU9" i="57"/>
  <c r="BV9" i="57"/>
  <c r="BW9" i="57"/>
  <c r="BX9" i="57"/>
  <c r="BY9" i="57"/>
  <c r="BZ9" i="57"/>
  <c r="CA9" i="57"/>
  <c r="CB9" i="57"/>
  <c r="CC9" i="57"/>
  <c r="CD9" i="57"/>
  <c r="CE9" i="57"/>
  <c r="CF9" i="57"/>
  <c r="CG9" i="57"/>
  <c r="CH9" i="57"/>
  <c r="CI9" i="57"/>
  <c r="CJ9" i="57"/>
  <c r="S10" i="57"/>
  <c r="T10" i="57"/>
  <c r="U10" i="57"/>
  <c r="V10" i="57"/>
  <c r="W10" i="57"/>
  <c r="X10" i="57"/>
  <c r="Y10" i="57"/>
  <c r="Z10" i="57"/>
  <c r="AA10" i="57"/>
  <c r="AB10" i="57"/>
  <c r="AC10" i="57"/>
  <c r="AD10" i="57"/>
  <c r="AE10" i="57"/>
  <c r="AF10" i="57"/>
  <c r="AG10" i="57"/>
  <c r="AH10" i="57"/>
  <c r="AI10" i="57"/>
  <c r="AJ10" i="57"/>
  <c r="AK10" i="57"/>
  <c r="AL10" i="57"/>
  <c r="AM10" i="57"/>
  <c r="AN10" i="57"/>
  <c r="AO10" i="57"/>
  <c r="AP10" i="57"/>
  <c r="AQ10" i="57"/>
  <c r="AR10" i="57"/>
  <c r="AS10" i="57"/>
  <c r="AT10" i="57"/>
  <c r="AU10" i="57"/>
  <c r="AV10" i="57"/>
  <c r="AW10" i="57"/>
  <c r="AX10" i="57"/>
  <c r="AY10" i="57"/>
  <c r="AZ10" i="57"/>
  <c r="BA10" i="57"/>
  <c r="BB10" i="57"/>
  <c r="BC10" i="57"/>
  <c r="BD10" i="57"/>
  <c r="BE10" i="57"/>
  <c r="BF10" i="57"/>
  <c r="BG10" i="57"/>
  <c r="BH10" i="57"/>
  <c r="BI10" i="57"/>
  <c r="BJ10" i="57"/>
  <c r="BK10" i="57"/>
  <c r="BL10" i="57"/>
  <c r="BM10" i="57"/>
  <c r="BN10" i="57"/>
  <c r="BO10" i="57"/>
  <c r="BP10" i="57"/>
  <c r="BQ10" i="57"/>
  <c r="BR10" i="57"/>
  <c r="BS10" i="57"/>
  <c r="BT10" i="57"/>
  <c r="BU10" i="57"/>
  <c r="BV10" i="57"/>
  <c r="BW10" i="57"/>
  <c r="BX10" i="57"/>
  <c r="BY10" i="57"/>
  <c r="BZ10" i="57"/>
  <c r="CA10" i="57"/>
  <c r="CB10" i="57"/>
  <c r="CC10" i="57"/>
  <c r="CD10" i="57"/>
  <c r="CE10" i="57"/>
  <c r="CF10" i="57"/>
  <c r="CG10" i="57"/>
  <c r="CH10" i="57"/>
  <c r="CI10" i="57"/>
  <c r="CJ10" i="57"/>
  <c r="S11" i="57"/>
  <c r="T11" i="57"/>
  <c r="U11" i="57"/>
  <c r="V11" i="57"/>
  <c r="W11" i="57"/>
  <c r="X11" i="57"/>
  <c r="Y11" i="57"/>
  <c r="Z11" i="57"/>
  <c r="AA11" i="57"/>
  <c r="AB11" i="57"/>
  <c r="AC11" i="57"/>
  <c r="AD11" i="57"/>
  <c r="AE11" i="57"/>
  <c r="AF11" i="57"/>
  <c r="AG11" i="57"/>
  <c r="AH11" i="57"/>
  <c r="AI11" i="57"/>
  <c r="AJ11" i="57"/>
  <c r="AK11" i="57"/>
  <c r="AL11" i="57"/>
  <c r="AM11" i="57"/>
  <c r="AN11" i="57"/>
  <c r="AO11" i="57"/>
  <c r="AP11" i="57"/>
  <c r="AQ11" i="57"/>
  <c r="AR11" i="57"/>
  <c r="AS11" i="57"/>
  <c r="AT11" i="57"/>
  <c r="AU11" i="57"/>
  <c r="AV11" i="57"/>
  <c r="AW11" i="57"/>
  <c r="AX11" i="57"/>
  <c r="AY11" i="57"/>
  <c r="AZ11" i="57"/>
  <c r="BA11" i="57"/>
  <c r="BB11" i="57"/>
  <c r="BC11" i="57"/>
  <c r="BD11" i="57"/>
  <c r="BE11" i="57"/>
  <c r="BF11" i="57"/>
  <c r="BG11" i="57"/>
  <c r="BH11" i="57"/>
  <c r="BI11" i="57"/>
  <c r="BJ11" i="57"/>
  <c r="BK11" i="57"/>
  <c r="BL11" i="57"/>
  <c r="BM11" i="57"/>
  <c r="BN11" i="57"/>
  <c r="BO11" i="57"/>
  <c r="BP11" i="57"/>
  <c r="BQ11" i="57"/>
  <c r="BR11" i="57"/>
  <c r="BS11" i="57"/>
  <c r="BT11" i="57"/>
  <c r="BU11" i="57"/>
  <c r="BV11" i="57"/>
  <c r="BW11" i="57"/>
  <c r="BX11" i="57"/>
  <c r="BY11" i="57"/>
  <c r="BZ11" i="57"/>
  <c r="CA11" i="57"/>
  <c r="CB11" i="57"/>
  <c r="CC11" i="57"/>
  <c r="CD11" i="57"/>
  <c r="CE11" i="57"/>
  <c r="CF11" i="57"/>
  <c r="CG11" i="57"/>
  <c r="CH11" i="57"/>
  <c r="CI11" i="57"/>
  <c r="CJ11" i="57"/>
  <c r="S12" i="57"/>
  <c r="T12" i="57"/>
  <c r="U12" i="57"/>
  <c r="V12" i="57"/>
  <c r="W12" i="57"/>
  <c r="X12" i="57"/>
  <c r="Y12" i="57"/>
  <c r="Z12" i="57"/>
  <c r="AA12" i="57"/>
  <c r="AB12" i="57"/>
  <c r="AC12" i="57"/>
  <c r="AD12" i="57"/>
  <c r="AE12" i="57"/>
  <c r="AF12" i="57"/>
  <c r="AG12" i="57"/>
  <c r="AH12" i="57"/>
  <c r="AI12" i="57"/>
  <c r="AJ12" i="57"/>
  <c r="AK12" i="57"/>
  <c r="AL12" i="57"/>
  <c r="AM12" i="57"/>
  <c r="AN12" i="57"/>
  <c r="AO12" i="57"/>
  <c r="AP12" i="57"/>
  <c r="AQ12" i="57"/>
  <c r="AR12" i="57"/>
  <c r="AS12" i="57"/>
  <c r="AT12" i="57"/>
  <c r="AU12" i="57"/>
  <c r="AV12" i="57"/>
  <c r="AW12" i="57"/>
  <c r="AX12" i="57"/>
  <c r="AY12" i="57"/>
  <c r="AZ12" i="57"/>
  <c r="BA12" i="57"/>
  <c r="BB12" i="57"/>
  <c r="BC12" i="57"/>
  <c r="BD12" i="57"/>
  <c r="BE12" i="57"/>
  <c r="BF12" i="57"/>
  <c r="BG12" i="57"/>
  <c r="BH12" i="57"/>
  <c r="BI12" i="57"/>
  <c r="BJ12" i="57"/>
  <c r="BK12" i="57"/>
  <c r="BL12" i="57"/>
  <c r="BM12" i="57"/>
  <c r="BN12" i="57"/>
  <c r="BO12" i="57"/>
  <c r="BP12" i="57"/>
  <c r="BQ12" i="57"/>
  <c r="BR12" i="57"/>
  <c r="BS12" i="57"/>
  <c r="BT12" i="57"/>
  <c r="BU12" i="57"/>
  <c r="BV12" i="57"/>
  <c r="BW12" i="57"/>
  <c r="BX12" i="57"/>
  <c r="BY12" i="57"/>
  <c r="BZ12" i="57"/>
  <c r="CA12" i="57"/>
  <c r="CB12" i="57"/>
  <c r="CC12" i="57"/>
  <c r="CD12" i="57"/>
  <c r="CE12" i="57"/>
  <c r="CF12" i="57"/>
  <c r="CG12" i="57"/>
  <c r="CH12" i="57"/>
  <c r="CI12" i="57"/>
  <c r="CJ12" i="57"/>
  <c r="S13" i="57"/>
  <c r="T13" i="57"/>
  <c r="U13" i="57"/>
  <c r="V13" i="57"/>
  <c r="W13" i="57"/>
  <c r="X13" i="57"/>
  <c r="Y13" i="57"/>
  <c r="Z13" i="57"/>
  <c r="AA13" i="57"/>
  <c r="AB13" i="57"/>
  <c r="AC13" i="57"/>
  <c r="AD13" i="57"/>
  <c r="AE13" i="57"/>
  <c r="AF13" i="57"/>
  <c r="AG13" i="57"/>
  <c r="AH13" i="57"/>
  <c r="AI13" i="57"/>
  <c r="AJ13" i="57"/>
  <c r="AK13" i="57"/>
  <c r="AL13" i="57"/>
  <c r="AM13" i="57"/>
  <c r="AN13" i="57"/>
  <c r="AO13" i="57"/>
  <c r="AP13" i="57"/>
  <c r="AQ13" i="57"/>
  <c r="AR13" i="57"/>
  <c r="AS13" i="57"/>
  <c r="AT13" i="57"/>
  <c r="AU13" i="57"/>
  <c r="AV13" i="57"/>
  <c r="AW13" i="57"/>
  <c r="AX13" i="57"/>
  <c r="AY13" i="57"/>
  <c r="AZ13" i="57"/>
  <c r="BA13" i="57"/>
  <c r="BB13" i="57"/>
  <c r="BC13" i="57"/>
  <c r="BD13" i="57"/>
  <c r="BE13" i="57"/>
  <c r="BF13" i="57"/>
  <c r="BG13" i="57"/>
  <c r="BH13" i="57"/>
  <c r="BI13" i="57"/>
  <c r="BJ13" i="57"/>
  <c r="BK13" i="57"/>
  <c r="BL13" i="57"/>
  <c r="BM13" i="57"/>
  <c r="BN13" i="57"/>
  <c r="BO13" i="57"/>
  <c r="BP13" i="57"/>
  <c r="BQ13" i="57"/>
  <c r="BR13" i="57"/>
  <c r="BS13" i="57"/>
  <c r="BT13" i="57"/>
  <c r="BU13" i="57"/>
  <c r="BV13" i="57"/>
  <c r="BW13" i="57"/>
  <c r="BX13" i="57"/>
  <c r="BY13" i="57"/>
  <c r="BZ13" i="57"/>
  <c r="CA13" i="57"/>
  <c r="CB13" i="57"/>
  <c r="CC13" i="57"/>
  <c r="CD13" i="57"/>
  <c r="CE13" i="57"/>
  <c r="CF13" i="57"/>
  <c r="CG13" i="57"/>
  <c r="CH13" i="57"/>
  <c r="CI13" i="57"/>
  <c r="CJ13" i="57"/>
  <c r="S14" i="57"/>
  <c r="T14" i="57"/>
  <c r="U14" i="57"/>
  <c r="V14" i="57"/>
  <c r="W14" i="57"/>
  <c r="X14" i="57"/>
  <c r="Y14" i="57"/>
  <c r="Z14" i="57"/>
  <c r="AA14" i="57"/>
  <c r="AB14" i="57"/>
  <c r="AC14" i="57"/>
  <c r="AD14" i="57"/>
  <c r="AE14" i="57"/>
  <c r="AF14" i="57"/>
  <c r="AG14" i="57"/>
  <c r="AH14" i="57"/>
  <c r="AI14" i="57"/>
  <c r="AJ14" i="57"/>
  <c r="AK14" i="57"/>
  <c r="AL14" i="57"/>
  <c r="AM14" i="57"/>
  <c r="AN14" i="57"/>
  <c r="AO14" i="57"/>
  <c r="AP14" i="57"/>
  <c r="AQ14" i="57"/>
  <c r="AR14" i="57"/>
  <c r="AS14" i="57"/>
  <c r="AT14" i="57"/>
  <c r="AU14" i="57"/>
  <c r="AV14" i="57"/>
  <c r="AW14" i="57"/>
  <c r="AX14" i="57"/>
  <c r="AY14" i="57"/>
  <c r="AZ14" i="57"/>
  <c r="BA14" i="57"/>
  <c r="BB14" i="57"/>
  <c r="BC14" i="57"/>
  <c r="BD14" i="57"/>
  <c r="BE14" i="57"/>
  <c r="BF14" i="57"/>
  <c r="BG14" i="57"/>
  <c r="BH14" i="57"/>
  <c r="BI14" i="57"/>
  <c r="BJ14" i="57"/>
  <c r="BK14" i="57"/>
  <c r="BL14" i="57"/>
  <c r="BM14" i="57"/>
  <c r="BN14" i="57"/>
  <c r="BO14" i="57"/>
  <c r="BP14" i="57"/>
  <c r="BQ14" i="57"/>
  <c r="BR14" i="57"/>
  <c r="BS14" i="57"/>
  <c r="BT14" i="57"/>
  <c r="BU14" i="57"/>
  <c r="BV14" i="57"/>
  <c r="BW14" i="57"/>
  <c r="BX14" i="57"/>
  <c r="BY14" i="57"/>
  <c r="BZ14" i="57"/>
  <c r="CA14" i="57"/>
  <c r="CB14" i="57"/>
  <c r="CC14" i="57"/>
  <c r="CD14" i="57"/>
  <c r="CE14" i="57"/>
  <c r="CF14" i="57"/>
  <c r="CG14" i="57"/>
  <c r="CH14" i="57"/>
  <c r="CI14" i="57"/>
  <c r="CJ14" i="57"/>
  <c r="S15" i="57"/>
  <c r="T15" i="57"/>
  <c r="U15" i="57"/>
  <c r="V15" i="57"/>
  <c r="W15" i="57"/>
  <c r="X15" i="57"/>
  <c r="Y15" i="57"/>
  <c r="Z15" i="57"/>
  <c r="AA15" i="57"/>
  <c r="AB15" i="57"/>
  <c r="AC15" i="57"/>
  <c r="AD15" i="57"/>
  <c r="AE15" i="57"/>
  <c r="AF15" i="57"/>
  <c r="AG15" i="57"/>
  <c r="AH15" i="57"/>
  <c r="AI15" i="57"/>
  <c r="AJ15" i="57"/>
  <c r="AK15" i="57"/>
  <c r="AL15" i="57"/>
  <c r="AM15" i="57"/>
  <c r="AN15" i="57"/>
  <c r="AO15" i="57"/>
  <c r="AP15" i="57"/>
  <c r="AQ15" i="57"/>
  <c r="AR15" i="57"/>
  <c r="AS15" i="57"/>
  <c r="AT15" i="57"/>
  <c r="AU15" i="57"/>
  <c r="AV15" i="57"/>
  <c r="AW15" i="57"/>
  <c r="AX15" i="57"/>
  <c r="AY15" i="57"/>
  <c r="AZ15" i="57"/>
  <c r="BA15" i="57"/>
  <c r="BB15" i="57"/>
  <c r="BC15" i="57"/>
  <c r="BD15" i="57"/>
  <c r="BE15" i="57"/>
  <c r="BF15" i="57"/>
  <c r="BG15" i="57"/>
  <c r="BH15" i="57"/>
  <c r="BI15" i="57"/>
  <c r="BJ15" i="57"/>
  <c r="BK15" i="57"/>
  <c r="BL15" i="57"/>
  <c r="BM15" i="57"/>
  <c r="BN15" i="57"/>
  <c r="BO15" i="57"/>
  <c r="BP15" i="57"/>
  <c r="BQ15" i="57"/>
  <c r="BR15" i="57"/>
  <c r="BS15" i="57"/>
  <c r="BT15" i="57"/>
  <c r="BU15" i="57"/>
  <c r="BV15" i="57"/>
  <c r="BW15" i="57"/>
  <c r="BX15" i="57"/>
  <c r="BY15" i="57"/>
  <c r="BZ15" i="57"/>
  <c r="CA15" i="57"/>
  <c r="CB15" i="57"/>
  <c r="CC15" i="57"/>
  <c r="CD15" i="57"/>
  <c r="CE15" i="57"/>
  <c r="CF15" i="57"/>
  <c r="CG15" i="57"/>
  <c r="CH15" i="57"/>
  <c r="CI15" i="57"/>
  <c r="CJ15" i="57"/>
  <c r="S16" i="57"/>
  <c r="T16" i="57"/>
  <c r="U16" i="57"/>
  <c r="V16" i="57"/>
  <c r="W16" i="57"/>
  <c r="X16" i="57"/>
  <c r="Y16" i="57"/>
  <c r="Z16" i="57"/>
  <c r="AA16" i="57"/>
  <c r="AB16" i="57"/>
  <c r="AC16" i="57"/>
  <c r="AD16" i="57"/>
  <c r="AE16" i="57"/>
  <c r="AF16" i="57"/>
  <c r="AG16" i="57"/>
  <c r="AH16" i="57"/>
  <c r="AI16" i="57"/>
  <c r="AJ16" i="57"/>
  <c r="AK16" i="57"/>
  <c r="AL16" i="57"/>
  <c r="AM16" i="57"/>
  <c r="AN16" i="57"/>
  <c r="AO16" i="57"/>
  <c r="AP16" i="57"/>
  <c r="AQ16" i="57"/>
  <c r="AR16" i="57"/>
  <c r="AS16" i="57"/>
  <c r="AT16" i="57"/>
  <c r="AU16" i="57"/>
  <c r="AV16" i="57"/>
  <c r="AW16" i="57"/>
  <c r="AX16" i="57"/>
  <c r="AY16" i="57"/>
  <c r="AZ16" i="57"/>
  <c r="BA16" i="57"/>
  <c r="BB16" i="57"/>
  <c r="BC16" i="57"/>
  <c r="BD16" i="57"/>
  <c r="BE16" i="57"/>
  <c r="BF16" i="57"/>
  <c r="BG16" i="57"/>
  <c r="BH16" i="57"/>
  <c r="BI16" i="57"/>
  <c r="BJ16" i="57"/>
  <c r="BK16" i="57"/>
  <c r="BL16" i="57"/>
  <c r="BM16" i="57"/>
  <c r="BN16" i="57"/>
  <c r="BO16" i="57"/>
  <c r="BP16" i="57"/>
  <c r="BQ16" i="57"/>
  <c r="BR16" i="57"/>
  <c r="BS16" i="57"/>
  <c r="BT16" i="57"/>
  <c r="BU16" i="57"/>
  <c r="BV16" i="57"/>
  <c r="BW16" i="57"/>
  <c r="BX16" i="57"/>
  <c r="BY16" i="57"/>
  <c r="BZ16" i="57"/>
  <c r="CA16" i="57"/>
  <c r="CB16" i="57"/>
  <c r="CC16" i="57"/>
  <c r="CD16" i="57"/>
  <c r="CE16" i="57"/>
  <c r="CF16" i="57"/>
  <c r="CG16" i="57"/>
  <c r="CH16" i="57"/>
  <c r="CI16" i="57"/>
  <c r="CJ16" i="57"/>
  <c r="S17" i="57"/>
  <c r="T17" i="57"/>
  <c r="U17" i="57"/>
  <c r="V17" i="57"/>
  <c r="W17" i="57"/>
  <c r="X17" i="57"/>
  <c r="Y17" i="57"/>
  <c r="Z17" i="57"/>
  <c r="AA17" i="57"/>
  <c r="AB17" i="57"/>
  <c r="AC17" i="57"/>
  <c r="AD17" i="57"/>
  <c r="AE17" i="57"/>
  <c r="AF17" i="57"/>
  <c r="AG17" i="57"/>
  <c r="AH17" i="57"/>
  <c r="AI17" i="57"/>
  <c r="AJ17" i="57"/>
  <c r="AK17" i="57"/>
  <c r="AL17" i="57"/>
  <c r="AM17" i="57"/>
  <c r="AN17" i="57"/>
  <c r="AO17" i="57"/>
  <c r="AP17" i="57"/>
  <c r="AQ17" i="57"/>
  <c r="AR17" i="57"/>
  <c r="AS17" i="57"/>
  <c r="AT17" i="57"/>
  <c r="AU17" i="57"/>
  <c r="AV17" i="57"/>
  <c r="AW17" i="57"/>
  <c r="AX17" i="57"/>
  <c r="AY17" i="57"/>
  <c r="AZ17" i="57"/>
  <c r="BA17" i="57"/>
  <c r="BB17" i="57"/>
  <c r="BC17" i="57"/>
  <c r="BD17" i="57"/>
  <c r="BE17" i="57"/>
  <c r="BF17" i="57"/>
  <c r="BG17" i="57"/>
  <c r="BH17" i="57"/>
  <c r="BI17" i="57"/>
  <c r="BJ17" i="57"/>
  <c r="BK17" i="57"/>
  <c r="BL17" i="57"/>
  <c r="BM17" i="57"/>
  <c r="BN17" i="57"/>
  <c r="BO17" i="57"/>
  <c r="BP17" i="57"/>
  <c r="BQ17" i="57"/>
  <c r="BR17" i="57"/>
  <c r="BS17" i="57"/>
  <c r="BT17" i="57"/>
  <c r="BU17" i="57"/>
  <c r="BV17" i="57"/>
  <c r="BW17" i="57"/>
  <c r="BX17" i="57"/>
  <c r="BY17" i="57"/>
  <c r="BZ17" i="57"/>
  <c r="CA17" i="57"/>
  <c r="CB17" i="57"/>
  <c r="CC17" i="57"/>
  <c r="CD17" i="57"/>
  <c r="CE17" i="57"/>
  <c r="CF17" i="57"/>
  <c r="CG17" i="57"/>
  <c r="CH17" i="57"/>
  <c r="CI17" i="57"/>
  <c r="CJ17" i="57"/>
  <c r="S18" i="57"/>
  <c r="T18" i="57"/>
  <c r="U18" i="57"/>
  <c r="V18" i="57"/>
  <c r="W18" i="57"/>
  <c r="X18" i="57"/>
  <c r="Y18" i="57"/>
  <c r="Z18" i="57"/>
  <c r="AA18" i="57"/>
  <c r="AB18" i="57"/>
  <c r="AC18" i="57"/>
  <c r="AD18" i="57"/>
  <c r="AE18" i="57"/>
  <c r="AF18" i="57"/>
  <c r="AG18" i="57"/>
  <c r="AH18" i="57"/>
  <c r="AI18" i="57"/>
  <c r="AJ18" i="57"/>
  <c r="AK18" i="57"/>
  <c r="AL18" i="57"/>
  <c r="AM18" i="57"/>
  <c r="AN18" i="57"/>
  <c r="AO18" i="57"/>
  <c r="AP18" i="57"/>
  <c r="AQ18" i="57"/>
  <c r="AR18" i="57"/>
  <c r="AS18" i="57"/>
  <c r="AT18" i="57"/>
  <c r="AU18" i="57"/>
  <c r="AV18" i="57"/>
  <c r="AW18" i="57"/>
  <c r="AX18" i="57"/>
  <c r="AY18" i="57"/>
  <c r="AZ18" i="57"/>
  <c r="BA18" i="57"/>
  <c r="BB18" i="57"/>
  <c r="BC18" i="57"/>
  <c r="BD18" i="57"/>
  <c r="BE18" i="57"/>
  <c r="BF18" i="57"/>
  <c r="BG18" i="57"/>
  <c r="BH18" i="57"/>
  <c r="BI18" i="57"/>
  <c r="BJ18" i="57"/>
  <c r="BK18" i="57"/>
  <c r="BL18" i="57"/>
  <c r="BM18" i="57"/>
  <c r="BN18" i="57"/>
  <c r="BO18" i="57"/>
  <c r="BP18" i="57"/>
  <c r="BQ18" i="57"/>
  <c r="BR18" i="57"/>
  <c r="BS18" i="57"/>
  <c r="BT18" i="57"/>
  <c r="BU18" i="57"/>
  <c r="BV18" i="57"/>
  <c r="BW18" i="57"/>
  <c r="BX18" i="57"/>
  <c r="BY18" i="57"/>
  <c r="BZ18" i="57"/>
  <c r="CA18" i="57"/>
  <c r="CB18" i="57"/>
  <c r="CC18" i="57"/>
  <c r="CD18" i="57"/>
  <c r="CE18" i="57"/>
  <c r="CF18" i="57"/>
  <c r="CG18" i="57"/>
  <c r="CH18" i="57"/>
  <c r="CI18" i="57"/>
  <c r="CJ18" i="57"/>
  <c r="S19" i="57"/>
  <c r="T19" i="57"/>
  <c r="U19" i="57"/>
  <c r="V19" i="57"/>
  <c r="W19" i="57"/>
  <c r="X19" i="57"/>
  <c r="Y19" i="57"/>
  <c r="Z19" i="57"/>
  <c r="AA19" i="57"/>
  <c r="AB19" i="57"/>
  <c r="AC19" i="57"/>
  <c r="AD19" i="57"/>
  <c r="AE19" i="57"/>
  <c r="AF19" i="57"/>
  <c r="AG19" i="57"/>
  <c r="AH19" i="57"/>
  <c r="AI19" i="57"/>
  <c r="AJ19" i="57"/>
  <c r="AK19" i="57"/>
  <c r="AL19" i="57"/>
  <c r="AM19" i="57"/>
  <c r="AN19" i="57"/>
  <c r="AO19" i="57"/>
  <c r="AP19" i="57"/>
  <c r="AQ19" i="57"/>
  <c r="AR19" i="57"/>
  <c r="AS19" i="57"/>
  <c r="AT19" i="57"/>
  <c r="AU19" i="57"/>
  <c r="AV19" i="57"/>
  <c r="AW19" i="57"/>
  <c r="AX19" i="57"/>
  <c r="AY19" i="57"/>
  <c r="AZ19" i="57"/>
  <c r="BA19" i="57"/>
  <c r="BB19" i="57"/>
  <c r="BC19" i="57"/>
  <c r="BD19" i="57"/>
  <c r="BE19" i="57"/>
  <c r="BF19" i="57"/>
  <c r="BG19" i="57"/>
  <c r="BH19" i="57"/>
  <c r="BI19" i="57"/>
  <c r="BJ19" i="57"/>
  <c r="BK19" i="57"/>
  <c r="BL19" i="57"/>
  <c r="BM19" i="57"/>
  <c r="BN19" i="57"/>
  <c r="BO19" i="57"/>
  <c r="BP19" i="57"/>
  <c r="BQ19" i="57"/>
  <c r="BR19" i="57"/>
  <c r="BS19" i="57"/>
  <c r="BT19" i="57"/>
  <c r="BU19" i="57"/>
  <c r="BV19" i="57"/>
  <c r="BW19" i="57"/>
  <c r="BX19" i="57"/>
  <c r="BY19" i="57"/>
  <c r="BZ19" i="57"/>
  <c r="CA19" i="57"/>
  <c r="CB19" i="57"/>
  <c r="CC19" i="57"/>
  <c r="CD19" i="57"/>
  <c r="CE19" i="57"/>
  <c r="CF19" i="57"/>
  <c r="CG19" i="57"/>
  <c r="CH19" i="57"/>
  <c r="CI19" i="57"/>
  <c r="CJ19" i="57"/>
  <c r="S20" i="57"/>
  <c r="T20" i="57"/>
  <c r="U20" i="57"/>
  <c r="V20" i="57"/>
  <c r="W20" i="57"/>
  <c r="X20" i="57"/>
  <c r="Y20" i="57"/>
  <c r="Z20" i="57"/>
  <c r="AA20" i="57"/>
  <c r="AB20" i="57"/>
  <c r="AC20" i="57"/>
  <c r="AD20" i="57"/>
  <c r="AE20" i="57"/>
  <c r="AF20" i="57"/>
  <c r="AG20" i="57"/>
  <c r="AH20" i="57"/>
  <c r="AI20" i="57"/>
  <c r="AJ20" i="57"/>
  <c r="AK20" i="57"/>
  <c r="AL20" i="57"/>
  <c r="AM20" i="57"/>
  <c r="AN20" i="57"/>
  <c r="AO20" i="57"/>
  <c r="AP20" i="57"/>
  <c r="AQ20" i="57"/>
  <c r="AR20" i="57"/>
  <c r="AS20" i="57"/>
  <c r="AT20" i="57"/>
  <c r="AU20" i="57"/>
  <c r="AV20" i="57"/>
  <c r="AW20" i="57"/>
  <c r="AX20" i="57"/>
  <c r="AY20" i="57"/>
  <c r="AZ20" i="57"/>
  <c r="BA20" i="57"/>
  <c r="BB20" i="57"/>
  <c r="BC20" i="57"/>
  <c r="BD20" i="57"/>
  <c r="BE20" i="57"/>
  <c r="BF20" i="57"/>
  <c r="BG20" i="57"/>
  <c r="BH20" i="57"/>
  <c r="BI20" i="57"/>
  <c r="BJ20" i="57"/>
  <c r="BK20" i="57"/>
  <c r="BL20" i="57"/>
  <c r="BM20" i="57"/>
  <c r="BN20" i="57"/>
  <c r="BO20" i="57"/>
  <c r="BP20" i="57"/>
  <c r="BQ20" i="57"/>
  <c r="BR20" i="57"/>
  <c r="BS20" i="57"/>
  <c r="BT20" i="57"/>
  <c r="BU20" i="57"/>
  <c r="BV20" i="57"/>
  <c r="BW20" i="57"/>
  <c r="BX20" i="57"/>
  <c r="BY20" i="57"/>
  <c r="BZ20" i="57"/>
  <c r="CA20" i="57"/>
  <c r="CB20" i="57"/>
  <c r="CC20" i="57"/>
  <c r="CD20" i="57"/>
  <c r="CE20" i="57"/>
  <c r="CF20" i="57"/>
  <c r="CG20" i="57"/>
  <c r="CH20" i="57"/>
  <c r="CI20" i="57"/>
  <c r="CJ20" i="57"/>
  <c r="S21" i="57"/>
  <c r="T21" i="57"/>
  <c r="U21" i="57"/>
  <c r="V21" i="57"/>
  <c r="W21" i="57"/>
  <c r="X21" i="57"/>
  <c r="Y21" i="57"/>
  <c r="Z21" i="57"/>
  <c r="AA21" i="57"/>
  <c r="AB21" i="57"/>
  <c r="AC21" i="57"/>
  <c r="AD21" i="57"/>
  <c r="AE21" i="57"/>
  <c r="AF21" i="57"/>
  <c r="AG21" i="57"/>
  <c r="AH21" i="57"/>
  <c r="AI21" i="57"/>
  <c r="AJ21" i="57"/>
  <c r="AK21" i="57"/>
  <c r="AL21" i="57"/>
  <c r="AM21" i="57"/>
  <c r="AN21" i="57"/>
  <c r="AO21" i="57"/>
  <c r="AP21" i="57"/>
  <c r="AQ21" i="57"/>
  <c r="AR21" i="57"/>
  <c r="AS21" i="57"/>
  <c r="AT21" i="57"/>
  <c r="AU21" i="57"/>
  <c r="AV21" i="57"/>
  <c r="AW21" i="57"/>
  <c r="AX21" i="57"/>
  <c r="AY21" i="57"/>
  <c r="AZ21" i="57"/>
  <c r="BA21" i="57"/>
  <c r="BB21" i="57"/>
  <c r="BC21" i="57"/>
  <c r="BD21" i="57"/>
  <c r="BE21" i="57"/>
  <c r="BF21" i="57"/>
  <c r="BG21" i="57"/>
  <c r="BH21" i="57"/>
  <c r="BI21" i="57"/>
  <c r="BJ21" i="57"/>
  <c r="BK21" i="57"/>
  <c r="BL21" i="57"/>
  <c r="BM21" i="57"/>
  <c r="BN21" i="57"/>
  <c r="BO21" i="57"/>
  <c r="BP21" i="57"/>
  <c r="BQ21" i="57"/>
  <c r="BR21" i="57"/>
  <c r="BS21" i="57"/>
  <c r="BT21" i="57"/>
  <c r="BU21" i="57"/>
  <c r="BV21" i="57"/>
  <c r="BW21" i="57"/>
  <c r="BX21" i="57"/>
  <c r="BY21" i="57"/>
  <c r="BZ21" i="57"/>
  <c r="CA21" i="57"/>
  <c r="CB21" i="57"/>
  <c r="CC21" i="57"/>
  <c r="CD21" i="57"/>
  <c r="CE21" i="57"/>
  <c r="CF21" i="57"/>
  <c r="CG21" i="57"/>
  <c r="CH21" i="57"/>
  <c r="CI21" i="57"/>
  <c r="CJ21" i="57"/>
  <c r="S22" i="57"/>
  <c r="T22" i="57"/>
  <c r="U22" i="57"/>
  <c r="V22" i="57"/>
  <c r="W22" i="57"/>
  <c r="X22" i="57"/>
  <c r="Y22" i="57"/>
  <c r="Z22" i="57"/>
  <c r="AA22" i="57"/>
  <c r="AB22" i="57"/>
  <c r="AC22" i="57"/>
  <c r="AD22" i="57"/>
  <c r="AE22" i="57"/>
  <c r="AF22" i="57"/>
  <c r="AG22" i="57"/>
  <c r="AH22" i="57"/>
  <c r="AI22" i="57"/>
  <c r="AJ22" i="57"/>
  <c r="AK22" i="57"/>
  <c r="AL22" i="57"/>
  <c r="AM22" i="57"/>
  <c r="AN22" i="57"/>
  <c r="AO22" i="57"/>
  <c r="AP22" i="57"/>
  <c r="AQ22" i="57"/>
  <c r="AR22" i="57"/>
  <c r="AS22" i="57"/>
  <c r="AT22" i="57"/>
  <c r="AU22" i="57"/>
  <c r="AV22" i="57"/>
  <c r="AW22" i="57"/>
  <c r="AX22" i="57"/>
  <c r="AY22" i="57"/>
  <c r="AZ22" i="57"/>
  <c r="BA22" i="57"/>
  <c r="BB22" i="57"/>
  <c r="BC22" i="57"/>
  <c r="BD22" i="57"/>
  <c r="BE22" i="57"/>
  <c r="BF22" i="57"/>
  <c r="BG22" i="57"/>
  <c r="BH22" i="57"/>
  <c r="BI22" i="57"/>
  <c r="BJ22" i="57"/>
  <c r="BK22" i="57"/>
  <c r="BL22" i="57"/>
  <c r="BM22" i="57"/>
  <c r="BN22" i="57"/>
  <c r="BO22" i="57"/>
  <c r="BP22" i="57"/>
  <c r="BQ22" i="57"/>
  <c r="BR22" i="57"/>
  <c r="BS22" i="57"/>
  <c r="BT22" i="57"/>
  <c r="BU22" i="57"/>
  <c r="BV22" i="57"/>
  <c r="BW22" i="57"/>
  <c r="BX22" i="57"/>
  <c r="BY22" i="57"/>
  <c r="BZ22" i="57"/>
  <c r="CA22" i="57"/>
  <c r="CB22" i="57"/>
  <c r="CC22" i="57"/>
  <c r="CD22" i="57"/>
  <c r="CE22" i="57"/>
  <c r="CF22" i="57"/>
  <c r="CG22" i="57"/>
  <c r="CH22" i="57"/>
  <c r="CI22" i="57"/>
  <c r="CJ22" i="57"/>
  <c r="S23" i="57"/>
  <c r="T23" i="57"/>
  <c r="U23" i="57"/>
  <c r="V23" i="57"/>
  <c r="W23" i="57"/>
  <c r="X23" i="57"/>
  <c r="Y23" i="57"/>
  <c r="Z23" i="57"/>
  <c r="AA23" i="57"/>
  <c r="AB23" i="57"/>
  <c r="AC23" i="57"/>
  <c r="AD23" i="57"/>
  <c r="AE23" i="57"/>
  <c r="AF23" i="57"/>
  <c r="AG23" i="57"/>
  <c r="AH23" i="57"/>
  <c r="AI23" i="57"/>
  <c r="AJ23" i="57"/>
  <c r="AK23" i="57"/>
  <c r="AL23" i="57"/>
  <c r="AM23" i="57"/>
  <c r="AN23" i="57"/>
  <c r="AO23" i="57"/>
  <c r="AP23" i="57"/>
  <c r="AQ23" i="57"/>
  <c r="AR23" i="57"/>
  <c r="AS23" i="57"/>
  <c r="AT23" i="57"/>
  <c r="AU23" i="57"/>
  <c r="AV23" i="57"/>
  <c r="AW23" i="57"/>
  <c r="AX23" i="57"/>
  <c r="AY23" i="57"/>
  <c r="AZ23" i="57"/>
  <c r="BA23" i="57"/>
  <c r="BB23" i="57"/>
  <c r="BC23" i="57"/>
  <c r="BD23" i="57"/>
  <c r="BE23" i="57"/>
  <c r="BF23" i="57"/>
  <c r="BG23" i="57"/>
  <c r="BH23" i="57"/>
  <c r="BI23" i="57"/>
  <c r="BJ23" i="57"/>
  <c r="BK23" i="57"/>
  <c r="BL23" i="57"/>
  <c r="BM23" i="57"/>
  <c r="BN23" i="57"/>
  <c r="BO23" i="57"/>
  <c r="BP23" i="57"/>
  <c r="BQ23" i="57"/>
  <c r="BR23" i="57"/>
  <c r="BS23" i="57"/>
  <c r="BT23" i="57"/>
  <c r="BU23" i="57"/>
  <c r="BV23" i="57"/>
  <c r="BW23" i="57"/>
  <c r="BX23" i="57"/>
  <c r="BY23" i="57"/>
  <c r="BZ23" i="57"/>
  <c r="CA23" i="57"/>
  <c r="CB23" i="57"/>
  <c r="CC23" i="57"/>
  <c r="CD23" i="57"/>
  <c r="CE23" i="57"/>
  <c r="CF23" i="57"/>
  <c r="CG23" i="57"/>
  <c r="CH23" i="57"/>
  <c r="CI23" i="57"/>
  <c r="CJ23" i="57"/>
  <c r="S24" i="57"/>
  <c r="T24" i="57"/>
  <c r="U24" i="57"/>
  <c r="V24" i="57"/>
  <c r="W24" i="57"/>
  <c r="X24" i="57"/>
  <c r="Y24" i="57"/>
  <c r="Z24" i="57"/>
  <c r="AA24" i="57"/>
  <c r="AB24" i="57"/>
  <c r="AC24" i="57"/>
  <c r="AD24" i="57"/>
  <c r="AE24" i="57"/>
  <c r="AF24" i="57"/>
  <c r="AG24" i="57"/>
  <c r="AH24" i="57"/>
  <c r="AI24" i="57"/>
  <c r="AJ24" i="57"/>
  <c r="AK24" i="57"/>
  <c r="AL24" i="57"/>
  <c r="AM24" i="57"/>
  <c r="AN24" i="57"/>
  <c r="AO24" i="57"/>
  <c r="AP24" i="57"/>
  <c r="AQ24" i="57"/>
  <c r="AR24" i="57"/>
  <c r="AS24" i="57"/>
  <c r="AT24" i="57"/>
  <c r="AU24" i="57"/>
  <c r="AV24" i="57"/>
  <c r="AW24" i="57"/>
  <c r="AX24" i="57"/>
  <c r="AY24" i="57"/>
  <c r="AZ24" i="57"/>
  <c r="BA24" i="57"/>
  <c r="BB24" i="57"/>
  <c r="BC24" i="57"/>
  <c r="BD24" i="57"/>
  <c r="BE24" i="57"/>
  <c r="BF24" i="57"/>
  <c r="BG24" i="57"/>
  <c r="BH24" i="57"/>
  <c r="BI24" i="57"/>
  <c r="BJ24" i="57"/>
  <c r="BK24" i="57"/>
  <c r="BL24" i="57"/>
  <c r="BM24" i="57"/>
  <c r="BN24" i="57"/>
  <c r="BO24" i="57"/>
  <c r="BP24" i="57"/>
  <c r="BQ24" i="57"/>
  <c r="BR24" i="57"/>
  <c r="BS24" i="57"/>
  <c r="BT24" i="57"/>
  <c r="BU24" i="57"/>
  <c r="BV24" i="57"/>
  <c r="BW24" i="57"/>
  <c r="BX24" i="57"/>
  <c r="BY24" i="57"/>
  <c r="BZ24" i="57"/>
  <c r="CA24" i="57"/>
  <c r="CB24" i="57"/>
  <c r="CC24" i="57"/>
  <c r="CD24" i="57"/>
  <c r="CE24" i="57"/>
  <c r="CF24" i="57"/>
  <c r="CG24" i="57"/>
  <c r="CH24" i="57"/>
  <c r="CI24" i="57"/>
  <c r="CJ24" i="57"/>
  <c r="S25" i="57"/>
  <c r="T25" i="57"/>
  <c r="U25" i="57"/>
  <c r="V25" i="57"/>
  <c r="W25" i="57"/>
  <c r="X25" i="57"/>
  <c r="Y25" i="57"/>
  <c r="Z25" i="57"/>
  <c r="AA25" i="57"/>
  <c r="AB25" i="57"/>
  <c r="AC25" i="57"/>
  <c r="AD25" i="57"/>
  <c r="AE25" i="57"/>
  <c r="AF25" i="57"/>
  <c r="AG25" i="57"/>
  <c r="AH25" i="57"/>
  <c r="AI25" i="57"/>
  <c r="AJ25" i="57"/>
  <c r="AK25" i="57"/>
  <c r="AL25" i="57"/>
  <c r="AM25" i="57"/>
  <c r="AN25" i="57"/>
  <c r="AO25" i="57"/>
  <c r="AP25" i="57"/>
  <c r="AQ25" i="57"/>
  <c r="AR25" i="57"/>
  <c r="AS25" i="57"/>
  <c r="AT25" i="57"/>
  <c r="AU25" i="57"/>
  <c r="AV25" i="57"/>
  <c r="AW25" i="57"/>
  <c r="AX25" i="57"/>
  <c r="AY25" i="57"/>
  <c r="AZ25" i="57"/>
  <c r="BA25" i="57"/>
  <c r="BB25" i="57"/>
  <c r="BC25" i="57"/>
  <c r="BD25" i="57"/>
  <c r="BE25" i="57"/>
  <c r="BF25" i="57"/>
  <c r="BG25" i="57"/>
  <c r="BH25" i="57"/>
  <c r="BI25" i="57"/>
  <c r="BJ25" i="57"/>
  <c r="BK25" i="57"/>
  <c r="BL25" i="57"/>
  <c r="BM25" i="57"/>
  <c r="BN25" i="57"/>
  <c r="BO25" i="57"/>
  <c r="BP25" i="57"/>
  <c r="BQ25" i="57"/>
  <c r="BR25" i="57"/>
  <c r="BS25" i="57"/>
  <c r="BT25" i="57"/>
  <c r="BU25" i="57"/>
  <c r="BV25" i="57"/>
  <c r="BW25" i="57"/>
  <c r="BX25" i="57"/>
  <c r="BY25" i="57"/>
  <c r="BZ25" i="57"/>
  <c r="CA25" i="57"/>
  <c r="CB25" i="57"/>
  <c r="CC25" i="57"/>
  <c r="CD25" i="57"/>
  <c r="CE25" i="57"/>
  <c r="CF25" i="57"/>
  <c r="CG25" i="57"/>
  <c r="CH25" i="57"/>
  <c r="CI25" i="57"/>
  <c r="CJ25" i="57"/>
  <c r="S26" i="57"/>
  <c r="T26" i="57"/>
  <c r="U26" i="57"/>
  <c r="V26" i="57"/>
  <c r="W26" i="57"/>
  <c r="X26" i="57"/>
  <c r="Y26" i="57"/>
  <c r="Z26" i="57"/>
  <c r="AA26" i="57"/>
  <c r="AB26" i="57"/>
  <c r="AC26" i="57"/>
  <c r="AD26" i="57"/>
  <c r="AE26" i="57"/>
  <c r="AF26" i="57"/>
  <c r="AG26" i="57"/>
  <c r="AH26" i="57"/>
  <c r="AI26" i="57"/>
  <c r="AJ26" i="57"/>
  <c r="AK26" i="57"/>
  <c r="AL26" i="57"/>
  <c r="AM26" i="57"/>
  <c r="AN26" i="57"/>
  <c r="AO26" i="57"/>
  <c r="AP26" i="57"/>
  <c r="AQ26" i="57"/>
  <c r="AR26" i="57"/>
  <c r="AS26" i="57"/>
  <c r="AT26" i="57"/>
  <c r="AU26" i="57"/>
  <c r="AV26" i="57"/>
  <c r="AW26" i="57"/>
  <c r="AX26" i="57"/>
  <c r="AY26" i="57"/>
  <c r="AZ26" i="57"/>
  <c r="BA26" i="57"/>
  <c r="BB26" i="57"/>
  <c r="BC26" i="57"/>
  <c r="BD26" i="57"/>
  <c r="BE26" i="57"/>
  <c r="BF26" i="57"/>
  <c r="BG26" i="57"/>
  <c r="BH26" i="57"/>
  <c r="BI26" i="57"/>
  <c r="BJ26" i="57"/>
  <c r="BK26" i="57"/>
  <c r="BL26" i="57"/>
  <c r="BM26" i="57"/>
  <c r="BN26" i="57"/>
  <c r="BO26" i="57"/>
  <c r="BP26" i="57"/>
  <c r="BQ26" i="57"/>
  <c r="BR26" i="57"/>
  <c r="BS26" i="57"/>
  <c r="BT26" i="57"/>
  <c r="BU26" i="57"/>
  <c r="BV26" i="57"/>
  <c r="BW26" i="57"/>
  <c r="BX26" i="57"/>
  <c r="BY26" i="57"/>
  <c r="BZ26" i="57"/>
  <c r="CA26" i="57"/>
  <c r="CB26" i="57"/>
  <c r="CC26" i="57"/>
  <c r="CD26" i="57"/>
  <c r="CE26" i="57"/>
  <c r="CF26" i="57"/>
  <c r="CG26" i="57"/>
  <c r="CH26" i="57"/>
  <c r="CI26" i="57"/>
  <c r="CJ26" i="57"/>
  <c r="S27" i="57"/>
  <c r="T27" i="57"/>
  <c r="U27" i="57"/>
  <c r="V27" i="57"/>
  <c r="W27" i="57"/>
  <c r="X27" i="57"/>
  <c r="Y27" i="57"/>
  <c r="Z27" i="57"/>
  <c r="AA27" i="57"/>
  <c r="AB27" i="57"/>
  <c r="AC27" i="57"/>
  <c r="AD27" i="57"/>
  <c r="AE27" i="57"/>
  <c r="AF27" i="57"/>
  <c r="AG27" i="57"/>
  <c r="AH27" i="57"/>
  <c r="AI27" i="57"/>
  <c r="AJ27" i="57"/>
  <c r="AK27" i="57"/>
  <c r="AL27" i="57"/>
  <c r="AM27" i="57"/>
  <c r="AN27" i="57"/>
  <c r="AO27" i="57"/>
  <c r="AP27" i="57"/>
  <c r="AQ27" i="57"/>
  <c r="AR27" i="57"/>
  <c r="AS27" i="57"/>
  <c r="AT27" i="57"/>
  <c r="AU27" i="57"/>
  <c r="AV27" i="57"/>
  <c r="AW27" i="57"/>
  <c r="AX27" i="57"/>
  <c r="AY27" i="57"/>
  <c r="AZ27" i="57"/>
  <c r="BA27" i="57"/>
  <c r="BB27" i="57"/>
  <c r="BC27" i="57"/>
  <c r="BD27" i="57"/>
  <c r="BE27" i="57"/>
  <c r="BF27" i="57"/>
  <c r="BG27" i="57"/>
  <c r="BH27" i="57"/>
  <c r="BI27" i="57"/>
  <c r="BJ27" i="57"/>
  <c r="BK27" i="57"/>
  <c r="BL27" i="57"/>
  <c r="BM27" i="57"/>
  <c r="BN27" i="57"/>
  <c r="BO27" i="57"/>
  <c r="BP27" i="57"/>
  <c r="BQ27" i="57"/>
  <c r="BR27" i="57"/>
  <c r="BS27" i="57"/>
  <c r="BT27" i="57"/>
  <c r="BU27" i="57"/>
  <c r="BV27" i="57"/>
  <c r="BW27" i="57"/>
  <c r="BX27" i="57"/>
  <c r="BY27" i="57"/>
  <c r="BZ27" i="57"/>
  <c r="CA27" i="57"/>
  <c r="CB27" i="57"/>
  <c r="CC27" i="57"/>
  <c r="CD27" i="57"/>
  <c r="CE27" i="57"/>
  <c r="CF27" i="57"/>
  <c r="CG27" i="57"/>
  <c r="CH27" i="57"/>
  <c r="CI27" i="57"/>
  <c r="CJ27" i="57"/>
  <c r="S28" i="57"/>
  <c r="T28" i="57"/>
  <c r="U28" i="57"/>
  <c r="V28" i="57"/>
  <c r="W28" i="57"/>
  <c r="X28" i="57"/>
  <c r="Y28" i="57"/>
  <c r="Z28" i="57"/>
  <c r="AA28" i="57"/>
  <c r="AB28" i="57"/>
  <c r="AC28" i="57"/>
  <c r="AD28" i="57"/>
  <c r="AE28" i="57"/>
  <c r="AF28" i="57"/>
  <c r="AG28" i="57"/>
  <c r="AH28" i="57"/>
  <c r="AI28" i="57"/>
  <c r="AJ28" i="57"/>
  <c r="AK28" i="57"/>
  <c r="AL28" i="57"/>
  <c r="AM28" i="57"/>
  <c r="AN28" i="57"/>
  <c r="AO28" i="57"/>
  <c r="AP28" i="57"/>
  <c r="AQ28" i="57"/>
  <c r="AR28" i="57"/>
  <c r="AS28" i="57"/>
  <c r="AT28" i="57"/>
  <c r="AU28" i="57"/>
  <c r="AV28" i="57"/>
  <c r="AW28" i="57"/>
  <c r="AX28" i="57"/>
  <c r="AY28" i="57"/>
  <c r="AZ28" i="57"/>
  <c r="BA28" i="57"/>
  <c r="BB28" i="57"/>
  <c r="BC28" i="57"/>
  <c r="BD28" i="57"/>
  <c r="BE28" i="57"/>
  <c r="BF28" i="57"/>
  <c r="BG28" i="57"/>
  <c r="BH28" i="57"/>
  <c r="BI28" i="57"/>
  <c r="BJ28" i="57"/>
  <c r="BK28" i="57"/>
  <c r="BL28" i="57"/>
  <c r="BM28" i="57"/>
  <c r="BN28" i="57"/>
  <c r="BO28" i="57"/>
  <c r="BP28" i="57"/>
  <c r="BQ28" i="57"/>
  <c r="BR28" i="57"/>
  <c r="BS28" i="57"/>
  <c r="BT28" i="57"/>
  <c r="BU28" i="57"/>
  <c r="BV28" i="57"/>
  <c r="BW28" i="57"/>
  <c r="BX28" i="57"/>
  <c r="BY28" i="57"/>
  <c r="BZ28" i="57"/>
  <c r="CA28" i="57"/>
  <c r="CB28" i="57"/>
  <c r="CC28" i="57"/>
  <c r="CD28" i="57"/>
  <c r="CE28" i="57"/>
  <c r="CF28" i="57"/>
  <c r="CG28" i="57"/>
  <c r="CH28" i="57"/>
  <c r="CI28" i="57"/>
  <c r="CJ28" i="57"/>
  <c r="S29" i="57"/>
  <c r="T29" i="57"/>
  <c r="U29" i="57"/>
  <c r="V29" i="57"/>
  <c r="W29" i="57"/>
  <c r="X29" i="57"/>
  <c r="Y29" i="57"/>
  <c r="Z29" i="57"/>
  <c r="AA29" i="57"/>
  <c r="AB29" i="57"/>
  <c r="AC29" i="57"/>
  <c r="AD29" i="57"/>
  <c r="AE29" i="57"/>
  <c r="AF29" i="57"/>
  <c r="AG29" i="57"/>
  <c r="AH29" i="57"/>
  <c r="AI29" i="57"/>
  <c r="AJ29" i="57"/>
  <c r="AK29" i="57"/>
  <c r="AL29" i="57"/>
  <c r="AM29" i="57"/>
  <c r="AN29" i="57"/>
  <c r="AO29" i="57"/>
  <c r="AP29" i="57"/>
  <c r="AQ29" i="57"/>
  <c r="AR29" i="57"/>
  <c r="AS29" i="57"/>
  <c r="AT29" i="57"/>
  <c r="AU29" i="57"/>
  <c r="AV29" i="57"/>
  <c r="AW29" i="57"/>
  <c r="AX29" i="57"/>
  <c r="AY29" i="57"/>
  <c r="AZ29" i="57"/>
  <c r="BA29" i="57"/>
  <c r="BB29" i="57"/>
  <c r="BC29" i="57"/>
  <c r="BD29" i="57"/>
  <c r="BE29" i="57"/>
  <c r="BF29" i="57"/>
  <c r="BG29" i="57"/>
  <c r="BH29" i="57"/>
  <c r="BI29" i="57"/>
  <c r="BJ29" i="57"/>
  <c r="BK29" i="57"/>
  <c r="BL29" i="57"/>
  <c r="BM29" i="57"/>
  <c r="BN29" i="57"/>
  <c r="BO29" i="57"/>
  <c r="BP29" i="57"/>
  <c r="BQ29" i="57"/>
  <c r="BR29" i="57"/>
  <c r="BS29" i="57"/>
  <c r="BT29" i="57"/>
  <c r="BU29" i="57"/>
  <c r="BV29" i="57"/>
  <c r="BW29" i="57"/>
  <c r="BX29" i="57"/>
  <c r="BY29" i="57"/>
  <c r="BZ29" i="57"/>
  <c r="CA29" i="57"/>
  <c r="CB29" i="57"/>
  <c r="CC29" i="57"/>
  <c r="CD29" i="57"/>
  <c r="CE29" i="57"/>
  <c r="CF29" i="57"/>
  <c r="CG29" i="57"/>
  <c r="CH29" i="57"/>
  <c r="CI29" i="57"/>
  <c r="CJ29" i="57"/>
  <c r="S30" i="57"/>
  <c r="T30" i="57"/>
  <c r="U30" i="57"/>
  <c r="V30" i="57"/>
  <c r="W30" i="57"/>
  <c r="X30" i="57"/>
  <c r="Y30" i="57"/>
  <c r="Z30" i="57"/>
  <c r="AA30" i="57"/>
  <c r="AB30" i="57"/>
  <c r="AC30" i="57"/>
  <c r="AD30" i="57"/>
  <c r="AE30" i="57"/>
  <c r="AF30" i="57"/>
  <c r="AG30" i="57"/>
  <c r="AH30" i="57"/>
  <c r="AI30" i="57"/>
  <c r="AJ30" i="57"/>
  <c r="AK30" i="57"/>
  <c r="AL30" i="57"/>
  <c r="AM30" i="57"/>
  <c r="AN30" i="57"/>
  <c r="AO30" i="57"/>
  <c r="AP30" i="57"/>
  <c r="AQ30" i="57"/>
  <c r="AR30" i="57"/>
  <c r="AS30" i="57"/>
  <c r="AT30" i="57"/>
  <c r="AU30" i="57"/>
  <c r="AV30" i="57"/>
  <c r="AW30" i="57"/>
  <c r="AX30" i="57"/>
  <c r="AY30" i="57"/>
  <c r="AZ30" i="57"/>
  <c r="BA30" i="57"/>
  <c r="BB30" i="57"/>
  <c r="BC30" i="57"/>
  <c r="BD30" i="57"/>
  <c r="BE30" i="57"/>
  <c r="BF30" i="57"/>
  <c r="BG30" i="57"/>
  <c r="BH30" i="57"/>
  <c r="BI30" i="57"/>
  <c r="BJ30" i="57"/>
  <c r="BK30" i="57"/>
  <c r="BL30" i="57"/>
  <c r="BM30" i="57"/>
  <c r="BN30" i="57"/>
  <c r="BO30" i="57"/>
  <c r="BP30" i="57"/>
  <c r="BQ30" i="57"/>
  <c r="BR30" i="57"/>
  <c r="BS30" i="57"/>
  <c r="BT30" i="57"/>
  <c r="BU30" i="57"/>
  <c r="BV30" i="57"/>
  <c r="BW30" i="57"/>
  <c r="BX30" i="57"/>
  <c r="BY30" i="57"/>
  <c r="BZ30" i="57"/>
  <c r="CA30" i="57"/>
  <c r="CB30" i="57"/>
  <c r="CC30" i="57"/>
  <c r="CD30" i="57"/>
  <c r="CE30" i="57"/>
  <c r="CF30" i="57"/>
  <c r="CG30" i="57"/>
  <c r="CH30" i="57"/>
  <c r="CI30" i="57"/>
  <c r="CJ30" i="57"/>
  <c r="S31" i="57"/>
  <c r="T31" i="57"/>
  <c r="U31" i="57"/>
  <c r="V31" i="57"/>
  <c r="W31" i="57"/>
  <c r="X31" i="57"/>
  <c r="Y31" i="57"/>
  <c r="Z31" i="57"/>
  <c r="AA31" i="57"/>
  <c r="AB31" i="57"/>
  <c r="AC31" i="57"/>
  <c r="AD31" i="57"/>
  <c r="AE31" i="57"/>
  <c r="AF31" i="57"/>
  <c r="AG31" i="57"/>
  <c r="AH31" i="57"/>
  <c r="AI31" i="57"/>
  <c r="AJ31" i="57"/>
  <c r="AK31" i="57"/>
  <c r="AL31" i="57"/>
  <c r="AM31" i="57"/>
  <c r="AN31" i="57"/>
  <c r="AO31" i="57"/>
  <c r="AP31" i="57"/>
  <c r="AQ31" i="57"/>
  <c r="AR31" i="57"/>
  <c r="AS31" i="57"/>
  <c r="AT31" i="57"/>
  <c r="AU31" i="57"/>
  <c r="AV31" i="57"/>
  <c r="AW31" i="57"/>
  <c r="AX31" i="57"/>
  <c r="AY31" i="57"/>
  <c r="AZ31" i="57"/>
  <c r="BA31" i="57"/>
  <c r="BB31" i="57"/>
  <c r="BC31" i="57"/>
  <c r="BD31" i="57"/>
  <c r="BE31" i="57"/>
  <c r="BF31" i="57"/>
  <c r="BG31" i="57"/>
  <c r="BH31" i="57"/>
  <c r="BI31" i="57"/>
  <c r="BJ31" i="57"/>
  <c r="BK31" i="57"/>
  <c r="BL31" i="57"/>
  <c r="BM31" i="57"/>
  <c r="BN31" i="57"/>
  <c r="BO31" i="57"/>
  <c r="BP31" i="57"/>
  <c r="BQ31" i="57"/>
  <c r="BR31" i="57"/>
  <c r="BS31" i="57"/>
  <c r="BT31" i="57"/>
  <c r="BU31" i="57"/>
  <c r="BV31" i="57"/>
  <c r="BW31" i="57"/>
  <c r="BX31" i="57"/>
  <c r="BY31" i="57"/>
  <c r="BZ31" i="57"/>
  <c r="CA31" i="57"/>
  <c r="CB31" i="57"/>
  <c r="CC31" i="57"/>
  <c r="CD31" i="57"/>
  <c r="CE31" i="57"/>
  <c r="CF31" i="57"/>
  <c r="CG31" i="57"/>
  <c r="CH31" i="57"/>
  <c r="CI31" i="57"/>
  <c r="CJ31" i="57"/>
  <c r="S32" i="57"/>
  <c r="T32" i="57"/>
  <c r="U32" i="57"/>
  <c r="V32" i="57"/>
  <c r="W32" i="57"/>
  <c r="X32" i="57"/>
  <c r="Y32" i="57"/>
  <c r="Z32" i="57"/>
  <c r="AA32" i="57"/>
  <c r="AB32" i="57"/>
  <c r="AC32" i="57"/>
  <c r="AD32" i="57"/>
  <c r="AE32" i="57"/>
  <c r="AF32" i="57"/>
  <c r="AG32" i="57"/>
  <c r="AH32" i="57"/>
  <c r="AI32" i="57"/>
  <c r="AJ32" i="57"/>
  <c r="AK32" i="57"/>
  <c r="AL32" i="57"/>
  <c r="AM32" i="57"/>
  <c r="AN32" i="57"/>
  <c r="AO32" i="57"/>
  <c r="AP32" i="57"/>
  <c r="AQ32" i="57"/>
  <c r="AR32" i="57"/>
  <c r="AS32" i="57"/>
  <c r="AT32" i="57"/>
  <c r="AU32" i="57"/>
  <c r="AV32" i="57"/>
  <c r="AW32" i="57"/>
  <c r="AX32" i="57"/>
  <c r="AY32" i="57"/>
  <c r="AZ32" i="57"/>
  <c r="BA32" i="57"/>
  <c r="BB32" i="57"/>
  <c r="BC32" i="57"/>
  <c r="BD32" i="57"/>
  <c r="BE32" i="57"/>
  <c r="BF32" i="57"/>
  <c r="BG32" i="57"/>
  <c r="BH32" i="57"/>
  <c r="BI32" i="57"/>
  <c r="BJ32" i="57"/>
  <c r="BK32" i="57"/>
  <c r="BL32" i="57"/>
  <c r="BM32" i="57"/>
  <c r="BN32" i="57"/>
  <c r="BO32" i="57"/>
  <c r="BP32" i="57"/>
  <c r="BQ32" i="57"/>
  <c r="BR32" i="57"/>
  <c r="BS32" i="57"/>
  <c r="BT32" i="57"/>
  <c r="BU32" i="57"/>
  <c r="BV32" i="57"/>
  <c r="BW32" i="57"/>
  <c r="BX32" i="57"/>
  <c r="BY32" i="57"/>
  <c r="BZ32" i="57"/>
  <c r="CA32" i="57"/>
  <c r="CB32" i="57"/>
  <c r="CC32" i="57"/>
  <c r="CD32" i="57"/>
  <c r="CE32" i="57"/>
  <c r="CF32" i="57"/>
  <c r="CG32" i="57"/>
  <c r="CH32" i="57"/>
  <c r="CI32" i="57"/>
  <c r="CJ32" i="57"/>
  <c r="S33" i="57"/>
  <c r="T33" i="57"/>
  <c r="U33" i="57"/>
  <c r="V33" i="57"/>
  <c r="W33" i="57"/>
  <c r="X33" i="57"/>
  <c r="Y33" i="57"/>
  <c r="Z33" i="57"/>
  <c r="AA33" i="57"/>
  <c r="AB33" i="57"/>
  <c r="AC33" i="57"/>
  <c r="AD33" i="57"/>
  <c r="AE33" i="57"/>
  <c r="AF33" i="57"/>
  <c r="AG33" i="57"/>
  <c r="AH33" i="57"/>
  <c r="AI33" i="57"/>
  <c r="AJ33" i="57"/>
  <c r="AK33" i="57"/>
  <c r="AL33" i="57"/>
  <c r="AM33" i="57"/>
  <c r="AN33" i="57"/>
  <c r="AO33" i="57"/>
  <c r="AP33" i="57"/>
  <c r="AQ33" i="57"/>
  <c r="AR33" i="57"/>
  <c r="AS33" i="57"/>
  <c r="AT33" i="57"/>
  <c r="AU33" i="57"/>
  <c r="AV33" i="57"/>
  <c r="AW33" i="57"/>
  <c r="AX33" i="57"/>
  <c r="AY33" i="57"/>
  <c r="AZ33" i="57"/>
  <c r="BA33" i="57"/>
  <c r="BB33" i="57"/>
  <c r="BC33" i="57"/>
  <c r="BD33" i="57"/>
  <c r="BE33" i="57"/>
  <c r="BF33" i="57"/>
  <c r="BG33" i="57"/>
  <c r="BH33" i="57"/>
  <c r="BI33" i="57"/>
  <c r="BJ33" i="57"/>
  <c r="BK33" i="57"/>
  <c r="BL33" i="57"/>
  <c r="BM33" i="57"/>
  <c r="BN33" i="57"/>
  <c r="BO33" i="57"/>
  <c r="BP33" i="57"/>
  <c r="BQ33" i="57"/>
  <c r="BR33" i="57"/>
  <c r="BS33" i="57"/>
  <c r="BT33" i="57"/>
  <c r="BU33" i="57"/>
  <c r="BV33" i="57"/>
  <c r="BW33" i="57"/>
  <c r="BX33" i="57"/>
  <c r="BY33" i="57"/>
  <c r="BZ33" i="57"/>
  <c r="CA33" i="57"/>
  <c r="CB33" i="57"/>
  <c r="CC33" i="57"/>
  <c r="CD33" i="57"/>
  <c r="CE33" i="57"/>
  <c r="CF33" i="57"/>
  <c r="CG33" i="57"/>
  <c r="CH33" i="57"/>
  <c r="CI33" i="57"/>
  <c r="CJ33" i="57"/>
  <c r="S34" i="57"/>
  <c r="T34" i="57"/>
  <c r="U34" i="57"/>
  <c r="V34" i="57"/>
  <c r="W34" i="57"/>
  <c r="X34" i="57"/>
  <c r="Y34" i="57"/>
  <c r="Z34" i="57"/>
  <c r="AA34" i="57"/>
  <c r="AB34" i="57"/>
  <c r="AC34" i="57"/>
  <c r="AD34" i="57"/>
  <c r="AE34" i="57"/>
  <c r="AF34" i="57"/>
  <c r="AG34" i="57"/>
  <c r="AH34" i="57"/>
  <c r="AI34" i="57"/>
  <c r="AJ34" i="57"/>
  <c r="AK34" i="57"/>
  <c r="AL34" i="57"/>
  <c r="AM34" i="57"/>
  <c r="AN34" i="57"/>
  <c r="AO34" i="57"/>
  <c r="AP34" i="57"/>
  <c r="AQ34" i="57"/>
  <c r="AR34" i="57"/>
  <c r="AS34" i="57"/>
  <c r="AT34" i="57"/>
  <c r="AU34" i="57"/>
  <c r="AV34" i="57"/>
  <c r="AW34" i="57"/>
  <c r="AX34" i="57"/>
  <c r="AY34" i="57"/>
  <c r="AZ34" i="57"/>
  <c r="BA34" i="57"/>
  <c r="BB34" i="57"/>
  <c r="BC34" i="57"/>
  <c r="BD34" i="57"/>
  <c r="BE34" i="57"/>
  <c r="BF34" i="57"/>
  <c r="BG34" i="57"/>
  <c r="BH34" i="57"/>
  <c r="BI34" i="57"/>
  <c r="BJ34" i="57"/>
  <c r="BK34" i="57"/>
  <c r="BL34" i="57"/>
  <c r="BM34" i="57"/>
  <c r="BN34" i="57"/>
  <c r="BO34" i="57"/>
  <c r="BP34" i="57"/>
  <c r="BQ34" i="57"/>
  <c r="BR34" i="57"/>
  <c r="BS34" i="57"/>
  <c r="BT34" i="57"/>
  <c r="BU34" i="57"/>
  <c r="BV34" i="57"/>
  <c r="BW34" i="57"/>
  <c r="BX34" i="57"/>
  <c r="BY34" i="57"/>
  <c r="BZ34" i="57"/>
  <c r="CA34" i="57"/>
  <c r="CB34" i="57"/>
  <c r="CC34" i="57"/>
  <c r="CD34" i="57"/>
  <c r="CE34" i="57"/>
  <c r="CF34" i="57"/>
  <c r="CG34" i="57"/>
  <c r="CH34" i="57"/>
  <c r="CI34" i="57"/>
  <c r="CJ34" i="57"/>
  <c r="S35" i="57"/>
  <c r="T35" i="57"/>
  <c r="U35" i="57"/>
  <c r="V35" i="57"/>
  <c r="W35" i="57"/>
  <c r="X35" i="57"/>
  <c r="Y35" i="57"/>
  <c r="Z35" i="57"/>
  <c r="AA35" i="57"/>
  <c r="AB35" i="57"/>
  <c r="AC35" i="57"/>
  <c r="AD35" i="57"/>
  <c r="AE35" i="57"/>
  <c r="AF35" i="57"/>
  <c r="AG35" i="57"/>
  <c r="AH35" i="57"/>
  <c r="AI35" i="57"/>
  <c r="AJ35" i="57"/>
  <c r="AK35" i="57"/>
  <c r="AL35" i="57"/>
  <c r="AM35" i="57"/>
  <c r="AN35" i="57"/>
  <c r="AO35" i="57"/>
  <c r="AP35" i="57"/>
  <c r="AQ35" i="57"/>
  <c r="AR35" i="57"/>
  <c r="AS35" i="57"/>
  <c r="AT35" i="57"/>
  <c r="AU35" i="57"/>
  <c r="AV35" i="57"/>
  <c r="AW35" i="57"/>
  <c r="AX35" i="57"/>
  <c r="AY35" i="57"/>
  <c r="AZ35" i="57"/>
  <c r="BA35" i="57"/>
  <c r="BB35" i="57"/>
  <c r="BC35" i="57"/>
  <c r="BD35" i="57"/>
  <c r="BE35" i="57"/>
  <c r="BF35" i="57"/>
  <c r="BG35" i="57"/>
  <c r="BH35" i="57"/>
  <c r="BI35" i="57"/>
  <c r="BJ35" i="57"/>
  <c r="BK35" i="57"/>
  <c r="BL35" i="57"/>
  <c r="BM35" i="57"/>
  <c r="BN35" i="57"/>
  <c r="BO35" i="57"/>
  <c r="BP35" i="57"/>
  <c r="BQ35" i="57"/>
  <c r="BR35" i="57"/>
  <c r="BS35" i="57"/>
  <c r="BT35" i="57"/>
  <c r="BU35" i="57"/>
  <c r="BV35" i="57"/>
  <c r="BW35" i="57"/>
  <c r="BX35" i="57"/>
  <c r="BY35" i="57"/>
  <c r="BZ35" i="57"/>
  <c r="CA35" i="57"/>
  <c r="CB35" i="57"/>
  <c r="CC35" i="57"/>
  <c r="CD35" i="57"/>
  <c r="CE35" i="57"/>
  <c r="CF35" i="57"/>
  <c r="CG35" i="57"/>
  <c r="CH35" i="57"/>
  <c r="CI35" i="57"/>
  <c r="CJ35" i="57"/>
  <c r="S36" i="57"/>
  <c r="T36" i="57"/>
  <c r="U36" i="57"/>
  <c r="V36" i="57"/>
  <c r="W36" i="57"/>
  <c r="X36" i="57"/>
  <c r="Y36" i="57"/>
  <c r="Z36" i="57"/>
  <c r="AA36" i="57"/>
  <c r="AB36" i="57"/>
  <c r="AC36" i="57"/>
  <c r="AD36" i="57"/>
  <c r="AE36" i="57"/>
  <c r="AF36" i="57"/>
  <c r="AG36" i="57"/>
  <c r="AH36" i="57"/>
  <c r="AI36" i="57"/>
  <c r="AJ36" i="57"/>
  <c r="AK36" i="57"/>
  <c r="AL36" i="57"/>
  <c r="AM36" i="57"/>
  <c r="AN36" i="57"/>
  <c r="AO36" i="57"/>
  <c r="AP36" i="57"/>
  <c r="AQ36" i="57"/>
  <c r="AR36" i="57"/>
  <c r="AS36" i="57"/>
  <c r="AT36" i="57"/>
  <c r="AU36" i="57"/>
  <c r="AV36" i="57"/>
  <c r="AW36" i="57"/>
  <c r="AX36" i="57"/>
  <c r="AY36" i="57"/>
  <c r="AZ36" i="57"/>
  <c r="BA36" i="57"/>
  <c r="BB36" i="57"/>
  <c r="BC36" i="57"/>
  <c r="BD36" i="57"/>
  <c r="BE36" i="57"/>
  <c r="BF36" i="57"/>
  <c r="BG36" i="57"/>
  <c r="BH36" i="57"/>
  <c r="BI36" i="57"/>
  <c r="BJ36" i="57"/>
  <c r="BK36" i="57"/>
  <c r="BL36" i="57"/>
  <c r="BM36" i="57"/>
  <c r="BN36" i="57"/>
  <c r="BO36" i="57"/>
  <c r="BP36" i="57"/>
  <c r="BQ36" i="57"/>
  <c r="BR36" i="57"/>
  <c r="BS36" i="57"/>
  <c r="BT36" i="57"/>
  <c r="BU36" i="57"/>
  <c r="BV36" i="57"/>
  <c r="BW36" i="57"/>
  <c r="BX36" i="57"/>
  <c r="BY36" i="57"/>
  <c r="BZ36" i="57"/>
  <c r="CA36" i="57"/>
  <c r="CB36" i="57"/>
  <c r="CC36" i="57"/>
  <c r="CD36" i="57"/>
  <c r="CE36" i="57"/>
  <c r="CF36" i="57"/>
  <c r="CG36" i="57"/>
  <c r="CH36" i="57"/>
  <c r="CI36" i="57"/>
  <c r="CJ36" i="57"/>
  <c r="S37" i="57"/>
  <c r="T37" i="57"/>
  <c r="U37" i="57"/>
  <c r="V37" i="57"/>
  <c r="W37" i="57"/>
  <c r="X37" i="57"/>
  <c r="Y37" i="57"/>
  <c r="Z37" i="57"/>
  <c r="AA37" i="57"/>
  <c r="AB37" i="57"/>
  <c r="AC37" i="57"/>
  <c r="AD37" i="57"/>
  <c r="AE37" i="57"/>
  <c r="AF37" i="57"/>
  <c r="AG37" i="57"/>
  <c r="AH37" i="57"/>
  <c r="AI37" i="57"/>
  <c r="AJ37" i="57"/>
  <c r="AK37" i="57"/>
  <c r="AL37" i="57"/>
  <c r="AM37" i="57"/>
  <c r="AN37" i="57"/>
  <c r="AO37" i="57"/>
  <c r="AP37" i="57"/>
  <c r="AQ37" i="57"/>
  <c r="AR37" i="57"/>
  <c r="AS37" i="57"/>
  <c r="AT37" i="57"/>
  <c r="AU37" i="57"/>
  <c r="AV37" i="57"/>
  <c r="AW37" i="57"/>
  <c r="AX37" i="57"/>
  <c r="AY37" i="57"/>
  <c r="AZ37" i="57"/>
  <c r="BA37" i="57"/>
  <c r="BB37" i="57"/>
  <c r="BC37" i="57"/>
  <c r="BD37" i="57"/>
  <c r="BE37" i="57"/>
  <c r="BF37" i="57"/>
  <c r="BG37" i="57"/>
  <c r="BH37" i="57"/>
  <c r="BI37" i="57"/>
  <c r="BJ37" i="57"/>
  <c r="BK37" i="57"/>
  <c r="BL37" i="57"/>
  <c r="BM37" i="57"/>
  <c r="BN37" i="57"/>
  <c r="BO37" i="57"/>
  <c r="BP37" i="57"/>
  <c r="BQ37" i="57"/>
  <c r="BR37" i="57"/>
  <c r="BS37" i="57"/>
  <c r="BT37" i="57"/>
  <c r="BU37" i="57"/>
  <c r="BV37" i="57"/>
  <c r="BW37" i="57"/>
  <c r="BX37" i="57"/>
  <c r="BY37" i="57"/>
  <c r="BZ37" i="57"/>
  <c r="CA37" i="57"/>
  <c r="CB37" i="57"/>
  <c r="CC37" i="57"/>
  <c r="CD37" i="57"/>
  <c r="CE37" i="57"/>
  <c r="CF37" i="57"/>
  <c r="CG37" i="57"/>
  <c r="CH37" i="57"/>
  <c r="CI37" i="57"/>
  <c r="CJ37" i="57"/>
  <c r="S38" i="57"/>
  <c r="T38" i="57"/>
  <c r="U38" i="57"/>
  <c r="V38" i="57"/>
  <c r="W38" i="57"/>
  <c r="X38" i="57"/>
  <c r="Y38" i="57"/>
  <c r="Z38" i="57"/>
  <c r="AA38" i="57"/>
  <c r="AB38" i="57"/>
  <c r="AC38" i="57"/>
  <c r="AD38" i="57"/>
  <c r="AE38" i="57"/>
  <c r="AF38" i="57"/>
  <c r="AG38" i="57"/>
  <c r="AH38" i="57"/>
  <c r="AI38" i="57"/>
  <c r="AJ38" i="57"/>
  <c r="AK38" i="57"/>
  <c r="AL38" i="57"/>
  <c r="AM38" i="57"/>
  <c r="AN38" i="57"/>
  <c r="AO38" i="57"/>
  <c r="AP38" i="57"/>
  <c r="AQ38" i="57"/>
  <c r="AR38" i="57"/>
  <c r="AS38" i="57"/>
  <c r="AT38" i="57"/>
  <c r="AU38" i="57"/>
  <c r="AV38" i="57"/>
  <c r="AW38" i="57"/>
  <c r="AX38" i="57"/>
  <c r="AY38" i="57"/>
  <c r="AZ38" i="57"/>
  <c r="BA38" i="57"/>
  <c r="BB38" i="57"/>
  <c r="BC38" i="57"/>
  <c r="BD38" i="57"/>
  <c r="BE38" i="57"/>
  <c r="BF38" i="57"/>
  <c r="BG38" i="57"/>
  <c r="BH38" i="57"/>
  <c r="BI38" i="57"/>
  <c r="BJ38" i="57"/>
  <c r="BK38" i="57"/>
  <c r="BL38" i="57"/>
  <c r="BM38" i="57"/>
  <c r="BN38" i="57"/>
  <c r="BO38" i="57"/>
  <c r="BP38" i="57"/>
  <c r="BQ38" i="57"/>
  <c r="BR38" i="57"/>
  <c r="BS38" i="57"/>
  <c r="BT38" i="57"/>
  <c r="BU38" i="57"/>
  <c r="BV38" i="57"/>
  <c r="BW38" i="57"/>
  <c r="BX38" i="57"/>
  <c r="BY38" i="57"/>
  <c r="BZ38" i="57"/>
  <c r="CA38" i="57"/>
  <c r="CB38" i="57"/>
  <c r="CC38" i="57"/>
  <c r="CD38" i="57"/>
  <c r="CE38" i="57"/>
  <c r="CF38" i="57"/>
  <c r="CG38" i="57"/>
  <c r="CH38" i="57"/>
  <c r="CI38" i="57"/>
  <c r="CJ38" i="57"/>
  <c r="S39" i="57"/>
  <c r="T39" i="57"/>
  <c r="U39" i="57"/>
  <c r="V39" i="57"/>
  <c r="W39" i="57"/>
  <c r="X39" i="57"/>
  <c r="Y39" i="57"/>
  <c r="Z39" i="57"/>
  <c r="AA39" i="57"/>
  <c r="AB39" i="57"/>
  <c r="AC39" i="57"/>
  <c r="AD39" i="57"/>
  <c r="AE39" i="57"/>
  <c r="AF39" i="57"/>
  <c r="AG39" i="57"/>
  <c r="AH39" i="57"/>
  <c r="AI39" i="57"/>
  <c r="AJ39" i="57"/>
  <c r="AK39" i="57"/>
  <c r="AL39" i="57"/>
  <c r="AM39" i="57"/>
  <c r="AN39" i="57"/>
  <c r="AO39" i="57"/>
  <c r="AP39" i="57"/>
  <c r="AQ39" i="57"/>
  <c r="AR39" i="57"/>
  <c r="AS39" i="57"/>
  <c r="AT39" i="57"/>
  <c r="AU39" i="57"/>
  <c r="AV39" i="57"/>
  <c r="AW39" i="57"/>
  <c r="AX39" i="57"/>
  <c r="AY39" i="57"/>
  <c r="AZ39" i="57"/>
  <c r="BA39" i="57"/>
  <c r="BB39" i="57"/>
  <c r="BC39" i="57"/>
  <c r="BD39" i="57"/>
  <c r="BE39" i="57"/>
  <c r="BF39" i="57"/>
  <c r="BG39" i="57"/>
  <c r="BH39" i="57"/>
  <c r="BI39" i="57"/>
  <c r="BJ39" i="57"/>
  <c r="BK39" i="57"/>
  <c r="BL39" i="57"/>
  <c r="BM39" i="57"/>
  <c r="BN39" i="57"/>
  <c r="BO39" i="57"/>
  <c r="BP39" i="57"/>
  <c r="BQ39" i="57"/>
  <c r="BR39" i="57"/>
  <c r="BS39" i="57"/>
  <c r="BT39" i="57"/>
  <c r="BU39" i="57"/>
  <c r="BV39" i="57"/>
  <c r="BW39" i="57"/>
  <c r="BX39" i="57"/>
  <c r="BY39" i="57"/>
  <c r="BZ39" i="57"/>
  <c r="CA39" i="57"/>
  <c r="CB39" i="57"/>
  <c r="CC39" i="57"/>
  <c r="CD39" i="57"/>
  <c r="CE39" i="57"/>
  <c r="CF39" i="57"/>
  <c r="CG39" i="57"/>
  <c r="CH39" i="57"/>
  <c r="CI39" i="57"/>
  <c r="CJ39" i="57"/>
  <c r="S40" i="57"/>
  <c r="T40" i="57"/>
  <c r="U40" i="57"/>
  <c r="V40" i="57"/>
  <c r="W40" i="57"/>
  <c r="X40" i="57"/>
  <c r="Y40" i="57"/>
  <c r="Z40" i="57"/>
  <c r="AA40" i="57"/>
  <c r="AB40" i="57"/>
  <c r="AC40" i="57"/>
  <c r="AD40" i="57"/>
  <c r="AE40" i="57"/>
  <c r="AF40" i="57"/>
  <c r="AG40" i="57"/>
  <c r="AH40" i="57"/>
  <c r="AI40" i="57"/>
  <c r="AJ40" i="57"/>
  <c r="AK40" i="57"/>
  <c r="AL40" i="57"/>
  <c r="AM40" i="57"/>
  <c r="AN40" i="57"/>
  <c r="AO40" i="57"/>
  <c r="AP40" i="57"/>
  <c r="AQ40" i="57"/>
  <c r="AR40" i="57"/>
  <c r="AS40" i="57"/>
  <c r="AT40" i="57"/>
  <c r="AU40" i="57"/>
  <c r="AV40" i="57"/>
  <c r="AW40" i="57"/>
  <c r="AX40" i="57"/>
  <c r="AY40" i="57"/>
  <c r="AZ40" i="57"/>
  <c r="BA40" i="57"/>
  <c r="BB40" i="57"/>
  <c r="BC40" i="57"/>
  <c r="BD40" i="57"/>
  <c r="BE40" i="57"/>
  <c r="BF40" i="57"/>
  <c r="BG40" i="57"/>
  <c r="BH40" i="57"/>
  <c r="BI40" i="57"/>
  <c r="BJ40" i="57"/>
  <c r="BK40" i="57"/>
  <c r="BL40" i="57"/>
  <c r="BM40" i="57"/>
  <c r="BN40" i="57"/>
  <c r="BO40" i="57"/>
  <c r="BP40" i="57"/>
  <c r="BQ40" i="57"/>
  <c r="BR40" i="57"/>
  <c r="BS40" i="57"/>
  <c r="BT40" i="57"/>
  <c r="BU40" i="57"/>
  <c r="BV40" i="57"/>
  <c r="BW40" i="57"/>
  <c r="BX40" i="57"/>
  <c r="BY40" i="57"/>
  <c r="BZ40" i="57"/>
  <c r="CA40" i="57"/>
  <c r="CB40" i="57"/>
  <c r="CC40" i="57"/>
  <c r="CD40" i="57"/>
  <c r="CE40" i="57"/>
  <c r="CF40" i="57"/>
  <c r="CG40" i="57"/>
  <c r="CH40" i="57"/>
  <c r="CI40" i="57"/>
  <c r="CJ40" i="57"/>
  <c r="S41" i="57"/>
  <c r="T41" i="57"/>
  <c r="U41" i="57"/>
  <c r="V41" i="57"/>
  <c r="W41" i="57"/>
  <c r="X41" i="57"/>
  <c r="Y41" i="57"/>
  <c r="Z41" i="57"/>
  <c r="AA41" i="57"/>
  <c r="AB41" i="57"/>
  <c r="AC41" i="57"/>
  <c r="AD41" i="57"/>
  <c r="AE41" i="57"/>
  <c r="AF41" i="57"/>
  <c r="AG41" i="57"/>
  <c r="AH41" i="57"/>
  <c r="AI41" i="57"/>
  <c r="AJ41" i="57"/>
  <c r="AK41" i="57"/>
  <c r="AL41" i="57"/>
  <c r="AM41" i="57"/>
  <c r="AN41" i="57"/>
  <c r="AO41" i="57"/>
  <c r="AP41" i="57"/>
  <c r="AQ41" i="57"/>
  <c r="AR41" i="57"/>
  <c r="AS41" i="57"/>
  <c r="AT41" i="57"/>
  <c r="AU41" i="57"/>
  <c r="AV41" i="57"/>
  <c r="AW41" i="57"/>
  <c r="AX41" i="57"/>
  <c r="AY41" i="57"/>
  <c r="AZ41" i="57"/>
  <c r="BA41" i="57"/>
  <c r="BB41" i="57"/>
  <c r="BC41" i="57"/>
  <c r="BD41" i="57"/>
  <c r="BE41" i="57"/>
  <c r="BF41" i="57"/>
  <c r="BG41" i="57"/>
  <c r="BH41" i="57"/>
  <c r="BI41" i="57"/>
  <c r="BJ41" i="57"/>
  <c r="BK41" i="57"/>
  <c r="BL41" i="57"/>
  <c r="BM41" i="57"/>
  <c r="BN41" i="57"/>
  <c r="BO41" i="57"/>
  <c r="BP41" i="57"/>
  <c r="BQ41" i="57"/>
  <c r="BR41" i="57"/>
  <c r="BS41" i="57"/>
  <c r="BT41" i="57"/>
  <c r="BU41" i="57"/>
  <c r="BV41" i="57"/>
  <c r="BW41" i="57"/>
  <c r="BX41" i="57"/>
  <c r="BY41" i="57"/>
  <c r="BZ41" i="57"/>
  <c r="CA41" i="57"/>
  <c r="CB41" i="57"/>
  <c r="CC41" i="57"/>
  <c r="CD41" i="57"/>
  <c r="CE41" i="57"/>
  <c r="CF41" i="57"/>
  <c r="CG41" i="57"/>
  <c r="CH41" i="57"/>
  <c r="CI41" i="57"/>
  <c r="CJ41" i="57"/>
  <c r="S42" i="57"/>
  <c r="T42" i="57"/>
  <c r="U42" i="57"/>
  <c r="V42" i="57"/>
  <c r="W42" i="57"/>
  <c r="X42" i="57"/>
  <c r="Y42" i="57"/>
  <c r="Z42" i="57"/>
  <c r="AA42" i="57"/>
  <c r="AB42" i="57"/>
  <c r="AC42" i="57"/>
  <c r="AD42" i="57"/>
  <c r="AE42" i="57"/>
  <c r="AF42" i="57"/>
  <c r="AG42" i="57"/>
  <c r="AH42" i="57"/>
  <c r="AI42" i="57"/>
  <c r="AJ42" i="57"/>
  <c r="AK42" i="57"/>
  <c r="AL42" i="57"/>
  <c r="AM42" i="57"/>
  <c r="AN42" i="57"/>
  <c r="AO42" i="57"/>
  <c r="AP42" i="57"/>
  <c r="AQ42" i="57"/>
  <c r="AR42" i="57"/>
  <c r="AS42" i="57"/>
  <c r="AT42" i="57"/>
  <c r="AU42" i="57"/>
  <c r="AV42" i="57"/>
  <c r="AW42" i="57"/>
  <c r="AX42" i="57"/>
  <c r="AY42" i="57"/>
  <c r="AZ42" i="57"/>
  <c r="BA42" i="57"/>
  <c r="BB42" i="57"/>
  <c r="BC42" i="57"/>
  <c r="BD42" i="57"/>
  <c r="BE42" i="57"/>
  <c r="BF42" i="57"/>
  <c r="BG42" i="57"/>
  <c r="BH42" i="57"/>
  <c r="BI42" i="57"/>
  <c r="BJ42" i="57"/>
  <c r="BK42" i="57"/>
  <c r="BL42" i="57"/>
  <c r="BM42" i="57"/>
  <c r="BN42" i="57"/>
  <c r="BO42" i="57"/>
  <c r="BP42" i="57"/>
  <c r="BQ42" i="57"/>
  <c r="BR42" i="57"/>
  <c r="BS42" i="57"/>
  <c r="BT42" i="57"/>
  <c r="BU42" i="57"/>
  <c r="BV42" i="57"/>
  <c r="BW42" i="57"/>
  <c r="BX42" i="57"/>
  <c r="BY42" i="57"/>
  <c r="BZ42" i="57"/>
  <c r="CA42" i="57"/>
  <c r="CB42" i="57"/>
  <c r="CC42" i="57"/>
  <c r="CD42" i="57"/>
  <c r="CE42" i="57"/>
  <c r="CF42" i="57"/>
  <c r="CG42" i="57"/>
  <c r="CH42" i="57"/>
  <c r="CI42" i="57"/>
  <c r="CJ42" i="57"/>
  <c r="S43" i="57"/>
  <c r="T43" i="57"/>
  <c r="U43" i="57"/>
  <c r="V43" i="57"/>
  <c r="W43" i="57"/>
  <c r="X43" i="57"/>
  <c r="Y43" i="57"/>
  <c r="Z43" i="57"/>
  <c r="AA43" i="57"/>
  <c r="AB43" i="57"/>
  <c r="AC43" i="57"/>
  <c r="AD43" i="57"/>
  <c r="AE43" i="57"/>
  <c r="AF43" i="57"/>
  <c r="AG43" i="57"/>
  <c r="AH43" i="57"/>
  <c r="AI43" i="57"/>
  <c r="AJ43" i="57"/>
  <c r="AK43" i="57"/>
  <c r="AL43" i="57"/>
  <c r="AM43" i="57"/>
  <c r="AN43" i="57"/>
  <c r="AO43" i="57"/>
  <c r="AP43" i="57"/>
  <c r="AQ43" i="57"/>
  <c r="AR43" i="57"/>
  <c r="AS43" i="57"/>
  <c r="AT43" i="57"/>
  <c r="AU43" i="57"/>
  <c r="AV43" i="57"/>
  <c r="AW43" i="57"/>
  <c r="AX43" i="57"/>
  <c r="AY43" i="57"/>
  <c r="AZ43" i="57"/>
  <c r="BA43" i="57"/>
  <c r="BB43" i="57"/>
  <c r="BC43" i="57"/>
  <c r="BD43" i="57"/>
  <c r="BE43" i="57"/>
  <c r="BF43" i="57"/>
  <c r="BG43" i="57"/>
  <c r="BH43" i="57"/>
  <c r="BI43" i="57"/>
  <c r="BJ43" i="57"/>
  <c r="BK43" i="57"/>
  <c r="BL43" i="57"/>
  <c r="BM43" i="57"/>
  <c r="BN43" i="57"/>
  <c r="BO43" i="57"/>
  <c r="BP43" i="57"/>
  <c r="BQ43" i="57"/>
  <c r="BR43" i="57"/>
  <c r="BS43" i="57"/>
  <c r="BT43" i="57"/>
  <c r="BU43" i="57"/>
  <c r="BV43" i="57"/>
  <c r="BW43" i="57"/>
  <c r="BX43" i="57"/>
  <c r="BY43" i="57"/>
  <c r="BZ43" i="57"/>
  <c r="CA43" i="57"/>
  <c r="CB43" i="57"/>
  <c r="CC43" i="57"/>
  <c r="CD43" i="57"/>
  <c r="CE43" i="57"/>
  <c r="CF43" i="57"/>
  <c r="CG43" i="57"/>
  <c r="CH43" i="57"/>
  <c r="CI43" i="57"/>
  <c r="CJ43" i="57"/>
  <c r="S44" i="57"/>
  <c r="T44" i="57"/>
  <c r="U44" i="57"/>
  <c r="V44" i="57"/>
  <c r="W44" i="57"/>
  <c r="X44" i="57"/>
  <c r="Y44" i="57"/>
  <c r="Z44" i="57"/>
  <c r="AA44" i="57"/>
  <c r="AB44" i="57"/>
  <c r="AC44" i="57"/>
  <c r="AD44" i="57"/>
  <c r="AE44" i="57"/>
  <c r="AF44" i="57"/>
  <c r="AG44" i="57"/>
  <c r="AH44" i="57"/>
  <c r="AI44" i="57"/>
  <c r="AJ44" i="57"/>
  <c r="AK44" i="57"/>
  <c r="AL44" i="57"/>
  <c r="AM44" i="57"/>
  <c r="AN44" i="57"/>
  <c r="AO44" i="57"/>
  <c r="AP44" i="57"/>
  <c r="AQ44" i="57"/>
  <c r="AR44" i="57"/>
  <c r="AS44" i="57"/>
  <c r="AT44" i="57"/>
  <c r="AU44" i="57"/>
  <c r="AV44" i="57"/>
  <c r="AW44" i="57"/>
  <c r="AX44" i="57"/>
  <c r="AY44" i="57"/>
  <c r="AZ44" i="57"/>
  <c r="BA44" i="57"/>
  <c r="BB44" i="57"/>
  <c r="BC44" i="57"/>
  <c r="BD44" i="57"/>
  <c r="BE44" i="57"/>
  <c r="BF44" i="57"/>
  <c r="BG44" i="57"/>
  <c r="BH44" i="57"/>
  <c r="BI44" i="57"/>
  <c r="BJ44" i="57"/>
  <c r="BK44" i="57"/>
  <c r="BL44" i="57"/>
  <c r="BM44" i="57"/>
  <c r="BN44" i="57"/>
  <c r="BO44" i="57"/>
  <c r="BP44" i="57"/>
  <c r="BQ44" i="57"/>
  <c r="BR44" i="57"/>
  <c r="BS44" i="57"/>
  <c r="BT44" i="57"/>
  <c r="BU44" i="57"/>
  <c r="BV44" i="57"/>
  <c r="BW44" i="57"/>
  <c r="BX44" i="57"/>
  <c r="BY44" i="57"/>
  <c r="BZ44" i="57"/>
  <c r="CA44" i="57"/>
  <c r="CB44" i="57"/>
  <c r="CC44" i="57"/>
  <c r="CD44" i="57"/>
  <c r="CE44" i="57"/>
  <c r="CF44" i="57"/>
  <c r="CG44" i="57"/>
  <c r="CH44" i="57"/>
  <c r="CI44" i="57"/>
  <c r="CJ44" i="57"/>
  <c r="S45" i="57"/>
  <c r="T45" i="57"/>
  <c r="U45" i="57"/>
  <c r="V45" i="57"/>
  <c r="W45" i="57"/>
  <c r="X45" i="57"/>
  <c r="Y45" i="57"/>
  <c r="Z45" i="57"/>
  <c r="AA45" i="57"/>
  <c r="AB45" i="57"/>
  <c r="AC45" i="57"/>
  <c r="AD45" i="57"/>
  <c r="AE45" i="57"/>
  <c r="AF45" i="57"/>
  <c r="AG45" i="57"/>
  <c r="AH45" i="57"/>
  <c r="AI45" i="57"/>
  <c r="AJ45" i="57"/>
  <c r="AK45" i="57"/>
  <c r="AL45" i="57"/>
  <c r="AM45" i="57"/>
  <c r="AN45" i="57"/>
  <c r="AO45" i="57"/>
  <c r="AP45" i="57"/>
  <c r="AQ45" i="57"/>
  <c r="AR45" i="57"/>
  <c r="AS45" i="57"/>
  <c r="AT45" i="57"/>
  <c r="AU45" i="57"/>
  <c r="AV45" i="57"/>
  <c r="AW45" i="57"/>
  <c r="AX45" i="57"/>
  <c r="AY45" i="57"/>
  <c r="AZ45" i="57"/>
  <c r="BA45" i="57"/>
  <c r="BB45" i="57"/>
  <c r="BC45" i="57"/>
  <c r="BD45" i="57"/>
  <c r="BE45" i="57"/>
  <c r="BF45" i="57"/>
  <c r="BG45" i="57"/>
  <c r="BH45" i="57"/>
  <c r="BI45" i="57"/>
  <c r="BJ45" i="57"/>
  <c r="BK45" i="57"/>
  <c r="BL45" i="57"/>
  <c r="BM45" i="57"/>
  <c r="BN45" i="57"/>
  <c r="BO45" i="57"/>
  <c r="BP45" i="57"/>
  <c r="BQ45" i="57"/>
  <c r="BR45" i="57"/>
  <c r="BS45" i="57"/>
  <c r="BT45" i="57"/>
  <c r="BU45" i="57"/>
  <c r="BV45" i="57"/>
  <c r="BW45" i="57"/>
  <c r="BX45" i="57"/>
  <c r="BY45" i="57"/>
  <c r="BZ45" i="57"/>
  <c r="CA45" i="57"/>
  <c r="CB45" i="57"/>
  <c r="CC45" i="57"/>
  <c r="CD45" i="57"/>
  <c r="CE45" i="57"/>
  <c r="CF45" i="57"/>
  <c r="CG45" i="57"/>
  <c r="CH45" i="57"/>
  <c r="CI45" i="57"/>
  <c r="CJ45" i="57"/>
  <c r="S46" i="57"/>
  <c r="T46" i="57"/>
  <c r="U46" i="57"/>
  <c r="V46" i="57"/>
  <c r="W46" i="57"/>
  <c r="X46" i="57"/>
  <c r="Y46" i="57"/>
  <c r="Z46" i="57"/>
  <c r="AA46" i="57"/>
  <c r="AB46" i="57"/>
  <c r="AC46" i="57"/>
  <c r="AD46" i="57"/>
  <c r="AE46" i="57"/>
  <c r="AF46" i="57"/>
  <c r="AG46" i="57"/>
  <c r="AH46" i="57"/>
  <c r="AI46" i="57"/>
  <c r="AJ46" i="57"/>
  <c r="AK46" i="57"/>
  <c r="AL46" i="57"/>
  <c r="AM46" i="57"/>
  <c r="AN46" i="57"/>
  <c r="AO46" i="57"/>
  <c r="AP46" i="57"/>
  <c r="AQ46" i="57"/>
  <c r="AR46" i="57"/>
  <c r="AS46" i="57"/>
  <c r="AT46" i="57"/>
  <c r="AU46" i="57"/>
  <c r="AV46" i="57"/>
  <c r="AW46" i="57"/>
  <c r="AX46" i="57"/>
  <c r="AY46" i="57"/>
  <c r="AZ46" i="57"/>
  <c r="BA46" i="57"/>
  <c r="BB46" i="57"/>
  <c r="BC46" i="57"/>
  <c r="BD46" i="57"/>
  <c r="BE46" i="57"/>
  <c r="BF46" i="57"/>
  <c r="BG46" i="57"/>
  <c r="BH46" i="57"/>
  <c r="BI46" i="57"/>
  <c r="BJ46" i="57"/>
  <c r="BK46" i="57"/>
  <c r="BL46" i="57"/>
  <c r="BM46" i="57"/>
  <c r="BN46" i="57"/>
  <c r="BO46" i="57"/>
  <c r="BP46" i="57"/>
  <c r="BQ46" i="57"/>
  <c r="BR46" i="57"/>
  <c r="BS46" i="57"/>
  <c r="BT46" i="57"/>
  <c r="BU46" i="57"/>
  <c r="BV46" i="57"/>
  <c r="BW46" i="57"/>
  <c r="BX46" i="57"/>
  <c r="BY46" i="57"/>
  <c r="BZ46" i="57"/>
  <c r="CA46" i="57"/>
  <c r="CB46" i="57"/>
  <c r="CC46" i="57"/>
  <c r="CD46" i="57"/>
  <c r="CE46" i="57"/>
  <c r="CF46" i="57"/>
  <c r="CG46" i="57"/>
  <c r="CH46" i="57"/>
  <c r="CI46" i="57"/>
  <c r="CJ46" i="57"/>
  <c r="S47" i="57"/>
  <c r="T47" i="57"/>
  <c r="U47" i="57"/>
  <c r="V47" i="57"/>
  <c r="W47" i="57"/>
  <c r="X47" i="57"/>
  <c r="Y47" i="57"/>
  <c r="Z47" i="57"/>
  <c r="AA47" i="57"/>
  <c r="AB47" i="57"/>
  <c r="AC47" i="57"/>
  <c r="AD47" i="57"/>
  <c r="AE47" i="57"/>
  <c r="AF47" i="57"/>
  <c r="AG47" i="57"/>
  <c r="AH47" i="57"/>
  <c r="AI47" i="57"/>
  <c r="AJ47" i="57"/>
  <c r="AK47" i="57"/>
  <c r="AL47" i="57"/>
  <c r="AM47" i="57"/>
  <c r="AN47" i="57"/>
  <c r="AO47" i="57"/>
  <c r="AP47" i="57"/>
  <c r="AQ47" i="57"/>
  <c r="AR47" i="57"/>
  <c r="AS47" i="57"/>
  <c r="AT47" i="57"/>
  <c r="AU47" i="57"/>
  <c r="AV47" i="57"/>
  <c r="AW47" i="57"/>
  <c r="AX47" i="57"/>
  <c r="AY47" i="57"/>
  <c r="AZ47" i="57"/>
  <c r="BA47" i="57"/>
  <c r="BB47" i="57"/>
  <c r="BC47" i="57"/>
  <c r="BD47" i="57"/>
  <c r="BE47" i="57"/>
  <c r="BF47" i="57"/>
  <c r="BG47" i="57"/>
  <c r="BH47" i="57"/>
  <c r="BI47" i="57"/>
  <c r="BJ47" i="57"/>
  <c r="BK47" i="57"/>
  <c r="BL47" i="57"/>
  <c r="BM47" i="57"/>
  <c r="BN47" i="57"/>
  <c r="BO47" i="57"/>
  <c r="BP47" i="57"/>
  <c r="BQ47" i="57"/>
  <c r="BR47" i="57"/>
  <c r="BS47" i="57"/>
  <c r="BT47" i="57"/>
  <c r="BU47" i="57"/>
  <c r="BV47" i="57"/>
  <c r="BW47" i="57"/>
  <c r="BX47" i="57"/>
  <c r="BY47" i="57"/>
  <c r="BZ47" i="57"/>
  <c r="CA47" i="57"/>
  <c r="CB47" i="57"/>
  <c r="CC47" i="57"/>
  <c r="CD47" i="57"/>
  <c r="CE47" i="57"/>
  <c r="CF47" i="57"/>
  <c r="CG47" i="57"/>
  <c r="CH47" i="57"/>
  <c r="CI47" i="57"/>
  <c r="CJ47" i="57"/>
  <c r="S48" i="57"/>
  <c r="T48" i="57"/>
  <c r="U48" i="57"/>
  <c r="V48" i="57"/>
  <c r="W48" i="57"/>
  <c r="X48" i="57"/>
  <c r="Y48" i="57"/>
  <c r="Z48" i="57"/>
  <c r="AA48" i="57"/>
  <c r="AB48" i="57"/>
  <c r="AC48" i="57"/>
  <c r="AD48" i="57"/>
  <c r="AE48" i="57"/>
  <c r="AF48" i="57"/>
  <c r="AG48" i="57"/>
  <c r="AH48" i="57"/>
  <c r="AI48" i="57"/>
  <c r="AJ48" i="57"/>
  <c r="AK48" i="57"/>
  <c r="AL48" i="57"/>
  <c r="AM48" i="57"/>
  <c r="AN48" i="57"/>
  <c r="AO48" i="57"/>
  <c r="AP48" i="57"/>
  <c r="AQ48" i="57"/>
  <c r="AR48" i="57"/>
  <c r="AS48" i="57"/>
  <c r="AT48" i="57"/>
  <c r="AU48" i="57"/>
  <c r="AV48" i="57"/>
  <c r="AW48" i="57"/>
  <c r="AX48" i="57"/>
  <c r="AY48" i="57"/>
  <c r="AZ48" i="57"/>
  <c r="BA48" i="57"/>
  <c r="BB48" i="57"/>
  <c r="BC48" i="57"/>
  <c r="BD48" i="57"/>
  <c r="BE48" i="57"/>
  <c r="BF48" i="57"/>
  <c r="BG48" i="57"/>
  <c r="BH48" i="57"/>
  <c r="BI48" i="57"/>
  <c r="BJ48" i="57"/>
  <c r="BK48" i="57"/>
  <c r="BL48" i="57"/>
  <c r="BM48" i="57"/>
  <c r="BN48" i="57"/>
  <c r="BO48" i="57"/>
  <c r="BP48" i="57"/>
  <c r="BQ48" i="57"/>
  <c r="BR48" i="57"/>
  <c r="BS48" i="57"/>
  <c r="BT48" i="57"/>
  <c r="BU48" i="57"/>
  <c r="BV48" i="57"/>
  <c r="BW48" i="57"/>
  <c r="BX48" i="57"/>
  <c r="BY48" i="57"/>
  <c r="BZ48" i="57"/>
  <c r="CA48" i="57"/>
  <c r="CB48" i="57"/>
  <c r="CC48" i="57"/>
  <c r="CD48" i="57"/>
  <c r="CE48" i="57"/>
  <c r="CF48" i="57"/>
  <c r="CG48" i="57"/>
  <c r="CH48" i="57"/>
  <c r="CI48" i="57"/>
  <c r="CJ48" i="57"/>
  <c r="S49" i="57"/>
  <c r="T49" i="57"/>
  <c r="U49" i="57"/>
  <c r="V49" i="57"/>
  <c r="W49" i="57"/>
  <c r="X49" i="57"/>
  <c r="Y49" i="57"/>
  <c r="Z49" i="57"/>
  <c r="AA49" i="57"/>
  <c r="AB49" i="57"/>
  <c r="AC49" i="57"/>
  <c r="AD49" i="57"/>
  <c r="AE49" i="57"/>
  <c r="AF49" i="57"/>
  <c r="AG49" i="57"/>
  <c r="AH49" i="57"/>
  <c r="AI49" i="57"/>
  <c r="AJ49" i="57"/>
  <c r="AK49" i="57"/>
  <c r="AL49" i="57"/>
  <c r="AM49" i="57"/>
  <c r="AN49" i="57"/>
  <c r="AO49" i="57"/>
  <c r="AP49" i="57"/>
  <c r="AQ49" i="57"/>
  <c r="AR49" i="57"/>
  <c r="AS49" i="57"/>
  <c r="AT49" i="57"/>
  <c r="AU49" i="57"/>
  <c r="AV49" i="57"/>
  <c r="AW49" i="57"/>
  <c r="AX49" i="57"/>
  <c r="AY49" i="57"/>
  <c r="AZ49" i="57"/>
  <c r="BA49" i="57"/>
  <c r="BB49" i="57"/>
  <c r="BC49" i="57"/>
  <c r="BD49" i="57"/>
  <c r="BE49" i="57"/>
  <c r="BF49" i="57"/>
  <c r="BG49" i="57"/>
  <c r="BH49" i="57"/>
  <c r="BI49" i="57"/>
  <c r="BJ49" i="57"/>
  <c r="BK49" i="57"/>
  <c r="BL49" i="57"/>
  <c r="BM49" i="57"/>
  <c r="BN49" i="57"/>
  <c r="BO49" i="57"/>
  <c r="BP49" i="57"/>
  <c r="BQ49" i="57"/>
  <c r="BR49" i="57"/>
  <c r="BS49" i="57"/>
  <c r="BT49" i="57"/>
  <c r="BU49" i="57"/>
  <c r="BV49" i="57"/>
  <c r="BW49" i="57"/>
  <c r="BX49" i="57"/>
  <c r="BY49" i="57"/>
  <c r="BZ49" i="57"/>
  <c r="CA49" i="57"/>
  <c r="CB49" i="57"/>
  <c r="CC49" i="57"/>
  <c r="CD49" i="57"/>
  <c r="CE49" i="57"/>
  <c r="CF49" i="57"/>
  <c r="CG49" i="57"/>
  <c r="CH49" i="57"/>
  <c r="CI49" i="57"/>
  <c r="CJ49" i="57"/>
  <c r="S50" i="57"/>
  <c r="T50" i="57"/>
  <c r="U50" i="57"/>
  <c r="V50" i="57"/>
  <c r="W50" i="57"/>
  <c r="X50" i="57"/>
  <c r="Y50" i="57"/>
  <c r="Z50" i="57"/>
  <c r="AA50" i="57"/>
  <c r="AB50" i="57"/>
  <c r="AC50" i="57"/>
  <c r="AD50" i="57"/>
  <c r="AE50" i="57"/>
  <c r="AF50" i="57"/>
  <c r="AG50" i="57"/>
  <c r="AH50" i="57"/>
  <c r="AI50" i="57"/>
  <c r="AJ50" i="57"/>
  <c r="AK50" i="57"/>
  <c r="AL50" i="57"/>
  <c r="AM50" i="57"/>
  <c r="AN50" i="57"/>
  <c r="AO50" i="57"/>
  <c r="AP50" i="57"/>
  <c r="AQ50" i="57"/>
  <c r="AR50" i="57"/>
  <c r="AS50" i="57"/>
  <c r="AT50" i="57"/>
  <c r="AU50" i="57"/>
  <c r="AV50" i="57"/>
  <c r="AW50" i="57"/>
  <c r="AX50" i="57"/>
  <c r="AY50" i="57"/>
  <c r="AZ50" i="57"/>
  <c r="BA50" i="57"/>
  <c r="BB50" i="57"/>
  <c r="BC50" i="57"/>
  <c r="BD50" i="57"/>
  <c r="BE50" i="57"/>
  <c r="BF50" i="57"/>
  <c r="BG50" i="57"/>
  <c r="BH50" i="57"/>
  <c r="BI50" i="57"/>
  <c r="BJ50" i="57"/>
  <c r="BK50" i="57"/>
  <c r="BL50" i="57"/>
  <c r="BM50" i="57"/>
  <c r="BN50" i="57"/>
  <c r="BO50" i="57"/>
  <c r="BP50" i="57"/>
  <c r="BQ50" i="57"/>
  <c r="BR50" i="57"/>
  <c r="BS50" i="57"/>
  <c r="BT50" i="57"/>
  <c r="BU50" i="57"/>
  <c r="BV50" i="57"/>
  <c r="BW50" i="57"/>
  <c r="BX50" i="57"/>
  <c r="BY50" i="57"/>
  <c r="BZ50" i="57"/>
  <c r="CA50" i="57"/>
  <c r="CB50" i="57"/>
  <c r="CC50" i="57"/>
  <c r="CD50" i="57"/>
  <c r="CE50" i="57"/>
  <c r="CF50" i="57"/>
  <c r="CG50" i="57"/>
  <c r="CH50" i="57"/>
  <c r="CI50" i="57"/>
  <c r="CJ50" i="57"/>
  <c r="S51" i="57"/>
  <c r="T51" i="57"/>
  <c r="U51" i="57"/>
  <c r="V51" i="57"/>
  <c r="W51" i="57"/>
  <c r="X51" i="57"/>
  <c r="Y51" i="57"/>
  <c r="Z51" i="57"/>
  <c r="AA51" i="57"/>
  <c r="AB51" i="57"/>
  <c r="AC51" i="57"/>
  <c r="AD51" i="57"/>
  <c r="AE51" i="57"/>
  <c r="AF51" i="57"/>
  <c r="AG51" i="57"/>
  <c r="AH51" i="57"/>
  <c r="AI51" i="57"/>
  <c r="AJ51" i="57"/>
  <c r="AK51" i="57"/>
  <c r="AL51" i="57"/>
  <c r="AM51" i="57"/>
  <c r="AN51" i="57"/>
  <c r="AO51" i="57"/>
  <c r="AP51" i="57"/>
  <c r="AQ51" i="57"/>
  <c r="AR51" i="57"/>
  <c r="AS51" i="57"/>
  <c r="AT51" i="57"/>
  <c r="AU51" i="57"/>
  <c r="AV51" i="57"/>
  <c r="AW51" i="57"/>
  <c r="AX51" i="57"/>
  <c r="AY51" i="57"/>
  <c r="AZ51" i="57"/>
  <c r="BA51" i="57"/>
  <c r="BB51" i="57"/>
  <c r="BC51" i="57"/>
  <c r="BD51" i="57"/>
  <c r="BE51" i="57"/>
  <c r="BF51" i="57"/>
  <c r="BG51" i="57"/>
  <c r="BH51" i="57"/>
  <c r="BI51" i="57"/>
  <c r="BJ51" i="57"/>
  <c r="BK51" i="57"/>
  <c r="BL51" i="57"/>
  <c r="BM51" i="57"/>
  <c r="BN51" i="57"/>
  <c r="BO51" i="57"/>
  <c r="BP51" i="57"/>
  <c r="BQ51" i="57"/>
  <c r="BR51" i="57"/>
  <c r="BS51" i="57"/>
  <c r="BT51" i="57"/>
  <c r="BU51" i="57"/>
  <c r="BV51" i="57"/>
  <c r="BW51" i="57"/>
  <c r="BX51" i="57"/>
  <c r="BY51" i="57"/>
  <c r="BZ51" i="57"/>
  <c r="CA51" i="57"/>
  <c r="CB51" i="57"/>
  <c r="CC51" i="57"/>
  <c r="CD51" i="57"/>
  <c r="CE51" i="57"/>
  <c r="CF51" i="57"/>
  <c r="CG51" i="57"/>
  <c r="CH51" i="57"/>
  <c r="CI51" i="57"/>
  <c r="CJ51" i="57"/>
  <c r="S52" i="57"/>
  <c r="T52" i="57"/>
  <c r="U52" i="57"/>
  <c r="V52" i="57"/>
  <c r="W52" i="57"/>
  <c r="X52" i="57"/>
  <c r="Y52" i="57"/>
  <c r="Z52" i="57"/>
  <c r="AA52" i="57"/>
  <c r="AB52" i="57"/>
  <c r="AC52" i="57"/>
  <c r="AD52" i="57"/>
  <c r="AE52" i="57"/>
  <c r="AF52" i="57"/>
  <c r="AG52" i="57"/>
  <c r="AH52" i="57"/>
  <c r="AI52" i="57"/>
  <c r="AJ52" i="57"/>
  <c r="AK52" i="57"/>
  <c r="AL52" i="57"/>
  <c r="AM52" i="57"/>
  <c r="AN52" i="57"/>
  <c r="AO52" i="57"/>
  <c r="AP52" i="57"/>
  <c r="AQ52" i="57"/>
  <c r="AR52" i="57"/>
  <c r="AS52" i="57"/>
  <c r="AT52" i="57"/>
  <c r="AU52" i="57"/>
  <c r="AV52" i="57"/>
  <c r="AW52" i="57"/>
  <c r="AX52" i="57"/>
  <c r="AY52" i="57"/>
  <c r="AZ52" i="57"/>
  <c r="BA52" i="57"/>
  <c r="BB52" i="57"/>
  <c r="BC52" i="57"/>
  <c r="BD52" i="57"/>
  <c r="BE52" i="57"/>
  <c r="BF52" i="57"/>
  <c r="BG52" i="57"/>
  <c r="BH52" i="57"/>
  <c r="BI52" i="57"/>
  <c r="BJ52" i="57"/>
  <c r="BK52" i="57"/>
  <c r="BL52" i="57"/>
  <c r="BM52" i="57"/>
  <c r="BN52" i="57"/>
  <c r="BO52" i="57"/>
  <c r="BP52" i="57"/>
  <c r="BQ52" i="57"/>
  <c r="BR52" i="57"/>
  <c r="BS52" i="57"/>
  <c r="BT52" i="57"/>
  <c r="BU52" i="57"/>
  <c r="BV52" i="57"/>
  <c r="BW52" i="57"/>
  <c r="BX52" i="57"/>
  <c r="BY52" i="57"/>
  <c r="BZ52" i="57"/>
  <c r="CA52" i="57"/>
  <c r="CB52" i="57"/>
  <c r="CC52" i="57"/>
  <c r="CD52" i="57"/>
  <c r="CE52" i="57"/>
  <c r="CF52" i="57"/>
  <c r="CG52" i="57"/>
  <c r="CH52" i="57"/>
  <c r="CI52" i="57"/>
  <c r="CJ52" i="57"/>
  <c r="S53" i="57"/>
  <c r="T53" i="57"/>
  <c r="U53" i="57"/>
  <c r="V53" i="57"/>
  <c r="W53" i="57"/>
  <c r="X53" i="57"/>
  <c r="Y53" i="57"/>
  <c r="Z53" i="57"/>
  <c r="AA53" i="57"/>
  <c r="AB53" i="57"/>
  <c r="AC53" i="57"/>
  <c r="AD53" i="57"/>
  <c r="AE53" i="57"/>
  <c r="AF53" i="57"/>
  <c r="AG53" i="57"/>
  <c r="AH53" i="57"/>
  <c r="AI53" i="57"/>
  <c r="AJ53" i="57"/>
  <c r="AK53" i="57"/>
  <c r="AL53" i="57"/>
  <c r="AM53" i="57"/>
  <c r="AN53" i="57"/>
  <c r="AO53" i="57"/>
  <c r="AP53" i="57"/>
  <c r="AQ53" i="57"/>
  <c r="AR53" i="57"/>
  <c r="AS53" i="57"/>
  <c r="AT53" i="57"/>
  <c r="AU53" i="57"/>
  <c r="AV53" i="57"/>
  <c r="AW53" i="57"/>
  <c r="AX53" i="57"/>
  <c r="AY53" i="57"/>
  <c r="AZ53" i="57"/>
  <c r="BA53" i="57"/>
  <c r="BB53" i="57"/>
  <c r="BC53" i="57"/>
  <c r="BD53" i="57"/>
  <c r="BE53" i="57"/>
  <c r="BF53" i="57"/>
  <c r="BG53" i="57"/>
  <c r="BH53" i="57"/>
  <c r="BI53" i="57"/>
  <c r="BJ53" i="57"/>
  <c r="BK53" i="57"/>
  <c r="BL53" i="57"/>
  <c r="BM53" i="57"/>
  <c r="BN53" i="57"/>
  <c r="BO53" i="57"/>
  <c r="BP53" i="57"/>
  <c r="BQ53" i="57"/>
  <c r="BR53" i="57"/>
  <c r="BS53" i="57"/>
  <c r="BT53" i="57"/>
  <c r="BU53" i="57"/>
  <c r="BV53" i="57"/>
  <c r="BW53" i="57"/>
  <c r="BX53" i="57"/>
  <c r="BY53" i="57"/>
  <c r="BZ53" i="57"/>
  <c r="CA53" i="57"/>
  <c r="CB53" i="57"/>
  <c r="CC53" i="57"/>
  <c r="CD53" i="57"/>
  <c r="CE53" i="57"/>
  <c r="CF53" i="57"/>
  <c r="CG53" i="57"/>
  <c r="CH53" i="57"/>
  <c r="CI53" i="57"/>
  <c r="CJ53" i="57"/>
  <c r="S54" i="57"/>
  <c r="T54" i="57"/>
  <c r="U54" i="57"/>
  <c r="V54" i="57"/>
  <c r="W54" i="57"/>
  <c r="X54" i="57"/>
  <c r="Y54" i="57"/>
  <c r="Z54" i="57"/>
  <c r="AA54" i="57"/>
  <c r="AB54" i="57"/>
  <c r="AC54" i="57"/>
  <c r="AD54" i="57"/>
  <c r="AE54" i="57"/>
  <c r="AF54" i="57"/>
  <c r="AG54" i="57"/>
  <c r="AH54" i="57"/>
  <c r="AI54" i="57"/>
  <c r="AJ54" i="57"/>
  <c r="AK54" i="57"/>
  <c r="AL54" i="57"/>
  <c r="AM54" i="57"/>
  <c r="AN54" i="57"/>
  <c r="AO54" i="57"/>
  <c r="AP54" i="57"/>
  <c r="AQ54" i="57"/>
  <c r="AR54" i="57"/>
  <c r="AS54" i="57"/>
  <c r="AT54" i="57"/>
  <c r="AU54" i="57"/>
  <c r="AV54" i="57"/>
  <c r="AW54" i="57"/>
  <c r="AX54" i="57"/>
  <c r="AY54" i="57"/>
  <c r="AZ54" i="57"/>
  <c r="BA54" i="57"/>
  <c r="BB54" i="57"/>
  <c r="BC54" i="57"/>
  <c r="BD54" i="57"/>
  <c r="BE54" i="57"/>
  <c r="BF54" i="57"/>
  <c r="BG54" i="57"/>
  <c r="BH54" i="57"/>
  <c r="BI54" i="57"/>
  <c r="BJ54" i="57"/>
  <c r="BK54" i="57"/>
  <c r="BL54" i="57"/>
  <c r="BM54" i="57"/>
  <c r="BN54" i="57"/>
  <c r="BO54" i="57"/>
  <c r="BP54" i="57"/>
  <c r="BQ54" i="57"/>
  <c r="BR54" i="57"/>
  <c r="BS54" i="57"/>
  <c r="BT54" i="57"/>
  <c r="BU54" i="57"/>
  <c r="BV54" i="57"/>
  <c r="BW54" i="57"/>
  <c r="BX54" i="57"/>
  <c r="BY54" i="57"/>
  <c r="BZ54" i="57"/>
  <c r="CA54" i="57"/>
  <c r="CB54" i="57"/>
  <c r="CC54" i="57"/>
  <c r="CD54" i="57"/>
  <c r="CE54" i="57"/>
  <c r="CF54" i="57"/>
  <c r="CG54" i="57"/>
  <c r="CH54" i="57"/>
  <c r="CI54" i="57"/>
  <c r="CJ54" i="57"/>
  <c r="S55" i="57"/>
  <c r="T55" i="57"/>
  <c r="U55" i="57"/>
  <c r="V55" i="57"/>
  <c r="W55" i="57"/>
  <c r="X55" i="57"/>
  <c r="Y55" i="57"/>
  <c r="Z55" i="57"/>
  <c r="AA55" i="57"/>
  <c r="AB55" i="57"/>
  <c r="AC55" i="57"/>
  <c r="AD55" i="57"/>
  <c r="AE55" i="57"/>
  <c r="AF55" i="57"/>
  <c r="AG55" i="57"/>
  <c r="AH55" i="57"/>
  <c r="AI55" i="57"/>
  <c r="AJ55" i="57"/>
  <c r="AK55" i="57"/>
  <c r="AL55" i="57"/>
  <c r="AM55" i="57"/>
  <c r="AN55" i="57"/>
  <c r="AO55" i="57"/>
  <c r="AP55" i="57"/>
  <c r="AQ55" i="57"/>
  <c r="AR55" i="57"/>
  <c r="AS55" i="57"/>
  <c r="AT55" i="57"/>
  <c r="AU55" i="57"/>
  <c r="AV55" i="57"/>
  <c r="AW55" i="57"/>
  <c r="AX55" i="57"/>
  <c r="AY55" i="57"/>
  <c r="AZ55" i="57"/>
  <c r="BA55" i="57"/>
  <c r="BB55" i="57"/>
  <c r="BC55" i="57"/>
  <c r="BD55" i="57"/>
  <c r="BE55" i="57"/>
  <c r="BF55" i="57"/>
  <c r="BG55" i="57"/>
  <c r="BH55" i="57"/>
  <c r="BI55" i="57"/>
  <c r="BJ55" i="57"/>
  <c r="BK55" i="57"/>
  <c r="BL55" i="57"/>
  <c r="BM55" i="57"/>
  <c r="BN55" i="57"/>
  <c r="BO55" i="57"/>
  <c r="BP55" i="57"/>
  <c r="BQ55" i="57"/>
  <c r="BR55" i="57"/>
  <c r="BS55" i="57"/>
  <c r="BT55" i="57"/>
  <c r="BU55" i="57"/>
  <c r="BV55" i="57"/>
  <c r="BW55" i="57"/>
  <c r="BX55" i="57"/>
  <c r="BY55" i="57"/>
  <c r="BZ55" i="57"/>
  <c r="CA55" i="57"/>
  <c r="CB55" i="57"/>
  <c r="CC55" i="57"/>
  <c r="CD55" i="57"/>
  <c r="CE55" i="57"/>
  <c r="CF55" i="57"/>
  <c r="CG55" i="57"/>
  <c r="CH55" i="57"/>
  <c r="CI55" i="57"/>
  <c r="CJ55" i="57"/>
  <c r="S56" i="57"/>
  <c r="T56" i="57"/>
  <c r="U56" i="57"/>
  <c r="V56" i="57"/>
  <c r="W56" i="57"/>
  <c r="X56" i="57"/>
  <c r="Y56" i="57"/>
  <c r="Z56" i="57"/>
  <c r="AA56" i="57"/>
  <c r="AB56" i="57"/>
  <c r="AC56" i="57"/>
  <c r="AD56" i="57"/>
  <c r="AE56" i="57"/>
  <c r="AF56" i="57"/>
  <c r="AG56" i="57"/>
  <c r="AH56" i="57"/>
  <c r="AI56" i="57"/>
  <c r="AJ56" i="57"/>
  <c r="AK56" i="57"/>
  <c r="AL56" i="57"/>
  <c r="AM56" i="57"/>
  <c r="AN56" i="57"/>
  <c r="AO56" i="57"/>
  <c r="AP56" i="57"/>
  <c r="AQ56" i="57"/>
  <c r="AR56" i="57"/>
  <c r="AS56" i="57"/>
  <c r="AT56" i="57"/>
  <c r="AU56" i="57"/>
  <c r="AV56" i="57"/>
  <c r="AW56" i="57"/>
  <c r="AX56" i="57"/>
  <c r="AY56" i="57"/>
  <c r="AZ56" i="57"/>
  <c r="BA56" i="57"/>
  <c r="BB56" i="57"/>
  <c r="BC56" i="57"/>
  <c r="BD56" i="57"/>
  <c r="BE56" i="57"/>
  <c r="BF56" i="57"/>
  <c r="BG56" i="57"/>
  <c r="BH56" i="57"/>
  <c r="BI56" i="57"/>
  <c r="BJ56" i="57"/>
  <c r="BK56" i="57"/>
  <c r="BL56" i="57"/>
  <c r="BM56" i="57"/>
  <c r="BN56" i="57"/>
  <c r="BO56" i="57"/>
  <c r="BP56" i="57"/>
  <c r="BQ56" i="57"/>
  <c r="BR56" i="57"/>
  <c r="BS56" i="57"/>
  <c r="BT56" i="57"/>
  <c r="BU56" i="57"/>
  <c r="BV56" i="57"/>
  <c r="BW56" i="57"/>
  <c r="BX56" i="57"/>
  <c r="BY56" i="57"/>
  <c r="BZ56" i="57"/>
  <c r="CA56" i="57"/>
  <c r="CB56" i="57"/>
  <c r="CC56" i="57"/>
  <c r="CD56" i="57"/>
  <c r="CE56" i="57"/>
  <c r="CF56" i="57"/>
  <c r="CG56" i="57"/>
  <c r="CH56" i="57"/>
  <c r="CI56" i="57"/>
  <c r="CJ56" i="57"/>
  <c r="S57" i="57"/>
  <c r="T57" i="57"/>
  <c r="U57" i="57"/>
  <c r="V57" i="57"/>
  <c r="W57" i="57"/>
  <c r="X57" i="57"/>
  <c r="Y57" i="57"/>
  <c r="Z57" i="57"/>
  <c r="AA57" i="57"/>
  <c r="AB57" i="57"/>
  <c r="AC57" i="57"/>
  <c r="AD57" i="57"/>
  <c r="AE57" i="57"/>
  <c r="AF57" i="57"/>
  <c r="AG57" i="57"/>
  <c r="AH57" i="57"/>
  <c r="AI57" i="57"/>
  <c r="AJ57" i="57"/>
  <c r="AK57" i="57"/>
  <c r="AL57" i="57"/>
  <c r="AM57" i="57"/>
  <c r="AN57" i="57"/>
  <c r="AO57" i="57"/>
  <c r="AP57" i="57"/>
  <c r="AQ57" i="57"/>
  <c r="AR57" i="57"/>
  <c r="AS57" i="57"/>
  <c r="AT57" i="57"/>
  <c r="AU57" i="57"/>
  <c r="AV57" i="57"/>
  <c r="AW57" i="57"/>
  <c r="AX57" i="57"/>
  <c r="AY57" i="57"/>
  <c r="AZ57" i="57"/>
  <c r="BA57" i="57"/>
  <c r="BB57" i="57"/>
  <c r="BC57" i="57"/>
  <c r="BD57" i="57"/>
  <c r="BE57" i="57"/>
  <c r="BF57" i="57"/>
  <c r="BG57" i="57"/>
  <c r="BH57" i="57"/>
  <c r="BI57" i="57"/>
  <c r="BJ57" i="57"/>
  <c r="BK57" i="57"/>
  <c r="BL57" i="57"/>
  <c r="BM57" i="57"/>
  <c r="BN57" i="57"/>
  <c r="BO57" i="57"/>
  <c r="BP57" i="57"/>
  <c r="BQ57" i="57"/>
  <c r="BR57" i="57"/>
  <c r="BS57" i="57"/>
  <c r="BT57" i="57"/>
  <c r="BU57" i="57"/>
  <c r="BV57" i="57"/>
  <c r="BW57" i="57"/>
  <c r="BX57" i="57"/>
  <c r="BY57" i="57"/>
  <c r="BZ57" i="57"/>
  <c r="CA57" i="57"/>
  <c r="CB57" i="57"/>
  <c r="CC57" i="57"/>
  <c r="CD57" i="57"/>
  <c r="CE57" i="57"/>
  <c r="CF57" i="57"/>
  <c r="CG57" i="57"/>
  <c r="CH57" i="57"/>
  <c r="CI57" i="57"/>
  <c r="CJ57" i="57"/>
  <c r="S58" i="57"/>
  <c r="T58" i="57"/>
  <c r="U58" i="57"/>
  <c r="V58" i="57"/>
  <c r="W58" i="57"/>
  <c r="X58" i="57"/>
  <c r="Y58" i="57"/>
  <c r="Z58" i="57"/>
  <c r="AA58" i="57"/>
  <c r="AB58" i="57"/>
  <c r="AC58" i="57"/>
  <c r="AD58" i="57"/>
  <c r="AE58" i="57"/>
  <c r="AF58" i="57"/>
  <c r="AG58" i="57"/>
  <c r="AH58" i="57"/>
  <c r="AI58" i="57"/>
  <c r="AJ58" i="57"/>
  <c r="AK58" i="57"/>
  <c r="AL58" i="57"/>
  <c r="AM58" i="57"/>
  <c r="AN58" i="57"/>
  <c r="AO58" i="57"/>
  <c r="AP58" i="57"/>
  <c r="AQ58" i="57"/>
  <c r="AR58" i="57"/>
  <c r="AS58" i="57"/>
  <c r="AT58" i="57"/>
  <c r="AU58" i="57"/>
  <c r="AV58" i="57"/>
  <c r="AW58" i="57"/>
  <c r="AX58" i="57"/>
  <c r="AY58" i="57"/>
  <c r="AZ58" i="57"/>
  <c r="BA58" i="57"/>
  <c r="BB58" i="57"/>
  <c r="BC58" i="57"/>
  <c r="BD58" i="57"/>
  <c r="BE58" i="57"/>
  <c r="BF58" i="57"/>
  <c r="BG58" i="57"/>
  <c r="BH58" i="57"/>
  <c r="BI58" i="57"/>
  <c r="BJ58" i="57"/>
  <c r="BK58" i="57"/>
  <c r="BL58" i="57"/>
  <c r="BM58" i="57"/>
  <c r="BN58" i="57"/>
  <c r="BO58" i="57"/>
  <c r="BP58" i="57"/>
  <c r="BQ58" i="57"/>
  <c r="BR58" i="57"/>
  <c r="BS58" i="57"/>
  <c r="BT58" i="57"/>
  <c r="BU58" i="57"/>
  <c r="BV58" i="57"/>
  <c r="BW58" i="57"/>
  <c r="BX58" i="57"/>
  <c r="BY58" i="57"/>
  <c r="BZ58" i="57"/>
  <c r="CA58" i="57"/>
  <c r="CB58" i="57"/>
  <c r="CC58" i="57"/>
  <c r="CD58" i="57"/>
  <c r="CE58" i="57"/>
  <c r="CF58" i="57"/>
  <c r="CG58" i="57"/>
  <c r="CH58" i="57"/>
  <c r="CI58" i="57"/>
  <c r="CJ58" i="57"/>
  <c r="S59" i="57"/>
  <c r="T59" i="57"/>
  <c r="U59" i="57"/>
  <c r="V59" i="57"/>
  <c r="W59" i="57"/>
  <c r="X59" i="57"/>
  <c r="Y59" i="57"/>
  <c r="Z59" i="57"/>
  <c r="AA59" i="57"/>
  <c r="AB59" i="57"/>
  <c r="AC59" i="57"/>
  <c r="AD59" i="57"/>
  <c r="AE59" i="57"/>
  <c r="AF59" i="57"/>
  <c r="AG59" i="57"/>
  <c r="AH59" i="57"/>
  <c r="AI59" i="57"/>
  <c r="AJ59" i="57"/>
  <c r="AK59" i="57"/>
  <c r="AL59" i="57"/>
  <c r="AM59" i="57"/>
  <c r="AN59" i="57"/>
  <c r="AO59" i="57"/>
  <c r="AP59" i="57"/>
  <c r="AQ59" i="57"/>
  <c r="AR59" i="57"/>
  <c r="AS59" i="57"/>
  <c r="AT59" i="57"/>
  <c r="AU59" i="57"/>
  <c r="AV59" i="57"/>
  <c r="AW59" i="57"/>
  <c r="AX59" i="57"/>
  <c r="AY59" i="57"/>
  <c r="AZ59" i="57"/>
  <c r="BA59" i="57"/>
  <c r="BB59" i="57"/>
  <c r="BC59" i="57"/>
  <c r="BD59" i="57"/>
  <c r="BE59" i="57"/>
  <c r="BF59" i="57"/>
  <c r="BG59" i="57"/>
  <c r="BH59" i="57"/>
  <c r="BI59" i="57"/>
  <c r="BJ59" i="57"/>
  <c r="BK59" i="57"/>
  <c r="BL59" i="57"/>
  <c r="BM59" i="57"/>
  <c r="BN59" i="57"/>
  <c r="BO59" i="57"/>
  <c r="BP59" i="57"/>
  <c r="BQ59" i="57"/>
  <c r="BR59" i="57"/>
  <c r="BS59" i="57"/>
  <c r="BT59" i="57"/>
  <c r="BU59" i="57"/>
  <c r="BV59" i="57"/>
  <c r="BW59" i="57"/>
  <c r="BX59" i="57"/>
  <c r="BY59" i="57"/>
  <c r="BZ59" i="57"/>
  <c r="CA59" i="57"/>
  <c r="CB59" i="57"/>
  <c r="CC59" i="57"/>
  <c r="CD59" i="57"/>
  <c r="CE59" i="57"/>
  <c r="CF59" i="57"/>
  <c r="CG59" i="57"/>
  <c r="CH59" i="57"/>
  <c r="CI59" i="57"/>
  <c r="CJ59" i="57"/>
  <c r="S60" i="57"/>
  <c r="T60" i="57"/>
  <c r="U60" i="57"/>
  <c r="V60" i="57"/>
  <c r="W60" i="57"/>
  <c r="X60" i="57"/>
  <c r="Y60" i="57"/>
  <c r="Z60" i="57"/>
  <c r="AA60" i="57"/>
  <c r="AB60" i="57"/>
  <c r="AC60" i="57"/>
  <c r="AD60" i="57"/>
  <c r="AE60" i="57"/>
  <c r="AF60" i="57"/>
  <c r="AG60" i="57"/>
  <c r="AH60" i="57"/>
  <c r="AI60" i="57"/>
  <c r="AJ60" i="57"/>
  <c r="AK60" i="57"/>
  <c r="AL60" i="57"/>
  <c r="AM60" i="57"/>
  <c r="AN60" i="57"/>
  <c r="AO60" i="57"/>
  <c r="AP60" i="57"/>
  <c r="AQ60" i="57"/>
  <c r="AR60" i="57"/>
  <c r="AS60" i="57"/>
  <c r="AT60" i="57"/>
  <c r="AU60" i="57"/>
  <c r="AV60" i="57"/>
  <c r="AW60" i="57"/>
  <c r="AX60" i="57"/>
  <c r="AY60" i="57"/>
  <c r="AZ60" i="57"/>
  <c r="BA60" i="57"/>
  <c r="BB60" i="57"/>
  <c r="BC60" i="57"/>
  <c r="BD60" i="57"/>
  <c r="BE60" i="57"/>
  <c r="BF60" i="57"/>
  <c r="BG60" i="57"/>
  <c r="BH60" i="57"/>
  <c r="BI60" i="57"/>
  <c r="BJ60" i="57"/>
  <c r="BK60" i="57"/>
  <c r="BL60" i="57"/>
  <c r="BM60" i="57"/>
  <c r="BN60" i="57"/>
  <c r="BO60" i="57"/>
  <c r="BP60" i="57"/>
  <c r="BQ60" i="57"/>
  <c r="BR60" i="57"/>
  <c r="BS60" i="57"/>
  <c r="BT60" i="57"/>
  <c r="BU60" i="57"/>
  <c r="BV60" i="57"/>
  <c r="BW60" i="57"/>
  <c r="BX60" i="57"/>
  <c r="BY60" i="57"/>
  <c r="BZ60" i="57"/>
  <c r="CA60" i="57"/>
  <c r="CB60" i="57"/>
  <c r="CC60" i="57"/>
  <c r="CD60" i="57"/>
  <c r="CE60" i="57"/>
  <c r="CF60" i="57"/>
  <c r="CG60" i="57"/>
  <c r="CH60" i="57"/>
  <c r="CI60" i="57"/>
  <c r="CJ60" i="57"/>
  <c r="S61" i="57"/>
  <c r="T61" i="57"/>
  <c r="U61" i="57"/>
  <c r="V61" i="57"/>
  <c r="W61" i="57"/>
  <c r="X61" i="57"/>
  <c r="Y61" i="57"/>
  <c r="Z61" i="57"/>
  <c r="AA61" i="57"/>
  <c r="AB61" i="57"/>
  <c r="AC61" i="57"/>
  <c r="AD61" i="57"/>
  <c r="AE61" i="57"/>
  <c r="AF61" i="57"/>
  <c r="AG61" i="57"/>
  <c r="AH61" i="57"/>
  <c r="AI61" i="57"/>
  <c r="AJ61" i="57"/>
  <c r="AK61" i="57"/>
  <c r="AL61" i="57"/>
  <c r="AM61" i="57"/>
  <c r="AN61" i="57"/>
  <c r="AO61" i="57"/>
  <c r="AP61" i="57"/>
  <c r="AQ61" i="57"/>
  <c r="AR61" i="57"/>
  <c r="AS61" i="57"/>
  <c r="AT61" i="57"/>
  <c r="AU61" i="57"/>
  <c r="AV61" i="57"/>
  <c r="AW61" i="57"/>
  <c r="AX61" i="57"/>
  <c r="AY61" i="57"/>
  <c r="AZ61" i="57"/>
  <c r="BA61" i="57"/>
  <c r="BB61" i="57"/>
  <c r="BC61" i="57"/>
  <c r="BD61" i="57"/>
  <c r="BE61" i="57"/>
  <c r="BF61" i="57"/>
  <c r="BG61" i="57"/>
  <c r="BH61" i="57"/>
  <c r="BI61" i="57"/>
  <c r="BJ61" i="57"/>
  <c r="BK61" i="57"/>
  <c r="BL61" i="57"/>
  <c r="BM61" i="57"/>
  <c r="BN61" i="57"/>
  <c r="BO61" i="57"/>
  <c r="BP61" i="57"/>
  <c r="BQ61" i="57"/>
  <c r="BR61" i="57"/>
  <c r="BS61" i="57"/>
  <c r="BT61" i="57"/>
  <c r="BU61" i="57"/>
  <c r="BV61" i="57"/>
  <c r="BW61" i="57"/>
  <c r="BX61" i="57"/>
  <c r="BY61" i="57"/>
  <c r="BZ61" i="57"/>
  <c r="CA61" i="57"/>
  <c r="CB61" i="57"/>
  <c r="CC61" i="57"/>
  <c r="CD61" i="57"/>
  <c r="CE61" i="57"/>
  <c r="CF61" i="57"/>
  <c r="CG61" i="57"/>
  <c r="CH61" i="57"/>
  <c r="CI61" i="57"/>
  <c r="CJ61" i="57"/>
  <c r="S62" i="57"/>
  <c r="T62" i="57"/>
  <c r="U62" i="57"/>
  <c r="V62" i="57"/>
  <c r="W62" i="57"/>
  <c r="X62" i="57"/>
  <c r="Y62" i="57"/>
  <c r="Z62" i="57"/>
  <c r="AA62" i="57"/>
  <c r="AB62" i="57"/>
  <c r="AC62" i="57"/>
  <c r="AD62" i="57"/>
  <c r="AE62" i="57"/>
  <c r="AF62" i="57"/>
  <c r="AG62" i="57"/>
  <c r="AH62" i="57"/>
  <c r="AI62" i="57"/>
  <c r="AJ62" i="57"/>
  <c r="AK62" i="57"/>
  <c r="AL62" i="57"/>
  <c r="AM62" i="57"/>
  <c r="AN62" i="57"/>
  <c r="AO62" i="57"/>
  <c r="AP62" i="57"/>
  <c r="AQ62" i="57"/>
  <c r="AR62" i="57"/>
  <c r="AS62" i="57"/>
  <c r="AT62" i="57"/>
  <c r="AU62" i="57"/>
  <c r="AV62" i="57"/>
  <c r="AW62" i="57"/>
  <c r="AX62" i="57"/>
  <c r="AY62" i="57"/>
  <c r="AZ62" i="57"/>
  <c r="BA62" i="57"/>
  <c r="BB62" i="57"/>
  <c r="BC62" i="57"/>
  <c r="BD62" i="57"/>
  <c r="BE62" i="57"/>
  <c r="BF62" i="57"/>
  <c r="BG62" i="57"/>
  <c r="BH62" i="57"/>
  <c r="BI62" i="57"/>
  <c r="BJ62" i="57"/>
  <c r="BK62" i="57"/>
  <c r="BL62" i="57"/>
  <c r="BM62" i="57"/>
  <c r="BN62" i="57"/>
  <c r="BO62" i="57"/>
  <c r="BP62" i="57"/>
  <c r="BQ62" i="57"/>
  <c r="BR62" i="57"/>
  <c r="BS62" i="57"/>
  <c r="BT62" i="57"/>
  <c r="BU62" i="57"/>
  <c r="BV62" i="57"/>
  <c r="BW62" i="57"/>
  <c r="BX62" i="57"/>
  <c r="BY62" i="57"/>
  <c r="BZ62" i="57"/>
  <c r="CA62" i="57"/>
  <c r="CB62" i="57"/>
  <c r="CC62" i="57"/>
  <c r="CD62" i="57"/>
  <c r="CE62" i="57"/>
  <c r="CF62" i="57"/>
  <c r="CG62" i="57"/>
  <c r="CH62" i="57"/>
  <c r="CI62" i="57"/>
  <c r="CJ62" i="57"/>
  <c r="S63" i="57"/>
  <c r="T63" i="57"/>
  <c r="U63" i="57"/>
  <c r="V63" i="57"/>
  <c r="W63" i="57"/>
  <c r="X63" i="57"/>
  <c r="Y63" i="57"/>
  <c r="Z63" i="57"/>
  <c r="AA63" i="57"/>
  <c r="AB63" i="57"/>
  <c r="AC63" i="57"/>
  <c r="AD63" i="57"/>
  <c r="AE63" i="57"/>
  <c r="AF63" i="57"/>
  <c r="AG63" i="57"/>
  <c r="AH63" i="57"/>
  <c r="AI63" i="57"/>
  <c r="AJ63" i="57"/>
  <c r="AK63" i="57"/>
  <c r="AL63" i="57"/>
  <c r="AM63" i="57"/>
  <c r="AN63" i="57"/>
  <c r="AO63" i="57"/>
  <c r="AP63" i="57"/>
  <c r="AQ63" i="57"/>
  <c r="AR63" i="57"/>
  <c r="AS63" i="57"/>
  <c r="AT63" i="57"/>
  <c r="AU63" i="57"/>
  <c r="AV63" i="57"/>
  <c r="AW63" i="57"/>
  <c r="AX63" i="57"/>
  <c r="AY63" i="57"/>
  <c r="AZ63" i="57"/>
  <c r="BA63" i="57"/>
  <c r="BB63" i="57"/>
  <c r="BC63" i="57"/>
  <c r="BD63" i="57"/>
  <c r="BE63" i="57"/>
  <c r="BF63" i="57"/>
  <c r="BG63" i="57"/>
  <c r="BH63" i="57"/>
  <c r="BI63" i="57"/>
  <c r="BJ63" i="57"/>
  <c r="BK63" i="57"/>
  <c r="BL63" i="57"/>
  <c r="BM63" i="57"/>
  <c r="BN63" i="57"/>
  <c r="BO63" i="57"/>
  <c r="BP63" i="57"/>
  <c r="BQ63" i="57"/>
  <c r="BR63" i="57"/>
  <c r="BS63" i="57"/>
  <c r="BT63" i="57"/>
  <c r="BU63" i="57"/>
  <c r="BV63" i="57"/>
  <c r="BW63" i="57"/>
  <c r="BX63" i="57"/>
  <c r="BY63" i="57"/>
  <c r="BZ63" i="57"/>
  <c r="CA63" i="57"/>
  <c r="CB63" i="57"/>
  <c r="CC63" i="57"/>
  <c r="CD63" i="57"/>
  <c r="CE63" i="57"/>
  <c r="CF63" i="57"/>
  <c r="CG63" i="57"/>
  <c r="CH63" i="57"/>
  <c r="CI63" i="57"/>
  <c r="CJ63" i="57"/>
  <c r="S64" i="57"/>
  <c r="T64" i="57"/>
  <c r="U64" i="57"/>
  <c r="V64" i="57"/>
  <c r="W64" i="57"/>
  <c r="X64" i="57"/>
  <c r="Y64" i="57"/>
  <c r="Z64" i="57"/>
  <c r="AA64" i="57"/>
  <c r="AB64" i="57"/>
  <c r="AC64" i="57"/>
  <c r="AD64" i="57"/>
  <c r="AE64" i="57"/>
  <c r="AF64" i="57"/>
  <c r="AG64" i="57"/>
  <c r="AH64" i="57"/>
  <c r="AI64" i="57"/>
  <c r="AJ64" i="57"/>
  <c r="AK64" i="57"/>
  <c r="AL64" i="57"/>
  <c r="AM64" i="57"/>
  <c r="AN64" i="57"/>
  <c r="AO64" i="57"/>
  <c r="AP64" i="57"/>
  <c r="AQ64" i="57"/>
  <c r="AR64" i="57"/>
  <c r="AS64" i="57"/>
  <c r="AT64" i="57"/>
  <c r="AU64" i="57"/>
  <c r="AV64" i="57"/>
  <c r="AW64" i="57"/>
  <c r="AX64" i="57"/>
  <c r="AY64" i="57"/>
  <c r="AZ64" i="57"/>
  <c r="BA64" i="57"/>
  <c r="BB64" i="57"/>
  <c r="BC64" i="57"/>
  <c r="BD64" i="57"/>
  <c r="BE64" i="57"/>
  <c r="BF64" i="57"/>
  <c r="BG64" i="57"/>
  <c r="BH64" i="57"/>
  <c r="BI64" i="57"/>
  <c r="BJ64" i="57"/>
  <c r="BK64" i="57"/>
  <c r="BL64" i="57"/>
  <c r="BM64" i="57"/>
  <c r="BN64" i="57"/>
  <c r="BO64" i="57"/>
  <c r="BP64" i="57"/>
  <c r="BQ64" i="57"/>
  <c r="BR64" i="57"/>
  <c r="BS64" i="57"/>
  <c r="BT64" i="57"/>
  <c r="BU64" i="57"/>
  <c r="BV64" i="57"/>
  <c r="BW64" i="57"/>
  <c r="BX64" i="57"/>
  <c r="BY64" i="57"/>
  <c r="BZ64" i="57"/>
  <c r="CA64" i="57"/>
  <c r="CB64" i="57"/>
  <c r="CC64" i="57"/>
  <c r="CD64" i="57"/>
  <c r="CE64" i="57"/>
  <c r="CF64" i="57"/>
  <c r="CG64" i="57"/>
  <c r="CH64" i="57"/>
  <c r="CI64" i="57"/>
  <c r="CJ64" i="57"/>
  <c r="S65" i="57"/>
  <c r="T65" i="57"/>
  <c r="U65" i="57"/>
  <c r="V65" i="57"/>
  <c r="W65" i="57"/>
  <c r="X65" i="57"/>
  <c r="Y65" i="57"/>
  <c r="Z65" i="57"/>
  <c r="AA65" i="57"/>
  <c r="AB65" i="57"/>
  <c r="AC65" i="57"/>
  <c r="AD65" i="57"/>
  <c r="AE65" i="57"/>
  <c r="AF65" i="57"/>
  <c r="AG65" i="57"/>
  <c r="AH65" i="57"/>
  <c r="AI65" i="57"/>
  <c r="AJ65" i="57"/>
  <c r="AK65" i="57"/>
  <c r="AL65" i="57"/>
  <c r="AM65" i="57"/>
  <c r="AN65" i="57"/>
  <c r="AO65" i="57"/>
  <c r="AP65" i="57"/>
  <c r="AQ65" i="57"/>
  <c r="AR65" i="57"/>
  <c r="AS65" i="57"/>
  <c r="AT65" i="57"/>
  <c r="AU65" i="57"/>
  <c r="AV65" i="57"/>
  <c r="AW65" i="57"/>
  <c r="AX65" i="57"/>
  <c r="AY65" i="57"/>
  <c r="AZ65" i="57"/>
  <c r="BA65" i="57"/>
  <c r="BB65" i="57"/>
  <c r="BC65" i="57"/>
  <c r="BD65" i="57"/>
  <c r="BE65" i="57"/>
  <c r="BF65" i="57"/>
  <c r="BG65" i="57"/>
  <c r="BH65" i="57"/>
  <c r="BI65" i="57"/>
  <c r="BJ65" i="57"/>
  <c r="BK65" i="57"/>
  <c r="BL65" i="57"/>
  <c r="BM65" i="57"/>
  <c r="BN65" i="57"/>
  <c r="BO65" i="57"/>
  <c r="BP65" i="57"/>
  <c r="BQ65" i="57"/>
  <c r="BR65" i="57"/>
  <c r="BS65" i="57"/>
  <c r="BT65" i="57"/>
  <c r="BU65" i="57"/>
  <c r="BV65" i="57"/>
  <c r="BW65" i="57"/>
  <c r="BX65" i="57"/>
  <c r="BY65" i="57"/>
  <c r="BZ65" i="57"/>
  <c r="CA65" i="57"/>
  <c r="CB65" i="57"/>
  <c r="CC65" i="57"/>
  <c r="CD65" i="57"/>
  <c r="CE65" i="57"/>
  <c r="CF65" i="57"/>
  <c r="CG65" i="57"/>
  <c r="CH65" i="57"/>
  <c r="CI65" i="57"/>
  <c r="CJ65" i="57"/>
  <c r="S66" i="57"/>
  <c r="T66" i="57"/>
  <c r="U66" i="57"/>
  <c r="V66" i="57"/>
  <c r="W66" i="57"/>
  <c r="X66" i="57"/>
  <c r="Y66" i="57"/>
  <c r="Z66" i="57"/>
  <c r="AA66" i="57"/>
  <c r="AB66" i="57"/>
  <c r="AC66" i="57"/>
  <c r="AD66" i="57"/>
  <c r="AE66" i="57"/>
  <c r="AF66" i="57"/>
  <c r="AG66" i="57"/>
  <c r="AH66" i="57"/>
  <c r="AI66" i="57"/>
  <c r="AJ66" i="57"/>
  <c r="AK66" i="57"/>
  <c r="AL66" i="57"/>
  <c r="AM66" i="57"/>
  <c r="AN66" i="57"/>
  <c r="AO66" i="57"/>
  <c r="AP66" i="57"/>
  <c r="AQ66" i="57"/>
  <c r="AR66" i="57"/>
  <c r="AS66" i="57"/>
  <c r="AT66" i="57"/>
  <c r="AU66" i="57"/>
  <c r="AV66" i="57"/>
  <c r="AW66" i="57"/>
  <c r="AX66" i="57"/>
  <c r="AY66" i="57"/>
  <c r="AZ66" i="57"/>
  <c r="BA66" i="57"/>
  <c r="BB66" i="57"/>
  <c r="BC66" i="57"/>
  <c r="BD66" i="57"/>
  <c r="BE66" i="57"/>
  <c r="BF66" i="57"/>
  <c r="BG66" i="57"/>
  <c r="BH66" i="57"/>
  <c r="BI66" i="57"/>
  <c r="BJ66" i="57"/>
  <c r="BK66" i="57"/>
  <c r="BL66" i="57"/>
  <c r="BM66" i="57"/>
  <c r="BN66" i="57"/>
  <c r="BO66" i="57"/>
  <c r="BP66" i="57"/>
  <c r="BQ66" i="57"/>
  <c r="BR66" i="57"/>
  <c r="BS66" i="57"/>
  <c r="BT66" i="57"/>
  <c r="BU66" i="57"/>
  <c r="BV66" i="57"/>
  <c r="BW66" i="57"/>
  <c r="BX66" i="57"/>
  <c r="BY66" i="57"/>
  <c r="BZ66" i="57"/>
  <c r="CA66" i="57"/>
  <c r="CB66" i="57"/>
  <c r="CC66" i="57"/>
  <c r="CD66" i="57"/>
  <c r="CE66" i="57"/>
  <c r="CF66" i="57"/>
  <c r="CG66" i="57"/>
  <c r="CH66" i="57"/>
  <c r="CI66" i="57"/>
  <c r="CJ66" i="57"/>
  <c r="S67" i="57"/>
  <c r="T67" i="57"/>
  <c r="U67" i="57"/>
  <c r="V67" i="57"/>
  <c r="W67" i="57"/>
  <c r="X67" i="57"/>
  <c r="Y67" i="57"/>
  <c r="Z67" i="57"/>
  <c r="AA67" i="57"/>
  <c r="AB67" i="57"/>
  <c r="AC67" i="57"/>
  <c r="AD67" i="57"/>
  <c r="AE67" i="57"/>
  <c r="AF67" i="57"/>
  <c r="AG67" i="57"/>
  <c r="AH67" i="57"/>
  <c r="AI67" i="57"/>
  <c r="AJ67" i="57"/>
  <c r="AK67" i="57"/>
  <c r="AL67" i="57"/>
  <c r="AM67" i="57"/>
  <c r="AN67" i="57"/>
  <c r="AO67" i="57"/>
  <c r="AP67" i="57"/>
  <c r="AQ67" i="57"/>
  <c r="AR67" i="57"/>
  <c r="AS67" i="57"/>
  <c r="AT67" i="57"/>
  <c r="AU67" i="57"/>
  <c r="AV67" i="57"/>
  <c r="AW67" i="57"/>
  <c r="AX67" i="57"/>
  <c r="AY67" i="57"/>
  <c r="AZ67" i="57"/>
  <c r="BA67" i="57"/>
  <c r="BB67" i="57"/>
  <c r="BC67" i="57"/>
  <c r="BD67" i="57"/>
  <c r="BE67" i="57"/>
  <c r="BF67" i="57"/>
  <c r="BG67" i="57"/>
  <c r="BH67" i="57"/>
  <c r="BI67" i="57"/>
  <c r="BJ67" i="57"/>
  <c r="BK67" i="57"/>
  <c r="BL67" i="57"/>
  <c r="BM67" i="57"/>
  <c r="BN67" i="57"/>
  <c r="BO67" i="57"/>
  <c r="BP67" i="57"/>
  <c r="BQ67" i="57"/>
  <c r="BR67" i="57"/>
  <c r="BS67" i="57"/>
  <c r="BT67" i="57"/>
  <c r="BU67" i="57"/>
  <c r="BV67" i="57"/>
  <c r="BW67" i="57"/>
  <c r="BX67" i="57"/>
  <c r="BY67" i="57"/>
  <c r="BZ67" i="57"/>
  <c r="CA67" i="57"/>
  <c r="CB67" i="57"/>
  <c r="CC67" i="57"/>
  <c r="CD67" i="57"/>
  <c r="CE67" i="57"/>
  <c r="CF67" i="57"/>
  <c r="CG67" i="57"/>
  <c r="CH67" i="57"/>
  <c r="CI67" i="57"/>
  <c r="CJ67" i="57"/>
  <c r="S68" i="57"/>
  <c r="T68" i="57"/>
  <c r="U68" i="57"/>
  <c r="V68" i="57"/>
  <c r="W68" i="57"/>
  <c r="X68" i="57"/>
  <c r="Y68" i="57"/>
  <c r="Z68" i="57"/>
  <c r="AA68" i="57"/>
  <c r="AB68" i="57"/>
  <c r="AC68" i="57"/>
  <c r="AD68" i="57"/>
  <c r="AE68" i="57"/>
  <c r="AF68" i="57"/>
  <c r="AG68" i="57"/>
  <c r="AH68" i="57"/>
  <c r="AI68" i="57"/>
  <c r="AJ68" i="57"/>
  <c r="AK68" i="57"/>
  <c r="AL68" i="57"/>
  <c r="AM68" i="57"/>
  <c r="AN68" i="57"/>
  <c r="AO68" i="57"/>
  <c r="AP68" i="57"/>
  <c r="AQ68" i="57"/>
  <c r="AR68" i="57"/>
  <c r="AS68" i="57"/>
  <c r="AT68" i="57"/>
  <c r="AU68" i="57"/>
  <c r="AV68" i="57"/>
  <c r="AW68" i="57"/>
  <c r="AX68" i="57"/>
  <c r="AY68" i="57"/>
  <c r="AZ68" i="57"/>
  <c r="BA68" i="57"/>
  <c r="BB68" i="57"/>
  <c r="BC68" i="57"/>
  <c r="BD68" i="57"/>
  <c r="BE68" i="57"/>
  <c r="BF68" i="57"/>
  <c r="BG68" i="57"/>
  <c r="BH68" i="57"/>
  <c r="BI68" i="57"/>
  <c r="BJ68" i="57"/>
  <c r="BK68" i="57"/>
  <c r="BL68" i="57"/>
  <c r="BM68" i="57"/>
  <c r="BN68" i="57"/>
  <c r="BO68" i="57"/>
  <c r="BP68" i="57"/>
  <c r="BQ68" i="57"/>
  <c r="BR68" i="57"/>
  <c r="BS68" i="57"/>
  <c r="BT68" i="57"/>
  <c r="BU68" i="57"/>
  <c r="BV68" i="57"/>
  <c r="BW68" i="57"/>
  <c r="BX68" i="57"/>
  <c r="BY68" i="57"/>
  <c r="BZ68" i="57"/>
  <c r="CA68" i="57"/>
  <c r="CB68" i="57"/>
  <c r="CC68" i="57"/>
  <c r="CD68" i="57"/>
  <c r="CE68" i="57"/>
  <c r="CF68" i="57"/>
  <c r="CG68" i="57"/>
  <c r="CH68" i="57"/>
  <c r="CI68" i="57"/>
  <c r="CJ68" i="57"/>
  <c r="S69" i="57"/>
  <c r="T69" i="57"/>
  <c r="U69" i="57"/>
  <c r="V69" i="57"/>
  <c r="W69" i="57"/>
  <c r="X69" i="57"/>
  <c r="Y69" i="57"/>
  <c r="Z69" i="57"/>
  <c r="AA69" i="57"/>
  <c r="AB69" i="57"/>
  <c r="AC69" i="57"/>
  <c r="AD69" i="57"/>
  <c r="AE69" i="57"/>
  <c r="AF69" i="57"/>
  <c r="AG69" i="57"/>
  <c r="AH69" i="57"/>
  <c r="AI69" i="57"/>
  <c r="AJ69" i="57"/>
  <c r="AK69" i="57"/>
  <c r="AL69" i="57"/>
  <c r="AM69" i="57"/>
  <c r="AN69" i="57"/>
  <c r="AO69" i="57"/>
  <c r="AP69" i="57"/>
  <c r="AQ69" i="57"/>
  <c r="AR69" i="57"/>
  <c r="AS69" i="57"/>
  <c r="AT69" i="57"/>
  <c r="AU69" i="57"/>
  <c r="AV69" i="57"/>
  <c r="AW69" i="57"/>
  <c r="AX69" i="57"/>
  <c r="AY69" i="57"/>
  <c r="AZ69" i="57"/>
  <c r="BA69" i="57"/>
  <c r="BB69" i="57"/>
  <c r="BC69" i="57"/>
  <c r="BD69" i="57"/>
  <c r="BE69" i="57"/>
  <c r="BF69" i="57"/>
  <c r="BG69" i="57"/>
  <c r="BH69" i="57"/>
  <c r="BI69" i="57"/>
  <c r="BJ69" i="57"/>
  <c r="BK69" i="57"/>
  <c r="BL69" i="57"/>
  <c r="BM69" i="57"/>
  <c r="BN69" i="57"/>
  <c r="BO69" i="57"/>
  <c r="BP69" i="57"/>
  <c r="BQ69" i="57"/>
  <c r="BR69" i="57"/>
  <c r="BS69" i="57"/>
  <c r="BT69" i="57"/>
  <c r="BU69" i="57"/>
  <c r="BV69" i="57"/>
  <c r="BW69" i="57"/>
  <c r="BX69" i="57"/>
  <c r="BY69" i="57"/>
  <c r="BZ69" i="57"/>
  <c r="CA69" i="57"/>
  <c r="CB69" i="57"/>
  <c r="CC69" i="57"/>
  <c r="CD69" i="57"/>
  <c r="CE69" i="57"/>
  <c r="CF69" i="57"/>
  <c r="CG69" i="57"/>
  <c r="CH69" i="57"/>
  <c r="CI69" i="57"/>
  <c r="CJ69" i="57"/>
  <c r="S70" i="57"/>
  <c r="T70" i="57"/>
  <c r="U70" i="57"/>
  <c r="V70" i="57"/>
  <c r="W70" i="57"/>
  <c r="X70" i="57"/>
  <c r="Y70" i="57"/>
  <c r="Z70" i="57"/>
  <c r="AA70" i="57"/>
  <c r="AB70" i="57"/>
  <c r="AC70" i="57"/>
  <c r="AD70" i="57"/>
  <c r="AE70" i="57"/>
  <c r="AF70" i="57"/>
  <c r="AG70" i="57"/>
  <c r="AH70" i="57"/>
  <c r="AI70" i="57"/>
  <c r="AJ70" i="57"/>
  <c r="AK70" i="57"/>
  <c r="AL70" i="57"/>
  <c r="AM70" i="57"/>
  <c r="AN70" i="57"/>
  <c r="AO70" i="57"/>
  <c r="AP70" i="57"/>
  <c r="AQ70" i="57"/>
  <c r="AR70" i="57"/>
  <c r="AS70" i="57"/>
  <c r="AT70" i="57"/>
  <c r="AU70" i="57"/>
  <c r="AV70" i="57"/>
  <c r="AW70" i="57"/>
  <c r="AX70" i="57"/>
  <c r="AY70" i="57"/>
  <c r="AZ70" i="57"/>
  <c r="BA70" i="57"/>
  <c r="BB70" i="57"/>
  <c r="BC70" i="57"/>
  <c r="BD70" i="57"/>
  <c r="BE70" i="57"/>
  <c r="BF70" i="57"/>
  <c r="BG70" i="57"/>
  <c r="BH70" i="57"/>
  <c r="BI70" i="57"/>
  <c r="BJ70" i="57"/>
  <c r="BK70" i="57"/>
  <c r="BL70" i="57"/>
  <c r="BM70" i="57"/>
  <c r="BN70" i="57"/>
  <c r="BO70" i="57"/>
  <c r="BP70" i="57"/>
  <c r="BQ70" i="57"/>
  <c r="BR70" i="57"/>
  <c r="BS70" i="57"/>
  <c r="BT70" i="57"/>
  <c r="BU70" i="57"/>
  <c r="BV70" i="57"/>
  <c r="BW70" i="57"/>
  <c r="BX70" i="57"/>
  <c r="BY70" i="57"/>
  <c r="BZ70" i="57"/>
  <c r="CA70" i="57"/>
  <c r="CB70" i="57"/>
  <c r="CC70" i="57"/>
  <c r="CD70" i="57"/>
  <c r="CE70" i="57"/>
  <c r="CF70" i="57"/>
  <c r="CG70" i="57"/>
  <c r="CH70" i="57"/>
  <c r="CI70" i="57"/>
  <c r="CJ70" i="57"/>
  <c r="S71" i="57"/>
  <c r="T71" i="57"/>
  <c r="U71" i="57"/>
  <c r="V71" i="57"/>
  <c r="W71" i="57"/>
  <c r="X71" i="57"/>
  <c r="Y71" i="57"/>
  <c r="Z71" i="57"/>
  <c r="AA71" i="57"/>
  <c r="AB71" i="57"/>
  <c r="AC71" i="57"/>
  <c r="AD71" i="57"/>
  <c r="AE71" i="57"/>
  <c r="AF71" i="57"/>
  <c r="AG71" i="57"/>
  <c r="AH71" i="57"/>
  <c r="AI71" i="57"/>
  <c r="AJ71" i="57"/>
  <c r="AK71" i="57"/>
  <c r="AL71" i="57"/>
  <c r="AM71" i="57"/>
  <c r="AN71" i="57"/>
  <c r="AO71" i="57"/>
  <c r="AP71" i="57"/>
  <c r="AQ71" i="57"/>
  <c r="AR71" i="57"/>
  <c r="AS71" i="57"/>
  <c r="AT71" i="57"/>
  <c r="AU71" i="57"/>
  <c r="AV71" i="57"/>
  <c r="AW71" i="57"/>
  <c r="AX71" i="57"/>
  <c r="AY71" i="57"/>
  <c r="AZ71" i="57"/>
  <c r="BA71" i="57"/>
  <c r="BB71" i="57"/>
  <c r="BC71" i="57"/>
  <c r="BD71" i="57"/>
  <c r="BE71" i="57"/>
  <c r="BF71" i="57"/>
  <c r="BG71" i="57"/>
  <c r="BH71" i="57"/>
  <c r="BI71" i="57"/>
  <c r="BJ71" i="57"/>
  <c r="BK71" i="57"/>
  <c r="BL71" i="57"/>
  <c r="BM71" i="57"/>
  <c r="BN71" i="57"/>
  <c r="BO71" i="57"/>
  <c r="BP71" i="57"/>
  <c r="BQ71" i="57"/>
  <c r="BR71" i="57"/>
  <c r="BS71" i="57"/>
  <c r="BT71" i="57"/>
  <c r="BU71" i="57"/>
  <c r="BV71" i="57"/>
  <c r="BW71" i="57"/>
  <c r="BX71" i="57"/>
  <c r="BY71" i="57"/>
  <c r="BZ71" i="57"/>
  <c r="CA71" i="57"/>
  <c r="CB71" i="57"/>
  <c r="CC71" i="57"/>
  <c r="CD71" i="57"/>
  <c r="CE71" i="57"/>
  <c r="CF71" i="57"/>
  <c r="CG71" i="57"/>
  <c r="CH71" i="57"/>
  <c r="CI71" i="57"/>
  <c r="CJ71" i="57"/>
  <c r="S72" i="57"/>
  <c r="T72" i="57"/>
  <c r="U72" i="57"/>
  <c r="V72" i="57"/>
  <c r="W72" i="57"/>
  <c r="X72" i="57"/>
  <c r="Y72" i="57"/>
  <c r="Z72" i="57"/>
  <c r="AA72" i="57"/>
  <c r="AB72" i="57"/>
  <c r="AC72" i="57"/>
  <c r="AD72" i="57"/>
  <c r="AE72" i="57"/>
  <c r="AF72" i="57"/>
  <c r="AG72" i="57"/>
  <c r="AH72" i="57"/>
  <c r="AI72" i="57"/>
  <c r="AJ72" i="57"/>
  <c r="AK72" i="57"/>
  <c r="AL72" i="57"/>
  <c r="AM72" i="57"/>
  <c r="AN72" i="57"/>
  <c r="AO72" i="57"/>
  <c r="AP72" i="57"/>
  <c r="AQ72" i="57"/>
  <c r="AR72" i="57"/>
  <c r="AS72" i="57"/>
  <c r="AT72" i="57"/>
  <c r="AU72" i="57"/>
  <c r="AV72" i="57"/>
  <c r="AW72" i="57"/>
  <c r="AX72" i="57"/>
  <c r="AY72" i="57"/>
  <c r="AZ72" i="57"/>
  <c r="BA72" i="57"/>
  <c r="BB72" i="57"/>
  <c r="BC72" i="57"/>
  <c r="BD72" i="57"/>
  <c r="BE72" i="57"/>
  <c r="BF72" i="57"/>
  <c r="BG72" i="57"/>
  <c r="BH72" i="57"/>
  <c r="BI72" i="57"/>
  <c r="BJ72" i="57"/>
  <c r="BK72" i="57"/>
  <c r="BL72" i="57"/>
  <c r="BM72" i="57"/>
  <c r="BN72" i="57"/>
  <c r="BO72" i="57"/>
  <c r="BP72" i="57"/>
  <c r="BQ72" i="57"/>
  <c r="BR72" i="57"/>
  <c r="BS72" i="57"/>
  <c r="BT72" i="57"/>
  <c r="BU72" i="57"/>
  <c r="BV72" i="57"/>
  <c r="BW72" i="57"/>
  <c r="BX72" i="57"/>
  <c r="BY72" i="57"/>
  <c r="BZ72" i="57"/>
  <c r="CA72" i="57"/>
  <c r="CB72" i="57"/>
  <c r="CC72" i="57"/>
  <c r="CD72" i="57"/>
  <c r="CE72" i="57"/>
  <c r="CF72" i="57"/>
  <c r="CG72" i="57"/>
  <c r="CH72" i="57"/>
  <c r="CI72" i="57"/>
  <c r="CJ72" i="57"/>
  <c r="S73" i="57"/>
  <c r="T73" i="57"/>
  <c r="U73" i="57"/>
  <c r="V73" i="57"/>
  <c r="W73" i="57"/>
  <c r="X73" i="57"/>
  <c r="Y73" i="57"/>
  <c r="Z73" i="57"/>
  <c r="AA73" i="57"/>
  <c r="AB73" i="57"/>
  <c r="AC73" i="57"/>
  <c r="AD73" i="57"/>
  <c r="AE73" i="57"/>
  <c r="AF73" i="57"/>
  <c r="AG73" i="57"/>
  <c r="AH73" i="57"/>
  <c r="AI73" i="57"/>
  <c r="AJ73" i="57"/>
  <c r="AK73" i="57"/>
  <c r="AL73" i="57"/>
  <c r="AM73" i="57"/>
  <c r="AN73" i="57"/>
  <c r="AO73" i="57"/>
  <c r="AP73" i="57"/>
  <c r="AQ73" i="57"/>
  <c r="AR73" i="57"/>
  <c r="AS73" i="57"/>
  <c r="AT73" i="57"/>
  <c r="AU73" i="57"/>
  <c r="AV73" i="57"/>
  <c r="AW73" i="57"/>
  <c r="AX73" i="57"/>
  <c r="AY73" i="57"/>
  <c r="AZ73" i="57"/>
  <c r="BA73" i="57"/>
  <c r="BB73" i="57"/>
  <c r="BC73" i="57"/>
  <c r="BD73" i="57"/>
  <c r="BE73" i="57"/>
  <c r="BF73" i="57"/>
  <c r="BG73" i="57"/>
  <c r="BH73" i="57"/>
  <c r="BI73" i="57"/>
  <c r="BJ73" i="57"/>
  <c r="BK73" i="57"/>
  <c r="BL73" i="57"/>
  <c r="BM73" i="57"/>
  <c r="BN73" i="57"/>
  <c r="BO73" i="57"/>
  <c r="BP73" i="57"/>
  <c r="BQ73" i="57"/>
  <c r="BR73" i="57"/>
  <c r="BS73" i="57"/>
  <c r="BT73" i="57"/>
  <c r="BU73" i="57"/>
  <c r="BV73" i="57"/>
  <c r="BW73" i="57"/>
  <c r="BX73" i="57"/>
  <c r="BY73" i="57"/>
  <c r="BZ73" i="57"/>
  <c r="CA73" i="57"/>
  <c r="CB73" i="57"/>
  <c r="CC73" i="57"/>
  <c r="CD73" i="57"/>
  <c r="CE73" i="57"/>
  <c r="CF73" i="57"/>
  <c r="CG73" i="57"/>
  <c r="CH73" i="57"/>
  <c r="CI73" i="57"/>
  <c r="CJ73" i="57"/>
  <c r="S74" i="57"/>
  <c r="T74" i="57"/>
  <c r="U74" i="57"/>
  <c r="V74" i="57"/>
  <c r="W74" i="57"/>
  <c r="X74" i="57"/>
  <c r="Y74" i="57"/>
  <c r="Z74" i="57"/>
  <c r="AA74" i="57"/>
  <c r="AB74" i="57"/>
  <c r="AC74" i="57"/>
  <c r="AD74" i="57"/>
  <c r="AE74" i="57"/>
  <c r="AF74" i="57"/>
  <c r="AG74" i="57"/>
  <c r="AH74" i="57"/>
  <c r="AI74" i="57"/>
  <c r="AJ74" i="57"/>
  <c r="AK74" i="57"/>
  <c r="AL74" i="57"/>
  <c r="AM74" i="57"/>
  <c r="AN74" i="57"/>
  <c r="AO74" i="57"/>
  <c r="AP74" i="57"/>
  <c r="AQ74" i="57"/>
  <c r="AR74" i="57"/>
  <c r="AS74" i="57"/>
  <c r="AT74" i="57"/>
  <c r="AU74" i="57"/>
  <c r="AV74" i="57"/>
  <c r="AW74" i="57"/>
  <c r="AX74" i="57"/>
  <c r="AY74" i="57"/>
  <c r="AZ74" i="57"/>
  <c r="BA74" i="57"/>
  <c r="BB74" i="57"/>
  <c r="BC74" i="57"/>
  <c r="BD74" i="57"/>
  <c r="BE74" i="57"/>
  <c r="BF74" i="57"/>
  <c r="BG74" i="57"/>
  <c r="BH74" i="57"/>
  <c r="BI74" i="57"/>
  <c r="BJ74" i="57"/>
  <c r="BK74" i="57"/>
  <c r="BL74" i="57"/>
  <c r="BM74" i="57"/>
  <c r="BN74" i="57"/>
  <c r="BO74" i="57"/>
  <c r="BP74" i="57"/>
  <c r="BQ74" i="57"/>
  <c r="BR74" i="57"/>
  <c r="BS74" i="57"/>
  <c r="BT74" i="57"/>
  <c r="BU74" i="57"/>
  <c r="BV74" i="57"/>
  <c r="BW74" i="57"/>
  <c r="BX74" i="57"/>
  <c r="BY74" i="57"/>
  <c r="BZ74" i="57"/>
  <c r="CA74" i="57"/>
  <c r="CB74" i="57"/>
  <c r="CC74" i="57"/>
  <c r="CD74" i="57"/>
  <c r="CE74" i="57"/>
  <c r="CF74" i="57"/>
  <c r="CG74" i="57"/>
  <c r="CH74" i="57"/>
  <c r="CI74" i="57"/>
  <c r="CJ74" i="57"/>
  <c r="S75" i="57"/>
  <c r="T75" i="57"/>
  <c r="U75" i="57"/>
  <c r="V75" i="57"/>
  <c r="W75" i="57"/>
  <c r="X75" i="57"/>
  <c r="Y75" i="57"/>
  <c r="Z75" i="57"/>
  <c r="AA75" i="57"/>
  <c r="AB75" i="57"/>
  <c r="AC75" i="57"/>
  <c r="AD75" i="57"/>
  <c r="AE75" i="57"/>
  <c r="AF75" i="57"/>
  <c r="AG75" i="57"/>
  <c r="AH75" i="57"/>
  <c r="AI75" i="57"/>
  <c r="AJ75" i="57"/>
  <c r="AK75" i="57"/>
  <c r="AL75" i="57"/>
  <c r="AM75" i="57"/>
  <c r="AN75" i="57"/>
  <c r="AO75" i="57"/>
  <c r="AP75" i="57"/>
  <c r="AQ75" i="57"/>
  <c r="AR75" i="57"/>
  <c r="AS75" i="57"/>
  <c r="AT75" i="57"/>
  <c r="AU75" i="57"/>
  <c r="AV75" i="57"/>
  <c r="AW75" i="57"/>
  <c r="AX75" i="57"/>
  <c r="AY75" i="57"/>
  <c r="AZ75" i="57"/>
  <c r="BA75" i="57"/>
  <c r="BB75" i="57"/>
  <c r="BC75" i="57"/>
  <c r="BD75" i="57"/>
  <c r="BE75" i="57"/>
  <c r="BF75" i="57"/>
  <c r="BG75" i="57"/>
  <c r="BH75" i="57"/>
  <c r="BI75" i="57"/>
  <c r="BJ75" i="57"/>
  <c r="BK75" i="57"/>
  <c r="BL75" i="57"/>
  <c r="BM75" i="57"/>
  <c r="BN75" i="57"/>
  <c r="BO75" i="57"/>
  <c r="BP75" i="57"/>
  <c r="BQ75" i="57"/>
  <c r="BR75" i="57"/>
  <c r="BS75" i="57"/>
  <c r="BT75" i="57"/>
  <c r="BU75" i="57"/>
  <c r="BV75" i="57"/>
  <c r="BW75" i="57"/>
  <c r="BX75" i="57"/>
  <c r="BY75" i="57"/>
  <c r="BZ75" i="57"/>
  <c r="CA75" i="57"/>
  <c r="CB75" i="57"/>
  <c r="CC75" i="57"/>
  <c r="CD75" i="57"/>
  <c r="CE75" i="57"/>
  <c r="CF75" i="57"/>
  <c r="CG75" i="57"/>
  <c r="CH75" i="57"/>
  <c r="CI75" i="57"/>
  <c r="CJ75" i="57"/>
  <c r="S76" i="57"/>
  <c r="T76" i="57"/>
  <c r="U76" i="57"/>
  <c r="V76" i="57"/>
  <c r="W76" i="57"/>
  <c r="X76" i="57"/>
  <c r="Y76" i="57"/>
  <c r="Z76" i="57"/>
  <c r="AA76" i="57"/>
  <c r="AB76" i="57"/>
  <c r="AC76" i="57"/>
  <c r="AD76" i="57"/>
  <c r="AE76" i="57"/>
  <c r="AF76" i="57"/>
  <c r="AG76" i="57"/>
  <c r="AH76" i="57"/>
  <c r="AI76" i="57"/>
  <c r="AJ76" i="57"/>
  <c r="AK76" i="57"/>
  <c r="AL76" i="57"/>
  <c r="AM76" i="57"/>
  <c r="AN76" i="57"/>
  <c r="AO76" i="57"/>
  <c r="AP76" i="57"/>
  <c r="AQ76" i="57"/>
  <c r="AR76" i="57"/>
  <c r="AS76" i="57"/>
  <c r="AT76" i="57"/>
  <c r="AU76" i="57"/>
  <c r="AV76" i="57"/>
  <c r="AW76" i="57"/>
  <c r="AX76" i="57"/>
  <c r="AY76" i="57"/>
  <c r="AZ76" i="57"/>
  <c r="BA76" i="57"/>
  <c r="BB76" i="57"/>
  <c r="BC76" i="57"/>
  <c r="BD76" i="57"/>
  <c r="BE76" i="57"/>
  <c r="BF76" i="57"/>
  <c r="BG76" i="57"/>
  <c r="BH76" i="57"/>
  <c r="BI76" i="57"/>
  <c r="BJ76" i="57"/>
  <c r="BK76" i="57"/>
  <c r="BL76" i="57"/>
  <c r="BM76" i="57"/>
  <c r="BN76" i="57"/>
  <c r="BO76" i="57"/>
  <c r="BP76" i="57"/>
  <c r="BQ76" i="57"/>
  <c r="BR76" i="57"/>
  <c r="BS76" i="57"/>
  <c r="BT76" i="57"/>
  <c r="BU76" i="57"/>
  <c r="BV76" i="57"/>
  <c r="BW76" i="57"/>
  <c r="BX76" i="57"/>
  <c r="BY76" i="57"/>
  <c r="BZ76" i="57"/>
  <c r="CA76" i="57"/>
  <c r="CB76" i="57"/>
  <c r="CC76" i="57"/>
  <c r="CD76" i="57"/>
  <c r="CE76" i="57"/>
  <c r="CF76" i="57"/>
  <c r="CG76" i="57"/>
  <c r="CH76" i="57"/>
  <c r="CI76" i="57"/>
  <c r="CJ76" i="57"/>
  <c r="S77" i="57"/>
  <c r="T77" i="57"/>
  <c r="U77" i="57"/>
  <c r="V77" i="57"/>
  <c r="W77" i="57"/>
  <c r="X77" i="57"/>
  <c r="Y77" i="57"/>
  <c r="Z77" i="57"/>
  <c r="AA77" i="57"/>
  <c r="AB77" i="57"/>
  <c r="AC77" i="57"/>
  <c r="AD77" i="57"/>
  <c r="AE77" i="57"/>
  <c r="AF77" i="57"/>
  <c r="AG77" i="57"/>
  <c r="AH77" i="57"/>
  <c r="AI77" i="57"/>
  <c r="AJ77" i="57"/>
  <c r="AK77" i="57"/>
  <c r="AL77" i="57"/>
  <c r="AM77" i="57"/>
  <c r="AN77" i="57"/>
  <c r="AO77" i="57"/>
  <c r="AP77" i="57"/>
  <c r="AQ77" i="57"/>
  <c r="AR77" i="57"/>
  <c r="AS77" i="57"/>
  <c r="AT77" i="57"/>
  <c r="AU77" i="57"/>
  <c r="AV77" i="57"/>
  <c r="AW77" i="57"/>
  <c r="AX77" i="57"/>
  <c r="AY77" i="57"/>
  <c r="AZ77" i="57"/>
  <c r="BA77" i="57"/>
  <c r="BB77" i="57"/>
  <c r="BC77" i="57"/>
  <c r="BD77" i="57"/>
  <c r="BE77" i="57"/>
  <c r="BF77" i="57"/>
  <c r="BG77" i="57"/>
  <c r="BH77" i="57"/>
  <c r="BI77" i="57"/>
  <c r="BJ77" i="57"/>
  <c r="BK77" i="57"/>
  <c r="BL77" i="57"/>
  <c r="BM77" i="57"/>
  <c r="BN77" i="57"/>
  <c r="BO77" i="57"/>
  <c r="BP77" i="57"/>
  <c r="BQ77" i="57"/>
  <c r="BR77" i="57"/>
  <c r="BS77" i="57"/>
  <c r="BT77" i="57"/>
  <c r="BU77" i="57"/>
  <c r="BV77" i="57"/>
  <c r="BW77" i="57"/>
  <c r="BX77" i="57"/>
  <c r="BY77" i="57"/>
  <c r="BZ77" i="57"/>
  <c r="CA77" i="57"/>
  <c r="CB77" i="57"/>
  <c r="CC77" i="57"/>
  <c r="CD77" i="57"/>
  <c r="CE77" i="57"/>
  <c r="CF77" i="57"/>
  <c r="CG77" i="57"/>
  <c r="CH77" i="57"/>
  <c r="CI77" i="57"/>
  <c r="CJ77" i="57"/>
  <c r="S78" i="57"/>
  <c r="T78" i="57"/>
  <c r="U78" i="57"/>
  <c r="V78" i="57"/>
  <c r="W78" i="57"/>
  <c r="X78" i="57"/>
  <c r="Y78" i="57"/>
  <c r="Z78" i="57"/>
  <c r="AA78" i="57"/>
  <c r="AB78" i="57"/>
  <c r="AC78" i="57"/>
  <c r="AD78" i="57"/>
  <c r="AE78" i="57"/>
  <c r="AF78" i="57"/>
  <c r="AG78" i="57"/>
  <c r="AH78" i="57"/>
  <c r="AI78" i="57"/>
  <c r="AJ78" i="57"/>
  <c r="AK78" i="57"/>
  <c r="AL78" i="57"/>
  <c r="AM78" i="57"/>
  <c r="AN78" i="57"/>
  <c r="AO78" i="57"/>
  <c r="AP78" i="57"/>
  <c r="AQ78" i="57"/>
  <c r="AR78" i="57"/>
  <c r="AS78" i="57"/>
  <c r="AT78" i="57"/>
  <c r="AU78" i="57"/>
  <c r="AV78" i="57"/>
  <c r="AW78" i="57"/>
  <c r="AX78" i="57"/>
  <c r="AY78" i="57"/>
  <c r="AZ78" i="57"/>
  <c r="BA78" i="57"/>
  <c r="BB78" i="57"/>
  <c r="BC78" i="57"/>
  <c r="BD78" i="57"/>
  <c r="BE78" i="57"/>
  <c r="BF78" i="57"/>
  <c r="BG78" i="57"/>
  <c r="BH78" i="57"/>
  <c r="BI78" i="57"/>
  <c r="BJ78" i="57"/>
  <c r="BK78" i="57"/>
  <c r="BL78" i="57"/>
  <c r="BM78" i="57"/>
  <c r="BN78" i="57"/>
  <c r="BO78" i="57"/>
  <c r="BP78" i="57"/>
  <c r="BQ78" i="57"/>
  <c r="BR78" i="57"/>
  <c r="BS78" i="57"/>
  <c r="BT78" i="57"/>
  <c r="BU78" i="57"/>
  <c r="BV78" i="57"/>
  <c r="BW78" i="57"/>
  <c r="BX78" i="57"/>
  <c r="BY78" i="57"/>
  <c r="BZ78" i="57"/>
  <c r="CA78" i="57"/>
  <c r="CB78" i="57"/>
  <c r="CC78" i="57"/>
  <c r="CD78" i="57"/>
  <c r="CE78" i="57"/>
  <c r="CF78" i="57"/>
  <c r="CG78" i="57"/>
  <c r="CH78" i="57"/>
  <c r="CI78" i="57"/>
  <c r="CJ78" i="57"/>
  <c r="S79" i="57"/>
  <c r="T79" i="57"/>
  <c r="U79" i="57"/>
  <c r="V79" i="57"/>
  <c r="W79" i="57"/>
  <c r="X79" i="57"/>
  <c r="Y79" i="57"/>
  <c r="Z79" i="57"/>
  <c r="AA79" i="57"/>
  <c r="AB79" i="57"/>
  <c r="AC79" i="57"/>
  <c r="AD79" i="57"/>
  <c r="AE79" i="57"/>
  <c r="AF79" i="57"/>
  <c r="AG79" i="57"/>
  <c r="AH79" i="57"/>
  <c r="AI79" i="57"/>
  <c r="AJ79" i="57"/>
  <c r="AK79" i="57"/>
  <c r="AL79" i="57"/>
  <c r="AM79" i="57"/>
  <c r="AN79" i="57"/>
  <c r="AO79" i="57"/>
  <c r="AP79" i="57"/>
  <c r="AQ79" i="57"/>
  <c r="AR79" i="57"/>
  <c r="AS79" i="57"/>
  <c r="AT79" i="57"/>
  <c r="AU79" i="57"/>
  <c r="AV79" i="57"/>
  <c r="AW79" i="57"/>
  <c r="AX79" i="57"/>
  <c r="AY79" i="57"/>
  <c r="AZ79" i="57"/>
  <c r="BA79" i="57"/>
  <c r="BB79" i="57"/>
  <c r="BC79" i="57"/>
  <c r="BD79" i="57"/>
  <c r="BE79" i="57"/>
  <c r="BF79" i="57"/>
  <c r="BG79" i="57"/>
  <c r="BH79" i="57"/>
  <c r="BI79" i="57"/>
  <c r="BJ79" i="57"/>
  <c r="BK79" i="57"/>
  <c r="BL79" i="57"/>
  <c r="BM79" i="57"/>
  <c r="BN79" i="57"/>
  <c r="BO79" i="57"/>
  <c r="BP79" i="57"/>
  <c r="BQ79" i="57"/>
  <c r="BR79" i="57"/>
  <c r="BS79" i="57"/>
  <c r="BT79" i="57"/>
  <c r="BU79" i="57"/>
  <c r="BV79" i="57"/>
  <c r="BW79" i="57"/>
  <c r="BX79" i="57"/>
  <c r="BY79" i="57"/>
  <c r="BZ79" i="57"/>
  <c r="CA79" i="57"/>
  <c r="CB79" i="57"/>
  <c r="CC79" i="57"/>
  <c r="CD79" i="57"/>
  <c r="CE79" i="57"/>
  <c r="CF79" i="57"/>
  <c r="CG79" i="57"/>
  <c r="CH79" i="57"/>
  <c r="CI79" i="57"/>
  <c r="CJ79" i="57"/>
  <c r="S80" i="57"/>
  <c r="T80" i="57"/>
  <c r="U80" i="57"/>
  <c r="V80" i="57"/>
  <c r="W80" i="57"/>
  <c r="X80" i="57"/>
  <c r="Y80" i="57"/>
  <c r="Z80" i="57"/>
  <c r="AA80" i="57"/>
  <c r="AB80" i="57"/>
  <c r="AC80" i="57"/>
  <c r="AD80" i="57"/>
  <c r="AE80" i="57"/>
  <c r="AF80" i="57"/>
  <c r="AG80" i="57"/>
  <c r="AH80" i="57"/>
  <c r="AI80" i="57"/>
  <c r="AJ80" i="57"/>
  <c r="AK80" i="57"/>
  <c r="AL80" i="57"/>
  <c r="AM80" i="57"/>
  <c r="AN80" i="57"/>
  <c r="AO80" i="57"/>
  <c r="AP80" i="57"/>
  <c r="AQ80" i="57"/>
  <c r="AR80" i="57"/>
  <c r="AS80" i="57"/>
  <c r="AT80" i="57"/>
  <c r="AU80" i="57"/>
  <c r="AV80" i="57"/>
  <c r="AW80" i="57"/>
  <c r="AX80" i="57"/>
  <c r="AY80" i="57"/>
  <c r="AZ80" i="57"/>
  <c r="BA80" i="57"/>
  <c r="BB80" i="57"/>
  <c r="BC80" i="57"/>
  <c r="BD80" i="57"/>
  <c r="BE80" i="57"/>
  <c r="BF80" i="57"/>
  <c r="BG80" i="57"/>
  <c r="BH80" i="57"/>
  <c r="BI80" i="57"/>
  <c r="BJ80" i="57"/>
  <c r="BK80" i="57"/>
  <c r="BL80" i="57"/>
  <c r="BM80" i="57"/>
  <c r="BN80" i="57"/>
  <c r="BO80" i="57"/>
  <c r="BP80" i="57"/>
  <c r="BQ80" i="57"/>
  <c r="BR80" i="57"/>
  <c r="BS80" i="57"/>
  <c r="BT80" i="57"/>
  <c r="BU80" i="57"/>
  <c r="BV80" i="57"/>
  <c r="BW80" i="57"/>
  <c r="BX80" i="57"/>
  <c r="BY80" i="57"/>
  <c r="BZ80" i="57"/>
  <c r="CA80" i="57"/>
  <c r="CB80" i="57"/>
  <c r="CC80" i="57"/>
  <c r="CD80" i="57"/>
  <c r="CE80" i="57"/>
  <c r="CF80" i="57"/>
  <c r="CG80" i="57"/>
  <c r="CH80" i="57"/>
  <c r="CI80" i="57"/>
  <c r="CJ80" i="57"/>
  <c r="S81" i="57"/>
  <c r="T81" i="57"/>
  <c r="U81" i="57"/>
  <c r="V81" i="57"/>
  <c r="W81" i="57"/>
  <c r="X81" i="57"/>
  <c r="Y81" i="57"/>
  <c r="Z81" i="57"/>
  <c r="AA81" i="57"/>
  <c r="AB81" i="57"/>
  <c r="AC81" i="57"/>
  <c r="AD81" i="57"/>
  <c r="AE81" i="57"/>
  <c r="AF81" i="57"/>
  <c r="AG81" i="57"/>
  <c r="AH81" i="57"/>
  <c r="AI81" i="57"/>
  <c r="AJ81" i="57"/>
  <c r="AK81" i="57"/>
  <c r="AL81" i="57"/>
  <c r="AM81" i="57"/>
  <c r="AN81" i="57"/>
  <c r="AO81" i="57"/>
  <c r="AP81" i="57"/>
  <c r="AQ81" i="57"/>
  <c r="AR81" i="57"/>
  <c r="AS81" i="57"/>
  <c r="AT81" i="57"/>
  <c r="AU81" i="57"/>
  <c r="AV81" i="57"/>
  <c r="AW81" i="57"/>
  <c r="AX81" i="57"/>
  <c r="AY81" i="57"/>
  <c r="AZ81" i="57"/>
  <c r="BA81" i="57"/>
  <c r="BB81" i="57"/>
  <c r="BC81" i="57"/>
  <c r="BD81" i="57"/>
  <c r="BE81" i="57"/>
  <c r="BF81" i="57"/>
  <c r="BG81" i="57"/>
  <c r="BH81" i="57"/>
  <c r="BI81" i="57"/>
  <c r="BJ81" i="57"/>
  <c r="BK81" i="57"/>
  <c r="BL81" i="57"/>
  <c r="BM81" i="57"/>
  <c r="BN81" i="57"/>
  <c r="BO81" i="57"/>
  <c r="BP81" i="57"/>
  <c r="BQ81" i="57"/>
  <c r="BR81" i="57"/>
  <c r="BS81" i="57"/>
  <c r="BT81" i="57"/>
  <c r="BU81" i="57"/>
  <c r="BV81" i="57"/>
  <c r="BW81" i="57"/>
  <c r="BX81" i="57"/>
  <c r="BY81" i="57"/>
  <c r="BZ81" i="57"/>
  <c r="CA81" i="57"/>
  <c r="CB81" i="57"/>
  <c r="CC81" i="57"/>
  <c r="CD81" i="57"/>
  <c r="CE81" i="57"/>
  <c r="CF81" i="57"/>
  <c r="CG81" i="57"/>
  <c r="CH81" i="57"/>
  <c r="CI81" i="57"/>
  <c r="CJ81" i="57"/>
  <c r="S82" i="57"/>
  <c r="T82" i="57"/>
  <c r="U82" i="57"/>
  <c r="V82" i="57"/>
  <c r="W82" i="57"/>
  <c r="X82" i="57"/>
  <c r="Y82" i="57"/>
  <c r="Z82" i="57"/>
  <c r="AA82" i="57"/>
  <c r="AB82" i="57"/>
  <c r="AC82" i="57"/>
  <c r="AD82" i="57"/>
  <c r="AE82" i="57"/>
  <c r="AF82" i="57"/>
  <c r="AG82" i="57"/>
  <c r="AH82" i="57"/>
  <c r="AI82" i="57"/>
  <c r="AJ82" i="57"/>
  <c r="AK82" i="57"/>
  <c r="AL82" i="57"/>
  <c r="AM82" i="57"/>
  <c r="AN82" i="57"/>
  <c r="AO82" i="57"/>
  <c r="AP82" i="57"/>
  <c r="AQ82" i="57"/>
  <c r="AR82" i="57"/>
  <c r="AS82" i="57"/>
  <c r="AT82" i="57"/>
  <c r="AU82" i="57"/>
  <c r="AV82" i="57"/>
  <c r="AW82" i="57"/>
  <c r="AX82" i="57"/>
  <c r="AY82" i="57"/>
  <c r="AZ82" i="57"/>
  <c r="BA82" i="57"/>
  <c r="BB82" i="57"/>
  <c r="BC82" i="57"/>
  <c r="BD82" i="57"/>
  <c r="BE82" i="57"/>
  <c r="BF82" i="57"/>
  <c r="BG82" i="57"/>
  <c r="BH82" i="57"/>
  <c r="BI82" i="57"/>
  <c r="BJ82" i="57"/>
  <c r="BK82" i="57"/>
  <c r="BL82" i="57"/>
  <c r="BM82" i="57"/>
  <c r="BN82" i="57"/>
  <c r="BO82" i="57"/>
  <c r="BP82" i="57"/>
  <c r="BQ82" i="57"/>
  <c r="BR82" i="57"/>
  <c r="BS82" i="57"/>
  <c r="BT82" i="57"/>
  <c r="BU82" i="57"/>
  <c r="BV82" i="57"/>
  <c r="BW82" i="57"/>
  <c r="BX82" i="57"/>
  <c r="BY82" i="57"/>
  <c r="BZ82" i="57"/>
  <c r="CA82" i="57"/>
  <c r="CB82" i="57"/>
  <c r="CC82" i="57"/>
  <c r="CD82" i="57"/>
  <c r="CE82" i="57"/>
  <c r="CF82" i="57"/>
  <c r="CG82" i="57"/>
  <c r="CH82" i="57"/>
  <c r="CI82" i="57"/>
  <c r="CJ82" i="57"/>
  <c r="S83" i="57"/>
  <c r="T83" i="57"/>
  <c r="U83" i="57"/>
  <c r="V83" i="57"/>
  <c r="W83" i="57"/>
  <c r="X83" i="57"/>
  <c r="Y83" i="57"/>
  <c r="Z83" i="57"/>
  <c r="AA83" i="57"/>
  <c r="AB83" i="57"/>
  <c r="AC83" i="57"/>
  <c r="AD83" i="57"/>
  <c r="AE83" i="57"/>
  <c r="AF83" i="57"/>
  <c r="AG83" i="57"/>
  <c r="AH83" i="57"/>
  <c r="AI83" i="57"/>
  <c r="AJ83" i="57"/>
  <c r="AK83" i="57"/>
  <c r="AL83" i="57"/>
  <c r="AM83" i="57"/>
  <c r="AN83" i="57"/>
  <c r="AO83" i="57"/>
  <c r="AP83" i="57"/>
  <c r="AQ83" i="57"/>
  <c r="AR83" i="57"/>
  <c r="AS83" i="57"/>
  <c r="AT83" i="57"/>
  <c r="AU83" i="57"/>
  <c r="AV83" i="57"/>
  <c r="AW83" i="57"/>
  <c r="AX83" i="57"/>
  <c r="AY83" i="57"/>
  <c r="AZ83" i="57"/>
  <c r="BA83" i="57"/>
  <c r="BB83" i="57"/>
  <c r="BC83" i="57"/>
  <c r="BD83" i="57"/>
  <c r="BE83" i="57"/>
  <c r="BF83" i="57"/>
  <c r="BG83" i="57"/>
  <c r="BH83" i="57"/>
  <c r="BI83" i="57"/>
  <c r="BJ83" i="57"/>
  <c r="BK83" i="57"/>
  <c r="BL83" i="57"/>
  <c r="BM83" i="57"/>
  <c r="BN83" i="57"/>
  <c r="BO83" i="57"/>
  <c r="BP83" i="57"/>
  <c r="BQ83" i="57"/>
  <c r="BR83" i="57"/>
  <c r="BS83" i="57"/>
  <c r="BT83" i="57"/>
  <c r="BU83" i="57"/>
  <c r="BV83" i="57"/>
  <c r="BW83" i="57"/>
  <c r="BX83" i="57"/>
  <c r="BY83" i="57"/>
  <c r="BZ83" i="57"/>
  <c r="CA83" i="57"/>
  <c r="CB83" i="57"/>
  <c r="CC83" i="57"/>
  <c r="CD83" i="57"/>
  <c r="CE83" i="57"/>
  <c r="CF83" i="57"/>
  <c r="CG83" i="57"/>
  <c r="CH83" i="57"/>
  <c r="CI83" i="57"/>
  <c r="CJ83" i="57"/>
  <c r="S84" i="57"/>
  <c r="T84" i="57"/>
  <c r="U84" i="57"/>
  <c r="V84" i="57"/>
  <c r="W84" i="57"/>
  <c r="X84" i="57"/>
  <c r="Y84" i="57"/>
  <c r="Z84" i="57"/>
  <c r="AA84" i="57"/>
  <c r="AB84" i="57"/>
  <c r="AC84" i="57"/>
  <c r="AD84" i="57"/>
  <c r="AE84" i="57"/>
  <c r="AF84" i="57"/>
  <c r="AG84" i="57"/>
  <c r="AH84" i="57"/>
  <c r="AI84" i="57"/>
  <c r="AJ84" i="57"/>
  <c r="AK84" i="57"/>
  <c r="AL84" i="57"/>
  <c r="AM84" i="57"/>
  <c r="AN84" i="57"/>
  <c r="AO84" i="57"/>
  <c r="AP84" i="57"/>
  <c r="AQ84" i="57"/>
  <c r="AR84" i="57"/>
  <c r="AS84" i="57"/>
  <c r="AT84" i="57"/>
  <c r="AU84" i="57"/>
  <c r="AV84" i="57"/>
  <c r="AW84" i="57"/>
  <c r="AX84" i="57"/>
  <c r="AY84" i="57"/>
  <c r="AZ84" i="57"/>
  <c r="BA84" i="57"/>
  <c r="BB84" i="57"/>
  <c r="BC84" i="57"/>
  <c r="BD84" i="57"/>
  <c r="BE84" i="57"/>
  <c r="BF84" i="57"/>
  <c r="BG84" i="57"/>
  <c r="BH84" i="57"/>
  <c r="BI84" i="57"/>
  <c r="BJ84" i="57"/>
  <c r="BK84" i="57"/>
  <c r="BL84" i="57"/>
  <c r="BM84" i="57"/>
  <c r="BN84" i="57"/>
  <c r="BO84" i="57"/>
  <c r="BP84" i="57"/>
  <c r="BQ84" i="57"/>
  <c r="BR84" i="57"/>
  <c r="BS84" i="57"/>
  <c r="BT84" i="57"/>
  <c r="BU84" i="57"/>
  <c r="BV84" i="57"/>
  <c r="BW84" i="57"/>
  <c r="BX84" i="57"/>
  <c r="BY84" i="57"/>
  <c r="BZ84" i="57"/>
  <c r="CA84" i="57"/>
  <c r="CB84" i="57"/>
  <c r="CC84" i="57"/>
  <c r="CD84" i="57"/>
  <c r="CE84" i="57"/>
  <c r="CF84" i="57"/>
  <c r="CG84" i="57"/>
  <c r="CH84" i="57"/>
  <c r="CI84" i="57"/>
  <c r="CJ84" i="57"/>
  <c r="S85" i="57"/>
  <c r="T85" i="57"/>
  <c r="U85" i="57"/>
  <c r="V85" i="57"/>
  <c r="W85" i="57"/>
  <c r="X85" i="57"/>
  <c r="Y85" i="57"/>
  <c r="Z85" i="57"/>
  <c r="AA85" i="57"/>
  <c r="AB85" i="57"/>
  <c r="AC85" i="57"/>
  <c r="AD85" i="57"/>
  <c r="AE85" i="57"/>
  <c r="AF85" i="57"/>
  <c r="AG85" i="57"/>
  <c r="AH85" i="57"/>
  <c r="AI85" i="57"/>
  <c r="AJ85" i="57"/>
  <c r="AK85" i="57"/>
  <c r="AL85" i="57"/>
  <c r="AM85" i="57"/>
  <c r="AN85" i="57"/>
  <c r="AO85" i="57"/>
  <c r="AP85" i="57"/>
  <c r="AQ85" i="57"/>
  <c r="AR85" i="57"/>
  <c r="AS85" i="57"/>
  <c r="AT85" i="57"/>
  <c r="AU85" i="57"/>
  <c r="AV85" i="57"/>
  <c r="AW85" i="57"/>
  <c r="AX85" i="57"/>
  <c r="AY85" i="57"/>
  <c r="AZ85" i="57"/>
  <c r="BA85" i="57"/>
  <c r="BB85" i="57"/>
  <c r="BC85" i="57"/>
  <c r="BD85" i="57"/>
  <c r="BE85" i="57"/>
  <c r="BF85" i="57"/>
  <c r="BG85" i="57"/>
  <c r="BH85" i="57"/>
  <c r="BI85" i="57"/>
  <c r="BJ85" i="57"/>
  <c r="BK85" i="57"/>
  <c r="BL85" i="57"/>
  <c r="BM85" i="57"/>
  <c r="BN85" i="57"/>
  <c r="BO85" i="57"/>
  <c r="BP85" i="57"/>
  <c r="BQ85" i="57"/>
  <c r="BR85" i="57"/>
  <c r="BS85" i="57"/>
  <c r="BT85" i="57"/>
  <c r="BU85" i="57"/>
  <c r="BV85" i="57"/>
  <c r="BW85" i="57"/>
  <c r="BX85" i="57"/>
  <c r="BY85" i="57"/>
  <c r="BZ85" i="57"/>
  <c r="CA85" i="57"/>
  <c r="CB85" i="57"/>
  <c r="CC85" i="57"/>
  <c r="CD85" i="57"/>
  <c r="CE85" i="57"/>
  <c r="CF85" i="57"/>
  <c r="CG85" i="57"/>
  <c r="CH85" i="57"/>
  <c r="CI85" i="57"/>
  <c r="CJ85" i="57"/>
  <c r="S86" i="57"/>
  <c r="T86" i="57"/>
  <c r="U86" i="57"/>
  <c r="V86" i="57"/>
  <c r="W86" i="57"/>
  <c r="X86" i="57"/>
  <c r="Y86" i="57"/>
  <c r="Z86" i="57"/>
  <c r="AA86" i="57"/>
  <c r="AB86" i="57"/>
  <c r="AC86" i="57"/>
  <c r="AD86" i="57"/>
  <c r="AE86" i="57"/>
  <c r="AF86" i="57"/>
  <c r="AG86" i="57"/>
  <c r="AH86" i="57"/>
  <c r="AI86" i="57"/>
  <c r="AJ86" i="57"/>
  <c r="AK86" i="57"/>
  <c r="AL86" i="57"/>
  <c r="AM86" i="57"/>
  <c r="AN86" i="57"/>
  <c r="AO86" i="57"/>
  <c r="AP86" i="57"/>
  <c r="AQ86" i="57"/>
  <c r="AR86" i="57"/>
  <c r="AS86" i="57"/>
  <c r="AT86" i="57"/>
  <c r="AU86" i="57"/>
  <c r="AV86" i="57"/>
  <c r="AW86" i="57"/>
  <c r="AX86" i="57"/>
  <c r="AY86" i="57"/>
  <c r="AZ86" i="57"/>
  <c r="BA86" i="57"/>
  <c r="BB86" i="57"/>
  <c r="BC86" i="57"/>
  <c r="BD86" i="57"/>
  <c r="BE86" i="57"/>
  <c r="BF86" i="57"/>
  <c r="BG86" i="57"/>
  <c r="BH86" i="57"/>
  <c r="BI86" i="57"/>
  <c r="BJ86" i="57"/>
  <c r="BK86" i="57"/>
  <c r="BL86" i="57"/>
  <c r="BM86" i="57"/>
  <c r="BN86" i="57"/>
  <c r="BO86" i="57"/>
  <c r="BP86" i="57"/>
  <c r="BQ86" i="57"/>
  <c r="BR86" i="57"/>
  <c r="BS86" i="57"/>
  <c r="BT86" i="57"/>
  <c r="BU86" i="57"/>
  <c r="BV86" i="57"/>
  <c r="BW86" i="57"/>
  <c r="BX86" i="57"/>
  <c r="BY86" i="57"/>
  <c r="BZ86" i="57"/>
  <c r="CA86" i="57"/>
  <c r="CB86" i="57"/>
  <c r="CC86" i="57"/>
  <c r="CD86" i="57"/>
  <c r="CE86" i="57"/>
  <c r="CF86" i="57"/>
  <c r="CG86" i="57"/>
  <c r="CH86" i="57"/>
  <c r="CI86" i="57"/>
  <c r="CJ86" i="57"/>
  <c r="S87" i="57"/>
  <c r="T87" i="57"/>
  <c r="U87" i="57"/>
  <c r="V87" i="57"/>
  <c r="W87" i="57"/>
  <c r="X87" i="57"/>
  <c r="Y87" i="57"/>
  <c r="Z87" i="57"/>
  <c r="AA87" i="57"/>
  <c r="AB87" i="57"/>
  <c r="AC87" i="57"/>
  <c r="AD87" i="57"/>
  <c r="AE87" i="57"/>
  <c r="AF87" i="57"/>
  <c r="AG87" i="57"/>
  <c r="AH87" i="57"/>
  <c r="AI87" i="57"/>
  <c r="AJ87" i="57"/>
  <c r="AK87" i="57"/>
  <c r="AL87" i="57"/>
  <c r="AM87" i="57"/>
  <c r="AN87" i="57"/>
  <c r="AO87" i="57"/>
  <c r="AP87" i="57"/>
  <c r="AQ87" i="57"/>
  <c r="AR87" i="57"/>
  <c r="AS87" i="57"/>
  <c r="AT87" i="57"/>
  <c r="AU87" i="57"/>
  <c r="AV87" i="57"/>
  <c r="AW87" i="57"/>
  <c r="AX87" i="57"/>
  <c r="AY87" i="57"/>
  <c r="AZ87" i="57"/>
  <c r="BA87" i="57"/>
  <c r="BB87" i="57"/>
  <c r="BC87" i="57"/>
  <c r="BD87" i="57"/>
  <c r="BE87" i="57"/>
  <c r="BF87" i="57"/>
  <c r="BG87" i="57"/>
  <c r="BH87" i="57"/>
  <c r="BI87" i="57"/>
  <c r="BJ87" i="57"/>
  <c r="BK87" i="57"/>
  <c r="BL87" i="57"/>
  <c r="BM87" i="57"/>
  <c r="BN87" i="57"/>
  <c r="BO87" i="57"/>
  <c r="BP87" i="57"/>
  <c r="BQ87" i="57"/>
  <c r="BR87" i="57"/>
  <c r="BS87" i="57"/>
  <c r="BT87" i="57"/>
  <c r="BU87" i="57"/>
  <c r="BV87" i="57"/>
  <c r="BW87" i="57"/>
  <c r="BX87" i="57"/>
  <c r="BY87" i="57"/>
  <c r="BZ87" i="57"/>
  <c r="CA87" i="57"/>
  <c r="CB87" i="57"/>
  <c r="CC87" i="57"/>
  <c r="CD87" i="57"/>
  <c r="CE87" i="57"/>
  <c r="CF87" i="57"/>
  <c r="CG87" i="57"/>
  <c r="CH87" i="57"/>
  <c r="CI87" i="57"/>
  <c r="CJ87" i="57"/>
  <c r="S88" i="57"/>
  <c r="T88" i="57"/>
  <c r="U88" i="57"/>
  <c r="V88" i="57"/>
  <c r="W88" i="57"/>
  <c r="X88" i="57"/>
  <c r="Y88" i="57"/>
  <c r="Z88" i="57"/>
  <c r="AA88" i="57"/>
  <c r="AB88" i="57"/>
  <c r="AC88" i="57"/>
  <c r="AD88" i="57"/>
  <c r="AE88" i="57"/>
  <c r="AF88" i="57"/>
  <c r="AG88" i="57"/>
  <c r="AH88" i="57"/>
  <c r="AI88" i="57"/>
  <c r="AJ88" i="57"/>
  <c r="AK88" i="57"/>
  <c r="AL88" i="57"/>
  <c r="AM88" i="57"/>
  <c r="AN88" i="57"/>
  <c r="AO88" i="57"/>
  <c r="AP88" i="57"/>
  <c r="AQ88" i="57"/>
  <c r="AR88" i="57"/>
  <c r="AS88" i="57"/>
  <c r="AT88" i="57"/>
  <c r="AU88" i="57"/>
  <c r="AV88" i="57"/>
  <c r="AW88" i="57"/>
  <c r="AX88" i="57"/>
  <c r="AY88" i="57"/>
  <c r="AZ88" i="57"/>
  <c r="BA88" i="57"/>
  <c r="BB88" i="57"/>
  <c r="BC88" i="57"/>
  <c r="BD88" i="57"/>
  <c r="BE88" i="57"/>
  <c r="BF88" i="57"/>
  <c r="BG88" i="57"/>
  <c r="BH88" i="57"/>
  <c r="BI88" i="57"/>
  <c r="BJ88" i="57"/>
  <c r="BK88" i="57"/>
  <c r="BL88" i="57"/>
  <c r="BM88" i="57"/>
  <c r="BN88" i="57"/>
  <c r="BO88" i="57"/>
  <c r="BP88" i="57"/>
  <c r="BQ88" i="57"/>
  <c r="BR88" i="57"/>
  <c r="BS88" i="57"/>
  <c r="BT88" i="57"/>
  <c r="BU88" i="57"/>
  <c r="BV88" i="57"/>
  <c r="BW88" i="57"/>
  <c r="BX88" i="57"/>
  <c r="BY88" i="57"/>
  <c r="BZ88" i="57"/>
  <c r="CA88" i="57"/>
  <c r="CB88" i="57"/>
  <c r="CC88" i="57"/>
  <c r="CD88" i="57"/>
  <c r="CE88" i="57"/>
  <c r="CF88" i="57"/>
  <c r="CG88" i="57"/>
  <c r="CH88" i="57"/>
  <c r="CI88" i="57"/>
  <c r="CJ88" i="57"/>
  <c r="S89" i="57"/>
  <c r="T89" i="57"/>
  <c r="U89" i="57"/>
  <c r="V89" i="57"/>
  <c r="W89" i="57"/>
  <c r="X89" i="57"/>
  <c r="Y89" i="57"/>
  <c r="Z89" i="57"/>
  <c r="AA89" i="57"/>
  <c r="AB89" i="57"/>
  <c r="AC89" i="57"/>
  <c r="AD89" i="57"/>
  <c r="AE89" i="57"/>
  <c r="AF89" i="57"/>
  <c r="AG89" i="57"/>
  <c r="AH89" i="57"/>
  <c r="AI89" i="57"/>
  <c r="AJ89" i="57"/>
  <c r="AK89" i="57"/>
  <c r="AL89" i="57"/>
  <c r="AM89" i="57"/>
  <c r="AN89" i="57"/>
  <c r="AO89" i="57"/>
  <c r="AP89" i="57"/>
  <c r="AQ89" i="57"/>
  <c r="AR89" i="57"/>
  <c r="AS89" i="57"/>
  <c r="AT89" i="57"/>
  <c r="AU89" i="57"/>
  <c r="AV89" i="57"/>
  <c r="AW89" i="57"/>
  <c r="AX89" i="57"/>
  <c r="AY89" i="57"/>
  <c r="AZ89" i="57"/>
  <c r="BA89" i="57"/>
  <c r="BB89" i="57"/>
  <c r="BC89" i="57"/>
  <c r="BD89" i="57"/>
  <c r="BE89" i="57"/>
  <c r="BF89" i="57"/>
  <c r="BG89" i="57"/>
  <c r="BH89" i="57"/>
  <c r="BI89" i="57"/>
  <c r="BJ89" i="57"/>
  <c r="BK89" i="57"/>
  <c r="BL89" i="57"/>
  <c r="BM89" i="57"/>
  <c r="BN89" i="57"/>
  <c r="BO89" i="57"/>
  <c r="BP89" i="57"/>
  <c r="BQ89" i="57"/>
  <c r="BR89" i="57"/>
  <c r="BS89" i="57"/>
  <c r="BT89" i="57"/>
  <c r="BU89" i="57"/>
  <c r="BV89" i="57"/>
  <c r="BW89" i="57"/>
  <c r="BX89" i="57"/>
  <c r="BY89" i="57"/>
  <c r="BZ89" i="57"/>
  <c r="CA89" i="57"/>
  <c r="CB89" i="57"/>
  <c r="CC89" i="57"/>
  <c r="CD89" i="57"/>
  <c r="CE89" i="57"/>
  <c r="CF89" i="57"/>
  <c r="CG89" i="57"/>
  <c r="CH89" i="57"/>
  <c r="CI89" i="57"/>
  <c r="CJ89" i="57"/>
  <c r="S90" i="57"/>
  <c r="T90" i="57"/>
  <c r="U90" i="57"/>
  <c r="V90" i="57"/>
  <c r="W90" i="57"/>
  <c r="X90" i="57"/>
  <c r="Y90" i="57"/>
  <c r="Z90" i="57"/>
  <c r="AA90" i="57"/>
  <c r="AB90" i="57"/>
  <c r="AC90" i="57"/>
  <c r="AD90" i="57"/>
  <c r="AE90" i="57"/>
  <c r="AF90" i="57"/>
  <c r="AG90" i="57"/>
  <c r="AH90" i="57"/>
  <c r="AI90" i="57"/>
  <c r="AJ90" i="57"/>
  <c r="AK90" i="57"/>
  <c r="AL90" i="57"/>
  <c r="AM90" i="57"/>
  <c r="AN90" i="57"/>
  <c r="AO90" i="57"/>
  <c r="AP90" i="57"/>
  <c r="AQ90" i="57"/>
  <c r="AR90" i="57"/>
  <c r="AS90" i="57"/>
  <c r="AT90" i="57"/>
  <c r="AU90" i="57"/>
  <c r="AV90" i="57"/>
  <c r="AW90" i="57"/>
  <c r="AX90" i="57"/>
  <c r="AY90" i="57"/>
  <c r="AZ90" i="57"/>
  <c r="BA90" i="57"/>
  <c r="BB90" i="57"/>
  <c r="BC90" i="57"/>
  <c r="BD90" i="57"/>
  <c r="BE90" i="57"/>
  <c r="BF90" i="57"/>
  <c r="BG90" i="57"/>
  <c r="BH90" i="57"/>
  <c r="BI90" i="57"/>
  <c r="BJ90" i="57"/>
  <c r="BK90" i="57"/>
  <c r="BL90" i="57"/>
  <c r="BM90" i="57"/>
  <c r="BN90" i="57"/>
  <c r="BO90" i="57"/>
  <c r="BP90" i="57"/>
  <c r="BQ90" i="57"/>
  <c r="BR90" i="57"/>
  <c r="BS90" i="57"/>
  <c r="BT90" i="57"/>
  <c r="BU90" i="57"/>
  <c r="BV90" i="57"/>
  <c r="BW90" i="57"/>
  <c r="BX90" i="57"/>
  <c r="BY90" i="57"/>
  <c r="BZ90" i="57"/>
  <c r="CA90" i="57"/>
  <c r="CB90" i="57"/>
  <c r="CC90" i="57"/>
  <c r="CD90" i="57"/>
  <c r="CE90" i="57"/>
  <c r="CF90" i="57"/>
  <c r="CG90" i="57"/>
  <c r="CH90" i="57"/>
  <c r="CI90" i="57"/>
  <c r="CJ90" i="57"/>
  <c r="S91" i="57"/>
  <c r="T91" i="57"/>
  <c r="U91" i="57"/>
  <c r="V91" i="57"/>
  <c r="W91" i="57"/>
  <c r="X91" i="57"/>
  <c r="Y91" i="57"/>
  <c r="Z91" i="57"/>
  <c r="AA91" i="57"/>
  <c r="AB91" i="57"/>
  <c r="AC91" i="57"/>
  <c r="AD91" i="57"/>
  <c r="AE91" i="57"/>
  <c r="AF91" i="57"/>
  <c r="AG91" i="57"/>
  <c r="AH91" i="57"/>
  <c r="AI91" i="57"/>
  <c r="AJ91" i="57"/>
  <c r="AK91" i="57"/>
  <c r="AL91" i="57"/>
  <c r="AM91" i="57"/>
  <c r="AN91" i="57"/>
  <c r="AO91" i="57"/>
  <c r="AP91" i="57"/>
  <c r="AQ91" i="57"/>
  <c r="AR91" i="57"/>
  <c r="AS91" i="57"/>
  <c r="AT91" i="57"/>
  <c r="AU91" i="57"/>
  <c r="AV91" i="57"/>
  <c r="AW91" i="57"/>
  <c r="AX91" i="57"/>
  <c r="AY91" i="57"/>
  <c r="AZ91" i="57"/>
  <c r="BA91" i="57"/>
  <c r="BB91" i="57"/>
  <c r="BC91" i="57"/>
  <c r="BD91" i="57"/>
  <c r="BE91" i="57"/>
  <c r="BF91" i="57"/>
  <c r="BG91" i="57"/>
  <c r="BH91" i="57"/>
  <c r="BI91" i="57"/>
  <c r="BJ91" i="57"/>
  <c r="BK91" i="57"/>
  <c r="BL91" i="57"/>
  <c r="BM91" i="57"/>
  <c r="BN91" i="57"/>
  <c r="BO91" i="57"/>
  <c r="BP91" i="57"/>
  <c r="BQ91" i="57"/>
  <c r="BR91" i="57"/>
  <c r="BS91" i="57"/>
  <c r="BT91" i="57"/>
  <c r="BU91" i="57"/>
  <c r="BV91" i="57"/>
  <c r="BW91" i="57"/>
  <c r="BX91" i="57"/>
  <c r="BY91" i="57"/>
  <c r="BZ91" i="57"/>
  <c r="CA91" i="57"/>
  <c r="CB91" i="57"/>
  <c r="CC91" i="57"/>
  <c r="CD91" i="57"/>
  <c r="CE91" i="57"/>
  <c r="CF91" i="57"/>
  <c r="CG91" i="57"/>
  <c r="CH91" i="57"/>
  <c r="CI91" i="57"/>
  <c r="CJ91" i="57"/>
  <c r="S92" i="57"/>
  <c r="T92" i="57"/>
  <c r="U92" i="57"/>
  <c r="V92" i="57"/>
  <c r="W92" i="57"/>
  <c r="X92" i="57"/>
  <c r="Y92" i="57"/>
  <c r="Z92" i="57"/>
  <c r="AA92" i="57"/>
  <c r="AB92" i="57"/>
  <c r="AC92" i="57"/>
  <c r="AD92" i="57"/>
  <c r="AE92" i="57"/>
  <c r="AF92" i="57"/>
  <c r="AG92" i="57"/>
  <c r="AH92" i="57"/>
  <c r="AI92" i="57"/>
  <c r="AJ92" i="57"/>
  <c r="AK92" i="57"/>
  <c r="AL92" i="57"/>
  <c r="AM92" i="57"/>
  <c r="AN92" i="57"/>
  <c r="AO92" i="57"/>
  <c r="AP92" i="57"/>
  <c r="AQ92" i="57"/>
  <c r="AR92" i="57"/>
  <c r="AS92" i="57"/>
  <c r="AT92" i="57"/>
  <c r="AU92" i="57"/>
  <c r="AV92" i="57"/>
  <c r="AW92" i="57"/>
  <c r="AX92" i="57"/>
  <c r="AY92" i="57"/>
  <c r="AZ92" i="57"/>
  <c r="BA92" i="57"/>
  <c r="BB92" i="57"/>
  <c r="BC92" i="57"/>
  <c r="BD92" i="57"/>
  <c r="BE92" i="57"/>
  <c r="BF92" i="57"/>
  <c r="BG92" i="57"/>
  <c r="BH92" i="57"/>
  <c r="BI92" i="57"/>
  <c r="BJ92" i="57"/>
  <c r="BK92" i="57"/>
  <c r="BL92" i="57"/>
  <c r="BM92" i="57"/>
  <c r="BN92" i="57"/>
  <c r="BO92" i="57"/>
  <c r="BP92" i="57"/>
  <c r="BQ92" i="57"/>
  <c r="BR92" i="57"/>
  <c r="BS92" i="57"/>
  <c r="BT92" i="57"/>
  <c r="BU92" i="57"/>
  <c r="BV92" i="57"/>
  <c r="BW92" i="57"/>
  <c r="BX92" i="57"/>
  <c r="BY92" i="57"/>
  <c r="BZ92" i="57"/>
  <c r="CA92" i="57"/>
  <c r="CB92" i="57"/>
  <c r="CC92" i="57"/>
  <c r="CD92" i="57"/>
  <c r="CE92" i="57"/>
  <c r="CF92" i="57"/>
  <c r="CG92" i="57"/>
  <c r="CH92" i="57"/>
  <c r="CI92" i="57"/>
  <c r="CJ92" i="57"/>
  <c r="S93" i="57"/>
  <c r="T93" i="57"/>
  <c r="U93" i="57"/>
  <c r="V93" i="57"/>
  <c r="W93" i="57"/>
  <c r="X93" i="57"/>
  <c r="Y93" i="57"/>
  <c r="Z93" i="57"/>
  <c r="AA93" i="57"/>
  <c r="AB93" i="57"/>
  <c r="AC93" i="57"/>
  <c r="AD93" i="57"/>
  <c r="AE93" i="57"/>
  <c r="AF93" i="57"/>
  <c r="AG93" i="57"/>
  <c r="AH93" i="57"/>
  <c r="AI93" i="57"/>
  <c r="AJ93" i="57"/>
  <c r="AK93" i="57"/>
  <c r="AL93" i="57"/>
  <c r="AM93" i="57"/>
  <c r="AN93" i="57"/>
  <c r="AO93" i="57"/>
  <c r="AP93" i="57"/>
  <c r="AQ93" i="57"/>
  <c r="AR93" i="57"/>
  <c r="AS93" i="57"/>
  <c r="AT93" i="57"/>
  <c r="AU93" i="57"/>
  <c r="AV93" i="57"/>
  <c r="AW93" i="57"/>
  <c r="AX93" i="57"/>
  <c r="AY93" i="57"/>
  <c r="AZ93" i="57"/>
  <c r="BA93" i="57"/>
  <c r="BB93" i="57"/>
  <c r="BC93" i="57"/>
  <c r="BD93" i="57"/>
  <c r="BE93" i="57"/>
  <c r="BF93" i="57"/>
  <c r="BG93" i="57"/>
  <c r="BH93" i="57"/>
  <c r="BI93" i="57"/>
  <c r="BJ93" i="57"/>
  <c r="BK93" i="57"/>
  <c r="BL93" i="57"/>
  <c r="BM93" i="57"/>
  <c r="BN93" i="57"/>
  <c r="BO93" i="57"/>
  <c r="BP93" i="57"/>
  <c r="BQ93" i="57"/>
  <c r="BR93" i="57"/>
  <c r="BS93" i="57"/>
  <c r="BT93" i="57"/>
  <c r="BU93" i="57"/>
  <c r="BV93" i="57"/>
  <c r="BW93" i="57"/>
  <c r="BX93" i="57"/>
  <c r="BY93" i="57"/>
  <c r="BZ93" i="57"/>
  <c r="CA93" i="57"/>
  <c r="CB93" i="57"/>
  <c r="CC93" i="57"/>
  <c r="CD93" i="57"/>
  <c r="CE93" i="57"/>
  <c r="CF93" i="57"/>
  <c r="CG93" i="57"/>
  <c r="CH93" i="57"/>
  <c r="CI93" i="57"/>
  <c r="CJ93" i="57"/>
  <c r="S94" i="57"/>
  <c r="T94" i="57"/>
  <c r="U94" i="57"/>
  <c r="V94" i="57"/>
  <c r="W94" i="57"/>
  <c r="X94" i="57"/>
  <c r="Y94" i="57"/>
  <c r="Z94" i="57"/>
  <c r="AA94" i="57"/>
  <c r="AB94" i="57"/>
  <c r="AC94" i="57"/>
  <c r="AD94" i="57"/>
  <c r="AE94" i="57"/>
  <c r="AF94" i="57"/>
  <c r="AG94" i="57"/>
  <c r="AH94" i="57"/>
  <c r="AI94" i="57"/>
  <c r="AJ94" i="57"/>
  <c r="AK94" i="57"/>
  <c r="AL94" i="57"/>
  <c r="AM94" i="57"/>
  <c r="AN94" i="57"/>
  <c r="AO94" i="57"/>
  <c r="AP94" i="57"/>
  <c r="AQ94" i="57"/>
  <c r="AR94" i="57"/>
  <c r="AS94" i="57"/>
  <c r="AT94" i="57"/>
  <c r="AU94" i="57"/>
  <c r="AV94" i="57"/>
  <c r="AW94" i="57"/>
  <c r="AX94" i="57"/>
  <c r="AY94" i="57"/>
  <c r="AZ94" i="57"/>
  <c r="BA94" i="57"/>
  <c r="BB94" i="57"/>
  <c r="BC94" i="57"/>
  <c r="BD94" i="57"/>
  <c r="BE94" i="57"/>
  <c r="BF94" i="57"/>
  <c r="BG94" i="57"/>
  <c r="BH94" i="57"/>
  <c r="BI94" i="57"/>
  <c r="BJ94" i="57"/>
  <c r="BK94" i="57"/>
  <c r="BL94" i="57"/>
  <c r="BM94" i="57"/>
  <c r="BN94" i="57"/>
  <c r="BO94" i="57"/>
  <c r="BP94" i="57"/>
  <c r="BQ94" i="57"/>
  <c r="BR94" i="57"/>
  <c r="BS94" i="57"/>
  <c r="BT94" i="57"/>
  <c r="BU94" i="57"/>
  <c r="BV94" i="57"/>
  <c r="BW94" i="57"/>
  <c r="BX94" i="57"/>
  <c r="BY94" i="57"/>
  <c r="BZ94" i="57"/>
  <c r="CA94" i="57"/>
  <c r="CB94" i="57"/>
  <c r="CC94" i="57"/>
  <c r="CD94" i="57"/>
  <c r="CE94" i="57"/>
  <c r="CF94" i="57"/>
  <c r="CG94" i="57"/>
  <c r="CH94" i="57"/>
  <c r="CI94" i="57"/>
  <c r="CJ94" i="57"/>
  <c r="S95" i="57"/>
  <c r="T95" i="57"/>
  <c r="U95" i="57"/>
  <c r="V95" i="57"/>
  <c r="W95" i="57"/>
  <c r="X95" i="57"/>
  <c r="Y95" i="57"/>
  <c r="Z95" i="57"/>
  <c r="AA95" i="57"/>
  <c r="AB95" i="57"/>
  <c r="AC95" i="57"/>
  <c r="AD95" i="57"/>
  <c r="AE95" i="57"/>
  <c r="AF95" i="57"/>
  <c r="AG95" i="57"/>
  <c r="AH95" i="57"/>
  <c r="AI95" i="57"/>
  <c r="AJ95" i="57"/>
  <c r="AK95" i="57"/>
  <c r="AL95" i="57"/>
  <c r="AM95" i="57"/>
  <c r="AN95" i="57"/>
  <c r="AO95" i="57"/>
  <c r="AP95" i="57"/>
  <c r="AQ95" i="57"/>
  <c r="AR95" i="57"/>
  <c r="AS95" i="57"/>
  <c r="AT95" i="57"/>
  <c r="AU95" i="57"/>
  <c r="AV95" i="57"/>
  <c r="AW95" i="57"/>
  <c r="AX95" i="57"/>
  <c r="AY95" i="57"/>
  <c r="AZ95" i="57"/>
  <c r="BA95" i="57"/>
  <c r="BB95" i="57"/>
  <c r="BC95" i="57"/>
  <c r="BD95" i="57"/>
  <c r="BE95" i="57"/>
  <c r="BF95" i="57"/>
  <c r="BG95" i="57"/>
  <c r="BH95" i="57"/>
  <c r="BI95" i="57"/>
  <c r="BJ95" i="57"/>
  <c r="BK95" i="57"/>
  <c r="BL95" i="57"/>
  <c r="BM95" i="57"/>
  <c r="BN95" i="57"/>
  <c r="BO95" i="57"/>
  <c r="BP95" i="57"/>
  <c r="BQ95" i="57"/>
  <c r="BR95" i="57"/>
  <c r="BS95" i="57"/>
  <c r="BT95" i="57"/>
  <c r="BU95" i="57"/>
  <c r="BV95" i="57"/>
  <c r="BW95" i="57"/>
  <c r="BX95" i="57"/>
  <c r="BY95" i="57"/>
  <c r="BZ95" i="57"/>
  <c r="CA95" i="57"/>
  <c r="CB95" i="57"/>
  <c r="CC95" i="57"/>
  <c r="CD95" i="57"/>
  <c r="CE95" i="57"/>
  <c r="CF95" i="57"/>
  <c r="CG95" i="57"/>
  <c r="CH95" i="57"/>
  <c r="CI95" i="57"/>
  <c r="CJ95" i="57"/>
  <c r="S96" i="57"/>
  <c r="T96" i="57"/>
  <c r="U96" i="57"/>
  <c r="V96" i="57"/>
  <c r="W96" i="57"/>
  <c r="X96" i="57"/>
  <c r="Y96" i="57"/>
  <c r="Z96" i="57"/>
  <c r="AA96" i="57"/>
  <c r="AB96" i="57"/>
  <c r="AC96" i="57"/>
  <c r="AD96" i="57"/>
  <c r="AE96" i="57"/>
  <c r="AF96" i="57"/>
  <c r="AG96" i="57"/>
  <c r="AH96" i="57"/>
  <c r="AI96" i="57"/>
  <c r="AJ96" i="57"/>
  <c r="AK96" i="57"/>
  <c r="AL96" i="57"/>
  <c r="AM96" i="57"/>
  <c r="AN96" i="57"/>
  <c r="AO96" i="57"/>
  <c r="AP96" i="57"/>
  <c r="AQ96" i="57"/>
  <c r="AR96" i="57"/>
  <c r="AS96" i="57"/>
  <c r="AT96" i="57"/>
  <c r="AU96" i="57"/>
  <c r="AV96" i="57"/>
  <c r="AW96" i="57"/>
  <c r="AX96" i="57"/>
  <c r="AY96" i="57"/>
  <c r="AZ96" i="57"/>
  <c r="BA96" i="57"/>
  <c r="BB96" i="57"/>
  <c r="BC96" i="57"/>
  <c r="BD96" i="57"/>
  <c r="BE96" i="57"/>
  <c r="BF96" i="57"/>
  <c r="BG96" i="57"/>
  <c r="BH96" i="57"/>
  <c r="BI96" i="57"/>
  <c r="BJ96" i="57"/>
  <c r="BK96" i="57"/>
  <c r="BL96" i="57"/>
  <c r="BM96" i="57"/>
  <c r="BN96" i="57"/>
  <c r="BO96" i="57"/>
  <c r="BP96" i="57"/>
  <c r="BQ96" i="57"/>
  <c r="BR96" i="57"/>
  <c r="BS96" i="57"/>
  <c r="BT96" i="57"/>
  <c r="BU96" i="57"/>
  <c r="BV96" i="57"/>
  <c r="BW96" i="57"/>
  <c r="BX96" i="57"/>
  <c r="BY96" i="57"/>
  <c r="BZ96" i="57"/>
  <c r="CA96" i="57"/>
  <c r="CB96" i="57"/>
  <c r="CC96" i="57"/>
  <c r="CD96" i="57"/>
  <c r="CE96" i="57"/>
  <c r="CF96" i="57"/>
  <c r="CG96" i="57"/>
  <c r="CH96" i="57"/>
  <c r="CI96" i="57"/>
  <c r="CJ96" i="57"/>
  <c r="S97" i="57"/>
  <c r="T97" i="57"/>
  <c r="U97" i="57"/>
  <c r="V97" i="57"/>
  <c r="W97" i="57"/>
  <c r="X97" i="57"/>
  <c r="Y97" i="57"/>
  <c r="Z97" i="57"/>
  <c r="AA97" i="57"/>
  <c r="AB97" i="57"/>
  <c r="AC97" i="57"/>
  <c r="AD97" i="57"/>
  <c r="AE97" i="57"/>
  <c r="AF97" i="57"/>
  <c r="AG97" i="57"/>
  <c r="AH97" i="57"/>
  <c r="AI97" i="57"/>
  <c r="AJ97" i="57"/>
  <c r="AK97" i="57"/>
  <c r="AL97" i="57"/>
  <c r="AM97" i="57"/>
  <c r="AN97" i="57"/>
  <c r="AO97" i="57"/>
  <c r="AP97" i="57"/>
  <c r="AQ97" i="57"/>
  <c r="AR97" i="57"/>
  <c r="AS97" i="57"/>
  <c r="AT97" i="57"/>
  <c r="AU97" i="57"/>
  <c r="AV97" i="57"/>
  <c r="AW97" i="57"/>
  <c r="AX97" i="57"/>
  <c r="AY97" i="57"/>
  <c r="AZ97" i="57"/>
  <c r="BA97" i="57"/>
  <c r="BB97" i="57"/>
  <c r="BC97" i="57"/>
  <c r="BD97" i="57"/>
  <c r="BE97" i="57"/>
  <c r="BF97" i="57"/>
  <c r="BG97" i="57"/>
  <c r="BH97" i="57"/>
  <c r="BI97" i="57"/>
  <c r="BJ97" i="57"/>
  <c r="BK97" i="57"/>
  <c r="BL97" i="57"/>
  <c r="BM97" i="57"/>
  <c r="BN97" i="57"/>
  <c r="BO97" i="57"/>
  <c r="BP97" i="57"/>
  <c r="BQ97" i="57"/>
  <c r="BR97" i="57"/>
  <c r="BS97" i="57"/>
  <c r="BT97" i="57"/>
  <c r="BU97" i="57"/>
  <c r="BV97" i="57"/>
  <c r="BW97" i="57"/>
  <c r="BX97" i="57"/>
  <c r="BY97" i="57"/>
  <c r="BZ97" i="57"/>
  <c r="CA97" i="57"/>
  <c r="CB97" i="57"/>
  <c r="CC97" i="57"/>
  <c r="CD97" i="57"/>
  <c r="CE97" i="57"/>
  <c r="CF97" i="57"/>
  <c r="CG97" i="57"/>
  <c r="CH97" i="57"/>
  <c r="CI97" i="57"/>
  <c r="CJ97" i="57"/>
  <c r="S98" i="57"/>
  <c r="T98" i="57"/>
  <c r="U98" i="57"/>
  <c r="V98" i="57"/>
  <c r="W98" i="57"/>
  <c r="X98" i="57"/>
  <c r="Y98" i="57"/>
  <c r="Z98" i="57"/>
  <c r="AA98" i="57"/>
  <c r="AB98" i="57"/>
  <c r="AC98" i="57"/>
  <c r="AD98" i="57"/>
  <c r="AE98" i="57"/>
  <c r="AF98" i="57"/>
  <c r="AG98" i="57"/>
  <c r="AH98" i="57"/>
  <c r="AI98" i="57"/>
  <c r="AJ98" i="57"/>
  <c r="AK98" i="57"/>
  <c r="AL98" i="57"/>
  <c r="AM98" i="57"/>
  <c r="AN98" i="57"/>
  <c r="AO98" i="57"/>
  <c r="AP98" i="57"/>
  <c r="AQ98" i="57"/>
  <c r="AR98" i="57"/>
  <c r="AS98" i="57"/>
  <c r="AT98" i="57"/>
  <c r="AU98" i="57"/>
  <c r="AV98" i="57"/>
  <c r="AW98" i="57"/>
  <c r="AX98" i="57"/>
  <c r="AY98" i="57"/>
  <c r="AZ98" i="57"/>
  <c r="BA98" i="57"/>
  <c r="BB98" i="57"/>
  <c r="BC98" i="57"/>
  <c r="BD98" i="57"/>
  <c r="BE98" i="57"/>
  <c r="BF98" i="57"/>
  <c r="BG98" i="57"/>
  <c r="BH98" i="57"/>
  <c r="BI98" i="57"/>
  <c r="BJ98" i="57"/>
  <c r="BK98" i="57"/>
  <c r="BL98" i="57"/>
  <c r="BM98" i="57"/>
  <c r="BN98" i="57"/>
  <c r="BO98" i="57"/>
  <c r="BP98" i="57"/>
  <c r="BQ98" i="57"/>
  <c r="BR98" i="57"/>
  <c r="BS98" i="57"/>
  <c r="BT98" i="57"/>
  <c r="BU98" i="57"/>
  <c r="BV98" i="57"/>
  <c r="BW98" i="57"/>
  <c r="BX98" i="57"/>
  <c r="BY98" i="57"/>
  <c r="BZ98" i="57"/>
  <c r="CA98" i="57"/>
  <c r="CB98" i="57"/>
  <c r="CC98" i="57"/>
  <c r="CD98" i="57"/>
  <c r="CE98" i="57"/>
  <c r="CF98" i="57"/>
  <c r="CG98" i="57"/>
  <c r="CH98" i="57"/>
  <c r="CI98" i="57"/>
  <c r="CJ98" i="57"/>
  <c r="S99" i="57"/>
  <c r="T99" i="57"/>
  <c r="U99" i="57"/>
  <c r="V99" i="57"/>
  <c r="W99" i="57"/>
  <c r="X99" i="57"/>
  <c r="Y99" i="57"/>
  <c r="Z99" i="57"/>
  <c r="AA99" i="57"/>
  <c r="AB99" i="57"/>
  <c r="AC99" i="57"/>
  <c r="AD99" i="57"/>
  <c r="AE99" i="57"/>
  <c r="AF99" i="57"/>
  <c r="AG99" i="57"/>
  <c r="AH99" i="57"/>
  <c r="AI99" i="57"/>
  <c r="AJ99" i="57"/>
  <c r="AK99" i="57"/>
  <c r="AL99" i="57"/>
  <c r="AM99" i="57"/>
  <c r="AN99" i="57"/>
  <c r="AO99" i="57"/>
  <c r="AP99" i="57"/>
  <c r="AQ99" i="57"/>
  <c r="AR99" i="57"/>
  <c r="AS99" i="57"/>
  <c r="AT99" i="57"/>
  <c r="AU99" i="57"/>
  <c r="AV99" i="57"/>
  <c r="AW99" i="57"/>
  <c r="AX99" i="57"/>
  <c r="AY99" i="57"/>
  <c r="AZ99" i="57"/>
  <c r="BA99" i="57"/>
  <c r="BB99" i="57"/>
  <c r="BC99" i="57"/>
  <c r="BD99" i="57"/>
  <c r="BE99" i="57"/>
  <c r="BF99" i="57"/>
  <c r="BG99" i="57"/>
  <c r="BH99" i="57"/>
  <c r="BI99" i="57"/>
  <c r="BJ99" i="57"/>
  <c r="BK99" i="57"/>
  <c r="BL99" i="57"/>
  <c r="BM99" i="57"/>
  <c r="BN99" i="57"/>
  <c r="BO99" i="57"/>
  <c r="BP99" i="57"/>
  <c r="BQ99" i="57"/>
  <c r="BR99" i="57"/>
  <c r="BS99" i="57"/>
  <c r="BT99" i="57"/>
  <c r="BU99" i="57"/>
  <c r="BV99" i="57"/>
  <c r="BW99" i="57"/>
  <c r="BX99" i="57"/>
  <c r="BY99" i="57"/>
  <c r="BZ99" i="57"/>
  <c r="CA99" i="57"/>
  <c r="CB99" i="57"/>
  <c r="CC99" i="57"/>
  <c r="CD99" i="57"/>
  <c r="CE99" i="57"/>
  <c r="CF99" i="57"/>
  <c r="CG99" i="57"/>
  <c r="CH99" i="57"/>
  <c r="CI99" i="57"/>
  <c r="CJ99" i="57"/>
  <c r="S100" i="57"/>
  <c r="T100" i="57"/>
  <c r="U100" i="57"/>
  <c r="V100" i="57"/>
  <c r="W100" i="57"/>
  <c r="X100" i="57"/>
  <c r="Y100" i="57"/>
  <c r="Z100" i="57"/>
  <c r="AA100" i="57"/>
  <c r="AB100" i="57"/>
  <c r="AC100" i="57"/>
  <c r="AD100" i="57"/>
  <c r="AE100" i="57"/>
  <c r="AF100" i="57"/>
  <c r="AG100" i="57"/>
  <c r="AH100" i="57"/>
  <c r="AI100" i="57"/>
  <c r="AJ100" i="57"/>
  <c r="AK100" i="57"/>
  <c r="AL100" i="57"/>
  <c r="AM100" i="57"/>
  <c r="AN100" i="57"/>
  <c r="AO100" i="57"/>
  <c r="AP100" i="57"/>
  <c r="AQ100" i="57"/>
  <c r="AR100" i="57"/>
  <c r="AS100" i="57"/>
  <c r="AT100" i="57"/>
  <c r="AU100" i="57"/>
  <c r="AV100" i="57"/>
  <c r="AW100" i="57"/>
  <c r="AX100" i="57"/>
  <c r="AY100" i="57"/>
  <c r="AZ100" i="57"/>
  <c r="BA100" i="57"/>
  <c r="BB100" i="57"/>
  <c r="BC100" i="57"/>
  <c r="BD100" i="57"/>
  <c r="BE100" i="57"/>
  <c r="BF100" i="57"/>
  <c r="BG100" i="57"/>
  <c r="BH100" i="57"/>
  <c r="BI100" i="57"/>
  <c r="BJ100" i="57"/>
  <c r="BK100" i="57"/>
  <c r="BL100" i="57"/>
  <c r="BM100" i="57"/>
  <c r="BN100" i="57"/>
  <c r="BO100" i="57"/>
  <c r="BP100" i="57"/>
  <c r="BQ100" i="57"/>
  <c r="BR100" i="57"/>
  <c r="BS100" i="57"/>
  <c r="BT100" i="57"/>
  <c r="BU100" i="57"/>
  <c r="BV100" i="57"/>
  <c r="BW100" i="57"/>
  <c r="BX100" i="57"/>
  <c r="BY100" i="57"/>
  <c r="BZ100" i="57"/>
  <c r="CA100" i="57"/>
  <c r="CB100" i="57"/>
  <c r="CC100" i="57"/>
  <c r="CD100" i="57"/>
  <c r="CE100" i="57"/>
  <c r="CF100" i="57"/>
  <c r="CG100" i="57"/>
  <c r="CH100" i="57"/>
  <c r="CI100" i="57"/>
  <c r="CJ100" i="57"/>
  <c r="S101" i="57"/>
  <c r="T101" i="57"/>
  <c r="U101" i="57"/>
  <c r="V101" i="57"/>
  <c r="W101" i="57"/>
  <c r="X101" i="57"/>
  <c r="Y101" i="57"/>
  <c r="Z101" i="57"/>
  <c r="AA101" i="57"/>
  <c r="AB101" i="57"/>
  <c r="AC101" i="57"/>
  <c r="AD101" i="57"/>
  <c r="AE101" i="57"/>
  <c r="AF101" i="57"/>
  <c r="AG101" i="57"/>
  <c r="AH101" i="57"/>
  <c r="AI101" i="57"/>
  <c r="AJ101" i="57"/>
  <c r="AK101" i="57"/>
  <c r="AL101" i="57"/>
  <c r="AM101" i="57"/>
  <c r="AN101" i="57"/>
  <c r="AO101" i="57"/>
  <c r="AP101" i="57"/>
  <c r="AQ101" i="57"/>
  <c r="AR101" i="57"/>
  <c r="AS101" i="57"/>
  <c r="AT101" i="57"/>
  <c r="AU101" i="57"/>
  <c r="AV101" i="57"/>
  <c r="AW101" i="57"/>
  <c r="AX101" i="57"/>
  <c r="AY101" i="57"/>
  <c r="AZ101" i="57"/>
  <c r="BA101" i="57"/>
  <c r="BB101" i="57"/>
  <c r="BC101" i="57"/>
  <c r="BD101" i="57"/>
  <c r="BE101" i="57"/>
  <c r="BF101" i="57"/>
  <c r="BG101" i="57"/>
  <c r="BH101" i="57"/>
  <c r="BI101" i="57"/>
  <c r="BJ101" i="57"/>
  <c r="BK101" i="57"/>
  <c r="BL101" i="57"/>
  <c r="BM101" i="57"/>
  <c r="BN101" i="57"/>
  <c r="BO101" i="57"/>
  <c r="BP101" i="57"/>
  <c r="BQ101" i="57"/>
  <c r="BR101" i="57"/>
  <c r="BS101" i="57"/>
  <c r="BT101" i="57"/>
  <c r="BU101" i="57"/>
  <c r="BV101" i="57"/>
  <c r="BW101" i="57"/>
  <c r="BX101" i="57"/>
  <c r="BY101" i="57"/>
  <c r="BZ101" i="57"/>
  <c r="CA101" i="57"/>
  <c r="CB101" i="57"/>
  <c r="CC101" i="57"/>
  <c r="CD101" i="57"/>
  <c r="CE101" i="57"/>
  <c r="CF101" i="57"/>
  <c r="CG101" i="57"/>
  <c r="CH101" i="57"/>
  <c r="CI101" i="57"/>
  <c r="CJ101" i="57"/>
  <c r="S102" i="57"/>
  <c r="T102" i="57"/>
  <c r="U102" i="57"/>
  <c r="V102" i="57"/>
  <c r="W102" i="57"/>
  <c r="X102" i="57"/>
  <c r="Y102" i="57"/>
  <c r="Z102" i="57"/>
  <c r="AA102" i="57"/>
  <c r="AB102" i="57"/>
  <c r="AC102" i="57"/>
  <c r="AD102" i="57"/>
  <c r="AE102" i="57"/>
  <c r="AF102" i="57"/>
  <c r="AG102" i="57"/>
  <c r="AH102" i="57"/>
  <c r="AI102" i="57"/>
  <c r="AJ102" i="57"/>
  <c r="AK102" i="57"/>
  <c r="AL102" i="57"/>
  <c r="AM102" i="57"/>
  <c r="AN102" i="57"/>
  <c r="AO102" i="57"/>
  <c r="AP102" i="57"/>
  <c r="AQ102" i="57"/>
  <c r="AR102" i="57"/>
  <c r="AS102" i="57"/>
  <c r="AT102" i="57"/>
  <c r="AU102" i="57"/>
  <c r="AV102" i="57"/>
  <c r="AW102" i="57"/>
  <c r="AX102" i="57"/>
  <c r="AY102" i="57"/>
  <c r="AZ102" i="57"/>
  <c r="BA102" i="57"/>
  <c r="BB102" i="57"/>
  <c r="BC102" i="57"/>
  <c r="BD102" i="57"/>
  <c r="BE102" i="57"/>
  <c r="BF102" i="57"/>
  <c r="BG102" i="57"/>
  <c r="BH102" i="57"/>
  <c r="BI102" i="57"/>
  <c r="BJ102" i="57"/>
  <c r="BK102" i="57"/>
  <c r="BL102" i="57"/>
  <c r="BM102" i="57"/>
  <c r="BN102" i="57"/>
  <c r="BO102" i="57"/>
  <c r="BP102" i="57"/>
  <c r="BQ102" i="57"/>
  <c r="BR102" i="57"/>
  <c r="BS102" i="57"/>
  <c r="BT102" i="57"/>
  <c r="BU102" i="57"/>
  <c r="BV102" i="57"/>
  <c r="BW102" i="57"/>
  <c r="BX102" i="57"/>
  <c r="BY102" i="57"/>
  <c r="BZ102" i="57"/>
  <c r="CA102" i="57"/>
  <c r="CB102" i="57"/>
  <c r="CC102" i="57"/>
  <c r="CD102" i="57"/>
  <c r="CE102" i="57"/>
  <c r="CF102" i="57"/>
  <c r="CG102" i="57"/>
  <c r="CH102" i="57"/>
  <c r="CI102" i="57"/>
  <c r="CJ102" i="57"/>
  <c r="S103" i="57"/>
  <c r="T103" i="57"/>
  <c r="U103" i="57"/>
  <c r="V103" i="57"/>
  <c r="W103" i="57"/>
  <c r="X103" i="57"/>
  <c r="Y103" i="57"/>
  <c r="Z103" i="57"/>
  <c r="AA103" i="57"/>
  <c r="AB103" i="57"/>
  <c r="AC103" i="57"/>
  <c r="AD103" i="57"/>
  <c r="AE103" i="57"/>
  <c r="AF103" i="57"/>
  <c r="AG103" i="57"/>
  <c r="AH103" i="57"/>
  <c r="AI103" i="57"/>
  <c r="AJ103" i="57"/>
  <c r="AK103" i="57"/>
  <c r="AL103" i="57"/>
  <c r="AM103" i="57"/>
  <c r="AN103" i="57"/>
  <c r="AO103" i="57"/>
  <c r="AP103" i="57"/>
  <c r="AQ103" i="57"/>
  <c r="AR103" i="57"/>
  <c r="AS103" i="57"/>
  <c r="AT103" i="57"/>
  <c r="AU103" i="57"/>
  <c r="AV103" i="57"/>
  <c r="AW103" i="57"/>
  <c r="AX103" i="57"/>
  <c r="AY103" i="57"/>
  <c r="AZ103" i="57"/>
  <c r="BA103" i="57"/>
  <c r="BB103" i="57"/>
  <c r="BC103" i="57"/>
  <c r="BD103" i="57"/>
  <c r="BE103" i="57"/>
  <c r="BF103" i="57"/>
  <c r="BG103" i="57"/>
  <c r="BH103" i="57"/>
  <c r="BI103" i="57"/>
  <c r="BJ103" i="57"/>
  <c r="BK103" i="57"/>
  <c r="BL103" i="57"/>
  <c r="BM103" i="57"/>
  <c r="BN103" i="57"/>
  <c r="BO103" i="57"/>
  <c r="BP103" i="57"/>
  <c r="BQ103" i="57"/>
  <c r="BR103" i="57"/>
  <c r="BS103" i="57"/>
  <c r="BT103" i="57"/>
  <c r="BU103" i="57"/>
  <c r="BV103" i="57"/>
  <c r="BW103" i="57"/>
  <c r="BX103" i="57"/>
  <c r="BY103" i="57"/>
  <c r="BZ103" i="57"/>
  <c r="CA103" i="57"/>
  <c r="CB103" i="57"/>
  <c r="CC103" i="57"/>
  <c r="CD103" i="57"/>
  <c r="CE103" i="57"/>
  <c r="CF103" i="57"/>
  <c r="CG103" i="57"/>
  <c r="CH103" i="57"/>
  <c r="CI103" i="57"/>
  <c r="CJ103" i="57"/>
  <c r="S104" i="57"/>
  <c r="T104" i="57"/>
  <c r="U104" i="57"/>
  <c r="V104" i="57"/>
  <c r="W104" i="57"/>
  <c r="X104" i="57"/>
  <c r="Y104" i="57"/>
  <c r="Z104" i="57"/>
  <c r="AA104" i="57"/>
  <c r="AB104" i="57"/>
  <c r="AC104" i="57"/>
  <c r="AD104" i="57"/>
  <c r="AE104" i="57"/>
  <c r="AF104" i="57"/>
  <c r="AG104" i="57"/>
  <c r="AH104" i="57"/>
  <c r="AI104" i="57"/>
  <c r="AJ104" i="57"/>
  <c r="AK104" i="57"/>
  <c r="AL104" i="57"/>
  <c r="AM104" i="57"/>
  <c r="AN104" i="57"/>
  <c r="AO104" i="57"/>
  <c r="AP104" i="57"/>
  <c r="AQ104" i="57"/>
  <c r="AR104" i="57"/>
  <c r="AS104" i="57"/>
  <c r="AT104" i="57"/>
  <c r="AU104" i="57"/>
  <c r="AV104" i="57"/>
  <c r="AW104" i="57"/>
  <c r="AX104" i="57"/>
  <c r="AY104" i="57"/>
  <c r="AZ104" i="57"/>
  <c r="BA104" i="57"/>
  <c r="BB104" i="57"/>
  <c r="BC104" i="57"/>
  <c r="BD104" i="57"/>
  <c r="BE104" i="57"/>
  <c r="BF104" i="57"/>
  <c r="BG104" i="57"/>
  <c r="BH104" i="57"/>
  <c r="BI104" i="57"/>
  <c r="BJ104" i="57"/>
  <c r="BK104" i="57"/>
  <c r="BL104" i="57"/>
  <c r="BM104" i="57"/>
  <c r="BN104" i="57"/>
  <c r="BO104" i="57"/>
  <c r="BP104" i="57"/>
  <c r="BQ104" i="57"/>
  <c r="BR104" i="57"/>
  <c r="BS104" i="57"/>
  <c r="BT104" i="57"/>
  <c r="BU104" i="57"/>
  <c r="BV104" i="57"/>
  <c r="BW104" i="57"/>
  <c r="BX104" i="57"/>
  <c r="BY104" i="57"/>
  <c r="BZ104" i="57"/>
  <c r="CA104" i="57"/>
  <c r="CB104" i="57"/>
  <c r="CC104" i="57"/>
  <c r="CD104" i="57"/>
  <c r="CE104" i="57"/>
  <c r="CF104" i="57"/>
  <c r="CG104" i="57"/>
  <c r="CH104" i="57"/>
  <c r="CI104" i="57"/>
  <c r="CJ104" i="57"/>
  <c r="S105" i="57"/>
  <c r="T105" i="57"/>
  <c r="U105" i="57"/>
  <c r="V105" i="57"/>
  <c r="W105" i="57"/>
  <c r="X105" i="57"/>
  <c r="Y105" i="57"/>
  <c r="Z105" i="57"/>
  <c r="AA105" i="57"/>
  <c r="AB105" i="57"/>
  <c r="AC105" i="57"/>
  <c r="AD105" i="57"/>
  <c r="AE105" i="57"/>
  <c r="AF105" i="57"/>
  <c r="AG105" i="57"/>
  <c r="AH105" i="57"/>
  <c r="AI105" i="57"/>
  <c r="AJ105" i="57"/>
  <c r="AK105" i="57"/>
  <c r="AL105" i="57"/>
  <c r="AM105" i="57"/>
  <c r="AN105" i="57"/>
  <c r="AO105" i="57"/>
  <c r="AP105" i="57"/>
  <c r="AQ105" i="57"/>
  <c r="AR105" i="57"/>
  <c r="AS105" i="57"/>
  <c r="AT105" i="57"/>
  <c r="AU105" i="57"/>
  <c r="AV105" i="57"/>
  <c r="AW105" i="57"/>
  <c r="AX105" i="57"/>
  <c r="AY105" i="57"/>
  <c r="AZ105" i="57"/>
  <c r="BA105" i="57"/>
  <c r="BB105" i="57"/>
  <c r="BC105" i="57"/>
  <c r="BD105" i="57"/>
  <c r="BE105" i="57"/>
  <c r="BF105" i="57"/>
  <c r="BG105" i="57"/>
  <c r="BH105" i="57"/>
  <c r="BI105" i="57"/>
  <c r="BJ105" i="57"/>
  <c r="BK105" i="57"/>
  <c r="BL105" i="57"/>
  <c r="BM105" i="57"/>
  <c r="BN105" i="57"/>
  <c r="BO105" i="57"/>
  <c r="BP105" i="57"/>
  <c r="BQ105" i="57"/>
  <c r="BR105" i="57"/>
  <c r="BS105" i="57"/>
  <c r="BT105" i="57"/>
  <c r="BU105" i="57"/>
  <c r="BV105" i="57"/>
  <c r="BW105" i="57"/>
  <c r="BX105" i="57"/>
  <c r="BY105" i="57"/>
  <c r="BZ105" i="57"/>
  <c r="CA105" i="57"/>
  <c r="CB105" i="57"/>
  <c r="CC105" i="57"/>
  <c r="CD105" i="57"/>
  <c r="CE105" i="57"/>
  <c r="CF105" i="57"/>
  <c r="CG105" i="57"/>
  <c r="CH105" i="57"/>
  <c r="CI105" i="57"/>
  <c r="CJ105" i="57"/>
  <c r="S106" i="57"/>
  <c r="T106" i="57"/>
  <c r="U106" i="57"/>
  <c r="V106" i="57"/>
  <c r="W106" i="57"/>
  <c r="X106" i="57"/>
  <c r="Y106" i="57"/>
  <c r="Z106" i="57"/>
  <c r="AA106" i="57"/>
  <c r="AB106" i="57"/>
  <c r="AC106" i="57"/>
  <c r="AD106" i="57"/>
  <c r="AE106" i="57"/>
  <c r="AF106" i="57"/>
  <c r="AG106" i="57"/>
  <c r="AH106" i="57"/>
  <c r="AI106" i="57"/>
  <c r="AJ106" i="57"/>
  <c r="AK106" i="57"/>
  <c r="AL106" i="57"/>
  <c r="AM106" i="57"/>
  <c r="AN106" i="57"/>
  <c r="AO106" i="57"/>
  <c r="AP106" i="57"/>
  <c r="AQ106" i="57"/>
  <c r="AR106" i="57"/>
  <c r="AS106" i="57"/>
  <c r="AT106" i="57"/>
  <c r="AU106" i="57"/>
  <c r="AV106" i="57"/>
  <c r="AW106" i="57"/>
  <c r="AX106" i="57"/>
  <c r="AY106" i="57"/>
  <c r="AZ106" i="57"/>
  <c r="BA106" i="57"/>
  <c r="BB106" i="57"/>
  <c r="BC106" i="57"/>
  <c r="BD106" i="57"/>
  <c r="BE106" i="57"/>
  <c r="BF106" i="57"/>
  <c r="BG106" i="57"/>
  <c r="BH106" i="57"/>
  <c r="BI106" i="57"/>
  <c r="BJ106" i="57"/>
  <c r="BK106" i="57"/>
  <c r="BL106" i="57"/>
  <c r="BM106" i="57"/>
  <c r="BN106" i="57"/>
  <c r="BO106" i="57"/>
  <c r="BP106" i="57"/>
  <c r="BQ106" i="57"/>
  <c r="BR106" i="57"/>
  <c r="BS106" i="57"/>
  <c r="BT106" i="57"/>
  <c r="BU106" i="57"/>
  <c r="BV106" i="57"/>
  <c r="BW106" i="57"/>
  <c r="BX106" i="57"/>
  <c r="BY106" i="57"/>
  <c r="BZ106" i="57"/>
  <c r="CA106" i="57"/>
  <c r="CB106" i="57"/>
  <c r="CC106" i="57"/>
  <c r="CD106" i="57"/>
  <c r="CE106" i="57"/>
  <c r="CF106" i="57"/>
  <c r="CG106" i="57"/>
  <c r="CH106" i="57"/>
  <c r="CI106" i="57"/>
  <c r="CJ106" i="57"/>
  <c r="S107" i="57"/>
  <c r="T107" i="57"/>
  <c r="U107" i="57"/>
  <c r="V107" i="57"/>
  <c r="W107" i="57"/>
  <c r="X107" i="57"/>
  <c r="Y107" i="57"/>
  <c r="Z107" i="57"/>
  <c r="AA107" i="57"/>
  <c r="AB107" i="57"/>
  <c r="AC107" i="57"/>
  <c r="AD107" i="57"/>
  <c r="AE107" i="57"/>
  <c r="AF107" i="57"/>
  <c r="AG107" i="57"/>
  <c r="AH107" i="57"/>
  <c r="AI107" i="57"/>
  <c r="AJ107" i="57"/>
  <c r="AK107" i="57"/>
  <c r="AL107" i="57"/>
  <c r="AM107" i="57"/>
  <c r="AN107" i="57"/>
  <c r="AO107" i="57"/>
  <c r="AP107" i="57"/>
  <c r="AQ107" i="57"/>
  <c r="AR107" i="57"/>
  <c r="AS107" i="57"/>
  <c r="AT107" i="57"/>
  <c r="AU107" i="57"/>
  <c r="AV107" i="57"/>
  <c r="AW107" i="57"/>
  <c r="AX107" i="57"/>
  <c r="AY107" i="57"/>
  <c r="AZ107" i="57"/>
  <c r="BA107" i="57"/>
  <c r="BB107" i="57"/>
  <c r="BC107" i="57"/>
  <c r="BD107" i="57"/>
  <c r="BE107" i="57"/>
  <c r="BF107" i="57"/>
  <c r="BG107" i="57"/>
  <c r="BH107" i="57"/>
  <c r="BI107" i="57"/>
  <c r="BJ107" i="57"/>
  <c r="BK107" i="57"/>
  <c r="BL107" i="57"/>
  <c r="BM107" i="57"/>
  <c r="BN107" i="57"/>
  <c r="BO107" i="57"/>
  <c r="BP107" i="57"/>
  <c r="BQ107" i="57"/>
  <c r="BR107" i="57"/>
  <c r="BS107" i="57"/>
  <c r="BT107" i="57"/>
  <c r="BU107" i="57"/>
  <c r="BV107" i="57"/>
  <c r="BW107" i="57"/>
  <c r="BX107" i="57"/>
  <c r="BY107" i="57"/>
  <c r="BZ107" i="57"/>
  <c r="CA107" i="57"/>
  <c r="CB107" i="57"/>
  <c r="CC107" i="57"/>
  <c r="CD107" i="57"/>
  <c r="CE107" i="57"/>
  <c r="CF107" i="57"/>
  <c r="CG107" i="57"/>
  <c r="CH107" i="57"/>
  <c r="CI107" i="57"/>
  <c r="CJ107" i="57"/>
  <c r="S108" i="57"/>
  <c r="T108" i="57"/>
  <c r="U108" i="57"/>
  <c r="V108" i="57"/>
  <c r="W108" i="57"/>
  <c r="X108" i="57"/>
  <c r="Y108" i="57"/>
  <c r="Z108" i="57"/>
  <c r="AA108" i="57"/>
  <c r="AB108" i="57"/>
  <c r="AC108" i="57"/>
  <c r="AD108" i="57"/>
  <c r="AE108" i="57"/>
  <c r="AF108" i="57"/>
  <c r="AG108" i="57"/>
  <c r="AH108" i="57"/>
  <c r="AI108" i="57"/>
  <c r="AJ108" i="57"/>
  <c r="AK108" i="57"/>
  <c r="AL108" i="57"/>
  <c r="AM108" i="57"/>
  <c r="AN108" i="57"/>
  <c r="AO108" i="57"/>
  <c r="AP108" i="57"/>
  <c r="AQ108" i="57"/>
  <c r="AR108" i="57"/>
  <c r="AS108" i="57"/>
  <c r="AT108" i="57"/>
  <c r="AU108" i="57"/>
  <c r="AV108" i="57"/>
  <c r="AW108" i="57"/>
  <c r="AX108" i="57"/>
  <c r="AY108" i="57"/>
  <c r="AZ108" i="57"/>
  <c r="BA108" i="57"/>
  <c r="BB108" i="57"/>
  <c r="BC108" i="57"/>
  <c r="BD108" i="57"/>
  <c r="BE108" i="57"/>
  <c r="BF108" i="57"/>
  <c r="BG108" i="57"/>
  <c r="BH108" i="57"/>
  <c r="BI108" i="57"/>
  <c r="BJ108" i="57"/>
  <c r="BK108" i="57"/>
  <c r="BL108" i="57"/>
  <c r="BM108" i="57"/>
  <c r="BN108" i="57"/>
  <c r="BO108" i="57"/>
  <c r="BP108" i="57"/>
  <c r="BQ108" i="57"/>
  <c r="BR108" i="57"/>
  <c r="BS108" i="57"/>
  <c r="BT108" i="57"/>
  <c r="BU108" i="57"/>
  <c r="BV108" i="57"/>
  <c r="BW108" i="57"/>
  <c r="BX108" i="57"/>
  <c r="BY108" i="57"/>
  <c r="BZ108" i="57"/>
  <c r="CA108" i="57"/>
  <c r="CB108" i="57"/>
  <c r="CC108" i="57"/>
  <c r="CD108" i="57"/>
  <c r="CE108" i="57"/>
  <c r="CF108" i="57"/>
  <c r="CG108" i="57"/>
  <c r="CH108" i="57"/>
  <c r="CI108" i="57"/>
  <c r="CJ108" i="57"/>
  <c r="S109" i="57"/>
  <c r="T109" i="57"/>
  <c r="U109" i="57"/>
  <c r="V109" i="57"/>
  <c r="W109" i="57"/>
  <c r="X109" i="57"/>
  <c r="Y109" i="57"/>
  <c r="Z109" i="57"/>
  <c r="AA109" i="57"/>
  <c r="AB109" i="57"/>
  <c r="AC109" i="57"/>
  <c r="AD109" i="57"/>
  <c r="AE109" i="57"/>
  <c r="AF109" i="57"/>
  <c r="AG109" i="57"/>
  <c r="AH109" i="57"/>
  <c r="AI109" i="57"/>
  <c r="AJ109" i="57"/>
  <c r="AK109" i="57"/>
  <c r="AL109" i="57"/>
  <c r="AM109" i="57"/>
  <c r="AN109" i="57"/>
  <c r="AO109" i="57"/>
  <c r="AP109" i="57"/>
  <c r="AQ109" i="57"/>
  <c r="AR109" i="57"/>
  <c r="AS109" i="57"/>
  <c r="AT109" i="57"/>
  <c r="AU109" i="57"/>
  <c r="AV109" i="57"/>
  <c r="AW109" i="57"/>
  <c r="AX109" i="57"/>
  <c r="AY109" i="57"/>
  <c r="AZ109" i="57"/>
  <c r="BA109" i="57"/>
  <c r="BB109" i="57"/>
  <c r="BC109" i="57"/>
  <c r="BD109" i="57"/>
  <c r="BE109" i="57"/>
  <c r="BF109" i="57"/>
  <c r="BG109" i="57"/>
  <c r="BH109" i="57"/>
  <c r="BI109" i="57"/>
  <c r="BJ109" i="57"/>
  <c r="BK109" i="57"/>
  <c r="BL109" i="57"/>
  <c r="BM109" i="57"/>
  <c r="BN109" i="57"/>
  <c r="BO109" i="57"/>
  <c r="BP109" i="57"/>
  <c r="BQ109" i="57"/>
  <c r="BR109" i="57"/>
  <c r="BS109" i="57"/>
  <c r="BT109" i="57"/>
  <c r="BU109" i="57"/>
  <c r="BV109" i="57"/>
  <c r="BW109" i="57"/>
  <c r="BX109" i="57"/>
  <c r="BY109" i="57"/>
  <c r="BZ109" i="57"/>
  <c r="CA109" i="57"/>
  <c r="CB109" i="57"/>
  <c r="CC109" i="57"/>
  <c r="CD109" i="57"/>
  <c r="CE109" i="57"/>
  <c r="CF109" i="57"/>
  <c r="CG109" i="57"/>
  <c r="CH109" i="57"/>
  <c r="CI109" i="57"/>
  <c r="CJ109" i="57"/>
  <c r="S110" i="57"/>
  <c r="T110" i="57"/>
  <c r="U110" i="57"/>
  <c r="V110" i="57"/>
  <c r="W110" i="57"/>
  <c r="X110" i="57"/>
  <c r="Y110" i="57"/>
  <c r="Z110" i="57"/>
  <c r="AA110" i="57"/>
  <c r="AB110" i="57"/>
  <c r="AC110" i="57"/>
  <c r="AD110" i="57"/>
  <c r="AE110" i="57"/>
  <c r="AF110" i="57"/>
  <c r="AG110" i="57"/>
  <c r="AH110" i="57"/>
  <c r="AI110" i="57"/>
  <c r="AJ110" i="57"/>
  <c r="AK110" i="57"/>
  <c r="AL110" i="57"/>
  <c r="AM110" i="57"/>
  <c r="AN110" i="57"/>
  <c r="AO110" i="57"/>
  <c r="AP110" i="57"/>
  <c r="AQ110" i="57"/>
  <c r="AR110" i="57"/>
  <c r="AS110" i="57"/>
  <c r="AT110" i="57"/>
  <c r="AU110" i="57"/>
  <c r="AV110" i="57"/>
  <c r="AW110" i="57"/>
  <c r="AX110" i="57"/>
  <c r="AY110" i="57"/>
  <c r="AZ110" i="57"/>
  <c r="BA110" i="57"/>
  <c r="BB110" i="57"/>
  <c r="BC110" i="57"/>
  <c r="BD110" i="57"/>
  <c r="BE110" i="57"/>
  <c r="BF110" i="57"/>
  <c r="BG110" i="57"/>
  <c r="BH110" i="57"/>
  <c r="BI110" i="57"/>
  <c r="BJ110" i="57"/>
  <c r="BK110" i="57"/>
  <c r="BL110" i="57"/>
  <c r="BM110" i="57"/>
  <c r="BN110" i="57"/>
  <c r="BO110" i="57"/>
  <c r="BP110" i="57"/>
  <c r="BQ110" i="57"/>
  <c r="BR110" i="57"/>
  <c r="BS110" i="57"/>
  <c r="BT110" i="57"/>
  <c r="BU110" i="57"/>
  <c r="BV110" i="57"/>
  <c r="BW110" i="57"/>
  <c r="BX110" i="57"/>
  <c r="BY110" i="57"/>
  <c r="BZ110" i="57"/>
  <c r="CA110" i="57"/>
  <c r="CB110" i="57"/>
  <c r="CC110" i="57"/>
  <c r="CD110" i="57"/>
  <c r="CE110" i="57"/>
  <c r="CF110" i="57"/>
  <c r="CG110" i="57"/>
  <c r="CH110" i="57"/>
  <c r="CI110" i="57"/>
  <c r="CJ110" i="57"/>
  <c r="S111" i="57"/>
  <c r="T111" i="57"/>
  <c r="U111" i="57"/>
  <c r="V111" i="57"/>
  <c r="W111" i="57"/>
  <c r="X111" i="57"/>
  <c r="Y111" i="57"/>
  <c r="Z111" i="57"/>
  <c r="AA111" i="57"/>
  <c r="AB111" i="57"/>
  <c r="AC111" i="57"/>
  <c r="AD111" i="57"/>
  <c r="AE111" i="57"/>
  <c r="AF111" i="57"/>
  <c r="AG111" i="57"/>
  <c r="AH111" i="57"/>
  <c r="AI111" i="57"/>
  <c r="AJ111" i="57"/>
  <c r="AK111" i="57"/>
  <c r="AL111" i="57"/>
  <c r="AM111" i="57"/>
  <c r="AN111" i="57"/>
  <c r="AO111" i="57"/>
  <c r="AP111" i="57"/>
  <c r="AQ111" i="57"/>
  <c r="AR111" i="57"/>
  <c r="AS111" i="57"/>
  <c r="AT111" i="57"/>
  <c r="AU111" i="57"/>
  <c r="AV111" i="57"/>
  <c r="AW111" i="57"/>
  <c r="AX111" i="57"/>
  <c r="AY111" i="57"/>
  <c r="AZ111" i="57"/>
  <c r="BA111" i="57"/>
  <c r="BB111" i="57"/>
  <c r="BC111" i="57"/>
  <c r="BD111" i="57"/>
  <c r="BE111" i="57"/>
  <c r="BF111" i="57"/>
  <c r="BG111" i="57"/>
  <c r="BH111" i="57"/>
  <c r="BI111" i="57"/>
  <c r="BJ111" i="57"/>
  <c r="BK111" i="57"/>
  <c r="BL111" i="57"/>
  <c r="BM111" i="57"/>
  <c r="BN111" i="57"/>
  <c r="BO111" i="57"/>
  <c r="BP111" i="57"/>
  <c r="BQ111" i="57"/>
  <c r="BR111" i="57"/>
  <c r="BS111" i="57"/>
  <c r="BT111" i="57"/>
  <c r="BU111" i="57"/>
  <c r="BV111" i="57"/>
  <c r="BW111" i="57"/>
  <c r="BX111" i="57"/>
  <c r="BY111" i="57"/>
  <c r="BZ111" i="57"/>
  <c r="CA111" i="57"/>
  <c r="CB111" i="57"/>
  <c r="CC111" i="57"/>
  <c r="CD111" i="57"/>
  <c r="CE111" i="57"/>
  <c r="CF111" i="57"/>
  <c r="CG111" i="57"/>
  <c r="CH111" i="57"/>
  <c r="CI111" i="57"/>
  <c r="CJ111" i="57"/>
  <c r="S112" i="57"/>
  <c r="T112" i="57"/>
  <c r="U112" i="57"/>
  <c r="V112" i="57"/>
  <c r="W112" i="57"/>
  <c r="X112" i="57"/>
  <c r="Y112" i="57"/>
  <c r="Z112" i="57"/>
  <c r="AA112" i="57"/>
  <c r="AB112" i="57"/>
  <c r="AC112" i="57"/>
  <c r="AD112" i="57"/>
  <c r="AE112" i="57"/>
  <c r="AF112" i="57"/>
  <c r="AG112" i="57"/>
  <c r="AH112" i="57"/>
  <c r="AI112" i="57"/>
  <c r="AJ112" i="57"/>
  <c r="AK112" i="57"/>
  <c r="AL112" i="57"/>
  <c r="AM112" i="57"/>
  <c r="AN112" i="57"/>
  <c r="AO112" i="57"/>
  <c r="AP112" i="57"/>
  <c r="AQ112" i="57"/>
  <c r="AR112" i="57"/>
  <c r="AS112" i="57"/>
  <c r="AT112" i="57"/>
  <c r="AU112" i="57"/>
  <c r="AV112" i="57"/>
  <c r="AW112" i="57"/>
  <c r="AX112" i="57"/>
  <c r="AY112" i="57"/>
  <c r="AZ112" i="57"/>
  <c r="BA112" i="57"/>
  <c r="BB112" i="57"/>
  <c r="BC112" i="57"/>
  <c r="BD112" i="57"/>
  <c r="BE112" i="57"/>
  <c r="BF112" i="57"/>
  <c r="BG112" i="57"/>
  <c r="BH112" i="57"/>
  <c r="BI112" i="57"/>
  <c r="BJ112" i="57"/>
  <c r="BK112" i="57"/>
  <c r="BL112" i="57"/>
  <c r="BM112" i="57"/>
  <c r="BN112" i="57"/>
  <c r="BO112" i="57"/>
  <c r="BP112" i="57"/>
  <c r="BQ112" i="57"/>
  <c r="BR112" i="57"/>
  <c r="BS112" i="57"/>
  <c r="BT112" i="57"/>
  <c r="BU112" i="57"/>
  <c r="BV112" i="57"/>
  <c r="BW112" i="57"/>
  <c r="BX112" i="57"/>
  <c r="BY112" i="57"/>
  <c r="BZ112" i="57"/>
  <c r="CA112" i="57"/>
  <c r="CB112" i="57"/>
  <c r="CC112" i="57"/>
  <c r="CD112" i="57"/>
  <c r="CE112" i="57"/>
  <c r="CF112" i="57"/>
  <c r="CG112" i="57"/>
  <c r="CH112" i="57"/>
  <c r="CI112" i="57"/>
  <c r="CJ112" i="57"/>
  <c r="S113" i="57"/>
  <c r="T113" i="57"/>
  <c r="U113" i="57"/>
  <c r="V113" i="57"/>
  <c r="W113" i="57"/>
  <c r="X113" i="57"/>
  <c r="Y113" i="57"/>
  <c r="Z113" i="57"/>
  <c r="AA113" i="57"/>
  <c r="AB113" i="57"/>
  <c r="AC113" i="57"/>
  <c r="AD113" i="57"/>
  <c r="AE113" i="57"/>
  <c r="AF113" i="57"/>
  <c r="AG113" i="57"/>
  <c r="AH113" i="57"/>
  <c r="AI113" i="57"/>
  <c r="AJ113" i="57"/>
  <c r="AK113" i="57"/>
  <c r="AL113" i="57"/>
  <c r="AM113" i="57"/>
  <c r="AN113" i="57"/>
  <c r="AO113" i="57"/>
  <c r="AP113" i="57"/>
  <c r="AQ113" i="57"/>
  <c r="AR113" i="57"/>
  <c r="AS113" i="57"/>
  <c r="AT113" i="57"/>
  <c r="AU113" i="57"/>
  <c r="AV113" i="57"/>
  <c r="AW113" i="57"/>
  <c r="AX113" i="57"/>
  <c r="AY113" i="57"/>
  <c r="AZ113" i="57"/>
  <c r="BA113" i="57"/>
  <c r="BB113" i="57"/>
  <c r="BC113" i="57"/>
  <c r="BD113" i="57"/>
  <c r="BE113" i="57"/>
  <c r="BF113" i="57"/>
  <c r="BG113" i="57"/>
  <c r="BH113" i="57"/>
  <c r="BI113" i="57"/>
  <c r="BJ113" i="57"/>
  <c r="BK113" i="57"/>
  <c r="BL113" i="57"/>
  <c r="BM113" i="57"/>
  <c r="BN113" i="57"/>
  <c r="BO113" i="57"/>
  <c r="BP113" i="57"/>
  <c r="BQ113" i="57"/>
  <c r="BR113" i="57"/>
  <c r="BS113" i="57"/>
  <c r="BT113" i="57"/>
  <c r="BU113" i="57"/>
  <c r="BV113" i="57"/>
  <c r="BW113" i="57"/>
  <c r="BX113" i="57"/>
  <c r="BY113" i="57"/>
  <c r="BZ113" i="57"/>
  <c r="CA113" i="57"/>
  <c r="CB113" i="57"/>
  <c r="CC113" i="57"/>
  <c r="CD113" i="57"/>
  <c r="CE113" i="57"/>
  <c r="CF113" i="57"/>
  <c r="CG113" i="57"/>
  <c r="CH113" i="57"/>
  <c r="CI113" i="57"/>
  <c r="CJ113" i="57"/>
  <c r="S114" i="57"/>
  <c r="T114" i="57"/>
  <c r="U114" i="57"/>
  <c r="V114" i="57"/>
  <c r="W114" i="57"/>
  <c r="X114" i="57"/>
  <c r="Y114" i="57"/>
  <c r="Z114" i="57"/>
  <c r="AA114" i="57"/>
  <c r="AB114" i="57"/>
  <c r="AC114" i="57"/>
  <c r="AD114" i="57"/>
  <c r="AE114" i="57"/>
  <c r="AF114" i="57"/>
  <c r="AG114" i="57"/>
  <c r="AH114" i="57"/>
  <c r="AI114" i="57"/>
  <c r="AJ114" i="57"/>
  <c r="AK114" i="57"/>
  <c r="AL114" i="57"/>
  <c r="AM114" i="57"/>
  <c r="AN114" i="57"/>
  <c r="AO114" i="57"/>
  <c r="AP114" i="57"/>
  <c r="AQ114" i="57"/>
  <c r="AR114" i="57"/>
  <c r="AS114" i="57"/>
  <c r="AT114" i="57"/>
  <c r="AU114" i="57"/>
  <c r="AV114" i="57"/>
  <c r="AW114" i="57"/>
  <c r="AX114" i="57"/>
  <c r="AY114" i="57"/>
  <c r="AZ114" i="57"/>
  <c r="BA114" i="57"/>
  <c r="BB114" i="57"/>
  <c r="BC114" i="57"/>
  <c r="BD114" i="57"/>
  <c r="BE114" i="57"/>
  <c r="BF114" i="57"/>
  <c r="BG114" i="57"/>
  <c r="BH114" i="57"/>
  <c r="BI114" i="57"/>
  <c r="BJ114" i="57"/>
  <c r="BK114" i="57"/>
  <c r="BL114" i="57"/>
  <c r="BM114" i="57"/>
  <c r="BN114" i="57"/>
  <c r="BO114" i="57"/>
  <c r="BP114" i="57"/>
  <c r="BQ114" i="57"/>
  <c r="BR114" i="57"/>
  <c r="BS114" i="57"/>
  <c r="BT114" i="57"/>
  <c r="BU114" i="57"/>
  <c r="BV114" i="57"/>
  <c r="BW114" i="57"/>
  <c r="BX114" i="57"/>
  <c r="BY114" i="57"/>
  <c r="BZ114" i="57"/>
  <c r="CA114" i="57"/>
  <c r="CB114" i="57"/>
  <c r="CC114" i="57"/>
  <c r="CD114" i="57"/>
  <c r="CE114" i="57"/>
  <c r="CF114" i="57"/>
  <c r="CG114" i="57"/>
  <c r="CH114" i="57"/>
  <c r="CI114" i="57"/>
  <c r="CJ114" i="57"/>
  <c r="S115" i="57"/>
  <c r="T115" i="57"/>
  <c r="U115" i="57"/>
  <c r="V115" i="57"/>
  <c r="W115" i="57"/>
  <c r="X115" i="57"/>
  <c r="Y115" i="57"/>
  <c r="Z115" i="57"/>
  <c r="AA115" i="57"/>
  <c r="AB115" i="57"/>
  <c r="AC115" i="57"/>
  <c r="AD115" i="57"/>
  <c r="AE115" i="57"/>
  <c r="AF115" i="57"/>
  <c r="AG115" i="57"/>
  <c r="AH115" i="57"/>
  <c r="AI115" i="57"/>
  <c r="AJ115" i="57"/>
  <c r="AK115" i="57"/>
  <c r="AL115" i="57"/>
  <c r="AM115" i="57"/>
  <c r="AN115" i="57"/>
  <c r="AO115" i="57"/>
  <c r="AP115" i="57"/>
  <c r="AQ115" i="57"/>
  <c r="AR115" i="57"/>
  <c r="AS115" i="57"/>
  <c r="AT115" i="57"/>
  <c r="AU115" i="57"/>
  <c r="AV115" i="57"/>
  <c r="AW115" i="57"/>
  <c r="AX115" i="57"/>
  <c r="AY115" i="57"/>
  <c r="AZ115" i="57"/>
  <c r="BA115" i="57"/>
  <c r="BB115" i="57"/>
  <c r="BC115" i="57"/>
  <c r="BD115" i="57"/>
  <c r="BE115" i="57"/>
  <c r="BF115" i="57"/>
  <c r="BG115" i="57"/>
  <c r="BH115" i="57"/>
  <c r="BI115" i="57"/>
  <c r="BJ115" i="57"/>
  <c r="BK115" i="57"/>
  <c r="BL115" i="57"/>
  <c r="BM115" i="57"/>
  <c r="BN115" i="57"/>
  <c r="BO115" i="57"/>
  <c r="BP115" i="57"/>
  <c r="BQ115" i="57"/>
  <c r="BR115" i="57"/>
  <c r="BS115" i="57"/>
  <c r="BT115" i="57"/>
  <c r="BU115" i="57"/>
  <c r="BV115" i="57"/>
  <c r="BW115" i="57"/>
  <c r="BX115" i="57"/>
  <c r="BY115" i="57"/>
  <c r="BZ115" i="57"/>
  <c r="CA115" i="57"/>
  <c r="CB115" i="57"/>
  <c r="CC115" i="57"/>
  <c r="CD115" i="57"/>
  <c r="CE115" i="57"/>
  <c r="CF115" i="57"/>
  <c r="CG115" i="57"/>
  <c r="CH115" i="57"/>
  <c r="CI115" i="57"/>
  <c r="CJ115" i="57"/>
  <c r="S116" i="57"/>
  <c r="T116" i="57"/>
  <c r="U116" i="57"/>
  <c r="V116" i="57"/>
  <c r="W116" i="57"/>
  <c r="X116" i="57"/>
  <c r="Y116" i="57"/>
  <c r="Z116" i="57"/>
  <c r="AA116" i="57"/>
  <c r="AB116" i="57"/>
  <c r="AC116" i="57"/>
  <c r="AD116" i="57"/>
  <c r="AE116" i="57"/>
  <c r="AF116" i="57"/>
  <c r="AG116" i="57"/>
  <c r="AH116" i="57"/>
  <c r="AI116" i="57"/>
  <c r="AJ116" i="57"/>
  <c r="AK116" i="57"/>
  <c r="AL116" i="57"/>
  <c r="AM116" i="57"/>
  <c r="AN116" i="57"/>
  <c r="AO116" i="57"/>
  <c r="AP116" i="57"/>
  <c r="AQ116" i="57"/>
  <c r="AR116" i="57"/>
  <c r="AS116" i="57"/>
  <c r="AT116" i="57"/>
  <c r="AU116" i="57"/>
  <c r="AV116" i="57"/>
  <c r="AW116" i="57"/>
  <c r="AX116" i="57"/>
  <c r="AY116" i="57"/>
  <c r="AZ116" i="57"/>
  <c r="BA116" i="57"/>
  <c r="BB116" i="57"/>
  <c r="BC116" i="57"/>
  <c r="BD116" i="57"/>
  <c r="BE116" i="57"/>
  <c r="BF116" i="57"/>
  <c r="BG116" i="57"/>
  <c r="BH116" i="57"/>
  <c r="BI116" i="57"/>
  <c r="BJ116" i="57"/>
  <c r="BK116" i="57"/>
  <c r="BL116" i="57"/>
  <c r="BM116" i="57"/>
  <c r="BN116" i="57"/>
  <c r="BO116" i="57"/>
  <c r="BP116" i="57"/>
  <c r="BQ116" i="57"/>
  <c r="BR116" i="57"/>
  <c r="BS116" i="57"/>
  <c r="BT116" i="57"/>
  <c r="BU116" i="57"/>
  <c r="BV116" i="57"/>
  <c r="BW116" i="57"/>
  <c r="BX116" i="57"/>
  <c r="BY116" i="57"/>
  <c r="BZ116" i="57"/>
  <c r="CA116" i="57"/>
  <c r="CB116" i="57"/>
  <c r="CC116" i="57"/>
  <c r="CD116" i="57"/>
  <c r="CE116" i="57"/>
  <c r="CF116" i="57"/>
  <c r="CG116" i="57"/>
  <c r="CH116" i="57"/>
  <c r="CI116" i="57"/>
  <c r="CJ116" i="57"/>
  <c r="S117" i="57"/>
  <c r="T117" i="57"/>
  <c r="U117" i="57"/>
  <c r="V117" i="57"/>
  <c r="W117" i="57"/>
  <c r="X117" i="57"/>
  <c r="Y117" i="57"/>
  <c r="Z117" i="57"/>
  <c r="AA117" i="57"/>
  <c r="AB117" i="57"/>
  <c r="AC117" i="57"/>
  <c r="AD117" i="57"/>
  <c r="AE117" i="57"/>
  <c r="AF117" i="57"/>
  <c r="AG117" i="57"/>
  <c r="AH117" i="57"/>
  <c r="AI117" i="57"/>
  <c r="AJ117" i="57"/>
  <c r="AK117" i="57"/>
  <c r="AL117" i="57"/>
  <c r="AM117" i="57"/>
  <c r="AN117" i="57"/>
  <c r="AO117" i="57"/>
  <c r="AP117" i="57"/>
  <c r="AQ117" i="57"/>
  <c r="AR117" i="57"/>
  <c r="AS117" i="57"/>
  <c r="AT117" i="57"/>
  <c r="AU117" i="57"/>
  <c r="AV117" i="57"/>
  <c r="AW117" i="57"/>
  <c r="AX117" i="57"/>
  <c r="AY117" i="57"/>
  <c r="AZ117" i="57"/>
  <c r="BA117" i="57"/>
  <c r="BB117" i="57"/>
  <c r="BC117" i="57"/>
  <c r="BD117" i="57"/>
  <c r="BE117" i="57"/>
  <c r="BF117" i="57"/>
  <c r="BG117" i="57"/>
  <c r="BH117" i="57"/>
  <c r="BI117" i="57"/>
  <c r="BJ117" i="57"/>
  <c r="BK117" i="57"/>
  <c r="BL117" i="57"/>
  <c r="BM117" i="57"/>
  <c r="BN117" i="57"/>
  <c r="BO117" i="57"/>
  <c r="BP117" i="57"/>
  <c r="BQ117" i="57"/>
  <c r="BR117" i="57"/>
  <c r="BS117" i="57"/>
  <c r="BT117" i="57"/>
  <c r="BU117" i="57"/>
  <c r="BV117" i="57"/>
  <c r="BW117" i="57"/>
  <c r="BX117" i="57"/>
  <c r="BY117" i="57"/>
  <c r="BZ117" i="57"/>
  <c r="CA117" i="57"/>
  <c r="CB117" i="57"/>
  <c r="CC117" i="57"/>
  <c r="CD117" i="57"/>
  <c r="CE117" i="57"/>
  <c r="CF117" i="57"/>
  <c r="CG117" i="57"/>
  <c r="CH117" i="57"/>
  <c r="CI117" i="57"/>
  <c r="CJ117" i="57"/>
  <c r="S118" i="57"/>
  <c r="T118" i="57"/>
  <c r="U118" i="57"/>
  <c r="V118" i="57"/>
  <c r="W118" i="57"/>
  <c r="X118" i="57"/>
  <c r="Y118" i="57"/>
  <c r="Z118" i="57"/>
  <c r="AA118" i="57"/>
  <c r="AB118" i="57"/>
  <c r="AC118" i="57"/>
  <c r="AD118" i="57"/>
  <c r="AE118" i="57"/>
  <c r="AF118" i="57"/>
  <c r="AG118" i="57"/>
  <c r="AH118" i="57"/>
  <c r="AI118" i="57"/>
  <c r="AJ118" i="57"/>
  <c r="AK118" i="57"/>
  <c r="AL118" i="57"/>
  <c r="AM118" i="57"/>
  <c r="AN118" i="57"/>
  <c r="AO118" i="57"/>
  <c r="AP118" i="57"/>
  <c r="AQ118" i="57"/>
  <c r="AR118" i="57"/>
  <c r="AS118" i="57"/>
  <c r="AT118" i="57"/>
  <c r="AU118" i="57"/>
  <c r="AV118" i="57"/>
  <c r="AW118" i="57"/>
  <c r="AX118" i="57"/>
  <c r="AY118" i="57"/>
  <c r="AZ118" i="57"/>
  <c r="BA118" i="57"/>
  <c r="BB118" i="57"/>
  <c r="BC118" i="57"/>
  <c r="BD118" i="57"/>
  <c r="BE118" i="57"/>
  <c r="BF118" i="57"/>
  <c r="BG118" i="57"/>
  <c r="BH118" i="57"/>
  <c r="BI118" i="57"/>
  <c r="BJ118" i="57"/>
  <c r="BK118" i="57"/>
  <c r="BL118" i="57"/>
  <c r="BM118" i="57"/>
  <c r="BN118" i="57"/>
  <c r="BO118" i="57"/>
  <c r="BP118" i="57"/>
  <c r="BQ118" i="57"/>
  <c r="BR118" i="57"/>
  <c r="BS118" i="57"/>
  <c r="BT118" i="57"/>
  <c r="BU118" i="57"/>
  <c r="BV118" i="57"/>
  <c r="BW118" i="57"/>
  <c r="BX118" i="57"/>
  <c r="BY118" i="57"/>
  <c r="BZ118" i="57"/>
  <c r="CA118" i="57"/>
  <c r="CB118" i="57"/>
  <c r="CC118" i="57"/>
  <c r="CD118" i="57"/>
  <c r="CE118" i="57"/>
  <c r="CF118" i="57"/>
  <c r="CG118" i="57"/>
  <c r="CH118" i="57"/>
  <c r="CI118" i="57"/>
  <c r="CJ118" i="57"/>
  <c r="S119" i="57"/>
  <c r="T119" i="57"/>
  <c r="U119" i="57"/>
  <c r="V119" i="57"/>
  <c r="W119" i="57"/>
  <c r="X119" i="57"/>
  <c r="Y119" i="57"/>
  <c r="Z119" i="57"/>
  <c r="AA119" i="57"/>
  <c r="AB119" i="57"/>
  <c r="AC119" i="57"/>
  <c r="AD119" i="57"/>
  <c r="AE119" i="57"/>
  <c r="AF119" i="57"/>
  <c r="AG119" i="57"/>
  <c r="AH119" i="57"/>
  <c r="AI119" i="57"/>
  <c r="AJ119" i="57"/>
  <c r="AK119" i="57"/>
  <c r="AL119" i="57"/>
  <c r="AM119" i="57"/>
  <c r="AN119" i="57"/>
  <c r="AO119" i="57"/>
  <c r="AP119" i="57"/>
  <c r="AQ119" i="57"/>
  <c r="AR119" i="57"/>
  <c r="AS119" i="57"/>
  <c r="AT119" i="57"/>
  <c r="AU119" i="57"/>
  <c r="AV119" i="57"/>
  <c r="AW119" i="57"/>
  <c r="AX119" i="57"/>
  <c r="AY119" i="57"/>
  <c r="AZ119" i="57"/>
  <c r="BA119" i="57"/>
  <c r="BB119" i="57"/>
  <c r="BC119" i="57"/>
  <c r="BD119" i="57"/>
  <c r="BE119" i="57"/>
  <c r="BF119" i="57"/>
  <c r="BG119" i="57"/>
  <c r="BH119" i="57"/>
  <c r="BI119" i="57"/>
  <c r="BJ119" i="57"/>
  <c r="BK119" i="57"/>
  <c r="BL119" i="57"/>
  <c r="BM119" i="57"/>
  <c r="BN119" i="57"/>
  <c r="BO119" i="57"/>
  <c r="BP119" i="57"/>
  <c r="BQ119" i="57"/>
  <c r="BR119" i="57"/>
  <c r="BS119" i="57"/>
  <c r="BT119" i="57"/>
  <c r="BU119" i="57"/>
  <c r="BV119" i="57"/>
  <c r="BW119" i="57"/>
  <c r="BX119" i="57"/>
  <c r="BY119" i="57"/>
  <c r="BZ119" i="57"/>
  <c r="CA119" i="57"/>
  <c r="CB119" i="57"/>
  <c r="CC119" i="57"/>
  <c r="CD119" i="57"/>
  <c r="CE119" i="57"/>
  <c r="CF119" i="57"/>
  <c r="CG119" i="57"/>
  <c r="CH119" i="57"/>
  <c r="CI119" i="57"/>
  <c r="CJ119" i="57"/>
  <c r="S120" i="57"/>
  <c r="T120" i="57"/>
  <c r="U120" i="57"/>
  <c r="V120" i="57"/>
  <c r="W120" i="57"/>
  <c r="X120" i="57"/>
  <c r="Y120" i="57"/>
  <c r="Z120" i="57"/>
  <c r="AA120" i="57"/>
  <c r="AB120" i="57"/>
  <c r="AC120" i="57"/>
  <c r="AD120" i="57"/>
  <c r="AE120" i="57"/>
  <c r="AF120" i="57"/>
  <c r="AG120" i="57"/>
  <c r="AH120" i="57"/>
  <c r="AI120" i="57"/>
  <c r="AJ120" i="57"/>
  <c r="AK120" i="57"/>
  <c r="AL120" i="57"/>
  <c r="AM120" i="57"/>
  <c r="AN120" i="57"/>
  <c r="AO120" i="57"/>
  <c r="AP120" i="57"/>
  <c r="AQ120" i="57"/>
  <c r="AR120" i="57"/>
  <c r="AS120" i="57"/>
  <c r="AT120" i="57"/>
  <c r="AU120" i="57"/>
  <c r="AV120" i="57"/>
  <c r="AW120" i="57"/>
  <c r="AX120" i="57"/>
  <c r="AY120" i="57"/>
  <c r="AZ120" i="57"/>
  <c r="BA120" i="57"/>
  <c r="BB120" i="57"/>
  <c r="BC120" i="57"/>
  <c r="BD120" i="57"/>
  <c r="BE120" i="57"/>
  <c r="BF120" i="57"/>
  <c r="BG120" i="57"/>
  <c r="BH120" i="57"/>
  <c r="BI120" i="57"/>
  <c r="BJ120" i="57"/>
  <c r="BK120" i="57"/>
  <c r="BL120" i="57"/>
  <c r="BM120" i="57"/>
  <c r="BN120" i="57"/>
  <c r="BO120" i="57"/>
  <c r="BP120" i="57"/>
  <c r="BQ120" i="57"/>
  <c r="BR120" i="57"/>
  <c r="BS120" i="57"/>
  <c r="BT120" i="57"/>
  <c r="BU120" i="57"/>
  <c r="BV120" i="57"/>
  <c r="BW120" i="57"/>
  <c r="BX120" i="57"/>
  <c r="BY120" i="57"/>
  <c r="BZ120" i="57"/>
  <c r="CA120" i="57"/>
  <c r="CB120" i="57"/>
  <c r="CC120" i="57"/>
  <c r="CD120" i="57"/>
  <c r="CE120" i="57"/>
  <c r="CF120" i="57"/>
  <c r="CG120" i="57"/>
  <c r="CH120" i="57"/>
  <c r="CI120" i="57"/>
  <c r="CJ120" i="57"/>
  <c r="S121" i="57"/>
  <c r="T121" i="57"/>
  <c r="U121" i="57"/>
  <c r="V121" i="57"/>
  <c r="W121" i="57"/>
  <c r="X121" i="57"/>
  <c r="Y121" i="57"/>
  <c r="Z121" i="57"/>
  <c r="AA121" i="57"/>
  <c r="AB121" i="57"/>
  <c r="AC121" i="57"/>
  <c r="AD121" i="57"/>
  <c r="AE121" i="57"/>
  <c r="AF121" i="57"/>
  <c r="AG121" i="57"/>
  <c r="AH121" i="57"/>
  <c r="AI121" i="57"/>
  <c r="AJ121" i="57"/>
  <c r="AK121" i="57"/>
  <c r="AL121" i="57"/>
  <c r="AM121" i="57"/>
  <c r="AN121" i="57"/>
  <c r="AO121" i="57"/>
  <c r="AP121" i="57"/>
  <c r="AQ121" i="57"/>
  <c r="AR121" i="57"/>
  <c r="AS121" i="57"/>
  <c r="AT121" i="57"/>
  <c r="AU121" i="57"/>
  <c r="AV121" i="57"/>
  <c r="AW121" i="57"/>
  <c r="AX121" i="57"/>
  <c r="AY121" i="57"/>
  <c r="AZ121" i="57"/>
  <c r="BA121" i="57"/>
  <c r="BB121" i="57"/>
  <c r="BC121" i="57"/>
  <c r="BD121" i="57"/>
  <c r="BE121" i="57"/>
  <c r="BF121" i="57"/>
  <c r="BG121" i="57"/>
  <c r="BH121" i="57"/>
  <c r="BI121" i="57"/>
  <c r="BJ121" i="57"/>
  <c r="BK121" i="57"/>
  <c r="BL121" i="57"/>
  <c r="BM121" i="57"/>
  <c r="BN121" i="57"/>
  <c r="BO121" i="57"/>
  <c r="BP121" i="57"/>
  <c r="BQ121" i="57"/>
  <c r="BR121" i="57"/>
  <c r="BS121" i="57"/>
  <c r="BT121" i="57"/>
  <c r="BU121" i="57"/>
  <c r="BV121" i="57"/>
  <c r="BW121" i="57"/>
  <c r="BX121" i="57"/>
  <c r="BY121" i="57"/>
  <c r="BZ121" i="57"/>
  <c r="CA121" i="57"/>
  <c r="CB121" i="57"/>
  <c r="CC121" i="57"/>
  <c r="CD121" i="57"/>
  <c r="CE121" i="57"/>
  <c r="CF121" i="57"/>
  <c r="CG121" i="57"/>
  <c r="CH121" i="57"/>
  <c r="CI121" i="57"/>
  <c r="CJ121" i="57"/>
  <c r="S122" i="57"/>
  <c r="T122" i="57"/>
  <c r="U122" i="57"/>
  <c r="V122" i="57"/>
  <c r="W122" i="57"/>
  <c r="X122" i="57"/>
  <c r="Y122" i="57"/>
  <c r="Z122" i="57"/>
  <c r="AA122" i="57"/>
  <c r="AB122" i="57"/>
  <c r="AC122" i="57"/>
  <c r="AD122" i="57"/>
  <c r="AE122" i="57"/>
  <c r="AF122" i="57"/>
  <c r="AG122" i="57"/>
  <c r="AH122" i="57"/>
  <c r="AI122" i="57"/>
  <c r="AJ122" i="57"/>
  <c r="AK122" i="57"/>
  <c r="AL122" i="57"/>
  <c r="AM122" i="57"/>
  <c r="AN122" i="57"/>
  <c r="AO122" i="57"/>
  <c r="AP122" i="57"/>
  <c r="AQ122" i="57"/>
  <c r="AR122" i="57"/>
  <c r="AS122" i="57"/>
  <c r="AT122" i="57"/>
  <c r="AU122" i="57"/>
  <c r="AV122" i="57"/>
  <c r="AW122" i="57"/>
  <c r="AX122" i="57"/>
  <c r="AY122" i="57"/>
  <c r="AZ122" i="57"/>
  <c r="BA122" i="57"/>
  <c r="BB122" i="57"/>
  <c r="BC122" i="57"/>
  <c r="BD122" i="57"/>
  <c r="BE122" i="57"/>
  <c r="BF122" i="57"/>
  <c r="BG122" i="57"/>
  <c r="BH122" i="57"/>
  <c r="BI122" i="57"/>
  <c r="BJ122" i="57"/>
  <c r="BK122" i="57"/>
  <c r="BL122" i="57"/>
  <c r="BM122" i="57"/>
  <c r="BN122" i="57"/>
  <c r="BO122" i="57"/>
  <c r="BP122" i="57"/>
  <c r="BQ122" i="57"/>
  <c r="BR122" i="57"/>
  <c r="BS122" i="57"/>
  <c r="BT122" i="57"/>
  <c r="BU122" i="57"/>
  <c r="BV122" i="57"/>
  <c r="BW122" i="57"/>
  <c r="BX122" i="57"/>
  <c r="BY122" i="57"/>
  <c r="BZ122" i="57"/>
  <c r="CA122" i="57"/>
  <c r="CB122" i="57"/>
  <c r="CC122" i="57"/>
  <c r="CD122" i="57"/>
  <c r="CE122" i="57"/>
  <c r="CF122" i="57"/>
  <c r="CG122" i="57"/>
  <c r="CH122" i="57"/>
  <c r="CI122" i="57"/>
  <c r="CJ122" i="57"/>
  <c r="S123" i="57"/>
  <c r="T123" i="57"/>
  <c r="U123" i="57"/>
  <c r="V123" i="57"/>
  <c r="W123" i="57"/>
  <c r="X123" i="57"/>
  <c r="Y123" i="57"/>
  <c r="Z123" i="57"/>
  <c r="AA123" i="57"/>
  <c r="AB123" i="57"/>
  <c r="AC123" i="57"/>
  <c r="AD123" i="57"/>
  <c r="AE123" i="57"/>
  <c r="AF123" i="57"/>
  <c r="AG123" i="57"/>
  <c r="AH123" i="57"/>
  <c r="AI123" i="57"/>
  <c r="AJ123" i="57"/>
  <c r="AK123" i="57"/>
  <c r="AL123" i="57"/>
  <c r="AM123" i="57"/>
  <c r="AN123" i="57"/>
  <c r="AO123" i="57"/>
  <c r="AP123" i="57"/>
  <c r="AQ123" i="57"/>
  <c r="AR123" i="57"/>
  <c r="AS123" i="57"/>
  <c r="AT123" i="57"/>
  <c r="AU123" i="57"/>
  <c r="AV123" i="57"/>
  <c r="AW123" i="57"/>
  <c r="AX123" i="57"/>
  <c r="AY123" i="57"/>
  <c r="AZ123" i="57"/>
  <c r="BA123" i="57"/>
  <c r="BB123" i="57"/>
  <c r="BC123" i="57"/>
  <c r="BD123" i="57"/>
  <c r="BE123" i="57"/>
  <c r="BF123" i="57"/>
  <c r="BG123" i="57"/>
  <c r="BH123" i="57"/>
  <c r="BI123" i="57"/>
  <c r="BJ123" i="57"/>
  <c r="BK123" i="57"/>
  <c r="BL123" i="57"/>
  <c r="BM123" i="57"/>
  <c r="BN123" i="57"/>
  <c r="BO123" i="57"/>
  <c r="BP123" i="57"/>
  <c r="BQ123" i="57"/>
  <c r="BR123" i="57"/>
  <c r="BS123" i="57"/>
  <c r="BT123" i="57"/>
  <c r="BU123" i="57"/>
  <c r="BV123" i="57"/>
  <c r="BW123" i="57"/>
  <c r="BX123" i="57"/>
  <c r="BY123" i="57"/>
  <c r="BZ123" i="57"/>
  <c r="CA123" i="57"/>
  <c r="CB123" i="57"/>
  <c r="CC123" i="57"/>
  <c r="CD123" i="57"/>
  <c r="CE123" i="57"/>
  <c r="CF123" i="57"/>
  <c r="CG123" i="57"/>
  <c r="CH123" i="57"/>
  <c r="CI123" i="57"/>
  <c r="CJ123" i="57"/>
  <c r="S124" i="57"/>
  <c r="T124" i="57"/>
  <c r="U124" i="57"/>
  <c r="V124" i="57"/>
  <c r="W124" i="57"/>
  <c r="X124" i="57"/>
  <c r="Y124" i="57"/>
  <c r="Z124" i="57"/>
  <c r="AA124" i="57"/>
  <c r="AB124" i="57"/>
  <c r="AC124" i="57"/>
  <c r="AD124" i="57"/>
  <c r="AE124" i="57"/>
  <c r="AF124" i="57"/>
  <c r="AG124" i="57"/>
  <c r="AH124" i="57"/>
  <c r="AI124" i="57"/>
  <c r="AJ124" i="57"/>
  <c r="AK124" i="57"/>
  <c r="AL124" i="57"/>
  <c r="AM124" i="57"/>
  <c r="AN124" i="57"/>
  <c r="AO124" i="57"/>
  <c r="AP124" i="57"/>
  <c r="AQ124" i="57"/>
  <c r="AR124" i="57"/>
  <c r="AS124" i="57"/>
  <c r="AT124" i="57"/>
  <c r="AU124" i="57"/>
  <c r="AV124" i="57"/>
  <c r="AW124" i="57"/>
  <c r="AX124" i="57"/>
  <c r="AY124" i="57"/>
  <c r="AZ124" i="57"/>
  <c r="BA124" i="57"/>
  <c r="BB124" i="57"/>
  <c r="BC124" i="57"/>
  <c r="BD124" i="57"/>
  <c r="BE124" i="57"/>
  <c r="BF124" i="57"/>
  <c r="BG124" i="57"/>
  <c r="BH124" i="57"/>
  <c r="BI124" i="57"/>
  <c r="BJ124" i="57"/>
  <c r="BK124" i="57"/>
  <c r="BL124" i="57"/>
  <c r="BM124" i="57"/>
  <c r="BN124" i="57"/>
  <c r="BO124" i="57"/>
  <c r="BP124" i="57"/>
  <c r="BQ124" i="57"/>
  <c r="BR124" i="57"/>
  <c r="BS124" i="57"/>
  <c r="BT124" i="57"/>
  <c r="BU124" i="57"/>
  <c r="BV124" i="57"/>
  <c r="BW124" i="57"/>
  <c r="BX124" i="57"/>
  <c r="BY124" i="57"/>
  <c r="BZ124" i="57"/>
  <c r="CA124" i="57"/>
  <c r="CB124" i="57"/>
  <c r="CC124" i="57"/>
  <c r="CD124" i="57"/>
  <c r="CE124" i="57"/>
  <c r="CF124" i="57"/>
  <c r="CG124" i="57"/>
  <c r="CH124" i="57"/>
  <c r="CI124" i="57"/>
  <c r="CJ124" i="57"/>
  <c r="S125" i="57"/>
  <c r="T125" i="57"/>
  <c r="U125" i="57"/>
  <c r="V125" i="57"/>
  <c r="W125" i="57"/>
  <c r="X125" i="57"/>
  <c r="Y125" i="57"/>
  <c r="Z125" i="57"/>
  <c r="AA125" i="57"/>
  <c r="AB125" i="57"/>
  <c r="AC125" i="57"/>
  <c r="AD125" i="57"/>
  <c r="AE125" i="57"/>
  <c r="AF125" i="57"/>
  <c r="AG125" i="57"/>
  <c r="AH125" i="57"/>
  <c r="AI125" i="57"/>
  <c r="AJ125" i="57"/>
  <c r="AK125" i="57"/>
  <c r="AL125" i="57"/>
  <c r="AM125" i="57"/>
  <c r="AN125" i="57"/>
  <c r="AO125" i="57"/>
  <c r="AP125" i="57"/>
  <c r="AQ125" i="57"/>
  <c r="AR125" i="57"/>
  <c r="AS125" i="57"/>
  <c r="AT125" i="57"/>
  <c r="AU125" i="57"/>
  <c r="AV125" i="57"/>
  <c r="AW125" i="57"/>
  <c r="AX125" i="57"/>
  <c r="AY125" i="57"/>
  <c r="AZ125" i="57"/>
  <c r="BA125" i="57"/>
  <c r="BB125" i="57"/>
  <c r="BC125" i="57"/>
  <c r="BD125" i="57"/>
  <c r="BE125" i="57"/>
  <c r="BF125" i="57"/>
  <c r="BG125" i="57"/>
  <c r="BH125" i="57"/>
  <c r="BI125" i="57"/>
  <c r="BJ125" i="57"/>
  <c r="BK125" i="57"/>
  <c r="BL125" i="57"/>
  <c r="BM125" i="57"/>
  <c r="BN125" i="57"/>
  <c r="BO125" i="57"/>
  <c r="BP125" i="57"/>
  <c r="BQ125" i="57"/>
  <c r="BR125" i="57"/>
  <c r="BS125" i="57"/>
  <c r="BT125" i="57"/>
  <c r="BU125" i="57"/>
  <c r="BV125" i="57"/>
  <c r="BW125" i="57"/>
  <c r="BX125" i="57"/>
  <c r="BY125" i="57"/>
  <c r="BZ125" i="57"/>
  <c r="CA125" i="57"/>
  <c r="CB125" i="57"/>
  <c r="CC125" i="57"/>
  <c r="CD125" i="57"/>
  <c r="CE125" i="57"/>
  <c r="CF125" i="57"/>
  <c r="CG125" i="57"/>
  <c r="CH125" i="57"/>
  <c r="CI125" i="57"/>
  <c r="CJ125" i="57"/>
  <c r="S126" i="57"/>
  <c r="T126" i="57"/>
  <c r="U126" i="57"/>
  <c r="V126" i="57"/>
  <c r="W126" i="57"/>
  <c r="X126" i="57"/>
  <c r="Y126" i="57"/>
  <c r="Z126" i="57"/>
  <c r="AA126" i="57"/>
  <c r="AB126" i="57"/>
  <c r="AC126" i="57"/>
  <c r="AD126" i="57"/>
  <c r="AE126" i="57"/>
  <c r="AF126" i="57"/>
  <c r="AG126" i="57"/>
  <c r="AH126" i="57"/>
  <c r="AI126" i="57"/>
  <c r="AJ126" i="57"/>
  <c r="AK126" i="57"/>
  <c r="AL126" i="57"/>
  <c r="AM126" i="57"/>
  <c r="AN126" i="57"/>
  <c r="AO126" i="57"/>
  <c r="AP126" i="57"/>
  <c r="AQ126" i="57"/>
  <c r="AR126" i="57"/>
  <c r="AS126" i="57"/>
  <c r="AT126" i="57"/>
  <c r="AU126" i="57"/>
  <c r="AV126" i="57"/>
  <c r="AW126" i="57"/>
  <c r="AX126" i="57"/>
  <c r="AY126" i="57"/>
  <c r="AZ126" i="57"/>
  <c r="BA126" i="57"/>
  <c r="BB126" i="57"/>
  <c r="BC126" i="57"/>
  <c r="BD126" i="57"/>
  <c r="BE126" i="57"/>
  <c r="BF126" i="57"/>
  <c r="BG126" i="57"/>
  <c r="BH126" i="57"/>
  <c r="BI126" i="57"/>
  <c r="BJ126" i="57"/>
  <c r="BK126" i="57"/>
  <c r="BL126" i="57"/>
  <c r="BM126" i="57"/>
  <c r="BN126" i="57"/>
  <c r="BO126" i="57"/>
  <c r="BP126" i="57"/>
  <c r="BQ126" i="57"/>
  <c r="BR126" i="57"/>
  <c r="BS126" i="57"/>
  <c r="BT126" i="57"/>
  <c r="BU126" i="57"/>
  <c r="BV126" i="57"/>
  <c r="BW126" i="57"/>
  <c r="BX126" i="57"/>
  <c r="BY126" i="57"/>
  <c r="BZ126" i="57"/>
  <c r="CA126" i="57"/>
  <c r="CB126" i="57"/>
  <c r="CC126" i="57"/>
  <c r="CD126" i="57"/>
  <c r="CE126" i="57"/>
  <c r="CF126" i="57"/>
  <c r="CG126" i="57"/>
  <c r="CH126" i="57"/>
  <c r="CI126" i="57"/>
  <c r="CJ126" i="57"/>
  <c r="S127" i="57"/>
  <c r="T127" i="57"/>
  <c r="U127" i="57"/>
  <c r="V127" i="57"/>
  <c r="W127" i="57"/>
  <c r="X127" i="57"/>
  <c r="Y127" i="57"/>
  <c r="Z127" i="57"/>
  <c r="AA127" i="57"/>
  <c r="AB127" i="57"/>
  <c r="AC127" i="57"/>
  <c r="AD127" i="57"/>
  <c r="AE127" i="57"/>
  <c r="AF127" i="57"/>
  <c r="AG127" i="57"/>
  <c r="AH127" i="57"/>
  <c r="AI127" i="57"/>
  <c r="AJ127" i="57"/>
  <c r="AK127" i="57"/>
  <c r="AL127" i="57"/>
  <c r="AM127" i="57"/>
  <c r="AN127" i="57"/>
  <c r="AO127" i="57"/>
  <c r="AP127" i="57"/>
  <c r="AQ127" i="57"/>
  <c r="AR127" i="57"/>
  <c r="AS127" i="57"/>
  <c r="AT127" i="57"/>
  <c r="AU127" i="57"/>
  <c r="AV127" i="57"/>
  <c r="AW127" i="57"/>
  <c r="AX127" i="57"/>
  <c r="AY127" i="57"/>
  <c r="AZ127" i="57"/>
  <c r="BA127" i="57"/>
  <c r="BB127" i="57"/>
  <c r="BC127" i="57"/>
  <c r="BD127" i="57"/>
  <c r="BE127" i="57"/>
  <c r="BF127" i="57"/>
  <c r="BG127" i="57"/>
  <c r="BH127" i="57"/>
  <c r="BI127" i="57"/>
  <c r="BJ127" i="57"/>
  <c r="BK127" i="57"/>
  <c r="BL127" i="57"/>
  <c r="BM127" i="57"/>
  <c r="BN127" i="57"/>
  <c r="BO127" i="57"/>
  <c r="BP127" i="57"/>
  <c r="BQ127" i="57"/>
  <c r="BR127" i="57"/>
  <c r="BS127" i="57"/>
  <c r="BT127" i="57"/>
  <c r="BU127" i="57"/>
  <c r="BV127" i="57"/>
  <c r="BW127" i="57"/>
  <c r="BX127" i="57"/>
  <c r="BY127" i="57"/>
  <c r="BZ127" i="57"/>
  <c r="CA127" i="57"/>
  <c r="CB127" i="57"/>
  <c r="CC127" i="57"/>
  <c r="CD127" i="57"/>
  <c r="CE127" i="57"/>
  <c r="CF127" i="57"/>
  <c r="CG127" i="57"/>
  <c r="CH127" i="57"/>
  <c r="CI127" i="57"/>
  <c r="CJ127" i="57"/>
  <c r="S128" i="57"/>
  <c r="T128" i="57"/>
  <c r="U128" i="57"/>
  <c r="V128" i="57"/>
  <c r="W128" i="57"/>
  <c r="X128" i="57"/>
  <c r="Y128" i="57"/>
  <c r="Z128" i="57"/>
  <c r="AA128" i="57"/>
  <c r="AB128" i="57"/>
  <c r="AC128" i="57"/>
  <c r="AD128" i="57"/>
  <c r="AE128" i="57"/>
  <c r="AF128" i="57"/>
  <c r="AG128" i="57"/>
  <c r="AH128" i="57"/>
  <c r="AI128" i="57"/>
  <c r="AJ128" i="57"/>
  <c r="AK128" i="57"/>
  <c r="AL128" i="57"/>
  <c r="AM128" i="57"/>
  <c r="AN128" i="57"/>
  <c r="AO128" i="57"/>
  <c r="AP128" i="57"/>
  <c r="AQ128" i="57"/>
  <c r="AR128" i="57"/>
  <c r="AS128" i="57"/>
  <c r="AT128" i="57"/>
  <c r="AU128" i="57"/>
  <c r="AV128" i="57"/>
  <c r="AW128" i="57"/>
  <c r="AX128" i="57"/>
  <c r="AY128" i="57"/>
  <c r="AZ128" i="57"/>
  <c r="BA128" i="57"/>
  <c r="BB128" i="57"/>
  <c r="BC128" i="57"/>
  <c r="BD128" i="57"/>
  <c r="BE128" i="57"/>
  <c r="BF128" i="57"/>
  <c r="BG128" i="57"/>
  <c r="BH128" i="57"/>
  <c r="BI128" i="57"/>
  <c r="BJ128" i="57"/>
  <c r="BK128" i="57"/>
  <c r="BL128" i="57"/>
  <c r="BM128" i="57"/>
  <c r="BN128" i="57"/>
  <c r="BO128" i="57"/>
  <c r="BP128" i="57"/>
  <c r="BQ128" i="57"/>
  <c r="BR128" i="57"/>
  <c r="BS128" i="57"/>
  <c r="BT128" i="57"/>
  <c r="BU128" i="57"/>
  <c r="BV128" i="57"/>
  <c r="BW128" i="57"/>
  <c r="BX128" i="57"/>
  <c r="BY128" i="57"/>
  <c r="BZ128" i="57"/>
  <c r="CA128" i="57"/>
  <c r="CB128" i="57"/>
  <c r="CC128" i="57"/>
  <c r="CD128" i="57"/>
  <c r="CE128" i="57"/>
  <c r="CF128" i="57"/>
  <c r="CG128" i="57"/>
  <c r="CH128" i="57"/>
  <c r="CI128" i="57"/>
  <c r="CJ128" i="57"/>
  <c r="S129" i="57"/>
  <c r="T129" i="57"/>
  <c r="U129" i="57"/>
  <c r="V129" i="57"/>
  <c r="W129" i="57"/>
  <c r="X129" i="57"/>
  <c r="Y129" i="57"/>
  <c r="Z129" i="57"/>
  <c r="AA129" i="57"/>
  <c r="AB129" i="57"/>
  <c r="AC129" i="57"/>
  <c r="AD129" i="57"/>
  <c r="AE129" i="57"/>
  <c r="AF129" i="57"/>
  <c r="AG129" i="57"/>
  <c r="AH129" i="57"/>
  <c r="AI129" i="57"/>
  <c r="AJ129" i="57"/>
  <c r="AK129" i="57"/>
  <c r="AL129" i="57"/>
  <c r="AM129" i="57"/>
  <c r="AN129" i="57"/>
  <c r="AO129" i="57"/>
  <c r="AP129" i="57"/>
  <c r="AQ129" i="57"/>
  <c r="AR129" i="57"/>
  <c r="AS129" i="57"/>
  <c r="AT129" i="57"/>
  <c r="AU129" i="57"/>
  <c r="AV129" i="57"/>
  <c r="AW129" i="57"/>
  <c r="AX129" i="57"/>
  <c r="AY129" i="57"/>
  <c r="AZ129" i="57"/>
  <c r="BA129" i="57"/>
  <c r="BB129" i="57"/>
  <c r="BC129" i="57"/>
  <c r="BD129" i="57"/>
  <c r="BE129" i="57"/>
  <c r="BF129" i="57"/>
  <c r="BG129" i="57"/>
  <c r="BH129" i="57"/>
  <c r="BI129" i="57"/>
  <c r="BJ129" i="57"/>
  <c r="BK129" i="57"/>
  <c r="BL129" i="57"/>
  <c r="BM129" i="57"/>
  <c r="BN129" i="57"/>
  <c r="BO129" i="57"/>
  <c r="BP129" i="57"/>
  <c r="BQ129" i="57"/>
  <c r="BR129" i="57"/>
  <c r="BS129" i="57"/>
  <c r="BT129" i="57"/>
  <c r="BU129" i="57"/>
  <c r="BV129" i="57"/>
  <c r="BW129" i="57"/>
  <c r="BX129" i="57"/>
  <c r="BY129" i="57"/>
  <c r="BZ129" i="57"/>
  <c r="CA129" i="57"/>
  <c r="CB129" i="57"/>
  <c r="CC129" i="57"/>
  <c r="CD129" i="57"/>
  <c r="CE129" i="57"/>
  <c r="CF129" i="57"/>
  <c r="CG129" i="57"/>
  <c r="CH129" i="57"/>
  <c r="CI129" i="57"/>
  <c r="CJ129" i="57"/>
  <c r="S130" i="57"/>
  <c r="T130" i="57"/>
  <c r="U130" i="57"/>
  <c r="V130" i="57"/>
  <c r="W130" i="57"/>
  <c r="X130" i="57"/>
  <c r="Y130" i="57"/>
  <c r="Z130" i="57"/>
  <c r="AA130" i="57"/>
  <c r="AB130" i="57"/>
  <c r="AC130" i="57"/>
  <c r="AD130" i="57"/>
  <c r="AE130" i="57"/>
  <c r="AF130" i="57"/>
  <c r="AG130" i="57"/>
  <c r="AH130" i="57"/>
  <c r="AI130" i="57"/>
  <c r="AJ130" i="57"/>
  <c r="AK130" i="57"/>
  <c r="AL130" i="57"/>
  <c r="AM130" i="57"/>
  <c r="AN130" i="57"/>
  <c r="AO130" i="57"/>
  <c r="AP130" i="57"/>
  <c r="AQ130" i="57"/>
  <c r="AR130" i="57"/>
  <c r="AS130" i="57"/>
  <c r="AT130" i="57"/>
  <c r="AU130" i="57"/>
  <c r="AV130" i="57"/>
  <c r="AW130" i="57"/>
  <c r="AX130" i="57"/>
  <c r="AY130" i="57"/>
  <c r="AZ130" i="57"/>
  <c r="BA130" i="57"/>
  <c r="BB130" i="57"/>
  <c r="BC130" i="57"/>
  <c r="BD130" i="57"/>
  <c r="BE130" i="57"/>
  <c r="BF130" i="57"/>
  <c r="BG130" i="57"/>
  <c r="BH130" i="57"/>
  <c r="BI130" i="57"/>
  <c r="BJ130" i="57"/>
  <c r="BK130" i="57"/>
  <c r="BL130" i="57"/>
  <c r="BM130" i="57"/>
  <c r="BN130" i="57"/>
  <c r="BO130" i="57"/>
  <c r="BP130" i="57"/>
  <c r="BQ130" i="57"/>
  <c r="BR130" i="57"/>
  <c r="BS130" i="57"/>
  <c r="BT130" i="57"/>
  <c r="BU130" i="57"/>
  <c r="BV130" i="57"/>
  <c r="BW130" i="57"/>
  <c r="BX130" i="57"/>
  <c r="BY130" i="57"/>
  <c r="BZ130" i="57"/>
  <c r="CA130" i="57"/>
  <c r="CB130" i="57"/>
  <c r="CC130" i="57"/>
  <c r="CD130" i="57"/>
  <c r="CE130" i="57"/>
  <c r="CF130" i="57"/>
  <c r="CG130" i="57"/>
  <c r="CH130" i="57"/>
  <c r="CI130" i="57"/>
  <c r="CJ130" i="57"/>
  <c r="S131" i="57"/>
  <c r="T131" i="57"/>
  <c r="U131" i="57"/>
  <c r="V131" i="57"/>
  <c r="W131" i="57"/>
  <c r="X131" i="57"/>
  <c r="Y131" i="57"/>
  <c r="Z131" i="57"/>
  <c r="AA131" i="57"/>
  <c r="AB131" i="57"/>
  <c r="AC131" i="57"/>
  <c r="AD131" i="57"/>
  <c r="AE131" i="57"/>
  <c r="AF131" i="57"/>
  <c r="AG131" i="57"/>
  <c r="AH131" i="57"/>
  <c r="AI131" i="57"/>
  <c r="AJ131" i="57"/>
  <c r="AK131" i="57"/>
  <c r="AL131" i="57"/>
  <c r="AM131" i="57"/>
  <c r="AN131" i="57"/>
  <c r="AO131" i="57"/>
  <c r="AP131" i="57"/>
  <c r="AQ131" i="57"/>
  <c r="AR131" i="57"/>
  <c r="AS131" i="57"/>
  <c r="AT131" i="57"/>
  <c r="AU131" i="57"/>
  <c r="AV131" i="57"/>
  <c r="AW131" i="57"/>
  <c r="AX131" i="57"/>
  <c r="AY131" i="57"/>
  <c r="AZ131" i="57"/>
  <c r="BA131" i="57"/>
  <c r="BB131" i="57"/>
  <c r="BC131" i="57"/>
  <c r="BD131" i="57"/>
  <c r="BE131" i="57"/>
  <c r="BF131" i="57"/>
  <c r="BG131" i="57"/>
  <c r="BH131" i="57"/>
  <c r="BI131" i="57"/>
  <c r="BJ131" i="57"/>
  <c r="BK131" i="57"/>
  <c r="BL131" i="57"/>
  <c r="BM131" i="57"/>
  <c r="BN131" i="57"/>
  <c r="BO131" i="57"/>
  <c r="BP131" i="57"/>
  <c r="BQ131" i="57"/>
  <c r="BR131" i="57"/>
  <c r="BS131" i="57"/>
  <c r="BT131" i="57"/>
  <c r="BU131" i="57"/>
  <c r="BV131" i="57"/>
  <c r="BW131" i="57"/>
  <c r="BX131" i="57"/>
  <c r="BY131" i="57"/>
  <c r="BZ131" i="57"/>
  <c r="CA131" i="57"/>
  <c r="CB131" i="57"/>
  <c r="CC131" i="57"/>
  <c r="CD131" i="57"/>
  <c r="CE131" i="57"/>
  <c r="CF131" i="57"/>
  <c r="CG131" i="57"/>
  <c r="CH131" i="57"/>
  <c r="CI131" i="57"/>
  <c r="CJ131" i="57"/>
  <c r="S132" i="57"/>
  <c r="T132" i="57"/>
  <c r="U132" i="57"/>
  <c r="V132" i="57"/>
  <c r="W132" i="57"/>
  <c r="X132" i="57"/>
  <c r="Y132" i="57"/>
  <c r="Z132" i="57"/>
  <c r="AA132" i="57"/>
  <c r="AB132" i="57"/>
  <c r="AC132" i="57"/>
  <c r="AD132" i="57"/>
  <c r="AE132" i="57"/>
  <c r="AF132" i="57"/>
  <c r="AG132" i="57"/>
  <c r="AH132" i="57"/>
  <c r="AI132" i="57"/>
  <c r="AJ132" i="57"/>
  <c r="AK132" i="57"/>
  <c r="AL132" i="57"/>
  <c r="AM132" i="57"/>
  <c r="AN132" i="57"/>
  <c r="AO132" i="57"/>
  <c r="AP132" i="57"/>
  <c r="AQ132" i="57"/>
  <c r="AR132" i="57"/>
  <c r="AS132" i="57"/>
  <c r="AT132" i="57"/>
  <c r="AU132" i="57"/>
  <c r="AV132" i="57"/>
  <c r="AW132" i="57"/>
  <c r="AX132" i="57"/>
  <c r="AY132" i="57"/>
  <c r="AZ132" i="57"/>
  <c r="BA132" i="57"/>
  <c r="BB132" i="57"/>
  <c r="BC132" i="57"/>
  <c r="BD132" i="57"/>
  <c r="BE132" i="57"/>
  <c r="BF132" i="57"/>
  <c r="BG132" i="57"/>
  <c r="BH132" i="57"/>
  <c r="BI132" i="57"/>
  <c r="BJ132" i="57"/>
  <c r="BK132" i="57"/>
  <c r="BL132" i="57"/>
  <c r="BM132" i="57"/>
  <c r="BN132" i="57"/>
  <c r="BO132" i="57"/>
  <c r="BP132" i="57"/>
  <c r="BQ132" i="57"/>
  <c r="BR132" i="57"/>
  <c r="BS132" i="57"/>
  <c r="BT132" i="57"/>
  <c r="BU132" i="57"/>
  <c r="BV132" i="57"/>
  <c r="BW132" i="57"/>
  <c r="BX132" i="57"/>
  <c r="BY132" i="57"/>
  <c r="BZ132" i="57"/>
  <c r="CA132" i="57"/>
  <c r="CB132" i="57"/>
  <c r="CC132" i="57"/>
  <c r="CD132" i="57"/>
  <c r="CE132" i="57"/>
  <c r="CF132" i="57"/>
  <c r="CG132" i="57"/>
  <c r="CH132" i="57"/>
  <c r="CI132" i="57"/>
  <c r="CJ132" i="57"/>
  <c r="S133" i="57"/>
  <c r="T133" i="57"/>
  <c r="U133" i="57"/>
  <c r="V133" i="57"/>
  <c r="W133" i="57"/>
  <c r="X133" i="57"/>
  <c r="Y133" i="57"/>
  <c r="Z133" i="57"/>
  <c r="AA133" i="57"/>
  <c r="AB133" i="57"/>
  <c r="AC133" i="57"/>
  <c r="AD133" i="57"/>
  <c r="AE133" i="57"/>
  <c r="AF133" i="57"/>
  <c r="AG133" i="57"/>
  <c r="AH133" i="57"/>
  <c r="AI133" i="57"/>
  <c r="AJ133" i="57"/>
  <c r="AK133" i="57"/>
  <c r="AL133" i="57"/>
  <c r="AM133" i="57"/>
  <c r="AN133" i="57"/>
  <c r="AO133" i="57"/>
  <c r="AP133" i="57"/>
  <c r="AQ133" i="57"/>
  <c r="AR133" i="57"/>
  <c r="AS133" i="57"/>
  <c r="AT133" i="57"/>
  <c r="AU133" i="57"/>
  <c r="AV133" i="57"/>
  <c r="AW133" i="57"/>
  <c r="AX133" i="57"/>
  <c r="AY133" i="57"/>
  <c r="AZ133" i="57"/>
  <c r="BA133" i="57"/>
  <c r="BB133" i="57"/>
  <c r="BC133" i="57"/>
  <c r="BD133" i="57"/>
  <c r="BE133" i="57"/>
  <c r="BF133" i="57"/>
  <c r="BG133" i="57"/>
  <c r="BH133" i="57"/>
  <c r="BI133" i="57"/>
  <c r="BJ133" i="57"/>
  <c r="BK133" i="57"/>
  <c r="BL133" i="57"/>
  <c r="BM133" i="57"/>
  <c r="BN133" i="57"/>
  <c r="BO133" i="57"/>
  <c r="BP133" i="57"/>
  <c r="BQ133" i="57"/>
  <c r="BR133" i="57"/>
  <c r="BS133" i="57"/>
  <c r="BT133" i="57"/>
  <c r="BU133" i="57"/>
  <c r="BV133" i="57"/>
  <c r="BW133" i="57"/>
  <c r="BX133" i="57"/>
  <c r="BY133" i="57"/>
  <c r="BZ133" i="57"/>
  <c r="CA133" i="57"/>
  <c r="CB133" i="57"/>
  <c r="CC133" i="57"/>
  <c r="CD133" i="57"/>
  <c r="CE133" i="57"/>
  <c r="CF133" i="57"/>
  <c r="CG133" i="57"/>
  <c r="CH133" i="57"/>
  <c r="CI133" i="57"/>
  <c r="CJ133" i="57"/>
  <c r="S134" i="57"/>
  <c r="T134" i="57"/>
  <c r="U134" i="57"/>
  <c r="V134" i="57"/>
  <c r="W134" i="57"/>
  <c r="X134" i="57"/>
  <c r="Y134" i="57"/>
  <c r="Z134" i="57"/>
  <c r="AA134" i="57"/>
  <c r="AB134" i="57"/>
  <c r="AC134" i="57"/>
  <c r="AD134" i="57"/>
  <c r="AE134" i="57"/>
  <c r="AF134" i="57"/>
  <c r="AG134" i="57"/>
  <c r="AH134" i="57"/>
  <c r="AI134" i="57"/>
  <c r="AJ134" i="57"/>
  <c r="AK134" i="57"/>
  <c r="AL134" i="57"/>
  <c r="AM134" i="57"/>
  <c r="AN134" i="57"/>
  <c r="AO134" i="57"/>
  <c r="AP134" i="57"/>
  <c r="AQ134" i="57"/>
  <c r="AR134" i="57"/>
  <c r="AS134" i="57"/>
  <c r="AT134" i="57"/>
  <c r="AU134" i="57"/>
  <c r="AV134" i="57"/>
  <c r="AW134" i="57"/>
  <c r="AX134" i="57"/>
  <c r="AY134" i="57"/>
  <c r="AZ134" i="57"/>
  <c r="BA134" i="57"/>
  <c r="BB134" i="57"/>
  <c r="BC134" i="57"/>
  <c r="BD134" i="57"/>
  <c r="BE134" i="57"/>
  <c r="BF134" i="57"/>
  <c r="BG134" i="57"/>
  <c r="BH134" i="57"/>
  <c r="BI134" i="57"/>
  <c r="BJ134" i="57"/>
  <c r="BK134" i="57"/>
  <c r="BL134" i="57"/>
  <c r="BM134" i="57"/>
  <c r="BN134" i="57"/>
  <c r="BO134" i="57"/>
  <c r="BP134" i="57"/>
  <c r="BQ134" i="57"/>
  <c r="BR134" i="57"/>
  <c r="BS134" i="57"/>
  <c r="BT134" i="57"/>
  <c r="BU134" i="57"/>
  <c r="BV134" i="57"/>
  <c r="BW134" i="57"/>
  <c r="BX134" i="57"/>
  <c r="BY134" i="57"/>
  <c r="BZ134" i="57"/>
  <c r="CA134" i="57"/>
  <c r="CB134" i="57"/>
  <c r="CC134" i="57"/>
  <c r="CD134" i="57"/>
  <c r="CE134" i="57"/>
  <c r="CF134" i="57"/>
  <c r="CG134" i="57"/>
  <c r="CH134" i="57"/>
  <c r="CI134" i="57"/>
  <c r="CJ134" i="57"/>
  <c r="S135" i="57"/>
  <c r="T135" i="57"/>
  <c r="U135" i="57"/>
  <c r="V135" i="57"/>
  <c r="W135" i="57"/>
  <c r="X135" i="57"/>
  <c r="Y135" i="57"/>
  <c r="Z135" i="57"/>
  <c r="AA135" i="57"/>
  <c r="AB135" i="57"/>
  <c r="AC135" i="57"/>
  <c r="AD135" i="57"/>
  <c r="AE135" i="57"/>
  <c r="AF135" i="57"/>
  <c r="AG135" i="57"/>
  <c r="AH135" i="57"/>
  <c r="AI135" i="57"/>
  <c r="AJ135" i="57"/>
  <c r="AK135" i="57"/>
  <c r="AL135" i="57"/>
  <c r="AM135" i="57"/>
  <c r="AN135" i="57"/>
  <c r="AO135" i="57"/>
  <c r="AP135" i="57"/>
  <c r="AQ135" i="57"/>
  <c r="AR135" i="57"/>
  <c r="AS135" i="57"/>
  <c r="AT135" i="57"/>
  <c r="AU135" i="57"/>
  <c r="AV135" i="57"/>
  <c r="AW135" i="57"/>
  <c r="AX135" i="57"/>
  <c r="AY135" i="57"/>
  <c r="AZ135" i="57"/>
  <c r="BA135" i="57"/>
  <c r="BB135" i="57"/>
  <c r="BC135" i="57"/>
  <c r="BD135" i="57"/>
  <c r="BE135" i="57"/>
  <c r="BF135" i="57"/>
  <c r="BG135" i="57"/>
  <c r="BH135" i="57"/>
  <c r="BI135" i="57"/>
  <c r="BJ135" i="57"/>
  <c r="BK135" i="57"/>
  <c r="BL135" i="57"/>
  <c r="BM135" i="57"/>
  <c r="BN135" i="57"/>
  <c r="BO135" i="57"/>
  <c r="BP135" i="57"/>
  <c r="BQ135" i="57"/>
  <c r="BR135" i="57"/>
  <c r="BS135" i="57"/>
  <c r="BT135" i="57"/>
  <c r="BU135" i="57"/>
  <c r="BV135" i="57"/>
  <c r="BW135" i="57"/>
  <c r="BX135" i="57"/>
  <c r="BY135" i="57"/>
  <c r="BZ135" i="57"/>
  <c r="CA135" i="57"/>
  <c r="CB135" i="57"/>
  <c r="CC135" i="57"/>
  <c r="CD135" i="57"/>
  <c r="CE135" i="57"/>
  <c r="CF135" i="57"/>
  <c r="CG135" i="57"/>
  <c r="CH135" i="57"/>
  <c r="CI135" i="57"/>
  <c r="CJ135" i="57"/>
  <c r="S136" i="57"/>
  <c r="T136" i="57"/>
  <c r="U136" i="57"/>
  <c r="V136" i="57"/>
  <c r="W136" i="57"/>
  <c r="X136" i="57"/>
  <c r="Y136" i="57"/>
  <c r="Z136" i="57"/>
  <c r="AA136" i="57"/>
  <c r="AB136" i="57"/>
  <c r="AC136" i="57"/>
  <c r="AD136" i="57"/>
  <c r="AE136" i="57"/>
  <c r="AF136" i="57"/>
  <c r="AG136" i="57"/>
  <c r="AH136" i="57"/>
  <c r="AI136" i="57"/>
  <c r="AJ136" i="57"/>
  <c r="AK136" i="57"/>
  <c r="AL136" i="57"/>
  <c r="AM136" i="57"/>
  <c r="AN136" i="57"/>
  <c r="AO136" i="57"/>
  <c r="AP136" i="57"/>
  <c r="AQ136" i="57"/>
  <c r="AR136" i="57"/>
  <c r="AS136" i="57"/>
  <c r="AT136" i="57"/>
  <c r="AU136" i="57"/>
  <c r="AV136" i="57"/>
  <c r="AW136" i="57"/>
  <c r="AX136" i="57"/>
  <c r="AY136" i="57"/>
  <c r="AZ136" i="57"/>
  <c r="BA136" i="57"/>
  <c r="BB136" i="57"/>
  <c r="BC136" i="57"/>
  <c r="BD136" i="57"/>
  <c r="BE136" i="57"/>
  <c r="BF136" i="57"/>
  <c r="BG136" i="57"/>
  <c r="BH136" i="57"/>
  <c r="BI136" i="57"/>
  <c r="BJ136" i="57"/>
  <c r="BK136" i="57"/>
  <c r="BL136" i="57"/>
  <c r="BM136" i="57"/>
  <c r="BN136" i="57"/>
  <c r="BO136" i="57"/>
  <c r="BP136" i="57"/>
  <c r="BQ136" i="57"/>
  <c r="BR136" i="57"/>
  <c r="BS136" i="57"/>
  <c r="BT136" i="57"/>
  <c r="BU136" i="57"/>
  <c r="BV136" i="57"/>
  <c r="BW136" i="57"/>
  <c r="BX136" i="57"/>
  <c r="BY136" i="57"/>
  <c r="BZ136" i="57"/>
  <c r="CA136" i="57"/>
  <c r="CB136" i="57"/>
  <c r="CC136" i="57"/>
  <c r="CD136" i="57"/>
  <c r="CE136" i="57"/>
  <c r="CF136" i="57"/>
  <c r="CG136" i="57"/>
  <c r="CH136" i="57"/>
  <c r="CI136" i="57"/>
  <c r="CJ136" i="57"/>
  <c r="S137" i="57"/>
  <c r="T137" i="57"/>
  <c r="U137" i="57"/>
  <c r="V137" i="57"/>
  <c r="W137" i="57"/>
  <c r="X137" i="57"/>
  <c r="Y137" i="57"/>
  <c r="Z137" i="57"/>
  <c r="AA137" i="57"/>
  <c r="AB137" i="57"/>
  <c r="AC137" i="57"/>
  <c r="AD137" i="57"/>
  <c r="AE137" i="57"/>
  <c r="AF137" i="57"/>
  <c r="AG137" i="57"/>
  <c r="AH137" i="57"/>
  <c r="AI137" i="57"/>
  <c r="AJ137" i="57"/>
  <c r="AK137" i="57"/>
  <c r="AL137" i="57"/>
  <c r="AM137" i="57"/>
  <c r="AN137" i="57"/>
  <c r="AO137" i="57"/>
  <c r="AP137" i="57"/>
  <c r="AQ137" i="57"/>
  <c r="AR137" i="57"/>
  <c r="AS137" i="57"/>
  <c r="AT137" i="57"/>
  <c r="AU137" i="57"/>
  <c r="AV137" i="57"/>
  <c r="AW137" i="57"/>
  <c r="AX137" i="57"/>
  <c r="AY137" i="57"/>
  <c r="AZ137" i="57"/>
  <c r="BA137" i="57"/>
  <c r="BB137" i="57"/>
  <c r="BC137" i="57"/>
  <c r="BD137" i="57"/>
  <c r="BE137" i="57"/>
  <c r="BF137" i="57"/>
  <c r="BG137" i="57"/>
  <c r="BH137" i="57"/>
  <c r="BI137" i="57"/>
  <c r="BJ137" i="57"/>
  <c r="BK137" i="57"/>
  <c r="BL137" i="57"/>
  <c r="BM137" i="57"/>
  <c r="BN137" i="57"/>
  <c r="BO137" i="57"/>
  <c r="BP137" i="57"/>
  <c r="BQ137" i="57"/>
  <c r="BR137" i="57"/>
  <c r="BS137" i="57"/>
  <c r="BT137" i="57"/>
  <c r="BU137" i="57"/>
  <c r="BV137" i="57"/>
  <c r="BW137" i="57"/>
  <c r="BX137" i="57"/>
  <c r="BY137" i="57"/>
  <c r="BZ137" i="57"/>
  <c r="CA137" i="57"/>
  <c r="CB137" i="57"/>
  <c r="CC137" i="57"/>
  <c r="CD137" i="57"/>
  <c r="CE137" i="57"/>
  <c r="CF137" i="57"/>
  <c r="CG137" i="57"/>
  <c r="CH137" i="57"/>
  <c r="CI137" i="57"/>
  <c r="CJ137" i="57"/>
  <c r="S138" i="57"/>
  <c r="T138" i="57"/>
  <c r="U138" i="57"/>
  <c r="V138" i="57"/>
  <c r="W138" i="57"/>
  <c r="X138" i="57"/>
  <c r="Y138" i="57"/>
  <c r="Z138" i="57"/>
  <c r="AA138" i="57"/>
  <c r="AB138" i="57"/>
  <c r="AC138" i="57"/>
  <c r="AD138" i="57"/>
  <c r="AE138" i="57"/>
  <c r="AF138" i="57"/>
  <c r="AG138" i="57"/>
  <c r="AH138" i="57"/>
  <c r="AI138" i="57"/>
  <c r="AJ138" i="57"/>
  <c r="AK138" i="57"/>
  <c r="AL138" i="57"/>
  <c r="AM138" i="57"/>
  <c r="AN138" i="57"/>
  <c r="AO138" i="57"/>
  <c r="AP138" i="57"/>
  <c r="AQ138" i="57"/>
  <c r="AR138" i="57"/>
  <c r="AS138" i="57"/>
  <c r="AT138" i="57"/>
  <c r="AU138" i="57"/>
  <c r="AV138" i="57"/>
  <c r="AW138" i="57"/>
  <c r="AX138" i="57"/>
  <c r="AY138" i="57"/>
  <c r="AZ138" i="57"/>
  <c r="BA138" i="57"/>
  <c r="BB138" i="57"/>
  <c r="BC138" i="57"/>
  <c r="BD138" i="57"/>
  <c r="BE138" i="57"/>
  <c r="BF138" i="57"/>
  <c r="BG138" i="57"/>
  <c r="BH138" i="57"/>
  <c r="BI138" i="57"/>
  <c r="BJ138" i="57"/>
  <c r="BK138" i="57"/>
  <c r="BL138" i="57"/>
  <c r="BM138" i="57"/>
  <c r="BN138" i="57"/>
  <c r="BO138" i="57"/>
  <c r="BP138" i="57"/>
  <c r="BQ138" i="57"/>
  <c r="BR138" i="57"/>
  <c r="BS138" i="57"/>
  <c r="BT138" i="57"/>
  <c r="BU138" i="57"/>
  <c r="BV138" i="57"/>
  <c r="BW138" i="57"/>
  <c r="BX138" i="57"/>
  <c r="BY138" i="57"/>
  <c r="BZ138" i="57"/>
  <c r="CA138" i="57"/>
  <c r="CB138" i="57"/>
  <c r="CC138" i="57"/>
  <c r="CD138" i="57"/>
  <c r="CE138" i="57"/>
  <c r="CF138" i="57"/>
  <c r="CG138" i="57"/>
  <c r="CH138" i="57"/>
  <c r="CI138" i="57"/>
  <c r="CJ138" i="57"/>
  <c r="S139" i="57"/>
  <c r="T139" i="57"/>
  <c r="U139" i="57"/>
  <c r="V139" i="57"/>
  <c r="W139" i="57"/>
  <c r="X139" i="57"/>
  <c r="Y139" i="57"/>
  <c r="Z139" i="57"/>
  <c r="AA139" i="57"/>
  <c r="AB139" i="57"/>
  <c r="AC139" i="57"/>
  <c r="AD139" i="57"/>
  <c r="AE139" i="57"/>
  <c r="AF139" i="57"/>
  <c r="AG139" i="57"/>
  <c r="AH139" i="57"/>
  <c r="AI139" i="57"/>
  <c r="AJ139" i="57"/>
  <c r="AK139" i="57"/>
  <c r="AL139" i="57"/>
  <c r="AM139" i="57"/>
  <c r="AN139" i="57"/>
  <c r="AO139" i="57"/>
  <c r="AP139" i="57"/>
  <c r="AQ139" i="57"/>
  <c r="AR139" i="57"/>
  <c r="AS139" i="57"/>
  <c r="AT139" i="57"/>
  <c r="AU139" i="57"/>
  <c r="AV139" i="57"/>
  <c r="AW139" i="57"/>
  <c r="AX139" i="57"/>
  <c r="AY139" i="57"/>
  <c r="AZ139" i="57"/>
  <c r="BA139" i="57"/>
  <c r="BB139" i="57"/>
  <c r="BC139" i="57"/>
  <c r="BD139" i="57"/>
  <c r="BE139" i="57"/>
  <c r="BF139" i="57"/>
  <c r="BG139" i="57"/>
  <c r="BH139" i="57"/>
  <c r="BI139" i="57"/>
  <c r="BJ139" i="57"/>
  <c r="BK139" i="57"/>
  <c r="BL139" i="57"/>
  <c r="BM139" i="57"/>
  <c r="BN139" i="57"/>
  <c r="BO139" i="57"/>
  <c r="BP139" i="57"/>
  <c r="BQ139" i="57"/>
  <c r="BR139" i="57"/>
  <c r="BS139" i="57"/>
  <c r="BT139" i="57"/>
  <c r="BU139" i="57"/>
  <c r="BV139" i="57"/>
  <c r="BW139" i="57"/>
  <c r="BX139" i="57"/>
  <c r="BY139" i="57"/>
  <c r="BZ139" i="57"/>
  <c r="CA139" i="57"/>
  <c r="CB139" i="57"/>
  <c r="CC139" i="57"/>
  <c r="CD139" i="57"/>
  <c r="CE139" i="57"/>
  <c r="CF139" i="57"/>
  <c r="CG139" i="57"/>
  <c r="CH139" i="57"/>
  <c r="CI139" i="57"/>
  <c r="CJ139" i="57"/>
  <c r="S140" i="57"/>
  <c r="T140" i="57"/>
  <c r="U140" i="57"/>
  <c r="V140" i="57"/>
  <c r="W140" i="57"/>
  <c r="X140" i="57"/>
  <c r="Y140" i="57"/>
  <c r="Z140" i="57"/>
  <c r="AA140" i="57"/>
  <c r="AB140" i="57"/>
  <c r="AC140" i="57"/>
  <c r="AD140" i="57"/>
  <c r="AE140" i="57"/>
  <c r="AF140" i="57"/>
  <c r="AG140" i="57"/>
  <c r="AH140" i="57"/>
  <c r="AI140" i="57"/>
  <c r="AJ140" i="57"/>
  <c r="AK140" i="57"/>
  <c r="AL140" i="57"/>
  <c r="AM140" i="57"/>
  <c r="AN140" i="57"/>
  <c r="AO140" i="57"/>
  <c r="AP140" i="57"/>
  <c r="AQ140" i="57"/>
  <c r="AR140" i="57"/>
  <c r="AS140" i="57"/>
  <c r="AT140" i="57"/>
  <c r="AU140" i="57"/>
  <c r="AV140" i="57"/>
  <c r="AW140" i="57"/>
  <c r="AX140" i="57"/>
  <c r="AY140" i="57"/>
  <c r="AZ140" i="57"/>
  <c r="BA140" i="57"/>
  <c r="BB140" i="57"/>
  <c r="BC140" i="57"/>
  <c r="BD140" i="57"/>
  <c r="BE140" i="57"/>
  <c r="BF140" i="57"/>
  <c r="BG140" i="57"/>
  <c r="BH140" i="57"/>
  <c r="BI140" i="57"/>
  <c r="BJ140" i="57"/>
  <c r="BK140" i="57"/>
  <c r="BL140" i="57"/>
  <c r="BM140" i="57"/>
  <c r="BN140" i="57"/>
  <c r="BO140" i="57"/>
  <c r="BP140" i="57"/>
  <c r="BQ140" i="57"/>
  <c r="BR140" i="57"/>
  <c r="BS140" i="57"/>
  <c r="BT140" i="57"/>
  <c r="BU140" i="57"/>
  <c r="BV140" i="57"/>
  <c r="BW140" i="57"/>
  <c r="BX140" i="57"/>
  <c r="BY140" i="57"/>
  <c r="BZ140" i="57"/>
  <c r="CA140" i="57"/>
  <c r="CB140" i="57"/>
  <c r="CC140" i="57"/>
  <c r="CD140" i="57"/>
  <c r="CE140" i="57"/>
  <c r="CF140" i="57"/>
  <c r="CG140" i="57"/>
  <c r="CH140" i="57"/>
  <c r="CI140" i="57"/>
  <c r="CJ140" i="57"/>
  <c r="S141" i="57"/>
  <c r="T141" i="57"/>
  <c r="U141" i="57"/>
  <c r="V141" i="57"/>
  <c r="W141" i="57"/>
  <c r="X141" i="57"/>
  <c r="Y141" i="57"/>
  <c r="Z141" i="57"/>
  <c r="AA141" i="57"/>
  <c r="AB141" i="57"/>
  <c r="AC141" i="57"/>
  <c r="AD141" i="57"/>
  <c r="AE141" i="57"/>
  <c r="AF141" i="57"/>
  <c r="AG141" i="57"/>
  <c r="AH141" i="57"/>
  <c r="AI141" i="57"/>
  <c r="AJ141" i="57"/>
  <c r="AK141" i="57"/>
  <c r="AL141" i="57"/>
  <c r="AM141" i="57"/>
  <c r="AN141" i="57"/>
  <c r="AO141" i="57"/>
  <c r="AP141" i="57"/>
  <c r="AQ141" i="57"/>
  <c r="AR141" i="57"/>
  <c r="AS141" i="57"/>
  <c r="AT141" i="57"/>
  <c r="AU141" i="57"/>
  <c r="AV141" i="57"/>
  <c r="AW141" i="57"/>
  <c r="AX141" i="57"/>
  <c r="AY141" i="57"/>
  <c r="AZ141" i="57"/>
  <c r="BA141" i="57"/>
  <c r="BB141" i="57"/>
  <c r="BC141" i="57"/>
  <c r="BD141" i="57"/>
  <c r="BE141" i="57"/>
  <c r="BF141" i="57"/>
  <c r="BG141" i="57"/>
  <c r="BH141" i="57"/>
  <c r="BI141" i="57"/>
  <c r="BJ141" i="57"/>
  <c r="BK141" i="57"/>
  <c r="BL141" i="57"/>
  <c r="BM141" i="57"/>
  <c r="BN141" i="57"/>
  <c r="BO141" i="57"/>
  <c r="BP141" i="57"/>
  <c r="BQ141" i="57"/>
  <c r="BR141" i="57"/>
  <c r="BS141" i="57"/>
  <c r="BT141" i="57"/>
  <c r="BU141" i="57"/>
  <c r="BV141" i="57"/>
  <c r="BW141" i="57"/>
  <c r="BX141" i="57"/>
  <c r="BY141" i="57"/>
  <c r="BZ141" i="57"/>
  <c r="CA141" i="57"/>
  <c r="CB141" i="57"/>
  <c r="CC141" i="57"/>
  <c r="CD141" i="57"/>
  <c r="CE141" i="57"/>
  <c r="CF141" i="57"/>
  <c r="CG141" i="57"/>
  <c r="CH141" i="57"/>
  <c r="CI141" i="57"/>
  <c r="CJ141" i="57"/>
  <c r="S142" i="57"/>
  <c r="T142" i="57"/>
  <c r="U142" i="57"/>
  <c r="V142" i="57"/>
  <c r="W142" i="57"/>
  <c r="X142" i="57"/>
  <c r="Y142" i="57"/>
  <c r="Z142" i="57"/>
  <c r="AA142" i="57"/>
  <c r="AB142" i="57"/>
  <c r="AC142" i="57"/>
  <c r="AD142" i="57"/>
  <c r="AE142" i="57"/>
  <c r="AF142" i="57"/>
  <c r="AG142" i="57"/>
  <c r="AH142" i="57"/>
  <c r="AI142" i="57"/>
  <c r="AJ142" i="57"/>
  <c r="AK142" i="57"/>
  <c r="AL142" i="57"/>
  <c r="AM142" i="57"/>
  <c r="AN142" i="57"/>
  <c r="AO142" i="57"/>
  <c r="AP142" i="57"/>
  <c r="AQ142" i="57"/>
  <c r="AR142" i="57"/>
  <c r="AS142" i="57"/>
  <c r="AT142" i="57"/>
  <c r="AU142" i="57"/>
  <c r="AV142" i="57"/>
  <c r="AW142" i="57"/>
  <c r="AX142" i="57"/>
  <c r="AY142" i="57"/>
  <c r="AZ142" i="57"/>
  <c r="BA142" i="57"/>
  <c r="BB142" i="57"/>
  <c r="BC142" i="57"/>
  <c r="BD142" i="57"/>
  <c r="BE142" i="57"/>
  <c r="BF142" i="57"/>
  <c r="BG142" i="57"/>
  <c r="BH142" i="57"/>
  <c r="BI142" i="57"/>
  <c r="BJ142" i="57"/>
  <c r="BK142" i="57"/>
  <c r="BL142" i="57"/>
  <c r="BM142" i="57"/>
  <c r="BN142" i="57"/>
  <c r="BO142" i="57"/>
  <c r="BP142" i="57"/>
  <c r="BQ142" i="57"/>
  <c r="BR142" i="57"/>
  <c r="BS142" i="57"/>
  <c r="BT142" i="57"/>
  <c r="BU142" i="57"/>
  <c r="BV142" i="57"/>
  <c r="BW142" i="57"/>
  <c r="BX142" i="57"/>
  <c r="BY142" i="57"/>
  <c r="BZ142" i="57"/>
  <c r="CA142" i="57"/>
  <c r="CB142" i="57"/>
  <c r="CC142" i="57"/>
  <c r="CD142" i="57"/>
  <c r="CE142" i="57"/>
  <c r="CF142" i="57"/>
  <c r="CG142" i="57"/>
  <c r="CH142" i="57"/>
  <c r="CI142" i="57"/>
  <c r="CJ142" i="57"/>
  <c r="S143" i="57"/>
  <c r="T143" i="57"/>
  <c r="U143" i="57"/>
  <c r="V143" i="57"/>
  <c r="W143" i="57"/>
  <c r="X143" i="57"/>
  <c r="Y143" i="57"/>
  <c r="Z143" i="57"/>
  <c r="AA143" i="57"/>
  <c r="AB143" i="57"/>
  <c r="AC143" i="57"/>
  <c r="AD143" i="57"/>
  <c r="AE143" i="57"/>
  <c r="AF143" i="57"/>
  <c r="AG143" i="57"/>
  <c r="AH143" i="57"/>
  <c r="AI143" i="57"/>
  <c r="AJ143" i="57"/>
  <c r="AK143" i="57"/>
  <c r="AL143" i="57"/>
  <c r="AM143" i="57"/>
  <c r="AN143" i="57"/>
  <c r="AO143" i="57"/>
  <c r="AP143" i="57"/>
  <c r="AQ143" i="57"/>
  <c r="AR143" i="57"/>
  <c r="AS143" i="57"/>
  <c r="AT143" i="57"/>
  <c r="AU143" i="57"/>
  <c r="AV143" i="57"/>
  <c r="AW143" i="57"/>
  <c r="AX143" i="57"/>
  <c r="AY143" i="57"/>
  <c r="AZ143" i="57"/>
  <c r="BA143" i="57"/>
  <c r="BB143" i="57"/>
  <c r="BC143" i="57"/>
  <c r="BD143" i="57"/>
  <c r="BE143" i="57"/>
  <c r="BF143" i="57"/>
  <c r="BG143" i="57"/>
  <c r="BH143" i="57"/>
  <c r="BI143" i="57"/>
  <c r="BJ143" i="57"/>
  <c r="BK143" i="57"/>
  <c r="BL143" i="57"/>
  <c r="BM143" i="57"/>
  <c r="BN143" i="57"/>
  <c r="BO143" i="57"/>
  <c r="BP143" i="57"/>
  <c r="BQ143" i="57"/>
  <c r="BR143" i="57"/>
  <c r="BS143" i="57"/>
  <c r="BT143" i="57"/>
  <c r="BU143" i="57"/>
  <c r="BV143" i="57"/>
  <c r="BW143" i="57"/>
  <c r="BX143" i="57"/>
  <c r="BY143" i="57"/>
  <c r="BZ143" i="57"/>
  <c r="CA143" i="57"/>
  <c r="CB143" i="57"/>
  <c r="CC143" i="57"/>
  <c r="CD143" i="57"/>
  <c r="CE143" i="57"/>
  <c r="CF143" i="57"/>
  <c r="CG143" i="57"/>
  <c r="CH143" i="57"/>
  <c r="CI143" i="57"/>
  <c r="CJ143" i="57"/>
  <c r="S144" i="57"/>
  <c r="T144" i="57"/>
  <c r="U144" i="57"/>
  <c r="V144" i="57"/>
  <c r="W144" i="57"/>
  <c r="X144" i="57"/>
  <c r="Y144" i="57"/>
  <c r="Z144" i="57"/>
  <c r="AA144" i="57"/>
  <c r="AB144" i="57"/>
  <c r="AC144" i="57"/>
  <c r="AD144" i="57"/>
  <c r="AE144" i="57"/>
  <c r="AF144" i="57"/>
  <c r="AG144" i="57"/>
  <c r="AH144" i="57"/>
  <c r="AI144" i="57"/>
  <c r="AJ144" i="57"/>
  <c r="AK144" i="57"/>
  <c r="AL144" i="57"/>
  <c r="AM144" i="57"/>
  <c r="AN144" i="57"/>
  <c r="AO144" i="57"/>
  <c r="AP144" i="57"/>
  <c r="AQ144" i="57"/>
  <c r="AR144" i="57"/>
  <c r="AS144" i="57"/>
  <c r="AT144" i="57"/>
  <c r="AU144" i="57"/>
  <c r="AV144" i="57"/>
  <c r="AW144" i="57"/>
  <c r="AX144" i="57"/>
  <c r="AY144" i="57"/>
  <c r="AZ144" i="57"/>
  <c r="BA144" i="57"/>
  <c r="BB144" i="57"/>
  <c r="BC144" i="57"/>
  <c r="BD144" i="57"/>
  <c r="BE144" i="57"/>
  <c r="BF144" i="57"/>
  <c r="BG144" i="57"/>
  <c r="BH144" i="57"/>
  <c r="BI144" i="57"/>
  <c r="BJ144" i="57"/>
  <c r="BK144" i="57"/>
  <c r="BL144" i="57"/>
  <c r="BM144" i="57"/>
  <c r="BN144" i="57"/>
  <c r="BO144" i="57"/>
  <c r="BP144" i="57"/>
  <c r="BQ144" i="57"/>
  <c r="BR144" i="57"/>
  <c r="BS144" i="57"/>
  <c r="BT144" i="57"/>
  <c r="BU144" i="57"/>
  <c r="BV144" i="57"/>
  <c r="BW144" i="57"/>
  <c r="BX144" i="57"/>
  <c r="BY144" i="57"/>
  <c r="BZ144" i="57"/>
  <c r="CA144" i="57"/>
  <c r="CB144" i="57"/>
  <c r="CC144" i="57"/>
  <c r="CD144" i="57"/>
  <c r="CE144" i="57"/>
  <c r="CF144" i="57"/>
  <c r="CG144" i="57"/>
  <c r="CH144" i="57"/>
  <c r="CI144" i="57"/>
  <c r="CJ144" i="57"/>
  <c r="S145" i="57"/>
  <c r="T145" i="57"/>
  <c r="U145" i="57"/>
  <c r="V145" i="57"/>
  <c r="W145" i="57"/>
  <c r="X145" i="57"/>
  <c r="Y145" i="57"/>
  <c r="Z145" i="57"/>
  <c r="AA145" i="57"/>
  <c r="AB145" i="57"/>
  <c r="AC145" i="57"/>
  <c r="AD145" i="57"/>
  <c r="AE145" i="57"/>
  <c r="AF145" i="57"/>
  <c r="AG145" i="57"/>
  <c r="AH145" i="57"/>
  <c r="AI145" i="57"/>
  <c r="AJ145" i="57"/>
  <c r="AK145" i="57"/>
  <c r="AL145" i="57"/>
  <c r="AM145" i="57"/>
  <c r="AN145" i="57"/>
  <c r="AO145" i="57"/>
  <c r="AP145" i="57"/>
  <c r="AQ145" i="57"/>
  <c r="AR145" i="57"/>
  <c r="AS145" i="57"/>
  <c r="AT145" i="57"/>
  <c r="AU145" i="57"/>
  <c r="AV145" i="57"/>
  <c r="AW145" i="57"/>
  <c r="AX145" i="57"/>
  <c r="AY145" i="57"/>
  <c r="AZ145" i="57"/>
  <c r="BA145" i="57"/>
  <c r="BB145" i="57"/>
  <c r="BC145" i="57"/>
  <c r="BD145" i="57"/>
  <c r="BE145" i="57"/>
  <c r="BF145" i="57"/>
  <c r="BG145" i="57"/>
  <c r="BH145" i="57"/>
  <c r="BI145" i="57"/>
  <c r="BJ145" i="57"/>
  <c r="BK145" i="57"/>
  <c r="BL145" i="57"/>
  <c r="BM145" i="57"/>
  <c r="BN145" i="57"/>
  <c r="BO145" i="57"/>
  <c r="BP145" i="57"/>
  <c r="BQ145" i="57"/>
  <c r="BR145" i="57"/>
  <c r="BS145" i="57"/>
  <c r="BT145" i="57"/>
  <c r="BU145" i="57"/>
  <c r="BV145" i="57"/>
  <c r="BW145" i="57"/>
  <c r="BX145" i="57"/>
  <c r="BY145" i="57"/>
  <c r="BZ145" i="57"/>
  <c r="CA145" i="57"/>
  <c r="CB145" i="57"/>
  <c r="CC145" i="57"/>
  <c r="CD145" i="57"/>
  <c r="CE145" i="57"/>
  <c r="CF145" i="57"/>
  <c r="CG145" i="57"/>
  <c r="CH145" i="57"/>
  <c r="CI145" i="57"/>
  <c r="CJ145" i="57"/>
  <c r="S146" i="57"/>
  <c r="T146" i="57"/>
  <c r="U146" i="57"/>
  <c r="V146" i="57"/>
  <c r="W146" i="57"/>
  <c r="X146" i="57"/>
  <c r="Y146" i="57"/>
  <c r="Z146" i="57"/>
  <c r="AA146" i="57"/>
  <c r="AB146" i="57"/>
  <c r="AC146" i="57"/>
  <c r="AD146" i="57"/>
  <c r="AE146" i="57"/>
  <c r="AF146" i="57"/>
  <c r="AG146" i="57"/>
  <c r="AH146" i="57"/>
  <c r="AI146" i="57"/>
  <c r="AJ146" i="57"/>
  <c r="AK146" i="57"/>
  <c r="AL146" i="57"/>
  <c r="AM146" i="57"/>
  <c r="AN146" i="57"/>
  <c r="AO146" i="57"/>
  <c r="AP146" i="57"/>
  <c r="AQ146" i="57"/>
  <c r="AR146" i="57"/>
  <c r="AS146" i="57"/>
  <c r="AT146" i="57"/>
  <c r="AU146" i="57"/>
  <c r="AV146" i="57"/>
  <c r="AW146" i="57"/>
  <c r="AX146" i="57"/>
  <c r="AY146" i="57"/>
  <c r="AZ146" i="57"/>
  <c r="BA146" i="57"/>
  <c r="BB146" i="57"/>
  <c r="BC146" i="57"/>
  <c r="BD146" i="57"/>
  <c r="BE146" i="57"/>
  <c r="BF146" i="57"/>
  <c r="BG146" i="57"/>
  <c r="BH146" i="57"/>
  <c r="BI146" i="57"/>
  <c r="BJ146" i="57"/>
  <c r="BK146" i="57"/>
  <c r="BL146" i="57"/>
  <c r="BM146" i="57"/>
  <c r="BN146" i="57"/>
  <c r="BO146" i="57"/>
  <c r="BP146" i="57"/>
  <c r="BQ146" i="57"/>
  <c r="BR146" i="57"/>
  <c r="BS146" i="57"/>
  <c r="BT146" i="57"/>
  <c r="BU146" i="57"/>
  <c r="BV146" i="57"/>
  <c r="BW146" i="57"/>
  <c r="BX146" i="57"/>
  <c r="BY146" i="57"/>
  <c r="BZ146" i="57"/>
  <c r="CA146" i="57"/>
  <c r="CB146" i="57"/>
  <c r="CC146" i="57"/>
  <c r="CD146" i="57"/>
  <c r="CE146" i="57"/>
  <c r="CF146" i="57"/>
  <c r="CG146" i="57"/>
  <c r="CH146" i="57"/>
  <c r="CI146" i="57"/>
  <c r="CJ146" i="57"/>
  <c r="S147" i="57"/>
  <c r="T147" i="57"/>
  <c r="U147" i="57"/>
  <c r="V147" i="57"/>
  <c r="W147" i="57"/>
  <c r="X147" i="57"/>
  <c r="Y147" i="57"/>
  <c r="Z147" i="57"/>
  <c r="AA147" i="57"/>
  <c r="AB147" i="57"/>
  <c r="AC147" i="57"/>
  <c r="AD147" i="57"/>
  <c r="AE147" i="57"/>
  <c r="AF147" i="57"/>
  <c r="AG147" i="57"/>
  <c r="AH147" i="57"/>
  <c r="AI147" i="57"/>
  <c r="AJ147" i="57"/>
  <c r="AK147" i="57"/>
  <c r="AL147" i="57"/>
  <c r="AM147" i="57"/>
  <c r="AN147" i="57"/>
  <c r="AO147" i="57"/>
  <c r="AP147" i="57"/>
  <c r="AQ147" i="57"/>
  <c r="AR147" i="57"/>
  <c r="AS147" i="57"/>
  <c r="AT147" i="57"/>
  <c r="AU147" i="57"/>
  <c r="AV147" i="57"/>
  <c r="AW147" i="57"/>
  <c r="AX147" i="57"/>
  <c r="AY147" i="57"/>
  <c r="AZ147" i="57"/>
  <c r="BA147" i="57"/>
  <c r="BB147" i="57"/>
  <c r="BC147" i="57"/>
  <c r="BD147" i="57"/>
  <c r="BE147" i="57"/>
  <c r="BF147" i="57"/>
  <c r="BG147" i="57"/>
  <c r="BH147" i="57"/>
  <c r="BI147" i="57"/>
  <c r="BJ147" i="57"/>
  <c r="BK147" i="57"/>
  <c r="BL147" i="57"/>
  <c r="BM147" i="57"/>
  <c r="BN147" i="57"/>
  <c r="BO147" i="57"/>
  <c r="BP147" i="57"/>
  <c r="BQ147" i="57"/>
  <c r="BR147" i="57"/>
  <c r="BS147" i="57"/>
  <c r="BT147" i="57"/>
  <c r="BU147" i="57"/>
  <c r="BV147" i="57"/>
  <c r="BW147" i="57"/>
  <c r="BX147" i="57"/>
  <c r="BY147" i="57"/>
  <c r="BZ147" i="57"/>
  <c r="CA147" i="57"/>
  <c r="CB147" i="57"/>
  <c r="CC147" i="57"/>
  <c r="CD147" i="57"/>
  <c r="CE147" i="57"/>
  <c r="CF147" i="57"/>
  <c r="CG147" i="57"/>
  <c r="CH147" i="57"/>
  <c r="CI147" i="57"/>
  <c r="CJ147" i="57"/>
  <c r="S148" i="57"/>
  <c r="T148" i="57"/>
  <c r="U148" i="57"/>
  <c r="V148" i="57"/>
  <c r="W148" i="57"/>
  <c r="X148" i="57"/>
  <c r="Y148" i="57"/>
  <c r="Z148" i="57"/>
  <c r="AA148" i="57"/>
  <c r="AB148" i="57"/>
  <c r="AC148" i="57"/>
  <c r="AD148" i="57"/>
  <c r="AE148" i="57"/>
  <c r="AF148" i="57"/>
  <c r="AG148" i="57"/>
  <c r="AH148" i="57"/>
  <c r="AI148" i="57"/>
  <c r="AJ148" i="57"/>
  <c r="AK148" i="57"/>
  <c r="AL148" i="57"/>
  <c r="AM148" i="57"/>
  <c r="AN148" i="57"/>
  <c r="AO148" i="57"/>
  <c r="AP148" i="57"/>
  <c r="AQ148" i="57"/>
  <c r="AR148" i="57"/>
  <c r="AS148" i="57"/>
  <c r="AT148" i="57"/>
  <c r="AU148" i="57"/>
  <c r="AV148" i="57"/>
  <c r="AW148" i="57"/>
  <c r="AX148" i="57"/>
  <c r="AY148" i="57"/>
  <c r="AZ148" i="57"/>
  <c r="BA148" i="57"/>
  <c r="BB148" i="57"/>
  <c r="BC148" i="57"/>
  <c r="BD148" i="57"/>
  <c r="BE148" i="57"/>
  <c r="BF148" i="57"/>
  <c r="BG148" i="57"/>
  <c r="BH148" i="57"/>
  <c r="BI148" i="57"/>
  <c r="BJ148" i="57"/>
  <c r="BK148" i="57"/>
  <c r="BL148" i="57"/>
  <c r="BM148" i="57"/>
  <c r="BN148" i="57"/>
  <c r="BO148" i="57"/>
  <c r="BP148" i="57"/>
  <c r="BQ148" i="57"/>
  <c r="BR148" i="57"/>
  <c r="BS148" i="57"/>
  <c r="BT148" i="57"/>
  <c r="BU148" i="57"/>
  <c r="BV148" i="57"/>
  <c r="BW148" i="57"/>
  <c r="BX148" i="57"/>
  <c r="BY148" i="57"/>
  <c r="BZ148" i="57"/>
  <c r="CA148" i="57"/>
  <c r="CB148" i="57"/>
  <c r="CC148" i="57"/>
  <c r="CD148" i="57"/>
  <c r="CE148" i="57"/>
  <c r="CF148" i="57"/>
  <c r="CG148" i="57"/>
  <c r="CH148" i="57"/>
  <c r="CI148" i="57"/>
  <c r="CJ148" i="57"/>
  <c r="S149" i="57"/>
  <c r="T149" i="57"/>
  <c r="U149" i="57"/>
  <c r="V149" i="57"/>
  <c r="W149" i="57"/>
  <c r="X149" i="57"/>
  <c r="Y149" i="57"/>
  <c r="Z149" i="57"/>
  <c r="AA149" i="57"/>
  <c r="AB149" i="57"/>
  <c r="AC149" i="57"/>
  <c r="AD149" i="57"/>
  <c r="AE149" i="57"/>
  <c r="AF149" i="57"/>
  <c r="AG149" i="57"/>
  <c r="AH149" i="57"/>
  <c r="AI149" i="57"/>
  <c r="AJ149" i="57"/>
  <c r="AK149" i="57"/>
  <c r="AL149" i="57"/>
  <c r="AM149" i="57"/>
  <c r="AN149" i="57"/>
  <c r="AO149" i="57"/>
  <c r="AP149" i="57"/>
  <c r="AQ149" i="57"/>
  <c r="AR149" i="57"/>
  <c r="AS149" i="57"/>
  <c r="AT149" i="57"/>
  <c r="AU149" i="57"/>
  <c r="AV149" i="57"/>
  <c r="AW149" i="57"/>
  <c r="AX149" i="57"/>
  <c r="AY149" i="57"/>
  <c r="AZ149" i="57"/>
  <c r="BA149" i="57"/>
  <c r="BB149" i="57"/>
  <c r="BC149" i="57"/>
  <c r="BD149" i="57"/>
  <c r="BE149" i="57"/>
  <c r="BF149" i="57"/>
  <c r="BG149" i="57"/>
  <c r="BH149" i="57"/>
  <c r="BI149" i="57"/>
  <c r="BJ149" i="57"/>
  <c r="BK149" i="57"/>
  <c r="BL149" i="57"/>
  <c r="BM149" i="57"/>
  <c r="BN149" i="57"/>
  <c r="BO149" i="57"/>
  <c r="BP149" i="57"/>
  <c r="BQ149" i="57"/>
  <c r="BR149" i="57"/>
  <c r="BS149" i="57"/>
  <c r="BT149" i="57"/>
  <c r="BU149" i="57"/>
  <c r="BV149" i="57"/>
  <c r="BW149" i="57"/>
  <c r="BX149" i="57"/>
  <c r="BY149" i="57"/>
  <c r="BZ149" i="57"/>
  <c r="CA149" i="57"/>
  <c r="CB149" i="57"/>
  <c r="CC149" i="57"/>
  <c r="CD149" i="57"/>
  <c r="CE149" i="57"/>
  <c r="CF149" i="57"/>
  <c r="CG149" i="57"/>
  <c r="CH149" i="57"/>
  <c r="CI149" i="57"/>
  <c r="CJ149" i="57"/>
  <c r="S150" i="57"/>
  <c r="T150" i="57"/>
  <c r="U150" i="57"/>
  <c r="V150" i="57"/>
  <c r="W150" i="57"/>
  <c r="X150" i="57"/>
  <c r="Y150" i="57"/>
  <c r="Z150" i="57"/>
  <c r="AA150" i="57"/>
  <c r="AB150" i="57"/>
  <c r="AC150" i="57"/>
  <c r="AD150" i="57"/>
  <c r="AE150" i="57"/>
  <c r="AF150" i="57"/>
  <c r="AG150" i="57"/>
  <c r="AH150" i="57"/>
  <c r="AI150" i="57"/>
  <c r="AJ150" i="57"/>
  <c r="AK150" i="57"/>
  <c r="AL150" i="57"/>
  <c r="AM150" i="57"/>
  <c r="AN150" i="57"/>
  <c r="AO150" i="57"/>
  <c r="AP150" i="57"/>
  <c r="AQ150" i="57"/>
  <c r="AR150" i="57"/>
  <c r="AS150" i="57"/>
  <c r="AT150" i="57"/>
  <c r="AU150" i="57"/>
  <c r="AV150" i="57"/>
  <c r="AW150" i="57"/>
  <c r="AX150" i="57"/>
  <c r="AY150" i="57"/>
  <c r="AZ150" i="57"/>
  <c r="BA150" i="57"/>
  <c r="BB150" i="57"/>
  <c r="BC150" i="57"/>
  <c r="BD150" i="57"/>
  <c r="BE150" i="57"/>
  <c r="BF150" i="57"/>
  <c r="BG150" i="57"/>
  <c r="BH150" i="57"/>
  <c r="BI150" i="57"/>
  <c r="BJ150" i="57"/>
  <c r="BK150" i="57"/>
  <c r="BL150" i="57"/>
  <c r="BM150" i="57"/>
  <c r="BN150" i="57"/>
  <c r="BO150" i="57"/>
  <c r="BP150" i="57"/>
  <c r="BQ150" i="57"/>
  <c r="BR150" i="57"/>
  <c r="BS150" i="57"/>
  <c r="BT150" i="57"/>
  <c r="BU150" i="57"/>
  <c r="BV150" i="57"/>
  <c r="BW150" i="57"/>
  <c r="BX150" i="57"/>
  <c r="BY150" i="57"/>
  <c r="BZ150" i="57"/>
  <c r="CA150" i="57"/>
  <c r="CB150" i="57"/>
  <c r="CC150" i="57"/>
  <c r="CD150" i="57"/>
  <c r="CE150" i="57"/>
  <c r="CF150" i="57"/>
  <c r="CG150" i="57"/>
  <c r="CH150" i="57"/>
  <c r="CI150" i="57"/>
  <c r="CJ150" i="57"/>
  <c r="S151" i="57"/>
  <c r="T151" i="57"/>
  <c r="U151" i="57"/>
  <c r="V151" i="57"/>
  <c r="W151" i="57"/>
  <c r="X151" i="57"/>
  <c r="Y151" i="57"/>
  <c r="Z151" i="57"/>
  <c r="AA151" i="57"/>
  <c r="AB151" i="57"/>
  <c r="AC151" i="57"/>
  <c r="AD151" i="57"/>
  <c r="AE151" i="57"/>
  <c r="AF151" i="57"/>
  <c r="AG151" i="57"/>
  <c r="AH151" i="57"/>
  <c r="AI151" i="57"/>
  <c r="AJ151" i="57"/>
  <c r="AK151" i="57"/>
  <c r="AL151" i="57"/>
  <c r="AM151" i="57"/>
  <c r="AN151" i="57"/>
  <c r="AO151" i="57"/>
  <c r="AP151" i="57"/>
  <c r="AQ151" i="57"/>
  <c r="AR151" i="57"/>
  <c r="AS151" i="57"/>
  <c r="AT151" i="57"/>
  <c r="AU151" i="57"/>
  <c r="AV151" i="57"/>
  <c r="AW151" i="57"/>
  <c r="AX151" i="57"/>
  <c r="AY151" i="57"/>
  <c r="AZ151" i="57"/>
  <c r="BA151" i="57"/>
  <c r="BB151" i="57"/>
  <c r="BC151" i="57"/>
  <c r="BD151" i="57"/>
  <c r="BE151" i="57"/>
  <c r="BF151" i="57"/>
  <c r="BG151" i="57"/>
  <c r="BH151" i="57"/>
  <c r="BI151" i="57"/>
  <c r="BJ151" i="57"/>
  <c r="BK151" i="57"/>
  <c r="BL151" i="57"/>
  <c r="BM151" i="57"/>
  <c r="BN151" i="57"/>
  <c r="BO151" i="57"/>
  <c r="BP151" i="57"/>
  <c r="BQ151" i="57"/>
  <c r="BR151" i="57"/>
  <c r="BS151" i="57"/>
  <c r="BT151" i="57"/>
  <c r="BU151" i="57"/>
  <c r="BV151" i="57"/>
  <c r="BW151" i="57"/>
  <c r="BX151" i="57"/>
  <c r="BY151" i="57"/>
  <c r="BZ151" i="57"/>
  <c r="CA151" i="57"/>
  <c r="CB151" i="57"/>
  <c r="CC151" i="57"/>
  <c r="CD151" i="57"/>
  <c r="CE151" i="57"/>
  <c r="CF151" i="57"/>
  <c r="CG151" i="57"/>
  <c r="CH151" i="57"/>
  <c r="CI151" i="57"/>
  <c r="CJ151" i="57"/>
  <c r="S152" i="57"/>
  <c r="T152" i="57"/>
  <c r="U152" i="57"/>
  <c r="V152" i="57"/>
  <c r="W152" i="57"/>
  <c r="X152" i="57"/>
  <c r="Y152" i="57"/>
  <c r="Z152" i="57"/>
  <c r="AA152" i="57"/>
  <c r="AB152" i="57"/>
  <c r="AC152" i="57"/>
  <c r="AD152" i="57"/>
  <c r="AE152" i="57"/>
  <c r="AF152" i="57"/>
  <c r="AG152" i="57"/>
  <c r="AH152" i="57"/>
  <c r="AI152" i="57"/>
  <c r="AJ152" i="57"/>
  <c r="AK152" i="57"/>
  <c r="AL152" i="57"/>
  <c r="AM152" i="57"/>
  <c r="AN152" i="57"/>
  <c r="AO152" i="57"/>
  <c r="AP152" i="57"/>
  <c r="AQ152" i="57"/>
  <c r="AR152" i="57"/>
  <c r="AS152" i="57"/>
  <c r="AT152" i="57"/>
  <c r="AU152" i="57"/>
  <c r="AV152" i="57"/>
  <c r="AW152" i="57"/>
  <c r="AX152" i="57"/>
  <c r="AY152" i="57"/>
  <c r="AZ152" i="57"/>
  <c r="BA152" i="57"/>
  <c r="BB152" i="57"/>
  <c r="BC152" i="57"/>
  <c r="BD152" i="57"/>
  <c r="BE152" i="57"/>
  <c r="BF152" i="57"/>
  <c r="BG152" i="57"/>
  <c r="BH152" i="57"/>
  <c r="BI152" i="57"/>
  <c r="BJ152" i="57"/>
  <c r="BK152" i="57"/>
  <c r="BL152" i="57"/>
  <c r="BM152" i="57"/>
  <c r="BN152" i="57"/>
  <c r="BO152" i="57"/>
  <c r="BP152" i="57"/>
  <c r="BQ152" i="57"/>
  <c r="BR152" i="57"/>
  <c r="BS152" i="57"/>
  <c r="BT152" i="57"/>
  <c r="BU152" i="57"/>
  <c r="BV152" i="57"/>
  <c r="BW152" i="57"/>
  <c r="BX152" i="57"/>
  <c r="BY152" i="57"/>
  <c r="BZ152" i="57"/>
  <c r="CA152" i="57"/>
  <c r="CB152" i="57"/>
  <c r="CC152" i="57"/>
  <c r="CD152" i="57"/>
  <c r="CE152" i="57"/>
  <c r="CF152" i="57"/>
  <c r="CG152" i="57"/>
  <c r="CH152" i="57"/>
  <c r="CI152" i="57"/>
  <c r="CJ152" i="57"/>
  <c r="S153" i="57"/>
  <c r="T153" i="57"/>
  <c r="U153" i="57"/>
  <c r="V153" i="57"/>
  <c r="W153" i="57"/>
  <c r="X153" i="57"/>
  <c r="Y153" i="57"/>
  <c r="Z153" i="57"/>
  <c r="AA153" i="57"/>
  <c r="AB153" i="57"/>
  <c r="AC153" i="57"/>
  <c r="AD153" i="57"/>
  <c r="AE153" i="57"/>
  <c r="AF153" i="57"/>
  <c r="AG153" i="57"/>
  <c r="AH153" i="57"/>
  <c r="AI153" i="57"/>
  <c r="AJ153" i="57"/>
  <c r="AK153" i="57"/>
  <c r="AL153" i="57"/>
  <c r="AM153" i="57"/>
  <c r="AN153" i="57"/>
  <c r="AO153" i="57"/>
  <c r="AP153" i="57"/>
  <c r="AQ153" i="57"/>
  <c r="AR153" i="57"/>
  <c r="AS153" i="57"/>
  <c r="AT153" i="57"/>
  <c r="AU153" i="57"/>
  <c r="AV153" i="57"/>
  <c r="AW153" i="57"/>
  <c r="AX153" i="57"/>
  <c r="AY153" i="57"/>
  <c r="AZ153" i="57"/>
  <c r="BA153" i="57"/>
  <c r="BB153" i="57"/>
  <c r="BC153" i="57"/>
  <c r="BD153" i="57"/>
  <c r="BE153" i="57"/>
  <c r="BF153" i="57"/>
  <c r="BG153" i="57"/>
  <c r="BH153" i="57"/>
  <c r="BI153" i="57"/>
  <c r="BJ153" i="57"/>
  <c r="BK153" i="57"/>
  <c r="BL153" i="57"/>
  <c r="BM153" i="57"/>
  <c r="BN153" i="57"/>
  <c r="BO153" i="57"/>
  <c r="BP153" i="57"/>
  <c r="BQ153" i="57"/>
  <c r="BR153" i="57"/>
  <c r="BS153" i="57"/>
  <c r="BT153" i="57"/>
  <c r="BU153" i="57"/>
  <c r="BV153" i="57"/>
  <c r="BW153" i="57"/>
  <c r="BX153" i="57"/>
  <c r="BY153" i="57"/>
  <c r="BZ153" i="57"/>
  <c r="CA153" i="57"/>
  <c r="CB153" i="57"/>
  <c r="CC153" i="57"/>
  <c r="CD153" i="57"/>
  <c r="CE153" i="57"/>
  <c r="CF153" i="57"/>
  <c r="CG153" i="57"/>
  <c r="CH153" i="57"/>
  <c r="CI153" i="57"/>
  <c r="CJ153" i="57"/>
  <c r="S154" i="57"/>
  <c r="T154" i="57"/>
  <c r="U154" i="57"/>
  <c r="V154" i="57"/>
  <c r="W154" i="57"/>
  <c r="X154" i="57"/>
  <c r="Y154" i="57"/>
  <c r="Z154" i="57"/>
  <c r="AA154" i="57"/>
  <c r="AB154" i="57"/>
  <c r="AC154" i="57"/>
  <c r="AD154" i="57"/>
  <c r="AE154" i="57"/>
  <c r="AF154" i="57"/>
  <c r="AG154" i="57"/>
  <c r="AH154" i="57"/>
  <c r="AI154" i="57"/>
  <c r="AJ154" i="57"/>
  <c r="AK154" i="57"/>
  <c r="AL154" i="57"/>
  <c r="AM154" i="57"/>
  <c r="AN154" i="57"/>
  <c r="AO154" i="57"/>
  <c r="AP154" i="57"/>
  <c r="AQ154" i="57"/>
  <c r="AR154" i="57"/>
  <c r="AS154" i="57"/>
  <c r="AT154" i="57"/>
  <c r="AU154" i="57"/>
  <c r="AV154" i="57"/>
  <c r="AW154" i="57"/>
  <c r="AX154" i="57"/>
  <c r="AY154" i="57"/>
  <c r="AZ154" i="57"/>
  <c r="BA154" i="57"/>
  <c r="BB154" i="57"/>
  <c r="BC154" i="57"/>
  <c r="BD154" i="57"/>
  <c r="BE154" i="57"/>
  <c r="BF154" i="57"/>
  <c r="BG154" i="57"/>
  <c r="BH154" i="57"/>
  <c r="BI154" i="57"/>
  <c r="BJ154" i="57"/>
  <c r="BK154" i="57"/>
  <c r="BL154" i="57"/>
  <c r="BM154" i="57"/>
  <c r="BN154" i="57"/>
  <c r="BO154" i="57"/>
  <c r="BP154" i="57"/>
  <c r="BQ154" i="57"/>
  <c r="BR154" i="57"/>
  <c r="BS154" i="57"/>
  <c r="BT154" i="57"/>
  <c r="BU154" i="57"/>
  <c r="BV154" i="57"/>
  <c r="BW154" i="57"/>
  <c r="BX154" i="57"/>
  <c r="BY154" i="57"/>
  <c r="BZ154" i="57"/>
  <c r="CA154" i="57"/>
  <c r="CB154" i="57"/>
  <c r="CC154" i="57"/>
  <c r="CD154" i="57"/>
  <c r="CE154" i="57"/>
  <c r="CF154" i="57"/>
  <c r="CG154" i="57"/>
  <c r="CH154" i="57"/>
  <c r="CI154" i="57"/>
  <c r="CJ154" i="57"/>
  <c r="S155" i="57"/>
  <c r="T155" i="57"/>
  <c r="U155" i="57"/>
  <c r="V155" i="57"/>
  <c r="W155" i="57"/>
  <c r="X155" i="57"/>
  <c r="Y155" i="57"/>
  <c r="Z155" i="57"/>
  <c r="AA155" i="57"/>
  <c r="AB155" i="57"/>
  <c r="AC155" i="57"/>
  <c r="AD155" i="57"/>
  <c r="AE155" i="57"/>
  <c r="AF155" i="57"/>
  <c r="AG155" i="57"/>
  <c r="AH155" i="57"/>
  <c r="AI155" i="57"/>
  <c r="AJ155" i="57"/>
  <c r="AK155" i="57"/>
  <c r="AL155" i="57"/>
  <c r="AM155" i="57"/>
  <c r="AN155" i="57"/>
  <c r="AO155" i="57"/>
  <c r="AP155" i="57"/>
  <c r="AQ155" i="57"/>
  <c r="AR155" i="57"/>
  <c r="AS155" i="57"/>
  <c r="AT155" i="57"/>
  <c r="AU155" i="57"/>
  <c r="AV155" i="57"/>
  <c r="AW155" i="57"/>
  <c r="AX155" i="57"/>
  <c r="AY155" i="57"/>
  <c r="AZ155" i="57"/>
  <c r="BA155" i="57"/>
  <c r="BB155" i="57"/>
  <c r="BC155" i="57"/>
  <c r="BD155" i="57"/>
  <c r="BE155" i="57"/>
  <c r="BF155" i="57"/>
  <c r="BG155" i="57"/>
  <c r="BH155" i="57"/>
  <c r="BI155" i="57"/>
  <c r="BJ155" i="57"/>
  <c r="BK155" i="57"/>
  <c r="BL155" i="57"/>
  <c r="BM155" i="57"/>
  <c r="BN155" i="57"/>
  <c r="BO155" i="57"/>
  <c r="BP155" i="57"/>
  <c r="BQ155" i="57"/>
  <c r="BR155" i="57"/>
  <c r="BS155" i="57"/>
  <c r="BT155" i="57"/>
  <c r="BU155" i="57"/>
  <c r="BV155" i="57"/>
  <c r="BW155" i="57"/>
  <c r="BX155" i="57"/>
  <c r="BY155" i="57"/>
  <c r="BZ155" i="57"/>
  <c r="CA155" i="57"/>
  <c r="CB155" i="57"/>
  <c r="CC155" i="57"/>
  <c r="CD155" i="57"/>
  <c r="CE155" i="57"/>
  <c r="CF155" i="57"/>
  <c r="CG155" i="57"/>
  <c r="CH155" i="57"/>
  <c r="CI155" i="57"/>
  <c r="CJ155" i="57"/>
  <c r="S156" i="57"/>
  <c r="T156" i="57"/>
  <c r="U156" i="57"/>
  <c r="V156" i="57"/>
  <c r="W156" i="57"/>
  <c r="X156" i="57"/>
  <c r="Y156" i="57"/>
  <c r="Z156" i="57"/>
  <c r="AA156" i="57"/>
  <c r="AB156" i="57"/>
  <c r="AC156" i="57"/>
  <c r="AD156" i="57"/>
  <c r="AE156" i="57"/>
  <c r="AF156" i="57"/>
  <c r="AG156" i="57"/>
  <c r="AH156" i="57"/>
  <c r="AI156" i="57"/>
  <c r="AJ156" i="57"/>
  <c r="AK156" i="57"/>
  <c r="AL156" i="57"/>
  <c r="AM156" i="57"/>
  <c r="AN156" i="57"/>
  <c r="AO156" i="57"/>
  <c r="AP156" i="57"/>
  <c r="AQ156" i="57"/>
  <c r="AR156" i="57"/>
  <c r="AS156" i="57"/>
  <c r="AT156" i="57"/>
  <c r="AU156" i="57"/>
  <c r="AV156" i="57"/>
  <c r="AW156" i="57"/>
  <c r="AX156" i="57"/>
  <c r="AY156" i="57"/>
  <c r="AZ156" i="57"/>
  <c r="BA156" i="57"/>
  <c r="BB156" i="57"/>
  <c r="BC156" i="57"/>
  <c r="BD156" i="57"/>
  <c r="BE156" i="57"/>
  <c r="BF156" i="57"/>
  <c r="BG156" i="57"/>
  <c r="BH156" i="57"/>
  <c r="BI156" i="57"/>
  <c r="BJ156" i="57"/>
  <c r="BK156" i="57"/>
  <c r="BL156" i="57"/>
  <c r="BM156" i="57"/>
  <c r="BN156" i="57"/>
  <c r="BO156" i="57"/>
  <c r="BP156" i="57"/>
  <c r="BQ156" i="57"/>
  <c r="BR156" i="57"/>
  <c r="BS156" i="57"/>
  <c r="BT156" i="57"/>
  <c r="BU156" i="57"/>
  <c r="BV156" i="57"/>
  <c r="BW156" i="57"/>
  <c r="BX156" i="57"/>
  <c r="BY156" i="57"/>
  <c r="BZ156" i="57"/>
  <c r="CA156" i="57"/>
  <c r="CB156" i="57"/>
  <c r="CC156" i="57"/>
  <c r="CD156" i="57"/>
  <c r="CE156" i="57"/>
  <c r="CF156" i="57"/>
  <c r="CG156" i="57"/>
  <c r="CH156" i="57"/>
  <c r="CI156" i="57"/>
  <c r="CJ156" i="57"/>
  <c r="S157" i="57"/>
  <c r="T157" i="57"/>
  <c r="U157" i="57"/>
  <c r="V157" i="57"/>
  <c r="W157" i="57"/>
  <c r="X157" i="57"/>
  <c r="Y157" i="57"/>
  <c r="Z157" i="57"/>
  <c r="AA157" i="57"/>
  <c r="AB157" i="57"/>
  <c r="AC157" i="57"/>
  <c r="AD157" i="57"/>
  <c r="AE157" i="57"/>
  <c r="AF157" i="57"/>
  <c r="AG157" i="57"/>
  <c r="AH157" i="57"/>
  <c r="AI157" i="57"/>
  <c r="AJ157" i="57"/>
  <c r="AK157" i="57"/>
  <c r="AL157" i="57"/>
  <c r="AM157" i="57"/>
  <c r="AN157" i="57"/>
  <c r="AO157" i="57"/>
  <c r="AP157" i="57"/>
  <c r="AQ157" i="57"/>
  <c r="AR157" i="57"/>
  <c r="AS157" i="57"/>
  <c r="AT157" i="57"/>
  <c r="AU157" i="57"/>
  <c r="AV157" i="57"/>
  <c r="AW157" i="57"/>
  <c r="AX157" i="57"/>
  <c r="AY157" i="57"/>
  <c r="AZ157" i="57"/>
  <c r="BA157" i="57"/>
  <c r="BB157" i="57"/>
  <c r="BC157" i="57"/>
  <c r="BD157" i="57"/>
  <c r="BE157" i="57"/>
  <c r="BF157" i="57"/>
  <c r="BG157" i="57"/>
  <c r="BH157" i="57"/>
  <c r="BI157" i="57"/>
  <c r="BJ157" i="57"/>
  <c r="BK157" i="57"/>
  <c r="BL157" i="57"/>
  <c r="BM157" i="57"/>
  <c r="BN157" i="57"/>
  <c r="BO157" i="57"/>
  <c r="BP157" i="57"/>
  <c r="BQ157" i="57"/>
  <c r="BR157" i="57"/>
  <c r="BS157" i="57"/>
  <c r="BT157" i="57"/>
  <c r="BU157" i="57"/>
  <c r="BV157" i="57"/>
  <c r="BW157" i="57"/>
  <c r="BX157" i="57"/>
  <c r="BY157" i="57"/>
  <c r="BZ157" i="57"/>
  <c r="CA157" i="57"/>
  <c r="CB157" i="57"/>
  <c r="CC157" i="57"/>
  <c r="CD157" i="57"/>
  <c r="CE157" i="57"/>
  <c r="CF157" i="57"/>
  <c r="CG157" i="57"/>
  <c r="CH157" i="57"/>
  <c r="CI157" i="57"/>
  <c r="CJ157" i="57"/>
  <c r="S158" i="57"/>
  <c r="T158" i="57"/>
  <c r="U158" i="57"/>
  <c r="V158" i="57"/>
  <c r="W158" i="57"/>
  <c r="X158" i="57"/>
  <c r="Y158" i="57"/>
  <c r="Z158" i="57"/>
  <c r="AA158" i="57"/>
  <c r="AB158" i="57"/>
  <c r="AC158" i="57"/>
  <c r="AD158" i="57"/>
  <c r="AE158" i="57"/>
  <c r="AF158" i="57"/>
  <c r="AG158" i="57"/>
  <c r="AH158" i="57"/>
  <c r="AI158" i="57"/>
  <c r="AJ158" i="57"/>
  <c r="AK158" i="57"/>
  <c r="AL158" i="57"/>
  <c r="AM158" i="57"/>
  <c r="AN158" i="57"/>
  <c r="AO158" i="57"/>
  <c r="AP158" i="57"/>
  <c r="AQ158" i="57"/>
  <c r="AR158" i="57"/>
  <c r="AS158" i="57"/>
  <c r="AT158" i="57"/>
  <c r="AU158" i="57"/>
  <c r="AV158" i="57"/>
  <c r="AW158" i="57"/>
  <c r="AX158" i="57"/>
  <c r="AY158" i="57"/>
  <c r="AZ158" i="57"/>
  <c r="BA158" i="57"/>
  <c r="BB158" i="57"/>
  <c r="BC158" i="57"/>
  <c r="BD158" i="57"/>
  <c r="BE158" i="57"/>
  <c r="BF158" i="57"/>
  <c r="BG158" i="57"/>
  <c r="BH158" i="57"/>
  <c r="BI158" i="57"/>
  <c r="BJ158" i="57"/>
  <c r="BK158" i="57"/>
  <c r="BL158" i="57"/>
  <c r="BM158" i="57"/>
  <c r="BN158" i="57"/>
  <c r="BO158" i="57"/>
  <c r="BP158" i="57"/>
  <c r="BQ158" i="57"/>
  <c r="BR158" i="57"/>
  <c r="BS158" i="57"/>
  <c r="BT158" i="57"/>
  <c r="BU158" i="57"/>
  <c r="BV158" i="57"/>
  <c r="BW158" i="57"/>
  <c r="BX158" i="57"/>
  <c r="BY158" i="57"/>
  <c r="BZ158" i="57"/>
  <c r="CA158" i="57"/>
  <c r="CB158" i="57"/>
  <c r="CC158" i="57"/>
  <c r="CD158" i="57"/>
  <c r="CE158" i="57"/>
  <c r="CF158" i="57"/>
  <c r="CG158" i="57"/>
  <c r="CH158" i="57"/>
  <c r="CI158" i="57"/>
  <c r="CJ158" i="57"/>
  <c r="S159" i="57"/>
  <c r="T159" i="57"/>
  <c r="U159" i="57"/>
  <c r="V159" i="57"/>
  <c r="W159" i="57"/>
  <c r="X159" i="57"/>
  <c r="Y159" i="57"/>
  <c r="Z159" i="57"/>
  <c r="AA159" i="57"/>
  <c r="AB159" i="57"/>
  <c r="AC159" i="57"/>
  <c r="AD159" i="57"/>
  <c r="AE159" i="57"/>
  <c r="AF159" i="57"/>
  <c r="AG159" i="57"/>
  <c r="AH159" i="57"/>
  <c r="AI159" i="57"/>
  <c r="AJ159" i="57"/>
  <c r="AK159" i="57"/>
  <c r="AL159" i="57"/>
  <c r="AM159" i="57"/>
  <c r="AN159" i="57"/>
  <c r="AO159" i="57"/>
  <c r="AP159" i="57"/>
  <c r="AQ159" i="57"/>
  <c r="AR159" i="57"/>
  <c r="AS159" i="57"/>
  <c r="AT159" i="57"/>
  <c r="AU159" i="57"/>
  <c r="AV159" i="57"/>
  <c r="AW159" i="57"/>
  <c r="AX159" i="57"/>
  <c r="AY159" i="57"/>
  <c r="AZ159" i="57"/>
  <c r="BA159" i="57"/>
  <c r="BB159" i="57"/>
  <c r="BC159" i="57"/>
  <c r="BD159" i="57"/>
  <c r="BE159" i="57"/>
  <c r="BF159" i="57"/>
  <c r="BG159" i="57"/>
  <c r="BH159" i="57"/>
  <c r="BI159" i="57"/>
  <c r="BJ159" i="57"/>
  <c r="BK159" i="57"/>
  <c r="BL159" i="57"/>
  <c r="BM159" i="57"/>
  <c r="BN159" i="57"/>
  <c r="BO159" i="57"/>
  <c r="BP159" i="57"/>
  <c r="BQ159" i="57"/>
  <c r="BR159" i="57"/>
  <c r="BS159" i="57"/>
  <c r="BT159" i="57"/>
  <c r="BU159" i="57"/>
  <c r="BV159" i="57"/>
  <c r="BW159" i="57"/>
  <c r="BX159" i="57"/>
  <c r="BY159" i="57"/>
  <c r="BZ159" i="57"/>
  <c r="CA159" i="57"/>
  <c r="CB159" i="57"/>
  <c r="CC159" i="57"/>
  <c r="CD159" i="57"/>
  <c r="CE159" i="57"/>
  <c r="CF159" i="57"/>
  <c r="CG159" i="57"/>
  <c r="CH159" i="57"/>
  <c r="CI159" i="57"/>
  <c r="CJ159" i="57"/>
  <c r="S160" i="57"/>
  <c r="T160" i="57"/>
  <c r="U160" i="57"/>
  <c r="V160" i="57"/>
  <c r="W160" i="57"/>
  <c r="X160" i="57"/>
  <c r="Y160" i="57"/>
  <c r="Z160" i="57"/>
  <c r="AA160" i="57"/>
  <c r="AB160" i="57"/>
  <c r="AC160" i="57"/>
  <c r="AD160" i="57"/>
  <c r="AE160" i="57"/>
  <c r="AF160" i="57"/>
  <c r="AG160" i="57"/>
  <c r="AH160" i="57"/>
  <c r="AI160" i="57"/>
  <c r="AJ160" i="57"/>
  <c r="AK160" i="57"/>
  <c r="AL160" i="57"/>
  <c r="AM160" i="57"/>
  <c r="AN160" i="57"/>
  <c r="AO160" i="57"/>
  <c r="AP160" i="57"/>
  <c r="AQ160" i="57"/>
  <c r="AR160" i="57"/>
  <c r="AS160" i="57"/>
  <c r="AT160" i="57"/>
  <c r="AU160" i="57"/>
  <c r="AV160" i="57"/>
  <c r="AW160" i="57"/>
  <c r="AX160" i="57"/>
  <c r="AY160" i="57"/>
  <c r="AZ160" i="57"/>
  <c r="BA160" i="57"/>
  <c r="BB160" i="57"/>
  <c r="BC160" i="57"/>
  <c r="BD160" i="57"/>
  <c r="BE160" i="57"/>
  <c r="BF160" i="57"/>
  <c r="BG160" i="57"/>
  <c r="BH160" i="57"/>
  <c r="BI160" i="57"/>
  <c r="BJ160" i="57"/>
  <c r="BK160" i="57"/>
  <c r="BL160" i="57"/>
  <c r="BM160" i="57"/>
  <c r="BN160" i="57"/>
  <c r="BO160" i="57"/>
  <c r="BP160" i="57"/>
  <c r="BQ160" i="57"/>
  <c r="BR160" i="57"/>
  <c r="BS160" i="57"/>
  <c r="BT160" i="57"/>
  <c r="BU160" i="57"/>
  <c r="BV160" i="57"/>
  <c r="BW160" i="57"/>
  <c r="BX160" i="57"/>
  <c r="BY160" i="57"/>
  <c r="BZ160" i="57"/>
  <c r="CA160" i="57"/>
  <c r="CB160" i="57"/>
  <c r="CC160" i="57"/>
  <c r="CD160" i="57"/>
  <c r="CE160" i="57"/>
  <c r="CF160" i="57"/>
  <c r="CG160" i="57"/>
  <c r="CH160" i="57"/>
  <c r="CI160" i="57"/>
  <c r="CJ160" i="57"/>
  <c r="S161" i="57"/>
  <c r="T161" i="57"/>
  <c r="U161" i="57"/>
  <c r="V161" i="57"/>
  <c r="W161" i="57"/>
  <c r="X161" i="57"/>
  <c r="Y161" i="57"/>
  <c r="Z161" i="57"/>
  <c r="AA161" i="57"/>
  <c r="AB161" i="57"/>
  <c r="AC161" i="57"/>
  <c r="AD161" i="57"/>
  <c r="AE161" i="57"/>
  <c r="AF161" i="57"/>
  <c r="AG161" i="57"/>
  <c r="AH161" i="57"/>
  <c r="AI161" i="57"/>
  <c r="AJ161" i="57"/>
  <c r="AK161" i="57"/>
  <c r="AL161" i="57"/>
  <c r="AM161" i="57"/>
  <c r="AN161" i="57"/>
  <c r="AO161" i="57"/>
  <c r="AP161" i="57"/>
  <c r="AQ161" i="57"/>
  <c r="AR161" i="57"/>
  <c r="AS161" i="57"/>
  <c r="AT161" i="57"/>
  <c r="AU161" i="57"/>
  <c r="AV161" i="57"/>
  <c r="AW161" i="57"/>
  <c r="AX161" i="57"/>
  <c r="AY161" i="57"/>
  <c r="AZ161" i="57"/>
  <c r="BA161" i="57"/>
  <c r="BB161" i="57"/>
  <c r="BC161" i="57"/>
  <c r="BD161" i="57"/>
  <c r="BE161" i="57"/>
  <c r="BF161" i="57"/>
  <c r="BG161" i="57"/>
  <c r="BH161" i="57"/>
  <c r="BI161" i="57"/>
  <c r="BJ161" i="57"/>
  <c r="BK161" i="57"/>
  <c r="BL161" i="57"/>
  <c r="BM161" i="57"/>
  <c r="BN161" i="57"/>
  <c r="BO161" i="57"/>
  <c r="BP161" i="57"/>
  <c r="BQ161" i="57"/>
  <c r="BR161" i="57"/>
  <c r="BS161" i="57"/>
  <c r="BT161" i="57"/>
  <c r="BU161" i="57"/>
  <c r="BV161" i="57"/>
  <c r="BW161" i="57"/>
  <c r="BX161" i="57"/>
  <c r="BY161" i="57"/>
  <c r="BZ161" i="57"/>
  <c r="CA161" i="57"/>
  <c r="CB161" i="57"/>
  <c r="CC161" i="57"/>
  <c r="CD161" i="57"/>
  <c r="CE161" i="57"/>
  <c r="CF161" i="57"/>
  <c r="CG161" i="57"/>
  <c r="CH161" i="57"/>
  <c r="CI161" i="57"/>
  <c r="CJ161" i="57"/>
  <c r="S162" i="57"/>
  <c r="T162" i="57"/>
  <c r="U162" i="57"/>
  <c r="V162" i="57"/>
  <c r="W162" i="57"/>
  <c r="X162" i="57"/>
  <c r="Y162" i="57"/>
  <c r="Z162" i="57"/>
  <c r="AA162" i="57"/>
  <c r="AB162" i="57"/>
  <c r="AC162" i="57"/>
  <c r="AD162" i="57"/>
  <c r="AE162" i="57"/>
  <c r="AF162" i="57"/>
  <c r="AG162" i="57"/>
  <c r="AH162" i="57"/>
  <c r="AI162" i="57"/>
  <c r="AJ162" i="57"/>
  <c r="AK162" i="57"/>
  <c r="AL162" i="57"/>
  <c r="AM162" i="57"/>
  <c r="AN162" i="57"/>
  <c r="AO162" i="57"/>
  <c r="AP162" i="57"/>
  <c r="AQ162" i="57"/>
  <c r="AR162" i="57"/>
  <c r="AS162" i="57"/>
  <c r="AT162" i="57"/>
  <c r="AU162" i="57"/>
  <c r="AV162" i="57"/>
  <c r="AW162" i="57"/>
  <c r="AX162" i="57"/>
  <c r="AY162" i="57"/>
  <c r="AZ162" i="57"/>
  <c r="BA162" i="57"/>
  <c r="BB162" i="57"/>
  <c r="BC162" i="57"/>
  <c r="BD162" i="57"/>
  <c r="BE162" i="57"/>
  <c r="BF162" i="57"/>
  <c r="BG162" i="57"/>
  <c r="BH162" i="57"/>
  <c r="BI162" i="57"/>
  <c r="BJ162" i="57"/>
  <c r="BK162" i="57"/>
  <c r="BL162" i="57"/>
  <c r="BM162" i="57"/>
  <c r="BN162" i="57"/>
  <c r="BO162" i="57"/>
  <c r="BP162" i="57"/>
  <c r="BQ162" i="57"/>
  <c r="BR162" i="57"/>
  <c r="BS162" i="57"/>
  <c r="BT162" i="57"/>
  <c r="BU162" i="57"/>
  <c r="BV162" i="57"/>
  <c r="BW162" i="57"/>
  <c r="BX162" i="57"/>
  <c r="BY162" i="57"/>
  <c r="BZ162" i="57"/>
  <c r="CA162" i="57"/>
  <c r="CB162" i="57"/>
  <c r="CC162" i="57"/>
  <c r="CD162" i="57"/>
  <c r="CE162" i="57"/>
  <c r="CF162" i="57"/>
  <c r="CG162" i="57"/>
  <c r="CH162" i="57"/>
  <c r="CI162" i="57"/>
  <c r="CJ162" i="57"/>
  <c r="S163" i="57"/>
  <c r="T163" i="57"/>
  <c r="U163" i="57"/>
  <c r="V163" i="57"/>
  <c r="W163" i="57"/>
  <c r="X163" i="57"/>
  <c r="Y163" i="57"/>
  <c r="Z163" i="57"/>
  <c r="AA163" i="57"/>
  <c r="AB163" i="57"/>
  <c r="AC163" i="57"/>
  <c r="AD163" i="57"/>
  <c r="AE163" i="57"/>
  <c r="AF163" i="57"/>
  <c r="AG163" i="57"/>
  <c r="AH163" i="57"/>
  <c r="AI163" i="57"/>
  <c r="AJ163" i="57"/>
  <c r="AK163" i="57"/>
  <c r="AL163" i="57"/>
  <c r="AM163" i="57"/>
  <c r="AN163" i="57"/>
  <c r="AO163" i="57"/>
  <c r="AP163" i="57"/>
  <c r="AQ163" i="57"/>
  <c r="AR163" i="57"/>
  <c r="AS163" i="57"/>
  <c r="AT163" i="57"/>
  <c r="AU163" i="57"/>
  <c r="AV163" i="57"/>
  <c r="AW163" i="57"/>
  <c r="AX163" i="57"/>
  <c r="AY163" i="57"/>
  <c r="AZ163" i="57"/>
  <c r="BA163" i="57"/>
  <c r="BB163" i="57"/>
  <c r="BC163" i="57"/>
  <c r="BD163" i="57"/>
  <c r="BE163" i="57"/>
  <c r="BF163" i="57"/>
  <c r="BG163" i="57"/>
  <c r="BH163" i="57"/>
  <c r="BI163" i="57"/>
  <c r="BJ163" i="57"/>
  <c r="BK163" i="57"/>
  <c r="BL163" i="57"/>
  <c r="BM163" i="57"/>
  <c r="BN163" i="57"/>
  <c r="BO163" i="57"/>
  <c r="BP163" i="57"/>
  <c r="BQ163" i="57"/>
  <c r="BR163" i="57"/>
  <c r="BS163" i="57"/>
  <c r="BT163" i="57"/>
  <c r="BU163" i="57"/>
  <c r="BV163" i="57"/>
  <c r="BW163" i="57"/>
  <c r="BX163" i="57"/>
  <c r="BY163" i="57"/>
  <c r="BZ163" i="57"/>
  <c r="CA163" i="57"/>
  <c r="CB163" i="57"/>
  <c r="CC163" i="57"/>
  <c r="CD163" i="57"/>
  <c r="CE163" i="57"/>
  <c r="CF163" i="57"/>
  <c r="CG163" i="57"/>
  <c r="CH163" i="57"/>
  <c r="CI163" i="57"/>
  <c r="CJ163" i="57"/>
  <c r="S164" i="57"/>
  <c r="T164" i="57"/>
  <c r="U164" i="57"/>
  <c r="V164" i="57"/>
  <c r="W164" i="57"/>
  <c r="X164" i="57"/>
  <c r="Y164" i="57"/>
  <c r="Z164" i="57"/>
  <c r="AA164" i="57"/>
  <c r="AB164" i="57"/>
  <c r="AC164" i="57"/>
  <c r="AD164" i="57"/>
  <c r="AE164" i="57"/>
  <c r="AF164" i="57"/>
  <c r="AG164" i="57"/>
  <c r="AH164" i="57"/>
  <c r="AI164" i="57"/>
  <c r="AJ164" i="57"/>
  <c r="AK164" i="57"/>
  <c r="AL164" i="57"/>
  <c r="AM164" i="57"/>
  <c r="AN164" i="57"/>
  <c r="AO164" i="57"/>
  <c r="AP164" i="57"/>
  <c r="AQ164" i="57"/>
  <c r="AR164" i="57"/>
  <c r="AS164" i="57"/>
  <c r="AT164" i="57"/>
  <c r="AU164" i="57"/>
  <c r="AV164" i="57"/>
  <c r="AW164" i="57"/>
  <c r="AX164" i="57"/>
  <c r="AY164" i="57"/>
  <c r="AZ164" i="57"/>
  <c r="BA164" i="57"/>
  <c r="BB164" i="57"/>
  <c r="BC164" i="57"/>
  <c r="BD164" i="57"/>
  <c r="BE164" i="57"/>
  <c r="BF164" i="57"/>
  <c r="BG164" i="57"/>
  <c r="BH164" i="57"/>
  <c r="BI164" i="57"/>
  <c r="BJ164" i="57"/>
  <c r="BK164" i="57"/>
  <c r="BL164" i="57"/>
  <c r="BM164" i="57"/>
  <c r="BN164" i="57"/>
  <c r="BO164" i="57"/>
  <c r="BP164" i="57"/>
  <c r="BQ164" i="57"/>
  <c r="BR164" i="57"/>
  <c r="BS164" i="57"/>
  <c r="BT164" i="57"/>
  <c r="BU164" i="57"/>
  <c r="BV164" i="57"/>
  <c r="BW164" i="57"/>
  <c r="BX164" i="57"/>
  <c r="BY164" i="57"/>
  <c r="BZ164" i="57"/>
  <c r="CA164" i="57"/>
  <c r="CB164" i="57"/>
  <c r="CC164" i="57"/>
  <c r="CD164" i="57"/>
  <c r="CE164" i="57"/>
  <c r="CF164" i="57"/>
  <c r="CG164" i="57"/>
  <c r="CH164" i="57"/>
  <c r="CI164" i="57"/>
  <c r="CJ164" i="57"/>
  <c r="S165" i="57"/>
  <c r="T165" i="57"/>
  <c r="U165" i="57"/>
  <c r="V165" i="57"/>
  <c r="W165" i="57"/>
  <c r="X165" i="57"/>
  <c r="Y165" i="57"/>
  <c r="Z165" i="57"/>
  <c r="AA165" i="57"/>
  <c r="AB165" i="57"/>
  <c r="AC165" i="57"/>
  <c r="AD165" i="57"/>
  <c r="AE165" i="57"/>
  <c r="AF165" i="57"/>
  <c r="AG165" i="57"/>
  <c r="AH165" i="57"/>
  <c r="AI165" i="57"/>
  <c r="AJ165" i="57"/>
  <c r="AK165" i="57"/>
  <c r="AL165" i="57"/>
  <c r="AM165" i="57"/>
  <c r="AN165" i="57"/>
  <c r="AO165" i="57"/>
  <c r="AP165" i="57"/>
  <c r="AQ165" i="57"/>
  <c r="AR165" i="57"/>
  <c r="AS165" i="57"/>
  <c r="AT165" i="57"/>
  <c r="AU165" i="57"/>
  <c r="AV165" i="57"/>
  <c r="AW165" i="57"/>
  <c r="AX165" i="57"/>
  <c r="AY165" i="57"/>
  <c r="AZ165" i="57"/>
  <c r="BA165" i="57"/>
  <c r="BB165" i="57"/>
  <c r="BC165" i="57"/>
  <c r="BD165" i="57"/>
  <c r="BE165" i="57"/>
  <c r="BF165" i="57"/>
  <c r="BG165" i="57"/>
  <c r="BH165" i="57"/>
  <c r="BI165" i="57"/>
  <c r="BJ165" i="57"/>
  <c r="BK165" i="57"/>
  <c r="BL165" i="57"/>
  <c r="BM165" i="57"/>
  <c r="BN165" i="57"/>
  <c r="BO165" i="57"/>
  <c r="BP165" i="57"/>
  <c r="BQ165" i="57"/>
  <c r="BR165" i="57"/>
  <c r="BS165" i="57"/>
  <c r="BT165" i="57"/>
  <c r="BU165" i="57"/>
  <c r="BV165" i="57"/>
  <c r="BW165" i="57"/>
  <c r="BX165" i="57"/>
  <c r="BY165" i="57"/>
  <c r="BZ165" i="57"/>
  <c r="CA165" i="57"/>
  <c r="CB165" i="57"/>
  <c r="CC165" i="57"/>
  <c r="CD165" i="57"/>
  <c r="CE165" i="57"/>
  <c r="CF165" i="57"/>
  <c r="CG165" i="57"/>
  <c r="CH165" i="57"/>
  <c r="CI165" i="57"/>
  <c r="CJ165" i="57"/>
  <c r="S166" i="57"/>
  <c r="T166" i="57"/>
  <c r="U166" i="57"/>
  <c r="V166" i="57"/>
  <c r="W166" i="57"/>
  <c r="X166" i="57"/>
  <c r="Y166" i="57"/>
  <c r="Z166" i="57"/>
  <c r="AA166" i="57"/>
  <c r="AB166" i="57"/>
  <c r="AC166" i="57"/>
  <c r="AD166" i="57"/>
  <c r="AE166" i="57"/>
  <c r="AF166" i="57"/>
  <c r="AG166" i="57"/>
  <c r="AH166" i="57"/>
  <c r="AI166" i="57"/>
  <c r="AJ166" i="57"/>
  <c r="AK166" i="57"/>
  <c r="AL166" i="57"/>
  <c r="AM166" i="57"/>
  <c r="AN166" i="57"/>
  <c r="AO166" i="57"/>
  <c r="AP166" i="57"/>
  <c r="AQ166" i="57"/>
  <c r="AR166" i="57"/>
  <c r="AS166" i="57"/>
  <c r="AT166" i="57"/>
  <c r="AU166" i="57"/>
  <c r="AV166" i="57"/>
  <c r="AW166" i="57"/>
  <c r="AX166" i="57"/>
  <c r="AY166" i="57"/>
  <c r="AZ166" i="57"/>
  <c r="BA166" i="57"/>
  <c r="BB166" i="57"/>
  <c r="BC166" i="57"/>
  <c r="BD166" i="57"/>
  <c r="BE166" i="57"/>
  <c r="BF166" i="57"/>
  <c r="BG166" i="57"/>
  <c r="BH166" i="57"/>
  <c r="BI166" i="57"/>
  <c r="BJ166" i="57"/>
  <c r="BK166" i="57"/>
  <c r="BL166" i="57"/>
  <c r="BM166" i="57"/>
  <c r="BN166" i="57"/>
  <c r="BO166" i="57"/>
  <c r="BP166" i="57"/>
  <c r="BQ166" i="57"/>
  <c r="BR166" i="57"/>
  <c r="BS166" i="57"/>
  <c r="BT166" i="57"/>
  <c r="BU166" i="57"/>
  <c r="BV166" i="57"/>
  <c r="BW166" i="57"/>
  <c r="BX166" i="57"/>
  <c r="BY166" i="57"/>
  <c r="BZ166" i="57"/>
  <c r="CA166" i="57"/>
  <c r="CB166" i="57"/>
  <c r="CC166" i="57"/>
  <c r="CD166" i="57"/>
  <c r="CE166" i="57"/>
  <c r="CF166" i="57"/>
  <c r="CG166" i="57"/>
  <c r="CH166" i="57"/>
  <c r="CI166" i="57"/>
  <c r="CJ166" i="57"/>
  <c r="S167" i="57"/>
  <c r="T167" i="57"/>
  <c r="U167" i="57"/>
  <c r="V167" i="57"/>
  <c r="W167" i="57"/>
  <c r="X167" i="57"/>
  <c r="Y167" i="57"/>
  <c r="Z167" i="57"/>
  <c r="AA167" i="57"/>
  <c r="AB167" i="57"/>
  <c r="AC167" i="57"/>
  <c r="AD167" i="57"/>
  <c r="AE167" i="57"/>
  <c r="AF167" i="57"/>
  <c r="AG167" i="57"/>
  <c r="AH167" i="57"/>
  <c r="AI167" i="57"/>
  <c r="AJ167" i="57"/>
  <c r="AK167" i="57"/>
  <c r="AL167" i="57"/>
  <c r="AM167" i="57"/>
  <c r="AN167" i="57"/>
  <c r="AO167" i="57"/>
  <c r="AP167" i="57"/>
  <c r="AQ167" i="57"/>
  <c r="AR167" i="57"/>
  <c r="AS167" i="57"/>
  <c r="AT167" i="57"/>
  <c r="AU167" i="57"/>
  <c r="AV167" i="57"/>
  <c r="AW167" i="57"/>
  <c r="AX167" i="57"/>
  <c r="AY167" i="57"/>
  <c r="AZ167" i="57"/>
  <c r="BA167" i="57"/>
  <c r="BB167" i="57"/>
  <c r="BC167" i="57"/>
  <c r="BD167" i="57"/>
  <c r="BE167" i="57"/>
  <c r="BF167" i="57"/>
  <c r="BG167" i="57"/>
  <c r="BH167" i="57"/>
  <c r="BI167" i="57"/>
  <c r="BJ167" i="57"/>
  <c r="BK167" i="57"/>
  <c r="BL167" i="57"/>
  <c r="BM167" i="57"/>
  <c r="BN167" i="57"/>
  <c r="BO167" i="57"/>
  <c r="BP167" i="57"/>
  <c r="BQ167" i="57"/>
  <c r="BR167" i="57"/>
  <c r="BS167" i="57"/>
  <c r="BT167" i="57"/>
  <c r="BU167" i="57"/>
  <c r="BV167" i="57"/>
  <c r="BW167" i="57"/>
  <c r="BX167" i="57"/>
  <c r="BY167" i="57"/>
  <c r="BZ167" i="57"/>
  <c r="CA167" i="57"/>
  <c r="CB167" i="57"/>
  <c r="CC167" i="57"/>
  <c r="CD167" i="57"/>
  <c r="CE167" i="57"/>
  <c r="CF167" i="57"/>
  <c r="CG167" i="57"/>
  <c r="CH167" i="57"/>
  <c r="CI167" i="57"/>
  <c r="CJ167" i="57"/>
  <c r="S168" i="57"/>
  <c r="T168" i="57"/>
  <c r="U168" i="57"/>
  <c r="V168" i="57"/>
  <c r="W168" i="57"/>
  <c r="X168" i="57"/>
  <c r="Y168" i="57"/>
  <c r="Z168" i="57"/>
  <c r="AA168" i="57"/>
  <c r="AB168" i="57"/>
  <c r="AC168" i="57"/>
  <c r="AD168" i="57"/>
  <c r="AE168" i="57"/>
  <c r="AF168" i="57"/>
  <c r="AG168" i="57"/>
  <c r="AH168" i="57"/>
  <c r="AI168" i="57"/>
  <c r="AJ168" i="57"/>
  <c r="AK168" i="57"/>
  <c r="AL168" i="57"/>
  <c r="AM168" i="57"/>
  <c r="AN168" i="57"/>
  <c r="AO168" i="57"/>
  <c r="AP168" i="57"/>
  <c r="AQ168" i="57"/>
  <c r="AR168" i="57"/>
  <c r="AS168" i="57"/>
  <c r="AT168" i="57"/>
  <c r="AU168" i="57"/>
  <c r="AV168" i="57"/>
  <c r="AW168" i="57"/>
  <c r="AX168" i="57"/>
  <c r="AY168" i="57"/>
  <c r="AZ168" i="57"/>
  <c r="BA168" i="57"/>
  <c r="BB168" i="57"/>
  <c r="BC168" i="57"/>
  <c r="BD168" i="57"/>
  <c r="BE168" i="57"/>
  <c r="BF168" i="57"/>
  <c r="BG168" i="57"/>
  <c r="BH168" i="57"/>
  <c r="BI168" i="57"/>
  <c r="BJ168" i="57"/>
  <c r="BK168" i="57"/>
  <c r="BL168" i="57"/>
  <c r="BM168" i="57"/>
  <c r="BN168" i="57"/>
  <c r="BO168" i="57"/>
  <c r="BP168" i="57"/>
  <c r="BQ168" i="57"/>
  <c r="BR168" i="57"/>
  <c r="BS168" i="57"/>
  <c r="BT168" i="57"/>
  <c r="BU168" i="57"/>
  <c r="BV168" i="57"/>
  <c r="BW168" i="57"/>
  <c r="BX168" i="57"/>
  <c r="BY168" i="57"/>
  <c r="BZ168" i="57"/>
  <c r="CA168" i="57"/>
  <c r="CB168" i="57"/>
  <c r="CC168" i="57"/>
  <c r="CD168" i="57"/>
  <c r="CE168" i="57"/>
  <c r="CF168" i="57"/>
  <c r="CG168" i="57"/>
  <c r="CH168" i="57"/>
  <c r="CI168" i="57"/>
  <c r="CJ168" i="57"/>
  <c r="S169" i="57"/>
  <c r="T169" i="57"/>
  <c r="U169" i="57"/>
  <c r="V169" i="57"/>
  <c r="W169" i="57"/>
  <c r="X169" i="57"/>
  <c r="Y169" i="57"/>
  <c r="Z169" i="57"/>
  <c r="AA169" i="57"/>
  <c r="AB169" i="57"/>
  <c r="AC169" i="57"/>
  <c r="AD169" i="57"/>
  <c r="AE169" i="57"/>
  <c r="AF169" i="57"/>
  <c r="AG169" i="57"/>
  <c r="AH169" i="57"/>
  <c r="AI169" i="57"/>
  <c r="AJ169" i="57"/>
  <c r="AK169" i="57"/>
  <c r="AL169" i="57"/>
  <c r="AM169" i="57"/>
  <c r="AN169" i="57"/>
  <c r="AO169" i="57"/>
  <c r="AP169" i="57"/>
  <c r="AQ169" i="57"/>
  <c r="AR169" i="57"/>
  <c r="AS169" i="57"/>
  <c r="AT169" i="57"/>
  <c r="AU169" i="57"/>
  <c r="AV169" i="57"/>
  <c r="AW169" i="57"/>
  <c r="AX169" i="57"/>
  <c r="AY169" i="57"/>
  <c r="AZ169" i="57"/>
  <c r="BA169" i="57"/>
  <c r="BB169" i="57"/>
  <c r="BC169" i="57"/>
  <c r="BD169" i="57"/>
  <c r="BE169" i="57"/>
  <c r="BF169" i="57"/>
  <c r="BG169" i="57"/>
  <c r="BH169" i="57"/>
  <c r="BI169" i="57"/>
  <c r="BJ169" i="57"/>
  <c r="BK169" i="57"/>
  <c r="BL169" i="57"/>
  <c r="BM169" i="57"/>
  <c r="BN169" i="57"/>
  <c r="BO169" i="57"/>
  <c r="BP169" i="57"/>
  <c r="BQ169" i="57"/>
  <c r="BR169" i="57"/>
  <c r="BS169" i="57"/>
  <c r="BT169" i="57"/>
  <c r="BU169" i="57"/>
  <c r="BV169" i="57"/>
  <c r="BW169" i="57"/>
  <c r="BX169" i="57"/>
  <c r="BY169" i="57"/>
  <c r="BZ169" i="57"/>
  <c r="CA169" i="57"/>
  <c r="CB169" i="57"/>
  <c r="CC169" i="57"/>
  <c r="CD169" i="57"/>
  <c r="CE169" i="57"/>
  <c r="CF169" i="57"/>
  <c r="CG169" i="57"/>
  <c r="CH169" i="57"/>
  <c r="CI169" i="57"/>
  <c r="CJ169" i="57"/>
  <c r="S170" i="57"/>
  <c r="T170" i="57"/>
  <c r="U170" i="57"/>
  <c r="V170" i="57"/>
  <c r="W170" i="57"/>
  <c r="X170" i="57"/>
  <c r="Y170" i="57"/>
  <c r="Z170" i="57"/>
  <c r="AA170" i="57"/>
  <c r="AB170" i="57"/>
  <c r="AC170" i="57"/>
  <c r="AD170" i="57"/>
  <c r="AE170" i="57"/>
  <c r="AF170" i="57"/>
  <c r="AG170" i="57"/>
  <c r="AH170" i="57"/>
  <c r="AI170" i="57"/>
  <c r="AJ170" i="57"/>
  <c r="AK170" i="57"/>
  <c r="AL170" i="57"/>
  <c r="AM170" i="57"/>
  <c r="AN170" i="57"/>
  <c r="AO170" i="57"/>
  <c r="AP170" i="57"/>
  <c r="AQ170" i="57"/>
  <c r="AR170" i="57"/>
  <c r="AS170" i="57"/>
  <c r="AT170" i="57"/>
  <c r="AU170" i="57"/>
  <c r="AV170" i="57"/>
  <c r="AW170" i="57"/>
  <c r="AX170" i="57"/>
  <c r="AY170" i="57"/>
  <c r="AZ170" i="57"/>
  <c r="BA170" i="57"/>
  <c r="BB170" i="57"/>
  <c r="BC170" i="57"/>
  <c r="BD170" i="57"/>
  <c r="BE170" i="57"/>
  <c r="BF170" i="57"/>
  <c r="BG170" i="57"/>
  <c r="BH170" i="57"/>
  <c r="BI170" i="57"/>
  <c r="BJ170" i="57"/>
  <c r="BK170" i="57"/>
  <c r="BL170" i="57"/>
  <c r="BM170" i="57"/>
  <c r="BN170" i="57"/>
  <c r="BO170" i="57"/>
  <c r="BP170" i="57"/>
  <c r="BQ170" i="57"/>
  <c r="BR170" i="57"/>
  <c r="BS170" i="57"/>
  <c r="BT170" i="57"/>
  <c r="BU170" i="57"/>
  <c r="BV170" i="57"/>
  <c r="BW170" i="57"/>
  <c r="BX170" i="57"/>
  <c r="BY170" i="57"/>
  <c r="BZ170" i="57"/>
  <c r="CA170" i="57"/>
  <c r="CB170" i="57"/>
  <c r="CC170" i="57"/>
  <c r="CD170" i="57"/>
  <c r="CE170" i="57"/>
  <c r="CF170" i="57"/>
  <c r="CG170" i="57"/>
  <c r="CH170" i="57"/>
  <c r="CI170" i="57"/>
  <c r="CJ170" i="57"/>
  <c r="S171" i="57"/>
  <c r="T171" i="57"/>
  <c r="U171" i="57"/>
  <c r="V171" i="57"/>
  <c r="W171" i="57"/>
  <c r="X171" i="57"/>
  <c r="Y171" i="57"/>
  <c r="Z171" i="57"/>
  <c r="AA171" i="57"/>
  <c r="AB171" i="57"/>
  <c r="AC171" i="57"/>
  <c r="AD171" i="57"/>
  <c r="AE171" i="57"/>
  <c r="AF171" i="57"/>
  <c r="AG171" i="57"/>
  <c r="AH171" i="57"/>
  <c r="AI171" i="57"/>
  <c r="AJ171" i="57"/>
  <c r="AK171" i="57"/>
  <c r="AL171" i="57"/>
  <c r="AM171" i="57"/>
  <c r="AN171" i="57"/>
  <c r="AO171" i="57"/>
  <c r="AP171" i="57"/>
  <c r="AQ171" i="57"/>
  <c r="AR171" i="57"/>
  <c r="AS171" i="57"/>
  <c r="AT171" i="57"/>
  <c r="AU171" i="57"/>
  <c r="AV171" i="57"/>
  <c r="AW171" i="57"/>
  <c r="AX171" i="57"/>
  <c r="AY171" i="57"/>
  <c r="AZ171" i="57"/>
  <c r="BA171" i="57"/>
  <c r="BB171" i="57"/>
  <c r="BC171" i="57"/>
  <c r="BD171" i="57"/>
  <c r="BE171" i="57"/>
  <c r="BF171" i="57"/>
  <c r="BG171" i="57"/>
  <c r="BH171" i="57"/>
  <c r="BI171" i="57"/>
  <c r="BJ171" i="57"/>
  <c r="BK171" i="57"/>
  <c r="BL171" i="57"/>
  <c r="BM171" i="57"/>
  <c r="BN171" i="57"/>
  <c r="BO171" i="57"/>
  <c r="BP171" i="57"/>
  <c r="BQ171" i="57"/>
  <c r="BR171" i="57"/>
  <c r="BS171" i="57"/>
  <c r="BT171" i="57"/>
  <c r="BU171" i="57"/>
  <c r="BV171" i="57"/>
  <c r="BW171" i="57"/>
  <c r="BX171" i="57"/>
  <c r="BY171" i="57"/>
  <c r="BZ171" i="57"/>
  <c r="CA171" i="57"/>
  <c r="CB171" i="57"/>
  <c r="CC171" i="57"/>
  <c r="CD171" i="57"/>
  <c r="CE171" i="57"/>
  <c r="CF171" i="57"/>
  <c r="CG171" i="57"/>
  <c r="CH171" i="57"/>
  <c r="CI171" i="57"/>
  <c r="CJ171" i="57"/>
  <c r="S172" i="57"/>
  <c r="T172" i="57"/>
  <c r="U172" i="57"/>
  <c r="V172" i="57"/>
  <c r="W172" i="57"/>
  <c r="X172" i="57"/>
  <c r="Y172" i="57"/>
  <c r="Z172" i="57"/>
  <c r="AA172" i="57"/>
  <c r="AB172" i="57"/>
  <c r="AC172" i="57"/>
  <c r="AD172" i="57"/>
  <c r="AE172" i="57"/>
  <c r="AF172" i="57"/>
  <c r="AG172" i="57"/>
  <c r="AH172" i="57"/>
  <c r="AI172" i="57"/>
  <c r="AJ172" i="57"/>
  <c r="AK172" i="57"/>
  <c r="AL172" i="57"/>
  <c r="AM172" i="57"/>
  <c r="AN172" i="57"/>
  <c r="AO172" i="57"/>
  <c r="AP172" i="57"/>
  <c r="AQ172" i="57"/>
  <c r="AR172" i="57"/>
  <c r="AS172" i="57"/>
  <c r="AT172" i="57"/>
  <c r="AU172" i="57"/>
  <c r="AV172" i="57"/>
  <c r="AW172" i="57"/>
  <c r="AX172" i="57"/>
  <c r="AY172" i="57"/>
  <c r="AZ172" i="57"/>
  <c r="BA172" i="57"/>
  <c r="BB172" i="57"/>
  <c r="BC172" i="57"/>
  <c r="BD172" i="57"/>
  <c r="BE172" i="57"/>
  <c r="BF172" i="57"/>
  <c r="BG172" i="57"/>
  <c r="BH172" i="57"/>
  <c r="BI172" i="57"/>
  <c r="BJ172" i="57"/>
  <c r="BK172" i="57"/>
  <c r="BL172" i="57"/>
  <c r="BM172" i="57"/>
  <c r="BN172" i="57"/>
  <c r="BO172" i="57"/>
  <c r="BP172" i="57"/>
  <c r="BQ172" i="57"/>
  <c r="BR172" i="57"/>
  <c r="BS172" i="57"/>
  <c r="BT172" i="57"/>
  <c r="BU172" i="57"/>
  <c r="BV172" i="57"/>
  <c r="BW172" i="57"/>
  <c r="BX172" i="57"/>
  <c r="BY172" i="57"/>
  <c r="BZ172" i="57"/>
  <c r="CA172" i="57"/>
  <c r="CB172" i="57"/>
  <c r="CC172" i="57"/>
  <c r="CD172" i="57"/>
  <c r="CE172" i="57"/>
  <c r="CF172" i="57"/>
  <c r="CG172" i="57"/>
  <c r="CH172" i="57"/>
  <c r="CI172" i="57"/>
  <c r="CJ172" i="57"/>
  <c r="S173" i="57"/>
  <c r="T173" i="57"/>
  <c r="U173" i="57"/>
  <c r="V173" i="57"/>
  <c r="W173" i="57"/>
  <c r="X173" i="57"/>
  <c r="Y173" i="57"/>
  <c r="Z173" i="57"/>
  <c r="AA173" i="57"/>
  <c r="AB173" i="57"/>
  <c r="AC173" i="57"/>
  <c r="AD173" i="57"/>
  <c r="AE173" i="57"/>
  <c r="AF173" i="57"/>
  <c r="AG173" i="57"/>
  <c r="AH173" i="57"/>
  <c r="AI173" i="57"/>
  <c r="AJ173" i="57"/>
  <c r="AK173" i="57"/>
  <c r="AL173" i="57"/>
  <c r="AM173" i="57"/>
  <c r="AN173" i="57"/>
  <c r="AO173" i="57"/>
  <c r="AP173" i="57"/>
  <c r="AQ173" i="57"/>
  <c r="AR173" i="57"/>
  <c r="AS173" i="57"/>
  <c r="AT173" i="57"/>
  <c r="AU173" i="57"/>
  <c r="AV173" i="57"/>
  <c r="AW173" i="57"/>
  <c r="AX173" i="57"/>
  <c r="AY173" i="57"/>
  <c r="AZ173" i="57"/>
  <c r="BA173" i="57"/>
  <c r="BB173" i="57"/>
  <c r="BC173" i="57"/>
  <c r="BD173" i="57"/>
  <c r="BE173" i="57"/>
  <c r="BF173" i="57"/>
  <c r="BG173" i="57"/>
  <c r="BH173" i="57"/>
  <c r="BI173" i="57"/>
  <c r="BJ173" i="57"/>
  <c r="BK173" i="57"/>
  <c r="BL173" i="57"/>
  <c r="BM173" i="57"/>
  <c r="BN173" i="57"/>
  <c r="BO173" i="57"/>
  <c r="BP173" i="57"/>
  <c r="BQ173" i="57"/>
  <c r="BR173" i="57"/>
  <c r="BS173" i="57"/>
  <c r="BT173" i="57"/>
  <c r="BU173" i="57"/>
  <c r="BV173" i="57"/>
  <c r="BW173" i="57"/>
  <c r="BX173" i="57"/>
  <c r="BY173" i="57"/>
  <c r="BZ173" i="57"/>
  <c r="CA173" i="57"/>
  <c r="CB173" i="57"/>
  <c r="CC173" i="57"/>
  <c r="CD173" i="57"/>
  <c r="CE173" i="57"/>
  <c r="CF173" i="57"/>
  <c r="CG173" i="57"/>
  <c r="CH173" i="57"/>
  <c r="CI173" i="57"/>
  <c r="CJ173" i="57"/>
  <c r="S174" i="57"/>
  <c r="T174" i="57"/>
  <c r="U174" i="57"/>
  <c r="V174" i="57"/>
  <c r="W174" i="57"/>
  <c r="X174" i="57"/>
  <c r="Y174" i="57"/>
  <c r="Z174" i="57"/>
  <c r="AA174" i="57"/>
  <c r="AB174" i="57"/>
  <c r="AC174" i="57"/>
  <c r="AD174" i="57"/>
  <c r="AE174" i="57"/>
  <c r="AF174" i="57"/>
  <c r="AG174" i="57"/>
  <c r="AH174" i="57"/>
  <c r="AI174" i="57"/>
  <c r="AJ174" i="57"/>
  <c r="AK174" i="57"/>
  <c r="AL174" i="57"/>
  <c r="AM174" i="57"/>
  <c r="AN174" i="57"/>
  <c r="AO174" i="57"/>
  <c r="AP174" i="57"/>
  <c r="AQ174" i="57"/>
  <c r="AR174" i="57"/>
  <c r="AS174" i="57"/>
  <c r="AT174" i="57"/>
  <c r="AU174" i="57"/>
  <c r="AV174" i="57"/>
  <c r="AW174" i="57"/>
  <c r="AX174" i="57"/>
  <c r="AY174" i="57"/>
  <c r="AZ174" i="57"/>
  <c r="BA174" i="57"/>
  <c r="BB174" i="57"/>
  <c r="BC174" i="57"/>
  <c r="BD174" i="57"/>
  <c r="BE174" i="57"/>
  <c r="BF174" i="57"/>
  <c r="BG174" i="57"/>
  <c r="BH174" i="57"/>
  <c r="BI174" i="57"/>
  <c r="BJ174" i="57"/>
  <c r="BK174" i="57"/>
  <c r="BL174" i="57"/>
  <c r="BM174" i="57"/>
  <c r="BN174" i="57"/>
  <c r="BO174" i="57"/>
  <c r="BP174" i="57"/>
  <c r="BQ174" i="57"/>
  <c r="BR174" i="57"/>
  <c r="BS174" i="57"/>
  <c r="BT174" i="57"/>
  <c r="BU174" i="57"/>
  <c r="BV174" i="57"/>
  <c r="BW174" i="57"/>
  <c r="BX174" i="57"/>
  <c r="BY174" i="57"/>
  <c r="BZ174" i="57"/>
  <c r="CA174" i="57"/>
  <c r="CB174" i="57"/>
  <c r="CC174" i="57"/>
  <c r="CD174" i="57"/>
  <c r="CE174" i="57"/>
  <c r="CF174" i="57"/>
  <c r="CG174" i="57"/>
  <c r="CH174" i="57"/>
  <c r="CI174" i="57"/>
  <c r="CJ174" i="57"/>
  <c r="S175" i="57"/>
  <c r="T175" i="57"/>
  <c r="U175" i="57"/>
  <c r="V175" i="57"/>
  <c r="W175" i="57"/>
  <c r="X175" i="57"/>
  <c r="Y175" i="57"/>
  <c r="Z175" i="57"/>
  <c r="AA175" i="57"/>
  <c r="AB175" i="57"/>
  <c r="AC175" i="57"/>
  <c r="AD175" i="57"/>
  <c r="AE175" i="57"/>
  <c r="AF175" i="57"/>
  <c r="AG175" i="57"/>
  <c r="AH175" i="57"/>
  <c r="AI175" i="57"/>
  <c r="AJ175" i="57"/>
  <c r="AK175" i="57"/>
  <c r="AL175" i="57"/>
  <c r="AM175" i="57"/>
  <c r="AN175" i="57"/>
  <c r="AO175" i="57"/>
  <c r="AP175" i="57"/>
  <c r="AQ175" i="57"/>
  <c r="AR175" i="57"/>
  <c r="AS175" i="57"/>
  <c r="AT175" i="57"/>
  <c r="AU175" i="57"/>
  <c r="AV175" i="57"/>
  <c r="AW175" i="57"/>
  <c r="AX175" i="57"/>
  <c r="AY175" i="57"/>
  <c r="AZ175" i="57"/>
  <c r="BA175" i="57"/>
  <c r="BB175" i="57"/>
  <c r="BC175" i="57"/>
  <c r="BD175" i="57"/>
  <c r="BE175" i="57"/>
  <c r="BF175" i="57"/>
  <c r="BG175" i="57"/>
  <c r="BH175" i="57"/>
  <c r="BI175" i="57"/>
  <c r="BJ175" i="57"/>
  <c r="BK175" i="57"/>
  <c r="BL175" i="57"/>
  <c r="BM175" i="57"/>
  <c r="BN175" i="57"/>
  <c r="BO175" i="57"/>
  <c r="BP175" i="57"/>
  <c r="BQ175" i="57"/>
  <c r="BR175" i="57"/>
  <c r="BS175" i="57"/>
  <c r="BT175" i="57"/>
  <c r="BU175" i="57"/>
  <c r="BV175" i="57"/>
  <c r="BW175" i="57"/>
  <c r="BX175" i="57"/>
  <c r="BY175" i="57"/>
  <c r="BZ175" i="57"/>
  <c r="CA175" i="57"/>
  <c r="CB175" i="57"/>
  <c r="CC175" i="57"/>
  <c r="CD175" i="57"/>
  <c r="CE175" i="57"/>
  <c r="CF175" i="57"/>
  <c r="CG175" i="57"/>
  <c r="CH175" i="57"/>
  <c r="CI175" i="57"/>
  <c r="CJ175" i="57"/>
  <c r="S176" i="57"/>
  <c r="T176" i="57"/>
  <c r="U176" i="57"/>
  <c r="V176" i="57"/>
  <c r="W176" i="57"/>
  <c r="X176" i="57"/>
  <c r="Y176" i="57"/>
  <c r="Z176" i="57"/>
  <c r="AA176" i="57"/>
  <c r="AB176" i="57"/>
  <c r="AC176" i="57"/>
  <c r="AD176" i="57"/>
  <c r="AE176" i="57"/>
  <c r="AF176" i="57"/>
  <c r="AG176" i="57"/>
  <c r="AH176" i="57"/>
  <c r="AI176" i="57"/>
  <c r="AJ176" i="57"/>
  <c r="AK176" i="57"/>
  <c r="AL176" i="57"/>
  <c r="AM176" i="57"/>
  <c r="AN176" i="57"/>
  <c r="AO176" i="57"/>
  <c r="AP176" i="57"/>
  <c r="AQ176" i="57"/>
  <c r="AR176" i="57"/>
  <c r="AS176" i="57"/>
  <c r="AT176" i="57"/>
  <c r="AU176" i="57"/>
  <c r="AV176" i="57"/>
  <c r="AW176" i="57"/>
  <c r="AX176" i="57"/>
  <c r="AY176" i="57"/>
  <c r="AZ176" i="57"/>
  <c r="BA176" i="57"/>
  <c r="BB176" i="57"/>
  <c r="BC176" i="57"/>
  <c r="BD176" i="57"/>
  <c r="BE176" i="57"/>
  <c r="BF176" i="57"/>
  <c r="BG176" i="57"/>
  <c r="BH176" i="57"/>
  <c r="BI176" i="57"/>
  <c r="BJ176" i="57"/>
  <c r="BK176" i="57"/>
  <c r="BL176" i="57"/>
  <c r="BM176" i="57"/>
  <c r="BN176" i="57"/>
  <c r="BO176" i="57"/>
  <c r="BP176" i="57"/>
  <c r="BQ176" i="57"/>
  <c r="BR176" i="57"/>
  <c r="BS176" i="57"/>
  <c r="BT176" i="57"/>
  <c r="BU176" i="57"/>
  <c r="BV176" i="57"/>
  <c r="BW176" i="57"/>
  <c r="BX176" i="57"/>
  <c r="BY176" i="57"/>
  <c r="BZ176" i="57"/>
  <c r="CA176" i="57"/>
  <c r="CB176" i="57"/>
  <c r="CC176" i="57"/>
  <c r="CD176" i="57"/>
  <c r="CE176" i="57"/>
  <c r="CF176" i="57"/>
  <c r="CG176" i="57"/>
  <c r="CH176" i="57"/>
  <c r="CI176" i="57"/>
  <c r="CJ176" i="57"/>
  <c r="S177" i="57"/>
  <c r="T177" i="57"/>
  <c r="U177" i="57"/>
  <c r="V177" i="57"/>
  <c r="W177" i="57"/>
  <c r="X177" i="57"/>
  <c r="Y177" i="57"/>
  <c r="Z177" i="57"/>
  <c r="AA177" i="57"/>
  <c r="AB177" i="57"/>
  <c r="AC177" i="57"/>
  <c r="AD177" i="57"/>
  <c r="AE177" i="57"/>
  <c r="AF177" i="57"/>
  <c r="AG177" i="57"/>
  <c r="AH177" i="57"/>
  <c r="AI177" i="57"/>
  <c r="AJ177" i="57"/>
  <c r="AK177" i="57"/>
  <c r="AL177" i="57"/>
  <c r="AM177" i="57"/>
  <c r="AN177" i="57"/>
  <c r="AO177" i="57"/>
  <c r="AP177" i="57"/>
  <c r="AQ177" i="57"/>
  <c r="AR177" i="57"/>
  <c r="AS177" i="57"/>
  <c r="AT177" i="57"/>
  <c r="AU177" i="57"/>
  <c r="AV177" i="57"/>
  <c r="AW177" i="57"/>
  <c r="AX177" i="57"/>
  <c r="AY177" i="57"/>
  <c r="AZ177" i="57"/>
  <c r="BA177" i="57"/>
  <c r="BB177" i="57"/>
  <c r="BC177" i="57"/>
  <c r="BD177" i="57"/>
  <c r="BE177" i="57"/>
  <c r="BF177" i="57"/>
  <c r="BG177" i="57"/>
  <c r="BH177" i="57"/>
  <c r="BI177" i="57"/>
  <c r="BJ177" i="57"/>
  <c r="BK177" i="57"/>
  <c r="BL177" i="57"/>
  <c r="BM177" i="57"/>
  <c r="BN177" i="57"/>
  <c r="BO177" i="57"/>
  <c r="BP177" i="57"/>
  <c r="BQ177" i="57"/>
  <c r="BR177" i="57"/>
  <c r="BS177" i="57"/>
  <c r="BT177" i="57"/>
  <c r="BU177" i="57"/>
  <c r="BV177" i="57"/>
  <c r="BW177" i="57"/>
  <c r="BX177" i="57"/>
  <c r="BY177" i="57"/>
  <c r="BZ177" i="57"/>
  <c r="CA177" i="57"/>
  <c r="CB177" i="57"/>
  <c r="CC177" i="57"/>
  <c r="CD177" i="57"/>
  <c r="CE177" i="57"/>
  <c r="CF177" i="57"/>
  <c r="CG177" i="57"/>
  <c r="CH177" i="57"/>
  <c r="CI177" i="57"/>
  <c r="CJ177" i="57"/>
  <c r="S178" i="57"/>
  <c r="T178" i="57"/>
  <c r="U178" i="57"/>
  <c r="V178" i="57"/>
  <c r="W178" i="57"/>
  <c r="X178" i="57"/>
  <c r="Y178" i="57"/>
  <c r="Z178" i="57"/>
  <c r="AA178" i="57"/>
  <c r="AB178" i="57"/>
  <c r="AC178" i="57"/>
  <c r="AD178" i="57"/>
  <c r="AE178" i="57"/>
  <c r="AF178" i="57"/>
  <c r="AG178" i="57"/>
  <c r="AH178" i="57"/>
  <c r="AI178" i="57"/>
  <c r="AJ178" i="57"/>
  <c r="AK178" i="57"/>
  <c r="AL178" i="57"/>
  <c r="AM178" i="57"/>
  <c r="AN178" i="57"/>
  <c r="AO178" i="57"/>
  <c r="AP178" i="57"/>
  <c r="AQ178" i="57"/>
  <c r="AR178" i="57"/>
  <c r="AS178" i="57"/>
  <c r="AT178" i="57"/>
  <c r="AU178" i="57"/>
  <c r="AV178" i="57"/>
  <c r="AW178" i="57"/>
  <c r="AX178" i="57"/>
  <c r="AY178" i="57"/>
  <c r="AZ178" i="57"/>
  <c r="BA178" i="57"/>
  <c r="BB178" i="57"/>
  <c r="BC178" i="57"/>
  <c r="BD178" i="57"/>
  <c r="BE178" i="57"/>
  <c r="BF178" i="57"/>
  <c r="BG178" i="57"/>
  <c r="BH178" i="57"/>
  <c r="BI178" i="57"/>
  <c r="BJ178" i="57"/>
  <c r="BK178" i="57"/>
  <c r="BL178" i="57"/>
  <c r="BM178" i="57"/>
  <c r="BN178" i="57"/>
  <c r="BO178" i="57"/>
  <c r="BP178" i="57"/>
  <c r="BQ178" i="57"/>
  <c r="BR178" i="57"/>
  <c r="BS178" i="57"/>
  <c r="BT178" i="57"/>
  <c r="BU178" i="57"/>
  <c r="BV178" i="57"/>
  <c r="BW178" i="57"/>
  <c r="BX178" i="57"/>
  <c r="BY178" i="57"/>
  <c r="BZ178" i="57"/>
  <c r="CA178" i="57"/>
  <c r="CB178" i="57"/>
  <c r="CC178" i="57"/>
  <c r="CD178" i="57"/>
  <c r="CE178" i="57"/>
  <c r="CF178" i="57"/>
  <c r="CG178" i="57"/>
  <c r="CH178" i="57"/>
  <c r="CI178" i="57"/>
  <c r="CJ178" i="57"/>
  <c r="S179" i="57"/>
  <c r="T179" i="57"/>
  <c r="U179" i="57"/>
  <c r="V179" i="57"/>
  <c r="W179" i="57"/>
  <c r="X179" i="57"/>
  <c r="Y179" i="57"/>
  <c r="Z179" i="57"/>
  <c r="AA179" i="57"/>
  <c r="AB179" i="57"/>
  <c r="AC179" i="57"/>
  <c r="AD179" i="57"/>
  <c r="AE179" i="57"/>
  <c r="AF179" i="57"/>
  <c r="AG179" i="57"/>
  <c r="AH179" i="57"/>
  <c r="AI179" i="57"/>
  <c r="AJ179" i="57"/>
  <c r="AK179" i="57"/>
  <c r="AL179" i="57"/>
  <c r="AM179" i="57"/>
  <c r="AN179" i="57"/>
  <c r="AO179" i="57"/>
  <c r="AP179" i="57"/>
  <c r="AQ179" i="57"/>
  <c r="AR179" i="57"/>
  <c r="AS179" i="57"/>
  <c r="AT179" i="57"/>
  <c r="AU179" i="57"/>
  <c r="AV179" i="57"/>
  <c r="AW179" i="57"/>
  <c r="AX179" i="57"/>
  <c r="AY179" i="57"/>
  <c r="AZ179" i="57"/>
  <c r="BA179" i="57"/>
  <c r="BB179" i="57"/>
  <c r="BC179" i="57"/>
  <c r="BD179" i="57"/>
  <c r="BE179" i="57"/>
  <c r="BF179" i="57"/>
  <c r="BG179" i="57"/>
  <c r="BH179" i="57"/>
  <c r="BI179" i="57"/>
  <c r="BJ179" i="57"/>
  <c r="BK179" i="57"/>
  <c r="BL179" i="57"/>
  <c r="BM179" i="57"/>
  <c r="BN179" i="57"/>
  <c r="BO179" i="57"/>
  <c r="BP179" i="57"/>
  <c r="BQ179" i="57"/>
  <c r="BR179" i="57"/>
  <c r="BS179" i="57"/>
  <c r="BT179" i="57"/>
  <c r="BU179" i="57"/>
  <c r="BV179" i="57"/>
  <c r="BW179" i="57"/>
  <c r="BX179" i="57"/>
  <c r="BY179" i="57"/>
  <c r="BZ179" i="57"/>
  <c r="CA179" i="57"/>
  <c r="CB179" i="57"/>
  <c r="CC179" i="57"/>
  <c r="CD179" i="57"/>
  <c r="CE179" i="57"/>
  <c r="CF179" i="57"/>
  <c r="CG179" i="57"/>
  <c r="CH179" i="57"/>
  <c r="CI179" i="57"/>
  <c r="CJ179" i="57"/>
  <c r="S180" i="57"/>
  <c r="T180" i="57"/>
  <c r="U180" i="57"/>
  <c r="V180" i="57"/>
  <c r="W180" i="57"/>
  <c r="X180" i="57"/>
  <c r="Y180" i="57"/>
  <c r="Z180" i="57"/>
  <c r="AA180" i="57"/>
  <c r="AB180" i="57"/>
  <c r="AC180" i="57"/>
  <c r="AD180" i="57"/>
  <c r="AE180" i="57"/>
  <c r="AF180" i="57"/>
  <c r="AG180" i="57"/>
  <c r="AH180" i="57"/>
  <c r="AI180" i="57"/>
  <c r="AJ180" i="57"/>
  <c r="AK180" i="57"/>
  <c r="AL180" i="57"/>
  <c r="AM180" i="57"/>
  <c r="AN180" i="57"/>
  <c r="AO180" i="57"/>
  <c r="AP180" i="57"/>
  <c r="AQ180" i="57"/>
  <c r="AR180" i="57"/>
  <c r="AS180" i="57"/>
  <c r="AT180" i="57"/>
  <c r="AU180" i="57"/>
  <c r="AV180" i="57"/>
  <c r="AW180" i="57"/>
  <c r="AX180" i="57"/>
  <c r="AY180" i="57"/>
  <c r="AZ180" i="57"/>
  <c r="BA180" i="57"/>
  <c r="BB180" i="57"/>
  <c r="BC180" i="57"/>
  <c r="BD180" i="57"/>
  <c r="BE180" i="57"/>
  <c r="BF180" i="57"/>
  <c r="BG180" i="57"/>
  <c r="BH180" i="57"/>
  <c r="BI180" i="57"/>
  <c r="BJ180" i="57"/>
  <c r="BK180" i="57"/>
  <c r="BL180" i="57"/>
  <c r="BM180" i="57"/>
  <c r="BN180" i="57"/>
  <c r="BO180" i="57"/>
  <c r="BP180" i="57"/>
  <c r="BQ180" i="57"/>
  <c r="BR180" i="57"/>
  <c r="BS180" i="57"/>
  <c r="BT180" i="57"/>
  <c r="BU180" i="57"/>
  <c r="BV180" i="57"/>
  <c r="BW180" i="57"/>
  <c r="BX180" i="57"/>
  <c r="BY180" i="57"/>
  <c r="BZ180" i="57"/>
  <c r="CA180" i="57"/>
  <c r="CB180" i="57"/>
  <c r="CC180" i="57"/>
  <c r="CD180" i="57"/>
  <c r="CE180" i="57"/>
  <c r="CF180" i="57"/>
  <c r="CG180" i="57"/>
  <c r="CH180" i="57"/>
  <c r="CI180" i="57"/>
  <c r="CJ180" i="57"/>
  <c r="S181" i="57"/>
  <c r="T181" i="57"/>
  <c r="U181" i="57"/>
  <c r="V181" i="57"/>
  <c r="W181" i="57"/>
  <c r="X181" i="57"/>
  <c r="Y181" i="57"/>
  <c r="Z181" i="57"/>
  <c r="AA181" i="57"/>
  <c r="AB181" i="57"/>
  <c r="AC181" i="57"/>
  <c r="AD181" i="57"/>
  <c r="AE181" i="57"/>
  <c r="AF181" i="57"/>
  <c r="AG181" i="57"/>
  <c r="AH181" i="57"/>
  <c r="AI181" i="57"/>
  <c r="AJ181" i="57"/>
  <c r="AK181" i="57"/>
  <c r="AL181" i="57"/>
  <c r="AM181" i="57"/>
  <c r="AN181" i="57"/>
  <c r="AO181" i="57"/>
  <c r="AP181" i="57"/>
  <c r="AQ181" i="57"/>
  <c r="AR181" i="57"/>
  <c r="AS181" i="57"/>
  <c r="AT181" i="57"/>
  <c r="AU181" i="57"/>
  <c r="AV181" i="57"/>
  <c r="AW181" i="57"/>
  <c r="AX181" i="57"/>
  <c r="AY181" i="57"/>
  <c r="AZ181" i="57"/>
  <c r="BA181" i="57"/>
  <c r="BB181" i="57"/>
  <c r="BC181" i="57"/>
  <c r="BD181" i="57"/>
  <c r="BE181" i="57"/>
  <c r="BF181" i="57"/>
  <c r="BG181" i="57"/>
  <c r="BH181" i="57"/>
  <c r="BI181" i="57"/>
  <c r="BJ181" i="57"/>
  <c r="BK181" i="57"/>
  <c r="BL181" i="57"/>
  <c r="BM181" i="57"/>
  <c r="BN181" i="57"/>
  <c r="BO181" i="57"/>
  <c r="BP181" i="57"/>
  <c r="BQ181" i="57"/>
  <c r="BR181" i="57"/>
  <c r="BS181" i="57"/>
  <c r="BT181" i="57"/>
  <c r="BU181" i="57"/>
  <c r="BV181" i="57"/>
  <c r="BW181" i="57"/>
  <c r="BX181" i="57"/>
  <c r="BY181" i="57"/>
  <c r="BZ181" i="57"/>
  <c r="CA181" i="57"/>
  <c r="CB181" i="57"/>
  <c r="CC181" i="57"/>
  <c r="CD181" i="57"/>
  <c r="CE181" i="57"/>
  <c r="CF181" i="57"/>
  <c r="CG181" i="57"/>
  <c r="CH181" i="57"/>
  <c r="CI181" i="57"/>
  <c r="CJ181" i="57"/>
  <c r="S182" i="57"/>
  <c r="T182" i="57"/>
  <c r="U182" i="57"/>
  <c r="V182" i="57"/>
  <c r="W182" i="57"/>
  <c r="X182" i="57"/>
  <c r="Y182" i="57"/>
  <c r="Z182" i="57"/>
  <c r="AA182" i="57"/>
  <c r="AB182" i="57"/>
  <c r="AC182" i="57"/>
  <c r="AD182" i="57"/>
  <c r="AE182" i="57"/>
  <c r="AF182" i="57"/>
  <c r="AG182" i="57"/>
  <c r="AH182" i="57"/>
  <c r="AI182" i="57"/>
  <c r="AJ182" i="57"/>
  <c r="AK182" i="57"/>
  <c r="AL182" i="57"/>
  <c r="AM182" i="57"/>
  <c r="AN182" i="57"/>
  <c r="AO182" i="57"/>
  <c r="AP182" i="57"/>
  <c r="AQ182" i="57"/>
  <c r="AR182" i="57"/>
  <c r="AS182" i="57"/>
  <c r="AT182" i="57"/>
  <c r="AU182" i="57"/>
  <c r="AV182" i="57"/>
  <c r="AW182" i="57"/>
  <c r="AX182" i="57"/>
  <c r="AY182" i="57"/>
  <c r="AZ182" i="57"/>
  <c r="BA182" i="57"/>
  <c r="BB182" i="57"/>
  <c r="BC182" i="57"/>
  <c r="BD182" i="57"/>
  <c r="BE182" i="57"/>
  <c r="BF182" i="57"/>
  <c r="BG182" i="57"/>
  <c r="BH182" i="57"/>
  <c r="BI182" i="57"/>
  <c r="BJ182" i="57"/>
  <c r="BK182" i="57"/>
  <c r="BL182" i="57"/>
  <c r="BM182" i="57"/>
  <c r="BN182" i="57"/>
  <c r="BO182" i="57"/>
  <c r="BP182" i="57"/>
  <c r="BQ182" i="57"/>
  <c r="BR182" i="57"/>
  <c r="BS182" i="57"/>
  <c r="BT182" i="57"/>
  <c r="BU182" i="57"/>
  <c r="BV182" i="57"/>
  <c r="BW182" i="57"/>
  <c r="BX182" i="57"/>
  <c r="BY182" i="57"/>
  <c r="BZ182" i="57"/>
  <c r="CA182" i="57"/>
  <c r="CB182" i="57"/>
  <c r="CC182" i="57"/>
  <c r="CD182" i="57"/>
  <c r="CE182" i="57"/>
  <c r="CF182" i="57"/>
  <c r="CG182" i="57"/>
  <c r="CH182" i="57"/>
  <c r="CI182" i="57"/>
  <c r="CJ182" i="57"/>
  <c r="S183" i="57"/>
  <c r="T183" i="57"/>
  <c r="U183" i="57"/>
  <c r="V183" i="57"/>
  <c r="W183" i="57"/>
  <c r="X183" i="57"/>
  <c r="Y183" i="57"/>
  <c r="Z183" i="57"/>
  <c r="AA183" i="57"/>
  <c r="AB183" i="57"/>
  <c r="AC183" i="57"/>
  <c r="AD183" i="57"/>
  <c r="AE183" i="57"/>
  <c r="AF183" i="57"/>
  <c r="AG183" i="57"/>
  <c r="AH183" i="57"/>
  <c r="AI183" i="57"/>
  <c r="AJ183" i="57"/>
  <c r="AK183" i="57"/>
  <c r="AL183" i="57"/>
  <c r="AM183" i="57"/>
  <c r="AN183" i="57"/>
  <c r="AO183" i="57"/>
  <c r="AP183" i="57"/>
  <c r="AQ183" i="57"/>
  <c r="AR183" i="57"/>
  <c r="AS183" i="57"/>
  <c r="AT183" i="57"/>
  <c r="AU183" i="57"/>
  <c r="AV183" i="57"/>
  <c r="AW183" i="57"/>
  <c r="AX183" i="57"/>
  <c r="AY183" i="57"/>
  <c r="AZ183" i="57"/>
  <c r="BA183" i="57"/>
  <c r="BB183" i="57"/>
  <c r="BC183" i="57"/>
  <c r="BD183" i="57"/>
  <c r="BE183" i="57"/>
  <c r="BF183" i="57"/>
  <c r="BG183" i="57"/>
  <c r="BH183" i="57"/>
  <c r="BI183" i="57"/>
  <c r="BJ183" i="57"/>
  <c r="BK183" i="57"/>
  <c r="BL183" i="57"/>
  <c r="BM183" i="57"/>
  <c r="BN183" i="57"/>
  <c r="BO183" i="57"/>
  <c r="BP183" i="57"/>
  <c r="BQ183" i="57"/>
  <c r="BR183" i="57"/>
  <c r="BS183" i="57"/>
  <c r="BT183" i="57"/>
  <c r="BU183" i="57"/>
  <c r="BV183" i="57"/>
  <c r="BW183" i="57"/>
  <c r="BX183" i="57"/>
  <c r="BY183" i="57"/>
  <c r="BZ183" i="57"/>
  <c r="CA183" i="57"/>
  <c r="CB183" i="57"/>
  <c r="CC183" i="57"/>
  <c r="CD183" i="57"/>
  <c r="CE183" i="57"/>
  <c r="CF183" i="57"/>
  <c r="CG183" i="57"/>
  <c r="CH183" i="57"/>
  <c r="CI183" i="57"/>
  <c r="CJ183" i="57"/>
  <c r="S184" i="57"/>
  <c r="T184" i="57"/>
  <c r="U184" i="57"/>
  <c r="V184" i="57"/>
  <c r="W184" i="57"/>
  <c r="X184" i="57"/>
  <c r="Y184" i="57"/>
  <c r="Z184" i="57"/>
  <c r="AA184" i="57"/>
  <c r="AB184" i="57"/>
  <c r="AC184" i="57"/>
  <c r="AD184" i="57"/>
  <c r="AE184" i="57"/>
  <c r="AF184" i="57"/>
  <c r="AG184" i="57"/>
  <c r="AH184" i="57"/>
  <c r="AI184" i="57"/>
  <c r="AJ184" i="57"/>
  <c r="AK184" i="57"/>
  <c r="AL184" i="57"/>
  <c r="AM184" i="57"/>
  <c r="AN184" i="57"/>
  <c r="AO184" i="57"/>
  <c r="AP184" i="57"/>
  <c r="AQ184" i="57"/>
  <c r="AR184" i="57"/>
  <c r="AS184" i="57"/>
  <c r="AT184" i="57"/>
  <c r="AU184" i="57"/>
  <c r="AV184" i="57"/>
  <c r="AW184" i="57"/>
  <c r="AX184" i="57"/>
  <c r="AY184" i="57"/>
  <c r="AZ184" i="57"/>
  <c r="BA184" i="57"/>
  <c r="BB184" i="57"/>
  <c r="BC184" i="57"/>
  <c r="BD184" i="57"/>
  <c r="BE184" i="57"/>
  <c r="BF184" i="57"/>
  <c r="BG184" i="57"/>
  <c r="BH184" i="57"/>
  <c r="BI184" i="57"/>
  <c r="BJ184" i="57"/>
  <c r="BK184" i="57"/>
  <c r="BL184" i="57"/>
  <c r="BM184" i="57"/>
  <c r="BN184" i="57"/>
  <c r="BO184" i="57"/>
  <c r="BP184" i="57"/>
  <c r="BQ184" i="57"/>
  <c r="BR184" i="57"/>
  <c r="BS184" i="57"/>
  <c r="BT184" i="57"/>
  <c r="BU184" i="57"/>
  <c r="BV184" i="57"/>
  <c r="BW184" i="57"/>
  <c r="BX184" i="57"/>
  <c r="BY184" i="57"/>
  <c r="BZ184" i="57"/>
  <c r="CA184" i="57"/>
  <c r="CB184" i="57"/>
  <c r="CC184" i="57"/>
  <c r="CD184" i="57"/>
  <c r="CE184" i="57"/>
  <c r="CF184" i="57"/>
  <c r="CG184" i="57"/>
  <c r="CH184" i="57"/>
  <c r="CI184" i="57"/>
  <c r="CJ184" i="57"/>
  <c r="S185" i="57"/>
  <c r="T185" i="57"/>
  <c r="U185" i="57"/>
  <c r="V185" i="57"/>
  <c r="W185" i="57"/>
  <c r="X185" i="57"/>
  <c r="Y185" i="57"/>
  <c r="Z185" i="57"/>
  <c r="AA185" i="57"/>
  <c r="AB185" i="57"/>
  <c r="AC185" i="57"/>
  <c r="AD185" i="57"/>
  <c r="AE185" i="57"/>
  <c r="AF185" i="57"/>
  <c r="AG185" i="57"/>
  <c r="AH185" i="57"/>
  <c r="AI185" i="57"/>
  <c r="AJ185" i="57"/>
  <c r="AK185" i="57"/>
  <c r="AL185" i="57"/>
  <c r="AM185" i="57"/>
  <c r="AN185" i="57"/>
  <c r="AO185" i="57"/>
  <c r="AP185" i="57"/>
  <c r="AQ185" i="57"/>
  <c r="AR185" i="57"/>
  <c r="AS185" i="57"/>
  <c r="AT185" i="57"/>
  <c r="AU185" i="57"/>
  <c r="AV185" i="57"/>
  <c r="AW185" i="57"/>
  <c r="AX185" i="57"/>
  <c r="AY185" i="57"/>
  <c r="AZ185" i="57"/>
  <c r="BA185" i="57"/>
  <c r="BB185" i="57"/>
  <c r="BC185" i="57"/>
  <c r="BD185" i="57"/>
  <c r="BE185" i="57"/>
  <c r="BF185" i="57"/>
  <c r="BG185" i="57"/>
  <c r="BH185" i="57"/>
  <c r="BI185" i="57"/>
  <c r="BJ185" i="57"/>
  <c r="BK185" i="57"/>
  <c r="BL185" i="57"/>
  <c r="BM185" i="57"/>
  <c r="BN185" i="57"/>
  <c r="BO185" i="57"/>
  <c r="BP185" i="57"/>
  <c r="BQ185" i="57"/>
  <c r="BR185" i="57"/>
  <c r="BS185" i="57"/>
  <c r="BT185" i="57"/>
  <c r="BU185" i="57"/>
  <c r="BV185" i="57"/>
  <c r="BW185" i="57"/>
  <c r="BX185" i="57"/>
  <c r="BY185" i="57"/>
  <c r="BZ185" i="57"/>
  <c r="CA185" i="57"/>
  <c r="CB185" i="57"/>
  <c r="CC185" i="57"/>
  <c r="CD185" i="57"/>
  <c r="CE185" i="57"/>
  <c r="CF185" i="57"/>
  <c r="CG185" i="57"/>
  <c r="CH185" i="57"/>
  <c r="CI185" i="57"/>
  <c r="CJ185" i="57"/>
  <c r="S186" i="57"/>
  <c r="T186" i="57"/>
  <c r="U186" i="57"/>
  <c r="V186" i="57"/>
  <c r="W186" i="57"/>
  <c r="X186" i="57"/>
  <c r="Y186" i="57"/>
  <c r="Z186" i="57"/>
  <c r="AA186" i="57"/>
  <c r="AB186" i="57"/>
  <c r="AC186" i="57"/>
  <c r="AD186" i="57"/>
  <c r="AE186" i="57"/>
  <c r="AF186" i="57"/>
  <c r="AG186" i="57"/>
  <c r="AH186" i="57"/>
  <c r="AI186" i="57"/>
  <c r="AJ186" i="57"/>
  <c r="AK186" i="57"/>
  <c r="AL186" i="57"/>
  <c r="AM186" i="57"/>
  <c r="AN186" i="57"/>
  <c r="AO186" i="57"/>
  <c r="AP186" i="57"/>
  <c r="AQ186" i="57"/>
  <c r="AR186" i="57"/>
  <c r="AS186" i="57"/>
  <c r="AT186" i="57"/>
  <c r="AU186" i="57"/>
  <c r="AV186" i="57"/>
  <c r="AW186" i="57"/>
  <c r="AX186" i="57"/>
  <c r="AY186" i="57"/>
  <c r="AZ186" i="57"/>
  <c r="BA186" i="57"/>
  <c r="BB186" i="57"/>
  <c r="BC186" i="57"/>
  <c r="BD186" i="57"/>
  <c r="BE186" i="57"/>
  <c r="BF186" i="57"/>
  <c r="BG186" i="57"/>
  <c r="BH186" i="57"/>
  <c r="BI186" i="57"/>
  <c r="BJ186" i="57"/>
  <c r="BK186" i="57"/>
  <c r="BL186" i="57"/>
  <c r="BM186" i="57"/>
  <c r="BN186" i="57"/>
  <c r="BO186" i="57"/>
  <c r="BP186" i="57"/>
  <c r="BQ186" i="57"/>
  <c r="BR186" i="57"/>
  <c r="BS186" i="57"/>
  <c r="BT186" i="57"/>
  <c r="BU186" i="57"/>
  <c r="BV186" i="57"/>
  <c r="BW186" i="57"/>
  <c r="BX186" i="57"/>
  <c r="BY186" i="57"/>
  <c r="BZ186" i="57"/>
  <c r="CA186" i="57"/>
  <c r="CB186" i="57"/>
  <c r="CC186" i="57"/>
  <c r="CD186" i="57"/>
  <c r="CE186" i="57"/>
  <c r="CF186" i="57"/>
  <c r="CG186" i="57"/>
  <c r="CH186" i="57"/>
  <c r="CI186" i="57"/>
  <c r="CJ186" i="57"/>
  <c r="S187" i="57"/>
  <c r="T187" i="57"/>
  <c r="U187" i="57"/>
  <c r="V187" i="57"/>
  <c r="W187" i="57"/>
  <c r="X187" i="57"/>
  <c r="Y187" i="57"/>
  <c r="Z187" i="57"/>
  <c r="AA187" i="57"/>
  <c r="AB187" i="57"/>
  <c r="AC187" i="57"/>
  <c r="AD187" i="57"/>
  <c r="AE187" i="57"/>
  <c r="AF187" i="57"/>
  <c r="AG187" i="57"/>
  <c r="AH187" i="57"/>
  <c r="AI187" i="57"/>
  <c r="AJ187" i="57"/>
  <c r="AK187" i="57"/>
  <c r="AL187" i="57"/>
  <c r="AM187" i="57"/>
  <c r="AN187" i="57"/>
  <c r="AO187" i="57"/>
  <c r="AP187" i="57"/>
  <c r="AQ187" i="57"/>
  <c r="AR187" i="57"/>
  <c r="AS187" i="57"/>
  <c r="AT187" i="57"/>
  <c r="AU187" i="57"/>
  <c r="AV187" i="57"/>
  <c r="AW187" i="57"/>
  <c r="AX187" i="57"/>
  <c r="AY187" i="57"/>
  <c r="AZ187" i="57"/>
  <c r="BA187" i="57"/>
  <c r="BB187" i="57"/>
  <c r="BC187" i="57"/>
  <c r="BD187" i="57"/>
  <c r="BE187" i="57"/>
  <c r="BF187" i="57"/>
  <c r="BG187" i="57"/>
  <c r="BH187" i="57"/>
  <c r="BI187" i="57"/>
  <c r="BJ187" i="57"/>
  <c r="BK187" i="57"/>
  <c r="BL187" i="57"/>
  <c r="BM187" i="57"/>
  <c r="BN187" i="57"/>
  <c r="BO187" i="57"/>
  <c r="BP187" i="57"/>
  <c r="BQ187" i="57"/>
  <c r="BR187" i="57"/>
  <c r="BS187" i="57"/>
  <c r="BT187" i="57"/>
  <c r="BU187" i="57"/>
  <c r="BV187" i="57"/>
  <c r="BW187" i="57"/>
  <c r="BX187" i="57"/>
  <c r="BY187" i="57"/>
  <c r="BZ187" i="57"/>
  <c r="CA187" i="57"/>
  <c r="CB187" i="57"/>
  <c r="CC187" i="57"/>
  <c r="CD187" i="57"/>
  <c r="CE187" i="57"/>
  <c r="CF187" i="57"/>
  <c r="CG187" i="57"/>
  <c r="CH187" i="57"/>
  <c r="CI187" i="57"/>
  <c r="CJ187" i="57"/>
  <c r="S188" i="57"/>
  <c r="T188" i="57"/>
  <c r="U188" i="57"/>
  <c r="V188" i="57"/>
  <c r="W188" i="57"/>
  <c r="X188" i="57"/>
  <c r="Y188" i="57"/>
  <c r="Z188" i="57"/>
  <c r="AA188" i="57"/>
  <c r="AB188" i="57"/>
  <c r="AC188" i="57"/>
  <c r="AD188" i="57"/>
  <c r="AE188" i="57"/>
  <c r="AF188" i="57"/>
  <c r="AG188" i="57"/>
  <c r="AH188" i="57"/>
  <c r="AI188" i="57"/>
  <c r="AJ188" i="57"/>
  <c r="AK188" i="57"/>
  <c r="AL188" i="57"/>
  <c r="AM188" i="57"/>
  <c r="AN188" i="57"/>
  <c r="AO188" i="57"/>
  <c r="AP188" i="57"/>
  <c r="AQ188" i="57"/>
  <c r="AR188" i="57"/>
  <c r="AS188" i="57"/>
  <c r="AT188" i="57"/>
  <c r="AU188" i="57"/>
  <c r="AV188" i="57"/>
  <c r="AW188" i="57"/>
  <c r="AX188" i="57"/>
  <c r="AY188" i="57"/>
  <c r="AZ188" i="57"/>
  <c r="BA188" i="57"/>
  <c r="BB188" i="57"/>
  <c r="BC188" i="57"/>
  <c r="BD188" i="57"/>
  <c r="BE188" i="57"/>
  <c r="BF188" i="57"/>
  <c r="BG188" i="57"/>
  <c r="BH188" i="57"/>
  <c r="BI188" i="57"/>
  <c r="BJ188" i="57"/>
  <c r="BK188" i="57"/>
  <c r="BL188" i="57"/>
  <c r="BM188" i="57"/>
  <c r="BN188" i="57"/>
  <c r="BO188" i="57"/>
  <c r="BP188" i="57"/>
  <c r="BQ188" i="57"/>
  <c r="BR188" i="57"/>
  <c r="BS188" i="57"/>
  <c r="BT188" i="57"/>
  <c r="BU188" i="57"/>
  <c r="BV188" i="57"/>
  <c r="BW188" i="57"/>
  <c r="BX188" i="57"/>
  <c r="BY188" i="57"/>
  <c r="BZ188" i="57"/>
  <c r="CA188" i="57"/>
  <c r="CB188" i="57"/>
  <c r="CC188" i="57"/>
  <c r="CD188" i="57"/>
  <c r="CE188" i="57"/>
  <c r="CF188" i="57"/>
  <c r="CG188" i="57"/>
  <c r="CH188" i="57"/>
  <c r="CI188" i="57"/>
  <c r="CJ188" i="57"/>
  <c r="S189" i="57"/>
  <c r="T189" i="57"/>
  <c r="U189" i="57"/>
  <c r="V189" i="57"/>
  <c r="W189" i="57"/>
  <c r="X189" i="57"/>
  <c r="Y189" i="57"/>
  <c r="Z189" i="57"/>
  <c r="AA189" i="57"/>
  <c r="AB189" i="57"/>
  <c r="AC189" i="57"/>
  <c r="AD189" i="57"/>
  <c r="AE189" i="57"/>
  <c r="AF189" i="57"/>
  <c r="AG189" i="57"/>
  <c r="AH189" i="57"/>
  <c r="AI189" i="57"/>
  <c r="AJ189" i="57"/>
  <c r="AK189" i="57"/>
  <c r="AL189" i="57"/>
  <c r="AM189" i="57"/>
  <c r="AN189" i="57"/>
  <c r="AO189" i="57"/>
  <c r="AP189" i="57"/>
  <c r="AQ189" i="57"/>
  <c r="AR189" i="57"/>
  <c r="AS189" i="57"/>
  <c r="AT189" i="57"/>
  <c r="AU189" i="57"/>
  <c r="AV189" i="57"/>
  <c r="AW189" i="57"/>
  <c r="AX189" i="57"/>
  <c r="AY189" i="57"/>
  <c r="AZ189" i="57"/>
  <c r="BA189" i="57"/>
  <c r="BB189" i="57"/>
  <c r="BC189" i="57"/>
  <c r="BD189" i="57"/>
  <c r="BE189" i="57"/>
  <c r="BF189" i="57"/>
  <c r="BG189" i="57"/>
  <c r="BH189" i="57"/>
  <c r="BI189" i="57"/>
  <c r="BJ189" i="57"/>
  <c r="BK189" i="57"/>
  <c r="BL189" i="57"/>
  <c r="BM189" i="57"/>
  <c r="BN189" i="57"/>
  <c r="BO189" i="57"/>
  <c r="BP189" i="57"/>
  <c r="BQ189" i="57"/>
  <c r="BR189" i="57"/>
  <c r="BS189" i="57"/>
  <c r="BT189" i="57"/>
  <c r="BU189" i="57"/>
  <c r="BV189" i="57"/>
  <c r="BW189" i="57"/>
  <c r="BX189" i="57"/>
  <c r="BY189" i="57"/>
  <c r="BZ189" i="57"/>
  <c r="CA189" i="57"/>
  <c r="CB189" i="57"/>
  <c r="CC189" i="57"/>
  <c r="CD189" i="57"/>
  <c r="CE189" i="57"/>
  <c r="CF189" i="57"/>
  <c r="CG189" i="57"/>
  <c r="CH189" i="57"/>
  <c r="CI189" i="57"/>
  <c r="CJ189" i="57"/>
  <c r="S190" i="57"/>
  <c r="T190" i="57"/>
  <c r="U190" i="57"/>
  <c r="V190" i="57"/>
  <c r="W190" i="57"/>
  <c r="X190" i="57"/>
  <c r="Y190" i="57"/>
  <c r="Z190" i="57"/>
  <c r="AA190" i="57"/>
  <c r="AB190" i="57"/>
  <c r="AC190" i="57"/>
  <c r="AD190" i="57"/>
  <c r="AE190" i="57"/>
  <c r="AF190" i="57"/>
  <c r="AG190" i="57"/>
  <c r="AH190" i="57"/>
  <c r="AI190" i="57"/>
  <c r="AJ190" i="57"/>
  <c r="AK190" i="57"/>
  <c r="AL190" i="57"/>
  <c r="AM190" i="57"/>
  <c r="AN190" i="57"/>
  <c r="AO190" i="57"/>
  <c r="AP190" i="57"/>
  <c r="AQ190" i="57"/>
  <c r="AR190" i="57"/>
  <c r="AS190" i="57"/>
  <c r="AT190" i="57"/>
  <c r="AU190" i="57"/>
  <c r="AV190" i="57"/>
  <c r="AW190" i="57"/>
  <c r="AX190" i="57"/>
  <c r="AY190" i="57"/>
  <c r="AZ190" i="57"/>
  <c r="BA190" i="57"/>
  <c r="BB190" i="57"/>
  <c r="BC190" i="57"/>
  <c r="BD190" i="57"/>
  <c r="BE190" i="57"/>
  <c r="BF190" i="57"/>
  <c r="BG190" i="57"/>
  <c r="BH190" i="57"/>
  <c r="BI190" i="57"/>
  <c r="BJ190" i="57"/>
  <c r="BK190" i="57"/>
  <c r="BL190" i="57"/>
  <c r="BM190" i="57"/>
  <c r="BN190" i="57"/>
  <c r="BO190" i="57"/>
  <c r="BP190" i="57"/>
  <c r="BQ190" i="57"/>
  <c r="BR190" i="57"/>
  <c r="BS190" i="57"/>
  <c r="BT190" i="57"/>
  <c r="BU190" i="57"/>
  <c r="BV190" i="57"/>
  <c r="BW190" i="57"/>
  <c r="BX190" i="57"/>
  <c r="BY190" i="57"/>
  <c r="BZ190" i="57"/>
  <c r="CA190" i="57"/>
  <c r="CB190" i="57"/>
  <c r="CC190" i="57"/>
  <c r="CD190" i="57"/>
  <c r="CE190" i="57"/>
  <c r="CF190" i="57"/>
  <c r="CG190" i="57"/>
  <c r="CH190" i="57"/>
  <c r="CI190" i="57"/>
  <c r="CJ190" i="57"/>
  <c r="S191" i="57"/>
  <c r="T191" i="57"/>
  <c r="U191" i="57"/>
  <c r="V191" i="57"/>
  <c r="W191" i="57"/>
  <c r="X191" i="57"/>
  <c r="Y191" i="57"/>
  <c r="Z191" i="57"/>
  <c r="AA191" i="57"/>
  <c r="AB191" i="57"/>
  <c r="AC191" i="57"/>
  <c r="AD191" i="57"/>
  <c r="AE191" i="57"/>
  <c r="AF191" i="57"/>
  <c r="AG191" i="57"/>
  <c r="AH191" i="57"/>
  <c r="AI191" i="57"/>
  <c r="AJ191" i="57"/>
  <c r="AK191" i="57"/>
  <c r="AL191" i="57"/>
  <c r="AM191" i="57"/>
  <c r="AN191" i="57"/>
  <c r="AO191" i="57"/>
  <c r="AP191" i="57"/>
  <c r="AQ191" i="57"/>
  <c r="AR191" i="57"/>
  <c r="AS191" i="57"/>
  <c r="AT191" i="57"/>
  <c r="AU191" i="57"/>
  <c r="AV191" i="57"/>
  <c r="AW191" i="57"/>
  <c r="AX191" i="57"/>
  <c r="AY191" i="57"/>
  <c r="AZ191" i="57"/>
  <c r="BA191" i="57"/>
  <c r="BB191" i="57"/>
  <c r="BC191" i="57"/>
  <c r="BD191" i="57"/>
  <c r="BE191" i="57"/>
  <c r="BF191" i="57"/>
  <c r="BG191" i="57"/>
  <c r="BH191" i="57"/>
  <c r="BI191" i="57"/>
  <c r="BJ191" i="57"/>
  <c r="BK191" i="57"/>
  <c r="BL191" i="57"/>
  <c r="BM191" i="57"/>
  <c r="BN191" i="57"/>
  <c r="BO191" i="57"/>
  <c r="BP191" i="57"/>
  <c r="BQ191" i="57"/>
  <c r="BR191" i="57"/>
  <c r="BS191" i="57"/>
  <c r="BT191" i="57"/>
  <c r="BU191" i="57"/>
  <c r="BV191" i="57"/>
  <c r="BW191" i="57"/>
  <c r="BX191" i="57"/>
  <c r="BY191" i="57"/>
  <c r="BZ191" i="57"/>
  <c r="CA191" i="57"/>
  <c r="CB191" i="57"/>
  <c r="CC191" i="57"/>
  <c r="CD191" i="57"/>
  <c r="CE191" i="57"/>
  <c r="CF191" i="57"/>
  <c r="CG191" i="57"/>
  <c r="CH191" i="57"/>
  <c r="CI191" i="57"/>
  <c r="CJ191" i="57"/>
  <c r="S192" i="57"/>
  <c r="T192" i="57"/>
  <c r="U192" i="57"/>
  <c r="V192" i="57"/>
  <c r="W192" i="57"/>
  <c r="X192" i="57"/>
  <c r="Y192" i="57"/>
  <c r="Z192" i="57"/>
  <c r="AA192" i="57"/>
  <c r="AB192" i="57"/>
  <c r="AC192" i="57"/>
  <c r="AD192" i="57"/>
  <c r="AE192" i="57"/>
  <c r="AF192" i="57"/>
  <c r="AG192" i="57"/>
  <c r="AH192" i="57"/>
  <c r="AI192" i="57"/>
  <c r="AJ192" i="57"/>
  <c r="AK192" i="57"/>
  <c r="AL192" i="57"/>
  <c r="AM192" i="57"/>
  <c r="AN192" i="57"/>
  <c r="AO192" i="57"/>
  <c r="AP192" i="57"/>
  <c r="AQ192" i="57"/>
  <c r="AR192" i="57"/>
  <c r="AS192" i="57"/>
  <c r="AT192" i="57"/>
  <c r="AU192" i="57"/>
  <c r="AV192" i="57"/>
  <c r="AW192" i="57"/>
  <c r="AX192" i="57"/>
  <c r="AY192" i="57"/>
  <c r="AZ192" i="57"/>
  <c r="BA192" i="57"/>
  <c r="BB192" i="57"/>
  <c r="BC192" i="57"/>
  <c r="BD192" i="57"/>
  <c r="BE192" i="57"/>
  <c r="BF192" i="57"/>
  <c r="BG192" i="57"/>
  <c r="BH192" i="57"/>
  <c r="BI192" i="57"/>
  <c r="BJ192" i="57"/>
  <c r="BK192" i="57"/>
  <c r="BL192" i="57"/>
  <c r="BM192" i="57"/>
  <c r="BN192" i="57"/>
  <c r="BO192" i="57"/>
  <c r="BP192" i="57"/>
  <c r="BQ192" i="57"/>
  <c r="BR192" i="57"/>
  <c r="BS192" i="57"/>
  <c r="BT192" i="57"/>
  <c r="BU192" i="57"/>
  <c r="BV192" i="57"/>
  <c r="BW192" i="57"/>
  <c r="BX192" i="57"/>
  <c r="BY192" i="57"/>
  <c r="BZ192" i="57"/>
  <c r="CA192" i="57"/>
  <c r="CB192" i="57"/>
  <c r="CC192" i="57"/>
  <c r="CD192" i="57"/>
  <c r="CE192" i="57"/>
  <c r="CF192" i="57"/>
  <c r="CG192" i="57"/>
  <c r="CH192" i="57"/>
  <c r="CI192" i="57"/>
  <c r="CJ192" i="57"/>
  <c r="S193" i="57"/>
  <c r="T193" i="57"/>
  <c r="U193" i="57"/>
  <c r="V193" i="57"/>
  <c r="W193" i="57"/>
  <c r="X193" i="57"/>
  <c r="Y193" i="57"/>
  <c r="Z193" i="57"/>
  <c r="AA193" i="57"/>
  <c r="AB193" i="57"/>
  <c r="AC193" i="57"/>
  <c r="AD193" i="57"/>
  <c r="AE193" i="57"/>
  <c r="AF193" i="57"/>
  <c r="AG193" i="57"/>
  <c r="AH193" i="57"/>
  <c r="AI193" i="57"/>
  <c r="AJ193" i="57"/>
  <c r="AK193" i="57"/>
  <c r="AL193" i="57"/>
  <c r="AM193" i="57"/>
  <c r="AN193" i="57"/>
  <c r="AO193" i="57"/>
  <c r="AP193" i="57"/>
  <c r="AQ193" i="57"/>
  <c r="AR193" i="57"/>
  <c r="AS193" i="57"/>
  <c r="AT193" i="57"/>
  <c r="AU193" i="57"/>
  <c r="AV193" i="57"/>
  <c r="AW193" i="57"/>
  <c r="AX193" i="57"/>
  <c r="AY193" i="57"/>
  <c r="AZ193" i="57"/>
  <c r="BA193" i="57"/>
  <c r="BB193" i="57"/>
  <c r="BC193" i="57"/>
  <c r="BD193" i="57"/>
  <c r="BE193" i="57"/>
  <c r="BF193" i="57"/>
  <c r="BG193" i="57"/>
  <c r="BH193" i="57"/>
  <c r="BI193" i="57"/>
  <c r="BJ193" i="57"/>
  <c r="BK193" i="57"/>
  <c r="BL193" i="57"/>
  <c r="BM193" i="57"/>
  <c r="BN193" i="57"/>
  <c r="BO193" i="57"/>
  <c r="BP193" i="57"/>
  <c r="BQ193" i="57"/>
  <c r="BR193" i="57"/>
  <c r="BS193" i="57"/>
  <c r="BT193" i="57"/>
  <c r="BU193" i="57"/>
  <c r="BV193" i="57"/>
  <c r="BW193" i="57"/>
  <c r="BX193" i="57"/>
  <c r="BY193" i="57"/>
  <c r="BZ193" i="57"/>
  <c r="CA193" i="57"/>
  <c r="CB193" i="57"/>
  <c r="CC193" i="57"/>
  <c r="CD193" i="57"/>
  <c r="CE193" i="57"/>
  <c r="CF193" i="57"/>
  <c r="CG193" i="57"/>
  <c r="CH193" i="57"/>
  <c r="CI193" i="57"/>
  <c r="CJ193" i="57"/>
  <c r="S194" i="57"/>
  <c r="T194" i="57"/>
  <c r="U194" i="57"/>
  <c r="V194" i="57"/>
  <c r="W194" i="57"/>
  <c r="X194" i="57"/>
  <c r="Y194" i="57"/>
  <c r="Z194" i="57"/>
  <c r="AA194" i="57"/>
  <c r="AB194" i="57"/>
  <c r="AC194" i="57"/>
  <c r="AD194" i="57"/>
  <c r="AE194" i="57"/>
  <c r="AF194" i="57"/>
  <c r="AG194" i="57"/>
  <c r="AH194" i="57"/>
  <c r="AI194" i="57"/>
  <c r="AJ194" i="57"/>
  <c r="AK194" i="57"/>
  <c r="AL194" i="57"/>
  <c r="AM194" i="57"/>
  <c r="AN194" i="57"/>
  <c r="AO194" i="57"/>
  <c r="AP194" i="57"/>
  <c r="AQ194" i="57"/>
  <c r="AR194" i="57"/>
  <c r="AS194" i="57"/>
  <c r="AT194" i="57"/>
  <c r="AU194" i="57"/>
  <c r="AV194" i="57"/>
  <c r="AW194" i="57"/>
  <c r="AX194" i="57"/>
  <c r="AY194" i="57"/>
  <c r="AZ194" i="57"/>
  <c r="BA194" i="57"/>
  <c r="BB194" i="57"/>
  <c r="BC194" i="57"/>
  <c r="BD194" i="57"/>
  <c r="BE194" i="57"/>
  <c r="BF194" i="57"/>
  <c r="BG194" i="57"/>
  <c r="BH194" i="57"/>
  <c r="BI194" i="57"/>
  <c r="BJ194" i="57"/>
  <c r="BK194" i="57"/>
  <c r="BL194" i="57"/>
  <c r="BM194" i="57"/>
  <c r="BN194" i="57"/>
  <c r="BO194" i="57"/>
  <c r="BP194" i="57"/>
  <c r="BQ194" i="57"/>
  <c r="BR194" i="57"/>
  <c r="BS194" i="57"/>
  <c r="BT194" i="57"/>
  <c r="BU194" i="57"/>
  <c r="BV194" i="57"/>
  <c r="BW194" i="57"/>
  <c r="BX194" i="57"/>
  <c r="BY194" i="57"/>
  <c r="BZ194" i="57"/>
  <c r="CA194" i="57"/>
  <c r="CB194" i="57"/>
  <c r="CC194" i="57"/>
  <c r="CD194" i="57"/>
  <c r="CE194" i="57"/>
  <c r="CF194" i="57"/>
  <c r="CG194" i="57"/>
  <c r="CH194" i="57"/>
  <c r="CI194" i="57"/>
  <c r="CJ194" i="57"/>
  <c r="S195" i="57"/>
  <c r="T195" i="57"/>
  <c r="U195" i="57"/>
  <c r="V195" i="57"/>
  <c r="W195" i="57"/>
  <c r="X195" i="57"/>
  <c r="Y195" i="57"/>
  <c r="Z195" i="57"/>
  <c r="AA195" i="57"/>
  <c r="AB195" i="57"/>
  <c r="AC195" i="57"/>
  <c r="AD195" i="57"/>
  <c r="AE195" i="57"/>
  <c r="AF195" i="57"/>
  <c r="AG195" i="57"/>
  <c r="AH195" i="57"/>
  <c r="AI195" i="57"/>
  <c r="AJ195" i="57"/>
  <c r="AK195" i="57"/>
  <c r="AL195" i="57"/>
  <c r="AM195" i="57"/>
  <c r="AN195" i="57"/>
  <c r="AO195" i="57"/>
  <c r="AP195" i="57"/>
  <c r="AQ195" i="57"/>
  <c r="AR195" i="57"/>
  <c r="AS195" i="57"/>
  <c r="AT195" i="57"/>
  <c r="AU195" i="57"/>
  <c r="AV195" i="57"/>
  <c r="AW195" i="57"/>
  <c r="AX195" i="57"/>
  <c r="AY195" i="57"/>
  <c r="AZ195" i="57"/>
  <c r="BA195" i="57"/>
  <c r="BB195" i="57"/>
  <c r="BC195" i="57"/>
  <c r="BD195" i="57"/>
  <c r="BE195" i="57"/>
  <c r="BF195" i="57"/>
  <c r="BG195" i="57"/>
  <c r="BH195" i="57"/>
  <c r="BI195" i="57"/>
  <c r="BJ195" i="57"/>
  <c r="BK195" i="57"/>
  <c r="BL195" i="57"/>
  <c r="BM195" i="57"/>
  <c r="BN195" i="57"/>
  <c r="BO195" i="57"/>
  <c r="BP195" i="57"/>
  <c r="BQ195" i="57"/>
  <c r="BR195" i="57"/>
  <c r="BS195" i="57"/>
  <c r="BT195" i="57"/>
  <c r="BU195" i="57"/>
  <c r="BV195" i="57"/>
  <c r="BW195" i="57"/>
  <c r="BX195" i="57"/>
  <c r="BY195" i="57"/>
  <c r="BZ195" i="57"/>
  <c r="CA195" i="57"/>
  <c r="CB195" i="57"/>
  <c r="CC195" i="57"/>
  <c r="CD195" i="57"/>
  <c r="CE195" i="57"/>
  <c r="CF195" i="57"/>
  <c r="CG195" i="57"/>
  <c r="CH195" i="57"/>
  <c r="CI195" i="57"/>
  <c r="CJ195" i="57"/>
  <c r="S196" i="57"/>
  <c r="T196" i="57"/>
  <c r="U196" i="57"/>
  <c r="V196" i="57"/>
  <c r="W196" i="57"/>
  <c r="X196" i="57"/>
  <c r="Y196" i="57"/>
  <c r="Z196" i="57"/>
  <c r="AA196" i="57"/>
  <c r="AB196" i="57"/>
  <c r="AC196" i="57"/>
  <c r="AD196" i="57"/>
  <c r="AE196" i="57"/>
  <c r="AF196" i="57"/>
  <c r="AG196" i="57"/>
  <c r="AH196" i="57"/>
  <c r="AI196" i="57"/>
  <c r="AJ196" i="57"/>
  <c r="AK196" i="57"/>
  <c r="AL196" i="57"/>
  <c r="AM196" i="57"/>
  <c r="AN196" i="57"/>
  <c r="AO196" i="57"/>
  <c r="AP196" i="57"/>
  <c r="AQ196" i="57"/>
  <c r="AR196" i="57"/>
  <c r="AS196" i="57"/>
  <c r="AT196" i="57"/>
  <c r="AU196" i="57"/>
  <c r="AV196" i="57"/>
  <c r="AW196" i="57"/>
  <c r="AX196" i="57"/>
  <c r="AY196" i="57"/>
  <c r="AZ196" i="57"/>
  <c r="BA196" i="57"/>
  <c r="BB196" i="57"/>
  <c r="BC196" i="57"/>
  <c r="BD196" i="57"/>
  <c r="BE196" i="57"/>
  <c r="BF196" i="57"/>
  <c r="BG196" i="57"/>
  <c r="BH196" i="57"/>
  <c r="BI196" i="57"/>
  <c r="BJ196" i="57"/>
  <c r="BK196" i="57"/>
  <c r="BL196" i="57"/>
  <c r="BM196" i="57"/>
  <c r="BN196" i="57"/>
  <c r="BO196" i="57"/>
  <c r="BP196" i="57"/>
  <c r="BQ196" i="57"/>
  <c r="BR196" i="57"/>
  <c r="BS196" i="57"/>
  <c r="BT196" i="57"/>
  <c r="BU196" i="57"/>
  <c r="BV196" i="57"/>
  <c r="BW196" i="57"/>
  <c r="BX196" i="57"/>
  <c r="BY196" i="57"/>
  <c r="BZ196" i="57"/>
  <c r="CA196" i="57"/>
  <c r="CB196" i="57"/>
  <c r="CC196" i="57"/>
  <c r="CD196" i="57"/>
  <c r="CE196" i="57"/>
  <c r="CF196" i="57"/>
  <c r="CG196" i="57"/>
  <c r="CH196" i="57"/>
  <c r="CI196" i="57"/>
  <c r="CJ196" i="57"/>
  <c r="S197" i="57"/>
  <c r="T197" i="57"/>
  <c r="U197" i="57"/>
  <c r="V197" i="57"/>
  <c r="W197" i="57"/>
  <c r="X197" i="57"/>
  <c r="Y197" i="57"/>
  <c r="Z197" i="57"/>
  <c r="AA197" i="57"/>
  <c r="AB197" i="57"/>
  <c r="AC197" i="57"/>
  <c r="AD197" i="57"/>
  <c r="AE197" i="57"/>
  <c r="AF197" i="57"/>
  <c r="AG197" i="57"/>
  <c r="AH197" i="57"/>
  <c r="AI197" i="57"/>
  <c r="AJ197" i="57"/>
  <c r="AK197" i="57"/>
  <c r="AL197" i="57"/>
  <c r="AM197" i="57"/>
  <c r="AN197" i="57"/>
  <c r="AO197" i="57"/>
  <c r="AP197" i="57"/>
  <c r="AQ197" i="57"/>
  <c r="AR197" i="57"/>
  <c r="AS197" i="57"/>
  <c r="AT197" i="57"/>
  <c r="AU197" i="57"/>
  <c r="AV197" i="57"/>
  <c r="AW197" i="57"/>
  <c r="AX197" i="57"/>
  <c r="AY197" i="57"/>
  <c r="AZ197" i="57"/>
  <c r="BA197" i="57"/>
  <c r="BB197" i="57"/>
  <c r="BC197" i="57"/>
  <c r="BD197" i="57"/>
  <c r="BE197" i="57"/>
  <c r="BF197" i="57"/>
  <c r="BG197" i="57"/>
  <c r="BH197" i="57"/>
  <c r="BI197" i="57"/>
  <c r="BJ197" i="57"/>
  <c r="BK197" i="57"/>
  <c r="BL197" i="57"/>
  <c r="BM197" i="57"/>
  <c r="BN197" i="57"/>
  <c r="BO197" i="57"/>
  <c r="BP197" i="57"/>
  <c r="BQ197" i="57"/>
  <c r="BR197" i="57"/>
  <c r="BS197" i="57"/>
  <c r="BT197" i="57"/>
  <c r="BU197" i="57"/>
  <c r="BV197" i="57"/>
  <c r="BW197" i="57"/>
  <c r="BX197" i="57"/>
  <c r="BY197" i="57"/>
  <c r="BZ197" i="57"/>
  <c r="CA197" i="57"/>
  <c r="CB197" i="57"/>
  <c r="CC197" i="57"/>
  <c r="CD197" i="57"/>
  <c r="CE197" i="57"/>
  <c r="CF197" i="57"/>
  <c r="CG197" i="57"/>
  <c r="CH197" i="57"/>
  <c r="CI197" i="57"/>
  <c r="CJ197" i="57"/>
  <c r="S198" i="57"/>
  <c r="T198" i="57"/>
  <c r="U198" i="57"/>
  <c r="V198" i="57"/>
  <c r="W198" i="57"/>
  <c r="X198" i="57"/>
  <c r="Y198" i="57"/>
  <c r="Z198" i="57"/>
  <c r="AA198" i="57"/>
  <c r="AB198" i="57"/>
  <c r="AC198" i="57"/>
  <c r="AD198" i="57"/>
  <c r="AE198" i="57"/>
  <c r="AF198" i="57"/>
  <c r="AG198" i="57"/>
  <c r="AH198" i="57"/>
  <c r="AI198" i="57"/>
  <c r="AJ198" i="57"/>
  <c r="AK198" i="57"/>
  <c r="AL198" i="57"/>
  <c r="AM198" i="57"/>
  <c r="AN198" i="57"/>
  <c r="AO198" i="57"/>
  <c r="AP198" i="57"/>
  <c r="AQ198" i="57"/>
  <c r="AR198" i="57"/>
  <c r="AS198" i="57"/>
  <c r="AT198" i="57"/>
  <c r="AU198" i="57"/>
  <c r="AV198" i="57"/>
  <c r="AW198" i="57"/>
  <c r="AX198" i="57"/>
  <c r="AY198" i="57"/>
  <c r="AZ198" i="57"/>
  <c r="BA198" i="57"/>
  <c r="BB198" i="57"/>
  <c r="BC198" i="57"/>
  <c r="BD198" i="57"/>
  <c r="BE198" i="57"/>
  <c r="BF198" i="57"/>
  <c r="BG198" i="57"/>
  <c r="BH198" i="57"/>
  <c r="BI198" i="57"/>
  <c r="BJ198" i="57"/>
  <c r="BK198" i="57"/>
  <c r="BL198" i="57"/>
  <c r="BM198" i="57"/>
  <c r="BN198" i="57"/>
  <c r="BO198" i="57"/>
  <c r="BP198" i="57"/>
  <c r="BQ198" i="57"/>
  <c r="BR198" i="57"/>
  <c r="BS198" i="57"/>
  <c r="BT198" i="57"/>
  <c r="BU198" i="57"/>
  <c r="BV198" i="57"/>
  <c r="BW198" i="57"/>
  <c r="BX198" i="57"/>
  <c r="BY198" i="57"/>
  <c r="BZ198" i="57"/>
  <c r="CA198" i="57"/>
  <c r="CB198" i="57"/>
  <c r="CC198" i="57"/>
  <c r="CD198" i="57"/>
  <c r="CE198" i="57"/>
  <c r="CF198" i="57"/>
  <c r="CG198" i="57"/>
  <c r="CH198" i="57"/>
  <c r="CI198" i="57"/>
  <c r="CJ198" i="57"/>
  <c r="S199" i="57"/>
  <c r="T199" i="57"/>
  <c r="U199" i="57"/>
  <c r="V199" i="57"/>
  <c r="W199" i="57"/>
  <c r="X199" i="57"/>
  <c r="Y199" i="57"/>
  <c r="Z199" i="57"/>
  <c r="AA199" i="57"/>
  <c r="AB199" i="57"/>
  <c r="AC199" i="57"/>
  <c r="AD199" i="57"/>
  <c r="AE199" i="57"/>
  <c r="AF199" i="57"/>
  <c r="AG199" i="57"/>
  <c r="AH199" i="57"/>
  <c r="AI199" i="57"/>
  <c r="AJ199" i="57"/>
  <c r="AK199" i="57"/>
  <c r="AL199" i="57"/>
  <c r="AM199" i="57"/>
  <c r="AN199" i="57"/>
  <c r="AO199" i="57"/>
  <c r="AP199" i="57"/>
  <c r="AQ199" i="57"/>
  <c r="AR199" i="57"/>
  <c r="AS199" i="57"/>
  <c r="AT199" i="57"/>
  <c r="AU199" i="57"/>
  <c r="AV199" i="57"/>
  <c r="AW199" i="57"/>
  <c r="AX199" i="57"/>
  <c r="AY199" i="57"/>
  <c r="AZ199" i="57"/>
  <c r="BA199" i="57"/>
  <c r="BB199" i="57"/>
  <c r="BC199" i="57"/>
  <c r="BD199" i="57"/>
  <c r="BE199" i="57"/>
  <c r="BF199" i="57"/>
  <c r="BG199" i="57"/>
  <c r="BH199" i="57"/>
  <c r="BI199" i="57"/>
  <c r="BJ199" i="57"/>
  <c r="BK199" i="57"/>
  <c r="BL199" i="57"/>
  <c r="BM199" i="57"/>
  <c r="BN199" i="57"/>
  <c r="BO199" i="57"/>
  <c r="BP199" i="57"/>
  <c r="BQ199" i="57"/>
  <c r="BR199" i="57"/>
  <c r="BS199" i="57"/>
  <c r="BT199" i="57"/>
  <c r="BU199" i="57"/>
  <c r="BV199" i="57"/>
  <c r="BW199" i="57"/>
  <c r="BX199" i="57"/>
  <c r="BY199" i="57"/>
  <c r="BZ199" i="57"/>
  <c r="CA199" i="57"/>
  <c r="CB199" i="57"/>
  <c r="CC199" i="57"/>
  <c r="CD199" i="57"/>
  <c r="CE199" i="57"/>
  <c r="CF199" i="57"/>
  <c r="CG199" i="57"/>
  <c r="CH199" i="57"/>
  <c r="CI199" i="57"/>
  <c r="CJ199" i="57"/>
  <c r="S200" i="57"/>
  <c r="T200" i="57"/>
  <c r="U200" i="57"/>
  <c r="V200" i="57"/>
  <c r="W200" i="57"/>
  <c r="X200" i="57"/>
  <c r="Y200" i="57"/>
  <c r="Z200" i="57"/>
  <c r="AA200" i="57"/>
  <c r="AB200" i="57"/>
  <c r="AC200" i="57"/>
  <c r="AD200" i="57"/>
  <c r="AE200" i="57"/>
  <c r="AF200" i="57"/>
  <c r="AG200" i="57"/>
  <c r="AH200" i="57"/>
  <c r="AI200" i="57"/>
  <c r="AJ200" i="57"/>
  <c r="AK200" i="57"/>
  <c r="AL200" i="57"/>
  <c r="AM200" i="57"/>
  <c r="AN200" i="57"/>
  <c r="AO200" i="57"/>
  <c r="AP200" i="57"/>
  <c r="AQ200" i="57"/>
  <c r="AR200" i="57"/>
  <c r="AS200" i="57"/>
  <c r="AT200" i="57"/>
  <c r="AU200" i="57"/>
  <c r="AV200" i="57"/>
  <c r="AW200" i="57"/>
  <c r="AX200" i="57"/>
  <c r="AY200" i="57"/>
  <c r="AZ200" i="57"/>
  <c r="BA200" i="57"/>
  <c r="BB200" i="57"/>
  <c r="BC200" i="57"/>
  <c r="BD200" i="57"/>
  <c r="BE200" i="57"/>
  <c r="BF200" i="57"/>
  <c r="BG200" i="57"/>
  <c r="BH200" i="57"/>
  <c r="BI200" i="57"/>
  <c r="BJ200" i="57"/>
  <c r="BK200" i="57"/>
  <c r="BL200" i="57"/>
  <c r="BM200" i="57"/>
  <c r="BN200" i="57"/>
  <c r="BO200" i="57"/>
  <c r="BP200" i="57"/>
  <c r="BQ200" i="57"/>
  <c r="BR200" i="57"/>
  <c r="BS200" i="57"/>
  <c r="BT200" i="57"/>
  <c r="BU200" i="57"/>
  <c r="BV200" i="57"/>
  <c r="BW200" i="57"/>
  <c r="BX200" i="57"/>
  <c r="BY200" i="57"/>
  <c r="BZ200" i="57"/>
  <c r="CA200" i="57"/>
  <c r="CB200" i="57"/>
  <c r="CC200" i="57"/>
  <c r="CD200" i="57"/>
  <c r="CE200" i="57"/>
  <c r="CF200" i="57"/>
  <c r="CG200" i="57"/>
  <c r="CH200" i="57"/>
  <c r="CI200" i="57"/>
  <c r="CJ200" i="57"/>
  <c r="S201" i="57"/>
  <c r="T201" i="57"/>
  <c r="U201" i="57"/>
  <c r="V201" i="57"/>
  <c r="W201" i="57"/>
  <c r="X201" i="57"/>
  <c r="Y201" i="57"/>
  <c r="Z201" i="57"/>
  <c r="AA201" i="57"/>
  <c r="AB201" i="57"/>
  <c r="AC201" i="57"/>
  <c r="AD201" i="57"/>
  <c r="AE201" i="57"/>
  <c r="AF201" i="57"/>
  <c r="AG201" i="57"/>
  <c r="AH201" i="57"/>
  <c r="AI201" i="57"/>
  <c r="AJ201" i="57"/>
  <c r="AK201" i="57"/>
  <c r="AL201" i="57"/>
  <c r="AM201" i="57"/>
  <c r="AN201" i="57"/>
  <c r="AO201" i="57"/>
  <c r="AP201" i="57"/>
  <c r="AQ201" i="57"/>
  <c r="AR201" i="57"/>
  <c r="AS201" i="57"/>
  <c r="AT201" i="57"/>
  <c r="AU201" i="57"/>
  <c r="AV201" i="57"/>
  <c r="AW201" i="57"/>
  <c r="AX201" i="57"/>
  <c r="AY201" i="57"/>
  <c r="AZ201" i="57"/>
  <c r="BA201" i="57"/>
  <c r="BB201" i="57"/>
  <c r="BC201" i="57"/>
  <c r="BD201" i="57"/>
  <c r="BE201" i="57"/>
  <c r="BF201" i="57"/>
  <c r="BG201" i="57"/>
  <c r="BH201" i="57"/>
  <c r="BI201" i="57"/>
  <c r="BJ201" i="57"/>
  <c r="BK201" i="57"/>
  <c r="BL201" i="57"/>
  <c r="BM201" i="57"/>
  <c r="BN201" i="57"/>
  <c r="BO201" i="57"/>
  <c r="BP201" i="57"/>
  <c r="BQ201" i="57"/>
  <c r="BR201" i="57"/>
  <c r="BS201" i="57"/>
  <c r="BT201" i="57"/>
  <c r="BU201" i="57"/>
  <c r="BV201" i="57"/>
  <c r="BW201" i="57"/>
  <c r="BX201" i="57"/>
  <c r="BY201" i="57"/>
  <c r="BZ201" i="57"/>
  <c r="CA201" i="57"/>
  <c r="CB201" i="57"/>
  <c r="CC201" i="57"/>
  <c r="CD201" i="57"/>
  <c r="CE201" i="57"/>
  <c r="CF201" i="57"/>
  <c r="CG201" i="57"/>
  <c r="CH201" i="57"/>
  <c r="CI201" i="57"/>
  <c r="CJ201" i="57"/>
  <c r="S202" i="57"/>
  <c r="T202" i="57"/>
  <c r="U202" i="57"/>
  <c r="V202" i="57"/>
  <c r="W202" i="57"/>
  <c r="X202" i="57"/>
  <c r="Y202" i="57"/>
  <c r="Z202" i="57"/>
  <c r="AA202" i="57"/>
  <c r="AB202" i="57"/>
  <c r="AC202" i="57"/>
  <c r="AD202" i="57"/>
  <c r="AE202" i="57"/>
  <c r="AF202" i="57"/>
  <c r="AG202" i="57"/>
  <c r="AH202" i="57"/>
  <c r="AI202" i="57"/>
  <c r="AJ202" i="57"/>
  <c r="AK202" i="57"/>
  <c r="AL202" i="57"/>
  <c r="AM202" i="57"/>
  <c r="AN202" i="57"/>
  <c r="AO202" i="57"/>
  <c r="AP202" i="57"/>
  <c r="AQ202" i="57"/>
  <c r="AR202" i="57"/>
  <c r="AS202" i="57"/>
  <c r="AT202" i="57"/>
  <c r="AU202" i="57"/>
  <c r="AV202" i="57"/>
  <c r="AW202" i="57"/>
  <c r="AX202" i="57"/>
  <c r="AY202" i="57"/>
  <c r="AZ202" i="57"/>
  <c r="BA202" i="57"/>
  <c r="BB202" i="57"/>
  <c r="BC202" i="57"/>
  <c r="BD202" i="57"/>
  <c r="BE202" i="57"/>
  <c r="BF202" i="57"/>
  <c r="BG202" i="57"/>
  <c r="BH202" i="57"/>
  <c r="BI202" i="57"/>
  <c r="BJ202" i="57"/>
  <c r="BK202" i="57"/>
  <c r="BL202" i="57"/>
  <c r="BM202" i="57"/>
  <c r="BN202" i="57"/>
  <c r="BO202" i="57"/>
  <c r="BP202" i="57"/>
  <c r="BQ202" i="57"/>
  <c r="BR202" i="57"/>
  <c r="BS202" i="57"/>
  <c r="BT202" i="57"/>
  <c r="BU202" i="57"/>
  <c r="BV202" i="57"/>
  <c r="BW202" i="57"/>
  <c r="BX202" i="57"/>
  <c r="BY202" i="57"/>
  <c r="BZ202" i="57"/>
  <c r="CA202" i="57"/>
  <c r="CB202" i="57"/>
  <c r="CC202" i="57"/>
  <c r="CD202" i="57"/>
  <c r="CE202" i="57"/>
  <c r="CF202" i="57"/>
  <c r="CG202" i="57"/>
  <c r="CH202" i="57"/>
  <c r="CI202" i="57"/>
  <c r="CJ202" i="57"/>
  <c r="S203" i="57"/>
  <c r="T203" i="57"/>
  <c r="U203" i="57"/>
  <c r="V203" i="57"/>
  <c r="W203" i="57"/>
  <c r="X203" i="57"/>
  <c r="Y203" i="57"/>
  <c r="Z203" i="57"/>
  <c r="AA203" i="57"/>
  <c r="AB203" i="57"/>
  <c r="AC203" i="57"/>
  <c r="AD203" i="57"/>
  <c r="AE203" i="57"/>
  <c r="AF203" i="57"/>
  <c r="AG203" i="57"/>
  <c r="AH203" i="57"/>
  <c r="AI203" i="57"/>
  <c r="AJ203" i="57"/>
  <c r="AK203" i="57"/>
  <c r="AL203" i="57"/>
  <c r="AM203" i="57"/>
  <c r="AN203" i="57"/>
  <c r="AO203" i="57"/>
  <c r="AP203" i="57"/>
  <c r="AQ203" i="57"/>
  <c r="AR203" i="57"/>
  <c r="AS203" i="57"/>
  <c r="AT203" i="57"/>
  <c r="AU203" i="57"/>
  <c r="AV203" i="57"/>
  <c r="AW203" i="57"/>
  <c r="AX203" i="57"/>
  <c r="AY203" i="57"/>
  <c r="AZ203" i="57"/>
  <c r="BA203" i="57"/>
  <c r="BB203" i="57"/>
  <c r="BC203" i="57"/>
  <c r="BD203" i="57"/>
  <c r="BE203" i="57"/>
  <c r="BF203" i="57"/>
  <c r="BG203" i="57"/>
  <c r="BH203" i="57"/>
  <c r="BI203" i="57"/>
  <c r="BJ203" i="57"/>
  <c r="BK203" i="57"/>
  <c r="BL203" i="57"/>
  <c r="BM203" i="57"/>
  <c r="BN203" i="57"/>
  <c r="BO203" i="57"/>
  <c r="BP203" i="57"/>
  <c r="BQ203" i="57"/>
  <c r="BR203" i="57"/>
  <c r="BS203" i="57"/>
  <c r="BT203" i="57"/>
  <c r="BU203" i="57"/>
  <c r="BV203" i="57"/>
  <c r="BW203" i="57"/>
  <c r="BX203" i="57"/>
  <c r="BY203" i="57"/>
  <c r="BZ203" i="57"/>
  <c r="CA203" i="57"/>
  <c r="CB203" i="57"/>
  <c r="CC203" i="57"/>
  <c r="CD203" i="57"/>
  <c r="CE203" i="57"/>
  <c r="CF203" i="57"/>
  <c r="CG203" i="57"/>
  <c r="CH203" i="57"/>
  <c r="CI203" i="57"/>
  <c r="CJ203" i="57"/>
  <c r="S204" i="57"/>
  <c r="T204" i="57"/>
  <c r="U204" i="57"/>
  <c r="V204" i="57"/>
  <c r="W204" i="57"/>
  <c r="X204" i="57"/>
  <c r="Y204" i="57"/>
  <c r="Z204" i="57"/>
  <c r="AA204" i="57"/>
  <c r="AB204" i="57"/>
  <c r="AC204" i="57"/>
  <c r="AD204" i="57"/>
  <c r="AE204" i="57"/>
  <c r="AF204" i="57"/>
  <c r="AG204" i="57"/>
  <c r="AH204" i="57"/>
  <c r="AI204" i="57"/>
  <c r="AJ204" i="57"/>
  <c r="AK204" i="57"/>
  <c r="AL204" i="57"/>
  <c r="AM204" i="57"/>
  <c r="AN204" i="57"/>
  <c r="AO204" i="57"/>
  <c r="AP204" i="57"/>
  <c r="AQ204" i="57"/>
  <c r="AR204" i="57"/>
  <c r="AS204" i="57"/>
  <c r="AT204" i="57"/>
  <c r="AU204" i="57"/>
  <c r="AV204" i="57"/>
  <c r="AW204" i="57"/>
  <c r="AX204" i="57"/>
  <c r="AY204" i="57"/>
  <c r="AZ204" i="57"/>
  <c r="BA204" i="57"/>
  <c r="BB204" i="57"/>
  <c r="BC204" i="57"/>
  <c r="BD204" i="57"/>
  <c r="BE204" i="57"/>
  <c r="BF204" i="57"/>
  <c r="BG204" i="57"/>
  <c r="BH204" i="57"/>
  <c r="BI204" i="57"/>
  <c r="BJ204" i="57"/>
  <c r="BK204" i="57"/>
  <c r="BL204" i="57"/>
  <c r="BM204" i="57"/>
  <c r="BN204" i="57"/>
  <c r="BO204" i="57"/>
  <c r="BP204" i="57"/>
  <c r="BQ204" i="57"/>
  <c r="BR204" i="57"/>
  <c r="BS204" i="57"/>
  <c r="BT204" i="57"/>
  <c r="BU204" i="57"/>
  <c r="BV204" i="57"/>
  <c r="BW204" i="57"/>
  <c r="BX204" i="57"/>
  <c r="BY204" i="57"/>
  <c r="BZ204" i="57"/>
  <c r="CA204" i="57"/>
  <c r="CB204" i="57"/>
  <c r="CC204" i="57"/>
  <c r="CD204" i="57"/>
  <c r="CE204" i="57"/>
  <c r="CF204" i="57"/>
  <c r="CG204" i="57"/>
  <c r="CH204" i="57"/>
  <c r="CI204" i="57"/>
  <c r="CJ204" i="57"/>
  <c r="S205" i="57"/>
  <c r="T205" i="57"/>
  <c r="U205" i="57"/>
  <c r="V205" i="57"/>
  <c r="W205" i="57"/>
  <c r="X205" i="57"/>
  <c r="Y205" i="57"/>
  <c r="Z205" i="57"/>
  <c r="AA205" i="57"/>
  <c r="AB205" i="57"/>
  <c r="AC205" i="57"/>
  <c r="AD205" i="57"/>
  <c r="AE205" i="57"/>
  <c r="AF205" i="57"/>
  <c r="AG205" i="57"/>
  <c r="AH205" i="57"/>
  <c r="AI205" i="57"/>
  <c r="AJ205" i="57"/>
  <c r="AK205" i="57"/>
  <c r="AL205" i="57"/>
  <c r="AM205" i="57"/>
  <c r="AN205" i="57"/>
  <c r="AO205" i="57"/>
  <c r="AP205" i="57"/>
  <c r="AQ205" i="57"/>
  <c r="AR205" i="57"/>
  <c r="AS205" i="57"/>
  <c r="AT205" i="57"/>
  <c r="AU205" i="57"/>
  <c r="AV205" i="57"/>
  <c r="AW205" i="57"/>
  <c r="AX205" i="57"/>
  <c r="AY205" i="57"/>
  <c r="AZ205" i="57"/>
  <c r="BA205" i="57"/>
  <c r="BB205" i="57"/>
  <c r="BC205" i="57"/>
  <c r="BD205" i="57"/>
  <c r="BE205" i="57"/>
  <c r="BF205" i="57"/>
  <c r="BG205" i="57"/>
  <c r="BH205" i="57"/>
  <c r="BI205" i="57"/>
  <c r="BJ205" i="57"/>
  <c r="BK205" i="57"/>
  <c r="BL205" i="57"/>
  <c r="BM205" i="57"/>
  <c r="BN205" i="57"/>
  <c r="BO205" i="57"/>
  <c r="BP205" i="57"/>
  <c r="BQ205" i="57"/>
  <c r="BR205" i="57"/>
  <c r="BS205" i="57"/>
  <c r="BT205" i="57"/>
  <c r="BU205" i="57"/>
  <c r="BV205" i="57"/>
  <c r="BW205" i="57"/>
  <c r="BX205" i="57"/>
  <c r="BY205" i="57"/>
  <c r="BZ205" i="57"/>
  <c r="CA205" i="57"/>
  <c r="CB205" i="57"/>
  <c r="CC205" i="57"/>
  <c r="CD205" i="57"/>
  <c r="CE205" i="57"/>
  <c r="CF205" i="57"/>
  <c r="CG205" i="57"/>
  <c r="CH205" i="57"/>
  <c r="CI205" i="57"/>
  <c r="CJ205" i="57"/>
  <c r="S206" i="57"/>
  <c r="T206" i="57"/>
  <c r="U206" i="57"/>
  <c r="V206" i="57"/>
  <c r="W206" i="57"/>
  <c r="X206" i="57"/>
  <c r="Y206" i="57"/>
  <c r="Z206" i="57"/>
  <c r="AA206" i="57"/>
  <c r="AB206" i="57"/>
  <c r="AC206" i="57"/>
  <c r="AD206" i="57"/>
  <c r="AE206" i="57"/>
  <c r="AF206" i="57"/>
  <c r="AG206" i="57"/>
  <c r="AH206" i="57"/>
  <c r="AI206" i="57"/>
  <c r="AJ206" i="57"/>
  <c r="AK206" i="57"/>
  <c r="AL206" i="57"/>
  <c r="AM206" i="57"/>
  <c r="AN206" i="57"/>
  <c r="AO206" i="57"/>
  <c r="AP206" i="57"/>
  <c r="AQ206" i="57"/>
  <c r="AR206" i="57"/>
  <c r="AS206" i="57"/>
  <c r="AT206" i="57"/>
  <c r="AU206" i="57"/>
  <c r="AV206" i="57"/>
  <c r="AW206" i="57"/>
  <c r="AX206" i="57"/>
  <c r="AY206" i="57"/>
  <c r="AZ206" i="57"/>
  <c r="BA206" i="57"/>
  <c r="BB206" i="57"/>
  <c r="BC206" i="57"/>
  <c r="BD206" i="57"/>
  <c r="BE206" i="57"/>
  <c r="BF206" i="57"/>
  <c r="BG206" i="57"/>
  <c r="BH206" i="57"/>
  <c r="BI206" i="57"/>
  <c r="BJ206" i="57"/>
  <c r="BK206" i="57"/>
  <c r="BL206" i="57"/>
  <c r="BM206" i="57"/>
  <c r="BN206" i="57"/>
  <c r="BO206" i="57"/>
  <c r="BP206" i="57"/>
  <c r="BQ206" i="57"/>
  <c r="BR206" i="57"/>
  <c r="BS206" i="57"/>
  <c r="BT206" i="57"/>
  <c r="BU206" i="57"/>
  <c r="BV206" i="57"/>
  <c r="BW206" i="57"/>
  <c r="BX206" i="57"/>
  <c r="BY206" i="57"/>
  <c r="BZ206" i="57"/>
  <c r="CA206" i="57"/>
  <c r="CB206" i="57"/>
  <c r="CC206" i="57"/>
  <c r="CD206" i="57"/>
  <c r="CE206" i="57"/>
  <c r="CF206" i="57"/>
  <c r="CG206" i="57"/>
  <c r="CH206" i="57"/>
  <c r="CI206" i="57"/>
  <c r="CJ206" i="57"/>
  <c r="S207" i="57"/>
  <c r="T207" i="57"/>
  <c r="U207" i="57"/>
  <c r="V207" i="57"/>
  <c r="W207" i="57"/>
  <c r="X207" i="57"/>
  <c r="Y207" i="57"/>
  <c r="Z207" i="57"/>
  <c r="AA207" i="57"/>
  <c r="AB207" i="57"/>
  <c r="AC207" i="57"/>
  <c r="AD207" i="57"/>
  <c r="AE207" i="57"/>
  <c r="AF207" i="57"/>
  <c r="AG207" i="57"/>
  <c r="AH207" i="57"/>
  <c r="AI207" i="57"/>
  <c r="AJ207" i="57"/>
  <c r="AK207" i="57"/>
  <c r="AL207" i="57"/>
  <c r="AM207" i="57"/>
  <c r="AN207" i="57"/>
  <c r="AO207" i="57"/>
  <c r="AP207" i="57"/>
  <c r="AQ207" i="57"/>
  <c r="AR207" i="57"/>
  <c r="AS207" i="57"/>
  <c r="AT207" i="57"/>
  <c r="AU207" i="57"/>
  <c r="AV207" i="57"/>
  <c r="AW207" i="57"/>
  <c r="AX207" i="57"/>
  <c r="AY207" i="57"/>
  <c r="AZ207" i="57"/>
  <c r="BA207" i="57"/>
  <c r="BB207" i="57"/>
  <c r="BC207" i="57"/>
  <c r="BD207" i="57"/>
  <c r="BE207" i="57"/>
  <c r="BF207" i="57"/>
  <c r="BG207" i="57"/>
  <c r="BH207" i="57"/>
  <c r="BI207" i="57"/>
  <c r="BJ207" i="57"/>
  <c r="BK207" i="57"/>
  <c r="BL207" i="57"/>
  <c r="BM207" i="57"/>
  <c r="BN207" i="57"/>
  <c r="BO207" i="57"/>
  <c r="BP207" i="57"/>
  <c r="BQ207" i="57"/>
  <c r="BR207" i="57"/>
  <c r="BS207" i="57"/>
  <c r="BT207" i="57"/>
  <c r="BU207" i="57"/>
  <c r="BV207" i="57"/>
  <c r="BW207" i="57"/>
  <c r="BX207" i="57"/>
  <c r="BY207" i="57"/>
  <c r="BZ207" i="57"/>
  <c r="CA207" i="57"/>
  <c r="CB207" i="57"/>
  <c r="CC207" i="57"/>
  <c r="CD207" i="57"/>
  <c r="CE207" i="57"/>
  <c r="CF207" i="57"/>
  <c r="CG207" i="57"/>
  <c r="CH207" i="57"/>
  <c r="CI207" i="57"/>
  <c r="CJ207" i="57"/>
  <c r="S208" i="57"/>
  <c r="T208" i="57"/>
  <c r="U208" i="57"/>
  <c r="V208" i="57"/>
  <c r="W208" i="57"/>
  <c r="X208" i="57"/>
  <c r="Y208" i="57"/>
  <c r="Z208" i="57"/>
  <c r="AA208" i="57"/>
  <c r="AB208" i="57"/>
  <c r="AC208" i="57"/>
  <c r="AD208" i="57"/>
  <c r="AE208" i="57"/>
  <c r="AF208" i="57"/>
  <c r="AG208" i="57"/>
  <c r="AH208" i="57"/>
  <c r="AI208" i="57"/>
  <c r="AJ208" i="57"/>
  <c r="AK208" i="57"/>
  <c r="AL208" i="57"/>
  <c r="AM208" i="57"/>
  <c r="AN208" i="57"/>
  <c r="AO208" i="57"/>
  <c r="AP208" i="57"/>
  <c r="AQ208" i="57"/>
  <c r="AR208" i="57"/>
  <c r="AS208" i="57"/>
  <c r="AT208" i="57"/>
  <c r="AU208" i="57"/>
  <c r="AV208" i="57"/>
  <c r="AW208" i="57"/>
  <c r="AX208" i="57"/>
  <c r="AY208" i="57"/>
  <c r="AZ208" i="57"/>
  <c r="BA208" i="57"/>
  <c r="BB208" i="57"/>
  <c r="BC208" i="57"/>
  <c r="BD208" i="57"/>
  <c r="BE208" i="57"/>
  <c r="BF208" i="57"/>
  <c r="BG208" i="57"/>
  <c r="BH208" i="57"/>
  <c r="BI208" i="57"/>
  <c r="BJ208" i="57"/>
  <c r="BK208" i="57"/>
  <c r="BL208" i="57"/>
  <c r="BM208" i="57"/>
  <c r="BN208" i="57"/>
  <c r="BO208" i="57"/>
  <c r="BP208" i="57"/>
  <c r="BQ208" i="57"/>
  <c r="BR208" i="57"/>
  <c r="BS208" i="57"/>
  <c r="BT208" i="57"/>
  <c r="BU208" i="57"/>
  <c r="BV208" i="57"/>
  <c r="BW208" i="57"/>
  <c r="BX208" i="57"/>
  <c r="BY208" i="57"/>
  <c r="BZ208" i="57"/>
  <c r="CA208" i="57"/>
  <c r="CB208" i="57"/>
  <c r="CC208" i="57"/>
  <c r="CD208" i="57"/>
  <c r="CE208" i="57"/>
  <c r="CF208" i="57"/>
  <c r="CG208" i="57"/>
  <c r="CH208" i="57"/>
  <c r="CI208" i="57"/>
  <c r="CJ208" i="57"/>
  <c r="S209" i="57"/>
  <c r="T209" i="57"/>
  <c r="U209" i="57"/>
  <c r="V209" i="57"/>
  <c r="W209" i="57"/>
  <c r="X209" i="57"/>
  <c r="Y209" i="57"/>
  <c r="Z209" i="57"/>
  <c r="AA209" i="57"/>
  <c r="AB209" i="57"/>
  <c r="AC209" i="57"/>
  <c r="AD209" i="57"/>
  <c r="AE209" i="57"/>
  <c r="AF209" i="57"/>
  <c r="AG209" i="57"/>
  <c r="AH209" i="57"/>
  <c r="AI209" i="57"/>
  <c r="AJ209" i="57"/>
  <c r="AK209" i="57"/>
  <c r="AL209" i="57"/>
  <c r="AM209" i="57"/>
  <c r="AN209" i="57"/>
  <c r="AO209" i="57"/>
  <c r="AP209" i="57"/>
  <c r="AQ209" i="57"/>
  <c r="AR209" i="57"/>
  <c r="AS209" i="57"/>
  <c r="AT209" i="57"/>
  <c r="AU209" i="57"/>
  <c r="AV209" i="57"/>
  <c r="AW209" i="57"/>
  <c r="AX209" i="57"/>
  <c r="AY209" i="57"/>
  <c r="AZ209" i="57"/>
  <c r="BA209" i="57"/>
  <c r="BB209" i="57"/>
  <c r="BC209" i="57"/>
  <c r="BD209" i="57"/>
  <c r="BE209" i="57"/>
  <c r="BF209" i="57"/>
  <c r="BG209" i="57"/>
  <c r="BH209" i="57"/>
  <c r="BI209" i="57"/>
  <c r="BJ209" i="57"/>
  <c r="BK209" i="57"/>
  <c r="BL209" i="57"/>
  <c r="BM209" i="57"/>
  <c r="BN209" i="57"/>
  <c r="BO209" i="57"/>
  <c r="BP209" i="57"/>
  <c r="BQ209" i="57"/>
  <c r="BR209" i="57"/>
  <c r="BS209" i="57"/>
  <c r="BT209" i="57"/>
  <c r="BU209" i="57"/>
  <c r="BV209" i="57"/>
  <c r="BW209" i="57"/>
  <c r="BX209" i="57"/>
  <c r="BY209" i="57"/>
  <c r="BZ209" i="57"/>
  <c r="CA209" i="57"/>
  <c r="CB209" i="57"/>
  <c r="CC209" i="57"/>
  <c r="CD209" i="57"/>
  <c r="CE209" i="57"/>
  <c r="CF209" i="57"/>
  <c r="CG209" i="57"/>
  <c r="CH209" i="57"/>
  <c r="CI209" i="57"/>
  <c r="CJ209" i="57"/>
  <c r="S210" i="57"/>
  <c r="T210" i="57"/>
  <c r="U210" i="57"/>
  <c r="V210" i="57"/>
  <c r="W210" i="57"/>
  <c r="X210" i="57"/>
  <c r="Y210" i="57"/>
  <c r="Z210" i="57"/>
  <c r="AA210" i="57"/>
  <c r="AB210" i="57"/>
  <c r="AC210" i="57"/>
  <c r="AD210" i="57"/>
  <c r="AE210" i="57"/>
  <c r="AF210" i="57"/>
  <c r="AG210" i="57"/>
  <c r="AH210" i="57"/>
  <c r="AI210" i="57"/>
  <c r="AJ210" i="57"/>
  <c r="AK210" i="57"/>
  <c r="AL210" i="57"/>
  <c r="AM210" i="57"/>
  <c r="AN210" i="57"/>
  <c r="AO210" i="57"/>
  <c r="AP210" i="57"/>
  <c r="AQ210" i="57"/>
  <c r="AR210" i="57"/>
  <c r="AS210" i="57"/>
  <c r="AT210" i="57"/>
  <c r="AU210" i="57"/>
  <c r="AV210" i="57"/>
  <c r="AW210" i="57"/>
  <c r="AX210" i="57"/>
  <c r="AY210" i="57"/>
  <c r="AZ210" i="57"/>
  <c r="BA210" i="57"/>
  <c r="BB210" i="57"/>
  <c r="BC210" i="57"/>
  <c r="BD210" i="57"/>
  <c r="BE210" i="57"/>
  <c r="BF210" i="57"/>
  <c r="BG210" i="57"/>
  <c r="BH210" i="57"/>
  <c r="BI210" i="57"/>
  <c r="BJ210" i="57"/>
  <c r="BK210" i="57"/>
  <c r="BL210" i="57"/>
  <c r="BM210" i="57"/>
  <c r="BN210" i="57"/>
  <c r="BO210" i="57"/>
  <c r="BP210" i="57"/>
  <c r="BQ210" i="57"/>
  <c r="BR210" i="57"/>
  <c r="BS210" i="57"/>
  <c r="BT210" i="57"/>
  <c r="BU210" i="57"/>
  <c r="BV210" i="57"/>
  <c r="BW210" i="57"/>
  <c r="BX210" i="57"/>
  <c r="BY210" i="57"/>
  <c r="BZ210" i="57"/>
  <c r="CA210" i="57"/>
  <c r="CB210" i="57"/>
  <c r="CC210" i="57"/>
  <c r="CD210" i="57"/>
  <c r="CE210" i="57"/>
  <c r="CF210" i="57"/>
  <c r="CG210" i="57"/>
  <c r="CH210" i="57"/>
  <c r="CI210" i="57"/>
  <c r="CJ210" i="57"/>
  <c r="S211" i="57"/>
  <c r="T211" i="57"/>
  <c r="U211" i="57"/>
  <c r="V211" i="57"/>
  <c r="W211" i="57"/>
  <c r="X211" i="57"/>
  <c r="Y211" i="57"/>
  <c r="Z211" i="57"/>
  <c r="AA211" i="57"/>
  <c r="AB211" i="57"/>
  <c r="AC211" i="57"/>
  <c r="AD211" i="57"/>
  <c r="AE211" i="57"/>
  <c r="AF211" i="57"/>
  <c r="AG211" i="57"/>
  <c r="AH211" i="57"/>
  <c r="AI211" i="57"/>
  <c r="AJ211" i="57"/>
  <c r="AK211" i="57"/>
  <c r="AL211" i="57"/>
  <c r="AM211" i="57"/>
  <c r="AN211" i="57"/>
  <c r="AO211" i="57"/>
  <c r="AP211" i="57"/>
  <c r="AQ211" i="57"/>
  <c r="AR211" i="57"/>
  <c r="AS211" i="57"/>
  <c r="AT211" i="57"/>
  <c r="AU211" i="57"/>
  <c r="AV211" i="57"/>
  <c r="AW211" i="57"/>
  <c r="AX211" i="57"/>
  <c r="AY211" i="57"/>
  <c r="AZ211" i="57"/>
  <c r="BA211" i="57"/>
  <c r="BB211" i="57"/>
  <c r="BC211" i="57"/>
  <c r="BD211" i="57"/>
  <c r="BE211" i="57"/>
  <c r="BF211" i="57"/>
  <c r="BG211" i="57"/>
  <c r="BH211" i="57"/>
  <c r="BI211" i="57"/>
  <c r="BJ211" i="57"/>
  <c r="BK211" i="57"/>
  <c r="BL211" i="57"/>
  <c r="BM211" i="57"/>
  <c r="BN211" i="57"/>
  <c r="BO211" i="57"/>
  <c r="BP211" i="57"/>
  <c r="BQ211" i="57"/>
  <c r="BR211" i="57"/>
  <c r="BS211" i="57"/>
  <c r="BT211" i="57"/>
  <c r="BU211" i="57"/>
  <c r="BV211" i="57"/>
  <c r="BW211" i="57"/>
  <c r="BX211" i="57"/>
  <c r="BY211" i="57"/>
  <c r="BZ211" i="57"/>
  <c r="CA211" i="57"/>
  <c r="CB211" i="57"/>
  <c r="CC211" i="57"/>
  <c r="CD211" i="57"/>
  <c r="CE211" i="57"/>
  <c r="CF211" i="57"/>
  <c r="CG211" i="57"/>
  <c r="CH211" i="57"/>
  <c r="CI211" i="57"/>
  <c r="CJ211" i="57"/>
  <c r="S212" i="57"/>
  <c r="T212" i="57"/>
  <c r="U212" i="57"/>
  <c r="V212" i="57"/>
  <c r="W212" i="57"/>
  <c r="X212" i="57"/>
  <c r="Y212" i="57"/>
  <c r="Z212" i="57"/>
  <c r="AA212" i="57"/>
  <c r="AB212" i="57"/>
  <c r="AC212" i="57"/>
  <c r="AD212" i="57"/>
  <c r="AE212" i="57"/>
  <c r="AF212" i="57"/>
  <c r="AG212" i="57"/>
  <c r="AH212" i="57"/>
  <c r="AI212" i="57"/>
  <c r="AJ212" i="57"/>
  <c r="AK212" i="57"/>
  <c r="AL212" i="57"/>
  <c r="AM212" i="57"/>
  <c r="AN212" i="57"/>
  <c r="AO212" i="57"/>
  <c r="AP212" i="57"/>
  <c r="AQ212" i="57"/>
  <c r="AR212" i="57"/>
  <c r="AS212" i="57"/>
  <c r="AT212" i="57"/>
  <c r="AU212" i="57"/>
  <c r="AV212" i="57"/>
  <c r="AW212" i="57"/>
  <c r="AX212" i="57"/>
  <c r="AY212" i="57"/>
  <c r="AZ212" i="57"/>
  <c r="BA212" i="57"/>
  <c r="BB212" i="57"/>
  <c r="BC212" i="57"/>
  <c r="BD212" i="57"/>
  <c r="BE212" i="57"/>
  <c r="BF212" i="57"/>
  <c r="BG212" i="57"/>
  <c r="BH212" i="57"/>
  <c r="BI212" i="57"/>
  <c r="BJ212" i="57"/>
  <c r="BK212" i="57"/>
  <c r="BL212" i="57"/>
  <c r="BM212" i="57"/>
  <c r="BN212" i="57"/>
  <c r="BO212" i="57"/>
  <c r="BP212" i="57"/>
  <c r="BQ212" i="57"/>
  <c r="BR212" i="57"/>
  <c r="BS212" i="57"/>
  <c r="BT212" i="57"/>
  <c r="BU212" i="57"/>
  <c r="BV212" i="57"/>
  <c r="BW212" i="57"/>
  <c r="BX212" i="57"/>
  <c r="BY212" i="57"/>
  <c r="BZ212" i="57"/>
  <c r="CA212" i="57"/>
  <c r="CB212" i="57"/>
  <c r="CC212" i="57"/>
  <c r="CD212" i="57"/>
  <c r="CE212" i="57"/>
  <c r="CF212" i="57"/>
  <c r="CG212" i="57"/>
  <c r="CH212" i="57"/>
  <c r="CI212" i="57"/>
  <c r="CJ212" i="57"/>
  <c r="S213" i="57"/>
  <c r="T213" i="57"/>
  <c r="U213" i="57"/>
  <c r="V213" i="57"/>
  <c r="W213" i="57"/>
  <c r="X213" i="57"/>
  <c r="Y213" i="57"/>
  <c r="Z213" i="57"/>
  <c r="AA213" i="57"/>
  <c r="AB213" i="57"/>
  <c r="AC213" i="57"/>
  <c r="AD213" i="57"/>
  <c r="AE213" i="57"/>
  <c r="AF213" i="57"/>
  <c r="AG213" i="57"/>
  <c r="AH213" i="57"/>
  <c r="AI213" i="57"/>
  <c r="AJ213" i="57"/>
  <c r="AK213" i="57"/>
  <c r="AL213" i="57"/>
  <c r="AM213" i="57"/>
  <c r="AN213" i="57"/>
  <c r="AO213" i="57"/>
  <c r="AP213" i="57"/>
  <c r="AQ213" i="57"/>
  <c r="AR213" i="57"/>
  <c r="AS213" i="57"/>
  <c r="AT213" i="57"/>
  <c r="AU213" i="57"/>
  <c r="AV213" i="57"/>
  <c r="AW213" i="57"/>
  <c r="AX213" i="57"/>
  <c r="AY213" i="57"/>
  <c r="AZ213" i="57"/>
  <c r="BA213" i="57"/>
  <c r="BB213" i="57"/>
  <c r="BC213" i="57"/>
  <c r="BD213" i="57"/>
  <c r="BE213" i="57"/>
  <c r="BF213" i="57"/>
  <c r="BG213" i="57"/>
  <c r="BH213" i="57"/>
  <c r="BI213" i="57"/>
  <c r="BJ213" i="57"/>
  <c r="BK213" i="57"/>
  <c r="BL213" i="57"/>
  <c r="BM213" i="57"/>
  <c r="BN213" i="57"/>
  <c r="BO213" i="57"/>
  <c r="BP213" i="57"/>
  <c r="BQ213" i="57"/>
  <c r="BR213" i="57"/>
  <c r="BS213" i="57"/>
  <c r="BT213" i="57"/>
  <c r="BU213" i="57"/>
  <c r="BV213" i="57"/>
  <c r="BW213" i="57"/>
  <c r="BX213" i="57"/>
  <c r="BY213" i="57"/>
  <c r="BZ213" i="57"/>
  <c r="CA213" i="57"/>
  <c r="CB213" i="57"/>
  <c r="CC213" i="57"/>
  <c r="CD213" i="57"/>
  <c r="CE213" i="57"/>
  <c r="CF213" i="57"/>
  <c r="CG213" i="57"/>
  <c r="CH213" i="57"/>
  <c r="CI213" i="57"/>
  <c r="CJ213" i="57"/>
  <c r="S214" i="57"/>
  <c r="T214" i="57"/>
  <c r="U214" i="57"/>
  <c r="V214" i="57"/>
  <c r="W214" i="57"/>
  <c r="X214" i="57"/>
  <c r="Y214" i="57"/>
  <c r="Z214" i="57"/>
  <c r="AA214" i="57"/>
  <c r="AB214" i="57"/>
  <c r="AC214" i="57"/>
  <c r="AD214" i="57"/>
  <c r="AE214" i="57"/>
  <c r="AF214" i="57"/>
  <c r="AG214" i="57"/>
  <c r="AH214" i="57"/>
  <c r="AI214" i="57"/>
  <c r="AJ214" i="57"/>
  <c r="AK214" i="57"/>
  <c r="AL214" i="57"/>
  <c r="AM214" i="57"/>
  <c r="AN214" i="57"/>
  <c r="AO214" i="57"/>
  <c r="AP214" i="57"/>
  <c r="AQ214" i="57"/>
  <c r="AR214" i="57"/>
  <c r="AS214" i="57"/>
  <c r="AT214" i="57"/>
  <c r="AU214" i="57"/>
  <c r="AV214" i="57"/>
  <c r="AW214" i="57"/>
  <c r="AX214" i="57"/>
  <c r="AY214" i="57"/>
  <c r="AZ214" i="57"/>
  <c r="BA214" i="57"/>
  <c r="BB214" i="57"/>
  <c r="BC214" i="57"/>
  <c r="BD214" i="57"/>
  <c r="BE214" i="57"/>
  <c r="BF214" i="57"/>
  <c r="BG214" i="57"/>
  <c r="BH214" i="57"/>
  <c r="BI214" i="57"/>
  <c r="BJ214" i="57"/>
  <c r="BK214" i="57"/>
  <c r="BL214" i="57"/>
  <c r="BM214" i="57"/>
  <c r="BN214" i="57"/>
  <c r="BO214" i="57"/>
  <c r="BP214" i="57"/>
  <c r="BQ214" i="57"/>
  <c r="BR214" i="57"/>
  <c r="BS214" i="57"/>
  <c r="BT214" i="57"/>
  <c r="BU214" i="57"/>
  <c r="BV214" i="57"/>
  <c r="BW214" i="57"/>
  <c r="BX214" i="57"/>
  <c r="BY214" i="57"/>
  <c r="BZ214" i="57"/>
  <c r="CA214" i="57"/>
  <c r="CB214" i="57"/>
  <c r="CC214" i="57"/>
  <c r="CD214" i="57"/>
  <c r="CE214" i="57"/>
  <c r="CF214" i="57"/>
  <c r="CG214" i="57"/>
  <c r="CH214" i="57"/>
  <c r="CI214" i="57"/>
  <c r="CJ214" i="57"/>
  <c r="S215" i="57"/>
  <c r="T215" i="57"/>
  <c r="U215" i="57"/>
  <c r="V215" i="57"/>
  <c r="W215" i="57"/>
  <c r="X215" i="57"/>
  <c r="Y215" i="57"/>
  <c r="Z215" i="57"/>
  <c r="AA215" i="57"/>
  <c r="AB215" i="57"/>
  <c r="AC215" i="57"/>
  <c r="AD215" i="57"/>
  <c r="AE215" i="57"/>
  <c r="AF215" i="57"/>
  <c r="AG215" i="57"/>
  <c r="AH215" i="57"/>
  <c r="AI215" i="57"/>
  <c r="AJ215" i="57"/>
  <c r="AK215" i="57"/>
  <c r="AL215" i="57"/>
  <c r="AM215" i="57"/>
  <c r="AN215" i="57"/>
  <c r="AO215" i="57"/>
  <c r="AP215" i="57"/>
  <c r="AQ215" i="57"/>
  <c r="AR215" i="57"/>
  <c r="AS215" i="57"/>
  <c r="AT215" i="57"/>
  <c r="AU215" i="57"/>
  <c r="AV215" i="57"/>
  <c r="AW215" i="57"/>
  <c r="AX215" i="57"/>
  <c r="AY215" i="57"/>
  <c r="AZ215" i="57"/>
  <c r="BA215" i="57"/>
  <c r="BB215" i="57"/>
  <c r="BC215" i="57"/>
  <c r="BD215" i="57"/>
  <c r="BE215" i="57"/>
  <c r="BF215" i="57"/>
  <c r="BG215" i="57"/>
  <c r="BH215" i="57"/>
  <c r="BI215" i="57"/>
  <c r="BJ215" i="57"/>
  <c r="BK215" i="57"/>
  <c r="BL215" i="57"/>
  <c r="BM215" i="57"/>
  <c r="BN215" i="57"/>
  <c r="BO215" i="57"/>
  <c r="BP215" i="57"/>
  <c r="BQ215" i="57"/>
  <c r="BR215" i="57"/>
  <c r="BS215" i="57"/>
  <c r="BT215" i="57"/>
  <c r="BU215" i="57"/>
  <c r="BV215" i="57"/>
  <c r="BW215" i="57"/>
  <c r="BX215" i="57"/>
  <c r="BY215" i="57"/>
  <c r="BZ215" i="57"/>
  <c r="CA215" i="57"/>
  <c r="CB215" i="57"/>
  <c r="CC215" i="57"/>
  <c r="CD215" i="57"/>
  <c r="CE215" i="57"/>
  <c r="CF215" i="57"/>
  <c r="CG215" i="57"/>
  <c r="CH215" i="57"/>
  <c r="CI215" i="57"/>
  <c r="CJ215" i="57"/>
  <c r="S216" i="57"/>
  <c r="T216" i="57"/>
  <c r="U216" i="57"/>
  <c r="V216" i="57"/>
  <c r="W216" i="57"/>
  <c r="X216" i="57"/>
  <c r="Y216" i="57"/>
  <c r="Z216" i="57"/>
  <c r="AA216" i="57"/>
  <c r="AB216" i="57"/>
  <c r="AC216" i="57"/>
  <c r="AD216" i="57"/>
  <c r="AE216" i="57"/>
  <c r="AF216" i="57"/>
  <c r="AG216" i="57"/>
  <c r="AH216" i="57"/>
  <c r="AI216" i="57"/>
  <c r="AJ216" i="57"/>
  <c r="AK216" i="57"/>
  <c r="AL216" i="57"/>
  <c r="AM216" i="57"/>
  <c r="AN216" i="57"/>
  <c r="AO216" i="57"/>
  <c r="AP216" i="57"/>
  <c r="AQ216" i="57"/>
  <c r="AR216" i="57"/>
  <c r="AS216" i="57"/>
  <c r="AT216" i="57"/>
  <c r="AU216" i="57"/>
  <c r="AV216" i="57"/>
  <c r="AW216" i="57"/>
  <c r="AX216" i="57"/>
  <c r="AY216" i="57"/>
  <c r="AZ216" i="57"/>
  <c r="BA216" i="57"/>
  <c r="BB216" i="57"/>
  <c r="BC216" i="57"/>
  <c r="BD216" i="57"/>
  <c r="BE216" i="57"/>
  <c r="BF216" i="57"/>
  <c r="BG216" i="57"/>
  <c r="BH216" i="57"/>
  <c r="BI216" i="57"/>
  <c r="BJ216" i="57"/>
  <c r="BK216" i="57"/>
  <c r="BL216" i="57"/>
  <c r="BM216" i="57"/>
  <c r="BN216" i="57"/>
  <c r="BO216" i="57"/>
  <c r="BP216" i="57"/>
  <c r="BQ216" i="57"/>
  <c r="BR216" i="57"/>
  <c r="BS216" i="57"/>
  <c r="BT216" i="57"/>
  <c r="BU216" i="57"/>
  <c r="BV216" i="57"/>
  <c r="BW216" i="57"/>
  <c r="BX216" i="57"/>
  <c r="BY216" i="57"/>
  <c r="BZ216" i="57"/>
  <c r="CA216" i="57"/>
  <c r="CB216" i="57"/>
  <c r="CC216" i="57"/>
  <c r="CD216" i="57"/>
  <c r="CE216" i="57"/>
  <c r="CF216" i="57"/>
  <c r="CG216" i="57"/>
  <c r="CH216" i="57"/>
  <c r="CI216" i="57"/>
  <c r="CJ216" i="57"/>
  <c r="S217" i="57"/>
  <c r="T217" i="57"/>
  <c r="U217" i="57"/>
  <c r="V217" i="57"/>
  <c r="W217" i="57"/>
  <c r="X217" i="57"/>
  <c r="Y217" i="57"/>
  <c r="Z217" i="57"/>
  <c r="AA217" i="57"/>
  <c r="AB217" i="57"/>
  <c r="AC217" i="57"/>
  <c r="AD217" i="57"/>
  <c r="AE217" i="57"/>
  <c r="AF217" i="57"/>
  <c r="AG217" i="57"/>
  <c r="AH217" i="57"/>
  <c r="AI217" i="57"/>
  <c r="AJ217" i="57"/>
  <c r="AK217" i="57"/>
  <c r="AL217" i="57"/>
  <c r="AM217" i="57"/>
  <c r="AN217" i="57"/>
  <c r="AO217" i="57"/>
  <c r="AP217" i="57"/>
  <c r="AQ217" i="57"/>
  <c r="AR217" i="57"/>
  <c r="AS217" i="57"/>
  <c r="AT217" i="57"/>
  <c r="AU217" i="57"/>
  <c r="AV217" i="57"/>
  <c r="AW217" i="57"/>
  <c r="AX217" i="57"/>
  <c r="AY217" i="57"/>
  <c r="AZ217" i="57"/>
  <c r="BA217" i="57"/>
  <c r="BB217" i="57"/>
  <c r="BC217" i="57"/>
  <c r="BD217" i="57"/>
  <c r="BE217" i="57"/>
  <c r="BF217" i="57"/>
  <c r="BG217" i="57"/>
  <c r="BH217" i="57"/>
  <c r="BI217" i="57"/>
  <c r="BJ217" i="57"/>
  <c r="BK217" i="57"/>
  <c r="BL217" i="57"/>
  <c r="BM217" i="57"/>
  <c r="BN217" i="57"/>
  <c r="BO217" i="57"/>
  <c r="BP217" i="57"/>
  <c r="BQ217" i="57"/>
  <c r="BR217" i="57"/>
  <c r="BS217" i="57"/>
  <c r="BT217" i="57"/>
  <c r="BU217" i="57"/>
  <c r="BV217" i="57"/>
  <c r="BW217" i="57"/>
  <c r="BX217" i="57"/>
  <c r="BY217" i="57"/>
  <c r="BZ217" i="57"/>
  <c r="CA217" i="57"/>
  <c r="CB217" i="57"/>
  <c r="CC217" i="57"/>
  <c r="CD217" i="57"/>
  <c r="CE217" i="57"/>
  <c r="CF217" i="57"/>
  <c r="CG217" i="57"/>
  <c r="CH217" i="57"/>
  <c r="CI217" i="57"/>
  <c r="CJ217" i="57"/>
  <c r="S218" i="57"/>
  <c r="T218" i="57"/>
  <c r="U218" i="57"/>
  <c r="V218" i="57"/>
  <c r="W218" i="57"/>
  <c r="X218" i="57"/>
  <c r="Y218" i="57"/>
  <c r="Z218" i="57"/>
  <c r="AA218" i="57"/>
  <c r="AB218" i="57"/>
  <c r="AC218" i="57"/>
  <c r="AD218" i="57"/>
  <c r="AE218" i="57"/>
  <c r="AF218" i="57"/>
  <c r="AG218" i="57"/>
  <c r="AH218" i="57"/>
  <c r="AI218" i="57"/>
  <c r="AJ218" i="57"/>
  <c r="AK218" i="57"/>
  <c r="AL218" i="57"/>
  <c r="AM218" i="57"/>
  <c r="AN218" i="57"/>
  <c r="AO218" i="57"/>
  <c r="AP218" i="57"/>
  <c r="AQ218" i="57"/>
  <c r="AR218" i="57"/>
  <c r="AS218" i="57"/>
  <c r="AT218" i="57"/>
  <c r="AU218" i="57"/>
  <c r="AV218" i="57"/>
  <c r="AW218" i="57"/>
  <c r="AX218" i="57"/>
  <c r="AY218" i="57"/>
  <c r="AZ218" i="57"/>
  <c r="BA218" i="57"/>
  <c r="BB218" i="57"/>
  <c r="BC218" i="57"/>
  <c r="BD218" i="57"/>
  <c r="BE218" i="57"/>
  <c r="BF218" i="57"/>
  <c r="BG218" i="57"/>
  <c r="BH218" i="57"/>
  <c r="BI218" i="57"/>
  <c r="BJ218" i="57"/>
  <c r="BK218" i="57"/>
  <c r="BL218" i="57"/>
  <c r="BM218" i="57"/>
  <c r="BN218" i="57"/>
  <c r="BO218" i="57"/>
  <c r="BP218" i="57"/>
  <c r="BQ218" i="57"/>
  <c r="BR218" i="57"/>
  <c r="BS218" i="57"/>
  <c r="BT218" i="57"/>
  <c r="BU218" i="57"/>
  <c r="BV218" i="57"/>
  <c r="BW218" i="57"/>
  <c r="BX218" i="57"/>
  <c r="BY218" i="57"/>
  <c r="BZ218" i="57"/>
  <c r="CA218" i="57"/>
  <c r="CB218" i="57"/>
  <c r="CC218" i="57"/>
  <c r="CD218" i="57"/>
  <c r="CE218" i="57"/>
  <c r="CF218" i="57"/>
  <c r="CG218" i="57"/>
  <c r="CH218" i="57"/>
  <c r="CI218" i="57"/>
  <c r="CJ218" i="57"/>
  <c r="S219" i="57"/>
  <c r="T219" i="57"/>
  <c r="U219" i="57"/>
  <c r="V219" i="57"/>
  <c r="W219" i="57"/>
  <c r="X219" i="57"/>
  <c r="Y219" i="57"/>
  <c r="Z219" i="57"/>
  <c r="AA219" i="57"/>
  <c r="AB219" i="57"/>
  <c r="AC219" i="57"/>
  <c r="AD219" i="57"/>
  <c r="AE219" i="57"/>
  <c r="AF219" i="57"/>
  <c r="AG219" i="57"/>
  <c r="AH219" i="57"/>
  <c r="AI219" i="57"/>
  <c r="AJ219" i="57"/>
  <c r="AK219" i="57"/>
  <c r="AL219" i="57"/>
  <c r="AM219" i="57"/>
  <c r="AN219" i="57"/>
  <c r="AO219" i="57"/>
  <c r="AP219" i="57"/>
  <c r="AQ219" i="57"/>
  <c r="AR219" i="57"/>
  <c r="AS219" i="57"/>
  <c r="AT219" i="57"/>
  <c r="AU219" i="57"/>
  <c r="AV219" i="57"/>
  <c r="AW219" i="57"/>
  <c r="AX219" i="57"/>
  <c r="AY219" i="57"/>
  <c r="AZ219" i="57"/>
  <c r="BA219" i="57"/>
  <c r="BB219" i="57"/>
  <c r="BC219" i="57"/>
  <c r="BD219" i="57"/>
  <c r="BE219" i="57"/>
  <c r="BF219" i="57"/>
  <c r="BG219" i="57"/>
  <c r="BH219" i="57"/>
  <c r="BI219" i="57"/>
  <c r="BJ219" i="57"/>
  <c r="BK219" i="57"/>
  <c r="BL219" i="57"/>
  <c r="BM219" i="57"/>
  <c r="BN219" i="57"/>
  <c r="BO219" i="57"/>
  <c r="BP219" i="57"/>
  <c r="BQ219" i="57"/>
  <c r="BR219" i="57"/>
  <c r="BS219" i="57"/>
  <c r="BT219" i="57"/>
  <c r="BU219" i="57"/>
  <c r="BV219" i="57"/>
  <c r="BW219" i="57"/>
  <c r="BX219" i="57"/>
  <c r="BY219" i="57"/>
  <c r="BZ219" i="57"/>
  <c r="CA219" i="57"/>
  <c r="CB219" i="57"/>
  <c r="CC219" i="57"/>
  <c r="CD219" i="57"/>
  <c r="CE219" i="57"/>
  <c r="CF219" i="57"/>
  <c r="CG219" i="57"/>
  <c r="CH219" i="57"/>
  <c r="CI219" i="57"/>
  <c r="CJ219" i="57"/>
  <c r="S220" i="57"/>
  <c r="T220" i="57"/>
  <c r="U220" i="57"/>
  <c r="V220" i="57"/>
  <c r="W220" i="57"/>
  <c r="X220" i="57"/>
  <c r="Y220" i="57"/>
  <c r="Z220" i="57"/>
  <c r="AA220" i="57"/>
  <c r="AB220" i="57"/>
  <c r="AC220" i="57"/>
  <c r="AD220" i="57"/>
  <c r="AE220" i="57"/>
  <c r="AF220" i="57"/>
  <c r="AG220" i="57"/>
  <c r="AH220" i="57"/>
  <c r="AI220" i="57"/>
  <c r="AJ220" i="57"/>
  <c r="AK220" i="57"/>
  <c r="AL220" i="57"/>
  <c r="AM220" i="57"/>
  <c r="AN220" i="57"/>
  <c r="AO220" i="57"/>
  <c r="AP220" i="57"/>
  <c r="AQ220" i="57"/>
  <c r="AR220" i="57"/>
  <c r="AS220" i="57"/>
  <c r="AT220" i="57"/>
  <c r="AU220" i="57"/>
  <c r="AV220" i="57"/>
  <c r="AW220" i="57"/>
  <c r="AX220" i="57"/>
  <c r="AY220" i="57"/>
  <c r="AZ220" i="57"/>
  <c r="BA220" i="57"/>
  <c r="BB220" i="57"/>
  <c r="BC220" i="57"/>
  <c r="BD220" i="57"/>
  <c r="BE220" i="57"/>
  <c r="BF220" i="57"/>
  <c r="BG220" i="57"/>
  <c r="BH220" i="57"/>
  <c r="BI220" i="57"/>
  <c r="BJ220" i="57"/>
  <c r="BK220" i="57"/>
  <c r="BL220" i="57"/>
  <c r="BM220" i="57"/>
  <c r="BN220" i="57"/>
  <c r="BO220" i="57"/>
  <c r="BP220" i="57"/>
  <c r="BQ220" i="57"/>
  <c r="BR220" i="57"/>
  <c r="BS220" i="57"/>
  <c r="BT220" i="57"/>
  <c r="BU220" i="57"/>
  <c r="BV220" i="57"/>
  <c r="BW220" i="57"/>
  <c r="BX220" i="57"/>
  <c r="BY220" i="57"/>
  <c r="BZ220" i="57"/>
  <c r="CA220" i="57"/>
  <c r="CB220" i="57"/>
  <c r="CC220" i="57"/>
  <c r="CD220" i="57"/>
  <c r="CE220" i="57"/>
  <c r="CF220" i="57"/>
  <c r="CG220" i="57"/>
  <c r="CH220" i="57"/>
  <c r="CI220" i="57"/>
  <c r="CJ220" i="57"/>
  <c r="S221" i="57"/>
  <c r="T221" i="57"/>
  <c r="U221" i="57"/>
  <c r="V221" i="57"/>
  <c r="W221" i="57"/>
  <c r="X221" i="57"/>
  <c r="Y221" i="57"/>
  <c r="Z221" i="57"/>
  <c r="AA221" i="57"/>
  <c r="AB221" i="57"/>
  <c r="AC221" i="57"/>
  <c r="AD221" i="57"/>
  <c r="AE221" i="57"/>
  <c r="AF221" i="57"/>
  <c r="AG221" i="57"/>
  <c r="AH221" i="57"/>
  <c r="AI221" i="57"/>
  <c r="AJ221" i="57"/>
  <c r="AK221" i="57"/>
  <c r="AL221" i="57"/>
  <c r="AM221" i="57"/>
  <c r="AN221" i="57"/>
  <c r="AO221" i="57"/>
  <c r="AP221" i="57"/>
  <c r="AQ221" i="57"/>
  <c r="AR221" i="57"/>
  <c r="AS221" i="57"/>
  <c r="AT221" i="57"/>
  <c r="AU221" i="57"/>
  <c r="AV221" i="57"/>
  <c r="AW221" i="57"/>
  <c r="AX221" i="57"/>
  <c r="AY221" i="57"/>
  <c r="AZ221" i="57"/>
  <c r="BA221" i="57"/>
  <c r="BB221" i="57"/>
  <c r="BC221" i="57"/>
  <c r="BD221" i="57"/>
  <c r="BE221" i="57"/>
  <c r="BF221" i="57"/>
  <c r="BG221" i="57"/>
  <c r="BH221" i="57"/>
  <c r="BI221" i="57"/>
  <c r="BJ221" i="57"/>
  <c r="BK221" i="57"/>
  <c r="BL221" i="57"/>
  <c r="BM221" i="57"/>
  <c r="BN221" i="57"/>
  <c r="BO221" i="57"/>
  <c r="BP221" i="57"/>
  <c r="BQ221" i="57"/>
  <c r="BR221" i="57"/>
  <c r="BS221" i="57"/>
  <c r="BT221" i="57"/>
  <c r="BU221" i="57"/>
  <c r="BV221" i="57"/>
  <c r="BW221" i="57"/>
  <c r="BX221" i="57"/>
  <c r="BY221" i="57"/>
  <c r="BZ221" i="57"/>
  <c r="CA221" i="57"/>
  <c r="CB221" i="57"/>
  <c r="CC221" i="57"/>
  <c r="CD221" i="57"/>
  <c r="CE221" i="57"/>
  <c r="CF221" i="57"/>
  <c r="CG221" i="57"/>
  <c r="CH221" i="57"/>
  <c r="CI221" i="57"/>
  <c r="CJ221" i="57"/>
  <c r="S222" i="57"/>
  <c r="T222" i="57"/>
  <c r="U222" i="57"/>
  <c r="V222" i="57"/>
  <c r="W222" i="57"/>
  <c r="X222" i="57"/>
  <c r="Y222" i="57"/>
  <c r="Z222" i="57"/>
  <c r="AA222" i="57"/>
  <c r="AB222" i="57"/>
  <c r="AC222" i="57"/>
  <c r="AD222" i="57"/>
  <c r="AE222" i="57"/>
  <c r="AF222" i="57"/>
  <c r="AG222" i="57"/>
  <c r="AH222" i="57"/>
  <c r="AI222" i="57"/>
  <c r="AJ222" i="57"/>
  <c r="AK222" i="57"/>
  <c r="AL222" i="57"/>
  <c r="AM222" i="57"/>
  <c r="AN222" i="57"/>
  <c r="AO222" i="57"/>
  <c r="AP222" i="57"/>
  <c r="AQ222" i="57"/>
  <c r="AR222" i="57"/>
  <c r="AS222" i="57"/>
  <c r="AT222" i="57"/>
  <c r="AU222" i="57"/>
  <c r="AV222" i="57"/>
  <c r="AW222" i="57"/>
  <c r="AX222" i="57"/>
  <c r="AY222" i="57"/>
  <c r="AZ222" i="57"/>
  <c r="BA222" i="57"/>
  <c r="BB222" i="57"/>
  <c r="BC222" i="57"/>
  <c r="BD222" i="57"/>
  <c r="BE222" i="57"/>
  <c r="BF222" i="57"/>
  <c r="BG222" i="57"/>
  <c r="BH222" i="57"/>
  <c r="BI222" i="57"/>
  <c r="BJ222" i="57"/>
  <c r="BK222" i="57"/>
  <c r="BL222" i="57"/>
  <c r="BM222" i="57"/>
  <c r="BN222" i="57"/>
  <c r="BO222" i="57"/>
  <c r="BP222" i="57"/>
  <c r="BQ222" i="57"/>
  <c r="BR222" i="57"/>
  <c r="BS222" i="57"/>
  <c r="BT222" i="57"/>
  <c r="BU222" i="57"/>
  <c r="BV222" i="57"/>
  <c r="BW222" i="57"/>
  <c r="BX222" i="57"/>
  <c r="BY222" i="57"/>
  <c r="BZ222" i="57"/>
  <c r="CA222" i="57"/>
  <c r="CB222" i="57"/>
  <c r="CC222" i="57"/>
  <c r="CD222" i="57"/>
  <c r="CE222" i="57"/>
  <c r="CF222" i="57"/>
  <c r="CG222" i="57"/>
  <c r="CH222" i="57"/>
  <c r="CI222" i="57"/>
  <c r="CJ222" i="57"/>
  <c r="S223" i="57"/>
  <c r="T223" i="57"/>
  <c r="U223" i="57"/>
  <c r="V223" i="57"/>
  <c r="W223" i="57"/>
  <c r="X223" i="57"/>
  <c r="Y223" i="57"/>
  <c r="Z223" i="57"/>
  <c r="AA223" i="57"/>
  <c r="AB223" i="57"/>
  <c r="AC223" i="57"/>
  <c r="AD223" i="57"/>
  <c r="AE223" i="57"/>
  <c r="AF223" i="57"/>
  <c r="AG223" i="57"/>
  <c r="AH223" i="57"/>
  <c r="AI223" i="57"/>
  <c r="AJ223" i="57"/>
  <c r="AK223" i="57"/>
  <c r="AL223" i="57"/>
  <c r="AM223" i="57"/>
  <c r="AN223" i="57"/>
  <c r="AO223" i="57"/>
  <c r="AP223" i="57"/>
  <c r="AQ223" i="57"/>
  <c r="AR223" i="57"/>
  <c r="AS223" i="57"/>
  <c r="AT223" i="57"/>
  <c r="AU223" i="57"/>
  <c r="AV223" i="57"/>
  <c r="AW223" i="57"/>
  <c r="AX223" i="57"/>
  <c r="AY223" i="57"/>
  <c r="AZ223" i="57"/>
  <c r="BA223" i="57"/>
  <c r="BB223" i="57"/>
  <c r="BC223" i="57"/>
  <c r="BD223" i="57"/>
  <c r="BE223" i="57"/>
  <c r="BF223" i="57"/>
  <c r="BG223" i="57"/>
  <c r="BH223" i="57"/>
  <c r="BI223" i="57"/>
  <c r="BJ223" i="57"/>
  <c r="BK223" i="57"/>
  <c r="BL223" i="57"/>
  <c r="BM223" i="57"/>
  <c r="BN223" i="57"/>
  <c r="BO223" i="57"/>
  <c r="BP223" i="57"/>
  <c r="BQ223" i="57"/>
  <c r="BR223" i="57"/>
  <c r="BS223" i="57"/>
  <c r="BT223" i="57"/>
  <c r="BU223" i="57"/>
  <c r="BV223" i="57"/>
  <c r="BW223" i="57"/>
  <c r="BX223" i="57"/>
  <c r="BY223" i="57"/>
  <c r="BZ223" i="57"/>
  <c r="CA223" i="57"/>
  <c r="CB223" i="57"/>
  <c r="CC223" i="57"/>
  <c r="CD223" i="57"/>
  <c r="CE223" i="57"/>
  <c r="CF223" i="57"/>
  <c r="CG223" i="57"/>
  <c r="CH223" i="57"/>
  <c r="CI223" i="57"/>
  <c r="CJ223" i="57"/>
  <c r="S224" i="57"/>
  <c r="T224" i="57"/>
  <c r="U224" i="57"/>
  <c r="V224" i="57"/>
  <c r="W224" i="57"/>
  <c r="X224" i="57"/>
  <c r="Y224" i="57"/>
  <c r="Z224" i="57"/>
  <c r="AA224" i="57"/>
  <c r="AB224" i="57"/>
  <c r="AC224" i="57"/>
  <c r="AD224" i="57"/>
  <c r="AE224" i="57"/>
  <c r="AF224" i="57"/>
  <c r="AG224" i="57"/>
  <c r="AH224" i="57"/>
  <c r="AI224" i="57"/>
  <c r="AJ224" i="57"/>
  <c r="AK224" i="57"/>
  <c r="AL224" i="57"/>
  <c r="AM224" i="57"/>
  <c r="AN224" i="57"/>
  <c r="AO224" i="57"/>
  <c r="AP224" i="57"/>
  <c r="AQ224" i="57"/>
  <c r="AR224" i="57"/>
  <c r="AS224" i="57"/>
  <c r="AT224" i="57"/>
  <c r="AU224" i="57"/>
  <c r="AV224" i="57"/>
  <c r="AW224" i="57"/>
  <c r="AX224" i="57"/>
  <c r="AY224" i="57"/>
  <c r="AZ224" i="57"/>
  <c r="BA224" i="57"/>
  <c r="BB224" i="57"/>
  <c r="BC224" i="57"/>
  <c r="BD224" i="57"/>
  <c r="BE224" i="57"/>
  <c r="BF224" i="57"/>
  <c r="BG224" i="57"/>
  <c r="BH224" i="57"/>
  <c r="BI224" i="57"/>
  <c r="BJ224" i="57"/>
  <c r="BK224" i="57"/>
  <c r="BL224" i="57"/>
  <c r="BM224" i="57"/>
  <c r="BN224" i="57"/>
  <c r="BO224" i="57"/>
  <c r="BP224" i="57"/>
  <c r="BQ224" i="57"/>
  <c r="BR224" i="57"/>
  <c r="BS224" i="57"/>
  <c r="BT224" i="57"/>
  <c r="BU224" i="57"/>
  <c r="BV224" i="57"/>
  <c r="BW224" i="57"/>
  <c r="BX224" i="57"/>
  <c r="BY224" i="57"/>
  <c r="BZ224" i="57"/>
  <c r="CA224" i="57"/>
  <c r="CB224" i="57"/>
  <c r="CC224" i="57"/>
  <c r="CD224" i="57"/>
  <c r="CE224" i="57"/>
  <c r="CF224" i="57"/>
  <c r="CG224" i="57"/>
  <c r="CH224" i="57"/>
  <c r="CI224" i="57"/>
  <c r="CJ224" i="57"/>
  <c r="S225" i="57"/>
  <c r="T225" i="57"/>
  <c r="U225" i="57"/>
  <c r="V225" i="57"/>
  <c r="W225" i="57"/>
  <c r="X225" i="57"/>
  <c r="Y225" i="57"/>
  <c r="Z225" i="57"/>
  <c r="AA225" i="57"/>
  <c r="AB225" i="57"/>
  <c r="AC225" i="57"/>
  <c r="AD225" i="57"/>
  <c r="AE225" i="57"/>
  <c r="AF225" i="57"/>
  <c r="AG225" i="57"/>
  <c r="AH225" i="57"/>
  <c r="AI225" i="57"/>
  <c r="AJ225" i="57"/>
  <c r="AK225" i="57"/>
  <c r="AL225" i="57"/>
  <c r="AM225" i="57"/>
  <c r="AN225" i="57"/>
  <c r="AO225" i="57"/>
  <c r="AP225" i="57"/>
  <c r="AQ225" i="57"/>
  <c r="AR225" i="57"/>
  <c r="AS225" i="57"/>
  <c r="AT225" i="57"/>
  <c r="AU225" i="57"/>
  <c r="AV225" i="57"/>
  <c r="AW225" i="57"/>
  <c r="AX225" i="57"/>
  <c r="AY225" i="57"/>
  <c r="AZ225" i="57"/>
  <c r="BA225" i="57"/>
  <c r="BB225" i="57"/>
  <c r="BC225" i="57"/>
  <c r="BD225" i="57"/>
  <c r="BE225" i="57"/>
  <c r="BF225" i="57"/>
  <c r="BG225" i="57"/>
  <c r="BH225" i="57"/>
  <c r="BI225" i="57"/>
  <c r="BJ225" i="57"/>
  <c r="BK225" i="57"/>
  <c r="BL225" i="57"/>
  <c r="BM225" i="57"/>
  <c r="BN225" i="57"/>
  <c r="BO225" i="57"/>
  <c r="BP225" i="57"/>
  <c r="BQ225" i="57"/>
  <c r="BR225" i="57"/>
  <c r="BS225" i="57"/>
  <c r="BT225" i="57"/>
  <c r="BU225" i="57"/>
  <c r="BV225" i="57"/>
  <c r="BW225" i="57"/>
  <c r="BX225" i="57"/>
  <c r="BY225" i="57"/>
  <c r="BZ225" i="57"/>
  <c r="CA225" i="57"/>
  <c r="CB225" i="57"/>
  <c r="CC225" i="57"/>
  <c r="CD225" i="57"/>
  <c r="CE225" i="57"/>
  <c r="CF225" i="57"/>
  <c r="CG225" i="57"/>
  <c r="CH225" i="57"/>
  <c r="CI225" i="57"/>
  <c r="CJ225" i="57"/>
  <c r="S226" i="57"/>
  <c r="T226" i="57"/>
  <c r="U226" i="57"/>
  <c r="V226" i="57"/>
  <c r="W226" i="57"/>
  <c r="X226" i="57"/>
  <c r="Y226" i="57"/>
  <c r="Z226" i="57"/>
  <c r="AA226" i="57"/>
  <c r="AB226" i="57"/>
  <c r="AC226" i="57"/>
  <c r="AD226" i="57"/>
  <c r="AE226" i="57"/>
  <c r="AF226" i="57"/>
  <c r="AG226" i="57"/>
  <c r="AH226" i="57"/>
  <c r="AI226" i="57"/>
  <c r="AJ226" i="57"/>
  <c r="AK226" i="57"/>
  <c r="AL226" i="57"/>
  <c r="AM226" i="57"/>
  <c r="AN226" i="57"/>
  <c r="AO226" i="57"/>
  <c r="AP226" i="57"/>
  <c r="AQ226" i="57"/>
  <c r="AR226" i="57"/>
  <c r="AS226" i="57"/>
  <c r="AT226" i="57"/>
  <c r="AU226" i="57"/>
  <c r="AV226" i="57"/>
  <c r="AW226" i="57"/>
  <c r="AX226" i="57"/>
  <c r="AY226" i="57"/>
  <c r="AZ226" i="57"/>
  <c r="BA226" i="57"/>
  <c r="BB226" i="57"/>
  <c r="BC226" i="57"/>
  <c r="BD226" i="57"/>
  <c r="BE226" i="57"/>
  <c r="BF226" i="57"/>
  <c r="BG226" i="57"/>
  <c r="BH226" i="57"/>
  <c r="BI226" i="57"/>
  <c r="BJ226" i="57"/>
  <c r="BK226" i="57"/>
  <c r="BL226" i="57"/>
  <c r="BM226" i="57"/>
  <c r="BN226" i="57"/>
  <c r="BO226" i="57"/>
  <c r="BP226" i="57"/>
  <c r="BQ226" i="57"/>
  <c r="BR226" i="57"/>
  <c r="BS226" i="57"/>
  <c r="BT226" i="57"/>
  <c r="BU226" i="57"/>
  <c r="BV226" i="57"/>
  <c r="BW226" i="57"/>
  <c r="BX226" i="57"/>
  <c r="BY226" i="57"/>
  <c r="BZ226" i="57"/>
  <c r="CA226" i="57"/>
  <c r="CB226" i="57"/>
  <c r="CC226" i="57"/>
  <c r="CD226" i="57"/>
  <c r="CE226" i="57"/>
  <c r="CF226" i="57"/>
  <c r="CG226" i="57"/>
  <c r="CH226" i="57"/>
  <c r="CI226" i="57"/>
  <c r="CJ226" i="57"/>
  <c r="S227" i="57"/>
  <c r="T227" i="57"/>
  <c r="U227" i="57"/>
  <c r="V227" i="57"/>
  <c r="W227" i="57"/>
  <c r="X227" i="57"/>
  <c r="Y227" i="57"/>
  <c r="Z227" i="57"/>
  <c r="AA227" i="57"/>
  <c r="AB227" i="57"/>
  <c r="AC227" i="57"/>
  <c r="AD227" i="57"/>
  <c r="AE227" i="57"/>
  <c r="AF227" i="57"/>
  <c r="AG227" i="57"/>
  <c r="AH227" i="57"/>
  <c r="AI227" i="57"/>
  <c r="AJ227" i="57"/>
  <c r="AK227" i="57"/>
  <c r="AL227" i="57"/>
  <c r="AM227" i="57"/>
  <c r="AN227" i="57"/>
  <c r="AO227" i="57"/>
  <c r="AP227" i="57"/>
  <c r="AQ227" i="57"/>
  <c r="AR227" i="57"/>
  <c r="AS227" i="57"/>
  <c r="AT227" i="57"/>
  <c r="AU227" i="57"/>
  <c r="AV227" i="57"/>
  <c r="AW227" i="57"/>
  <c r="AX227" i="57"/>
  <c r="AY227" i="57"/>
  <c r="AZ227" i="57"/>
  <c r="BA227" i="57"/>
  <c r="BB227" i="57"/>
  <c r="BC227" i="57"/>
  <c r="BD227" i="57"/>
  <c r="BE227" i="57"/>
  <c r="BF227" i="57"/>
  <c r="BG227" i="57"/>
  <c r="BH227" i="57"/>
  <c r="BI227" i="57"/>
  <c r="BJ227" i="57"/>
  <c r="BK227" i="57"/>
  <c r="BL227" i="57"/>
  <c r="BM227" i="57"/>
  <c r="BN227" i="57"/>
  <c r="BO227" i="57"/>
  <c r="BP227" i="57"/>
  <c r="BQ227" i="57"/>
  <c r="BR227" i="57"/>
  <c r="BS227" i="57"/>
  <c r="BT227" i="57"/>
  <c r="BU227" i="57"/>
  <c r="BV227" i="57"/>
  <c r="BW227" i="57"/>
  <c r="BX227" i="57"/>
  <c r="BY227" i="57"/>
  <c r="BZ227" i="57"/>
  <c r="CA227" i="57"/>
  <c r="CB227" i="57"/>
  <c r="CC227" i="57"/>
  <c r="CD227" i="57"/>
  <c r="CE227" i="57"/>
  <c r="CF227" i="57"/>
  <c r="CG227" i="57"/>
  <c r="CH227" i="57"/>
  <c r="CI227" i="57"/>
  <c r="CJ227" i="57"/>
  <c r="S228" i="57"/>
  <c r="T228" i="57"/>
  <c r="U228" i="57"/>
  <c r="V228" i="57"/>
  <c r="W228" i="57"/>
  <c r="X228" i="57"/>
  <c r="Y228" i="57"/>
  <c r="Z228" i="57"/>
  <c r="AA228" i="57"/>
  <c r="AB228" i="57"/>
  <c r="AC228" i="57"/>
  <c r="AD228" i="57"/>
  <c r="AE228" i="57"/>
  <c r="AF228" i="57"/>
  <c r="AG228" i="57"/>
  <c r="AH228" i="57"/>
  <c r="AI228" i="57"/>
  <c r="AJ228" i="57"/>
  <c r="AK228" i="57"/>
  <c r="AL228" i="57"/>
  <c r="AM228" i="57"/>
  <c r="AN228" i="57"/>
  <c r="AO228" i="57"/>
  <c r="AP228" i="57"/>
  <c r="AQ228" i="57"/>
  <c r="AR228" i="57"/>
  <c r="AS228" i="57"/>
  <c r="AT228" i="57"/>
  <c r="AU228" i="57"/>
  <c r="AV228" i="57"/>
  <c r="AW228" i="57"/>
  <c r="AX228" i="57"/>
  <c r="AY228" i="57"/>
  <c r="AZ228" i="57"/>
  <c r="BA228" i="57"/>
  <c r="BB228" i="57"/>
  <c r="BC228" i="57"/>
  <c r="BD228" i="57"/>
  <c r="BE228" i="57"/>
  <c r="BF228" i="57"/>
  <c r="BG228" i="57"/>
  <c r="BH228" i="57"/>
  <c r="BI228" i="57"/>
  <c r="BJ228" i="57"/>
  <c r="BK228" i="57"/>
  <c r="BL228" i="57"/>
  <c r="BM228" i="57"/>
  <c r="BN228" i="57"/>
  <c r="BO228" i="57"/>
  <c r="BP228" i="57"/>
  <c r="BQ228" i="57"/>
  <c r="BR228" i="57"/>
  <c r="BS228" i="57"/>
  <c r="BT228" i="57"/>
  <c r="BU228" i="57"/>
  <c r="BV228" i="57"/>
  <c r="BW228" i="57"/>
  <c r="BX228" i="57"/>
  <c r="BY228" i="57"/>
  <c r="BZ228" i="57"/>
  <c r="CA228" i="57"/>
  <c r="CB228" i="57"/>
  <c r="CC228" i="57"/>
  <c r="CD228" i="57"/>
  <c r="CE228" i="57"/>
  <c r="CF228" i="57"/>
  <c r="CG228" i="57"/>
  <c r="CH228" i="57"/>
  <c r="CI228" i="57"/>
  <c r="CJ228" i="57"/>
  <c r="S229" i="57"/>
  <c r="T229" i="57"/>
  <c r="U229" i="57"/>
  <c r="V229" i="57"/>
  <c r="W229" i="57"/>
  <c r="X229" i="57"/>
  <c r="Y229" i="57"/>
  <c r="Z229" i="57"/>
  <c r="AA229" i="57"/>
  <c r="AB229" i="57"/>
  <c r="AC229" i="57"/>
  <c r="AD229" i="57"/>
  <c r="AE229" i="57"/>
  <c r="AF229" i="57"/>
  <c r="AG229" i="57"/>
  <c r="AH229" i="57"/>
  <c r="AI229" i="57"/>
  <c r="AJ229" i="57"/>
  <c r="AK229" i="57"/>
  <c r="AL229" i="57"/>
  <c r="AM229" i="57"/>
  <c r="AN229" i="57"/>
  <c r="AO229" i="57"/>
  <c r="AP229" i="57"/>
  <c r="AQ229" i="57"/>
  <c r="AR229" i="57"/>
  <c r="AS229" i="57"/>
  <c r="AT229" i="57"/>
  <c r="AU229" i="57"/>
  <c r="AV229" i="57"/>
  <c r="AW229" i="57"/>
  <c r="AX229" i="57"/>
  <c r="AY229" i="57"/>
  <c r="AZ229" i="57"/>
  <c r="BA229" i="57"/>
  <c r="BB229" i="57"/>
  <c r="BC229" i="57"/>
  <c r="BD229" i="57"/>
  <c r="BE229" i="57"/>
  <c r="BF229" i="57"/>
  <c r="BG229" i="57"/>
  <c r="BH229" i="57"/>
  <c r="BI229" i="57"/>
  <c r="BJ229" i="57"/>
  <c r="BK229" i="57"/>
  <c r="BL229" i="57"/>
  <c r="BM229" i="57"/>
  <c r="BN229" i="57"/>
  <c r="BO229" i="57"/>
  <c r="BP229" i="57"/>
  <c r="BQ229" i="57"/>
  <c r="BR229" i="57"/>
  <c r="BS229" i="57"/>
  <c r="BT229" i="57"/>
  <c r="BU229" i="57"/>
  <c r="BV229" i="57"/>
  <c r="BW229" i="57"/>
  <c r="BX229" i="57"/>
  <c r="BY229" i="57"/>
  <c r="BZ229" i="57"/>
  <c r="CA229" i="57"/>
  <c r="CB229" i="57"/>
  <c r="CC229" i="57"/>
  <c r="CD229" i="57"/>
  <c r="CE229" i="57"/>
  <c r="CF229" i="57"/>
  <c r="CG229" i="57"/>
  <c r="CH229" i="57"/>
  <c r="CI229" i="57"/>
  <c r="CJ229" i="57"/>
  <c r="S230" i="57"/>
  <c r="T230" i="57"/>
  <c r="U230" i="57"/>
  <c r="V230" i="57"/>
  <c r="W230" i="57"/>
  <c r="X230" i="57"/>
  <c r="Y230" i="57"/>
  <c r="Z230" i="57"/>
  <c r="AA230" i="57"/>
  <c r="AB230" i="57"/>
  <c r="AC230" i="57"/>
  <c r="AD230" i="57"/>
  <c r="AE230" i="57"/>
  <c r="AF230" i="57"/>
  <c r="AG230" i="57"/>
  <c r="AH230" i="57"/>
  <c r="AI230" i="57"/>
  <c r="AJ230" i="57"/>
  <c r="AK230" i="57"/>
  <c r="AL230" i="57"/>
  <c r="AM230" i="57"/>
  <c r="AN230" i="57"/>
  <c r="AO230" i="57"/>
  <c r="AP230" i="57"/>
  <c r="AQ230" i="57"/>
  <c r="AR230" i="57"/>
  <c r="AS230" i="57"/>
  <c r="AT230" i="57"/>
  <c r="AU230" i="57"/>
  <c r="AV230" i="57"/>
  <c r="AW230" i="57"/>
  <c r="AX230" i="57"/>
  <c r="AY230" i="57"/>
  <c r="AZ230" i="57"/>
  <c r="BA230" i="57"/>
  <c r="BB230" i="57"/>
  <c r="BC230" i="57"/>
  <c r="BD230" i="57"/>
  <c r="BE230" i="57"/>
  <c r="BF230" i="57"/>
  <c r="BG230" i="57"/>
  <c r="BH230" i="57"/>
  <c r="BI230" i="57"/>
  <c r="BJ230" i="57"/>
  <c r="BK230" i="57"/>
  <c r="BL230" i="57"/>
  <c r="BM230" i="57"/>
  <c r="BN230" i="57"/>
  <c r="BO230" i="57"/>
  <c r="BP230" i="57"/>
  <c r="BQ230" i="57"/>
  <c r="BR230" i="57"/>
  <c r="BS230" i="57"/>
  <c r="BT230" i="57"/>
  <c r="BU230" i="57"/>
  <c r="BV230" i="57"/>
  <c r="BW230" i="57"/>
  <c r="BX230" i="57"/>
  <c r="BY230" i="57"/>
  <c r="BZ230" i="57"/>
  <c r="CA230" i="57"/>
  <c r="CB230" i="57"/>
  <c r="CC230" i="57"/>
  <c r="CD230" i="57"/>
  <c r="CE230" i="57"/>
  <c r="CF230" i="57"/>
  <c r="CG230" i="57"/>
  <c r="CH230" i="57"/>
  <c r="CI230" i="57"/>
  <c r="CJ230" i="57"/>
  <c r="S231" i="57"/>
  <c r="T231" i="57"/>
  <c r="U231" i="57"/>
  <c r="V231" i="57"/>
  <c r="W231" i="57"/>
  <c r="X231" i="57"/>
  <c r="Y231" i="57"/>
  <c r="Z231" i="57"/>
  <c r="AA231" i="57"/>
  <c r="AB231" i="57"/>
  <c r="AC231" i="57"/>
  <c r="AD231" i="57"/>
  <c r="AE231" i="57"/>
  <c r="AF231" i="57"/>
  <c r="AG231" i="57"/>
  <c r="AH231" i="57"/>
  <c r="AI231" i="57"/>
  <c r="AJ231" i="57"/>
  <c r="AK231" i="57"/>
  <c r="AL231" i="57"/>
  <c r="AM231" i="57"/>
  <c r="AN231" i="57"/>
  <c r="AO231" i="57"/>
  <c r="AP231" i="57"/>
  <c r="AQ231" i="57"/>
  <c r="AR231" i="57"/>
  <c r="AS231" i="57"/>
  <c r="AT231" i="57"/>
  <c r="AU231" i="57"/>
  <c r="AV231" i="57"/>
  <c r="AW231" i="57"/>
  <c r="AX231" i="57"/>
  <c r="AY231" i="57"/>
  <c r="AZ231" i="57"/>
  <c r="BA231" i="57"/>
  <c r="BB231" i="57"/>
  <c r="BC231" i="57"/>
  <c r="BD231" i="57"/>
  <c r="BE231" i="57"/>
  <c r="BF231" i="57"/>
  <c r="BG231" i="57"/>
  <c r="BH231" i="57"/>
  <c r="BI231" i="57"/>
  <c r="BJ231" i="57"/>
  <c r="BK231" i="57"/>
  <c r="BL231" i="57"/>
  <c r="BM231" i="57"/>
  <c r="BN231" i="57"/>
  <c r="BO231" i="57"/>
  <c r="BP231" i="57"/>
  <c r="BQ231" i="57"/>
  <c r="BR231" i="57"/>
  <c r="BS231" i="57"/>
  <c r="BT231" i="57"/>
  <c r="BU231" i="57"/>
  <c r="BV231" i="57"/>
  <c r="BW231" i="57"/>
  <c r="BX231" i="57"/>
  <c r="BY231" i="57"/>
  <c r="BZ231" i="57"/>
  <c r="CA231" i="57"/>
  <c r="CB231" i="57"/>
  <c r="CC231" i="57"/>
  <c r="CD231" i="57"/>
  <c r="CE231" i="57"/>
  <c r="CF231" i="57"/>
  <c r="CG231" i="57"/>
  <c r="CH231" i="57"/>
  <c r="CI231" i="57"/>
  <c r="CJ231" i="57"/>
  <c r="S232" i="57"/>
  <c r="T232" i="57"/>
  <c r="U232" i="57"/>
  <c r="V232" i="57"/>
  <c r="W232" i="57"/>
  <c r="X232" i="57"/>
  <c r="Y232" i="57"/>
  <c r="Z232" i="57"/>
  <c r="AA232" i="57"/>
  <c r="AB232" i="57"/>
  <c r="AC232" i="57"/>
  <c r="AD232" i="57"/>
  <c r="AE232" i="57"/>
  <c r="AF232" i="57"/>
  <c r="AG232" i="57"/>
  <c r="AH232" i="57"/>
  <c r="AI232" i="57"/>
  <c r="AJ232" i="57"/>
  <c r="AK232" i="57"/>
  <c r="AL232" i="57"/>
  <c r="AM232" i="57"/>
  <c r="AN232" i="57"/>
  <c r="AO232" i="57"/>
  <c r="AP232" i="57"/>
  <c r="AQ232" i="57"/>
  <c r="AR232" i="57"/>
  <c r="AS232" i="57"/>
  <c r="AT232" i="57"/>
  <c r="AU232" i="57"/>
  <c r="AV232" i="57"/>
  <c r="AW232" i="57"/>
  <c r="AX232" i="57"/>
  <c r="AY232" i="57"/>
  <c r="AZ232" i="57"/>
  <c r="BA232" i="57"/>
  <c r="BB232" i="57"/>
  <c r="BC232" i="57"/>
  <c r="BD232" i="57"/>
  <c r="BE232" i="57"/>
  <c r="BF232" i="57"/>
  <c r="BG232" i="57"/>
  <c r="BH232" i="57"/>
  <c r="BI232" i="57"/>
  <c r="BJ232" i="57"/>
  <c r="BK232" i="57"/>
  <c r="BL232" i="57"/>
  <c r="BM232" i="57"/>
  <c r="BN232" i="57"/>
  <c r="BO232" i="57"/>
  <c r="BP232" i="57"/>
  <c r="BQ232" i="57"/>
  <c r="BR232" i="57"/>
  <c r="BS232" i="57"/>
  <c r="BT232" i="57"/>
  <c r="BU232" i="57"/>
  <c r="BV232" i="57"/>
  <c r="BW232" i="57"/>
  <c r="BX232" i="57"/>
  <c r="BY232" i="57"/>
  <c r="BZ232" i="57"/>
  <c r="CA232" i="57"/>
  <c r="CB232" i="57"/>
  <c r="CC232" i="57"/>
  <c r="CD232" i="57"/>
  <c r="CE232" i="57"/>
  <c r="CF232" i="57"/>
  <c r="CG232" i="57"/>
  <c r="CH232" i="57"/>
  <c r="CI232" i="57"/>
  <c r="CJ232" i="57"/>
  <c r="S233" i="57"/>
  <c r="T233" i="57"/>
  <c r="U233" i="57"/>
  <c r="V233" i="57"/>
  <c r="W233" i="57"/>
  <c r="X233" i="57"/>
  <c r="Y233" i="57"/>
  <c r="Z233" i="57"/>
  <c r="AA233" i="57"/>
  <c r="AB233" i="57"/>
  <c r="AC233" i="57"/>
  <c r="AD233" i="57"/>
  <c r="AE233" i="57"/>
  <c r="AF233" i="57"/>
  <c r="AG233" i="57"/>
  <c r="AH233" i="57"/>
  <c r="AI233" i="57"/>
  <c r="AJ233" i="57"/>
  <c r="AK233" i="57"/>
  <c r="AL233" i="57"/>
  <c r="AM233" i="57"/>
  <c r="AN233" i="57"/>
  <c r="AO233" i="57"/>
  <c r="AP233" i="57"/>
  <c r="AQ233" i="57"/>
  <c r="AR233" i="57"/>
  <c r="AS233" i="57"/>
  <c r="AT233" i="57"/>
  <c r="AU233" i="57"/>
  <c r="AV233" i="57"/>
  <c r="AW233" i="57"/>
  <c r="AX233" i="57"/>
  <c r="AY233" i="57"/>
  <c r="AZ233" i="57"/>
  <c r="BA233" i="57"/>
  <c r="BB233" i="57"/>
  <c r="BC233" i="57"/>
  <c r="BD233" i="57"/>
  <c r="BE233" i="57"/>
  <c r="BF233" i="57"/>
  <c r="BG233" i="57"/>
  <c r="BH233" i="57"/>
  <c r="BI233" i="57"/>
  <c r="BJ233" i="57"/>
  <c r="BK233" i="57"/>
  <c r="BL233" i="57"/>
  <c r="BM233" i="57"/>
  <c r="BN233" i="57"/>
  <c r="BO233" i="57"/>
  <c r="BP233" i="57"/>
  <c r="BQ233" i="57"/>
  <c r="BR233" i="57"/>
  <c r="BS233" i="57"/>
  <c r="BT233" i="57"/>
  <c r="BU233" i="57"/>
  <c r="BV233" i="57"/>
  <c r="BW233" i="57"/>
  <c r="BX233" i="57"/>
  <c r="BY233" i="57"/>
  <c r="BZ233" i="57"/>
  <c r="CA233" i="57"/>
  <c r="CB233" i="57"/>
  <c r="CC233" i="57"/>
  <c r="CD233" i="57"/>
  <c r="CE233" i="57"/>
  <c r="CF233" i="57"/>
  <c r="CG233" i="57"/>
  <c r="CH233" i="57"/>
  <c r="CI233" i="57"/>
  <c r="CJ233" i="57"/>
  <c r="S234" i="57"/>
  <c r="T234" i="57"/>
  <c r="U234" i="57"/>
  <c r="V234" i="57"/>
  <c r="W234" i="57"/>
  <c r="X234" i="57"/>
  <c r="Y234" i="57"/>
  <c r="Z234" i="57"/>
  <c r="AA234" i="57"/>
  <c r="AB234" i="57"/>
  <c r="AC234" i="57"/>
  <c r="AD234" i="57"/>
  <c r="AE234" i="57"/>
  <c r="AF234" i="57"/>
  <c r="AG234" i="57"/>
  <c r="AH234" i="57"/>
  <c r="AI234" i="57"/>
  <c r="AJ234" i="57"/>
  <c r="AK234" i="57"/>
  <c r="AL234" i="57"/>
  <c r="AM234" i="57"/>
  <c r="AN234" i="57"/>
  <c r="AO234" i="57"/>
  <c r="AP234" i="57"/>
  <c r="AQ234" i="57"/>
  <c r="AR234" i="57"/>
  <c r="AS234" i="57"/>
  <c r="AT234" i="57"/>
  <c r="AU234" i="57"/>
  <c r="AV234" i="57"/>
  <c r="AW234" i="57"/>
  <c r="AX234" i="57"/>
  <c r="AY234" i="57"/>
  <c r="AZ234" i="57"/>
  <c r="BA234" i="57"/>
  <c r="BB234" i="57"/>
  <c r="BC234" i="57"/>
  <c r="BD234" i="57"/>
  <c r="BE234" i="57"/>
  <c r="BF234" i="57"/>
  <c r="BG234" i="57"/>
  <c r="BH234" i="57"/>
  <c r="BI234" i="57"/>
  <c r="BJ234" i="57"/>
  <c r="BK234" i="57"/>
  <c r="BL234" i="57"/>
  <c r="BM234" i="57"/>
  <c r="BN234" i="57"/>
  <c r="BO234" i="57"/>
  <c r="BP234" i="57"/>
  <c r="BQ234" i="57"/>
  <c r="BR234" i="57"/>
  <c r="BS234" i="57"/>
  <c r="BT234" i="57"/>
  <c r="BU234" i="57"/>
  <c r="BV234" i="57"/>
  <c r="BW234" i="57"/>
  <c r="BX234" i="57"/>
  <c r="BY234" i="57"/>
  <c r="BZ234" i="57"/>
  <c r="CA234" i="57"/>
  <c r="CB234" i="57"/>
  <c r="CC234" i="57"/>
  <c r="CD234" i="57"/>
  <c r="CE234" i="57"/>
  <c r="CF234" i="57"/>
  <c r="CG234" i="57"/>
  <c r="CH234" i="57"/>
  <c r="CI234" i="57"/>
  <c r="CJ234" i="57"/>
  <c r="S235" i="57"/>
  <c r="T235" i="57"/>
  <c r="U235" i="57"/>
  <c r="V235" i="57"/>
  <c r="W235" i="57"/>
  <c r="X235" i="57"/>
  <c r="Y235" i="57"/>
  <c r="Z235" i="57"/>
  <c r="AA235" i="57"/>
  <c r="AB235" i="57"/>
  <c r="AC235" i="57"/>
  <c r="AD235" i="57"/>
  <c r="AE235" i="57"/>
  <c r="AF235" i="57"/>
  <c r="AG235" i="57"/>
  <c r="AH235" i="57"/>
  <c r="AI235" i="57"/>
  <c r="AJ235" i="57"/>
  <c r="AK235" i="57"/>
  <c r="AL235" i="57"/>
  <c r="AM235" i="57"/>
  <c r="AN235" i="57"/>
  <c r="AO235" i="57"/>
  <c r="AP235" i="57"/>
  <c r="AQ235" i="57"/>
  <c r="AR235" i="57"/>
  <c r="AS235" i="57"/>
  <c r="AT235" i="57"/>
  <c r="AU235" i="57"/>
  <c r="AV235" i="57"/>
  <c r="AW235" i="57"/>
  <c r="AX235" i="57"/>
  <c r="AY235" i="57"/>
  <c r="AZ235" i="57"/>
  <c r="BA235" i="57"/>
  <c r="BB235" i="57"/>
  <c r="BC235" i="57"/>
  <c r="BD235" i="57"/>
  <c r="BE235" i="57"/>
  <c r="BF235" i="57"/>
  <c r="BG235" i="57"/>
  <c r="BH235" i="57"/>
  <c r="BI235" i="57"/>
  <c r="BJ235" i="57"/>
  <c r="BK235" i="57"/>
  <c r="BL235" i="57"/>
  <c r="BM235" i="57"/>
  <c r="BN235" i="57"/>
  <c r="BO235" i="57"/>
  <c r="BP235" i="57"/>
  <c r="BQ235" i="57"/>
  <c r="BR235" i="57"/>
  <c r="BS235" i="57"/>
  <c r="BT235" i="57"/>
  <c r="BU235" i="57"/>
  <c r="BV235" i="57"/>
  <c r="BW235" i="57"/>
  <c r="BX235" i="57"/>
  <c r="BY235" i="57"/>
  <c r="BZ235" i="57"/>
  <c r="CA235" i="57"/>
  <c r="CB235" i="57"/>
  <c r="CC235" i="57"/>
  <c r="CD235" i="57"/>
  <c r="CE235" i="57"/>
  <c r="CF235" i="57"/>
  <c r="CG235" i="57"/>
  <c r="CH235" i="57"/>
  <c r="CI235" i="57"/>
  <c r="CJ235" i="57"/>
  <c r="S236" i="57"/>
  <c r="T236" i="57"/>
  <c r="U236" i="57"/>
  <c r="V236" i="57"/>
  <c r="W236" i="57"/>
  <c r="X236" i="57"/>
  <c r="Y236" i="57"/>
  <c r="Z236" i="57"/>
  <c r="AA236" i="57"/>
  <c r="AB236" i="57"/>
  <c r="AC236" i="57"/>
  <c r="AD236" i="57"/>
  <c r="AE236" i="57"/>
  <c r="AF236" i="57"/>
  <c r="AG236" i="57"/>
  <c r="AH236" i="57"/>
  <c r="AI236" i="57"/>
  <c r="AJ236" i="57"/>
  <c r="AK236" i="57"/>
  <c r="AL236" i="57"/>
  <c r="AM236" i="57"/>
  <c r="AN236" i="57"/>
  <c r="AO236" i="57"/>
  <c r="AP236" i="57"/>
  <c r="AQ236" i="57"/>
  <c r="AR236" i="57"/>
  <c r="AS236" i="57"/>
  <c r="AT236" i="57"/>
  <c r="AU236" i="57"/>
  <c r="AV236" i="57"/>
  <c r="AW236" i="57"/>
  <c r="AX236" i="57"/>
  <c r="AY236" i="57"/>
  <c r="AZ236" i="57"/>
  <c r="BA236" i="57"/>
  <c r="BB236" i="57"/>
  <c r="BC236" i="57"/>
  <c r="BD236" i="57"/>
  <c r="BE236" i="57"/>
  <c r="BF236" i="57"/>
  <c r="BG236" i="57"/>
  <c r="BH236" i="57"/>
  <c r="BI236" i="57"/>
  <c r="BJ236" i="57"/>
  <c r="BK236" i="57"/>
  <c r="BL236" i="57"/>
  <c r="BM236" i="57"/>
  <c r="BN236" i="57"/>
  <c r="BO236" i="57"/>
  <c r="BP236" i="57"/>
  <c r="BQ236" i="57"/>
  <c r="BR236" i="57"/>
  <c r="BS236" i="57"/>
  <c r="BT236" i="57"/>
  <c r="BU236" i="57"/>
  <c r="BV236" i="57"/>
  <c r="BW236" i="57"/>
  <c r="BX236" i="57"/>
  <c r="BY236" i="57"/>
  <c r="BZ236" i="57"/>
  <c r="CA236" i="57"/>
  <c r="CB236" i="57"/>
  <c r="CC236" i="57"/>
  <c r="CD236" i="57"/>
  <c r="CE236" i="57"/>
  <c r="CF236" i="57"/>
  <c r="CG236" i="57"/>
  <c r="CH236" i="57"/>
  <c r="CI236" i="57"/>
  <c r="CJ236" i="57"/>
  <c r="S237" i="57"/>
  <c r="T237" i="57"/>
  <c r="U237" i="57"/>
  <c r="V237" i="57"/>
  <c r="W237" i="57"/>
  <c r="X237" i="57"/>
  <c r="Y237" i="57"/>
  <c r="Z237" i="57"/>
  <c r="AA237" i="57"/>
  <c r="AB237" i="57"/>
  <c r="AC237" i="57"/>
  <c r="AD237" i="57"/>
  <c r="AE237" i="57"/>
  <c r="AF237" i="57"/>
  <c r="AG237" i="57"/>
  <c r="AH237" i="57"/>
  <c r="AI237" i="57"/>
  <c r="AJ237" i="57"/>
  <c r="AK237" i="57"/>
  <c r="AL237" i="57"/>
  <c r="AM237" i="57"/>
  <c r="AN237" i="57"/>
  <c r="AO237" i="57"/>
  <c r="AP237" i="57"/>
  <c r="AQ237" i="57"/>
  <c r="AR237" i="57"/>
  <c r="AS237" i="57"/>
  <c r="AT237" i="57"/>
  <c r="AU237" i="57"/>
  <c r="AV237" i="57"/>
  <c r="AW237" i="57"/>
  <c r="AX237" i="57"/>
  <c r="AY237" i="57"/>
  <c r="AZ237" i="57"/>
  <c r="BA237" i="57"/>
  <c r="BB237" i="57"/>
  <c r="BC237" i="57"/>
  <c r="BD237" i="57"/>
  <c r="BE237" i="57"/>
  <c r="BF237" i="57"/>
  <c r="BG237" i="57"/>
  <c r="BH237" i="57"/>
  <c r="BI237" i="57"/>
  <c r="BJ237" i="57"/>
  <c r="BK237" i="57"/>
  <c r="BL237" i="57"/>
  <c r="BM237" i="57"/>
  <c r="BN237" i="57"/>
  <c r="BO237" i="57"/>
  <c r="BP237" i="57"/>
  <c r="BQ237" i="57"/>
  <c r="BR237" i="57"/>
  <c r="BS237" i="57"/>
  <c r="BT237" i="57"/>
  <c r="BU237" i="57"/>
  <c r="BV237" i="57"/>
  <c r="BW237" i="57"/>
  <c r="BX237" i="57"/>
  <c r="BY237" i="57"/>
  <c r="BZ237" i="57"/>
  <c r="CA237" i="57"/>
  <c r="CB237" i="57"/>
  <c r="CC237" i="57"/>
  <c r="CD237" i="57"/>
  <c r="CE237" i="57"/>
  <c r="CF237" i="57"/>
  <c r="CG237" i="57"/>
  <c r="CH237" i="57"/>
  <c r="CI237" i="57"/>
  <c r="CJ237" i="57"/>
  <c r="S238" i="57"/>
  <c r="T238" i="57"/>
  <c r="U238" i="57"/>
  <c r="V238" i="57"/>
  <c r="W238" i="57"/>
  <c r="X238" i="57"/>
  <c r="Y238" i="57"/>
  <c r="Z238" i="57"/>
  <c r="AA238" i="57"/>
  <c r="AB238" i="57"/>
  <c r="AC238" i="57"/>
  <c r="AD238" i="57"/>
  <c r="AE238" i="57"/>
  <c r="AF238" i="57"/>
  <c r="AG238" i="57"/>
  <c r="AH238" i="57"/>
  <c r="AI238" i="57"/>
  <c r="AJ238" i="57"/>
  <c r="AK238" i="57"/>
  <c r="AL238" i="57"/>
  <c r="AM238" i="57"/>
  <c r="AN238" i="57"/>
  <c r="AO238" i="57"/>
  <c r="AP238" i="57"/>
  <c r="AQ238" i="57"/>
  <c r="AR238" i="57"/>
  <c r="AS238" i="57"/>
  <c r="AT238" i="57"/>
  <c r="AU238" i="57"/>
  <c r="AV238" i="57"/>
  <c r="AW238" i="57"/>
  <c r="AX238" i="57"/>
  <c r="AY238" i="57"/>
  <c r="AZ238" i="57"/>
  <c r="BA238" i="57"/>
  <c r="BB238" i="57"/>
  <c r="BC238" i="57"/>
  <c r="BD238" i="57"/>
  <c r="BE238" i="57"/>
  <c r="BF238" i="57"/>
  <c r="BG238" i="57"/>
  <c r="BH238" i="57"/>
  <c r="BI238" i="57"/>
  <c r="BJ238" i="57"/>
  <c r="BK238" i="57"/>
  <c r="BL238" i="57"/>
  <c r="BM238" i="57"/>
  <c r="BN238" i="57"/>
  <c r="BO238" i="57"/>
  <c r="BP238" i="57"/>
  <c r="BQ238" i="57"/>
  <c r="BR238" i="57"/>
  <c r="BS238" i="57"/>
  <c r="BT238" i="57"/>
  <c r="BU238" i="57"/>
  <c r="BV238" i="57"/>
  <c r="BW238" i="57"/>
  <c r="BX238" i="57"/>
  <c r="BY238" i="57"/>
  <c r="BZ238" i="57"/>
  <c r="CA238" i="57"/>
  <c r="CB238" i="57"/>
  <c r="CC238" i="57"/>
  <c r="CD238" i="57"/>
  <c r="CE238" i="57"/>
  <c r="CF238" i="57"/>
  <c r="CG238" i="57"/>
  <c r="CH238" i="57"/>
  <c r="CI238" i="57"/>
  <c r="CJ238" i="57"/>
  <c r="S239" i="57"/>
  <c r="T239" i="57"/>
  <c r="U239" i="57"/>
  <c r="V239" i="57"/>
  <c r="W239" i="57"/>
  <c r="X239" i="57"/>
  <c r="Y239" i="57"/>
  <c r="Z239" i="57"/>
  <c r="AA239" i="57"/>
  <c r="AB239" i="57"/>
  <c r="AC239" i="57"/>
  <c r="AD239" i="57"/>
  <c r="AE239" i="57"/>
  <c r="AF239" i="57"/>
  <c r="AG239" i="57"/>
  <c r="AH239" i="57"/>
  <c r="AI239" i="57"/>
  <c r="AJ239" i="57"/>
  <c r="AK239" i="57"/>
  <c r="AL239" i="57"/>
  <c r="AM239" i="57"/>
  <c r="AN239" i="57"/>
  <c r="AO239" i="57"/>
  <c r="AP239" i="57"/>
  <c r="AQ239" i="57"/>
  <c r="AR239" i="57"/>
  <c r="AS239" i="57"/>
  <c r="AT239" i="57"/>
  <c r="AU239" i="57"/>
  <c r="AV239" i="57"/>
  <c r="AW239" i="57"/>
  <c r="AX239" i="57"/>
  <c r="AY239" i="57"/>
  <c r="AZ239" i="57"/>
  <c r="BA239" i="57"/>
  <c r="BB239" i="57"/>
  <c r="BC239" i="57"/>
  <c r="BD239" i="57"/>
  <c r="BE239" i="57"/>
  <c r="BF239" i="57"/>
  <c r="BG239" i="57"/>
  <c r="BH239" i="57"/>
  <c r="BI239" i="57"/>
  <c r="BJ239" i="57"/>
  <c r="BK239" i="57"/>
  <c r="BL239" i="57"/>
  <c r="BM239" i="57"/>
  <c r="BN239" i="57"/>
  <c r="BO239" i="57"/>
  <c r="BP239" i="57"/>
  <c r="BQ239" i="57"/>
  <c r="BR239" i="57"/>
  <c r="BS239" i="57"/>
  <c r="BT239" i="57"/>
  <c r="BU239" i="57"/>
  <c r="BV239" i="57"/>
  <c r="BW239" i="57"/>
  <c r="BX239" i="57"/>
  <c r="BY239" i="57"/>
  <c r="BZ239" i="57"/>
  <c r="CA239" i="57"/>
  <c r="CB239" i="57"/>
  <c r="CC239" i="57"/>
  <c r="CD239" i="57"/>
  <c r="CE239" i="57"/>
  <c r="CF239" i="57"/>
  <c r="CG239" i="57"/>
  <c r="CH239" i="57"/>
  <c r="CI239" i="57"/>
  <c r="CJ239" i="57"/>
  <c r="S240" i="57"/>
  <c r="T240" i="57"/>
  <c r="U240" i="57"/>
  <c r="V240" i="57"/>
  <c r="W240" i="57"/>
  <c r="X240" i="57"/>
  <c r="Y240" i="57"/>
  <c r="Z240" i="57"/>
  <c r="AA240" i="57"/>
  <c r="AB240" i="57"/>
  <c r="AC240" i="57"/>
  <c r="AD240" i="57"/>
  <c r="AE240" i="57"/>
  <c r="AF240" i="57"/>
  <c r="AG240" i="57"/>
  <c r="AH240" i="57"/>
  <c r="AI240" i="57"/>
  <c r="AJ240" i="57"/>
  <c r="AK240" i="57"/>
  <c r="AL240" i="57"/>
  <c r="AM240" i="57"/>
  <c r="AN240" i="57"/>
  <c r="AO240" i="57"/>
  <c r="AP240" i="57"/>
  <c r="AQ240" i="57"/>
  <c r="AR240" i="57"/>
  <c r="AS240" i="57"/>
  <c r="AT240" i="57"/>
  <c r="AU240" i="57"/>
  <c r="AV240" i="57"/>
  <c r="AW240" i="57"/>
  <c r="AX240" i="57"/>
  <c r="AY240" i="57"/>
  <c r="AZ240" i="57"/>
  <c r="BA240" i="57"/>
  <c r="BB240" i="57"/>
  <c r="BC240" i="57"/>
  <c r="BD240" i="57"/>
  <c r="BE240" i="57"/>
  <c r="BF240" i="57"/>
  <c r="BG240" i="57"/>
  <c r="BH240" i="57"/>
  <c r="BI240" i="57"/>
  <c r="BJ240" i="57"/>
  <c r="BK240" i="57"/>
  <c r="BL240" i="57"/>
  <c r="BM240" i="57"/>
  <c r="BN240" i="57"/>
  <c r="BO240" i="57"/>
  <c r="BP240" i="57"/>
  <c r="BQ240" i="57"/>
  <c r="BR240" i="57"/>
  <c r="BS240" i="57"/>
  <c r="BT240" i="57"/>
  <c r="BU240" i="57"/>
  <c r="BV240" i="57"/>
  <c r="BW240" i="57"/>
  <c r="BX240" i="57"/>
  <c r="BY240" i="57"/>
  <c r="BZ240" i="57"/>
  <c r="CA240" i="57"/>
  <c r="CB240" i="57"/>
  <c r="CC240" i="57"/>
  <c r="CD240" i="57"/>
  <c r="CE240" i="57"/>
  <c r="CF240" i="57"/>
  <c r="CG240" i="57"/>
  <c r="CH240" i="57"/>
  <c r="CI240" i="57"/>
  <c r="CJ240" i="57"/>
  <c r="S241" i="57"/>
  <c r="T241" i="57"/>
  <c r="U241" i="57"/>
  <c r="V241" i="57"/>
  <c r="W241" i="57"/>
  <c r="X241" i="57"/>
  <c r="Y241" i="57"/>
  <c r="Z241" i="57"/>
  <c r="AA241" i="57"/>
  <c r="AB241" i="57"/>
  <c r="AC241" i="57"/>
  <c r="AD241" i="57"/>
  <c r="AE241" i="57"/>
  <c r="AF241" i="57"/>
  <c r="AG241" i="57"/>
  <c r="AH241" i="57"/>
  <c r="AI241" i="57"/>
  <c r="AJ241" i="57"/>
  <c r="AK241" i="57"/>
  <c r="AL241" i="57"/>
  <c r="AM241" i="57"/>
  <c r="AN241" i="57"/>
  <c r="AO241" i="57"/>
  <c r="AP241" i="57"/>
  <c r="AQ241" i="57"/>
  <c r="AR241" i="57"/>
  <c r="AS241" i="57"/>
  <c r="AT241" i="57"/>
  <c r="AU241" i="57"/>
  <c r="AV241" i="57"/>
  <c r="AW241" i="57"/>
  <c r="AX241" i="57"/>
  <c r="AY241" i="57"/>
  <c r="AZ241" i="57"/>
  <c r="BA241" i="57"/>
  <c r="BB241" i="57"/>
  <c r="BC241" i="57"/>
  <c r="BD241" i="57"/>
  <c r="BE241" i="57"/>
  <c r="BF241" i="57"/>
  <c r="BG241" i="57"/>
  <c r="BH241" i="57"/>
  <c r="BI241" i="57"/>
  <c r="BJ241" i="57"/>
  <c r="BK241" i="57"/>
  <c r="BL241" i="57"/>
  <c r="BM241" i="57"/>
  <c r="BN241" i="57"/>
  <c r="BO241" i="57"/>
  <c r="BP241" i="57"/>
  <c r="BQ241" i="57"/>
  <c r="BR241" i="57"/>
  <c r="BS241" i="57"/>
  <c r="BT241" i="57"/>
  <c r="BU241" i="57"/>
  <c r="BV241" i="57"/>
  <c r="BW241" i="57"/>
  <c r="BX241" i="57"/>
  <c r="BY241" i="57"/>
  <c r="BZ241" i="57"/>
  <c r="CA241" i="57"/>
  <c r="CB241" i="57"/>
  <c r="CC241" i="57"/>
  <c r="CD241" i="57"/>
  <c r="CE241" i="57"/>
  <c r="CF241" i="57"/>
  <c r="CG241" i="57"/>
  <c r="CH241" i="57"/>
  <c r="CI241" i="57"/>
  <c r="CJ241" i="57"/>
  <c r="S242" i="57"/>
  <c r="T242" i="57"/>
  <c r="U242" i="57"/>
  <c r="V242" i="57"/>
  <c r="W242" i="57"/>
  <c r="X242" i="57"/>
  <c r="Y242" i="57"/>
  <c r="Z242" i="57"/>
  <c r="AA242" i="57"/>
  <c r="AB242" i="57"/>
  <c r="AC242" i="57"/>
  <c r="AD242" i="57"/>
  <c r="AE242" i="57"/>
  <c r="AF242" i="57"/>
  <c r="AG242" i="57"/>
  <c r="AH242" i="57"/>
  <c r="AI242" i="57"/>
  <c r="AJ242" i="57"/>
  <c r="AK242" i="57"/>
  <c r="AL242" i="57"/>
  <c r="AM242" i="57"/>
  <c r="AN242" i="57"/>
  <c r="AO242" i="57"/>
  <c r="AP242" i="57"/>
  <c r="AQ242" i="57"/>
  <c r="AR242" i="57"/>
  <c r="AS242" i="57"/>
  <c r="AT242" i="57"/>
  <c r="AU242" i="57"/>
  <c r="AV242" i="57"/>
  <c r="AW242" i="57"/>
  <c r="AX242" i="57"/>
  <c r="AY242" i="57"/>
  <c r="AZ242" i="57"/>
  <c r="BA242" i="57"/>
  <c r="BB242" i="57"/>
  <c r="BC242" i="57"/>
  <c r="BD242" i="57"/>
  <c r="BE242" i="57"/>
  <c r="BF242" i="57"/>
  <c r="BG242" i="57"/>
  <c r="BH242" i="57"/>
  <c r="BI242" i="57"/>
  <c r="BJ242" i="57"/>
  <c r="BK242" i="57"/>
  <c r="BL242" i="57"/>
  <c r="BM242" i="57"/>
  <c r="BN242" i="57"/>
  <c r="BO242" i="57"/>
  <c r="BP242" i="57"/>
  <c r="BQ242" i="57"/>
  <c r="BR242" i="57"/>
  <c r="BS242" i="57"/>
  <c r="BT242" i="57"/>
  <c r="BU242" i="57"/>
  <c r="BV242" i="57"/>
  <c r="BW242" i="57"/>
  <c r="BX242" i="57"/>
  <c r="BY242" i="57"/>
  <c r="BZ242" i="57"/>
  <c r="CA242" i="57"/>
  <c r="CB242" i="57"/>
  <c r="CC242" i="57"/>
  <c r="CD242" i="57"/>
  <c r="CE242" i="57"/>
  <c r="CF242" i="57"/>
  <c r="CG242" i="57"/>
  <c r="CH242" i="57"/>
  <c r="CI242" i="57"/>
  <c r="CJ242" i="57"/>
  <c r="S243" i="57"/>
  <c r="T243" i="57"/>
  <c r="U243" i="57"/>
  <c r="V243" i="57"/>
  <c r="W243" i="57"/>
  <c r="X243" i="57"/>
  <c r="Y243" i="57"/>
  <c r="Z243" i="57"/>
  <c r="AA243" i="57"/>
  <c r="AB243" i="57"/>
  <c r="AC243" i="57"/>
  <c r="AD243" i="57"/>
  <c r="AE243" i="57"/>
  <c r="AF243" i="57"/>
  <c r="AG243" i="57"/>
  <c r="AH243" i="57"/>
  <c r="AI243" i="57"/>
  <c r="AJ243" i="57"/>
  <c r="AK243" i="57"/>
  <c r="AL243" i="57"/>
  <c r="AM243" i="57"/>
  <c r="AN243" i="57"/>
  <c r="AO243" i="57"/>
  <c r="AP243" i="57"/>
  <c r="AQ243" i="57"/>
  <c r="AR243" i="57"/>
  <c r="AS243" i="57"/>
  <c r="AT243" i="57"/>
  <c r="AU243" i="57"/>
  <c r="AV243" i="57"/>
  <c r="AW243" i="57"/>
  <c r="AX243" i="57"/>
  <c r="AY243" i="57"/>
  <c r="AZ243" i="57"/>
  <c r="BA243" i="57"/>
  <c r="BB243" i="57"/>
  <c r="BC243" i="57"/>
  <c r="BD243" i="57"/>
  <c r="BE243" i="57"/>
  <c r="BF243" i="57"/>
  <c r="BG243" i="57"/>
  <c r="BH243" i="57"/>
  <c r="BI243" i="57"/>
  <c r="BJ243" i="57"/>
  <c r="BK243" i="57"/>
  <c r="BL243" i="57"/>
  <c r="BM243" i="57"/>
  <c r="BN243" i="57"/>
  <c r="BO243" i="57"/>
  <c r="BP243" i="57"/>
  <c r="BQ243" i="57"/>
  <c r="BR243" i="57"/>
  <c r="BS243" i="57"/>
  <c r="BT243" i="57"/>
  <c r="BU243" i="57"/>
  <c r="BV243" i="57"/>
  <c r="BW243" i="57"/>
  <c r="BX243" i="57"/>
  <c r="BY243" i="57"/>
  <c r="BZ243" i="57"/>
  <c r="CA243" i="57"/>
  <c r="CB243" i="57"/>
  <c r="CC243" i="57"/>
  <c r="CD243" i="57"/>
  <c r="CE243" i="57"/>
  <c r="CF243" i="57"/>
  <c r="CG243" i="57"/>
  <c r="CH243" i="57"/>
  <c r="CI243" i="57"/>
  <c r="CJ243" i="57"/>
  <c r="S244" i="57"/>
  <c r="T244" i="57"/>
  <c r="U244" i="57"/>
  <c r="V244" i="57"/>
  <c r="W244" i="57"/>
  <c r="X244" i="57"/>
  <c r="Y244" i="57"/>
  <c r="Z244" i="57"/>
  <c r="AA244" i="57"/>
  <c r="AB244" i="57"/>
  <c r="AC244" i="57"/>
  <c r="AD244" i="57"/>
  <c r="AE244" i="57"/>
  <c r="AF244" i="57"/>
  <c r="AG244" i="57"/>
  <c r="AH244" i="57"/>
  <c r="AI244" i="57"/>
  <c r="AJ244" i="57"/>
  <c r="AK244" i="57"/>
  <c r="AL244" i="57"/>
  <c r="AM244" i="57"/>
  <c r="AN244" i="57"/>
  <c r="AO244" i="57"/>
  <c r="AP244" i="57"/>
  <c r="AQ244" i="57"/>
  <c r="AR244" i="57"/>
  <c r="AS244" i="57"/>
  <c r="AT244" i="57"/>
  <c r="AU244" i="57"/>
  <c r="AV244" i="57"/>
  <c r="AW244" i="57"/>
  <c r="AX244" i="57"/>
  <c r="AY244" i="57"/>
  <c r="AZ244" i="57"/>
  <c r="BA244" i="57"/>
  <c r="BB244" i="57"/>
  <c r="BC244" i="57"/>
  <c r="BD244" i="57"/>
  <c r="BE244" i="57"/>
  <c r="BF244" i="57"/>
  <c r="BG244" i="57"/>
  <c r="BH244" i="57"/>
  <c r="BI244" i="57"/>
  <c r="BJ244" i="57"/>
  <c r="BK244" i="57"/>
  <c r="BL244" i="57"/>
  <c r="BM244" i="57"/>
  <c r="BN244" i="57"/>
  <c r="BO244" i="57"/>
  <c r="BP244" i="57"/>
  <c r="BQ244" i="57"/>
  <c r="BR244" i="57"/>
  <c r="BS244" i="57"/>
  <c r="BT244" i="57"/>
  <c r="BU244" i="57"/>
  <c r="BV244" i="57"/>
  <c r="BW244" i="57"/>
  <c r="BX244" i="57"/>
  <c r="BY244" i="57"/>
  <c r="BZ244" i="57"/>
  <c r="CA244" i="57"/>
  <c r="CB244" i="57"/>
  <c r="CC244" i="57"/>
  <c r="CD244" i="57"/>
  <c r="CE244" i="57"/>
  <c r="CF244" i="57"/>
  <c r="CG244" i="57"/>
  <c r="CH244" i="57"/>
  <c r="CI244" i="57"/>
  <c r="CJ244" i="57"/>
  <c r="S245" i="57"/>
  <c r="T245" i="57"/>
  <c r="U245" i="57"/>
  <c r="V245" i="57"/>
  <c r="W245" i="57"/>
  <c r="X245" i="57"/>
  <c r="Y245" i="57"/>
  <c r="Z245" i="57"/>
  <c r="AA245" i="57"/>
  <c r="AB245" i="57"/>
  <c r="AC245" i="57"/>
  <c r="AD245" i="57"/>
  <c r="AE245" i="57"/>
  <c r="AF245" i="57"/>
  <c r="AG245" i="57"/>
  <c r="AH245" i="57"/>
  <c r="AI245" i="57"/>
  <c r="AJ245" i="57"/>
  <c r="AK245" i="57"/>
  <c r="AL245" i="57"/>
  <c r="AM245" i="57"/>
  <c r="AN245" i="57"/>
  <c r="AO245" i="57"/>
  <c r="AP245" i="57"/>
  <c r="AQ245" i="57"/>
  <c r="AR245" i="57"/>
  <c r="AS245" i="57"/>
  <c r="AT245" i="57"/>
  <c r="AU245" i="57"/>
  <c r="AV245" i="57"/>
  <c r="AW245" i="57"/>
  <c r="AX245" i="57"/>
  <c r="AY245" i="57"/>
  <c r="AZ245" i="57"/>
  <c r="BA245" i="57"/>
  <c r="BB245" i="57"/>
  <c r="BC245" i="57"/>
  <c r="BD245" i="57"/>
  <c r="BE245" i="57"/>
  <c r="BF245" i="57"/>
  <c r="BG245" i="57"/>
  <c r="BH245" i="57"/>
  <c r="BI245" i="57"/>
  <c r="BJ245" i="57"/>
  <c r="BK245" i="57"/>
  <c r="BL245" i="57"/>
  <c r="BM245" i="57"/>
  <c r="BN245" i="57"/>
  <c r="BO245" i="57"/>
  <c r="BP245" i="57"/>
  <c r="BQ245" i="57"/>
  <c r="BR245" i="57"/>
  <c r="BS245" i="57"/>
  <c r="BT245" i="57"/>
  <c r="BU245" i="57"/>
  <c r="BV245" i="57"/>
  <c r="BW245" i="57"/>
  <c r="BX245" i="57"/>
  <c r="BY245" i="57"/>
  <c r="BZ245" i="57"/>
  <c r="CA245" i="57"/>
  <c r="CB245" i="57"/>
  <c r="CC245" i="57"/>
  <c r="CD245" i="57"/>
  <c r="CE245" i="57"/>
  <c r="CF245" i="57"/>
  <c r="CG245" i="57"/>
  <c r="CH245" i="57"/>
  <c r="CI245" i="57"/>
  <c r="CJ245" i="57"/>
  <c r="S246" i="57"/>
  <c r="T246" i="57"/>
  <c r="U246" i="57"/>
  <c r="V246" i="57"/>
  <c r="W246" i="57"/>
  <c r="X246" i="57"/>
  <c r="Y246" i="57"/>
  <c r="Z246" i="57"/>
  <c r="AA246" i="57"/>
  <c r="AB246" i="57"/>
  <c r="AC246" i="57"/>
  <c r="AD246" i="57"/>
  <c r="AE246" i="57"/>
  <c r="AF246" i="57"/>
  <c r="AG246" i="57"/>
  <c r="AH246" i="57"/>
  <c r="AI246" i="57"/>
  <c r="AJ246" i="57"/>
  <c r="AK246" i="57"/>
  <c r="AL246" i="57"/>
  <c r="AM246" i="57"/>
  <c r="AN246" i="57"/>
  <c r="AO246" i="57"/>
  <c r="AP246" i="57"/>
  <c r="AQ246" i="57"/>
  <c r="AR246" i="57"/>
  <c r="AS246" i="57"/>
  <c r="AT246" i="57"/>
  <c r="AU246" i="57"/>
  <c r="AV246" i="57"/>
  <c r="AW246" i="57"/>
  <c r="AX246" i="57"/>
  <c r="AY246" i="57"/>
  <c r="AZ246" i="57"/>
  <c r="BA246" i="57"/>
  <c r="BB246" i="57"/>
  <c r="BC246" i="57"/>
  <c r="BD246" i="57"/>
  <c r="BE246" i="57"/>
  <c r="BF246" i="57"/>
  <c r="BG246" i="57"/>
  <c r="BH246" i="57"/>
  <c r="BI246" i="57"/>
  <c r="BJ246" i="57"/>
  <c r="BK246" i="57"/>
  <c r="BL246" i="57"/>
  <c r="BM246" i="57"/>
  <c r="BN246" i="57"/>
  <c r="BO246" i="57"/>
  <c r="BP246" i="57"/>
  <c r="BQ246" i="57"/>
  <c r="BR246" i="57"/>
  <c r="BS246" i="57"/>
  <c r="BT246" i="57"/>
  <c r="BU246" i="57"/>
  <c r="BV246" i="57"/>
  <c r="BW246" i="57"/>
  <c r="BX246" i="57"/>
  <c r="BY246" i="57"/>
  <c r="BZ246" i="57"/>
  <c r="CA246" i="57"/>
  <c r="CB246" i="57"/>
  <c r="CC246" i="57"/>
  <c r="CD246" i="57"/>
  <c r="CE246" i="57"/>
  <c r="CF246" i="57"/>
  <c r="CG246" i="57"/>
  <c r="CH246" i="57"/>
  <c r="CI246" i="57"/>
  <c r="CJ246" i="57"/>
  <c r="S247" i="57"/>
  <c r="T247" i="57"/>
  <c r="U247" i="57"/>
  <c r="V247" i="57"/>
  <c r="W247" i="57"/>
  <c r="X247" i="57"/>
  <c r="Y247" i="57"/>
  <c r="Z247" i="57"/>
  <c r="AA247" i="57"/>
  <c r="AB247" i="57"/>
  <c r="AC247" i="57"/>
  <c r="AD247" i="57"/>
  <c r="AE247" i="57"/>
  <c r="AF247" i="57"/>
  <c r="AG247" i="57"/>
  <c r="AH247" i="57"/>
  <c r="AI247" i="57"/>
  <c r="AJ247" i="57"/>
  <c r="AK247" i="57"/>
  <c r="AL247" i="57"/>
  <c r="AM247" i="57"/>
  <c r="AN247" i="57"/>
  <c r="AO247" i="57"/>
  <c r="AP247" i="57"/>
  <c r="AQ247" i="57"/>
  <c r="AR247" i="57"/>
  <c r="AS247" i="57"/>
  <c r="AT247" i="57"/>
  <c r="AU247" i="57"/>
  <c r="AV247" i="57"/>
  <c r="AW247" i="57"/>
  <c r="AX247" i="57"/>
  <c r="AY247" i="57"/>
  <c r="AZ247" i="57"/>
  <c r="BA247" i="57"/>
  <c r="BB247" i="57"/>
  <c r="BC247" i="57"/>
  <c r="BD247" i="57"/>
  <c r="BE247" i="57"/>
  <c r="BF247" i="57"/>
  <c r="BG247" i="57"/>
  <c r="BH247" i="57"/>
  <c r="BI247" i="57"/>
  <c r="BJ247" i="57"/>
  <c r="BK247" i="57"/>
  <c r="BL247" i="57"/>
  <c r="BM247" i="57"/>
  <c r="BN247" i="57"/>
  <c r="BO247" i="57"/>
  <c r="BP247" i="57"/>
  <c r="BQ247" i="57"/>
  <c r="BR247" i="57"/>
  <c r="BS247" i="57"/>
  <c r="BT247" i="57"/>
  <c r="BU247" i="57"/>
  <c r="BV247" i="57"/>
  <c r="BW247" i="57"/>
  <c r="BX247" i="57"/>
  <c r="BY247" i="57"/>
  <c r="BZ247" i="57"/>
  <c r="CA247" i="57"/>
  <c r="CB247" i="57"/>
  <c r="CC247" i="57"/>
  <c r="CD247" i="57"/>
  <c r="CE247" i="57"/>
  <c r="CF247" i="57"/>
  <c r="CG247" i="57"/>
  <c r="CH247" i="57"/>
  <c r="CI247" i="57"/>
  <c r="CJ247" i="57"/>
  <c r="S248" i="57"/>
  <c r="T248" i="57"/>
  <c r="U248" i="57"/>
  <c r="V248" i="57"/>
  <c r="W248" i="57"/>
  <c r="X248" i="57"/>
  <c r="Y248" i="57"/>
  <c r="Z248" i="57"/>
  <c r="AA248" i="57"/>
  <c r="AB248" i="57"/>
  <c r="AC248" i="57"/>
  <c r="AD248" i="57"/>
  <c r="AE248" i="57"/>
  <c r="AF248" i="57"/>
  <c r="AG248" i="57"/>
  <c r="AH248" i="57"/>
  <c r="AI248" i="57"/>
  <c r="AJ248" i="57"/>
  <c r="AK248" i="57"/>
  <c r="AL248" i="57"/>
  <c r="AM248" i="57"/>
  <c r="AN248" i="57"/>
  <c r="AO248" i="57"/>
  <c r="AP248" i="57"/>
  <c r="AQ248" i="57"/>
  <c r="AR248" i="57"/>
  <c r="AS248" i="57"/>
  <c r="AT248" i="57"/>
  <c r="AU248" i="57"/>
  <c r="AV248" i="57"/>
  <c r="AW248" i="57"/>
  <c r="AX248" i="57"/>
  <c r="AY248" i="57"/>
  <c r="AZ248" i="57"/>
  <c r="BA248" i="57"/>
  <c r="BB248" i="57"/>
  <c r="BC248" i="57"/>
  <c r="BD248" i="57"/>
  <c r="BE248" i="57"/>
  <c r="BF248" i="57"/>
  <c r="BG248" i="57"/>
  <c r="BH248" i="57"/>
  <c r="BI248" i="57"/>
  <c r="BJ248" i="57"/>
  <c r="BK248" i="57"/>
  <c r="BL248" i="57"/>
  <c r="BM248" i="57"/>
  <c r="BN248" i="57"/>
  <c r="BO248" i="57"/>
  <c r="BP248" i="57"/>
  <c r="BQ248" i="57"/>
  <c r="BR248" i="57"/>
  <c r="BS248" i="57"/>
  <c r="BT248" i="57"/>
  <c r="BU248" i="57"/>
  <c r="BV248" i="57"/>
  <c r="BW248" i="57"/>
  <c r="BX248" i="57"/>
  <c r="BY248" i="57"/>
  <c r="BZ248" i="57"/>
  <c r="CA248" i="57"/>
  <c r="CB248" i="57"/>
  <c r="CC248" i="57"/>
  <c r="CD248" i="57"/>
  <c r="CE248" i="57"/>
  <c r="CF248" i="57"/>
  <c r="CG248" i="57"/>
  <c r="CH248" i="57"/>
  <c r="CI248" i="57"/>
  <c r="CJ248" i="57"/>
  <c r="S249" i="57"/>
  <c r="T249" i="57"/>
  <c r="U249" i="57"/>
  <c r="V249" i="57"/>
  <c r="W249" i="57"/>
  <c r="X249" i="57"/>
  <c r="Y249" i="57"/>
  <c r="Z249" i="57"/>
  <c r="AA249" i="57"/>
  <c r="AB249" i="57"/>
  <c r="AC249" i="57"/>
  <c r="AD249" i="57"/>
  <c r="AE249" i="57"/>
  <c r="AF249" i="57"/>
  <c r="AG249" i="57"/>
  <c r="AH249" i="57"/>
  <c r="AI249" i="57"/>
  <c r="AJ249" i="57"/>
  <c r="AK249" i="57"/>
  <c r="AL249" i="57"/>
  <c r="AM249" i="57"/>
  <c r="AN249" i="57"/>
  <c r="AO249" i="57"/>
  <c r="AP249" i="57"/>
  <c r="AQ249" i="57"/>
  <c r="AR249" i="57"/>
  <c r="AS249" i="57"/>
  <c r="AT249" i="57"/>
  <c r="AU249" i="57"/>
  <c r="AV249" i="57"/>
  <c r="AW249" i="57"/>
  <c r="AX249" i="57"/>
  <c r="AY249" i="57"/>
  <c r="AZ249" i="57"/>
  <c r="BA249" i="57"/>
  <c r="BB249" i="57"/>
  <c r="BC249" i="57"/>
  <c r="BD249" i="57"/>
  <c r="BE249" i="57"/>
  <c r="BF249" i="57"/>
  <c r="BG249" i="57"/>
  <c r="BH249" i="57"/>
  <c r="BI249" i="57"/>
  <c r="BJ249" i="57"/>
  <c r="BK249" i="57"/>
  <c r="BL249" i="57"/>
  <c r="BM249" i="57"/>
  <c r="BN249" i="57"/>
  <c r="BO249" i="57"/>
  <c r="BP249" i="57"/>
  <c r="BQ249" i="57"/>
  <c r="BR249" i="57"/>
  <c r="BS249" i="57"/>
  <c r="BT249" i="57"/>
  <c r="BU249" i="57"/>
  <c r="BV249" i="57"/>
  <c r="BW249" i="57"/>
  <c r="BX249" i="57"/>
  <c r="BY249" i="57"/>
  <c r="BZ249" i="57"/>
  <c r="CA249" i="57"/>
  <c r="CB249" i="57"/>
  <c r="CC249" i="57"/>
  <c r="CD249" i="57"/>
  <c r="CE249" i="57"/>
  <c r="CF249" i="57"/>
  <c r="CG249" i="57"/>
  <c r="CH249" i="57"/>
  <c r="CI249" i="57"/>
  <c r="CJ249" i="57"/>
  <c r="S250" i="57"/>
  <c r="T250" i="57"/>
  <c r="U250" i="57"/>
  <c r="V250" i="57"/>
  <c r="W250" i="57"/>
  <c r="X250" i="57"/>
  <c r="Y250" i="57"/>
  <c r="Z250" i="57"/>
  <c r="AA250" i="57"/>
  <c r="AB250" i="57"/>
  <c r="AC250" i="57"/>
  <c r="AD250" i="57"/>
  <c r="AE250" i="57"/>
  <c r="AF250" i="57"/>
  <c r="AG250" i="57"/>
  <c r="AH250" i="57"/>
  <c r="AI250" i="57"/>
  <c r="AJ250" i="57"/>
  <c r="AK250" i="57"/>
  <c r="AL250" i="57"/>
  <c r="AM250" i="57"/>
  <c r="AN250" i="57"/>
  <c r="AO250" i="57"/>
  <c r="AP250" i="57"/>
  <c r="AQ250" i="57"/>
  <c r="AR250" i="57"/>
  <c r="AS250" i="57"/>
  <c r="AT250" i="57"/>
  <c r="AU250" i="57"/>
  <c r="AV250" i="57"/>
  <c r="AW250" i="57"/>
  <c r="AX250" i="57"/>
  <c r="AY250" i="57"/>
  <c r="AZ250" i="57"/>
  <c r="BA250" i="57"/>
  <c r="BB250" i="57"/>
  <c r="BC250" i="57"/>
  <c r="BD250" i="57"/>
  <c r="BE250" i="57"/>
  <c r="BF250" i="57"/>
  <c r="BG250" i="57"/>
  <c r="BH250" i="57"/>
  <c r="BI250" i="57"/>
  <c r="BJ250" i="57"/>
  <c r="BK250" i="57"/>
  <c r="BL250" i="57"/>
  <c r="BM250" i="57"/>
  <c r="BN250" i="57"/>
  <c r="BO250" i="57"/>
  <c r="BP250" i="57"/>
  <c r="BQ250" i="57"/>
  <c r="BR250" i="57"/>
  <c r="BS250" i="57"/>
  <c r="BT250" i="57"/>
  <c r="BU250" i="57"/>
  <c r="BV250" i="57"/>
  <c r="BW250" i="57"/>
  <c r="BX250" i="57"/>
  <c r="BY250" i="57"/>
  <c r="BZ250" i="57"/>
  <c r="CA250" i="57"/>
  <c r="CB250" i="57"/>
  <c r="CC250" i="57"/>
  <c r="CD250" i="57"/>
  <c r="CE250" i="57"/>
  <c r="CF250" i="57"/>
  <c r="CG250" i="57"/>
  <c r="CH250" i="57"/>
  <c r="CI250" i="57"/>
  <c r="CJ250" i="57"/>
  <c r="S251" i="57"/>
  <c r="T251" i="57"/>
  <c r="U251" i="57"/>
  <c r="V251" i="57"/>
  <c r="W251" i="57"/>
  <c r="X251" i="57"/>
  <c r="Y251" i="57"/>
  <c r="Z251" i="57"/>
  <c r="AA251" i="57"/>
  <c r="AB251" i="57"/>
  <c r="AC251" i="57"/>
  <c r="AD251" i="57"/>
  <c r="AE251" i="57"/>
  <c r="AF251" i="57"/>
  <c r="AG251" i="57"/>
  <c r="AH251" i="57"/>
  <c r="AI251" i="57"/>
  <c r="AJ251" i="57"/>
  <c r="AK251" i="57"/>
  <c r="AL251" i="57"/>
  <c r="AM251" i="57"/>
  <c r="AN251" i="57"/>
  <c r="AO251" i="57"/>
  <c r="AP251" i="57"/>
  <c r="AQ251" i="57"/>
  <c r="AR251" i="57"/>
  <c r="AS251" i="57"/>
  <c r="AT251" i="57"/>
  <c r="AU251" i="57"/>
  <c r="AV251" i="57"/>
  <c r="AW251" i="57"/>
  <c r="AX251" i="57"/>
  <c r="AY251" i="57"/>
  <c r="AZ251" i="57"/>
  <c r="BA251" i="57"/>
  <c r="BB251" i="57"/>
  <c r="BC251" i="57"/>
  <c r="BD251" i="57"/>
  <c r="BE251" i="57"/>
  <c r="BF251" i="57"/>
  <c r="BG251" i="57"/>
  <c r="BH251" i="57"/>
  <c r="BI251" i="57"/>
  <c r="BJ251" i="57"/>
  <c r="BK251" i="57"/>
  <c r="BL251" i="57"/>
  <c r="BM251" i="57"/>
  <c r="BN251" i="57"/>
  <c r="BO251" i="57"/>
  <c r="BP251" i="57"/>
  <c r="BQ251" i="57"/>
  <c r="BR251" i="57"/>
  <c r="BS251" i="57"/>
  <c r="BT251" i="57"/>
  <c r="BU251" i="57"/>
  <c r="BV251" i="57"/>
  <c r="BW251" i="57"/>
  <c r="BX251" i="57"/>
  <c r="BY251" i="57"/>
  <c r="BZ251" i="57"/>
  <c r="CA251" i="57"/>
  <c r="CB251" i="57"/>
  <c r="CC251" i="57"/>
  <c r="CD251" i="57"/>
  <c r="CE251" i="57"/>
  <c r="CF251" i="57"/>
  <c r="CG251" i="57"/>
  <c r="CH251" i="57"/>
  <c r="CI251" i="57"/>
  <c r="CJ251" i="57"/>
  <c r="S252" i="57"/>
  <c r="T252" i="57"/>
  <c r="U252" i="57"/>
  <c r="V252" i="57"/>
  <c r="W252" i="57"/>
  <c r="X252" i="57"/>
  <c r="Y252" i="57"/>
  <c r="Z252" i="57"/>
  <c r="AA252" i="57"/>
  <c r="AB252" i="57"/>
  <c r="AC252" i="57"/>
  <c r="AD252" i="57"/>
  <c r="AE252" i="57"/>
  <c r="AF252" i="57"/>
  <c r="AG252" i="57"/>
  <c r="AH252" i="57"/>
  <c r="AI252" i="57"/>
  <c r="AJ252" i="57"/>
  <c r="AK252" i="57"/>
  <c r="AL252" i="57"/>
  <c r="AM252" i="57"/>
  <c r="AN252" i="57"/>
  <c r="AO252" i="57"/>
  <c r="AP252" i="57"/>
  <c r="AQ252" i="57"/>
  <c r="AR252" i="57"/>
  <c r="AS252" i="57"/>
  <c r="AT252" i="57"/>
  <c r="AU252" i="57"/>
  <c r="AV252" i="57"/>
  <c r="AW252" i="57"/>
  <c r="AX252" i="57"/>
  <c r="AY252" i="57"/>
  <c r="AZ252" i="57"/>
  <c r="BA252" i="57"/>
  <c r="BB252" i="57"/>
  <c r="BC252" i="57"/>
  <c r="BD252" i="57"/>
  <c r="BE252" i="57"/>
  <c r="BF252" i="57"/>
  <c r="BG252" i="57"/>
  <c r="BH252" i="57"/>
  <c r="BI252" i="57"/>
  <c r="BJ252" i="57"/>
  <c r="BK252" i="57"/>
  <c r="BL252" i="57"/>
  <c r="BM252" i="57"/>
  <c r="BN252" i="57"/>
  <c r="BO252" i="57"/>
  <c r="BP252" i="57"/>
  <c r="BQ252" i="57"/>
  <c r="BR252" i="57"/>
  <c r="BS252" i="57"/>
  <c r="BT252" i="57"/>
  <c r="BU252" i="57"/>
  <c r="BV252" i="57"/>
  <c r="BW252" i="57"/>
  <c r="BX252" i="57"/>
  <c r="BY252" i="57"/>
  <c r="BZ252" i="57"/>
  <c r="CA252" i="57"/>
  <c r="CB252" i="57"/>
  <c r="CC252" i="57"/>
  <c r="CD252" i="57"/>
  <c r="CE252" i="57"/>
  <c r="CF252" i="57"/>
  <c r="CG252" i="57"/>
  <c r="CH252" i="57"/>
  <c r="CI252" i="57"/>
  <c r="CJ252" i="57"/>
  <c r="S253" i="57"/>
  <c r="T253" i="57"/>
  <c r="U253" i="57"/>
  <c r="V253" i="57"/>
  <c r="W253" i="57"/>
  <c r="X253" i="57"/>
  <c r="Y253" i="57"/>
  <c r="Z253" i="57"/>
  <c r="AA253" i="57"/>
  <c r="AB253" i="57"/>
  <c r="AC253" i="57"/>
  <c r="AD253" i="57"/>
  <c r="AE253" i="57"/>
  <c r="AF253" i="57"/>
  <c r="AG253" i="57"/>
  <c r="AH253" i="57"/>
  <c r="AI253" i="57"/>
  <c r="AJ253" i="57"/>
  <c r="AK253" i="57"/>
  <c r="AL253" i="57"/>
  <c r="AM253" i="57"/>
  <c r="AN253" i="57"/>
  <c r="AO253" i="57"/>
  <c r="AP253" i="57"/>
  <c r="AQ253" i="57"/>
  <c r="AR253" i="57"/>
  <c r="AS253" i="57"/>
  <c r="AT253" i="57"/>
  <c r="AU253" i="57"/>
  <c r="AV253" i="57"/>
  <c r="AW253" i="57"/>
  <c r="AX253" i="57"/>
  <c r="AY253" i="57"/>
  <c r="AZ253" i="57"/>
  <c r="BA253" i="57"/>
  <c r="BB253" i="57"/>
  <c r="BC253" i="57"/>
  <c r="BD253" i="57"/>
  <c r="BE253" i="57"/>
  <c r="BF253" i="57"/>
  <c r="BG253" i="57"/>
  <c r="BH253" i="57"/>
  <c r="BI253" i="57"/>
  <c r="BJ253" i="57"/>
  <c r="BK253" i="57"/>
  <c r="BL253" i="57"/>
  <c r="BM253" i="57"/>
  <c r="BN253" i="57"/>
  <c r="BO253" i="57"/>
  <c r="BP253" i="57"/>
  <c r="BQ253" i="57"/>
  <c r="BR253" i="57"/>
  <c r="BS253" i="57"/>
  <c r="BT253" i="57"/>
  <c r="BU253" i="57"/>
  <c r="BV253" i="57"/>
  <c r="BW253" i="57"/>
  <c r="BX253" i="57"/>
  <c r="BY253" i="57"/>
  <c r="BZ253" i="57"/>
  <c r="CA253" i="57"/>
  <c r="CB253" i="57"/>
  <c r="CC253" i="57"/>
  <c r="CD253" i="57"/>
  <c r="CE253" i="57"/>
  <c r="CF253" i="57"/>
  <c r="CG253" i="57"/>
  <c r="CH253" i="57"/>
  <c r="CI253" i="57"/>
  <c r="CJ253" i="57"/>
  <c r="S254" i="57"/>
  <c r="T254" i="57"/>
  <c r="U254" i="57"/>
  <c r="V254" i="57"/>
  <c r="W254" i="57"/>
  <c r="X254" i="57"/>
  <c r="Y254" i="57"/>
  <c r="Z254" i="57"/>
  <c r="AA254" i="57"/>
  <c r="AB254" i="57"/>
  <c r="AC254" i="57"/>
  <c r="AD254" i="57"/>
  <c r="AE254" i="57"/>
  <c r="AF254" i="57"/>
  <c r="AG254" i="57"/>
  <c r="AH254" i="57"/>
  <c r="AI254" i="57"/>
  <c r="AJ254" i="57"/>
  <c r="AK254" i="57"/>
  <c r="AL254" i="57"/>
  <c r="AM254" i="57"/>
  <c r="AN254" i="57"/>
  <c r="AO254" i="57"/>
  <c r="AP254" i="57"/>
  <c r="AQ254" i="57"/>
  <c r="AR254" i="57"/>
  <c r="AS254" i="57"/>
  <c r="AT254" i="57"/>
  <c r="AU254" i="57"/>
  <c r="AV254" i="57"/>
  <c r="AW254" i="57"/>
  <c r="AX254" i="57"/>
  <c r="AY254" i="57"/>
  <c r="AZ254" i="57"/>
  <c r="BA254" i="57"/>
  <c r="BB254" i="57"/>
  <c r="BC254" i="57"/>
  <c r="BD254" i="57"/>
  <c r="BE254" i="57"/>
  <c r="BF254" i="57"/>
  <c r="BG254" i="57"/>
  <c r="BH254" i="57"/>
  <c r="BI254" i="57"/>
  <c r="BJ254" i="57"/>
  <c r="BK254" i="57"/>
  <c r="BL254" i="57"/>
  <c r="BM254" i="57"/>
  <c r="BN254" i="57"/>
  <c r="BO254" i="57"/>
  <c r="BP254" i="57"/>
  <c r="BQ254" i="57"/>
  <c r="BR254" i="57"/>
  <c r="BS254" i="57"/>
  <c r="BT254" i="57"/>
  <c r="BU254" i="57"/>
  <c r="BV254" i="57"/>
  <c r="BW254" i="57"/>
  <c r="BX254" i="57"/>
  <c r="BY254" i="57"/>
  <c r="BZ254" i="57"/>
  <c r="CA254" i="57"/>
  <c r="CB254" i="57"/>
  <c r="CC254" i="57"/>
  <c r="CD254" i="57"/>
  <c r="CE254" i="57"/>
  <c r="CF254" i="57"/>
  <c r="CG254" i="57"/>
  <c r="CH254" i="57"/>
  <c r="CI254" i="57"/>
  <c r="CJ254" i="57"/>
  <c r="S255" i="57"/>
  <c r="T255" i="57"/>
  <c r="U255" i="57"/>
  <c r="V255" i="57"/>
  <c r="W255" i="57"/>
  <c r="X255" i="57"/>
  <c r="Y255" i="57"/>
  <c r="Z255" i="57"/>
  <c r="AA255" i="57"/>
  <c r="AB255" i="57"/>
  <c r="AC255" i="57"/>
  <c r="AD255" i="57"/>
  <c r="AE255" i="57"/>
  <c r="AF255" i="57"/>
  <c r="AG255" i="57"/>
  <c r="AH255" i="57"/>
  <c r="AI255" i="57"/>
  <c r="AJ255" i="57"/>
  <c r="AK255" i="57"/>
  <c r="AL255" i="57"/>
  <c r="AM255" i="57"/>
  <c r="AN255" i="57"/>
  <c r="AO255" i="57"/>
  <c r="AP255" i="57"/>
  <c r="AQ255" i="57"/>
  <c r="AR255" i="57"/>
  <c r="AS255" i="57"/>
  <c r="AT255" i="57"/>
  <c r="AU255" i="57"/>
  <c r="AV255" i="57"/>
  <c r="AW255" i="57"/>
  <c r="AX255" i="57"/>
  <c r="AY255" i="57"/>
  <c r="AZ255" i="57"/>
  <c r="BA255" i="57"/>
  <c r="BB255" i="57"/>
  <c r="BC255" i="57"/>
  <c r="BD255" i="57"/>
  <c r="BE255" i="57"/>
  <c r="BF255" i="57"/>
  <c r="BG255" i="57"/>
  <c r="BH255" i="57"/>
  <c r="BI255" i="57"/>
  <c r="BJ255" i="57"/>
  <c r="BK255" i="57"/>
  <c r="BL255" i="57"/>
  <c r="BM255" i="57"/>
  <c r="BN255" i="57"/>
  <c r="BO255" i="57"/>
  <c r="BP255" i="57"/>
  <c r="BQ255" i="57"/>
  <c r="BR255" i="57"/>
  <c r="BS255" i="57"/>
  <c r="BT255" i="57"/>
  <c r="BU255" i="57"/>
  <c r="BV255" i="57"/>
  <c r="BW255" i="57"/>
  <c r="BX255" i="57"/>
  <c r="BY255" i="57"/>
  <c r="BZ255" i="57"/>
  <c r="CA255" i="57"/>
  <c r="CB255" i="57"/>
  <c r="CC255" i="57"/>
  <c r="CD255" i="57"/>
  <c r="CE255" i="57"/>
  <c r="CF255" i="57"/>
  <c r="CG255" i="57"/>
  <c r="CH255" i="57"/>
  <c r="CI255" i="57"/>
  <c r="CJ255" i="57"/>
  <c r="S256" i="57"/>
  <c r="T256" i="57"/>
  <c r="U256" i="57"/>
  <c r="V256" i="57"/>
  <c r="W256" i="57"/>
  <c r="X256" i="57"/>
  <c r="Y256" i="57"/>
  <c r="Z256" i="57"/>
  <c r="AA256" i="57"/>
  <c r="AB256" i="57"/>
  <c r="AC256" i="57"/>
  <c r="AD256" i="57"/>
  <c r="AE256" i="57"/>
  <c r="AF256" i="57"/>
  <c r="AG256" i="57"/>
  <c r="AH256" i="57"/>
  <c r="AI256" i="57"/>
  <c r="AJ256" i="57"/>
  <c r="AK256" i="57"/>
  <c r="AL256" i="57"/>
  <c r="AM256" i="57"/>
  <c r="AN256" i="57"/>
  <c r="AO256" i="57"/>
  <c r="AP256" i="57"/>
  <c r="AQ256" i="57"/>
  <c r="AR256" i="57"/>
  <c r="AS256" i="57"/>
  <c r="AT256" i="57"/>
  <c r="AU256" i="57"/>
  <c r="AV256" i="57"/>
  <c r="AW256" i="57"/>
  <c r="AX256" i="57"/>
  <c r="AY256" i="57"/>
  <c r="AZ256" i="57"/>
  <c r="BA256" i="57"/>
  <c r="BB256" i="57"/>
  <c r="BC256" i="57"/>
  <c r="BD256" i="57"/>
  <c r="BE256" i="57"/>
  <c r="BF256" i="57"/>
  <c r="BG256" i="57"/>
  <c r="BH256" i="57"/>
  <c r="BI256" i="57"/>
  <c r="BJ256" i="57"/>
  <c r="BK256" i="57"/>
  <c r="BL256" i="57"/>
  <c r="BM256" i="57"/>
  <c r="BN256" i="57"/>
  <c r="BO256" i="57"/>
  <c r="BP256" i="57"/>
  <c r="BQ256" i="57"/>
  <c r="BR256" i="57"/>
  <c r="BS256" i="57"/>
  <c r="BT256" i="57"/>
  <c r="BU256" i="57"/>
  <c r="BV256" i="57"/>
  <c r="BW256" i="57"/>
  <c r="BX256" i="57"/>
  <c r="BY256" i="57"/>
  <c r="BZ256" i="57"/>
  <c r="CA256" i="57"/>
  <c r="CB256" i="57"/>
  <c r="CC256" i="57"/>
  <c r="CD256" i="57"/>
  <c r="CE256" i="57"/>
  <c r="CF256" i="57"/>
  <c r="CG256" i="57"/>
  <c r="CH256" i="57"/>
  <c r="CI256" i="57"/>
  <c r="CJ256" i="57"/>
  <c r="S257" i="57"/>
  <c r="T257" i="57"/>
  <c r="U257" i="57"/>
  <c r="V257" i="57"/>
  <c r="W257" i="57"/>
  <c r="X257" i="57"/>
  <c r="Y257" i="57"/>
  <c r="Z257" i="57"/>
  <c r="AA257" i="57"/>
  <c r="AB257" i="57"/>
  <c r="AC257" i="57"/>
  <c r="AD257" i="57"/>
  <c r="AE257" i="57"/>
  <c r="AF257" i="57"/>
  <c r="AG257" i="57"/>
  <c r="AH257" i="57"/>
  <c r="AI257" i="57"/>
  <c r="AJ257" i="57"/>
  <c r="AK257" i="57"/>
  <c r="AL257" i="57"/>
  <c r="AM257" i="57"/>
  <c r="AN257" i="57"/>
  <c r="AO257" i="57"/>
  <c r="AP257" i="57"/>
  <c r="AQ257" i="57"/>
  <c r="AR257" i="57"/>
  <c r="AS257" i="57"/>
  <c r="AT257" i="57"/>
  <c r="AU257" i="57"/>
  <c r="AV257" i="57"/>
  <c r="AW257" i="57"/>
  <c r="AX257" i="57"/>
  <c r="AY257" i="57"/>
  <c r="AZ257" i="57"/>
  <c r="BA257" i="57"/>
  <c r="BB257" i="57"/>
  <c r="BC257" i="57"/>
  <c r="BD257" i="57"/>
  <c r="BE257" i="57"/>
  <c r="BF257" i="57"/>
  <c r="BG257" i="57"/>
  <c r="BH257" i="57"/>
  <c r="BI257" i="57"/>
  <c r="BJ257" i="57"/>
  <c r="BK257" i="57"/>
  <c r="BL257" i="57"/>
  <c r="BM257" i="57"/>
  <c r="BN257" i="57"/>
  <c r="BO257" i="57"/>
  <c r="BP257" i="57"/>
  <c r="BQ257" i="57"/>
  <c r="BR257" i="57"/>
  <c r="BS257" i="57"/>
  <c r="BT257" i="57"/>
  <c r="BU257" i="57"/>
  <c r="BV257" i="57"/>
  <c r="BW257" i="57"/>
  <c r="BX257" i="57"/>
  <c r="BY257" i="57"/>
  <c r="BZ257" i="57"/>
  <c r="CA257" i="57"/>
  <c r="CB257" i="57"/>
  <c r="CC257" i="57"/>
  <c r="CD257" i="57"/>
  <c r="CE257" i="57"/>
  <c r="CF257" i="57"/>
  <c r="CG257" i="57"/>
  <c r="CH257" i="57"/>
  <c r="CI257" i="57"/>
  <c r="CJ257" i="57"/>
  <c r="S258" i="57"/>
  <c r="T258" i="57"/>
  <c r="U258" i="57"/>
  <c r="V258" i="57"/>
  <c r="W258" i="57"/>
  <c r="X258" i="57"/>
  <c r="Y258" i="57"/>
  <c r="Z258" i="57"/>
  <c r="AA258" i="57"/>
  <c r="AB258" i="57"/>
  <c r="AC258" i="57"/>
  <c r="AD258" i="57"/>
  <c r="AE258" i="57"/>
  <c r="AF258" i="57"/>
  <c r="AG258" i="57"/>
  <c r="AH258" i="57"/>
  <c r="AI258" i="57"/>
  <c r="AJ258" i="57"/>
  <c r="AK258" i="57"/>
  <c r="AL258" i="57"/>
  <c r="AM258" i="57"/>
  <c r="AN258" i="57"/>
  <c r="AO258" i="57"/>
  <c r="AP258" i="57"/>
  <c r="AQ258" i="57"/>
  <c r="AR258" i="57"/>
  <c r="AS258" i="57"/>
  <c r="AT258" i="57"/>
  <c r="AU258" i="57"/>
  <c r="AV258" i="57"/>
  <c r="AW258" i="57"/>
  <c r="AX258" i="57"/>
  <c r="AY258" i="57"/>
  <c r="AZ258" i="57"/>
  <c r="BA258" i="57"/>
  <c r="BB258" i="57"/>
  <c r="BC258" i="57"/>
  <c r="BD258" i="57"/>
  <c r="BE258" i="57"/>
  <c r="BF258" i="57"/>
  <c r="BG258" i="57"/>
  <c r="BH258" i="57"/>
  <c r="BI258" i="57"/>
  <c r="BJ258" i="57"/>
  <c r="BK258" i="57"/>
  <c r="BL258" i="57"/>
  <c r="BM258" i="57"/>
  <c r="BN258" i="57"/>
  <c r="BO258" i="57"/>
  <c r="BP258" i="57"/>
  <c r="BQ258" i="57"/>
  <c r="BR258" i="57"/>
  <c r="BS258" i="57"/>
  <c r="BT258" i="57"/>
  <c r="BU258" i="57"/>
  <c r="BV258" i="57"/>
  <c r="BW258" i="57"/>
  <c r="BX258" i="57"/>
  <c r="BY258" i="57"/>
  <c r="BZ258" i="57"/>
  <c r="CA258" i="57"/>
  <c r="CB258" i="57"/>
  <c r="CC258" i="57"/>
  <c r="CD258" i="57"/>
  <c r="CE258" i="57"/>
  <c r="CF258" i="57"/>
  <c r="CG258" i="57"/>
  <c r="CH258" i="57"/>
  <c r="CI258" i="57"/>
  <c r="CJ258" i="57"/>
  <c r="S259" i="57"/>
  <c r="T259" i="57"/>
  <c r="U259" i="57"/>
  <c r="V259" i="57"/>
  <c r="W259" i="57"/>
  <c r="X259" i="57"/>
  <c r="Y259" i="57"/>
  <c r="Z259" i="57"/>
  <c r="AA259" i="57"/>
  <c r="AB259" i="57"/>
  <c r="AC259" i="57"/>
  <c r="AD259" i="57"/>
  <c r="AE259" i="57"/>
  <c r="AF259" i="57"/>
  <c r="AG259" i="57"/>
  <c r="AH259" i="57"/>
  <c r="AI259" i="57"/>
  <c r="AJ259" i="57"/>
  <c r="AK259" i="57"/>
  <c r="AL259" i="57"/>
  <c r="AM259" i="57"/>
  <c r="AN259" i="57"/>
  <c r="AO259" i="57"/>
  <c r="AP259" i="57"/>
  <c r="AQ259" i="57"/>
  <c r="AR259" i="57"/>
  <c r="AS259" i="57"/>
  <c r="AT259" i="57"/>
  <c r="AU259" i="57"/>
  <c r="AV259" i="57"/>
  <c r="AW259" i="57"/>
  <c r="AX259" i="57"/>
  <c r="AY259" i="57"/>
  <c r="AZ259" i="57"/>
  <c r="BA259" i="57"/>
  <c r="BB259" i="57"/>
  <c r="BC259" i="57"/>
  <c r="BD259" i="57"/>
  <c r="BE259" i="57"/>
  <c r="BF259" i="57"/>
  <c r="BG259" i="57"/>
  <c r="BH259" i="57"/>
  <c r="BI259" i="57"/>
  <c r="BJ259" i="57"/>
  <c r="BK259" i="57"/>
  <c r="BL259" i="57"/>
  <c r="BM259" i="57"/>
  <c r="BN259" i="57"/>
  <c r="BO259" i="57"/>
  <c r="BP259" i="57"/>
  <c r="BQ259" i="57"/>
  <c r="BR259" i="57"/>
  <c r="BS259" i="57"/>
  <c r="BT259" i="57"/>
  <c r="BU259" i="57"/>
  <c r="BV259" i="57"/>
  <c r="BW259" i="57"/>
  <c r="BX259" i="57"/>
  <c r="BY259" i="57"/>
  <c r="BZ259" i="57"/>
  <c r="CA259" i="57"/>
  <c r="CB259" i="57"/>
  <c r="CC259" i="57"/>
  <c r="CD259" i="57"/>
  <c r="CE259" i="57"/>
  <c r="CF259" i="57"/>
  <c r="CG259" i="57"/>
  <c r="CH259" i="57"/>
  <c r="CI259" i="57"/>
  <c r="CJ259" i="57"/>
  <c r="S260" i="57"/>
  <c r="T260" i="57"/>
  <c r="U260" i="57"/>
  <c r="V260" i="57"/>
  <c r="W260" i="57"/>
  <c r="X260" i="57"/>
  <c r="Y260" i="57"/>
  <c r="Z260" i="57"/>
  <c r="AA260" i="57"/>
  <c r="AB260" i="57"/>
  <c r="AC260" i="57"/>
  <c r="AD260" i="57"/>
  <c r="AE260" i="57"/>
  <c r="AF260" i="57"/>
  <c r="AG260" i="57"/>
  <c r="AH260" i="57"/>
  <c r="AI260" i="57"/>
  <c r="AJ260" i="57"/>
  <c r="AK260" i="57"/>
  <c r="AL260" i="57"/>
  <c r="AM260" i="57"/>
  <c r="AN260" i="57"/>
  <c r="AO260" i="57"/>
  <c r="AP260" i="57"/>
  <c r="AQ260" i="57"/>
  <c r="AR260" i="57"/>
  <c r="AS260" i="57"/>
  <c r="AT260" i="57"/>
  <c r="AU260" i="57"/>
  <c r="AV260" i="57"/>
  <c r="AW260" i="57"/>
  <c r="AX260" i="57"/>
  <c r="AY260" i="57"/>
  <c r="AZ260" i="57"/>
  <c r="BA260" i="57"/>
  <c r="BB260" i="57"/>
  <c r="BC260" i="57"/>
  <c r="BD260" i="57"/>
  <c r="BE260" i="57"/>
  <c r="BF260" i="57"/>
  <c r="BG260" i="57"/>
  <c r="BH260" i="57"/>
  <c r="BI260" i="57"/>
  <c r="BJ260" i="57"/>
  <c r="BK260" i="57"/>
  <c r="BL260" i="57"/>
  <c r="BM260" i="57"/>
  <c r="BN260" i="57"/>
  <c r="BO260" i="57"/>
  <c r="BP260" i="57"/>
  <c r="BQ260" i="57"/>
  <c r="BR260" i="57"/>
  <c r="BS260" i="57"/>
  <c r="BT260" i="57"/>
  <c r="BU260" i="57"/>
  <c r="BV260" i="57"/>
  <c r="BW260" i="57"/>
  <c r="BX260" i="57"/>
  <c r="BY260" i="57"/>
  <c r="BZ260" i="57"/>
  <c r="CA260" i="57"/>
  <c r="CB260" i="57"/>
  <c r="CC260" i="57"/>
  <c r="CD260" i="57"/>
  <c r="CE260" i="57"/>
  <c r="CF260" i="57"/>
  <c r="CG260" i="57"/>
  <c r="CH260" i="57"/>
  <c r="CI260" i="57"/>
  <c r="CJ260" i="57"/>
  <c r="S261" i="57"/>
  <c r="T261" i="57"/>
  <c r="U261" i="57"/>
  <c r="V261" i="57"/>
  <c r="W261" i="57"/>
  <c r="X261" i="57"/>
  <c r="Y261" i="57"/>
  <c r="Z261" i="57"/>
  <c r="AA261" i="57"/>
  <c r="AB261" i="57"/>
  <c r="AC261" i="57"/>
  <c r="AD261" i="57"/>
  <c r="AE261" i="57"/>
  <c r="AF261" i="57"/>
  <c r="AG261" i="57"/>
  <c r="AH261" i="57"/>
  <c r="AI261" i="57"/>
  <c r="AJ261" i="57"/>
  <c r="AK261" i="57"/>
  <c r="AL261" i="57"/>
  <c r="AM261" i="57"/>
  <c r="AN261" i="57"/>
  <c r="AO261" i="57"/>
  <c r="AP261" i="57"/>
  <c r="AQ261" i="57"/>
  <c r="AR261" i="57"/>
  <c r="AS261" i="57"/>
  <c r="AT261" i="57"/>
  <c r="AU261" i="57"/>
  <c r="AV261" i="57"/>
  <c r="AW261" i="57"/>
  <c r="AX261" i="57"/>
  <c r="AY261" i="57"/>
  <c r="AZ261" i="57"/>
  <c r="BA261" i="57"/>
  <c r="BB261" i="57"/>
  <c r="BC261" i="57"/>
  <c r="BD261" i="57"/>
  <c r="BE261" i="57"/>
  <c r="BF261" i="57"/>
  <c r="BG261" i="57"/>
  <c r="BH261" i="57"/>
  <c r="BI261" i="57"/>
  <c r="BJ261" i="57"/>
  <c r="BK261" i="57"/>
  <c r="BL261" i="57"/>
  <c r="BM261" i="57"/>
  <c r="BN261" i="57"/>
  <c r="BO261" i="57"/>
  <c r="BP261" i="57"/>
  <c r="BQ261" i="57"/>
  <c r="BR261" i="57"/>
  <c r="BS261" i="57"/>
  <c r="BT261" i="57"/>
  <c r="BU261" i="57"/>
  <c r="BV261" i="57"/>
  <c r="BW261" i="57"/>
  <c r="BX261" i="57"/>
  <c r="BY261" i="57"/>
  <c r="BZ261" i="57"/>
  <c r="CA261" i="57"/>
  <c r="CB261" i="57"/>
  <c r="CC261" i="57"/>
  <c r="CD261" i="57"/>
  <c r="CE261" i="57"/>
  <c r="CF261" i="57"/>
  <c r="CG261" i="57"/>
  <c r="CH261" i="57"/>
  <c r="CI261" i="57"/>
  <c r="CJ261" i="57"/>
  <c r="S262" i="57"/>
  <c r="T262" i="57"/>
  <c r="U262" i="57"/>
  <c r="V262" i="57"/>
  <c r="W262" i="57"/>
  <c r="X262" i="57"/>
  <c r="Y262" i="57"/>
  <c r="Z262" i="57"/>
  <c r="AA262" i="57"/>
  <c r="AB262" i="57"/>
  <c r="AC262" i="57"/>
  <c r="AD262" i="57"/>
  <c r="AE262" i="57"/>
  <c r="AF262" i="57"/>
  <c r="AG262" i="57"/>
  <c r="AH262" i="57"/>
  <c r="AI262" i="57"/>
  <c r="AJ262" i="57"/>
  <c r="AK262" i="57"/>
  <c r="AL262" i="57"/>
  <c r="AM262" i="57"/>
  <c r="AN262" i="57"/>
  <c r="AO262" i="57"/>
  <c r="AP262" i="57"/>
  <c r="AQ262" i="57"/>
  <c r="AR262" i="57"/>
  <c r="AS262" i="57"/>
  <c r="AT262" i="57"/>
  <c r="AU262" i="57"/>
  <c r="AV262" i="57"/>
  <c r="AW262" i="57"/>
  <c r="AX262" i="57"/>
  <c r="AY262" i="57"/>
  <c r="AZ262" i="57"/>
  <c r="BA262" i="57"/>
  <c r="BB262" i="57"/>
  <c r="BC262" i="57"/>
  <c r="BD262" i="57"/>
  <c r="BE262" i="57"/>
  <c r="BF262" i="57"/>
  <c r="BG262" i="57"/>
  <c r="BH262" i="57"/>
  <c r="BI262" i="57"/>
  <c r="BJ262" i="57"/>
  <c r="BK262" i="57"/>
  <c r="BL262" i="57"/>
  <c r="BM262" i="57"/>
  <c r="BN262" i="57"/>
  <c r="BO262" i="57"/>
  <c r="BP262" i="57"/>
  <c r="BQ262" i="57"/>
  <c r="BR262" i="57"/>
  <c r="BS262" i="57"/>
  <c r="BT262" i="57"/>
  <c r="BU262" i="57"/>
  <c r="BV262" i="57"/>
  <c r="BW262" i="57"/>
  <c r="BX262" i="57"/>
  <c r="BY262" i="57"/>
  <c r="BZ262" i="57"/>
  <c r="CA262" i="57"/>
  <c r="CB262" i="57"/>
  <c r="CC262" i="57"/>
  <c r="CD262" i="57"/>
  <c r="CE262" i="57"/>
  <c r="CF262" i="57"/>
  <c r="CG262" i="57"/>
  <c r="CH262" i="57"/>
  <c r="CI262" i="57"/>
  <c r="CJ262" i="57"/>
  <c r="S263" i="57"/>
  <c r="T263" i="57"/>
  <c r="U263" i="57"/>
  <c r="V263" i="57"/>
  <c r="W263" i="57"/>
  <c r="X263" i="57"/>
  <c r="Y263" i="57"/>
  <c r="Z263" i="57"/>
  <c r="AA263" i="57"/>
  <c r="AB263" i="57"/>
  <c r="AC263" i="57"/>
  <c r="AD263" i="57"/>
  <c r="AE263" i="57"/>
  <c r="AF263" i="57"/>
  <c r="AG263" i="57"/>
  <c r="AH263" i="57"/>
  <c r="AI263" i="57"/>
  <c r="AJ263" i="57"/>
  <c r="AK263" i="57"/>
  <c r="AL263" i="57"/>
  <c r="AM263" i="57"/>
  <c r="AN263" i="57"/>
  <c r="AO263" i="57"/>
  <c r="AP263" i="57"/>
  <c r="AQ263" i="57"/>
  <c r="AR263" i="57"/>
  <c r="AS263" i="57"/>
  <c r="AT263" i="57"/>
  <c r="AU263" i="57"/>
  <c r="AV263" i="57"/>
  <c r="AW263" i="57"/>
  <c r="AX263" i="57"/>
  <c r="AY263" i="57"/>
  <c r="AZ263" i="57"/>
  <c r="BA263" i="57"/>
  <c r="BB263" i="57"/>
  <c r="BC263" i="57"/>
  <c r="BD263" i="57"/>
  <c r="BE263" i="57"/>
  <c r="BF263" i="57"/>
  <c r="BG263" i="57"/>
  <c r="BH263" i="57"/>
  <c r="BI263" i="57"/>
  <c r="BJ263" i="57"/>
  <c r="BK263" i="57"/>
  <c r="BL263" i="57"/>
  <c r="BM263" i="57"/>
  <c r="BN263" i="57"/>
  <c r="BO263" i="57"/>
  <c r="BP263" i="57"/>
  <c r="BQ263" i="57"/>
  <c r="BR263" i="57"/>
  <c r="BS263" i="57"/>
  <c r="BT263" i="57"/>
  <c r="BU263" i="57"/>
  <c r="BV263" i="57"/>
  <c r="BW263" i="57"/>
  <c r="BX263" i="57"/>
  <c r="BY263" i="57"/>
  <c r="BZ263" i="57"/>
  <c r="CA263" i="57"/>
  <c r="CB263" i="57"/>
  <c r="CC263" i="57"/>
  <c r="CD263" i="57"/>
  <c r="CE263" i="57"/>
  <c r="CF263" i="57"/>
  <c r="CG263" i="57"/>
  <c r="CH263" i="57"/>
  <c r="CI263" i="57"/>
  <c r="CJ263" i="57"/>
  <c r="S264" i="57"/>
  <c r="T264" i="57"/>
  <c r="U264" i="57"/>
  <c r="V264" i="57"/>
  <c r="W264" i="57"/>
  <c r="X264" i="57"/>
  <c r="Y264" i="57"/>
  <c r="Z264" i="57"/>
  <c r="AA264" i="57"/>
  <c r="AB264" i="57"/>
  <c r="AC264" i="57"/>
  <c r="AD264" i="57"/>
  <c r="AE264" i="57"/>
  <c r="AF264" i="57"/>
  <c r="AG264" i="57"/>
  <c r="AH264" i="57"/>
  <c r="AI264" i="57"/>
  <c r="AJ264" i="57"/>
  <c r="AK264" i="57"/>
  <c r="AL264" i="57"/>
  <c r="AM264" i="57"/>
  <c r="AN264" i="57"/>
  <c r="AO264" i="57"/>
  <c r="AP264" i="57"/>
  <c r="AQ264" i="57"/>
  <c r="AR264" i="57"/>
  <c r="AS264" i="57"/>
  <c r="AT264" i="57"/>
  <c r="AU264" i="57"/>
  <c r="AV264" i="57"/>
  <c r="AW264" i="57"/>
  <c r="AX264" i="57"/>
  <c r="AY264" i="57"/>
  <c r="AZ264" i="57"/>
  <c r="BA264" i="57"/>
  <c r="BB264" i="57"/>
  <c r="BC264" i="57"/>
  <c r="BD264" i="57"/>
  <c r="BE264" i="57"/>
  <c r="BF264" i="57"/>
  <c r="BG264" i="57"/>
  <c r="BH264" i="57"/>
  <c r="BI264" i="57"/>
  <c r="BJ264" i="57"/>
  <c r="BK264" i="57"/>
  <c r="BL264" i="57"/>
  <c r="BM264" i="57"/>
  <c r="BN264" i="57"/>
  <c r="BO264" i="57"/>
  <c r="BP264" i="57"/>
  <c r="BQ264" i="57"/>
  <c r="BR264" i="57"/>
  <c r="BS264" i="57"/>
  <c r="BT264" i="57"/>
  <c r="BU264" i="57"/>
  <c r="BV264" i="57"/>
  <c r="BW264" i="57"/>
  <c r="BX264" i="57"/>
  <c r="BY264" i="57"/>
  <c r="BZ264" i="57"/>
  <c r="CA264" i="57"/>
  <c r="CB264" i="57"/>
  <c r="CC264" i="57"/>
  <c r="CD264" i="57"/>
  <c r="CE264" i="57"/>
  <c r="CF264" i="57"/>
  <c r="CG264" i="57"/>
  <c r="CH264" i="57"/>
  <c r="CI264" i="57"/>
  <c r="CJ264" i="57"/>
  <c r="S265" i="57"/>
  <c r="T265" i="57"/>
  <c r="U265" i="57"/>
  <c r="V265" i="57"/>
  <c r="W265" i="57"/>
  <c r="X265" i="57"/>
  <c r="Y265" i="57"/>
  <c r="Z265" i="57"/>
  <c r="AA265" i="57"/>
  <c r="AB265" i="57"/>
  <c r="AC265" i="57"/>
  <c r="AD265" i="57"/>
  <c r="AE265" i="57"/>
  <c r="AF265" i="57"/>
  <c r="AG265" i="57"/>
  <c r="AH265" i="57"/>
  <c r="AI265" i="57"/>
  <c r="AJ265" i="57"/>
  <c r="AK265" i="57"/>
  <c r="AL265" i="57"/>
  <c r="AM265" i="57"/>
  <c r="AN265" i="57"/>
  <c r="AO265" i="57"/>
  <c r="AP265" i="57"/>
  <c r="AQ265" i="57"/>
  <c r="AR265" i="57"/>
  <c r="AS265" i="57"/>
  <c r="AT265" i="57"/>
  <c r="AU265" i="57"/>
  <c r="AV265" i="57"/>
  <c r="AW265" i="57"/>
  <c r="AX265" i="57"/>
  <c r="AY265" i="57"/>
  <c r="AZ265" i="57"/>
  <c r="BA265" i="57"/>
  <c r="BB265" i="57"/>
  <c r="BC265" i="57"/>
  <c r="BD265" i="57"/>
  <c r="BE265" i="57"/>
  <c r="BF265" i="57"/>
  <c r="BG265" i="57"/>
  <c r="BH265" i="57"/>
  <c r="BI265" i="57"/>
  <c r="BJ265" i="57"/>
  <c r="BK265" i="57"/>
  <c r="BL265" i="57"/>
  <c r="BM265" i="57"/>
  <c r="BN265" i="57"/>
  <c r="BO265" i="57"/>
  <c r="BP265" i="57"/>
  <c r="BQ265" i="57"/>
  <c r="BR265" i="57"/>
  <c r="BS265" i="57"/>
  <c r="BT265" i="57"/>
  <c r="BU265" i="57"/>
  <c r="BV265" i="57"/>
  <c r="BW265" i="57"/>
  <c r="BX265" i="57"/>
  <c r="BY265" i="57"/>
  <c r="BZ265" i="57"/>
  <c r="CA265" i="57"/>
  <c r="CB265" i="57"/>
  <c r="CC265" i="57"/>
  <c r="CD265" i="57"/>
  <c r="CE265" i="57"/>
  <c r="CF265" i="57"/>
  <c r="CG265" i="57"/>
  <c r="CH265" i="57"/>
  <c r="CI265" i="57"/>
  <c r="CJ265" i="57"/>
  <c r="S266" i="57"/>
  <c r="T266" i="57"/>
  <c r="U266" i="57"/>
  <c r="V266" i="57"/>
  <c r="W266" i="57"/>
  <c r="X266" i="57"/>
  <c r="Y266" i="57"/>
  <c r="Z266" i="57"/>
  <c r="AA266" i="57"/>
  <c r="AB266" i="57"/>
  <c r="AC266" i="57"/>
  <c r="AD266" i="57"/>
  <c r="AE266" i="57"/>
  <c r="AF266" i="57"/>
  <c r="AG266" i="57"/>
  <c r="AH266" i="57"/>
  <c r="AI266" i="57"/>
  <c r="AJ266" i="57"/>
  <c r="AK266" i="57"/>
  <c r="AL266" i="57"/>
  <c r="AM266" i="57"/>
  <c r="AN266" i="57"/>
  <c r="AO266" i="57"/>
  <c r="AP266" i="57"/>
  <c r="AQ266" i="57"/>
  <c r="AR266" i="57"/>
  <c r="AS266" i="57"/>
  <c r="AT266" i="57"/>
  <c r="AU266" i="57"/>
  <c r="AV266" i="57"/>
  <c r="AW266" i="57"/>
  <c r="AX266" i="57"/>
  <c r="AY266" i="57"/>
  <c r="AZ266" i="57"/>
  <c r="BA266" i="57"/>
  <c r="BB266" i="57"/>
  <c r="BC266" i="57"/>
  <c r="BD266" i="57"/>
  <c r="BE266" i="57"/>
  <c r="BF266" i="57"/>
  <c r="BG266" i="57"/>
  <c r="BH266" i="57"/>
  <c r="BI266" i="57"/>
  <c r="BJ266" i="57"/>
  <c r="BK266" i="57"/>
  <c r="BL266" i="57"/>
  <c r="BM266" i="57"/>
  <c r="BN266" i="57"/>
  <c r="BO266" i="57"/>
  <c r="BP266" i="57"/>
  <c r="BQ266" i="57"/>
  <c r="BR266" i="57"/>
  <c r="BS266" i="57"/>
  <c r="BT266" i="57"/>
  <c r="BU266" i="57"/>
  <c r="BV266" i="57"/>
  <c r="BW266" i="57"/>
  <c r="BX266" i="57"/>
  <c r="BY266" i="57"/>
  <c r="BZ266" i="57"/>
  <c r="CA266" i="57"/>
  <c r="CB266" i="57"/>
  <c r="CC266" i="57"/>
  <c r="CD266" i="57"/>
  <c r="CE266" i="57"/>
  <c r="CF266" i="57"/>
  <c r="CG266" i="57"/>
  <c r="CH266" i="57"/>
  <c r="CI266" i="57"/>
  <c r="CJ266" i="57"/>
  <c r="S267" i="57"/>
  <c r="T267" i="57"/>
  <c r="U267" i="57"/>
  <c r="V267" i="57"/>
  <c r="W267" i="57"/>
  <c r="X267" i="57"/>
  <c r="Y267" i="57"/>
  <c r="Z267" i="57"/>
  <c r="AA267" i="57"/>
  <c r="AB267" i="57"/>
  <c r="AC267" i="57"/>
  <c r="AD267" i="57"/>
  <c r="AE267" i="57"/>
  <c r="AF267" i="57"/>
  <c r="AG267" i="57"/>
  <c r="AH267" i="57"/>
  <c r="AI267" i="57"/>
  <c r="AJ267" i="57"/>
  <c r="AK267" i="57"/>
  <c r="AL267" i="57"/>
  <c r="AM267" i="57"/>
  <c r="AN267" i="57"/>
  <c r="AO267" i="57"/>
  <c r="AP267" i="57"/>
  <c r="AQ267" i="57"/>
  <c r="AR267" i="57"/>
  <c r="AS267" i="57"/>
  <c r="AT267" i="57"/>
  <c r="AU267" i="57"/>
  <c r="AV267" i="57"/>
  <c r="AW267" i="57"/>
  <c r="AX267" i="57"/>
  <c r="AY267" i="57"/>
  <c r="AZ267" i="57"/>
  <c r="BA267" i="57"/>
  <c r="BB267" i="57"/>
  <c r="BC267" i="57"/>
  <c r="BD267" i="57"/>
  <c r="BE267" i="57"/>
  <c r="BF267" i="57"/>
  <c r="BG267" i="57"/>
  <c r="BH267" i="57"/>
  <c r="BI267" i="57"/>
  <c r="BJ267" i="57"/>
  <c r="BK267" i="57"/>
  <c r="BL267" i="57"/>
  <c r="BM267" i="57"/>
  <c r="BN267" i="57"/>
  <c r="BO267" i="57"/>
  <c r="BP267" i="57"/>
  <c r="BQ267" i="57"/>
  <c r="BR267" i="57"/>
  <c r="BS267" i="57"/>
  <c r="BT267" i="57"/>
  <c r="BU267" i="57"/>
  <c r="BV267" i="57"/>
  <c r="BW267" i="57"/>
  <c r="BX267" i="57"/>
  <c r="BY267" i="57"/>
  <c r="BZ267" i="57"/>
  <c r="CA267" i="57"/>
  <c r="CB267" i="57"/>
  <c r="CC267" i="57"/>
  <c r="CD267" i="57"/>
  <c r="CE267" i="57"/>
  <c r="CF267" i="57"/>
  <c r="CG267" i="57"/>
  <c r="CH267" i="57"/>
  <c r="CI267" i="57"/>
  <c r="CJ267" i="57"/>
  <c r="S268" i="57"/>
  <c r="T268" i="57"/>
  <c r="U268" i="57"/>
  <c r="V268" i="57"/>
  <c r="W268" i="57"/>
  <c r="X268" i="57"/>
  <c r="Y268" i="57"/>
  <c r="Z268" i="57"/>
  <c r="AA268" i="57"/>
  <c r="AB268" i="57"/>
  <c r="AC268" i="57"/>
  <c r="AD268" i="57"/>
  <c r="AE268" i="57"/>
  <c r="AF268" i="57"/>
  <c r="AG268" i="57"/>
  <c r="AH268" i="57"/>
  <c r="AI268" i="57"/>
  <c r="AJ268" i="57"/>
  <c r="AK268" i="57"/>
  <c r="AL268" i="57"/>
  <c r="AM268" i="57"/>
  <c r="AN268" i="57"/>
  <c r="AO268" i="57"/>
  <c r="AP268" i="57"/>
  <c r="AQ268" i="57"/>
  <c r="AR268" i="57"/>
  <c r="AS268" i="57"/>
  <c r="AT268" i="57"/>
  <c r="AU268" i="57"/>
  <c r="AV268" i="57"/>
  <c r="AW268" i="57"/>
  <c r="AX268" i="57"/>
  <c r="AY268" i="57"/>
  <c r="AZ268" i="57"/>
  <c r="BA268" i="57"/>
  <c r="BB268" i="57"/>
  <c r="BC268" i="57"/>
  <c r="BD268" i="57"/>
  <c r="BE268" i="57"/>
  <c r="BF268" i="57"/>
  <c r="BG268" i="57"/>
  <c r="BH268" i="57"/>
  <c r="BI268" i="57"/>
  <c r="BJ268" i="57"/>
  <c r="BK268" i="57"/>
  <c r="BL268" i="57"/>
  <c r="BM268" i="57"/>
  <c r="BN268" i="57"/>
  <c r="BO268" i="57"/>
  <c r="BP268" i="57"/>
  <c r="BQ268" i="57"/>
  <c r="BR268" i="57"/>
  <c r="BS268" i="57"/>
  <c r="BT268" i="57"/>
  <c r="BU268" i="57"/>
  <c r="BV268" i="57"/>
  <c r="BW268" i="57"/>
  <c r="BX268" i="57"/>
  <c r="BY268" i="57"/>
  <c r="BZ268" i="57"/>
  <c r="CA268" i="57"/>
  <c r="CB268" i="57"/>
  <c r="CC268" i="57"/>
  <c r="CD268" i="57"/>
  <c r="CE268" i="57"/>
  <c r="CF268" i="57"/>
  <c r="CG268" i="57"/>
  <c r="CH268" i="57"/>
  <c r="CI268" i="57"/>
  <c r="CJ268" i="57"/>
  <c r="S269" i="57"/>
  <c r="T269" i="57"/>
  <c r="U269" i="57"/>
  <c r="V269" i="57"/>
  <c r="W269" i="57"/>
  <c r="X269" i="57"/>
  <c r="Y269" i="57"/>
  <c r="Z269" i="57"/>
  <c r="AA269" i="57"/>
  <c r="AB269" i="57"/>
  <c r="AC269" i="57"/>
  <c r="AD269" i="57"/>
  <c r="AE269" i="57"/>
  <c r="AF269" i="57"/>
  <c r="AG269" i="57"/>
  <c r="AH269" i="57"/>
  <c r="AI269" i="57"/>
  <c r="AJ269" i="57"/>
  <c r="AK269" i="57"/>
  <c r="AL269" i="57"/>
  <c r="AM269" i="57"/>
  <c r="AN269" i="57"/>
  <c r="AO269" i="57"/>
  <c r="AP269" i="57"/>
  <c r="AQ269" i="57"/>
  <c r="AR269" i="57"/>
  <c r="AS269" i="57"/>
  <c r="AT269" i="57"/>
  <c r="AU269" i="57"/>
  <c r="AV269" i="57"/>
  <c r="AW269" i="57"/>
  <c r="AX269" i="57"/>
  <c r="AY269" i="57"/>
  <c r="AZ269" i="57"/>
  <c r="BA269" i="57"/>
  <c r="BB269" i="57"/>
  <c r="BC269" i="57"/>
  <c r="BD269" i="57"/>
  <c r="BE269" i="57"/>
  <c r="BF269" i="57"/>
  <c r="BG269" i="57"/>
  <c r="BH269" i="57"/>
  <c r="BI269" i="57"/>
  <c r="BJ269" i="57"/>
  <c r="BK269" i="57"/>
  <c r="BL269" i="57"/>
  <c r="BM269" i="57"/>
  <c r="BN269" i="57"/>
  <c r="BO269" i="57"/>
  <c r="BP269" i="57"/>
  <c r="BQ269" i="57"/>
  <c r="BR269" i="57"/>
  <c r="BS269" i="57"/>
  <c r="BT269" i="57"/>
  <c r="BU269" i="57"/>
  <c r="BV269" i="57"/>
  <c r="BW269" i="57"/>
  <c r="BX269" i="57"/>
  <c r="BY269" i="57"/>
  <c r="BZ269" i="57"/>
  <c r="CA269" i="57"/>
  <c r="CB269" i="57"/>
  <c r="CC269" i="57"/>
  <c r="CD269" i="57"/>
  <c r="CE269" i="57"/>
  <c r="CF269" i="57"/>
  <c r="CG269" i="57"/>
  <c r="CH269" i="57"/>
  <c r="CI269" i="57"/>
  <c r="CJ269" i="57"/>
  <c r="S270" i="57"/>
  <c r="T270" i="57"/>
  <c r="U270" i="57"/>
  <c r="V270" i="57"/>
  <c r="W270" i="57"/>
  <c r="X270" i="57"/>
  <c r="Y270" i="57"/>
  <c r="Z270" i="57"/>
  <c r="AA270" i="57"/>
  <c r="AB270" i="57"/>
  <c r="AC270" i="57"/>
  <c r="AD270" i="57"/>
  <c r="AE270" i="57"/>
  <c r="AF270" i="57"/>
  <c r="AG270" i="57"/>
  <c r="AH270" i="57"/>
  <c r="AI270" i="57"/>
  <c r="AJ270" i="57"/>
  <c r="AK270" i="57"/>
  <c r="AL270" i="57"/>
  <c r="AM270" i="57"/>
  <c r="AN270" i="57"/>
  <c r="AO270" i="57"/>
  <c r="AP270" i="57"/>
  <c r="AQ270" i="57"/>
  <c r="AR270" i="57"/>
  <c r="AS270" i="57"/>
  <c r="AT270" i="57"/>
  <c r="AU270" i="57"/>
  <c r="AV270" i="57"/>
  <c r="AW270" i="57"/>
  <c r="AX270" i="57"/>
  <c r="AY270" i="57"/>
  <c r="AZ270" i="57"/>
  <c r="BA270" i="57"/>
  <c r="BB270" i="57"/>
  <c r="BC270" i="57"/>
  <c r="BD270" i="57"/>
  <c r="BE270" i="57"/>
  <c r="BF270" i="57"/>
  <c r="BG270" i="57"/>
  <c r="BH270" i="57"/>
  <c r="BI270" i="57"/>
  <c r="BJ270" i="57"/>
  <c r="BK270" i="57"/>
  <c r="BL270" i="57"/>
  <c r="BM270" i="57"/>
  <c r="BN270" i="57"/>
  <c r="BO270" i="57"/>
  <c r="BP270" i="57"/>
  <c r="BQ270" i="57"/>
  <c r="BR270" i="57"/>
  <c r="BS270" i="57"/>
  <c r="BT270" i="57"/>
  <c r="BU270" i="57"/>
  <c r="BV270" i="57"/>
  <c r="BW270" i="57"/>
  <c r="BX270" i="57"/>
  <c r="BY270" i="57"/>
  <c r="BZ270" i="57"/>
  <c r="CA270" i="57"/>
  <c r="CB270" i="57"/>
  <c r="CC270" i="57"/>
  <c r="CD270" i="57"/>
  <c r="CE270" i="57"/>
  <c r="CF270" i="57"/>
  <c r="CG270" i="57"/>
  <c r="CH270" i="57"/>
  <c r="CI270" i="57"/>
  <c r="CJ270" i="57"/>
  <c r="S271" i="57"/>
  <c r="T271" i="57"/>
  <c r="U271" i="57"/>
  <c r="V271" i="57"/>
  <c r="W271" i="57"/>
  <c r="X271" i="57"/>
  <c r="Y271" i="57"/>
  <c r="Z271" i="57"/>
  <c r="AA271" i="57"/>
  <c r="AB271" i="57"/>
  <c r="AC271" i="57"/>
  <c r="AD271" i="57"/>
  <c r="AE271" i="57"/>
  <c r="AF271" i="57"/>
  <c r="AG271" i="57"/>
  <c r="AH271" i="57"/>
  <c r="AI271" i="57"/>
  <c r="AJ271" i="57"/>
  <c r="AK271" i="57"/>
  <c r="AL271" i="57"/>
  <c r="AM271" i="57"/>
  <c r="AN271" i="57"/>
  <c r="AO271" i="57"/>
  <c r="AP271" i="57"/>
  <c r="AQ271" i="57"/>
  <c r="AR271" i="57"/>
  <c r="AS271" i="57"/>
  <c r="AT271" i="57"/>
  <c r="AU271" i="57"/>
  <c r="AV271" i="57"/>
  <c r="AW271" i="57"/>
  <c r="AX271" i="57"/>
  <c r="AY271" i="57"/>
  <c r="AZ271" i="57"/>
  <c r="BA271" i="57"/>
  <c r="BB271" i="57"/>
  <c r="BC271" i="57"/>
  <c r="BD271" i="57"/>
  <c r="BE271" i="57"/>
  <c r="BF271" i="57"/>
  <c r="BG271" i="57"/>
  <c r="BH271" i="57"/>
  <c r="BI271" i="57"/>
  <c r="BJ271" i="57"/>
  <c r="BK271" i="57"/>
  <c r="BL271" i="57"/>
  <c r="BM271" i="57"/>
  <c r="BN271" i="57"/>
  <c r="BO271" i="57"/>
  <c r="BP271" i="57"/>
  <c r="BQ271" i="57"/>
  <c r="BR271" i="57"/>
  <c r="BS271" i="57"/>
  <c r="BT271" i="57"/>
  <c r="BU271" i="57"/>
  <c r="BV271" i="57"/>
  <c r="BW271" i="57"/>
  <c r="BX271" i="57"/>
  <c r="BY271" i="57"/>
  <c r="BZ271" i="57"/>
  <c r="CA271" i="57"/>
  <c r="CB271" i="57"/>
  <c r="CC271" i="57"/>
  <c r="CD271" i="57"/>
  <c r="CE271" i="57"/>
  <c r="CF271" i="57"/>
  <c r="CG271" i="57"/>
  <c r="CH271" i="57"/>
  <c r="CI271" i="57"/>
  <c r="CJ271" i="57"/>
  <c r="S272" i="57"/>
  <c r="T272" i="57"/>
  <c r="U272" i="57"/>
  <c r="V272" i="57"/>
  <c r="W272" i="57"/>
  <c r="X272" i="57"/>
  <c r="Y272" i="57"/>
  <c r="Z272" i="57"/>
  <c r="AA272" i="57"/>
  <c r="AB272" i="57"/>
  <c r="AC272" i="57"/>
  <c r="AD272" i="57"/>
  <c r="AE272" i="57"/>
  <c r="AF272" i="57"/>
  <c r="AG272" i="57"/>
  <c r="AH272" i="57"/>
  <c r="AI272" i="57"/>
  <c r="AJ272" i="57"/>
  <c r="AK272" i="57"/>
  <c r="AL272" i="57"/>
  <c r="AM272" i="57"/>
  <c r="AN272" i="57"/>
  <c r="AO272" i="57"/>
  <c r="AP272" i="57"/>
  <c r="AQ272" i="57"/>
  <c r="AR272" i="57"/>
  <c r="AS272" i="57"/>
  <c r="AT272" i="57"/>
  <c r="AU272" i="57"/>
  <c r="AV272" i="57"/>
  <c r="AW272" i="57"/>
  <c r="AX272" i="57"/>
  <c r="AY272" i="57"/>
  <c r="AZ272" i="57"/>
  <c r="BA272" i="57"/>
  <c r="BB272" i="57"/>
  <c r="BC272" i="57"/>
  <c r="BD272" i="57"/>
  <c r="BE272" i="57"/>
  <c r="BF272" i="57"/>
  <c r="BG272" i="57"/>
  <c r="BH272" i="57"/>
  <c r="BI272" i="57"/>
  <c r="BJ272" i="57"/>
  <c r="BK272" i="57"/>
  <c r="BL272" i="57"/>
  <c r="BM272" i="57"/>
  <c r="BN272" i="57"/>
  <c r="BO272" i="57"/>
  <c r="BP272" i="57"/>
  <c r="BQ272" i="57"/>
  <c r="BR272" i="57"/>
  <c r="BS272" i="57"/>
  <c r="BT272" i="57"/>
  <c r="BU272" i="57"/>
  <c r="BV272" i="57"/>
  <c r="BW272" i="57"/>
  <c r="BX272" i="57"/>
  <c r="BY272" i="57"/>
  <c r="BZ272" i="57"/>
  <c r="CA272" i="57"/>
  <c r="CB272" i="57"/>
  <c r="CC272" i="57"/>
  <c r="CD272" i="57"/>
  <c r="CE272" i="57"/>
  <c r="CF272" i="57"/>
  <c r="CG272" i="57"/>
  <c r="CH272" i="57"/>
  <c r="CI272" i="57"/>
  <c r="CJ272" i="57"/>
  <c r="S273" i="57"/>
  <c r="T273" i="57"/>
  <c r="U273" i="57"/>
  <c r="V273" i="57"/>
  <c r="W273" i="57"/>
  <c r="X273" i="57"/>
  <c r="Y273" i="57"/>
  <c r="Z273" i="57"/>
  <c r="AA273" i="57"/>
  <c r="AB273" i="57"/>
  <c r="AC273" i="57"/>
  <c r="AD273" i="57"/>
  <c r="AE273" i="57"/>
  <c r="AF273" i="57"/>
  <c r="AG273" i="57"/>
  <c r="AH273" i="57"/>
  <c r="AI273" i="57"/>
  <c r="AJ273" i="57"/>
  <c r="AK273" i="57"/>
  <c r="AL273" i="57"/>
  <c r="AM273" i="57"/>
  <c r="AN273" i="57"/>
  <c r="AO273" i="57"/>
  <c r="AP273" i="57"/>
  <c r="AQ273" i="57"/>
  <c r="AR273" i="57"/>
  <c r="AS273" i="57"/>
  <c r="AT273" i="57"/>
  <c r="AU273" i="57"/>
  <c r="AV273" i="57"/>
  <c r="AW273" i="57"/>
  <c r="AX273" i="57"/>
  <c r="AY273" i="57"/>
  <c r="AZ273" i="57"/>
  <c r="BA273" i="57"/>
  <c r="BB273" i="57"/>
  <c r="BC273" i="57"/>
  <c r="BD273" i="57"/>
  <c r="BE273" i="57"/>
  <c r="BF273" i="57"/>
  <c r="BG273" i="57"/>
  <c r="BH273" i="57"/>
  <c r="BI273" i="57"/>
  <c r="BJ273" i="57"/>
  <c r="BK273" i="57"/>
  <c r="BL273" i="57"/>
  <c r="BM273" i="57"/>
  <c r="BN273" i="57"/>
  <c r="BO273" i="57"/>
  <c r="BP273" i="57"/>
  <c r="BQ273" i="57"/>
  <c r="BR273" i="57"/>
  <c r="BS273" i="57"/>
  <c r="BT273" i="57"/>
  <c r="BU273" i="57"/>
  <c r="BV273" i="57"/>
  <c r="BW273" i="57"/>
  <c r="BX273" i="57"/>
  <c r="BY273" i="57"/>
  <c r="BZ273" i="57"/>
  <c r="CA273" i="57"/>
  <c r="CB273" i="57"/>
  <c r="CC273" i="57"/>
  <c r="CD273" i="57"/>
  <c r="CE273" i="57"/>
  <c r="CF273" i="57"/>
  <c r="CG273" i="57"/>
  <c r="CH273" i="57"/>
  <c r="CI273" i="57"/>
  <c r="CJ273" i="57"/>
  <c r="S274" i="57"/>
  <c r="T274" i="57"/>
  <c r="U274" i="57"/>
  <c r="V274" i="57"/>
  <c r="W274" i="57"/>
  <c r="X274" i="57"/>
  <c r="Y274" i="57"/>
  <c r="Z274" i="57"/>
  <c r="AA274" i="57"/>
  <c r="AB274" i="57"/>
  <c r="AC274" i="57"/>
  <c r="AD274" i="57"/>
  <c r="AE274" i="57"/>
  <c r="AF274" i="57"/>
  <c r="AG274" i="57"/>
  <c r="AH274" i="57"/>
  <c r="AI274" i="57"/>
  <c r="AJ274" i="57"/>
  <c r="AK274" i="57"/>
  <c r="AL274" i="57"/>
  <c r="AM274" i="57"/>
  <c r="AN274" i="57"/>
  <c r="AO274" i="57"/>
  <c r="AP274" i="57"/>
  <c r="AQ274" i="57"/>
  <c r="AR274" i="57"/>
  <c r="AS274" i="57"/>
  <c r="AT274" i="57"/>
  <c r="AU274" i="57"/>
  <c r="AV274" i="57"/>
  <c r="AW274" i="57"/>
  <c r="AX274" i="57"/>
  <c r="AY274" i="57"/>
  <c r="AZ274" i="57"/>
  <c r="BA274" i="57"/>
  <c r="BB274" i="57"/>
  <c r="BC274" i="57"/>
  <c r="BD274" i="57"/>
  <c r="BE274" i="57"/>
  <c r="BF274" i="57"/>
  <c r="BG274" i="57"/>
  <c r="BH274" i="57"/>
  <c r="BI274" i="57"/>
  <c r="BJ274" i="57"/>
  <c r="BK274" i="57"/>
  <c r="BL274" i="57"/>
  <c r="BM274" i="57"/>
  <c r="BN274" i="57"/>
  <c r="BO274" i="57"/>
  <c r="BP274" i="57"/>
  <c r="BQ274" i="57"/>
  <c r="BR274" i="57"/>
  <c r="BS274" i="57"/>
  <c r="BT274" i="57"/>
  <c r="BU274" i="57"/>
  <c r="BV274" i="57"/>
  <c r="BW274" i="57"/>
  <c r="BX274" i="57"/>
  <c r="BY274" i="57"/>
  <c r="BZ274" i="57"/>
  <c r="CA274" i="57"/>
  <c r="CB274" i="57"/>
  <c r="CC274" i="57"/>
  <c r="CD274" i="57"/>
  <c r="CE274" i="57"/>
  <c r="CF274" i="57"/>
  <c r="CG274" i="57"/>
  <c r="CH274" i="57"/>
  <c r="CI274" i="57"/>
  <c r="CJ274" i="57"/>
  <c r="S275" i="57"/>
  <c r="T275" i="57"/>
  <c r="U275" i="57"/>
  <c r="V275" i="57"/>
  <c r="W275" i="57"/>
  <c r="X275" i="57"/>
  <c r="Y275" i="57"/>
  <c r="Z275" i="57"/>
  <c r="AA275" i="57"/>
  <c r="AB275" i="57"/>
  <c r="AC275" i="57"/>
  <c r="AD275" i="57"/>
  <c r="AE275" i="57"/>
  <c r="AF275" i="57"/>
  <c r="AG275" i="57"/>
  <c r="AH275" i="57"/>
  <c r="AI275" i="57"/>
  <c r="AJ275" i="57"/>
  <c r="AK275" i="57"/>
  <c r="AL275" i="57"/>
  <c r="AM275" i="57"/>
  <c r="AN275" i="57"/>
  <c r="AO275" i="57"/>
  <c r="AP275" i="57"/>
  <c r="AQ275" i="57"/>
  <c r="AR275" i="57"/>
  <c r="AS275" i="57"/>
  <c r="AT275" i="57"/>
  <c r="AU275" i="57"/>
  <c r="AV275" i="57"/>
  <c r="AW275" i="57"/>
  <c r="AX275" i="57"/>
  <c r="AY275" i="57"/>
  <c r="AZ275" i="57"/>
  <c r="BA275" i="57"/>
  <c r="BB275" i="57"/>
  <c r="BC275" i="57"/>
  <c r="BD275" i="57"/>
  <c r="BE275" i="57"/>
  <c r="BF275" i="57"/>
  <c r="BG275" i="57"/>
  <c r="BH275" i="57"/>
  <c r="BI275" i="57"/>
  <c r="BJ275" i="57"/>
  <c r="BK275" i="57"/>
  <c r="BL275" i="57"/>
  <c r="BM275" i="57"/>
  <c r="BN275" i="57"/>
  <c r="BO275" i="57"/>
  <c r="BP275" i="57"/>
  <c r="BQ275" i="57"/>
  <c r="BR275" i="57"/>
  <c r="BS275" i="57"/>
  <c r="BT275" i="57"/>
  <c r="BU275" i="57"/>
  <c r="BV275" i="57"/>
  <c r="BW275" i="57"/>
  <c r="BX275" i="57"/>
  <c r="BY275" i="57"/>
  <c r="BZ275" i="57"/>
  <c r="CA275" i="57"/>
  <c r="CB275" i="57"/>
  <c r="CC275" i="57"/>
  <c r="CD275" i="57"/>
  <c r="CE275" i="57"/>
  <c r="CF275" i="57"/>
  <c r="CG275" i="57"/>
  <c r="CH275" i="57"/>
  <c r="CI275" i="57"/>
  <c r="CJ275" i="57"/>
  <c r="S276" i="57"/>
  <c r="T276" i="57"/>
  <c r="U276" i="57"/>
  <c r="V276" i="57"/>
  <c r="W276" i="57"/>
  <c r="X276" i="57"/>
  <c r="Y276" i="57"/>
  <c r="Z276" i="57"/>
  <c r="AA276" i="57"/>
  <c r="AB276" i="57"/>
  <c r="AC276" i="57"/>
  <c r="AD276" i="57"/>
  <c r="AE276" i="57"/>
  <c r="AF276" i="57"/>
  <c r="AG276" i="57"/>
  <c r="AH276" i="57"/>
  <c r="AI276" i="57"/>
  <c r="AJ276" i="57"/>
  <c r="AK276" i="57"/>
  <c r="AL276" i="57"/>
  <c r="AM276" i="57"/>
  <c r="AN276" i="57"/>
  <c r="AO276" i="57"/>
  <c r="AP276" i="57"/>
  <c r="AQ276" i="57"/>
  <c r="AR276" i="57"/>
  <c r="AS276" i="57"/>
  <c r="AT276" i="57"/>
  <c r="AU276" i="57"/>
  <c r="AV276" i="57"/>
  <c r="AW276" i="57"/>
  <c r="AX276" i="57"/>
  <c r="AY276" i="57"/>
  <c r="AZ276" i="57"/>
  <c r="BA276" i="57"/>
  <c r="BB276" i="57"/>
  <c r="BC276" i="57"/>
  <c r="BD276" i="57"/>
  <c r="BE276" i="57"/>
  <c r="BF276" i="57"/>
  <c r="BG276" i="57"/>
  <c r="BH276" i="57"/>
  <c r="BI276" i="57"/>
  <c r="BJ276" i="57"/>
  <c r="BK276" i="57"/>
  <c r="BL276" i="57"/>
  <c r="BM276" i="57"/>
  <c r="BN276" i="57"/>
  <c r="BO276" i="57"/>
  <c r="BP276" i="57"/>
  <c r="BQ276" i="57"/>
  <c r="BR276" i="57"/>
  <c r="BS276" i="57"/>
  <c r="BT276" i="57"/>
  <c r="BU276" i="57"/>
  <c r="BV276" i="57"/>
  <c r="BW276" i="57"/>
  <c r="BX276" i="57"/>
  <c r="BY276" i="57"/>
  <c r="BZ276" i="57"/>
  <c r="CA276" i="57"/>
  <c r="CB276" i="57"/>
  <c r="CC276" i="57"/>
  <c r="CD276" i="57"/>
  <c r="CE276" i="57"/>
  <c r="CF276" i="57"/>
  <c r="CG276" i="57"/>
  <c r="CH276" i="57"/>
  <c r="CI276" i="57"/>
  <c r="CJ276" i="57"/>
  <c r="S277" i="57"/>
  <c r="T277" i="57"/>
  <c r="U277" i="57"/>
  <c r="V277" i="57"/>
  <c r="W277" i="57"/>
  <c r="X277" i="57"/>
  <c r="Y277" i="57"/>
  <c r="Z277" i="57"/>
  <c r="AA277" i="57"/>
  <c r="AB277" i="57"/>
  <c r="AC277" i="57"/>
  <c r="AD277" i="57"/>
  <c r="AE277" i="57"/>
  <c r="AF277" i="57"/>
  <c r="AG277" i="57"/>
  <c r="AH277" i="57"/>
  <c r="AI277" i="57"/>
  <c r="AJ277" i="57"/>
  <c r="AK277" i="57"/>
  <c r="AL277" i="57"/>
  <c r="AM277" i="57"/>
  <c r="AN277" i="57"/>
  <c r="AO277" i="57"/>
  <c r="AP277" i="57"/>
  <c r="AQ277" i="57"/>
  <c r="AR277" i="57"/>
  <c r="AS277" i="57"/>
  <c r="AT277" i="57"/>
  <c r="AU277" i="57"/>
  <c r="AV277" i="57"/>
  <c r="AW277" i="57"/>
  <c r="AX277" i="57"/>
  <c r="AY277" i="57"/>
  <c r="AZ277" i="57"/>
  <c r="BA277" i="57"/>
  <c r="BB277" i="57"/>
  <c r="BC277" i="57"/>
  <c r="BD277" i="57"/>
  <c r="BE277" i="57"/>
  <c r="BF277" i="57"/>
  <c r="BG277" i="57"/>
  <c r="BH277" i="57"/>
  <c r="BI277" i="57"/>
  <c r="BJ277" i="57"/>
  <c r="BK277" i="57"/>
  <c r="BL277" i="57"/>
  <c r="BM277" i="57"/>
  <c r="BN277" i="57"/>
  <c r="BO277" i="57"/>
  <c r="BP277" i="57"/>
  <c r="BQ277" i="57"/>
  <c r="BR277" i="57"/>
  <c r="BS277" i="57"/>
  <c r="BT277" i="57"/>
  <c r="BU277" i="57"/>
  <c r="BV277" i="57"/>
  <c r="BW277" i="57"/>
  <c r="BX277" i="57"/>
  <c r="BY277" i="57"/>
  <c r="BZ277" i="57"/>
  <c r="CA277" i="57"/>
  <c r="CB277" i="57"/>
  <c r="CC277" i="57"/>
  <c r="CD277" i="57"/>
  <c r="CE277" i="57"/>
  <c r="CF277" i="57"/>
  <c r="CG277" i="57"/>
  <c r="CH277" i="57"/>
  <c r="CI277" i="57"/>
  <c r="CJ277" i="57"/>
  <c r="S278" i="57"/>
  <c r="T278" i="57"/>
  <c r="U278" i="57"/>
  <c r="V278" i="57"/>
  <c r="W278" i="57"/>
  <c r="X278" i="57"/>
  <c r="Y278" i="57"/>
  <c r="Z278" i="57"/>
  <c r="AA278" i="57"/>
  <c r="AB278" i="57"/>
  <c r="AC278" i="57"/>
  <c r="AD278" i="57"/>
  <c r="AE278" i="57"/>
  <c r="AF278" i="57"/>
  <c r="AG278" i="57"/>
  <c r="AH278" i="57"/>
  <c r="AI278" i="57"/>
  <c r="AJ278" i="57"/>
  <c r="AK278" i="57"/>
  <c r="AL278" i="57"/>
  <c r="AM278" i="57"/>
  <c r="AN278" i="57"/>
  <c r="AO278" i="57"/>
  <c r="AP278" i="57"/>
  <c r="AQ278" i="57"/>
  <c r="AR278" i="57"/>
  <c r="AS278" i="57"/>
  <c r="AT278" i="57"/>
  <c r="AU278" i="57"/>
  <c r="AV278" i="57"/>
  <c r="AW278" i="57"/>
  <c r="AX278" i="57"/>
  <c r="AY278" i="57"/>
  <c r="AZ278" i="57"/>
  <c r="BA278" i="57"/>
  <c r="BB278" i="57"/>
  <c r="BC278" i="57"/>
  <c r="BD278" i="57"/>
  <c r="BE278" i="57"/>
  <c r="BF278" i="57"/>
  <c r="BG278" i="57"/>
  <c r="BH278" i="57"/>
  <c r="BI278" i="57"/>
  <c r="BJ278" i="57"/>
  <c r="BK278" i="57"/>
  <c r="BL278" i="57"/>
  <c r="BM278" i="57"/>
  <c r="BN278" i="57"/>
  <c r="BO278" i="57"/>
  <c r="BP278" i="57"/>
  <c r="BQ278" i="57"/>
  <c r="BR278" i="57"/>
  <c r="BS278" i="57"/>
  <c r="BT278" i="57"/>
  <c r="BU278" i="57"/>
  <c r="BV278" i="57"/>
  <c r="BW278" i="57"/>
  <c r="BX278" i="57"/>
  <c r="BY278" i="57"/>
  <c r="BZ278" i="57"/>
  <c r="CA278" i="57"/>
  <c r="CB278" i="57"/>
  <c r="CC278" i="57"/>
  <c r="CD278" i="57"/>
  <c r="CE278" i="57"/>
  <c r="CF278" i="57"/>
  <c r="CG278" i="57"/>
  <c r="CH278" i="57"/>
  <c r="CI278" i="57"/>
  <c r="CJ278" i="57"/>
  <c r="S279" i="57"/>
  <c r="T279" i="57"/>
  <c r="U279" i="57"/>
  <c r="V279" i="57"/>
  <c r="W279" i="57"/>
  <c r="X279" i="57"/>
  <c r="Y279" i="57"/>
  <c r="Z279" i="57"/>
  <c r="AA279" i="57"/>
  <c r="AB279" i="57"/>
  <c r="AC279" i="57"/>
  <c r="AD279" i="57"/>
  <c r="AE279" i="57"/>
  <c r="AF279" i="57"/>
  <c r="AG279" i="57"/>
  <c r="AH279" i="57"/>
  <c r="AI279" i="57"/>
  <c r="AJ279" i="57"/>
  <c r="AK279" i="57"/>
  <c r="AL279" i="57"/>
  <c r="AM279" i="57"/>
  <c r="AN279" i="57"/>
  <c r="AO279" i="57"/>
  <c r="AP279" i="57"/>
  <c r="AQ279" i="57"/>
  <c r="AR279" i="57"/>
  <c r="AS279" i="57"/>
  <c r="AT279" i="57"/>
  <c r="AU279" i="57"/>
  <c r="AV279" i="57"/>
  <c r="AW279" i="57"/>
  <c r="AX279" i="57"/>
  <c r="AY279" i="57"/>
  <c r="AZ279" i="57"/>
  <c r="BA279" i="57"/>
  <c r="BB279" i="57"/>
  <c r="BC279" i="57"/>
  <c r="BD279" i="57"/>
  <c r="BE279" i="57"/>
  <c r="BF279" i="57"/>
  <c r="BG279" i="57"/>
  <c r="BH279" i="57"/>
  <c r="BI279" i="57"/>
  <c r="BJ279" i="57"/>
  <c r="BK279" i="57"/>
  <c r="BL279" i="57"/>
  <c r="BM279" i="57"/>
  <c r="BN279" i="57"/>
  <c r="BO279" i="57"/>
  <c r="BP279" i="57"/>
  <c r="BQ279" i="57"/>
  <c r="BR279" i="57"/>
  <c r="BS279" i="57"/>
  <c r="BT279" i="57"/>
  <c r="BU279" i="57"/>
  <c r="BV279" i="57"/>
  <c r="BW279" i="57"/>
  <c r="BX279" i="57"/>
  <c r="BY279" i="57"/>
  <c r="BZ279" i="57"/>
  <c r="CA279" i="57"/>
  <c r="CB279" i="57"/>
  <c r="CC279" i="57"/>
  <c r="CD279" i="57"/>
  <c r="CE279" i="57"/>
  <c r="CF279" i="57"/>
  <c r="CG279" i="57"/>
  <c r="CH279" i="57"/>
  <c r="CI279" i="57"/>
  <c r="CJ279" i="57"/>
  <c r="S280" i="57"/>
  <c r="T280" i="57"/>
  <c r="U280" i="57"/>
  <c r="V280" i="57"/>
  <c r="W280" i="57"/>
  <c r="X280" i="57"/>
  <c r="Y280" i="57"/>
  <c r="Z280" i="57"/>
  <c r="AA280" i="57"/>
  <c r="AB280" i="57"/>
  <c r="AC280" i="57"/>
  <c r="AD280" i="57"/>
  <c r="AE280" i="57"/>
  <c r="AF280" i="57"/>
  <c r="AG280" i="57"/>
  <c r="AH280" i="57"/>
  <c r="AI280" i="57"/>
  <c r="AJ280" i="57"/>
  <c r="AK280" i="57"/>
  <c r="AL280" i="57"/>
  <c r="AM280" i="57"/>
  <c r="AN280" i="57"/>
  <c r="AO280" i="57"/>
  <c r="AP280" i="57"/>
  <c r="AQ280" i="57"/>
  <c r="AR280" i="57"/>
  <c r="AS280" i="57"/>
  <c r="AT280" i="57"/>
  <c r="AU280" i="57"/>
  <c r="AV280" i="57"/>
  <c r="AW280" i="57"/>
  <c r="AX280" i="57"/>
  <c r="AY280" i="57"/>
  <c r="AZ280" i="57"/>
  <c r="BA280" i="57"/>
  <c r="BB280" i="57"/>
  <c r="BC280" i="57"/>
  <c r="BD280" i="57"/>
  <c r="BE280" i="57"/>
  <c r="BF280" i="57"/>
  <c r="BG280" i="57"/>
  <c r="BH280" i="57"/>
  <c r="BI280" i="57"/>
  <c r="BJ280" i="57"/>
  <c r="BK280" i="57"/>
  <c r="BL280" i="57"/>
  <c r="BM280" i="57"/>
  <c r="BN280" i="57"/>
  <c r="BO280" i="57"/>
  <c r="BP280" i="57"/>
  <c r="BQ280" i="57"/>
  <c r="BR280" i="57"/>
  <c r="BS280" i="57"/>
  <c r="BT280" i="57"/>
  <c r="BU280" i="57"/>
  <c r="BV280" i="57"/>
  <c r="BW280" i="57"/>
  <c r="BX280" i="57"/>
  <c r="BY280" i="57"/>
  <c r="BZ280" i="57"/>
  <c r="CA280" i="57"/>
  <c r="CB280" i="57"/>
  <c r="CC280" i="57"/>
  <c r="CD280" i="57"/>
  <c r="CE280" i="57"/>
  <c r="CF280" i="57"/>
  <c r="CG280" i="57"/>
  <c r="CH280" i="57"/>
  <c r="CI280" i="57"/>
  <c r="CJ280" i="57"/>
  <c r="S281" i="57"/>
  <c r="T281" i="57"/>
  <c r="U281" i="57"/>
  <c r="V281" i="57"/>
  <c r="W281" i="57"/>
  <c r="X281" i="57"/>
  <c r="Y281" i="57"/>
  <c r="Z281" i="57"/>
  <c r="AA281" i="57"/>
  <c r="AB281" i="57"/>
  <c r="AC281" i="57"/>
  <c r="AD281" i="57"/>
  <c r="AE281" i="57"/>
  <c r="AF281" i="57"/>
  <c r="AG281" i="57"/>
  <c r="AH281" i="57"/>
  <c r="AI281" i="57"/>
  <c r="AJ281" i="57"/>
  <c r="AK281" i="57"/>
  <c r="AL281" i="57"/>
  <c r="AM281" i="57"/>
  <c r="AN281" i="57"/>
  <c r="AO281" i="57"/>
  <c r="AP281" i="57"/>
  <c r="AQ281" i="57"/>
  <c r="AR281" i="57"/>
  <c r="AS281" i="57"/>
  <c r="AT281" i="57"/>
  <c r="AU281" i="57"/>
  <c r="AV281" i="57"/>
  <c r="AW281" i="57"/>
  <c r="AX281" i="57"/>
  <c r="AY281" i="57"/>
  <c r="AZ281" i="57"/>
  <c r="BA281" i="57"/>
  <c r="BB281" i="57"/>
  <c r="BC281" i="57"/>
  <c r="BD281" i="57"/>
  <c r="BE281" i="57"/>
  <c r="BF281" i="57"/>
  <c r="BG281" i="57"/>
  <c r="BH281" i="57"/>
  <c r="BI281" i="57"/>
  <c r="BJ281" i="57"/>
  <c r="BK281" i="57"/>
  <c r="BL281" i="57"/>
  <c r="BM281" i="57"/>
  <c r="BN281" i="57"/>
  <c r="BO281" i="57"/>
  <c r="BP281" i="57"/>
  <c r="BQ281" i="57"/>
  <c r="BR281" i="57"/>
  <c r="BS281" i="57"/>
  <c r="BT281" i="57"/>
  <c r="BU281" i="57"/>
  <c r="BV281" i="57"/>
  <c r="BW281" i="57"/>
  <c r="BX281" i="57"/>
  <c r="BY281" i="57"/>
  <c r="BZ281" i="57"/>
  <c r="CA281" i="57"/>
  <c r="CB281" i="57"/>
  <c r="CC281" i="57"/>
  <c r="CD281" i="57"/>
  <c r="CE281" i="57"/>
  <c r="CF281" i="57"/>
  <c r="CG281" i="57"/>
  <c r="CH281" i="57"/>
  <c r="CI281" i="57"/>
  <c r="CJ281" i="57"/>
  <c r="S282" i="57"/>
  <c r="T282" i="57"/>
  <c r="U282" i="57"/>
  <c r="V282" i="57"/>
  <c r="W282" i="57"/>
  <c r="X282" i="57"/>
  <c r="Y282" i="57"/>
  <c r="Z282" i="57"/>
  <c r="AA282" i="57"/>
  <c r="AB282" i="57"/>
  <c r="AC282" i="57"/>
  <c r="AD282" i="57"/>
  <c r="AE282" i="57"/>
  <c r="AF282" i="57"/>
  <c r="AG282" i="57"/>
  <c r="AH282" i="57"/>
  <c r="AI282" i="57"/>
  <c r="AJ282" i="57"/>
  <c r="AK282" i="57"/>
  <c r="AL282" i="57"/>
  <c r="AM282" i="57"/>
  <c r="AN282" i="57"/>
  <c r="AO282" i="57"/>
  <c r="AP282" i="57"/>
  <c r="AQ282" i="57"/>
  <c r="AR282" i="57"/>
  <c r="AS282" i="57"/>
  <c r="AT282" i="57"/>
  <c r="AU282" i="57"/>
  <c r="AV282" i="57"/>
  <c r="AW282" i="57"/>
  <c r="AX282" i="57"/>
  <c r="AY282" i="57"/>
  <c r="AZ282" i="57"/>
  <c r="BA282" i="57"/>
  <c r="BB282" i="57"/>
  <c r="BC282" i="57"/>
  <c r="BD282" i="57"/>
  <c r="BE282" i="57"/>
  <c r="BF282" i="57"/>
  <c r="BG282" i="57"/>
  <c r="BH282" i="57"/>
  <c r="BI282" i="57"/>
  <c r="BJ282" i="57"/>
  <c r="BK282" i="57"/>
  <c r="BL282" i="57"/>
  <c r="BM282" i="57"/>
  <c r="BN282" i="57"/>
  <c r="BO282" i="57"/>
  <c r="BP282" i="57"/>
  <c r="BQ282" i="57"/>
  <c r="BR282" i="57"/>
  <c r="BS282" i="57"/>
  <c r="BT282" i="57"/>
  <c r="BU282" i="57"/>
  <c r="BV282" i="57"/>
  <c r="BW282" i="57"/>
  <c r="BX282" i="57"/>
  <c r="BY282" i="57"/>
  <c r="BZ282" i="57"/>
  <c r="CA282" i="57"/>
  <c r="CB282" i="57"/>
  <c r="CC282" i="57"/>
  <c r="CD282" i="57"/>
  <c r="CE282" i="57"/>
  <c r="CF282" i="57"/>
  <c r="CG282" i="57"/>
  <c r="CH282" i="57"/>
  <c r="CI282" i="57"/>
  <c r="CJ282" i="57"/>
  <c r="S283" i="57"/>
  <c r="T283" i="57"/>
  <c r="U283" i="57"/>
  <c r="V283" i="57"/>
  <c r="W283" i="57"/>
  <c r="X283" i="57"/>
  <c r="Y283" i="57"/>
  <c r="Z283" i="57"/>
  <c r="AA283" i="57"/>
  <c r="AB283" i="57"/>
  <c r="AC283" i="57"/>
  <c r="AD283" i="57"/>
  <c r="AE283" i="57"/>
  <c r="AF283" i="57"/>
  <c r="AG283" i="57"/>
  <c r="AH283" i="57"/>
  <c r="AI283" i="57"/>
  <c r="AJ283" i="57"/>
  <c r="AK283" i="57"/>
  <c r="AL283" i="57"/>
  <c r="AM283" i="57"/>
  <c r="AN283" i="57"/>
  <c r="AO283" i="57"/>
  <c r="AP283" i="57"/>
  <c r="AQ283" i="57"/>
  <c r="AR283" i="57"/>
  <c r="AS283" i="57"/>
  <c r="AT283" i="57"/>
  <c r="AU283" i="57"/>
  <c r="AV283" i="57"/>
  <c r="AW283" i="57"/>
  <c r="AX283" i="57"/>
  <c r="AY283" i="57"/>
  <c r="AZ283" i="57"/>
  <c r="BA283" i="57"/>
  <c r="BB283" i="57"/>
  <c r="BC283" i="57"/>
  <c r="BD283" i="57"/>
  <c r="BE283" i="57"/>
  <c r="BF283" i="57"/>
  <c r="BG283" i="57"/>
  <c r="BH283" i="57"/>
  <c r="BI283" i="57"/>
  <c r="BJ283" i="57"/>
  <c r="BK283" i="57"/>
  <c r="BL283" i="57"/>
  <c r="BM283" i="57"/>
  <c r="BN283" i="57"/>
  <c r="BO283" i="57"/>
  <c r="BP283" i="57"/>
  <c r="BQ283" i="57"/>
  <c r="BR283" i="57"/>
  <c r="BS283" i="57"/>
  <c r="BT283" i="57"/>
  <c r="BU283" i="57"/>
  <c r="BV283" i="57"/>
  <c r="BW283" i="57"/>
  <c r="BX283" i="57"/>
  <c r="BY283" i="57"/>
  <c r="BZ283" i="57"/>
  <c r="CA283" i="57"/>
  <c r="CB283" i="57"/>
  <c r="CC283" i="57"/>
  <c r="CD283" i="57"/>
  <c r="CE283" i="57"/>
  <c r="CF283" i="57"/>
  <c r="CG283" i="57"/>
  <c r="CH283" i="57"/>
  <c r="CI283" i="57"/>
  <c r="CJ283" i="57"/>
  <c r="S284" i="57"/>
  <c r="T284" i="57"/>
  <c r="U284" i="57"/>
  <c r="V284" i="57"/>
  <c r="W284" i="57"/>
  <c r="X284" i="57"/>
  <c r="Y284" i="57"/>
  <c r="Z284" i="57"/>
  <c r="AA284" i="57"/>
  <c r="AB284" i="57"/>
  <c r="AC284" i="57"/>
  <c r="AD284" i="57"/>
  <c r="AE284" i="57"/>
  <c r="AF284" i="57"/>
  <c r="AG284" i="57"/>
  <c r="AH284" i="57"/>
  <c r="AI284" i="57"/>
  <c r="AJ284" i="57"/>
  <c r="AK284" i="57"/>
  <c r="AL284" i="57"/>
  <c r="AM284" i="57"/>
  <c r="AN284" i="57"/>
  <c r="AO284" i="57"/>
  <c r="AP284" i="57"/>
  <c r="AQ284" i="57"/>
  <c r="AR284" i="57"/>
  <c r="AS284" i="57"/>
  <c r="AT284" i="57"/>
  <c r="AU284" i="57"/>
  <c r="AV284" i="57"/>
  <c r="AW284" i="57"/>
  <c r="AX284" i="57"/>
  <c r="AY284" i="57"/>
  <c r="AZ284" i="57"/>
  <c r="BA284" i="57"/>
  <c r="BB284" i="57"/>
  <c r="BC284" i="57"/>
  <c r="BD284" i="57"/>
  <c r="BE284" i="57"/>
  <c r="BF284" i="57"/>
  <c r="BG284" i="57"/>
  <c r="BH284" i="57"/>
  <c r="BI284" i="57"/>
  <c r="BJ284" i="57"/>
  <c r="BK284" i="57"/>
  <c r="BL284" i="57"/>
  <c r="BM284" i="57"/>
  <c r="BN284" i="57"/>
  <c r="BO284" i="57"/>
  <c r="BP284" i="57"/>
  <c r="BQ284" i="57"/>
  <c r="BR284" i="57"/>
  <c r="BS284" i="57"/>
  <c r="BT284" i="57"/>
  <c r="BU284" i="57"/>
  <c r="BV284" i="57"/>
  <c r="BW284" i="57"/>
  <c r="BX284" i="57"/>
  <c r="BY284" i="57"/>
  <c r="BZ284" i="57"/>
  <c r="CA284" i="57"/>
  <c r="CB284" i="57"/>
  <c r="CC284" i="57"/>
  <c r="CD284" i="57"/>
  <c r="CE284" i="57"/>
  <c r="CF284" i="57"/>
  <c r="CG284" i="57"/>
  <c r="CH284" i="57"/>
  <c r="CI284" i="57"/>
  <c r="CJ284" i="57"/>
  <c r="S285" i="57"/>
  <c r="T285" i="57"/>
  <c r="U285" i="57"/>
  <c r="V285" i="57"/>
  <c r="W285" i="57"/>
  <c r="X285" i="57"/>
  <c r="Y285" i="57"/>
  <c r="Z285" i="57"/>
  <c r="AA285" i="57"/>
  <c r="AB285" i="57"/>
  <c r="AC285" i="57"/>
  <c r="AD285" i="57"/>
  <c r="AE285" i="57"/>
  <c r="AF285" i="57"/>
  <c r="AG285" i="57"/>
  <c r="AH285" i="57"/>
  <c r="AI285" i="57"/>
  <c r="AJ285" i="57"/>
  <c r="AK285" i="57"/>
  <c r="AL285" i="57"/>
  <c r="AM285" i="57"/>
  <c r="AN285" i="57"/>
  <c r="AO285" i="57"/>
  <c r="AP285" i="57"/>
  <c r="AQ285" i="57"/>
  <c r="AR285" i="57"/>
  <c r="AS285" i="57"/>
  <c r="AT285" i="57"/>
  <c r="AU285" i="57"/>
  <c r="AV285" i="57"/>
  <c r="AW285" i="57"/>
  <c r="AX285" i="57"/>
  <c r="AY285" i="57"/>
  <c r="AZ285" i="57"/>
  <c r="BA285" i="57"/>
  <c r="BB285" i="57"/>
  <c r="BC285" i="57"/>
  <c r="BD285" i="57"/>
  <c r="BE285" i="57"/>
  <c r="BF285" i="57"/>
  <c r="BG285" i="57"/>
  <c r="BH285" i="57"/>
  <c r="BI285" i="57"/>
  <c r="BJ285" i="57"/>
  <c r="BK285" i="57"/>
  <c r="BL285" i="57"/>
  <c r="BM285" i="57"/>
  <c r="BN285" i="57"/>
  <c r="BO285" i="57"/>
  <c r="BP285" i="57"/>
  <c r="BQ285" i="57"/>
  <c r="BR285" i="57"/>
  <c r="BS285" i="57"/>
  <c r="BT285" i="57"/>
  <c r="BU285" i="57"/>
  <c r="BV285" i="57"/>
  <c r="BW285" i="57"/>
  <c r="BX285" i="57"/>
  <c r="BY285" i="57"/>
  <c r="BZ285" i="57"/>
  <c r="CA285" i="57"/>
  <c r="CB285" i="57"/>
  <c r="CC285" i="57"/>
  <c r="CD285" i="57"/>
  <c r="CE285" i="57"/>
  <c r="CF285" i="57"/>
  <c r="CG285" i="57"/>
  <c r="CH285" i="57"/>
  <c r="CI285" i="57"/>
  <c r="CJ285" i="57"/>
  <c r="S286" i="57"/>
  <c r="T286" i="57"/>
  <c r="U286" i="57"/>
  <c r="V286" i="57"/>
  <c r="W286" i="57"/>
  <c r="X286" i="57"/>
  <c r="Y286" i="57"/>
  <c r="Z286" i="57"/>
  <c r="AA286" i="57"/>
  <c r="AB286" i="57"/>
  <c r="AC286" i="57"/>
  <c r="AD286" i="57"/>
  <c r="AE286" i="57"/>
  <c r="AF286" i="57"/>
  <c r="AG286" i="57"/>
  <c r="AH286" i="57"/>
  <c r="AI286" i="57"/>
  <c r="AJ286" i="57"/>
  <c r="AK286" i="57"/>
  <c r="AL286" i="57"/>
  <c r="AM286" i="57"/>
  <c r="AN286" i="57"/>
  <c r="AO286" i="57"/>
  <c r="AP286" i="57"/>
  <c r="AQ286" i="57"/>
  <c r="AR286" i="57"/>
  <c r="AS286" i="57"/>
  <c r="AT286" i="57"/>
  <c r="AU286" i="57"/>
  <c r="AV286" i="57"/>
  <c r="AW286" i="57"/>
  <c r="AX286" i="57"/>
  <c r="AY286" i="57"/>
  <c r="AZ286" i="57"/>
  <c r="BA286" i="57"/>
  <c r="BB286" i="57"/>
  <c r="BC286" i="57"/>
  <c r="BD286" i="57"/>
  <c r="BE286" i="57"/>
  <c r="BF286" i="57"/>
  <c r="BG286" i="57"/>
  <c r="BH286" i="57"/>
  <c r="BI286" i="57"/>
  <c r="BJ286" i="57"/>
  <c r="BK286" i="57"/>
  <c r="BL286" i="57"/>
  <c r="BM286" i="57"/>
  <c r="BN286" i="57"/>
  <c r="BO286" i="57"/>
  <c r="BP286" i="57"/>
  <c r="BQ286" i="57"/>
  <c r="BR286" i="57"/>
  <c r="BS286" i="57"/>
  <c r="BT286" i="57"/>
  <c r="BU286" i="57"/>
  <c r="BV286" i="57"/>
  <c r="BW286" i="57"/>
  <c r="BX286" i="57"/>
  <c r="BY286" i="57"/>
  <c r="BZ286" i="57"/>
  <c r="CA286" i="57"/>
  <c r="CB286" i="57"/>
  <c r="CC286" i="57"/>
  <c r="CD286" i="57"/>
  <c r="CE286" i="57"/>
  <c r="CF286" i="57"/>
  <c r="CG286" i="57"/>
  <c r="CH286" i="57"/>
  <c r="CI286" i="57"/>
  <c r="CJ286" i="57"/>
  <c r="S287" i="57"/>
  <c r="T287" i="57"/>
  <c r="U287" i="57"/>
  <c r="V287" i="57"/>
  <c r="W287" i="57"/>
  <c r="X287" i="57"/>
  <c r="Y287" i="57"/>
  <c r="Z287" i="57"/>
  <c r="AA287" i="57"/>
  <c r="AB287" i="57"/>
  <c r="AC287" i="57"/>
  <c r="AD287" i="57"/>
  <c r="AE287" i="57"/>
  <c r="AF287" i="57"/>
  <c r="AG287" i="57"/>
  <c r="AH287" i="57"/>
  <c r="AI287" i="57"/>
  <c r="AJ287" i="57"/>
  <c r="AK287" i="57"/>
  <c r="AL287" i="57"/>
  <c r="AM287" i="57"/>
  <c r="AN287" i="57"/>
  <c r="AO287" i="57"/>
  <c r="AP287" i="57"/>
  <c r="AQ287" i="57"/>
  <c r="AR287" i="57"/>
  <c r="AS287" i="57"/>
  <c r="AT287" i="57"/>
  <c r="AU287" i="57"/>
  <c r="AV287" i="57"/>
  <c r="AW287" i="57"/>
  <c r="AX287" i="57"/>
  <c r="AY287" i="57"/>
  <c r="AZ287" i="57"/>
  <c r="BA287" i="57"/>
  <c r="BB287" i="57"/>
  <c r="BC287" i="57"/>
  <c r="BD287" i="57"/>
  <c r="BE287" i="57"/>
  <c r="BF287" i="57"/>
  <c r="BG287" i="57"/>
  <c r="BH287" i="57"/>
  <c r="BI287" i="57"/>
  <c r="BJ287" i="57"/>
  <c r="BK287" i="57"/>
  <c r="BL287" i="57"/>
  <c r="BM287" i="57"/>
  <c r="BN287" i="57"/>
  <c r="BO287" i="57"/>
  <c r="BP287" i="57"/>
  <c r="BQ287" i="57"/>
  <c r="BR287" i="57"/>
  <c r="BS287" i="57"/>
  <c r="BT287" i="57"/>
  <c r="BU287" i="57"/>
  <c r="BV287" i="57"/>
  <c r="BW287" i="57"/>
  <c r="BX287" i="57"/>
  <c r="BY287" i="57"/>
  <c r="BZ287" i="57"/>
  <c r="CA287" i="57"/>
  <c r="CB287" i="57"/>
  <c r="CC287" i="57"/>
  <c r="CD287" i="57"/>
  <c r="CE287" i="57"/>
  <c r="CF287" i="57"/>
  <c r="CG287" i="57"/>
  <c r="CH287" i="57"/>
  <c r="CI287" i="57"/>
  <c r="CJ287" i="57"/>
  <c r="S288" i="57"/>
  <c r="T288" i="57"/>
  <c r="U288" i="57"/>
  <c r="V288" i="57"/>
  <c r="W288" i="57"/>
  <c r="X288" i="57"/>
  <c r="Y288" i="57"/>
  <c r="Z288" i="57"/>
  <c r="AA288" i="57"/>
  <c r="AB288" i="57"/>
  <c r="AC288" i="57"/>
  <c r="AD288" i="57"/>
  <c r="AE288" i="57"/>
  <c r="AF288" i="57"/>
  <c r="AG288" i="57"/>
  <c r="AH288" i="57"/>
  <c r="AI288" i="57"/>
  <c r="AJ288" i="57"/>
  <c r="AK288" i="57"/>
  <c r="AL288" i="57"/>
  <c r="AM288" i="57"/>
  <c r="AN288" i="57"/>
  <c r="AO288" i="57"/>
  <c r="AP288" i="57"/>
  <c r="AQ288" i="57"/>
  <c r="AR288" i="57"/>
  <c r="AS288" i="57"/>
  <c r="AT288" i="57"/>
  <c r="AU288" i="57"/>
  <c r="AV288" i="57"/>
  <c r="AW288" i="57"/>
  <c r="AX288" i="57"/>
  <c r="AY288" i="57"/>
  <c r="AZ288" i="57"/>
  <c r="BA288" i="57"/>
  <c r="BB288" i="57"/>
  <c r="BC288" i="57"/>
  <c r="BD288" i="57"/>
  <c r="BE288" i="57"/>
  <c r="BF288" i="57"/>
  <c r="BG288" i="57"/>
  <c r="BH288" i="57"/>
  <c r="BI288" i="57"/>
  <c r="BJ288" i="57"/>
  <c r="BK288" i="57"/>
  <c r="BL288" i="57"/>
  <c r="BM288" i="57"/>
  <c r="BN288" i="57"/>
  <c r="BO288" i="57"/>
  <c r="BP288" i="57"/>
  <c r="BQ288" i="57"/>
  <c r="BR288" i="57"/>
  <c r="BS288" i="57"/>
  <c r="BT288" i="57"/>
  <c r="BU288" i="57"/>
  <c r="BV288" i="57"/>
  <c r="BW288" i="57"/>
  <c r="BX288" i="57"/>
  <c r="BY288" i="57"/>
  <c r="BZ288" i="57"/>
  <c r="CA288" i="57"/>
  <c r="CB288" i="57"/>
  <c r="CC288" i="57"/>
  <c r="CD288" i="57"/>
  <c r="CE288" i="57"/>
  <c r="CF288" i="57"/>
  <c r="CG288" i="57"/>
  <c r="CH288" i="57"/>
  <c r="CI288" i="57"/>
  <c r="CJ288" i="57"/>
  <c r="S289" i="57"/>
  <c r="T289" i="57"/>
  <c r="U289" i="57"/>
  <c r="V289" i="57"/>
  <c r="W289" i="57"/>
  <c r="X289" i="57"/>
  <c r="Y289" i="57"/>
  <c r="Z289" i="57"/>
  <c r="AA289" i="57"/>
  <c r="AB289" i="57"/>
  <c r="AC289" i="57"/>
  <c r="AD289" i="57"/>
  <c r="AE289" i="57"/>
  <c r="AF289" i="57"/>
  <c r="AG289" i="57"/>
  <c r="AH289" i="57"/>
  <c r="AI289" i="57"/>
  <c r="AJ289" i="57"/>
  <c r="AK289" i="57"/>
  <c r="AL289" i="57"/>
  <c r="AM289" i="57"/>
  <c r="AN289" i="57"/>
  <c r="AO289" i="57"/>
  <c r="AP289" i="57"/>
  <c r="AQ289" i="57"/>
  <c r="AR289" i="57"/>
  <c r="AS289" i="57"/>
  <c r="AT289" i="57"/>
  <c r="AU289" i="57"/>
  <c r="AV289" i="57"/>
  <c r="AW289" i="57"/>
  <c r="AX289" i="57"/>
  <c r="AY289" i="57"/>
  <c r="AZ289" i="57"/>
  <c r="BA289" i="57"/>
  <c r="BB289" i="57"/>
  <c r="BC289" i="57"/>
  <c r="BD289" i="57"/>
  <c r="BE289" i="57"/>
  <c r="BF289" i="57"/>
  <c r="BG289" i="57"/>
  <c r="BH289" i="57"/>
  <c r="BI289" i="57"/>
  <c r="BJ289" i="57"/>
  <c r="BK289" i="57"/>
  <c r="BL289" i="57"/>
  <c r="BM289" i="57"/>
  <c r="BN289" i="57"/>
  <c r="BO289" i="57"/>
  <c r="BP289" i="57"/>
  <c r="BQ289" i="57"/>
  <c r="BR289" i="57"/>
  <c r="BS289" i="57"/>
  <c r="BT289" i="57"/>
  <c r="BU289" i="57"/>
  <c r="BV289" i="57"/>
  <c r="BW289" i="57"/>
  <c r="BX289" i="57"/>
  <c r="BY289" i="57"/>
  <c r="BZ289" i="57"/>
  <c r="CA289" i="57"/>
  <c r="CB289" i="57"/>
  <c r="CC289" i="57"/>
  <c r="CD289" i="57"/>
  <c r="CE289" i="57"/>
  <c r="CF289" i="57"/>
  <c r="CG289" i="57"/>
  <c r="CH289" i="57"/>
  <c r="CI289" i="57"/>
  <c r="CJ289" i="57"/>
  <c r="S290" i="57"/>
  <c r="T290" i="57"/>
  <c r="U290" i="57"/>
  <c r="V290" i="57"/>
  <c r="W290" i="57"/>
  <c r="X290" i="57"/>
  <c r="Y290" i="57"/>
  <c r="Z290" i="57"/>
  <c r="AA290" i="57"/>
  <c r="AB290" i="57"/>
  <c r="AC290" i="57"/>
  <c r="AD290" i="57"/>
  <c r="AE290" i="57"/>
  <c r="AF290" i="57"/>
  <c r="AG290" i="57"/>
  <c r="AH290" i="57"/>
  <c r="AI290" i="57"/>
  <c r="AJ290" i="57"/>
  <c r="AK290" i="57"/>
  <c r="AL290" i="57"/>
  <c r="AM290" i="57"/>
  <c r="AN290" i="57"/>
  <c r="AO290" i="57"/>
  <c r="AP290" i="57"/>
  <c r="AQ290" i="57"/>
  <c r="AR290" i="57"/>
  <c r="AS290" i="57"/>
  <c r="AT290" i="57"/>
  <c r="AU290" i="57"/>
  <c r="AV290" i="57"/>
  <c r="AW290" i="57"/>
  <c r="AX290" i="57"/>
  <c r="AY290" i="57"/>
  <c r="AZ290" i="57"/>
  <c r="BA290" i="57"/>
  <c r="BB290" i="57"/>
  <c r="BC290" i="57"/>
  <c r="BD290" i="57"/>
  <c r="BE290" i="57"/>
  <c r="BF290" i="57"/>
  <c r="BG290" i="57"/>
  <c r="BH290" i="57"/>
  <c r="BI290" i="57"/>
  <c r="BJ290" i="57"/>
  <c r="BK290" i="57"/>
  <c r="BL290" i="57"/>
  <c r="BM290" i="57"/>
  <c r="BN290" i="57"/>
  <c r="BO290" i="57"/>
  <c r="BP290" i="57"/>
  <c r="BQ290" i="57"/>
  <c r="BR290" i="57"/>
  <c r="BS290" i="57"/>
  <c r="BT290" i="57"/>
  <c r="BU290" i="57"/>
  <c r="BV290" i="57"/>
  <c r="BW290" i="57"/>
  <c r="BX290" i="57"/>
  <c r="BY290" i="57"/>
  <c r="BZ290" i="57"/>
  <c r="CA290" i="57"/>
  <c r="CB290" i="57"/>
  <c r="CC290" i="57"/>
  <c r="CD290" i="57"/>
  <c r="CE290" i="57"/>
  <c r="CF290" i="57"/>
  <c r="CG290" i="57"/>
  <c r="CH290" i="57"/>
  <c r="CI290" i="57"/>
  <c r="CJ290" i="57"/>
  <c r="S291" i="57"/>
  <c r="T291" i="57"/>
  <c r="U291" i="57"/>
  <c r="V291" i="57"/>
  <c r="W291" i="57"/>
  <c r="X291" i="57"/>
  <c r="Y291" i="57"/>
  <c r="Z291" i="57"/>
  <c r="AA291" i="57"/>
  <c r="AB291" i="57"/>
  <c r="AC291" i="57"/>
  <c r="AD291" i="57"/>
  <c r="AE291" i="57"/>
  <c r="AF291" i="57"/>
  <c r="AG291" i="57"/>
  <c r="AH291" i="57"/>
  <c r="AI291" i="57"/>
  <c r="AJ291" i="57"/>
  <c r="AK291" i="57"/>
  <c r="AL291" i="57"/>
  <c r="AM291" i="57"/>
  <c r="AN291" i="57"/>
  <c r="AO291" i="57"/>
  <c r="AP291" i="57"/>
  <c r="AQ291" i="57"/>
  <c r="AR291" i="57"/>
  <c r="AS291" i="57"/>
  <c r="AT291" i="57"/>
  <c r="AU291" i="57"/>
  <c r="AV291" i="57"/>
  <c r="AW291" i="57"/>
  <c r="AX291" i="57"/>
  <c r="AY291" i="57"/>
  <c r="AZ291" i="57"/>
  <c r="BA291" i="57"/>
  <c r="BB291" i="57"/>
  <c r="BC291" i="57"/>
  <c r="BD291" i="57"/>
  <c r="BE291" i="57"/>
  <c r="BF291" i="57"/>
  <c r="BG291" i="57"/>
  <c r="BH291" i="57"/>
  <c r="BI291" i="57"/>
  <c r="BJ291" i="57"/>
  <c r="BK291" i="57"/>
  <c r="BL291" i="57"/>
  <c r="BM291" i="57"/>
  <c r="BN291" i="57"/>
  <c r="BO291" i="57"/>
  <c r="BP291" i="57"/>
  <c r="BQ291" i="57"/>
  <c r="BR291" i="57"/>
  <c r="BS291" i="57"/>
  <c r="BT291" i="57"/>
  <c r="BU291" i="57"/>
  <c r="BV291" i="57"/>
  <c r="BW291" i="57"/>
  <c r="BX291" i="57"/>
  <c r="BY291" i="57"/>
  <c r="BZ291" i="57"/>
  <c r="CA291" i="57"/>
  <c r="CB291" i="57"/>
  <c r="CC291" i="57"/>
  <c r="CD291" i="57"/>
  <c r="CE291" i="57"/>
  <c r="CF291" i="57"/>
  <c r="CG291" i="57"/>
  <c r="CH291" i="57"/>
  <c r="CI291" i="57"/>
  <c r="CJ291" i="57"/>
  <c r="S292" i="57"/>
  <c r="T292" i="57"/>
  <c r="U292" i="57"/>
  <c r="V292" i="57"/>
  <c r="W292" i="57"/>
  <c r="X292" i="57"/>
  <c r="Y292" i="57"/>
  <c r="Z292" i="57"/>
  <c r="AA292" i="57"/>
  <c r="AB292" i="57"/>
  <c r="AC292" i="57"/>
  <c r="AD292" i="57"/>
  <c r="AE292" i="57"/>
  <c r="AF292" i="57"/>
  <c r="AG292" i="57"/>
  <c r="AH292" i="57"/>
  <c r="AI292" i="57"/>
  <c r="AJ292" i="57"/>
  <c r="AK292" i="57"/>
  <c r="AL292" i="57"/>
  <c r="AM292" i="57"/>
  <c r="AN292" i="57"/>
  <c r="AO292" i="57"/>
  <c r="AP292" i="57"/>
  <c r="AQ292" i="57"/>
  <c r="AR292" i="57"/>
  <c r="AS292" i="57"/>
  <c r="AT292" i="57"/>
  <c r="AU292" i="57"/>
  <c r="AV292" i="57"/>
  <c r="AW292" i="57"/>
  <c r="AX292" i="57"/>
  <c r="AY292" i="57"/>
  <c r="AZ292" i="57"/>
  <c r="BA292" i="57"/>
  <c r="BB292" i="57"/>
  <c r="BC292" i="57"/>
  <c r="BD292" i="57"/>
  <c r="BE292" i="57"/>
  <c r="BF292" i="57"/>
  <c r="BG292" i="57"/>
  <c r="BH292" i="57"/>
  <c r="BI292" i="57"/>
  <c r="BJ292" i="57"/>
  <c r="BK292" i="57"/>
  <c r="BL292" i="57"/>
  <c r="BM292" i="57"/>
  <c r="BN292" i="57"/>
  <c r="BO292" i="57"/>
  <c r="BP292" i="57"/>
  <c r="BQ292" i="57"/>
  <c r="BR292" i="57"/>
  <c r="BS292" i="57"/>
  <c r="BT292" i="57"/>
  <c r="BU292" i="57"/>
  <c r="BV292" i="57"/>
  <c r="BW292" i="57"/>
  <c r="BX292" i="57"/>
  <c r="BY292" i="57"/>
  <c r="BZ292" i="57"/>
  <c r="CA292" i="57"/>
  <c r="CB292" i="57"/>
  <c r="CC292" i="57"/>
  <c r="CD292" i="57"/>
  <c r="CE292" i="57"/>
  <c r="CF292" i="57"/>
  <c r="CG292" i="57"/>
  <c r="CH292" i="57"/>
  <c r="CI292" i="57"/>
  <c r="CJ292" i="57"/>
  <c r="S293" i="57"/>
  <c r="T293" i="57"/>
  <c r="U293" i="57"/>
  <c r="V293" i="57"/>
  <c r="W293" i="57"/>
  <c r="X293" i="57"/>
  <c r="Y293" i="57"/>
  <c r="Z293" i="57"/>
  <c r="AA293" i="57"/>
  <c r="AB293" i="57"/>
  <c r="AC293" i="57"/>
  <c r="AD293" i="57"/>
  <c r="AE293" i="57"/>
  <c r="AF293" i="57"/>
  <c r="AG293" i="57"/>
  <c r="AH293" i="57"/>
  <c r="AI293" i="57"/>
  <c r="AJ293" i="57"/>
  <c r="AK293" i="57"/>
  <c r="AL293" i="57"/>
  <c r="AM293" i="57"/>
  <c r="AN293" i="57"/>
  <c r="AO293" i="57"/>
  <c r="AP293" i="57"/>
  <c r="AQ293" i="57"/>
  <c r="AR293" i="57"/>
  <c r="AS293" i="57"/>
  <c r="AT293" i="57"/>
  <c r="AU293" i="57"/>
  <c r="AV293" i="57"/>
  <c r="AW293" i="57"/>
  <c r="AX293" i="57"/>
  <c r="AY293" i="57"/>
  <c r="AZ293" i="57"/>
  <c r="BA293" i="57"/>
  <c r="BB293" i="57"/>
  <c r="BC293" i="57"/>
  <c r="BD293" i="57"/>
  <c r="BE293" i="57"/>
  <c r="BF293" i="57"/>
  <c r="BG293" i="57"/>
  <c r="BH293" i="57"/>
  <c r="BI293" i="57"/>
  <c r="BJ293" i="57"/>
  <c r="BK293" i="57"/>
  <c r="BL293" i="57"/>
  <c r="BM293" i="57"/>
  <c r="BN293" i="57"/>
  <c r="BO293" i="57"/>
  <c r="BP293" i="57"/>
  <c r="BQ293" i="57"/>
  <c r="BR293" i="57"/>
  <c r="BS293" i="57"/>
  <c r="BT293" i="57"/>
  <c r="BU293" i="57"/>
  <c r="BV293" i="57"/>
  <c r="BW293" i="57"/>
  <c r="BX293" i="57"/>
  <c r="BY293" i="57"/>
  <c r="BZ293" i="57"/>
  <c r="CA293" i="57"/>
  <c r="CB293" i="57"/>
  <c r="CC293" i="57"/>
  <c r="CD293" i="57"/>
  <c r="CE293" i="57"/>
  <c r="CF293" i="57"/>
  <c r="CG293" i="57"/>
  <c r="CH293" i="57"/>
  <c r="CI293" i="57"/>
  <c r="CJ293" i="57"/>
  <c r="S294" i="57"/>
  <c r="T294" i="57"/>
  <c r="U294" i="57"/>
  <c r="V294" i="57"/>
  <c r="W294" i="57"/>
  <c r="X294" i="57"/>
  <c r="Y294" i="57"/>
  <c r="Z294" i="57"/>
  <c r="AA294" i="57"/>
  <c r="AB294" i="57"/>
  <c r="AC294" i="57"/>
  <c r="AD294" i="57"/>
  <c r="AE294" i="57"/>
  <c r="AF294" i="57"/>
  <c r="AG294" i="57"/>
  <c r="AH294" i="57"/>
  <c r="AI294" i="57"/>
  <c r="AJ294" i="57"/>
  <c r="AK294" i="57"/>
  <c r="AL294" i="57"/>
  <c r="AM294" i="57"/>
  <c r="AN294" i="57"/>
  <c r="AO294" i="57"/>
  <c r="AP294" i="57"/>
  <c r="AQ294" i="57"/>
  <c r="AR294" i="57"/>
  <c r="AS294" i="57"/>
  <c r="AT294" i="57"/>
  <c r="AU294" i="57"/>
  <c r="AV294" i="57"/>
  <c r="AW294" i="57"/>
  <c r="AX294" i="57"/>
  <c r="AY294" i="57"/>
  <c r="AZ294" i="57"/>
  <c r="BA294" i="57"/>
  <c r="BB294" i="57"/>
  <c r="BC294" i="57"/>
  <c r="BD294" i="57"/>
  <c r="BE294" i="57"/>
  <c r="BF294" i="57"/>
  <c r="BG294" i="57"/>
  <c r="BH294" i="57"/>
  <c r="BI294" i="57"/>
  <c r="BJ294" i="57"/>
  <c r="BK294" i="57"/>
  <c r="BL294" i="57"/>
  <c r="BM294" i="57"/>
  <c r="BN294" i="57"/>
  <c r="BO294" i="57"/>
  <c r="BP294" i="57"/>
  <c r="BQ294" i="57"/>
  <c r="BR294" i="57"/>
  <c r="BS294" i="57"/>
  <c r="BT294" i="57"/>
  <c r="BU294" i="57"/>
  <c r="BV294" i="57"/>
  <c r="BW294" i="57"/>
  <c r="BX294" i="57"/>
  <c r="BY294" i="57"/>
  <c r="BZ294" i="57"/>
  <c r="CA294" i="57"/>
  <c r="CB294" i="57"/>
  <c r="CC294" i="57"/>
  <c r="CD294" i="57"/>
  <c r="CE294" i="57"/>
  <c r="CF294" i="57"/>
  <c r="CG294" i="57"/>
  <c r="CH294" i="57"/>
  <c r="CI294" i="57"/>
  <c r="CJ294" i="57"/>
  <c r="S295" i="57"/>
  <c r="T295" i="57"/>
  <c r="U295" i="57"/>
  <c r="V295" i="57"/>
  <c r="W295" i="57"/>
  <c r="X295" i="57"/>
  <c r="Y295" i="57"/>
  <c r="Z295" i="57"/>
  <c r="AA295" i="57"/>
  <c r="AB295" i="57"/>
  <c r="AC295" i="57"/>
  <c r="AD295" i="57"/>
  <c r="AE295" i="57"/>
  <c r="AF295" i="57"/>
  <c r="AG295" i="57"/>
  <c r="AH295" i="57"/>
  <c r="AI295" i="57"/>
  <c r="AJ295" i="57"/>
  <c r="AK295" i="57"/>
  <c r="AL295" i="57"/>
  <c r="AM295" i="57"/>
  <c r="AN295" i="57"/>
  <c r="AO295" i="57"/>
  <c r="AP295" i="57"/>
  <c r="AQ295" i="57"/>
  <c r="AR295" i="57"/>
  <c r="AS295" i="57"/>
  <c r="AT295" i="57"/>
  <c r="AU295" i="57"/>
  <c r="AV295" i="57"/>
  <c r="AW295" i="57"/>
  <c r="AX295" i="57"/>
  <c r="AY295" i="57"/>
  <c r="AZ295" i="57"/>
  <c r="BA295" i="57"/>
  <c r="BB295" i="57"/>
  <c r="BC295" i="57"/>
  <c r="BD295" i="57"/>
  <c r="BE295" i="57"/>
  <c r="BF295" i="57"/>
  <c r="BG295" i="57"/>
  <c r="BH295" i="57"/>
  <c r="BI295" i="57"/>
  <c r="BJ295" i="57"/>
  <c r="BK295" i="57"/>
  <c r="BL295" i="57"/>
  <c r="BM295" i="57"/>
  <c r="BN295" i="57"/>
  <c r="BO295" i="57"/>
  <c r="BP295" i="57"/>
  <c r="BQ295" i="57"/>
  <c r="BR295" i="57"/>
  <c r="BS295" i="57"/>
  <c r="BT295" i="57"/>
  <c r="BU295" i="57"/>
  <c r="BV295" i="57"/>
  <c r="BW295" i="57"/>
  <c r="BX295" i="57"/>
  <c r="BY295" i="57"/>
  <c r="BZ295" i="57"/>
  <c r="CA295" i="57"/>
  <c r="CB295" i="57"/>
  <c r="CC295" i="57"/>
  <c r="CD295" i="57"/>
  <c r="CE295" i="57"/>
  <c r="CF295" i="57"/>
  <c r="CG295" i="57"/>
  <c r="CH295" i="57"/>
  <c r="CI295" i="57"/>
  <c r="CJ295" i="57"/>
  <c r="S296" i="57"/>
  <c r="T296" i="57"/>
  <c r="U296" i="57"/>
  <c r="V296" i="57"/>
  <c r="W296" i="57"/>
  <c r="X296" i="57"/>
  <c r="Y296" i="57"/>
  <c r="Z296" i="57"/>
  <c r="AA296" i="57"/>
  <c r="AB296" i="57"/>
  <c r="AC296" i="57"/>
  <c r="AD296" i="57"/>
  <c r="AE296" i="57"/>
  <c r="AF296" i="57"/>
  <c r="AG296" i="57"/>
  <c r="AH296" i="57"/>
  <c r="AI296" i="57"/>
  <c r="AJ296" i="57"/>
  <c r="AK296" i="57"/>
  <c r="AL296" i="57"/>
  <c r="AM296" i="57"/>
  <c r="AN296" i="57"/>
  <c r="AO296" i="57"/>
  <c r="AP296" i="57"/>
  <c r="AQ296" i="57"/>
  <c r="AR296" i="57"/>
  <c r="AS296" i="57"/>
  <c r="AT296" i="57"/>
  <c r="AU296" i="57"/>
  <c r="AV296" i="57"/>
  <c r="AW296" i="57"/>
  <c r="AX296" i="57"/>
  <c r="AY296" i="57"/>
  <c r="AZ296" i="57"/>
  <c r="BA296" i="57"/>
  <c r="BB296" i="57"/>
  <c r="BC296" i="57"/>
  <c r="BD296" i="57"/>
  <c r="BE296" i="57"/>
  <c r="BF296" i="57"/>
  <c r="BG296" i="57"/>
  <c r="BH296" i="57"/>
  <c r="BI296" i="57"/>
  <c r="BJ296" i="57"/>
  <c r="BK296" i="57"/>
  <c r="BL296" i="57"/>
  <c r="BM296" i="57"/>
  <c r="BN296" i="57"/>
  <c r="BO296" i="57"/>
  <c r="BP296" i="57"/>
  <c r="BQ296" i="57"/>
  <c r="BR296" i="57"/>
  <c r="BS296" i="57"/>
  <c r="BT296" i="57"/>
  <c r="BU296" i="57"/>
  <c r="BV296" i="57"/>
  <c r="BW296" i="57"/>
  <c r="BX296" i="57"/>
  <c r="BY296" i="57"/>
  <c r="BZ296" i="57"/>
  <c r="CA296" i="57"/>
  <c r="CB296" i="57"/>
  <c r="CC296" i="57"/>
  <c r="CD296" i="57"/>
  <c r="CE296" i="57"/>
  <c r="CF296" i="57"/>
  <c r="CG296" i="57"/>
  <c r="CH296" i="57"/>
  <c r="CI296" i="57"/>
  <c r="CJ296" i="57"/>
  <c r="S297" i="57"/>
  <c r="T297" i="57"/>
  <c r="U297" i="57"/>
  <c r="V297" i="57"/>
  <c r="W297" i="57"/>
  <c r="X297" i="57"/>
  <c r="Y297" i="57"/>
  <c r="Z297" i="57"/>
  <c r="AA297" i="57"/>
  <c r="AB297" i="57"/>
  <c r="AC297" i="57"/>
  <c r="AD297" i="57"/>
  <c r="AE297" i="57"/>
  <c r="AF297" i="57"/>
  <c r="AG297" i="57"/>
  <c r="AH297" i="57"/>
  <c r="AI297" i="57"/>
  <c r="AJ297" i="57"/>
  <c r="AK297" i="57"/>
  <c r="AL297" i="57"/>
  <c r="AM297" i="57"/>
  <c r="AN297" i="57"/>
  <c r="AO297" i="57"/>
  <c r="AP297" i="57"/>
  <c r="AQ297" i="57"/>
  <c r="AR297" i="57"/>
  <c r="AS297" i="57"/>
  <c r="AT297" i="57"/>
  <c r="AU297" i="57"/>
  <c r="AV297" i="57"/>
  <c r="AW297" i="57"/>
  <c r="AX297" i="57"/>
  <c r="AY297" i="57"/>
  <c r="AZ297" i="57"/>
  <c r="BA297" i="57"/>
  <c r="BB297" i="57"/>
  <c r="BC297" i="57"/>
  <c r="BD297" i="57"/>
  <c r="BE297" i="57"/>
  <c r="BF297" i="57"/>
  <c r="BG297" i="57"/>
  <c r="BH297" i="57"/>
  <c r="BI297" i="57"/>
  <c r="BJ297" i="57"/>
  <c r="BK297" i="57"/>
  <c r="BL297" i="57"/>
  <c r="BM297" i="57"/>
  <c r="BN297" i="57"/>
  <c r="BO297" i="57"/>
  <c r="BP297" i="57"/>
  <c r="BQ297" i="57"/>
  <c r="BR297" i="57"/>
  <c r="BS297" i="57"/>
  <c r="BT297" i="57"/>
  <c r="BU297" i="57"/>
  <c r="BV297" i="57"/>
  <c r="BW297" i="57"/>
  <c r="BX297" i="57"/>
  <c r="BY297" i="57"/>
  <c r="BZ297" i="57"/>
  <c r="CA297" i="57"/>
  <c r="CB297" i="57"/>
  <c r="CC297" i="57"/>
  <c r="CD297" i="57"/>
  <c r="CE297" i="57"/>
  <c r="CF297" i="57"/>
  <c r="CG297" i="57"/>
  <c r="CH297" i="57"/>
  <c r="CI297" i="57"/>
  <c r="CJ297" i="57"/>
  <c r="S298" i="57"/>
  <c r="T298" i="57"/>
  <c r="U298" i="57"/>
  <c r="V298" i="57"/>
  <c r="W298" i="57"/>
  <c r="X298" i="57"/>
  <c r="Y298" i="57"/>
  <c r="Z298" i="57"/>
  <c r="AA298" i="57"/>
  <c r="AB298" i="57"/>
  <c r="AC298" i="57"/>
  <c r="AD298" i="57"/>
  <c r="AE298" i="57"/>
  <c r="AF298" i="57"/>
  <c r="AG298" i="57"/>
  <c r="AH298" i="57"/>
  <c r="AI298" i="57"/>
  <c r="AJ298" i="57"/>
  <c r="AK298" i="57"/>
  <c r="AL298" i="57"/>
  <c r="AM298" i="57"/>
  <c r="AN298" i="57"/>
  <c r="AO298" i="57"/>
  <c r="AP298" i="57"/>
  <c r="AQ298" i="57"/>
  <c r="AR298" i="57"/>
  <c r="AS298" i="57"/>
  <c r="AT298" i="57"/>
  <c r="AU298" i="57"/>
  <c r="AV298" i="57"/>
  <c r="AW298" i="57"/>
  <c r="AX298" i="57"/>
  <c r="AY298" i="57"/>
  <c r="AZ298" i="57"/>
  <c r="BA298" i="57"/>
  <c r="BB298" i="57"/>
  <c r="BC298" i="57"/>
  <c r="BD298" i="57"/>
  <c r="BE298" i="57"/>
  <c r="BF298" i="57"/>
  <c r="BG298" i="57"/>
  <c r="BH298" i="57"/>
  <c r="BI298" i="57"/>
  <c r="BJ298" i="57"/>
  <c r="BK298" i="57"/>
  <c r="BL298" i="57"/>
  <c r="BM298" i="57"/>
  <c r="BN298" i="57"/>
  <c r="BO298" i="57"/>
  <c r="BP298" i="57"/>
  <c r="BQ298" i="57"/>
  <c r="BR298" i="57"/>
  <c r="BS298" i="57"/>
  <c r="BT298" i="57"/>
  <c r="BU298" i="57"/>
  <c r="BV298" i="57"/>
  <c r="BW298" i="57"/>
  <c r="BX298" i="57"/>
  <c r="BY298" i="57"/>
  <c r="BZ298" i="57"/>
  <c r="CA298" i="57"/>
  <c r="CB298" i="57"/>
  <c r="CC298" i="57"/>
  <c r="CD298" i="57"/>
  <c r="CE298" i="57"/>
  <c r="CF298" i="57"/>
  <c r="CG298" i="57"/>
  <c r="CH298" i="57"/>
  <c r="CI298" i="57"/>
  <c r="CJ298" i="57"/>
  <c r="S299" i="57"/>
  <c r="T299" i="57"/>
  <c r="U299" i="57"/>
  <c r="V299" i="57"/>
  <c r="W299" i="57"/>
  <c r="X299" i="57"/>
  <c r="Y299" i="57"/>
  <c r="Z299" i="57"/>
  <c r="AA299" i="57"/>
  <c r="AB299" i="57"/>
  <c r="AC299" i="57"/>
  <c r="AD299" i="57"/>
  <c r="AE299" i="57"/>
  <c r="AF299" i="57"/>
  <c r="AG299" i="57"/>
  <c r="AH299" i="57"/>
  <c r="AI299" i="57"/>
  <c r="AJ299" i="57"/>
  <c r="AK299" i="57"/>
  <c r="AL299" i="57"/>
  <c r="AM299" i="57"/>
  <c r="AN299" i="57"/>
  <c r="AO299" i="57"/>
  <c r="AP299" i="57"/>
  <c r="AQ299" i="57"/>
  <c r="AR299" i="57"/>
  <c r="AS299" i="57"/>
  <c r="AT299" i="57"/>
  <c r="AU299" i="57"/>
  <c r="AV299" i="57"/>
  <c r="AW299" i="57"/>
  <c r="AX299" i="57"/>
  <c r="AY299" i="57"/>
  <c r="AZ299" i="57"/>
  <c r="BA299" i="57"/>
  <c r="BB299" i="57"/>
  <c r="BC299" i="57"/>
  <c r="BD299" i="57"/>
  <c r="BE299" i="57"/>
  <c r="BF299" i="57"/>
  <c r="BG299" i="57"/>
  <c r="BH299" i="57"/>
  <c r="BI299" i="57"/>
  <c r="BJ299" i="57"/>
  <c r="BK299" i="57"/>
  <c r="BL299" i="57"/>
  <c r="BM299" i="57"/>
  <c r="BN299" i="57"/>
  <c r="BO299" i="57"/>
  <c r="BP299" i="57"/>
  <c r="BQ299" i="57"/>
  <c r="BR299" i="57"/>
  <c r="BS299" i="57"/>
  <c r="BT299" i="57"/>
  <c r="BU299" i="57"/>
  <c r="BV299" i="57"/>
  <c r="BW299" i="57"/>
  <c r="BX299" i="57"/>
  <c r="BY299" i="57"/>
  <c r="BZ299" i="57"/>
  <c r="CA299" i="57"/>
  <c r="CB299" i="57"/>
  <c r="CC299" i="57"/>
  <c r="CD299" i="57"/>
  <c r="CE299" i="57"/>
  <c r="CF299" i="57"/>
  <c r="CG299" i="57"/>
  <c r="CH299" i="57"/>
  <c r="CI299" i="57"/>
  <c r="CJ299" i="57"/>
  <c r="S300" i="57"/>
  <c r="T300" i="57"/>
  <c r="U300" i="57"/>
  <c r="V300" i="57"/>
  <c r="W300" i="57"/>
  <c r="X300" i="57"/>
  <c r="Y300" i="57"/>
  <c r="Z300" i="57"/>
  <c r="AA300" i="57"/>
  <c r="AB300" i="57"/>
  <c r="AC300" i="57"/>
  <c r="AD300" i="57"/>
  <c r="AE300" i="57"/>
  <c r="AF300" i="57"/>
  <c r="AG300" i="57"/>
  <c r="AH300" i="57"/>
  <c r="AI300" i="57"/>
  <c r="AJ300" i="57"/>
  <c r="AK300" i="57"/>
  <c r="AL300" i="57"/>
  <c r="AM300" i="57"/>
  <c r="AN300" i="57"/>
  <c r="AO300" i="57"/>
  <c r="AP300" i="57"/>
  <c r="AQ300" i="57"/>
  <c r="AR300" i="57"/>
  <c r="AS300" i="57"/>
  <c r="AT300" i="57"/>
  <c r="AU300" i="57"/>
  <c r="AV300" i="57"/>
  <c r="AW300" i="57"/>
  <c r="AX300" i="57"/>
  <c r="AY300" i="57"/>
  <c r="AZ300" i="57"/>
  <c r="BA300" i="57"/>
  <c r="BB300" i="57"/>
  <c r="BC300" i="57"/>
  <c r="BD300" i="57"/>
  <c r="BE300" i="57"/>
  <c r="BF300" i="57"/>
  <c r="BG300" i="57"/>
  <c r="BH300" i="57"/>
  <c r="BI300" i="57"/>
  <c r="BJ300" i="57"/>
  <c r="BK300" i="57"/>
  <c r="BL300" i="57"/>
  <c r="BM300" i="57"/>
  <c r="BN300" i="57"/>
  <c r="BO300" i="57"/>
  <c r="BP300" i="57"/>
  <c r="BQ300" i="57"/>
  <c r="BR300" i="57"/>
  <c r="BS300" i="57"/>
  <c r="BT300" i="57"/>
  <c r="BU300" i="57"/>
  <c r="BV300" i="57"/>
  <c r="BW300" i="57"/>
  <c r="BX300" i="57"/>
  <c r="BY300" i="57"/>
  <c r="BZ300" i="57"/>
  <c r="CA300" i="57"/>
  <c r="CB300" i="57"/>
  <c r="CC300" i="57"/>
  <c r="CD300" i="57"/>
  <c r="CE300" i="57"/>
  <c r="CF300" i="57"/>
  <c r="CG300" i="57"/>
  <c r="CH300" i="57"/>
  <c r="CI300" i="57"/>
  <c r="CJ300" i="57"/>
  <c r="S301" i="57"/>
  <c r="T301" i="57"/>
  <c r="U301" i="57"/>
  <c r="V301" i="57"/>
  <c r="W301" i="57"/>
  <c r="X301" i="57"/>
  <c r="Y301" i="57"/>
  <c r="Z301" i="57"/>
  <c r="AA301" i="57"/>
  <c r="AB301" i="57"/>
  <c r="AC301" i="57"/>
  <c r="AD301" i="57"/>
  <c r="AE301" i="57"/>
  <c r="AF301" i="57"/>
  <c r="AG301" i="57"/>
  <c r="AH301" i="57"/>
  <c r="AI301" i="57"/>
  <c r="AJ301" i="57"/>
  <c r="AK301" i="57"/>
  <c r="AL301" i="57"/>
  <c r="AM301" i="57"/>
  <c r="AN301" i="57"/>
  <c r="AO301" i="57"/>
  <c r="AP301" i="57"/>
  <c r="AQ301" i="57"/>
  <c r="AR301" i="57"/>
  <c r="AS301" i="57"/>
  <c r="AT301" i="57"/>
  <c r="AU301" i="57"/>
  <c r="AV301" i="57"/>
  <c r="AW301" i="57"/>
  <c r="AX301" i="57"/>
  <c r="AY301" i="57"/>
  <c r="AZ301" i="57"/>
  <c r="BA301" i="57"/>
  <c r="BB301" i="57"/>
  <c r="BC301" i="57"/>
  <c r="BD301" i="57"/>
  <c r="BE301" i="57"/>
  <c r="BF301" i="57"/>
  <c r="BG301" i="57"/>
  <c r="BH301" i="57"/>
  <c r="BI301" i="57"/>
  <c r="BJ301" i="57"/>
  <c r="BK301" i="57"/>
  <c r="BL301" i="57"/>
  <c r="BM301" i="57"/>
  <c r="BN301" i="57"/>
  <c r="BO301" i="57"/>
  <c r="BP301" i="57"/>
  <c r="BQ301" i="57"/>
  <c r="BR301" i="57"/>
  <c r="BS301" i="57"/>
  <c r="BT301" i="57"/>
  <c r="BU301" i="57"/>
  <c r="BV301" i="57"/>
  <c r="BW301" i="57"/>
  <c r="BX301" i="57"/>
  <c r="BY301" i="57"/>
  <c r="BZ301" i="57"/>
  <c r="CA301" i="57"/>
  <c r="CB301" i="57"/>
  <c r="CC301" i="57"/>
  <c r="CD301" i="57"/>
  <c r="CE301" i="57"/>
  <c r="CF301" i="57"/>
  <c r="CG301" i="57"/>
  <c r="CH301" i="57"/>
  <c r="CI301" i="57"/>
  <c r="CJ301" i="57"/>
  <c r="S302" i="57"/>
  <c r="T302" i="57"/>
  <c r="U302" i="57"/>
  <c r="V302" i="57"/>
  <c r="W302" i="57"/>
  <c r="X302" i="57"/>
  <c r="Y302" i="57"/>
  <c r="Z302" i="57"/>
  <c r="AA302" i="57"/>
  <c r="AB302" i="57"/>
  <c r="AC302" i="57"/>
  <c r="AD302" i="57"/>
  <c r="AE302" i="57"/>
  <c r="AF302" i="57"/>
  <c r="AG302" i="57"/>
  <c r="AH302" i="57"/>
  <c r="AI302" i="57"/>
  <c r="AJ302" i="57"/>
  <c r="AK302" i="57"/>
  <c r="AL302" i="57"/>
  <c r="AM302" i="57"/>
  <c r="AN302" i="57"/>
  <c r="AO302" i="57"/>
  <c r="AP302" i="57"/>
  <c r="AQ302" i="57"/>
  <c r="AR302" i="57"/>
  <c r="AS302" i="57"/>
  <c r="AT302" i="57"/>
  <c r="AU302" i="57"/>
  <c r="AV302" i="57"/>
  <c r="AW302" i="57"/>
  <c r="AX302" i="57"/>
  <c r="AY302" i="57"/>
  <c r="AZ302" i="57"/>
  <c r="BA302" i="57"/>
  <c r="BB302" i="57"/>
  <c r="BC302" i="57"/>
  <c r="BD302" i="57"/>
  <c r="BE302" i="57"/>
  <c r="BF302" i="57"/>
  <c r="BG302" i="57"/>
  <c r="BH302" i="57"/>
  <c r="BI302" i="57"/>
  <c r="BJ302" i="57"/>
  <c r="BK302" i="57"/>
  <c r="BL302" i="57"/>
  <c r="BM302" i="57"/>
  <c r="BN302" i="57"/>
  <c r="BO302" i="57"/>
  <c r="BP302" i="57"/>
  <c r="BQ302" i="57"/>
  <c r="BR302" i="57"/>
  <c r="BS302" i="57"/>
  <c r="BT302" i="57"/>
  <c r="BU302" i="57"/>
  <c r="BV302" i="57"/>
  <c r="BW302" i="57"/>
  <c r="BX302" i="57"/>
  <c r="BY302" i="57"/>
  <c r="BZ302" i="57"/>
  <c r="CA302" i="57"/>
  <c r="CB302" i="57"/>
  <c r="CC302" i="57"/>
  <c r="CD302" i="57"/>
  <c r="CE302" i="57"/>
  <c r="CF302" i="57"/>
  <c r="CG302" i="57"/>
  <c r="CH302" i="57"/>
  <c r="CI302" i="57"/>
  <c r="CJ302" i="57"/>
  <c r="S303" i="57"/>
  <c r="T303" i="57"/>
  <c r="U303" i="57"/>
  <c r="V303" i="57"/>
  <c r="W303" i="57"/>
  <c r="X303" i="57"/>
  <c r="Y303" i="57"/>
  <c r="Z303" i="57"/>
  <c r="AA303" i="57"/>
  <c r="AB303" i="57"/>
  <c r="AC303" i="57"/>
  <c r="AD303" i="57"/>
  <c r="AE303" i="57"/>
  <c r="AF303" i="57"/>
  <c r="AG303" i="57"/>
  <c r="AH303" i="57"/>
  <c r="AI303" i="57"/>
  <c r="AJ303" i="57"/>
  <c r="AK303" i="57"/>
  <c r="AL303" i="57"/>
  <c r="AM303" i="57"/>
  <c r="AN303" i="57"/>
  <c r="AO303" i="57"/>
  <c r="AP303" i="57"/>
  <c r="AQ303" i="57"/>
  <c r="AR303" i="57"/>
  <c r="AS303" i="57"/>
  <c r="AT303" i="57"/>
  <c r="AU303" i="57"/>
  <c r="AV303" i="57"/>
  <c r="AW303" i="57"/>
  <c r="AX303" i="57"/>
  <c r="AY303" i="57"/>
  <c r="AZ303" i="57"/>
  <c r="BA303" i="57"/>
  <c r="BB303" i="57"/>
  <c r="BC303" i="57"/>
  <c r="BD303" i="57"/>
  <c r="BE303" i="57"/>
  <c r="BF303" i="57"/>
  <c r="BG303" i="57"/>
  <c r="BH303" i="57"/>
  <c r="BI303" i="57"/>
  <c r="BJ303" i="57"/>
  <c r="BK303" i="57"/>
  <c r="BL303" i="57"/>
  <c r="BM303" i="57"/>
  <c r="BN303" i="57"/>
  <c r="BO303" i="57"/>
  <c r="BP303" i="57"/>
  <c r="BQ303" i="57"/>
  <c r="BR303" i="57"/>
  <c r="BS303" i="57"/>
  <c r="BT303" i="57"/>
  <c r="BU303" i="57"/>
  <c r="BV303" i="57"/>
  <c r="BW303" i="57"/>
  <c r="BX303" i="57"/>
  <c r="BY303" i="57"/>
  <c r="BZ303" i="57"/>
  <c r="CA303" i="57"/>
  <c r="CB303" i="57"/>
  <c r="CC303" i="57"/>
  <c r="CD303" i="57"/>
  <c r="CE303" i="57"/>
  <c r="CF303" i="57"/>
  <c r="CG303" i="57"/>
  <c r="CH303" i="57"/>
  <c r="CI303" i="57"/>
  <c r="CJ303" i="57"/>
  <c r="S304" i="57"/>
  <c r="T304" i="57"/>
  <c r="U304" i="57"/>
  <c r="V304" i="57"/>
  <c r="W304" i="57"/>
  <c r="X304" i="57"/>
  <c r="Y304" i="57"/>
  <c r="Z304" i="57"/>
  <c r="AA304" i="57"/>
  <c r="AB304" i="57"/>
  <c r="AC304" i="57"/>
  <c r="AD304" i="57"/>
  <c r="AE304" i="57"/>
  <c r="AF304" i="57"/>
  <c r="AG304" i="57"/>
  <c r="AH304" i="57"/>
  <c r="AI304" i="57"/>
  <c r="AJ304" i="57"/>
  <c r="AK304" i="57"/>
  <c r="AL304" i="57"/>
  <c r="AM304" i="57"/>
  <c r="AN304" i="57"/>
  <c r="AO304" i="57"/>
  <c r="AP304" i="57"/>
  <c r="AQ304" i="57"/>
  <c r="AR304" i="57"/>
  <c r="AS304" i="57"/>
  <c r="AT304" i="57"/>
  <c r="AU304" i="57"/>
  <c r="AV304" i="57"/>
  <c r="AW304" i="57"/>
  <c r="AX304" i="57"/>
  <c r="AY304" i="57"/>
  <c r="AZ304" i="57"/>
  <c r="BA304" i="57"/>
  <c r="BB304" i="57"/>
  <c r="BC304" i="57"/>
  <c r="BD304" i="57"/>
  <c r="BE304" i="57"/>
  <c r="BF304" i="57"/>
  <c r="BG304" i="57"/>
  <c r="BH304" i="57"/>
  <c r="BI304" i="57"/>
  <c r="BJ304" i="57"/>
  <c r="BK304" i="57"/>
  <c r="BL304" i="57"/>
  <c r="BM304" i="57"/>
  <c r="BN304" i="57"/>
  <c r="BO304" i="57"/>
  <c r="BP304" i="57"/>
  <c r="BQ304" i="57"/>
  <c r="BR304" i="57"/>
  <c r="BS304" i="57"/>
  <c r="BT304" i="57"/>
  <c r="BU304" i="57"/>
  <c r="BV304" i="57"/>
  <c r="BW304" i="57"/>
  <c r="BX304" i="57"/>
  <c r="BY304" i="57"/>
  <c r="BZ304" i="57"/>
  <c r="CA304" i="57"/>
  <c r="CB304" i="57"/>
  <c r="CC304" i="57"/>
  <c r="CD304" i="57"/>
  <c r="CE304" i="57"/>
  <c r="CF304" i="57"/>
  <c r="CG304" i="57"/>
  <c r="CH304" i="57"/>
  <c r="CI304" i="57"/>
  <c r="CJ304" i="57"/>
  <c r="S305" i="57"/>
  <c r="T305" i="57"/>
  <c r="U305" i="57"/>
  <c r="V305" i="57"/>
  <c r="W305" i="57"/>
  <c r="X305" i="57"/>
  <c r="Y305" i="57"/>
  <c r="Z305" i="57"/>
  <c r="AA305" i="57"/>
  <c r="AB305" i="57"/>
  <c r="AC305" i="57"/>
  <c r="AD305" i="57"/>
  <c r="AE305" i="57"/>
  <c r="AF305" i="57"/>
  <c r="AG305" i="57"/>
  <c r="AH305" i="57"/>
  <c r="AI305" i="57"/>
  <c r="AJ305" i="57"/>
  <c r="AK305" i="57"/>
  <c r="AL305" i="57"/>
  <c r="AM305" i="57"/>
  <c r="AN305" i="57"/>
  <c r="AO305" i="57"/>
  <c r="AP305" i="57"/>
  <c r="AQ305" i="57"/>
  <c r="AR305" i="57"/>
  <c r="AS305" i="57"/>
  <c r="AT305" i="57"/>
  <c r="AU305" i="57"/>
  <c r="AV305" i="57"/>
  <c r="AW305" i="57"/>
  <c r="AX305" i="57"/>
  <c r="AY305" i="57"/>
  <c r="AZ305" i="57"/>
  <c r="BA305" i="57"/>
  <c r="BB305" i="57"/>
  <c r="BC305" i="57"/>
  <c r="BD305" i="57"/>
  <c r="BE305" i="57"/>
  <c r="BF305" i="57"/>
  <c r="BG305" i="57"/>
  <c r="BH305" i="57"/>
  <c r="BI305" i="57"/>
  <c r="BJ305" i="57"/>
  <c r="BK305" i="57"/>
  <c r="BL305" i="57"/>
  <c r="BM305" i="57"/>
  <c r="BN305" i="57"/>
  <c r="BO305" i="57"/>
  <c r="BP305" i="57"/>
  <c r="BQ305" i="57"/>
  <c r="BR305" i="57"/>
  <c r="BS305" i="57"/>
  <c r="BT305" i="57"/>
  <c r="BU305" i="57"/>
  <c r="BV305" i="57"/>
  <c r="BW305" i="57"/>
  <c r="BX305" i="57"/>
  <c r="BY305" i="57"/>
  <c r="BZ305" i="57"/>
  <c r="CA305" i="57"/>
  <c r="CB305" i="57"/>
  <c r="CC305" i="57"/>
  <c r="CD305" i="57"/>
  <c r="CE305" i="57"/>
  <c r="CF305" i="57"/>
  <c r="CG305" i="57"/>
  <c r="CH305" i="57"/>
  <c r="CI305" i="57"/>
  <c r="CJ305" i="57"/>
  <c r="S306" i="57"/>
  <c r="T306" i="57"/>
  <c r="U306" i="57"/>
  <c r="V306" i="57"/>
  <c r="W306" i="57"/>
  <c r="X306" i="57"/>
  <c r="Y306" i="57"/>
  <c r="Z306" i="57"/>
  <c r="AA306" i="57"/>
  <c r="AB306" i="57"/>
  <c r="AC306" i="57"/>
  <c r="AD306" i="57"/>
  <c r="AE306" i="57"/>
  <c r="AF306" i="57"/>
  <c r="AG306" i="57"/>
  <c r="AH306" i="57"/>
  <c r="AI306" i="57"/>
  <c r="AJ306" i="57"/>
  <c r="AK306" i="57"/>
  <c r="AL306" i="57"/>
  <c r="AM306" i="57"/>
  <c r="AN306" i="57"/>
  <c r="AO306" i="57"/>
  <c r="AP306" i="57"/>
  <c r="AQ306" i="57"/>
  <c r="AR306" i="57"/>
  <c r="AS306" i="57"/>
  <c r="AT306" i="57"/>
  <c r="AU306" i="57"/>
  <c r="AV306" i="57"/>
  <c r="AW306" i="57"/>
  <c r="AX306" i="57"/>
  <c r="AY306" i="57"/>
  <c r="AZ306" i="57"/>
  <c r="BA306" i="57"/>
  <c r="BB306" i="57"/>
  <c r="BC306" i="57"/>
  <c r="BD306" i="57"/>
  <c r="BE306" i="57"/>
  <c r="BF306" i="57"/>
  <c r="BG306" i="57"/>
  <c r="BH306" i="57"/>
  <c r="BI306" i="57"/>
  <c r="BJ306" i="57"/>
  <c r="BK306" i="57"/>
  <c r="BL306" i="57"/>
  <c r="BM306" i="57"/>
  <c r="BN306" i="57"/>
  <c r="BO306" i="57"/>
  <c r="BP306" i="57"/>
  <c r="BQ306" i="57"/>
  <c r="BR306" i="57"/>
  <c r="BS306" i="57"/>
  <c r="BT306" i="57"/>
  <c r="BU306" i="57"/>
  <c r="BV306" i="57"/>
  <c r="BW306" i="57"/>
  <c r="BX306" i="57"/>
  <c r="BY306" i="57"/>
  <c r="BZ306" i="57"/>
  <c r="CA306" i="57"/>
  <c r="CB306" i="57"/>
  <c r="CC306" i="57"/>
  <c r="CD306" i="57"/>
  <c r="CE306" i="57"/>
  <c r="CF306" i="57"/>
  <c r="CG306" i="57"/>
  <c r="CH306" i="57"/>
  <c r="CI306" i="57"/>
  <c r="CJ306" i="57"/>
  <c r="S307" i="57"/>
  <c r="T307" i="57"/>
  <c r="U307" i="57"/>
  <c r="V307" i="57"/>
  <c r="W307" i="57"/>
  <c r="X307" i="57"/>
  <c r="Y307" i="57"/>
  <c r="Z307" i="57"/>
  <c r="AA307" i="57"/>
  <c r="AB307" i="57"/>
  <c r="AC307" i="57"/>
  <c r="AD307" i="57"/>
  <c r="AE307" i="57"/>
  <c r="AF307" i="57"/>
  <c r="AG307" i="57"/>
  <c r="AH307" i="57"/>
  <c r="AI307" i="57"/>
  <c r="AJ307" i="57"/>
  <c r="AK307" i="57"/>
  <c r="AL307" i="57"/>
  <c r="AM307" i="57"/>
  <c r="AN307" i="57"/>
  <c r="AO307" i="57"/>
  <c r="AP307" i="57"/>
  <c r="AQ307" i="57"/>
  <c r="AR307" i="57"/>
  <c r="AS307" i="57"/>
  <c r="AT307" i="57"/>
  <c r="AU307" i="57"/>
  <c r="AV307" i="57"/>
  <c r="AW307" i="57"/>
  <c r="AX307" i="57"/>
  <c r="AY307" i="57"/>
  <c r="AZ307" i="57"/>
  <c r="BA307" i="57"/>
  <c r="BB307" i="57"/>
  <c r="BC307" i="57"/>
  <c r="BD307" i="57"/>
  <c r="BE307" i="57"/>
  <c r="BF307" i="57"/>
  <c r="BG307" i="57"/>
  <c r="BH307" i="57"/>
  <c r="BI307" i="57"/>
  <c r="BJ307" i="57"/>
  <c r="BK307" i="57"/>
  <c r="BL307" i="57"/>
  <c r="BM307" i="57"/>
  <c r="BN307" i="57"/>
  <c r="BO307" i="57"/>
  <c r="BP307" i="57"/>
  <c r="BQ307" i="57"/>
  <c r="BR307" i="57"/>
  <c r="BS307" i="57"/>
  <c r="BT307" i="57"/>
  <c r="BU307" i="57"/>
  <c r="BV307" i="57"/>
  <c r="BW307" i="57"/>
  <c r="BX307" i="57"/>
  <c r="BY307" i="57"/>
  <c r="BZ307" i="57"/>
  <c r="CA307" i="57"/>
  <c r="CB307" i="57"/>
  <c r="CC307" i="57"/>
  <c r="CD307" i="57"/>
  <c r="CE307" i="57"/>
  <c r="CF307" i="57"/>
  <c r="CG307" i="57"/>
  <c r="CH307" i="57"/>
  <c r="CI307" i="57"/>
  <c r="CJ307" i="57"/>
  <c r="S308" i="57"/>
  <c r="T308" i="57"/>
  <c r="U308" i="57"/>
  <c r="V308" i="57"/>
  <c r="W308" i="57"/>
  <c r="X308" i="57"/>
  <c r="Y308" i="57"/>
  <c r="Z308" i="57"/>
  <c r="AA308" i="57"/>
  <c r="AB308" i="57"/>
  <c r="AC308" i="57"/>
  <c r="AD308" i="57"/>
  <c r="AE308" i="57"/>
  <c r="AF308" i="57"/>
  <c r="AG308" i="57"/>
  <c r="AH308" i="57"/>
  <c r="AI308" i="57"/>
  <c r="AJ308" i="57"/>
  <c r="AK308" i="57"/>
  <c r="AL308" i="57"/>
  <c r="AM308" i="57"/>
  <c r="AN308" i="57"/>
  <c r="AO308" i="57"/>
  <c r="AP308" i="57"/>
  <c r="AQ308" i="57"/>
  <c r="AR308" i="57"/>
  <c r="AS308" i="57"/>
  <c r="AT308" i="57"/>
  <c r="AU308" i="57"/>
  <c r="AV308" i="57"/>
  <c r="AW308" i="57"/>
  <c r="AX308" i="57"/>
  <c r="AY308" i="57"/>
  <c r="AZ308" i="57"/>
  <c r="BA308" i="57"/>
  <c r="BB308" i="57"/>
  <c r="BC308" i="57"/>
  <c r="BD308" i="57"/>
  <c r="BE308" i="57"/>
  <c r="BF308" i="57"/>
  <c r="BG308" i="57"/>
  <c r="BH308" i="57"/>
  <c r="BI308" i="57"/>
  <c r="BJ308" i="57"/>
  <c r="BK308" i="57"/>
  <c r="BL308" i="57"/>
  <c r="BM308" i="57"/>
  <c r="BN308" i="57"/>
  <c r="BO308" i="57"/>
  <c r="BP308" i="57"/>
  <c r="BQ308" i="57"/>
  <c r="BR308" i="57"/>
  <c r="BS308" i="57"/>
  <c r="BT308" i="57"/>
  <c r="BU308" i="57"/>
  <c r="BV308" i="57"/>
  <c r="BW308" i="57"/>
  <c r="BX308" i="57"/>
  <c r="BY308" i="57"/>
  <c r="BZ308" i="57"/>
  <c r="CA308" i="57"/>
  <c r="CB308" i="57"/>
  <c r="CC308" i="57"/>
  <c r="CD308" i="57"/>
  <c r="CE308" i="57"/>
  <c r="CF308" i="57"/>
  <c r="CG308" i="57"/>
  <c r="CH308" i="57"/>
  <c r="CI308" i="57"/>
  <c r="CJ308" i="57"/>
  <c r="S309" i="57"/>
  <c r="T309" i="57"/>
  <c r="U309" i="57"/>
  <c r="V309" i="57"/>
  <c r="W309" i="57"/>
  <c r="X309" i="57"/>
  <c r="Y309" i="57"/>
  <c r="Z309" i="57"/>
  <c r="AA309" i="57"/>
  <c r="AB309" i="57"/>
  <c r="AC309" i="57"/>
  <c r="AD309" i="57"/>
  <c r="AE309" i="57"/>
  <c r="AF309" i="57"/>
  <c r="AG309" i="57"/>
  <c r="AH309" i="57"/>
  <c r="AI309" i="57"/>
  <c r="AJ309" i="57"/>
  <c r="AK309" i="57"/>
  <c r="AL309" i="57"/>
  <c r="AM309" i="57"/>
  <c r="AN309" i="57"/>
  <c r="AO309" i="57"/>
  <c r="AP309" i="57"/>
  <c r="AQ309" i="57"/>
  <c r="AR309" i="57"/>
  <c r="AS309" i="57"/>
  <c r="AT309" i="57"/>
  <c r="AU309" i="57"/>
  <c r="AV309" i="57"/>
  <c r="AW309" i="57"/>
  <c r="AX309" i="57"/>
  <c r="AY309" i="57"/>
  <c r="AZ309" i="57"/>
  <c r="BA309" i="57"/>
  <c r="BB309" i="57"/>
  <c r="BC309" i="57"/>
  <c r="BD309" i="57"/>
  <c r="BE309" i="57"/>
  <c r="BF309" i="57"/>
  <c r="BG309" i="57"/>
  <c r="BH309" i="57"/>
  <c r="BI309" i="57"/>
  <c r="BJ309" i="57"/>
  <c r="BK309" i="57"/>
  <c r="BL309" i="57"/>
  <c r="BM309" i="57"/>
  <c r="BN309" i="57"/>
  <c r="BO309" i="57"/>
  <c r="BP309" i="57"/>
  <c r="BQ309" i="57"/>
  <c r="BR309" i="57"/>
  <c r="BS309" i="57"/>
  <c r="BT309" i="57"/>
  <c r="BU309" i="57"/>
  <c r="BV309" i="57"/>
  <c r="BW309" i="57"/>
  <c r="BX309" i="57"/>
  <c r="BY309" i="57"/>
  <c r="BZ309" i="57"/>
  <c r="CA309" i="57"/>
  <c r="CB309" i="57"/>
  <c r="CC309" i="57"/>
  <c r="CD309" i="57"/>
  <c r="CE309" i="57"/>
  <c r="CF309" i="57"/>
  <c r="CG309" i="57"/>
  <c r="CH309" i="57"/>
  <c r="CI309" i="57"/>
  <c r="CJ309" i="57"/>
  <c r="S310" i="57"/>
  <c r="T310" i="57"/>
  <c r="U310" i="57"/>
  <c r="V310" i="57"/>
  <c r="W310" i="57"/>
  <c r="X310" i="57"/>
  <c r="Y310" i="57"/>
  <c r="Z310" i="57"/>
  <c r="AA310" i="57"/>
  <c r="AB310" i="57"/>
  <c r="AC310" i="57"/>
  <c r="AD310" i="57"/>
  <c r="AE310" i="57"/>
  <c r="AF310" i="57"/>
  <c r="AG310" i="57"/>
  <c r="AH310" i="57"/>
  <c r="AI310" i="57"/>
  <c r="AJ310" i="57"/>
  <c r="AK310" i="57"/>
  <c r="AL310" i="57"/>
  <c r="AM310" i="57"/>
  <c r="AN310" i="57"/>
  <c r="AO310" i="57"/>
  <c r="AP310" i="57"/>
  <c r="AQ310" i="57"/>
  <c r="AR310" i="57"/>
  <c r="AS310" i="57"/>
  <c r="AT310" i="57"/>
  <c r="AU310" i="57"/>
  <c r="AV310" i="57"/>
  <c r="AW310" i="57"/>
  <c r="AX310" i="57"/>
  <c r="AY310" i="57"/>
  <c r="AZ310" i="57"/>
  <c r="BA310" i="57"/>
  <c r="BB310" i="57"/>
  <c r="BC310" i="57"/>
  <c r="BD310" i="57"/>
  <c r="BE310" i="57"/>
  <c r="BF310" i="57"/>
  <c r="BG310" i="57"/>
  <c r="BH310" i="57"/>
  <c r="BI310" i="57"/>
  <c r="BJ310" i="57"/>
  <c r="BK310" i="57"/>
  <c r="BL310" i="57"/>
  <c r="BM310" i="57"/>
  <c r="BN310" i="57"/>
  <c r="BO310" i="57"/>
  <c r="BP310" i="57"/>
  <c r="BQ310" i="57"/>
  <c r="BR310" i="57"/>
  <c r="BS310" i="57"/>
  <c r="BT310" i="57"/>
  <c r="BU310" i="57"/>
  <c r="BV310" i="57"/>
  <c r="BW310" i="57"/>
  <c r="BX310" i="57"/>
  <c r="BY310" i="57"/>
  <c r="BZ310" i="57"/>
  <c r="CA310" i="57"/>
  <c r="CB310" i="57"/>
  <c r="CC310" i="57"/>
  <c r="CD310" i="57"/>
  <c r="CE310" i="57"/>
  <c r="CF310" i="57"/>
  <c r="CG310" i="57"/>
  <c r="CH310" i="57"/>
  <c r="CI310" i="57"/>
  <c r="CJ310" i="57"/>
  <c r="S311" i="57"/>
  <c r="T311" i="57"/>
  <c r="U311" i="57"/>
  <c r="V311" i="57"/>
  <c r="W311" i="57"/>
  <c r="X311" i="57"/>
  <c r="Y311" i="57"/>
  <c r="Z311" i="57"/>
  <c r="AA311" i="57"/>
  <c r="AB311" i="57"/>
  <c r="AC311" i="57"/>
  <c r="AD311" i="57"/>
  <c r="AE311" i="57"/>
  <c r="AF311" i="57"/>
  <c r="AG311" i="57"/>
  <c r="AH311" i="57"/>
  <c r="AI311" i="57"/>
  <c r="AJ311" i="57"/>
  <c r="AK311" i="57"/>
  <c r="AL311" i="57"/>
  <c r="AM311" i="57"/>
  <c r="AN311" i="57"/>
  <c r="AO311" i="57"/>
  <c r="AP311" i="57"/>
  <c r="AQ311" i="57"/>
  <c r="AR311" i="57"/>
  <c r="AS311" i="57"/>
  <c r="AT311" i="57"/>
  <c r="AU311" i="57"/>
  <c r="AV311" i="57"/>
  <c r="AW311" i="57"/>
  <c r="AX311" i="57"/>
  <c r="AY311" i="57"/>
  <c r="AZ311" i="57"/>
  <c r="BA311" i="57"/>
  <c r="BB311" i="57"/>
  <c r="BC311" i="57"/>
  <c r="BD311" i="57"/>
  <c r="BE311" i="57"/>
  <c r="BF311" i="57"/>
  <c r="BG311" i="57"/>
  <c r="BH311" i="57"/>
  <c r="BI311" i="57"/>
  <c r="BJ311" i="57"/>
  <c r="BK311" i="57"/>
  <c r="BL311" i="57"/>
  <c r="BM311" i="57"/>
  <c r="BN311" i="57"/>
  <c r="BO311" i="57"/>
  <c r="BP311" i="57"/>
  <c r="BQ311" i="57"/>
  <c r="BR311" i="57"/>
  <c r="BS311" i="57"/>
  <c r="BT311" i="57"/>
  <c r="BU311" i="57"/>
  <c r="BV311" i="57"/>
  <c r="BW311" i="57"/>
  <c r="BX311" i="57"/>
  <c r="BY311" i="57"/>
  <c r="BZ311" i="57"/>
  <c r="CA311" i="57"/>
  <c r="CB311" i="57"/>
  <c r="CC311" i="57"/>
  <c r="CD311" i="57"/>
  <c r="CE311" i="57"/>
  <c r="CF311" i="57"/>
  <c r="CG311" i="57"/>
  <c r="CH311" i="57"/>
  <c r="CI311" i="57"/>
  <c r="CJ311" i="57"/>
  <c r="S312" i="57"/>
  <c r="T312" i="57"/>
  <c r="U312" i="57"/>
  <c r="V312" i="57"/>
  <c r="W312" i="57"/>
  <c r="X312" i="57"/>
  <c r="Y312" i="57"/>
  <c r="Z312" i="57"/>
  <c r="AA312" i="57"/>
  <c r="AB312" i="57"/>
  <c r="AC312" i="57"/>
  <c r="AD312" i="57"/>
  <c r="AE312" i="57"/>
  <c r="AF312" i="57"/>
  <c r="AG312" i="57"/>
  <c r="AH312" i="57"/>
  <c r="AI312" i="57"/>
  <c r="AJ312" i="57"/>
  <c r="AK312" i="57"/>
  <c r="AL312" i="57"/>
  <c r="AM312" i="57"/>
  <c r="AN312" i="57"/>
  <c r="AO312" i="57"/>
  <c r="AP312" i="57"/>
  <c r="AQ312" i="57"/>
  <c r="AR312" i="57"/>
  <c r="AS312" i="57"/>
  <c r="AT312" i="57"/>
  <c r="AU312" i="57"/>
  <c r="AV312" i="57"/>
  <c r="AW312" i="57"/>
  <c r="AX312" i="57"/>
  <c r="AY312" i="57"/>
  <c r="AZ312" i="57"/>
  <c r="BA312" i="57"/>
  <c r="BB312" i="57"/>
  <c r="BC312" i="57"/>
  <c r="BD312" i="57"/>
  <c r="BE312" i="57"/>
  <c r="BF312" i="57"/>
  <c r="BG312" i="57"/>
  <c r="BH312" i="57"/>
  <c r="BI312" i="57"/>
  <c r="BJ312" i="57"/>
  <c r="BK312" i="57"/>
  <c r="BL312" i="57"/>
  <c r="BM312" i="57"/>
  <c r="BN312" i="57"/>
  <c r="BO312" i="57"/>
  <c r="BP312" i="57"/>
  <c r="BQ312" i="57"/>
  <c r="BR312" i="57"/>
  <c r="BS312" i="57"/>
  <c r="BT312" i="57"/>
  <c r="BU312" i="57"/>
  <c r="BV312" i="57"/>
  <c r="BW312" i="57"/>
  <c r="BX312" i="57"/>
  <c r="BY312" i="57"/>
  <c r="BZ312" i="57"/>
  <c r="CA312" i="57"/>
  <c r="CB312" i="57"/>
  <c r="CC312" i="57"/>
  <c r="CD312" i="57"/>
  <c r="CE312" i="57"/>
  <c r="CF312" i="57"/>
  <c r="CG312" i="57"/>
  <c r="CH312" i="57"/>
  <c r="CI312" i="57"/>
  <c r="CJ312" i="57"/>
  <c r="S313" i="57"/>
  <c r="T313" i="57"/>
  <c r="U313" i="57"/>
  <c r="V313" i="57"/>
  <c r="W313" i="57"/>
  <c r="X313" i="57"/>
  <c r="Y313" i="57"/>
  <c r="Z313" i="57"/>
  <c r="AA313" i="57"/>
  <c r="AB313" i="57"/>
  <c r="AC313" i="57"/>
  <c r="AD313" i="57"/>
  <c r="AE313" i="57"/>
  <c r="AF313" i="57"/>
  <c r="AG313" i="57"/>
  <c r="AH313" i="57"/>
  <c r="AI313" i="57"/>
  <c r="AJ313" i="57"/>
  <c r="AK313" i="57"/>
  <c r="AL313" i="57"/>
  <c r="AM313" i="57"/>
  <c r="AN313" i="57"/>
  <c r="AO313" i="57"/>
  <c r="AP313" i="57"/>
  <c r="AQ313" i="57"/>
  <c r="AR313" i="57"/>
  <c r="AS313" i="57"/>
  <c r="AT313" i="57"/>
  <c r="AU313" i="57"/>
  <c r="AV313" i="57"/>
  <c r="AW313" i="57"/>
  <c r="AX313" i="57"/>
  <c r="AY313" i="57"/>
  <c r="AZ313" i="57"/>
  <c r="BA313" i="57"/>
  <c r="BB313" i="57"/>
  <c r="BC313" i="57"/>
  <c r="BD313" i="57"/>
  <c r="BE313" i="57"/>
  <c r="BF313" i="57"/>
  <c r="BG313" i="57"/>
  <c r="BH313" i="57"/>
  <c r="BI313" i="57"/>
  <c r="BJ313" i="57"/>
  <c r="BK313" i="57"/>
  <c r="BL313" i="57"/>
  <c r="BM313" i="57"/>
  <c r="BN313" i="57"/>
  <c r="BO313" i="57"/>
  <c r="BP313" i="57"/>
  <c r="BQ313" i="57"/>
  <c r="BR313" i="57"/>
  <c r="BS313" i="57"/>
  <c r="BT313" i="57"/>
  <c r="BU313" i="57"/>
  <c r="BV313" i="57"/>
  <c r="BW313" i="57"/>
  <c r="BX313" i="57"/>
  <c r="BY313" i="57"/>
  <c r="BZ313" i="57"/>
  <c r="CA313" i="57"/>
  <c r="CB313" i="57"/>
  <c r="CC313" i="57"/>
  <c r="CD313" i="57"/>
  <c r="CE313" i="57"/>
  <c r="CF313" i="57"/>
  <c r="CG313" i="57"/>
  <c r="CH313" i="57"/>
  <c r="CI313" i="57"/>
  <c r="CJ313" i="57"/>
  <c r="S314" i="57"/>
  <c r="T314" i="57"/>
  <c r="U314" i="57"/>
  <c r="V314" i="57"/>
  <c r="W314" i="57"/>
  <c r="X314" i="57"/>
  <c r="Y314" i="57"/>
  <c r="Z314" i="57"/>
  <c r="AA314" i="57"/>
  <c r="AB314" i="57"/>
  <c r="AC314" i="57"/>
  <c r="AD314" i="57"/>
  <c r="AE314" i="57"/>
  <c r="AF314" i="57"/>
  <c r="AG314" i="57"/>
  <c r="AH314" i="57"/>
  <c r="AI314" i="57"/>
  <c r="AJ314" i="57"/>
  <c r="AK314" i="57"/>
  <c r="AL314" i="57"/>
  <c r="AM314" i="57"/>
  <c r="AN314" i="57"/>
  <c r="AO314" i="57"/>
  <c r="AP314" i="57"/>
  <c r="AQ314" i="57"/>
  <c r="AR314" i="57"/>
  <c r="AS314" i="57"/>
  <c r="AT314" i="57"/>
  <c r="AU314" i="57"/>
  <c r="AV314" i="57"/>
  <c r="AW314" i="57"/>
  <c r="AX314" i="57"/>
  <c r="AY314" i="57"/>
  <c r="AZ314" i="57"/>
  <c r="BA314" i="57"/>
  <c r="BB314" i="57"/>
  <c r="BC314" i="57"/>
  <c r="BD314" i="57"/>
  <c r="BE314" i="57"/>
  <c r="BF314" i="57"/>
  <c r="BG314" i="57"/>
  <c r="BH314" i="57"/>
  <c r="BI314" i="57"/>
  <c r="BJ314" i="57"/>
  <c r="BK314" i="57"/>
  <c r="BL314" i="57"/>
  <c r="BM314" i="57"/>
  <c r="BN314" i="57"/>
  <c r="BO314" i="57"/>
  <c r="BP314" i="57"/>
  <c r="BQ314" i="57"/>
  <c r="BR314" i="57"/>
  <c r="BS314" i="57"/>
  <c r="BT314" i="57"/>
  <c r="BU314" i="57"/>
  <c r="BV314" i="57"/>
  <c r="BW314" i="57"/>
  <c r="BX314" i="57"/>
  <c r="BY314" i="57"/>
  <c r="BZ314" i="57"/>
  <c r="CA314" i="57"/>
  <c r="CB314" i="57"/>
  <c r="CC314" i="57"/>
  <c r="CD314" i="57"/>
  <c r="CE314" i="57"/>
  <c r="CF314" i="57"/>
  <c r="CG314" i="57"/>
  <c r="CH314" i="57"/>
  <c r="CI314" i="57"/>
  <c r="CJ314" i="57"/>
  <c r="S315" i="57"/>
  <c r="T315" i="57"/>
  <c r="U315" i="57"/>
  <c r="V315" i="57"/>
  <c r="W315" i="57"/>
  <c r="X315" i="57"/>
  <c r="Y315" i="57"/>
  <c r="Z315" i="57"/>
  <c r="AA315" i="57"/>
  <c r="AB315" i="57"/>
  <c r="AC315" i="57"/>
  <c r="AD315" i="57"/>
  <c r="AE315" i="57"/>
  <c r="AF315" i="57"/>
  <c r="AG315" i="57"/>
  <c r="AH315" i="57"/>
  <c r="AI315" i="57"/>
  <c r="AJ315" i="57"/>
  <c r="AK315" i="57"/>
  <c r="AL315" i="57"/>
  <c r="AM315" i="57"/>
  <c r="AN315" i="57"/>
  <c r="AO315" i="57"/>
  <c r="AP315" i="57"/>
  <c r="AQ315" i="57"/>
  <c r="AR315" i="57"/>
  <c r="AS315" i="57"/>
  <c r="AT315" i="57"/>
  <c r="AU315" i="57"/>
  <c r="AV315" i="57"/>
  <c r="AW315" i="57"/>
  <c r="AX315" i="57"/>
  <c r="AY315" i="57"/>
  <c r="AZ315" i="57"/>
  <c r="BA315" i="57"/>
  <c r="BB315" i="57"/>
  <c r="BC315" i="57"/>
  <c r="BD315" i="57"/>
  <c r="BE315" i="57"/>
  <c r="BF315" i="57"/>
  <c r="BG315" i="57"/>
  <c r="BH315" i="57"/>
  <c r="BI315" i="57"/>
  <c r="BJ315" i="57"/>
  <c r="BK315" i="57"/>
  <c r="BL315" i="57"/>
  <c r="BM315" i="57"/>
  <c r="BN315" i="57"/>
  <c r="BO315" i="57"/>
  <c r="BP315" i="57"/>
  <c r="BQ315" i="57"/>
  <c r="BR315" i="57"/>
  <c r="BS315" i="57"/>
  <c r="BT315" i="57"/>
  <c r="BU315" i="57"/>
  <c r="BV315" i="57"/>
  <c r="BW315" i="57"/>
  <c r="BX315" i="57"/>
  <c r="BY315" i="57"/>
  <c r="BZ315" i="57"/>
  <c r="CA315" i="57"/>
  <c r="CB315" i="57"/>
  <c r="CC315" i="57"/>
  <c r="CD315" i="57"/>
  <c r="CE315" i="57"/>
  <c r="CF315" i="57"/>
  <c r="CG315" i="57"/>
  <c r="CH315" i="57"/>
  <c r="CI315" i="57"/>
  <c r="CJ315" i="57"/>
  <c r="S316" i="57"/>
  <c r="T316" i="57"/>
  <c r="U316" i="57"/>
  <c r="V316" i="57"/>
  <c r="W316" i="57"/>
  <c r="X316" i="57"/>
  <c r="Y316" i="57"/>
  <c r="Z316" i="57"/>
  <c r="AA316" i="57"/>
  <c r="AB316" i="57"/>
  <c r="AC316" i="57"/>
  <c r="AD316" i="57"/>
  <c r="AE316" i="57"/>
  <c r="AF316" i="57"/>
  <c r="AG316" i="57"/>
  <c r="AH316" i="57"/>
  <c r="AI316" i="57"/>
  <c r="AJ316" i="57"/>
  <c r="AK316" i="57"/>
  <c r="AL316" i="57"/>
  <c r="AM316" i="57"/>
  <c r="AN316" i="57"/>
  <c r="AO316" i="57"/>
  <c r="AP316" i="57"/>
  <c r="AQ316" i="57"/>
  <c r="AR316" i="57"/>
  <c r="AS316" i="57"/>
  <c r="AT316" i="57"/>
  <c r="AU316" i="57"/>
  <c r="AV316" i="57"/>
  <c r="AW316" i="57"/>
  <c r="AX316" i="57"/>
  <c r="AY316" i="57"/>
  <c r="AZ316" i="57"/>
  <c r="BA316" i="57"/>
  <c r="BB316" i="57"/>
  <c r="BC316" i="57"/>
  <c r="BD316" i="57"/>
  <c r="BE316" i="57"/>
  <c r="BF316" i="57"/>
  <c r="BG316" i="57"/>
  <c r="BH316" i="57"/>
  <c r="BI316" i="57"/>
  <c r="BJ316" i="57"/>
  <c r="BK316" i="57"/>
  <c r="BL316" i="57"/>
  <c r="BM316" i="57"/>
  <c r="BN316" i="57"/>
  <c r="BO316" i="57"/>
  <c r="BP316" i="57"/>
  <c r="BQ316" i="57"/>
  <c r="BR316" i="57"/>
  <c r="BS316" i="57"/>
  <c r="BT316" i="57"/>
  <c r="BU316" i="57"/>
  <c r="BV316" i="57"/>
  <c r="BW316" i="57"/>
  <c r="BX316" i="57"/>
  <c r="BY316" i="57"/>
  <c r="BZ316" i="57"/>
  <c r="CA316" i="57"/>
  <c r="CB316" i="57"/>
  <c r="CC316" i="57"/>
  <c r="CD316" i="57"/>
  <c r="CE316" i="57"/>
  <c r="CF316" i="57"/>
  <c r="CG316" i="57"/>
  <c r="CH316" i="57"/>
  <c r="CI316" i="57"/>
  <c r="CJ316" i="57"/>
  <c r="S317" i="57"/>
  <c r="T317" i="57"/>
  <c r="U317" i="57"/>
  <c r="V317" i="57"/>
  <c r="W317" i="57"/>
  <c r="X317" i="57"/>
  <c r="Y317" i="57"/>
  <c r="Z317" i="57"/>
  <c r="AA317" i="57"/>
  <c r="AB317" i="57"/>
  <c r="AC317" i="57"/>
  <c r="AD317" i="57"/>
  <c r="AE317" i="57"/>
  <c r="AF317" i="57"/>
  <c r="AG317" i="57"/>
  <c r="AH317" i="57"/>
  <c r="AI317" i="57"/>
  <c r="AJ317" i="57"/>
  <c r="AK317" i="57"/>
  <c r="AL317" i="57"/>
  <c r="AM317" i="57"/>
  <c r="AN317" i="57"/>
  <c r="AO317" i="57"/>
  <c r="AP317" i="57"/>
  <c r="AQ317" i="57"/>
  <c r="AR317" i="57"/>
  <c r="AS317" i="57"/>
  <c r="AT317" i="57"/>
  <c r="AU317" i="57"/>
  <c r="AV317" i="57"/>
  <c r="AW317" i="57"/>
  <c r="AX317" i="57"/>
  <c r="AY317" i="57"/>
  <c r="AZ317" i="57"/>
  <c r="BA317" i="57"/>
  <c r="BB317" i="57"/>
  <c r="BC317" i="57"/>
  <c r="BD317" i="57"/>
  <c r="BE317" i="57"/>
  <c r="BF317" i="57"/>
  <c r="BG317" i="57"/>
  <c r="BH317" i="57"/>
  <c r="BI317" i="57"/>
  <c r="BJ317" i="57"/>
  <c r="BK317" i="57"/>
  <c r="BL317" i="57"/>
  <c r="BM317" i="57"/>
  <c r="BN317" i="57"/>
  <c r="BO317" i="57"/>
  <c r="BP317" i="57"/>
  <c r="BQ317" i="57"/>
  <c r="BR317" i="57"/>
  <c r="BS317" i="57"/>
  <c r="BT317" i="57"/>
  <c r="BU317" i="57"/>
  <c r="BV317" i="57"/>
  <c r="BW317" i="57"/>
  <c r="BX317" i="57"/>
  <c r="BY317" i="57"/>
  <c r="BZ317" i="57"/>
  <c r="CA317" i="57"/>
  <c r="CB317" i="57"/>
  <c r="CC317" i="57"/>
  <c r="CD317" i="57"/>
  <c r="CE317" i="57"/>
  <c r="CF317" i="57"/>
  <c r="CG317" i="57"/>
  <c r="CH317" i="57"/>
  <c r="CI317" i="57"/>
  <c r="CJ317" i="57"/>
  <c r="S318" i="57"/>
  <c r="T318" i="57"/>
  <c r="U318" i="57"/>
  <c r="V318" i="57"/>
  <c r="W318" i="57"/>
  <c r="X318" i="57"/>
  <c r="Y318" i="57"/>
  <c r="Z318" i="57"/>
  <c r="AA318" i="57"/>
  <c r="AB318" i="57"/>
  <c r="AC318" i="57"/>
  <c r="AD318" i="57"/>
  <c r="AE318" i="57"/>
  <c r="AF318" i="57"/>
  <c r="AG318" i="57"/>
  <c r="AH318" i="57"/>
  <c r="AI318" i="57"/>
  <c r="AJ318" i="57"/>
  <c r="AK318" i="57"/>
  <c r="AL318" i="57"/>
  <c r="AM318" i="57"/>
  <c r="AN318" i="57"/>
  <c r="AO318" i="57"/>
  <c r="AP318" i="57"/>
  <c r="AQ318" i="57"/>
  <c r="AR318" i="57"/>
  <c r="AS318" i="57"/>
  <c r="AT318" i="57"/>
  <c r="AU318" i="57"/>
  <c r="AV318" i="57"/>
  <c r="AW318" i="57"/>
  <c r="AX318" i="57"/>
  <c r="AY318" i="57"/>
  <c r="AZ318" i="57"/>
  <c r="BA318" i="57"/>
  <c r="BB318" i="57"/>
  <c r="BC318" i="57"/>
  <c r="BD318" i="57"/>
  <c r="BE318" i="57"/>
  <c r="BF318" i="57"/>
  <c r="BG318" i="57"/>
  <c r="BH318" i="57"/>
  <c r="BI318" i="57"/>
  <c r="BJ318" i="57"/>
  <c r="BK318" i="57"/>
  <c r="BL318" i="57"/>
  <c r="BM318" i="57"/>
  <c r="BN318" i="57"/>
  <c r="BO318" i="57"/>
  <c r="BP318" i="57"/>
  <c r="BQ318" i="57"/>
  <c r="BR318" i="57"/>
  <c r="BS318" i="57"/>
  <c r="BT318" i="57"/>
  <c r="BU318" i="57"/>
  <c r="BV318" i="57"/>
  <c r="BW318" i="57"/>
  <c r="BX318" i="57"/>
  <c r="BY318" i="57"/>
  <c r="BZ318" i="57"/>
  <c r="CA318" i="57"/>
  <c r="CB318" i="57"/>
  <c r="CC318" i="57"/>
  <c r="CD318" i="57"/>
  <c r="CE318" i="57"/>
  <c r="CF318" i="57"/>
  <c r="CG318" i="57"/>
  <c r="CH318" i="57"/>
  <c r="CI318" i="57"/>
  <c r="CJ318" i="57"/>
  <c r="S319" i="57"/>
  <c r="T319" i="57"/>
  <c r="U319" i="57"/>
  <c r="V319" i="57"/>
  <c r="W319" i="57"/>
  <c r="X319" i="57"/>
  <c r="Y319" i="57"/>
  <c r="Z319" i="57"/>
  <c r="AA319" i="57"/>
  <c r="AB319" i="57"/>
  <c r="AC319" i="57"/>
  <c r="AD319" i="57"/>
  <c r="AE319" i="57"/>
  <c r="AF319" i="57"/>
  <c r="AG319" i="57"/>
  <c r="AH319" i="57"/>
  <c r="AI319" i="57"/>
  <c r="AJ319" i="57"/>
  <c r="AK319" i="57"/>
  <c r="AL319" i="57"/>
  <c r="AM319" i="57"/>
  <c r="AN319" i="57"/>
  <c r="AO319" i="57"/>
  <c r="AP319" i="57"/>
  <c r="AQ319" i="57"/>
  <c r="AR319" i="57"/>
  <c r="AS319" i="57"/>
  <c r="AT319" i="57"/>
  <c r="AU319" i="57"/>
  <c r="AV319" i="57"/>
  <c r="AW319" i="57"/>
  <c r="AX319" i="57"/>
  <c r="AY319" i="57"/>
  <c r="AZ319" i="57"/>
  <c r="BA319" i="57"/>
  <c r="BB319" i="57"/>
  <c r="BC319" i="57"/>
  <c r="BD319" i="57"/>
  <c r="BE319" i="57"/>
  <c r="BF319" i="57"/>
  <c r="BG319" i="57"/>
  <c r="BH319" i="57"/>
  <c r="BI319" i="57"/>
  <c r="BJ319" i="57"/>
  <c r="BK319" i="57"/>
  <c r="BL319" i="57"/>
  <c r="BM319" i="57"/>
  <c r="BN319" i="57"/>
  <c r="BO319" i="57"/>
  <c r="BP319" i="57"/>
  <c r="BQ319" i="57"/>
  <c r="BR319" i="57"/>
  <c r="BS319" i="57"/>
  <c r="BT319" i="57"/>
  <c r="BU319" i="57"/>
  <c r="BV319" i="57"/>
  <c r="BW319" i="57"/>
  <c r="BX319" i="57"/>
  <c r="BY319" i="57"/>
  <c r="BZ319" i="57"/>
  <c r="CA319" i="57"/>
  <c r="CB319" i="57"/>
  <c r="CC319" i="57"/>
  <c r="CD319" i="57"/>
  <c r="CE319" i="57"/>
  <c r="CF319" i="57"/>
  <c r="CG319" i="57"/>
  <c r="CH319" i="57"/>
  <c r="CI319" i="57"/>
  <c r="CJ319" i="57"/>
  <c r="S320" i="57"/>
  <c r="T320" i="57"/>
  <c r="U320" i="57"/>
  <c r="V320" i="57"/>
  <c r="W320" i="57"/>
  <c r="X320" i="57"/>
  <c r="Y320" i="57"/>
  <c r="Z320" i="57"/>
  <c r="AA320" i="57"/>
  <c r="AB320" i="57"/>
  <c r="AC320" i="57"/>
  <c r="AD320" i="57"/>
  <c r="AE320" i="57"/>
  <c r="AF320" i="57"/>
  <c r="AG320" i="57"/>
  <c r="AH320" i="57"/>
  <c r="AI320" i="57"/>
  <c r="AJ320" i="57"/>
  <c r="AK320" i="57"/>
  <c r="AL320" i="57"/>
  <c r="AM320" i="57"/>
  <c r="AN320" i="57"/>
  <c r="AO320" i="57"/>
  <c r="AP320" i="57"/>
  <c r="AQ320" i="57"/>
  <c r="AR320" i="57"/>
  <c r="AS320" i="57"/>
  <c r="AT320" i="57"/>
  <c r="AU320" i="57"/>
  <c r="AV320" i="57"/>
  <c r="AW320" i="57"/>
  <c r="AX320" i="57"/>
  <c r="AY320" i="57"/>
  <c r="AZ320" i="57"/>
  <c r="BA320" i="57"/>
  <c r="BB320" i="57"/>
  <c r="BC320" i="57"/>
  <c r="BD320" i="57"/>
  <c r="BE320" i="57"/>
  <c r="BF320" i="57"/>
  <c r="BG320" i="57"/>
  <c r="BH320" i="57"/>
  <c r="BI320" i="57"/>
  <c r="BJ320" i="57"/>
  <c r="BK320" i="57"/>
  <c r="BL320" i="57"/>
  <c r="BM320" i="57"/>
  <c r="BN320" i="57"/>
  <c r="BO320" i="57"/>
  <c r="BP320" i="57"/>
  <c r="BQ320" i="57"/>
  <c r="BR320" i="57"/>
  <c r="BS320" i="57"/>
  <c r="BT320" i="57"/>
  <c r="BU320" i="57"/>
  <c r="BV320" i="57"/>
  <c r="BW320" i="57"/>
  <c r="BX320" i="57"/>
  <c r="BY320" i="57"/>
  <c r="BZ320" i="57"/>
  <c r="CA320" i="57"/>
  <c r="CB320" i="57"/>
  <c r="CC320" i="57"/>
  <c r="CD320" i="57"/>
  <c r="CE320" i="57"/>
  <c r="CF320" i="57"/>
  <c r="CG320" i="57"/>
  <c r="CH320" i="57"/>
  <c r="CI320" i="57"/>
  <c r="CJ320" i="57"/>
  <c r="S321" i="57"/>
  <c r="T321" i="57"/>
  <c r="U321" i="57"/>
  <c r="V321" i="57"/>
  <c r="W321" i="57"/>
  <c r="X321" i="57"/>
  <c r="Y321" i="57"/>
  <c r="Z321" i="57"/>
  <c r="AA321" i="57"/>
  <c r="AB321" i="57"/>
  <c r="AC321" i="57"/>
  <c r="AD321" i="57"/>
  <c r="AE321" i="57"/>
  <c r="AF321" i="57"/>
  <c r="AG321" i="57"/>
  <c r="AH321" i="57"/>
  <c r="AI321" i="57"/>
  <c r="AJ321" i="57"/>
  <c r="AK321" i="57"/>
  <c r="AL321" i="57"/>
  <c r="AM321" i="57"/>
  <c r="AN321" i="57"/>
  <c r="AO321" i="57"/>
  <c r="AP321" i="57"/>
  <c r="AQ321" i="57"/>
  <c r="AR321" i="57"/>
  <c r="AS321" i="57"/>
  <c r="AT321" i="57"/>
  <c r="AU321" i="57"/>
  <c r="AV321" i="57"/>
  <c r="AW321" i="57"/>
  <c r="AX321" i="57"/>
  <c r="AY321" i="57"/>
  <c r="AZ321" i="57"/>
  <c r="BA321" i="57"/>
  <c r="BB321" i="57"/>
  <c r="BC321" i="57"/>
  <c r="BD321" i="57"/>
  <c r="BE321" i="57"/>
  <c r="BF321" i="57"/>
  <c r="BG321" i="57"/>
  <c r="BH321" i="57"/>
  <c r="BI321" i="57"/>
  <c r="BJ321" i="57"/>
  <c r="BK321" i="57"/>
  <c r="BL321" i="57"/>
  <c r="BM321" i="57"/>
  <c r="BN321" i="57"/>
  <c r="BO321" i="57"/>
  <c r="BP321" i="57"/>
  <c r="BQ321" i="57"/>
  <c r="BR321" i="57"/>
  <c r="BS321" i="57"/>
  <c r="BT321" i="57"/>
  <c r="BU321" i="57"/>
  <c r="BV321" i="57"/>
  <c r="BW321" i="57"/>
  <c r="BX321" i="57"/>
  <c r="BY321" i="57"/>
  <c r="BZ321" i="57"/>
  <c r="CA321" i="57"/>
  <c r="CB321" i="57"/>
  <c r="CC321" i="57"/>
  <c r="CD321" i="57"/>
  <c r="CE321" i="57"/>
  <c r="CF321" i="57"/>
  <c r="CG321" i="57"/>
  <c r="CH321" i="57"/>
  <c r="CI321" i="57"/>
  <c r="CJ321" i="57"/>
  <c r="S322" i="57"/>
  <c r="T322" i="57"/>
  <c r="U322" i="57"/>
  <c r="V322" i="57"/>
  <c r="W322" i="57"/>
  <c r="X322" i="57"/>
  <c r="Y322" i="57"/>
  <c r="Z322" i="57"/>
  <c r="AA322" i="57"/>
  <c r="AB322" i="57"/>
  <c r="AC322" i="57"/>
  <c r="AD322" i="57"/>
  <c r="AE322" i="57"/>
  <c r="AF322" i="57"/>
  <c r="AG322" i="57"/>
  <c r="AH322" i="57"/>
  <c r="AI322" i="57"/>
  <c r="AJ322" i="57"/>
  <c r="AK322" i="57"/>
  <c r="AL322" i="57"/>
  <c r="AM322" i="57"/>
  <c r="AN322" i="57"/>
  <c r="AO322" i="57"/>
  <c r="AP322" i="57"/>
  <c r="AQ322" i="57"/>
  <c r="AR322" i="57"/>
  <c r="AS322" i="57"/>
  <c r="AT322" i="57"/>
  <c r="AU322" i="57"/>
  <c r="AV322" i="57"/>
  <c r="AW322" i="57"/>
  <c r="AX322" i="57"/>
  <c r="AY322" i="57"/>
  <c r="AZ322" i="57"/>
  <c r="BA322" i="57"/>
  <c r="BB322" i="57"/>
  <c r="BC322" i="57"/>
  <c r="BD322" i="57"/>
  <c r="BE322" i="57"/>
  <c r="BF322" i="57"/>
  <c r="BG322" i="57"/>
  <c r="BH322" i="57"/>
  <c r="BI322" i="57"/>
  <c r="BJ322" i="57"/>
  <c r="BK322" i="57"/>
  <c r="BL322" i="57"/>
  <c r="BM322" i="57"/>
  <c r="BN322" i="57"/>
  <c r="BO322" i="57"/>
  <c r="BP322" i="57"/>
  <c r="BQ322" i="57"/>
  <c r="BR322" i="57"/>
  <c r="BS322" i="57"/>
  <c r="BT322" i="57"/>
  <c r="BU322" i="57"/>
  <c r="BV322" i="57"/>
  <c r="BW322" i="57"/>
  <c r="BX322" i="57"/>
  <c r="BY322" i="57"/>
  <c r="BZ322" i="57"/>
  <c r="CA322" i="57"/>
  <c r="CB322" i="57"/>
  <c r="CC322" i="57"/>
  <c r="CD322" i="57"/>
  <c r="CE322" i="57"/>
  <c r="CF322" i="57"/>
  <c r="CG322" i="57"/>
  <c r="CH322" i="57"/>
  <c r="CI322" i="57"/>
  <c r="CJ322" i="57"/>
  <c r="S323" i="57"/>
  <c r="T323" i="57"/>
  <c r="U323" i="57"/>
  <c r="V323" i="57"/>
  <c r="W323" i="57"/>
  <c r="X323" i="57"/>
  <c r="Y323" i="57"/>
  <c r="Z323" i="57"/>
  <c r="AA323" i="57"/>
  <c r="AB323" i="57"/>
  <c r="AC323" i="57"/>
  <c r="AD323" i="57"/>
  <c r="AE323" i="57"/>
  <c r="AF323" i="57"/>
  <c r="AG323" i="57"/>
  <c r="AH323" i="57"/>
  <c r="AI323" i="57"/>
  <c r="AJ323" i="57"/>
  <c r="AK323" i="57"/>
  <c r="AL323" i="57"/>
  <c r="AM323" i="57"/>
  <c r="AN323" i="57"/>
  <c r="AO323" i="57"/>
  <c r="AP323" i="57"/>
  <c r="AQ323" i="57"/>
  <c r="AR323" i="57"/>
  <c r="AS323" i="57"/>
  <c r="AT323" i="57"/>
  <c r="AU323" i="57"/>
  <c r="AV323" i="57"/>
  <c r="AW323" i="57"/>
  <c r="AX323" i="57"/>
  <c r="AY323" i="57"/>
  <c r="AZ323" i="57"/>
  <c r="BA323" i="57"/>
  <c r="BB323" i="57"/>
  <c r="BC323" i="57"/>
  <c r="BD323" i="57"/>
  <c r="BE323" i="57"/>
  <c r="BF323" i="57"/>
  <c r="BG323" i="57"/>
  <c r="BH323" i="57"/>
  <c r="BI323" i="57"/>
  <c r="BJ323" i="57"/>
  <c r="BK323" i="57"/>
  <c r="BL323" i="57"/>
  <c r="BM323" i="57"/>
  <c r="BN323" i="57"/>
  <c r="BO323" i="57"/>
  <c r="BP323" i="57"/>
  <c r="BQ323" i="57"/>
  <c r="BR323" i="57"/>
  <c r="BS323" i="57"/>
  <c r="BT323" i="57"/>
  <c r="BU323" i="57"/>
  <c r="BV323" i="57"/>
  <c r="BW323" i="57"/>
  <c r="BX323" i="57"/>
  <c r="BY323" i="57"/>
  <c r="BZ323" i="57"/>
  <c r="CA323" i="57"/>
  <c r="CB323" i="57"/>
  <c r="CC323" i="57"/>
  <c r="CD323" i="57"/>
  <c r="CE323" i="57"/>
  <c r="CF323" i="57"/>
  <c r="CG323" i="57"/>
  <c r="CH323" i="57"/>
  <c r="CI323" i="57"/>
  <c r="CJ323" i="57"/>
  <c r="S324" i="57"/>
  <c r="T324" i="57"/>
  <c r="U324" i="57"/>
  <c r="V324" i="57"/>
  <c r="W324" i="57"/>
  <c r="X324" i="57"/>
  <c r="Y324" i="57"/>
  <c r="Z324" i="57"/>
  <c r="AA324" i="57"/>
  <c r="AB324" i="57"/>
  <c r="AC324" i="57"/>
  <c r="AD324" i="57"/>
  <c r="AE324" i="57"/>
  <c r="AF324" i="57"/>
  <c r="AG324" i="57"/>
  <c r="AH324" i="57"/>
  <c r="AI324" i="57"/>
  <c r="AJ324" i="57"/>
  <c r="AK324" i="57"/>
  <c r="AL324" i="57"/>
  <c r="AM324" i="57"/>
  <c r="AN324" i="57"/>
  <c r="AO324" i="57"/>
  <c r="AP324" i="57"/>
  <c r="AQ324" i="57"/>
  <c r="AR324" i="57"/>
  <c r="AS324" i="57"/>
  <c r="AT324" i="57"/>
  <c r="AU324" i="57"/>
  <c r="AV324" i="57"/>
  <c r="AW324" i="57"/>
  <c r="AX324" i="57"/>
  <c r="AY324" i="57"/>
  <c r="AZ324" i="57"/>
  <c r="BA324" i="57"/>
  <c r="BB324" i="57"/>
  <c r="BC324" i="57"/>
  <c r="BD324" i="57"/>
  <c r="BE324" i="57"/>
  <c r="BF324" i="57"/>
  <c r="BG324" i="57"/>
  <c r="BH324" i="57"/>
  <c r="BI324" i="57"/>
  <c r="BJ324" i="57"/>
  <c r="BK324" i="57"/>
  <c r="BL324" i="57"/>
  <c r="BM324" i="57"/>
  <c r="BN324" i="57"/>
  <c r="BO324" i="57"/>
  <c r="BP324" i="57"/>
  <c r="BQ324" i="57"/>
  <c r="BR324" i="57"/>
  <c r="BS324" i="57"/>
  <c r="BT324" i="57"/>
  <c r="BU324" i="57"/>
  <c r="BV324" i="57"/>
  <c r="BW324" i="57"/>
  <c r="BX324" i="57"/>
  <c r="BY324" i="57"/>
  <c r="BZ324" i="57"/>
  <c r="CA324" i="57"/>
  <c r="CB324" i="57"/>
  <c r="CC324" i="57"/>
  <c r="CD324" i="57"/>
  <c r="CE324" i="57"/>
  <c r="CF324" i="57"/>
  <c r="CG324" i="57"/>
  <c r="CH324" i="57"/>
  <c r="CI324" i="57"/>
  <c r="CJ324" i="57"/>
  <c r="S325" i="57"/>
  <c r="T325" i="57"/>
  <c r="U325" i="57"/>
  <c r="V325" i="57"/>
  <c r="W325" i="57"/>
  <c r="X325" i="57"/>
  <c r="Y325" i="57"/>
  <c r="Z325" i="57"/>
  <c r="AA325" i="57"/>
  <c r="AB325" i="57"/>
  <c r="AC325" i="57"/>
  <c r="AD325" i="57"/>
  <c r="AE325" i="57"/>
  <c r="AF325" i="57"/>
  <c r="AG325" i="57"/>
  <c r="AH325" i="57"/>
  <c r="AI325" i="57"/>
  <c r="AJ325" i="57"/>
  <c r="AK325" i="57"/>
  <c r="AL325" i="57"/>
  <c r="AM325" i="57"/>
  <c r="AN325" i="57"/>
  <c r="AO325" i="57"/>
  <c r="AP325" i="57"/>
  <c r="AQ325" i="57"/>
  <c r="AR325" i="57"/>
  <c r="AS325" i="57"/>
  <c r="AT325" i="57"/>
  <c r="AU325" i="57"/>
  <c r="AV325" i="57"/>
  <c r="AW325" i="57"/>
  <c r="AX325" i="57"/>
  <c r="AY325" i="57"/>
  <c r="AZ325" i="57"/>
  <c r="BA325" i="57"/>
  <c r="BB325" i="57"/>
  <c r="BC325" i="57"/>
  <c r="BD325" i="57"/>
  <c r="BE325" i="57"/>
  <c r="BF325" i="57"/>
  <c r="BG325" i="57"/>
  <c r="BH325" i="57"/>
  <c r="BI325" i="57"/>
  <c r="BJ325" i="57"/>
  <c r="BK325" i="57"/>
  <c r="BL325" i="57"/>
  <c r="BM325" i="57"/>
  <c r="BN325" i="57"/>
  <c r="BO325" i="57"/>
  <c r="BP325" i="57"/>
  <c r="BQ325" i="57"/>
  <c r="BR325" i="57"/>
  <c r="BS325" i="57"/>
  <c r="BT325" i="57"/>
  <c r="BU325" i="57"/>
  <c r="BV325" i="57"/>
  <c r="BW325" i="57"/>
  <c r="BX325" i="57"/>
  <c r="BY325" i="57"/>
  <c r="BZ325" i="57"/>
  <c r="CA325" i="57"/>
  <c r="CB325" i="57"/>
  <c r="CC325" i="57"/>
  <c r="CD325" i="57"/>
  <c r="CE325" i="57"/>
  <c r="CF325" i="57"/>
  <c r="CG325" i="57"/>
  <c r="CH325" i="57"/>
  <c r="CI325" i="57"/>
  <c r="CJ325" i="57"/>
  <c r="S326" i="57"/>
  <c r="T326" i="57"/>
  <c r="U326" i="57"/>
  <c r="V326" i="57"/>
  <c r="W326" i="57"/>
  <c r="X326" i="57"/>
  <c r="Y326" i="57"/>
  <c r="Z326" i="57"/>
  <c r="AA326" i="57"/>
  <c r="AB326" i="57"/>
  <c r="AC326" i="57"/>
  <c r="AD326" i="57"/>
  <c r="AE326" i="57"/>
  <c r="AF326" i="57"/>
  <c r="AG326" i="57"/>
  <c r="AH326" i="57"/>
  <c r="AI326" i="57"/>
  <c r="AJ326" i="57"/>
  <c r="AK326" i="57"/>
  <c r="AL326" i="57"/>
  <c r="AM326" i="57"/>
  <c r="AN326" i="57"/>
  <c r="AO326" i="57"/>
  <c r="AP326" i="57"/>
  <c r="AQ326" i="57"/>
  <c r="AR326" i="57"/>
  <c r="AS326" i="57"/>
  <c r="AT326" i="57"/>
  <c r="AU326" i="57"/>
  <c r="AV326" i="57"/>
  <c r="AW326" i="57"/>
  <c r="AX326" i="57"/>
  <c r="AY326" i="57"/>
  <c r="AZ326" i="57"/>
  <c r="BA326" i="57"/>
  <c r="BB326" i="57"/>
  <c r="BC326" i="57"/>
  <c r="BD326" i="57"/>
  <c r="BE326" i="57"/>
  <c r="BF326" i="57"/>
  <c r="BG326" i="57"/>
  <c r="BH326" i="57"/>
  <c r="BI326" i="57"/>
  <c r="BJ326" i="57"/>
  <c r="BK326" i="57"/>
  <c r="BL326" i="57"/>
  <c r="BM326" i="57"/>
  <c r="BN326" i="57"/>
  <c r="BO326" i="57"/>
  <c r="BP326" i="57"/>
  <c r="BQ326" i="57"/>
  <c r="BR326" i="57"/>
  <c r="BS326" i="57"/>
  <c r="BT326" i="57"/>
  <c r="BU326" i="57"/>
  <c r="BV326" i="57"/>
  <c r="BW326" i="57"/>
  <c r="BX326" i="57"/>
  <c r="BY326" i="57"/>
  <c r="BZ326" i="57"/>
  <c r="CA326" i="57"/>
  <c r="CB326" i="57"/>
  <c r="CC326" i="57"/>
  <c r="CD326" i="57"/>
  <c r="CE326" i="57"/>
  <c r="CF326" i="57"/>
  <c r="CG326" i="57"/>
  <c r="CH326" i="57"/>
  <c r="CI326" i="57"/>
  <c r="CJ326" i="57"/>
  <c r="S327" i="57"/>
  <c r="T327" i="57"/>
  <c r="U327" i="57"/>
  <c r="V327" i="57"/>
  <c r="W327" i="57"/>
  <c r="X327" i="57"/>
  <c r="Y327" i="57"/>
  <c r="Z327" i="57"/>
  <c r="AA327" i="57"/>
  <c r="AB327" i="57"/>
  <c r="AC327" i="57"/>
  <c r="AD327" i="57"/>
  <c r="AE327" i="57"/>
  <c r="AF327" i="57"/>
  <c r="AG327" i="57"/>
  <c r="AH327" i="57"/>
  <c r="AI327" i="57"/>
  <c r="AJ327" i="57"/>
  <c r="AK327" i="57"/>
  <c r="AL327" i="57"/>
  <c r="AM327" i="57"/>
  <c r="AN327" i="57"/>
  <c r="AO327" i="57"/>
  <c r="AP327" i="57"/>
  <c r="AQ327" i="57"/>
  <c r="AR327" i="57"/>
  <c r="AS327" i="57"/>
  <c r="AT327" i="57"/>
  <c r="AU327" i="57"/>
  <c r="AV327" i="57"/>
  <c r="AW327" i="57"/>
  <c r="AX327" i="57"/>
  <c r="AY327" i="57"/>
  <c r="AZ327" i="57"/>
  <c r="BA327" i="57"/>
  <c r="BB327" i="57"/>
  <c r="BC327" i="57"/>
  <c r="BD327" i="57"/>
  <c r="BE327" i="57"/>
  <c r="BF327" i="57"/>
  <c r="BG327" i="57"/>
  <c r="BH327" i="57"/>
  <c r="BI327" i="57"/>
  <c r="BJ327" i="57"/>
  <c r="BK327" i="57"/>
  <c r="BL327" i="57"/>
  <c r="BM327" i="57"/>
  <c r="BN327" i="57"/>
  <c r="BO327" i="57"/>
  <c r="BP327" i="57"/>
  <c r="BQ327" i="57"/>
  <c r="BR327" i="57"/>
  <c r="BS327" i="57"/>
  <c r="BT327" i="57"/>
  <c r="BU327" i="57"/>
  <c r="BV327" i="57"/>
  <c r="BW327" i="57"/>
  <c r="BX327" i="57"/>
  <c r="BY327" i="57"/>
  <c r="BZ327" i="57"/>
  <c r="CA327" i="57"/>
  <c r="CB327" i="57"/>
  <c r="CC327" i="57"/>
  <c r="CD327" i="57"/>
  <c r="CE327" i="57"/>
  <c r="CF327" i="57"/>
  <c r="CG327" i="57"/>
  <c r="CH327" i="57"/>
  <c r="CI327" i="57"/>
  <c r="CJ327" i="57"/>
  <c r="S328" i="57"/>
  <c r="T328" i="57"/>
  <c r="U328" i="57"/>
  <c r="V328" i="57"/>
  <c r="W328" i="57"/>
  <c r="X328" i="57"/>
  <c r="Y328" i="57"/>
  <c r="Z328" i="57"/>
  <c r="AA328" i="57"/>
  <c r="AB328" i="57"/>
  <c r="AC328" i="57"/>
  <c r="AD328" i="57"/>
  <c r="AE328" i="57"/>
  <c r="AF328" i="57"/>
  <c r="AG328" i="57"/>
  <c r="AH328" i="57"/>
  <c r="AI328" i="57"/>
  <c r="AJ328" i="57"/>
  <c r="AK328" i="57"/>
  <c r="AL328" i="57"/>
  <c r="AM328" i="57"/>
  <c r="AN328" i="57"/>
  <c r="AO328" i="57"/>
  <c r="AP328" i="57"/>
  <c r="AQ328" i="57"/>
  <c r="AR328" i="57"/>
  <c r="AS328" i="57"/>
  <c r="AT328" i="57"/>
  <c r="AU328" i="57"/>
  <c r="AV328" i="57"/>
  <c r="AW328" i="57"/>
  <c r="AX328" i="57"/>
  <c r="AY328" i="57"/>
  <c r="AZ328" i="57"/>
  <c r="BA328" i="57"/>
  <c r="BB328" i="57"/>
  <c r="BC328" i="57"/>
  <c r="BD328" i="57"/>
  <c r="BE328" i="57"/>
  <c r="BF328" i="57"/>
  <c r="BG328" i="57"/>
  <c r="BH328" i="57"/>
  <c r="BI328" i="57"/>
  <c r="BJ328" i="57"/>
  <c r="BK328" i="57"/>
  <c r="BL328" i="57"/>
  <c r="BM328" i="57"/>
  <c r="BN328" i="57"/>
  <c r="BO328" i="57"/>
  <c r="BP328" i="57"/>
  <c r="BQ328" i="57"/>
  <c r="BR328" i="57"/>
  <c r="BS328" i="57"/>
  <c r="BT328" i="57"/>
  <c r="BU328" i="57"/>
  <c r="BV328" i="57"/>
  <c r="BW328" i="57"/>
  <c r="BX328" i="57"/>
  <c r="BY328" i="57"/>
  <c r="BZ328" i="57"/>
  <c r="CA328" i="57"/>
  <c r="CB328" i="57"/>
  <c r="CC328" i="57"/>
  <c r="CD328" i="57"/>
  <c r="CE328" i="57"/>
  <c r="CF328" i="57"/>
  <c r="CG328" i="57"/>
  <c r="CH328" i="57"/>
  <c r="CI328" i="57"/>
  <c r="CJ328" i="57"/>
  <c r="S329" i="57"/>
  <c r="T329" i="57"/>
  <c r="U329" i="57"/>
  <c r="V329" i="57"/>
  <c r="W329" i="57"/>
  <c r="X329" i="57"/>
  <c r="Y329" i="57"/>
  <c r="Z329" i="57"/>
  <c r="AA329" i="57"/>
  <c r="AB329" i="57"/>
  <c r="AC329" i="57"/>
  <c r="AD329" i="57"/>
  <c r="AE329" i="57"/>
  <c r="AF329" i="57"/>
  <c r="AG329" i="57"/>
  <c r="AH329" i="57"/>
  <c r="AI329" i="57"/>
  <c r="AJ329" i="57"/>
  <c r="AK329" i="57"/>
  <c r="AL329" i="57"/>
  <c r="AM329" i="57"/>
  <c r="AN329" i="57"/>
  <c r="AO329" i="57"/>
  <c r="AP329" i="57"/>
  <c r="AQ329" i="57"/>
  <c r="AR329" i="57"/>
  <c r="AS329" i="57"/>
  <c r="AT329" i="57"/>
  <c r="AU329" i="57"/>
  <c r="AV329" i="57"/>
  <c r="AW329" i="57"/>
  <c r="AX329" i="57"/>
  <c r="AY329" i="57"/>
  <c r="AZ329" i="57"/>
  <c r="BA329" i="57"/>
  <c r="BB329" i="57"/>
  <c r="BC329" i="57"/>
  <c r="BD329" i="57"/>
  <c r="BE329" i="57"/>
  <c r="BF329" i="57"/>
  <c r="BG329" i="57"/>
  <c r="BH329" i="57"/>
  <c r="BI329" i="57"/>
  <c r="BJ329" i="57"/>
  <c r="BK329" i="57"/>
  <c r="BL329" i="57"/>
  <c r="BM329" i="57"/>
  <c r="BN329" i="57"/>
  <c r="BO329" i="57"/>
  <c r="BP329" i="57"/>
  <c r="BQ329" i="57"/>
  <c r="BR329" i="57"/>
  <c r="BS329" i="57"/>
  <c r="BT329" i="57"/>
  <c r="BU329" i="57"/>
  <c r="BV329" i="57"/>
  <c r="BW329" i="57"/>
  <c r="BX329" i="57"/>
  <c r="BY329" i="57"/>
  <c r="BZ329" i="57"/>
  <c r="CA329" i="57"/>
  <c r="CB329" i="57"/>
  <c r="CC329" i="57"/>
  <c r="CD329" i="57"/>
  <c r="CE329" i="57"/>
  <c r="CF329" i="57"/>
  <c r="CG329" i="57"/>
  <c r="CH329" i="57"/>
  <c r="CI329" i="57"/>
  <c r="CJ329" i="57"/>
  <c r="S330" i="57"/>
  <c r="T330" i="57"/>
  <c r="U330" i="57"/>
  <c r="V330" i="57"/>
  <c r="W330" i="57"/>
  <c r="X330" i="57"/>
  <c r="Y330" i="57"/>
  <c r="Z330" i="57"/>
  <c r="AA330" i="57"/>
  <c r="AB330" i="57"/>
  <c r="AC330" i="57"/>
  <c r="AD330" i="57"/>
  <c r="AE330" i="57"/>
  <c r="AF330" i="57"/>
  <c r="AG330" i="57"/>
  <c r="AH330" i="57"/>
  <c r="AI330" i="57"/>
  <c r="AJ330" i="57"/>
  <c r="AK330" i="57"/>
  <c r="AL330" i="57"/>
  <c r="AM330" i="57"/>
  <c r="AN330" i="57"/>
  <c r="AO330" i="57"/>
  <c r="AP330" i="57"/>
  <c r="AQ330" i="57"/>
  <c r="AR330" i="57"/>
  <c r="AS330" i="57"/>
  <c r="AT330" i="57"/>
  <c r="AU330" i="57"/>
  <c r="AV330" i="57"/>
  <c r="AW330" i="57"/>
  <c r="AX330" i="57"/>
  <c r="AY330" i="57"/>
  <c r="AZ330" i="57"/>
  <c r="BA330" i="57"/>
  <c r="BB330" i="57"/>
  <c r="BC330" i="57"/>
  <c r="BD330" i="57"/>
  <c r="BE330" i="57"/>
  <c r="BF330" i="57"/>
  <c r="BG330" i="57"/>
  <c r="BH330" i="57"/>
  <c r="BI330" i="57"/>
  <c r="BJ330" i="57"/>
  <c r="BK330" i="57"/>
  <c r="BL330" i="57"/>
  <c r="BM330" i="57"/>
  <c r="BN330" i="57"/>
  <c r="BO330" i="57"/>
  <c r="BP330" i="57"/>
  <c r="BQ330" i="57"/>
  <c r="BR330" i="57"/>
  <c r="BS330" i="57"/>
  <c r="BT330" i="57"/>
  <c r="BU330" i="57"/>
  <c r="BV330" i="57"/>
  <c r="BW330" i="57"/>
  <c r="BX330" i="57"/>
  <c r="BY330" i="57"/>
  <c r="BZ330" i="57"/>
  <c r="CA330" i="57"/>
  <c r="CB330" i="57"/>
  <c r="CC330" i="57"/>
  <c r="CD330" i="57"/>
  <c r="CE330" i="57"/>
  <c r="CF330" i="57"/>
  <c r="CG330" i="57"/>
  <c r="CH330" i="57"/>
  <c r="CI330" i="57"/>
  <c r="CJ330" i="57"/>
  <c r="S331" i="57"/>
  <c r="T331" i="57"/>
  <c r="U331" i="57"/>
  <c r="V331" i="57"/>
  <c r="W331" i="57"/>
  <c r="X331" i="57"/>
  <c r="Y331" i="57"/>
  <c r="Z331" i="57"/>
  <c r="AA331" i="57"/>
  <c r="AB331" i="57"/>
  <c r="AC331" i="57"/>
  <c r="AD331" i="57"/>
  <c r="AE331" i="57"/>
  <c r="AF331" i="57"/>
  <c r="AG331" i="57"/>
  <c r="AH331" i="57"/>
  <c r="AI331" i="57"/>
  <c r="AJ331" i="57"/>
  <c r="AK331" i="57"/>
  <c r="AL331" i="57"/>
  <c r="AM331" i="57"/>
  <c r="AN331" i="57"/>
  <c r="AO331" i="57"/>
  <c r="AP331" i="57"/>
  <c r="AQ331" i="57"/>
  <c r="AR331" i="57"/>
  <c r="AS331" i="57"/>
  <c r="AT331" i="57"/>
  <c r="AU331" i="57"/>
  <c r="AV331" i="57"/>
  <c r="AW331" i="57"/>
  <c r="AX331" i="57"/>
  <c r="AY331" i="57"/>
  <c r="AZ331" i="57"/>
  <c r="BA331" i="57"/>
  <c r="BB331" i="57"/>
  <c r="BC331" i="57"/>
  <c r="BD331" i="57"/>
  <c r="BE331" i="57"/>
  <c r="BF331" i="57"/>
  <c r="BG331" i="57"/>
  <c r="BH331" i="57"/>
  <c r="BI331" i="57"/>
  <c r="BJ331" i="57"/>
  <c r="BK331" i="57"/>
  <c r="BL331" i="57"/>
  <c r="BM331" i="57"/>
  <c r="BN331" i="57"/>
  <c r="BO331" i="57"/>
  <c r="BP331" i="57"/>
  <c r="BQ331" i="57"/>
  <c r="BR331" i="57"/>
  <c r="BS331" i="57"/>
  <c r="BT331" i="57"/>
  <c r="BU331" i="57"/>
  <c r="BV331" i="57"/>
  <c r="BW331" i="57"/>
  <c r="BX331" i="57"/>
  <c r="BY331" i="57"/>
  <c r="BZ331" i="57"/>
  <c r="CA331" i="57"/>
  <c r="CB331" i="57"/>
  <c r="CC331" i="57"/>
  <c r="CD331" i="57"/>
  <c r="CE331" i="57"/>
  <c r="CF331" i="57"/>
  <c r="CG331" i="57"/>
  <c r="CH331" i="57"/>
  <c r="CI331" i="57"/>
  <c r="CJ331" i="57"/>
  <c r="S332" i="57"/>
  <c r="T332" i="57"/>
  <c r="U332" i="57"/>
  <c r="V332" i="57"/>
  <c r="W332" i="57"/>
  <c r="X332" i="57"/>
  <c r="Y332" i="57"/>
  <c r="Z332" i="57"/>
  <c r="AA332" i="57"/>
  <c r="AB332" i="57"/>
  <c r="AC332" i="57"/>
  <c r="AD332" i="57"/>
  <c r="AE332" i="57"/>
  <c r="AF332" i="57"/>
  <c r="AG332" i="57"/>
  <c r="AH332" i="57"/>
  <c r="AI332" i="57"/>
  <c r="AJ332" i="57"/>
  <c r="AK332" i="57"/>
  <c r="AL332" i="57"/>
  <c r="AM332" i="57"/>
  <c r="AN332" i="57"/>
  <c r="AO332" i="57"/>
  <c r="AP332" i="57"/>
  <c r="AQ332" i="57"/>
  <c r="AR332" i="57"/>
  <c r="AS332" i="57"/>
  <c r="AT332" i="57"/>
  <c r="AU332" i="57"/>
  <c r="AV332" i="57"/>
  <c r="AW332" i="57"/>
  <c r="AX332" i="57"/>
  <c r="AY332" i="57"/>
  <c r="AZ332" i="57"/>
  <c r="BA332" i="57"/>
  <c r="BB332" i="57"/>
  <c r="BC332" i="57"/>
  <c r="BD332" i="57"/>
  <c r="BE332" i="57"/>
  <c r="BF332" i="57"/>
  <c r="BG332" i="57"/>
  <c r="BH332" i="57"/>
  <c r="BI332" i="57"/>
  <c r="BJ332" i="57"/>
  <c r="BK332" i="57"/>
  <c r="BL332" i="57"/>
  <c r="BM332" i="57"/>
  <c r="BN332" i="57"/>
  <c r="BO332" i="57"/>
  <c r="BP332" i="57"/>
  <c r="BQ332" i="57"/>
  <c r="BR332" i="57"/>
  <c r="BS332" i="57"/>
  <c r="BT332" i="57"/>
  <c r="BU332" i="57"/>
  <c r="BV332" i="57"/>
  <c r="BW332" i="57"/>
  <c r="BX332" i="57"/>
  <c r="BY332" i="57"/>
  <c r="BZ332" i="57"/>
  <c r="CA332" i="57"/>
  <c r="CB332" i="57"/>
  <c r="CC332" i="57"/>
  <c r="CD332" i="57"/>
  <c r="CE332" i="57"/>
  <c r="CF332" i="57"/>
  <c r="CG332" i="57"/>
  <c r="CH332" i="57"/>
  <c r="CI332" i="57"/>
  <c r="CJ332" i="57"/>
  <c r="S333" i="57"/>
  <c r="T333" i="57"/>
  <c r="U333" i="57"/>
  <c r="V333" i="57"/>
  <c r="W333" i="57"/>
  <c r="X333" i="57"/>
  <c r="Y333" i="57"/>
  <c r="Z333" i="57"/>
  <c r="AA333" i="57"/>
  <c r="AB333" i="57"/>
  <c r="AC333" i="57"/>
  <c r="AD333" i="57"/>
  <c r="AE333" i="57"/>
  <c r="AF333" i="57"/>
  <c r="AG333" i="57"/>
  <c r="AH333" i="57"/>
  <c r="AI333" i="57"/>
  <c r="AJ333" i="57"/>
  <c r="AK333" i="57"/>
  <c r="AL333" i="57"/>
  <c r="AM333" i="57"/>
  <c r="AN333" i="57"/>
  <c r="AO333" i="57"/>
  <c r="AP333" i="57"/>
  <c r="AQ333" i="57"/>
  <c r="AR333" i="57"/>
  <c r="AS333" i="57"/>
  <c r="AT333" i="57"/>
  <c r="AU333" i="57"/>
  <c r="AV333" i="57"/>
  <c r="AW333" i="57"/>
  <c r="AX333" i="57"/>
  <c r="AY333" i="57"/>
  <c r="AZ333" i="57"/>
  <c r="BA333" i="57"/>
  <c r="BB333" i="57"/>
  <c r="BC333" i="57"/>
  <c r="BD333" i="57"/>
  <c r="BE333" i="57"/>
  <c r="BF333" i="57"/>
  <c r="BG333" i="57"/>
  <c r="BH333" i="57"/>
  <c r="BI333" i="57"/>
  <c r="BJ333" i="57"/>
  <c r="BK333" i="57"/>
  <c r="BL333" i="57"/>
  <c r="BM333" i="57"/>
  <c r="BN333" i="57"/>
  <c r="BO333" i="57"/>
  <c r="BP333" i="57"/>
  <c r="BQ333" i="57"/>
  <c r="BR333" i="57"/>
  <c r="BS333" i="57"/>
  <c r="BT333" i="57"/>
  <c r="BU333" i="57"/>
  <c r="BV333" i="57"/>
  <c r="BW333" i="57"/>
  <c r="BX333" i="57"/>
  <c r="BY333" i="57"/>
  <c r="BZ333" i="57"/>
  <c r="CA333" i="57"/>
  <c r="CB333" i="57"/>
  <c r="CC333" i="57"/>
  <c r="CD333" i="57"/>
  <c r="CE333" i="57"/>
  <c r="CF333" i="57"/>
  <c r="CG333" i="57"/>
  <c r="CH333" i="57"/>
  <c r="CI333" i="57"/>
  <c r="CJ333" i="57"/>
  <c r="S334" i="57"/>
  <c r="T334" i="57"/>
  <c r="U334" i="57"/>
  <c r="V334" i="57"/>
  <c r="W334" i="57"/>
  <c r="X334" i="57"/>
  <c r="Y334" i="57"/>
  <c r="Z334" i="57"/>
  <c r="AA334" i="57"/>
  <c r="AB334" i="57"/>
  <c r="AC334" i="57"/>
  <c r="AD334" i="57"/>
  <c r="AE334" i="57"/>
  <c r="AF334" i="57"/>
  <c r="AG334" i="57"/>
  <c r="AH334" i="57"/>
  <c r="AI334" i="57"/>
  <c r="AJ334" i="57"/>
  <c r="AK334" i="57"/>
  <c r="AL334" i="57"/>
  <c r="AM334" i="57"/>
  <c r="AN334" i="57"/>
  <c r="AO334" i="57"/>
  <c r="AP334" i="57"/>
  <c r="AQ334" i="57"/>
  <c r="AR334" i="57"/>
  <c r="AS334" i="57"/>
  <c r="AT334" i="57"/>
  <c r="AU334" i="57"/>
  <c r="AV334" i="57"/>
  <c r="AW334" i="57"/>
  <c r="AX334" i="57"/>
  <c r="AY334" i="57"/>
  <c r="AZ334" i="57"/>
  <c r="BA334" i="57"/>
  <c r="BB334" i="57"/>
  <c r="BC334" i="57"/>
  <c r="BD334" i="57"/>
  <c r="BE334" i="57"/>
  <c r="BF334" i="57"/>
  <c r="BG334" i="57"/>
  <c r="BH334" i="57"/>
  <c r="BI334" i="57"/>
  <c r="BJ334" i="57"/>
  <c r="BK334" i="57"/>
  <c r="BL334" i="57"/>
  <c r="BM334" i="57"/>
  <c r="BN334" i="57"/>
  <c r="BO334" i="57"/>
  <c r="BP334" i="57"/>
  <c r="BQ334" i="57"/>
  <c r="BR334" i="57"/>
  <c r="BS334" i="57"/>
  <c r="BT334" i="57"/>
  <c r="BU334" i="57"/>
  <c r="BV334" i="57"/>
  <c r="BW334" i="57"/>
  <c r="BX334" i="57"/>
  <c r="BY334" i="57"/>
  <c r="BZ334" i="57"/>
  <c r="CA334" i="57"/>
  <c r="CB334" i="57"/>
  <c r="CC334" i="57"/>
  <c r="CD334" i="57"/>
  <c r="CE334" i="57"/>
  <c r="CF334" i="57"/>
  <c r="CG334" i="57"/>
  <c r="CH334" i="57"/>
  <c r="CI334" i="57"/>
  <c r="CJ334" i="57"/>
  <c r="S335" i="57"/>
  <c r="T335" i="57"/>
  <c r="U335" i="57"/>
  <c r="V335" i="57"/>
  <c r="W335" i="57"/>
  <c r="X335" i="57"/>
  <c r="Y335" i="57"/>
  <c r="Z335" i="57"/>
  <c r="AA335" i="57"/>
  <c r="AB335" i="57"/>
  <c r="AC335" i="57"/>
  <c r="AD335" i="57"/>
  <c r="AE335" i="57"/>
  <c r="AF335" i="57"/>
  <c r="AG335" i="57"/>
  <c r="AH335" i="57"/>
  <c r="AI335" i="57"/>
  <c r="AJ335" i="57"/>
  <c r="AK335" i="57"/>
  <c r="AL335" i="57"/>
  <c r="AM335" i="57"/>
  <c r="AN335" i="57"/>
  <c r="AO335" i="57"/>
  <c r="AP335" i="57"/>
  <c r="AQ335" i="57"/>
  <c r="AR335" i="57"/>
  <c r="AS335" i="57"/>
  <c r="AT335" i="57"/>
  <c r="AU335" i="57"/>
  <c r="AV335" i="57"/>
  <c r="AW335" i="57"/>
  <c r="AX335" i="57"/>
  <c r="AY335" i="57"/>
  <c r="AZ335" i="57"/>
  <c r="BA335" i="57"/>
  <c r="BB335" i="57"/>
  <c r="BC335" i="57"/>
  <c r="BD335" i="57"/>
  <c r="BE335" i="57"/>
  <c r="BF335" i="57"/>
  <c r="BG335" i="57"/>
  <c r="BH335" i="57"/>
  <c r="BI335" i="57"/>
  <c r="BJ335" i="57"/>
  <c r="BK335" i="57"/>
  <c r="BL335" i="57"/>
  <c r="BM335" i="57"/>
  <c r="BN335" i="57"/>
  <c r="BO335" i="57"/>
  <c r="BP335" i="57"/>
  <c r="BQ335" i="57"/>
  <c r="BR335" i="57"/>
  <c r="BS335" i="57"/>
  <c r="BT335" i="57"/>
  <c r="BU335" i="57"/>
  <c r="BV335" i="57"/>
  <c r="BW335" i="57"/>
  <c r="BX335" i="57"/>
  <c r="BY335" i="57"/>
  <c r="BZ335" i="57"/>
  <c r="CA335" i="57"/>
  <c r="CB335" i="57"/>
  <c r="CC335" i="57"/>
  <c r="CD335" i="57"/>
  <c r="CE335" i="57"/>
  <c r="CF335" i="57"/>
  <c r="CG335" i="57"/>
  <c r="CH335" i="57"/>
  <c r="CI335" i="57"/>
  <c r="CJ335" i="57"/>
  <c r="S336" i="57"/>
  <c r="T336" i="57"/>
  <c r="U336" i="57"/>
  <c r="V336" i="57"/>
  <c r="W336" i="57"/>
  <c r="X336" i="57"/>
  <c r="Y336" i="57"/>
  <c r="Z336" i="57"/>
  <c r="AA336" i="57"/>
  <c r="AB336" i="57"/>
  <c r="AC336" i="57"/>
  <c r="AD336" i="57"/>
  <c r="AE336" i="57"/>
  <c r="AF336" i="57"/>
  <c r="AG336" i="57"/>
  <c r="AH336" i="57"/>
  <c r="AI336" i="57"/>
  <c r="AJ336" i="57"/>
  <c r="AK336" i="57"/>
  <c r="AL336" i="57"/>
  <c r="AM336" i="57"/>
  <c r="AN336" i="57"/>
  <c r="AO336" i="57"/>
  <c r="AP336" i="57"/>
  <c r="AQ336" i="57"/>
  <c r="AR336" i="57"/>
  <c r="AS336" i="57"/>
  <c r="AT336" i="57"/>
  <c r="AU336" i="57"/>
  <c r="AV336" i="57"/>
  <c r="AW336" i="57"/>
  <c r="AX336" i="57"/>
  <c r="AY336" i="57"/>
  <c r="AZ336" i="57"/>
  <c r="BA336" i="57"/>
  <c r="BB336" i="57"/>
  <c r="BC336" i="57"/>
  <c r="BD336" i="57"/>
  <c r="BE336" i="57"/>
  <c r="BF336" i="57"/>
  <c r="BG336" i="57"/>
  <c r="BH336" i="57"/>
  <c r="BI336" i="57"/>
  <c r="BJ336" i="57"/>
  <c r="BK336" i="57"/>
  <c r="BL336" i="57"/>
  <c r="BM336" i="57"/>
  <c r="BN336" i="57"/>
  <c r="BO336" i="57"/>
  <c r="BP336" i="57"/>
  <c r="BQ336" i="57"/>
  <c r="BR336" i="57"/>
  <c r="BS336" i="57"/>
  <c r="BT336" i="57"/>
  <c r="BU336" i="57"/>
  <c r="BV336" i="57"/>
  <c r="BW336" i="57"/>
  <c r="BX336" i="57"/>
  <c r="BY336" i="57"/>
  <c r="BZ336" i="57"/>
  <c r="CA336" i="57"/>
  <c r="CB336" i="57"/>
  <c r="CC336" i="57"/>
  <c r="CD336" i="57"/>
  <c r="CE336" i="57"/>
  <c r="CF336" i="57"/>
  <c r="CG336" i="57"/>
  <c r="CH336" i="57"/>
  <c r="CI336" i="57"/>
  <c r="CJ336" i="57"/>
  <c r="S337" i="57"/>
  <c r="T337" i="57"/>
  <c r="U337" i="57"/>
  <c r="V337" i="57"/>
  <c r="W337" i="57"/>
  <c r="X337" i="57"/>
  <c r="Y337" i="57"/>
  <c r="Z337" i="57"/>
  <c r="AA337" i="57"/>
  <c r="AB337" i="57"/>
  <c r="AC337" i="57"/>
  <c r="AD337" i="57"/>
  <c r="AE337" i="57"/>
  <c r="AF337" i="57"/>
  <c r="AG337" i="57"/>
  <c r="AH337" i="57"/>
  <c r="AI337" i="57"/>
  <c r="AJ337" i="57"/>
  <c r="AK337" i="57"/>
  <c r="AL337" i="57"/>
  <c r="AM337" i="57"/>
  <c r="AN337" i="57"/>
  <c r="AO337" i="57"/>
  <c r="AP337" i="57"/>
  <c r="AQ337" i="57"/>
  <c r="AR337" i="57"/>
  <c r="AS337" i="57"/>
  <c r="AT337" i="57"/>
  <c r="AU337" i="57"/>
  <c r="AV337" i="57"/>
  <c r="AW337" i="57"/>
  <c r="AX337" i="57"/>
  <c r="AY337" i="57"/>
  <c r="AZ337" i="57"/>
  <c r="BA337" i="57"/>
  <c r="BB337" i="57"/>
  <c r="BC337" i="57"/>
  <c r="BD337" i="57"/>
  <c r="BE337" i="57"/>
  <c r="BF337" i="57"/>
  <c r="BG337" i="57"/>
  <c r="BH337" i="57"/>
  <c r="BI337" i="57"/>
  <c r="BJ337" i="57"/>
  <c r="BK337" i="57"/>
  <c r="BL337" i="57"/>
  <c r="BM337" i="57"/>
  <c r="BN337" i="57"/>
  <c r="BO337" i="57"/>
  <c r="BP337" i="57"/>
  <c r="BQ337" i="57"/>
  <c r="BR337" i="57"/>
  <c r="BS337" i="57"/>
  <c r="BT337" i="57"/>
  <c r="BU337" i="57"/>
  <c r="BV337" i="57"/>
  <c r="BW337" i="57"/>
  <c r="BX337" i="57"/>
  <c r="BY337" i="57"/>
  <c r="BZ337" i="57"/>
  <c r="CA337" i="57"/>
  <c r="CB337" i="57"/>
  <c r="CC337" i="57"/>
  <c r="CD337" i="57"/>
  <c r="CE337" i="57"/>
  <c r="CF337" i="57"/>
  <c r="CG337" i="57"/>
  <c r="CH337" i="57"/>
  <c r="CI337" i="57"/>
  <c r="CJ337" i="57"/>
  <c r="S338" i="57"/>
  <c r="T338" i="57"/>
  <c r="U338" i="57"/>
  <c r="V338" i="57"/>
  <c r="W338" i="57"/>
  <c r="X338" i="57"/>
  <c r="Y338" i="57"/>
  <c r="Z338" i="57"/>
  <c r="AA338" i="57"/>
  <c r="AB338" i="57"/>
  <c r="AC338" i="57"/>
  <c r="AD338" i="57"/>
  <c r="AE338" i="57"/>
  <c r="AF338" i="57"/>
  <c r="AG338" i="57"/>
  <c r="AH338" i="57"/>
  <c r="AI338" i="57"/>
  <c r="AJ338" i="57"/>
  <c r="AK338" i="57"/>
  <c r="AL338" i="57"/>
  <c r="AM338" i="57"/>
  <c r="AN338" i="57"/>
  <c r="AO338" i="57"/>
  <c r="AP338" i="57"/>
  <c r="AQ338" i="57"/>
  <c r="AR338" i="57"/>
  <c r="AS338" i="57"/>
  <c r="AT338" i="57"/>
  <c r="AU338" i="57"/>
  <c r="AV338" i="57"/>
  <c r="AW338" i="57"/>
  <c r="AX338" i="57"/>
  <c r="AY338" i="57"/>
  <c r="AZ338" i="57"/>
  <c r="BA338" i="57"/>
  <c r="BB338" i="57"/>
  <c r="BC338" i="57"/>
  <c r="BD338" i="57"/>
  <c r="BE338" i="57"/>
  <c r="BF338" i="57"/>
  <c r="BG338" i="57"/>
  <c r="BH338" i="57"/>
  <c r="BI338" i="57"/>
  <c r="BJ338" i="57"/>
  <c r="BK338" i="57"/>
  <c r="BL338" i="57"/>
  <c r="BM338" i="57"/>
  <c r="BN338" i="57"/>
  <c r="BO338" i="57"/>
  <c r="BP338" i="57"/>
  <c r="BQ338" i="57"/>
  <c r="BR338" i="57"/>
  <c r="BS338" i="57"/>
  <c r="BT338" i="57"/>
  <c r="BU338" i="57"/>
  <c r="BV338" i="57"/>
  <c r="BW338" i="57"/>
  <c r="BX338" i="57"/>
  <c r="BY338" i="57"/>
  <c r="BZ338" i="57"/>
  <c r="CA338" i="57"/>
  <c r="CB338" i="57"/>
  <c r="CC338" i="57"/>
  <c r="CD338" i="57"/>
  <c r="CE338" i="57"/>
  <c r="CF338" i="57"/>
  <c r="CG338" i="57"/>
  <c r="CH338" i="57"/>
  <c r="CI338" i="57"/>
  <c r="CJ338" i="57"/>
  <c r="S339" i="57"/>
  <c r="T339" i="57"/>
  <c r="U339" i="57"/>
  <c r="V339" i="57"/>
  <c r="W339" i="57"/>
  <c r="X339" i="57"/>
  <c r="Y339" i="57"/>
  <c r="Z339" i="57"/>
  <c r="AA339" i="57"/>
  <c r="AB339" i="57"/>
  <c r="AC339" i="57"/>
  <c r="AD339" i="57"/>
  <c r="AE339" i="57"/>
  <c r="AF339" i="57"/>
  <c r="AG339" i="57"/>
  <c r="AH339" i="57"/>
  <c r="AI339" i="57"/>
  <c r="AJ339" i="57"/>
  <c r="AK339" i="57"/>
  <c r="AL339" i="57"/>
  <c r="AM339" i="57"/>
  <c r="AN339" i="57"/>
  <c r="AO339" i="57"/>
  <c r="AP339" i="57"/>
  <c r="AQ339" i="57"/>
  <c r="AR339" i="57"/>
  <c r="AS339" i="57"/>
  <c r="AT339" i="57"/>
  <c r="AU339" i="57"/>
  <c r="AV339" i="57"/>
  <c r="AW339" i="57"/>
  <c r="AX339" i="57"/>
  <c r="AY339" i="57"/>
  <c r="AZ339" i="57"/>
  <c r="BA339" i="57"/>
  <c r="BB339" i="57"/>
  <c r="BC339" i="57"/>
  <c r="BD339" i="57"/>
  <c r="BE339" i="57"/>
  <c r="BF339" i="57"/>
  <c r="BG339" i="57"/>
  <c r="BH339" i="57"/>
  <c r="BI339" i="57"/>
  <c r="BJ339" i="57"/>
  <c r="BK339" i="57"/>
  <c r="BL339" i="57"/>
  <c r="BM339" i="57"/>
  <c r="BN339" i="57"/>
  <c r="BO339" i="57"/>
  <c r="BP339" i="57"/>
  <c r="BQ339" i="57"/>
  <c r="BR339" i="57"/>
  <c r="BS339" i="57"/>
  <c r="BT339" i="57"/>
  <c r="BU339" i="57"/>
  <c r="BV339" i="57"/>
  <c r="BW339" i="57"/>
  <c r="BX339" i="57"/>
  <c r="BY339" i="57"/>
  <c r="BZ339" i="57"/>
  <c r="CA339" i="57"/>
  <c r="CB339" i="57"/>
  <c r="CC339" i="57"/>
  <c r="CD339" i="57"/>
  <c r="CE339" i="57"/>
  <c r="CF339" i="57"/>
  <c r="CG339" i="57"/>
  <c r="CH339" i="57"/>
  <c r="CI339" i="57"/>
  <c r="CJ339" i="57"/>
  <c r="S340" i="57"/>
  <c r="T340" i="57"/>
  <c r="U340" i="57"/>
  <c r="V340" i="57"/>
  <c r="W340" i="57"/>
  <c r="X340" i="57"/>
  <c r="Y340" i="57"/>
  <c r="Z340" i="57"/>
  <c r="AA340" i="57"/>
  <c r="AB340" i="57"/>
  <c r="AC340" i="57"/>
  <c r="AD340" i="57"/>
  <c r="AE340" i="57"/>
  <c r="AF340" i="57"/>
  <c r="AG340" i="57"/>
  <c r="AH340" i="57"/>
  <c r="AI340" i="57"/>
  <c r="AJ340" i="57"/>
  <c r="AK340" i="57"/>
  <c r="AL340" i="57"/>
  <c r="AM340" i="57"/>
  <c r="AN340" i="57"/>
  <c r="AO340" i="57"/>
  <c r="AP340" i="57"/>
  <c r="AQ340" i="57"/>
  <c r="AR340" i="57"/>
  <c r="AS340" i="57"/>
  <c r="AT340" i="57"/>
  <c r="AU340" i="57"/>
  <c r="AV340" i="57"/>
  <c r="AW340" i="57"/>
  <c r="AX340" i="57"/>
  <c r="AY340" i="57"/>
  <c r="AZ340" i="57"/>
  <c r="BA340" i="57"/>
  <c r="BB340" i="57"/>
  <c r="BC340" i="57"/>
  <c r="BD340" i="57"/>
  <c r="BE340" i="57"/>
  <c r="BF340" i="57"/>
  <c r="BG340" i="57"/>
  <c r="BH340" i="57"/>
  <c r="BI340" i="57"/>
  <c r="BJ340" i="57"/>
  <c r="BK340" i="57"/>
  <c r="BL340" i="57"/>
  <c r="BM340" i="57"/>
  <c r="BN340" i="57"/>
  <c r="BO340" i="57"/>
  <c r="BP340" i="57"/>
  <c r="BQ340" i="57"/>
  <c r="BR340" i="57"/>
  <c r="BS340" i="57"/>
  <c r="BT340" i="57"/>
  <c r="BU340" i="57"/>
  <c r="BV340" i="57"/>
  <c r="BW340" i="57"/>
  <c r="BX340" i="57"/>
  <c r="BY340" i="57"/>
  <c r="BZ340" i="57"/>
  <c r="CA340" i="57"/>
  <c r="CB340" i="57"/>
  <c r="CC340" i="57"/>
  <c r="CD340" i="57"/>
  <c r="CE340" i="57"/>
  <c r="CF340" i="57"/>
  <c r="CG340" i="57"/>
  <c r="CH340" i="57"/>
  <c r="CI340" i="57"/>
  <c r="CJ340" i="57"/>
  <c r="S341" i="57"/>
  <c r="T341" i="57"/>
  <c r="U341" i="57"/>
  <c r="V341" i="57"/>
  <c r="W341" i="57"/>
  <c r="X341" i="57"/>
  <c r="Y341" i="57"/>
  <c r="Z341" i="57"/>
  <c r="AA341" i="57"/>
  <c r="AB341" i="57"/>
  <c r="AC341" i="57"/>
  <c r="AD341" i="57"/>
  <c r="AE341" i="57"/>
  <c r="AF341" i="57"/>
  <c r="AG341" i="57"/>
  <c r="AH341" i="57"/>
  <c r="AI341" i="57"/>
  <c r="AJ341" i="57"/>
  <c r="AK341" i="57"/>
  <c r="AL341" i="57"/>
  <c r="AM341" i="57"/>
  <c r="AN341" i="57"/>
  <c r="AO341" i="57"/>
  <c r="AP341" i="57"/>
  <c r="AQ341" i="57"/>
  <c r="AR341" i="57"/>
  <c r="AS341" i="57"/>
  <c r="AT341" i="57"/>
  <c r="AU341" i="57"/>
  <c r="AV341" i="57"/>
  <c r="AW341" i="57"/>
  <c r="AX341" i="57"/>
  <c r="AY341" i="57"/>
  <c r="AZ341" i="57"/>
  <c r="BA341" i="57"/>
  <c r="BB341" i="57"/>
  <c r="BC341" i="57"/>
  <c r="BD341" i="57"/>
  <c r="BE341" i="57"/>
  <c r="BF341" i="57"/>
  <c r="BG341" i="57"/>
  <c r="BH341" i="57"/>
  <c r="BI341" i="57"/>
  <c r="BJ341" i="57"/>
  <c r="BK341" i="57"/>
  <c r="BL341" i="57"/>
  <c r="BM341" i="57"/>
  <c r="BN341" i="57"/>
  <c r="BO341" i="57"/>
  <c r="BP341" i="57"/>
  <c r="BQ341" i="57"/>
  <c r="BR341" i="57"/>
  <c r="BS341" i="57"/>
  <c r="BT341" i="57"/>
  <c r="BU341" i="57"/>
  <c r="BV341" i="57"/>
  <c r="BW341" i="57"/>
  <c r="BX341" i="57"/>
  <c r="BY341" i="57"/>
  <c r="BZ341" i="57"/>
  <c r="CA341" i="57"/>
  <c r="CB341" i="57"/>
  <c r="CC341" i="57"/>
  <c r="CD341" i="57"/>
  <c r="CE341" i="57"/>
  <c r="CF341" i="57"/>
  <c r="CG341" i="57"/>
  <c r="CH341" i="57"/>
  <c r="CI341" i="57"/>
  <c r="CJ341" i="57"/>
  <c r="S342" i="57"/>
  <c r="T342" i="57"/>
  <c r="U342" i="57"/>
  <c r="V342" i="57"/>
  <c r="W342" i="57"/>
  <c r="X342" i="57"/>
  <c r="Y342" i="57"/>
  <c r="Z342" i="57"/>
  <c r="AA342" i="57"/>
  <c r="AB342" i="57"/>
  <c r="AC342" i="57"/>
  <c r="AD342" i="57"/>
  <c r="AE342" i="57"/>
  <c r="AF342" i="57"/>
  <c r="AG342" i="57"/>
  <c r="AH342" i="57"/>
  <c r="AI342" i="57"/>
  <c r="AJ342" i="57"/>
  <c r="AK342" i="57"/>
  <c r="AL342" i="57"/>
  <c r="AM342" i="57"/>
  <c r="AN342" i="57"/>
  <c r="AO342" i="57"/>
  <c r="AP342" i="57"/>
  <c r="AQ342" i="57"/>
  <c r="AR342" i="57"/>
  <c r="AS342" i="57"/>
  <c r="AT342" i="57"/>
  <c r="AU342" i="57"/>
  <c r="AV342" i="57"/>
  <c r="AW342" i="57"/>
  <c r="AX342" i="57"/>
  <c r="AY342" i="57"/>
  <c r="AZ342" i="57"/>
  <c r="BA342" i="57"/>
  <c r="BB342" i="57"/>
  <c r="BC342" i="57"/>
  <c r="BD342" i="57"/>
  <c r="BE342" i="57"/>
  <c r="BF342" i="57"/>
  <c r="BG342" i="57"/>
  <c r="BH342" i="57"/>
  <c r="BI342" i="57"/>
  <c r="BJ342" i="57"/>
  <c r="BK342" i="57"/>
  <c r="BL342" i="57"/>
  <c r="BM342" i="57"/>
  <c r="BN342" i="57"/>
  <c r="BO342" i="57"/>
  <c r="BP342" i="57"/>
  <c r="BQ342" i="57"/>
  <c r="BR342" i="57"/>
  <c r="BS342" i="57"/>
  <c r="BT342" i="57"/>
  <c r="BU342" i="57"/>
  <c r="BV342" i="57"/>
  <c r="BW342" i="57"/>
  <c r="BX342" i="57"/>
  <c r="BY342" i="57"/>
  <c r="BZ342" i="57"/>
  <c r="CA342" i="57"/>
  <c r="CB342" i="57"/>
  <c r="CC342" i="57"/>
  <c r="CD342" i="57"/>
  <c r="CE342" i="57"/>
  <c r="CF342" i="57"/>
  <c r="CG342" i="57"/>
  <c r="CH342" i="57"/>
  <c r="CI342" i="57"/>
  <c r="CJ342" i="57"/>
  <c r="S343" i="57"/>
  <c r="T343" i="57"/>
  <c r="U343" i="57"/>
  <c r="V343" i="57"/>
  <c r="W343" i="57"/>
  <c r="X343" i="57"/>
  <c r="Y343" i="57"/>
  <c r="Z343" i="57"/>
  <c r="AA343" i="57"/>
  <c r="AB343" i="57"/>
  <c r="AC343" i="57"/>
  <c r="AD343" i="57"/>
  <c r="AE343" i="57"/>
  <c r="AF343" i="57"/>
  <c r="AG343" i="57"/>
  <c r="AH343" i="57"/>
  <c r="AI343" i="57"/>
  <c r="AJ343" i="57"/>
  <c r="AK343" i="57"/>
  <c r="AL343" i="57"/>
  <c r="AM343" i="57"/>
  <c r="AN343" i="57"/>
  <c r="AO343" i="57"/>
  <c r="AP343" i="57"/>
  <c r="AQ343" i="57"/>
  <c r="AR343" i="57"/>
  <c r="AS343" i="57"/>
  <c r="AT343" i="57"/>
  <c r="AU343" i="57"/>
  <c r="AV343" i="57"/>
  <c r="AW343" i="57"/>
  <c r="AX343" i="57"/>
  <c r="AY343" i="57"/>
  <c r="AZ343" i="57"/>
  <c r="BA343" i="57"/>
  <c r="BB343" i="57"/>
  <c r="BC343" i="57"/>
  <c r="BD343" i="57"/>
  <c r="BE343" i="57"/>
  <c r="BF343" i="57"/>
  <c r="BG343" i="57"/>
  <c r="BH343" i="57"/>
  <c r="BI343" i="57"/>
  <c r="BJ343" i="57"/>
  <c r="BK343" i="57"/>
  <c r="BL343" i="57"/>
  <c r="BM343" i="57"/>
  <c r="BN343" i="57"/>
  <c r="BO343" i="57"/>
  <c r="BP343" i="57"/>
  <c r="BQ343" i="57"/>
  <c r="BR343" i="57"/>
  <c r="BS343" i="57"/>
  <c r="BT343" i="57"/>
  <c r="BU343" i="57"/>
  <c r="BV343" i="57"/>
  <c r="BW343" i="57"/>
  <c r="BX343" i="57"/>
  <c r="BY343" i="57"/>
  <c r="BZ343" i="57"/>
  <c r="CA343" i="57"/>
  <c r="CB343" i="57"/>
  <c r="CC343" i="57"/>
  <c r="CD343" i="57"/>
  <c r="CE343" i="57"/>
  <c r="CF343" i="57"/>
  <c r="CG343" i="57"/>
  <c r="CH343" i="57"/>
  <c r="CI343" i="57"/>
  <c r="CJ343" i="57"/>
  <c r="S344" i="57"/>
  <c r="T344" i="57"/>
  <c r="U344" i="57"/>
  <c r="V344" i="57"/>
  <c r="W344" i="57"/>
  <c r="X344" i="57"/>
  <c r="Y344" i="57"/>
  <c r="Z344" i="57"/>
  <c r="AA344" i="57"/>
  <c r="AB344" i="57"/>
  <c r="AC344" i="57"/>
  <c r="AD344" i="57"/>
  <c r="AE344" i="57"/>
  <c r="AF344" i="57"/>
  <c r="AG344" i="57"/>
  <c r="AH344" i="57"/>
  <c r="AI344" i="57"/>
  <c r="AJ344" i="57"/>
  <c r="AK344" i="57"/>
  <c r="AL344" i="57"/>
  <c r="AM344" i="57"/>
  <c r="AN344" i="57"/>
  <c r="AO344" i="57"/>
  <c r="AP344" i="57"/>
  <c r="AQ344" i="57"/>
  <c r="AR344" i="57"/>
  <c r="AS344" i="57"/>
  <c r="AT344" i="57"/>
  <c r="AU344" i="57"/>
  <c r="AV344" i="57"/>
  <c r="AW344" i="57"/>
  <c r="AX344" i="57"/>
  <c r="AY344" i="57"/>
  <c r="AZ344" i="57"/>
  <c r="BA344" i="57"/>
  <c r="BB344" i="57"/>
  <c r="BC344" i="57"/>
  <c r="BD344" i="57"/>
  <c r="BE344" i="57"/>
  <c r="BF344" i="57"/>
  <c r="BG344" i="57"/>
  <c r="BH344" i="57"/>
  <c r="BI344" i="57"/>
  <c r="BJ344" i="57"/>
  <c r="BK344" i="57"/>
  <c r="BL344" i="57"/>
  <c r="BM344" i="57"/>
  <c r="BN344" i="57"/>
  <c r="BO344" i="57"/>
  <c r="BP344" i="57"/>
  <c r="BQ344" i="57"/>
  <c r="BR344" i="57"/>
  <c r="BS344" i="57"/>
  <c r="BT344" i="57"/>
  <c r="BU344" i="57"/>
  <c r="BV344" i="57"/>
  <c r="BW344" i="57"/>
  <c r="BX344" i="57"/>
  <c r="BY344" i="57"/>
  <c r="BZ344" i="57"/>
  <c r="CA344" i="57"/>
  <c r="CB344" i="57"/>
  <c r="CC344" i="57"/>
  <c r="CD344" i="57"/>
  <c r="CE344" i="57"/>
  <c r="CF344" i="57"/>
  <c r="CG344" i="57"/>
  <c r="CH344" i="57"/>
  <c r="CI344" i="57"/>
  <c r="CJ344" i="57"/>
  <c r="S345" i="57"/>
  <c r="T345" i="57"/>
  <c r="U345" i="57"/>
  <c r="V345" i="57"/>
  <c r="W345" i="57"/>
  <c r="X345" i="57"/>
  <c r="Y345" i="57"/>
  <c r="Z345" i="57"/>
  <c r="AA345" i="57"/>
  <c r="AB345" i="57"/>
  <c r="AC345" i="57"/>
  <c r="AD345" i="57"/>
  <c r="AE345" i="57"/>
  <c r="AF345" i="57"/>
  <c r="AG345" i="57"/>
  <c r="AH345" i="57"/>
  <c r="AI345" i="57"/>
  <c r="AJ345" i="57"/>
  <c r="AK345" i="57"/>
  <c r="AL345" i="57"/>
  <c r="AM345" i="57"/>
  <c r="AN345" i="57"/>
  <c r="AO345" i="57"/>
  <c r="AP345" i="57"/>
  <c r="AQ345" i="57"/>
  <c r="AR345" i="57"/>
  <c r="AS345" i="57"/>
  <c r="AT345" i="57"/>
  <c r="AU345" i="57"/>
  <c r="AV345" i="57"/>
  <c r="AW345" i="57"/>
  <c r="AX345" i="57"/>
  <c r="AY345" i="57"/>
  <c r="AZ345" i="57"/>
  <c r="BA345" i="57"/>
  <c r="BB345" i="57"/>
  <c r="BC345" i="57"/>
  <c r="BD345" i="57"/>
  <c r="BE345" i="57"/>
  <c r="BF345" i="57"/>
  <c r="BG345" i="57"/>
  <c r="BH345" i="57"/>
  <c r="BI345" i="57"/>
  <c r="BJ345" i="57"/>
  <c r="BK345" i="57"/>
  <c r="BL345" i="57"/>
  <c r="BM345" i="57"/>
  <c r="BN345" i="57"/>
  <c r="BO345" i="57"/>
  <c r="BP345" i="57"/>
  <c r="BQ345" i="57"/>
  <c r="BR345" i="57"/>
  <c r="BS345" i="57"/>
  <c r="BT345" i="57"/>
  <c r="BU345" i="57"/>
  <c r="BV345" i="57"/>
  <c r="BW345" i="57"/>
  <c r="BX345" i="57"/>
  <c r="BY345" i="57"/>
  <c r="BZ345" i="57"/>
  <c r="CA345" i="57"/>
  <c r="CB345" i="57"/>
  <c r="CC345" i="57"/>
  <c r="CD345" i="57"/>
  <c r="CE345" i="57"/>
  <c r="CF345" i="57"/>
  <c r="CG345" i="57"/>
  <c r="CH345" i="57"/>
  <c r="CI345" i="57"/>
  <c r="CJ345" i="57"/>
  <c r="S346" i="57"/>
  <c r="T346" i="57"/>
  <c r="U346" i="57"/>
  <c r="V346" i="57"/>
  <c r="W346" i="57"/>
  <c r="X346" i="57"/>
  <c r="Y346" i="57"/>
  <c r="Z346" i="57"/>
  <c r="AA346" i="57"/>
  <c r="AB346" i="57"/>
  <c r="AC346" i="57"/>
  <c r="AD346" i="57"/>
  <c r="AE346" i="57"/>
  <c r="AF346" i="57"/>
  <c r="AG346" i="57"/>
  <c r="AH346" i="57"/>
  <c r="AI346" i="57"/>
  <c r="AJ346" i="57"/>
  <c r="AK346" i="57"/>
  <c r="AL346" i="57"/>
  <c r="AM346" i="57"/>
  <c r="AN346" i="57"/>
  <c r="AO346" i="57"/>
  <c r="AP346" i="57"/>
  <c r="AQ346" i="57"/>
  <c r="AR346" i="57"/>
  <c r="AS346" i="57"/>
  <c r="AT346" i="57"/>
  <c r="AU346" i="57"/>
  <c r="AV346" i="57"/>
  <c r="AW346" i="57"/>
  <c r="AX346" i="57"/>
  <c r="AY346" i="57"/>
  <c r="AZ346" i="57"/>
  <c r="BA346" i="57"/>
  <c r="BB346" i="57"/>
  <c r="BC346" i="57"/>
  <c r="BD346" i="57"/>
  <c r="BE346" i="57"/>
  <c r="BF346" i="57"/>
  <c r="BG346" i="57"/>
  <c r="BH346" i="57"/>
  <c r="BI346" i="57"/>
  <c r="BJ346" i="57"/>
  <c r="BK346" i="57"/>
  <c r="BL346" i="57"/>
  <c r="BM346" i="57"/>
  <c r="BN346" i="57"/>
  <c r="BO346" i="57"/>
  <c r="BP346" i="57"/>
  <c r="BQ346" i="57"/>
  <c r="BR346" i="57"/>
  <c r="BS346" i="57"/>
  <c r="BT346" i="57"/>
  <c r="BU346" i="57"/>
  <c r="BV346" i="57"/>
  <c r="BW346" i="57"/>
  <c r="BX346" i="57"/>
  <c r="BY346" i="57"/>
  <c r="BZ346" i="57"/>
  <c r="CA346" i="57"/>
  <c r="CB346" i="57"/>
  <c r="CC346" i="57"/>
  <c r="CD346" i="57"/>
  <c r="CE346" i="57"/>
  <c r="CF346" i="57"/>
  <c r="CG346" i="57"/>
  <c r="CH346" i="57"/>
  <c r="CI346" i="57"/>
  <c r="CJ346" i="57"/>
  <c r="S347" i="57"/>
  <c r="T347" i="57"/>
  <c r="U347" i="57"/>
  <c r="V347" i="57"/>
  <c r="W347" i="57"/>
  <c r="X347" i="57"/>
  <c r="Y347" i="57"/>
  <c r="Z347" i="57"/>
  <c r="AA347" i="57"/>
  <c r="AB347" i="57"/>
  <c r="AC347" i="57"/>
  <c r="AD347" i="57"/>
  <c r="AE347" i="57"/>
  <c r="AF347" i="57"/>
  <c r="AG347" i="57"/>
  <c r="AH347" i="57"/>
  <c r="AI347" i="57"/>
  <c r="AJ347" i="57"/>
  <c r="AK347" i="57"/>
  <c r="AL347" i="57"/>
  <c r="AM347" i="57"/>
  <c r="AN347" i="57"/>
  <c r="AO347" i="57"/>
  <c r="AP347" i="57"/>
  <c r="AQ347" i="57"/>
  <c r="AR347" i="57"/>
  <c r="AS347" i="57"/>
  <c r="AT347" i="57"/>
  <c r="AU347" i="57"/>
  <c r="AV347" i="57"/>
  <c r="AW347" i="57"/>
  <c r="AX347" i="57"/>
  <c r="AY347" i="57"/>
  <c r="AZ347" i="57"/>
  <c r="BA347" i="57"/>
  <c r="BB347" i="57"/>
  <c r="BC347" i="57"/>
  <c r="BD347" i="57"/>
  <c r="BE347" i="57"/>
  <c r="BF347" i="57"/>
  <c r="BG347" i="57"/>
  <c r="BH347" i="57"/>
  <c r="BI347" i="57"/>
  <c r="BJ347" i="57"/>
  <c r="BK347" i="57"/>
  <c r="BL347" i="57"/>
  <c r="BM347" i="57"/>
  <c r="BN347" i="57"/>
  <c r="BO347" i="57"/>
  <c r="BP347" i="57"/>
  <c r="BQ347" i="57"/>
  <c r="BR347" i="57"/>
  <c r="BS347" i="57"/>
  <c r="BT347" i="57"/>
  <c r="BU347" i="57"/>
  <c r="BV347" i="57"/>
  <c r="BW347" i="57"/>
  <c r="BX347" i="57"/>
  <c r="BY347" i="57"/>
  <c r="BZ347" i="57"/>
  <c r="CA347" i="57"/>
  <c r="CB347" i="57"/>
  <c r="CC347" i="57"/>
  <c r="CD347" i="57"/>
  <c r="CE347" i="57"/>
  <c r="CF347" i="57"/>
  <c r="CG347" i="57"/>
  <c r="CH347" i="57"/>
  <c r="CI347" i="57"/>
  <c r="CJ347" i="57"/>
  <c r="S348" i="57"/>
  <c r="T348" i="57"/>
  <c r="U348" i="57"/>
  <c r="V348" i="57"/>
  <c r="W348" i="57"/>
  <c r="X348" i="57"/>
  <c r="Y348" i="57"/>
  <c r="Z348" i="57"/>
  <c r="AA348" i="57"/>
  <c r="AB348" i="57"/>
  <c r="AC348" i="57"/>
  <c r="AD348" i="57"/>
  <c r="AE348" i="57"/>
  <c r="AF348" i="57"/>
  <c r="AG348" i="57"/>
  <c r="AH348" i="57"/>
  <c r="AI348" i="57"/>
  <c r="AJ348" i="57"/>
  <c r="AK348" i="57"/>
  <c r="AL348" i="57"/>
  <c r="AM348" i="57"/>
  <c r="AN348" i="57"/>
  <c r="AO348" i="57"/>
  <c r="AP348" i="57"/>
  <c r="AQ348" i="57"/>
  <c r="AR348" i="57"/>
  <c r="AS348" i="57"/>
  <c r="AT348" i="57"/>
  <c r="AU348" i="57"/>
  <c r="AV348" i="57"/>
  <c r="AW348" i="57"/>
  <c r="AX348" i="57"/>
  <c r="AY348" i="57"/>
  <c r="AZ348" i="57"/>
  <c r="BA348" i="57"/>
  <c r="BB348" i="57"/>
  <c r="BC348" i="57"/>
  <c r="BD348" i="57"/>
  <c r="BE348" i="57"/>
  <c r="BF348" i="57"/>
  <c r="BG348" i="57"/>
  <c r="BH348" i="57"/>
  <c r="BI348" i="57"/>
  <c r="BJ348" i="57"/>
  <c r="BK348" i="57"/>
  <c r="BL348" i="57"/>
  <c r="BM348" i="57"/>
  <c r="BN348" i="57"/>
  <c r="BO348" i="57"/>
  <c r="BP348" i="57"/>
  <c r="BQ348" i="57"/>
  <c r="BR348" i="57"/>
  <c r="BS348" i="57"/>
  <c r="BT348" i="57"/>
  <c r="BU348" i="57"/>
  <c r="BV348" i="57"/>
  <c r="BW348" i="57"/>
  <c r="BX348" i="57"/>
  <c r="BY348" i="57"/>
  <c r="BZ348" i="57"/>
  <c r="CA348" i="57"/>
  <c r="CB348" i="57"/>
  <c r="CC348" i="57"/>
  <c r="CD348" i="57"/>
  <c r="CE348" i="57"/>
  <c r="CF348" i="57"/>
  <c r="CG348" i="57"/>
  <c r="CH348" i="57"/>
  <c r="CI348" i="57"/>
  <c r="CJ348" i="57"/>
  <c r="C8" i="67"/>
  <c r="D8" i="67"/>
  <c r="E8" i="67"/>
  <c r="F8" i="67"/>
  <c r="G8" i="67"/>
  <c r="H8" i="67"/>
  <c r="I8" i="67"/>
  <c r="C10" i="67"/>
  <c r="D10" i="67"/>
  <c r="E10" i="67"/>
  <c r="F10" i="67"/>
  <c r="G10" i="67"/>
  <c r="H10" i="67"/>
  <c r="I10" i="67"/>
  <c r="C11" i="67"/>
  <c r="D11" i="67"/>
  <c r="E11" i="67"/>
  <c r="F11" i="67"/>
  <c r="G11" i="67"/>
  <c r="H11" i="67"/>
  <c r="I11" i="67"/>
  <c r="C12" i="67"/>
  <c r="D12" i="67"/>
  <c r="E12" i="67"/>
  <c r="F12" i="67"/>
  <c r="G12" i="67"/>
  <c r="H12" i="67"/>
  <c r="I12" i="67"/>
  <c r="C15" i="67"/>
  <c r="D15" i="67"/>
  <c r="E15" i="67"/>
  <c r="F15" i="67"/>
  <c r="G15" i="67"/>
  <c r="H15" i="67"/>
  <c r="I15" i="67"/>
  <c r="C18" i="67"/>
  <c r="D18" i="67"/>
  <c r="E18" i="67"/>
  <c r="F18" i="67"/>
  <c r="G18" i="67"/>
  <c r="H18" i="67"/>
  <c r="I18" i="67"/>
  <c r="C19" i="67"/>
  <c r="D19" i="67"/>
  <c r="E19" i="67"/>
  <c r="F19" i="67"/>
  <c r="G19" i="67"/>
  <c r="H19" i="67"/>
  <c r="I19" i="67"/>
  <c r="C26" i="67"/>
  <c r="D26" i="67"/>
  <c r="E26" i="67"/>
  <c r="F26" i="67"/>
  <c r="G26" i="67"/>
  <c r="H26" i="67"/>
  <c r="I26" i="67"/>
  <c r="J26" i="67"/>
  <c r="K26" i="67"/>
  <c r="L26" i="67"/>
  <c r="M26" i="67"/>
  <c r="N26" i="67"/>
  <c r="O26" i="67"/>
  <c r="P26" i="67"/>
  <c r="Q26" i="67"/>
  <c r="R26" i="67"/>
  <c r="S26" i="67"/>
  <c r="T26" i="67"/>
  <c r="U26" i="67"/>
  <c r="V26" i="67"/>
  <c r="W26" i="67"/>
  <c r="X26" i="67"/>
  <c r="Y26" i="67"/>
  <c r="Z26" i="67"/>
  <c r="AA26" i="67"/>
  <c r="AB26" i="67"/>
  <c r="AC26" i="67"/>
  <c r="AD26" i="67"/>
  <c r="AE26" i="67"/>
  <c r="AF26" i="67"/>
  <c r="AG26" i="67"/>
  <c r="AH26" i="67"/>
  <c r="AI26" i="67"/>
  <c r="AJ26" i="67"/>
  <c r="AK26" i="67"/>
  <c r="AL26" i="67"/>
  <c r="AM26" i="67"/>
  <c r="AN26" i="67"/>
  <c r="AO26" i="67"/>
  <c r="AP26" i="67"/>
  <c r="AQ26" i="67"/>
  <c r="AR26" i="67"/>
  <c r="AS26" i="67"/>
  <c r="AT26" i="67"/>
  <c r="AU26" i="67"/>
  <c r="AV26" i="67"/>
  <c r="AW26" i="67"/>
  <c r="AX26" i="67"/>
  <c r="AY26" i="67"/>
  <c r="AZ26" i="67"/>
  <c r="BA26" i="67"/>
  <c r="BB26" i="67"/>
  <c r="BC26" i="67"/>
  <c r="BD26" i="67"/>
  <c r="BE26" i="67"/>
  <c r="BF26" i="67"/>
  <c r="BG26" i="67"/>
  <c r="BH26" i="67"/>
  <c r="BI26" i="67"/>
  <c r="BJ26" i="67"/>
  <c r="BK26" i="67"/>
  <c r="BL26" i="67"/>
  <c r="BM26" i="67"/>
  <c r="BN26" i="67"/>
  <c r="BO26" i="67"/>
  <c r="BP26" i="67"/>
  <c r="BQ26" i="67"/>
  <c r="BR26" i="67"/>
  <c r="BS26" i="67"/>
  <c r="BT26" i="67"/>
  <c r="C28" i="67"/>
  <c r="D28" i="67"/>
  <c r="E28" i="67"/>
  <c r="F28" i="67"/>
  <c r="G28" i="67"/>
  <c r="H28" i="67"/>
  <c r="I28" i="67"/>
  <c r="J28" i="67"/>
  <c r="K28" i="67"/>
  <c r="L28" i="67"/>
  <c r="M28" i="67"/>
  <c r="N28" i="67"/>
  <c r="O28" i="67"/>
  <c r="P28" i="67"/>
  <c r="Q28" i="67"/>
  <c r="R28" i="67"/>
  <c r="S28" i="67"/>
  <c r="T28" i="67"/>
  <c r="U28" i="67"/>
  <c r="V28" i="67"/>
  <c r="W28" i="67"/>
  <c r="X28" i="67"/>
  <c r="Y28" i="67"/>
  <c r="Z28" i="67"/>
  <c r="AA28" i="67"/>
  <c r="AB28" i="67"/>
  <c r="AC28" i="67"/>
  <c r="AD28" i="67"/>
  <c r="AE28" i="67"/>
  <c r="AF28" i="67"/>
  <c r="AG28" i="67"/>
  <c r="AH28" i="67"/>
  <c r="AI28" i="67"/>
  <c r="AJ28" i="67"/>
  <c r="AK28" i="67"/>
  <c r="AL28" i="67"/>
  <c r="AM28" i="67"/>
  <c r="AN28" i="67"/>
  <c r="AO28" i="67"/>
  <c r="AP28" i="67"/>
  <c r="AQ28" i="67"/>
  <c r="AR28" i="67"/>
  <c r="AS28" i="67"/>
  <c r="AT28" i="67"/>
  <c r="AU28" i="67"/>
  <c r="AV28" i="67"/>
  <c r="AW28" i="67"/>
  <c r="AX28" i="67"/>
  <c r="AY28" i="67"/>
  <c r="AZ28" i="67"/>
  <c r="BA28" i="67"/>
  <c r="BB28" i="67"/>
  <c r="BC28" i="67"/>
  <c r="BD28" i="67"/>
  <c r="BE28" i="67"/>
  <c r="BF28" i="67"/>
  <c r="BG28" i="67"/>
  <c r="BH28" i="67"/>
  <c r="BI28" i="67"/>
  <c r="BJ28" i="67"/>
  <c r="BK28" i="67"/>
  <c r="BL28" i="67"/>
  <c r="BM28" i="67"/>
  <c r="BN28" i="67"/>
  <c r="BO28" i="67"/>
  <c r="BP28" i="67"/>
  <c r="BQ28" i="67"/>
  <c r="BR28" i="67"/>
  <c r="BS28" i="67"/>
  <c r="BT28" i="67"/>
  <c r="C29" i="67"/>
  <c r="D29" i="67"/>
  <c r="E29" i="67"/>
  <c r="F29" i="67"/>
  <c r="G29" i="67"/>
  <c r="H29" i="67"/>
  <c r="I29" i="67"/>
  <c r="J29" i="67"/>
  <c r="K29" i="67"/>
  <c r="L29" i="67"/>
  <c r="M29" i="67"/>
  <c r="N29" i="67"/>
  <c r="O29" i="67"/>
  <c r="P29" i="67"/>
  <c r="Q29" i="67"/>
  <c r="R29" i="67"/>
  <c r="S29" i="67"/>
  <c r="T29" i="67"/>
  <c r="U29" i="67"/>
  <c r="V29" i="67"/>
  <c r="W29" i="67"/>
  <c r="X29" i="67"/>
  <c r="Y29" i="67"/>
  <c r="Z29" i="67"/>
  <c r="AA29" i="67"/>
  <c r="AB29" i="67"/>
  <c r="AC29" i="67"/>
  <c r="AD29" i="67"/>
  <c r="AE29" i="67"/>
  <c r="AF29" i="67"/>
  <c r="AG29" i="67"/>
  <c r="AH29" i="67"/>
  <c r="AI29" i="67"/>
  <c r="AJ29" i="67"/>
  <c r="AK29" i="67"/>
  <c r="AL29" i="67"/>
  <c r="AM29" i="67"/>
  <c r="AN29" i="67"/>
  <c r="AO29" i="67"/>
  <c r="AP29" i="67"/>
  <c r="AQ29" i="67"/>
  <c r="AR29" i="67"/>
  <c r="AS29" i="67"/>
  <c r="AT29" i="67"/>
  <c r="AU29" i="67"/>
  <c r="AV29" i="67"/>
  <c r="AW29" i="67"/>
  <c r="AX29" i="67"/>
  <c r="AY29" i="67"/>
  <c r="AZ29" i="67"/>
  <c r="BA29" i="67"/>
  <c r="BB29" i="67"/>
  <c r="BC29" i="67"/>
  <c r="BD29" i="67"/>
  <c r="BE29" i="67"/>
  <c r="BF29" i="67"/>
  <c r="BG29" i="67"/>
  <c r="BH29" i="67"/>
  <c r="BI29" i="67"/>
  <c r="BJ29" i="67"/>
  <c r="BK29" i="67"/>
  <c r="BL29" i="67"/>
  <c r="BM29" i="67"/>
  <c r="BN29" i="67"/>
  <c r="BO29" i="67"/>
  <c r="BP29" i="67"/>
  <c r="BQ29" i="67"/>
  <c r="BR29" i="67"/>
  <c r="BS29" i="67"/>
  <c r="BT29" i="67"/>
  <c r="C30" i="67"/>
  <c r="D30" i="67"/>
  <c r="E30" i="67"/>
  <c r="F30" i="67"/>
  <c r="G30" i="67"/>
  <c r="H30" i="67"/>
  <c r="I30" i="67"/>
  <c r="J30" i="67"/>
  <c r="K30" i="67"/>
  <c r="L30" i="67"/>
  <c r="M30" i="67"/>
  <c r="N30" i="67"/>
  <c r="O30" i="67"/>
  <c r="P30" i="67"/>
  <c r="Q30" i="67"/>
  <c r="R30" i="67"/>
  <c r="S30" i="67"/>
  <c r="T30" i="67"/>
  <c r="U30" i="67"/>
  <c r="V30" i="67"/>
  <c r="W30" i="67"/>
  <c r="X30" i="67"/>
  <c r="Y30" i="67"/>
  <c r="Z30" i="67"/>
  <c r="AA30" i="67"/>
  <c r="AB30" i="67"/>
  <c r="AC30" i="67"/>
  <c r="AD30" i="67"/>
  <c r="AE30" i="67"/>
  <c r="AF30" i="67"/>
  <c r="AG30" i="67"/>
  <c r="AH30" i="67"/>
  <c r="AI30" i="67"/>
  <c r="AJ30" i="67"/>
  <c r="AK30" i="67"/>
  <c r="AL30" i="67"/>
  <c r="AM30" i="67"/>
  <c r="AN30" i="67"/>
  <c r="AO30" i="67"/>
  <c r="AP30" i="67"/>
  <c r="AQ30" i="67"/>
  <c r="AR30" i="67"/>
  <c r="AS30" i="67"/>
  <c r="AT30" i="67"/>
  <c r="AU30" i="67"/>
  <c r="AV30" i="67"/>
  <c r="AW30" i="67"/>
  <c r="AX30" i="67"/>
  <c r="AY30" i="67"/>
  <c r="AZ30" i="67"/>
  <c r="BA30" i="67"/>
  <c r="BB30" i="67"/>
  <c r="BC30" i="67"/>
  <c r="BD30" i="67"/>
  <c r="BE30" i="67"/>
  <c r="BF30" i="67"/>
  <c r="BG30" i="67"/>
  <c r="BH30" i="67"/>
  <c r="BI30" i="67"/>
  <c r="BJ30" i="67"/>
  <c r="BK30" i="67"/>
  <c r="BL30" i="67"/>
  <c r="BM30" i="67"/>
  <c r="BN30" i="67"/>
  <c r="BO30" i="67"/>
  <c r="BP30" i="67"/>
  <c r="BQ30" i="67"/>
  <c r="BR30" i="67"/>
  <c r="BS30" i="67"/>
  <c r="BT30" i="67"/>
  <c r="C34" i="67"/>
  <c r="D34" i="67"/>
  <c r="E34" i="67"/>
  <c r="F34" i="67"/>
  <c r="G34" i="67"/>
  <c r="H34" i="67"/>
  <c r="I34" i="67"/>
  <c r="J34" i="67"/>
  <c r="K34" i="67"/>
  <c r="L34" i="67"/>
  <c r="M34" i="67"/>
  <c r="N34" i="67"/>
  <c r="O34" i="67"/>
  <c r="P34" i="67"/>
  <c r="Q34" i="67"/>
  <c r="R34" i="67"/>
  <c r="S34" i="67"/>
  <c r="T34" i="67"/>
  <c r="U34" i="67"/>
  <c r="V34" i="67"/>
  <c r="W34" i="67"/>
  <c r="X34" i="67"/>
  <c r="Y34" i="67"/>
  <c r="Z34" i="67"/>
  <c r="AA34" i="67"/>
  <c r="AB34" i="67"/>
  <c r="AC34" i="67"/>
  <c r="AD34" i="67"/>
  <c r="AE34" i="67"/>
  <c r="AF34" i="67"/>
  <c r="AG34" i="67"/>
  <c r="AH34" i="67"/>
  <c r="AI34" i="67"/>
  <c r="AJ34" i="67"/>
  <c r="AK34" i="67"/>
  <c r="AL34" i="67"/>
  <c r="AM34" i="67"/>
  <c r="AN34" i="67"/>
  <c r="AO34" i="67"/>
  <c r="AP34" i="67"/>
  <c r="AQ34" i="67"/>
  <c r="AR34" i="67"/>
  <c r="AS34" i="67"/>
  <c r="AT34" i="67"/>
  <c r="AU34" i="67"/>
  <c r="AV34" i="67"/>
  <c r="AW34" i="67"/>
  <c r="AX34" i="67"/>
  <c r="AY34" i="67"/>
  <c r="AZ34" i="67"/>
  <c r="BA34" i="67"/>
  <c r="BB34" i="67"/>
  <c r="BC34" i="67"/>
  <c r="BD34" i="67"/>
  <c r="BE34" i="67"/>
  <c r="BF34" i="67"/>
  <c r="BG34" i="67"/>
  <c r="BH34" i="67"/>
  <c r="BI34" i="67"/>
  <c r="BJ34" i="67"/>
  <c r="BK34" i="67"/>
  <c r="BL34" i="67"/>
  <c r="BM34" i="67"/>
  <c r="BN34" i="67"/>
  <c r="BO34" i="67"/>
  <c r="BP34" i="67"/>
  <c r="BQ34" i="67"/>
  <c r="BR34" i="67"/>
  <c r="BS34" i="67"/>
  <c r="BT34" i="67"/>
  <c r="C39" i="67"/>
  <c r="D39" i="67"/>
  <c r="E39" i="67"/>
  <c r="F39" i="67"/>
  <c r="G39" i="67"/>
  <c r="H39" i="67"/>
  <c r="I39" i="67"/>
  <c r="J39" i="67"/>
  <c r="K39" i="67"/>
  <c r="L39" i="67"/>
  <c r="M39" i="67"/>
  <c r="N39" i="67"/>
  <c r="O39" i="67"/>
  <c r="P39" i="67"/>
  <c r="Q39" i="67"/>
  <c r="R39" i="67"/>
  <c r="S39" i="67"/>
  <c r="T39" i="67"/>
  <c r="U39" i="67"/>
  <c r="V39" i="67"/>
  <c r="W39" i="67"/>
  <c r="X39" i="67"/>
  <c r="Y39" i="67"/>
  <c r="Z39" i="67"/>
  <c r="AA39" i="67"/>
  <c r="AB39" i="67"/>
  <c r="AC39" i="67"/>
  <c r="AD39" i="67"/>
  <c r="AE39" i="67"/>
  <c r="AF39" i="67"/>
  <c r="AG39" i="67"/>
  <c r="AH39" i="67"/>
  <c r="AI39" i="67"/>
  <c r="AJ39" i="67"/>
  <c r="AK39" i="67"/>
  <c r="AL39" i="67"/>
  <c r="AM39" i="67"/>
  <c r="AN39" i="67"/>
  <c r="AO39" i="67"/>
  <c r="AP39" i="67"/>
  <c r="AQ39" i="67"/>
  <c r="AR39" i="67"/>
  <c r="AS39" i="67"/>
  <c r="AT39" i="67"/>
  <c r="AU39" i="67"/>
  <c r="AV39" i="67"/>
  <c r="AW39" i="67"/>
  <c r="AX39" i="67"/>
  <c r="AY39" i="67"/>
  <c r="AZ39" i="67"/>
  <c r="BA39" i="67"/>
  <c r="BB39" i="67"/>
  <c r="BC39" i="67"/>
  <c r="BD39" i="67"/>
  <c r="BE39" i="67"/>
  <c r="BF39" i="67"/>
  <c r="BG39" i="67"/>
  <c r="BH39" i="67"/>
  <c r="BI39" i="67"/>
  <c r="BJ39" i="67"/>
  <c r="BK39" i="67"/>
  <c r="BL39" i="67"/>
  <c r="BM39" i="67"/>
  <c r="BN39" i="67"/>
  <c r="BO39" i="67"/>
  <c r="BP39" i="67"/>
  <c r="BQ39" i="67"/>
  <c r="BR39" i="67"/>
  <c r="BS39" i="67"/>
  <c r="BT39" i="67"/>
  <c r="C40" i="67"/>
  <c r="D40" i="67"/>
  <c r="E40" i="67"/>
  <c r="F40" i="67"/>
  <c r="G40" i="67"/>
  <c r="H40" i="67"/>
  <c r="I40" i="67"/>
  <c r="J40" i="67"/>
  <c r="K40" i="67"/>
  <c r="L40" i="67"/>
  <c r="M40" i="67"/>
  <c r="N40" i="67"/>
  <c r="O40" i="67"/>
  <c r="P40" i="67"/>
  <c r="Q40" i="67"/>
  <c r="R40" i="67"/>
  <c r="S40" i="67"/>
  <c r="T40" i="67"/>
  <c r="U40" i="67"/>
  <c r="V40" i="67"/>
  <c r="W40" i="67"/>
  <c r="X40" i="67"/>
  <c r="Y40" i="67"/>
  <c r="Z40" i="67"/>
  <c r="AA40" i="67"/>
  <c r="AB40" i="67"/>
  <c r="AC40" i="67"/>
  <c r="AD40" i="67"/>
  <c r="AE40" i="67"/>
  <c r="AF40" i="67"/>
  <c r="AG40" i="67"/>
  <c r="AH40" i="67"/>
  <c r="AI40" i="67"/>
  <c r="AJ40" i="67"/>
  <c r="AK40" i="67"/>
  <c r="AL40" i="67"/>
  <c r="AM40" i="67"/>
  <c r="AN40" i="67"/>
  <c r="AO40" i="67"/>
  <c r="AP40" i="67"/>
  <c r="AQ40" i="67"/>
  <c r="AR40" i="67"/>
  <c r="AS40" i="67"/>
  <c r="AT40" i="67"/>
  <c r="AU40" i="67"/>
  <c r="AV40" i="67"/>
  <c r="AW40" i="67"/>
  <c r="AX40" i="67"/>
  <c r="AY40" i="67"/>
  <c r="AZ40" i="67"/>
  <c r="BA40" i="67"/>
  <c r="BB40" i="67"/>
  <c r="BC40" i="67"/>
  <c r="BD40" i="67"/>
  <c r="BE40" i="67"/>
  <c r="BF40" i="67"/>
  <c r="BG40" i="67"/>
  <c r="BH40" i="67"/>
  <c r="BI40" i="67"/>
  <c r="BJ40" i="67"/>
  <c r="BK40" i="67"/>
  <c r="BL40" i="67"/>
  <c r="BM40" i="67"/>
  <c r="BN40" i="67"/>
  <c r="BO40" i="67"/>
  <c r="BP40" i="67"/>
  <c r="BQ40" i="67"/>
  <c r="BR40" i="67"/>
  <c r="BS40" i="67"/>
  <c r="BT40" i="67"/>
  <c r="C41" i="67"/>
  <c r="D41" i="67"/>
  <c r="E41" i="67"/>
  <c r="F41" i="67"/>
  <c r="G41" i="67"/>
  <c r="H41" i="67"/>
  <c r="I41" i="67"/>
  <c r="J41" i="67"/>
  <c r="K41" i="67"/>
  <c r="L41" i="67"/>
  <c r="M41" i="67"/>
  <c r="N41" i="67"/>
  <c r="O41" i="67"/>
  <c r="P41" i="67"/>
  <c r="Q41" i="67"/>
  <c r="R41" i="67"/>
  <c r="S41" i="67"/>
  <c r="T41" i="67"/>
  <c r="U41" i="67"/>
  <c r="V41" i="67"/>
  <c r="W41" i="67"/>
  <c r="X41" i="67"/>
  <c r="Y41" i="67"/>
  <c r="Z41" i="67"/>
  <c r="AA41" i="67"/>
  <c r="AB41" i="67"/>
  <c r="AC41" i="67"/>
  <c r="AD41" i="67"/>
  <c r="AE41" i="67"/>
  <c r="AF41" i="67"/>
  <c r="AG41" i="67"/>
  <c r="AH41" i="67"/>
  <c r="AI41" i="67"/>
  <c r="AJ41" i="67"/>
  <c r="AK41" i="67"/>
  <c r="AL41" i="67"/>
  <c r="AM41" i="67"/>
  <c r="AN41" i="67"/>
  <c r="AO41" i="67"/>
  <c r="AP41" i="67"/>
  <c r="AQ41" i="67"/>
  <c r="AR41" i="67"/>
  <c r="AS41" i="67"/>
  <c r="AT41" i="67"/>
  <c r="AU41" i="67"/>
  <c r="AV41" i="67"/>
  <c r="AW41" i="67"/>
  <c r="AX41" i="67"/>
  <c r="AY41" i="67"/>
  <c r="AZ41" i="67"/>
  <c r="BA41" i="67"/>
  <c r="BB41" i="67"/>
  <c r="BC41" i="67"/>
  <c r="BD41" i="67"/>
  <c r="BE41" i="67"/>
  <c r="BF41" i="67"/>
  <c r="BG41" i="67"/>
  <c r="BH41" i="67"/>
  <c r="BI41" i="67"/>
  <c r="BJ41" i="67"/>
  <c r="BK41" i="67"/>
  <c r="BL41" i="67"/>
  <c r="BM41" i="67"/>
  <c r="BN41" i="67"/>
  <c r="BO41" i="67"/>
  <c r="BP41" i="67"/>
  <c r="BQ41" i="67"/>
  <c r="BR41" i="67"/>
  <c r="BS41" i="67"/>
  <c r="BT41" i="67"/>
  <c r="C42" i="67"/>
  <c r="D42" i="67"/>
  <c r="E42" i="67"/>
  <c r="F42" i="67"/>
  <c r="G42" i="67"/>
  <c r="H42" i="67"/>
  <c r="I42" i="67"/>
  <c r="J42" i="67"/>
  <c r="K42" i="67"/>
  <c r="L42" i="67"/>
  <c r="M42" i="67"/>
  <c r="N42" i="67"/>
  <c r="O42" i="67"/>
  <c r="P42" i="67"/>
  <c r="Q42" i="67"/>
  <c r="R42" i="67"/>
  <c r="S42" i="67"/>
  <c r="T42" i="67"/>
  <c r="U42" i="67"/>
  <c r="V42" i="67"/>
  <c r="W42" i="67"/>
  <c r="X42" i="67"/>
  <c r="Y42" i="67"/>
  <c r="Z42" i="67"/>
  <c r="AA42" i="67"/>
  <c r="AB42" i="67"/>
  <c r="AC42" i="67"/>
  <c r="AD42" i="67"/>
  <c r="AE42" i="67"/>
  <c r="AF42" i="67"/>
  <c r="AG42" i="67"/>
  <c r="AH42" i="67"/>
  <c r="AI42" i="67"/>
  <c r="AJ42" i="67"/>
  <c r="AK42" i="67"/>
  <c r="AL42" i="67"/>
  <c r="AM42" i="67"/>
  <c r="AN42" i="67"/>
  <c r="AO42" i="67"/>
  <c r="AP42" i="67"/>
  <c r="AQ42" i="67"/>
  <c r="AR42" i="67"/>
  <c r="AS42" i="67"/>
  <c r="AT42" i="67"/>
  <c r="AU42" i="67"/>
  <c r="AV42" i="67"/>
  <c r="AW42" i="67"/>
  <c r="AX42" i="67"/>
  <c r="AY42" i="67"/>
  <c r="AZ42" i="67"/>
  <c r="BA42" i="67"/>
  <c r="BB42" i="67"/>
  <c r="BC42" i="67"/>
  <c r="BD42" i="67"/>
  <c r="BE42" i="67"/>
  <c r="BF42" i="67"/>
  <c r="BG42" i="67"/>
  <c r="BH42" i="67"/>
  <c r="BI42" i="67"/>
  <c r="BJ42" i="67"/>
  <c r="BK42" i="67"/>
  <c r="BL42" i="67"/>
  <c r="BM42" i="67"/>
  <c r="BN42" i="67"/>
  <c r="BO42" i="67"/>
  <c r="BP42" i="67"/>
  <c r="BQ42" i="67"/>
  <c r="BR42" i="67"/>
  <c r="BS42" i="67"/>
  <c r="BT42" i="67"/>
  <c r="C43" i="67"/>
  <c r="D43" i="67"/>
  <c r="E43" i="67"/>
  <c r="F43" i="67"/>
  <c r="G43" i="67"/>
  <c r="H43" i="67"/>
  <c r="I43" i="67"/>
  <c r="J43" i="67"/>
  <c r="K43" i="67"/>
  <c r="L43" i="67"/>
  <c r="M43" i="67"/>
  <c r="N43" i="67"/>
  <c r="O43" i="67"/>
  <c r="P43" i="67"/>
  <c r="Q43" i="67"/>
  <c r="R43" i="67"/>
  <c r="S43" i="67"/>
  <c r="T43" i="67"/>
  <c r="U43" i="67"/>
  <c r="V43" i="67"/>
  <c r="W43" i="67"/>
  <c r="X43" i="67"/>
  <c r="Y43" i="67"/>
  <c r="Z43" i="67"/>
  <c r="AA43" i="67"/>
  <c r="AB43" i="67"/>
  <c r="AC43" i="67"/>
  <c r="AD43" i="67"/>
  <c r="AE43" i="67"/>
  <c r="AF43" i="67"/>
  <c r="AG43" i="67"/>
  <c r="AH43" i="67"/>
  <c r="AI43" i="67"/>
  <c r="AJ43" i="67"/>
  <c r="AK43" i="67"/>
  <c r="AL43" i="67"/>
  <c r="AM43" i="67"/>
  <c r="AN43" i="67"/>
  <c r="AO43" i="67"/>
  <c r="AP43" i="67"/>
  <c r="AQ43" i="67"/>
  <c r="AR43" i="67"/>
  <c r="AS43" i="67"/>
  <c r="AT43" i="67"/>
  <c r="AU43" i="67"/>
  <c r="AV43" i="67"/>
  <c r="AW43" i="67"/>
  <c r="AX43" i="67"/>
  <c r="AY43" i="67"/>
  <c r="AZ43" i="67"/>
  <c r="BA43" i="67"/>
  <c r="BB43" i="67"/>
  <c r="BC43" i="67"/>
  <c r="BD43" i="67"/>
  <c r="BE43" i="67"/>
  <c r="BF43" i="67"/>
  <c r="BG43" i="67"/>
  <c r="BH43" i="67"/>
  <c r="BI43" i="67"/>
  <c r="BJ43" i="67"/>
  <c r="BK43" i="67"/>
  <c r="BL43" i="67"/>
  <c r="BM43" i="67"/>
  <c r="BN43" i="67"/>
  <c r="BO43" i="67"/>
  <c r="BP43" i="67"/>
  <c r="BQ43" i="67"/>
  <c r="BR43" i="67"/>
  <c r="BS43" i="67"/>
  <c r="BT43" i="67"/>
  <c r="C44" i="67"/>
  <c r="D44" i="67"/>
  <c r="E44" i="67"/>
  <c r="F44" i="67"/>
  <c r="G44" i="67"/>
  <c r="H44" i="67"/>
  <c r="I44" i="67"/>
  <c r="J44" i="67"/>
  <c r="K44" i="67"/>
  <c r="L44" i="67"/>
  <c r="M44" i="67"/>
  <c r="N44" i="67"/>
  <c r="O44" i="67"/>
  <c r="P44" i="67"/>
  <c r="Q44" i="67"/>
  <c r="R44" i="67"/>
  <c r="S44" i="67"/>
  <c r="T44" i="67"/>
  <c r="U44" i="67"/>
  <c r="V44" i="67"/>
  <c r="W44" i="67"/>
  <c r="X44" i="67"/>
  <c r="Y44" i="67"/>
  <c r="Z44" i="67"/>
  <c r="AA44" i="67"/>
  <c r="AB44" i="67"/>
  <c r="AC44" i="67"/>
  <c r="AD44" i="67"/>
  <c r="AE44" i="67"/>
  <c r="AF44" i="67"/>
  <c r="AG44" i="67"/>
  <c r="AH44" i="67"/>
  <c r="AI44" i="67"/>
  <c r="AJ44" i="67"/>
  <c r="AK44" i="67"/>
  <c r="AL44" i="67"/>
  <c r="AM44" i="67"/>
  <c r="AN44" i="67"/>
  <c r="AO44" i="67"/>
  <c r="AP44" i="67"/>
  <c r="AQ44" i="67"/>
  <c r="AR44" i="67"/>
  <c r="AS44" i="67"/>
  <c r="AT44" i="67"/>
  <c r="AU44" i="67"/>
  <c r="AV44" i="67"/>
  <c r="AW44" i="67"/>
  <c r="AX44" i="67"/>
  <c r="AY44" i="67"/>
  <c r="AZ44" i="67"/>
  <c r="BA44" i="67"/>
  <c r="BB44" i="67"/>
  <c r="BC44" i="67"/>
  <c r="BD44" i="67"/>
  <c r="BE44" i="67"/>
  <c r="BF44" i="67"/>
  <c r="BG44" i="67"/>
  <c r="BH44" i="67"/>
  <c r="BI44" i="67"/>
  <c r="BJ44" i="67"/>
  <c r="BK44" i="67"/>
  <c r="BL44" i="67"/>
  <c r="BM44" i="67"/>
  <c r="BN44" i="67"/>
  <c r="BO44" i="67"/>
  <c r="BP44" i="67"/>
  <c r="BQ44" i="67"/>
  <c r="BR44" i="67"/>
  <c r="BS44" i="67"/>
  <c r="BT44" i="67"/>
  <c r="C45" i="67"/>
  <c r="D45" i="67"/>
  <c r="E45" i="67"/>
  <c r="F45" i="67"/>
  <c r="G45" i="67"/>
  <c r="H45" i="67"/>
  <c r="I45" i="67"/>
  <c r="J45" i="67"/>
  <c r="K45" i="67"/>
  <c r="L45" i="67"/>
  <c r="M45" i="67"/>
  <c r="N45" i="67"/>
  <c r="O45" i="67"/>
  <c r="P45" i="67"/>
  <c r="Q45" i="67"/>
  <c r="R45" i="67"/>
  <c r="S45" i="67"/>
  <c r="T45" i="67"/>
  <c r="U45" i="67"/>
  <c r="V45" i="67"/>
  <c r="W45" i="67"/>
  <c r="X45" i="67"/>
  <c r="Y45" i="67"/>
  <c r="Z45" i="67"/>
  <c r="AA45" i="67"/>
  <c r="AB45" i="67"/>
  <c r="AC45" i="67"/>
  <c r="AD45" i="67"/>
  <c r="AE45" i="67"/>
  <c r="AF45" i="67"/>
  <c r="AG45" i="67"/>
  <c r="AH45" i="67"/>
  <c r="AI45" i="67"/>
  <c r="AJ45" i="67"/>
  <c r="AK45" i="67"/>
  <c r="AL45" i="67"/>
  <c r="AM45" i="67"/>
  <c r="AN45" i="67"/>
  <c r="AO45" i="67"/>
  <c r="AP45" i="67"/>
  <c r="AQ45" i="67"/>
  <c r="AR45" i="67"/>
  <c r="AS45" i="67"/>
  <c r="AT45" i="67"/>
  <c r="AU45" i="67"/>
  <c r="AV45" i="67"/>
  <c r="AW45" i="67"/>
  <c r="AX45" i="67"/>
  <c r="AY45" i="67"/>
  <c r="AZ45" i="67"/>
  <c r="BA45" i="67"/>
  <c r="BB45" i="67"/>
  <c r="BC45" i="67"/>
  <c r="BD45" i="67"/>
  <c r="BE45" i="67"/>
  <c r="BF45" i="67"/>
  <c r="BG45" i="67"/>
  <c r="BH45" i="67"/>
  <c r="BI45" i="67"/>
  <c r="BJ45" i="67"/>
  <c r="BK45" i="67"/>
  <c r="BL45" i="67"/>
  <c r="BM45" i="67"/>
  <c r="BN45" i="67"/>
  <c r="BO45" i="67"/>
  <c r="BP45" i="67"/>
  <c r="BQ45" i="67"/>
  <c r="BR45" i="67"/>
  <c r="BS45" i="67"/>
  <c r="BT45" i="67"/>
  <c r="C46" i="67"/>
  <c r="D46" i="67"/>
  <c r="E46" i="67"/>
  <c r="F46" i="67"/>
  <c r="G46" i="67"/>
  <c r="H46" i="67"/>
  <c r="I46" i="67"/>
  <c r="J46" i="67"/>
  <c r="K46" i="67"/>
  <c r="L46" i="67"/>
  <c r="M46" i="67"/>
  <c r="N46" i="67"/>
  <c r="O46" i="67"/>
  <c r="P46" i="67"/>
  <c r="Q46" i="67"/>
  <c r="R46" i="67"/>
  <c r="S46" i="67"/>
  <c r="T46" i="67"/>
  <c r="U46" i="67"/>
  <c r="V46" i="67"/>
  <c r="W46" i="67"/>
  <c r="X46" i="67"/>
  <c r="Y46" i="67"/>
  <c r="Z46" i="67"/>
  <c r="AA46" i="67"/>
  <c r="AB46" i="67"/>
  <c r="AC46" i="67"/>
  <c r="AD46" i="67"/>
  <c r="AE46" i="67"/>
  <c r="AF46" i="67"/>
  <c r="AG46" i="67"/>
  <c r="AH46" i="67"/>
  <c r="AI46" i="67"/>
  <c r="AJ46" i="67"/>
  <c r="AK46" i="67"/>
  <c r="AL46" i="67"/>
  <c r="AM46" i="67"/>
  <c r="AN46" i="67"/>
  <c r="AO46" i="67"/>
  <c r="AP46" i="67"/>
  <c r="AQ46" i="67"/>
  <c r="AR46" i="67"/>
  <c r="AS46" i="67"/>
  <c r="AT46" i="67"/>
  <c r="AU46" i="67"/>
  <c r="AV46" i="67"/>
  <c r="AW46" i="67"/>
  <c r="AX46" i="67"/>
  <c r="AY46" i="67"/>
  <c r="AZ46" i="67"/>
  <c r="BA46" i="67"/>
  <c r="BB46" i="67"/>
  <c r="BC46" i="67"/>
  <c r="BD46" i="67"/>
  <c r="BE46" i="67"/>
  <c r="BF46" i="67"/>
  <c r="BG46" i="67"/>
  <c r="BH46" i="67"/>
  <c r="BI46" i="67"/>
  <c r="BJ46" i="67"/>
  <c r="BK46" i="67"/>
  <c r="BL46" i="67"/>
  <c r="BM46" i="67"/>
  <c r="BN46" i="67"/>
  <c r="BO46" i="67"/>
  <c r="BP46" i="67"/>
  <c r="BQ46" i="67"/>
  <c r="BR46" i="67"/>
  <c r="BS46" i="67"/>
  <c r="BT46" i="67"/>
  <c r="C9" i="36"/>
  <c r="D9" i="36"/>
  <c r="E9" i="36"/>
  <c r="F9" i="36"/>
  <c r="G9" i="36"/>
  <c r="H9" i="36"/>
  <c r="I9" i="36"/>
  <c r="J9" i="36"/>
  <c r="K9" i="36"/>
  <c r="L9" i="36"/>
  <c r="M9" i="36"/>
  <c r="C10" i="36"/>
  <c r="D10" i="36"/>
  <c r="E10" i="36"/>
  <c r="F10" i="36"/>
  <c r="G10" i="36"/>
  <c r="H10" i="36"/>
  <c r="I10" i="36"/>
  <c r="J10" i="36"/>
  <c r="K10" i="36"/>
  <c r="L10" i="36"/>
  <c r="M10" i="36"/>
  <c r="C11" i="36"/>
  <c r="D11" i="36"/>
  <c r="E11" i="36"/>
  <c r="F11" i="36"/>
  <c r="G11" i="36"/>
  <c r="H11" i="36"/>
  <c r="I11" i="36"/>
  <c r="J11" i="36"/>
  <c r="K11" i="36"/>
  <c r="L11" i="36"/>
  <c r="M11" i="36"/>
  <c r="C12" i="36"/>
  <c r="D12" i="36"/>
  <c r="E12" i="36"/>
  <c r="F12" i="36"/>
  <c r="G12" i="36"/>
  <c r="H12" i="36"/>
  <c r="I12" i="36"/>
  <c r="J12" i="36"/>
  <c r="K12" i="36"/>
  <c r="L12" i="36"/>
  <c r="M12" i="36"/>
  <c r="BR14" i="36"/>
  <c r="F17" i="36"/>
  <c r="G17" i="36"/>
  <c r="C28" i="36"/>
  <c r="D28" i="36"/>
  <c r="E28" i="36"/>
  <c r="F28" i="36"/>
  <c r="G28" i="36"/>
  <c r="H28" i="36"/>
  <c r="I28" i="36"/>
  <c r="J28" i="36"/>
  <c r="K28" i="36"/>
  <c r="L28" i="36"/>
  <c r="M28" i="36"/>
  <c r="C29" i="36"/>
  <c r="D29" i="36"/>
  <c r="E29" i="36"/>
  <c r="F29" i="36"/>
  <c r="G29" i="36"/>
  <c r="H29" i="36"/>
  <c r="I29" i="36"/>
  <c r="J29" i="36"/>
  <c r="K29" i="36"/>
  <c r="L29" i="36"/>
  <c r="M29" i="36"/>
  <c r="C30" i="36"/>
  <c r="D30" i="36"/>
  <c r="E30" i="36"/>
  <c r="F30" i="36"/>
  <c r="G30" i="36"/>
  <c r="H30" i="36"/>
  <c r="I30" i="36"/>
  <c r="J30" i="36"/>
  <c r="K30" i="36"/>
  <c r="L30" i="36"/>
  <c r="M30" i="36"/>
  <c r="C31" i="36"/>
  <c r="D31" i="36"/>
  <c r="E31" i="36"/>
  <c r="F31" i="36"/>
  <c r="G31" i="36"/>
  <c r="H31" i="36"/>
  <c r="I31" i="36"/>
  <c r="J31" i="36"/>
  <c r="K31" i="36"/>
  <c r="L31" i="36"/>
  <c r="M31" i="36"/>
  <c r="C32" i="36"/>
  <c r="D32" i="36"/>
  <c r="E32" i="36"/>
  <c r="F32" i="36"/>
  <c r="G32" i="36"/>
  <c r="H32" i="36"/>
  <c r="I32" i="36"/>
  <c r="J32" i="36"/>
  <c r="K32" i="36"/>
  <c r="L32" i="36"/>
  <c r="M32" i="36"/>
  <c r="C33" i="36"/>
  <c r="D33" i="36"/>
  <c r="E33" i="36"/>
  <c r="F33" i="36"/>
  <c r="G33" i="36"/>
  <c r="H33" i="36"/>
  <c r="I33" i="36"/>
  <c r="J33" i="36"/>
  <c r="K33" i="36"/>
  <c r="L33" i="36"/>
  <c r="M33" i="36"/>
  <c r="C34" i="36"/>
  <c r="D34" i="36"/>
  <c r="E34" i="36"/>
  <c r="F34" i="36"/>
  <c r="G34" i="36"/>
  <c r="H34" i="36"/>
  <c r="I34" i="36"/>
  <c r="J34" i="36"/>
  <c r="K34" i="36"/>
  <c r="L34" i="36"/>
  <c r="M34" i="36"/>
  <c r="C35" i="36"/>
  <c r="D35" i="36"/>
  <c r="E35" i="36"/>
  <c r="F35" i="36"/>
  <c r="G35" i="36"/>
  <c r="H35" i="36"/>
  <c r="I35" i="36"/>
  <c r="J35" i="36"/>
  <c r="K35" i="36"/>
  <c r="L35" i="36"/>
  <c r="M35" i="36"/>
  <c r="C36" i="36"/>
  <c r="D36" i="36"/>
  <c r="E36" i="36"/>
  <c r="F36" i="36"/>
  <c r="G36" i="36"/>
  <c r="H36" i="36"/>
  <c r="I36" i="36"/>
  <c r="J36" i="36"/>
  <c r="K36" i="36"/>
  <c r="L36" i="36"/>
  <c r="M36" i="36"/>
  <c r="C37" i="36"/>
  <c r="D37" i="36"/>
  <c r="E37" i="36"/>
  <c r="F37" i="36"/>
  <c r="G37" i="36"/>
  <c r="H37" i="36"/>
  <c r="I37" i="36"/>
  <c r="J37" i="36"/>
  <c r="K37" i="36"/>
  <c r="L37" i="36"/>
  <c r="M37" i="36"/>
  <c r="C38" i="36"/>
  <c r="D38" i="36"/>
  <c r="E38" i="36"/>
  <c r="F38" i="36"/>
  <c r="G38" i="36"/>
  <c r="H38" i="36"/>
  <c r="I38" i="36"/>
  <c r="J38" i="36"/>
  <c r="K38" i="36"/>
  <c r="L38" i="36"/>
  <c r="M38" i="36"/>
  <c r="C40" i="36"/>
  <c r="D40" i="36"/>
  <c r="E40" i="36"/>
  <c r="F40" i="36"/>
  <c r="G40" i="36"/>
  <c r="H40" i="36"/>
  <c r="I40" i="36"/>
  <c r="J40" i="36"/>
  <c r="K40" i="36"/>
  <c r="L40" i="36"/>
  <c r="M40" i="36"/>
  <c r="C41" i="36"/>
  <c r="D41" i="36"/>
  <c r="E41" i="36"/>
  <c r="F41" i="36"/>
  <c r="G41" i="36"/>
  <c r="H41" i="36"/>
  <c r="I41" i="36"/>
  <c r="J41" i="36"/>
  <c r="K41" i="36"/>
  <c r="L41" i="36"/>
  <c r="M41" i="36"/>
  <c r="C42" i="36"/>
  <c r="D42" i="36"/>
  <c r="E42" i="36"/>
  <c r="F42" i="36"/>
  <c r="G42" i="36"/>
  <c r="H42" i="36"/>
  <c r="I42" i="36"/>
  <c r="J42" i="36"/>
  <c r="K42" i="36"/>
  <c r="L42" i="36"/>
  <c r="M42" i="36"/>
  <c r="C43" i="36"/>
  <c r="D43" i="36"/>
  <c r="E43" i="36"/>
  <c r="F43" i="36"/>
  <c r="G43" i="36"/>
  <c r="H43" i="36"/>
  <c r="I43" i="36"/>
  <c r="J43" i="36"/>
  <c r="K43" i="36"/>
  <c r="L43" i="36"/>
  <c r="M43" i="36"/>
  <c r="C44" i="36"/>
  <c r="D44" i="36"/>
  <c r="E44" i="36"/>
  <c r="F44" i="36"/>
  <c r="G44" i="36"/>
  <c r="H44" i="36"/>
  <c r="I44" i="36"/>
  <c r="J44" i="36"/>
  <c r="K44" i="36"/>
  <c r="L44" i="36"/>
  <c r="M44" i="36"/>
  <c r="C45" i="36"/>
  <c r="D45" i="36"/>
  <c r="E45" i="36"/>
  <c r="F45" i="36"/>
  <c r="G45" i="36"/>
  <c r="H45" i="36"/>
  <c r="I45" i="36"/>
  <c r="J45" i="36"/>
  <c r="K45" i="36"/>
  <c r="L45" i="36"/>
  <c r="M45" i="36"/>
  <c r="C46" i="36"/>
  <c r="D46" i="36"/>
  <c r="E46" i="36"/>
  <c r="F46" i="36"/>
  <c r="G46" i="36"/>
  <c r="H46" i="36"/>
  <c r="I46" i="36"/>
  <c r="J46" i="36"/>
  <c r="K46" i="36"/>
  <c r="L46" i="36"/>
  <c r="M46" i="36"/>
  <c r="C47" i="36"/>
  <c r="D47" i="36"/>
  <c r="E47" i="36"/>
  <c r="F47" i="36"/>
  <c r="G47" i="36"/>
  <c r="H47" i="36"/>
  <c r="I47" i="36"/>
  <c r="J47" i="36"/>
  <c r="K47" i="36"/>
  <c r="L47" i="36"/>
  <c r="M47" i="36"/>
  <c r="C48" i="36"/>
  <c r="D48" i="36"/>
  <c r="E48" i="36"/>
  <c r="F48" i="36"/>
  <c r="G48" i="36"/>
  <c r="H48" i="36"/>
  <c r="I48" i="36"/>
  <c r="J48" i="36"/>
  <c r="K48" i="36"/>
  <c r="L48" i="36"/>
  <c r="M48" i="36"/>
  <c r="C49" i="36"/>
  <c r="D49" i="36"/>
  <c r="E49" i="36"/>
  <c r="F49" i="36"/>
  <c r="G49" i="36"/>
  <c r="H49" i="36"/>
  <c r="I49" i="36"/>
  <c r="J49" i="36"/>
  <c r="K49" i="36"/>
  <c r="L49" i="36"/>
  <c r="M49" i="36"/>
  <c r="C50" i="36"/>
  <c r="D50" i="36"/>
  <c r="E50" i="36"/>
  <c r="F50" i="36"/>
  <c r="G50" i="36"/>
  <c r="H50" i="36"/>
  <c r="I50" i="36"/>
  <c r="J50" i="36"/>
  <c r="K50" i="36"/>
  <c r="L50" i="36"/>
  <c r="M50" i="36"/>
  <c r="C52" i="36"/>
  <c r="D52" i="36"/>
  <c r="E52" i="36"/>
  <c r="F52" i="36"/>
  <c r="G52" i="36"/>
  <c r="H52" i="36"/>
  <c r="I52" i="36"/>
  <c r="J52" i="36"/>
  <c r="K52" i="36"/>
  <c r="L52" i="36"/>
  <c r="M52" i="36"/>
  <c r="C53" i="36"/>
  <c r="D53" i="36"/>
  <c r="E53" i="36"/>
  <c r="F53" i="36"/>
  <c r="G53" i="36"/>
  <c r="H53" i="36"/>
  <c r="I53" i="36"/>
  <c r="J53" i="36"/>
  <c r="K53" i="36"/>
  <c r="L53" i="36"/>
  <c r="M53" i="36"/>
  <c r="C54" i="36"/>
  <c r="D54" i="36"/>
  <c r="E54" i="36"/>
  <c r="F54" i="36"/>
  <c r="G54" i="36"/>
  <c r="H54" i="36"/>
  <c r="I54" i="36"/>
  <c r="J54" i="36"/>
  <c r="K54" i="36"/>
  <c r="L54" i="36"/>
  <c r="M54" i="36"/>
  <c r="C55" i="36"/>
  <c r="D55" i="36"/>
  <c r="E55" i="36"/>
  <c r="F55" i="36"/>
  <c r="G55" i="36"/>
  <c r="H55" i="36"/>
  <c r="I55" i="36"/>
  <c r="J55" i="36"/>
  <c r="K55" i="36"/>
  <c r="L55" i="36"/>
  <c r="M55" i="36"/>
  <c r="C56" i="36"/>
  <c r="D56" i="36"/>
  <c r="E56" i="36"/>
  <c r="F56" i="36"/>
  <c r="G56" i="36"/>
  <c r="H56" i="36"/>
  <c r="I56" i="36"/>
  <c r="J56" i="36"/>
  <c r="K56" i="36"/>
  <c r="L56" i="36"/>
  <c r="M56" i="36"/>
  <c r="C57" i="36"/>
  <c r="D57" i="36"/>
  <c r="E57" i="36"/>
  <c r="F57" i="36"/>
  <c r="G57" i="36"/>
  <c r="H57" i="36"/>
  <c r="I57" i="36"/>
  <c r="J57" i="36"/>
  <c r="K57" i="36"/>
  <c r="L57" i="36"/>
  <c r="M57" i="36"/>
  <c r="C58" i="36"/>
  <c r="D58" i="36"/>
  <c r="E58" i="36"/>
  <c r="F58" i="36"/>
  <c r="G58" i="36"/>
  <c r="H58" i="36"/>
  <c r="I58" i="36"/>
  <c r="J58" i="36"/>
  <c r="K58" i="36"/>
  <c r="L58" i="36"/>
  <c r="M58" i="36"/>
  <c r="C59" i="36"/>
  <c r="D59" i="36"/>
  <c r="E59" i="36"/>
  <c r="F59" i="36"/>
  <c r="G59" i="36"/>
  <c r="H59" i="36"/>
  <c r="I59" i="36"/>
  <c r="J59" i="36"/>
  <c r="K59" i="36"/>
  <c r="L59" i="36"/>
  <c r="M59" i="36"/>
  <c r="C60" i="36"/>
  <c r="D60" i="36"/>
  <c r="E60" i="36"/>
  <c r="F60" i="36"/>
  <c r="G60" i="36"/>
  <c r="H60" i="36"/>
  <c r="I60" i="36"/>
  <c r="J60" i="36"/>
  <c r="K60" i="36"/>
  <c r="L60" i="36"/>
  <c r="M60" i="36"/>
  <c r="C61" i="36"/>
  <c r="D61" i="36"/>
  <c r="E61" i="36"/>
  <c r="F61" i="36"/>
  <c r="G61" i="36"/>
  <c r="H61" i="36"/>
  <c r="I61" i="36"/>
  <c r="J61" i="36"/>
  <c r="K61" i="36"/>
  <c r="L61" i="36"/>
  <c r="M61" i="36"/>
  <c r="C62" i="36"/>
  <c r="D62" i="36"/>
  <c r="E62" i="36"/>
  <c r="F62" i="36"/>
  <c r="G62" i="36"/>
  <c r="H62" i="36"/>
  <c r="I62" i="36"/>
  <c r="J62" i="36"/>
  <c r="K62" i="36"/>
  <c r="L62" i="36"/>
  <c r="M62" i="36"/>
  <c r="C65" i="36"/>
  <c r="D65" i="36"/>
  <c r="E65" i="36"/>
  <c r="F65" i="36"/>
  <c r="G65" i="36"/>
  <c r="H65" i="36"/>
  <c r="I65" i="36"/>
  <c r="J65" i="36"/>
  <c r="K65" i="36"/>
  <c r="L65" i="36"/>
  <c r="M65" i="36"/>
  <c r="C66" i="36"/>
  <c r="D66" i="36"/>
  <c r="E66" i="36"/>
  <c r="F66" i="36"/>
  <c r="G66" i="36"/>
  <c r="H66" i="36"/>
  <c r="I66" i="36"/>
  <c r="J66" i="36"/>
  <c r="K66" i="36"/>
  <c r="L66" i="36"/>
  <c r="M66" i="36"/>
  <c r="C67" i="36"/>
  <c r="D67" i="36"/>
  <c r="E67" i="36"/>
  <c r="F67" i="36"/>
  <c r="G67" i="36"/>
  <c r="H67" i="36"/>
  <c r="I67" i="36"/>
  <c r="J67" i="36"/>
  <c r="K67" i="36"/>
  <c r="L67" i="36"/>
  <c r="M67" i="36"/>
  <c r="C68" i="36"/>
  <c r="D68" i="36"/>
  <c r="E68" i="36"/>
  <c r="F68" i="36"/>
  <c r="G68" i="36"/>
  <c r="H68" i="36"/>
  <c r="I68" i="36"/>
  <c r="J68" i="36"/>
  <c r="K68" i="36"/>
  <c r="L68" i="36"/>
  <c r="M68" i="36"/>
  <c r="C69" i="36"/>
  <c r="D69" i="36"/>
  <c r="E69" i="36"/>
  <c r="F69" i="36"/>
  <c r="G69" i="36"/>
  <c r="H69" i="36"/>
  <c r="I69" i="36"/>
  <c r="J69" i="36"/>
  <c r="K69" i="36"/>
  <c r="L69" i="36"/>
  <c r="M69" i="36"/>
  <c r="C70" i="36"/>
  <c r="D70" i="36"/>
  <c r="E70" i="36"/>
  <c r="F70" i="36"/>
  <c r="G70" i="36"/>
  <c r="H70" i="36"/>
  <c r="I70" i="36"/>
  <c r="J70" i="36"/>
  <c r="K70" i="36"/>
  <c r="L70" i="36"/>
  <c r="M70" i="36"/>
  <c r="C71" i="36"/>
  <c r="D71" i="36"/>
  <c r="E71" i="36"/>
  <c r="F71" i="36"/>
  <c r="G71" i="36"/>
  <c r="H71" i="36"/>
  <c r="I71" i="36"/>
  <c r="J71" i="36"/>
  <c r="K71" i="36"/>
  <c r="L71" i="36"/>
  <c r="M71" i="36"/>
  <c r="C72" i="36"/>
  <c r="D72" i="36"/>
  <c r="E72" i="36"/>
  <c r="F72" i="36"/>
  <c r="G72" i="36"/>
  <c r="H72" i="36"/>
  <c r="I72" i="36"/>
  <c r="J72" i="36"/>
  <c r="K72" i="36"/>
  <c r="L72" i="36"/>
  <c r="M72" i="36"/>
  <c r="C73" i="36"/>
  <c r="D73" i="36"/>
  <c r="E73" i="36"/>
  <c r="F73" i="36"/>
  <c r="G73" i="36"/>
  <c r="H73" i="36"/>
  <c r="I73" i="36"/>
  <c r="J73" i="36"/>
  <c r="K73" i="36"/>
  <c r="L73" i="36"/>
  <c r="M73" i="36"/>
  <c r="C74" i="36"/>
  <c r="D74" i="36"/>
  <c r="E74" i="36"/>
  <c r="F74" i="36"/>
  <c r="G74" i="36"/>
  <c r="H74" i="36"/>
  <c r="I74" i="36"/>
  <c r="J74" i="36"/>
  <c r="K74" i="36"/>
  <c r="L74" i="36"/>
  <c r="M74" i="36"/>
  <c r="C75" i="36"/>
  <c r="D75" i="36"/>
  <c r="E75" i="36"/>
  <c r="F75" i="36"/>
  <c r="G75" i="36"/>
  <c r="H75" i="36"/>
  <c r="I75" i="36"/>
  <c r="J75" i="36"/>
  <c r="K75" i="36"/>
  <c r="L75" i="36"/>
  <c r="M75" i="36"/>
  <c r="G81" i="36"/>
  <c r="C92" i="36"/>
  <c r="D92" i="36"/>
  <c r="E92" i="36"/>
  <c r="F92" i="36"/>
  <c r="G92" i="36"/>
  <c r="H92" i="36"/>
  <c r="I92" i="36"/>
  <c r="J92" i="36"/>
  <c r="K92" i="36"/>
  <c r="L92" i="36"/>
  <c r="M92" i="36"/>
  <c r="C93" i="36"/>
  <c r="D93" i="36"/>
  <c r="E93" i="36"/>
  <c r="F93" i="36"/>
  <c r="G93" i="36"/>
  <c r="H93" i="36"/>
  <c r="I93" i="36"/>
  <c r="J93" i="36"/>
  <c r="K93" i="36"/>
  <c r="L93" i="36"/>
  <c r="M93" i="36"/>
  <c r="C94" i="36"/>
  <c r="D94" i="36"/>
  <c r="E94" i="36"/>
  <c r="F94" i="36"/>
  <c r="G94" i="36"/>
  <c r="H94" i="36"/>
  <c r="I94" i="36"/>
  <c r="J94" i="36"/>
  <c r="K94" i="36"/>
  <c r="L94" i="36"/>
  <c r="M94" i="36"/>
  <c r="C95" i="36"/>
  <c r="D95" i="36"/>
  <c r="E95" i="36"/>
  <c r="F95" i="36"/>
  <c r="G95" i="36"/>
  <c r="H95" i="36"/>
  <c r="I95" i="36"/>
  <c r="J95" i="36"/>
  <c r="K95" i="36"/>
  <c r="L95" i="36"/>
  <c r="M95" i="36"/>
  <c r="C96" i="36"/>
  <c r="D96" i="36"/>
  <c r="E96" i="36"/>
  <c r="F96" i="36"/>
  <c r="G96" i="36"/>
  <c r="H96" i="36"/>
  <c r="I96" i="36"/>
  <c r="J96" i="36"/>
  <c r="K96" i="36"/>
  <c r="L96" i="36"/>
  <c r="M96" i="36"/>
  <c r="C98" i="36"/>
  <c r="D98" i="36"/>
  <c r="E98" i="36"/>
  <c r="F98" i="36"/>
  <c r="G98" i="36"/>
  <c r="H98" i="36"/>
  <c r="I98" i="36"/>
  <c r="J98" i="36"/>
  <c r="K98" i="36"/>
  <c r="L98" i="36"/>
  <c r="M98" i="36"/>
  <c r="C99" i="36"/>
  <c r="D99" i="36"/>
  <c r="E99" i="36"/>
  <c r="F99" i="36"/>
  <c r="G99" i="36"/>
  <c r="H99" i="36"/>
  <c r="I99" i="36"/>
  <c r="J99" i="36"/>
  <c r="K99" i="36"/>
  <c r="L99" i="36"/>
  <c r="M99" i="36"/>
  <c r="C100" i="36"/>
  <c r="D100" i="36"/>
  <c r="E100" i="36"/>
  <c r="F100" i="36"/>
  <c r="G100" i="36"/>
  <c r="H100" i="36"/>
  <c r="I100" i="36"/>
  <c r="J100" i="36"/>
  <c r="K100" i="36"/>
  <c r="L100" i="36"/>
  <c r="M100" i="36"/>
  <c r="C101" i="36"/>
  <c r="D101" i="36"/>
  <c r="E101" i="36"/>
  <c r="F101" i="36"/>
  <c r="G101" i="36"/>
  <c r="H101" i="36"/>
  <c r="I101" i="36"/>
  <c r="J101" i="36"/>
  <c r="K101" i="36"/>
  <c r="L101" i="36"/>
  <c r="M101" i="36"/>
  <c r="C102" i="36"/>
  <c r="D102" i="36"/>
  <c r="E102" i="36"/>
  <c r="F102" i="36"/>
  <c r="G102" i="36"/>
  <c r="H102" i="36"/>
  <c r="I102" i="36"/>
  <c r="J102" i="36"/>
  <c r="K102" i="36"/>
  <c r="L102" i="36"/>
  <c r="M102" i="36"/>
  <c r="C105" i="36"/>
  <c r="D105" i="36"/>
  <c r="E105" i="36"/>
  <c r="F105" i="36"/>
  <c r="G105" i="36"/>
  <c r="H105" i="36"/>
  <c r="I105" i="36"/>
  <c r="J105" i="36"/>
  <c r="K105" i="36"/>
  <c r="L105" i="36"/>
  <c r="M105" i="36"/>
  <c r="C106" i="36"/>
  <c r="D106" i="36"/>
  <c r="E106" i="36"/>
  <c r="F106" i="36"/>
  <c r="G106" i="36"/>
  <c r="H106" i="36"/>
  <c r="I106" i="36"/>
  <c r="J106" i="36"/>
  <c r="K106" i="36"/>
  <c r="L106" i="36"/>
  <c r="M106" i="36"/>
  <c r="C107" i="36"/>
  <c r="D107" i="36"/>
  <c r="E107" i="36"/>
  <c r="F107" i="36"/>
  <c r="G107" i="36"/>
  <c r="H107" i="36"/>
  <c r="I107" i="36"/>
  <c r="J107" i="36"/>
  <c r="K107" i="36"/>
  <c r="L107" i="36"/>
  <c r="M107" i="36"/>
  <c r="C108" i="36"/>
  <c r="D108" i="36"/>
  <c r="E108" i="36"/>
  <c r="F108" i="36"/>
  <c r="G108" i="36"/>
  <c r="H108" i="36"/>
  <c r="I108" i="36"/>
  <c r="J108" i="36"/>
  <c r="K108" i="36"/>
  <c r="L108" i="36"/>
  <c r="M108" i="36"/>
  <c r="C109" i="36"/>
  <c r="D109" i="36"/>
  <c r="E109" i="36"/>
  <c r="F109" i="36"/>
  <c r="G109" i="36"/>
  <c r="H109" i="36"/>
  <c r="I109" i="36"/>
  <c r="J109" i="36"/>
  <c r="K109" i="36"/>
  <c r="L109" i="36"/>
  <c r="M109" i="36"/>
  <c r="F116" i="36"/>
  <c r="G116" i="36"/>
  <c r="J2" i="49"/>
  <c r="S2" i="49"/>
  <c r="J3" i="49"/>
  <c r="AB3" i="49"/>
  <c r="AC3" i="49"/>
  <c r="B4" i="49"/>
  <c r="J4" i="49"/>
  <c r="N4" i="49"/>
  <c r="S4" i="49"/>
  <c r="X4" i="49"/>
  <c r="AB4" i="49"/>
  <c r="AC4" i="49"/>
  <c r="J5" i="49"/>
  <c r="N5" i="49"/>
  <c r="S5" i="49"/>
  <c r="X5" i="49"/>
  <c r="AB5" i="49"/>
  <c r="AC5" i="49"/>
  <c r="F6" i="49"/>
  <c r="AB6" i="49"/>
  <c r="AC6" i="49"/>
  <c r="AB7" i="49"/>
  <c r="AC7" i="49"/>
  <c r="J8" i="49"/>
  <c r="N8" i="49"/>
  <c r="AB8" i="49"/>
  <c r="AC8" i="49"/>
  <c r="X9" i="49"/>
  <c r="J10" i="49"/>
  <c r="X10" i="49"/>
  <c r="N11" i="49"/>
  <c r="X11" i="49"/>
  <c r="J12" i="49"/>
  <c r="X12" i="49"/>
  <c r="AB12" i="49"/>
  <c r="AC12" i="49"/>
  <c r="F13" i="49"/>
  <c r="J13" i="49"/>
  <c r="AB13" i="49"/>
  <c r="AC13" i="49"/>
  <c r="F14" i="49"/>
  <c r="X14" i="49"/>
  <c r="F15" i="49"/>
  <c r="AB15" i="49"/>
  <c r="AC15" i="49"/>
  <c r="AB16" i="49"/>
  <c r="AC16" i="49"/>
  <c r="X19" i="49"/>
  <c r="X20" i="49"/>
  <c r="X21" i="49"/>
  <c r="X22" i="49"/>
  <c r="B38" i="49"/>
  <c r="C38" i="49"/>
  <c r="D38" i="49"/>
  <c r="E38" i="49"/>
  <c r="F38" i="49"/>
  <c r="G38" i="49"/>
  <c r="H38" i="49"/>
  <c r="I38" i="49"/>
  <c r="J38" i="49"/>
  <c r="K38" i="49"/>
  <c r="L38" i="49"/>
  <c r="M38" i="49"/>
  <c r="N38" i="49"/>
  <c r="O38" i="49"/>
  <c r="P38" i="49"/>
  <c r="Q38" i="49"/>
  <c r="R38" i="49"/>
  <c r="S38" i="49"/>
  <c r="T38" i="49"/>
  <c r="U38" i="49"/>
  <c r="V38" i="49"/>
  <c r="W38" i="49"/>
  <c r="X38" i="49"/>
  <c r="Y38" i="49"/>
  <c r="Z38" i="49"/>
  <c r="AA38" i="49"/>
  <c r="AB38" i="49"/>
  <c r="AC38" i="49"/>
  <c r="AD38" i="49"/>
  <c r="AE38" i="49"/>
  <c r="AF38" i="49"/>
  <c r="AG38" i="49"/>
  <c r="AH38" i="49"/>
  <c r="AI38" i="49"/>
  <c r="AJ38" i="49"/>
  <c r="AK38" i="49"/>
  <c r="AL38" i="49"/>
  <c r="AM38" i="49"/>
  <c r="AN38" i="49"/>
  <c r="AO38" i="49"/>
  <c r="AP38" i="49"/>
  <c r="AQ38" i="49"/>
  <c r="AR38" i="49"/>
  <c r="AS38" i="49"/>
  <c r="AT38" i="49"/>
  <c r="AU38" i="49"/>
  <c r="AV38" i="49"/>
  <c r="AW38" i="49"/>
  <c r="AX38" i="49"/>
  <c r="AY38" i="49"/>
  <c r="AZ38" i="49"/>
  <c r="BA38" i="49"/>
  <c r="BB38" i="49"/>
  <c r="BC38" i="49"/>
  <c r="BD38" i="49"/>
  <c r="BE38" i="49"/>
  <c r="BF38" i="49"/>
  <c r="BG38" i="49"/>
  <c r="BH38" i="49"/>
  <c r="BI38" i="49"/>
  <c r="BJ38" i="49"/>
  <c r="BK38" i="49"/>
  <c r="BL38" i="49"/>
  <c r="BM38" i="49"/>
  <c r="BN38" i="49"/>
  <c r="BO38" i="49"/>
  <c r="BP38" i="49"/>
  <c r="BQ38" i="49"/>
  <c r="BR38" i="49"/>
  <c r="BS38" i="49"/>
  <c r="BT38" i="49"/>
  <c r="BU38" i="49"/>
  <c r="BV38" i="49"/>
  <c r="BW38" i="49"/>
  <c r="BX38" i="49"/>
  <c r="BY38" i="49"/>
  <c r="BZ38" i="49"/>
  <c r="CC38" i="49"/>
  <c r="CD38" i="49"/>
  <c r="CE38" i="49"/>
  <c r="CF38" i="49"/>
  <c r="CG38" i="49"/>
  <c r="CH38" i="49"/>
  <c r="CI38" i="49"/>
  <c r="CL38" i="49"/>
  <c r="CM38" i="49"/>
  <c r="CN38" i="49"/>
  <c r="CO38" i="49"/>
  <c r="CP38" i="49"/>
  <c r="CQ38" i="49"/>
  <c r="CR38" i="49"/>
  <c r="B40" i="49"/>
  <c r="C40" i="49"/>
  <c r="D40" i="49"/>
  <c r="E40" i="49"/>
  <c r="F40" i="49"/>
  <c r="G40" i="49"/>
  <c r="H40" i="49"/>
  <c r="I40" i="49"/>
  <c r="J40" i="49"/>
  <c r="K40" i="49"/>
  <c r="L40" i="49"/>
  <c r="M40" i="49"/>
  <c r="N40" i="49"/>
  <c r="O40" i="49"/>
  <c r="P40" i="49"/>
  <c r="Q40" i="49"/>
  <c r="R40" i="49"/>
  <c r="S40" i="49"/>
  <c r="T40" i="49"/>
  <c r="U40" i="49"/>
  <c r="V40" i="49"/>
  <c r="W40" i="49"/>
  <c r="X40" i="49"/>
  <c r="Y40" i="49"/>
  <c r="Z40" i="49"/>
  <c r="AA40" i="49"/>
  <c r="AB40" i="49"/>
  <c r="AC40" i="49"/>
  <c r="AD40" i="49"/>
  <c r="AE40" i="49"/>
  <c r="AF40" i="49"/>
  <c r="AG40" i="49"/>
  <c r="AH40" i="49"/>
  <c r="AI40" i="49"/>
  <c r="AJ40" i="49"/>
  <c r="AK40" i="49"/>
  <c r="AL40" i="49"/>
  <c r="AM40" i="49"/>
  <c r="AN40" i="49"/>
  <c r="AO40" i="49"/>
  <c r="AP40" i="49"/>
  <c r="AQ40" i="49"/>
  <c r="AR40" i="49"/>
  <c r="AS40" i="49"/>
  <c r="AT40" i="49"/>
  <c r="AU40" i="49"/>
  <c r="AV40" i="49"/>
  <c r="AW40" i="49"/>
  <c r="AX40" i="49"/>
  <c r="AY40" i="49"/>
  <c r="AZ40" i="49"/>
  <c r="BA40" i="49"/>
  <c r="BB40" i="49"/>
  <c r="BC40" i="49"/>
  <c r="BD40" i="49"/>
  <c r="BE40" i="49"/>
  <c r="BF40" i="49"/>
  <c r="BG40" i="49"/>
  <c r="BH40" i="49"/>
  <c r="BI40" i="49"/>
  <c r="BJ40" i="49"/>
  <c r="BK40" i="49"/>
  <c r="BL40" i="49"/>
  <c r="BM40" i="49"/>
  <c r="BN40" i="49"/>
  <c r="BO40" i="49"/>
  <c r="BP40" i="49"/>
  <c r="BQ40" i="49"/>
  <c r="BR40" i="49"/>
  <c r="BS40" i="49"/>
  <c r="BT40" i="49"/>
  <c r="BU40" i="49"/>
  <c r="BV40" i="49"/>
  <c r="BW40" i="49"/>
  <c r="BX40" i="49"/>
  <c r="BY40" i="49"/>
  <c r="BZ40" i="49"/>
  <c r="CC40" i="49"/>
  <c r="CD40" i="49"/>
  <c r="CE40" i="49"/>
  <c r="CF40" i="49"/>
  <c r="CG40" i="49"/>
  <c r="CH40" i="49"/>
  <c r="CI40" i="49"/>
  <c r="CL40" i="49"/>
  <c r="CM40" i="49"/>
  <c r="CN40" i="49"/>
  <c r="CO40" i="49"/>
  <c r="CP40" i="49"/>
  <c r="CQ40" i="49"/>
  <c r="CR40" i="49"/>
  <c r="B42" i="49"/>
  <c r="C42" i="49"/>
  <c r="D42" i="49"/>
  <c r="E42" i="49"/>
  <c r="F42" i="49"/>
  <c r="G42" i="49"/>
  <c r="H42" i="49"/>
  <c r="I42" i="49"/>
  <c r="J42" i="49"/>
  <c r="K42" i="49"/>
  <c r="L42" i="49"/>
  <c r="M42" i="49"/>
  <c r="N42" i="49"/>
  <c r="O42" i="49"/>
  <c r="P42" i="49"/>
  <c r="Q42" i="49"/>
  <c r="R42" i="49"/>
  <c r="S42" i="49"/>
  <c r="T42" i="49"/>
  <c r="U42" i="49"/>
  <c r="V42" i="49"/>
  <c r="W42" i="49"/>
  <c r="X42" i="49"/>
  <c r="Y42" i="49"/>
  <c r="Z42" i="49"/>
  <c r="AA42" i="49"/>
  <c r="AB42" i="49"/>
  <c r="AC42" i="49"/>
  <c r="AD42" i="49"/>
  <c r="AE42" i="49"/>
  <c r="AF42" i="49"/>
  <c r="AG42" i="49"/>
  <c r="AH42" i="49"/>
  <c r="AI42" i="49"/>
  <c r="AJ42" i="49"/>
  <c r="AK42" i="49"/>
  <c r="AL42" i="49"/>
  <c r="AM42" i="49"/>
  <c r="AN42" i="49"/>
  <c r="AO42" i="49"/>
  <c r="AP42" i="49"/>
  <c r="AQ42" i="49"/>
  <c r="AR42" i="49"/>
  <c r="AS42" i="49"/>
  <c r="AT42" i="49"/>
  <c r="AU42" i="49"/>
  <c r="AV42" i="49"/>
  <c r="AW42" i="49"/>
  <c r="AX42" i="49"/>
  <c r="AY42" i="49"/>
  <c r="AZ42" i="49"/>
  <c r="BA42" i="49"/>
  <c r="BB42" i="49"/>
  <c r="BC42" i="49"/>
  <c r="BD42" i="49"/>
  <c r="BE42" i="49"/>
  <c r="BF42" i="49"/>
  <c r="BG42" i="49"/>
  <c r="BH42" i="49"/>
  <c r="BI42" i="49"/>
  <c r="BJ42" i="49"/>
  <c r="BK42" i="49"/>
  <c r="BL42" i="49"/>
  <c r="BM42" i="49"/>
  <c r="BN42" i="49"/>
  <c r="BO42" i="49"/>
  <c r="BP42" i="49"/>
  <c r="BQ42" i="49"/>
  <c r="BR42" i="49"/>
  <c r="BS42" i="49"/>
  <c r="BT42" i="49"/>
  <c r="BU42" i="49"/>
  <c r="BV42" i="49"/>
  <c r="BW42" i="49"/>
  <c r="BX42" i="49"/>
  <c r="BY42" i="49"/>
  <c r="BZ42" i="49"/>
  <c r="CC42" i="49"/>
  <c r="CD42" i="49"/>
  <c r="CE42" i="49"/>
  <c r="CF42" i="49"/>
  <c r="CG42" i="49"/>
  <c r="CH42" i="49"/>
  <c r="CI42" i="49"/>
  <c r="CL42" i="49"/>
  <c r="CM42" i="49"/>
  <c r="CN42" i="49"/>
  <c r="CO42" i="49"/>
  <c r="CP42" i="49"/>
  <c r="CQ42" i="49"/>
  <c r="CR42" i="49"/>
  <c r="B43" i="49"/>
  <c r="C43" i="49"/>
  <c r="D43" i="49"/>
  <c r="E43" i="49"/>
  <c r="F43" i="49"/>
  <c r="G43" i="49"/>
  <c r="H43" i="49"/>
  <c r="I43" i="49"/>
  <c r="J43" i="49"/>
  <c r="K43" i="49"/>
  <c r="L43" i="49"/>
  <c r="M43" i="49"/>
  <c r="N43" i="49"/>
  <c r="O43" i="49"/>
  <c r="P43" i="49"/>
  <c r="Q43" i="49"/>
  <c r="R43" i="49"/>
  <c r="S43" i="49"/>
  <c r="T43" i="49"/>
  <c r="U43" i="49"/>
  <c r="V43" i="49"/>
  <c r="W43" i="49"/>
  <c r="X43" i="49"/>
  <c r="Y43" i="49"/>
  <c r="Z43" i="49"/>
  <c r="AA43" i="49"/>
  <c r="AB43" i="49"/>
  <c r="AC43" i="49"/>
  <c r="AD43" i="49"/>
  <c r="AE43" i="49"/>
  <c r="AF43" i="49"/>
  <c r="AG43" i="49"/>
  <c r="AH43" i="49"/>
  <c r="AI43" i="49"/>
  <c r="AJ43" i="49"/>
  <c r="AK43" i="49"/>
  <c r="AL43" i="49"/>
  <c r="AM43" i="49"/>
  <c r="AN43" i="49"/>
  <c r="AO43" i="49"/>
  <c r="AP43" i="49"/>
  <c r="AQ43" i="49"/>
  <c r="AR43" i="49"/>
  <c r="AS43" i="49"/>
  <c r="AT43" i="49"/>
  <c r="AU43" i="49"/>
  <c r="AV43" i="49"/>
  <c r="AW43" i="49"/>
  <c r="AX43" i="49"/>
  <c r="AY43" i="49"/>
  <c r="AZ43" i="49"/>
  <c r="BA43" i="49"/>
  <c r="BB43" i="49"/>
  <c r="BC43" i="49"/>
  <c r="BD43" i="49"/>
  <c r="BE43" i="49"/>
  <c r="BF43" i="49"/>
  <c r="BG43" i="49"/>
  <c r="BH43" i="49"/>
  <c r="BI43" i="49"/>
  <c r="BJ43" i="49"/>
  <c r="BK43" i="49"/>
  <c r="BL43" i="49"/>
  <c r="BM43" i="49"/>
  <c r="BN43" i="49"/>
  <c r="BO43" i="49"/>
  <c r="BP43" i="49"/>
  <c r="BQ43" i="49"/>
  <c r="BR43" i="49"/>
  <c r="BS43" i="49"/>
  <c r="BT43" i="49"/>
  <c r="BU43" i="49"/>
  <c r="BV43" i="49"/>
  <c r="BW43" i="49"/>
  <c r="BX43" i="49"/>
  <c r="BY43" i="49"/>
  <c r="BZ43" i="49"/>
  <c r="CC43" i="49"/>
  <c r="CD43" i="49"/>
  <c r="CE43" i="49"/>
  <c r="CF43" i="49"/>
  <c r="CG43" i="49"/>
  <c r="CH43" i="49"/>
  <c r="CI43" i="49"/>
  <c r="CL43" i="49"/>
  <c r="CM43" i="49"/>
  <c r="CN43" i="49"/>
  <c r="CO43" i="49"/>
  <c r="CP43" i="49"/>
  <c r="CQ43" i="49"/>
  <c r="CR43" i="49"/>
  <c r="B44" i="49"/>
  <c r="C44" i="49"/>
  <c r="D44" i="49"/>
  <c r="E44" i="49"/>
  <c r="F44" i="49"/>
  <c r="G44" i="49"/>
  <c r="H44" i="49"/>
  <c r="I44" i="49"/>
  <c r="J44" i="49"/>
  <c r="K44" i="49"/>
  <c r="L44" i="49"/>
  <c r="M44" i="49"/>
  <c r="N44" i="49"/>
  <c r="O44" i="49"/>
  <c r="P44" i="49"/>
  <c r="Q44" i="49"/>
  <c r="R44" i="49"/>
  <c r="S44" i="49"/>
  <c r="T44" i="49"/>
  <c r="U44" i="49"/>
  <c r="V44" i="49"/>
  <c r="W44" i="49"/>
  <c r="X44" i="49"/>
  <c r="Y44" i="49"/>
  <c r="Z44" i="49"/>
  <c r="AA44" i="49"/>
  <c r="AB44" i="49"/>
  <c r="AC44" i="49"/>
  <c r="AD44" i="49"/>
  <c r="AE44" i="49"/>
  <c r="AF44" i="49"/>
  <c r="AG44" i="49"/>
  <c r="AH44" i="49"/>
  <c r="AI44" i="49"/>
  <c r="AJ44" i="49"/>
  <c r="AK44" i="49"/>
  <c r="AL44" i="49"/>
  <c r="AM44" i="49"/>
  <c r="AN44" i="49"/>
  <c r="AO44" i="49"/>
  <c r="AP44" i="49"/>
  <c r="AQ44" i="49"/>
  <c r="AR44" i="49"/>
  <c r="AS44" i="49"/>
  <c r="AT44" i="49"/>
  <c r="AU44" i="49"/>
  <c r="AV44" i="49"/>
  <c r="AW44" i="49"/>
  <c r="AX44" i="49"/>
  <c r="AY44" i="49"/>
  <c r="AZ44" i="49"/>
  <c r="BA44" i="49"/>
  <c r="BB44" i="49"/>
  <c r="BC44" i="49"/>
  <c r="BD44" i="49"/>
  <c r="BE44" i="49"/>
  <c r="BF44" i="49"/>
  <c r="BG44" i="49"/>
  <c r="BH44" i="49"/>
  <c r="BI44" i="49"/>
  <c r="BJ44" i="49"/>
  <c r="BK44" i="49"/>
  <c r="BL44" i="49"/>
  <c r="BM44" i="49"/>
  <c r="BN44" i="49"/>
  <c r="BO44" i="49"/>
  <c r="BP44" i="49"/>
  <c r="BQ44" i="49"/>
  <c r="BR44" i="49"/>
  <c r="BS44" i="49"/>
  <c r="BT44" i="49"/>
  <c r="BU44" i="49"/>
  <c r="BV44" i="49"/>
  <c r="BW44" i="49"/>
  <c r="BX44" i="49"/>
  <c r="BY44" i="49"/>
  <c r="BZ44" i="49"/>
  <c r="CC44" i="49"/>
  <c r="CD44" i="49"/>
  <c r="CE44" i="49"/>
  <c r="CF44" i="49"/>
  <c r="CG44" i="49"/>
  <c r="CH44" i="49"/>
  <c r="CI44" i="49"/>
  <c r="CL44" i="49"/>
  <c r="CM44" i="49"/>
  <c r="CN44" i="49"/>
  <c r="CO44" i="49"/>
  <c r="CP44" i="49"/>
  <c r="CQ44" i="49"/>
  <c r="CR44" i="49"/>
  <c r="B52" i="49"/>
  <c r="C52" i="49"/>
  <c r="D52" i="49"/>
  <c r="E52" i="49"/>
  <c r="F52" i="49"/>
  <c r="G52" i="49"/>
  <c r="H52" i="49"/>
  <c r="I52" i="49"/>
  <c r="J52" i="49"/>
  <c r="K52" i="49"/>
  <c r="L52" i="49"/>
  <c r="M52" i="49"/>
  <c r="N52" i="49"/>
  <c r="O52" i="49"/>
  <c r="P52" i="49"/>
  <c r="Q52" i="49"/>
  <c r="R52" i="49"/>
  <c r="S52" i="49"/>
  <c r="T52" i="49"/>
  <c r="U52" i="49"/>
  <c r="V52" i="49"/>
  <c r="W52" i="49"/>
  <c r="X52" i="49"/>
  <c r="Y52" i="49"/>
  <c r="Z52" i="49"/>
  <c r="AA52" i="49"/>
  <c r="AB52" i="49"/>
  <c r="AC52" i="49"/>
  <c r="AD52" i="49"/>
  <c r="AE52" i="49"/>
  <c r="AF52" i="49"/>
  <c r="AG52" i="49"/>
  <c r="AH52" i="49"/>
  <c r="AI52" i="49"/>
  <c r="AJ52" i="49"/>
  <c r="AK52" i="49"/>
  <c r="AL52" i="49"/>
  <c r="AM52" i="49"/>
  <c r="AN52" i="49"/>
  <c r="AO52" i="49"/>
  <c r="AP52" i="49"/>
  <c r="AQ52" i="49"/>
  <c r="AR52" i="49"/>
  <c r="AS52" i="49"/>
  <c r="AT52" i="49"/>
  <c r="AU52" i="49"/>
  <c r="AV52" i="49"/>
  <c r="AW52" i="49"/>
  <c r="AX52" i="49"/>
  <c r="AY52" i="49"/>
  <c r="AZ52" i="49"/>
  <c r="BA52" i="49"/>
  <c r="BB52" i="49"/>
  <c r="BC52" i="49"/>
  <c r="BD52" i="49"/>
  <c r="BE52" i="49"/>
  <c r="BF52" i="49"/>
  <c r="BG52" i="49"/>
  <c r="BH52" i="49"/>
  <c r="BI52" i="49"/>
  <c r="BJ52" i="49"/>
  <c r="BK52" i="49"/>
  <c r="BL52" i="49"/>
  <c r="BM52" i="49"/>
  <c r="BN52" i="49"/>
  <c r="BO52" i="49"/>
  <c r="BP52" i="49"/>
  <c r="BQ52" i="49"/>
  <c r="BR52" i="49"/>
  <c r="BS52" i="49"/>
  <c r="BT52" i="49"/>
  <c r="BU52" i="49"/>
  <c r="BV52" i="49"/>
  <c r="BW52" i="49"/>
  <c r="BX52" i="49"/>
  <c r="BY52" i="49"/>
  <c r="BZ52" i="49"/>
  <c r="CA52" i="49"/>
  <c r="CB52" i="49"/>
  <c r="CC52" i="49"/>
  <c r="CD52" i="49"/>
  <c r="CE52" i="49"/>
  <c r="CF52" i="49"/>
  <c r="CG52" i="49"/>
  <c r="CH52" i="49"/>
  <c r="CI52" i="49"/>
  <c r="CJ52" i="49"/>
  <c r="CK52" i="49"/>
  <c r="CL52" i="49"/>
  <c r="CM52" i="49"/>
  <c r="CN52" i="49"/>
  <c r="CO52" i="49"/>
  <c r="CP52" i="49"/>
  <c r="CQ52" i="49"/>
  <c r="CR52" i="49"/>
  <c r="CS52" i="49"/>
  <c r="CT52" i="49"/>
  <c r="B53" i="49"/>
  <c r="C53" i="49"/>
  <c r="D53" i="49"/>
  <c r="E53" i="49"/>
  <c r="F53" i="49"/>
  <c r="G53" i="49"/>
  <c r="H53" i="49"/>
  <c r="I53" i="49"/>
  <c r="J53" i="49"/>
  <c r="K53" i="49"/>
  <c r="L53" i="49"/>
  <c r="M53" i="49"/>
  <c r="N53" i="49"/>
  <c r="O53" i="49"/>
  <c r="P53" i="49"/>
  <c r="Q53" i="49"/>
  <c r="R53" i="49"/>
  <c r="S53" i="49"/>
  <c r="T53" i="49"/>
  <c r="U53" i="49"/>
  <c r="V53" i="49"/>
  <c r="W53" i="49"/>
  <c r="X53" i="49"/>
  <c r="Y53" i="49"/>
  <c r="Z53" i="49"/>
  <c r="AA53" i="49"/>
  <c r="AB53" i="49"/>
  <c r="AC53" i="49"/>
  <c r="AD53" i="49"/>
  <c r="AE53" i="49"/>
  <c r="AF53" i="49"/>
  <c r="AG53" i="49"/>
  <c r="AH53" i="49"/>
  <c r="AI53" i="49"/>
  <c r="AJ53" i="49"/>
  <c r="AK53" i="49"/>
  <c r="AL53" i="49"/>
  <c r="AM53" i="49"/>
  <c r="AN53" i="49"/>
  <c r="AO53" i="49"/>
  <c r="AP53" i="49"/>
  <c r="AQ53" i="49"/>
  <c r="AR53" i="49"/>
  <c r="AS53" i="49"/>
  <c r="AT53" i="49"/>
  <c r="AU53" i="49"/>
  <c r="AV53" i="49"/>
  <c r="AW53" i="49"/>
  <c r="AX53" i="49"/>
  <c r="AY53" i="49"/>
  <c r="AZ53" i="49"/>
  <c r="BA53" i="49"/>
  <c r="BB53" i="49"/>
  <c r="BC53" i="49"/>
  <c r="BD53" i="49"/>
  <c r="BE53" i="49"/>
  <c r="BF53" i="49"/>
  <c r="BG53" i="49"/>
  <c r="BH53" i="49"/>
  <c r="BI53" i="49"/>
  <c r="BJ53" i="49"/>
  <c r="BK53" i="49"/>
  <c r="BL53" i="49"/>
  <c r="BM53" i="49"/>
  <c r="BN53" i="49"/>
  <c r="BO53" i="49"/>
  <c r="BP53" i="49"/>
  <c r="BQ53" i="49"/>
  <c r="BR53" i="49"/>
  <c r="BS53" i="49"/>
  <c r="BT53" i="49"/>
  <c r="BU53" i="49"/>
  <c r="BV53" i="49"/>
  <c r="BW53" i="49"/>
  <c r="BX53" i="49"/>
  <c r="BY53" i="49"/>
  <c r="BZ53" i="49"/>
  <c r="CA53" i="49"/>
  <c r="CB53" i="49"/>
  <c r="CC53" i="49"/>
  <c r="CD53" i="49"/>
  <c r="CE53" i="49"/>
  <c r="CF53" i="49"/>
  <c r="CG53" i="49"/>
  <c r="CH53" i="49"/>
  <c r="CI53" i="49"/>
  <c r="CJ53" i="49"/>
  <c r="CK53" i="49"/>
  <c r="CL53" i="49"/>
  <c r="CM53" i="49"/>
  <c r="CN53" i="49"/>
  <c r="CO53" i="49"/>
  <c r="CP53" i="49"/>
  <c r="CQ53" i="49"/>
  <c r="CR53" i="49"/>
  <c r="CS53" i="49"/>
  <c r="CT53" i="49"/>
  <c r="B54" i="49"/>
  <c r="C54" i="49"/>
  <c r="D54" i="49"/>
  <c r="E54" i="49"/>
  <c r="F54" i="49"/>
  <c r="G54" i="49"/>
  <c r="H54" i="49"/>
  <c r="I54" i="49"/>
  <c r="J54" i="49"/>
  <c r="K54" i="49"/>
  <c r="L54" i="49"/>
  <c r="M54" i="49"/>
  <c r="N54" i="49"/>
  <c r="O54" i="49"/>
  <c r="P54" i="49"/>
  <c r="Q54" i="49"/>
  <c r="R54" i="49"/>
  <c r="S54" i="49"/>
  <c r="T54" i="49"/>
  <c r="U54" i="49"/>
  <c r="V54" i="49"/>
  <c r="W54" i="49"/>
  <c r="X54" i="49"/>
  <c r="Y54" i="49"/>
  <c r="Z54" i="49"/>
  <c r="AA54" i="49"/>
  <c r="AB54" i="49"/>
  <c r="AC54" i="49"/>
  <c r="AD54" i="49"/>
  <c r="AE54" i="49"/>
  <c r="AF54" i="49"/>
  <c r="AG54" i="49"/>
  <c r="AH54" i="49"/>
  <c r="AI54" i="49"/>
  <c r="AJ54" i="49"/>
  <c r="AK54" i="49"/>
  <c r="AL54" i="49"/>
  <c r="AM54" i="49"/>
  <c r="AN54" i="49"/>
  <c r="AO54" i="49"/>
  <c r="AP54" i="49"/>
  <c r="AQ54" i="49"/>
  <c r="AR54" i="49"/>
  <c r="AS54" i="49"/>
  <c r="AT54" i="49"/>
  <c r="AU54" i="49"/>
  <c r="AV54" i="49"/>
  <c r="AW54" i="49"/>
  <c r="AX54" i="49"/>
  <c r="AY54" i="49"/>
  <c r="AZ54" i="49"/>
  <c r="BA54" i="49"/>
  <c r="BB54" i="49"/>
  <c r="BC54" i="49"/>
  <c r="BD54" i="49"/>
  <c r="BE54" i="49"/>
  <c r="BF54" i="49"/>
  <c r="BG54" i="49"/>
  <c r="BH54" i="49"/>
  <c r="BI54" i="49"/>
  <c r="BJ54" i="49"/>
  <c r="BK54" i="49"/>
  <c r="BL54" i="49"/>
  <c r="BM54" i="49"/>
  <c r="BN54" i="49"/>
  <c r="BO54" i="49"/>
  <c r="BP54" i="49"/>
  <c r="BQ54" i="49"/>
  <c r="BR54" i="49"/>
  <c r="BS54" i="49"/>
  <c r="BT54" i="49"/>
  <c r="BU54" i="49"/>
  <c r="BV54" i="49"/>
  <c r="BW54" i="49"/>
  <c r="BX54" i="49"/>
  <c r="BY54" i="49"/>
  <c r="BZ54" i="49"/>
  <c r="CA54" i="49"/>
  <c r="CB54" i="49"/>
  <c r="CC54" i="49"/>
  <c r="CD54" i="49"/>
  <c r="CE54" i="49"/>
  <c r="CF54" i="49"/>
  <c r="CG54" i="49"/>
  <c r="CH54" i="49"/>
  <c r="CI54" i="49"/>
  <c r="CJ54" i="49"/>
  <c r="CK54" i="49"/>
  <c r="CL54" i="49"/>
  <c r="CM54" i="49"/>
  <c r="CN54" i="49"/>
  <c r="CO54" i="49"/>
  <c r="CP54" i="49"/>
  <c r="CQ54" i="49"/>
  <c r="CR54" i="49"/>
  <c r="CS54" i="49"/>
  <c r="CT54" i="49"/>
  <c r="B93" i="49"/>
  <c r="B97" i="49"/>
  <c r="B110" i="49"/>
  <c r="B111" i="49"/>
  <c r="B112" i="49"/>
  <c r="B124" i="49"/>
  <c r="B125" i="49"/>
  <c r="B130" i="49"/>
  <c r="C130" i="49"/>
  <c r="D130" i="49"/>
  <c r="E130" i="49"/>
  <c r="F130" i="49"/>
  <c r="G130" i="49"/>
  <c r="H130" i="49"/>
  <c r="B131" i="49"/>
  <c r="C131" i="49"/>
  <c r="D131" i="49"/>
  <c r="E131" i="49"/>
  <c r="F131" i="49"/>
  <c r="G131" i="49"/>
  <c r="H131" i="49"/>
  <c r="B132" i="49"/>
  <c r="C132" i="49"/>
  <c r="D132" i="49"/>
  <c r="E132" i="49"/>
  <c r="F132" i="49"/>
  <c r="G132" i="49"/>
  <c r="H132" i="49"/>
  <c r="B134" i="49"/>
  <c r="C134" i="49"/>
  <c r="D134" i="49"/>
  <c r="E134" i="49"/>
  <c r="F134" i="49"/>
  <c r="G134" i="49"/>
  <c r="H134" i="49"/>
  <c r="B135" i="49"/>
  <c r="C135" i="49"/>
  <c r="D135" i="49"/>
  <c r="E135" i="49"/>
  <c r="F135" i="49"/>
  <c r="G135" i="49"/>
  <c r="H135" i="49"/>
  <c r="B138" i="49"/>
  <c r="C138" i="49"/>
  <c r="D138" i="49"/>
  <c r="E138" i="49"/>
  <c r="F138" i="49"/>
  <c r="G138" i="49"/>
  <c r="H138" i="49"/>
  <c r="B139" i="49"/>
  <c r="C139" i="49"/>
  <c r="D139" i="49"/>
  <c r="E139" i="49"/>
  <c r="F139" i="49"/>
  <c r="G139" i="49"/>
  <c r="H139" i="4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28" authorId="0" shapeId="0" xr:uid="{00000000-0006-0000-0300-000001000000}">
      <text>
        <r>
          <rPr>
            <sz val="9"/>
            <color rgb="FF000000"/>
            <rFont val="Segoe UI"/>
            <family val="2"/>
            <charset val="1"/>
          </rPr>
          <t xml:space="preserve">Windlastzonen in Deutschland
</t>
        </r>
      </text>
    </comment>
  </commentList>
</comments>
</file>

<file path=xl/sharedStrings.xml><?xml version="1.0" encoding="utf-8"?>
<sst xmlns="http://schemas.openxmlformats.org/spreadsheetml/2006/main" count="9977" uniqueCount="2355">
  <si>
    <t>Vollholz Fichte/Tanne</t>
  </si>
  <si>
    <t>Brettschichtholz Fichte/ Tanne</t>
  </si>
  <si>
    <t>Brettschichtholz Esche/ Buche</t>
  </si>
  <si>
    <t>C24</t>
  </si>
  <si>
    <t>GL24h</t>
  </si>
  <si>
    <t>GL28h</t>
  </si>
  <si>
    <t>GL32h</t>
  </si>
  <si>
    <t>GL36h</t>
  </si>
  <si>
    <t>GL40h</t>
  </si>
  <si>
    <t>GL48h</t>
  </si>
  <si>
    <t>Druckfestigkeit</t>
  </si>
  <si>
    <t>Rohdichte</t>
  </si>
  <si>
    <t>Bemessungswerte der Festigkeit</t>
  </si>
  <si>
    <t xml:space="preserve">Biegung </t>
  </si>
  <si>
    <t xml:space="preserve">Zug ll zur Faserrichtung </t>
  </si>
  <si>
    <t xml:space="preserve">Druck ll zur  Faserrichtung </t>
  </si>
  <si>
    <t>Schub</t>
  </si>
  <si>
    <t>Rollschub</t>
  </si>
  <si>
    <t>Steifigkeit</t>
  </si>
  <si>
    <t>Schubmodul</t>
  </si>
  <si>
    <t>Beiwerte für Bemessung</t>
  </si>
  <si>
    <t>j</t>
  </si>
  <si>
    <t>nicht wirksam</t>
  </si>
  <si>
    <t>Kerto Q</t>
  </si>
  <si>
    <t>Feuchteklasse 1</t>
  </si>
  <si>
    <t>Feuchteklasse 2</t>
  </si>
  <si>
    <t>Zementestrich</t>
  </si>
  <si>
    <t>Anhydrit</t>
  </si>
  <si>
    <t>Gipsfaserplatte</t>
  </si>
  <si>
    <t>Bewertung</t>
  </si>
  <si>
    <t>1,0 bis 1,5</t>
  </si>
  <si>
    <t>Decken innerhalb derselben Nutzungseinheit</t>
  </si>
  <si>
    <t>1,5 bis 2,5</t>
  </si>
  <si>
    <t>schwimmender Estrich</t>
  </si>
  <si>
    <t>kein Estrich vorhanden</t>
  </si>
  <si>
    <t>x</t>
  </si>
  <si>
    <t>Kat. F - Fahrzeuge unter 3,5 t</t>
  </si>
  <si>
    <t>Kat. A - Wohnbauten</t>
  </si>
  <si>
    <t>Kat. B - Büroflächen</t>
  </si>
  <si>
    <t>Kat. C - Versammlungsflächen</t>
  </si>
  <si>
    <t>Kat. D - Verkaufsflächen</t>
  </si>
  <si>
    <t>Kat. E - Lager- und Fabrikationsflächen</t>
  </si>
  <si>
    <t>Kat. H - nicht begehbare Dächer</t>
  </si>
  <si>
    <t>y</t>
  </si>
  <si>
    <t>f</t>
  </si>
  <si>
    <t>C16</t>
  </si>
  <si>
    <t>C30</t>
  </si>
  <si>
    <t>Modifikationsbeiwert</t>
  </si>
  <si>
    <t>Norm</t>
  </si>
  <si>
    <t>Feuchteklasse</t>
  </si>
  <si>
    <t xml:space="preserve">Klasse der Lasteinwirkungsdauer (KLED) 3) </t>
  </si>
  <si>
    <t>ständig</t>
  </si>
  <si>
    <t>lang</t>
  </si>
  <si>
    <t>mittel</t>
  </si>
  <si>
    <t>kurz</t>
  </si>
  <si>
    <t xml:space="preserve">Furniersperrholz </t>
  </si>
  <si>
    <t>P4+P5</t>
  </si>
  <si>
    <t xml:space="preserve">harte Faserplatten </t>
  </si>
  <si>
    <t xml:space="preserve">mittel harte Faserplatten </t>
  </si>
  <si>
    <t xml:space="preserve">2) Für Gipsfaserplatten Herstellerangaben beachten. </t>
  </si>
  <si>
    <t xml:space="preserve">3) Gemäss Tabelle 15. </t>
  </si>
  <si>
    <t xml:space="preserve">nz Einsatz des Holzwerkstoffs nicht zugelassen. </t>
  </si>
  <si>
    <t>a</t>
  </si>
  <si>
    <t>A</t>
  </si>
  <si>
    <t>b</t>
  </si>
  <si>
    <t>B</t>
  </si>
  <si>
    <t>c</t>
  </si>
  <si>
    <t>C</t>
  </si>
  <si>
    <t>d</t>
  </si>
  <si>
    <t>D</t>
  </si>
  <si>
    <t>e</t>
  </si>
  <si>
    <t>E</t>
  </si>
  <si>
    <t>F</t>
  </si>
  <si>
    <t>g</t>
  </si>
  <si>
    <t>G</t>
  </si>
  <si>
    <t>h</t>
  </si>
  <si>
    <t>H</t>
  </si>
  <si>
    <t>i</t>
  </si>
  <si>
    <t>I</t>
  </si>
  <si>
    <t>J</t>
  </si>
  <si>
    <t>k</t>
  </si>
  <si>
    <t>K</t>
  </si>
  <si>
    <t>l</t>
  </si>
  <si>
    <t>L</t>
  </si>
  <si>
    <t>m</t>
  </si>
  <si>
    <t>M</t>
  </si>
  <si>
    <t>n</t>
  </si>
  <si>
    <t>N</t>
  </si>
  <si>
    <t>o</t>
  </si>
  <si>
    <t>O</t>
  </si>
  <si>
    <t>p</t>
  </si>
  <si>
    <t>P</t>
  </si>
  <si>
    <t>q</t>
  </si>
  <si>
    <t>Q</t>
  </si>
  <si>
    <t>r</t>
  </si>
  <si>
    <t>R</t>
  </si>
  <si>
    <t>s</t>
  </si>
  <si>
    <t>S</t>
  </si>
  <si>
    <t>t</t>
  </si>
  <si>
    <t>T</t>
  </si>
  <si>
    <t>u</t>
  </si>
  <si>
    <t>U</t>
  </si>
  <si>
    <t>v</t>
  </si>
  <si>
    <t>V</t>
  </si>
  <si>
    <t>w</t>
  </si>
  <si>
    <t>W</t>
  </si>
  <si>
    <t>X</t>
  </si>
  <si>
    <t>Y</t>
  </si>
  <si>
    <t>z</t>
  </si>
  <si>
    <t>Z</t>
  </si>
  <si>
    <t>^</t>
  </si>
  <si>
    <r>
      <t xml:space="preserve">Widerstandsbeiwerte </t>
    </r>
    <r>
      <rPr>
        <b/>
        <sz val="7"/>
        <rFont val="Symbol"/>
        <family val="1"/>
        <charset val="2"/>
      </rPr>
      <t>g</t>
    </r>
    <r>
      <rPr>
        <b/>
        <vertAlign val="subscript"/>
        <sz val="7"/>
        <rFont val="Arial"/>
        <family val="2"/>
      </rPr>
      <t>M</t>
    </r>
  </si>
  <si>
    <r>
      <t xml:space="preserve">Beiwert </t>
    </r>
    <r>
      <rPr>
        <b/>
        <sz val="7"/>
        <rFont val="Symbol"/>
        <family val="1"/>
        <charset val="2"/>
      </rPr>
      <t>h</t>
    </r>
    <r>
      <rPr>
        <b/>
        <vertAlign val="subscript"/>
        <sz val="7"/>
        <rFont val="Arial"/>
        <family val="2"/>
      </rPr>
      <t>w (Steifigkeit)</t>
    </r>
  </si>
  <si>
    <t>Werkstoff</t>
  </si>
  <si>
    <t xml:space="preserve"> Werkstoff Code</t>
  </si>
  <si>
    <t>Werkstoff - Gruppe</t>
  </si>
  <si>
    <t>Definition der Holzdicken für die Bestimmung des entsprechenden Codes</t>
  </si>
  <si>
    <t>sehr kurz</t>
  </si>
  <si>
    <t>Nadel - Schnittholz</t>
  </si>
  <si>
    <t>Schnittholz</t>
  </si>
  <si>
    <t>Laub - Schnittholz</t>
  </si>
  <si>
    <t>Laub - Brettschichtholz</t>
  </si>
  <si>
    <t>Brettschichtholz</t>
  </si>
  <si>
    <t>Nadel - Furnierschichtholz</t>
  </si>
  <si>
    <t>Nadel - Furniersperrholz</t>
  </si>
  <si>
    <t>Laub - Furniersperrholz</t>
  </si>
  <si>
    <t>OSB/3</t>
  </si>
  <si>
    <t>kunstharz-gebundene Spanplatten P4</t>
  </si>
  <si>
    <t>OSB/4</t>
  </si>
  <si>
    <t>kunstharz-gebundene Spanplatten P5</t>
  </si>
  <si>
    <t>kunstharz-gebundene Spanplatten P6</t>
  </si>
  <si>
    <t>kunstharz-gebundene Spanplatten P7</t>
  </si>
  <si>
    <t>OSB/2</t>
  </si>
  <si>
    <t>DSP</t>
  </si>
  <si>
    <t>Kerto S</t>
  </si>
  <si>
    <t>MDF</t>
  </si>
  <si>
    <t>Gipsfaserplatten</t>
  </si>
  <si>
    <t>F-Sperrholz 400 +</t>
  </si>
  <si>
    <t>F-Sperrholz 600 +</t>
  </si>
  <si>
    <t>Feuchteklasse 3</t>
  </si>
  <si>
    <t>statisch</t>
  </si>
  <si>
    <t>Erdbeben</t>
  </si>
  <si>
    <t>Anprall</t>
  </si>
  <si>
    <t>Stahlsorte Bleche</t>
  </si>
  <si>
    <r>
      <t>f</t>
    </r>
    <r>
      <rPr>
        <vertAlign val="subscript"/>
        <sz val="7"/>
        <rFont val="Arial"/>
        <family val="2"/>
      </rPr>
      <t>y</t>
    </r>
    <r>
      <rPr>
        <sz val="7"/>
        <rFont val="Arial"/>
        <family val="2"/>
      </rPr>
      <t xml:space="preserve"> [N/mm</t>
    </r>
    <r>
      <rPr>
        <vertAlign val="superscript"/>
        <sz val="7"/>
        <rFont val="Arial"/>
        <family val="2"/>
      </rPr>
      <t>2</t>
    </r>
    <r>
      <rPr>
        <sz val="7"/>
        <rFont val="Arial"/>
        <family val="2"/>
      </rPr>
      <t>]</t>
    </r>
  </si>
  <si>
    <r>
      <rPr>
        <sz val="7"/>
        <rFont val="Symbol"/>
        <family val="1"/>
        <charset val="2"/>
      </rPr>
      <t>t</t>
    </r>
    <r>
      <rPr>
        <vertAlign val="subscript"/>
        <sz val="7"/>
        <rFont val="Arial"/>
        <family val="2"/>
      </rPr>
      <t>y</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</si>
  <si>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u</t>
    </r>
    <r>
      <rPr>
        <sz val="7"/>
        <rFont val="Arial"/>
        <family val="2"/>
      </rPr>
      <t xml:space="preserve"> [N/mm</t>
    </r>
    <r>
      <rPr>
        <vertAlign val="superscript"/>
        <sz val="7"/>
        <rFont val="Arial"/>
        <family val="2"/>
      </rPr>
      <t>2</t>
    </r>
    <r>
      <rPr>
        <sz val="7"/>
        <rFont val="Arial"/>
        <family val="2"/>
      </rPr>
      <t>]</t>
    </r>
  </si>
  <si>
    <r>
      <t>Verhältnis f</t>
    </r>
    <r>
      <rPr>
        <vertAlign val="subscript"/>
        <sz val="7"/>
        <rFont val="Arial"/>
        <family val="2"/>
      </rPr>
      <t>y,k</t>
    </r>
    <r>
      <rPr>
        <sz val="7"/>
        <rFont val="Arial"/>
        <family val="2"/>
      </rPr>
      <t xml:space="preserve"> / f</t>
    </r>
    <r>
      <rPr>
        <vertAlign val="subscript"/>
        <sz val="7"/>
        <rFont val="Arial"/>
        <family val="2"/>
      </rPr>
      <t>u,k</t>
    </r>
    <r>
      <rPr>
        <sz val="7"/>
        <rFont val="Arial"/>
        <family val="2"/>
      </rPr>
      <t xml:space="preserve"> [-]</t>
    </r>
  </si>
  <si>
    <t>S235</t>
  </si>
  <si>
    <t>S355</t>
  </si>
  <si>
    <t>S460</t>
  </si>
  <si>
    <r>
      <t>f</t>
    </r>
    <r>
      <rPr>
        <vertAlign val="subscript"/>
        <sz val="7"/>
        <rFont val="Arial"/>
        <family val="2"/>
      </rPr>
      <t>u,k</t>
    </r>
    <r>
      <rPr>
        <sz val="7"/>
        <rFont val="Arial"/>
        <family val="2"/>
      </rPr>
      <t xml:space="preserve"> [N/mm</t>
    </r>
    <r>
      <rPr>
        <vertAlign val="superscript"/>
        <sz val="7"/>
        <rFont val="Arial"/>
        <family val="2"/>
      </rPr>
      <t>2</t>
    </r>
    <r>
      <rPr>
        <sz val="7"/>
        <rFont val="Arial"/>
        <family val="2"/>
      </rPr>
      <t>]</t>
    </r>
  </si>
  <si>
    <t>W-Verweis</t>
  </si>
  <si>
    <t>Alternativer W-Verweis</t>
  </si>
  <si>
    <t>S275</t>
  </si>
  <si>
    <t>S-Verweis</t>
  </si>
  <si>
    <t>Alternativer S-Verweis</t>
  </si>
  <si>
    <t>Zugfestigkeit</t>
  </si>
  <si>
    <t>Tragwerkstyp A</t>
  </si>
  <si>
    <t>Tragwerkstyp B</t>
  </si>
  <si>
    <t>Tragwerkstyp C</t>
  </si>
  <si>
    <t>Tragwerkstyp D</t>
  </si>
  <si>
    <t>Produkt</t>
  </si>
  <si>
    <r>
      <t>f</t>
    </r>
    <r>
      <rPr>
        <vertAlign val="subscript"/>
        <sz val="7"/>
        <rFont val="Arial"/>
        <family val="2"/>
      </rPr>
      <t>y,k</t>
    </r>
    <r>
      <rPr>
        <sz val="7"/>
        <rFont val="Arial"/>
        <family val="2"/>
      </rPr>
      <t xml:space="preserve"> [N/mm</t>
    </r>
    <r>
      <rPr>
        <vertAlign val="superscript"/>
        <sz val="7"/>
        <rFont val="Arial"/>
        <family val="2"/>
      </rPr>
      <t>2</t>
    </r>
    <r>
      <rPr>
        <sz val="7"/>
        <rFont val="Arial"/>
        <family val="2"/>
      </rPr>
      <t>]</t>
    </r>
  </si>
  <si>
    <t>SPAX_KoSt-Stahl</t>
  </si>
  <si>
    <t>http://www.spax.com/de/handwerker/schraubenfinder/</t>
  </si>
  <si>
    <t>SPAX_A2-Stahl</t>
  </si>
  <si>
    <t>fiktiv</t>
  </si>
  <si>
    <t>Furnierschichtholz</t>
  </si>
  <si>
    <t>OSB</t>
  </si>
  <si>
    <t>SFS-WT-T_KoSt-Stahl</t>
  </si>
  <si>
    <t>http://www.sfsintec.biz/internet/sfsintde.nsf/PageID/System_WT</t>
  </si>
  <si>
    <t>ASSY-VGS_KoSt-Stahl</t>
  </si>
  <si>
    <t>http://wueko.wuerth.com/wu/ASSY2/assy/pdf/assy-plus-vg.pdf</t>
  </si>
  <si>
    <t>ASSY-Plus_KoSt-Stahl</t>
  </si>
  <si>
    <t>http://wueko.wuerth.com/wu/ASSY2/assy/pdf/assy-plus.pdf</t>
  </si>
  <si>
    <t>ASSY-Plus_A2-Stahl</t>
  </si>
  <si>
    <r>
      <t>r</t>
    </r>
    <r>
      <rPr>
        <vertAlign val="subscript"/>
        <sz val="7"/>
        <rFont val="Arial"/>
        <family val="2"/>
      </rPr>
      <t>k</t>
    </r>
    <r>
      <rPr>
        <sz val="7"/>
        <rFont val="Symbol"/>
        <family val="1"/>
        <charset val="2"/>
      </rPr>
      <t xml:space="preserve"> </t>
    </r>
    <r>
      <rPr>
        <sz val="7"/>
        <rFont val="Arial"/>
        <family val="2"/>
      </rPr>
      <t>[kg/m</t>
    </r>
    <r>
      <rPr>
        <vertAlign val="superscript"/>
        <sz val="7"/>
        <rFont val="Arial"/>
        <family val="2"/>
      </rPr>
      <t>3</t>
    </r>
    <r>
      <rPr>
        <sz val="7"/>
        <rFont val="Arial"/>
        <family val="2"/>
      </rPr>
      <t>]</t>
    </r>
  </si>
  <si>
    <t>HECO-UNIX__KoSt-Stahl</t>
  </si>
  <si>
    <t>http://www.heco-schrauben.de/de/Schrauben/HECO-UNIX</t>
  </si>
  <si>
    <t>Plattenbeanspruchung</t>
  </si>
  <si>
    <t>HECO-UNIX_A2-Stahl</t>
  </si>
  <si>
    <t>HECO-TOPIX_KoSt-Stahl</t>
  </si>
  <si>
    <t>http://www.heco-schrauben.de/de/Schrauben/HECO-TOPIX</t>
  </si>
  <si>
    <t>HECO-TOPIX_A2-Stahl</t>
  </si>
  <si>
    <r>
      <t xml:space="preserve">Druck </t>
    </r>
    <r>
      <rPr>
        <sz val="7"/>
        <rFont val="Symbol"/>
        <family val="1"/>
        <charset val="2"/>
      </rPr>
      <t>^</t>
    </r>
    <r>
      <rPr>
        <sz val="7"/>
        <rFont val="Arial"/>
        <family val="2"/>
      </rPr>
      <t xml:space="preserve"> zur  Faserrichtung </t>
    </r>
  </si>
  <si>
    <t>HECO-TOPIX-CC_KoSt-Stahl</t>
  </si>
  <si>
    <t>http://www.heco-schrauben.de/de/Schrauben/HECO-TOPIX-CC</t>
  </si>
  <si>
    <t>Ferronorm-PF_KoSt-Stahl</t>
  </si>
  <si>
    <t>http://www.sfsunimarket.biz/internet/SFSunimarket.nsf/PageID/Ferronorm_Power_Fast_DE</t>
  </si>
  <si>
    <t>Rollschubmodul</t>
  </si>
  <si>
    <r>
      <t>G</t>
    </r>
    <r>
      <rPr>
        <vertAlign val="subscript"/>
        <sz val="7"/>
        <rFont val="Arial"/>
        <family val="2"/>
      </rPr>
      <t>R,mean</t>
    </r>
    <r>
      <rPr>
        <sz val="7"/>
        <rFont val="Arial"/>
        <family val="2"/>
      </rPr>
      <t xml:space="preserve"> [N/mm</t>
    </r>
    <r>
      <rPr>
        <vertAlign val="superscript"/>
        <sz val="7"/>
        <rFont val="Arial"/>
        <family val="2"/>
      </rPr>
      <t>2</t>
    </r>
    <r>
      <rPr>
        <sz val="7"/>
        <rFont val="Arial"/>
        <family val="2"/>
      </rPr>
      <t>]</t>
    </r>
  </si>
  <si>
    <t>Edelstahl - Stahlsorte</t>
  </si>
  <si>
    <t>Bruchdehnung [%]</t>
  </si>
  <si>
    <r>
      <t xml:space="preserve">Zug </t>
    </r>
    <r>
      <rPr>
        <sz val="7"/>
        <rFont val="Symbol"/>
        <family val="1"/>
        <charset val="2"/>
      </rPr>
      <t>^</t>
    </r>
    <r>
      <rPr>
        <sz val="7"/>
        <rFont val="Arial"/>
        <family val="2"/>
      </rPr>
      <t xml:space="preserve"> zur  Faserrichtung </t>
    </r>
  </si>
  <si>
    <r>
      <t>G</t>
    </r>
    <r>
      <rPr>
        <vertAlign val="subscript"/>
        <sz val="7"/>
        <rFont val="Arial"/>
        <family val="2"/>
      </rPr>
      <t>mean</t>
    </r>
    <r>
      <rPr>
        <sz val="7"/>
        <rFont val="Arial"/>
        <family val="2"/>
      </rPr>
      <t xml:space="preserve"> [N/mm</t>
    </r>
    <r>
      <rPr>
        <vertAlign val="superscript"/>
        <sz val="7"/>
        <rFont val="Arial"/>
        <family val="2"/>
      </rPr>
      <t>2</t>
    </r>
    <r>
      <rPr>
        <sz val="7"/>
        <rFont val="Arial"/>
        <family val="2"/>
      </rPr>
      <t>]</t>
    </r>
  </si>
  <si>
    <r>
      <rPr>
        <sz val="7"/>
        <rFont val="Symbol"/>
        <family val="1"/>
        <charset val="2"/>
      </rPr>
      <t>a</t>
    </r>
    <r>
      <rPr>
        <vertAlign val="subscript"/>
        <sz val="7"/>
        <rFont val="Arial"/>
        <family val="2"/>
      </rPr>
      <t>ll</t>
    </r>
  </si>
  <si>
    <r>
      <t>a</t>
    </r>
    <r>
      <rPr>
        <vertAlign val="subscript"/>
        <sz val="7"/>
        <rFont val="Symbol"/>
        <family val="1"/>
        <charset val="2"/>
      </rPr>
      <t>^</t>
    </r>
  </si>
  <si>
    <t>d [mm]</t>
  </si>
  <si>
    <r>
      <t>d</t>
    </r>
    <r>
      <rPr>
        <vertAlign val="subscript"/>
        <sz val="7"/>
        <rFont val="Arial"/>
        <family val="2"/>
      </rPr>
      <t>1</t>
    </r>
    <r>
      <rPr>
        <sz val="7"/>
        <rFont val="Arial"/>
        <family val="2"/>
      </rPr>
      <t xml:space="preserve"> [mm]</t>
    </r>
  </si>
  <si>
    <r>
      <t>d</t>
    </r>
    <r>
      <rPr>
        <vertAlign val="subscript"/>
        <sz val="7"/>
        <rFont val="Arial"/>
        <family val="2"/>
      </rPr>
      <t>ef</t>
    </r>
    <r>
      <rPr>
        <sz val="7"/>
        <rFont val="Arial"/>
        <family val="2"/>
      </rPr>
      <t xml:space="preserve"> [mm]</t>
    </r>
  </si>
  <si>
    <r>
      <t>d</t>
    </r>
    <r>
      <rPr>
        <vertAlign val="subscript"/>
        <sz val="7"/>
        <rFont val="Arial"/>
        <family val="2"/>
      </rPr>
      <t>head</t>
    </r>
    <r>
      <rPr>
        <sz val="7"/>
        <rFont val="Arial"/>
        <family val="2"/>
      </rPr>
      <t xml:space="preserve"> [mm]</t>
    </r>
  </si>
  <si>
    <r>
      <t>F</t>
    </r>
    <r>
      <rPr>
        <vertAlign val="subscript"/>
        <sz val="7"/>
        <rFont val="Arial"/>
        <family val="2"/>
      </rPr>
      <t>t,k</t>
    </r>
    <r>
      <rPr>
        <sz val="7"/>
        <rFont val="Arial"/>
        <family val="2"/>
      </rPr>
      <t xml:space="preserve"> [kN]</t>
    </r>
  </si>
  <si>
    <r>
      <t>M</t>
    </r>
    <r>
      <rPr>
        <vertAlign val="subscript"/>
        <sz val="7"/>
        <rFont val="Arial"/>
        <family val="2"/>
      </rPr>
      <t>y,k</t>
    </r>
    <r>
      <rPr>
        <sz val="7"/>
        <rFont val="Arial"/>
        <family val="2"/>
      </rPr>
      <t xml:space="preserve"> [Nmm]</t>
    </r>
  </si>
  <si>
    <r>
      <t>M</t>
    </r>
    <r>
      <rPr>
        <vertAlign val="subscript"/>
        <sz val="7"/>
        <rFont val="Arial"/>
        <family val="2"/>
      </rPr>
      <t>tor,k</t>
    </r>
    <r>
      <rPr>
        <sz val="7"/>
        <rFont val="Arial"/>
        <family val="2"/>
      </rPr>
      <t xml:space="preserve"> [Nm]</t>
    </r>
  </si>
  <si>
    <t>Konstant x [-]</t>
  </si>
  <si>
    <r>
      <t>K</t>
    </r>
    <r>
      <rPr>
        <vertAlign val="subscript"/>
        <sz val="7"/>
        <rFont val="Arial"/>
        <family val="2"/>
      </rPr>
      <t xml:space="preserve">ser </t>
    </r>
    <r>
      <rPr>
        <sz val="7"/>
        <rFont val="Arial"/>
        <family val="2"/>
      </rPr>
      <t>/ (l</t>
    </r>
    <r>
      <rPr>
        <vertAlign val="subscript"/>
        <sz val="7"/>
        <rFont val="Arial"/>
        <family val="2"/>
      </rPr>
      <t>ef</t>
    </r>
    <r>
      <rPr>
        <vertAlign val="superscript"/>
        <sz val="7"/>
        <rFont val="Arial"/>
        <family val="2"/>
      </rPr>
      <t>0.4</t>
    </r>
    <r>
      <rPr>
        <sz val="7"/>
        <rFont val="Arial"/>
        <family val="2"/>
      </rPr>
      <t xml:space="preserve">) [N/mm] </t>
    </r>
  </si>
  <si>
    <t>Zulassung</t>
  </si>
  <si>
    <t>gültig bis</t>
  </si>
  <si>
    <t>ETA-12/0114</t>
  </si>
  <si>
    <t>ETA-12/0063</t>
  </si>
  <si>
    <t>ETA-11/0190</t>
  </si>
  <si>
    <t>ETA-11/0452</t>
  </si>
  <si>
    <t>ETA-11/0284</t>
  </si>
  <si>
    <t>ETA-12/0132</t>
  </si>
  <si>
    <t>ETA-11/0331</t>
  </si>
  <si>
    <t>SFS-WB_KoSt-Stahl</t>
  </si>
  <si>
    <t>http://www.sfsintec.biz/internet/sfsintde.nsf/PageID/System_WB</t>
  </si>
  <si>
    <t xml:space="preserve">Z-9.1-777 </t>
  </si>
  <si>
    <t>Gewindestange 4.6</t>
  </si>
  <si>
    <t>Gewindestange 8.8</t>
  </si>
  <si>
    <t>Gewindestange 10.9</t>
  </si>
  <si>
    <t>Armierungsstahl B500B</t>
  </si>
  <si>
    <t>Durchmesser</t>
  </si>
  <si>
    <t>Erdbebenzone</t>
  </si>
  <si>
    <t>Z1</t>
  </si>
  <si>
    <t>Z2</t>
  </si>
  <si>
    <t>Z3a</t>
  </si>
  <si>
    <t>Z3b</t>
  </si>
  <si>
    <t>Bauwerksklasse</t>
  </si>
  <si>
    <t>II</t>
  </si>
  <si>
    <t>III</t>
  </si>
  <si>
    <t>Baugrundklasse</t>
  </si>
  <si>
    <t>Beschreibung</t>
  </si>
  <si>
    <t>&gt; 800</t>
  </si>
  <si>
    <t>_</t>
  </si>
  <si>
    <t>400…800</t>
  </si>
  <si>
    <t>&gt;50</t>
  </si>
  <si>
    <t>&gt;250</t>
  </si>
  <si>
    <t>300…500</t>
  </si>
  <si>
    <t>15…50</t>
  </si>
  <si>
    <t>70…250</t>
  </si>
  <si>
    <t>150…300</t>
  </si>
  <si>
    <t>&lt;15</t>
  </si>
  <si>
    <t>&lt;70</t>
  </si>
  <si>
    <t>Baustoff des Tragwerks</t>
  </si>
  <si>
    <t>Holzbau</t>
  </si>
  <si>
    <t>Stahlbeton</t>
  </si>
  <si>
    <t>Stahlbau</t>
  </si>
  <si>
    <t>Kriechzahl</t>
  </si>
  <si>
    <t>Materialklassifizierung</t>
  </si>
  <si>
    <t>Holz &amp; Holzwerkstoffe</t>
  </si>
  <si>
    <t>Materialkennwerte für die Berechnung</t>
  </si>
  <si>
    <t>t ≤ 40mm</t>
  </si>
  <si>
    <t>40mm ≤ t ≤ 100mm</t>
  </si>
  <si>
    <t>Dicke der Bleche [mm]</t>
  </si>
  <si>
    <t>Dichte</t>
  </si>
  <si>
    <r>
      <t>r</t>
    </r>
    <r>
      <rPr>
        <vertAlign val="subscript"/>
        <sz val="7"/>
        <rFont val="Arial"/>
        <family val="2"/>
      </rPr>
      <t>a</t>
    </r>
    <r>
      <rPr>
        <sz val="7"/>
        <rFont val="Symbol"/>
        <family val="1"/>
        <charset val="2"/>
      </rPr>
      <t xml:space="preserve"> </t>
    </r>
    <r>
      <rPr>
        <sz val="7"/>
        <rFont val="Arial"/>
        <family val="2"/>
      </rPr>
      <t>[kg/m</t>
    </r>
    <r>
      <rPr>
        <vertAlign val="superscript"/>
        <sz val="7"/>
        <rFont val="Arial"/>
        <family val="2"/>
      </rPr>
      <t>3</t>
    </r>
    <r>
      <rPr>
        <sz val="7"/>
        <rFont val="Arial"/>
        <family val="2"/>
      </rPr>
      <t>]</t>
    </r>
  </si>
  <si>
    <t>E-Modul</t>
  </si>
  <si>
    <t>Temperaturausdehnungskoeffizient</t>
  </si>
  <si>
    <t>Weitere Kenngrössen</t>
  </si>
  <si>
    <t>Griechisches Alphabet</t>
  </si>
  <si>
    <t>C 12/15</t>
  </si>
  <si>
    <t>C 16/20</t>
  </si>
  <si>
    <t>C 20/25</t>
  </si>
  <si>
    <t>C 25/30</t>
  </si>
  <si>
    <t>C 30/37</t>
  </si>
  <si>
    <t>C 35/45</t>
  </si>
  <si>
    <t>C 45/55</t>
  </si>
  <si>
    <t>C 50/60</t>
  </si>
  <si>
    <t>C 40/50</t>
  </si>
  <si>
    <r>
      <t>Bodenbeschleunigung a</t>
    </r>
    <r>
      <rPr>
        <vertAlign val="subscript"/>
        <sz val="7"/>
        <rFont val="Arial"/>
        <family val="2"/>
      </rPr>
      <t>gd</t>
    </r>
    <r>
      <rPr>
        <sz val="7"/>
        <rFont val="Arial"/>
        <family val="2"/>
      </rPr>
      <t xml:space="preserve"> [m/s</t>
    </r>
    <r>
      <rPr>
        <vertAlign val="superscript"/>
        <sz val="7"/>
        <rFont val="Arial"/>
        <family val="2"/>
      </rPr>
      <t>2</t>
    </r>
    <r>
      <rPr>
        <sz val="7"/>
        <rFont val="Arial"/>
        <family val="2"/>
      </rPr>
      <t>]</t>
    </r>
  </si>
  <si>
    <r>
      <t xml:space="preserve">Bedeutungsfaktor </t>
    </r>
    <r>
      <rPr>
        <sz val="7"/>
        <rFont val="Symbol"/>
        <family val="1"/>
        <charset val="2"/>
      </rPr>
      <t>g</t>
    </r>
    <r>
      <rPr>
        <vertAlign val="subscript"/>
        <sz val="7"/>
        <rFont val="Arial"/>
        <family val="2"/>
      </rPr>
      <t>f</t>
    </r>
    <r>
      <rPr>
        <sz val="7"/>
        <rFont val="Arial"/>
        <family val="2"/>
      </rPr>
      <t xml:space="preserve"> [-]</t>
    </r>
  </si>
  <si>
    <r>
      <t>v</t>
    </r>
    <r>
      <rPr>
        <vertAlign val="subscript"/>
        <sz val="7"/>
        <rFont val="Arial"/>
        <family val="2"/>
      </rPr>
      <t>s</t>
    </r>
    <r>
      <rPr>
        <sz val="7"/>
        <rFont val="Arial"/>
        <family val="2"/>
      </rPr>
      <t xml:space="preserve"> [m/s]</t>
    </r>
  </si>
  <si>
    <r>
      <t>N</t>
    </r>
    <r>
      <rPr>
        <vertAlign val="subscript"/>
        <sz val="7"/>
        <rFont val="Arial"/>
        <family val="2"/>
      </rPr>
      <t>SPT</t>
    </r>
    <r>
      <rPr>
        <sz val="7"/>
        <rFont val="Arial"/>
        <family val="2"/>
      </rPr>
      <t xml:space="preserve"> </t>
    </r>
  </si>
  <si>
    <r>
      <t>S</t>
    </r>
    <r>
      <rPr>
        <vertAlign val="subscript"/>
        <sz val="7"/>
        <rFont val="Arial"/>
        <family val="2"/>
      </rPr>
      <t>U</t>
    </r>
    <r>
      <rPr>
        <sz val="7"/>
        <rFont val="Arial"/>
        <family val="2"/>
      </rPr>
      <t xml:space="preserve"> [kN/m</t>
    </r>
    <r>
      <rPr>
        <vertAlign val="superscript"/>
        <sz val="7"/>
        <rFont val="Arial"/>
        <family val="2"/>
      </rPr>
      <t>2</t>
    </r>
    <r>
      <rPr>
        <sz val="7"/>
        <rFont val="Arial"/>
        <family val="2"/>
      </rPr>
      <t>]</t>
    </r>
  </si>
  <si>
    <r>
      <t>T</t>
    </r>
    <r>
      <rPr>
        <vertAlign val="subscript"/>
        <sz val="7"/>
        <rFont val="Arial"/>
        <family val="2"/>
      </rPr>
      <t>B</t>
    </r>
    <r>
      <rPr>
        <sz val="7"/>
        <rFont val="Arial"/>
        <family val="2"/>
      </rPr>
      <t xml:space="preserve"> [s]</t>
    </r>
  </si>
  <si>
    <r>
      <t>T</t>
    </r>
    <r>
      <rPr>
        <vertAlign val="subscript"/>
        <sz val="7"/>
        <rFont val="Arial"/>
        <family val="2"/>
      </rPr>
      <t>C</t>
    </r>
    <r>
      <rPr>
        <sz val="7"/>
        <rFont val="Arial"/>
        <family val="2"/>
      </rPr>
      <t xml:space="preserve"> [s]</t>
    </r>
  </si>
  <si>
    <r>
      <t>T</t>
    </r>
    <r>
      <rPr>
        <vertAlign val="subscript"/>
        <sz val="7"/>
        <rFont val="Arial"/>
        <family val="2"/>
      </rPr>
      <t>D</t>
    </r>
    <r>
      <rPr>
        <sz val="7"/>
        <rFont val="Arial"/>
        <family val="2"/>
      </rPr>
      <t xml:space="preserve"> [s]</t>
    </r>
  </si>
  <si>
    <r>
      <t>E [N/mm</t>
    </r>
    <r>
      <rPr>
        <vertAlign val="superscript"/>
        <sz val="7"/>
        <rFont val="Arial"/>
        <family val="2"/>
      </rPr>
      <t>2</t>
    </r>
    <r>
      <rPr>
        <sz val="7"/>
        <rFont val="Arial"/>
        <family val="2"/>
      </rPr>
      <t>]</t>
    </r>
  </si>
  <si>
    <r>
      <t>G [N/mm</t>
    </r>
    <r>
      <rPr>
        <vertAlign val="superscript"/>
        <sz val="7"/>
        <rFont val="Arial"/>
        <family val="2"/>
      </rPr>
      <t>2</t>
    </r>
    <r>
      <rPr>
        <sz val="7"/>
        <rFont val="Arial"/>
        <family val="2"/>
      </rPr>
      <t>]</t>
    </r>
  </si>
  <si>
    <r>
      <rPr>
        <sz val="7"/>
        <color theme="1"/>
        <rFont val="Symbol"/>
        <family val="1"/>
        <charset val="2"/>
      </rPr>
      <t>n</t>
    </r>
    <r>
      <rPr>
        <sz val="7"/>
        <color theme="1"/>
        <rFont val="Arial"/>
        <family val="2"/>
      </rPr>
      <t xml:space="preserve"> [-]</t>
    </r>
  </si>
  <si>
    <r>
      <rPr>
        <sz val="7"/>
        <rFont val="Symbol"/>
        <family val="1"/>
        <charset val="2"/>
      </rPr>
      <t>a</t>
    </r>
    <r>
      <rPr>
        <vertAlign val="subscript"/>
        <sz val="7"/>
        <rFont val="Arial"/>
        <family val="2"/>
      </rPr>
      <t>T</t>
    </r>
    <r>
      <rPr>
        <sz val="7"/>
        <rFont val="Arial"/>
        <family val="2"/>
      </rPr>
      <t xml:space="preserve"> [/°C]</t>
    </r>
  </si>
  <si>
    <r>
      <rPr>
        <sz val="7"/>
        <rFont val="Symbol"/>
        <family val="1"/>
        <charset val="2"/>
      </rPr>
      <t>y</t>
    </r>
    <r>
      <rPr>
        <vertAlign val="subscript"/>
        <sz val="7"/>
        <rFont val="Arial"/>
        <family val="2"/>
      </rPr>
      <t>0</t>
    </r>
  </si>
  <si>
    <r>
      <rPr>
        <sz val="7"/>
        <rFont val="Symbol"/>
        <family val="1"/>
        <charset val="2"/>
      </rPr>
      <t>y</t>
    </r>
    <r>
      <rPr>
        <vertAlign val="subscript"/>
        <sz val="7"/>
        <rFont val="Arial"/>
        <family val="2"/>
      </rPr>
      <t>1</t>
    </r>
  </si>
  <si>
    <r>
      <rPr>
        <sz val="7"/>
        <rFont val="Symbol"/>
        <family val="1"/>
        <charset val="2"/>
      </rPr>
      <t>y</t>
    </r>
    <r>
      <rPr>
        <vertAlign val="subscript"/>
        <sz val="7"/>
        <rFont val="Arial"/>
        <family val="2"/>
      </rPr>
      <t>2</t>
    </r>
  </si>
  <si>
    <r>
      <t>f</t>
    </r>
    <r>
      <rPr>
        <vertAlign val="subscript"/>
        <sz val="7"/>
        <rFont val="Arial"/>
        <family val="2"/>
      </rPr>
      <t>c,d</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</si>
  <si>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c,t,m</t>
    </r>
    <r>
      <rPr>
        <sz val="7"/>
        <rFont val="Arial"/>
        <family val="2"/>
      </rPr>
      <t xml:space="preserve"> [N/mm</t>
    </r>
    <r>
      <rPr>
        <vertAlign val="superscript"/>
        <sz val="7"/>
        <rFont val="Arial"/>
        <family val="2"/>
      </rPr>
      <t>2</t>
    </r>
    <r>
      <rPr>
        <sz val="7"/>
        <rFont val="Arial"/>
        <family val="2"/>
      </rPr>
      <t>]</t>
    </r>
  </si>
  <si>
    <r>
      <rPr>
        <sz val="7"/>
        <rFont val="Symbol"/>
        <family val="1"/>
        <charset val="2"/>
      </rPr>
      <t>t</t>
    </r>
    <r>
      <rPr>
        <vertAlign val="subscript"/>
        <sz val="7"/>
        <rFont val="Arial"/>
        <family val="2"/>
      </rPr>
      <t>c,d</t>
    </r>
    <r>
      <rPr>
        <sz val="7"/>
        <rFont val="Arial"/>
        <family val="2"/>
      </rPr>
      <t xml:space="preserve"> [N/mm</t>
    </r>
    <r>
      <rPr>
        <vertAlign val="superscript"/>
        <sz val="7"/>
        <rFont val="Arial"/>
        <family val="2"/>
      </rPr>
      <t>2</t>
    </r>
    <r>
      <rPr>
        <sz val="7"/>
        <rFont val="Arial"/>
        <family val="2"/>
      </rPr>
      <t>]</t>
    </r>
  </si>
  <si>
    <r>
      <rPr>
        <sz val="7"/>
        <rFont val="Symbol"/>
        <family val="1"/>
        <charset val="2"/>
      </rPr>
      <t>e</t>
    </r>
    <r>
      <rPr>
        <vertAlign val="subscript"/>
        <sz val="7"/>
        <rFont val="Arial"/>
        <family val="2"/>
      </rPr>
      <t>c1d</t>
    </r>
    <r>
      <rPr>
        <sz val="7"/>
        <rFont val="Arial"/>
        <family val="2"/>
      </rPr>
      <t xml:space="preserve"> [-]</t>
    </r>
  </si>
  <si>
    <r>
      <rPr>
        <sz val="7"/>
        <rFont val="Symbol"/>
        <family val="1"/>
        <charset val="2"/>
      </rPr>
      <t>e</t>
    </r>
    <r>
      <rPr>
        <vertAlign val="subscript"/>
        <sz val="7"/>
        <rFont val="Arial"/>
        <family val="2"/>
      </rPr>
      <t>c2d</t>
    </r>
    <r>
      <rPr>
        <sz val="7"/>
        <rFont val="Arial"/>
        <family val="2"/>
      </rPr>
      <t xml:space="preserve"> [-]</t>
    </r>
  </si>
  <si>
    <r>
      <t>f</t>
    </r>
    <r>
      <rPr>
        <vertAlign val="subscript"/>
        <sz val="7"/>
        <rFont val="Arial"/>
        <family val="2"/>
      </rPr>
      <t>grenz</t>
    </r>
    <r>
      <rPr>
        <sz val="7"/>
        <rFont val="Arial"/>
        <family val="2"/>
      </rPr>
      <t xml:space="preserve"> [1/s]</t>
    </r>
  </si>
  <si>
    <r>
      <t>f</t>
    </r>
    <r>
      <rPr>
        <vertAlign val="subscript"/>
        <sz val="7"/>
        <rFont val="Arial"/>
        <family val="2"/>
      </rPr>
      <t>min</t>
    </r>
    <r>
      <rPr>
        <sz val="7"/>
        <rFont val="Arial"/>
        <family val="2"/>
      </rPr>
      <t xml:space="preserve"> [1/s]</t>
    </r>
  </si>
  <si>
    <r>
      <t>w</t>
    </r>
    <r>
      <rPr>
        <vertAlign val="subscript"/>
        <sz val="7"/>
        <rFont val="Arial"/>
        <family val="2"/>
      </rPr>
      <t>grenz</t>
    </r>
    <r>
      <rPr>
        <sz val="7"/>
        <rFont val="Arial"/>
        <family val="2"/>
      </rPr>
      <t xml:space="preserve"> [mm]</t>
    </r>
  </si>
  <si>
    <r>
      <t>a</t>
    </r>
    <r>
      <rPr>
        <vertAlign val="subscript"/>
        <sz val="7"/>
        <rFont val="Arial"/>
        <family val="2"/>
      </rPr>
      <t>grenz</t>
    </r>
    <r>
      <rPr>
        <sz val="7"/>
        <rFont val="Arial"/>
        <family val="2"/>
      </rPr>
      <t xml:space="preserve"> [m/s</t>
    </r>
    <r>
      <rPr>
        <vertAlign val="superscript"/>
        <sz val="7"/>
        <rFont val="Arial"/>
        <family val="2"/>
      </rPr>
      <t>2</t>
    </r>
    <r>
      <rPr>
        <sz val="7"/>
        <rFont val="Arial"/>
        <family val="2"/>
      </rPr>
      <t>]</t>
    </r>
  </si>
  <si>
    <r>
      <t>E</t>
    </r>
    <r>
      <rPr>
        <vertAlign val="subscript"/>
        <sz val="7"/>
        <rFont val="Arial"/>
        <family val="2"/>
      </rPr>
      <t>0/90,mean</t>
    </r>
    <r>
      <rPr>
        <sz val="7"/>
        <rFont val="Arial"/>
        <family val="2"/>
      </rPr>
      <t xml:space="preserve"> [N/mm</t>
    </r>
    <r>
      <rPr>
        <vertAlign val="superscript"/>
        <sz val="7"/>
        <rFont val="Arial"/>
        <family val="2"/>
      </rPr>
      <t>2</t>
    </r>
    <r>
      <rPr>
        <sz val="7"/>
        <rFont val="Arial"/>
        <family val="2"/>
      </rPr>
      <t>]</t>
    </r>
  </si>
  <si>
    <t>C 30/37-S</t>
  </si>
  <si>
    <r>
      <t>Betonstauchung bis f</t>
    </r>
    <r>
      <rPr>
        <vertAlign val="subscript"/>
        <sz val="7"/>
        <rFont val="Arial"/>
        <family val="2"/>
      </rPr>
      <t>c,d</t>
    </r>
  </si>
  <si>
    <t>Betonstauchung bei Bruch</t>
  </si>
  <si>
    <t>Schwindmass</t>
  </si>
  <si>
    <r>
      <rPr>
        <sz val="7"/>
        <rFont val="Symbol"/>
        <family val="1"/>
        <charset val="2"/>
      </rPr>
      <t>e</t>
    </r>
    <r>
      <rPr>
        <vertAlign val="subscript"/>
        <sz val="7"/>
        <rFont val="Arial"/>
        <family val="2"/>
      </rPr>
      <t>cs</t>
    </r>
    <r>
      <rPr>
        <sz val="7"/>
        <rFont val="Arial"/>
        <family val="2"/>
      </rPr>
      <t xml:space="preserve"> [-]</t>
    </r>
  </si>
  <si>
    <r>
      <t>E</t>
    </r>
    <r>
      <rPr>
        <vertAlign val="subscript"/>
        <sz val="7"/>
        <rFont val="Arial"/>
        <family val="2"/>
      </rPr>
      <t>c,m</t>
    </r>
    <r>
      <rPr>
        <sz val="7"/>
        <rFont val="Arial"/>
        <family val="2"/>
      </rPr>
      <t xml:space="preserve"> [N/mm</t>
    </r>
    <r>
      <rPr>
        <vertAlign val="superscript"/>
        <sz val="7"/>
        <rFont val="Arial"/>
        <family val="2"/>
      </rPr>
      <t>2</t>
    </r>
    <r>
      <rPr>
        <sz val="7"/>
        <rFont val="Arial"/>
        <family val="2"/>
      </rPr>
      <t>]</t>
    </r>
  </si>
  <si>
    <r>
      <t>G</t>
    </r>
    <r>
      <rPr>
        <vertAlign val="subscript"/>
        <sz val="7"/>
        <rFont val="Arial"/>
        <family val="2"/>
      </rPr>
      <t>m,c</t>
    </r>
    <r>
      <rPr>
        <sz val="7"/>
        <rFont val="Arial"/>
        <family val="2"/>
      </rPr>
      <t xml:space="preserve"> [N/mm</t>
    </r>
    <r>
      <rPr>
        <vertAlign val="superscript"/>
        <sz val="7"/>
        <rFont val="Arial"/>
        <family val="2"/>
      </rPr>
      <t>2</t>
    </r>
    <r>
      <rPr>
        <sz val="7"/>
        <rFont val="Arial"/>
        <family val="2"/>
      </rPr>
      <t>]</t>
    </r>
  </si>
  <si>
    <t>Mittelwert der Festigkeit/ Steifigkeit</t>
  </si>
  <si>
    <r>
      <rPr>
        <sz val="7"/>
        <rFont val="Symbol"/>
        <family val="1"/>
        <charset val="2"/>
      </rPr>
      <t>a</t>
    </r>
    <r>
      <rPr>
        <vertAlign val="subscript"/>
        <sz val="7"/>
        <rFont val="Arial"/>
        <family val="2"/>
      </rPr>
      <t>T</t>
    </r>
    <r>
      <rPr>
        <sz val="7"/>
        <rFont val="Arial"/>
        <family val="2"/>
      </rPr>
      <t xml:space="preserve"> [1/K]</t>
    </r>
  </si>
  <si>
    <t>Beton SIA 262 (2003) / RSTAB</t>
  </si>
  <si>
    <t>Gebrauchstauglichkeit</t>
  </si>
  <si>
    <t>Abscheren</t>
  </si>
  <si>
    <t>AA</t>
  </si>
  <si>
    <t>AB</t>
  </si>
  <si>
    <t>AC</t>
  </si>
  <si>
    <t>AD</t>
  </si>
  <si>
    <t>AE</t>
  </si>
  <si>
    <t>AF</t>
  </si>
  <si>
    <r>
      <rPr>
        <sz val="7"/>
        <rFont val="Symbol"/>
        <family val="1"/>
        <charset val="2"/>
      </rPr>
      <t>h</t>
    </r>
    <r>
      <rPr>
        <vertAlign val="subscript"/>
        <sz val="7"/>
        <rFont val="Arial"/>
        <family val="2"/>
      </rPr>
      <t>mod-1</t>
    </r>
    <r>
      <rPr>
        <sz val="7"/>
        <rFont val="Arial"/>
        <family val="2"/>
      </rPr>
      <t xml:space="preserve"> [-]</t>
    </r>
  </si>
  <si>
    <t>Widerstandsbeiwert</t>
  </si>
  <si>
    <r>
      <rPr>
        <sz val="7"/>
        <rFont val="Symbol"/>
        <family val="1"/>
        <charset val="2"/>
      </rPr>
      <t>g</t>
    </r>
    <r>
      <rPr>
        <vertAlign val="subscript"/>
        <sz val="7"/>
        <rFont val="Arial"/>
        <family val="2"/>
      </rPr>
      <t>M-1</t>
    </r>
    <r>
      <rPr>
        <sz val="7"/>
        <rFont val="Arial"/>
        <family val="2"/>
      </rPr>
      <t xml:space="preserve"> [-]</t>
    </r>
  </si>
  <si>
    <t>Furnierschichtholz - Plattenbeanspruchung</t>
  </si>
  <si>
    <t>Furnierschichtholz - Scheibenbeanspruchung</t>
  </si>
  <si>
    <t>Werkstoffkategorie</t>
  </si>
  <si>
    <t>Laub - Furnierschichtholz</t>
  </si>
  <si>
    <t>21 ≤ t ≤ 24</t>
  </si>
  <si>
    <t>19 ≤ t ≤ 21</t>
  </si>
  <si>
    <t>24 ≤ t ≤ 75</t>
  </si>
  <si>
    <t>10 &lt; t ≤ 18</t>
  </si>
  <si>
    <t>18 &lt; t ≤ 25</t>
  </si>
  <si>
    <r>
      <t>E</t>
    </r>
    <r>
      <rPr>
        <vertAlign val="subscript"/>
        <sz val="7"/>
        <rFont val="Arial"/>
        <family val="2"/>
      </rPr>
      <t>0,mean</t>
    </r>
    <r>
      <rPr>
        <sz val="7"/>
        <rFont val="Arial"/>
        <family val="2"/>
      </rPr>
      <t xml:space="preserve"> [N/mm</t>
    </r>
    <r>
      <rPr>
        <vertAlign val="superscript"/>
        <sz val="7"/>
        <rFont val="Arial"/>
        <family val="2"/>
      </rPr>
      <t>2</t>
    </r>
    <r>
      <rPr>
        <sz val="7"/>
        <rFont val="Arial"/>
        <family val="2"/>
      </rPr>
      <t>]</t>
    </r>
  </si>
  <si>
    <r>
      <t>E</t>
    </r>
    <r>
      <rPr>
        <vertAlign val="subscript"/>
        <sz val="7"/>
        <rFont val="Arial"/>
        <family val="2"/>
      </rPr>
      <t>0,0.05</t>
    </r>
    <r>
      <rPr>
        <sz val="7"/>
        <rFont val="Arial"/>
        <family val="2"/>
      </rPr>
      <t xml:space="preserve"> [N/mm</t>
    </r>
    <r>
      <rPr>
        <vertAlign val="superscript"/>
        <sz val="7"/>
        <rFont val="Arial"/>
        <family val="2"/>
      </rPr>
      <t>2</t>
    </r>
    <r>
      <rPr>
        <sz val="7"/>
        <rFont val="Arial"/>
        <family val="2"/>
      </rPr>
      <t>]</t>
    </r>
  </si>
  <si>
    <r>
      <t>E</t>
    </r>
    <r>
      <rPr>
        <vertAlign val="subscript"/>
        <sz val="7"/>
        <rFont val="Arial"/>
        <family val="2"/>
      </rPr>
      <t>90,mean</t>
    </r>
    <r>
      <rPr>
        <sz val="7"/>
        <rFont val="Arial"/>
        <family val="2"/>
      </rPr>
      <t xml:space="preserve"> [N/mm</t>
    </r>
    <r>
      <rPr>
        <vertAlign val="superscript"/>
        <sz val="7"/>
        <rFont val="Arial"/>
        <family val="2"/>
      </rPr>
      <t>2</t>
    </r>
    <r>
      <rPr>
        <sz val="7"/>
        <rFont val="Arial"/>
        <family val="2"/>
      </rPr>
      <t>]</t>
    </r>
  </si>
  <si>
    <r>
      <rPr>
        <sz val="7"/>
        <rFont val="Symbol"/>
        <family val="1"/>
        <charset val="2"/>
      </rPr>
      <t>a</t>
    </r>
    <r>
      <rPr>
        <vertAlign val="subscript"/>
        <sz val="7"/>
        <rFont val="Arial"/>
        <family val="2"/>
      </rPr>
      <t>T,t</t>
    </r>
    <r>
      <rPr>
        <sz val="7"/>
        <rFont val="Arial"/>
        <family val="2"/>
      </rPr>
      <t xml:space="preserve"> [1/K]</t>
    </r>
  </si>
  <si>
    <r>
      <rPr>
        <sz val="7"/>
        <rFont val="Symbol"/>
        <family val="1"/>
        <charset val="2"/>
      </rPr>
      <t>a</t>
    </r>
    <r>
      <rPr>
        <vertAlign val="subscript"/>
        <sz val="7"/>
        <rFont val="Arial"/>
        <family val="2"/>
      </rPr>
      <t>T,r</t>
    </r>
    <r>
      <rPr>
        <sz val="7"/>
        <rFont val="Arial"/>
        <family val="2"/>
      </rPr>
      <t xml:space="preserve"> [1/K]</t>
    </r>
  </si>
  <si>
    <r>
      <rPr>
        <sz val="7"/>
        <rFont val="Symbol"/>
        <family val="1"/>
        <charset val="2"/>
      </rPr>
      <t>a</t>
    </r>
    <r>
      <rPr>
        <vertAlign val="subscript"/>
        <sz val="7"/>
        <rFont val="Arial"/>
        <family val="2"/>
      </rPr>
      <t>T,l</t>
    </r>
    <r>
      <rPr>
        <sz val="7"/>
        <rFont val="Arial"/>
        <family val="2"/>
      </rPr>
      <t xml:space="preserve"> [1/K]</t>
    </r>
  </si>
  <si>
    <t>Temperaturausdehnungskoeffizient radial</t>
  </si>
  <si>
    <t>Temperaturausdehnungskoeffizient längs</t>
  </si>
  <si>
    <r>
      <rPr>
        <sz val="7"/>
        <rFont val="Symbol"/>
        <family val="1"/>
        <charset val="2"/>
      </rPr>
      <t>l</t>
    </r>
    <r>
      <rPr>
        <sz val="7"/>
        <rFont val="Arial"/>
        <family val="2"/>
      </rPr>
      <t xml:space="preserve"> [W/mK]</t>
    </r>
  </si>
  <si>
    <r>
      <t xml:space="preserve">Wärmeleitfähigkeit </t>
    </r>
    <r>
      <rPr>
        <sz val="7"/>
        <color theme="1"/>
        <rFont val="Symbol"/>
        <family val="1"/>
        <charset val="2"/>
      </rPr>
      <t>^</t>
    </r>
  </si>
  <si>
    <t>ideelle Abbrandrate</t>
  </si>
  <si>
    <r>
      <rPr>
        <sz val="7"/>
        <rFont val="Symbol"/>
        <family val="1"/>
        <charset val="2"/>
      </rPr>
      <t>b</t>
    </r>
    <r>
      <rPr>
        <vertAlign val="subscript"/>
        <sz val="7"/>
        <rFont val="Arial"/>
        <family val="2"/>
      </rPr>
      <t>n</t>
    </r>
    <r>
      <rPr>
        <sz val="7"/>
        <rFont val="Arial"/>
        <family val="2"/>
      </rPr>
      <t xml:space="preserve"> [mm/Min]</t>
    </r>
  </si>
  <si>
    <r>
      <rPr>
        <sz val="7"/>
        <rFont val="Arial"/>
        <family val="2"/>
      </rPr>
      <t>d</t>
    </r>
    <r>
      <rPr>
        <vertAlign val="subscript"/>
        <sz val="7"/>
        <rFont val="Arial"/>
        <family val="2"/>
      </rPr>
      <t>red</t>
    </r>
    <r>
      <rPr>
        <sz val="7"/>
        <rFont val="Arial"/>
        <family val="2"/>
      </rPr>
      <t xml:space="preserve"> [mm]</t>
    </r>
  </si>
  <si>
    <t>weitere Kennwerte für die Bemessung</t>
  </si>
  <si>
    <t>Pollmeier Buchen LVL</t>
  </si>
  <si>
    <t>Art der Beanspruchung</t>
  </si>
  <si>
    <t>Scheibenbeanspruchung</t>
  </si>
  <si>
    <t>generell</t>
  </si>
  <si>
    <t>Werkstoff-Code
MAT 1</t>
  </si>
  <si>
    <t>Werkstoff-Code
MAT 2</t>
  </si>
  <si>
    <t>Werkstoff-Code
MAT 3</t>
  </si>
  <si>
    <t>Streckgrenze</t>
  </si>
  <si>
    <t>SN EN 636 / BFK - F40/40 E60/40</t>
  </si>
  <si>
    <t>nicht tragend</t>
  </si>
  <si>
    <t>SN 265/1 / BFK - F25/10</t>
  </si>
  <si>
    <t>Quelle</t>
  </si>
  <si>
    <t>irrelevant</t>
  </si>
  <si>
    <t>Anzahl def. Werkstoffgruppen</t>
  </si>
  <si>
    <t>HWS - Bereich Werkstoffdicke</t>
  </si>
  <si>
    <t>Definition des Werkstoffcodes</t>
  </si>
  <si>
    <t>Erweiterter Werkstoff - Code (EWC)</t>
  </si>
  <si>
    <t>B500A</t>
  </si>
  <si>
    <t>B500B</t>
  </si>
  <si>
    <t>B450C</t>
  </si>
  <si>
    <t>Fliessgrenze</t>
  </si>
  <si>
    <r>
      <t>f</t>
    </r>
    <r>
      <rPr>
        <vertAlign val="subscript"/>
        <sz val="7"/>
        <rFont val="Arial"/>
        <family val="2"/>
      </rPr>
      <t>s,d</t>
    </r>
    <r>
      <rPr>
        <sz val="7"/>
        <rFont val="Arial"/>
        <family val="2"/>
      </rPr>
      <t xml:space="preserve"> [N/mm</t>
    </r>
    <r>
      <rPr>
        <vertAlign val="superscript"/>
        <sz val="7"/>
        <rFont val="Arial"/>
        <family val="2"/>
      </rPr>
      <t>2</t>
    </r>
    <r>
      <rPr>
        <sz val="7"/>
        <rFont val="Arial"/>
        <family val="2"/>
      </rPr>
      <t>]</t>
    </r>
  </si>
  <si>
    <t>Bemessungswert der Fliessgrenze</t>
  </si>
  <si>
    <r>
      <t>f</t>
    </r>
    <r>
      <rPr>
        <vertAlign val="subscript"/>
        <sz val="7"/>
        <rFont val="Arial"/>
        <family val="2"/>
      </rPr>
      <t>s,k</t>
    </r>
    <r>
      <rPr>
        <sz val="7"/>
        <rFont val="Arial"/>
        <family val="2"/>
      </rPr>
      <t xml:space="preserve"> [N/mm</t>
    </r>
    <r>
      <rPr>
        <vertAlign val="superscript"/>
        <sz val="7"/>
        <rFont val="Arial"/>
        <family val="2"/>
      </rPr>
      <t>2</t>
    </r>
    <r>
      <rPr>
        <sz val="7"/>
        <rFont val="Arial"/>
        <family val="2"/>
      </rPr>
      <t>]</t>
    </r>
  </si>
  <si>
    <r>
      <t>k</t>
    </r>
    <r>
      <rPr>
        <vertAlign val="subscript"/>
        <sz val="7"/>
        <rFont val="Arial"/>
        <family val="2"/>
      </rPr>
      <t>s</t>
    </r>
    <r>
      <rPr>
        <sz val="7"/>
        <rFont val="Arial"/>
        <family val="2"/>
      </rPr>
      <t xml:space="preserve"> [-]</t>
    </r>
  </si>
  <si>
    <r>
      <rPr>
        <sz val="7"/>
        <rFont val="Symbol"/>
        <family val="1"/>
        <charset val="2"/>
      </rPr>
      <t>e</t>
    </r>
    <r>
      <rPr>
        <vertAlign val="subscript"/>
        <sz val="7"/>
        <rFont val="Arial"/>
        <family val="2"/>
      </rPr>
      <t>ud</t>
    </r>
    <r>
      <rPr>
        <sz val="7"/>
        <rFont val="Arial"/>
        <family val="2"/>
      </rPr>
      <t xml:space="preserve"> [-]</t>
    </r>
  </si>
  <si>
    <r>
      <t>E</t>
    </r>
    <r>
      <rPr>
        <vertAlign val="subscript"/>
        <sz val="7"/>
        <rFont val="Arial"/>
        <family val="2"/>
      </rPr>
      <t>s</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</si>
  <si>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t,k</t>
    </r>
    <r>
      <rPr>
        <sz val="7"/>
        <rFont val="Arial"/>
        <family val="2"/>
      </rPr>
      <t xml:space="preserve"> / f</t>
    </r>
    <r>
      <rPr>
        <vertAlign val="subscript"/>
        <sz val="7"/>
        <rFont val="Arial"/>
        <family val="2"/>
      </rPr>
      <t>s,k</t>
    </r>
    <r>
      <rPr>
        <sz val="7"/>
        <rFont val="Arial"/>
        <family val="2"/>
      </rPr>
      <t xml:space="preserve"> [-]</t>
    </r>
  </si>
  <si>
    <t>Bemessungswerte</t>
  </si>
  <si>
    <r>
      <rPr>
        <sz val="7"/>
        <rFont val="Symbol"/>
        <family val="1"/>
        <charset val="2"/>
      </rPr>
      <t>e</t>
    </r>
    <r>
      <rPr>
        <vertAlign val="subscript"/>
        <sz val="7"/>
        <rFont val="Arial"/>
        <family val="2"/>
      </rPr>
      <t>uk</t>
    </r>
    <r>
      <rPr>
        <sz val="7"/>
        <rFont val="Arial"/>
        <family val="2"/>
      </rPr>
      <t xml:space="preserve"> [%]</t>
    </r>
  </si>
  <si>
    <t>Dehnung bei Höchstlast</t>
  </si>
  <si>
    <t>Verfestigungsverhältnis</t>
  </si>
  <si>
    <t xml:space="preserve">Bemessungswert der Bruchdehung </t>
  </si>
  <si>
    <t>Kenngrössen Stahlbeton</t>
  </si>
  <si>
    <t>Stahlbeton - SIA 262 (2003)</t>
  </si>
  <si>
    <t>Kenngrössen Betonstahl</t>
  </si>
  <si>
    <t>Kenngrössen Spannstahl</t>
  </si>
  <si>
    <t>Y1860</t>
  </si>
  <si>
    <t>Y1770</t>
  </si>
  <si>
    <t>Y1670</t>
  </si>
  <si>
    <t>Y1570</t>
  </si>
  <si>
    <t>Y1230</t>
  </si>
  <si>
    <t>Y1100</t>
  </si>
  <si>
    <t>Y1030</t>
  </si>
  <si>
    <t>Beton SIA 262 (2003)</t>
  </si>
  <si>
    <r>
      <t>f</t>
    </r>
    <r>
      <rPr>
        <vertAlign val="subscript"/>
        <sz val="7"/>
        <rFont val="Arial"/>
        <family val="2"/>
      </rPr>
      <t>p,d</t>
    </r>
    <r>
      <rPr>
        <sz val="7"/>
        <rFont val="Arial"/>
        <family val="2"/>
      </rPr>
      <t xml:space="preserve"> [N/mm</t>
    </r>
    <r>
      <rPr>
        <vertAlign val="superscript"/>
        <sz val="7"/>
        <rFont val="Arial"/>
        <family val="2"/>
      </rPr>
      <t>2</t>
    </r>
    <r>
      <rPr>
        <sz val="7"/>
        <rFont val="Arial"/>
        <family val="2"/>
      </rPr>
      <t>]</t>
    </r>
  </si>
  <si>
    <r>
      <t>E</t>
    </r>
    <r>
      <rPr>
        <vertAlign val="subscript"/>
        <sz val="7"/>
        <rFont val="Arial"/>
        <family val="2"/>
      </rPr>
      <t>p</t>
    </r>
    <r>
      <rPr>
        <sz val="7"/>
        <rFont val="Arial"/>
        <family val="2"/>
      </rPr>
      <t xml:space="preserve"> [N/mm</t>
    </r>
    <r>
      <rPr>
        <vertAlign val="superscript"/>
        <sz val="7"/>
        <rFont val="Arial"/>
        <family val="2"/>
      </rPr>
      <t>2</t>
    </r>
    <r>
      <rPr>
        <sz val="7"/>
        <rFont val="Arial"/>
        <family val="2"/>
      </rPr>
      <t>]</t>
    </r>
  </si>
  <si>
    <t>E-Modul - Drähte und Stäbe</t>
  </si>
  <si>
    <t>E-Modul - Litzen</t>
  </si>
  <si>
    <t>Querschnittfläche Betonstähle</t>
  </si>
  <si>
    <r>
      <t>A</t>
    </r>
    <r>
      <rPr>
        <vertAlign val="subscript"/>
        <sz val="7"/>
        <rFont val="Arial"/>
        <family val="2"/>
      </rPr>
      <t>s</t>
    </r>
    <r>
      <rPr>
        <sz val="7"/>
        <rFont val="Arial"/>
        <family val="2"/>
      </rPr>
      <t xml:space="preserve"> [mm^</t>
    </r>
    <r>
      <rPr>
        <vertAlign val="superscript"/>
        <sz val="7"/>
        <rFont val="Arial"/>
        <family val="2"/>
      </rPr>
      <t>2</t>
    </r>
    <r>
      <rPr>
        <sz val="7"/>
        <rFont val="Arial"/>
        <family val="2"/>
      </rPr>
      <t>]</t>
    </r>
  </si>
  <si>
    <t>Baustahl - SIA 263 (2003)</t>
  </si>
  <si>
    <t>Festigkeitsklasse der Schraube</t>
  </si>
  <si>
    <r>
      <rPr>
        <sz val="7"/>
        <rFont val="Symbol"/>
        <family val="1"/>
        <charset val="2"/>
      </rPr>
      <t>e</t>
    </r>
    <r>
      <rPr>
        <vertAlign val="subscript"/>
        <sz val="7"/>
        <rFont val="Arial"/>
        <family val="2"/>
      </rPr>
      <t>u</t>
    </r>
    <r>
      <rPr>
        <sz val="7"/>
        <rFont val="Arial"/>
        <family val="2"/>
      </rPr>
      <t xml:space="preserve"> [%]</t>
    </r>
  </si>
  <si>
    <t>Spannungsquerschnitt Gewindestangen</t>
  </si>
  <si>
    <t>Kenngrössen Nichtrostender Betonstahl</t>
  </si>
  <si>
    <t>Werkstoff - Nr.</t>
  </si>
  <si>
    <t>Kurzbezeichnung</t>
  </si>
  <si>
    <t xml:space="preserve">X2CrNi 12/ X2Cr 11 </t>
  </si>
  <si>
    <t xml:space="preserve">X5CrNi 18·10 </t>
  </si>
  <si>
    <t xml:space="preserve">X2CrNiN 18-10 </t>
  </si>
  <si>
    <t xml:space="preserve">X5CrNiMo 17-12-2 </t>
  </si>
  <si>
    <t xml:space="preserve">X2CrNiMo 17-12-2 </t>
  </si>
  <si>
    <t xml:space="preserve">X2CrNiN 23-4 </t>
  </si>
  <si>
    <t xml:space="preserve">X6CrNiMoTi 17-12-2 </t>
  </si>
  <si>
    <t xml:space="preserve">X2CrNiMoN 17-11-2 </t>
  </si>
  <si>
    <t xml:space="preserve">X3CrNiMo 17-13-3 </t>
  </si>
  <si>
    <t xml:space="preserve">X2CrNiMoN 17-13-3 </t>
  </si>
  <si>
    <t xml:space="preserve">X2CrNiMoN 22-5-3 </t>
  </si>
  <si>
    <t xml:space="preserve">X1 NiCrMoCuN 25-20-7 </t>
  </si>
  <si>
    <t>Bemerkung</t>
  </si>
  <si>
    <t xml:space="preserve">Duplex-Stahl; erhöhte SRK-und IK-Beständigkeit </t>
  </si>
  <si>
    <t xml:space="preserve">Höhere Festigkeit und leicht höher 
legiert als 1.4436; für Anwendungen mit atmosphärischer Korrosion, z.B. Tunnelatmosphären </t>
  </si>
  <si>
    <t xml:space="preserve">Leicht höher legiert als 1.4404; primär für Anwendungen mit atmosphärischer Korrosion </t>
  </si>
  <si>
    <t xml:space="preserve">Entspricht einem 1.4404 mit höherer Festigkeit </t>
  </si>
  <si>
    <t xml:space="preserve">Vergleichbar mit 1.4404, Ti-stabilisiert für bessere Schweissbarkeit. </t>
  </si>
  <si>
    <t xml:space="preserve">Entspricht einem 1.4401 mit tieferem C-Gehalt </t>
  </si>
  <si>
    <t xml:space="preserve">Veraltete Bezeichnung: V4A, A4 </t>
  </si>
  <si>
    <t xml:space="preserve">Entspricht einem 1.4301 mit höherer Festigkeit und tieferem C-Gehalt </t>
  </si>
  <si>
    <t xml:space="preserve">Veraltete Bezeichnung: V2A, A2 </t>
  </si>
  <si>
    <t xml:space="preserve">Chromstahl </t>
  </si>
  <si>
    <t xml:space="preserve">Hohe LF/SRKlSK-Beständigkeit; dank einem tiefen C-Gehalt auch nach dem Schweissen IK-beständig; für Anwendungen mit atmosphärischer Korrosion </t>
  </si>
  <si>
    <t>KWK [-]</t>
  </si>
  <si>
    <t>[-]</t>
  </si>
  <si>
    <t>Wärmeleitfähigkeit bei 20°C</t>
  </si>
  <si>
    <t>Stahlquerschnitte in Funktion des Stabdurchmessers</t>
  </si>
  <si>
    <t>swiss stell</t>
  </si>
  <si>
    <t>Debrunner Acifer</t>
  </si>
  <si>
    <t>Kenngrössen Nichtrostender Baustahl</t>
  </si>
  <si>
    <t>Verbindungsmittel - TGS-, VGS-, und Sonderschrauben</t>
  </si>
  <si>
    <t>Tabellierte Produkte</t>
  </si>
  <si>
    <t>Widerstandsbeiwerte</t>
  </si>
  <si>
    <t>Schnittholz/ Brettschichtholz/ Holzwerkstoff</t>
  </si>
  <si>
    <t>Schnittholz/ Brettschichtholz/ Holzwerkstoff &amp; =1) 2)</t>
  </si>
  <si>
    <t>Nadel - Brettschichtholz</t>
  </si>
  <si>
    <t>zementgebundene Spanplatten</t>
  </si>
  <si>
    <t xml:space="preserve">zementgebundene Spanplatten </t>
  </si>
  <si>
    <t>Alternativer s-/ W-Verweis</t>
  </si>
  <si>
    <t>Vollholz Buche/ Eiche</t>
  </si>
  <si>
    <t>Abbrand Reduktionsbeiwert Festigkeit/ Steifigkeit</t>
  </si>
  <si>
    <t>spezifisches Schwind- u. Quellmass längs</t>
  </si>
  <si>
    <t>spezifisches Schwind- u. Quellmass quer</t>
  </si>
  <si>
    <t>charakteristische Werte</t>
  </si>
  <si>
    <t>Korrosionswiderstandsklasse</t>
  </si>
  <si>
    <r>
      <t>Verhältnis f</t>
    </r>
    <r>
      <rPr>
        <vertAlign val="subscript"/>
        <sz val="7"/>
        <rFont val="Arial"/>
        <family val="2"/>
      </rPr>
      <t>t,k</t>
    </r>
    <r>
      <rPr>
        <sz val="7"/>
        <rFont val="Arial"/>
        <family val="2"/>
      </rPr>
      <t xml:space="preserve"> / f</t>
    </r>
    <r>
      <rPr>
        <vertAlign val="subscript"/>
        <sz val="7"/>
        <rFont val="Arial"/>
        <family val="2"/>
      </rPr>
      <t>s,k</t>
    </r>
  </si>
  <si>
    <t>Quelle der Materialeigenschaften</t>
  </si>
  <si>
    <t>Charakteristische Festigkeitswerte Baustahl (SIA 263 - Tabelle 1)</t>
  </si>
  <si>
    <t>Charakteristische Festigkeitswerte Verbindungsmittel (SIA 263 - Tabelle 2)</t>
  </si>
  <si>
    <t>Querdehnungszahl</t>
  </si>
  <si>
    <t>Verhaltensbeiwert q [-]</t>
  </si>
  <si>
    <r>
      <t>Verhaltensbeiwert q</t>
    </r>
    <r>
      <rPr>
        <vertAlign val="subscript"/>
        <sz val="7"/>
        <rFont val="Arial"/>
        <family val="2"/>
      </rPr>
      <t>a</t>
    </r>
    <r>
      <rPr>
        <sz val="7"/>
        <rFont val="Arial"/>
        <family val="2"/>
      </rPr>
      <t xml:space="preserve"> [-]</t>
    </r>
  </si>
  <si>
    <t>Decken zwischen untersch. Nutzungseinheiten</t>
  </si>
  <si>
    <t>Mindestanforderung</t>
  </si>
  <si>
    <r>
      <t>d</t>
    </r>
    <r>
      <rPr>
        <vertAlign val="subscript"/>
        <sz val="7"/>
        <rFont val="Arial"/>
        <family val="2"/>
      </rPr>
      <t>1</t>
    </r>
    <r>
      <rPr>
        <sz val="7"/>
        <rFont val="Arial"/>
        <family val="2"/>
      </rPr>
      <t xml:space="preserve"> / d [-]</t>
    </r>
  </si>
  <si>
    <t>Anzahl Produkte</t>
  </si>
  <si>
    <t>Kennwerte Schwingungen Geschossdecken</t>
  </si>
  <si>
    <t>Typ des geplanten Estrichs</t>
  </si>
  <si>
    <t>Dämpfungskoeffizient</t>
  </si>
  <si>
    <t>Anforderungen and Geschossdecken</t>
  </si>
  <si>
    <t>Reduktionsbeiwerte Nutzlasten</t>
  </si>
  <si>
    <r>
      <rPr>
        <sz val="7"/>
        <rFont val="Symbol"/>
        <family val="1"/>
        <charset val="2"/>
      </rPr>
      <t>h</t>
    </r>
    <r>
      <rPr>
        <vertAlign val="subscript"/>
        <sz val="7"/>
        <rFont val="Arial"/>
        <family val="2"/>
      </rPr>
      <t>w</t>
    </r>
    <r>
      <rPr>
        <sz val="7"/>
        <rFont val="Arial"/>
        <family val="2"/>
      </rPr>
      <t xml:space="preserve"> [-]</t>
    </r>
  </si>
  <si>
    <r>
      <rPr>
        <sz val="7"/>
        <rFont val="Symbol"/>
        <family val="1"/>
        <charset val="2"/>
      </rPr>
      <t>h</t>
    </r>
    <r>
      <rPr>
        <vertAlign val="subscript"/>
        <sz val="7"/>
        <rFont val="Arial"/>
        <family val="2"/>
      </rPr>
      <t>t</t>
    </r>
    <r>
      <rPr>
        <sz val="7"/>
        <rFont val="Arial"/>
        <family val="2"/>
      </rPr>
      <t xml:space="preserve"> [-]</t>
    </r>
  </si>
  <si>
    <t>Feuchtebeiwert</t>
  </si>
  <si>
    <t>Beiwert Einwirkungsdauer</t>
  </si>
  <si>
    <r>
      <t>Beiwerte</t>
    </r>
    <r>
      <rPr>
        <b/>
        <sz val="12"/>
        <rFont val="Symbol"/>
        <family val="1"/>
        <charset val="2"/>
      </rPr>
      <t xml:space="preserve"> h</t>
    </r>
    <r>
      <rPr>
        <b/>
        <vertAlign val="subscript"/>
        <sz val="12"/>
        <rFont val="Arial"/>
        <family val="2"/>
      </rPr>
      <t>w</t>
    </r>
    <r>
      <rPr>
        <b/>
        <sz val="12"/>
        <rFont val="Arial"/>
        <family val="2"/>
      </rPr>
      <t xml:space="preserve"> und </t>
    </r>
    <r>
      <rPr>
        <b/>
        <sz val="12"/>
        <rFont val="Symbol"/>
        <family val="1"/>
        <charset val="2"/>
      </rPr>
      <t>h</t>
    </r>
    <r>
      <rPr>
        <b/>
        <vertAlign val="subscript"/>
        <sz val="12"/>
        <rFont val="Arial"/>
        <family val="2"/>
      </rPr>
      <t>t</t>
    </r>
  </si>
  <si>
    <r>
      <t xml:space="preserve">Reduktionsbeiwerte </t>
    </r>
    <r>
      <rPr>
        <b/>
        <sz val="12"/>
        <rFont val="Symbol"/>
        <family val="1"/>
        <charset val="2"/>
      </rPr>
      <t>y</t>
    </r>
    <r>
      <rPr>
        <b/>
        <vertAlign val="subscript"/>
        <sz val="12"/>
        <rFont val="Arial"/>
        <family val="2"/>
      </rPr>
      <t>0</t>
    </r>
    <r>
      <rPr>
        <b/>
        <sz val="12"/>
        <rFont val="Arial"/>
        <family val="2"/>
      </rPr>
      <t xml:space="preserve"> - </t>
    </r>
    <r>
      <rPr>
        <b/>
        <sz val="12"/>
        <rFont val="Symbol"/>
        <family val="1"/>
        <charset val="2"/>
      </rPr>
      <t>y</t>
    </r>
    <r>
      <rPr>
        <b/>
        <vertAlign val="subscript"/>
        <sz val="12"/>
        <rFont val="Arial"/>
        <family val="2"/>
      </rPr>
      <t>1</t>
    </r>
    <r>
      <rPr>
        <b/>
        <sz val="12"/>
        <rFont val="Arial"/>
        <family val="2"/>
      </rPr>
      <t xml:space="preserve"> - y</t>
    </r>
    <r>
      <rPr>
        <b/>
        <vertAlign val="subscript"/>
        <sz val="12"/>
        <rFont val="Arial"/>
        <family val="2"/>
      </rPr>
      <t>2</t>
    </r>
  </si>
  <si>
    <r>
      <t xml:space="preserve">Widerstandsbeiwerte </t>
    </r>
    <r>
      <rPr>
        <sz val="8"/>
        <rFont val="Symbol"/>
        <family val="1"/>
        <charset val="2"/>
      </rPr>
      <t>g</t>
    </r>
    <r>
      <rPr>
        <vertAlign val="subscript"/>
        <sz val="8"/>
        <rFont val="Arial"/>
        <family val="2"/>
      </rPr>
      <t>M</t>
    </r>
  </si>
  <si>
    <t xml:space="preserve">Lasteinwirkungsdauer KLED </t>
  </si>
  <si>
    <r>
      <t xml:space="preserve">Beiwerte </t>
    </r>
    <r>
      <rPr>
        <sz val="7"/>
        <rFont val="Symbol"/>
        <family val="1"/>
        <charset val="2"/>
      </rPr>
      <t>h</t>
    </r>
    <r>
      <rPr>
        <vertAlign val="subscript"/>
        <sz val="7"/>
        <rFont val="Arial"/>
        <family val="2"/>
      </rPr>
      <t>mod</t>
    </r>
  </si>
  <si>
    <t>Code</t>
  </si>
  <si>
    <t>2 stelliger Code Werkstoffgruppe</t>
  </si>
  <si>
    <t>3 stelliger Code Werkstoffgruppe</t>
  </si>
  <si>
    <t xml:space="preserve"> Werkstoff Code (WC)</t>
  </si>
  <si>
    <t>Werkstoffgruppe</t>
  </si>
  <si>
    <t xml:space="preserve">2-stelliger-WG-Code </t>
  </si>
  <si>
    <t xml:space="preserve">3-stelliger-WG-Code </t>
  </si>
  <si>
    <r>
      <t xml:space="preserve">Kriechzahlen </t>
    </r>
    <r>
      <rPr>
        <sz val="7"/>
        <rFont val="Symbol"/>
        <family val="1"/>
        <charset val="2"/>
      </rPr>
      <t>j</t>
    </r>
  </si>
  <si>
    <t>MAT.1</t>
  </si>
  <si>
    <t>MAT.2</t>
  </si>
  <si>
    <t>MAT.3</t>
  </si>
  <si>
    <t>MAT.1 - diverse Beiwerte und Codes</t>
  </si>
  <si>
    <r>
      <t xml:space="preserve">Faktor -  </t>
    </r>
    <r>
      <rPr>
        <sz val="7"/>
        <rFont val="Symbol"/>
        <family val="1"/>
        <charset val="2"/>
      </rPr>
      <t>h</t>
    </r>
    <r>
      <rPr>
        <vertAlign val="subscript"/>
        <sz val="7"/>
        <rFont val="Arial"/>
        <family val="2"/>
      </rPr>
      <t xml:space="preserve">mod </t>
    </r>
    <r>
      <rPr>
        <sz val="7"/>
        <rFont val="Arial"/>
        <family val="2"/>
      </rPr>
      <t xml:space="preserve">/ </t>
    </r>
    <r>
      <rPr>
        <sz val="7"/>
        <rFont val="Symbol"/>
        <family val="1"/>
        <charset val="2"/>
      </rPr>
      <t>g</t>
    </r>
    <r>
      <rPr>
        <vertAlign val="subscript"/>
        <sz val="7"/>
        <rFont val="Arial"/>
        <family val="2"/>
      </rPr>
      <t>M</t>
    </r>
  </si>
  <si>
    <r>
      <t xml:space="preserve">Faktor -  </t>
    </r>
    <r>
      <rPr>
        <sz val="7"/>
        <rFont val="Symbol"/>
        <family val="1"/>
        <charset val="2"/>
      </rPr>
      <t>h</t>
    </r>
    <r>
      <rPr>
        <vertAlign val="subscript"/>
        <sz val="7"/>
        <rFont val="Arial"/>
        <family val="2"/>
      </rPr>
      <t xml:space="preserve">t  </t>
    </r>
    <r>
      <rPr>
        <sz val="7"/>
        <rFont val="Arial"/>
        <family val="2"/>
      </rPr>
      <t xml:space="preserve">·  </t>
    </r>
    <r>
      <rPr>
        <sz val="7"/>
        <rFont val="Symbol"/>
        <family val="1"/>
        <charset val="2"/>
      </rPr>
      <t>h</t>
    </r>
    <r>
      <rPr>
        <vertAlign val="subscript"/>
        <sz val="7"/>
        <rFont val="Arial"/>
        <family val="2"/>
      </rPr>
      <t>w</t>
    </r>
  </si>
  <si>
    <r>
      <t xml:space="preserve">Verbindungsmittel  </t>
    </r>
    <r>
      <rPr>
        <sz val="7"/>
        <rFont val="Symbol"/>
        <family val="1"/>
        <charset val="2"/>
      </rPr>
      <t>h</t>
    </r>
    <r>
      <rPr>
        <vertAlign val="subscript"/>
        <sz val="7"/>
        <rFont val="Arial"/>
        <family val="2"/>
      </rPr>
      <t>t</t>
    </r>
    <r>
      <rPr>
        <sz val="7"/>
        <rFont val="Arial"/>
        <family val="2"/>
      </rPr>
      <t xml:space="preserve"> [-]</t>
    </r>
  </si>
  <si>
    <t>MAT.2 - diverse Beiwerte und Codes</t>
  </si>
  <si>
    <t>MAT.3 - diverse Beiwerte und Codes</t>
  </si>
  <si>
    <r>
      <t xml:space="preserve">Steifigkeit </t>
    </r>
    <r>
      <rPr>
        <sz val="7"/>
        <rFont val="Symbol"/>
        <family val="1"/>
        <charset val="2"/>
      </rPr>
      <t>h</t>
    </r>
    <r>
      <rPr>
        <vertAlign val="subscript"/>
        <sz val="7"/>
        <rFont val="Arial"/>
        <family val="2"/>
      </rPr>
      <t>w</t>
    </r>
  </si>
  <si>
    <r>
      <rPr>
        <sz val="7"/>
        <rFont val="Symbol"/>
        <family val="1"/>
        <charset val="2"/>
      </rPr>
      <t>h</t>
    </r>
    <r>
      <rPr>
        <vertAlign val="subscript"/>
        <sz val="7"/>
        <rFont val="Arial"/>
        <family val="2"/>
      </rPr>
      <t>mod-2</t>
    </r>
    <r>
      <rPr>
        <sz val="7"/>
        <rFont val="Arial"/>
        <family val="2"/>
      </rPr>
      <t xml:space="preserve"> [-]</t>
    </r>
  </si>
  <si>
    <r>
      <rPr>
        <sz val="7"/>
        <rFont val="Symbol"/>
        <family val="1"/>
        <charset val="2"/>
      </rPr>
      <t>g</t>
    </r>
    <r>
      <rPr>
        <vertAlign val="subscript"/>
        <sz val="7"/>
        <rFont val="Arial"/>
        <family val="2"/>
      </rPr>
      <t>M-2</t>
    </r>
    <r>
      <rPr>
        <sz val="7"/>
        <rFont val="Arial"/>
        <family val="2"/>
      </rPr>
      <t xml:space="preserve"> [-]</t>
    </r>
  </si>
  <si>
    <r>
      <rPr>
        <sz val="7"/>
        <rFont val="Symbol"/>
        <family val="1"/>
        <charset val="2"/>
      </rPr>
      <t>h</t>
    </r>
    <r>
      <rPr>
        <vertAlign val="subscript"/>
        <sz val="7"/>
        <rFont val="Arial"/>
        <family val="2"/>
      </rPr>
      <t>mod-3</t>
    </r>
    <r>
      <rPr>
        <sz val="7"/>
        <rFont val="Arial"/>
        <family val="2"/>
      </rPr>
      <t xml:space="preserve"> [-]</t>
    </r>
  </si>
  <si>
    <r>
      <rPr>
        <sz val="7"/>
        <rFont val="Symbol"/>
        <family val="1"/>
        <charset val="2"/>
      </rPr>
      <t>g</t>
    </r>
    <r>
      <rPr>
        <vertAlign val="subscript"/>
        <sz val="7"/>
        <rFont val="Arial"/>
        <family val="2"/>
      </rPr>
      <t>M-3</t>
    </r>
    <r>
      <rPr>
        <sz val="7"/>
        <rFont val="Arial"/>
        <family val="2"/>
      </rPr>
      <t xml:space="preserve"> [-]</t>
    </r>
  </si>
  <si>
    <t>Materialkennwerte</t>
  </si>
  <si>
    <t>Formel für  Bewirtschaftung</t>
  </si>
  <si>
    <t>Auswahl Produkt</t>
  </si>
  <si>
    <t>Auswahl Durchmesser</t>
  </si>
  <si>
    <r>
      <t>Resultat für f</t>
    </r>
    <r>
      <rPr>
        <vertAlign val="subscript"/>
        <sz val="7"/>
        <rFont val="Arial"/>
        <family val="2"/>
      </rPr>
      <t>u,k</t>
    </r>
    <r>
      <rPr>
        <sz val="7"/>
        <rFont val="Arial"/>
        <family val="2"/>
      </rPr>
      <t xml:space="preserve"> [N/mm</t>
    </r>
    <r>
      <rPr>
        <vertAlign val="superscript"/>
        <sz val="7"/>
        <rFont val="Arial"/>
        <family val="2"/>
      </rPr>
      <t>2</t>
    </r>
    <r>
      <rPr>
        <sz val="7"/>
        <rFont val="Arial"/>
        <family val="2"/>
      </rPr>
      <t>]</t>
    </r>
  </si>
  <si>
    <r>
      <t>Resultat für f</t>
    </r>
    <r>
      <rPr>
        <vertAlign val="subscript"/>
        <sz val="7"/>
        <rFont val="Arial"/>
        <family val="2"/>
      </rPr>
      <t>y,k</t>
    </r>
    <r>
      <rPr>
        <sz val="7"/>
        <rFont val="Arial"/>
        <family val="2"/>
      </rPr>
      <t xml:space="preserve"> [N/mm</t>
    </r>
    <r>
      <rPr>
        <vertAlign val="superscript"/>
        <sz val="7"/>
        <rFont val="Arial"/>
        <family val="2"/>
      </rPr>
      <t>2</t>
    </r>
    <r>
      <rPr>
        <sz val="7"/>
        <rFont val="Arial"/>
        <family val="2"/>
      </rPr>
      <t>]</t>
    </r>
  </si>
  <si>
    <t>Ancon - RIPINOX</t>
  </si>
  <si>
    <t>RC-C 25/30</t>
  </si>
  <si>
    <t>RC-C 30/37</t>
  </si>
  <si>
    <t>Recyclingbeton- SIA Merkblatt 2030</t>
  </si>
  <si>
    <r>
      <rPr>
        <sz val="7"/>
        <rFont val="Symbol"/>
        <family val="1"/>
        <charset val="2"/>
      </rPr>
      <t>h</t>
    </r>
    <r>
      <rPr>
        <vertAlign val="subscript"/>
        <sz val="7"/>
        <rFont val="Arial"/>
        <family val="2"/>
      </rPr>
      <t>r</t>
    </r>
    <r>
      <rPr>
        <sz val="7"/>
        <rFont val="Arial"/>
        <family val="2"/>
      </rPr>
      <t xml:space="preserve"> für R</t>
    </r>
    <r>
      <rPr>
        <vertAlign val="subscript"/>
        <sz val="7"/>
        <rFont val="Arial"/>
        <family val="2"/>
      </rPr>
      <t>c</t>
    </r>
    <r>
      <rPr>
        <sz val="7"/>
        <rFont val="Arial"/>
        <family val="2"/>
      </rPr>
      <t xml:space="preserve"> &gt; 50 Massenprozent</t>
    </r>
  </si>
  <si>
    <t>t.MAT.1</t>
  </si>
  <si>
    <t>t.MAT.2</t>
  </si>
  <si>
    <t>t.MAT.3</t>
  </si>
  <si>
    <r>
      <rPr>
        <sz val="7"/>
        <rFont val="Arial$"/>
      </rPr>
      <t xml:space="preserve">Hohlkasten </t>
    </r>
    <r>
      <rPr>
        <sz val="7"/>
        <rFont val="Symbol"/>
        <family val="1"/>
        <charset val="2"/>
      </rPr>
      <t>x</t>
    </r>
    <r>
      <rPr>
        <sz val="7"/>
        <rFont val="Areal"/>
      </rPr>
      <t xml:space="preserve"> [-]</t>
    </r>
  </si>
  <si>
    <r>
      <rPr>
        <sz val="7"/>
        <rFont val="Arial$"/>
      </rPr>
      <t xml:space="preserve">HBV </t>
    </r>
    <r>
      <rPr>
        <sz val="7"/>
        <rFont val="Symbol"/>
        <family val="1"/>
        <charset val="2"/>
      </rPr>
      <t>x</t>
    </r>
    <r>
      <rPr>
        <sz val="7"/>
        <rFont val="Areal"/>
      </rPr>
      <t xml:space="preserve"> [-]</t>
    </r>
  </si>
  <si>
    <t>Wind</t>
  </si>
  <si>
    <t>MAT.4 - diverse Beiwerte und Codes</t>
  </si>
  <si>
    <t>MAT.5 - diverse Beiwerte und Codes</t>
  </si>
  <si>
    <t>MAT.4</t>
  </si>
  <si>
    <t>MAT.5</t>
  </si>
  <si>
    <t>Werkstoff-Code
MAT 4</t>
  </si>
  <si>
    <t>Werkstoff-Code
MAT 5</t>
  </si>
  <si>
    <t>GFP - Fermacell</t>
  </si>
  <si>
    <t>GFP - Knauf</t>
  </si>
  <si>
    <t>Fermacell - ETA-03/0050</t>
  </si>
  <si>
    <t>Nutzlast</t>
  </si>
  <si>
    <t>Materialliste 1</t>
  </si>
  <si>
    <t>Teil - QS 5</t>
  </si>
  <si>
    <t>Teil - QS 4</t>
  </si>
  <si>
    <t>Rollschubfestigkeit</t>
  </si>
  <si>
    <t>Schubfestigkeit</t>
  </si>
  <si>
    <t>Biegefestigkeit</t>
  </si>
  <si>
    <t>L/500</t>
  </si>
  <si>
    <t>L/350</t>
  </si>
  <si>
    <t>L/300</t>
  </si>
  <si>
    <t>Schnee</t>
  </si>
  <si>
    <r>
      <t xml:space="preserve">Anteile Biegesteifigkeit (t = </t>
    </r>
    <r>
      <rPr>
        <sz val="7"/>
        <color theme="1"/>
        <rFont val="Symbol"/>
        <family val="1"/>
        <charset val="2"/>
      </rPr>
      <t>¥</t>
    </r>
    <r>
      <rPr>
        <sz val="7"/>
        <color theme="1"/>
        <rFont val="Arial"/>
        <family val="2"/>
      </rPr>
      <t xml:space="preserve">  / t = 0)</t>
    </r>
  </si>
  <si>
    <t>Ersatzquerschnitt Vollholz</t>
  </si>
  <si>
    <t>t = 0</t>
  </si>
  <si>
    <t>t = ∞</t>
  </si>
  <si>
    <r>
      <t>E-Modul [N/mn</t>
    </r>
    <r>
      <rPr>
        <vertAlign val="superscript"/>
        <sz val="7"/>
        <rFont val="Aarial"/>
      </rPr>
      <t>2</t>
    </r>
    <r>
      <rPr>
        <sz val="7"/>
        <rFont val="Aarial"/>
      </rPr>
      <t>]</t>
    </r>
  </si>
  <si>
    <t>Querschnittbreite [mm]</t>
  </si>
  <si>
    <t>Querschnitthöhe [mm]</t>
  </si>
  <si>
    <t>Berechnung der massgebenden Verformungen</t>
  </si>
  <si>
    <t>Beiwerte für Verbindungmittel</t>
  </si>
  <si>
    <t>Werkstoffdicke zur Berechnung de Werkstoff-Codes</t>
  </si>
  <si>
    <r>
      <t xml:space="preserve">Verbindungsmittel </t>
    </r>
    <r>
      <rPr>
        <sz val="7"/>
        <rFont val="Symbol"/>
        <family val="1"/>
        <charset val="2"/>
      </rPr>
      <t>h</t>
    </r>
    <r>
      <rPr>
        <vertAlign val="subscript"/>
        <sz val="7"/>
        <rFont val="Arial"/>
        <family val="2"/>
      </rPr>
      <t>w</t>
    </r>
    <r>
      <rPr>
        <sz val="7"/>
        <rFont val="Arial"/>
        <family val="2"/>
      </rPr>
      <t xml:space="preserve"> [-]</t>
    </r>
  </si>
  <si>
    <r>
      <t xml:space="preserve">Querdruck </t>
    </r>
    <r>
      <rPr>
        <sz val="7"/>
        <rFont val="Symbol"/>
        <family val="1"/>
        <charset val="2"/>
      </rPr>
      <t>^</t>
    </r>
    <r>
      <rPr>
        <sz val="7"/>
        <rFont val="Arial"/>
        <family val="2"/>
      </rPr>
      <t xml:space="preserve"> - generell</t>
    </r>
  </si>
  <si>
    <r>
      <t xml:space="preserve">Querdruck </t>
    </r>
    <r>
      <rPr>
        <sz val="7"/>
        <rFont val="Symbol"/>
        <family val="1"/>
        <charset val="2"/>
      </rPr>
      <t>^</t>
    </r>
    <r>
      <rPr>
        <sz val="7"/>
        <rFont val="Arial"/>
        <family val="2"/>
      </rPr>
      <t xml:space="preserve"> - mit Vorholz</t>
    </r>
  </si>
  <si>
    <r>
      <t xml:space="preserve">Querdruck </t>
    </r>
    <r>
      <rPr>
        <sz val="7"/>
        <rFont val="Symbol"/>
        <family val="1"/>
        <charset val="2"/>
      </rPr>
      <t>^</t>
    </r>
    <r>
      <rPr>
        <sz val="7"/>
        <rFont val="Arial"/>
        <family val="2"/>
      </rPr>
      <t xml:space="preserve"> - Endauflagerung</t>
    </r>
  </si>
  <si>
    <t>Mittelwert - Biege-E-Modul ll</t>
  </si>
  <si>
    <t>Fraktilwert - Biege-E-Modul ll</t>
  </si>
  <si>
    <r>
      <t xml:space="preserve">Mittelwert - Biege-E-Modul </t>
    </r>
    <r>
      <rPr>
        <sz val="7"/>
        <rFont val="Symbol"/>
        <family val="1"/>
        <charset val="2"/>
      </rPr>
      <t>^</t>
    </r>
  </si>
  <si>
    <t>Biegung ll zur Faserrichtung</t>
  </si>
  <si>
    <t>Gipsfaserplatten 18mm</t>
  </si>
  <si>
    <r>
      <t>f</t>
    </r>
    <r>
      <rPr>
        <vertAlign val="subscript"/>
        <sz val="7"/>
        <rFont val="Arial"/>
        <family val="2"/>
      </rPr>
      <t>A,k</t>
    </r>
    <r>
      <rPr>
        <sz val="7"/>
        <rFont val="Arial"/>
        <family val="2"/>
      </rPr>
      <t xml:space="preserve"> [N/mm</t>
    </r>
    <r>
      <rPr>
        <vertAlign val="superscript"/>
        <sz val="7"/>
        <rFont val="Arial"/>
        <family val="2"/>
      </rPr>
      <t>2</t>
    </r>
    <r>
      <rPr>
        <sz val="7"/>
        <rFont val="Arial"/>
        <family val="2"/>
      </rPr>
      <t>]</t>
    </r>
  </si>
  <si>
    <t>Gewindestange 5.6</t>
  </si>
  <si>
    <t>Bemessungsparameter Erdbeben (Nik Wirz 18.03.2014)</t>
  </si>
  <si>
    <t>Bemessungsbeiwerte</t>
  </si>
  <si>
    <t>Schubrissfaktor</t>
  </si>
  <si>
    <t>Systembeiwert</t>
  </si>
  <si>
    <r>
      <t>k</t>
    </r>
    <r>
      <rPr>
        <vertAlign val="subscript"/>
        <sz val="8"/>
        <rFont val="Arial"/>
        <family val="2"/>
      </rPr>
      <t>sys</t>
    </r>
    <r>
      <rPr>
        <sz val="8"/>
        <rFont val="Arial"/>
        <family val="2"/>
      </rPr>
      <t xml:space="preserve"> [-]</t>
    </r>
  </si>
  <si>
    <t>charakteristische Kennwerte
FGK C24 - EN 338: 2009 (D)</t>
  </si>
  <si>
    <t>DSP - Rechner</t>
  </si>
  <si>
    <t>Nenndicke</t>
  </si>
  <si>
    <t>Dicke Decklage</t>
  </si>
  <si>
    <t>Dicke Mittellage</t>
  </si>
  <si>
    <t>Biegung</t>
  </si>
  <si>
    <t>Zug und Druck</t>
  </si>
  <si>
    <t>Aufbaufaktoren</t>
  </si>
  <si>
    <t>[mm]</t>
  </si>
  <si>
    <t>Fall 1</t>
  </si>
  <si>
    <t>Fall 2</t>
  </si>
  <si>
    <t>Fall 3a</t>
  </si>
  <si>
    <t>Fall 4a</t>
  </si>
  <si>
    <t>Fall 3b</t>
  </si>
  <si>
    <t>Fall 4b</t>
  </si>
  <si>
    <r>
      <t>k</t>
    </r>
    <r>
      <rPr>
        <vertAlign val="subscript"/>
        <sz val="8"/>
        <rFont val="Arial"/>
        <family val="2"/>
      </rPr>
      <t>cr</t>
    </r>
    <r>
      <rPr>
        <sz val="8"/>
        <rFont val="Arial"/>
        <family val="2"/>
      </rPr>
      <t xml:space="preserve"> [-]</t>
    </r>
  </si>
  <si>
    <r>
      <t>E</t>
    </r>
    <r>
      <rPr>
        <vertAlign val="subscript"/>
        <sz val="7"/>
        <color theme="1"/>
        <rFont val="Arial"/>
        <family val="2"/>
      </rPr>
      <t>m,0,mean</t>
    </r>
  </si>
  <si>
    <r>
      <t>f</t>
    </r>
    <r>
      <rPr>
        <vertAlign val="subscript"/>
        <sz val="7"/>
        <color theme="1"/>
        <rFont val="Arial"/>
        <family val="2"/>
      </rPr>
      <t>m,0,k</t>
    </r>
  </si>
  <si>
    <r>
      <t>E</t>
    </r>
    <r>
      <rPr>
        <vertAlign val="subscript"/>
        <sz val="7"/>
        <color theme="1"/>
        <rFont val="Arial"/>
        <family val="2"/>
      </rPr>
      <t>m,90,mean</t>
    </r>
  </si>
  <si>
    <r>
      <t>f</t>
    </r>
    <r>
      <rPr>
        <vertAlign val="subscript"/>
        <sz val="7"/>
        <color theme="1"/>
        <rFont val="Arial"/>
        <family val="2"/>
      </rPr>
      <t>m,90,k</t>
    </r>
  </si>
  <si>
    <r>
      <t>E</t>
    </r>
    <r>
      <rPr>
        <vertAlign val="subscript"/>
        <sz val="7"/>
        <color theme="1"/>
        <rFont val="Arial"/>
        <family val="2"/>
      </rPr>
      <t>t/c,0,mean</t>
    </r>
  </si>
  <si>
    <r>
      <t>f</t>
    </r>
    <r>
      <rPr>
        <vertAlign val="subscript"/>
        <sz val="7"/>
        <color theme="1"/>
        <rFont val="Arial"/>
        <family val="2"/>
      </rPr>
      <t>t,0,k</t>
    </r>
  </si>
  <si>
    <r>
      <t>f</t>
    </r>
    <r>
      <rPr>
        <vertAlign val="subscript"/>
        <sz val="7"/>
        <color theme="1"/>
        <rFont val="Arial"/>
        <family val="2"/>
      </rPr>
      <t>c,0,k</t>
    </r>
  </si>
  <si>
    <r>
      <t>E</t>
    </r>
    <r>
      <rPr>
        <vertAlign val="subscript"/>
        <sz val="7"/>
        <color theme="1"/>
        <rFont val="Arial"/>
        <family val="2"/>
      </rPr>
      <t>t/c,90,mean</t>
    </r>
  </si>
  <si>
    <r>
      <t>f</t>
    </r>
    <r>
      <rPr>
        <vertAlign val="subscript"/>
        <sz val="7"/>
        <color theme="1"/>
        <rFont val="Arial"/>
        <family val="2"/>
      </rPr>
      <t>t,90,k</t>
    </r>
  </si>
  <si>
    <r>
      <t>f</t>
    </r>
    <r>
      <rPr>
        <vertAlign val="subscript"/>
        <sz val="7"/>
        <color theme="1"/>
        <rFont val="Arial"/>
        <family val="2"/>
      </rPr>
      <t>c,90,k</t>
    </r>
  </si>
  <si>
    <r>
      <t>G</t>
    </r>
    <r>
      <rPr>
        <vertAlign val="subscript"/>
        <sz val="7"/>
        <color theme="1"/>
        <rFont val="Arial"/>
        <family val="2"/>
      </rPr>
      <t>mean</t>
    </r>
  </si>
  <si>
    <r>
      <t>f</t>
    </r>
    <r>
      <rPr>
        <vertAlign val="subscript"/>
        <sz val="7"/>
        <color theme="1"/>
        <rFont val="Arial"/>
        <family val="2"/>
      </rPr>
      <t>v,k</t>
    </r>
  </si>
  <si>
    <r>
      <t>G</t>
    </r>
    <r>
      <rPr>
        <vertAlign val="subscript"/>
        <sz val="7"/>
        <color theme="1"/>
        <rFont val="Arial"/>
        <family val="2"/>
      </rPr>
      <t>R,mean</t>
    </r>
  </si>
  <si>
    <r>
      <t>f</t>
    </r>
    <r>
      <rPr>
        <vertAlign val="subscript"/>
        <sz val="7"/>
        <color theme="1"/>
        <rFont val="Arial"/>
        <family val="2"/>
      </rPr>
      <t>R,k</t>
    </r>
  </si>
  <si>
    <r>
      <t>f</t>
    </r>
    <r>
      <rPr>
        <vertAlign val="subscript"/>
        <sz val="7"/>
        <color theme="1"/>
        <rFont val="Arial"/>
        <family val="2"/>
      </rPr>
      <t>m,0,d</t>
    </r>
  </si>
  <si>
    <r>
      <t>f</t>
    </r>
    <r>
      <rPr>
        <vertAlign val="subscript"/>
        <sz val="7"/>
        <color theme="1"/>
        <rFont val="Arial"/>
        <family val="2"/>
      </rPr>
      <t>m,90,d</t>
    </r>
  </si>
  <si>
    <r>
      <t>f</t>
    </r>
    <r>
      <rPr>
        <vertAlign val="subscript"/>
        <sz val="7"/>
        <color theme="1"/>
        <rFont val="Arial"/>
        <family val="2"/>
      </rPr>
      <t>t,0,d</t>
    </r>
  </si>
  <si>
    <r>
      <t>f</t>
    </r>
    <r>
      <rPr>
        <vertAlign val="subscript"/>
        <sz val="7"/>
        <color theme="1"/>
        <rFont val="Arial"/>
        <family val="2"/>
      </rPr>
      <t>c,0,d</t>
    </r>
  </si>
  <si>
    <r>
      <t>f</t>
    </r>
    <r>
      <rPr>
        <vertAlign val="subscript"/>
        <sz val="7"/>
        <color theme="1"/>
        <rFont val="Arial"/>
        <family val="2"/>
      </rPr>
      <t>t,90,d</t>
    </r>
  </si>
  <si>
    <r>
      <t>f</t>
    </r>
    <r>
      <rPr>
        <vertAlign val="subscript"/>
        <sz val="7"/>
        <color theme="1"/>
        <rFont val="Arial"/>
        <family val="2"/>
      </rPr>
      <t>c,90,d</t>
    </r>
  </si>
  <si>
    <r>
      <t>f</t>
    </r>
    <r>
      <rPr>
        <vertAlign val="subscript"/>
        <sz val="7"/>
        <color theme="1"/>
        <rFont val="Arial"/>
        <family val="2"/>
      </rPr>
      <t>v,d</t>
    </r>
  </si>
  <si>
    <r>
      <t>f</t>
    </r>
    <r>
      <rPr>
        <vertAlign val="subscript"/>
        <sz val="7"/>
        <color theme="1"/>
        <rFont val="Arial"/>
        <family val="2"/>
      </rPr>
      <t>R,d</t>
    </r>
  </si>
  <si>
    <r>
      <t>[N/mm</t>
    </r>
    <r>
      <rPr>
        <vertAlign val="superscript"/>
        <sz val="7"/>
        <color theme="1"/>
        <rFont val="Arial"/>
        <family val="2"/>
      </rPr>
      <t>2</t>
    </r>
    <r>
      <rPr>
        <sz val="7"/>
        <color theme="1"/>
        <rFont val="Arial"/>
        <family val="2"/>
      </rPr>
      <t>]</t>
    </r>
  </si>
  <si>
    <r>
      <t>f</t>
    </r>
    <r>
      <rPr>
        <vertAlign val="subscript"/>
        <sz val="7"/>
        <rFont val="Arial"/>
        <family val="2"/>
      </rPr>
      <t>m,0,k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</si>
  <si>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m,90,k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</si>
  <si>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t,0,k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</si>
  <si>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t,90,k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</si>
  <si>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c,0,k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</si>
  <si>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c,90,k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</si>
  <si>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v,k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</si>
  <si>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R,k</t>
    </r>
    <r>
      <rPr>
        <sz val="7"/>
        <rFont val="Arial"/>
        <family val="2"/>
      </rPr>
      <t xml:space="preserve"> [N/mm</t>
    </r>
    <r>
      <rPr>
        <vertAlign val="superscript"/>
        <sz val="7"/>
        <rFont val="Arial"/>
        <family val="2"/>
      </rPr>
      <t>2</t>
    </r>
    <r>
      <rPr>
        <sz val="7"/>
        <rFont val="Arial"/>
        <family val="2"/>
      </rPr>
      <t>]</t>
    </r>
  </si>
  <si>
    <r>
      <t>f</t>
    </r>
    <r>
      <rPr>
        <vertAlign val="subscript"/>
        <sz val="7"/>
        <rFont val="Arial"/>
        <family val="2"/>
      </rPr>
      <t>m,k</t>
    </r>
    <r>
      <rPr>
        <sz val="7"/>
        <rFont val="Arial"/>
        <family val="2"/>
      </rPr>
      <t xml:space="preserve"> [N/mm</t>
    </r>
    <r>
      <rPr>
        <vertAlign val="superscript"/>
        <sz val="7"/>
        <rFont val="Arial"/>
        <family val="2"/>
      </rPr>
      <t>2</t>
    </r>
    <r>
      <rPr>
        <sz val="7"/>
        <rFont val="Arial"/>
        <family val="2"/>
      </rPr>
      <t>]</t>
    </r>
  </si>
  <si>
    <t>C14</t>
  </si>
  <si>
    <t>C18</t>
  </si>
  <si>
    <t>C20</t>
  </si>
  <si>
    <t>C22</t>
  </si>
  <si>
    <t>C27</t>
  </si>
  <si>
    <t>C35</t>
  </si>
  <si>
    <t>C40</t>
  </si>
  <si>
    <t>C45</t>
  </si>
  <si>
    <t>C50</t>
  </si>
  <si>
    <t>D18</t>
  </si>
  <si>
    <t>D24</t>
  </si>
  <si>
    <t>D50</t>
  </si>
  <si>
    <t>D60</t>
  </si>
  <si>
    <t>D70</t>
  </si>
  <si>
    <t>GL24c</t>
  </si>
  <si>
    <r>
      <t>k</t>
    </r>
    <r>
      <rPr>
        <vertAlign val="subscript"/>
        <sz val="7"/>
        <rFont val="Arial"/>
        <family val="2"/>
      </rPr>
      <t>cr</t>
    </r>
    <r>
      <rPr>
        <sz val="7"/>
        <rFont val="Arial"/>
        <family val="2"/>
      </rPr>
      <t xml:space="preserve"> [-]</t>
    </r>
  </si>
  <si>
    <t>t.MAT.4</t>
  </si>
  <si>
    <t>t.MAT.5</t>
  </si>
  <si>
    <t>Materialliste 2</t>
  </si>
  <si>
    <t>Materialliste 3</t>
  </si>
  <si>
    <t>Materialliste 4</t>
  </si>
  <si>
    <t>Materialliste 5</t>
  </si>
  <si>
    <r>
      <rPr>
        <sz val="7"/>
        <rFont val="Symbol"/>
        <family val="1"/>
        <charset val="2"/>
      </rPr>
      <t>h</t>
    </r>
    <r>
      <rPr>
        <vertAlign val="subscript"/>
        <sz val="7"/>
        <rFont val="Arial"/>
        <family val="2"/>
      </rPr>
      <t>mod-4</t>
    </r>
    <r>
      <rPr>
        <sz val="7"/>
        <rFont val="Arial"/>
        <family val="2"/>
      </rPr>
      <t xml:space="preserve"> [-]</t>
    </r>
  </si>
  <si>
    <r>
      <rPr>
        <sz val="7"/>
        <rFont val="Symbol"/>
        <family val="1"/>
        <charset val="2"/>
      </rPr>
      <t>g</t>
    </r>
    <r>
      <rPr>
        <vertAlign val="subscript"/>
        <sz val="7"/>
        <rFont val="Arial"/>
        <family val="2"/>
      </rPr>
      <t>M-4</t>
    </r>
    <r>
      <rPr>
        <sz val="7"/>
        <rFont val="Arial"/>
        <family val="2"/>
      </rPr>
      <t xml:space="preserve"> [-]</t>
    </r>
  </si>
  <si>
    <r>
      <rPr>
        <sz val="7"/>
        <rFont val="Symbol"/>
        <family val="1"/>
        <charset val="2"/>
      </rPr>
      <t>h</t>
    </r>
    <r>
      <rPr>
        <vertAlign val="subscript"/>
        <sz val="7"/>
        <rFont val="Arial"/>
        <family val="2"/>
      </rPr>
      <t>mod-5</t>
    </r>
    <r>
      <rPr>
        <sz val="7"/>
        <rFont val="Arial"/>
        <family val="2"/>
      </rPr>
      <t xml:space="preserve"> [-]</t>
    </r>
  </si>
  <si>
    <r>
      <rPr>
        <sz val="7"/>
        <rFont val="Symbol"/>
        <family val="1"/>
        <charset val="2"/>
      </rPr>
      <t>g</t>
    </r>
    <r>
      <rPr>
        <vertAlign val="subscript"/>
        <sz val="7"/>
        <rFont val="Arial"/>
        <family val="2"/>
      </rPr>
      <t>M-5</t>
    </r>
    <r>
      <rPr>
        <sz val="7"/>
        <rFont val="Arial"/>
        <family val="2"/>
      </rPr>
      <t xml:space="preserve"> [-]</t>
    </r>
  </si>
  <si>
    <t>Kennwerte DSP</t>
  </si>
  <si>
    <t>DSP.E.0.mean</t>
  </si>
  <si>
    <t>DSP.f.m0k</t>
  </si>
  <si>
    <t>DSP.E.90.mean</t>
  </si>
  <si>
    <t>DSP.f.t0k</t>
  </si>
  <si>
    <t>DSP.f.c0k</t>
  </si>
  <si>
    <t>DSP.G.0.mean</t>
  </si>
  <si>
    <t>DSP.G.R.man</t>
  </si>
  <si>
    <t>DSP.f.vRk</t>
  </si>
  <si>
    <t>Materialstamm</t>
  </si>
  <si>
    <t>SIA 261 (2014) - Ziffer 16.2.1</t>
  </si>
  <si>
    <t>SIA 261 (2014) - Tabelle 26: Bauwerksklassen und Bedeutungsfaktoren</t>
  </si>
  <si>
    <t>SIA 261 (2014) - Tabelle 25: Baugrundklassen und Parameterwerte für das elastische Antwortspektrum sowie das Bemessungsspektrum</t>
  </si>
  <si>
    <t>SIA 261 (2014) - Tabelle 26: Verhaltensbeiwert qa für nicht tragende Bauteile</t>
  </si>
  <si>
    <t xml:space="preserve">Fels oder andere felsähnliche geologische Formation mit höchstens 5 m Lockergestein an der Oberfläche
</t>
  </si>
  <si>
    <t>Ablagerungen von sehr dichtem Sand, Kies oder sehr steifem Ton mit einer Mächtigkeit von mindestens einigen zehn Metern, gekennzeichnet durch einen allmählichen Anstieg der mechanischen Eigenschaften mit der Tiefe</t>
  </si>
  <si>
    <t>Ablagerungen von dichtem oder mittel-dichtem Sand, Kies oder steifem Ton mit einer Mächtigkeit von einigen zehn bis mehreren hundert Metern</t>
  </si>
  <si>
    <t>Ablagerungen von lockerem bis mittel-dichtem kohäsionslosem Lockergestein (mit oder ohne einige weiche kohäsive Schichten), oder von vorwiegend weichem bis steifem kohäsivem Lockergestein</t>
  </si>
  <si>
    <r>
      <t>Oberflächliche Schicht von Lockergestein mit v</t>
    </r>
    <r>
      <rPr>
        <vertAlign val="subscript"/>
        <sz val="7"/>
        <rFont val="Arial"/>
        <family val="2"/>
      </rPr>
      <t>s</t>
    </r>
    <r>
      <rPr>
        <sz val="7"/>
        <rFont val="Arial"/>
        <family val="2"/>
      </rPr>
      <t>-Werten nach C oder D und veränderlicher Dicke zwischen 5 m und 20 m über steiferem Bodenmaterial mit v</t>
    </r>
    <r>
      <rPr>
        <vertAlign val="subscript"/>
        <sz val="7"/>
        <rFont val="Arial"/>
        <family val="2"/>
      </rPr>
      <t xml:space="preserve">s </t>
    </r>
    <r>
      <rPr>
        <sz val="7"/>
        <rFont val="Arial"/>
        <family val="2"/>
      </rPr>
      <t>&gt; 800 m/s</t>
    </r>
  </si>
  <si>
    <t>Strukturempfindliche, organische oder sehr weiche Ablagerungen (z. B. Torf, Seekreide, weicher Lehm) mit einer Mächtigkeit über 10m</t>
  </si>
  <si>
    <t>Beanspruchungsart: Platte / Biegestab</t>
  </si>
  <si>
    <r>
      <t xml:space="preserve">Biegung </t>
    </r>
    <r>
      <rPr>
        <sz val="7"/>
        <rFont val="Symbol"/>
        <family val="1"/>
        <charset val="2"/>
      </rPr>
      <t xml:space="preserve">^ </t>
    </r>
    <r>
      <rPr>
        <sz val="7"/>
        <rFont val="Arial"/>
        <family val="2"/>
      </rPr>
      <t xml:space="preserve">zur  Faserrichtung </t>
    </r>
  </si>
  <si>
    <t>Beanspruchungsart: Scheibe / axiale Zug- und Druckstäbe</t>
  </si>
  <si>
    <t>Temperaturausdehnungskoeffizient tangential</t>
  </si>
  <si>
    <t>Werkstoffe MAT.1 bis MAT.5</t>
  </si>
  <si>
    <t>Dicke der Decklage</t>
  </si>
  <si>
    <r>
      <t>t</t>
    </r>
    <r>
      <rPr>
        <vertAlign val="subscript"/>
        <sz val="7"/>
        <rFont val="Arial"/>
        <family val="2"/>
      </rPr>
      <t>DL1</t>
    </r>
    <r>
      <rPr>
        <sz val="7"/>
        <rFont val="Arial"/>
        <family val="2"/>
      </rPr>
      <t xml:space="preserve"> [mm]</t>
    </r>
  </si>
  <si>
    <r>
      <t>t</t>
    </r>
    <r>
      <rPr>
        <vertAlign val="subscript"/>
        <sz val="7"/>
        <rFont val="Arial"/>
        <family val="2"/>
      </rPr>
      <t>DL2</t>
    </r>
    <r>
      <rPr>
        <sz val="7"/>
        <rFont val="Arial"/>
        <family val="2"/>
      </rPr>
      <t xml:space="preserve"> [mm]</t>
    </r>
  </si>
  <si>
    <r>
      <t>t</t>
    </r>
    <r>
      <rPr>
        <vertAlign val="subscript"/>
        <sz val="7"/>
        <rFont val="Arial"/>
        <family val="2"/>
      </rPr>
      <t>DL3</t>
    </r>
    <r>
      <rPr>
        <sz val="7"/>
        <rFont val="Arial"/>
        <family val="2"/>
      </rPr>
      <t xml:space="preserve"> [mm]</t>
    </r>
  </si>
  <si>
    <r>
      <t>t</t>
    </r>
    <r>
      <rPr>
        <vertAlign val="subscript"/>
        <sz val="7"/>
        <rFont val="Arial"/>
        <family val="2"/>
      </rPr>
      <t>DL4</t>
    </r>
    <r>
      <rPr>
        <sz val="7"/>
        <rFont val="Arial"/>
        <family val="2"/>
      </rPr>
      <t xml:space="preserve"> [mm]</t>
    </r>
  </si>
  <si>
    <r>
      <t>t</t>
    </r>
    <r>
      <rPr>
        <vertAlign val="subscript"/>
        <sz val="7"/>
        <rFont val="Arial"/>
        <family val="2"/>
      </rPr>
      <t>DL5</t>
    </r>
    <r>
      <rPr>
        <sz val="7"/>
        <rFont val="Arial"/>
        <family val="2"/>
      </rPr>
      <t xml:space="preserve"> [mm]</t>
    </r>
  </si>
  <si>
    <t>Grün geschriebenen Tabellenwerte sind für HBV-Tabelle (technische Werte gem. Angaben David Volk)!</t>
  </si>
  <si>
    <t>Produktinformationen</t>
  </si>
  <si>
    <t>Kopie aus Alpha - Immer in Tabelle Alpha anpassen!</t>
  </si>
  <si>
    <t>Fraktilwert - Schubmodul</t>
  </si>
  <si>
    <r>
      <t>G</t>
    </r>
    <r>
      <rPr>
        <vertAlign val="subscript"/>
        <sz val="7"/>
        <rFont val="Arial"/>
        <family val="2"/>
      </rPr>
      <t>0,0.05</t>
    </r>
    <r>
      <rPr>
        <sz val="7"/>
        <rFont val="Arial"/>
        <family val="2"/>
      </rPr>
      <t xml:space="preserve"> [N/mm</t>
    </r>
    <r>
      <rPr>
        <vertAlign val="superscript"/>
        <sz val="7"/>
        <rFont val="Arial"/>
        <family val="2"/>
      </rPr>
      <t>2</t>
    </r>
    <r>
      <rPr>
        <sz val="7"/>
        <rFont val="Arial"/>
        <family val="2"/>
      </rPr>
      <t>]</t>
    </r>
  </si>
  <si>
    <t>Pos</t>
  </si>
  <si>
    <t>xxx</t>
  </si>
  <si>
    <t>Bauteil</t>
  </si>
  <si>
    <t>&gt; Formatvorl.: "Position" (Arial Narrow; 11; fett; Rahmen o/u)</t>
  </si>
  <si>
    <t>Nutzungsklasse</t>
  </si>
  <si>
    <r>
      <t>k</t>
    </r>
    <r>
      <rPr>
        <vertAlign val="subscript"/>
        <sz val="7"/>
        <rFont val="Arial"/>
        <family val="2"/>
      </rPr>
      <t>fi</t>
    </r>
    <r>
      <rPr>
        <sz val="7"/>
        <rFont val="Arial"/>
        <family val="2"/>
      </rPr>
      <t xml:space="preserve"> [-]</t>
    </r>
  </si>
  <si>
    <t>Umrechnungsfaktor</t>
  </si>
  <si>
    <r>
      <t>k</t>
    </r>
    <r>
      <rPr>
        <vertAlign val="subscript"/>
        <sz val="7"/>
        <rFont val="Arial"/>
        <family val="2"/>
      </rPr>
      <t>n</t>
    </r>
    <r>
      <rPr>
        <sz val="7"/>
        <rFont val="Arial"/>
        <family val="2"/>
      </rPr>
      <t xml:space="preserve"> [-]</t>
    </r>
  </si>
  <si>
    <t>Materialbeiwert für Ausklinkungen</t>
  </si>
  <si>
    <t>eindimensionale Abbrandrate</t>
  </si>
  <si>
    <t>EN 14374
EN 14279</t>
  </si>
  <si>
    <t xml:space="preserve">EN 312 </t>
  </si>
  <si>
    <t xml:space="preserve">EN 300 </t>
  </si>
  <si>
    <t>EN 622-2</t>
  </si>
  <si>
    <t>EN 622-3</t>
  </si>
  <si>
    <t>EN 622-5</t>
  </si>
  <si>
    <r>
      <t>Verformungs-
beiwert k</t>
    </r>
    <r>
      <rPr>
        <b/>
        <vertAlign val="subscript"/>
        <sz val="7"/>
        <rFont val="Arial"/>
        <family val="2"/>
      </rPr>
      <t>def</t>
    </r>
  </si>
  <si>
    <r>
      <t>Tabelle 3.1 - Werte für k</t>
    </r>
    <r>
      <rPr>
        <b/>
        <vertAlign val="subscript"/>
        <sz val="12"/>
        <rFont val="Arial"/>
        <family val="2"/>
      </rPr>
      <t xml:space="preserve">mod </t>
    </r>
    <r>
      <rPr>
        <b/>
        <sz val="12"/>
        <rFont val="Arial"/>
        <family val="2"/>
      </rPr>
      <t xml:space="preserve">nach DIN EN 1995-1-1:2010-12 / EN 1995-1-1:2004 + AC:2006 + A1:2008 (D) </t>
    </r>
  </si>
  <si>
    <t>EN 338
EN 14081-0</t>
  </si>
  <si>
    <t>Gipsfaserplatte, Gipsplatten (Typen GKB, GKF, GKBI und GKFI)</t>
  </si>
  <si>
    <t>GL20c</t>
  </si>
  <si>
    <t>GL20h</t>
  </si>
  <si>
    <t>GL22c</t>
  </si>
  <si>
    <t>GL22h</t>
  </si>
  <si>
    <t>GL28c</t>
  </si>
  <si>
    <t>GL32c</t>
  </si>
  <si>
    <t>GL36c</t>
  </si>
  <si>
    <t>GL40c</t>
  </si>
  <si>
    <t>GL48c</t>
  </si>
  <si>
    <t>GL30c</t>
  </si>
  <si>
    <t>GL30h</t>
  </si>
  <si>
    <t>GL26c</t>
  </si>
  <si>
    <t>GL26h</t>
  </si>
  <si>
    <t>Fraktilwert - Rollschubmodul</t>
  </si>
  <si>
    <r>
      <t>G</t>
    </r>
    <r>
      <rPr>
        <vertAlign val="subscript"/>
        <sz val="7"/>
        <rFont val="Arial"/>
        <family val="2"/>
      </rPr>
      <t>R,0,05</t>
    </r>
    <r>
      <rPr>
        <sz val="7"/>
        <rFont val="Arial"/>
        <family val="2"/>
      </rPr>
      <t xml:space="preserve"> [N/mm</t>
    </r>
    <r>
      <rPr>
        <vertAlign val="superscript"/>
        <sz val="7"/>
        <rFont val="Arial"/>
        <family val="2"/>
      </rPr>
      <t>2</t>
    </r>
    <r>
      <rPr>
        <sz val="7"/>
        <rFont val="Arial"/>
        <family val="2"/>
      </rPr>
      <t>]</t>
    </r>
  </si>
  <si>
    <r>
      <t xml:space="preserve">Fraktilwert - Biege-E-Modul </t>
    </r>
    <r>
      <rPr>
        <sz val="7"/>
        <rFont val="Symbol"/>
        <family val="1"/>
        <charset val="2"/>
      </rPr>
      <t>^</t>
    </r>
  </si>
  <si>
    <r>
      <t>E</t>
    </r>
    <r>
      <rPr>
        <vertAlign val="subscript"/>
        <sz val="7"/>
        <rFont val="Arial"/>
        <family val="2"/>
      </rPr>
      <t>90,0.05</t>
    </r>
    <r>
      <rPr>
        <sz val="7"/>
        <rFont val="Arial"/>
        <family val="2"/>
      </rPr>
      <t xml:space="preserve"> [N/mm</t>
    </r>
    <r>
      <rPr>
        <vertAlign val="superscript"/>
        <sz val="7"/>
        <rFont val="Arial"/>
        <family val="2"/>
      </rPr>
      <t>2</t>
    </r>
    <r>
      <rPr>
        <sz val="7"/>
        <rFont val="Arial"/>
        <family val="2"/>
      </rPr>
      <t>]</t>
    </r>
  </si>
  <si>
    <t>20 ≤ t ≤ 80</t>
  </si>
  <si>
    <t>30 ≤ t ≤ 80</t>
  </si>
  <si>
    <t>Leistungserklärung PM-003-2015 - 02.07.2015 bzw. Zulassung Z-9.1-838 - 21.09.2018</t>
  </si>
  <si>
    <t>Leistungserklärung MW/LVL/311-001/CPR/DOP - 15.10.2013 bzw. Zulassung - Z-9.1-847 - bis 07.05.2019</t>
  </si>
  <si>
    <t>27 ≤ t ≤ 75</t>
  </si>
  <si>
    <t>Ultralam-R / Steico-LVL R</t>
  </si>
  <si>
    <t>Ultralam-R-S / Steico-LVL RS</t>
  </si>
  <si>
    <t>Ultralam-X / Steico-LVL X</t>
  </si>
  <si>
    <t>Zulassung - Z-9.1-842 - bis 17.01.2019</t>
  </si>
  <si>
    <t>Leistungserklärung PM-004-2015 - 20.02.2015 bzw. Zulassung Z-9.1-837 - bis 02.12.2018</t>
  </si>
  <si>
    <t>EN 12369-1</t>
  </si>
  <si>
    <t>Knauf Vidiwall - ETA-07/0086</t>
  </si>
  <si>
    <t>BauBuche S-Platte</t>
  </si>
  <si>
    <t>BauBuche Q-Platte</t>
  </si>
  <si>
    <t>Kerto QP</t>
  </si>
  <si>
    <t>39 ≤ t ≤ 51</t>
  </si>
  <si>
    <t>54 ≤ t ≤ 75</t>
  </si>
  <si>
    <t>Kat. G - Fahrzeuge von 3,5 bis 16 t</t>
  </si>
  <si>
    <t>D30 Eiche/Ahorn</t>
  </si>
  <si>
    <t>D35 Buche</t>
  </si>
  <si>
    <t>D40 Buche/Esche</t>
  </si>
  <si>
    <t>Zuordnung der Holzarten nach DIN EN 1912</t>
  </si>
  <si>
    <t xml:space="preserve">  </t>
  </si>
  <si>
    <t>GL34c</t>
  </si>
  <si>
    <t>GL34h</t>
  </si>
  <si>
    <t>EN 14080</t>
  </si>
  <si>
    <t>EN 16351</t>
  </si>
  <si>
    <t>EN 633
EN 634-1
En 634-2</t>
  </si>
  <si>
    <t>DIN 18180
EN 15283-2</t>
  </si>
  <si>
    <t>EN 636 
EN 12369-2</t>
  </si>
  <si>
    <t>Brettsperrholz</t>
  </si>
  <si>
    <t>Sonderklasse n'H Lungern</t>
  </si>
  <si>
    <t>aktuelle nicht erhältlich</t>
  </si>
  <si>
    <t>Nik Wirz</t>
  </si>
  <si>
    <t>DSP ( auf Basis C24)</t>
  </si>
  <si>
    <t>EN 338:2009</t>
  </si>
  <si>
    <t>EN 14080:2013</t>
  </si>
  <si>
    <r>
      <rPr>
        <sz val="7"/>
        <rFont val="Symbol"/>
        <family val="1"/>
        <charset val="2"/>
      </rPr>
      <t>r</t>
    </r>
    <r>
      <rPr>
        <vertAlign val="subscript"/>
        <sz val="7"/>
        <rFont val="Arial"/>
        <family val="2"/>
      </rPr>
      <t>k</t>
    </r>
    <r>
      <rPr>
        <sz val="7"/>
        <rFont val="Symbol"/>
        <family val="1"/>
        <charset val="2"/>
      </rPr>
      <t xml:space="preserve"> </t>
    </r>
    <r>
      <rPr>
        <sz val="7"/>
        <rFont val="Arial"/>
        <family val="2"/>
      </rPr>
      <t>[kg/m</t>
    </r>
    <r>
      <rPr>
        <vertAlign val="superscript"/>
        <sz val="7"/>
        <rFont val="Arial"/>
        <family val="2"/>
      </rPr>
      <t>3</t>
    </r>
    <r>
      <rPr>
        <sz val="7"/>
        <rFont val="Arial"/>
        <family val="2"/>
      </rPr>
      <t>]</t>
    </r>
  </si>
  <si>
    <t>charakteristische Rohdichte</t>
  </si>
  <si>
    <r>
      <rPr>
        <sz val="7"/>
        <rFont val="Symbol"/>
        <family val="1"/>
        <charset val="2"/>
      </rPr>
      <t>r</t>
    </r>
    <r>
      <rPr>
        <vertAlign val="subscript"/>
        <sz val="7"/>
        <rFont val="Arial"/>
        <family val="2"/>
      </rPr>
      <t>mean</t>
    </r>
    <r>
      <rPr>
        <sz val="7"/>
        <rFont val="Symbol"/>
        <family val="1"/>
        <charset val="2"/>
      </rPr>
      <t xml:space="preserve"> </t>
    </r>
    <r>
      <rPr>
        <sz val="7"/>
        <rFont val="Arial"/>
        <family val="2"/>
      </rPr>
      <t>[kg/m</t>
    </r>
    <r>
      <rPr>
        <vertAlign val="superscript"/>
        <sz val="7"/>
        <rFont val="Arial"/>
        <family val="2"/>
      </rPr>
      <t>3</t>
    </r>
    <r>
      <rPr>
        <sz val="7"/>
        <rFont val="Arial"/>
        <family val="2"/>
      </rPr>
      <t>]</t>
    </r>
  </si>
  <si>
    <t>19 ≤ t ≤ 75</t>
  </si>
  <si>
    <r>
      <rPr>
        <sz val="7"/>
        <rFont val="Symbol"/>
        <family val="1"/>
        <charset val="2"/>
      </rPr>
      <t>b</t>
    </r>
    <r>
      <rPr>
        <vertAlign val="subscript"/>
        <sz val="7"/>
        <rFont val="Arial"/>
        <family val="2"/>
      </rPr>
      <t>0</t>
    </r>
    <r>
      <rPr>
        <sz val="7"/>
        <rFont val="Arial"/>
        <family val="2"/>
      </rPr>
      <t xml:space="preserve"> [mm/Min]</t>
    </r>
  </si>
  <si>
    <t>nicht mehr erhältlich</t>
  </si>
  <si>
    <t>BauBuche GL70 - NKL1</t>
  </si>
  <si>
    <t>BauBuche GL70 - NKL2</t>
  </si>
  <si>
    <t xml:space="preserve">F-Sperrholz </t>
  </si>
  <si>
    <t>Furniersperrholz - Nadelholz</t>
  </si>
  <si>
    <t>Furniersperrholz - Laubholz</t>
  </si>
  <si>
    <t>nik=WERT(Z114&amp;1)</t>
  </si>
  <si>
    <t>nik=WERT(Z115&amp;1)</t>
  </si>
  <si>
    <t>nik=WERT(Z116&amp;1)</t>
  </si>
  <si>
    <t>nik=WERT(Z117&amp;1)</t>
  </si>
  <si>
    <t>nik=WERT(Z118&amp;1)</t>
  </si>
  <si>
    <t>nik=WERT(Z119&amp;1)</t>
  </si>
  <si>
    <t>nik=WERT(Z120&amp;1)</t>
  </si>
  <si>
    <t>nik=WERT(Z121&amp;1)</t>
  </si>
  <si>
    <t>nik=WERT(Z122&amp;1)</t>
  </si>
  <si>
    <t>nik=WERT(Z123&amp;1)</t>
  </si>
  <si>
    <t>nik=WERT(Z124&amp;1)</t>
  </si>
  <si>
    <t>nik=WERT(Z125&amp;1)</t>
  </si>
  <si>
    <t>nik=WERT(Z126&amp;1)</t>
  </si>
  <si>
    <t>nik=WERT(Z127&amp;1)</t>
  </si>
  <si>
    <t>nik=WERT(Z128&amp;1)</t>
  </si>
  <si>
    <t>nik=WERT(Z129&amp;1)</t>
  </si>
  <si>
    <t>nik=WERT(Z130&amp;1)</t>
  </si>
  <si>
    <t>nik=WERT(Z131&amp;1)</t>
  </si>
  <si>
    <t>nik=WERT(Z132&amp;1)</t>
  </si>
  <si>
    <t>nik=WERT(Z133&amp;1)</t>
  </si>
  <si>
    <t>nik=WERT(Z134&amp;1)</t>
  </si>
  <si>
    <t>nik=WERT(Z135&amp;1)</t>
  </si>
  <si>
    <t>nik=WERT(Z136&amp;1)</t>
  </si>
  <si>
    <t>nik=WERT(Z137&amp;1)</t>
  </si>
  <si>
    <t>nik=WERT(Z138&amp;1)</t>
  </si>
  <si>
    <t>nik=WERT(Z139&amp;1)</t>
  </si>
  <si>
    <t>nik=WERT(Z140&amp;1)</t>
  </si>
  <si>
    <t>nik=WERT(Z141&amp;1)</t>
  </si>
  <si>
    <t>nik=WERT(Z142&amp;1)</t>
  </si>
  <si>
    <t>nik=WERT(Z143&amp;1)</t>
  </si>
  <si>
    <t>nik=WERT(Z144&amp;1)</t>
  </si>
  <si>
    <t>nik=WERT(Z145&amp;1)</t>
  </si>
  <si>
    <t>nik=WERT(Z146&amp;1)</t>
  </si>
  <si>
    <t>nik=WERT(Z147&amp;1)</t>
  </si>
  <si>
    <t>nik=WERT(Z148&amp;1)</t>
  </si>
  <si>
    <t>nik=WERT(Z149&amp;1)</t>
  </si>
  <si>
    <t>nik=WERT(Z150&amp;1)</t>
  </si>
  <si>
    <t>nik=WERT(Z151&amp;1)</t>
  </si>
  <si>
    <t>nik=WERT(Z152&amp;1)</t>
  </si>
  <si>
    <t>nik=WERT(Z153&amp;1)</t>
  </si>
  <si>
    <t>nik=WERT(Z154&amp;1)</t>
  </si>
  <si>
    <t>nik=WERT(Z155&amp;1)</t>
  </si>
  <si>
    <t>nik=WERT(Z156&amp;1)</t>
  </si>
  <si>
    <t>nik=WERT(Z157&amp;1)</t>
  </si>
  <si>
    <t>nik=WERT(Z158&amp;1)</t>
  </si>
  <si>
    <t>nik=WERT(Z159&amp;1)</t>
  </si>
  <si>
    <t>nik=WERT(Z160&amp;1)</t>
  </si>
  <si>
    <t>nik=WERT(Z161&amp;1)</t>
  </si>
  <si>
    <t>nik=WERT(Z162&amp;1)</t>
  </si>
  <si>
    <t>nik=WERT(Z163&amp;1)</t>
  </si>
  <si>
    <t>nik=WERT(Z164&amp;1)</t>
  </si>
  <si>
    <t>nik=WERT(Z165&amp;1)</t>
  </si>
  <si>
    <t>nik=WERT(Z166&amp;1)</t>
  </si>
  <si>
    <t>nik=WERT(Z167&amp;1)</t>
  </si>
  <si>
    <t>nik=WERT(Z168&amp;1)</t>
  </si>
  <si>
    <t>nik=WERT(Z169&amp;1)</t>
  </si>
  <si>
    <t>nik=WERT(Z170&amp;1)</t>
  </si>
  <si>
    <t>nik=WERT(Z171&amp;1)</t>
  </si>
  <si>
    <t>nik=WERT(Z172&amp;1)</t>
  </si>
  <si>
    <t>nik=WERT(Z173&amp;1)</t>
  </si>
  <si>
    <t>nik=WERT(Z174&amp;1)</t>
  </si>
  <si>
    <t>nik=WERT(Z175&amp;1)</t>
  </si>
  <si>
    <t>nik=WERT(Z176&amp;1)</t>
  </si>
  <si>
    <t>nik=WERT(Z177&amp;1)</t>
  </si>
  <si>
    <t>nik=WERT(Z178&amp;1)</t>
  </si>
  <si>
    <t>nik=WERT(Z179&amp;1)</t>
  </si>
  <si>
    <t>nik=WERT(Z180&amp;1)</t>
  </si>
  <si>
    <t>nik=WERT(Z181&amp;1)</t>
  </si>
  <si>
    <t>nik=WERT(Z182&amp;1)</t>
  </si>
  <si>
    <t>Zuletzt bearbeitet von Tobi Riehle am 08. Januar 2018</t>
  </si>
  <si>
    <t>V - 180108</t>
  </si>
  <si>
    <t>Nachweis auf</t>
  </si>
  <si>
    <t>Biegung_kalt</t>
  </si>
  <si>
    <t>Schub_kalt</t>
  </si>
  <si>
    <t>Verformung</t>
  </si>
  <si>
    <t>Schwingung</t>
  </si>
  <si>
    <t>Biegung_warm</t>
  </si>
  <si>
    <t>Schub_warm</t>
  </si>
  <si>
    <t>Material</t>
  </si>
  <si>
    <t>Brandbeanspruchung</t>
  </si>
  <si>
    <t>Rastermaß l [m]</t>
  </si>
  <si>
    <t>Trägerbreiten</t>
  </si>
  <si>
    <r>
      <t>Belastung q</t>
    </r>
    <r>
      <rPr>
        <vertAlign val="subscript"/>
        <sz val="9"/>
        <color theme="1"/>
        <rFont val="Arial Narrow"/>
        <family val="2"/>
      </rPr>
      <t>d</t>
    </r>
    <r>
      <rPr>
        <sz val="9"/>
        <color theme="1"/>
        <rFont val="Arial Narrow"/>
        <family val="2"/>
      </rPr>
      <t xml:space="preserve"> [kN/m]</t>
    </r>
  </si>
  <si>
    <r>
      <t>f</t>
    </r>
    <r>
      <rPr>
        <vertAlign val="subscript"/>
        <sz val="7"/>
        <rFont val="Arial"/>
        <family val="2"/>
      </rPr>
      <t>m,k</t>
    </r>
  </si>
  <si>
    <r>
      <t>f</t>
    </r>
    <r>
      <rPr>
        <vertAlign val="subscript"/>
        <sz val="7"/>
        <rFont val="Arial"/>
        <family val="2"/>
      </rPr>
      <t>t,</t>
    </r>
    <r>
      <rPr>
        <vertAlign val="subscript"/>
        <sz val="7"/>
        <rFont val="Symbol"/>
        <family val="1"/>
        <charset val="2"/>
      </rPr>
      <t>0</t>
    </r>
    <r>
      <rPr>
        <vertAlign val="subscript"/>
        <sz val="7"/>
        <rFont val="Arial"/>
        <family val="2"/>
      </rPr>
      <t>,k</t>
    </r>
  </si>
  <si>
    <r>
      <t>f</t>
    </r>
    <r>
      <rPr>
        <vertAlign val="subscript"/>
        <sz val="7"/>
        <rFont val="Arial"/>
        <family val="2"/>
      </rPr>
      <t>c,0,k</t>
    </r>
  </si>
  <si>
    <r>
      <t>f</t>
    </r>
    <r>
      <rPr>
        <vertAlign val="subscript"/>
        <sz val="7"/>
        <rFont val="Arial"/>
        <family val="2"/>
      </rPr>
      <t>v,k</t>
    </r>
  </si>
  <si>
    <r>
      <t>f</t>
    </r>
    <r>
      <rPr>
        <vertAlign val="subscript"/>
        <sz val="7"/>
        <rFont val="Arial"/>
        <family val="2"/>
      </rPr>
      <t>R,k</t>
    </r>
  </si>
  <si>
    <t>Querbiegefestigkeit</t>
  </si>
  <si>
    <r>
      <t>f</t>
    </r>
    <r>
      <rPr>
        <vertAlign val="subscript"/>
        <sz val="7"/>
        <rFont val="Arial"/>
        <family val="2"/>
      </rPr>
      <t>m,9</t>
    </r>
    <r>
      <rPr>
        <vertAlign val="subscript"/>
        <sz val="7"/>
        <rFont val="Symbol"/>
        <family val="1"/>
        <charset val="2"/>
      </rPr>
      <t>0</t>
    </r>
    <r>
      <rPr>
        <vertAlign val="subscript"/>
        <sz val="7"/>
        <rFont val="Arial"/>
        <family val="2"/>
      </rPr>
      <t>,k</t>
    </r>
  </si>
  <si>
    <t>Querzugfestigkeit</t>
  </si>
  <si>
    <r>
      <t>f</t>
    </r>
    <r>
      <rPr>
        <vertAlign val="subscript"/>
        <sz val="7"/>
        <rFont val="Arial"/>
        <family val="2"/>
      </rPr>
      <t>t,9</t>
    </r>
    <r>
      <rPr>
        <vertAlign val="subscript"/>
        <sz val="7"/>
        <rFont val="Symbol"/>
        <family val="1"/>
        <charset val="2"/>
      </rPr>
      <t>0</t>
    </r>
    <r>
      <rPr>
        <vertAlign val="subscript"/>
        <sz val="7"/>
        <rFont val="Arial"/>
        <family val="2"/>
      </rPr>
      <t>,k</t>
    </r>
  </si>
  <si>
    <t>Querdruckfestigkeit</t>
  </si>
  <si>
    <r>
      <t>f</t>
    </r>
    <r>
      <rPr>
        <vertAlign val="subscript"/>
        <sz val="7"/>
        <rFont val="Arial"/>
        <family val="2"/>
      </rPr>
      <t>c,90,k</t>
    </r>
  </si>
  <si>
    <r>
      <t>k</t>
    </r>
    <r>
      <rPr>
        <vertAlign val="subscript"/>
        <sz val="7"/>
        <rFont val="Arial"/>
        <family val="2"/>
      </rPr>
      <t>cr</t>
    </r>
  </si>
  <si>
    <r>
      <t>E</t>
    </r>
    <r>
      <rPr>
        <vertAlign val="subscript"/>
        <sz val="7"/>
        <rFont val="Symbol"/>
        <family val="1"/>
        <charset val="2"/>
      </rPr>
      <t>0</t>
    </r>
    <r>
      <rPr>
        <vertAlign val="subscript"/>
        <sz val="7"/>
        <rFont val="Arial"/>
        <family val="2"/>
      </rPr>
      <t>,mean</t>
    </r>
  </si>
  <si>
    <r>
      <t>b</t>
    </r>
    <r>
      <rPr>
        <vertAlign val="subscript"/>
        <sz val="9"/>
        <color theme="1"/>
        <rFont val="Arial Narrow"/>
        <family val="2"/>
      </rPr>
      <t>ef</t>
    </r>
  </si>
  <si>
    <r>
      <t>h</t>
    </r>
    <r>
      <rPr>
        <vertAlign val="subscript"/>
        <sz val="9"/>
        <color theme="1"/>
        <rFont val="Arial Narrow"/>
        <family val="2"/>
      </rPr>
      <t>ef</t>
    </r>
  </si>
  <si>
    <t>Abbrandart</t>
  </si>
  <si>
    <t xml:space="preserve">Bemessungswert der </t>
  </si>
  <si>
    <t>eindimensionalen</t>
  </si>
  <si>
    <t>ideellen</t>
  </si>
  <si>
    <r>
      <t>d</t>
    </r>
    <r>
      <rPr>
        <vertAlign val="subscript"/>
        <sz val="9"/>
        <color theme="1"/>
        <rFont val="Arial Narrow"/>
        <family val="2"/>
      </rPr>
      <t>char</t>
    </r>
  </si>
  <si>
    <t>=</t>
  </si>
  <si>
    <t>Abbrandrate [mm/min]</t>
  </si>
  <si>
    <t>Ideelle Abbrandtiefe</t>
  </si>
  <si>
    <t>mm/min</t>
  </si>
  <si>
    <t>mm</t>
  </si>
  <si>
    <t>[min]</t>
  </si>
  <si>
    <t>Trägerbreite</t>
  </si>
  <si>
    <r>
      <t>Modifikationsbeiwert k</t>
    </r>
    <r>
      <rPr>
        <vertAlign val="subscript"/>
        <sz val="9"/>
        <color theme="1"/>
        <rFont val="Arial Narrow"/>
        <family val="2"/>
      </rPr>
      <t>mod</t>
    </r>
    <r>
      <rPr>
        <sz val="9"/>
        <color theme="1"/>
        <rFont val="Arial Narrow"/>
        <family val="2"/>
      </rPr>
      <t xml:space="preserve"> [-]</t>
    </r>
  </si>
  <si>
    <t>Decke</t>
  </si>
  <si>
    <r>
      <t>k</t>
    </r>
    <r>
      <rPr>
        <vertAlign val="subscript"/>
        <sz val="9"/>
        <color theme="1"/>
        <rFont val="Arial Narrow"/>
        <family val="2"/>
      </rPr>
      <t>mod,fi</t>
    </r>
    <r>
      <rPr>
        <sz val="9"/>
        <color theme="1"/>
        <rFont val="Arial Narrow"/>
        <family val="2"/>
      </rPr>
      <t xml:space="preserve"> [-]</t>
    </r>
  </si>
  <si>
    <r>
      <t xml:space="preserve">Teilsicherheitsbeiwert </t>
    </r>
    <r>
      <rPr>
        <sz val="9"/>
        <color theme="1"/>
        <rFont val="Symbol"/>
        <family val="1"/>
        <charset val="2"/>
      </rPr>
      <t>g</t>
    </r>
    <r>
      <rPr>
        <vertAlign val="subscript"/>
        <sz val="9"/>
        <color theme="1"/>
        <rFont val="Arial Narrow"/>
        <family val="2"/>
      </rPr>
      <t>m</t>
    </r>
    <r>
      <rPr>
        <sz val="9"/>
        <color theme="1"/>
        <rFont val="Arial Narrow"/>
        <family val="2"/>
      </rPr>
      <t xml:space="preserve"> [-]</t>
    </r>
  </si>
  <si>
    <r>
      <rPr>
        <sz val="9"/>
        <color theme="1"/>
        <rFont val="Symbol"/>
        <family val="1"/>
        <charset val="2"/>
      </rPr>
      <t>g</t>
    </r>
    <r>
      <rPr>
        <vertAlign val="subscript"/>
        <sz val="9"/>
        <color theme="1"/>
        <rFont val="Arial Narrow"/>
        <family val="2"/>
      </rPr>
      <t>m,fi</t>
    </r>
    <r>
      <rPr>
        <sz val="9"/>
        <color theme="1"/>
        <rFont val="Arial Narrow"/>
        <family val="2"/>
      </rPr>
      <t xml:space="preserve"> [-]</t>
    </r>
  </si>
  <si>
    <r>
      <t>k</t>
    </r>
    <r>
      <rPr>
        <vertAlign val="subscript"/>
        <sz val="9"/>
        <color theme="1"/>
        <rFont val="Arial Narrow"/>
        <family val="2"/>
      </rPr>
      <t>fi</t>
    </r>
    <r>
      <rPr>
        <sz val="9"/>
        <color theme="1"/>
        <rFont val="Arial Narrow"/>
        <family val="2"/>
      </rPr>
      <t xml:space="preserve"> [-]</t>
    </r>
  </si>
  <si>
    <r>
      <t>b</t>
    </r>
    <r>
      <rPr>
        <vertAlign val="subscript"/>
        <sz val="9"/>
        <color theme="1"/>
        <rFont val="Arial Narrow"/>
        <family val="2"/>
      </rPr>
      <t>ef</t>
    </r>
    <r>
      <rPr>
        <sz val="9"/>
        <color theme="1"/>
        <rFont val="Arial Narrow"/>
        <family val="2"/>
      </rPr>
      <t xml:space="preserve"> [mm]</t>
    </r>
  </si>
  <si>
    <r>
      <t>h</t>
    </r>
    <r>
      <rPr>
        <vertAlign val="subscript"/>
        <sz val="9"/>
        <color theme="1"/>
        <rFont val="Arial Narrow"/>
        <family val="2"/>
      </rPr>
      <t>erf</t>
    </r>
    <r>
      <rPr>
        <sz val="9"/>
        <color theme="1"/>
        <rFont val="Arial Narrow"/>
        <family val="2"/>
      </rPr>
      <t xml:space="preserve"> [mm]</t>
    </r>
  </si>
  <si>
    <t>Unterzug</t>
  </si>
  <si>
    <r>
      <t>Auflagerkräfte A</t>
    </r>
    <r>
      <rPr>
        <vertAlign val="subscript"/>
        <sz val="9"/>
        <color theme="1"/>
        <rFont val="Arial Narrow"/>
        <family val="2"/>
      </rPr>
      <t>d</t>
    </r>
    <r>
      <rPr>
        <sz val="9"/>
        <color theme="1"/>
        <rFont val="Arial Narrow"/>
        <family val="2"/>
      </rPr>
      <t xml:space="preserve"> [kN/m]</t>
    </r>
  </si>
  <si>
    <r>
      <t>Auflagerkräfte A</t>
    </r>
    <r>
      <rPr>
        <vertAlign val="subscript"/>
        <sz val="9"/>
        <color theme="1"/>
        <rFont val="Arial Narrow"/>
        <family val="2"/>
      </rPr>
      <t>g,k</t>
    </r>
    <r>
      <rPr>
        <sz val="9"/>
        <color theme="1"/>
        <rFont val="Arial Narrow"/>
        <family val="2"/>
      </rPr>
      <t xml:space="preserve"> [kN/m]</t>
    </r>
  </si>
  <si>
    <r>
      <t>Auflagerkräfte A</t>
    </r>
    <r>
      <rPr>
        <vertAlign val="subscript"/>
        <sz val="9"/>
        <color theme="1"/>
        <rFont val="Arial Narrow"/>
        <family val="2"/>
      </rPr>
      <t>q,k</t>
    </r>
    <r>
      <rPr>
        <sz val="9"/>
        <color theme="1"/>
        <rFont val="Arial Narrow"/>
        <family val="2"/>
      </rPr>
      <t xml:space="preserve"> [kN/m]</t>
    </r>
  </si>
  <si>
    <t>Brandbeanspr.</t>
  </si>
  <si>
    <t>Anford. GZG</t>
  </si>
  <si>
    <t>l/</t>
  </si>
  <si>
    <r>
      <t>A</t>
    </r>
    <r>
      <rPr>
        <vertAlign val="subscript"/>
        <sz val="9"/>
        <color theme="1"/>
        <rFont val="Arial Narrow"/>
        <family val="2"/>
      </rPr>
      <t>DE,g,k</t>
    </r>
  </si>
  <si>
    <r>
      <t>A</t>
    </r>
    <r>
      <rPr>
        <vertAlign val="subscript"/>
        <sz val="9"/>
        <color theme="1"/>
        <rFont val="Arial Narrow"/>
        <family val="2"/>
      </rPr>
      <t>DE,q,k</t>
    </r>
  </si>
  <si>
    <t>GZT_kalt</t>
  </si>
  <si>
    <t>GZT_warm</t>
  </si>
  <si>
    <t>GZG</t>
  </si>
  <si>
    <r>
      <t>erf. Höhe h</t>
    </r>
    <r>
      <rPr>
        <vertAlign val="subscript"/>
        <sz val="9"/>
        <color theme="1"/>
        <rFont val="Arial Narrow"/>
        <family val="2"/>
      </rPr>
      <t>QS</t>
    </r>
    <r>
      <rPr>
        <sz val="9"/>
        <color theme="1"/>
        <rFont val="Arial Narrow"/>
        <family val="2"/>
      </rPr>
      <t xml:space="preserve"> für alle Nachweise</t>
    </r>
  </si>
  <si>
    <t>Spannweite Decken</t>
  </si>
  <si>
    <r>
      <t>l</t>
    </r>
    <r>
      <rPr>
        <b/>
        <vertAlign val="subscript"/>
        <sz val="9"/>
        <color theme="1"/>
        <rFont val="Arial Narrow"/>
        <family val="2"/>
      </rPr>
      <t>DE</t>
    </r>
    <r>
      <rPr>
        <b/>
        <sz val="9"/>
        <color theme="1"/>
        <rFont val="Arial Narrow"/>
        <family val="2"/>
      </rPr>
      <t xml:space="preserve"> [m]</t>
    </r>
  </si>
  <si>
    <r>
      <t>Spannweite Unterzug l</t>
    </r>
    <r>
      <rPr>
        <b/>
        <vertAlign val="subscript"/>
        <sz val="9"/>
        <color theme="1"/>
        <rFont val="Arial Narrow"/>
        <family val="2"/>
      </rPr>
      <t>UZ</t>
    </r>
    <r>
      <rPr>
        <b/>
        <sz val="9"/>
        <color theme="1"/>
        <rFont val="Arial Narrow"/>
        <family val="2"/>
      </rPr>
      <t xml:space="preserve"> [m]</t>
    </r>
  </si>
  <si>
    <t>[m]</t>
  </si>
  <si>
    <r>
      <t>l</t>
    </r>
    <r>
      <rPr>
        <b/>
        <vertAlign val="subscript"/>
        <sz val="9"/>
        <color theme="1"/>
        <rFont val="Arial"/>
        <family val="2"/>
      </rPr>
      <t>DE</t>
    </r>
    <r>
      <rPr>
        <b/>
        <sz val="9"/>
        <color theme="1"/>
        <rFont val="Arial"/>
        <family val="2"/>
      </rPr>
      <t xml:space="preserve"> [m]</t>
    </r>
  </si>
  <si>
    <t>Bildchen für Abbrand</t>
  </si>
  <si>
    <t>Nachweis</t>
  </si>
  <si>
    <r>
      <t>Spannweite Decke l</t>
    </r>
    <r>
      <rPr>
        <b/>
        <vertAlign val="subscript"/>
        <sz val="9"/>
        <color theme="1"/>
        <rFont val="Arial Narrow"/>
        <family val="2"/>
      </rPr>
      <t>DE</t>
    </r>
    <r>
      <rPr>
        <b/>
        <sz val="9"/>
        <color theme="1"/>
        <rFont val="Arial Narrow"/>
        <family val="2"/>
      </rPr>
      <t xml:space="preserve"> [m]</t>
    </r>
  </si>
  <si>
    <r>
      <t>M</t>
    </r>
    <r>
      <rPr>
        <vertAlign val="subscript"/>
        <sz val="9"/>
        <color theme="1"/>
        <rFont val="Arial Narrow"/>
        <family val="2"/>
      </rPr>
      <t>d</t>
    </r>
  </si>
  <si>
    <r>
      <t>M</t>
    </r>
    <r>
      <rPr>
        <vertAlign val="subscript"/>
        <sz val="9"/>
        <color theme="1"/>
        <rFont val="Arial Narrow"/>
        <family val="2"/>
      </rPr>
      <t>d,fi</t>
    </r>
  </si>
  <si>
    <r>
      <t>V</t>
    </r>
    <r>
      <rPr>
        <vertAlign val="subscript"/>
        <sz val="9"/>
        <color theme="1"/>
        <rFont val="Arial Narrow"/>
        <family val="2"/>
      </rPr>
      <t>d</t>
    </r>
  </si>
  <si>
    <r>
      <t>V</t>
    </r>
    <r>
      <rPr>
        <vertAlign val="subscript"/>
        <sz val="9"/>
        <color theme="1"/>
        <rFont val="Arial Narrow"/>
        <family val="2"/>
      </rPr>
      <t>d,fi</t>
    </r>
  </si>
  <si>
    <t>maßg. Moment der Decke [kNm]</t>
  </si>
  <si>
    <t>maßg. Querkraft der Decke [kN]</t>
  </si>
  <si>
    <t>Lasten aus Decke [kN/m]</t>
  </si>
  <si>
    <t>20/30/20/30/20</t>
  </si>
  <si>
    <r>
      <t>f</t>
    </r>
    <r>
      <rPr>
        <vertAlign val="subscript"/>
        <sz val="9"/>
        <color theme="1"/>
        <rFont val="Arial"/>
        <family val="2"/>
      </rPr>
      <t>grenz</t>
    </r>
    <r>
      <rPr>
        <sz val="9"/>
        <color theme="1"/>
        <rFont val="Arial"/>
        <family val="2"/>
      </rPr>
      <t>=</t>
    </r>
  </si>
  <si>
    <t>Steifigkeitskrit. (2kN)</t>
  </si>
  <si>
    <t>Steifigkeitskriterium der Decke</t>
  </si>
  <si>
    <r>
      <t>w</t>
    </r>
    <r>
      <rPr>
        <vertAlign val="subscript"/>
        <sz val="9"/>
        <color theme="1"/>
        <rFont val="Arial Narrow"/>
        <family val="2"/>
      </rPr>
      <t>2kN</t>
    </r>
  </si>
  <si>
    <t>40/30/40/30/40</t>
  </si>
  <si>
    <t>60/30/40/30/60</t>
  </si>
  <si>
    <t>BSP 120</t>
  </si>
  <si>
    <t>BSP 140</t>
  </si>
  <si>
    <t>BSP 160</t>
  </si>
  <si>
    <t>BSP 180</t>
  </si>
  <si>
    <t>BSP 200</t>
  </si>
  <si>
    <t>BSP 220</t>
  </si>
  <si>
    <t>40/20/20/20/40</t>
  </si>
  <si>
    <t>40/20/40/20/40</t>
  </si>
  <si>
    <t>40/40/40/40/40</t>
  </si>
  <si>
    <t>Bezeichnung</t>
  </si>
  <si>
    <t>Schichtaufbau</t>
  </si>
  <si>
    <t>Werte Vollquerschnitt</t>
  </si>
  <si>
    <r>
      <t>Biegefestigkeit f</t>
    </r>
    <r>
      <rPr>
        <vertAlign val="subscript"/>
        <sz val="7"/>
        <color theme="1"/>
        <rFont val="Arial"/>
        <family val="2"/>
      </rPr>
      <t>m,k</t>
    </r>
  </si>
  <si>
    <r>
      <t>Querbiegefestigkeit f</t>
    </r>
    <r>
      <rPr>
        <vertAlign val="subscript"/>
        <sz val="7"/>
        <color theme="1"/>
        <rFont val="Arial"/>
        <family val="2"/>
      </rPr>
      <t>m,90,k</t>
    </r>
  </si>
  <si>
    <r>
      <t>Rollschubfestigkeit f</t>
    </r>
    <r>
      <rPr>
        <vertAlign val="subscript"/>
        <sz val="7"/>
        <color theme="1"/>
        <rFont val="Arial"/>
        <family val="2"/>
      </rPr>
      <t>R,k</t>
    </r>
  </si>
  <si>
    <t>Werte Ersatzquerschnitt</t>
  </si>
  <si>
    <r>
      <t>E-Modul E</t>
    </r>
    <r>
      <rPr>
        <vertAlign val="subscript"/>
        <sz val="7"/>
        <color theme="1"/>
        <rFont val="Arial"/>
        <family val="2"/>
      </rPr>
      <t>o,mean</t>
    </r>
  </si>
  <si>
    <r>
      <t>Quer-E-Modul E</t>
    </r>
    <r>
      <rPr>
        <vertAlign val="subscript"/>
        <sz val="7"/>
        <color theme="1"/>
        <rFont val="Arial"/>
        <family val="2"/>
      </rPr>
      <t>0,90,mean</t>
    </r>
  </si>
  <si>
    <r>
      <t>E-Modul E</t>
    </r>
    <r>
      <rPr>
        <vertAlign val="subscript"/>
        <sz val="7"/>
        <color theme="1"/>
        <rFont val="Arial"/>
        <family val="2"/>
      </rPr>
      <t>0,mean</t>
    </r>
  </si>
  <si>
    <r>
      <t>Ersatzquerschnittshöhe h</t>
    </r>
    <r>
      <rPr>
        <vertAlign val="subscript"/>
        <sz val="7"/>
        <color theme="1"/>
        <rFont val="Arial"/>
        <family val="2"/>
      </rPr>
      <t>ers</t>
    </r>
  </si>
  <si>
    <r>
      <t>Querschnittshöhe h</t>
    </r>
    <r>
      <rPr>
        <vertAlign val="subscript"/>
        <sz val="7"/>
        <color theme="1"/>
        <rFont val="Arial"/>
        <family val="2"/>
      </rPr>
      <t>ges</t>
    </r>
  </si>
  <si>
    <t>GZG_max</t>
  </si>
  <si>
    <t>GZT_kalt_max</t>
  </si>
  <si>
    <t>GZT_warm_max</t>
  </si>
  <si>
    <t>alle NWs</t>
  </si>
  <si>
    <r>
      <t>maßgeb. Höhe h</t>
    </r>
    <r>
      <rPr>
        <b/>
        <vertAlign val="subscript"/>
        <sz val="9"/>
        <color theme="1"/>
        <rFont val="Arial Narrow"/>
        <family val="2"/>
      </rPr>
      <t>QS</t>
    </r>
    <r>
      <rPr>
        <b/>
        <sz val="9"/>
        <color theme="1"/>
        <rFont val="Arial Narrow"/>
        <family val="2"/>
      </rPr>
      <t xml:space="preserve"> [mm]</t>
    </r>
  </si>
  <si>
    <r>
      <t>b</t>
    </r>
    <r>
      <rPr>
        <vertAlign val="subscript"/>
        <sz val="9"/>
        <color theme="1"/>
        <rFont val="Arial Narrow"/>
        <family val="2"/>
      </rPr>
      <t>w</t>
    </r>
  </si>
  <si>
    <r>
      <t>eff. Trägheitsmom. I</t>
    </r>
    <r>
      <rPr>
        <vertAlign val="subscript"/>
        <sz val="7"/>
        <color theme="1"/>
        <rFont val="Arial"/>
        <family val="2"/>
      </rPr>
      <t>0,net</t>
    </r>
  </si>
  <si>
    <r>
      <t>eff. Trägheitsmom. I</t>
    </r>
    <r>
      <rPr>
        <vertAlign val="subscript"/>
        <sz val="7"/>
        <color theme="1"/>
        <rFont val="Arial"/>
        <family val="2"/>
      </rPr>
      <t>90,net</t>
    </r>
  </si>
  <si>
    <t>Schub-Modul</t>
  </si>
  <si>
    <r>
      <t>G</t>
    </r>
    <r>
      <rPr>
        <vertAlign val="subscript"/>
        <sz val="7"/>
        <rFont val="Arial"/>
        <family val="2"/>
      </rPr>
      <t>mean</t>
    </r>
  </si>
  <si>
    <r>
      <t>w</t>
    </r>
    <r>
      <rPr>
        <vertAlign val="subscript"/>
        <sz val="9"/>
        <color theme="1"/>
        <rFont val="Arial"/>
        <family val="2"/>
      </rPr>
      <t>B</t>
    </r>
  </si>
  <si>
    <r>
      <t>w</t>
    </r>
    <r>
      <rPr>
        <vertAlign val="subscript"/>
        <sz val="9"/>
        <color theme="1"/>
        <rFont val="Arial"/>
        <family val="2"/>
      </rPr>
      <t>S</t>
    </r>
  </si>
  <si>
    <r>
      <t>w</t>
    </r>
    <r>
      <rPr>
        <vertAlign val="subscript"/>
        <sz val="9"/>
        <color theme="1"/>
        <rFont val="Arial"/>
        <family val="2"/>
      </rPr>
      <t>S</t>
    </r>
    <r>
      <rPr>
        <sz val="9"/>
        <color theme="1"/>
        <rFont val="Arial"/>
        <family val="2"/>
      </rPr>
      <t>/w</t>
    </r>
    <r>
      <rPr>
        <vertAlign val="subscript"/>
        <sz val="9"/>
        <color theme="1"/>
        <rFont val="Arial"/>
        <family val="2"/>
      </rPr>
      <t>B</t>
    </r>
  </si>
  <si>
    <t>R30</t>
  </si>
  <si>
    <r>
      <t>Restquerschnittshöhe h</t>
    </r>
    <r>
      <rPr>
        <vertAlign val="subscript"/>
        <sz val="7"/>
        <color theme="1"/>
        <rFont val="Arial"/>
        <family val="2"/>
      </rPr>
      <t>res</t>
    </r>
  </si>
  <si>
    <t>20/30/20</t>
  </si>
  <si>
    <t>Werte Brandfall</t>
  </si>
  <si>
    <t>R60</t>
  </si>
  <si>
    <t>R90</t>
  </si>
  <si>
    <t>10/30/10</t>
  </si>
  <si>
    <t>13,5/20/20/20/13,5</t>
  </si>
  <si>
    <t>20/20/20</t>
  </si>
  <si>
    <t>13,5/20/40/20/13,5</t>
  </si>
  <si>
    <t>40/20/40</t>
  </si>
  <si>
    <t>16/20/16</t>
  </si>
  <si>
    <t>13,5/30/40/30/13,5</t>
  </si>
  <si>
    <t>40/30/40</t>
  </si>
  <si>
    <t>31/30/31</t>
  </si>
  <si>
    <t>13,5/40/40/40/13,5</t>
  </si>
  <si>
    <t>40/40/40</t>
  </si>
  <si>
    <t>33,5/30/40/30/33,5</t>
  </si>
  <si>
    <t>14/30/40/30/14</t>
  </si>
  <si>
    <t>anges. Restquerschnitt h</t>
  </si>
  <si>
    <t>erf. BSP-Querschnitt:</t>
  </si>
  <si>
    <t>erf. Querschnitt Unterzug:</t>
  </si>
  <si>
    <t>Spannweite Decke:</t>
  </si>
  <si>
    <t>erf. BSP-Querschnitt</t>
  </si>
  <si>
    <t>(siehe oben)</t>
  </si>
  <si>
    <t>Stützen</t>
  </si>
  <si>
    <t>Lasten aus Unterzügen [kN/m]</t>
  </si>
  <si>
    <t>Auflagerlasten eines Unterzuges</t>
  </si>
  <si>
    <t>Auflagerlasten eines Deckenfeldes</t>
  </si>
  <si>
    <t>Stützenlänge</t>
  </si>
  <si>
    <r>
      <t>l</t>
    </r>
    <r>
      <rPr>
        <b/>
        <vertAlign val="subscript"/>
        <sz val="9"/>
        <color theme="1"/>
        <rFont val="Arial Narrow"/>
        <family val="2"/>
      </rPr>
      <t>ST</t>
    </r>
    <r>
      <rPr>
        <b/>
        <sz val="9"/>
        <color theme="1"/>
        <rFont val="Arial Narrow"/>
        <family val="2"/>
      </rPr>
      <t xml:space="preserve"> [m]</t>
    </r>
  </si>
  <si>
    <t>Decken</t>
  </si>
  <si>
    <t>Unterzüge</t>
  </si>
  <si>
    <t>Eingabe Systemlängen</t>
  </si>
  <si>
    <t>Stütze</t>
  </si>
  <si>
    <t>nach rechts Spannweite des Unterzuges</t>
  </si>
  <si>
    <r>
      <t>A</t>
    </r>
    <r>
      <rPr>
        <vertAlign val="subscript"/>
        <sz val="9"/>
        <color theme="1"/>
        <rFont val="Arial Narrow"/>
        <family val="2"/>
      </rPr>
      <t>UZ,Q,k</t>
    </r>
  </si>
  <si>
    <r>
      <t>A</t>
    </r>
    <r>
      <rPr>
        <vertAlign val="subscript"/>
        <sz val="9"/>
        <color theme="1"/>
        <rFont val="Arial Narrow"/>
        <family val="2"/>
      </rPr>
      <t>UZ,G,k</t>
    </r>
  </si>
  <si>
    <r>
      <t>E</t>
    </r>
    <r>
      <rPr>
        <vertAlign val="subscript"/>
        <sz val="7"/>
        <rFont val="Symbol"/>
        <family val="1"/>
        <charset val="2"/>
      </rPr>
      <t>0;0,05</t>
    </r>
  </si>
  <si>
    <r>
      <rPr>
        <sz val="7"/>
        <rFont val="Symbol"/>
        <family val="1"/>
        <charset val="2"/>
      </rPr>
      <t>b</t>
    </r>
    <r>
      <rPr>
        <vertAlign val="subscript"/>
        <sz val="7"/>
        <rFont val="Arial"/>
        <family val="2"/>
      </rPr>
      <t>c</t>
    </r>
  </si>
  <si>
    <t>Wert für Stützen</t>
  </si>
  <si>
    <t>E-Modul 5%-Fraktile</t>
  </si>
  <si>
    <r>
      <t>b</t>
    </r>
    <r>
      <rPr>
        <vertAlign val="subscript"/>
        <sz val="7"/>
        <rFont val="Arial Narrow"/>
        <family val="2"/>
      </rPr>
      <t>c</t>
    </r>
  </si>
  <si>
    <r>
      <t>l</t>
    </r>
    <r>
      <rPr>
        <vertAlign val="subscript"/>
        <sz val="11"/>
        <color theme="1"/>
        <rFont val="Arial Narrow"/>
        <family val="2"/>
      </rPr>
      <t>rel,c</t>
    </r>
  </si>
  <si>
    <r>
      <t>k</t>
    </r>
    <r>
      <rPr>
        <vertAlign val="subscript"/>
        <sz val="11"/>
        <color theme="1"/>
        <rFont val="Calibri"/>
        <family val="2"/>
        <scheme val="minor"/>
      </rPr>
      <t>c</t>
    </r>
  </si>
  <si>
    <r>
      <t>l</t>
    </r>
    <r>
      <rPr>
        <vertAlign val="subscript"/>
        <sz val="11"/>
        <color theme="1"/>
        <rFont val="Calibri"/>
        <family val="2"/>
        <scheme val="minor"/>
      </rPr>
      <t>ef</t>
    </r>
  </si>
  <si>
    <t>erf. QS-Höhe h</t>
  </si>
  <si>
    <t>Stützenbreite</t>
  </si>
  <si>
    <t>BSP 240</t>
  </si>
  <si>
    <t>60/40/40/40/60</t>
  </si>
  <si>
    <t>33,5/40/40/40/33,5</t>
  </si>
  <si>
    <t>14/40/40/40/14</t>
  </si>
  <si>
    <t>BSP</t>
  </si>
  <si>
    <r>
      <t>notwendiger Wert k</t>
    </r>
    <r>
      <rPr>
        <vertAlign val="subscript"/>
        <sz val="7"/>
        <rFont val="Arial"/>
        <family val="2"/>
      </rPr>
      <t>c</t>
    </r>
    <r>
      <rPr>
        <sz val="7"/>
        <rFont val="Arial"/>
        <family val="2"/>
      </rPr>
      <t xml:space="preserve"> x h²</t>
    </r>
  </si>
  <si>
    <r>
      <t>k</t>
    </r>
    <r>
      <rPr>
        <vertAlign val="subscript"/>
        <sz val="11"/>
        <color theme="1"/>
        <rFont val="Calibri"/>
        <family val="2"/>
        <scheme val="minor"/>
      </rPr>
      <t>c</t>
    </r>
    <r>
      <rPr>
        <sz val="11"/>
        <color theme="1"/>
        <rFont val="Calibri"/>
        <family val="2"/>
        <scheme val="minor"/>
      </rPr>
      <t xml:space="preserve"> x h²</t>
    </r>
  </si>
  <si>
    <r>
      <t>erf. QS-Höhe h</t>
    </r>
    <r>
      <rPr>
        <vertAlign val="subscript"/>
        <sz val="7"/>
        <color theme="1"/>
        <rFont val="Arial"/>
        <family val="2"/>
      </rPr>
      <t>rest</t>
    </r>
  </si>
  <si>
    <t>erf. Höhe hQS für alle Nachweise</t>
  </si>
  <si>
    <t>(quadratischer Querschnitt)</t>
  </si>
  <si>
    <t>erf. Querschnitt Stütze:</t>
  </si>
  <si>
    <r>
      <t>Eigenlast g</t>
    </r>
    <r>
      <rPr>
        <vertAlign val="subscript"/>
        <sz val="9"/>
        <color theme="1"/>
        <rFont val="Arial Narrow"/>
        <family val="2"/>
      </rPr>
      <t>k</t>
    </r>
    <r>
      <rPr>
        <sz val="9"/>
        <color theme="1"/>
        <rFont val="Arial Narrow"/>
        <family val="2"/>
      </rPr>
      <t xml:space="preserve"> [kN/m²]</t>
    </r>
  </si>
  <si>
    <r>
      <t>Auflast a</t>
    </r>
    <r>
      <rPr>
        <vertAlign val="subscript"/>
        <sz val="9"/>
        <color theme="1"/>
        <rFont val="Arial Narrow"/>
        <family val="2"/>
      </rPr>
      <t>k</t>
    </r>
    <r>
      <rPr>
        <sz val="9"/>
        <color theme="1"/>
        <rFont val="Arial Narrow"/>
        <family val="2"/>
      </rPr>
      <t xml:space="preserve"> [kN/m²]</t>
    </r>
  </si>
  <si>
    <r>
      <t>Nutzlast q</t>
    </r>
    <r>
      <rPr>
        <vertAlign val="subscript"/>
        <sz val="9"/>
        <color theme="1"/>
        <rFont val="Arial Narrow"/>
        <family val="2"/>
      </rPr>
      <t>k</t>
    </r>
    <r>
      <rPr>
        <sz val="9"/>
        <color theme="1"/>
        <rFont val="Arial Narrow"/>
        <family val="2"/>
      </rPr>
      <t xml:space="preserve"> [kN/m²]</t>
    </r>
  </si>
  <si>
    <r>
      <t>Belastung heiß q</t>
    </r>
    <r>
      <rPr>
        <vertAlign val="subscript"/>
        <sz val="9"/>
        <color theme="1"/>
        <rFont val="Arial Narrow"/>
        <family val="2"/>
      </rPr>
      <t>d,fi</t>
    </r>
    <r>
      <rPr>
        <sz val="9"/>
        <color theme="1"/>
        <rFont val="Arial Narrow"/>
        <family val="2"/>
      </rPr>
      <t xml:space="preserve"> [kN/m]</t>
    </r>
  </si>
  <si>
    <t>Anzahl Geschosse</t>
  </si>
  <si>
    <t>(im Moment ohne Funktion)</t>
  </si>
  <si>
    <t>Spannweite UZ:</t>
  </si>
  <si>
    <t>Länge Stütze:</t>
  </si>
  <si>
    <t>BSH</t>
  </si>
  <si>
    <t>VH</t>
  </si>
  <si>
    <t>§§</t>
  </si>
  <si>
    <r>
      <t xml:space="preserve">                                                                                 </t>
    </r>
    <r>
      <rPr>
        <sz val="11"/>
        <color theme="1"/>
        <rFont val="Arial"/>
        <family val="2"/>
      </rPr>
      <t xml:space="preserve">Gebäudeklassen →  </t>
    </r>
  </si>
  <si>
    <r>
      <t xml:space="preserve">Bauteile </t>
    </r>
    <r>
      <rPr>
        <sz val="11"/>
        <color theme="1"/>
        <rFont val="Calibri"/>
        <family val="2"/>
      </rPr>
      <t>↓</t>
    </r>
  </si>
  <si>
    <t>Tragende und aussteifende Wände und Stützen</t>
  </si>
  <si>
    <t>Anforderungen</t>
  </si>
  <si>
    <t>ohne</t>
  </si>
  <si>
    <t>fh</t>
  </si>
  <si>
    <t>hfh</t>
  </si>
  <si>
    <t>fb</t>
  </si>
  <si>
    <t>Im Dachgeschoss wenn darüber noch Aufenthaltsräume sind</t>
  </si>
  <si>
    <t>im obersten Dachgeschoss</t>
  </si>
  <si>
    <t>Balkone, ausgenommen offene Gänge (Laubengänge) die als notwendige Flure dienen</t>
  </si>
  <si>
    <t>Im Kellergeschoss</t>
  </si>
  <si>
    <t>Außenwände</t>
  </si>
  <si>
    <t>nichttragende Außenwände und Teile</t>
  </si>
  <si>
    <t>nbr oder fh + rB</t>
  </si>
  <si>
    <t>Oberflächen von Außenwänden, Außenwandbekleidungen, Balkonbekleidungen gem. Abs. 3 Satz 2</t>
  </si>
  <si>
    <t>sfl</t>
  </si>
  <si>
    <t>Trennwände</t>
  </si>
  <si>
    <t>fh, bei Wohngebäuden ohne</t>
  </si>
  <si>
    <t>fh + rB, bei Wohngebäuden ohne</t>
  </si>
  <si>
    <t>fh+rB</t>
  </si>
  <si>
    <t>hfh+rB</t>
  </si>
  <si>
    <t>fb+rB</t>
  </si>
  <si>
    <t>Trennwände in den obersten Geschossen von Dachräumen</t>
  </si>
  <si>
    <t>Brandwände</t>
  </si>
  <si>
    <t>fb+M</t>
  </si>
  <si>
    <t>zulässige Wände anstelle von Brandwänden</t>
  </si>
  <si>
    <t>hfh+M</t>
  </si>
  <si>
    <t>Gebäudeabschlusswände</t>
  </si>
  <si>
    <t>ia:fh + ai:fb</t>
  </si>
  <si>
    <t>Gebäudeabschlusswände zwischen Wohngebäuden und angebauten landwirtschaftlichen Gebäude, welches &gt; als</t>
  </si>
  <si>
    <t>2000 m³ hat</t>
  </si>
  <si>
    <t>wegen der Nutzung erforderliche Öffnungen in inneren Brandwänden und anderen Wänden anstelle von Brandwänden</t>
  </si>
  <si>
    <t>hfh+dts</t>
  </si>
  <si>
    <t>fb+dts</t>
  </si>
  <si>
    <t>Decken im Dachgeschoss, wenn darüber keine Aufenthaltsräume möglich sind</t>
  </si>
  <si>
    <t>Decken im Dachgeschoss, wenn darüber noch Aufenthaltsräume möglich sind</t>
  </si>
  <si>
    <t>Balkone, ausgenommen offene Gänge, die als notwendige Flure dienen</t>
  </si>
  <si>
    <t>Decken im Kellergeschoss</t>
  </si>
  <si>
    <t>Decken unter und über explosionsgefährdeter Räume</t>
  </si>
  <si>
    <t>fb, bei Wohngebäuden ohne</t>
  </si>
  <si>
    <t>Decken über Aufenthaltsräumen und notwendigen Fluren in Kellergeschossen</t>
  </si>
  <si>
    <t>Decken zwischen landwirtschaftlich genutzten Teil und dem Wohnteil eines Gebäudes</t>
  </si>
  <si>
    <t>notwendige Treppen,</t>
  </si>
  <si>
    <t>notwendige Treppenräume, Ausgänge</t>
  </si>
  <si>
    <t>Treppen, tragende Bauteile</t>
  </si>
  <si>
    <t>nbr oder fh</t>
  </si>
  <si>
    <t>nbr</t>
  </si>
  <si>
    <t>fh+nbr</t>
  </si>
  <si>
    <t>Außentreppen, tragende Bauteile</t>
  </si>
  <si>
    <t>Treppenraumwände, die nicht Außenwände sind</t>
  </si>
  <si>
    <t>Bekleidungen in Treppenräumen</t>
  </si>
  <si>
    <t>Bodenbeläge, ausgenommen Gleitschutzprofile</t>
  </si>
  <si>
    <t>Öffnungen zu Kellergeschossen, nicht ausgebauten Dachräumen, Werkstätten, Läden, Lager, sonstigen Räumen und Nutzungseinheiten &gt; 200 m², ausgenommen Wohnungen</t>
  </si>
  <si>
    <t>fh+rdts</t>
  </si>
  <si>
    <t>Öffnungen zu Wohnungen und sonstigen Nutzungseinheiten</t>
  </si>
  <si>
    <t>dts</t>
  </si>
  <si>
    <t>Öffnungen zu notwendigen Fluren</t>
  </si>
  <si>
    <t>rdts</t>
  </si>
  <si>
    <t>notwendige Flure, offene Gänge</t>
  </si>
  <si>
    <t>Wände notwendiger Flure</t>
  </si>
  <si>
    <t>Wände notwendiger Flure in Kellergeschossen</t>
  </si>
  <si>
    <t>Bekleidungen in Fluren</t>
  </si>
  <si>
    <t>Aufzüge</t>
  </si>
  <si>
    <t>Fahrschachtwände als RB</t>
  </si>
  <si>
    <t>fb+nbr</t>
  </si>
  <si>
    <t>Leitungsanlagen, Installationsschächte- und Kanäle, Lüftungsanlagen</t>
  </si>
  <si>
    <t>Installationsschächte und Lüftungsanlagen</t>
  </si>
  <si>
    <t>Leitungsanlagenrichtlinie</t>
  </si>
  <si>
    <t>Lüftungsanlagenrichtlinie</t>
  </si>
  <si>
    <t>Installationsschächte sowie Lüftungsanlagen in Wohnungen und Nutzungseinheiten &lt;= 400 m²</t>
  </si>
  <si>
    <t xml:space="preserve">Aufbewahrung fester </t>
  </si>
  <si>
    <t>Abfallstoffe</t>
  </si>
  <si>
    <t>Abfall-Aufstellräume</t>
  </si>
  <si>
    <t>wie Trennwände und Decken</t>
  </si>
  <si>
    <t>Anforderungen an das Brandverhalten von Baustoffen und Bauteilen</t>
  </si>
  <si>
    <t>Bauteilanforderungen</t>
  </si>
  <si>
    <t>BA</t>
  </si>
  <si>
    <t>Allgemeine Anforderungen:</t>
  </si>
  <si>
    <t>Zuordnung bauordnungsrechtlicher Begriffe zu Normbegriffen:</t>
  </si>
  <si>
    <t>Es gilt grundsätzlich das Verwendungsverbot leichtentflammbarer Baustoffe (§ 26 Abs.1 Satz 2 MBO) Soweit in der MBO nicht anders bestimmt, gelten Bauteile folgenden Baustoffanforderungen:</t>
  </si>
  <si>
    <t>siehe Bauregelliste A Teil 1, Anlagen 0.1 und 0.2.</t>
  </si>
  <si>
    <t>Feuerbeständige Bauteile (FB):</t>
  </si>
  <si>
    <t>Legende:</t>
  </si>
  <si>
    <t>Tragende und aussteifende Bauteile müssen aus nichtbrennbaren Baustoffen bestehen. Raumabschließende Bauteile müssen zusätzlich eine in Bauteilebene durchgehende Schicht aus nichtbrennbaren Baustoffen (Brandschutzbekleidung) haben (§ 26 Abs.2 Satz 2 Nr.2 MBO)</t>
  </si>
  <si>
    <t>keine Anforderungen</t>
  </si>
  <si>
    <t>feuerhemmend</t>
  </si>
  <si>
    <t>hochfeuerhemmend</t>
  </si>
  <si>
    <t>feuerbeständig</t>
  </si>
  <si>
    <t>rB</t>
  </si>
  <si>
    <t>Ausbildung als raumabschließendes Bauteil</t>
  </si>
  <si>
    <t>nichtbrennbar</t>
  </si>
  <si>
    <t>schwerentflammbar</t>
  </si>
  <si>
    <t>dt</t>
  </si>
  <si>
    <t>dichtschließend</t>
  </si>
  <si>
    <t>dicht- und selbstschließend</t>
  </si>
  <si>
    <r>
      <t>rdts</t>
    </r>
    <r>
      <rPr>
        <sz val="9"/>
        <color theme="1"/>
        <rFont val="Arial"/>
        <family val="2"/>
      </rPr>
      <t xml:space="preserve"> </t>
    </r>
  </si>
  <si>
    <t>rauchdicht und selbstschließend</t>
  </si>
  <si>
    <r>
      <t>ia</t>
    </r>
    <r>
      <rPr>
        <sz val="9"/>
        <color theme="1"/>
        <rFont val="Arial"/>
        <family val="2"/>
      </rPr>
      <t xml:space="preserve"> </t>
    </r>
  </si>
  <si>
    <t>von innen nach außen</t>
  </si>
  <si>
    <r>
      <t>ai</t>
    </r>
    <r>
      <rPr>
        <sz val="9"/>
        <color theme="1"/>
        <rFont val="Arial"/>
        <family val="2"/>
      </rPr>
      <t xml:space="preserve"> </t>
    </r>
  </si>
  <si>
    <t xml:space="preserve">von außen nach innen </t>
  </si>
  <si>
    <r>
      <t>M</t>
    </r>
    <r>
      <rPr>
        <sz val="9"/>
        <color theme="1"/>
        <rFont val="Arial"/>
        <family val="2"/>
      </rPr>
      <t xml:space="preserve"> </t>
    </r>
  </si>
  <si>
    <t>mechanische Beanspruchung</t>
  </si>
  <si>
    <t>Hochfeuerhemmende Bauteile (HFH):</t>
  </si>
  <si>
    <t>Bauteile aus brennbaren Baustoffen</t>
  </si>
  <si>
    <t>Tragende und aussteifende Bauteile dürfen aus brennbaren Baustoffen bestehen. Sie müssen allseitig eine brandschutztechnisch wirksame Bekleidung aus nichtbrennbaren Baustoffen (Brandschutzbekleidung) und Dämmstoffe aus nichtbrennbaren Baustoffen haben (§ 26 Abs.2 Satz 2 Nr.3 MBO).</t>
  </si>
  <si>
    <t>Bauteile, deren tragende und aussteifende Teile aus brennbaren Baustoffen bestehen und die allseitig eine brandschutztechnisch wirksame Bekleidung aus nicht brennbaren Baustoffen (Brandschutzbekleidung) und Dämmstoffe aus nicht brennbaren Baustoffen haben</t>
  </si>
  <si>
    <t>Bauteile, deren tragende und aussteifende Teile aus nicht brennbaren Baustoffen bestehen und die bei raumabschließenden Bauteilen zusätzlich eine in Bauteilebene durchgehende Schicht aus nicht brennbaren Baustoffen haben</t>
  </si>
  <si>
    <t>Bundesland</t>
  </si>
  <si>
    <t>Baden-Württemberg</t>
  </si>
  <si>
    <t>Bayern</t>
  </si>
  <si>
    <t>Berlin</t>
  </si>
  <si>
    <t>Brandenburg</t>
  </si>
  <si>
    <t>Bremen</t>
  </si>
  <si>
    <t>Hamburg</t>
  </si>
  <si>
    <t>Hessen</t>
  </si>
  <si>
    <t>Mecklenburg-Vorpommern</t>
  </si>
  <si>
    <t>Niedersachsen</t>
  </si>
  <si>
    <t>Nordrhein-Westfalen</t>
  </si>
  <si>
    <t>Rheinland-Pfalz</t>
  </si>
  <si>
    <t>Saarland</t>
  </si>
  <si>
    <t>Sachsen</t>
  </si>
  <si>
    <t>Sachsen-Anhalt</t>
  </si>
  <si>
    <t>Schleswig-Holstein</t>
  </si>
  <si>
    <t>Thüringen</t>
  </si>
  <si>
    <t>Kürzel</t>
  </si>
  <si>
    <t>BW</t>
  </si>
  <si>
    <t>BY</t>
  </si>
  <si>
    <t>BE</t>
  </si>
  <si>
    <t>MV</t>
  </si>
  <si>
    <t>NW</t>
  </si>
  <si>
    <t>RP</t>
  </si>
  <si>
    <t>SH</t>
  </si>
  <si>
    <t>HE</t>
  </si>
  <si>
    <t>NI</t>
  </si>
  <si>
    <t>TH</t>
  </si>
  <si>
    <t>BB</t>
  </si>
  <si>
    <t>HB</t>
  </si>
  <si>
    <t>HH</t>
  </si>
  <si>
    <t>SL</t>
  </si>
  <si>
    <t>SN</t>
  </si>
  <si>
    <t>ST</t>
  </si>
  <si>
    <t>Wahl Bundesland</t>
  </si>
  <si>
    <t>Wahl Gebäudeklasse</t>
  </si>
  <si>
    <t>Gebäudeklasse</t>
  </si>
  <si>
    <t>Bauteile</t>
  </si>
  <si>
    <t>Bereich</t>
  </si>
  <si>
    <t>Decken unter Laubengängen</t>
  </si>
  <si>
    <t>Decken unter Bad und WC ohne/mit Bodenentwässerung</t>
  </si>
  <si>
    <t>Decken unter Hausfluren</t>
  </si>
  <si>
    <t>DECKEN</t>
  </si>
  <si>
    <t>TREPPEN</t>
  </si>
  <si>
    <t>Treppenläufe und -podeste</t>
  </si>
  <si>
    <t>WÄNDE</t>
  </si>
  <si>
    <t>TÜREN</t>
  </si>
  <si>
    <t>Wohnungstrenndecken (auch Treppen)</t>
  </si>
  <si>
    <t>Trenndecken (auch Treppen) zwischen fremden Arbeitsräumen bzw. vergleichbaren Nutzungseinheiten</t>
  </si>
  <si>
    <t>Decken über Kellern, Hausfluren, Treppenräumen unter Aufenthaltsräumen</t>
  </si>
  <si>
    <t>Decken über Durchfahrten, Einfahrten von Sammelgaragen und ähnliches unter Aufenthaltsräumen</t>
  </si>
  <si>
    <t>Decken unter allgemein nutzbaren Dachräumen, z. B. Trockenböden, Abstellräumen und ihren Zugängen</t>
  </si>
  <si>
    <t>Decken unter/über Spiel- oder ähnlichen Gemeinschaftsräumen</t>
  </si>
  <si>
    <t>Decken und Treppen innerhalb von Wohnungen, die sich über zwei Geschosse erstrecken</t>
  </si>
  <si>
    <t>Wohnungstrennwände und Wände zwischen fremden Arbeitsräumen</t>
  </si>
  <si>
    <t>Treppenraumwände und Wände neben Hausfluren</t>
  </si>
  <si>
    <t>Wände neben Durchfahrten, Sammelgaragen, einschließlich Einfahrten</t>
  </si>
  <si>
    <t>Wände von Spiel- oder ähnlichen Gemeinschaftsräumen</t>
  </si>
  <si>
    <t>Schachtwände von Aufzugsanlagen an Aufenthaltsräumen</t>
  </si>
  <si>
    <t>Türen, die von Hausfluren oder Treppenräumen unmittelbar in Aufenthaltsräume – außer Flure und Dielen – von Wohnungen führen</t>
  </si>
  <si>
    <t>SSt I</t>
  </si>
  <si>
    <t>SSt II</t>
  </si>
  <si>
    <t>SSt III</t>
  </si>
  <si>
    <t>A*</t>
  </si>
  <si>
    <r>
      <t>max. L'</t>
    </r>
    <r>
      <rPr>
        <vertAlign val="subscript"/>
        <sz val="11"/>
        <color theme="1"/>
        <rFont val="Calibri"/>
        <family val="2"/>
        <scheme val="minor"/>
      </rPr>
      <t>n,w</t>
    </r>
  </si>
  <si>
    <r>
      <t>min. R'</t>
    </r>
    <r>
      <rPr>
        <vertAlign val="subscript"/>
        <sz val="11"/>
        <color theme="1"/>
        <rFont val="Calibri"/>
        <family val="2"/>
        <scheme val="minor"/>
      </rPr>
      <t>w</t>
    </r>
  </si>
  <si>
    <t>-</t>
  </si>
  <si>
    <t>Wohnungen in Mehrffamilienhäusern</t>
  </si>
  <si>
    <t>Decken unter Terrassen und Loggien über Aufenthaltsräumen</t>
  </si>
  <si>
    <t>Luft-/ Trittschall</t>
  </si>
  <si>
    <t>Türen, die von Hausfluren oder Treppenräumen in geschlossene Flure und Dielen von Wohnungen und Wohnheimen oder von Arbeitsräumen führen</t>
  </si>
  <si>
    <t>n.z.</t>
  </si>
  <si>
    <t>Balkone</t>
  </si>
  <si>
    <t>Loggien/ Terrassen</t>
  </si>
  <si>
    <t>Hausflure</t>
  </si>
  <si>
    <t>Code für Anforderungen</t>
  </si>
  <si>
    <t>Laubengänge</t>
  </si>
  <si>
    <t>h*</t>
  </si>
  <si>
    <t>Anzahl der Nutzeinheiten [NE]**</t>
  </si>
  <si>
    <t>** ohne UG</t>
  </si>
  <si>
    <t>max. Größe einer Nutzeinheit</t>
  </si>
  <si>
    <t>[m²]</t>
  </si>
  <si>
    <t>Abfrage Höhe</t>
  </si>
  <si>
    <t>Musterbauordnung</t>
  </si>
  <si>
    <t>MBO</t>
  </si>
  <si>
    <t>Gebäudeklasse Höhe</t>
  </si>
  <si>
    <t>Abfrage freistehend</t>
  </si>
  <si>
    <t>ja</t>
  </si>
  <si>
    <t>nein</t>
  </si>
  <si>
    <t>freistehend</t>
  </si>
  <si>
    <t>nicht freistehend</t>
  </si>
  <si>
    <t>Gebäudeart</t>
  </si>
  <si>
    <t>Gebäudeklasse Art</t>
  </si>
  <si>
    <t>Abfrage Anzahl NE</t>
  </si>
  <si>
    <t>Gebäudeklasse ANE</t>
  </si>
  <si>
    <t>NE</t>
  </si>
  <si>
    <t>Gebäudeklasse FNE</t>
  </si>
  <si>
    <t>Abfrage Fläche NE</t>
  </si>
  <si>
    <t>GEBÄUDEKLASSE</t>
  </si>
  <si>
    <t>Anforderungen Tragwirkung bzw. Raumabschluss</t>
  </si>
  <si>
    <t>Anforderungen Kapselklasse</t>
  </si>
  <si>
    <t>Übersetzung Brandanforderungen</t>
  </si>
  <si>
    <t>keine</t>
  </si>
  <si>
    <t>Kurzzeichen</t>
  </si>
  <si>
    <t>Kurzbezeichnung nach DIN 4102-2</t>
  </si>
  <si>
    <t>Zeitanforderung</t>
  </si>
  <si>
    <t>Übersetzung Kapselklasse</t>
  </si>
  <si>
    <t>Benennung der Anforderungen nach LBOs</t>
  </si>
  <si>
    <t>Wahl Schallschutzanforderungen</t>
  </si>
  <si>
    <t>Schallschutzanforderungen</t>
  </si>
  <si>
    <t>DIN_4109-1</t>
  </si>
  <si>
    <t>DIN_4109-1__Bbl. 2</t>
  </si>
  <si>
    <t>VDI_4100__2007</t>
  </si>
  <si>
    <t>VDI_4100__2012</t>
  </si>
  <si>
    <t>DEGA_Empfehlung_103</t>
  </si>
  <si>
    <t>als Alternative Auswahl zur Auswahl links</t>
  </si>
  <si>
    <t>Achtung bei GK 4</t>
  </si>
  <si>
    <t>Achtung, wenn TW nicht bis Dachhaut geführt wird</t>
  </si>
  <si>
    <t>stimmt das?</t>
  </si>
  <si>
    <t xml:space="preserve">Decke </t>
  </si>
  <si>
    <t>Zeit</t>
  </si>
  <si>
    <t>Bauteil / Anforderungen</t>
  </si>
  <si>
    <t>Bez.</t>
  </si>
  <si>
    <t xml:space="preserve">* OK Fußboden des höchstgel. Geschosses, in dem ein Aufenthaltsraum mögl. ist, über der Geländeroberfläche im Mittel </t>
  </si>
  <si>
    <t>Grundparamter</t>
  </si>
  <si>
    <t>Dimensions-/Rastermaße</t>
  </si>
  <si>
    <t xml:space="preserve">Länge: </t>
  </si>
  <si>
    <t>X-Achse</t>
  </si>
  <si>
    <t>Breite:</t>
  </si>
  <si>
    <t>Y-Achse</t>
  </si>
  <si>
    <t>Z-Achse</t>
  </si>
  <si>
    <t>Querschnitte</t>
  </si>
  <si>
    <t>Anzahl Raster</t>
  </si>
  <si>
    <t>Whg pro Erschließungskern</t>
  </si>
  <si>
    <t xml:space="preserve">1. </t>
  </si>
  <si>
    <t>2.</t>
  </si>
  <si>
    <t>3.</t>
  </si>
  <si>
    <t>4.</t>
  </si>
  <si>
    <t>Fensterfläche</t>
  </si>
  <si>
    <t>Fensterbreite DIN 5034</t>
  </si>
  <si>
    <t>Bei normaler Rohbaufensterhöhe von 1,30 m und einer Brüstungshöhe von 0,90 m, sollte die Summe der Fensterbreiten nach DIN 5034 min. 55 % der Breite des Raumes betragen.</t>
  </si>
  <si>
    <t>Fensteranteil</t>
  </si>
  <si>
    <t>Flexibilität:</t>
  </si>
  <si>
    <t>Raster pro Erschließungskern &gt;&gt; Anzahl Wohnungstypen pro Erschließungskern</t>
  </si>
  <si>
    <t>Raster:</t>
  </si>
  <si>
    <t>Wohnoptionen:</t>
  </si>
  <si>
    <t>Raumhöhe</t>
  </si>
  <si>
    <t>Höhe der durch-sichtigen Glasfläche</t>
  </si>
  <si>
    <t>LBO:</t>
  </si>
  <si>
    <t>! PRÜFEN !</t>
  </si>
  <si>
    <t>min. Fenster-anteil</t>
  </si>
  <si>
    <t>Brand-schutz-anforder-ungen</t>
  </si>
  <si>
    <t>NRW</t>
  </si>
  <si>
    <t>GRUNDPARAMETER</t>
  </si>
  <si>
    <t>Baufeld Breite:</t>
  </si>
  <si>
    <t>Baufeld Tiefe:</t>
  </si>
  <si>
    <t>Gebäude Höhe:</t>
  </si>
  <si>
    <t>Etagen:</t>
  </si>
  <si>
    <t>Raumhöhe:</t>
  </si>
  <si>
    <t>Bundesland:</t>
  </si>
  <si>
    <t>Raster</t>
  </si>
  <si>
    <t>Ideales Rastermaß Tiefe:</t>
  </si>
  <si>
    <t>Anzahl Erschließungskerne:</t>
  </si>
  <si>
    <t>Anzahl Raster Breite je Erschließungskern:</t>
  </si>
  <si>
    <t>??? PJ Vorgabe &gt; Datenbank erzeugen</t>
  </si>
  <si>
    <t>KONSTRUKTION</t>
  </si>
  <si>
    <t>Anzahl Stützen</t>
  </si>
  <si>
    <t>Volumen Stützen</t>
  </si>
  <si>
    <t>Anzahl Deckenelemente</t>
  </si>
  <si>
    <t>Volumen Deckenelemente</t>
  </si>
  <si>
    <t>GRUNDRISSFLÄCHEN</t>
  </si>
  <si>
    <t>BGF:</t>
  </si>
  <si>
    <t>KGF:</t>
  </si>
  <si>
    <t>WFL:</t>
  </si>
  <si>
    <t>BGF - KGF</t>
  </si>
  <si>
    <t>WFL/BGF:</t>
  </si>
  <si>
    <t>WFL / BGF</t>
  </si>
  <si>
    <t>A/V - Verhältnis:</t>
  </si>
  <si>
    <t>Volumen:</t>
  </si>
  <si>
    <t>Außenhülle:</t>
  </si>
  <si>
    <t>EMPFINDEN 1. Option</t>
  </si>
  <si>
    <t>Behaglichkeit:</t>
  </si>
  <si>
    <t>Raster/Raumtiefe</t>
  </si>
  <si>
    <t xml:space="preserve">Raster je </t>
  </si>
  <si>
    <t>Fenster Höhe Oberkante</t>
  </si>
  <si>
    <t>Belichtung Raumtiefe:</t>
  </si>
  <si>
    <t>Die Raumtiefe soll nicht mehr als das zweifache der Struzhöhe über Fußboden sein.</t>
  </si>
  <si>
    <t>Belichtete Wohnungsteife</t>
  </si>
  <si>
    <t>2 * Belichtung Raumtiefe</t>
  </si>
  <si>
    <t>Belichteter Anteil Wohnung</t>
  </si>
  <si>
    <t>EMPFINDEN 2. Option</t>
  </si>
  <si>
    <t>Fensterfläche min:</t>
  </si>
  <si>
    <t>Fensterfläche gewählt:</t>
  </si>
  <si>
    <t>Grundfläche:</t>
  </si>
  <si>
    <t>FENSTER</t>
  </si>
  <si>
    <t>Breite Raster</t>
  </si>
  <si>
    <t>Eingabe und Ergebnis</t>
  </si>
  <si>
    <t>Tiefe Raster</t>
  </si>
  <si>
    <t>Fensterhöhe</t>
  </si>
  <si>
    <t>min. Fensteranteil nach LBO</t>
  </si>
  <si>
    <t>FLÄCHE FASSADE/DACH</t>
  </si>
  <si>
    <t>Fassadenfläche insgesamt</t>
  </si>
  <si>
    <t>(2 * Breite * Höhe) + (2 * Tiefe * Höhe)</t>
  </si>
  <si>
    <t xml:space="preserve">Fassadenfläche geschlossen </t>
  </si>
  <si>
    <t>Fassade insgesamt - Fensterfläche</t>
  </si>
  <si>
    <t>Fensteranteil * Fassadenfläche insgesamt</t>
  </si>
  <si>
    <t xml:space="preserve">Fläche Dach </t>
  </si>
  <si>
    <t>Breite * Tiefe</t>
  </si>
  <si>
    <t>Fläche Boden</t>
  </si>
  <si>
    <t>Innenwände Anzahl</t>
  </si>
  <si>
    <t>Innenwände Fläche</t>
  </si>
  <si>
    <t>KOSTEN</t>
  </si>
  <si>
    <t>Kostenangabe Dach</t>
  </si>
  <si>
    <t>Kostenangabe Fenster</t>
  </si>
  <si>
    <t>Kostenangabe Fassade</t>
  </si>
  <si>
    <t>Kosten Gebäudehülle</t>
  </si>
  <si>
    <t>(Kostenangabe Dach * Fläche Dach) + (Kostenangabe Fenster * Fläche Fenster) + (Kostenangabe Fassade * Fläche Fassade)</t>
  </si>
  <si>
    <t>Kosten Gebäudehülle / BGF</t>
  </si>
  <si>
    <t>Kostenangabe BSH</t>
  </si>
  <si>
    <t>Kostenangabe Brettsperrholz</t>
  </si>
  <si>
    <t>Kostenangabe Holzständerwand</t>
  </si>
  <si>
    <t>Kosten Stützen</t>
  </si>
  <si>
    <t>Kosten Balken</t>
  </si>
  <si>
    <t>Kosten Holzdecken</t>
  </si>
  <si>
    <t>Kosten Wände</t>
  </si>
  <si>
    <t>Kosten Skelett+Decken+Wände</t>
  </si>
  <si>
    <t>Summe: Stützen + Balken + Holzdecken + Wände</t>
  </si>
  <si>
    <t>Kosten Holzbau / BGF</t>
  </si>
  <si>
    <t>(Kosten Skelett+Decken+Wände) / BGF</t>
  </si>
  <si>
    <t>QUERAUSWERTUNG</t>
  </si>
  <si>
    <t>Holzmenge / BGF</t>
  </si>
  <si>
    <t>??? Hier nur  Holzmenge der Konstruktion, KEINE WÄNDE</t>
  </si>
  <si>
    <t>Holzmenge / WFL</t>
  </si>
  <si>
    <t>Auslastungskoeffizeint</t>
  </si>
  <si>
    <t>??? PJ</t>
  </si>
  <si>
    <t>...</t>
  </si>
  <si>
    <t>??? Weitere mit DX besprechen</t>
  </si>
  <si>
    <t>WOHNUNGSAUSNUTZUNG</t>
  </si>
  <si>
    <t>Vergleich - Haushaltsgröße</t>
  </si>
  <si>
    <t>Raster nutzbar</t>
  </si>
  <si>
    <t>Fläche nutzbar</t>
  </si>
  <si>
    <t>Haushaltsgröße</t>
  </si>
  <si>
    <t>1PHH</t>
  </si>
  <si>
    <t>2PHH</t>
  </si>
  <si>
    <t>3PHH</t>
  </si>
  <si>
    <t>4PHH</t>
  </si>
  <si>
    <t>5PHH</t>
  </si>
  <si>
    <t>6PHH</t>
  </si>
  <si>
    <t>7PHH</t>
  </si>
  <si>
    <t>Schlafen</t>
  </si>
  <si>
    <t>Gast / Arbeit</t>
  </si>
  <si>
    <t>Essen</t>
  </si>
  <si>
    <t>Küche</t>
  </si>
  <si>
    <t>Wohnen</t>
  </si>
  <si>
    <t>Bad</t>
  </si>
  <si>
    <t>Min. Einheiten</t>
  </si>
  <si>
    <t>2,65 m</t>
  </si>
  <si>
    <t>2,85 m</t>
  </si>
  <si>
    <t>3,00 m</t>
  </si>
  <si>
    <t>3,50 m</t>
  </si>
  <si>
    <t>4,00 m</t>
  </si>
  <si>
    <t>4,50 m</t>
  </si>
  <si>
    <t>Drexler Guinand Jauslin Architekten GmbH</t>
  </si>
  <si>
    <t xml:space="preserve">Walter-Kolb-Strasse 22 </t>
  </si>
  <si>
    <t>D-60594 Frankfurt am Main</t>
  </si>
  <si>
    <t>TEL:  +49 - 69 - 96 20 6234</t>
  </si>
  <si>
    <t>FAX:  +49 - 69 - 96 23 1778</t>
  </si>
  <si>
    <t>http://www.dgj.eu</t>
  </si>
  <si>
    <t>Holz Form und Kraftschlüssig</t>
  </si>
  <si>
    <t>- Effiziens des Grunrisses (BGF/WFL)</t>
  </si>
  <si>
    <t>- A/V - Verhältnis</t>
  </si>
  <si>
    <t>- Behaglichkeit</t>
  </si>
  <si>
    <t>- Flexibilität</t>
  </si>
  <si>
    <t>- Belichtung</t>
  </si>
  <si>
    <t>Eingabe Rechenmodell</t>
  </si>
  <si>
    <t>Zur Untersuchung eines realen Falls unter den oben genannten Parametern wird davon ausgegangen, dass ein Grundstück vorliegt. Dazu bitte Angaben eintragen:</t>
  </si>
  <si>
    <t>Maximal zur Verfügung stehende Abmessungen des Gebäudevolumens aufgrund der Grundstücksgeometrie</t>
  </si>
  <si>
    <t>Kosten BSH</t>
  </si>
  <si>
    <t>Kosten Brettsperrholz</t>
  </si>
  <si>
    <t>Kosten Innenwandausfachung</t>
  </si>
  <si>
    <t>Kosten Fenster</t>
  </si>
  <si>
    <t>Kosten Fassade</t>
  </si>
  <si>
    <t>Ergebnisse</t>
  </si>
  <si>
    <t>Fensterfläche (min nach DIN)</t>
  </si>
  <si>
    <t>Flexibilität (Wohnvarianten):</t>
  </si>
  <si>
    <t>Flexibilität (Räume Moblierung):</t>
  </si>
  <si>
    <t>Natürlich belichtung Raumtiefe:</t>
  </si>
  <si>
    <t xml:space="preserve">Fassade geschlossen </t>
  </si>
  <si>
    <t>Kosten Holzbau (Primär) / BGF</t>
  </si>
  <si>
    <t>Eingabeparameter</t>
  </si>
  <si>
    <t>DGJ</t>
  </si>
  <si>
    <t>PJ-Hilfstabelle</t>
  </si>
  <si>
    <t>PJ-Rasterbemessung</t>
  </si>
  <si>
    <t>Info aus DGJ-Eingabe</t>
  </si>
  <si>
    <t>Info aus PJ-Hilfstabelle</t>
  </si>
  <si>
    <t>Baufeldebreite</t>
  </si>
  <si>
    <t xml:space="preserve">Höhe, OK Fußboden des höchstgelegenen Geschosses, in dem ein Aufenthaltsraum möglich ist, über der Geländeroberfläche im Mittel </t>
  </si>
  <si>
    <t>Baufeldtiefe</t>
  </si>
  <si>
    <t>Anzahl der Nutzeinheiten [NE] ohne UG</t>
  </si>
  <si>
    <t>Gebäudehöhe</t>
  </si>
  <si>
    <t>Geschosshöhe abzüglich Deckenquerschnitt und Fussbodenaufbau</t>
  </si>
  <si>
    <t>Gebäudeart, freistehen oder nicht</t>
  </si>
  <si>
    <t>Höhe Fenstersturz</t>
  </si>
  <si>
    <t>Wohnung pro Geschoss und Kern</t>
  </si>
  <si>
    <t>Rasterbreite</t>
  </si>
  <si>
    <t>Rastertiefe</t>
  </si>
  <si>
    <t>Raster-/Geschosshöhe</t>
  </si>
  <si>
    <t>Datenbank</t>
  </si>
  <si>
    <t>erf. Querschnitte</t>
  </si>
  <si>
    <t>Datenbank wird mit Ergebniss der PJ-Rasterbemessung gefüttert</t>
  </si>
  <si>
    <t>Bedeutung der Feld-Formate</t>
  </si>
  <si>
    <t>Beispiel</t>
  </si>
  <si>
    <t>Feldformat</t>
  </si>
  <si>
    <t>Bedeutung</t>
  </si>
  <si>
    <t>Arial, blau, fett auf gelbem Grund</t>
  </si>
  <si>
    <t>Eingabefeld: Bitte den angeforderten Wert eintragen</t>
  </si>
  <si>
    <t>Arial Narrow, blau, fett auf gelbem Grund</t>
  </si>
  <si>
    <t>Eingabefeld mit Auswahlmenü</t>
  </si>
  <si>
    <t>Arial, blau, fett auf grauem Grund</t>
  </si>
  <si>
    <t>Verknüpfung (durch Varianten-Makro), Achtung: nicht ändern</t>
  </si>
  <si>
    <t>bei uns noch nicht vorhanden, wäre aber denkbar</t>
  </si>
  <si>
    <t>Arial, schwarz, standard auf weißem Grund</t>
  </si>
  <si>
    <t>Berechnungsfeld; hier bitte nichts ändern</t>
  </si>
  <si>
    <t>Arial, dunkelrot, fett auf weißem Grund</t>
  </si>
  <si>
    <t>Feld mit Bezug zu einem anderen Blatt</t>
  </si>
  <si>
    <t>Arial, schwarz, standard auf rotem Grund</t>
  </si>
  <si>
    <t>schlechtes Ergebnisfeld</t>
  </si>
  <si>
    <t>Arial, schwarz, standard auf gelbem Grund</t>
  </si>
  <si>
    <t>mittleres Ergebnisfeld</t>
  </si>
  <si>
    <t>Arial, schwarz, standard auf günem Grund</t>
  </si>
  <si>
    <t>gutes Ergebnisfeld</t>
  </si>
  <si>
    <t>Arial, schwarz, groß und fett auf grünem Grund</t>
  </si>
  <si>
    <t>Wichtiges Ergebnisfeld</t>
  </si>
  <si>
    <t>Verzeichnis der Blätter</t>
  </si>
  <si>
    <t>Blattname</t>
  </si>
  <si>
    <t>Funktion</t>
  </si>
  <si>
    <t>Kurzbeschreibung</t>
  </si>
  <si>
    <t>Objektdaten; Ergebniszusammenfassung</t>
  </si>
  <si>
    <t>Rechenmodell</t>
  </si>
  <si>
    <t>Berechnung</t>
  </si>
  <si>
    <t>Tabelle zur berechnung Verschiedener Parameter</t>
  </si>
  <si>
    <t>Berchnung</t>
  </si>
  <si>
    <t>Tabelle zur Berechnung der erforderlichen Querschnitte der einzelnen Holzbauteile</t>
  </si>
  <si>
    <t>Auswertung</t>
  </si>
  <si>
    <t>Daten</t>
  </si>
  <si>
    <t>Tabelle mit Daten der einzelnen Bauordnungen</t>
  </si>
  <si>
    <t>Gebäudeklasse und Brandschutz</t>
  </si>
  <si>
    <t>Tabelle mit Daten der verschiedenen Brandschutzvorschriften</t>
  </si>
  <si>
    <t>Wohnungsausnutzung</t>
  </si>
  <si>
    <t>Wohnungsausnutzung verschiedener Haushaltsgrößen je Rastergröße</t>
  </si>
  <si>
    <t>Wohnungsausnutzung Vergleich</t>
  </si>
  <si>
    <t>Wohnfläche pro Person je nach Rastergröße</t>
  </si>
  <si>
    <t>Datenbank Fenster</t>
  </si>
  <si>
    <t>Tabelle mit verschiedenen Fenstergrößen und Raumgrößen</t>
  </si>
  <si>
    <t>RES022_HFKS_BBSR_FORSCHUNG</t>
  </si>
  <si>
    <t>WOHNUNGSAUSNUTZUNG (Vergleich Haushaltsgröße)</t>
  </si>
  <si>
    <t xml:space="preserve">Fläche Raster </t>
  </si>
  <si>
    <t>Erschließung</t>
  </si>
  <si>
    <t>WFL je Person</t>
  </si>
  <si>
    <t>1 PHH</t>
  </si>
  <si>
    <t>2 PHH</t>
  </si>
  <si>
    <t>3 PHH</t>
  </si>
  <si>
    <t>4 PHH</t>
  </si>
  <si>
    <t>5 PHH</t>
  </si>
  <si>
    <t>6 PHH</t>
  </si>
  <si>
    <t>7 PHH</t>
  </si>
  <si>
    <t>Mittelwert</t>
  </si>
  <si>
    <t>Median</t>
  </si>
  <si>
    <t>Modualwert</t>
  </si>
  <si>
    <t>Verbauungswinkel</t>
  </si>
  <si>
    <t>Raumbreite</t>
  </si>
  <si>
    <t>Raumtiefe</t>
  </si>
  <si>
    <t>Höhe der durchsichtigen Glasfläche</t>
  </si>
  <si>
    <t>Breite der durchsichtigen Glasfläche</t>
  </si>
  <si>
    <t>Glasfläche</t>
  </si>
  <si>
    <t>[ ° ]</t>
  </si>
  <si>
    <t>[ m ]</t>
  </si>
  <si>
    <r>
      <t>[ m</t>
    </r>
    <r>
      <rPr>
        <b/>
        <vertAlign val="superscript"/>
        <sz val="11"/>
        <color theme="1"/>
        <rFont val="Calibri"/>
        <family val="2"/>
        <scheme val="minor"/>
      </rPr>
      <t>2</t>
    </r>
    <r>
      <rPr>
        <b/>
        <sz val="11"/>
        <color theme="1"/>
        <rFont val="Calibri"/>
        <family val="2"/>
        <scheme val="minor"/>
      </rPr>
      <t xml:space="preserve"> ]</t>
    </r>
  </si>
  <si>
    <t>alpha</t>
  </si>
  <si>
    <t>hF</t>
  </si>
  <si>
    <t>bF</t>
  </si>
  <si>
    <r>
      <t>A</t>
    </r>
    <r>
      <rPr>
        <vertAlign val="subscript"/>
        <sz val="9"/>
        <color theme="1"/>
        <rFont val="Arial Narrow"/>
        <family val="2"/>
      </rPr>
      <t>UZ,E,d</t>
    </r>
  </si>
  <si>
    <r>
      <t>A</t>
    </r>
    <r>
      <rPr>
        <vertAlign val="subscript"/>
        <sz val="9"/>
        <color theme="1"/>
        <rFont val="Arial Narrow"/>
        <family val="2"/>
      </rPr>
      <t>UZ,E,d,fi</t>
    </r>
  </si>
  <si>
    <t>Trägerhöhen</t>
  </si>
  <si>
    <t>Material Unterzug</t>
  </si>
  <si>
    <t>Material Stütze</t>
  </si>
  <si>
    <t>Materialidentifizierung - Werkstoffgruppe</t>
  </si>
  <si>
    <t>Werkstoffgruppe - Listenauswahl</t>
  </si>
  <si>
    <t>Breiten Stütze</t>
  </si>
  <si>
    <t>Tiefen Stütze</t>
  </si>
  <si>
    <t>Rechenwert aus DGJ-Werten</t>
  </si>
  <si>
    <t>Vorherige Abfrage -&gt; Eingabe und Ergebnis-Blatt</t>
  </si>
  <si>
    <t>Auflast bzw. Eigenlast Decke</t>
  </si>
  <si>
    <t>Nutzlastkategorie</t>
  </si>
  <si>
    <t>Verknüpfung mit DGJ-Raster</t>
  </si>
  <si>
    <t>Anforderungen GZG-Decke</t>
  </si>
  <si>
    <t>Unterzugbreite</t>
  </si>
  <si>
    <t>Anforderungen GZG-Unterzug</t>
  </si>
  <si>
    <t>Spannweite Unterzug</t>
  </si>
  <si>
    <t>Länge Stütze</t>
  </si>
  <si>
    <t>Verknüpfung mit DGJ-Geschosshöhe</t>
  </si>
  <si>
    <t>Vorschlag</t>
  </si>
  <si>
    <t>fester Wert für Auflast -&gt; Auswahlmöglichkeit in anderem Blatt geben</t>
  </si>
  <si>
    <t>fester Wert für Kategorie -&gt; Auswahlmöglichkeit in anderem Blatt geben, aber auf wenige Kategorien beschränken</t>
  </si>
  <si>
    <t>feste Werte einstellen -&gt; Auswahlmöglichkeit in anderem Blatt geben, aber auf wenige Werte beschränken</t>
  </si>
  <si>
    <t>Optimum über Iteration berechenbar???</t>
  </si>
  <si>
    <t>Anpassen an notwendige Stützenbreite? -&gt; Iteration nötig</t>
  </si>
  <si>
    <t>Ergebnis</t>
  </si>
  <si>
    <t>Rechenwert aus DGJ-Werten
oder vorherige Abfrage</t>
  </si>
  <si>
    <t>Hinweise zum Brandschutz</t>
  </si>
  <si>
    <t>brauchts den Hinweis überhaupt???</t>
  </si>
  <si>
    <t>Höhe [mm]</t>
  </si>
  <si>
    <t>Querschnitt UNZ [mm²]</t>
  </si>
  <si>
    <t>Raster DE [m]</t>
  </si>
  <si>
    <t>Raster UNZ [m]</t>
  </si>
  <si>
    <t>(erf. Höhe in [mm] für Einfeldträger; ohne Brücksichtigung Quersteifigkeit; ohne Berücksichtigung Estrichsteifigkeit; ohne Berücksichtigung der Auflagerung auf Unterzug)</t>
  </si>
  <si>
    <t>(erf. Höhe in [mm] ohne Schubverformungen)</t>
  </si>
  <si>
    <t>(Biegeverformung in [mm])</t>
  </si>
  <si>
    <t>(Schubverformung in [mm])</t>
  </si>
  <si>
    <t>(Anteil Schubverformung in [%])</t>
  </si>
  <si>
    <r>
      <t>(erf. Höhe in [mm] ohne mitwirkende Breite b</t>
    </r>
    <r>
      <rPr>
        <vertAlign val="subscript"/>
        <sz val="9"/>
        <color theme="1"/>
        <rFont val="Arial"/>
        <family val="2"/>
      </rPr>
      <t>f</t>
    </r>
    <r>
      <rPr>
        <sz val="9"/>
        <color theme="1"/>
        <rFont val="Arial"/>
        <family val="2"/>
      </rPr>
      <t>)</t>
    </r>
  </si>
  <si>
    <t>(erf. Decken-QS in [mm] ohne Querkraftreduzierung am Auflager)</t>
  </si>
  <si>
    <t>(ideell erf. Decken-Höhe in [mm] ohne Querkraftreduzierung am Auflager)</t>
  </si>
  <si>
    <t>(erf. Decken-QS in [mm])</t>
  </si>
  <si>
    <t>(ideell erf. Decken-Höhe in [mm])</t>
  </si>
  <si>
    <t>(erf. Decken-QS in [mm] für Decke eindimensional gespannt)</t>
  </si>
  <si>
    <t>(Ausnutzung für Heißnachweis entspr. der gewählten Minuten)</t>
  </si>
  <si>
    <t>(erf. Höhe in [mm] für Decke eindimensional gespannt; ohne Querkraftred.)</t>
  </si>
  <si>
    <t>(insges. erf. Decken-QS in [mm] für alle Nachweise)</t>
  </si>
  <si>
    <t>(erf. Decken-QS in [mm] für Heißnachweis ohne Querkraftred.)</t>
  </si>
  <si>
    <t>h/lef</t>
  </si>
  <si>
    <t>Raster_Decke</t>
  </si>
  <si>
    <t>Raster_UZ</t>
  </si>
  <si>
    <t>Länge_ST</t>
  </si>
  <si>
    <t>variabler Bereich</t>
  </si>
  <si>
    <t>Länge ST [m] = l_ef</t>
  </si>
  <si>
    <t>kalt</t>
  </si>
  <si>
    <t>warm</t>
  </si>
  <si>
    <r>
      <t>reale QS-Höhe h</t>
    </r>
    <r>
      <rPr>
        <vertAlign val="subscript"/>
        <sz val="7"/>
        <color theme="1"/>
        <rFont val="Arial"/>
        <family val="2"/>
      </rPr>
      <t>ges</t>
    </r>
  </si>
  <si>
    <t>reale QS-Höhe h</t>
  </si>
  <si>
    <t>Kantenlänge
quadrat. Stützen-QS [mm]</t>
  </si>
  <si>
    <t>Rundungswerte für Höhe in Abhängigkeit des Materials</t>
  </si>
  <si>
    <t>Rundungswert</t>
  </si>
  <si>
    <t>Maximalwert-Höhenabmessung</t>
  </si>
  <si>
    <t>Hinweise zur Nutzung</t>
  </si>
  <si>
    <t>Breite UNZ [mm]</t>
  </si>
  <si>
    <t>Querschnitt ST [mm²]</t>
  </si>
  <si>
    <t>hier rein oder erstmal voreingestellter Wert, den man im Spezialblatt ändern kann???</t>
  </si>
  <si>
    <t>Höhe UNZ [mm]</t>
  </si>
  <si>
    <t>erf. QS</t>
  </si>
  <si>
    <t>Rasterhöhe</t>
  </si>
  <si>
    <t>Eingenlasten in Abhängigkeit der Systemlängen</t>
  </si>
  <si>
    <r>
      <t>g</t>
    </r>
    <r>
      <rPr>
        <vertAlign val="subscript"/>
        <sz val="9"/>
        <color theme="1"/>
        <rFont val="Arial Narrow"/>
        <family val="2"/>
      </rPr>
      <t>k</t>
    </r>
  </si>
  <si>
    <r>
      <t>q</t>
    </r>
    <r>
      <rPr>
        <vertAlign val="subscript"/>
        <sz val="9"/>
        <color theme="1"/>
        <rFont val="Arial Narrow"/>
        <family val="2"/>
      </rPr>
      <t>k</t>
    </r>
  </si>
  <si>
    <r>
      <t>q</t>
    </r>
    <r>
      <rPr>
        <vertAlign val="subscript"/>
        <sz val="9"/>
        <color theme="1"/>
        <rFont val="Arial Narrow"/>
        <family val="2"/>
      </rPr>
      <t>d</t>
    </r>
  </si>
  <si>
    <r>
      <t>q</t>
    </r>
    <r>
      <rPr>
        <vertAlign val="subscript"/>
        <sz val="9"/>
        <color theme="1"/>
        <rFont val="Arial Narrow"/>
        <family val="2"/>
      </rPr>
      <t>d,fi</t>
    </r>
  </si>
  <si>
    <t>Erweiterte Eingabe</t>
  </si>
  <si>
    <t>Einige Werte sind im Rechenmodell voreingestellt. Zur genaueren Untersuchung können diese hier geändert bzw. angepasst werden.</t>
  </si>
  <si>
    <t>Anforderungen Gebrauchstauglichkeit</t>
  </si>
  <si>
    <t>Durchbiegung Decke</t>
  </si>
  <si>
    <t>Schwingung Decke</t>
  </si>
  <si>
    <r>
      <t>f</t>
    </r>
    <r>
      <rPr>
        <vertAlign val="subscript"/>
        <sz val="11"/>
        <color theme="1"/>
        <rFont val="Arial"/>
        <family val="2"/>
      </rPr>
      <t>grenz</t>
    </r>
    <r>
      <rPr>
        <sz val="11"/>
        <color theme="1"/>
        <rFont val="Arial"/>
        <family val="2"/>
      </rPr>
      <t xml:space="preserve"> =</t>
    </r>
  </si>
  <si>
    <t>Durchbiegung Unterzug</t>
  </si>
  <si>
    <t>Schwingung Unterzug</t>
  </si>
  <si>
    <t>Höhe h*</t>
  </si>
  <si>
    <t>Fläche NE</t>
  </si>
  <si>
    <t xml:space="preserve">Wert für weitere Bearbeitung </t>
  </si>
  <si>
    <t>Abfragewert</t>
  </si>
  <si>
    <t>Wert</t>
  </si>
  <si>
    <t>Schwingungsgrenzwerte</t>
  </si>
  <si>
    <t>[Hz]</t>
  </si>
  <si>
    <t>Bestimmung der Gebäudeklasse (-&gt; Brandbeanspruchung)</t>
  </si>
  <si>
    <t>Materialkosten</t>
  </si>
  <si>
    <t>Gebäudeart**</t>
  </si>
  <si>
    <t>**freistehend/ nicht freistehend; wird nichts eingetragen, wird von einem nicht freistehenden Gebäude ausgegangen</t>
  </si>
  <si>
    <t>Anzahl der Nutzeinheiten NE***</t>
  </si>
  <si>
    <t xml:space="preserve">* OK Fußboden des höchstgel. Geschosses, in dem ein Aufenthaltsraum mögl. ist, über der Geländeoberfläche im Mittel </t>
  </si>
  <si>
    <t>Größe aller Nutzeinheiten NE****</t>
  </si>
  <si>
    <t>**** wird nichts eingetragen, wird von mindestens 400m² Nutzfläche aller NE ausgegangen</t>
  </si>
  <si>
    <t>Anzahl Raster auf X-Achse:</t>
  </si>
  <si>
    <t>Baufeld X-Achse:</t>
  </si>
  <si>
    <t>Baufeld Y-Achse:</t>
  </si>
  <si>
    <t>Anzahl Raster Y-Achse:</t>
  </si>
  <si>
    <t>Anzahl Raster X-Achse:</t>
  </si>
  <si>
    <t>Ideales Rastermaß Breite:</t>
  </si>
  <si>
    <r>
      <t>q</t>
    </r>
    <r>
      <rPr>
        <vertAlign val="subscript"/>
        <sz val="9"/>
        <color theme="1"/>
        <rFont val="Arial Narrow"/>
        <family val="2"/>
      </rPr>
      <t>d,Verformung</t>
    </r>
  </si>
  <si>
    <r>
      <t xml:space="preserve">Kombinationsbeiwert </t>
    </r>
    <r>
      <rPr>
        <sz val="9"/>
        <color theme="1"/>
        <rFont val="Symbol"/>
        <family val="1"/>
        <charset val="2"/>
      </rPr>
      <t>y</t>
    </r>
    <r>
      <rPr>
        <vertAlign val="subscript"/>
        <sz val="9"/>
        <color theme="1"/>
        <rFont val="Arial Narrow"/>
        <family val="2"/>
      </rPr>
      <t>2</t>
    </r>
    <r>
      <rPr>
        <sz val="9"/>
        <color theme="1"/>
        <rFont val="Arial Narrow"/>
        <family val="2"/>
      </rPr>
      <t xml:space="preserve"> [-]</t>
    </r>
  </si>
  <si>
    <r>
      <t>Verformungsbeiwert k</t>
    </r>
    <r>
      <rPr>
        <vertAlign val="subscript"/>
        <sz val="9"/>
        <color theme="1"/>
        <rFont val="Arial Narrow"/>
        <family val="2"/>
      </rPr>
      <t>def</t>
    </r>
    <r>
      <rPr>
        <sz val="9"/>
        <color theme="1"/>
        <rFont val="Arial Narrow"/>
        <family val="2"/>
      </rPr>
      <t xml:space="preserve"> [-]</t>
    </r>
  </si>
  <si>
    <t>Anzahl Raster auf Y-Achse:</t>
  </si>
  <si>
    <t>Was ist da los??</t>
  </si>
  <si>
    <t>Fassade insgesamt</t>
  </si>
  <si>
    <t>Ist das hier an der richtigen Stelle, oder zieht man einfach die 10% aus den Anforderungen</t>
  </si>
  <si>
    <t>Auch eher eine Sache die in das Ergebnis gehört?</t>
  </si>
  <si>
    <t>(Eingabewert für Auflast)</t>
  </si>
  <si>
    <t>GZG_max_Vorwert</t>
  </si>
  <si>
    <r>
      <t>(erf. Höhe in [mm] ohne Schubverformungen; Berechnung Schwinung ohne mitwirkende Breite b</t>
    </r>
    <r>
      <rPr>
        <vertAlign val="subscript"/>
        <sz val="9"/>
        <color theme="1"/>
        <rFont val="Arial"/>
        <family val="2"/>
      </rPr>
      <t>f</t>
    </r>
    <r>
      <rPr>
        <sz val="9"/>
        <color theme="1"/>
        <rFont val="Arial"/>
        <family val="2"/>
      </rPr>
      <t>)</t>
    </r>
  </si>
  <si>
    <r>
      <t>(erf. BSP-Aufbau-Höhe in [mm] mit mitwirkende Breite b</t>
    </r>
    <r>
      <rPr>
        <vertAlign val="subscript"/>
        <sz val="9"/>
        <color theme="1"/>
        <rFont val="Arial"/>
        <family val="2"/>
      </rPr>
      <t>f</t>
    </r>
    <r>
      <rPr>
        <sz val="9"/>
        <color theme="1"/>
        <rFont val="Arial"/>
        <family val="2"/>
      </rPr>
      <t>)</t>
    </r>
  </si>
  <si>
    <t>gerichtete Systeme</t>
  </si>
  <si>
    <t>ungerichtete Systeme</t>
  </si>
  <si>
    <r>
      <t>k</t>
    </r>
    <r>
      <rPr>
        <vertAlign val="subscript"/>
        <sz val="8"/>
        <rFont val="Arial"/>
        <family val="2"/>
      </rPr>
      <t>c</t>
    </r>
    <r>
      <rPr>
        <sz val="8"/>
        <rFont val="Arial"/>
        <family val="2"/>
      </rPr>
      <t xml:space="preserve"> x h² -&gt; Wert, der nur von der auftretenden Kraft abhängt</t>
    </r>
  </si>
  <si>
    <t>Raster y-Achse</t>
  </si>
  <si>
    <t>5,00 m</t>
  </si>
  <si>
    <t>5,30 m</t>
  </si>
  <si>
    <t>5,70 m</t>
  </si>
  <si>
    <t>6,00 m</t>
  </si>
  <si>
    <t>Holzmenge gesamt</t>
  </si>
  <si>
    <t>RASTER, gerichtet</t>
  </si>
  <si>
    <t>RASTER, ungerichtet</t>
  </si>
  <si>
    <t>Volumen [m³]</t>
  </si>
  <si>
    <t>Gesamt Holzvolumen [m³]</t>
  </si>
  <si>
    <t>Volumen Unterzüge</t>
  </si>
  <si>
    <t>Holzvolumen pro BGF</t>
  </si>
  <si>
    <t>Anzahl Unterzüge</t>
  </si>
  <si>
    <t>BGF: (Fläche Raster * Anzahl Raster * Etagen)</t>
  </si>
  <si>
    <t>Raster x-Achse</t>
  </si>
  <si>
    <t>Raster X-Achse</t>
  </si>
  <si>
    <t>Raster Y-Achse</t>
  </si>
  <si>
    <t>Deckenaufbau</t>
  </si>
  <si>
    <t>DE01</t>
  </si>
  <si>
    <t>DE02</t>
  </si>
  <si>
    <t>DE01 mit 60mm Installationsebene; DE02 ohne Installationsebene</t>
  </si>
  <si>
    <t>h_auf</t>
  </si>
  <si>
    <t>(im Moment voreingestellter Wert)</t>
  </si>
  <si>
    <t>Konstruktion</t>
  </si>
  <si>
    <t>Kosten</t>
  </si>
  <si>
    <t>ERGEBNISSPARAMETER</t>
  </si>
  <si>
    <t>BGF</t>
  </si>
  <si>
    <t>Auslastung Baufeld</t>
  </si>
  <si>
    <t>in y-Richtung</t>
  </si>
  <si>
    <t>Gebäudelänge in x-Richtung</t>
  </si>
  <si>
    <t>Gebäudelänge in y-Richtung</t>
  </si>
  <si>
    <t>Auslastung in x-Richtung</t>
  </si>
  <si>
    <t>(mind. BSP-Plattenbreite zu 2,50m angenommen)</t>
  </si>
  <si>
    <r>
      <t>(erf. BSP-Aufbau-Höhe in [mm] ohne mitwirkende Breite b</t>
    </r>
    <r>
      <rPr>
        <vertAlign val="subscript"/>
        <sz val="9"/>
        <color theme="1"/>
        <rFont val="Arial"/>
        <family val="2"/>
      </rPr>
      <t>f</t>
    </r>
    <r>
      <rPr>
        <sz val="9"/>
        <color theme="1"/>
        <rFont val="Arial"/>
        <family val="2"/>
      </rPr>
      <t>)</t>
    </r>
  </si>
  <si>
    <t>(Berechnung nach BSP-Bemessungshandbuch II proHolz - Bsp. Seite 21 bzw. PraxisRegelnBau "Vereinfachte Ansätze zum Nachweis der Gebr.tauglichkeit und zum Schwinungsnachweis nach EC 5" Gl. 3 von Patr. Hamm)</t>
  </si>
  <si>
    <t xml:space="preserve">Baufeldauslastung </t>
  </si>
  <si>
    <t>Auslastung in y-Richtung</t>
  </si>
  <si>
    <t>BGF Test</t>
  </si>
  <si>
    <t>Volumen</t>
  </si>
  <si>
    <t>Außenhülle</t>
  </si>
  <si>
    <t>Gebäudehöhe aus Raster</t>
  </si>
  <si>
    <t>Holzmenge primär</t>
  </si>
  <si>
    <t>Kosten primär</t>
  </si>
  <si>
    <t>BAUTEILINFORMATION</t>
  </si>
  <si>
    <t>Kosten primär /BGF</t>
  </si>
  <si>
    <t>Rastergrundfläche</t>
  </si>
  <si>
    <t>Kosten Gebäudehülle/BGF</t>
  </si>
  <si>
    <t>mind. Raumhöhe</t>
  </si>
  <si>
    <t>Mindest Raumhöhe:</t>
  </si>
  <si>
    <t>Raster an Außenfassade</t>
  </si>
  <si>
    <t>(0,75*(Rasteranzahl-x-1)*Gebäudelänge-y*Stützenbreite)+((Rasteranzahl-y-1)*Gebäudelänge-x*Stützenbreite)+(2*Gebäudelänge-x*Stützenbreite+2*Gebäudelänge-y*Stützenbreite))Etagen</t>
  </si>
  <si>
    <t>KGF</t>
  </si>
  <si>
    <t>WLF</t>
  </si>
  <si>
    <t>WLF/BGF</t>
  </si>
  <si>
    <t>Belichtete Wohnungsteife / Gebäude Tiefe</t>
  </si>
  <si>
    <t>Anzahl Raster in x-Richtung</t>
  </si>
  <si>
    <t>Anzahl Raster in y-Richtung</t>
  </si>
  <si>
    <t>schwer entflammbar</t>
  </si>
  <si>
    <t>normal entflammbar</t>
  </si>
  <si>
    <t>leicht entflammbar</t>
  </si>
  <si>
    <t>nfl</t>
  </si>
  <si>
    <t>lfl</t>
  </si>
  <si>
    <t>????</t>
  </si>
  <si>
    <t>+nbr???</t>
  </si>
  <si>
    <t>SL überprüfen!!!</t>
  </si>
  <si>
    <t>im untersten Geschoss mit einer dritten Wohnung fh + nbr</t>
  </si>
  <si>
    <t>F30-A oder F30-AB</t>
  </si>
  <si>
    <t>????
SL &amp; RP überprüfen!!!</t>
  </si>
  <si>
    <t>aus brennbaren Baustoffen möglich, wenn FWDauer nachgewiesen und kein Feuer/Rauch über Grenzen kann</t>
  </si>
  <si>
    <t>in Holzbauweise möglich, wenn erf. FWFähigkeit gewährleistet ist</t>
  </si>
  <si>
    <r>
      <t>fb</t>
    </r>
    <r>
      <rPr>
        <vertAlign val="superscript"/>
        <sz val="10"/>
        <color theme="1"/>
        <rFont val="Arial"/>
        <family val="2"/>
      </rPr>
      <t>2</t>
    </r>
    <r>
      <rPr>
        <sz val="10"/>
        <color theme="1"/>
        <rFont val="Arial"/>
        <family val="2"/>
      </rPr>
      <t>+dts</t>
    </r>
  </si>
  <si>
    <r>
      <t>hfh</t>
    </r>
    <r>
      <rPr>
        <vertAlign val="superscript"/>
        <sz val="10"/>
        <color theme="1"/>
        <rFont val="Arial"/>
        <family val="2"/>
      </rPr>
      <t>1,2</t>
    </r>
    <r>
      <rPr>
        <sz val="10"/>
        <color theme="1"/>
        <rFont val="Arial"/>
        <family val="2"/>
      </rPr>
      <t>+dts</t>
    </r>
  </si>
  <si>
    <r>
      <t>fb</t>
    </r>
    <r>
      <rPr>
        <vertAlign val="superscript"/>
        <sz val="10"/>
        <color theme="1"/>
        <rFont val="Arial"/>
        <family val="2"/>
      </rPr>
      <t>2,7</t>
    </r>
  </si>
  <si>
    <r>
      <t>fb</t>
    </r>
    <r>
      <rPr>
        <vertAlign val="superscript"/>
        <sz val="10"/>
        <color theme="1"/>
        <rFont val="Arial"/>
        <family val="2"/>
      </rPr>
      <t>2,3,7</t>
    </r>
  </si>
  <si>
    <t>Auswahl</t>
  </si>
  <si>
    <t>HOLZVOLUMEN PRO BGF</t>
  </si>
  <si>
    <t>Ist es möglich dieses Ergebnis noch zu generieren?</t>
  </si>
  <si>
    <t>nicht relevante Kombinationen</t>
  </si>
  <si>
    <t>min. 
Fensteranteil</t>
  </si>
  <si>
    <t>Fensterfläche (min nach LBO)</t>
  </si>
  <si>
    <t>Brüstungshöhe Fenster</t>
  </si>
  <si>
    <t>Wirtschaftliche Daten</t>
  </si>
  <si>
    <t>mindestens</t>
  </si>
  <si>
    <t>maximal</t>
  </si>
  <si>
    <t>Kosten Vollholz</t>
  </si>
  <si>
    <t>Euro/m³</t>
  </si>
  <si>
    <t>Euro/m²</t>
  </si>
  <si>
    <t>Gebäudeklassen</t>
  </si>
  <si>
    <t>Bauteile und Baustoffe</t>
  </si>
  <si>
    <t>tragende und aussteifende Wände, Pfeiler und Stützen</t>
  </si>
  <si>
    <t>in Geschossen, ausgenommen Keller- und Dachgeschosse</t>
  </si>
  <si>
    <r>
      <t>fh</t>
    </r>
    <r>
      <rPr>
        <vertAlign val="superscript"/>
        <sz val="9"/>
        <color theme="1"/>
        <rFont val="Arial"/>
        <family val="2"/>
      </rPr>
      <t>4</t>
    </r>
  </si>
  <si>
    <r>
      <t>hfh</t>
    </r>
    <r>
      <rPr>
        <vertAlign val="superscript"/>
        <sz val="9"/>
        <color theme="1"/>
        <rFont val="Arial"/>
        <family val="2"/>
      </rPr>
      <t>1,2,7</t>
    </r>
  </si>
  <si>
    <r>
      <t>fb</t>
    </r>
    <r>
      <rPr>
        <vertAlign val="superscript"/>
        <sz val="9"/>
        <color theme="1"/>
        <rFont val="Arial"/>
        <family val="2"/>
      </rPr>
      <t>2,7</t>
    </r>
  </si>
  <si>
    <t>in Dachgeschossen, wenn darüber Aufenthaltsräume möglich sind</t>
  </si>
  <si>
    <t>in Dachgeschossen, wenn darüber keine Aufenthaltsräume möglich sind</t>
  </si>
  <si>
    <t>Außenwände, Außenwandteile</t>
  </si>
  <si>
    <t>nichttragende Außenwände und nichttragende Teile tragender Außenwände</t>
  </si>
  <si>
    <t>Oberflächen von Außenwänden sowie Außenwandbekleidungen einschließlich Dämmstoffe und Unterkonstruktionen</t>
  </si>
  <si>
    <t>Trennwände, Öffnungen in Trennwänden</t>
  </si>
  <si>
    <r>
      <t xml:space="preserve">fh, bei Wohngebäuden ohne </t>
    </r>
    <r>
      <rPr>
        <vertAlign val="superscript"/>
        <sz val="9"/>
        <color theme="1"/>
        <rFont val="Arial"/>
        <family val="2"/>
      </rPr>
      <t>5</t>
    </r>
  </si>
  <si>
    <r>
      <t>hfh</t>
    </r>
    <r>
      <rPr>
        <vertAlign val="superscript"/>
        <sz val="9"/>
        <color theme="1"/>
        <rFont val="Arial"/>
        <family val="2"/>
      </rPr>
      <t>1,2,7</t>
    </r>
    <r>
      <rPr>
        <sz val="9"/>
        <color theme="1"/>
        <rFont val="Arial"/>
        <family val="2"/>
      </rPr>
      <t>+rB</t>
    </r>
  </si>
  <si>
    <r>
      <t>fb</t>
    </r>
    <r>
      <rPr>
        <vertAlign val="superscript"/>
        <sz val="9"/>
        <color theme="1"/>
        <rFont val="Arial"/>
        <family val="2"/>
      </rPr>
      <t>2,7</t>
    </r>
    <r>
      <rPr>
        <sz val="9"/>
        <color theme="1"/>
        <rFont val="Arial"/>
        <family val="2"/>
      </rPr>
      <t>+rB</t>
    </r>
  </si>
  <si>
    <r>
      <t>fb</t>
    </r>
    <r>
      <rPr>
        <vertAlign val="superscript"/>
        <sz val="9"/>
        <color theme="1"/>
        <rFont val="Arial"/>
        <family val="2"/>
      </rPr>
      <t>2</t>
    </r>
    <r>
      <rPr>
        <sz val="9"/>
        <color theme="1"/>
        <rFont val="Arial"/>
        <family val="2"/>
      </rPr>
      <t>+M</t>
    </r>
  </si>
  <si>
    <t>zulässige Wände anstelle von inneren Brandwänden</t>
  </si>
  <si>
    <r>
      <t>hfh</t>
    </r>
    <r>
      <rPr>
        <vertAlign val="superscript"/>
        <sz val="9"/>
        <color theme="1"/>
        <rFont val="Arial"/>
        <family val="2"/>
      </rPr>
      <t>1,2</t>
    </r>
    <r>
      <rPr>
        <sz val="9"/>
        <color theme="1"/>
        <rFont val="Arial"/>
        <family val="2"/>
      </rPr>
      <t>+M</t>
    </r>
  </si>
  <si>
    <t>zulässige Wände anstelle von Brandwänden als Gebäudeabschlusswände</t>
  </si>
  <si>
    <t>Decken, ausgenommen in Keller- und Dachgeschossen</t>
  </si>
  <si>
    <t>notwendige Treppen</t>
  </si>
  <si>
    <t>tragende Bauteile</t>
  </si>
  <si>
    <t>prüfen !!!</t>
  </si>
  <si>
    <t>tragende Teile von Außentreppen</t>
  </si>
  <si>
    <t>prüfen!!!</t>
  </si>
  <si>
    <t>notwendige Treppenräume</t>
  </si>
  <si>
    <t>Wände</t>
  </si>
  <si>
    <t>oberer Abschluss</t>
  </si>
  <si>
    <t>notwendige Flure und offene Gänge</t>
  </si>
  <si>
    <t>Wände, Umwehrungen von offenen Gängen</t>
  </si>
  <si>
    <r>
      <t>fh</t>
    </r>
    <r>
      <rPr>
        <vertAlign val="superscript"/>
        <sz val="9"/>
        <color theme="1"/>
        <rFont val="Arial"/>
        <family val="2"/>
      </rPr>
      <t>6</t>
    </r>
  </si>
  <si>
    <t>Bekleidungen, Unterdecken, Dämmstoffe sowie Oberflächen von nicht bekleideten Wänden und Decken</t>
  </si>
  <si>
    <r>
      <t>BA</t>
    </r>
    <r>
      <rPr>
        <vertAlign val="superscript"/>
        <sz val="9"/>
        <color theme="1"/>
        <rFont val="Arial"/>
        <family val="2"/>
      </rPr>
      <t>1,2,7</t>
    </r>
  </si>
  <si>
    <r>
      <t>AB</t>
    </r>
    <r>
      <rPr>
        <vertAlign val="superscript"/>
        <sz val="9"/>
        <color theme="1"/>
        <rFont val="Arial"/>
        <family val="2"/>
      </rPr>
      <t>2,7</t>
    </r>
  </si>
  <si>
    <t>Indizes</t>
  </si>
  <si>
    <t>Bekl., Putze, Dämmstoffe, Unterdecken, Oberflächen von nicht bekl. Wänden und Decken sowie Einbauten</t>
  </si>
  <si>
    <r>
      <t>K</t>
    </r>
    <r>
      <rPr>
        <vertAlign val="subscript"/>
        <sz val="11"/>
        <color theme="1"/>
        <rFont val="Calibri"/>
        <family val="2"/>
        <scheme val="minor"/>
      </rPr>
      <t>2</t>
    </r>
    <r>
      <rPr>
        <sz val="11"/>
        <color theme="1"/>
        <rFont val="Calibri"/>
        <family val="2"/>
        <scheme val="minor"/>
      </rPr>
      <t>60-Kapselung notwendig</t>
    </r>
  </si>
  <si>
    <t>gilt auch bei frostwirt-schaftlich genutzten Teilen</t>
  </si>
  <si>
    <r>
      <t>X</t>
    </r>
    <r>
      <rPr>
        <b/>
        <vertAlign val="superscript"/>
        <sz val="9"/>
        <color theme="1"/>
        <rFont val="Arial"/>
        <family val="2"/>
      </rPr>
      <t>1</t>
    </r>
  </si>
  <si>
    <r>
      <t>X</t>
    </r>
    <r>
      <rPr>
        <b/>
        <vertAlign val="superscript"/>
        <sz val="9"/>
        <color theme="1"/>
        <rFont val="Arial"/>
        <family val="2"/>
      </rPr>
      <t>2</t>
    </r>
  </si>
  <si>
    <r>
      <t>X</t>
    </r>
    <r>
      <rPr>
        <b/>
        <vertAlign val="superscript"/>
        <sz val="9"/>
        <color theme="1"/>
        <rFont val="Arial"/>
        <family val="2"/>
      </rPr>
      <t>3</t>
    </r>
  </si>
  <si>
    <r>
      <t>X</t>
    </r>
    <r>
      <rPr>
        <b/>
        <vertAlign val="superscript"/>
        <sz val="9"/>
        <color theme="1"/>
        <rFont val="Arial"/>
        <family val="2"/>
      </rPr>
      <t>4</t>
    </r>
  </si>
  <si>
    <r>
      <t>X</t>
    </r>
    <r>
      <rPr>
        <b/>
        <vertAlign val="superscript"/>
        <sz val="9"/>
        <color theme="1"/>
        <rFont val="Arial"/>
        <family val="2"/>
      </rPr>
      <t>5</t>
    </r>
  </si>
  <si>
    <r>
      <t>X</t>
    </r>
    <r>
      <rPr>
        <b/>
        <vertAlign val="superscript"/>
        <sz val="9"/>
        <color theme="1"/>
        <rFont val="Arial"/>
        <family val="2"/>
      </rPr>
      <t>6</t>
    </r>
  </si>
  <si>
    <r>
      <t>X</t>
    </r>
    <r>
      <rPr>
        <b/>
        <vertAlign val="superscript"/>
        <sz val="9"/>
        <color theme="1"/>
        <rFont val="Arial"/>
        <family val="2"/>
      </rPr>
      <t>7</t>
    </r>
  </si>
  <si>
    <r>
      <t>F60-A oder F60-BA mit K</t>
    </r>
    <r>
      <rPr>
        <vertAlign val="subscript"/>
        <sz val="9"/>
        <color theme="1"/>
        <rFont val="Arial"/>
        <family val="2"/>
      </rPr>
      <t>2</t>
    </r>
    <r>
      <rPr>
        <sz val="9"/>
        <color theme="1"/>
        <rFont val="Arial"/>
        <family val="2"/>
      </rPr>
      <t>60-Kapselung</t>
    </r>
  </si>
  <si>
    <r>
      <t>F60-A oder F60-BA mit K</t>
    </r>
    <r>
      <rPr>
        <vertAlign val="subscript"/>
        <sz val="9"/>
        <color theme="1"/>
        <rFont val="Arial"/>
        <family val="2"/>
      </rPr>
      <t>2</t>
    </r>
    <r>
      <rPr>
        <sz val="9"/>
        <color theme="1"/>
        <rFont val="Arial"/>
        <family val="2"/>
      </rPr>
      <t>60-Kapselung (siehe § 15 (3))</t>
    </r>
  </si>
  <si>
    <r>
      <t>F60-AB oder F60-BA mit K</t>
    </r>
    <r>
      <rPr>
        <vertAlign val="subscript"/>
        <sz val="9"/>
        <color theme="1"/>
        <rFont val="Arial"/>
        <family val="2"/>
      </rPr>
      <t>2</t>
    </r>
    <r>
      <rPr>
        <sz val="9"/>
        <color theme="1"/>
        <rFont val="Arial"/>
        <family val="2"/>
      </rPr>
      <t>60-Kapselung</t>
    </r>
  </si>
  <si>
    <r>
      <t>Bei Gebäuden mit einer Höhe bis zu 22 m und Nutzungseinheiten mit jeweils nicht mehr als 200 m</t>
    </r>
    <r>
      <rPr>
        <vertAlign val="superscript"/>
        <sz val="9"/>
        <color theme="1"/>
        <rFont val="Arial"/>
        <family val="2"/>
      </rPr>
      <t>2</t>
    </r>
    <r>
      <rPr>
        <sz val="9"/>
        <color theme="1"/>
        <rFont val="Arial"/>
        <family val="2"/>
      </rPr>
      <t xml:space="preserve"> und Brandabschnitten von nicht mehr als 800 m</t>
    </r>
    <r>
      <rPr>
        <vertAlign val="superscript"/>
        <sz val="9"/>
        <color theme="1"/>
        <rFont val="Arial"/>
        <family val="2"/>
      </rPr>
      <t>2</t>
    </r>
    <r>
      <rPr>
        <sz val="9"/>
        <color theme="1"/>
        <rFont val="Arial"/>
        <family val="2"/>
      </rPr>
      <t xml:space="preserve"> pro Geschoss sind tragende oder aussteifende sowie raumabschließende Bauteile, die hochfeuerhemmend oder feuerbeständig sein müssen, in </t>
    </r>
    <r>
      <rPr>
        <sz val="9"/>
        <color rgb="FFFF0000"/>
        <rFont val="Arial"/>
        <family val="2"/>
      </rPr>
      <t>Massivholzbauweise</t>
    </r>
    <r>
      <rPr>
        <sz val="9"/>
        <color theme="1"/>
        <rFont val="Arial"/>
        <family val="2"/>
      </rPr>
      <t xml:space="preserve"> zulässig, wenn die geforderte FWFähigkeit nachgewiesen wird.</t>
    </r>
  </si>
  <si>
    <t xml:space="preserve">Abweichend sind andere Bauteile, die feuerbeständig oder hochfeuerhemmend sein müssen, aus brennbaren Baustoffen zulässig, sofern sie den Technischen Baubestimmungen nach § 90 entsprechen. Abweichungen von in den Technischen Baubestimmungen enthaltenen Planungs-, Bemessung- und Ausführungsregelungen bedürfen einer Abweichungsentscheidung nach § 73. 7. § 17 bleibt unberührt. </t>
  </si>
  <si>
    <t>???</t>
  </si>
  <si>
    <t>nicht brennbar</t>
  </si>
  <si>
    <t>A 2</t>
  </si>
  <si>
    <t>B 1</t>
  </si>
  <si>
    <t>B 2</t>
  </si>
  <si>
    <t>F 30 - B</t>
  </si>
  <si>
    <t>fh + nbr</t>
  </si>
  <si>
    <t>feuerhemmend und aus nichtbrennbaren Baustoffen</t>
  </si>
  <si>
    <t>F 30 - A</t>
  </si>
  <si>
    <t>F 60 - A</t>
  </si>
  <si>
    <t>F 90 - A</t>
  </si>
  <si>
    <t>Bauaufsichtliche Anforderungen</t>
  </si>
  <si>
    <t>fh + rB</t>
  </si>
  <si>
    <t>feuerhemmend und raumabschließend</t>
  </si>
  <si>
    <t>REI 30</t>
  </si>
  <si>
    <t>Kurzbezeichnung nach DIN 4102-1 bzw. 4102-2 bzw. DIN EN 13501-2:2010-01</t>
  </si>
  <si>
    <t>fb + M</t>
  </si>
  <si>
    <t>feuerbeständig auch unter mechanischer Einwirkung</t>
  </si>
  <si>
    <t>R 90 - M</t>
  </si>
  <si>
    <t>Sturzhöhe Fenster</t>
  </si>
  <si>
    <t>Anzahl Etagen</t>
  </si>
  <si>
    <t>Arial, schwarz auf grünem Grund</t>
  </si>
  <si>
    <t xml:space="preserve"> Ergebnisfeld</t>
  </si>
  <si>
    <t>Kubatur + Holzmengen</t>
  </si>
  <si>
    <t>Belichtung und Flexibilität</t>
  </si>
  <si>
    <t>Brüstungshöhe</t>
  </si>
  <si>
    <t>Sturzhöhe</t>
  </si>
  <si>
    <t>Belichteter Grundflächenanteil</t>
  </si>
  <si>
    <t>Natürlich belichtung Grundfläche:</t>
  </si>
  <si>
    <t>Windlastzone</t>
  </si>
  <si>
    <t>IV</t>
  </si>
  <si>
    <t>Geländekategorie</t>
  </si>
  <si>
    <t>Winddruckbeiwert</t>
  </si>
  <si>
    <t>Binnenland</t>
  </si>
  <si>
    <t>Inseln der Nordsee</t>
  </si>
  <si>
    <t>Vorgaben für die Berechnung der Gebäudeaussteifung</t>
  </si>
  <si>
    <t>einfache kubische Gebäudeform ohne Versprünge oder anderweitige geometrische Besonderheiten</t>
  </si>
  <si>
    <t>Flachdach (scharfkantig, ohne Attika)</t>
  </si>
  <si>
    <t>Aussteifung erfolgt mit übereinanderstehenden BSP-Wänden</t>
  </si>
  <si>
    <t>in jede Gebäuderichtung sind mindestens zwei BSP-Wände vorhanden</t>
  </si>
  <si>
    <t>Gebäudelänge (x-Richtung)</t>
  </si>
  <si>
    <t>Gebäudebreite (y-Richtung)</t>
  </si>
  <si>
    <t>Gebäudehöhe (z-Richtung)</t>
  </si>
  <si>
    <t>Verhältnis h/d</t>
  </si>
  <si>
    <t>Cpe,10-Werte</t>
  </si>
  <si>
    <t>die BSP-Wände sind symmetrisch und gleichmäßig über den Grundriss zu verteilen</t>
  </si>
  <si>
    <t>Geschosshöhe</t>
  </si>
  <si>
    <t>horizontale Belastung aus Gebäudeschiefstellung</t>
  </si>
  <si>
    <t>H-Last pro Geschossdecke (inkl. Schiefstellung)</t>
  </si>
  <si>
    <t>H-Last für Dachebene (inkl. Schiefstellung)</t>
  </si>
  <si>
    <t>maximale Zug-/Druckkraft pro Anschlusspunkt</t>
  </si>
  <si>
    <t>kN</t>
  </si>
  <si>
    <t>maximal aufnehmbare Schubkraft pro BSP-Wand</t>
  </si>
  <si>
    <t>kN/m</t>
  </si>
  <si>
    <t>Rastermaß in x-Richtung</t>
  </si>
  <si>
    <t>Rastermaß in y-Richtung</t>
  </si>
  <si>
    <r>
      <rPr>
        <b/>
        <sz val="11"/>
        <color rgb="FFFF0000"/>
        <rFont val="Arial"/>
        <family val="2"/>
      </rPr>
      <t>Hinweis:</t>
    </r>
    <r>
      <rPr>
        <sz val="11"/>
        <color rgb="FFFF0000"/>
        <rFont val="Arial"/>
        <family val="2"/>
      </rPr>
      <t xml:space="preserve"> Überprüfen Sie ob mit dieser Gebäudehöhe die Abstandsflächen eingehalten werden und ob der Bebauungsplan möglicherweise andere Einschränkungen vorsieht!</t>
    </r>
  </si>
  <si>
    <r>
      <t xml:space="preserve">Hinweis: </t>
    </r>
    <r>
      <rPr>
        <sz val="11"/>
        <color rgb="FFFF0000"/>
        <rFont val="Arial"/>
        <family val="2"/>
      </rPr>
      <t>Der x-Wert muss &gt; als der y-Wert sein!</t>
    </r>
  </si>
  <si>
    <t>Anzahl Erschließungskern</t>
  </si>
  <si>
    <t>Anzahl Erschließungskerne</t>
  </si>
  <si>
    <t>Spannweite Decke</t>
  </si>
  <si>
    <t>Anzahl Raster gesamt</t>
  </si>
  <si>
    <t>Art des Erschließungskerns</t>
  </si>
  <si>
    <t>Erschließungskernart</t>
  </si>
  <si>
    <t>B: ohne Fahrstuhl, zweiläufitg</t>
  </si>
  <si>
    <t>Anzahl Raster für Erschl.</t>
  </si>
  <si>
    <t>Anzahl Raster für Wohn.</t>
  </si>
  <si>
    <t>Fläche für Erschließung</t>
  </si>
  <si>
    <t>Fläche Erschl.</t>
  </si>
  <si>
    <t>Gesamt Anzahl Raster für Erschl.</t>
  </si>
  <si>
    <t>Raster je Kern</t>
  </si>
  <si>
    <t>Berücksichtigung aller Nachweise</t>
  </si>
  <si>
    <t>maximale Unterzugbreite (ansonsten Blockverklebung)</t>
  </si>
  <si>
    <t>Spannweite Decke [m]</t>
  </si>
  <si>
    <r>
      <t>Auflagerlast eines Deckenfeldes; Eigenlast G</t>
    </r>
    <r>
      <rPr>
        <vertAlign val="subscript"/>
        <sz val="11"/>
        <color theme="1"/>
        <rFont val="Calibri"/>
        <family val="2"/>
        <scheme val="minor"/>
      </rPr>
      <t>k</t>
    </r>
    <r>
      <rPr>
        <sz val="11"/>
        <color theme="1"/>
        <rFont val="Calibri"/>
        <family val="2"/>
        <scheme val="minor"/>
      </rPr>
      <t xml:space="preserve"> [kN/m]</t>
    </r>
  </si>
  <si>
    <r>
      <t>Auflagerlast eines Deckenfeldes; Nutzlast Q</t>
    </r>
    <r>
      <rPr>
        <vertAlign val="subscript"/>
        <sz val="11"/>
        <color theme="1"/>
        <rFont val="Calibri"/>
        <family val="2"/>
        <scheme val="minor"/>
      </rPr>
      <t>k</t>
    </r>
    <r>
      <rPr>
        <sz val="11"/>
        <color theme="1"/>
        <rFont val="Calibri"/>
        <family val="2"/>
        <scheme val="minor"/>
      </rPr>
      <t xml:space="preserve"> [kN/m]</t>
    </r>
  </si>
  <si>
    <t>Spannweite Unterzug [m]</t>
  </si>
  <si>
    <t>erf. Stützenquerschnitt [mm]</t>
  </si>
  <si>
    <t>Unterzugbreite [mm]</t>
  </si>
  <si>
    <t>erf. Unterzughöhe [mm]</t>
  </si>
  <si>
    <t>eff. Unterzugbreite im Brandfall [mm]</t>
  </si>
  <si>
    <t>Küste und Inseln der Ostsee</t>
  </si>
  <si>
    <t>Küste der Nord- und Ostsee und Inseln der Ostsee</t>
  </si>
  <si>
    <t>Vorverformung</t>
  </si>
  <si>
    <t>Phi=0,005 x Wurzel (5 / h)</t>
  </si>
  <si>
    <t>Ersatzlast pro Geschoss</t>
  </si>
  <si>
    <r>
      <t>Eigenlast Decke (g</t>
    </r>
    <r>
      <rPr>
        <vertAlign val="subscript"/>
        <sz val="11"/>
        <color theme="1"/>
        <rFont val="Calibri"/>
        <family val="2"/>
        <scheme val="minor"/>
      </rPr>
      <t>k</t>
    </r>
    <r>
      <rPr>
        <sz val="11"/>
        <color theme="1"/>
        <rFont val="Calibri"/>
        <family val="2"/>
        <scheme val="minor"/>
      </rPr>
      <t xml:space="preserve"> + a</t>
    </r>
    <r>
      <rPr>
        <vertAlign val="subscript"/>
        <sz val="11"/>
        <color theme="1"/>
        <rFont val="Calibri"/>
        <family val="2"/>
        <scheme val="minor"/>
      </rPr>
      <t>k</t>
    </r>
    <r>
      <rPr>
        <sz val="11"/>
        <color theme="1"/>
        <rFont val="Calibri"/>
        <family val="2"/>
        <scheme val="minor"/>
      </rPr>
      <t>)</t>
    </r>
  </si>
  <si>
    <r>
      <t>Nutzlast Decke (q</t>
    </r>
    <r>
      <rPr>
        <vertAlign val="subscript"/>
        <sz val="11"/>
        <color theme="1"/>
        <rFont val="Calibri"/>
        <family val="2"/>
        <scheme val="minor"/>
      </rPr>
      <t>k</t>
    </r>
    <r>
      <rPr>
        <sz val="11"/>
        <color theme="1"/>
        <rFont val="Calibri"/>
        <family val="2"/>
        <scheme val="minor"/>
      </rPr>
      <t>)</t>
    </r>
  </si>
  <si>
    <t>Grundfläche pro Geschoss</t>
  </si>
  <si>
    <r>
      <t>f</t>
    </r>
    <r>
      <rPr>
        <vertAlign val="subscript"/>
        <sz val="11"/>
        <color theme="1"/>
        <rFont val="Calibri"/>
        <family val="2"/>
        <scheme val="minor"/>
      </rPr>
      <t>g,DE</t>
    </r>
    <r>
      <rPr>
        <sz val="11"/>
        <color theme="1"/>
        <rFont val="Calibri"/>
        <family val="2"/>
        <scheme val="minor"/>
      </rPr>
      <t xml:space="preserve"> =</t>
    </r>
  </si>
  <si>
    <r>
      <t>A</t>
    </r>
    <r>
      <rPr>
        <vertAlign val="subscript"/>
        <sz val="11"/>
        <color theme="1"/>
        <rFont val="Calibri"/>
        <family val="2"/>
        <scheme val="minor"/>
      </rPr>
      <t>DE</t>
    </r>
    <r>
      <rPr>
        <sz val="11"/>
        <color theme="1"/>
        <rFont val="Calibri"/>
        <family val="2"/>
        <scheme val="minor"/>
      </rPr>
      <t xml:space="preserve"> =</t>
    </r>
  </si>
  <si>
    <r>
      <t>F</t>
    </r>
    <r>
      <rPr>
        <vertAlign val="subscript"/>
        <sz val="11"/>
        <color theme="1"/>
        <rFont val="Calibri"/>
        <family val="2"/>
        <scheme val="minor"/>
      </rPr>
      <t>s,DE</t>
    </r>
    <r>
      <rPr>
        <sz val="11"/>
        <color theme="1"/>
        <rFont val="Calibri"/>
        <family val="2"/>
        <scheme val="minor"/>
      </rPr>
      <t xml:space="preserve"> =</t>
    </r>
  </si>
  <si>
    <t>Ersatzlinienlast in x-Richtung</t>
  </si>
  <si>
    <t>Ersatzlinienlast in y-Richtung</t>
  </si>
  <si>
    <r>
      <t>f</t>
    </r>
    <r>
      <rPr>
        <vertAlign val="subscript"/>
        <sz val="11"/>
        <color theme="1"/>
        <rFont val="Calibri"/>
        <family val="2"/>
        <scheme val="minor"/>
      </rPr>
      <t>s,DE,x</t>
    </r>
    <r>
      <rPr>
        <sz val="11"/>
        <color theme="1"/>
        <rFont val="Calibri"/>
        <family val="2"/>
        <scheme val="minor"/>
      </rPr>
      <t xml:space="preserve"> =</t>
    </r>
  </si>
  <si>
    <r>
      <t>f</t>
    </r>
    <r>
      <rPr>
        <vertAlign val="subscript"/>
        <sz val="11"/>
        <color theme="1"/>
        <rFont val="Calibri"/>
        <family val="2"/>
        <scheme val="minor"/>
      </rPr>
      <t>s,DE,y</t>
    </r>
    <r>
      <rPr>
        <sz val="11"/>
        <color theme="1"/>
        <rFont val="Calibri"/>
        <family val="2"/>
        <scheme val="minor"/>
      </rPr>
      <t xml:space="preserve"> =</t>
    </r>
  </si>
  <si>
    <t>Phi x (gk + ak + qk)</t>
  </si>
  <si>
    <t>bx x by</t>
  </si>
  <si>
    <t>fg,DE x ADE</t>
  </si>
  <si>
    <t>Fs,DE / by</t>
  </si>
  <si>
    <t>Fs,DE / bx</t>
  </si>
  <si>
    <r>
      <t>Eigenlast Dach (g</t>
    </r>
    <r>
      <rPr>
        <vertAlign val="subscript"/>
        <sz val="11"/>
        <color theme="1"/>
        <rFont val="Calibri"/>
        <family val="2"/>
        <scheme val="minor"/>
      </rPr>
      <t>k</t>
    </r>
    <r>
      <rPr>
        <sz val="11"/>
        <color theme="1"/>
        <rFont val="Calibri"/>
        <family val="2"/>
        <scheme val="minor"/>
      </rPr>
      <t xml:space="preserve"> + a</t>
    </r>
    <r>
      <rPr>
        <vertAlign val="subscript"/>
        <sz val="11"/>
        <color theme="1"/>
        <rFont val="Calibri"/>
        <family val="2"/>
        <scheme val="minor"/>
      </rPr>
      <t>k</t>
    </r>
    <r>
      <rPr>
        <sz val="11"/>
        <color theme="1"/>
        <rFont val="Calibri"/>
        <family val="2"/>
        <scheme val="minor"/>
      </rPr>
      <t>)</t>
    </r>
  </si>
  <si>
    <t>Ersatzlast Dach</t>
  </si>
  <si>
    <r>
      <t>f</t>
    </r>
    <r>
      <rPr>
        <vertAlign val="subscript"/>
        <sz val="11"/>
        <color theme="1"/>
        <rFont val="Calibri"/>
        <family val="2"/>
        <scheme val="minor"/>
      </rPr>
      <t>g,DA</t>
    </r>
    <r>
      <rPr>
        <sz val="11"/>
        <color theme="1"/>
        <rFont val="Calibri"/>
        <family val="2"/>
        <scheme val="minor"/>
      </rPr>
      <t xml:space="preserve"> =</t>
    </r>
  </si>
  <si>
    <t>Ersatzlast Dachscheibe</t>
  </si>
  <si>
    <r>
      <t>F</t>
    </r>
    <r>
      <rPr>
        <vertAlign val="subscript"/>
        <sz val="11"/>
        <color theme="1"/>
        <rFont val="Calibri"/>
        <family val="2"/>
        <scheme val="minor"/>
      </rPr>
      <t>s,DA</t>
    </r>
    <r>
      <rPr>
        <sz val="11"/>
        <color theme="1"/>
        <rFont val="Calibri"/>
        <family val="2"/>
        <scheme val="minor"/>
      </rPr>
      <t xml:space="preserve"> =</t>
    </r>
  </si>
  <si>
    <t>fg,DA x ADE</t>
  </si>
  <si>
    <t>Ersatzlast pro Deckenscheibe</t>
  </si>
  <si>
    <r>
      <t>f</t>
    </r>
    <r>
      <rPr>
        <vertAlign val="subscript"/>
        <sz val="11"/>
        <color theme="1"/>
        <rFont val="Calibri"/>
        <family val="2"/>
        <scheme val="minor"/>
      </rPr>
      <t>s,DA,x</t>
    </r>
    <r>
      <rPr>
        <sz val="11"/>
        <color theme="1"/>
        <rFont val="Calibri"/>
        <family val="2"/>
        <scheme val="minor"/>
      </rPr>
      <t xml:space="preserve"> =</t>
    </r>
  </si>
  <si>
    <r>
      <t>f</t>
    </r>
    <r>
      <rPr>
        <vertAlign val="subscript"/>
        <sz val="11"/>
        <color theme="1"/>
        <rFont val="Calibri"/>
        <family val="2"/>
        <scheme val="minor"/>
      </rPr>
      <t>s,DA,y</t>
    </r>
    <r>
      <rPr>
        <sz val="11"/>
        <color theme="1"/>
        <rFont val="Calibri"/>
        <family val="2"/>
        <scheme val="minor"/>
      </rPr>
      <t xml:space="preserve"> =</t>
    </r>
  </si>
  <si>
    <t>H-Last gesamt (pro Richtung)</t>
  </si>
  <si>
    <t>Kontrolle</t>
  </si>
  <si>
    <r>
      <t>F</t>
    </r>
    <r>
      <rPr>
        <vertAlign val="subscript"/>
        <sz val="11"/>
        <color theme="1"/>
        <rFont val="Calibri"/>
        <family val="2"/>
        <scheme val="minor"/>
      </rPr>
      <t>w+s,Res,x,k</t>
    </r>
    <r>
      <rPr>
        <sz val="11"/>
        <color theme="1"/>
        <rFont val="Calibri"/>
        <family val="2"/>
        <scheme val="minor"/>
      </rPr>
      <t xml:space="preserve"> =</t>
    </r>
  </si>
  <si>
    <r>
      <t>F</t>
    </r>
    <r>
      <rPr>
        <vertAlign val="subscript"/>
        <sz val="11"/>
        <color theme="1"/>
        <rFont val="Calibri"/>
        <family val="2"/>
        <scheme val="minor"/>
      </rPr>
      <t>w+s,Res,y,k</t>
    </r>
    <r>
      <rPr>
        <sz val="11"/>
        <color theme="1"/>
        <rFont val="Calibri"/>
        <family val="2"/>
        <scheme val="minor"/>
      </rPr>
      <t xml:space="preserve"> =</t>
    </r>
  </si>
  <si>
    <r>
      <t>f</t>
    </r>
    <r>
      <rPr>
        <vertAlign val="subscript"/>
        <sz val="11"/>
        <color theme="1"/>
        <rFont val="Calibri"/>
        <family val="2"/>
        <scheme val="minor"/>
      </rPr>
      <t>w+s,DE,x,k</t>
    </r>
    <r>
      <rPr>
        <sz val="11"/>
        <color theme="1"/>
        <rFont val="Calibri"/>
        <family val="2"/>
        <scheme val="minor"/>
      </rPr>
      <t xml:space="preserve"> =</t>
    </r>
  </si>
  <si>
    <r>
      <t>f</t>
    </r>
    <r>
      <rPr>
        <vertAlign val="subscript"/>
        <sz val="11"/>
        <color theme="1"/>
        <rFont val="Calibri"/>
        <family val="2"/>
        <scheme val="minor"/>
      </rPr>
      <t>w+s,DE,y,k</t>
    </r>
    <r>
      <rPr>
        <sz val="11"/>
        <color theme="1"/>
        <rFont val="Calibri"/>
        <family val="2"/>
        <scheme val="minor"/>
      </rPr>
      <t xml:space="preserve"> =</t>
    </r>
  </si>
  <si>
    <r>
      <t>f</t>
    </r>
    <r>
      <rPr>
        <vertAlign val="subscript"/>
        <sz val="11"/>
        <color theme="1"/>
        <rFont val="Calibri"/>
        <family val="2"/>
        <scheme val="minor"/>
      </rPr>
      <t>w+s,DA,x,k</t>
    </r>
    <r>
      <rPr>
        <sz val="11"/>
        <color theme="1"/>
        <rFont val="Calibri"/>
        <family val="2"/>
        <scheme val="minor"/>
      </rPr>
      <t xml:space="preserve"> =</t>
    </r>
  </si>
  <si>
    <r>
      <t>f</t>
    </r>
    <r>
      <rPr>
        <vertAlign val="subscript"/>
        <sz val="11"/>
        <color theme="1"/>
        <rFont val="Calibri"/>
        <family val="2"/>
        <scheme val="minor"/>
      </rPr>
      <t>w+s,DA,y,k</t>
    </r>
    <r>
      <rPr>
        <sz val="11"/>
        <color theme="1"/>
        <rFont val="Calibri"/>
        <family val="2"/>
        <scheme val="minor"/>
      </rPr>
      <t xml:space="preserve"> =</t>
    </r>
  </si>
  <si>
    <r>
      <t>f</t>
    </r>
    <r>
      <rPr>
        <vertAlign val="subscript"/>
        <sz val="11"/>
        <color theme="1"/>
        <rFont val="Calibri"/>
        <family val="2"/>
        <scheme val="minor"/>
      </rPr>
      <t>v,1,k</t>
    </r>
    <r>
      <rPr>
        <sz val="11"/>
        <color theme="1"/>
        <rFont val="Calibri"/>
        <family val="2"/>
        <scheme val="minor"/>
      </rPr>
      <t xml:space="preserve"> =</t>
    </r>
  </si>
  <si>
    <r>
      <t>f</t>
    </r>
    <r>
      <rPr>
        <vertAlign val="subscript"/>
        <sz val="11"/>
        <color theme="1"/>
        <rFont val="Calibri"/>
        <family val="2"/>
        <scheme val="minor"/>
      </rPr>
      <t>v,1,d</t>
    </r>
    <r>
      <rPr>
        <sz val="11"/>
        <color theme="1"/>
        <rFont val="Calibri"/>
        <family val="2"/>
        <scheme val="minor"/>
      </rPr>
      <t xml:space="preserve"> =</t>
    </r>
  </si>
  <si>
    <r>
      <t>l</t>
    </r>
    <r>
      <rPr>
        <vertAlign val="subscript"/>
        <sz val="11"/>
        <color theme="1"/>
        <rFont val="Calibri"/>
        <family val="2"/>
        <scheme val="minor"/>
      </rPr>
      <t>erf,1,x</t>
    </r>
    <r>
      <rPr>
        <sz val="11"/>
        <color theme="1"/>
        <rFont val="Calibri"/>
        <family val="2"/>
        <scheme val="minor"/>
      </rPr>
      <t xml:space="preserve"> =</t>
    </r>
  </si>
  <si>
    <r>
      <t>l</t>
    </r>
    <r>
      <rPr>
        <vertAlign val="subscript"/>
        <sz val="11"/>
        <color theme="1"/>
        <rFont val="Calibri"/>
        <family val="2"/>
        <scheme val="minor"/>
      </rPr>
      <t>erf,1,y</t>
    </r>
    <r>
      <rPr>
        <sz val="11"/>
        <color theme="1"/>
        <rFont val="Calibri"/>
        <family val="2"/>
        <scheme val="minor"/>
      </rPr>
      <t xml:space="preserve"> =</t>
    </r>
  </si>
  <si>
    <t>Gesamtwanddicke BSP</t>
  </si>
  <si>
    <t>D =</t>
  </si>
  <si>
    <t>Dicke Querlagen</t>
  </si>
  <si>
    <t>Dicke Längslagen</t>
  </si>
  <si>
    <t>Anzahl Querlagen</t>
  </si>
  <si>
    <t>Anzahl Längslagen</t>
  </si>
  <si>
    <r>
      <t>D</t>
    </r>
    <r>
      <rPr>
        <vertAlign val="subscript"/>
        <sz val="11"/>
        <color theme="1"/>
        <rFont val="Calibri"/>
        <family val="2"/>
        <scheme val="minor"/>
      </rPr>
      <t>quer</t>
    </r>
    <r>
      <rPr>
        <sz val="11"/>
        <color theme="1"/>
        <rFont val="Calibri"/>
        <family val="2"/>
        <scheme val="minor"/>
      </rPr>
      <t xml:space="preserve"> =</t>
    </r>
  </si>
  <si>
    <r>
      <t>D</t>
    </r>
    <r>
      <rPr>
        <vertAlign val="subscript"/>
        <sz val="11"/>
        <color theme="1"/>
        <rFont val="Calibri"/>
        <family val="2"/>
        <scheme val="minor"/>
      </rPr>
      <t>längs</t>
    </r>
    <r>
      <rPr>
        <sz val="11"/>
        <color theme="1"/>
        <rFont val="Calibri"/>
        <family val="2"/>
        <scheme val="minor"/>
      </rPr>
      <t xml:space="preserve"> =</t>
    </r>
  </si>
  <si>
    <r>
      <t>n</t>
    </r>
    <r>
      <rPr>
        <vertAlign val="subscript"/>
        <sz val="11"/>
        <color theme="1"/>
        <rFont val="Calibri"/>
        <family val="2"/>
        <scheme val="minor"/>
      </rPr>
      <t>quer</t>
    </r>
    <r>
      <rPr>
        <sz val="11"/>
        <color theme="1"/>
        <rFont val="Calibri"/>
        <family val="2"/>
        <scheme val="minor"/>
      </rPr>
      <t xml:space="preserve"> =</t>
    </r>
  </si>
  <si>
    <r>
      <t>n</t>
    </r>
    <r>
      <rPr>
        <vertAlign val="subscript"/>
        <sz val="11"/>
        <color theme="1"/>
        <rFont val="Calibri"/>
        <family val="2"/>
        <scheme val="minor"/>
      </rPr>
      <t>längs</t>
    </r>
    <r>
      <rPr>
        <sz val="11"/>
        <color theme="1"/>
        <rFont val="Calibri"/>
        <family val="2"/>
        <scheme val="minor"/>
      </rPr>
      <t xml:space="preserve"> =</t>
    </r>
  </si>
  <si>
    <t>Netto-QS-Dicke</t>
  </si>
  <si>
    <r>
      <t>D</t>
    </r>
    <r>
      <rPr>
        <vertAlign val="subscript"/>
        <sz val="11"/>
        <color theme="1"/>
        <rFont val="Calibri"/>
        <family val="2"/>
        <scheme val="minor"/>
      </rPr>
      <t>min</t>
    </r>
    <r>
      <rPr>
        <sz val="11"/>
        <color theme="1"/>
        <rFont val="Calibri"/>
        <family val="2"/>
        <scheme val="minor"/>
      </rPr>
      <t xml:space="preserve"> =</t>
    </r>
  </si>
  <si>
    <t>Brettbreite</t>
  </si>
  <si>
    <t>b =</t>
  </si>
  <si>
    <r>
      <t>f</t>
    </r>
    <r>
      <rPr>
        <vertAlign val="subscript"/>
        <sz val="11"/>
        <color theme="1"/>
        <rFont val="Calibri"/>
        <family val="2"/>
        <scheme val="minor"/>
      </rPr>
      <t>v,2,k</t>
    </r>
    <r>
      <rPr>
        <sz val="11"/>
        <color theme="1"/>
        <rFont val="Calibri"/>
        <family val="2"/>
        <scheme val="minor"/>
      </rPr>
      <t xml:space="preserve"> =</t>
    </r>
  </si>
  <si>
    <r>
      <t>f</t>
    </r>
    <r>
      <rPr>
        <vertAlign val="subscript"/>
        <sz val="11"/>
        <color theme="1"/>
        <rFont val="Calibri"/>
        <family val="2"/>
        <scheme val="minor"/>
      </rPr>
      <t>v,2,d</t>
    </r>
    <r>
      <rPr>
        <sz val="11"/>
        <color theme="1"/>
        <rFont val="Calibri"/>
        <family val="2"/>
        <scheme val="minor"/>
      </rPr>
      <t xml:space="preserve"> =</t>
    </r>
  </si>
  <si>
    <r>
      <t>l</t>
    </r>
    <r>
      <rPr>
        <vertAlign val="subscript"/>
        <sz val="11"/>
        <color theme="1"/>
        <rFont val="Calibri"/>
        <family val="2"/>
        <scheme val="minor"/>
      </rPr>
      <t>erf,2,x</t>
    </r>
    <r>
      <rPr>
        <sz val="11"/>
        <color theme="1"/>
        <rFont val="Calibri"/>
        <family val="2"/>
        <scheme val="minor"/>
      </rPr>
      <t xml:space="preserve"> =</t>
    </r>
  </si>
  <si>
    <r>
      <t>l</t>
    </r>
    <r>
      <rPr>
        <vertAlign val="subscript"/>
        <sz val="11"/>
        <color theme="1"/>
        <rFont val="Calibri"/>
        <family val="2"/>
        <scheme val="minor"/>
      </rPr>
      <t>erf,2,y</t>
    </r>
    <r>
      <rPr>
        <sz val="11"/>
        <color theme="1"/>
        <rFont val="Calibri"/>
        <family val="2"/>
        <scheme val="minor"/>
      </rPr>
      <t xml:space="preserve"> =</t>
    </r>
  </si>
  <si>
    <t>Anzahl Brettlagen</t>
  </si>
  <si>
    <r>
      <t>n</t>
    </r>
    <r>
      <rPr>
        <vertAlign val="subscript"/>
        <sz val="11"/>
        <color theme="1"/>
        <rFont val="Calibri"/>
        <family val="2"/>
        <scheme val="minor"/>
      </rPr>
      <t>L</t>
    </r>
    <r>
      <rPr>
        <sz val="11"/>
        <color theme="1"/>
        <rFont val="Calibri"/>
        <family val="2"/>
        <scheme val="minor"/>
      </rPr>
      <t xml:space="preserve"> =</t>
    </r>
  </si>
  <si>
    <r>
      <t>f</t>
    </r>
    <r>
      <rPr>
        <vertAlign val="subscript"/>
        <sz val="11"/>
        <color theme="1"/>
        <rFont val="Calibri"/>
        <family val="2"/>
        <scheme val="minor"/>
      </rPr>
      <t>tor,k</t>
    </r>
    <r>
      <rPr>
        <sz val="11"/>
        <color theme="1"/>
        <rFont val="Calibri"/>
        <family val="2"/>
        <scheme val="minor"/>
      </rPr>
      <t xml:space="preserve"> =</t>
    </r>
  </si>
  <si>
    <r>
      <t>f</t>
    </r>
    <r>
      <rPr>
        <vertAlign val="subscript"/>
        <sz val="11"/>
        <color theme="1"/>
        <rFont val="Calibri"/>
        <family val="2"/>
        <scheme val="minor"/>
      </rPr>
      <t>tor,d</t>
    </r>
    <r>
      <rPr>
        <sz val="11"/>
        <color theme="1"/>
        <rFont val="Calibri"/>
        <family val="2"/>
        <scheme val="minor"/>
      </rPr>
      <t xml:space="preserve"> =</t>
    </r>
  </si>
  <si>
    <r>
      <t>l</t>
    </r>
    <r>
      <rPr>
        <vertAlign val="subscript"/>
        <sz val="11"/>
        <color theme="1"/>
        <rFont val="Calibri"/>
        <family val="2"/>
        <scheme val="minor"/>
      </rPr>
      <t>erf,3,x</t>
    </r>
    <r>
      <rPr>
        <sz val="11"/>
        <color theme="1"/>
        <rFont val="Calibri"/>
        <family val="2"/>
        <scheme val="minor"/>
      </rPr>
      <t xml:space="preserve"> =</t>
    </r>
  </si>
  <si>
    <r>
      <t>l</t>
    </r>
    <r>
      <rPr>
        <vertAlign val="subscript"/>
        <sz val="11"/>
        <color theme="1"/>
        <rFont val="Calibri"/>
        <family val="2"/>
        <scheme val="minor"/>
      </rPr>
      <t>erf,3,y</t>
    </r>
    <r>
      <rPr>
        <sz val="11"/>
        <color theme="1"/>
        <rFont val="Calibri"/>
        <family val="2"/>
        <scheme val="minor"/>
      </rPr>
      <t xml:space="preserve"> =</t>
    </r>
  </si>
  <si>
    <r>
      <t>l</t>
    </r>
    <r>
      <rPr>
        <vertAlign val="subscript"/>
        <sz val="11"/>
        <color theme="1"/>
        <rFont val="Calibri"/>
        <family val="2"/>
        <scheme val="minor"/>
      </rPr>
      <t>erf,x</t>
    </r>
    <r>
      <rPr>
        <sz val="11"/>
        <color theme="1"/>
        <rFont val="Calibri"/>
        <family val="2"/>
        <scheme val="minor"/>
      </rPr>
      <t xml:space="preserve"> =</t>
    </r>
  </si>
  <si>
    <r>
      <t>l</t>
    </r>
    <r>
      <rPr>
        <vertAlign val="subscript"/>
        <sz val="11"/>
        <color theme="1"/>
        <rFont val="Calibri"/>
        <family val="2"/>
        <scheme val="minor"/>
      </rPr>
      <t>erf,y</t>
    </r>
    <r>
      <rPr>
        <sz val="11"/>
        <color theme="1"/>
        <rFont val="Calibri"/>
        <family val="2"/>
        <scheme val="minor"/>
      </rPr>
      <t xml:space="preserve"> =</t>
    </r>
  </si>
  <si>
    <r>
      <t>s</t>
    </r>
    <r>
      <rPr>
        <vertAlign val="subscript"/>
        <sz val="11"/>
        <color theme="1"/>
        <rFont val="Calibri"/>
        <family val="2"/>
        <scheme val="minor"/>
      </rPr>
      <t>v,max,d</t>
    </r>
    <r>
      <rPr>
        <sz val="11"/>
        <color theme="1"/>
        <rFont val="Calibri"/>
        <family val="2"/>
        <scheme val="minor"/>
      </rPr>
      <t xml:space="preserve"> =</t>
    </r>
  </si>
  <si>
    <t>zulässiger Schub</t>
  </si>
  <si>
    <t>Gebäudeaufteilung anhand der Erschließungskerne</t>
  </si>
  <si>
    <t>Brandabschnittslänge (max)</t>
  </si>
  <si>
    <t>gewählte Wandlänge in x-Richtung</t>
  </si>
  <si>
    <t>gewählte Wandlänge in y-Richtung</t>
  </si>
  <si>
    <t>Berechnung der Zug-/Druckkräfte am Wandfuß</t>
  </si>
  <si>
    <t>I Binnenland</t>
  </si>
  <si>
    <t>II Binnenland</t>
  </si>
  <si>
    <t>II Küste und Inseln der Ostsee</t>
  </si>
  <si>
    <t>III Binnenland</t>
  </si>
  <si>
    <t>III Küste und Inseln der Ostsee</t>
  </si>
  <si>
    <t>IV Binnenland</t>
  </si>
  <si>
    <t>IV Küste und Inseln der Ostsee</t>
  </si>
  <si>
    <t>IV Inseln der Nodrsee</t>
  </si>
  <si>
    <t>Gelände I</t>
  </si>
  <si>
    <t>Gelände II</t>
  </si>
  <si>
    <t>Gelände III</t>
  </si>
  <si>
    <t>Gelände IV</t>
  </si>
  <si>
    <t>Hilfszellen</t>
  </si>
  <si>
    <t>Angaben zur Gebäudeaussteifung</t>
  </si>
  <si>
    <t>nach "Praxisseminar EC5, spezielle Themen" Seite 28ff</t>
  </si>
  <si>
    <t>allgemeine Festlegung des cpe,10-Wertes der Bereiche D+E=1,3 -&gt; da reine Vorbemessung</t>
  </si>
  <si>
    <t>H-Last gesamt (pro Richtung und pro Gebäudeabschnitt)</t>
  </si>
  <si>
    <t>Wert nach "Praxisseminar EC5"</t>
  </si>
  <si>
    <t>Geschoss</t>
  </si>
  <si>
    <t>EG</t>
  </si>
  <si>
    <t>Äussere Abmessung/ Lasten</t>
  </si>
  <si>
    <t>Geschosshöhen</t>
  </si>
  <si>
    <r>
      <t>h</t>
    </r>
    <r>
      <rPr>
        <vertAlign val="subscript"/>
        <sz val="8"/>
        <rFont val="Arial Narrow"/>
        <family val="2"/>
      </rPr>
      <t>i</t>
    </r>
    <r>
      <rPr>
        <sz val="8"/>
        <rFont val="Arial Narrow"/>
        <family val="2"/>
      </rPr>
      <t xml:space="preserve"> [m]</t>
    </r>
  </si>
  <si>
    <t>Teilsummen</t>
  </si>
  <si>
    <r>
      <t>h</t>
    </r>
    <r>
      <rPr>
        <vertAlign val="subscript"/>
        <sz val="8"/>
        <rFont val="Symbol"/>
        <family val="1"/>
        <charset val="2"/>
      </rPr>
      <t>å</t>
    </r>
    <r>
      <rPr>
        <sz val="8"/>
        <rFont val="Arial Narrow"/>
        <family val="2"/>
      </rPr>
      <t xml:space="preserve"> [m]</t>
    </r>
  </si>
  <si>
    <t>Anzahl notwendiger Brandabschnitte</t>
  </si>
  <si>
    <t>Länge Gebäudeabschnitte nach Brandabschnittseinteilung</t>
  </si>
  <si>
    <t>Anzahl notwendiger Raster</t>
  </si>
  <si>
    <t>Länge größter Gebäudeabschnitt nach notwendiger Rasteranzahl</t>
  </si>
  <si>
    <t>Querdruck am Auflager</t>
  </si>
  <si>
    <t>Längsdruck im Zapfen</t>
  </si>
  <si>
    <t>Auflagerlasten</t>
  </si>
  <si>
    <t>Nutzlast Decke =</t>
  </si>
  <si>
    <t>Spannweite Unterzüge</t>
  </si>
  <si>
    <t>Eigenlast =</t>
  </si>
  <si>
    <t>Nutzlast =</t>
  </si>
  <si>
    <r>
      <t>Zapfenstärke b</t>
    </r>
    <r>
      <rPr>
        <vertAlign val="subscript"/>
        <sz val="11"/>
        <color theme="1"/>
        <rFont val="Calibri"/>
        <family val="2"/>
        <scheme val="minor"/>
      </rPr>
      <t>Za</t>
    </r>
    <r>
      <rPr>
        <sz val="11"/>
        <color theme="1"/>
        <rFont val="Calibri"/>
        <family val="2"/>
        <scheme val="minor"/>
      </rPr>
      <t xml:space="preserve"> =</t>
    </r>
  </si>
  <si>
    <r>
      <t>erf. Länge l</t>
    </r>
    <r>
      <rPr>
        <vertAlign val="subscript"/>
        <sz val="11"/>
        <color theme="1"/>
        <rFont val="Calibri"/>
        <family val="2"/>
        <scheme val="minor"/>
      </rPr>
      <t>erf._Aufl.</t>
    </r>
    <r>
      <rPr>
        <sz val="11"/>
        <color theme="1"/>
        <rFont val="Calibri"/>
        <family val="2"/>
        <scheme val="minor"/>
      </rPr>
      <t xml:space="preserve"> =</t>
    </r>
  </si>
  <si>
    <r>
      <t>vorh. Stützenbreite b</t>
    </r>
    <r>
      <rPr>
        <vertAlign val="subscript"/>
        <sz val="11"/>
        <color theme="1"/>
        <rFont val="Calibri"/>
        <family val="2"/>
        <scheme val="minor"/>
      </rPr>
      <t>ST</t>
    </r>
    <r>
      <rPr>
        <sz val="11"/>
        <color theme="1"/>
        <rFont val="Calibri"/>
        <family val="2"/>
        <scheme val="minor"/>
      </rPr>
      <t xml:space="preserve"> =</t>
    </r>
  </si>
  <si>
    <r>
      <t>Querdruckbeiwert k</t>
    </r>
    <r>
      <rPr>
        <vertAlign val="subscript"/>
        <sz val="11"/>
        <color theme="1"/>
        <rFont val="Calibri"/>
        <family val="2"/>
        <scheme val="minor"/>
      </rPr>
      <t>c,90</t>
    </r>
    <r>
      <rPr>
        <sz val="11"/>
        <color theme="1"/>
        <rFont val="Calibri"/>
        <family val="2"/>
        <scheme val="minor"/>
      </rPr>
      <t xml:space="preserve"> =</t>
    </r>
  </si>
  <si>
    <t>Material Unterzüge</t>
  </si>
  <si>
    <t>Werkstoffgruppe Unterzüge</t>
  </si>
  <si>
    <t>Eingabe notwendig!!!</t>
  </si>
  <si>
    <r>
      <t>ansetzbare Unterzugbreite b</t>
    </r>
    <r>
      <rPr>
        <vertAlign val="subscript"/>
        <sz val="11"/>
        <color theme="1"/>
        <rFont val="Calibri"/>
        <family val="2"/>
        <scheme val="minor"/>
      </rPr>
      <t>eff,UZ</t>
    </r>
    <r>
      <rPr>
        <sz val="11"/>
        <color theme="1"/>
        <rFont val="Calibri"/>
        <family val="2"/>
        <scheme val="minor"/>
      </rPr>
      <t xml:space="preserve"> =</t>
    </r>
  </si>
  <si>
    <r>
      <t xml:space="preserve">Querdruck am Auflager </t>
    </r>
    <r>
      <rPr>
        <sz val="11"/>
        <color theme="1"/>
        <rFont val="Symbol"/>
        <family val="1"/>
        <charset val="2"/>
      </rPr>
      <t>s</t>
    </r>
    <r>
      <rPr>
        <vertAlign val="subscript"/>
        <sz val="11"/>
        <color theme="1"/>
        <rFont val="Calibri"/>
        <family val="2"/>
        <scheme val="minor"/>
      </rPr>
      <t>c,90,d</t>
    </r>
    <r>
      <rPr>
        <sz val="11"/>
        <color theme="1"/>
        <rFont val="Calibri"/>
        <family val="2"/>
        <scheme val="minor"/>
      </rPr>
      <t xml:space="preserve"> =</t>
    </r>
  </si>
  <si>
    <r>
      <t>Querdruckfestigkeit f</t>
    </r>
    <r>
      <rPr>
        <vertAlign val="subscript"/>
        <sz val="11"/>
        <color theme="1"/>
        <rFont val="Calibri"/>
        <family val="2"/>
        <scheme val="minor"/>
      </rPr>
      <t>c,90,d</t>
    </r>
    <r>
      <rPr>
        <sz val="11"/>
        <color theme="1"/>
        <rFont val="Calibri"/>
        <family val="2"/>
        <scheme val="minor"/>
      </rPr>
      <t xml:space="preserve"> =</t>
    </r>
  </si>
  <si>
    <r>
      <t xml:space="preserve">Schubspannung am Auflager </t>
    </r>
    <r>
      <rPr>
        <sz val="11"/>
        <color theme="1"/>
        <rFont val="Symbol"/>
        <family val="1"/>
        <charset val="2"/>
      </rPr>
      <t>t</t>
    </r>
    <r>
      <rPr>
        <vertAlign val="subscript"/>
        <sz val="11"/>
        <color theme="1"/>
        <rFont val="Calibri"/>
        <family val="2"/>
        <scheme val="minor"/>
      </rPr>
      <t>d</t>
    </r>
    <r>
      <rPr>
        <sz val="11"/>
        <color theme="1"/>
        <rFont val="Calibri"/>
        <family val="2"/>
        <scheme val="minor"/>
      </rPr>
      <t xml:space="preserve"> =</t>
    </r>
  </si>
  <si>
    <t>Breite Unterzüge</t>
  </si>
  <si>
    <t>Höhe Unterzüge</t>
  </si>
  <si>
    <r>
      <t>Schubfestigkeit f</t>
    </r>
    <r>
      <rPr>
        <vertAlign val="subscript"/>
        <sz val="11"/>
        <color theme="1"/>
        <rFont val="Calibri"/>
        <family val="2"/>
        <scheme val="minor"/>
      </rPr>
      <t>v,d</t>
    </r>
    <r>
      <rPr>
        <sz val="11"/>
        <color theme="1"/>
        <rFont val="Calibri"/>
        <family val="2"/>
        <scheme val="minor"/>
      </rPr>
      <t xml:space="preserve"> =</t>
    </r>
  </si>
  <si>
    <t>Nachweis Schubfestigkeit am Aufl.</t>
  </si>
  <si>
    <t>Nachweis Querdruck am Aufl.</t>
  </si>
  <si>
    <t>Brettsperrholzwände</t>
  </si>
  <si>
    <r>
      <t>Rollschubfestigkeit f</t>
    </r>
    <r>
      <rPr>
        <vertAlign val="subscript"/>
        <sz val="9"/>
        <color theme="1"/>
        <rFont val="Arial"/>
        <family val="2"/>
      </rPr>
      <t>R,k</t>
    </r>
  </si>
  <si>
    <r>
      <t>E-Modul E</t>
    </r>
    <r>
      <rPr>
        <vertAlign val="subscript"/>
        <sz val="9"/>
        <color theme="1"/>
        <rFont val="Arial"/>
        <family val="2"/>
      </rPr>
      <t>0,mean</t>
    </r>
  </si>
  <si>
    <r>
      <t>Quer-E-Modul E</t>
    </r>
    <r>
      <rPr>
        <vertAlign val="subscript"/>
        <sz val="9"/>
        <color theme="1"/>
        <rFont val="Arial"/>
        <family val="2"/>
      </rPr>
      <t>0,90,mean</t>
    </r>
  </si>
  <si>
    <r>
      <t>Querschnittshöhe h</t>
    </r>
    <r>
      <rPr>
        <vertAlign val="subscript"/>
        <sz val="9"/>
        <color theme="1"/>
        <rFont val="Arial"/>
        <family val="2"/>
      </rPr>
      <t>ges</t>
    </r>
  </si>
  <si>
    <r>
      <t>eff. Trägheitsmom. I</t>
    </r>
    <r>
      <rPr>
        <vertAlign val="subscript"/>
        <sz val="9"/>
        <color theme="1"/>
        <rFont val="Arial"/>
        <family val="2"/>
      </rPr>
      <t>0,net</t>
    </r>
  </si>
  <si>
    <r>
      <t>eff. Trägheitsmom. I</t>
    </r>
    <r>
      <rPr>
        <vertAlign val="subscript"/>
        <sz val="9"/>
        <color theme="1"/>
        <rFont val="Arial"/>
        <family val="2"/>
      </rPr>
      <t>90,net</t>
    </r>
  </si>
  <si>
    <r>
      <t>E-Modul E</t>
    </r>
    <r>
      <rPr>
        <vertAlign val="subscript"/>
        <sz val="9"/>
        <color theme="1"/>
        <rFont val="Arial"/>
        <family val="2"/>
      </rPr>
      <t>o,mean</t>
    </r>
  </si>
  <si>
    <r>
      <t>Ersatzquerschnittshöhe h</t>
    </r>
    <r>
      <rPr>
        <vertAlign val="subscript"/>
        <sz val="9"/>
        <color theme="1"/>
        <rFont val="Arial"/>
        <family val="2"/>
      </rPr>
      <t>ers</t>
    </r>
  </si>
  <si>
    <t>Werte Vollquerschnitt Scheibenbeanspruchung</t>
  </si>
  <si>
    <r>
      <t>Biegefestigkeit f</t>
    </r>
    <r>
      <rPr>
        <vertAlign val="subscript"/>
        <sz val="9"/>
        <color theme="1"/>
        <rFont val="Arial"/>
        <family val="2"/>
      </rPr>
      <t xml:space="preserve">m,0,k </t>
    </r>
    <r>
      <rPr>
        <sz val="9"/>
        <color theme="1"/>
        <rFont val="Arial"/>
        <family val="2"/>
      </rPr>
      <t>(Decklagen parallel zur Spannrichtung)</t>
    </r>
  </si>
  <si>
    <r>
      <t>Querbiegefestigkeit f</t>
    </r>
    <r>
      <rPr>
        <vertAlign val="subscript"/>
        <sz val="9"/>
        <color theme="1"/>
        <rFont val="Arial"/>
        <family val="2"/>
      </rPr>
      <t xml:space="preserve">m,90,k </t>
    </r>
    <r>
      <rPr>
        <sz val="9"/>
        <color theme="1"/>
        <rFont val="Arial"/>
        <family val="2"/>
      </rPr>
      <t>(Decklagen senkrecht zur Spannrichtung)</t>
    </r>
  </si>
  <si>
    <t>Stärke Längslagen [mm]</t>
  </si>
  <si>
    <t>Stärke Querlagen [mm]</t>
  </si>
  <si>
    <t>Anzahl Querlagen [-]</t>
  </si>
  <si>
    <t>Anzahl Längslagen [-]</t>
  </si>
  <si>
    <t>Werte Aufbau</t>
  </si>
  <si>
    <t>Gesamtdicke D [mm]</t>
  </si>
  <si>
    <r>
      <t>maßgebende Nettodicke D</t>
    </r>
    <r>
      <rPr>
        <vertAlign val="subscript"/>
        <sz val="9"/>
        <color theme="1"/>
        <rFont val="Arial"/>
        <family val="2"/>
      </rPr>
      <t>min</t>
    </r>
    <r>
      <rPr>
        <sz val="9"/>
        <color theme="1"/>
        <rFont val="Arial"/>
        <family val="2"/>
      </rPr>
      <t xml:space="preserve"> [mm]</t>
    </r>
  </si>
  <si>
    <t>Annahme!!!</t>
  </si>
  <si>
    <t>Stärke Mittellage [mm]</t>
  </si>
  <si>
    <t>Anzahl Mittellagen [-]</t>
  </si>
  <si>
    <t>Dicke Mittellängslagen</t>
  </si>
  <si>
    <t>Anzahl Mittellängslagen</t>
  </si>
  <si>
    <t>Länge der Gebäudeabschnitte in x</t>
  </si>
  <si>
    <t>Länge der Gebäudeabschnitte in y</t>
  </si>
  <si>
    <t>Versagensmechanismus 1 (Schub "brutto")</t>
  </si>
  <si>
    <t>Versagensmechanismus 2 (Schub "netto")</t>
  </si>
  <si>
    <t>Versagensmechanismus 3 (Torsion)</t>
  </si>
  <si>
    <t>Angaben zu den Erschließungskernen</t>
  </si>
  <si>
    <t>Anzahl notwendiger Raster in x-Richtung</t>
  </si>
  <si>
    <t>Anzahl notwendiger Raster in y-Richtung</t>
  </si>
  <si>
    <r>
      <t>Winddruckbeiwert q</t>
    </r>
    <r>
      <rPr>
        <b/>
        <vertAlign val="subscript"/>
        <sz val="11"/>
        <color theme="1"/>
        <rFont val="Calibri"/>
        <family val="2"/>
        <scheme val="minor"/>
      </rPr>
      <t>b</t>
    </r>
  </si>
  <si>
    <r>
      <t>f</t>
    </r>
    <r>
      <rPr>
        <vertAlign val="subscript"/>
        <sz val="11"/>
        <color theme="1"/>
        <rFont val="Calibri"/>
        <family val="2"/>
        <scheme val="minor"/>
      </rPr>
      <t>w+s,DE,k</t>
    </r>
    <r>
      <rPr>
        <sz val="11"/>
        <color theme="1"/>
        <rFont val="Calibri"/>
        <family val="2"/>
        <scheme val="minor"/>
      </rPr>
      <t xml:space="preserve"> =</t>
    </r>
  </si>
  <si>
    <t>Pauschalwert</t>
  </si>
  <si>
    <r>
      <t>f</t>
    </r>
    <r>
      <rPr>
        <vertAlign val="subscript"/>
        <sz val="11"/>
        <color theme="1"/>
        <rFont val="Calibri"/>
        <family val="2"/>
        <scheme val="minor"/>
      </rPr>
      <t>w+s,DA,k</t>
    </r>
    <r>
      <rPr>
        <sz val="11"/>
        <color theme="1"/>
        <rFont val="Calibri"/>
        <family val="2"/>
        <scheme val="minor"/>
      </rPr>
      <t xml:space="preserve"> =</t>
    </r>
  </si>
  <si>
    <t>Matrix - Stockwerkhöhen zur Berechnung der Biegemomente aus Punktlasten [m]</t>
  </si>
  <si>
    <t>Stockwerk</t>
  </si>
  <si>
    <t>res. Ersatzlasten</t>
  </si>
  <si>
    <r>
      <t>F</t>
    </r>
    <r>
      <rPr>
        <vertAlign val="subscript"/>
        <sz val="11"/>
        <color theme="1"/>
        <rFont val="Calibri"/>
        <family val="2"/>
        <scheme val="minor"/>
      </rPr>
      <t>w+s,Res,DE,x,k</t>
    </r>
    <r>
      <rPr>
        <sz val="11"/>
        <color theme="1"/>
        <rFont val="Calibri"/>
        <family val="2"/>
        <scheme val="minor"/>
      </rPr>
      <t xml:space="preserve"> =</t>
    </r>
  </si>
  <si>
    <r>
      <t>F</t>
    </r>
    <r>
      <rPr>
        <vertAlign val="subscript"/>
        <sz val="11"/>
        <color theme="1"/>
        <rFont val="Calibri"/>
        <family val="2"/>
        <scheme val="minor"/>
      </rPr>
      <t>w+s,Res,DA,x,k</t>
    </r>
    <r>
      <rPr>
        <sz val="11"/>
        <color theme="1"/>
        <rFont val="Calibri"/>
        <family val="2"/>
        <scheme val="minor"/>
      </rPr>
      <t xml:space="preserve"> =</t>
    </r>
  </si>
  <si>
    <r>
      <t>F</t>
    </r>
    <r>
      <rPr>
        <vertAlign val="subscript"/>
        <sz val="11"/>
        <color theme="1"/>
        <rFont val="Calibri"/>
        <family val="2"/>
        <scheme val="minor"/>
      </rPr>
      <t>w+s,Res,DA,y,k</t>
    </r>
    <r>
      <rPr>
        <sz val="11"/>
        <color theme="1"/>
        <rFont val="Calibri"/>
        <family val="2"/>
        <scheme val="minor"/>
      </rPr>
      <t xml:space="preserve"> =</t>
    </r>
  </si>
  <si>
    <r>
      <t>F</t>
    </r>
    <r>
      <rPr>
        <vertAlign val="subscript"/>
        <sz val="11"/>
        <color theme="1"/>
        <rFont val="Calibri"/>
        <family val="2"/>
        <scheme val="minor"/>
      </rPr>
      <t>w+s,Res,DE,y,k</t>
    </r>
    <r>
      <rPr>
        <sz val="11"/>
        <color theme="1"/>
        <rFont val="Calibri"/>
        <family val="2"/>
        <scheme val="minor"/>
      </rPr>
      <t xml:space="preserve"> =</t>
    </r>
  </si>
  <si>
    <t>Punktlast am Wandkopf in x-Richt.</t>
  </si>
  <si>
    <r>
      <t>Q</t>
    </r>
    <r>
      <rPr>
        <vertAlign val="subscript"/>
        <sz val="8"/>
        <rFont val="Arial Narrow"/>
        <family val="2"/>
      </rPr>
      <t>i,d,x</t>
    </r>
    <r>
      <rPr>
        <sz val="8"/>
        <rFont val="Arial Narrow"/>
        <family val="2"/>
      </rPr>
      <t xml:space="preserve"> [kN]</t>
    </r>
  </si>
  <si>
    <r>
      <t>Q</t>
    </r>
    <r>
      <rPr>
        <vertAlign val="subscript"/>
        <sz val="8"/>
        <rFont val="Arial Narrow"/>
        <family val="2"/>
      </rPr>
      <t>i,d,y</t>
    </r>
    <r>
      <rPr>
        <sz val="8"/>
        <rFont val="Arial Narrow"/>
        <family val="2"/>
      </rPr>
      <t xml:space="preserve"> [kN]</t>
    </r>
  </si>
  <si>
    <t>Punktlast am Wandkopf in y-Richt.</t>
  </si>
  <si>
    <t>H-Last pro Geschossdecke (pro Richtung und pro Gebäudeabschnitt)</t>
  </si>
  <si>
    <t>H-Last für Dachebene (pro Richtung und pro Gebäudeabschnitt)</t>
  </si>
  <si>
    <r>
      <t>F</t>
    </r>
    <r>
      <rPr>
        <vertAlign val="subscript"/>
        <sz val="11"/>
        <color theme="1"/>
        <rFont val="Calibri"/>
        <family val="2"/>
        <scheme val="minor"/>
      </rPr>
      <t>w+s,Res,x,A,k</t>
    </r>
    <r>
      <rPr>
        <sz val="11"/>
        <color theme="1"/>
        <rFont val="Calibri"/>
        <family val="2"/>
        <scheme val="minor"/>
      </rPr>
      <t xml:space="preserve"> =</t>
    </r>
  </si>
  <si>
    <r>
      <t>F</t>
    </r>
    <r>
      <rPr>
        <vertAlign val="subscript"/>
        <sz val="11"/>
        <color theme="1"/>
        <rFont val="Calibri"/>
        <family val="2"/>
        <scheme val="minor"/>
      </rPr>
      <t>w+s,Res,y,A,k</t>
    </r>
    <r>
      <rPr>
        <sz val="11"/>
        <color theme="1"/>
        <rFont val="Calibri"/>
        <family val="2"/>
        <scheme val="minor"/>
      </rPr>
      <t xml:space="preserve"> =</t>
    </r>
  </si>
  <si>
    <r>
      <t>F</t>
    </r>
    <r>
      <rPr>
        <vertAlign val="subscript"/>
        <sz val="11"/>
        <color theme="1"/>
        <rFont val="Calibri"/>
        <family val="2"/>
        <scheme val="minor"/>
      </rPr>
      <t>w+s,Res,DE,x,A,k</t>
    </r>
    <r>
      <rPr>
        <sz val="11"/>
        <color theme="1"/>
        <rFont val="Calibri"/>
        <family val="2"/>
        <scheme val="minor"/>
      </rPr>
      <t xml:space="preserve"> =</t>
    </r>
  </si>
  <si>
    <r>
      <t>F</t>
    </r>
    <r>
      <rPr>
        <vertAlign val="subscript"/>
        <sz val="11"/>
        <color theme="1"/>
        <rFont val="Calibri"/>
        <family val="2"/>
        <scheme val="minor"/>
      </rPr>
      <t>w+s,Res,DE,y,A,k</t>
    </r>
    <r>
      <rPr>
        <sz val="11"/>
        <color theme="1"/>
        <rFont val="Calibri"/>
        <family val="2"/>
        <scheme val="minor"/>
      </rPr>
      <t xml:space="preserve"> =</t>
    </r>
  </si>
  <si>
    <r>
      <t>F</t>
    </r>
    <r>
      <rPr>
        <vertAlign val="subscript"/>
        <sz val="11"/>
        <color theme="1"/>
        <rFont val="Calibri"/>
        <family val="2"/>
        <scheme val="minor"/>
      </rPr>
      <t>w+s,Res,DA,x,A,k</t>
    </r>
    <r>
      <rPr>
        <sz val="11"/>
        <color theme="1"/>
        <rFont val="Calibri"/>
        <family val="2"/>
        <scheme val="minor"/>
      </rPr>
      <t xml:space="preserve"> =</t>
    </r>
  </si>
  <si>
    <r>
      <t>F</t>
    </r>
    <r>
      <rPr>
        <vertAlign val="subscript"/>
        <sz val="11"/>
        <color theme="1"/>
        <rFont val="Calibri"/>
        <family val="2"/>
        <scheme val="minor"/>
      </rPr>
      <t>w+s,Res,DA,y,A,k</t>
    </r>
    <r>
      <rPr>
        <sz val="11"/>
        <color theme="1"/>
        <rFont val="Calibri"/>
        <family val="2"/>
        <scheme val="minor"/>
      </rPr>
      <t xml:space="preserve"> =</t>
    </r>
  </si>
  <si>
    <t>erforderliche Wandlängen pro Richtung und Gebäudeabschnitt abzgl. der Erschließungskernwände</t>
  </si>
  <si>
    <t>in x-Richtung</t>
  </si>
  <si>
    <t>BuLa</t>
  </si>
  <si>
    <t>Windzonen</t>
  </si>
  <si>
    <r>
      <t>M</t>
    </r>
    <r>
      <rPr>
        <vertAlign val="subscript"/>
        <sz val="8"/>
        <rFont val="Arial Narrow"/>
        <family val="2"/>
      </rPr>
      <t>x,k</t>
    </r>
    <r>
      <rPr>
        <sz val="8"/>
        <rFont val="Arial Narrow"/>
        <family val="2"/>
      </rPr>
      <t xml:space="preserve"> in </t>
    </r>
    <r>
      <rPr>
        <sz val="8"/>
        <rFont val="Symbol"/>
        <family val="1"/>
        <charset val="2"/>
      </rPr>
      <t>¦</t>
    </r>
    <r>
      <rPr>
        <vertAlign val="subscript"/>
        <sz val="8"/>
        <rFont val="Arial Narrow"/>
        <family val="2"/>
      </rPr>
      <t>(Qd,x)</t>
    </r>
    <r>
      <rPr>
        <sz val="8"/>
        <rFont val="Arial Narrow"/>
        <family val="2"/>
      </rPr>
      <t xml:space="preserve"> [kNm]</t>
    </r>
  </si>
  <si>
    <r>
      <t>M</t>
    </r>
    <r>
      <rPr>
        <vertAlign val="subscript"/>
        <sz val="8"/>
        <rFont val="Arial Narrow"/>
        <family val="2"/>
      </rPr>
      <t>y,k</t>
    </r>
    <r>
      <rPr>
        <sz val="8"/>
        <rFont val="Arial Narrow"/>
        <family val="2"/>
      </rPr>
      <t xml:space="preserve"> in </t>
    </r>
    <r>
      <rPr>
        <sz val="8"/>
        <rFont val="Symbol"/>
        <family val="1"/>
        <charset val="2"/>
      </rPr>
      <t>¦</t>
    </r>
    <r>
      <rPr>
        <vertAlign val="subscript"/>
        <sz val="8"/>
        <rFont val="Arial Narrow"/>
        <family val="2"/>
      </rPr>
      <t>(Qd,y)</t>
    </r>
    <r>
      <rPr>
        <sz val="8"/>
        <rFont val="Arial Narrow"/>
        <family val="2"/>
      </rPr>
      <t xml:space="preserve"> [kNm]</t>
    </r>
  </si>
  <si>
    <r>
      <t>maximales Moment M</t>
    </r>
    <r>
      <rPr>
        <vertAlign val="subscript"/>
        <sz val="11"/>
        <color theme="1"/>
        <rFont val="Calibri"/>
        <family val="2"/>
        <scheme val="minor"/>
      </rPr>
      <t>k</t>
    </r>
    <r>
      <rPr>
        <sz val="11"/>
        <color theme="1"/>
        <rFont val="Calibri"/>
        <family val="2"/>
        <scheme val="minor"/>
      </rPr>
      <t xml:space="preserve"> pro Richtung</t>
    </r>
  </si>
  <si>
    <r>
      <t>M</t>
    </r>
    <r>
      <rPr>
        <vertAlign val="subscript"/>
        <sz val="11"/>
        <color theme="1"/>
        <rFont val="Calibri"/>
        <family val="2"/>
        <scheme val="minor"/>
      </rPr>
      <t>x,k</t>
    </r>
    <r>
      <rPr>
        <sz val="11"/>
        <color theme="1"/>
        <rFont val="Calibri"/>
        <family val="2"/>
        <scheme val="minor"/>
      </rPr>
      <t xml:space="preserve"> =</t>
    </r>
  </si>
  <si>
    <r>
      <t>M</t>
    </r>
    <r>
      <rPr>
        <vertAlign val="subscript"/>
        <sz val="11"/>
        <color theme="1"/>
        <rFont val="Calibri"/>
        <family val="2"/>
        <scheme val="minor"/>
      </rPr>
      <t>y,k</t>
    </r>
    <r>
      <rPr>
        <sz val="11"/>
        <color theme="1"/>
        <rFont val="Calibri"/>
        <family val="2"/>
        <scheme val="minor"/>
      </rPr>
      <t xml:space="preserve"> =</t>
    </r>
  </si>
  <si>
    <t>maximale Zugkraft am Wandfuß pro Richtung</t>
  </si>
  <si>
    <r>
      <t>Z</t>
    </r>
    <r>
      <rPr>
        <vertAlign val="subscript"/>
        <sz val="11"/>
        <color theme="1"/>
        <rFont val="Calibri"/>
        <family val="2"/>
        <scheme val="minor"/>
      </rPr>
      <t>x,k</t>
    </r>
    <r>
      <rPr>
        <sz val="11"/>
        <color theme="1"/>
        <rFont val="Calibri"/>
        <family val="2"/>
        <scheme val="minor"/>
      </rPr>
      <t xml:space="preserve"> =</t>
    </r>
  </si>
  <si>
    <r>
      <t>Z</t>
    </r>
    <r>
      <rPr>
        <vertAlign val="subscript"/>
        <sz val="11"/>
        <color theme="1"/>
        <rFont val="Calibri"/>
        <family val="2"/>
        <scheme val="minor"/>
      </rPr>
      <t>y,k</t>
    </r>
    <r>
      <rPr>
        <sz val="11"/>
        <color theme="1"/>
        <rFont val="Calibri"/>
        <family val="2"/>
        <scheme val="minor"/>
      </rPr>
      <t xml:space="preserve"> =</t>
    </r>
  </si>
  <si>
    <t>Berücksichtigung der Auflast</t>
  </si>
  <si>
    <r>
      <t>F</t>
    </r>
    <r>
      <rPr>
        <vertAlign val="subscript"/>
        <sz val="11"/>
        <color theme="1"/>
        <rFont val="Calibri"/>
        <family val="2"/>
        <scheme val="minor"/>
      </rPr>
      <t>A,k</t>
    </r>
    <r>
      <rPr>
        <sz val="11"/>
        <color theme="1"/>
        <rFont val="Calibri"/>
        <family val="2"/>
        <scheme val="minor"/>
      </rPr>
      <t xml:space="preserve"> =</t>
    </r>
  </si>
  <si>
    <r>
      <t>n</t>
    </r>
    <r>
      <rPr>
        <vertAlign val="subscript"/>
        <sz val="11"/>
        <color theme="1"/>
        <rFont val="Calibri"/>
        <family val="2"/>
        <scheme val="minor"/>
      </rPr>
      <t>Geschosse</t>
    </r>
    <r>
      <rPr>
        <sz val="11"/>
        <color theme="1"/>
        <rFont val="Calibri"/>
        <family val="2"/>
        <scheme val="minor"/>
      </rPr>
      <t xml:space="preserve"> =</t>
    </r>
  </si>
  <si>
    <r>
      <t>A</t>
    </r>
    <r>
      <rPr>
        <vertAlign val="subscript"/>
        <sz val="11"/>
        <color theme="1"/>
        <rFont val="Calibri"/>
        <family val="2"/>
        <scheme val="minor"/>
      </rPr>
      <t>A,k</t>
    </r>
    <r>
      <rPr>
        <sz val="11"/>
        <color theme="1"/>
        <rFont val="Calibri"/>
        <family val="2"/>
        <scheme val="minor"/>
      </rPr>
      <t xml:space="preserve"> =</t>
    </r>
  </si>
  <si>
    <t>designte Zugkraft am Wandfuß pro Richtung</t>
  </si>
  <si>
    <r>
      <t>Z</t>
    </r>
    <r>
      <rPr>
        <vertAlign val="subscript"/>
        <sz val="11"/>
        <color theme="1"/>
        <rFont val="Calibri"/>
        <family val="2"/>
        <scheme val="minor"/>
      </rPr>
      <t>x,d</t>
    </r>
    <r>
      <rPr>
        <sz val="11"/>
        <color theme="1"/>
        <rFont val="Calibri"/>
        <family val="2"/>
        <scheme val="minor"/>
      </rPr>
      <t xml:space="preserve"> =</t>
    </r>
  </si>
  <si>
    <r>
      <t>Z</t>
    </r>
    <r>
      <rPr>
        <vertAlign val="subscript"/>
        <sz val="11"/>
        <color theme="1"/>
        <rFont val="Calibri"/>
        <family val="2"/>
        <scheme val="minor"/>
      </rPr>
      <t>y,d</t>
    </r>
    <r>
      <rPr>
        <sz val="11"/>
        <color theme="1"/>
        <rFont val="Calibri"/>
        <family val="2"/>
        <scheme val="minor"/>
      </rPr>
      <t xml:space="preserve"> =</t>
    </r>
  </si>
  <si>
    <t>nochmal genau anschauen!!! -&gt; im Moment wird nur die halbe Fläche des Lasteinzuges auf eine innere Stütze verwendet</t>
  </si>
  <si>
    <t>Flur</t>
  </si>
  <si>
    <t>Gesamt</t>
  </si>
  <si>
    <t>Gäaste-WC</t>
  </si>
  <si>
    <t>Vollbad</t>
  </si>
  <si>
    <t>Badezimmer</t>
  </si>
  <si>
    <t>2 x Badezimmer</t>
  </si>
  <si>
    <t>Wohnbereich</t>
  </si>
  <si>
    <t>Essbereich</t>
  </si>
  <si>
    <t>Gäste- und Arbeitszimmer</t>
  </si>
  <si>
    <t>Gästezimmer</t>
  </si>
  <si>
    <t>Arbeitszimmer</t>
  </si>
  <si>
    <t>Elternzimmer</t>
  </si>
  <si>
    <t>5 x Schlafzimmer</t>
  </si>
  <si>
    <t>4 x Schlafzimmer</t>
  </si>
  <si>
    <t>3 x Schlafzimmer</t>
  </si>
  <si>
    <t>2 x Schlafzimmer</t>
  </si>
  <si>
    <t>Schlafzimmer</t>
  </si>
  <si>
    <t>Raster x|y</t>
  </si>
  <si>
    <t>2 x Doppelzimmer</t>
  </si>
  <si>
    <t>Doppelzimmer</t>
  </si>
  <si>
    <t>2,65 m x 2,65 m</t>
  </si>
  <si>
    <t>2,85 m x 2,85 m</t>
  </si>
  <si>
    <t>3,00 m x 3,00 m</t>
  </si>
  <si>
    <t>3,50 m x 3,50 m</t>
  </si>
  <si>
    <t>4,00 m x 4,00 m</t>
  </si>
  <si>
    <t>4,50 m x 4,50 m</t>
  </si>
  <si>
    <t>2,65 m x 2,85 m</t>
  </si>
  <si>
    <t>2,65 m x 3,00 m</t>
  </si>
  <si>
    <t>2,65 m x 3,50 m</t>
  </si>
  <si>
    <t>2,65 m x 4,00 m</t>
  </si>
  <si>
    <t>2,65 m x 4,50 m</t>
  </si>
  <si>
    <t>2,65 m x 5,00 m</t>
  </si>
  <si>
    <t>2,65 m x 5,30 m</t>
  </si>
  <si>
    <t>2,85 m x 3,00 m</t>
  </si>
  <si>
    <t>2,85 m x 3,50 m</t>
  </si>
  <si>
    <t>2,85 m x 4,00 m</t>
  </si>
  <si>
    <t>2,85 m x 4,50 m</t>
  </si>
  <si>
    <t>2,85 m x 5,00 m</t>
  </si>
  <si>
    <t>2,85 m x 5,30 m</t>
  </si>
  <si>
    <t>2,85 m x 5,70 m</t>
  </si>
  <si>
    <t>3,50 m x 4,00 m</t>
  </si>
  <si>
    <t>3,50 m x 4,50 m</t>
  </si>
  <si>
    <t>3,50 m x 5,00 m</t>
  </si>
  <si>
    <t>3,50 m x 5,30 m</t>
  </si>
  <si>
    <t>3,50 m x 5,70 m</t>
  </si>
  <si>
    <t>3,50 m x 6,00 m</t>
  </si>
  <si>
    <t>4,00 m x 4,50 m</t>
  </si>
  <si>
    <t>4,00 m x 5,00 m</t>
  </si>
  <si>
    <t>4,00 m x 5,30 m</t>
  </si>
  <si>
    <t>4,00 m x 5,70 m</t>
  </si>
  <si>
    <t>4,00 m x 6,00 m</t>
  </si>
  <si>
    <t>4,50 m x 5,00 m</t>
  </si>
  <si>
    <t>4,50 m x 6,00 m</t>
  </si>
  <si>
    <t>4,50 m x 5,30 m</t>
  </si>
  <si>
    <t>4,50 m x 5,70 m</t>
  </si>
  <si>
    <t>C: ohne Fahrstuhl, einläufitg</t>
  </si>
  <si>
    <t>A: mit Fahrstuhl</t>
  </si>
  <si>
    <t>ERSCHLIESSUNGSRASTER</t>
  </si>
  <si>
    <t>benötigte Raster für 4,2</t>
  </si>
  <si>
    <t>benötigte Raster für 6,0</t>
  </si>
  <si>
    <t>ERSCHLIESSUNG</t>
  </si>
  <si>
    <t>Anzahl Raster für Variante A:</t>
  </si>
  <si>
    <t>Anzahl Raster für Variante B:</t>
  </si>
  <si>
    <t>Anzahl Raster für Variante C:</t>
  </si>
  <si>
    <t>hier wäre jetzt die Info nötig, welcher Anschluss dafür zu wählen ist!!!</t>
  </si>
  <si>
    <t>für Schwellendruck</t>
  </si>
  <si>
    <t>nochmal besprechen!!!</t>
  </si>
  <si>
    <t>gewählter BSP-Wandaufbau</t>
  </si>
  <si>
    <t>evtl. muss hier die automatische Auswahl nochmal angepasst werden!!!</t>
  </si>
  <si>
    <t>Phi x (gk + ak)</t>
  </si>
  <si>
    <t>soll in beide Richtungen der gleiche Wert verwendet werden???</t>
  </si>
  <si>
    <t>erforderl. Wandlängen (für alle Mechanismen) pro Richtung und Gebäudeabschnitt</t>
  </si>
  <si>
    <t>Angaben zu den Erschließungskernen (aus Rechenmodell)</t>
  </si>
  <si>
    <t>Abmessung in x-Richtung</t>
  </si>
  <si>
    <t>Abmessung in y-Richtung</t>
  </si>
  <si>
    <t>aus Maries Tabellenberechnungen</t>
  </si>
  <si>
    <r>
      <t>Kontrollwert (Vorgabe: l</t>
    </r>
    <r>
      <rPr>
        <b/>
        <vertAlign val="subscript"/>
        <sz val="11"/>
        <color theme="1"/>
        <rFont val="Calibri"/>
        <family val="2"/>
        <scheme val="minor"/>
      </rPr>
      <t>y</t>
    </r>
    <r>
      <rPr>
        <b/>
        <sz val="11"/>
        <color theme="1"/>
        <rFont val="Calibri"/>
        <family val="2"/>
        <scheme val="minor"/>
      </rPr>
      <t xml:space="preserve"> &lt;= l</t>
    </r>
    <r>
      <rPr>
        <b/>
        <vertAlign val="subscript"/>
        <sz val="11"/>
        <color theme="1"/>
        <rFont val="Calibri"/>
        <family val="2"/>
        <scheme val="minor"/>
      </rPr>
      <t>thx</t>
    </r>
    <r>
      <rPr>
        <b/>
        <sz val="11"/>
        <color theme="1"/>
        <rFont val="Calibri"/>
        <family val="2"/>
        <scheme val="minor"/>
      </rPr>
      <t xml:space="preserve"> + 2 x l</t>
    </r>
    <r>
      <rPr>
        <b/>
        <vertAlign val="subscript"/>
        <sz val="11"/>
        <color theme="1"/>
        <rFont val="Calibri"/>
        <family val="2"/>
        <scheme val="minor"/>
      </rPr>
      <t>thy</t>
    </r>
    <r>
      <rPr>
        <b/>
        <sz val="11"/>
        <color theme="1"/>
        <rFont val="Calibri"/>
        <family val="2"/>
        <scheme val="minor"/>
      </rPr>
      <t>)</t>
    </r>
  </si>
  <si>
    <t>Gebäudeabmessung in y-Richtung</t>
  </si>
  <si>
    <r>
      <t>Erschließungskern (l</t>
    </r>
    <r>
      <rPr>
        <vertAlign val="subscript"/>
        <sz val="11"/>
        <color theme="1"/>
        <rFont val="Calibri"/>
        <family val="2"/>
        <scheme val="minor"/>
      </rPr>
      <t>thx</t>
    </r>
    <r>
      <rPr>
        <sz val="11"/>
        <color theme="1"/>
        <rFont val="Calibri"/>
        <family val="2"/>
        <scheme val="minor"/>
      </rPr>
      <t xml:space="preserve"> + 2 x l</t>
    </r>
    <r>
      <rPr>
        <vertAlign val="subscript"/>
        <sz val="11"/>
        <color theme="1"/>
        <rFont val="Calibri"/>
        <family val="2"/>
        <scheme val="minor"/>
      </rPr>
      <t>thy</t>
    </r>
    <r>
      <rPr>
        <sz val="11"/>
        <color theme="1"/>
        <rFont val="Calibri"/>
        <family val="2"/>
        <scheme val="minor"/>
      </rPr>
      <t>)</t>
    </r>
  </si>
  <si>
    <t>diese Vorgabe ist wichtig, da sonst die Wandkräfte evtl. nicht korrekt bestimmt werden können!!!</t>
  </si>
  <si>
    <t>Zuganschlüsse</t>
  </si>
  <si>
    <t>Fundamentanschluss</t>
  </si>
  <si>
    <t>Geschossübergang</t>
  </si>
  <si>
    <t>Schubanschlüsse</t>
  </si>
  <si>
    <r>
      <t>R</t>
    </r>
    <r>
      <rPr>
        <vertAlign val="subscript"/>
        <sz val="11"/>
        <color theme="1"/>
        <rFont val="Calibri"/>
        <family val="2"/>
        <scheme val="minor"/>
      </rPr>
      <t>ax,d</t>
    </r>
    <r>
      <rPr>
        <sz val="11"/>
        <color theme="1"/>
        <rFont val="Calibri"/>
        <family val="2"/>
        <scheme val="minor"/>
      </rPr>
      <t xml:space="preserve"> [kN]</t>
    </r>
  </si>
  <si>
    <t>Anschlussvariante</t>
  </si>
  <si>
    <t>Anschluss Wandscheibe/Unterzug an Deckenscheiben</t>
  </si>
  <si>
    <t>Anschluss Stütze/Unterzug an Wandscheiben</t>
  </si>
  <si>
    <t>X-Fix-C-Verbinder: a=350mm, 2-seitig</t>
  </si>
  <si>
    <t>Anschlussspezifikationen</t>
  </si>
  <si>
    <t>Buchendübel: D40, d=24mm, a=120mm, 2 Reihen nebeneinander (versetzt angeordnet)</t>
  </si>
  <si>
    <t>X-Fix-C-Verbinder: a=400mm, 1-seitig</t>
  </si>
  <si>
    <t>X-Fix-C-Verbinder: a=650mm, 1-seitig</t>
  </si>
  <si>
    <t>X-Fix-C-Verbinder: a=2.000mm (mind. 2 Verbinder pro Seitenlänge), 1-seitig</t>
  </si>
  <si>
    <t>X-Fix-C-Verbinder: a=900mm, 1-seitig</t>
  </si>
  <si>
    <t>Buchendübel: D40, d=20mm, a=180mm, 2 Reihen nebeneinander (versetzt angeordnet)</t>
  </si>
  <si>
    <t>Buchendübel: D40, d=20mm, a=300mm, 2 Reihen nebeneinander (versetzt angeordnet)</t>
  </si>
  <si>
    <t>Buchendübel: D40, d=20mm, a=600mm, 1 Reihe (versetzt angeordnet)</t>
  </si>
  <si>
    <t>Buchendübel: D40, d=20mm, a=400mm, 2 Reihen nebeneinander (versetzt angeordnet)</t>
  </si>
  <si>
    <r>
      <t>s</t>
    </r>
    <r>
      <rPr>
        <vertAlign val="subscript"/>
        <sz val="11"/>
        <color theme="1"/>
        <rFont val="Calibri"/>
        <family val="2"/>
        <scheme val="minor"/>
      </rPr>
      <t>v,0,d</t>
    </r>
    <r>
      <rPr>
        <sz val="11"/>
        <color theme="1"/>
        <rFont val="Calibri"/>
        <family val="2"/>
        <scheme val="minor"/>
      </rPr>
      <t xml:space="preserve"> [kN/m]</t>
    </r>
  </si>
  <si>
    <t>aufnehmbare Last</t>
  </si>
  <si>
    <t>innenliegende BauBuche-Platte-S 60/200mm;
Eichendübeln Ø20mm, l=200mm, vorgebohrt, versetzt angeordnet, angefast, 17 Stk. pro Seite;</t>
  </si>
  <si>
    <r>
      <t>b</t>
    </r>
    <r>
      <rPr>
        <vertAlign val="subscript"/>
        <sz val="11"/>
        <color theme="1"/>
        <rFont val="Calibri"/>
        <family val="2"/>
        <scheme val="minor"/>
      </rPr>
      <t>Zapfen</t>
    </r>
    <r>
      <rPr>
        <sz val="11"/>
        <color theme="1"/>
        <rFont val="Calibri"/>
        <family val="2"/>
        <scheme val="minor"/>
      </rPr>
      <t xml:space="preserve"> [mm]</t>
    </r>
  </si>
  <si>
    <t>Auflagerlasten Ebene Boden 1.OG</t>
  </si>
  <si>
    <t>Auflagerlasten Ebene Boden EG</t>
  </si>
  <si>
    <t>Auflast (DE &amp; UZ) =</t>
  </si>
  <si>
    <t>Nutzlast (DE)=</t>
  </si>
  <si>
    <t>Eigen- &amp; Auflast =</t>
  </si>
  <si>
    <r>
      <t>F</t>
    </r>
    <r>
      <rPr>
        <vertAlign val="subscript"/>
        <sz val="11"/>
        <color theme="1"/>
        <rFont val="Calibri"/>
        <family val="2"/>
        <scheme val="minor"/>
      </rPr>
      <t>d,max</t>
    </r>
    <r>
      <rPr>
        <sz val="11"/>
        <color theme="1"/>
        <rFont val="Calibri"/>
        <family val="2"/>
        <scheme val="minor"/>
      </rPr>
      <t xml:space="preserve"> =</t>
    </r>
  </si>
  <si>
    <r>
      <t>F</t>
    </r>
    <r>
      <rPr>
        <vertAlign val="subscript"/>
        <sz val="11"/>
        <color theme="1"/>
        <rFont val="Calibri"/>
        <family val="2"/>
        <scheme val="minor"/>
      </rPr>
      <t>d,1</t>
    </r>
    <r>
      <rPr>
        <sz val="11"/>
        <color theme="1"/>
        <rFont val="Calibri"/>
        <family val="2"/>
        <scheme val="minor"/>
      </rPr>
      <t>/k</t>
    </r>
    <r>
      <rPr>
        <vertAlign val="subscript"/>
        <sz val="11"/>
        <color theme="1"/>
        <rFont val="Calibri"/>
        <family val="2"/>
        <scheme val="minor"/>
      </rPr>
      <t>mod</t>
    </r>
    <r>
      <rPr>
        <sz val="11"/>
        <color theme="1"/>
        <rFont val="Calibri"/>
        <family val="2"/>
        <scheme val="minor"/>
      </rPr>
      <t xml:space="preserve"> =</t>
    </r>
  </si>
  <si>
    <r>
      <t>F</t>
    </r>
    <r>
      <rPr>
        <vertAlign val="subscript"/>
        <sz val="11"/>
        <color theme="1"/>
        <rFont val="Calibri"/>
        <family val="2"/>
        <scheme val="minor"/>
      </rPr>
      <t>d,2</t>
    </r>
    <r>
      <rPr>
        <sz val="11"/>
        <color theme="1"/>
        <rFont val="Calibri"/>
        <family val="2"/>
        <scheme val="minor"/>
      </rPr>
      <t>/k</t>
    </r>
    <r>
      <rPr>
        <vertAlign val="subscript"/>
        <sz val="11"/>
        <color theme="1"/>
        <rFont val="Calibri"/>
        <family val="2"/>
        <scheme val="minor"/>
      </rPr>
      <t>mod</t>
    </r>
    <r>
      <rPr>
        <sz val="11"/>
        <color theme="1"/>
        <rFont val="Calibri"/>
        <family val="2"/>
        <scheme val="minor"/>
      </rPr>
      <t xml:space="preserve"> =</t>
    </r>
  </si>
  <si>
    <r>
      <t>k</t>
    </r>
    <r>
      <rPr>
        <vertAlign val="subscript"/>
        <sz val="11"/>
        <color theme="1"/>
        <rFont val="Calibri"/>
        <family val="2"/>
        <scheme val="minor"/>
      </rPr>
      <t>mod</t>
    </r>
    <r>
      <rPr>
        <sz val="11"/>
        <color theme="1"/>
        <rFont val="Calibri"/>
        <family val="2"/>
        <scheme val="minor"/>
      </rPr>
      <t xml:space="preserve"> =</t>
    </r>
  </si>
  <si>
    <t>Überprüfung der maßgebenden Lastfallkombination</t>
  </si>
  <si>
    <t>ständige Einwirkung</t>
  </si>
  <si>
    <t>vorübergehende Einwirkung (mittel)</t>
  </si>
  <si>
    <t>siehe oben bei Unterzug</t>
  </si>
  <si>
    <r>
      <t xml:space="preserve">Längsdruck im Zapfen </t>
    </r>
    <r>
      <rPr>
        <sz val="11"/>
        <color theme="1"/>
        <rFont val="Symbol"/>
        <family val="1"/>
        <charset val="2"/>
      </rPr>
      <t>s</t>
    </r>
    <r>
      <rPr>
        <vertAlign val="subscript"/>
        <sz val="11"/>
        <color theme="1"/>
        <rFont val="Calibri"/>
        <family val="2"/>
        <scheme val="minor"/>
      </rPr>
      <t>c,0,d</t>
    </r>
    <r>
      <rPr>
        <sz val="11"/>
        <color theme="1"/>
        <rFont val="Calibri"/>
        <family val="2"/>
        <scheme val="minor"/>
      </rPr>
      <t xml:space="preserve"> =</t>
    </r>
  </si>
  <si>
    <r>
      <t>Längsdruckfestigkeit f</t>
    </r>
    <r>
      <rPr>
        <vertAlign val="subscript"/>
        <sz val="11"/>
        <color theme="1"/>
        <rFont val="Calibri"/>
        <family val="2"/>
        <scheme val="minor"/>
      </rPr>
      <t>c,0,d</t>
    </r>
    <r>
      <rPr>
        <sz val="11"/>
        <color theme="1"/>
        <rFont val="Calibri"/>
        <family val="2"/>
        <scheme val="minor"/>
      </rPr>
      <t xml:space="preserve"> =</t>
    </r>
  </si>
  <si>
    <t>Nachweis Längsdruck im Zapfen</t>
  </si>
  <si>
    <r>
      <t>vorh. Auflagerbreite b</t>
    </r>
    <r>
      <rPr>
        <vertAlign val="subscript"/>
        <sz val="11"/>
        <color theme="1"/>
        <rFont val="Calibri"/>
        <family val="2"/>
        <scheme val="minor"/>
      </rPr>
      <t>vorh._Aufl.</t>
    </r>
    <r>
      <rPr>
        <sz val="11"/>
        <color theme="1"/>
        <rFont val="Calibri"/>
        <family val="2"/>
        <scheme val="minor"/>
      </rPr>
      <t xml:space="preserve"> =</t>
    </r>
  </si>
  <si>
    <t>ohne 30mm Verbreiterung und ohne kc,90-Wert</t>
  </si>
  <si>
    <r>
      <t>tatsächlich erf. Breite b</t>
    </r>
    <r>
      <rPr>
        <vertAlign val="subscript"/>
        <sz val="11"/>
        <color theme="1"/>
        <rFont val="Calibri"/>
        <family val="2"/>
        <scheme val="minor"/>
      </rPr>
      <t>erf._Aufl.</t>
    </r>
    <r>
      <rPr>
        <sz val="11"/>
        <color theme="1"/>
        <rFont val="Calibri"/>
        <family val="2"/>
        <scheme val="minor"/>
      </rPr>
      <t xml:space="preserve"> =</t>
    </r>
  </si>
  <si>
    <r>
      <t>erf. Stützenbreite b</t>
    </r>
    <r>
      <rPr>
        <vertAlign val="subscript"/>
        <sz val="11"/>
        <color theme="1"/>
        <rFont val="Calibri"/>
        <family val="2"/>
        <scheme val="minor"/>
      </rPr>
      <t>ST,erf</t>
    </r>
    <r>
      <rPr>
        <sz val="11"/>
        <color theme="1"/>
        <rFont val="Calibri"/>
        <family val="2"/>
        <scheme val="minor"/>
      </rPr>
      <t xml:space="preserve"> =</t>
    </r>
  </si>
  <si>
    <t>c =</t>
  </si>
  <si>
    <t xml:space="preserve">b = </t>
  </si>
  <si>
    <t>a =</t>
  </si>
  <si>
    <r>
      <t>erf. Unterzug- &amp; Stützenbreite b</t>
    </r>
    <r>
      <rPr>
        <vertAlign val="subscript"/>
        <sz val="11"/>
        <color theme="1"/>
        <rFont val="Calibri"/>
        <family val="2"/>
        <scheme val="minor"/>
      </rPr>
      <t>ST,erf</t>
    </r>
    <r>
      <rPr>
        <sz val="11"/>
        <color theme="1"/>
        <rFont val="Calibri"/>
        <family val="2"/>
        <scheme val="minor"/>
      </rPr>
      <t xml:space="preserve"> =</t>
    </r>
  </si>
  <si>
    <t>gewählte Unterzug- &amp; Stützenbreite</t>
  </si>
  <si>
    <t>Werte zur Lösung der quadratischen Gleichung</t>
  </si>
  <si>
    <t>für Erfüllung Querdrucknachweis, wenn Unterzugbreite gleich bleibt</t>
  </si>
  <si>
    <t>quadratische Stütze -&gt; Unterzugbreite an Stützenquerschnitt angepasst</t>
  </si>
  <si>
    <t>wenn Unterzugbreite gleich bleibt -&gt; Stützenquerschnitt nicht mehr quadratisch</t>
  </si>
  <si>
    <t>nächstes sinnvolles Unterzug-/Stützenmaß</t>
  </si>
  <si>
    <r>
      <t>erforderliche Zapfenstärke b</t>
    </r>
    <r>
      <rPr>
        <vertAlign val="subscript"/>
        <sz val="11"/>
        <color theme="1"/>
        <rFont val="Calibri"/>
        <family val="2"/>
        <scheme val="minor"/>
      </rPr>
      <t>Za,erf.</t>
    </r>
    <r>
      <rPr>
        <sz val="11"/>
        <color theme="1"/>
        <rFont val="Calibri"/>
        <family val="2"/>
        <scheme val="minor"/>
      </rPr>
      <t xml:space="preserve"> =</t>
    </r>
  </si>
  <si>
    <t>Vorschlag:</t>
  </si>
  <si>
    <t>Material Stützen</t>
  </si>
  <si>
    <t>Werkstoffgruppe Stützen</t>
  </si>
  <si>
    <t>Breite Stützen</t>
  </si>
  <si>
    <t>Überprüfung, ob Hochhausgrenze überschritten ist?!</t>
  </si>
  <si>
    <t>benötigte Raster für 2,3</t>
  </si>
  <si>
    <t>Länge Erschl.</t>
  </si>
  <si>
    <t>Breite Erschl.</t>
  </si>
  <si>
    <t>Wohnzimmer</t>
  </si>
  <si>
    <t>Ausrichtung</t>
  </si>
  <si>
    <t>EGAL</t>
  </si>
  <si>
    <t>x-Richtung</t>
  </si>
  <si>
    <t>y-Richtung</t>
  </si>
  <si>
    <t>Ausrichtung der Erschl.</t>
  </si>
  <si>
    <t>Gäste-WC</t>
  </si>
  <si>
    <t>barrierefreies Bad</t>
  </si>
  <si>
    <t>Wannenbad</t>
  </si>
  <si>
    <t>oder</t>
  </si>
  <si>
    <t>+</t>
  </si>
  <si>
    <t>Eltern</t>
  </si>
  <si>
    <t xml:space="preserve">Schlaf-/Kinderzimmer </t>
  </si>
  <si>
    <t>Benötigte mindest WFL</t>
  </si>
  <si>
    <t>Benötigte mindest Rasteranzahl</t>
  </si>
  <si>
    <t>Ausnutzung der Raster</t>
  </si>
  <si>
    <t>*** ohne UG; wird nichts eingetragen, wird von mindestens 3 NE ausgegangen</t>
  </si>
  <si>
    <t>Gebäudeklasse entsprechend der gewählten Angaben:</t>
  </si>
  <si>
    <t>Geschossanzahl</t>
  </si>
  <si>
    <t>[kN/m]</t>
  </si>
  <si>
    <t>[kN]</t>
  </si>
  <si>
    <t xml:space="preserve">Spannweite Unterzug </t>
  </si>
  <si>
    <t>Eigen- &amp; Auflast Decke =</t>
  </si>
  <si>
    <t>Auflagerlasten aus den Decken</t>
  </si>
  <si>
    <t>Auflagerlasten aus den Unterzügen</t>
  </si>
  <si>
    <t>Stützlasten in Abhängigkeit der Geschossigkeit</t>
  </si>
  <si>
    <t>Ausnutzung Querdruck am Auflager</t>
  </si>
  <si>
    <t>[N/mm²]</t>
  </si>
  <si>
    <r>
      <rPr>
        <sz val="11"/>
        <color theme="1"/>
        <rFont val="Symbol"/>
        <family val="1"/>
        <charset val="2"/>
      </rPr>
      <t>h</t>
    </r>
    <r>
      <rPr>
        <sz val="11"/>
        <color theme="1"/>
        <rFont val="Calibri"/>
        <family val="2"/>
        <scheme val="minor"/>
      </rPr>
      <t xml:space="preserve"> =</t>
    </r>
  </si>
  <si>
    <t>bei 20mm Auflagerung und ohne 30mm Verbreitung und ohne kc,90</t>
  </si>
  <si>
    <t xml:space="preserve">               +</t>
  </si>
  <si>
    <t xml:space="preserve">          +</t>
  </si>
  <si>
    <t>PASSUNG GEOMETRIE UND WOHNNUTZUNG</t>
  </si>
  <si>
    <t>nicht mehr genutzt da Eingabe</t>
  </si>
  <si>
    <t>Anzahl Raster je Erschließungskern:</t>
  </si>
  <si>
    <t>Flächen</t>
  </si>
  <si>
    <t>Kosten Aussteifung</t>
  </si>
  <si>
    <t>Wänder für Erschließung</t>
  </si>
  <si>
    <t>Höhe</t>
  </si>
  <si>
    <t>gesamt Länge</t>
  </si>
  <si>
    <t>Wandstärke</t>
  </si>
  <si>
    <t>Wandstärken</t>
  </si>
  <si>
    <t>Fensterfläche pro Raster</t>
  </si>
  <si>
    <t>benötigte Raster</t>
  </si>
  <si>
    <t>Fensterfläche gesamt</t>
  </si>
  <si>
    <t>Kosten Fassade geschloßen</t>
  </si>
  <si>
    <t>WOHNFLÄCHE PRO PERSON</t>
  </si>
  <si>
    <t>Kapselung notwendig?</t>
  </si>
  <si>
    <t>Kapselung</t>
  </si>
  <si>
    <t>Hilfszahl vorliegender Fall</t>
  </si>
  <si>
    <t>Kontrolle (pro Gebäudeabschnitt)</t>
  </si>
  <si>
    <t>Anzahl notwendiger Wandraster in x-Richtung</t>
  </si>
  <si>
    <t>vorhandene Wandraster durch E-Kern</t>
  </si>
  <si>
    <t>Anzahl notwendiger Wandraster in y-Richtung</t>
  </si>
  <si>
    <t>Anzahl zusätzl. notwendiger Raster durch Exzentrizität</t>
  </si>
  <si>
    <t>Anzahl der Gebäudeabschnitte in x-Richtung</t>
  </si>
  <si>
    <t>Anzahl der Gebäudeabschnitte in y-Richtung</t>
  </si>
  <si>
    <t>Anzahl Gebäudeabschnitte gesamt</t>
  </si>
  <si>
    <t>Anzahl erf. Wandraster in x-Richtung</t>
  </si>
  <si>
    <t>Anzahl erf. Wandraster in y-Richtung</t>
  </si>
  <si>
    <t>Abmessung Erschließungskern in x-Richtung</t>
  </si>
  <si>
    <t>Abmessung Erschließungskern in y-Richtung</t>
  </si>
  <si>
    <t>reichen TRH-Wände für Aussteifung?</t>
  </si>
  <si>
    <t>Annahme, dass jeweils beide TRH-Wände zur Aussteifung herangezogen werden</t>
  </si>
  <si>
    <t>weitere Annahme: Lage des Kern jeweils mittig in beiden Richtungen</t>
  </si>
  <si>
    <t>Passung Geometrie und Wohnnutzung</t>
  </si>
  <si>
    <t>zusätzliche Daten</t>
  </si>
  <si>
    <t>Vertiefende Angaben zu Gebrauchstauglichkeit, Gebäudeklasse und Kosten</t>
  </si>
  <si>
    <t>Objektbeschreibung, Auswahl, Zusammenfassung der Ergebnisse</t>
  </si>
  <si>
    <t>Auswertung Holzmenge pro BGF</t>
  </si>
  <si>
    <t>sehr großzügig</t>
  </si>
  <si>
    <t>durchschnittlich</t>
  </si>
  <si>
    <t>sehr kompakt</t>
  </si>
  <si>
    <t>Auswertung Wohnfläche pro Person</t>
  </si>
  <si>
    <t>EFFIZIENTS FLÄCHENAUSNUTZUNG</t>
  </si>
  <si>
    <t>Analysetool für einen Systemholzbau zur Untersuchung der Spannweiten bezüglich:</t>
  </si>
  <si>
    <t>d.h. die Flächenausnutzung</t>
  </si>
  <si>
    <t>- Tragwerk (Querschnitte -&gt; benötigtes Holzvolumen)</t>
  </si>
  <si>
    <t>Es wird von einem nicht freistehenden Gebäude ausgegangen. -&gt; andernfalls im Blatt "Erweiterte Eingabe" ändern</t>
  </si>
  <si>
    <t>Es wird von mindestens 3 NE ausgegangen.</t>
  </si>
  <si>
    <t>Es wird davon ausgegangen, dass GOK=OKFF im EG. -&gt; für Bestimmung der Gebäudeklasse</t>
  </si>
  <si>
    <t>Max. Größe einer Nutzeinheit beträgt weniger als 400m² -&gt; andernfalls im Blatt "Erweiterte Eingabe" ändern</t>
  </si>
  <si>
    <t>Tragwerk (Querschnitte)</t>
  </si>
  <si>
    <t>Spannweite/Systemlänge</t>
  </si>
  <si>
    <r>
      <t>l</t>
    </r>
    <r>
      <rPr>
        <b/>
        <vertAlign val="subscript"/>
        <sz val="11"/>
        <color theme="1"/>
        <rFont val="Arial"/>
        <family val="2"/>
      </rPr>
      <t>DE</t>
    </r>
    <r>
      <rPr>
        <b/>
        <sz val="11"/>
        <color theme="1"/>
        <rFont val="Arial"/>
        <family val="2"/>
      </rPr>
      <t xml:space="preserve"> =</t>
    </r>
  </si>
  <si>
    <r>
      <t>l</t>
    </r>
    <r>
      <rPr>
        <b/>
        <vertAlign val="subscript"/>
        <sz val="11"/>
        <color theme="1"/>
        <rFont val="Arial"/>
        <family val="2"/>
      </rPr>
      <t>UZ</t>
    </r>
    <r>
      <rPr>
        <b/>
        <sz val="11"/>
        <color theme="1"/>
        <rFont val="Arial"/>
        <family val="2"/>
      </rPr>
      <t xml:space="preserve"> =</t>
    </r>
  </si>
  <si>
    <t>Lagenaufbau</t>
  </si>
  <si>
    <t>Querschnittshöhe</t>
  </si>
  <si>
    <t>Querschnittsbreite</t>
  </si>
  <si>
    <r>
      <t>b</t>
    </r>
    <r>
      <rPr>
        <b/>
        <vertAlign val="subscript"/>
        <sz val="11"/>
        <color theme="1"/>
        <rFont val="Arial"/>
        <family val="2"/>
      </rPr>
      <t>DE</t>
    </r>
    <r>
      <rPr>
        <b/>
        <sz val="11"/>
        <color theme="1"/>
        <rFont val="Arial"/>
        <family val="2"/>
      </rPr>
      <t xml:space="preserve"> =</t>
    </r>
  </si>
  <si>
    <r>
      <t>h</t>
    </r>
    <r>
      <rPr>
        <b/>
        <vertAlign val="subscript"/>
        <sz val="11"/>
        <color theme="1"/>
        <rFont val="Arial"/>
        <family val="2"/>
      </rPr>
      <t>DE</t>
    </r>
    <r>
      <rPr>
        <b/>
        <sz val="11"/>
        <color theme="1"/>
        <rFont val="Arial"/>
        <family val="2"/>
      </rPr>
      <t xml:space="preserve"> =</t>
    </r>
  </si>
  <si>
    <r>
      <t>b</t>
    </r>
    <r>
      <rPr>
        <b/>
        <vertAlign val="subscript"/>
        <sz val="11"/>
        <color theme="1"/>
        <rFont val="Arial"/>
        <family val="2"/>
      </rPr>
      <t>UZ</t>
    </r>
    <r>
      <rPr>
        <b/>
        <sz val="11"/>
        <color theme="1"/>
        <rFont val="Arial"/>
        <family val="2"/>
      </rPr>
      <t xml:space="preserve"> =</t>
    </r>
  </si>
  <si>
    <r>
      <t>h</t>
    </r>
    <r>
      <rPr>
        <b/>
        <vertAlign val="subscript"/>
        <sz val="11"/>
        <color theme="1"/>
        <rFont val="Arial"/>
        <family val="2"/>
      </rPr>
      <t>UZ</t>
    </r>
    <r>
      <rPr>
        <b/>
        <sz val="11"/>
        <color theme="1"/>
        <rFont val="Arial"/>
        <family val="2"/>
      </rPr>
      <t xml:space="preserve"> =</t>
    </r>
  </si>
  <si>
    <r>
      <t>b</t>
    </r>
    <r>
      <rPr>
        <b/>
        <vertAlign val="subscript"/>
        <sz val="11"/>
        <color theme="1"/>
        <rFont val="Arial"/>
        <family val="2"/>
      </rPr>
      <t>ST</t>
    </r>
    <r>
      <rPr>
        <b/>
        <sz val="11"/>
        <color theme="1"/>
        <rFont val="Arial"/>
        <family val="2"/>
      </rPr>
      <t xml:space="preserve"> =</t>
    </r>
  </si>
  <si>
    <r>
      <t>h</t>
    </r>
    <r>
      <rPr>
        <b/>
        <vertAlign val="subscript"/>
        <sz val="11"/>
        <color theme="1"/>
        <rFont val="Arial"/>
        <family val="2"/>
      </rPr>
      <t>ST</t>
    </r>
    <r>
      <rPr>
        <b/>
        <sz val="11"/>
        <color theme="1"/>
        <rFont val="Arial"/>
        <family val="2"/>
      </rPr>
      <t xml:space="preserve"> =</t>
    </r>
  </si>
  <si>
    <t>Gesamtvolumen</t>
  </si>
  <si>
    <t>Skizze Querschnitt</t>
  </si>
  <si>
    <r>
      <t>V</t>
    </r>
    <r>
      <rPr>
        <vertAlign val="subscript"/>
        <sz val="11"/>
        <color theme="1"/>
        <rFont val="Arial"/>
        <family val="2"/>
      </rPr>
      <t>DE</t>
    </r>
    <r>
      <rPr>
        <sz val="11"/>
        <color theme="1"/>
        <rFont val="Arial"/>
        <family val="2"/>
      </rPr>
      <t xml:space="preserve"> =</t>
    </r>
  </si>
  <si>
    <r>
      <t>V</t>
    </r>
    <r>
      <rPr>
        <vertAlign val="subscript"/>
        <sz val="11"/>
        <color theme="1"/>
        <rFont val="Arial"/>
        <family val="2"/>
      </rPr>
      <t>UZ</t>
    </r>
    <r>
      <rPr>
        <sz val="11"/>
        <color theme="1"/>
        <rFont val="Arial"/>
        <family val="2"/>
      </rPr>
      <t xml:space="preserve"> =</t>
    </r>
  </si>
  <si>
    <r>
      <t>V</t>
    </r>
    <r>
      <rPr>
        <vertAlign val="subscript"/>
        <sz val="11"/>
        <color theme="1"/>
        <rFont val="Arial"/>
        <family val="2"/>
      </rPr>
      <t>ST</t>
    </r>
    <r>
      <rPr>
        <sz val="11"/>
        <color theme="1"/>
        <rFont val="Arial"/>
        <family val="2"/>
      </rPr>
      <t xml:space="preserve"> =</t>
    </r>
  </si>
  <si>
    <t>Volumen eines Bauteils</t>
  </si>
  <si>
    <r>
      <t>V</t>
    </r>
    <r>
      <rPr>
        <b/>
        <vertAlign val="subscript"/>
        <sz val="11"/>
        <color theme="1"/>
        <rFont val="Arial"/>
        <family val="2"/>
      </rPr>
      <t>DE,ges</t>
    </r>
    <r>
      <rPr>
        <b/>
        <sz val="11"/>
        <color theme="1"/>
        <rFont val="Arial"/>
        <family val="2"/>
      </rPr>
      <t xml:space="preserve"> =</t>
    </r>
  </si>
  <si>
    <r>
      <t>V</t>
    </r>
    <r>
      <rPr>
        <b/>
        <vertAlign val="subscript"/>
        <sz val="11"/>
        <color theme="1"/>
        <rFont val="Arial"/>
        <family val="2"/>
      </rPr>
      <t>UZ,ges</t>
    </r>
    <r>
      <rPr>
        <b/>
        <sz val="11"/>
        <color theme="1"/>
        <rFont val="Arial"/>
        <family val="2"/>
      </rPr>
      <t xml:space="preserve"> =</t>
    </r>
  </si>
  <si>
    <r>
      <t>V</t>
    </r>
    <r>
      <rPr>
        <b/>
        <vertAlign val="subscript"/>
        <sz val="11"/>
        <color theme="1"/>
        <rFont val="Arial"/>
        <family val="2"/>
      </rPr>
      <t>ST,ges</t>
    </r>
    <r>
      <rPr>
        <b/>
        <sz val="11"/>
        <color theme="1"/>
        <rFont val="Arial"/>
        <family val="2"/>
      </rPr>
      <t xml:space="preserve"> =</t>
    </r>
  </si>
  <si>
    <r>
      <t>l</t>
    </r>
    <r>
      <rPr>
        <b/>
        <vertAlign val="subscript"/>
        <sz val="11"/>
        <color theme="1"/>
        <rFont val="Arial"/>
        <family val="2"/>
      </rPr>
      <t>ST</t>
    </r>
    <r>
      <rPr>
        <b/>
        <sz val="11"/>
        <color theme="1"/>
        <rFont val="Arial"/>
        <family val="2"/>
      </rPr>
      <t xml:space="preserve"> =</t>
    </r>
  </si>
  <si>
    <t>Eingabe Bauteile und Material</t>
  </si>
  <si>
    <t>Wahl des Deckenaufbaus</t>
  </si>
  <si>
    <t>voreingestellt ist GL24h</t>
  </si>
  <si>
    <t>Effizienz des Grundrisses</t>
  </si>
  <si>
    <t>Hinweise zu Detailnachweisen</t>
  </si>
  <si>
    <t>Hinweise zur Aussteifung</t>
  </si>
  <si>
    <t>Belichtung</t>
  </si>
  <si>
    <t>mögliche Ausrichtung im Grundriss</t>
  </si>
  <si>
    <t>müssen noch eingefügt werden!</t>
  </si>
  <si>
    <t>Anzahl Fenster</t>
  </si>
  <si>
    <t>Fensterfläche je Raster</t>
  </si>
  <si>
    <t>Fensterbreite nach DIN 5034</t>
  </si>
  <si>
    <t>Gebäude, Flächen und A/V - Verhältnis</t>
  </si>
  <si>
    <t>Gebäudehöhe z-Richtung</t>
  </si>
  <si>
    <t>Gebäudehöhe:</t>
  </si>
  <si>
    <t>Holzmenge (Primär)</t>
  </si>
  <si>
    <t>Effizients Flächenausnutzung</t>
  </si>
  <si>
    <t xml:space="preserve">Die vorangehenden Tabellen sollen als Hilfestellung für die nachfolgende Auswahl der Rastermaße dienen. </t>
  </si>
  <si>
    <t>3,00 m x 3,50 m</t>
  </si>
  <si>
    <t>3,00 m x 4,00 m</t>
  </si>
  <si>
    <t>3,00 m x 4,50 m</t>
  </si>
  <si>
    <t>3,00 m x 5,00 m</t>
  </si>
  <si>
    <t>3,00 m x 5,30 m</t>
  </si>
  <si>
    <t>3,00 m x 5,70 m</t>
  </si>
  <si>
    <t>3,00 m x 6,00 m</t>
  </si>
  <si>
    <t>Es wird von einer reinen Wohnnutzung ausgegangen. -&gt; Nutzlastkategorie A2</t>
  </si>
  <si>
    <t>BSPW 160</t>
  </si>
  <si>
    <t>BSPW 200</t>
  </si>
  <si>
    <t>BSPW 240</t>
  </si>
  <si>
    <t>Aussteifung</t>
  </si>
  <si>
    <t>Ausrichtung der Erschließungskerne:                                                        lange Seite in</t>
  </si>
  <si>
    <t>Lage der Erschließungskerne:
mittig in</t>
  </si>
  <si>
    <t>M1</t>
  </si>
  <si>
    <t>M2</t>
  </si>
  <si>
    <t>X1</t>
  </si>
  <si>
    <t>X2</t>
  </si>
  <si>
    <t>Y1</t>
  </si>
  <si>
    <t>Y2</t>
  </si>
  <si>
    <t>Auswahl Lage</t>
  </si>
  <si>
    <t>x- &amp; y-Richtung</t>
  </si>
  <si>
    <t>Auswahl Ausrichtung</t>
  </si>
  <si>
    <t>Lage</t>
  </si>
  <si>
    <t>Hilfszelle</t>
  </si>
  <si>
    <t>Fall M1: Lage mittig; Ausrichtung lange Seite in x</t>
  </si>
  <si>
    <t>Fall M2: Lage mittig; Ausrichtung lange Seite in y</t>
  </si>
  <si>
    <t>Fall X1: Lage mittig in x; Ausrichtung lange Seite in x</t>
  </si>
  <si>
    <t>Fall X2: Lage mittig in x; Ausrichtung lange Seite in y</t>
  </si>
  <si>
    <t>Fall Y1: Lage mittig in y; Ausrichtung lange Seite in x</t>
  </si>
  <si>
    <t>Fall Y2: Lage mittig in y; Ausrichtung lange Seite in y</t>
  </si>
  <si>
    <t>Matrix Nachweise</t>
  </si>
  <si>
    <t>Fall laut "Eingabe und Ergebnis"</t>
  </si>
  <si>
    <t>x-Richtung:</t>
  </si>
  <si>
    <t>y-Richtung:</t>
  </si>
  <si>
    <t>ohne Eingab mittig in beide Richtungen</t>
  </si>
  <si>
    <t>ohne Eingab lange Seite in x-Richtung</t>
  </si>
  <si>
    <t>Länge vorhandener Wandscheiben in x</t>
  </si>
  <si>
    <t>Länge vorhandener Wandscheiben in y</t>
  </si>
  <si>
    <t>Abmessung Erschließungskern in x</t>
  </si>
  <si>
    <t>Abmessung Erschließungskern in y</t>
  </si>
  <si>
    <t>nur für exzentrischen Kern notwendig!</t>
  </si>
  <si>
    <t>designte Schubkraft am Wandfuß pro Richtung</t>
  </si>
  <si>
    <r>
      <t>s</t>
    </r>
    <r>
      <rPr>
        <vertAlign val="subscript"/>
        <sz val="11"/>
        <color theme="1"/>
        <rFont val="Calibri"/>
        <family val="2"/>
        <scheme val="minor"/>
      </rPr>
      <t>v,x,max,d</t>
    </r>
    <r>
      <rPr>
        <sz val="11"/>
        <color theme="1"/>
        <rFont val="Calibri"/>
        <family val="2"/>
        <scheme val="minor"/>
      </rPr>
      <t xml:space="preserve"> =</t>
    </r>
  </si>
  <si>
    <r>
      <t>s</t>
    </r>
    <r>
      <rPr>
        <vertAlign val="subscript"/>
        <sz val="11"/>
        <color theme="1"/>
        <rFont val="Calibri"/>
        <family val="2"/>
        <scheme val="minor"/>
      </rPr>
      <t>v,y,max,d</t>
    </r>
    <r>
      <rPr>
        <sz val="11"/>
        <color theme="1"/>
        <rFont val="Calibri"/>
        <family val="2"/>
        <scheme val="minor"/>
      </rPr>
      <t xml:space="preserve"> =</t>
    </r>
  </si>
  <si>
    <t>Möblierungsschablone</t>
  </si>
  <si>
    <t xml:space="preserve">Nutzungsspezifisch notwendige Fläche </t>
  </si>
  <si>
    <t>KURZANLEITUNG</t>
  </si>
  <si>
    <t>MÖBLIERUNGSSCHABLONE</t>
  </si>
  <si>
    <t>Kosten Dachaufbau</t>
  </si>
  <si>
    <t>voreingestellte Kostenwerte</t>
  </si>
  <si>
    <t>Rechenwerte für Kosten</t>
  </si>
  <si>
    <t>(mit diesen Werten werden die Berechnungen durchgeführt)</t>
  </si>
  <si>
    <t>Hinweis: Hier nichts ändern. Wird in der "Erweiterten Eingabe" nichts eingegeben wird automatisch voreingestellter oberer Wert genommen!</t>
  </si>
  <si>
    <t>(Werte in Klammern sind Rechenwerte - ohne Eingabe wird mit voreingestellten Werten gerechnet)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</si>
</sst>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0">
    <numFmt numFmtId="6" formatCode="#,##0\ &quot;€&quot;;[Red]\-#,##0\ &quot;€&quot;"/>
    <numFmt numFmtId="164" formatCode="_-* #,##0.00\ _€_-;\-* #,##0.00\ _€_-;_-* &quot;-&quot;??\ _€_-;_-@_-"/>
    <numFmt numFmtId="165" formatCode="_(* #,##0.00_);_(* \(#,##0.00\);_(* &quot;-&quot;??_);_(@_)"/>
    <numFmt numFmtId="166" formatCode="_ * #,##0.00_ ;_ * \-#,##0.00_ ;_ * &quot;-&quot;??_ ;_ @_ "/>
    <numFmt numFmtId="167" formatCode="#,##0.0"/>
    <numFmt numFmtId="168" formatCode="0.0"/>
    <numFmt numFmtId="169" formatCode="0.000"/>
    <numFmt numFmtId="170" formatCode="#,##0.000"/>
    <numFmt numFmtId="171" formatCode="0&quot; /&quot;"/>
    <numFmt numFmtId="172" formatCode="0.00\ &quot;m&quot;"/>
    <numFmt numFmtId="173" formatCode="0.00\ &quot;m2&quot;"/>
    <numFmt numFmtId="174" formatCode="0.00\ &quot;m3&quot;"/>
    <numFmt numFmtId="175" formatCode="0\ &quot;m2&quot;"/>
    <numFmt numFmtId="176" formatCode="#,##0\ &quot;€&quot;"/>
    <numFmt numFmtId="177" formatCode="0.0\ &quot;qm&quot;"/>
    <numFmt numFmtId="178" formatCode="0\ &quot;qm/pP&quot;"/>
    <numFmt numFmtId="179" formatCode="0.0%"/>
    <numFmt numFmtId="180" formatCode="0.00\ &quot;m³&quot;"/>
    <numFmt numFmtId="181" formatCode="0.00\ &quot;m²&quot;"/>
    <numFmt numFmtId="182" formatCode="0\ &quot;mm&quot;"/>
    <numFmt numFmtId="183" formatCode="0\ &quot;Stk&quot;"/>
    <numFmt numFmtId="184" formatCode="&quot;GK&quot;\ 0"/>
    <numFmt numFmtId="185" formatCode="0.0000"/>
    <numFmt numFmtId="186" formatCode="0.0\ &quot;kN/m²&quot;"/>
    <numFmt numFmtId="187" formatCode="0.0\ &quot;kN/m&quot;"/>
    <numFmt numFmtId="188" formatCode="0.0000\ &quot;kN/m²&quot;"/>
    <numFmt numFmtId="189" formatCode="0\ &quot;m²&quot;"/>
    <numFmt numFmtId="190" formatCode="0.0\ &quot;kN&quot;"/>
    <numFmt numFmtId="191" formatCode="0.00\ &quot;kN/m&quot;"/>
    <numFmt numFmtId="192" formatCode="0\ &quot;kN&quot;"/>
    <numFmt numFmtId="193" formatCode="0.00\ &quot;N/mm²&quot;"/>
    <numFmt numFmtId="194" formatCode="0.000E+00"/>
    <numFmt numFmtId="195" formatCode="[Red]\ 0.00\ &quot;m&quot;;[Green]\ 0.00\ &quot;m&quot;"/>
    <numFmt numFmtId="196" formatCode="0\ &quot;kNm&quot;"/>
    <numFmt numFmtId="197" formatCode="0.0\ &quot;m²&quot;"/>
    <numFmt numFmtId="198" formatCode="0.00\ &quot;qm&quot;"/>
    <numFmt numFmtId="199" formatCode="0.0\ &quot;N/mm²&quot;"/>
    <numFmt numFmtId="200" formatCode="0.0\ &quot;m³&quot;"/>
    <numFmt numFmtId="201" formatCode="#,##0\ &quot;mm&quot;;\-#,##0\ &quot;mm&quot;"/>
    <numFmt numFmtId="202" formatCode="&quot;(&quot;0.0&quot;)&quot;"/>
  </numFmts>
  <fonts count="155">
    <font>
      <sz val="11"/>
      <color theme="1"/>
      <name val="Calibri"/>
      <family val="2"/>
      <scheme val="minor"/>
    </font>
    <font>
      <sz val="8"/>
      <name val="Arial"/>
      <family val="2"/>
    </font>
    <font>
      <b/>
      <sz val="8"/>
      <name val="Arial"/>
      <family val="2"/>
    </font>
    <font>
      <sz val="9"/>
      <name val="Univers"/>
      <family val="2"/>
    </font>
    <font>
      <sz val="10"/>
      <name val="Geneva"/>
      <family val="2"/>
    </font>
    <font>
      <sz val="7"/>
      <name val="Arial"/>
      <family val="2"/>
    </font>
    <font>
      <b/>
      <sz val="7"/>
      <name val="Arial"/>
      <family val="2"/>
    </font>
    <font>
      <sz val="7"/>
      <name val="Symbol"/>
      <family val="1"/>
      <charset val="2"/>
    </font>
    <font>
      <b/>
      <sz val="15"/>
      <name val="Univers LT 45 Light"/>
    </font>
    <font>
      <b/>
      <sz val="7"/>
      <name val="Symbol"/>
      <family val="1"/>
      <charset val="2"/>
    </font>
    <font>
      <b/>
      <vertAlign val="subscript"/>
      <sz val="7"/>
      <name val="Arial"/>
      <family val="2"/>
    </font>
    <font>
      <sz val="7"/>
      <color rgb="FF00B050"/>
      <name val="Arial"/>
      <family val="2"/>
    </font>
    <font>
      <vertAlign val="subscript"/>
      <sz val="7"/>
      <name val="Arial"/>
      <family val="2"/>
    </font>
    <font>
      <vertAlign val="superscript"/>
      <sz val="7"/>
      <name val="Arial"/>
      <family val="2"/>
    </font>
    <font>
      <u/>
      <sz val="15.95"/>
      <color theme="10"/>
      <name val="Calibri"/>
      <family val="2"/>
    </font>
    <font>
      <u/>
      <sz val="7"/>
      <color theme="10"/>
      <name val="Arial"/>
      <family val="2"/>
    </font>
    <font>
      <b/>
      <sz val="7"/>
      <color indexed="8"/>
      <name val="Arial"/>
      <family val="2"/>
    </font>
    <font>
      <vertAlign val="subscript"/>
      <sz val="7"/>
      <name val="Symbol"/>
      <family val="1"/>
      <charset val="2"/>
    </font>
    <font>
      <sz val="7"/>
      <color theme="1"/>
      <name val="Arial"/>
      <family val="2"/>
    </font>
    <font>
      <sz val="7"/>
      <color rgb="FFC00000"/>
      <name val="Arial"/>
      <family val="2"/>
    </font>
    <font>
      <b/>
      <sz val="7"/>
      <color rgb="FF00B050"/>
      <name val="Arial"/>
      <family val="2"/>
    </font>
    <font>
      <b/>
      <sz val="7"/>
      <color theme="1"/>
      <name val="Arial"/>
      <family val="2"/>
    </font>
    <font>
      <sz val="7"/>
      <color theme="1"/>
      <name val="Symbol"/>
      <family val="1"/>
      <charset val="2"/>
    </font>
    <font>
      <sz val="7"/>
      <name val="Areal"/>
    </font>
    <font>
      <sz val="7"/>
      <color rgb="FF000000"/>
      <name val="Arial"/>
      <family val="2"/>
    </font>
    <font>
      <b/>
      <sz val="20"/>
      <name val="Arial"/>
      <family val="2"/>
    </font>
    <font>
      <b/>
      <sz val="12"/>
      <name val="Arial"/>
      <family val="2"/>
    </font>
    <font>
      <b/>
      <sz val="20"/>
      <color theme="1" tint="0.14999847407452621"/>
      <name val="Arial"/>
      <family val="2"/>
    </font>
    <font>
      <b/>
      <sz val="12"/>
      <color theme="1" tint="0.14999847407452621"/>
      <name val="Arial"/>
      <family val="2"/>
    </font>
    <font>
      <b/>
      <vertAlign val="subscript"/>
      <sz val="12"/>
      <name val="Arial"/>
      <family val="2"/>
    </font>
    <font>
      <b/>
      <sz val="12"/>
      <name val="Symbol"/>
      <family val="1"/>
      <charset val="2"/>
    </font>
    <font>
      <sz val="8"/>
      <name val="Symbol"/>
      <family val="1"/>
      <charset val="2"/>
    </font>
    <font>
      <vertAlign val="subscript"/>
      <sz val="8"/>
      <name val="Arial"/>
      <family val="2"/>
    </font>
    <font>
      <b/>
      <sz val="10"/>
      <name val="Arial"/>
      <family val="2"/>
    </font>
    <font>
      <sz val="8"/>
      <color theme="1"/>
      <name val="Arial"/>
      <family val="2"/>
    </font>
    <font>
      <sz val="7"/>
      <name val="Arial$"/>
    </font>
    <font>
      <b/>
      <sz val="24"/>
      <color rgb="FFC00000"/>
      <name val="Arial"/>
      <family val="2"/>
    </font>
    <font>
      <sz val="24"/>
      <color rgb="FFC00000"/>
      <name val="Arial"/>
      <family val="2"/>
    </font>
    <font>
      <sz val="10"/>
      <name val="Arial"/>
      <family val="2"/>
    </font>
    <font>
      <sz val="7"/>
      <name val="Aarial"/>
    </font>
    <font>
      <vertAlign val="subscript"/>
      <sz val="7"/>
      <color theme="1"/>
      <name val="Arial"/>
      <family val="2"/>
    </font>
    <font>
      <vertAlign val="superscript"/>
      <sz val="7"/>
      <color theme="1"/>
      <name val="Arial"/>
      <family val="2"/>
    </font>
    <font>
      <b/>
      <sz val="7"/>
      <name val="Aarial"/>
    </font>
    <font>
      <vertAlign val="superscript"/>
      <sz val="7"/>
      <name val="Aarial"/>
    </font>
    <font>
      <sz val="11"/>
      <color theme="1"/>
      <name val="Calibri"/>
      <family val="2"/>
      <scheme val="minor"/>
    </font>
    <font>
      <sz val="9"/>
      <name val="Univers LT 45 Light"/>
    </font>
    <font>
      <b/>
      <sz val="11"/>
      <name val="Univers LT 45 Light"/>
    </font>
    <font>
      <b/>
      <sz val="9"/>
      <name val="Univers LT 45 Light"/>
    </font>
    <font>
      <sz val="9"/>
      <color rgb="FF006100"/>
      <name val="Univers LT 45 Light"/>
      <family val="2"/>
    </font>
    <font>
      <sz val="9"/>
      <color rgb="FF9C0006"/>
      <name val="Univers LT 45 Light"/>
      <family val="2"/>
    </font>
    <font>
      <b/>
      <sz val="10"/>
      <color theme="1"/>
      <name val="Arial"/>
      <family val="2"/>
    </font>
    <font>
      <sz val="7"/>
      <color theme="1"/>
      <name val="Calibri"/>
      <family val="2"/>
      <scheme val="minor"/>
    </font>
    <font>
      <sz val="4"/>
      <color rgb="FFC00000"/>
      <name val="Arial"/>
      <family val="2"/>
    </font>
    <font>
      <b/>
      <sz val="11"/>
      <name val="Arial Narrow"/>
      <family val="2"/>
    </font>
    <font>
      <b/>
      <sz val="11"/>
      <color theme="1"/>
      <name val="Arial"/>
      <family val="2"/>
    </font>
    <font>
      <sz val="9"/>
      <color theme="1"/>
      <name val="Arial"/>
      <family val="2"/>
    </font>
    <font>
      <sz val="11"/>
      <color theme="1"/>
      <name val="Arial"/>
      <family val="2"/>
    </font>
    <font>
      <b/>
      <sz val="9"/>
      <color theme="1"/>
      <name val="Arial Narrow"/>
      <family val="2"/>
    </font>
    <font>
      <sz val="9"/>
      <color theme="1"/>
      <name val="Arial Narrow"/>
      <family val="2"/>
    </font>
    <font>
      <b/>
      <sz val="8"/>
      <color theme="1"/>
      <name val="Arial Narrow"/>
      <family val="2"/>
    </font>
    <font>
      <b/>
      <sz val="10"/>
      <color rgb="FFFF0000"/>
      <name val="Arial"/>
      <family val="2"/>
    </font>
    <font>
      <sz val="8"/>
      <color theme="1"/>
      <name val="Arial Narrow"/>
      <family val="2"/>
    </font>
    <font>
      <b/>
      <sz val="10"/>
      <color theme="1"/>
      <name val="Arial Narrow"/>
      <family val="2"/>
    </font>
    <font>
      <sz val="7"/>
      <color indexed="8"/>
      <name val="Arial"/>
      <family val="2"/>
    </font>
    <font>
      <sz val="8"/>
      <name val="Arial Narrow"/>
      <family val="2"/>
    </font>
    <font>
      <b/>
      <sz val="8"/>
      <name val="Arial Narrow"/>
      <family val="2"/>
    </font>
    <font>
      <sz val="8"/>
      <color indexed="8"/>
      <name val="Arial Narrow"/>
      <family val="2"/>
    </font>
    <font>
      <b/>
      <sz val="16"/>
      <name val="Arial Narrow"/>
      <family val="2"/>
    </font>
    <font>
      <vertAlign val="subscript"/>
      <sz val="9"/>
      <color theme="1"/>
      <name val="Arial Narrow"/>
      <family val="2"/>
    </font>
    <font>
      <sz val="9"/>
      <color theme="1"/>
      <name val="Symbol"/>
      <family val="1"/>
      <charset val="2"/>
    </font>
    <font>
      <b/>
      <sz val="9"/>
      <color theme="1"/>
      <name val="Arial"/>
      <family val="2"/>
    </font>
    <font>
      <b/>
      <vertAlign val="subscript"/>
      <sz val="9"/>
      <color theme="1"/>
      <name val="Arial Narrow"/>
      <family val="2"/>
    </font>
    <font>
      <b/>
      <vertAlign val="subscript"/>
      <sz val="9"/>
      <color theme="1"/>
      <name val="Arial"/>
      <family val="2"/>
    </font>
    <font>
      <sz val="9"/>
      <color rgb="FFFF0000"/>
      <name val="Arial"/>
      <family val="2"/>
    </font>
    <font>
      <b/>
      <sz val="8"/>
      <color theme="1"/>
      <name val="Arial"/>
      <family val="2"/>
    </font>
    <font>
      <vertAlign val="subscript"/>
      <sz val="9"/>
      <color theme="1"/>
      <name val="Arial"/>
      <family val="2"/>
    </font>
    <font>
      <vertAlign val="subscript"/>
      <sz val="7"/>
      <name val="Arial Narrow"/>
      <family val="2"/>
    </font>
    <font>
      <sz val="11"/>
      <color theme="1"/>
      <name val="Symbol"/>
      <family val="1"/>
      <charset val="2"/>
    </font>
    <font>
      <vertAlign val="subscript"/>
      <sz val="11"/>
      <color theme="1"/>
      <name val="Arial Narrow"/>
      <family val="2"/>
    </font>
    <font>
      <vertAlign val="subscript"/>
      <sz val="11"/>
      <color theme="1"/>
      <name val="Calibri"/>
      <family val="2"/>
      <scheme val="minor"/>
    </font>
    <font>
      <b/>
      <sz val="11"/>
      <color theme="1"/>
      <name val="Calibri"/>
      <family val="2"/>
      <scheme val="minor"/>
    </font>
    <font>
      <sz val="10"/>
      <color theme="1"/>
      <name val="Arial"/>
      <family val="2"/>
    </font>
    <font>
      <b/>
      <sz val="20"/>
      <color theme="1"/>
      <name val="Arial"/>
      <family val="2"/>
    </font>
    <font>
      <sz val="11"/>
      <color theme="1"/>
      <name val="Calibri"/>
      <family val="2"/>
    </font>
    <font>
      <b/>
      <sz val="5"/>
      <color theme="1"/>
      <name val="Arial"/>
      <family val="2"/>
    </font>
    <font>
      <sz val="10"/>
      <color theme="1"/>
      <name val="Times New Roman"/>
      <family val="1"/>
    </font>
    <font>
      <b/>
      <sz val="11"/>
      <color rgb="FFFF0000"/>
      <name val="Calibri"/>
      <family val="2"/>
      <scheme val="minor"/>
    </font>
    <font>
      <sz val="9"/>
      <color theme="1"/>
      <name val="Calibri"/>
      <family val="2"/>
      <scheme val="minor"/>
    </font>
    <font>
      <sz val="12"/>
      <color theme="1"/>
      <name val="Calibri"/>
      <family val="2"/>
      <scheme val="minor"/>
    </font>
    <font>
      <sz val="11"/>
      <color theme="0"/>
      <name val="FuturaBT Book"/>
    </font>
    <font>
      <sz val="11"/>
      <color theme="1"/>
      <name val="FuturaBT Book"/>
    </font>
    <font>
      <b/>
      <sz val="11"/>
      <color theme="1"/>
      <name val="FuturaBT Book"/>
    </font>
    <font>
      <sz val="11"/>
      <color rgb="FF000000"/>
      <name val="FuturaBT Book"/>
    </font>
    <font>
      <sz val="11"/>
      <color rgb="FFFF0000"/>
      <name val="FuturaBT Book"/>
    </font>
    <font>
      <b/>
      <sz val="11"/>
      <color rgb="FF000000"/>
      <name val="Arial"/>
      <family val="2"/>
    </font>
    <font>
      <sz val="11"/>
      <color rgb="FFC00000"/>
      <name val="Arial"/>
      <family val="2"/>
    </font>
    <font>
      <sz val="12"/>
      <color rgb="FFC00000"/>
      <name val="Arial"/>
      <family val="2"/>
    </font>
    <font>
      <sz val="11"/>
      <color rgb="FFFF0000"/>
      <name val="Arial"/>
      <family val="2"/>
    </font>
    <font>
      <sz val="11"/>
      <color rgb="FF000000"/>
      <name val="Arial"/>
      <family val="2"/>
    </font>
    <font>
      <sz val="18"/>
      <color theme="0"/>
      <name val="Arial"/>
      <family val="2"/>
    </font>
    <font>
      <sz val="11"/>
      <color theme="0"/>
      <name val="Arial"/>
      <family val="2"/>
    </font>
    <font>
      <sz val="12"/>
      <color theme="1"/>
      <name val="Arial"/>
      <family val="2"/>
    </font>
    <font>
      <sz val="10"/>
      <name val="Helv"/>
    </font>
    <font>
      <b/>
      <sz val="12"/>
      <color indexed="12"/>
      <name val="Arial Narrow"/>
      <family val="2"/>
    </font>
    <font>
      <sz val="24"/>
      <color theme="1"/>
      <name val="Arial"/>
      <family val="2"/>
    </font>
    <font>
      <b/>
      <sz val="12"/>
      <color theme="1"/>
      <name val="Arial"/>
      <family val="2"/>
    </font>
    <font>
      <b/>
      <sz val="12"/>
      <color indexed="12"/>
      <name val="Arial"/>
      <family val="2"/>
    </font>
    <font>
      <b/>
      <sz val="14"/>
      <name val="Arial"/>
      <family val="2"/>
    </font>
    <font>
      <sz val="16"/>
      <color theme="1"/>
      <name val="Arial"/>
      <family val="2"/>
    </font>
    <font>
      <sz val="12"/>
      <name val="Arial"/>
      <family val="2"/>
    </font>
    <font>
      <b/>
      <sz val="12"/>
      <color rgb="FFC00000"/>
      <name val="Arial"/>
      <family val="2"/>
    </font>
    <font>
      <sz val="11"/>
      <name val="Arial"/>
      <family val="2"/>
    </font>
    <font>
      <sz val="12"/>
      <color theme="1"/>
      <name val="Calibri"/>
      <family val="2"/>
      <charset val="134"/>
      <scheme val="minor"/>
    </font>
    <font>
      <b/>
      <sz val="6"/>
      <color theme="1"/>
      <name val="Calibri"/>
      <family val="2"/>
      <scheme val="minor"/>
    </font>
    <font>
      <sz val="6"/>
      <color theme="1"/>
      <name val="Calibri"/>
      <family val="2"/>
      <scheme val="minor"/>
    </font>
    <font>
      <b/>
      <vertAlign val="superscript"/>
      <sz val="11"/>
      <color theme="1"/>
      <name val="Calibri"/>
      <family val="2"/>
      <scheme val="minor"/>
    </font>
    <font>
      <sz val="11"/>
      <color rgb="FFFF0000"/>
      <name val="Calibri"/>
      <family val="2"/>
      <scheme val="minor"/>
    </font>
    <font>
      <b/>
      <sz val="11"/>
      <color rgb="FFFF0000"/>
      <name val="Arial"/>
      <family val="2"/>
    </font>
    <font>
      <sz val="8"/>
      <color theme="1"/>
      <name val="FuturaBT Book"/>
    </font>
    <font>
      <b/>
      <sz val="14"/>
      <color rgb="FFFF0000"/>
      <name val="Calibri"/>
      <family val="2"/>
      <scheme val="minor"/>
    </font>
    <font>
      <sz val="12"/>
      <color theme="0"/>
      <name val="Arial"/>
      <family val="2"/>
    </font>
    <font>
      <vertAlign val="subscript"/>
      <sz val="11"/>
      <color theme="1"/>
      <name val="Arial"/>
      <family val="2"/>
    </font>
    <font>
      <sz val="9"/>
      <color rgb="FFFF00FF"/>
      <name val="Arial"/>
      <family val="2"/>
    </font>
    <font>
      <sz val="11"/>
      <color rgb="FFFF00FF"/>
      <name val="FuturaBT Book"/>
      <family val="2"/>
    </font>
    <font>
      <b/>
      <sz val="10"/>
      <color theme="1"/>
      <name val="FuturaBT Book"/>
    </font>
    <font>
      <sz val="11"/>
      <color rgb="FFC00000"/>
      <name val="FuturaBT Book"/>
      <family val="2"/>
    </font>
    <font>
      <sz val="11"/>
      <color theme="1"/>
      <name val="FuturaBT Book"/>
      <family val="2"/>
    </font>
    <font>
      <b/>
      <sz val="11"/>
      <color rgb="FFC00000"/>
      <name val="Arial"/>
      <family val="2"/>
    </font>
    <font>
      <vertAlign val="superscript"/>
      <sz val="10"/>
      <color theme="1"/>
      <name val="Arial"/>
      <family val="2"/>
    </font>
    <font>
      <b/>
      <sz val="14"/>
      <color theme="1"/>
      <name val="Arial"/>
      <family val="2"/>
    </font>
    <font>
      <vertAlign val="superscript"/>
      <sz val="9"/>
      <color theme="1"/>
      <name val="Arial"/>
      <family val="2"/>
    </font>
    <font>
      <b/>
      <vertAlign val="superscript"/>
      <sz val="9"/>
      <color theme="1"/>
      <name val="Arial"/>
      <family val="2"/>
    </font>
    <font>
      <b/>
      <u/>
      <sz val="12"/>
      <color rgb="FFFF0000"/>
      <name val="Arial"/>
      <family val="2"/>
    </font>
    <font>
      <sz val="11"/>
      <color theme="1"/>
      <name val="FuturaBT Medium"/>
      <family val="2"/>
    </font>
    <font>
      <b/>
      <sz val="9"/>
      <name val="Univers"/>
      <family val="2"/>
    </font>
    <font>
      <vertAlign val="subscript"/>
      <sz val="8"/>
      <name val="Arial Narrow"/>
      <family val="2"/>
    </font>
    <font>
      <sz val="8"/>
      <color rgb="FF00B050"/>
      <name val="Arial Narrow"/>
      <family val="2"/>
    </font>
    <font>
      <vertAlign val="subscript"/>
      <sz val="8"/>
      <name val="Symbol"/>
      <family val="1"/>
      <charset val="2"/>
    </font>
    <font>
      <b/>
      <vertAlign val="subscript"/>
      <sz val="11"/>
      <color theme="1"/>
      <name val="Calibri"/>
      <family val="2"/>
      <scheme val="minor"/>
    </font>
    <font>
      <b/>
      <sz val="11"/>
      <color theme="1"/>
      <name val="FuturaBT Book"/>
      <family val="2"/>
    </font>
    <font>
      <b/>
      <sz val="14"/>
      <color theme="1"/>
      <name val="FuturaBT Book"/>
      <family val="2"/>
    </font>
    <font>
      <sz val="14"/>
      <color theme="1"/>
      <name val="FuturaBT Book"/>
    </font>
    <font>
      <sz val="11"/>
      <color rgb="FF000000"/>
      <name val="FuturaBT Book"/>
      <family val="2"/>
    </font>
    <font>
      <b/>
      <sz val="11"/>
      <color theme="1"/>
      <name val="FuturaBT Medium"/>
      <family val="2"/>
    </font>
    <font>
      <b/>
      <sz val="11"/>
      <color rgb="FF000000"/>
      <name val="FuturaBT Book"/>
      <family val="2"/>
    </font>
    <font>
      <b/>
      <sz val="14"/>
      <color rgb="FFFF0000"/>
      <name val="Arial"/>
      <family val="2"/>
    </font>
    <font>
      <b/>
      <sz val="12"/>
      <color rgb="FFFF0000"/>
      <name val="Arial"/>
      <family val="2"/>
    </font>
    <font>
      <sz val="16"/>
      <color theme="0"/>
      <name val="Arial"/>
      <family val="2"/>
    </font>
    <font>
      <sz val="14"/>
      <color theme="0"/>
      <name val="Arial"/>
      <family val="2"/>
    </font>
    <font>
      <sz val="14"/>
      <color theme="1"/>
      <name val="Arial"/>
      <family val="2"/>
    </font>
    <font>
      <b/>
      <vertAlign val="subscript"/>
      <sz val="11"/>
      <color theme="1"/>
      <name val="Arial"/>
      <family val="2"/>
    </font>
    <font>
      <b/>
      <sz val="14"/>
      <color theme="1"/>
      <name val="Calibri"/>
      <family val="2"/>
      <scheme val="minor"/>
    </font>
    <font>
      <sz val="12"/>
      <name val="Arial Narrow"/>
      <family val="2"/>
    </font>
    <font>
      <sz val="8"/>
      <color rgb="FFFF0000"/>
      <name val="Arial"/>
      <family val="2"/>
    </font>
    <font>
      <sz val="9"/>
      <color rgb="FF000000"/>
      <name val="Segoe UI"/>
      <family val="2"/>
      <charset val="1"/>
    </font>
  </fonts>
  <fills count="44">
    <fill>
      <patternFill patternType="none"/>
    </fill>
    <fill>
      <patternFill patternType="gray125"/>
    </fill>
    <fill>
      <patternFill patternType="solid">
        <fgColor theme="9" tint="0.39997558519241921"/>
        <bgColor indexed="64"/>
      </patternFill>
    </fill>
    <fill>
      <patternFill patternType="solid">
        <fgColor theme="3" tint="0.59999389629810485"/>
        <bgColor indexed="64"/>
      </patternFill>
    </fill>
    <fill>
      <patternFill patternType="solid">
        <fgColor theme="6" tint="0.39997558519241921"/>
        <bgColor indexed="64"/>
      </patternFill>
    </fill>
    <fill>
      <patternFill patternType="solid">
        <fgColor theme="0" tint="-0.14999847407452621"/>
        <bgColor indexed="64"/>
      </patternFill>
    </fill>
    <fill>
      <patternFill patternType="solid">
        <fgColor theme="3" tint="0.79998168889431442"/>
        <bgColor indexed="64"/>
      </patternFill>
    </fill>
    <fill>
      <patternFill patternType="solid">
        <fgColor theme="2" tint="-9.9978637043366805E-2"/>
        <bgColor indexed="64"/>
      </patternFill>
    </fill>
    <fill>
      <patternFill patternType="solid">
        <fgColor rgb="FFE6B9B8"/>
        <bgColor rgb="FF000000"/>
      </patternFill>
    </fill>
    <fill>
      <patternFill patternType="solid">
        <fgColor theme="0" tint="-4.9989318521683403E-2"/>
        <bgColor indexed="64"/>
      </patternFill>
    </fill>
    <fill>
      <patternFill patternType="solid">
        <fgColor theme="4" tint="0.59999389629810485"/>
        <bgColor indexed="64"/>
      </patternFill>
    </fill>
    <fill>
      <patternFill patternType="solid">
        <fgColor theme="8" tint="0.39997558519241921"/>
        <bgColor indexed="64"/>
      </patternFill>
    </fill>
    <fill>
      <patternFill patternType="solid">
        <fgColor theme="7" tint="0.59999389629810485"/>
        <bgColor indexed="64"/>
      </patternFill>
    </fill>
    <fill>
      <patternFill patternType="solid">
        <fgColor theme="9" tint="0.59999389629810485"/>
        <bgColor indexed="64"/>
      </patternFill>
    </fill>
    <fill>
      <patternFill patternType="solid">
        <fgColor theme="2" tint="-0.249977111117893"/>
        <bgColor indexed="64"/>
      </patternFill>
    </fill>
    <fill>
      <patternFill patternType="solid">
        <fgColor theme="5" tint="0.39997558519241921"/>
        <bgColor indexed="64"/>
      </patternFill>
    </fill>
    <fill>
      <patternFill patternType="solid">
        <fgColor theme="0" tint="-4.9989318521683403E-2"/>
        <bgColor rgb="FF000000"/>
      </patternFill>
    </fill>
    <fill>
      <patternFill patternType="solid">
        <fgColor theme="6" tint="0.59999389629810485"/>
        <bgColor indexed="64"/>
      </patternFill>
    </fill>
    <fill>
      <patternFill patternType="solid">
        <fgColor theme="8" tint="0.59999389629810485"/>
        <bgColor indexed="64"/>
      </patternFill>
    </fill>
    <fill>
      <patternFill patternType="solid">
        <fgColor rgb="FFFDF2A1"/>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2" tint="-0.499984740745262"/>
        <bgColor indexed="64"/>
      </patternFill>
    </fill>
    <fill>
      <patternFill patternType="solid">
        <fgColor rgb="FF92D050"/>
        <bgColor indexed="64"/>
      </patternFill>
    </fill>
    <fill>
      <patternFill patternType="solid">
        <fgColor rgb="FF92D050"/>
        <bgColor rgb="FF000000"/>
      </patternFill>
    </fill>
    <fill>
      <patternFill patternType="solid">
        <fgColor rgb="FFFFC000"/>
        <bgColor indexed="64"/>
      </patternFill>
    </fill>
    <fill>
      <patternFill patternType="solid">
        <fgColor rgb="FFC6EFCE"/>
      </patternFill>
    </fill>
    <fill>
      <patternFill patternType="solid">
        <fgColor rgb="FFFFC7CE"/>
      </patternFill>
    </fill>
    <fill>
      <patternFill patternType="solid">
        <fgColor theme="0"/>
        <bgColor indexed="64"/>
      </patternFill>
    </fill>
    <fill>
      <patternFill patternType="solid">
        <fgColor theme="6" tint="0.79998168889431442"/>
        <bgColor indexed="64"/>
      </patternFill>
    </fill>
    <fill>
      <patternFill patternType="solid">
        <fgColor theme="5" tint="0.79998168889431442"/>
        <bgColor indexed="64"/>
      </patternFill>
    </fill>
    <fill>
      <patternFill patternType="gray125">
        <bgColor rgb="FFE5E5E5"/>
      </patternFill>
    </fill>
    <fill>
      <patternFill patternType="solid">
        <fgColor rgb="FFFFFF00"/>
        <bgColor indexed="64"/>
      </patternFill>
    </fill>
    <fill>
      <patternFill patternType="solid">
        <fgColor theme="1"/>
        <bgColor indexed="64"/>
      </patternFill>
    </fill>
    <fill>
      <patternFill patternType="solid">
        <fgColor theme="2"/>
        <bgColor indexed="64"/>
      </patternFill>
    </fill>
    <fill>
      <patternFill patternType="solid">
        <fgColor rgb="FFD0EBB3"/>
        <bgColor indexed="64"/>
      </patternFill>
    </fill>
    <fill>
      <patternFill patternType="solid">
        <fgColor rgb="FFFFFFCC"/>
        <bgColor indexed="64"/>
      </patternFill>
    </fill>
    <fill>
      <patternFill patternType="solid">
        <fgColor indexed="26"/>
        <bgColor indexed="64"/>
      </patternFill>
    </fill>
    <fill>
      <patternFill patternType="solid">
        <fgColor rgb="FFFF7C80"/>
        <bgColor indexed="64"/>
      </patternFill>
    </fill>
    <fill>
      <patternFill patternType="solid">
        <fgColor rgb="FFFEF29A"/>
        <bgColor indexed="64"/>
      </patternFill>
    </fill>
    <fill>
      <patternFill patternType="solid">
        <fgColor rgb="FFABE9FF"/>
        <bgColor indexed="64"/>
      </patternFill>
    </fill>
    <fill>
      <patternFill patternType="solid">
        <fgColor rgb="FFFF9999"/>
        <bgColor indexed="64"/>
      </patternFill>
    </fill>
    <fill>
      <patternFill patternType="solid">
        <fgColor theme="4" tint="0.39997558519241921"/>
        <bgColor indexed="64"/>
      </patternFill>
    </fill>
    <fill>
      <patternFill patternType="solid">
        <fgColor theme="0" tint="-0.249977111117893"/>
        <bgColor indexed="64"/>
      </patternFill>
    </fill>
  </fills>
  <borders count="96">
    <border>
      <left/>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
      <left/>
      <right/>
      <top style="thin">
        <color indexed="64"/>
      </top>
      <bottom/>
      <diagonal/>
    </border>
    <border>
      <left style="hair">
        <color auto="1"/>
      </left>
      <right style="hair">
        <color auto="1"/>
      </right>
      <top style="hair">
        <color auto="1"/>
      </top>
      <bottom style="hair">
        <color auto="1"/>
      </bottom>
      <diagonal/>
    </border>
    <border>
      <left style="hair">
        <color auto="1"/>
      </left>
      <right style="hair">
        <color auto="1"/>
      </right>
      <top style="hair">
        <color auto="1"/>
      </top>
      <bottom/>
      <diagonal/>
    </border>
    <border>
      <left/>
      <right/>
      <top style="hair">
        <color auto="1"/>
      </top>
      <bottom/>
      <diagonal/>
    </border>
    <border>
      <left/>
      <right/>
      <top/>
      <bottom style="hair">
        <color auto="1"/>
      </bottom>
      <diagonal/>
    </border>
    <border>
      <left/>
      <right/>
      <top style="hair">
        <color auto="1"/>
      </top>
      <bottom style="hair">
        <color auto="1"/>
      </bottom>
      <diagonal/>
    </border>
    <border>
      <left style="hair">
        <color indexed="64"/>
      </left>
      <right/>
      <top style="hair">
        <color indexed="64"/>
      </top>
      <bottom/>
      <diagonal/>
    </border>
    <border>
      <left style="hair">
        <color auto="1"/>
      </left>
      <right/>
      <top/>
      <bottom style="hair">
        <color auto="1"/>
      </bottom>
      <diagonal/>
    </border>
    <border>
      <left/>
      <right style="hair">
        <color auto="1"/>
      </right>
      <top style="hair">
        <color auto="1"/>
      </top>
      <bottom/>
      <diagonal/>
    </border>
    <border>
      <left/>
      <right style="hair">
        <color auto="1"/>
      </right>
      <top/>
      <bottom style="hair">
        <color auto="1"/>
      </bottom>
      <diagonal/>
    </border>
    <border>
      <left style="hair">
        <color indexed="64"/>
      </left>
      <right/>
      <top/>
      <bottom/>
      <diagonal/>
    </border>
    <border>
      <left/>
      <right style="hair">
        <color indexed="64"/>
      </right>
      <top/>
      <bottom/>
      <diagonal/>
    </border>
    <border>
      <left/>
      <right/>
      <top/>
      <bottom style="medium">
        <color indexed="64"/>
      </bottom>
      <diagonal/>
    </border>
    <border>
      <left/>
      <right style="medium">
        <color auto="1"/>
      </right>
      <top/>
      <bottom/>
      <diagonal/>
    </border>
    <border>
      <left/>
      <right style="medium">
        <color auto="1"/>
      </right>
      <top/>
      <bottom style="medium">
        <color indexed="64"/>
      </bottom>
      <diagonal/>
    </border>
    <border>
      <left style="medium">
        <color auto="1"/>
      </left>
      <right/>
      <top/>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right/>
      <top/>
      <bottom style="double">
        <color auto="1"/>
      </bottom>
      <diagonal/>
    </border>
    <border>
      <left/>
      <right style="double">
        <color auto="1"/>
      </right>
      <top/>
      <bottom style="double">
        <color auto="1"/>
      </bottom>
      <diagonal/>
    </border>
    <border>
      <left/>
      <right style="medium">
        <color auto="1"/>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medium">
        <color indexed="64"/>
      </left>
      <right style="thin">
        <color indexed="64"/>
      </right>
      <top/>
      <bottom/>
      <diagonal/>
    </border>
    <border>
      <left style="medium">
        <color indexed="64"/>
      </left>
      <right/>
      <top/>
      <bottom style="medium">
        <color indexed="64"/>
      </bottom>
      <diagonal/>
    </border>
    <border>
      <left style="medium">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hair">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top/>
      <bottom style="hair">
        <color indexed="64"/>
      </bottom>
      <diagonal/>
    </border>
    <border>
      <left/>
      <right style="medium">
        <color indexed="64"/>
      </right>
      <top/>
      <bottom style="hair">
        <color indexed="64"/>
      </bottom>
      <diagonal/>
    </border>
    <border>
      <left style="medium">
        <color indexed="64"/>
      </left>
      <right/>
      <top style="hair">
        <color indexed="64"/>
      </top>
      <bottom style="hair">
        <color indexed="64"/>
      </bottom>
      <diagonal/>
    </border>
    <border>
      <left/>
      <right style="medium">
        <color indexed="64"/>
      </right>
      <top style="hair">
        <color indexed="64"/>
      </top>
      <bottom style="hair">
        <color indexed="64"/>
      </bottom>
      <diagonal/>
    </border>
    <border>
      <left style="medium">
        <color indexed="64"/>
      </left>
      <right/>
      <top style="hair">
        <color indexed="64"/>
      </top>
      <bottom style="thin">
        <color auto="1"/>
      </bottom>
      <diagonal/>
    </border>
    <border>
      <left/>
      <right style="medium">
        <color indexed="64"/>
      </right>
      <top style="hair">
        <color indexed="64"/>
      </top>
      <bottom style="thin">
        <color auto="1"/>
      </bottom>
      <diagonal/>
    </border>
    <border>
      <left/>
      <right/>
      <top style="hair">
        <color indexed="64"/>
      </top>
      <bottom style="thin">
        <color auto="1"/>
      </bottom>
      <diagonal/>
    </border>
    <border>
      <left style="thin">
        <color auto="1"/>
      </left>
      <right style="medium">
        <color auto="1"/>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hair">
        <color indexed="12"/>
      </left>
      <right style="hair">
        <color indexed="12"/>
      </right>
      <top style="hair">
        <color indexed="12"/>
      </top>
      <bottom style="hair">
        <color indexed="12"/>
      </bottom>
      <diagonal/>
    </border>
    <border>
      <left style="hair">
        <color auto="1"/>
      </left>
      <right style="hair">
        <color auto="1"/>
      </right>
      <top style="hair">
        <color auto="1"/>
      </top>
      <bottom style="hair">
        <color auto="1"/>
      </bottom>
      <diagonal/>
    </border>
    <border>
      <left style="double">
        <color auto="1"/>
      </left>
      <right style="thin">
        <color indexed="64"/>
      </right>
      <top style="thin">
        <color indexed="64"/>
      </top>
      <bottom style="thin">
        <color indexed="64"/>
      </bottom>
      <diagonal/>
    </border>
    <border>
      <left style="double">
        <color auto="1"/>
      </left>
      <right/>
      <top style="thin">
        <color indexed="64"/>
      </top>
      <bottom style="thin">
        <color indexed="64"/>
      </bottom>
      <diagonal/>
    </border>
    <border>
      <left style="thin">
        <color indexed="64"/>
      </left>
      <right style="double">
        <color auto="1"/>
      </right>
      <top style="thin">
        <color indexed="64"/>
      </top>
      <bottom style="thin">
        <color indexed="64"/>
      </bottom>
      <diagonal/>
    </border>
    <border>
      <left/>
      <right style="medium">
        <color auto="1"/>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thin">
        <color indexed="64"/>
      </left>
      <right style="medium">
        <color indexed="64"/>
      </right>
      <top/>
      <bottom style="thin">
        <color indexed="64"/>
      </bottom>
      <diagonal/>
    </border>
    <border>
      <left style="double">
        <color auto="1"/>
      </left>
      <right/>
      <top style="thin">
        <color indexed="64"/>
      </top>
      <bottom/>
      <diagonal/>
    </border>
    <border>
      <left style="medium">
        <color indexed="64"/>
      </left>
      <right/>
      <top style="thin">
        <color indexed="64"/>
      </top>
      <bottom/>
      <diagonal/>
    </border>
    <border>
      <left style="double">
        <color auto="1"/>
      </left>
      <right/>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right style="thin">
        <color indexed="64"/>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top style="medium">
        <color indexed="64"/>
      </top>
      <bottom style="thin">
        <color indexed="64"/>
      </bottom>
      <diagonal/>
    </border>
    <border>
      <left style="hair">
        <color indexed="12"/>
      </left>
      <right/>
      <top style="hair">
        <color indexed="12"/>
      </top>
      <bottom style="hair">
        <color indexed="12"/>
      </bottom>
      <diagonal/>
    </border>
    <border>
      <left/>
      <right/>
      <top style="hair">
        <color indexed="12"/>
      </top>
      <bottom style="hair">
        <color indexed="12"/>
      </bottom>
      <diagonal/>
    </border>
    <border>
      <left/>
      <right style="hair">
        <color indexed="12"/>
      </right>
      <top style="hair">
        <color indexed="12"/>
      </top>
      <bottom style="hair">
        <color indexed="12"/>
      </bottom>
      <diagonal/>
    </border>
    <border>
      <left/>
      <right style="hair">
        <color indexed="12"/>
      </right>
      <top/>
      <bottom/>
      <diagonal/>
    </border>
  </borders>
  <cellStyleXfs count="49">
    <xf numFmtId="0" fontId="0" fillId="0" borderId="0"/>
    <xf numFmtId="0" fontId="3" fillId="0" borderId="0"/>
    <xf numFmtId="0" fontId="4" fillId="0" borderId="0"/>
    <xf numFmtId="0" fontId="8" fillId="0" borderId="14"/>
    <xf numFmtId="165" fontId="3" fillId="0" borderId="0" applyFont="0" applyFill="0" applyBorder="0" applyAlignment="0" applyProtection="0"/>
    <xf numFmtId="0" fontId="14" fillId="0" borderId="0" applyNumberFormat="0" applyFill="0" applyBorder="0" applyAlignment="0" applyProtection="0">
      <alignment vertical="top"/>
      <protection locked="0"/>
    </xf>
    <xf numFmtId="165" fontId="38" fillId="0" borderId="0" applyFont="0" applyFill="0" applyBorder="0" applyAlignment="0" applyProtection="0"/>
    <xf numFmtId="0" fontId="38" fillId="0" borderId="0"/>
    <xf numFmtId="0" fontId="44" fillId="0" borderId="0"/>
    <xf numFmtId="0" fontId="45" fillId="0" borderId="0" applyNumberFormat="0"/>
    <xf numFmtId="0" fontId="45" fillId="0" borderId="13" applyNumberFormat="0" applyAlignment="0">
      <alignment horizontal="right" vertical="top"/>
    </xf>
    <xf numFmtId="0" fontId="45" fillId="0" borderId="20" applyAlignment="0">
      <alignment vertical="top"/>
    </xf>
    <xf numFmtId="0" fontId="46" fillId="0" borderId="0">
      <alignment horizontal="left"/>
    </xf>
    <xf numFmtId="0" fontId="47" fillId="0" borderId="0">
      <alignment horizontal="left"/>
    </xf>
    <xf numFmtId="0" fontId="48" fillId="26" borderId="0" applyNumberFormat="0" applyBorder="0" applyAlignment="0" applyProtection="0"/>
    <xf numFmtId="0" fontId="49" fillId="27" borderId="0" applyNumberFormat="0" applyBorder="0" applyAlignment="0" applyProtection="0"/>
    <xf numFmtId="0" fontId="44" fillId="0" borderId="0"/>
    <xf numFmtId="0" fontId="45" fillId="0" borderId="0" applyNumberFormat="0"/>
    <xf numFmtId="0" fontId="3" fillId="0" borderId="0"/>
    <xf numFmtId="0" fontId="53" fillId="0" borderId="13">
      <alignment vertical="center"/>
    </xf>
    <xf numFmtId="49" fontId="62" fillId="0" borderId="0"/>
    <xf numFmtId="49" fontId="62" fillId="0" borderId="0">
      <protection hidden="1"/>
    </xf>
    <xf numFmtId="49" fontId="57" fillId="0" borderId="0">
      <protection hidden="1"/>
    </xf>
    <xf numFmtId="49" fontId="58" fillId="0" borderId="0"/>
    <xf numFmtId="49" fontId="59" fillId="0" borderId="0">
      <protection hidden="1"/>
    </xf>
    <xf numFmtId="49" fontId="57" fillId="0" borderId="0">
      <protection hidden="1"/>
    </xf>
    <xf numFmtId="49" fontId="61" fillId="0" borderId="0"/>
    <xf numFmtId="4" fontId="55" fillId="0" borderId="0">
      <alignment horizontal="left" vertical="center"/>
    </xf>
    <xf numFmtId="4" fontId="61" fillId="0" borderId="0">
      <alignment horizontal="center" vertical="center"/>
    </xf>
    <xf numFmtId="0" fontId="38" fillId="0" borderId="0"/>
    <xf numFmtId="166" fontId="45" fillId="0" borderId="0" applyFont="0" applyFill="0" applyBorder="0" applyAlignment="0" applyProtection="0"/>
    <xf numFmtId="0" fontId="38" fillId="0" borderId="0"/>
    <xf numFmtId="0" fontId="45" fillId="0" borderId="0" applyNumberFormat="0"/>
    <xf numFmtId="0" fontId="45" fillId="0" borderId="0" applyNumberFormat="0"/>
    <xf numFmtId="0" fontId="45" fillId="0" borderId="0" applyNumberFormat="0"/>
    <xf numFmtId="0" fontId="45" fillId="0" borderId="0" applyNumberFormat="0"/>
    <xf numFmtId="0" fontId="45" fillId="0" borderId="0" applyNumberFormat="0"/>
    <xf numFmtId="0" fontId="45" fillId="0" borderId="0" applyNumberFormat="0"/>
    <xf numFmtId="0" fontId="45" fillId="0" borderId="0" applyNumberFormat="0"/>
    <xf numFmtId="0" fontId="44" fillId="0" borderId="0"/>
    <xf numFmtId="0" fontId="45" fillId="0" borderId="13" applyNumberFormat="0" applyAlignment="0">
      <alignment horizontal="right" vertical="top"/>
    </xf>
    <xf numFmtId="0" fontId="45" fillId="0" borderId="20" applyAlignment="0">
      <alignment vertical="top"/>
    </xf>
    <xf numFmtId="0" fontId="88" fillId="0" borderId="0"/>
    <xf numFmtId="0" fontId="102" fillId="0" borderId="0"/>
    <xf numFmtId="9" fontId="112" fillId="0" borderId="0" applyFont="0" applyFill="0" applyBorder="0" applyAlignment="0" applyProtection="0"/>
    <xf numFmtId="177" fontId="91" fillId="0" borderId="12">
      <alignment horizontal="right"/>
    </xf>
    <xf numFmtId="164" fontId="44" fillId="0" borderId="0" applyFont="0" applyFill="0" applyBorder="0" applyAlignment="0" applyProtection="0"/>
    <xf numFmtId="9" fontId="44" fillId="0" borderId="0" applyFont="0" applyFill="0" applyBorder="0" applyAlignment="0" applyProtection="0"/>
    <xf numFmtId="177" fontId="139" fillId="0" borderId="12">
      <alignment horizontal="right"/>
    </xf>
  </cellStyleXfs>
  <cellXfs count="1682">
    <xf numFmtId="0" fontId="0" fillId="0" borderId="0" xfId="0"/>
    <xf numFmtId="0" fontId="6" fillId="0" borderId="0" xfId="0" applyFont="1" applyAlignment="1">
      <alignment vertical="center"/>
    </xf>
    <xf numFmtId="0" fontId="5" fillId="0" borderId="14" xfId="0" applyFont="1" applyBorder="1" applyAlignment="1">
      <alignment vertical="center"/>
    </xf>
    <xf numFmtId="0" fontId="5" fillId="0" borderId="0" xfId="0" applyFont="1" applyAlignment="1">
      <alignment horizontal="center" vertical="center"/>
    </xf>
    <xf numFmtId="0" fontId="5" fillId="0" borderId="0" xfId="0" applyFont="1" applyAlignment="1">
      <alignment vertical="center"/>
    </xf>
    <xf numFmtId="0" fontId="5" fillId="9" borderId="9" xfId="0" applyFont="1" applyFill="1" applyBorder="1" applyAlignment="1">
      <alignment vertical="center"/>
    </xf>
    <xf numFmtId="0" fontId="6" fillId="0" borderId="15" xfId="0" applyFont="1" applyBorder="1" applyAlignment="1">
      <alignment horizontal="center" vertical="center"/>
    </xf>
    <xf numFmtId="0" fontId="6" fillId="0" borderId="4" xfId="0" applyFont="1" applyBorder="1" applyAlignment="1">
      <alignment horizontal="center" vertical="center"/>
    </xf>
    <xf numFmtId="0" fontId="5" fillId="9" borderId="10" xfId="0" applyFont="1" applyFill="1" applyBorder="1" applyAlignment="1">
      <alignment vertical="center"/>
    </xf>
    <xf numFmtId="0" fontId="5" fillId="9" borderId="12" xfId="0" applyFont="1" applyFill="1" applyBorder="1" applyAlignment="1">
      <alignment horizontal="center" vertical="center"/>
    </xf>
    <xf numFmtId="0" fontId="5" fillId="0" borderId="3" xfId="0" applyFont="1" applyBorder="1" applyAlignment="1">
      <alignment horizontal="center" vertical="center"/>
    </xf>
    <xf numFmtId="0" fontId="5" fillId="9" borderId="4" xfId="0" applyFont="1" applyFill="1" applyBorder="1" applyAlignment="1">
      <alignment horizontal="center" vertical="center"/>
    </xf>
    <xf numFmtId="0" fontId="5" fillId="0" borderId="9" xfId="0" applyFont="1" applyBorder="1" applyAlignment="1">
      <alignment vertical="center"/>
    </xf>
    <xf numFmtId="0" fontId="5" fillId="0" borderId="5" xfId="0" applyFont="1" applyBorder="1" applyAlignment="1">
      <alignment horizontal="center" vertical="center"/>
    </xf>
    <xf numFmtId="0" fontId="5" fillId="0" borderId="10" xfId="0" applyFont="1" applyBorder="1" applyAlignment="1">
      <alignment vertical="center"/>
    </xf>
    <xf numFmtId="0" fontId="5" fillId="9" borderId="6" xfId="0" applyFont="1" applyFill="1" applyBorder="1" applyAlignment="1">
      <alignment horizontal="center" vertical="center"/>
    </xf>
    <xf numFmtId="0" fontId="5" fillId="0" borderId="7" xfId="0" applyFont="1" applyBorder="1" applyAlignment="1">
      <alignment horizontal="center" vertical="center"/>
    </xf>
    <xf numFmtId="0" fontId="5" fillId="9" borderId="8" xfId="0" applyFont="1" applyFill="1" applyBorder="1" applyAlignment="1">
      <alignment horizontal="center" vertical="center"/>
    </xf>
    <xf numFmtId="0" fontId="5" fillId="0" borderId="5" xfId="0" applyFont="1" applyBorder="1" applyAlignment="1">
      <alignment vertical="center"/>
    </xf>
    <xf numFmtId="0" fontId="6" fillId="9" borderId="3" xfId="0" applyFont="1" applyFill="1" applyBorder="1" applyAlignment="1">
      <alignment vertical="center"/>
    </xf>
    <xf numFmtId="0" fontId="5" fillId="9" borderId="15" xfId="0" applyFont="1" applyFill="1" applyBorder="1" applyAlignment="1">
      <alignment vertical="center"/>
    </xf>
    <xf numFmtId="0" fontId="5" fillId="9" borderId="4" xfId="0" applyFont="1" applyFill="1" applyBorder="1" applyAlignment="1">
      <alignment vertical="center"/>
    </xf>
    <xf numFmtId="0" fontId="5" fillId="9" borderId="0" xfId="0" applyFont="1" applyFill="1" applyAlignment="1">
      <alignment vertical="center"/>
    </xf>
    <xf numFmtId="0" fontId="5" fillId="9" borderId="6" xfId="0" applyFont="1" applyFill="1" applyBorder="1" applyAlignment="1">
      <alignment vertical="center"/>
    </xf>
    <xf numFmtId="0" fontId="5" fillId="9" borderId="7" xfId="0" applyFont="1" applyFill="1" applyBorder="1" applyAlignment="1">
      <alignment vertical="center"/>
    </xf>
    <xf numFmtId="0" fontId="5" fillId="9" borderId="14" xfId="0" applyFont="1" applyFill="1" applyBorder="1" applyAlignment="1">
      <alignment vertical="center"/>
    </xf>
    <xf numFmtId="0" fontId="5" fillId="9" borderId="8" xfId="0" applyFont="1" applyFill="1" applyBorder="1" applyAlignment="1">
      <alignment vertical="center"/>
    </xf>
    <xf numFmtId="0" fontId="5" fillId="9" borderId="9" xfId="0" applyFont="1" applyFill="1" applyBorder="1" applyAlignment="1">
      <alignment horizontal="center" vertical="center"/>
    </xf>
    <xf numFmtId="0" fontId="5" fillId="9" borderId="11" xfId="0" applyFont="1" applyFill="1" applyBorder="1" applyAlignment="1">
      <alignment vertical="center"/>
    </xf>
    <xf numFmtId="0" fontId="5" fillId="0" borderId="3" xfId="0" applyFont="1" applyBorder="1" applyAlignment="1">
      <alignment vertical="center"/>
    </xf>
    <xf numFmtId="0" fontId="5" fillId="0" borderId="15" xfId="0" applyFont="1" applyBorder="1" applyAlignment="1">
      <alignment vertical="center"/>
    </xf>
    <xf numFmtId="0" fontId="5" fillId="0" borderId="4" xfId="0" applyFont="1" applyBorder="1" applyAlignment="1">
      <alignment vertical="center"/>
    </xf>
    <xf numFmtId="0" fontId="5" fillId="0" borderId="0" xfId="1" applyFont="1" applyAlignment="1">
      <alignment vertical="center"/>
    </xf>
    <xf numFmtId="0" fontId="5" fillId="0" borderId="6" xfId="0" applyFont="1" applyBorder="1" applyAlignment="1">
      <alignment vertical="center"/>
    </xf>
    <xf numFmtId="0" fontId="5" fillId="0" borderId="7" xfId="0" applyFont="1" applyBorder="1" applyAlignment="1">
      <alignment vertical="center"/>
    </xf>
    <xf numFmtId="0" fontId="5" fillId="0" borderId="8" xfId="0" applyFont="1" applyBorder="1" applyAlignment="1">
      <alignment vertical="center"/>
    </xf>
    <xf numFmtId="0" fontId="7" fillId="0" borderId="0" xfId="0" applyFont="1" applyAlignment="1">
      <alignment horizontal="right" vertical="center"/>
    </xf>
    <xf numFmtId="3" fontId="5" fillId="0" borderId="5" xfId="0" applyNumberFormat="1" applyFont="1" applyBorder="1" applyAlignment="1">
      <alignment vertical="center"/>
    </xf>
    <xf numFmtId="3" fontId="5" fillId="0" borderId="6" xfId="0" applyNumberFormat="1" applyFont="1" applyBorder="1" applyAlignment="1">
      <alignment vertical="center"/>
    </xf>
    <xf numFmtId="3" fontId="5" fillId="0" borderId="10" xfId="0" applyNumberFormat="1" applyFont="1" applyBorder="1" applyAlignment="1">
      <alignment vertical="center"/>
    </xf>
    <xf numFmtId="0" fontId="5" fillId="0" borderId="0" xfId="0" applyFont="1" applyAlignment="1">
      <alignment horizontal="right" vertical="center" wrapText="1"/>
    </xf>
    <xf numFmtId="167" fontId="5" fillId="0" borderId="6" xfId="0" applyNumberFormat="1" applyFont="1" applyBorder="1" applyAlignment="1">
      <alignment vertical="center" wrapText="1"/>
    </xf>
    <xf numFmtId="3" fontId="5" fillId="0" borderId="5" xfId="0" applyNumberFormat="1" applyFont="1" applyBorder="1" applyAlignment="1">
      <alignment vertical="center" wrapText="1"/>
    </xf>
    <xf numFmtId="3" fontId="5" fillId="0" borderId="6" xfId="0" applyNumberFormat="1" applyFont="1" applyBorder="1" applyAlignment="1">
      <alignment vertical="center" wrapText="1"/>
    </xf>
    <xf numFmtId="0" fontId="5" fillId="10" borderId="12" xfId="0" applyFont="1" applyFill="1" applyBorder="1" applyAlignment="1">
      <alignment vertical="center"/>
    </xf>
    <xf numFmtId="0" fontId="5" fillId="10" borderId="12" xfId="0" applyFont="1" applyFill="1" applyBorder="1" applyAlignment="1">
      <alignment horizontal="right" vertical="center" wrapText="1"/>
    </xf>
    <xf numFmtId="0" fontId="5" fillId="10" borderId="12" xfId="0" applyFont="1" applyFill="1" applyBorder="1" applyAlignment="1">
      <alignment horizontal="right" vertical="center"/>
    </xf>
    <xf numFmtId="0" fontId="5" fillId="0" borderId="12" xfId="0" applyFont="1" applyBorder="1" applyAlignment="1">
      <alignment vertical="center"/>
    </xf>
    <xf numFmtId="169" fontId="5" fillId="0" borderId="12" xfId="0" applyNumberFormat="1" applyFont="1" applyBorder="1" applyAlignment="1">
      <alignment vertical="center"/>
    </xf>
    <xf numFmtId="0" fontId="5" fillId="9" borderId="12" xfId="0" applyFont="1" applyFill="1" applyBorder="1" applyAlignment="1">
      <alignment vertical="center"/>
    </xf>
    <xf numFmtId="3" fontId="5" fillId="9" borderId="12" xfId="0" applyNumberFormat="1" applyFont="1" applyFill="1" applyBorder="1" applyAlignment="1">
      <alignment vertical="center"/>
    </xf>
    <xf numFmtId="169" fontId="5" fillId="9" borderId="12" xfId="0" applyNumberFormat="1" applyFont="1" applyFill="1" applyBorder="1" applyAlignment="1">
      <alignment vertical="center"/>
    </xf>
    <xf numFmtId="4" fontId="5" fillId="0" borderId="0" xfId="0" applyNumberFormat="1" applyFont="1" applyAlignment="1">
      <alignment horizontal="center" vertical="center"/>
    </xf>
    <xf numFmtId="0" fontId="5" fillId="9" borderId="3" xfId="0" applyFont="1" applyFill="1" applyBorder="1" applyAlignment="1">
      <alignment vertical="center"/>
    </xf>
    <xf numFmtId="4" fontId="5" fillId="9" borderId="15" xfId="0" applyNumberFormat="1" applyFont="1" applyFill="1" applyBorder="1" applyAlignment="1">
      <alignment horizontal="center" vertical="center"/>
    </xf>
    <xf numFmtId="167" fontId="5" fillId="9" borderId="15" xfId="0" applyNumberFormat="1" applyFont="1" applyFill="1" applyBorder="1" applyAlignment="1">
      <alignment vertical="center"/>
    </xf>
    <xf numFmtId="3" fontId="5" fillId="9" borderId="15" xfId="0" applyNumberFormat="1" applyFont="1" applyFill="1" applyBorder="1" applyAlignment="1">
      <alignment vertical="center"/>
    </xf>
    <xf numFmtId="0" fontId="5" fillId="9" borderId="15" xfId="0" applyFont="1" applyFill="1" applyBorder="1" applyAlignment="1">
      <alignment horizontal="center" vertical="center"/>
    </xf>
    <xf numFmtId="168" fontId="5" fillId="9" borderId="0" xfId="0" applyNumberFormat="1" applyFont="1" applyFill="1" applyAlignment="1">
      <alignment vertical="center"/>
    </xf>
    <xf numFmtId="4" fontId="5" fillId="9" borderId="0" xfId="0" applyNumberFormat="1" applyFont="1" applyFill="1" applyAlignment="1">
      <alignment horizontal="center" vertical="center"/>
    </xf>
    <xf numFmtId="167" fontId="5" fillId="9" borderId="0" xfId="0" applyNumberFormat="1" applyFont="1" applyFill="1" applyAlignment="1">
      <alignment vertical="center"/>
    </xf>
    <xf numFmtId="3" fontId="5" fillId="9" borderId="0" xfId="0" applyNumberFormat="1" applyFont="1" applyFill="1" applyAlignment="1">
      <alignment vertical="center"/>
    </xf>
    <xf numFmtId="0" fontId="5" fillId="9" borderId="0" xfId="0" applyFont="1" applyFill="1" applyAlignment="1">
      <alignment horizontal="center" vertical="center"/>
    </xf>
    <xf numFmtId="4" fontId="5" fillId="9" borderId="14" xfId="0" applyNumberFormat="1" applyFont="1" applyFill="1" applyBorder="1" applyAlignment="1">
      <alignment horizontal="center" vertical="center"/>
    </xf>
    <xf numFmtId="167" fontId="5" fillId="9" borderId="14" xfId="0" applyNumberFormat="1" applyFont="1" applyFill="1" applyBorder="1" applyAlignment="1">
      <alignment vertical="center"/>
    </xf>
    <xf numFmtId="3" fontId="5" fillId="9" borderId="14" xfId="0" applyNumberFormat="1" applyFont="1" applyFill="1" applyBorder="1" applyAlignment="1">
      <alignment vertical="center"/>
    </xf>
    <xf numFmtId="0" fontId="5" fillId="9" borderId="14" xfId="0" applyFont="1" applyFill="1" applyBorder="1" applyAlignment="1">
      <alignment horizontal="center" vertical="center"/>
    </xf>
    <xf numFmtId="168" fontId="5" fillId="0" borderId="15" xfId="0" applyNumberFormat="1" applyFont="1" applyBorder="1" applyAlignment="1">
      <alignment vertical="center"/>
    </xf>
    <xf numFmtId="4" fontId="5" fillId="0" borderId="15" xfId="0" applyNumberFormat="1" applyFont="1" applyBorder="1" applyAlignment="1">
      <alignment horizontal="center" vertical="center"/>
    </xf>
    <xf numFmtId="167" fontId="5" fillId="0" borderId="15" xfId="0" applyNumberFormat="1" applyFont="1" applyBorder="1" applyAlignment="1">
      <alignment vertical="center"/>
    </xf>
    <xf numFmtId="3" fontId="5" fillId="0" borderId="15" xfId="0" applyNumberFormat="1" applyFont="1" applyBorder="1" applyAlignment="1">
      <alignment vertical="center"/>
    </xf>
    <xf numFmtId="0" fontId="5" fillId="0" borderId="15" xfId="0" applyFont="1" applyBorder="1" applyAlignment="1">
      <alignment horizontal="center" vertical="center"/>
    </xf>
    <xf numFmtId="0" fontId="5" fillId="0" borderId="4" xfId="0" applyFont="1" applyBorder="1" applyAlignment="1">
      <alignment horizontal="center" vertical="center"/>
    </xf>
    <xf numFmtId="168" fontId="5" fillId="0" borderId="0" xfId="0" applyNumberFormat="1" applyFont="1" applyAlignment="1">
      <alignment vertical="center"/>
    </xf>
    <xf numFmtId="167" fontId="5" fillId="0" borderId="0" xfId="0" applyNumberFormat="1" applyFont="1" applyAlignment="1">
      <alignment vertical="center"/>
    </xf>
    <xf numFmtId="3" fontId="5" fillId="0" borderId="0" xfId="0" applyNumberFormat="1" applyFont="1" applyAlignment="1">
      <alignment vertical="center"/>
    </xf>
    <xf numFmtId="0" fontId="5" fillId="0" borderId="6" xfId="0" applyFont="1" applyBorder="1" applyAlignment="1">
      <alignment horizontal="center" vertical="center"/>
    </xf>
    <xf numFmtId="168" fontId="5" fillId="0" borderId="14" xfId="0" applyNumberFormat="1" applyFont="1" applyBorder="1" applyAlignment="1">
      <alignment vertical="center"/>
    </xf>
    <xf numFmtId="4" fontId="5" fillId="0" borderId="14" xfId="0" applyNumberFormat="1" applyFont="1" applyBorder="1" applyAlignment="1">
      <alignment horizontal="center" vertical="center"/>
    </xf>
    <xf numFmtId="167" fontId="5" fillId="0" borderId="14" xfId="0" applyNumberFormat="1" applyFont="1" applyBorder="1" applyAlignment="1">
      <alignment vertical="center"/>
    </xf>
    <xf numFmtId="3" fontId="5" fillId="0" borderId="14" xfId="0" applyNumberFormat="1" applyFont="1" applyBorder="1" applyAlignment="1">
      <alignment vertical="center"/>
    </xf>
    <xf numFmtId="0" fontId="5" fillId="0" borderId="14" xfId="0" applyFont="1" applyBorder="1" applyAlignment="1">
      <alignment horizontal="center" vertical="center"/>
    </xf>
    <xf numFmtId="0" fontId="5" fillId="0" borderId="8" xfId="0" applyFont="1" applyBorder="1" applyAlignment="1">
      <alignment horizontal="center" vertical="center"/>
    </xf>
    <xf numFmtId="0" fontId="5" fillId="16" borderId="5" xfId="0" applyFont="1" applyFill="1" applyBorder="1" applyAlignment="1">
      <alignment vertical="center"/>
    </xf>
    <xf numFmtId="0" fontId="18" fillId="0" borderId="0" xfId="0" applyFont="1" applyAlignment="1">
      <alignment vertical="center"/>
    </xf>
    <xf numFmtId="3" fontId="19" fillId="9" borderId="15" xfId="0" applyNumberFormat="1" applyFont="1" applyFill="1" applyBorder="1" applyAlignment="1">
      <alignment vertical="center"/>
    </xf>
    <xf numFmtId="167" fontId="19" fillId="9" borderId="15" xfId="0" applyNumberFormat="1" applyFont="1" applyFill="1" applyBorder="1" applyAlignment="1">
      <alignment vertical="center"/>
    </xf>
    <xf numFmtId="0" fontId="19" fillId="9" borderId="15" xfId="0" applyFont="1" applyFill="1" applyBorder="1" applyAlignment="1">
      <alignment vertical="center"/>
    </xf>
    <xf numFmtId="3" fontId="19" fillId="9" borderId="14" xfId="0" applyNumberFormat="1" applyFont="1" applyFill="1" applyBorder="1" applyAlignment="1">
      <alignment vertical="center"/>
    </xf>
    <xf numFmtId="167" fontId="19" fillId="9" borderId="14" xfId="0" applyNumberFormat="1" applyFont="1" applyFill="1" applyBorder="1" applyAlignment="1">
      <alignment vertical="center"/>
    </xf>
    <xf numFmtId="0" fontId="19" fillId="9" borderId="14" xfId="0" applyFont="1" applyFill="1" applyBorder="1" applyAlignment="1">
      <alignment vertical="center"/>
    </xf>
    <xf numFmtId="0" fontId="5" fillId="19" borderId="0" xfId="0" applyFont="1" applyFill="1" applyAlignment="1">
      <alignment vertical="center"/>
    </xf>
    <xf numFmtId="0" fontId="5" fillId="19" borderId="0" xfId="0" applyFont="1" applyFill="1" applyAlignment="1">
      <alignment horizontal="center" vertical="center"/>
    </xf>
    <xf numFmtId="0" fontId="5" fillId="0" borderId="0" xfId="0" applyFont="1" applyAlignment="1">
      <alignment vertical="center" wrapText="1"/>
    </xf>
    <xf numFmtId="169" fontId="5" fillId="0" borderId="9" xfId="0" applyNumberFormat="1" applyFont="1" applyBorder="1" applyAlignment="1">
      <alignment horizontal="center" vertical="center"/>
    </xf>
    <xf numFmtId="169" fontId="5" fillId="0" borderId="10" xfId="0" applyNumberFormat="1" applyFont="1" applyBorder="1" applyAlignment="1">
      <alignment horizontal="center" vertical="center"/>
    </xf>
    <xf numFmtId="169" fontId="5" fillId="9" borderId="10" xfId="0" applyNumberFormat="1" applyFont="1" applyFill="1" applyBorder="1" applyAlignment="1">
      <alignment horizontal="center" vertical="center"/>
    </xf>
    <xf numFmtId="0" fontId="7" fillId="0" borderId="2" xfId="0" applyFont="1" applyBorder="1" applyAlignment="1">
      <alignment horizontal="right" vertical="center"/>
    </xf>
    <xf numFmtId="0" fontId="5" fillId="0" borderId="1" xfId="0" applyFont="1" applyBorder="1" applyAlignment="1">
      <alignment vertical="center"/>
    </xf>
    <xf numFmtId="0" fontId="5" fillId="0" borderId="2" xfId="0" applyFont="1" applyBorder="1" applyAlignment="1">
      <alignment horizontal="right" vertical="center" wrapText="1"/>
    </xf>
    <xf numFmtId="0" fontId="5" fillId="9" borderId="1" xfId="0" applyFont="1" applyFill="1" applyBorder="1" applyAlignment="1">
      <alignment vertical="center"/>
    </xf>
    <xf numFmtId="0" fontId="5" fillId="9" borderId="2" xfId="0" applyFont="1" applyFill="1" applyBorder="1" applyAlignment="1">
      <alignment horizontal="right" vertical="center" wrapText="1"/>
    </xf>
    <xf numFmtId="0" fontId="20" fillId="0" borderId="0" xfId="0" applyFont="1" applyAlignment="1">
      <alignment vertical="center"/>
    </xf>
    <xf numFmtId="168" fontId="18" fillId="9" borderId="12" xfId="0" applyNumberFormat="1" applyFont="1" applyFill="1" applyBorder="1" applyAlignment="1">
      <alignment horizontal="center" vertical="center"/>
    </xf>
    <xf numFmtId="168" fontId="18" fillId="0" borderId="12" xfId="0" applyNumberFormat="1" applyFont="1" applyBorder="1" applyAlignment="1">
      <alignment horizontal="center" vertical="center"/>
    </xf>
    <xf numFmtId="0" fontId="21" fillId="0" borderId="0" xfId="0" applyFont="1" applyAlignment="1">
      <alignment vertical="center"/>
    </xf>
    <xf numFmtId="0" fontId="18" fillId="6" borderId="12" xfId="0" applyFont="1" applyFill="1" applyBorder="1" applyAlignment="1">
      <alignment vertical="center"/>
    </xf>
    <xf numFmtId="0" fontId="5" fillId="6" borderId="12" xfId="1" applyFont="1" applyFill="1" applyBorder="1" applyAlignment="1">
      <alignment vertical="center"/>
    </xf>
    <xf numFmtId="0" fontId="18" fillId="9" borderId="12" xfId="0" applyFont="1" applyFill="1" applyBorder="1" applyAlignment="1">
      <alignment horizontal="center" vertical="center"/>
    </xf>
    <xf numFmtId="0" fontId="18" fillId="0" borderId="12" xfId="0" applyFont="1" applyBorder="1" applyAlignment="1">
      <alignment horizontal="center" vertical="center"/>
    </xf>
    <xf numFmtId="49" fontId="5" fillId="10" borderId="12" xfId="0" applyNumberFormat="1" applyFont="1" applyFill="1" applyBorder="1" applyAlignment="1">
      <alignment vertical="center" wrapText="1"/>
    </xf>
    <xf numFmtId="49" fontId="5" fillId="10" borderId="12" xfId="0" applyNumberFormat="1" applyFont="1" applyFill="1" applyBorder="1" applyAlignment="1">
      <alignment horizontal="center" vertical="center" wrapText="1"/>
    </xf>
    <xf numFmtId="0" fontId="18" fillId="0" borderId="0" xfId="0" applyFont="1" applyAlignment="1">
      <alignment vertical="center" wrapText="1"/>
    </xf>
    <xf numFmtId="0" fontId="6" fillId="9" borderId="12" xfId="0" applyFont="1" applyFill="1" applyBorder="1" applyAlignment="1">
      <alignment horizontal="center" vertical="center" wrapText="1"/>
    </xf>
    <xf numFmtId="0" fontId="5" fillId="9" borderId="12" xfId="0" applyFont="1" applyFill="1" applyBorder="1" applyAlignment="1">
      <alignment horizontal="center" vertical="center" wrapText="1"/>
    </xf>
    <xf numFmtId="0" fontId="6" fillId="0" borderId="12" xfId="0" applyFont="1" applyBorder="1" applyAlignment="1">
      <alignment horizontal="center" vertical="center" wrapText="1"/>
    </xf>
    <xf numFmtId="0" fontId="5" fillId="0" borderId="12" xfId="0" applyFont="1" applyBorder="1" applyAlignment="1">
      <alignment horizontal="center" vertical="center" wrapText="1"/>
    </xf>
    <xf numFmtId="0" fontId="18" fillId="7" borderId="9" xfId="0" applyFont="1" applyFill="1" applyBorder="1" applyAlignment="1">
      <alignment horizontal="center" vertical="center"/>
    </xf>
    <xf numFmtId="0" fontId="18" fillId="17" borderId="9" xfId="0" applyFont="1" applyFill="1" applyBorder="1" applyAlignment="1">
      <alignment horizontal="center" vertical="center"/>
    </xf>
    <xf numFmtId="0" fontId="18" fillId="18" borderId="9" xfId="0" applyFont="1" applyFill="1" applyBorder="1" applyAlignment="1">
      <alignment horizontal="center" vertical="center"/>
    </xf>
    <xf numFmtId="0" fontId="18" fillId="7" borderId="10" xfId="0" applyFont="1" applyFill="1" applyBorder="1" applyAlignment="1">
      <alignment horizontal="center" vertical="center"/>
    </xf>
    <xf numFmtId="0" fontId="18" fillId="17" borderId="10" xfId="0" applyFont="1" applyFill="1" applyBorder="1" applyAlignment="1">
      <alignment horizontal="center" vertical="center"/>
    </xf>
    <xf numFmtId="0" fontId="18" fillId="0" borderId="10" xfId="0" applyFont="1" applyBorder="1" applyAlignment="1">
      <alignment horizontal="center" vertical="center"/>
    </xf>
    <xf numFmtId="0" fontId="18" fillId="18" borderId="10" xfId="0" applyFont="1" applyFill="1" applyBorder="1" applyAlignment="1">
      <alignment horizontal="center" vertical="center"/>
    </xf>
    <xf numFmtId="0" fontId="18" fillId="0" borderId="11" xfId="0" applyFont="1" applyBorder="1" applyAlignment="1">
      <alignment horizontal="center" vertical="center"/>
    </xf>
    <xf numFmtId="0" fontId="18" fillId="18" borderId="11" xfId="0" applyFont="1" applyFill="1" applyBorder="1" applyAlignment="1">
      <alignment horizontal="center" vertical="center"/>
    </xf>
    <xf numFmtId="0" fontId="18" fillId="0" borderId="1" xfId="0" applyFont="1" applyBorder="1" applyAlignment="1">
      <alignment vertical="center"/>
    </xf>
    <xf numFmtId="0" fontId="18" fillId="0" borderId="13" xfId="0" applyFont="1" applyBorder="1" applyAlignment="1">
      <alignment vertical="center"/>
    </xf>
    <xf numFmtId="3" fontId="18" fillId="0" borderId="12" xfId="0" applyNumberFormat="1" applyFont="1" applyBorder="1" applyAlignment="1">
      <alignment vertical="center"/>
    </xf>
    <xf numFmtId="0" fontId="18" fillId="9" borderId="13" xfId="0" applyFont="1" applyFill="1" applyBorder="1" applyAlignment="1">
      <alignment vertical="center"/>
    </xf>
    <xf numFmtId="0" fontId="18" fillId="9" borderId="1" xfId="0" applyFont="1" applyFill="1" applyBorder="1" applyAlignment="1">
      <alignment vertical="center"/>
    </xf>
    <xf numFmtId="0" fontId="18" fillId="9" borderId="2" xfId="0" applyFont="1" applyFill="1" applyBorder="1" applyAlignment="1">
      <alignment horizontal="right" vertical="center"/>
    </xf>
    <xf numFmtId="167" fontId="18" fillId="9" borderId="12" xfId="0" applyNumberFormat="1" applyFont="1" applyFill="1" applyBorder="1" applyAlignment="1">
      <alignment vertical="center"/>
    </xf>
    <xf numFmtId="11" fontId="18" fillId="0" borderId="12" xfId="0" applyNumberFormat="1" applyFont="1" applyBorder="1" applyAlignment="1">
      <alignment vertical="center"/>
    </xf>
    <xf numFmtId="0" fontId="7" fillId="0" borderId="0" xfId="0" applyFont="1" applyAlignment="1">
      <alignment horizontal="center" vertical="center"/>
    </xf>
    <xf numFmtId="4" fontId="5" fillId="0" borderId="0" xfId="0" applyNumberFormat="1" applyFont="1" applyAlignment="1">
      <alignment vertical="center"/>
    </xf>
    <xf numFmtId="170" fontId="5" fillId="0" borderId="0" xfId="0" applyNumberFormat="1" applyFont="1" applyAlignment="1">
      <alignment vertical="center"/>
    </xf>
    <xf numFmtId="167" fontId="5" fillId="0" borderId="6" xfId="0" applyNumberFormat="1" applyFont="1" applyBorder="1" applyAlignment="1">
      <alignment vertical="center"/>
    </xf>
    <xf numFmtId="4" fontId="5" fillId="0" borderId="6" xfId="0" applyNumberFormat="1" applyFont="1" applyBorder="1" applyAlignment="1">
      <alignment vertical="center"/>
    </xf>
    <xf numFmtId="170" fontId="5" fillId="0" borderId="6" xfId="0" applyNumberFormat="1" applyFont="1" applyBorder="1" applyAlignment="1">
      <alignment vertical="center"/>
    </xf>
    <xf numFmtId="0" fontId="18" fillId="0" borderId="7" xfId="0" applyFont="1" applyBorder="1" applyAlignment="1">
      <alignment vertical="center"/>
    </xf>
    <xf numFmtId="11" fontId="18" fillId="0" borderId="14" xfId="0" applyNumberFormat="1" applyFont="1" applyBorder="1" applyAlignment="1">
      <alignment vertical="center"/>
    </xf>
    <xf numFmtId="11" fontId="18" fillId="0" borderId="8" xfId="0" applyNumberFormat="1" applyFont="1" applyBorder="1" applyAlignment="1">
      <alignment vertical="center"/>
    </xf>
    <xf numFmtId="170" fontId="5" fillId="0" borderId="14" xfId="0" applyNumberFormat="1" applyFont="1" applyBorder="1" applyAlignment="1">
      <alignment vertical="center"/>
    </xf>
    <xf numFmtId="170" fontId="5" fillId="0" borderId="8" xfId="0" applyNumberFormat="1" applyFont="1" applyBorder="1" applyAlignment="1">
      <alignment vertical="center"/>
    </xf>
    <xf numFmtId="0" fontId="1" fillId="0" borderId="0" xfId="0" applyFont="1" applyAlignment="1">
      <alignment vertical="center"/>
    </xf>
    <xf numFmtId="4" fontId="5" fillId="0" borderId="12" xfId="0" applyNumberFormat="1" applyFont="1" applyBorder="1" applyAlignment="1">
      <alignment horizontal="center" vertical="center"/>
    </xf>
    <xf numFmtId="0" fontId="6" fillId="0" borderId="0" xfId="0" applyFont="1" applyAlignment="1">
      <alignment horizontal="center" vertical="center" wrapText="1"/>
    </xf>
    <xf numFmtId="0" fontId="6" fillId="0" borderId="0" xfId="0" applyFont="1" applyAlignment="1">
      <alignment horizontal="center" vertical="center"/>
    </xf>
    <xf numFmtId="0" fontId="5" fillId="0" borderId="14" xfId="1" applyFont="1" applyBorder="1" applyAlignment="1">
      <alignment horizontal="right" vertical="center" wrapText="1"/>
    </xf>
    <xf numFmtId="167" fontId="5" fillId="0" borderId="5" xfId="0" applyNumberFormat="1" applyFont="1" applyBorder="1" applyAlignment="1">
      <alignment vertical="center"/>
    </xf>
    <xf numFmtId="0" fontId="5" fillId="23" borderId="12" xfId="0" applyFont="1" applyFill="1" applyBorder="1" applyAlignment="1">
      <alignment horizontal="center" vertical="center"/>
    </xf>
    <xf numFmtId="0" fontId="5" fillId="0" borderId="1" xfId="0" applyFont="1" applyBorder="1" applyAlignment="1">
      <alignment horizontal="center" vertical="center"/>
    </xf>
    <xf numFmtId="0" fontId="5" fillId="0" borderId="12" xfId="0" applyFont="1" applyBorder="1" applyAlignment="1">
      <alignment horizontal="center" vertical="center"/>
    </xf>
    <xf numFmtId="0" fontId="5" fillId="5" borderId="12" xfId="0" applyFont="1" applyFill="1" applyBorder="1" applyAlignment="1">
      <alignment horizontal="center" vertical="center"/>
    </xf>
    <xf numFmtId="0" fontId="5" fillId="5" borderId="13" xfId="0" applyFont="1" applyFill="1" applyBorder="1" applyAlignment="1">
      <alignment horizontal="center" vertical="center"/>
    </xf>
    <xf numFmtId="0" fontId="5" fillId="5" borderId="13" xfId="0" applyFont="1" applyFill="1" applyBorder="1" applyAlignment="1">
      <alignment vertical="center"/>
    </xf>
    <xf numFmtId="0" fontId="5" fillId="5" borderId="2" xfId="0" applyFont="1" applyFill="1" applyBorder="1" applyAlignment="1">
      <alignment vertical="center"/>
    </xf>
    <xf numFmtId="0" fontId="5" fillId="0" borderId="13" xfId="0" applyFont="1" applyBorder="1" applyAlignment="1">
      <alignment vertical="center"/>
    </xf>
    <xf numFmtId="0" fontId="5" fillId="0" borderId="2" xfId="0" applyFont="1" applyBorder="1" applyAlignment="1">
      <alignment vertical="center"/>
    </xf>
    <xf numFmtId="0" fontId="5" fillId="5" borderId="3" xfId="0" applyFont="1" applyFill="1" applyBorder="1" applyAlignment="1">
      <alignment vertical="center"/>
    </xf>
    <xf numFmtId="0" fontId="5" fillId="0" borderId="4" xfId="0" applyFont="1" applyBorder="1" applyAlignment="1">
      <alignment horizontal="right" vertical="center" wrapText="1"/>
    </xf>
    <xf numFmtId="0" fontId="5" fillId="0" borderId="6" xfId="0" applyFont="1" applyBorder="1" applyAlignment="1">
      <alignment horizontal="right" vertical="center" wrapText="1"/>
    </xf>
    <xf numFmtId="0" fontId="5" fillId="0" borderId="8" xfId="0" applyFont="1" applyBorder="1" applyAlignment="1">
      <alignment horizontal="right" vertical="center" wrapText="1"/>
    </xf>
    <xf numFmtId="0" fontId="5" fillId="0" borderId="6" xfId="0" applyFont="1" applyBorder="1" applyAlignment="1">
      <alignment horizontal="right" vertical="center"/>
    </xf>
    <xf numFmtId="0" fontId="18" fillId="0" borderId="5" xfId="0" applyFont="1" applyBorder="1" applyAlignment="1">
      <alignment vertical="center"/>
    </xf>
    <xf numFmtId="0" fontId="5" fillId="0" borderId="6" xfId="1" applyFont="1" applyBorder="1" applyAlignment="1">
      <alignment horizontal="right" vertical="center" wrapText="1"/>
    </xf>
    <xf numFmtId="11" fontId="18" fillId="0" borderId="7" xfId="0" applyNumberFormat="1" applyFont="1" applyBorder="1" applyAlignment="1">
      <alignment vertical="center"/>
    </xf>
    <xf numFmtId="0" fontId="5" fillId="0" borderId="11" xfId="0" applyFont="1" applyBorder="1" applyAlignment="1">
      <alignment horizontal="center" vertical="center"/>
    </xf>
    <xf numFmtId="0" fontId="5" fillId="0" borderId="0" xfId="0" applyFont="1" applyAlignment="1">
      <alignment horizontal="left" vertical="center"/>
    </xf>
    <xf numFmtId="0" fontId="25" fillId="0" borderId="0" xfId="0" applyFont="1" applyAlignment="1">
      <alignment vertical="center"/>
    </xf>
    <xf numFmtId="0" fontId="26" fillId="0" borderId="0" xfId="0" applyFont="1" applyAlignment="1">
      <alignment vertical="center"/>
    </xf>
    <xf numFmtId="0" fontId="27" fillId="0" borderId="0" xfId="0" applyFont="1" applyAlignment="1">
      <alignment vertical="center"/>
    </xf>
    <xf numFmtId="0" fontId="28" fillId="0" borderId="0" xfId="0" applyFont="1" applyAlignment="1">
      <alignment vertical="center"/>
    </xf>
    <xf numFmtId="0" fontId="25" fillId="19" borderId="0" xfId="0" applyFont="1" applyFill="1" applyAlignment="1">
      <alignment vertical="center"/>
    </xf>
    <xf numFmtId="0" fontId="25" fillId="0" borderId="0" xfId="0" applyFont="1" applyAlignment="1">
      <alignment horizontal="center" vertical="center"/>
    </xf>
    <xf numFmtId="0" fontId="26" fillId="19" borderId="0" xfId="0" applyFont="1" applyFill="1" applyAlignment="1">
      <alignment vertical="center"/>
    </xf>
    <xf numFmtId="0" fontId="26" fillId="0" borderId="0" xfId="0" applyFont="1" applyAlignment="1">
      <alignment horizontal="center" vertical="center"/>
    </xf>
    <xf numFmtId="0" fontId="5" fillId="0" borderId="14" xfId="0" applyFont="1" applyBorder="1" applyAlignment="1">
      <alignment horizontal="right" vertical="center" wrapText="1"/>
    </xf>
    <xf numFmtId="3" fontId="11" fillId="0" borderId="0" xfId="0" applyNumberFormat="1" applyFont="1" applyAlignment="1">
      <alignment vertical="center"/>
    </xf>
    <xf numFmtId="0" fontId="5" fillId="5" borderId="15" xfId="0" applyFont="1" applyFill="1" applyBorder="1" applyAlignment="1">
      <alignment vertical="center"/>
    </xf>
    <xf numFmtId="0" fontId="5" fillId="5" borderId="4" xfId="0" applyFont="1" applyFill="1" applyBorder="1" applyAlignment="1">
      <alignment vertical="center"/>
    </xf>
    <xf numFmtId="170" fontId="5" fillId="0" borderId="5" xfId="0" applyNumberFormat="1" applyFont="1" applyBorder="1" applyAlignment="1">
      <alignment vertical="center"/>
    </xf>
    <xf numFmtId="3" fontId="5" fillId="0" borderId="8" xfId="0" applyNumberFormat="1" applyFont="1" applyBorder="1" applyAlignment="1">
      <alignment vertical="center"/>
    </xf>
    <xf numFmtId="0" fontId="5" fillId="0" borderId="13" xfId="0" applyFont="1" applyBorder="1" applyAlignment="1">
      <alignment horizontal="center" vertical="center"/>
    </xf>
    <xf numFmtId="0" fontId="5" fillId="0" borderId="2" xfId="0" applyFont="1" applyBorder="1" applyAlignment="1">
      <alignment horizontal="center" vertical="center"/>
    </xf>
    <xf numFmtId="11" fontId="5" fillId="0" borderId="0" xfId="0" applyNumberFormat="1" applyFont="1" applyAlignment="1">
      <alignment vertical="center"/>
    </xf>
    <xf numFmtId="0" fontId="5" fillId="0" borderId="8" xfId="1" applyFont="1" applyBorder="1" applyAlignment="1">
      <alignment horizontal="right" vertical="center" wrapText="1"/>
    </xf>
    <xf numFmtId="11" fontId="5" fillId="0" borderId="7" xfId="0" applyNumberFormat="1" applyFont="1" applyBorder="1" applyAlignment="1">
      <alignment vertical="center"/>
    </xf>
    <xf numFmtId="11" fontId="5" fillId="0" borderId="14" xfId="0" applyNumberFormat="1" applyFont="1" applyBorder="1" applyAlignment="1">
      <alignment vertical="center"/>
    </xf>
    <xf numFmtId="11" fontId="5" fillId="0" borderId="8" xfId="0" applyNumberFormat="1" applyFont="1" applyBorder="1" applyAlignment="1">
      <alignment vertical="center"/>
    </xf>
    <xf numFmtId="0" fontId="5" fillId="0" borderId="4" xfId="0" applyFont="1" applyBorder="1" applyAlignment="1">
      <alignment horizontal="right" vertical="center"/>
    </xf>
    <xf numFmtId="0" fontId="5" fillId="0" borderId="8" xfId="0" applyFont="1" applyBorder="1" applyAlignment="1">
      <alignment horizontal="right" vertical="center"/>
    </xf>
    <xf numFmtId="4" fontId="5" fillId="0" borderId="0" xfId="0" applyNumberFormat="1" applyFont="1" applyAlignment="1">
      <alignment vertical="center" wrapText="1"/>
    </xf>
    <xf numFmtId="167" fontId="11" fillId="0" borderId="0" xfId="0" applyNumberFormat="1" applyFont="1" applyAlignment="1">
      <alignment vertical="center" wrapText="1"/>
    </xf>
    <xf numFmtId="4" fontId="11" fillId="0" borderId="0" xfId="0" applyNumberFormat="1" applyFont="1" applyAlignment="1">
      <alignment vertical="center" wrapText="1"/>
    </xf>
    <xf numFmtId="4" fontId="5" fillId="0" borderId="6" xfId="0" applyNumberFormat="1" applyFont="1" applyBorder="1" applyAlignment="1">
      <alignment vertical="center" wrapText="1"/>
    </xf>
    <xf numFmtId="0" fontId="5" fillId="5" borderId="2" xfId="0" applyFont="1" applyFill="1" applyBorder="1" applyAlignment="1">
      <alignment horizontal="right" vertical="center" wrapText="1"/>
    </xf>
    <xf numFmtId="0" fontId="5" fillId="5" borderId="12" xfId="0" applyFont="1" applyFill="1" applyBorder="1" applyAlignment="1">
      <alignment horizontal="right" vertical="center" wrapText="1"/>
    </xf>
    <xf numFmtId="3" fontId="5" fillId="0" borderId="11" xfId="0" applyNumberFormat="1" applyFont="1" applyBorder="1" applyAlignment="1">
      <alignment vertical="center"/>
    </xf>
    <xf numFmtId="0" fontId="5" fillId="0" borderId="10" xfId="0" applyFont="1" applyBorder="1" applyAlignment="1">
      <alignment horizontal="center" vertical="center"/>
    </xf>
    <xf numFmtId="0" fontId="5" fillId="5" borderId="1" xfId="0" applyFont="1" applyFill="1" applyBorder="1" applyAlignment="1">
      <alignment vertical="center"/>
    </xf>
    <xf numFmtId="0" fontId="5" fillId="5" borderId="4" xfId="0" applyFont="1" applyFill="1" applyBorder="1" applyAlignment="1">
      <alignment horizontal="right" vertical="center"/>
    </xf>
    <xf numFmtId="168" fontId="5" fillId="0" borderId="11" xfId="0" applyNumberFormat="1" applyFont="1" applyBorder="1" applyAlignment="1">
      <alignment vertical="center"/>
    </xf>
    <xf numFmtId="168" fontId="5" fillId="0" borderId="9" xfId="0" applyNumberFormat="1" applyFont="1" applyBorder="1" applyAlignment="1">
      <alignment horizontal="center" vertical="center"/>
    </xf>
    <xf numFmtId="168" fontId="5" fillId="0" borderId="11" xfId="0" applyNumberFormat="1" applyFont="1" applyBorder="1" applyAlignment="1">
      <alignment horizontal="center" vertical="center"/>
    </xf>
    <xf numFmtId="170" fontId="5" fillId="0" borderId="10" xfId="0" applyNumberFormat="1" applyFont="1" applyBorder="1" applyAlignment="1">
      <alignment vertical="center"/>
    </xf>
    <xf numFmtId="11" fontId="5" fillId="0" borderId="10" xfId="0" applyNumberFormat="1" applyFont="1" applyBorder="1" applyAlignment="1">
      <alignment vertical="center"/>
    </xf>
    <xf numFmtId="0" fontId="5" fillId="0" borderId="5" xfId="0" applyFont="1" applyBorder="1" applyAlignment="1">
      <alignment horizontal="left" vertical="center"/>
    </xf>
    <xf numFmtId="0" fontId="5" fillId="0" borderId="6" xfId="0" applyFont="1" applyBorder="1" applyAlignment="1">
      <alignment horizontal="left" vertical="center"/>
    </xf>
    <xf numFmtId="0" fontId="5" fillId="23" borderId="4" xfId="0" applyFont="1" applyFill="1" applyBorder="1" applyAlignment="1">
      <alignment horizontal="center" vertical="center"/>
    </xf>
    <xf numFmtId="168" fontId="18" fillId="0" borderId="0" xfId="0" applyNumberFormat="1" applyFont="1" applyAlignment="1">
      <alignment horizontal="center" vertical="center"/>
    </xf>
    <xf numFmtId="169" fontId="5" fillId="9" borderId="11" xfId="0" applyNumberFormat="1" applyFont="1" applyFill="1" applyBorder="1" applyAlignment="1">
      <alignment horizontal="center" vertical="center"/>
    </xf>
    <xf numFmtId="0" fontId="5" fillId="18" borderId="5" xfId="0" applyFont="1" applyFill="1" applyBorder="1" applyAlignment="1">
      <alignment vertical="center"/>
    </xf>
    <xf numFmtId="0" fontId="5" fillId="18" borderId="0" xfId="0" applyFont="1" applyFill="1" applyAlignment="1">
      <alignment horizontal="center" vertical="center"/>
    </xf>
    <xf numFmtId="168" fontId="5" fillId="18" borderId="0" xfId="0" applyNumberFormat="1" applyFont="1" applyFill="1" applyAlignment="1">
      <alignment vertical="center"/>
    </xf>
    <xf numFmtId="4" fontId="5" fillId="18" borderId="0" xfId="0" applyNumberFormat="1" applyFont="1" applyFill="1" applyAlignment="1">
      <alignment horizontal="center" vertical="center"/>
    </xf>
    <xf numFmtId="167" fontId="5" fillId="18" borderId="0" xfId="0" applyNumberFormat="1" applyFont="1" applyFill="1" applyAlignment="1">
      <alignment vertical="center"/>
    </xf>
    <xf numFmtId="3" fontId="5" fillId="18" borderId="0" xfId="0" applyNumberFormat="1" applyFont="1" applyFill="1" applyAlignment="1">
      <alignment vertical="center"/>
    </xf>
    <xf numFmtId="0" fontId="5" fillId="18" borderId="0" xfId="0" applyFont="1" applyFill="1" applyAlignment="1">
      <alignment vertical="center"/>
    </xf>
    <xf numFmtId="0" fontId="5" fillId="18" borderId="6" xfId="0" applyFont="1" applyFill="1" applyBorder="1" applyAlignment="1">
      <alignment horizontal="center" vertical="center"/>
    </xf>
    <xf numFmtId="0" fontId="5" fillId="18" borderId="7" xfId="0" applyFont="1" applyFill="1" applyBorder="1" applyAlignment="1">
      <alignment vertical="center"/>
    </xf>
    <xf numFmtId="168" fontId="5" fillId="18" borderId="14" xfId="0" applyNumberFormat="1" applyFont="1" applyFill="1" applyBorder="1" applyAlignment="1">
      <alignment vertical="center"/>
    </xf>
    <xf numFmtId="4" fontId="5" fillId="18" borderId="14" xfId="0" applyNumberFormat="1" applyFont="1" applyFill="1" applyBorder="1" applyAlignment="1">
      <alignment horizontal="center" vertical="center"/>
    </xf>
    <xf numFmtId="167" fontId="5" fillId="18" borderId="14" xfId="0" applyNumberFormat="1" applyFont="1" applyFill="1" applyBorder="1" applyAlignment="1">
      <alignment vertical="center"/>
    </xf>
    <xf numFmtId="3" fontId="5" fillId="18" borderId="14" xfId="0" applyNumberFormat="1" applyFont="1" applyFill="1" applyBorder="1" applyAlignment="1">
      <alignment vertical="center"/>
    </xf>
    <xf numFmtId="0" fontId="5" fillId="18" borderId="14" xfId="0" applyFont="1" applyFill="1" applyBorder="1" applyAlignment="1">
      <alignment vertical="center"/>
    </xf>
    <xf numFmtId="0" fontId="5" fillId="18" borderId="14" xfId="0" applyFont="1" applyFill="1" applyBorder="1" applyAlignment="1">
      <alignment horizontal="center" vertical="center"/>
    </xf>
    <xf numFmtId="0" fontId="5" fillId="18" borderId="8" xfId="0" applyFont="1" applyFill="1" applyBorder="1" applyAlignment="1">
      <alignment horizontal="center" vertical="center"/>
    </xf>
    <xf numFmtId="0" fontId="5" fillId="18" borderId="3" xfId="0" applyFont="1" applyFill="1" applyBorder="1" applyAlignment="1">
      <alignment vertical="center"/>
    </xf>
    <xf numFmtId="0" fontId="5" fillId="18" borderId="15" xfId="0" applyFont="1" applyFill="1" applyBorder="1" applyAlignment="1">
      <alignment horizontal="center" vertical="center"/>
    </xf>
    <xf numFmtId="168" fontId="5" fillId="18" borderId="15" xfId="0" applyNumberFormat="1" applyFont="1" applyFill="1" applyBorder="1" applyAlignment="1">
      <alignment vertical="center"/>
    </xf>
    <xf numFmtId="4" fontId="5" fillId="18" borderId="15" xfId="0" applyNumberFormat="1" applyFont="1" applyFill="1" applyBorder="1" applyAlignment="1">
      <alignment horizontal="center" vertical="center"/>
    </xf>
    <xf numFmtId="167" fontId="5" fillId="18" borderId="15" xfId="0" applyNumberFormat="1" applyFont="1" applyFill="1" applyBorder="1" applyAlignment="1">
      <alignment vertical="center"/>
    </xf>
    <xf numFmtId="3" fontId="5" fillId="18" borderId="15" xfId="0" applyNumberFormat="1" applyFont="1" applyFill="1" applyBorder="1" applyAlignment="1">
      <alignment vertical="center"/>
    </xf>
    <xf numFmtId="0" fontId="5" fillId="18" borderId="15" xfId="0" applyFont="1" applyFill="1" applyBorder="1" applyAlignment="1">
      <alignment vertical="center"/>
    </xf>
    <xf numFmtId="0" fontId="5" fillId="18" borderId="4" xfId="0" applyFont="1" applyFill="1" applyBorder="1" applyAlignment="1">
      <alignment horizontal="center" vertical="center"/>
    </xf>
    <xf numFmtId="4" fontId="5" fillId="0" borderId="13" xfId="0" applyNumberFormat="1" applyFont="1" applyBorder="1" applyAlignment="1">
      <alignment horizontal="center" vertical="center"/>
    </xf>
    <xf numFmtId="0" fontId="15" fillId="0" borderId="10" xfId="5" applyFont="1" applyBorder="1" applyAlignment="1" applyProtection="1">
      <alignment vertical="center"/>
    </xf>
    <xf numFmtId="0" fontId="15" fillId="0" borderId="11" xfId="5" applyFont="1" applyBorder="1" applyAlignment="1" applyProtection="1">
      <alignment vertical="center"/>
    </xf>
    <xf numFmtId="0" fontId="15" fillId="18" borderId="10" xfId="5" applyFont="1" applyFill="1" applyBorder="1" applyAlignment="1" applyProtection="1">
      <alignment vertical="center"/>
    </xf>
    <xf numFmtId="0" fontId="5" fillId="5" borderId="3" xfId="0" applyFont="1" applyFill="1" applyBorder="1" applyAlignment="1">
      <alignment horizontal="center" vertical="center"/>
    </xf>
    <xf numFmtId="0" fontId="5" fillId="5" borderId="4" xfId="5" applyFont="1" applyFill="1" applyBorder="1" applyAlignment="1" applyProtection="1">
      <alignment vertical="center"/>
    </xf>
    <xf numFmtId="0" fontId="5" fillId="5" borderId="13" xfId="0" applyFont="1" applyFill="1" applyBorder="1" applyAlignment="1">
      <alignment horizontal="left" vertical="center"/>
    </xf>
    <xf numFmtId="0" fontId="5" fillId="5" borderId="13" xfId="0" applyFont="1" applyFill="1" applyBorder="1" applyAlignment="1">
      <alignment horizontal="left" vertical="center" wrapText="1"/>
    </xf>
    <xf numFmtId="0" fontId="5" fillId="5" borderId="2" xfId="0" applyFont="1" applyFill="1" applyBorder="1" applyAlignment="1">
      <alignment horizontal="center" vertical="center"/>
    </xf>
    <xf numFmtId="0" fontId="5" fillId="0" borderId="2" xfId="0" applyFont="1" applyBorder="1" applyAlignment="1">
      <alignment vertical="center" wrapText="1"/>
    </xf>
    <xf numFmtId="0" fontId="5" fillId="5" borderId="13" xfId="1" applyFont="1" applyFill="1" applyBorder="1" applyAlignment="1">
      <alignment vertical="center"/>
    </xf>
    <xf numFmtId="0" fontId="5" fillId="5" borderId="2" xfId="1" applyFont="1" applyFill="1" applyBorder="1" applyAlignment="1">
      <alignment vertical="center"/>
    </xf>
    <xf numFmtId="0" fontId="7" fillId="0" borderId="0" xfId="0" applyFont="1" applyAlignment="1">
      <alignment vertical="center"/>
    </xf>
    <xf numFmtId="0" fontId="0" fillId="0" borderId="0" xfId="0" applyAlignment="1">
      <alignment vertical="center" wrapText="1"/>
    </xf>
    <xf numFmtId="0" fontId="5" fillId="0" borderId="2" xfId="1" applyFont="1" applyBorder="1" applyAlignment="1">
      <alignment horizontal="right" vertical="center" wrapText="1"/>
    </xf>
    <xf numFmtId="0" fontId="5" fillId="5" borderId="4" xfId="0" applyFont="1" applyFill="1" applyBorder="1" applyAlignment="1">
      <alignment horizontal="center" vertical="center"/>
    </xf>
    <xf numFmtId="0" fontId="5" fillId="9" borderId="14" xfId="0" applyFont="1" applyFill="1" applyBorder="1" applyAlignment="1">
      <alignment vertical="center" wrapText="1"/>
    </xf>
    <xf numFmtId="0" fontId="5" fillId="9" borderId="8" xfId="0" applyFont="1" applyFill="1" applyBorder="1" applyAlignment="1">
      <alignment vertical="center" wrapText="1"/>
    </xf>
    <xf numFmtId="0" fontId="5" fillId="9" borderId="14" xfId="0" applyFont="1" applyFill="1" applyBorder="1" applyAlignment="1">
      <alignment horizontal="center" vertical="center" wrapText="1"/>
    </xf>
    <xf numFmtId="0" fontId="5" fillId="9" borderId="5" xfId="0" applyFont="1" applyFill="1" applyBorder="1" applyAlignment="1">
      <alignment vertical="center"/>
    </xf>
    <xf numFmtId="0" fontId="5" fillId="9" borderId="0" xfId="0" applyFont="1" applyFill="1" applyAlignment="1">
      <alignment horizontal="right" vertical="center" wrapText="1"/>
    </xf>
    <xf numFmtId="3" fontId="5" fillId="9" borderId="6" xfId="0" applyNumberFormat="1" applyFont="1" applyFill="1" applyBorder="1" applyAlignment="1">
      <alignment vertical="center" wrapText="1"/>
    </xf>
    <xf numFmtId="0" fontId="5" fillId="9" borderId="14" xfId="0" applyFont="1" applyFill="1" applyBorder="1" applyAlignment="1">
      <alignment horizontal="right" vertical="center" wrapText="1"/>
    </xf>
    <xf numFmtId="3" fontId="5" fillId="9" borderId="8" xfId="0" applyNumberFormat="1" applyFont="1" applyFill="1" applyBorder="1" applyAlignment="1">
      <alignment vertical="center" wrapText="1"/>
    </xf>
    <xf numFmtId="0" fontId="5" fillId="0" borderId="6" xfId="0" applyFont="1" applyBorder="1" applyAlignment="1">
      <alignment vertical="center" wrapText="1"/>
    </xf>
    <xf numFmtId="0" fontId="5" fillId="0" borderId="0" xfId="0" applyFont="1" applyAlignment="1">
      <alignment horizontal="center" vertical="center" wrapText="1"/>
    </xf>
    <xf numFmtId="168" fontId="5" fillId="0" borderId="0" xfId="2" applyNumberFormat="1" applyFont="1" applyAlignment="1">
      <alignment horizontal="center" vertical="center"/>
    </xf>
    <xf numFmtId="168" fontId="5" fillId="9" borderId="0" xfId="2" applyNumberFormat="1" applyFont="1" applyFill="1" applyAlignment="1">
      <alignment horizontal="center" vertical="center"/>
    </xf>
    <xf numFmtId="0" fontId="5" fillId="5" borderId="1" xfId="0" applyFont="1" applyFill="1" applyBorder="1" applyAlignment="1">
      <alignment horizontal="left" vertical="center"/>
    </xf>
    <xf numFmtId="0" fontId="5" fillId="5" borderId="13" xfId="2" applyFont="1" applyFill="1" applyBorder="1" applyAlignment="1">
      <alignment horizontal="center" vertical="center"/>
    </xf>
    <xf numFmtId="0" fontId="5" fillId="5" borderId="2" xfId="2" applyFont="1" applyFill="1" applyBorder="1" applyAlignment="1">
      <alignment horizontal="center" vertical="center"/>
    </xf>
    <xf numFmtId="0" fontId="5" fillId="0" borderId="3" xfId="2" applyFont="1" applyBorder="1" applyAlignment="1">
      <alignment vertical="center"/>
    </xf>
    <xf numFmtId="168" fontId="5" fillId="0" borderId="15" xfId="2" applyNumberFormat="1" applyFont="1" applyBorder="1" applyAlignment="1">
      <alignment horizontal="center" vertical="center"/>
    </xf>
    <xf numFmtId="168" fontId="5" fillId="0" borderId="4" xfId="2" applyNumberFormat="1" applyFont="1" applyBorder="1" applyAlignment="1">
      <alignment horizontal="center" vertical="center"/>
    </xf>
    <xf numFmtId="0" fontId="5" fillId="9" borderId="5" xfId="2" applyFont="1" applyFill="1" applyBorder="1" applyAlignment="1">
      <alignment vertical="center"/>
    </xf>
    <xf numFmtId="168" fontId="5" fillId="9" borderId="6" xfId="2" applyNumberFormat="1" applyFont="1" applyFill="1" applyBorder="1" applyAlignment="1">
      <alignment horizontal="center" vertical="center"/>
    </xf>
    <xf numFmtId="0" fontId="5" fillId="0" borderId="5" xfId="2" applyFont="1" applyBorder="1" applyAlignment="1">
      <alignment vertical="center"/>
    </xf>
    <xf numFmtId="168" fontId="5" fillId="0" borderId="6" xfId="2" applyNumberFormat="1" applyFont="1" applyBorder="1" applyAlignment="1">
      <alignment horizontal="center" vertical="center"/>
    </xf>
    <xf numFmtId="0" fontId="5" fillId="9" borderId="7" xfId="2" applyFont="1" applyFill="1" applyBorder="1" applyAlignment="1">
      <alignment vertical="center"/>
    </xf>
    <xf numFmtId="168" fontId="5" fillId="9" borderId="14" xfId="2" applyNumberFormat="1" applyFont="1" applyFill="1" applyBorder="1" applyAlignment="1">
      <alignment horizontal="center" vertical="center"/>
    </xf>
    <xf numFmtId="168" fontId="5" fillId="9" borderId="8" xfId="2" applyNumberFormat="1" applyFont="1" applyFill="1" applyBorder="1" applyAlignment="1">
      <alignment horizontal="center" vertical="center"/>
    </xf>
    <xf numFmtId="0" fontId="5" fillId="5" borderId="15" xfId="0" applyFont="1" applyFill="1" applyBorder="1" applyAlignment="1">
      <alignment horizontal="right" vertical="center"/>
    </xf>
    <xf numFmtId="1" fontId="5" fillId="5" borderId="4" xfId="0" applyNumberFormat="1" applyFont="1" applyFill="1" applyBorder="1" applyAlignment="1">
      <alignment horizontal="center" vertical="center"/>
    </xf>
    <xf numFmtId="1" fontId="5" fillId="0" borderId="4" xfId="0" applyNumberFormat="1" applyFont="1" applyBorder="1" applyAlignment="1">
      <alignment horizontal="center" vertical="center"/>
    </xf>
    <xf numFmtId="1" fontId="5" fillId="9" borderId="6" xfId="0" applyNumberFormat="1" applyFont="1" applyFill="1" applyBorder="1" applyAlignment="1">
      <alignment horizontal="center" vertical="center"/>
    </xf>
    <xf numFmtId="1" fontId="5" fillId="0" borderId="8" xfId="0" applyNumberFormat="1" applyFont="1" applyBorder="1" applyAlignment="1">
      <alignment horizontal="center" vertical="center"/>
    </xf>
    <xf numFmtId="0" fontId="5" fillId="5" borderId="0" xfId="0" applyFont="1" applyFill="1" applyAlignment="1">
      <alignment vertical="center"/>
    </xf>
    <xf numFmtId="0" fontId="33" fillId="0" borderId="0" xfId="0" applyFont="1" applyAlignment="1">
      <alignment vertical="center"/>
    </xf>
    <xf numFmtId="168" fontId="5" fillId="5" borderId="0" xfId="0" applyNumberFormat="1" applyFont="1" applyFill="1" applyAlignment="1">
      <alignment horizontal="center" vertical="center"/>
    </xf>
    <xf numFmtId="0" fontId="5" fillId="5" borderId="0" xfId="0" applyFont="1" applyFill="1" applyAlignment="1">
      <alignment horizontal="center" vertical="center"/>
    </xf>
    <xf numFmtId="0" fontId="34" fillId="0" borderId="0" xfId="0" applyFont="1" applyAlignment="1">
      <alignment horizontal="left" vertical="top"/>
    </xf>
    <xf numFmtId="0" fontId="34" fillId="0" borderId="0" xfId="0" applyFont="1"/>
    <xf numFmtId="0" fontId="34" fillId="0" borderId="0" xfId="0" applyFont="1" applyAlignment="1">
      <alignment horizontal="center" vertical="center"/>
    </xf>
    <xf numFmtId="2" fontId="5" fillId="0" borderId="10" xfId="0" applyNumberFormat="1" applyFont="1" applyBorder="1" applyAlignment="1">
      <alignment vertical="center"/>
    </xf>
    <xf numFmtId="4" fontId="5" fillId="0" borderId="5" xfId="0" applyNumberFormat="1" applyFont="1" applyBorder="1" applyAlignment="1">
      <alignment vertical="center"/>
    </xf>
    <xf numFmtId="3" fontId="5" fillId="0" borderId="7" xfId="0" applyNumberFormat="1" applyFont="1" applyBorder="1" applyAlignment="1">
      <alignment vertical="center"/>
    </xf>
    <xf numFmtId="0" fontId="5" fillId="5" borderId="9" xfId="0" applyFont="1" applyFill="1" applyBorder="1" applyAlignment="1">
      <alignment vertical="center"/>
    </xf>
    <xf numFmtId="0" fontId="7" fillId="5" borderId="9" xfId="0" applyFont="1" applyFill="1" applyBorder="1" applyAlignment="1">
      <alignment vertical="center" wrapText="1"/>
    </xf>
    <xf numFmtId="169" fontId="5" fillId="0" borderId="15" xfId="0" applyNumberFormat="1" applyFont="1" applyBorder="1" applyAlignment="1">
      <alignment vertical="center" wrapText="1"/>
    </xf>
    <xf numFmtId="0" fontId="5" fillId="0" borderId="4" xfId="0" applyFont="1" applyBorder="1" applyAlignment="1">
      <alignment vertical="center" wrapText="1"/>
    </xf>
    <xf numFmtId="169" fontId="5" fillId="9" borderId="14" xfId="0" applyNumberFormat="1" applyFont="1" applyFill="1" applyBorder="1" applyAlignment="1">
      <alignment vertical="center" wrapText="1"/>
    </xf>
    <xf numFmtId="0" fontId="11" fillId="0" borderId="15" xfId="0" applyFont="1" applyBorder="1" applyAlignment="1">
      <alignment horizontal="center" vertical="center"/>
    </xf>
    <xf numFmtId="0" fontId="11" fillId="0" borderId="3" xfId="0" applyFont="1" applyBorder="1" applyAlignment="1">
      <alignment horizontal="center" vertical="center"/>
    </xf>
    <xf numFmtId="0" fontId="11" fillId="0" borderId="4" xfId="0" applyFont="1" applyBorder="1" applyAlignment="1">
      <alignment horizontal="center" vertical="center"/>
    </xf>
    <xf numFmtId="3" fontId="11" fillId="0" borderId="5" xfId="0" applyNumberFormat="1" applyFont="1" applyBorder="1" applyAlignment="1">
      <alignment vertical="center"/>
    </xf>
    <xf numFmtId="3" fontId="11" fillId="0" borderId="6" xfId="0" applyNumberFormat="1" applyFont="1" applyBorder="1" applyAlignment="1">
      <alignment vertical="center"/>
    </xf>
    <xf numFmtId="167" fontId="11" fillId="0" borderId="5" xfId="0" applyNumberFormat="1" applyFont="1" applyBorder="1" applyAlignment="1">
      <alignment vertical="center" wrapText="1"/>
    </xf>
    <xf numFmtId="167" fontId="11" fillId="0" borderId="6" xfId="0" applyNumberFormat="1" applyFont="1" applyBorder="1" applyAlignment="1">
      <alignment vertical="center" wrapText="1"/>
    </xf>
    <xf numFmtId="4" fontId="11" fillId="0" borderId="5" xfId="0" applyNumberFormat="1" applyFont="1" applyBorder="1" applyAlignment="1">
      <alignment vertical="center" wrapText="1"/>
    </xf>
    <xf numFmtId="4" fontId="11" fillId="0" borderId="6" xfId="0" applyNumberFormat="1" applyFont="1" applyBorder="1" applyAlignment="1">
      <alignment vertical="center" wrapText="1"/>
    </xf>
    <xf numFmtId="0" fontId="37" fillId="9" borderId="0" xfId="0" applyFont="1" applyFill="1" applyAlignment="1">
      <alignment vertical="center"/>
    </xf>
    <xf numFmtId="0" fontId="37" fillId="19" borderId="0" xfId="0" applyFont="1" applyFill="1" applyAlignment="1">
      <alignment vertical="center"/>
    </xf>
    <xf numFmtId="0" fontId="37" fillId="9" borderId="0" xfId="0" applyFont="1" applyFill="1" applyAlignment="1">
      <alignment horizontal="center" vertical="center"/>
    </xf>
    <xf numFmtId="0" fontId="19" fillId="9" borderId="0" xfId="0" applyFont="1" applyFill="1" applyAlignment="1">
      <alignment vertical="center"/>
    </xf>
    <xf numFmtId="0" fontId="5" fillId="5" borderId="2" xfId="0" applyFont="1" applyFill="1" applyBorder="1" applyAlignment="1">
      <alignment horizontal="right" vertical="center"/>
    </xf>
    <xf numFmtId="168" fontId="5" fillId="0" borderId="4" xfId="0" applyNumberFormat="1" applyFont="1" applyBorder="1" applyAlignment="1">
      <alignment vertical="center"/>
    </xf>
    <xf numFmtId="168" fontId="5" fillId="9" borderId="6" xfId="0" applyNumberFormat="1" applyFont="1" applyFill="1" applyBorder="1" applyAlignment="1">
      <alignment vertical="center"/>
    </xf>
    <xf numFmtId="168" fontId="5" fillId="0" borderId="8" xfId="0" applyNumberFormat="1" applyFont="1" applyBorder="1" applyAlignment="1">
      <alignment vertical="center"/>
    </xf>
    <xf numFmtId="0" fontId="5" fillId="0" borderId="0" xfId="1" applyFont="1" applyAlignment="1">
      <alignment horizontal="right" vertical="center" wrapText="1"/>
    </xf>
    <xf numFmtId="0" fontId="5" fillId="7" borderId="0" xfId="0" applyFont="1" applyFill="1" applyAlignment="1">
      <alignment horizontal="left" vertical="center"/>
    </xf>
    <xf numFmtId="0" fontId="5" fillId="7" borderId="14" xfId="0" applyFont="1" applyFill="1" applyBorder="1" applyAlignment="1">
      <alignment horizontal="left" vertical="center"/>
    </xf>
    <xf numFmtId="0" fontId="50" fillId="0" borderId="0" xfId="0" applyFont="1" applyAlignment="1">
      <alignment vertical="center"/>
    </xf>
    <xf numFmtId="0" fontId="18" fillId="17" borderId="0" xfId="0" applyFont="1" applyFill="1" applyAlignment="1">
      <alignment horizontal="center" vertical="center"/>
    </xf>
    <xf numFmtId="0" fontId="5" fillId="9" borderId="10" xfId="0" applyFont="1" applyFill="1" applyBorder="1" applyAlignment="1">
      <alignment horizontal="center" vertical="center"/>
    </xf>
    <xf numFmtId="0" fontId="6" fillId="11" borderId="0" xfId="0" applyFont="1" applyFill="1" applyAlignment="1">
      <alignment vertical="center"/>
    </xf>
    <xf numFmtId="0" fontId="5" fillId="11" borderId="0" xfId="0" applyFont="1" applyFill="1" applyAlignment="1">
      <alignment vertical="center"/>
    </xf>
    <xf numFmtId="0" fontId="5" fillId="17" borderId="0" xfId="0" applyFont="1" applyFill="1" applyAlignment="1">
      <alignment horizontal="center" vertical="center"/>
    </xf>
    <xf numFmtId="0" fontId="5" fillId="17" borderId="0" xfId="0" applyFont="1" applyFill="1" applyAlignment="1">
      <alignment vertical="center"/>
    </xf>
    <xf numFmtId="2" fontId="5" fillId="17" borderId="0" xfId="0" applyNumberFormat="1" applyFont="1" applyFill="1" applyAlignment="1">
      <alignment horizontal="center" vertical="center"/>
    </xf>
    <xf numFmtId="0" fontId="18" fillId="17" borderId="0" xfId="0" applyFont="1" applyFill="1" applyAlignment="1">
      <alignment vertical="center"/>
    </xf>
    <xf numFmtId="0" fontId="5" fillId="17" borderId="0" xfId="0" applyFont="1" applyFill="1" applyAlignment="1">
      <alignment horizontal="left" vertical="center"/>
    </xf>
    <xf numFmtId="0" fontId="5" fillId="21" borderId="16" xfId="0" applyFont="1" applyFill="1" applyBorder="1" applyAlignment="1">
      <alignment horizontal="center" vertical="center"/>
    </xf>
    <xf numFmtId="0" fontId="5" fillId="20" borderId="16" xfId="0" applyFont="1" applyFill="1" applyBorder="1" applyAlignment="1">
      <alignment horizontal="center" vertical="center"/>
    </xf>
    <xf numFmtId="0" fontId="18" fillId="0" borderId="0" xfId="0" applyFont="1" applyAlignment="1">
      <alignment horizontal="center" vertical="center"/>
    </xf>
    <xf numFmtId="0" fontId="5" fillId="5" borderId="16" xfId="0" applyFont="1" applyFill="1" applyBorder="1" applyAlignment="1">
      <alignment horizontal="center" vertical="center"/>
    </xf>
    <xf numFmtId="0" fontId="5" fillId="21" borderId="17" xfId="0" applyFont="1" applyFill="1" applyBorder="1" applyAlignment="1">
      <alignment horizontal="center" vertical="center"/>
    </xf>
    <xf numFmtId="0" fontId="5" fillId="20" borderId="17" xfId="0" applyFont="1" applyFill="1" applyBorder="1" applyAlignment="1">
      <alignment horizontal="center" vertical="center"/>
    </xf>
    <xf numFmtId="0" fontId="18" fillId="11" borderId="0" xfId="0" applyFont="1" applyFill="1" applyAlignment="1">
      <alignment horizontal="center" vertical="center"/>
    </xf>
    <xf numFmtId="0" fontId="39" fillId="7" borderId="3" xfId="0" applyFont="1" applyFill="1" applyBorder="1" applyAlignment="1">
      <alignment vertical="center"/>
    </xf>
    <xf numFmtId="3" fontId="39" fillId="7" borderId="4" xfId="0" applyNumberFormat="1" applyFont="1" applyFill="1" applyBorder="1" applyAlignment="1">
      <alignment vertical="center"/>
    </xf>
    <xf numFmtId="0" fontId="18" fillId="17" borderId="0" xfId="0" applyFont="1" applyFill="1" applyAlignment="1">
      <alignment horizontal="left" vertical="center"/>
    </xf>
    <xf numFmtId="0" fontId="5" fillId="17" borderId="0" xfId="0" applyFont="1" applyFill="1" applyAlignment="1">
      <alignment vertical="center" wrapText="1"/>
    </xf>
    <xf numFmtId="0" fontId="39" fillId="7" borderId="5" xfId="0" applyFont="1" applyFill="1" applyBorder="1" applyAlignment="1">
      <alignment vertical="center"/>
    </xf>
    <xf numFmtId="3" fontId="39" fillId="7" borderId="6" xfId="0" applyNumberFormat="1" applyFont="1" applyFill="1" applyBorder="1" applyAlignment="1">
      <alignment vertical="center"/>
    </xf>
    <xf numFmtId="0" fontId="39" fillId="7" borderId="7" xfId="0" applyFont="1" applyFill="1" applyBorder="1" applyAlignment="1">
      <alignment vertical="center"/>
    </xf>
    <xf numFmtId="0" fontId="39" fillId="7" borderId="8" xfId="0" applyFont="1" applyFill="1" applyBorder="1" applyAlignment="1">
      <alignment vertical="center"/>
    </xf>
    <xf numFmtId="3" fontId="5" fillId="0" borderId="9" xfId="0" applyNumberFormat="1" applyFont="1" applyBorder="1" applyAlignment="1">
      <alignment horizontal="center" vertical="center"/>
    </xf>
    <xf numFmtId="0" fontId="18" fillId="9" borderId="9" xfId="0" applyFont="1" applyFill="1" applyBorder="1" applyAlignment="1">
      <alignment horizontal="center" vertical="center"/>
    </xf>
    <xf numFmtId="3" fontId="5" fillId="0" borderId="10" xfId="0" applyNumberFormat="1" applyFont="1" applyBorder="1" applyAlignment="1">
      <alignment horizontal="center" vertical="center"/>
    </xf>
    <xf numFmtId="0" fontId="18" fillId="9" borderId="10" xfId="0" applyFont="1" applyFill="1" applyBorder="1" applyAlignment="1">
      <alignment horizontal="center" vertical="center"/>
    </xf>
    <xf numFmtId="0" fontId="18" fillId="0" borderId="0" xfId="0" applyFont="1" applyAlignment="1">
      <alignment horizontal="left" vertical="center"/>
    </xf>
    <xf numFmtId="2" fontId="18" fillId="0" borderId="0" xfId="0" applyNumberFormat="1" applyFont="1" applyAlignment="1">
      <alignment horizontal="center" vertical="center"/>
    </xf>
    <xf numFmtId="0" fontId="42" fillId="0" borderId="1" xfId="0" applyFont="1" applyBorder="1" applyAlignment="1">
      <alignment vertical="center"/>
    </xf>
    <xf numFmtId="0" fontId="42" fillId="0" borderId="2" xfId="0" applyFont="1" applyBorder="1" applyAlignment="1">
      <alignment horizontal="center" vertical="center"/>
    </xf>
    <xf numFmtId="0" fontId="42" fillId="0" borderId="12" xfId="0" applyFont="1" applyBorder="1" applyAlignment="1">
      <alignment horizontal="center" vertical="center"/>
    </xf>
    <xf numFmtId="0" fontId="21" fillId="0" borderId="1" xfId="0" applyFont="1" applyBorder="1" applyAlignment="1">
      <alignment horizontal="left" vertical="center"/>
    </xf>
    <xf numFmtId="0" fontId="18" fillId="0" borderId="13" xfId="0" applyFont="1" applyBorder="1" applyAlignment="1">
      <alignment horizontal="center" vertical="center"/>
    </xf>
    <xf numFmtId="0" fontId="21" fillId="0" borderId="13" xfId="0" applyFont="1" applyBorder="1" applyAlignment="1">
      <alignment vertical="center"/>
    </xf>
    <xf numFmtId="0" fontId="18" fillId="7" borderId="5" xfId="0" applyFont="1" applyFill="1" applyBorder="1" applyAlignment="1">
      <alignment horizontal="left" vertical="center"/>
    </xf>
    <xf numFmtId="167" fontId="18" fillId="7" borderId="0" xfId="0" applyNumberFormat="1" applyFont="1" applyFill="1" applyAlignment="1">
      <alignment horizontal="center" vertical="center"/>
    </xf>
    <xf numFmtId="0" fontId="18" fillId="7" borderId="7" xfId="0" applyFont="1" applyFill="1" applyBorder="1" applyAlignment="1">
      <alignment horizontal="left" vertical="center"/>
    </xf>
    <xf numFmtId="167" fontId="18" fillId="7" borderId="14" xfId="0" applyNumberFormat="1" applyFont="1" applyFill="1" applyBorder="1" applyAlignment="1">
      <alignment horizontal="center" vertical="center"/>
    </xf>
    <xf numFmtId="0" fontId="39" fillId="17" borderId="0" xfId="0" applyFont="1" applyFill="1" applyAlignment="1">
      <alignment vertical="center"/>
    </xf>
    <xf numFmtId="168" fontId="39" fillId="17" borderId="0" xfId="0" applyNumberFormat="1" applyFont="1" applyFill="1" applyAlignment="1">
      <alignment vertical="center"/>
    </xf>
    <xf numFmtId="2" fontId="18" fillId="17" borderId="0" xfId="0" applyNumberFormat="1" applyFont="1" applyFill="1" applyAlignment="1">
      <alignment horizontal="center" vertical="center"/>
    </xf>
    <xf numFmtId="0" fontId="21" fillId="11" borderId="0" xfId="0" applyFont="1" applyFill="1" applyAlignment="1">
      <alignment horizontal="left" vertical="center"/>
    </xf>
    <xf numFmtId="0" fontId="21" fillId="11" borderId="0" xfId="0" applyFont="1" applyFill="1" applyAlignment="1">
      <alignment horizontal="center" vertical="center"/>
    </xf>
    <xf numFmtId="4" fontId="18" fillId="0" borderId="0" xfId="0" applyNumberFormat="1" applyFont="1" applyAlignment="1">
      <alignment horizontal="left" vertical="center"/>
    </xf>
    <xf numFmtId="0" fontId="6" fillId="19" borderId="0" xfId="0" applyFont="1" applyFill="1" applyAlignment="1">
      <alignment vertical="center"/>
    </xf>
    <xf numFmtId="0" fontId="18" fillId="7" borderId="3" xfId="0" applyFont="1" applyFill="1" applyBorder="1" applyAlignment="1">
      <alignment horizontal="left" vertical="center"/>
    </xf>
    <xf numFmtId="0" fontId="5" fillId="7" borderId="15" xfId="0" applyFont="1" applyFill="1" applyBorder="1" applyAlignment="1">
      <alignment horizontal="left" vertical="center"/>
    </xf>
    <xf numFmtId="167" fontId="18" fillId="7" borderId="15" xfId="0" applyNumberFormat="1" applyFont="1" applyFill="1" applyBorder="1" applyAlignment="1">
      <alignment horizontal="center" vertical="center"/>
    </xf>
    <xf numFmtId="167" fontId="18" fillId="7" borderId="4" xfId="0" applyNumberFormat="1" applyFont="1" applyFill="1" applyBorder="1" applyAlignment="1">
      <alignment horizontal="center" vertical="center"/>
    </xf>
    <xf numFmtId="0" fontId="18" fillId="5" borderId="0" xfId="0" applyFont="1" applyFill="1" applyAlignment="1">
      <alignment horizontal="center" vertical="center"/>
    </xf>
    <xf numFmtId="3" fontId="5" fillId="0" borderId="0" xfId="0" applyNumberFormat="1" applyFont="1" applyAlignment="1">
      <alignment vertical="center" wrapText="1"/>
    </xf>
    <xf numFmtId="167" fontId="5" fillId="0" borderId="0" xfId="0" applyNumberFormat="1" applyFont="1" applyAlignment="1">
      <alignment vertical="center" wrapText="1"/>
    </xf>
    <xf numFmtId="2" fontId="34" fillId="0" borderId="0" xfId="0" applyNumberFormat="1" applyFont="1" applyAlignment="1">
      <alignment vertical="center"/>
    </xf>
    <xf numFmtId="170" fontId="1" fillId="0" borderId="0" xfId="0" applyNumberFormat="1" applyFont="1" applyAlignment="1">
      <alignment vertical="center"/>
    </xf>
    <xf numFmtId="170" fontId="38" fillId="0" borderId="0" xfId="0" applyNumberFormat="1" applyFont="1"/>
    <xf numFmtId="0" fontId="38" fillId="0" borderId="0" xfId="0" applyFont="1"/>
    <xf numFmtId="0" fontId="2" fillId="0" borderId="18" xfId="0" applyFont="1" applyBorder="1" applyAlignment="1">
      <alignment vertical="center"/>
    </xf>
    <xf numFmtId="0" fontId="18" fillId="0" borderId="16" xfId="0" applyFont="1" applyBorder="1" applyAlignment="1">
      <alignment horizontal="left" vertical="center"/>
    </xf>
    <xf numFmtId="0" fontId="18" fillId="28" borderId="16" xfId="0" applyFont="1" applyFill="1" applyBorder="1" applyAlignment="1">
      <alignment horizontal="left" vertical="center"/>
    </xf>
    <xf numFmtId="3" fontId="5" fillId="5" borderId="16" xfId="0" applyNumberFormat="1" applyFont="1" applyFill="1" applyBorder="1" applyAlignment="1">
      <alignment horizontal="left" vertical="center"/>
    </xf>
    <xf numFmtId="167" fontId="18" fillId="5" borderId="16" xfId="0" applyNumberFormat="1" applyFont="1" applyFill="1" applyBorder="1" applyAlignment="1">
      <alignment horizontal="left" vertical="center"/>
    </xf>
    <xf numFmtId="0" fontId="18" fillId="0" borderId="16" xfId="0" applyFont="1" applyBorder="1" applyAlignment="1">
      <alignment vertical="center"/>
    </xf>
    <xf numFmtId="0" fontId="18" fillId="28" borderId="16" xfId="0" applyFont="1" applyFill="1" applyBorder="1" applyAlignment="1">
      <alignment vertical="center"/>
    </xf>
    <xf numFmtId="170" fontId="5" fillId="17" borderId="0" xfId="0" applyNumberFormat="1" applyFont="1" applyFill="1" applyAlignment="1">
      <alignment vertical="center"/>
    </xf>
    <xf numFmtId="0" fontId="5" fillId="0" borderId="16" xfId="0" applyFont="1" applyBorder="1" applyAlignment="1">
      <alignment vertical="center"/>
    </xf>
    <xf numFmtId="170" fontId="6" fillId="17" borderId="0" xfId="0" applyNumberFormat="1" applyFont="1" applyFill="1" applyAlignment="1">
      <alignment vertical="center"/>
    </xf>
    <xf numFmtId="170" fontId="11" fillId="5" borderId="16" xfId="0" applyNumberFormat="1" applyFont="1" applyFill="1" applyBorder="1" applyAlignment="1">
      <alignment horizontal="left" vertical="center"/>
    </xf>
    <xf numFmtId="1" fontId="11" fillId="5" borderId="16" xfId="0" applyNumberFormat="1" applyFont="1" applyFill="1" applyBorder="1" applyAlignment="1">
      <alignment vertical="center"/>
    </xf>
    <xf numFmtId="3" fontId="5" fillId="5" borderId="16" xfId="0" applyNumberFormat="1" applyFont="1" applyFill="1" applyBorder="1" applyAlignment="1">
      <alignment vertical="center"/>
    </xf>
    <xf numFmtId="167" fontId="18" fillId="5" borderId="16" xfId="0" applyNumberFormat="1" applyFont="1" applyFill="1" applyBorder="1" applyAlignment="1">
      <alignment vertical="center"/>
    </xf>
    <xf numFmtId="170" fontId="11" fillId="0" borderId="16" xfId="0" applyNumberFormat="1" applyFont="1" applyBorder="1" applyAlignment="1">
      <alignment horizontal="left" vertical="center"/>
    </xf>
    <xf numFmtId="1" fontId="11" fillId="0" borderId="16" xfId="0" applyNumberFormat="1" applyFont="1" applyBorder="1" applyAlignment="1">
      <alignment vertical="center"/>
    </xf>
    <xf numFmtId="3" fontId="5" fillId="0" borderId="16" xfId="0" applyNumberFormat="1" applyFont="1" applyBorder="1" applyAlignment="1">
      <alignment vertical="center"/>
    </xf>
    <xf numFmtId="167" fontId="18" fillId="0" borderId="16" xfId="0" applyNumberFormat="1" applyFont="1" applyBorder="1" applyAlignment="1">
      <alignment vertical="center"/>
    </xf>
    <xf numFmtId="0" fontId="2" fillId="0" borderId="0" xfId="0" applyFont="1" applyAlignment="1">
      <alignment vertical="center"/>
    </xf>
    <xf numFmtId="0" fontId="1" fillId="0" borderId="0" xfId="0" applyFont="1" applyAlignment="1">
      <alignment horizontal="right" vertical="center"/>
    </xf>
    <xf numFmtId="0" fontId="21" fillId="0" borderId="2" xfId="0" applyFont="1" applyBorder="1" applyAlignment="1">
      <alignment vertical="center"/>
    </xf>
    <xf numFmtId="170" fontId="52" fillId="0" borderId="0" xfId="0" applyNumberFormat="1" applyFont="1"/>
    <xf numFmtId="0" fontId="52" fillId="0" borderId="0" xfId="0" applyFont="1"/>
    <xf numFmtId="167" fontId="5" fillId="24" borderId="0" xfId="0" applyNumberFormat="1" applyFont="1" applyFill="1" applyAlignment="1">
      <alignment vertical="center"/>
    </xf>
    <xf numFmtId="0" fontId="22" fillId="0" borderId="0" xfId="0" applyFont="1" applyAlignment="1">
      <alignment horizontal="center" vertical="center"/>
    </xf>
    <xf numFmtId="0" fontId="5" fillId="0" borderId="15" xfId="0" applyFont="1" applyBorder="1" applyAlignment="1">
      <alignment horizontal="left" vertical="center"/>
    </xf>
    <xf numFmtId="0" fontId="5" fillId="0" borderId="14" xfId="0" applyFont="1" applyBorder="1" applyAlignment="1">
      <alignment horizontal="left" vertical="center"/>
    </xf>
    <xf numFmtId="0" fontId="5" fillId="0" borderId="7" xfId="0" applyFont="1" applyBorder="1" applyAlignment="1">
      <alignment horizontal="left" vertical="center"/>
    </xf>
    <xf numFmtId="0" fontId="21" fillId="0" borderId="5" xfId="0" applyFont="1" applyBorder="1" applyAlignment="1">
      <alignment horizontal="left" vertical="center"/>
    </xf>
    <xf numFmtId="0" fontId="18" fillId="0" borderId="5" xfId="0" applyFont="1" applyBorder="1" applyAlignment="1">
      <alignment horizontal="left" vertical="center"/>
    </xf>
    <xf numFmtId="0" fontId="5" fillId="0" borderId="0" xfId="0" applyFont="1" applyAlignment="1">
      <alignment horizontal="right" vertical="center"/>
    </xf>
    <xf numFmtId="0" fontId="6" fillId="0" borderId="0" xfId="0" applyFont="1" applyAlignment="1">
      <alignment horizontal="left" vertical="center"/>
    </xf>
    <xf numFmtId="0" fontId="20" fillId="0" borderId="5" xfId="0" applyFont="1" applyBorder="1" applyAlignment="1">
      <alignment horizontal="left" vertical="center"/>
    </xf>
    <xf numFmtId="168" fontId="5" fillId="5" borderId="16" xfId="0" applyNumberFormat="1" applyFont="1" applyFill="1" applyBorder="1" applyAlignment="1">
      <alignment vertical="center"/>
    </xf>
    <xf numFmtId="168" fontId="5" fillId="0" borderId="16" xfId="0" applyNumberFormat="1" applyFont="1" applyBorder="1" applyAlignment="1">
      <alignment vertical="center"/>
    </xf>
    <xf numFmtId="0" fontId="37" fillId="11" borderId="0" xfId="0" applyFont="1" applyFill="1" applyAlignment="1">
      <alignment vertical="center"/>
    </xf>
    <xf numFmtId="0" fontId="36" fillId="11" borderId="0" xfId="0" applyFont="1" applyFill="1" applyAlignment="1">
      <alignment vertical="center"/>
    </xf>
    <xf numFmtId="0" fontId="5" fillId="9" borderId="11" xfId="0" applyFont="1" applyFill="1" applyBorder="1" applyAlignment="1">
      <alignment horizontal="center" vertical="center"/>
    </xf>
    <xf numFmtId="0" fontId="54" fillId="0" borderId="13" xfId="19" applyFont="1">
      <alignment vertical="center"/>
    </xf>
    <xf numFmtId="0" fontId="55" fillId="0" borderId="0" xfId="2" applyFont="1"/>
    <xf numFmtId="0" fontId="56" fillId="0" borderId="0" xfId="2" applyFont="1"/>
    <xf numFmtId="0" fontId="55" fillId="0" borderId="0" xfId="2" applyFont="1" applyAlignment="1">
      <alignment horizontal="left"/>
    </xf>
    <xf numFmtId="0" fontId="53" fillId="0" borderId="15" xfId="19" applyBorder="1">
      <alignment vertical="center"/>
    </xf>
    <xf numFmtId="0" fontId="5" fillId="0" borderId="9" xfId="0" applyFont="1" applyBorder="1" applyAlignment="1">
      <alignment horizontal="center" vertical="center"/>
    </xf>
    <xf numFmtId="0" fontId="6" fillId="0" borderId="3" xfId="0" applyFont="1" applyBorder="1" applyAlignment="1">
      <alignment horizontal="center" vertical="center"/>
    </xf>
    <xf numFmtId="2" fontId="5" fillId="0" borderId="0" xfId="0" applyNumberFormat="1" applyFont="1" applyAlignment="1">
      <alignment horizontal="center" vertical="center"/>
    </xf>
    <xf numFmtId="0" fontId="51" fillId="0" borderId="0" xfId="0" applyFont="1" applyAlignment="1">
      <alignment horizontal="center"/>
    </xf>
    <xf numFmtId="0" fontId="5" fillId="23" borderId="0" xfId="0" applyFont="1" applyFill="1" applyAlignment="1">
      <alignment horizontal="center" vertical="center" wrapText="1"/>
    </xf>
    <xf numFmtId="0" fontId="63" fillId="23" borderId="0" xfId="0" applyFont="1" applyFill="1" applyAlignment="1">
      <alignment horizontal="center" vertical="center"/>
    </xf>
    <xf numFmtId="168" fontId="6" fillId="5" borderId="0" xfId="0" applyNumberFormat="1" applyFont="1" applyFill="1" applyAlignment="1">
      <alignment vertical="center"/>
    </xf>
    <xf numFmtId="0" fontId="7" fillId="0" borderId="0" xfId="0" applyFont="1" applyAlignment="1">
      <alignment horizontal="right" vertical="center" wrapText="1"/>
    </xf>
    <xf numFmtId="11" fontId="18" fillId="0" borderId="0" xfId="0" applyNumberFormat="1" applyFont="1" applyAlignment="1">
      <alignment vertical="center"/>
    </xf>
    <xf numFmtId="2" fontId="5" fillId="0" borderId="9" xfId="0" applyNumberFormat="1" applyFont="1" applyBorder="1" applyAlignment="1">
      <alignment horizontal="center" vertical="center"/>
    </xf>
    <xf numFmtId="4" fontId="5" fillId="0" borderId="9" xfId="0" applyNumberFormat="1" applyFont="1" applyBorder="1" applyAlignment="1">
      <alignment horizontal="center" vertical="center"/>
    </xf>
    <xf numFmtId="2" fontId="5" fillId="0" borderId="10" xfId="0" applyNumberFormat="1" applyFont="1" applyBorder="1" applyAlignment="1">
      <alignment horizontal="center" vertical="center"/>
    </xf>
    <xf numFmtId="4" fontId="5" fillId="0" borderId="10" xfId="0" applyNumberFormat="1" applyFont="1" applyBorder="1" applyAlignment="1">
      <alignment horizontal="center" vertical="center"/>
    </xf>
    <xf numFmtId="2" fontId="5" fillId="0" borderId="11" xfId="0" applyNumberFormat="1" applyFont="1" applyBorder="1" applyAlignment="1">
      <alignment horizontal="center" vertical="center"/>
    </xf>
    <xf numFmtId="4" fontId="5" fillId="0" borderId="11" xfId="0" applyNumberFormat="1" applyFont="1" applyBorder="1" applyAlignment="1">
      <alignment horizontal="center" vertical="center"/>
    </xf>
    <xf numFmtId="0" fontId="5" fillId="23" borderId="0" xfId="0" applyFont="1" applyFill="1" applyAlignment="1">
      <alignment vertical="center"/>
    </xf>
    <xf numFmtId="0" fontId="6" fillId="23" borderId="0" xfId="0" applyFont="1" applyFill="1" applyAlignment="1">
      <alignment vertical="center"/>
    </xf>
    <xf numFmtId="0" fontId="6" fillId="5" borderId="0" xfId="0" applyFont="1" applyFill="1" applyAlignment="1">
      <alignment vertical="center"/>
    </xf>
    <xf numFmtId="0" fontId="6" fillId="12" borderId="0" xfId="0" applyFont="1" applyFill="1" applyAlignment="1">
      <alignment horizontal="center" vertical="center"/>
    </xf>
    <xf numFmtId="0" fontId="6" fillId="13" borderId="0" xfId="1" applyFont="1" applyFill="1" applyAlignment="1">
      <alignment horizontal="center" vertical="center"/>
    </xf>
    <xf numFmtId="0" fontId="6" fillId="5" borderId="0" xfId="0" applyFont="1" applyFill="1" applyAlignment="1">
      <alignment horizontal="center" vertical="center"/>
    </xf>
    <xf numFmtId="0" fontId="24" fillId="5" borderId="0" xfId="0" applyFont="1" applyFill="1" applyAlignment="1">
      <alignment horizontal="center" vertical="center"/>
    </xf>
    <xf numFmtId="167" fontId="5" fillId="23" borderId="0" xfId="0" applyNumberFormat="1" applyFont="1" applyFill="1" applyAlignment="1">
      <alignment vertical="center"/>
    </xf>
    <xf numFmtId="2" fontId="5" fillId="0" borderId="0" xfId="0" applyNumberFormat="1" applyFont="1" applyAlignment="1">
      <alignment vertical="center"/>
    </xf>
    <xf numFmtId="0" fontId="5" fillId="23" borderId="0" xfId="0" applyFont="1" applyFill="1" applyAlignment="1">
      <alignment horizontal="center" vertical="center"/>
    </xf>
    <xf numFmtId="0" fontId="6" fillId="23" borderId="0" xfId="0" applyFont="1" applyFill="1" applyAlignment="1">
      <alignment horizontal="center" vertical="center"/>
    </xf>
    <xf numFmtId="0" fontId="60" fillId="17" borderId="0" xfId="0" applyFont="1" applyFill="1" applyAlignment="1">
      <alignment horizontal="center" vertical="center"/>
    </xf>
    <xf numFmtId="2" fontId="5" fillId="2" borderId="10" xfId="0" applyNumberFormat="1" applyFont="1" applyFill="1" applyBorder="1" applyAlignment="1">
      <alignment horizontal="center" vertical="center"/>
    </xf>
    <xf numFmtId="2" fontId="5" fillId="2" borderId="11" xfId="0" applyNumberFormat="1" applyFont="1" applyFill="1" applyBorder="1" applyAlignment="1">
      <alignment horizontal="center" vertical="center"/>
    </xf>
    <xf numFmtId="4" fontId="5" fillId="2" borderId="11" xfId="0" applyNumberFormat="1" applyFont="1" applyFill="1" applyBorder="1" applyAlignment="1">
      <alignment horizontal="center" vertical="center"/>
    </xf>
    <xf numFmtId="0" fontId="66" fillId="23" borderId="0" xfId="0" applyFont="1" applyFill="1" applyAlignment="1">
      <alignment horizontal="center" vertical="center"/>
    </xf>
    <xf numFmtId="0" fontId="65" fillId="23" borderId="0" xfId="0" applyFont="1" applyFill="1" applyAlignment="1">
      <alignment horizontal="center" vertical="center"/>
    </xf>
    <xf numFmtId="167" fontId="64" fillId="0" borderId="0" xfId="0" applyNumberFormat="1" applyFont="1" applyAlignment="1">
      <alignment vertical="center" wrapText="1"/>
    </xf>
    <xf numFmtId="4" fontId="64" fillId="0" borderId="0" xfId="0" applyNumberFormat="1" applyFont="1" applyAlignment="1">
      <alignment vertical="center" wrapText="1"/>
    </xf>
    <xf numFmtId="168" fontId="65" fillId="5" borderId="0" xfId="0" applyNumberFormat="1" applyFont="1" applyFill="1" applyAlignment="1">
      <alignment vertical="center"/>
    </xf>
    <xf numFmtId="3" fontId="64" fillId="0" borderId="0" xfId="0" applyNumberFormat="1" applyFont="1" applyAlignment="1">
      <alignment vertical="center" wrapText="1"/>
    </xf>
    <xf numFmtId="167" fontId="64" fillId="24" borderId="0" xfId="0" applyNumberFormat="1" applyFont="1" applyFill="1" applyAlignment="1">
      <alignment vertical="center"/>
    </xf>
    <xf numFmtId="3" fontId="64" fillId="0" borderId="0" xfId="0" applyNumberFormat="1" applyFont="1" applyAlignment="1">
      <alignment vertical="center"/>
    </xf>
    <xf numFmtId="4" fontId="64" fillId="0" borderId="0" xfId="0" applyNumberFormat="1" applyFont="1" applyAlignment="1">
      <alignment vertical="center"/>
    </xf>
    <xf numFmtId="2" fontId="64" fillId="0" borderId="0" xfId="0" applyNumberFormat="1" applyFont="1" applyAlignment="1">
      <alignment vertical="center"/>
    </xf>
    <xf numFmtId="11" fontId="64" fillId="0" borderId="0" xfId="0" applyNumberFormat="1" applyFont="1" applyAlignment="1">
      <alignment vertical="center"/>
    </xf>
    <xf numFmtId="0" fontId="67" fillId="0" borderId="0" xfId="0" applyFont="1" applyAlignment="1">
      <alignment vertical="center"/>
    </xf>
    <xf numFmtId="0" fontId="18" fillId="0" borderId="15" xfId="0" applyFont="1" applyBorder="1" applyAlignment="1">
      <alignment horizontal="center" vertical="center"/>
    </xf>
    <xf numFmtId="0" fontId="53" fillId="0" borderId="13" xfId="19">
      <alignment vertical="center"/>
    </xf>
    <xf numFmtId="49" fontId="61" fillId="0" borderId="0" xfId="26"/>
    <xf numFmtId="4" fontId="55" fillId="0" borderId="0" xfId="27" applyAlignment="1">
      <alignment vertical="center"/>
    </xf>
    <xf numFmtId="4" fontId="55" fillId="0" borderId="0" xfId="27">
      <alignment horizontal="left" vertical="center"/>
    </xf>
    <xf numFmtId="3" fontId="55" fillId="0" borderId="0" xfId="27" applyNumberFormat="1" applyAlignment="1">
      <alignment vertical="center"/>
    </xf>
    <xf numFmtId="3" fontId="55" fillId="0" borderId="0" xfId="27" applyNumberFormat="1" applyAlignment="1">
      <alignment horizontal="center" vertical="center"/>
    </xf>
    <xf numFmtId="3" fontId="5" fillId="0" borderId="0" xfId="0" applyNumberFormat="1" applyFont="1" applyAlignment="1">
      <alignment horizontal="center" vertical="center"/>
    </xf>
    <xf numFmtId="0" fontId="5" fillId="5" borderId="0" xfId="0" applyFont="1" applyFill="1" applyAlignment="1">
      <alignment horizontal="right" vertical="center" wrapText="1"/>
    </xf>
    <xf numFmtId="4" fontId="55" fillId="0" borderId="0" xfId="27" applyAlignment="1">
      <alignment horizontal="center" vertical="center"/>
    </xf>
    <xf numFmtId="49" fontId="58" fillId="0" borderId="0" xfId="23"/>
    <xf numFmtId="4" fontId="57" fillId="0" borderId="0" xfId="27" applyFont="1">
      <alignment horizontal="left" vertical="center"/>
    </xf>
    <xf numFmtId="4" fontId="55" fillId="0" borderId="14" xfId="27" applyBorder="1">
      <alignment horizontal="left" vertical="center"/>
    </xf>
    <xf numFmtId="4" fontId="55" fillId="0" borderId="0" xfId="27" applyAlignment="1">
      <alignment horizontal="right" vertical="center"/>
    </xf>
    <xf numFmtId="3" fontId="55" fillId="0" borderId="0" xfId="27" applyNumberFormat="1">
      <alignment horizontal="left" vertical="center"/>
    </xf>
    <xf numFmtId="167" fontId="55" fillId="0" borderId="0" xfId="27" applyNumberFormat="1" applyAlignment="1">
      <alignment vertical="center"/>
    </xf>
    <xf numFmtId="4" fontId="55" fillId="0" borderId="27" xfId="27" applyBorder="1">
      <alignment horizontal="left" vertical="center"/>
    </xf>
    <xf numFmtId="4" fontId="70" fillId="0" borderId="29" xfId="27" applyFont="1" applyBorder="1" applyAlignment="1">
      <alignment horizontal="center" vertical="center"/>
    </xf>
    <xf numFmtId="4" fontId="70" fillId="0" borderId="27" xfId="27" applyFont="1" applyBorder="1" applyAlignment="1">
      <alignment horizontal="center" vertical="center"/>
    </xf>
    <xf numFmtId="4" fontId="70" fillId="0" borderId="28" xfId="27" applyFont="1" applyBorder="1" applyAlignment="1">
      <alignment horizontal="center" vertical="center"/>
    </xf>
    <xf numFmtId="4" fontId="55" fillId="0" borderId="31" xfId="27" applyBorder="1">
      <alignment horizontal="left" vertical="center"/>
    </xf>
    <xf numFmtId="4" fontId="55" fillId="0" borderId="32" xfId="27" applyBorder="1">
      <alignment horizontal="left" vertical="center"/>
    </xf>
    <xf numFmtId="4" fontId="55" fillId="0" borderId="33" xfId="27" applyBorder="1">
      <alignment horizontal="left" vertical="center"/>
    </xf>
    <xf numFmtId="4" fontId="55" fillId="0" borderId="34" xfId="27" applyBorder="1">
      <alignment horizontal="left" vertical="center"/>
    </xf>
    <xf numFmtId="171" fontId="55" fillId="0" borderId="0" xfId="27" applyNumberFormat="1" applyAlignment="1">
      <alignment horizontal="right" vertical="center"/>
    </xf>
    <xf numFmtId="4" fontId="55" fillId="0" borderId="35" xfId="27" applyBorder="1">
      <alignment horizontal="left" vertical="center"/>
    </xf>
    <xf numFmtId="4" fontId="55" fillId="0" borderId="36" xfId="27" applyBorder="1">
      <alignment horizontal="left" vertical="center"/>
    </xf>
    <xf numFmtId="4" fontId="55" fillId="0" borderId="37" xfId="27" applyBorder="1">
      <alignment horizontal="left" vertical="center"/>
    </xf>
    <xf numFmtId="4" fontId="55" fillId="0" borderId="38" xfId="27" applyBorder="1">
      <alignment horizontal="left" vertical="center"/>
    </xf>
    <xf numFmtId="4" fontId="70" fillId="0" borderId="0" xfId="27" applyFont="1">
      <alignment horizontal="left" vertical="center"/>
    </xf>
    <xf numFmtId="4" fontId="74" fillId="0" borderId="28" xfId="27" applyFont="1" applyBorder="1">
      <alignment horizontal="left" vertical="center"/>
    </xf>
    <xf numFmtId="4" fontId="70" fillId="0" borderId="29" xfId="27" applyFont="1" applyBorder="1">
      <alignment horizontal="left" vertical="center"/>
    </xf>
    <xf numFmtId="168" fontId="18" fillId="5" borderId="14" xfId="0" applyNumberFormat="1" applyFont="1" applyFill="1" applyBorder="1" applyAlignment="1">
      <alignment horizontal="center" vertical="center"/>
    </xf>
    <xf numFmtId="2" fontId="18" fillId="5" borderId="14" xfId="0" applyNumberFormat="1" applyFont="1" applyFill="1" applyBorder="1" applyAlignment="1">
      <alignment horizontal="center" vertical="center"/>
    </xf>
    <xf numFmtId="4" fontId="55" fillId="5" borderId="8" xfId="27" applyFill="1" applyBorder="1" applyAlignment="1">
      <alignment vertical="center"/>
    </xf>
    <xf numFmtId="4" fontId="55" fillId="5" borderId="6" xfId="27" applyFill="1" applyBorder="1" applyAlignment="1">
      <alignment horizontal="right" vertical="center"/>
    </xf>
    <xf numFmtId="0" fontId="18" fillId="0" borderId="0" xfId="0" applyFont="1" applyAlignment="1">
      <alignment horizontal="right" vertical="center"/>
    </xf>
    <xf numFmtId="0" fontId="21" fillId="0" borderId="0" xfId="0" applyFont="1" applyAlignment="1">
      <alignment horizontal="left" vertical="center"/>
    </xf>
    <xf numFmtId="4" fontId="74" fillId="0" borderId="0" xfId="27" applyFont="1">
      <alignment horizontal="left" vertical="center"/>
    </xf>
    <xf numFmtId="11" fontId="18" fillId="0" borderId="0" xfId="0" applyNumberFormat="1" applyFont="1" applyAlignment="1">
      <alignment horizontal="center" vertical="center"/>
    </xf>
    <xf numFmtId="2" fontId="18" fillId="0" borderId="14" xfId="0" applyNumberFormat="1" applyFont="1" applyBorder="1" applyAlignment="1">
      <alignment horizontal="center" vertical="center"/>
    </xf>
    <xf numFmtId="3" fontId="34" fillId="5" borderId="6" xfId="27" applyNumberFormat="1" applyFont="1" applyFill="1" applyBorder="1" applyAlignment="1">
      <alignment horizontal="center" vertical="center"/>
    </xf>
    <xf numFmtId="3" fontId="34" fillId="5" borderId="8" xfId="27" applyNumberFormat="1" applyFont="1" applyFill="1" applyBorder="1" applyAlignment="1">
      <alignment horizontal="center" vertical="center"/>
    </xf>
    <xf numFmtId="1" fontId="18" fillId="0" borderId="0" xfId="0" applyNumberFormat="1" applyFont="1" applyAlignment="1">
      <alignment horizontal="center" vertical="center"/>
    </xf>
    <xf numFmtId="4" fontId="74" fillId="0" borderId="39" xfId="27" applyFont="1" applyBorder="1">
      <alignment horizontal="left" vertical="center"/>
    </xf>
    <xf numFmtId="3" fontId="55" fillId="0" borderId="14" xfId="27" applyNumberFormat="1" applyBorder="1" applyAlignment="1">
      <alignment horizontal="center" vertical="center"/>
    </xf>
    <xf numFmtId="4" fontId="70" fillId="0" borderId="40" xfId="27" applyFont="1" applyBorder="1">
      <alignment horizontal="left" vertical="center"/>
    </xf>
    <xf numFmtId="4" fontId="55" fillId="0" borderId="41" xfId="27" applyBorder="1">
      <alignment horizontal="left" vertical="center"/>
    </xf>
    <xf numFmtId="0" fontId="18" fillId="0" borderId="41" xfId="0" applyFont="1" applyBorder="1" applyAlignment="1">
      <alignment horizontal="center" vertical="center"/>
    </xf>
    <xf numFmtId="4" fontId="55" fillId="0" borderId="42" xfId="27" applyBorder="1">
      <alignment horizontal="left" vertical="center"/>
    </xf>
    <xf numFmtId="4" fontId="55" fillId="0" borderId="28" xfId="27" applyBorder="1" applyAlignment="1">
      <alignment horizontal="right" vertical="center"/>
    </xf>
    <xf numFmtId="4" fontId="55" fillId="5" borderId="44" xfId="27" applyFill="1" applyBorder="1" applyAlignment="1">
      <alignment vertical="center"/>
    </xf>
    <xf numFmtId="4" fontId="55" fillId="0" borderId="28" xfId="27" applyBorder="1">
      <alignment horizontal="left" vertical="center"/>
    </xf>
    <xf numFmtId="0" fontId="18" fillId="0" borderId="28" xfId="0" applyFont="1" applyBorder="1" applyAlignment="1">
      <alignment horizontal="center" vertical="center"/>
    </xf>
    <xf numFmtId="0" fontId="18" fillId="0" borderId="30" xfId="0" applyFont="1" applyBorder="1" applyAlignment="1">
      <alignment horizontal="center" vertical="center"/>
    </xf>
    <xf numFmtId="0" fontId="5" fillId="0" borderId="45" xfId="0" applyFont="1" applyBorder="1" applyAlignment="1">
      <alignment horizontal="left" vertical="center"/>
    </xf>
    <xf numFmtId="0" fontId="5" fillId="0" borderId="27" xfId="0" applyFont="1" applyBorder="1" applyAlignment="1">
      <alignment horizontal="left" vertical="center"/>
    </xf>
    <xf numFmtId="0" fontId="5" fillId="0" borderId="29" xfId="0" applyFont="1" applyBorder="1" applyAlignment="1">
      <alignment horizontal="left" vertical="center"/>
    </xf>
    <xf numFmtId="0" fontId="18" fillId="0" borderId="46" xfId="0" applyFont="1" applyBorder="1" applyAlignment="1">
      <alignment horizontal="center" vertical="center"/>
    </xf>
    <xf numFmtId="4" fontId="55" fillId="0" borderId="28" xfId="27" applyBorder="1" applyAlignment="1">
      <alignment vertical="center"/>
    </xf>
    <xf numFmtId="167" fontId="55" fillId="0" borderId="28" xfId="27" applyNumberFormat="1" applyBorder="1" applyAlignment="1">
      <alignment vertical="center"/>
    </xf>
    <xf numFmtId="4" fontId="55" fillId="0" borderId="45" xfId="27" applyBorder="1" applyAlignment="1">
      <alignment vertical="center"/>
    </xf>
    <xf numFmtId="167" fontId="55" fillId="0" borderId="27" xfId="27" applyNumberFormat="1" applyBorder="1" applyAlignment="1">
      <alignment vertical="center"/>
    </xf>
    <xf numFmtId="0" fontId="18" fillId="0" borderId="27" xfId="0" applyFont="1" applyBorder="1" applyAlignment="1">
      <alignment horizontal="center" vertical="center"/>
    </xf>
    <xf numFmtId="4" fontId="55" fillId="0" borderId="29" xfId="27" applyBorder="1">
      <alignment horizontal="left" vertical="center"/>
    </xf>
    <xf numFmtId="4" fontId="55" fillId="30" borderId="43" xfId="27" applyFill="1" applyBorder="1" applyAlignment="1">
      <alignment horizontal="right" vertical="center"/>
    </xf>
    <xf numFmtId="4" fontId="55" fillId="30" borderId="14" xfId="27" applyFill="1" applyBorder="1" applyAlignment="1">
      <alignment horizontal="right" vertical="center"/>
    </xf>
    <xf numFmtId="4" fontId="55" fillId="30" borderId="44" xfId="27" applyFill="1" applyBorder="1" applyAlignment="1">
      <alignment vertical="center"/>
    </xf>
    <xf numFmtId="4" fontId="55" fillId="29" borderId="43" xfId="27" applyFill="1" applyBorder="1" applyAlignment="1">
      <alignment horizontal="right" vertical="center"/>
    </xf>
    <xf numFmtId="4" fontId="55" fillId="29" borderId="14" xfId="27" applyFill="1" applyBorder="1" applyAlignment="1">
      <alignment horizontal="right" vertical="center"/>
    </xf>
    <xf numFmtId="4" fontId="55" fillId="29" borderId="44" xfId="27" applyFill="1" applyBorder="1" applyAlignment="1">
      <alignment vertical="center"/>
    </xf>
    <xf numFmtId="4" fontId="55" fillId="6" borderId="43" xfId="27" applyFill="1" applyBorder="1" applyAlignment="1">
      <alignment horizontal="right" vertical="center"/>
    </xf>
    <xf numFmtId="4" fontId="55" fillId="6" borderId="14" xfId="27" applyFill="1" applyBorder="1" applyAlignment="1">
      <alignment horizontal="right" vertical="center"/>
    </xf>
    <xf numFmtId="4" fontId="55" fillId="6" borderId="44" xfId="27" applyFill="1" applyBorder="1" applyAlignment="1">
      <alignment vertical="center"/>
    </xf>
    <xf numFmtId="0" fontId="34" fillId="0" borderId="0" xfId="0" applyFont="1" applyAlignment="1">
      <alignment horizontal="left" vertical="center"/>
    </xf>
    <xf numFmtId="4" fontId="55" fillId="0" borderId="40" xfId="27" applyBorder="1">
      <alignment horizontal="left" vertical="center"/>
    </xf>
    <xf numFmtId="4" fontId="55" fillId="0" borderId="30" xfId="27" applyBorder="1">
      <alignment horizontal="left" vertical="center"/>
    </xf>
    <xf numFmtId="0" fontId="18" fillId="0" borderId="45" xfId="0" applyFont="1" applyBorder="1" applyAlignment="1">
      <alignment horizontal="center" vertical="center"/>
    </xf>
    <xf numFmtId="0" fontId="18" fillId="0" borderId="29" xfId="0" applyFont="1" applyBorder="1" applyAlignment="1">
      <alignment horizontal="center" vertical="center"/>
    </xf>
    <xf numFmtId="0" fontId="50" fillId="0" borderId="0" xfId="0" applyFont="1" applyAlignment="1">
      <alignment horizontal="left" vertical="center"/>
    </xf>
    <xf numFmtId="4" fontId="5" fillId="0" borderId="0" xfId="0" applyNumberFormat="1" applyFont="1" applyAlignment="1">
      <alignment horizontal="left" vertical="center"/>
    </xf>
    <xf numFmtId="168" fontId="5" fillId="0" borderId="0" xfId="0" applyNumberFormat="1" applyFont="1" applyAlignment="1">
      <alignment horizontal="left" vertical="center"/>
    </xf>
    <xf numFmtId="0" fontId="7" fillId="7" borderId="0" xfId="0" applyFont="1" applyFill="1" applyAlignment="1">
      <alignment horizontal="left" vertical="center"/>
    </xf>
    <xf numFmtId="2" fontId="5" fillId="0" borderId="0" xfId="0" applyNumberFormat="1" applyFont="1" applyAlignment="1">
      <alignment horizontal="left" vertical="center"/>
    </xf>
    <xf numFmtId="3" fontId="0" fillId="0" borderId="0" xfId="0" applyNumberFormat="1" applyAlignment="1">
      <alignment horizontal="center"/>
    </xf>
    <xf numFmtId="4" fontId="0" fillId="0" borderId="0" xfId="0" applyNumberFormat="1" applyAlignment="1">
      <alignment horizontal="center"/>
    </xf>
    <xf numFmtId="0" fontId="0" fillId="0" borderId="0" xfId="0" applyAlignment="1">
      <alignment horizontal="center"/>
    </xf>
    <xf numFmtId="0" fontId="0" fillId="0" borderId="0" xfId="0" applyAlignment="1">
      <alignment horizontal="left"/>
    </xf>
    <xf numFmtId="169" fontId="0" fillId="0" borderId="0" xfId="0" applyNumberFormat="1"/>
    <xf numFmtId="1" fontId="0" fillId="0" borderId="0" xfId="0" applyNumberFormat="1" applyAlignment="1">
      <alignment horizontal="center"/>
    </xf>
    <xf numFmtId="0" fontId="77" fillId="0" borderId="0" xfId="0" applyFont="1" applyAlignment="1">
      <alignment horizontal="center"/>
    </xf>
    <xf numFmtId="2" fontId="0" fillId="0" borderId="0" xfId="0" applyNumberFormat="1" applyAlignment="1">
      <alignment horizontal="center"/>
    </xf>
    <xf numFmtId="4" fontId="18" fillId="0" borderId="0" xfId="0" applyNumberFormat="1" applyFont="1" applyAlignment="1">
      <alignment horizontal="center" vertical="center"/>
    </xf>
    <xf numFmtId="1" fontId="5" fillId="0" borderId="0" xfId="0" applyNumberFormat="1" applyFont="1" applyAlignment="1">
      <alignment horizontal="center" vertical="center"/>
    </xf>
    <xf numFmtId="4" fontId="55" fillId="15" borderId="43" xfId="27" applyFill="1" applyBorder="1" applyAlignment="1">
      <alignment horizontal="right" vertical="center"/>
    </xf>
    <xf numFmtId="4" fontId="55" fillId="15" borderId="14" xfId="27" applyFill="1" applyBorder="1" applyAlignment="1">
      <alignment horizontal="right" vertical="center"/>
    </xf>
    <xf numFmtId="4" fontId="55" fillId="15" borderId="44" xfId="27" applyFill="1" applyBorder="1" applyAlignment="1">
      <alignment vertical="center"/>
    </xf>
    <xf numFmtId="0" fontId="5" fillId="0" borderId="40" xfId="0" applyFont="1" applyBorder="1" applyAlignment="1">
      <alignment horizontal="left" vertical="center"/>
    </xf>
    <xf numFmtId="0" fontId="5" fillId="0" borderId="41" xfId="0" applyFont="1" applyBorder="1" applyAlignment="1">
      <alignment horizontal="left" vertical="center"/>
    </xf>
    <xf numFmtId="0" fontId="5" fillId="0" borderId="42" xfId="0" applyFont="1" applyBorder="1" applyAlignment="1">
      <alignment horizontal="left" vertical="center"/>
    </xf>
    <xf numFmtId="0" fontId="5" fillId="0" borderId="30" xfId="0" applyFont="1" applyBorder="1" applyAlignment="1">
      <alignment horizontal="left" vertical="center"/>
    </xf>
    <xf numFmtId="0" fontId="5" fillId="0" borderId="28" xfId="0" applyFont="1" applyBorder="1" applyAlignment="1">
      <alignment horizontal="left" vertical="center"/>
    </xf>
    <xf numFmtId="4" fontId="73" fillId="0" borderId="0" xfId="27" applyFont="1">
      <alignment horizontal="left" vertical="center"/>
    </xf>
    <xf numFmtId="4" fontId="55" fillId="0" borderId="45" xfId="27" applyBorder="1">
      <alignment horizontal="left" vertical="center"/>
    </xf>
    <xf numFmtId="4" fontId="70" fillId="0" borderId="41" xfId="27" applyFont="1" applyBorder="1">
      <alignment horizontal="left" vertical="center"/>
    </xf>
    <xf numFmtId="4" fontId="55" fillId="0" borderId="0" xfId="27" applyAlignment="1" applyProtection="1">
      <alignment horizontal="center" vertical="center"/>
      <protection locked="0"/>
    </xf>
    <xf numFmtId="3" fontId="55" fillId="0" borderId="0" xfId="27" applyNumberFormat="1" applyAlignment="1" applyProtection="1">
      <alignment horizontal="right" vertical="center"/>
      <protection locked="0"/>
    </xf>
    <xf numFmtId="4" fontId="55" fillId="0" borderId="15" xfId="27" applyBorder="1">
      <alignment horizontal="left" vertical="center"/>
    </xf>
    <xf numFmtId="0" fontId="81" fillId="0" borderId="48" xfId="0" applyFont="1" applyBorder="1" applyAlignment="1">
      <alignment horizontal="left" wrapText="1"/>
    </xf>
    <xf numFmtId="0" fontId="56" fillId="0" borderId="49" xfId="0" applyFont="1" applyBorder="1" applyAlignment="1">
      <alignment horizontal="justify" vertical="center" wrapText="1"/>
    </xf>
    <xf numFmtId="0" fontId="50" fillId="31" borderId="49" xfId="0" applyFont="1" applyFill="1" applyBorder="1" applyAlignment="1">
      <alignment horizontal="center" vertical="center" wrapText="1"/>
    </xf>
    <xf numFmtId="0" fontId="50" fillId="31" borderId="29" xfId="0" applyFont="1" applyFill="1" applyBorder="1" applyAlignment="1">
      <alignment horizontal="center" vertical="center" wrapText="1"/>
    </xf>
    <xf numFmtId="0" fontId="81" fillId="0" borderId="49" xfId="0" applyFont="1" applyBorder="1" applyAlignment="1">
      <alignment horizontal="center" vertical="center" wrapText="1"/>
    </xf>
    <xf numFmtId="0" fontId="34" fillId="0" borderId="29" xfId="0" applyFont="1" applyBorder="1" applyAlignment="1">
      <alignment vertical="center" wrapText="1"/>
    </xf>
    <xf numFmtId="0" fontId="81" fillId="0" borderId="29" xfId="0" applyFont="1" applyBorder="1" applyAlignment="1">
      <alignment horizontal="center" vertical="center" wrapText="1"/>
    </xf>
    <xf numFmtId="0" fontId="50" fillId="0" borderId="49" xfId="0" applyFont="1" applyBorder="1" applyAlignment="1">
      <alignment horizontal="center" vertical="center" wrapText="1"/>
    </xf>
    <xf numFmtId="0" fontId="34" fillId="0" borderId="28" xfId="0" applyFont="1" applyBorder="1" applyAlignment="1">
      <alignment vertical="center" wrapText="1"/>
    </xf>
    <xf numFmtId="0" fontId="50" fillId="31" borderId="53" xfId="0" applyFont="1" applyFill="1" applyBorder="1" applyAlignment="1">
      <alignment horizontal="center" vertical="center" wrapText="1"/>
    </xf>
    <xf numFmtId="0" fontId="50" fillId="31" borderId="28" xfId="0" applyFont="1" applyFill="1" applyBorder="1" applyAlignment="1">
      <alignment horizontal="center" vertical="center" wrapText="1"/>
    </xf>
    <xf numFmtId="0" fontId="50" fillId="31" borderId="54" xfId="0" applyFont="1" applyFill="1" applyBorder="1" applyAlignment="1">
      <alignment horizontal="center" vertical="center" wrapText="1"/>
    </xf>
    <xf numFmtId="0" fontId="50" fillId="31" borderId="52" xfId="0" applyFont="1" applyFill="1" applyBorder="1" applyAlignment="1">
      <alignment horizontal="center" vertical="center" wrapText="1"/>
    </xf>
    <xf numFmtId="0" fontId="85" fillId="0" borderId="0" xfId="0" applyFont="1" applyAlignment="1">
      <alignment vertical="center" wrapText="1"/>
    </xf>
    <xf numFmtId="0" fontId="56" fillId="0" borderId="0" xfId="0" applyFont="1" applyAlignment="1">
      <alignment horizontal="justify" vertical="center"/>
    </xf>
    <xf numFmtId="0" fontId="80" fillId="0" borderId="0" xfId="0" applyFont="1"/>
    <xf numFmtId="0" fontId="80" fillId="0" borderId="59" xfId="0" applyFont="1" applyBorder="1" applyAlignment="1">
      <alignment vertical="top" wrapText="1"/>
    </xf>
    <xf numFmtId="0" fontId="34" fillId="0" borderId="59" xfId="0" applyFont="1" applyBorder="1" applyAlignment="1">
      <alignment vertical="top" wrapText="1"/>
    </xf>
    <xf numFmtId="0" fontId="34" fillId="0" borderId="60" xfId="0" applyFont="1" applyBorder="1" applyAlignment="1">
      <alignment vertical="top" wrapText="1"/>
    </xf>
    <xf numFmtId="0" fontId="70" fillId="0" borderId="57" xfId="0" applyFont="1" applyBorder="1" applyAlignment="1">
      <alignment vertical="center" wrapText="1"/>
    </xf>
    <xf numFmtId="0" fontId="34" fillId="0" borderId="57" xfId="0" applyFont="1" applyBorder="1" applyAlignment="1">
      <alignment vertical="top" wrapText="1"/>
    </xf>
    <xf numFmtId="0" fontId="34" fillId="0" borderId="58" xfId="0" applyFont="1" applyBorder="1" applyAlignment="1">
      <alignment vertical="top" wrapText="1"/>
    </xf>
    <xf numFmtId="0" fontId="55" fillId="0" borderId="57" xfId="0" applyFont="1" applyBorder="1" applyAlignment="1">
      <alignment vertical="center" wrapText="1"/>
    </xf>
    <xf numFmtId="0" fontId="55" fillId="0" borderId="58" xfId="0" applyFont="1" applyBorder="1" applyAlignment="1">
      <alignment vertical="center" wrapText="1"/>
    </xf>
    <xf numFmtId="0" fontId="55" fillId="0" borderId="30" xfId="0" applyFont="1" applyBorder="1" applyAlignment="1">
      <alignment vertical="center" wrapText="1"/>
    </xf>
    <xf numFmtId="0" fontId="70" fillId="0" borderId="30" xfId="0" applyFont="1" applyBorder="1" applyAlignment="1">
      <alignment vertical="center" wrapText="1"/>
    </xf>
    <xf numFmtId="0" fontId="70" fillId="0" borderId="28" xfId="0" applyFont="1" applyBorder="1" applyAlignment="1">
      <alignment vertical="center" wrapText="1"/>
    </xf>
    <xf numFmtId="0" fontId="70" fillId="0" borderId="55" xfId="0" applyFont="1" applyBorder="1" applyAlignment="1">
      <alignment vertical="center" wrapText="1"/>
    </xf>
    <xf numFmtId="0" fontId="55" fillId="0" borderId="55" xfId="0" applyFont="1" applyBorder="1" applyAlignment="1">
      <alignment vertical="center" wrapText="1"/>
    </xf>
    <xf numFmtId="0" fontId="55" fillId="0" borderId="56" xfId="0" applyFont="1" applyBorder="1" applyAlignment="1">
      <alignment vertical="center" wrapText="1"/>
    </xf>
    <xf numFmtId="0" fontId="74" fillId="0" borderId="30" xfId="0" applyFont="1" applyBorder="1" applyAlignment="1">
      <alignment vertical="center" wrapText="1"/>
    </xf>
    <xf numFmtId="0" fontId="74" fillId="0" borderId="0" xfId="0" applyFont="1" applyAlignment="1">
      <alignment vertical="center" wrapText="1"/>
    </xf>
    <xf numFmtId="0" fontId="74" fillId="0" borderId="28" xfId="0" applyFont="1" applyBorder="1" applyAlignment="1">
      <alignment vertical="center" wrapText="1"/>
    </xf>
    <xf numFmtId="0" fontId="34" fillId="0" borderId="45" xfId="0" applyFont="1" applyBorder="1" applyAlignment="1">
      <alignment vertical="center" wrapText="1"/>
    </xf>
    <xf numFmtId="0" fontId="34" fillId="0" borderId="27" xfId="0" applyFont="1" applyBorder="1" applyAlignment="1">
      <alignment vertical="center" wrapText="1"/>
    </xf>
    <xf numFmtId="0" fontId="70" fillId="0" borderId="40" xfId="0" applyFont="1" applyBorder="1" applyAlignment="1">
      <alignment vertical="center" wrapText="1"/>
    </xf>
    <xf numFmtId="0" fontId="70" fillId="0" borderId="42" xfId="0" applyFont="1" applyBorder="1" applyAlignment="1">
      <alignment vertical="center" wrapText="1"/>
    </xf>
    <xf numFmtId="0" fontId="84" fillId="0" borderId="41" xfId="0" applyFont="1" applyBorder="1" applyAlignment="1">
      <alignment vertical="center" wrapText="1"/>
    </xf>
    <xf numFmtId="0" fontId="84" fillId="0" borderId="42" xfId="0" applyFont="1" applyBorder="1" applyAlignment="1">
      <alignment vertical="center" wrapText="1"/>
    </xf>
    <xf numFmtId="0" fontId="0" fillId="0" borderId="0" xfId="0" applyAlignment="1">
      <alignment horizontal="left" wrapText="1"/>
    </xf>
    <xf numFmtId="0" fontId="0" fillId="0" borderId="0" xfId="0" applyAlignment="1">
      <alignment horizontal="left" vertical="center"/>
    </xf>
    <xf numFmtId="0" fontId="80" fillId="0" borderId="0" xfId="0" applyFont="1" applyAlignment="1">
      <alignment horizontal="left"/>
    </xf>
    <xf numFmtId="0" fontId="80" fillId="5" borderId="0" xfId="0" applyFont="1" applyFill="1"/>
    <xf numFmtId="0" fontId="80" fillId="5" borderId="0" xfId="0" applyFont="1" applyFill="1" applyAlignment="1">
      <alignment horizontal="left"/>
    </xf>
    <xf numFmtId="0" fontId="0" fillId="5" borderId="44" xfId="0" applyFill="1" applyBorder="1"/>
    <xf numFmtId="0" fontId="0" fillId="5" borderId="62" xfId="0" applyFill="1" applyBorder="1"/>
    <xf numFmtId="0" fontId="0" fillId="0" borderId="44" xfId="0" applyBorder="1" applyAlignment="1">
      <alignment horizontal="center" vertical="center"/>
    </xf>
    <xf numFmtId="0" fontId="0" fillId="0" borderId="62" xfId="0" applyBorder="1" applyAlignment="1">
      <alignment horizontal="center" vertical="center"/>
    </xf>
    <xf numFmtId="0" fontId="0" fillId="0" borderId="30" xfId="0" applyBorder="1"/>
    <xf numFmtId="0" fontId="0" fillId="0" borderId="28" xfId="0" applyBorder="1"/>
    <xf numFmtId="0" fontId="0" fillId="5" borderId="0" xfId="0" applyFill="1"/>
    <xf numFmtId="0" fontId="0" fillId="5" borderId="0" xfId="0" applyFill="1" applyAlignment="1">
      <alignment horizontal="left" wrapText="1"/>
    </xf>
    <xf numFmtId="0" fontId="0" fillId="5" borderId="44" xfId="0" applyFill="1" applyBorder="1" applyAlignment="1">
      <alignment horizontal="center" vertical="center"/>
    </xf>
    <xf numFmtId="0" fontId="0" fillId="5" borderId="62" xfId="0" applyFill="1" applyBorder="1" applyAlignment="1">
      <alignment horizontal="center" vertical="center"/>
    </xf>
    <xf numFmtId="0" fontId="0" fillId="0" borderId="30" xfId="0" applyBorder="1" applyAlignment="1">
      <alignment horizontal="center" vertical="center"/>
    </xf>
    <xf numFmtId="0" fontId="0" fillId="0" borderId="28" xfId="0" applyBorder="1" applyAlignment="1">
      <alignment horizontal="center" vertical="center"/>
    </xf>
    <xf numFmtId="0" fontId="81" fillId="0" borderId="45" xfId="0" applyFont="1" applyBorder="1" applyAlignment="1">
      <alignment vertical="center" wrapText="1"/>
    </xf>
    <xf numFmtId="0" fontId="81" fillId="0" borderId="27" xfId="0" applyFont="1" applyBorder="1" applyAlignment="1">
      <alignment vertical="center" wrapText="1"/>
    </xf>
    <xf numFmtId="0" fontId="81" fillId="0" borderId="29" xfId="0" applyFont="1" applyBorder="1" applyAlignment="1">
      <alignment vertical="center" wrapText="1"/>
    </xf>
    <xf numFmtId="0" fontId="81" fillId="31" borderId="50" xfId="0" applyFont="1" applyFill="1" applyBorder="1" applyAlignment="1">
      <alignment vertical="center" wrapText="1"/>
    </xf>
    <xf numFmtId="0" fontId="81" fillId="31" borderId="51" xfId="0" applyFont="1" applyFill="1" applyBorder="1" applyAlignment="1">
      <alignment vertical="center" wrapText="1"/>
    </xf>
    <xf numFmtId="0" fontId="81" fillId="31" borderId="52" xfId="0" applyFont="1" applyFill="1" applyBorder="1" applyAlignment="1">
      <alignment vertical="center" wrapText="1"/>
    </xf>
    <xf numFmtId="0" fontId="50" fillId="31" borderId="50" xfId="0" applyFont="1" applyFill="1" applyBorder="1" applyAlignment="1">
      <alignment vertical="center" wrapText="1"/>
    </xf>
    <xf numFmtId="0" fontId="50" fillId="31" borderId="51" xfId="0" applyFont="1" applyFill="1" applyBorder="1" applyAlignment="1">
      <alignment vertical="center" wrapText="1"/>
    </xf>
    <xf numFmtId="0" fontId="50" fillId="31" borderId="52" xfId="0" applyFont="1" applyFill="1" applyBorder="1" applyAlignment="1">
      <alignment vertical="center" wrapText="1"/>
    </xf>
    <xf numFmtId="0" fontId="81" fillId="31" borderId="40" xfId="0" applyFont="1" applyFill="1" applyBorder="1" applyAlignment="1">
      <alignment vertical="center" wrapText="1"/>
    </xf>
    <xf numFmtId="0" fontId="81" fillId="31" borderId="41" xfId="0" applyFont="1" applyFill="1" applyBorder="1" applyAlignment="1">
      <alignment vertical="center" wrapText="1"/>
    </xf>
    <xf numFmtId="0" fontId="81" fillId="31" borderId="42" xfId="0" applyFont="1" applyFill="1" applyBorder="1" applyAlignment="1">
      <alignment vertical="center" wrapText="1"/>
    </xf>
    <xf numFmtId="0" fontId="81" fillId="31" borderId="45" xfId="0" applyFont="1" applyFill="1" applyBorder="1" applyAlignment="1">
      <alignment vertical="center" wrapText="1"/>
    </xf>
    <xf numFmtId="0" fontId="81" fillId="31" borderId="27" xfId="0" applyFont="1" applyFill="1" applyBorder="1" applyAlignment="1">
      <alignment vertical="center" wrapText="1"/>
    </xf>
    <xf numFmtId="0" fontId="81" fillId="31" borderId="29" xfId="0" applyFont="1" applyFill="1" applyBorder="1" applyAlignment="1">
      <alignment vertical="center" wrapText="1"/>
    </xf>
    <xf numFmtId="0" fontId="0" fillId="0" borderId="0" xfId="0" applyAlignment="1">
      <alignment horizontal="center" vertical="center"/>
    </xf>
    <xf numFmtId="0" fontId="80" fillId="0" borderId="0" xfId="0" applyFont="1" applyAlignment="1">
      <alignment horizontal="center"/>
    </xf>
    <xf numFmtId="1" fontId="80" fillId="0" borderId="0" xfId="0" applyNumberFormat="1" applyFont="1" applyAlignment="1">
      <alignment horizontal="center"/>
    </xf>
    <xf numFmtId="0" fontId="34" fillId="4" borderId="29" xfId="0" applyFont="1" applyFill="1" applyBorder="1" applyAlignment="1">
      <alignment vertical="center" wrapText="1"/>
    </xf>
    <xf numFmtId="0" fontId="81" fillId="4" borderId="29" xfId="0" applyFont="1" applyFill="1" applyBorder="1" applyAlignment="1">
      <alignment horizontal="center" vertical="center" wrapText="1"/>
    </xf>
    <xf numFmtId="0" fontId="34" fillId="10" borderId="29" xfId="0" applyFont="1" applyFill="1" applyBorder="1" applyAlignment="1">
      <alignment vertical="center" wrapText="1"/>
    </xf>
    <xf numFmtId="0" fontId="81" fillId="10" borderId="29" xfId="0" applyFont="1" applyFill="1" applyBorder="1" applyAlignment="1">
      <alignment horizontal="center" vertical="center" wrapText="1"/>
    </xf>
    <xf numFmtId="0" fontId="0" fillId="4" borderId="0" xfId="0" applyFill="1"/>
    <xf numFmtId="0" fontId="0" fillId="10" borderId="0" xfId="0" applyFill="1"/>
    <xf numFmtId="0" fontId="80" fillId="0" borderId="0" xfId="0" applyFont="1" applyAlignment="1">
      <alignment horizontal="center" textRotation="90" wrapText="1"/>
    </xf>
    <xf numFmtId="0" fontId="80" fillId="0" borderId="0" xfId="0" applyFont="1" applyAlignment="1">
      <alignment wrapText="1"/>
    </xf>
    <xf numFmtId="0" fontId="0" fillId="0" borderId="0" xfId="0" applyProtection="1">
      <protection locked="0"/>
    </xf>
    <xf numFmtId="0" fontId="80" fillId="0" borderId="50" xfId="0" applyFont="1" applyBorder="1"/>
    <xf numFmtId="0" fontId="80" fillId="0" borderId="52" xfId="0" applyFont="1" applyBorder="1" applyAlignment="1">
      <alignment horizontal="center"/>
    </xf>
    <xf numFmtId="0" fontId="81" fillId="4" borderId="28" xfId="0" applyFont="1" applyFill="1" applyBorder="1" applyAlignment="1">
      <alignment horizontal="center" vertical="center" wrapText="1"/>
    </xf>
    <xf numFmtId="0" fontId="81" fillId="0" borderId="28" xfId="0" applyFont="1" applyBorder="1" applyAlignment="1">
      <alignment horizontal="center" vertical="center" wrapText="1"/>
    </xf>
    <xf numFmtId="0" fontId="80" fillId="32" borderId="0" xfId="0" applyFont="1" applyFill="1" applyAlignment="1">
      <alignment horizontal="center"/>
    </xf>
    <xf numFmtId="0" fontId="0" fillId="32" borderId="0" xfId="0" applyFill="1" applyAlignment="1">
      <alignment horizontal="center"/>
    </xf>
    <xf numFmtId="0" fontId="0" fillId="0" borderId="12" xfId="0" applyBorder="1" applyAlignment="1">
      <alignment horizontal="center"/>
    </xf>
    <xf numFmtId="0" fontId="80" fillId="0" borderId="63" xfId="0" applyFont="1" applyBorder="1"/>
    <xf numFmtId="0" fontId="80" fillId="0" borderId="64" xfId="0" applyFont="1" applyBorder="1" applyAlignment="1">
      <alignment horizontal="center"/>
    </xf>
    <xf numFmtId="0" fontId="80" fillId="0" borderId="65" xfId="0" applyFont="1" applyBorder="1" applyAlignment="1">
      <alignment horizontal="center"/>
    </xf>
    <xf numFmtId="0" fontId="0" fillId="0" borderId="66" xfId="0" applyBorder="1"/>
    <xf numFmtId="0" fontId="0" fillId="0" borderId="67" xfId="0" applyBorder="1" applyAlignment="1">
      <alignment horizontal="center"/>
    </xf>
    <xf numFmtId="0" fontId="0" fillId="0" borderId="68" xfId="0" applyBorder="1"/>
    <xf numFmtId="0" fontId="0" fillId="0" borderId="69" xfId="0" applyBorder="1" applyAlignment="1">
      <alignment horizontal="center"/>
    </xf>
    <xf numFmtId="0" fontId="0" fillId="0" borderId="70" xfId="0" applyBorder="1" applyAlignment="1">
      <alignment horizontal="center"/>
    </xf>
    <xf numFmtId="0" fontId="0" fillId="0" borderId="15" xfId="0" applyBorder="1" applyAlignment="1">
      <alignment horizontal="center"/>
    </xf>
    <xf numFmtId="0" fontId="0" fillId="0" borderId="15" xfId="0" applyBorder="1"/>
    <xf numFmtId="0" fontId="87" fillId="0" borderId="0" xfId="0" applyFont="1"/>
    <xf numFmtId="0" fontId="0" fillId="0" borderId="14" xfId="0" applyBorder="1"/>
    <xf numFmtId="0" fontId="86" fillId="0" borderId="14" xfId="0" applyFont="1" applyBorder="1"/>
    <xf numFmtId="0" fontId="89" fillId="33" borderId="0" xfId="42" applyFont="1" applyFill="1"/>
    <xf numFmtId="0" fontId="90" fillId="33" borderId="0" xfId="42" applyFont="1" applyFill="1"/>
    <xf numFmtId="0" fontId="90" fillId="0" borderId="0" xfId="42" applyFont="1"/>
    <xf numFmtId="0" fontId="91" fillId="0" borderId="0" xfId="42" applyFont="1"/>
    <xf numFmtId="0" fontId="90" fillId="0" borderId="0" xfId="42" applyFont="1" applyAlignment="1">
      <alignment horizontal="right"/>
    </xf>
    <xf numFmtId="0" fontId="92" fillId="0" borderId="0" xfId="42" applyFont="1"/>
    <xf numFmtId="2" fontId="90" fillId="0" borderId="0" xfId="42" applyNumberFormat="1" applyFont="1"/>
    <xf numFmtId="2" fontId="90" fillId="0" borderId="0" xfId="42" applyNumberFormat="1" applyFont="1" applyAlignment="1">
      <alignment horizontal="right"/>
    </xf>
    <xf numFmtId="0" fontId="90" fillId="0" borderId="12" xfId="42" applyFont="1" applyBorder="1"/>
    <xf numFmtId="2" fontId="90" fillId="0" borderId="1" xfId="42" applyNumberFormat="1" applyFont="1" applyBorder="1"/>
    <xf numFmtId="2" fontId="90" fillId="0" borderId="13" xfId="42" applyNumberFormat="1" applyFont="1" applyBorder="1"/>
    <xf numFmtId="2" fontId="90" fillId="0" borderId="2" xfId="42" applyNumberFormat="1" applyFont="1" applyBorder="1"/>
    <xf numFmtId="2" fontId="90" fillId="0" borderId="0" xfId="42" applyNumberFormat="1" applyFont="1" applyAlignment="1">
      <alignment wrapText="1"/>
    </xf>
    <xf numFmtId="9" fontId="90" fillId="0" borderId="0" xfId="42" applyNumberFormat="1" applyFont="1" applyAlignment="1">
      <alignment horizontal="right"/>
    </xf>
    <xf numFmtId="0" fontId="90" fillId="0" borderId="0" xfId="42" applyFont="1" applyAlignment="1">
      <alignment vertical="top" wrapText="1"/>
    </xf>
    <xf numFmtId="9" fontId="90" fillId="0" borderId="0" xfId="42" applyNumberFormat="1" applyFont="1" applyAlignment="1">
      <alignment horizontal="right" vertical="top"/>
    </xf>
    <xf numFmtId="0" fontId="90" fillId="0" borderId="0" xfId="42" applyFont="1" applyAlignment="1">
      <alignment vertical="top"/>
    </xf>
    <xf numFmtId="0" fontId="90" fillId="0" borderId="12" xfId="42" applyFont="1" applyBorder="1" applyAlignment="1">
      <alignment wrapText="1"/>
    </xf>
    <xf numFmtId="0" fontId="90" fillId="0" borderId="0" xfId="42" applyFont="1" applyAlignment="1">
      <alignment wrapText="1"/>
    </xf>
    <xf numFmtId="0" fontId="90" fillId="0" borderId="12" xfId="42" applyFont="1" applyBorder="1" applyAlignment="1">
      <alignment vertical="top"/>
    </xf>
    <xf numFmtId="0" fontId="93" fillId="0" borderId="0" xfId="42" applyFont="1"/>
    <xf numFmtId="0" fontId="90" fillId="0" borderId="0" xfId="42" applyFont="1" applyAlignment="1">
      <alignment horizontal="right" wrapText="1"/>
    </xf>
    <xf numFmtId="13" fontId="90" fillId="0" borderId="0" xfId="42" applyNumberFormat="1" applyFont="1" applyAlignment="1">
      <alignment wrapText="1"/>
    </xf>
    <xf numFmtId="172" fontId="90" fillId="0" borderId="0" xfId="42" applyNumberFormat="1" applyFont="1" applyAlignment="1">
      <alignment wrapText="1"/>
    </xf>
    <xf numFmtId="13" fontId="90" fillId="0" borderId="0" xfId="42" applyNumberFormat="1" applyFont="1" applyAlignment="1">
      <alignment horizontal="left" wrapText="1"/>
    </xf>
    <xf numFmtId="173" fontId="90" fillId="0" borderId="0" xfId="42" applyNumberFormat="1" applyFont="1" applyAlignment="1">
      <alignment wrapText="1"/>
    </xf>
    <xf numFmtId="9" fontId="90" fillId="0" borderId="0" xfId="42" applyNumberFormat="1" applyFont="1" applyAlignment="1">
      <alignment wrapText="1"/>
    </xf>
    <xf numFmtId="0" fontId="92" fillId="0" borderId="0" xfId="42" applyFont="1" applyAlignment="1">
      <alignment wrapText="1"/>
    </xf>
    <xf numFmtId="0" fontId="88" fillId="0" borderId="0" xfId="42"/>
    <xf numFmtId="0" fontId="94" fillId="0" borderId="0" xfId="42" applyFont="1"/>
    <xf numFmtId="0" fontId="56" fillId="0" borderId="0" xfId="42" applyFont="1"/>
    <xf numFmtId="49" fontId="56" fillId="0" borderId="0" xfId="42" applyNumberFormat="1" applyFont="1"/>
    <xf numFmtId="172" fontId="95" fillId="0" borderId="0" xfId="42" applyNumberFormat="1" applyFont="1"/>
    <xf numFmtId="1" fontId="95" fillId="0" borderId="0" xfId="42" applyNumberFormat="1" applyFont="1"/>
    <xf numFmtId="0" fontId="56" fillId="0" borderId="12" xfId="42" applyFont="1" applyBorder="1"/>
    <xf numFmtId="172" fontId="54" fillId="34" borderId="12" xfId="42" applyNumberFormat="1" applyFont="1" applyFill="1" applyBorder="1"/>
    <xf numFmtId="0" fontId="56" fillId="35" borderId="12" xfId="42" applyFont="1" applyFill="1" applyBorder="1"/>
    <xf numFmtId="49" fontId="56" fillId="0" borderId="12" xfId="42" applyNumberFormat="1" applyFont="1" applyBorder="1"/>
    <xf numFmtId="49" fontId="97" fillId="0" borderId="0" xfId="42" applyNumberFormat="1" applyFont="1"/>
    <xf numFmtId="174" fontId="56" fillId="35" borderId="12" xfId="42" applyNumberFormat="1" applyFont="1" applyFill="1" applyBorder="1"/>
    <xf numFmtId="49" fontId="56" fillId="0" borderId="1" xfId="42" applyNumberFormat="1" applyFont="1" applyBorder="1"/>
    <xf numFmtId="3" fontId="56" fillId="35" borderId="12" xfId="42" applyNumberFormat="1" applyFont="1" applyFill="1" applyBorder="1"/>
    <xf numFmtId="2" fontId="56" fillId="35" borderId="12" xfId="42" applyNumberFormat="1" applyFont="1" applyFill="1" applyBorder="1"/>
    <xf numFmtId="2" fontId="56" fillId="0" borderId="0" xfId="42" applyNumberFormat="1" applyFont="1"/>
    <xf numFmtId="172" fontId="56" fillId="0" borderId="0" xfId="42" applyNumberFormat="1" applyFont="1"/>
    <xf numFmtId="0" fontId="56" fillId="0" borderId="0" xfId="42" applyFont="1" applyAlignment="1">
      <alignment vertical="center"/>
    </xf>
    <xf numFmtId="10" fontId="56" fillId="0" borderId="0" xfId="42" applyNumberFormat="1" applyFont="1"/>
    <xf numFmtId="2" fontId="98" fillId="0" borderId="0" xfId="42" applyNumberFormat="1" applyFont="1"/>
    <xf numFmtId="2" fontId="95" fillId="0" borderId="0" xfId="42" applyNumberFormat="1" applyFont="1"/>
    <xf numFmtId="0" fontId="56" fillId="0" borderId="0" xfId="42" applyFont="1" applyAlignment="1">
      <alignment horizontal="left" wrapText="1"/>
    </xf>
    <xf numFmtId="175" fontId="56" fillId="35" borderId="0" xfId="42" applyNumberFormat="1" applyFont="1" applyFill="1"/>
    <xf numFmtId="0" fontId="54" fillId="0" borderId="0" xfId="42" applyFont="1"/>
    <xf numFmtId="176" fontId="56" fillId="0" borderId="0" xfId="42" applyNumberFormat="1" applyFont="1"/>
    <xf numFmtId="49" fontId="97" fillId="0" borderId="0" xfId="42" applyNumberFormat="1" applyFont="1" applyAlignment="1">
      <alignment horizontal="right"/>
    </xf>
    <xf numFmtId="172" fontId="94" fillId="0" borderId="0" xfId="42" applyNumberFormat="1" applyFont="1"/>
    <xf numFmtId="0" fontId="98" fillId="0" borderId="0" xfId="42" applyFont="1"/>
    <xf numFmtId="172" fontId="98" fillId="0" borderId="0" xfId="42" applyNumberFormat="1" applyFont="1"/>
    <xf numFmtId="173" fontId="98" fillId="0" borderId="0" xfId="42" applyNumberFormat="1" applyFont="1"/>
    <xf numFmtId="173" fontId="98" fillId="0" borderId="12" xfId="42" applyNumberFormat="1" applyFont="1" applyBorder="1"/>
    <xf numFmtId="173" fontId="98" fillId="0" borderId="2" xfId="42" applyNumberFormat="1" applyFont="1" applyBorder="1" applyAlignment="1">
      <alignment horizontal="right"/>
    </xf>
    <xf numFmtId="9" fontId="98" fillId="0" borderId="11" xfId="42" applyNumberFormat="1" applyFont="1" applyBorder="1"/>
    <xf numFmtId="9" fontId="98" fillId="0" borderId="8" xfId="42" applyNumberFormat="1" applyFont="1" applyBorder="1" applyAlignment="1">
      <alignment horizontal="right"/>
    </xf>
    <xf numFmtId="172" fontId="54" fillId="0" borderId="0" xfId="42" applyNumberFormat="1" applyFont="1" applyAlignment="1">
      <alignment horizontal="left"/>
    </xf>
    <xf numFmtId="173" fontId="98" fillId="0" borderId="0" xfId="42" applyNumberFormat="1" applyFont="1" applyAlignment="1">
      <alignment horizontal="right"/>
    </xf>
    <xf numFmtId="9" fontId="56" fillId="0" borderId="0" xfId="42" applyNumberFormat="1" applyFont="1"/>
    <xf numFmtId="9" fontId="56" fillId="0" borderId="0" xfId="42" applyNumberFormat="1" applyFont="1" applyAlignment="1">
      <alignment horizontal="right"/>
    </xf>
    <xf numFmtId="0" fontId="56" fillId="28" borderId="0" xfId="42" applyFont="1" applyFill="1"/>
    <xf numFmtId="0" fontId="99" fillId="33" borderId="0" xfId="42" applyFont="1" applyFill="1"/>
    <xf numFmtId="0" fontId="100" fillId="33" borderId="0" xfId="42" applyFont="1" applyFill="1"/>
    <xf numFmtId="0" fontId="56" fillId="33" borderId="0" xfId="42" applyFont="1" applyFill="1"/>
    <xf numFmtId="0" fontId="56" fillId="34" borderId="0" xfId="42" applyFont="1" applyFill="1"/>
    <xf numFmtId="49" fontId="56" fillId="34" borderId="0" xfId="42" applyNumberFormat="1" applyFont="1" applyFill="1"/>
    <xf numFmtId="2" fontId="103" fillId="36" borderId="71" xfId="43" applyNumberFormat="1" applyFont="1" applyFill="1" applyBorder="1" applyAlignment="1" applyProtection="1">
      <alignment horizontal="center" vertical="center"/>
      <protection locked="0"/>
    </xf>
    <xf numFmtId="168" fontId="103" fillId="36" borderId="71" xfId="43" applyNumberFormat="1" applyFont="1" applyFill="1" applyBorder="1" applyAlignment="1" applyProtection="1">
      <alignment horizontal="center" vertical="center"/>
      <protection locked="0"/>
    </xf>
    <xf numFmtId="0" fontId="97" fillId="0" borderId="0" xfId="42" applyFont="1"/>
    <xf numFmtId="0" fontId="111" fillId="0" borderId="12" xfId="42" applyFont="1" applyBorder="1" applyAlignment="1">
      <alignment horizontal="left" vertical="center"/>
    </xf>
    <xf numFmtId="0" fontId="111" fillId="0" borderId="12" xfId="42" applyFont="1" applyBorder="1" applyAlignment="1">
      <alignment vertical="center" wrapText="1"/>
    </xf>
    <xf numFmtId="0" fontId="113" fillId="0" borderId="0" xfId="42" applyFont="1" applyAlignment="1">
      <alignment horizontal="left" wrapText="1"/>
    </xf>
    <xf numFmtId="0" fontId="113" fillId="32" borderId="0" xfId="42" applyFont="1" applyFill="1" applyAlignment="1">
      <alignment horizontal="left" wrapText="1"/>
    </xf>
    <xf numFmtId="0" fontId="114" fillId="0" borderId="0" xfId="42" applyFont="1" applyAlignment="1">
      <alignment horizontal="left" wrapText="1"/>
    </xf>
    <xf numFmtId="0" fontId="113" fillId="42" borderId="0" xfId="42" applyFont="1" applyFill="1" applyAlignment="1">
      <alignment horizontal="left" wrapText="1"/>
    </xf>
    <xf numFmtId="0" fontId="114" fillId="0" borderId="0" xfId="42" applyFont="1" applyAlignment="1">
      <alignment wrapText="1"/>
    </xf>
    <xf numFmtId="0" fontId="80" fillId="0" borderId="0" xfId="42" applyFont="1" applyAlignment="1">
      <alignment horizontal="left"/>
    </xf>
    <xf numFmtId="0" fontId="80" fillId="32" borderId="0" xfId="42" applyFont="1" applyFill="1" applyAlignment="1">
      <alignment horizontal="left"/>
    </xf>
    <xf numFmtId="0" fontId="88" fillId="0" borderId="0" xfId="42" applyAlignment="1">
      <alignment horizontal="left"/>
    </xf>
    <xf numFmtId="0" fontId="80" fillId="42" borderId="0" xfId="42" applyFont="1" applyFill="1" applyAlignment="1">
      <alignment horizontal="left"/>
    </xf>
    <xf numFmtId="2" fontId="88" fillId="0" borderId="0" xfId="42" applyNumberFormat="1"/>
    <xf numFmtId="3" fontId="55" fillId="0" borderId="0" xfId="27" applyNumberFormat="1" applyAlignment="1">
      <alignment horizontal="right" vertical="center"/>
    </xf>
    <xf numFmtId="0" fontId="55" fillId="0" borderId="0" xfId="27" applyNumberFormat="1">
      <alignment horizontal="left" vertical="center"/>
    </xf>
    <xf numFmtId="49" fontId="55" fillId="0" borderId="0" xfId="27" applyNumberFormat="1">
      <alignment horizontal="left" vertical="center"/>
    </xf>
    <xf numFmtId="1" fontId="90" fillId="0" borderId="0" xfId="42" applyNumberFormat="1" applyFont="1" applyAlignment="1">
      <alignment horizontal="center"/>
    </xf>
    <xf numFmtId="0" fontId="90" fillId="0" borderId="0" xfId="42" applyFont="1" applyAlignment="1">
      <alignment horizontal="center"/>
    </xf>
    <xf numFmtId="2" fontId="90" fillId="0" borderId="0" xfId="42" applyNumberFormat="1" applyFont="1" applyAlignment="1">
      <alignment horizontal="center"/>
    </xf>
    <xf numFmtId="3" fontId="90" fillId="0" borderId="0" xfId="42" applyNumberFormat="1" applyFont="1" applyAlignment="1">
      <alignment horizontal="center"/>
    </xf>
    <xf numFmtId="169" fontId="103" fillId="36" borderId="71" xfId="43" applyNumberFormat="1" applyFont="1" applyFill="1" applyBorder="1" applyAlignment="1" applyProtection="1">
      <alignment horizontal="center" vertical="center"/>
      <protection locked="0"/>
    </xf>
    <xf numFmtId="1" fontId="0" fillId="0" borderId="0" xfId="0" applyNumberFormat="1"/>
    <xf numFmtId="4" fontId="80" fillId="0" borderId="0" xfId="0" applyNumberFormat="1" applyFont="1"/>
    <xf numFmtId="3" fontId="80" fillId="0" borderId="0" xfId="0" applyNumberFormat="1" applyFont="1" applyAlignment="1">
      <alignment horizontal="center"/>
    </xf>
    <xf numFmtId="2" fontId="86" fillId="0" borderId="0" xfId="0" applyNumberFormat="1" applyFont="1" applyAlignment="1">
      <alignment horizontal="center"/>
    </xf>
    <xf numFmtId="1" fontId="116" fillId="0" borderId="0" xfId="0" applyNumberFormat="1" applyFont="1" applyAlignment="1">
      <alignment horizontal="center"/>
    </xf>
    <xf numFmtId="0" fontId="116" fillId="0" borderId="0" xfId="0" applyFont="1" applyAlignment="1">
      <alignment horizontal="center"/>
    </xf>
    <xf numFmtId="0" fontId="1" fillId="0" borderId="0" xfId="0" applyFont="1" applyAlignment="1">
      <alignment horizontal="left" vertical="center"/>
    </xf>
    <xf numFmtId="2" fontId="118" fillId="0" borderId="0" xfId="42" applyNumberFormat="1" applyFont="1" applyAlignment="1">
      <alignment horizontal="center" vertical="center"/>
    </xf>
    <xf numFmtId="0" fontId="119" fillId="0" borderId="0" xfId="0" applyFont="1" applyAlignment="1">
      <alignment horizontal="left" vertical="center"/>
    </xf>
    <xf numFmtId="1" fontId="5" fillId="0" borderId="0" xfId="0" applyNumberFormat="1" applyFont="1" applyAlignment="1">
      <alignment horizontal="left" vertical="center"/>
    </xf>
    <xf numFmtId="167" fontId="55" fillId="0" borderId="0" xfId="27" applyNumberFormat="1" applyAlignment="1">
      <alignment horizontal="center" vertical="center"/>
    </xf>
    <xf numFmtId="0" fontId="5" fillId="21" borderId="72" xfId="0" applyFont="1" applyFill="1" applyBorder="1" applyAlignment="1">
      <alignment horizontal="center" vertical="center"/>
    </xf>
    <xf numFmtId="0" fontId="5" fillId="5" borderId="72" xfId="0" applyFont="1" applyFill="1" applyBorder="1" applyAlignment="1">
      <alignment horizontal="center" vertical="center"/>
    </xf>
    <xf numFmtId="0" fontId="5" fillId="20" borderId="72" xfId="0" applyFont="1" applyFill="1" applyBorder="1" applyAlignment="1">
      <alignment horizontal="center" vertical="center"/>
    </xf>
    <xf numFmtId="0" fontId="55" fillId="0" borderId="0" xfId="0" applyFont="1" applyAlignment="1">
      <alignment horizontal="center" vertical="center"/>
    </xf>
    <xf numFmtId="0" fontId="55" fillId="0" borderId="0" xfId="0" applyFont="1" applyAlignment="1">
      <alignment vertical="center"/>
    </xf>
    <xf numFmtId="3" fontId="70" fillId="0" borderId="0" xfId="27" applyNumberFormat="1" applyFont="1" applyAlignment="1">
      <alignment vertical="center"/>
    </xf>
    <xf numFmtId="0" fontId="120" fillId="33" borderId="0" xfId="42" applyFont="1" applyFill="1"/>
    <xf numFmtId="1" fontId="103" fillId="36" borderId="71" xfId="43" applyNumberFormat="1" applyFont="1" applyFill="1" applyBorder="1" applyAlignment="1" applyProtection="1">
      <alignment horizontal="center" vertical="center"/>
      <protection locked="0"/>
    </xf>
    <xf numFmtId="168" fontId="0" fillId="0" borderId="0" xfId="0" applyNumberFormat="1" applyAlignment="1">
      <alignment horizontal="center"/>
    </xf>
    <xf numFmtId="167" fontId="55" fillId="0" borderId="0" xfId="27" applyNumberFormat="1">
      <alignment horizontal="left" vertical="center"/>
    </xf>
    <xf numFmtId="0" fontId="86" fillId="0" borderId="0" xfId="0" applyFont="1" applyAlignment="1">
      <alignment vertical="center"/>
    </xf>
    <xf numFmtId="4" fontId="122" fillId="0" borderId="0" xfId="27" applyFont="1">
      <alignment horizontal="left" vertical="center"/>
    </xf>
    <xf numFmtId="2" fontId="18" fillId="0" borderId="7" xfId="0" applyNumberFormat="1" applyFont="1" applyBorder="1" applyAlignment="1">
      <alignment horizontal="center" vertical="center"/>
    </xf>
    <xf numFmtId="4" fontId="34" fillId="0" borderId="0" xfId="27" applyFont="1">
      <alignment horizontal="left" vertical="center"/>
    </xf>
    <xf numFmtId="2" fontId="90" fillId="0" borderId="5" xfId="42" applyNumberFormat="1" applyFont="1" applyBorder="1" applyAlignment="1">
      <alignment horizontal="center"/>
    </xf>
    <xf numFmtId="1" fontId="90" fillId="0" borderId="5" xfId="42" applyNumberFormat="1" applyFont="1" applyBorder="1" applyAlignment="1">
      <alignment horizontal="center"/>
    </xf>
    <xf numFmtId="3" fontId="90" fillId="0" borderId="5" xfId="42" applyNumberFormat="1" applyFont="1" applyBorder="1" applyAlignment="1">
      <alignment horizontal="center"/>
    </xf>
    <xf numFmtId="2" fontId="124" fillId="0" borderId="5" xfId="42" applyNumberFormat="1" applyFont="1" applyBorder="1"/>
    <xf numFmtId="2" fontId="118" fillId="0" borderId="5" xfId="42" applyNumberFormat="1" applyFont="1" applyBorder="1" applyAlignment="1">
      <alignment horizontal="center" vertical="center"/>
    </xf>
    <xf numFmtId="1" fontId="5" fillId="0" borderId="5" xfId="0" applyNumberFormat="1" applyFont="1" applyBorder="1" applyAlignment="1">
      <alignment horizontal="left" vertical="center"/>
    </xf>
    <xf numFmtId="0" fontId="18" fillId="0" borderId="5" xfId="0" applyFont="1" applyBorder="1" applyAlignment="1">
      <alignment horizontal="center" vertical="center"/>
    </xf>
    <xf numFmtId="0" fontId="54" fillId="34" borderId="8" xfId="42" applyFont="1" applyFill="1" applyBorder="1"/>
    <xf numFmtId="0" fontId="125" fillId="0" borderId="0" xfId="42" applyFont="1"/>
    <xf numFmtId="2" fontId="125" fillId="0" borderId="0" xfId="42" applyNumberFormat="1" applyFont="1" applyAlignment="1">
      <alignment horizontal="center"/>
    </xf>
    <xf numFmtId="2" fontId="125" fillId="0" borderId="0" xfId="42" applyNumberFormat="1" applyFont="1"/>
    <xf numFmtId="49" fontId="54" fillId="0" borderId="12" xfId="42" applyNumberFormat="1" applyFont="1" applyBorder="1"/>
    <xf numFmtId="2" fontId="110" fillId="0" borderId="0" xfId="42" applyNumberFormat="1" applyFont="1"/>
    <xf numFmtId="172" fontId="54" fillId="34" borderId="1" xfId="42" applyNumberFormat="1" applyFont="1" applyFill="1" applyBorder="1"/>
    <xf numFmtId="0" fontId="90" fillId="9" borderId="0" xfId="42" applyFont="1" applyFill="1"/>
    <xf numFmtId="2" fontId="90" fillId="9" borderId="0" xfId="42" applyNumberFormat="1" applyFont="1" applyFill="1" applyAlignment="1">
      <alignment horizontal="center"/>
    </xf>
    <xf numFmtId="3" fontId="90" fillId="9" borderId="0" xfId="42" applyNumberFormat="1" applyFont="1" applyFill="1" applyAlignment="1">
      <alignment horizontal="center"/>
    </xf>
    <xf numFmtId="0" fontId="125" fillId="9" borderId="0" xfId="42" applyFont="1" applyFill="1"/>
    <xf numFmtId="2" fontId="125" fillId="9" borderId="0" xfId="42" applyNumberFormat="1" applyFont="1" applyFill="1" applyAlignment="1">
      <alignment horizontal="center"/>
    </xf>
    <xf numFmtId="2" fontId="90" fillId="9" borderId="0" xfId="42" applyNumberFormat="1" applyFont="1" applyFill="1"/>
    <xf numFmtId="2" fontId="124" fillId="9" borderId="0" xfId="42" applyNumberFormat="1" applyFont="1" applyFill="1"/>
    <xf numFmtId="0" fontId="90" fillId="9" borderId="0" xfId="42" applyFont="1" applyFill="1" applyAlignment="1">
      <alignment horizontal="left"/>
    </xf>
    <xf numFmtId="1" fontId="90" fillId="9" borderId="0" xfId="42" applyNumberFormat="1" applyFont="1" applyFill="1" applyAlignment="1">
      <alignment horizontal="center"/>
    </xf>
    <xf numFmtId="0" fontId="90" fillId="9" borderId="0" xfId="42" applyFont="1" applyFill="1" applyAlignment="1">
      <alignment wrapText="1"/>
    </xf>
    <xf numFmtId="2" fontId="125" fillId="5" borderId="0" xfId="42" applyNumberFormat="1" applyFont="1" applyFill="1"/>
    <xf numFmtId="0" fontId="90" fillId="5" borderId="0" xfId="42" applyFont="1" applyFill="1"/>
    <xf numFmtId="2" fontId="125" fillId="5" borderId="0" xfId="42" applyNumberFormat="1" applyFont="1" applyFill="1" applyAlignment="1">
      <alignment horizontal="center"/>
    </xf>
    <xf numFmtId="2" fontId="125" fillId="9" borderId="0" xfId="42" applyNumberFormat="1" applyFont="1" applyFill="1"/>
    <xf numFmtId="2" fontId="90" fillId="9" borderId="5" xfId="42" applyNumberFormat="1" applyFont="1" applyFill="1" applyBorder="1" applyAlignment="1">
      <alignment horizontal="center"/>
    </xf>
    <xf numFmtId="1" fontId="90" fillId="9" borderId="5" xfId="42" applyNumberFormat="1" applyFont="1" applyFill="1" applyBorder="1" applyAlignment="1">
      <alignment horizontal="center"/>
    </xf>
    <xf numFmtId="3" fontId="90" fillId="9" borderId="5" xfId="42" applyNumberFormat="1" applyFont="1" applyFill="1" applyBorder="1" applyAlignment="1">
      <alignment horizontal="center"/>
    </xf>
    <xf numFmtId="2" fontId="90" fillId="5" borderId="0" xfId="42" applyNumberFormat="1" applyFont="1" applyFill="1" applyAlignment="1">
      <alignment horizontal="center"/>
    </xf>
    <xf numFmtId="1" fontId="90" fillId="5" borderId="0" xfId="42" applyNumberFormat="1" applyFont="1" applyFill="1" applyAlignment="1">
      <alignment horizontal="center"/>
    </xf>
    <xf numFmtId="3" fontId="90" fillId="5" borderId="0" xfId="42" applyNumberFormat="1" applyFont="1" applyFill="1" applyAlignment="1">
      <alignment horizontal="center"/>
    </xf>
    <xf numFmtId="2" fontId="90" fillId="9" borderId="0" xfId="42" applyNumberFormat="1" applyFont="1" applyFill="1" applyAlignment="1">
      <alignment horizontal="right"/>
    </xf>
    <xf numFmtId="0" fontId="123" fillId="9" borderId="0" xfId="42" applyFont="1" applyFill="1"/>
    <xf numFmtId="172" fontId="56" fillId="0" borderId="12" xfId="42" applyNumberFormat="1" applyFont="1" applyBorder="1"/>
    <xf numFmtId="0" fontId="56" fillId="0" borderId="12" xfId="42" applyFont="1" applyBorder="1" applyAlignment="1">
      <alignment wrapText="1"/>
    </xf>
    <xf numFmtId="0" fontId="56" fillId="35" borderId="1" xfId="42" applyFont="1" applyFill="1" applyBorder="1"/>
    <xf numFmtId="172" fontId="56" fillId="0" borderId="1" xfId="42" applyNumberFormat="1" applyFont="1" applyBorder="1"/>
    <xf numFmtId="0" fontId="56" fillId="0" borderId="1" xfId="42" applyFont="1" applyBorder="1"/>
    <xf numFmtId="174" fontId="56" fillId="35" borderId="1" xfId="42" applyNumberFormat="1" applyFont="1" applyFill="1" applyBorder="1"/>
    <xf numFmtId="2" fontId="56" fillId="35" borderId="1" xfId="42" applyNumberFormat="1" applyFont="1" applyFill="1" applyBorder="1"/>
    <xf numFmtId="3" fontId="56" fillId="35" borderId="1" xfId="42" applyNumberFormat="1" applyFont="1" applyFill="1" applyBorder="1"/>
    <xf numFmtId="172" fontId="54" fillId="34" borderId="73" xfId="42" applyNumberFormat="1" applyFont="1" applyFill="1" applyBorder="1"/>
    <xf numFmtId="0" fontId="56" fillId="35" borderId="73" xfId="42" applyFont="1" applyFill="1" applyBorder="1"/>
    <xf numFmtId="2" fontId="110" fillId="0" borderId="34" xfId="42" applyNumberFormat="1" applyFont="1" applyBorder="1"/>
    <xf numFmtId="49" fontId="56" fillId="0" borderId="34" xfId="42" applyNumberFormat="1" applyFont="1" applyBorder="1"/>
    <xf numFmtId="174" fontId="56" fillId="35" borderId="73" xfId="42" applyNumberFormat="1" applyFont="1" applyFill="1" applyBorder="1"/>
    <xf numFmtId="2" fontId="56" fillId="35" borderId="73" xfId="42" applyNumberFormat="1" applyFont="1" applyFill="1" applyBorder="1"/>
    <xf numFmtId="174" fontId="56" fillId="0" borderId="12" xfId="42" applyNumberFormat="1" applyFont="1" applyBorder="1"/>
    <xf numFmtId="174" fontId="56" fillId="0" borderId="73" xfId="42" applyNumberFormat="1" applyFont="1" applyBorder="1"/>
    <xf numFmtId="2" fontId="56" fillId="0" borderId="12" xfId="42" applyNumberFormat="1" applyFont="1" applyBorder="1"/>
    <xf numFmtId="0" fontId="54" fillId="34" borderId="0" xfId="42" applyFont="1" applyFill="1"/>
    <xf numFmtId="0" fontId="95" fillId="0" borderId="0" xfId="42" applyFont="1"/>
    <xf numFmtId="179" fontId="56" fillId="0" borderId="0" xfId="42" applyNumberFormat="1" applyFont="1"/>
    <xf numFmtId="172" fontId="54" fillId="34" borderId="0" xfId="42" applyNumberFormat="1" applyFont="1" applyFill="1" applyAlignment="1">
      <alignment horizontal="right"/>
    </xf>
    <xf numFmtId="9" fontId="56" fillId="0" borderId="3" xfId="47" applyFont="1" applyFill="1" applyBorder="1" applyAlignment="1">
      <alignment horizontal="center"/>
    </xf>
    <xf numFmtId="9" fontId="56" fillId="0" borderId="15" xfId="47" applyFont="1" applyFill="1" applyBorder="1" applyAlignment="1">
      <alignment horizontal="center"/>
    </xf>
    <xf numFmtId="9" fontId="56" fillId="0" borderId="5" xfId="47" applyFont="1" applyFill="1" applyBorder="1" applyAlignment="1">
      <alignment horizontal="center"/>
    </xf>
    <xf numFmtId="9" fontId="56" fillId="0" borderId="0" xfId="47" applyFont="1" applyFill="1" applyBorder="1" applyAlignment="1">
      <alignment horizontal="center"/>
    </xf>
    <xf numFmtId="180" fontId="95" fillId="0" borderId="0" xfId="42" applyNumberFormat="1" applyFont="1"/>
    <xf numFmtId="181" fontId="95" fillId="0" borderId="0" xfId="42" applyNumberFormat="1" applyFont="1"/>
    <xf numFmtId="13" fontId="95" fillId="0" borderId="0" xfId="42" applyNumberFormat="1" applyFont="1" applyAlignment="1">
      <alignment wrapText="1"/>
    </xf>
    <xf numFmtId="0" fontId="56" fillId="0" borderId="0" xfId="42" applyFont="1" applyAlignment="1">
      <alignment horizontal="left"/>
    </xf>
    <xf numFmtId="2" fontId="56" fillId="0" borderId="0" xfId="42" applyNumberFormat="1" applyFont="1" applyAlignment="1">
      <alignment horizontal="center"/>
    </xf>
    <xf numFmtId="0" fontId="95" fillId="0" borderId="0" xfId="42" applyFont="1" applyAlignment="1">
      <alignment vertical="top"/>
    </xf>
    <xf numFmtId="1" fontId="95" fillId="0" borderId="0" xfId="42" applyNumberFormat="1" applyFont="1" applyAlignment="1">
      <alignment vertical="top"/>
    </xf>
    <xf numFmtId="2" fontId="95" fillId="0" borderId="0" xfId="42" applyNumberFormat="1" applyFont="1" applyAlignment="1">
      <alignment vertical="top"/>
    </xf>
    <xf numFmtId="172" fontId="56" fillId="0" borderId="74" xfId="42" applyNumberFormat="1" applyFont="1" applyBorder="1"/>
    <xf numFmtId="6" fontId="95" fillId="0" borderId="0" xfId="42" applyNumberFormat="1" applyFont="1"/>
    <xf numFmtId="6" fontId="127" fillId="0" borderId="0" xfId="42" applyNumberFormat="1" applyFont="1"/>
    <xf numFmtId="3" fontId="56" fillId="0" borderId="1" xfId="42" applyNumberFormat="1" applyFont="1" applyBorder="1"/>
    <xf numFmtId="2" fontId="56" fillId="0" borderId="1" xfId="42" applyNumberFormat="1" applyFont="1" applyBorder="1"/>
    <xf numFmtId="3" fontId="56" fillId="35" borderId="74" xfId="42" applyNumberFormat="1" applyFont="1" applyFill="1" applyBorder="1"/>
    <xf numFmtId="2" fontId="56" fillId="35" borderId="74" xfId="42" applyNumberFormat="1" applyFont="1" applyFill="1" applyBorder="1"/>
    <xf numFmtId="0" fontId="56" fillId="35" borderId="74" xfId="42" applyFont="1" applyFill="1" applyBorder="1"/>
    <xf numFmtId="49" fontId="56" fillId="0" borderId="5" xfId="42" applyNumberFormat="1" applyFont="1" applyBorder="1"/>
    <xf numFmtId="2" fontId="56" fillId="35" borderId="75" xfId="42" applyNumberFormat="1" applyFont="1" applyFill="1" applyBorder="1"/>
    <xf numFmtId="0" fontId="56" fillId="35" borderId="75" xfId="42" applyFont="1" applyFill="1" applyBorder="1"/>
    <xf numFmtId="172" fontId="54" fillId="0" borderId="12" xfId="42" applyNumberFormat="1" applyFont="1" applyBorder="1"/>
    <xf numFmtId="172" fontId="56" fillId="35" borderId="12" xfId="42" applyNumberFormat="1" applyFont="1" applyFill="1" applyBorder="1"/>
    <xf numFmtId="179" fontId="56" fillId="35" borderId="12" xfId="42" applyNumberFormat="1" applyFont="1" applyFill="1" applyBorder="1"/>
    <xf numFmtId="0" fontId="94" fillId="0" borderId="14" xfId="42" applyFont="1" applyBorder="1"/>
    <xf numFmtId="49" fontId="56" fillId="21" borderId="0" xfId="42" applyNumberFormat="1" applyFont="1" applyFill="1"/>
    <xf numFmtId="2" fontId="56" fillId="21" borderId="0" xfId="42" applyNumberFormat="1" applyFont="1" applyFill="1"/>
    <xf numFmtId="49" fontId="0" fillId="0" borderId="0" xfId="0" applyNumberFormat="1"/>
    <xf numFmtId="0" fontId="74" fillId="0" borderId="40" xfId="0" applyFont="1" applyBorder="1" applyAlignment="1">
      <alignment vertical="center" wrapText="1"/>
    </xf>
    <xf numFmtId="0" fontId="0" fillId="0" borderId="30" xfId="0" applyBorder="1" applyAlignment="1">
      <alignment vertical="top" wrapText="1"/>
    </xf>
    <xf numFmtId="0" fontId="0" fillId="0" borderId="45" xfId="0" applyBorder="1" applyAlignment="1">
      <alignment vertical="top" wrapText="1"/>
    </xf>
    <xf numFmtId="0" fontId="34" fillId="0" borderId="30" xfId="0" applyFont="1" applyBorder="1" applyAlignment="1">
      <alignment vertical="center" wrapText="1"/>
    </xf>
    <xf numFmtId="0" fontId="34" fillId="0" borderId="0" xfId="0" applyFont="1" applyAlignment="1">
      <alignment vertical="center" wrapText="1"/>
    </xf>
    <xf numFmtId="2" fontId="56" fillId="0" borderId="34" xfId="42" applyNumberFormat="1" applyFont="1" applyBorder="1"/>
    <xf numFmtId="0" fontId="56" fillId="35" borderId="2" xfId="42" applyFont="1" applyFill="1" applyBorder="1"/>
    <xf numFmtId="0" fontId="56" fillId="0" borderId="35" xfId="42" applyFont="1" applyBorder="1"/>
    <xf numFmtId="0" fontId="50" fillId="0" borderId="47" xfId="0" applyFont="1" applyBorder="1" applyAlignment="1">
      <alignment vertical="center" wrapText="1"/>
    </xf>
    <xf numFmtId="0" fontId="50" fillId="0" borderId="49" xfId="0" applyFont="1" applyBorder="1" applyAlignment="1">
      <alignment vertical="center" wrapText="1"/>
    </xf>
    <xf numFmtId="0" fontId="50" fillId="31" borderId="47" xfId="0" applyFont="1" applyFill="1" applyBorder="1" applyAlignment="1">
      <alignment vertical="center" wrapText="1"/>
    </xf>
    <xf numFmtId="0" fontId="50" fillId="31" borderId="49" xfId="0" applyFont="1" applyFill="1" applyBorder="1" applyAlignment="1">
      <alignment vertical="center" wrapText="1"/>
    </xf>
    <xf numFmtId="0" fontId="105" fillId="43" borderId="1" xfId="0" applyFont="1" applyFill="1" applyBorder="1" applyAlignment="1">
      <alignment horizontal="left" vertical="center" wrapText="1"/>
    </xf>
    <xf numFmtId="184" fontId="129" fillId="43" borderId="12" xfId="0" applyNumberFormat="1" applyFont="1" applyFill="1" applyBorder="1" applyAlignment="1">
      <alignment horizontal="center" vertical="center" wrapText="1"/>
    </xf>
    <xf numFmtId="0" fontId="50" fillId="5" borderId="1" xfId="0" applyFont="1" applyFill="1" applyBorder="1" applyAlignment="1">
      <alignment horizontal="left" vertical="center" wrapText="1"/>
    </xf>
    <xf numFmtId="0" fontId="50" fillId="5" borderId="13" xfId="0" applyFont="1" applyFill="1" applyBorder="1" applyAlignment="1">
      <alignment vertical="center"/>
    </xf>
    <xf numFmtId="0" fontId="50" fillId="5" borderId="2" xfId="0" applyFont="1" applyFill="1" applyBorder="1" applyAlignment="1">
      <alignment vertical="center"/>
    </xf>
    <xf numFmtId="0" fontId="34" fillId="0" borderId="1" xfId="0" applyFont="1" applyBorder="1" applyAlignment="1">
      <alignment vertical="center" wrapText="1"/>
    </xf>
    <xf numFmtId="0" fontId="55" fillId="0" borderId="12" xfId="0" applyFont="1" applyBorder="1" applyAlignment="1">
      <alignment horizontal="center" vertical="center" wrapText="1"/>
    </xf>
    <xf numFmtId="0" fontId="34" fillId="0" borderId="67" xfId="0" applyFont="1" applyBorder="1" applyAlignment="1">
      <alignment vertical="center" wrapText="1"/>
    </xf>
    <xf numFmtId="0" fontId="81" fillId="0" borderId="76" xfId="0" applyFont="1" applyBorder="1" applyAlignment="1">
      <alignment horizontal="center" vertical="center" wrapText="1"/>
    </xf>
    <xf numFmtId="0" fontId="81" fillId="0" borderId="2" xfId="0" applyFont="1" applyBorder="1" applyAlignment="1">
      <alignment horizontal="center" vertical="center" wrapText="1"/>
    </xf>
    <xf numFmtId="0" fontId="81" fillId="0" borderId="77" xfId="0" applyFont="1" applyBorder="1" applyAlignment="1">
      <alignment vertical="center" wrapText="1"/>
    </xf>
    <xf numFmtId="0" fontId="81" fillId="0" borderId="66" xfId="0" applyFont="1" applyBorder="1" applyAlignment="1">
      <alignment vertical="center" wrapText="1"/>
    </xf>
    <xf numFmtId="0" fontId="81" fillId="0" borderId="0" xfId="0" applyFont="1" applyAlignment="1">
      <alignment horizontal="center" vertical="center" wrapText="1"/>
    </xf>
    <xf numFmtId="0" fontId="55" fillId="0" borderId="0" xfId="0" applyFont="1" applyAlignment="1">
      <alignment horizontal="center" vertical="center" wrapText="1"/>
    </xf>
    <xf numFmtId="0" fontId="70" fillId="43" borderId="12" xfId="0" applyFont="1" applyFill="1" applyBorder="1"/>
    <xf numFmtId="0" fontId="70" fillId="43" borderId="12" xfId="0" applyFont="1" applyFill="1" applyBorder="1" applyAlignment="1">
      <alignment horizontal="left"/>
    </xf>
    <xf numFmtId="0" fontId="70" fillId="5" borderId="12" xfId="0" applyFont="1" applyFill="1" applyBorder="1"/>
    <xf numFmtId="0" fontId="55" fillId="5" borderId="12" xfId="0" applyFont="1" applyFill="1" applyBorder="1"/>
    <xf numFmtId="0" fontId="55" fillId="0" borderId="12" xfId="0" applyFont="1" applyBorder="1" applyAlignment="1">
      <alignment wrapText="1"/>
    </xf>
    <xf numFmtId="0" fontId="55" fillId="0" borderId="12" xfId="0" applyFont="1" applyBorder="1"/>
    <xf numFmtId="0" fontId="55" fillId="5" borderId="12" xfId="0" applyFont="1" applyFill="1" applyBorder="1" applyAlignment="1">
      <alignment wrapText="1"/>
    </xf>
    <xf numFmtId="0" fontId="55" fillId="0" borderId="0" xfId="0" applyFont="1" applyAlignment="1">
      <alignment horizontal="left" vertical="center"/>
    </xf>
    <xf numFmtId="0" fontId="50" fillId="5" borderId="15" xfId="0" applyFont="1" applyFill="1" applyBorder="1" applyAlignment="1">
      <alignment vertical="center" wrapText="1"/>
    </xf>
    <xf numFmtId="0" fontId="50" fillId="5" borderId="13" xfId="0" applyFont="1" applyFill="1" applyBorder="1" applyAlignment="1">
      <alignment horizontal="center" vertical="center"/>
    </xf>
    <xf numFmtId="0" fontId="50" fillId="5" borderId="2" xfId="0" applyFont="1" applyFill="1" applyBorder="1" applyAlignment="1">
      <alignment horizontal="center" vertical="center"/>
    </xf>
    <xf numFmtId="0" fontId="55" fillId="0" borderId="6" xfId="0" applyFont="1" applyBorder="1" applyAlignment="1">
      <alignment horizontal="left" vertical="center" wrapText="1"/>
    </xf>
    <xf numFmtId="0" fontId="0" fillId="0" borderId="6" xfId="0" applyBorder="1" applyAlignment="1">
      <alignment horizontal="left"/>
    </xf>
    <xf numFmtId="0" fontId="55" fillId="0" borderId="5" xfId="0" applyFont="1" applyBorder="1" applyAlignment="1">
      <alignment horizontal="left" vertical="center" wrapText="1"/>
    </xf>
    <xf numFmtId="0" fontId="55" fillId="0" borderId="5" xfId="0" applyFont="1" applyBorder="1" applyAlignment="1">
      <alignment horizontal="center" vertical="center" wrapText="1"/>
    </xf>
    <xf numFmtId="0" fontId="0" fillId="0" borderId="5" xfId="0" applyBorder="1"/>
    <xf numFmtId="0" fontId="55" fillId="9" borderId="14" xfId="0" applyFont="1" applyFill="1" applyBorder="1" applyAlignment="1">
      <alignment horizontal="left" vertical="center"/>
    </xf>
    <xf numFmtId="0" fontId="0" fillId="9" borderId="14" xfId="0" applyFill="1" applyBorder="1"/>
    <xf numFmtId="0" fontId="55" fillId="9" borderId="14" xfId="0" applyFont="1" applyFill="1" applyBorder="1" applyAlignment="1">
      <alignment horizontal="center" vertical="center" wrapText="1"/>
    </xf>
    <xf numFmtId="172" fontId="56" fillId="35" borderId="0" xfId="42" applyNumberFormat="1" applyFont="1" applyFill="1"/>
    <xf numFmtId="0" fontId="95" fillId="0" borderId="0" xfId="42" applyFont="1" applyAlignment="1">
      <alignment horizontal="center"/>
    </xf>
    <xf numFmtId="10" fontId="95" fillId="0" borderId="0" xfId="42" applyNumberFormat="1" applyFont="1"/>
    <xf numFmtId="2" fontId="0" fillId="0" borderId="0" xfId="0" applyNumberFormat="1"/>
    <xf numFmtId="3" fontId="90" fillId="0" borderId="0" xfId="42" applyNumberFormat="1" applyFont="1"/>
    <xf numFmtId="2" fontId="126" fillId="0" borderId="0" xfId="42" applyNumberFormat="1" applyFont="1"/>
    <xf numFmtId="0" fontId="126" fillId="0" borderId="0" xfId="42" applyFont="1"/>
    <xf numFmtId="181" fontId="90" fillId="0" borderId="0" xfId="42" applyNumberFormat="1" applyFont="1" applyAlignment="1">
      <alignment horizontal="center" vertical="center"/>
    </xf>
    <xf numFmtId="2" fontId="0" fillId="0" borderId="5" xfId="0" applyNumberFormat="1" applyBorder="1"/>
    <xf numFmtId="1" fontId="0" fillId="0" borderId="5" xfId="0" applyNumberFormat="1" applyBorder="1"/>
    <xf numFmtId="0" fontId="80" fillId="9" borderId="0" xfId="0" applyFont="1" applyFill="1"/>
    <xf numFmtId="0" fontId="0" fillId="0" borderId="0" xfId="0" applyAlignment="1">
      <alignment horizontal="right"/>
    </xf>
    <xf numFmtId="185" fontId="0" fillId="0" borderId="0" xfId="0" applyNumberFormat="1" applyAlignment="1">
      <alignment horizontal="left"/>
    </xf>
    <xf numFmtId="186" fontId="0" fillId="0" borderId="0" xfId="0" applyNumberFormat="1" applyAlignment="1">
      <alignment horizontal="left"/>
    </xf>
    <xf numFmtId="188" fontId="0" fillId="0" borderId="0" xfId="0" applyNumberFormat="1" applyAlignment="1">
      <alignment horizontal="left"/>
    </xf>
    <xf numFmtId="189" fontId="0" fillId="0" borderId="0" xfId="0" applyNumberFormat="1" applyAlignment="1">
      <alignment horizontal="left"/>
    </xf>
    <xf numFmtId="190" fontId="0" fillId="0" borderId="0" xfId="0" applyNumberFormat="1" applyAlignment="1">
      <alignment horizontal="left"/>
    </xf>
    <xf numFmtId="191" fontId="0" fillId="0" borderId="0" xfId="0" applyNumberFormat="1" applyAlignment="1">
      <alignment horizontal="left"/>
    </xf>
    <xf numFmtId="187" fontId="0" fillId="0" borderId="0" xfId="0" applyNumberFormat="1" applyAlignment="1">
      <alignment horizontal="left"/>
    </xf>
    <xf numFmtId="192" fontId="0" fillId="0" borderId="0" xfId="0" applyNumberFormat="1" applyAlignment="1">
      <alignment horizontal="left"/>
    </xf>
    <xf numFmtId="172" fontId="0" fillId="0" borderId="0" xfId="0" applyNumberFormat="1" applyAlignment="1">
      <alignment horizontal="left"/>
    </xf>
    <xf numFmtId="1" fontId="0" fillId="0" borderId="0" xfId="0" applyNumberFormat="1" applyAlignment="1">
      <alignment horizontal="left"/>
    </xf>
    <xf numFmtId="2" fontId="0" fillId="0" borderId="0" xfId="0" applyNumberFormat="1" applyAlignment="1">
      <alignment horizontal="left"/>
    </xf>
    <xf numFmtId="182" fontId="0" fillId="0" borderId="0" xfId="0" applyNumberFormat="1" applyAlignment="1">
      <alignment horizontal="left"/>
    </xf>
    <xf numFmtId="193" fontId="0" fillId="0" borderId="0" xfId="0" applyNumberFormat="1" applyAlignment="1">
      <alignment horizontal="left"/>
    </xf>
    <xf numFmtId="0" fontId="0" fillId="0" borderId="6" xfId="0" applyBorder="1"/>
    <xf numFmtId="0" fontId="0" fillId="0" borderId="7" xfId="0" applyBorder="1"/>
    <xf numFmtId="0" fontId="0" fillId="0" borderId="14" xfId="0" applyBorder="1" applyAlignment="1">
      <alignment horizontal="right"/>
    </xf>
    <xf numFmtId="172" fontId="0" fillId="0" borderId="14" xfId="0" applyNumberFormat="1" applyBorder="1" applyAlignment="1">
      <alignment horizontal="left"/>
    </xf>
    <xf numFmtId="0" fontId="0" fillId="0" borderId="8" xfId="0" applyBorder="1"/>
    <xf numFmtId="172" fontId="80" fillId="0" borderId="0" xfId="0" applyNumberFormat="1" applyFont="1" applyAlignment="1">
      <alignment horizontal="left"/>
    </xf>
    <xf numFmtId="164" fontId="0" fillId="0" borderId="0" xfId="46" applyFont="1" applyAlignment="1">
      <alignment horizontal="left"/>
    </xf>
    <xf numFmtId="0" fontId="80" fillId="0" borderId="0" xfId="0" applyFont="1" applyAlignment="1">
      <alignment horizontal="right"/>
    </xf>
    <xf numFmtId="0" fontId="134" fillId="0" borderId="0" xfId="0" applyFont="1" applyAlignment="1">
      <alignment horizontal="center"/>
    </xf>
    <xf numFmtId="0" fontId="65" fillId="11" borderId="0" xfId="0" applyFont="1" applyFill="1" applyAlignment="1">
      <alignment horizontal="left" vertical="center"/>
    </xf>
    <xf numFmtId="0" fontId="64" fillId="17" borderId="0" xfId="0" applyFont="1" applyFill="1" applyAlignment="1">
      <alignment horizontal="center" vertical="center"/>
    </xf>
    <xf numFmtId="0" fontId="59" fillId="0" borderId="0" xfId="0" applyFont="1" applyAlignment="1">
      <alignment horizontal="left" vertical="center"/>
    </xf>
    <xf numFmtId="0" fontId="61" fillId="0" borderId="0" xfId="0" applyFont="1" applyAlignment="1">
      <alignment horizontal="center" vertical="center"/>
    </xf>
    <xf numFmtId="0" fontId="64" fillId="0" borderId="0" xfId="0" applyFont="1" applyAlignment="1">
      <alignment horizontal="left" vertical="center"/>
    </xf>
    <xf numFmtId="0" fontId="61" fillId="0" borderId="0" xfId="0" applyFont="1" applyAlignment="1">
      <alignment horizontal="left" vertical="center"/>
    </xf>
    <xf numFmtId="0" fontId="61" fillId="0" borderId="0" xfId="0" applyFont="1" applyAlignment="1">
      <alignment horizontal="right" vertical="center"/>
    </xf>
    <xf numFmtId="4" fontId="64" fillId="0" borderId="0" xfId="0" applyNumberFormat="1" applyFont="1" applyAlignment="1">
      <alignment horizontal="right" vertical="center"/>
    </xf>
    <xf numFmtId="0" fontId="64" fillId="0" borderId="0" xfId="0" applyFont="1" applyAlignment="1">
      <alignment horizontal="center" vertical="center"/>
    </xf>
    <xf numFmtId="172" fontId="0" fillId="0" borderId="0" xfId="0" applyNumberFormat="1"/>
    <xf numFmtId="187" fontId="0" fillId="0" borderId="0" xfId="0" applyNumberFormat="1"/>
    <xf numFmtId="182" fontId="0" fillId="0" borderId="0" xfId="0" applyNumberFormat="1"/>
    <xf numFmtId="190" fontId="0" fillId="0" borderId="0" xfId="0" applyNumberFormat="1"/>
    <xf numFmtId="193" fontId="0" fillId="0" borderId="0" xfId="0" applyNumberFormat="1"/>
    <xf numFmtId="0" fontId="80" fillId="5" borderId="3" xfId="0" applyFont="1" applyFill="1" applyBorder="1"/>
    <xf numFmtId="0" fontId="80" fillId="5" borderId="15" xfId="0" applyFont="1" applyFill="1" applyBorder="1"/>
    <xf numFmtId="0" fontId="80" fillId="5" borderId="4" xfId="0" applyFont="1" applyFill="1" applyBorder="1"/>
    <xf numFmtId="0" fontId="80" fillId="5" borderId="5" xfId="0" applyFont="1" applyFill="1" applyBorder="1"/>
    <xf numFmtId="0" fontId="80" fillId="5" borderId="6" xfId="0" applyFont="1" applyFill="1" applyBorder="1"/>
    <xf numFmtId="0" fontId="80" fillId="5" borderId="40" xfId="0" applyFont="1" applyFill="1" applyBorder="1"/>
    <xf numFmtId="0" fontId="80" fillId="5" borderId="41" xfId="0" applyFont="1" applyFill="1" applyBorder="1"/>
    <xf numFmtId="172" fontId="80" fillId="5" borderId="42" xfId="0" applyNumberFormat="1" applyFont="1" applyFill="1" applyBorder="1" applyAlignment="1">
      <alignment horizontal="left"/>
    </xf>
    <xf numFmtId="172" fontId="0" fillId="0" borderId="28" xfId="0" applyNumberFormat="1" applyBorder="1" applyAlignment="1">
      <alignment horizontal="left"/>
    </xf>
    <xf numFmtId="1" fontId="0" fillId="0" borderId="28" xfId="0" applyNumberFormat="1" applyBorder="1" applyAlignment="1">
      <alignment horizontal="left"/>
    </xf>
    <xf numFmtId="0" fontId="0" fillId="0" borderId="45" xfId="0" applyBorder="1"/>
    <xf numFmtId="0" fontId="80" fillId="5" borderId="27" xfId="0" applyFont="1" applyFill="1" applyBorder="1"/>
    <xf numFmtId="172" fontId="80" fillId="5" borderId="29" xfId="0" applyNumberFormat="1" applyFont="1" applyFill="1" applyBorder="1" applyAlignment="1">
      <alignment horizontal="right"/>
    </xf>
    <xf numFmtId="0" fontId="80" fillId="0" borderId="40" xfId="0" applyFont="1" applyBorder="1"/>
    <xf numFmtId="0" fontId="0" fillId="0" borderId="41" xfId="0" applyBorder="1"/>
    <xf numFmtId="0" fontId="0" fillId="0" borderId="42" xfId="0" applyBorder="1"/>
    <xf numFmtId="0" fontId="80" fillId="0" borderId="30" xfId="0" applyFont="1" applyBorder="1"/>
    <xf numFmtId="0" fontId="80" fillId="0" borderId="45" xfId="0" applyFont="1" applyBorder="1"/>
    <xf numFmtId="0" fontId="0" fillId="0" borderId="27" xfId="0" applyBorder="1"/>
    <xf numFmtId="2" fontId="0" fillId="0" borderId="27" xfId="0" applyNumberFormat="1" applyBorder="1" applyAlignment="1">
      <alignment horizontal="left"/>
    </xf>
    <xf numFmtId="0" fontId="0" fillId="0" borderId="29" xfId="0" applyBorder="1"/>
    <xf numFmtId="0" fontId="70" fillId="0" borderId="40" xfId="0" applyFont="1" applyBorder="1" applyAlignment="1">
      <alignment horizontal="left" vertical="center"/>
    </xf>
    <xf numFmtId="0" fontId="18" fillId="0" borderId="41" xfId="0" applyFont="1" applyBorder="1" applyAlignment="1">
      <alignment horizontal="left" vertical="center"/>
    </xf>
    <xf numFmtId="0" fontId="55" fillId="0" borderId="30" xfId="0" applyFont="1" applyBorder="1" applyAlignment="1">
      <alignment horizontal="right" vertical="center"/>
    </xf>
    <xf numFmtId="0" fontId="55" fillId="0" borderId="28" xfId="0" applyFont="1" applyBorder="1" applyAlignment="1">
      <alignment horizontal="center" vertical="center"/>
    </xf>
    <xf numFmtId="0" fontId="70" fillId="0" borderId="30" xfId="0" applyFont="1" applyBorder="1" applyAlignment="1">
      <alignment horizontal="left" vertical="center"/>
    </xf>
    <xf numFmtId="168" fontId="55" fillId="0" borderId="0" xfId="0" applyNumberFormat="1" applyFont="1" applyAlignment="1">
      <alignment horizontal="center" vertical="center"/>
    </xf>
    <xf numFmtId="168" fontId="18" fillId="0" borderId="28" xfId="0" applyNumberFormat="1" applyFont="1" applyBorder="1" applyAlignment="1">
      <alignment horizontal="center" vertical="center"/>
    </xf>
    <xf numFmtId="11" fontId="55" fillId="0" borderId="0" xfId="0" applyNumberFormat="1" applyFont="1" applyAlignment="1">
      <alignment horizontal="center" vertical="center"/>
    </xf>
    <xf numFmtId="11" fontId="18" fillId="0" borderId="28" xfId="0" applyNumberFormat="1" applyFont="1" applyBorder="1" applyAlignment="1">
      <alignment horizontal="center" vertical="center"/>
    </xf>
    <xf numFmtId="0" fontId="55" fillId="0" borderId="30" xfId="0" applyFont="1" applyBorder="1" applyAlignment="1">
      <alignment horizontal="left" vertical="center"/>
    </xf>
    <xf numFmtId="4" fontId="55" fillId="0" borderId="30" xfId="27" applyBorder="1" applyAlignment="1">
      <alignment horizontal="right" vertical="center"/>
    </xf>
    <xf numFmtId="0" fontId="55" fillId="0" borderId="45" xfId="0" applyFont="1" applyBorder="1" applyAlignment="1">
      <alignment horizontal="right" vertical="center"/>
    </xf>
    <xf numFmtId="0" fontId="55" fillId="0" borderId="27" xfId="0" applyFont="1" applyBorder="1" applyAlignment="1">
      <alignment horizontal="center" vertical="center"/>
    </xf>
    <xf numFmtId="0" fontId="64" fillId="11" borderId="0" xfId="0" applyFont="1" applyFill="1" applyAlignment="1">
      <alignment horizontal="left" vertical="center"/>
    </xf>
    <xf numFmtId="4" fontId="64" fillId="0" borderId="0" xfId="0" applyNumberFormat="1" applyFont="1" applyAlignment="1">
      <alignment horizontal="center" vertical="center"/>
    </xf>
    <xf numFmtId="4" fontId="64" fillId="17" borderId="0" xfId="0" applyNumberFormat="1" applyFont="1" applyFill="1" applyAlignment="1">
      <alignment horizontal="center" vertical="center"/>
    </xf>
    <xf numFmtId="0" fontId="64" fillId="17" borderId="0" xfId="0" applyFont="1" applyFill="1" applyAlignment="1">
      <alignment horizontal="left" vertical="center"/>
    </xf>
    <xf numFmtId="3" fontId="64" fillId="17" borderId="0" xfId="0" applyNumberFormat="1" applyFont="1" applyFill="1" applyAlignment="1">
      <alignment horizontal="right" vertical="center"/>
    </xf>
    <xf numFmtId="194" fontId="61" fillId="0" borderId="0" xfId="0" applyNumberFormat="1" applyFont="1" applyAlignment="1">
      <alignment horizontal="center" vertical="center"/>
    </xf>
    <xf numFmtId="0" fontId="64" fillId="0" borderId="0" xfId="0" applyFont="1" applyAlignment="1">
      <alignment vertical="center"/>
    </xf>
    <xf numFmtId="4" fontId="136" fillId="0" borderId="0" xfId="0" applyNumberFormat="1" applyFont="1" applyAlignment="1" applyProtection="1">
      <alignment vertical="center"/>
      <protection locked="0"/>
    </xf>
    <xf numFmtId="167" fontId="136" fillId="0" borderId="0" xfId="0" applyNumberFormat="1" applyFont="1" applyAlignment="1" applyProtection="1">
      <alignment vertical="center"/>
      <protection locked="0"/>
    </xf>
    <xf numFmtId="0" fontId="64" fillId="0" borderId="0" xfId="0" applyFont="1" applyAlignment="1" applyProtection="1">
      <alignment vertical="center"/>
      <protection locked="0"/>
    </xf>
    <xf numFmtId="167" fontId="64" fillId="0" borderId="0" xfId="0" applyNumberFormat="1" applyFont="1" applyAlignment="1">
      <alignment horizontal="right" vertical="center"/>
    </xf>
    <xf numFmtId="1" fontId="0" fillId="0" borderId="29" xfId="0" applyNumberFormat="1" applyBorder="1" applyAlignment="1">
      <alignment horizontal="left"/>
    </xf>
    <xf numFmtId="172" fontId="0" fillId="0" borderId="29" xfId="0" applyNumberFormat="1" applyBorder="1" applyAlignment="1">
      <alignment horizontal="left"/>
    </xf>
    <xf numFmtId="195" fontId="0" fillId="0" borderId="0" xfId="0" applyNumberFormat="1" applyAlignment="1">
      <alignment horizontal="left"/>
    </xf>
    <xf numFmtId="0" fontId="80" fillId="5" borderId="42" xfId="0" applyFont="1" applyFill="1" applyBorder="1"/>
    <xf numFmtId="0" fontId="0" fillId="0" borderId="30" xfId="0" applyBorder="1" applyAlignment="1">
      <alignment horizontal="left"/>
    </xf>
    <xf numFmtId="0" fontId="0" fillId="0" borderId="45" xfId="0" applyBorder="1" applyAlignment="1">
      <alignment horizontal="left"/>
    </xf>
    <xf numFmtId="196" fontId="0" fillId="0" borderId="0" xfId="0" applyNumberFormat="1" applyAlignment="1">
      <alignment horizontal="left"/>
    </xf>
    <xf numFmtId="197" fontId="0" fillId="0" borderId="0" xfId="0" applyNumberFormat="1" applyAlignment="1">
      <alignment horizontal="left"/>
    </xf>
    <xf numFmtId="178" fontId="139" fillId="0" borderId="12" xfId="42" applyNumberFormat="1" applyFont="1" applyBorder="1"/>
    <xf numFmtId="0" fontId="139" fillId="0" borderId="12" xfId="42" applyFont="1" applyBorder="1" applyAlignment="1">
      <alignment horizontal="right"/>
    </xf>
    <xf numFmtId="0" fontId="139" fillId="0" borderId="12" xfId="42" applyFont="1" applyBorder="1"/>
    <xf numFmtId="1" fontId="139" fillId="0" borderId="12" xfId="42" applyNumberFormat="1" applyFont="1" applyBorder="1"/>
    <xf numFmtId="9" fontId="140" fillId="0" borderId="12" xfId="44" applyFont="1" applyBorder="1"/>
    <xf numFmtId="9" fontId="139" fillId="0" borderId="12" xfId="42" applyNumberFormat="1" applyFont="1" applyBorder="1" applyAlignment="1">
      <alignment horizontal="right"/>
    </xf>
    <xf numFmtId="1" fontId="90" fillId="0" borderId="12" xfId="42" applyNumberFormat="1" applyFont="1" applyBorder="1" applyAlignment="1">
      <alignment horizontal="center"/>
    </xf>
    <xf numFmtId="198" fontId="126" fillId="0" borderId="12" xfId="42" applyNumberFormat="1" applyFont="1" applyBorder="1"/>
    <xf numFmtId="177" fontId="139" fillId="0" borderId="12" xfId="42" applyNumberFormat="1" applyFont="1" applyBorder="1" applyAlignment="1">
      <alignment horizontal="right"/>
    </xf>
    <xf numFmtId="9" fontId="139" fillId="0" borderId="12" xfId="42" applyNumberFormat="1" applyFont="1" applyBorder="1" applyAlignment="1">
      <alignment horizontal="center" vertical="center"/>
    </xf>
    <xf numFmtId="172" fontId="126" fillId="0" borderId="12" xfId="42" applyNumberFormat="1" applyFont="1" applyBorder="1" applyAlignment="1">
      <alignment horizontal="right"/>
    </xf>
    <xf numFmtId="173" fontId="126" fillId="0" borderId="12" xfId="42" applyNumberFormat="1" applyFont="1" applyBorder="1"/>
    <xf numFmtId="172" fontId="126" fillId="0" borderId="0" xfId="42" applyNumberFormat="1" applyFont="1"/>
    <xf numFmtId="198" fontId="126" fillId="0" borderId="0" xfId="42" applyNumberFormat="1" applyFont="1"/>
    <xf numFmtId="173" fontId="126" fillId="0" borderId="0" xfId="42" applyNumberFormat="1" applyFont="1"/>
    <xf numFmtId="172" fontId="143" fillId="0" borderId="0" xfId="42" applyNumberFormat="1" applyFont="1"/>
    <xf numFmtId="173" fontId="126" fillId="28" borderId="10" xfId="42" applyNumberFormat="1" applyFont="1" applyFill="1" applyBorder="1" applyAlignment="1">
      <alignment horizontal="left"/>
    </xf>
    <xf numFmtId="1" fontId="90" fillId="0" borderId="2" xfId="42" applyNumberFormat="1" applyFont="1" applyBorder="1" applyAlignment="1">
      <alignment horizontal="center"/>
    </xf>
    <xf numFmtId="177" fontId="139" fillId="0" borderId="2" xfId="42" applyNumberFormat="1" applyFont="1" applyBorder="1" applyAlignment="1">
      <alignment horizontal="right"/>
    </xf>
    <xf numFmtId="198" fontId="126" fillId="0" borderId="2" xfId="42" applyNumberFormat="1" applyFont="1" applyBorder="1"/>
    <xf numFmtId="177" fontId="144" fillId="0" borderId="12" xfId="42" applyNumberFormat="1" applyFont="1" applyBorder="1" applyAlignment="1">
      <alignment horizontal="right"/>
    </xf>
    <xf numFmtId="173" fontId="142" fillId="0" borderId="12" xfId="42" applyNumberFormat="1" applyFont="1" applyBorder="1" applyAlignment="1">
      <alignment horizontal="right"/>
    </xf>
    <xf numFmtId="0" fontId="139" fillId="0" borderId="0" xfId="42" applyFont="1"/>
    <xf numFmtId="178" fontId="133" fillId="0" borderId="2" xfId="42" applyNumberFormat="1" applyFont="1" applyBorder="1" applyAlignment="1">
      <alignment horizontal="right" vertical="center"/>
    </xf>
    <xf numFmtId="178" fontId="133" fillId="0" borderId="13" xfId="42" applyNumberFormat="1" applyFont="1" applyBorder="1" applyAlignment="1">
      <alignment horizontal="right" vertical="center"/>
    </xf>
    <xf numFmtId="0" fontId="126" fillId="0" borderId="13" xfId="42" applyFont="1" applyBorder="1"/>
    <xf numFmtId="178" fontId="133" fillId="0" borderId="1" xfId="42" applyNumberFormat="1" applyFont="1" applyBorder="1" applyAlignment="1">
      <alignment horizontal="right" vertical="center"/>
    </xf>
    <xf numFmtId="0" fontId="133" fillId="0" borderId="0" xfId="42" applyFont="1"/>
    <xf numFmtId="178" fontId="126" fillId="0" borderId="46" xfId="42" applyNumberFormat="1" applyFont="1" applyBorder="1" applyAlignment="1">
      <alignment horizontal="right" vertical="center"/>
    </xf>
    <xf numFmtId="178" fontId="126" fillId="0" borderId="68" xfId="42" applyNumberFormat="1" applyFont="1" applyBorder="1" applyAlignment="1">
      <alignment horizontal="right" vertical="center"/>
    </xf>
    <xf numFmtId="178" fontId="126" fillId="0" borderId="79" xfId="42" applyNumberFormat="1" applyFont="1" applyBorder="1" applyAlignment="1">
      <alignment horizontal="right" vertical="center"/>
    </xf>
    <xf numFmtId="178" fontId="126" fillId="0" borderId="78" xfId="42" applyNumberFormat="1" applyFont="1" applyBorder="1" applyAlignment="1">
      <alignment horizontal="right" vertical="center"/>
    </xf>
    <xf numFmtId="0" fontId="133" fillId="0" borderId="54" xfId="42" applyFont="1" applyBorder="1" applyAlignment="1">
      <alignment vertical="center"/>
    </xf>
    <xf numFmtId="9" fontId="140" fillId="0" borderId="12" xfId="44" applyFont="1" applyBorder="1" applyAlignment="1">
      <alignment horizontal="center"/>
    </xf>
    <xf numFmtId="2" fontId="126" fillId="0" borderId="0" xfId="42" applyNumberFormat="1" applyFont="1" applyAlignment="1">
      <alignment horizontal="left" vertical="top"/>
    </xf>
    <xf numFmtId="2" fontId="126" fillId="0" borderId="0" xfId="42" applyNumberFormat="1" applyFont="1" applyAlignment="1">
      <alignment horizontal="left" vertical="top" wrapText="1"/>
    </xf>
    <xf numFmtId="2" fontId="139" fillId="0" borderId="0" xfId="42" applyNumberFormat="1" applyFont="1" applyAlignment="1">
      <alignment horizontal="left" vertical="top"/>
    </xf>
    <xf numFmtId="0" fontId="139" fillId="0" borderId="0" xfId="42" applyFont="1" applyAlignment="1">
      <alignment horizontal="left" vertical="top"/>
    </xf>
    <xf numFmtId="2" fontId="139" fillId="0" borderId="0" xfId="42" applyNumberFormat="1" applyFont="1" applyAlignment="1">
      <alignment horizontal="left" vertical="top" wrapText="1"/>
    </xf>
    <xf numFmtId="0" fontId="94" fillId="0" borderId="3" xfId="42" applyFont="1" applyBorder="1"/>
    <xf numFmtId="0" fontId="56" fillId="0" borderId="15" xfId="42" applyFont="1" applyBorder="1"/>
    <xf numFmtId="0" fontId="94" fillId="0" borderId="81" xfId="42" applyFont="1" applyBorder="1"/>
    <xf numFmtId="49" fontId="56" fillId="0" borderId="15" xfId="42" applyNumberFormat="1" applyFont="1" applyBorder="1"/>
    <xf numFmtId="0" fontId="97" fillId="0" borderId="15" xfId="42" applyFont="1" applyBorder="1"/>
    <xf numFmtId="0" fontId="56" fillId="0" borderId="4" xfId="42" applyFont="1" applyBorder="1"/>
    <xf numFmtId="49" fontId="54" fillId="0" borderId="5" xfId="42" applyNumberFormat="1" applyFont="1" applyBorder="1"/>
    <xf numFmtId="2" fontId="110" fillId="0" borderId="6" xfId="42" applyNumberFormat="1" applyFont="1" applyBorder="1"/>
    <xf numFmtId="0" fontId="56" fillId="0" borderId="6" xfId="42" applyFont="1" applyBorder="1"/>
    <xf numFmtId="0" fontId="94" fillId="0" borderId="5" xfId="42" applyFont="1" applyBorder="1"/>
    <xf numFmtId="2" fontId="56" fillId="0" borderId="6" xfId="42" applyNumberFormat="1" applyFont="1" applyBorder="1"/>
    <xf numFmtId="0" fontId="54" fillId="0" borderId="5" xfId="42" applyFont="1" applyBorder="1"/>
    <xf numFmtId="3" fontId="56" fillId="0" borderId="12" xfId="42" applyNumberFormat="1" applyFont="1" applyBorder="1"/>
    <xf numFmtId="2" fontId="139" fillId="0" borderId="0" xfId="42" applyNumberFormat="1" applyFont="1" applyAlignment="1">
      <alignment horizontal="center"/>
    </xf>
    <xf numFmtId="0" fontId="56" fillId="0" borderId="0" xfId="42" applyFont="1" applyAlignment="1">
      <alignment vertical="top"/>
    </xf>
    <xf numFmtId="0" fontId="56" fillId="0" borderId="0" xfId="42" applyFont="1" applyAlignment="1">
      <alignment horizontal="left" vertical="top"/>
    </xf>
    <xf numFmtId="1" fontId="56" fillId="0" borderId="0" xfId="42" applyNumberFormat="1" applyFont="1" applyAlignment="1">
      <alignment horizontal="center" vertical="center"/>
    </xf>
    <xf numFmtId="182" fontId="106" fillId="37" borderId="71" xfId="43" applyNumberFormat="1" applyFont="1" applyFill="1" applyBorder="1" applyAlignment="1" applyProtection="1">
      <alignment horizontal="center" vertical="center"/>
      <protection locked="0"/>
    </xf>
    <xf numFmtId="0" fontId="80" fillId="5" borderId="14" xfId="0" applyFont="1" applyFill="1" applyBorder="1"/>
    <xf numFmtId="172" fontId="80" fillId="5" borderId="14" xfId="0" applyNumberFormat="1" applyFont="1" applyFill="1" applyBorder="1" applyAlignment="1">
      <alignment horizontal="left"/>
    </xf>
    <xf numFmtId="0" fontId="116" fillId="0" borderId="0" xfId="0" applyFont="1"/>
    <xf numFmtId="0" fontId="0" fillId="5" borderId="14" xfId="0" applyFill="1" applyBorder="1"/>
    <xf numFmtId="0" fontId="0" fillId="28" borderId="54" xfId="0" applyFill="1" applyBorder="1"/>
    <xf numFmtId="2" fontId="0" fillId="0" borderId="29" xfId="0" applyNumberFormat="1" applyBorder="1"/>
    <xf numFmtId="0" fontId="70" fillId="0" borderId="0" xfId="0" applyFont="1" applyAlignment="1">
      <alignment horizontal="left" vertical="center"/>
    </xf>
    <xf numFmtId="0" fontId="70" fillId="0" borderId="0" xfId="0" applyFont="1" applyAlignment="1">
      <alignment horizontal="right" vertical="center"/>
    </xf>
    <xf numFmtId="0" fontId="70" fillId="0" borderId="0" xfId="0" applyFont="1" applyAlignment="1">
      <alignment horizontal="center" vertical="center"/>
    </xf>
    <xf numFmtId="0" fontId="55" fillId="0" borderId="0" xfId="0" applyFont="1" applyAlignment="1">
      <alignment horizontal="right"/>
    </xf>
    <xf numFmtId="0" fontId="55" fillId="0" borderId="0" xfId="0" applyFont="1"/>
    <xf numFmtId="0" fontId="55" fillId="0" borderId="0" xfId="0" applyFont="1" applyAlignment="1">
      <alignment horizontal="left" wrapText="1"/>
    </xf>
    <xf numFmtId="2" fontId="55" fillId="0" borderId="0" xfId="0" applyNumberFormat="1" applyFont="1" applyAlignment="1">
      <alignment horizontal="center" vertical="center"/>
    </xf>
    <xf numFmtId="0" fontId="55" fillId="0" borderId="0" xfId="0" applyFont="1" applyAlignment="1">
      <alignment horizontal="left" vertical="center" wrapText="1"/>
    </xf>
    <xf numFmtId="1" fontId="55" fillId="0" borderId="0" xfId="0" applyNumberFormat="1" applyFont="1" applyAlignment="1">
      <alignment horizontal="center" vertical="center"/>
    </xf>
    <xf numFmtId="199" fontId="0" fillId="0" borderId="0" xfId="0" applyNumberFormat="1"/>
    <xf numFmtId="0" fontId="86" fillId="0" borderId="0" xfId="0" applyFont="1"/>
    <xf numFmtId="0" fontId="0" fillId="0" borderId="3" xfId="0" applyBorder="1"/>
    <xf numFmtId="0" fontId="0" fillId="0" borderId="4" xfId="0" applyBorder="1"/>
    <xf numFmtId="182" fontId="0" fillId="0" borderId="15" xfId="0" applyNumberFormat="1" applyBorder="1"/>
    <xf numFmtId="182" fontId="0" fillId="0" borderId="14" xfId="0" applyNumberFormat="1" applyBorder="1"/>
    <xf numFmtId="182" fontId="86" fillId="0" borderId="0" xfId="0" applyNumberFormat="1" applyFont="1"/>
    <xf numFmtId="0" fontId="56" fillId="0" borderId="3" xfId="42" applyFont="1" applyBorder="1"/>
    <xf numFmtId="0" fontId="95" fillId="0" borderId="15" xfId="42" applyFont="1" applyBorder="1"/>
    <xf numFmtId="172" fontId="95" fillId="0" borderId="15" xfId="42" applyNumberFormat="1" applyFont="1" applyBorder="1"/>
    <xf numFmtId="0" fontId="56" fillId="0" borderId="5" xfId="42" applyFont="1" applyBorder="1" applyAlignment="1">
      <alignment vertical="top"/>
    </xf>
    <xf numFmtId="172" fontId="95" fillId="0" borderId="0" xfId="42" applyNumberFormat="1" applyFont="1" applyAlignment="1">
      <alignment vertical="top" wrapText="1"/>
    </xf>
    <xf numFmtId="0" fontId="56" fillId="0" borderId="5" xfId="42" applyFont="1" applyBorder="1"/>
    <xf numFmtId="0" fontId="56" fillId="0" borderId="7" xfId="42" applyFont="1" applyBorder="1"/>
    <xf numFmtId="2" fontId="95" fillId="0" borderId="14" xfId="42" applyNumberFormat="1" applyFont="1" applyBorder="1"/>
    <xf numFmtId="0" fontId="56" fillId="0" borderId="14" xfId="42" applyFont="1" applyBorder="1"/>
    <xf numFmtId="0" fontId="95" fillId="0" borderId="14" xfId="42" applyFont="1" applyBorder="1"/>
    <xf numFmtId="49" fontId="56" fillId="0" borderId="14" xfId="42" applyNumberFormat="1" applyFont="1" applyBorder="1"/>
    <xf numFmtId="0" fontId="56" fillId="0" borderId="8" xfId="42" applyFont="1" applyBorder="1"/>
    <xf numFmtId="174" fontId="56" fillId="35" borderId="74" xfId="42" applyNumberFormat="1" applyFont="1" applyFill="1" applyBorder="1"/>
    <xf numFmtId="0" fontId="56" fillId="0" borderId="82" xfId="42" applyFont="1" applyBorder="1"/>
    <xf numFmtId="172" fontId="54" fillId="34" borderId="77" xfId="42" applyNumberFormat="1" applyFont="1" applyFill="1" applyBorder="1"/>
    <xf numFmtId="172" fontId="54" fillId="34" borderId="66" xfId="42" applyNumberFormat="1" applyFont="1" applyFill="1" applyBorder="1"/>
    <xf numFmtId="0" fontId="56" fillId="35" borderId="66" xfId="42" applyFont="1" applyFill="1" applyBorder="1"/>
    <xf numFmtId="172" fontId="56" fillId="0" borderId="77" xfId="42" applyNumberFormat="1" applyFont="1" applyBorder="1"/>
    <xf numFmtId="0" fontId="56" fillId="35" borderId="77" xfId="42" applyFont="1" applyFill="1" applyBorder="1"/>
    <xf numFmtId="2" fontId="110" fillId="0" borderId="30" xfId="42" applyNumberFormat="1" applyFont="1" applyBorder="1"/>
    <xf numFmtId="0" fontId="56" fillId="0" borderId="30" xfId="42" applyFont="1" applyBorder="1"/>
    <xf numFmtId="174" fontId="56" fillId="35" borderId="66" xfId="42" applyNumberFormat="1" applyFont="1" applyFill="1" applyBorder="1"/>
    <xf numFmtId="2" fontId="56" fillId="35" borderId="66" xfId="42" applyNumberFormat="1" applyFont="1" applyFill="1" applyBorder="1"/>
    <xf numFmtId="2" fontId="56" fillId="0" borderId="30" xfId="42" applyNumberFormat="1" applyFont="1" applyBorder="1"/>
    <xf numFmtId="3" fontId="56" fillId="35" borderId="77" xfId="42" applyNumberFormat="1" applyFont="1" applyFill="1" applyBorder="1"/>
    <xf numFmtId="2" fontId="56" fillId="35" borderId="77" xfId="42" applyNumberFormat="1" applyFont="1" applyFill="1" applyBorder="1"/>
    <xf numFmtId="49" fontId="56" fillId="0" borderId="81" xfId="42" applyNumberFormat="1" applyFont="1" applyBorder="1"/>
    <xf numFmtId="0" fontId="56" fillId="0" borderId="34" xfId="42" applyFont="1" applyBorder="1"/>
    <xf numFmtId="173" fontId="126" fillId="28" borderId="9" xfId="42" applyNumberFormat="1" applyFont="1" applyFill="1" applyBorder="1" applyAlignment="1">
      <alignment horizontal="left" vertical="center"/>
    </xf>
    <xf numFmtId="173" fontId="126" fillId="28" borderId="10" xfId="42" applyNumberFormat="1" applyFont="1" applyFill="1" applyBorder="1" applyAlignment="1">
      <alignment horizontal="left" vertical="center"/>
    </xf>
    <xf numFmtId="173" fontId="139" fillId="28" borderId="10" xfId="42" applyNumberFormat="1" applyFont="1" applyFill="1" applyBorder="1" applyAlignment="1">
      <alignment horizontal="left" vertical="center"/>
    </xf>
    <xf numFmtId="198" fontId="126" fillId="0" borderId="12" xfId="42" applyNumberFormat="1" applyFont="1" applyBorder="1" applyAlignment="1">
      <alignment vertical="center"/>
    </xf>
    <xf numFmtId="177" fontId="139" fillId="0" borderId="12" xfId="42" applyNumberFormat="1" applyFont="1" applyBorder="1" applyAlignment="1">
      <alignment horizontal="right" vertical="center"/>
    </xf>
    <xf numFmtId="1" fontId="90" fillId="0" borderId="12" xfId="42" applyNumberFormat="1" applyFont="1" applyBorder="1" applyAlignment="1">
      <alignment horizontal="center" vertical="center"/>
    </xf>
    <xf numFmtId="172" fontId="95" fillId="0" borderId="4" xfId="42" applyNumberFormat="1" applyFont="1" applyBorder="1"/>
    <xf numFmtId="0" fontId="56" fillId="0" borderId="0" xfId="42" applyFont="1" applyAlignment="1">
      <alignment vertical="top" wrapText="1"/>
    </xf>
    <xf numFmtId="172" fontId="95" fillId="0" borderId="6" xfId="42" applyNumberFormat="1" applyFont="1" applyBorder="1"/>
    <xf numFmtId="49" fontId="56" fillId="0" borderId="7" xfId="42" applyNumberFormat="1" applyFont="1" applyBorder="1"/>
    <xf numFmtId="0" fontId="56" fillId="0" borderId="83" xfId="42" applyFont="1" applyBorder="1"/>
    <xf numFmtId="0" fontId="56" fillId="0" borderId="43" xfId="42" applyFont="1" applyBorder="1"/>
    <xf numFmtId="0" fontId="126" fillId="0" borderId="0" xfId="0" applyFont="1"/>
    <xf numFmtId="9" fontId="140" fillId="0" borderId="0" xfId="44" applyFont="1"/>
    <xf numFmtId="0" fontId="88" fillId="0" borderId="5" xfId="42" applyBorder="1"/>
    <xf numFmtId="9" fontId="140" fillId="0" borderId="1" xfId="44" applyFont="1" applyBorder="1"/>
    <xf numFmtId="177" fontId="139" fillId="0" borderId="0" xfId="48" applyBorder="1">
      <alignment horizontal="right"/>
    </xf>
    <xf numFmtId="177" fontId="139" fillId="18" borderId="1" xfId="48" applyFill="1" applyBorder="1">
      <alignment horizontal="right"/>
    </xf>
    <xf numFmtId="177" fontId="139" fillId="18" borderId="12" xfId="48" applyFill="1">
      <alignment horizontal="right"/>
    </xf>
    <xf numFmtId="172" fontId="126" fillId="0" borderId="0" xfId="42" applyNumberFormat="1" applyFont="1" applyAlignment="1">
      <alignment horizontal="right"/>
    </xf>
    <xf numFmtId="172" fontId="126" fillId="0" borderId="1" xfId="42" applyNumberFormat="1" applyFont="1" applyBorder="1" applyAlignment="1">
      <alignment horizontal="right"/>
    </xf>
    <xf numFmtId="9" fontId="126" fillId="0" borderId="0" xfId="42" applyNumberFormat="1" applyFont="1"/>
    <xf numFmtId="9" fontId="126" fillId="0" borderId="5" xfId="42" applyNumberFormat="1" applyFont="1" applyBorder="1"/>
    <xf numFmtId="9" fontId="140" fillId="0" borderId="0" xfId="44" applyFont="1" applyAlignment="1">
      <alignment horizontal="center"/>
    </xf>
    <xf numFmtId="9" fontId="126" fillId="0" borderId="0" xfId="42" applyNumberFormat="1" applyFont="1" applyAlignment="1">
      <alignment horizontal="center"/>
    </xf>
    <xf numFmtId="0" fontId="88" fillId="0" borderId="0" xfId="42" applyAlignment="1">
      <alignment horizontal="center" vertical="center"/>
    </xf>
    <xf numFmtId="177" fontId="139" fillId="0" borderId="0" xfId="48" applyBorder="1" applyAlignment="1">
      <alignment horizontal="center"/>
    </xf>
    <xf numFmtId="177" fontId="139" fillId="0" borderId="12" xfId="48">
      <alignment horizontal="right"/>
    </xf>
    <xf numFmtId="172" fontId="126" fillId="0" borderId="0" xfId="42" applyNumberFormat="1" applyFont="1" applyAlignment="1">
      <alignment horizontal="center"/>
    </xf>
    <xf numFmtId="9" fontId="126" fillId="0" borderId="0" xfId="42" applyNumberFormat="1" applyFont="1" applyAlignment="1">
      <alignment horizontal="center" vertical="center"/>
    </xf>
    <xf numFmtId="9" fontId="126" fillId="0" borderId="0" xfId="42" applyNumberFormat="1" applyFont="1" applyAlignment="1">
      <alignment horizontal="right"/>
    </xf>
    <xf numFmtId="9" fontId="126" fillId="0" borderId="12" xfId="42" applyNumberFormat="1" applyFont="1" applyBorder="1" applyAlignment="1">
      <alignment horizontal="right"/>
    </xf>
    <xf numFmtId="177" fontId="139" fillId="0" borderId="0" xfId="48" applyBorder="1" applyAlignment="1"/>
    <xf numFmtId="173" fontId="142" fillId="0" borderId="0" xfId="42" applyNumberFormat="1" applyFont="1"/>
    <xf numFmtId="198" fontId="98" fillId="0" borderId="8" xfId="42" applyNumberFormat="1" applyFont="1" applyBorder="1" applyAlignment="1">
      <alignment horizontal="right"/>
    </xf>
    <xf numFmtId="1" fontId="98" fillId="0" borderId="8" xfId="42" applyNumberFormat="1" applyFont="1" applyBorder="1" applyAlignment="1">
      <alignment horizontal="center" vertical="center"/>
    </xf>
    <xf numFmtId="9" fontId="98" fillId="0" borderId="8" xfId="42" applyNumberFormat="1" applyFont="1" applyBorder="1" applyAlignment="1">
      <alignment horizontal="center"/>
    </xf>
    <xf numFmtId="9" fontId="98" fillId="0" borderId="63" xfId="42" applyNumberFormat="1" applyFont="1" applyBorder="1" applyAlignment="1">
      <alignment horizontal="center"/>
    </xf>
    <xf numFmtId="9" fontId="98" fillId="0" borderId="84" xfId="42" applyNumberFormat="1" applyFont="1" applyBorder="1" applyAlignment="1">
      <alignment horizontal="center"/>
    </xf>
    <xf numFmtId="9" fontId="98" fillId="0" borderId="85" xfId="42" applyNumberFormat="1" applyFont="1" applyBorder="1" applyAlignment="1">
      <alignment horizontal="center"/>
    </xf>
    <xf numFmtId="9" fontId="98" fillId="0" borderId="46" xfId="42" applyNumberFormat="1" applyFont="1" applyBorder="1" applyAlignment="1">
      <alignment horizontal="center"/>
    </xf>
    <xf numFmtId="9" fontId="98" fillId="0" borderId="39" xfId="42" applyNumberFormat="1" applyFont="1" applyBorder="1" applyAlignment="1">
      <alignment horizontal="center"/>
    </xf>
    <xf numFmtId="9" fontId="98" fillId="0" borderId="86" xfId="42" applyNumberFormat="1" applyFont="1" applyBorder="1" applyAlignment="1">
      <alignment horizontal="center"/>
    </xf>
    <xf numFmtId="9" fontId="98" fillId="0" borderId="87" xfId="42" applyNumberFormat="1" applyFont="1" applyBorder="1" applyAlignment="1">
      <alignment horizontal="center"/>
    </xf>
    <xf numFmtId="9" fontId="98" fillId="0" borderId="29" xfId="42" applyNumberFormat="1" applyFont="1" applyBorder="1" applyAlignment="1">
      <alignment horizontal="center"/>
    </xf>
    <xf numFmtId="168" fontId="107" fillId="35" borderId="71" xfId="43" applyNumberFormat="1" applyFont="1" applyFill="1" applyBorder="1" applyAlignment="1">
      <alignment horizontal="center" vertical="center"/>
    </xf>
    <xf numFmtId="168" fontId="0" fillId="0" borderId="0" xfId="0" applyNumberFormat="1"/>
    <xf numFmtId="0" fontId="0" fillId="9" borderId="0" xfId="0" applyFill="1" applyAlignment="1">
      <alignment horizontal="center"/>
    </xf>
    <xf numFmtId="0" fontId="0" fillId="9" borderId="0" xfId="0" applyFill="1"/>
    <xf numFmtId="1" fontId="0" fillId="0" borderId="6" xfId="0" applyNumberFormat="1" applyBorder="1" applyAlignment="1">
      <alignment horizontal="center"/>
    </xf>
    <xf numFmtId="2" fontId="0" fillId="0" borderId="6" xfId="0" applyNumberFormat="1" applyBorder="1" applyAlignment="1">
      <alignment horizontal="center"/>
    </xf>
    <xf numFmtId="168" fontId="0" fillId="0" borderId="6" xfId="0" applyNumberFormat="1" applyBorder="1" applyAlignment="1">
      <alignment horizontal="center"/>
    </xf>
    <xf numFmtId="168" fontId="116" fillId="0" borderId="0" xfId="0" applyNumberFormat="1" applyFont="1" applyAlignment="1">
      <alignment horizontal="left"/>
    </xf>
    <xf numFmtId="177" fontId="139" fillId="0" borderId="11" xfId="48" applyBorder="1" applyAlignment="1">
      <alignment horizontal="center"/>
    </xf>
    <xf numFmtId="0" fontId="88" fillId="0" borderId="0" xfId="42" applyAlignment="1">
      <alignment horizontal="center"/>
    </xf>
    <xf numFmtId="9" fontId="126" fillId="0" borderId="12" xfId="42" applyNumberFormat="1" applyFont="1" applyBorder="1"/>
    <xf numFmtId="173" fontId="126" fillId="0" borderId="12" xfId="42" applyNumberFormat="1" applyFont="1" applyBorder="1" applyAlignment="1">
      <alignment horizontal="right"/>
    </xf>
    <xf numFmtId="173" fontId="126" fillId="28" borderId="10" xfId="42" applyNumberFormat="1" applyFont="1" applyFill="1" applyBorder="1" applyAlignment="1">
      <alignment horizontal="center"/>
    </xf>
    <xf numFmtId="9" fontId="126" fillId="0" borderId="0" xfId="42" applyNumberFormat="1" applyFont="1" applyAlignment="1">
      <alignment vertical="top"/>
    </xf>
    <xf numFmtId="0" fontId="88" fillId="0" borderId="0" xfId="42" applyAlignment="1">
      <alignment vertical="top"/>
    </xf>
    <xf numFmtId="177" fontId="139" fillId="0" borderId="0" xfId="42" applyNumberFormat="1" applyFont="1" applyAlignment="1">
      <alignment horizontal="right"/>
    </xf>
    <xf numFmtId="0" fontId="88" fillId="28" borderId="0" xfId="42" applyFill="1"/>
    <xf numFmtId="9" fontId="139" fillId="0" borderId="0" xfId="42" applyNumberFormat="1" applyFont="1" applyAlignment="1">
      <alignment horizontal="right"/>
    </xf>
    <xf numFmtId="1" fontId="139" fillId="0" borderId="0" xfId="42" applyNumberFormat="1" applyFont="1"/>
    <xf numFmtId="0" fontId="139" fillId="0" borderId="0" xfId="42" applyFont="1" applyAlignment="1">
      <alignment horizontal="right"/>
    </xf>
    <xf numFmtId="178" fontId="139" fillId="0" borderId="0" xfId="42" applyNumberFormat="1" applyFont="1"/>
    <xf numFmtId="173" fontId="126" fillId="28" borderId="9" xfId="42" applyNumberFormat="1" applyFont="1" applyFill="1" applyBorder="1"/>
    <xf numFmtId="173" fontId="126" fillId="28" borderId="10" xfId="42" applyNumberFormat="1" applyFont="1" applyFill="1" applyBorder="1"/>
    <xf numFmtId="173" fontId="139" fillId="28" borderId="10" xfId="42" applyNumberFormat="1" applyFont="1" applyFill="1" applyBorder="1"/>
    <xf numFmtId="173" fontId="126" fillId="28" borderId="11" xfId="42" applyNumberFormat="1" applyFont="1" applyFill="1" applyBorder="1"/>
    <xf numFmtId="0" fontId="88" fillId="28" borderId="9" xfId="42" applyFill="1" applyBorder="1"/>
    <xf numFmtId="0" fontId="88" fillId="28" borderId="11" xfId="42" applyFill="1" applyBorder="1"/>
    <xf numFmtId="177" fontId="139" fillId="0" borderId="0" xfId="42" applyNumberFormat="1" applyFont="1"/>
    <xf numFmtId="168" fontId="139" fillId="0" borderId="0" xfId="42" applyNumberFormat="1" applyFont="1"/>
    <xf numFmtId="2" fontId="139" fillId="0" borderId="0" xfId="42" applyNumberFormat="1" applyFont="1"/>
    <xf numFmtId="0" fontId="88" fillId="0" borderId="9" xfId="42" applyBorder="1"/>
    <xf numFmtId="198" fontId="139" fillId="0" borderId="0" xfId="42" applyNumberFormat="1" applyFont="1"/>
    <xf numFmtId="9" fontId="139" fillId="0" borderId="0" xfId="42" applyNumberFormat="1" applyFont="1" applyAlignment="1">
      <alignment horizontal="center" vertical="center"/>
    </xf>
    <xf numFmtId="9" fontId="141" fillId="0" borderId="0" xfId="44" applyFont="1" applyAlignment="1">
      <alignment horizontal="center" vertical="center"/>
    </xf>
    <xf numFmtId="0" fontId="88" fillId="0" borderId="11" xfId="42" applyBorder="1"/>
    <xf numFmtId="0" fontId="139" fillId="28" borderId="10" xfId="42" applyFont="1" applyFill="1" applyBorder="1"/>
    <xf numFmtId="0" fontId="88" fillId="28" borderId="10" xfId="42" applyFill="1" applyBorder="1"/>
    <xf numFmtId="9" fontId="140" fillId="0" borderId="9" xfId="44" applyFont="1" applyBorder="1"/>
    <xf numFmtId="9" fontId="98" fillId="0" borderId="0" xfId="42" applyNumberFormat="1" applyFont="1"/>
    <xf numFmtId="9" fontId="98" fillId="0" borderId="0" xfId="42" applyNumberFormat="1" applyFont="1" applyAlignment="1">
      <alignment horizontal="right"/>
    </xf>
    <xf numFmtId="0" fontId="56" fillId="0" borderId="0" xfId="42" applyFont="1" applyAlignment="1">
      <alignment horizontal="right"/>
    </xf>
    <xf numFmtId="178" fontId="133" fillId="0" borderId="12" xfId="42" applyNumberFormat="1" applyFont="1" applyBorder="1" applyAlignment="1">
      <alignment horizontal="right" vertical="center"/>
    </xf>
    <xf numFmtId="9" fontId="98" fillId="0" borderId="12" xfId="42" applyNumberFormat="1" applyFont="1" applyBorder="1" applyAlignment="1">
      <alignment horizontal="center"/>
    </xf>
    <xf numFmtId="0" fontId="126" fillId="0" borderId="12" xfId="42" applyFont="1" applyBorder="1"/>
    <xf numFmtId="1" fontId="98" fillId="0" borderId="0" xfId="42" applyNumberFormat="1" applyFont="1" applyAlignment="1">
      <alignment horizontal="right"/>
    </xf>
    <xf numFmtId="0" fontId="80" fillId="5" borderId="88" xfId="0" applyFont="1" applyFill="1" applyBorder="1"/>
    <xf numFmtId="0" fontId="0" fillId="5" borderId="91" xfId="0" applyFill="1" applyBorder="1"/>
    <xf numFmtId="0" fontId="0" fillId="5" borderId="85" xfId="0" applyFill="1" applyBorder="1"/>
    <xf numFmtId="0" fontId="0" fillId="0" borderId="27" xfId="0" applyBorder="1" applyAlignment="1">
      <alignment horizontal="right"/>
    </xf>
    <xf numFmtId="192" fontId="0" fillId="0" borderId="27" xfId="0" applyNumberFormat="1" applyBorder="1" applyAlignment="1">
      <alignment horizontal="left"/>
    </xf>
    <xf numFmtId="2" fontId="0" fillId="0" borderId="28" xfId="0" applyNumberFormat="1" applyBorder="1"/>
    <xf numFmtId="0" fontId="80" fillId="9" borderId="30" xfId="0" applyFont="1" applyFill="1" applyBorder="1"/>
    <xf numFmtId="172" fontId="0" fillId="9" borderId="28" xfId="0" applyNumberFormat="1" applyFill="1" applyBorder="1" applyAlignment="1">
      <alignment horizontal="left"/>
    </xf>
    <xf numFmtId="172" fontId="103" fillId="36" borderId="71" xfId="43" applyNumberFormat="1" applyFont="1" applyFill="1" applyBorder="1" applyAlignment="1" applyProtection="1">
      <alignment horizontal="center" vertical="center"/>
      <protection locked="0"/>
    </xf>
    <xf numFmtId="168" fontId="103" fillId="36" borderId="71" xfId="43" applyNumberFormat="1" applyFont="1" applyFill="1" applyBorder="1" applyAlignment="1" applyProtection="1">
      <alignment horizontal="center" vertical="top" wrapText="1"/>
      <protection locked="0"/>
    </xf>
    <xf numFmtId="1" fontId="103" fillId="36" borderId="71" xfId="43" applyNumberFormat="1" applyFont="1" applyFill="1" applyBorder="1" applyAlignment="1" applyProtection="1">
      <alignment horizontal="center" vertical="top" wrapText="1"/>
      <protection locked="0"/>
    </xf>
    <xf numFmtId="180" fontId="56" fillId="35" borderId="12" xfId="42" applyNumberFormat="1" applyFont="1" applyFill="1" applyBorder="1" applyAlignment="1">
      <alignment horizontal="right"/>
    </xf>
    <xf numFmtId="172" fontId="56" fillId="35" borderId="9" xfId="42" applyNumberFormat="1" applyFont="1" applyFill="1" applyBorder="1" applyAlignment="1">
      <alignment horizontal="right"/>
    </xf>
    <xf numFmtId="181" fontId="56" fillId="35" borderId="12" xfId="42" applyNumberFormat="1" applyFont="1" applyFill="1" applyBorder="1" applyAlignment="1">
      <alignment horizontal="right"/>
    </xf>
    <xf numFmtId="2" fontId="56" fillId="35" borderId="12" xfId="42" applyNumberFormat="1" applyFont="1" applyFill="1" applyBorder="1" applyAlignment="1">
      <alignment horizontal="right"/>
    </xf>
    <xf numFmtId="172" fontId="56" fillId="35" borderId="12" xfId="42" applyNumberFormat="1" applyFont="1" applyFill="1" applyBorder="1" applyAlignment="1">
      <alignment horizontal="right"/>
    </xf>
    <xf numFmtId="176" fontId="56" fillId="35" borderId="12" xfId="42" applyNumberFormat="1" applyFont="1" applyFill="1" applyBorder="1" applyAlignment="1">
      <alignment horizontal="right"/>
    </xf>
    <xf numFmtId="0" fontId="56" fillId="9" borderId="0" xfId="42" applyFont="1" applyFill="1"/>
    <xf numFmtId="0" fontId="56" fillId="9" borderId="0" xfId="42" applyFont="1" applyFill="1" applyAlignment="1">
      <alignment horizontal="center" vertical="center"/>
    </xf>
    <xf numFmtId="49" fontId="56" fillId="9" borderId="0" xfId="42" applyNumberFormat="1" applyFont="1" applyFill="1"/>
    <xf numFmtId="183" fontId="56" fillId="9" borderId="12" xfId="42" applyNumberFormat="1" applyFont="1" applyFill="1" applyBorder="1" applyAlignment="1">
      <alignment horizontal="right"/>
    </xf>
    <xf numFmtId="172" fontId="56" fillId="9" borderId="12" xfId="42" applyNumberFormat="1" applyFont="1" applyFill="1" applyBorder="1" applyAlignment="1">
      <alignment horizontal="right"/>
    </xf>
    <xf numFmtId="2" fontId="56" fillId="9" borderId="12" xfId="42" applyNumberFormat="1" applyFont="1" applyFill="1" applyBorder="1" applyAlignment="1">
      <alignment horizontal="right"/>
    </xf>
    <xf numFmtId="0" fontId="54" fillId="9" borderId="0" xfId="42" applyFont="1" applyFill="1"/>
    <xf numFmtId="181" fontId="56" fillId="9" borderId="12" xfId="42" applyNumberFormat="1" applyFont="1" applyFill="1" applyBorder="1" applyAlignment="1">
      <alignment horizontal="right"/>
    </xf>
    <xf numFmtId="175" fontId="56" fillId="9" borderId="0" xfId="42" applyNumberFormat="1" applyFont="1" applyFill="1" applyAlignment="1">
      <alignment horizontal="right"/>
    </xf>
    <xf numFmtId="172" fontId="56" fillId="9" borderId="0" xfId="42" applyNumberFormat="1" applyFont="1" applyFill="1" applyAlignment="1">
      <alignment horizontal="right"/>
    </xf>
    <xf numFmtId="0" fontId="97" fillId="9" borderId="0" xfId="42" applyFont="1" applyFill="1"/>
    <xf numFmtId="172" fontId="54" fillId="9" borderId="14" xfId="42" applyNumberFormat="1" applyFont="1" applyFill="1" applyBorder="1" applyAlignment="1">
      <alignment horizontal="right"/>
    </xf>
    <xf numFmtId="172" fontId="54" fillId="9" borderId="6" xfId="42" applyNumberFormat="1" applyFont="1" applyFill="1" applyBorder="1" applyAlignment="1">
      <alignment horizontal="right"/>
    </xf>
    <xf numFmtId="0" fontId="54" fillId="9" borderId="0" xfId="42" applyFont="1" applyFill="1" applyAlignment="1">
      <alignment horizontal="right"/>
    </xf>
    <xf numFmtId="0" fontId="117" fillId="9" borderId="0" xfId="42" applyFont="1" applyFill="1"/>
    <xf numFmtId="0" fontId="132" fillId="9" borderId="0" xfId="42" applyFont="1" applyFill="1"/>
    <xf numFmtId="172" fontId="117" fillId="9" borderId="0" xfId="42" applyNumberFormat="1" applyFont="1" applyFill="1"/>
    <xf numFmtId="0" fontId="81" fillId="9" borderId="0" xfId="42" applyFont="1" applyFill="1"/>
    <xf numFmtId="0" fontId="56" fillId="9" borderId="0" xfId="42" applyFont="1" applyFill="1" applyAlignment="1">
      <alignment horizontal="left" vertical="top"/>
    </xf>
    <xf numFmtId="0" fontId="56" fillId="9" borderId="0" xfId="42" applyFont="1" applyFill="1" applyAlignment="1">
      <alignment horizontal="center"/>
    </xf>
    <xf numFmtId="0" fontId="34" fillId="9" borderId="0" xfId="42" applyFont="1" applyFill="1" applyAlignment="1">
      <alignment vertical="center"/>
    </xf>
    <xf numFmtId="0" fontId="56" fillId="9" borderId="0" xfId="42" applyFont="1" applyFill="1" applyAlignment="1">
      <alignment horizontal="right"/>
    </xf>
    <xf numFmtId="0" fontId="56" fillId="9" borderId="0" xfId="42" applyFont="1" applyFill="1" applyAlignment="1">
      <alignment vertical="center"/>
    </xf>
    <xf numFmtId="0" fontId="34" fillId="9" borderId="0" xfId="42" applyFont="1" applyFill="1" applyAlignment="1">
      <alignment vertical="center" wrapText="1"/>
    </xf>
    <xf numFmtId="176" fontId="105" fillId="35" borderId="12" xfId="42" applyNumberFormat="1" applyFont="1" applyFill="1" applyBorder="1" applyAlignment="1">
      <alignment horizontal="right"/>
    </xf>
    <xf numFmtId="0" fontId="145" fillId="0" borderId="0" xfId="42" applyFont="1"/>
    <xf numFmtId="0" fontId="146" fillId="0" borderId="0" xfId="42" applyFont="1"/>
    <xf numFmtId="1" fontId="26" fillId="35" borderId="71" xfId="43" applyNumberFormat="1" applyFont="1" applyFill="1" applyBorder="1" applyAlignment="1">
      <alignment horizontal="center" vertical="center"/>
    </xf>
    <xf numFmtId="172" fontId="109" fillId="35" borderId="71" xfId="43" applyNumberFormat="1" applyFont="1" applyFill="1" applyBorder="1" applyAlignment="1">
      <alignment horizontal="center" vertical="center"/>
    </xf>
    <xf numFmtId="0" fontId="147" fillId="33" borderId="0" xfId="42" applyFont="1" applyFill="1"/>
    <xf numFmtId="0" fontId="148" fillId="33" borderId="0" xfId="42" applyFont="1" applyFill="1"/>
    <xf numFmtId="0" fontId="149" fillId="33" borderId="0" xfId="42" applyFont="1" applyFill="1"/>
    <xf numFmtId="172" fontId="54" fillId="35" borderId="12" xfId="42" applyNumberFormat="1" applyFont="1" applyFill="1" applyBorder="1" applyAlignment="1">
      <alignment horizontal="center"/>
    </xf>
    <xf numFmtId="182" fontId="54" fillId="35" borderId="12" xfId="42" applyNumberFormat="1" applyFont="1" applyFill="1" applyBorder="1" applyAlignment="1">
      <alignment horizontal="center"/>
    </xf>
    <xf numFmtId="180" fontId="56" fillId="35" borderId="12" xfId="42" applyNumberFormat="1" applyFont="1" applyFill="1" applyBorder="1" applyAlignment="1">
      <alignment horizontal="center"/>
    </xf>
    <xf numFmtId="200" fontId="54" fillId="35" borderId="12" xfId="42" applyNumberFormat="1" applyFont="1" applyFill="1" applyBorder="1" applyAlignment="1">
      <alignment horizontal="center"/>
    </xf>
    <xf numFmtId="0" fontId="56" fillId="9" borderId="0" xfId="42" applyFont="1" applyFill="1" applyAlignment="1">
      <alignment horizontal="left"/>
    </xf>
    <xf numFmtId="0" fontId="129" fillId="9" borderId="0" xfId="42" applyFont="1" applyFill="1" applyAlignment="1">
      <alignment horizontal="center"/>
    </xf>
    <xf numFmtId="183" fontId="56" fillId="35" borderId="12" xfId="42" applyNumberFormat="1" applyFont="1" applyFill="1" applyBorder="1" applyAlignment="1">
      <alignment horizontal="center"/>
    </xf>
    <xf numFmtId="201" fontId="54" fillId="35" borderId="12" xfId="42" applyNumberFormat="1" applyFont="1" applyFill="1" applyBorder="1" applyAlignment="1">
      <alignment horizontal="center"/>
    </xf>
    <xf numFmtId="0" fontId="129" fillId="9" borderId="30" xfId="42" applyFont="1" applyFill="1" applyBorder="1" applyAlignment="1">
      <alignment horizontal="center"/>
    </xf>
    <xf numFmtId="0" fontId="129" fillId="9" borderId="28" xfId="42" applyFont="1" applyFill="1" applyBorder="1" applyAlignment="1">
      <alignment horizontal="center"/>
    </xf>
    <xf numFmtId="0" fontId="54" fillId="9" borderId="30" xfId="42" applyFont="1" applyFill="1" applyBorder="1" applyAlignment="1">
      <alignment horizontal="right"/>
    </xf>
    <xf numFmtId="0" fontId="56" fillId="9" borderId="28" xfId="42" applyFont="1" applyFill="1" applyBorder="1"/>
    <xf numFmtId="0" fontId="56" fillId="9" borderId="30" xfId="42" applyFont="1" applyFill="1" applyBorder="1"/>
    <xf numFmtId="0" fontId="56" fillId="9" borderId="30" xfId="42" applyFont="1" applyFill="1" applyBorder="1" applyAlignment="1">
      <alignment horizontal="right"/>
    </xf>
    <xf numFmtId="0" fontId="54" fillId="9" borderId="28" xfId="42" applyFont="1" applyFill="1" applyBorder="1"/>
    <xf numFmtId="0" fontId="56" fillId="9" borderId="45" xfId="42" applyFont="1" applyFill="1" applyBorder="1"/>
    <xf numFmtId="0" fontId="56" fillId="9" borderId="27" xfId="42" applyFont="1" applyFill="1" applyBorder="1"/>
    <xf numFmtId="0" fontId="56" fillId="9" borderId="29" xfId="42" applyFont="1" applyFill="1" applyBorder="1"/>
    <xf numFmtId="167" fontId="103" fillId="36" borderId="71" xfId="43" applyNumberFormat="1" applyFont="1" applyFill="1" applyBorder="1" applyAlignment="1" applyProtection="1">
      <alignment horizontal="center" vertical="center"/>
      <protection locked="0"/>
    </xf>
    <xf numFmtId="2" fontId="54" fillId="35" borderId="12" xfId="42" applyNumberFormat="1" applyFont="1" applyFill="1" applyBorder="1" applyAlignment="1">
      <alignment horizontal="right"/>
    </xf>
    <xf numFmtId="172" fontId="54" fillId="35" borderId="12" xfId="42" applyNumberFormat="1" applyFont="1" applyFill="1" applyBorder="1" applyAlignment="1">
      <alignment horizontal="right"/>
    </xf>
    <xf numFmtId="10" fontId="54" fillId="35" borderId="12" xfId="42" applyNumberFormat="1" applyFont="1" applyFill="1" applyBorder="1"/>
    <xf numFmtId="9" fontId="98" fillId="0" borderId="13" xfId="42" applyNumberFormat="1" applyFont="1" applyBorder="1" applyAlignment="1">
      <alignment horizontal="center"/>
    </xf>
    <xf numFmtId="9" fontId="98" fillId="0" borderId="2" xfId="42" applyNumberFormat="1" applyFont="1" applyBorder="1" applyAlignment="1">
      <alignment horizontal="center"/>
    </xf>
    <xf numFmtId="169" fontId="56" fillId="0" borderId="3" xfId="42" applyNumberFormat="1" applyFont="1" applyBorder="1"/>
    <xf numFmtId="169" fontId="56" fillId="0" borderId="15" xfId="42" applyNumberFormat="1" applyFont="1" applyBorder="1"/>
    <xf numFmtId="169" fontId="56" fillId="0" borderId="4" xfId="42" applyNumberFormat="1" applyFont="1" applyBorder="1"/>
    <xf numFmtId="169" fontId="56" fillId="0" borderId="5" xfId="42" applyNumberFormat="1" applyFont="1" applyBorder="1"/>
    <xf numFmtId="169" fontId="56" fillId="0" borderId="0" xfId="42" applyNumberFormat="1" applyFont="1"/>
    <xf numFmtId="169" fontId="56" fillId="0" borderId="6" xfId="42" applyNumberFormat="1" applyFont="1" applyBorder="1"/>
    <xf numFmtId="169" fontId="56" fillId="0" borderId="0" xfId="42" applyNumberFormat="1" applyFont="1" applyAlignment="1">
      <alignment horizontal="center" vertical="center"/>
    </xf>
    <xf numFmtId="169" fontId="56" fillId="0" borderId="6" xfId="42" applyNumberFormat="1" applyFont="1" applyBorder="1" applyAlignment="1">
      <alignment horizontal="center" vertical="center"/>
    </xf>
    <xf numFmtId="169" fontId="56" fillId="0" borderId="7" xfId="42" applyNumberFormat="1" applyFont="1" applyBorder="1"/>
    <xf numFmtId="169" fontId="56" fillId="0" borderId="14" xfId="42" applyNumberFormat="1" applyFont="1" applyBorder="1"/>
    <xf numFmtId="169" fontId="56" fillId="0" borderId="14" xfId="42" applyNumberFormat="1" applyFont="1" applyBorder="1" applyAlignment="1">
      <alignment horizontal="center" vertical="center"/>
    </xf>
    <xf numFmtId="169" fontId="56" fillId="0" borderId="8" xfId="42" applyNumberFormat="1" applyFont="1" applyBorder="1" applyAlignment="1">
      <alignment horizontal="center" vertical="center"/>
    </xf>
    <xf numFmtId="0" fontId="56" fillId="9" borderId="0" xfId="42" applyFont="1" applyFill="1" applyAlignment="1">
      <alignment vertical="top"/>
    </xf>
    <xf numFmtId="49" fontId="56" fillId="9" borderId="6" xfId="42" applyNumberFormat="1" applyFont="1" applyFill="1" applyBorder="1"/>
    <xf numFmtId="0" fontId="56" fillId="9" borderId="41" xfId="42" applyFont="1" applyFill="1" applyBorder="1"/>
    <xf numFmtId="0" fontId="56" fillId="9" borderId="42" xfId="42" applyFont="1" applyFill="1" applyBorder="1"/>
    <xf numFmtId="1" fontId="103" fillId="36" borderId="71" xfId="43" applyNumberFormat="1" applyFont="1" applyFill="1" applyBorder="1" applyAlignment="1" applyProtection="1">
      <alignment horizontal="center" wrapText="1"/>
      <protection locked="0"/>
    </xf>
    <xf numFmtId="0" fontId="0" fillId="0" borderId="30" xfId="0" applyBorder="1" applyAlignment="1">
      <alignment horizontal="right"/>
    </xf>
    <xf numFmtId="0" fontId="80" fillId="0" borderId="54" xfId="0" applyFont="1" applyBorder="1"/>
    <xf numFmtId="0" fontId="34" fillId="9" borderId="0" xfId="42" applyFont="1" applyFill="1"/>
    <xf numFmtId="167" fontId="61" fillId="0" borderId="0" xfId="0" applyNumberFormat="1" applyFont="1" applyAlignment="1">
      <alignment horizontal="left" vertical="center"/>
    </xf>
    <xf numFmtId="0" fontId="151" fillId="0" borderId="0" xfId="0" applyFont="1"/>
    <xf numFmtId="0" fontId="111" fillId="0" borderId="0" xfId="42" applyFont="1"/>
    <xf numFmtId="0" fontId="56" fillId="0" borderId="0" xfId="42" applyFont="1" applyAlignment="1">
      <alignment horizontal="center"/>
    </xf>
    <xf numFmtId="167" fontId="152" fillId="0" borderId="0" xfId="43" applyNumberFormat="1" applyFont="1" applyAlignment="1">
      <alignment horizontal="center" vertical="center"/>
    </xf>
    <xf numFmtId="0" fontId="117" fillId="0" borderId="0" xfId="42" applyFont="1"/>
    <xf numFmtId="0" fontId="153" fillId="9" borderId="0" xfId="42" applyFont="1" applyFill="1"/>
    <xf numFmtId="202" fontId="55" fillId="9" borderId="0" xfId="42" applyNumberFormat="1" applyFont="1" applyFill="1" applyAlignment="1">
      <alignment horizontal="center" vertical="center"/>
    </xf>
    <xf numFmtId="168" fontId="106" fillId="37" borderId="71" xfId="43" applyNumberFormat="1" applyFont="1" applyFill="1" applyBorder="1" applyAlignment="1">
      <alignment horizontal="center" vertical="center"/>
    </xf>
    <xf numFmtId="0" fontId="100" fillId="28" borderId="0" xfId="42" applyFont="1" applyFill="1"/>
    <xf numFmtId="0" fontId="108" fillId="9" borderId="0" xfId="42" applyFont="1" applyFill="1" applyAlignment="1">
      <alignment vertical="center"/>
    </xf>
    <xf numFmtId="0" fontId="56" fillId="28" borderId="0" xfId="42" applyFont="1" applyFill="1" applyAlignment="1">
      <alignment vertical="center"/>
    </xf>
    <xf numFmtId="0" fontId="105" fillId="9" borderId="0" xfId="42" applyFont="1" applyFill="1" applyAlignment="1">
      <alignment vertical="center"/>
    </xf>
    <xf numFmtId="168" fontId="103" fillId="37" borderId="71" xfId="43" applyNumberFormat="1" applyFont="1" applyFill="1" applyBorder="1" applyAlignment="1">
      <alignment horizontal="center" vertical="center"/>
    </xf>
    <xf numFmtId="168" fontId="106" fillId="34" borderId="71" xfId="43" applyNumberFormat="1" applyFont="1" applyFill="1" applyBorder="1" applyAlignment="1">
      <alignment horizontal="center" vertical="center"/>
    </xf>
    <xf numFmtId="0" fontId="97" fillId="9" borderId="0" xfId="42" applyFont="1" applyFill="1" applyAlignment="1">
      <alignment vertical="center"/>
    </xf>
    <xf numFmtId="168" fontId="109" fillId="28" borderId="71" xfId="43" applyNumberFormat="1" applyFont="1" applyFill="1" applyBorder="1" applyAlignment="1">
      <alignment horizontal="center" vertical="center"/>
    </xf>
    <xf numFmtId="168" fontId="110" fillId="28" borderId="71" xfId="43" applyNumberFormat="1" applyFont="1" applyFill="1" applyBorder="1" applyAlignment="1">
      <alignment horizontal="center" vertical="center"/>
    </xf>
    <xf numFmtId="168" fontId="109" fillId="35" borderId="71" xfId="43" applyNumberFormat="1" applyFont="1" applyFill="1" applyBorder="1" applyAlignment="1">
      <alignment horizontal="center" vertical="center"/>
    </xf>
    <xf numFmtId="169" fontId="109" fillId="38" borderId="71" xfId="43" applyNumberFormat="1" applyFont="1" applyFill="1" applyBorder="1" applyAlignment="1">
      <alignment horizontal="center" vertical="center"/>
    </xf>
    <xf numFmtId="168" fontId="109" fillId="38" borderId="71" xfId="43" applyNumberFormat="1" applyFont="1" applyFill="1" applyBorder="1" applyAlignment="1">
      <alignment horizontal="center" vertical="center"/>
    </xf>
    <xf numFmtId="169" fontId="109" fillId="39" borderId="71" xfId="43" applyNumberFormat="1" applyFont="1" applyFill="1" applyBorder="1" applyAlignment="1">
      <alignment horizontal="center" vertical="center"/>
    </xf>
    <xf numFmtId="168" fontId="109" fillId="39" borderId="71" xfId="43" applyNumberFormat="1" applyFont="1" applyFill="1" applyBorder="1" applyAlignment="1">
      <alignment horizontal="center" vertical="center"/>
    </xf>
    <xf numFmtId="169" fontId="109" fillId="23" borderId="71" xfId="43" applyNumberFormat="1" applyFont="1" applyFill="1" applyBorder="1" applyAlignment="1">
      <alignment horizontal="center" vertical="center"/>
    </xf>
    <xf numFmtId="168" fontId="109" fillId="23" borderId="71" xfId="43" applyNumberFormat="1" applyFont="1" applyFill="1" applyBorder="1" applyAlignment="1">
      <alignment horizontal="center" vertical="center"/>
    </xf>
    <xf numFmtId="178" fontId="133" fillId="38" borderId="72" xfId="42" applyNumberFormat="1" applyFont="1" applyFill="1" applyBorder="1" applyAlignment="1">
      <alignment horizontal="center" vertical="center"/>
    </xf>
    <xf numFmtId="178" fontId="133" fillId="0" borderId="72" xfId="42" applyNumberFormat="1" applyFont="1" applyBorder="1" applyAlignment="1">
      <alignment horizontal="center" vertical="center"/>
    </xf>
    <xf numFmtId="178" fontId="133" fillId="3" borderId="72" xfId="42" applyNumberFormat="1" applyFont="1" applyFill="1" applyBorder="1" applyAlignment="1">
      <alignment horizontal="center" vertical="center"/>
    </xf>
    <xf numFmtId="168" fontId="109" fillId="3" borderId="71" xfId="43" applyNumberFormat="1" applyFont="1" applyFill="1" applyBorder="1" applyAlignment="1">
      <alignment horizontal="center" vertical="center"/>
    </xf>
    <xf numFmtId="0" fontId="105" fillId="28" borderId="12" xfId="42" applyFont="1" applyFill="1" applyBorder="1" applyAlignment="1">
      <alignment vertical="center"/>
    </xf>
    <xf numFmtId="0" fontId="56" fillId="35" borderId="12" xfId="42" applyFont="1" applyFill="1" applyBorder="1" applyAlignment="1">
      <alignment vertical="center" wrapText="1"/>
    </xf>
    <xf numFmtId="0" fontId="111" fillId="40" borderId="12" xfId="42" applyFont="1" applyFill="1" applyBorder="1" applyAlignment="1">
      <alignment vertical="center" wrapText="1"/>
    </xf>
    <xf numFmtId="0" fontId="56" fillId="28" borderId="12" xfId="42" applyFont="1" applyFill="1" applyBorder="1" applyAlignment="1">
      <alignment vertical="center"/>
    </xf>
    <xf numFmtId="0" fontId="56" fillId="36" borderId="12" xfId="42" applyFont="1" applyFill="1" applyBorder="1" applyAlignment="1">
      <alignment vertical="center"/>
    </xf>
    <xf numFmtId="0" fontId="56" fillId="41" borderId="12" xfId="42" applyFont="1" applyFill="1" applyBorder="1" applyAlignment="1">
      <alignment vertical="center"/>
    </xf>
    <xf numFmtId="0" fontId="56" fillId="41" borderId="12" xfId="42" applyFont="1" applyFill="1" applyBorder="1" applyAlignment="1">
      <alignment vertical="center" wrapText="1"/>
    </xf>
    <xf numFmtId="0" fontId="97" fillId="9" borderId="0" xfId="42" applyFont="1" applyFill="1" applyAlignment="1">
      <alignment vertical="center" wrapText="1"/>
    </xf>
    <xf numFmtId="0" fontId="104" fillId="0" borderId="0" xfId="42" applyFont="1"/>
    <xf numFmtId="0" fontId="105" fillId="0" borderId="0" xfId="42" applyFont="1"/>
    <xf numFmtId="168" fontId="106" fillId="37" borderId="71" xfId="43" applyNumberFormat="1" applyFont="1" applyFill="1" applyBorder="1" applyAlignment="1">
      <alignment horizontal="left" vertical="top"/>
    </xf>
    <xf numFmtId="0" fontId="96" fillId="0" borderId="0" xfId="42" applyFont="1" applyAlignment="1">
      <alignment vertical="top"/>
    </xf>
    <xf numFmtId="0" fontId="97" fillId="0" borderId="0" xfId="42" applyFont="1" applyAlignment="1">
      <alignment vertical="top" wrapText="1"/>
    </xf>
    <xf numFmtId="0" fontId="56" fillId="0" borderId="0" xfId="42" applyFont="1" applyAlignment="1">
      <alignment wrapText="1"/>
    </xf>
    <xf numFmtId="0" fontId="54" fillId="0" borderId="0" xfId="42" applyFont="1" applyAlignment="1">
      <alignment vertical="center"/>
    </xf>
    <xf numFmtId="0" fontId="56" fillId="35" borderId="0" xfId="42" applyFont="1" applyFill="1" applyAlignment="1">
      <alignment vertical="top"/>
    </xf>
    <xf numFmtId="168" fontId="107" fillId="35" borderId="71" xfId="43" applyNumberFormat="1" applyFont="1" applyFill="1" applyBorder="1" applyAlignment="1">
      <alignment horizontal="left" vertical="center"/>
    </xf>
    <xf numFmtId="167" fontId="103" fillId="36" borderId="71" xfId="43" applyNumberFormat="1" applyFont="1" applyFill="1" applyBorder="1" applyAlignment="1">
      <alignment horizontal="center" vertical="center"/>
    </xf>
    <xf numFmtId="0" fontId="147" fillId="33" borderId="51" xfId="42" applyFont="1" applyFill="1" applyBorder="1" applyAlignment="1">
      <alignment horizontal="center"/>
    </xf>
    <xf numFmtId="0" fontId="147" fillId="33" borderId="52" xfId="42" applyFont="1" applyFill="1" applyBorder="1" applyAlignment="1">
      <alignment horizontal="center"/>
    </xf>
    <xf numFmtId="0" fontId="56" fillId="9" borderId="0" xfId="42" applyFont="1" applyFill="1" applyAlignment="1">
      <alignment wrapText="1"/>
    </xf>
    <xf numFmtId="0" fontId="101" fillId="9" borderId="0" xfId="42" applyFont="1" applyFill="1" applyAlignment="1">
      <alignment wrapText="1"/>
    </xf>
    <xf numFmtId="0" fontId="54" fillId="9" borderId="0" xfId="42" applyFont="1" applyFill="1" applyAlignment="1">
      <alignment horizontal="center"/>
    </xf>
    <xf numFmtId="0" fontId="97" fillId="9" borderId="0" xfId="42" applyFont="1" applyFill="1" applyAlignment="1">
      <alignment horizontal="left" vertical="top" wrapText="1"/>
    </xf>
    <xf numFmtId="0" fontId="56" fillId="0" borderId="50" xfId="42" applyFont="1" applyBorder="1" applyAlignment="1">
      <alignment horizontal="center"/>
    </xf>
    <xf numFmtId="0" fontId="56" fillId="0" borderId="52" xfId="42" applyFont="1" applyBorder="1" applyAlignment="1">
      <alignment horizontal="center"/>
    </xf>
    <xf numFmtId="0" fontId="126" fillId="0" borderId="88" xfId="42" applyFont="1" applyBorder="1" applyAlignment="1">
      <alignment horizontal="center"/>
    </xf>
    <xf numFmtId="0" fontId="126" fillId="0" borderId="85" xfId="42" applyFont="1" applyBorder="1" applyAlignment="1">
      <alignment horizontal="center"/>
    </xf>
    <xf numFmtId="0" fontId="126" fillId="0" borderId="77" xfId="42" applyFont="1" applyBorder="1" applyAlignment="1">
      <alignment horizontal="center"/>
    </xf>
    <xf numFmtId="0" fontId="126" fillId="0" borderId="76" xfId="42" applyFont="1" applyBorder="1" applyAlignment="1">
      <alignment horizontal="center"/>
    </xf>
    <xf numFmtId="0" fontId="126" fillId="0" borderId="89" xfId="42" applyFont="1" applyBorder="1" applyAlignment="1">
      <alignment horizontal="center"/>
    </xf>
    <xf numFmtId="0" fontId="126" fillId="0" borderId="90" xfId="42" applyFont="1" applyBorder="1" applyAlignment="1">
      <alignment horizontal="center"/>
    </xf>
    <xf numFmtId="0" fontId="147" fillId="33" borderId="50" xfId="42" applyFont="1" applyFill="1" applyBorder="1" applyAlignment="1">
      <alignment horizontal="center"/>
    </xf>
    <xf numFmtId="0" fontId="56" fillId="9" borderId="0" xfId="42" applyFont="1" applyFill="1" applyAlignment="1">
      <alignment horizontal="left" vertical="top" wrapText="1"/>
    </xf>
    <xf numFmtId="0" fontId="56" fillId="9" borderId="95" xfId="42" applyFont="1" applyFill="1" applyBorder="1" applyAlignment="1">
      <alignment horizontal="left" vertical="top" wrapText="1"/>
    </xf>
    <xf numFmtId="1" fontId="103" fillId="36" borderId="92" xfId="43" applyNumberFormat="1" applyFont="1" applyFill="1" applyBorder="1" applyAlignment="1" applyProtection="1">
      <alignment horizontal="left" vertical="center"/>
      <protection locked="0"/>
    </xf>
    <xf numFmtId="1" fontId="103" fillId="36" borderId="93" xfId="43" applyNumberFormat="1" applyFont="1" applyFill="1" applyBorder="1" applyAlignment="1" applyProtection="1">
      <alignment horizontal="left" vertical="center"/>
      <protection locked="0"/>
    </xf>
    <xf numFmtId="1" fontId="103" fillId="36" borderId="94" xfId="43" applyNumberFormat="1" applyFont="1" applyFill="1" applyBorder="1" applyAlignment="1" applyProtection="1">
      <alignment horizontal="left" vertical="center"/>
      <protection locked="0"/>
    </xf>
    <xf numFmtId="0" fontId="56" fillId="9" borderId="0" xfId="42" applyFont="1" applyFill="1" applyAlignment="1">
      <alignment horizontal="left" wrapText="1"/>
    </xf>
    <xf numFmtId="0" fontId="34" fillId="9" borderId="0" xfId="42" applyFont="1" applyFill="1" applyAlignment="1">
      <alignment horizontal="left" vertical="center" wrapText="1"/>
    </xf>
    <xf numFmtId="0" fontId="126" fillId="0" borderId="66" xfId="42" applyFont="1" applyBorder="1" applyAlignment="1">
      <alignment horizontal="center"/>
    </xf>
    <xf numFmtId="0" fontId="126" fillId="0" borderId="67" xfId="42" applyFont="1" applyBorder="1" applyAlignment="1">
      <alignment horizontal="center"/>
    </xf>
    <xf numFmtId="0" fontId="133" fillId="0" borderId="50" xfId="42" applyFont="1" applyBorder="1" applyAlignment="1">
      <alignment horizontal="center" vertical="center"/>
    </xf>
    <xf numFmtId="0" fontId="133" fillId="0" borderId="52" xfId="42" applyFont="1" applyBorder="1" applyAlignment="1">
      <alignment horizontal="center" vertical="center"/>
    </xf>
    <xf numFmtId="0" fontId="126" fillId="0" borderId="63" xfId="42" applyFont="1" applyBorder="1" applyAlignment="1">
      <alignment horizontal="center"/>
    </xf>
    <xf numFmtId="0" fontId="126" fillId="0" borderId="65" xfId="42" applyFont="1" applyBorder="1" applyAlignment="1">
      <alignment horizontal="center"/>
    </xf>
    <xf numFmtId="0" fontId="126" fillId="0" borderId="68" xfId="42" applyFont="1" applyBorder="1" applyAlignment="1">
      <alignment horizontal="center"/>
    </xf>
    <xf numFmtId="0" fontId="126" fillId="0" borderId="70" xfId="42" applyFont="1" applyBorder="1" applyAlignment="1">
      <alignment horizontal="center"/>
    </xf>
    <xf numFmtId="0" fontId="126" fillId="0" borderId="46" xfId="42" applyFont="1" applyBorder="1" applyAlignment="1">
      <alignment horizontal="center"/>
    </xf>
    <xf numFmtId="0" fontId="126" fillId="0" borderId="80" xfId="42" applyFont="1" applyBorder="1" applyAlignment="1">
      <alignment horizontal="center"/>
    </xf>
    <xf numFmtId="0" fontId="56" fillId="0" borderId="0" xfId="42" applyFont="1" applyAlignment="1">
      <alignment horizontal="left" vertical="top" wrapText="1"/>
    </xf>
    <xf numFmtId="0" fontId="90" fillId="0" borderId="0" xfId="42" applyFont="1" applyAlignment="1">
      <alignment vertical="top" wrapText="1"/>
    </xf>
    <xf numFmtId="0" fontId="0" fillId="0" borderId="0" xfId="0" applyAlignment="1">
      <alignment horizontal="left"/>
    </xf>
    <xf numFmtId="0" fontId="0" fillId="0" borderId="0" xfId="0" applyAlignment="1">
      <alignment horizontal="left" wrapText="1"/>
    </xf>
    <xf numFmtId="0" fontId="64" fillId="11" borderId="0" xfId="0" applyFont="1" applyFill="1" applyAlignment="1">
      <alignment horizontal="left" vertical="center"/>
    </xf>
    <xf numFmtId="173" fontId="126" fillId="0" borderId="0" xfId="42" applyNumberFormat="1" applyFont="1" applyAlignment="1">
      <alignment horizontal="center"/>
    </xf>
    <xf numFmtId="0" fontId="88" fillId="0" borderId="0" xfId="42" applyAlignment="1">
      <alignment horizontal="center"/>
    </xf>
    <xf numFmtId="173" fontId="142" fillId="0" borderId="0" xfId="42" applyNumberFormat="1" applyFont="1" applyAlignment="1">
      <alignment horizontal="center"/>
    </xf>
    <xf numFmtId="9" fontId="126" fillId="0" borderId="12" xfId="42" applyNumberFormat="1" applyFont="1" applyBorder="1"/>
    <xf numFmtId="0" fontId="88" fillId="0" borderId="12" xfId="42" applyBorder="1"/>
    <xf numFmtId="173" fontId="126" fillId="0" borderId="12" xfId="42" applyNumberFormat="1" applyFont="1" applyBorder="1" applyAlignment="1">
      <alignment horizontal="center"/>
    </xf>
    <xf numFmtId="0" fontId="88" fillId="0" borderId="12" xfId="42" applyBorder="1" applyAlignment="1">
      <alignment horizontal="center"/>
    </xf>
    <xf numFmtId="0" fontId="88" fillId="0" borderId="1" xfId="42" applyBorder="1" applyAlignment="1">
      <alignment horizontal="center"/>
    </xf>
    <xf numFmtId="173" fontId="126" fillId="0" borderId="5" xfId="42" applyNumberFormat="1" applyFont="1" applyBorder="1" applyAlignment="1">
      <alignment horizontal="center"/>
    </xf>
    <xf numFmtId="173" fontId="142" fillId="0" borderId="12" xfId="42" applyNumberFormat="1" applyFont="1" applyBorder="1" applyAlignment="1">
      <alignment horizontal="center"/>
    </xf>
    <xf numFmtId="0" fontId="88" fillId="0" borderId="12" xfId="42" applyBorder="1" applyAlignment="1">
      <alignment horizontal="center" vertical="center"/>
    </xf>
    <xf numFmtId="177" fontId="139" fillId="0" borderId="9" xfId="48" applyBorder="1" applyAlignment="1">
      <alignment horizontal="center"/>
    </xf>
    <xf numFmtId="177" fontId="139" fillId="0" borderId="10" xfId="48" applyBorder="1" applyAlignment="1">
      <alignment horizontal="center"/>
    </xf>
    <xf numFmtId="177" fontId="139" fillId="0" borderId="11" xfId="48" applyBorder="1" applyAlignment="1">
      <alignment horizontal="center"/>
    </xf>
    <xf numFmtId="0" fontId="88" fillId="0" borderId="9" xfId="42" applyBorder="1" applyAlignment="1">
      <alignment horizontal="center"/>
    </xf>
    <xf numFmtId="0" fontId="88" fillId="0" borderId="10" xfId="42" applyBorder="1" applyAlignment="1">
      <alignment horizontal="center"/>
    </xf>
    <xf numFmtId="0" fontId="88" fillId="0" borderId="11" xfId="42" applyBorder="1" applyAlignment="1">
      <alignment horizontal="center"/>
    </xf>
    <xf numFmtId="0" fontId="88" fillId="0" borderId="9" xfId="42" applyBorder="1" applyAlignment="1">
      <alignment horizontal="center" vertical="center"/>
    </xf>
    <xf numFmtId="0" fontId="88" fillId="0" borderId="10" xfId="42" applyBorder="1" applyAlignment="1">
      <alignment horizontal="center" vertical="center"/>
    </xf>
    <xf numFmtId="0" fontId="88" fillId="0" borderId="11" xfId="42" applyBorder="1" applyAlignment="1">
      <alignment horizontal="center" vertical="center"/>
    </xf>
    <xf numFmtId="172" fontId="126" fillId="0" borderId="9" xfId="42" applyNumberFormat="1" applyFont="1" applyBorder="1" applyAlignment="1">
      <alignment horizontal="center"/>
    </xf>
    <xf numFmtId="172" fontId="126" fillId="0" borderId="10" xfId="42" applyNumberFormat="1" applyFont="1" applyBorder="1" applyAlignment="1">
      <alignment horizontal="center"/>
    </xf>
    <xf numFmtId="172" fontId="126" fillId="0" borderId="11" xfId="42" applyNumberFormat="1" applyFont="1" applyBorder="1" applyAlignment="1">
      <alignment horizontal="center"/>
    </xf>
    <xf numFmtId="9" fontId="126" fillId="0" borderId="12" xfId="42" applyNumberFormat="1" applyFont="1" applyBorder="1" applyAlignment="1">
      <alignment horizontal="center" vertical="center"/>
    </xf>
    <xf numFmtId="9" fontId="126" fillId="0" borderId="12" xfId="42" applyNumberFormat="1" applyFont="1" applyBorder="1" applyAlignment="1">
      <alignment horizontal="center"/>
    </xf>
    <xf numFmtId="173" fontId="126" fillId="0" borderId="12" xfId="42" applyNumberFormat="1" applyFont="1" applyBorder="1" applyAlignment="1">
      <alignment horizontal="center" vertical="center"/>
    </xf>
    <xf numFmtId="9" fontId="140" fillId="0" borderId="9" xfId="44" applyFont="1" applyBorder="1" applyAlignment="1">
      <alignment horizontal="center"/>
    </xf>
    <xf numFmtId="9" fontId="140" fillId="0" borderId="10" xfId="44" applyFont="1" applyBorder="1" applyAlignment="1">
      <alignment horizontal="center"/>
    </xf>
    <xf numFmtId="9" fontId="140" fillId="0" borderId="11" xfId="44" applyFont="1" applyBorder="1" applyAlignment="1">
      <alignment horizontal="center"/>
    </xf>
    <xf numFmtId="9" fontId="126" fillId="0" borderId="9" xfId="42" applyNumberFormat="1" applyFont="1" applyBorder="1" applyAlignment="1">
      <alignment horizontal="left" vertical="top"/>
    </xf>
    <xf numFmtId="9" fontId="126" fillId="0" borderId="11" xfId="42" applyNumberFormat="1" applyFont="1" applyBorder="1" applyAlignment="1">
      <alignment horizontal="left" vertical="top"/>
    </xf>
    <xf numFmtId="9" fontId="126" fillId="0" borderId="9" xfId="42" applyNumberFormat="1" applyFont="1" applyBorder="1" applyAlignment="1">
      <alignment horizontal="center"/>
    </xf>
    <xf numFmtId="9" fontId="126" fillId="0" borderId="11" xfId="42" applyNumberFormat="1" applyFont="1" applyBorder="1" applyAlignment="1">
      <alignment horizontal="center"/>
    </xf>
    <xf numFmtId="173" fontId="126" fillId="28" borderId="10" xfId="42" applyNumberFormat="1" applyFont="1" applyFill="1" applyBorder="1" applyAlignment="1">
      <alignment horizontal="center"/>
    </xf>
    <xf numFmtId="173" fontId="126" fillId="28" borderId="11" xfId="42" applyNumberFormat="1" applyFont="1" applyFill="1" applyBorder="1" applyAlignment="1">
      <alignment horizontal="center"/>
    </xf>
    <xf numFmtId="9" fontId="126" fillId="0" borderId="12" xfId="42" applyNumberFormat="1" applyFont="1" applyBorder="1" applyAlignment="1">
      <alignment horizontal="left" vertical="top"/>
    </xf>
    <xf numFmtId="0" fontId="88" fillId="0" borderId="12" xfId="42" applyBorder="1" applyAlignment="1">
      <alignment horizontal="left" vertical="top"/>
    </xf>
    <xf numFmtId="173" fontId="126" fillId="0" borderId="9" xfId="42" applyNumberFormat="1" applyFont="1" applyBorder="1" applyAlignment="1">
      <alignment horizontal="center"/>
    </xf>
    <xf numFmtId="173" fontId="126" fillId="0" borderId="10" xfId="42" applyNumberFormat="1" applyFont="1" applyBorder="1" applyAlignment="1">
      <alignment horizontal="center"/>
    </xf>
    <xf numFmtId="173" fontId="126" fillId="0" borderId="11" xfId="42" applyNumberFormat="1" applyFont="1" applyBorder="1" applyAlignment="1">
      <alignment horizontal="center"/>
    </xf>
    <xf numFmtId="173" fontId="126" fillId="0" borderId="12" xfId="42" applyNumberFormat="1" applyFont="1" applyBorder="1" applyAlignment="1">
      <alignment horizontal="right"/>
    </xf>
    <xf numFmtId="172" fontId="143" fillId="0" borderId="0" xfId="42" applyNumberFormat="1" applyFont="1"/>
    <xf numFmtId="0" fontId="88" fillId="0" borderId="0" xfId="42"/>
    <xf numFmtId="0" fontId="139" fillId="0" borderId="10" xfId="42" applyFont="1" applyBorder="1" applyAlignment="1">
      <alignment horizontal="center"/>
    </xf>
    <xf numFmtId="0" fontId="139" fillId="0" borderId="11" xfId="42" applyFont="1" applyBorder="1" applyAlignment="1">
      <alignment horizontal="center"/>
    </xf>
    <xf numFmtId="9" fontId="140" fillId="0" borderId="4" xfId="44" applyFont="1" applyBorder="1" applyAlignment="1">
      <alignment horizontal="center"/>
    </xf>
    <xf numFmtId="9" fontId="140" fillId="0" borderId="6" xfId="44" applyFont="1" applyBorder="1" applyAlignment="1">
      <alignment horizontal="center"/>
    </xf>
    <xf numFmtId="9" fontId="140" fillId="0" borderId="8" xfId="44" applyFont="1" applyBorder="1" applyAlignment="1">
      <alignment horizontal="center"/>
    </xf>
    <xf numFmtId="0" fontId="88" fillId="0" borderId="9" xfId="42" applyBorder="1"/>
    <xf numFmtId="0" fontId="88" fillId="0" borderId="10" xfId="42" applyBorder="1"/>
    <xf numFmtId="0" fontId="88" fillId="0" borderId="11" xfId="42" applyBorder="1"/>
    <xf numFmtId="173" fontId="126" fillId="0" borderId="12" xfId="42" applyNumberFormat="1" applyFont="1" applyBorder="1"/>
    <xf numFmtId="173" fontId="126" fillId="0" borderId="9" xfId="42" applyNumberFormat="1" applyFont="1" applyBorder="1" applyAlignment="1">
      <alignment horizontal="right"/>
    </xf>
    <xf numFmtId="173" fontId="126" fillId="0" borderId="10" xfId="42" applyNumberFormat="1" applyFont="1" applyBorder="1" applyAlignment="1">
      <alignment horizontal="right"/>
    </xf>
    <xf numFmtId="173" fontId="126" fillId="0" borderId="11" xfId="42" applyNumberFormat="1" applyFont="1" applyBorder="1" applyAlignment="1">
      <alignment horizontal="right"/>
    </xf>
    <xf numFmtId="9" fontId="126" fillId="0" borderId="1" xfId="42" applyNumberFormat="1" applyFont="1" applyBorder="1" applyAlignment="1">
      <alignment horizontal="left" vertical="top"/>
    </xf>
    <xf numFmtId="0" fontId="88" fillId="0" borderId="1" xfId="42" applyBorder="1" applyAlignment="1">
      <alignment horizontal="left" vertical="top"/>
    </xf>
    <xf numFmtId="3" fontId="55" fillId="0" borderId="0" xfId="27" applyNumberFormat="1" applyAlignment="1">
      <alignment horizontal="center" vertical="center"/>
    </xf>
    <xf numFmtId="4" fontId="55" fillId="0" borderId="0" xfId="27" applyAlignment="1">
      <alignment horizontal="center" vertical="center" textRotation="90"/>
    </xf>
    <xf numFmtId="4" fontId="55" fillId="0" borderId="0" xfId="27" applyAlignment="1">
      <alignment horizontal="center" vertical="center"/>
    </xf>
    <xf numFmtId="4" fontId="70" fillId="0" borderId="0" xfId="27" applyFont="1" applyAlignment="1">
      <alignment horizontal="center" wrapText="1"/>
    </xf>
    <xf numFmtId="4" fontId="70" fillId="0" borderId="28" xfId="27" applyFont="1" applyBorder="1" applyAlignment="1">
      <alignment horizontal="center" wrapText="1"/>
    </xf>
    <xf numFmtId="4" fontId="70" fillId="0" borderId="30" xfId="27" applyFont="1" applyBorder="1" applyAlignment="1">
      <alignment horizontal="center" vertical="center"/>
    </xf>
    <xf numFmtId="4" fontId="70" fillId="0" borderId="0" xfId="27" applyFont="1" applyAlignment="1">
      <alignment horizontal="center" vertical="center"/>
    </xf>
    <xf numFmtId="4" fontId="55" fillId="0" borderId="41" xfId="27" applyBorder="1" applyAlignment="1">
      <alignment horizontal="center" vertical="center" textRotation="90"/>
    </xf>
    <xf numFmtId="167" fontId="55" fillId="0" borderId="0" xfId="27" applyNumberFormat="1" applyAlignment="1">
      <alignment horizontal="center" vertical="center"/>
    </xf>
    <xf numFmtId="4" fontId="55" fillId="0" borderId="0" xfId="27">
      <alignment horizontal="left" vertical="center"/>
    </xf>
    <xf numFmtId="3" fontId="55" fillId="0" borderId="0" xfId="27" applyNumberFormat="1">
      <alignment horizontal="left" vertical="center"/>
    </xf>
    <xf numFmtId="49" fontId="55" fillId="0" borderId="0" xfId="27" applyNumberFormat="1" applyAlignment="1">
      <alignment horizontal="center" vertical="center"/>
    </xf>
    <xf numFmtId="4" fontId="55" fillId="0" borderId="0" xfId="27" applyAlignment="1">
      <alignment horizontal="center" vertical="center" textRotation="90" wrapText="1"/>
    </xf>
    <xf numFmtId="0" fontId="6" fillId="17" borderId="0" xfId="0" applyFont="1" applyFill="1" applyAlignment="1">
      <alignment horizontal="center" vertical="center"/>
    </xf>
    <xf numFmtId="0" fontId="5" fillId="0" borderId="16" xfId="0" applyFont="1" applyBorder="1" applyAlignment="1">
      <alignment horizontal="left" vertical="center" wrapText="1"/>
    </xf>
    <xf numFmtId="0" fontId="53" fillId="0" borderId="13" xfId="19">
      <alignment vertical="center"/>
    </xf>
    <xf numFmtId="0" fontId="6" fillId="11" borderId="1" xfId="0" applyFont="1" applyFill="1" applyBorder="1" applyAlignment="1">
      <alignment horizontal="left" vertical="center"/>
    </xf>
    <xf numFmtId="0" fontId="6" fillId="11" borderId="13" xfId="0" applyFont="1" applyFill="1" applyBorder="1" applyAlignment="1">
      <alignment horizontal="left" vertical="center"/>
    </xf>
    <xf numFmtId="0" fontId="6" fillId="11" borderId="2" xfId="0" applyFont="1" applyFill="1" applyBorder="1" applyAlignment="1">
      <alignment horizontal="left" vertical="center"/>
    </xf>
    <xf numFmtId="0" fontId="6" fillId="0" borderId="12" xfId="0" applyFont="1" applyBorder="1" applyAlignment="1">
      <alignment horizontal="center" vertical="center" wrapText="1"/>
    </xf>
    <xf numFmtId="0" fontId="6" fillId="0" borderId="9" xfId="0" applyFont="1" applyBorder="1" applyAlignment="1">
      <alignment horizontal="center" vertical="center" wrapText="1"/>
    </xf>
    <xf numFmtId="0" fontId="6" fillId="9" borderId="9" xfId="0" applyFont="1" applyFill="1" applyBorder="1" applyAlignment="1">
      <alignment horizontal="center" vertical="center" wrapText="1"/>
    </xf>
    <xf numFmtId="0" fontId="6" fillId="9" borderId="10" xfId="0" applyFont="1" applyFill="1" applyBorder="1" applyAlignment="1">
      <alignment horizontal="center" vertical="center" wrapText="1"/>
    </xf>
    <xf numFmtId="0" fontId="6" fillId="9" borderId="12" xfId="0" applyFont="1" applyFill="1" applyBorder="1" applyAlignment="1">
      <alignment horizontal="center" vertical="center" wrapText="1"/>
    </xf>
    <xf numFmtId="0" fontId="2" fillId="0" borderId="21" xfId="0" applyFont="1" applyBorder="1" applyAlignment="1">
      <alignment horizontal="center" vertical="center"/>
    </xf>
    <xf numFmtId="0" fontId="2" fillId="0" borderId="23" xfId="0" applyFont="1" applyBorder="1" applyAlignment="1">
      <alignment horizontal="center" vertical="center"/>
    </xf>
    <xf numFmtId="0" fontId="2" fillId="0" borderId="25" xfId="0" applyFont="1" applyBorder="1" applyAlignment="1">
      <alignment horizontal="center" vertical="center"/>
    </xf>
    <xf numFmtId="0" fontId="2" fillId="0" borderId="26" xfId="0" applyFont="1" applyBorder="1" applyAlignment="1">
      <alignment horizontal="center" vertical="center"/>
    </xf>
    <xf numFmtId="0" fontId="2" fillId="0" borderId="22" xfId="0" applyFont="1" applyBorder="1" applyAlignment="1">
      <alignment horizontal="center" vertical="center"/>
    </xf>
    <xf numFmtId="0" fontId="2" fillId="0" borderId="24" xfId="0" applyFont="1" applyBorder="1" applyAlignment="1">
      <alignment horizontal="center" vertical="center"/>
    </xf>
    <xf numFmtId="0" fontId="18" fillId="0" borderId="16" xfId="0" applyFont="1" applyBorder="1" applyAlignment="1">
      <alignment horizontal="center" vertical="center"/>
    </xf>
    <xf numFmtId="0" fontId="2" fillId="0" borderId="16" xfId="0" applyFont="1" applyBorder="1" applyAlignment="1">
      <alignment horizontal="center" vertical="center" wrapText="1"/>
    </xf>
    <xf numFmtId="0" fontId="5" fillId="0" borderId="16" xfId="0" applyFont="1" applyBorder="1" applyAlignment="1">
      <alignment horizontal="center" textRotation="90"/>
    </xf>
    <xf numFmtId="0" fontId="18" fillId="28" borderId="16" xfId="0" applyFont="1" applyFill="1" applyBorder="1" applyAlignment="1">
      <alignment horizontal="center" vertical="center"/>
    </xf>
    <xf numFmtId="0" fontId="2" fillId="0" borderId="16" xfId="0" applyFont="1" applyBorder="1" applyAlignment="1">
      <alignment horizontal="center" vertical="center"/>
    </xf>
    <xf numFmtId="0" fontId="2" fillId="0" borderId="18" xfId="0" applyFont="1" applyBorder="1" applyAlignment="1">
      <alignment horizontal="center" vertical="center"/>
    </xf>
    <xf numFmtId="0" fontId="2" fillId="0" borderId="0" xfId="0" applyFont="1" applyAlignment="1">
      <alignment horizontal="center" vertical="center"/>
    </xf>
    <xf numFmtId="0" fontId="2" fillId="0" borderId="19" xfId="0" applyFont="1" applyBorder="1" applyAlignment="1">
      <alignment horizontal="center" vertical="center"/>
    </xf>
    <xf numFmtId="1" fontId="18" fillId="0" borderId="0" xfId="0" applyNumberFormat="1" applyFont="1" applyAlignment="1">
      <alignment horizontal="right" vertical="center"/>
    </xf>
    <xf numFmtId="2" fontId="18" fillId="0" borderId="0" xfId="0" applyNumberFormat="1" applyFont="1" applyAlignment="1">
      <alignment horizontal="center" vertical="center"/>
    </xf>
    <xf numFmtId="0" fontId="18" fillId="0" borderId="0" xfId="0" applyFont="1" applyAlignment="1">
      <alignment horizontal="center" vertical="center"/>
    </xf>
    <xf numFmtId="0" fontId="5" fillId="5" borderId="0" xfId="0" applyFont="1" applyFill="1" applyAlignment="1">
      <alignment vertical="center"/>
    </xf>
    <xf numFmtId="0" fontId="5" fillId="5" borderId="5" xfId="0" applyFont="1" applyFill="1" applyBorder="1" applyAlignment="1" applyProtection="1">
      <alignment horizontal="center" vertical="center"/>
      <protection locked="0"/>
    </xf>
    <xf numFmtId="0" fontId="5" fillId="5" borderId="0" xfId="0" applyFont="1" applyFill="1" applyAlignment="1" applyProtection="1">
      <alignment horizontal="center" vertical="center"/>
      <protection locked="0"/>
    </xf>
    <xf numFmtId="3" fontId="11" fillId="0" borderId="0" xfId="0" applyNumberFormat="1" applyFont="1" applyAlignment="1">
      <alignment horizontal="right" vertical="center"/>
    </xf>
    <xf numFmtId="4" fontId="34" fillId="0" borderId="0" xfId="27" applyFont="1" applyAlignment="1">
      <alignment horizontal="left" vertical="center" wrapText="1"/>
    </xf>
    <xf numFmtId="0" fontId="34" fillId="0" borderId="50" xfId="0" applyFont="1" applyBorder="1" applyAlignment="1">
      <alignment vertical="center" wrapText="1"/>
    </xf>
    <xf numFmtId="0" fontId="34" fillId="0" borderId="51" xfId="0" applyFont="1" applyBorder="1" applyAlignment="1">
      <alignment vertical="center" wrapText="1"/>
    </xf>
    <xf numFmtId="0" fontId="34" fillId="0" borderId="52" xfId="0" applyFont="1" applyBorder="1" applyAlignment="1">
      <alignment vertical="center" wrapText="1"/>
    </xf>
    <xf numFmtId="0" fontId="80" fillId="0" borderId="59" xfId="0" applyFont="1" applyBorder="1" applyAlignment="1">
      <alignment vertical="top" wrapText="1"/>
    </xf>
    <xf numFmtId="0" fontId="80" fillId="0" borderId="60" xfId="0" applyFont="1" applyBorder="1" applyAlignment="1">
      <alignment vertical="top" wrapText="1"/>
    </xf>
    <xf numFmtId="0" fontId="34" fillId="0" borderId="59" xfId="0" applyFont="1" applyBorder="1" applyAlignment="1">
      <alignment vertical="top" wrapText="1"/>
    </xf>
    <xf numFmtId="0" fontId="34" fillId="0" borderId="61" xfId="0" applyFont="1" applyBorder="1" applyAlignment="1">
      <alignment vertical="top" wrapText="1"/>
    </xf>
    <xf numFmtId="0" fontId="34" fillId="0" borderId="60" xfId="0" applyFont="1" applyBorder="1" applyAlignment="1">
      <alignment vertical="top" wrapText="1"/>
    </xf>
    <xf numFmtId="0" fontId="74" fillId="0" borderId="40" xfId="0" applyFont="1" applyBorder="1" applyAlignment="1">
      <alignment vertical="center" wrapText="1"/>
    </xf>
    <xf numFmtId="0" fontId="74" fillId="0" borderId="41" xfId="0" applyFont="1" applyBorder="1" applyAlignment="1">
      <alignment vertical="center" wrapText="1"/>
    </xf>
    <xf numFmtId="0" fontId="74" fillId="0" borderId="42" xfId="0" applyFont="1" applyBorder="1" applyAlignment="1">
      <alignment vertical="center" wrapText="1"/>
    </xf>
    <xf numFmtId="0" fontId="70" fillId="0" borderId="57" xfId="0" applyFont="1" applyBorder="1" applyAlignment="1">
      <alignment vertical="center" wrapText="1"/>
    </xf>
    <xf numFmtId="0" fontId="70" fillId="0" borderId="58" xfId="0" applyFont="1" applyBorder="1" applyAlignment="1">
      <alignment vertical="center" wrapText="1"/>
    </xf>
    <xf numFmtId="0" fontId="34" fillId="0" borderId="57" xfId="0" applyFont="1" applyBorder="1" applyAlignment="1">
      <alignment vertical="top" wrapText="1"/>
    </xf>
    <xf numFmtId="0" fontId="34" fillId="0" borderId="20" xfId="0" applyFont="1" applyBorder="1" applyAlignment="1">
      <alignment vertical="top" wrapText="1"/>
    </xf>
    <xf numFmtId="0" fontId="34" fillId="0" borderId="58" xfId="0" applyFont="1" applyBorder="1" applyAlignment="1">
      <alignment vertical="top" wrapText="1"/>
    </xf>
    <xf numFmtId="0" fontId="34" fillId="0" borderId="45" xfId="0" applyFont="1" applyBorder="1" applyAlignment="1">
      <alignment vertical="top" wrapText="1"/>
    </xf>
    <xf numFmtId="0" fontId="34" fillId="0" borderId="27" xfId="0" applyFont="1" applyBorder="1" applyAlignment="1">
      <alignment vertical="top" wrapText="1"/>
    </xf>
    <xf numFmtId="0" fontId="34" fillId="0" borderId="29" xfId="0" applyFont="1" applyBorder="1" applyAlignment="1">
      <alignment vertical="top" wrapText="1"/>
    </xf>
    <xf numFmtId="0" fontId="34" fillId="0" borderId="57" xfId="0" applyFont="1" applyBorder="1" applyAlignment="1">
      <alignment horizontal="left" vertical="top" wrapText="1"/>
    </xf>
    <xf numFmtId="0" fontId="34" fillId="0" borderId="20" xfId="0" applyFont="1" applyBorder="1" applyAlignment="1">
      <alignment horizontal="left" vertical="top" wrapText="1"/>
    </xf>
    <xf numFmtId="0" fontId="34" fillId="0" borderId="58" xfId="0" applyFont="1" applyBorder="1" applyAlignment="1">
      <alignment horizontal="left" vertical="top" wrapText="1"/>
    </xf>
    <xf numFmtId="0" fontId="0" fillId="0" borderId="30" xfId="0" applyBorder="1" applyAlignment="1">
      <alignment vertical="top" wrapText="1"/>
    </xf>
    <xf numFmtId="0" fontId="0" fillId="0" borderId="0" xfId="0" applyAlignment="1">
      <alignment vertical="top" wrapText="1"/>
    </xf>
    <xf numFmtId="0" fontId="0" fillId="0" borderId="28" xfId="0" applyBorder="1" applyAlignment="1">
      <alignment vertical="top" wrapText="1"/>
    </xf>
    <xf numFmtId="0" fontId="55" fillId="0" borderId="57" xfId="0" applyFont="1" applyBorder="1" applyAlignment="1">
      <alignment vertical="center" wrapText="1"/>
    </xf>
    <xf numFmtId="0" fontId="55" fillId="0" borderId="20" xfId="0" applyFont="1" applyBorder="1" applyAlignment="1">
      <alignment vertical="center" wrapText="1"/>
    </xf>
    <xf numFmtId="0" fontId="55" fillId="0" borderId="58" xfId="0" applyFont="1" applyBorder="1" applyAlignment="1">
      <alignment vertical="center" wrapText="1"/>
    </xf>
    <xf numFmtId="0" fontId="0" fillId="0" borderId="45" xfId="0" applyBorder="1" applyAlignment="1">
      <alignment vertical="top" wrapText="1"/>
    </xf>
    <xf numFmtId="0" fontId="0" fillId="0" borderId="27" xfId="0" applyBorder="1" applyAlignment="1">
      <alignment vertical="top" wrapText="1"/>
    </xf>
    <xf numFmtId="0" fontId="0" fillId="0" borderId="29" xfId="0" applyBorder="1" applyAlignment="1">
      <alignment vertical="top" wrapText="1"/>
    </xf>
    <xf numFmtId="0" fontId="81" fillId="0" borderId="30" xfId="0" applyFont="1" applyBorder="1" applyAlignment="1">
      <alignment horizontal="center" vertical="center" wrapText="1"/>
    </xf>
    <xf numFmtId="0" fontId="81" fillId="0" borderId="0" xfId="0" applyFont="1" applyAlignment="1">
      <alignment horizontal="center" vertical="center" wrapText="1"/>
    </xf>
    <xf numFmtId="0" fontId="81" fillId="0" borderId="28" xfId="0" applyFont="1" applyBorder="1" applyAlignment="1">
      <alignment horizontal="center" vertical="center" wrapText="1"/>
    </xf>
    <xf numFmtId="0" fontId="34" fillId="0" borderId="30" xfId="0" applyFont="1" applyBorder="1" applyAlignment="1">
      <alignment vertical="center" wrapText="1"/>
    </xf>
    <xf numFmtId="0" fontId="34" fillId="0" borderId="0" xfId="0" applyFont="1" applyAlignment="1">
      <alignment vertical="center" wrapText="1"/>
    </xf>
    <xf numFmtId="0" fontId="34" fillId="0" borderId="28" xfId="0" applyFont="1" applyBorder="1" applyAlignment="1">
      <alignment vertical="center" wrapText="1"/>
    </xf>
    <xf numFmtId="0" fontId="55" fillId="0" borderId="30" xfId="0" applyFont="1" applyBorder="1" applyAlignment="1">
      <alignment vertical="center" wrapText="1"/>
    </xf>
    <xf numFmtId="0" fontId="55" fillId="0" borderId="28" xfId="0" applyFont="1" applyBorder="1" applyAlignment="1">
      <alignment vertical="center" wrapText="1"/>
    </xf>
    <xf numFmtId="0" fontId="70" fillId="0" borderId="30" xfId="0" applyFont="1" applyBorder="1" applyAlignment="1">
      <alignment vertical="center" wrapText="1"/>
    </xf>
    <xf numFmtId="0" fontId="70" fillId="0" borderId="0" xfId="0" applyFont="1" applyAlignment="1">
      <alignment vertical="center" wrapText="1"/>
    </xf>
    <xf numFmtId="0" fontId="70" fillId="0" borderId="28" xfId="0" applyFont="1" applyBorder="1" applyAlignment="1">
      <alignment vertical="center" wrapText="1"/>
    </xf>
    <xf numFmtId="0" fontId="70" fillId="0" borderId="55" xfId="0" applyFont="1" applyBorder="1" applyAlignment="1">
      <alignment vertical="center" wrapText="1"/>
    </xf>
    <xf numFmtId="0" fontId="70" fillId="0" borderId="56" xfId="0" applyFont="1" applyBorder="1" applyAlignment="1">
      <alignment vertical="center" wrapText="1"/>
    </xf>
    <xf numFmtId="0" fontId="55" fillId="0" borderId="55" xfId="0" applyFont="1" applyBorder="1" applyAlignment="1">
      <alignment vertical="center" wrapText="1"/>
    </xf>
    <xf numFmtId="0" fontId="55" fillId="0" borderId="19" xfId="0" applyFont="1" applyBorder="1" applyAlignment="1">
      <alignment vertical="center" wrapText="1"/>
    </xf>
    <xf numFmtId="0" fontId="55" fillId="0" borderId="56" xfId="0" applyFont="1" applyBorder="1" applyAlignment="1">
      <alignment vertical="center" wrapText="1"/>
    </xf>
    <xf numFmtId="0" fontId="74" fillId="0" borderId="30" xfId="0" applyFont="1" applyBorder="1" applyAlignment="1">
      <alignment vertical="center" wrapText="1"/>
    </xf>
    <xf numFmtId="0" fontId="74" fillId="0" borderId="0" xfId="0" applyFont="1" applyAlignment="1">
      <alignment vertical="center" wrapText="1"/>
    </xf>
    <xf numFmtId="0" fontId="74" fillId="0" borderId="28" xfId="0" applyFont="1" applyBorder="1" applyAlignment="1">
      <alignment vertical="center" wrapText="1"/>
    </xf>
    <xf numFmtId="0" fontId="34" fillId="0" borderId="45" xfId="0" applyFont="1" applyBorder="1" applyAlignment="1">
      <alignment vertical="center" wrapText="1"/>
    </xf>
    <xf numFmtId="0" fontId="34" fillId="0" borderId="27" xfId="0" applyFont="1" applyBorder="1" applyAlignment="1">
      <alignment vertical="center" wrapText="1"/>
    </xf>
    <xf numFmtId="0" fontId="34" fillId="0" borderId="29" xfId="0" applyFont="1" applyBorder="1" applyAlignment="1">
      <alignment vertical="center" wrapText="1"/>
    </xf>
    <xf numFmtId="0" fontId="70" fillId="0" borderId="40" xfId="0" applyFont="1" applyBorder="1" applyAlignment="1">
      <alignment vertical="center" wrapText="1"/>
    </xf>
    <xf numFmtId="0" fontId="70" fillId="0" borderId="42" xfId="0" applyFont="1" applyBorder="1" applyAlignment="1">
      <alignment vertical="center" wrapText="1"/>
    </xf>
    <xf numFmtId="0" fontId="70" fillId="0" borderId="41" xfId="0" applyFont="1" applyBorder="1" applyAlignment="1">
      <alignment vertical="center" wrapText="1"/>
    </xf>
    <xf numFmtId="0" fontId="81" fillId="0" borderId="50" xfId="0" applyFont="1" applyBorder="1" applyAlignment="1">
      <alignment horizontal="center" vertical="center" wrapText="1"/>
    </xf>
    <xf numFmtId="0" fontId="81" fillId="0" borderId="51" xfId="0" applyFont="1" applyBorder="1" applyAlignment="1">
      <alignment horizontal="center" vertical="center" wrapText="1"/>
    </xf>
    <xf numFmtId="0" fontId="81" fillId="0" borderId="52" xfId="0" applyFont="1" applyBorder="1" applyAlignment="1">
      <alignment horizontal="center" vertical="center" wrapText="1"/>
    </xf>
    <xf numFmtId="0" fontId="84" fillId="0" borderId="40" xfId="0" applyFont="1" applyBorder="1" applyAlignment="1">
      <alignment vertical="center" wrapText="1"/>
    </xf>
    <xf numFmtId="0" fontId="84" fillId="0" borderId="41" xfId="0" applyFont="1" applyBorder="1" applyAlignment="1">
      <alignment vertical="center" wrapText="1"/>
    </xf>
    <xf numFmtId="0" fontId="84" fillId="0" borderId="42" xfId="0" applyFont="1" applyBorder="1" applyAlignment="1">
      <alignment vertical="center" wrapText="1"/>
    </xf>
    <xf numFmtId="0" fontId="50" fillId="31" borderId="47" xfId="0" applyFont="1" applyFill="1" applyBorder="1" applyAlignment="1">
      <alignment horizontal="center" vertical="center" wrapText="1"/>
    </xf>
    <xf numFmtId="0" fontId="50" fillId="31" borderId="49" xfId="0" applyFont="1" applyFill="1" applyBorder="1" applyAlignment="1">
      <alignment horizontal="center" vertical="center" wrapText="1"/>
    </xf>
    <xf numFmtId="0" fontId="81" fillId="31" borderId="40" xfId="0" applyFont="1" applyFill="1" applyBorder="1" applyAlignment="1">
      <alignment horizontal="center" vertical="center" wrapText="1"/>
    </xf>
    <xf numFmtId="0" fontId="81" fillId="31" borderId="41" xfId="0" applyFont="1" applyFill="1" applyBorder="1" applyAlignment="1">
      <alignment horizontal="center" vertical="center" wrapText="1"/>
    </xf>
    <xf numFmtId="0" fontId="81" fillId="31" borderId="42" xfId="0" applyFont="1" applyFill="1" applyBorder="1" applyAlignment="1">
      <alignment horizontal="center" vertical="center" wrapText="1"/>
    </xf>
    <xf numFmtId="0" fontId="81" fillId="31" borderId="45" xfId="0" applyFont="1" applyFill="1" applyBorder="1" applyAlignment="1">
      <alignment horizontal="center" vertical="center" wrapText="1"/>
    </xf>
    <xf numFmtId="0" fontId="81" fillId="31" borderId="27" xfId="0" applyFont="1" applyFill="1" applyBorder="1" applyAlignment="1">
      <alignment horizontal="center" vertical="center" wrapText="1"/>
    </xf>
    <xf numFmtId="0" fontId="81" fillId="31" borderId="29" xfId="0" applyFont="1" applyFill="1" applyBorder="1" applyAlignment="1">
      <alignment horizontal="center" vertical="center" wrapText="1"/>
    </xf>
    <xf numFmtId="0" fontId="81" fillId="31" borderId="50" xfId="0" applyFont="1" applyFill="1" applyBorder="1" applyAlignment="1">
      <alignment horizontal="center" vertical="center" wrapText="1"/>
    </xf>
    <xf numFmtId="0" fontId="81" fillId="31" borderId="51" xfId="0" applyFont="1" applyFill="1" applyBorder="1" applyAlignment="1">
      <alignment horizontal="center" vertical="center" wrapText="1"/>
    </xf>
    <xf numFmtId="0" fontId="81" fillId="31" borderId="52" xfId="0" applyFont="1" applyFill="1" applyBorder="1" applyAlignment="1">
      <alignment horizontal="center" vertical="center" wrapText="1"/>
    </xf>
    <xf numFmtId="0" fontId="81" fillId="0" borderId="47" xfId="0" applyFont="1" applyBorder="1" applyAlignment="1">
      <alignment horizontal="center" vertical="center" wrapText="1"/>
    </xf>
    <xf numFmtId="0" fontId="81" fillId="0" borderId="49" xfId="0" applyFont="1" applyBorder="1" applyAlignment="1">
      <alignment horizontal="center" vertical="center" wrapText="1"/>
    </xf>
    <xf numFmtId="0" fontId="34" fillId="0" borderId="47" xfId="0" applyFont="1" applyBorder="1" applyAlignment="1">
      <alignment vertical="center" wrapText="1"/>
    </xf>
    <xf numFmtId="0" fontId="34" fillId="0" borderId="49" xfId="0" applyFont="1" applyBorder="1" applyAlignment="1">
      <alignment vertical="center" wrapText="1"/>
    </xf>
    <xf numFmtId="0" fontId="81" fillId="0" borderId="40" xfId="0" applyFont="1" applyBorder="1" applyAlignment="1">
      <alignment horizontal="center" vertical="center" wrapText="1"/>
    </xf>
    <xf numFmtId="0" fontId="81" fillId="0" borderId="41" xfId="0" applyFont="1" applyBorder="1" applyAlignment="1">
      <alignment horizontal="center" vertical="center" wrapText="1"/>
    </xf>
    <xf numFmtId="0" fontId="81" fillId="0" borderId="42" xfId="0" applyFont="1" applyBorder="1" applyAlignment="1">
      <alignment horizontal="center" vertical="center" wrapText="1"/>
    </xf>
    <xf numFmtId="0" fontId="81" fillId="0" borderId="45" xfId="0" applyFont="1" applyBorder="1" applyAlignment="1">
      <alignment horizontal="center" vertical="center" wrapText="1"/>
    </xf>
    <xf numFmtId="0" fontId="81" fillId="0" borderId="27" xfId="0" applyFont="1" applyBorder="1" applyAlignment="1">
      <alignment horizontal="center" vertical="center" wrapText="1"/>
    </xf>
    <xf numFmtId="0" fontId="81" fillId="0" borderId="29" xfId="0" applyFont="1" applyBorder="1" applyAlignment="1">
      <alignment horizontal="center" vertical="center" wrapText="1"/>
    </xf>
    <xf numFmtId="0" fontId="34" fillId="0" borderId="50" xfId="0" applyFont="1" applyBorder="1" applyAlignment="1">
      <alignment horizontal="center" vertical="center" wrapText="1"/>
    </xf>
    <xf numFmtId="0" fontId="34" fillId="0" borderId="51" xfId="0" applyFont="1" applyBorder="1" applyAlignment="1">
      <alignment horizontal="center" vertical="center" wrapText="1"/>
    </xf>
    <xf numFmtId="0" fontId="34" fillId="0" borderId="52" xfId="0" applyFont="1" applyBorder="1" applyAlignment="1">
      <alignment horizontal="center" vertical="center" wrapText="1"/>
    </xf>
    <xf numFmtId="0" fontId="50" fillId="0" borderId="47" xfId="0" applyFont="1" applyBorder="1" applyAlignment="1">
      <alignment horizontal="center" vertical="center" wrapText="1"/>
    </xf>
    <xf numFmtId="0" fontId="50" fillId="0" borderId="49" xfId="0" applyFont="1" applyBorder="1" applyAlignment="1">
      <alignment horizontal="center" vertical="center" wrapText="1"/>
    </xf>
    <xf numFmtId="0" fontId="34" fillId="0" borderId="40" xfId="0" applyFont="1" applyBorder="1" applyAlignment="1">
      <alignment horizontal="center" vertical="center" wrapText="1"/>
    </xf>
    <xf numFmtId="0" fontId="34" fillId="0" borderId="41" xfId="0" applyFont="1" applyBorder="1" applyAlignment="1">
      <alignment horizontal="center" vertical="center" wrapText="1"/>
    </xf>
    <xf numFmtId="0" fontId="34" fillId="0" borderId="42" xfId="0" applyFont="1" applyBorder="1" applyAlignment="1">
      <alignment horizontal="center" vertical="center" wrapText="1"/>
    </xf>
    <xf numFmtId="0" fontId="34" fillId="0" borderId="45" xfId="0" applyFont="1" applyBorder="1" applyAlignment="1">
      <alignment horizontal="center" vertical="center" wrapText="1"/>
    </xf>
    <xf numFmtId="0" fontId="34" fillId="0" borderId="27" xfId="0" applyFont="1" applyBorder="1" applyAlignment="1">
      <alignment horizontal="center" vertical="center" wrapText="1"/>
    </xf>
    <xf numFmtId="0" fontId="34" fillId="0" borderId="29" xfId="0" applyFont="1" applyBorder="1" applyAlignment="1">
      <alignment horizontal="center" vertical="center" wrapText="1"/>
    </xf>
    <xf numFmtId="0" fontId="34" fillId="0" borderId="40" xfId="0" applyFont="1" applyBorder="1" applyAlignment="1">
      <alignment vertical="center" wrapText="1"/>
    </xf>
    <xf numFmtId="0" fontId="34" fillId="0" borderId="42" xfId="0" applyFont="1" applyBorder="1" applyAlignment="1">
      <alignment vertical="center" wrapText="1"/>
    </xf>
    <xf numFmtId="0" fontId="50" fillId="31" borderId="50" xfId="0" applyFont="1" applyFill="1" applyBorder="1" applyAlignment="1">
      <alignment horizontal="center" vertical="center" wrapText="1"/>
    </xf>
    <xf numFmtId="0" fontId="50" fillId="31" borderId="51" xfId="0" applyFont="1" applyFill="1" applyBorder="1" applyAlignment="1">
      <alignment horizontal="center" vertical="center" wrapText="1"/>
    </xf>
    <xf numFmtId="0" fontId="50" fillId="31" borderId="52" xfId="0" applyFont="1" applyFill="1" applyBorder="1" applyAlignment="1">
      <alignment horizontal="center" vertical="center" wrapText="1"/>
    </xf>
    <xf numFmtId="0" fontId="82" fillId="0" borderId="47" xfId="0" applyFont="1" applyBorder="1" applyAlignment="1">
      <alignment horizontal="center" vertical="center" wrapText="1"/>
    </xf>
    <xf numFmtId="0" fontId="82" fillId="0" borderId="49" xfId="0" applyFont="1" applyBorder="1" applyAlignment="1">
      <alignment horizontal="center" vertical="center" wrapText="1"/>
    </xf>
    <xf numFmtId="0" fontId="82" fillId="0" borderId="40" xfId="0" applyFont="1" applyBorder="1" applyAlignment="1">
      <alignment horizontal="center" vertical="center" wrapText="1"/>
    </xf>
    <xf numFmtId="0" fontId="82" fillId="0" borderId="42" xfId="0" applyFont="1" applyBorder="1" applyAlignment="1">
      <alignment horizontal="center" vertical="center" wrapText="1"/>
    </xf>
    <xf numFmtId="0" fontId="82" fillId="0" borderId="45" xfId="0" applyFont="1" applyBorder="1" applyAlignment="1">
      <alignment horizontal="center" vertical="center" wrapText="1"/>
    </xf>
    <xf numFmtId="0" fontId="82" fillId="0" borderId="29" xfId="0" applyFont="1" applyBorder="1" applyAlignment="1">
      <alignment horizontal="center" vertical="center" wrapText="1"/>
    </xf>
    <xf numFmtId="0" fontId="55" fillId="9" borderId="7" xfId="0" applyFont="1" applyFill="1" applyBorder="1" applyAlignment="1">
      <alignment horizontal="left" vertical="center" wrapText="1"/>
    </xf>
    <xf numFmtId="0" fontId="55" fillId="9" borderId="14" xfId="0" applyFont="1" applyFill="1" applyBorder="1" applyAlignment="1">
      <alignment horizontal="left" vertical="center" wrapText="1"/>
    </xf>
    <xf numFmtId="0" fontId="55" fillId="0" borderId="0" xfId="0" applyFont="1" applyAlignment="1">
      <alignment horizontal="left" vertical="center" wrapText="1"/>
    </xf>
    <xf numFmtId="0" fontId="50" fillId="5" borderId="1" xfId="0" applyFont="1" applyFill="1" applyBorder="1" applyAlignment="1">
      <alignment horizontal="left" vertical="center" wrapText="1"/>
    </xf>
    <xf numFmtId="0" fontId="50" fillId="5" borderId="13" xfId="0" applyFont="1" applyFill="1" applyBorder="1" applyAlignment="1">
      <alignment horizontal="left" vertical="center" wrapText="1"/>
    </xf>
    <xf numFmtId="0" fontId="50" fillId="5" borderId="3" xfId="0" applyFont="1" applyFill="1" applyBorder="1" applyAlignment="1">
      <alignment horizontal="left" vertical="center" wrapText="1"/>
    </xf>
    <xf numFmtId="0" fontId="50" fillId="5" borderId="15" xfId="0" applyFont="1" applyFill="1" applyBorder="1" applyAlignment="1">
      <alignment horizontal="left" vertical="center" wrapText="1"/>
    </xf>
    <xf numFmtId="0" fontId="0" fillId="0" borderId="30" xfId="0" applyBorder="1" applyAlignment="1">
      <alignment horizontal="center"/>
    </xf>
    <xf numFmtId="0" fontId="0" fillId="0" borderId="28" xfId="0" applyBorder="1" applyAlignment="1">
      <alignment horizontal="center"/>
    </xf>
    <xf numFmtId="0" fontId="0" fillId="0" borderId="0" xfId="0" applyAlignment="1">
      <alignment horizontal="center"/>
    </xf>
    <xf numFmtId="0" fontId="0" fillId="0" borderId="0" xfId="0" applyAlignment="1">
      <alignment horizontal="left" vertical="center"/>
    </xf>
    <xf numFmtId="0" fontId="6" fillId="25" borderId="0" xfId="1" applyFont="1" applyFill="1" applyAlignment="1">
      <alignment horizontal="center" vertical="center"/>
    </xf>
    <xf numFmtId="0" fontId="5" fillId="0" borderId="5" xfId="0" applyFont="1" applyBorder="1" applyAlignment="1">
      <alignment horizontal="left" vertical="center" wrapText="1"/>
    </xf>
    <xf numFmtId="0" fontId="5" fillId="0" borderId="7" xfId="0" applyFont="1" applyBorder="1" applyAlignment="1">
      <alignment horizontal="left" vertical="center" wrapText="1"/>
    </xf>
    <xf numFmtId="0" fontId="5" fillId="0" borderId="6" xfId="0" applyFont="1" applyBorder="1" applyAlignment="1">
      <alignment horizontal="left" vertical="center" wrapText="1"/>
    </xf>
    <xf numFmtId="0" fontId="5" fillId="0" borderId="8" xfId="0" applyFont="1" applyBorder="1" applyAlignment="1">
      <alignment horizontal="left" vertical="center" wrapText="1"/>
    </xf>
    <xf numFmtId="0" fontId="5" fillId="23" borderId="0" xfId="1" applyFont="1" applyFill="1" applyAlignment="1">
      <alignment horizontal="center" vertical="center"/>
    </xf>
    <xf numFmtId="0" fontId="5" fillId="23" borderId="0" xfId="0" applyFont="1" applyFill="1" applyAlignment="1">
      <alignment horizontal="center" vertical="center"/>
    </xf>
    <xf numFmtId="0" fontId="5" fillId="0" borderId="10" xfId="0" applyFont="1" applyBorder="1" applyAlignment="1">
      <alignment horizontal="left" vertical="center" wrapText="1"/>
    </xf>
    <xf numFmtId="0" fontId="5" fillId="0" borderId="11" xfId="0" applyFont="1" applyBorder="1" applyAlignment="1">
      <alignment horizontal="left" vertical="center" wrapText="1"/>
    </xf>
    <xf numFmtId="0" fontId="65" fillId="3" borderId="0" xfId="1" applyFont="1" applyFill="1" applyAlignment="1">
      <alignment horizontal="center" vertical="center"/>
    </xf>
    <xf numFmtId="0" fontId="65" fillId="4" borderId="0" xfId="1" applyFont="1" applyFill="1" applyAlignment="1">
      <alignment horizontal="center" vertical="center"/>
    </xf>
    <xf numFmtId="0" fontId="6" fillId="0" borderId="9" xfId="0" applyFont="1" applyBorder="1" applyAlignment="1">
      <alignment horizontal="center" vertical="center"/>
    </xf>
    <xf numFmtId="0" fontId="0" fillId="0" borderId="11" xfId="0" applyBorder="1"/>
    <xf numFmtId="0" fontId="6" fillId="9" borderId="9" xfId="0" applyFont="1" applyFill="1" applyBorder="1" applyAlignment="1">
      <alignment horizontal="center" vertical="center"/>
    </xf>
    <xf numFmtId="0" fontId="0" fillId="0" borderId="10" xfId="0" applyBorder="1"/>
    <xf numFmtId="0" fontId="6" fillId="0" borderId="11" xfId="0" applyFont="1" applyBorder="1" applyAlignment="1">
      <alignment horizontal="center" vertical="center"/>
    </xf>
    <xf numFmtId="0" fontId="6" fillId="14" borderId="0" xfId="1" applyFont="1" applyFill="1" applyAlignment="1">
      <alignment horizontal="center" vertical="center"/>
    </xf>
    <xf numFmtId="0" fontId="6" fillId="22" borderId="0" xfId="1" applyFont="1" applyFill="1" applyAlignment="1">
      <alignment horizontal="center" vertical="center"/>
    </xf>
    <xf numFmtId="0" fontId="6" fillId="15" borderId="0" xfId="1" applyFont="1" applyFill="1" applyAlignment="1">
      <alignment horizontal="center" vertical="center"/>
    </xf>
    <xf numFmtId="0" fontId="6" fillId="8" borderId="0" xfId="0" applyFont="1" applyFill="1" applyAlignment="1">
      <alignment horizontal="center" vertical="center" wrapText="1"/>
    </xf>
    <xf numFmtId="0" fontId="6" fillId="4" borderId="0" xfId="0" applyFont="1" applyFill="1" applyAlignment="1">
      <alignment horizontal="center" vertical="center" wrapText="1"/>
    </xf>
    <xf numFmtId="0" fontId="6" fillId="2" borderId="0" xfId="0" applyFont="1" applyFill="1" applyAlignment="1">
      <alignment horizontal="center" vertical="center" wrapText="1"/>
    </xf>
    <xf numFmtId="0" fontId="16" fillId="3" borderId="0" xfId="0" applyFont="1" applyFill="1" applyAlignment="1">
      <alignment horizontal="center" vertical="center"/>
    </xf>
    <xf numFmtId="0" fontId="5" fillId="0" borderId="3" xfId="0" applyFont="1" applyBorder="1" applyAlignment="1">
      <alignment vertical="center" wrapText="1"/>
    </xf>
    <xf numFmtId="0" fontId="5" fillId="0" borderId="4" xfId="0" applyFont="1" applyBorder="1" applyAlignment="1">
      <alignment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0" fontId="5" fillId="0" borderId="7" xfId="0" applyFont="1" applyBorder="1" applyAlignment="1">
      <alignment vertical="center" wrapText="1"/>
    </xf>
    <xf numFmtId="0" fontId="5" fillId="0" borderId="8" xfId="0" applyFont="1" applyBorder="1" applyAlignment="1">
      <alignment vertical="center" wrapText="1"/>
    </xf>
    <xf numFmtId="0" fontId="5" fillId="0" borderId="9" xfId="0" applyFont="1" applyBorder="1" applyAlignment="1">
      <alignment horizontal="center" vertical="center"/>
    </xf>
    <xf numFmtId="0" fontId="5" fillId="0" borderId="10" xfId="0" applyFont="1" applyBorder="1" applyAlignment="1">
      <alignment horizontal="center" vertical="center"/>
    </xf>
    <xf numFmtId="0" fontId="5" fillId="0" borderId="11" xfId="0" applyFont="1" applyBorder="1" applyAlignment="1">
      <alignment horizontal="center" vertical="center"/>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5" fillId="0" borderId="11" xfId="0" applyFont="1" applyBorder="1" applyAlignment="1">
      <alignment horizontal="center" vertical="center" wrapText="1"/>
    </xf>
    <xf numFmtId="0" fontId="5" fillId="0" borderId="12" xfId="0" applyFont="1" applyBorder="1" applyAlignment="1">
      <alignment vertical="center" wrapText="1"/>
    </xf>
    <xf numFmtId="0" fontId="6" fillId="0" borderId="11" xfId="0" applyFont="1" applyBorder="1" applyAlignment="1">
      <alignment horizontal="center" vertical="center" wrapText="1"/>
    </xf>
    <xf numFmtId="0" fontId="6" fillId="0" borderId="9" xfId="0" applyFont="1" applyBorder="1" applyAlignment="1">
      <alignment horizontal="left" vertical="center" wrapText="1"/>
    </xf>
    <xf numFmtId="0" fontId="6" fillId="0" borderId="11" xfId="0" applyFont="1" applyBorder="1" applyAlignment="1">
      <alignment horizontal="left" vertical="center" wrapText="1"/>
    </xf>
    <xf numFmtId="0" fontId="6" fillId="9" borderId="11" xfId="0" applyFont="1" applyFill="1" applyBorder="1" applyAlignment="1">
      <alignment horizontal="center" vertical="center" wrapText="1"/>
    </xf>
    <xf numFmtId="0" fontId="6" fillId="0" borderId="3" xfId="0" applyFont="1" applyBorder="1" applyAlignment="1">
      <alignment vertical="center" wrapText="1"/>
    </xf>
    <xf numFmtId="0" fontId="6" fillId="0" borderId="4" xfId="0" applyFont="1" applyBorder="1" applyAlignment="1">
      <alignment vertical="center" wrapText="1"/>
    </xf>
    <xf numFmtId="0" fontId="6" fillId="0" borderId="7" xfId="0" applyFont="1" applyBorder="1" applyAlignment="1">
      <alignment vertical="center" wrapText="1"/>
    </xf>
    <xf numFmtId="0" fontId="6" fillId="0" borderId="8" xfId="0" applyFont="1" applyBorder="1" applyAlignment="1">
      <alignment vertical="center" wrapText="1"/>
    </xf>
    <xf numFmtId="0" fontId="5" fillId="9" borderId="10" xfId="0" applyFont="1" applyFill="1" applyBorder="1" applyAlignment="1">
      <alignment horizontal="center" vertical="center"/>
    </xf>
    <xf numFmtId="0" fontId="6" fillId="0" borderId="3" xfId="0" applyFont="1" applyBorder="1" applyAlignment="1">
      <alignment horizontal="center" vertical="center"/>
    </xf>
    <xf numFmtId="0" fontId="6" fillId="0" borderId="7" xfId="0" applyFont="1" applyBorder="1" applyAlignment="1">
      <alignment horizontal="center" vertical="center"/>
    </xf>
    <xf numFmtId="0" fontId="6" fillId="0" borderId="1" xfId="0" applyFont="1" applyBorder="1" applyAlignment="1">
      <alignment horizontal="center" vertical="center"/>
    </xf>
    <xf numFmtId="0" fontId="6" fillId="0" borderId="13" xfId="0" applyFont="1" applyBorder="1" applyAlignment="1">
      <alignment horizontal="center" vertical="center"/>
    </xf>
    <xf numFmtId="0" fontId="6" fillId="0" borderId="2" xfId="0" applyFont="1" applyBorder="1" applyAlignment="1">
      <alignment horizontal="center" vertical="center"/>
    </xf>
    <xf numFmtId="0" fontId="5" fillId="0" borderId="12" xfId="0" applyFont="1" applyBorder="1" applyAlignment="1">
      <alignment horizontal="left" vertical="center" wrapText="1"/>
    </xf>
    <xf numFmtId="0" fontId="5" fillId="5" borderId="9" xfId="0" applyFont="1" applyFill="1" applyBorder="1" applyAlignment="1">
      <alignment horizontal="center" vertical="center"/>
    </xf>
    <xf numFmtId="0" fontId="5" fillId="5" borderId="10" xfId="0" applyFont="1" applyFill="1" applyBorder="1" applyAlignment="1">
      <alignment horizontal="center" vertical="center"/>
    </xf>
    <xf numFmtId="0" fontId="5" fillId="5" borderId="11" xfId="0" applyFont="1" applyFill="1" applyBorder="1" applyAlignment="1">
      <alignment horizontal="center" vertical="center"/>
    </xf>
    <xf numFmtId="0" fontId="18" fillId="5" borderId="2" xfId="0" applyFont="1" applyFill="1" applyBorder="1" applyAlignment="1">
      <alignment horizontal="center" vertical="center"/>
    </xf>
    <xf numFmtId="0" fontId="18" fillId="5" borderId="12" xfId="0" applyFont="1" applyFill="1" applyBorder="1" applyAlignment="1">
      <alignment horizontal="center" vertical="center"/>
    </xf>
    <xf numFmtId="0" fontId="18" fillId="0" borderId="2" xfId="0" applyFont="1" applyBorder="1" applyAlignment="1">
      <alignment horizontal="center" vertical="center"/>
    </xf>
    <xf numFmtId="0" fontId="18" fillId="0" borderId="12" xfId="0" applyFont="1" applyBorder="1" applyAlignment="1">
      <alignment horizontal="center" vertical="center"/>
    </xf>
    <xf numFmtId="0" fontId="5" fillId="6" borderId="12" xfId="1" applyFont="1" applyFill="1" applyBorder="1" applyAlignment="1">
      <alignment horizontal="center" vertical="center"/>
    </xf>
    <xf numFmtId="49" fontId="5" fillId="10" borderId="1" xfId="0" applyNumberFormat="1" applyFont="1" applyFill="1" applyBorder="1" applyAlignment="1">
      <alignment horizontal="left" vertical="center" wrapText="1"/>
    </xf>
    <xf numFmtId="49" fontId="5" fillId="10" borderId="13" xfId="0" applyNumberFormat="1" applyFont="1" applyFill="1" applyBorder="1" applyAlignment="1">
      <alignment horizontal="left" vertical="center" wrapText="1"/>
    </xf>
    <xf numFmtId="49" fontId="5" fillId="10" borderId="2" xfId="0" applyNumberFormat="1" applyFont="1" applyFill="1" applyBorder="1" applyAlignment="1">
      <alignment horizontal="left" vertical="center" wrapText="1"/>
    </xf>
    <xf numFmtId="0" fontId="5" fillId="9" borderId="12" xfId="0" applyFont="1" applyFill="1" applyBorder="1" applyAlignment="1">
      <alignment horizontal="left" vertical="center" wrapText="1"/>
    </xf>
  </cellXfs>
  <cellStyles count="49">
    <cellStyle name="1. Tabellentitel" xfId="10" xr:uid="{00000000-0005-0000-0000-000000000000}"/>
    <cellStyle name="2. Zelle" xfId="11" xr:uid="{00000000-0005-0000-0000-000001000000}"/>
    <cellStyle name="Comma" xfId="46" builtinId="3"/>
    <cellStyle name="Dezimal 2" xfId="4" xr:uid="{00000000-0005-0000-0000-000002000000}"/>
    <cellStyle name="Dezimal 2 2" xfId="30" xr:uid="{00000000-0005-0000-0000-000003000000}"/>
    <cellStyle name="Dezimal 3" xfId="6" xr:uid="{00000000-0005-0000-0000-000004000000}"/>
    <cellStyle name="Fläche" xfId="45" xr:uid="{00000000-0005-0000-0000-000005000000}"/>
    <cellStyle name="Fläche 2" xfId="48" xr:uid="{00000000-0005-0000-0000-000006000000}"/>
    <cellStyle name="Gut 2" xfId="14" xr:uid="{00000000-0005-0000-0000-000007000000}"/>
    <cellStyle name="Haupttitel" xfId="3" xr:uid="{00000000-0005-0000-0000-000008000000}"/>
    <cellStyle name="Hyperlink" xfId="5" builtinId="8"/>
    <cellStyle name="Normal" xfId="0" builtinId="0"/>
    <cellStyle name="Obertitel" xfId="12" xr:uid="{00000000-0005-0000-0000-00000B000000}"/>
    <cellStyle name="Per cent" xfId="47" builtinId="5"/>
    <cellStyle name="Position" xfId="19" xr:uid="{00000000-0005-0000-0000-00000C000000}"/>
    <cellStyle name="Prozent 2" xfId="44" xr:uid="{00000000-0005-0000-0000-00000E000000}"/>
    <cellStyle name="Punkt 1.1.1)" xfId="25" xr:uid="{00000000-0005-0000-0000-000011000000}"/>
    <cellStyle name="Punkt 1.1)" xfId="21" xr:uid="{00000000-0005-0000-0000-000010000000}"/>
    <cellStyle name="Punkt 1)" xfId="20" xr:uid="{00000000-0005-0000-0000-00000F000000}"/>
    <cellStyle name="Schlecht 2" xfId="15" xr:uid="{00000000-0005-0000-0000-000012000000}"/>
    <cellStyle name="Standard 2" xfId="1" xr:uid="{00000000-0005-0000-0000-000014000000}"/>
    <cellStyle name="Standard 2 10" xfId="18" xr:uid="{00000000-0005-0000-0000-000015000000}"/>
    <cellStyle name="Standard 2 11" xfId="31" xr:uid="{00000000-0005-0000-0000-000016000000}"/>
    <cellStyle name="Standard 2 2" xfId="29" xr:uid="{00000000-0005-0000-0000-000017000000}"/>
    <cellStyle name="Standard 2 2 2" xfId="32" xr:uid="{00000000-0005-0000-0000-000018000000}"/>
    <cellStyle name="Standard 2 3" xfId="33" xr:uid="{00000000-0005-0000-0000-000019000000}"/>
    <cellStyle name="Standard 2 4" xfId="34" xr:uid="{00000000-0005-0000-0000-00001A000000}"/>
    <cellStyle name="Standard 2 5" xfId="35" xr:uid="{00000000-0005-0000-0000-00001B000000}"/>
    <cellStyle name="Standard 2 6" xfId="36" xr:uid="{00000000-0005-0000-0000-00001C000000}"/>
    <cellStyle name="Standard 2 7" xfId="37" xr:uid="{00000000-0005-0000-0000-00001D000000}"/>
    <cellStyle name="Standard 2 8" xfId="38" xr:uid="{00000000-0005-0000-0000-00001E000000}"/>
    <cellStyle name="Standard 2 9" xfId="39" xr:uid="{00000000-0005-0000-0000-00001F000000}"/>
    <cellStyle name="Standard 3" xfId="7" xr:uid="{00000000-0005-0000-0000-000020000000}"/>
    <cellStyle name="Standard 4" xfId="2" xr:uid="{00000000-0005-0000-0000-000021000000}"/>
    <cellStyle name="Standard 5" xfId="8" xr:uid="{00000000-0005-0000-0000-000022000000}"/>
    <cellStyle name="Standard 5 2" xfId="17" xr:uid="{00000000-0005-0000-0000-000023000000}"/>
    <cellStyle name="Standard 6" xfId="9" xr:uid="{00000000-0005-0000-0000-000024000000}"/>
    <cellStyle name="Standard 7" xfId="16" xr:uid="{00000000-0005-0000-0000-000025000000}"/>
    <cellStyle name="Standard 8" xfId="42" xr:uid="{00000000-0005-0000-0000-000026000000}"/>
    <cellStyle name="Standard_HWB Kurzverf. Formular (2)" xfId="43" xr:uid="{00000000-0005-0000-0000-000027000000}"/>
    <cellStyle name="Tabellentitel" xfId="40" xr:uid="{00000000-0005-0000-0000-000028000000}"/>
    <cellStyle name="Text 1)" xfId="22" xr:uid="{00000000-0005-0000-0000-000029000000}"/>
    <cellStyle name="Text 2)" xfId="23" xr:uid="{00000000-0005-0000-0000-00002A000000}"/>
    <cellStyle name="Text 3)" xfId="24" xr:uid="{00000000-0005-0000-0000-00002B000000}"/>
    <cellStyle name="Text 4)" xfId="26" xr:uid="{00000000-0005-0000-0000-00002C000000}"/>
    <cellStyle name="Untertitel" xfId="13" xr:uid="{00000000-0005-0000-0000-00002D000000}"/>
    <cellStyle name="Zahl 1)" xfId="27" xr:uid="{00000000-0005-0000-0000-00002E000000}"/>
    <cellStyle name="Zahl 2)" xfId="28" xr:uid="{00000000-0005-0000-0000-00002F000000}"/>
    <cellStyle name="Zelle" xfId="41" xr:uid="{00000000-0005-0000-0000-000030000000}"/>
  </cellStyles>
  <dxfs count="22">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8" tint="0.59996337778862885"/>
        </patternFill>
      </fill>
    </dxf>
    <dxf>
      <fill>
        <patternFill>
          <bgColor theme="8" tint="0.79998168889431442"/>
        </patternFill>
      </fill>
    </dxf>
    <dxf>
      <fill>
        <patternFill>
          <bgColor rgb="FFFFC000"/>
        </patternFill>
      </fill>
    </dxf>
    <dxf>
      <fill>
        <patternFill>
          <bgColor rgb="FFFFC000"/>
        </patternFill>
      </fill>
    </dxf>
    <dxf>
      <font>
        <color theme="0"/>
      </font>
      <fill>
        <patternFill>
          <bgColor theme="6" tint="0.79998168889431442"/>
        </patternFill>
      </fill>
    </dxf>
    <dxf>
      <fill>
        <patternFill>
          <bgColor theme="6" tint="0.79998168889431442"/>
        </patternFill>
      </fill>
    </dxf>
    <dxf>
      <fill>
        <patternFill>
          <bgColor theme="8" tint="0.79998168889431442"/>
        </patternFill>
      </fill>
    </dxf>
    <dxf>
      <fill>
        <patternFill>
          <bgColor theme="3" tint="0.59996337778862885"/>
        </patternFill>
      </fill>
    </dxf>
    <dxf>
      <fill>
        <patternFill>
          <bgColor theme="3" tint="0.59996337778862885"/>
        </patternFill>
      </fill>
    </dxf>
  </dxfs>
  <tableStyles count="0" defaultTableStyle="TableStyleMedium9" defaultPivotStyle="PivotStyleLight16"/>
  <colors>
    <mruColors>
      <color rgb="FFFF7C80"/>
      <color rgb="FFD0EBB3"/>
      <color rgb="FFFEF29A"/>
      <color rgb="FF92D050"/>
      <color rgb="FFFF9999"/>
      <color rgb="FFFFFF99"/>
      <color rgb="FFFF00FF"/>
      <color rgb="FF64A0BE"/>
      <color rgb="FFFDF2A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2.xml"/><Relationship Id="rId8" Type="http://schemas.openxmlformats.org/officeDocument/2006/relationships/worksheet" Target="worksheets/sheet8.xml"/><Relationship Id="rId3" Type="http://schemas.openxmlformats.org/officeDocument/2006/relationships/worksheet" Target="worksheets/sheet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DE"/>
        </a:p>
      </c:txPr>
    </c:title>
    <c:autoTitleDeleted val="0"/>
    <c:plotArea>
      <c:layout/>
      <c:barChart>
        <c:barDir val="col"/>
        <c:grouping val="clustered"/>
        <c:varyColors val="0"/>
        <c:ser>
          <c:idx val="1"/>
          <c:order val="1"/>
          <c:tx>
            <c:strRef>
              <c:f>'Wohnungsausnutzung Vergleich'!$C$3</c:f>
              <c:strCache>
                <c:ptCount val="1"/>
                <c:pt idx="0">
                  <c:v>1 PHH</c:v>
                </c:pt>
              </c:strCache>
            </c:strRef>
          </c:tx>
          <c:spPr>
            <a:solidFill>
              <a:schemeClr val="accent2"/>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Vergleich'!$C$4:$C$45</c:f>
              <c:numCache>
                <c:formatCode>0\ "qm/pP"</c:formatCode>
                <c:ptCount val="42"/>
                <c:pt idx="0">
                  <c:v>36.014999999999993</c:v>
                </c:pt>
                <c:pt idx="1">
                  <c:v>42.134999999999998</c:v>
                </c:pt>
                <c:pt idx="2">
                  <c:v>39.199999999999996</c:v>
                </c:pt>
                <c:pt idx="3">
                  <c:v>43.559999999999995</c:v>
                </c:pt>
                <c:pt idx="4">
                  <c:v>57.76</c:v>
                </c:pt>
                <c:pt idx="5">
                  <c:v>55.47</c:v>
                </c:pt>
                <c:pt idx="6">
                  <c:v>38.954999999999991</c:v>
                </c:pt>
                <c:pt idx="7">
                  <c:v>34.29999999999999</c:v>
                </c:pt>
                <c:pt idx="8">
                  <c:v>40.424999999999997</c:v>
                </c:pt>
                <c:pt idx="9">
                  <c:v>37.239999999999995</c:v>
                </c:pt>
                <c:pt idx="10">
                  <c:v>42.139999999999993</c:v>
                </c:pt>
                <c:pt idx="11">
                  <c:v>47.039999999999992</c:v>
                </c:pt>
                <c:pt idx="12">
                  <c:v>37.484999999999992</c:v>
                </c:pt>
                <c:pt idx="13">
                  <c:v>37.099999999999994</c:v>
                </c:pt>
                <c:pt idx="14">
                  <c:v>34.979999999999997</c:v>
                </c:pt>
                <c:pt idx="15">
                  <c:v>40.279999999999994</c:v>
                </c:pt>
                <c:pt idx="16">
                  <c:v>34.185000000000002</c:v>
                </c:pt>
                <c:pt idx="17">
                  <c:v>38.159999999999997</c:v>
                </c:pt>
                <c:pt idx="18">
                  <c:v>40.544999999999995</c:v>
                </c:pt>
                <c:pt idx="19">
                  <c:v>43.724999999999994</c:v>
                </c:pt>
                <c:pt idx="20">
                  <c:v>36.959999999999994</c:v>
                </c:pt>
                <c:pt idx="21">
                  <c:v>42.559999999999995</c:v>
                </c:pt>
                <c:pt idx="22">
                  <c:v>36.119999999999997</c:v>
                </c:pt>
                <c:pt idx="23">
                  <c:v>40.32</c:v>
                </c:pt>
                <c:pt idx="24">
                  <c:v>42.839999999999989</c:v>
                </c:pt>
                <c:pt idx="25">
                  <c:v>46.199999999999996</c:v>
                </c:pt>
                <c:pt idx="26">
                  <c:v>48.72</c:v>
                </c:pt>
                <c:pt idx="27">
                  <c:v>50.16</c:v>
                </c:pt>
                <c:pt idx="28">
                  <c:v>56.76</c:v>
                </c:pt>
                <c:pt idx="29">
                  <c:v>47.519999999999996</c:v>
                </c:pt>
                <c:pt idx="30">
                  <c:v>50.489999999999995</c:v>
                </c:pt>
                <c:pt idx="31">
                  <c:v>54.449999999999996</c:v>
                </c:pt>
                <c:pt idx="32">
                  <c:v>57.419999999999987</c:v>
                </c:pt>
                <c:pt idx="33">
                  <c:v>49.019999999999996</c:v>
                </c:pt>
                <c:pt idx="34">
                  <c:v>54.72</c:v>
                </c:pt>
                <c:pt idx="35">
                  <c:v>58.14</c:v>
                </c:pt>
                <c:pt idx="36">
                  <c:v>62.699999999999996</c:v>
                </c:pt>
                <c:pt idx="37">
                  <c:v>66.12</c:v>
                </c:pt>
                <c:pt idx="38">
                  <c:v>61.919999999999987</c:v>
                </c:pt>
                <c:pt idx="39">
                  <c:v>43.859999999999992</c:v>
                </c:pt>
                <c:pt idx="40">
                  <c:v>47.3</c:v>
                </c:pt>
                <c:pt idx="41">
                  <c:v>49.879999999999995</c:v>
                </c:pt>
              </c:numCache>
            </c:numRef>
          </c:val>
          <c:extLst>
            <c:ext xmlns:c16="http://schemas.microsoft.com/office/drawing/2014/chart" uri="{C3380CC4-5D6E-409C-BE32-E72D297353CC}">
              <c16:uniqueId val="{00000000-B282-405F-B81D-815EF4217F2D}"/>
            </c:ext>
          </c:extLst>
        </c:ser>
        <c:ser>
          <c:idx val="2"/>
          <c:order val="2"/>
          <c:tx>
            <c:strRef>
              <c:f>'Wohnungsausnutzung Vergleich'!$D$3</c:f>
              <c:strCache>
                <c:ptCount val="1"/>
                <c:pt idx="0">
                  <c:v>2 PHH</c:v>
                </c:pt>
              </c:strCache>
            </c:strRef>
          </c:tx>
          <c:spPr>
            <a:solidFill>
              <a:schemeClr val="accent3"/>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Vergleich'!$D$4:$D$45</c:f>
              <c:numCache>
                <c:formatCode>0\ "qm/pP"</c:formatCode>
                <c:ptCount val="42"/>
                <c:pt idx="0">
                  <c:v>18.007499999999997</c:v>
                </c:pt>
                <c:pt idx="1">
                  <c:v>21.067499999999999</c:v>
                </c:pt>
                <c:pt idx="2">
                  <c:v>19.599999999999998</c:v>
                </c:pt>
                <c:pt idx="3">
                  <c:v>27.224999999999998</c:v>
                </c:pt>
                <c:pt idx="4">
                  <c:v>28.88</c:v>
                </c:pt>
                <c:pt idx="5">
                  <c:v>27.734999999999999</c:v>
                </c:pt>
                <c:pt idx="6">
                  <c:v>19.477499999999996</c:v>
                </c:pt>
                <c:pt idx="7">
                  <c:v>17.149999999999995</c:v>
                </c:pt>
                <c:pt idx="8">
                  <c:v>20.212499999999999</c:v>
                </c:pt>
                <c:pt idx="9">
                  <c:v>23.274999999999999</c:v>
                </c:pt>
                <c:pt idx="10">
                  <c:v>26.337499999999995</c:v>
                </c:pt>
                <c:pt idx="11">
                  <c:v>29.399999999999995</c:v>
                </c:pt>
                <c:pt idx="12">
                  <c:v>24.989999999999995</c:v>
                </c:pt>
                <c:pt idx="13">
                  <c:v>18.549999999999997</c:v>
                </c:pt>
                <c:pt idx="14">
                  <c:v>21.862499999999997</c:v>
                </c:pt>
                <c:pt idx="15">
                  <c:v>25.174999999999997</c:v>
                </c:pt>
                <c:pt idx="16">
                  <c:v>22.79</c:v>
                </c:pt>
                <c:pt idx="17">
                  <c:v>26.337499999999995</c:v>
                </c:pt>
                <c:pt idx="18">
                  <c:v>27.029999999999998</c:v>
                </c:pt>
                <c:pt idx="19">
                  <c:v>29.15</c:v>
                </c:pt>
                <c:pt idx="20">
                  <c:v>23.099999999999994</c:v>
                </c:pt>
                <c:pt idx="21">
                  <c:v>26.599999999999998</c:v>
                </c:pt>
                <c:pt idx="22">
                  <c:v>24.08</c:v>
                </c:pt>
                <c:pt idx="23">
                  <c:v>26.88</c:v>
                </c:pt>
                <c:pt idx="24">
                  <c:v>28.559999999999995</c:v>
                </c:pt>
                <c:pt idx="25">
                  <c:v>30.799999999999997</c:v>
                </c:pt>
                <c:pt idx="26">
                  <c:v>32.479999999999997</c:v>
                </c:pt>
                <c:pt idx="27">
                  <c:v>31.349999999999998</c:v>
                </c:pt>
                <c:pt idx="28">
                  <c:v>28.38</c:v>
                </c:pt>
                <c:pt idx="29">
                  <c:v>23.759999999999998</c:v>
                </c:pt>
                <c:pt idx="30">
                  <c:v>25.244999999999997</c:v>
                </c:pt>
                <c:pt idx="31">
                  <c:v>27.224999999999998</c:v>
                </c:pt>
                <c:pt idx="32">
                  <c:v>28.709999999999994</c:v>
                </c:pt>
                <c:pt idx="33">
                  <c:v>24.509999999999998</c:v>
                </c:pt>
                <c:pt idx="34">
                  <c:v>27.36</c:v>
                </c:pt>
                <c:pt idx="35">
                  <c:v>29.07</c:v>
                </c:pt>
                <c:pt idx="36">
                  <c:v>31.349999999999998</c:v>
                </c:pt>
                <c:pt idx="37">
                  <c:v>33.06</c:v>
                </c:pt>
                <c:pt idx="38">
                  <c:v>30.959999999999994</c:v>
                </c:pt>
                <c:pt idx="39">
                  <c:v>21.929999999999996</c:v>
                </c:pt>
                <c:pt idx="40">
                  <c:v>23.65</c:v>
                </c:pt>
                <c:pt idx="41">
                  <c:v>24.939999999999998</c:v>
                </c:pt>
              </c:numCache>
            </c:numRef>
          </c:val>
          <c:extLst>
            <c:ext xmlns:c16="http://schemas.microsoft.com/office/drawing/2014/chart" uri="{C3380CC4-5D6E-409C-BE32-E72D297353CC}">
              <c16:uniqueId val="{00000001-B282-405F-B81D-815EF4217F2D}"/>
            </c:ext>
          </c:extLst>
        </c:ser>
        <c:ser>
          <c:idx val="3"/>
          <c:order val="3"/>
          <c:tx>
            <c:strRef>
              <c:f>'Wohnungsausnutzung Vergleich'!$E$3</c:f>
              <c:strCache>
                <c:ptCount val="1"/>
                <c:pt idx="0">
                  <c:v>3 PHH</c:v>
                </c:pt>
              </c:strCache>
            </c:strRef>
          </c:tx>
          <c:spPr>
            <a:solidFill>
              <a:schemeClr val="accent4"/>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Vergleich'!$E$4:$E$45</c:f>
              <c:numCache>
                <c:formatCode>0\ "qm/pP"</c:formatCode>
                <c:ptCount val="42"/>
                <c:pt idx="0">
                  <c:v>22.009166666666662</c:v>
                </c:pt>
                <c:pt idx="1">
                  <c:v>21.067499999999999</c:v>
                </c:pt>
                <c:pt idx="2">
                  <c:v>23.519999999999996</c:v>
                </c:pt>
                <c:pt idx="3">
                  <c:v>25.409999999999997</c:v>
                </c:pt>
                <c:pt idx="4">
                  <c:v>24.066666666666666</c:v>
                </c:pt>
                <c:pt idx="5">
                  <c:v>24.653333333333332</c:v>
                </c:pt>
                <c:pt idx="6">
                  <c:v>21.641666666666662</c:v>
                </c:pt>
                <c:pt idx="7">
                  <c:v>20.579999999999995</c:v>
                </c:pt>
                <c:pt idx="8">
                  <c:v>21.56</c:v>
                </c:pt>
                <c:pt idx="9">
                  <c:v>21.723333333333329</c:v>
                </c:pt>
                <c:pt idx="10">
                  <c:v>24.581666666666663</c:v>
                </c:pt>
                <c:pt idx="11">
                  <c:v>27.439999999999998</c:v>
                </c:pt>
                <c:pt idx="12">
                  <c:v>29.15499999999999</c:v>
                </c:pt>
                <c:pt idx="13">
                  <c:v>22.259999999999994</c:v>
                </c:pt>
                <c:pt idx="14">
                  <c:v>20.404999999999998</c:v>
                </c:pt>
                <c:pt idx="15">
                  <c:v>23.496666666666666</c:v>
                </c:pt>
                <c:pt idx="16">
                  <c:v>22.790000000000003</c:v>
                </c:pt>
                <c:pt idx="17">
                  <c:v>21.2</c:v>
                </c:pt>
                <c:pt idx="18">
                  <c:v>22.524999999999995</c:v>
                </c:pt>
                <c:pt idx="19">
                  <c:v>24.291666666666668</c:v>
                </c:pt>
                <c:pt idx="20">
                  <c:v>21.56</c:v>
                </c:pt>
                <c:pt idx="21">
                  <c:v>24.826666666666664</c:v>
                </c:pt>
                <c:pt idx="22">
                  <c:v>24.08</c:v>
                </c:pt>
                <c:pt idx="23">
                  <c:v>22.400000000000002</c:v>
                </c:pt>
                <c:pt idx="24">
                  <c:v>23.799999999999997</c:v>
                </c:pt>
                <c:pt idx="25">
                  <c:v>25.666666666666668</c:v>
                </c:pt>
                <c:pt idx="26">
                  <c:v>27.066666666666663</c:v>
                </c:pt>
                <c:pt idx="27">
                  <c:v>29.26</c:v>
                </c:pt>
                <c:pt idx="28">
                  <c:v>28.38</c:v>
                </c:pt>
                <c:pt idx="29">
                  <c:v>21.119999999999997</c:v>
                </c:pt>
                <c:pt idx="30">
                  <c:v>22.439999999999998</c:v>
                </c:pt>
                <c:pt idx="31">
                  <c:v>24.2</c:v>
                </c:pt>
                <c:pt idx="32">
                  <c:v>25.519999999999996</c:v>
                </c:pt>
                <c:pt idx="33">
                  <c:v>21.786666666666665</c:v>
                </c:pt>
                <c:pt idx="34">
                  <c:v>24.319999999999997</c:v>
                </c:pt>
                <c:pt idx="35">
                  <c:v>25.84</c:v>
                </c:pt>
                <c:pt idx="36">
                  <c:v>27.866666666666664</c:v>
                </c:pt>
                <c:pt idx="37">
                  <c:v>29.386666666666667</c:v>
                </c:pt>
                <c:pt idx="38">
                  <c:v>27.519999999999996</c:v>
                </c:pt>
                <c:pt idx="39">
                  <c:v>29.239999999999995</c:v>
                </c:pt>
                <c:pt idx="40">
                  <c:v>31.533333333333331</c:v>
                </c:pt>
                <c:pt idx="41">
                  <c:v>24.939999999999998</c:v>
                </c:pt>
              </c:numCache>
            </c:numRef>
          </c:val>
          <c:extLst>
            <c:ext xmlns:c16="http://schemas.microsoft.com/office/drawing/2014/chart" uri="{C3380CC4-5D6E-409C-BE32-E72D297353CC}">
              <c16:uniqueId val="{00000002-B282-405F-B81D-815EF4217F2D}"/>
            </c:ext>
          </c:extLst>
        </c:ser>
        <c:ser>
          <c:idx val="4"/>
          <c:order val="4"/>
          <c:tx>
            <c:strRef>
              <c:f>'Wohnungsausnutzung Vergleich'!$F$3</c:f>
              <c:strCache>
                <c:ptCount val="1"/>
                <c:pt idx="0">
                  <c:v>4 PHH</c:v>
                </c:pt>
              </c:strCache>
            </c:strRef>
          </c:tx>
          <c:spPr>
            <a:solidFill>
              <a:schemeClr val="accent5"/>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Vergleich'!$F$4:$F$45</c:f>
              <c:numCache>
                <c:formatCode>0\ "qm/pP"</c:formatCode>
                <c:ptCount val="42"/>
                <c:pt idx="0">
                  <c:v>18.007499999999997</c:v>
                </c:pt>
                <c:pt idx="1">
                  <c:v>21.067499999999999</c:v>
                </c:pt>
                <c:pt idx="2">
                  <c:v>23.519999999999996</c:v>
                </c:pt>
                <c:pt idx="3">
                  <c:v>29.947499999999998</c:v>
                </c:pt>
                <c:pt idx="4">
                  <c:v>25.27</c:v>
                </c:pt>
                <c:pt idx="5">
                  <c:v>27.734999999999999</c:v>
                </c:pt>
                <c:pt idx="6">
                  <c:v>19.477499999999996</c:v>
                </c:pt>
                <c:pt idx="7">
                  <c:v>20.579999999999995</c:v>
                </c:pt>
                <c:pt idx="8">
                  <c:v>22.233749999999997</c:v>
                </c:pt>
                <c:pt idx="9">
                  <c:v>23.274999999999999</c:v>
                </c:pt>
                <c:pt idx="10">
                  <c:v>21.069999999999997</c:v>
                </c:pt>
                <c:pt idx="11">
                  <c:v>23.519999999999996</c:v>
                </c:pt>
                <c:pt idx="12">
                  <c:v>24.989999999999995</c:v>
                </c:pt>
                <c:pt idx="13">
                  <c:v>22.259999999999998</c:v>
                </c:pt>
                <c:pt idx="14">
                  <c:v>24.048749999999998</c:v>
                </c:pt>
                <c:pt idx="15">
                  <c:v>25.174999999999997</c:v>
                </c:pt>
                <c:pt idx="16">
                  <c:v>22.79</c:v>
                </c:pt>
                <c:pt idx="17">
                  <c:v>25.439999999999998</c:v>
                </c:pt>
                <c:pt idx="18">
                  <c:v>27.029999999999998</c:v>
                </c:pt>
                <c:pt idx="19">
                  <c:v>29.15</c:v>
                </c:pt>
                <c:pt idx="20">
                  <c:v>25.409999999999997</c:v>
                </c:pt>
                <c:pt idx="21">
                  <c:v>26.599999999999998</c:v>
                </c:pt>
                <c:pt idx="22">
                  <c:v>24.08</c:v>
                </c:pt>
                <c:pt idx="23">
                  <c:v>26.88</c:v>
                </c:pt>
                <c:pt idx="24">
                  <c:v>28.559999999999995</c:v>
                </c:pt>
                <c:pt idx="25">
                  <c:v>30.799999999999997</c:v>
                </c:pt>
                <c:pt idx="26">
                  <c:v>28.419999999999998</c:v>
                </c:pt>
                <c:pt idx="27">
                  <c:v>31.349999999999998</c:v>
                </c:pt>
                <c:pt idx="28">
                  <c:v>24.8325</c:v>
                </c:pt>
                <c:pt idx="29">
                  <c:v>27.719999999999995</c:v>
                </c:pt>
                <c:pt idx="30">
                  <c:v>25.244999999999997</c:v>
                </c:pt>
                <c:pt idx="31">
                  <c:v>27.224999999999998</c:v>
                </c:pt>
                <c:pt idx="32">
                  <c:v>23.924999999999997</c:v>
                </c:pt>
                <c:pt idx="33">
                  <c:v>24.509999999999998</c:v>
                </c:pt>
                <c:pt idx="34">
                  <c:v>22.799999999999997</c:v>
                </c:pt>
                <c:pt idx="35">
                  <c:v>24.224999999999998</c:v>
                </c:pt>
                <c:pt idx="36">
                  <c:v>26.125</c:v>
                </c:pt>
                <c:pt idx="37">
                  <c:v>22.04</c:v>
                </c:pt>
                <c:pt idx="38">
                  <c:v>25.799999999999997</c:v>
                </c:pt>
                <c:pt idx="39">
                  <c:v>27.412499999999994</c:v>
                </c:pt>
                <c:pt idx="40">
                  <c:v>29.5625</c:v>
                </c:pt>
                <c:pt idx="41">
                  <c:v>24.939999999999998</c:v>
                </c:pt>
              </c:numCache>
            </c:numRef>
          </c:val>
          <c:extLst>
            <c:ext xmlns:c16="http://schemas.microsoft.com/office/drawing/2014/chart" uri="{C3380CC4-5D6E-409C-BE32-E72D297353CC}">
              <c16:uniqueId val="{00000003-B282-405F-B81D-815EF4217F2D}"/>
            </c:ext>
          </c:extLst>
        </c:ser>
        <c:ser>
          <c:idx val="5"/>
          <c:order val="5"/>
          <c:tx>
            <c:strRef>
              <c:f>'Wohnungsausnutzung Vergleich'!$G$3</c:f>
              <c:strCache>
                <c:ptCount val="1"/>
                <c:pt idx="0">
                  <c:v>5 PHH</c:v>
                </c:pt>
              </c:strCache>
            </c:strRef>
          </c:tx>
          <c:spPr>
            <a:solidFill>
              <a:schemeClr val="accent6"/>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Vergleich'!$G$4:$G$45</c:f>
              <c:numCache>
                <c:formatCode>0\ "qm/pP"</c:formatCode>
                <c:ptCount val="42"/>
                <c:pt idx="0">
                  <c:v>19.207999999999995</c:v>
                </c:pt>
                <c:pt idx="1">
                  <c:v>22.472000000000001</c:v>
                </c:pt>
                <c:pt idx="2">
                  <c:v>25.087999999999997</c:v>
                </c:pt>
                <c:pt idx="3">
                  <c:v>26.135999999999996</c:v>
                </c:pt>
                <c:pt idx="4">
                  <c:v>20.216000000000001</c:v>
                </c:pt>
                <c:pt idx="5">
                  <c:v>25.885999999999996</c:v>
                </c:pt>
                <c:pt idx="6">
                  <c:v>20.775999999999996</c:v>
                </c:pt>
                <c:pt idx="7">
                  <c:v>21.951999999999995</c:v>
                </c:pt>
                <c:pt idx="8">
                  <c:v>24.254999999999999</c:v>
                </c:pt>
                <c:pt idx="9">
                  <c:v>20.481999999999996</c:v>
                </c:pt>
                <c:pt idx="10">
                  <c:v>21.069999999999997</c:v>
                </c:pt>
                <c:pt idx="11">
                  <c:v>23.519999999999996</c:v>
                </c:pt>
                <c:pt idx="12">
                  <c:v>22.490999999999996</c:v>
                </c:pt>
                <c:pt idx="13">
                  <c:v>22.259999999999998</c:v>
                </c:pt>
                <c:pt idx="14">
                  <c:v>20.988</c:v>
                </c:pt>
                <c:pt idx="15">
                  <c:v>22.153999999999996</c:v>
                </c:pt>
                <c:pt idx="16">
                  <c:v>22.79</c:v>
                </c:pt>
                <c:pt idx="17">
                  <c:v>22.895999999999997</c:v>
                </c:pt>
                <c:pt idx="18">
                  <c:v>24.326999999999998</c:v>
                </c:pt>
                <c:pt idx="19">
                  <c:v>26.234999999999996</c:v>
                </c:pt>
                <c:pt idx="20">
                  <c:v>22.175999999999995</c:v>
                </c:pt>
                <c:pt idx="21">
                  <c:v>23.407999999999998</c:v>
                </c:pt>
                <c:pt idx="22">
                  <c:v>24.08</c:v>
                </c:pt>
                <c:pt idx="23">
                  <c:v>26.880000000000003</c:v>
                </c:pt>
                <c:pt idx="24">
                  <c:v>25.703999999999997</c:v>
                </c:pt>
                <c:pt idx="25">
                  <c:v>27.72</c:v>
                </c:pt>
                <c:pt idx="26">
                  <c:v>29.231999999999999</c:v>
                </c:pt>
                <c:pt idx="27">
                  <c:v>27.588000000000001</c:v>
                </c:pt>
                <c:pt idx="28">
                  <c:v>25.541999999999998</c:v>
                </c:pt>
                <c:pt idx="29">
                  <c:v>22.175999999999995</c:v>
                </c:pt>
                <c:pt idx="30">
                  <c:v>20.195999999999998</c:v>
                </c:pt>
                <c:pt idx="31">
                  <c:v>21.779999999999998</c:v>
                </c:pt>
                <c:pt idx="32">
                  <c:v>22.967999999999996</c:v>
                </c:pt>
                <c:pt idx="33">
                  <c:v>22.875999999999998</c:v>
                </c:pt>
                <c:pt idx="34">
                  <c:v>18.239999999999998</c:v>
                </c:pt>
                <c:pt idx="35">
                  <c:v>19.38</c:v>
                </c:pt>
                <c:pt idx="36">
                  <c:v>20.9</c:v>
                </c:pt>
                <c:pt idx="37">
                  <c:v>22.04</c:v>
                </c:pt>
                <c:pt idx="38">
                  <c:v>20.639999999999997</c:v>
                </c:pt>
                <c:pt idx="39">
                  <c:v>21.929999999999996</c:v>
                </c:pt>
                <c:pt idx="40">
                  <c:v>23.65</c:v>
                </c:pt>
                <c:pt idx="41">
                  <c:v>24.939999999999998</c:v>
                </c:pt>
              </c:numCache>
            </c:numRef>
          </c:val>
          <c:extLst>
            <c:ext xmlns:c16="http://schemas.microsoft.com/office/drawing/2014/chart" uri="{C3380CC4-5D6E-409C-BE32-E72D297353CC}">
              <c16:uniqueId val="{00000004-B282-405F-B81D-815EF4217F2D}"/>
            </c:ext>
          </c:extLst>
        </c:ser>
        <c:ser>
          <c:idx val="6"/>
          <c:order val="6"/>
          <c:tx>
            <c:strRef>
              <c:f>'Wohnungsausnutzung Vergleich'!$H$3</c:f>
              <c:strCache>
                <c:ptCount val="1"/>
                <c:pt idx="0">
                  <c:v>6 PHH</c:v>
                </c:pt>
              </c:strCache>
            </c:strRef>
          </c:tx>
          <c:spPr>
            <a:solidFill>
              <a:schemeClr val="accent1">
                <a:lumMod val="60000"/>
              </a:schemeClr>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Vergleich'!$H$4:$H$45</c:f>
              <c:numCache>
                <c:formatCode>0\ "qm/pP"</c:formatCode>
                <c:ptCount val="42"/>
                <c:pt idx="0">
                  <c:v>0</c:v>
                </c:pt>
                <c:pt idx="1">
                  <c:v>22.472000000000001</c:v>
                </c:pt>
                <c:pt idx="2">
                  <c:v>25.087999999999997</c:v>
                </c:pt>
                <c:pt idx="3">
                  <c:v>30.491999999999997</c:v>
                </c:pt>
                <c:pt idx="4">
                  <c:v>23.103999999999999</c:v>
                </c:pt>
                <c:pt idx="5">
                  <c:v>29.583999999999996</c:v>
                </c:pt>
                <c:pt idx="6">
                  <c:v>20.775999999999996</c:v>
                </c:pt>
                <c:pt idx="7">
                  <c:v>21.951999999999995</c:v>
                </c:pt>
                <c:pt idx="8">
                  <c:v>25.871999999999996</c:v>
                </c:pt>
                <c:pt idx="9">
                  <c:v>26.067999999999994</c:v>
                </c:pt>
                <c:pt idx="10">
                  <c:v>25.283999999999999</c:v>
                </c:pt>
                <c:pt idx="11">
                  <c:v>25.871999999999996</c:v>
                </c:pt>
                <c:pt idx="12">
                  <c:v>27.488999999999994</c:v>
                </c:pt>
                <c:pt idx="13">
                  <c:v>23.743999999999996</c:v>
                </c:pt>
                <c:pt idx="14">
                  <c:v>27.983999999999998</c:v>
                </c:pt>
                <c:pt idx="15">
                  <c:v>28.195999999999998</c:v>
                </c:pt>
                <c:pt idx="16">
                  <c:v>27.348000000000003</c:v>
                </c:pt>
                <c:pt idx="17">
                  <c:v>23.319999999999997</c:v>
                </c:pt>
                <c:pt idx="18">
                  <c:v>29.732999999999997</c:v>
                </c:pt>
                <c:pt idx="19">
                  <c:v>32.064999999999998</c:v>
                </c:pt>
                <c:pt idx="20">
                  <c:v>29.567999999999994</c:v>
                </c:pt>
                <c:pt idx="21">
                  <c:v>29.791999999999994</c:v>
                </c:pt>
                <c:pt idx="22">
                  <c:v>28.895999999999997</c:v>
                </c:pt>
                <c:pt idx="23">
                  <c:v>29.568000000000001</c:v>
                </c:pt>
                <c:pt idx="24">
                  <c:v>31.415999999999997</c:v>
                </c:pt>
                <c:pt idx="25">
                  <c:v>33.879999999999995</c:v>
                </c:pt>
                <c:pt idx="26">
                  <c:v>35.727999999999994</c:v>
                </c:pt>
                <c:pt idx="27">
                  <c:v>30.095999999999997</c:v>
                </c:pt>
                <c:pt idx="28">
                  <c:v>28.380000000000003</c:v>
                </c:pt>
                <c:pt idx="29">
                  <c:v>31.679999999999996</c:v>
                </c:pt>
                <c:pt idx="30">
                  <c:v>23.561999999999998</c:v>
                </c:pt>
                <c:pt idx="31">
                  <c:v>25.409999999999997</c:v>
                </c:pt>
                <c:pt idx="32">
                  <c:v>26.795999999999999</c:v>
                </c:pt>
                <c:pt idx="33">
                  <c:v>26.143999999999998</c:v>
                </c:pt>
                <c:pt idx="34">
                  <c:v>25.535999999999998</c:v>
                </c:pt>
                <c:pt idx="35">
                  <c:v>27.131999999999998</c:v>
                </c:pt>
                <c:pt idx="36">
                  <c:v>25.08</c:v>
                </c:pt>
                <c:pt idx="37">
                  <c:v>26.448</c:v>
                </c:pt>
                <c:pt idx="38">
                  <c:v>24.767999999999994</c:v>
                </c:pt>
                <c:pt idx="39">
                  <c:v>26.315999999999995</c:v>
                </c:pt>
                <c:pt idx="40">
                  <c:v>28.379999999999995</c:v>
                </c:pt>
                <c:pt idx="41">
                  <c:v>29.927999999999997</c:v>
                </c:pt>
              </c:numCache>
            </c:numRef>
          </c:val>
          <c:extLst>
            <c:ext xmlns:c16="http://schemas.microsoft.com/office/drawing/2014/chart" uri="{C3380CC4-5D6E-409C-BE32-E72D297353CC}">
              <c16:uniqueId val="{00000005-B282-405F-B81D-815EF4217F2D}"/>
            </c:ext>
          </c:extLst>
        </c:ser>
        <c:ser>
          <c:idx val="7"/>
          <c:order val="7"/>
          <c:tx>
            <c:strRef>
              <c:f>'Wohnungsausnutzung Vergleich'!$I$3</c:f>
              <c:strCache>
                <c:ptCount val="1"/>
                <c:pt idx="0">
                  <c:v>7 PHH</c:v>
                </c:pt>
              </c:strCache>
            </c:strRef>
          </c:tx>
          <c:spPr>
            <a:solidFill>
              <a:schemeClr val="accent2">
                <a:lumMod val="60000"/>
              </a:schemeClr>
            </a:solidFill>
            <a:ln>
              <a:noFill/>
            </a:ln>
            <a:effectLst/>
          </c:spPr>
          <c:invertIfNegative val="0"/>
          <c:cat>
            <c:strRef>
              <c:f>'Wohnungsausnutzung Vergleich'!$A$4:$A$45</c:f>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f>'Wohnungsausnutzung Vergleich'!$I$4:$I$45</c:f>
              <c:numCache>
                <c:formatCode>0\ "qm/pP"</c:formatCode>
                <c:ptCount val="42"/>
                <c:pt idx="0">
                  <c:v>0</c:v>
                </c:pt>
                <c:pt idx="1">
                  <c:v>26.685500000000001</c:v>
                </c:pt>
                <c:pt idx="2">
                  <c:v>26.655999999999995</c:v>
                </c:pt>
                <c:pt idx="3">
                  <c:v>32.67</c:v>
                </c:pt>
                <c:pt idx="4">
                  <c:v>25.992000000000001</c:v>
                </c:pt>
                <c:pt idx="5">
                  <c:v>36.979999999999997</c:v>
                </c:pt>
                <c:pt idx="6">
                  <c:v>23.372999999999998</c:v>
                </c:pt>
                <c:pt idx="7">
                  <c:v>24.695999999999994</c:v>
                </c:pt>
                <c:pt idx="8">
                  <c:v>29.105999999999995</c:v>
                </c:pt>
                <c:pt idx="9">
                  <c:v>29.791999999999994</c:v>
                </c:pt>
                <c:pt idx="10">
                  <c:v>29.497999999999998</c:v>
                </c:pt>
                <c:pt idx="11">
                  <c:v>28.223999999999997</c:v>
                </c:pt>
                <c:pt idx="12">
                  <c:v>29.987999999999992</c:v>
                </c:pt>
                <c:pt idx="13">
                  <c:v>26.711999999999996</c:v>
                </c:pt>
                <c:pt idx="14">
                  <c:v>29.732999999999997</c:v>
                </c:pt>
                <c:pt idx="15">
                  <c:v>32.223999999999997</c:v>
                </c:pt>
                <c:pt idx="16">
                  <c:v>31.905999999999999</c:v>
                </c:pt>
                <c:pt idx="17">
                  <c:v>30.527999999999999</c:v>
                </c:pt>
                <c:pt idx="18">
                  <c:v>32.435999999999993</c:v>
                </c:pt>
                <c:pt idx="19">
                  <c:v>34.979999999999997</c:v>
                </c:pt>
                <c:pt idx="20">
                  <c:v>31.415999999999997</c:v>
                </c:pt>
                <c:pt idx="21">
                  <c:v>34.047999999999995</c:v>
                </c:pt>
                <c:pt idx="22">
                  <c:v>36.119999999999997</c:v>
                </c:pt>
                <c:pt idx="23">
                  <c:v>32.256</c:v>
                </c:pt>
                <c:pt idx="24">
                  <c:v>34.271999999999991</c:v>
                </c:pt>
                <c:pt idx="25">
                  <c:v>36.959999999999994</c:v>
                </c:pt>
                <c:pt idx="26">
                  <c:v>38.975999999999999</c:v>
                </c:pt>
                <c:pt idx="27">
                  <c:v>32.603999999999999</c:v>
                </c:pt>
                <c:pt idx="28">
                  <c:v>34.055999999999997</c:v>
                </c:pt>
                <c:pt idx="29">
                  <c:v>34.847999999999999</c:v>
                </c:pt>
                <c:pt idx="30">
                  <c:v>30.293999999999993</c:v>
                </c:pt>
                <c:pt idx="31">
                  <c:v>29.04</c:v>
                </c:pt>
                <c:pt idx="32">
                  <c:v>30.623999999999995</c:v>
                </c:pt>
                <c:pt idx="33">
                  <c:v>32.68</c:v>
                </c:pt>
                <c:pt idx="34">
                  <c:v>29.183999999999997</c:v>
                </c:pt>
                <c:pt idx="35">
                  <c:v>27.131999999999998</c:v>
                </c:pt>
                <c:pt idx="36">
                  <c:v>29.259999999999998</c:v>
                </c:pt>
                <c:pt idx="37">
                  <c:v>30.856000000000002</c:v>
                </c:pt>
                <c:pt idx="38">
                  <c:v>33.023999999999994</c:v>
                </c:pt>
                <c:pt idx="39">
                  <c:v>30.701999999999991</c:v>
                </c:pt>
                <c:pt idx="40">
                  <c:v>33.11</c:v>
                </c:pt>
                <c:pt idx="41">
                  <c:v>29.927999999999997</c:v>
                </c:pt>
              </c:numCache>
            </c:numRef>
          </c:val>
          <c:extLst>
            <c:ext xmlns:c16="http://schemas.microsoft.com/office/drawing/2014/chart" uri="{C3380CC4-5D6E-409C-BE32-E72D297353CC}">
              <c16:uniqueId val="{00000006-B282-405F-B81D-815EF4217F2D}"/>
            </c:ext>
          </c:extLst>
        </c:ser>
        <c:dLbls>
          <c:showLegendKey val="0"/>
          <c:showVal val="0"/>
          <c:showCatName val="0"/>
          <c:showSerName val="0"/>
          <c:showPercent val="0"/>
          <c:showBubbleSize val="0"/>
        </c:dLbls>
        <c:gapWidth val="219"/>
        <c:overlap val="-27"/>
        <c:axId val="102761216"/>
        <c:axId val="102762752"/>
        <c:extLst>
          <c:ext xmlns:c15="http://schemas.microsoft.com/office/drawing/2012/chart" uri="{02D57815-91ED-43cb-92C2-25804820EDAC}">
            <c15:filteredBarSeries>
              <c15:ser>
                <c:idx val="0"/>
                <c:order val="0"/>
                <c:tx>
                  <c:strRef>
                    <c:extLst>
                      <c:ext uri="{02D57815-91ED-43cb-92C2-25804820EDAC}">
                        <c15:formulaRef>
                          <c15:sqref>'Wohnungsausnutzung Vergleich'!$B$3</c15:sqref>
                        </c15:formulaRef>
                      </c:ext>
                    </c:extLst>
                    <c:strCache>
                      <c:ptCount val="1"/>
                    </c:strCache>
                  </c:strRef>
                </c:tx>
                <c:spPr>
                  <a:solidFill>
                    <a:schemeClr val="accent1"/>
                  </a:solidFill>
                  <a:ln>
                    <a:noFill/>
                  </a:ln>
                  <a:effectLst/>
                </c:spPr>
                <c:invertIfNegative val="0"/>
                <c:cat>
                  <c:strRef>
                    <c:extLst>
                      <c:ext uri="{02D57815-91ED-43cb-92C2-25804820EDAC}">
                        <c15:formulaRef>
                          <c15:sqref>'Wohnungsausnutzung Vergleich'!$A$4:$A$45</c15:sqref>
                        </c15:formulaRef>
                      </c:ext>
                    </c:extLst>
                    <c:strCache>
                      <c:ptCount val="42"/>
                      <c:pt idx="0">
                        <c:v>2,65 m x 2,65 m</c:v>
                      </c:pt>
                      <c:pt idx="1">
                        <c:v>2,85 m x 2,85 m</c:v>
                      </c:pt>
                      <c:pt idx="2">
                        <c:v>3,00 m x 3,00 m</c:v>
                      </c:pt>
                      <c:pt idx="3">
                        <c:v>3,50 m x 3,50 m</c:v>
                      </c:pt>
                      <c:pt idx="4">
                        <c:v>4,00 m x 4,00 m</c:v>
                      </c:pt>
                      <c:pt idx="5">
                        <c:v>4,50 m x 4,50 m</c:v>
                      </c:pt>
                      <c:pt idx="6">
                        <c:v>2,65 m x 2,85 m</c:v>
                      </c:pt>
                      <c:pt idx="7">
                        <c:v>2,65 m x 3,00 m</c:v>
                      </c:pt>
                      <c:pt idx="8">
                        <c:v>2,65 m x 3,50 m</c:v>
                      </c:pt>
                      <c:pt idx="9">
                        <c:v>2,65 m x 4,00 m</c:v>
                      </c:pt>
                      <c:pt idx="10">
                        <c:v>2,65 m x 4,50 m</c:v>
                      </c:pt>
                      <c:pt idx="11">
                        <c:v>2,65 m x 5,00 m</c:v>
                      </c:pt>
                      <c:pt idx="12">
                        <c:v>2,65 m x 5,30 m</c:v>
                      </c:pt>
                      <c:pt idx="13">
                        <c:v>2,85 m x 3,00 m</c:v>
                      </c:pt>
                      <c:pt idx="14">
                        <c:v>2,85 m x 3,50 m</c:v>
                      </c:pt>
                      <c:pt idx="15">
                        <c:v>2,85 m x 4,00 m</c:v>
                      </c:pt>
                      <c:pt idx="16">
                        <c:v>2,85 m x 4,50 m</c:v>
                      </c:pt>
                      <c:pt idx="17">
                        <c:v>2,85 m x 5,00 m</c:v>
                      </c:pt>
                      <c:pt idx="18">
                        <c:v>2,85 m x 5,30 m</c:v>
                      </c:pt>
                      <c:pt idx="19">
                        <c:v>2,85 m x 5,70 m</c:v>
                      </c:pt>
                      <c:pt idx="20">
                        <c:v>3,00 m x 3,50 m</c:v>
                      </c:pt>
                      <c:pt idx="21">
                        <c:v>3,00 m x 4,00 m</c:v>
                      </c:pt>
                      <c:pt idx="22">
                        <c:v>3,00 m x 4,50 m</c:v>
                      </c:pt>
                      <c:pt idx="23">
                        <c:v>3,00 m x 5,00 m</c:v>
                      </c:pt>
                      <c:pt idx="24">
                        <c:v>3,00 m x 5,30 m</c:v>
                      </c:pt>
                      <c:pt idx="25">
                        <c:v>3,00 m x 5,70 m</c:v>
                      </c:pt>
                      <c:pt idx="26">
                        <c:v>3,00 m x 6,00 m</c:v>
                      </c:pt>
                      <c:pt idx="27">
                        <c:v>3,50 m x 4,00 m</c:v>
                      </c:pt>
                      <c:pt idx="28">
                        <c:v>3,50 m x 4,50 m</c:v>
                      </c:pt>
                      <c:pt idx="29">
                        <c:v>3,50 m x 5,00 m</c:v>
                      </c:pt>
                      <c:pt idx="30">
                        <c:v>3,50 m x 5,30 m</c:v>
                      </c:pt>
                      <c:pt idx="31">
                        <c:v>3,50 m x 5,70 m</c:v>
                      </c:pt>
                      <c:pt idx="32">
                        <c:v>3,50 m x 6,00 m</c:v>
                      </c:pt>
                      <c:pt idx="33">
                        <c:v>4,00 m x 4,50 m</c:v>
                      </c:pt>
                      <c:pt idx="34">
                        <c:v>4,00 m x 5,00 m</c:v>
                      </c:pt>
                      <c:pt idx="35">
                        <c:v>4,00 m x 5,30 m</c:v>
                      </c:pt>
                      <c:pt idx="36">
                        <c:v>4,00 m x 5,70 m</c:v>
                      </c:pt>
                      <c:pt idx="37">
                        <c:v>4,00 m x 6,00 m</c:v>
                      </c:pt>
                      <c:pt idx="38">
                        <c:v>4,50 m x 5,00 m</c:v>
                      </c:pt>
                      <c:pt idx="39">
                        <c:v>4,50 m x 5,30 m</c:v>
                      </c:pt>
                      <c:pt idx="40">
                        <c:v>4,50 m x 5,70 m</c:v>
                      </c:pt>
                      <c:pt idx="41">
                        <c:v>4,50 m x 6,00 m</c:v>
                      </c:pt>
                    </c:strCache>
                  </c:strRef>
                </c:cat>
                <c:val>
                  <c:numRef>
                    <c:extLst>
                      <c:ext uri="{02D57815-91ED-43cb-92C2-25804820EDAC}">
                        <c15:formulaRef>
                          <c15:sqref>'Wohnungsausnutzung Vergleich'!$B$4:$B$45</c15:sqref>
                        </c15:formulaRef>
                      </c:ext>
                    </c:extLst>
                    <c:numCache>
                      <c:formatCode>General</c:formatCode>
                      <c:ptCount val="42"/>
                    </c:numCache>
                  </c:numRef>
                </c:val>
                <c:extLst>
                  <c:ext xmlns:c16="http://schemas.microsoft.com/office/drawing/2014/chart" uri="{C3380CC4-5D6E-409C-BE32-E72D297353CC}">
                    <c16:uniqueId val="{00000007-B282-405F-B81D-815EF4217F2D}"/>
                  </c:ext>
                </c:extLst>
              </c15:ser>
            </c15:filteredBarSeries>
          </c:ext>
        </c:extLst>
      </c:barChart>
      <c:catAx>
        <c:axId val="102761216"/>
        <c:scaling>
          <c:orientation val="minMax"/>
        </c:scaling>
        <c:delete val="0"/>
        <c:axPos val="b"/>
        <c:numFmt formatCode="General" sourceLinked="1"/>
        <c:majorTickMark val="cross"/>
        <c:minorTickMark val="cross"/>
        <c:tickLblPos val="nextTo"/>
        <c:spPr>
          <a:noFill/>
          <a:ln w="9525" cap="flat" cmpd="sng" algn="ctr">
            <a:solidFill>
              <a:schemeClr val="dk1">
                <a:shade val="95000"/>
                <a:satMod val="105000"/>
              </a:schemeClr>
            </a:solidFill>
            <a:prstDash val="solid"/>
            <a:round/>
          </a:ln>
          <a:effectLst/>
        </c:spPr>
        <c:txPr>
          <a:bodyPr rot="-5400000" spcFirstLastPara="1" vertOverflow="ellipsis" wrap="square" anchor="ctr" anchorCtr="1"/>
          <a:lstStyle/>
          <a:p>
            <a:pPr>
              <a:defRPr sz="900" b="0" i="0" u="none" strike="noStrike" kern="1200" baseline="0">
                <a:solidFill>
                  <a:schemeClr val="tx1"/>
                </a:solidFill>
                <a:latin typeface="+mn-lt"/>
                <a:ea typeface="+mn-ea"/>
                <a:cs typeface="+mn-cs"/>
              </a:defRPr>
            </a:pPr>
            <a:endParaRPr lang="en-DE"/>
          </a:p>
        </c:txPr>
        <c:crossAx val="102762752"/>
        <c:crosses val="autoZero"/>
        <c:auto val="1"/>
        <c:lblAlgn val="ctr"/>
        <c:lblOffset val="100"/>
        <c:tickMarkSkip val="2"/>
        <c:noMultiLvlLbl val="0"/>
      </c:catAx>
      <c:valAx>
        <c:axId val="102762752"/>
        <c:scaling>
          <c:orientation val="minMax"/>
        </c:scaling>
        <c:delete val="0"/>
        <c:axPos val="l"/>
        <c:majorGridlines>
          <c:spPr>
            <a:ln w="9525" cap="flat" cmpd="sng" algn="ctr">
              <a:solidFill>
                <a:schemeClr val="tx1">
                  <a:lumMod val="15000"/>
                  <a:lumOff val="85000"/>
                </a:schemeClr>
              </a:solidFill>
              <a:round/>
            </a:ln>
            <a:effectLst/>
          </c:spPr>
        </c:majorGridlines>
        <c:numFmt formatCode="0\ &quot;qm/pP&quot;"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DE"/>
          </a:p>
        </c:txPr>
        <c:crossAx val="102761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DE"/>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DE"/>
    </a:p>
  </c:txPr>
  <c:printSettings>
    <c:headerFooter/>
    <c:pageMargins b="0.78740157499999996" l="0.7" r="0.7" t="0.78740157499999996"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7" Type="http://schemas.openxmlformats.org/officeDocument/2006/relationships/image" Target="../media/image7.png"/><Relationship Id="rId2" Type="http://schemas.openxmlformats.org/officeDocument/2006/relationships/image" Target="../media/image2.emf"/><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3.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jpeg"/></Relationships>
</file>

<file path=xl/drawings/_rels/drawing5.xml.rels><?xml version="1.0" encoding="UTF-8" standalone="yes"?>
<Relationships xmlns="http://schemas.openxmlformats.org/package/2006/relationships"><Relationship Id="rId3" Type="http://schemas.openxmlformats.org/officeDocument/2006/relationships/image" Target="../media/image23.jpg"/><Relationship Id="rId2" Type="http://schemas.openxmlformats.org/officeDocument/2006/relationships/image" Target="../media/image22.jpg"/><Relationship Id="rId1" Type="http://schemas.openxmlformats.org/officeDocument/2006/relationships/image" Target="../media/image21.jpg"/><Relationship Id="rId6" Type="http://schemas.openxmlformats.org/officeDocument/2006/relationships/image" Target="../media/image26.jpg"/><Relationship Id="rId5" Type="http://schemas.openxmlformats.org/officeDocument/2006/relationships/image" Target="../media/image25.jpg"/><Relationship Id="rId4" Type="http://schemas.openxmlformats.org/officeDocument/2006/relationships/image" Target="../media/image2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4.png"/><Relationship Id="rId3" Type="http://schemas.openxmlformats.org/officeDocument/2006/relationships/image" Target="../media/image29.jpg"/><Relationship Id="rId7" Type="http://schemas.openxmlformats.org/officeDocument/2006/relationships/image" Target="../media/image33.jpg"/><Relationship Id="rId12" Type="http://schemas.openxmlformats.org/officeDocument/2006/relationships/image" Target="../media/image38.jpg"/><Relationship Id="rId2" Type="http://schemas.openxmlformats.org/officeDocument/2006/relationships/image" Target="../media/image28.jpg"/><Relationship Id="rId1" Type="http://schemas.openxmlformats.org/officeDocument/2006/relationships/image" Target="../media/image27.jpg"/><Relationship Id="rId6" Type="http://schemas.openxmlformats.org/officeDocument/2006/relationships/image" Target="../media/image32.jpg"/><Relationship Id="rId11" Type="http://schemas.openxmlformats.org/officeDocument/2006/relationships/image" Target="../media/image37.jpg"/><Relationship Id="rId5" Type="http://schemas.openxmlformats.org/officeDocument/2006/relationships/image" Target="../media/image31.jpeg"/><Relationship Id="rId10" Type="http://schemas.openxmlformats.org/officeDocument/2006/relationships/image" Target="../media/image36.jpg"/><Relationship Id="rId4" Type="http://schemas.openxmlformats.org/officeDocument/2006/relationships/image" Target="../media/image30.jpeg"/><Relationship Id="rId9" Type="http://schemas.openxmlformats.org/officeDocument/2006/relationships/image" Target="../media/image35.jpg"/></Relationships>
</file>

<file path=xl/drawings/_rels/drawing7.xml.rels><?xml version="1.0" encoding="UTF-8" standalone="yes"?>
<Relationships xmlns="http://schemas.openxmlformats.org/package/2006/relationships"><Relationship Id="rId1" Type="http://schemas.openxmlformats.org/officeDocument/2006/relationships/chart" Target="../charts/chart1.xml"/></Relationships>
</file>

<file path=xl/drawings/_rels/drawing8.xml.rels><?xml version="1.0" encoding="UTF-8" standalone="yes"?>
<Relationships xmlns="http://schemas.openxmlformats.org/package/2006/relationships"><Relationship Id="rId8" Type="http://schemas.openxmlformats.org/officeDocument/2006/relationships/image" Target="../media/image47.png"/><Relationship Id="rId3" Type="http://schemas.openxmlformats.org/officeDocument/2006/relationships/image" Target="../media/image42.png"/><Relationship Id="rId7" Type="http://schemas.openxmlformats.org/officeDocument/2006/relationships/image" Target="../media/image46.pn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5.png"/><Relationship Id="rId5" Type="http://schemas.openxmlformats.org/officeDocument/2006/relationships/image" Target="../media/image44.png"/><Relationship Id="rId10" Type="http://schemas.openxmlformats.org/officeDocument/2006/relationships/image" Target="../media/image49.emf"/><Relationship Id="rId4" Type="http://schemas.openxmlformats.org/officeDocument/2006/relationships/image" Target="../media/image43.png"/><Relationship Id="rId9" Type="http://schemas.openxmlformats.org/officeDocument/2006/relationships/image" Target="../media/image48.png"/></Relationships>
</file>

<file path=xl/drawings/_rels/drawing9.xml.rels><?xml version="1.0" encoding="UTF-8" standalone="yes"?>
<Relationships xmlns="http://schemas.openxmlformats.org/package/2006/relationships"><Relationship Id="rId8" Type="http://schemas.openxmlformats.org/officeDocument/2006/relationships/image" Target="../media/image57.jpeg"/><Relationship Id="rId13" Type="http://schemas.openxmlformats.org/officeDocument/2006/relationships/image" Target="../media/image62.jpeg"/><Relationship Id="rId18" Type="http://schemas.openxmlformats.org/officeDocument/2006/relationships/image" Target="../media/image67.jpeg"/><Relationship Id="rId3" Type="http://schemas.openxmlformats.org/officeDocument/2006/relationships/image" Target="../media/image52.jpeg"/><Relationship Id="rId7" Type="http://schemas.openxmlformats.org/officeDocument/2006/relationships/image" Target="../media/image56.jpeg"/><Relationship Id="rId12" Type="http://schemas.openxmlformats.org/officeDocument/2006/relationships/image" Target="../media/image61.jpeg"/><Relationship Id="rId17" Type="http://schemas.openxmlformats.org/officeDocument/2006/relationships/image" Target="../media/image66.jpeg"/><Relationship Id="rId2" Type="http://schemas.openxmlformats.org/officeDocument/2006/relationships/image" Target="../media/image51.jpeg"/><Relationship Id="rId16" Type="http://schemas.openxmlformats.org/officeDocument/2006/relationships/image" Target="../media/image65.jpeg"/><Relationship Id="rId1" Type="http://schemas.openxmlformats.org/officeDocument/2006/relationships/image" Target="../media/image50.jpeg"/><Relationship Id="rId6" Type="http://schemas.openxmlformats.org/officeDocument/2006/relationships/image" Target="../media/image55.jpeg"/><Relationship Id="rId11" Type="http://schemas.openxmlformats.org/officeDocument/2006/relationships/image" Target="../media/image60.jpeg"/><Relationship Id="rId5" Type="http://schemas.openxmlformats.org/officeDocument/2006/relationships/image" Target="../media/image54.jpeg"/><Relationship Id="rId15" Type="http://schemas.openxmlformats.org/officeDocument/2006/relationships/image" Target="../media/image64.jpeg"/><Relationship Id="rId10" Type="http://schemas.openxmlformats.org/officeDocument/2006/relationships/image" Target="../media/image59.jpeg"/><Relationship Id="rId4" Type="http://schemas.openxmlformats.org/officeDocument/2006/relationships/image" Target="../media/image53.jpeg"/><Relationship Id="rId9" Type="http://schemas.openxmlformats.org/officeDocument/2006/relationships/image" Target="../media/image58.jpeg"/><Relationship Id="rId14" Type="http://schemas.openxmlformats.org/officeDocument/2006/relationships/image" Target="../media/image63.jpeg"/></Relationships>
</file>

<file path=xl/drawings/_rels/vmlDrawing1.v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emf"/><Relationship Id="rId4" Type="http://schemas.openxmlformats.org/officeDocument/2006/relationships/image" Target="../media/image11.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9.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39.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39.jpeg"/></Relationships>
</file>

<file path=xl/drawings/_rels/vmlDrawing6.vml.rels><?xml version="1.0" encoding="UTF-8" standalone="yes"?>
<Relationships xmlns="http://schemas.openxmlformats.org/package/2006/relationships"><Relationship Id="rId1" Type="http://schemas.openxmlformats.org/officeDocument/2006/relationships/image" Target="../media/image39.jpeg"/></Relationships>
</file>

<file path=xl/drawings/drawing1.xml><?xml version="1.0" encoding="utf-8"?>
<xdr:wsDr xmlns:xdr="http://schemas.openxmlformats.org/drawingml/2006/spreadsheetDrawing" xmlns:a="http://schemas.openxmlformats.org/drawingml/2006/main">
  <xdr:twoCellAnchor editAs="oneCell">
    <xdr:from>
      <xdr:col>0</xdr:col>
      <xdr:colOff>12700</xdr:colOff>
      <xdr:row>0</xdr:row>
      <xdr:rowOff>25400</xdr:rowOff>
    </xdr:from>
    <xdr:to>
      <xdr:col>0</xdr:col>
      <xdr:colOff>1676400</xdr:colOff>
      <xdr:row>0</xdr:row>
      <xdr:rowOff>404114</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700" y="25400"/>
          <a:ext cx="1663700" cy="378714"/>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8</xdr:col>
          <xdr:colOff>729072</xdr:colOff>
          <xdr:row>25</xdr:row>
          <xdr:rowOff>113673</xdr:rowOff>
        </xdr:from>
        <xdr:to>
          <xdr:col>11</xdr:col>
          <xdr:colOff>439012</xdr:colOff>
          <xdr:row>40</xdr:row>
          <xdr:rowOff>27440</xdr:rowOff>
        </xdr:to>
        <xdr:pic>
          <xdr:nvPicPr>
            <xdr:cNvPr id="10" name="Grafik 9">
              <a:extLst>
                <a:ext uri="{FF2B5EF4-FFF2-40B4-BE49-F238E27FC236}">
                  <a16:creationId xmlns:a16="http://schemas.microsoft.com/office/drawing/2014/main" id="{00000000-0008-0000-0200-00000A000000}"/>
                </a:ext>
              </a:extLst>
            </xdr:cNvPr>
            <xdr:cNvPicPr>
              <a:picLocks noChangeAspect="1" noChangeArrowheads="1"/>
              <a:extLst>
                <a:ext uri="{84589F7E-364E-4C9E-8A38-B11213B215E9}">
                  <a14:cameraTool cellRange="Treppenkern" spid="_x0000_s1915"/>
                </a:ext>
              </a:extLst>
            </xdr:cNvPicPr>
          </xdr:nvPicPr>
          <xdr:blipFill rotWithShape="1">
            <a:blip xmlns:r="http://schemas.openxmlformats.org/officeDocument/2006/relationships" r:embed="rId2"/>
            <a:srcRect l="1" t="467" r="41038" b="4378"/>
            <a:stretch>
              <a:fillRect/>
            </a:stretch>
          </xdr:blipFill>
          <xdr:spPr bwMode="auto">
            <a:xfrm>
              <a:off x="8984072" y="5323025"/>
              <a:ext cx="2238181" cy="3206359"/>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editAs="oneCell">
    <xdr:from>
      <xdr:col>5</xdr:col>
      <xdr:colOff>684254</xdr:colOff>
      <xdr:row>136</xdr:row>
      <xdr:rowOff>176389</xdr:rowOff>
    </xdr:from>
    <xdr:to>
      <xdr:col>7</xdr:col>
      <xdr:colOff>425551</xdr:colOff>
      <xdr:row>144</xdr:row>
      <xdr:rowOff>205294</xdr:rowOff>
    </xdr:to>
    <xdr:pic>
      <xdr:nvPicPr>
        <xdr:cNvPr id="3" name="Grafik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81661" y="27210926"/>
          <a:ext cx="1505186" cy="1816314"/>
        </a:xfrm>
        <a:prstGeom prst="rect">
          <a:avLst/>
        </a:prstGeom>
      </xdr:spPr>
    </xdr:pic>
    <xdr:clientData/>
  </xdr:twoCellAnchor>
  <xdr:twoCellAnchor editAs="oneCell">
    <xdr:from>
      <xdr:col>8</xdr:col>
      <xdr:colOff>646747</xdr:colOff>
      <xdr:row>136</xdr:row>
      <xdr:rowOff>176389</xdr:rowOff>
    </xdr:from>
    <xdr:to>
      <xdr:col>10</xdr:col>
      <xdr:colOff>458600</xdr:colOff>
      <xdr:row>143</xdr:row>
      <xdr:rowOff>101097</xdr:rowOff>
    </xdr:to>
    <xdr:pic>
      <xdr:nvPicPr>
        <xdr:cNvPr id="5" name="Grafik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889988" y="27210926"/>
          <a:ext cx="1505186" cy="148869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23519</xdr:colOff>
          <xdr:row>136</xdr:row>
          <xdr:rowOff>141111</xdr:rowOff>
        </xdr:from>
        <xdr:to>
          <xdr:col>5</xdr:col>
          <xdr:colOff>363715</xdr:colOff>
          <xdr:row>142</xdr:row>
          <xdr:rowOff>164629</xdr:rowOff>
        </xdr:to>
        <xdr:pic>
          <xdr:nvPicPr>
            <xdr:cNvPr id="15" name="Grafik 14">
              <a:extLst>
                <a:ext uri="{FF2B5EF4-FFF2-40B4-BE49-F238E27FC236}">
                  <a16:creationId xmlns:a16="http://schemas.microsoft.com/office/drawing/2014/main" id="{00000000-0008-0000-0200-00000F000000}"/>
                </a:ext>
              </a:extLst>
            </xdr:cNvPr>
            <xdr:cNvPicPr>
              <a:picLocks noChangeAspect="1" noChangeArrowheads="1"/>
              <a:extLst>
                <a:ext uri="{84589F7E-364E-4C9E-8A38-B11213B215E9}">
                  <a14:cameraTool cellRange="BSPaufbau" spid="_x0000_s1916"/>
                </a:ext>
              </a:extLst>
            </xdr:cNvPicPr>
          </xdr:nvPicPr>
          <xdr:blipFill>
            <a:blip xmlns:r="http://schemas.openxmlformats.org/officeDocument/2006/relationships" r:embed="rId5"/>
            <a:srcRect/>
            <a:stretch>
              <a:fillRect/>
            </a:stretch>
          </xdr:blipFill>
          <xdr:spPr bwMode="auto">
            <a:xfrm>
              <a:off x="2916297" y="27693055"/>
              <a:ext cx="3044825" cy="1364074"/>
            </a:xfrm>
            <a:prstGeom prst="rect">
              <a:avLst/>
            </a:prstGeom>
            <a:noFill/>
            <a:extLst>
              <a:ext uri="{909E8E84-426E-40DD-AFC4-6F175D3DCCD1}">
                <a14:hiddenFill>
                  <a:solidFill>
                    <a:srgbClr val="FFFFFF"/>
                  </a:solidFill>
                </a14:hiddenFill>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341018</xdr:colOff>
          <xdr:row>156</xdr:row>
          <xdr:rowOff>188147</xdr:rowOff>
        </xdr:from>
        <xdr:to>
          <xdr:col>11</xdr:col>
          <xdr:colOff>813912</xdr:colOff>
          <xdr:row>167</xdr:row>
          <xdr:rowOff>82313</xdr:rowOff>
        </xdr:to>
        <xdr:pic>
          <xdr:nvPicPr>
            <xdr:cNvPr id="7" name="Grafik 6">
              <a:extLst>
                <a:ext uri="{FF2B5EF4-FFF2-40B4-BE49-F238E27FC236}">
                  <a16:creationId xmlns:a16="http://schemas.microsoft.com/office/drawing/2014/main" id="{00000000-0008-0000-0200-000007000000}"/>
                </a:ext>
              </a:extLst>
            </xdr:cNvPr>
            <xdr:cNvPicPr>
              <a:picLocks noChangeAspect="1" noChangeArrowheads="1"/>
              <a:extLst>
                <a:ext uri="{84589F7E-364E-4C9E-8A38-B11213B215E9}">
                  <a14:cameraTool cellRange="BSPWaufbau" spid="_x0000_s1917"/>
                </a:ext>
              </a:extLst>
            </xdr:cNvPicPr>
          </xdr:nvPicPr>
          <xdr:blipFill>
            <a:blip xmlns:r="http://schemas.openxmlformats.org/officeDocument/2006/relationships" r:embed="rId6"/>
            <a:srcRect/>
            <a:stretch>
              <a:fillRect/>
            </a:stretch>
          </xdr:blipFill>
          <xdr:spPr bwMode="auto">
            <a:xfrm>
              <a:off x="8596018" y="31597128"/>
              <a:ext cx="3001135" cy="2398889"/>
            </a:xfrm>
            <a:prstGeom prst="rect">
              <a:avLst/>
            </a:prstGeom>
            <a:noFill/>
            <a:extLst>
              <a:ext uri="{909E8E84-426E-40DD-AFC4-6F175D3DCCD1}">
                <a14:hiddenFill>
                  <a:solidFill>
                    <a:srgbClr val="FFFFFF"/>
                  </a:solidFill>
                </a14:hiddenFill>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11758</xdr:colOff>
          <xdr:row>139</xdr:row>
          <xdr:rowOff>35277</xdr:rowOff>
        </xdr:from>
        <xdr:to>
          <xdr:col>5</xdr:col>
          <xdr:colOff>305740</xdr:colOff>
          <xdr:row>147</xdr:row>
          <xdr:rowOff>196002</xdr:rowOff>
        </xdr:to>
        <xdr:pic>
          <xdr:nvPicPr>
            <xdr:cNvPr id="12" name="Grafik 11">
              <a:extLst>
                <a:ext uri="{FF2B5EF4-FFF2-40B4-BE49-F238E27FC236}">
                  <a16:creationId xmlns:a16="http://schemas.microsoft.com/office/drawing/2014/main" id="{00000000-0008-0000-0200-00000C000000}"/>
                </a:ext>
              </a:extLst>
            </xdr:cNvPr>
            <xdr:cNvPicPr>
              <a:picLocks noChangeAspect="1" noChangeArrowheads="1"/>
              <a:extLst>
                <a:ext uri="{84589F7E-364E-4C9E-8A38-B11213B215E9}">
                  <a14:cameraTool cellRange="Lagenaufbau_Decke" spid="_x0000_s1918"/>
                </a:ext>
              </a:extLst>
            </xdr:cNvPicPr>
          </xdr:nvPicPr>
          <xdr:blipFill>
            <a:blip xmlns:r="http://schemas.openxmlformats.org/officeDocument/2006/relationships" r:embed="rId7"/>
            <a:srcRect/>
            <a:stretch>
              <a:fillRect/>
            </a:stretch>
          </xdr:blipFill>
          <xdr:spPr bwMode="auto">
            <a:xfrm>
              <a:off x="2904536" y="28257499"/>
              <a:ext cx="2998611" cy="1948133"/>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590550</xdr:colOff>
          <xdr:row>27</xdr:row>
          <xdr:rowOff>85726</xdr:rowOff>
        </xdr:from>
        <xdr:to>
          <xdr:col>9</xdr:col>
          <xdr:colOff>400050</xdr:colOff>
          <xdr:row>32</xdr:row>
          <xdr:rowOff>163551</xdr:rowOff>
        </xdr:to>
        <xdr:pic>
          <xdr:nvPicPr>
            <xdr:cNvPr id="2" name="Grafik 1">
              <a:extLst>
                <a:ext uri="{FF2B5EF4-FFF2-40B4-BE49-F238E27FC236}">
                  <a16:creationId xmlns:a16="http://schemas.microsoft.com/office/drawing/2014/main" id="{00000000-0008-0000-0300-000002000000}"/>
                </a:ext>
              </a:extLst>
            </xdr:cNvPr>
            <xdr:cNvPicPr>
              <a:picLocks noChangeAspect="1" noChangeArrowheads="1"/>
              <a:extLst>
                <a:ext uri="{84589F7E-364E-4C9E-8A38-B11213B215E9}">
                  <a14:cameraTool cellRange="Lage_EKERN" spid="_x0000_s13420"/>
                </a:ext>
              </a:extLst>
            </xdr:cNvPicPr>
          </xdr:nvPicPr>
          <xdr:blipFill>
            <a:blip xmlns:r="http://schemas.openxmlformats.org/officeDocument/2006/relationships" r:embed="rId1"/>
            <a:srcRect/>
            <a:stretch>
              <a:fillRect/>
            </a:stretch>
          </xdr:blipFill>
          <xdr:spPr bwMode="auto">
            <a:xfrm>
              <a:off x="6877050" y="6076951"/>
              <a:ext cx="2352675" cy="1420850"/>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xdr:col>
      <xdr:colOff>0</xdr:colOff>
      <xdr:row>48</xdr:row>
      <xdr:rowOff>197235</xdr:rowOff>
    </xdr:from>
    <xdr:to>
      <xdr:col>1</xdr:col>
      <xdr:colOff>1202436</xdr:colOff>
      <xdr:row>49</xdr:row>
      <xdr:rowOff>1404697</xdr:rowOff>
    </xdr:to>
    <xdr:pic>
      <xdr:nvPicPr>
        <xdr:cNvPr id="14" name="Grafik 13">
          <a:extLst>
            <a:ext uri="{FF2B5EF4-FFF2-40B4-BE49-F238E27FC236}">
              <a16:creationId xmlns:a16="http://schemas.microsoft.com/office/drawing/2014/main" id="{00000000-0008-0000-0700-00000E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1233"/>
        <a:stretch/>
      </xdr:blipFill>
      <xdr:spPr>
        <a:xfrm>
          <a:off x="1226705" y="10058977"/>
          <a:ext cx="1202436" cy="1404697"/>
        </a:xfrm>
        <a:prstGeom prst="rect">
          <a:avLst/>
        </a:prstGeom>
      </xdr:spPr>
    </xdr:pic>
    <xdr:clientData/>
  </xdr:twoCellAnchor>
  <xdr:twoCellAnchor editAs="oneCell">
    <xdr:from>
      <xdr:col>1</xdr:col>
      <xdr:colOff>1</xdr:colOff>
      <xdr:row>50</xdr:row>
      <xdr:rowOff>0</xdr:rowOff>
    </xdr:from>
    <xdr:to>
      <xdr:col>1</xdr:col>
      <xdr:colOff>947548</xdr:colOff>
      <xdr:row>50</xdr:row>
      <xdr:rowOff>1611630</xdr:rowOff>
    </xdr:to>
    <xdr:pic>
      <xdr:nvPicPr>
        <xdr:cNvPr id="16" name="Grafik 15">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714" y="11450266"/>
          <a:ext cx="947547" cy="1611630"/>
        </a:xfrm>
        <a:prstGeom prst="rect">
          <a:avLst/>
        </a:prstGeom>
      </xdr:spPr>
    </xdr:pic>
    <xdr:clientData/>
  </xdr:twoCellAnchor>
  <xdr:twoCellAnchor editAs="oneCell">
    <xdr:from>
      <xdr:col>1</xdr:col>
      <xdr:colOff>0</xdr:colOff>
      <xdr:row>51</xdr:row>
      <xdr:rowOff>0</xdr:rowOff>
    </xdr:from>
    <xdr:to>
      <xdr:col>1</xdr:col>
      <xdr:colOff>1035558</xdr:colOff>
      <xdr:row>51</xdr:row>
      <xdr:rowOff>1842516</xdr:rowOff>
    </xdr:to>
    <xdr:pic>
      <xdr:nvPicPr>
        <xdr:cNvPr id="18" name="Grafik 17">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2713" y="13091809"/>
          <a:ext cx="1035558" cy="1842516"/>
        </a:xfrm>
        <a:prstGeom prst="rect">
          <a:avLst/>
        </a:prstGeom>
      </xdr:spPr>
    </xdr:pic>
    <xdr:clientData/>
  </xdr:twoCellAnchor>
  <xdr:twoCellAnchor>
    <xdr:from>
      <xdr:col>1</xdr:col>
      <xdr:colOff>798560</xdr:colOff>
      <xdr:row>50</xdr:row>
      <xdr:rowOff>570057</xdr:rowOff>
    </xdr:from>
    <xdr:to>
      <xdr:col>1</xdr:col>
      <xdr:colOff>844279</xdr:colOff>
      <xdr:row>50</xdr:row>
      <xdr:rowOff>736023</xdr:rowOff>
    </xdr:to>
    <xdr:sp macro="" textlink="">
      <xdr:nvSpPr>
        <xdr:cNvPr id="2" name="Rechteck 1">
          <a:extLst>
            <a:ext uri="{FF2B5EF4-FFF2-40B4-BE49-F238E27FC236}">
              <a16:creationId xmlns:a16="http://schemas.microsoft.com/office/drawing/2014/main" id="{00000000-0008-0000-0700-000002000000}"/>
            </a:ext>
          </a:extLst>
        </xdr:cNvPr>
        <xdr:cNvSpPr/>
      </xdr:nvSpPr>
      <xdr:spPr>
        <a:xfrm>
          <a:off x="2025265" y="12089053"/>
          <a:ext cx="45719" cy="165966"/>
        </a:xfrm>
        <a:prstGeom prst="rect">
          <a:avLst/>
        </a:prstGeom>
        <a:solidFill>
          <a:schemeClr val="bg1"/>
        </a:solidFill>
        <a:ln>
          <a:solidFill>
            <a:schemeClr val="bg1"/>
          </a:solid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de-DE" sz="1100"/>
        </a:p>
      </xdr:txBody>
    </xdr:sp>
    <xdr:clientData/>
  </xdr:twoCellAnchor>
  <xdr:twoCellAnchor>
    <xdr:from>
      <xdr:col>1</xdr:col>
      <xdr:colOff>880342</xdr:colOff>
      <xdr:row>51</xdr:row>
      <xdr:rowOff>685512</xdr:rowOff>
    </xdr:from>
    <xdr:to>
      <xdr:col>1</xdr:col>
      <xdr:colOff>926061</xdr:colOff>
      <xdr:row>51</xdr:row>
      <xdr:rowOff>832235</xdr:rowOff>
    </xdr:to>
    <xdr:sp macro="" textlink="">
      <xdr:nvSpPr>
        <xdr:cNvPr id="3" name="Rechteck 2">
          <a:extLst>
            <a:ext uri="{FF2B5EF4-FFF2-40B4-BE49-F238E27FC236}">
              <a16:creationId xmlns:a16="http://schemas.microsoft.com/office/drawing/2014/main" id="{00000000-0008-0000-0700-000003000000}"/>
            </a:ext>
          </a:extLst>
        </xdr:cNvPr>
        <xdr:cNvSpPr/>
      </xdr:nvSpPr>
      <xdr:spPr>
        <a:xfrm>
          <a:off x="2107047" y="13849735"/>
          <a:ext cx="45719" cy="146723"/>
        </a:xfrm>
        <a:prstGeom prst="rect">
          <a:avLst/>
        </a:prstGeom>
        <a:solidFill>
          <a:sysClr val="window" lastClr="FFFFFF"/>
        </a:solidFill>
        <a:ln>
          <a:solidFill>
            <a:schemeClr val="bg1"/>
          </a:solid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de-DE"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13</xdr:col>
      <xdr:colOff>449035</xdr:colOff>
      <xdr:row>55</xdr:row>
      <xdr:rowOff>40821</xdr:rowOff>
    </xdr:from>
    <xdr:to>
      <xdr:col>21</xdr:col>
      <xdr:colOff>29935</xdr:colOff>
      <xdr:row>67</xdr:row>
      <xdr:rowOff>88446</xdr:rowOff>
    </xdr:to>
    <xdr:pic>
      <xdr:nvPicPr>
        <xdr:cNvPr id="2" name="Grafik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72356" y="6517821"/>
          <a:ext cx="5676900" cy="2333625"/>
        </a:xfrm>
        <a:prstGeom prst="rect">
          <a:avLst/>
        </a:prstGeom>
      </xdr:spPr>
    </xdr:pic>
    <xdr:clientData/>
  </xdr:twoCellAnchor>
  <xdr:twoCellAnchor editAs="oneCell">
    <xdr:from>
      <xdr:col>13</xdr:col>
      <xdr:colOff>176893</xdr:colOff>
      <xdr:row>0</xdr:row>
      <xdr:rowOff>0</xdr:rowOff>
    </xdr:from>
    <xdr:to>
      <xdr:col>18</xdr:col>
      <xdr:colOff>603861</xdr:colOff>
      <xdr:row>13</xdr:row>
      <xdr:rowOff>179859</xdr:rowOff>
    </xdr:to>
    <xdr:pic>
      <xdr:nvPicPr>
        <xdr:cNvPr id="3" name="Picture 1">
          <a:extLst>
            <a:ext uri="{FF2B5EF4-FFF2-40B4-BE49-F238E27FC236}">
              <a16:creationId xmlns:a16="http://schemas.microsoft.com/office/drawing/2014/main" id="{00000000-0008-0000-0900-000003000000}"/>
            </a:ext>
          </a:extLst>
        </xdr:cNvPr>
        <xdr:cNvPicPr>
          <a:picLocks noChangeAspect="1" noChangeArrowheads="1"/>
        </xdr:cNvPicPr>
      </xdr:nvPicPr>
      <xdr:blipFill>
        <a:blip xmlns:r="http://schemas.openxmlformats.org/officeDocument/2006/relationships" r:embed="rId2" cstate="print"/>
        <a:srcRect r="2205"/>
        <a:stretch>
          <a:fillRect/>
        </a:stretch>
      </xdr:blipFill>
      <xdr:spPr bwMode="auto">
        <a:xfrm>
          <a:off x="12600214" y="0"/>
          <a:ext cx="4236968" cy="2667565"/>
        </a:xfrm>
        <a:prstGeom prst="rect">
          <a:avLst/>
        </a:prstGeom>
        <a:noFill/>
        <a:ln w="1">
          <a:noFill/>
          <a:miter lim="800000"/>
          <a:headEnd/>
          <a:tailEnd type="none" w="med" len="med"/>
        </a:ln>
        <a:effectLst/>
      </xdr:spPr>
    </xdr:pic>
    <xdr:clientData/>
  </xdr:twoCellAnchor>
  <xdr:twoCellAnchor editAs="oneCell">
    <xdr:from>
      <xdr:col>13</xdr:col>
      <xdr:colOff>449035</xdr:colOff>
      <xdr:row>36</xdr:row>
      <xdr:rowOff>40822</xdr:rowOff>
    </xdr:from>
    <xdr:to>
      <xdr:col>18</xdr:col>
      <xdr:colOff>502975</xdr:colOff>
      <xdr:row>53</xdr:row>
      <xdr:rowOff>182686</xdr:rowOff>
    </xdr:to>
    <xdr:pic>
      <xdr:nvPicPr>
        <xdr:cNvPr id="4" name="Picture 2">
          <a:extLst>
            <a:ext uri="{FF2B5EF4-FFF2-40B4-BE49-F238E27FC236}">
              <a16:creationId xmlns:a16="http://schemas.microsoft.com/office/drawing/2014/main" id="{00000000-0008-0000-09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2872356" y="2898322"/>
          <a:ext cx="3863940" cy="3380364"/>
        </a:xfrm>
        <a:prstGeom prst="rect">
          <a:avLst/>
        </a:prstGeom>
        <a:noFill/>
        <a:ln w="1">
          <a:noFill/>
          <a:miter lim="800000"/>
          <a:headEnd/>
          <a:tailEnd type="none" w="med" len="med"/>
        </a:ln>
        <a:effectLst/>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228600</xdr:colOff>
      <xdr:row>34</xdr:row>
      <xdr:rowOff>46021</xdr:rowOff>
    </xdr:from>
    <xdr:ext cx="670389" cy="799101"/>
    <xdr:pic>
      <xdr:nvPicPr>
        <xdr:cNvPr id="2" name="Grafik 1">
          <a:extLst>
            <a:ext uri="{FF2B5EF4-FFF2-40B4-BE49-F238E27FC236}">
              <a16:creationId xmlns:a16="http://schemas.microsoft.com/office/drawing/2014/main" id="{00000000-0008-0000-0C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6250" t="83877" r="87085" b="5058"/>
        <a:stretch/>
      </xdr:blipFill>
      <xdr:spPr>
        <a:xfrm>
          <a:off x="1314450" y="7259621"/>
          <a:ext cx="670389" cy="799101"/>
        </a:xfrm>
        <a:prstGeom prst="rect">
          <a:avLst/>
        </a:prstGeom>
      </xdr:spPr>
    </xdr:pic>
    <xdr:clientData/>
  </xdr:oneCellAnchor>
  <xdr:oneCellAnchor>
    <xdr:from>
      <xdr:col>1</xdr:col>
      <xdr:colOff>112661</xdr:colOff>
      <xdr:row>9</xdr:row>
      <xdr:rowOff>182438</xdr:rowOff>
    </xdr:from>
    <xdr:ext cx="889000" cy="1056027"/>
    <xdr:pic>
      <xdr:nvPicPr>
        <xdr:cNvPr id="3" name="Grafik 2">
          <a:extLst>
            <a:ext uri="{FF2B5EF4-FFF2-40B4-BE49-F238E27FC236}">
              <a16:creationId xmlns:a16="http://schemas.microsoft.com/office/drawing/2014/main" id="{00000000-0008-0000-0C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67298" t="49434" r="23863" b="35932"/>
        <a:stretch/>
      </xdr:blipFill>
      <xdr:spPr>
        <a:xfrm>
          <a:off x="1198511" y="1960438"/>
          <a:ext cx="889000" cy="1056027"/>
        </a:xfrm>
        <a:prstGeom prst="rect">
          <a:avLst/>
        </a:prstGeom>
      </xdr:spPr>
    </xdr:pic>
    <xdr:clientData/>
  </xdr:oneCellAnchor>
  <xdr:oneCellAnchor>
    <xdr:from>
      <xdr:col>3</xdr:col>
      <xdr:colOff>41666</xdr:colOff>
      <xdr:row>7</xdr:row>
      <xdr:rowOff>157109</xdr:rowOff>
    </xdr:from>
    <xdr:ext cx="965200" cy="996949"/>
    <xdr:pic>
      <xdr:nvPicPr>
        <xdr:cNvPr id="4" name="Grafik 3">
          <a:extLst>
            <a:ext uri="{FF2B5EF4-FFF2-40B4-BE49-F238E27FC236}">
              <a16:creationId xmlns:a16="http://schemas.microsoft.com/office/drawing/2014/main" id="{00000000-0008-0000-0C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76185" t="49033" r="14218" b="36957"/>
        <a:stretch/>
      </xdr:blipFill>
      <xdr:spPr>
        <a:xfrm>
          <a:off x="3958688" y="1505592"/>
          <a:ext cx="965200" cy="996949"/>
        </a:xfrm>
        <a:prstGeom prst="rect">
          <a:avLst/>
        </a:prstGeom>
      </xdr:spPr>
    </xdr:pic>
    <xdr:clientData/>
  </xdr:oneCellAnchor>
  <xdr:oneCellAnchor>
    <xdr:from>
      <xdr:col>5</xdr:col>
      <xdr:colOff>30109</xdr:colOff>
      <xdr:row>5</xdr:row>
      <xdr:rowOff>37673</xdr:rowOff>
    </xdr:from>
    <xdr:ext cx="947364" cy="1332216"/>
    <xdr:pic>
      <xdr:nvPicPr>
        <xdr:cNvPr id="5" name="Grafik 4">
          <a:extLst>
            <a:ext uri="{FF2B5EF4-FFF2-40B4-BE49-F238E27FC236}">
              <a16:creationId xmlns:a16="http://schemas.microsoft.com/office/drawing/2014/main" id="{00000000-0008-0000-0C00-000005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503" t="49434" r="34078" b="31845"/>
        <a:stretch/>
      </xdr:blipFill>
      <xdr:spPr>
        <a:xfrm>
          <a:off x="7161159" y="1028273"/>
          <a:ext cx="947364" cy="1332216"/>
        </a:xfrm>
        <a:prstGeom prst="rect">
          <a:avLst/>
        </a:prstGeom>
      </xdr:spPr>
    </xdr:pic>
    <xdr:clientData/>
  </xdr:oneCellAnchor>
  <xdr:oneCellAnchor>
    <xdr:from>
      <xdr:col>3</xdr:col>
      <xdr:colOff>1305675</xdr:colOff>
      <xdr:row>34</xdr:row>
      <xdr:rowOff>67426</xdr:rowOff>
    </xdr:from>
    <xdr:ext cx="738456" cy="787400"/>
    <xdr:pic>
      <xdr:nvPicPr>
        <xdr:cNvPr id="6" name="Grafik 5">
          <a:extLst>
            <a:ext uri="{FF2B5EF4-FFF2-40B4-BE49-F238E27FC236}">
              <a16:creationId xmlns:a16="http://schemas.microsoft.com/office/drawing/2014/main" id="{00000000-0008-0000-0C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7171" t="83877" r="75487" b="5058"/>
        <a:stretch/>
      </xdr:blipFill>
      <xdr:spPr>
        <a:xfrm>
          <a:off x="5414125" y="7281026"/>
          <a:ext cx="738456" cy="787400"/>
        </a:xfrm>
        <a:prstGeom prst="rect">
          <a:avLst/>
        </a:prstGeom>
      </xdr:spPr>
    </xdr:pic>
    <xdr:clientData/>
  </xdr:oneCellAnchor>
  <xdr:oneCellAnchor>
    <xdr:from>
      <xdr:col>5</xdr:col>
      <xdr:colOff>800100</xdr:colOff>
      <xdr:row>34</xdr:row>
      <xdr:rowOff>79341</xdr:rowOff>
    </xdr:from>
    <xdr:ext cx="908050" cy="749299"/>
    <xdr:pic>
      <xdr:nvPicPr>
        <xdr:cNvPr id="7" name="Grafik 6">
          <a:extLst>
            <a:ext uri="{FF2B5EF4-FFF2-40B4-BE49-F238E27FC236}">
              <a16:creationId xmlns:a16="http://schemas.microsoft.com/office/drawing/2014/main" id="{00000000-0008-0000-0C00-000007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6830" t="83877" r="64142" b="5593"/>
        <a:stretch/>
      </xdr:blipFill>
      <xdr:spPr>
        <a:xfrm>
          <a:off x="7931150" y="7292941"/>
          <a:ext cx="908050" cy="749299"/>
        </a:xfrm>
        <a:prstGeom prst="rect">
          <a:avLst/>
        </a:prstGeom>
      </xdr:spPr>
    </xdr:pic>
    <xdr:clientData/>
  </xdr:oneCellAnchor>
  <xdr:oneCellAnchor>
    <xdr:from>
      <xdr:col>7</xdr:col>
      <xdr:colOff>793750</xdr:colOff>
      <xdr:row>34</xdr:row>
      <xdr:rowOff>118226</xdr:rowOff>
    </xdr:from>
    <xdr:ext cx="996950" cy="742949"/>
    <xdr:pic>
      <xdr:nvPicPr>
        <xdr:cNvPr id="8" name="Grafik 7">
          <a:extLst>
            <a:ext uri="{FF2B5EF4-FFF2-40B4-BE49-F238E27FC236}">
              <a16:creationId xmlns:a16="http://schemas.microsoft.com/office/drawing/2014/main" id="{00000000-0008-0000-0C00-000008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6299" t="83877" r="53789" b="5682"/>
        <a:stretch/>
      </xdr:blipFill>
      <xdr:spPr>
        <a:xfrm>
          <a:off x="10960100" y="7331826"/>
          <a:ext cx="996950" cy="742949"/>
        </a:xfrm>
        <a:prstGeom prst="rect">
          <a:avLst/>
        </a:prstGeom>
      </xdr:spPr>
    </xdr:pic>
    <xdr:clientData/>
  </xdr:oneCellAnchor>
  <xdr:oneCellAnchor>
    <xdr:from>
      <xdr:col>9</xdr:col>
      <xdr:colOff>888285</xdr:colOff>
      <xdr:row>34</xdr:row>
      <xdr:rowOff>37461</xdr:rowOff>
    </xdr:from>
    <xdr:ext cx="850900" cy="825500"/>
    <xdr:pic>
      <xdr:nvPicPr>
        <xdr:cNvPr id="9" name="Grafik 8">
          <a:extLst>
            <a:ext uri="{FF2B5EF4-FFF2-40B4-BE49-F238E27FC236}">
              <a16:creationId xmlns:a16="http://schemas.microsoft.com/office/drawing/2014/main" id="{00000000-0008-0000-0C00-00000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6843" t="82806" r="44697" b="5593"/>
        <a:stretch/>
      </xdr:blipFill>
      <xdr:spPr>
        <a:xfrm>
          <a:off x="14077235" y="7251061"/>
          <a:ext cx="850900" cy="825500"/>
        </a:xfrm>
        <a:prstGeom prst="rect">
          <a:avLst/>
        </a:prstGeom>
      </xdr:spPr>
    </xdr:pic>
    <xdr:clientData/>
  </xdr:oneCellAnchor>
  <xdr:oneCellAnchor>
    <xdr:from>
      <xdr:col>11</xdr:col>
      <xdr:colOff>946150</xdr:colOff>
      <xdr:row>34</xdr:row>
      <xdr:rowOff>28540</xdr:rowOff>
    </xdr:from>
    <xdr:ext cx="901700" cy="850901"/>
    <xdr:pic>
      <xdr:nvPicPr>
        <xdr:cNvPr id="10" name="Grafik 9">
          <a:extLst>
            <a:ext uri="{FF2B5EF4-FFF2-40B4-BE49-F238E27FC236}">
              <a16:creationId xmlns:a16="http://schemas.microsoft.com/office/drawing/2014/main" id="{00000000-0008-0000-0C00-00000A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7070" t="82449" r="33965" b="5593"/>
        <a:stretch/>
      </xdr:blipFill>
      <xdr:spPr>
        <a:xfrm>
          <a:off x="17157700" y="7242140"/>
          <a:ext cx="901700" cy="850901"/>
        </a:xfrm>
        <a:prstGeom prst="rect">
          <a:avLst/>
        </a:prstGeom>
      </xdr:spPr>
    </xdr:pic>
    <xdr:clientData/>
  </xdr:oneCellAnchor>
  <xdr:oneCellAnchor>
    <xdr:from>
      <xdr:col>13</xdr:col>
      <xdr:colOff>965200</xdr:colOff>
      <xdr:row>33</xdr:row>
      <xdr:rowOff>139700</xdr:rowOff>
    </xdr:from>
    <xdr:ext cx="946150" cy="965201"/>
    <xdr:pic>
      <xdr:nvPicPr>
        <xdr:cNvPr id="11" name="Grafik 10">
          <a:extLst>
            <a:ext uri="{FF2B5EF4-FFF2-40B4-BE49-F238E27FC236}">
              <a16:creationId xmlns:a16="http://schemas.microsoft.com/office/drawing/2014/main" id="{00000000-0008-0000-0C00-00000B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66602" t="80842" r="23991" b="5593"/>
        <a:stretch/>
      </xdr:blipFill>
      <xdr:spPr>
        <a:xfrm>
          <a:off x="20199350" y="7156450"/>
          <a:ext cx="946150" cy="965201"/>
        </a:xfrm>
        <a:prstGeom prst="rect">
          <a:avLst/>
        </a:prstGeom>
      </xdr:spPr>
    </xdr:pic>
    <xdr:clientData/>
  </xdr:oneCellAnchor>
  <xdr:oneCellAnchor>
    <xdr:from>
      <xdr:col>11</xdr:col>
      <xdr:colOff>178371</xdr:colOff>
      <xdr:row>43</xdr:row>
      <xdr:rowOff>19979</xdr:rowOff>
    </xdr:from>
    <xdr:ext cx="1200150" cy="1130300"/>
    <xdr:pic>
      <xdr:nvPicPr>
        <xdr:cNvPr id="12" name="Grafik 11">
          <a:extLst>
            <a:ext uri="{FF2B5EF4-FFF2-40B4-BE49-F238E27FC236}">
              <a16:creationId xmlns:a16="http://schemas.microsoft.com/office/drawing/2014/main" id="{00000000-0008-0000-0C00-00000C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4471" t="7139" r="3597" b="76978"/>
        <a:stretch/>
      </xdr:blipFill>
      <xdr:spPr>
        <a:xfrm>
          <a:off x="16389921" y="8998879"/>
          <a:ext cx="1200150" cy="1130300"/>
        </a:xfrm>
        <a:prstGeom prst="rect">
          <a:avLst/>
        </a:prstGeom>
      </xdr:spPr>
    </xdr:pic>
    <xdr:clientData/>
  </xdr:oneCellAnchor>
  <xdr:oneCellAnchor>
    <xdr:from>
      <xdr:col>13</xdr:col>
      <xdr:colOff>142697</xdr:colOff>
      <xdr:row>43</xdr:row>
      <xdr:rowOff>12844</xdr:rowOff>
    </xdr:from>
    <xdr:ext cx="1200150" cy="1130300"/>
    <xdr:pic>
      <xdr:nvPicPr>
        <xdr:cNvPr id="13" name="Grafik 12">
          <a:extLst>
            <a:ext uri="{FF2B5EF4-FFF2-40B4-BE49-F238E27FC236}">
              <a16:creationId xmlns:a16="http://schemas.microsoft.com/office/drawing/2014/main" id="{00000000-0008-0000-0C00-00000D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4471" t="7139" r="3597" b="76978"/>
        <a:stretch/>
      </xdr:blipFill>
      <xdr:spPr>
        <a:xfrm>
          <a:off x="19376847" y="8991744"/>
          <a:ext cx="1200150" cy="1130300"/>
        </a:xfrm>
        <a:prstGeom prst="rect">
          <a:avLst/>
        </a:prstGeom>
      </xdr:spPr>
    </xdr:pic>
    <xdr:clientData/>
  </xdr:oneCellAnchor>
  <xdr:twoCellAnchor>
    <xdr:from>
      <xdr:col>1</xdr:col>
      <xdr:colOff>623249</xdr:colOff>
      <xdr:row>55</xdr:row>
      <xdr:rowOff>136653</xdr:rowOff>
    </xdr:from>
    <xdr:to>
      <xdr:col>1</xdr:col>
      <xdr:colOff>1563101</xdr:colOff>
      <xdr:row>59</xdr:row>
      <xdr:rowOff>274920</xdr:rowOff>
    </xdr:to>
    <xdr:grpSp>
      <xdr:nvGrpSpPr>
        <xdr:cNvPr id="14" name="Gruppieren 13">
          <a:extLst>
            <a:ext uri="{FF2B5EF4-FFF2-40B4-BE49-F238E27FC236}">
              <a16:creationId xmlns:a16="http://schemas.microsoft.com/office/drawing/2014/main" id="{00000000-0008-0000-0C00-00000E000000}"/>
            </a:ext>
          </a:extLst>
        </xdr:cNvPr>
        <xdr:cNvGrpSpPr/>
      </xdr:nvGrpSpPr>
      <xdr:grpSpPr>
        <a:xfrm>
          <a:off x="1807631" y="11809237"/>
          <a:ext cx="939852" cy="937368"/>
          <a:chOff x="1957763" y="7698863"/>
          <a:chExt cx="939852" cy="921433"/>
        </a:xfrm>
      </xdr:grpSpPr>
      <xdr:pic>
        <xdr:nvPicPr>
          <xdr:cNvPr id="15" name="Grafik 14">
            <a:extLst>
              <a:ext uri="{FF2B5EF4-FFF2-40B4-BE49-F238E27FC236}">
                <a16:creationId xmlns:a16="http://schemas.microsoft.com/office/drawing/2014/main" id="{00000000-0008-0000-0C00-00000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3140" t="9376" r="78915" b="77615"/>
          <a:stretch/>
        </xdr:blipFill>
        <xdr:spPr>
          <a:xfrm>
            <a:off x="2098744" y="7698863"/>
            <a:ext cx="798871" cy="921433"/>
          </a:xfrm>
          <a:prstGeom prst="rect">
            <a:avLst/>
          </a:prstGeom>
        </xdr:spPr>
      </xdr:pic>
      <xdr:pic>
        <xdr:nvPicPr>
          <xdr:cNvPr id="16" name="Grafik 15">
            <a:extLst>
              <a:ext uri="{FF2B5EF4-FFF2-40B4-BE49-F238E27FC236}">
                <a16:creationId xmlns:a16="http://schemas.microsoft.com/office/drawing/2014/main" id="{00000000-0008-0000-0C00-00001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70" t="19768" r="95671" b="77761"/>
          <a:stretch/>
        </xdr:blipFill>
        <xdr:spPr>
          <a:xfrm>
            <a:off x="1957763" y="8429935"/>
            <a:ext cx="327742" cy="175308"/>
          </a:xfrm>
          <a:prstGeom prst="rect">
            <a:avLst/>
          </a:prstGeom>
        </xdr:spPr>
      </xdr:pic>
    </xdr:grpSp>
    <xdr:clientData/>
  </xdr:twoCellAnchor>
  <xdr:twoCellAnchor>
    <xdr:from>
      <xdr:col>3</xdr:col>
      <xdr:colOff>601846</xdr:colOff>
      <xdr:row>55</xdr:row>
      <xdr:rowOff>143787</xdr:rowOff>
    </xdr:from>
    <xdr:to>
      <xdr:col>3</xdr:col>
      <xdr:colOff>1541698</xdr:colOff>
      <xdr:row>59</xdr:row>
      <xdr:rowOff>287826</xdr:rowOff>
    </xdr:to>
    <xdr:grpSp>
      <xdr:nvGrpSpPr>
        <xdr:cNvPr id="17" name="Gruppieren 16">
          <a:extLst>
            <a:ext uri="{FF2B5EF4-FFF2-40B4-BE49-F238E27FC236}">
              <a16:creationId xmlns:a16="http://schemas.microsoft.com/office/drawing/2014/main" id="{00000000-0008-0000-0C00-000011000000}"/>
            </a:ext>
          </a:extLst>
        </xdr:cNvPr>
        <xdr:cNvGrpSpPr/>
      </xdr:nvGrpSpPr>
      <xdr:grpSpPr>
        <a:xfrm>
          <a:off x="5082520" y="11816371"/>
          <a:ext cx="939852" cy="943140"/>
          <a:chOff x="4979304" y="7698863"/>
          <a:chExt cx="939852" cy="927205"/>
        </a:xfrm>
      </xdr:grpSpPr>
      <xdr:pic>
        <xdr:nvPicPr>
          <xdr:cNvPr id="18" name="Grafik 17">
            <a:extLst>
              <a:ext uri="{FF2B5EF4-FFF2-40B4-BE49-F238E27FC236}">
                <a16:creationId xmlns:a16="http://schemas.microsoft.com/office/drawing/2014/main" id="{00000000-0008-0000-0C00-00001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3140" t="9376" r="78915" b="77615"/>
          <a:stretch/>
        </xdr:blipFill>
        <xdr:spPr>
          <a:xfrm>
            <a:off x="5120285" y="7698863"/>
            <a:ext cx="798871" cy="927205"/>
          </a:xfrm>
          <a:prstGeom prst="rect">
            <a:avLst/>
          </a:prstGeom>
        </xdr:spPr>
      </xdr:pic>
      <xdr:pic>
        <xdr:nvPicPr>
          <xdr:cNvPr id="19" name="Grafik 18">
            <a:extLst>
              <a:ext uri="{FF2B5EF4-FFF2-40B4-BE49-F238E27FC236}">
                <a16:creationId xmlns:a16="http://schemas.microsoft.com/office/drawing/2014/main" id="{00000000-0008-0000-0C00-00001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70" t="19768" r="95671" b="77761"/>
          <a:stretch/>
        </xdr:blipFill>
        <xdr:spPr>
          <a:xfrm>
            <a:off x="4979304" y="8429935"/>
            <a:ext cx="327742" cy="176751"/>
          </a:xfrm>
          <a:prstGeom prst="rect">
            <a:avLst/>
          </a:prstGeom>
        </xdr:spPr>
      </xdr:pic>
    </xdr:grpSp>
    <xdr:clientData/>
  </xdr:twoCellAnchor>
  <xdr:twoCellAnchor>
    <xdr:from>
      <xdr:col>5</xdr:col>
      <xdr:colOff>701733</xdr:colOff>
      <xdr:row>55</xdr:row>
      <xdr:rowOff>158057</xdr:rowOff>
    </xdr:from>
    <xdr:to>
      <xdr:col>5</xdr:col>
      <xdr:colOff>1641585</xdr:colOff>
      <xdr:row>59</xdr:row>
      <xdr:rowOff>302096</xdr:rowOff>
    </xdr:to>
    <xdr:grpSp>
      <xdr:nvGrpSpPr>
        <xdr:cNvPr id="20" name="Gruppieren 19">
          <a:extLst>
            <a:ext uri="{FF2B5EF4-FFF2-40B4-BE49-F238E27FC236}">
              <a16:creationId xmlns:a16="http://schemas.microsoft.com/office/drawing/2014/main" id="{00000000-0008-0000-0C00-000014000000}"/>
            </a:ext>
          </a:extLst>
        </xdr:cNvPr>
        <xdr:cNvGrpSpPr/>
      </xdr:nvGrpSpPr>
      <xdr:grpSpPr>
        <a:xfrm>
          <a:off x="8478699" y="11830641"/>
          <a:ext cx="939852" cy="943140"/>
          <a:chOff x="8000846" y="7698863"/>
          <a:chExt cx="939852" cy="927205"/>
        </a:xfrm>
      </xdr:grpSpPr>
      <xdr:pic>
        <xdr:nvPicPr>
          <xdr:cNvPr id="21" name="Grafik 20">
            <a:extLst>
              <a:ext uri="{FF2B5EF4-FFF2-40B4-BE49-F238E27FC236}">
                <a16:creationId xmlns:a16="http://schemas.microsoft.com/office/drawing/2014/main" id="{00000000-0008-0000-0C00-00001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3140" t="9376" r="78915" b="77615"/>
          <a:stretch/>
        </xdr:blipFill>
        <xdr:spPr>
          <a:xfrm>
            <a:off x="8141827" y="7698863"/>
            <a:ext cx="798871" cy="927205"/>
          </a:xfrm>
          <a:prstGeom prst="rect">
            <a:avLst/>
          </a:prstGeom>
        </xdr:spPr>
      </xdr:pic>
      <xdr:pic>
        <xdr:nvPicPr>
          <xdr:cNvPr id="22" name="Grafik 21">
            <a:extLst>
              <a:ext uri="{FF2B5EF4-FFF2-40B4-BE49-F238E27FC236}">
                <a16:creationId xmlns:a16="http://schemas.microsoft.com/office/drawing/2014/main" id="{00000000-0008-0000-0C00-00001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70" t="19768" r="95671" b="77761"/>
          <a:stretch/>
        </xdr:blipFill>
        <xdr:spPr>
          <a:xfrm>
            <a:off x="8000846" y="8429935"/>
            <a:ext cx="327742" cy="176751"/>
          </a:xfrm>
          <a:prstGeom prst="rect">
            <a:avLst/>
          </a:prstGeom>
        </xdr:spPr>
      </xdr:pic>
    </xdr:grpSp>
    <xdr:clientData/>
  </xdr:twoCellAnchor>
  <xdr:oneCellAnchor>
    <xdr:from>
      <xdr:col>7</xdr:col>
      <xdr:colOff>742826</xdr:colOff>
      <xdr:row>56</xdr:row>
      <xdr:rowOff>8226</xdr:rowOff>
    </xdr:from>
    <xdr:ext cx="798871" cy="927205"/>
    <xdr:pic>
      <xdr:nvPicPr>
        <xdr:cNvPr id="23" name="Grafik 22">
          <a:extLst>
            <a:ext uri="{FF2B5EF4-FFF2-40B4-BE49-F238E27FC236}">
              <a16:creationId xmlns:a16="http://schemas.microsoft.com/office/drawing/2014/main" id="{00000000-0008-0000-0C00-00001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5244" t="9005" r="66811" b="77986"/>
        <a:stretch/>
      </xdr:blipFill>
      <xdr:spPr>
        <a:xfrm>
          <a:off x="10909176" y="12187526"/>
          <a:ext cx="798871" cy="927205"/>
        </a:xfrm>
        <a:prstGeom prst="rect">
          <a:avLst/>
        </a:prstGeom>
      </xdr:spPr>
    </xdr:pic>
    <xdr:clientData/>
  </xdr:oneCellAnchor>
  <xdr:oneCellAnchor>
    <xdr:from>
      <xdr:col>9</xdr:col>
      <xdr:colOff>714382</xdr:colOff>
      <xdr:row>53</xdr:row>
      <xdr:rowOff>104972</xdr:rowOff>
    </xdr:from>
    <xdr:ext cx="857762" cy="627320"/>
    <xdr:pic>
      <xdr:nvPicPr>
        <xdr:cNvPr id="24" name="Grafik 23">
          <a:extLst>
            <a:ext uri="{FF2B5EF4-FFF2-40B4-BE49-F238E27FC236}">
              <a16:creationId xmlns:a16="http://schemas.microsoft.com/office/drawing/2014/main" id="{00000000-0008-0000-0C00-00001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5512" t="23151" r="55957" b="68047"/>
        <a:stretch/>
      </xdr:blipFill>
      <xdr:spPr>
        <a:xfrm>
          <a:off x="13903332" y="11693722"/>
          <a:ext cx="857762" cy="627320"/>
        </a:xfrm>
        <a:prstGeom prst="rect">
          <a:avLst/>
        </a:prstGeom>
      </xdr:spPr>
    </xdr:pic>
    <xdr:clientData/>
  </xdr:oneCellAnchor>
  <xdr:oneCellAnchor>
    <xdr:from>
      <xdr:col>9</xdr:col>
      <xdr:colOff>719498</xdr:colOff>
      <xdr:row>58</xdr:row>
      <xdr:rowOff>107513</xdr:rowOff>
    </xdr:from>
    <xdr:ext cx="857762" cy="906721"/>
    <xdr:pic>
      <xdr:nvPicPr>
        <xdr:cNvPr id="25" name="Grafik 24">
          <a:extLst>
            <a:ext uri="{FF2B5EF4-FFF2-40B4-BE49-F238E27FC236}">
              <a16:creationId xmlns:a16="http://schemas.microsoft.com/office/drawing/2014/main" id="{00000000-0008-0000-0C00-00001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4621" t="33966" r="56848" b="53312"/>
        <a:stretch/>
      </xdr:blipFill>
      <xdr:spPr>
        <a:xfrm>
          <a:off x="13908448" y="12680513"/>
          <a:ext cx="857762" cy="906721"/>
        </a:xfrm>
        <a:prstGeom prst="rect">
          <a:avLst/>
        </a:prstGeom>
      </xdr:spPr>
    </xdr:pic>
    <xdr:clientData/>
  </xdr:oneCellAnchor>
  <xdr:oneCellAnchor>
    <xdr:from>
      <xdr:col>11</xdr:col>
      <xdr:colOff>673421</xdr:colOff>
      <xdr:row>53</xdr:row>
      <xdr:rowOff>104972</xdr:rowOff>
    </xdr:from>
    <xdr:ext cx="993461" cy="627320"/>
    <xdr:pic>
      <xdr:nvPicPr>
        <xdr:cNvPr id="26" name="Grafik 25">
          <a:extLst>
            <a:ext uri="{FF2B5EF4-FFF2-40B4-BE49-F238E27FC236}">
              <a16:creationId xmlns:a16="http://schemas.microsoft.com/office/drawing/2014/main" id="{00000000-0008-0000-0C00-00001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8194" t="11511" r="41925" b="79687"/>
        <a:stretch/>
      </xdr:blipFill>
      <xdr:spPr>
        <a:xfrm>
          <a:off x="16884971" y="11693722"/>
          <a:ext cx="993461" cy="627320"/>
        </a:xfrm>
        <a:prstGeom prst="rect">
          <a:avLst/>
        </a:prstGeom>
      </xdr:spPr>
    </xdr:pic>
    <xdr:clientData/>
  </xdr:oneCellAnchor>
  <xdr:oneCellAnchor>
    <xdr:from>
      <xdr:col>11</xdr:col>
      <xdr:colOff>719498</xdr:colOff>
      <xdr:row>58</xdr:row>
      <xdr:rowOff>107513</xdr:rowOff>
    </xdr:from>
    <xdr:ext cx="857762" cy="906721"/>
    <xdr:pic>
      <xdr:nvPicPr>
        <xdr:cNvPr id="27" name="Grafik 26">
          <a:extLst>
            <a:ext uri="{FF2B5EF4-FFF2-40B4-BE49-F238E27FC236}">
              <a16:creationId xmlns:a16="http://schemas.microsoft.com/office/drawing/2014/main" id="{00000000-0008-0000-0C00-00001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7736" t="23188" r="43733" b="64090"/>
        <a:stretch/>
      </xdr:blipFill>
      <xdr:spPr>
        <a:xfrm>
          <a:off x="16931048" y="12680513"/>
          <a:ext cx="857762" cy="906721"/>
        </a:xfrm>
        <a:prstGeom prst="rect">
          <a:avLst/>
        </a:prstGeom>
      </xdr:spPr>
    </xdr:pic>
    <xdr:clientData/>
  </xdr:oneCellAnchor>
  <xdr:oneCellAnchor>
    <xdr:from>
      <xdr:col>13</xdr:col>
      <xdr:colOff>673421</xdr:colOff>
      <xdr:row>53</xdr:row>
      <xdr:rowOff>104972</xdr:rowOff>
    </xdr:from>
    <xdr:ext cx="1008817" cy="627320"/>
    <xdr:pic>
      <xdr:nvPicPr>
        <xdr:cNvPr id="28" name="Grafik 27">
          <a:extLst>
            <a:ext uri="{FF2B5EF4-FFF2-40B4-BE49-F238E27FC236}">
              <a16:creationId xmlns:a16="http://schemas.microsoft.com/office/drawing/2014/main" id="{00000000-0008-0000-0C00-00001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1284" t="10577" r="28683" b="80621"/>
        <a:stretch/>
      </xdr:blipFill>
      <xdr:spPr>
        <a:xfrm>
          <a:off x="19907571" y="11693722"/>
          <a:ext cx="1008817" cy="627320"/>
        </a:xfrm>
        <a:prstGeom prst="rect">
          <a:avLst/>
        </a:prstGeom>
      </xdr:spPr>
    </xdr:pic>
    <xdr:clientData/>
  </xdr:oneCellAnchor>
  <xdr:oneCellAnchor>
    <xdr:from>
      <xdr:col>13</xdr:col>
      <xdr:colOff>719498</xdr:colOff>
      <xdr:row>58</xdr:row>
      <xdr:rowOff>107513</xdr:rowOff>
    </xdr:from>
    <xdr:ext cx="857762" cy="906721"/>
    <xdr:pic>
      <xdr:nvPicPr>
        <xdr:cNvPr id="29" name="Grafik 28">
          <a:extLst>
            <a:ext uri="{FF2B5EF4-FFF2-40B4-BE49-F238E27FC236}">
              <a16:creationId xmlns:a16="http://schemas.microsoft.com/office/drawing/2014/main" id="{00000000-0008-0000-0C00-00001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1055" t="23260" r="30414" b="64018"/>
        <a:stretch/>
      </xdr:blipFill>
      <xdr:spPr>
        <a:xfrm>
          <a:off x="19953648" y="12680513"/>
          <a:ext cx="857762" cy="906721"/>
        </a:xfrm>
        <a:prstGeom prst="rect">
          <a:avLst/>
        </a:prstGeom>
      </xdr:spPr>
    </xdr:pic>
    <xdr:clientData/>
  </xdr:oneCellAnchor>
  <xdr:oneCellAnchor>
    <xdr:from>
      <xdr:col>1</xdr:col>
      <xdr:colOff>984606</xdr:colOff>
      <xdr:row>63</xdr:row>
      <xdr:rowOff>85617</xdr:rowOff>
    </xdr:from>
    <xdr:ext cx="585058" cy="699214"/>
    <xdr:pic>
      <xdr:nvPicPr>
        <xdr:cNvPr id="30" name="Grafik 29">
          <a:extLst>
            <a:ext uri="{FF2B5EF4-FFF2-40B4-BE49-F238E27FC236}">
              <a16:creationId xmlns:a16="http://schemas.microsoft.com/office/drawing/2014/main" id="{00000000-0008-0000-0C00-00001E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5960" t="55444" r="78224" b="34731"/>
        <a:stretch/>
      </xdr:blipFill>
      <xdr:spPr>
        <a:xfrm>
          <a:off x="2070456" y="14423917"/>
          <a:ext cx="585058" cy="699214"/>
        </a:xfrm>
        <a:prstGeom prst="rect">
          <a:avLst/>
        </a:prstGeom>
      </xdr:spPr>
    </xdr:pic>
    <xdr:clientData/>
  </xdr:oneCellAnchor>
  <xdr:oneCellAnchor>
    <xdr:from>
      <xdr:col>3</xdr:col>
      <xdr:colOff>977471</xdr:colOff>
      <xdr:row>63</xdr:row>
      <xdr:rowOff>85617</xdr:rowOff>
    </xdr:from>
    <xdr:ext cx="585058" cy="699214"/>
    <xdr:pic>
      <xdr:nvPicPr>
        <xdr:cNvPr id="31" name="Grafik 30">
          <a:extLst>
            <a:ext uri="{FF2B5EF4-FFF2-40B4-BE49-F238E27FC236}">
              <a16:creationId xmlns:a16="http://schemas.microsoft.com/office/drawing/2014/main" id="{00000000-0008-0000-0C00-00001F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35536" t="34290" r="58648" b="55885"/>
        <a:stretch/>
      </xdr:blipFill>
      <xdr:spPr>
        <a:xfrm>
          <a:off x="5085921" y="14423917"/>
          <a:ext cx="585058" cy="699214"/>
        </a:xfrm>
        <a:prstGeom prst="rect">
          <a:avLst/>
        </a:prstGeom>
      </xdr:spPr>
    </xdr:pic>
    <xdr:clientData/>
  </xdr:oneCellAnchor>
  <xdr:oneCellAnchor>
    <xdr:from>
      <xdr:col>5</xdr:col>
      <xdr:colOff>670673</xdr:colOff>
      <xdr:row>63</xdr:row>
      <xdr:rowOff>171234</xdr:rowOff>
    </xdr:from>
    <xdr:ext cx="742024" cy="527979"/>
    <xdr:pic>
      <xdr:nvPicPr>
        <xdr:cNvPr id="32" name="Grafik 31">
          <a:extLst>
            <a:ext uri="{FF2B5EF4-FFF2-40B4-BE49-F238E27FC236}">
              <a16:creationId xmlns:a16="http://schemas.microsoft.com/office/drawing/2014/main" id="{00000000-0008-0000-0C00-000020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684" t="45619" r="67940" b="46962"/>
        <a:stretch/>
      </xdr:blipFill>
      <xdr:spPr>
        <a:xfrm>
          <a:off x="7801723" y="14509534"/>
          <a:ext cx="742024" cy="527979"/>
        </a:xfrm>
        <a:prstGeom prst="rect">
          <a:avLst/>
        </a:prstGeom>
      </xdr:spPr>
    </xdr:pic>
    <xdr:clientData/>
  </xdr:oneCellAnchor>
  <xdr:oneCellAnchor>
    <xdr:from>
      <xdr:col>7</xdr:col>
      <xdr:colOff>970338</xdr:colOff>
      <xdr:row>63</xdr:row>
      <xdr:rowOff>192640</xdr:rowOff>
    </xdr:from>
    <xdr:ext cx="742024" cy="285394"/>
    <xdr:pic>
      <xdr:nvPicPr>
        <xdr:cNvPr id="33" name="Grafik 32">
          <a:extLst>
            <a:ext uri="{FF2B5EF4-FFF2-40B4-BE49-F238E27FC236}">
              <a16:creationId xmlns:a16="http://schemas.microsoft.com/office/drawing/2014/main" id="{00000000-0008-0000-0C00-000021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343" t="45419" r="90281" b="50571"/>
        <a:stretch/>
      </xdr:blipFill>
      <xdr:spPr>
        <a:xfrm>
          <a:off x="11136688" y="14530940"/>
          <a:ext cx="742024" cy="285394"/>
        </a:xfrm>
        <a:prstGeom prst="rect">
          <a:avLst/>
        </a:prstGeom>
      </xdr:spPr>
    </xdr:pic>
    <xdr:clientData/>
  </xdr:oneCellAnchor>
  <xdr:oneCellAnchor>
    <xdr:from>
      <xdr:col>1</xdr:col>
      <xdr:colOff>1241461</xdr:colOff>
      <xdr:row>34</xdr:row>
      <xdr:rowOff>74917</xdr:rowOff>
    </xdr:from>
    <xdr:ext cx="824073" cy="787400"/>
    <xdr:pic>
      <xdr:nvPicPr>
        <xdr:cNvPr id="34" name="Grafik 33">
          <a:extLst>
            <a:ext uri="{FF2B5EF4-FFF2-40B4-BE49-F238E27FC236}">
              <a16:creationId xmlns:a16="http://schemas.microsoft.com/office/drawing/2014/main" id="{00000000-0008-0000-0C00-00002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6320" t="84027" r="75488" b="4908"/>
        <a:stretch/>
      </xdr:blipFill>
      <xdr:spPr>
        <a:xfrm>
          <a:off x="2327311" y="7288517"/>
          <a:ext cx="824073" cy="787400"/>
        </a:xfrm>
        <a:prstGeom prst="rect">
          <a:avLst/>
        </a:prstGeom>
      </xdr:spPr>
    </xdr:pic>
    <xdr:clientData/>
  </xdr:oneCellAnchor>
  <xdr:oneCellAnchor>
    <xdr:from>
      <xdr:col>3</xdr:col>
      <xdr:colOff>121292</xdr:colOff>
      <xdr:row>34</xdr:row>
      <xdr:rowOff>57079</xdr:rowOff>
    </xdr:from>
    <xdr:ext cx="670389" cy="799101"/>
    <xdr:pic>
      <xdr:nvPicPr>
        <xdr:cNvPr id="35" name="Grafik 34">
          <a:extLst>
            <a:ext uri="{FF2B5EF4-FFF2-40B4-BE49-F238E27FC236}">
              <a16:creationId xmlns:a16="http://schemas.microsoft.com/office/drawing/2014/main" id="{00000000-0008-0000-0C00-00002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6250" t="83877" r="87085" b="5058"/>
        <a:stretch/>
      </xdr:blipFill>
      <xdr:spPr>
        <a:xfrm>
          <a:off x="4229742" y="7270679"/>
          <a:ext cx="670389" cy="799101"/>
        </a:xfrm>
        <a:prstGeom prst="rect">
          <a:avLst/>
        </a:prstGeom>
      </xdr:spPr>
    </xdr:pic>
    <xdr:clientData/>
  </xdr:oneCellAnchor>
  <xdr:oneCellAnchor>
    <xdr:from>
      <xdr:col>1</xdr:col>
      <xdr:colOff>659971</xdr:colOff>
      <xdr:row>24</xdr:row>
      <xdr:rowOff>167668</xdr:rowOff>
    </xdr:from>
    <xdr:ext cx="973905" cy="834776"/>
    <xdr:pic>
      <xdr:nvPicPr>
        <xdr:cNvPr id="36" name="Grafik 35">
          <a:extLst>
            <a:ext uri="{FF2B5EF4-FFF2-40B4-BE49-F238E27FC236}">
              <a16:creationId xmlns:a16="http://schemas.microsoft.com/office/drawing/2014/main" id="{00000000-0008-0000-0C00-00002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6725" t="7520" r="53592" b="80749"/>
        <a:stretch/>
      </xdr:blipFill>
      <xdr:spPr>
        <a:xfrm>
          <a:off x="1745821" y="5019068"/>
          <a:ext cx="973905" cy="834776"/>
        </a:xfrm>
        <a:prstGeom prst="rect">
          <a:avLst/>
        </a:prstGeom>
      </xdr:spPr>
    </xdr:pic>
    <xdr:clientData/>
  </xdr:oneCellAnchor>
  <xdr:oneCellAnchor>
    <xdr:from>
      <xdr:col>3</xdr:col>
      <xdr:colOff>610030</xdr:colOff>
      <xdr:row>23</xdr:row>
      <xdr:rowOff>178372</xdr:rowOff>
    </xdr:from>
    <xdr:ext cx="845478" cy="1048822"/>
    <xdr:pic>
      <xdr:nvPicPr>
        <xdr:cNvPr id="37" name="Grafik 36">
          <a:extLst>
            <a:ext uri="{FF2B5EF4-FFF2-40B4-BE49-F238E27FC236}">
              <a16:creationId xmlns:a16="http://schemas.microsoft.com/office/drawing/2014/main" id="{00000000-0008-0000-0C00-000025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717" t="8723" r="89877" b="76538"/>
        <a:stretch/>
      </xdr:blipFill>
      <xdr:spPr>
        <a:xfrm>
          <a:off x="4718480" y="4832922"/>
          <a:ext cx="845478" cy="1048822"/>
        </a:xfrm>
        <a:prstGeom prst="rect">
          <a:avLst/>
        </a:prstGeom>
      </xdr:spPr>
    </xdr:pic>
    <xdr:clientData/>
  </xdr:oneCellAnchor>
  <xdr:oneCellAnchor>
    <xdr:from>
      <xdr:col>5</xdr:col>
      <xdr:colOff>577920</xdr:colOff>
      <xdr:row>24</xdr:row>
      <xdr:rowOff>21404</xdr:rowOff>
    </xdr:from>
    <xdr:ext cx="1016713" cy="1091630"/>
    <xdr:pic>
      <xdr:nvPicPr>
        <xdr:cNvPr id="38" name="Grafik 37">
          <a:extLst>
            <a:ext uri="{FF2B5EF4-FFF2-40B4-BE49-F238E27FC236}">
              <a16:creationId xmlns:a16="http://schemas.microsoft.com/office/drawing/2014/main" id="{00000000-0008-0000-0C00-00002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8214" t="34742" r="51678" b="49917"/>
        <a:stretch/>
      </xdr:blipFill>
      <xdr:spPr>
        <a:xfrm>
          <a:off x="7708970" y="4872804"/>
          <a:ext cx="1016713" cy="1091630"/>
        </a:xfrm>
        <a:prstGeom prst="rect">
          <a:avLst/>
        </a:prstGeom>
      </xdr:spPr>
    </xdr:pic>
    <xdr:clientData/>
  </xdr:oneCellAnchor>
  <xdr:oneCellAnchor>
    <xdr:from>
      <xdr:col>5</xdr:col>
      <xdr:colOff>117726</xdr:colOff>
      <xdr:row>12</xdr:row>
      <xdr:rowOff>99887</xdr:rowOff>
    </xdr:from>
    <xdr:ext cx="1273568" cy="1348482"/>
    <xdr:pic>
      <xdr:nvPicPr>
        <xdr:cNvPr id="39" name="Grafik 38">
          <a:extLst>
            <a:ext uri="{FF2B5EF4-FFF2-40B4-BE49-F238E27FC236}">
              <a16:creationId xmlns:a16="http://schemas.microsoft.com/office/drawing/2014/main" id="{00000000-0008-0000-0C00-000027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1390" t="6467" r="45948" b="75185"/>
        <a:stretch/>
      </xdr:blipFill>
      <xdr:spPr>
        <a:xfrm>
          <a:off x="6913653" y="2411572"/>
          <a:ext cx="1273568" cy="1348482"/>
        </a:xfrm>
        <a:prstGeom prst="rect">
          <a:avLst/>
        </a:prstGeom>
      </xdr:spPr>
    </xdr:pic>
    <xdr:clientData/>
  </xdr:oneCellAnchor>
  <xdr:twoCellAnchor editAs="oneCell">
    <xdr:from>
      <xdr:col>5</xdr:col>
      <xdr:colOff>1619609</xdr:colOff>
      <xdr:row>9</xdr:row>
      <xdr:rowOff>149831</xdr:rowOff>
    </xdr:from>
    <xdr:to>
      <xdr:col>5</xdr:col>
      <xdr:colOff>2065535</xdr:colOff>
      <xdr:row>14</xdr:row>
      <xdr:rowOff>142696</xdr:rowOff>
    </xdr:to>
    <xdr:pic>
      <xdr:nvPicPr>
        <xdr:cNvPr id="40" name="Grafik 39">
          <a:extLst>
            <a:ext uri="{FF2B5EF4-FFF2-40B4-BE49-F238E27FC236}">
              <a16:creationId xmlns:a16="http://schemas.microsoft.com/office/drawing/2014/main" id="{00000000-0008-0000-0C00-000028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6462" t="7620" r="49023" b="78444"/>
        <a:stretch/>
      </xdr:blipFill>
      <xdr:spPr>
        <a:xfrm>
          <a:off x="8415536" y="1883595"/>
          <a:ext cx="445926" cy="956067"/>
        </a:xfrm>
        <a:prstGeom prst="rect">
          <a:avLst/>
        </a:prstGeom>
      </xdr:spPr>
    </xdr:pic>
    <xdr:clientData/>
  </xdr:twoCellAnchor>
  <xdr:twoCellAnchor editAs="oneCell">
    <xdr:from>
      <xdr:col>3</xdr:col>
      <xdr:colOff>1498315</xdr:colOff>
      <xdr:row>10</xdr:row>
      <xdr:rowOff>14269</xdr:rowOff>
    </xdr:from>
    <xdr:to>
      <xdr:col>3</xdr:col>
      <xdr:colOff>2026293</xdr:colOff>
      <xdr:row>15</xdr:row>
      <xdr:rowOff>7134</xdr:rowOff>
    </xdr:to>
    <xdr:pic>
      <xdr:nvPicPr>
        <xdr:cNvPr id="41" name="Grafik 40">
          <a:extLst>
            <a:ext uri="{FF2B5EF4-FFF2-40B4-BE49-F238E27FC236}">
              <a16:creationId xmlns:a16="http://schemas.microsoft.com/office/drawing/2014/main" id="{00000000-0008-0000-0C00-000029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6462" t="7620" r="48289" b="78444"/>
        <a:stretch/>
      </xdr:blipFill>
      <xdr:spPr>
        <a:xfrm>
          <a:off x="5606765" y="1989119"/>
          <a:ext cx="527978" cy="977115"/>
        </a:xfrm>
        <a:prstGeom prst="rect">
          <a:avLst/>
        </a:prstGeom>
      </xdr:spPr>
    </xdr:pic>
    <xdr:clientData/>
  </xdr:twoCellAnchor>
  <xdr:twoCellAnchor editAs="oneCell">
    <xdr:from>
      <xdr:col>1</xdr:col>
      <xdr:colOff>1441236</xdr:colOff>
      <xdr:row>10</xdr:row>
      <xdr:rowOff>21405</xdr:rowOff>
    </xdr:from>
    <xdr:to>
      <xdr:col>1</xdr:col>
      <xdr:colOff>1969214</xdr:colOff>
      <xdr:row>15</xdr:row>
      <xdr:rowOff>14270</xdr:rowOff>
    </xdr:to>
    <xdr:pic>
      <xdr:nvPicPr>
        <xdr:cNvPr id="42" name="Grafik 41">
          <a:extLst>
            <a:ext uri="{FF2B5EF4-FFF2-40B4-BE49-F238E27FC236}">
              <a16:creationId xmlns:a16="http://schemas.microsoft.com/office/drawing/2014/main" id="{00000000-0008-0000-0C00-00002A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6462" t="7620" r="48289" b="78444"/>
        <a:stretch/>
      </xdr:blipFill>
      <xdr:spPr>
        <a:xfrm>
          <a:off x="2527086" y="1996255"/>
          <a:ext cx="527978" cy="977115"/>
        </a:xfrm>
        <a:prstGeom prst="rect">
          <a:avLst/>
        </a:prstGeom>
      </xdr:spPr>
    </xdr:pic>
    <xdr:clientData/>
  </xdr:twoCellAnchor>
  <xdr:twoCellAnchor editAs="oneCell">
    <xdr:from>
      <xdr:col>3</xdr:col>
      <xdr:colOff>28541</xdr:colOff>
      <xdr:row>4</xdr:row>
      <xdr:rowOff>74915</xdr:rowOff>
    </xdr:from>
    <xdr:to>
      <xdr:col>3</xdr:col>
      <xdr:colOff>1398428</xdr:colOff>
      <xdr:row>7</xdr:row>
      <xdr:rowOff>171235</xdr:rowOff>
    </xdr:to>
    <xdr:pic>
      <xdr:nvPicPr>
        <xdr:cNvPr id="43" name="Grafik 42">
          <a:extLst>
            <a:ext uri="{FF2B5EF4-FFF2-40B4-BE49-F238E27FC236}">
              <a16:creationId xmlns:a16="http://schemas.microsoft.com/office/drawing/2014/main" id="{00000000-0008-0000-0C00-00002B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2559" t="9114" r="53823" b="81251"/>
        <a:stretch/>
      </xdr:blipFill>
      <xdr:spPr>
        <a:xfrm>
          <a:off x="3945563" y="856179"/>
          <a:ext cx="1369887" cy="663539"/>
        </a:xfrm>
        <a:prstGeom prst="rect">
          <a:avLst/>
        </a:prstGeom>
      </xdr:spPr>
    </xdr:pic>
    <xdr:clientData/>
  </xdr:twoCellAnchor>
  <xdr:twoCellAnchor editAs="oneCell">
    <xdr:from>
      <xdr:col>9</xdr:col>
      <xdr:colOff>720618</xdr:colOff>
      <xdr:row>44</xdr:row>
      <xdr:rowOff>142696</xdr:rowOff>
    </xdr:from>
    <xdr:to>
      <xdr:col>9</xdr:col>
      <xdr:colOff>1605337</xdr:colOff>
      <xdr:row>48</xdr:row>
      <xdr:rowOff>185506</xdr:rowOff>
    </xdr:to>
    <xdr:pic>
      <xdr:nvPicPr>
        <xdr:cNvPr id="44" name="Grafik 43">
          <a:extLst>
            <a:ext uri="{FF2B5EF4-FFF2-40B4-BE49-F238E27FC236}">
              <a16:creationId xmlns:a16="http://schemas.microsoft.com/office/drawing/2014/main" id="{00000000-0008-0000-0C00-00002C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0643" t="50331" r="50562" b="37838"/>
        <a:stretch/>
      </xdr:blipFill>
      <xdr:spPr>
        <a:xfrm>
          <a:off x="13909568" y="9318446"/>
          <a:ext cx="884719" cy="830210"/>
        </a:xfrm>
        <a:prstGeom prst="rect">
          <a:avLst/>
        </a:prstGeom>
      </xdr:spPr>
    </xdr:pic>
    <xdr:clientData/>
  </xdr:twoCellAnchor>
  <xdr:oneCellAnchor>
    <xdr:from>
      <xdr:col>7</xdr:col>
      <xdr:colOff>720618</xdr:colOff>
      <xdr:row>44</xdr:row>
      <xdr:rowOff>142696</xdr:rowOff>
    </xdr:from>
    <xdr:ext cx="884719" cy="841911"/>
    <xdr:pic>
      <xdr:nvPicPr>
        <xdr:cNvPr id="45" name="Grafik 44">
          <a:extLst>
            <a:ext uri="{FF2B5EF4-FFF2-40B4-BE49-F238E27FC236}">
              <a16:creationId xmlns:a16="http://schemas.microsoft.com/office/drawing/2014/main" id="{00000000-0008-0000-0C00-00002D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1493" t="50130" r="59712" b="38039"/>
        <a:stretch/>
      </xdr:blipFill>
      <xdr:spPr>
        <a:xfrm>
          <a:off x="10886968" y="9318446"/>
          <a:ext cx="884719" cy="841911"/>
        </a:xfrm>
        <a:prstGeom prst="rect">
          <a:avLst/>
        </a:prstGeom>
      </xdr:spPr>
    </xdr:pic>
    <xdr:clientData/>
  </xdr:oneCellAnchor>
  <xdr:oneCellAnchor>
    <xdr:from>
      <xdr:col>5</xdr:col>
      <xdr:colOff>35674</xdr:colOff>
      <xdr:row>44</xdr:row>
      <xdr:rowOff>107023</xdr:rowOff>
    </xdr:from>
    <xdr:ext cx="884719" cy="841911"/>
    <xdr:pic>
      <xdr:nvPicPr>
        <xdr:cNvPr id="46" name="Grafik 45">
          <a:extLst>
            <a:ext uri="{FF2B5EF4-FFF2-40B4-BE49-F238E27FC236}">
              <a16:creationId xmlns:a16="http://schemas.microsoft.com/office/drawing/2014/main" id="{00000000-0008-0000-0C00-00002E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3762" t="50631" r="67443" b="37538"/>
        <a:stretch/>
      </xdr:blipFill>
      <xdr:spPr>
        <a:xfrm>
          <a:off x="7166724" y="9282773"/>
          <a:ext cx="884719" cy="841911"/>
        </a:xfrm>
        <a:prstGeom prst="rect">
          <a:avLst/>
        </a:prstGeom>
      </xdr:spPr>
    </xdr:pic>
    <xdr:clientData/>
  </xdr:oneCellAnchor>
  <xdr:oneCellAnchor>
    <xdr:from>
      <xdr:col>5</xdr:col>
      <xdr:colOff>1291406</xdr:colOff>
      <xdr:row>43</xdr:row>
      <xdr:rowOff>135562</xdr:rowOff>
    </xdr:from>
    <xdr:ext cx="784832" cy="1041685"/>
    <xdr:pic>
      <xdr:nvPicPr>
        <xdr:cNvPr id="47" name="Grafik 46">
          <a:extLst>
            <a:ext uri="{FF2B5EF4-FFF2-40B4-BE49-F238E27FC236}">
              <a16:creationId xmlns:a16="http://schemas.microsoft.com/office/drawing/2014/main" id="{00000000-0008-0000-0C00-00002F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598" t="48325" r="75600" b="37037"/>
        <a:stretch/>
      </xdr:blipFill>
      <xdr:spPr>
        <a:xfrm>
          <a:off x="8422456" y="9114462"/>
          <a:ext cx="784832" cy="1041685"/>
        </a:xfrm>
        <a:prstGeom prst="rect">
          <a:avLst/>
        </a:prstGeom>
      </xdr:spPr>
    </xdr:pic>
    <xdr:clientData/>
  </xdr:oneCellAnchor>
  <xdr:oneCellAnchor>
    <xdr:from>
      <xdr:col>3</xdr:col>
      <xdr:colOff>613599</xdr:colOff>
      <xdr:row>44</xdr:row>
      <xdr:rowOff>135562</xdr:rowOff>
    </xdr:from>
    <xdr:ext cx="706348" cy="841911"/>
    <xdr:pic>
      <xdr:nvPicPr>
        <xdr:cNvPr id="48" name="Grafik 47">
          <a:extLst>
            <a:ext uri="{FF2B5EF4-FFF2-40B4-BE49-F238E27FC236}">
              <a16:creationId xmlns:a16="http://schemas.microsoft.com/office/drawing/2014/main" id="{00000000-0008-0000-0C00-000030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0286" t="50631" r="82692" b="37538"/>
        <a:stretch/>
      </xdr:blipFill>
      <xdr:spPr>
        <a:xfrm>
          <a:off x="4722049" y="9311312"/>
          <a:ext cx="706348" cy="841911"/>
        </a:xfrm>
        <a:prstGeom prst="rect">
          <a:avLst/>
        </a:prstGeom>
      </xdr:spPr>
    </xdr:pic>
    <xdr:clientData/>
  </xdr:oneCellAnchor>
  <xdr:oneCellAnchor>
    <xdr:from>
      <xdr:col>1</xdr:col>
      <xdr:colOff>613599</xdr:colOff>
      <xdr:row>44</xdr:row>
      <xdr:rowOff>135562</xdr:rowOff>
    </xdr:from>
    <xdr:ext cx="706348" cy="841911"/>
    <xdr:pic>
      <xdr:nvPicPr>
        <xdr:cNvPr id="49" name="Grafik 48">
          <a:extLst>
            <a:ext uri="{FF2B5EF4-FFF2-40B4-BE49-F238E27FC236}">
              <a16:creationId xmlns:a16="http://schemas.microsoft.com/office/drawing/2014/main" id="{00000000-0008-0000-0C00-000031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831" t="51433" r="89147" b="36736"/>
        <a:stretch/>
      </xdr:blipFill>
      <xdr:spPr>
        <a:xfrm>
          <a:off x="1699449" y="9311312"/>
          <a:ext cx="706348" cy="841911"/>
        </a:xfrm>
        <a:prstGeom prst="rect">
          <a:avLst/>
        </a:prstGeom>
      </xdr:spPr>
    </xdr:pic>
    <xdr:clientData/>
  </xdr:oneCellAnchor>
  <xdr:twoCellAnchor editAs="oneCell">
    <xdr:from>
      <xdr:col>3</xdr:col>
      <xdr:colOff>21403</xdr:colOff>
      <xdr:row>12</xdr:row>
      <xdr:rowOff>171236</xdr:rowOff>
    </xdr:from>
    <xdr:to>
      <xdr:col>3</xdr:col>
      <xdr:colOff>920392</xdr:colOff>
      <xdr:row>19</xdr:row>
      <xdr:rowOff>235449</xdr:rowOff>
    </xdr:to>
    <xdr:pic>
      <xdr:nvPicPr>
        <xdr:cNvPr id="51" name="Grafik 50">
          <a:extLst>
            <a:ext uri="{FF2B5EF4-FFF2-40B4-BE49-F238E27FC236}">
              <a16:creationId xmlns:a16="http://schemas.microsoft.com/office/drawing/2014/main" id="{00000000-0008-0000-0C00-000033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3091" t="1354" r="57972" b="78795"/>
        <a:stretch/>
      </xdr:blipFill>
      <xdr:spPr>
        <a:xfrm>
          <a:off x="3938425" y="2482921"/>
          <a:ext cx="898989" cy="141269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73</xdr:col>
      <xdr:colOff>1415340</xdr:colOff>
      <xdr:row>136</xdr:row>
      <xdr:rowOff>13416</xdr:rowOff>
    </xdr:from>
    <xdr:ext cx="664070" cy="1133609"/>
    <xdr:pic>
      <xdr:nvPicPr>
        <xdr:cNvPr id="337" name="Grafik 336">
          <a:extLst>
            <a:ext uri="{FF2B5EF4-FFF2-40B4-BE49-F238E27FC236}">
              <a16:creationId xmlns:a16="http://schemas.microsoft.com/office/drawing/2014/main" id="{00000000-0008-0000-0D00-000051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0579" t="6560" r="25028" b="82839"/>
        <a:stretch/>
      </xdr:blipFill>
      <xdr:spPr>
        <a:xfrm>
          <a:off x="103413333" y="34739420"/>
          <a:ext cx="664070" cy="1133609"/>
        </a:xfrm>
        <a:prstGeom prst="rect">
          <a:avLst/>
        </a:prstGeom>
      </xdr:spPr>
    </xdr:pic>
    <xdr:clientData/>
  </xdr:oneCellAnchor>
  <xdr:oneCellAnchor>
    <xdr:from>
      <xdr:col>1</xdr:col>
      <xdr:colOff>262444</xdr:colOff>
      <xdr:row>182</xdr:row>
      <xdr:rowOff>194387</xdr:rowOff>
    </xdr:from>
    <xdr:ext cx="933060" cy="855307"/>
    <xdr:pic>
      <xdr:nvPicPr>
        <xdr:cNvPr id="273" name="Grafik 272">
          <a:extLst>
            <a:ext uri="{FF2B5EF4-FFF2-40B4-BE49-F238E27FC236}">
              <a16:creationId xmlns:a16="http://schemas.microsoft.com/office/drawing/2014/main" id="{00000000-0008-0000-0D00-000011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483" t="22552" r="54344" b="69449"/>
        <a:stretch/>
      </xdr:blipFill>
      <xdr:spPr>
        <a:xfrm>
          <a:off x="4208515" y="47527805"/>
          <a:ext cx="933060" cy="855307"/>
        </a:xfrm>
        <a:prstGeom prst="rect">
          <a:avLst/>
        </a:prstGeom>
      </xdr:spPr>
    </xdr:pic>
    <xdr:clientData/>
  </xdr:oneCellAnchor>
  <xdr:oneCellAnchor>
    <xdr:from>
      <xdr:col>1</xdr:col>
      <xdr:colOff>87476</xdr:colOff>
      <xdr:row>141</xdr:row>
      <xdr:rowOff>388775</xdr:rowOff>
    </xdr:from>
    <xdr:ext cx="602602" cy="126352"/>
    <xdr:pic>
      <xdr:nvPicPr>
        <xdr:cNvPr id="232" name="Grafik 231">
          <a:extLst>
            <a:ext uri="{FF2B5EF4-FFF2-40B4-BE49-F238E27FC236}">
              <a16:creationId xmlns:a16="http://schemas.microsoft.com/office/drawing/2014/main" id="{00000000-0008-0000-0D00-0000E8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500" t="28461" r="58513" b="70357"/>
        <a:stretch/>
      </xdr:blipFill>
      <xdr:spPr>
        <a:xfrm>
          <a:off x="1127450" y="36875357"/>
          <a:ext cx="602602" cy="126352"/>
        </a:xfrm>
        <a:prstGeom prst="rect">
          <a:avLst/>
        </a:prstGeom>
      </xdr:spPr>
    </xdr:pic>
    <xdr:clientData/>
  </xdr:oneCellAnchor>
  <xdr:oneCellAnchor>
    <xdr:from>
      <xdr:col>51</xdr:col>
      <xdr:colOff>442359</xdr:colOff>
      <xdr:row>54</xdr:row>
      <xdr:rowOff>185505</xdr:rowOff>
    </xdr:from>
    <xdr:ext cx="1182928" cy="828136"/>
    <xdr:pic>
      <xdr:nvPicPr>
        <xdr:cNvPr id="43" name="Grafik 42">
          <a:extLst>
            <a:ext uri="{FF2B5EF4-FFF2-40B4-BE49-F238E27FC236}">
              <a16:creationId xmlns:a16="http://schemas.microsoft.com/office/drawing/2014/main" id="{00000000-0008-0000-0D00-00002B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7960" t="24625" r="63942" b="67363"/>
        <a:stretch/>
      </xdr:blipFill>
      <xdr:spPr>
        <a:xfrm>
          <a:off x="74705609" y="14066605"/>
          <a:ext cx="1182928" cy="828136"/>
        </a:xfrm>
        <a:prstGeom prst="rect">
          <a:avLst/>
        </a:prstGeom>
      </xdr:spPr>
    </xdr:pic>
    <xdr:clientData/>
  </xdr:oneCellAnchor>
  <xdr:oneCellAnchor>
    <xdr:from>
      <xdr:col>59</xdr:col>
      <xdr:colOff>344364</xdr:colOff>
      <xdr:row>61</xdr:row>
      <xdr:rowOff>102577</xdr:rowOff>
    </xdr:from>
    <xdr:ext cx="1099039" cy="725365"/>
    <xdr:pic>
      <xdr:nvPicPr>
        <xdr:cNvPr id="44" name="Grafik 43">
          <a:extLst>
            <a:ext uri="{FF2B5EF4-FFF2-40B4-BE49-F238E27FC236}">
              <a16:creationId xmlns:a16="http://schemas.microsoft.com/office/drawing/2014/main" id="{00000000-0008-0000-0D00-00002C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65893" t="51777" r="26584" b="41205"/>
        <a:stretch/>
      </xdr:blipFill>
      <xdr:spPr>
        <a:xfrm>
          <a:off x="86901214" y="17126927"/>
          <a:ext cx="1099039" cy="725365"/>
        </a:xfrm>
        <a:prstGeom prst="rect">
          <a:avLst/>
        </a:prstGeom>
      </xdr:spPr>
    </xdr:pic>
    <xdr:clientData/>
  </xdr:oneCellAnchor>
  <xdr:oneCellAnchor>
    <xdr:from>
      <xdr:col>59</xdr:col>
      <xdr:colOff>315056</xdr:colOff>
      <xdr:row>66</xdr:row>
      <xdr:rowOff>139211</xdr:rowOff>
    </xdr:from>
    <xdr:ext cx="1099039" cy="688731"/>
    <xdr:pic>
      <xdr:nvPicPr>
        <xdr:cNvPr id="45" name="Grafik 44">
          <a:extLst>
            <a:ext uri="{FF2B5EF4-FFF2-40B4-BE49-F238E27FC236}">
              <a16:creationId xmlns:a16="http://schemas.microsoft.com/office/drawing/2014/main" id="{00000000-0008-0000-0D00-00002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65943" t="59433" r="26534" b="33903"/>
        <a:stretch/>
      </xdr:blipFill>
      <xdr:spPr>
        <a:xfrm>
          <a:off x="86871906" y="18179561"/>
          <a:ext cx="1099039" cy="688731"/>
        </a:xfrm>
        <a:prstGeom prst="rect">
          <a:avLst/>
        </a:prstGeom>
      </xdr:spPr>
    </xdr:pic>
    <xdr:clientData/>
  </xdr:oneCellAnchor>
  <xdr:oneCellAnchor>
    <xdr:from>
      <xdr:col>59</xdr:col>
      <xdr:colOff>265497</xdr:colOff>
      <xdr:row>76</xdr:row>
      <xdr:rowOff>133824</xdr:rowOff>
    </xdr:from>
    <xdr:ext cx="1047751" cy="1685193"/>
    <xdr:pic>
      <xdr:nvPicPr>
        <xdr:cNvPr id="46" name="Grafik 45">
          <a:extLst>
            <a:ext uri="{FF2B5EF4-FFF2-40B4-BE49-F238E27FC236}">
              <a16:creationId xmlns:a16="http://schemas.microsoft.com/office/drawing/2014/main" id="{00000000-0008-0000-0D00-00002E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65592" t="76376" r="27236" b="7317"/>
        <a:stretch/>
      </xdr:blipFill>
      <xdr:spPr>
        <a:xfrm>
          <a:off x="86822347" y="20320474"/>
          <a:ext cx="1047751" cy="1685193"/>
        </a:xfrm>
        <a:prstGeom prst="rect">
          <a:avLst/>
        </a:prstGeom>
      </xdr:spPr>
    </xdr:pic>
    <xdr:clientData/>
  </xdr:oneCellAnchor>
  <xdr:oneCellAnchor>
    <xdr:from>
      <xdr:col>57</xdr:col>
      <xdr:colOff>249651</xdr:colOff>
      <xdr:row>76</xdr:row>
      <xdr:rowOff>133824</xdr:rowOff>
    </xdr:from>
    <xdr:ext cx="1047751" cy="1685193"/>
    <xdr:pic>
      <xdr:nvPicPr>
        <xdr:cNvPr id="47" name="Grafik 46">
          <a:extLst>
            <a:ext uri="{FF2B5EF4-FFF2-40B4-BE49-F238E27FC236}">
              <a16:creationId xmlns:a16="http://schemas.microsoft.com/office/drawing/2014/main" id="{00000000-0008-0000-0D00-00002F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6013" t="76305" r="36815" b="7388"/>
        <a:stretch/>
      </xdr:blipFill>
      <xdr:spPr>
        <a:xfrm>
          <a:off x="83733101" y="20320474"/>
          <a:ext cx="1047751" cy="1685193"/>
        </a:xfrm>
        <a:prstGeom prst="rect">
          <a:avLst/>
        </a:prstGeom>
      </xdr:spPr>
    </xdr:pic>
    <xdr:clientData/>
  </xdr:oneCellAnchor>
  <xdr:oneCellAnchor>
    <xdr:from>
      <xdr:col>55</xdr:col>
      <xdr:colOff>297596</xdr:colOff>
      <xdr:row>76</xdr:row>
      <xdr:rowOff>133824</xdr:rowOff>
    </xdr:from>
    <xdr:ext cx="1047751" cy="1685193"/>
    <xdr:pic>
      <xdr:nvPicPr>
        <xdr:cNvPr id="48" name="Grafik 47">
          <a:extLst>
            <a:ext uri="{FF2B5EF4-FFF2-40B4-BE49-F238E27FC236}">
              <a16:creationId xmlns:a16="http://schemas.microsoft.com/office/drawing/2014/main" id="{00000000-0008-0000-0D00-000030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6013" t="76305" r="36815" b="7388"/>
        <a:stretch/>
      </xdr:blipFill>
      <xdr:spPr>
        <a:xfrm>
          <a:off x="80707646" y="20320474"/>
          <a:ext cx="1047751" cy="1685193"/>
        </a:xfrm>
        <a:prstGeom prst="rect">
          <a:avLst/>
        </a:prstGeom>
      </xdr:spPr>
    </xdr:pic>
    <xdr:clientData/>
  </xdr:oneCellAnchor>
  <xdr:oneCellAnchor>
    <xdr:from>
      <xdr:col>53</xdr:col>
      <xdr:colOff>321001</xdr:colOff>
      <xdr:row>76</xdr:row>
      <xdr:rowOff>133824</xdr:rowOff>
    </xdr:from>
    <xdr:ext cx="1047751" cy="1685193"/>
    <xdr:pic>
      <xdr:nvPicPr>
        <xdr:cNvPr id="49" name="Grafik 48">
          <a:extLst>
            <a:ext uri="{FF2B5EF4-FFF2-40B4-BE49-F238E27FC236}">
              <a16:creationId xmlns:a16="http://schemas.microsoft.com/office/drawing/2014/main" id="{00000000-0008-0000-0D00-000031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6904" t="76447" r="55924" b="7246"/>
        <a:stretch/>
      </xdr:blipFill>
      <xdr:spPr>
        <a:xfrm>
          <a:off x="77657651" y="20320474"/>
          <a:ext cx="1047751" cy="1685193"/>
        </a:xfrm>
        <a:prstGeom prst="rect">
          <a:avLst/>
        </a:prstGeom>
      </xdr:spPr>
    </xdr:pic>
    <xdr:clientData/>
  </xdr:oneCellAnchor>
  <xdr:oneCellAnchor>
    <xdr:from>
      <xdr:col>51</xdr:col>
      <xdr:colOff>321001</xdr:colOff>
      <xdr:row>76</xdr:row>
      <xdr:rowOff>133824</xdr:rowOff>
    </xdr:from>
    <xdr:ext cx="1047751" cy="1685193"/>
    <xdr:pic>
      <xdr:nvPicPr>
        <xdr:cNvPr id="50" name="Grafik 49">
          <a:extLst>
            <a:ext uri="{FF2B5EF4-FFF2-40B4-BE49-F238E27FC236}">
              <a16:creationId xmlns:a16="http://schemas.microsoft.com/office/drawing/2014/main" id="{00000000-0008-0000-0D00-000032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7475" t="76518" r="65353" b="7175"/>
        <a:stretch/>
      </xdr:blipFill>
      <xdr:spPr>
        <a:xfrm>
          <a:off x="74584251" y="20320474"/>
          <a:ext cx="1047751" cy="1685193"/>
        </a:xfrm>
        <a:prstGeom prst="rect">
          <a:avLst/>
        </a:prstGeom>
      </xdr:spPr>
    </xdr:pic>
    <xdr:clientData/>
  </xdr:oneCellAnchor>
  <xdr:oneCellAnchor>
    <xdr:from>
      <xdr:col>49</xdr:col>
      <xdr:colOff>349541</xdr:colOff>
      <xdr:row>76</xdr:row>
      <xdr:rowOff>133824</xdr:rowOff>
    </xdr:from>
    <xdr:ext cx="1047751" cy="1685193"/>
    <xdr:pic>
      <xdr:nvPicPr>
        <xdr:cNvPr id="51" name="Grafik 50">
          <a:extLst>
            <a:ext uri="{FF2B5EF4-FFF2-40B4-BE49-F238E27FC236}">
              <a16:creationId xmlns:a16="http://schemas.microsoft.com/office/drawing/2014/main" id="{00000000-0008-0000-0D00-000033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7475" t="76518" r="65353" b="7175"/>
        <a:stretch/>
      </xdr:blipFill>
      <xdr:spPr>
        <a:xfrm>
          <a:off x="71539391" y="20320474"/>
          <a:ext cx="1047751" cy="1685193"/>
        </a:xfrm>
        <a:prstGeom prst="rect">
          <a:avLst/>
        </a:prstGeom>
      </xdr:spPr>
    </xdr:pic>
    <xdr:clientData/>
  </xdr:oneCellAnchor>
  <xdr:oneCellAnchor>
    <xdr:from>
      <xdr:col>61</xdr:col>
      <xdr:colOff>222687</xdr:colOff>
      <xdr:row>76</xdr:row>
      <xdr:rowOff>133824</xdr:rowOff>
    </xdr:from>
    <xdr:ext cx="1238249" cy="1685193"/>
    <xdr:pic>
      <xdr:nvPicPr>
        <xdr:cNvPr id="52" name="Grafik 51">
          <a:extLst>
            <a:ext uri="{FF2B5EF4-FFF2-40B4-BE49-F238E27FC236}">
              <a16:creationId xmlns:a16="http://schemas.microsoft.com/office/drawing/2014/main" id="{00000000-0008-0000-0D00-000034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75171" t="76376" r="16353" b="7317"/>
        <a:stretch/>
      </xdr:blipFill>
      <xdr:spPr>
        <a:xfrm>
          <a:off x="89852937" y="20320474"/>
          <a:ext cx="1238249" cy="1685193"/>
        </a:xfrm>
        <a:prstGeom prst="rect">
          <a:avLst/>
        </a:prstGeom>
      </xdr:spPr>
    </xdr:pic>
    <xdr:clientData/>
  </xdr:oneCellAnchor>
  <xdr:oneCellAnchor>
    <xdr:from>
      <xdr:col>61</xdr:col>
      <xdr:colOff>274330</xdr:colOff>
      <xdr:row>61</xdr:row>
      <xdr:rowOff>88569</xdr:rowOff>
    </xdr:from>
    <xdr:ext cx="1099039" cy="725365"/>
    <xdr:pic>
      <xdr:nvPicPr>
        <xdr:cNvPr id="53" name="Grafik 52">
          <a:extLst>
            <a:ext uri="{FF2B5EF4-FFF2-40B4-BE49-F238E27FC236}">
              <a16:creationId xmlns:a16="http://schemas.microsoft.com/office/drawing/2014/main" id="{00000000-0008-0000-0D00-000035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75372" t="51848" r="17105" b="41134"/>
        <a:stretch/>
      </xdr:blipFill>
      <xdr:spPr>
        <a:xfrm>
          <a:off x="89904580" y="17112919"/>
          <a:ext cx="1099039" cy="725365"/>
        </a:xfrm>
        <a:prstGeom prst="rect">
          <a:avLst/>
        </a:prstGeom>
      </xdr:spPr>
    </xdr:pic>
    <xdr:clientData/>
  </xdr:oneCellAnchor>
  <xdr:oneCellAnchor>
    <xdr:from>
      <xdr:col>61</xdr:col>
      <xdr:colOff>315056</xdr:colOff>
      <xdr:row>66</xdr:row>
      <xdr:rowOff>139211</xdr:rowOff>
    </xdr:from>
    <xdr:ext cx="1099039" cy="688731"/>
    <xdr:pic>
      <xdr:nvPicPr>
        <xdr:cNvPr id="54" name="Grafik 53">
          <a:extLst>
            <a:ext uri="{FF2B5EF4-FFF2-40B4-BE49-F238E27FC236}">
              <a16:creationId xmlns:a16="http://schemas.microsoft.com/office/drawing/2014/main" id="{00000000-0008-0000-0D00-00003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75773" t="59291" r="16704" b="34045"/>
        <a:stretch/>
      </xdr:blipFill>
      <xdr:spPr>
        <a:xfrm>
          <a:off x="89945306" y="18179561"/>
          <a:ext cx="1099039" cy="688731"/>
        </a:xfrm>
        <a:prstGeom prst="rect">
          <a:avLst/>
        </a:prstGeom>
      </xdr:spPr>
    </xdr:pic>
    <xdr:clientData/>
  </xdr:oneCellAnchor>
  <xdr:oneCellAnchor>
    <xdr:from>
      <xdr:col>57</xdr:col>
      <xdr:colOff>344364</xdr:colOff>
      <xdr:row>61</xdr:row>
      <xdr:rowOff>102577</xdr:rowOff>
    </xdr:from>
    <xdr:ext cx="1099039" cy="725365"/>
    <xdr:pic>
      <xdr:nvPicPr>
        <xdr:cNvPr id="55" name="Grafik 54">
          <a:extLst>
            <a:ext uri="{FF2B5EF4-FFF2-40B4-BE49-F238E27FC236}">
              <a16:creationId xmlns:a16="http://schemas.microsoft.com/office/drawing/2014/main" id="{00000000-0008-0000-0D00-000037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6715" t="51919" r="35762" b="41063"/>
        <a:stretch/>
      </xdr:blipFill>
      <xdr:spPr>
        <a:xfrm>
          <a:off x="83827814" y="17126927"/>
          <a:ext cx="1099039" cy="725365"/>
        </a:xfrm>
        <a:prstGeom prst="rect">
          <a:avLst/>
        </a:prstGeom>
      </xdr:spPr>
    </xdr:pic>
    <xdr:clientData/>
  </xdr:oneCellAnchor>
  <xdr:oneCellAnchor>
    <xdr:from>
      <xdr:col>57</xdr:col>
      <xdr:colOff>351691</xdr:colOff>
      <xdr:row>66</xdr:row>
      <xdr:rowOff>139211</xdr:rowOff>
    </xdr:from>
    <xdr:ext cx="1099039" cy="688731"/>
    <xdr:pic>
      <xdr:nvPicPr>
        <xdr:cNvPr id="56" name="Grafik 55">
          <a:extLst>
            <a:ext uri="{FF2B5EF4-FFF2-40B4-BE49-F238E27FC236}">
              <a16:creationId xmlns:a16="http://schemas.microsoft.com/office/drawing/2014/main" id="{00000000-0008-0000-0D00-000038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6765" t="59362" r="35712" b="33974"/>
        <a:stretch/>
      </xdr:blipFill>
      <xdr:spPr>
        <a:xfrm>
          <a:off x="83835141" y="18179561"/>
          <a:ext cx="1099039" cy="688731"/>
        </a:xfrm>
        <a:prstGeom prst="rect">
          <a:avLst/>
        </a:prstGeom>
      </xdr:spPr>
    </xdr:pic>
    <xdr:clientData/>
  </xdr:oneCellAnchor>
  <xdr:oneCellAnchor>
    <xdr:from>
      <xdr:col>55</xdr:col>
      <xdr:colOff>366345</xdr:colOff>
      <xdr:row>61</xdr:row>
      <xdr:rowOff>102577</xdr:rowOff>
    </xdr:from>
    <xdr:ext cx="1099039" cy="725365"/>
    <xdr:pic>
      <xdr:nvPicPr>
        <xdr:cNvPr id="57" name="Grafik 56">
          <a:extLst>
            <a:ext uri="{FF2B5EF4-FFF2-40B4-BE49-F238E27FC236}">
              <a16:creationId xmlns:a16="http://schemas.microsoft.com/office/drawing/2014/main" id="{00000000-0008-0000-0D00-000039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46835" t="51848" r="45642" b="41134"/>
        <a:stretch/>
      </xdr:blipFill>
      <xdr:spPr>
        <a:xfrm>
          <a:off x="80776395" y="17126927"/>
          <a:ext cx="1099039" cy="725365"/>
        </a:xfrm>
        <a:prstGeom prst="rect">
          <a:avLst/>
        </a:prstGeom>
      </xdr:spPr>
    </xdr:pic>
    <xdr:clientData/>
  </xdr:oneCellAnchor>
  <xdr:oneCellAnchor>
    <xdr:from>
      <xdr:col>55</xdr:col>
      <xdr:colOff>351691</xdr:colOff>
      <xdr:row>66</xdr:row>
      <xdr:rowOff>139211</xdr:rowOff>
    </xdr:from>
    <xdr:ext cx="1099039" cy="688731"/>
    <xdr:pic>
      <xdr:nvPicPr>
        <xdr:cNvPr id="58" name="Grafik 57">
          <a:extLst>
            <a:ext uri="{FF2B5EF4-FFF2-40B4-BE49-F238E27FC236}">
              <a16:creationId xmlns:a16="http://schemas.microsoft.com/office/drawing/2014/main" id="{00000000-0008-0000-0D00-00003A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46935" t="59362" r="45542" b="33974"/>
        <a:stretch/>
      </xdr:blipFill>
      <xdr:spPr>
        <a:xfrm>
          <a:off x="80761741" y="18179561"/>
          <a:ext cx="1099039" cy="688731"/>
        </a:xfrm>
        <a:prstGeom prst="rect">
          <a:avLst/>
        </a:prstGeom>
      </xdr:spPr>
    </xdr:pic>
    <xdr:clientData/>
  </xdr:oneCellAnchor>
  <xdr:oneCellAnchor>
    <xdr:from>
      <xdr:col>53</xdr:col>
      <xdr:colOff>413820</xdr:colOff>
      <xdr:row>62</xdr:row>
      <xdr:rowOff>7135</xdr:rowOff>
    </xdr:from>
    <xdr:ext cx="1087070" cy="1519719"/>
    <xdr:pic>
      <xdr:nvPicPr>
        <xdr:cNvPr id="59" name="Grafik 58">
          <a:extLst>
            <a:ext uri="{FF2B5EF4-FFF2-40B4-BE49-F238E27FC236}">
              <a16:creationId xmlns:a16="http://schemas.microsoft.com/office/drawing/2014/main" id="{00000000-0008-0000-0D00-00003B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7488" t="51522" r="55069" b="33777"/>
        <a:stretch/>
      </xdr:blipFill>
      <xdr:spPr>
        <a:xfrm>
          <a:off x="77750470" y="17228335"/>
          <a:ext cx="1087070" cy="1519719"/>
        </a:xfrm>
        <a:prstGeom prst="rect">
          <a:avLst/>
        </a:prstGeom>
      </xdr:spPr>
    </xdr:pic>
    <xdr:clientData/>
  </xdr:oneCellAnchor>
  <xdr:oneCellAnchor>
    <xdr:from>
      <xdr:col>51</xdr:col>
      <xdr:colOff>378157</xdr:colOff>
      <xdr:row>62</xdr:row>
      <xdr:rowOff>21404</xdr:rowOff>
    </xdr:from>
    <xdr:ext cx="1071108" cy="1519719"/>
    <xdr:pic>
      <xdr:nvPicPr>
        <xdr:cNvPr id="60" name="Grafik 59">
          <a:extLst>
            <a:ext uri="{FF2B5EF4-FFF2-40B4-BE49-F238E27FC236}">
              <a16:creationId xmlns:a16="http://schemas.microsoft.com/office/drawing/2014/main" id="{00000000-0008-0000-0D00-00003C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7816" t="51577" r="64850" b="33721"/>
        <a:stretch/>
      </xdr:blipFill>
      <xdr:spPr>
        <a:xfrm>
          <a:off x="74641407" y="17242604"/>
          <a:ext cx="1071108" cy="1519719"/>
        </a:xfrm>
        <a:prstGeom prst="rect">
          <a:avLst/>
        </a:prstGeom>
      </xdr:spPr>
    </xdr:pic>
    <xdr:clientData/>
  </xdr:oneCellAnchor>
  <xdr:oneCellAnchor>
    <xdr:from>
      <xdr:col>49</xdr:col>
      <xdr:colOff>428088</xdr:colOff>
      <xdr:row>62</xdr:row>
      <xdr:rowOff>21404</xdr:rowOff>
    </xdr:from>
    <xdr:ext cx="1043881" cy="1512584"/>
    <xdr:pic>
      <xdr:nvPicPr>
        <xdr:cNvPr id="61" name="Grafik 60">
          <a:extLst>
            <a:ext uri="{FF2B5EF4-FFF2-40B4-BE49-F238E27FC236}">
              <a16:creationId xmlns:a16="http://schemas.microsoft.com/office/drawing/2014/main" id="{00000000-0008-0000-0D00-00003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18322" t="51679" r="74532" b="33689"/>
        <a:stretch/>
      </xdr:blipFill>
      <xdr:spPr>
        <a:xfrm>
          <a:off x="71617938" y="17242604"/>
          <a:ext cx="1043881" cy="1512584"/>
        </a:xfrm>
        <a:prstGeom prst="rect">
          <a:avLst/>
        </a:prstGeom>
      </xdr:spPr>
    </xdr:pic>
    <xdr:clientData/>
  </xdr:oneCellAnchor>
  <xdr:oneCellAnchor>
    <xdr:from>
      <xdr:col>65</xdr:col>
      <xdr:colOff>89301</xdr:colOff>
      <xdr:row>147</xdr:row>
      <xdr:rowOff>58317</xdr:rowOff>
    </xdr:from>
    <xdr:ext cx="1289439" cy="2941734"/>
    <xdr:pic>
      <xdr:nvPicPr>
        <xdr:cNvPr id="62" name="Grafik 61">
          <a:extLst>
            <a:ext uri="{FF2B5EF4-FFF2-40B4-BE49-F238E27FC236}">
              <a16:creationId xmlns:a16="http://schemas.microsoft.com/office/drawing/2014/main" id="{00000000-0008-0000-0D00-00003E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18232" t="47829" r="72940" b="24376"/>
        <a:stretch/>
      </xdr:blipFill>
      <xdr:spPr>
        <a:xfrm>
          <a:off x="90335322" y="37930254"/>
          <a:ext cx="1289439" cy="2941734"/>
        </a:xfrm>
        <a:prstGeom prst="rect">
          <a:avLst/>
        </a:prstGeom>
      </xdr:spPr>
    </xdr:pic>
    <xdr:clientData/>
  </xdr:oneCellAnchor>
  <xdr:oneCellAnchor>
    <xdr:from>
      <xdr:col>67</xdr:col>
      <xdr:colOff>89302</xdr:colOff>
      <xdr:row>147</xdr:row>
      <xdr:rowOff>38878</xdr:rowOff>
    </xdr:from>
    <xdr:ext cx="1289439" cy="2896377"/>
    <xdr:pic>
      <xdr:nvPicPr>
        <xdr:cNvPr id="63" name="Grafik 62">
          <a:extLst>
            <a:ext uri="{FF2B5EF4-FFF2-40B4-BE49-F238E27FC236}">
              <a16:creationId xmlns:a16="http://schemas.microsoft.com/office/drawing/2014/main" id="{00000000-0008-0000-0D00-00003F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27795" t="47577" r="63377" b="24401"/>
        <a:stretch/>
      </xdr:blipFill>
      <xdr:spPr>
        <a:xfrm>
          <a:off x="93273316" y="37910815"/>
          <a:ext cx="1289439" cy="2896377"/>
        </a:xfrm>
        <a:prstGeom prst="rect">
          <a:avLst/>
        </a:prstGeom>
      </xdr:spPr>
    </xdr:pic>
    <xdr:clientData/>
  </xdr:oneCellAnchor>
  <xdr:oneCellAnchor>
    <xdr:from>
      <xdr:col>69</xdr:col>
      <xdr:colOff>103398</xdr:colOff>
      <xdr:row>147</xdr:row>
      <xdr:rowOff>32399</xdr:rowOff>
    </xdr:from>
    <xdr:ext cx="1276480" cy="2909335"/>
    <xdr:pic>
      <xdr:nvPicPr>
        <xdr:cNvPr id="64" name="Grafik 63">
          <a:extLst>
            <a:ext uri="{FF2B5EF4-FFF2-40B4-BE49-F238E27FC236}">
              <a16:creationId xmlns:a16="http://schemas.microsoft.com/office/drawing/2014/main" id="{00000000-0008-0000-0D00-000040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37537" t="47562" r="53724" b="24290"/>
        <a:stretch/>
      </xdr:blipFill>
      <xdr:spPr>
        <a:xfrm>
          <a:off x="96225405" y="37904336"/>
          <a:ext cx="1276480" cy="2909335"/>
        </a:xfrm>
        <a:prstGeom prst="rect">
          <a:avLst/>
        </a:prstGeom>
      </xdr:spPr>
    </xdr:pic>
    <xdr:clientData/>
  </xdr:oneCellAnchor>
  <xdr:oneCellAnchor>
    <xdr:from>
      <xdr:col>71</xdr:col>
      <xdr:colOff>88177</xdr:colOff>
      <xdr:row>147</xdr:row>
      <xdr:rowOff>20123</xdr:rowOff>
    </xdr:from>
    <xdr:ext cx="1270000" cy="1909653"/>
    <xdr:pic>
      <xdr:nvPicPr>
        <xdr:cNvPr id="65" name="Grafik 64">
          <a:extLst>
            <a:ext uri="{FF2B5EF4-FFF2-40B4-BE49-F238E27FC236}">
              <a16:creationId xmlns:a16="http://schemas.microsoft.com/office/drawing/2014/main" id="{00000000-0008-0000-0D00-000041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47005" t="47797" r="44301" b="33726"/>
        <a:stretch/>
      </xdr:blipFill>
      <xdr:spPr>
        <a:xfrm>
          <a:off x="99148177" y="37892060"/>
          <a:ext cx="1270000" cy="1909653"/>
        </a:xfrm>
        <a:prstGeom prst="rect">
          <a:avLst/>
        </a:prstGeom>
      </xdr:spPr>
    </xdr:pic>
    <xdr:clientData/>
  </xdr:oneCellAnchor>
  <xdr:oneCellAnchor>
    <xdr:from>
      <xdr:col>73</xdr:col>
      <xdr:colOff>53241</xdr:colOff>
      <xdr:row>147</xdr:row>
      <xdr:rowOff>13415</xdr:rowOff>
    </xdr:from>
    <xdr:ext cx="1302397" cy="1915902"/>
    <xdr:pic>
      <xdr:nvPicPr>
        <xdr:cNvPr id="66" name="Grafik 65">
          <a:extLst>
            <a:ext uri="{FF2B5EF4-FFF2-40B4-BE49-F238E27FC236}">
              <a16:creationId xmlns:a16="http://schemas.microsoft.com/office/drawing/2014/main" id="{00000000-0008-0000-0D00-000042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56460" t="47842" r="34625" b="33621"/>
        <a:stretch/>
      </xdr:blipFill>
      <xdr:spPr>
        <a:xfrm>
          <a:off x="102051234" y="37885352"/>
          <a:ext cx="1302397" cy="1915902"/>
        </a:xfrm>
        <a:prstGeom prst="rect">
          <a:avLst/>
        </a:prstGeom>
      </xdr:spPr>
    </xdr:pic>
    <xdr:clientData/>
  </xdr:oneCellAnchor>
  <xdr:oneCellAnchor>
    <xdr:from>
      <xdr:col>77</xdr:col>
      <xdr:colOff>424601</xdr:colOff>
      <xdr:row>158</xdr:row>
      <xdr:rowOff>6708</xdr:rowOff>
    </xdr:from>
    <xdr:ext cx="764094" cy="926353"/>
    <xdr:pic>
      <xdr:nvPicPr>
        <xdr:cNvPr id="67" name="Grafik 66">
          <a:extLst>
            <a:ext uri="{FF2B5EF4-FFF2-40B4-BE49-F238E27FC236}">
              <a16:creationId xmlns:a16="http://schemas.microsoft.com/office/drawing/2014/main" id="{00000000-0008-0000-0D00-000043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75524" t="66600" r="19245" b="24437"/>
        <a:stretch/>
      </xdr:blipFill>
      <xdr:spPr>
        <a:xfrm>
          <a:off x="108298580" y="40005000"/>
          <a:ext cx="764094" cy="926353"/>
        </a:xfrm>
        <a:prstGeom prst="rect">
          <a:avLst/>
        </a:prstGeom>
      </xdr:spPr>
    </xdr:pic>
    <xdr:clientData/>
  </xdr:oneCellAnchor>
  <xdr:oneCellAnchor>
    <xdr:from>
      <xdr:col>57</xdr:col>
      <xdr:colOff>323924</xdr:colOff>
      <xdr:row>50</xdr:row>
      <xdr:rowOff>126066</xdr:rowOff>
    </xdr:from>
    <xdr:ext cx="1240234" cy="2591744"/>
    <xdr:pic>
      <xdr:nvPicPr>
        <xdr:cNvPr id="70" name="Grafik 69">
          <a:extLst>
            <a:ext uri="{FF2B5EF4-FFF2-40B4-BE49-F238E27FC236}">
              <a16:creationId xmlns:a16="http://schemas.microsoft.com/office/drawing/2014/main" id="{00000000-0008-0000-0D00-000046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56452" t="8192" r="35342" b="67341"/>
        <a:stretch/>
      </xdr:blipFill>
      <xdr:spPr>
        <a:xfrm>
          <a:off x="83807374" y="13219766"/>
          <a:ext cx="1240234" cy="2591744"/>
        </a:xfrm>
        <a:prstGeom prst="rect">
          <a:avLst/>
        </a:prstGeom>
      </xdr:spPr>
    </xdr:pic>
    <xdr:clientData/>
  </xdr:oneCellAnchor>
  <xdr:oneCellAnchor>
    <xdr:from>
      <xdr:col>59</xdr:col>
      <xdr:colOff>323924</xdr:colOff>
      <xdr:row>50</xdr:row>
      <xdr:rowOff>112059</xdr:rowOff>
    </xdr:from>
    <xdr:ext cx="1240234" cy="2631633"/>
    <xdr:pic>
      <xdr:nvPicPr>
        <xdr:cNvPr id="71" name="Grafik 70">
          <a:extLst>
            <a:ext uri="{FF2B5EF4-FFF2-40B4-BE49-F238E27FC236}">
              <a16:creationId xmlns:a16="http://schemas.microsoft.com/office/drawing/2014/main" id="{00000000-0008-0000-0D00-000047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65971" t="7957" r="25823" b="67433"/>
        <a:stretch/>
      </xdr:blipFill>
      <xdr:spPr>
        <a:xfrm>
          <a:off x="86880774" y="13205759"/>
          <a:ext cx="1240234" cy="2631633"/>
        </a:xfrm>
        <a:prstGeom prst="rect">
          <a:avLst/>
        </a:prstGeom>
      </xdr:spPr>
    </xdr:pic>
    <xdr:clientData/>
  </xdr:oneCellAnchor>
  <xdr:oneCellAnchor>
    <xdr:from>
      <xdr:col>61</xdr:col>
      <xdr:colOff>198437</xdr:colOff>
      <xdr:row>50</xdr:row>
      <xdr:rowOff>126066</xdr:rowOff>
    </xdr:from>
    <xdr:ext cx="1846637" cy="2617626"/>
    <xdr:pic>
      <xdr:nvPicPr>
        <xdr:cNvPr id="72" name="Grafik 71">
          <a:extLst>
            <a:ext uri="{FF2B5EF4-FFF2-40B4-BE49-F238E27FC236}">
              <a16:creationId xmlns:a16="http://schemas.microsoft.com/office/drawing/2014/main" id="{00000000-0008-0000-0D00-000048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75163" t="8181" r="12619" b="67341"/>
        <a:stretch/>
      </xdr:blipFill>
      <xdr:spPr>
        <a:xfrm>
          <a:off x="89828687" y="13219766"/>
          <a:ext cx="1846637" cy="2617626"/>
        </a:xfrm>
        <a:prstGeom prst="rect">
          <a:avLst/>
        </a:prstGeom>
      </xdr:spPr>
    </xdr:pic>
    <xdr:clientData/>
  </xdr:oneCellAnchor>
  <xdr:oneCellAnchor>
    <xdr:from>
      <xdr:col>59</xdr:col>
      <xdr:colOff>311728</xdr:colOff>
      <xdr:row>56</xdr:row>
      <xdr:rowOff>57727</xdr:rowOff>
    </xdr:from>
    <xdr:ext cx="1235363" cy="935182"/>
    <xdr:pic>
      <xdr:nvPicPr>
        <xdr:cNvPr id="73" name="Grafik 72">
          <a:extLst>
            <a:ext uri="{FF2B5EF4-FFF2-40B4-BE49-F238E27FC236}">
              <a16:creationId xmlns:a16="http://schemas.microsoft.com/office/drawing/2014/main" id="{00000000-0008-0000-0D00-000049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75521" t="37166" r="16306" b="54089"/>
        <a:stretch/>
      </xdr:blipFill>
      <xdr:spPr>
        <a:xfrm>
          <a:off x="86868578" y="16027977"/>
          <a:ext cx="1235363" cy="935182"/>
        </a:xfrm>
        <a:prstGeom prst="rect">
          <a:avLst/>
        </a:prstGeom>
      </xdr:spPr>
    </xdr:pic>
    <xdr:clientData/>
  </xdr:oneCellAnchor>
  <xdr:oneCellAnchor>
    <xdr:from>
      <xdr:col>53</xdr:col>
      <xdr:colOff>288637</xdr:colOff>
      <xdr:row>56</xdr:row>
      <xdr:rowOff>15706</xdr:rowOff>
    </xdr:from>
    <xdr:ext cx="831272" cy="958273"/>
    <xdr:pic>
      <xdr:nvPicPr>
        <xdr:cNvPr id="74" name="Grafik 73">
          <a:extLst>
            <a:ext uri="{FF2B5EF4-FFF2-40B4-BE49-F238E27FC236}">
              <a16:creationId xmlns:a16="http://schemas.microsoft.com/office/drawing/2014/main" id="{00000000-0008-0000-0D00-00004A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36881" t="37013" r="57620" b="54027"/>
        <a:stretch/>
      </xdr:blipFill>
      <xdr:spPr>
        <a:xfrm>
          <a:off x="77625287" y="15985956"/>
          <a:ext cx="831272" cy="958273"/>
        </a:xfrm>
        <a:prstGeom prst="rect">
          <a:avLst/>
        </a:prstGeom>
      </xdr:spPr>
    </xdr:pic>
    <xdr:clientData/>
  </xdr:oneCellAnchor>
  <xdr:oneCellAnchor>
    <xdr:from>
      <xdr:col>61</xdr:col>
      <xdr:colOff>277813</xdr:colOff>
      <xdr:row>71</xdr:row>
      <xdr:rowOff>178594</xdr:rowOff>
    </xdr:from>
    <xdr:ext cx="1111250" cy="803671"/>
    <xdr:pic>
      <xdr:nvPicPr>
        <xdr:cNvPr id="75" name="Grafik 74">
          <a:extLst>
            <a:ext uri="{FF2B5EF4-FFF2-40B4-BE49-F238E27FC236}">
              <a16:creationId xmlns:a16="http://schemas.microsoft.com/office/drawing/2014/main" id="{00000000-0008-0000-0D00-00004B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75622" t="67358" r="17026" b="25127"/>
        <a:stretch/>
      </xdr:blipFill>
      <xdr:spPr>
        <a:xfrm>
          <a:off x="89908063" y="19228594"/>
          <a:ext cx="1111250" cy="803671"/>
        </a:xfrm>
        <a:prstGeom prst="rect">
          <a:avLst/>
        </a:prstGeom>
      </xdr:spPr>
    </xdr:pic>
    <xdr:clientData/>
  </xdr:oneCellAnchor>
  <xdr:oneCellAnchor>
    <xdr:from>
      <xdr:col>59</xdr:col>
      <xdr:colOff>333841</xdr:colOff>
      <xdr:row>71</xdr:row>
      <xdr:rowOff>178594</xdr:rowOff>
    </xdr:from>
    <xdr:ext cx="1111250" cy="803671"/>
    <xdr:pic>
      <xdr:nvPicPr>
        <xdr:cNvPr id="76" name="Grafik 75">
          <a:extLst>
            <a:ext uri="{FF2B5EF4-FFF2-40B4-BE49-F238E27FC236}">
              <a16:creationId xmlns:a16="http://schemas.microsoft.com/office/drawing/2014/main" id="{00000000-0008-0000-0D00-00004C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66104" t="67451" r="26544" b="25034"/>
        <a:stretch/>
      </xdr:blipFill>
      <xdr:spPr>
        <a:xfrm>
          <a:off x="86890691" y="19228594"/>
          <a:ext cx="1111250" cy="803671"/>
        </a:xfrm>
        <a:prstGeom prst="rect">
          <a:avLst/>
        </a:prstGeom>
      </xdr:spPr>
    </xdr:pic>
    <xdr:clientData/>
  </xdr:oneCellAnchor>
  <xdr:oneCellAnchor>
    <xdr:from>
      <xdr:col>57</xdr:col>
      <xdr:colOff>271980</xdr:colOff>
      <xdr:row>72</xdr:row>
      <xdr:rowOff>39688</xdr:rowOff>
    </xdr:from>
    <xdr:ext cx="992189" cy="724297"/>
    <xdr:pic>
      <xdr:nvPicPr>
        <xdr:cNvPr id="77" name="Grafik 76">
          <a:extLst>
            <a:ext uri="{FF2B5EF4-FFF2-40B4-BE49-F238E27FC236}">
              <a16:creationId xmlns:a16="http://schemas.microsoft.com/office/drawing/2014/main" id="{00000000-0008-0000-0D00-00004D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56258" t="67915" r="37178" b="25312"/>
        <a:stretch/>
      </xdr:blipFill>
      <xdr:spPr>
        <a:xfrm>
          <a:off x="83755430" y="19286538"/>
          <a:ext cx="992189" cy="724297"/>
        </a:xfrm>
        <a:prstGeom prst="rect">
          <a:avLst/>
        </a:prstGeom>
      </xdr:spPr>
    </xdr:pic>
    <xdr:clientData/>
  </xdr:oneCellAnchor>
  <xdr:oneCellAnchor>
    <xdr:from>
      <xdr:col>55</xdr:col>
      <xdr:colOff>384036</xdr:colOff>
      <xdr:row>72</xdr:row>
      <xdr:rowOff>39688</xdr:rowOff>
    </xdr:from>
    <xdr:ext cx="992189" cy="724297"/>
    <xdr:pic>
      <xdr:nvPicPr>
        <xdr:cNvPr id="78" name="Grafik 77">
          <a:extLst>
            <a:ext uri="{FF2B5EF4-FFF2-40B4-BE49-F238E27FC236}">
              <a16:creationId xmlns:a16="http://schemas.microsoft.com/office/drawing/2014/main" id="{00000000-0008-0000-0D00-00004E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47134" t="67729" r="46302" b="25498"/>
        <a:stretch/>
      </xdr:blipFill>
      <xdr:spPr>
        <a:xfrm>
          <a:off x="80794086" y="19286538"/>
          <a:ext cx="992189" cy="724297"/>
        </a:xfrm>
        <a:prstGeom prst="rect">
          <a:avLst/>
        </a:prstGeom>
      </xdr:spPr>
    </xdr:pic>
    <xdr:clientData/>
  </xdr:oneCellAnchor>
  <xdr:oneCellAnchor>
    <xdr:from>
      <xdr:col>53</xdr:col>
      <xdr:colOff>313996</xdr:colOff>
      <xdr:row>72</xdr:row>
      <xdr:rowOff>25680</xdr:rowOff>
    </xdr:from>
    <xdr:ext cx="992189" cy="724297"/>
    <xdr:pic>
      <xdr:nvPicPr>
        <xdr:cNvPr id="79" name="Grafik 78">
          <a:extLst>
            <a:ext uri="{FF2B5EF4-FFF2-40B4-BE49-F238E27FC236}">
              <a16:creationId xmlns:a16="http://schemas.microsoft.com/office/drawing/2014/main" id="{00000000-0008-0000-0D00-00004F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36959" t="67822" r="56477" b="25405"/>
        <a:stretch/>
      </xdr:blipFill>
      <xdr:spPr>
        <a:xfrm>
          <a:off x="77650646" y="19272530"/>
          <a:ext cx="992189" cy="724297"/>
        </a:xfrm>
        <a:prstGeom prst="rect">
          <a:avLst/>
        </a:prstGeom>
      </xdr:spPr>
    </xdr:pic>
    <xdr:clientData/>
  </xdr:oneCellAnchor>
  <xdr:oneCellAnchor>
    <xdr:from>
      <xdr:col>51</xdr:col>
      <xdr:colOff>313996</xdr:colOff>
      <xdr:row>72</xdr:row>
      <xdr:rowOff>25681</xdr:rowOff>
    </xdr:from>
    <xdr:ext cx="992189" cy="724297"/>
    <xdr:pic>
      <xdr:nvPicPr>
        <xdr:cNvPr id="80" name="Grafik 79">
          <a:extLst>
            <a:ext uri="{FF2B5EF4-FFF2-40B4-BE49-F238E27FC236}">
              <a16:creationId xmlns:a16="http://schemas.microsoft.com/office/drawing/2014/main" id="{00000000-0008-0000-0D00-000050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27441" t="67915" r="65995" b="25312"/>
        <a:stretch/>
      </xdr:blipFill>
      <xdr:spPr>
        <a:xfrm>
          <a:off x="74577246" y="19272531"/>
          <a:ext cx="992189" cy="724297"/>
        </a:xfrm>
        <a:prstGeom prst="rect">
          <a:avLst/>
        </a:prstGeom>
      </xdr:spPr>
    </xdr:pic>
    <xdr:clientData/>
  </xdr:oneCellAnchor>
  <xdr:oneCellAnchor>
    <xdr:from>
      <xdr:col>49</xdr:col>
      <xdr:colOff>328266</xdr:colOff>
      <xdr:row>72</xdr:row>
      <xdr:rowOff>11149</xdr:rowOff>
    </xdr:from>
    <xdr:ext cx="992189" cy="724297"/>
    <xdr:pic>
      <xdr:nvPicPr>
        <xdr:cNvPr id="81" name="Grafik 80">
          <a:extLst>
            <a:ext uri="{FF2B5EF4-FFF2-40B4-BE49-F238E27FC236}">
              <a16:creationId xmlns:a16="http://schemas.microsoft.com/office/drawing/2014/main" id="{00000000-0008-0000-0D00-000051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17792" t="67822" r="75644" b="25405"/>
        <a:stretch/>
      </xdr:blipFill>
      <xdr:spPr>
        <a:xfrm>
          <a:off x="71518116" y="19257999"/>
          <a:ext cx="992189" cy="724297"/>
        </a:xfrm>
        <a:prstGeom prst="rect">
          <a:avLst/>
        </a:prstGeom>
      </xdr:spPr>
    </xdr:pic>
    <xdr:clientData/>
  </xdr:oneCellAnchor>
  <xdr:oneCellAnchor>
    <xdr:from>
      <xdr:col>71</xdr:col>
      <xdr:colOff>467122</xdr:colOff>
      <xdr:row>157</xdr:row>
      <xdr:rowOff>178594</xdr:rowOff>
    </xdr:from>
    <xdr:ext cx="655992" cy="978211"/>
    <xdr:pic>
      <xdr:nvPicPr>
        <xdr:cNvPr id="82" name="Grafik 81">
          <a:extLst>
            <a:ext uri="{FF2B5EF4-FFF2-40B4-BE49-F238E27FC236}">
              <a16:creationId xmlns:a16="http://schemas.microsoft.com/office/drawing/2014/main" id="{00000000-0008-0000-0D00-000052000000}"/>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l="47348" t="66087" r="48312" b="24572"/>
        <a:stretch/>
      </xdr:blipFill>
      <xdr:spPr>
        <a:xfrm>
          <a:off x="99527122" y="39989069"/>
          <a:ext cx="655992" cy="978211"/>
        </a:xfrm>
        <a:prstGeom prst="rect">
          <a:avLst/>
        </a:prstGeom>
      </xdr:spPr>
    </xdr:pic>
    <xdr:clientData/>
  </xdr:oneCellAnchor>
  <xdr:oneCellAnchor>
    <xdr:from>
      <xdr:col>57</xdr:col>
      <xdr:colOff>308865</xdr:colOff>
      <xdr:row>56</xdr:row>
      <xdr:rowOff>98051</xdr:rowOff>
    </xdr:from>
    <xdr:ext cx="992547" cy="852838"/>
    <xdr:pic>
      <xdr:nvPicPr>
        <xdr:cNvPr id="83" name="Grafik 82">
          <a:extLst>
            <a:ext uri="{FF2B5EF4-FFF2-40B4-BE49-F238E27FC236}">
              <a16:creationId xmlns:a16="http://schemas.microsoft.com/office/drawing/2014/main" id="{00000000-0008-0000-0D00-000053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56322" t="37690" r="37110" b="54335"/>
        <a:stretch/>
      </xdr:blipFill>
      <xdr:spPr>
        <a:xfrm>
          <a:off x="83792315" y="16068301"/>
          <a:ext cx="992547" cy="852838"/>
        </a:xfrm>
        <a:prstGeom prst="rect">
          <a:avLst/>
        </a:prstGeom>
      </xdr:spPr>
    </xdr:pic>
    <xdr:clientData/>
  </xdr:oneCellAnchor>
  <xdr:oneCellAnchor>
    <xdr:from>
      <xdr:col>61</xdr:col>
      <xdr:colOff>283714</xdr:colOff>
      <xdr:row>56</xdr:row>
      <xdr:rowOff>43720</xdr:rowOff>
    </xdr:from>
    <xdr:ext cx="1235363" cy="935182"/>
    <xdr:pic>
      <xdr:nvPicPr>
        <xdr:cNvPr id="84" name="Grafik 83">
          <a:extLst>
            <a:ext uri="{FF2B5EF4-FFF2-40B4-BE49-F238E27FC236}">
              <a16:creationId xmlns:a16="http://schemas.microsoft.com/office/drawing/2014/main" id="{00000000-0008-0000-0D00-000054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75521" t="37166" r="16306" b="54089"/>
        <a:stretch/>
      </xdr:blipFill>
      <xdr:spPr>
        <a:xfrm>
          <a:off x="89913964" y="16013970"/>
          <a:ext cx="1235363" cy="935182"/>
        </a:xfrm>
        <a:prstGeom prst="rect">
          <a:avLst/>
        </a:prstGeom>
      </xdr:spPr>
    </xdr:pic>
    <xdr:clientData/>
  </xdr:oneCellAnchor>
  <xdr:oneCellAnchor>
    <xdr:from>
      <xdr:col>55</xdr:col>
      <xdr:colOff>308865</xdr:colOff>
      <xdr:row>56</xdr:row>
      <xdr:rowOff>98051</xdr:rowOff>
    </xdr:from>
    <xdr:ext cx="992547" cy="852838"/>
    <xdr:pic>
      <xdr:nvPicPr>
        <xdr:cNvPr id="85" name="Grafik 84">
          <a:extLst>
            <a:ext uri="{FF2B5EF4-FFF2-40B4-BE49-F238E27FC236}">
              <a16:creationId xmlns:a16="http://schemas.microsoft.com/office/drawing/2014/main" id="{00000000-0008-0000-0D00-000055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56322" t="37690" r="37110" b="54335"/>
        <a:stretch/>
      </xdr:blipFill>
      <xdr:spPr>
        <a:xfrm>
          <a:off x="80718915" y="16068301"/>
          <a:ext cx="992547" cy="852838"/>
        </a:xfrm>
        <a:prstGeom prst="rect">
          <a:avLst/>
        </a:prstGeom>
      </xdr:spPr>
    </xdr:pic>
    <xdr:clientData/>
  </xdr:oneCellAnchor>
  <xdr:twoCellAnchor editAs="oneCell">
    <xdr:from>
      <xdr:col>5</xdr:col>
      <xdr:colOff>606986</xdr:colOff>
      <xdr:row>14</xdr:row>
      <xdr:rowOff>84046</xdr:rowOff>
    </xdr:from>
    <xdr:to>
      <xdr:col>5</xdr:col>
      <xdr:colOff>1329182</xdr:colOff>
      <xdr:row>17</xdr:row>
      <xdr:rowOff>174372</xdr:rowOff>
    </xdr:to>
    <xdr:pic>
      <xdr:nvPicPr>
        <xdr:cNvPr id="86" name="Grafik 85">
          <a:extLst>
            <a:ext uri="{FF2B5EF4-FFF2-40B4-BE49-F238E27FC236}">
              <a16:creationId xmlns:a16="http://schemas.microsoft.com/office/drawing/2014/main" id="{00000000-0008-0000-0D00-000056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345" t="41333" r="56877" b="52321"/>
        <a:stretch/>
      </xdr:blipFill>
      <xdr:spPr>
        <a:xfrm>
          <a:off x="7852336" y="4186146"/>
          <a:ext cx="722196" cy="680876"/>
        </a:xfrm>
        <a:prstGeom prst="rect">
          <a:avLst/>
        </a:prstGeom>
      </xdr:spPr>
    </xdr:pic>
    <xdr:clientData/>
  </xdr:twoCellAnchor>
  <xdr:oneCellAnchor>
    <xdr:from>
      <xdr:col>7</xdr:col>
      <xdr:colOff>485589</xdr:colOff>
      <xdr:row>14</xdr:row>
      <xdr:rowOff>46690</xdr:rowOff>
    </xdr:from>
    <xdr:ext cx="1101911" cy="653677"/>
    <xdr:pic>
      <xdr:nvPicPr>
        <xdr:cNvPr id="87" name="Grafik 86">
          <a:extLst>
            <a:ext uri="{FF2B5EF4-FFF2-40B4-BE49-F238E27FC236}">
              <a16:creationId xmlns:a16="http://schemas.microsoft.com/office/drawing/2014/main" id="{00000000-0008-0000-0D00-000057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7426" t="40867" r="45283" b="53021"/>
        <a:stretch/>
      </xdr:blipFill>
      <xdr:spPr>
        <a:xfrm>
          <a:off x="10829739" y="4148790"/>
          <a:ext cx="1101911" cy="653677"/>
        </a:xfrm>
        <a:prstGeom prst="rect">
          <a:avLst/>
        </a:prstGeom>
      </xdr:spPr>
    </xdr:pic>
    <xdr:clientData/>
  </xdr:oneCellAnchor>
  <xdr:oneCellAnchor>
    <xdr:from>
      <xdr:col>9</xdr:col>
      <xdr:colOff>485589</xdr:colOff>
      <xdr:row>14</xdr:row>
      <xdr:rowOff>46690</xdr:rowOff>
    </xdr:from>
    <xdr:ext cx="1101911" cy="653677"/>
    <xdr:pic>
      <xdr:nvPicPr>
        <xdr:cNvPr id="88" name="Grafik 87">
          <a:extLst>
            <a:ext uri="{FF2B5EF4-FFF2-40B4-BE49-F238E27FC236}">
              <a16:creationId xmlns:a16="http://schemas.microsoft.com/office/drawing/2014/main" id="{00000000-0008-0000-0D00-000058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7426" t="40867" r="45283" b="53021"/>
        <a:stretch/>
      </xdr:blipFill>
      <xdr:spPr>
        <a:xfrm>
          <a:off x="13928539" y="4148790"/>
          <a:ext cx="1101911" cy="653677"/>
        </a:xfrm>
        <a:prstGeom prst="rect">
          <a:avLst/>
        </a:prstGeom>
      </xdr:spPr>
    </xdr:pic>
    <xdr:clientData/>
  </xdr:oneCellAnchor>
  <xdr:oneCellAnchor>
    <xdr:from>
      <xdr:col>9</xdr:col>
      <xdr:colOff>532279</xdr:colOff>
      <xdr:row>7</xdr:row>
      <xdr:rowOff>149412</xdr:rowOff>
    </xdr:from>
    <xdr:ext cx="1055222" cy="2203824"/>
    <xdr:pic>
      <xdr:nvPicPr>
        <xdr:cNvPr id="89" name="Grafik 88">
          <a:extLst>
            <a:ext uri="{FF2B5EF4-FFF2-40B4-BE49-F238E27FC236}">
              <a16:creationId xmlns:a16="http://schemas.microsoft.com/office/drawing/2014/main" id="{00000000-0008-0000-0D00-000059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57189" t="7684" r="35830" b="71709"/>
        <a:stretch/>
      </xdr:blipFill>
      <xdr:spPr>
        <a:xfrm>
          <a:off x="13975229" y="1527362"/>
          <a:ext cx="1055222" cy="2203824"/>
        </a:xfrm>
        <a:prstGeom prst="rect">
          <a:avLst/>
        </a:prstGeom>
      </xdr:spPr>
    </xdr:pic>
    <xdr:clientData/>
  </xdr:oneCellAnchor>
  <xdr:oneCellAnchor>
    <xdr:from>
      <xdr:col>7</xdr:col>
      <xdr:colOff>532279</xdr:colOff>
      <xdr:row>7</xdr:row>
      <xdr:rowOff>149412</xdr:rowOff>
    </xdr:from>
    <xdr:ext cx="1055222" cy="2203824"/>
    <xdr:pic>
      <xdr:nvPicPr>
        <xdr:cNvPr id="90" name="Grafik 89">
          <a:extLst>
            <a:ext uri="{FF2B5EF4-FFF2-40B4-BE49-F238E27FC236}">
              <a16:creationId xmlns:a16="http://schemas.microsoft.com/office/drawing/2014/main" id="{00000000-0008-0000-0D00-00005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7613" t="7858" r="45406" b="71535"/>
        <a:stretch/>
      </xdr:blipFill>
      <xdr:spPr>
        <a:xfrm>
          <a:off x="10876429" y="1527362"/>
          <a:ext cx="1055222" cy="2203824"/>
        </a:xfrm>
        <a:prstGeom prst="rect">
          <a:avLst/>
        </a:prstGeom>
      </xdr:spPr>
    </xdr:pic>
    <xdr:clientData/>
  </xdr:oneCellAnchor>
  <xdr:oneCellAnchor>
    <xdr:from>
      <xdr:col>5</xdr:col>
      <xdr:colOff>532279</xdr:colOff>
      <xdr:row>7</xdr:row>
      <xdr:rowOff>149412</xdr:rowOff>
    </xdr:from>
    <xdr:ext cx="1055222" cy="2203824"/>
    <xdr:pic>
      <xdr:nvPicPr>
        <xdr:cNvPr id="91" name="Grafik 90">
          <a:extLst>
            <a:ext uri="{FF2B5EF4-FFF2-40B4-BE49-F238E27FC236}">
              <a16:creationId xmlns:a16="http://schemas.microsoft.com/office/drawing/2014/main" id="{00000000-0008-0000-0D00-00005B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099" t="7421" r="54920" b="71972"/>
        <a:stretch/>
      </xdr:blipFill>
      <xdr:spPr>
        <a:xfrm>
          <a:off x="7777629" y="1527362"/>
          <a:ext cx="1055222" cy="2203824"/>
        </a:xfrm>
        <a:prstGeom prst="rect">
          <a:avLst/>
        </a:prstGeom>
      </xdr:spPr>
    </xdr:pic>
    <xdr:clientData/>
  </xdr:oneCellAnchor>
  <xdr:oneCellAnchor>
    <xdr:from>
      <xdr:col>3</xdr:col>
      <xdr:colOff>550956</xdr:colOff>
      <xdr:row>11</xdr:row>
      <xdr:rowOff>140074</xdr:rowOff>
    </xdr:from>
    <xdr:ext cx="1055222" cy="812428"/>
    <xdr:pic>
      <xdr:nvPicPr>
        <xdr:cNvPr id="92" name="Grafik 91">
          <a:extLst>
            <a:ext uri="{FF2B5EF4-FFF2-40B4-BE49-F238E27FC236}">
              <a16:creationId xmlns:a16="http://schemas.microsoft.com/office/drawing/2014/main" id="{00000000-0008-0000-0D00-00005C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099" t="20431" r="54920" b="71972"/>
        <a:stretch/>
      </xdr:blipFill>
      <xdr:spPr>
        <a:xfrm>
          <a:off x="4678456" y="2305424"/>
          <a:ext cx="1055222" cy="812428"/>
        </a:xfrm>
        <a:prstGeom prst="rect">
          <a:avLst/>
        </a:prstGeom>
      </xdr:spPr>
    </xdr:pic>
    <xdr:clientData/>
  </xdr:oneCellAnchor>
  <xdr:oneCellAnchor>
    <xdr:from>
      <xdr:col>1</xdr:col>
      <xdr:colOff>541617</xdr:colOff>
      <xdr:row>7</xdr:row>
      <xdr:rowOff>160779</xdr:rowOff>
    </xdr:from>
    <xdr:ext cx="1055222" cy="1410073"/>
    <xdr:pic>
      <xdr:nvPicPr>
        <xdr:cNvPr id="93" name="Grafik 92">
          <a:extLst>
            <a:ext uri="{FF2B5EF4-FFF2-40B4-BE49-F238E27FC236}">
              <a16:creationId xmlns:a16="http://schemas.microsoft.com/office/drawing/2014/main" id="{00000000-0008-0000-0D00-00005D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099" t="7421" r="54920" b="79394"/>
        <a:stretch/>
      </xdr:blipFill>
      <xdr:spPr>
        <a:xfrm>
          <a:off x="1627467" y="1538729"/>
          <a:ext cx="1055222" cy="1410073"/>
        </a:xfrm>
        <a:prstGeom prst="rect">
          <a:avLst/>
        </a:prstGeom>
      </xdr:spPr>
    </xdr:pic>
    <xdr:clientData/>
  </xdr:oneCellAnchor>
  <xdr:oneCellAnchor>
    <xdr:from>
      <xdr:col>3</xdr:col>
      <xdr:colOff>513603</xdr:colOff>
      <xdr:row>2</xdr:row>
      <xdr:rowOff>74706</xdr:rowOff>
    </xdr:from>
    <xdr:ext cx="756397" cy="681692"/>
    <xdr:pic>
      <xdr:nvPicPr>
        <xdr:cNvPr id="94" name="Grafik 93">
          <a:extLst>
            <a:ext uri="{FF2B5EF4-FFF2-40B4-BE49-F238E27FC236}">
              <a16:creationId xmlns:a16="http://schemas.microsoft.com/office/drawing/2014/main" id="{00000000-0008-0000-0D00-00005E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638" t="2793" r="92358" b="90833"/>
        <a:stretch/>
      </xdr:blipFill>
      <xdr:spPr>
        <a:xfrm>
          <a:off x="4641103" y="468406"/>
          <a:ext cx="756397" cy="681692"/>
        </a:xfrm>
        <a:prstGeom prst="rect">
          <a:avLst/>
        </a:prstGeom>
      </xdr:spPr>
    </xdr:pic>
    <xdr:clientData/>
  </xdr:oneCellAnchor>
  <xdr:oneCellAnchor>
    <xdr:from>
      <xdr:col>7</xdr:col>
      <xdr:colOff>553798</xdr:colOff>
      <xdr:row>19</xdr:row>
      <xdr:rowOff>114087</xdr:rowOff>
    </xdr:from>
    <xdr:ext cx="588310" cy="504265"/>
    <xdr:pic>
      <xdr:nvPicPr>
        <xdr:cNvPr id="95" name="Grafik 94">
          <a:extLst>
            <a:ext uri="{FF2B5EF4-FFF2-40B4-BE49-F238E27FC236}">
              <a16:creationId xmlns:a16="http://schemas.microsoft.com/office/drawing/2014/main" id="{00000000-0008-0000-0D00-00005F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7982" t="53175" r="48124" b="42110"/>
        <a:stretch/>
      </xdr:blipFill>
      <xdr:spPr>
        <a:xfrm>
          <a:off x="10897948" y="5244887"/>
          <a:ext cx="588310" cy="504265"/>
        </a:xfrm>
        <a:prstGeom prst="rect">
          <a:avLst/>
        </a:prstGeom>
      </xdr:spPr>
    </xdr:pic>
    <xdr:clientData/>
  </xdr:oneCellAnchor>
  <xdr:oneCellAnchor>
    <xdr:from>
      <xdr:col>5</xdr:col>
      <xdr:colOff>664233</xdr:colOff>
      <xdr:row>19</xdr:row>
      <xdr:rowOff>117743</xdr:rowOff>
    </xdr:from>
    <xdr:ext cx="494926" cy="466911"/>
    <xdr:pic>
      <xdr:nvPicPr>
        <xdr:cNvPr id="96" name="Grafik 95">
          <a:extLst>
            <a:ext uri="{FF2B5EF4-FFF2-40B4-BE49-F238E27FC236}">
              <a16:creationId xmlns:a16="http://schemas.microsoft.com/office/drawing/2014/main" id="{00000000-0008-0000-0D00-000060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587" t="53264" r="58137" b="42370"/>
        <a:stretch/>
      </xdr:blipFill>
      <xdr:spPr>
        <a:xfrm>
          <a:off x="7909583" y="5248543"/>
          <a:ext cx="494926" cy="466911"/>
        </a:xfrm>
        <a:prstGeom prst="rect">
          <a:avLst/>
        </a:prstGeom>
      </xdr:spPr>
    </xdr:pic>
    <xdr:clientData/>
  </xdr:oneCellAnchor>
  <xdr:oneCellAnchor>
    <xdr:from>
      <xdr:col>9</xdr:col>
      <xdr:colOff>586683</xdr:colOff>
      <xdr:row>19</xdr:row>
      <xdr:rowOff>144946</xdr:rowOff>
    </xdr:from>
    <xdr:ext cx="510761" cy="469347"/>
    <xdr:pic>
      <xdr:nvPicPr>
        <xdr:cNvPr id="97" name="Grafik 96">
          <a:extLst>
            <a:ext uri="{FF2B5EF4-FFF2-40B4-BE49-F238E27FC236}">
              <a16:creationId xmlns:a16="http://schemas.microsoft.com/office/drawing/2014/main" id="{00000000-0008-0000-0D00-000061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57474" t="53309" r="39145" b="42303"/>
        <a:stretch/>
      </xdr:blipFill>
      <xdr:spPr>
        <a:xfrm>
          <a:off x="14029633" y="5275746"/>
          <a:ext cx="510761" cy="469347"/>
        </a:xfrm>
        <a:prstGeom prst="rect">
          <a:avLst/>
        </a:prstGeom>
      </xdr:spPr>
    </xdr:pic>
    <xdr:clientData/>
  </xdr:oneCellAnchor>
  <xdr:oneCellAnchor>
    <xdr:from>
      <xdr:col>3</xdr:col>
      <xdr:colOff>609013</xdr:colOff>
      <xdr:row>19</xdr:row>
      <xdr:rowOff>103531</xdr:rowOff>
    </xdr:from>
    <xdr:ext cx="467724" cy="503859"/>
    <xdr:pic>
      <xdr:nvPicPr>
        <xdr:cNvPr id="98" name="Grafik 97">
          <a:extLst>
            <a:ext uri="{FF2B5EF4-FFF2-40B4-BE49-F238E27FC236}">
              <a16:creationId xmlns:a16="http://schemas.microsoft.com/office/drawing/2014/main" id="{00000000-0008-0000-0D00-000062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9176" t="53117" r="67728" b="42171"/>
        <a:stretch/>
      </xdr:blipFill>
      <xdr:spPr>
        <a:xfrm>
          <a:off x="4736513" y="5234331"/>
          <a:ext cx="467724" cy="503859"/>
        </a:xfrm>
        <a:prstGeom prst="rect">
          <a:avLst/>
        </a:prstGeom>
      </xdr:spPr>
    </xdr:pic>
    <xdr:clientData/>
  </xdr:oneCellAnchor>
  <xdr:oneCellAnchor>
    <xdr:from>
      <xdr:col>1</xdr:col>
      <xdr:colOff>581405</xdr:colOff>
      <xdr:row>19</xdr:row>
      <xdr:rowOff>103531</xdr:rowOff>
    </xdr:from>
    <xdr:ext cx="467724" cy="503859"/>
    <xdr:pic>
      <xdr:nvPicPr>
        <xdr:cNvPr id="99" name="Grafik 98">
          <a:extLst>
            <a:ext uri="{FF2B5EF4-FFF2-40B4-BE49-F238E27FC236}">
              <a16:creationId xmlns:a16="http://schemas.microsoft.com/office/drawing/2014/main" id="{00000000-0008-0000-0D00-000063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9176" t="53117" r="67728" b="42171"/>
        <a:stretch/>
      </xdr:blipFill>
      <xdr:spPr>
        <a:xfrm>
          <a:off x="1667255" y="5234331"/>
          <a:ext cx="467724" cy="503859"/>
        </a:xfrm>
        <a:prstGeom prst="rect">
          <a:avLst/>
        </a:prstGeom>
      </xdr:spPr>
    </xdr:pic>
    <xdr:clientData/>
  </xdr:oneCellAnchor>
  <xdr:oneCellAnchor>
    <xdr:from>
      <xdr:col>1</xdr:col>
      <xdr:colOff>531467</xdr:colOff>
      <xdr:row>24</xdr:row>
      <xdr:rowOff>110435</xdr:rowOff>
    </xdr:from>
    <xdr:ext cx="545272" cy="490054"/>
    <xdr:pic>
      <xdr:nvPicPr>
        <xdr:cNvPr id="100" name="Grafik 99">
          <a:extLst>
            <a:ext uri="{FF2B5EF4-FFF2-40B4-BE49-F238E27FC236}">
              <a16:creationId xmlns:a16="http://schemas.microsoft.com/office/drawing/2014/main" id="{00000000-0008-0000-0D00-000064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9415" t="58215" r="76976" b="37202"/>
        <a:stretch/>
      </xdr:blipFill>
      <xdr:spPr>
        <a:xfrm>
          <a:off x="1617317" y="6225485"/>
          <a:ext cx="545272" cy="490054"/>
        </a:xfrm>
        <a:prstGeom prst="rect">
          <a:avLst/>
        </a:prstGeom>
      </xdr:spPr>
    </xdr:pic>
    <xdr:clientData/>
  </xdr:oneCellAnchor>
  <xdr:oneCellAnchor>
    <xdr:from>
      <xdr:col>3</xdr:col>
      <xdr:colOff>593585</xdr:colOff>
      <xdr:row>24</xdr:row>
      <xdr:rowOff>110435</xdr:rowOff>
    </xdr:from>
    <xdr:ext cx="545272" cy="490054"/>
    <xdr:pic>
      <xdr:nvPicPr>
        <xdr:cNvPr id="101" name="Grafik 100">
          <a:extLst>
            <a:ext uri="{FF2B5EF4-FFF2-40B4-BE49-F238E27FC236}">
              <a16:creationId xmlns:a16="http://schemas.microsoft.com/office/drawing/2014/main" id="{00000000-0008-0000-0D00-000065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8963" t="58344" r="67428" b="37073"/>
        <a:stretch/>
      </xdr:blipFill>
      <xdr:spPr>
        <a:xfrm>
          <a:off x="4721085" y="6225485"/>
          <a:ext cx="545272" cy="490054"/>
        </a:xfrm>
        <a:prstGeom prst="rect">
          <a:avLst/>
        </a:prstGeom>
      </xdr:spPr>
    </xdr:pic>
    <xdr:clientData/>
  </xdr:oneCellAnchor>
  <xdr:oneCellAnchor>
    <xdr:from>
      <xdr:col>5</xdr:col>
      <xdr:colOff>607389</xdr:colOff>
      <xdr:row>24</xdr:row>
      <xdr:rowOff>110435</xdr:rowOff>
    </xdr:from>
    <xdr:ext cx="545272" cy="490054"/>
    <xdr:pic>
      <xdr:nvPicPr>
        <xdr:cNvPr id="102" name="Grafik 101">
          <a:extLst>
            <a:ext uri="{FF2B5EF4-FFF2-40B4-BE49-F238E27FC236}">
              <a16:creationId xmlns:a16="http://schemas.microsoft.com/office/drawing/2014/main" id="{00000000-0008-0000-0D00-000066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191" t="58215" r="58200" b="37202"/>
        <a:stretch/>
      </xdr:blipFill>
      <xdr:spPr>
        <a:xfrm>
          <a:off x="7852739" y="6225485"/>
          <a:ext cx="545272" cy="490054"/>
        </a:xfrm>
        <a:prstGeom prst="rect">
          <a:avLst/>
        </a:prstGeom>
      </xdr:spPr>
    </xdr:pic>
    <xdr:clientData/>
  </xdr:oneCellAnchor>
  <xdr:oneCellAnchor>
    <xdr:from>
      <xdr:col>7</xdr:col>
      <xdr:colOff>538369</xdr:colOff>
      <xdr:row>24</xdr:row>
      <xdr:rowOff>110435</xdr:rowOff>
    </xdr:from>
    <xdr:ext cx="545272" cy="490054"/>
    <xdr:pic>
      <xdr:nvPicPr>
        <xdr:cNvPr id="103" name="Grafik 102">
          <a:extLst>
            <a:ext uri="{FF2B5EF4-FFF2-40B4-BE49-F238E27FC236}">
              <a16:creationId xmlns:a16="http://schemas.microsoft.com/office/drawing/2014/main" id="{00000000-0008-0000-0D00-000067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7967" t="58280" r="48424" b="37137"/>
        <a:stretch/>
      </xdr:blipFill>
      <xdr:spPr>
        <a:xfrm>
          <a:off x="10882519" y="6225485"/>
          <a:ext cx="545272" cy="490054"/>
        </a:xfrm>
        <a:prstGeom prst="rect">
          <a:avLst/>
        </a:prstGeom>
      </xdr:spPr>
    </xdr:pic>
    <xdr:clientData/>
  </xdr:oneCellAnchor>
  <xdr:oneCellAnchor>
    <xdr:from>
      <xdr:col>9</xdr:col>
      <xdr:colOff>607388</xdr:colOff>
      <xdr:row>24</xdr:row>
      <xdr:rowOff>110435</xdr:rowOff>
    </xdr:from>
    <xdr:ext cx="959401" cy="490054"/>
    <xdr:pic>
      <xdr:nvPicPr>
        <xdr:cNvPr id="104" name="Grafik 103">
          <a:extLst>
            <a:ext uri="{FF2B5EF4-FFF2-40B4-BE49-F238E27FC236}">
              <a16:creationId xmlns:a16="http://schemas.microsoft.com/office/drawing/2014/main" id="{00000000-0008-0000-0D00-000068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57561" t="58215" r="36089" b="37202"/>
        <a:stretch/>
      </xdr:blipFill>
      <xdr:spPr>
        <a:xfrm>
          <a:off x="14050338" y="6225485"/>
          <a:ext cx="959401" cy="490054"/>
        </a:xfrm>
        <a:prstGeom prst="rect">
          <a:avLst/>
        </a:prstGeom>
      </xdr:spPr>
    </xdr:pic>
    <xdr:clientData/>
  </xdr:oneCellAnchor>
  <xdr:oneCellAnchor>
    <xdr:from>
      <xdr:col>1</xdr:col>
      <xdr:colOff>565978</xdr:colOff>
      <xdr:row>29</xdr:row>
      <xdr:rowOff>165652</xdr:rowOff>
    </xdr:from>
    <xdr:ext cx="545272" cy="490054"/>
    <xdr:pic>
      <xdr:nvPicPr>
        <xdr:cNvPr id="105" name="Grafik 104">
          <a:extLst>
            <a:ext uri="{FF2B5EF4-FFF2-40B4-BE49-F238E27FC236}">
              <a16:creationId xmlns:a16="http://schemas.microsoft.com/office/drawing/2014/main" id="{00000000-0008-0000-0D00-000069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9553" t="65380" r="76838" b="30037"/>
        <a:stretch/>
      </xdr:blipFill>
      <xdr:spPr>
        <a:xfrm>
          <a:off x="1651828" y="7264952"/>
          <a:ext cx="545272" cy="490054"/>
        </a:xfrm>
        <a:prstGeom prst="rect">
          <a:avLst/>
        </a:prstGeom>
      </xdr:spPr>
    </xdr:pic>
    <xdr:clientData/>
  </xdr:oneCellAnchor>
  <xdr:oneCellAnchor>
    <xdr:from>
      <xdr:col>3</xdr:col>
      <xdr:colOff>565978</xdr:colOff>
      <xdr:row>29</xdr:row>
      <xdr:rowOff>165652</xdr:rowOff>
    </xdr:from>
    <xdr:ext cx="545272" cy="490054"/>
    <xdr:pic>
      <xdr:nvPicPr>
        <xdr:cNvPr id="106" name="Grafik 105">
          <a:extLst>
            <a:ext uri="{FF2B5EF4-FFF2-40B4-BE49-F238E27FC236}">
              <a16:creationId xmlns:a16="http://schemas.microsoft.com/office/drawing/2014/main" id="{00000000-0008-0000-0D00-00006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8918" t="65315" r="67473" b="30102"/>
        <a:stretch/>
      </xdr:blipFill>
      <xdr:spPr>
        <a:xfrm>
          <a:off x="4693478" y="7264952"/>
          <a:ext cx="545272" cy="490054"/>
        </a:xfrm>
        <a:prstGeom prst="rect">
          <a:avLst/>
        </a:prstGeom>
      </xdr:spPr>
    </xdr:pic>
    <xdr:clientData/>
  </xdr:oneCellAnchor>
  <xdr:oneCellAnchor>
    <xdr:from>
      <xdr:col>5</xdr:col>
      <xdr:colOff>565977</xdr:colOff>
      <xdr:row>29</xdr:row>
      <xdr:rowOff>165652</xdr:rowOff>
    </xdr:from>
    <xdr:ext cx="600489" cy="476250"/>
    <xdr:pic>
      <xdr:nvPicPr>
        <xdr:cNvPr id="107" name="Grafik 106">
          <a:extLst>
            <a:ext uri="{FF2B5EF4-FFF2-40B4-BE49-F238E27FC236}">
              <a16:creationId xmlns:a16="http://schemas.microsoft.com/office/drawing/2014/main" id="{00000000-0008-0000-0D00-00006B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7963" t="65315" r="58062" b="30231"/>
        <a:stretch/>
      </xdr:blipFill>
      <xdr:spPr>
        <a:xfrm>
          <a:off x="7811327" y="7264952"/>
          <a:ext cx="600489" cy="476250"/>
        </a:xfrm>
        <a:prstGeom prst="rect">
          <a:avLst/>
        </a:prstGeom>
      </xdr:spPr>
    </xdr:pic>
    <xdr:clientData/>
  </xdr:oneCellAnchor>
  <xdr:oneCellAnchor>
    <xdr:from>
      <xdr:col>7</xdr:col>
      <xdr:colOff>565977</xdr:colOff>
      <xdr:row>29</xdr:row>
      <xdr:rowOff>165652</xdr:rowOff>
    </xdr:from>
    <xdr:ext cx="600489" cy="476250"/>
    <xdr:pic>
      <xdr:nvPicPr>
        <xdr:cNvPr id="108" name="Grafik 107">
          <a:extLst>
            <a:ext uri="{FF2B5EF4-FFF2-40B4-BE49-F238E27FC236}">
              <a16:creationId xmlns:a16="http://schemas.microsoft.com/office/drawing/2014/main" id="{00000000-0008-0000-0D00-00006C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8060" t="65379" r="47965" b="30167"/>
        <a:stretch/>
      </xdr:blipFill>
      <xdr:spPr>
        <a:xfrm>
          <a:off x="10910127" y="7264952"/>
          <a:ext cx="600489" cy="476250"/>
        </a:xfrm>
        <a:prstGeom prst="rect">
          <a:avLst/>
        </a:prstGeom>
      </xdr:spPr>
    </xdr:pic>
    <xdr:clientData/>
  </xdr:oneCellAnchor>
  <xdr:oneCellAnchor>
    <xdr:from>
      <xdr:col>9</xdr:col>
      <xdr:colOff>565977</xdr:colOff>
      <xdr:row>29</xdr:row>
      <xdr:rowOff>165651</xdr:rowOff>
    </xdr:from>
    <xdr:ext cx="973208" cy="496957"/>
    <xdr:pic>
      <xdr:nvPicPr>
        <xdr:cNvPr id="109" name="Grafik 108">
          <a:extLst>
            <a:ext uri="{FF2B5EF4-FFF2-40B4-BE49-F238E27FC236}">
              <a16:creationId xmlns:a16="http://schemas.microsoft.com/office/drawing/2014/main" id="{00000000-0008-0000-0D00-00006D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57471" t="65379" r="36086" b="29974"/>
        <a:stretch/>
      </xdr:blipFill>
      <xdr:spPr>
        <a:xfrm>
          <a:off x="14008927" y="7264951"/>
          <a:ext cx="973208" cy="496957"/>
        </a:xfrm>
        <a:prstGeom prst="rect">
          <a:avLst/>
        </a:prstGeom>
      </xdr:spPr>
    </xdr:pic>
    <xdr:clientData/>
  </xdr:oneCellAnchor>
  <xdr:oneCellAnchor>
    <xdr:from>
      <xdr:col>1</xdr:col>
      <xdr:colOff>427933</xdr:colOff>
      <xdr:row>35</xdr:row>
      <xdr:rowOff>13807</xdr:rowOff>
    </xdr:from>
    <xdr:ext cx="635001" cy="1166468"/>
    <xdr:pic>
      <xdr:nvPicPr>
        <xdr:cNvPr id="110" name="Grafik 109">
          <a:extLst>
            <a:ext uri="{FF2B5EF4-FFF2-40B4-BE49-F238E27FC236}">
              <a16:creationId xmlns:a16="http://schemas.microsoft.com/office/drawing/2014/main" id="{00000000-0008-0000-0D00-00006E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8913" t="73577" r="76884" b="15514"/>
        <a:stretch/>
      </xdr:blipFill>
      <xdr:spPr>
        <a:xfrm>
          <a:off x="1513783" y="8668857"/>
          <a:ext cx="635001" cy="1166468"/>
        </a:xfrm>
        <a:prstGeom prst="rect">
          <a:avLst/>
        </a:prstGeom>
      </xdr:spPr>
    </xdr:pic>
    <xdr:clientData/>
  </xdr:oneCellAnchor>
  <xdr:oneCellAnchor>
    <xdr:from>
      <xdr:col>3</xdr:col>
      <xdr:colOff>448639</xdr:colOff>
      <xdr:row>35</xdr:row>
      <xdr:rowOff>3</xdr:rowOff>
    </xdr:from>
    <xdr:ext cx="690219" cy="1173370"/>
    <xdr:pic>
      <xdr:nvPicPr>
        <xdr:cNvPr id="111" name="Grafik 110">
          <a:extLst>
            <a:ext uri="{FF2B5EF4-FFF2-40B4-BE49-F238E27FC236}">
              <a16:creationId xmlns:a16="http://schemas.microsoft.com/office/drawing/2014/main" id="{00000000-0008-0000-0D00-00006F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8233" t="73578" r="67199" b="15449"/>
        <a:stretch/>
      </xdr:blipFill>
      <xdr:spPr>
        <a:xfrm>
          <a:off x="4576139" y="8655053"/>
          <a:ext cx="690219" cy="1173370"/>
        </a:xfrm>
        <a:prstGeom prst="rect">
          <a:avLst/>
        </a:prstGeom>
      </xdr:spPr>
    </xdr:pic>
    <xdr:clientData/>
  </xdr:oneCellAnchor>
  <xdr:oneCellAnchor>
    <xdr:from>
      <xdr:col>5</xdr:col>
      <xdr:colOff>448639</xdr:colOff>
      <xdr:row>35</xdr:row>
      <xdr:rowOff>2</xdr:rowOff>
    </xdr:from>
    <xdr:ext cx="800654" cy="1718641"/>
    <xdr:pic>
      <xdr:nvPicPr>
        <xdr:cNvPr id="112" name="Grafik 111">
          <a:extLst>
            <a:ext uri="{FF2B5EF4-FFF2-40B4-BE49-F238E27FC236}">
              <a16:creationId xmlns:a16="http://schemas.microsoft.com/office/drawing/2014/main" id="{00000000-0008-0000-0D00-000070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7141" t="73643" r="57560" b="10284"/>
        <a:stretch/>
      </xdr:blipFill>
      <xdr:spPr>
        <a:xfrm>
          <a:off x="7693989" y="8655052"/>
          <a:ext cx="800654" cy="1718641"/>
        </a:xfrm>
        <a:prstGeom prst="rect">
          <a:avLst/>
        </a:prstGeom>
      </xdr:spPr>
    </xdr:pic>
    <xdr:clientData/>
  </xdr:oneCellAnchor>
  <xdr:oneCellAnchor>
    <xdr:from>
      <xdr:col>7</xdr:col>
      <xdr:colOff>448639</xdr:colOff>
      <xdr:row>35</xdr:row>
      <xdr:rowOff>2</xdr:rowOff>
    </xdr:from>
    <xdr:ext cx="800654" cy="1718641"/>
    <xdr:pic>
      <xdr:nvPicPr>
        <xdr:cNvPr id="113" name="Grafik 112">
          <a:extLst>
            <a:ext uri="{FF2B5EF4-FFF2-40B4-BE49-F238E27FC236}">
              <a16:creationId xmlns:a16="http://schemas.microsoft.com/office/drawing/2014/main" id="{00000000-0008-0000-0D00-000071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7237" t="73514" r="47464" b="10413"/>
        <a:stretch/>
      </xdr:blipFill>
      <xdr:spPr>
        <a:xfrm>
          <a:off x="10792789" y="8655052"/>
          <a:ext cx="800654" cy="1718641"/>
        </a:xfrm>
        <a:prstGeom prst="rect">
          <a:avLst/>
        </a:prstGeom>
      </xdr:spPr>
    </xdr:pic>
    <xdr:clientData/>
  </xdr:oneCellAnchor>
  <xdr:oneCellAnchor>
    <xdr:from>
      <xdr:col>9</xdr:col>
      <xdr:colOff>448639</xdr:colOff>
      <xdr:row>35</xdr:row>
      <xdr:rowOff>2</xdr:rowOff>
    </xdr:from>
    <xdr:ext cx="800654" cy="1718641"/>
    <xdr:pic>
      <xdr:nvPicPr>
        <xdr:cNvPr id="114" name="Grafik 113">
          <a:extLst>
            <a:ext uri="{FF2B5EF4-FFF2-40B4-BE49-F238E27FC236}">
              <a16:creationId xmlns:a16="http://schemas.microsoft.com/office/drawing/2014/main" id="{00000000-0008-0000-0D00-000072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56510" t="73514" r="38191" b="10413"/>
        <a:stretch/>
      </xdr:blipFill>
      <xdr:spPr>
        <a:xfrm>
          <a:off x="13891589" y="8655052"/>
          <a:ext cx="800654" cy="1718641"/>
        </a:xfrm>
        <a:prstGeom prst="rect">
          <a:avLst/>
        </a:prstGeom>
      </xdr:spPr>
    </xdr:pic>
    <xdr:clientData/>
  </xdr:oneCellAnchor>
  <xdr:oneCellAnchor>
    <xdr:from>
      <xdr:col>49</xdr:col>
      <xdr:colOff>407793</xdr:colOff>
      <xdr:row>50</xdr:row>
      <xdr:rowOff>105288</xdr:rowOff>
    </xdr:from>
    <xdr:ext cx="1232291" cy="1714093"/>
    <xdr:pic>
      <xdr:nvPicPr>
        <xdr:cNvPr id="115" name="Grafik 114">
          <a:extLst>
            <a:ext uri="{FF2B5EF4-FFF2-40B4-BE49-F238E27FC236}">
              <a16:creationId xmlns:a16="http://schemas.microsoft.com/office/drawing/2014/main" id="{00000000-0008-0000-0D00-000073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7102" t="8109" r="54462" b="75306"/>
        <a:stretch/>
      </xdr:blipFill>
      <xdr:spPr>
        <a:xfrm>
          <a:off x="71597643" y="13198988"/>
          <a:ext cx="1232291" cy="1714093"/>
        </a:xfrm>
        <a:prstGeom prst="rect">
          <a:avLst/>
        </a:prstGeom>
      </xdr:spPr>
    </xdr:pic>
    <xdr:clientData/>
  </xdr:oneCellAnchor>
  <xdr:oneCellAnchor>
    <xdr:from>
      <xdr:col>55</xdr:col>
      <xdr:colOff>323924</xdr:colOff>
      <xdr:row>50</xdr:row>
      <xdr:rowOff>126066</xdr:rowOff>
    </xdr:from>
    <xdr:ext cx="1240234" cy="2591744"/>
    <xdr:pic>
      <xdr:nvPicPr>
        <xdr:cNvPr id="116" name="Grafik 115">
          <a:extLst>
            <a:ext uri="{FF2B5EF4-FFF2-40B4-BE49-F238E27FC236}">
              <a16:creationId xmlns:a16="http://schemas.microsoft.com/office/drawing/2014/main" id="{00000000-0008-0000-0D00-000074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46832" t="8328" r="44962" b="67205"/>
        <a:stretch/>
      </xdr:blipFill>
      <xdr:spPr>
        <a:xfrm>
          <a:off x="80733974" y="13219766"/>
          <a:ext cx="1240234" cy="2591744"/>
        </a:xfrm>
        <a:prstGeom prst="rect">
          <a:avLst/>
        </a:prstGeom>
      </xdr:spPr>
    </xdr:pic>
    <xdr:clientData/>
  </xdr:oneCellAnchor>
  <xdr:oneCellAnchor>
    <xdr:from>
      <xdr:col>53</xdr:col>
      <xdr:colOff>323924</xdr:colOff>
      <xdr:row>50</xdr:row>
      <xdr:rowOff>126066</xdr:rowOff>
    </xdr:from>
    <xdr:ext cx="1240234" cy="2591744"/>
    <xdr:pic>
      <xdr:nvPicPr>
        <xdr:cNvPr id="117" name="Grafik 116">
          <a:extLst>
            <a:ext uri="{FF2B5EF4-FFF2-40B4-BE49-F238E27FC236}">
              <a16:creationId xmlns:a16="http://schemas.microsoft.com/office/drawing/2014/main" id="{00000000-0008-0000-0D00-000075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37116" t="8498" r="54678" b="67035"/>
        <a:stretch/>
      </xdr:blipFill>
      <xdr:spPr>
        <a:xfrm>
          <a:off x="77660574" y="13219766"/>
          <a:ext cx="1240234" cy="2591744"/>
        </a:xfrm>
        <a:prstGeom prst="rect">
          <a:avLst/>
        </a:prstGeom>
      </xdr:spPr>
    </xdr:pic>
    <xdr:clientData/>
  </xdr:oneCellAnchor>
  <xdr:oneCellAnchor>
    <xdr:from>
      <xdr:col>51</xdr:col>
      <xdr:colOff>374436</xdr:colOff>
      <xdr:row>54</xdr:row>
      <xdr:rowOff>158750</xdr:rowOff>
    </xdr:from>
    <xdr:ext cx="1240234" cy="887557"/>
    <xdr:pic>
      <xdr:nvPicPr>
        <xdr:cNvPr id="118" name="Grafik 117">
          <a:extLst>
            <a:ext uri="{FF2B5EF4-FFF2-40B4-BE49-F238E27FC236}">
              <a16:creationId xmlns:a16="http://schemas.microsoft.com/office/drawing/2014/main" id="{00000000-0008-0000-0D00-000076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37187" t="24338" r="54607" b="67283"/>
        <a:stretch/>
      </xdr:blipFill>
      <xdr:spPr>
        <a:xfrm>
          <a:off x="74637686" y="14039850"/>
          <a:ext cx="1240234" cy="887557"/>
        </a:xfrm>
        <a:prstGeom prst="rect">
          <a:avLst/>
        </a:prstGeom>
      </xdr:spPr>
    </xdr:pic>
    <xdr:clientData/>
  </xdr:oneCellAnchor>
  <xdr:twoCellAnchor editAs="oneCell">
    <xdr:from>
      <xdr:col>13</xdr:col>
      <xdr:colOff>408214</xdr:colOff>
      <xdr:row>76</xdr:row>
      <xdr:rowOff>126350</xdr:rowOff>
    </xdr:from>
    <xdr:to>
      <xdr:col>13</xdr:col>
      <xdr:colOff>1050905</xdr:colOff>
      <xdr:row>81</xdr:row>
      <xdr:rowOff>892386</xdr:rowOff>
    </xdr:to>
    <xdr:pic>
      <xdr:nvPicPr>
        <xdr:cNvPr id="120" name="Grafik 119">
          <a:extLst>
            <a:ext uri="{FF2B5EF4-FFF2-40B4-BE49-F238E27FC236}">
              <a16:creationId xmlns:a16="http://schemas.microsoft.com/office/drawing/2014/main" id="{00000000-0008-0000-0D00-000078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1652" t="75119" r="14096" b="8629"/>
        <a:stretch/>
      </xdr:blipFill>
      <xdr:spPr>
        <a:xfrm>
          <a:off x="19215229" y="20167728"/>
          <a:ext cx="642691" cy="1737974"/>
        </a:xfrm>
        <a:prstGeom prst="rect">
          <a:avLst/>
        </a:prstGeom>
      </xdr:spPr>
    </xdr:pic>
    <xdr:clientData/>
  </xdr:twoCellAnchor>
  <xdr:twoCellAnchor editAs="oneCell">
    <xdr:from>
      <xdr:col>13</xdr:col>
      <xdr:colOff>515127</xdr:colOff>
      <xdr:row>50</xdr:row>
      <xdr:rowOff>97195</xdr:rowOff>
    </xdr:from>
    <xdr:to>
      <xdr:col>13</xdr:col>
      <xdr:colOff>1593980</xdr:colOff>
      <xdr:row>55</xdr:row>
      <xdr:rowOff>1827246</xdr:rowOff>
    </xdr:to>
    <xdr:pic>
      <xdr:nvPicPr>
        <xdr:cNvPr id="121" name="Grafik 120">
          <a:extLst>
            <a:ext uri="{FF2B5EF4-FFF2-40B4-BE49-F238E27FC236}">
              <a16:creationId xmlns:a16="http://schemas.microsoft.com/office/drawing/2014/main" id="{00000000-0008-0000-0D00-000079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2103" t="8408" r="10760" b="66326"/>
        <a:stretch/>
      </xdr:blipFill>
      <xdr:spPr>
        <a:xfrm>
          <a:off x="19322142" y="13092016"/>
          <a:ext cx="1078853" cy="2701990"/>
        </a:xfrm>
        <a:prstGeom prst="rect">
          <a:avLst/>
        </a:prstGeom>
      </xdr:spPr>
    </xdr:pic>
    <xdr:clientData/>
  </xdr:twoCellAnchor>
  <xdr:twoCellAnchor editAs="oneCell">
    <xdr:from>
      <xdr:col>13</xdr:col>
      <xdr:colOff>485970</xdr:colOff>
      <xdr:row>56</xdr:row>
      <xdr:rowOff>97194</xdr:rowOff>
    </xdr:from>
    <xdr:to>
      <xdr:col>13</xdr:col>
      <xdr:colOff>1564823</xdr:colOff>
      <xdr:row>60</xdr:row>
      <xdr:rowOff>213826</xdr:rowOff>
    </xdr:to>
    <xdr:pic>
      <xdr:nvPicPr>
        <xdr:cNvPr id="122" name="Grafik 121">
          <a:extLst>
            <a:ext uri="{FF2B5EF4-FFF2-40B4-BE49-F238E27FC236}">
              <a16:creationId xmlns:a16="http://schemas.microsoft.com/office/drawing/2014/main" id="{00000000-0008-0000-0D00-00007A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1910" t="39036" r="10953" b="52602"/>
        <a:stretch/>
      </xdr:blipFill>
      <xdr:spPr>
        <a:xfrm>
          <a:off x="19292985" y="15959235"/>
          <a:ext cx="1078853" cy="894183"/>
        </a:xfrm>
        <a:prstGeom prst="rect">
          <a:avLst/>
        </a:prstGeom>
      </xdr:spPr>
    </xdr:pic>
    <xdr:clientData/>
  </xdr:twoCellAnchor>
  <xdr:oneCellAnchor>
    <xdr:from>
      <xdr:col>13</xdr:col>
      <xdr:colOff>505408</xdr:colOff>
      <xdr:row>62</xdr:row>
      <xdr:rowOff>48597</xdr:rowOff>
    </xdr:from>
    <xdr:ext cx="1078853" cy="505408"/>
    <xdr:pic>
      <xdr:nvPicPr>
        <xdr:cNvPr id="123" name="Grafik 122">
          <a:extLst>
            <a:ext uri="{FF2B5EF4-FFF2-40B4-BE49-F238E27FC236}">
              <a16:creationId xmlns:a16="http://schemas.microsoft.com/office/drawing/2014/main" id="{00000000-0008-0000-0D00-00007B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2103" t="53852" r="10760" b="41422"/>
        <a:stretch/>
      </xdr:blipFill>
      <xdr:spPr>
        <a:xfrm>
          <a:off x="19312423" y="17145000"/>
          <a:ext cx="1078853" cy="505408"/>
        </a:xfrm>
        <a:prstGeom prst="rect">
          <a:avLst/>
        </a:prstGeom>
      </xdr:spPr>
    </xdr:pic>
    <xdr:clientData/>
  </xdr:oneCellAnchor>
  <xdr:oneCellAnchor>
    <xdr:from>
      <xdr:col>13</xdr:col>
      <xdr:colOff>495689</xdr:colOff>
      <xdr:row>67</xdr:row>
      <xdr:rowOff>48597</xdr:rowOff>
    </xdr:from>
    <xdr:ext cx="1078853" cy="505408"/>
    <xdr:pic>
      <xdr:nvPicPr>
        <xdr:cNvPr id="124" name="Grafik 123">
          <a:extLst>
            <a:ext uri="{FF2B5EF4-FFF2-40B4-BE49-F238E27FC236}">
              <a16:creationId xmlns:a16="http://schemas.microsoft.com/office/drawing/2014/main" id="{00000000-0008-0000-0D00-00007C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1974" t="59123" r="10889" b="36151"/>
        <a:stretch/>
      </xdr:blipFill>
      <xdr:spPr>
        <a:xfrm>
          <a:off x="19302704" y="18155816"/>
          <a:ext cx="1078853" cy="505408"/>
        </a:xfrm>
        <a:prstGeom prst="rect">
          <a:avLst/>
        </a:prstGeom>
      </xdr:spPr>
    </xdr:pic>
    <xdr:clientData/>
  </xdr:oneCellAnchor>
  <xdr:oneCellAnchor>
    <xdr:from>
      <xdr:col>13</xdr:col>
      <xdr:colOff>495689</xdr:colOff>
      <xdr:row>72</xdr:row>
      <xdr:rowOff>48597</xdr:rowOff>
    </xdr:from>
    <xdr:ext cx="1078853" cy="505408"/>
    <xdr:pic>
      <xdr:nvPicPr>
        <xdr:cNvPr id="125" name="Grafik 124">
          <a:extLst>
            <a:ext uri="{FF2B5EF4-FFF2-40B4-BE49-F238E27FC236}">
              <a16:creationId xmlns:a16="http://schemas.microsoft.com/office/drawing/2014/main" id="{00000000-0008-0000-0D00-00007D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2103" t="67121" r="10760" b="28153"/>
        <a:stretch/>
      </xdr:blipFill>
      <xdr:spPr>
        <a:xfrm>
          <a:off x="19302704" y="18155816"/>
          <a:ext cx="1078853" cy="505408"/>
        </a:xfrm>
        <a:prstGeom prst="rect">
          <a:avLst/>
        </a:prstGeom>
      </xdr:spPr>
    </xdr:pic>
    <xdr:clientData/>
  </xdr:oneCellAnchor>
  <xdr:oneCellAnchor>
    <xdr:from>
      <xdr:col>11</xdr:col>
      <xdr:colOff>515127</xdr:colOff>
      <xdr:row>50</xdr:row>
      <xdr:rowOff>97195</xdr:rowOff>
    </xdr:from>
    <xdr:ext cx="1078853" cy="2701990"/>
    <xdr:pic>
      <xdr:nvPicPr>
        <xdr:cNvPr id="126" name="Grafik 125">
          <a:extLst>
            <a:ext uri="{FF2B5EF4-FFF2-40B4-BE49-F238E27FC236}">
              <a16:creationId xmlns:a16="http://schemas.microsoft.com/office/drawing/2014/main" id="{00000000-0008-0000-0D00-00007E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68986" t="8317" r="23877" b="66417"/>
        <a:stretch/>
      </xdr:blipFill>
      <xdr:spPr>
        <a:xfrm>
          <a:off x="19322142" y="13092016"/>
          <a:ext cx="1078853" cy="2701990"/>
        </a:xfrm>
        <a:prstGeom prst="rect">
          <a:avLst/>
        </a:prstGeom>
      </xdr:spPr>
    </xdr:pic>
    <xdr:clientData/>
  </xdr:oneCellAnchor>
  <xdr:oneCellAnchor>
    <xdr:from>
      <xdr:col>11</xdr:col>
      <xdr:colOff>408214</xdr:colOff>
      <xdr:row>76</xdr:row>
      <xdr:rowOff>136069</xdr:rowOff>
    </xdr:from>
    <xdr:ext cx="642691" cy="1737974"/>
    <xdr:pic>
      <xdr:nvPicPr>
        <xdr:cNvPr id="127" name="Grafik 126">
          <a:extLst>
            <a:ext uri="{FF2B5EF4-FFF2-40B4-BE49-F238E27FC236}">
              <a16:creationId xmlns:a16="http://schemas.microsoft.com/office/drawing/2014/main" id="{00000000-0008-0000-0D00-00007F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68598" t="75301" r="27150" b="8447"/>
        <a:stretch/>
      </xdr:blipFill>
      <xdr:spPr>
        <a:xfrm>
          <a:off x="16250816" y="20177447"/>
          <a:ext cx="642691" cy="1737974"/>
        </a:xfrm>
        <a:prstGeom prst="rect">
          <a:avLst/>
        </a:prstGeom>
      </xdr:spPr>
    </xdr:pic>
    <xdr:clientData/>
  </xdr:oneCellAnchor>
  <xdr:oneCellAnchor>
    <xdr:from>
      <xdr:col>11</xdr:col>
      <xdr:colOff>485970</xdr:colOff>
      <xdr:row>56</xdr:row>
      <xdr:rowOff>97194</xdr:rowOff>
    </xdr:from>
    <xdr:ext cx="1078853" cy="894183"/>
    <xdr:pic>
      <xdr:nvPicPr>
        <xdr:cNvPr id="128" name="Grafik 127">
          <a:extLst>
            <a:ext uri="{FF2B5EF4-FFF2-40B4-BE49-F238E27FC236}">
              <a16:creationId xmlns:a16="http://schemas.microsoft.com/office/drawing/2014/main" id="{00000000-0008-0000-0D00-000080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68922" t="38945" r="23941" b="52693"/>
        <a:stretch/>
      </xdr:blipFill>
      <xdr:spPr>
        <a:xfrm>
          <a:off x="19292985" y="15959235"/>
          <a:ext cx="1078853" cy="894183"/>
        </a:xfrm>
        <a:prstGeom prst="rect">
          <a:avLst/>
        </a:prstGeom>
      </xdr:spPr>
    </xdr:pic>
    <xdr:clientData/>
  </xdr:oneCellAnchor>
  <xdr:oneCellAnchor>
    <xdr:from>
      <xdr:col>11</xdr:col>
      <xdr:colOff>505408</xdr:colOff>
      <xdr:row>62</xdr:row>
      <xdr:rowOff>48597</xdr:rowOff>
    </xdr:from>
    <xdr:ext cx="1078853" cy="505408"/>
    <xdr:pic>
      <xdr:nvPicPr>
        <xdr:cNvPr id="129" name="Grafik 128">
          <a:extLst>
            <a:ext uri="{FF2B5EF4-FFF2-40B4-BE49-F238E27FC236}">
              <a16:creationId xmlns:a16="http://schemas.microsoft.com/office/drawing/2014/main" id="{00000000-0008-0000-0D00-000081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69051" t="53852" r="23812" b="41422"/>
        <a:stretch/>
      </xdr:blipFill>
      <xdr:spPr>
        <a:xfrm>
          <a:off x="19312423" y="17145000"/>
          <a:ext cx="1078853" cy="505408"/>
        </a:xfrm>
        <a:prstGeom prst="rect">
          <a:avLst/>
        </a:prstGeom>
      </xdr:spPr>
    </xdr:pic>
    <xdr:clientData/>
  </xdr:oneCellAnchor>
  <xdr:oneCellAnchor>
    <xdr:from>
      <xdr:col>11</xdr:col>
      <xdr:colOff>495689</xdr:colOff>
      <xdr:row>67</xdr:row>
      <xdr:rowOff>58316</xdr:rowOff>
    </xdr:from>
    <xdr:ext cx="1078853" cy="505408"/>
    <xdr:pic>
      <xdr:nvPicPr>
        <xdr:cNvPr id="130" name="Grafik 129">
          <a:extLst>
            <a:ext uri="{FF2B5EF4-FFF2-40B4-BE49-F238E27FC236}">
              <a16:creationId xmlns:a16="http://schemas.microsoft.com/office/drawing/2014/main" id="{00000000-0008-0000-0D00-000082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69115" t="59214" r="23748" b="36060"/>
        <a:stretch/>
      </xdr:blipFill>
      <xdr:spPr>
        <a:xfrm>
          <a:off x="16338291" y="18165535"/>
          <a:ext cx="1078853" cy="505408"/>
        </a:xfrm>
        <a:prstGeom prst="rect">
          <a:avLst/>
        </a:prstGeom>
      </xdr:spPr>
    </xdr:pic>
    <xdr:clientData/>
  </xdr:oneCellAnchor>
  <xdr:oneCellAnchor>
    <xdr:from>
      <xdr:col>11</xdr:col>
      <xdr:colOff>495689</xdr:colOff>
      <xdr:row>72</xdr:row>
      <xdr:rowOff>48597</xdr:rowOff>
    </xdr:from>
    <xdr:ext cx="1078853" cy="505408"/>
    <xdr:pic>
      <xdr:nvPicPr>
        <xdr:cNvPr id="131" name="Grafik 130">
          <a:extLst>
            <a:ext uri="{FF2B5EF4-FFF2-40B4-BE49-F238E27FC236}">
              <a16:creationId xmlns:a16="http://schemas.microsoft.com/office/drawing/2014/main" id="{00000000-0008-0000-0D00-000083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69244" t="67121" r="23619" b="28153"/>
        <a:stretch/>
      </xdr:blipFill>
      <xdr:spPr>
        <a:xfrm>
          <a:off x="19302704" y="19156913"/>
          <a:ext cx="1078853" cy="505408"/>
        </a:xfrm>
        <a:prstGeom prst="rect">
          <a:avLst/>
        </a:prstGeom>
      </xdr:spPr>
    </xdr:pic>
    <xdr:clientData/>
  </xdr:oneCellAnchor>
  <xdr:oneCellAnchor>
    <xdr:from>
      <xdr:col>9</xdr:col>
      <xdr:colOff>505408</xdr:colOff>
      <xdr:row>50</xdr:row>
      <xdr:rowOff>97195</xdr:rowOff>
    </xdr:from>
    <xdr:ext cx="1078853" cy="2701990"/>
    <xdr:pic>
      <xdr:nvPicPr>
        <xdr:cNvPr id="132" name="Grafik 131">
          <a:extLst>
            <a:ext uri="{FF2B5EF4-FFF2-40B4-BE49-F238E27FC236}">
              <a16:creationId xmlns:a16="http://schemas.microsoft.com/office/drawing/2014/main" id="{00000000-0008-0000-0D00-000084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9084" t="8317" r="33779" b="66417"/>
        <a:stretch/>
      </xdr:blipFill>
      <xdr:spPr>
        <a:xfrm>
          <a:off x="13364158" y="13092016"/>
          <a:ext cx="1078853" cy="2701990"/>
        </a:xfrm>
        <a:prstGeom prst="rect">
          <a:avLst/>
        </a:prstGeom>
      </xdr:spPr>
    </xdr:pic>
    <xdr:clientData/>
  </xdr:oneCellAnchor>
  <xdr:oneCellAnchor>
    <xdr:from>
      <xdr:col>9</xdr:col>
      <xdr:colOff>408214</xdr:colOff>
      <xdr:row>76</xdr:row>
      <xdr:rowOff>136069</xdr:rowOff>
    </xdr:from>
    <xdr:ext cx="642691" cy="1737974"/>
    <xdr:pic>
      <xdr:nvPicPr>
        <xdr:cNvPr id="133" name="Grafik 132">
          <a:extLst>
            <a:ext uri="{FF2B5EF4-FFF2-40B4-BE49-F238E27FC236}">
              <a16:creationId xmlns:a16="http://schemas.microsoft.com/office/drawing/2014/main" id="{00000000-0008-0000-0D00-000085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8695" t="75483" r="37053" b="8265"/>
        <a:stretch/>
      </xdr:blipFill>
      <xdr:spPr>
        <a:xfrm>
          <a:off x="16250816" y="20177447"/>
          <a:ext cx="642691" cy="1737974"/>
        </a:xfrm>
        <a:prstGeom prst="rect">
          <a:avLst/>
        </a:prstGeom>
      </xdr:spPr>
    </xdr:pic>
    <xdr:clientData/>
  </xdr:oneCellAnchor>
  <xdr:oneCellAnchor>
    <xdr:from>
      <xdr:col>9</xdr:col>
      <xdr:colOff>485970</xdr:colOff>
      <xdr:row>56</xdr:row>
      <xdr:rowOff>97194</xdr:rowOff>
    </xdr:from>
    <xdr:ext cx="1078853" cy="894183"/>
    <xdr:pic>
      <xdr:nvPicPr>
        <xdr:cNvPr id="134" name="Grafik 133">
          <a:extLst>
            <a:ext uri="{FF2B5EF4-FFF2-40B4-BE49-F238E27FC236}">
              <a16:creationId xmlns:a16="http://schemas.microsoft.com/office/drawing/2014/main" id="{00000000-0008-0000-0D00-000086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8892" t="38945" r="33971" b="52693"/>
        <a:stretch/>
      </xdr:blipFill>
      <xdr:spPr>
        <a:xfrm>
          <a:off x="16328572" y="15959235"/>
          <a:ext cx="1078853" cy="894183"/>
        </a:xfrm>
        <a:prstGeom prst="rect">
          <a:avLst/>
        </a:prstGeom>
      </xdr:spPr>
    </xdr:pic>
    <xdr:clientData/>
  </xdr:oneCellAnchor>
  <xdr:oneCellAnchor>
    <xdr:from>
      <xdr:col>9</xdr:col>
      <xdr:colOff>505408</xdr:colOff>
      <xdr:row>62</xdr:row>
      <xdr:rowOff>48597</xdr:rowOff>
    </xdr:from>
    <xdr:ext cx="1078853" cy="505408"/>
    <xdr:pic>
      <xdr:nvPicPr>
        <xdr:cNvPr id="135" name="Grafik 134">
          <a:extLst>
            <a:ext uri="{FF2B5EF4-FFF2-40B4-BE49-F238E27FC236}">
              <a16:creationId xmlns:a16="http://schemas.microsoft.com/office/drawing/2014/main" id="{00000000-0008-0000-0D00-000087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9342" t="53761" r="33521" b="41513"/>
        <a:stretch/>
      </xdr:blipFill>
      <xdr:spPr>
        <a:xfrm>
          <a:off x="16348010" y="17145000"/>
          <a:ext cx="1078853" cy="505408"/>
        </a:xfrm>
        <a:prstGeom prst="rect">
          <a:avLst/>
        </a:prstGeom>
      </xdr:spPr>
    </xdr:pic>
    <xdr:clientData/>
  </xdr:oneCellAnchor>
  <xdr:oneCellAnchor>
    <xdr:from>
      <xdr:col>9</xdr:col>
      <xdr:colOff>495689</xdr:colOff>
      <xdr:row>67</xdr:row>
      <xdr:rowOff>58316</xdr:rowOff>
    </xdr:from>
    <xdr:ext cx="1078853" cy="505408"/>
    <xdr:pic>
      <xdr:nvPicPr>
        <xdr:cNvPr id="136" name="Grafik 135">
          <a:extLst>
            <a:ext uri="{FF2B5EF4-FFF2-40B4-BE49-F238E27FC236}">
              <a16:creationId xmlns:a16="http://schemas.microsoft.com/office/drawing/2014/main" id="{00000000-0008-0000-0D00-000088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9342" t="59123" r="33521" b="36151"/>
        <a:stretch/>
      </xdr:blipFill>
      <xdr:spPr>
        <a:xfrm>
          <a:off x="16338291" y="18165535"/>
          <a:ext cx="1078853" cy="505408"/>
        </a:xfrm>
        <a:prstGeom prst="rect">
          <a:avLst/>
        </a:prstGeom>
      </xdr:spPr>
    </xdr:pic>
    <xdr:clientData/>
  </xdr:oneCellAnchor>
  <xdr:oneCellAnchor>
    <xdr:from>
      <xdr:col>9</xdr:col>
      <xdr:colOff>495689</xdr:colOff>
      <xdr:row>72</xdr:row>
      <xdr:rowOff>48597</xdr:rowOff>
    </xdr:from>
    <xdr:ext cx="1078853" cy="505408"/>
    <xdr:pic>
      <xdr:nvPicPr>
        <xdr:cNvPr id="137" name="Grafik 136">
          <a:extLst>
            <a:ext uri="{FF2B5EF4-FFF2-40B4-BE49-F238E27FC236}">
              <a16:creationId xmlns:a16="http://schemas.microsoft.com/office/drawing/2014/main" id="{00000000-0008-0000-0D00-000089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9342" t="67212" r="33521" b="28062"/>
        <a:stretch/>
      </xdr:blipFill>
      <xdr:spPr>
        <a:xfrm>
          <a:off x="16338291" y="19156913"/>
          <a:ext cx="1078853" cy="505408"/>
        </a:xfrm>
        <a:prstGeom prst="rect">
          <a:avLst/>
        </a:prstGeom>
      </xdr:spPr>
    </xdr:pic>
    <xdr:clientData/>
  </xdr:oneCellAnchor>
  <xdr:oneCellAnchor>
    <xdr:from>
      <xdr:col>7</xdr:col>
      <xdr:colOff>505408</xdr:colOff>
      <xdr:row>50</xdr:row>
      <xdr:rowOff>97195</xdr:rowOff>
    </xdr:from>
    <xdr:ext cx="1078853" cy="2701990"/>
    <xdr:pic>
      <xdr:nvPicPr>
        <xdr:cNvPr id="138" name="Grafik 137">
          <a:extLst>
            <a:ext uri="{FF2B5EF4-FFF2-40B4-BE49-F238E27FC236}">
              <a16:creationId xmlns:a16="http://schemas.microsoft.com/office/drawing/2014/main" id="{00000000-0008-0000-0D00-00008A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49054" t="8044" r="43809" b="66690"/>
        <a:stretch/>
      </xdr:blipFill>
      <xdr:spPr>
        <a:xfrm>
          <a:off x="13364158" y="13092016"/>
          <a:ext cx="1078853" cy="2701990"/>
        </a:xfrm>
        <a:prstGeom prst="rect">
          <a:avLst/>
        </a:prstGeom>
      </xdr:spPr>
    </xdr:pic>
    <xdr:clientData/>
  </xdr:oneCellAnchor>
  <xdr:oneCellAnchor>
    <xdr:from>
      <xdr:col>7</xdr:col>
      <xdr:colOff>408214</xdr:colOff>
      <xdr:row>76</xdr:row>
      <xdr:rowOff>136069</xdr:rowOff>
    </xdr:from>
    <xdr:ext cx="642691" cy="1737974"/>
    <xdr:pic>
      <xdr:nvPicPr>
        <xdr:cNvPr id="139" name="Grafik 138">
          <a:extLst>
            <a:ext uri="{FF2B5EF4-FFF2-40B4-BE49-F238E27FC236}">
              <a16:creationId xmlns:a16="http://schemas.microsoft.com/office/drawing/2014/main" id="{00000000-0008-0000-0D00-00008B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48792" t="75301" r="46956" b="8447"/>
        <a:stretch/>
      </xdr:blipFill>
      <xdr:spPr>
        <a:xfrm>
          <a:off x="13266964" y="20177447"/>
          <a:ext cx="642691" cy="1737974"/>
        </a:xfrm>
        <a:prstGeom prst="rect">
          <a:avLst/>
        </a:prstGeom>
      </xdr:spPr>
    </xdr:pic>
    <xdr:clientData/>
  </xdr:oneCellAnchor>
  <xdr:oneCellAnchor>
    <xdr:from>
      <xdr:col>7</xdr:col>
      <xdr:colOff>485970</xdr:colOff>
      <xdr:row>56</xdr:row>
      <xdr:rowOff>97194</xdr:rowOff>
    </xdr:from>
    <xdr:ext cx="1078853" cy="894183"/>
    <xdr:pic>
      <xdr:nvPicPr>
        <xdr:cNvPr id="140" name="Grafik 139">
          <a:extLst>
            <a:ext uri="{FF2B5EF4-FFF2-40B4-BE49-F238E27FC236}">
              <a16:creationId xmlns:a16="http://schemas.microsoft.com/office/drawing/2014/main" id="{00000000-0008-0000-0D00-00008C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8892" t="38945" r="33971" b="52693"/>
        <a:stretch/>
      </xdr:blipFill>
      <xdr:spPr>
        <a:xfrm>
          <a:off x="13344720" y="15959235"/>
          <a:ext cx="1078853" cy="894183"/>
        </a:xfrm>
        <a:prstGeom prst="rect">
          <a:avLst/>
        </a:prstGeom>
      </xdr:spPr>
    </xdr:pic>
    <xdr:clientData/>
  </xdr:oneCellAnchor>
  <xdr:oneCellAnchor>
    <xdr:from>
      <xdr:col>7</xdr:col>
      <xdr:colOff>505408</xdr:colOff>
      <xdr:row>62</xdr:row>
      <xdr:rowOff>48597</xdr:rowOff>
    </xdr:from>
    <xdr:ext cx="1078853" cy="505408"/>
    <xdr:pic>
      <xdr:nvPicPr>
        <xdr:cNvPr id="141" name="Grafik 140">
          <a:extLst>
            <a:ext uri="{FF2B5EF4-FFF2-40B4-BE49-F238E27FC236}">
              <a16:creationId xmlns:a16="http://schemas.microsoft.com/office/drawing/2014/main" id="{00000000-0008-0000-0D00-00008D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49119" t="53852" r="43744" b="41422"/>
        <a:stretch/>
      </xdr:blipFill>
      <xdr:spPr>
        <a:xfrm>
          <a:off x="13364158" y="17145000"/>
          <a:ext cx="1078853" cy="505408"/>
        </a:xfrm>
        <a:prstGeom prst="rect">
          <a:avLst/>
        </a:prstGeom>
      </xdr:spPr>
    </xdr:pic>
    <xdr:clientData/>
  </xdr:oneCellAnchor>
  <xdr:oneCellAnchor>
    <xdr:from>
      <xdr:col>7</xdr:col>
      <xdr:colOff>495689</xdr:colOff>
      <xdr:row>67</xdr:row>
      <xdr:rowOff>58316</xdr:rowOff>
    </xdr:from>
    <xdr:ext cx="1078853" cy="505408"/>
    <xdr:pic>
      <xdr:nvPicPr>
        <xdr:cNvPr id="142" name="Grafik 141">
          <a:extLst>
            <a:ext uri="{FF2B5EF4-FFF2-40B4-BE49-F238E27FC236}">
              <a16:creationId xmlns:a16="http://schemas.microsoft.com/office/drawing/2014/main" id="{00000000-0008-0000-0D00-00008E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49119" t="59123" r="43744" b="36151"/>
        <a:stretch/>
      </xdr:blipFill>
      <xdr:spPr>
        <a:xfrm>
          <a:off x="13354439" y="18165535"/>
          <a:ext cx="1078853" cy="505408"/>
        </a:xfrm>
        <a:prstGeom prst="rect">
          <a:avLst/>
        </a:prstGeom>
      </xdr:spPr>
    </xdr:pic>
    <xdr:clientData/>
  </xdr:oneCellAnchor>
  <xdr:oneCellAnchor>
    <xdr:from>
      <xdr:col>7</xdr:col>
      <xdr:colOff>495689</xdr:colOff>
      <xdr:row>72</xdr:row>
      <xdr:rowOff>48597</xdr:rowOff>
    </xdr:from>
    <xdr:ext cx="1078853" cy="505408"/>
    <xdr:pic>
      <xdr:nvPicPr>
        <xdr:cNvPr id="143" name="Grafik 142">
          <a:extLst>
            <a:ext uri="{FF2B5EF4-FFF2-40B4-BE49-F238E27FC236}">
              <a16:creationId xmlns:a16="http://schemas.microsoft.com/office/drawing/2014/main" id="{00000000-0008-0000-0D00-00008F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49312" t="67121" r="43551" b="28153"/>
        <a:stretch/>
      </xdr:blipFill>
      <xdr:spPr>
        <a:xfrm>
          <a:off x="13354439" y="19156913"/>
          <a:ext cx="1078853" cy="505408"/>
        </a:xfrm>
        <a:prstGeom prst="rect">
          <a:avLst/>
        </a:prstGeom>
      </xdr:spPr>
    </xdr:pic>
    <xdr:clientData/>
  </xdr:oneCellAnchor>
  <xdr:oneCellAnchor>
    <xdr:from>
      <xdr:col>5</xdr:col>
      <xdr:colOff>505408</xdr:colOff>
      <xdr:row>50</xdr:row>
      <xdr:rowOff>97195</xdr:rowOff>
    </xdr:from>
    <xdr:ext cx="1078853" cy="2701990"/>
    <xdr:pic>
      <xdr:nvPicPr>
        <xdr:cNvPr id="144" name="Grafik 143">
          <a:extLst>
            <a:ext uri="{FF2B5EF4-FFF2-40B4-BE49-F238E27FC236}">
              <a16:creationId xmlns:a16="http://schemas.microsoft.com/office/drawing/2014/main" id="{00000000-0008-0000-0D00-000090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281" t="8044" r="53582" b="66690"/>
        <a:stretch/>
      </xdr:blipFill>
      <xdr:spPr>
        <a:xfrm>
          <a:off x="10399745" y="13092016"/>
          <a:ext cx="1078853" cy="2701990"/>
        </a:xfrm>
        <a:prstGeom prst="rect">
          <a:avLst/>
        </a:prstGeom>
      </xdr:spPr>
    </xdr:pic>
    <xdr:clientData/>
  </xdr:oneCellAnchor>
  <xdr:oneCellAnchor>
    <xdr:from>
      <xdr:col>5</xdr:col>
      <xdr:colOff>408214</xdr:colOff>
      <xdr:row>76</xdr:row>
      <xdr:rowOff>136069</xdr:rowOff>
    </xdr:from>
    <xdr:ext cx="642691" cy="1737974"/>
    <xdr:pic>
      <xdr:nvPicPr>
        <xdr:cNvPr id="145" name="Grafik 144">
          <a:extLst>
            <a:ext uri="{FF2B5EF4-FFF2-40B4-BE49-F238E27FC236}">
              <a16:creationId xmlns:a16="http://schemas.microsoft.com/office/drawing/2014/main" id="{00000000-0008-0000-0D00-000091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8825" t="75119" r="56923" b="8629"/>
        <a:stretch/>
      </xdr:blipFill>
      <xdr:spPr>
        <a:xfrm>
          <a:off x="10302551" y="20177447"/>
          <a:ext cx="642691" cy="1737974"/>
        </a:xfrm>
        <a:prstGeom prst="rect">
          <a:avLst/>
        </a:prstGeom>
      </xdr:spPr>
    </xdr:pic>
    <xdr:clientData/>
  </xdr:oneCellAnchor>
  <xdr:oneCellAnchor>
    <xdr:from>
      <xdr:col>5</xdr:col>
      <xdr:colOff>485970</xdr:colOff>
      <xdr:row>56</xdr:row>
      <xdr:rowOff>97194</xdr:rowOff>
    </xdr:from>
    <xdr:ext cx="1078853" cy="894183"/>
    <xdr:pic>
      <xdr:nvPicPr>
        <xdr:cNvPr id="146" name="Grafik 145">
          <a:extLst>
            <a:ext uri="{FF2B5EF4-FFF2-40B4-BE49-F238E27FC236}">
              <a16:creationId xmlns:a16="http://schemas.microsoft.com/office/drawing/2014/main" id="{00000000-0008-0000-0D00-000092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221" t="38945" r="53642" b="52693"/>
        <a:stretch/>
      </xdr:blipFill>
      <xdr:spPr>
        <a:xfrm>
          <a:off x="10380307" y="15959235"/>
          <a:ext cx="1078853" cy="894183"/>
        </a:xfrm>
        <a:prstGeom prst="rect">
          <a:avLst/>
        </a:prstGeom>
      </xdr:spPr>
    </xdr:pic>
    <xdr:clientData/>
  </xdr:oneCellAnchor>
  <xdr:oneCellAnchor>
    <xdr:from>
      <xdr:col>5</xdr:col>
      <xdr:colOff>505408</xdr:colOff>
      <xdr:row>62</xdr:row>
      <xdr:rowOff>48597</xdr:rowOff>
    </xdr:from>
    <xdr:ext cx="1078853" cy="505408"/>
    <xdr:pic>
      <xdr:nvPicPr>
        <xdr:cNvPr id="147" name="Grafik 146">
          <a:extLst>
            <a:ext uri="{FF2B5EF4-FFF2-40B4-BE49-F238E27FC236}">
              <a16:creationId xmlns:a16="http://schemas.microsoft.com/office/drawing/2014/main" id="{00000000-0008-0000-0D00-000093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346" t="53852" r="53517" b="41422"/>
        <a:stretch/>
      </xdr:blipFill>
      <xdr:spPr>
        <a:xfrm>
          <a:off x="10399745" y="17145000"/>
          <a:ext cx="1078853" cy="505408"/>
        </a:xfrm>
        <a:prstGeom prst="rect">
          <a:avLst/>
        </a:prstGeom>
      </xdr:spPr>
    </xdr:pic>
    <xdr:clientData/>
  </xdr:oneCellAnchor>
  <xdr:oneCellAnchor>
    <xdr:from>
      <xdr:col>5</xdr:col>
      <xdr:colOff>495689</xdr:colOff>
      <xdr:row>67</xdr:row>
      <xdr:rowOff>58316</xdr:rowOff>
    </xdr:from>
    <xdr:ext cx="1078853" cy="505408"/>
    <xdr:pic>
      <xdr:nvPicPr>
        <xdr:cNvPr id="148" name="Grafik 147">
          <a:extLst>
            <a:ext uri="{FF2B5EF4-FFF2-40B4-BE49-F238E27FC236}">
              <a16:creationId xmlns:a16="http://schemas.microsoft.com/office/drawing/2014/main" id="{00000000-0008-0000-0D00-000094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282" t="59123" r="53581" b="36151"/>
        <a:stretch/>
      </xdr:blipFill>
      <xdr:spPr>
        <a:xfrm>
          <a:off x="10390026" y="18165535"/>
          <a:ext cx="1078853" cy="505408"/>
        </a:xfrm>
        <a:prstGeom prst="rect">
          <a:avLst/>
        </a:prstGeom>
      </xdr:spPr>
    </xdr:pic>
    <xdr:clientData/>
  </xdr:oneCellAnchor>
  <xdr:oneCellAnchor>
    <xdr:from>
      <xdr:col>5</xdr:col>
      <xdr:colOff>495689</xdr:colOff>
      <xdr:row>72</xdr:row>
      <xdr:rowOff>48597</xdr:rowOff>
    </xdr:from>
    <xdr:ext cx="1078853" cy="505408"/>
    <xdr:pic>
      <xdr:nvPicPr>
        <xdr:cNvPr id="149" name="Grafik 148">
          <a:extLst>
            <a:ext uri="{FF2B5EF4-FFF2-40B4-BE49-F238E27FC236}">
              <a16:creationId xmlns:a16="http://schemas.microsoft.com/office/drawing/2014/main" id="{00000000-0008-0000-0D00-000095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346" t="67212" r="53517" b="28062"/>
        <a:stretch/>
      </xdr:blipFill>
      <xdr:spPr>
        <a:xfrm>
          <a:off x="10390026" y="19156913"/>
          <a:ext cx="1078853" cy="505408"/>
        </a:xfrm>
        <a:prstGeom prst="rect">
          <a:avLst/>
        </a:prstGeom>
      </xdr:spPr>
    </xdr:pic>
    <xdr:clientData/>
  </xdr:oneCellAnchor>
  <xdr:oneCellAnchor>
    <xdr:from>
      <xdr:col>3</xdr:col>
      <xdr:colOff>408214</xdr:colOff>
      <xdr:row>76</xdr:row>
      <xdr:rowOff>136069</xdr:rowOff>
    </xdr:from>
    <xdr:ext cx="642691" cy="1737974"/>
    <xdr:pic>
      <xdr:nvPicPr>
        <xdr:cNvPr id="151" name="Grafik 150">
          <a:extLst>
            <a:ext uri="{FF2B5EF4-FFF2-40B4-BE49-F238E27FC236}">
              <a16:creationId xmlns:a16="http://schemas.microsoft.com/office/drawing/2014/main" id="{00000000-0008-0000-0D00-000097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8808" t="75210" r="66940" b="8538"/>
        <a:stretch/>
      </xdr:blipFill>
      <xdr:spPr>
        <a:xfrm>
          <a:off x="7338137" y="20177447"/>
          <a:ext cx="642691" cy="1737974"/>
        </a:xfrm>
        <a:prstGeom prst="rect">
          <a:avLst/>
        </a:prstGeom>
      </xdr:spPr>
    </xdr:pic>
    <xdr:clientData/>
  </xdr:oneCellAnchor>
  <xdr:oneCellAnchor>
    <xdr:from>
      <xdr:col>3</xdr:col>
      <xdr:colOff>505408</xdr:colOff>
      <xdr:row>62</xdr:row>
      <xdr:rowOff>48597</xdr:rowOff>
    </xdr:from>
    <xdr:ext cx="1078853" cy="505408"/>
    <xdr:pic>
      <xdr:nvPicPr>
        <xdr:cNvPr id="153" name="Grafik 152">
          <a:extLst>
            <a:ext uri="{FF2B5EF4-FFF2-40B4-BE49-F238E27FC236}">
              <a16:creationId xmlns:a16="http://schemas.microsoft.com/office/drawing/2014/main" id="{00000000-0008-0000-0D00-000099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9448" t="53852" r="63415" b="41422"/>
        <a:stretch/>
      </xdr:blipFill>
      <xdr:spPr>
        <a:xfrm>
          <a:off x="7435331" y="17145000"/>
          <a:ext cx="1078853" cy="505408"/>
        </a:xfrm>
        <a:prstGeom prst="rect">
          <a:avLst/>
        </a:prstGeom>
      </xdr:spPr>
    </xdr:pic>
    <xdr:clientData/>
  </xdr:oneCellAnchor>
  <xdr:oneCellAnchor>
    <xdr:from>
      <xdr:col>3</xdr:col>
      <xdr:colOff>495689</xdr:colOff>
      <xdr:row>67</xdr:row>
      <xdr:rowOff>58316</xdr:rowOff>
    </xdr:from>
    <xdr:ext cx="1078853" cy="505408"/>
    <xdr:pic>
      <xdr:nvPicPr>
        <xdr:cNvPr id="154" name="Grafik 153">
          <a:extLst>
            <a:ext uri="{FF2B5EF4-FFF2-40B4-BE49-F238E27FC236}">
              <a16:creationId xmlns:a16="http://schemas.microsoft.com/office/drawing/2014/main" id="{00000000-0008-0000-0D00-00009A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9384" t="59123" r="63479" b="36151"/>
        <a:stretch/>
      </xdr:blipFill>
      <xdr:spPr>
        <a:xfrm>
          <a:off x="7425612" y="18165535"/>
          <a:ext cx="1078853" cy="505408"/>
        </a:xfrm>
        <a:prstGeom prst="rect">
          <a:avLst/>
        </a:prstGeom>
      </xdr:spPr>
    </xdr:pic>
    <xdr:clientData/>
  </xdr:oneCellAnchor>
  <xdr:oneCellAnchor>
    <xdr:from>
      <xdr:col>3</xdr:col>
      <xdr:colOff>495689</xdr:colOff>
      <xdr:row>72</xdr:row>
      <xdr:rowOff>48597</xdr:rowOff>
    </xdr:from>
    <xdr:ext cx="1078853" cy="505408"/>
    <xdr:pic>
      <xdr:nvPicPr>
        <xdr:cNvPr id="155" name="Grafik 154">
          <a:extLst>
            <a:ext uri="{FF2B5EF4-FFF2-40B4-BE49-F238E27FC236}">
              <a16:creationId xmlns:a16="http://schemas.microsoft.com/office/drawing/2014/main" id="{00000000-0008-0000-0D00-00009B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9384" t="67030" r="63479" b="28244"/>
        <a:stretch/>
      </xdr:blipFill>
      <xdr:spPr>
        <a:xfrm>
          <a:off x="7425612" y="19156913"/>
          <a:ext cx="1078853" cy="505408"/>
        </a:xfrm>
        <a:prstGeom prst="rect">
          <a:avLst/>
        </a:prstGeom>
      </xdr:spPr>
    </xdr:pic>
    <xdr:clientData/>
  </xdr:oneCellAnchor>
  <xdr:oneCellAnchor>
    <xdr:from>
      <xdr:col>3</xdr:col>
      <xdr:colOff>505408</xdr:colOff>
      <xdr:row>55</xdr:row>
      <xdr:rowOff>369336</xdr:rowOff>
    </xdr:from>
    <xdr:ext cx="1078853" cy="1457909"/>
    <xdr:pic>
      <xdr:nvPicPr>
        <xdr:cNvPr id="156" name="Grafik 155">
          <a:extLst>
            <a:ext uri="{FF2B5EF4-FFF2-40B4-BE49-F238E27FC236}">
              <a16:creationId xmlns:a16="http://schemas.microsoft.com/office/drawing/2014/main" id="{00000000-0008-0000-0D00-00009C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281" t="19677" r="53582" b="66690"/>
        <a:stretch/>
      </xdr:blipFill>
      <xdr:spPr>
        <a:xfrm>
          <a:off x="4451479" y="14336096"/>
          <a:ext cx="1078853" cy="1457909"/>
        </a:xfrm>
        <a:prstGeom prst="rect">
          <a:avLst/>
        </a:prstGeom>
      </xdr:spPr>
    </xdr:pic>
    <xdr:clientData/>
  </xdr:oneCellAnchor>
  <xdr:oneCellAnchor>
    <xdr:from>
      <xdr:col>1</xdr:col>
      <xdr:colOff>408214</xdr:colOff>
      <xdr:row>76</xdr:row>
      <xdr:rowOff>136069</xdr:rowOff>
    </xdr:from>
    <xdr:ext cx="642691" cy="1737974"/>
    <xdr:pic>
      <xdr:nvPicPr>
        <xdr:cNvPr id="157" name="Grafik 156">
          <a:extLst>
            <a:ext uri="{FF2B5EF4-FFF2-40B4-BE49-F238E27FC236}">
              <a16:creationId xmlns:a16="http://schemas.microsoft.com/office/drawing/2014/main" id="{00000000-0008-0000-0D00-00009D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8808" t="75210" r="66940" b="8538"/>
        <a:stretch/>
      </xdr:blipFill>
      <xdr:spPr>
        <a:xfrm>
          <a:off x="4354285" y="20177447"/>
          <a:ext cx="642691" cy="1737974"/>
        </a:xfrm>
        <a:prstGeom prst="rect">
          <a:avLst/>
        </a:prstGeom>
      </xdr:spPr>
    </xdr:pic>
    <xdr:clientData/>
  </xdr:oneCellAnchor>
  <xdr:oneCellAnchor>
    <xdr:from>
      <xdr:col>1</xdr:col>
      <xdr:colOff>505408</xdr:colOff>
      <xdr:row>62</xdr:row>
      <xdr:rowOff>48597</xdr:rowOff>
    </xdr:from>
    <xdr:ext cx="1078853" cy="505408"/>
    <xdr:pic>
      <xdr:nvPicPr>
        <xdr:cNvPr id="158" name="Grafik 157">
          <a:extLst>
            <a:ext uri="{FF2B5EF4-FFF2-40B4-BE49-F238E27FC236}">
              <a16:creationId xmlns:a16="http://schemas.microsoft.com/office/drawing/2014/main" id="{00000000-0008-0000-0D00-00009E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9448" t="53852" r="63415" b="41422"/>
        <a:stretch/>
      </xdr:blipFill>
      <xdr:spPr>
        <a:xfrm>
          <a:off x="4451479" y="17145000"/>
          <a:ext cx="1078853" cy="505408"/>
        </a:xfrm>
        <a:prstGeom prst="rect">
          <a:avLst/>
        </a:prstGeom>
      </xdr:spPr>
    </xdr:pic>
    <xdr:clientData/>
  </xdr:oneCellAnchor>
  <xdr:oneCellAnchor>
    <xdr:from>
      <xdr:col>1</xdr:col>
      <xdr:colOff>515127</xdr:colOff>
      <xdr:row>67</xdr:row>
      <xdr:rowOff>38878</xdr:rowOff>
    </xdr:from>
    <xdr:ext cx="719234" cy="505408"/>
    <xdr:pic>
      <xdr:nvPicPr>
        <xdr:cNvPr id="159" name="Grafik 158">
          <a:extLst>
            <a:ext uri="{FF2B5EF4-FFF2-40B4-BE49-F238E27FC236}">
              <a16:creationId xmlns:a16="http://schemas.microsoft.com/office/drawing/2014/main" id="{00000000-0008-0000-0D00-00009F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19611" t="59123" r="75631" b="36151"/>
        <a:stretch/>
      </xdr:blipFill>
      <xdr:spPr>
        <a:xfrm>
          <a:off x="1555101" y="18146097"/>
          <a:ext cx="719234" cy="505408"/>
        </a:xfrm>
        <a:prstGeom prst="rect">
          <a:avLst/>
        </a:prstGeom>
      </xdr:spPr>
    </xdr:pic>
    <xdr:clientData/>
  </xdr:oneCellAnchor>
  <xdr:oneCellAnchor>
    <xdr:from>
      <xdr:col>1</xdr:col>
      <xdr:colOff>495689</xdr:colOff>
      <xdr:row>72</xdr:row>
      <xdr:rowOff>48597</xdr:rowOff>
    </xdr:from>
    <xdr:ext cx="1078853" cy="505408"/>
    <xdr:pic>
      <xdr:nvPicPr>
        <xdr:cNvPr id="160" name="Grafik 159">
          <a:extLst>
            <a:ext uri="{FF2B5EF4-FFF2-40B4-BE49-F238E27FC236}">
              <a16:creationId xmlns:a16="http://schemas.microsoft.com/office/drawing/2014/main" id="{00000000-0008-0000-0D00-0000A0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29384" t="67030" r="63479" b="28244"/>
        <a:stretch/>
      </xdr:blipFill>
      <xdr:spPr>
        <a:xfrm>
          <a:off x="4441760" y="19156913"/>
          <a:ext cx="1078853" cy="505408"/>
        </a:xfrm>
        <a:prstGeom prst="rect">
          <a:avLst/>
        </a:prstGeom>
      </xdr:spPr>
    </xdr:pic>
    <xdr:clientData/>
  </xdr:oneCellAnchor>
  <xdr:oneCellAnchor>
    <xdr:from>
      <xdr:col>1</xdr:col>
      <xdr:colOff>505408</xdr:colOff>
      <xdr:row>55</xdr:row>
      <xdr:rowOff>903903</xdr:rowOff>
    </xdr:from>
    <xdr:ext cx="602603" cy="787276"/>
    <xdr:pic>
      <xdr:nvPicPr>
        <xdr:cNvPr id="162" name="Grafik 161">
          <a:extLst>
            <a:ext uri="{FF2B5EF4-FFF2-40B4-BE49-F238E27FC236}">
              <a16:creationId xmlns:a16="http://schemas.microsoft.com/office/drawing/2014/main" id="{00000000-0008-0000-0D00-0000A2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281" t="25948" r="56732" b="66690"/>
        <a:stretch/>
      </xdr:blipFill>
      <xdr:spPr>
        <a:xfrm>
          <a:off x="1545382" y="14870663"/>
          <a:ext cx="602603" cy="787276"/>
        </a:xfrm>
        <a:prstGeom prst="rect">
          <a:avLst/>
        </a:prstGeom>
      </xdr:spPr>
    </xdr:pic>
    <xdr:clientData/>
  </xdr:oneCellAnchor>
  <xdr:oneCellAnchor>
    <xdr:from>
      <xdr:col>1</xdr:col>
      <xdr:colOff>476251</xdr:colOff>
      <xdr:row>55</xdr:row>
      <xdr:rowOff>359619</xdr:rowOff>
    </xdr:from>
    <xdr:ext cx="1078853" cy="544284"/>
    <xdr:pic>
      <xdr:nvPicPr>
        <xdr:cNvPr id="161" name="Grafik 160">
          <a:extLst>
            <a:ext uri="{FF2B5EF4-FFF2-40B4-BE49-F238E27FC236}">
              <a16:creationId xmlns:a16="http://schemas.microsoft.com/office/drawing/2014/main" id="{00000000-0008-0000-0D00-0000A1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9281" t="13770" r="53582" b="81141"/>
        <a:stretch/>
      </xdr:blipFill>
      <xdr:spPr>
        <a:xfrm>
          <a:off x="1516225" y="14326379"/>
          <a:ext cx="1078853" cy="544284"/>
        </a:xfrm>
        <a:prstGeom prst="rect">
          <a:avLst/>
        </a:prstGeom>
      </xdr:spPr>
    </xdr:pic>
    <xdr:clientData/>
  </xdr:oneCellAnchor>
  <xdr:oneCellAnchor>
    <xdr:from>
      <xdr:col>5</xdr:col>
      <xdr:colOff>631758</xdr:colOff>
      <xdr:row>142</xdr:row>
      <xdr:rowOff>97190</xdr:rowOff>
    </xdr:from>
    <xdr:ext cx="874745" cy="806709"/>
    <xdr:pic>
      <xdr:nvPicPr>
        <xdr:cNvPr id="195" name="Grafik 194">
          <a:extLst>
            <a:ext uri="{FF2B5EF4-FFF2-40B4-BE49-F238E27FC236}">
              <a16:creationId xmlns:a16="http://schemas.microsoft.com/office/drawing/2014/main" id="{00000000-0008-0000-0D00-0000C3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565" t="36279" r="56648" b="56177"/>
        <a:stretch/>
      </xdr:blipFill>
      <xdr:spPr>
        <a:xfrm>
          <a:off x="7561681" y="26708874"/>
          <a:ext cx="874745" cy="806709"/>
        </a:xfrm>
        <a:prstGeom prst="rect">
          <a:avLst/>
        </a:prstGeom>
      </xdr:spPr>
    </xdr:pic>
    <xdr:clientData/>
  </xdr:oneCellAnchor>
  <xdr:oneCellAnchor>
    <xdr:from>
      <xdr:col>5</xdr:col>
      <xdr:colOff>641479</xdr:colOff>
      <xdr:row>157</xdr:row>
      <xdr:rowOff>126352</xdr:rowOff>
    </xdr:from>
    <xdr:ext cx="855306" cy="641479"/>
    <xdr:pic>
      <xdr:nvPicPr>
        <xdr:cNvPr id="196" name="Grafik 195">
          <a:extLst>
            <a:ext uri="{FF2B5EF4-FFF2-40B4-BE49-F238E27FC236}">
              <a16:creationId xmlns:a16="http://schemas.microsoft.com/office/drawing/2014/main" id="{00000000-0008-0000-0D00-0000C4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764" t="63909" r="56578" b="30093"/>
        <a:stretch/>
      </xdr:blipFill>
      <xdr:spPr>
        <a:xfrm>
          <a:off x="7571402" y="29673291"/>
          <a:ext cx="855306" cy="641479"/>
        </a:xfrm>
        <a:prstGeom prst="rect">
          <a:avLst/>
        </a:prstGeom>
      </xdr:spPr>
    </xdr:pic>
    <xdr:clientData/>
  </xdr:oneCellAnchor>
  <xdr:oneCellAnchor>
    <xdr:from>
      <xdr:col>5</xdr:col>
      <xdr:colOff>573446</xdr:colOff>
      <xdr:row>162</xdr:row>
      <xdr:rowOff>48597</xdr:rowOff>
    </xdr:from>
    <xdr:ext cx="855306" cy="1749490"/>
    <xdr:pic>
      <xdr:nvPicPr>
        <xdr:cNvPr id="197" name="Grafik 196">
          <a:extLst>
            <a:ext uri="{FF2B5EF4-FFF2-40B4-BE49-F238E27FC236}">
              <a16:creationId xmlns:a16="http://schemas.microsoft.com/office/drawing/2014/main" id="{00000000-0008-0000-0D00-0000C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250" t="70451" r="57092" b="13192"/>
        <a:stretch/>
      </xdr:blipFill>
      <xdr:spPr>
        <a:xfrm>
          <a:off x="7503369" y="41997475"/>
          <a:ext cx="855306" cy="1749490"/>
        </a:xfrm>
        <a:prstGeom prst="rect">
          <a:avLst/>
        </a:prstGeom>
      </xdr:spPr>
    </xdr:pic>
    <xdr:clientData/>
  </xdr:oneCellAnchor>
  <xdr:oneCellAnchor>
    <xdr:from>
      <xdr:col>5</xdr:col>
      <xdr:colOff>58316</xdr:colOff>
      <xdr:row>136</xdr:row>
      <xdr:rowOff>19438</xdr:rowOff>
    </xdr:from>
    <xdr:ext cx="1302399" cy="2147985"/>
    <xdr:pic>
      <xdr:nvPicPr>
        <xdr:cNvPr id="198" name="Grafik 197">
          <a:extLst>
            <a:ext uri="{FF2B5EF4-FFF2-40B4-BE49-F238E27FC236}">
              <a16:creationId xmlns:a16="http://schemas.microsoft.com/office/drawing/2014/main" id="{00000000-0008-0000-0D00-0000C6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500" t="9466" r="53883" b="70448"/>
        <a:stretch/>
      </xdr:blipFill>
      <xdr:spPr>
        <a:xfrm>
          <a:off x="6988239" y="24463698"/>
          <a:ext cx="1302399" cy="2147985"/>
        </a:xfrm>
        <a:prstGeom prst="rect">
          <a:avLst/>
        </a:prstGeom>
      </xdr:spPr>
    </xdr:pic>
    <xdr:clientData/>
  </xdr:oneCellAnchor>
  <xdr:oneCellAnchor>
    <xdr:from>
      <xdr:col>5</xdr:col>
      <xdr:colOff>106913</xdr:colOff>
      <xdr:row>148</xdr:row>
      <xdr:rowOff>116634</xdr:rowOff>
    </xdr:from>
    <xdr:ext cx="1341276" cy="1331556"/>
    <xdr:pic>
      <xdr:nvPicPr>
        <xdr:cNvPr id="199" name="Grafik 198">
          <a:extLst>
            <a:ext uri="{FF2B5EF4-FFF2-40B4-BE49-F238E27FC236}">
              <a16:creationId xmlns:a16="http://schemas.microsoft.com/office/drawing/2014/main" id="{00000000-0008-0000-0D00-0000C7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635" t="51005" r="53492" b="36545"/>
        <a:stretch/>
      </xdr:blipFill>
      <xdr:spPr>
        <a:xfrm>
          <a:off x="7036836" y="38974746"/>
          <a:ext cx="1341276" cy="1331556"/>
        </a:xfrm>
        <a:prstGeom prst="rect">
          <a:avLst/>
        </a:prstGeom>
      </xdr:spPr>
    </xdr:pic>
    <xdr:clientData/>
  </xdr:oneCellAnchor>
  <xdr:oneCellAnchor>
    <xdr:from>
      <xdr:col>7</xdr:col>
      <xdr:colOff>631758</xdr:colOff>
      <xdr:row>142</xdr:row>
      <xdr:rowOff>97190</xdr:rowOff>
    </xdr:from>
    <xdr:ext cx="874745" cy="806709"/>
    <xdr:pic>
      <xdr:nvPicPr>
        <xdr:cNvPr id="200" name="Grafik 199">
          <a:extLst>
            <a:ext uri="{FF2B5EF4-FFF2-40B4-BE49-F238E27FC236}">
              <a16:creationId xmlns:a16="http://schemas.microsoft.com/office/drawing/2014/main" id="{00000000-0008-0000-0D00-0000C8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663" t="36279" r="37550" b="56177"/>
        <a:stretch/>
      </xdr:blipFill>
      <xdr:spPr>
        <a:xfrm>
          <a:off x="10526095" y="26708874"/>
          <a:ext cx="874745" cy="806709"/>
        </a:xfrm>
        <a:prstGeom prst="rect">
          <a:avLst/>
        </a:prstGeom>
      </xdr:spPr>
    </xdr:pic>
    <xdr:clientData/>
  </xdr:oneCellAnchor>
  <xdr:oneCellAnchor>
    <xdr:from>
      <xdr:col>7</xdr:col>
      <xdr:colOff>622041</xdr:colOff>
      <xdr:row>147</xdr:row>
      <xdr:rowOff>145791</xdr:rowOff>
    </xdr:from>
    <xdr:ext cx="855306" cy="641480"/>
    <xdr:pic>
      <xdr:nvPicPr>
        <xdr:cNvPr id="201" name="Grafik 200">
          <a:extLst>
            <a:ext uri="{FF2B5EF4-FFF2-40B4-BE49-F238E27FC236}">
              <a16:creationId xmlns:a16="http://schemas.microsoft.com/office/drawing/2014/main" id="{00000000-0008-0000-0D00-0000C9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7151" t="50913" r="47191" b="43089"/>
        <a:stretch/>
      </xdr:blipFill>
      <xdr:spPr>
        <a:xfrm>
          <a:off x="10516378" y="27748852"/>
          <a:ext cx="855306" cy="641480"/>
        </a:xfrm>
        <a:prstGeom prst="rect">
          <a:avLst/>
        </a:prstGeom>
      </xdr:spPr>
    </xdr:pic>
    <xdr:clientData/>
  </xdr:oneCellAnchor>
  <xdr:oneCellAnchor>
    <xdr:from>
      <xdr:col>7</xdr:col>
      <xdr:colOff>622041</xdr:colOff>
      <xdr:row>152</xdr:row>
      <xdr:rowOff>155510</xdr:rowOff>
    </xdr:from>
    <xdr:ext cx="855306" cy="641480"/>
    <xdr:pic>
      <xdr:nvPicPr>
        <xdr:cNvPr id="202" name="Grafik 201">
          <a:extLst>
            <a:ext uri="{FF2B5EF4-FFF2-40B4-BE49-F238E27FC236}">
              <a16:creationId xmlns:a16="http://schemas.microsoft.com/office/drawing/2014/main" id="{00000000-0008-0000-0D00-0000C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7214" t="57366" r="47128" b="36636"/>
        <a:stretch/>
      </xdr:blipFill>
      <xdr:spPr>
        <a:xfrm>
          <a:off x="10516378" y="28730510"/>
          <a:ext cx="855306" cy="641480"/>
        </a:xfrm>
        <a:prstGeom prst="rect">
          <a:avLst/>
        </a:prstGeom>
      </xdr:spPr>
    </xdr:pic>
    <xdr:clientData/>
  </xdr:oneCellAnchor>
  <xdr:oneCellAnchor>
    <xdr:from>
      <xdr:col>7</xdr:col>
      <xdr:colOff>641479</xdr:colOff>
      <xdr:row>157</xdr:row>
      <xdr:rowOff>155510</xdr:rowOff>
    </xdr:from>
    <xdr:ext cx="855306" cy="612321"/>
    <xdr:pic>
      <xdr:nvPicPr>
        <xdr:cNvPr id="203" name="Grafik 202">
          <a:extLst>
            <a:ext uri="{FF2B5EF4-FFF2-40B4-BE49-F238E27FC236}">
              <a16:creationId xmlns:a16="http://schemas.microsoft.com/office/drawing/2014/main" id="{00000000-0008-0000-0D00-0000CB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7408" t="64091" r="46934" b="30184"/>
        <a:stretch/>
      </xdr:blipFill>
      <xdr:spPr>
        <a:xfrm>
          <a:off x="10535816" y="29702449"/>
          <a:ext cx="855306" cy="612321"/>
        </a:xfrm>
        <a:prstGeom prst="rect">
          <a:avLst/>
        </a:prstGeom>
      </xdr:spPr>
    </xdr:pic>
    <xdr:clientData/>
  </xdr:oneCellAnchor>
  <xdr:oneCellAnchor>
    <xdr:from>
      <xdr:col>7</xdr:col>
      <xdr:colOff>563726</xdr:colOff>
      <xdr:row>162</xdr:row>
      <xdr:rowOff>19440</xdr:rowOff>
    </xdr:from>
    <xdr:ext cx="855306" cy="2060510"/>
    <xdr:pic>
      <xdr:nvPicPr>
        <xdr:cNvPr id="204" name="Grafik 203">
          <a:extLst>
            <a:ext uri="{FF2B5EF4-FFF2-40B4-BE49-F238E27FC236}">
              <a16:creationId xmlns:a16="http://schemas.microsoft.com/office/drawing/2014/main" id="{00000000-0008-0000-0D00-0000CC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6830" t="70270" r="47512" b="10466"/>
        <a:stretch/>
      </xdr:blipFill>
      <xdr:spPr>
        <a:xfrm>
          <a:off x="10458063" y="30781302"/>
          <a:ext cx="855306" cy="2060510"/>
        </a:xfrm>
        <a:prstGeom prst="rect">
          <a:avLst/>
        </a:prstGeom>
      </xdr:spPr>
    </xdr:pic>
    <xdr:clientData/>
  </xdr:oneCellAnchor>
  <xdr:oneCellAnchor>
    <xdr:from>
      <xdr:col>7</xdr:col>
      <xdr:colOff>58316</xdr:colOff>
      <xdr:row>136</xdr:row>
      <xdr:rowOff>19438</xdr:rowOff>
    </xdr:from>
    <xdr:ext cx="1370434" cy="2147985"/>
    <xdr:pic>
      <xdr:nvPicPr>
        <xdr:cNvPr id="205" name="Grafik 204">
          <a:extLst>
            <a:ext uri="{FF2B5EF4-FFF2-40B4-BE49-F238E27FC236}">
              <a16:creationId xmlns:a16="http://schemas.microsoft.com/office/drawing/2014/main" id="{00000000-0008-0000-0D00-0000CD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7081" t="9284" r="43852" b="70630"/>
        <a:stretch/>
      </xdr:blipFill>
      <xdr:spPr>
        <a:xfrm>
          <a:off x="9952653" y="24463698"/>
          <a:ext cx="1370434" cy="2147985"/>
        </a:xfrm>
        <a:prstGeom prst="rect">
          <a:avLst/>
        </a:prstGeom>
      </xdr:spPr>
    </xdr:pic>
    <xdr:clientData/>
  </xdr:oneCellAnchor>
  <xdr:oneCellAnchor>
    <xdr:from>
      <xdr:col>9</xdr:col>
      <xdr:colOff>602601</xdr:colOff>
      <xdr:row>142</xdr:row>
      <xdr:rowOff>97190</xdr:rowOff>
    </xdr:from>
    <xdr:ext cx="874745" cy="806709"/>
    <xdr:pic>
      <xdr:nvPicPr>
        <xdr:cNvPr id="206" name="Grafik 205">
          <a:extLst>
            <a:ext uri="{FF2B5EF4-FFF2-40B4-BE49-F238E27FC236}">
              <a16:creationId xmlns:a16="http://schemas.microsoft.com/office/drawing/2014/main" id="{00000000-0008-0000-0D00-0000CE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663" t="36279" r="37550" b="56177"/>
        <a:stretch/>
      </xdr:blipFill>
      <xdr:spPr>
        <a:xfrm>
          <a:off x="13461351" y="26708874"/>
          <a:ext cx="874745" cy="806709"/>
        </a:xfrm>
        <a:prstGeom prst="rect">
          <a:avLst/>
        </a:prstGeom>
      </xdr:spPr>
    </xdr:pic>
    <xdr:clientData/>
  </xdr:oneCellAnchor>
  <xdr:oneCellAnchor>
    <xdr:from>
      <xdr:col>9</xdr:col>
      <xdr:colOff>622041</xdr:colOff>
      <xdr:row>147</xdr:row>
      <xdr:rowOff>145791</xdr:rowOff>
    </xdr:from>
    <xdr:ext cx="855306" cy="641480"/>
    <xdr:pic>
      <xdr:nvPicPr>
        <xdr:cNvPr id="207" name="Grafik 206">
          <a:extLst>
            <a:ext uri="{FF2B5EF4-FFF2-40B4-BE49-F238E27FC236}">
              <a16:creationId xmlns:a16="http://schemas.microsoft.com/office/drawing/2014/main" id="{00000000-0008-0000-0D00-0000CF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795" t="51004" r="37547" b="42998"/>
        <a:stretch/>
      </xdr:blipFill>
      <xdr:spPr>
        <a:xfrm>
          <a:off x="13480791" y="27748852"/>
          <a:ext cx="855306" cy="641480"/>
        </a:xfrm>
        <a:prstGeom prst="rect">
          <a:avLst/>
        </a:prstGeom>
      </xdr:spPr>
    </xdr:pic>
    <xdr:clientData/>
  </xdr:oneCellAnchor>
  <xdr:oneCellAnchor>
    <xdr:from>
      <xdr:col>9</xdr:col>
      <xdr:colOff>622041</xdr:colOff>
      <xdr:row>152</xdr:row>
      <xdr:rowOff>155510</xdr:rowOff>
    </xdr:from>
    <xdr:ext cx="855306" cy="641480"/>
    <xdr:pic>
      <xdr:nvPicPr>
        <xdr:cNvPr id="208" name="Grafik 207">
          <a:extLst>
            <a:ext uri="{FF2B5EF4-FFF2-40B4-BE49-F238E27FC236}">
              <a16:creationId xmlns:a16="http://schemas.microsoft.com/office/drawing/2014/main" id="{00000000-0008-0000-0D00-0000D0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923" t="57457" r="37419" b="36545"/>
        <a:stretch/>
      </xdr:blipFill>
      <xdr:spPr>
        <a:xfrm>
          <a:off x="13480791" y="28730510"/>
          <a:ext cx="855306" cy="641480"/>
        </a:xfrm>
        <a:prstGeom prst="rect">
          <a:avLst/>
        </a:prstGeom>
      </xdr:spPr>
    </xdr:pic>
    <xdr:clientData/>
  </xdr:oneCellAnchor>
  <xdr:oneCellAnchor>
    <xdr:from>
      <xdr:col>9</xdr:col>
      <xdr:colOff>622041</xdr:colOff>
      <xdr:row>157</xdr:row>
      <xdr:rowOff>155510</xdr:rowOff>
    </xdr:from>
    <xdr:ext cx="855306" cy="612321"/>
    <xdr:pic>
      <xdr:nvPicPr>
        <xdr:cNvPr id="209" name="Grafik 208">
          <a:extLst>
            <a:ext uri="{FF2B5EF4-FFF2-40B4-BE49-F238E27FC236}">
              <a16:creationId xmlns:a16="http://schemas.microsoft.com/office/drawing/2014/main" id="{00000000-0008-0000-0D00-0000D1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924" t="64091" r="37418" b="30184"/>
        <a:stretch/>
      </xdr:blipFill>
      <xdr:spPr>
        <a:xfrm>
          <a:off x="13480791" y="29702449"/>
          <a:ext cx="855306" cy="612321"/>
        </a:xfrm>
        <a:prstGeom prst="rect">
          <a:avLst/>
        </a:prstGeom>
      </xdr:spPr>
    </xdr:pic>
    <xdr:clientData/>
  </xdr:oneCellAnchor>
  <xdr:oneCellAnchor>
    <xdr:from>
      <xdr:col>9</xdr:col>
      <xdr:colOff>563726</xdr:colOff>
      <xdr:row>162</xdr:row>
      <xdr:rowOff>19440</xdr:rowOff>
    </xdr:from>
    <xdr:ext cx="855306" cy="2060510"/>
    <xdr:pic>
      <xdr:nvPicPr>
        <xdr:cNvPr id="210" name="Grafik 209">
          <a:extLst>
            <a:ext uri="{FF2B5EF4-FFF2-40B4-BE49-F238E27FC236}">
              <a16:creationId xmlns:a16="http://schemas.microsoft.com/office/drawing/2014/main" id="{00000000-0008-0000-0D00-0000D2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281" t="70270" r="38061" b="10466"/>
        <a:stretch/>
      </xdr:blipFill>
      <xdr:spPr>
        <a:xfrm>
          <a:off x="13422476" y="30781302"/>
          <a:ext cx="855306" cy="2060510"/>
        </a:xfrm>
        <a:prstGeom prst="rect">
          <a:avLst/>
        </a:prstGeom>
      </xdr:spPr>
    </xdr:pic>
    <xdr:clientData/>
  </xdr:oneCellAnchor>
  <xdr:oneCellAnchor>
    <xdr:from>
      <xdr:col>9</xdr:col>
      <xdr:colOff>58316</xdr:colOff>
      <xdr:row>136</xdr:row>
      <xdr:rowOff>19438</xdr:rowOff>
    </xdr:from>
    <xdr:ext cx="1370434" cy="2147985"/>
    <xdr:pic>
      <xdr:nvPicPr>
        <xdr:cNvPr id="211" name="Grafik 210">
          <a:extLst>
            <a:ext uri="{FF2B5EF4-FFF2-40B4-BE49-F238E27FC236}">
              <a16:creationId xmlns:a16="http://schemas.microsoft.com/office/drawing/2014/main" id="{00000000-0008-0000-0D00-0000D3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56791" t="9375" r="34142" b="70539"/>
        <a:stretch/>
      </xdr:blipFill>
      <xdr:spPr>
        <a:xfrm>
          <a:off x="12917066" y="24463698"/>
          <a:ext cx="1370434" cy="2147985"/>
        </a:xfrm>
        <a:prstGeom prst="rect">
          <a:avLst/>
        </a:prstGeom>
      </xdr:spPr>
    </xdr:pic>
    <xdr:clientData/>
  </xdr:oneCellAnchor>
  <xdr:oneCellAnchor>
    <xdr:from>
      <xdr:col>11</xdr:col>
      <xdr:colOff>29157</xdr:colOff>
      <xdr:row>142</xdr:row>
      <xdr:rowOff>97190</xdr:rowOff>
    </xdr:from>
    <xdr:ext cx="1448190" cy="806709"/>
    <xdr:pic>
      <xdr:nvPicPr>
        <xdr:cNvPr id="212" name="Grafik 211">
          <a:extLst>
            <a:ext uri="{FF2B5EF4-FFF2-40B4-BE49-F238E27FC236}">
              <a16:creationId xmlns:a16="http://schemas.microsoft.com/office/drawing/2014/main" id="{00000000-0008-0000-0D00-0000D4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7304" t="36097" r="13115" b="56359"/>
        <a:stretch/>
      </xdr:blipFill>
      <xdr:spPr>
        <a:xfrm>
          <a:off x="15871759" y="26708874"/>
          <a:ext cx="1448190" cy="806709"/>
        </a:xfrm>
        <a:prstGeom prst="rect">
          <a:avLst/>
        </a:prstGeom>
      </xdr:spPr>
    </xdr:pic>
    <xdr:clientData/>
  </xdr:oneCellAnchor>
  <xdr:oneCellAnchor>
    <xdr:from>
      <xdr:col>11</xdr:col>
      <xdr:colOff>622041</xdr:colOff>
      <xdr:row>147</xdr:row>
      <xdr:rowOff>145791</xdr:rowOff>
    </xdr:from>
    <xdr:ext cx="855306" cy="641480"/>
    <xdr:pic>
      <xdr:nvPicPr>
        <xdr:cNvPr id="213" name="Grafik 212">
          <a:extLst>
            <a:ext uri="{FF2B5EF4-FFF2-40B4-BE49-F238E27FC236}">
              <a16:creationId xmlns:a16="http://schemas.microsoft.com/office/drawing/2014/main" id="{00000000-0008-0000-0D00-0000D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7018" t="51095" r="27324" b="42907"/>
        <a:stretch/>
      </xdr:blipFill>
      <xdr:spPr>
        <a:xfrm>
          <a:off x="16464643" y="27748852"/>
          <a:ext cx="855306" cy="641480"/>
        </a:xfrm>
        <a:prstGeom prst="rect">
          <a:avLst/>
        </a:prstGeom>
      </xdr:spPr>
    </xdr:pic>
    <xdr:clientData/>
  </xdr:oneCellAnchor>
  <xdr:oneCellAnchor>
    <xdr:from>
      <xdr:col>11</xdr:col>
      <xdr:colOff>622041</xdr:colOff>
      <xdr:row>152</xdr:row>
      <xdr:rowOff>155510</xdr:rowOff>
    </xdr:from>
    <xdr:ext cx="855306" cy="641480"/>
    <xdr:pic>
      <xdr:nvPicPr>
        <xdr:cNvPr id="214" name="Grafik 213">
          <a:extLst>
            <a:ext uri="{FF2B5EF4-FFF2-40B4-BE49-F238E27FC236}">
              <a16:creationId xmlns:a16="http://schemas.microsoft.com/office/drawing/2014/main" id="{00000000-0008-0000-0D00-0000D6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7146" t="57366" r="27196" b="36636"/>
        <a:stretch/>
      </xdr:blipFill>
      <xdr:spPr>
        <a:xfrm>
          <a:off x="16464643" y="28730510"/>
          <a:ext cx="855306" cy="641480"/>
        </a:xfrm>
        <a:prstGeom prst="rect">
          <a:avLst/>
        </a:prstGeom>
      </xdr:spPr>
    </xdr:pic>
    <xdr:clientData/>
  </xdr:oneCellAnchor>
  <xdr:oneCellAnchor>
    <xdr:from>
      <xdr:col>11</xdr:col>
      <xdr:colOff>622041</xdr:colOff>
      <xdr:row>157</xdr:row>
      <xdr:rowOff>155510</xdr:rowOff>
    </xdr:from>
    <xdr:ext cx="855306" cy="612321"/>
    <xdr:pic>
      <xdr:nvPicPr>
        <xdr:cNvPr id="215" name="Grafik 214">
          <a:extLst>
            <a:ext uri="{FF2B5EF4-FFF2-40B4-BE49-F238E27FC236}">
              <a16:creationId xmlns:a16="http://schemas.microsoft.com/office/drawing/2014/main" id="{00000000-0008-0000-0D00-0000D7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7211" t="64091" r="27131" b="30184"/>
        <a:stretch/>
      </xdr:blipFill>
      <xdr:spPr>
        <a:xfrm>
          <a:off x="16464643" y="29702449"/>
          <a:ext cx="855306" cy="612321"/>
        </a:xfrm>
        <a:prstGeom prst="rect">
          <a:avLst/>
        </a:prstGeom>
      </xdr:spPr>
    </xdr:pic>
    <xdr:clientData/>
  </xdr:oneCellAnchor>
  <xdr:oneCellAnchor>
    <xdr:from>
      <xdr:col>11</xdr:col>
      <xdr:colOff>563726</xdr:colOff>
      <xdr:row>162</xdr:row>
      <xdr:rowOff>19440</xdr:rowOff>
    </xdr:from>
    <xdr:ext cx="855306" cy="2060510"/>
    <xdr:pic>
      <xdr:nvPicPr>
        <xdr:cNvPr id="216" name="Grafik 215">
          <a:extLst>
            <a:ext uri="{FF2B5EF4-FFF2-40B4-BE49-F238E27FC236}">
              <a16:creationId xmlns:a16="http://schemas.microsoft.com/office/drawing/2014/main" id="{00000000-0008-0000-0D00-0000D8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6761" t="70361" r="27581" b="10375"/>
        <a:stretch/>
      </xdr:blipFill>
      <xdr:spPr>
        <a:xfrm>
          <a:off x="16406328" y="30781302"/>
          <a:ext cx="855306" cy="2060510"/>
        </a:xfrm>
        <a:prstGeom prst="rect">
          <a:avLst/>
        </a:prstGeom>
      </xdr:spPr>
    </xdr:pic>
    <xdr:clientData/>
  </xdr:oneCellAnchor>
  <xdr:oneCellAnchor>
    <xdr:from>
      <xdr:col>11</xdr:col>
      <xdr:colOff>58316</xdr:colOff>
      <xdr:row>136</xdr:row>
      <xdr:rowOff>19438</xdr:rowOff>
    </xdr:from>
    <xdr:ext cx="1370434" cy="2147985"/>
    <xdr:pic>
      <xdr:nvPicPr>
        <xdr:cNvPr id="217" name="Grafik 216">
          <a:extLst>
            <a:ext uri="{FF2B5EF4-FFF2-40B4-BE49-F238E27FC236}">
              <a16:creationId xmlns:a16="http://schemas.microsoft.com/office/drawing/2014/main" id="{00000000-0008-0000-0D00-0000D9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7144" t="9375" r="23789" b="70539"/>
        <a:stretch/>
      </xdr:blipFill>
      <xdr:spPr>
        <a:xfrm>
          <a:off x="15900918" y="24463698"/>
          <a:ext cx="1370434" cy="2147985"/>
        </a:xfrm>
        <a:prstGeom prst="rect">
          <a:avLst/>
        </a:prstGeom>
      </xdr:spPr>
    </xdr:pic>
    <xdr:clientData/>
  </xdr:oneCellAnchor>
  <xdr:oneCellAnchor>
    <xdr:from>
      <xdr:col>13</xdr:col>
      <xdr:colOff>29158</xdr:colOff>
      <xdr:row>136</xdr:row>
      <xdr:rowOff>19439</xdr:rowOff>
    </xdr:from>
    <xdr:ext cx="2128546" cy="2138265"/>
    <xdr:pic>
      <xdr:nvPicPr>
        <xdr:cNvPr id="218" name="Grafik 217">
          <a:extLst>
            <a:ext uri="{FF2B5EF4-FFF2-40B4-BE49-F238E27FC236}">
              <a16:creationId xmlns:a16="http://schemas.microsoft.com/office/drawing/2014/main" id="{00000000-0008-0000-0D00-0000D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7304" t="9286" r="8614" b="70719"/>
        <a:stretch/>
      </xdr:blipFill>
      <xdr:spPr>
        <a:xfrm>
          <a:off x="18836173" y="35534082"/>
          <a:ext cx="2128546" cy="2138265"/>
        </a:xfrm>
        <a:prstGeom prst="rect">
          <a:avLst/>
        </a:prstGeom>
      </xdr:spPr>
    </xdr:pic>
    <xdr:clientData/>
  </xdr:oneCellAnchor>
  <xdr:oneCellAnchor>
    <xdr:from>
      <xdr:col>13</xdr:col>
      <xdr:colOff>29157</xdr:colOff>
      <xdr:row>142</xdr:row>
      <xdr:rowOff>97190</xdr:rowOff>
    </xdr:from>
    <xdr:ext cx="1448190" cy="806709"/>
    <xdr:pic>
      <xdr:nvPicPr>
        <xdr:cNvPr id="219" name="Grafik 218">
          <a:extLst>
            <a:ext uri="{FF2B5EF4-FFF2-40B4-BE49-F238E27FC236}">
              <a16:creationId xmlns:a16="http://schemas.microsoft.com/office/drawing/2014/main" id="{00000000-0008-0000-0D00-0000DB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7304" t="36097" r="13115" b="56359"/>
        <a:stretch/>
      </xdr:blipFill>
      <xdr:spPr>
        <a:xfrm>
          <a:off x="18836172" y="26708874"/>
          <a:ext cx="1448190" cy="806709"/>
        </a:xfrm>
        <a:prstGeom prst="rect">
          <a:avLst/>
        </a:prstGeom>
      </xdr:spPr>
    </xdr:pic>
    <xdr:clientData/>
  </xdr:oneCellAnchor>
  <xdr:oneCellAnchor>
    <xdr:from>
      <xdr:col>13</xdr:col>
      <xdr:colOff>622041</xdr:colOff>
      <xdr:row>147</xdr:row>
      <xdr:rowOff>145791</xdr:rowOff>
    </xdr:from>
    <xdr:ext cx="855306" cy="641480"/>
    <xdr:pic>
      <xdr:nvPicPr>
        <xdr:cNvPr id="220" name="Grafik 219">
          <a:extLst>
            <a:ext uri="{FF2B5EF4-FFF2-40B4-BE49-F238E27FC236}">
              <a16:creationId xmlns:a16="http://schemas.microsoft.com/office/drawing/2014/main" id="{00000000-0008-0000-0D00-0000DC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7369" t="51095" r="16973" b="42907"/>
        <a:stretch/>
      </xdr:blipFill>
      <xdr:spPr>
        <a:xfrm>
          <a:off x="19429056" y="27748852"/>
          <a:ext cx="855306" cy="641480"/>
        </a:xfrm>
        <a:prstGeom prst="rect">
          <a:avLst/>
        </a:prstGeom>
      </xdr:spPr>
    </xdr:pic>
    <xdr:clientData/>
  </xdr:oneCellAnchor>
  <xdr:oneCellAnchor>
    <xdr:from>
      <xdr:col>13</xdr:col>
      <xdr:colOff>622041</xdr:colOff>
      <xdr:row>152</xdr:row>
      <xdr:rowOff>155510</xdr:rowOff>
    </xdr:from>
    <xdr:ext cx="855306" cy="641480"/>
    <xdr:pic>
      <xdr:nvPicPr>
        <xdr:cNvPr id="221" name="Grafik 220">
          <a:extLst>
            <a:ext uri="{FF2B5EF4-FFF2-40B4-BE49-F238E27FC236}">
              <a16:creationId xmlns:a16="http://schemas.microsoft.com/office/drawing/2014/main" id="{00000000-0008-0000-0D00-0000DD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7305" t="57548" r="17037" b="36454"/>
        <a:stretch/>
      </xdr:blipFill>
      <xdr:spPr>
        <a:xfrm>
          <a:off x="19429056" y="28730510"/>
          <a:ext cx="855306" cy="641480"/>
        </a:xfrm>
        <a:prstGeom prst="rect">
          <a:avLst/>
        </a:prstGeom>
      </xdr:spPr>
    </xdr:pic>
    <xdr:clientData/>
  </xdr:oneCellAnchor>
  <xdr:oneCellAnchor>
    <xdr:from>
      <xdr:col>13</xdr:col>
      <xdr:colOff>622041</xdr:colOff>
      <xdr:row>157</xdr:row>
      <xdr:rowOff>155510</xdr:rowOff>
    </xdr:from>
    <xdr:ext cx="855306" cy="612321"/>
    <xdr:pic>
      <xdr:nvPicPr>
        <xdr:cNvPr id="222" name="Grafik 221">
          <a:extLst>
            <a:ext uri="{FF2B5EF4-FFF2-40B4-BE49-F238E27FC236}">
              <a16:creationId xmlns:a16="http://schemas.microsoft.com/office/drawing/2014/main" id="{00000000-0008-0000-0D00-0000DE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7241" t="64091" r="17101" b="30184"/>
        <a:stretch/>
      </xdr:blipFill>
      <xdr:spPr>
        <a:xfrm>
          <a:off x="19429056" y="29702449"/>
          <a:ext cx="855306" cy="612321"/>
        </a:xfrm>
        <a:prstGeom prst="rect">
          <a:avLst/>
        </a:prstGeom>
      </xdr:spPr>
    </xdr:pic>
    <xdr:clientData/>
  </xdr:oneCellAnchor>
  <xdr:oneCellAnchor>
    <xdr:from>
      <xdr:col>13</xdr:col>
      <xdr:colOff>563725</xdr:colOff>
      <xdr:row>162</xdr:row>
      <xdr:rowOff>19440</xdr:rowOff>
    </xdr:from>
    <xdr:ext cx="903902" cy="2060510"/>
    <xdr:pic>
      <xdr:nvPicPr>
        <xdr:cNvPr id="223" name="Grafik 222">
          <a:extLst>
            <a:ext uri="{FF2B5EF4-FFF2-40B4-BE49-F238E27FC236}">
              <a16:creationId xmlns:a16="http://schemas.microsoft.com/office/drawing/2014/main" id="{00000000-0008-0000-0D00-0000DF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6919" t="70270" r="17101" b="10466"/>
        <a:stretch/>
      </xdr:blipFill>
      <xdr:spPr>
        <a:xfrm>
          <a:off x="19370740" y="30781302"/>
          <a:ext cx="903902" cy="2060510"/>
        </a:xfrm>
        <a:prstGeom prst="rect">
          <a:avLst/>
        </a:prstGeom>
      </xdr:spPr>
    </xdr:pic>
    <xdr:clientData/>
  </xdr:oneCellAnchor>
  <xdr:oneCellAnchor>
    <xdr:from>
      <xdr:col>3</xdr:col>
      <xdr:colOff>651198</xdr:colOff>
      <xdr:row>157</xdr:row>
      <xdr:rowOff>145790</xdr:rowOff>
    </xdr:from>
    <xdr:ext cx="855306" cy="641479"/>
    <xdr:pic>
      <xdr:nvPicPr>
        <xdr:cNvPr id="225" name="Grafik 224">
          <a:extLst>
            <a:ext uri="{FF2B5EF4-FFF2-40B4-BE49-F238E27FC236}">
              <a16:creationId xmlns:a16="http://schemas.microsoft.com/office/drawing/2014/main" id="{00000000-0008-0000-0D00-0000E1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764" t="63909" r="56578" b="30093"/>
        <a:stretch/>
      </xdr:blipFill>
      <xdr:spPr>
        <a:xfrm>
          <a:off x="4597269" y="40801989"/>
          <a:ext cx="855306" cy="641479"/>
        </a:xfrm>
        <a:prstGeom prst="rect">
          <a:avLst/>
        </a:prstGeom>
      </xdr:spPr>
    </xdr:pic>
    <xdr:clientData/>
  </xdr:oneCellAnchor>
  <xdr:oneCellAnchor>
    <xdr:from>
      <xdr:col>3</xdr:col>
      <xdr:colOff>573446</xdr:colOff>
      <xdr:row>162</xdr:row>
      <xdr:rowOff>48597</xdr:rowOff>
    </xdr:from>
    <xdr:ext cx="855306" cy="1749490"/>
    <xdr:pic>
      <xdr:nvPicPr>
        <xdr:cNvPr id="226" name="Grafik 225">
          <a:extLst>
            <a:ext uri="{FF2B5EF4-FFF2-40B4-BE49-F238E27FC236}">
              <a16:creationId xmlns:a16="http://schemas.microsoft.com/office/drawing/2014/main" id="{00000000-0008-0000-0D00-0000E2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7647" t="70360" r="66695" b="13283"/>
        <a:stretch/>
      </xdr:blipFill>
      <xdr:spPr>
        <a:xfrm>
          <a:off x="7503369" y="41997475"/>
          <a:ext cx="855306" cy="1749490"/>
        </a:xfrm>
        <a:prstGeom prst="rect">
          <a:avLst/>
        </a:prstGeom>
      </xdr:spPr>
    </xdr:pic>
    <xdr:clientData/>
  </xdr:oneCellAnchor>
  <xdr:oneCellAnchor>
    <xdr:from>
      <xdr:col>3</xdr:col>
      <xdr:colOff>58316</xdr:colOff>
      <xdr:row>139</xdr:row>
      <xdr:rowOff>126370</xdr:rowOff>
    </xdr:from>
    <xdr:ext cx="1302399" cy="748393"/>
    <xdr:pic>
      <xdr:nvPicPr>
        <xdr:cNvPr id="227" name="Grafik 226">
          <a:extLst>
            <a:ext uri="{FF2B5EF4-FFF2-40B4-BE49-F238E27FC236}">
              <a16:creationId xmlns:a16="http://schemas.microsoft.com/office/drawing/2014/main" id="{00000000-0008-0000-0D00-0000E3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500" t="22554" r="53883" b="70448"/>
        <a:stretch/>
      </xdr:blipFill>
      <xdr:spPr>
        <a:xfrm>
          <a:off x="4004387" y="36224176"/>
          <a:ext cx="1302399" cy="748393"/>
        </a:xfrm>
        <a:prstGeom prst="rect">
          <a:avLst/>
        </a:prstGeom>
      </xdr:spPr>
    </xdr:pic>
    <xdr:clientData/>
  </xdr:oneCellAnchor>
  <xdr:oneCellAnchor>
    <xdr:from>
      <xdr:col>3</xdr:col>
      <xdr:colOff>87477</xdr:colOff>
      <xdr:row>148</xdr:row>
      <xdr:rowOff>87474</xdr:rowOff>
    </xdr:from>
    <xdr:ext cx="1350996" cy="1360715"/>
    <xdr:pic>
      <xdr:nvPicPr>
        <xdr:cNvPr id="228" name="Grafik 227">
          <a:extLst>
            <a:ext uri="{FF2B5EF4-FFF2-40B4-BE49-F238E27FC236}">
              <a16:creationId xmlns:a16="http://schemas.microsoft.com/office/drawing/2014/main" id="{00000000-0008-0000-0D00-0000E4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7907" t="50822" r="63154" b="36455"/>
        <a:stretch/>
      </xdr:blipFill>
      <xdr:spPr>
        <a:xfrm>
          <a:off x="4033548" y="38945586"/>
          <a:ext cx="1350996" cy="1360715"/>
        </a:xfrm>
        <a:prstGeom prst="rect">
          <a:avLst/>
        </a:prstGeom>
      </xdr:spPr>
    </xdr:pic>
    <xdr:clientData/>
  </xdr:oneCellAnchor>
  <xdr:oneCellAnchor>
    <xdr:from>
      <xdr:col>1</xdr:col>
      <xdr:colOff>97195</xdr:colOff>
      <xdr:row>136</xdr:row>
      <xdr:rowOff>29158</xdr:rowOff>
    </xdr:from>
    <xdr:ext cx="709516" cy="1321836"/>
    <xdr:pic>
      <xdr:nvPicPr>
        <xdr:cNvPr id="230" name="Grafik 229">
          <a:extLst>
            <a:ext uri="{FF2B5EF4-FFF2-40B4-BE49-F238E27FC236}">
              <a16:creationId xmlns:a16="http://schemas.microsoft.com/office/drawing/2014/main" id="{00000000-0008-0000-0D00-0000E6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500" t="9466" r="57806" b="78173"/>
        <a:stretch/>
      </xdr:blipFill>
      <xdr:spPr>
        <a:xfrm>
          <a:off x="1137169" y="35543801"/>
          <a:ext cx="709516" cy="1321836"/>
        </a:xfrm>
        <a:prstGeom prst="rect">
          <a:avLst/>
        </a:prstGeom>
      </xdr:spPr>
    </xdr:pic>
    <xdr:clientData/>
  </xdr:oneCellAnchor>
  <xdr:oneCellAnchor>
    <xdr:from>
      <xdr:col>1</xdr:col>
      <xdr:colOff>651198</xdr:colOff>
      <xdr:row>157</xdr:row>
      <xdr:rowOff>145790</xdr:rowOff>
    </xdr:from>
    <xdr:ext cx="855306" cy="641479"/>
    <xdr:pic>
      <xdr:nvPicPr>
        <xdr:cNvPr id="233" name="Grafik 232">
          <a:extLst>
            <a:ext uri="{FF2B5EF4-FFF2-40B4-BE49-F238E27FC236}">
              <a16:creationId xmlns:a16="http://schemas.microsoft.com/office/drawing/2014/main" id="{00000000-0008-0000-0D00-0000E9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764" t="63909" r="56578" b="30093"/>
        <a:stretch/>
      </xdr:blipFill>
      <xdr:spPr>
        <a:xfrm>
          <a:off x="4597269" y="40801989"/>
          <a:ext cx="855306" cy="641479"/>
        </a:xfrm>
        <a:prstGeom prst="rect">
          <a:avLst/>
        </a:prstGeom>
      </xdr:spPr>
    </xdr:pic>
    <xdr:clientData/>
  </xdr:oneCellAnchor>
  <xdr:oneCellAnchor>
    <xdr:from>
      <xdr:col>1</xdr:col>
      <xdr:colOff>573446</xdr:colOff>
      <xdr:row>162</xdr:row>
      <xdr:rowOff>48597</xdr:rowOff>
    </xdr:from>
    <xdr:ext cx="855306" cy="1749490"/>
    <xdr:pic>
      <xdr:nvPicPr>
        <xdr:cNvPr id="234" name="Grafik 233">
          <a:extLst>
            <a:ext uri="{FF2B5EF4-FFF2-40B4-BE49-F238E27FC236}">
              <a16:creationId xmlns:a16="http://schemas.microsoft.com/office/drawing/2014/main" id="{00000000-0008-0000-0D00-0000E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7647" t="70360" r="66695" b="13283"/>
        <a:stretch/>
      </xdr:blipFill>
      <xdr:spPr>
        <a:xfrm>
          <a:off x="4519517" y="41997475"/>
          <a:ext cx="855306" cy="1749490"/>
        </a:xfrm>
        <a:prstGeom prst="rect">
          <a:avLst/>
        </a:prstGeom>
      </xdr:spPr>
    </xdr:pic>
    <xdr:clientData/>
  </xdr:oneCellAnchor>
  <xdr:oneCellAnchor>
    <xdr:from>
      <xdr:col>1</xdr:col>
      <xdr:colOff>87488</xdr:colOff>
      <xdr:row>148</xdr:row>
      <xdr:rowOff>87474</xdr:rowOff>
    </xdr:from>
    <xdr:ext cx="1341275" cy="1360715"/>
    <xdr:pic>
      <xdr:nvPicPr>
        <xdr:cNvPr id="235" name="Grafik 234">
          <a:extLst>
            <a:ext uri="{FF2B5EF4-FFF2-40B4-BE49-F238E27FC236}">
              <a16:creationId xmlns:a16="http://schemas.microsoft.com/office/drawing/2014/main" id="{00000000-0008-0000-0D00-0000EB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8264" t="50913" r="72861" b="36364"/>
        <a:stretch/>
      </xdr:blipFill>
      <xdr:spPr>
        <a:xfrm>
          <a:off x="1127462" y="38945586"/>
          <a:ext cx="1341275" cy="1360715"/>
        </a:xfrm>
        <a:prstGeom prst="rect">
          <a:avLst/>
        </a:prstGeom>
      </xdr:spPr>
    </xdr:pic>
    <xdr:clientData/>
  </xdr:oneCellAnchor>
  <xdr:twoCellAnchor editAs="oneCell">
    <xdr:from>
      <xdr:col>13</xdr:col>
      <xdr:colOff>223546</xdr:colOff>
      <xdr:row>179</xdr:row>
      <xdr:rowOff>29157</xdr:rowOff>
    </xdr:from>
    <xdr:to>
      <xdr:col>13</xdr:col>
      <xdr:colOff>1859295</xdr:colOff>
      <xdr:row>184</xdr:row>
      <xdr:rowOff>1510969</xdr:rowOff>
    </xdr:to>
    <xdr:pic>
      <xdr:nvPicPr>
        <xdr:cNvPr id="240" name="Grafik 239">
          <a:extLst>
            <a:ext uri="{FF2B5EF4-FFF2-40B4-BE49-F238E27FC236}">
              <a16:creationId xmlns:a16="http://schemas.microsoft.com/office/drawing/2014/main" id="{00000000-0008-0000-0D00-0000F0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2232" t="7375" r="6946" b="69680"/>
        <a:stretch/>
      </xdr:blipFill>
      <xdr:spPr>
        <a:xfrm>
          <a:off x="19030561" y="46779412"/>
          <a:ext cx="1635749" cy="2453751"/>
        </a:xfrm>
        <a:prstGeom prst="rect">
          <a:avLst/>
        </a:prstGeom>
      </xdr:spPr>
    </xdr:pic>
    <xdr:clientData/>
  </xdr:twoCellAnchor>
  <xdr:oneCellAnchor>
    <xdr:from>
      <xdr:col>11</xdr:col>
      <xdr:colOff>223547</xdr:colOff>
      <xdr:row>179</xdr:row>
      <xdr:rowOff>19439</xdr:rowOff>
    </xdr:from>
    <xdr:ext cx="1059412" cy="2459005"/>
    <xdr:pic>
      <xdr:nvPicPr>
        <xdr:cNvPr id="241" name="Grafik 240">
          <a:extLst>
            <a:ext uri="{FF2B5EF4-FFF2-40B4-BE49-F238E27FC236}">
              <a16:creationId xmlns:a16="http://schemas.microsoft.com/office/drawing/2014/main" id="{00000000-0008-0000-0D00-0000F1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1686" t="7375" r="21305" b="69630"/>
        <a:stretch/>
      </xdr:blipFill>
      <xdr:spPr>
        <a:xfrm>
          <a:off x="16066149" y="46769694"/>
          <a:ext cx="1059412" cy="2459005"/>
        </a:xfrm>
        <a:prstGeom prst="rect">
          <a:avLst/>
        </a:prstGeom>
      </xdr:spPr>
    </xdr:pic>
    <xdr:clientData/>
  </xdr:oneCellAnchor>
  <xdr:twoCellAnchor editAs="oneCell">
    <xdr:from>
      <xdr:col>13</xdr:col>
      <xdr:colOff>213827</xdr:colOff>
      <xdr:row>185</xdr:row>
      <xdr:rowOff>77753</xdr:rowOff>
    </xdr:from>
    <xdr:to>
      <xdr:col>13</xdr:col>
      <xdr:colOff>1205205</xdr:colOff>
      <xdr:row>189</xdr:row>
      <xdr:rowOff>155509</xdr:rowOff>
    </xdr:to>
    <xdr:pic>
      <xdr:nvPicPr>
        <xdr:cNvPr id="242" name="Grafik 241">
          <a:extLst>
            <a:ext uri="{FF2B5EF4-FFF2-40B4-BE49-F238E27FC236}">
              <a16:creationId xmlns:a16="http://schemas.microsoft.com/office/drawing/2014/main" id="{00000000-0008-0000-0D00-0000F2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2232" t="38913" r="11209" b="53089"/>
        <a:stretch/>
      </xdr:blipFill>
      <xdr:spPr>
        <a:xfrm>
          <a:off x="19020842" y="49316171"/>
          <a:ext cx="991378" cy="855307"/>
        </a:xfrm>
        <a:prstGeom prst="rect">
          <a:avLst/>
        </a:prstGeom>
      </xdr:spPr>
    </xdr:pic>
    <xdr:clientData/>
  </xdr:twoCellAnchor>
  <xdr:oneCellAnchor>
    <xdr:from>
      <xdr:col>11</xdr:col>
      <xdr:colOff>252703</xdr:colOff>
      <xdr:row>185</xdr:row>
      <xdr:rowOff>77753</xdr:rowOff>
    </xdr:from>
    <xdr:ext cx="991378" cy="855307"/>
    <xdr:pic>
      <xdr:nvPicPr>
        <xdr:cNvPr id="243" name="Grafik 242">
          <a:extLst>
            <a:ext uri="{FF2B5EF4-FFF2-40B4-BE49-F238E27FC236}">
              <a16:creationId xmlns:a16="http://schemas.microsoft.com/office/drawing/2014/main" id="{00000000-0008-0000-0D00-0000F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2232" t="38913" r="11209" b="53089"/>
        <a:stretch/>
      </xdr:blipFill>
      <xdr:spPr>
        <a:xfrm>
          <a:off x="16095305" y="49316171"/>
          <a:ext cx="991378" cy="855307"/>
        </a:xfrm>
        <a:prstGeom prst="rect">
          <a:avLst/>
        </a:prstGeom>
      </xdr:spPr>
    </xdr:pic>
    <xdr:clientData/>
  </xdr:oneCellAnchor>
  <xdr:oneCellAnchor>
    <xdr:from>
      <xdr:col>13</xdr:col>
      <xdr:colOff>213827</xdr:colOff>
      <xdr:row>190</xdr:row>
      <xdr:rowOff>68038</xdr:rowOff>
    </xdr:from>
    <xdr:ext cx="991378" cy="748393"/>
    <xdr:pic>
      <xdr:nvPicPr>
        <xdr:cNvPr id="244" name="Grafik 243">
          <a:extLst>
            <a:ext uri="{FF2B5EF4-FFF2-40B4-BE49-F238E27FC236}">
              <a16:creationId xmlns:a16="http://schemas.microsoft.com/office/drawing/2014/main" id="{00000000-0008-0000-0D00-0000F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2039" t="54819" r="11402" b="38184"/>
        <a:stretch/>
      </xdr:blipFill>
      <xdr:spPr>
        <a:xfrm>
          <a:off x="19020842" y="50326992"/>
          <a:ext cx="991378" cy="748393"/>
        </a:xfrm>
        <a:prstGeom prst="rect">
          <a:avLst/>
        </a:prstGeom>
      </xdr:spPr>
    </xdr:pic>
    <xdr:clientData/>
  </xdr:oneCellAnchor>
  <xdr:oneCellAnchor>
    <xdr:from>
      <xdr:col>13</xdr:col>
      <xdr:colOff>213827</xdr:colOff>
      <xdr:row>195</xdr:row>
      <xdr:rowOff>68038</xdr:rowOff>
    </xdr:from>
    <xdr:ext cx="991378" cy="748393"/>
    <xdr:pic>
      <xdr:nvPicPr>
        <xdr:cNvPr id="245" name="Grafik 244">
          <a:extLst>
            <a:ext uri="{FF2B5EF4-FFF2-40B4-BE49-F238E27FC236}">
              <a16:creationId xmlns:a16="http://schemas.microsoft.com/office/drawing/2014/main" id="{00000000-0008-0000-0D00-0000F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2103" t="62179" r="11338" b="30824"/>
        <a:stretch/>
      </xdr:blipFill>
      <xdr:spPr>
        <a:xfrm>
          <a:off x="19020842" y="50326992"/>
          <a:ext cx="991378" cy="748393"/>
        </a:xfrm>
        <a:prstGeom prst="rect">
          <a:avLst/>
        </a:prstGeom>
      </xdr:spPr>
    </xdr:pic>
    <xdr:clientData/>
  </xdr:oneCellAnchor>
  <xdr:oneCellAnchor>
    <xdr:from>
      <xdr:col>13</xdr:col>
      <xdr:colOff>213827</xdr:colOff>
      <xdr:row>200</xdr:row>
      <xdr:rowOff>68038</xdr:rowOff>
    </xdr:from>
    <xdr:ext cx="991378" cy="728951"/>
    <xdr:pic>
      <xdr:nvPicPr>
        <xdr:cNvPr id="246" name="Grafik 245">
          <a:extLst>
            <a:ext uri="{FF2B5EF4-FFF2-40B4-BE49-F238E27FC236}">
              <a16:creationId xmlns:a16="http://schemas.microsoft.com/office/drawing/2014/main" id="{00000000-0008-0000-0D00-0000F6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2232" t="69630" r="11209" b="23554"/>
        <a:stretch/>
      </xdr:blipFill>
      <xdr:spPr>
        <a:xfrm>
          <a:off x="19020842" y="52270870"/>
          <a:ext cx="991378" cy="728951"/>
        </a:xfrm>
        <a:prstGeom prst="rect">
          <a:avLst/>
        </a:prstGeom>
      </xdr:spPr>
    </xdr:pic>
    <xdr:clientData/>
  </xdr:oneCellAnchor>
  <xdr:oneCellAnchor>
    <xdr:from>
      <xdr:col>13</xdr:col>
      <xdr:colOff>136072</xdr:colOff>
      <xdr:row>205</xdr:row>
      <xdr:rowOff>87484</xdr:rowOff>
    </xdr:from>
    <xdr:ext cx="1069133" cy="1623138"/>
    <xdr:pic>
      <xdr:nvPicPr>
        <xdr:cNvPr id="247" name="Grafik 246">
          <a:extLst>
            <a:ext uri="{FF2B5EF4-FFF2-40B4-BE49-F238E27FC236}">
              <a16:creationId xmlns:a16="http://schemas.microsoft.com/office/drawing/2014/main" id="{00000000-0008-0000-0D00-0000F7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1718" t="76810" r="11209" b="8013"/>
        <a:stretch/>
      </xdr:blipFill>
      <xdr:spPr>
        <a:xfrm>
          <a:off x="18943087" y="53563555"/>
          <a:ext cx="1069133" cy="1623138"/>
        </a:xfrm>
        <a:prstGeom prst="rect">
          <a:avLst/>
        </a:prstGeom>
      </xdr:spPr>
    </xdr:pic>
    <xdr:clientData/>
  </xdr:oneCellAnchor>
  <xdr:oneCellAnchor>
    <xdr:from>
      <xdr:col>11</xdr:col>
      <xdr:colOff>213827</xdr:colOff>
      <xdr:row>190</xdr:row>
      <xdr:rowOff>68038</xdr:rowOff>
    </xdr:from>
    <xdr:ext cx="991378" cy="748393"/>
    <xdr:pic>
      <xdr:nvPicPr>
        <xdr:cNvPr id="248" name="Grafik 247">
          <a:extLst>
            <a:ext uri="{FF2B5EF4-FFF2-40B4-BE49-F238E27FC236}">
              <a16:creationId xmlns:a16="http://schemas.microsoft.com/office/drawing/2014/main" id="{00000000-0008-0000-0D00-0000F8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1815" t="54819" r="21626" b="38184"/>
        <a:stretch/>
      </xdr:blipFill>
      <xdr:spPr>
        <a:xfrm>
          <a:off x="19020842" y="50326992"/>
          <a:ext cx="991378" cy="748393"/>
        </a:xfrm>
        <a:prstGeom prst="rect">
          <a:avLst/>
        </a:prstGeom>
      </xdr:spPr>
    </xdr:pic>
    <xdr:clientData/>
  </xdr:oneCellAnchor>
  <xdr:oneCellAnchor>
    <xdr:from>
      <xdr:col>11</xdr:col>
      <xdr:colOff>213827</xdr:colOff>
      <xdr:row>195</xdr:row>
      <xdr:rowOff>68038</xdr:rowOff>
    </xdr:from>
    <xdr:ext cx="991378" cy="748393"/>
    <xdr:pic>
      <xdr:nvPicPr>
        <xdr:cNvPr id="249" name="Grafik 248">
          <a:extLst>
            <a:ext uri="{FF2B5EF4-FFF2-40B4-BE49-F238E27FC236}">
              <a16:creationId xmlns:a16="http://schemas.microsoft.com/office/drawing/2014/main" id="{00000000-0008-0000-0D00-0000F9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1750" t="62088" r="21691" b="30915"/>
        <a:stretch/>
      </xdr:blipFill>
      <xdr:spPr>
        <a:xfrm>
          <a:off x="19020842" y="51298931"/>
          <a:ext cx="991378" cy="748393"/>
        </a:xfrm>
        <a:prstGeom prst="rect">
          <a:avLst/>
        </a:prstGeom>
      </xdr:spPr>
    </xdr:pic>
    <xdr:clientData/>
  </xdr:oneCellAnchor>
  <xdr:oneCellAnchor>
    <xdr:from>
      <xdr:col>11</xdr:col>
      <xdr:colOff>213827</xdr:colOff>
      <xdr:row>200</xdr:row>
      <xdr:rowOff>68038</xdr:rowOff>
    </xdr:from>
    <xdr:ext cx="991378" cy="728951"/>
    <xdr:pic>
      <xdr:nvPicPr>
        <xdr:cNvPr id="250" name="Grafik 249">
          <a:extLst>
            <a:ext uri="{FF2B5EF4-FFF2-40B4-BE49-F238E27FC236}">
              <a16:creationId xmlns:a16="http://schemas.microsoft.com/office/drawing/2014/main" id="{00000000-0008-0000-0D00-0000FA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1879" t="69539" r="21562" b="23645"/>
        <a:stretch/>
      </xdr:blipFill>
      <xdr:spPr>
        <a:xfrm>
          <a:off x="19020842" y="52270870"/>
          <a:ext cx="991378" cy="728951"/>
        </a:xfrm>
        <a:prstGeom prst="rect">
          <a:avLst/>
        </a:prstGeom>
      </xdr:spPr>
    </xdr:pic>
    <xdr:clientData/>
  </xdr:oneCellAnchor>
  <xdr:oneCellAnchor>
    <xdr:from>
      <xdr:col>11</xdr:col>
      <xdr:colOff>136072</xdr:colOff>
      <xdr:row>205</xdr:row>
      <xdr:rowOff>97203</xdr:rowOff>
    </xdr:from>
    <xdr:ext cx="1069133" cy="1623138"/>
    <xdr:pic>
      <xdr:nvPicPr>
        <xdr:cNvPr id="251" name="Grafik 250">
          <a:extLst>
            <a:ext uri="{FF2B5EF4-FFF2-40B4-BE49-F238E27FC236}">
              <a16:creationId xmlns:a16="http://schemas.microsoft.com/office/drawing/2014/main" id="{00000000-0008-0000-0D00-0000FB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1494" t="76992" r="21433" b="7831"/>
        <a:stretch/>
      </xdr:blipFill>
      <xdr:spPr>
        <a:xfrm>
          <a:off x="15978674" y="53573274"/>
          <a:ext cx="1069133" cy="1623138"/>
        </a:xfrm>
        <a:prstGeom prst="rect">
          <a:avLst/>
        </a:prstGeom>
      </xdr:spPr>
    </xdr:pic>
    <xdr:clientData/>
  </xdr:oneCellAnchor>
  <xdr:oneCellAnchor>
    <xdr:from>
      <xdr:col>9</xdr:col>
      <xdr:colOff>213827</xdr:colOff>
      <xdr:row>190</xdr:row>
      <xdr:rowOff>68038</xdr:rowOff>
    </xdr:from>
    <xdr:ext cx="991378" cy="748393"/>
    <xdr:pic>
      <xdr:nvPicPr>
        <xdr:cNvPr id="252" name="Grafik 251">
          <a:extLst>
            <a:ext uri="{FF2B5EF4-FFF2-40B4-BE49-F238E27FC236}">
              <a16:creationId xmlns:a16="http://schemas.microsoft.com/office/drawing/2014/main" id="{00000000-0008-0000-0D00-0000FC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0948" t="54910" r="32493" b="38093"/>
        <a:stretch/>
      </xdr:blipFill>
      <xdr:spPr>
        <a:xfrm>
          <a:off x="16056429" y="50326992"/>
          <a:ext cx="991378" cy="748393"/>
        </a:xfrm>
        <a:prstGeom prst="rect">
          <a:avLst/>
        </a:prstGeom>
      </xdr:spPr>
    </xdr:pic>
    <xdr:clientData/>
  </xdr:oneCellAnchor>
  <xdr:oneCellAnchor>
    <xdr:from>
      <xdr:col>9</xdr:col>
      <xdr:colOff>213827</xdr:colOff>
      <xdr:row>195</xdr:row>
      <xdr:rowOff>68038</xdr:rowOff>
    </xdr:from>
    <xdr:ext cx="991378" cy="748393"/>
    <xdr:pic>
      <xdr:nvPicPr>
        <xdr:cNvPr id="253" name="Grafik 252">
          <a:extLst>
            <a:ext uri="{FF2B5EF4-FFF2-40B4-BE49-F238E27FC236}">
              <a16:creationId xmlns:a16="http://schemas.microsoft.com/office/drawing/2014/main" id="{00000000-0008-0000-0D00-0000FD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1204" t="62179" r="32237" b="30824"/>
        <a:stretch/>
      </xdr:blipFill>
      <xdr:spPr>
        <a:xfrm>
          <a:off x="16056429" y="51298931"/>
          <a:ext cx="991378" cy="748393"/>
        </a:xfrm>
        <a:prstGeom prst="rect">
          <a:avLst/>
        </a:prstGeom>
      </xdr:spPr>
    </xdr:pic>
    <xdr:clientData/>
  </xdr:oneCellAnchor>
  <xdr:oneCellAnchor>
    <xdr:from>
      <xdr:col>9</xdr:col>
      <xdr:colOff>233265</xdr:colOff>
      <xdr:row>200</xdr:row>
      <xdr:rowOff>68038</xdr:rowOff>
    </xdr:from>
    <xdr:ext cx="991378" cy="728951"/>
    <xdr:pic>
      <xdr:nvPicPr>
        <xdr:cNvPr id="254" name="Grafik 253">
          <a:extLst>
            <a:ext uri="{FF2B5EF4-FFF2-40B4-BE49-F238E27FC236}">
              <a16:creationId xmlns:a16="http://schemas.microsoft.com/office/drawing/2014/main" id="{00000000-0008-0000-0D00-0000FE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1333" t="69539" r="32108" b="23645"/>
        <a:stretch/>
      </xdr:blipFill>
      <xdr:spPr>
        <a:xfrm>
          <a:off x="13092015" y="52270870"/>
          <a:ext cx="991378" cy="728951"/>
        </a:xfrm>
        <a:prstGeom prst="rect">
          <a:avLst/>
        </a:prstGeom>
      </xdr:spPr>
    </xdr:pic>
    <xdr:clientData/>
  </xdr:oneCellAnchor>
  <xdr:oneCellAnchor>
    <xdr:from>
      <xdr:col>9</xdr:col>
      <xdr:colOff>136072</xdr:colOff>
      <xdr:row>205</xdr:row>
      <xdr:rowOff>97203</xdr:rowOff>
    </xdr:from>
    <xdr:ext cx="1069133" cy="1623138"/>
    <xdr:pic>
      <xdr:nvPicPr>
        <xdr:cNvPr id="255" name="Grafik 254">
          <a:extLst>
            <a:ext uri="{FF2B5EF4-FFF2-40B4-BE49-F238E27FC236}">
              <a16:creationId xmlns:a16="http://schemas.microsoft.com/office/drawing/2014/main" id="{00000000-0008-0000-0D00-0000FF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0820" t="76901" r="32107" b="7922"/>
        <a:stretch/>
      </xdr:blipFill>
      <xdr:spPr>
        <a:xfrm>
          <a:off x="15978674" y="53573274"/>
          <a:ext cx="1069133" cy="1623138"/>
        </a:xfrm>
        <a:prstGeom prst="rect">
          <a:avLst/>
        </a:prstGeom>
      </xdr:spPr>
    </xdr:pic>
    <xdr:clientData/>
  </xdr:oneCellAnchor>
  <xdr:oneCellAnchor>
    <xdr:from>
      <xdr:col>9</xdr:col>
      <xdr:colOff>213826</xdr:colOff>
      <xdr:row>179</xdr:row>
      <xdr:rowOff>19440</xdr:rowOff>
    </xdr:from>
    <xdr:ext cx="1059412" cy="1652296"/>
    <xdr:pic>
      <xdr:nvPicPr>
        <xdr:cNvPr id="256" name="Grafik 255">
          <a:extLst>
            <a:ext uri="{FF2B5EF4-FFF2-40B4-BE49-F238E27FC236}">
              <a16:creationId xmlns:a16="http://schemas.microsoft.com/office/drawing/2014/main" id="{00000000-0008-0000-0D00-000000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1012" t="14829" r="31979" b="69720"/>
        <a:stretch/>
      </xdr:blipFill>
      <xdr:spPr>
        <a:xfrm>
          <a:off x="13072576" y="46769695"/>
          <a:ext cx="1059412" cy="1652296"/>
        </a:xfrm>
        <a:prstGeom prst="rect">
          <a:avLst/>
        </a:prstGeom>
      </xdr:spPr>
    </xdr:pic>
    <xdr:clientData/>
  </xdr:oneCellAnchor>
  <xdr:oneCellAnchor>
    <xdr:from>
      <xdr:col>9</xdr:col>
      <xdr:colOff>223546</xdr:colOff>
      <xdr:row>184</xdr:row>
      <xdr:rowOff>1487084</xdr:rowOff>
    </xdr:from>
    <xdr:ext cx="1059412" cy="913623"/>
    <xdr:pic>
      <xdr:nvPicPr>
        <xdr:cNvPr id="257" name="Grafik 256">
          <a:extLst>
            <a:ext uri="{FF2B5EF4-FFF2-40B4-BE49-F238E27FC236}">
              <a16:creationId xmlns:a16="http://schemas.microsoft.com/office/drawing/2014/main" id="{00000000-0008-0000-0D00-000001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1012" t="38005" r="31979" b="53451"/>
        <a:stretch/>
      </xdr:blipFill>
      <xdr:spPr>
        <a:xfrm>
          <a:off x="13082296" y="49209278"/>
          <a:ext cx="1059412" cy="913623"/>
        </a:xfrm>
        <a:prstGeom prst="rect">
          <a:avLst/>
        </a:prstGeom>
      </xdr:spPr>
    </xdr:pic>
    <xdr:clientData/>
  </xdr:oneCellAnchor>
  <xdr:oneCellAnchor>
    <xdr:from>
      <xdr:col>7</xdr:col>
      <xdr:colOff>233265</xdr:colOff>
      <xdr:row>200</xdr:row>
      <xdr:rowOff>68038</xdr:rowOff>
    </xdr:from>
    <xdr:ext cx="991378" cy="728951"/>
    <xdr:pic>
      <xdr:nvPicPr>
        <xdr:cNvPr id="260" name="Grafik 259">
          <a:extLst>
            <a:ext uri="{FF2B5EF4-FFF2-40B4-BE49-F238E27FC236}">
              <a16:creationId xmlns:a16="http://schemas.microsoft.com/office/drawing/2014/main" id="{00000000-0008-0000-0D00-000004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0594" t="69539" r="42847" b="23645"/>
        <a:stretch/>
      </xdr:blipFill>
      <xdr:spPr>
        <a:xfrm>
          <a:off x="13092015" y="52270870"/>
          <a:ext cx="991378" cy="728951"/>
        </a:xfrm>
        <a:prstGeom prst="rect">
          <a:avLst/>
        </a:prstGeom>
      </xdr:spPr>
    </xdr:pic>
    <xdr:clientData/>
  </xdr:oneCellAnchor>
  <xdr:oneCellAnchor>
    <xdr:from>
      <xdr:col>7</xdr:col>
      <xdr:colOff>136072</xdr:colOff>
      <xdr:row>205</xdr:row>
      <xdr:rowOff>97203</xdr:rowOff>
    </xdr:from>
    <xdr:ext cx="1069133" cy="1623138"/>
    <xdr:pic>
      <xdr:nvPicPr>
        <xdr:cNvPr id="261" name="Grafik 260">
          <a:extLst>
            <a:ext uri="{FF2B5EF4-FFF2-40B4-BE49-F238E27FC236}">
              <a16:creationId xmlns:a16="http://schemas.microsoft.com/office/drawing/2014/main" id="{00000000-0008-0000-0D00-000005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0081" t="76901" r="42846" b="7922"/>
        <a:stretch/>
      </xdr:blipFill>
      <xdr:spPr>
        <a:xfrm>
          <a:off x="12994822" y="53573274"/>
          <a:ext cx="1069133" cy="1623138"/>
        </a:xfrm>
        <a:prstGeom prst="rect">
          <a:avLst/>
        </a:prstGeom>
      </xdr:spPr>
    </xdr:pic>
    <xdr:clientData/>
  </xdr:oneCellAnchor>
  <xdr:oneCellAnchor>
    <xdr:from>
      <xdr:col>5</xdr:col>
      <xdr:colOff>233264</xdr:colOff>
      <xdr:row>200</xdr:row>
      <xdr:rowOff>58316</xdr:rowOff>
    </xdr:from>
    <xdr:ext cx="806709" cy="738673"/>
    <xdr:pic>
      <xdr:nvPicPr>
        <xdr:cNvPr id="262" name="Grafik 261">
          <a:extLst>
            <a:ext uri="{FF2B5EF4-FFF2-40B4-BE49-F238E27FC236}">
              <a16:creationId xmlns:a16="http://schemas.microsoft.com/office/drawing/2014/main" id="{00000000-0008-0000-0D00-000006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805" t="69449" r="54858" b="23644"/>
        <a:stretch/>
      </xdr:blipFill>
      <xdr:spPr>
        <a:xfrm>
          <a:off x="7163187" y="52261148"/>
          <a:ext cx="806709" cy="738673"/>
        </a:xfrm>
        <a:prstGeom prst="rect">
          <a:avLst/>
        </a:prstGeom>
      </xdr:spPr>
    </xdr:pic>
    <xdr:clientData/>
  </xdr:oneCellAnchor>
  <xdr:oneCellAnchor>
    <xdr:from>
      <xdr:col>5</xdr:col>
      <xdr:colOff>165218</xdr:colOff>
      <xdr:row>205</xdr:row>
      <xdr:rowOff>97203</xdr:rowOff>
    </xdr:from>
    <xdr:ext cx="874744" cy="1623138"/>
    <xdr:pic>
      <xdr:nvPicPr>
        <xdr:cNvPr id="263" name="Grafik 262">
          <a:extLst>
            <a:ext uri="{FF2B5EF4-FFF2-40B4-BE49-F238E27FC236}">
              <a16:creationId xmlns:a16="http://schemas.microsoft.com/office/drawing/2014/main" id="{00000000-0008-0000-0D00-000007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407" t="76901" r="54806" b="7922"/>
        <a:stretch/>
      </xdr:blipFill>
      <xdr:spPr>
        <a:xfrm>
          <a:off x="7095141" y="53573274"/>
          <a:ext cx="874744" cy="1623138"/>
        </a:xfrm>
        <a:prstGeom prst="rect">
          <a:avLst/>
        </a:prstGeom>
      </xdr:spPr>
    </xdr:pic>
    <xdr:clientData/>
  </xdr:oneCellAnchor>
  <xdr:oneCellAnchor>
    <xdr:from>
      <xdr:col>5</xdr:col>
      <xdr:colOff>262424</xdr:colOff>
      <xdr:row>181</xdr:row>
      <xdr:rowOff>0</xdr:rowOff>
    </xdr:from>
    <xdr:ext cx="835867" cy="1244081"/>
    <xdr:pic>
      <xdr:nvPicPr>
        <xdr:cNvPr id="264" name="Grafik 263">
          <a:extLst>
            <a:ext uri="{FF2B5EF4-FFF2-40B4-BE49-F238E27FC236}">
              <a16:creationId xmlns:a16="http://schemas.microsoft.com/office/drawing/2014/main" id="{00000000-0008-0000-0D00-000008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739" t="18919" r="54731" b="69447"/>
        <a:stretch/>
      </xdr:blipFill>
      <xdr:spPr>
        <a:xfrm>
          <a:off x="7192347" y="47139031"/>
          <a:ext cx="835867" cy="1244081"/>
        </a:xfrm>
        <a:prstGeom prst="rect">
          <a:avLst/>
        </a:prstGeom>
      </xdr:spPr>
    </xdr:pic>
    <xdr:clientData/>
  </xdr:oneCellAnchor>
  <xdr:oneCellAnchor>
    <xdr:from>
      <xdr:col>5</xdr:col>
      <xdr:colOff>262381</xdr:colOff>
      <xdr:row>184</xdr:row>
      <xdr:rowOff>1517336</xdr:rowOff>
    </xdr:from>
    <xdr:ext cx="816429" cy="913623"/>
    <xdr:pic>
      <xdr:nvPicPr>
        <xdr:cNvPr id="265" name="Grafik 264">
          <a:extLst>
            <a:ext uri="{FF2B5EF4-FFF2-40B4-BE49-F238E27FC236}">
              <a16:creationId xmlns:a16="http://schemas.microsoft.com/office/drawing/2014/main" id="{00000000-0008-0000-0D00-000009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790" t="38005" r="54808" b="53451"/>
        <a:stretch/>
      </xdr:blipFill>
      <xdr:spPr>
        <a:xfrm>
          <a:off x="7517438" y="49762738"/>
          <a:ext cx="816429" cy="913623"/>
        </a:xfrm>
        <a:prstGeom prst="rect">
          <a:avLst/>
        </a:prstGeom>
      </xdr:spPr>
    </xdr:pic>
    <xdr:clientData/>
  </xdr:oneCellAnchor>
  <xdr:oneCellAnchor>
    <xdr:from>
      <xdr:col>5</xdr:col>
      <xdr:colOff>262423</xdr:colOff>
      <xdr:row>191</xdr:row>
      <xdr:rowOff>9719</xdr:rowOff>
    </xdr:from>
    <xdr:ext cx="1487066" cy="1516225"/>
    <xdr:pic>
      <xdr:nvPicPr>
        <xdr:cNvPr id="266" name="Grafik 265">
          <a:extLst>
            <a:ext uri="{FF2B5EF4-FFF2-40B4-BE49-F238E27FC236}">
              <a16:creationId xmlns:a16="http://schemas.microsoft.com/office/drawing/2014/main" id="{00000000-0008-0000-0D00-00000A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804" t="54909" r="50358" b="30913"/>
        <a:stretch/>
      </xdr:blipFill>
      <xdr:spPr>
        <a:xfrm>
          <a:off x="7192346" y="50463061"/>
          <a:ext cx="1487066" cy="1516225"/>
        </a:xfrm>
        <a:prstGeom prst="rect">
          <a:avLst/>
        </a:prstGeom>
      </xdr:spPr>
    </xdr:pic>
    <xdr:clientData/>
  </xdr:oneCellAnchor>
  <xdr:oneCellAnchor>
    <xdr:from>
      <xdr:col>3</xdr:col>
      <xdr:colOff>272149</xdr:colOff>
      <xdr:row>191</xdr:row>
      <xdr:rowOff>9719</xdr:rowOff>
    </xdr:from>
    <xdr:ext cx="1506505" cy="1516225"/>
    <xdr:pic>
      <xdr:nvPicPr>
        <xdr:cNvPr id="267" name="Grafik 266">
          <a:extLst>
            <a:ext uri="{FF2B5EF4-FFF2-40B4-BE49-F238E27FC236}">
              <a16:creationId xmlns:a16="http://schemas.microsoft.com/office/drawing/2014/main" id="{00000000-0008-0000-0D00-00000B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8996" t="54909" r="61038" b="30913"/>
        <a:stretch/>
      </xdr:blipFill>
      <xdr:spPr>
        <a:xfrm>
          <a:off x="4218220" y="50463061"/>
          <a:ext cx="1506505" cy="1516225"/>
        </a:xfrm>
        <a:prstGeom prst="rect">
          <a:avLst/>
        </a:prstGeom>
      </xdr:spPr>
    </xdr:pic>
    <xdr:clientData/>
  </xdr:oneCellAnchor>
  <xdr:oneCellAnchor>
    <xdr:from>
      <xdr:col>1</xdr:col>
      <xdr:colOff>272113</xdr:colOff>
      <xdr:row>191</xdr:row>
      <xdr:rowOff>9719</xdr:rowOff>
    </xdr:from>
    <xdr:ext cx="1487066" cy="1516225"/>
    <xdr:pic>
      <xdr:nvPicPr>
        <xdr:cNvPr id="268" name="Grafik 267">
          <a:extLst>
            <a:ext uri="{FF2B5EF4-FFF2-40B4-BE49-F238E27FC236}">
              <a16:creationId xmlns:a16="http://schemas.microsoft.com/office/drawing/2014/main" id="{00000000-0008-0000-0D00-00000C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8390" t="55000" r="71773" b="30822"/>
        <a:stretch/>
      </xdr:blipFill>
      <xdr:spPr>
        <a:xfrm>
          <a:off x="4218184" y="50463061"/>
          <a:ext cx="1487066" cy="1516225"/>
        </a:xfrm>
        <a:prstGeom prst="rect">
          <a:avLst/>
        </a:prstGeom>
      </xdr:spPr>
    </xdr:pic>
    <xdr:clientData/>
  </xdr:oneCellAnchor>
  <xdr:oneCellAnchor>
    <xdr:from>
      <xdr:col>7</xdr:col>
      <xdr:colOff>223547</xdr:colOff>
      <xdr:row>179</xdr:row>
      <xdr:rowOff>19439</xdr:rowOff>
    </xdr:from>
    <xdr:ext cx="1059412" cy="2459005"/>
    <xdr:pic>
      <xdr:nvPicPr>
        <xdr:cNvPr id="270" name="Grafik 269">
          <a:extLst>
            <a:ext uri="{FF2B5EF4-FFF2-40B4-BE49-F238E27FC236}">
              <a16:creationId xmlns:a16="http://schemas.microsoft.com/office/drawing/2014/main" id="{00000000-0008-0000-0D00-00000E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0413" t="7739" r="42578" b="69266"/>
        <a:stretch/>
      </xdr:blipFill>
      <xdr:spPr>
        <a:xfrm>
          <a:off x="16066149" y="46769694"/>
          <a:ext cx="1059412" cy="2459005"/>
        </a:xfrm>
        <a:prstGeom prst="rect">
          <a:avLst/>
        </a:prstGeom>
      </xdr:spPr>
    </xdr:pic>
    <xdr:clientData/>
  </xdr:oneCellAnchor>
  <xdr:oneCellAnchor>
    <xdr:from>
      <xdr:col>3</xdr:col>
      <xdr:colOff>262444</xdr:colOff>
      <xdr:row>182</xdr:row>
      <xdr:rowOff>194387</xdr:rowOff>
    </xdr:from>
    <xdr:ext cx="933060" cy="855307"/>
    <xdr:pic>
      <xdr:nvPicPr>
        <xdr:cNvPr id="271" name="Grafik 270">
          <a:extLst>
            <a:ext uri="{FF2B5EF4-FFF2-40B4-BE49-F238E27FC236}">
              <a16:creationId xmlns:a16="http://schemas.microsoft.com/office/drawing/2014/main" id="{00000000-0008-0000-0D00-00000F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483" t="22552" r="54344" b="69449"/>
        <a:stretch/>
      </xdr:blipFill>
      <xdr:spPr>
        <a:xfrm>
          <a:off x="4208515" y="47527805"/>
          <a:ext cx="933060" cy="855307"/>
        </a:xfrm>
        <a:prstGeom prst="rect">
          <a:avLst/>
        </a:prstGeom>
      </xdr:spPr>
    </xdr:pic>
    <xdr:clientData/>
  </xdr:oneCellAnchor>
  <xdr:twoCellAnchor editAs="oneCell">
    <xdr:from>
      <xdr:col>1</xdr:col>
      <xdr:colOff>281862</xdr:colOff>
      <xdr:row>182</xdr:row>
      <xdr:rowOff>155507</xdr:rowOff>
    </xdr:from>
    <xdr:to>
      <xdr:col>1</xdr:col>
      <xdr:colOff>1130340</xdr:colOff>
      <xdr:row>184</xdr:row>
      <xdr:rowOff>554000</xdr:rowOff>
    </xdr:to>
    <xdr:pic>
      <xdr:nvPicPr>
        <xdr:cNvPr id="272" name="Grafik 271">
          <a:extLst>
            <a:ext uri="{FF2B5EF4-FFF2-40B4-BE49-F238E27FC236}">
              <a16:creationId xmlns:a16="http://schemas.microsoft.com/office/drawing/2014/main" id="{00000000-0008-0000-0D00-000010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7440" t="7375" r="6946" b="85263"/>
        <a:stretch/>
      </xdr:blipFill>
      <xdr:spPr>
        <a:xfrm>
          <a:off x="1321836" y="47488925"/>
          <a:ext cx="848478" cy="787269"/>
        </a:xfrm>
        <a:prstGeom prst="rect">
          <a:avLst/>
        </a:prstGeom>
      </xdr:spPr>
    </xdr:pic>
    <xdr:clientData/>
  </xdr:twoCellAnchor>
  <xdr:oneCellAnchor>
    <xdr:from>
      <xdr:col>7</xdr:col>
      <xdr:colOff>252703</xdr:colOff>
      <xdr:row>185</xdr:row>
      <xdr:rowOff>77753</xdr:rowOff>
    </xdr:from>
    <xdr:ext cx="991378" cy="855307"/>
    <xdr:pic>
      <xdr:nvPicPr>
        <xdr:cNvPr id="274" name="Grafik 273">
          <a:extLst>
            <a:ext uri="{FF2B5EF4-FFF2-40B4-BE49-F238E27FC236}">
              <a16:creationId xmlns:a16="http://schemas.microsoft.com/office/drawing/2014/main" id="{00000000-0008-0000-0D00-000012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0478" t="38822" r="42963" b="53180"/>
        <a:stretch/>
      </xdr:blipFill>
      <xdr:spPr>
        <a:xfrm>
          <a:off x="16095305" y="49316171"/>
          <a:ext cx="991378" cy="855307"/>
        </a:xfrm>
        <a:prstGeom prst="rect">
          <a:avLst/>
        </a:prstGeom>
      </xdr:spPr>
    </xdr:pic>
    <xdr:clientData/>
  </xdr:oneCellAnchor>
  <xdr:oneCellAnchor>
    <xdr:from>
      <xdr:col>3</xdr:col>
      <xdr:colOff>233264</xdr:colOff>
      <xdr:row>200</xdr:row>
      <xdr:rowOff>58316</xdr:rowOff>
    </xdr:from>
    <xdr:ext cx="806709" cy="738673"/>
    <xdr:pic>
      <xdr:nvPicPr>
        <xdr:cNvPr id="275" name="Grafik 274">
          <a:extLst>
            <a:ext uri="{FF2B5EF4-FFF2-40B4-BE49-F238E27FC236}">
              <a16:creationId xmlns:a16="http://schemas.microsoft.com/office/drawing/2014/main" id="{00000000-0008-0000-0D00-000013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805" t="69449" r="54858" b="23644"/>
        <a:stretch/>
      </xdr:blipFill>
      <xdr:spPr>
        <a:xfrm>
          <a:off x="7163187" y="52261148"/>
          <a:ext cx="806709" cy="738673"/>
        </a:xfrm>
        <a:prstGeom prst="rect">
          <a:avLst/>
        </a:prstGeom>
      </xdr:spPr>
    </xdr:pic>
    <xdr:clientData/>
  </xdr:oneCellAnchor>
  <xdr:oneCellAnchor>
    <xdr:from>
      <xdr:col>3</xdr:col>
      <xdr:colOff>136073</xdr:colOff>
      <xdr:row>205</xdr:row>
      <xdr:rowOff>97194</xdr:rowOff>
    </xdr:from>
    <xdr:ext cx="884464" cy="1642577"/>
    <xdr:pic>
      <xdr:nvPicPr>
        <xdr:cNvPr id="276" name="Grafik 275">
          <a:extLst>
            <a:ext uri="{FF2B5EF4-FFF2-40B4-BE49-F238E27FC236}">
              <a16:creationId xmlns:a16="http://schemas.microsoft.com/office/drawing/2014/main" id="{00000000-0008-0000-0D00-000014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8614" t="76810" r="65535" b="7832"/>
        <a:stretch/>
      </xdr:blipFill>
      <xdr:spPr>
        <a:xfrm>
          <a:off x="4082144" y="53573265"/>
          <a:ext cx="884464" cy="1642577"/>
        </a:xfrm>
        <a:prstGeom prst="rect">
          <a:avLst/>
        </a:prstGeom>
      </xdr:spPr>
    </xdr:pic>
    <xdr:clientData/>
  </xdr:oneCellAnchor>
  <xdr:oneCellAnchor>
    <xdr:from>
      <xdr:col>1</xdr:col>
      <xdr:colOff>233264</xdr:colOff>
      <xdr:row>200</xdr:row>
      <xdr:rowOff>58316</xdr:rowOff>
    </xdr:from>
    <xdr:ext cx="806709" cy="738673"/>
    <xdr:pic>
      <xdr:nvPicPr>
        <xdr:cNvPr id="277" name="Grafik 276">
          <a:extLst>
            <a:ext uri="{FF2B5EF4-FFF2-40B4-BE49-F238E27FC236}">
              <a16:creationId xmlns:a16="http://schemas.microsoft.com/office/drawing/2014/main" id="{00000000-0008-0000-0D00-000015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805" t="69449" r="54858" b="23644"/>
        <a:stretch/>
      </xdr:blipFill>
      <xdr:spPr>
        <a:xfrm>
          <a:off x="4179335" y="52261148"/>
          <a:ext cx="806709" cy="738673"/>
        </a:xfrm>
        <a:prstGeom prst="rect">
          <a:avLst/>
        </a:prstGeom>
      </xdr:spPr>
    </xdr:pic>
    <xdr:clientData/>
  </xdr:oneCellAnchor>
  <xdr:oneCellAnchor>
    <xdr:from>
      <xdr:col>1</xdr:col>
      <xdr:colOff>136073</xdr:colOff>
      <xdr:row>205</xdr:row>
      <xdr:rowOff>97194</xdr:rowOff>
    </xdr:from>
    <xdr:ext cx="884464" cy="1642577"/>
    <xdr:pic>
      <xdr:nvPicPr>
        <xdr:cNvPr id="278" name="Grafik 277">
          <a:extLst>
            <a:ext uri="{FF2B5EF4-FFF2-40B4-BE49-F238E27FC236}">
              <a16:creationId xmlns:a16="http://schemas.microsoft.com/office/drawing/2014/main" id="{00000000-0008-0000-0D00-000016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8614" t="76810" r="65535" b="7832"/>
        <a:stretch/>
      </xdr:blipFill>
      <xdr:spPr>
        <a:xfrm>
          <a:off x="4082144" y="53573265"/>
          <a:ext cx="884464" cy="1642577"/>
        </a:xfrm>
        <a:prstGeom prst="rect">
          <a:avLst/>
        </a:prstGeom>
      </xdr:spPr>
    </xdr:pic>
    <xdr:clientData/>
  </xdr:oneCellAnchor>
  <xdr:oneCellAnchor>
    <xdr:from>
      <xdr:col>3</xdr:col>
      <xdr:colOff>48597</xdr:colOff>
      <xdr:row>45</xdr:row>
      <xdr:rowOff>29158</xdr:rowOff>
    </xdr:from>
    <xdr:ext cx="1195485" cy="738673"/>
    <xdr:pic>
      <xdr:nvPicPr>
        <xdr:cNvPr id="279" name="Grafik 278">
          <a:extLst>
            <a:ext uri="{FF2B5EF4-FFF2-40B4-BE49-F238E27FC236}">
              <a16:creationId xmlns:a16="http://schemas.microsoft.com/office/drawing/2014/main" id="{00000000-0008-0000-0D00-00001701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t="2864" r="92091" b="90229"/>
        <a:stretch/>
      </xdr:blipFill>
      <xdr:spPr>
        <a:xfrm>
          <a:off x="3994668" y="12052041"/>
          <a:ext cx="1195485" cy="738673"/>
        </a:xfrm>
        <a:prstGeom prst="rect">
          <a:avLst/>
        </a:prstGeom>
      </xdr:spPr>
    </xdr:pic>
    <xdr:clientData/>
  </xdr:oneCellAnchor>
  <xdr:oneCellAnchor>
    <xdr:from>
      <xdr:col>3</xdr:col>
      <xdr:colOff>291581</xdr:colOff>
      <xdr:row>131</xdr:row>
      <xdr:rowOff>9720</xdr:rowOff>
    </xdr:from>
    <xdr:ext cx="971940" cy="758112"/>
    <xdr:pic>
      <xdr:nvPicPr>
        <xdr:cNvPr id="280" name="Grafik 279">
          <a:extLst>
            <a:ext uri="{FF2B5EF4-FFF2-40B4-BE49-F238E27FC236}">
              <a16:creationId xmlns:a16="http://schemas.microsoft.com/office/drawing/2014/main" id="{00000000-0008-0000-0D00-00001801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737" t="3104" r="91833" b="89807"/>
        <a:stretch/>
      </xdr:blipFill>
      <xdr:spPr>
        <a:xfrm>
          <a:off x="4237652" y="34552424"/>
          <a:ext cx="971940" cy="758112"/>
        </a:xfrm>
        <a:prstGeom prst="rect">
          <a:avLst/>
        </a:prstGeom>
      </xdr:spPr>
    </xdr:pic>
    <xdr:clientData/>
  </xdr:oneCellAnchor>
  <xdr:twoCellAnchor editAs="oneCell">
    <xdr:from>
      <xdr:col>3</xdr:col>
      <xdr:colOff>25770</xdr:colOff>
      <xdr:row>173</xdr:row>
      <xdr:rowOff>106915</xdr:rowOff>
    </xdr:from>
    <xdr:to>
      <xdr:col>3</xdr:col>
      <xdr:colOff>1387527</xdr:colOff>
      <xdr:row>177</xdr:row>
      <xdr:rowOff>184667</xdr:rowOff>
    </xdr:to>
    <xdr:pic>
      <xdr:nvPicPr>
        <xdr:cNvPr id="281" name="Grafik 280">
          <a:extLst>
            <a:ext uri="{FF2B5EF4-FFF2-40B4-BE49-F238E27FC236}">
              <a16:creationId xmlns:a16="http://schemas.microsoft.com/office/drawing/2014/main" id="{00000000-0008-0000-0D00-00001901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4" t="3011" r="91318" b="88991"/>
        <a:stretch/>
      </xdr:blipFill>
      <xdr:spPr>
        <a:xfrm>
          <a:off x="4156919" y="46133467"/>
          <a:ext cx="1361757" cy="866028"/>
        </a:xfrm>
        <a:prstGeom prst="rect">
          <a:avLst/>
        </a:prstGeom>
      </xdr:spPr>
    </xdr:pic>
    <xdr:clientData/>
  </xdr:twoCellAnchor>
  <xdr:twoCellAnchor editAs="oneCell">
    <xdr:from>
      <xdr:col>3</xdr:col>
      <xdr:colOff>87475</xdr:colOff>
      <xdr:row>216</xdr:row>
      <xdr:rowOff>40242</xdr:rowOff>
    </xdr:from>
    <xdr:to>
      <xdr:col>3</xdr:col>
      <xdr:colOff>1416731</xdr:colOff>
      <xdr:row>220</xdr:row>
      <xdr:rowOff>192172</xdr:rowOff>
    </xdr:to>
    <xdr:pic>
      <xdr:nvPicPr>
        <xdr:cNvPr id="283" name="Grafik 282">
          <a:extLst>
            <a:ext uri="{FF2B5EF4-FFF2-40B4-BE49-F238E27FC236}">
              <a16:creationId xmlns:a16="http://schemas.microsoft.com/office/drawing/2014/main" id="{00000000-0008-0000-0D00-00001B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78" t="2999" r="90627" b="88366"/>
        <a:stretch/>
      </xdr:blipFill>
      <xdr:spPr>
        <a:xfrm>
          <a:off x="4214975" y="57892084"/>
          <a:ext cx="1329256" cy="954035"/>
        </a:xfrm>
        <a:prstGeom prst="rect">
          <a:avLst/>
        </a:prstGeom>
      </xdr:spPr>
    </xdr:pic>
    <xdr:clientData/>
  </xdr:twoCellAnchor>
  <xdr:twoCellAnchor editAs="oneCell">
    <xdr:from>
      <xdr:col>13</xdr:col>
      <xdr:colOff>116633</xdr:colOff>
      <xdr:row>222</xdr:row>
      <xdr:rowOff>37513</xdr:rowOff>
    </xdr:from>
    <xdr:to>
      <xdr:col>13</xdr:col>
      <xdr:colOff>1030255</xdr:colOff>
      <xdr:row>227</xdr:row>
      <xdr:rowOff>902541</xdr:rowOff>
    </xdr:to>
    <xdr:pic>
      <xdr:nvPicPr>
        <xdr:cNvPr id="284" name="Grafik 283">
          <a:extLst>
            <a:ext uri="{FF2B5EF4-FFF2-40B4-BE49-F238E27FC236}">
              <a16:creationId xmlns:a16="http://schemas.microsoft.com/office/drawing/2014/main" id="{00000000-0008-0000-0D00-00001C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3856" t="15271" r="10099" b="67550"/>
        <a:stretch/>
      </xdr:blipFill>
      <xdr:spPr>
        <a:xfrm>
          <a:off x="19776567" y="59092513"/>
          <a:ext cx="913622" cy="1867658"/>
        </a:xfrm>
        <a:prstGeom prst="rect">
          <a:avLst/>
        </a:prstGeom>
      </xdr:spPr>
    </xdr:pic>
    <xdr:clientData/>
  </xdr:twoCellAnchor>
  <xdr:twoCellAnchor editAs="oneCell">
    <xdr:from>
      <xdr:col>11</xdr:col>
      <xdr:colOff>38877</xdr:colOff>
      <xdr:row>222</xdr:row>
      <xdr:rowOff>26429</xdr:rowOff>
    </xdr:from>
    <xdr:to>
      <xdr:col>11</xdr:col>
      <xdr:colOff>962219</xdr:colOff>
      <xdr:row>227</xdr:row>
      <xdr:rowOff>901175</xdr:rowOff>
    </xdr:to>
    <xdr:pic>
      <xdr:nvPicPr>
        <xdr:cNvPr id="285" name="Grafik 284">
          <a:extLst>
            <a:ext uri="{FF2B5EF4-FFF2-40B4-BE49-F238E27FC236}">
              <a16:creationId xmlns:a16="http://schemas.microsoft.com/office/drawing/2014/main" id="{00000000-0008-0000-0D00-00001D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75496" t="15180" r="18395" b="67550"/>
        <a:stretch/>
      </xdr:blipFill>
      <xdr:spPr>
        <a:xfrm>
          <a:off x="16599009" y="59081429"/>
          <a:ext cx="923342" cy="1877376"/>
        </a:xfrm>
        <a:prstGeom prst="rect">
          <a:avLst/>
        </a:prstGeom>
      </xdr:spPr>
    </xdr:pic>
    <xdr:clientData/>
  </xdr:twoCellAnchor>
  <xdr:twoCellAnchor editAs="oneCell">
    <xdr:from>
      <xdr:col>11</xdr:col>
      <xdr:colOff>1010816</xdr:colOff>
      <xdr:row>222</xdr:row>
      <xdr:rowOff>26430</xdr:rowOff>
    </xdr:from>
    <xdr:to>
      <xdr:col>11</xdr:col>
      <xdr:colOff>1934158</xdr:colOff>
      <xdr:row>227</xdr:row>
      <xdr:rowOff>36150</xdr:rowOff>
    </xdr:to>
    <xdr:pic>
      <xdr:nvPicPr>
        <xdr:cNvPr id="286" name="Grafik 285">
          <a:extLst>
            <a:ext uri="{FF2B5EF4-FFF2-40B4-BE49-F238E27FC236}">
              <a16:creationId xmlns:a16="http://schemas.microsoft.com/office/drawing/2014/main" id="{00000000-0008-0000-0D00-00001E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75496" t="15180" r="18395" b="75640"/>
        <a:stretch/>
      </xdr:blipFill>
      <xdr:spPr>
        <a:xfrm>
          <a:off x="17570948" y="59081430"/>
          <a:ext cx="923342" cy="1012350"/>
        </a:xfrm>
        <a:prstGeom prst="rect">
          <a:avLst/>
        </a:prstGeom>
      </xdr:spPr>
    </xdr:pic>
    <xdr:clientData/>
  </xdr:twoCellAnchor>
  <xdr:twoCellAnchor editAs="oneCell">
    <xdr:from>
      <xdr:col>13</xdr:col>
      <xdr:colOff>1039975</xdr:colOff>
      <xdr:row>222</xdr:row>
      <xdr:rowOff>37514</xdr:rowOff>
    </xdr:from>
    <xdr:to>
      <xdr:col>13</xdr:col>
      <xdr:colOff>1953597</xdr:colOff>
      <xdr:row>227</xdr:row>
      <xdr:rowOff>18076</xdr:rowOff>
    </xdr:to>
    <xdr:pic>
      <xdr:nvPicPr>
        <xdr:cNvPr id="287" name="Grafik 286">
          <a:extLst>
            <a:ext uri="{FF2B5EF4-FFF2-40B4-BE49-F238E27FC236}">
              <a16:creationId xmlns:a16="http://schemas.microsoft.com/office/drawing/2014/main" id="{00000000-0008-0000-0D00-00001F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3856" t="15271" r="10099" b="75821"/>
        <a:stretch/>
      </xdr:blipFill>
      <xdr:spPr>
        <a:xfrm>
          <a:off x="20699909" y="59092514"/>
          <a:ext cx="913622" cy="983192"/>
        </a:xfrm>
        <a:prstGeom prst="rect">
          <a:avLst/>
        </a:prstGeom>
      </xdr:spPr>
    </xdr:pic>
    <xdr:clientData/>
  </xdr:twoCellAnchor>
  <xdr:twoCellAnchor editAs="oneCell">
    <xdr:from>
      <xdr:col>13</xdr:col>
      <xdr:colOff>1001096</xdr:colOff>
      <xdr:row>226</xdr:row>
      <xdr:rowOff>145790</xdr:rowOff>
    </xdr:from>
    <xdr:to>
      <xdr:col>13</xdr:col>
      <xdr:colOff>1914718</xdr:colOff>
      <xdr:row>227</xdr:row>
      <xdr:rowOff>903903</xdr:rowOff>
    </xdr:to>
    <xdr:pic>
      <xdr:nvPicPr>
        <xdr:cNvPr id="288" name="Grafik 287">
          <a:extLst>
            <a:ext uri="{FF2B5EF4-FFF2-40B4-BE49-F238E27FC236}">
              <a16:creationId xmlns:a16="http://schemas.microsoft.com/office/drawing/2014/main" id="{00000000-0008-0000-0D00-000020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9515" t="6999" r="4440" b="84093"/>
        <a:stretch/>
      </xdr:blipFill>
      <xdr:spPr>
        <a:xfrm>
          <a:off x="19808111" y="58743979"/>
          <a:ext cx="913622" cy="952499"/>
        </a:xfrm>
        <a:prstGeom prst="rect">
          <a:avLst/>
        </a:prstGeom>
      </xdr:spPr>
    </xdr:pic>
    <xdr:clientData/>
  </xdr:twoCellAnchor>
  <xdr:twoCellAnchor editAs="oneCell">
    <xdr:from>
      <xdr:col>13</xdr:col>
      <xdr:colOff>155509</xdr:colOff>
      <xdr:row>228</xdr:row>
      <xdr:rowOff>29157</xdr:rowOff>
    </xdr:from>
    <xdr:to>
      <xdr:col>13</xdr:col>
      <xdr:colOff>1069131</xdr:colOff>
      <xdr:row>232</xdr:row>
      <xdr:rowOff>174949</xdr:rowOff>
    </xdr:to>
    <xdr:pic>
      <xdr:nvPicPr>
        <xdr:cNvPr id="289" name="Grafik 288">
          <a:extLst>
            <a:ext uri="{FF2B5EF4-FFF2-40B4-BE49-F238E27FC236}">
              <a16:creationId xmlns:a16="http://schemas.microsoft.com/office/drawing/2014/main" id="{00000000-0008-0000-0D00-000021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4113" t="36812" r="9842" b="54552"/>
        <a:stretch/>
      </xdr:blipFill>
      <xdr:spPr>
        <a:xfrm>
          <a:off x="18962524" y="59725637"/>
          <a:ext cx="913622" cy="923342"/>
        </a:xfrm>
        <a:prstGeom prst="rect">
          <a:avLst/>
        </a:prstGeom>
      </xdr:spPr>
    </xdr:pic>
    <xdr:clientData/>
  </xdr:twoCellAnchor>
  <xdr:oneCellAnchor>
    <xdr:from>
      <xdr:col>13</xdr:col>
      <xdr:colOff>155509</xdr:colOff>
      <xdr:row>233</xdr:row>
      <xdr:rowOff>68033</xdr:rowOff>
    </xdr:from>
    <xdr:ext cx="913622" cy="816430"/>
    <xdr:pic>
      <xdr:nvPicPr>
        <xdr:cNvPr id="290" name="Grafik 289">
          <a:extLst>
            <a:ext uri="{FF2B5EF4-FFF2-40B4-BE49-F238E27FC236}">
              <a16:creationId xmlns:a16="http://schemas.microsoft.com/office/drawing/2014/main" id="{00000000-0008-0000-0D00-000022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4113" t="51084" r="9842" b="41280"/>
        <a:stretch/>
      </xdr:blipFill>
      <xdr:spPr>
        <a:xfrm>
          <a:off x="18962524" y="60755890"/>
          <a:ext cx="913622" cy="816430"/>
        </a:xfrm>
        <a:prstGeom prst="rect">
          <a:avLst/>
        </a:prstGeom>
      </xdr:spPr>
    </xdr:pic>
    <xdr:clientData/>
  </xdr:oneCellAnchor>
  <xdr:oneCellAnchor>
    <xdr:from>
      <xdr:col>13</xdr:col>
      <xdr:colOff>145790</xdr:colOff>
      <xdr:row>238</xdr:row>
      <xdr:rowOff>68033</xdr:rowOff>
    </xdr:from>
    <xdr:ext cx="913622" cy="816430"/>
    <xdr:pic>
      <xdr:nvPicPr>
        <xdr:cNvPr id="291" name="Grafik 290">
          <a:extLst>
            <a:ext uri="{FF2B5EF4-FFF2-40B4-BE49-F238E27FC236}">
              <a16:creationId xmlns:a16="http://schemas.microsoft.com/office/drawing/2014/main" id="{00000000-0008-0000-0D00-000023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3984" t="59265" r="9971" b="33099"/>
        <a:stretch/>
      </xdr:blipFill>
      <xdr:spPr>
        <a:xfrm>
          <a:off x="18952805" y="61727829"/>
          <a:ext cx="913622" cy="816430"/>
        </a:xfrm>
        <a:prstGeom prst="rect">
          <a:avLst/>
        </a:prstGeom>
      </xdr:spPr>
    </xdr:pic>
    <xdr:clientData/>
  </xdr:oneCellAnchor>
  <xdr:oneCellAnchor>
    <xdr:from>
      <xdr:col>13</xdr:col>
      <xdr:colOff>145790</xdr:colOff>
      <xdr:row>243</xdr:row>
      <xdr:rowOff>126346</xdr:rowOff>
    </xdr:from>
    <xdr:ext cx="913622" cy="845589"/>
    <xdr:pic>
      <xdr:nvPicPr>
        <xdr:cNvPr id="292" name="Grafik 291">
          <a:extLst>
            <a:ext uri="{FF2B5EF4-FFF2-40B4-BE49-F238E27FC236}">
              <a16:creationId xmlns:a16="http://schemas.microsoft.com/office/drawing/2014/main" id="{00000000-0008-0000-0D00-000024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3984" t="67265" r="9971" b="24826"/>
        <a:stretch/>
      </xdr:blipFill>
      <xdr:spPr>
        <a:xfrm>
          <a:off x="18952805" y="62758081"/>
          <a:ext cx="913622" cy="845589"/>
        </a:xfrm>
        <a:prstGeom prst="rect">
          <a:avLst/>
        </a:prstGeom>
      </xdr:spPr>
    </xdr:pic>
    <xdr:clientData/>
  </xdr:oneCellAnchor>
  <xdr:oneCellAnchor>
    <xdr:from>
      <xdr:col>13</xdr:col>
      <xdr:colOff>87475</xdr:colOff>
      <xdr:row>248</xdr:row>
      <xdr:rowOff>29180</xdr:rowOff>
    </xdr:from>
    <xdr:ext cx="971938" cy="1807806"/>
    <xdr:pic>
      <xdr:nvPicPr>
        <xdr:cNvPr id="293" name="Grafik 292">
          <a:extLst>
            <a:ext uri="{FF2B5EF4-FFF2-40B4-BE49-F238E27FC236}">
              <a16:creationId xmlns:a16="http://schemas.microsoft.com/office/drawing/2014/main" id="{00000000-0008-0000-0D00-000025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3598" t="75629" r="9971" b="7463"/>
        <a:stretch/>
      </xdr:blipFill>
      <xdr:spPr>
        <a:xfrm>
          <a:off x="18894490" y="63788364"/>
          <a:ext cx="971938" cy="1807806"/>
        </a:xfrm>
        <a:prstGeom prst="rect">
          <a:avLst/>
        </a:prstGeom>
      </xdr:spPr>
    </xdr:pic>
    <xdr:clientData/>
  </xdr:oneCellAnchor>
  <xdr:oneCellAnchor>
    <xdr:from>
      <xdr:col>11</xdr:col>
      <xdr:colOff>155509</xdr:colOff>
      <xdr:row>228</xdr:row>
      <xdr:rowOff>29157</xdr:rowOff>
    </xdr:from>
    <xdr:ext cx="913622" cy="923342"/>
    <xdr:pic>
      <xdr:nvPicPr>
        <xdr:cNvPr id="295" name="Grafik 294">
          <a:extLst>
            <a:ext uri="{FF2B5EF4-FFF2-40B4-BE49-F238E27FC236}">
              <a16:creationId xmlns:a16="http://schemas.microsoft.com/office/drawing/2014/main" id="{00000000-0008-0000-0D00-000027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84113" t="36812" r="9842" b="54552"/>
        <a:stretch/>
      </xdr:blipFill>
      <xdr:spPr>
        <a:xfrm>
          <a:off x="18962524" y="59725637"/>
          <a:ext cx="913622" cy="923342"/>
        </a:xfrm>
        <a:prstGeom prst="rect">
          <a:avLst/>
        </a:prstGeom>
      </xdr:spPr>
    </xdr:pic>
    <xdr:clientData/>
  </xdr:oneCellAnchor>
  <xdr:oneCellAnchor>
    <xdr:from>
      <xdr:col>11</xdr:col>
      <xdr:colOff>165228</xdr:colOff>
      <xdr:row>233</xdr:row>
      <xdr:rowOff>68033</xdr:rowOff>
    </xdr:from>
    <xdr:ext cx="913622" cy="816430"/>
    <xdr:pic>
      <xdr:nvPicPr>
        <xdr:cNvPr id="296" name="Grafik 295">
          <a:extLst>
            <a:ext uri="{FF2B5EF4-FFF2-40B4-BE49-F238E27FC236}">
              <a16:creationId xmlns:a16="http://schemas.microsoft.com/office/drawing/2014/main" id="{00000000-0008-0000-0D00-000028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75882" t="51175" r="18073" b="41189"/>
        <a:stretch/>
      </xdr:blipFill>
      <xdr:spPr>
        <a:xfrm>
          <a:off x="16007830" y="60755890"/>
          <a:ext cx="913622" cy="816430"/>
        </a:xfrm>
        <a:prstGeom prst="rect">
          <a:avLst/>
        </a:prstGeom>
      </xdr:spPr>
    </xdr:pic>
    <xdr:clientData/>
  </xdr:oneCellAnchor>
  <xdr:oneCellAnchor>
    <xdr:from>
      <xdr:col>11</xdr:col>
      <xdr:colOff>145790</xdr:colOff>
      <xdr:row>238</xdr:row>
      <xdr:rowOff>68033</xdr:rowOff>
    </xdr:from>
    <xdr:ext cx="913622" cy="816430"/>
    <xdr:pic>
      <xdr:nvPicPr>
        <xdr:cNvPr id="297" name="Grafik 296">
          <a:extLst>
            <a:ext uri="{FF2B5EF4-FFF2-40B4-BE49-F238E27FC236}">
              <a16:creationId xmlns:a16="http://schemas.microsoft.com/office/drawing/2014/main" id="{00000000-0008-0000-0D00-000029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75752" t="59174" r="18203" b="33190"/>
        <a:stretch/>
      </xdr:blipFill>
      <xdr:spPr>
        <a:xfrm>
          <a:off x="18952805" y="61727829"/>
          <a:ext cx="913622" cy="816430"/>
        </a:xfrm>
        <a:prstGeom prst="rect">
          <a:avLst/>
        </a:prstGeom>
      </xdr:spPr>
    </xdr:pic>
    <xdr:clientData/>
  </xdr:oneCellAnchor>
  <xdr:oneCellAnchor>
    <xdr:from>
      <xdr:col>11</xdr:col>
      <xdr:colOff>145790</xdr:colOff>
      <xdr:row>243</xdr:row>
      <xdr:rowOff>126346</xdr:rowOff>
    </xdr:from>
    <xdr:ext cx="913622" cy="845589"/>
    <xdr:pic>
      <xdr:nvPicPr>
        <xdr:cNvPr id="298" name="Grafik 297">
          <a:extLst>
            <a:ext uri="{FF2B5EF4-FFF2-40B4-BE49-F238E27FC236}">
              <a16:creationId xmlns:a16="http://schemas.microsoft.com/office/drawing/2014/main" id="{00000000-0008-0000-0D00-00002A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75817" t="67356" r="18138" b="24735"/>
        <a:stretch/>
      </xdr:blipFill>
      <xdr:spPr>
        <a:xfrm>
          <a:off x="18952805" y="62758081"/>
          <a:ext cx="913622" cy="845589"/>
        </a:xfrm>
        <a:prstGeom prst="rect">
          <a:avLst/>
        </a:prstGeom>
      </xdr:spPr>
    </xdr:pic>
    <xdr:clientData/>
  </xdr:oneCellAnchor>
  <xdr:oneCellAnchor>
    <xdr:from>
      <xdr:col>11</xdr:col>
      <xdr:colOff>87475</xdr:colOff>
      <xdr:row>248</xdr:row>
      <xdr:rowOff>29180</xdr:rowOff>
    </xdr:from>
    <xdr:ext cx="971938" cy="1807806"/>
    <xdr:pic>
      <xdr:nvPicPr>
        <xdr:cNvPr id="299" name="Grafik 298">
          <a:extLst>
            <a:ext uri="{FF2B5EF4-FFF2-40B4-BE49-F238E27FC236}">
              <a16:creationId xmlns:a16="http://schemas.microsoft.com/office/drawing/2014/main" id="{00000000-0008-0000-0D00-00002B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75302" t="75629" r="18267" b="7463"/>
        <a:stretch/>
      </xdr:blipFill>
      <xdr:spPr>
        <a:xfrm>
          <a:off x="18894490" y="63788364"/>
          <a:ext cx="971938" cy="1807806"/>
        </a:xfrm>
        <a:prstGeom prst="rect">
          <a:avLst/>
        </a:prstGeom>
      </xdr:spPr>
    </xdr:pic>
    <xdr:clientData/>
  </xdr:oneCellAnchor>
  <xdr:oneCellAnchor>
    <xdr:from>
      <xdr:col>9</xdr:col>
      <xdr:colOff>165228</xdr:colOff>
      <xdr:row>233</xdr:row>
      <xdr:rowOff>68033</xdr:rowOff>
    </xdr:from>
    <xdr:ext cx="913622" cy="816430"/>
    <xdr:pic>
      <xdr:nvPicPr>
        <xdr:cNvPr id="300" name="Grafik 299">
          <a:extLst>
            <a:ext uri="{FF2B5EF4-FFF2-40B4-BE49-F238E27FC236}">
              <a16:creationId xmlns:a16="http://schemas.microsoft.com/office/drawing/2014/main" id="{00000000-0008-0000-0D00-00002C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850" t="51084" r="28105" b="41280"/>
        <a:stretch/>
      </xdr:blipFill>
      <xdr:spPr>
        <a:xfrm>
          <a:off x="16007830" y="60755890"/>
          <a:ext cx="913622" cy="816430"/>
        </a:xfrm>
        <a:prstGeom prst="rect">
          <a:avLst/>
        </a:prstGeom>
      </xdr:spPr>
    </xdr:pic>
    <xdr:clientData/>
  </xdr:oneCellAnchor>
  <xdr:oneCellAnchor>
    <xdr:from>
      <xdr:col>9</xdr:col>
      <xdr:colOff>145790</xdr:colOff>
      <xdr:row>238</xdr:row>
      <xdr:rowOff>68033</xdr:rowOff>
    </xdr:from>
    <xdr:ext cx="913622" cy="816430"/>
    <xdr:pic>
      <xdr:nvPicPr>
        <xdr:cNvPr id="301" name="Grafik 300">
          <a:extLst>
            <a:ext uri="{FF2B5EF4-FFF2-40B4-BE49-F238E27FC236}">
              <a16:creationId xmlns:a16="http://schemas.microsoft.com/office/drawing/2014/main" id="{00000000-0008-0000-0D00-00002D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656" t="59265" r="28299" b="33099"/>
        <a:stretch/>
      </xdr:blipFill>
      <xdr:spPr>
        <a:xfrm>
          <a:off x="15988392" y="61727829"/>
          <a:ext cx="913622" cy="816430"/>
        </a:xfrm>
        <a:prstGeom prst="rect">
          <a:avLst/>
        </a:prstGeom>
      </xdr:spPr>
    </xdr:pic>
    <xdr:clientData/>
  </xdr:oneCellAnchor>
  <xdr:oneCellAnchor>
    <xdr:from>
      <xdr:col>9</xdr:col>
      <xdr:colOff>145790</xdr:colOff>
      <xdr:row>243</xdr:row>
      <xdr:rowOff>126346</xdr:rowOff>
    </xdr:from>
    <xdr:ext cx="913622" cy="845589"/>
    <xdr:pic>
      <xdr:nvPicPr>
        <xdr:cNvPr id="302" name="Grafik 301">
          <a:extLst>
            <a:ext uri="{FF2B5EF4-FFF2-40B4-BE49-F238E27FC236}">
              <a16:creationId xmlns:a16="http://schemas.microsoft.com/office/drawing/2014/main" id="{00000000-0008-0000-0D00-00002E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785" t="67356" r="28170" b="24735"/>
        <a:stretch/>
      </xdr:blipFill>
      <xdr:spPr>
        <a:xfrm>
          <a:off x="15988392" y="62758081"/>
          <a:ext cx="913622" cy="845589"/>
        </a:xfrm>
        <a:prstGeom prst="rect">
          <a:avLst/>
        </a:prstGeom>
      </xdr:spPr>
    </xdr:pic>
    <xdr:clientData/>
  </xdr:oneCellAnchor>
  <xdr:oneCellAnchor>
    <xdr:from>
      <xdr:col>9</xdr:col>
      <xdr:colOff>87475</xdr:colOff>
      <xdr:row>248</xdr:row>
      <xdr:rowOff>29180</xdr:rowOff>
    </xdr:from>
    <xdr:ext cx="971938" cy="1807806"/>
    <xdr:pic>
      <xdr:nvPicPr>
        <xdr:cNvPr id="303" name="Grafik 302">
          <a:extLst>
            <a:ext uri="{FF2B5EF4-FFF2-40B4-BE49-F238E27FC236}">
              <a16:creationId xmlns:a16="http://schemas.microsoft.com/office/drawing/2014/main" id="{00000000-0008-0000-0D00-00002F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270" t="75538" r="28299" b="7554"/>
        <a:stretch/>
      </xdr:blipFill>
      <xdr:spPr>
        <a:xfrm>
          <a:off x="15930077" y="63788364"/>
          <a:ext cx="971938" cy="1807806"/>
        </a:xfrm>
        <a:prstGeom prst="rect">
          <a:avLst/>
        </a:prstGeom>
      </xdr:spPr>
    </xdr:pic>
    <xdr:clientData/>
  </xdr:oneCellAnchor>
  <xdr:oneCellAnchor>
    <xdr:from>
      <xdr:col>7</xdr:col>
      <xdr:colOff>145790</xdr:colOff>
      <xdr:row>243</xdr:row>
      <xdr:rowOff>126346</xdr:rowOff>
    </xdr:from>
    <xdr:ext cx="913622" cy="845589"/>
    <xdr:pic>
      <xdr:nvPicPr>
        <xdr:cNvPr id="304" name="Grafik 303">
          <a:extLst>
            <a:ext uri="{FF2B5EF4-FFF2-40B4-BE49-F238E27FC236}">
              <a16:creationId xmlns:a16="http://schemas.microsoft.com/office/drawing/2014/main" id="{00000000-0008-0000-0D00-000030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3759" t="67356" r="40196" b="24735"/>
        <a:stretch/>
      </xdr:blipFill>
      <xdr:spPr>
        <a:xfrm>
          <a:off x="13004540" y="62758081"/>
          <a:ext cx="913622" cy="845589"/>
        </a:xfrm>
        <a:prstGeom prst="rect">
          <a:avLst/>
        </a:prstGeom>
      </xdr:spPr>
    </xdr:pic>
    <xdr:clientData/>
  </xdr:oneCellAnchor>
  <xdr:oneCellAnchor>
    <xdr:from>
      <xdr:col>7</xdr:col>
      <xdr:colOff>87475</xdr:colOff>
      <xdr:row>248</xdr:row>
      <xdr:rowOff>38899</xdr:rowOff>
    </xdr:from>
    <xdr:ext cx="971938" cy="1807806"/>
    <xdr:pic>
      <xdr:nvPicPr>
        <xdr:cNvPr id="305" name="Grafik 304">
          <a:extLst>
            <a:ext uri="{FF2B5EF4-FFF2-40B4-BE49-F238E27FC236}">
              <a16:creationId xmlns:a16="http://schemas.microsoft.com/office/drawing/2014/main" id="{00000000-0008-0000-0D00-000031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3308" t="75720" r="40261" b="7372"/>
        <a:stretch/>
      </xdr:blipFill>
      <xdr:spPr>
        <a:xfrm>
          <a:off x="9981812" y="63798083"/>
          <a:ext cx="971938" cy="1807806"/>
        </a:xfrm>
        <a:prstGeom prst="rect">
          <a:avLst/>
        </a:prstGeom>
      </xdr:spPr>
    </xdr:pic>
    <xdr:clientData/>
  </xdr:oneCellAnchor>
  <xdr:oneCellAnchor>
    <xdr:from>
      <xdr:col>7</xdr:col>
      <xdr:colOff>174949</xdr:colOff>
      <xdr:row>233</xdr:row>
      <xdr:rowOff>116646</xdr:rowOff>
    </xdr:from>
    <xdr:ext cx="1662015" cy="1710612"/>
    <xdr:pic>
      <xdr:nvPicPr>
        <xdr:cNvPr id="306" name="Grafik 305">
          <a:extLst>
            <a:ext uri="{FF2B5EF4-FFF2-40B4-BE49-F238E27FC236}">
              <a16:creationId xmlns:a16="http://schemas.microsoft.com/office/drawing/2014/main" id="{00000000-0008-0000-0D00-000032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3890" t="51085" r="35114" b="32917"/>
        <a:stretch/>
      </xdr:blipFill>
      <xdr:spPr>
        <a:xfrm>
          <a:off x="10069286" y="60804503"/>
          <a:ext cx="1662015" cy="1710612"/>
        </a:xfrm>
        <a:prstGeom prst="rect">
          <a:avLst/>
        </a:prstGeom>
      </xdr:spPr>
    </xdr:pic>
    <xdr:clientData/>
  </xdr:oneCellAnchor>
  <xdr:oneCellAnchor>
    <xdr:from>
      <xdr:col>7</xdr:col>
      <xdr:colOff>155509</xdr:colOff>
      <xdr:row>228</xdr:row>
      <xdr:rowOff>29157</xdr:rowOff>
    </xdr:from>
    <xdr:ext cx="913622" cy="923342"/>
    <xdr:pic>
      <xdr:nvPicPr>
        <xdr:cNvPr id="307" name="Grafik 306">
          <a:extLst>
            <a:ext uri="{FF2B5EF4-FFF2-40B4-BE49-F238E27FC236}">
              <a16:creationId xmlns:a16="http://schemas.microsoft.com/office/drawing/2014/main" id="{00000000-0008-0000-0D00-000033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3891" t="36903" r="40064" b="54461"/>
        <a:stretch/>
      </xdr:blipFill>
      <xdr:spPr>
        <a:xfrm>
          <a:off x="15998111" y="59725637"/>
          <a:ext cx="913622" cy="923342"/>
        </a:xfrm>
        <a:prstGeom prst="rect">
          <a:avLst/>
        </a:prstGeom>
      </xdr:spPr>
    </xdr:pic>
    <xdr:clientData/>
  </xdr:oneCellAnchor>
  <xdr:oneCellAnchor>
    <xdr:from>
      <xdr:col>7</xdr:col>
      <xdr:colOff>106913</xdr:colOff>
      <xdr:row>222</xdr:row>
      <xdr:rowOff>18074</xdr:rowOff>
    </xdr:from>
    <xdr:ext cx="923342" cy="1846683"/>
    <xdr:pic>
      <xdr:nvPicPr>
        <xdr:cNvPr id="308" name="Grafik 307">
          <a:extLst>
            <a:ext uri="{FF2B5EF4-FFF2-40B4-BE49-F238E27FC236}">
              <a16:creationId xmlns:a16="http://schemas.microsoft.com/office/drawing/2014/main" id="{00000000-0008-0000-0D00-000034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3695" t="15089" r="40196" b="67641"/>
        <a:stretch/>
      </xdr:blipFill>
      <xdr:spPr>
        <a:xfrm>
          <a:off x="10450729" y="59073074"/>
          <a:ext cx="923342" cy="1846683"/>
        </a:xfrm>
        <a:prstGeom prst="rect">
          <a:avLst/>
        </a:prstGeom>
      </xdr:spPr>
    </xdr:pic>
    <xdr:clientData/>
  </xdr:oneCellAnchor>
  <xdr:oneCellAnchor>
    <xdr:from>
      <xdr:col>5</xdr:col>
      <xdr:colOff>87475</xdr:colOff>
      <xdr:row>248</xdr:row>
      <xdr:rowOff>38899</xdr:rowOff>
    </xdr:from>
    <xdr:ext cx="971938" cy="1807806"/>
    <xdr:pic>
      <xdr:nvPicPr>
        <xdr:cNvPr id="310" name="Grafik 309">
          <a:extLst>
            <a:ext uri="{FF2B5EF4-FFF2-40B4-BE49-F238E27FC236}">
              <a16:creationId xmlns:a16="http://schemas.microsoft.com/office/drawing/2014/main" id="{00000000-0008-0000-0D00-000036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41480" t="75720" r="52089" b="7372"/>
        <a:stretch/>
      </xdr:blipFill>
      <xdr:spPr>
        <a:xfrm>
          <a:off x="9981812" y="63798083"/>
          <a:ext cx="971938" cy="1807806"/>
        </a:xfrm>
        <a:prstGeom prst="rect">
          <a:avLst/>
        </a:prstGeom>
      </xdr:spPr>
    </xdr:pic>
    <xdr:clientData/>
  </xdr:oneCellAnchor>
  <xdr:oneCellAnchor>
    <xdr:from>
      <xdr:col>5</xdr:col>
      <xdr:colOff>194387</xdr:colOff>
      <xdr:row>234</xdr:row>
      <xdr:rowOff>58319</xdr:rowOff>
    </xdr:from>
    <xdr:ext cx="1662015" cy="2585357"/>
    <xdr:pic>
      <xdr:nvPicPr>
        <xdr:cNvPr id="311" name="Grafik 310">
          <a:extLst>
            <a:ext uri="{FF2B5EF4-FFF2-40B4-BE49-F238E27FC236}">
              <a16:creationId xmlns:a16="http://schemas.microsoft.com/office/drawing/2014/main" id="{00000000-0008-0000-0D00-000037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42120" t="50995" r="46884" b="24826"/>
        <a:stretch/>
      </xdr:blipFill>
      <xdr:spPr>
        <a:xfrm>
          <a:off x="7124310" y="60940564"/>
          <a:ext cx="1662015" cy="2585357"/>
        </a:xfrm>
        <a:prstGeom prst="rect">
          <a:avLst/>
        </a:prstGeom>
      </xdr:spPr>
    </xdr:pic>
    <xdr:clientData/>
  </xdr:oneCellAnchor>
  <xdr:oneCellAnchor>
    <xdr:from>
      <xdr:col>3</xdr:col>
      <xdr:colOff>97207</xdr:colOff>
      <xdr:row>248</xdr:row>
      <xdr:rowOff>38899</xdr:rowOff>
    </xdr:from>
    <xdr:ext cx="971938" cy="1807806"/>
    <xdr:pic>
      <xdr:nvPicPr>
        <xdr:cNvPr id="312" name="Grafik 311">
          <a:extLst>
            <a:ext uri="{FF2B5EF4-FFF2-40B4-BE49-F238E27FC236}">
              <a16:creationId xmlns:a16="http://schemas.microsoft.com/office/drawing/2014/main" id="{00000000-0008-0000-0D00-000038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29648" t="75628" r="63921" b="7464"/>
        <a:stretch/>
      </xdr:blipFill>
      <xdr:spPr>
        <a:xfrm>
          <a:off x="4043278" y="63798083"/>
          <a:ext cx="971938" cy="1807806"/>
        </a:xfrm>
        <a:prstGeom prst="rect">
          <a:avLst/>
        </a:prstGeom>
      </xdr:spPr>
    </xdr:pic>
    <xdr:clientData/>
  </xdr:oneCellAnchor>
  <xdr:oneCellAnchor>
    <xdr:from>
      <xdr:col>3</xdr:col>
      <xdr:colOff>174962</xdr:colOff>
      <xdr:row>234</xdr:row>
      <xdr:rowOff>58319</xdr:rowOff>
    </xdr:from>
    <xdr:ext cx="1681454" cy="2585357"/>
    <xdr:pic>
      <xdr:nvPicPr>
        <xdr:cNvPr id="313" name="Grafik 312">
          <a:extLst>
            <a:ext uri="{FF2B5EF4-FFF2-40B4-BE49-F238E27FC236}">
              <a16:creationId xmlns:a16="http://schemas.microsoft.com/office/drawing/2014/main" id="{00000000-0008-0000-0D00-000039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30159" t="51086" r="58716" b="24735"/>
        <a:stretch/>
      </xdr:blipFill>
      <xdr:spPr>
        <a:xfrm>
          <a:off x="4121033" y="60940564"/>
          <a:ext cx="1681454" cy="2585357"/>
        </a:xfrm>
        <a:prstGeom prst="rect">
          <a:avLst/>
        </a:prstGeom>
      </xdr:spPr>
    </xdr:pic>
    <xdr:clientData/>
  </xdr:oneCellAnchor>
  <xdr:oneCellAnchor>
    <xdr:from>
      <xdr:col>1</xdr:col>
      <xdr:colOff>97207</xdr:colOff>
      <xdr:row>248</xdr:row>
      <xdr:rowOff>38899</xdr:rowOff>
    </xdr:from>
    <xdr:ext cx="971938" cy="1807806"/>
    <xdr:pic>
      <xdr:nvPicPr>
        <xdr:cNvPr id="314" name="Grafik 313">
          <a:extLst>
            <a:ext uri="{FF2B5EF4-FFF2-40B4-BE49-F238E27FC236}">
              <a16:creationId xmlns:a16="http://schemas.microsoft.com/office/drawing/2014/main" id="{00000000-0008-0000-0D00-00003A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29648" t="75628" r="63921" b="7464"/>
        <a:stretch/>
      </xdr:blipFill>
      <xdr:spPr>
        <a:xfrm>
          <a:off x="4043278" y="63798083"/>
          <a:ext cx="971938" cy="1807806"/>
        </a:xfrm>
        <a:prstGeom prst="rect">
          <a:avLst/>
        </a:prstGeom>
      </xdr:spPr>
    </xdr:pic>
    <xdr:clientData/>
  </xdr:oneCellAnchor>
  <xdr:oneCellAnchor>
    <xdr:from>
      <xdr:col>1</xdr:col>
      <xdr:colOff>194416</xdr:colOff>
      <xdr:row>234</xdr:row>
      <xdr:rowOff>58319</xdr:rowOff>
    </xdr:from>
    <xdr:ext cx="1652295" cy="2585357"/>
    <xdr:pic>
      <xdr:nvPicPr>
        <xdr:cNvPr id="315" name="Grafik 314">
          <a:extLst>
            <a:ext uri="{FF2B5EF4-FFF2-40B4-BE49-F238E27FC236}">
              <a16:creationId xmlns:a16="http://schemas.microsoft.com/office/drawing/2014/main" id="{00000000-0008-0000-0D00-00003B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18391" t="51086" r="70677" b="24735"/>
        <a:stretch/>
      </xdr:blipFill>
      <xdr:spPr>
        <a:xfrm>
          <a:off x="1234390" y="60940564"/>
          <a:ext cx="1652295" cy="2585357"/>
        </a:xfrm>
        <a:prstGeom prst="rect">
          <a:avLst/>
        </a:prstGeom>
      </xdr:spPr>
    </xdr:pic>
    <xdr:clientData/>
  </xdr:oneCellAnchor>
  <xdr:oneCellAnchor>
    <xdr:from>
      <xdr:col>5</xdr:col>
      <xdr:colOff>204108</xdr:colOff>
      <xdr:row>224</xdr:row>
      <xdr:rowOff>58316</xdr:rowOff>
    </xdr:from>
    <xdr:ext cx="923342" cy="894183"/>
    <xdr:pic>
      <xdr:nvPicPr>
        <xdr:cNvPr id="317" name="Grafik 316">
          <a:extLst>
            <a:ext uri="{FF2B5EF4-FFF2-40B4-BE49-F238E27FC236}">
              <a16:creationId xmlns:a16="http://schemas.microsoft.com/office/drawing/2014/main" id="{00000000-0008-0000-0D00-00003D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41991" t="24179" r="51900" b="67459"/>
        <a:stretch/>
      </xdr:blipFill>
      <xdr:spPr>
        <a:xfrm>
          <a:off x="7134031" y="58267729"/>
          <a:ext cx="923342" cy="894183"/>
        </a:xfrm>
        <a:prstGeom prst="rect">
          <a:avLst/>
        </a:prstGeom>
      </xdr:spPr>
    </xdr:pic>
    <xdr:clientData/>
  </xdr:oneCellAnchor>
  <xdr:oneCellAnchor>
    <xdr:from>
      <xdr:col>5</xdr:col>
      <xdr:colOff>174949</xdr:colOff>
      <xdr:row>227</xdr:row>
      <xdr:rowOff>816428</xdr:rowOff>
    </xdr:from>
    <xdr:ext cx="942780" cy="1030255"/>
    <xdr:pic>
      <xdr:nvPicPr>
        <xdr:cNvPr id="318" name="Grafik 317">
          <a:extLst>
            <a:ext uri="{FF2B5EF4-FFF2-40B4-BE49-F238E27FC236}">
              <a16:creationId xmlns:a16="http://schemas.microsoft.com/office/drawing/2014/main" id="{00000000-0008-0000-0D00-00003E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41862" t="35722" r="51900" b="54643"/>
        <a:stretch/>
      </xdr:blipFill>
      <xdr:spPr>
        <a:xfrm>
          <a:off x="7104872" y="59609005"/>
          <a:ext cx="942780" cy="1030255"/>
        </a:xfrm>
        <a:prstGeom prst="rect">
          <a:avLst/>
        </a:prstGeom>
      </xdr:spPr>
    </xdr:pic>
    <xdr:clientData/>
  </xdr:oneCellAnchor>
  <xdr:oneCellAnchor>
    <xdr:from>
      <xdr:col>3</xdr:col>
      <xdr:colOff>165229</xdr:colOff>
      <xdr:row>224</xdr:row>
      <xdr:rowOff>58322</xdr:rowOff>
    </xdr:from>
    <xdr:ext cx="923342" cy="894183"/>
    <xdr:pic>
      <xdr:nvPicPr>
        <xdr:cNvPr id="319" name="Grafik 318">
          <a:extLst>
            <a:ext uri="{FF2B5EF4-FFF2-40B4-BE49-F238E27FC236}">
              <a16:creationId xmlns:a16="http://schemas.microsoft.com/office/drawing/2014/main" id="{00000000-0008-0000-0D00-00003F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41991" t="24179" r="51900" b="67459"/>
        <a:stretch/>
      </xdr:blipFill>
      <xdr:spPr>
        <a:xfrm>
          <a:off x="4111300" y="58267735"/>
          <a:ext cx="923342" cy="894183"/>
        </a:xfrm>
        <a:prstGeom prst="rect">
          <a:avLst/>
        </a:prstGeom>
      </xdr:spPr>
    </xdr:pic>
    <xdr:clientData/>
  </xdr:oneCellAnchor>
  <xdr:oneCellAnchor>
    <xdr:from>
      <xdr:col>1</xdr:col>
      <xdr:colOff>165229</xdr:colOff>
      <xdr:row>227</xdr:row>
      <xdr:rowOff>262423</xdr:rowOff>
    </xdr:from>
    <xdr:ext cx="602603" cy="126352"/>
    <xdr:pic>
      <xdr:nvPicPr>
        <xdr:cNvPr id="320" name="Grafik 319">
          <a:extLst>
            <a:ext uri="{FF2B5EF4-FFF2-40B4-BE49-F238E27FC236}">
              <a16:creationId xmlns:a16="http://schemas.microsoft.com/office/drawing/2014/main" id="{00000000-0008-0000-0D00-000040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41991" t="31541" r="54022" b="67277"/>
        <a:stretch/>
      </xdr:blipFill>
      <xdr:spPr>
        <a:xfrm>
          <a:off x="1205203" y="59055000"/>
          <a:ext cx="602603" cy="126352"/>
        </a:xfrm>
        <a:prstGeom prst="rect">
          <a:avLst/>
        </a:prstGeom>
      </xdr:spPr>
    </xdr:pic>
    <xdr:clientData/>
  </xdr:oneCellAnchor>
  <xdr:oneCellAnchor>
    <xdr:from>
      <xdr:col>1</xdr:col>
      <xdr:colOff>184670</xdr:colOff>
      <xdr:row>224</xdr:row>
      <xdr:rowOff>58317</xdr:rowOff>
    </xdr:from>
    <xdr:ext cx="913622" cy="806709"/>
    <xdr:pic>
      <xdr:nvPicPr>
        <xdr:cNvPr id="321" name="Grafik 320">
          <a:extLst>
            <a:ext uri="{FF2B5EF4-FFF2-40B4-BE49-F238E27FC236}">
              <a16:creationId xmlns:a16="http://schemas.microsoft.com/office/drawing/2014/main" id="{00000000-0008-0000-0D00-000041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53891" t="36903" r="40064" b="55552"/>
        <a:stretch/>
      </xdr:blipFill>
      <xdr:spPr>
        <a:xfrm>
          <a:off x="1224644" y="58267730"/>
          <a:ext cx="913622" cy="806709"/>
        </a:xfrm>
        <a:prstGeom prst="rect">
          <a:avLst/>
        </a:prstGeom>
      </xdr:spPr>
    </xdr:pic>
    <xdr:clientData/>
  </xdr:oneCellAnchor>
  <xdr:oneCellAnchor>
    <xdr:from>
      <xdr:col>9</xdr:col>
      <xdr:colOff>136071</xdr:colOff>
      <xdr:row>224</xdr:row>
      <xdr:rowOff>48598</xdr:rowOff>
    </xdr:from>
    <xdr:ext cx="923342" cy="884464"/>
    <xdr:pic>
      <xdr:nvPicPr>
        <xdr:cNvPr id="322" name="Grafik 321">
          <a:extLst>
            <a:ext uri="{FF2B5EF4-FFF2-40B4-BE49-F238E27FC236}">
              <a16:creationId xmlns:a16="http://schemas.microsoft.com/office/drawing/2014/main" id="{00000000-0008-0000-0D00-000042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591" t="24269" r="28300" b="67459"/>
        <a:stretch/>
      </xdr:blipFill>
      <xdr:spPr>
        <a:xfrm>
          <a:off x="12994821" y="58258011"/>
          <a:ext cx="923342" cy="884464"/>
        </a:xfrm>
        <a:prstGeom prst="rect">
          <a:avLst/>
        </a:prstGeom>
      </xdr:spPr>
    </xdr:pic>
    <xdr:clientData/>
  </xdr:oneCellAnchor>
  <xdr:oneCellAnchor>
    <xdr:from>
      <xdr:col>9</xdr:col>
      <xdr:colOff>136071</xdr:colOff>
      <xdr:row>227</xdr:row>
      <xdr:rowOff>835867</xdr:rowOff>
    </xdr:from>
    <xdr:ext cx="923342" cy="1001097"/>
    <xdr:pic>
      <xdr:nvPicPr>
        <xdr:cNvPr id="323" name="Grafik 322">
          <a:extLst>
            <a:ext uri="{FF2B5EF4-FFF2-40B4-BE49-F238E27FC236}">
              <a16:creationId xmlns:a16="http://schemas.microsoft.com/office/drawing/2014/main" id="{00000000-0008-0000-0D00-000043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656" t="36086" r="28235" b="54552"/>
        <a:stretch/>
      </xdr:blipFill>
      <xdr:spPr>
        <a:xfrm>
          <a:off x="12994821" y="59628444"/>
          <a:ext cx="923342" cy="1001097"/>
        </a:xfrm>
        <a:prstGeom prst="rect">
          <a:avLst/>
        </a:prstGeom>
      </xdr:spPr>
    </xdr:pic>
    <xdr:clientData/>
  </xdr:oneCellAnchor>
  <xdr:oneCellAnchor>
    <xdr:from>
      <xdr:col>9</xdr:col>
      <xdr:colOff>1088571</xdr:colOff>
      <xdr:row>223</xdr:row>
      <xdr:rowOff>58319</xdr:rowOff>
    </xdr:from>
    <xdr:ext cx="923342" cy="1078852"/>
    <xdr:pic>
      <xdr:nvPicPr>
        <xdr:cNvPr id="324" name="Grafik 323">
          <a:extLst>
            <a:ext uri="{FF2B5EF4-FFF2-40B4-BE49-F238E27FC236}">
              <a16:creationId xmlns:a16="http://schemas.microsoft.com/office/drawing/2014/main" id="{00000000-0008-0000-0D00-000044010000}"/>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65527" t="14271" r="28364" b="75640"/>
        <a:stretch/>
      </xdr:blipFill>
      <xdr:spPr>
        <a:xfrm>
          <a:off x="13947321" y="58073345"/>
          <a:ext cx="923342" cy="1078852"/>
        </a:xfrm>
        <a:prstGeom prst="rect">
          <a:avLst/>
        </a:prstGeom>
      </xdr:spPr>
    </xdr:pic>
    <xdr:clientData/>
  </xdr:oneCellAnchor>
  <xdr:twoCellAnchor editAs="oneCell">
    <xdr:from>
      <xdr:col>67</xdr:col>
      <xdr:colOff>410835</xdr:colOff>
      <xdr:row>130</xdr:row>
      <xdr:rowOff>107325</xdr:rowOff>
    </xdr:from>
    <xdr:to>
      <xdr:col>67</xdr:col>
      <xdr:colOff>1600318</xdr:colOff>
      <xdr:row>134</xdr:row>
      <xdr:rowOff>174403</xdr:rowOff>
    </xdr:to>
    <xdr:pic>
      <xdr:nvPicPr>
        <xdr:cNvPr id="326" name="Grafik 325">
          <a:extLst>
            <a:ext uri="{FF2B5EF4-FFF2-40B4-BE49-F238E27FC236}">
              <a16:creationId xmlns:a16="http://schemas.microsoft.com/office/drawing/2014/main" id="{00000000-0008-0000-0D00-000046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689" t="2231" r="91897" b="86646"/>
        <a:stretch/>
      </xdr:blipFill>
      <xdr:spPr>
        <a:xfrm rot="16200000">
          <a:off x="93780418" y="33520858"/>
          <a:ext cx="818346" cy="1189483"/>
        </a:xfrm>
        <a:prstGeom prst="rect">
          <a:avLst/>
        </a:prstGeom>
      </xdr:spPr>
    </xdr:pic>
    <xdr:clientData/>
  </xdr:twoCellAnchor>
  <xdr:twoCellAnchor editAs="oneCell">
    <xdr:from>
      <xdr:col>65</xdr:col>
      <xdr:colOff>107324</xdr:colOff>
      <xdr:row>136</xdr:row>
      <xdr:rowOff>62618</xdr:rowOff>
    </xdr:from>
    <xdr:to>
      <xdr:col>65</xdr:col>
      <xdr:colOff>858591</xdr:colOff>
      <xdr:row>141</xdr:row>
      <xdr:rowOff>228063</xdr:rowOff>
    </xdr:to>
    <xdr:pic>
      <xdr:nvPicPr>
        <xdr:cNvPr id="327" name="Grafik 326">
          <a:extLst>
            <a:ext uri="{FF2B5EF4-FFF2-40B4-BE49-F238E27FC236}">
              <a16:creationId xmlns:a16="http://schemas.microsoft.com/office/drawing/2014/main" id="{00000000-0008-0000-0D00-000047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8280" t="6684" r="76750" b="82987"/>
        <a:stretch/>
      </xdr:blipFill>
      <xdr:spPr>
        <a:xfrm>
          <a:off x="90353345" y="34788622"/>
          <a:ext cx="751267" cy="1104529"/>
        </a:xfrm>
        <a:prstGeom prst="rect">
          <a:avLst/>
        </a:prstGeom>
      </xdr:spPr>
    </xdr:pic>
    <xdr:clientData/>
  </xdr:twoCellAnchor>
  <xdr:twoCellAnchor editAs="oneCell">
    <xdr:from>
      <xdr:col>77</xdr:col>
      <xdr:colOff>73785</xdr:colOff>
      <xdr:row>136</xdr:row>
      <xdr:rowOff>13416</xdr:rowOff>
    </xdr:from>
    <xdr:to>
      <xdr:col>77</xdr:col>
      <xdr:colOff>2072692</xdr:colOff>
      <xdr:row>141</xdr:row>
      <xdr:rowOff>1247642</xdr:rowOff>
    </xdr:to>
    <xdr:pic>
      <xdr:nvPicPr>
        <xdr:cNvPr id="328" name="Grafik 327">
          <a:extLst>
            <a:ext uri="{FF2B5EF4-FFF2-40B4-BE49-F238E27FC236}">
              <a16:creationId xmlns:a16="http://schemas.microsoft.com/office/drawing/2014/main" id="{00000000-0008-0000-0D00-000048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771" t="6560" r="11006" b="73116"/>
        <a:stretch/>
      </xdr:blipFill>
      <xdr:spPr>
        <a:xfrm>
          <a:off x="107947764" y="34739420"/>
          <a:ext cx="1998907" cy="2173310"/>
        </a:xfrm>
        <a:prstGeom prst="rect">
          <a:avLst/>
        </a:prstGeom>
      </xdr:spPr>
    </xdr:pic>
    <xdr:clientData/>
  </xdr:twoCellAnchor>
  <xdr:oneCellAnchor>
    <xdr:from>
      <xdr:col>75</xdr:col>
      <xdr:colOff>73787</xdr:colOff>
      <xdr:row>136</xdr:row>
      <xdr:rowOff>13416</xdr:rowOff>
    </xdr:from>
    <xdr:ext cx="1328134" cy="2173310"/>
    <xdr:pic>
      <xdr:nvPicPr>
        <xdr:cNvPr id="329" name="Grafik 328">
          <a:extLst>
            <a:ext uri="{FF2B5EF4-FFF2-40B4-BE49-F238E27FC236}">
              <a16:creationId xmlns:a16="http://schemas.microsoft.com/office/drawing/2014/main" id="{00000000-0008-0000-0D00-000049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6186" t="6560" r="25028" b="73116"/>
        <a:stretch/>
      </xdr:blipFill>
      <xdr:spPr>
        <a:xfrm>
          <a:off x="105009773" y="34739420"/>
          <a:ext cx="1328134" cy="2173310"/>
        </a:xfrm>
        <a:prstGeom prst="rect">
          <a:avLst/>
        </a:prstGeom>
      </xdr:spPr>
    </xdr:pic>
    <xdr:clientData/>
  </xdr:oneCellAnchor>
  <xdr:twoCellAnchor editAs="oneCell">
    <xdr:from>
      <xdr:col>77</xdr:col>
      <xdr:colOff>67078</xdr:colOff>
      <xdr:row>142</xdr:row>
      <xdr:rowOff>33539</xdr:rowOff>
    </xdr:from>
    <xdr:to>
      <xdr:col>77</xdr:col>
      <xdr:colOff>1173856</xdr:colOff>
      <xdr:row>146</xdr:row>
      <xdr:rowOff>134155</xdr:rowOff>
    </xdr:to>
    <xdr:pic>
      <xdr:nvPicPr>
        <xdr:cNvPr id="330" name="Grafik 329">
          <a:extLst>
            <a:ext uri="{FF2B5EF4-FFF2-40B4-BE49-F238E27FC236}">
              <a16:creationId xmlns:a16="http://schemas.microsoft.com/office/drawing/2014/main" id="{00000000-0008-0000-0D00-00004A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548" t="31401" r="17130" b="60632"/>
        <a:stretch/>
      </xdr:blipFill>
      <xdr:spPr>
        <a:xfrm>
          <a:off x="107941057" y="36966391"/>
          <a:ext cx="1106778" cy="851884"/>
        </a:xfrm>
        <a:prstGeom prst="rect">
          <a:avLst/>
        </a:prstGeom>
      </xdr:spPr>
    </xdr:pic>
    <xdr:clientData/>
  </xdr:twoCellAnchor>
  <xdr:oneCellAnchor>
    <xdr:from>
      <xdr:col>75</xdr:col>
      <xdr:colOff>53662</xdr:colOff>
      <xdr:row>142</xdr:row>
      <xdr:rowOff>33539</xdr:rowOff>
    </xdr:from>
    <xdr:ext cx="1106778" cy="851884"/>
    <xdr:pic>
      <xdr:nvPicPr>
        <xdr:cNvPr id="331" name="Grafik 330">
          <a:extLst>
            <a:ext uri="{FF2B5EF4-FFF2-40B4-BE49-F238E27FC236}">
              <a16:creationId xmlns:a16="http://schemas.microsoft.com/office/drawing/2014/main" id="{00000000-0008-0000-0D00-00004B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548" t="31401" r="17130" b="60632"/>
        <a:stretch/>
      </xdr:blipFill>
      <xdr:spPr>
        <a:xfrm>
          <a:off x="104989648" y="36966391"/>
          <a:ext cx="1106778" cy="851884"/>
        </a:xfrm>
        <a:prstGeom prst="rect">
          <a:avLst/>
        </a:prstGeom>
      </xdr:spPr>
    </xdr:pic>
    <xdr:clientData/>
  </xdr:oneCellAnchor>
  <xdr:twoCellAnchor editAs="oneCell">
    <xdr:from>
      <xdr:col>77</xdr:col>
      <xdr:colOff>154278</xdr:colOff>
      <xdr:row>147</xdr:row>
      <xdr:rowOff>120739</xdr:rowOff>
    </xdr:from>
    <xdr:to>
      <xdr:col>77</xdr:col>
      <xdr:colOff>1113485</xdr:colOff>
      <xdr:row>151</xdr:row>
      <xdr:rowOff>33539</xdr:rowOff>
    </xdr:to>
    <xdr:pic>
      <xdr:nvPicPr>
        <xdr:cNvPr id="332" name="Grafik 331">
          <a:extLst>
            <a:ext uri="{FF2B5EF4-FFF2-40B4-BE49-F238E27FC236}">
              <a16:creationId xmlns:a16="http://schemas.microsoft.com/office/drawing/2014/main" id="{00000000-0008-0000-0D00-00004C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991" t="46583" r="19615" b="44445"/>
        <a:stretch/>
      </xdr:blipFill>
      <xdr:spPr>
        <a:xfrm rot="5400000">
          <a:off x="108175827" y="37845106"/>
          <a:ext cx="664067" cy="959207"/>
        </a:xfrm>
        <a:prstGeom prst="rect">
          <a:avLst/>
        </a:prstGeom>
      </xdr:spPr>
    </xdr:pic>
    <xdr:clientData/>
  </xdr:twoCellAnchor>
  <xdr:oneCellAnchor>
    <xdr:from>
      <xdr:col>77</xdr:col>
      <xdr:colOff>154278</xdr:colOff>
      <xdr:row>152</xdr:row>
      <xdr:rowOff>120739</xdr:rowOff>
    </xdr:from>
    <xdr:ext cx="959207" cy="664067"/>
    <xdr:pic>
      <xdr:nvPicPr>
        <xdr:cNvPr id="333" name="Grafik 332">
          <a:extLst>
            <a:ext uri="{FF2B5EF4-FFF2-40B4-BE49-F238E27FC236}">
              <a16:creationId xmlns:a16="http://schemas.microsoft.com/office/drawing/2014/main" id="{00000000-0008-0000-0D00-00004D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947" t="55931" r="19659" b="35097"/>
        <a:stretch/>
      </xdr:blipFill>
      <xdr:spPr>
        <a:xfrm rot="16200000">
          <a:off x="108175827" y="38784190"/>
          <a:ext cx="664067" cy="959207"/>
        </a:xfrm>
        <a:prstGeom prst="rect">
          <a:avLst/>
        </a:prstGeom>
      </xdr:spPr>
    </xdr:pic>
    <xdr:clientData/>
  </xdr:oneCellAnchor>
  <xdr:oneCellAnchor>
    <xdr:from>
      <xdr:col>75</xdr:col>
      <xdr:colOff>154278</xdr:colOff>
      <xdr:row>147</xdr:row>
      <xdr:rowOff>120739</xdr:rowOff>
    </xdr:from>
    <xdr:ext cx="959207" cy="664067"/>
    <xdr:pic>
      <xdr:nvPicPr>
        <xdr:cNvPr id="334" name="Grafik 333">
          <a:extLst>
            <a:ext uri="{FF2B5EF4-FFF2-40B4-BE49-F238E27FC236}">
              <a16:creationId xmlns:a16="http://schemas.microsoft.com/office/drawing/2014/main" id="{00000000-0008-0000-0D00-00004E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6360" t="46583" r="29246" b="44445"/>
        <a:stretch/>
      </xdr:blipFill>
      <xdr:spPr>
        <a:xfrm rot="5400000">
          <a:off x="105237834" y="37845106"/>
          <a:ext cx="664067" cy="959207"/>
        </a:xfrm>
        <a:prstGeom prst="rect">
          <a:avLst/>
        </a:prstGeom>
      </xdr:spPr>
    </xdr:pic>
    <xdr:clientData/>
  </xdr:oneCellAnchor>
  <xdr:oneCellAnchor>
    <xdr:from>
      <xdr:col>75</xdr:col>
      <xdr:colOff>154278</xdr:colOff>
      <xdr:row>152</xdr:row>
      <xdr:rowOff>127447</xdr:rowOff>
    </xdr:from>
    <xdr:ext cx="959207" cy="664067"/>
    <xdr:pic>
      <xdr:nvPicPr>
        <xdr:cNvPr id="335" name="Grafik 334">
          <a:extLst>
            <a:ext uri="{FF2B5EF4-FFF2-40B4-BE49-F238E27FC236}">
              <a16:creationId xmlns:a16="http://schemas.microsoft.com/office/drawing/2014/main" id="{00000000-0008-0000-0D00-00004F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6227" t="55994" r="29379" b="35034"/>
        <a:stretch/>
      </xdr:blipFill>
      <xdr:spPr>
        <a:xfrm rot="16200000">
          <a:off x="105237834" y="38790898"/>
          <a:ext cx="664067" cy="959207"/>
        </a:xfrm>
        <a:prstGeom prst="rect">
          <a:avLst/>
        </a:prstGeom>
      </xdr:spPr>
    </xdr:pic>
    <xdr:clientData/>
  </xdr:oneCellAnchor>
  <xdr:oneCellAnchor>
    <xdr:from>
      <xdr:col>73</xdr:col>
      <xdr:colOff>60370</xdr:colOff>
      <xdr:row>136</xdr:row>
      <xdr:rowOff>100611</xdr:rowOff>
    </xdr:from>
    <xdr:ext cx="858592" cy="1039702"/>
    <xdr:pic>
      <xdr:nvPicPr>
        <xdr:cNvPr id="336" name="Grafik 335">
          <a:extLst>
            <a:ext uri="{FF2B5EF4-FFF2-40B4-BE49-F238E27FC236}">
              <a16:creationId xmlns:a16="http://schemas.microsoft.com/office/drawing/2014/main" id="{00000000-0008-0000-0D00-000050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558" t="17098" r="37763" b="73179"/>
        <a:stretch/>
      </xdr:blipFill>
      <xdr:spPr>
        <a:xfrm>
          <a:off x="102058363" y="34826615"/>
          <a:ext cx="858592" cy="1039702"/>
        </a:xfrm>
        <a:prstGeom prst="rect">
          <a:avLst/>
        </a:prstGeom>
      </xdr:spPr>
    </xdr:pic>
    <xdr:clientData/>
  </xdr:oneCellAnchor>
  <xdr:oneCellAnchor>
    <xdr:from>
      <xdr:col>73</xdr:col>
      <xdr:colOff>53662</xdr:colOff>
      <xdr:row>141</xdr:row>
      <xdr:rowOff>965929</xdr:rowOff>
    </xdr:from>
    <xdr:ext cx="858592" cy="1133608"/>
    <xdr:pic>
      <xdr:nvPicPr>
        <xdr:cNvPr id="338" name="Grafik 337">
          <a:extLst>
            <a:ext uri="{FF2B5EF4-FFF2-40B4-BE49-F238E27FC236}">
              <a16:creationId xmlns:a16="http://schemas.microsoft.com/office/drawing/2014/main" id="{00000000-0008-0000-0D00-000052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514" t="28577" r="37807" b="60822"/>
        <a:stretch/>
      </xdr:blipFill>
      <xdr:spPr>
        <a:xfrm>
          <a:off x="102051655" y="36631017"/>
          <a:ext cx="858592" cy="1133608"/>
        </a:xfrm>
        <a:prstGeom prst="rect">
          <a:avLst/>
        </a:prstGeom>
      </xdr:spPr>
    </xdr:pic>
    <xdr:clientData/>
  </xdr:oneCellAnchor>
  <xdr:oneCellAnchor>
    <xdr:from>
      <xdr:col>75</xdr:col>
      <xdr:colOff>20123</xdr:colOff>
      <xdr:row>163</xdr:row>
      <xdr:rowOff>87207</xdr:rowOff>
    </xdr:from>
    <xdr:ext cx="1381798" cy="1368380"/>
    <xdr:pic>
      <xdr:nvPicPr>
        <xdr:cNvPr id="340" name="Grafik 339">
          <a:extLst>
            <a:ext uri="{FF2B5EF4-FFF2-40B4-BE49-F238E27FC236}">
              <a16:creationId xmlns:a16="http://schemas.microsoft.com/office/drawing/2014/main" id="{00000000-0008-0000-0D00-000054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5609" t="76252" r="25250" b="10952"/>
        <a:stretch/>
      </xdr:blipFill>
      <xdr:spPr>
        <a:xfrm>
          <a:off x="104956109" y="41353263"/>
          <a:ext cx="1381798" cy="1368380"/>
        </a:xfrm>
        <a:prstGeom prst="rect">
          <a:avLst/>
        </a:prstGeom>
      </xdr:spPr>
    </xdr:pic>
    <xdr:clientData/>
  </xdr:oneCellAnchor>
  <xdr:oneCellAnchor>
    <xdr:from>
      <xdr:col>75</xdr:col>
      <xdr:colOff>449419</xdr:colOff>
      <xdr:row>157</xdr:row>
      <xdr:rowOff>120741</xdr:rowOff>
    </xdr:from>
    <xdr:ext cx="771392" cy="1026285"/>
    <xdr:pic>
      <xdr:nvPicPr>
        <xdr:cNvPr id="341" name="Grafik 340">
          <a:extLst>
            <a:ext uri="{FF2B5EF4-FFF2-40B4-BE49-F238E27FC236}">
              <a16:creationId xmlns:a16="http://schemas.microsoft.com/office/drawing/2014/main" id="{00000000-0008-0000-0D00-000055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6227" t="65656" r="28669" b="24744"/>
        <a:stretch/>
      </xdr:blipFill>
      <xdr:spPr>
        <a:xfrm>
          <a:off x="105385405" y="39931216"/>
          <a:ext cx="771392" cy="1026285"/>
        </a:xfrm>
        <a:prstGeom prst="rect">
          <a:avLst/>
        </a:prstGeom>
      </xdr:spPr>
    </xdr:pic>
    <xdr:clientData/>
  </xdr:oneCellAnchor>
  <xdr:oneCellAnchor>
    <xdr:from>
      <xdr:col>77</xdr:col>
      <xdr:colOff>449419</xdr:colOff>
      <xdr:row>157</xdr:row>
      <xdr:rowOff>120741</xdr:rowOff>
    </xdr:from>
    <xdr:ext cx="771392" cy="1026285"/>
    <xdr:pic>
      <xdr:nvPicPr>
        <xdr:cNvPr id="342" name="Grafik 341">
          <a:extLst>
            <a:ext uri="{FF2B5EF4-FFF2-40B4-BE49-F238E27FC236}">
              <a16:creationId xmlns:a16="http://schemas.microsoft.com/office/drawing/2014/main" id="{00000000-0008-0000-0D00-000056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858" t="65656" r="19038" b="24744"/>
        <a:stretch/>
      </xdr:blipFill>
      <xdr:spPr>
        <a:xfrm>
          <a:off x="105385405" y="39931216"/>
          <a:ext cx="771392" cy="1026285"/>
        </a:xfrm>
        <a:prstGeom prst="rect">
          <a:avLst/>
        </a:prstGeom>
      </xdr:spPr>
    </xdr:pic>
    <xdr:clientData/>
  </xdr:oneCellAnchor>
  <xdr:oneCellAnchor>
    <xdr:from>
      <xdr:col>73</xdr:col>
      <xdr:colOff>409176</xdr:colOff>
      <xdr:row>157</xdr:row>
      <xdr:rowOff>127449</xdr:rowOff>
    </xdr:from>
    <xdr:ext cx="771392" cy="1026285"/>
    <xdr:pic>
      <xdr:nvPicPr>
        <xdr:cNvPr id="343" name="Grafik 342">
          <a:extLst>
            <a:ext uri="{FF2B5EF4-FFF2-40B4-BE49-F238E27FC236}">
              <a16:creationId xmlns:a16="http://schemas.microsoft.com/office/drawing/2014/main" id="{00000000-0008-0000-0D00-000057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74" t="65656" r="38122" b="24744"/>
        <a:stretch/>
      </xdr:blipFill>
      <xdr:spPr>
        <a:xfrm>
          <a:off x="102407169" y="39937924"/>
          <a:ext cx="771392" cy="1026285"/>
        </a:xfrm>
        <a:prstGeom prst="rect">
          <a:avLst/>
        </a:prstGeom>
      </xdr:spPr>
    </xdr:pic>
    <xdr:clientData/>
  </xdr:oneCellAnchor>
  <xdr:oneCellAnchor>
    <xdr:from>
      <xdr:col>77</xdr:col>
      <xdr:colOff>20123</xdr:colOff>
      <xdr:row>163</xdr:row>
      <xdr:rowOff>87207</xdr:rowOff>
    </xdr:from>
    <xdr:ext cx="1381798" cy="1368380"/>
    <xdr:pic>
      <xdr:nvPicPr>
        <xdr:cNvPr id="344" name="Grafik 343">
          <a:extLst>
            <a:ext uri="{FF2B5EF4-FFF2-40B4-BE49-F238E27FC236}">
              <a16:creationId xmlns:a16="http://schemas.microsoft.com/office/drawing/2014/main" id="{00000000-0008-0000-0D00-000058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5105" t="76189" r="15754" b="11015"/>
        <a:stretch/>
      </xdr:blipFill>
      <xdr:spPr>
        <a:xfrm>
          <a:off x="104956109" y="41353263"/>
          <a:ext cx="1381798" cy="1368380"/>
        </a:xfrm>
        <a:prstGeom prst="rect">
          <a:avLst/>
        </a:prstGeom>
      </xdr:spPr>
    </xdr:pic>
    <xdr:clientData/>
  </xdr:oneCellAnchor>
  <xdr:oneCellAnchor>
    <xdr:from>
      <xdr:col>73</xdr:col>
      <xdr:colOff>20123</xdr:colOff>
      <xdr:row>163</xdr:row>
      <xdr:rowOff>87207</xdr:rowOff>
    </xdr:from>
    <xdr:ext cx="1381798" cy="1368380"/>
    <xdr:pic>
      <xdr:nvPicPr>
        <xdr:cNvPr id="345" name="Grafik 344">
          <a:extLst>
            <a:ext uri="{FF2B5EF4-FFF2-40B4-BE49-F238E27FC236}">
              <a16:creationId xmlns:a16="http://schemas.microsoft.com/office/drawing/2014/main" id="{00000000-0008-0000-0D00-000059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024" t="76189" r="34835" b="11015"/>
        <a:stretch/>
      </xdr:blipFill>
      <xdr:spPr>
        <a:xfrm>
          <a:off x="104956109" y="41353263"/>
          <a:ext cx="1381798" cy="1368380"/>
        </a:xfrm>
        <a:prstGeom prst="rect">
          <a:avLst/>
        </a:prstGeom>
      </xdr:spPr>
    </xdr:pic>
    <xdr:clientData/>
  </xdr:oneCellAnchor>
  <xdr:oneCellAnchor>
    <xdr:from>
      <xdr:col>71</xdr:col>
      <xdr:colOff>33539</xdr:colOff>
      <xdr:row>163</xdr:row>
      <xdr:rowOff>87207</xdr:rowOff>
    </xdr:from>
    <xdr:ext cx="1381798" cy="1368380"/>
    <xdr:pic>
      <xdr:nvPicPr>
        <xdr:cNvPr id="346" name="Grafik 345">
          <a:extLst>
            <a:ext uri="{FF2B5EF4-FFF2-40B4-BE49-F238E27FC236}">
              <a16:creationId xmlns:a16="http://schemas.microsoft.com/office/drawing/2014/main" id="{00000000-0008-0000-0D00-00005A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572" t="76189" r="44287" b="11015"/>
        <a:stretch/>
      </xdr:blipFill>
      <xdr:spPr>
        <a:xfrm>
          <a:off x="99093539" y="41353263"/>
          <a:ext cx="1381798" cy="1368380"/>
        </a:xfrm>
        <a:prstGeom prst="rect">
          <a:avLst/>
        </a:prstGeom>
      </xdr:spPr>
    </xdr:pic>
    <xdr:clientData/>
  </xdr:oneCellAnchor>
  <xdr:oneCellAnchor>
    <xdr:from>
      <xdr:col>69</xdr:col>
      <xdr:colOff>33539</xdr:colOff>
      <xdr:row>163</xdr:row>
      <xdr:rowOff>87207</xdr:rowOff>
    </xdr:from>
    <xdr:ext cx="1381798" cy="1368380"/>
    <xdr:pic>
      <xdr:nvPicPr>
        <xdr:cNvPr id="347" name="Grafik 346">
          <a:extLst>
            <a:ext uri="{FF2B5EF4-FFF2-40B4-BE49-F238E27FC236}">
              <a16:creationId xmlns:a16="http://schemas.microsoft.com/office/drawing/2014/main" id="{00000000-0008-0000-0D00-00005B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7076" t="76314" r="53783" b="10890"/>
        <a:stretch/>
      </xdr:blipFill>
      <xdr:spPr>
        <a:xfrm>
          <a:off x="99093539" y="41353263"/>
          <a:ext cx="1381798" cy="1368380"/>
        </a:xfrm>
        <a:prstGeom prst="rect">
          <a:avLst/>
        </a:prstGeom>
      </xdr:spPr>
    </xdr:pic>
    <xdr:clientData/>
  </xdr:oneCellAnchor>
  <xdr:oneCellAnchor>
    <xdr:from>
      <xdr:col>67</xdr:col>
      <xdr:colOff>33539</xdr:colOff>
      <xdr:row>163</xdr:row>
      <xdr:rowOff>87207</xdr:rowOff>
    </xdr:from>
    <xdr:ext cx="1381798" cy="1368380"/>
    <xdr:pic>
      <xdr:nvPicPr>
        <xdr:cNvPr id="348" name="Grafik 347">
          <a:extLst>
            <a:ext uri="{FF2B5EF4-FFF2-40B4-BE49-F238E27FC236}">
              <a16:creationId xmlns:a16="http://schemas.microsoft.com/office/drawing/2014/main" id="{00000000-0008-0000-0D00-00005C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7358" t="76251" r="63501" b="10953"/>
        <a:stretch/>
      </xdr:blipFill>
      <xdr:spPr>
        <a:xfrm>
          <a:off x="96155546" y="41353263"/>
          <a:ext cx="1381798" cy="1368380"/>
        </a:xfrm>
        <a:prstGeom prst="rect">
          <a:avLst/>
        </a:prstGeom>
      </xdr:spPr>
    </xdr:pic>
    <xdr:clientData/>
  </xdr:oneCellAnchor>
  <xdr:oneCellAnchor>
    <xdr:from>
      <xdr:col>65</xdr:col>
      <xdr:colOff>33539</xdr:colOff>
      <xdr:row>163</xdr:row>
      <xdr:rowOff>87207</xdr:rowOff>
    </xdr:from>
    <xdr:ext cx="1381798" cy="1368380"/>
    <xdr:pic>
      <xdr:nvPicPr>
        <xdr:cNvPr id="349" name="Grafik 348">
          <a:extLst>
            <a:ext uri="{FF2B5EF4-FFF2-40B4-BE49-F238E27FC236}">
              <a16:creationId xmlns:a16="http://schemas.microsoft.com/office/drawing/2014/main" id="{00000000-0008-0000-0D00-00005D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7358" t="76251" r="63501" b="10953"/>
        <a:stretch/>
      </xdr:blipFill>
      <xdr:spPr>
        <a:xfrm>
          <a:off x="93217553" y="41353263"/>
          <a:ext cx="1381798" cy="1368380"/>
        </a:xfrm>
        <a:prstGeom prst="rect">
          <a:avLst/>
        </a:prstGeom>
      </xdr:spPr>
    </xdr:pic>
    <xdr:clientData/>
  </xdr:oneCellAnchor>
  <xdr:oneCellAnchor>
    <xdr:from>
      <xdr:col>69</xdr:col>
      <xdr:colOff>60370</xdr:colOff>
      <xdr:row>136</xdr:row>
      <xdr:rowOff>100611</xdr:rowOff>
    </xdr:from>
    <xdr:ext cx="858592" cy="1039702"/>
    <xdr:pic>
      <xdr:nvPicPr>
        <xdr:cNvPr id="351" name="Grafik 350">
          <a:extLst>
            <a:ext uri="{FF2B5EF4-FFF2-40B4-BE49-F238E27FC236}">
              <a16:creationId xmlns:a16="http://schemas.microsoft.com/office/drawing/2014/main" id="{00000000-0008-0000-0D00-00005F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558" t="17098" r="37763" b="73179"/>
        <a:stretch/>
      </xdr:blipFill>
      <xdr:spPr>
        <a:xfrm>
          <a:off x="102058363" y="34826615"/>
          <a:ext cx="858592" cy="1039702"/>
        </a:xfrm>
        <a:prstGeom prst="rect">
          <a:avLst/>
        </a:prstGeom>
      </xdr:spPr>
    </xdr:pic>
    <xdr:clientData/>
  </xdr:oneCellAnchor>
  <xdr:oneCellAnchor>
    <xdr:from>
      <xdr:col>69</xdr:col>
      <xdr:colOff>53662</xdr:colOff>
      <xdr:row>141</xdr:row>
      <xdr:rowOff>965929</xdr:rowOff>
    </xdr:from>
    <xdr:ext cx="858592" cy="1133608"/>
    <xdr:pic>
      <xdr:nvPicPr>
        <xdr:cNvPr id="352" name="Grafik 351">
          <a:extLst>
            <a:ext uri="{FF2B5EF4-FFF2-40B4-BE49-F238E27FC236}">
              <a16:creationId xmlns:a16="http://schemas.microsoft.com/office/drawing/2014/main" id="{00000000-0008-0000-0D00-000060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7259" t="28640" r="57062" b="60759"/>
        <a:stretch/>
      </xdr:blipFill>
      <xdr:spPr>
        <a:xfrm>
          <a:off x="102051655" y="36631017"/>
          <a:ext cx="858592" cy="1133608"/>
        </a:xfrm>
        <a:prstGeom prst="rect">
          <a:avLst/>
        </a:prstGeom>
      </xdr:spPr>
    </xdr:pic>
    <xdr:clientData/>
  </xdr:oneCellAnchor>
  <xdr:oneCellAnchor>
    <xdr:from>
      <xdr:col>71</xdr:col>
      <xdr:colOff>73787</xdr:colOff>
      <xdr:row>136</xdr:row>
      <xdr:rowOff>13416</xdr:rowOff>
    </xdr:from>
    <xdr:ext cx="1328134" cy="2173310"/>
    <xdr:pic>
      <xdr:nvPicPr>
        <xdr:cNvPr id="353" name="Grafik 352">
          <a:extLst>
            <a:ext uri="{FF2B5EF4-FFF2-40B4-BE49-F238E27FC236}">
              <a16:creationId xmlns:a16="http://schemas.microsoft.com/office/drawing/2014/main" id="{00000000-0008-0000-0D00-000061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972" t="6623" r="44242" b="73053"/>
        <a:stretch/>
      </xdr:blipFill>
      <xdr:spPr>
        <a:xfrm>
          <a:off x="105009773" y="34739420"/>
          <a:ext cx="1328134" cy="2173310"/>
        </a:xfrm>
        <a:prstGeom prst="rect">
          <a:avLst/>
        </a:prstGeom>
      </xdr:spPr>
    </xdr:pic>
    <xdr:clientData/>
  </xdr:oneCellAnchor>
  <xdr:oneCellAnchor>
    <xdr:from>
      <xdr:col>71</xdr:col>
      <xdr:colOff>67077</xdr:colOff>
      <xdr:row>142</xdr:row>
      <xdr:rowOff>67077</xdr:rowOff>
    </xdr:from>
    <xdr:ext cx="1328134" cy="831761"/>
    <xdr:pic>
      <xdr:nvPicPr>
        <xdr:cNvPr id="354" name="Grafik 353">
          <a:extLst>
            <a:ext uri="{FF2B5EF4-FFF2-40B4-BE49-F238E27FC236}">
              <a16:creationId xmlns:a16="http://schemas.microsoft.com/office/drawing/2014/main" id="{00000000-0008-0000-0D00-000062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795" t="31903" r="44419" b="60319"/>
        <a:stretch/>
      </xdr:blipFill>
      <xdr:spPr>
        <a:xfrm>
          <a:off x="99127077" y="36999929"/>
          <a:ext cx="1328134" cy="831761"/>
        </a:xfrm>
        <a:prstGeom prst="rect">
          <a:avLst/>
        </a:prstGeom>
      </xdr:spPr>
    </xdr:pic>
    <xdr:clientData/>
  </xdr:oneCellAnchor>
  <xdr:oneCellAnchor>
    <xdr:from>
      <xdr:col>67</xdr:col>
      <xdr:colOff>100616</xdr:colOff>
      <xdr:row>136</xdr:row>
      <xdr:rowOff>120738</xdr:rowOff>
    </xdr:from>
    <xdr:ext cx="952499" cy="1059823"/>
    <xdr:pic>
      <xdr:nvPicPr>
        <xdr:cNvPr id="355" name="Grafik 354">
          <a:extLst>
            <a:ext uri="{FF2B5EF4-FFF2-40B4-BE49-F238E27FC236}">
              <a16:creationId xmlns:a16="http://schemas.microsoft.com/office/drawing/2014/main" id="{00000000-0008-0000-0D00-00006301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601" t="17036" r="37098" b="73053"/>
        <a:stretch/>
      </xdr:blipFill>
      <xdr:spPr>
        <a:xfrm>
          <a:off x="93284630" y="34846742"/>
          <a:ext cx="952499" cy="1059823"/>
        </a:xfrm>
        <a:prstGeom prst="rect">
          <a:avLst/>
        </a:prstGeom>
      </xdr:spPr>
    </xdr:pic>
    <xdr:clientData/>
  </xdr:oneCellAnchor>
  <xdr:oneCellAnchor>
    <xdr:from>
      <xdr:col>51</xdr:col>
      <xdr:colOff>51837</xdr:colOff>
      <xdr:row>44</xdr:row>
      <xdr:rowOff>25921</xdr:rowOff>
    </xdr:from>
    <xdr:ext cx="1159848" cy="933059"/>
    <xdr:pic>
      <xdr:nvPicPr>
        <xdr:cNvPr id="269" name="Grafik 268">
          <a:extLst>
            <a:ext uri="{FF2B5EF4-FFF2-40B4-BE49-F238E27FC236}">
              <a16:creationId xmlns:a16="http://schemas.microsoft.com/office/drawing/2014/main" id="{00000000-0008-0000-0D00-00000D01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85" t="2093" r="91775" b="88879"/>
        <a:stretch/>
      </xdr:blipFill>
      <xdr:spPr>
        <a:xfrm>
          <a:off x="74262602" y="11838217"/>
          <a:ext cx="1159848" cy="933059"/>
        </a:xfrm>
        <a:prstGeom prst="rect">
          <a:avLst/>
        </a:prstGeom>
      </xdr:spPr>
    </xdr:pic>
    <xdr:clientData/>
  </xdr:oneCellAnchor>
  <xdr:twoCellAnchor editAs="oneCell">
    <xdr:from>
      <xdr:col>3</xdr:col>
      <xdr:colOff>32399</xdr:colOff>
      <xdr:row>88</xdr:row>
      <xdr:rowOff>25908</xdr:rowOff>
    </xdr:from>
    <xdr:to>
      <xdr:col>3</xdr:col>
      <xdr:colOff>1191117</xdr:colOff>
      <xdr:row>91</xdr:row>
      <xdr:rowOff>182656</xdr:rowOff>
    </xdr:to>
    <xdr:pic>
      <xdr:nvPicPr>
        <xdr:cNvPr id="3" name="Grafik 2">
          <a:extLst>
            <a:ext uri="{FF2B5EF4-FFF2-40B4-BE49-F238E27FC236}">
              <a16:creationId xmlns:a16="http://schemas.microsoft.com/office/drawing/2014/main" id="{00000000-0008-0000-0D00-00000300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t="2550" r="92334" b="90531"/>
        <a:stretch/>
      </xdr:blipFill>
      <xdr:spPr>
        <a:xfrm>
          <a:off x="4159899" y="23462592"/>
          <a:ext cx="1158718" cy="739911"/>
        </a:xfrm>
        <a:prstGeom prst="rect">
          <a:avLst/>
        </a:prstGeom>
      </xdr:spPr>
    </xdr:pic>
    <xdr:clientData/>
  </xdr:twoCellAnchor>
  <xdr:oneCellAnchor>
    <xdr:from>
      <xdr:col>13</xdr:col>
      <xdr:colOff>58391</xdr:colOff>
      <xdr:row>93</xdr:row>
      <xdr:rowOff>26738</xdr:rowOff>
    </xdr:from>
    <xdr:ext cx="1264260" cy="2125307"/>
    <xdr:pic>
      <xdr:nvPicPr>
        <xdr:cNvPr id="294" name="Grafik 293">
          <a:extLst>
            <a:ext uri="{FF2B5EF4-FFF2-40B4-BE49-F238E27FC236}">
              <a16:creationId xmlns:a16="http://schemas.microsoft.com/office/drawing/2014/main" id="{00000000-0008-0000-0D00-000026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5089" t="13638" r="6547" b="66488"/>
        <a:stretch/>
      </xdr:blipFill>
      <xdr:spPr>
        <a:xfrm>
          <a:off x="19743391" y="24660359"/>
          <a:ext cx="1264260" cy="2125307"/>
        </a:xfrm>
        <a:prstGeom prst="rect">
          <a:avLst/>
        </a:prstGeom>
      </xdr:spPr>
    </xdr:pic>
    <xdr:clientData/>
  </xdr:oneCellAnchor>
  <xdr:oneCellAnchor>
    <xdr:from>
      <xdr:col>13</xdr:col>
      <xdr:colOff>1127449</xdr:colOff>
      <xdr:row>93</xdr:row>
      <xdr:rowOff>26738</xdr:rowOff>
    </xdr:from>
    <xdr:ext cx="1075612" cy="628519"/>
    <xdr:pic>
      <xdr:nvPicPr>
        <xdr:cNvPr id="309" name="Grafik 308">
          <a:extLst>
            <a:ext uri="{FF2B5EF4-FFF2-40B4-BE49-F238E27FC236}">
              <a16:creationId xmlns:a16="http://schemas.microsoft.com/office/drawing/2014/main" id="{00000000-0008-0000-0D00-000035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5007" t="7821" r="7876" b="86301"/>
        <a:stretch/>
      </xdr:blipFill>
      <xdr:spPr>
        <a:xfrm>
          <a:off x="20812449" y="24660359"/>
          <a:ext cx="1075612" cy="628519"/>
        </a:xfrm>
        <a:prstGeom prst="rect">
          <a:avLst/>
        </a:prstGeom>
      </xdr:spPr>
    </xdr:pic>
    <xdr:clientData/>
  </xdr:oneCellAnchor>
  <xdr:oneCellAnchor>
    <xdr:from>
      <xdr:col>11</xdr:col>
      <xdr:colOff>27552</xdr:colOff>
      <xdr:row>93</xdr:row>
      <xdr:rowOff>26738</xdr:rowOff>
    </xdr:from>
    <xdr:ext cx="1302398" cy="2125307"/>
    <xdr:pic>
      <xdr:nvPicPr>
        <xdr:cNvPr id="316" name="Grafik 315">
          <a:extLst>
            <a:ext uri="{FF2B5EF4-FFF2-40B4-BE49-F238E27FC236}">
              <a16:creationId xmlns:a16="http://schemas.microsoft.com/office/drawing/2014/main" id="{00000000-0008-0000-0D00-00003C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71761" t="7094" r="19622" b="73032"/>
        <a:stretch/>
      </xdr:blipFill>
      <xdr:spPr>
        <a:xfrm>
          <a:off x="16610541" y="24660359"/>
          <a:ext cx="1302398" cy="2125307"/>
        </a:xfrm>
        <a:prstGeom prst="rect">
          <a:avLst/>
        </a:prstGeom>
      </xdr:spPr>
    </xdr:pic>
    <xdr:clientData/>
  </xdr:oneCellAnchor>
  <xdr:oneCellAnchor>
    <xdr:from>
      <xdr:col>13</xdr:col>
      <xdr:colOff>25919</xdr:colOff>
      <xdr:row>99</xdr:row>
      <xdr:rowOff>64796</xdr:rowOff>
    </xdr:from>
    <xdr:ext cx="1302398" cy="829387"/>
    <xdr:pic>
      <xdr:nvPicPr>
        <xdr:cNvPr id="339" name="Grafik 338">
          <a:extLst>
            <a:ext uri="{FF2B5EF4-FFF2-40B4-BE49-F238E27FC236}">
              <a16:creationId xmlns:a16="http://schemas.microsoft.com/office/drawing/2014/main" id="{00000000-0008-0000-0D00-000053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4879" t="38723" r="6504" b="53521"/>
        <a:stretch/>
      </xdr:blipFill>
      <xdr:spPr>
        <a:xfrm>
          <a:off x="19678521" y="26644082"/>
          <a:ext cx="1302398" cy="829387"/>
        </a:xfrm>
        <a:prstGeom prst="rect">
          <a:avLst/>
        </a:prstGeom>
      </xdr:spPr>
    </xdr:pic>
    <xdr:clientData/>
  </xdr:oneCellAnchor>
  <xdr:oneCellAnchor>
    <xdr:from>
      <xdr:col>11</xdr:col>
      <xdr:colOff>25919</xdr:colOff>
      <xdr:row>99</xdr:row>
      <xdr:rowOff>64796</xdr:rowOff>
    </xdr:from>
    <xdr:ext cx="1302398" cy="829387"/>
    <xdr:pic>
      <xdr:nvPicPr>
        <xdr:cNvPr id="350" name="Grafik 349">
          <a:extLst>
            <a:ext uri="{FF2B5EF4-FFF2-40B4-BE49-F238E27FC236}">
              <a16:creationId xmlns:a16="http://schemas.microsoft.com/office/drawing/2014/main" id="{00000000-0008-0000-0D00-00005E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4879" t="38723" r="6504" b="53521"/>
        <a:stretch/>
      </xdr:blipFill>
      <xdr:spPr>
        <a:xfrm>
          <a:off x="19678521" y="26644082"/>
          <a:ext cx="1302398" cy="829387"/>
        </a:xfrm>
        <a:prstGeom prst="rect">
          <a:avLst/>
        </a:prstGeom>
      </xdr:spPr>
    </xdr:pic>
    <xdr:clientData/>
  </xdr:oneCellAnchor>
  <xdr:oneCellAnchor>
    <xdr:from>
      <xdr:col>13</xdr:col>
      <xdr:colOff>25919</xdr:colOff>
      <xdr:row>105</xdr:row>
      <xdr:rowOff>19439</xdr:rowOff>
    </xdr:from>
    <xdr:ext cx="1302398" cy="557245"/>
    <xdr:pic>
      <xdr:nvPicPr>
        <xdr:cNvPr id="356" name="Grafik 355">
          <a:extLst>
            <a:ext uri="{FF2B5EF4-FFF2-40B4-BE49-F238E27FC236}">
              <a16:creationId xmlns:a16="http://schemas.microsoft.com/office/drawing/2014/main" id="{00000000-0008-0000-0D00-000064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4750" t="52538" r="6633" b="42251"/>
        <a:stretch/>
      </xdr:blipFill>
      <xdr:spPr>
        <a:xfrm>
          <a:off x="19678521" y="27784490"/>
          <a:ext cx="1302398" cy="557245"/>
        </a:xfrm>
        <a:prstGeom prst="rect">
          <a:avLst/>
        </a:prstGeom>
      </xdr:spPr>
    </xdr:pic>
    <xdr:clientData/>
  </xdr:oneCellAnchor>
  <xdr:oneCellAnchor>
    <xdr:from>
      <xdr:col>13</xdr:col>
      <xdr:colOff>25919</xdr:colOff>
      <xdr:row>110</xdr:row>
      <xdr:rowOff>19439</xdr:rowOff>
    </xdr:from>
    <xdr:ext cx="1302398" cy="557245"/>
    <xdr:pic>
      <xdr:nvPicPr>
        <xdr:cNvPr id="357" name="Grafik 356">
          <a:extLst>
            <a:ext uri="{FF2B5EF4-FFF2-40B4-BE49-F238E27FC236}">
              <a16:creationId xmlns:a16="http://schemas.microsoft.com/office/drawing/2014/main" id="{00000000-0008-0000-0D00-000065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4750" t="58234" r="6633" b="36555"/>
        <a:stretch/>
      </xdr:blipFill>
      <xdr:spPr>
        <a:xfrm>
          <a:off x="19678521" y="27784490"/>
          <a:ext cx="1302398" cy="557245"/>
        </a:xfrm>
        <a:prstGeom prst="rect">
          <a:avLst/>
        </a:prstGeom>
      </xdr:spPr>
    </xdr:pic>
    <xdr:clientData/>
  </xdr:oneCellAnchor>
  <xdr:oneCellAnchor>
    <xdr:from>
      <xdr:col>13</xdr:col>
      <xdr:colOff>25919</xdr:colOff>
      <xdr:row>115</xdr:row>
      <xdr:rowOff>19439</xdr:rowOff>
    </xdr:from>
    <xdr:ext cx="1302398" cy="557245"/>
    <xdr:pic>
      <xdr:nvPicPr>
        <xdr:cNvPr id="358" name="Grafik 357">
          <a:extLst>
            <a:ext uri="{FF2B5EF4-FFF2-40B4-BE49-F238E27FC236}">
              <a16:creationId xmlns:a16="http://schemas.microsoft.com/office/drawing/2014/main" id="{00000000-0008-0000-0D00-000066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4836" t="66232" r="6547" b="28557"/>
        <a:stretch/>
      </xdr:blipFill>
      <xdr:spPr>
        <a:xfrm>
          <a:off x="19678521" y="28756429"/>
          <a:ext cx="1302398" cy="557245"/>
        </a:xfrm>
        <a:prstGeom prst="rect">
          <a:avLst/>
        </a:prstGeom>
      </xdr:spPr>
    </xdr:pic>
    <xdr:clientData/>
  </xdr:oneCellAnchor>
  <xdr:oneCellAnchor>
    <xdr:from>
      <xdr:col>13</xdr:col>
      <xdr:colOff>34859</xdr:colOff>
      <xdr:row>119</xdr:row>
      <xdr:rowOff>129574</xdr:rowOff>
    </xdr:from>
    <xdr:ext cx="803469" cy="1879082"/>
    <xdr:pic>
      <xdr:nvPicPr>
        <xdr:cNvPr id="359" name="Grafik 358">
          <a:extLst>
            <a:ext uri="{FF2B5EF4-FFF2-40B4-BE49-F238E27FC236}">
              <a16:creationId xmlns:a16="http://schemas.microsoft.com/office/drawing/2014/main" id="{00000000-0008-0000-0D00-000067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84493" t="75080" r="10191" b="7348"/>
        <a:stretch/>
      </xdr:blipFill>
      <xdr:spPr>
        <a:xfrm>
          <a:off x="19719859" y="31200781"/>
          <a:ext cx="803469" cy="1879082"/>
        </a:xfrm>
        <a:prstGeom prst="rect">
          <a:avLst/>
        </a:prstGeom>
      </xdr:spPr>
    </xdr:pic>
    <xdr:clientData/>
  </xdr:oneCellAnchor>
  <xdr:oneCellAnchor>
    <xdr:from>
      <xdr:col>11</xdr:col>
      <xdr:colOff>33221</xdr:colOff>
      <xdr:row>119</xdr:row>
      <xdr:rowOff>129574</xdr:rowOff>
    </xdr:from>
    <xdr:ext cx="803469" cy="1879082"/>
    <xdr:pic>
      <xdr:nvPicPr>
        <xdr:cNvPr id="360" name="Grafik 359">
          <a:extLst>
            <a:ext uri="{FF2B5EF4-FFF2-40B4-BE49-F238E27FC236}">
              <a16:creationId xmlns:a16="http://schemas.microsoft.com/office/drawing/2014/main" id="{00000000-0008-0000-0D00-000068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71632" t="75201" r="23052" b="7227"/>
        <a:stretch/>
      </xdr:blipFill>
      <xdr:spPr>
        <a:xfrm>
          <a:off x="16616210" y="31200781"/>
          <a:ext cx="803469" cy="1879082"/>
        </a:xfrm>
        <a:prstGeom prst="rect">
          <a:avLst/>
        </a:prstGeom>
      </xdr:spPr>
    </xdr:pic>
    <xdr:clientData/>
  </xdr:oneCellAnchor>
  <xdr:oneCellAnchor>
    <xdr:from>
      <xdr:col>11</xdr:col>
      <xdr:colOff>25919</xdr:colOff>
      <xdr:row>105</xdr:row>
      <xdr:rowOff>19439</xdr:rowOff>
    </xdr:from>
    <xdr:ext cx="1302398" cy="557245"/>
    <xdr:pic>
      <xdr:nvPicPr>
        <xdr:cNvPr id="361" name="Grafik 360">
          <a:extLst>
            <a:ext uri="{FF2B5EF4-FFF2-40B4-BE49-F238E27FC236}">
              <a16:creationId xmlns:a16="http://schemas.microsoft.com/office/drawing/2014/main" id="{00000000-0008-0000-0D00-000069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71975" t="52659" r="19408" b="42130"/>
        <a:stretch/>
      </xdr:blipFill>
      <xdr:spPr>
        <a:xfrm>
          <a:off x="19678521" y="27784490"/>
          <a:ext cx="1302398" cy="557245"/>
        </a:xfrm>
        <a:prstGeom prst="rect">
          <a:avLst/>
        </a:prstGeom>
      </xdr:spPr>
    </xdr:pic>
    <xdr:clientData/>
  </xdr:oneCellAnchor>
  <xdr:oneCellAnchor>
    <xdr:from>
      <xdr:col>11</xdr:col>
      <xdr:colOff>25919</xdr:colOff>
      <xdr:row>110</xdr:row>
      <xdr:rowOff>19439</xdr:rowOff>
    </xdr:from>
    <xdr:ext cx="1302398" cy="557245"/>
    <xdr:pic>
      <xdr:nvPicPr>
        <xdr:cNvPr id="362" name="Grafik 361">
          <a:extLst>
            <a:ext uri="{FF2B5EF4-FFF2-40B4-BE49-F238E27FC236}">
              <a16:creationId xmlns:a16="http://schemas.microsoft.com/office/drawing/2014/main" id="{00000000-0008-0000-0D00-00006A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71975" t="58173" r="19408" b="36616"/>
        <a:stretch/>
      </xdr:blipFill>
      <xdr:spPr>
        <a:xfrm>
          <a:off x="19678521" y="28756429"/>
          <a:ext cx="1302398" cy="557245"/>
        </a:xfrm>
        <a:prstGeom prst="rect">
          <a:avLst/>
        </a:prstGeom>
      </xdr:spPr>
    </xdr:pic>
    <xdr:clientData/>
  </xdr:oneCellAnchor>
  <xdr:oneCellAnchor>
    <xdr:from>
      <xdr:col>11</xdr:col>
      <xdr:colOff>25919</xdr:colOff>
      <xdr:row>115</xdr:row>
      <xdr:rowOff>19439</xdr:rowOff>
    </xdr:from>
    <xdr:ext cx="1302398" cy="557245"/>
    <xdr:pic>
      <xdr:nvPicPr>
        <xdr:cNvPr id="363" name="Grafik 362">
          <a:extLst>
            <a:ext uri="{FF2B5EF4-FFF2-40B4-BE49-F238E27FC236}">
              <a16:creationId xmlns:a16="http://schemas.microsoft.com/office/drawing/2014/main" id="{00000000-0008-0000-0D00-00006B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71932" t="66171" r="19451" b="28618"/>
        <a:stretch/>
      </xdr:blipFill>
      <xdr:spPr>
        <a:xfrm>
          <a:off x="19678521" y="29728368"/>
          <a:ext cx="1302398" cy="557245"/>
        </a:xfrm>
        <a:prstGeom prst="rect">
          <a:avLst/>
        </a:prstGeom>
      </xdr:spPr>
    </xdr:pic>
    <xdr:clientData/>
  </xdr:oneCellAnchor>
  <xdr:oneCellAnchor>
    <xdr:from>
      <xdr:col>9</xdr:col>
      <xdr:colOff>27552</xdr:colOff>
      <xdr:row>93</xdr:row>
      <xdr:rowOff>26738</xdr:rowOff>
    </xdr:from>
    <xdr:ext cx="1302398" cy="2125307"/>
    <xdr:pic>
      <xdr:nvPicPr>
        <xdr:cNvPr id="364" name="Grafik 363">
          <a:extLst>
            <a:ext uri="{FF2B5EF4-FFF2-40B4-BE49-F238E27FC236}">
              <a16:creationId xmlns:a16="http://schemas.microsoft.com/office/drawing/2014/main" id="{00000000-0008-0000-0D00-00006C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300" t="7094" r="30083" b="73032"/>
        <a:stretch/>
      </xdr:blipFill>
      <xdr:spPr>
        <a:xfrm>
          <a:off x="13486632" y="24660359"/>
          <a:ext cx="1302398" cy="2125307"/>
        </a:xfrm>
        <a:prstGeom prst="rect">
          <a:avLst/>
        </a:prstGeom>
      </xdr:spPr>
    </xdr:pic>
    <xdr:clientData/>
  </xdr:oneCellAnchor>
  <xdr:oneCellAnchor>
    <xdr:from>
      <xdr:col>9</xdr:col>
      <xdr:colOff>25919</xdr:colOff>
      <xdr:row>99</xdr:row>
      <xdr:rowOff>64796</xdr:rowOff>
    </xdr:from>
    <xdr:ext cx="1302398" cy="829387"/>
    <xdr:pic>
      <xdr:nvPicPr>
        <xdr:cNvPr id="365" name="Grafik 364">
          <a:extLst>
            <a:ext uri="{FF2B5EF4-FFF2-40B4-BE49-F238E27FC236}">
              <a16:creationId xmlns:a16="http://schemas.microsoft.com/office/drawing/2014/main" id="{00000000-0008-0000-0D00-00006D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300" t="38541" r="30083" b="53703"/>
        <a:stretch/>
      </xdr:blipFill>
      <xdr:spPr>
        <a:xfrm>
          <a:off x="16581276" y="26644082"/>
          <a:ext cx="1302398" cy="829387"/>
        </a:xfrm>
        <a:prstGeom prst="rect">
          <a:avLst/>
        </a:prstGeom>
      </xdr:spPr>
    </xdr:pic>
    <xdr:clientData/>
  </xdr:oneCellAnchor>
  <xdr:oneCellAnchor>
    <xdr:from>
      <xdr:col>7</xdr:col>
      <xdr:colOff>25919</xdr:colOff>
      <xdr:row>99</xdr:row>
      <xdr:rowOff>64796</xdr:rowOff>
    </xdr:from>
    <xdr:ext cx="1302398" cy="829387"/>
    <xdr:pic>
      <xdr:nvPicPr>
        <xdr:cNvPr id="366" name="Grafik 365">
          <a:extLst>
            <a:ext uri="{FF2B5EF4-FFF2-40B4-BE49-F238E27FC236}">
              <a16:creationId xmlns:a16="http://schemas.microsoft.com/office/drawing/2014/main" id="{00000000-0008-0000-0D00-00006E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300" t="38541" r="30083" b="53703"/>
        <a:stretch/>
      </xdr:blipFill>
      <xdr:spPr>
        <a:xfrm>
          <a:off x="13464592" y="26644082"/>
          <a:ext cx="1302398" cy="829387"/>
        </a:xfrm>
        <a:prstGeom prst="rect">
          <a:avLst/>
        </a:prstGeom>
      </xdr:spPr>
    </xdr:pic>
    <xdr:clientData/>
  </xdr:oneCellAnchor>
  <xdr:oneCellAnchor>
    <xdr:from>
      <xdr:col>9</xdr:col>
      <xdr:colOff>27560</xdr:colOff>
      <xdr:row>119</xdr:row>
      <xdr:rowOff>129574</xdr:rowOff>
    </xdr:from>
    <xdr:ext cx="803469" cy="1879082"/>
    <xdr:pic>
      <xdr:nvPicPr>
        <xdr:cNvPr id="368" name="Grafik 367">
          <a:extLst>
            <a:ext uri="{FF2B5EF4-FFF2-40B4-BE49-F238E27FC236}">
              <a16:creationId xmlns:a16="http://schemas.microsoft.com/office/drawing/2014/main" id="{00000000-0008-0000-0D00-000070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000" t="75080" r="33684" b="7348"/>
        <a:stretch/>
      </xdr:blipFill>
      <xdr:spPr>
        <a:xfrm>
          <a:off x="13486640" y="31164287"/>
          <a:ext cx="803469" cy="1879082"/>
        </a:xfrm>
        <a:prstGeom prst="rect">
          <a:avLst/>
        </a:prstGeom>
      </xdr:spPr>
    </xdr:pic>
    <xdr:clientData/>
  </xdr:oneCellAnchor>
  <xdr:oneCellAnchor>
    <xdr:from>
      <xdr:col>9</xdr:col>
      <xdr:colOff>25919</xdr:colOff>
      <xdr:row>105</xdr:row>
      <xdr:rowOff>19439</xdr:rowOff>
    </xdr:from>
    <xdr:ext cx="1302398" cy="557245"/>
    <xdr:pic>
      <xdr:nvPicPr>
        <xdr:cNvPr id="369" name="Grafik 368">
          <a:extLst>
            <a:ext uri="{FF2B5EF4-FFF2-40B4-BE49-F238E27FC236}">
              <a16:creationId xmlns:a16="http://schemas.microsoft.com/office/drawing/2014/main" id="{00000000-0008-0000-0D00-000071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172" t="52538" r="30211" b="42251"/>
        <a:stretch/>
      </xdr:blipFill>
      <xdr:spPr>
        <a:xfrm>
          <a:off x="16581276" y="27784490"/>
          <a:ext cx="1302398" cy="557245"/>
        </a:xfrm>
        <a:prstGeom prst="rect">
          <a:avLst/>
        </a:prstGeom>
      </xdr:spPr>
    </xdr:pic>
    <xdr:clientData/>
  </xdr:oneCellAnchor>
  <xdr:oneCellAnchor>
    <xdr:from>
      <xdr:col>9</xdr:col>
      <xdr:colOff>25919</xdr:colOff>
      <xdr:row>110</xdr:row>
      <xdr:rowOff>19439</xdr:rowOff>
    </xdr:from>
    <xdr:ext cx="1302398" cy="557245"/>
    <xdr:pic>
      <xdr:nvPicPr>
        <xdr:cNvPr id="370" name="Grafik 369">
          <a:extLst>
            <a:ext uri="{FF2B5EF4-FFF2-40B4-BE49-F238E27FC236}">
              <a16:creationId xmlns:a16="http://schemas.microsoft.com/office/drawing/2014/main" id="{00000000-0008-0000-0D00-000072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086" t="58112" r="30297" b="36677"/>
        <a:stretch/>
      </xdr:blipFill>
      <xdr:spPr>
        <a:xfrm>
          <a:off x="16581276" y="28756429"/>
          <a:ext cx="1302398" cy="557245"/>
        </a:xfrm>
        <a:prstGeom prst="rect">
          <a:avLst/>
        </a:prstGeom>
      </xdr:spPr>
    </xdr:pic>
    <xdr:clientData/>
  </xdr:oneCellAnchor>
  <xdr:oneCellAnchor>
    <xdr:from>
      <xdr:col>9</xdr:col>
      <xdr:colOff>25919</xdr:colOff>
      <xdr:row>115</xdr:row>
      <xdr:rowOff>19439</xdr:rowOff>
    </xdr:from>
    <xdr:ext cx="1302398" cy="557245"/>
    <xdr:pic>
      <xdr:nvPicPr>
        <xdr:cNvPr id="371" name="Grafik 370">
          <a:extLst>
            <a:ext uri="{FF2B5EF4-FFF2-40B4-BE49-F238E27FC236}">
              <a16:creationId xmlns:a16="http://schemas.microsoft.com/office/drawing/2014/main" id="{00000000-0008-0000-0D00-000073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61129" t="66171" r="30254" b="28618"/>
        <a:stretch/>
      </xdr:blipFill>
      <xdr:spPr>
        <a:xfrm>
          <a:off x="16581276" y="29728368"/>
          <a:ext cx="1302398" cy="557245"/>
        </a:xfrm>
        <a:prstGeom prst="rect">
          <a:avLst/>
        </a:prstGeom>
      </xdr:spPr>
    </xdr:pic>
    <xdr:clientData/>
  </xdr:oneCellAnchor>
  <xdr:oneCellAnchor>
    <xdr:from>
      <xdr:col>7</xdr:col>
      <xdr:colOff>27560</xdr:colOff>
      <xdr:row>119</xdr:row>
      <xdr:rowOff>129574</xdr:rowOff>
    </xdr:from>
    <xdr:ext cx="803469" cy="1879082"/>
    <xdr:pic>
      <xdr:nvPicPr>
        <xdr:cNvPr id="372" name="Grafik 371">
          <a:extLst>
            <a:ext uri="{FF2B5EF4-FFF2-40B4-BE49-F238E27FC236}">
              <a16:creationId xmlns:a16="http://schemas.microsoft.com/office/drawing/2014/main" id="{00000000-0008-0000-0D00-000074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50968" t="75141" r="43716" b="7287"/>
        <a:stretch/>
      </xdr:blipFill>
      <xdr:spPr>
        <a:xfrm>
          <a:off x="10384629" y="31200781"/>
          <a:ext cx="803469" cy="1879082"/>
        </a:xfrm>
        <a:prstGeom prst="rect">
          <a:avLst/>
        </a:prstGeom>
      </xdr:spPr>
    </xdr:pic>
    <xdr:clientData/>
  </xdr:oneCellAnchor>
  <xdr:oneCellAnchor>
    <xdr:from>
      <xdr:col>7</xdr:col>
      <xdr:colOff>25919</xdr:colOff>
      <xdr:row>105</xdr:row>
      <xdr:rowOff>19439</xdr:rowOff>
    </xdr:from>
    <xdr:ext cx="1302398" cy="557245"/>
    <xdr:pic>
      <xdr:nvPicPr>
        <xdr:cNvPr id="373" name="Grafik 372">
          <a:extLst>
            <a:ext uri="{FF2B5EF4-FFF2-40B4-BE49-F238E27FC236}">
              <a16:creationId xmlns:a16="http://schemas.microsoft.com/office/drawing/2014/main" id="{00000000-0008-0000-0D00-000075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50926" t="52538" r="40457" b="42251"/>
        <a:stretch/>
      </xdr:blipFill>
      <xdr:spPr>
        <a:xfrm>
          <a:off x="13464592" y="27784490"/>
          <a:ext cx="1302398" cy="557245"/>
        </a:xfrm>
        <a:prstGeom prst="rect">
          <a:avLst/>
        </a:prstGeom>
      </xdr:spPr>
    </xdr:pic>
    <xdr:clientData/>
  </xdr:oneCellAnchor>
  <xdr:oneCellAnchor>
    <xdr:from>
      <xdr:col>7</xdr:col>
      <xdr:colOff>25919</xdr:colOff>
      <xdr:row>110</xdr:row>
      <xdr:rowOff>6479</xdr:rowOff>
    </xdr:from>
    <xdr:ext cx="1302398" cy="557245"/>
    <xdr:pic>
      <xdr:nvPicPr>
        <xdr:cNvPr id="374" name="Grafik 373">
          <a:extLst>
            <a:ext uri="{FF2B5EF4-FFF2-40B4-BE49-F238E27FC236}">
              <a16:creationId xmlns:a16="http://schemas.microsoft.com/office/drawing/2014/main" id="{00000000-0008-0000-0D00-000076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50969" t="57991" r="40414" b="36798"/>
        <a:stretch/>
      </xdr:blipFill>
      <xdr:spPr>
        <a:xfrm>
          <a:off x="10367348" y="28743469"/>
          <a:ext cx="1302398" cy="557245"/>
        </a:xfrm>
        <a:prstGeom prst="rect">
          <a:avLst/>
        </a:prstGeom>
      </xdr:spPr>
    </xdr:pic>
    <xdr:clientData/>
  </xdr:oneCellAnchor>
  <xdr:oneCellAnchor>
    <xdr:from>
      <xdr:col>7</xdr:col>
      <xdr:colOff>38882</xdr:colOff>
      <xdr:row>115</xdr:row>
      <xdr:rowOff>19439</xdr:rowOff>
    </xdr:from>
    <xdr:ext cx="874744" cy="557245"/>
    <xdr:pic>
      <xdr:nvPicPr>
        <xdr:cNvPr id="375" name="Grafik 374">
          <a:extLst>
            <a:ext uri="{FF2B5EF4-FFF2-40B4-BE49-F238E27FC236}">
              <a16:creationId xmlns:a16="http://schemas.microsoft.com/office/drawing/2014/main" id="{00000000-0008-0000-0D00-000077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51355" t="66050" r="42858" b="28739"/>
        <a:stretch/>
      </xdr:blipFill>
      <xdr:spPr>
        <a:xfrm>
          <a:off x="10380311" y="29728368"/>
          <a:ext cx="874744" cy="557245"/>
        </a:xfrm>
        <a:prstGeom prst="rect">
          <a:avLst/>
        </a:prstGeom>
      </xdr:spPr>
    </xdr:pic>
    <xdr:clientData/>
  </xdr:oneCellAnchor>
  <xdr:oneCellAnchor>
    <xdr:from>
      <xdr:col>7</xdr:col>
      <xdr:colOff>12954</xdr:colOff>
      <xdr:row>94</xdr:row>
      <xdr:rowOff>71276</xdr:rowOff>
    </xdr:from>
    <xdr:ext cx="1302398" cy="1872602"/>
    <xdr:pic>
      <xdr:nvPicPr>
        <xdr:cNvPr id="376" name="Grafik 375">
          <a:extLst>
            <a:ext uri="{FF2B5EF4-FFF2-40B4-BE49-F238E27FC236}">
              <a16:creationId xmlns:a16="http://schemas.microsoft.com/office/drawing/2014/main" id="{00000000-0008-0000-0D00-000078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51054" t="9396" r="40329" b="73093"/>
        <a:stretch/>
      </xdr:blipFill>
      <xdr:spPr>
        <a:xfrm>
          <a:off x="10354383" y="24674286"/>
          <a:ext cx="1302398" cy="1872602"/>
        </a:xfrm>
        <a:prstGeom prst="rect">
          <a:avLst/>
        </a:prstGeom>
      </xdr:spPr>
    </xdr:pic>
    <xdr:clientData/>
  </xdr:oneCellAnchor>
  <xdr:oneCellAnchor>
    <xdr:from>
      <xdr:col>5</xdr:col>
      <xdr:colOff>84231</xdr:colOff>
      <xdr:row>99</xdr:row>
      <xdr:rowOff>64796</xdr:rowOff>
    </xdr:from>
    <xdr:ext cx="1205205" cy="829387"/>
    <xdr:pic>
      <xdr:nvPicPr>
        <xdr:cNvPr id="377" name="Grafik 376">
          <a:extLst>
            <a:ext uri="{FF2B5EF4-FFF2-40B4-BE49-F238E27FC236}">
              <a16:creationId xmlns:a16="http://schemas.microsoft.com/office/drawing/2014/main" id="{00000000-0008-0000-0D00-000079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899" t="38299" r="51127" b="53945"/>
        <a:stretch/>
      </xdr:blipFill>
      <xdr:spPr>
        <a:xfrm>
          <a:off x="7328415" y="26644082"/>
          <a:ext cx="1205205" cy="829387"/>
        </a:xfrm>
        <a:prstGeom prst="rect">
          <a:avLst/>
        </a:prstGeom>
      </xdr:spPr>
    </xdr:pic>
    <xdr:clientData/>
  </xdr:oneCellAnchor>
  <xdr:oneCellAnchor>
    <xdr:from>
      <xdr:col>5</xdr:col>
      <xdr:colOff>27560</xdr:colOff>
      <xdr:row>119</xdr:row>
      <xdr:rowOff>131379</xdr:rowOff>
    </xdr:from>
    <xdr:ext cx="803469" cy="1855380"/>
    <xdr:pic>
      <xdr:nvPicPr>
        <xdr:cNvPr id="378" name="Grafik 377">
          <a:extLst>
            <a:ext uri="{FF2B5EF4-FFF2-40B4-BE49-F238E27FC236}">
              <a16:creationId xmlns:a16="http://schemas.microsoft.com/office/drawing/2014/main" id="{00000000-0008-0000-0D00-00007A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550" t="75180" r="54134" b="7469"/>
        <a:stretch/>
      </xdr:blipFill>
      <xdr:spPr>
        <a:xfrm>
          <a:off x="7282617" y="31202586"/>
          <a:ext cx="803469" cy="1855380"/>
        </a:xfrm>
        <a:prstGeom prst="rect">
          <a:avLst/>
        </a:prstGeom>
      </xdr:spPr>
    </xdr:pic>
    <xdr:clientData/>
  </xdr:oneCellAnchor>
  <xdr:oneCellAnchor>
    <xdr:from>
      <xdr:col>5</xdr:col>
      <xdr:colOff>38873</xdr:colOff>
      <xdr:row>105</xdr:row>
      <xdr:rowOff>19439</xdr:rowOff>
    </xdr:from>
    <xdr:ext cx="1231123" cy="557245"/>
    <xdr:pic>
      <xdr:nvPicPr>
        <xdr:cNvPr id="379" name="Grafik 378">
          <a:extLst>
            <a:ext uri="{FF2B5EF4-FFF2-40B4-BE49-F238E27FC236}">
              <a16:creationId xmlns:a16="http://schemas.microsoft.com/office/drawing/2014/main" id="{00000000-0008-0000-0D00-00007B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595" t="52599" r="51260" b="42190"/>
        <a:stretch/>
      </xdr:blipFill>
      <xdr:spPr>
        <a:xfrm>
          <a:off x="7283057" y="27784490"/>
          <a:ext cx="1231123" cy="557245"/>
        </a:xfrm>
        <a:prstGeom prst="rect">
          <a:avLst/>
        </a:prstGeom>
      </xdr:spPr>
    </xdr:pic>
    <xdr:clientData/>
  </xdr:oneCellAnchor>
  <xdr:oneCellAnchor>
    <xdr:from>
      <xdr:col>5</xdr:col>
      <xdr:colOff>64791</xdr:colOff>
      <xdr:row>110</xdr:row>
      <xdr:rowOff>6479</xdr:rowOff>
    </xdr:from>
    <xdr:ext cx="1192246" cy="557245"/>
    <xdr:pic>
      <xdr:nvPicPr>
        <xdr:cNvPr id="380" name="Grafik 379">
          <a:extLst>
            <a:ext uri="{FF2B5EF4-FFF2-40B4-BE49-F238E27FC236}">
              <a16:creationId xmlns:a16="http://schemas.microsoft.com/office/drawing/2014/main" id="{00000000-0008-0000-0D00-00007C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936" t="58233" r="51175" b="36556"/>
        <a:stretch/>
      </xdr:blipFill>
      <xdr:spPr>
        <a:xfrm>
          <a:off x="7308975" y="28743469"/>
          <a:ext cx="1192246" cy="557245"/>
        </a:xfrm>
        <a:prstGeom prst="rect">
          <a:avLst/>
        </a:prstGeom>
      </xdr:spPr>
    </xdr:pic>
    <xdr:clientData/>
  </xdr:oneCellAnchor>
  <xdr:oneCellAnchor>
    <xdr:from>
      <xdr:col>5</xdr:col>
      <xdr:colOff>38882</xdr:colOff>
      <xdr:row>115</xdr:row>
      <xdr:rowOff>32399</xdr:rowOff>
    </xdr:from>
    <xdr:ext cx="874744" cy="557245"/>
    <xdr:pic>
      <xdr:nvPicPr>
        <xdr:cNvPr id="381" name="Grafik 380">
          <a:extLst>
            <a:ext uri="{FF2B5EF4-FFF2-40B4-BE49-F238E27FC236}">
              <a16:creationId xmlns:a16="http://schemas.microsoft.com/office/drawing/2014/main" id="{00000000-0008-0000-0D00-00007D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681" t="66171" r="53532" b="28618"/>
        <a:stretch/>
      </xdr:blipFill>
      <xdr:spPr>
        <a:xfrm>
          <a:off x="7283066" y="29741328"/>
          <a:ext cx="874744" cy="557245"/>
        </a:xfrm>
        <a:prstGeom prst="rect">
          <a:avLst/>
        </a:prstGeom>
      </xdr:spPr>
    </xdr:pic>
    <xdr:clientData/>
  </xdr:oneCellAnchor>
  <xdr:oneCellAnchor>
    <xdr:from>
      <xdr:col>5</xdr:col>
      <xdr:colOff>12954</xdr:colOff>
      <xdr:row>94</xdr:row>
      <xdr:rowOff>71276</xdr:rowOff>
    </xdr:from>
    <xdr:ext cx="1302398" cy="1872602"/>
    <xdr:pic>
      <xdr:nvPicPr>
        <xdr:cNvPr id="382" name="Grafik 381">
          <a:extLst>
            <a:ext uri="{FF2B5EF4-FFF2-40B4-BE49-F238E27FC236}">
              <a16:creationId xmlns:a16="http://schemas.microsoft.com/office/drawing/2014/main" id="{00000000-0008-0000-0D00-00007E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508" t="9517" r="50875" b="72972"/>
        <a:stretch/>
      </xdr:blipFill>
      <xdr:spPr>
        <a:xfrm>
          <a:off x="7268011" y="24901966"/>
          <a:ext cx="1302398" cy="1872602"/>
        </a:xfrm>
        <a:prstGeom prst="rect">
          <a:avLst/>
        </a:prstGeom>
      </xdr:spPr>
    </xdr:pic>
    <xdr:clientData/>
  </xdr:oneCellAnchor>
  <xdr:oneCellAnchor>
    <xdr:from>
      <xdr:col>3</xdr:col>
      <xdr:colOff>27560</xdr:colOff>
      <xdr:row>119</xdr:row>
      <xdr:rowOff>129574</xdr:rowOff>
    </xdr:from>
    <xdr:ext cx="803469" cy="1879082"/>
    <xdr:pic>
      <xdr:nvPicPr>
        <xdr:cNvPr id="384" name="Grafik 383">
          <a:extLst>
            <a:ext uri="{FF2B5EF4-FFF2-40B4-BE49-F238E27FC236}">
              <a16:creationId xmlns:a16="http://schemas.microsoft.com/office/drawing/2014/main" id="{00000000-0008-0000-0D00-000080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19035" t="75080" r="75649" b="7348"/>
        <a:stretch/>
      </xdr:blipFill>
      <xdr:spPr>
        <a:xfrm>
          <a:off x="4158709" y="31200781"/>
          <a:ext cx="803469" cy="1879082"/>
        </a:xfrm>
        <a:prstGeom prst="rect">
          <a:avLst/>
        </a:prstGeom>
      </xdr:spPr>
    </xdr:pic>
    <xdr:clientData/>
  </xdr:oneCellAnchor>
  <xdr:oneCellAnchor>
    <xdr:from>
      <xdr:col>3</xdr:col>
      <xdr:colOff>155510</xdr:colOff>
      <xdr:row>106</xdr:row>
      <xdr:rowOff>0</xdr:rowOff>
    </xdr:from>
    <xdr:ext cx="1179286" cy="1159847"/>
    <xdr:pic>
      <xdr:nvPicPr>
        <xdr:cNvPr id="385" name="Grafik 384">
          <a:extLst>
            <a:ext uri="{FF2B5EF4-FFF2-40B4-BE49-F238E27FC236}">
              <a16:creationId xmlns:a16="http://schemas.microsoft.com/office/drawing/2014/main" id="{00000000-0008-0000-0D00-000081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30436" t="52538" r="61762" b="36616"/>
        <a:stretch/>
      </xdr:blipFill>
      <xdr:spPr>
        <a:xfrm>
          <a:off x="4283010" y="27959439"/>
          <a:ext cx="1179286" cy="1159847"/>
        </a:xfrm>
        <a:prstGeom prst="rect">
          <a:avLst/>
        </a:prstGeom>
      </xdr:spPr>
    </xdr:pic>
    <xdr:clientData/>
  </xdr:oneCellAnchor>
  <xdr:oneCellAnchor>
    <xdr:from>
      <xdr:col>3</xdr:col>
      <xdr:colOff>38882</xdr:colOff>
      <xdr:row>115</xdr:row>
      <xdr:rowOff>32399</xdr:rowOff>
    </xdr:from>
    <xdr:ext cx="874744" cy="557245"/>
    <xdr:pic>
      <xdr:nvPicPr>
        <xdr:cNvPr id="387" name="Grafik 386">
          <a:extLst>
            <a:ext uri="{FF2B5EF4-FFF2-40B4-BE49-F238E27FC236}">
              <a16:creationId xmlns:a16="http://schemas.microsoft.com/office/drawing/2014/main" id="{00000000-0008-0000-0D00-000083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681" t="66171" r="53532" b="28618"/>
        <a:stretch/>
      </xdr:blipFill>
      <xdr:spPr>
        <a:xfrm>
          <a:off x="4166382" y="29741328"/>
          <a:ext cx="874744" cy="557245"/>
        </a:xfrm>
        <a:prstGeom prst="rect">
          <a:avLst/>
        </a:prstGeom>
      </xdr:spPr>
    </xdr:pic>
    <xdr:clientData/>
  </xdr:oneCellAnchor>
  <xdr:oneCellAnchor>
    <xdr:from>
      <xdr:col>3</xdr:col>
      <xdr:colOff>12954</xdr:colOff>
      <xdr:row>98</xdr:row>
      <xdr:rowOff>362857</xdr:rowOff>
    </xdr:from>
    <xdr:ext cx="1302398" cy="803470"/>
    <xdr:pic>
      <xdr:nvPicPr>
        <xdr:cNvPr id="388" name="Grafik 387">
          <a:extLst>
            <a:ext uri="{FF2B5EF4-FFF2-40B4-BE49-F238E27FC236}">
              <a16:creationId xmlns:a16="http://schemas.microsoft.com/office/drawing/2014/main" id="{00000000-0008-0000-0D00-000084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508" t="19515" r="50875" b="72972"/>
        <a:stretch/>
      </xdr:blipFill>
      <xdr:spPr>
        <a:xfrm>
          <a:off x="4140454" y="25743418"/>
          <a:ext cx="1302398" cy="803470"/>
        </a:xfrm>
        <a:prstGeom prst="rect">
          <a:avLst/>
        </a:prstGeom>
      </xdr:spPr>
    </xdr:pic>
    <xdr:clientData/>
  </xdr:oneCellAnchor>
  <xdr:oneCellAnchor>
    <xdr:from>
      <xdr:col>1</xdr:col>
      <xdr:colOff>34859</xdr:colOff>
      <xdr:row>119</xdr:row>
      <xdr:rowOff>129574</xdr:rowOff>
    </xdr:from>
    <xdr:ext cx="803469" cy="1879082"/>
    <xdr:pic>
      <xdr:nvPicPr>
        <xdr:cNvPr id="389" name="Grafik 388">
          <a:extLst>
            <a:ext uri="{FF2B5EF4-FFF2-40B4-BE49-F238E27FC236}">
              <a16:creationId xmlns:a16="http://schemas.microsoft.com/office/drawing/2014/main" id="{00000000-0008-0000-0D00-000085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19035" t="75080" r="75649" b="7348"/>
        <a:stretch/>
      </xdr:blipFill>
      <xdr:spPr>
        <a:xfrm>
          <a:off x="1122388" y="31200781"/>
          <a:ext cx="803469" cy="1879082"/>
        </a:xfrm>
        <a:prstGeom prst="rect">
          <a:avLst/>
        </a:prstGeom>
      </xdr:spPr>
    </xdr:pic>
    <xdr:clientData/>
  </xdr:oneCellAnchor>
  <xdr:oneCellAnchor>
    <xdr:from>
      <xdr:col>1</xdr:col>
      <xdr:colOff>129578</xdr:colOff>
      <xdr:row>106</xdr:row>
      <xdr:rowOff>0</xdr:rowOff>
    </xdr:from>
    <xdr:ext cx="1192245" cy="1159847"/>
    <xdr:pic>
      <xdr:nvPicPr>
        <xdr:cNvPr id="390" name="Grafik 389">
          <a:extLst>
            <a:ext uri="{FF2B5EF4-FFF2-40B4-BE49-F238E27FC236}">
              <a16:creationId xmlns:a16="http://schemas.microsoft.com/office/drawing/2014/main" id="{00000000-0008-0000-0D00-000086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19463" t="52477" r="72649" b="36677"/>
        <a:stretch/>
      </xdr:blipFill>
      <xdr:spPr>
        <a:xfrm>
          <a:off x="1218149" y="27959439"/>
          <a:ext cx="1192245" cy="1159847"/>
        </a:xfrm>
        <a:prstGeom prst="rect">
          <a:avLst/>
        </a:prstGeom>
      </xdr:spPr>
    </xdr:pic>
    <xdr:clientData/>
  </xdr:oneCellAnchor>
  <xdr:oneCellAnchor>
    <xdr:from>
      <xdr:col>1</xdr:col>
      <xdr:colOff>38882</xdr:colOff>
      <xdr:row>115</xdr:row>
      <xdr:rowOff>32399</xdr:rowOff>
    </xdr:from>
    <xdr:ext cx="874744" cy="557245"/>
    <xdr:pic>
      <xdr:nvPicPr>
        <xdr:cNvPr id="391" name="Grafik 390">
          <a:extLst>
            <a:ext uri="{FF2B5EF4-FFF2-40B4-BE49-F238E27FC236}">
              <a16:creationId xmlns:a16="http://schemas.microsoft.com/office/drawing/2014/main" id="{00000000-0008-0000-0D00-000087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681" t="66171" r="53532" b="28618"/>
        <a:stretch/>
      </xdr:blipFill>
      <xdr:spPr>
        <a:xfrm>
          <a:off x="4166382" y="29741328"/>
          <a:ext cx="874744" cy="557245"/>
        </a:xfrm>
        <a:prstGeom prst="rect">
          <a:avLst/>
        </a:prstGeom>
      </xdr:spPr>
    </xdr:pic>
    <xdr:clientData/>
  </xdr:oneCellAnchor>
  <xdr:oneCellAnchor>
    <xdr:from>
      <xdr:col>1</xdr:col>
      <xdr:colOff>109482</xdr:colOff>
      <xdr:row>98</xdr:row>
      <xdr:rowOff>1051034</xdr:rowOff>
    </xdr:from>
    <xdr:ext cx="577355" cy="115293"/>
    <xdr:pic>
      <xdr:nvPicPr>
        <xdr:cNvPr id="392" name="Grafik 391">
          <a:extLst>
            <a:ext uri="{FF2B5EF4-FFF2-40B4-BE49-F238E27FC236}">
              <a16:creationId xmlns:a16="http://schemas.microsoft.com/office/drawing/2014/main" id="{00000000-0008-0000-0D00-000088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1147" t="25950" r="55033" b="72972"/>
        <a:stretch/>
      </xdr:blipFill>
      <xdr:spPr>
        <a:xfrm>
          <a:off x="1197011" y="26670000"/>
          <a:ext cx="577355" cy="115293"/>
        </a:xfrm>
        <a:prstGeom prst="rect">
          <a:avLst/>
        </a:prstGeom>
      </xdr:spPr>
    </xdr:pic>
    <xdr:clientData/>
  </xdr:oneCellAnchor>
  <xdr:oneCellAnchor>
    <xdr:from>
      <xdr:col>1</xdr:col>
      <xdr:colOff>28377</xdr:colOff>
      <xdr:row>98</xdr:row>
      <xdr:rowOff>524847</xdr:rowOff>
    </xdr:from>
    <xdr:ext cx="1302398" cy="531327"/>
    <xdr:pic>
      <xdr:nvPicPr>
        <xdr:cNvPr id="393" name="Grafik 392">
          <a:extLst>
            <a:ext uri="{FF2B5EF4-FFF2-40B4-BE49-F238E27FC236}">
              <a16:creationId xmlns:a16="http://schemas.microsoft.com/office/drawing/2014/main" id="{00000000-0008-0000-0D00-000089010000}"/>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0508" t="13698" r="50875" b="81334"/>
        <a:stretch/>
      </xdr:blipFill>
      <xdr:spPr>
        <a:xfrm>
          <a:off x="1115906" y="26143813"/>
          <a:ext cx="1302398" cy="531327"/>
        </a:xfrm>
        <a:prstGeom prst="rect">
          <a:avLst/>
        </a:prstGeom>
      </xdr:spPr>
    </xdr:pic>
    <xdr:clientData/>
  </xdr:oneCellAnchor>
  <xdr:twoCellAnchor editAs="oneCell">
    <xdr:from>
      <xdr:col>7</xdr:col>
      <xdr:colOff>181428</xdr:colOff>
      <xdr:row>190</xdr:row>
      <xdr:rowOff>103674</xdr:rowOff>
    </xdr:from>
    <xdr:to>
      <xdr:col>7</xdr:col>
      <xdr:colOff>1047973</xdr:colOff>
      <xdr:row>194</xdr:row>
      <xdr:rowOff>38878</xdr:rowOff>
    </xdr:to>
    <xdr:pic>
      <xdr:nvPicPr>
        <xdr:cNvPr id="5" name="Grafik 4">
          <a:extLst>
            <a:ext uri="{FF2B5EF4-FFF2-40B4-BE49-F238E27FC236}">
              <a16:creationId xmlns:a16="http://schemas.microsoft.com/office/drawing/2014/main" id="{00000000-0008-0000-0D00-000005000000}"/>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l="50162" t="55146" r="44105" b="38189"/>
        <a:stretch/>
      </xdr:blipFill>
      <xdr:spPr>
        <a:xfrm>
          <a:off x="10522857" y="50404745"/>
          <a:ext cx="866545" cy="712756"/>
        </a:xfrm>
        <a:prstGeom prst="rect">
          <a:avLst/>
        </a:prstGeom>
      </xdr:spPr>
    </xdr:pic>
    <xdr:clientData/>
  </xdr:twoCellAnchor>
  <xdr:oneCellAnchor>
    <xdr:from>
      <xdr:col>7</xdr:col>
      <xdr:colOff>181428</xdr:colOff>
      <xdr:row>195</xdr:row>
      <xdr:rowOff>103674</xdr:rowOff>
    </xdr:from>
    <xdr:ext cx="866545" cy="712756"/>
    <xdr:pic>
      <xdr:nvPicPr>
        <xdr:cNvPr id="394" name="Grafik 393">
          <a:extLst>
            <a:ext uri="{FF2B5EF4-FFF2-40B4-BE49-F238E27FC236}">
              <a16:creationId xmlns:a16="http://schemas.microsoft.com/office/drawing/2014/main" id="{00000000-0008-0000-0D00-00008A010000}"/>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l="50119" t="62356" r="44148" b="30979"/>
        <a:stretch/>
      </xdr:blipFill>
      <xdr:spPr>
        <a:xfrm>
          <a:off x="10522857" y="50404745"/>
          <a:ext cx="866545" cy="712756"/>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xdr:from>
      <xdr:col>28</xdr:col>
      <xdr:colOff>601506</xdr:colOff>
      <xdr:row>2</xdr:row>
      <xdr:rowOff>151421</xdr:rowOff>
    </xdr:from>
    <xdr:to>
      <xdr:col>47</xdr:col>
      <xdr:colOff>464737</xdr:colOff>
      <xdr:row>35</xdr:row>
      <xdr:rowOff>59801</xdr:rowOff>
    </xdr:to>
    <xdr:graphicFrame macro="">
      <xdr:nvGraphicFramePr>
        <xdr:cNvPr id="2" name="Diagramm 1">
          <a:extLst>
            <a:ext uri="{FF2B5EF4-FFF2-40B4-BE49-F238E27FC236}">
              <a16:creationId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112</xdr:col>
      <xdr:colOff>0</xdr:colOff>
      <xdr:row>13</xdr:row>
      <xdr:rowOff>0</xdr:rowOff>
    </xdr:from>
    <xdr:to>
      <xdr:col>112</xdr:col>
      <xdr:colOff>792000</xdr:colOff>
      <xdr:row>15</xdr:row>
      <xdr:rowOff>163503</xdr:rowOff>
    </xdr:to>
    <xdr:pic>
      <xdr:nvPicPr>
        <xdr:cNvPr id="2" name="Picture 14">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1730275" y="2133600"/>
          <a:ext cx="792000" cy="544503"/>
        </a:xfrm>
        <a:prstGeom prst="rect">
          <a:avLst/>
        </a:prstGeom>
        <a:noFill/>
        <a:ln w="1">
          <a:noFill/>
          <a:miter lim="800000"/>
          <a:headEnd/>
          <a:tailEnd type="none" w="med" len="med"/>
        </a:ln>
        <a:effectLst/>
      </xdr:spPr>
    </xdr:pic>
    <xdr:clientData/>
  </xdr:twoCellAnchor>
  <xdr:twoCellAnchor>
    <xdr:from>
      <xdr:col>113</xdr:col>
      <xdr:colOff>0</xdr:colOff>
      <xdr:row>13</xdr:row>
      <xdr:rowOff>0</xdr:rowOff>
    </xdr:from>
    <xdr:to>
      <xdr:col>113</xdr:col>
      <xdr:colOff>792000</xdr:colOff>
      <xdr:row>15</xdr:row>
      <xdr:rowOff>163096</xdr:rowOff>
    </xdr:to>
    <xdr:pic>
      <xdr:nvPicPr>
        <xdr:cNvPr id="3" name="Picture 15">
          <a:extLst>
            <a:ext uri="{FF2B5EF4-FFF2-40B4-BE49-F238E27FC236}">
              <a16:creationId xmlns:a16="http://schemas.microsoft.com/office/drawing/2014/main" id="{00000000-0008-0000-13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52635150" y="2133600"/>
          <a:ext cx="792000" cy="544096"/>
        </a:xfrm>
        <a:prstGeom prst="rect">
          <a:avLst/>
        </a:prstGeom>
        <a:noFill/>
        <a:ln w="1">
          <a:noFill/>
          <a:miter lim="800000"/>
          <a:headEnd/>
          <a:tailEnd type="none" w="med" len="med"/>
        </a:ln>
        <a:effectLst/>
      </xdr:spPr>
    </xdr:pic>
    <xdr:clientData/>
  </xdr:twoCellAnchor>
  <xdr:twoCellAnchor>
    <xdr:from>
      <xdr:col>114</xdr:col>
      <xdr:colOff>0</xdr:colOff>
      <xdr:row>13</xdr:row>
      <xdr:rowOff>0</xdr:rowOff>
    </xdr:from>
    <xdr:to>
      <xdr:col>114</xdr:col>
      <xdr:colOff>792000</xdr:colOff>
      <xdr:row>15</xdr:row>
      <xdr:rowOff>162028</xdr:rowOff>
    </xdr:to>
    <xdr:pic>
      <xdr:nvPicPr>
        <xdr:cNvPr id="4" name="Picture 24">
          <a:extLst>
            <a:ext uri="{FF2B5EF4-FFF2-40B4-BE49-F238E27FC236}">
              <a16:creationId xmlns:a16="http://schemas.microsoft.com/office/drawing/2014/main" id="{00000000-0008-0000-13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53540025" y="2133600"/>
          <a:ext cx="792000" cy="543028"/>
        </a:xfrm>
        <a:prstGeom prst="rect">
          <a:avLst/>
        </a:prstGeom>
        <a:noFill/>
        <a:ln w="1">
          <a:noFill/>
          <a:miter lim="800000"/>
          <a:headEnd/>
          <a:tailEnd type="none" w="med" len="med"/>
        </a:ln>
        <a:effectLst/>
      </xdr:spPr>
    </xdr:pic>
    <xdr:clientData/>
  </xdr:twoCellAnchor>
  <xdr:twoCellAnchor>
    <xdr:from>
      <xdr:col>116</xdr:col>
      <xdr:colOff>0</xdr:colOff>
      <xdr:row>13</xdr:row>
      <xdr:rowOff>0</xdr:rowOff>
    </xdr:from>
    <xdr:to>
      <xdr:col>116</xdr:col>
      <xdr:colOff>792000</xdr:colOff>
      <xdr:row>15</xdr:row>
      <xdr:rowOff>163272</xdr:rowOff>
    </xdr:to>
    <xdr:pic>
      <xdr:nvPicPr>
        <xdr:cNvPr id="5" name="Picture 22">
          <a:extLst>
            <a:ext uri="{FF2B5EF4-FFF2-40B4-BE49-F238E27FC236}">
              <a16:creationId xmlns:a16="http://schemas.microsoft.com/office/drawing/2014/main" id="{00000000-0008-0000-1300-000005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55349775" y="2133600"/>
          <a:ext cx="792000" cy="544272"/>
        </a:xfrm>
        <a:prstGeom prst="rect">
          <a:avLst/>
        </a:prstGeom>
        <a:noFill/>
        <a:ln w="1">
          <a:noFill/>
          <a:miter lim="800000"/>
          <a:headEnd/>
          <a:tailEnd type="none" w="med" len="med"/>
        </a:ln>
        <a:effectLst/>
      </xdr:spPr>
    </xdr:pic>
    <xdr:clientData/>
  </xdr:twoCellAnchor>
  <xdr:twoCellAnchor>
    <xdr:from>
      <xdr:col>117</xdr:col>
      <xdr:colOff>0</xdr:colOff>
      <xdr:row>13</xdr:row>
      <xdr:rowOff>0</xdr:rowOff>
    </xdr:from>
    <xdr:to>
      <xdr:col>117</xdr:col>
      <xdr:colOff>792000</xdr:colOff>
      <xdr:row>15</xdr:row>
      <xdr:rowOff>164822</xdr:rowOff>
    </xdr:to>
    <xdr:pic>
      <xdr:nvPicPr>
        <xdr:cNvPr id="6" name="Picture 23">
          <a:extLst>
            <a:ext uri="{FF2B5EF4-FFF2-40B4-BE49-F238E27FC236}">
              <a16:creationId xmlns:a16="http://schemas.microsoft.com/office/drawing/2014/main" id="{00000000-0008-0000-1300-000006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56254650" y="2133600"/>
          <a:ext cx="792000" cy="545822"/>
        </a:xfrm>
        <a:prstGeom prst="rect">
          <a:avLst/>
        </a:prstGeom>
        <a:noFill/>
        <a:ln w="1">
          <a:noFill/>
          <a:miter lim="800000"/>
          <a:headEnd/>
          <a:tailEnd type="none" w="med" len="med"/>
        </a:ln>
        <a:effectLst/>
      </xdr:spPr>
    </xdr:pic>
    <xdr:clientData/>
  </xdr:twoCellAnchor>
  <xdr:twoCellAnchor>
    <xdr:from>
      <xdr:col>95</xdr:col>
      <xdr:colOff>23104</xdr:colOff>
      <xdr:row>13</xdr:row>
      <xdr:rowOff>97837</xdr:rowOff>
    </xdr:from>
    <xdr:to>
      <xdr:col>96</xdr:col>
      <xdr:colOff>326430</xdr:colOff>
      <xdr:row>16</xdr:row>
      <xdr:rowOff>75853</xdr:rowOff>
    </xdr:to>
    <xdr:pic>
      <xdr:nvPicPr>
        <xdr:cNvPr id="7" name="Picture 14">
          <a:extLst>
            <a:ext uri="{FF2B5EF4-FFF2-40B4-BE49-F238E27FC236}">
              <a16:creationId xmlns:a16="http://schemas.microsoft.com/office/drawing/2014/main" id="{00000000-0008-0000-1300-000007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44466754" y="2231437"/>
          <a:ext cx="827201" cy="549516"/>
        </a:xfrm>
        <a:prstGeom prst="rect">
          <a:avLst/>
        </a:prstGeom>
        <a:noFill/>
        <a:ln w="1">
          <a:noFill/>
          <a:miter lim="800000"/>
          <a:headEnd/>
          <a:tailEnd type="none" w="med" len="med"/>
        </a:ln>
        <a:effectLst/>
      </xdr:spPr>
    </xdr:pic>
    <xdr:clientData/>
  </xdr:twoCellAnchor>
  <xdr:twoCellAnchor>
    <xdr:from>
      <xdr:col>107</xdr:col>
      <xdr:colOff>24846</xdr:colOff>
      <xdr:row>13</xdr:row>
      <xdr:rowOff>96093</xdr:rowOff>
    </xdr:from>
    <xdr:to>
      <xdr:col>108</xdr:col>
      <xdr:colOff>328172</xdr:colOff>
      <xdr:row>16</xdr:row>
      <xdr:rowOff>75762</xdr:rowOff>
    </xdr:to>
    <xdr:pic>
      <xdr:nvPicPr>
        <xdr:cNvPr id="8" name="Picture 20">
          <a:extLst>
            <a:ext uri="{FF2B5EF4-FFF2-40B4-BE49-F238E27FC236}">
              <a16:creationId xmlns:a16="http://schemas.microsoft.com/office/drawing/2014/main" id="{00000000-0008-0000-1300-000008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49754871" y="2229693"/>
          <a:ext cx="827201" cy="551169"/>
        </a:xfrm>
        <a:prstGeom prst="rect">
          <a:avLst/>
        </a:prstGeom>
        <a:noFill/>
        <a:ln w="1">
          <a:noFill/>
          <a:miter lim="800000"/>
          <a:headEnd/>
          <a:tailEnd type="none" w="med" len="med"/>
        </a:ln>
        <a:effectLst/>
      </xdr:spPr>
    </xdr:pic>
    <xdr:clientData/>
  </xdr:twoCellAnchor>
  <xdr:twoCellAnchor>
    <xdr:from>
      <xdr:col>109</xdr:col>
      <xdr:colOff>31605</xdr:colOff>
      <xdr:row>13</xdr:row>
      <xdr:rowOff>92634</xdr:rowOff>
    </xdr:from>
    <xdr:to>
      <xdr:col>110</xdr:col>
      <xdr:colOff>334932</xdr:colOff>
      <xdr:row>16</xdr:row>
      <xdr:rowOff>76528</xdr:rowOff>
    </xdr:to>
    <xdr:pic>
      <xdr:nvPicPr>
        <xdr:cNvPr id="9" name="Picture 21">
          <a:extLst>
            <a:ext uri="{FF2B5EF4-FFF2-40B4-BE49-F238E27FC236}">
              <a16:creationId xmlns:a16="http://schemas.microsoft.com/office/drawing/2014/main" id="{00000000-0008-0000-1300-000009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50666505" y="2226234"/>
          <a:ext cx="827202" cy="555394"/>
        </a:xfrm>
        <a:prstGeom prst="rect">
          <a:avLst/>
        </a:prstGeom>
        <a:noFill/>
        <a:ln w="1">
          <a:noFill/>
          <a:miter lim="800000"/>
          <a:headEnd/>
          <a:tailEnd type="none" w="med" len="med"/>
        </a:ln>
        <a:effectLst/>
      </xdr:spPr>
    </xdr:pic>
    <xdr:clientData/>
  </xdr:twoCellAnchor>
  <xdr:twoCellAnchor>
    <xdr:from>
      <xdr:col>99</xdr:col>
      <xdr:colOff>24848</xdr:colOff>
      <xdr:row>13</xdr:row>
      <xdr:rowOff>99392</xdr:rowOff>
    </xdr:from>
    <xdr:to>
      <xdr:col>100</xdr:col>
      <xdr:colOff>328174</xdr:colOff>
      <xdr:row>16</xdr:row>
      <xdr:rowOff>79203</xdr:rowOff>
    </xdr:to>
    <xdr:pic>
      <xdr:nvPicPr>
        <xdr:cNvPr id="10" name="Picture 24">
          <a:extLst>
            <a:ext uri="{FF2B5EF4-FFF2-40B4-BE49-F238E27FC236}">
              <a16:creationId xmlns:a16="http://schemas.microsoft.com/office/drawing/2014/main" id="{00000000-0008-0000-1300-00000A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46278248" y="2232992"/>
          <a:ext cx="827201" cy="551311"/>
        </a:xfrm>
        <a:prstGeom prst="rect">
          <a:avLst/>
        </a:prstGeom>
        <a:noFill/>
        <a:ln w="1">
          <a:noFill/>
          <a:miter lim="800000"/>
          <a:headEnd/>
          <a:tailEnd type="none" w="med" len="med"/>
        </a:ln>
        <a:effectLst/>
      </xdr:spPr>
    </xdr:pic>
    <xdr:clientData/>
  </xdr:twoCellAnchor>
  <xdr:twoCellAnchor>
    <xdr:from>
      <xdr:col>101</xdr:col>
      <xdr:colOff>187012</xdr:colOff>
      <xdr:row>13</xdr:row>
      <xdr:rowOff>79338</xdr:rowOff>
    </xdr:from>
    <xdr:to>
      <xdr:col>103</xdr:col>
      <xdr:colOff>170186</xdr:colOff>
      <xdr:row>16</xdr:row>
      <xdr:rowOff>84380</xdr:rowOff>
    </xdr:to>
    <xdr:pic>
      <xdr:nvPicPr>
        <xdr:cNvPr id="11" name="Picture 22">
          <a:extLst>
            <a:ext uri="{FF2B5EF4-FFF2-40B4-BE49-F238E27FC236}">
              <a16:creationId xmlns:a16="http://schemas.microsoft.com/office/drawing/2014/main" id="{00000000-0008-0000-1300-00000B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345287" y="2212938"/>
          <a:ext cx="888049" cy="576542"/>
        </a:xfrm>
        <a:prstGeom prst="rect">
          <a:avLst/>
        </a:prstGeom>
        <a:noFill/>
        <a:ln w="1">
          <a:noFill/>
          <a:miter lim="800000"/>
          <a:headEnd/>
          <a:tailEnd type="none" w="med" len="med"/>
        </a:ln>
        <a:effectLst/>
      </xdr:spPr>
    </xdr:pic>
    <xdr:clientData/>
  </xdr:twoCellAnchor>
  <xdr:twoCellAnchor>
    <xdr:from>
      <xdr:col>104</xdr:col>
      <xdr:colOff>180474</xdr:colOff>
      <xdr:row>13</xdr:row>
      <xdr:rowOff>59288</xdr:rowOff>
    </xdr:from>
    <xdr:to>
      <xdr:col>106</xdr:col>
      <xdr:colOff>163648</xdr:colOff>
      <xdr:row>16</xdr:row>
      <xdr:rowOff>65950</xdr:rowOff>
    </xdr:to>
    <xdr:pic>
      <xdr:nvPicPr>
        <xdr:cNvPr id="12" name="Picture 23">
          <a:extLst>
            <a:ext uri="{FF2B5EF4-FFF2-40B4-BE49-F238E27FC236}">
              <a16:creationId xmlns:a16="http://schemas.microsoft.com/office/drawing/2014/main" id="{00000000-0008-0000-1300-00000C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48624624" y="2192888"/>
          <a:ext cx="888049" cy="578162"/>
        </a:xfrm>
        <a:prstGeom prst="rect">
          <a:avLst/>
        </a:prstGeom>
        <a:noFill/>
        <a:ln w="1">
          <a:noFill/>
          <a:miter lim="800000"/>
          <a:headEnd/>
          <a:tailEnd type="none" w="med" len="med"/>
        </a:ln>
        <a:effectLst/>
      </xdr:spPr>
    </xdr:pic>
    <xdr:clientData/>
  </xdr:twoCellAnchor>
  <xdr:twoCellAnchor>
    <xdr:from>
      <xdr:col>97</xdr:col>
      <xdr:colOff>25375</xdr:colOff>
      <xdr:row>13</xdr:row>
      <xdr:rowOff>91702</xdr:rowOff>
    </xdr:from>
    <xdr:to>
      <xdr:col>98</xdr:col>
      <xdr:colOff>331600</xdr:colOff>
      <xdr:row>16</xdr:row>
      <xdr:rowOff>73823</xdr:rowOff>
    </xdr:to>
    <xdr:pic>
      <xdr:nvPicPr>
        <xdr:cNvPr id="13" name="Picture 15">
          <a:extLst>
            <a:ext uri="{FF2B5EF4-FFF2-40B4-BE49-F238E27FC236}">
              <a16:creationId xmlns:a16="http://schemas.microsoft.com/office/drawing/2014/main" id="{00000000-0008-0000-1300-00000D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5373900" y="2225302"/>
          <a:ext cx="830100" cy="553621"/>
        </a:xfrm>
        <a:prstGeom prst="rect">
          <a:avLst/>
        </a:prstGeom>
        <a:noFill/>
        <a:ln w="1">
          <a:noFill/>
          <a:miter lim="800000"/>
          <a:headEnd/>
          <a:tailEnd type="none" w="med" len="med"/>
        </a:ln>
        <a:effectLst/>
      </xdr:spPr>
    </xdr:pic>
    <xdr:clientData/>
  </xdr:twoCellAnchor>
  <xdr:twoCellAnchor>
    <xdr:from>
      <xdr:col>2</xdr:col>
      <xdr:colOff>47625</xdr:colOff>
      <xdr:row>3</xdr:row>
      <xdr:rowOff>47625</xdr:rowOff>
    </xdr:from>
    <xdr:to>
      <xdr:col>5</xdr:col>
      <xdr:colOff>51000</xdr:colOff>
      <xdr:row>3</xdr:row>
      <xdr:rowOff>479625</xdr:rowOff>
    </xdr:to>
    <xdr:sp macro="" textlink="">
      <xdr:nvSpPr>
        <xdr:cNvPr id="14" name="Ellipse 13">
          <a:extLst>
            <a:ext uri="{FF2B5EF4-FFF2-40B4-BE49-F238E27FC236}">
              <a16:creationId xmlns:a16="http://schemas.microsoft.com/office/drawing/2014/main" id="{00000000-0008-0000-1300-00000E000000}"/>
            </a:ext>
          </a:extLst>
        </xdr:cNvPr>
        <xdr:cNvSpPr/>
      </xdr:nvSpPr>
      <xdr:spPr bwMode="auto">
        <a:xfrm>
          <a:off x="352425" y="47625"/>
          <a:ext cx="460575" cy="432000"/>
        </a:xfrm>
        <a:prstGeom prst="ellipse">
          <a:avLst/>
        </a:prstGeom>
        <a:noFill/>
        <a:ln w="19050"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endParaRPr lang="de-CH" sz="1100"/>
        </a:p>
      </xdr:txBody>
    </xdr:sp>
    <xdr:clientData/>
  </xdr:twoCellAnchor>
  <xdr:twoCellAnchor>
    <xdr:from>
      <xdr:col>13</xdr:col>
      <xdr:colOff>19050</xdr:colOff>
      <xdr:row>208</xdr:row>
      <xdr:rowOff>0</xdr:rowOff>
    </xdr:from>
    <xdr:to>
      <xdr:col>23</xdr:col>
      <xdr:colOff>114300</xdr:colOff>
      <xdr:row>212</xdr:row>
      <xdr:rowOff>171450</xdr:rowOff>
    </xdr:to>
    <xdr:pic>
      <xdr:nvPicPr>
        <xdr:cNvPr id="15" name="Image1">
          <a:extLst>
            <a:ext uri="{FF2B5EF4-FFF2-40B4-BE49-F238E27FC236}">
              <a16:creationId xmlns:a16="http://schemas.microsoft.com/office/drawing/2014/main" id="{00000000-0008-0000-1300-00000F000000}"/>
            </a:ext>
          </a:extLst>
        </xdr:cNvPr>
        <xdr:cNvPicPr preferRelativeResize="0">
          <a:picLocks noChangeArrowheads="1" noChangeShapeType="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95450" y="11849100"/>
          <a:ext cx="1009650" cy="933450"/>
        </a:xfrm>
        <a:prstGeom prst="rect">
          <a:avLst/>
        </a:prstGeom>
        <a:noFill/>
        <a:ln>
          <a:noFill/>
        </a:ln>
        <a:extLst>
          <a:ext uri="{91240B29-F687-4F45-9708-019B960494DF}">
            <a14:hiddenLine xmlns:a14="http://schemas.microsoft.com/office/drawing/2010/main" w="9525">
              <a:no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26275</xdr:colOff>
      <xdr:row>2</xdr:row>
      <xdr:rowOff>38292</xdr:rowOff>
    </xdr:from>
    <xdr:to>
      <xdr:col>1</xdr:col>
      <xdr:colOff>1646275</xdr:colOff>
      <xdr:row>2</xdr:row>
      <xdr:rowOff>614136</xdr:rowOff>
    </xdr:to>
    <xdr:pic>
      <xdr:nvPicPr>
        <xdr:cNvPr id="8" name="Grafik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42999" y="2573913"/>
          <a:ext cx="1620000" cy="575844"/>
        </a:xfrm>
        <a:prstGeom prst="rect">
          <a:avLst/>
        </a:prstGeom>
      </xdr:spPr>
    </xdr:pic>
    <xdr:clientData/>
  </xdr:twoCellAnchor>
  <xdr:twoCellAnchor editAs="oneCell">
    <xdr:from>
      <xdr:col>1</xdr:col>
      <xdr:colOff>32844</xdr:colOff>
      <xdr:row>1</xdr:row>
      <xdr:rowOff>193372</xdr:rowOff>
    </xdr:from>
    <xdr:to>
      <xdr:col>1</xdr:col>
      <xdr:colOff>1652844</xdr:colOff>
      <xdr:row>1</xdr:row>
      <xdr:rowOff>1034288</xdr:rowOff>
    </xdr:to>
    <xdr:pic>
      <xdr:nvPicPr>
        <xdr:cNvPr id="10" name="Grafik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49568" y="1461182"/>
          <a:ext cx="1620000" cy="840916"/>
        </a:xfrm>
        <a:prstGeom prst="rect">
          <a:avLst/>
        </a:prstGeom>
      </xdr:spPr>
    </xdr:pic>
    <xdr:clientData/>
  </xdr:twoCellAnchor>
  <xdr:twoCellAnchor editAs="oneCell">
    <xdr:from>
      <xdr:col>1</xdr:col>
      <xdr:colOff>45983</xdr:colOff>
      <xdr:row>0</xdr:row>
      <xdr:rowOff>170081</xdr:rowOff>
    </xdr:from>
    <xdr:to>
      <xdr:col>1</xdr:col>
      <xdr:colOff>1665983</xdr:colOff>
      <xdr:row>0</xdr:row>
      <xdr:rowOff>1106411</xdr:rowOff>
    </xdr:to>
    <xdr:pic>
      <xdr:nvPicPr>
        <xdr:cNvPr id="12" name="Grafik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62707" y="170081"/>
          <a:ext cx="1620000" cy="936330"/>
        </a:xfrm>
        <a:prstGeom prst="rect">
          <a:avLst/>
        </a:prstGeom>
      </xdr:spPr>
    </xdr:pic>
    <xdr:clientData/>
  </xdr:twoCellAnchor>
  <xdr:twoCellAnchor editAs="oneCell">
    <xdr:from>
      <xdr:col>1</xdr:col>
      <xdr:colOff>39406</xdr:colOff>
      <xdr:row>3</xdr:row>
      <xdr:rowOff>39414</xdr:rowOff>
    </xdr:from>
    <xdr:to>
      <xdr:col>1</xdr:col>
      <xdr:colOff>1659406</xdr:colOff>
      <xdr:row>3</xdr:row>
      <xdr:rowOff>660591</xdr:rowOff>
    </xdr:to>
    <xdr:pic>
      <xdr:nvPicPr>
        <xdr:cNvPr id="11" name="Grafik 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56130" y="3461845"/>
          <a:ext cx="1620000" cy="621177"/>
        </a:xfrm>
        <a:prstGeom prst="rect">
          <a:avLst/>
        </a:prstGeom>
      </xdr:spPr>
    </xdr:pic>
    <xdr:clientData/>
  </xdr:twoCellAnchor>
  <xdr:twoCellAnchor editAs="oneCell">
    <xdr:from>
      <xdr:col>1</xdr:col>
      <xdr:colOff>39406</xdr:colOff>
      <xdr:row>4</xdr:row>
      <xdr:rowOff>26276</xdr:rowOff>
    </xdr:from>
    <xdr:to>
      <xdr:col>1</xdr:col>
      <xdr:colOff>1659406</xdr:colOff>
      <xdr:row>4</xdr:row>
      <xdr:rowOff>679164</xdr:rowOff>
    </xdr:to>
    <xdr:pic>
      <xdr:nvPicPr>
        <xdr:cNvPr id="15" name="Grafik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56130" y="4335517"/>
          <a:ext cx="1620000" cy="652888"/>
        </a:xfrm>
        <a:prstGeom prst="rect">
          <a:avLst/>
        </a:prstGeom>
      </xdr:spPr>
    </xdr:pic>
    <xdr:clientData/>
  </xdr:twoCellAnchor>
  <xdr:twoCellAnchor editAs="oneCell">
    <xdr:from>
      <xdr:col>1</xdr:col>
      <xdr:colOff>39406</xdr:colOff>
      <xdr:row>5</xdr:row>
      <xdr:rowOff>26276</xdr:rowOff>
    </xdr:from>
    <xdr:to>
      <xdr:col>1</xdr:col>
      <xdr:colOff>1659406</xdr:colOff>
      <xdr:row>5</xdr:row>
      <xdr:rowOff>736557</xdr:rowOff>
    </xdr:to>
    <xdr:pic>
      <xdr:nvPicPr>
        <xdr:cNvPr id="16" name="Grafik 15">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56130" y="5222328"/>
          <a:ext cx="1620000" cy="710281"/>
        </a:xfrm>
        <a:prstGeom prst="rect">
          <a:avLst/>
        </a:prstGeom>
      </xdr:spPr>
    </xdr:pic>
    <xdr:clientData/>
  </xdr:twoCellAnchor>
  <xdr:twoCellAnchor editAs="oneCell">
    <xdr:from>
      <xdr:col>1</xdr:col>
      <xdr:colOff>39406</xdr:colOff>
      <xdr:row>6</xdr:row>
      <xdr:rowOff>26276</xdr:rowOff>
    </xdr:from>
    <xdr:to>
      <xdr:col>1</xdr:col>
      <xdr:colOff>1659406</xdr:colOff>
      <xdr:row>6</xdr:row>
      <xdr:rowOff>792728</xdr:rowOff>
    </xdr:to>
    <xdr:pic>
      <xdr:nvPicPr>
        <xdr:cNvPr id="17" name="Grafik 16">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56130" y="6109138"/>
          <a:ext cx="1620000" cy="766452"/>
        </a:xfrm>
        <a:prstGeom prst="rect">
          <a:avLst/>
        </a:prstGeom>
      </xdr:spPr>
    </xdr:pic>
    <xdr:clientData/>
  </xdr:twoCellAnchor>
  <xdr:twoCellAnchor editAs="oneCell">
    <xdr:from>
      <xdr:col>1</xdr:col>
      <xdr:colOff>32837</xdr:colOff>
      <xdr:row>7</xdr:row>
      <xdr:rowOff>19707</xdr:rowOff>
    </xdr:from>
    <xdr:to>
      <xdr:col>1</xdr:col>
      <xdr:colOff>1652837</xdr:colOff>
      <xdr:row>7</xdr:row>
      <xdr:rowOff>819323</xdr:rowOff>
    </xdr:to>
    <xdr:pic>
      <xdr:nvPicPr>
        <xdr:cNvPr id="18" name="Grafik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49561" y="6989379"/>
          <a:ext cx="1620000" cy="799616"/>
        </a:xfrm>
        <a:prstGeom prst="rect">
          <a:avLst/>
        </a:prstGeom>
      </xdr:spPr>
    </xdr:pic>
    <xdr:clientData/>
  </xdr:twoCellAnchor>
  <xdr:twoCellAnchor editAs="oneCell">
    <xdr:from>
      <xdr:col>1</xdr:col>
      <xdr:colOff>26268</xdr:colOff>
      <xdr:row>8</xdr:row>
      <xdr:rowOff>26276</xdr:rowOff>
    </xdr:from>
    <xdr:to>
      <xdr:col>1</xdr:col>
      <xdr:colOff>1646268</xdr:colOff>
      <xdr:row>8</xdr:row>
      <xdr:rowOff>881277</xdr:rowOff>
    </xdr:to>
    <xdr:pic>
      <xdr:nvPicPr>
        <xdr:cNvPr id="19" name="Grafik 18">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42992" y="7882759"/>
          <a:ext cx="1620000" cy="855001"/>
        </a:xfrm>
        <a:prstGeom prst="rect">
          <a:avLst/>
        </a:prstGeom>
      </xdr:spPr>
    </xdr:pic>
    <xdr:clientData/>
  </xdr:twoCellAnchor>
  <xdr:twoCellAnchor editAs="oneCell">
    <xdr:from>
      <xdr:col>1</xdr:col>
      <xdr:colOff>294637</xdr:colOff>
      <xdr:row>9</xdr:row>
      <xdr:rowOff>6569</xdr:rowOff>
    </xdr:from>
    <xdr:to>
      <xdr:col>1</xdr:col>
      <xdr:colOff>940074</xdr:colOff>
      <xdr:row>9</xdr:row>
      <xdr:rowOff>1536569</xdr:rowOff>
    </xdr:to>
    <xdr:pic>
      <xdr:nvPicPr>
        <xdr:cNvPr id="13" name="Grafik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11361" y="8861535"/>
          <a:ext cx="645437" cy="1530000"/>
        </a:xfrm>
        <a:prstGeom prst="rect">
          <a:avLst/>
        </a:prstGeom>
      </xdr:spPr>
    </xdr:pic>
    <xdr:clientData/>
  </xdr:twoCellAnchor>
  <xdr:twoCellAnchor editAs="oneCell">
    <xdr:from>
      <xdr:col>1</xdr:col>
      <xdr:colOff>262379</xdr:colOff>
      <xdr:row>10</xdr:row>
      <xdr:rowOff>13137</xdr:rowOff>
    </xdr:from>
    <xdr:to>
      <xdr:col>1</xdr:col>
      <xdr:colOff>976249</xdr:colOff>
      <xdr:row>10</xdr:row>
      <xdr:rowOff>1543137</xdr:rowOff>
    </xdr:to>
    <xdr:pic>
      <xdr:nvPicPr>
        <xdr:cNvPr id="14" name="Grafik 13">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79103" y="10457792"/>
          <a:ext cx="713870" cy="1530000"/>
        </a:xfrm>
        <a:prstGeom prst="rect">
          <a:avLst/>
        </a:prstGeom>
      </xdr:spPr>
    </xdr:pic>
    <xdr:clientData/>
  </xdr:twoCellAnchor>
  <xdr:twoCellAnchor editAs="oneCell">
    <xdr:from>
      <xdr:col>1</xdr:col>
      <xdr:colOff>218537</xdr:colOff>
      <xdr:row>11</xdr:row>
      <xdr:rowOff>6569</xdr:rowOff>
    </xdr:from>
    <xdr:to>
      <xdr:col>1</xdr:col>
      <xdr:colOff>1018785</xdr:colOff>
      <xdr:row>11</xdr:row>
      <xdr:rowOff>1536566</xdr:rowOff>
    </xdr:to>
    <xdr:pic>
      <xdr:nvPicPr>
        <xdr:cNvPr id="20" name="Grafik 19">
          <a:extLst>
            <a:ext uri="{FF2B5EF4-FFF2-40B4-BE49-F238E27FC236}">
              <a16:creationId xmlns:a16="http://schemas.microsoft.com/office/drawing/2014/main" id="{00000000-0008-0000-0400-000014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335261" y="12034345"/>
          <a:ext cx="800248" cy="1529997"/>
        </a:xfrm>
        <a:prstGeom prst="rect">
          <a:avLst/>
        </a:prstGeom>
      </xdr:spPr>
    </xdr:pic>
    <xdr:clientData/>
  </xdr:twoCellAnchor>
  <xdr:twoCellAnchor editAs="oneCell">
    <xdr:from>
      <xdr:col>4</xdr:col>
      <xdr:colOff>44333</xdr:colOff>
      <xdr:row>0</xdr:row>
      <xdr:rowOff>52554</xdr:rowOff>
    </xdr:from>
    <xdr:to>
      <xdr:col>4</xdr:col>
      <xdr:colOff>1484333</xdr:colOff>
      <xdr:row>0</xdr:row>
      <xdr:rowOff>1115411</xdr:rowOff>
    </xdr:to>
    <xdr:pic>
      <xdr:nvPicPr>
        <xdr:cNvPr id="21" name="Grafik 2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63678" y="52554"/>
          <a:ext cx="1440000" cy="1062857"/>
        </a:xfrm>
        <a:prstGeom prst="rect">
          <a:avLst/>
        </a:prstGeom>
      </xdr:spPr>
    </xdr:pic>
    <xdr:clientData/>
  </xdr:twoCellAnchor>
  <xdr:twoCellAnchor editAs="oneCell">
    <xdr:from>
      <xdr:col>4</xdr:col>
      <xdr:colOff>44333</xdr:colOff>
      <xdr:row>1</xdr:row>
      <xdr:rowOff>0</xdr:rowOff>
    </xdr:from>
    <xdr:to>
      <xdr:col>4</xdr:col>
      <xdr:colOff>1484332</xdr:colOff>
      <xdr:row>1</xdr:row>
      <xdr:rowOff>1062857</xdr:rowOff>
    </xdr:to>
    <xdr:pic>
      <xdr:nvPicPr>
        <xdr:cNvPr id="27" name="Grafik 26">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63678" y="1267810"/>
          <a:ext cx="1439999" cy="1062857"/>
        </a:xfrm>
        <a:prstGeom prst="rect">
          <a:avLst/>
        </a:prstGeom>
      </xdr:spPr>
    </xdr:pic>
    <xdr:clientData/>
  </xdr:twoCellAnchor>
  <xdr:twoCellAnchor editAs="oneCell">
    <xdr:from>
      <xdr:col>4</xdr:col>
      <xdr:colOff>44333</xdr:colOff>
      <xdr:row>2</xdr:row>
      <xdr:rowOff>0</xdr:rowOff>
    </xdr:from>
    <xdr:to>
      <xdr:col>4</xdr:col>
      <xdr:colOff>1484332</xdr:colOff>
      <xdr:row>2</xdr:row>
      <xdr:rowOff>1062857</xdr:rowOff>
    </xdr:to>
    <xdr:pic>
      <xdr:nvPicPr>
        <xdr:cNvPr id="28" name="Grafik 27">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363678" y="2535621"/>
          <a:ext cx="1439999" cy="1062857"/>
        </a:xfrm>
        <a:prstGeom prst="rect">
          <a:avLst/>
        </a:prstGeom>
      </xdr:spPr>
    </xdr:pic>
    <xdr:clientData/>
  </xdr:twoCellAnchor>
  <xdr:twoCellAnchor editAs="oneCell">
    <xdr:from>
      <xdr:col>4</xdr:col>
      <xdr:colOff>44333</xdr:colOff>
      <xdr:row>3</xdr:row>
      <xdr:rowOff>0</xdr:rowOff>
    </xdr:from>
    <xdr:to>
      <xdr:col>4</xdr:col>
      <xdr:colOff>1484332</xdr:colOff>
      <xdr:row>3</xdr:row>
      <xdr:rowOff>1062857</xdr:rowOff>
    </xdr:to>
    <xdr:pic>
      <xdr:nvPicPr>
        <xdr:cNvPr id="29" name="Grafik 28">
          <a:extLst>
            <a:ext uri="{FF2B5EF4-FFF2-40B4-BE49-F238E27FC236}">
              <a16:creationId xmlns:a16="http://schemas.microsoft.com/office/drawing/2014/main" id="{00000000-0008-0000-0400-00001D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363678" y="3803431"/>
          <a:ext cx="1439999" cy="1062857"/>
        </a:xfrm>
        <a:prstGeom prst="rect">
          <a:avLst/>
        </a:prstGeom>
      </xdr:spPr>
    </xdr:pic>
    <xdr:clientData/>
  </xdr:twoCellAnchor>
  <xdr:twoCellAnchor editAs="oneCell">
    <xdr:from>
      <xdr:col>4</xdr:col>
      <xdr:colOff>44333</xdr:colOff>
      <xdr:row>3</xdr:row>
      <xdr:rowOff>1267810</xdr:rowOff>
    </xdr:from>
    <xdr:to>
      <xdr:col>4</xdr:col>
      <xdr:colOff>1484332</xdr:colOff>
      <xdr:row>4</xdr:row>
      <xdr:rowOff>1062857</xdr:rowOff>
    </xdr:to>
    <xdr:pic>
      <xdr:nvPicPr>
        <xdr:cNvPr id="30" name="Grafik 29">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363678" y="5071241"/>
          <a:ext cx="1439999" cy="1062857"/>
        </a:xfrm>
        <a:prstGeom prst="rect">
          <a:avLst/>
        </a:prstGeom>
      </xdr:spPr>
    </xdr:pic>
    <xdr:clientData/>
  </xdr:twoCellAnchor>
  <xdr:twoCellAnchor editAs="oneCell">
    <xdr:from>
      <xdr:col>4</xdr:col>
      <xdr:colOff>44333</xdr:colOff>
      <xdr:row>5</xdr:row>
      <xdr:rowOff>0</xdr:rowOff>
    </xdr:from>
    <xdr:to>
      <xdr:col>4</xdr:col>
      <xdr:colOff>1484332</xdr:colOff>
      <xdr:row>5</xdr:row>
      <xdr:rowOff>1062857</xdr:rowOff>
    </xdr:to>
    <xdr:pic>
      <xdr:nvPicPr>
        <xdr:cNvPr id="31" name="Grafik 30">
          <a:extLst>
            <a:ext uri="{FF2B5EF4-FFF2-40B4-BE49-F238E27FC236}">
              <a16:creationId xmlns:a16="http://schemas.microsoft.com/office/drawing/2014/main" id="{00000000-0008-0000-0400-00001F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363678" y="6339052"/>
          <a:ext cx="1439999" cy="10628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tri/AppData/Local/Temp/res022_HFKS_BBSR_Rechentool_20190201_md_8.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hansdrexler1T2/Dropbox%20(DGJ)/res022_Holz%20Form%20und%20Kraftschlu&#776;ssig/res022_HFKS_BBSR_Forschungsarbeit%20Rechentool/res022_PJ/180608_Rasterbemessung.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leitung"/>
      <sheetName val="Eingabeparameter"/>
      <sheetName val="Eingabe und Ergebnis"/>
      <sheetName val="Erweiterte Eingabe"/>
      <sheetName val="Rechenmodell"/>
      <sheetName val="Charts"/>
      <sheetName val="Datenbank"/>
      <sheetName val="Möblierungsschablone"/>
      <sheetName val="Wohnungsausnutzung"/>
      <sheetName val="Wohnungsausnutzung Vergleich"/>
      <sheetName val="Datenbank Fenster"/>
      <sheetName val="Hilfstabelle Gebäudeklasse"/>
      <sheetName val="Rasterbemessung DE UZ ST"/>
      <sheetName val="Bemessung Unterzüge"/>
      <sheetName val="Hilfstabellen_Mat&amp;Bem"/>
      <sheetName val="Aussteifung"/>
      <sheetName val="Hilfstabelle_Aussteifung"/>
      <sheetName val="Bemessung Decken"/>
      <sheetName val="BS Anforderungen MBO (sdi)"/>
      <sheetName val="BS_Anforderungen_VARIABEL"/>
      <sheetName val="BS_Anforderungen_MBO (tri)"/>
      <sheetName val="BS_Anforderungen_MBO"/>
      <sheetName val="BS_Anforderungen_BW"/>
      <sheetName val="BS_Anforderungen_BY"/>
      <sheetName val="Schallschutzanforderungen Haupt"/>
      <sheetName val="kc-Wert für Stützen"/>
      <sheetName val="kc x h²-Wert für Stützen"/>
      <sheetName val="kc-Wert für Heißbem-Stützen"/>
      <sheetName val="ALPHA_DEUT"/>
      <sheetName val="Grafiken"/>
    </sheetNames>
    <sheetDataSet>
      <sheetData sheetId="0"/>
      <sheetData sheetId="1"/>
      <sheetData sheetId="2">
        <row r="23">
          <cell r="B23" t="str">
            <v>Brandenburg</v>
          </cell>
        </row>
        <row r="28">
          <cell r="B28">
            <v>2.5</v>
          </cell>
        </row>
        <row r="33">
          <cell r="B33" t="str">
            <v>DE01</v>
          </cell>
          <cell r="N33">
            <v>0.27500000000000002</v>
          </cell>
        </row>
      </sheetData>
      <sheetData sheetId="3">
        <row r="10">
          <cell r="C10">
            <v>300</v>
          </cell>
        </row>
        <row r="11">
          <cell r="C11">
            <v>8</v>
          </cell>
        </row>
        <row r="12">
          <cell r="C12">
            <v>300</v>
          </cell>
        </row>
        <row r="13">
          <cell r="C13">
            <v>8</v>
          </cell>
        </row>
      </sheetData>
      <sheetData sheetId="4"/>
      <sheetData sheetId="5"/>
      <sheetData sheetId="6"/>
      <sheetData sheetId="7"/>
      <sheetData sheetId="8"/>
      <sheetData sheetId="9"/>
      <sheetData sheetId="10"/>
      <sheetData sheetId="11">
        <row r="16">
          <cell r="O16" t="str">
            <v>freistehend</v>
          </cell>
        </row>
        <row r="17">
          <cell r="O17" t="str">
            <v>nicht freistehend</v>
          </cell>
        </row>
        <row r="41">
          <cell r="E41">
            <v>1</v>
          </cell>
        </row>
        <row r="42">
          <cell r="E42">
            <v>2</v>
          </cell>
        </row>
        <row r="43">
          <cell r="E43">
            <v>3</v>
          </cell>
        </row>
        <row r="44">
          <cell r="E44">
            <v>4</v>
          </cell>
        </row>
        <row r="45">
          <cell r="E45">
            <v>5</v>
          </cell>
        </row>
      </sheetData>
      <sheetData sheetId="12">
        <row r="3">
          <cell r="AC3"/>
        </row>
        <row r="4">
          <cell r="D4">
            <v>90</v>
          </cell>
          <cell r="AC4">
            <v>3.6</v>
          </cell>
        </row>
        <row r="5">
          <cell r="AC5">
            <v>2.2999999999999998</v>
          </cell>
        </row>
        <row r="7">
          <cell r="AC7">
            <v>0.6</v>
          </cell>
        </row>
        <row r="8">
          <cell r="AC8">
            <v>0.3</v>
          </cell>
        </row>
        <row r="9">
          <cell r="AC9">
            <v>0.8</v>
          </cell>
          <cell r="AJ9">
            <v>1</v>
          </cell>
        </row>
        <row r="10">
          <cell r="AC10">
            <v>1.3</v>
          </cell>
          <cell r="AJ10">
            <v>1</v>
          </cell>
        </row>
        <row r="12">
          <cell r="BQ12">
            <v>1000</v>
          </cell>
        </row>
        <row r="14">
          <cell r="D14">
            <v>2.85</v>
          </cell>
          <cell r="AY14">
            <v>1.25</v>
          </cell>
        </row>
        <row r="22">
          <cell r="I22">
            <v>240</v>
          </cell>
          <cell r="BF22">
            <v>1000</v>
          </cell>
        </row>
        <row r="23">
          <cell r="D23">
            <v>90</v>
          </cell>
        </row>
        <row r="30">
          <cell r="S30">
            <v>40</v>
          </cell>
        </row>
        <row r="33">
          <cell r="AZ33">
            <v>100</v>
          </cell>
        </row>
        <row r="87">
          <cell r="D87">
            <v>90</v>
          </cell>
        </row>
        <row r="92">
          <cell r="BB92">
            <v>200</v>
          </cell>
        </row>
        <row r="94">
          <cell r="S94">
            <v>40</v>
          </cell>
          <cell r="AZ94">
            <v>1.1499999999999999</v>
          </cell>
        </row>
        <row r="99">
          <cell r="BT99">
            <v>70</v>
          </cell>
        </row>
      </sheetData>
      <sheetData sheetId="13">
        <row r="7">
          <cell r="D7">
            <v>240</v>
          </cell>
        </row>
        <row r="26">
          <cell r="D26">
            <v>1.1499999999999999</v>
          </cell>
        </row>
        <row r="29">
          <cell r="E29">
            <v>70</v>
          </cell>
        </row>
      </sheetData>
      <sheetData sheetId="14">
        <row r="9">
          <cell r="AG9"/>
          <cell r="AL9"/>
        </row>
        <row r="10">
          <cell r="AG10">
            <v>0.6</v>
          </cell>
          <cell r="AL10">
            <v>100</v>
          </cell>
        </row>
        <row r="11">
          <cell r="O11">
            <v>60</v>
          </cell>
          <cell r="AG11">
            <v>0.7</v>
          </cell>
          <cell r="AL11">
            <v>150</v>
          </cell>
        </row>
        <row r="12">
          <cell r="O12">
            <v>80</v>
          </cell>
          <cell r="AG12">
            <v>0.8</v>
          </cell>
          <cell r="AL12">
            <v>200</v>
          </cell>
        </row>
        <row r="13">
          <cell r="O13">
            <v>100</v>
          </cell>
          <cell r="AG13">
            <v>0.9</v>
          </cell>
          <cell r="AL13">
            <v>250</v>
          </cell>
        </row>
        <row r="14">
          <cell r="O14">
            <v>120</v>
          </cell>
          <cell r="AG14">
            <v>1</v>
          </cell>
          <cell r="AL14">
            <v>300</v>
          </cell>
        </row>
        <row r="15">
          <cell r="O15">
            <v>140</v>
          </cell>
          <cell r="AG15">
            <v>1.1000000000000001</v>
          </cell>
          <cell r="AL15">
            <v>350</v>
          </cell>
        </row>
        <row r="16">
          <cell r="O16">
            <v>160</v>
          </cell>
          <cell r="AB16"/>
          <cell r="AL16">
            <v>400</v>
          </cell>
        </row>
        <row r="17">
          <cell r="AB17" t="str">
            <v>eindimensionalen</v>
          </cell>
          <cell r="AL17">
            <v>450</v>
          </cell>
        </row>
        <row r="18">
          <cell r="AB18" t="str">
            <v>ideellen</v>
          </cell>
          <cell r="AL18">
            <v>500</v>
          </cell>
        </row>
        <row r="22">
          <cell r="AL22"/>
        </row>
        <row r="23">
          <cell r="AL23">
            <v>4.5</v>
          </cell>
        </row>
        <row r="24">
          <cell r="AL24">
            <v>6</v>
          </cell>
        </row>
        <row r="25">
          <cell r="AL25">
            <v>6.5</v>
          </cell>
        </row>
        <row r="26">
          <cell r="AL26">
            <v>8</v>
          </cell>
        </row>
        <row r="32">
          <cell r="AL32" t="str">
            <v>DE01</v>
          </cell>
        </row>
        <row r="33">
          <cell r="AL33" t="str">
            <v>DE02</v>
          </cell>
        </row>
        <row r="41">
          <cell r="E41">
            <v>4.3</v>
          </cell>
          <cell r="F41">
            <v>4.3</v>
          </cell>
          <cell r="G41">
            <v>4.3</v>
          </cell>
          <cell r="H41">
            <v>4.3</v>
          </cell>
          <cell r="I41">
            <v>4.3</v>
          </cell>
          <cell r="J41">
            <v>4.4000000000000004</v>
          </cell>
          <cell r="K41">
            <v>4.5999999999999996</v>
          </cell>
          <cell r="L41">
            <v>4.7</v>
          </cell>
          <cell r="M41">
            <v>4.8</v>
          </cell>
          <cell r="N41">
            <v>4.5</v>
          </cell>
          <cell r="O41">
            <v>4.5</v>
          </cell>
        </row>
        <row r="50">
          <cell r="D50" t="str">
            <v>Decken</v>
          </cell>
          <cell r="G50" t="str">
            <v>Unterzüge</v>
          </cell>
        </row>
        <row r="51">
          <cell r="D51">
            <v>2.5</v>
          </cell>
          <cell r="G51">
            <v>2.5</v>
          </cell>
          <cell r="J51">
            <v>2.8</v>
          </cell>
        </row>
        <row r="52">
          <cell r="D52">
            <v>2.65</v>
          </cell>
          <cell r="G52">
            <v>2.65</v>
          </cell>
          <cell r="J52">
            <v>2.9</v>
          </cell>
        </row>
        <row r="53">
          <cell r="D53">
            <v>2.85</v>
          </cell>
          <cell r="G53">
            <v>2.85</v>
          </cell>
          <cell r="J53">
            <v>3</v>
          </cell>
        </row>
        <row r="54">
          <cell r="D54">
            <v>3</v>
          </cell>
          <cell r="G54">
            <v>3</v>
          </cell>
          <cell r="J54">
            <v>3.1</v>
          </cell>
        </row>
        <row r="55">
          <cell r="D55">
            <v>3.5</v>
          </cell>
          <cell r="G55">
            <v>3.5</v>
          </cell>
          <cell r="J55">
            <v>3.2</v>
          </cell>
        </row>
        <row r="56">
          <cell r="D56">
            <v>4</v>
          </cell>
          <cell r="G56">
            <v>4</v>
          </cell>
          <cell r="J56">
            <v>3.3</v>
          </cell>
        </row>
        <row r="57">
          <cell r="D57">
            <v>4.5</v>
          </cell>
          <cell r="G57">
            <v>4.5</v>
          </cell>
          <cell r="J57">
            <v>3.4</v>
          </cell>
        </row>
        <row r="58">
          <cell r="D58">
            <v>5</v>
          </cell>
          <cell r="G58">
            <v>5</v>
          </cell>
          <cell r="J58">
            <v>3.5</v>
          </cell>
        </row>
        <row r="59">
          <cell r="D59">
            <v>5.3</v>
          </cell>
          <cell r="G59">
            <v>5.3</v>
          </cell>
          <cell r="J59">
            <v>3.6</v>
          </cell>
        </row>
        <row r="60">
          <cell r="D60">
            <v>5.7</v>
          </cell>
          <cell r="G60">
            <v>5.7</v>
          </cell>
          <cell r="J60">
            <v>3.7</v>
          </cell>
        </row>
        <row r="61">
          <cell r="D61">
            <v>6</v>
          </cell>
          <cell r="G61">
            <v>6</v>
          </cell>
          <cell r="J61">
            <v>3.8</v>
          </cell>
        </row>
        <row r="62">
          <cell r="J62">
            <v>3.9</v>
          </cell>
        </row>
        <row r="63">
          <cell r="J63">
            <v>4</v>
          </cell>
        </row>
        <row r="64">
          <cell r="J64">
            <v>4.0999999999999996</v>
          </cell>
        </row>
        <row r="65">
          <cell r="J65">
            <v>4.2</v>
          </cell>
        </row>
        <row r="152">
          <cell r="J152">
            <v>5</v>
          </cell>
        </row>
      </sheetData>
      <sheetData sheetId="15"/>
      <sheetData sheetId="16">
        <row r="6">
          <cell r="A6" t="str">
            <v>I</v>
          </cell>
          <cell r="D6" t="str">
            <v>Küste</v>
          </cell>
        </row>
        <row r="7">
          <cell r="A7" t="str">
            <v>II</v>
          </cell>
          <cell r="D7" t="str">
            <v>Binnenland</v>
          </cell>
        </row>
        <row r="8">
          <cell r="A8" t="str">
            <v>III</v>
          </cell>
          <cell r="D8" t="str">
            <v>Inseln der Nordsee</v>
          </cell>
        </row>
        <row r="9">
          <cell r="A9" t="str">
            <v>IV</v>
          </cell>
        </row>
      </sheetData>
      <sheetData sheetId="17"/>
      <sheetData sheetId="18"/>
      <sheetData sheetId="19"/>
      <sheetData sheetId="20"/>
      <sheetData sheetId="21"/>
      <sheetData sheetId="22"/>
      <sheetData sheetId="23"/>
      <sheetData sheetId="24">
        <row r="5">
          <cell r="B5" t="str">
            <v>DIN_4109-1</v>
          </cell>
        </row>
        <row r="6">
          <cell r="B6" t="str">
            <v>DIN_4109-1__Bbl. 2</v>
          </cell>
        </row>
        <row r="7">
          <cell r="B7" t="str">
            <v>VDI_4100__2007</v>
          </cell>
        </row>
        <row r="8">
          <cell r="B8" t="str">
            <v>VDI_4100__2012</v>
          </cell>
        </row>
        <row r="9">
          <cell r="B9" t="str">
            <v>DEGA_Empfehlung_103</v>
          </cell>
        </row>
      </sheetData>
      <sheetData sheetId="25"/>
      <sheetData sheetId="26"/>
      <sheetData sheetId="27"/>
      <sheetData sheetId="28"/>
      <sheetData sheetId="29">
        <row r="1">
          <cell r="A1" t="str">
            <v>Baum 1</v>
          </cell>
        </row>
        <row r="2">
          <cell r="A2" t="str">
            <v>Baum 2</v>
          </cell>
        </row>
        <row r="3">
          <cell r="A3" t="str">
            <v>Baum 3</v>
          </cell>
        </row>
        <row r="4">
          <cell r="A4" t="str">
            <v>Baum 4</v>
          </cell>
        </row>
        <row r="5">
          <cell r="A5" t="str">
            <v>Baum 5</v>
          </cell>
        </row>
        <row r="6">
          <cell r="A6" t="str">
            <v>Baum 6</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sterbemessung Unterzüge"/>
      <sheetName val="Hilfstabellen"/>
      <sheetName val="Rechenwerte zur Kontrolle"/>
      <sheetName val="kc-Wert für Stützen"/>
      <sheetName val="kc-Wert für Heißbem-Stützen"/>
      <sheetName val="ALPHA_DEUT"/>
      <sheetName val="Grafiken"/>
    </sheetNames>
    <sheetDataSet>
      <sheetData sheetId="0"/>
      <sheetData sheetId="1">
        <row r="10">
          <cell r="C10">
            <v>60</v>
          </cell>
        </row>
      </sheetData>
      <sheetData sheetId="2">
        <row r="29">
          <cell r="I29">
            <v>120</v>
          </cell>
        </row>
      </sheetData>
      <sheetData sheetId="3" refreshError="1"/>
      <sheetData sheetId="4" refreshError="1"/>
      <sheetData sheetId="5" refreshError="1"/>
      <sheetData sheetId="6">
        <row r="1">
          <cell r="A1" t="str">
            <v>Baum 1</v>
          </cell>
        </row>
        <row r="2">
          <cell r="A2" t="str">
            <v>Baum 2</v>
          </cell>
        </row>
        <row r="3">
          <cell r="A3" t="str">
            <v>Baum 3</v>
          </cell>
        </row>
        <row r="4">
          <cell r="A4" t="str">
            <v>Baum 4</v>
          </cell>
        </row>
        <row r="5">
          <cell r="A5" t="str">
            <v>Baum 5</v>
          </cell>
        </row>
        <row r="6">
          <cell r="A6" t="str">
            <v>Baum 6</v>
          </cell>
        </row>
      </sheetData>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3.bin"/><Relationship Id="rId4" Type="http://schemas.openxmlformats.org/officeDocument/2006/relationships/comments" Target="../comments1.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5.bin"/><Relationship Id="rId1" Type="http://schemas.openxmlformats.org/officeDocument/2006/relationships/externalLinkPath" Target="file:///S:/1_INT.PROJ/x.1200%20Interne%20Projekte/5%20DEUT/517.1204%20BBSR-Projekt/60%20Statik/64%20GPL/tri_res022_HFKS_BBSR_Forschung_Rechenmodel_2018.11.06_md_3.1.xlsx" TargetMode="Externa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8" Type="http://schemas.openxmlformats.org/officeDocument/2006/relationships/hyperlink" Target="http://www.spax.com/de/handwerker/schraubenfinder/" TargetMode="External"/><Relationship Id="rId13" Type="http://schemas.openxmlformats.org/officeDocument/2006/relationships/hyperlink" Target="http://www.heco-schrauben.de/de/Schrauben/HECO-TOPIX-CC" TargetMode="External"/><Relationship Id="rId3" Type="http://schemas.openxmlformats.org/officeDocument/2006/relationships/hyperlink" Target="http://www.sfsintec.biz/internet/sfsintde.nsf/PageID/System_WT" TargetMode="External"/><Relationship Id="rId7" Type="http://schemas.openxmlformats.org/officeDocument/2006/relationships/hyperlink" Target="http://www.spax.com/de/handwerker/schraubenfinder/" TargetMode="External"/><Relationship Id="rId12" Type="http://schemas.openxmlformats.org/officeDocument/2006/relationships/hyperlink" Target="http://www.sfsintec.biz/internet/sfsintde.nsf/PageID/System_WB" TargetMode="External"/><Relationship Id="rId2" Type="http://schemas.openxmlformats.org/officeDocument/2006/relationships/hyperlink" Target="http://www.heco-schrauben.de/de/Schrauben/HECO-UNIX" TargetMode="External"/><Relationship Id="rId1" Type="http://schemas.openxmlformats.org/officeDocument/2006/relationships/hyperlink" Target="http://www.heco-schrauben.de/de/Schrauben/HECO-UNIX" TargetMode="External"/><Relationship Id="rId6" Type="http://schemas.openxmlformats.org/officeDocument/2006/relationships/hyperlink" Target="http://www.sfsunimarket.biz/internet/SFSunimarket.nsf/PageID/Ferronorm_Power_Fast_DE" TargetMode="External"/><Relationship Id="rId11" Type="http://schemas.openxmlformats.org/officeDocument/2006/relationships/hyperlink" Target="http://wueko.wuerth.com/wu/ASSY2/assy/pdf/assy-plus-vg.pdf" TargetMode="External"/><Relationship Id="rId5" Type="http://schemas.openxmlformats.org/officeDocument/2006/relationships/hyperlink" Target="http://www.heco-schrauben.de/de/Schrauben/HECO-TOPIX" TargetMode="External"/><Relationship Id="rId10" Type="http://schemas.openxmlformats.org/officeDocument/2006/relationships/hyperlink" Target="http://wueko.wuerth.com/wu/ASSY2/assy/pdf/assy-plus.pdf" TargetMode="External"/><Relationship Id="rId4" Type="http://schemas.openxmlformats.org/officeDocument/2006/relationships/hyperlink" Target="http://www.heco-schrauben.de/de/Schrauben/HECO-TOPIX" TargetMode="External"/><Relationship Id="rId9" Type="http://schemas.openxmlformats.org/officeDocument/2006/relationships/hyperlink" Target="http://wueko.wuerth.com/wu/ASSY2/assy/pdf/assy-plus.pdf" TargetMode="External"/><Relationship Id="rId14"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Tabelle2">
    <pageSetUpPr fitToPage="1"/>
  </sheetPr>
  <dimension ref="A1:L41"/>
  <sheetViews>
    <sheetView workbookViewId="0">
      <selection activeCell="D1" sqref="D1:D1048576"/>
    </sheetView>
  </sheetViews>
  <sheetFormatPr baseColWidth="10" defaultColWidth="9.83203125" defaultRowHeight="14"/>
  <cols>
    <col min="1" max="1" width="21.83203125" style="1327" customWidth="1"/>
    <col min="2" max="2" width="42.5" style="1327" customWidth="1"/>
    <col min="3" max="3" width="75.1640625" style="1327" customWidth="1"/>
    <col min="4" max="4" width="40.5" style="1327" customWidth="1"/>
    <col min="5" max="16384" width="9.83203125" style="1327"/>
  </cols>
  <sheetData>
    <row r="1" spans="1:12" s="703" customFormat="1">
      <c r="A1" s="739"/>
      <c r="B1" s="739"/>
      <c r="C1" s="739"/>
      <c r="D1" s="739"/>
      <c r="E1" s="739"/>
      <c r="F1" s="739"/>
      <c r="G1" s="739"/>
      <c r="H1" s="739"/>
      <c r="I1" s="739"/>
      <c r="J1" s="739"/>
      <c r="K1" s="739"/>
      <c r="L1" s="739"/>
    </row>
    <row r="2" spans="1:12" s="703" customFormat="1" ht="23">
      <c r="A2" s="740" t="s">
        <v>2347</v>
      </c>
      <c r="B2" s="741"/>
      <c r="C2" s="741"/>
      <c r="D2" s="741"/>
      <c r="E2" s="1325"/>
      <c r="F2" s="1325"/>
      <c r="G2" s="1325"/>
      <c r="H2" s="739"/>
      <c r="I2" s="739"/>
      <c r="J2" s="739"/>
      <c r="K2" s="739"/>
      <c r="L2" s="739"/>
    </row>
    <row r="3" spans="1:12" s="703" customFormat="1">
      <c r="A3" s="739"/>
      <c r="B3" s="739"/>
      <c r="C3" s="739"/>
      <c r="D3" s="739"/>
      <c r="E3" s="739"/>
      <c r="F3" s="739"/>
      <c r="G3" s="739"/>
      <c r="H3" s="739"/>
      <c r="I3" s="739"/>
      <c r="J3" s="739"/>
      <c r="K3" s="739"/>
      <c r="L3" s="739"/>
    </row>
    <row r="4" spans="1:12" ht="20">
      <c r="A4" s="1326" t="s">
        <v>1425</v>
      </c>
      <c r="B4" s="1262"/>
      <c r="C4" s="1262"/>
      <c r="D4" s="1262"/>
    </row>
    <row r="5" spans="1:12">
      <c r="A5" s="1262"/>
      <c r="B5" s="1262"/>
      <c r="C5" s="1262"/>
      <c r="D5" s="1262"/>
    </row>
    <row r="6" spans="1:12">
      <c r="A6" s="1262"/>
      <c r="B6" s="1262"/>
      <c r="C6" s="1262"/>
      <c r="D6" s="1262"/>
    </row>
    <row r="7" spans="1:12" ht="16">
      <c r="A7" s="1328" t="s">
        <v>1426</v>
      </c>
      <c r="B7" s="1328" t="s">
        <v>1427</v>
      </c>
      <c r="C7" s="1328" t="s">
        <v>1428</v>
      </c>
      <c r="D7" s="1262"/>
    </row>
    <row r="8" spans="1:12" ht="8.25" customHeight="1">
      <c r="A8" s="1262"/>
      <c r="B8" s="1262"/>
      <c r="C8" s="1262"/>
      <c r="D8" s="1262"/>
    </row>
    <row r="9" spans="1:12" ht="18" customHeight="1">
      <c r="A9" s="1324">
        <v>2.5</v>
      </c>
      <c r="B9" s="1262" t="s">
        <v>1429</v>
      </c>
      <c r="C9" s="1324" t="s">
        <v>1430</v>
      </c>
      <c r="D9" s="1262"/>
    </row>
    <row r="10" spans="1:12" ht="18" customHeight="1">
      <c r="A10" s="1329" t="s">
        <v>1115</v>
      </c>
      <c r="B10" s="1262" t="s">
        <v>1431</v>
      </c>
      <c r="C10" s="1329" t="s">
        <v>1432</v>
      </c>
      <c r="D10" s="1262"/>
    </row>
    <row r="11" spans="1:12" ht="18" hidden="1" customHeight="1">
      <c r="A11" s="1330">
        <v>80</v>
      </c>
      <c r="B11" s="1262" t="s">
        <v>1433</v>
      </c>
      <c r="C11" s="1330" t="s">
        <v>1434</v>
      </c>
      <c r="D11" s="1331" t="s">
        <v>1435</v>
      </c>
    </row>
    <row r="12" spans="1:12" ht="18" hidden="1" customHeight="1">
      <c r="A12" s="1332">
        <v>23.5</v>
      </c>
      <c r="B12" s="1262" t="s">
        <v>1436</v>
      </c>
      <c r="C12" s="1332" t="s">
        <v>1437</v>
      </c>
      <c r="D12" s="1262"/>
    </row>
    <row r="13" spans="1:12" ht="18" hidden="1" customHeight="1">
      <c r="A13" s="1333">
        <v>60</v>
      </c>
      <c r="B13" s="1262" t="s">
        <v>1438</v>
      </c>
      <c r="C13" s="1333" t="s">
        <v>1439</v>
      </c>
      <c r="D13" s="1262"/>
    </row>
    <row r="14" spans="1:12" ht="18" customHeight="1">
      <c r="A14" s="1334">
        <v>11.3</v>
      </c>
      <c r="B14" s="1262" t="s">
        <v>1774</v>
      </c>
      <c r="C14" s="1334" t="s">
        <v>1775</v>
      </c>
      <c r="D14" s="1262"/>
    </row>
    <row r="15" spans="1:12" ht="18">
      <c r="A15" s="1178">
        <v>11.3</v>
      </c>
      <c r="B15" s="1262" t="s">
        <v>1446</v>
      </c>
      <c r="C15" s="1178" t="s">
        <v>1447</v>
      </c>
      <c r="D15" s="1331"/>
    </row>
    <row r="16" spans="1:12" ht="17.5" customHeight="1">
      <c r="A16" s="1328" t="s">
        <v>2246</v>
      </c>
      <c r="B16" s="1328"/>
      <c r="C16" s="1328"/>
      <c r="D16" s="1262"/>
    </row>
    <row r="17" spans="1:4" ht="18" customHeight="1">
      <c r="A17" s="1335">
        <v>0.53500000000000003</v>
      </c>
      <c r="B17" s="1262" t="s">
        <v>1440</v>
      </c>
      <c r="C17" s="1336" t="s">
        <v>1441</v>
      </c>
      <c r="D17" s="1262"/>
    </row>
    <row r="18" spans="1:4" ht="18" customHeight="1">
      <c r="A18" s="1337">
        <v>0.37</v>
      </c>
      <c r="B18" s="1262" t="s">
        <v>1442</v>
      </c>
      <c r="C18" s="1338" t="s">
        <v>1443</v>
      </c>
      <c r="D18" s="1262"/>
    </row>
    <row r="19" spans="1:4" ht="18" customHeight="1">
      <c r="A19" s="1339">
        <v>0.23799999999999999</v>
      </c>
      <c r="B19" s="1262" t="s">
        <v>1444</v>
      </c>
      <c r="C19" s="1340" t="s">
        <v>1445</v>
      </c>
      <c r="D19" s="1262"/>
    </row>
    <row r="20" spans="1:4" ht="17.5" customHeight="1">
      <c r="A20" s="1328" t="s">
        <v>2250</v>
      </c>
      <c r="B20" s="1328"/>
      <c r="C20" s="1328"/>
      <c r="D20" s="1262"/>
    </row>
    <row r="21" spans="1:4" ht="18" customHeight="1">
      <c r="A21" s="1341">
        <v>55</v>
      </c>
      <c r="B21" s="1262" t="s">
        <v>1440</v>
      </c>
      <c r="C21" s="1336" t="s">
        <v>2247</v>
      </c>
      <c r="D21" s="1262"/>
    </row>
    <row r="22" spans="1:4" ht="18" customHeight="1">
      <c r="A22" s="1342">
        <v>26</v>
      </c>
      <c r="B22" s="1262" t="s">
        <v>1442</v>
      </c>
      <c r="C22" s="1332" t="s">
        <v>2248</v>
      </c>
      <c r="D22" s="1262"/>
    </row>
    <row r="23" spans="1:4" ht="18" customHeight="1">
      <c r="A23" s="1343">
        <v>18</v>
      </c>
      <c r="B23" s="1262" t="s">
        <v>1444</v>
      </c>
      <c r="C23" s="1344" t="s">
        <v>2249</v>
      </c>
      <c r="D23" s="1262"/>
    </row>
    <row r="24" spans="1:4">
      <c r="A24" s="1262"/>
      <c r="B24" s="1262"/>
      <c r="C24" s="1262"/>
      <c r="D24" s="1331"/>
    </row>
    <row r="25" spans="1:4" ht="20">
      <c r="A25" s="1326" t="s">
        <v>1448</v>
      </c>
      <c r="B25" s="1262"/>
      <c r="C25" s="1262"/>
      <c r="D25" s="1262"/>
    </row>
    <row r="26" spans="1:4" ht="5.25" customHeight="1">
      <c r="A26" s="1262"/>
      <c r="B26" s="1262"/>
      <c r="C26" s="1262"/>
      <c r="D26" s="1262"/>
    </row>
    <row r="27" spans="1:4" ht="18" customHeight="1">
      <c r="A27" s="1345" t="s">
        <v>1449</v>
      </c>
      <c r="B27" s="1345" t="s">
        <v>1450</v>
      </c>
      <c r="C27" s="1345" t="s">
        <v>1451</v>
      </c>
      <c r="D27" s="1262"/>
    </row>
    <row r="28" spans="1:4" ht="30" customHeight="1">
      <c r="A28" s="1346" t="s">
        <v>1311</v>
      </c>
      <c r="B28" s="748" t="s">
        <v>1452</v>
      </c>
      <c r="C28" s="749" t="s">
        <v>2245</v>
      </c>
      <c r="D28" s="1262"/>
    </row>
    <row r="29" spans="1:4" ht="30" customHeight="1">
      <c r="A29" s="1346" t="s">
        <v>1571</v>
      </c>
      <c r="B29" s="748" t="s">
        <v>2243</v>
      </c>
      <c r="C29" s="749" t="s">
        <v>2244</v>
      </c>
      <c r="D29" s="1262"/>
    </row>
    <row r="30" spans="1:4" ht="30" customHeight="1">
      <c r="A30" s="1347" t="s">
        <v>2298</v>
      </c>
      <c r="B30" s="1348" t="s">
        <v>1458</v>
      </c>
      <c r="C30" s="1348" t="s">
        <v>2242</v>
      </c>
      <c r="D30" s="1262"/>
    </row>
    <row r="31" spans="1:4" ht="18" hidden="1" customHeight="1">
      <c r="A31" s="1349" t="s">
        <v>1453</v>
      </c>
      <c r="B31" s="1348" t="s">
        <v>1454</v>
      </c>
      <c r="C31" s="1348" t="s">
        <v>1455</v>
      </c>
      <c r="D31" s="1262"/>
    </row>
    <row r="32" spans="1:4" ht="18" hidden="1" customHeight="1">
      <c r="A32" s="1349" t="s">
        <v>1246</v>
      </c>
      <c r="B32" s="1348" t="s">
        <v>1456</v>
      </c>
      <c r="C32" s="1348" t="s">
        <v>1457</v>
      </c>
      <c r="D32" s="1331"/>
    </row>
    <row r="33" spans="1:4" ht="18" hidden="1" customHeight="1">
      <c r="A33" s="1350" t="s">
        <v>1422</v>
      </c>
      <c r="B33" s="1348" t="s">
        <v>1459</v>
      </c>
      <c r="C33" s="1348" t="s">
        <v>1460</v>
      </c>
      <c r="D33" s="1262"/>
    </row>
    <row r="34" spans="1:4" ht="44.25" hidden="1" customHeight="1">
      <c r="A34" s="1351" t="s">
        <v>1461</v>
      </c>
      <c r="B34" s="1348" t="s">
        <v>1459</v>
      </c>
      <c r="C34" s="1348" t="s">
        <v>1462</v>
      </c>
      <c r="D34" s="1352"/>
    </row>
    <row r="35" spans="1:4" ht="44.25" customHeight="1">
      <c r="A35" s="1351" t="s">
        <v>2345</v>
      </c>
      <c r="B35" s="1348" t="s">
        <v>1459</v>
      </c>
      <c r="C35" s="1348" t="s">
        <v>2346</v>
      </c>
      <c r="D35" s="1352"/>
    </row>
    <row r="36" spans="1:4" ht="30" customHeight="1">
      <c r="A36" s="1351" t="s">
        <v>1463</v>
      </c>
      <c r="B36" s="1348" t="s">
        <v>1459</v>
      </c>
      <c r="C36" s="1348" t="s">
        <v>1464</v>
      </c>
      <c r="D36" s="1262"/>
    </row>
    <row r="37" spans="1:4" ht="44.25" hidden="1" customHeight="1">
      <c r="A37" s="1351" t="s">
        <v>1465</v>
      </c>
      <c r="B37" s="1348" t="s">
        <v>1459</v>
      </c>
      <c r="C37" s="1348" t="s">
        <v>1466</v>
      </c>
    </row>
    <row r="38" spans="1:4" ht="30" hidden="1" customHeight="1">
      <c r="A38" s="1351" t="s">
        <v>1467</v>
      </c>
      <c r="B38" s="1348" t="s">
        <v>1459</v>
      </c>
      <c r="C38" s="1348" t="s">
        <v>1468</v>
      </c>
    </row>
    <row r="39" spans="1:4">
      <c r="A39" s="1262"/>
      <c r="B39" s="1262"/>
      <c r="C39" s="1262"/>
      <c r="D39" s="1262"/>
    </row>
    <row r="40" spans="1:4">
      <c r="A40" s="1262"/>
      <c r="B40" s="1262"/>
      <c r="C40" s="1262"/>
      <c r="D40" s="1262"/>
    </row>
    <row r="41" spans="1:4">
      <c r="A41" s="1262"/>
      <c r="B41" s="1262"/>
      <c r="C41" s="1262"/>
      <c r="D41" s="1262"/>
    </row>
  </sheetData>
  <sheetProtection algorithmName="SHA-512" hashValue="NhBnOc4KNlyPfKMgmFfEABszkRQLJfPP8ZNvoVgsp2JEN61VqtBM+A+obt+ZS+7/sb/Qg3HGbcJ290uHXA2zvA==" saltValue="3yBezmdSGQhkWsntnuHLjA==" spinCount="100000" sheet="1" objects="1" scenarios="1"/>
  <pageMargins left="0.7" right="0.7" top="0.75" bottom="0.75" header="0.3" footer="0.3"/>
  <pageSetup paperSize="9" scale="73"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Tabelle3"/>
  <dimension ref="A2:K24"/>
  <sheetViews>
    <sheetView workbookViewId="0">
      <selection activeCell="C6" sqref="C6"/>
    </sheetView>
  </sheetViews>
  <sheetFormatPr baseColWidth="10" defaultColWidth="9.83203125" defaultRowHeight="14"/>
  <cols>
    <col min="1" max="1" width="9.83203125" style="703"/>
    <col min="2" max="2" width="22.5" style="703" customWidth="1"/>
    <col min="3" max="3" width="27" style="703" customWidth="1"/>
    <col min="4" max="4" width="16.5" style="703" customWidth="1"/>
    <col min="5" max="5" width="37" style="703" customWidth="1"/>
    <col min="6" max="6" width="22.5" style="703" customWidth="1"/>
    <col min="7" max="7" width="9.83203125" style="703"/>
    <col min="8" max="8" width="24.6640625" style="703" customWidth="1"/>
    <col min="9" max="9" width="15.33203125" style="703" customWidth="1"/>
    <col min="10" max="16384" width="9.83203125" style="703"/>
  </cols>
  <sheetData>
    <row r="2" spans="1:11" ht="30">
      <c r="A2" s="1353" t="s">
        <v>1404</v>
      </c>
    </row>
    <row r="5" spans="1:11" s="1354" customFormat="1" ht="16">
      <c r="B5" s="1354" t="s">
        <v>1405</v>
      </c>
      <c r="E5" s="1354" t="s">
        <v>1406</v>
      </c>
      <c r="H5" s="1354" t="s">
        <v>1407</v>
      </c>
      <c r="J5" s="1354" t="s">
        <v>1516</v>
      </c>
    </row>
    <row r="6" spans="1:11" s="1079" customFormat="1" ht="30">
      <c r="B6" s="1355" t="s">
        <v>1115</v>
      </c>
      <c r="E6" s="1356" t="s">
        <v>1115</v>
      </c>
      <c r="F6" s="1357" t="s">
        <v>1408</v>
      </c>
      <c r="H6" s="1356" t="s">
        <v>828</v>
      </c>
      <c r="I6" s="1357" t="s">
        <v>1409</v>
      </c>
    </row>
    <row r="7" spans="1:11" s="1079" customFormat="1" ht="60">
      <c r="B7" s="1079" t="s">
        <v>1410</v>
      </c>
      <c r="E7" s="1140" t="s">
        <v>1411</v>
      </c>
      <c r="F7" s="1357" t="s">
        <v>1523</v>
      </c>
      <c r="H7" s="1358" t="s">
        <v>1507</v>
      </c>
      <c r="I7" s="1357" t="s">
        <v>1506</v>
      </c>
      <c r="J7" s="1079" t="s">
        <v>1517</v>
      </c>
    </row>
    <row r="8" spans="1:11" ht="60">
      <c r="B8" s="703" t="s">
        <v>1412</v>
      </c>
      <c r="E8" s="703" t="s">
        <v>1413</v>
      </c>
      <c r="F8" s="1357" t="s">
        <v>1505</v>
      </c>
      <c r="H8" s="703" t="s">
        <v>1508</v>
      </c>
      <c r="I8" s="1357" t="s">
        <v>1506</v>
      </c>
      <c r="J8" s="703" t="s">
        <v>1518</v>
      </c>
    </row>
    <row r="9" spans="1:11" ht="60">
      <c r="B9" s="703" t="s">
        <v>1414</v>
      </c>
      <c r="E9" s="703" t="s">
        <v>1195</v>
      </c>
      <c r="F9" s="1357" t="s">
        <v>1505</v>
      </c>
      <c r="H9" s="1358" t="s">
        <v>1510</v>
      </c>
      <c r="I9" s="1357" t="s">
        <v>1506</v>
      </c>
      <c r="J9" s="703" t="s">
        <v>1519</v>
      </c>
      <c r="K9" s="1357"/>
    </row>
    <row r="10" spans="1:11" s="1079" customFormat="1" ht="45">
      <c r="B10" s="1079" t="s">
        <v>1261</v>
      </c>
      <c r="C10" s="1357" t="s">
        <v>1415</v>
      </c>
      <c r="E10" s="1079" t="s">
        <v>1416</v>
      </c>
      <c r="F10" s="1357" t="s">
        <v>1506</v>
      </c>
      <c r="H10" s="703" t="s">
        <v>880</v>
      </c>
      <c r="I10" s="1357" t="s">
        <v>1509</v>
      </c>
    </row>
    <row r="11" spans="1:11" ht="60">
      <c r="B11" s="703" t="s">
        <v>1256</v>
      </c>
      <c r="H11" s="703" t="s">
        <v>1499</v>
      </c>
      <c r="I11" s="1357" t="s">
        <v>1506</v>
      </c>
      <c r="J11" s="703" t="s">
        <v>1520</v>
      </c>
    </row>
    <row r="12" spans="1:11" s="718" customFormat="1" ht="60">
      <c r="B12" s="718" t="s">
        <v>1417</v>
      </c>
      <c r="H12" s="703" t="s">
        <v>1511</v>
      </c>
      <c r="I12" s="1357" t="s">
        <v>1506</v>
      </c>
      <c r="J12" s="718" t="s">
        <v>1521</v>
      </c>
    </row>
    <row r="13" spans="1:11" s="1079" customFormat="1" ht="60">
      <c r="B13" s="1140" t="s">
        <v>1418</v>
      </c>
      <c r="H13" s="1358" t="s">
        <v>1512</v>
      </c>
      <c r="I13" s="1357" t="s">
        <v>1506</v>
      </c>
      <c r="J13" s="703" t="s">
        <v>1519</v>
      </c>
    </row>
    <row r="14" spans="1:11" ht="30">
      <c r="B14" s="703" t="s">
        <v>1419</v>
      </c>
      <c r="H14" s="703" t="s">
        <v>1513</v>
      </c>
      <c r="I14" s="1357" t="s">
        <v>1509</v>
      </c>
    </row>
    <row r="15" spans="1:11" ht="60">
      <c r="B15" s="703" t="s">
        <v>1420</v>
      </c>
      <c r="H15" s="703" t="s">
        <v>1500</v>
      </c>
      <c r="I15" s="1357" t="s">
        <v>1506</v>
      </c>
      <c r="J15" s="703" t="s">
        <v>1520</v>
      </c>
    </row>
    <row r="16" spans="1:11" ht="45">
      <c r="B16" s="703" t="s">
        <v>1421</v>
      </c>
      <c r="H16" s="703" t="s">
        <v>1514</v>
      </c>
      <c r="I16" s="1357" t="s">
        <v>1515</v>
      </c>
    </row>
    <row r="17" spans="2:9" ht="45">
      <c r="H17" s="703" t="s">
        <v>999</v>
      </c>
      <c r="I17" s="1357" t="s">
        <v>1515</v>
      </c>
    </row>
    <row r="22" spans="2:9">
      <c r="B22" s="724" t="s">
        <v>1422</v>
      </c>
      <c r="E22" s="1359" t="s">
        <v>1522</v>
      </c>
      <c r="H22" s="724" t="s">
        <v>1522</v>
      </c>
    </row>
    <row r="23" spans="2:9" s="1079" customFormat="1" ht="45">
      <c r="B23" s="1356" t="s">
        <v>1423</v>
      </c>
      <c r="C23" s="1357" t="s">
        <v>1424</v>
      </c>
      <c r="E23" s="1360" t="s">
        <v>1151</v>
      </c>
      <c r="H23" s="1361" t="s">
        <v>1423</v>
      </c>
    </row>
    <row r="24" spans="2:9" ht="18">
      <c r="E24" s="1361" t="s">
        <v>828</v>
      </c>
    </row>
  </sheetData>
  <sheetProtection algorithmName="SHA-512" hashValue="4KySQtyXbhOt1wqDzM7K1cRvlwGmU661PcN3XU/sb7Nj+/s4qV6k2X0Y6Da3IORPtvCSok9g6LAcGfsS+zRHYg==" saltValue="qCxlrZs1i1LsK8SUqGorCw==" spinCount="100000" sheet="1" objects="1" scenarios="1"/>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Tabelle4">
    <tabColor rgb="FFD0EBB3"/>
    <pageSetUpPr fitToPage="1"/>
  </sheetPr>
  <dimension ref="A1:P204"/>
  <sheetViews>
    <sheetView tabSelected="1" topLeftCell="A70" zoomScale="140" zoomScaleNormal="140" zoomScalePageLayoutView="110" workbookViewId="0">
      <selection activeCell="B117" sqref="B117"/>
    </sheetView>
  </sheetViews>
  <sheetFormatPr baseColWidth="10" defaultColWidth="12.5" defaultRowHeight="14"/>
  <cols>
    <col min="1" max="1" width="29.83203125" style="703" customWidth="1"/>
    <col min="2" max="2" width="13.5" style="703" bestFit="1" customWidth="1"/>
    <col min="3" max="3" width="14.1640625" style="703" customWidth="1"/>
    <col min="4" max="7" width="13.1640625" style="703" bestFit="1" customWidth="1"/>
    <col min="8" max="8" width="13.5" style="703" customWidth="1"/>
    <col min="9" max="9" width="13.1640625" style="703" customWidth="1"/>
    <col min="10" max="16384" width="12.5" style="703"/>
  </cols>
  <sheetData>
    <row r="1" spans="1:13" ht="33" customHeight="1">
      <c r="A1" s="739"/>
      <c r="B1" s="739"/>
      <c r="C1" s="739"/>
      <c r="D1" s="739"/>
      <c r="E1" s="739"/>
      <c r="F1" s="739"/>
      <c r="G1" s="739"/>
      <c r="H1" s="739"/>
      <c r="I1" s="739"/>
      <c r="J1" s="739"/>
      <c r="K1" s="739"/>
      <c r="L1" s="739"/>
    </row>
    <row r="2" spans="1:13">
      <c r="A2" s="739" t="s">
        <v>1377</v>
      </c>
      <c r="B2" s="739"/>
      <c r="C2" s="739"/>
      <c r="D2" s="739"/>
      <c r="E2" s="739"/>
      <c r="F2" s="739"/>
      <c r="G2" s="739"/>
      <c r="H2" s="739"/>
      <c r="I2" s="739"/>
      <c r="J2" s="739"/>
      <c r="K2" s="739"/>
      <c r="L2" s="739"/>
    </row>
    <row r="3" spans="1:13">
      <c r="A3" s="739" t="s">
        <v>1378</v>
      </c>
      <c r="B3" s="739"/>
      <c r="C3" s="739"/>
      <c r="D3" s="739"/>
      <c r="E3" s="739"/>
      <c r="F3" s="739"/>
      <c r="G3" s="739"/>
      <c r="H3" s="739"/>
      <c r="I3" s="739"/>
      <c r="J3" s="739"/>
      <c r="K3" s="739"/>
      <c r="L3" s="739"/>
    </row>
    <row r="4" spans="1:13">
      <c r="A4" s="739" t="s">
        <v>1379</v>
      </c>
      <c r="B4" s="739"/>
      <c r="C4" s="739"/>
      <c r="D4" s="739"/>
      <c r="E4" s="739"/>
      <c r="F4" s="739"/>
      <c r="G4" s="739"/>
      <c r="H4" s="739"/>
      <c r="I4" s="739"/>
      <c r="J4" s="739"/>
      <c r="K4" s="739"/>
      <c r="L4" s="739"/>
    </row>
    <row r="5" spans="1:13">
      <c r="A5" s="739" t="s">
        <v>1380</v>
      </c>
      <c r="B5" s="739"/>
      <c r="C5" s="739"/>
      <c r="D5" s="739"/>
      <c r="E5" s="739"/>
      <c r="F5" s="739"/>
      <c r="G5" s="739"/>
      <c r="H5" s="739"/>
      <c r="I5" s="739"/>
      <c r="J5" s="739"/>
      <c r="K5" s="739"/>
      <c r="L5" s="739"/>
    </row>
    <row r="6" spans="1:13">
      <c r="A6" s="739" t="s">
        <v>1381</v>
      </c>
      <c r="B6" s="739"/>
      <c r="C6" s="739"/>
      <c r="D6" s="739"/>
      <c r="E6" s="739"/>
      <c r="F6" s="739"/>
      <c r="G6" s="739"/>
      <c r="H6" s="739"/>
      <c r="I6" s="739"/>
      <c r="J6" s="739"/>
      <c r="K6" s="739"/>
      <c r="L6" s="739"/>
    </row>
    <row r="7" spans="1:13">
      <c r="A7" s="739" t="s">
        <v>1382</v>
      </c>
      <c r="B7" s="739"/>
      <c r="C7" s="739"/>
      <c r="D7" s="739"/>
      <c r="E7" s="739"/>
      <c r="F7" s="739"/>
      <c r="G7" s="739"/>
      <c r="H7" s="739"/>
      <c r="I7" s="739"/>
      <c r="J7" s="739"/>
      <c r="K7" s="739"/>
      <c r="L7" s="739"/>
    </row>
    <row r="8" spans="1:13">
      <c r="A8" s="739"/>
      <c r="B8" s="739"/>
      <c r="C8" s="739"/>
      <c r="D8" s="739"/>
      <c r="E8" s="739"/>
      <c r="F8" s="739"/>
      <c r="G8" s="739"/>
      <c r="H8" s="739"/>
      <c r="I8" s="739"/>
      <c r="J8" s="739"/>
      <c r="K8" s="739"/>
      <c r="L8" s="739"/>
    </row>
    <row r="9" spans="1:13" ht="23">
      <c r="A9" s="740" t="s">
        <v>1383</v>
      </c>
      <c r="B9" s="741"/>
      <c r="C9" s="741"/>
      <c r="D9" s="741"/>
      <c r="E9" s="741"/>
      <c r="F9" s="741"/>
      <c r="G9" s="741"/>
      <c r="H9" s="742"/>
      <c r="I9" s="742"/>
      <c r="J9" s="742"/>
      <c r="K9" s="742"/>
      <c r="L9" s="742"/>
    </row>
    <row r="10" spans="1:13">
      <c r="A10" s="739"/>
      <c r="B10" s="739"/>
      <c r="C10" s="739"/>
      <c r="D10" s="739"/>
      <c r="E10" s="739"/>
      <c r="F10" s="739"/>
      <c r="G10" s="739"/>
      <c r="H10" s="739"/>
      <c r="I10" s="739"/>
      <c r="J10" s="739"/>
      <c r="K10" s="739"/>
      <c r="L10" s="739"/>
    </row>
    <row r="11" spans="1:13" ht="16">
      <c r="A11" s="1240" t="s">
        <v>2252</v>
      </c>
      <c r="B11" s="1240"/>
      <c r="C11" s="1240"/>
      <c r="D11" s="1240"/>
      <c r="E11" s="1240"/>
      <c r="F11" s="1240"/>
      <c r="G11" s="1240"/>
      <c r="H11" s="1240"/>
      <c r="I11" s="1240"/>
      <c r="J11" s="1240"/>
      <c r="K11" s="1240"/>
      <c r="L11" s="1240"/>
      <c r="M11" s="1266"/>
    </row>
    <row r="12" spans="1:13" s="704" customFormat="1">
      <c r="A12" s="1242" t="s">
        <v>2254</v>
      </c>
      <c r="B12" s="1242"/>
      <c r="C12" s="1242"/>
      <c r="D12" s="1242"/>
      <c r="E12" s="1242"/>
      <c r="F12" s="1242"/>
      <c r="G12" s="1242"/>
      <c r="H12" s="1242"/>
      <c r="I12" s="1242"/>
      <c r="J12" s="1242"/>
      <c r="K12" s="1242"/>
      <c r="L12" s="1242"/>
      <c r="M12" s="747"/>
    </row>
    <row r="13" spans="1:13" s="704" customFormat="1">
      <c r="A13" s="1242" t="s">
        <v>1384</v>
      </c>
      <c r="B13" s="1242"/>
      <c r="C13" s="1242"/>
      <c r="D13" s="1242"/>
      <c r="E13" s="1242"/>
      <c r="F13" s="1242"/>
      <c r="G13" s="1242"/>
      <c r="H13" s="1242"/>
      <c r="I13" s="1242"/>
      <c r="J13" s="1242"/>
      <c r="K13" s="1242"/>
      <c r="L13" s="1242"/>
      <c r="M13" s="747" t="s">
        <v>2253</v>
      </c>
    </row>
    <row r="14" spans="1:13" s="704" customFormat="1">
      <c r="A14" s="1242" t="s">
        <v>1385</v>
      </c>
      <c r="B14" s="1242"/>
      <c r="C14" s="1242"/>
      <c r="D14" s="1242"/>
      <c r="E14" s="1242"/>
      <c r="F14" s="1242"/>
      <c r="G14" s="1242"/>
      <c r="H14" s="1242"/>
      <c r="I14" s="1242"/>
      <c r="J14" s="1242"/>
      <c r="K14" s="1242"/>
      <c r="L14" s="1242"/>
    </row>
    <row r="15" spans="1:13" s="704" customFormat="1">
      <c r="A15" s="1242" t="s">
        <v>1388</v>
      </c>
      <c r="B15" s="1242"/>
      <c r="C15" s="1242"/>
      <c r="D15" s="1242"/>
      <c r="E15" s="1242"/>
      <c r="F15" s="1242"/>
      <c r="G15" s="1242"/>
      <c r="H15" s="1242"/>
      <c r="I15" s="1242"/>
      <c r="J15" s="1242"/>
      <c r="K15" s="1242"/>
      <c r="L15" s="1242"/>
    </row>
    <row r="16" spans="1:13" s="704" customFormat="1">
      <c r="A16" s="1242" t="s">
        <v>1387</v>
      </c>
      <c r="B16" s="1242"/>
      <c r="C16" s="1242"/>
      <c r="D16" s="1242"/>
      <c r="E16" s="1242"/>
      <c r="F16" s="1242"/>
      <c r="G16" s="1242"/>
      <c r="H16" s="1242"/>
      <c r="I16" s="1242"/>
      <c r="J16" s="1242"/>
      <c r="K16" s="1242"/>
      <c r="L16" s="1242"/>
    </row>
    <row r="17" spans="1:14" s="704" customFormat="1" hidden="1">
      <c r="A17" s="744" t="s">
        <v>1386</v>
      </c>
      <c r="B17" s="744"/>
      <c r="C17" s="744"/>
      <c r="D17" s="744"/>
      <c r="E17" s="744"/>
      <c r="F17" s="744"/>
      <c r="G17" s="744"/>
      <c r="H17" s="744"/>
      <c r="I17" s="744"/>
      <c r="J17" s="744"/>
      <c r="K17" s="744"/>
      <c r="L17" s="744"/>
    </row>
    <row r="18" spans="1:14">
      <c r="A18" s="739"/>
      <c r="B18" s="739"/>
      <c r="C18" s="739"/>
      <c r="D18" s="739"/>
      <c r="E18" s="739"/>
      <c r="F18" s="739"/>
      <c r="G18" s="739"/>
      <c r="H18" s="739"/>
      <c r="I18" s="739"/>
      <c r="J18" s="739"/>
      <c r="K18" s="739"/>
      <c r="L18" s="739"/>
    </row>
    <row r="19" spans="1:14" ht="23">
      <c r="A19" s="740" t="s">
        <v>1389</v>
      </c>
      <c r="B19" s="741"/>
      <c r="C19" s="741"/>
      <c r="D19" s="741"/>
      <c r="E19" s="741"/>
      <c r="F19" s="741"/>
      <c r="G19" s="741"/>
      <c r="H19" s="742"/>
      <c r="I19" s="742"/>
      <c r="J19" s="742"/>
      <c r="K19" s="742"/>
      <c r="L19" s="742"/>
    </row>
    <row r="20" spans="1:14">
      <c r="A20" s="739"/>
      <c r="B20" s="739"/>
      <c r="C20" s="739"/>
      <c r="D20" s="739"/>
      <c r="E20" s="739"/>
      <c r="F20" s="739"/>
      <c r="G20" s="739"/>
      <c r="H20" s="739"/>
      <c r="I20" s="739"/>
      <c r="J20" s="739"/>
      <c r="K20" s="739"/>
      <c r="L20" s="739"/>
    </row>
    <row r="21" spans="1:14" ht="30" customHeight="1">
      <c r="A21" s="1365" t="s">
        <v>1390</v>
      </c>
      <c r="B21" s="1366"/>
      <c r="C21" s="1366"/>
      <c r="D21" s="1366"/>
      <c r="E21" s="1366"/>
      <c r="F21" s="1366"/>
      <c r="G21" s="1366"/>
      <c r="H21" s="1366"/>
      <c r="I21" s="1240"/>
      <c r="J21" s="1240"/>
      <c r="K21" s="1240"/>
      <c r="L21" s="1240"/>
    </row>
    <row r="22" spans="1:14">
      <c r="A22" s="1240" t="s">
        <v>1391</v>
      </c>
      <c r="B22" s="1240"/>
      <c r="C22" s="1240"/>
      <c r="D22" s="1240"/>
      <c r="E22" s="1240"/>
      <c r="F22" s="1240"/>
      <c r="G22" s="1240"/>
      <c r="H22" s="1240"/>
      <c r="I22" s="1240"/>
      <c r="J22" s="1240"/>
      <c r="K22" s="1240"/>
      <c r="L22" s="1240"/>
    </row>
    <row r="23" spans="1:14" ht="31.5" customHeight="1">
      <c r="A23" s="1258" t="s">
        <v>1115</v>
      </c>
      <c r="B23" s="1232" t="s">
        <v>1122</v>
      </c>
      <c r="C23" s="1240"/>
      <c r="D23" s="1240"/>
      <c r="E23" s="1240"/>
      <c r="F23" s="1240"/>
      <c r="G23" s="1240"/>
      <c r="H23" s="1240"/>
      <c r="I23" s="1240"/>
      <c r="J23" s="1240"/>
      <c r="K23" s="1240"/>
      <c r="L23" s="1240"/>
    </row>
    <row r="24" spans="1:14" ht="16">
      <c r="A24" s="1240" t="s">
        <v>1269</v>
      </c>
      <c r="B24" s="1231">
        <v>50</v>
      </c>
      <c r="C24" s="1240" t="s">
        <v>1242</v>
      </c>
      <c r="D24" s="1254" t="s">
        <v>1810</v>
      </c>
      <c r="E24" s="1240"/>
      <c r="F24" s="1240"/>
      <c r="G24" s="1240"/>
      <c r="H24" s="1240"/>
      <c r="I24" s="1240"/>
      <c r="J24" s="1240"/>
      <c r="K24" s="1240"/>
      <c r="L24" s="1240"/>
    </row>
    <row r="25" spans="1:14" ht="16">
      <c r="A25" s="1240" t="s">
        <v>1270</v>
      </c>
      <c r="B25" s="1231">
        <v>14.2</v>
      </c>
      <c r="C25" s="1240" t="s">
        <v>1244</v>
      </c>
      <c r="D25" s="1240"/>
      <c r="E25" s="1240"/>
      <c r="F25" s="1240"/>
      <c r="G25" s="1240"/>
      <c r="H25" s="1240"/>
      <c r="I25" s="1240"/>
      <c r="J25" s="1240"/>
      <c r="K25" s="1240"/>
      <c r="L25" s="1240"/>
    </row>
    <row r="26" spans="1:14" ht="16">
      <c r="A26" s="1240" t="s">
        <v>2296</v>
      </c>
      <c r="B26" s="1268">
        <f ca="1">IF(Rechenmodell!B4=0,12,Rechenmodell!B4)</f>
        <v>17.175000000000001</v>
      </c>
      <c r="C26" s="1240" t="s">
        <v>1245</v>
      </c>
      <c r="D26" s="1368" t="s">
        <v>1809</v>
      </c>
      <c r="E26" s="1368"/>
      <c r="F26" s="1368"/>
      <c r="G26" s="1368"/>
      <c r="H26" s="1368"/>
      <c r="I26" s="1240"/>
      <c r="J26" s="1240"/>
      <c r="K26" s="1240"/>
      <c r="L26" s="1240"/>
    </row>
    <row r="27" spans="1:14" ht="16">
      <c r="A27" s="1240" t="s">
        <v>1773</v>
      </c>
      <c r="B27" s="786">
        <v>5</v>
      </c>
      <c r="C27" s="1240"/>
      <c r="D27" s="1368"/>
      <c r="E27" s="1368"/>
      <c r="F27" s="1368"/>
      <c r="G27" s="1368"/>
      <c r="H27" s="1368"/>
      <c r="I27" s="1240"/>
      <c r="J27" s="1240"/>
      <c r="K27" s="1240"/>
      <c r="L27" s="1240"/>
      <c r="M27" s="717">
        <f>'Hilfstabelle Gebäudeklasse'!B8</f>
        <v>12</v>
      </c>
      <c r="N27" s="703" t="s">
        <v>2173</v>
      </c>
    </row>
    <row r="28" spans="1:14" ht="16">
      <c r="A28" s="1240" t="s">
        <v>1261</v>
      </c>
      <c r="B28" s="745">
        <v>2.4</v>
      </c>
      <c r="C28" s="1240" t="s">
        <v>84</v>
      </c>
      <c r="D28" s="1256" t="s">
        <v>1663</v>
      </c>
      <c r="E28" s="1240"/>
      <c r="F28" s="1256">
        <f>Rechenmodell!B16</f>
        <v>2.4</v>
      </c>
      <c r="G28" s="1240"/>
      <c r="H28" s="1240"/>
      <c r="I28" s="1240"/>
      <c r="J28" s="1240"/>
      <c r="K28" s="1240"/>
      <c r="L28" s="1240"/>
    </row>
    <row r="29" spans="1:14" ht="16">
      <c r="A29" s="1240" t="s">
        <v>1695</v>
      </c>
      <c r="B29" s="745">
        <v>0.8</v>
      </c>
      <c r="C29" s="1240" t="s">
        <v>84</v>
      </c>
      <c r="D29" s="1240"/>
      <c r="E29" s="1240"/>
      <c r="F29" s="1240"/>
      <c r="G29" s="1240"/>
      <c r="H29" s="1240"/>
      <c r="I29" s="1240"/>
      <c r="J29" s="1240"/>
      <c r="K29" s="1240"/>
      <c r="L29" s="1240"/>
      <c r="M29" s="747" t="s">
        <v>1606</v>
      </c>
    </row>
    <row r="30" spans="1:14" ht="16">
      <c r="A30" s="1240" t="s">
        <v>1772</v>
      </c>
      <c r="B30" s="745">
        <v>2.1</v>
      </c>
      <c r="C30" s="1240" t="s">
        <v>84</v>
      </c>
      <c r="D30" s="1240"/>
      <c r="E30" s="1240"/>
      <c r="F30" s="1240"/>
      <c r="G30" s="1240"/>
      <c r="H30" s="1240"/>
      <c r="I30" s="1240"/>
      <c r="J30" s="1240"/>
      <c r="K30" s="1240"/>
      <c r="L30" s="1240"/>
    </row>
    <row r="31" spans="1:14" ht="16">
      <c r="A31" s="1240" t="s">
        <v>1811</v>
      </c>
      <c r="B31" s="786">
        <v>3</v>
      </c>
      <c r="C31" s="1240"/>
      <c r="D31" s="1240"/>
      <c r="E31" s="1240"/>
      <c r="F31" s="1240"/>
      <c r="G31" s="1240"/>
      <c r="H31" s="1240"/>
      <c r="I31" s="1240"/>
      <c r="J31" s="1240"/>
      <c r="K31" s="1240"/>
      <c r="L31" s="1240"/>
      <c r="M31" s="747" t="s">
        <v>1607</v>
      </c>
    </row>
    <row r="32" spans="1:14" ht="47.5" customHeight="1">
      <c r="A32" s="1258" t="s">
        <v>1815</v>
      </c>
      <c r="B32" s="1233" t="s">
        <v>2091</v>
      </c>
      <c r="C32" s="1240"/>
      <c r="D32" s="1240"/>
      <c r="E32" s="1240"/>
      <c r="F32" s="1240"/>
      <c r="G32" s="1240"/>
      <c r="H32" s="1240"/>
      <c r="I32" s="1240"/>
      <c r="J32" s="1240"/>
      <c r="K32" s="1240"/>
      <c r="L32" s="1240"/>
      <c r="M32" s="747"/>
    </row>
    <row r="33" spans="1:16" ht="16">
      <c r="A33" s="1240" t="s">
        <v>1632</v>
      </c>
      <c r="B33" s="767" t="s">
        <v>1634</v>
      </c>
      <c r="C33" s="1257" t="s">
        <v>1635</v>
      </c>
      <c r="D33" s="1240"/>
      <c r="E33" s="1240"/>
      <c r="F33" s="1240"/>
      <c r="G33" s="1240"/>
      <c r="H33" s="1240"/>
      <c r="I33" s="1240"/>
      <c r="J33" s="1240"/>
      <c r="K33" s="1240"/>
      <c r="L33" s="1240"/>
      <c r="M33" s="703" t="s">
        <v>1636</v>
      </c>
      <c r="N33" s="703">
        <f>IF(B33="DE01",0.275,IF(B33="DE02",0.215,0))</f>
        <v>0.215</v>
      </c>
      <c r="O33" s="703" t="s">
        <v>84</v>
      </c>
      <c r="P33" s="747" t="s">
        <v>1562</v>
      </c>
    </row>
    <row r="34" spans="1:16">
      <c r="A34" s="1240"/>
      <c r="B34" s="1240"/>
      <c r="C34" s="1240"/>
      <c r="D34" s="1240"/>
      <c r="E34" s="1240"/>
      <c r="F34" s="1240"/>
      <c r="G34" s="1240"/>
      <c r="H34" s="1240"/>
      <c r="I34" s="1240"/>
      <c r="J34" s="1240"/>
      <c r="K34" s="1240"/>
      <c r="L34" s="1240"/>
      <c r="P34" s="747"/>
    </row>
    <row r="35" spans="1:16" ht="16">
      <c r="A35" s="1255" t="s">
        <v>1524</v>
      </c>
      <c r="B35" s="1254"/>
      <c r="C35" s="1254"/>
      <c r="D35" s="1254"/>
      <c r="E35" s="1254"/>
      <c r="F35" s="1254"/>
      <c r="G35" s="1240"/>
      <c r="H35" s="1240"/>
      <c r="I35" s="1240"/>
      <c r="J35" s="1240"/>
      <c r="K35" s="1240"/>
      <c r="L35" s="1240"/>
      <c r="P35" s="747"/>
    </row>
    <row r="36" spans="1:16">
      <c r="A36" s="1250" t="s">
        <v>2258</v>
      </c>
      <c r="B36" s="1250"/>
      <c r="C36" s="1250"/>
      <c r="D36" s="1250"/>
      <c r="E36" s="1250"/>
      <c r="F36" s="1250"/>
      <c r="G36" s="1240"/>
      <c r="H36" s="1240"/>
      <c r="I36" s="1240"/>
      <c r="J36" s="1240"/>
      <c r="K36" s="1240"/>
      <c r="L36" s="1240"/>
      <c r="P36" s="747"/>
    </row>
    <row r="37" spans="1:16">
      <c r="A37" s="1250" t="s">
        <v>2255</v>
      </c>
      <c r="B37" s="1250"/>
      <c r="C37" s="1250"/>
      <c r="D37" s="1250"/>
      <c r="E37" s="1250"/>
      <c r="F37" s="1250"/>
      <c r="G37" s="1240"/>
      <c r="H37" s="1240"/>
      <c r="I37" s="1240"/>
      <c r="J37" s="1240"/>
      <c r="K37" s="1240"/>
      <c r="L37" s="1240"/>
      <c r="P37" s="747"/>
    </row>
    <row r="38" spans="1:16">
      <c r="A38" s="1250" t="s">
        <v>2256</v>
      </c>
      <c r="B38" s="1250"/>
      <c r="C38" s="1250"/>
      <c r="D38" s="1250"/>
      <c r="E38" s="1250"/>
      <c r="F38" s="1250"/>
      <c r="G38" s="1240"/>
      <c r="H38" s="1240"/>
      <c r="I38" s="1240"/>
      <c r="J38" s="1240"/>
      <c r="K38" s="1240"/>
      <c r="L38" s="1240"/>
      <c r="M38" s="747" t="s">
        <v>1525</v>
      </c>
      <c r="P38" s="747"/>
    </row>
    <row r="39" spans="1:16">
      <c r="A39" s="1250" t="s">
        <v>2257</v>
      </c>
      <c r="B39" s="1250"/>
      <c r="C39" s="1250"/>
      <c r="D39" s="1250"/>
      <c r="E39" s="1250"/>
      <c r="F39" s="1250"/>
      <c r="G39" s="1240"/>
      <c r="H39" s="1240"/>
      <c r="I39" s="1240"/>
      <c r="J39" s="1240"/>
      <c r="K39" s="1240"/>
      <c r="L39" s="1240"/>
      <c r="P39" s="747"/>
    </row>
    <row r="40" spans="1:16" ht="18">
      <c r="A40" s="1254" t="s">
        <v>2194</v>
      </c>
      <c r="B40" s="1250"/>
      <c r="C40" s="1250"/>
      <c r="D40" s="1178" t="str">
        <f>'Erweiterte Eingabe'!$C$20</f>
        <v>GK4</v>
      </c>
      <c r="E40" s="1250"/>
      <c r="F40" s="1250"/>
      <c r="G40" s="1240"/>
      <c r="H40" s="1240"/>
      <c r="I40" s="1240"/>
      <c r="J40" s="1240"/>
      <c r="K40" s="1240"/>
      <c r="L40" s="1240"/>
      <c r="P40" s="747"/>
    </row>
    <row r="41" spans="1:16">
      <c r="A41" s="1254" t="str">
        <f>'Hilfstabelle Gebäudeklasse'!$I$109</f>
        <v>Auf eine K²60-Kapselung kann ggfs. verzichtet werden.</v>
      </c>
      <c r="B41" s="1250"/>
      <c r="C41" s="1250"/>
      <c r="D41" s="1250"/>
      <c r="E41" s="1250"/>
      <c r="F41" s="1250"/>
      <c r="G41" s="1240"/>
      <c r="H41" s="1240"/>
      <c r="I41" s="1240"/>
      <c r="J41" s="1240"/>
      <c r="K41" s="1240"/>
      <c r="L41" s="1240"/>
      <c r="P41" s="747"/>
    </row>
    <row r="42" spans="1:16">
      <c r="A42" s="1240"/>
      <c r="B42" s="1240"/>
      <c r="C42" s="1240"/>
      <c r="D42" s="1240"/>
      <c r="E42" s="1240"/>
      <c r="F42" s="1240"/>
      <c r="G42" s="1240"/>
      <c r="H42" s="1240"/>
      <c r="I42" s="1240"/>
      <c r="J42" s="1240"/>
      <c r="K42" s="1240"/>
      <c r="L42" s="1240"/>
      <c r="P42" s="747"/>
    </row>
    <row r="43" spans="1:16" ht="16">
      <c r="A43" s="1255" t="s">
        <v>1559</v>
      </c>
      <c r="B43" s="1240"/>
      <c r="C43" s="1240"/>
      <c r="D43" s="1240"/>
      <c r="E43" s="1240"/>
      <c r="F43" s="1240"/>
      <c r="G43" s="1240"/>
      <c r="H43" s="1240"/>
      <c r="I43" s="1240"/>
      <c r="J43" s="1240"/>
      <c r="K43" s="1240"/>
      <c r="L43" s="1240"/>
      <c r="P43" s="747"/>
    </row>
    <row r="44" spans="1:16">
      <c r="A44" s="1250" t="s">
        <v>2307</v>
      </c>
      <c r="B44" s="1240"/>
      <c r="C44" s="1240"/>
      <c r="D44" s="1240"/>
      <c r="E44" s="1240"/>
      <c r="F44" s="1240"/>
      <c r="G44" s="1240"/>
      <c r="H44" s="1240"/>
      <c r="I44" s="1240"/>
      <c r="J44" s="1240"/>
      <c r="K44" s="1240"/>
      <c r="L44" s="1240"/>
      <c r="M44" s="747"/>
      <c r="P44" s="747"/>
    </row>
    <row r="45" spans="1:16">
      <c r="A45" s="1240"/>
      <c r="B45" s="1240"/>
      <c r="C45" s="1240"/>
      <c r="D45" s="1240"/>
      <c r="E45" s="1240"/>
      <c r="F45" s="1240"/>
      <c r="G45" s="1240"/>
      <c r="H45" s="1240"/>
      <c r="I45" s="1240"/>
      <c r="J45" s="1240"/>
      <c r="K45" s="1240"/>
      <c r="L45" s="1240"/>
    </row>
    <row r="46" spans="1:16">
      <c r="A46" s="739"/>
      <c r="B46" s="739"/>
      <c r="C46" s="739"/>
      <c r="D46" s="739"/>
      <c r="E46" s="739"/>
      <c r="F46" s="739"/>
      <c r="G46" s="739"/>
      <c r="H46" s="739"/>
      <c r="I46" s="739"/>
      <c r="J46" s="739"/>
      <c r="K46" s="739"/>
      <c r="L46" s="739"/>
    </row>
    <row r="47" spans="1:16" ht="23">
      <c r="A47" s="740" t="s">
        <v>1397</v>
      </c>
      <c r="B47" s="741"/>
      <c r="C47" s="741"/>
      <c r="D47" s="741"/>
      <c r="E47" s="741"/>
      <c r="F47" s="741"/>
      <c r="G47" s="741"/>
      <c r="H47" s="742"/>
      <c r="I47" s="742"/>
      <c r="J47" s="742"/>
      <c r="K47" s="742"/>
      <c r="L47" s="742"/>
    </row>
    <row r="48" spans="1:16">
      <c r="A48" s="739"/>
      <c r="B48" s="739"/>
      <c r="C48" s="739"/>
      <c r="D48" s="739"/>
      <c r="E48" s="739"/>
      <c r="F48" s="739"/>
      <c r="G48" s="739"/>
      <c r="H48" s="739"/>
      <c r="I48" s="739"/>
      <c r="J48" s="739"/>
      <c r="K48" s="739"/>
      <c r="L48" s="739"/>
    </row>
    <row r="49" spans="1:13">
      <c r="A49" s="1246" t="s">
        <v>1690</v>
      </c>
      <c r="B49" s="1240"/>
      <c r="C49" s="1240"/>
      <c r="D49" s="1240"/>
      <c r="E49" s="1240"/>
      <c r="F49" s="1240"/>
      <c r="G49" s="1240"/>
      <c r="H49" s="1240"/>
      <c r="I49" s="1240"/>
      <c r="J49" s="1240"/>
      <c r="K49" s="1240"/>
      <c r="L49" s="1240"/>
    </row>
    <row r="50" spans="1:13">
      <c r="A50" s="1246"/>
      <c r="B50" s="1240"/>
      <c r="C50" s="1240"/>
      <c r="D50" s="1240"/>
      <c r="E50" s="1240"/>
      <c r="F50" s="1240"/>
      <c r="G50" s="1240"/>
      <c r="H50" s="1240"/>
      <c r="I50" s="1240"/>
      <c r="J50" s="1240"/>
      <c r="K50" s="1240"/>
      <c r="L50" s="1240"/>
    </row>
    <row r="51" spans="1:13">
      <c r="A51" s="1253" t="s">
        <v>1615</v>
      </c>
      <c r="B51" s="1367" t="s">
        <v>1629</v>
      </c>
      <c r="C51" s="1367"/>
      <c r="D51" s="1367"/>
      <c r="E51" s="1367"/>
      <c r="F51" s="1367"/>
      <c r="G51" s="1367"/>
      <c r="H51" s="1367"/>
      <c r="I51" s="1367"/>
      <c r="J51" s="1367"/>
      <c r="K51" s="1367"/>
      <c r="L51" s="1240"/>
    </row>
    <row r="52" spans="1:13">
      <c r="A52" s="1246"/>
      <c r="B52" s="1251" t="s">
        <v>1371</v>
      </c>
      <c r="C52" s="1251" t="s">
        <v>1372</v>
      </c>
      <c r="D52" s="1251" t="s">
        <v>1373</v>
      </c>
      <c r="E52" s="1251" t="s">
        <v>1374</v>
      </c>
      <c r="F52" s="1251" t="s">
        <v>1375</v>
      </c>
      <c r="G52" s="1251" t="s">
        <v>1376</v>
      </c>
      <c r="H52" s="1251" t="s">
        <v>1616</v>
      </c>
      <c r="I52" s="1251" t="s">
        <v>1617</v>
      </c>
      <c r="J52" s="1251" t="s">
        <v>1618</v>
      </c>
      <c r="K52" s="1251" t="s">
        <v>1619</v>
      </c>
      <c r="L52" s="1240"/>
    </row>
    <row r="53" spans="1:13">
      <c r="A53" s="1252" t="s">
        <v>1371</v>
      </c>
      <c r="B53" s="1296">
        <f ca="1">Rechenmodell!B44</f>
        <v>0.22507179304616115</v>
      </c>
      <c r="C53" s="1297">
        <f ca="1">Rechenmodell!R44</f>
        <v>0.22083953501956891</v>
      </c>
      <c r="D53" s="1297">
        <f ca="1">Rechenmodell!AA$44</f>
        <v>0.22255471698113205</v>
      </c>
      <c r="E53" s="1297">
        <f ca="1">Rechenmodell!AJ$44</f>
        <v>0.22851289949942244</v>
      </c>
      <c r="F53" s="1297">
        <f ca="1">Rechenmodell!AS$44</f>
        <v>0.23111773584905662</v>
      </c>
      <c r="G53" s="1297">
        <f ca="1">Rechenmodell!BB$44</f>
        <v>0.23649756432246999</v>
      </c>
      <c r="H53" s="1297">
        <f ca="1">Rechenmodell!BK$44</f>
        <v>0.23844516226415094</v>
      </c>
      <c r="I53" s="1297">
        <f ca="1">Rechenmodell!BT$44</f>
        <v>0.25513364186543253</v>
      </c>
      <c r="J53" s="1297">
        <f ca="1">Rechenmodell!CC$44</f>
        <v>0.26129016881827216</v>
      </c>
      <c r="K53" s="1298">
        <f ca="1">Rechenmodell!CL$44</f>
        <v>0.26234037735849058</v>
      </c>
      <c r="L53" s="1240"/>
    </row>
    <row r="54" spans="1:13">
      <c r="A54" s="1252" t="s">
        <v>1372</v>
      </c>
      <c r="B54" s="1299">
        <f ca="1">Rechenmodell!I$44</f>
        <v>0.23491559086395233</v>
      </c>
      <c r="C54" s="1300">
        <f ca="1">Rechenmodell!C44</f>
        <v>0.2322450708815382</v>
      </c>
      <c r="D54" s="1300">
        <f ca="1">Rechenmodell!AB$44</f>
        <v>0.23051842105263157</v>
      </c>
      <c r="E54" s="1300">
        <f ca="1">Rechenmodell!AK$44</f>
        <v>0.23543286788399573</v>
      </c>
      <c r="F54" s="1300">
        <f ca="1">Rechenmodell!AT$44</f>
        <v>0.23817105263157892</v>
      </c>
      <c r="G54" s="1300">
        <f ca="1">Rechenmodell!BC$44</f>
        <v>0.24306220095693781</v>
      </c>
      <c r="H54" s="1300">
        <f ca="1">Rechenmodell!BL$44</f>
        <v>0.25898807017543857</v>
      </c>
      <c r="I54" s="1300">
        <f ca="1">Rechenmodell!BU$44</f>
        <v>0.26641068079002539</v>
      </c>
      <c r="J54" s="1300">
        <f ca="1">Rechenmodell!CD$44</f>
        <v>0.27286241920590948</v>
      </c>
      <c r="K54" s="1301">
        <f ca="1">Rechenmodell!CM$44</f>
        <v>0.2733245614035088</v>
      </c>
      <c r="L54" s="1240"/>
    </row>
    <row r="55" spans="1:13">
      <c r="A55" s="1252" t="s">
        <v>1373</v>
      </c>
      <c r="B55" s="1299">
        <f ca="1">Rechenmodell!J$44</f>
        <v>0.23316981132075468</v>
      </c>
      <c r="C55" s="1300">
        <f ca="1">Rechenmodell!S$44</f>
        <v>0.23030340557275544</v>
      </c>
      <c r="D55" s="1300">
        <f ca="1">Rechenmodell!D44</f>
        <v>0.23019999999999999</v>
      </c>
      <c r="E55" s="1300">
        <f ca="1">Rechenmodell!AL$44</f>
        <v>0.2296612244897959</v>
      </c>
      <c r="F55" s="1300">
        <f ca="1">Rechenmodell!AU$44</f>
        <v>0.23626249999999999</v>
      </c>
      <c r="G55" s="1300">
        <f ca="1">Rechenmodell!BD$44</f>
        <v>0.23690909090909096</v>
      </c>
      <c r="H55" s="1300">
        <f ca="1">Rechenmodell!BM44</f>
        <v>0.25203866666666669</v>
      </c>
      <c r="I55" s="1300">
        <f ca="1">Rechenmodell!BV$44</f>
        <v>0.25909014675052411</v>
      </c>
      <c r="J55" s="1300">
        <f ca="1">Rechenmodell!CE$44</f>
        <v>0.26521929824561402</v>
      </c>
      <c r="K55" s="1301">
        <f ca="1">Rechenmodell!CN$44</f>
        <v>0.26565833333333333</v>
      </c>
      <c r="L55" s="1240"/>
    </row>
    <row r="56" spans="1:13">
      <c r="A56" s="1252" t="s">
        <v>1374</v>
      </c>
      <c r="B56" s="1299">
        <f ca="1">Rechenmodell!K$44</f>
        <v>0.2240179694519317</v>
      </c>
      <c r="C56" s="1300">
        <f ca="1">Rechenmodell!T$44</f>
        <v>0.2197045555064131</v>
      </c>
      <c r="D56" s="1300">
        <f ca="1">Rechenmodell!AC$44</f>
        <v>0.21791071428571429</v>
      </c>
      <c r="E56" s="1300">
        <f ca="1">Rechenmodell!E44</f>
        <v>0.23350553935860061</v>
      </c>
      <c r="F56" s="1300">
        <f ca="1">Rechenmodell!AV$44</f>
        <v>0.25179166666666664</v>
      </c>
      <c r="G56" s="1300">
        <f ca="1">Rechenmodell!BE$44</f>
        <v>0.25168484848484851</v>
      </c>
      <c r="H56" s="1300">
        <f ca="1">Rechenmodell!BN44</f>
        <v>0.25379200000000002</v>
      </c>
      <c r="I56" s="1300">
        <f ca="1">Rechenmodell!BW$44</f>
        <v>0.25922012578616355</v>
      </c>
      <c r="J56" s="1300">
        <f ca="1">Rechenmodell!CF$44</f>
        <v>0.26902631578947372</v>
      </c>
      <c r="K56" s="1301">
        <f ca="1">Rechenmodell!CO$44</f>
        <v>0.26937500000000003</v>
      </c>
      <c r="L56" s="1240"/>
    </row>
    <row r="57" spans="1:13">
      <c r="A57" s="1252" t="s">
        <v>1375</v>
      </c>
      <c r="B57" s="1299">
        <f ca="1">Rechenmodell!L$44</f>
        <v>0.23478993710691823</v>
      </c>
      <c r="C57" s="1300">
        <f ca="1">Rechenmodell!U$44</f>
        <v>0.23019938080495359</v>
      </c>
      <c r="D57" s="1300">
        <f ca="1">Rechenmodell!AD$44</f>
        <v>0.23179250000000001</v>
      </c>
      <c r="E57" s="1300">
        <f ca="1">Rechenmodell!AM$44</f>
        <v>0.25534285714285715</v>
      </c>
      <c r="F57" s="1300">
        <f ca="1">Rechenmodell!F44</f>
        <v>0.27006138888888886</v>
      </c>
      <c r="G57" s="1300">
        <f ca="1">Rechenmodell!BF$44</f>
        <v>0.28026424242424242</v>
      </c>
      <c r="H57" s="1300">
        <f ca="1">Rechenmodell!BO$44</f>
        <v>0.28148080000000003</v>
      </c>
      <c r="I57" s="1300">
        <f ca="1">Rechenmodell!BX$44</f>
        <v>0.28765143256464015</v>
      </c>
      <c r="J57" s="1300">
        <f ca="1">Rechenmodell!CG$44</f>
        <v>0.29307982456140352</v>
      </c>
      <c r="K57" s="1301">
        <f ca="1">Rechenmodell!CP$44</f>
        <v>0.29326249999999998</v>
      </c>
      <c r="L57" s="1240"/>
    </row>
    <row r="58" spans="1:13">
      <c r="A58" s="1252" t="s">
        <v>1376</v>
      </c>
      <c r="B58" s="1299">
        <f ca="1">Rechenmodell!M$44</f>
        <v>0.23376212438853947</v>
      </c>
      <c r="C58" s="1300">
        <f ca="1">Rechenmodell!V$44</f>
        <v>0.22889246646026834</v>
      </c>
      <c r="D58" s="1300">
        <f ca="1">Rechenmodell!AE$44</f>
        <v>0.22677555555555559</v>
      </c>
      <c r="E58" s="1300">
        <f ca="1">Rechenmodell!AN$44</f>
        <v>0.24938412698412701</v>
      </c>
      <c r="F58" s="1300">
        <f ca="1">Rechenmodell!AW$44</f>
        <v>0.26756148148148151</v>
      </c>
      <c r="G58" s="1300">
        <f ca="1">Rechenmodell!G44</f>
        <v>0.28026451178451178</v>
      </c>
      <c r="H58" s="1300">
        <f ca="1">Rechenmodell!BP$44</f>
        <v>0.29181250370370371</v>
      </c>
      <c r="I58" s="1300">
        <f ca="1">Rechenmodell!BY$44</f>
        <v>0.29678645857597641</v>
      </c>
      <c r="J58" s="1300">
        <f ca="1">Rechenmodell!CH$44</f>
        <v>0.31030097465886941</v>
      </c>
      <c r="K58" s="1301">
        <f ca="1">Rechenmodell!CQ$44</f>
        <v>0.31023333333333336</v>
      </c>
      <c r="L58" s="1240"/>
    </row>
    <row r="59" spans="1:13">
      <c r="A59" s="1252" t="s">
        <v>1616</v>
      </c>
      <c r="B59" s="1299">
        <f ca="1">Rechenmodell!N$44</f>
        <v>0.25667723270440251</v>
      </c>
      <c r="C59" s="1300">
        <f ca="1">Rechenmodell!W$44</f>
        <v>0.26519777089783281</v>
      </c>
      <c r="D59" s="1300">
        <f ca="1">Rechenmodell!AF$44</f>
        <v>0.26242433333333337</v>
      </c>
      <c r="E59" s="1300">
        <f ca="1">Rechenmodell!AO$44</f>
        <v>0.27213714285714286</v>
      </c>
      <c r="F59" s="1300">
        <f ca="1">Rechenmodell!AX$44</f>
        <v>0.28955600000000004</v>
      </c>
      <c r="G59" s="1300">
        <f ca="1">Rechenmodell!BG$44</f>
        <v>0.30463224242424247</v>
      </c>
      <c r="H59" s="1300">
        <f ca="1">Rechenmodell!H44</f>
        <v>0.34883616000000001</v>
      </c>
      <c r="I59" s="1300">
        <f ca="1">Rechenmodell!BZ$44</f>
        <v>0.36888955974842769</v>
      </c>
      <c r="J59" s="1300">
        <f ca="1">Rechenmodell!CI$44</f>
        <v>0.37475263157894739</v>
      </c>
      <c r="K59" s="1301">
        <f ca="1">Rechenmodell!CR$44</f>
        <v>0.374311</v>
      </c>
      <c r="L59" s="1240"/>
    </row>
    <row r="60" spans="1:13">
      <c r="A60" s="1252" t="s">
        <v>1617</v>
      </c>
      <c r="B60" s="1299">
        <f ca="1">Rechenmodell!O$44</f>
        <v>0.26671951267750482</v>
      </c>
      <c r="C60" s="1300">
        <f ca="1">Rechenmodell!X$44</f>
        <v>0.26455517261522288</v>
      </c>
      <c r="D60" s="1300">
        <f ca="1">Rechenmodell!AG44</f>
        <v>0.26158490566037734</v>
      </c>
      <c r="E60" s="1300">
        <f ca="1">Rechenmodell!AP$44</f>
        <v>0.2702210242587601</v>
      </c>
      <c r="F60" s="1300">
        <f ca="1">Rechenmodell!AY$44</f>
        <v>0.28791729559748425</v>
      </c>
      <c r="G60" s="1300">
        <f ca="1">Rechenmodell!BH$44</f>
        <v>0.30229068038879359</v>
      </c>
      <c r="H60" s="1300">
        <f ca="1">Rechenmodell!BQ$44</f>
        <v>0.34706928301886791</v>
      </c>
      <c r="I60" s="1302" t="s">
        <v>1181</v>
      </c>
      <c r="J60" s="1302" t="s">
        <v>1181</v>
      </c>
      <c r="K60" s="1303" t="s">
        <v>1181</v>
      </c>
      <c r="L60" s="1240"/>
    </row>
    <row r="61" spans="1:13">
      <c r="A61" s="1252" t="s">
        <v>1618</v>
      </c>
      <c r="B61" s="1299">
        <f ca="1">Rechenmodell!P$44</f>
        <v>0.2643283680900364</v>
      </c>
      <c r="C61" s="1300">
        <f ca="1">Rechenmodell!Y$44</f>
        <v>0.26207593286622127</v>
      </c>
      <c r="D61" s="1300">
        <f ca="1">Rechenmodell!AH$44</f>
        <v>0.25895614035087722</v>
      </c>
      <c r="E61" s="1300">
        <f ca="1">Rechenmodell!AQ$44</f>
        <v>0.2714586466165414</v>
      </c>
      <c r="F61" s="1300">
        <f ca="1">Rechenmodell!AZ$44</f>
        <v>0.28474122807017543</v>
      </c>
      <c r="G61" s="1300">
        <f ca="1">Rechenmodell!BI$44</f>
        <v>0.30766570972886764</v>
      </c>
      <c r="H61" s="1300">
        <f ca="1">Rechenmodell!BR$44</f>
        <v>0.34373473684210526</v>
      </c>
      <c r="I61" s="1302" t="s">
        <v>1181</v>
      </c>
      <c r="J61" s="1302" t="s">
        <v>1181</v>
      </c>
      <c r="K61" s="1303" t="s">
        <v>1181</v>
      </c>
      <c r="L61" s="1240"/>
    </row>
    <row r="62" spans="1:13">
      <c r="A62" s="1252" t="s">
        <v>1619</v>
      </c>
      <c r="B62" s="1304">
        <f ca="1">Rechenmodell!Q$44</f>
        <v>0.26424989517819703</v>
      </c>
      <c r="C62" s="1305">
        <f ca="1">Rechenmodell!Z$44</f>
        <v>0.26183777089783278</v>
      </c>
      <c r="D62" s="1305">
        <f ca="1">Rechenmodell!AI$44</f>
        <v>0.25855333333333336</v>
      </c>
      <c r="E62" s="1305">
        <f ca="1">Rechenmodell!AR$44</f>
        <v>0.27071428571428569</v>
      </c>
      <c r="F62" s="1305">
        <f ca="1">Rechenmodell!BA$44</f>
        <v>0.28419166666666668</v>
      </c>
      <c r="G62" s="1305">
        <f ca="1">Rechenmodell!BJ$44</f>
        <v>0.30655757575757581</v>
      </c>
      <c r="H62" s="1305">
        <f ca="1">Rechenmodell!BS$44</f>
        <v>0.34303919999999999</v>
      </c>
      <c r="I62" s="1306" t="s">
        <v>1181</v>
      </c>
      <c r="J62" s="1306" t="s">
        <v>1181</v>
      </c>
      <c r="K62" s="1307" t="s">
        <v>1181</v>
      </c>
      <c r="L62" s="1240"/>
    </row>
    <row r="63" spans="1:13">
      <c r="A63" s="1240"/>
      <c r="B63" s="1240"/>
      <c r="C63" s="1240"/>
      <c r="D63" s="1240"/>
      <c r="E63" s="1240"/>
      <c r="F63" s="1240"/>
      <c r="G63" s="1240"/>
      <c r="H63" s="1240"/>
      <c r="I63" s="1240"/>
      <c r="J63" s="1240"/>
      <c r="K63" s="1240"/>
      <c r="L63" s="1240"/>
    </row>
    <row r="64" spans="1:13" ht="20">
      <c r="A64" s="1269" t="s">
        <v>2285</v>
      </c>
      <c r="B64" s="1270"/>
      <c r="C64" s="1270"/>
      <c r="D64" s="1270"/>
      <c r="E64" s="1270"/>
      <c r="F64" s="1270"/>
      <c r="G64" s="1270"/>
      <c r="H64" s="1271"/>
      <c r="I64" s="1271"/>
      <c r="J64" s="1271"/>
      <c r="K64" s="1271"/>
      <c r="L64" s="1271"/>
      <c r="M64" s="1265"/>
    </row>
    <row r="65" spans="1:14" ht="15" thickBot="1">
      <c r="A65" s="1246" t="s">
        <v>2223</v>
      </c>
      <c r="B65" s="1240"/>
      <c r="C65" s="1240"/>
      <c r="D65" s="1240"/>
      <c r="E65" s="1240"/>
      <c r="F65" s="1240"/>
      <c r="G65" s="1240"/>
      <c r="H65" s="1240"/>
      <c r="I65" s="1240"/>
      <c r="J65" s="1240"/>
      <c r="K65" s="1240"/>
      <c r="L65" s="1240"/>
      <c r="M65" s="747"/>
    </row>
    <row r="66" spans="1:14" ht="18" thickBot="1">
      <c r="A66" s="1240"/>
      <c r="B66" s="1369" t="s">
        <v>1275</v>
      </c>
      <c r="C66" s="1370"/>
      <c r="D66" s="1058" t="str">
        <f>+'Wohnungsausnutzung Vergleich'!C3</f>
        <v>1 PHH</v>
      </c>
      <c r="E66" s="1058" t="str">
        <f>+'Wohnungsausnutzung Vergleich'!D3</f>
        <v>2 PHH</v>
      </c>
      <c r="F66" s="1058" t="str">
        <f>+'Wohnungsausnutzung Vergleich'!E3</f>
        <v>3 PHH</v>
      </c>
      <c r="G66" s="1058" t="str">
        <f>+'Wohnungsausnutzung Vergleich'!F3</f>
        <v>4 PHH</v>
      </c>
      <c r="H66" s="1058" t="str">
        <f>+'Wohnungsausnutzung Vergleich'!G3</f>
        <v>5 PHH</v>
      </c>
      <c r="I66" s="1058" t="str">
        <f>+'Wohnungsausnutzung Vergleich'!H3</f>
        <v>6 PHH</v>
      </c>
      <c r="J66" s="1058" t="str">
        <f>+'Wohnungsausnutzung Vergleich'!I3</f>
        <v>7 PHH</v>
      </c>
      <c r="K66" s="1240"/>
      <c r="L66" s="1240"/>
      <c r="M66" s="931"/>
      <c r="N66" s="931"/>
    </row>
    <row r="67" spans="1:14" ht="15.75" customHeight="1">
      <c r="A67" s="1240"/>
      <c r="B67" s="1371" t="s">
        <v>2055</v>
      </c>
      <c r="C67" s="1372"/>
      <c r="D67" s="1054">
        <f>+'Wohnungsausnutzung Vergleich'!C4</f>
        <v>36.014999999999993</v>
      </c>
      <c r="E67" s="1054">
        <f>+'Wohnungsausnutzung Vergleich'!D4</f>
        <v>18.007499999999997</v>
      </c>
      <c r="F67" s="1054">
        <f>+'Wohnungsausnutzung Vergleich'!E4</f>
        <v>22.009166666666662</v>
      </c>
      <c r="G67" s="1054">
        <f>+'Wohnungsausnutzung Vergleich'!F4</f>
        <v>18.007499999999997</v>
      </c>
      <c r="H67" s="1054">
        <f>+'Wohnungsausnutzung Vergleich'!G4</f>
        <v>19.207999999999995</v>
      </c>
      <c r="I67" s="1054" t="str">
        <f>+'Wohnungsausnutzung Vergleich'!H4</f>
        <v>-</v>
      </c>
      <c r="J67" s="1056" t="str">
        <f>+'Wohnungsausnutzung Vergleich'!I4</f>
        <v>-</v>
      </c>
      <c r="K67" s="1240"/>
      <c r="L67" s="1240"/>
      <c r="M67" s="931"/>
      <c r="N67" s="931"/>
    </row>
    <row r="68" spans="1:14" ht="15.75" customHeight="1">
      <c r="A68" s="1240"/>
      <c r="B68" s="1373" t="s">
        <v>2056</v>
      </c>
      <c r="C68" s="1374"/>
      <c r="D68" s="1054">
        <f>+'Wohnungsausnutzung Vergleich'!C5</f>
        <v>42.134999999999998</v>
      </c>
      <c r="E68" s="1054">
        <f>+'Wohnungsausnutzung Vergleich'!D5</f>
        <v>21.067499999999999</v>
      </c>
      <c r="F68" s="1054">
        <f>+'Wohnungsausnutzung Vergleich'!E5</f>
        <v>21.067499999999999</v>
      </c>
      <c r="G68" s="1054">
        <f>+'Wohnungsausnutzung Vergleich'!F5</f>
        <v>21.067499999999999</v>
      </c>
      <c r="H68" s="1054">
        <f>+'Wohnungsausnutzung Vergleich'!G5</f>
        <v>22.472000000000001</v>
      </c>
      <c r="I68" s="1054">
        <f>+'Wohnungsausnutzung Vergleich'!H5</f>
        <v>22.472000000000001</v>
      </c>
      <c r="J68" s="1056">
        <f>+'Wohnungsausnutzung Vergleich'!I5</f>
        <v>26.685500000000001</v>
      </c>
      <c r="K68" s="1240"/>
      <c r="L68" s="1240"/>
      <c r="M68" s="931"/>
      <c r="N68" s="931"/>
    </row>
    <row r="69" spans="1:14" ht="15.75" customHeight="1">
      <c r="A69" s="1240"/>
      <c r="B69" s="1373" t="s">
        <v>2057</v>
      </c>
      <c r="C69" s="1374"/>
      <c r="D69" s="1054">
        <f>+'Wohnungsausnutzung Vergleich'!C6</f>
        <v>39.199999999999996</v>
      </c>
      <c r="E69" s="1054">
        <f>+'Wohnungsausnutzung Vergleich'!D6</f>
        <v>19.599999999999998</v>
      </c>
      <c r="F69" s="1054">
        <f>+'Wohnungsausnutzung Vergleich'!E6</f>
        <v>23.519999999999996</v>
      </c>
      <c r="G69" s="1054">
        <f>+'Wohnungsausnutzung Vergleich'!F6</f>
        <v>23.519999999999996</v>
      </c>
      <c r="H69" s="1054">
        <f>+'Wohnungsausnutzung Vergleich'!G6</f>
        <v>25.087999999999997</v>
      </c>
      <c r="I69" s="1054">
        <f>+'Wohnungsausnutzung Vergleich'!H6</f>
        <v>25.087999999999997</v>
      </c>
      <c r="J69" s="1056">
        <f>+'Wohnungsausnutzung Vergleich'!I6</f>
        <v>26.655999999999995</v>
      </c>
      <c r="K69" s="1240"/>
      <c r="L69" s="1240"/>
      <c r="M69" s="931"/>
      <c r="N69" s="931"/>
    </row>
    <row r="70" spans="1:14" ht="15.75" customHeight="1">
      <c r="A70" s="1240"/>
      <c r="B70" s="1373" t="s">
        <v>2058</v>
      </c>
      <c r="C70" s="1374"/>
      <c r="D70" s="1054">
        <f>+'Wohnungsausnutzung Vergleich'!C7</f>
        <v>43.559999999999995</v>
      </c>
      <c r="E70" s="1054">
        <f>+'Wohnungsausnutzung Vergleich'!D7</f>
        <v>27.224999999999998</v>
      </c>
      <c r="F70" s="1054">
        <f>+'Wohnungsausnutzung Vergleich'!E7</f>
        <v>25.409999999999997</v>
      </c>
      <c r="G70" s="1054">
        <f>+'Wohnungsausnutzung Vergleich'!F7</f>
        <v>29.947499999999998</v>
      </c>
      <c r="H70" s="1054">
        <f>+'Wohnungsausnutzung Vergleich'!G7</f>
        <v>26.135999999999996</v>
      </c>
      <c r="I70" s="1054">
        <f>+'Wohnungsausnutzung Vergleich'!H7</f>
        <v>30.491999999999997</v>
      </c>
      <c r="J70" s="1056">
        <f>+'Wohnungsausnutzung Vergleich'!I7</f>
        <v>32.67</v>
      </c>
      <c r="K70" s="1240"/>
      <c r="L70" s="1240"/>
      <c r="M70" s="931"/>
      <c r="N70" s="931"/>
    </row>
    <row r="71" spans="1:14" ht="15.75" customHeight="1">
      <c r="A71" s="1240"/>
      <c r="B71" s="1373" t="s">
        <v>2059</v>
      </c>
      <c r="C71" s="1374"/>
      <c r="D71" s="1054">
        <f>+'Wohnungsausnutzung Vergleich'!C8</f>
        <v>57.76</v>
      </c>
      <c r="E71" s="1054">
        <f>+'Wohnungsausnutzung Vergleich'!D8</f>
        <v>28.88</v>
      </c>
      <c r="F71" s="1054">
        <f>+'Wohnungsausnutzung Vergleich'!E8</f>
        <v>24.066666666666666</v>
      </c>
      <c r="G71" s="1054">
        <f>+'Wohnungsausnutzung Vergleich'!F8</f>
        <v>25.27</v>
      </c>
      <c r="H71" s="1054">
        <f>+'Wohnungsausnutzung Vergleich'!G8</f>
        <v>20.216000000000001</v>
      </c>
      <c r="I71" s="1054">
        <f>+'Wohnungsausnutzung Vergleich'!H8</f>
        <v>23.103999999999999</v>
      </c>
      <c r="J71" s="1056">
        <f>+'Wohnungsausnutzung Vergleich'!I8</f>
        <v>25.992000000000001</v>
      </c>
      <c r="K71" s="1240"/>
      <c r="L71" s="1240"/>
      <c r="M71" s="931"/>
      <c r="N71" s="931"/>
    </row>
    <row r="72" spans="1:14" ht="15.75" customHeight="1" thickBot="1">
      <c r="A72" s="1240"/>
      <c r="B72" s="1375" t="s">
        <v>2060</v>
      </c>
      <c r="C72" s="1376"/>
      <c r="D72" s="1055">
        <f>+'Wohnungsausnutzung Vergleich'!C9</f>
        <v>55.47</v>
      </c>
      <c r="E72" s="1055">
        <f>+'Wohnungsausnutzung Vergleich'!D9</f>
        <v>27.734999999999999</v>
      </c>
      <c r="F72" s="1055">
        <f>+'Wohnungsausnutzung Vergleich'!E9</f>
        <v>24.653333333333332</v>
      </c>
      <c r="G72" s="1055">
        <f>+'Wohnungsausnutzung Vergleich'!F9</f>
        <v>27.734999999999999</v>
      </c>
      <c r="H72" s="1055">
        <f>+'Wohnungsausnutzung Vergleich'!G9</f>
        <v>25.885999999999996</v>
      </c>
      <c r="I72" s="1055">
        <f>+'Wohnungsausnutzung Vergleich'!H9</f>
        <v>29.583999999999996</v>
      </c>
      <c r="J72" s="1057">
        <f>+'Wohnungsausnutzung Vergleich'!I9</f>
        <v>36.979999999999997</v>
      </c>
      <c r="K72" s="1240"/>
      <c r="L72" s="1240"/>
      <c r="M72" s="931"/>
      <c r="N72" s="931"/>
    </row>
    <row r="73" spans="1:14" ht="15.75" customHeight="1">
      <c r="A73" s="1240"/>
      <c r="B73" s="1371" t="s">
        <v>2061</v>
      </c>
      <c r="C73" s="1372"/>
      <c r="D73" s="1054">
        <f>+'Wohnungsausnutzung Vergleich'!C10</f>
        <v>38.954999999999991</v>
      </c>
      <c r="E73" s="1054">
        <f>+'Wohnungsausnutzung Vergleich'!D10</f>
        <v>19.477499999999996</v>
      </c>
      <c r="F73" s="1054">
        <f>+'Wohnungsausnutzung Vergleich'!E10</f>
        <v>21.641666666666662</v>
      </c>
      <c r="G73" s="1054">
        <f>+'Wohnungsausnutzung Vergleich'!F10</f>
        <v>19.477499999999996</v>
      </c>
      <c r="H73" s="1054">
        <f>+'Wohnungsausnutzung Vergleich'!G10</f>
        <v>20.775999999999996</v>
      </c>
      <c r="I73" s="1054">
        <f>+'Wohnungsausnutzung Vergleich'!H10</f>
        <v>20.775999999999996</v>
      </c>
      <c r="J73" s="1056">
        <f>+'Wohnungsausnutzung Vergleich'!I10</f>
        <v>23.372999999999998</v>
      </c>
      <c r="K73" s="1240"/>
      <c r="L73" s="1240"/>
      <c r="M73" s="931"/>
      <c r="N73" s="931"/>
    </row>
    <row r="74" spans="1:14" ht="15.75" customHeight="1">
      <c r="A74" s="1240"/>
      <c r="B74" s="1373" t="s">
        <v>2062</v>
      </c>
      <c r="C74" s="1374"/>
      <c r="D74" s="1054">
        <f>+'Wohnungsausnutzung Vergleich'!C11</f>
        <v>34.29999999999999</v>
      </c>
      <c r="E74" s="1054">
        <f>+'Wohnungsausnutzung Vergleich'!D11</f>
        <v>17.149999999999995</v>
      </c>
      <c r="F74" s="1054">
        <f>+'Wohnungsausnutzung Vergleich'!E11</f>
        <v>20.579999999999995</v>
      </c>
      <c r="G74" s="1054">
        <f>+'Wohnungsausnutzung Vergleich'!F11</f>
        <v>20.579999999999995</v>
      </c>
      <c r="H74" s="1054">
        <f>+'Wohnungsausnutzung Vergleich'!G11</f>
        <v>21.951999999999995</v>
      </c>
      <c r="I74" s="1054">
        <f>+'Wohnungsausnutzung Vergleich'!H11</f>
        <v>21.951999999999995</v>
      </c>
      <c r="J74" s="1056">
        <f>+'Wohnungsausnutzung Vergleich'!I11</f>
        <v>24.695999999999994</v>
      </c>
      <c r="K74" s="1240"/>
      <c r="L74" s="1240"/>
      <c r="M74" s="931"/>
      <c r="N74" s="931"/>
    </row>
    <row r="75" spans="1:14" ht="15.75" customHeight="1">
      <c r="A75" s="1240"/>
      <c r="B75" s="1373" t="s">
        <v>2063</v>
      </c>
      <c r="C75" s="1374"/>
      <c r="D75" s="1054">
        <f>+'Wohnungsausnutzung Vergleich'!C12</f>
        <v>40.424999999999997</v>
      </c>
      <c r="E75" s="1054">
        <f>+'Wohnungsausnutzung Vergleich'!D12</f>
        <v>20.212499999999999</v>
      </c>
      <c r="F75" s="1054">
        <f>+'Wohnungsausnutzung Vergleich'!E12</f>
        <v>21.56</v>
      </c>
      <c r="G75" s="1054">
        <f>+'Wohnungsausnutzung Vergleich'!F12</f>
        <v>22.233749999999997</v>
      </c>
      <c r="H75" s="1054">
        <f>+'Wohnungsausnutzung Vergleich'!G12</f>
        <v>24.254999999999999</v>
      </c>
      <c r="I75" s="1054">
        <f>+'Wohnungsausnutzung Vergleich'!H12</f>
        <v>25.871999999999996</v>
      </c>
      <c r="J75" s="1056">
        <f>+'Wohnungsausnutzung Vergleich'!I12</f>
        <v>29.105999999999995</v>
      </c>
      <c r="K75" s="1240"/>
      <c r="L75" s="1240"/>
      <c r="M75" s="931"/>
      <c r="N75" s="931"/>
    </row>
    <row r="76" spans="1:14" ht="15.75" customHeight="1">
      <c r="A76" s="1240"/>
      <c r="B76" s="1373" t="s">
        <v>2064</v>
      </c>
      <c r="C76" s="1374"/>
      <c r="D76" s="1054">
        <f>+'Wohnungsausnutzung Vergleich'!C13</f>
        <v>37.239999999999995</v>
      </c>
      <c r="E76" s="1054">
        <f>+'Wohnungsausnutzung Vergleich'!D13</f>
        <v>23.274999999999999</v>
      </c>
      <c r="F76" s="1054">
        <f>+'Wohnungsausnutzung Vergleich'!E13</f>
        <v>21.723333333333329</v>
      </c>
      <c r="G76" s="1054">
        <f>+'Wohnungsausnutzung Vergleich'!F13</f>
        <v>23.274999999999999</v>
      </c>
      <c r="H76" s="1054">
        <f>+'Wohnungsausnutzung Vergleich'!G13</f>
        <v>20.481999999999996</v>
      </c>
      <c r="I76" s="1054">
        <f>+'Wohnungsausnutzung Vergleich'!H13</f>
        <v>26.067999999999994</v>
      </c>
      <c r="J76" s="1056">
        <f>+'Wohnungsausnutzung Vergleich'!I13</f>
        <v>29.791999999999994</v>
      </c>
      <c r="K76" s="1240"/>
      <c r="L76" s="1240"/>
      <c r="M76" s="931"/>
      <c r="N76" s="931"/>
    </row>
    <row r="77" spans="1:14" ht="15.75" customHeight="1">
      <c r="A77" s="1240"/>
      <c r="B77" s="1373" t="s">
        <v>2065</v>
      </c>
      <c r="C77" s="1374"/>
      <c r="D77" s="1054">
        <f>+'Wohnungsausnutzung Vergleich'!C14</f>
        <v>42.139999999999993</v>
      </c>
      <c r="E77" s="1054">
        <f>+'Wohnungsausnutzung Vergleich'!D14</f>
        <v>26.337499999999995</v>
      </c>
      <c r="F77" s="1054">
        <f>+'Wohnungsausnutzung Vergleich'!E14</f>
        <v>24.581666666666663</v>
      </c>
      <c r="G77" s="1054">
        <f>+'Wohnungsausnutzung Vergleich'!F14</f>
        <v>21.069999999999997</v>
      </c>
      <c r="H77" s="1054">
        <f>+'Wohnungsausnutzung Vergleich'!G14</f>
        <v>21.069999999999997</v>
      </c>
      <c r="I77" s="1054">
        <f>+'Wohnungsausnutzung Vergleich'!H14</f>
        <v>25.283999999999999</v>
      </c>
      <c r="J77" s="1056">
        <f>+'Wohnungsausnutzung Vergleich'!I14</f>
        <v>29.497999999999998</v>
      </c>
      <c r="K77" s="1240"/>
      <c r="L77" s="1240"/>
      <c r="M77" s="931"/>
      <c r="N77" s="931"/>
    </row>
    <row r="78" spans="1:14" ht="15.75" customHeight="1">
      <c r="A78" s="1240"/>
      <c r="B78" s="1373" t="s">
        <v>2066</v>
      </c>
      <c r="C78" s="1374"/>
      <c r="D78" s="1054">
        <f>+'Wohnungsausnutzung Vergleich'!C15</f>
        <v>47.039999999999992</v>
      </c>
      <c r="E78" s="1054">
        <f>+'Wohnungsausnutzung Vergleich'!D15</f>
        <v>29.399999999999995</v>
      </c>
      <c r="F78" s="1054">
        <f>+'Wohnungsausnutzung Vergleich'!E15</f>
        <v>27.439999999999998</v>
      </c>
      <c r="G78" s="1054">
        <f>+'Wohnungsausnutzung Vergleich'!F15</f>
        <v>23.519999999999996</v>
      </c>
      <c r="H78" s="1054">
        <f>+'Wohnungsausnutzung Vergleich'!G15</f>
        <v>23.519999999999996</v>
      </c>
      <c r="I78" s="1054">
        <f>+'Wohnungsausnutzung Vergleich'!H15</f>
        <v>25.871999999999996</v>
      </c>
      <c r="J78" s="1056">
        <f>+'Wohnungsausnutzung Vergleich'!I15</f>
        <v>28.223999999999997</v>
      </c>
      <c r="K78" s="1240"/>
      <c r="L78" s="1240"/>
      <c r="M78" s="931"/>
      <c r="N78" s="931"/>
    </row>
    <row r="79" spans="1:14" ht="15.75" customHeight="1" thickBot="1">
      <c r="A79" s="1240"/>
      <c r="B79" s="1375" t="s">
        <v>2067</v>
      </c>
      <c r="C79" s="1376"/>
      <c r="D79" s="1055">
        <f>+'Wohnungsausnutzung Vergleich'!C16</f>
        <v>37.484999999999992</v>
      </c>
      <c r="E79" s="1055">
        <f>+'Wohnungsausnutzung Vergleich'!D16</f>
        <v>24.989999999999995</v>
      </c>
      <c r="F79" s="1055">
        <f>+'Wohnungsausnutzung Vergleich'!E16</f>
        <v>29.15499999999999</v>
      </c>
      <c r="G79" s="1055">
        <f>+'Wohnungsausnutzung Vergleich'!F16</f>
        <v>24.989999999999995</v>
      </c>
      <c r="H79" s="1055">
        <f>+'Wohnungsausnutzung Vergleich'!G16</f>
        <v>22.490999999999996</v>
      </c>
      <c r="I79" s="1055">
        <f>+'Wohnungsausnutzung Vergleich'!H16</f>
        <v>27.488999999999994</v>
      </c>
      <c r="J79" s="1057">
        <f>+'Wohnungsausnutzung Vergleich'!I16</f>
        <v>29.987999999999992</v>
      </c>
      <c r="K79" s="1240"/>
      <c r="L79" s="1240"/>
      <c r="M79" s="931"/>
      <c r="N79" s="931"/>
    </row>
    <row r="80" spans="1:14" ht="15.75" customHeight="1">
      <c r="A80" s="1240"/>
      <c r="B80" s="1371" t="s">
        <v>2068</v>
      </c>
      <c r="C80" s="1372"/>
      <c r="D80" s="1054">
        <f>+'Wohnungsausnutzung Vergleich'!C17</f>
        <v>37.099999999999994</v>
      </c>
      <c r="E80" s="1054">
        <f>+'Wohnungsausnutzung Vergleich'!D17</f>
        <v>18.549999999999997</v>
      </c>
      <c r="F80" s="1054">
        <f>+'Wohnungsausnutzung Vergleich'!E17</f>
        <v>22.259999999999994</v>
      </c>
      <c r="G80" s="1054">
        <f>+'Wohnungsausnutzung Vergleich'!F17</f>
        <v>22.259999999999998</v>
      </c>
      <c r="H80" s="1054">
        <f>+'Wohnungsausnutzung Vergleich'!G17</f>
        <v>22.259999999999998</v>
      </c>
      <c r="I80" s="1054">
        <f>+'Wohnungsausnutzung Vergleich'!H17</f>
        <v>23.743999999999996</v>
      </c>
      <c r="J80" s="1056">
        <f>+'Wohnungsausnutzung Vergleich'!I17</f>
        <v>26.711999999999996</v>
      </c>
      <c r="K80" s="1240"/>
      <c r="L80" s="1240"/>
      <c r="M80" s="931"/>
      <c r="N80" s="931"/>
    </row>
    <row r="81" spans="1:16" ht="15.75" customHeight="1">
      <c r="A81" s="1240"/>
      <c r="B81" s="1373" t="s">
        <v>2069</v>
      </c>
      <c r="C81" s="1374"/>
      <c r="D81" s="1054">
        <f>+'Wohnungsausnutzung Vergleich'!C18</f>
        <v>34.979999999999997</v>
      </c>
      <c r="E81" s="1054">
        <f>+'Wohnungsausnutzung Vergleich'!D18</f>
        <v>21.862499999999997</v>
      </c>
      <c r="F81" s="1054">
        <f>+'Wohnungsausnutzung Vergleich'!E18</f>
        <v>20.404999999999998</v>
      </c>
      <c r="G81" s="1054">
        <f>+'Wohnungsausnutzung Vergleich'!F18</f>
        <v>24.048749999999998</v>
      </c>
      <c r="H81" s="1054">
        <f>+'Wohnungsausnutzung Vergleich'!G18</f>
        <v>20.988</v>
      </c>
      <c r="I81" s="1054">
        <f>+'Wohnungsausnutzung Vergleich'!H18</f>
        <v>27.983999999999998</v>
      </c>
      <c r="J81" s="1056">
        <f>+'Wohnungsausnutzung Vergleich'!I18</f>
        <v>29.732999999999997</v>
      </c>
      <c r="K81" s="1240"/>
      <c r="L81" s="1240"/>
      <c r="M81" s="931"/>
      <c r="N81" s="931"/>
    </row>
    <row r="82" spans="1:16" ht="15.75" customHeight="1">
      <c r="A82" s="1240"/>
      <c r="B82" s="1373" t="s">
        <v>2070</v>
      </c>
      <c r="C82" s="1374"/>
      <c r="D82" s="1054">
        <f>+'Wohnungsausnutzung Vergleich'!C19</f>
        <v>40.279999999999994</v>
      </c>
      <c r="E82" s="1054">
        <f>+'Wohnungsausnutzung Vergleich'!D19</f>
        <v>25.174999999999997</v>
      </c>
      <c r="F82" s="1054">
        <f>+'Wohnungsausnutzung Vergleich'!E19</f>
        <v>23.496666666666666</v>
      </c>
      <c r="G82" s="1054">
        <f>+'Wohnungsausnutzung Vergleich'!F19</f>
        <v>25.174999999999997</v>
      </c>
      <c r="H82" s="1054">
        <f>+'Wohnungsausnutzung Vergleich'!G19</f>
        <v>22.153999999999996</v>
      </c>
      <c r="I82" s="1054">
        <f>+'Wohnungsausnutzung Vergleich'!H19</f>
        <v>28.195999999999998</v>
      </c>
      <c r="J82" s="1056">
        <f>+'Wohnungsausnutzung Vergleich'!I19</f>
        <v>32.223999999999997</v>
      </c>
      <c r="K82" s="1240"/>
      <c r="L82" s="1240"/>
      <c r="M82" s="931"/>
      <c r="N82" s="931"/>
    </row>
    <row r="83" spans="1:16" ht="15.75" customHeight="1">
      <c r="A83" s="1240"/>
      <c r="B83" s="1373" t="s">
        <v>2071</v>
      </c>
      <c r="C83" s="1374"/>
      <c r="D83" s="1054">
        <f>+'Wohnungsausnutzung Vergleich'!C20</f>
        <v>34.185000000000002</v>
      </c>
      <c r="E83" s="1054">
        <f>+'Wohnungsausnutzung Vergleich'!D20</f>
        <v>22.79</v>
      </c>
      <c r="F83" s="1054">
        <f>+'Wohnungsausnutzung Vergleich'!E20</f>
        <v>22.790000000000003</v>
      </c>
      <c r="G83" s="1054">
        <f>+'Wohnungsausnutzung Vergleich'!F20</f>
        <v>22.79</v>
      </c>
      <c r="H83" s="1054">
        <f>+'Wohnungsausnutzung Vergleich'!G20</f>
        <v>22.79</v>
      </c>
      <c r="I83" s="1054">
        <f>+'Wohnungsausnutzung Vergleich'!H20</f>
        <v>27.348000000000003</v>
      </c>
      <c r="J83" s="1056">
        <f>+'Wohnungsausnutzung Vergleich'!I20</f>
        <v>31.905999999999999</v>
      </c>
      <c r="K83" s="1240"/>
      <c r="L83" s="1240"/>
      <c r="M83" s="931"/>
      <c r="N83" s="931"/>
    </row>
    <row r="84" spans="1:16" ht="15.75" customHeight="1">
      <c r="A84" s="1240"/>
      <c r="B84" s="1373" t="s">
        <v>2072</v>
      </c>
      <c r="C84" s="1374"/>
      <c r="D84" s="1054">
        <f>+'Wohnungsausnutzung Vergleich'!C21</f>
        <v>38.159999999999997</v>
      </c>
      <c r="E84" s="1054">
        <f>+'Wohnungsausnutzung Vergleich'!D21</f>
        <v>26.337499999999995</v>
      </c>
      <c r="F84" s="1054">
        <f>+'Wohnungsausnutzung Vergleich'!E21</f>
        <v>21.2</v>
      </c>
      <c r="G84" s="1054">
        <f>+'Wohnungsausnutzung Vergleich'!F21</f>
        <v>25.439999999999998</v>
      </c>
      <c r="H84" s="1054">
        <f>+'Wohnungsausnutzung Vergleich'!G21</f>
        <v>22.895999999999997</v>
      </c>
      <c r="I84" s="1054">
        <f>+'Wohnungsausnutzung Vergleich'!H21</f>
        <v>23.319999999999997</v>
      </c>
      <c r="J84" s="1056">
        <f>+'Wohnungsausnutzung Vergleich'!I21</f>
        <v>30.527999999999999</v>
      </c>
      <c r="K84" s="1240"/>
      <c r="L84" s="1240"/>
      <c r="M84" s="931"/>
      <c r="N84" s="931"/>
    </row>
    <row r="85" spans="1:16" ht="15.75" customHeight="1">
      <c r="A85" s="1240"/>
      <c r="B85" s="1373" t="s">
        <v>2073</v>
      </c>
      <c r="C85" s="1374"/>
      <c r="D85" s="1054">
        <f>+'Wohnungsausnutzung Vergleich'!C22</f>
        <v>40.544999999999995</v>
      </c>
      <c r="E85" s="1054">
        <f>+'Wohnungsausnutzung Vergleich'!D22</f>
        <v>27.029999999999998</v>
      </c>
      <c r="F85" s="1054">
        <f>+'Wohnungsausnutzung Vergleich'!E22</f>
        <v>22.524999999999995</v>
      </c>
      <c r="G85" s="1054">
        <f>+'Wohnungsausnutzung Vergleich'!F22</f>
        <v>27.029999999999998</v>
      </c>
      <c r="H85" s="1054">
        <f>+'Wohnungsausnutzung Vergleich'!G22</f>
        <v>24.326999999999998</v>
      </c>
      <c r="I85" s="1054">
        <f>+'Wohnungsausnutzung Vergleich'!H22</f>
        <v>29.732999999999997</v>
      </c>
      <c r="J85" s="1056">
        <f>+'Wohnungsausnutzung Vergleich'!I22</f>
        <v>32.435999999999993</v>
      </c>
      <c r="K85" s="1240"/>
      <c r="L85" s="1240"/>
      <c r="M85" s="931"/>
      <c r="N85" s="931"/>
    </row>
    <row r="86" spans="1:16" ht="15.75" customHeight="1" thickBot="1">
      <c r="A86" s="1240"/>
      <c r="B86" s="1375" t="s">
        <v>2074</v>
      </c>
      <c r="C86" s="1376"/>
      <c r="D86" s="1055">
        <f>+'Wohnungsausnutzung Vergleich'!C23</f>
        <v>43.724999999999994</v>
      </c>
      <c r="E86" s="1055">
        <f>+'Wohnungsausnutzung Vergleich'!D23</f>
        <v>29.15</v>
      </c>
      <c r="F86" s="1055">
        <f>+'Wohnungsausnutzung Vergleich'!E23</f>
        <v>24.291666666666668</v>
      </c>
      <c r="G86" s="1055">
        <f>+'Wohnungsausnutzung Vergleich'!F23</f>
        <v>29.15</v>
      </c>
      <c r="H86" s="1055">
        <f>+'Wohnungsausnutzung Vergleich'!G23</f>
        <v>26.234999999999996</v>
      </c>
      <c r="I86" s="1055">
        <f>+'Wohnungsausnutzung Vergleich'!H23</f>
        <v>32.064999999999998</v>
      </c>
      <c r="J86" s="1057">
        <f>+'Wohnungsausnutzung Vergleich'!I23</f>
        <v>34.979999999999997</v>
      </c>
      <c r="K86" s="1240"/>
      <c r="L86" s="1240"/>
      <c r="M86" s="931"/>
      <c r="N86" s="931"/>
    </row>
    <row r="87" spans="1:16" ht="15.75" customHeight="1">
      <c r="A87" s="1240"/>
      <c r="B87" s="1371" t="s">
        <v>2300</v>
      </c>
      <c r="C87" s="1372"/>
      <c r="D87" s="1054">
        <f>+'Wohnungsausnutzung Vergleich'!C24</f>
        <v>36.959999999999994</v>
      </c>
      <c r="E87" s="1054">
        <f>+'Wohnungsausnutzung Vergleich'!D24</f>
        <v>23.099999999999994</v>
      </c>
      <c r="F87" s="1054">
        <f>+'Wohnungsausnutzung Vergleich'!E24</f>
        <v>21.56</v>
      </c>
      <c r="G87" s="1054">
        <f>+'Wohnungsausnutzung Vergleich'!F24</f>
        <v>25.409999999999997</v>
      </c>
      <c r="H87" s="1054">
        <f>+'Wohnungsausnutzung Vergleich'!G24</f>
        <v>22.175999999999995</v>
      </c>
      <c r="I87" s="1054">
        <f>+'Wohnungsausnutzung Vergleich'!H24</f>
        <v>29.567999999999994</v>
      </c>
      <c r="J87" s="1056">
        <f>+'Wohnungsausnutzung Vergleich'!I24</f>
        <v>31.415999999999997</v>
      </c>
      <c r="K87" s="1240"/>
      <c r="L87" s="1240"/>
      <c r="M87" s="931"/>
      <c r="N87" s="931"/>
    </row>
    <row r="88" spans="1:16" ht="15.75" customHeight="1">
      <c r="A88" s="1240"/>
      <c r="B88" s="1373" t="s">
        <v>2301</v>
      </c>
      <c r="C88" s="1374"/>
      <c r="D88" s="1054">
        <f>+'Wohnungsausnutzung Vergleich'!C25</f>
        <v>42.559999999999995</v>
      </c>
      <c r="E88" s="1054">
        <f>+'Wohnungsausnutzung Vergleich'!D25</f>
        <v>26.599999999999998</v>
      </c>
      <c r="F88" s="1054">
        <f>+'Wohnungsausnutzung Vergleich'!E25</f>
        <v>24.826666666666664</v>
      </c>
      <c r="G88" s="1054">
        <f>+'Wohnungsausnutzung Vergleich'!F25</f>
        <v>26.599999999999998</v>
      </c>
      <c r="H88" s="1054">
        <f>+'Wohnungsausnutzung Vergleich'!G25</f>
        <v>23.407999999999998</v>
      </c>
      <c r="I88" s="1054">
        <f>+'Wohnungsausnutzung Vergleich'!H25</f>
        <v>29.791999999999994</v>
      </c>
      <c r="J88" s="1056">
        <f>+'Wohnungsausnutzung Vergleich'!I25</f>
        <v>34.047999999999995</v>
      </c>
      <c r="K88" s="1240"/>
      <c r="L88" s="1240"/>
      <c r="M88" s="931"/>
      <c r="N88" s="931"/>
    </row>
    <row r="89" spans="1:16" ht="15.75" customHeight="1">
      <c r="A89" s="1240"/>
      <c r="B89" s="1373" t="s">
        <v>2302</v>
      </c>
      <c r="C89" s="1374"/>
      <c r="D89" s="1054">
        <f>+'Wohnungsausnutzung Vergleich'!C26</f>
        <v>36.119999999999997</v>
      </c>
      <c r="E89" s="1054">
        <f>+'Wohnungsausnutzung Vergleich'!D26</f>
        <v>24.08</v>
      </c>
      <c r="F89" s="1054">
        <f>+'Wohnungsausnutzung Vergleich'!E26</f>
        <v>24.08</v>
      </c>
      <c r="G89" s="1054">
        <f>+'Wohnungsausnutzung Vergleich'!F26</f>
        <v>24.08</v>
      </c>
      <c r="H89" s="1054">
        <f>+'Wohnungsausnutzung Vergleich'!G26</f>
        <v>24.08</v>
      </c>
      <c r="I89" s="1054">
        <f>+'Wohnungsausnutzung Vergleich'!H26</f>
        <v>28.895999999999997</v>
      </c>
      <c r="J89" s="1056">
        <f>+'Wohnungsausnutzung Vergleich'!I26</f>
        <v>36.119999999999997</v>
      </c>
      <c r="K89" s="1240"/>
      <c r="L89" s="1240"/>
      <c r="M89" s="931"/>
      <c r="N89" s="931"/>
    </row>
    <row r="90" spans="1:16" ht="15.75" customHeight="1">
      <c r="A90" s="1240"/>
      <c r="B90" s="1373" t="s">
        <v>2303</v>
      </c>
      <c r="C90" s="1374"/>
      <c r="D90" s="1054">
        <f>+'Wohnungsausnutzung Vergleich'!C27</f>
        <v>40.32</v>
      </c>
      <c r="E90" s="1054">
        <f>+'Wohnungsausnutzung Vergleich'!D27</f>
        <v>26.88</v>
      </c>
      <c r="F90" s="1054">
        <f>+'Wohnungsausnutzung Vergleich'!E27</f>
        <v>22.400000000000002</v>
      </c>
      <c r="G90" s="1054">
        <f>+'Wohnungsausnutzung Vergleich'!F27</f>
        <v>26.88</v>
      </c>
      <c r="H90" s="1054">
        <f>+'Wohnungsausnutzung Vergleich'!G27</f>
        <v>26.880000000000003</v>
      </c>
      <c r="I90" s="1054">
        <f>+'Wohnungsausnutzung Vergleich'!H27</f>
        <v>29.568000000000001</v>
      </c>
      <c r="J90" s="1056">
        <f>+'Wohnungsausnutzung Vergleich'!I27</f>
        <v>32.256</v>
      </c>
      <c r="K90" s="1240"/>
      <c r="L90" s="1240"/>
      <c r="M90" s="931"/>
      <c r="N90" s="931"/>
    </row>
    <row r="91" spans="1:16" ht="15.75" customHeight="1">
      <c r="A91" s="1240"/>
      <c r="B91" s="1373" t="s">
        <v>2304</v>
      </c>
      <c r="C91" s="1374"/>
      <c r="D91" s="1054">
        <f>+'Wohnungsausnutzung Vergleich'!C28</f>
        <v>42.839999999999989</v>
      </c>
      <c r="E91" s="1054">
        <f>+'Wohnungsausnutzung Vergleich'!D28</f>
        <v>28.559999999999995</v>
      </c>
      <c r="F91" s="1054">
        <f>+'Wohnungsausnutzung Vergleich'!E28</f>
        <v>23.799999999999997</v>
      </c>
      <c r="G91" s="1054">
        <f>+'Wohnungsausnutzung Vergleich'!F28</f>
        <v>28.559999999999995</v>
      </c>
      <c r="H91" s="1054">
        <f>+'Wohnungsausnutzung Vergleich'!G28</f>
        <v>25.703999999999997</v>
      </c>
      <c r="I91" s="1054">
        <f>+'Wohnungsausnutzung Vergleich'!H28</f>
        <v>31.415999999999997</v>
      </c>
      <c r="J91" s="1056">
        <f>+'Wohnungsausnutzung Vergleich'!I28</f>
        <v>34.271999999999991</v>
      </c>
      <c r="K91" s="1240"/>
      <c r="L91" s="1240"/>
      <c r="M91" s="931"/>
      <c r="N91" s="931"/>
    </row>
    <row r="92" spans="1:16" ht="15.75" customHeight="1">
      <c r="A92" s="1240"/>
      <c r="B92" s="1373" t="s">
        <v>2305</v>
      </c>
      <c r="C92" s="1374"/>
      <c r="D92" s="1054">
        <f>+'Wohnungsausnutzung Vergleich'!C29</f>
        <v>46.199999999999996</v>
      </c>
      <c r="E92" s="1054">
        <f>+'Wohnungsausnutzung Vergleich'!D29</f>
        <v>30.799999999999997</v>
      </c>
      <c r="F92" s="1054">
        <f>+'Wohnungsausnutzung Vergleich'!E29</f>
        <v>25.666666666666668</v>
      </c>
      <c r="G92" s="1054">
        <f>+'Wohnungsausnutzung Vergleich'!F29</f>
        <v>30.799999999999997</v>
      </c>
      <c r="H92" s="1054">
        <f>+'Wohnungsausnutzung Vergleich'!G29</f>
        <v>27.72</v>
      </c>
      <c r="I92" s="1054">
        <f>+'Wohnungsausnutzung Vergleich'!H29</f>
        <v>33.879999999999995</v>
      </c>
      <c r="J92" s="1056">
        <f>+'Wohnungsausnutzung Vergleich'!I29</f>
        <v>36.959999999999994</v>
      </c>
      <c r="K92" s="1240"/>
      <c r="L92" s="1240"/>
      <c r="M92" s="931"/>
      <c r="N92" s="931"/>
      <c r="P92" s="747"/>
    </row>
    <row r="93" spans="1:16" ht="15.75" customHeight="1" thickBot="1">
      <c r="A93" s="1240"/>
      <c r="B93" s="1375" t="s">
        <v>2306</v>
      </c>
      <c r="C93" s="1376"/>
      <c r="D93" s="1055">
        <f>+'Wohnungsausnutzung Vergleich'!C30</f>
        <v>48.72</v>
      </c>
      <c r="E93" s="1055">
        <f>+'Wohnungsausnutzung Vergleich'!D30</f>
        <v>32.479999999999997</v>
      </c>
      <c r="F93" s="1055">
        <f>+'Wohnungsausnutzung Vergleich'!E30</f>
        <v>27.066666666666663</v>
      </c>
      <c r="G93" s="1055">
        <f>+'Wohnungsausnutzung Vergleich'!F30</f>
        <v>28.419999999999998</v>
      </c>
      <c r="H93" s="1055">
        <f>+'Wohnungsausnutzung Vergleich'!G30</f>
        <v>29.231999999999999</v>
      </c>
      <c r="I93" s="1055">
        <f>+'Wohnungsausnutzung Vergleich'!H30</f>
        <v>35.727999999999994</v>
      </c>
      <c r="J93" s="1057">
        <f>+'Wohnungsausnutzung Vergleich'!I30</f>
        <v>38.975999999999999</v>
      </c>
      <c r="K93" s="1240"/>
      <c r="L93" s="1240"/>
      <c r="M93" s="931"/>
      <c r="N93" s="931"/>
    </row>
    <row r="94" spans="1:16" ht="15.75" customHeight="1">
      <c r="A94" s="1240"/>
      <c r="B94" s="1371" t="s">
        <v>2075</v>
      </c>
      <c r="C94" s="1372"/>
      <c r="D94" s="1054">
        <f>+'Wohnungsausnutzung Vergleich'!C31</f>
        <v>50.16</v>
      </c>
      <c r="E94" s="1054">
        <f>+'Wohnungsausnutzung Vergleich'!D31</f>
        <v>31.349999999999998</v>
      </c>
      <c r="F94" s="1054">
        <f>+'Wohnungsausnutzung Vergleich'!E31</f>
        <v>29.26</v>
      </c>
      <c r="G94" s="1054">
        <f>+'Wohnungsausnutzung Vergleich'!F31</f>
        <v>31.349999999999998</v>
      </c>
      <c r="H94" s="1054">
        <f>+'Wohnungsausnutzung Vergleich'!G31</f>
        <v>27.588000000000001</v>
      </c>
      <c r="I94" s="1054">
        <f>+'Wohnungsausnutzung Vergleich'!H31</f>
        <v>30.095999999999997</v>
      </c>
      <c r="J94" s="1056">
        <f>+'Wohnungsausnutzung Vergleich'!I31</f>
        <v>32.603999999999999</v>
      </c>
      <c r="K94" s="1240"/>
      <c r="L94" s="1240"/>
      <c r="M94" s="931"/>
      <c r="N94" s="931"/>
    </row>
    <row r="95" spans="1:16" ht="15.75" customHeight="1">
      <c r="A95" s="1240"/>
      <c r="B95" s="1373" t="s">
        <v>2076</v>
      </c>
      <c r="C95" s="1374"/>
      <c r="D95" s="1054">
        <f>+'Wohnungsausnutzung Vergleich'!C32</f>
        <v>56.76</v>
      </c>
      <c r="E95" s="1054">
        <f>+'Wohnungsausnutzung Vergleich'!D32</f>
        <v>28.38</v>
      </c>
      <c r="F95" s="1054">
        <f>+'Wohnungsausnutzung Vergleich'!E32</f>
        <v>28.38</v>
      </c>
      <c r="G95" s="1054">
        <f>+'Wohnungsausnutzung Vergleich'!F32</f>
        <v>24.8325</v>
      </c>
      <c r="H95" s="1054">
        <f>+'Wohnungsausnutzung Vergleich'!G32</f>
        <v>25.541999999999998</v>
      </c>
      <c r="I95" s="1054">
        <f>+'Wohnungsausnutzung Vergleich'!H32</f>
        <v>28.380000000000003</v>
      </c>
      <c r="J95" s="1056">
        <f>+'Wohnungsausnutzung Vergleich'!I32</f>
        <v>34.055999999999997</v>
      </c>
      <c r="K95" s="1240"/>
      <c r="L95" s="1240"/>
      <c r="M95" s="931"/>
      <c r="N95" s="931"/>
    </row>
    <row r="96" spans="1:16" ht="15.75" customHeight="1">
      <c r="A96" s="1240"/>
      <c r="B96" s="1373" t="s">
        <v>2077</v>
      </c>
      <c r="C96" s="1374"/>
      <c r="D96" s="1054">
        <f>+'Wohnungsausnutzung Vergleich'!C33</f>
        <v>47.519999999999996</v>
      </c>
      <c r="E96" s="1054">
        <f>+'Wohnungsausnutzung Vergleich'!D33</f>
        <v>23.759999999999998</v>
      </c>
      <c r="F96" s="1054">
        <f>+'Wohnungsausnutzung Vergleich'!E33</f>
        <v>21.119999999999997</v>
      </c>
      <c r="G96" s="1054">
        <f>+'Wohnungsausnutzung Vergleich'!F33</f>
        <v>27.719999999999995</v>
      </c>
      <c r="H96" s="1054">
        <f>+'Wohnungsausnutzung Vergleich'!G33</f>
        <v>22.175999999999995</v>
      </c>
      <c r="I96" s="1054">
        <f>+'Wohnungsausnutzung Vergleich'!H33</f>
        <v>31.679999999999996</v>
      </c>
      <c r="J96" s="1056">
        <f>+'Wohnungsausnutzung Vergleich'!I33</f>
        <v>34.847999999999999</v>
      </c>
      <c r="K96" s="1240"/>
      <c r="L96" s="1240"/>
      <c r="M96" s="931"/>
      <c r="N96" s="931"/>
    </row>
    <row r="97" spans="1:14" ht="15.75" customHeight="1">
      <c r="A97" s="1240"/>
      <c r="B97" s="1373" t="s">
        <v>2078</v>
      </c>
      <c r="C97" s="1374"/>
      <c r="D97" s="1054">
        <f>+'Wohnungsausnutzung Vergleich'!C34</f>
        <v>50.489999999999995</v>
      </c>
      <c r="E97" s="1054">
        <f>+'Wohnungsausnutzung Vergleich'!D34</f>
        <v>25.244999999999997</v>
      </c>
      <c r="F97" s="1054">
        <f>+'Wohnungsausnutzung Vergleich'!E34</f>
        <v>22.439999999999998</v>
      </c>
      <c r="G97" s="1054">
        <f>+'Wohnungsausnutzung Vergleich'!F34</f>
        <v>25.244999999999997</v>
      </c>
      <c r="H97" s="1054">
        <f>+'Wohnungsausnutzung Vergleich'!G34</f>
        <v>20.195999999999998</v>
      </c>
      <c r="I97" s="1054">
        <f>+'Wohnungsausnutzung Vergleich'!H34</f>
        <v>23.561999999999998</v>
      </c>
      <c r="J97" s="1056">
        <f>+'Wohnungsausnutzung Vergleich'!I34</f>
        <v>30.293999999999993</v>
      </c>
      <c r="K97" s="1240"/>
      <c r="L97" s="1240"/>
      <c r="M97" s="931"/>
      <c r="N97" s="931"/>
    </row>
    <row r="98" spans="1:14" ht="15.75" customHeight="1">
      <c r="A98" s="1240"/>
      <c r="B98" s="1373" t="s">
        <v>2079</v>
      </c>
      <c r="C98" s="1374"/>
      <c r="D98" s="1054">
        <f>+'Wohnungsausnutzung Vergleich'!C35</f>
        <v>54.449999999999996</v>
      </c>
      <c r="E98" s="1054">
        <f>+'Wohnungsausnutzung Vergleich'!D35</f>
        <v>27.224999999999998</v>
      </c>
      <c r="F98" s="1054">
        <f>+'Wohnungsausnutzung Vergleich'!E35</f>
        <v>24.2</v>
      </c>
      <c r="G98" s="1054">
        <f>+'Wohnungsausnutzung Vergleich'!F35</f>
        <v>27.224999999999998</v>
      </c>
      <c r="H98" s="1054">
        <f>+'Wohnungsausnutzung Vergleich'!G35</f>
        <v>21.779999999999998</v>
      </c>
      <c r="I98" s="1054">
        <f>+'Wohnungsausnutzung Vergleich'!H35</f>
        <v>25.409999999999997</v>
      </c>
      <c r="J98" s="1056">
        <f>+'Wohnungsausnutzung Vergleich'!I35</f>
        <v>29.04</v>
      </c>
      <c r="K98" s="1240"/>
      <c r="L98" s="1240"/>
      <c r="M98" s="931"/>
      <c r="N98" s="931"/>
    </row>
    <row r="99" spans="1:14" ht="15.75" customHeight="1" thickBot="1">
      <c r="A99" s="1240"/>
      <c r="B99" s="1375" t="s">
        <v>2080</v>
      </c>
      <c r="C99" s="1376"/>
      <c r="D99" s="1055">
        <f>+'Wohnungsausnutzung Vergleich'!C36</f>
        <v>57.419999999999987</v>
      </c>
      <c r="E99" s="1055">
        <f>+'Wohnungsausnutzung Vergleich'!D36</f>
        <v>28.709999999999994</v>
      </c>
      <c r="F99" s="1055">
        <f>+'Wohnungsausnutzung Vergleich'!E36</f>
        <v>25.519999999999996</v>
      </c>
      <c r="G99" s="1055">
        <f>+'Wohnungsausnutzung Vergleich'!F36</f>
        <v>23.924999999999997</v>
      </c>
      <c r="H99" s="1055">
        <f>+'Wohnungsausnutzung Vergleich'!G36</f>
        <v>22.967999999999996</v>
      </c>
      <c r="I99" s="1055">
        <f>+'Wohnungsausnutzung Vergleich'!H36</f>
        <v>26.795999999999999</v>
      </c>
      <c r="J99" s="1057">
        <f>+'Wohnungsausnutzung Vergleich'!I36</f>
        <v>30.623999999999995</v>
      </c>
      <c r="K99" s="1240"/>
      <c r="L99" s="1240"/>
      <c r="M99" s="931"/>
      <c r="N99" s="931"/>
    </row>
    <row r="100" spans="1:14" ht="15.75" customHeight="1">
      <c r="A100" s="1240"/>
      <c r="B100" s="1371" t="s">
        <v>2081</v>
      </c>
      <c r="C100" s="1372"/>
      <c r="D100" s="1054">
        <f>+'Wohnungsausnutzung Vergleich'!C37</f>
        <v>49.019999999999996</v>
      </c>
      <c r="E100" s="1054">
        <f>+'Wohnungsausnutzung Vergleich'!D37</f>
        <v>24.509999999999998</v>
      </c>
      <c r="F100" s="1054">
        <f>+'Wohnungsausnutzung Vergleich'!E37</f>
        <v>21.786666666666665</v>
      </c>
      <c r="G100" s="1054">
        <f>+'Wohnungsausnutzung Vergleich'!F37</f>
        <v>24.509999999999998</v>
      </c>
      <c r="H100" s="1054">
        <f>+'Wohnungsausnutzung Vergleich'!G37</f>
        <v>22.875999999999998</v>
      </c>
      <c r="I100" s="1054">
        <f>+'Wohnungsausnutzung Vergleich'!H37</f>
        <v>26.143999999999998</v>
      </c>
      <c r="J100" s="1056">
        <f>+'Wohnungsausnutzung Vergleich'!I37</f>
        <v>32.68</v>
      </c>
      <c r="K100" s="1240"/>
      <c r="L100" s="1240"/>
      <c r="M100" s="931"/>
      <c r="N100" s="931"/>
    </row>
    <row r="101" spans="1:14" ht="15.75" customHeight="1">
      <c r="A101" s="1240"/>
      <c r="B101" s="1373" t="s">
        <v>2082</v>
      </c>
      <c r="C101" s="1374"/>
      <c r="D101" s="1054">
        <f>+'Wohnungsausnutzung Vergleich'!C38</f>
        <v>54.72</v>
      </c>
      <c r="E101" s="1054">
        <f>+'Wohnungsausnutzung Vergleich'!D38</f>
        <v>27.36</v>
      </c>
      <c r="F101" s="1054">
        <f>+'Wohnungsausnutzung Vergleich'!E38</f>
        <v>24.319999999999997</v>
      </c>
      <c r="G101" s="1054">
        <f>+'Wohnungsausnutzung Vergleich'!F38</f>
        <v>22.799999999999997</v>
      </c>
      <c r="H101" s="1054">
        <f>+'Wohnungsausnutzung Vergleich'!G38</f>
        <v>18.239999999999998</v>
      </c>
      <c r="I101" s="1054">
        <f>+'Wohnungsausnutzung Vergleich'!H38</f>
        <v>25.535999999999998</v>
      </c>
      <c r="J101" s="1056">
        <f>+'Wohnungsausnutzung Vergleich'!I38</f>
        <v>29.183999999999997</v>
      </c>
      <c r="K101" s="1240"/>
      <c r="L101" s="1240"/>
      <c r="M101" s="931"/>
      <c r="N101" s="931"/>
    </row>
    <row r="102" spans="1:14" ht="15.75" customHeight="1">
      <c r="A102" s="1240"/>
      <c r="B102" s="1373" t="s">
        <v>2083</v>
      </c>
      <c r="C102" s="1374"/>
      <c r="D102" s="1054">
        <f>+'Wohnungsausnutzung Vergleich'!C39</f>
        <v>58.14</v>
      </c>
      <c r="E102" s="1054">
        <f>+'Wohnungsausnutzung Vergleich'!D39</f>
        <v>29.07</v>
      </c>
      <c r="F102" s="1054">
        <f>+'Wohnungsausnutzung Vergleich'!E39</f>
        <v>25.84</v>
      </c>
      <c r="G102" s="1054">
        <f>+'Wohnungsausnutzung Vergleich'!F39</f>
        <v>24.224999999999998</v>
      </c>
      <c r="H102" s="1054">
        <f>+'Wohnungsausnutzung Vergleich'!G39</f>
        <v>19.38</v>
      </c>
      <c r="I102" s="1054">
        <f>+'Wohnungsausnutzung Vergleich'!H39</f>
        <v>27.131999999999998</v>
      </c>
      <c r="J102" s="1056">
        <f>+'Wohnungsausnutzung Vergleich'!I39</f>
        <v>27.131999999999998</v>
      </c>
      <c r="K102" s="1240"/>
      <c r="L102" s="1240"/>
      <c r="M102" s="931"/>
      <c r="N102" s="931"/>
    </row>
    <row r="103" spans="1:14" ht="15.75" customHeight="1">
      <c r="A103" s="1240"/>
      <c r="B103" s="1373" t="s">
        <v>2084</v>
      </c>
      <c r="C103" s="1374"/>
      <c r="D103" s="1054">
        <f>+'Wohnungsausnutzung Vergleich'!C40</f>
        <v>62.699999999999996</v>
      </c>
      <c r="E103" s="1054">
        <f>+'Wohnungsausnutzung Vergleich'!D40</f>
        <v>31.349999999999998</v>
      </c>
      <c r="F103" s="1054">
        <f>+'Wohnungsausnutzung Vergleich'!E40</f>
        <v>27.866666666666664</v>
      </c>
      <c r="G103" s="1054">
        <f>+'Wohnungsausnutzung Vergleich'!F40</f>
        <v>26.125</v>
      </c>
      <c r="H103" s="1054">
        <f>+'Wohnungsausnutzung Vergleich'!G40</f>
        <v>20.9</v>
      </c>
      <c r="I103" s="1054">
        <f>+'Wohnungsausnutzung Vergleich'!H40</f>
        <v>25.08</v>
      </c>
      <c r="J103" s="1056">
        <f>+'Wohnungsausnutzung Vergleich'!I40</f>
        <v>29.259999999999998</v>
      </c>
      <c r="K103" s="1240"/>
      <c r="L103" s="1240"/>
      <c r="M103" s="931"/>
      <c r="N103" s="931"/>
    </row>
    <row r="104" spans="1:14" ht="15.75" customHeight="1" thickBot="1">
      <c r="A104" s="1240"/>
      <c r="B104" s="1375" t="s">
        <v>2085</v>
      </c>
      <c r="C104" s="1376"/>
      <c r="D104" s="1055">
        <f>+'Wohnungsausnutzung Vergleich'!C41</f>
        <v>66.12</v>
      </c>
      <c r="E104" s="1055">
        <f>+'Wohnungsausnutzung Vergleich'!D41</f>
        <v>33.06</v>
      </c>
      <c r="F104" s="1055">
        <f>+'Wohnungsausnutzung Vergleich'!E41</f>
        <v>29.386666666666667</v>
      </c>
      <c r="G104" s="1055">
        <f>+'Wohnungsausnutzung Vergleich'!F41</f>
        <v>22.04</v>
      </c>
      <c r="H104" s="1055">
        <f>+'Wohnungsausnutzung Vergleich'!G41</f>
        <v>22.04</v>
      </c>
      <c r="I104" s="1055">
        <f>+'Wohnungsausnutzung Vergleich'!H41</f>
        <v>26.448</v>
      </c>
      <c r="J104" s="1057">
        <f>+'Wohnungsausnutzung Vergleich'!I41</f>
        <v>30.856000000000002</v>
      </c>
      <c r="K104" s="1240"/>
      <c r="L104" s="1240"/>
      <c r="M104" s="931"/>
      <c r="N104" s="931"/>
    </row>
    <row r="105" spans="1:14" ht="15.75" customHeight="1">
      <c r="A105" s="1240"/>
      <c r="B105" s="1371" t="s">
        <v>2086</v>
      </c>
      <c r="C105" s="1372"/>
      <c r="D105" s="1054">
        <f>+'Wohnungsausnutzung Vergleich'!C42</f>
        <v>61.919999999999987</v>
      </c>
      <c r="E105" s="1054">
        <f>+'Wohnungsausnutzung Vergleich'!D42</f>
        <v>30.959999999999994</v>
      </c>
      <c r="F105" s="1054">
        <f>+'Wohnungsausnutzung Vergleich'!E42</f>
        <v>27.519999999999996</v>
      </c>
      <c r="G105" s="1054">
        <f>+'Wohnungsausnutzung Vergleich'!F42</f>
        <v>25.799999999999997</v>
      </c>
      <c r="H105" s="1054">
        <f>+'Wohnungsausnutzung Vergleich'!G42</f>
        <v>20.639999999999997</v>
      </c>
      <c r="I105" s="1054">
        <f>+'Wohnungsausnutzung Vergleich'!H42</f>
        <v>24.767999999999994</v>
      </c>
      <c r="J105" s="1056">
        <f>+'Wohnungsausnutzung Vergleich'!I42</f>
        <v>33.023999999999994</v>
      </c>
      <c r="K105" s="1240"/>
      <c r="L105" s="1240"/>
      <c r="M105" s="931"/>
      <c r="N105" s="931"/>
    </row>
    <row r="106" spans="1:14" ht="15.75" customHeight="1">
      <c r="A106" s="1240"/>
      <c r="B106" s="1373" t="s">
        <v>2088</v>
      </c>
      <c r="C106" s="1374"/>
      <c r="D106" s="1054">
        <f>+'Wohnungsausnutzung Vergleich'!C43</f>
        <v>43.859999999999992</v>
      </c>
      <c r="E106" s="1054">
        <f>+'Wohnungsausnutzung Vergleich'!D43</f>
        <v>21.929999999999996</v>
      </c>
      <c r="F106" s="1054">
        <f>+'Wohnungsausnutzung Vergleich'!E43</f>
        <v>29.239999999999995</v>
      </c>
      <c r="G106" s="1054">
        <f>+'Wohnungsausnutzung Vergleich'!F43</f>
        <v>27.412499999999994</v>
      </c>
      <c r="H106" s="1054">
        <f>+'Wohnungsausnutzung Vergleich'!G43</f>
        <v>21.929999999999996</v>
      </c>
      <c r="I106" s="1054">
        <f>+'Wohnungsausnutzung Vergleich'!H43</f>
        <v>26.315999999999995</v>
      </c>
      <c r="J106" s="1056">
        <f>+'Wohnungsausnutzung Vergleich'!I43</f>
        <v>30.701999999999991</v>
      </c>
      <c r="K106" s="1240"/>
      <c r="L106" s="1240"/>
      <c r="M106" s="931"/>
      <c r="N106" s="931"/>
    </row>
    <row r="107" spans="1:14" ht="15.75" customHeight="1">
      <c r="A107" s="1240"/>
      <c r="B107" s="1373" t="s">
        <v>2089</v>
      </c>
      <c r="C107" s="1374"/>
      <c r="D107" s="1054">
        <f>+'Wohnungsausnutzung Vergleich'!C44</f>
        <v>47.3</v>
      </c>
      <c r="E107" s="1054">
        <f>+'Wohnungsausnutzung Vergleich'!D44</f>
        <v>23.65</v>
      </c>
      <c r="F107" s="1054">
        <f>+'Wohnungsausnutzung Vergleich'!E44</f>
        <v>31.533333333333331</v>
      </c>
      <c r="G107" s="1054">
        <f>+'Wohnungsausnutzung Vergleich'!F44</f>
        <v>29.5625</v>
      </c>
      <c r="H107" s="1054">
        <f>+'Wohnungsausnutzung Vergleich'!G44</f>
        <v>23.65</v>
      </c>
      <c r="I107" s="1054">
        <f>+'Wohnungsausnutzung Vergleich'!H44</f>
        <v>28.379999999999995</v>
      </c>
      <c r="J107" s="1056">
        <f>+'Wohnungsausnutzung Vergleich'!I44</f>
        <v>33.11</v>
      </c>
      <c r="K107" s="1240"/>
      <c r="L107" s="1240"/>
      <c r="M107" s="931"/>
      <c r="N107" s="931"/>
    </row>
    <row r="108" spans="1:14" ht="15.75" customHeight="1" thickBot="1">
      <c r="A108" s="1240"/>
      <c r="B108" s="1375" t="s">
        <v>2087</v>
      </c>
      <c r="C108" s="1376"/>
      <c r="D108" s="1055">
        <f>+'Wohnungsausnutzung Vergleich'!C45</f>
        <v>49.879999999999995</v>
      </c>
      <c r="E108" s="1055">
        <f>+'Wohnungsausnutzung Vergleich'!D45</f>
        <v>24.939999999999998</v>
      </c>
      <c r="F108" s="1055">
        <f>+'Wohnungsausnutzung Vergleich'!E45</f>
        <v>24.939999999999998</v>
      </c>
      <c r="G108" s="1055">
        <f>+'Wohnungsausnutzung Vergleich'!F45</f>
        <v>24.939999999999998</v>
      </c>
      <c r="H108" s="1055">
        <f>+'Wohnungsausnutzung Vergleich'!G45</f>
        <v>24.939999999999998</v>
      </c>
      <c r="I108" s="1055">
        <f>+'Wohnungsausnutzung Vergleich'!H45</f>
        <v>29.927999999999997</v>
      </c>
      <c r="J108" s="1057">
        <f>+'Wohnungsausnutzung Vergleich'!I45</f>
        <v>29.927999999999997</v>
      </c>
      <c r="K108" s="1240"/>
      <c r="L108" s="1240"/>
      <c r="M108" s="931"/>
      <c r="N108" s="931"/>
    </row>
    <row r="109" spans="1:14" ht="15.75" customHeight="1">
      <c r="A109" s="1240"/>
      <c r="B109" s="1240"/>
      <c r="C109" s="1240"/>
      <c r="D109" s="1240"/>
      <c r="E109" s="1240"/>
      <c r="F109" s="1240"/>
      <c r="G109" s="1240"/>
      <c r="H109" s="1240"/>
      <c r="I109" s="1240"/>
      <c r="J109" s="1240"/>
      <c r="K109" s="1240"/>
      <c r="L109" s="1240"/>
      <c r="M109" s="931"/>
      <c r="N109" s="931"/>
    </row>
    <row r="110" spans="1:14" ht="15.75" customHeight="1">
      <c r="A110" s="1240"/>
      <c r="B110" s="1240"/>
      <c r="C110" s="1052" t="str">
        <f>+'Wohnungsausnutzung Vergleich'!B47</f>
        <v>Mittelwert</v>
      </c>
      <c r="D110" s="1050">
        <f>+'Wohnungsausnutzung Vergleich'!C47</f>
        <v>28.935195205479488</v>
      </c>
      <c r="E110" s="1050"/>
      <c r="F110" s="1050" t="str">
        <f>+'Wohnungsausnutzung Vergleich'!E47</f>
        <v>Median</v>
      </c>
      <c r="G110" s="1050">
        <f>+'Wohnungsausnutzung Vergleich'!F47</f>
        <v>26.698749999999997</v>
      </c>
      <c r="H110" s="1050"/>
      <c r="I110" s="1050" t="str">
        <f>+'Wohnungsausnutzung Vergleich'!H47</f>
        <v>Modualwert</v>
      </c>
      <c r="J110" s="1049">
        <f>+'Wohnungsausnutzung Vergleich'!I47</f>
        <v>23.519999999999996</v>
      </c>
      <c r="K110" s="1240"/>
      <c r="L110" s="1240"/>
      <c r="M110" s="931"/>
      <c r="N110" s="931"/>
    </row>
    <row r="111" spans="1:14">
      <c r="A111" s="1240"/>
      <c r="B111" s="1240"/>
      <c r="C111" s="1240"/>
      <c r="D111" s="1240"/>
      <c r="E111" s="1240"/>
      <c r="F111" s="1240"/>
      <c r="G111" s="1240"/>
      <c r="H111" s="1240"/>
      <c r="I111" s="1240"/>
      <c r="J111" s="1240"/>
      <c r="K111" s="1240"/>
      <c r="L111" s="1240"/>
    </row>
    <row r="112" spans="1:14">
      <c r="A112" s="739"/>
      <c r="B112" s="739"/>
      <c r="C112" s="739"/>
      <c r="D112" s="739"/>
      <c r="E112" s="739"/>
      <c r="F112" s="739"/>
      <c r="G112" s="739"/>
      <c r="H112" s="739"/>
      <c r="I112" s="739"/>
      <c r="J112" s="739"/>
      <c r="K112" s="739"/>
      <c r="L112" s="739"/>
    </row>
    <row r="113" spans="1:13" ht="23">
      <c r="A113" s="740" t="s">
        <v>1689</v>
      </c>
      <c r="B113" s="741"/>
      <c r="C113" s="741"/>
      <c r="D113" s="741"/>
      <c r="E113" s="741"/>
      <c r="F113" s="741"/>
      <c r="G113" s="741"/>
      <c r="H113" s="742"/>
      <c r="I113" s="742"/>
      <c r="J113" s="742"/>
      <c r="K113" s="742"/>
      <c r="L113" s="742"/>
    </row>
    <row r="114" spans="1:13">
      <c r="A114" s="739"/>
      <c r="B114" s="739"/>
      <c r="C114" s="739"/>
      <c r="D114" s="739"/>
      <c r="E114" s="739"/>
      <c r="F114" s="739"/>
      <c r="G114" s="739"/>
      <c r="H114" s="739"/>
      <c r="I114" s="739"/>
      <c r="J114" s="739"/>
      <c r="K114" s="739"/>
      <c r="L114" s="739"/>
    </row>
    <row r="115" spans="1:13" ht="30" customHeight="1">
      <c r="A115" s="1308" t="s">
        <v>2299</v>
      </c>
      <c r="B115" s="1240"/>
      <c r="C115" s="1240"/>
      <c r="D115" s="1240"/>
      <c r="E115" s="1240"/>
      <c r="F115" s="1240"/>
      <c r="G115" s="1240"/>
      <c r="H115" s="1240"/>
      <c r="I115" s="1240"/>
      <c r="J115" s="1240"/>
      <c r="K115" s="1240"/>
      <c r="L115" s="1240"/>
    </row>
    <row r="116" spans="1:13" ht="16">
      <c r="A116" s="1240" t="s">
        <v>1629</v>
      </c>
      <c r="B116" s="745">
        <v>5.3</v>
      </c>
      <c r="C116" s="1240" t="s">
        <v>84</v>
      </c>
      <c r="D116" s="1240"/>
      <c r="E116" s="1240"/>
      <c r="F116" s="1240"/>
      <c r="G116" s="1240"/>
      <c r="H116" s="1240"/>
      <c r="I116" s="1240"/>
      <c r="J116" s="1240"/>
      <c r="K116" s="1240"/>
      <c r="L116" s="1240"/>
      <c r="M116" s="1266"/>
    </row>
    <row r="117" spans="1:13" ht="16">
      <c r="A117" s="1240" t="s">
        <v>1615</v>
      </c>
      <c r="B117" s="745">
        <v>5</v>
      </c>
      <c r="C117" s="1240" t="s">
        <v>84</v>
      </c>
      <c r="D117" s="1240"/>
      <c r="E117" s="1240"/>
      <c r="F117" s="1240"/>
      <c r="G117" s="1240"/>
      <c r="H117" s="1240"/>
      <c r="I117" s="1240"/>
      <c r="J117" s="1240"/>
      <c r="K117" s="1240"/>
      <c r="L117" s="1240"/>
    </row>
    <row r="118" spans="1:13">
      <c r="A118" s="1240"/>
      <c r="B118" s="1240"/>
      <c r="C118" s="1240"/>
      <c r="D118" s="1240"/>
      <c r="E118" s="1240"/>
      <c r="F118" s="1240"/>
      <c r="G118" s="1240"/>
      <c r="H118" s="1240"/>
      <c r="I118" s="1240"/>
      <c r="J118" s="1240"/>
      <c r="K118" s="1240"/>
      <c r="L118" s="1240"/>
    </row>
    <row r="119" spans="1:13">
      <c r="A119" s="739"/>
      <c r="B119" s="739"/>
      <c r="C119" s="739"/>
      <c r="D119" s="739"/>
      <c r="E119" s="739"/>
      <c r="F119" s="739"/>
      <c r="G119" s="739"/>
      <c r="H119" s="739"/>
      <c r="I119" s="739"/>
      <c r="J119" s="739"/>
      <c r="K119" s="739"/>
      <c r="L119" s="739"/>
    </row>
    <row r="120" spans="1:13" ht="23">
      <c r="A120" s="740" t="s">
        <v>1458</v>
      </c>
      <c r="B120" s="741"/>
      <c r="C120" s="741"/>
      <c r="D120" s="741"/>
      <c r="E120" s="741"/>
      <c r="F120" s="741"/>
      <c r="G120" s="741"/>
      <c r="H120" s="742"/>
      <c r="I120" s="742"/>
      <c r="J120" s="742"/>
      <c r="K120" s="742"/>
      <c r="L120" s="742"/>
    </row>
    <row r="121" spans="1:13">
      <c r="A121" s="739"/>
      <c r="B121" s="739"/>
      <c r="C121" s="739"/>
      <c r="D121" s="739"/>
      <c r="E121" s="739"/>
      <c r="F121" s="739"/>
      <c r="G121" s="739"/>
      <c r="H121" s="739"/>
      <c r="I121" s="739"/>
      <c r="J121" s="739"/>
      <c r="K121" s="739"/>
      <c r="L121" s="739"/>
    </row>
    <row r="122" spans="1:13">
      <c r="A122" s="1240"/>
      <c r="B122" s="1240"/>
      <c r="C122" s="1240"/>
      <c r="D122" s="1240"/>
      <c r="E122" s="1240"/>
      <c r="F122" s="1240"/>
      <c r="G122" s="1240"/>
      <c r="H122" s="1240"/>
      <c r="I122" s="1240"/>
      <c r="J122" s="1240"/>
      <c r="K122" s="1240"/>
      <c r="L122" s="1240"/>
    </row>
    <row r="123" spans="1:13" ht="20">
      <c r="A123" s="1269" t="s">
        <v>2259</v>
      </c>
      <c r="B123" s="1270"/>
      <c r="C123" s="1270"/>
      <c r="D123" s="1270"/>
      <c r="E123" s="1270"/>
      <c r="F123" s="1270"/>
      <c r="G123" s="1270"/>
      <c r="H123" s="1271"/>
      <c r="I123" s="1271"/>
      <c r="J123" s="1271"/>
      <c r="K123" s="1271"/>
      <c r="L123" s="1271"/>
    </row>
    <row r="124" spans="1:13" ht="18">
      <c r="A124" s="1246" t="s">
        <v>1638</v>
      </c>
      <c r="B124" s="1240"/>
      <c r="C124" s="1240"/>
      <c r="D124" s="1240"/>
      <c r="E124" s="1240"/>
      <c r="F124" s="1240"/>
      <c r="G124" s="1240"/>
      <c r="H124" s="1240"/>
      <c r="I124" s="1240"/>
      <c r="J124" s="1240"/>
      <c r="K124" s="1240"/>
      <c r="L124" s="1240"/>
      <c r="M124" s="1265"/>
    </row>
    <row r="125" spans="1:13" ht="18">
      <c r="A125" s="1240" t="s">
        <v>1594</v>
      </c>
      <c r="B125" s="1278">
        <f>Rechenmodell!F7</f>
        <v>9</v>
      </c>
      <c r="C125" s="1240"/>
      <c r="D125" s="1240"/>
      <c r="E125" s="1240"/>
      <c r="F125" s="1240"/>
      <c r="G125" s="1240"/>
      <c r="H125" s="1240"/>
      <c r="I125" s="1240"/>
      <c r="J125" s="1240"/>
      <c r="K125" s="1240"/>
      <c r="L125" s="1240"/>
      <c r="M125" s="1265"/>
    </row>
    <row r="126" spans="1:13" ht="18">
      <c r="A126" s="1240" t="s">
        <v>1603</v>
      </c>
      <c r="B126" s="1278">
        <f>Rechenmodell!F8</f>
        <v>2</v>
      </c>
      <c r="C126" s="1240"/>
      <c r="D126" s="1240"/>
      <c r="E126" s="1240"/>
      <c r="F126" s="1240"/>
      <c r="G126" s="1240"/>
      <c r="H126" s="1240"/>
      <c r="I126" s="1240"/>
      <c r="J126" s="1240"/>
      <c r="K126" s="1240"/>
      <c r="L126" s="1240"/>
      <c r="M126" s="1265"/>
    </row>
    <row r="127" spans="1:13" ht="18">
      <c r="A127" s="1246"/>
      <c r="B127" s="1240"/>
      <c r="C127" s="1240"/>
      <c r="D127" s="1240"/>
      <c r="E127" s="1240"/>
      <c r="F127" s="1240"/>
      <c r="G127" s="1240"/>
      <c r="H127" s="1240"/>
      <c r="I127" s="1240"/>
      <c r="J127" s="1240"/>
      <c r="K127" s="1240"/>
      <c r="L127" s="1240"/>
      <c r="M127" s="1265"/>
    </row>
    <row r="128" spans="1:13" ht="19" thickBot="1">
      <c r="A128" s="1246"/>
      <c r="B128" s="1240"/>
      <c r="C128" s="1240"/>
      <c r="D128" s="1240"/>
      <c r="E128" s="1240"/>
      <c r="F128" s="1240"/>
      <c r="G128" s="1240"/>
      <c r="H128" s="1240"/>
      <c r="I128" s="1240"/>
      <c r="J128" s="1240"/>
      <c r="K128" s="1240"/>
      <c r="L128" s="1240"/>
      <c r="M128" s="1265"/>
    </row>
    <row r="129" spans="1:13" ht="21" thickBot="1">
      <c r="A129" s="1246"/>
      <c r="B129" s="1240"/>
      <c r="C129" s="1377" t="s">
        <v>967</v>
      </c>
      <c r="D129" s="1363"/>
      <c r="E129" s="1363"/>
      <c r="F129" s="1363" t="s">
        <v>968</v>
      </c>
      <c r="G129" s="1363"/>
      <c r="H129" s="1363"/>
      <c r="I129" s="1363" t="s">
        <v>961</v>
      </c>
      <c r="J129" s="1363"/>
      <c r="K129" s="1364"/>
      <c r="L129" s="1240"/>
      <c r="M129" s="1265"/>
    </row>
    <row r="130" spans="1:13" ht="9" customHeight="1">
      <c r="A130" s="1246"/>
      <c r="B130" s="1240"/>
      <c r="C130" s="1280"/>
      <c r="D130" s="1277"/>
      <c r="E130" s="1281"/>
      <c r="F130" s="1280"/>
      <c r="G130" s="1277"/>
      <c r="H130" s="1281"/>
      <c r="I130" s="1280"/>
      <c r="J130" s="1277"/>
      <c r="K130" s="1281"/>
      <c r="L130" s="1240"/>
      <c r="M130" s="1265"/>
    </row>
    <row r="131" spans="1:13" ht="18">
      <c r="A131" s="1246" t="s">
        <v>2260</v>
      </c>
      <c r="B131" s="1240"/>
      <c r="C131" s="1282" t="s">
        <v>2261</v>
      </c>
      <c r="D131" s="1272">
        <f>Rechenmodell!X3</f>
        <v>5</v>
      </c>
      <c r="E131" s="1283"/>
      <c r="F131" s="1282" t="s">
        <v>2262</v>
      </c>
      <c r="G131" s="1272">
        <f>Rechenmodell!X8</f>
        <v>5.3</v>
      </c>
      <c r="H131" s="1283"/>
      <c r="I131" s="1282" t="s">
        <v>2281</v>
      </c>
      <c r="J131" s="1272">
        <f ca="1">Rechenmodell!X19</f>
        <v>3.5</v>
      </c>
      <c r="K131" s="1283"/>
      <c r="L131" s="1240"/>
      <c r="M131" s="1265"/>
    </row>
    <row r="132" spans="1:13" ht="18">
      <c r="A132" s="1276" t="s">
        <v>2289</v>
      </c>
      <c r="B132" s="1240"/>
      <c r="C132" s="1284"/>
      <c r="D132" s="1250" t="str">
        <f>IF(D131=B116,"in x-Richtung","in y-Richtung")</f>
        <v>in y-Richtung</v>
      </c>
      <c r="E132" s="1283"/>
      <c r="F132" s="1284"/>
      <c r="G132" s="1250" t="str">
        <f>IF(D132="in x-Richtung","in y-Richtung","in x-Richtung")</f>
        <v>in x-Richtung</v>
      </c>
      <c r="H132" s="1283"/>
      <c r="I132" s="1284"/>
      <c r="J132" s="1240"/>
      <c r="K132" s="1283"/>
      <c r="L132" s="1240"/>
      <c r="M132" s="1265"/>
    </row>
    <row r="133" spans="1:13" ht="18">
      <c r="A133" s="1246" t="s">
        <v>827</v>
      </c>
      <c r="B133" s="1240"/>
      <c r="C133" s="1284"/>
      <c r="D133" s="1273" t="str">
        <f ca="1">"BSP "&amp;D136</f>
        <v>BSP 220</v>
      </c>
      <c r="E133" s="1283"/>
      <c r="F133" s="1284"/>
      <c r="G133" s="1273" t="str">
        <f>Mat_UZ</f>
        <v>GL24h</v>
      </c>
      <c r="H133" s="1283"/>
      <c r="I133" s="1284"/>
      <c r="J133" s="1273" t="str">
        <f>Mat_ST</f>
        <v>GL24h</v>
      </c>
      <c r="K133" s="1283"/>
      <c r="L133" s="1240"/>
      <c r="M133" s="1265"/>
    </row>
    <row r="134" spans="1:13" ht="18">
      <c r="A134" s="1276" t="s">
        <v>2263</v>
      </c>
      <c r="B134" s="1240"/>
      <c r="C134" s="1284"/>
      <c r="D134" s="1240" t="str">
        <f ca="1">HLOOKUP(D133,'Hilfstabellen_Mat&amp;Bem'!$BA$44:$BG$45,2,FALSE)</f>
        <v>60/30/40/30/60</v>
      </c>
      <c r="E134" s="1283"/>
      <c r="F134" s="1284"/>
      <c r="G134" s="1240"/>
      <c r="H134" s="1283"/>
      <c r="I134" s="1284"/>
      <c r="J134" s="1240"/>
      <c r="K134" s="1283"/>
      <c r="L134" s="1240"/>
      <c r="M134" s="1265"/>
    </row>
    <row r="135" spans="1:13" ht="18">
      <c r="A135" s="1246" t="s">
        <v>2265</v>
      </c>
      <c r="B135" s="1240"/>
      <c r="C135" s="1282" t="s">
        <v>2266</v>
      </c>
      <c r="D135" s="1279">
        <f>b_DE</f>
        <v>1000</v>
      </c>
      <c r="E135" s="1283"/>
      <c r="F135" s="1282" t="s">
        <v>2268</v>
      </c>
      <c r="G135" s="1273">
        <f ca="1">Rechenmodell!X9</f>
        <v>320</v>
      </c>
      <c r="H135" s="1283"/>
      <c r="I135" s="1282" t="s">
        <v>2270</v>
      </c>
      <c r="J135" s="1273">
        <f ca="1">Rechenmodell!$X$20</f>
        <v>320</v>
      </c>
      <c r="K135" s="1283"/>
      <c r="L135" s="1240"/>
      <c r="M135" s="1265"/>
    </row>
    <row r="136" spans="1:13" ht="18">
      <c r="A136" s="1246" t="s">
        <v>2264</v>
      </c>
      <c r="B136" s="1240"/>
      <c r="C136" s="1282" t="s">
        <v>2267</v>
      </c>
      <c r="D136" s="1273">
        <f ca="1">Rechenmodell!X4</f>
        <v>220</v>
      </c>
      <c r="E136" s="1283"/>
      <c r="F136" s="1282" t="s">
        <v>2269</v>
      </c>
      <c r="G136" s="1273">
        <f ca="1">Rechenmodell!X10</f>
        <v>560</v>
      </c>
      <c r="H136" s="1283"/>
      <c r="I136" s="1282" t="s">
        <v>2271</v>
      </c>
      <c r="J136" s="1273">
        <f ca="1">Rechenmodell!$X$20</f>
        <v>320</v>
      </c>
      <c r="K136" s="1283"/>
      <c r="L136" s="1240"/>
      <c r="M136" s="1265"/>
    </row>
    <row r="137" spans="1:13" ht="18">
      <c r="A137" s="1246"/>
      <c r="B137" s="1240"/>
      <c r="C137" s="1284"/>
      <c r="D137" s="1240"/>
      <c r="E137" s="1283"/>
      <c r="F137" s="1284"/>
      <c r="G137" s="1240"/>
      <c r="H137" s="1283"/>
      <c r="I137" s="1284"/>
      <c r="J137" s="1240"/>
      <c r="K137" s="1283"/>
      <c r="L137" s="1240"/>
      <c r="M137" s="1265"/>
    </row>
    <row r="138" spans="1:13" ht="18">
      <c r="A138" s="1246" t="s">
        <v>2273</v>
      </c>
      <c r="B138" s="1240"/>
      <c r="C138" s="1284"/>
      <c r="D138" s="1240"/>
      <c r="E138" s="1283"/>
      <c r="F138" s="1284"/>
      <c r="G138" s="1240"/>
      <c r="H138" s="1283"/>
      <c r="I138" s="1284"/>
      <c r="J138" s="1240"/>
      <c r="K138" s="1283"/>
      <c r="L138" s="1240"/>
      <c r="M138" s="1265"/>
    </row>
    <row r="139" spans="1:13" ht="18">
      <c r="A139" s="1246"/>
      <c r="B139" s="1240"/>
      <c r="C139" s="1284"/>
      <c r="D139" s="1240"/>
      <c r="E139" s="1283"/>
      <c r="F139" s="1284"/>
      <c r="G139" s="1240"/>
      <c r="H139" s="1283"/>
      <c r="I139" s="1284"/>
      <c r="J139" s="1240"/>
      <c r="K139" s="1283"/>
      <c r="L139" s="1240"/>
      <c r="M139" s="1265"/>
    </row>
    <row r="140" spans="1:13" ht="18">
      <c r="A140" s="1246"/>
      <c r="B140" s="1240"/>
      <c r="C140" s="1284"/>
      <c r="D140" s="1240"/>
      <c r="E140" s="1283"/>
      <c r="F140" s="1284"/>
      <c r="G140" s="1240"/>
      <c r="H140" s="1283"/>
      <c r="I140" s="1284"/>
      <c r="J140" s="1240"/>
      <c r="K140" s="1283"/>
      <c r="L140" s="1240"/>
      <c r="M140" s="1265"/>
    </row>
    <row r="141" spans="1:13" ht="18">
      <c r="A141" s="1246"/>
      <c r="B141" s="1240"/>
      <c r="C141" s="1284"/>
      <c r="D141" s="1240"/>
      <c r="E141" s="1283"/>
      <c r="F141" s="1284"/>
      <c r="G141" s="1240"/>
      <c r="H141" s="1283"/>
      <c r="I141" s="1284"/>
      <c r="J141" s="1240"/>
      <c r="K141" s="1283"/>
      <c r="L141" s="1240"/>
      <c r="M141" s="1265"/>
    </row>
    <row r="142" spans="1:13" ht="18">
      <c r="A142" s="1276" t="s">
        <v>1632</v>
      </c>
      <c r="B142" s="1240" t="str">
        <f>IFERROR(Aufbau_DE,"in Zelle B33 wählen")</f>
        <v>DE02</v>
      </c>
      <c r="C142" s="1284"/>
      <c r="D142" s="1240"/>
      <c r="E142" s="1283"/>
      <c r="F142" s="1284"/>
      <c r="G142" s="1240"/>
      <c r="H142" s="1283"/>
      <c r="I142" s="1284"/>
      <c r="J142" s="1240"/>
      <c r="K142" s="1283"/>
      <c r="L142" s="1240"/>
      <c r="M142" s="1265"/>
    </row>
    <row r="143" spans="1:13" ht="18">
      <c r="A143" s="1246"/>
      <c r="B143" s="1240"/>
      <c r="C143" s="1284"/>
      <c r="D143" s="1240"/>
      <c r="E143" s="1283"/>
      <c r="F143" s="1284"/>
      <c r="G143" s="1240"/>
      <c r="H143" s="1283"/>
      <c r="I143" s="1284"/>
      <c r="J143" s="1240"/>
      <c r="K143" s="1283"/>
      <c r="L143" s="1240"/>
      <c r="M143" s="1265"/>
    </row>
    <row r="144" spans="1:13" ht="18">
      <c r="A144" s="1246"/>
      <c r="B144" s="1240"/>
      <c r="C144" s="1284"/>
      <c r="D144" s="1240"/>
      <c r="E144" s="1283"/>
      <c r="F144" s="1284"/>
      <c r="G144" s="1240"/>
      <c r="H144" s="1283"/>
      <c r="I144" s="1284"/>
      <c r="J144" s="1240"/>
      <c r="K144" s="1283"/>
      <c r="L144" s="1240"/>
      <c r="M144" s="1265"/>
    </row>
    <row r="145" spans="1:13" ht="18">
      <c r="A145" s="1246"/>
      <c r="B145" s="1240"/>
      <c r="C145" s="1284"/>
      <c r="D145" s="1240"/>
      <c r="E145" s="1283"/>
      <c r="F145" s="1284"/>
      <c r="G145" s="1240"/>
      <c r="H145" s="1283"/>
      <c r="I145" s="1284"/>
      <c r="J145" s="1240"/>
      <c r="K145" s="1283"/>
      <c r="L145" s="1240"/>
      <c r="M145" s="1265"/>
    </row>
    <row r="146" spans="1:13" ht="18">
      <c r="A146" s="1246"/>
      <c r="B146" s="1240"/>
      <c r="C146" s="1284"/>
      <c r="D146" s="1240"/>
      <c r="E146" s="1283"/>
      <c r="F146" s="1284"/>
      <c r="G146" s="1240"/>
      <c r="H146" s="1283"/>
      <c r="I146" s="1284"/>
      <c r="J146" s="1240"/>
      <c r="K146" s="1283"/>
      <c r="L146" s="1240"/>
      <c r="M146" s="1265"/>
    </row>
    <row r="147" spans="1:13" ht="18">
      <c r="A147" s="1246"/>
      <c r="B147" s="1240"/>
      <c r="C147" s="1284"/>
      <c r="D147" s="1240"/>
      <c r="E147" s="1283"/>
      <c r="F147" s="1284"/>
      <c r="G147" s="1240"/>
      <c r="H147" s="1283"/>
      <c r="I147" s="1284"/>
      <c r="J147" s="1240"/>
      <c r="K147" s="1283"/>
      <c r="L147" s="1240"/>
      <c r="M147" s="1265"/>
    </row>
    <row r="148" spans="1:13" ht="18">
      <c r="A148" s="1246"/>
      <c r="B148" s="1240"/>
      <c r="C148" s="1284"/>
      <c r="D148" s="1240"/>
      <c r="E148" s="1283"/>
      <c r="F148" s="1284"/>
      <c r="G148" s="1240"/>
      <c r="H148" s="1283"/>
      <c r="I148" s="1284"/>
      <c r="J148" s="1240"/>
      <c r="K148" s="1283"/>
      <c r="L148" s="1240"/>
      <c r="M148" s="1265"/>
    </row>
    <row r="149" spans="1:13" ht="18">
      <c r="A149" s="1246"/>
      <c r="B149" s="1240"/>
      <c r="C149" s="1284"/>
      <c r="D149" s="1240"/>
      <c r="E149" s="1283"/>
      <c r="F149" s="1284"/>
      <c r="G149" s="1240"/>
      <c r="H149" s="1283"/>
      <c r="I149" s="1284"/>
      <c r="J149" s="1240"/>
      <c r="K149" s="1283"/>
      <c r="L149" s="1240"/>
      <c r="M149" s="1265"/>
    </row>
    <row r="150" spans="1:13" ht="18">
      <c r="A150" s="1240" t="s">
        <v>2277</v>
      </c>
      <c r="B150" s="1240"/>
      <c r="C150" s="1285" t="s">
        <v>2274</v>
      </c>
      <c r="D150" s="1274">
        <f ca="1">Rechenmodell!X5</f>
        <v>5.83</v>
      </c>
      <c r="E150" s="1283"/>
      <c r="F150" s="1285" t="s">
        <v>2275</v>
      </c>
      <c r="G150" s="1274">
        <f ca="1">Rechenmodell!X12</f>
        <v>0.94975999999999994</v>
      </c>
      <c r="H150" s="1283"/>
      <c r="I150" s="1285" t="s">
        <v>2276</v>
      </c>
      <c r="J150" s="1274">
        <f ca="1">Rechenmodell!X22</f>
        <v>0.35840000000000005</v>
      </c>
      <c r="K150" s="1283"/>
      <c r="L150" s="1240"/>
      <c r="M150" s="1265"/>
    </row>
    <row r="151" spans="1:13" ht="18">
      <c r="A151" s="1246" t="s">
        <v>2272</v>
      </c>
      <c r="B151" s="1240"/>
      <c r="C151" s="1282" t="s">
        <v>2278</v>
      </c>
      <c r="D151" s="1275">
        <f ca="1">Rechenmodell!J12</f>
        <v>524.70000000000005</v>
      </c>
      <c r="E151" s="1286"/>
      <c r="F151" s="1282" t="s">
        <v>2279</v>
      </c>
      <c r="G151" s="1275">
        <f ca="1">Rechenmodell!J10</f>
        <v>128.2176</v>
      </c>
      <c r="H151" s="1286"/>
      <c r="I151" s="1282" t="s">
        <v>2280</v>
      </c>
      <c r="J151" s="1275">
        <f ca="1">Rechenmodell!J8</f>
        <v>53.760000000000005</v>
      </c>
      <c r="K151" s="1283"/>
      <c r="L151" s="1240"/>
      <c r="M151" s="1265"/>
    </row>
    <row r="152" spans="1:13" ht="18">
      <c r="A152" s="1246"/>
      <c r="B152" s="1240"/>
      <c r="C152" s="1284"/>
      <c r="D152" s="1240"/>
      <c r="E152" s="1283"/>
      <c r="F152" s="1284"/>
      <c r="G152" s="1240"/>
      <c r="H152" s="1283"/>
      <c r="I152" s="1284"/>
      <c r="J152" s="1240"/>
      <c r="K152" s="1283"/>
      <c r="L152" s="1240"/>
      <c r="M152" s="1265"/>
    </row>
    <row r="153" spans="1:13" ht="18">
      <c r="A153" s="1246" t="s">
        <v>2286</v>
      </c>
      <c r="B153" s="1240"/>
      <c r="C153" s="1284"/>
      <c r="D153" s="1240"/>
      <c r="E153" s="1283"/>
      <c r="F153" s="1284"/>
      <c r="G153" s="1240"/>
      <c r="H153" s="1283"/>
      <c r="I153" s="1284"/>
      <c r="J153" s="1240"/>
      <c r="K153" s="1283"/>
      <c r="L153" s="1240"/>
      <c r="M153" s="1265" t="s">
        <v>2290</v>
      </c>
    </row>
    <row r="154" spans="1:13" ht="19" thickBot="1">
      <c r="A154" s="1246"/>
      <c r="B154" s="1240"/>
      <c r="C154" s="1287"/>
      <c r="D154" s="1288"/>
      <c r="E154" s="1289"/>
      <c r="F154" s="1287"/>
      <c r="G154" s="1288"/>
      <c r="H154" s="1289"/>
      <c r="I154" s="1287"/>
      <c r="J154" s="1288"/>
      <c r="K154" s="1289"/>
      <c r="L154" s="1240"/>
      <c r="M154" s="1265"/>
    </row>
    <row r="155" spans="1:13">
      <c r="A155" s="1246"/>
      <c r="B155" s="1240"/>
      <c r="C155" s="1240"/>
      <c r="D155" s="1240"/>
      <c r="E155" s="1240"/>
      <c r="F155" s="1240"/>
      <c r="G155" s="1240"/>
      <c r="H155" s="1240"/>
      <c r="I155" s="1240"/>
      <c r="J155" s="1240"/>
      <c r="K155" s="1240"/>
      <c r="L155" s="1240"/>
    </row>
    <row r="156" spans="1:13" ht="19" thickBot="1">
      <c r="A156" s="1246"/>
      <c r="B156" s="1240"/>
      <c r="C156" s="1240"/>
      <c r="D156" s="1240"/>
      <c r="E156" s="1240"/>
      <c r="F156" s="1240"/>
      <c r="G156" s="1240"/>
      <c r="H156" s="1240"/>
      <c r="I156" s="1240"/>
      <c r="J156" s="1240"/>
      <c r="K156" s="1240"/>
      <c r="L156" s="1240"/>
      <c r="M156" s="1265"/>
    </row>
    <row r="157" spans="1:13" ht="21" thickBot="1">
      <c r="A157" s="1246"/>
      <c r="B157" s="1240"/>
      <c r="C157" s="1377" t="s">
        <v>2311</v>
      </c>
      <c r="D157" s="1363"/>
      <c r="E157" s="1363"/>
      <c r="F157" s="1310"/>
      <c r="G157" s="1310"/>
      <c r="H157" s="1310"/>
      <c r="I157" s="1310"/>
      <c r="J157" s="1310"/>
      <c r="K157" s="1311"/>
      <c r="L157" s="1240"/>
      <c r="M157" s="1265"/>
    </row>
    <row r="158" spans="1:13" ht="18">
      <c r="A158" s="1240" t="s">
        <v>2287</v>
      </c>
      <c r="B158" s="1240"/>
      <c r="C158" s="1284"/>
      <c r="D158" s="1246" t="s">
        <v>827</v>
      </c>
      <c r="E158" s="1240"/>
      <c r="F158" s="1240"/>
      <c r="G158" s="1273" t="str">
        <f>Aussteifung!$F$107</f>
        <v>BSPW 200</v>
      </c>
      <c r="H158" s="1240"/>
      <c r="I158" s="1240"/>
      <c r="J158" s="1240"/>
      <c r="K158" s="1283"/>
      <c r="L158" s="1240"/>
      <c r="M158" s="1265"/>
    </row>
    <row r="159" spans="1:13" ht="18">
      <c r="A159" s="1246"/>
      <c r="B159" s="1240"/>
      <c r="C159" s="1284"/>
      <c r="D159" s="1276" t="s">
        <v>2263</v>
      </c>
      <c r="E159" s="1240"/>
      <c r="F159" s="1240"/>
      <c r="G159" s="1240" t="str">
        <f>HLOOKUP(Aussteifung!$E$107,'Hilfstabellen_Mat&amp;Bem'!$BA$44:$BG$45,2,FALSE)</f>
        <v>40/40/40/40/40</v>
      </c>
      <c r="H159" s="1240"/>
      <c r="I159" s="1240"/>
      <c r="J159" s="1240"/>
      <c r="K159" s="1283"/>
      <c r="L159" s="1240"/>
      <c r="M159" s="1265"/>
    </row>
    <row r="160" spans="1:13" ht="18">
      <c r="A160" s="1246"/>
      <c r="B160" s="1240"/>
      <c r="C160" s="1284"/>
      <c r="D160" s="1240"/>
      <c r="E160" s="1240"/>
      <c r="F160" s="1240"/>
      <c r="G160" s="1240"/>
      <c r="H160" s="1240"/>
      <c r="I160" s="1240"/>
      <c r="J160" s="1240"/>
      <c r="K160" s="1283"/>
      <c r="L160" s="1240"/>
      <c r="M160" s="1265"/>
    </row>
    <row r="161" spans="1:13" ht="18">
      <c r="A161" s="1246"/>
      <c r="B161" s="1240"/>
      <c r="C161" s="1284"/>
      <c r="D161" s="1240" t="s">
        <v>2333</v>
      </c>
      <c r="E161" s="1240" t="str">
        <f ca="1">Aussteifung!G227</f>
        <v>Wandscheiben des Kerns ausreichend</v>
      </c>
      <c r="F161" s="1240"/>
      <c r="G161" s="1240"/>
      <c r="H161" s="1240"/>
      <c r="I161" s="1240"/>
      <c r="J161" s="1240"/>
      <c r="K161" s="1283"/>
      <c r="L161" s="1240"/>
      <c r="M161" s="1265"/>
    </row>
    <row r="162" spans="1:13" ht="18">
      <c r="A162" s="1246"/>
      <c r="B162" s="1240"/>
      <c r="C162" s="1284"/>
      <c r="D162" s="1240" t="s">
        <v>2334</v>
      </c>
      <c r="E162" s="1240" t="str">
        <f ca="1">Aussteifung!G228</f>
        <v>Wandscheiben des Kerns ausreichend</v>
      </c>
      <c r="F162" s="1240"/>
      <c r="G162" s="1240"/>
      <c r="H162" s="1240"/>
      <c r="I162" s="1240"/>
      <c r="J162" s="1240"/>
      <c r="K162" s="1283"/>
      <c r="L162" s="1240"/>
      <c r="M162" s="1265"/>
    </row>
    <row r="163" spans="1:13" ht="18">
      <c r="A163" s="1246"/>
      <c r="B163" s="1240"/>
      <c r="C163" s="1284"/>
      <c r="D163" s="1240"/>
      <c r="E163" s="1240"/>
      <c r="F163" s="1240"/>
      <c r="G163" s="1240"/>
      <c r="H163" s="1240"/>
      <c r="I163" s="1240"/>
      <c r="J163" s="1240"/>
      <c r="K163" s="1283"/>
      <c r="L163" s="1240"/>
      <c r="M163" s="1265"/>
    </row>
    <row r="164" spans="1:13" ht="18">
      <c r="A164" s="1246"/>
      <c r="B164" s="1240"/>
      <c r="C164" s="1284"/>
      <c r="D164" s="1240"/>
      <c r="E164" s="1240"/>
      <c r="F164" s="1240"/>
      <c r="G164" s="1240"/>
      <c r="H164" s="1240"/>
      <c r="I164" s="1240"/>
      <c r="J164" s="1240"/>
      <c r="K164" s="1283"/>
      <c r="L164" s="1240"/>
      <c r="M164" s="1265"/>
    </row>
    <row r="165" spans="1:13" ht="18">
      <c r="A165" s="1246"/>
      <c r="B165" s="1240"/>
      <c r="C165" s="1284"/>
      <c r="D165" s="1240"/>
      <c r="E165" s="1240"/>
      <c r="F165" s="1240"/>
      <c r="G165" s="1240"/>
      <c r="H165" s="1240"/>
      <c r="I165" s="1240"/>
      <c r="J165" s="1240"/>
      <c r="K165" s="1283"/>
      <c r="L165" s="1240"/>
      <c r="M165" s="1265"/>
    </row>
    <row r="166" spans="1:13" ht="18">
      <c r="A166" s="1246"/>
      <c r="B166" s="1240"/>
      <c r="C166" s="1284"/>
      <c r="D166" s="1240"/>
      <c r="E166" s="1240"/>
      <c r="F166" s="1240"/>
      <c r="G166" s="1240"/>
      <c r="H166" s="1240"/>
      <c r="I166" s="1240"/>
      <c r="J166" s="1240"/>
      <c r="K166" s="1283"/>
      <c r="L166" s="1240"/>
      <c r="M166" s="1265"/>
    </row>
    <row r="167" spans="1:13" ht="18">
      <c r="A167" s="1246"/>
      <c r="B167" s="1240"/>
      <c r="C167" s="1284"/>
      <c r="D167" s="1240"/>
      <c r="E167" s="1240"/>
      <c r="F167" s="1240"/>
      <c r="G167" s="1240"/>
      <c r="H167" s="1240"/>
      <c r="I167" s="1240"/>
      <c r="J167" s="1240"/>
      <c r="K167" s="1283"/>
      <c r="L167" s="1240"/>
      <c r="M167" s="1265"/>
    </row>
    <row r="168" spans="1:13" ht="19" thickBot="1">
      <c r="A168" s="1246"/>
      <c r="B168" s="1240"/>
      <c r="C168" s="1287"/>
      <c r="D168" s="1288"/>
      <c r="E168" s="1288"/>
      <c r="F168" s="1288"/>
      <c r="G168" s="1288"/>
      <c r="H168" s="1288"/>
      <c r="I168" s="1288"/>
      <c r="J168" s="1288"/>
      <c r="K168" s="1289"/>
      <c r="L168" s="1240"/>
      <c r="M168" s="1265"/>
    </row>
    <row r="169" spans="1:13" ht="18">
      <c r="A169" s="1246"/>
      <c r="B169" s="1240"/>
      <c r="C169" s="1240"/>
      <c r="D169" s="1240"/>
      <c r="E169" s="1240"/>
      <c r="F169" s="1240"/>
      <c r="G169" s="1240"/>
      <c r="H169" s="1240"/>
      <c r="I169" s="1240"/>
      <c r="J169" s="1240"/>
      <c r="K169" s="1240"/>
      <c r="L169" s="1240"/>
      <c r="M169" s="1265"/>
    </row>
    <row r="170" spans="1:13" ht="18">
      <c r="A170" s="1246"/>
      <c r="B170" s="1240"/>
      <c r="C170" s="1240"/>
      <c r="D170" s="1240"/>
      <c r="E170" s="1240"/>
      <c r="F170" s="1240"/>
      <c r="G170" s="1240"/>
      <c r="H170" s="1240"/>
      <c r="I170" s="1240"/>
      <c r="J170" s="1240"/>
      <c r="K170" s="1240"/>
      <c r="L170" s="1240"/>
      <c r="M170" s="1265"/>
    </row>
    <row r="171" spans="1:13" ht="20">
      <c r="A171" s="1269" t="s">
        <v>2288</v>
      </c>
      <c r="B171" s="1270"/>
      <c r="C171" s="1270"/>
      <c r="D171" s="1270"/>
      <c r="E171" s="1270"/>
      <c r="F171" s="1270"/>
      <c r="G171" s="1270"/>
      <c r="H171" s="1271"/>
      <c r="I171" s="1271"/>
      <c r="J171" s="1271"/>
      <c r="K171" s="1271"/>
      <c r="L171" s="1271"/>
      <c r="M171" s="747"/>
    </row>
    <row r="172" spans="1:13">
      <c r="A172" s="1242"/>
      <c r="B172" s="1249"/>
      <c r="C172" s="1240"/>
      <c r="D172" s="1240"/>
      <c r="E172" s="1240"/>
      <c r="F172" s="1240"/>
      <c r="G172" s="1240"/>
      <c r="H172" s="1240"/>
      <c r="I172" s="1240"/>
      <c r="J172" s="1240"/>
      <c r="K172" s="1240"/>
      <c r="L172" s="1240"/>
      <c r="M172" s="747"/>
    </row>
    <row r="173" spans="1:13">
      <c r="A173" s="1242" t="s">
        <v>2293</v>
      </c>
      <c r="B173" s="1238">
        <f ca="1">Rechenmodell!S2</f>
        <v>2.7389999999999999</v>
      </c>
      <c r="C173" s="1240"/>
      <c r="D173" s="1240"/>
      <c r="E173" s="1240"/>
      <c r="F173" s="1240"/>
      <c r="G173" s="1240"/>
      <c r="H173" s="1240"/>
      <c r="I173" s="1240"/>
      <c r="J173" s="1240"/>
      <c r="K173" s="1240"/>
      <c r="L173" s="1240"/>
      <c r="M173" s="747"/>
    </row>
    <row r="174" spans="1:13">
      <c r="A174" s="1240" t="s">
        <v>2292</v>
      </c>
      <c r="B174" s="1236">
        <f ca="1">Rechenmodell!S4</f>
        <v>3.5606999999999998</v>
      </c>
      <c r="C174" s="1240"/>
      <c r="D174" s="1242" t="s">
        <v>1398</v>
      </c>
      <c r="E174" s="1309"/>
      <c r="F174" s="1240"/>
      <c r="G174" s="1236">
        <f>Rechenmodell!S3</f>
        <v>2.6500000000000004</v>
      </c>
      <c r="H174" s="1250" t="str">
        <f ca="1">IF(B174&gt;G174,"Anforderung erfülltt","Anforderung nicht erfüllt!")</f>
        <v>Anforderung erfülltt</v>
      </c>
      <c r="I174" s="1240"/>
      <c r="J174" s="1240"/>
      <c r="K174" s="1240"/>
      <c r="L174" s="1240"/>
      <c r="M174" s="747"/>
    </row>
    <row r="175" spans="1:13">
      <c r="A175" s="1240"/>
      <c r="B175" s="1240"/>
      <c r="C175" s="1240"/>
      <c r="D175" s="1240"/>
      <c r="E175" s="1240"/>
      <c r="F175" s="1240"/>
      <c r="G175" s="1240"/>
      <c r="H175" s="1240"/>
      <c r="I175" s="1240"/>
      <c r="J175" s="1240"/>
      <c r="K175" s="1240"/>
      <c r="L175" s="1240"/>
      <c r="M175" s="747"/>
    </row>
    <row r="176" spans="1:13">
      <c r="A176" s="1240" t="s">
        <v>2221</v>
      </c>
      <c r="B176" s="1236">
        <f ca="1">Rechenmodell!S5</f>
        <v>320.46299999999997</v>
      </c>
      <c r="C176" s="1240"/>
      <c r="D176" s="1242" t="s">
        <v>1401</v>
      </c>
      <c r="E176" s="1242"/>
      <c r="F176" s="1240"/>
      <c r="G176" s="1292">
        <f>Rechenmodell!S6</f>
        <v>4.2</v>
      </c>
      <c r="H176" s="1240"/>
      <c r="I176" s="1240"/>
      <c r="J176" s="1240"/>
      <c r="K176" s="1240"/>
      <c r="L176" s="1240"/>
      <c r="M176" s="747"/>
    </row>
    <row r="177" spans="1:13">
      <c r="A177" s="1240" t="s">
        <v>1605</v>
      </c>
      <c r="B177" s="1236">
        <f ca="1">Rechenmodell!N4</f>
        <v>1981.9949999999999</v>
      </c>
      <c r="C177" s="1240"/>
      <c r="D177" s="1240" t="s">
        <v>1780</v>
      </c>
      <c r="E177" s="1240"/>
      <c r="F177" s="1240"/>
      <c r="G177" s="1293">
        <f>Rechenmodell!S8</f>
        <v>0.84000000000000008</v>
      </c>
      <c r="H177" s="1240"/>
      <c r="I177" s="1240"/>
      <c r="J177" s="1240"/>
      <c r="K177" s="1240"/>
      <c r="L177" s="1240"/>
      <c r="M177" s="747"/>
    </row>
    <row r="178" spans="1:13">
      <c r="A178" s="1240" t="s">
        <v>1402</v>
      </c>
      <c r="B178" s="1236">
        <f ca="1">Rechenmodell!N5</f>
        <v>1661.5319999999999</v>
      </c>
      <c r="C178" s="1240"/>
      <c r="D178" s="1240"/>
      <c r="E178" s="1240"/>
      <c r="F178" s="1240"/>
      <c r="G178" s="1240"/>
      <c r="H178" s="1240"/>
      <c r="I178" s="1240"/>
      <c r="J178" s="1240"/>
      <c r="K178" s="1240"/>
      <c r="L178" s="1240"/>
      <c r="M178" s="747"/>
    </row>
    <row r="179" spans="1:13">
      <c r="A179" s="1242"/>
      <c r="B179" s="1249"/>
      <c r="C179" s="1240"/>
      <c r="D179" s="1240"/>
      <c r="E179" s="1240"/>
      <c r="F179" s="1240"/>
      <c r="G179" s="1240"/>
      <c r="H179" s="1240"/>
      <c r="I179" s="1240"/>
      <c r="J179" s="1240"/>
      <c r="K179" s="1240"/>
      <c r="L179" s="1240"/>
      <c r="M179" s="747"/>
    </row>
    <row r="180" spans="1:13" ht="20">
      <c r="A180" s="1269" t="s">
        <v>2294</v>
      </c>
      <c r="B180" s="1270"/>
      <c r="C180" s="1270"/>
      <c r="D180" s="1270"/>
      <c r="E180" s="1270"/>
      <c r="F180" s="1270"/>
      <c r="G180" s="1270"/>
      <c r="H180" s="1271"/>
      <c r="I180" s="1271"/>
      <c r="J180" s="1271"/>
      <c r="K180" s="1271"/>
      <c r="L180" s="1271"/>
      <c r="M180" s="1265"/>
    </row>
    <row r="181" spans="1:13">
      <c r="A181" s="1242"/>
      <c r="B181" s="1249"/>
      <c r="C181" s="1240"/>
      <c r="D181" s="1240"/>
      <c r="E181" s="1240"/>
      <c r="F181" s="1240"/>
      <c r="G181" s="1240"/>
      <c r="H181" s="1240"/>
      <c r="I181" s="1240"/>
      <c r="J181" s="1240"/>
      <c r="K181" s="1240"/>
      <c r="L181" s="1240"/>
      <c r="M181" s="747"/>
    </row>
    <row r="182" spans="1:13">
      <c r="A182" s="1242" t="s">
        <v>1644</v>
      </c>
      <c r="B182" s="1235">
        <f>Rechenmodell!F3</f>
        <v>47.699999999999996</v>
      </c>
      <c r="C182" s="1240"/>
      <c r="D182" s="1240" t="s">
        <v>1321</v>
      </c>
      <c r="E182" s="1240"/>
      <c r="F182" s="1240"/>
      <c r="G182" s="1236">
        <f>Rechenmodell!N2</f>
        <v>476.99999999999994</v>
      </c>
      <c r="H182" s="1240"/>
      <c r="I182" s="1240"/>
      <c r="J182" s="1240"/>
      <c r="K182" s="1240"/>
      <c r="L182" s="1240"/>
      <c r="M182" s="747"/>
    </row>
    <row r="183" spans="1:13">
      <c r="A183" s="1242" t="s">
        <v>1645</v>
      </c>
      <c r="B183" s="1235">
        <f>Rechenmodell!F4</f>
        <v>10</v>
      </c>
      <c r="C183" s="1240"/>
      <c r="D183" s="1240" t="s">
        <v>1323</v>
      </c>
      <c r="E183" s="1240"/>
      <c r="F183" s="1240"/>
      <c r="G183" s="1236">
        <f>Rechenmodell!N3</f>
        <v>476.99999999999994</v>
      </c>
      <c r="H183" s="1240"/>
      <c r="I183" s="1240"/>
      <c r="J183" s="1240"/>
      <c r="K183" s="1240"/>
      <c r="L183" s="1240"/>
      <c r="M183" s="747"/>
    </row>
    <row r="184" spans="1:13">
      <c r="A184" s="1240" t="s">
        <v>2295</v>
      </c>
      <c r="B184" s="1238">
        <f ca="1">B26</f>
        <v>17.175000000000001</v>
      </c>
      <c r="C184" s="1240"/>
      <c r="D184" s="1240"/>
      <c r="E184" s="1240"/>
      <c r="F184" s="1240"/>
      <c r="G184" s="1240"/>
      <c r="H184" s="1240"/>
      <c r="I184" s="1240"/>
      <c r="J184" s="1240"/>
      <c r="K184" s="1240"/>
      <c r="L184" s="1240"/>
      <c r="M184" s="747"/>
    </row>
    <row r="185" spans="1:13">
      <c r="A185" s="1242"/>
      <c r="B185" s="1249"/>
      <c r="C185" s="1240"/>
      <c r="D185" s="1240"/>
      <c r="E185" s="1240"/>
      <c r="F185" s="1240"/>
      <c r="G185" s="1240"/>
      <c r="H185" s="1240"/>
      <c r="I185" s="1240"/>
      <c r="J185" s="1240"/>
      <c r="K185" s="1240"/>
      <c r="L185" s="1240"/>
      <c r="M185" s="747"/>
    </row>
    <row r="186" spans="1:13">
      <c r="A186" s="1242" t="s">
        <v>1286</v>
      </c>
      <c r="B186" s="1236">
        <f>Rechenmodell!F2</f>
        <v>2385</v>
      </c>
      <c r="C186" s="1240"/>
      <c r="D186" s="1240"/>
      <c r="E186" s="1240"/>
      <c r="F186" s="1240"/>
      <c r="G186" s="1240"/>
      <c r="H186" s="1240"/>
      <c r="I186" s="1240"/>
      <c r="J186" s="1240"/>
      <c r="K186" s="1240"/>
      <c r="L186" s="1240"/>
    </row>
    <row r="187" spans="1:13" hidden="1">
      <c r="A187" s="1242" t="s">
        <v>1287</v>
      </c>
      <c r="B187" s="1247">
        <f ca="1">Rechenmodell!F13</f>
        <v>337.88</v>
      </c>
      <c r="C187" s="1240"/>
      <c r="D187" s="1240"/>
      <c r="E187" s="1240"/>
      <c r="F187" s="1240"/>
      <c r="G187" s="1240"/>
      <c r="H187" s="1240"/>
      <c r="I187" s="1240"/>
      <c r="J187" s="1240"/>
      <c r="K187" s="1240"/>
      <c r="L187" s="1240"/>
    </row>
    <row r="188" spans="1:13" hidden="1">
      <c r="A188" s="1242" t="s">
        <v>1288</v>
      </c>
      <c r="B188" s="1247">
        <f ca="1">Rechenmodell!F14</f>
        <v>2047.12</v>
      </c>
      <c r="C188" s="1240"/>
      <c r="D188" s="1240"/>
      <c r="E188" s="1240"/>
      <c r="F188" s="1240"/>
      <c r="G188" s="1240"/>
      <c r="H188" s="1240"/>
      <c r="I188" s="1240"/>
      <c r="J188" s="1240"/>
      <c r="K188" s="1240"/>
      <c r="L188" s="1240"/>
    </row>
    <row r="189" spans="1:13" hidden="1">
      <c r="A189" s="1242" t="s">
        <v>1290</v>
      </c>
      <c r="B189" s="1245">
        <f ca="1">Rechenmodell!F15</f>
        <v>0.85833123689727464</v>
      </c>
      <c r="C189" s="1240"/>
      <c r="D189" s="1240"/>
      <c r="E189" s="1240"/>
      <c r="F189" s="1240"/>
      <c r="G189" s="1240"/>
      <c r="H189" s="1240"/>
      <c r="I189" s="1240"/>
      <c r="J189" s="1240"/>
      <c r="K189" s="1240"/>
      <c r="L189" s="1240"/>
    </row>
    <row r="190" spans="1:13">
      <c r="A190" s="1242"/>
      <c r="B190" s="1248"/>
      <c r="C190" s="1240"/>
      <c r="D190" s="1240"/>
      <c r="E190" s="1240"/>
      <c r="F190" s="1240"/>
      <c r="G190" s="1240"/>
      <c r="H190" s="1240"/>
      <c r="I190" s="1240"/>
      <c r="J190" s="1240"/>
      <c r="K190" s="1240"/>
      <c r="L190" s="1240"/>
    </row>
    <row r="191" spans="1:13">
      <c r="A191" s="1242" t="s">
        <v>1292</v>
      </c>
      <c r="B191" s="1291">
        <f ca="1">Rechenmodell!J4</f>
        <v>0.35837704722931718</v>
      </c>
      <c r="C191" s="1240"/>
      <c r="D191" s="1240"/>
      <c r="E191" s="1240"/>
      <c r="F191" s="1240"/>
      <c r="G191" s="1240"/>
      <c r="H191" s="1240"/>
      <c r="I191" s="1240"/>
      <c r="J191" s="1240"/>
      <c r="K191" s="1240"/>
      <c r="L191" s="1240"/>
    </row>
    <row r="192" spans="1:13" hidden="1">
      <c r="A192" s="1242" t="s">
        <v>1399</v>
      </c>
      <c r="B192" s="1243">
        <f>Rechenmodell!S14</f>
        <v>0</v>
      </c>
      <c r="C192" s="1240"/>
      <c r="D192" s="1240"/>
      <c r="E192" s="1240"/>
      <c r="F192" s="1240"/>
      <c r="G192" s="1240"/>
      <c r="H192" s="1240"/>
      <c r="I192" s="1240"/>
      <c r="J192" s="1240"/>
      <c r="K192" s="1240"/>
      <c r="L192" s="1240"/>
    </row>
    <row r="193" spans="1:13" hidden="1">
      <c r="A193" s="1242" t="s">
        <v>1400</v>
      </c>
      <c r="B193" s="1244"/>
      <c r="C193" s="1240"/>
      <c r="D193" s="1240"/>
      <c r="E193" s="1240"/>
      <c r="F193" s="1240"/>
      <c r="G193" s="1240"/>
      <c r="H193" s="1240"/>
      <c r="I193" s="1240"/>
      <c r="J193" s="1240"/>
      <c r="K193" s="1240"/>
      <c r="L193" s="1240"/>
    </row>
    <row r="194" spans="1:13" hidden="1">
      <c r="A194" s="1242" t="s">
        <v>1296</v>
      </c>
      <c r="B194" s="1245"/>
      <c r="C194" s="1240"/>
      <c r="D194" s="1240"/>
      <c r="E194" s="1240"/>
      <c r="F194" s="1240"/>
      <c r="G194" s="1240"/>
      <c r="H194" s="1240"/>
      <c r="I194" s="1240"/>
      <c r="J194" s="1240"/>
      <c r="K194" s="1240"/>
      <c r="L194" s="1240"/>
    </row>
    <row r="195" spans="1:13">
      <c r="A195" s="1240"/>
      <c r="B195" s="1240"/>
      <c r="C195" s="1240"/>
      <c r="D195" s="1240"/>
      <c r="E195" s="1240"/>
      <c r="F195" s="1240"/>
      <c r="G195" s="1240"/>
      <c r="H195" s="1240"/>
      <c r="I195" s="1240"/>
      <c r="J195" s="1240"/>
      <c r="K195" s="1240"/>
      <c r="L195" s="1240"/>
    </row>
    <row r="196" spans="1:13" ht="20">
      <c r="A196" s="1269" t="s">
        <v>1639</v>
      </c>
      <c r="B196" s="1270"/>
      <c r="C196" s="1270"/>
      <c r="D196" s="1270"/>
      <c r="E196" s="1270"/>
      <c r="F196" s="1270"/>
      <c r="G196" s="1270"/>
      <c r="H196" s="1271"/>
      <c r="I196" s="1271"/>
      <c r="J196" s="1271"/>
      <c r="K196" s="1271"/>
      <c r="L196" s="1271"/>
    </row>
    <row r="197" spans="1:13">
      <c r="A197" s="1246"/>
      <c r="B197" s="1240"/>
      <c r="C197" s="1240"/>
      <c r="D197" s="1240"/>
      <c r="E197" s="1240"/>
      <c r="F197" s="1240"/>
      <c r="G197" s="1240"/>
      <c r="H197" s="1240"/>
      <c r="I197" s="1240"/>
      <c r="J197" s="1240"/>
      <c r="K197" s="1240"/>
      <c r="L197" s="1240"/>
    </row>
    <row r="198" spans="1:13">
      <c r="A198" s="1240" t="s">
        <v>2297</v>
      </c>
      <c r="B198" s="1234">
        <f ca="1">Rechenmodell!J13</f>
        <v>879.80160000000001</v>
      </c>
      <c r="C198" s="1240"/>
      <c r="D198" s="1240"/>
      <c r="E198" s="1240"/>
      <c r="F198" s="1240"/>
      <c r="G198" s="1240"/>
      <c r="H198" s="1240"/>
      <c r="I198" s="1240"/>
      <c r="J198" s="1240"/>
      <c r="K198" s="1240"/>
      <c r="L198" s="1240"/>
    </row>
    <row r="199" spans="1:13" hidden="1">
      <c r="A199" s="1240" t="s">
        <v>1348</v>
      </c>
      <c r="B199" s="1237"/>
      <c r="C199" s="1240"/>
      <c r="D199" s="1240"/>
      <c r="E199" s="1240"/>
      <c r="F199" s="1240"/>
      <c r="G199" s="1240"/>
      <c r="H199" s="1240"/>
      <c r="I199" s="1240"/>
      <c r="J199" s="1240"/>
      <c r="K199" s="1240"/>
      <c r="L199" s="1240"/>
      <c r="M199" s="747" t="s">
        <v>1691</v>
      </c>
    </row>
    <row r="200" spans="1:13">
      <c r="A200" s="1240"/>
      <c r="B200" s="1240"/>
      <c r="C200" s="1240"/>
      <c r="D200" s="1240"/>
      <c r="E200" s="1240"/>
      <c r="F200" s="1240"/>
      <c r="G200" s="1240"/>
      <c r="H200" s="1240"/>
      <c r="I200" s="1240"/>
      <c r="J200" s="1240"/>
      <c r="K200" s="1240"/>
      <c r="L200" s="1240"/>
    </row>
    <row r="201" spans="1:13" ht="16">
      <c r="A201" s="1240" t="s">
        <v>1403</v>
      </c>
      <c r="B201" s="1264">
        <f ca="1">Rechenmodell!AB8</f>
        <v>324.37051572327056</v>
      </c>
      <c r="C201" s="1241" t="s">
        <v>1181</v>
      </c>
      <c r="D201" s="1264">
        <f ca="1">Rechenmodell!AC8</f>
        <v>442.66747169811327</v>
      </c>
      <c r="E201" s="1240"/>
      <c r="F201" s="1240"/>
      <c r="G201" s="1240"/>
      <c r="H201" s="1240"/>
      <c r="I201" s="1240"/>
      <c r="J201" s="1240"/>
      <c r="K201" s="1240"/>
      <c r="L201" s="1240"/>
    </row>
    <row r="202" spans="1:13">
      <c r="A202" s="1240" t="s">
        <v>1332</v>
      </c>
      <c r="B202" s="1239">
        <f ca="1">Rechenmodell!AB16</f>
        <v>243.01142138364779</v>
      </c>
      <c r="C202" s="1241" t="s">
        <v>1181</v>
      </c>
      <c r="D202" s="1239">
        <f ca="1">Rechenmodell!AC16</f>
        <v>304.78440251572329</v>
      </c>
      <c r="E202" s="1240"/>
      <c r="F202" s="1240"/>
      <c r="G202" s="1240"/>
      <c r="H202" s="1240"/>
      <c r="I202" s="1240"/>
      <c r="J202" s="1240"/>
      <c r="K202" s="1240"/>
      <c r="L202" s="1240"/>
    </row>
    <row r="203" spans="1:13">
      <c r="A203" s="1240"/>
      <c r="B203" s="1240"/>
      <c r="C203" s="1240"/>
      <c r="D203" s="1240"/>
      <c r="E203" s="1240"/>
      <c r="F203" s="1240"/>
      <c r="G203" s="1240"/>
      <c r="H203" s="1240"/>
      <c r="I203" s="1240"/>
      <c r="J203" s="1240"/>
      <c r="K203" s="1240"/>
      <c r="L203" s="1240"/>
    </row>
    <row r="204" spans="1:13">
      <c r="A204" s="739"/>
      <c r="B204" s="739"/>
      <c r="C204" s="739"/>
      <c r="D204" s="739"/>
      <c r="E204" s="739"/>
      <c r="F204" s="739"/>
      <c r="G204" s="739"/>
      <c r="H204" s="739"/>
      <c r="I204" s="739"/>
      <c r="J204" s="739"/>
      <c r="K204" s="739"/>
      <c r="L204" s="739"/>
    </row>
  </sheetData>
  <sheetProtection algorithmName="SHA-512" hashValue="iVNCdygAo/L3itpG/tz6/p1xMqtJUg2xCA5xxD80IFf6CC8ratU+d941DEFlYHaXcn8Tp2aNu674A6DQOiaing==" saltValue="R7UvA3kABRibCaogFTAhjQ==" spinCount="100000" sheet="1" objects="1" scenarios="1"/>
  <dataConsolidate topLabels="1"/>
  <mergeCells count="50">
    <mergeCell ref="B100:C100"/>
    <mergeCell ref="B101:C101"/>
    <mergeCell ref="C157:E157"/>
    <mergeCell ref="C129:E129"/>
    <mergeCell ref="B92:C92"/>
    <mergeCell ref="B93:C93"/>
    <mergeCell ref="B94:C94"/>
    <mergeCell ref="B95:C95"/>
    <mergeCell ref="B96:C96"/>
    <mergeCell ref="B102:C102"/>
    <mergeCell ref="B108:C108"/>
    <mergeCell ref="B103:C103"/>
    <mergeCell ref="B104:C104"/>
    <mergeCell ref="B105:C105"/>
    <mergeCell ref="B106:C106"/>
    <mergeCell ref="B107:C107"/>
    <mergeCell ref="B97:C97"/>
    <mergeCell ref="B98:C98"/>
    <mergeCell ref="B99:C99"/>
    <mergeCell ref="B87:C87"/>
    <mergeCell ref="B88:C88"/>
    <mergeCell ref="B89:C89"/>
    <mergeCell ref="B90:C90"/>
    <mergeCell ref="B91:C91"/>
    <mergeCell ref="B82:C82"/>
    <mergeCell ref="B83:C83"/>
    <mergeCell ref="B84:C84"/>
    <mergeCell ref="B85:C85"/>
    <mergeCell ref="B86:C86"/>
    <mergeCell ref="B77:C77"/>
    <mergeCell ref="B78:C78"/>
    <mergeCell ref="B79:C79"/>
    <mergeCell ref="B80:C80"/>
    <mergeCell ref="B81:C81"/>
    <mergeCell ref="F129:H129"/>
    <mergeCell ref="I129:K129"/>
    <mergeCell ref="A21:H21"/>
    <mergeCell ref="B51:K51"/>
    <mergeCell ref="D26:H27"/>
    <mergeCell ref="B66:C66"/>
    <mergeCell ref="B67:C67"/>
    <mergeCell ref="B68:C68"/>
    <mergeCell ref="B69:C69"/>
    <mergeCell ref="B70:C70"/>
    <mergeCell ref="B71:C71"/>
    <mergeCell ref="B72:C72"/>
    <mergeCell ref="B73:C73"/>
    <mergeCell ref="B74:C74"/>
    <mergeCell ref="B75:C75"/>
    <mergeCell ref="B76:C76"/>
  </mergeCells>
  <conditionalFormatting sqref="B53:K62">
    <cfRule type="colorScale" priority="33">
      <colorScale>
        <cfvo type="min"/>
        <cfvo type="percentile" val="50"/>
        <cfvo type="max"/>
        <color rgb="FF63BE7B"/>
        <color rgb="FFFFEB84"/>
        <color rgb="FFF8696B"/>
      </colorScale>
    </cfRule>
  </conditionalFormatting>
  <conditionalFormatting sqref="C188:H188">
    <cfRule type="colorScale" priority="64">
      <colorScale>
        <cfvo type="min"/>
        <cfvo type="percentile" val="50"/>
        <cfvo type="max"/>
        <color rgb="FFF8696B"/>
        <color rgb="FFFFEB84"/>
        <color rgb="FF63BE7B"/>
      </colorScale>
    </cfRule>
  </conditionalFormatting>
  <conditionalFormatting sqref="C189:H189">
    <cfRule type="colorScale" priority="65">
      <colorScale>
        <cfvo type="min"/>
        <cfvo type="percentile" val="50"/>
        <cfvo type="max"/>
        <color rgb="FFF8696B"/>
        <color rgb="FFFFEB84"/>
        <color rgb="FF63BE7B"/>
      </colorScale>
    </cfRule>
  </conditionalFormatting>
  <conditionalFormatting sqref="D67:J72">
    <cfRule type="colorScale" priority="22">
      <colorScale>
        <cfvo type="min"/>
        <cfvo type="max"/>
        <color rgb="FFF8696B"/>
        <color rgb="FFFCFCFF"/>
      </colorScale>
    </cfRule>
  </conditionalFormatting>
  <conditionalFormatting sqref="D67:J108">
    <cfRule type="colorScale" priority="1">
      <colorScale>
        <cfvo type="min"/>
        <cfvo type="percentile" val="50"/>
        <cfvo type="max"/>
        <color rgb="FF5A8AC6"/>
        <color rgb="FFFCFCFF"/>
        <color rgb="FFF8696B"/>
      </colorScale>
    </cfRule>
  </conditionalFormatting>
  <conditionalFormatting sqref="D79:J79">
    <cfRule type="colorScale" priority="18">
      <colorScale>
        <cfvo type="min"/>
        <cfvo type="max"/>
        <color rgb="FFFCFCFF"/>
        <color rgb="FFF8696B"/>
      </colorScale>
    </cfRule>
    <cfRule type="colorScale" priority="19">
      <colorScale>
        <cfvo type="min"/>
        <cfvo type="max"/>
        <color rgb="FFF8696B"/>
        <color rgb="FFFCFCFF"/>
      </colorScale>
    </cfRule>
    <cfRule type="colorScale" priority="17">
      <colorScale>
        <cfvo type="min"/>
        <cfvo type="percentile" val="50"/>
        <cfvo type="max"/>
        <color rgb="FF5A8AC6"/>
        <color rgb="FFFCFCFF"/>
        <color rgb="FFF8696B"/>
      </colorScale>
    </cfRule>
  </conditionalFormatting>
  <conditionalFormatting sqref="D80:J85 D87:J92 D94:J98 D100:J103 D105:J107 D67:J78">
    <cfRule type="colorScale" priority="21">
      <colorScale>
        <cfvo type="min"/>
        <cfvo type="max"/>
        <color rgb="FFFCFCFF"/>
        <color rgb="FFF8696B"/>
      </colorScale>
    </cfRule>
    <cfRule type="colorScale" priority="20">
      <colorScale>
        <cfvo type="min"/>
        <cfvo type="percentile" val="50"/>
        <cfvo type="max"/>
        <color rgb="FF5A8AC6"/>
        <color rgb="FFFCFCFF"/>
        <color rgb="FFF8696B"/>
      </colorScale>
    </cfRule>
  </conditionalFormatting>
  <conditionalFormatting sqref="D86:J86">
    <cfRule type="colorScale" priority="16">
      <colorScale>
        <cfvo type="min"/>
        <cfvo type="max"/>
        <color rgb="FFF8696B"/>
        <color rgb="FFFCFCFF"/>
      </colorScale>
    </cfRule>
    <cfRule type="colorScale" priority="15">
      <colorScale>
        <cfvo type="min"/>
        <cfvo type="max"/>
        <color rgb="FFFCFCFF"/>
        <color rgb="FFF8696B"/>
      </colorScale>
    </cfRule>
    <cfRule type="colorScale" priority="14">
      <colorScale>
        <cfvo type="min"/>
        <cfvo type="percentile" val="50"/>
        <cfvo type="max"/>
        <color rgb="FF5A8AC6"/>
        <color rgb="FFFCFCFF"/>
        <color rgb="FFF8696B"/>
      </colorScale>
    </cfRule>
  </conditionalFormatting>
  <conditionalFormatting sqref="D93:J93">
    <cfRule type="colorScale" priority="13">
      <colorScale>
        <cfvo type="min"/>
        <cfvo type="max"/>
        <color rgb="FFF8696B"/>
        <color rgb="FFFCFCFF"/>
      </colorScale>
    </cfRule>
    <cfRule type="colorScale" priority="12">
      <colorScale>
        <cfvo type="min"/>
        <cfvo type="max"/>
        <color rgb="FFFCFCFF"/>
        <color rgb="FFF8696B"/>
      </colorScale>
    </cfRule>
    <cfRule type="colorScale" priority="11">
      <colorScale>
        <cfvo type="min"/>
        <cfvo type="percentile" val="50"/>
        <cfvo type="max"/>
        <color rgb="FF5A8AC6"/>
        <color rgb="FFFCFCFF"/>
        <color rgb="FFF8696B"/>
      </colorScale>
    </cfRule>
  </conditionalFormatting>
  <conditionalFormatting sqref="D99:J99">
    <cfRule type="colorScale" priority="8">
      <colorScale>
        <cfvo type="min"/>
        <cfvo type="percentile" val="50"/>
        <cfvo type="max"/>
        <color rgb="FF5A8AC6"/>
        <color rgb="FFFCFCFF"/>
        <color rgb="FFF8696B"/>
      </colorScale>
    </cfRule>
    <cfRule type="colorScale" priority="10">
      <colorScale>
        <cfvo type="min"/>
        <cfvo type="max"/>
        <color rgb="FFF8696B"/>
        <color rgb="FFFCFCFF"/>
      </colorScale>
    </cfRule>
    <cfRule type="colorScale" priority="9">
      <colorScale>
        <cfvo type="min"/>
        <cfvo type="max"/>
        <color rgb="FFFCFCFF"/>
        <color rgb="FFF8696B"/>
      </colorScale>
    </cfRule>
  </conditionalFormatting>
  <conditionalFormatting sqref="D104:J104">
    <cfRule type="colorScale" priority="5">
      <colorScale>
        <cfvo type="min"/>
        <cfvo type="percentile" val="50"/>
        <cfvo type="max"/>
        <color rgb="FF5A8AC6"/>
        <color rgb="FFFCFCFF"/>
        <color rgb="FFF8696B"/>
      </colorScale>
    </cfRule>
    <cfRule type="colorScale" priority="7">
      <colorScale>
        <cfvo type="min"/>
        <cfvo type="max"/>
        <color rgb="FFF8696B"/>
        <color rgb="FFFCFCFF"/>
      </colorScale>
    </cfRule>
    <cfRule type="colorScale" priority="6">
      <colorScale>
        <cfvo type="min"/>
        <cfvo type="max"/>
        <color rgb="FFFCFCFF"/>
        <color rgb="FFF8696B"/>
      </colorScale>
    </cfRule>
  </conditionalFormatting>
  <conditionalFormatting sqref="D108:J108">
    <cfRule type="colorScale" priority="3">
      <colorScale>
        <cfvo type="min"/>
        <cfvo type="max"/>
        <color rgb="FFFCFCFF"/>
        <color rgb="FFF8696B"/>
      </colorScale>
    </cfRule>
    <cfRule type="colorScale" priority="2">
      <colorScale>
        <cfvo type="min"/>
        <cfvo type="percentile" val="50"/>
        <cfvo type="max"/>
        <color rgb="FF5A8AC6"/>
        <color rgb="FFFCFCFF"/>
        <color rgb="FFF8696B"/>
      </colorScale>
    </cfRule>
    <cfRule type="colorScale" priority="4">
      <colorScale>
        <cfvo type="min"/>
        <cfvo type="max"/>
        <color rgb="FFF8696B"/>
        <color rgb="FFFCFCFF"/>
      </colorScale>
    </cfRule>
  </conditionalFormatting>
  <dataValidations count="5">
    <dataValidation type="list" allowBlank="1" showInputMessage="1" showErrorMessage="1" sqref="B33:B34" xr:uid="{00000000-0002-0000-0200-000000000000}">
      <formula1>Deckenaufbau</formula1>
    </dataValidation>
    <dataValidation type="decimal" allowBlank="1" showInputMessage="1" showErrorMessage="1" errorTitle="mind. Raumhöhe" error="Bitte halten Sie die mind. Raumhöhe nach Landesbauordnung ein!" sqref="B28" xr:uid="{00000000-0002-0000-0200-000001000000}">
      <formula1>F28</formula1>
      <formula2>6</formula2>
    </dataValidation>
    <dataValidation type="decimal" allowBlank="1" showInputMessage="1" showErrorMessage="1" errorTitle="Seitenverhältnis" error="Bitte beachten Sie, dass der y-Wert kleiner als der x-Wert sein muss!" sqref="B25" xr:uid="{00000000-0002-0000-0200-000002000000}">
      <formula1>2.65</formula1>
      <formula2>B24</formula2>
    </dataValidation>
    <dataValidation type="decimal" allowBlank="1" showInputMessage="1" showErrorMessage="1" errorTitle="Sturtzhöhe Fenster" error="Bitte beachten Sie, dass die Sturtzhöhe nicht höher als die Raumhöhe sein kann und sie nicht tiefer als 30 cm unterhalb der Decke liegen sollte!" sqref="B30" xr:uid="{00000000-0002-0000-0200-000003000000}">
      <formula1>B28-0.3</formula1>
      <formula2>B28</formula2>
    </dataValidation>
    <dataValidation type="decimal" operator="lessThanOrEqual" allowBlank="1" showInputMessage="1" showErrorMessage="1" errorTitle="Achtung!!!" error="Die Hochhausgrenze wurde überschritten. Bitte weniger Etagen auswählen!" sqref="M27" xr:uid="{00000000-0002-0000-0200-000004000000}">
      <formula1>22</formula1>
    </dataValidation>
  </dataValidations>
  <pageMargins left="0.7" right="0.7" top="0.75" bottom="0.75" header="0.3" footer="0.3"/>
  <pageSetup paperSize="9" scale="50" fitToHeight="0" orientation="portrait" r:id="rId1"/>
  <drawing r:id="rId2"/>
  <legacyDrawing r:id="rId3"/>
  <extLst>
    <ext xmlns:x14="http://schemas.microsoft.com/office/spreadsheetml/2009/9/main" uri="{CCE6A557-97BC-4b89-ADB6-D9C93CAAB3DF}">
      <x14:dataValidations xmlns:xm="http://schemas.microsoft.com/office/excel/2006/main" count="5">
        <x14:dataValidation type="list" allowBlank="1" showInputMessage="1" showErrorMessage="1" xr:uid="{00000000-0002-0000-0200-000005000000}">
          <x14:formula1>
            <xm:f>Datenbank!$A$77:$A$93</xm:f>
          </x14:formula1>
          <xm:sqref>B23</xm:sqref>
        </x14:dataValidation>
        <x14:dataValidation type="list" allowBlank="1" showInputMessage="1" showErrorMessage="1" xr:uid="{00000000-0002-0000-0200-000006000000}">
          <x14:formula1>
            <xm:f>Datenbank!$C$5:$L$5</xm:f>
          </x14:formula1>
          <xm:sqref>B117</xm:sqref>
        </x14:dataValidation>
        <x14:dataValidation type="list" allowBlank="1" showInputMessage="1" showErrorMessage="1" xr:uid="{00000000-0002-0000-0200-000007000000}">
          <x14:formula1>
            <xm:f>Datenbank!$C$4:$L$4</xm:f>
          </x14:formula1>
          <xm:sqref>B116</xm:sqref>
        </x14:dataValidation>
        <x14:dataValidation type="list" allowBlank="1" showInputMessage="1" showErrorMessage="1" xr:uid="{00000000-0002-0000-0200-000008000000}">
          <x14:formula1>
            <xm:f>Datenbank!$A$50:$A$52</xm:f>
          </x14:formula1>
          <xm:sqref>B32</xm:sqref>
        </x14:dataValidation>
        <x14:dataValidation type="decimal" allowBlank="1" showInputMessage="1" showErrorMessage="1" errorTitle="Hochhausgrenze erreicht!" error="Die Hochhausgrenze wurde überschritten. Bitte weniger Etagen auswählen!" xr:uid="{00000000-0002-0000-0200-000009000000}">
          <x14:formula1>
            <xm:f>1</xm:f>
          </x14:formula1>
          <x14:formula2>
            <xm:f>ROUNDDOWN(22/Rechenmodell!F6,0)+1</xm:f>
          </x14:formula2>
          <xm:sqref>B27</xm:sqref>
        </x14:dataValidation>
      </x14:dataValidations>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Tabelle5">
    <tabColor rgb="FFD0EBB3"/>
    <pageSetUpPr fitToPage="1"/>
  </sheetPr>
  <dimension ref="A4:M46"/>
  <sheetViews>
    <sheetView zoomScaleNormal="100" workbookViewId="0">
      <selection activeCell="B46" sqref="B46"/>
    </sheetView>
  </sheetViews>
  <sheetFormatPr baseColWidth="10" defaultColWidth="10.83203125" defaultRowHeight="15"/>
  <cols>
    <col min="1" max="1" width="30.6640625" customWidth="1"/>
    <col min="2" max="9" width="12.6640625" customWidth="1"/>
  </cols>
  <sheetData>
    <row r="4" spans="1:9" ht="23">
      <c r="A4" s="740" t="s">
        <v>1571</v>
      </c>
      <c r="B4" s="740"/>
      <c r="C4" s="741"/>
      <c r="D4" s="741"/>
      <c r="E4" s="741"/>
      <c r="F4" s="741"/>
      <c r="G4" s="741"/>
      <c r="H4" s="741"/>
      <c r="I4" s="742"/>
    </row>
    <row r="5" spans="1:9">
      <c r="A5" s="739"/>
      <c r="B5" s="739"/>
      <c r="C5" s="739"/>
      <c r="D5" s="739"/>
      <c r="E5" s="739"/>
      <c r="F5" s="739"/>
      <c r="G5" s="739"/>
      <c r="H5" s="739"/>
      <c r="I5" s="739"/>
    </row>
    <row r="6" spans="1:9" ht="30" customHeight="1">
      <c r="A6" s="1383" t="s">
        <v>1572</v>
      </c>
      <c r="B6" s="1383"/>
      <c r="C6" s="1383"/>
      <c r="D6" s="1383"/>
      <c r="E6" s="1383"/>
      <c r="F6" s="1383"/>
      <c r="G6" s="1383"/>
      <c r="H6" s="1383"/>
      <c r="I6" s="1383"/>
    </row>
    <row r="7" spans="1:9">
      <c r="A7" s="1240"/>
      <c r="B7" s="1240"/>
      <c r="C7" s="1240"/>
      <c r="D7" s="1240"/>
      <c r="E7" s="1240"/>
      <c r="F7" s="1240"/>
      <c r="G7" s="1240"/>
      <c r="H7" s="1240"/>
      <c r="I7" s="1240"/>
    </row>
    <row r="8" spans="1:9">
      <c r="A8" s="1240"/>
      <c r="B8" s="1240"/>
      <c r="C8" s="1240"/>
      <c r="D8" s="1240"/>
      <c r="E8" s="1240"/>
      <c r="F8" s="1240"/>
      <c r="G8" s="1240"/>
      <c r="H8" s="1240"/>
      <c r="I8" s="1240"/>
    </row>
    <row r="9" spans="1:9" ht="16">
      <c r="A9" s="785" t="s">
        <v>1573</v>
      </c>
      <c r="B9" s="785"/>
      <c r="C9" s="741"/>
      <c r="D9" s="741"/>
      <c r="E9" s="741"/>
      <c r="F9" s="741"/>
      <c r="G9" s="741"/>
      <c r="H9" s="741"/>
      <c r="I9" s="742"/>
    </row>
    <row r="10" spans="1:9" ht="16">
      <c r="A10" s="1240" t="s">
        <v>1574</v>
      </c>
      <c r="B10" s="1261" t="s">
        <v>873</v>
      </c>
      <c r="C10" s="786">
        <v>300</v>
      </c>
      <c r="D10" s="1240" t="s">
        <v>423</v>
      </c>
      <c r="E10" s="1240"/>
      <c r="F10" s="1240"/>
      <c r="G10" s="1240"/>
      <c r="H10" s="1240"/>
      <c r="I10" s="1240"/>
    </row>
    <row r="11" spans="1:9" ht="16">
      <c r="A11" s="1240" t="s">
        <v>1575</v>
      </c>
      <c r="B11" s="1261" t="s">
        <v>1576</v>
      </c>
      <c r="C11" s="746">
        <v>8</v>
      </c>
      <c r="D11" s="1240" t="s">
        <v>1585</v>
      </c>
      <c r="E11" s="1240"/>
      <c r="F11" s="1240"/>
      <c r="G11" s="1240"/>
      <c r="H11" s="1240"/>
      <c r="I11" s="1240"/>
    </row>
    <row r="12" spans="1:9" ht="16">
      <c r="A12" s="1240" t="s">
        <v>1577</v>
      </c>
      <c r="B12" s="1261" t="s">
        <v>873</v>
      </c>
      <c r="C12" s="786">
        <v>300</v>
      </c>
      <c r="D12" s="1240" t="s">
        <v>423</v>
      </c>
      <c r="E12" s="1240"/>
      <c r="F12" s="1240"/>
      <c r="G12" s="1240"/>
      <c r="H12" s="1240"/>
      <c r="I12" s="1240"/>
    </row>
    <row r="13" spans="1:9" ht="16">
      <c r="A13" s="1240" t="s">
        <v>1578</v>
      </c>
      <c r="B13" s="1261" t="s">
        <v>1576</v>
      </c>
      <c r="C13" s="746">
        <v>8</v>
      </c>
      <c r="D13" s="1240" t="s">
        <v>1585</v>
      </c>
      <c r="E13" s="1240"/>
      <c r="F13" s="1240"/>
      <c r="G13" s="1240"/>
      <c r="H13" s="1240"/>
      <c r="I13" s="1240"/>
    </row>
    <row r="14" spans="1:9">
      <c r="A14" s="739"/>
      <c r="B14" s="739"/>
      <c r="C14" s="739"/>
      <c r="D14" s="739"/>
      <c r="E14" s="739"/>
      <c r="F14" s="739"/>
      <c r="G14" s="739"/>
      <c r="H14" s="739"/>
      <c r="I14" s="739"/>
    </row>
    <row r="15" spans="1:9" ht="16">
      <c r="A15" s="785" t="s">
        <v>1586</v>
      </c>
      <c r="B15" s="785"/>
      <c r="C15" s="741"/>
      <c r="D15" s="741"/>
      <c r="E15" s="741"/>
      <c r="F15" s="741"/>
      <c r="G15" s="741"/>
      <c r="H15" s="741"/>
      <c r="I15" s="742"/>
    </row>
    <row r="16" spans="1:9" ht="28.5" customHeight="1">
      <c r="A16" s="1262" t="s">
        <v>1579</v>
      </c>
      <c r="B16" s="1261"/>
      <c r="C16" s="745">
        <v>12</v>
      </c>
      <c r="D16" s="1262" t="s">
        <v>883</v>
      </c>
      <c r="E16" s="1384" t="s">
        <v>1591</v>
      </c>
      <c r="F16" s="1384"/>
      <c r="G16" s="1384"/>
      <c r="H16" s="1384"/>
      <c r="I16" s="1384"/>
    </row>
    <row r="17" spans="1:13" ht="28.5" customHeight="1">
      <c r="A17" s="1262" t="s">
        <v>1588</v>
      </c>
      <c r="B17" s="1261"/>
      <c r="C17" s="746" t="s">
        <v>1204</v>
      </c>
      <c r="D17" s="1262" t="s">
        <v>423</v>
      </c>
      <c r="E17" s="1384" t="s">
        <v>1589</v>
      </c>
      <c r="F17" s="1384"/>
      <c r="G17" s="1384"/>
      <c r="H17" s="1384"/>
      <c r="I17" s="1384"/>
      <c r="M17" s="789" t="str">
        <f>IF(C16&gt;22,"Achtung Hochhausgrenze 22m!!!","")</f>
        <v/>
      </c>
    </row>
    <row r="18" spans="1:13" ht="16">
      <c r="A18" s="1240" t="s">
        <v>1590</v>
      </c>
      <c r="B18" s="1261"/>
      <c r="C18" s="786">
        <v>40</v>
      </c>
      <c r="D18" s="1240" t="s">
        <v>423</v>
      </c>
      <c r="E18" s="1260" t="s">
        <v>2193</v>
      </c>
      <c r="F18" s="1240"/>
      <c r="G18" s="1240"/>
      <c r="H18" s="1240"/>
      <c r="I18" s="1240"/>
    </row>
    <row r="19" spans="1:13" ht="16">
      <c r="A19" s="1240" t="s">
        <v>1592</v>
      </c>
      <c r="B19" s="1261"/>
      <c r="C19" s="786">
        <v>50</v>
      </c>
      <c r="D19" s="1240" t="s">
        <v>1196</v>
      </c>
      <c r="E19" s="1260" t="s">
        <v>1593</v>
      </c>
      <c r="F19" s="1240"/>
      <c r="G19" s="1240"/>
      <c r="H19" s="1240"/>
      <c r="I19" s="1240"/>
    </row>
    <row r="20" spans="1:13" ht="16">
      <c r="A20" s="1246" t="s">
        <v>1151</v>
      </c>
      <c r="B20" s="1261"/>
      <c r="C20" s="1267" t="str">
        <f>"GK"&amp;'Hilfstabelle Gebäudeklasse'!C19</f>
        <v>GK4</v>
      </c>
      <c r="D20" s="1240"/>
      <c r="E20" s="1260"/>
      <c r="F20" s="1240"/>
      <c r="G20" s="1240"/>
      <c r="H20" s="1240"/>
      <c r="I20" s="1240"/>
    </row>
    <row r="21" spans="1:13">
      <c r="A21" s="739"/>
      <c r="B21" s="739"/>
      <c r="C21" s="739"/>
      <c r="D21" s="739"/>
      <c r="E21" s="739"/>
      <c r="F21" s="739"/>
      <c r="G21" s="739"/>
      <c r="H21" s="739"/>
      <c r="I21" s="739"/>
    </row>
    <row r="22" spans="1:13" ht="16">
      <c r="A22" s="785" t="s">
        <v>2282</v>
      </c>
      <c r="B22" s="785"/>
      <c r="C22" s="741"/>
      <c r="D22" s="741"/>
      <c r="E22" s="741"/>
      <c r="F22" s="741"/>
      <c r="G22" s="741"/>
      <c r="H22" s="741"/>
      <c r="I22" s="742"/>
    </row>
    <row r="23" spans="1:13" ht="16" hidden="1">
      <c r="A23" s="1240" t="s">
        <v>2283</v>
      </c>
      <c r="B23" s="1261"/>
      <c r="C23" s="786"/>
      <c r="D23" s="1240" t="s">
        <v>423</v>
      </c>
      <c r="E23" s="1240"/>
      <c r="F23" s="1240"/>
      <c r="G23" s="1240"/>
      <c r="H23" s="1240"/>
      <c r="I23" s="1240"/>
    </row>
    <row r="24" spans="1:13" ht="16">
      <c r="A24" s="1240" t="s">
        <v>1948</v>
      </c>
      <c r="B24" s="1261"/>
      <c r="C24" s="786" t="s">
        <v>4</v>
      </c>
      <c r="D24" s="1240" t="s">
        <v>423</v>
      </c>
      <c r="E24" s="1260" t="s">
        <v>2284</v>
      </c>
      <c r="F24" s="1240"/>
      <c r="G24" s="1240"/>
      <c r="H24" s="1240"/>
      <c r="I24" s="1240"/>
    </row>
    <row r="25" spans="1:13" ht="16">
      <c r="A25" s="1240" t="s">
        <v>2170</v>
      </c>
      <c r="B25" s="1261"/>
      <c r="C25" s="786" t="s">
        <v>4</v>
      </c>
      <c r="D25" s="1240" t="s">
        <v>423</v>
      </c>
      <c r="E25" s="1260" t="s">
        <v>2284</v>
      </c>
      <c r="F25" s="1240"/>
      <c r="G25" s="1240"/>
      <c r="H25" s="1240"/>
      <c r="I25" s="1240"/>
    </row>
    <row r="26" spans="1:13">
      <c r="A26" s="739"/>
      <c r="B26" s="739"/>
      <c r="C26" s="739"/>
      <c r="D26" s="739"/>
      <c r="E26" s="739"/>
      <c r="F26" s="739"/>
      <c r="G26" s="739"/>
      <c r="H26" s="739"/>
      <c r="I26" s="739"/>
    </row>
    <row r="27" spans="1:13" ht="16">
      <c r="A27" s="785" t="s">
        <v>1921</v>
      </c>
      <c r="B27" s="785"/>
      <c r="C27" s="741"/>
      <c r="D27" s="741"/>
      <c r="E27" s="741"/>
      <c r="F27" s="741"/>
      <c r="G27" s="741"/>
      <c r="H27" s="741"/>
      <c r="I27" s="742"/>
    </row>
    <row r="28" spans="1:13" ht="16">
      <c r="A28" s="1262" t="s">
        <v>1782</v>
      </c>
      <c r="B28" s="1261"/>
      <c r="C28" s="745" t="s">
        <v>78</v>
      </c>
      <c r="D28" s="1262" t="s">
        <v>423</v>
      </c>
      <c r="E28" s="1384"/>
      <c r="F28" s="1384"/>
      <c r="G28" s="1384"/>
      <c r="H28" s="1384"/>
      <c r="I28" s="1384"/>
    </row>
    <row r="29" spans="1:13" ht="16">
      <c r="A29" s="1262" t="s">
        <v>1784</v>
      </c>
      <c r="B29" s="1261"/>
      <c r="C29" s="1380" t="s">
        <v>1786</v>
      </c>
      <c r="D29" s="1381"/>
      <c r="E29" s="1381"/>
      <c r="F29" s="1382"/>
      <c r="G29" s="1262" t="s">
        <v>423</v>
      </c>
      <c r="H29" s="1263"/>
      <c r="I29" s="1263"/>
    </row>
    <row r="30" spans="1:13" ht="28.5" customHeight="1">
      <c r="A30" s="1378" t="s">
        <v>2313</v>
      </c>
      <c r="B30" s="1379"/>
      <c r="C30" s="1312" t="s">
        <v>2321</v>
      </c>
      <c r="D30" s="1263"/>
      <c r="E30" s="1315" t="s">
        <v>2335</v>
      </c>
      <c r="F30" s="1263"/>
      <c r="G30" s="1262"/>
      <c r="H30" s="1263"/>
      <c r="I30" s="1263"/>
    </row>
    <row r="31" spans="1:13" ht="30.75" customHeight="1">
      <c r="A31" s="1378" t="s">
        <v>2312</v>
      </c>
      <c r="B31" s="1379"/>
      <c r="C31" s="1312" t="s">
        <v>2181</v>
      </c>
      <c r="D31" s="1263"/>
      <c r="E31" s="1315" t="s">
        <v>2336</v>
      </c>
      <c r="F31" s="1263"/>
      <c r="G31" s="1262"/>
      <c r="H31" s="1263"/>
      <c r="I31" s="1263"/>
    </row>
    <row r="32" spans="1:13">
      <c r="A32" s="1240"/>
      <c r="B32" s="1261"/>
      <c r="C32" s="1240"/>
      <c r="D32" s="1240"/>
      <c r="E32" s="1260"/>
      <c r="F32" s="1240"/>
      <c r="G32" s="1240"/>
      <c r="H32" s="1240"/>
      <c r="I32" s="1240"/>
    </row>
    <row r="33" spans="1:12">
      <c r="A33" s="739"/>
      <c r="B33" s="739"/>
      <c r="C33" s="739"/>
      <c r="D33" s="739"/>
      <c r="E33" s="739"/>
      <c r="F33" s="739"/>
      <c r="G33" s="739"/>
      <c r="H33" s="739"/>
      <c r="I33" s="739"/>
    </row>
    <row r="34" spans="1:12" ht="16">
      <c r="A34" s="785" t="s">
        <v>1587</v>
      </c>
      <c r="B34" s="785"/>
      <c r="C34" s="741"/>
      <c r="D34" s="741"/>
      <c r="E34" s="741"/>
      <c r="F34" s="741"/>
      <c r="G34" s="741"/>
      <c r="H34" s="741"/>
      <c r="I34" s="742"/>
    </row>
    <row r="35" spans="1:12" s="703" customFormat="1">
      <c r="A35" s="1240" t="s">
        <v>1696</v>
      </c>
      <c r="B35" s="1240"/>
      <c r="C35" s="1240"/>
      <c r="D35" s="1240"/>
      <c r="E35" s="1240"/>
      <c r="F35" s="1240"/>
      <c r="G35" s="1240"/>
      <c r="H35" s="1240"/>
      <c r="I35" s="1240"/>
      <c r="J35"/>
      <c r="K35"/>
    </row>
    <row r="36" spans="1:12" s="703" customFormat="1">
      <c r="A36" s="1322" t="s">
        <v>2354</v>
      </c>
      <c r="B36" s="1240"/>
      <c r="C36" s="1240"/>
      <c r="D36" s="1240"/>
      <c r="E36" s="1240"/>
      <c r="F36" s="1240"/>
      <c r="G36" s="1240"/>
      <c r="H36" s="1240"/>
      <c r="I36" s="1240"/>
      <c r="J36"/>
      <c r="K36"/>
    </row>
    <row r="37" spans="1:12" s="703" customFormat="1">
      <c r="A37" s="1240"/>
      <c r="B37" s="1240"/>
      <c r="C37" s="1240"/>
      <c r="D37" s="1240"/>
      <c r="E37" s="1240"/>
      <c r="F37" s="1240"/>
      <c r="G37" s="1240"/>
      <c r="H37" s="1240"/>
      <c r="I37" s="1240"/>
      <c r="J37"/>
      <c r="K37"/>
    </row>
    <row r="38" spans="1:12" s="703" customFormat="1">
      <c r="A38" s="1240"/>
      <c r="B38" s="1259" t="s">
        <v>1697</v>
      </c>
      <c r="C38" s="1240"/>
      <c r="D38" s="1240"/>
      <c r="E38" s="1259" t="s">
        <v>1698</v>
      </c>
      <c r="F38" s="1240"/>
      <c r="G38" s="1240"/>
      <c r="H38" s="1240"/>
      <c r="I38" s="1240"/>
      <c r="J38"/>
      <c r="K38"/>
    </row>
    <row r="39" spans="1:12" s="703" customFormat="1" ht="16">
      <c r="A39" s="1240" t="s">
        <v>1699</v>
      </c>
      <c r="B39" s="1290">
        <v>600</v>
      </c>
      <c r="C39" s="1323">
        <f>Kosten_VH_min</f>
        <v>600</v>
      </c>
      <c r="D39" s="1240" t="s">
        <v>1700</v>
      </c>
      <c r="E39" s="1290">
        <v>800</v>
      </c>
      <c r="F39" s="1323">
        <f>Kosten_VH_max</f>
        <v>800</v>
      </c>
      <c r="G39" s="1240" t="s">
        <v>1700</v>
      </c>
      <c r="H39" s="1260"/>
      <c r="I39" s="1260"/>
      <c r="J39"/>
      <c r="K39"/>
    </row>
    <row r="40" spans="1:12" s="703" customFormat="1" ht="16">
      <c r="A40" s="1240" t="s">
        <v>1392</v>
      </c>
      <c r="B40" s="1290">
        <v>800</v>
      </c>
      <c r="C40" s="1323">
        <f>Kosten_BSH_min</f>
        <v>800</v>
      </c>
      <c r="D40" s="1240" t="s">
        <v>1700</v>
      </c>
      <c r="E40" s="1290">
        <v>1200</v>
      </c>
      <c r="F40" s="1323">
        <f>Kosten_BSH_max</f>
        <v>1200</v>
      </c>
      <c r="G40" s="1240" t="s">
        <v>1700</v>
      </c>
      <c r="H40" s="1260"/>
      <c r="I40" s="1260"/>
      <c r="J40"/>
      <c r="K40"/>
      <c r="L40" s="747"/>
    </row>
    <row r="41" spans="1:12" s="703" customFormat="1" ht="16">
      <c r="A41" s="1240" t="s">
        <v>1393</v>
      </c>
      <c r="B41" s="1290">
        <v>900</v>
      </c>
      <c r="C41" s="1323">
        <f>Kosten_BSP_min</f>
        <v>900</v>
      </c>
      <c r="D41" s="1240" t="s">
        <v>1700</v>
      </c>
      <c r="E41" s="1290">
        <v>1200</v>
      </c>
      <c r="F41" s="1323">
        <f>Kosten_BSP_max</f>
        <v>1200</v>
      </c>
      <c r="G41" s="1240" t="s">
        <v>1700</v>
      </c>
      <c r="H41" s="1260"/>
      <c r="I41" s="1260"/>
      <c r="J41"/>
      <c r="K41"/>
    </row>
    <row r="42" spans="1:12" s="703" customFormat="1" ht="16">
      <c r="A42" s="1240" t="s">
        <v>1394</v>
      </c>
      <c r="B42" s="1290">
        <v>120</v>
      </c>
      <c r="C42" s="1323">
        <f>Kosten_IW_min</f>
        <v>120</v>
      </c>
      <c r="D42" s="1240" t="s">
        <v>1701</v>
      </c>
      <c r="E42" s="1290">
        <v>250</v>
      </c>
      <c r="F42" s="1323">
        <f>Kosten_IW_max</f>
        <v>250</v>
      </c>
      <c r="G42" s="1240" t="s">
        <v>1701</v>
      </c>
      <c r="H42" s="1260"/>
      <c r="I42" s="1260"/>
      <c r="J42"/>
      <c r="K42"/>
    </row>
    <row r="43" spans="1:12" s="703" customFormat="1" ht="16">
      <c r="A43" s="1240" t="s">
        <v>2349</v>
      </c>
      <c r="B43" s="1290">
        <v>180</v>
      </c>
      <c r="C43" s="1323">
        <f>Kosten_Dachaufbau_min</f>
        <v>180</v>
      </c>
      <c r="D43" s="1240" t="s">
        <v>1701</v>
      </c>
      <c r="E43" s="1290">
        <v>250</v>
      </c>
      <c r="F43" s="1323">
        <f>Kosten_Dachaufbau_max</f>
        <v>250</v>
      </c>
      <c r="G43" s="1240" t="s">
        <v>1701</v>
      </c>
      <c r="H43" s="1260"/>
      <c r="I43" s="1260"/>
      <c r="J43"/>
      <c r="K43"/>
    </row>
    <row r="44" spans="1:12" s="703" customFormat="1" ht="16">
      <c r="A44" s="1240" t="s">
        <v>1395</v>
      </c>
      <c r="B44" s="1290">
        <v>400</v>
      </c>
      <c r="C44" s="1323">
        <f>Kosten_Fenster_min</f>
        <v>400</v>
      </c>
      <c r="D44" s="1240" t="s">
        <v>1701</v>
      </c>
      <c r="E44" s="1290">
        <v>600</v>
      </c>
      <c r="F44" s="1323">
        <f>Kosten_Fenster_max</f>
        <v>600</v>
      </c>
      <c r="G44" s="1240" t="s">
        <v>1701</v>
      </c>
      <c r="H44" s="1260"/>
      <c r="I44" s="1260"/>
      <c r="J44"/>
      <c r="K44"/>
    </row>
    <row r="45" spans="1:12" s="703" customFormat="1" ht="16">
      <c r="A45" s="1240" t="s">
        <v>1396</v>
      </c>
      <c r="B45" s="1290">
        <v>220</v>
      </c>
      <c r="C45" s="1323">
        <f>Kosten_Fassade_min</f>
        <v>220</v>
      </c>
      <c r="D45" s="1240" t="s">
        <v>1701</v>
      </c>
      <c r="E45" s="1290">
        <v>250</v>
      </c>
      <c r="F45" s="1323">
        <f>Kosten_Fassade_max</f>
        <v>250</v>
      </c>
      <c r="G45" s="1240" t="s">
        <v>1701</v>
      </c>
      <c r="H45" s="1260"/>
      <c r="I45" s="1260"/>
      <c r="J45"/>
      <c r="K45"/>
    </row>
    <row r="46" spans="1:12" s="703" customFormat="1" ht="14">
      <c r="A46" s="739"/>
      <c r="B46" s="739"/>
      <c r="C46" s="739"/>
      <c r="D46" s="739"/>
      <c r="E46" s="739"/>
      <c r="F46" s="739"/>
      <c r="G46" s="739"/>
      <c r="H46" s="739"/>
      <c r="I46" s="739"/>
      <c r="J46" s="739"/>
      <c r="K46" s="739"/>
    </row>
  </sheetData>
  <sheetProtection algorithmName="SHA-512" hashValue="OydOMrm7591WESj1HSl+OPmTw/XPYOFj4zE8v9b1RkVsSx98HsiyTnTvKlt8r6sddZNY2cVPwcOPHYmjDe2XGw==" saltValue="E9C1Z++2foKa3fj/XmW2og==" spinCount="100000" sheet="1" objects="1" scenarios="1"/>
  <mergeCells count="7">
    <mergeCell ref="A30:B30"/>
    <mergeCell ref="A31:B31"/>
    <mergeCell ref="C29:F29"/>
    <mergeCell ref="A6:I6"/>
    <mergeCell ref="E16:I16"/>
    <mergeCell ref="E17:I17"/>
    <mergeCell ref="E28:I28"/>
  </mergeCells>
  <dataValidations count="7">
    <dataValidation type="list" allowBlank="1" showInputMessage="1" showErrorMessage="1" sqref="C10 C12" xr:uid="{00000000-0002-0000-0300-000000000000}">
      <formula1>Gebrauchstauglichkeit</formula1>
    </dataValidation>
    <dataValidation type="list" allowBlank="1" showInputMessage="1" showErrorMessage="1" sqref="C11 C13" xr:uid="{00000000-0002-0000-0300-000001000000}">
      <formula1>Schwingungsgrenzwerte</formula1>
    </dataValidation>
    <dataValidation type="list" allowBlank="1" showInputMessage="1" showErrorMessage="1" sqref="C17" xr:uid="{00000000-0002-0000-0300-000002000000}">
      <formula1>Gebäudeart</formula1>
    </dataValidation>
    <dataValidation type="list" allowBlank="1" showInputMessage="1" showErrorMessage="1" sqref="C24" xr:uid="{00000000-0002-0000-0300-000003000000}">
      <formula1>Mat_Auswahl_UZ</formula1>
    </dataValidation>
    <dataValidation type="list" allowBlank="1" showInputMessage="1" showErrorMessage="1" sqref="C25" xr:uid="{00000000-0002-0000-0300-000004000000}">
      <formula1>Mat_Auswahl_ST</formula1>
    </dataValidation>
    <dataValidation type="list" allowBlank="1" showInputMessage="1" showErrorMessage="1" sqref="C31" xr:uid="{00000000-0002-0000-0300-000005000000}">
      <formula1>Auswahl_Ausrichtung</formula1>
    </dataValidation>
    <dataValidation type="list" allowBlank="1" showInputMessage="1" showErrorMessage="1" sqref="C30" xr:uid="{00000000-0002-0000-0300-000006000000}">
      <formula1>Auswahl_Lage</formula1>
    </dataValidation>
  </dataValidations>
  <pageMargins left="0.7" right="0.7" top="0.78740157499999996" bottom="0.78740157499999996" header="0.3" footer="0.3"/>
  <pageSetup paperSize="9" scale="66" fitToHeight="0" orientation="portrait" r:id="rId1"/>
  <drawing r:id="rId2"/>
  <legacyDrawing r:id="rId3"/>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300-000007000000}">
          <x14:formula1>
            <xm:f>INDIRECT(Aussteifung!$J$3)</xm:f>
          </x14:formula1>
          <xm:sqref>C28</xm:sqref>
        </x14:dataValidation>
        <x14:dataValidation type="list" allowBlank="1" showInputMessage="1" showErrorMessage="1" xr:uid="{00000000-0002-0000-0300-000008000000}">
          <x14:formula1>
            <xm:f>INDIRECT(Aussteifung!$J$4)</xm:f>
          </x14:formula1>
          <xm:sqref>C29</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Tabelle7">
    <tabColor rgb="FFABE9FF"/>
  </sheetPr>
  <dimension ref="A1:T51"/>
  <sheetViews>
    <sheetView workbookViewId="0">
      <selection activeCell="J18" sqref="J18"/>
    </sheetView>
  </sheetViews>
  <sheetFormatPr baseColWidth="10" defaultColWidth="12.1640625" defaultRowHeight="16"/>
  <cols>
    <col min="1" max="16384" width="12.1640625" style="701"/>
  </cols>
  <sheetData>
    <row r="1" spans="1:20">
      <c r="A1" s="739"/>
      <c r="B1" s="739"/>
      <c r="C1" s="739"/>
      <c r="D1" s="739"/>
      <c r="E1" s="739"/>
      <c r="F1" s="739"/>
      <c r="G1" s="739"/>
      <c r="H1" s="739"/>
      <c r="I1" s="739"/>
      <c r="J1" s="739"/>
      <c r="K1" s="739"/>
      <c r="L1" s="739"/>
      <c r="M1" s="739"/>
      <c r="N1" s="739"/>
      <c r="O1" s="739"/>
      <c r="P1" s="739"/>
      <c r="Q1" s="739"/>
      <c r="R1" s="739"/>
      <c r="S1" s="739"/>
      <c r="T1" s="739"/>
    </row>
    <row r="2" spans="1:20" ht="23">
      <c r="A2" s="740" t="s">
        <v>2251</v>
      </c>
      <c r="B2" s="741"/>
      <c r="C2" s="741"/>
      <c r="D2" s="741"/>
      <c r="E2" s="741"/>
      <c r="F2" s="741"/>
      <c r="G2" s="741"/>
      <c r="H2" s="742"/>
      <c r="I2" s="742"/>
      <c r="J2" s="742"/>
      <c r="K2" s="740"/>
      <c r="L2" s="741"/>
      <c r="M2" s="741"/>
      <c r="N2" s="741"/>
      <c r="O2" s="741"/>
      <c r="P2" s="741"/>
      <c r="Q2" s="741"/>
      <c r="R2" s="742"/>
      <c r="S2" s="742"/>
      <c r="T2" s="742"/>
    </row>
    <row r="3" spans="1:20">
      <c r="A3" s="739"/>
      <c r="B3" s="739"/>
      <c r="C3" s="739"/>
      <c r="D3" s="739"/>
      <c r="E3" s="739"/>
      <c r="F3" s="739"/>
      <c r="G3" s="739"/>
      <c r="H3" s="739"/>
      <c r="I3" s="739"/>
      <c r="J3" s="739"/>
      <c r="K3" s="739"/>
      <c r="L3" s="739"/>
      <c r="M3" s="739"/>
      <c r="N3" s="739"/>
      <c r="O3" s="739"/>
      <c r="P3" s="739"/>
      <c r="Q3" s="739"/>
      <c r="R3" s="739"/>
      <c r="S3" s="739"/>
      <c r="T3" s="739"/>
    </row>
    <row r="4" spans="1:20">
      <c r="A4" s="1246" t="str">
        <f>+'Wohnungsausnutzung Vergleich'!K50</f>
        <v>PASSUNG GEOMETRIE UND WOHNNUTZUNG</v>
      </c>
      <c r="B4" s="1240"/>
      <c r="C4" s="1240"/>
      <c r="D4" s="1240"/>
      <c r="E4" s="1240"/>
      <c r="F4" s="1240"/>
      <c r="G4" s="1240"/>
      <c r="H4" s="1240"/>
      <c r="I4" s="1240"/>
      <c r="J4" s="1246"/>
      <c r="K4" s="1246" t="s">
        <v>2223</v>
      </c>
      <c r="L4" s="1240"/>
      <c r="M4" s="1240"/>
      <c r="N4" s="1240"/>
      <c r="O4" s="1240"/>
      <c r="P4" s="1240"/>
      <c r="Q4" s="1240"/>
      <c r="R4" s="1240"/>
      <c r="S4" s="1240"/>
      <c r="T4" s="1246"/>
    </row>
    <row r="5" spans="1:20" ht="17" thickBot="1">
      <c r="A5" s="1240"/>
      <c r="B5" s="1240"/>
      <c r="C5" s="1240"/>
      <c r="D5" s="1240"/>
      <c r="E5" s="1240"/>
      <c r="F5" s="1240"/>
      <c r="G5" s="1240"/>
      <c r="H5" s="1240"/>
      <c r="I5" s="1240"/>
      <c r="J5" s="1246"/>
      <c r="K5" s="1240"/>
      <c r="L5" s="1240"/>
      <c r="M5" s="1240"/>
      <c r="N5" s="1240"/>
      <c r="O5" s="1240"/>
      <c r="P5" s="1240"/>
      <c r="Q5" s="1240"/>
      <c r="R5" s="1240"/>
      <c r="S5" s="1240"/>
      <c r="T5" s="1246"/>
    </row>
    <row r="6" spans="1:20" ht="17" thickBot="1">
      <c r="A6" s="1387" t="str">
        <f>+'Wohnungsausnutzung Vergleich'!K52</f>
        <v>Raster</v>
      </c>
      <c r="B6" s="1388">
        <f>+'Wohnungsausnutzung Vergleich'!L52</f>
        <v>0</v>
      </c>
      <c r="C6" s="1058" t="str">
        <f>+'Wohnungsausnutzung Vergleich'!M52</f>
        <v>1 PHH</v>
      </c>
      <c r="D6" s="1058" t="str">
        <f>+'Wohnungsausnutzung Vergleich'!N52</f>
        <v>2 PHH</v>
      </c>
      <c r="E6" s="1058" t="str">
        <f>+'Wohnungsausnutzung Vergleich'!O52</f>
        <v>3 PHH</v>
      </c>
      <c r="F6" s="1058" t="str">
        <f>+'Wohnungsausnutzung Vergleich'!P52</f>
        <v>4 PHH</v>
      </c>
      <c r="G6" s="1058" t="str">
        <f>+'Wohnungsausnutzung Vergleich'!Q52</f>
        <v>5 PHH</v>
      </c>
      <c r="H6" s="1058" t="str">
        <f>+'Wohnungsausnutzung Vergleich'!R52</f>
        <v>6 PHH</v>
      </c>
      <c r="I6" s="1058" t="str">
        <f>+'Wohnungsausnutzung Vergleich'!S52</f>
        <v>7 PHH</v>
      </c>
      <c r="J6" s="1246"/>
      <c r="K6" s="1387" t="str">
        <f>+'Wohnungsausnutzung Vergleich'!K52</f>
        <v>Raster</v>
      </c>
      <c r="L6" s="1388"/>
      <c r="M6" s="1058" t="str">
        <f>+'Wohnungsausnutzung Vergleich'!C3</f>
        <v>1 PHH</v>
      </c>
      <c r="N6" s="1058" t="str">
        <f>+'Wohnungsausnutzung Vergleich'!D3</f>
        <v>2 PHH</v>
      </c>
      <c r="O6" s="1058" t="str">
        <f>+'Wohnungsausnutzung Vergleich'!E3</f>
        <v>3 PHH</v>
      </c>
      <c r="P6" s="1058" t="str">
        <f>+'Wohnungsausnutzung Vergleich'!F3</f>
        <v>4 PHH</v>
      </c>
      <c r="Q6" s="1058" t="str">
        <f>+'Wohnungsausnutzung Vergleich'!G3</f>
        <v>5 PHH</v>
      </c>
      <c r="R6" s="1058" t="str">
        <f>+'Wohnungsausnutzung Vergleich'!H3</f>
        <v>6 PHH</v>
      </c>
      <c r="S6" s="1058" t="str">
        <f>+'Wohnungsausnutzung Vergleich'!I3</f>
        <v>7 PHH</v>
      </c>
      <c r="T6" s="1246"/>
    </row>
    <row r="7" spans="1:20" ht="18">
      <c r="A7" s="1389" t="str">
        <f>+'Wohnungsausnutzung Vergleich'!K53</f>
        <v>2,65 m x 2,65 m</v>
      </c>
      <c r="B7" s="1390">
        <f>+'Wohnungsausnutzung Vergleich'!L53</f>
        <v>0</v>
      </c>
      <c r="C7" s="1170">
        <f>+'Wohnungsausnutzung Vergleich'!M53</f>
        <v>0.61849229487713464</v>
      </c>
      <c r="D7" s="1171">
        <f>+'Wohnungsausnutzung Vergleich'!N53</f>
        <v>0.74427321949187852</v>
      </c>
      <c r="E7" s="1171">
        <f>+'Wohnungsausnutzung Vergleich'!O53</f>
        <v>0.72200976865699906</v>
      </c>
      <c r="F7" s="1171">
        <f>+'Wohnungsausnutzung Vergleich'!P53</f>
        <v>0.78895599055948917</v>
      </c>
      <c r="G7" s="1171">
        <f>+'Wohnungsausnutzung Vergleich'!Q53</f>
        <v>0.70531549354435674</v>
      </c>
      <c r="H7" s="1171" t="s">
        <v>1181</v>
      </c>
      <c r="I7" s="1172" t="s">
        <v>1181</v>
      </c>
      <c r="J7" s="1246"/>
      <c r="K7" s="1389" t="str">
        <f>+'Wohnungsausnutzung Vergleich'!K53</f>
        <v>2,65 m x 2,65 m</v>
      </c>
      <c r="L7" s="1390"/>
      <c r="M7" s="1054">
        <f>+'Wohnungsausnutzung Vergleich'!C4</f>
        <v>36.014999999999993</v>
      </c>
      <c r="N7" s="1054">
        <f>+'Wohnungsausnutzung Vergleich'!D4</f>
        <v>18.007499999999997</v>
      </c>
      <c r="O7" s="1054">
        <f>+'Wohnungsausnutzung Vergleich'!E4</f>
        <v>22.009166666666662</v>
      </c>
      <c r="P7" s="1054">
        <f>+'Wohnungsausnutzung Vergleich'!F4</f>
        <v>18.007499999999997</v>
      </c>
      <c r="Q7" s="1054">
        <f>+'Wohnungsausnutzung Vergleich'!G4</f>
        <v>19.207999999999995</v>
      </c>
      <c r="R7" s="1054" t="str">
        <f>+'Wohnungsausnutzung Vergleich'!H4</f>
        <v>-</v>
      </c>
      <c r="S7" s="1056" t="str">
        <f>+'Wohnungsausnutzung Vergleich'!I4</f>
        <v>-</v>
      </c>
      <c r="T7" s="1246"/>
    </row>
    <row r="8" spans="1:20" ht="18">
      <c r="A8" s="1385" t="str">
        <f>+'Wohnungsausnutzung Vergleich'!K54</f>
        <v>2,85 m x 2,85 m</v>
      </c>
      <c r="B8" s="1386">
        <f>+'Wohnungsausnutzung Vergleich'!L54</f>
        <v>0</v>
      </c>
      <c r="C8" s="1173">
        <f>+'Wohnungsausnutzung Vergleich'!M54</f>
        <v>0.52865788536845848</v>
      </c>
      <c r="D8" s="1169">
        <f>+'Wohnungsausnutzung Vergleich'!N54</f>
        <v>0.63616945532217872</v>
      </c>
      <c r="E8" s="1169">
        <f>+'Wohnungsausnutzung Vergleich'!O54</f>
        <v>0.65788536845852619</v>
      </c>
      <c r="F8" s="1169">
        <f>+'Wohnungsausnutzung Vergleich'!P54</f>
        <v>0.6864661208021835</v>
      </c>
      <c r="G8" s="1169">
        <f>+'Wohnungsausnutzung Vergleich'!Q54</f>
        <v>0.51191260234959057</v>
      </c>
      <c r="H8" s="1169">
        <f>+'Wohnungsausnutzung Vergleich'!R54</f>
        <v>0.72930313278746872</v>
      </c>
      <c r="I8" s="1174">
        <f>+'Wohnungsausnutzung Vergleich'!S54</f>
        <v>0.68587435123943696</v>
      </c>
      <c r="J8" s="1246"/>
      <c r="K8" s="1385" t="str">
        <f>+'Wohnungsausnutzung Vergleich'!K54</f>
        <v>2,85 m x 2,85 m</v>
      </c>
      <c r="L8" s="1386"/>
      <c r="M8" s="1054">
        <f>+'Wohnungsausnutzung Vergleich'!C5</f>
        <v>42.134999999999998</v>
      </c>
      <c r="N8" s="1054">
        <f>+'Wohnungsausnutzung Vergleich'!D5</f>
        <v>21.067499999999999</v>
      </c>
      <c r="O8" s="1054">
        <f>+'Wohnungsausnutzung Vergleich'!E5</f>
        <v>21.067499999999999</v>
      </c>
      <c r="P8" s="1054">
        <f>+'Wohnungsausnutzung Vergleich'!F5</f>
        <v>21.067499999999999</v>
      </c>
      <c r="Q8" s="1054">
        <f>+'Wohnungsausnutzung Vergleich'!G5</f>
        <v>22.472000000000001</v>
      </c>
      <c r="R8" s="1054">
        <f>+'Wohnungsausnutzung Vergleich'!H5</f>
        <v>22.472000000000001</v>
      </c>
      <c r="S8" s="1056">
        <f>+'Wohnungsausnutzung Vergleich'!I5</f>
        <v>26.685500000000001</v>
      </c>
      <c r="T8" s="1246"/>
    </row>
    <row r="9" spans="1:20" ht="18">
      <c r="A9" s="1385" t="str">
        <f>+'Wohnungsausnutzung Vergleich'!K55</f>
        <v>3,00 m x 3,00 m</v>
      </c>
      <c r="B9" s="1386">
        <f>+'Wohnungsausnutzung Vergleich'!L55</f>
        <v>0</v>
      </c>
      <c r="C9" s="1173">
        <f>+'Wohnungsausnutzung Vergleich'!M55</f>
        <v>0.56823979591836737</v>
      </c>
      <c r="D9" s="1169">
        <f>+'Wohnungsausnutzung Vergleich'!N55</f>
        <v>0.68380102040816337</v>
      </c>
      <c r="E9" s="1169">
        <f>+'Wohnungsausnutzung Vergleich'!O55</f>
        <v>0.59056122448979609</v>
      </c>
      <c r="F9" s="1169">
        <f>+'Wohnungsausnutzung Vergleich'!P55</f>
        <v>0.62357568027210897</v>
      </c>
      <c r="G9" s="1169">
        <f>+'Wohnungsausnutzung Vergleich'!Q55</f>
        <v>0.55465561224489801</v>
      </c>
      <c r="H9" s="1169">
        <f>+'Wohnungsausnutzung Vergleich'!R55</f>
        <v>0.65977359693877558</v>
      </c>
      <c r="I9" s="1174">
        <f>+'Wohnungsausnutzung Vergleich'!S55</f>
        <v>0.69276710684273723</v>
      </c>
      <c r="J9" s="1246"/>
      <c r="K9" s="1385" t="str">
        <f>+'Wohnungsausnutzung Vergleich'!K55</f>
        <v>3,00 m x 3,00 m</v>
      </c>
      <c r="L9" s="1386"/>
      <c r="M9" s="1054">
        <f>+'Wohnungsausnutzung Vergleich'!C6</f>
        <v>39.199999999999996</v>
      </c>
      <c r="N9" s="1054">
        <f>+'Wohnungsausnutzung Vergleich'!D6</f>
        <v>19.599999999999998</v>
      </c>
      <c r="O9" s="1054">
        <f>+'Wohnungsausnutzung Vergleich'!E6</f>
        <v>23.519999999999996</v>
      </c>
      <c r="P9" s="1054">
        <f>+'Wohnungsausnutzung Vergleich'!F6</f>
        <v>23.519999999999996</v>
      </c>
      <c r="Q9" s="1054">
        <f>+'Wohnungsausnutzung Vergleich'!G6</f>
        <v>25.087999999999997</v>
      </c>
      <c r="R9" s="1054">
        <f>+'Wohnungsausnutzung Vergleich'!H6</f>
        <v>25.087999999999997</v>
      </c>
      <c r="S9" s="1056">
        <f>+'Wohnungsausnutzung Vergleich'!I6</f>
        <v>26.655999999999995</v>
      </c>
      <c r="T9" s="1246"/>
    </row>
    <row r="10" spans="1:20" ht="18">
      <c r="A10" s="1385" t="str">
        <f>+'Wohnungsausnutzung Vergleich'!K56</f>
        <v>3,50 m x 3,50 m</v>
      </c>
      <c r="B10" s="1386">
        <f>+'Wohnungsausnutzung Vergleich'!L56</f>
        <v>0</v>
      </c>
      <c r="C10" s="1173">
        <f>+'Wohnungsausnutzung Vergleich'!M56</f>
        <v>0.51136363636363635</v>
      </c>
      <c r="D10" s="1169">
        <f>+'Wohnungsausnutzung Vergleich'!N56</f>
        <v>0.49228650137741048</v>
      </c>
      <c r="E10" s="1169">
        <f>+'Wohnungsausnutzung Vergleich'!O56</f>
        <v>0.54663518299881941</v>
      </c>
      <c r="F10" s="1169">
        <f>+'Wohnungsausnutzung Vergleich'!P56</f>
        <v>0.54871024292511905</v>
      </c>
      <c r="G10" s="1169">
        <f>+'Wohnungsausnutzung Vergleich'!Q56</f>
        <v>0.58647076828895017</v>
      </c>
      <c r="H10" s="1169">
        <f>+'Wohnungsausnutzung Vergleich'!R56</f>
        <v>0.6155057064147974</v>
      </c>
      <c r="I10" s="1174">
        <f>+'Wohnungsausnutzung Vergleich'!S56</f>
        <v>0.6330578512396694</v>
      </c>
      <c r="J10" s="1246"/>
      <c r="K10" s="1385" t="str">
        <f>+'Wohnungsausnutzung Vergleich'!K56</f>
        <v>3,50 m x 3,50 m</v>
      </c>
      <c r="L10" s="1386"/>
      <c r="M10" s="1054">
        <f>+'Wohnungsausnutzung Vergleich'!C7</f>
        <v>43.559999999999995</v>
      </c>
      <c r="N10" s="1054">
        <f>+'Wohnungsausnutzung Vergleich'!D7</f>
        <v>27.224999999999998</v>
      </c>
      <c r="O10" s="1054">
        <f>+'Wohnungsausnutzung Vergleich'!E7</f>
        <v>25.409999999999997</v>
      </c>
      <c r="P10" s="1054">
        <f>+'Wohnungsausnutzung Vergleich'!F7</f>
        <v>29.947499999999998</v>
      </c>
      <c r="Q10" s="1054">
        <f>+'Wohnungsausnutzung Vergleich'!G7</f>
        <v>26.135999999999996</v>
      </c>
      <c r="R10" s="1054">
        <f>+'Wohnungsausnutzung Vergleich'!H7</f>
        <v>30.491999999999997</v>
      </c>
      <c r="S10" s="1056">
        <f>+'Wohnungsausnutzung Vergleich'!I7</f>
        <v>32.67</v>
      </c>
      <c r="T10" s="1246"/>
    </row>
    <row r="11" spans="1:20" ht="18">
      <c r="A11" s="1385" t="str">
        <f>+'Wohnungsausnutzung Vergleich'!K57</f>
        <v>4,00 m x 4,00 m</v>
      </c>
      <c r="B11" s="1386">
        <f>+'Wohnungsausnutzung Vergleich'!L57</f>
        <v>0</v>
      </c>
      <c r="C11" s="1173">
        <f>+'Wohnungsausnutzung Vergleich'!M57</f>
        <v>0.38564750692520777</v>
      </c>
      <c r="D11" s="1169">
        <f>+'Wohnungsausnutzung Vergleich'!N57</f>
        <v>0.46407548476454297</v>
      </c>
      <c r="E11" s="1169">
        <f>+'Wohnungsausnutzung Vergleich'!O57</f>
        <v>0.57714681440443216</v>
      </c>
      <c r="F11" s="1169">
        <f>+'Wohnungsausnutzung Vergleich'!P57</f>
        <v>0.54254056193114364</v>
      </c>
      <c r="G11" s="1169">
        <f>+'Wohnungsausnutzung Vergleich'!Q57</f>
        <v>0.65047487138899884</v>
      </c>
      <c r="H11" s="1169">
        <f>+'Wohnungsausnutzung Vergleich'!R57</f>
        <v>0.71805747922437679</v>
      </c>
      <c r="I11" s="1174">
        <f>+'Wohnungsausnutzung Vergleich'!S57</f>
        <v>0.82302246845183125</v>
      </c>
      <c r="J11" s="1246"/>
      <c r="K11" s="1385" t="str">
        <f>+'Wohnungsausnutzung Vergleich'!K57</f>
        <v>4,00 m x 4,00 m</v>
      </c>
      <c r="L11" s="1386"/>
      <c r="M11" s="1054">
        <f>+'Wohnungsausnutzung Vergleich'!C8</f>
        <v>57.76</v>
      </c>
      <c r="N11" s="1054">
        <f>+'Wohnungsausnutzung Vergleich'!D8</f>
        <v>28.88</v>
      </c>
      <c r="O11" s="1054">
        <f>+'Wohnungsausnutzung Vergleich'!E8</f>
        <v>24.066666666666666</v>
      </c>
      <c r="P11" s="1054">
        <f>+'Wohnungsausnutzung Vergleich'!F8</f>
        <v>25.27</v>
      </c>
      <c r="Q11" s="1054">
        <f>+'Wohnungsausnutzung Vergleich'!G8</f>
        <v>20.216000000000001</v>
      </c>
      <c r="R11" s="1054">
        <f>+'Wohnungsausnutzung Vergleich'!H8</f>
        <v>23.103999999999999</v>
      </c>
      <c r="S11" s="1056">
        <f>+'Wohnungsausnutzung Vergleich'!I8</f>
        <v>25.992000000000001</v>
      </c>
      <c r="T11" s="1246"/>
    </row>
    <row r="12" spans="1:20" ht="19" thickBot="1">
      <c r="A12" s="1391" t="str">
        <f>+'Wohnungsausnutzung Vergleich'!K58</f>
        <v>4,50 m x 4,50 m</v>
      </c>
      <c r="B12" s="1392">
        <f>+'Wohnungsausnutzung Vergleich'!L58</f>
        <v>0</v>
      </c>
      <c r="C12" s="1175">
        <f>+'Wohnungsausnutzung Vergleich'!M58</f>
        <v>0.40156841535965387</v>
      </c>
      <c r="D12" s="1176">
        <f>+'Wohnungsausnutzung Vergleich'!N58</f>
        <v>0.4832341806381828</v>
      </c>
      <c r="E12" s="1176">
        <f>+'Wohnungsausnutzung Vergleich'!O58</f>
        <v>0.56341265548945385</v>
      </c>
      <c r="F12" s="1176">
        <f>+'Wohnungsausnutzung Vergleich'!P58</f>
        <v>0.49432125473228777</v>
      </c>
      <c r="G12" s="1176">
        <f>+'Wohnungsausnutzung Vergleich'!Q58</f>
        <v>0.50799660047902351</v>
      </c>
      <c r="H12" s="1176">
        <f>+'Wohnungsausnutzung Vergleich'!R58</f>
        <v>0.56077609518658744</v>
      </c>
      <c r="I12" s="1177">
        <f>+'Wohnungsausnutzung Vergleich'!S58</f>
        <v>0.66057328285559758</v>
      </c>
      <c r="J12" s="1246"/>
      <c r="K12" s="1391" t="str">
        <f>+'Wohnungsausnutzung Vergleich'!K58</f>
        <v>4,50 m x 4,50 m</v>
      </c>
      <c r="L12" s="1392"/>
      <c r="M12" s="1055">
        <f>+'Wohnungsausnutzung Vergleich'!C9</f>
        <v>55.47</v>
      </c>
      <c r="N12" s="1055">
        <f>+'Wohnungsausnutzung Vergleich'!D9</f>
        <v>27.734999999999999</v>
      </c>
      <c r="O12" s="1055">
        <f>+'Wohnungsausnutzung Vergleich'!E9</f>
        <v>24.653333333333332</v>
      </c>
      <c r="P12" s="1055">
        <f>+'Wohnungsausnutzung Vergleich'!F9</f>
        <v>27.734999999999999</v>
      </c>
      <c r="Q12" s="1055">
        <f>+'Wohnungsausnutzung Vergleich'!G9</f>
        <v>25.885999999999996</v>
      </c>
      <c r="R12" s="1055">
        <f>+'Wohnungsausnutzung Vergleich'!H9</f>
        <v>29.583999999999996</v>
      </c>
      <c r="S12" s="1057">
        <f>+'Wohnungsausnutzung Vergleich'!I9</f>
        <v>36.979999999999997</v>
      </c>
      <c r="T12" s="1246"/>
    </row>
    <row r="13" spans="1:20" ht="18">
      <c r="A13" s="1393" t="str">
        <f>+'Wohnungsausnutzung Vergleich'!K59</f>
        <v>2,65 m x 2,85 m</v>
      </c>
      <c r="B13" s="1394">
        <f>+'Wohnungsausnutzung Vergleich'!L59</f>
        <v>0</v>
      </c>
      <c r="C13" s="1170">
        <f>+'Wohnungsausnutzung Vergleich'!M59</f>
        <v>0.57181363111282257</v>
      </c>
      <c r="D13" s="1171">
        <f>+'Wohnungsausnutzung Vergleich'!N59</f>
        <v>0.68810165575664239</v>
      </c>
      <c r="E13" s="1171">
        <f>+'Wohnungsausnutzung Vergleich'!O59</f>
        <v>0.7404312668463614</v>
      </c>
      <c r="F13" s="1171">
        <f>+'Wohnungsausnutzung Vergleich'!P59</f>
        <v>0.73570145039147739</v>
      </c>
      <c r="G13" s="1171">
        <f>+'Wohnungsausnutzung Vergleich'!Q59</f>
        <v>0.65680111667308438</v>
      </c>
      <c r="H13" s="1171">
        <f>+'Wohnungsausnutzung Vergleich'!R59</f>
        <v>0.78373604158644594</v>
      </c>
      <c r="I13" s="1172">
        <f>+'Wohnungsausnutzung Vergleich'!S59</f>
        <v>0.77854361870534372</v>
      </c>
      <c r="J13" s="1246"/>
      <c r="K13" s="1393" t="str">
        <f>+'Wohnungsausnutzung Vergleich'!K59</f>
        <v>2,65 m x 2,85 m</v>
      </c>
      <c r="L13" s="1394"/>
      <c r="M13" s="1054">
        <f>+'Wohnungsausnutzung Vergleich'!C10</f>
        <v>38.954999999999991</v>
      </c>
      <c r="N13" s="1054">
        <f>+'Wohnungsausnutzung Vergleich'!D10</f>
        <v>19.477499999999996</v>
      </c>
      <c r="O13" s="1054">
        <f>+'Wohnungsausnutzung Vergleich'!E10</f>
        <v>21.641666666666662</v>
      </c>
      <c r="P13" s="1054">
        <f>+'Wohnungsausnutzung Vergleich'!F10</f>
        <v>19.477499999999996</v>
      </c>
      <c r="Q13" s="1054">
        <f>+'Wohnungsausnutzung Vergleich'!G10</f>
        <v>20.775999999999996</v>
      </c>
      <c r="R13" s="1054">
        <f>+'Wohnungsausnutzung Vergleich'!H10</f>
        <v>20.775999999999996</v>
      </c>
      <c r="S13" s="1056">
        <f>+'Wohnungsausnutzung Vergleich'!I10</f>
        <v>23.372999999999998</v>
      </c>
      <c r="T13" s="1246"/>
    </row>
    <row r="14" spans="1:20" ht="18">
      <c r="A14" s="1385" t="str">
        <f>+'Wohnungsausnutzung Vergleich'!K60</f>
        <v>2,65 m x 3,00 m</v>
      </c>
      <c r="B14" s="1386">
        <f>+'Wohnungsausnutzung Vergleich'!L60</f>
        <v>0</v>
      </c>
      <c r="C14" s="1173">
        <f>+'Wohnungsausnutzung Vergleich'!M60</f>
        <v>0.5746355685131197</v>
      </c>
      <c r="D14" s="1169">
        <f>+'Wohnungsausnutzung Vergleich'!N60</f>
        <v>0.70670553935860081</v>
      </c>
      <c r="E14" s="1169">
        <f>+'Wohnungsausnutzung Vergleich'!O60</f>
        <v>0.67346938775510212</v>
      </c>
      <c r="F14" s="1169">
        <f>+'Wohnungsausnutzung Vergleich'!P60</f>
        <v>0.70075315840621977</v>
      </c>
      <c r="G14" s="1169">
        <f>+'Wohnungsausnutzung Vergleich'!Q60</f>
        <v>0.624963556851312</v>
      </c>
      <c r="H14" s="1169">
        <f>+'Wohnungsausnutzung Vergleich'!R60</f>
        <v>0.74509839650145782</v>
      </c>
      <c r="I14" s="1174">
        <f>+'Wohnungsausnutzung Vergleich'!S60</f>
        <v>0.7398121153223195</v>
      </c>
      <c r="J14" s="1246"/>
      <c r="K14" s="1385" t="str">
        <f>+'Wohnungsausnutzung Vergleich'!K60</f>
        <v>2,65 m x 3,00 m</v>
      </c>
      <c r="L14" s="1386"/>
      <c r="M14" s="1054">
        <f>+'Wohnungsausnutzung Vergleich'!C11</f>
        <v>34.29999999999999</v>
      </c>
      <c r="N14" s="1054">
        <f>+'Wohnungsausnutzung Vergleich'!D11</f>
        <v>17.149999999999995</v>
      </c>
      <c r="O14" s="1054">
        <f>+'Wohnungsausnutzung Vergleich'!E11</f>
        <v>20.579999999999995</v>
      </c>
      <c r="P14" s="1054">
        <f>+'Wohnungsausnutzung Vergleich'!F11</f>
        <v>20.579999999999995</v>
      </c>
      <c r="Q14" s="1054">
        <f>+'Wohnungsausnutzung Vergleich'!G11</f>
        <v>21.951999999999995</v>
      </c>
      <c r="R14" s="1054">
        <f>+'Wohnungsausnutzung Vergleich'!H11</f>
        <v>21.951999999999995</v>
      </c>
      <c r="S14" s="1056">
        <f>+'Wohnungsausnutzung Vergleich'!I11</f>
        <v>24.695999999999994</v>
      </c>
      <c r="T14" s="1246"/>
    </row>
    <row r="15" spans="1:20" ht="18">
      <c r="A15" s="1385" t="str">
        <f>+'Wohnungsausnutzung Vergleich'!K61</f>
        <v>2,65 m x 3,50 m</v>
      </c>
      <c r="B15" s="1386">
        <f>+'Wohnungsausnutzung Vergleich'!L61</f>
        <v>0</v>
      </c>
      <c r="C15" s="1173">
        <f>+'Wohnungsausnutzung Vergleich'!M61</f>
        <v>0.48756957328385908</v>
      </c>
      <c r="D15" s="1169">
        <f>+'Wohnungsausnutzung Vergleich'!N61</f>
        <v>0.59962894248608545</v>
      </c>
      <c r="E15" s="1169">
        <f>+'Wohnungsausnutzung Vergleich'!O61</f>
        <v>0.58719851576994442</v>
      </c>
      <c r="F15" s="1169">
        <f>+'Wohnungsausnutzung Vergleich'!P61</f>
        <v>0.6624051273401923</v>
      </c>
      <c r="G15" s="1169">
        <f>+'Wohnungsausnutzung Vergleich'!Q61</f>
        <v>0.57572459286745004</v>
      </c>
      <c r="H15" s="1169">
        <f>+'Wohnungsausnutzung Vergleich'!R61</f>
        <v>0.64167439703153994</v>
      </c>
      <c r="I15" s="1174">
        <f>+'Wohnungsausnutzung Vergleich'!S61</f>
        <v>0.63613687899402183</v>
      </c>
      <c r="J15" s="1246"/>
      <c r="K15" s="1385" t="str">
        <f>+'Wohnungsausnutzung Vergleich'!K61</f>
        <v>2,65 m x 3,50 m</v>
      </c>
      <c r="L15" s="1386"/>
      <c r="M15" s="1054">
        <f>+'Wohnungsausnutzung Vergleich'!C12</f>
        <v>40.424999999999997</v>
      </c>
      <c r="N15" s="1054">
        <f>+'Wohnungsausnutzung Vergleich'!D12</f>
        <v>20.212499999999999</v>
      </c>
      <c r="O15" s="1054">
        <f>+'Wohnungsausnutzung Vergleich'!E12</f>
        <v>21.56</v>
      </c>
      <c r="P15" s="1054">
        <f>+'Wohnungsausnutzung Vergleich'!F12</f>
        <v>22.233749999999997</v>
      </c>
      <c r="Q15" s="1054">
        <f>+'Wohnungsausnutzung Vergleich'!G12</f>
        <v>24.254999999999999</v>
      </c>
      <c r="R15" s="1054">
        <f>+'Wohnungsausnutzung Vergleich'!H12</f>
        <v>25.871999999999996</v>
      </c>
      <c r="S15" s="1056">
        <f>+'Wohnungsausnutzung Vergleich'!I12</f>
        <v>29.105999999999995</v>
      </c>
      <c r="T15" s="1246"/>
    </row>
    <row r="16" spans="1:20" ht="18">
      <c r="A16" s="1385" t="str">
        <f>+'Wohnungsausnutzung Vergleich'!K62</f>
        <v>2,65 m x 4,00 m</v>
      </c>
      <c r="B16" s="1386">
        <f>+'Wohnungsausnutzung Vergleich'!L62</f>
        <v>0</v>
      </c>
      <c r="C16" s="1173">
        <f>+'Wohnungsausnutzung Vergleich'!M62</f>
        <v>0.59814715359828141</v>
      </c>
      <c r="D16" s="1169">
        <f>+'Wohnungsausnutzung Vergleich'!N62</f>
        <v>0.57583243823845331</v>
      </c>
      <c r="E16" s="1169">
        <f>+'Wohnungsausnutzung Vergleich'!O62</f>
        <v>0.63802363050483357</v>
      </c>
      <c r="F16" s="1169">
        <f>+'Wohnungsausnutzung Vergleich'!P62</f>
        <v>0.68904403866809893</v>
      </c>
      <c r="G16" s="1169">
        <f>+'Wohnungsausnutzung Vergleich'!Q62</f>
        <v>0.73293623669563535</v>
      </c>
      <c r="H16" s="1169">
        <f>+'Wohnungsausnutzung Vergleich'!R62</f>
        <v>0.70784103114930197</v>
      </c>
      <c r="I16" s="1174">
        <f>+'Wohnungsausnutzung Vergleich'!S62</f>
        <v>0.68360633727175091</v>
      </c>
      <c r="J16" s="1246"/>
      <c r="K16" s="1385" t="str">
        <f>+'Wohnungsausnutzung Vergleich'!K62</f>
        <v>2,65 m x 4,00 m</v>
      </c>
      <c r="L16" s="1386"/>
      <c r="M16" s="1054">
        <f>+'Wohnungsausnutzung Vergleich'!C13</f>
        <v>37.239999999999995</v>
      </c>
      <c r="N16" s="1054">
        <f>+'Wohnungsausnutzung Vergleich'!D13</f>
        <v>23.274999999999999</v>
      </c>
      <c r="O16" s="1054">
        <f>+'Wohnungsausnutzung Vergleich'!E13</f>
        <v>21.723333333333329</v>
      </c>
      <c r="P16" s="1054">
        <f>+'Wohnungsausnutzung Vergleich'!F13</f>
        <v>23.274999999999999</v>
      </c>
      <c r="Q16" s="1054">
        <f>+'Wohnungsausnutzung Vergleich'!G13</f>
        <v>20.481999999999996</v>
      </c>
      <c r="R16" s="1054">
        <f>+'Wohnungsausnutzung Vergleich'!H13</f>
        <v>26.067999999999994</v>
      </c>
      <c r="S16" s="1056">
        <f>+'Wohnungsausnutzung Vergleich'!I13</f>
        <v>29.791999999999994</v>
      </c>
      <c r="T16" s="1246"/>
    </row>
    <row r="17" spans="1:20" ht="18">
      <c r="A17" s="1385" t="str">
        <f>+'Wohnungsausnutzung Vergleich'!K63</f>
        <v>2,65 m x 4,50 m</v>
      </c>
      <c r="B17" s="1386">
        <f>+'Wohnungsausnutzung Vergleich'!L63</f>
        <v>0</v>
      </c>
      <c r="C17" s="1173">
        <f>+'Wohnungsausnutzung Vergleich'!M63</f>
        <v>0.52859515899383014</v>
      </c>
      <c r="D17" s="1169">
        <f>+'Wohnungsausnutzung Vergleich'!N63</f>
        <v>0.50887517797816806</v>
      </c>
      <c r="E17" s="1169">
        <f>+'Wohnungsausnutzung Vergleich'!O63</f>
        <v>0.56383483626008546</v>
      </c>
      <c r="F17" s="1169">
        <f>+'Wohnungsausnutzung Vergleich'!P63</f>
        <v>0.6506881822496442</v>
      </c>
      <c r="G17" s="1169">
        <f>+'Wohnungsausnutzung Vergleich'!Q63</f>
        <v>0.62411010915994314</v>
      </c>
      <c r="H17" s="1169">
        <f>+'Wohnungsausnutzung Vergleich'!R63</f>
        <v>0.65614617940199349</v>
      </c>
      <c r="I17" s="1174">
        <f>+'Wohnungsausnutzung Vergleich'!S63</f>
        <v>0.69872533731100417</v>
      </c>
      <c r="J17" s="1246"/>
      <c r="K17" s="1385" t="str">
        <f>+'Wohnungsausnutzung Vergleich'!K63</f>
        <v>2,65 m x 4,50 m</v>
      </c>
      <c r="L17" s="1386"/>
      <c r="M17" s="1054">
        <f>+'Wohnungsausnutzung Vergleich'!C14</f>
        <v>42.139999999999993</v>
      </c>
      <c r="N17" s="1054">
        <f>+'Wohnungsausnutzung Vergleich'!D14</f>
        <v>26.337499999999995</v>
      </c>
      <c r="O17" s="1054">
        <f>+'Wohnungsausnutzung Vergleich'!E14</f>
        <v>24.581666666666663</v>
      </c>
      <c r="P17" s="1054">
        <f>+'Wohnungsausnutzung Vergleich'!F14</f>
        <v>21.069999999999997</v>
      </c>
      <c r="Q17" s="1054">
        <f>+'Wohnungsausnutzung Vergleich'!G14</f>
        <v>21.069999999999997</v>
      </c>
      <c r="R17" s="1054">
        <f>+'Wohnungsausnutzung Vergleich'!H14</f>
        <v>25.283999999999999</v>
      </c>
      <c r="S17" s="1056">
        <f>+'Wohnungsausnutzung Vergleich'!I14</f>
        <v>29.497999999999998</v>
      </c>
      <c r="T17" s="1246"/>
    </row>
    <row r="18" spans="1:20" ht="18">
      <c r="A18" s="1385" t="str">
        <f>+'Wohnungsausnutzung Vergleich'!K64</f>
        <v>2,65 m x 5,00 m</v>
      </c>
      <c r="B18" s="1386">
        <f>+'Wohnungsausnutzung Vergleich'!L64</f>
        <v>0</v>
      </c>
      <c r="C18" s="1173">
        <f>+'Wohnungsausnutzung Vergleich'!M64</f>
        <v>0.47353316326530615</v>
      </c>
      <c r="D18" s="1169">
        <f>+'Wohnungsausnutzung Vergleich'!N64</f>
        <v>0.45586734693877556</v>
      </c>
      <c r="E18" s="1169">
        <f>+'Wohnungsausnutzung Vergleich'!O64</f>
        <v>0.50510204081632659</v>
      </c>
      <c r="F18" s="1169">
        <f>+'Wohnungsausnutzung Vergleich'!P64</f>
        <v>0.58290816326530626</v>
      </c>
      <c r="G18" s="1169">
        <f>+'Wohnungsausnutzung Vergleich'!Q64</f>
        <v>0.55909863945578242</v>
      </c>
      <c r="H18" s="1169">
        <f>+'Wohnungsausnutzung Vergleich'!R64</f>
        <v>0.64123376623376638</v>
      </c>
      <c r="I18" s="1174">
        <f>+'Wohnungsausnutzung Vergleich'!S64</f>
        <v>0.7389455782312927</v>
      </c>
      <c r="J18" s="1246"/>
      <c r="K18" s="1385" t="str">
        <f>+'Wohnungsausnutzung Vergleich'!K64</f>
        <v>2,65 m x 5,00 m</v>
      </c>
      <c r="L18" s="1386"/>
      <c r="M18" s="1054">
        <f>+'Wohnungsausnutzung Vergleich'!C15</f>
        <v>47.039999999999992</v>
      </c>
      <c r="N18" s="1054">
        <f>+'Wohnungsausnutzung Vergleich'!D15</f>
        <v>29.399999999999995</v>
      </c>
      <c r="O18" s="1054">
        <f>+'Wohnungsausnutzung Vergleich'!E15</f>
        <v>27.439999999999998</v>
      </c>
      <c r="P18" s="1054">
        <f>+'Wohnungsausnutzung Vergleich'!F15</f>
        <v>23.519999999999996</v>
      </c>
      <c r="Q18" s="1054">
        <f>+'Wohnungsausnutzung Vergleich'!G15</f>
        <v>23.519999999999996</v>
      </c>
      <c r="R18" s="1054">
        <f>+'Wohnungsausnutzung Vergleich'!H15</f>
        <v>25.871999999999996</v>
      </c>
      <c r="S18" s="1056">
        <f>+'Wohnungsausnutzung Vergleich'!I15</f>
        <v>28.223999999999997</v>
      </c>
      <c r="T18" s="1246"/>
    </row>
    <row r="19" spans="1:20" ht="19" thickBot="1">
      <c r="A19" s="1391" t="str">
        <f>+'Wohnungsausnutzung Vergleich'!K65</f>
        <v>2,65 m x 5,30 m</v>
      </c>
      <c r="B19" s="1392">
        <f>+'Wohnungsausnutzung Vergleich'!L65</f>
        <v>0</v>
      </c>
      <c r="C19" s="1175">
        <f>+'Wohnungsausnutzung Vergleich'!M65</f>
        <v>0.59423769507803126</v>
      </c>
      <c r="D19" s="1176">
        <f>+'Wohnungsausnutzung Vergleich'!N65</f>
        <v>0.53631452581032424</v>
      </c>
      <c r="E19" s="1176">
        <f>+'Wohnungsausnutzung Vergleich'!O65</f>
        <v>0.47539015606242507</v>
      </c>
      <c r="F19" s="1176">
        <f>+'Wohnungsausnutzung Vergleich'!P65</f>
        <v>0.50846338535414171</v>
      </c>
      <c r="G19" s="1176">
        <f>+'Wohnungsausnutzung Vergleich'!Q65</f>
        <v>0.5846783157707528</v>
      </c>
      <c r="H19" s="1176">
        <f>+'Wohnungsausnutzung Vergleich'!R65</f>
        <v>0.60351413292589784</v>
      </c>
      <c r="I19" s="1177">
        <f>+'Wohnungsausnutzung Vergleich'!S65</f>
        <v>0.61704681872749112</v>
      </c>
      <c r="J19" s="1246"/>
      <c r="K19" s="1391" t="str">
        <f>+'Wohnungsausnutzung Vergleich'!K65</f>
        <v>2,65 m x 5,30 m</v>
      </c>
      <c r="L19" s="1392"/>
      <c r="M19" s="1055">
        <f>+'Wohnungsausnutzung Vergleich'!C16</f>
        <v>37.484999999999992</v>
      </c>
      <c r="N19" s="1055">
        <f>+'Wohnungsausnutzung Vergleich'!D16</f>
        <v>24.989999999999995</v>
      </c>
      <c r="O19" s="1055">
        <f>+'Wohnungsausnutzung Vergleich'!E16</f>
        <v>29.15499999999999</v>
      </c>
      <c r="P19" s="1055">
        <f>+'Wohnungsausnutzung Vergleich'!F16</f>
        <v>24.989999999999995</v>
      </c>
      <c r="Q19" s="1055">
        <f>+'Wohnungsausnutzung Vergleich'!G16</f>
        <v>22.490999999999996</v>
      </c>
      <c r="R19" s="1055">
        <f>+'Wohnungsausnutzung Vergleich'!H16</f>
        <v>27.488999999999994</v>
      </c>
      <c r="S19" s="1057">
        <f>+'Wohnungsausnutzung Vergleich'!I16</f>
        <v>29.987999999999992</v>
      </c>
      <c r="T19" s="1246"/>
    </row>
    <row r="20" spans="1:20" ht="18">
      <c r="A20" s="1385" t="str">
        <f>+'Wohnungsausnutzung Vergleich'!K66</f>
        <v>2,85 m x 3,00 m</v>
      </c>
      <c r="B20" s="1386">
        <f>+'Wohnungsausnutzung Vergleich'!L66</f>
        <v>0</v>
      </c>
      <c r="C20" s="1170">
        <f>+'Wohnungsausnutzung Vergleich'!M66</f>
        <v>0.60040431266846361</v>
      </c>
      <c r="D20" s="1171">
        <f>+'Wohnungsausnutzung Vergleich'!N66</f>
        <v>0.72250673854447445</v>
      </c>
      <c r="E20" s="1171">
        <f>+'Wohnungsausnutzung Vergleich'!O66</f>
        <v>0.51901766996106624</v>
      </c>
      <c r="F20" s="1171">
        <f>+'Wohnungsausnutzung Vergleich'!P66</f>
        <v>0.5521787960467206</v>
      </c>
      <c r="G20" s="1171">
        <f>+'Wohnungsausnutzung Vergleich'!Q66</f>
        <v>0.52035938903863432</v>
      </c>
      <c r="H20" s="1171">
        <f>+'Wohnungsausnutzung Vergleich'!R66</f>
        <v>0.69358153638814024</v>
      </c>
      <c r="I20" s="1172">
        <f>+'Wohnungsausnutzung Vergleich'!S66</f>
        <v>0.68817011081162027</v>
      </c>
      <c r="J20" s="1246"/>
      <c r="K20" s="1385" t="str">
        <f>+'Wohnungsausnutzung Vergleich'!K66</f>
        <v>2,85 m x 3,00 m</v>
      </c>
      <c r="L20" s="1386"/>
      <c r="M20" s="1054">
        <f>+'Wohnungsausnutzung Vergleich'!C17</f>
        <v>37.099999999999994</v>
      </c>
      <c r="N20" s="1054">
        <f>+'Wohnungsausnutzung Vergleich'!D17</f>
        <v>18.549999999999997</v>
      </c>
      <c r="O20" s="1054">
        <f>+'Wohnungsausnutzung Vergleich'!E17</f>
        <v>22.259999999999994</v>
      </c>
      <c r="P20" s="1054">
        <f>+'Wohnungsausnutzung Vergleich'!F17</f>
        <v>22.259999999999998</v>
      </c>
      <c r="Q20" s="1054">
        <f>+'Wohnungsausnutzung Vergleich'!G17</f>
        <v>22.259999999999998</v>
      </c>
      <c r="R20" s="1054">
        <f>+'Wohnungsausnutzung Vergleich'!H17</f>
        <v>23.743999999999996</v>
      </c>
      <c r="S20" s="1056">
        <f>+'Wohnungsausnutzung Vergleich'!I17</f>
        <v>26.711999999999996</v>
      </c>
      <c r="T20" s="1246"/>
    </row>
    <row r="21" spans="1:20" ht="18">
      <c r="A21" s="1385" t="str">
        <f>+'Wohnungsausnutzung Vergleich'!K67</f>
        <v>2,85 m x 3,50 m</v>
      </c>
      <c r="B21" s="1386">
        <f>+'Wohnungsausnutzung Vergleich'!L67</f>
        <v>0</v>
      </c>
      <c r="C21" s="1173">
        <f>+'Wohnungsausnutzung Vergleich'!M67</f>
        <v>0.6367924528301887</v>
      </c>
      <c r="D21" s="1169">
        <f>+'Wohnungsausnutzung Vergleich'!N67</f>
        <v>0.61303602058319051</v>
      </c>
      <c r="E21" s="1169">
        <f>+'Wohnungsausnutzung Vergleich'!O67</f>
        <v>0.67924528301886811</v>
      </c>
      <c r="F21" s="1169">
        <f>+'Wohnungsausnutzung Vergleich'!P67</f>
        <v>0.56660949113779302</v>
      </c>
      <c r="G21" s="1169">
        <f>+'Wohnungsausnutzung Vergleich'!Q67</f>
        <v>0.60277301315037168</v>
      </c>
      <c r="H21" s="1169">
        <f>+'Wohnungsausnutzung Vergleich'!R67</f>
        <v>0.65533876500857646</v>
      </c>
      <c r="I21" s="1174">
        <f>+'Wohnungsausnutzung Vergleich'!S67</f>
        <v>0.68116234486933713</v>
      </c>
      <c r="J21" s="1246"/>
      <c r="K21" s="1385" t="str">
        <f>+'Wohnungsausnutzung Vergleich'!K67</f>
        <v>2,85 m x 3,50 m</v>
      </c>
      <c r="L21" s="1386"/>
      <c r="M21" s="1054">
        <f>+'Wohnungsausnutzung Vergleich'!C18</f>
        <v>34.979999999999997</v>
      </c>
      <c r="N21" s="1054">
        <f>+'Wohnungsausnutzung Vergleich'!D18</f>
        <v>21.862499999999997</v>
      </c>
      <c r="O21" s="1054">
        <f>+'Wohnungsausnutzung Vergleich'!E18</f>
        <v>20.404999999999998</v>
      </c>
      <c r="P21" s="1054">
        <f>+'Wohnungsausnutzung Vergleich'!F18</f>
        <v>24.048749999999998</v>
      </c>
      <c r="Q21" s="1054">
        <f>+'Wohnungsausnutzung Vergleich'!G18</f>
        <v>20.988</v>
      </c>
      <c r="R21" s="1054">
        <f>+'Wohnungsausnutzung Vergleich'!H18</f>
        <v>27.983999999999998</v>
      </c>
      <c r="S21" s="1056">
        <f>+'Wohnungsausnutzung Vergleich'!I18</f>
        <v>29.732999999999997</v>
      </c>
      <c r="T21" s="1246"/>
    </row>
    <row r="22" spans="1:20" ht="18">
      <c r="A22" s="1385" t="str">
        <f>+'Wohnungsausnutzung Vergleich'!K68</f>
        <v>2,85 m x 4,00 m</v>
      </c>
      <c r="B22" s="1386">
        <f>+'Wohnungsausnutzung Vergleich'!L68</f>
        <v>0</v>
      </c>
      <c r="C22" s="1173">
        <f>+'Wohnungsausnutzung Vergleich'!M68</f>
        <v>0.55300397219463759</v>
      </c>
      <c r="D22" s="1169">
        <f>+'Wohnungsausnutzung Vergleich'!N68</f>
        <v>0.53237338629592856</v>
      </c>
      <c r="E22" s="1169">
        <f>+'Wohnungsausnutzung Vergleich'!O68</f>
        <v>0.58987090367428019</v>
      </c>
      <c r="F22" s="1169">
        <f>+'Wohnungsausnutzung Vergleich'!P68</f>
        <v>0.55441906653426021</v>
      </c>
      <c r="G22" s="1169">
        <f>+'Wohnungsausnutzung Vergleich'!Q68</f>
        <v>0.58300984020944302</v>
      </c>
      <c r="H22" s="1169">
        <f>+'Wohnungsausnutzung Vergleich'!R68</f>
        <v>0.65980990211377499</v>
      </c>
      <c r="I22" s="1174">
        <f>+'Wohnungsausnutzung Vergleich'!S68</f>
        <v>0.63673038728897724</v>
      </c>
      <c r="J22" s="1246"/>
      <c r="K22" s="1385" t="str">
        <f>+'Wohnungsausnutzung Vergleich'!K68</f>
        <v>2,85 m x 4,00 m</v>
      </c>
      <c r="L22" s="1386"/>
      <c r="M22" s="1054">
        <f>+'Wohnungsausnutzung Vergleich'!C19</f>
        <v>40.279999999999994</v>
      </c>
      <c r="N22" s="1054">
        <f>+'Wohnungsausnutzung Vergleich'!D19</f>
        <v>25.174999999999997</v>
      </c>
      <c r="O22" s="1054">
        <f>+'Wohnungsausnutzung Vergleich'!E19</f>
        <v>23.496666666666666</v>
      </c>
      <c r="P22" s="1054">
        <f>+'Wohnungsausnutzung Vergleich'!F19</f>
        <v>25.174999999999997</v>
      </c>
      <c r="Q22" s="1054">
        <f>+'Wohnungsausnutzung Vergleich'!G19</f>
        <v>22.153999999999996</v>
      </c>
      <c r="R22" s="1054">
        <f>+'Wohnungsausnutzung Vergleich'!H19</f>
        <v>28.195999999999998</v>
      </c>
      <c r="S22" s="1056">
        <f>+'Wohnungsausnutzung Vergleich'!I19</f>
        <v>32.223999999999997</v>
      </c>
      <c r="T22" s="1246"/>
    </row>
    <row r="23" spans="1:20" ht="18">
      <c r="A23" s="1385" t="str">
        <f>+'Wohnungsausnutzung Vergleich'!K69</f>
        <v>2,85 m x 4,50 m</v>
      </c>
      <c r="B23" s="1386">
        <f>+'Wohnungsausnutzung Vergleich'!L69</f>
        <v>0</v>
      </c>
      <c r="C23" s="1173">
        <f>+'Wohnungsausnutzung Vergleich'!M69</f>
        <v>0.65160157964019294</v>
      </c>
      <c r="D23" s="1169">
        <f>+'Wohnungsausnutzung Vergleich'!N69</f>
        <v>0.58808688021061872</v>
      </c>
      <c r="E23" s="1169">
        <f>+'Wohnungsausnutzung Vergleich'!O69</f>
        <v>0.60816147433084677</v>
      </c>
      <c r="F23" s="1169">
        <f>+'Wohnungsausnutzung Vergleich'!P69</f>
        <v>0.6015796401930672</v>
      </c>
      <c r="G23" s="1169">
        <f>+'Wohnungsausnutzung Vergleich'!Q69</f>
        <v>0.57700745941202292</v>
      </c>
      <c r="H23" s="1169">
        <f>+'Wohnungsausnutzung Vergleich'!R69</f>
        <v>0.60662571303203161</v>
      </c>
      <c r="I23" s="1174">
        <f>+'Wohnungsausnutzung Vergleich'!S69</f>
        <v>0.65138218516893365</v>
      </c>
      <c r="J23" s="1246"/>
      <c r="K23" s="1385" t="str">
        <f>+'Wohnungsausnutzung Vergleich'!K69</f>
        <v>2,85 m x 4,50 m</v>
      </c>
      <c r="L23" s="1386"/>
      <c r="M23" s="1054">
        <f>+'Wohnungsausnutzung Vergleich'!C20</f>
        <v>34.185000000000002</v>
      </c>
      <c r="N23" s="1054">
        <f>+'Wohnungsausnutzung Vergleich'!D20</f>
        <v>22.79</v>
      </c>
      <c r="O23" s="1054">
        <f>+'Wohnungsausnutzung Vergleich'!E20</f>
        <v>22.790000000000003</v>
      </c>
      <c r="P23" s="1054">
        <f>+'Wohnungsausnutzung Vergleich'!F20</f>
        <v>22.79</v>
      </c>
      <c r="Q23" s="1054">
        <f>+'Wohnungsausnutzung Vergleich'!G20</f>
        <v>22.79</v>
      </c>
      <c r="R23" s="1054">
        <f>+'Wohnungsausnutzung Vergleich'!H20</f>
        <v>27.348000000000003</v>
      </c>
      <c r="S23" s="1056">
        <f>+'Wohnungsausnutzung Vergleich'!I20</f>
        <v>31.905999999999999</v>
      </c>
      <c r="T23" s="1246"/>
    </row>
    <row r="24" spans="1:20" ht="18">
      <c r="A24" s="1385" t="str">
        <f>+'Wohnungsausnutzung Vergleich'!K70</f>
        <v>2,85 m x 5,00 m</v>
      </c>
      <c r="B24" s="1386">
        <f>+'Wohnungsausnutzung Vergleich'!L70</f>
        <v>0</v>
      </c>
      <c r="C24" s="1173">
        <f>+'Wohnungsausnutzung Vergleich'!M70</f>
        <v>0.58372641509433965</v>
      </c>
      <c r="D24" s="1169">
        <f>+'Wohnungsausnutzung Vergleich'!N70</f>
        <v>0.52682783018867929</v>
      </c>
      <c r="E24" s="1169">
        <f>+'Wohnungsausnutzung Vergleich'!O70</f>
        <v>0.6537735849056604</v>
      </c>
      <c r="F24" s="1169">
        <f>+'Wohnungsausnutzung Vergleich'!P70</f>
        <v>0.5389150943396227</v>
      </c>
      <c r="G24" s="1169">
        <f>+'Wohnungsausnutzung Vergleich'!Q70</f>
        <v>0.5743361285814117</v>
      </c>
      <c r="H24" s="1169">
        <f>+'Wohnungsausnutzung Vergleich'!R70</f>
        <v>0.59283876500857635</v>
      </c>
      <c r="I24" s="1174">
        <f>+'Wohnungsausnutzung Vergleich'!S70</f>
        <v>0.60613207547169812</v>
      </c>
      <c r="J24" s="1246"/>
      <c r="K24" s="1385" t="str">
        <f>+'Wohnungsausnutzung Vergleich'!K70</f>
        <v>2,85 m x 5,00 m</v>
      </c>
      <c r="L24" s="1386"/>
      <c r="M24" s="1054">
        <f>+'Wohnungsausnutzung Vergleich'!C21</f>
        <v>38.159999999999997</v>
      </c>
      <c r="N24" s="1054">
        <f>+'Wohnungsausnutzung Vergleich'!D21</f>
        <v>26.337499999999995</v>
      </c>
      <c r="O24" s="1054">
        <f>+'Wohnungsausnutzung Vergleich'!E21</f>
        <v>21.2</v>
      </c>
      <c r="P24" s="1054">
        <f>+'Wohnungsausnutzung Vergleich'!F21</f>
        <v>25.439999999999998</v>
      </c>
      <c r="Q24" s="1054">
        <f>+'Wohnungsausnutzung Vergleich'!G21</f>
        <v>22.895999999999997</v>
      </c>
      <c r="R24" s="1054">
        <f>+'Wohnungsausnutzung Vergleich'!H21</f>
        <v>23.319999999999997</v>
      </c>
      <c r="S24" s="1056">
        <f>+'Wohnungsausnutzung Vergleich'!I21</f>
        <v>30.527999999999999</v>
      </c>
      <c r="T24" s="1246"/>
    </row>
    <row r="25" spans="1:20" ht="18">
      <c r="A25" s="1385" t="str">
        <f>+'Wohnungsausnutzung Vergleich'!K71</f>
        <v>2,85 m x 5,30 m</v>
      </c>
      <c r="B25" s="1386">
        <f>+'Wohnungsausnutzung Vergleich'!L71</f>
        <v>0</v>
      </c>
      <c r="C25" s="1173">
        <f>+'Wohnungsausnutzung Vergleich'!M71</f>
        <v>0.54938956714761378</v>
      </c>
      <c r="D25" s="1169">
        <f>+'Wohnungsausnutzung Vergleich'!N71</f>
        <v>0.49583795782463935</v>
      </c>
      <c r="E25" s="1169">
        <f>+'Wohnungsausnutzung Vergleich'!O71</f>
        <v>0.61531631520532748</v>
      </c>
      <c r="F25" s="1169">
        <f>+'Wohnungsausnutzung Vergleich'!P71</f>
        <v>0.50721420643729198</v>
      </c>
      <c r="G25" s="1169">
        <f>+'Wohnungsausnutzung Vergleich'!Q71</f>
        <v>0.54055165042956388</v>
      </c>
      <c r="H25" s="1169">
        <f>+'Wohnungsausnutzung Vergleich'!R71</f>
        <v>0.55796589647866013</v>
      </c>
      <c r="I25" s="1174">
        <f>+'Wohnungsausnutzung Vergleich'!S71</f>
        <v>0.57047724750277473</v>
      </c>
      <c r="J25" s="1246"/>
      <c r="K25" s="1385" t="str">
        <f>+'Wohnungsausnutzung Vergleich'!K71</f>
        <v>2,85 m x 5,30 m</v>
      </c>
      <c r="L25" s="1386"/>
      <c r="M25" s="1054">
        <f>+'Wohnungsausnutzung Vergleich'!C22</f>
        <v>40.544999999999995</v>
      </c>
      <c r="N25" s="1054">
        <f>+'Wohnungsausnutzung Vergleich'!D22</f>
        <v>27.029999999999998</v>
      </c>
      <c r="O25" s="1054">
        <f>+'Wohnungsausnutzung Vergleich'!E22</f>
        <v>22.524999999999995</v>
      </c>
      <c r="P25" s="1054">
        <f>+'Wohnungsausnutzung Vergleich'!F22</f>
        <v>27.029999999999998</v>
      </c>
      <c r="Q25" s="1054">
        <f>+'Wohnungsausnutzung Vergleich'!G22</f>
        <v>24.326999999999998</v>
      </c>
      <c r="R25" s="1054">
        <f>+'Wohnungsausnutzung Vergleich'!H22</f>
        <v>29.732999999999997</v>
      </c>
      <c r="S25" s="1056">
        <f>+'Wohnungsausnutzung Vergleich'!I22</f>
        <v>32.435999999999993</v>
      </c>
      <c r="T25" s="1246"/>
    </row>
    <row r="26" spans="1:20" ht="19" thickBot="1">
      <c r="A26" s="1391" t="str">
        <f>+'Wohnungsausnutzung Vergleich'!K72</f>
        <v>2,85 m x 5,70 m</v>
      </c>
      <c r="B26" s="1392">
        <f>+'Wohnungsausnutzung Vergleich'!L72</f>
        <v>0</v>
      </c>
      <c r="C26" s="1175">
        <f>+'Wohnungsausnutzung Vergleich'!M72</f>
        <v>0.50943396226415094</v>
      </c>
      <c r="D26" s="1176">
        <f>+'Wohnungsausnutzung Vergleich'!N72</f>
        <v>0.4597770154373928</v>
      </c>
      <c r="E26" s="1176">
        <f>+'Wohnungsausnutzung Vergleich'!O72</f>
        <v>0.57056603773584902</v>
      </c>
      <c r="F26" s="1176">
        <f>+'Wohnungsausnutzung Vergleich'!P72</f>
        <v>0.47032590051457979</v>
      </c>
      <c r="G26" s="1176">
        <f>+'Wohnungsausnutzung Vergleich'!Q72</f>
        <v>0.50123880312559566</v>
      </c>
      <c r="H26" s="1176">
        <f>+'Wohnungsausnutzung Vergleich'!R72</f>
        <v>0.51738655855293936</v>
      </c>
      <c r="I26" s="1177">
        <f>+'Wohnungsausnutzung Vergleich'!S72</f>
        <v>0.52898799313893663</v>
      </c>
      <c r="J26" s="1246"/>
      <c r="K26" s="1391" t="str">
        <f>+'Wohnungsausnutzung Vergleich'!K72</f>
        <v>2,85 m x 5,70 m</v>
      </c>
      <c r="L26" s="1392"/>
      <c r="M26" s="1055">
        <f>+'Wohnungsausnutzung Vergleich'!C23</f>
        <v>43.724999999999994</v>
      </c>
      <c r="N26" s="1055">
        <f>+'Wohnungsausnutzung Vergleich'!D23</f>
        <v>29.15</v>
      </c>
      <c r="O26" s="1055">
        <f>+'Wohnungsausnutzung Vergleich'!E23</f>
        <v>24.291666666666668</v>
      </c>
      <c r="P26" s="1055">
        <f>+'Wohnungsausnutzung Vergleich'!F23</f>
        <v>29.15</v>
      </c>
      <c r="Q26" s="1055">
        <f>+'Wohnungsausnutzung Vergleich'!G23</f>
        <v>26.234999999999996</v>
      </c>
      <c r="R26" s="1055">
        <f>+'Wohnungsausnutzung Vergleich'!H23</f>
        <v>32.064999999999998</v>
      </c>
      <c r="S26" s="1057">
        <f>+'Wohnungsausnutzung Vergleich'!I23</f>
        <v>34.979999999999997</v>
      </c>
      <c r="T26" s="1246"/>
    </row>
    <row r="27" spans="1:20" ht="18">
      <c r="A27" s="1385" t="str">
        <f>+'Wohnungsausnutzung Vergleich'!K73</f>
        <v>3,00 m x 3,50 m</v>
      </c>
      <c r="B27" s="1386">
        <f>+'Wohnungsausnutzung Vergleich'!L73</f>
        <v>0</v>
      </c>
      <c r="C27" s="1170">
        <f>+'Wohnungsausnutzung Vergleich'!M73</f>
        <v>0.60267857142857151</v>
      </c>
      <c r="D27" s="1171">
        <f>+'Wohnungsausnutzung Vergleich'!N73</f>
        <v>0.58019480519480537</v>
      </c>
      <c r="E27" s="1171">
        <f>+'Wohnungsausnutzung Vergleich'!O73</f>
        <v>0.64285714285714302</v>
      </c>
      <c r="F27" s="1171">
        <f>+'Wohnungsausnutzung Vergleich'!P73</f>
        <v>0.63046044864226691</v>
      </c>
      <c r="G27" s="1171">
        <f>+'Wohnungsausnutzung Vergleich'!Q73</f>
        <v>0.67631673881673893</v>
      </c>
      <c r="H27" s="1171">
        <f>+'Wohnungsausnutzung Vergleich'!R73</f>
        <v>0.62357954545454553</v>
      </c>
      <c r="I27" s="1172">
        <f>+'Wohnungsausnutzung Vergleich'!S73</f>
        <v>0.64782276546982431</v>
      </c>
      <c r="J27" s="1246"/>
      <c r="K27" s="1385" t="str">
        <f>+'Wohnungsausnutzung Vergleich'!K73</f>
        <v>3,00 m x 3,50 m</v>
      </c>
      <c r="L27" s="1386"/>
      <c r="M27" s="1054">
        <f>+'Wohnungsausnutzung Vergleich'!C24</f>
        <v>36.959999999999994</v>
      </c>
      <c r="N27" s="1054">
        <f>+'Wohnungsausnutzung Vergleich'!D24</f>
        <v>23.099999999999994</v>
      </c>
      <c r="O27" s="1054">
        <f>+'Wohnungsausnutzung Vergleich'!E24</f>
        <v>21.56</v>
      </c>
      <c r="P27" s="1054">
        <f>+'Wohnungsausnutzung Vergleich'!F24</f>
        <v>25.409999999999997</v>
      </c>
      <c r="Q27" s="1054">
        <f>+'Wohnungsausnutzung Vergleich'!G24</f>
        <v>22.175999999999995</v>
      </c>
      <c r="R27" s="1054">
        <f>+'Wohnungsausnutzung Vergleich'!H24</f>
        <v>29.567999999999994</v>
      </c>
      <c r="S27" s="1056">
        <f>+'Wohnungsausnutzung Vergleich'!I24</f>
        <v>31.415999999999997</v>
      </c>
      <c r="T27" s="1246"/>
    </row>
    <row r="28" spans="1:20" ht="18">
      <c r="A28" s="1385" t="str">
        <f>+'Wohnungsausnutzung Vergleich'!K74</f>
        <v>3,00 m x 4,00 m</v>
      </c>
      <c r="B28" s="1386">
        <f>+'Wohnungsausnutzung Vergleich'!L74</f>
        <v>0</v>
      </c>
      <c r="C28" s="1173">
        <f>+'Wohnungsausnutzung Vergleich'!M74</f>
        <v>0.52337875939849632</v>
      </c>
      <c r="D28" s="1169">
        <f>+'Wohnungsausnutzung Vergleich'!N74</f>
        <v>0.50385338345864661</v>
      </c>
      <c r="E28" s="1169">
        <f>+'Wohnungsausnutzung Vergleich'!O74</f>
        <v>0.55827067669172947</v>
      </c>
      <c r="F28" s="1169">
        <f>+'Wohnungsausnutzung Vergleich'!P74</f>
        <v>0.61541353383458652</v>
      </c>
      <c r="G28" s="1169">
        <f>+'Wohnungsausnutzung Vergleich'!Q74</f>
        <v>0.6526828434723172</v>
      </c>
      <c r="H28" s="1169">
        <f>+'Wohnungsausnutzung Vergleich'!R74</f>
        <v>0.62828947368421062</v>
      </c>
      <c r="I28" s="1174">
        <f>+'Wohnungsausnutzung Vergleich'!S74</f>
        <v>0.60596804511278202</v>
      </c>
      <c r="J28" s="1246"/>
      <c r="K28" s="1385" t="str">
        <f>+'Wohnungsausnutzung Vergleich'!K74</f>
        <v>3,00 m x 4,00 m</v>
      </c>
      <c r="L28" s="1386"/>
      <c r="M28" s="1054">
        <f>+'Wohnungsausnutzung Vergleich'!C25</f>
        <v>42.559999999999995</v>
      </c>
      <c r="N28" s="1054">
        <f>+'Wohnungsausnutzung Vergleich'!D25</f>
        <v>26.599999999999998</v>
      </c>
      <c r="O28" s="1054">
        <f>+'Wohnungsausnutzung Vergleich'!E25</f>
        <v>24.826666666666664</v>
      </c>
      <c r="P28" s="1054">
        <f>+'Wohnungsausnutzung Vergleich'!F25</f>
        <v>26.599999999999998</v>
      </c>
      <c r="Q28" s="1054">
        <f>+'Wohnungsausnutzung Vergleich'!G25</f>
        <v>23.407999999999998</v>
      </c>
      <c r="R28" s="1054">
        <f>+'Wohnungsausnutzung Vergleich'!H25</f>
        <v>29.791999999999994</v>
      </c>
      <c r="S28" s="1056">
        <f>+'Wohnungsausnutzung Vergleich'!I25</f>
        <v>34.047999999999995</v>
      </c>
      <c r="T28" s="1246"/>
    </row>
    <row r="29" spans="1:20" ht="18">
      <c r="A29" s="1385" t="str">
        <f>+'Wohnungsausnutzung Vergleich'!K75</f>
        <v>3,00 m x 4,50 m</v>
      </c>
      <c r="B29" s="1386">
        <f>+'Wohnungsausnutzung Vergleich'!L75</f>
        <v>0</v>
      </c>
      <c r="C29" s="1173">
        <f>+'Wohnungsausnutzung Vergleich'!M75</f>
        <v>0.61669435215946844</v>
      </c>
      <c r="D29" s="1169">
        <f>+'Wohnungsausnutzung Vergleich'!N75</f>
        <v>0.55658222591362128</v>
      </c>
      <c r="E29" s="1169">
        <f>+'Wohnungsausnutzung Vergleich'!O75</f>
        <v>0.57558139534883723</v>
      </c>
      <c r="F29" s="1169">
        <f>+'Wohnungsausnutzung Vergleich'!P75</f>
        <v>0.56935215946843865</v>
      </c>
      <c r="G29" s="1169">
        <f>+'Wohnungsausnutzung Vergleich'!Q75</f>
        <v>0.54609634551495023</v>
      </c>
      <c r="H29" s="1169">
        <f>+'Wohnungsausnutzung Vergleich'!R75</f>
        <v>0.57412790697674421</v>
      </c>
      <c r="I29" s="1174">
        <f>+'Wohnungsausnutzung Vergleich'!S75</f>
        <v>0.57895902547065337</v>
      </c>
      <c r="J29" s="1246"/>
      <c r="K29" s="1385" t="str">
        <f>+'Wohnungsausnutzung Vergleich'!K75</f>
        <v>3,00 m x 4,50 m</v>
      </c>
      <c r="L29" s="1386"/>
      <c r="M29" s="1054">
        <f>+'Wohnungsausnutzung Vergleich'!C26</f>
        <v>36.119999999999997</v>
      </c>
      <c r="N29" s="1054">
        <f>+'Wohnungsausnutzung Vergleich'!D26</f>
        <v>24.08</v>
      </c>
      <c r="O29" s="1054">
        <f>+'Wohnungsausnutzung Vergleich'!E26</f>
        <v>24.08</v>
      </c>
      <c r="P29" s="1054">
        <f>+'Wohnungsausnutzung Vergleich'!F26</f>
        <v>24.08</v>
      </c>
      <c r="Q29" s="1054">
        <f>+'Wohnungsausnutzung Vergleich'!G26</f>
        <v>24.08</v>
      </c>
      <c r="R29" s="1054">
        <f>+'Wohnungsausnutzung Vergleich'!H26</f>
        <v>28.895999999999997</v>
      </c>
      <c r="S29" s="1056">
        <f>+'Wohnungsausnutzung Vergleich'!I26</f>
        <v>36.119999999999997</v>
      </c>
      <c r="T29" s="1246"/>
    </row>
    <row r="30" spans="1:20" ht="18">
      <c r="A30" s="1385" t="str">
        <f>+'Wohnungsausnutzung Vergleich'!K76</f>
        <v>3,00 m x 5,00 m</v>
      </c>
      <c r="B30" s="1386">
        <f>+'Wohnungsausnutzung Vergleich'!L76</f>
        <v>0</v>
      </c>
      <c r="C30" s="1173">
        <f>+'Wohnungsausnutzung Vergleich'!M76</f>
        <v>0.5524553571428571</v>
      </c>
      <c r="D30" s="1169">
        <f>+'Wohnungsausnutzung Vergleich'!N76</f>
        <v>0.49860491071428575</v>
      </c>
      <c r="E30" s="1169">
        <f>+'Wohnungsausnutzung Vergleich'!O76</f>
        <v>0.61874999999999991</v>
      </c>
      <c r="F30" s="1169">
        <f>+'Wohnungsausnutzung Vergleich'!P76</f>
        <v>0.5100446428571429</v>
      </c>
      <c r="G30" s="1169">
        <f>+'Wohnungsausnutzung Vergleich'!Q76</f>
        <v>0.48921130952380948</v>
      </c>
      <c r="H30" s="1169">
        <f>+'Wohnungsausnutzung Vergleich'!R76</f>
        <v>0.56107954545454541</v>
      </c>
      <c r="I30" s="1174">
        <f>+'Wohnungsausnutzung Vergleich'!S76</f>
        <v>0.5736607142857143</v>
      </c>
      <c r="J30" s="1246"/>
      <c r="K30" s="1385" t="str">
        <f>+'Wohnungsausnutzung Vergleich'!K76</f>
        <v>3,00 m x 5,00 m</v>
      </c>
      <c r="L30" s="1386"/>
      <c r="M30" s="1054">
        <f>+'Wohnungsausnutzung Vergleich'!C27</f>
        <v>40.32</v>
      </c>
      <c r="N30" s="1054">
        <f>+'Wohnungsausnutzung Vergleich'!D27</f>
        <v>26.88</v>
      </c>
      <c r="O30" s="1054">
        <f>+'Wohnungsausnutzung Vergleich'!E27</f>
        <v>22.400000000000002</v>
      </c>
      <c r="P30" s="1054">
        <f>+'Wohnungsausnutzung Vergleich'!F27</f>
        <v>26.88</v>
      </c>
      <c r="Q30" s="1054">
        <f>+'Wohnungsausnutzung Vergleich'!G27</f>
        <v>26.880000000000003</v>
      </c>
      <c r="R30" s="1054">
        <f>+'Wohnungsausnutzung Vergleich'!H27</f>
        <v>29.568000000000001</v>
      </c>
      <c r="S30" s="1056">
        <f>+'Wohnungsausnutzung Vergleich'!I27</f>
        <v>32.256</v>
      </c>
      <c r="T30" s="1246"/>
    </row>
    <row r="31" spans="1:20" ht="18">
      <c r="A31" s="1385" t="str">
        <f>+'Wohnungsausnutzung Vergleich'!K77</f>
        <v>3,00 m x 5,30 m</v>
      </c>
      <c r="B31" s="1386">
        <f>+'Wohnungsausnutzung Vergleich'!L77</f>
        <v>0</v>
      </c>
      <c r="C31" s="1173">
        <f>+'Wohnungsausnutzung Vergleich'!M77</f>
        <v>0.51995798319327746</v>
      </c>
      <c r="D31" s="1169">
        <f>+'Wohnungsausnutzung Vergleich'!N77</f>
        <v>0.46927521008403367</v>
      </c>
      <c r="E31" s="1169">
        <f>+'Wohnungsausnutzung Vergleich'!O77</f>
        <v>0.58235294117647063</v>
      </c>
      <c r="F31" s="1169">
        <f>+'Wohnungsausnutzung Vergleich'!P77</f>
        <v>0.48004201680672282</v>
      </c>
      <c r="G31" s="1169">
        <f>+'Wohnungsausnutzung Vergleich'!Q77</f>
        <v>0.51159352629940869</v>
      </c>
      <c r="H31" s="1169">
        <f>+'Wohnungsausnutzung Vergleich'!R77</f>
        <v>0.52807486631016054</v>
      </c>
      <c r="I31" s="1174">
        <f>+'Wohnungsausnutzung Vergleich'!S77</f>
        <v>0.5399159663865547</v>
      </c>
      <c r="J31" s="1246"/>
      <c r="K31" s="1385" t="str">
        <f>+'Wohnungsausnutzung Vergleich'!K77</f>
        <v>3,00 m x 5,30 m</v>
      </c>
      <c r="L31" s="1386"/>
      <c r="M31" s="1054">
        <f>+'Wohnungsausnutzung Vergleich'!C28</f>
        <v>42.839999999999989</v>
      </c>
      <c r="N31" s="1054">
        <f>+'Wohnungsausnutzung Vergleich'!D28</f>
        <v>28.559999999999995</v>
      </c>
      <c r="O31" s="1054">
        <f>+'Wohnungsausnutzung Vergleich'!E28</f>
        <v>23.799999999999997</v>
      </c>
      <c r="P31" s="1054">
        <f>+'Wohnungsausnutzung Vergleich'!F28</f>
        <v>28.559999999999995</v>
      </c>
      <c r="Q31" s="1054">
        <f>+'Wohnungsausnutzung Vergleich'!G28</f>
        <v>25.703999999999997</v>
      </c>
      <c r="R31" s="1054">
        <f>+'Wohnungsausnutzung Vergleich'!H28</f>
        <v>31.415999999999997</v>
      </c>
      <c r="S31" s="1056">
        <f>+'Wohnungsausnutzung Vergleich'!I28</f>
        <v>34.271999999999991</v>
      </c>
      <c r="T31" s="1246"/>
    </row>
    <row r="32" spans="1:20" ht="18">
      <c r="A32" s="1385" t="str">
        <f>+'Wohnungsausnutzung Vergleich'!K78</f>
        <v>3,00 m x 5,70 m</v>
      </c>
      <c r="B32" s="1386">
        <f>+'Wohnungsausnutzung Vergleich'!L78</f>
        <v>0</v>
      </c>
      <c r="C32" s="1173">
        <f>+'Wohnungsausnutzung Vergleich'!M78</f>
        <v>0.48214285714285715</v>
      </c>
      <c r="D32" s="1169">
        <f>+'Wohnungsausnutzung Vergleich'!N78</f>
        <v>0.43514610389610392</v>
      </c>
      <c r="E32" s="1169">
        <f>+'Wohnungsausnutzung Vergleich'!O78</f>
        <v>0.53999999999999992</v>
      </c>
      <c r="F32" s="1169">
        <f>+'Wohnungsausnutzung Vergleich'!P78</f>
        <v>0.44512987012987021</v>
      </c>
      <c r="G32" s="1169">
        <f>+'Wohnungsausnutzung Vergleich'!Q78</f>
        <v>0.47438672438672441</v>
      </c>
      <c r="H32" s="1169">
        <f>+'Wohnungsausnutzung Vergleich'!R78</f>
        <v>0.4896694214876034</v>
      </c>
      <c r="I32" s="1174">
        <f>+'Wohnungsausnutzung Vergleich'!S78</f>
        <v>0.50064935064935068</v>
      </c>
      <c r="J32" s="1246"/>
      <c r="K32" s="1385" t="str">
        <f>+'Wohnungsausnutzung Vergleich'!K78</f>
        <v>3,00 m x 5,70 m</v>
      </c>
      <c r="L32" s="1386"/>
      <c r="M32" s="1054">
        <f>+'Wohnungsausnutzung Vergleich'!C29</f>
        <v>46.199999999999996</v>
      </c>
      <c r="N32" s="1054">
        <f>+'Wohnungsausnutzung Vergleich'!D29</f>
        <v>30.799999999999997</v>
      </c>
      <c r="O32" s="1054">
        <f>+'Wohnungsausnutzung Vergleich'!E29</f>
        <v>25.666666666666668</v>
      </c>
      <c r="P32" s="1054">
        <f>+'Wohnungsausnutzung Vergleich'!F29</f>
        <v>30.799999999999997</v>
      </c>
      <c r="Q32" s="1054">
        <f>+'Wohnungsausnutzung Vergleich'!G29</f>
        <v>27.72</v>
      </c>
      <c r="R32" s="1054">
        <f>+'Wohnungsausnutzung Vergleich'!H29</f>
        <v>33.879999999999995</v>
      </c>
      <c r="S32" s="1056">
        <f>+'Wohnungsausnutzung Vergleich'!I29</f>
        <v>36.959999999999994</v>
      </c>
      <c r="T32" s="1246"/>
    </row>
    <row r="33" spans="1:20" ht="19" thickBot="1">
      <c r="A33" s="1391" t="str">
        <f>+'Wohnungsausnutzung Vergleich'!K79</f>
        <v>3,00 m x 6,00 m</v>
      </c>
      <c r="B33" s="1392">
        <f>+'Wohnungsausnutzung Vergleich'!L79</f>
        <v>0</v>
      </c>
      <c r="C33" s="1175">
        <f>+'Wohnungsausnutzung Vergleich'!M79</f>
        <v>0.45720443349753692</v>
      </c>
      <c r="D33" s="1176">
        <f>+'Wohnungsausnutzung Vergleich'!N79</f>
        <v>0.41263854679802958</v>
      </c>
      <c r="E33" s="1176">
        <f>+'Wohnungsausnutzung Vergleich'!O79</f>
        <v>0.51206896551724146</v>
      </c>
      <c r="F33" s="1176">
        <f>+'Wohnungsausnutzung Vergleich'!P79</f>
        <v>0.48240675580577064</v>
      </c>
      <c r="G33" s="1176">
        <f>+'Wohnungsausnutzung Vergleich'!Q79</f>
        <v>0.44984948002189384</v>
      </c>
      <c r="H33" s="1176">
        <f>+'Wohnungsausnutzung Vergleich'!R79</f>
        <v>0.46434169278996873</v>
      </c>
      <c r="I33" s="1177">
        <f>+'Wohnungsausnutzung Vergleich'!S79</f>
        <v>0.47475369458128081</v>
      </c>
      <c r="J33" s="1246"/>
      <c r="K33" s="1391" t="str">
        <f>+'Wohnungsausnutzung Vergleich'!K79</f>
        <v>3,00 m x 6,00 m</v>
      </c>
      <c r="L33" s="1392"/>
      <c r="M33" s="1055">
        <f>+'Wohnungsausnutzung Vergleich'!C30</f>
        <v>48.72</v>
      </c>
      <c r="N33" s="1055">
        <f>+'Wohnungsausnutzung Vergleich'!D30</f>
        <v>32.479999999999997</v>
      </c>
      <c r="O33" s="1055">
        <f>+'Wohnungsausnutzung Vergleich'!E30</f>
        <v>27.066666666666663</v>
      </c>
      <c r="P33" s="1055">
        <f>+'Wohnungsausnutzung Vergleich'!F30</f>
        <v>28.419999999999998</v>
      </c>
      <c r="Q33" s="1055">
        <f>+'Wohnungsausnutzung Vergleich'!G30</f>
        <v>29.231999999999999</v>
      </c>
      <c r="R33" s="1055">
        <f>+'Wohnungsausnutzung Vergleich'!H30</f>
        <v>35.727999999999994</v>
      </c>
      <c r="S33" s="1057">
        <f>+'Wohnungsausnutzung Vergleich'!I30</f>
        <v>38.975999999999999</v>
      </c>
      <c r="T33" s="1246"/>
    </row>
    <row r="34" spans="1:20" ht="18">
      <c r="A34" s="1385" t="str">
        <f>+'Wohnungsausnutzung Vergleich'!K80</f>
        <v>3,50 m x 4,00 m</v>
      </c>
      <c r="B34" s="1386">
        <f>+'Wohnungsausnutzung Vergleich'!L80</f>
        <v>0</v>
      </c>
      <c r="C34" s="1170">
        <f>+'Wohnungsausnutzung Vergleich'!M80</f>
        <v>0.44407894736842107</v>
      </c>
      <c r="D34" s="1171">
        <f>+'Wohnungsausnutzung Vergleich'!N80</f>
        <v>0.42751196172248807</v>
      </c>
      <c r="E34" s="1171">
        <f>+'Wohnungsausnutzung Vergleich'!O80</f>
        <v>0.47573479152426518</v>
      </c>
      <c r="F34" s="1171">
        <f>+'Wohnungsausnutzung Vergleich'!P80</f>
        <v>0.53732057416267942</v>
      </c>
      <c r="G34" s="1171">
        <f>+'Wohnungsausnutzung Vergleich'!Q80</f>
        <v>0.56756560823546476</v>
      </c>
      <c r="H34" s="1171">
        <f>+'Wohnungsausnutzung Vergleich'!R80</f>
        <v>0.63456937799043067</v>
      </c>
      <c r="I34" s="1172">
        <f>+'Wohnungsausnutzung Vergleich'!S80</f>
        <v>0.64446080235553926</v>
      </c>
      <c r="J34" s="1246"/>
      <c r="K34" s="1385" t="str">
        <f>+'Wohnungsausnutzung Vergleich'!K80</f>
        <v>3,50 m x 4,00 m</v>
      </c>
      <c r="L34" s="1386"/>
      <c r="M34" s="1054">
        <f>+'Wohnungsausnutzung Vergleich'!C31</f>
        <v>50.16</v>
      </c>
      <c r="N34" s="1054">
        <f>+'Wohnungsausnutzung Vergleich'!D31</f>
        <v>31.349999999999998</v>
      </c>
      <c r="O34" s="1054">
        <f>+'Wohnungsausnutzung Vergleich'!E31</f>
        <v>29.26</v>
      </c>
      <c r="P34" s="1054">
        <f>+'Wohnungsausnutzung Vergleich'!F31</f>
        <v>31.349999999999998</v>
      </c>
      <c r="Q34" s="1054">
        <f>+'Wohnungsausnutzung Vergleich'!G31</f>
        <v>27.588000000000001</v>
      </c>
      <c r="R34" s="1054">
        <f>+'Wohnungsausnutzung Vergleich'!H31</f>
        <v>30.095999999999997</v>
      </c>
      <c r="S34" s="1056">
        <f>+'Wohnungsausnutzung Vergleich'!I31</f>
        <v>32.603999999999999</v>
      </c>
      <c r="T34" s="1246"/>
    </row>
    <row r="35" spans="1:20" ht="18">
      <c r="A35" s="1385" t="str">
        <f>+'Wohnungsausnutzung Vergleich'!K81</f>
        <v>3,50 m x 4,50 m</v>
      </c>
      <c r="B35" s="1386">
        <f>+'Wohnungsausnutzung Vergleich'!L81</f>
        <v>0</v>
      </c>
      <c r="C35" s="1173">
        <f>+'Wohnungsausnutzung Vergleich'!M81</f>
        <v>0.39244186046511625</v>
      </c>
      <c r="D35" s="1169">
        <f>+'Wohnungsausnutzung Vergleich'!N81</f>
        <v>0.47225158562367864</v>
      </c>
      <c r="E35" s="1169">
        <f>+'Wohnungsausnutzung Vergleich'!O81</f>
        <v>0.49048625792811834</v>
      </c>
      <c r="F35" s="1169">
        <f>+'Wohnungsausnutzung Vergleich'!P81</f>
        <v>0.55209906372697071</v>
      </c>
      <c r="G35" s="1169">
        <f>+'Wohnungsausnutzung Vergleich'!Q81</f>
        <v>0.51483830553597998</v>
      </c>
      <c r="H35" s="1169">
        <f>+'Wohnungsausnutzung Vergleich'!R81</f>
        <v>0.58456659619450313</v>
      </c>
      <c r="I35" s="1174">
        <f>+'Wohnungsausnutzung Vergleich'!S81</f>
        <v>0.62667371388301618</v>
      </c>
      <c r="J35" s="1246"/>
      <c r="K35" s="1385" t="str">
        <f>+'Wohnungsausnutzung Vergleich'!K81</f>
        <v>3,50 m x 4,50 m</v>
      </c>
      <c r="L35" s="1386"/>
      <c r="M35" s="1054">
        <f>+'Wohnungsausnutzung Vergleich'!C32</f>
        <v>56.76</v>
      </c>
      <c r="N35" s="1054">
        <f>+'Wohnungsausnutzung Vergleich'!D32</f>
        <v>28.38</v>
      </c>
      <c r="O35" s="1054">
        <f>+'Wohnungsausnutzung Vergleich'!E32</f>
        <v>28.38</v>
      </c>
      <c r="P35" s="1054">
        <f>+'Wohnungsausnutzung Vergleich'!F32</f>
        <v>24.8325</v>
      </c>
      <c r="Q35" s="1054">
        <f>+'Wohnungsausnutzung Vergleich'!G32</f>
        <v>25.541999999999998</v>
      </c>
      <c r="R35" s="1054">
        <f>+'Wohnungsausnutzung Vergleich'!H32</f>
        <v>28.380000000000003</v>
      </c>
      <c r="S35" s="1056">
        <f>+'Wohnungsausnutzung Vergleich'!I32</f>
        <v>34.055999999999997</v>
      </c>
      <c r="T35" s="1246"/>
    </row>
    <row r="36" spans="1:20" ht="18">
      <c r="A36" s="1385" t="str">
        <f>+'Wohnungsausnutzung Vergleich'!K82</f>
        <v>3,50 m x 5,00 m</v>
      </c>
      <c r="B36" s="1386">
        <f>+'Wohnungsausnutzung Vergleich'!L82</f>
        <v>0</v>
      </c>
      <c r="C36" s="1173">
        <f>+'Wohnungsausnutzung Vergleich'!M82</f>
        <v>0.46875</v>
      </c>
      <c r="D36" s="1169">
        <f>+'Wohnungsausnutzung Vergleich'!N82</f>
        <v>0.56407828282828287</v>
      </c>
      <c r="E36" s="1169">
        <f>+'Wohnungsausnutzung Vergleich'!O82</f>
        <v>0.65909090909090917</v>
      </c>
      <c r="F36" s="1169">
        <f>+'Wohnungsausnutzung Vergleich'!P82</f>
        <v>0.49458874458874469</v>
      </c>
      <c r="G36" s="1169">
        <f>+'Wohnungsausnutzung Vergleich'!Q82</f>
        <v>0.5415764790764791</v>
      </c>
      <c r="H36" s="1169">
        <f>+'Wohnungsausnutzung Vergleich'!R82</f>
        <v>0.52367424242424254</v>
      </c>
      <c r="I36" s="1174">
        <f>+'Wohnungsausnutzung Vergleich'!S82</f>
        <v>0.62190082644628109</v>
      </c>
      <c r="J36" s="1246"/>
      <c r="K36" s="1385" t="str">
        <f>+'Wohnungsausnutzung Vergleich'!K82</f>
        <v>3,50 m x 5,00 m</v>
      </c>
      <c r="L36" s="1386"/>
      <c r="M36" s="1054">
        <f>+'Wohnungsausnutzung Vergleich'!C33</f>
        <v>47.519999999999996</v>
      </c>
      <c r="N36" s="1054">
        <f>+'Wohnungsausnutzung Vergleich'!D33</f>
        <v>23.759999999999998</v>
      </c>
      <c r="O36" s="1054">
        <f>+'Wohnungsausnutzung Vergleich'!E33</f>
        <v>21.119999999999997</v>
      </c>
      <c r="P36" s="1054">
        <f>+'Wohnungsausnutzung Vergleich'!F33</f>
        <v>27.719999999999995</v>
      </c>
      <c r="Q36" s="1054">
        <f>+'Wohnungsausnutzung Vergleich'!G33</f>
        <v>22.175999999999995</v>
      </c>
      <c r="R36" s="1054">
        <f>+'Wohnungsausnutzung Vergleich'!H33</f>
        <v>31.679999999999996</v>
      </c>
      <c r="S36" s="1056">
        <f>+'Wohnungsausnutzung Vergleich'!I33</f>
        <v>34.847999999999999</v>
      </c>
      <c r="T36" s="1246"/>
    </row>
    <row r="37" spans="1:20" ht="18">
      <c r="A37" s="1385" t="str">
        <f>+'Wohnungsausnutzung Vergleich'!K83</f>
        <v>3,50 m x 5,30 m</v>
      </c>
      <c r="B37" s="1386">
        <f>+'Wohnungsausnutzung Vergleich'!L83</f>
        <v>0</v>
      </c>
      <c r="C37" s="1173">
        <f>+'Wohnungsausnutzung Vergleich'!M83</f>
        <v>0.44117647058823534</v>
      </c>
      <c r="D37" s="1169">
        <f>+'Wohnungsausnutzung Vergleich'!N83</f>
        <v>0.53089720736779566</v>
      </c>
      <c r="E37" s="1169">
        <f>+'Wohnungsausnutzung Vergleich'!O83</f>
        <v>0.6203208556149733</v>
      </c>
      <c r="F37" s="1169">
        <f>+'Wohnungsausnutzung Vergleich'!P83</f>
        <v>0.5430778371954843</v>
      </c>
      <c r="G37" s="1169">
        <f>+'Wohnungsausnutzung Vergleich'!Q83</f>
        <v>0.59467221231927114</v>
      </c>
      <c r="H37" s="1169">
        <f>+'Wohnungsausnutzung Vergleich'!R83</f>
        <v>0.70409982174688068</v>
      </c>
      <c r="I37" s="1174">
        <f>+'Wohnungsausnutzung Vergleich'!S83</f>
        <v>0.61081402257872852</v>
      </c>
      <c r="J37" s="1246"/>
      <c r="K37" s="1385" t="str">
        <f>+'Wohnungsausnutzung Vergleich'!K83</f>
        <v>3,50 m x 5,30 m</v>
      </c>
      <c r="L37" s="1386"/>
      <c r="M37" s="1054">
        <f>+'Wohnungsausnutzung Vergleich'!C34</f>
        <v>50.489999999999995</v>
      </c>
      <c r="N37" s="1054">
        <f>+'Wohnungsausnutzung Vergleich'!D34</f>
        <v>25.244999999999997</v>
      </c>
      <c r="O37" s="1054">
        <f>+'Wohnungsausnutzung Vergleich'!E34</f>
        <v>22.439999999999998</v>
      </c>
      <c r="P37" s="1054">
        <f>+'Wohnungsausnutzung Vergleich'!F34</f>
        <v>25.244999999999997</v>
      </c>
      <c r="Q37" s="1054">
        <f>+'Wohnungsausnutzung Vergleich'!G34</f>
        <v>20.195999999999998</v>
      </c>
      <c r="R37" s="1054">
        <f>+'Wohnungsausnutzung Vergleich'!H34</f>
        <v>23.561999999999998</v>
      </c>
      <c r="S37" s="1056">
        <f>+'Wohnungsausnutzung Vergleich'!I34</f>
        <v>30.293999999999993</v>
      </c>
      <c r="T37" s="1246"/>
    </row>
    <row r="38" spans="1:20" ht="18">
      <c r="A38" s="1385" t="str">
        <f>+'Wohnungsausnutzung Vergleich'!K84</f>
        <v>3,50 m x 5,70 m</v>
      </c>
      <c r="B38" s="1386">
        <f>+'Wohnungsausnutzung Vergleich'!L84</f>
        <v>0</v>
      </c>
      <c r="C38" s="1173">
        <f>+'Wohnungsausnutzung Vergleich'!M84</f>
        <v>0.40909090909090912</v>
      </c>
      <c r="D38" s="1169">
        <f>+'Wohnungsausnutzung Vergleich'!N84</f>
        <v>0.49228650137741048</v>
      </c>
      <c r="E38" s="1169">
        <f>+'Wohnungsausnutzung Vergleich'!O84</f>
        <v>0.57520661157024799</v>
      </c>
      <c r="F38" s="1169">
        <f>+'Wohnungsausnutzung Vergleich'!P84</f>
        <v>0.50358126721763097</v>
      </c>
      <c r="G38" s="1169">
        <f>+'Wohnungsausnutzung Vergleich'!Q84</f>
        <v>0.60376492194674014</v>
      </c>
      <c r="H38" s="1169">
        <f>+'Wohnungsausnutzung Vergleich'!R84</f>
        <v>0.65289256198347123</v>
      </c>
      <c r="I38" s="1174">
        <f>+'Wohnungsausnutzung Vergleich'!S84</f>
        <v>0.63719008264462818</v>
      </c>
      <c r="J38" s="1246"/>
      <c r="K38" s="1385" t="str">
        <f>+'Wohnungsausnutzung Vergleich'!K84</f>
        <v>3,50 m x 5,70 m</v>
      </c>
      <c r="L38" s="1386"/>
      <c r="M38" s="1054">
        <f>+'Wohnungsausnutzung Vergleich'!C35</f>
        <v>54.449999999999996</v>
      </c>
      <c r="N38" s="1054">
        <f>+'Wohnungsausnutzung Vergleich'!D35</f>
        <v>27.224999999999998</v>
      </c>
      <c r="O38" s="1054">
        <f>+'Wohnungsausnutzung Vergleich'!E35</f>
        <v>24.2</v>
      </c>
      <c r="P38" s="1054">
        <f>+'Wohnungsausnutzung Vergleich'!F35</f>
        <v>27.224999999999998</v>
      </c>
      <c r="Q38" s="1054">
        <f>+'Wohnungsausnutzung Vergleich'!G35</f>
        <v>21.779999999999998</v>
      </c>
      <c r="R38" s="1054">
        <f>+'Wohnungsausnutzung Vergleich'!H35</f>
        <v>25.409999999999997</v>
      </c>
      <c r="S38" s="1056">
        <f>+'Wohnungsausnutzung Vergleich'!I35</f>
        <v>29.04</v>
      </c>
      <c r="T38" s="1246"/>
    </row>
    <row r="39" spans="1:20" ht="19" thickBot="1">
      <c r="A39" s="1391" t="str">
        <f>+'Wohnungsausnutzung Vergleich'!K85</f>
        <v>3,50 m x 6,00 m</v>
      </c>
      <c r="B39" s="1392">
        <f>+'Wohnungsausnutzung Vergleich'!L85</f>
        <v>0</v>
      </c>
      <c r="C39" s="1175">
        <f>+'Wohnungsausnutzung Vergleich'!M85</f>
        <v>0.38793103448275867</v>
      </c>
      <c r="D39" s="1176">
        <f>+'Wohnungsausnutzung Vergleich'!N85</f>
        <v>0.46682340647857901</v>
      </c>
      <c r="E39" s="1176">
        <f>+'Wohnungsausnutzung Vergleich'!O85</f>
        <v>0.54545454545454553</v>
      </c>
      <c r="F39" s="1176">
        <f>+'Wohnungsausnutzung Vergleich'!P85</f>
        <v>0.5730407523510973</v>
      </c>
      <c r="G39" s="1176">
        <f>+'Wohnungsausnutzung Vergleich'!Q85</f>
        <v>0.57253570184604685</v>
      </c>
      <c r="H39" s="1176">
        <f>+'Wohnungsausnutzung Vergleich'!R85</f>
        <v>0.6191222570532916</v>
      </c>
      <c r="I39" s="1177">
        <f>+'Wohnungsausnutzung Vergleich'!S85</f>
        <v>0.60423197492163017</v>
      </c>
      <c r="J39" s="1246"/>
      <c r="K39" s="1391" t="str">
        <f>+'Wohnungsausnutzung Vergleich'!K85</f>
        <v>3,50 m x 6,00 m</v>
      </c>
      <c r="L39" s="1392"/>
      <c r="M39" s="1055">
        <f>+'Wohnungsausnutzung Vergleich'!C36</f>
        <v>57.419999999999987</v>
      </c>
      <c r="N39" s="1055">
        <f>+'Wohnungsausnutzung Vergleich'!D36</f>
        <v>28.709999999999994</v>
      </c>
      <c r="O39" s="1055">
        <f>+'Wohnungsausnutzung Vergleich'!E36</f>
        <v>25.519999999999996</v>
      </c>
      <c r="P39" s="1055">
        <f>+'Wohnungsausnutzung Vergleich'!F36</f>
        <v>23.924999999999997</v>
      </c>
      <c r="Q39" s="1055">
        <f>+'Wohnungsausnutzung Vergleich'!G36</f>
        <v>22.967999999999996</v>
      </c>
      <c r="R39" s="1055">
        <f>+'Wohnungsausnutzung Vergleich'!H36</f>
        <v>26.795999999999999</v>
      </c>
      <c r="S39" s="1057">
        <f>+'Wohnungsausnutzung Vergleich'!I36</f>
        <v>30.623999999999995</v>
      </c>
      <c r="T39" s="1246"/>
    </row>
    <row r="40" spans="1:20" ht="18">
      <c r="A40" s="1385" t="str">
        <f>+'Wohnungsausnutzung Vergleich'!K86</f>
        <v>4,00 m x 4,50 m</v>
      </c>
      <c r="B40" s="1386">
        <f>+'Wohnungsausnutzung Vergleich'!L86</f>
        <v>0</v>
      </c>
      <c r="C40" s="1170">
        <f>+'Wohnungsausnutzung Vergleich'!M86</f>
        <v>0.45440636474908203</v>
      </c>
      <c r="D40" s="1171">
        <f>+'Wohnungsausnutzung Vergleich'!N86</f>
        <v>0.54681762545899637</v>
      </c>
      <c r="E40" s="1171">
        <f>+'Wohnungsausnutzung Vergleich'!O86</f>
        <v>0.72705018359853113</v>
      </c>
      <c r="F40" s="1171">
        <f>+'Wohnungsausnutzung Vergleich'!P86</f>
        <v>0.55936352509179932</v>
      </c>
      <c r="G40" s="1171">
        <f>+'Wohnungsausnutzung Vergleich'!Q86</f>
        <v>0.57483825843678971</v>
      </c>
      <c r="H40" s="1171">
        <f>+'Wohnungsausnutzung Vergleich'!R86</f>
        <v>0.63456242350061198</v>
      </c>
      <c r="I40" s="1172">
        <f>+'Wohnungsausnutzung Vergleich'!S86</f>
        <v>0.66621787025703794</v>
      </c>
      <c r="J40" s="1246"/>
      <c r="K40" s="1385" t="str">
        <f>+'Wohnungsausnutzung Vergleich'!K86</f>
        <v>4,00 m x 4,50 m</v>
      </c>
      <c r="L40" s="1386"/>
      <c r="M40" s="1054">
        <f>+'Wohnungsausnutzung Vergleich'!C37</f>
        <v>49.019999999999996</v>
      </c>
      <c r="N40" s="1054">
        <f>+'Wohnungsausnutzung Vergleich'!D37</f>
        <v>24.509999999999998</v>
      </c>
      <c r="O40" s="1054">
        <f>+'Wohnungsausnutzung Vergleich'!E37</f>
        <v>21.786666666666665</v>
      </c>
      <c r="P40" s="1054">
        <f>+'Wohnungsausnutzung Vergleich'!F37</f>
        <v>24.509999999999998</v>
      </c>
      <c r="Q40" s="1054">
        <f>+'Wohnungsausnutzung Vergleich'!G37</f>
        <v>22.875999999999998</v>
      </c>
      <c r="R40" s="1054">
        <f>+'Wohnungsausnutzung Vergleich'!H37</f>
        <v>26.143999999999998</v>
      </c>
      <c r="S40" s="1056">
        <f>+'Wohnungsausnutzung Vergleich'!I37</f>
        <v>32.68</v>
      </c>
      <c r="T40" s="1246"/>
    </row>
    <row r="41" spans="1:20" ht="18">
      <c r="A41" s="1385" t="str">
        <f>+'Wohnungsausnutzung Vergleich'!K87</f>
        <v>4,00 m x 5,00 m</v>
      </c>
      <c r="B41" s="1386">
        <f>+'Wohnungsausnutzung Vergleich'!L87</f>
        <v>0</v>
      </c>
      <c r="C41" s="1173">
        <f>+'Wohnungsausnutzung Vergleich'!M87</f>
        <v>0.4070723684210526</v>
      </c>
      <c r="D41" s="1169">
        <f>+'Wohnungsausnutzung Vergleich'!N87</f>
        <v>0.48985745614035087</v>
      </c>
      <c r="E41" s="1169">
        <f>+'Wohnungsausnutzung Vergleich'!O87</f>
        <v>0.57236842105263164</v>
      </c>
      <c r="F41" s="1169">
        <f>+'Wohnungsausnutzung Vergleich'!P87</f>
        <v>0.61864035087719305</v>
      </c>
      <c r="G41" s="1169">
        <f>+'Wohnungsausnutzung Vergleich'!Q87</f>
        <v>0.72094298245614041</v>
      </c>
      <c r="H41" s="1169">
        <f>+'Wohnungsausnutzung Vergleich'!R87</f>
        <v>0.64967105263157898</v>
      </c>
      <c r="I41" s="1174">
        <f>+'Wohnungsausnutzung Vergleich'!S87</f>
        <v>0.63404605263157898</v>
      </c>
      <c r="J41" s="1246"/>
      <c r="K41" s="1385" t="str">
        <f>+'Wohnungsausnutzung Vergleich'!K87</f>
        <v>4,00 m x 5,00 m</v>
      </c>
      <c r="L41" s="1386"/>
      <c r="M41" s="1054">
        <f>+'Wohnungsausnutzung Vergleich'!C38</f>
        <v>54.72</v>
      </c>
      <c r="N41" s="1054">
        <f>+'Wohnungsausnutzung Vergleich'!D38</f>
        <v>27.36</v>
      </c>
      <c r="O41" s="1054">
        <f>+'Wohnungsausnutzung Vergleich'!E38</f>
        <v>24.319999999999997</v>
      </c>
      <c r="P41" s="1054">
        <f>+'Wohnungsausnutzung Vergleich'!F38</f>
        <v>22.799999999999997</v>
      </c>
      <c r="Q41" s="1054">
        <f>+'Wohnungsausnutzung Vergleich'!G38</f>
        <v>18.239999999999998</v>
      </c>
      <c r="R41" s="1054">
        <f>+'Wohnungsausnutzung Vergleich'!H38</f>
        <v>25.535999999999998</v>
      </c>
      <c r="S41" s="1056">
        <f>+'Wohnungsausnutzung Vergleich'!I38</f>
        <v>29.183999999999997</v>
      </c>
      <c r="T41" s="1246"/>
    </row>
    <row r="42" spans="1:20" ht="18">
      <c r="A42" s="1385" t="str">
        <f>+'Wohnungsausnutzung Vergleich'!K88</f>
        <v>4,00 m x 5,30 m</v>
      </c>
      <c r="B42" s="1386">
        <f>+'Wohnungsausnutzung Vergleich'!L88</f>
        <v>0</v>
      </c>
      <c r="C42" s="1173">
        <f>+'Wohnungsausnutzung Vergleich'!M88</f>
        <v>0.38312693498452011</v>
      </c>
      <c r="D42" s="1169">
        <f>+'Wohnungsausnutzung Vergleich'!N88</f>
        <v>0.46104231166150672</v>
      </c>
      <c r="E42" s="1169">
        <f>+'Wohnungsausnutzung Vergleich'!O88</f>
        <v>0.53869969040247678</v>
      </c>
      <c r="F42" s="1169">
        <f>+'Wohnungsausnutzung Vergleich'!P88</f>
        <v>0.58224974200206403</v>
      </c>
      <c r="G42" s="1169">
        <f>+'Wohnungsausnutzung Vergleich'!Q88</f>
        <v>0.67853457172342624</v>
      </c>
      <c r="H42" s="1169">
        <f>+'Wohnungsausnutzung Vergleich'!R88</f>
        <v>0.61145510835913319</v>
      </c>
      <c r="I42" s="1174">
        <f>+'Wohnungsausnutzung Vergleich'!S88</f>
        <v>0.68199911543564795</v>
      </c>
      <c r="J42" s="1246"/>
      <c r="K42" s="1385" t="str">
        <f>+'Wohnungsausnutzung Vergleich'!K88</f>
        <v>4,00 m x 5,30 m</v>
      </c>
      <c r="L42" s="1386"/>
      <c r="M42" s="1054">
        <f>+'Wohnungsausnutzung Vergleich'!C39</f>
        <v>58.14</v>
      </c>
      <c r="N42" s="1054">
        <f>+'Wohnungsausnutzung Vergleich'!D39</f>
        <v>29.07</v>
      </c>
      <c r="O42" s="1054">
        <f>+'Wohnungsausnutzung Vergleich'!E39</f>
        <v>25.84</v>
      </c>
      <c r="P42" s="1054">
        <f>+'Wohnungsausnutzung Vergleich'!F39</f>
        <v>24.224999999999998</v>
      </c>
      <c r="Q42" s="1054">
        <f>+'Wohnungsausnutzung Vergleich'!G39</f>
        <v>19.38</v>
      </c>
      <c r="R42" s="1054">
        <f>+'Wohnungsausnutzung Vergleich'!H39</f>
        <v>27.131999999999998</v>
      </c>
      <c r="S42" s="1056">
        <f>+'Wohnungsausnutzung Vergleich'!I39</f>
        <v>27.131999999999998</v>
      </c>
      <c r="T42" s="1246"/>
    </row>
    <row r="43" spans="1:20" ht="18">
      <c r="A43" s="1385" t="str">
        <f>+'Wohnungsausnutzung Vergleich'!K89</f>
        <v>4,00 m x 5,70 m</v>
      </c>
      <c r="B43" s="1386">
        <f>+'Wohnungsausnutzung Vergleich'!L89</f>
        <v>0</v>
      </c>
      <c r="C43" s="1173">
        <f>+'Wohnungsausnutzung Vergleich'!M89</f>
        <v>0.35526315789473684</v>
      </c>
      <c r="D43" s="1169">
        <f>+'Wohnungsausnutzung Vergleich'!N89</f>
        <v>0.42751196172248807</v>
      </c>
      <c r="E43" s="1169">
        <f>+'Wohnungsausnutzung Vergleich'!O89</f>
        <v>0.49952153110047848</v>
      </c>
      <c r="F43" s="1169">
        <f>+'Wohnungsausnutzung Vergleich'!P89</f>
        <v>0.53990430622009566</v>
      </c>
      <c r="G43" s="1169">
        <f>+'Wohnungsausnutzung Vergleich'!Q89</f>
        <v>0.62918660287081341</v>
      </c>
      <c r="H43" s="1169">
        <f>+'Wohnungsausnutzung Vergleich'!R89</f>
        <v>0.66148325358851678</v>
      </c>
      <c r="I43" s="1174">
        <f>+'Wohnungsausnutzung Vergleich'!S89</f>
        <v>0.63239917976760085</v>
      </c>
      <c r="J43" s="1246"/>
      <c r="K43" s="1385" t="str">
        <f>+'Wohnungsausnutzung Vergleich'!K89</f>
        <v>4,00 m x 5,70 m</v>
      </c>
      <c r="L43" s="1386"/>
      <c r="M43" s="1054">
        <f>+'Wohnungsausnutzung Vergleich'!C40</f>
        <v>62.699999999999996</v>
      </c>
      <c r="N43" s="1054">
        <f>+'Wohnungsausnutzung Vergleich'!D40</f>
        <v>31.349999999999998</v>
      </c>
      <c r="O43" s="1054">
        <f>+'Wohnungsausnutzung Vergleich'!E40</f>
        <v>27.866666666666664</v>
      </c>
      <c r="P43" s="1054">
        <f>+'Wohnungsausnutzung Vergleich'!F40</f>
        <v>26.125</v>
      </c>
      <c r="Q43" s="1054">
        <f>+'Wohnungsausnutzung Vergleich'!G40</f>
        <v>20.9</v>
      </c>
      <c r="R43" s="1054">
        <f>+'Wohnungsausnutzung Vergleich'!H40</f>
        <v>25.08</v>
      </c>
      <c r="S43" s="1056">
        <f>+'Wohnungsausnutzung Vergleich'!I40</f>
        <v>29.259999999999998</v>
      </c>
      <c r="T43" s="1246"/>
    </row>
    <row r="44" spans="1:20" ht="19" thickBot="1">
      <c r="A44" s="1391" t="str">
        <f>+'Wohnungsausnutzung Vergleich'!K90</f>
        <v>4,00 m x 6,00 m</v>
      </c>
      <c r="B44" s="1392">
        <f>+'Wohnungsausnutzung Vergleich'!L90</f>
        <v>0</v>
      </c>
      <c r="C44" s="1175">
        <f>+'Wohnungsausnutzung Vergleich'!M90</f>
        <v>0.33688747731397456</v>
      </c>
      <c r="D44" s="1176">
        <f>+'Wohnungsausnutzung Vergleich'!N90</f>
        <v>0.4053992740471869</v>
      </c>
      <c r="E44" s="1176">
        <f>+'Wohnungsausnutzung Vergleich'!O90</f>
        <v>0.47368421052631576</v>
      </c>
      <c r="F44" s="1176">
        <f>+'Wohnungsausnutzung Vergleich'!P90</f>
        <v>0.62205081669691475</v>
      </c>
      <c r="G44" s="1176">
        <f>+'Wohnungsausnutzung Vergleich'!Q90</f>
        <v>0.59664246823956446</v>
      </c>
      <c r="H44" s="1176">
        <f>+'Wohnungsausnutzung Vergleich'!R90</f>
        <v>0.62726860254083483</v>
      </c>
      <c r="I44" s="1177">
        <f>+'Wohnungsausnutzung Vergleich'!S90</f>
        <v>0.59968887736582832</v>
      </c>
      <c r="J44" s="1246"/>
      <c r="K44" s="1391" t="str">
        <f>+'Wohnungsausnutzung Vergleich'!K90</f>
        <v>4,00 m x 6,00 m</v>
      </c>
      <c r="L44" s="1392"/>
      <c r="M44" s="1055">
        <f>+'Wohnungsausnutzung Vergleich'!C41</f>
        <v>66.12</v>
      </c>
      <c r="N44" s="1055">
        <f>+'Wohnungsausnutzung Vergleich'!D41</f>
        <v>33.06</v>
      </c>
      <c r="O44" s="1055">
        <f>+'Wohnungsausnutzung Vergleich'!E41</f>
        <v>29.386666666666667</v>
      </c>
      <c r="P44" s="1055">
        <f>+'Wohnungsausnutzung Vergleich'!F41</f>
        <v>22.04</v>
      </c>
      <c r="Q44" s="1055">
        <f>+'Wohnungsausnutzung Vergleich'!G41</f>
        <v>22.04</v>
      </c>
      <c r="R44" s="1055">
        <f>+'Wohnungsausnutzung Vergleich'!H41</f>
        <v>26.448</v>
      </c>
      <c r="S44" s="1057">
        <f>+'Wohnungsausnutzung Vergleich'!I41</f>
        <v>30.856000000000002</v>
      </c>
      <c r="T44" s="1246"/>
    </row>
    <row r="45" spans="1:20" ht="18">
      <c r="A45" s="1385" t="str">
        <f>+'Wohnungsausnutzung Vergleich'!K91</f>
        <v>4,50 m x 5,00 m</v>
      </c>
      <c r="B45" s="1386">
        <f>+'Wohnungsausnutzung Vergleich'!L91</f>
        <v>0</v>
      </c>
      <c r="C45" s="1170">
        <f>+'Wohnungsausnutzung Vergleich'!M91</f>
        <v>0.35973837209302328</v>
      </c>
      <c r="D45" s="1171">
        <f>+'Wohnungsausnutzung Vergleich'!N91</f>
        <v>0.43289728682170553</v>
      </c>
      <c r="E45" s="1171">
        <f>+'Wohnungsausnutzung Vergleich'!O91</f>
        <v>0.5058139534883721</v>
      </c>
      <c r="F45" s="1171">
        <f>+'Wohnungsausnutzung Vergleich'!P91</f>
        <v>0.5313953488372094</v>
      </c>
      <c r="G45" s="1171">
        <f>+'Wohnungsausnutzung Vergleich'!Q91</f>
        <v>0.63711240310077522</v>
      </c>
      <c r="H45" s="1171">
        <f>+'Wohnungsausnutzung Vergleich'!R91</f>
        <v>0.66981589147286835</v>
      </c>
      <c r="I45" s="1172">
        <f>+'Wohnungsausnutzung Vergleich'!S91</f>
        <v>0.56031976744186052</v>
      </c>
      <c r="J45" s="1246"/>
      <c r="K45" s="1385" t="str">
        <f>+'Wohnungsausnutzung Vergleich'!K91</f>
        <v>4,50 m x 5,00 m</v>
      </c>
      <c r="L45" s="1386"/>
      <c r="M45" s="1054">
        <f>+'Wohnungsausnutzung Vergleich'!C42</f>
        <v>61.919999999999987</v>
      </c>
      <c r="N45" s="1054">
        <f>+'Wohnungsausnutzung Vergleich'!D42</f>
        <v>30.959999999999994</v>
      </c>
      <c r="O45" s="1054">
        <f>+'Wohnungsausnutzung Vergleich'!E42</f>
        <v>27.519999999999996</v>
      </c>
      <c r="P45" s="1054">
        <f>+'Wohnungsausnutzung Vergleich'!F42</f>
        <v>25.799999999999997</v>
      </c>
      <c r="Q45" s="1054">
        <f>+'Wohnungsausnutzung Vergleich'!G42</f>
        <v>20.639999999999997</v>
      </c>
      <c r="R45" s="1054">
        <f>+'Wohnungsausnutzung Vergleich'!H42</f>
        <v>24.767999999999994</v>
      </c>
      <c r="S45" s="1056">
        <f>+'Wohnungsausnutzung Vergleich'!I42</f>
        <v>33.023999999999994</v>
      </c>
      <c r="T45" s="1246"/>
    </row>
    <row r="46" spans="1:20" ht="18">
      <c r="A46" s="1385" t="str">
        <f>+'Wohnungsausnutzung Vergleich'!K92</f>
        <v>4,50 m x 5,30 m</v>
      </c>
      <c r="B46" s="1386">
        <f>+'Wohnungsausnutzung Vergleich'!L92</f>
        <v>0</v>
      </c>
      <c r="C46" s="1173">
        <f>+'Wohnungsausnutzung Vergleich'!M92</f>
        <v>0.50786593707250349</v>
      </c>
      <c r="D46" s="1169">
        <f>+'Wohnungsausnutzung Vergleich'!N92</f>
        <v>0.61114911080711365</v>
      </c>
      <c r="E46" s="1169">
        <f>+'Wohnungsausnutzung Vergleich'!O92</f>
        <v>0.4760601915184679</v>
      </c>
      <c r="F46" s="1169">
        <f>+'Wohnungsausnutzung Vergleich'!P92</f>
        <v>0.50013679890560891</v>
      </c>
      <c r="G46" s="1169">
        <f>+'Wohnungsausnutzung Vergleich'!Q92</f>
        <v>0.5996352029183768</v>
      </c>
      <c r="H46" s="1169">
        <f>+'Wohnungsausnutzung Vergleich'!R92</f>
        <v>0.63041495668034664</v>
      </c>
      <c r="I46" s="1174">
        <f>+'Wohnungsausnutzung Vergleich'!S92</f>
        <v>0.6026968927105727</v>
      </c>
      <c r="J46" s="1246"/>
      <c r="K46" s="1385" t="str">
        <f>+'Wohnungsausnutzung Vergleich'!K92</f>
        <v>4,50 m x 5,30 m</v>
      </c>
      <c r="L46" s="1386"/>
      <c r="M46" s="1054">
        <f>+'Wohnungsausnutzung Vergleich'!C43</f>
        <v>43.859999999999992</v>
      </c>
      <c r="N46" s="1054">
        <f>+'Wohnungsausnutzung Vergleich'!D43</f>
        <v>21.929999999999996</v>
      </c>
      <c r="O46" s="1054">
        <f>+'Wohnungsausnutzung Vergleich'!E43</f>
        <v>29.239999999999995</v>
      </c>
      <c r="P46" s="1054">
        <f>+'Wohnungsausnutzung Vergleich'!F43</f>
        <v>27.412499999999994</v>
      </c>
      <c r="Q46" s="1054">
        <f>+'Wohnungsausnutzung Vergleich'!G43</f>
        <v>21.929999999999996</v>
      </c>
      <c r="R46" s="1054">
        <f>+'Wohnungsausnutzung Vergleich'!H43</f>
        <v>26.315999999999995</v>
      </c>
      <c r="S46" s="1056">
        <f>+'Wohnungsausnutzung Vergleich'!I43</f>
        <v>30.701999999999991</v>
      </c>
      <c r="T46" s="1246"/>
    </row>
    <row r="47" spans="1:20" ht="18">
      <c r="A47" s="1385" t="str">
        <f>+'Wohnungsausnutzung Vergleich'!K93</f>
        <v>4,50 m x 5,70 m</v>
      </c>
      <c r="B47" s="1386">
        <f>+'Wohnungsausnutzung Vergleich'!L93</f>
        <v>0</v>
      </c>
      <c r="C47" s="1173">
        <f>+'Wohnungsausnutzung Vergleich'!M93</f>
        <v>0.47093023255813954</v>
      </c>
      <c r="D47" s="1169">
        <f>+'Wohnungsausnutzung Vergleich'!N93</f>
        <v>0.56670190274841437</v>
      </c>
      <c r="E47" s="1169">
        <f>+'Wohnungsausnutzung Vergleich'!O93</f>
        <v>0.44143763213530657</v>
      </c>
      <c r="F47" s="1169">
        <f>+'Wohnungsausnutzung Vergleich'!P93</f>
        <v>0.46376321353065542</v>
      </c>
      <c r="G47" s="1169">
        <f>+'Wohnungsausnutzung Vergleich'!Q93</f>
        <v>0.55602536997885832</v>
      </c>
      <c r="H47" s="1169">
        <f>+'Wohnungsausnutzung Vergleich'!R93</f>
        <v>0.58456659619450324</v>
      </c>
      <c r="I47" s="1174">
        <f>+'Wohnungsausnutzung Vergleich'!S93</f>
        <v>0.55886439142253097</v>
      </c>
      <c r="J47" s="1246"/>
      <c r="K47" s="1385" t="str">
        <f>+'Wohnungsausnutzung Vergleich'!K93</f>
        <v>4,50 m x 5,70 m</v>
      </c>
      <c r="L47" s="1386"/>
      <c r="M47" s="1054">
        <f>+'Wohnungsausnutzung Vergleich'!C44</f>
        <v>47.3</v>
      </c>
      <c r="N47" s="1054">
        <f>+'Wohnungsausnutzung Vergleich'!D44</f>
        <v>23.65</v>
      </c>
      <c r="O47" s="1054">
        <f>+'Wohnungsausnutzung Vergleich'!E44</f>
        <v>31.533333333333331</v>
      </c>
      <c r="P47" s="1054">
        <f>+'Wohnungsausnutzung Vergleich'!F44</f>
        <v>29.5625</v>
      </c>
      <c r="Q47" s="1054">
        <f>+'Wohnungsausnutzung Vergleich'!G44</f>
        <v>23.65</v>
      </c>
      <c r="R47" s="1054">
        <f>+'Wohnungsausnutzung Vergleich'!H44</f>
        <v>28.379999999999995</v>
      </c>
      <c r="S47" s="1056">
        <f>+'Wohnungsausnutzung Vergleich'!I44</f>
        <v>33.11</v>
      </c>
      <c r="T47" s="1246"/>
    </row>
    <row r="48" spans="1:20" ht="19" thickBot="1">
      <c r="A48" s="1391" t="str">
        <f>+'Wohnungsausnutzung Vergleich'!K94</f>
        <v>4,50 m x 6,00 m</v>
      </c>
      <c r="B48" s="1392">
        <f>+'Wohnungsausnutzung Vergleich'!L94</f>
        <v>0</v>
      </c>
      <c r="C48" s="1175">
        <f>+'Wohnungsausnutzung Vergleich'!M94</f>
        <v>0.44657177225340822</v>
      </c>
      <c r="D48" s="1176">
        <f>+'Wohnungsausnutzung Vergleich'!N94</f>
        <v>0.53738973536487578</v>
      </c>
      <c r="E48" s="1176">
        <f>+'Wohnungsausnutzung Vergleich'!O94</f>
        <v>0.55813953488372092</v>
      </c>
      <c r="F48" s="1176">
        <f>+'Wohnungsausnutzung Vergleich'!P94</f>
        <v>0.54971932638332011</v>
      </c>
      <c r="G48" s="1176">
        <f>+'Wohnungsausnutzung Vergleich'!Q94</f>
        <v>0.52726543704891748</v>
      </c>
      <c r="H48" s="1176">
        <f>+'Wohnungsausnutzung Vergleich'!R94</f>
        <v>0.55433039294306341</v>
      </c>
      <c r="I48" s="1177">
        <f>+'Wohnungsausnutzung Vergleich'!S94</f>
        <v>0.61828388131515655</v>
      </c>
      <c r="J48" s="1246"/>
      <c r="K48" s="1391" t="str">
        <f>+'Wohnungsausnutzung Vergleich'!K94</f>
        <v>4,50 m x 6,00 m</v>
      </c>
      <c r="L48" s="1392"/>
      <c r="M48" s="1055">
        <f>+'Wohnungsausnutzung Vergleich'!C45</f>
        <v>49.879999999999995</v>
      </c>
      <c r="N48" s="1055">
        <f>+'Wohnungsausnutzung Vergleich'!D45</f>
        <v>24.939999999999998</v>
      </c>
      <c r="O48" s="1055">
        <f>+'Wohnungsausnutzung Vergleich'!E45</f>
        <v>24.939999999999998</v>
      </c>
      <c r="P48" s="1055">
        <f>+'Wohnungsausnutzung Vergleich'!F45</f>
        <v>24.939999999999998</v>
      </c>
      <c r="Q48" s="1055">
        <f>+'Wohnungsausnutzung Vergleich'!G45</f>
        <v>24.939999999999998</v>
      </c>
      <c r="R48" s="1055">
        <f>+'Wohnungsausnutzung Vergleich'!H45</f>
        <v>29.927999999999997</v>
      </c>
      <c r="S48" s="1057">
        <f>+'Wohnungsausnutzung Vergleich'!I45</f>
        <v>29.927999999999997</v>
      </c>
      <c r="T48" s="1246"/>
    </row>
    <row r="49" spans="1:20">
      <c r="A49" s="1246"/>
      <c r="B49" s="1246"/>
      <c r="C49" s="1246"/>
      <c r="D49" s="1246"/>
      <c r="E49" s="1246"/>
      <c r="F49" s="1246"/>
      <c r="G49" s="1246"/>
      <c r="H49" s="1246"/>
      <c r="I49" s="1246"/>
      <c r="J49" s="1246"/>
      <c r="K49" s="1246"/>
      <c r="L49" s="1246"/>
      <c r="M49" s="1246"/>
      <c r="N49" s="1246"/>
      <c r="O49" s="1246"/>
      <c r="P49" s="1246"/>
      <c r="Q49" s="1246"/>
      <c r="R49" s="1246"/>
      <c r="S49" s="1246"/>
      <c r="T49" s="1246"/>
    </row>
    <row r="50" spans="1:20" ht="18">
      <c r="A50" s="1246"/>
      <c r="B50" s="1052" t="str">
        <f>+'Wohnungsausnutzung Vergleich'!L96</f>
        <v>Mittelwert</v>
      </c>
      <c r="C50" s="1294">
        <f>+'Wohnungsausnutzung Vergleich'!M96</f>
        <v>0.57378425099120478</v>
      </c>
      <c r="D50" s="1050"/>
      <c r="E50" s="1050" t="str">
        <f>+'Wohnungsausnutzung Vergleich'!O96</f>
        <v>Median</v>
      </c>
      <c r="F50" s="1294">
        <f>+'Wohnungsausnutzung Vergleich'!P96</f>
        <v>0.57423201777907795</v>
      </c>
      <c r="G50" s="1051"/>
      <c r="H50" s="1050" t="str">
        <f>+'Wohnungsausnutzung Vergleich'!R96</f>
        <v>Modualwert</v>
      </c>
      <c r="I50" s="1295">
        <f>+'Wohnungsausnutzung Vergleich'!S96</f>
        <v>0.49228650137741048</v>
      </c>
      <c r="J50" s="1246"/>
      <c r="K50" s="1246"/>
      <c r="L50" s="1052" t="str">
        <f>+'Wohnungsausnutzung Vergleich'!B47</f>
        <v>Mittelwert</v>
      </c>
      <c r="M50" s="1050">
        <f>+'Wohnungsausnutzung Vergleich'!C47</f>
        <v>28.935195205479488</v>
      </c>
      <c r="N50" s="1050"/>
      <c r="O50" s="1050" t="str">
        <f>+'Wohnungsausnutzung Vergleich'!E47</f>
        <v>Median</v>
      </c>
      <c r="P50" s="1050">
        <f>+'Wohnungsausnutzung Vergleich'!F47</f>
        <v>26.698749999999997</v>
      </c>
      <c r="Q50" s="1051"/>
      <c r="R50" s="1050" t="str">
        <f>+'Wohnungsausnutzung Vergleich'!H47</f>
        <v>Modualwert</v>
      </c>
      <c r="S50" s="1049">
        <f>+'Wohnungsausnutzung Vergleich'!I47</f>
        <v>23.519999999999996</v>
      </c>
      <c r="T50" s="1246"/>
    </row>
    <row r="51" spans="1:20">
      <c r="A51" s="1246"/>
      <c r="B51" s="1246"/>
      <c r="C51" s="1246"/>
      <c r="D51" s="1246"/>
      <c r="E51" s="1246"/>
      <c r="F51" s="1246"/>
      <c r="G51" s="1246"/>
      <c r="H51" s="1246"/>
      <c r="I51" s="1246"/>
      <c r="J51" s="1246"/>
      <c r="K51" s="1246"/>
      <c r="L51" s="1246"/>
      <c r="M51" s="1246"/>
      <c r="N51" s="1246"/>
      <c r="O51" s="1246"/>
      <c r="P51" s="1246"/>
      <c r="Q51" s="1246"/>
      <c r="R51" s="1246"/>
      <c r="S51" s="1246"/>
      <c r="T51" s="1246"/>
    </row>
  </sheetData>
  <sheetProtection algorithmName="SHA-512" hashValue="KlbNfKX8SXBIToVEfiCirnGoPzT47Ge9iwtc6NcjAQi5ZWrgn4wurxfH62N8jZ4E5lnRKw56/Us/w9hZrPBNYQ==" saltValue="bBXj1yDQCMNkICXmJd2iEA==" spinCount="100000" sheet="1" objects="1" scenarios="1"/>
  <mergeCells count="86">
    <mergeCell ref="K46:L46"/>
    <mergeCell ref="K47:L47"/>
    <mergeCell ref="K48:L48"/>
    <mergeCell ref="K41:L41"/>
    <mergeCell ref="K42:L42"/>
    <mergeCell ref="K43:L43"/>
    <mergeCell ref="K44:L44"/>
    <mergeCell ref="K45:L45"/>
    <mergeCell ref="K36:L36"/>
    <mergeCell ref="K37:L37"/>
    <mergeCell ref="K38:L38"/>
    <mergeCell ref="K39:L39"/>
    <mergeCell ref="K40:L40"/>
    <mergeCell ref="K31:L31"/>
    <mergeCell ref="K32:L32"/>
    <mergeCell ref="K33:L33"/>
    <mergeCell ref="K34:L34"/>
    <mergeCell ref="K35:L35"/>
    <mergeCell ref="K26:L26"/>
    <mergeCell ref="K27:L27"/>
    <mergeCell ref="K28:L28"/>
    <mergeCell ref="K29:L29"/>
    <mergeCell ref="K30:L30"/>
    <mergeCell ref="K21:L21"/>
    <mergeCell ref="K22:L22"/>
    <mergeCell ref="K23:L23"/>
    <mergeCell ref="K24:L24"/>
    <mergeCell ref="K25:L25"/>
    <mergeCell ref="K16:L16"/>
    <mergeCell ref="K17:L17"/>
    <mergeCell ref="K18:L18"/>
    <mergeCell ref="K19:L19"/>
    <mergeCell ref="K20:L20"/>
    <mergeCell ref="K11:L11"/>
    <mergeCell ref="K12:L12"/>
    <mergeCell ref="K13:L13"/>
    <mergeCell ref="K14:L14"/>
    <mergeCell ref="K15:L15"/>
    <mergeCell ref="K6:L6"/>
    <mergeCell ref="K7:L7"/>
    <mergeCell ref="K8:L8"/>
    <mergeCell ref="K9:L9"/>
    <mergeCell ref="K10:L10"/>
    <mergeCell ref="A48:B48"/>
    <mergeCell ref="A42:B42"/>
    <mergeCell ref="A43:B43"/>
    <mergeCell ref="A44:B44"/>
    <mergeCell ref="A45:B45"/>
    <mergeCell ref="A46:B46"/>
    <mergeCell ref="A47:B47"/>
    <mergeCell ref="A41:B41"/>
    <mergeCell ref="A30:B30"/>
    <mergeCell ref="A31:B31"/>
    <mergeCell ref="A32:B32"/>
    <mergeCell ref="A33:B33"/>
    <mergeCell ref="A34:B34"/>
    <mergeCell ref="A35:B35"/>
    <mergeCell ref="A36:B36"/>
    <mergeCell ref="A37:B37"/>
    <mergeCell ref="A38:B38"/>
    <mergeCell ref="A39:B39"/>
    <mergeCell ref="A40:B40"/>
    <mergeCell ref="A29:B29"/>
    <mergeCell ref="A18:B18"/>
    <mergeCell ref="A19:B19"/>
    <mergeCell ref="A20:B20"/>
    <mergeCell ref="A21:B21"/>
    <mergeCell ref="A22:B22"/>
    <mergeCell ref="A23:B23"/>
    <mergeCell ref="A24:B24"/>
    <mergeCell ref="A25:B25"/>
    <mergeCell ref="A26:B26"/>
    <mergeCell ref="A27:B27"/>
    <mergeCell ref="A28:B28"/>
    <mergeCell ref="A17:B17"/>
    <mergeCell ref="A6:B6"/>
    <mergeCell ref="A7:B7"/>
    <mergeCell ref="A8:B8"/>
    <mergeCell ref="A9:B9"/>
    <mergeCell ref="A10:B10"/>
    <mergeCell ref="A11:B11"/>
    <mergeCell ref="A12:B12"/>
    <mergeCell ref="A13:B13"/>
    <mergeCell ref="A14:B14"/>
    <mergeCell ref="A15:B15"/>
    <mergeCell ref="A16:B16"/>
  </mergeCells>
  <conditionalFormatting sqref="C7:G48 H8:I48">
    <cfRule type="colorScale" priority="24">
      <colorScale>
        <cfvo type="min"/>
        <cfvo type="percentile" val="50"/>
        <cfvo type="max"/>
        <color rgb="FFF8696B"/>
        <color rgb="FFFFEB84"/>
        <color rgb="FF63BE7B"/>
      </colorScale>
    </cfRule>
  </conditionalFormatting>
  <conditionalFormatting sqref="C7:I48">
    <cfRule type="colorScale" priority="23">
      <colorScale>
        <cfvo type="min"/>
        <cfvo type="percentile" val="50"/>
        <cfvo type="max"/>
        <color rgb="FFF8696B"/>
        <color rgb="FFFCFCFF"/>
        <color rgb="FF5A8AC6"/>
      </colorScale>
    </cfRule>
  </conditionalFormatting>
  <conditionalFormatting sqref="M7:S12">
    <cfRule type="colorScale" priority="22">
      <colorScale>
        <cfvo type="min"/>
        <cfvo type="max"/>
        <color rgb="FFF8696B"/>
        <color rgb="FFFCFCFF"/>
      </colorScale>
    </cfRule>
  </conditionalFormatting>
  <conditionalFormatting sqref="M7:S18 M20:S25 M27:S32 M34:S38 M40:S43 M45:S47">
    <cfRule type="colorScale" priority="21">
      <colorScale>
        <cfvo type="min"/>
        <cfvo type="max"/>
        <color rgb="FFFCFCFF"/>
        <color rgb="FFF8696B"/>
      </colorScale>
    </cfRule>
    <cfRule type="colorScale" priority="20">
      <colorScale>
        <cfvo type="min"/>
        <cfvo type="percentile" val="50"/>
        <cfvo type="max"/>
        <color rgb="FF5A8AC6"/>
        <color rgb="FFFCFCFF"/>
        <color rgb="FFF8696B"/>
      </colorScale>
    </cfRule>
  </conditionalFormatting>
  <conditionalFormatting sqref="M7:S48">
    <cfRule type="colorScale" priority="1">
      <colorScale>
        <cfvo type="min"/>
        <cfvo type="percentile" val="50"/>
        <cfvo type="max"/>
        <color rgb="FF5A8AC6"/>
        <color rgb="FFFCFCFF"/>
        <color rgb="FFF8696B"/>
      </colorScale>
    </cfRule>
  </conditionalFormatting>
  <conditionalFormatting sqref="M19:S19">
    <cfRule type="colorScale" priority="19">
      <colorScale>
        <cfvo type="min"/>
        <cfvo type="max"/>
        <color rgb="FFF8696B"/>
        <color rgb="FFFCFCFF"/>
      </colorScale>
    </cfRule>
    <cfRule type="colorScale" priority="18">
      <colorScale>
        <cfvo type="min"/>
        <cfvo type="max"/>
        <color rgb="FFFCFCFF"/>
        <color rgb="FFF8696B"/>
      </colorScale>
    </cfRule>
    <cfRule type="colorScale" priority="17">
      <colorScale>
        <cfvo type="min"/>
        <cfvo type="percentile" val="50"/>
        <cfvo type="max"/>
        <color rgb="FF5A8AC6"/>
        <color rgb="FFFCFCFF"/>
        <color rgb="FFF8696B"/>
      </colorScale>
    </cfRule>
  </conditionalFormatting>
  <conditionalFormatting sqref="M26:S26">
    <cfRule type="colorScale" priority="16">
      <colorScale>
        <cfvo type="min"/>
        <cfvo type="max"/>
        <color rgb="FFF8696B"/>
        <color rgb="FFFCFCFF"/>
      </colorScale>
    </cfRule>
    <cfRule type="colorScale" priority="15">
      <colorScale>
        <cfvo type="min"/>
        <cfvo type="max"/>
        <color rgb="FFFCFCFF"/>
        <color rgb="FFF8696B"/>
      </colorScale>
    </cfRule>
    <cfRule type="colorScale" priority="14">
      <colorScale>
        <cfvo type="min"/>
        <cfvo type="percentile" val="50"/>
        <cfvo type="max"/>
        <color rgb="FF5A8AC6"/>
        <color rgb="FFFCFCFF"/>
        <color rgb="FFF8696B"/>
      </colorScale>
    </cfRule>
  </conditionalFormatting>
  <conditionalFormatting sqref="M33:S33">
    <cfRule type="colorScale" priority="13">
      <colorScale>
        <cfvo type="min"/>
        <cfvo type="max"/>
        <color rgb="FFF8696B"/>
        <color rgb="FFFCFCFF"/>
      </colorScale>
    </cfRule>
    <cfRule type="colorScale" priority="12">
      <colorScale>
        <cfvo type="min"/>
        <cfvo type="max"/>
        <color rgb="FFFCFCFF"/>
        <color rgb="FFF8696B"/>
      </colorScale>
    </cfRule>
    <cfRule type="colorScale" priority="11">
      <colorScale>
        <cfvo type="min"/>
        <cfvo type="percentile" val="50"/>
        <cfvo type="max"/>
        <color rgb="FF5A8AC6"/>
        <color rgb="FFFCFCFF"/>
        <color rgb="FFF8696B"/>
      </colorScale>
    </cfRule>
  </conditionalFormatting>
  <conditionalFormatting sqref="M39:S39">
    <cfRule type="colorScale" priority="8">
      <colorScale>
        <cfvo type="min"/>
        <cfvo type="percentile" val="50"/>
        <cfvo type="max"/>
        <color rgb="FF5A8AC6"/>
        <color rgb="FFFCFCFF"/>
        <color rgb="FFF8696B"/>
      </colorScale>
    </cfRule>
    <cfRule type="colorScale" priority="10">
      <colorScale>
        <cfvo type="min"/>
        <cfvo type="max"/>
        <color rgb="FFF8696B"/>
        <color rgb="FFFCFCFF"/>
      </colorScale>
    </cfRule>
    <cfRule type="colorScale" priority="9">
      <colorScale>
        <cfvo type="min"/>
        <cfvo type="max"/>
        <color rgb="FFFCFCFF"/>
        <color rgb="FFF8696B"/>
      </colorScale>
    </cfRule>
  </conditionalFormatting>
  <conditionalFormatting sqref="M44:S44">
    <cfRule type="colorScale" priority="6">
      <colorScale>
        <cfvo type="min"/>
        <cfvo type="max"/>
        <color rgb="FFFCFCFF"/>
        <color rgb="FFF8696B"/>
      </colorScale>
    </cfRule>
    <cfRule type="colorScale" priority="5">
      <colorScale>
        <cfvo type="min"/>
        <cfvo type="percentile" val="50"/>
        <cfvo type="max"/>
        <color rgb="FF5A8AC6"/>
        <color rgb="FFFCFCFF"/>
        <color rgb="FFF8696B"/>
      </colorScale>
    </cfRule>
    <cfRule type="colorScale" priority="7">
      <colorScale>
        <cfvo type="min"/>
        <cfvo type="max"/>
        <color rgb="FFF8696B"/>
        <color rgb="FFFCFCFF"/>
      </colorScale>
    </cfRule>
  </conditionalFormatting>
  <conditionalFormatting sqref="M48:S48">
    <cfRule type="colorScale" priority="3">
      <colorScale>
        <cfvo type="min"/>
        <cfvo type="max"/>
        <color rgb="FFFCFCFF"/>
        <color rgb="FFF8696B"/>
      </colorScale>
    </cfRule>
    <cfRule type="colorScale" priority="2">
      <colorScale>
        <cfvo type="min"/>
        <cfvo type="percentile" val="50"/>
        <cfvo type="max"/>
        <color rgb="FF5A8AC6"/>
        <color rgb="FFFCFCFF"/>
        <color rgb="FFF8696B"/>
      </colorScale>
    </cfRule>
    <cfRule type="colorScale" priority="4">
      <colorScale>
        <cfvo type="min"/>
        <cfvo type="max"/>
        <color rgb="FFF8696B"/>
        <color rgb="FFFCFCFF"/>
      </colorScale>
    </cfRule>
  </conditionalFormatting>
  <pageMargins left="0.7" right="0.7" top="0.75" bottom="0.75" header="0.3" footer="0.3"/>
  <pageSetup paperSize="8" orientation="landscape" horizontalDpi="0" verticalDpi="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Tabelle6">
    <tabColor rgb="FFFFFF99"/>
  </sheetPr>
  <dimension ref="A1:CU144"/>
  <sheetViews>
    <sheetView zoomScale="90" zoomScaleNormal="90" zoomScalePageLayoutView="120" workbookViewId="0">
      <selection activeCell="N49" sqref="N49"/>
    </sheetView>
  </sheetViews>
  <sheetFormatPr baseColWidth="10" defaultColWidth="12.5" defaultRowHeight="14"/>
  <cols>
    <col min="1" max="1" width="30.6640625" style="703" bestFit="1" customWidth="1"/>
    <col min="2" max="2" width="12.5" style="703" customWidth="1"/>
    <col min="3" max="8" width="12.5" style="703" bestFit="1" customWidth="1"/>
    <col min="9" max="9" width="17.33203125" style="704" customWidth="1"/>
    <col min="10" max="16384" width="12.5" style="703"/>
  </cols>
  <sheetData>
    <row r="1" spans="1:29">
      <c r="A1" s="702" t="s">
        <v>1268</v>
      </c>
      <c r="D1" s="702" t="s">
        <v>1640</v>
      </c>
      <c r="H1" s="702" t="s">
        <v>1776</v>
      </c>
      <c r="L1" s="702" t="s">
        <v>2212</v>
      </c>
      <c r="P1" s="702" t="s">
        <v>1777</v>
      </c>
      <c r="U1" s="702" t="s">
        <v>1658</v>
      </c>
      <c r="Z1" s="702" t="s">
        <v>1326</v>
      </c>
    </row>
    <row r="2" spans="1:29">
      <c r="A2" s="703" t="s">
        <v>1595</v>
      </c>
      <c r="B2" s="705">
        <f>'Eingabe und Ergebnis'!$B$24</f>
        <v>50</v>
      </c>
      <c r="D2" s="703" t="s">
        <v>1641</v>
      </c>
      <c r="F2" s="855">
        <f>IF(AND($B$7=$B$26,$B$8=$B$27),$B51)+IF(AND($B$7=$C$26,$B$8=$C$27),$C51)+IF(AND($B$7=$D$26,$B$8=$D$27),$D51)+IF(AND($B$7=$E$26,$B$8=$E$27),$E51)+IF(AND($B$7=$F$26,$B$8=$F$27),$F51)+IF(AND($B$7=$G$26,$B$8=$G$27),$G51)+IF(AND($B$7=$H$26,$B$8=$H$27),$H51)+IF(AND($B$7=$I$26,$B$8=$I$27),$I51)+IF(AND($B$7=$J$26,$B$8=$J$27),$J51)+IF(AND($B$7=$K$26,$B$8=$K$27),$K51)+IF(AND($B$7=$L$26,$B$8=$L$27),$L51)+IF(AND($B$7=$M$26,$B$8=$M$27),$M51)+IF(AND($B$7=$N$26,$B$8=$N$27),$N51)+IF(AND($B$7=$O$26,$B$8=$O$27),$O51)+IF(AND($B$7=$P$26,$B$8=$P$27),$P51)+IF(AND($B$7=$Q$26,$B$8=$Q$27),$Q51)+IF(AND($B$7=$R$26,$B$8=$R$27),$R51)+IF(AND($B$7=$S$26,$B$8=$S$27),$S51)+IF(AND($B$7=$T$26,$B$8=$T$27),$T51)+IF(AND($B$7=$U$26,$B$8=$U$27),$U51)+IF(AND($B$7=$V$26,$B$8=$V$27),$V51)+IF(AND($B$7=$W$26,$B$8=$W$27),$W51)+IF(AND($B$7=$X$26,$B$8=$X$27),$X51)+IF(AND($B$7=$Y$26,$B$8=$Y$27),$Y51)+IF(AND($B$7=$Z$26,$B$8=$Z$27),$Z51)+IF(AND($B$7=$AA$26,$B$8=$AA$27),$AA51)+IF(AND($B$7=$AB$26,$B$8=$AB$27),$AB51)+IF(AND($B$7=$AC$26,$B$8=$AC$27),$AC51)+IF(AND($B$7=$AD$26,$B$8=$AD$27),$AD51)+IF(AND($B$7=$AE$26,$B$8=$AE$27),$AE51)+IF(AND($B$7=$AF$26,$B$8=$AF$27),$AF51)+IF(AND($B$7=$AG$26,$B$8=$AG$27),$AG51)+IF(AND($B$7=$AH$26,$B$8=$AH$27),$AH51)+IF(AND($B$7=$AI$26,$B$8=$AI$27),$AI51)+IF(AND($B$7=$AJ$26,$B$8=$AJ$27),$AJ51)+IF(AND($B$7=$AK$26,$B$8=$AK$27),$AK51)+IF(AND($B$7=$AL$26,$B$8=$AL$27),$AL51)+IF(AND($B$7=$AM$26,$B$8=$AM$27),$AM51)+IF(AND($B$7=$AN$26,$B$8=$AN$27),$AN51)+IF(AND($B$7=$AO$26,$B$8=$AO$27),$AO51)+IF(AND($B$7=$AP$26,$B$8=$AP$27),$AP51)+IF(AND($B$7=$AQ$26,$B$8=$AQ$27),$AQ51)+IF(AND($B$7=$AR$26,$B$8=$AR$27),$AR51)+IF(AND($B$7=$AS$26,$B$8=$AS$27),$AS51)+IF(AND($B$7=$AT$26,$B$8=$AT$27),$AT51)+IF(AND($B$7=$AU$26,$B$8=$AU$27),$AU51)+IF(AND($B$7=$AV$26,$B$8=$AV$27),$AV51)+IF(AND($B$7=$AW$26,$B$8=$AW$27),$AW51)+IF(AND($B$7=$AX$26,$B$8=$AX$27),$AX51)+IF(AND($B$7=$AY$26,$B$8=$AY$27),$AY51)+IF(AND($B$7=$AZ$26,$B$8=$AZ$27),$AZ51)+IF(AND($B$7=$BA$26,$B$8=$BA$27),$BA51)+IF(AND($B$7=$BB$26,$B$8=$BB$27),$BB51)+IF(AND($B$7=$BC$26,$B$8=$BC$27),$BC51)+IF(AND($B$7=$BD$26,$B$8=$BD$27),$BD51)+IF(AND($B$7=$BE$26,$B$8=$BE$27),$BE51)+IF(AND($B$7=$BF$26,$B$8=$BF$27),$BF51)+IF(AND($B$7=$BG$26,$B$8=$BG$27),$BG51)+IF(AND($B$7=$BH$26,$B$8=$BH$27),$BH51)+IF(AND($B$7=$BI$26,$B$8=$BI$27),$BI51)+IF(AND($B$7=$BJ$26,$B$8=$BJ$27),$BJ51)+IF(AND($B$7=$BK$26,$B$8=$BK$27),$BK51)+IF(AND($B$7=$BL$26,$B$8=$BL$27),$BL51)+IF(AND($B$7=$BM$26,$B$8=$BM$27),$BM51)+IF(AND($B$7=$BN$26,$B$8=$BN$27),$BN51)+IF(AND($B$7=$BO$26,$B$8=$BO$27),$BO51)+IF(AND($B$7=$BP$26,$B$8=$BP$27),$BP51)+IF(AND($B$7=$BQ$26,$B$8=$BQ$27),$BQ51)+IF(AND($B$7=$BR$26,$B$8=$BR$27),$BR51)+IF(AND($B$7=$BS$26,$B$8=$BS$27),$BS51)+IF(AND($B$7=$BT$26,$B$8=$BT$27),$BT51)+IF(AND($B$7=$BU$26,$B$8=$BU$27),$BU51)+IF(AND($B$7=$BV$26,$B$8=$BV$27),$BV51)+IF(AND($B$7=$BW$26,$B$8=$BW$27),$BW51)+IF(AND($B$7=$BX$26,$B$8=$BX$27),$BX51)+IF(AND($B$7=$BY$26,$B$8=$BY$27),$BY51)+IF(AND($B$7=$BZ$26,$B$8=$BZ$27),$BZ51)+IF(AND($B$7=$CA$26,$B$8=$CA$27),"-")+IF(AND($B$7=$CB$26,$B$8=$CB$27),"-")+IF(AND($B$7=$CC$26,$B$8=$CC$27),$CC51)+IF(AND($B$7=$CD$26,$B$8=$CD$27),$CD51)+IF(AND($B$7=$CE$26,$B$8=$CE$27),$CE51)+IF(AND($B$7=$CF$26,$B$8=$CF$27),$CF51)+IF(AND($B$7=$CG$26,$B$8=$CG$27),$CG51)+IF(AND($B$7=$CH$26,$B$8=$CH$27),$CH51)+IF(AND($B$7=$CI$26,$B$8=$CI$27),$CI51)+IF(AND($B$7=$CJ$26,$B$8=$CJ$27),"-")+IF(AND($B$7=$CK$26,$B$8=$CK$27),"-")+IF(AND($B$7=$CL$26,$B$8=$CL$27),$CL51)+IF(AND($B$7=$CM$26,$B$8=$CM$27),$CM51)+IF(AND($B$7=$CN$26,$B$8=$CN$27),$CN51)+IF(AND($B$7=$CO$26,$B$8=$CO$27),$CO51)+IF(AND($B$7=$CP$26,$B$8=$CP$27),$CP51)+IF(AND($B$7=$CQ$26,$B$8=$CQ$27),$CQ51)+IF(AND($B$7=$CR$26,$B$8=$CR$27),$CR51)+IF(AND($B$7=$CS$26,$B$8=$CS$27),"-")+IF(AND($B$7=$CT$26,$B$8=$CT$27),"-")</f>
        <v>2385</v>
      </c>
      <c r="H2" s="703" t="s">
        <v>1653</v>
      </c>
      <c r="I2" s="703"/>
      <c r="J2" s="854">
        <f ca="1">F6*B5*F3*F4</f>
        <v>8192.4749999999985</v>
      </c>
      <c r="L2" s="703" t="s">
        <v>1321</v>
      </c>
      <c r="N2" s="855">
        <f>F3*F4</f>
        <v>476.99999999999994</v>
      </c>
      <c r="P2" s="703" t="s">
        <v>1254</v>
      </c>
      <c r="S2" s="705">
        <f ca="1">(B7-X20/1000)*55%</f>
        <v>2.7389999999999999</v>
      </c>
      <c r="U2" s="703" t="s">
        <v>967</v>
      </c>
      <c r="AB2" s="703" t="s">
        <v>1697</v>
      </c>
      <c r="AC2" s="703" t="s">
        <v>1698</v>
      </c>
    </row>
    <row r="3" spans="1:29">
      <c r="A3" s="703" t="s">
        <v>1596</v>
      </c>
      <c r="B3" s="705">
        <f>'Eingabe und Ergebnis'!$B$25</f>
        <v>14.2</v>
      </c>
      <c r="D3" s="704" t="s">
        <v>1644</v>
      </c>
      <c r="F3" s="705">
        <f>IF($B$7=B66,B68)+IF($B$7=C66,C68)+IF($B$7=D66,D68)+IF($B$7=E66,E68)+IF($B$7=F66,F68)+IF($B$7=G66,G68)+IF($B$7=H66,H68)+IF($B$7=I66,I68)+IF($B$7=J66,J68)+IF($B$7=K66,K68)</f>
        <v>47.699999999999996</v>
      </c>
      <c r="H3" s="703" t="s">
        <v>1654</v>
      </c>
      <c r="I3" s="703"/>
      <c r="J3" s="855">
        <f ca="1">(2*F3*F4)+(2*J5*F3)+(2*J5*F4)</f>
        <v>2935.9949999999999</v>
      </c>
      <c r="L3" s="703" t="s">
        <v>1323</v>
      </c>
      <c r="N3" s="855">
        <f>F3*F4</f>
        <v>476.99999999999994</v>
      </c>
      <c r="P3" s="703" t="s">
        <v>1694</v>
      </c>
      <c r="S3" s="855">
        <f>F11*B15</f>
        <v>2.6500000000000004</v>
      </c>
      <c r="V3" s="703" t="s">
        <v>1528</v>
      </c>
      <c r="X3" s="861">
        <f>IF(AND($B$7=$B$26,$B$8=$B$27),Datenbank!$C10)+IF(AND($B$7=$C$26,$B$8=$C$27),Datenbank!$D10)+IF(AND($B$7=$D$26,$B$8=$D$27),Datenbank!$E10)+IF(AND($B$7=$E$26,$B$8=$E$27),Datenbank!$F10)+IF(AND($B$7=$F$26,$B$8=$F$27),Datenbank!$G10)+IF(AND($B$7=$G$26,$B$8=$G$27),Datenbank!$H10)+IF(AND($B$7=$H$26,$B$8=$H$27),Datenbank!$I10)+IF(AND($B$7=$I$26,$B$8=$I$27),Datenbank!$S10)+IF(AND($B$7=$J$26,$B$8=$J$27),Datenbank!$AB10)+IF(AND($B$7=$K$26,$B$8=$K$27),Datenbank!$L10)+IF(AND($B$7=$L$26,$B$8=$L$27),Datenbank!$M10)+IF(AND($B$7=$M$26,$B$8=$M$27),Datenbank!N10)+IF(AND($B$7=$N$26,$B$8=$N$27),Datenbank!$O10)+IF(AND($B$7=$O$26,$B$8=$O$27),Datenbank!$P10)+IF(AND($B$7=$P$26,$B$8=$P$27),Datenbank!$Q10)+IF(AND($B$7=$Q$26,$B$8=$Q$27),Datenbank!$R10)+IF(AND($B$7=$R$26,$B$8=$R$27),Datenbank!$S10)+IF(AND($B$7=$S$26,$B$8=$S$27),Datenbank!$AC10)+IF(AND($B$7=$T$26,$B$8=$T$27),Datenbank!$U10)+IF(AND($B$7=$U$26,$B$8=$U$27),Datenbank!$V10)+IF(AND($B$7=$V$26,$B$8=$V$27),Datenbank!$W10)+IF(AND($B$7=$W$26,$B$8=$W$27),Datenbank!$X10)+IF(AND($B$7=$X$26,$B$8=$X$27),Datenbank!$Y10)+IF(AND($B$7=$Y$26,$B$8=$Y$27),Datenbank!$Z10)+IF(AND($B$7=$Z$26,$B$8=$Z$27),Datenbank!$AA10)+IF(AND($B$7=$AA$26,$B$8=$AA$27),Datenbank!$AB10)+IF(AND($B$7=$AB$26,$B$8=$AB$27),Datenbank!$AC10)+IF(AND($B$7=$AC$26,$B$8=$AC$27),Datenbank!$AD10)+IF(AND($B$7=$AD$26,$B$8=$AD$27),Datenbank!$AE10)+IF(AND($B$7=$AE$26,$B$8=$AE$27),Datenbank!$AF10)+IF(AND($B$7=$AF$26,$B$8=$AF$27),Datenbank!$AG10)+IF(AND($B$7=$AG$26,$B$8=$AG$27),Datenbank!$AH10)+IF(AND($B$7=$AH$26,$B$8=$AH$27),Datenbank!$AI10)+IF(AND($B$7=$AI$26,$B$8=$AI$27),Datenbank!$AJ10)+IF(AND($B$7=$AJ$26,$B$8=$AJ$27),Datenbank!$L10)+IF(AND($B$7=$AK$26,$B$8=$AK$27),Datenbank!$U10)+IF(AND($B$7=$AL$26,$B$8=$AL$27),Datenbank!$AD10)+IF(AND($B$7=$AM$26,$B$8=$AM$27),Datenbank!$AN10)+IF(AND($B$7=$AN$26,$B$8=$AN$27),Datenbank!$AO10)+IF(AND($B$7=$AO$26,$B$8=$AO$27),Datenbank!$AP10)+IF(AND($B$7=$AP$26,$B$8=$AP$27),Datenbank!$AQ10)+IF(AND($B$7=$AQ$26,$B$8=$AQ$27),Datenbank!$AR10)+IF(AND($B$7=$AR$26,$B$8=$AR$27),Datenbank!$AS10)+IF(AND($B$7=$AS$26,$B$8=$AS$27),Datenbank!$M10)+IF(AND($B$7=$AT$26,$B$8=$AT$27),Datenbank!$V10)+IF(AND($B$7=$AU$26,$B$8=$AU$27),Datenbank!$AE10)+IF(AND($B$7=$AV$26,$B$8=$AV$27),Datenbank!$AN10)+IF(AND($B$7=$AW$26,$B$8=$AW$27),Datenbank!$AX10)+IF(AND($B$7=$AX$26,$B$8=$AX$27),Datenbank!$AY10)+IF(AND($B$7=$AY$26,$B$8=$AY$27),Datenbank!$AZ10)+IF(AND($B$7=$AZ$26,$B$8=$AZ$27),Datenbank!$BA10)+IF(AND($B$7=$BA$26,$B$8=$BA$27),Datenbank!$BB10)+IF(AND($B$7=$BB$26,$B$8=$BB$27),Datenbank!$N10)+IF(AND($B$7=$BC$26,$B$8=$BC$27),Datenbank!$W10)+IF(AND($B$7=$BD$26,$B$8=$BD$27),Datenbank!$AF10)+IF(AND($B$7=$BE$26,$B$8=$BE$27),Datenbank!$AO10)+IF(AND($B$7=$BF$26,$B$8=$BF$27),Datenbank!$AX10)+IF(AND($B$7=$BG$26,$B$8=$BG$27),Datenbank!$BH10)+IF(AND($B$7=$BH$26,$B$8=$BH$27),Datenbank!$BI10)+IF(AND($B$7=$BI$26,$B$8=$BI$27),Datenbank!$BJ10)+IF(AND($B$7=$BJ$26,$B$8=$BJ$27),Datenbank!$BK10)+IF(AND($B$7=$BK$26,$B$8=$BK$27),Datenbank!$O10)+IF(AND($B$7=$BL$26,$B$8=$BL$27),Datenbank!$X10)+IF(AND($B$7=$BM$26,$B$8=$BM$27),Datenbank!$AG10)+IF(AND($B$7=$BN$26,$B$8=$BN$27),Datenbank!$AP10)+IF(AND($B$7=$BO$26,$B$8=$BO$27),Datenbank!$AY10)+IF(AND($B$7=$BP$26,$B$8=$BP$27),Datenbank!$BH10)+IF(AND($B$7=$BQ$26,$B$8=$BQ$27),Datenbank!$BR10)+IF(AND($B$7=$BR$26,$B$8=$BR$27),Datenbank!$BS10)+IF(AND($B$7=$BS$26,$B$8=$BS$27),Datenbank!$BT10)+IF(AND($B$7=$BT$26,$B$8=$BT$27),Datenbank!$P10)+IF(AND($B$7=$BU$26,$B$8=$BU$27),Datenbank!$Y10)+IF(AND($B$7=$BV$26,$B$8=$BV$27),Datenbank!$AH10)+IF(AND($B$7=$BW$26,$B$8=$BW$27),Datenbank!$AQ10)+IF(AND($B$7=$BX$26,$B$8=$BX$27),Datenbank!$AZ10)+IF(AND($B$7=$BY$26,$B$8=$BY$27),Datenbank!$BI10)+IF(AND($B$7=$BZ$26,$B$8=$BZ$27),Datenbank!$BR10)+IF(AND($B$7=$CA$26,$B$8=$CA$27),"-")+IF(AND($B$7=$CB$26,$B$8=$CB$27),"-")+IF(AND($B$7=$CC$26,$B$8=$CC$27),Datenbank!$Q10)+IF(AND($B$7=$CD$26,$B$8=$CD$27),Datenbank!$Z10)+IF(AND($B$7=$CE$26,$B$8=$CE$27),Datenbank!$AI10)+IF(AND($B$7=$CF$26,$B$8=$CF$27),Datenbank!$AR10)+IF(AND($B$7=$CG$26,$B$8=$CG$27),Datenbank!$BA10)+IF(AND($B$7=$CH$26,$B$8=$CH$27),Datenbank!$BJ10)+IF(AND($B$7=$CI$26,$B$8=$CI$27),Datenbank!$BS10)+IF(AND($B$7=$CJ$26,$B$8=$CJ$27),"-")+IF(AND($B$7=$CK$26,$B$8=$CK$27),"-")+IF(AND($B$7=$CL$26,$B$8=$CL$27),Datenbank!$R10)+IF(AND($B$7=$CM$26,$B$8=$CM$27),Datenbank!$AA10)+IF(AND($B$7=$CN$26,$B$8=$CN$27),Datenbank!$AJ10)+IF(AND($B$7=$CO$26,$B$8=$CO$27),Datenbank!$AS10)+IF(AND($B$7=$CP$26,$B$8=$CP$27),Datenbank!$BB10)+IF(AND($B$7=$CQ$26,$B$8=$CQ$27),Datenbank!$BK10)+IF(AND($B$7=$CR$26,$B$8=$CR$27),Datenbank!$BT10)+IF(AND($B$7=$CS$26,$B$8=$CS$27),"-")+IF(AND($B$7=$CT$26,$B$8=$CT$27),"-")</f>
        <v>5</v>
      </c>
      <c r="Z3" s="703" t="s">
        <v>1336</v>
      </c>
      <c r="AB3" s="863">
        <f ca="1">IF(Mat_ST="C24",$J$8*Kosten_VH_min,$J$8*Kosten_BSH_min)</f>
        <v>43008.000000000007</v>
      </c>
      <c r="AC3" s="863">
        <f ca="1">IF(Mat_ST="C24",$J$8*Kosten_VH_max,$J$8*Kosten_BSH_max)</f>
        <v>64512.000000000007</v>
      </c>
    </row>
    <row r="4" spans="1:29">
      <c r="A4" s="703" t="s">
        <v>1271</v>
      </c>
      <c r="B4" s="925">
        <f ca="1">B5*F6</f>
        <v>17.175000000000001</v>
      </c>
      <c r="D4" s="704" t="s">
        <v>1645</v>
      </c>
      <c r="F4" s="705">
        <f>IF($B$8=B66,B71)+IF($B$8=C66,C71)+IF($B$8=D66,D71)+IF($B$8=E66,E71)+IF($B$8=F66,F71)+IF($B$8=G66,G71)+IF($B$8=H66,H71)+IF($B$8=I66,I71)+IF($B$8=J66,J71)+IF($B$8=K66,K71)</f>
        <v>10</v>
      </c>
      <c r="H4" s="703" t="s">
        <v>1292</v>
      </c>
      <c r="I4" s="703"/>
      <c r="J4" s="721">
        <f ca="1">J3/J2</f>
        <v>0.35837704722931718</v>
      </c>
      <c r="L4" s="703" t="s">
        <v>1605</v>
      </c>
      <c r="N4" s="855">
        <f ca="1">(2*F3*J5)+(2*F4*J5)</f>
        <v>1981.9949999999999</v>
      </c>
      <c r="P4" s="703" t="s">
        <v>2219</v>
      </c>
      <c r="S4" s="855">
        <f ca="1">S2*(B11-B10)</f>
        <v>3.5606999999999998</v>
      </c>
      <c r="V4" s="703" t="s">
        <v>1526</v>
      </c>
      <c r="X4" s="860">
        <f ca="1">IF(AND($B$7=$B$26,$B$8=$B$27),Datenbank!$C11)+IF(AND($B$7=$C$26,$B$8=$C$27),Datenbank!$D11)+IF(AND($B$7=$D$26,$B$8=$D$27),Datenbank!$E11)+IF(AND($B$7=$E$26,$B$8=$E$27),Datenbank!$F11)+IF(AND($B$7=$F$26,$B$8=$F$27),Datenbank!$G11)+IF(AND($B$7=$G$26,$B$8=$G$27),Datenbank!$H11)+IF(AND($B$7=$H$26,$B$8=$H$27),Datenbank!$I11)+IF(AND($B$7=$I$26,$B$8=$I$27),Datenbank!$S11)+IF(AND($B$7=$J$26,$B$8=$J$27),Datenbank!$AB11)+IF(AND($B$7=$K$26,$B$8=$K$27),Datenbank!$L11)+IF(AND($B$7=$L$26,$B$8=$L$27),Datenbank!$M11)+IF(AND($B$7=$M$26,$B$8=$M$27),Datenbank!N11)+IF(AND($B$7=$N$26,$B$8=$N$27),Datenbank!$O11)+IF(AND($B$7=$O$26,$B$8=$O$27),Datenbank!$P11)+IF(AND($B$7=$P$26,$B$8=$P$27),Datenbank!$Q11)+IF(AND($B$7=$Q$26,$B$8=$Q$27),Datenbank!$R11)+IF(AND($B$7=$R$26,$B$8=$R$27),Datenbank!$S11)+IF(AND($B$7=$S$26,$B$8=$S$27),Datenbank!$AC11)+IF(AND($B$7=$T$26,$B$8=$T$27),Datenbank!$U11)+IF(AND($B$7=$U$26,$B$8=$U$27),Datenbank!$V11)+IF(AND($B$7=$V$26,$B$8=$V$27),Datenbank!$W11)+IF(AND($B$7=$W$26,$B$8=$W$27),Datenbank!$X11)+IF(AND($B$7=$X$26,$B$8=$X$27),Datenbank!$Y11)+IF(AND($B$7=$Y$26,$B$8=$Y$27),Datenbank!$Z11)+IF(AND($B$7=$Z$26,$B$8=$Z$27),Datenbank!$AA11)+IF(AND($B$7=$AA$26,$B$8=$AA$27),Datenbank!$AB11)+IF(AND($B$7=$AB$26,$B$8=$AB$27),Datenbank!$AC11)+IF(AND($B$7=$AC$26,$B$8=$AC$27),Datenbank!$AD11)+IF(AND($B$7=$AD$26,$B$8=$AD$27),Datenbank!$AE11)+IF(AND($B$7=$AE$26,$B$8=$AE$27),Datenbank!$AF11)+IF(AND($B$7=$AF$26,$B$8=$AF$27),Datenbank!$AG11)+IF(AND($B$7=$AG$26,$B$8=$AG$27),Datenbank!$AH11)+IF(AND($B$7=$AH$26,$B$8=$AH$27),Datenbank!$AI11)+IF(AND($B$7=$AI$26,$B$8=$AI$27),Datenbank!$AJ11)+IF(AND($B$7=$AJ$26,$B$8=$AJ$27),Datenbank!$L11)+IF(AND($B$7=$AK$26,$B$8=$AK$27),Datenbank!$U11)+IF(AND($B$7=$AL$26,$B$8=$AL$27),Datenbank!$AD11)+IF(AND($B$7=$AM$26,$B$8=$AM$27),Datenbank!$AN11)+IF(AND($B$7=$AN$26,$B$8=$AN$27),Datenbank!$AO11)+IF(AND($B$7=$AO$26,$B$8=$AO$27),Datenbank!$AP11)+IF(AND($B$7=$AP$26,$B$8=$AP$27),Datenbank!$AQ11)+IF(AND($B$7=$AQ$26,$B$8=$AQ$27),Datenbank!$AR11)+IF(AND($B$7=$AR$26,$B$8=$AR$27),Datenbank!$AS11)+IF(AND($B$7=$AS$26,$B$8=$AS$27),Datenbank!$M11)+IF(AND($B$7=$AT$26,$B$8=$AT$27),Datenbank!$V11)+IF(AND($B$7=$AU$26,$B$8=$AU$27),Datenbank!$AE11)+IF(AND($B$7=$AV$26,$B$8=$AV$27),Datenbank!$AN11)+IF(AND($B$7=$AW$26,$B$8=$AW$27),Datenbank!$AX11)+IF(AND($B$7=$AX$26,$B$8=$AX$27),Datenbank!$AY11)+IF(AND($B$7=$AY$26,$B$8=$AY$27),Datenbank!$AZ11)+IF(AND($B$7=$AZ$26,$B$8=$AZ$27),Datenbank!$BA11)+IF(AND($B$7=$BA$26,$B$8=$BA$27),Datenbank!$BB11)+IF(AND($B$7=$BB$26,$B$8=$BB$27),Datenbank!$N11)+IF(AND($B$7=$BC$26,$B$8=$BC$27),Datenbank!$W11)+IF(AND($B$7=$BD$26,$B$8=$BD$27),Datenbank!$AF11)+IF(AND($B$7=$BE$26,$B$8=$BE$27),Datenbank!$AO11)+IF(AND($B$7=$BF$26,$B$8=$BF$27),Datenbank!$AX11)+IF(AND($B$7=$BG$26,$B$8=$BG$27),Datenbank!$BH11)+IF(AND($B$7=$BH$26,$B$8=$BH$27),Datenbank!$BI11)+IF(AND($B$7=$BI$26,$B$8=$BI$27),Datenbank!$BJ11)+IF(AND($B$7=$BJ$26,$B$8=$BJ$27),Datenbank!$BK11)+IF(AND($B$7=$BK$26,$B$8=$BK$27),Datenbank!$O11)+IF(AND($B$7=$BL$26,$B$8=$BL$27),Datenbank!$X11)+IF(AND($B$7=$BM$26,$B$8=$BM$27),Datenbank!$AG11)+IF(AND($B$7=$BN$26,$B$8=$BN$27),Datenbank!$AP11)+IF(AND($B$7=$BO$26,$B$8=$BO$27),Datenbank!$AY11)+IF(AND($B$7=$BP$26,$B$8=$BP$27),Datenbank!$BH11)+IF(AND($B$7=$BQ$26,$B$8=$BQ$27),Datenbank!$BR11)+IF(AND($B$7=$BR$26,$B$8=$BR$27),Datenbank!$BS11)+IF(AND($B$7=$BS$26,$B$8=$BS$27),Datenbank!$BT11)+IF(AND($B$7=$BT$26,$B$8=$BT$27),Datenbank!$P11)+IF(AND($B$7=$BU$26,$B$8=$BU$27),Datenbank!$Y11)+IF(AND($B$7=$BV$26,$B$8=$BV$27),Datenbank!$AH11)+IF(AND($B$7=$BW$26,$B$8=$BW$27),Datenbank!$AQ11)+IF(AND($B$7=$BX$26,$B$8=$BX$27),Datenbank!$AZ11)+IF(AND($B$7=$BY$26,$B$8=$BY$27),Datenbank!$BI11)+IF(AND($B$7=$BZ$26,$B$8=$BZ$27),Datenbank!$BR11)+IF(AND($B$7=$CA$26,$B$8=$CA$27),"-")+IF(AND($B$7=$CB$26,$B$8=$CB$27),"-")+IF(AND($B$7=$CC$26,$B$8=$CC$27),Datenbank!$Q11)+IF(AND($B$7=$CD$26,$B$8=$CD$27),Datenbank!$Z11)+IF(AND($B$7=$CE$26,$B$8=$CE$27),Datenbank!$AI11)+IF(AND($B$7=$CF$26,$B$8=$CF$27),Datenbank!$AR11)+IF(AND($B$7=$CG$26,$B$8=$CG$27),Datenbank!$BA11)+IF(AND($B$7=$CH$26,$B$8=$CH$27),Datenbank!$BJ11)+IF(AND($B$7=$CI$26,$B$8=$CI$27),Datenbank!$BS11)+IF(AND($B$7=$CJ$26,$B$8=$CJ$27),"-")+IF(AND($B$7=$CK$26,$B$8=$CK$27),"-")+IF(AND($B$7=$CL$26,$B$8=$CL$27),Datenbank!$R11)+IF(AND($B$7=$CM$26,$B$8=$CM$27),Datenbank!$AA11)+IF(AND($B$7=$CN$26,$B$8=$CN$27),Datenbank!$AJ11)+IF(AND($B$7=$CO$26,$B$8=$CO$27),Datenbank!$AS11)+IF(AND($B$7=$CP$26,$B$8=$CP$27),Datenbank!$BB11)+IF(AND($B$7=$CQ$26,$B$8=$CQ$27),Datenbank!$BK11)+IF(AND($B$7=$CR$26,$B$8=$CR$27),Datenbank!$BT11)+IF(AND($B$7=$CS$26,$B$8=$CS$27),"-")+IF(AND($B$7=$CT$26,$B$8=$CT$27),"-")</f>
        <v>220</v>
      </c>
      <c r="Z4" s="703" t="s">
        <v>1337</v>
      </c>
      <c r="AB4" s="863">
        <f ca="1">IF(Mat_UZ="C24",$J$10*Kosten_VH_min,$J$10*Kosten_BSH_min)</f>
        <v>102574.08</v>
      </c>
      <c r="AC4" s="863">
        <f ca="1">IF(Mat_UZ="C24",$J$10*Kosten_VH_max,$J$10*Kosten_BSH_max)</f>
        <v>153861.12</v>
      </c>
    </row>
    <row r="5" spans="1:29">
      <c r="A5" s="703" t="s">
        <v>1272</v>
      </c>
      <c r="B5" s="706">
        <f>'Eingabe und Ergebnis'!B27</f>
        <v>5</v>
      </c>
      <c r="D5" s="703" t="s">
        <v>1652</v>
      </c>
      <c r="F5" s="855">
        <f>B5*F3*F4</f>
        <v>2384.9999999999995</v>
      </c>
      <c r="H5" s="703" t="s">
        <v>1655</v>
      </c>
      <c r="I5" s="703"/>
      <c r="J5" s="705">
        <f ca="1">F6*B5</f>
        <v>17.175000000000001</v>
      </c>
      <c r="L5" s="703" t="s">
        <v>1402</v>
      </c>
      <c r="N5" s="855">
        <f ca="1">N4-S5</f>
        <v>1661.5319999999999</v>
      </c>
      <c r="P5" s="703" t="s">
        <v>2221</v>
      </c>
      <c r="S5" s="855">
        <f ca="1">S4*S9</f>
        <v>320.46299999999997</v>
      </c>
      <c r="U5" s="847"/>
      <c r="V5" s="847" t="s">
        <v>1623</v>
      </c>
      <c r="X5" s="859">
        <f ca="1">IF(AND($B$7=$B$26,$B$8=$B$27),Datenbank!$C12)+IF(AND($B$7=$C$26,$B$8=$C$27),Datenbank!$D12)+IF(AND($B$7=$D$26,$B$8=$D$27),Datenbank!$E12)+IF(AND($B$7=$E$26,$B$8=$E$27),Datenbank!$F12)+IF(AND($B$7=$F$26,$B$8=$F$27),Datenbank!$G12)+IF(AND($B$7=$G$26,$B$8=$G$27),Datenbank!$H12)+IF(AND($B$7=$H$26,$B$8=$H$27),Datenbank!$I12)+IF(AND($B$7=$I$26,$B$8=$I$27),Datenbank!$S12)+IF(AND($B$7=$J$26,$B$8=$J$27),Datenbank!$AB12)+IF(AND($B$7=$K$26,$B$8=$K$27),Datenbank!$L12)+IF(AND($B$7=$L$26,$B$8=$L$27),Datenbank!$M12)+IF(AND($B$7=$M$26,$B$8=$M$27),Datenbank!N12)+IF(AND($B$7=$N$26,$B$8=$N$27),Datenbank!$O12)+IF(AND($B$7=$O$26,$B$8=$O$27),Datenbank!$P12)+IF(AND($B$7=$P$26,$B$8=$P$27),Datenbank!$Q12)+IF(AND($B$7=$Q$26,$B$8=$Q$27),Datenbank!$R12)+IF(AND($B$7=$R$26,$B$8=$R$27),Datenbank!$S12)+IF(AND($B$7=$S$26,$B$8=$S$27),Datenbank!$AC12)+IF(AND($B$7=$T$26,$B$8=$T$27),Datenbank!$U12)+IF(AND($B$7=$U$26,$B$8=$U$27),Datenbank!$V12)+IF(AND($B$7=$V$26,$B$8=$V$27),Datenbank!$W12)+IF(AND($B$7=$W$26,$B$8=$W$27),Datenbank!$X12)+IF(AND($B$7=$X$26,$B$8=$X$27),Datenbank!$Y12)+IF(AND($B$7=$Y$26,$B$8=$Y$27),Datenbank!$Z12)+IF(AND($B$7=$Z$26,$B$8=$Z$27),Datenbank!$AA12)+IF(AND($B$7=$AA$26,$B$8=$AA$27),Datenbank!$AB12)+IF(AND($B$7=$AB$26,$B$8=$AB$27),Datenbank!$AC12)+IF(AND($B$7=$AC$26,$B$8=$AC$27),Datenbank!$AD12)+IF(AND($B$7=$AD$26,$B$8=$AD$27),Datenbank!$AE12)+IF(AND($B$7=$AE$26,$B$8=$AE$27),Datenbank!$AF12)+IF(AND($B$7=$AF$26,$B$8=$AF$27),Datenbank!$AG12)+IF(AND($B$7=$AG$26,$B$8=$AG$27),Datenbank!$AH12)+IF(AND($B$7=$AH$26,$B$8=$AH$27),Datenbank!$AI12)+IF(AND($B$7=$AI$26,$B$8=$AI$27),Datenbank!$AJ12)+IF(AND($B$7=$AJ$26,$B$8=$AJ$27),Datenbank!$L12)+IF(AND($B$7=$AK$26,$B$8=$AK$27),Datenbank!$U12)+IF(AND($B$7=$AL$26,$B$8=$AL$27),Datenbank!$AD12)+IF(AND($B$7=$AM$26,$B$8=$AM$27),Datenbank!$AN12)+IF(AND($B$7=$AN$26,$B$8=$AN$27),Datenbank!$AO12)+IF(AND($B$7=$AO$26,$B$8=$AO$27),Datenbank!$AP12)+IF(AND($B$7=$AP$26,$B$8=$AP$27),Datenbank!$AQ12)+IF(AND($B$7=$AQ$26,$B$8=$AQ$27),Datenbank!$AR12)+IF(AND($B$7=$AR$26,$B$8=$AR$27),Datenbank!$AS12)+IF(AND($B$7=$AS$26,$B$8=$AS$27),Datenbank!$M12)+IF(AND($B$7=$AT$26,$B$8=$AT$27),Datenbank!$V12)+IF(AND($B$7=$AU$26,$B$8=$AU$27),Datenbank!$AE12)+IF(AND($B$7=$AV$26,$B$8=$AV$27),Datenbank!$AN12)+IF(AND($B$7=$AW$26,$B$8=$AW$27),Datenbank!$AX12)+IF(AND($B$7=$AX$26,$B$8=$AX$27),Datenbank!$AY12)+IF(AND($B$7=$AY$26,$B$8=$AY$27),Datenbank!$AZ12)+IF(AND($B$7=$AZ$26,$B$8=$AZ$27),Datenbank!$BA12)+IF(AND($B$7=$BA$26,$B$8=$BA$27),Datenbank!$BB12)+IF(AND($B$7=$BB$26,$B$8=$BB$27),Datenbank!$N12)+IF(AND($B$7=$BC$26,$B$8=$BC$27),Datenbank!$W12)+IF(AND($B$7=$BD$26,$B$8=$BD$27),Datenbank!$AF12)+IF(AND($B$7=$BE$26,$B$8=$BE$27),Datenbank!$AO12)+IF(AND($B$7=$BF$26,$B$8=$BF$27),Datenbank!$AX12)+IF(AND($B$7=$BG$26,$B$8=$BG$27),Datenbank!$BH12)+IF(AND($B$7=$BH$26,$B$8=$BH$27),Datenbank!$BI12)+IF(AND($B$7=$BI$26,$B$8=$BI$27),Datenbank!$BJ12)+IF(AND($B$7=$BJ$26,$B$8=$BJ$27),Datenbank!$BK12)+IF(AND($B$7=$BK$26,$B$8=$BK$27),Datenbank!$O12)+IF(AND($B$7=$BL$26,$B$8=$BL$27),Datenbank!$X12)+IF(AND($B$7=$BM$26,$B$8=$BM$27),Datenbank!$AG12)+IF(AND($B$7=$BN$26,$B$8=$BN$27),Datenbank!$AP12)+IF(AND($B$7=$BO$26,$B$8=$BO$27),Datenbank!$AY12)+IF(AND($B$7=$BP$26,$B$8=$BP$27),Datenbank!$BH12)+IF(AND($B$7=$BQ$26,$B$8=$BQ$27),Datenbank!$BR12)+IF(AND($B$7=$BR$26,$B$8=$BR$27),Datenbank!$BS12)+IF(AND($B$7=$BS$26,$B$8=$BS$27),Datenbank!$BT12)+IF(AND($B$7=$BT$26,$B$8=$BT$27),Datenbank!$P12)+IF(AND($B$7=$BU$26,$B$8=$BU$27),Datenbank!$Y12)+IF(AND($B$7=$BV$26,$B$8=$BV$27),Datenbank!$AH12)+IF(AND($B$7=$BW$26,$B$8=$BW$27),Datenbank!$AQ12)+IF(AND($B$7=$BX$26,$B$8=$BX$27),Datenbank!$AZ12)+IF(AND($B$7=$BY$26,$B$8=$BY$27),Datenbank!$BI12)+IF(AND($B$7=$BZ$26,$B$8=$BZ$27),Datenbank!$BR12)+IF(AND($B$7=$CA$26,$B$8=$CA$27),"-")+IF(AND($B$7=$CB$26,$B$8=$CB$27),"-")+IF(AND($B$7=$CC$26,$B$8=$CC$27),Datenbank!$Q12)+IF(AND($B$7=$CD$26,$B$8=$CD$27),Datenbank!$Z12)+IF(AND($B$7=$CE$26,$B$8=$CE$27),Datenbank!$AI12)+IF(AND($B$7=$CF$26,$B$8=$CF$27),Datenbank!$AR12)+IF(AND($B$7=$CG$26,$B$8=$CG$27),Datenbank!$BA12)+IF(AND($B$7=$CH$26,$B$8=$CH$27),Datenbank!$BJ12)+IF(AND($B$7=$CI$26,$B$8=$CI$27),Datenbank!$BS12)+IF(AND($B$7=$CJ$26,$B$8=$CJ$27),"-")+IF(AND($B$7=$CK$26,$B$8=$CK$27),"-")+IF(AND($B$7=$CL$26,$B$8=$CL$27),Datenbank!$R12)+IF(AND($B$7=$CM$26,$B$8=$CM$27),Datenbank!$AA12)+IF(AND($B$7=$CN$26,$B$8=$CN$27),Datenbank!$AJ12)+IF(AND($B$7=$CO$26,$B$8=$CO$27),Datenbank!$AS12)+IF(AND($B$7=$CP$26,$B$8=$CP$27),Datenbank!$BB12)+IF(AND($B$7=$CQ$26,$B$8=$CQ$27),Datenbank!$BK12)+IF(AND($B$7=$CR$26,$B$8=$CR$27),Datenbank!$BT12)+IF(AND($B$7=$CS$26,$B$8=$CS$27),"-")+IF(AND($B$7=$CT$26,$B$8=$CT$27),"-")</f>
        <v>5.83</v>
      </c>
      <c r="Z5" s="703" t="s">
        <v>1338</v>
      </c>
      <c r="AB5" s="863">
        <f ca="1">$J$12*Kosten_BSP_min</f>
        <v>472230.00000000006</v>
      </c>
      <c r="AC5" s="863">
        <f ca="1">$J$12*Kosten_BSP_max</f>
        <v>629640</v>
      </c>
    </row>
    <row r="6" spans="1:29">
      <c r="A6" s="703" t="s">
        <v>1273</v>
      </c>
      <c r="B6" s="705">
        <f>'Eingabe und Ergebnis'!B28</f>
        <v>2.4</v>
      </c>
      <c r="D6" s="703" t="s">
        <v>1565</v>
      </c>
      <c r="F6" s="705">
        <f ca="1">IF(AND($B$7=$B$26,$B$8=$B$27),Datenbank!$C21)+IF(AND($B$7=$C$26,$B$8=$C$27),Datenbank!$D21)+IF(AND($B$7=$D$26,$B$8=$D$27),Datenbank!$E21)+IF(AND($B$7=$E$26,$B$8=$E$27),Datenbank!$F21)+IF(AND($B$7=$F$26,$B$8=$F$27),Datenbank!$G21)+IF(AND($B$7=$G$26,$B$8=$G$27),Datenbank!$H21)+IF(AND($B$7=$H$26,$B$8=$H$27),Datenbank!$I21)+IF(AND($B$7=$I$26,$B$8=$I$27),Datenbank!$S21)+IF(AND($B$7=$J$26,$B$8=$J$27),Datenbank!$AB21)+IF(AND($B$7=$K$26,$B$8=$K$27),Datenbank!$L21)+IF(AND($B$7=$L$26,$B$8=$L$27),Datenbank!$M21)+IF(AND($B$7=$M$26,$B$8=$M$27),Datenbank!N21)+IF(AND($B$7=$N$26,$B$8=$N$27),Datenbank!$O21)+IF(AND($B$7=$O$26,$B$8=$O$27),Datenbank!$P21)+IF(AND($B$7=$P$26,$B$8=$P$27),Datenbank!$Q21)+IF(AND($B$7=$Q$26,$B$8=$Q$27),Datenbank!$R21)+IF(AND($B$7=$R$26,$B$8=$R$27),Datenbank!$S21)+IF(AND($B$7=$S$26,$B$8=$S$27),Datenbank!$AC21)+IF(AND($B$7=$T$26,$B$8=$T$27),Datenbank!$U21)+IF(AND($B$7=$U$26,$B$8=$U$27),Datenbank!$V21)+IF(AND($B$7=$V$26,$B$8=$V$27),Datenbank!$W21)+IF(AND($B$7=$W$26,$B$8=$W$27),Datenbank!$X21)+IF(AND($B$7=$X$26,$B$8=$X$27),Datenbank!$Y21)+IF(AND($B$7=$Y$26,$B$8=$Y$27),Datenbank!$Z21)+IF(AND($B$7=$Z$26,$B$8=$Z$27),Datenbank!$AA21)+IF(AND($B$7=$AA$26,$B$8=$AA$27),Datenbank!$AB21)+IF(AND($B$7=$AB$26,$B$8=$AB$27),Datenbank!$AC21)+IF(AND($B$7=$AC$26,$B$8=$AC$27),Datenbank!$AD21)+IF(AND($B$7=$AD$26,$B$8=$AD$27),Datenbank!$AE21)+IF(AND($B$7=$AE$26,$B$8=$AE$27),Datenbank!$AF21)+IF(AND($B$7=$AF$26,$B$8=$AF$27),Datenbank!$AG21)+IF(AND($B$7=$AG$26,$B$8=$AG$27),Datenbank!$AH21)+IF(AND($B$7=$AH$26,$B$8=$AH$27),Datenbank!$AI21)+IF(AND($B$7=$AI$26,$B$8=$AI$27),Datenbank!$AJ21)+IF(AND($B$7=$AJ$26,$B$8=$AJ$27),Datenbank!$L21)+IF(AND($B$7=$AK$26,$B$8=$AK$27),Datenbank!$U21)+IF(AND($B$7=$AL$26,$B$8=$AL$27),Datenbank!$AD21)+IF(AND($B$7=$AM$26,$B$8=$AM$27),Datenbank!$AN21)+IF(AND($B$7=$AN$26,$B$8=$AN$27),Datenbank!$AO21)+IF(AND($B$7=$AO$26,$B$8=$AO$27),Datenbank!$AP21)+IF(AND($B$7=$AP$26,$B$8=$AP$27),Datenbank!$AQ21)+IF(AND($B$7=$AQ$26,$B$8=$AQ$27),Datenbank!$AR21)+IF(AND($B$7=$AR$26,$B$8=$AR$27),Datenbank!$AS21)+IF(AND($B$7=$AS$26,$B$8=$AS$27),Datenbank!$M21)+IF(AND($B$7=$AT$26,$B$8=$AT$27),Datenbank!$V21)+IF(AND($B$7=$AU$26,$B$8=$AU$27),Datenbank!$AE21)+IF(AND($B$7=$AV$26,$B$8=$AV$27),Datenbank!$AN21)+IF(AND($B$7=$AW$26,$B$8=$AW$27),Datenbank!$AX21)+IF(AND($B$7=$AX$26,$B$8=$AX$27),Datenbank!$AY21)+IF(AND($B$7=$AY$26,$B$8=$AY$27),Datenbank!$AZ21)+IF(AND($B$7=$AZ$26,$B$8=$AZ$27),Datenbank!$BA21)+IF(AND($B$7=$BA$26,$B$8=$BA$27),Datenbank!$BB21)+IF(AND($B$7=$BB$26,$B$8=$BB$27),Datenbank!$N21)+IF(AND($B$7=$BC$26,$B$8=$BC$27),Datenbank!$W21)+IF(AND($B$7=$BD$26,$B$8=$BD$27),Datenbank!$AF21)+IF(AND($B$7=$BE$26,$B$8=$BE$27),Datenbank!$AO21)+IF(AND($B$7=$BF$26,$B$8=$BF$27),Datenbank!$AX21)+IF(AND($B$7=$BG$26,$B$8=$BG$27),Datenbank!$BH21)+IF(AND($B$7=$BH$26,$B$8=$BH$27),Datenbank!$BI21)+IF(AND($B$7=$BI$26,$B$8=$BI$27),Datenbank!$BJ21)+IF(AND($B$7=$BJ$26,$B$8=$BJ$27),Datenbank!$BK21)+IF(AND($B$7=$BK$26,$B$8=$BK$27),Datenbank!$O21)+IF(AND($B$7=$BL$26,$B$8=$BL$27),Datenbank!$X21)+IF(AND($B$7=$BM$26,$B$8=$BM$27),Datenbank!$AG21)+IF(AND($B$7=$BN$26,$B$8=$BN$27),Datenbank!$AP21)+IF(AND($B$7=$BO$26,$B$8=$BO$27),Datenbank!$AY21)+IF(AND($B$7=$BP$26,$B$8=$BP$27),Datenbank!$BH21)+IF(AND($B$7=$BQ$26,$B$8=$BQ$27),Datenbank!$BR21)+IF(AND($B$7=$BR$26,$B$8=$BR$27),Datenbank!$BS21)+IF(AND($B$7=$BS$26,$B$8=$BS$27),Datenbank!$BT21)+IF(AND($B$7=$BT$26,$B$8=$BT$27),Datenbank!$P21)+IF(AND($B$7=$BU$26,$B$8=$BU$27),Datenbank!$Y21)+IF(AND($B$7=$BV$26,$B$8=$BV$27),Datenbank!$AH21)+IF(AND($B$7=$BW$26,$B$8=$BW$27),Datenbank!$AQ21)+IF(AND($B$7=$BX$26,$B$8=$BX$27),Datenbank!$AZ21)+IF(AND($B$7=$BY$26,$B$8=$BY$27),Datenbank!$BI21)+IF(AND($B$7=$BZ$26,$B$8=$BZ$27),Datenbank!$BR21)+IF(AND($B$7=$CA$26,$B$8=$CA$27),"-")+IF(AND($B$7=$CB$26,$B$8=$CB$27),"-")+IF(AND($B$7=$CC$26,$B$8=$CC$27),Datenbank!$Q21)+IF(AND($B$7=$CD$26,$B$8=$CD$27),Datenbank!$Z21)+IF(AND($B$7=$CE$26,$B$8=$CE$27),Datenbank!$AI21)+IF(AND($B$7=$CF$26,$B$8=$CF$27),Datenbank!$AR21)+IF(AND($B$7=$CG$26,$B$8=$CG$27),Datenbank!$BA21)+IF(AND($B$7=$CH$26,$B$8=$CH$27),Datenbank!$BJ21)+IF(AND($B$7=$CI$26,$B$8=$CI$27),Datenbank!$BS21)+IF(AND($B$7=$CJ$26,$B$8=$CJ$27),"-")+IF(AND($B$7=$CK$26,$B$8=$CK$27),"-")+IF(AND($B$7=$CL$26,$B$8=$CL$27),Datenbank!$R21)+IF(AND($B$7=$CM$26,$B$8=$CM$27),Datenbank!$AA21)+IF(AND($B$7=$CN$26,$B$8=$CN$27),Datenbank!$AJ21)+IF(AND($B$7=$CO$26,$B$8=$CO$27),Datenbank!$AS21)+IF(AND($B$7=$CP$26,$B$8=$CP$27),Datenbank!$BB21)+IF(AND($B$7=$CQ$26,$B$8=$CQ$27),Datenbank!$BK21)+IF(AND($B$7=$CR$26,$B$8=$CR$27),Datenbank!$BT21)+IF(AND($B$7=$CS$26,$B$8=$CS$27),"-")+IF(AND($B$7=$CT$26,$B$8=$CT$27),"-")</f>
        <v>3.4350000000000001</v>
      </c>
      <c r="P6" s="703" t="s">
        <v>1401</v>
      </c>
      <c r="S6" s="705">
        <f>2*B11</f>
        <v>4.2</v>
      </c>
      <c r="U6" s="703" t="s">
        <v>968</v>
      </c>
      <c r="V6" s="716"/>
      <c r="Z6" s="703" t="s">
        <v>2213</v>
      </c>
      <c r="AB6" s="863">
        <f ca="1">$N$11*Kosten_BSP_min</f>
        <v>155811.60000000003</v>
      </c>
      <c r="AC6" s="863">
        <f ca="1">$N$11*Kosten_BSP_max</f>
        <v>207748.80000000002</v>
      </c>
    </row>
    <row r="7" spans="1:29">
      <c r="A7" s="703" t="s">
        <v>1630</v>
      </c>
      <c r="B7" s="721">
        <f>'Eingabe und Ergebnis'!$B$116</f>
        <v>5.3</v>
      </c>
      <c r="D7" s="703" t="s">
        <v>1598</v>
      </c>
      <c r="F7" s="847">
        <f>IF(B7=Rechenmodell!B26,B28,IF(B7=C26,C28,IF(B7=D26,D28,IF(B7=E26,E28,IF(B7=F26,F28,IF(B7=G26,G28,IF(B7=H26,H28,IF(B7=BT26,BT28,IF(B7=CC26,CC28,IF(B7=CL26,CL28))))))))))</f>
        <v>9</v>
      </c>
      <c r="H7" s="704" t="s">
        <v>1281</v>
      </c>
      <c r="J7" s="706">
        <f t="shared" ref="J7:J13" si="0">IF(AND($B$7=$B$26,$B$8=$B$27),$B37)+IF(AND($B$7=$C$26,$B$8=$C$27),$C37)+IF(AND($B$7=$D$26,$B$8=$D$27),$D37)+IF(AND($B$7=$E$26,$B$8=$E$27),$E37)+IF(AND($B$7=$F$26,$B$8=$F$27),$F37)+IF(AND($B$7=$G$26,$B$8=$G$27),$G37)+IF(AND($B$7=$H$26,$B$8=$H$27),$H37)+IF(AND($B$7=$I$26,$B$8=$I$27),$I37)+IF(AND($B$7=$J$26,$B$8=$J$27),$J37)+IF(AND($B$7=$K$26,$B$8=$K$27),$K37)+IF(AND($B$7=$L$26,$B$8=$L$27),$L37)+IF(AND($B$7=$M$26,$B$8=$M$27),$M37)+IF(AND($B$7=$N$26,$B$8=$N$27),$N37)+IF(AND($B$7=$O$26,$B$8=$O$27),$O37)+IF(AND($B$7=$P$26,$B$8=$P$27),$P37)+IF(AND($B$7=$Q$26,$B$8=$Q$27),$Q37)+IF(AND($B$7=$R$26,$B$8=$R$27),$R37)+IF(AND($B$7=$S$26,$B$8=$S$27),$S37)+IF(AND($B$7=$T$26,$B$8=$T$27),$T37)+IF(AND($B$7=$U$26,$B$8=$U$27),$U37)+IF(AND($B$7=$V$26,$B$8=$V$27),$V37)+IF(AND($B$7=$W$26,$B$8=$W$27),$W37)+IF(AND($B$7=$X$26,$B$8=$X$27),$X37)+IF(AND($B$7=$Y$26,$B$8=$Y$27),$Y37)+IF(AND($B$7=$Z$26,$B$8=$Z$27),$Z37)+IF(AND($B$7=$AA$26,$B$8=$AA$27),$AA37)+IF(AND($B$7=$AB$26,$B$8=$AB$27),$AB37)+IF(AND($B$7=$AC$26,$B$8=$AC$27),$AC37)+IF(AND($B$7=$AD$26,$B$8=$AD$27),$AD37)+IF(AND($B$7=$AE$26,$B$8=$AE$27),$AE37)+IF(AND($B$7=$AF$26,$B$8=$AF$27),$AF37)+IF(AND($B$7=$AG$26,$B$8=$AG$27),$AG37)+IF(AND($B$7=$AH$26,$B$8=$AH$27),$AH37)+IF(AND($B$7=$AI$26,$B$8=$AI$27),$AI37)+IF(AND($B$7=$AJ$26,$B$8=$AJ$27),$AJ37)+IF(AND($B$7=$AK$26,$B$8=$AK$27),$AK37)+IF(AND($B$7=$AL$26,$B$8=$AL$27),$AL37)+IF(AND($B$7=$AM$26,$B$8=$AM$27),$AM37)+IF(AND($B$7=$AN$26,$B$8=$AN$27),$AN37)+IF(AND($B$7=$AO$26,$B$8=$AO$27),$AO37)+IF(AND($B$7=$AP$26,$B$8=$AP$27),$AP37)+IF(AND($B$7=$AQ$26,$B$8=$AQ$27),$AQ37)+IF(AND($B$7=$AR$26,$B$8=$AR$27),$AR37)+IF(AND($B$7=$AS$26,$B$8=$AS$27),$AS37)+IF(AND($B$7=$AT$26,$B$8=$AT$27),$AT37)+IF(AND($B$7=$AU$26,$B$8=$AU$27),$AU37)+IF(AND($B$7=$AV$26,$B$8=$AV$27),$AV37)+IF(AND($B$7=$AW$26,$B$8=$AW$27),$AW37)+IF(AND($B$7=$AX$26,$B$8=$AX$27),$AX37)+IF(AND($B$7=$AY$26,$B$8=$AY$27),$AY37)+IF(AND($B$7=$AZ$26,$B$8=$AZ$27),$AZ37)+IF(AND($B$7=$BA$26,$B$8=$BA$27),$BA37)+IF(AND($B$7=$BB$26,$B$8=$BB$27),$BB37)+IF(AND($B$7=$BC$26,$B$8=$BC$27),$BC37)+IF(AND($B$7=$BD$26,$B$8=$BD$27),$BD37)+IF(AND($B$7=$BE$26,$B$8=$BE$27),$BE37)+IF(AND($B$7=$BF$26,$B$8=$BF$27),$BF37)+IF(AND($B$7=$BG$26,$B$8=$BG$27),$BG37)+IF(AND($B$7=$BH$26,$B$8=$BH$27),$BH37)+IF(AND($B$7=$BI$26,$B$8=$BI$27),$BI37)+IF(AND($B$7=$BJ$26,$B$8=$BJ$27),$BJ37)+IF(AND($B$7=$BK$26,$B$8=$BK$27),$BK37)+IF(AND($B$7=$BL$26,$B$8=$BL$27),$BL37)+IF(AND($B$7=$BM$26,$B$8=$BM$27),$BM37)+IF(AND($B$7=$BN$26,$B$8=$BN$27),$BN37)+IF(AND($B$7=$BO$26,$B$8=$BO$27),$BO37)+IF(AND($B$7=$BP$26,$B$8=$BP$27),$BP37)+IF(AND($B$7=$BQ$26,$B$8=$BQ$27),$BQ37)+IF(AND($B$7=$BR$26,$B$8=$BR$27),$BR37)+IF(AND($B$7=$BS$26,$B$8=$BS$27),$BS37)+IF(AND($B$7=$BT$26,$B$8=$BT$27),$BT37)+IF(AND($B$7=$BU$26,$B$8=$BU$27),$BU37)+IF(AND($B$7=$BV$26,$B$8=$BV$27),$BV37)+IF(AND($B$7=$BW$26,$B$8=$BW$27),$BW37)+IF(AND($B$7=$BX$26,$B$8=$BX$27),$BX37)+IF(AND($B$7=$BY$26,$B$8=$BY$27),$BY37)+IF(AND($B$7=$BZ$26,$B$8=$BZ$27),$BZ37)+IF(AND($B$7=$CA$26,$B$8=$CA$27),"-")+IF(AND($B$7=$CB$26,$B$8=$CB$27),"-")+IF(AND($B$7=$CC$26,$B$8=$CC$27),$CC37)+IF(AND($B$7=$CD$26,$B$8=$CD$27),$CD37)+IF(AND($B$7=$CE$26,$B$8=$CE$27),$CE37)+IF(AND($B$7=$CF$26,$B$8=$CF$27),$CF37)+IF(AND($B$7=$CG$26,$B$8=$CG$27),$CG37)+IF(AND($B$7=$CH$26,$B$8=$CH$27),$CH37)+IF(AND($B$7=$CI$26,$B$8=$CI$27),$CI37)+IF(AND($B$7=$CJ$26,$B$8=$CJ$27),"-")+IF(AND($B$7=$CK$26,$B$8=$CK$27),"-")+IF(AND($B$7=$CL$26,$B$8=$CL$27),$CL37)+IF(AND($B$7=$CM$26,$B$8=$CM$27),$CM37)+IF(AND($B$7=$CN$26,$B$8=$CN$27),$CN37)+IF(AND($B$7=$CO$26,$B$8=$CO$27),$CO37)+IF(AND($B$7=$CP$26,$B$8=$CP$27),$CP37)+IF(AND($B$7=$CQ$26,$B$8=$CQ$27),$CQ37)+IF(AND($B$7=$CR$26,$B$8=$CR$27),$CR37)+IF(AND($B$7=$CS$26,$B$8=$CS$27),"-")+IF(AND($B$7=$CT$26,$B$8=$CT$27),"-")</f>
        <v>150</v>
      </c>
      <c r="L7" s="702" t="s">
        <v>2214</v>
      </c>
      <c r="P7" s="703" t="s">
        <v>1781</v>
      </c>
      <c r="S7" s="705">
        <f>2*S6</f>
        <v>8.4</v>
      </c>
      <c r="U7" s="716"/>
      <c r="V7" s="857" t="s">
        <v>1528</v>
      </c>
      <c r="X7" s="861">
        <f>IF(AND($B$7=$B$26,$B$8=$B$27),Datenbank!$C14)+IF(AND($B$7=$C$26,$B$8=$C$27),Datenbank!$D14)+IF(AND($B$7=$D$26,$B$8=$D$27),Datenbank!$E14)+IF(AND($B$7=$E$26,$B$8=$E$27),Datenbank!$F14)+IF(AND($B$7=$F$26,$B$8=$F$27),Datenbank!$G14)+IF(AND($B$7=$G$26,$B$8=$G$27),Datenbank!$H14)+IF(AND($B$7=$H$26,$B$8=$H$27),Datenbank!$I14)+IF(AND($B$7=$I$26,$B$8=$I$27),Datenbank!$S14)+IF(AND($B$7=$J$26,$B$8=$J$27),Datenbank!$AB14)+IF(AND($B$7=$K$26,$B$8=$K$27),Datenbank!$L14)+IF(AND($B$7=$L$26,$B$8=$L$27),Datenbank!$M14)+IF(AND($B$7=$M$26,$B$8=$M$27),Datenbank!N14)+IF(AND($B$7=$N$26,$B$8=$N$27),Datenbank!$O14)+IF(AND($B$7=$O$26,$B$8=$O$27),Datenbank!$P14)+IF(AND($B$7=$P$26,$B$8=$P$27),Datenbank!$Q14)+IF(AND($B$7=$Q$26,$B$8=$Q$27),Datenbank!$R14)+IF(AND($B$7=$R$26,$B$8=$R$27),Datenbank!$S14)+IF(AND($B$7=$S$26,$B$8=$S$27),Datenbank!$AC14)+IF(AND($B$7=$T$26,$B$8=$T$27),Datenbank!$U14)+IF(AND($B$7=$U$26,$B$8=$U$27),Datenbank!$V14)+IF(AND($B$7=$V$26,$B$8=$V$27),Datenbank!$W14)+IF(AND($B$7=$W$26,$B$8=$W$27),Datenbank!$X14)+IF(AND($B$7=$X$26,$B$8=$X$27),Datenbank!$Y14)+IF(AND($B$7=$Y$26,$B$8=$Y$27),Datenbank!$Z14)+IF(AND($B$7=$Z$26,$B$8=$Z$27),Datenbank!$AA14)+IF(AND($B$7=$AA$26,$B$8=$AA$27),Datenbank!$AB14)+IF(AND($B$7=$AB$26,$B$8=$AB$27),Datenbank!$AC14)+IF(AND($B$7=$AC$26,$B$8=$AC$27),Datenbank!$AD14)+IF(AND($B$7=$AD$26,$B$8=$AD$27),Datenbank!$AE14)+IF(AND($B$7=$AE$26,$B$8=$AE$27),Datenbank!$AF14)+IF(AND($B$7=$AF$26,$B$8=$AF$27),Datenbank!$AG14)+IF(AND($B$7=$AG$26,$B$8=$AG$27),Datenbank!$AH14)+IF(AND($B$7=$AH$26,$B$8=$AH$27),Datenbank!$AI14)+IF(AND($B$7=$AI$26,$B$8=$AI$27),Datenbank!$AJ14)+IF(AND($B$7=$AJ$26,$B$8=$AJ$27),Datenbank!$L14)+IF(AND($B$7=$AK$26,$B$8=$AK$27),Datenbank!$U14)+IF(AND($B$7=$AL$26,$B$8=$AL$27),Datenbank!$AD14)+IF(AND($B$7=$AM$26,$B$8=$AM$27),Datenbank!$AN14)+IF(AND($B$7=$AN$26,$B$8=$AN$27),Datenbank!$AO14)+IF(AND($B$7=$AO$26,$B$8=$AO$27),Datenbank!$AP14)+IF(AND($B$7=$AP$26,$B$8=$AP$27),Datenbank!$AQ14)+IF(AND($B$7=$AQ$26,$B$8=$AQ$27),Datenbank!$AR14)+IF(AND($B$7=$AR$26,$B$8=$AR$27),Datenbank!$AS14)+IF(AND($B$7=$AS$26,$B$8=$AS$27),Datenbank!$M14)+IF(AND($B$7=$AT$26,$B$8=$AT$27),Datenbank!$V14)+IF(AND($B$7=$AU$26,$B$8=$AU$27),Datenbank!$AE14)+IF(AND($B$7=$AV$26,$B$8=$AV$27),Datenbank!$AN14)+IF(AND($B$7=$AW$26,$B$8=$AW$27),Datenbank!$AX14)+IF(AND($B$7=$AX$26,$B$8=$AX$27),Datenbank!$AY14)+IF(AND($B$7=$AY$26,$B$8=$AY$27),Datenbank!$AZ14)+IF(AND($B$7=$AZ$26,$B$8=$AZ$27),Datenbank!$BA14)+IF(AND($B$7=$BA$26,$B$8=$BA$27),Datenbank!$BB14)+IF(AND($B$7=$BB$26,$B$8=$BB$27),Datenbank!$N14)+IF(AND($B$7=$BC$26,$B$8=$BC$27),Datenbank!$W14)+IF(AND($B$7=$BD$26,$B$8=$BD$27),Datenbank!$AF14)+IF(AND($B$7=$BE$26,$B$8=$BE$27),Datenbank!$AO14)+IF(AND($B$7=$BF$26,$B$8=$BF$27),Datenbank!$AX14)+IF(AND($B$7=$BG$26,$B$8=$BG$27),Datenbank!$BH14)+IF(AND($B$7=$BH$26,$B$8=$BH$27),Datenbank!$BI14)+IF(AND($B$7=$BI$26,$B$8=$BI$27),Datenbank!$BJ14)+IF(AND($B$7=$BJ$26,$B$8=$BJ$27),Datenbank!$BK14)+IF(AND($B$7=$BK$26,$B$8=$BK$27),Datenbank!$O14)+IF(AND($B$7=$BL$26,$B$8=$BL$27),Datenbank!$X14)+IF(AND($B$7=$BM$26,$B$8=$BM$27),Datenbank!$AG14)+IF(AND($B$7=$BN$26,$B$8=$BN$27),Datenbank!$AP14)+IF(AND($B$7=$BO$26,$B$8=$BO$27),Datenbank!$AY14)+IF(AND($B$7=$BP$26,$B$8=$BP$27),Datenbank!$BH14)+IF(AND($B$7=$BQ$26,$B$8=$BQ$27),Datenbank!$BR14)+IF(AND($B$7=$BR$26,$B$8=$BR$27),Datenbank!$BS14)+IF(AND($B$7=$BS$26,$B$8=$BS$27),Datenbank!$BT14)+IF(AND($B$7=$BT$26,$B$8=$BT$27),Datenbank!$P14)+IF(AND($B$7=$BU$26,$B$8=$BU$27),Datenbank!$Y14)+IF(AND($B$7=$BV$26,$B$8=$BV$27),Datenbank!$AH14)+IF(AND($B$7=$BW$26,$B$8=$BW$27),Datenbank!$AQ14)+IF(AND($B$7=$BX$26,$B$8=$BX$27),Datenbank!$AZ14)+IF(AND($B$7=$BY$26,$B$8=$BY$27),Datenbank!$BI14)+IF(AND($B$7=$BZ$26,$B$8=$BZ$27),Datenbank!$BR14)+IF(AND($B$7=$CA$26,$B$8=$CA$27),"-")+IF(AND($B$7=$CB$26,$B$8=$CB$27),"-")+IF(AND($B$7=$CC$26,$B$8=$CC$27),Datenbank!$Q14)+IF(AND($B$7=$CD$26,$B$8=$CD$27),Datenbank!$Z14)+IF(AND($B$7=$CE$26,$B$8=$CE$27),Datenbank!$AI14)+IF(AND($B$7=$CF$26,$B$8=$CF$27),Datenbank!$AR14)+IF(AND($B$7=$CG$26,$B$8=$CG$27),Datenbank!$BA14)+IF(AND($B$7=$CH$26,$B$8=$CH$27),Datenbank!$BJ14)+IF(AND($B$7=$CI$26,$B$8=$CI$27),Datenbank!$BS14)+IF(AND($B$7=$CJ$26,$B$8=$CJ$27),"-")+IF(AND($B$7=$CK$26,$B$8=$CK$27),"-")+IF(AND($B$7=$CL$26,$B$8=$CL$27),Datenbank!$R14)+IF(AND($B$7=$CM$26,$B$8=$CM$27),Datenbank!$AA14)+IF(AND($B$7=$CN$26,$B$8=$CN$27),Datenbank!$AJ14)+IF(AND($B$7=$CO$26,$B$8=$CO$27),Datenbank!$AS14)+IF(AND($B$7=$CP$26,$B$8=$CP$27),Datenbank!$BB14)+IF(AND($B$7=$CQ$26,$B$8=$CQ$27),Datenbank!$BK14)+IF(AND($B$7=$CR$26,$B$8=$CR$27),Datenbank!$BT14)+IF(AND($B$7=$CS$26,$B$8=$CS$27),"-")+IF(AND($B$7=$CT$26,$B$8=$CT$27),"-")</f>
        <v>5</v>
      </c>
      <c r="Z7" s="724" t="s">
        <v>1657</v>
      </c>
      <c r="AA7" s="724"/>
      <c r="AB7" s="864">
        <f ca="1">SUM(AB3:AB6)</f>
        <v>773623.68000000017</v>
      </c>
      <c r="AC7" s="864">
        <f ca="1">SUM(AC3:AC6)</f>
        <v>1055761.9199999999</v>
      </c>
    </row>
    <row r="8" spans="1:29">
      <c r="A8" s="703" t="s">
        <v>1631</v>
      </c>
      <c r="B8" s="721">
        <f>'Eingabe und Ergebnis'!$B$117</f>
        <v>5</v>
      </c>
      <c r="D8" s="703" t="s">
        <v>1597</v>
      </c>
      <c r="F8" s="847">
        <f>IF(B8=Rechenmodell!B27,B30,IF(B8=C27,C30,IF(B8=D27,D30,IF(B8=E27,E30,IF(B8=F27,F30,IF(B8=G27,G30,IF(B8=H27,H30,IF(B8=O27,O30,IF(B8=P27,P30,IF(B8Q16,Q30))))))))))</f>
        <v>2</v>
      </c>
      <c r="H8" s="704" t="s">
        <v>1282</v>
      </c>
      <c r="J8" s="854">
        <f t="shared" ca="1" si="0"/>
        <v>53.760000000000005</v>
      </c>
      <c r="L8" s="703" t="s">
        <v>2215</v>
      </c>
      <c r="N8" s="705">
        <f ca="1">F6</f>
        <v>3.4350000000000001</v>
      </c>
      <c r="P8" s="703" t="s">
        <v>1780</v>
      </c>
      <c r="S8" s="927">
        <f>S7/F4</f>
        <v>0.84000000000000008</v>
      </c>
      <c r="V8" s="716" t="s">
        <v>1529</v>
      </c>
      <c r="X8" s="861">
        <f>IF(AND($B$7=$B$26,$B$8=$B$27),Datenbank!$C15)+IF(AND($B$7=$C$26,$B$8=$C$27),Datenbank!$D15)+IF(AND($B$7=$D$26,$B$8=$D$27),Datenbank!$E15)+IF(AND($B$7=$E$26,$B$8=$E$27),Datenbank!$F15)+IF(AND($B$7=$F$26,$B$8=$F$27),Datenbank!$G15)+IF(AND($B$7=$G$26,$B$8=$G$27),Datenbank!$H15)+IF(AND($B$7=$H$26,$B$8=$H$27),Datenbank!$I15)+IF(AND($B$7=$I$26,$B$8=$I$27),Datenbank!$S15)+IF(AND($B$7=$J$26,$B$8=$J$27),Datenbank!$AB15)+IF(AND($B$7=$K$26,$B$8=$K$27),Datenbank!$L15)+IF(AND($B$7=$L$26,$B$8=$L$27),Datenbank!$M15)+IF(AND($B$7=$M$26,$B$8=$M$27),Datenbank!N15)+IF(AND($B$7=$N$26,$B$8=$N$27),Datenbank!$O15)+IF(AND($B$7=$O$26,$B$8=$O$27),Datenbank!$P15)+IF(AND($B$7=$P$26,$B$8=$P$27),Datenbank!$Q15)+IF(AND($B$7=$Q$26,$B$8=$Q$27),Datenbank!$R15)+IF(AND($B$7=$R$26,$B$8=$R$27),Datenbank!$S15)+IF(AND($B$7=$S$26,$B$8=$S$27),Datenbank!$AC15)+IF(AND($B$7=$T$26,$B$8=$T$27),Datenbank!$U15)+IF(AND($B$7=$U$26,$B$8=$U$27),Datenbank!$V15)+IF(AND($B$7=$V$26,$B$8=$V$27),Datenbank!$W15)+IF(AND($B$7=$W$26,$B$8=$W$27),Datenbank!$X15)+IF(AND($B$7=$X$26,$B$8=$X$27),Datenbank!$Y15)+IF(AND($B$7=$Y$26,$B$8=$Y$27),Datenbank!$Z15)+IF(AND($B$7=$Z$26,$B$8=$Z$27),Datenbank!$AA15)+IF(AND($B$7=$AA$26,$B$8=$AA$27),Datenbank!$AB15)+IF(AND($B$7=$AB$26,$B$8=$AB$27),Datenbank!$AC15)+IF(AND($B$7=$AC$26,$B$8=$AC$27),Datenbank!$AD15)+IF(AND($B$7=$AD$26,$B$8=$AD$27),Datenbank!$AE15)+IF(AND($B$7=$AE$26,$B$8=$AE$27),Datenbank!$AF15)+IF(AND($B$7=$AF$26,$B$8=$AF$27),Datenbank!$AG15)+IF(AND($B$7=$AG$26,$B$8=$AG$27),Datenbank!$AH15)+IF(AND($B$7=$AH$26,$B$8=$AH$27),Datenbank!$AI15)+IF(AND($B$7=$AI$26,$B$8=$AI$27),Datenbank!$AJ15)+IF(AND($B$7=$AJ$26,$B$8=$AJ$27),Datenbank!$L15)+IF(AND($B$7=$AK$26,$B$8=$AK$27),Datenbank!$U15)+IF(AND($B$7=$AL$26,$B$8=$AL$27),Datenbank!$AD15)+IF(AND($B$7=$AM$26,$B$8=$AM$27),Datenbank!$AN15)+IF(AND($B$7=$AN$26,$B$8=$AN$27),Datenbank!$AO15)+IF(AND($B$7=$AO$26,$B$8=$AO$27),Datenbank!$AP15)+IF(AND($B$7=$AP$26,$B$8=$AP$27),Datenbank!$AQ15)+IF(AND($B$7=$AQ$26,$B$8=$AQ$27),Datenbank!$AR15)+IF(AND($B$7=$AR$26,$B$8=$AR$27),Datenbank!$AS15)+IF(AND($B$7=$AS$26,$B$8=$AS$27),Datenbank!$M15)+IF(AND($B$7=$AT$26,$B$8=$AT$27),Datenbank!$V15)+IF(AND($B$7=$AU$26,$B$8=$AU$27),Datenbank!$AE15)+IF(AND($B$7=$AV$26,$B$8=$AV$27),Datenbank!$AN15)+IF(AND($B$7=$AW$26,$B$8=$AW$27),Datenbank!$AX15)+IF(AND($B$7=$AX$26,$B$8=$AX$27),Datenbank!$AY15)+IF(AND($B$7=$AY$26,$B$8=$AY$27),Datenbank!$AZ15)+IF(AND($B$7=$AZ$26,$B$8=$AZ$27),Datenbank!$BA15)+IF(AND($B$7=$BA$26,$B$8=$BA$27),Datenbank!$BB15)+IF(AND($B$7=$BB$26,$B$8=$BB$27),Datenbank!$N15)+IF(AND($B$7=$BC$26,$B$8=$BC$27),Datenbank!$W15)+IF(AND($B$7=$BD$26,$B$8=$BD$27),Datenbank!$AF15)+IF(AND($B$7=$BE$26,$B$8=$BE$27),Datenbank!$AO15)+IF(AND($B$7=$BF$26,$B$8=$BF$27),Datenbank!$AX15)+IF(AND($B$7=$BG$26,$B$8=$BG$27),Datenbank!$BH15)+IF(AND($B$7=$BH$26,$B$8=$BH$27),Datenbank!$BI15)+IF(AND($B$7=$BI$26,$B$8=$BI$27),Datenbank!$BJ15)+IF(AND($B$7=$BJ$26,$B$8=$BJ$27),Datenbank!$BK15)+IF(AND($B$7=$BK$26,$B$8=$BK$27),Datenbank!$O15)+IF(AND($B$7=$BL$26,$B$8=$BL$27),Datenbank!$X15)+IF(AND($B$7=$BM$26,$B$8=$BM$27),Datenbank!$AG15)+IF(AND($B$7=$BN$26,$B$8=$BN$27),Datenbank!$AP15)+IF(AND($B$7=$BO$26,$B$8=$BO$27),Datenbank!$AY15)+IF(AND($B$7=$BP$26,$B$8=$BP$27),Datenbank!$BH15)+IF(AND($B$7=$BQ$26,$B$8=$BQ$27),Datenbank!$BR15)+IF(AND($B$7=$BR$26,$B$8=$BR$27),Datenbank!$BS15)+IF(AND($B$7=$BS$26,$B$8=$BS$27),Datenbank!$BT15)+IF(AND($B$7=$BT$26,$B$8=$BT$27),Datenbank!$P15)+IF(AND($B$7=$BU$26,$B$8=$BU$27),Datenbank!$Y15)+IF(AND($B$7=$BV$26,$B$8=$BV$27),Datenbank!$AH15)+IF(AND($B$7=$BW$26,$B$8=$BW$27),Datenbank!$AQ15)+IF(AND($B$7=$BX$26,$B$8=$BX$27),Datenbank!$AZ15)+IF(AND($B$7=$BY$26,$B$8=$BY$27),Datenbank!$BI15)+IF(AND($B$7=$BZ$26,$B$8=$BZ$27),Datenbank!$BR15)+IF(AND($B$7=$CA$26,$B$8=$CA$27),"-")+IF(AND($B$7=$CB$26,$B$8=$CB$27),"-")+IF(AND($B$7=$CC$26,$B$8=$CC$27),Datenbank!$Q15)+IF(AND($B$7=$CD$26,$B$8=$CD$27),Datenbank!$Z15)+IF(AND($B$7=$CE$26,$B$8=$CE$27),Datenbank!$AI15)+IF(AND($B$7=$CF$26,$B$8=$CF$27),Datenbank!$AR15)+IF(AND($B$7=$CG$26,$B$8=$CG$27),Datenbank!$BA15)+IF(AND($B$7=$CH$26,$B$8=$CH$27),Datenbank!$BJ15)+IF(AND($B$7=$CI$26,$B$8=$CI$27),Datenbank!$BS15)+IF(AND($B$7=$CJ$26,$B$8=$CJ$27),"-")+IF(AND($B$7=$CK$26,$B$8=$CK$27),"-")+IF(AND($B$7=$CL$26,$B$8=$CL$27),Datenbank!$R15)+IF(AND($B$7=$CM$26,$B$8=$CM$27),Datenbank!$AA15)+IF(AND($B$7=$CN$26,$B$8=$CN$27),Datenbank!$AJ15)+IF(AND($B$7=$CO$26,$B$8=$CO$27),Datenbank!$AS15)+IF(AND($B$7=$CP$26,$B$8=$CP$27),Datenbank!$BB15)+IF(AND($B$7=$CQ$26,$B$8=$CQ$27),Datenbank!$BK15)+IF(AND($B$7=$CR$26,$B$8=$CR$27),Datenbank!$BT15)+IF(AND($B$7=$CS$26,$B$8=$CS$27),"-")+IF(AND($B$7=$CT$26,$B$8=$CT$27),"-")</f>
        <v>5.3</v>
      </c>
      <c r="Z8" s="703" t="s">
        <v>1659</v>
      </c>
      <c r="AB8" s="863">
        <f ca="1">AB7/$F$5</f>
        <v>324.37051572327056</v>
      </c>
      <c r="AC8" s="863">
        <f ca="1">AC7/$F$5</f>
        <v>442.66747169811327</v>
      </c>
    </row>
    <row r="9" spans="1:29">
      <c r="B9" s="721"/>
      <c r="D9" s="703" t="s">
        <v>1814</v>
      </c>
      <c r="F9" s="847">
        <f>F8*F7</f>
        <v>18</v>
      </c>
      <c r="H9" s="704" t="s">
        <v>1627</v>
      </c>
      <c r="J9" s="706">
        <f t="shared" si="0"/>
        <v>135</v>
      </c>
      <c r="L9" s="703" t="s">
        <v>2216</v>
      </c>
      <c r="N9" s="705">
        <f>2*(J18+N18)*B18</f>
        <v>50.400000000000006</v>
      </c>
      <c r="P9" s="703" t="s">
        <v>2291</v>
      </c>
      <c r="S9" s="847">
        <f>F7*B5*2</f>
        <v>90</v>
      </c>
      <c r="V9" s="703" t="s">
        <v>1560</v>
      </c>
      <c r="X9" s="859">
        <f ca="1">IF(AND($B$7=$B$26,$B$8=$B$27),Datenbank!$C16)+IF(AND($B$7=$C$26,$B$8=$C$27),Datenbank!$D16)+IF(AND($B$7=$D$26,$B$8=$D$27),Datenbank!$E16)+IF(AND($B$7=$E$26,$B$8=$E$27),Datenbank!$F16)+IF(AND($B$7=$F$26,$B$8=$F$27),Datenbank!$G16)+IF(AND($B$7=$G$26,$B$8=$G$27),Datenbank!$H16)+IF(AND($B$7=$H$26,$B$8=$H$27),Datenbank!$I16)+IF(AND($B$7=$I$26,$B$8=$I$27),Datenbank!$S16)+IF(AND($B$7=$J$26,$B$8=$J$27),Datenbank!$AB16)+IF(AND($B$7=$K$26,$B$8=$K$27),Datenbank!$L16)+IF(AND($B$7=$L$26,$B$8=$L$27),Datenbank!$M16)+IF(AND($B$7=$M$26,$B$8=$M$27),Datenbank!N16)+IF(AND($B$7=$N$26,$B$8=$N$27),Datenbank!$O16)+IF(AND($B$7=$O$26,$B$8=$O$27),Datenbank!$P16)+IF(AND($B$7=$P$26,$B$8=$P$27),Datenbank!$Q16)+IF(AND($B$7=$Q$26,$B$8=$Q$27),Datenbank!$R16)+IF(AND($B$7=$R$26,$B$8=$R$27),Datenbank!$S16)+IF(AND($B$7=$S$26,$B$8=$S$27),Datenbank!$AC16)+IF(AND($B$7=$T$26,$B$8=$T$27),Datenbank!$U16)+IF(AND($B$7=$U$26,$B$8=$U$27),Datenbank!$V16)+IF(AND($B$7=$V$26,$B$8=$V$27),Datenbank!$W16)+IF(AND($B$7=$W$26,$B$8=$W$27),Datenbank!$X16)+IF(AND($B$7=$X$26,$B$8=$X$27),Datenbank!$Y16)+IF(AND($B$7=$Y$26,$B$8=$Y$27),Datenbank!$Z16)+IF(AND($B$7=$Z$26,$B$8=$Z$27),Datenbank!$AA16)+IF(AND($B$7=$AA$26,$B$8=$AA$27),Datenbank!$AB16)+IF(AND($B$7=$AB$26,$B$8=$AB$27),Datenbank!$AC16)+IF(AND($B$7=$AC$26,$B$8=$AC$27),Datenbank!$AD16)+IF(AND($B$7=$AD$26,$B$8=$AD$27),Datenbank!$AE16)+IF(AND($B$7=$AE$26,$B$8=$AE$27),Datenbank!$AF16)+IF(AND($B$7=$AF$26,$B$8=$AF$27),Datenbank!$AG16)+IF(AND($B$7=$AG$26,$B$8=$AG$27),Datenbank!$AH16)+IF(AND($B$7=$AH$26,$B$8=$AH$27),Datenbank!$AI16)+IF(AND($B$7=$AI$26,$B$8=$AI$27),Datenbank!$AJ16)+IF(AND($B$7=$AJ$26,$B$8=$AJ$27),Datenbank!$L16)+IF(AND($B$7=$AK$26,$B$8=$AK$27),Datenbank!$U16)+IF(AND($B$7=$AL$26,$B$8=$AL$27),Datenbank!$AD16)+IF(AND($B$7=$AM$26,$B$8=$AM$27),Datenbank!$AN16)+IF(AND($B$7=$AN$26,$B$8=$AN$27),Datenbank!$AO16)+IF(AND($B$7=$AO$26,$B$8=$AO$27),Datenbank!$AP16)+IF(AND($B$7=$AP$26,$B$8=$AP$27),Datenbank!$AQ16)+IF(AND($B$7=$AQ$26,$B$8=$AQ$27),Datenbank!$AR16)+IF(AND($B$7=$AR$26,$B$8=$AR$27),Datenbank!$AS16)+IF(AND($B$7=$AS$26,$B$8=$AS$27),Datenbank!$M16)+IF(AND($B$7=$AT$26,$B$8=$AT$27),Datenbank!$V16)+IF(AND($B$7=$AU$26,$B$8=$AU$27),Datenbank!$AE16)+IF(AND($B$7=$AV$26,$B$8=$AV$27),Datenbank!$AN16)+IF(AND($B$7=$AW$26,$B$8=$AW$27),Datenbank!$AX16)+IF(AND($B$7=$AX$26,$B$8=$AX$27),Datenbank!$AY16)+IF(AND($B$7=$AY$26,$B$8=$AY$27),Datenbank!$AZ16)+IF(AND($B$7=$AZ$26,$B$8=$AZ$27),Datenbank!$BA16)+IF(AND($B$7=$BA$26,$B$8=$BA$27),Datenbank!$BB16)+IF(AND($B$7=$BB$26,$B$8=$BB$27),Datenbank!$N16)+IF(AND($B$7=$BC$26,$B$8=$BC$27),Datenbank!$W16)+IF(AND($B$7=$BD$26,$B$8=$BD$27),Datenbank!$AF16)+IF(AND($B$7=$BE$26,$B$8=$BE$27),Datenbank!$AO16)+IF(AND($B$7=$BF$26,$B$8=$BF$27),Datenbank!$AX16)+IF(AND($B$7=$BG$26,$B$8=$BG$27),Datenbank!$BH16)+IF(AND($B$7=$BH$26,$B$8=$BH$27),Datenbank!$BI16)+IF(AND($B$7=$BI$26,$B$8=$BI$27),Datenbank!$BJ16)+IF(AND($B$7=$BJ$26,$B$8=$BJ$27),Datenbank!$BK16)+IF(AND($B$7=$BK$26,$B$8=$BK$27),Datenbank!$O16)+IF(AND($B$7=$BL$26,$B$8=$BL$27),Datenbank!$X16)+IF(AND($B$7=$BM$26,$B$8=$BM$27),Datenbank!$AG16)+IF(AND($B$7=$BN$26,$B$8=$BN$27),Datenbank!$AP16)+IF(AND($B$7=$BO$26,$B$8=$BO$27),Datenbank!$AY16)+IF(AND($B$7=$BP$26,$B$8=$BP$27),Datenbank!$BH16)+IF(AND($B$7=$BQ$26,$B$8=$BQ$27),Datenbank!$BR16)+IF(AND($B$7=$BR$26,$B$8=$BR$27),Datenbank!$BS16)+IF(AND($B$7=$BS$26,$B$8=$BS$27),Datenbank!$BT16)+IF(AND($B$7=$BT$26,$B$8=$BT$27),Datenbank!$P16)+IF(AND($B$7=$BU$26,$B$8=$BU$27),Datenbank!$Y16)+IF(AND($B$7=$BV$26,$B$8=$BV$27),Datenbank!$AH16)+IF(AND($B$7=$BW$26,$B$8=$BW$27),Datenbank!$AQ16)+IF(AND($B$7=$BX$26,$B$8=$BX$27),Datenbank!$AZ16)+IF(AND($B$7=$BY$26,$B$8=$BY$27),Datenbank!$BI16)+IF(AND($B$7=$BZ$26,$B$8=$BZ$27),Datenbank!$BR16)+IF(AND($B$7=$CA$26,$B$8=$CA$27),"-")+IF(AND($B$7=$CB$26,$B$8=$CB$27),"-")+IF(AND($B$7=$CC$26,$B$8=$CC$27),Datenbank!$Q16)+IF(AND($B$7=$CD$26,$B$8=$CD$27),Datenbank!$Z16)+IF(AND($B$7=$CE$26,$B$8=$CE$27),Datenbank!$AI16)+IF(AND($B$7=$CF$26,$B$8=$CF$27),Datenbank!$AR16)+IF(AND($B$7=$CG$26,$B$8=$CG$27),Datenbank!$BA16)+IF(AND($B$7=$CH$26,$B$8=$CH$27),Datenbank!$BJ16)+IF(AND($B$7=$CI$26,$B$8=$CI$27),Datenbank!$BS16)+IF(AND($B$7=$CJ$26,$B$8=$CJ$27),"-")+IF(AND($B$7=$CK$26,$B$8=$CK$27),"-")+IF(AND($B$7=$CL$26,$B$8=$CL$27),Datenbank!$R16)+IF(AND($B$7=$CM$26,$B$8=$CM$27),Datenbank!$AA16)+IF(AND($B$7=$CN$26,$B$8=$CN$27),Datenbank!$AJ16)+IF(AND($B$7=$CO$26,$B$8=$CO$27),Datenbank!$AS16)+IF(AND($B$7=$CP$26,$B$8=$CP$27),Datenbank!$BB16)+IF(AND($B$7=$CQ$26,$B$8=$CQ$27),Datenbank!$BK16)+IF(AND($B$7=$CR$26,$B$8=$CR$27),Datenbank!$BT16)+IF(AND($B$7=$CS$26,$B$8=$CS$27),"-")+IF(AND($B$7=$CT$26,$B$8=$CT$27),"-")</f>
        <v>320</v>
      </c>
    </row>
    <row r="10" spans="1:29">
      <c r="A10" s="703" t="s">
        <v>1778</v>
      </c>
      <c r="B10" s="705">
        <f>'Eingabe und Ergebnis'!B29</f>
        <v>0.8</v>
      </c>
      <c r="H10" s="704" t="s">
        <v>1625</v>
      </c>
      <c r="J10" s="854">
        <f t="shared" ca="1" si="0"/>
        <v>128.2176</v>
      </c>
      <c r="L10" s="703" t="s">
        <v>2217</v>
      </c>
      <c r="N10" s="705">
        <f>IF(Datenbank!Q56=Aussteifung!E107,Datenbank!R56)+IF(Datenbank!Q57=Aussteifung!E107,Datenbank!R57)+IF(Datenbank!Q58=Aussteifung!E107,Datenbank!R58)</f>
        <v>0.2</v>
      </c>
      <c r="V10" s="703" t="s">
        <v>1563</v>
      </c>
      <c r="X10" s="859">
        <f ca="1">IF(AND($B$7=$B$26,$B$8=$B$27),Datenbank!$C17)+IF(AND($B$7=$C$26,$B$8=$C$27),Datenbank!$D17)+IF(AND($B$7=$D$26,$B$8=$D$27),Datenbank!$E17)+IF(AND($B$7=$E$26,$B$8=$E$27),Datenbank!$F17)+IF(AND($B$7=$F$26,$B$8=$F$27),Datenbank!$G17)+IF(AND($B$7=$G$26,$B$8=$G$27),Datenbank!$H17)+IF(AND($B$7=$H$26,$B$8=$H$27),Datenbank!$I17)+IF(AND($B$7=$I$26,$B$8=$I$27),Datenbank!$S17)+IF(AND($B$7=$J$26,$B$8=$J$27),Datenbank!$AB17)+IF(AND($B$7=$K$26,$B$8=$K$27),Datenbank!$L17)+IF(AND($B$7=$L$26,$B$8=$L$27),Datenbank!$M17)+IF(AND($B$7=$M$26,$B$8=$M$27),Datenbank!N17)+IF(AND($B$7=$N$26,$B$8=$N$27),Datenbank!$O17)+IF(AND($B$7=$O$26,$B$8=$O$27),Datenbank!$P17)+IF(AND($B$7=$P$26,$B$8=$P$27),Datenbank!$Q17)+IF(AND($B$7=$Q$26,$B$8=$Q$27),Datenbank!$R17)+IF(AND($B$7=$R$26,$B$8=$R$27),Datenbank!$S17)+IF(AND($B$7=$S$26,$B$8=$S$27),Datenbank!$AC17)+IF(AND($B$7=$T$26,$B$8=$T$27),Datenbank!$U17)+IF(AND($B$7=$U$26,$B$8=$U$27),Datenbank!$V17)+IF(AND($B$7=$V$26,$B$8=$V$27),Datenbank!$W17)+IF(AND($B$7=$W$26,$B$8=$W$27),Datenbank!$X17)+IF(AND($B$7=$X$26,$B$8=$X$27),Datenbank!$Y17)+IF(AND($B$7=$Y$26,$B$8=$Y$27),Datenbank!$Z17)+IF(AND($B$7=$Z$26,$B$8=$Z$27),Datenbank!$AA17)+IF(AND($B$7=$AA$26,$B$8=$AA$27),Datenbank!$AB17)+IF(AND($B$7=$AB$26,$B$8=$AB$27),Datenbank!$AC17)+IF(AND($B$7=$AC$26,$B$8=$AC$27),Datenbank!$AD17)+IF(AND($B$7=$AD$26,$B$8=$AD$27),Datenbank!$AE17)+IF(AND($B$7=$AE$26,$B$8=$AE$27),Datenbank!$AF17)+IF(AND($B$7=$AF$26,$B$8=$AF$27),Datenbank!$AG17)+IF(AND($B$7=$AG$26,$B$8=$AG$27),Datenbank!$AH17)+IF(AND($B$7=$AH$26,$B$8=$AH$27),Datenbank!$AI17)+IF(AND($B$7=$AI$26,$B$8=$AI$27),Datenbank!$AJ17)+IF(AND($B$7=$AJ$26,$B$8=$AJ$27),Datenbank!$L17)+IF(AND($B$7=$AK$26,$B$8=$AK$27),Datenbank!$U17)+IF(AND($B$7=$AL$26,$B$8=$AL$27),Datenbank!$AD17)+IF(AND($B$7=$AM$26,$B$8=$AM$27),Datenbank!$AN17)+IF(AND($B$7=$AN$26,$B$8=$AN$27),Datenbank!$AO17)+IF(AND($B$7=$AO$26,$B$8=$AO$27),Datenbank!$AP17)+IF(AND($B$7=$AP$26,$B$8=$AP$27),Datenbank!$AQ17)+IF(AND($B$7=$AQ$26,$B$8=$AQ$27),Datenbank!$AR17)+IF(AND($B$7=$AR$26,$B$8=$AR$27),Datenbank!$AS17)+IF(AND($B$7=$AS$26,$B$8=$AS$27),Datenbank!$M17)+IF(AND($B$7=$AT$26,$B$8=$AT$27),Datenbank!$V17)+IF(AND($B$7=$AU$26,$B$8=$AU$27),Datenbank!$AE17)+IF(AND($B$7=$AV$26,$B$8=$AV$27),Datenbank!$AN17)+IF(AND($B$7=$AW$26,$B$8=$AW$27),Datenbank!$AX17)+IF(AND($B$7=$AX$26,$B$8=$AX$27),Datenbank!$AY17)+IF(AND($B$7=$AY$26,$B$8=$AY$27),Datenbank!$AZ17)+IF(AND($B$7=$AZ$26,$B$8=$AZ$27),Datenbank!$BA17)+IF(AND($B$7=$BA$26,$B$8=$BA$27),Datenbank!$BB17)+IF(AND($B$7=$BB$26,$B$8=$BB$27),Datenbank!$N17)+IF(AND($B$7=$BC$26,$B$8=$BC$27),Datenbank!$W17)+IF(AND($B$7=$BD$26,$B$8=$BD$27),Datenbank!$AF17)+IF(AND($B$7=$BE$26,$B$8=$BE$27),Datenbank!$AO17)+IF(AND($B$7=$BF$26,$B$8=$BF$27),Datenbank!$AX17)+IF(AND($B$7=$BG$26,$B$8=$BG$27),Datenbank!$BH17)+IF(AND($B$7=$BH$26,$B$8=$BH$27),Datenbank!$BI17)+IF(AND($B$7=$BI$26,$B$8=$BI$27),Datenbank!$BJ17)+IF(AND($B$7=$BJ$26,$B$8=$BJ$27),Datenbank!$BK17)+IF(AND($B$7=$BK$26,$B$8=$BK$27),Datenbank!$O17)+IF(AND($B$7=$BL$26,$B$8=$BL$27),Datenbank!$X17)+IF(AND($B$7=$BM$26,$B$8=$BM$27),Datenbank!$AG17)+IF(AND($B$7=$BN$26,$B$8=$BN$27),Datenbank!$AP17)+IF(AND($B$7=$BO$26,$B$8=$BO$27),Datenbank!$AY17)+IF(AND($B$7=$BP$26,$B$8=$BP$27),Datenbank!$BH17)+IF(AND($B$7=$BQ$26,$B$8=$BQ$27),Datenbank!$BR17)+IF(AND($B$7=$BR$26,$B$8=$BR$27),Datenbank!$BS17)+IF(AND($B$7=$BS$26,$B$8=$BS$27),Datenbank!$BT17)+IF(AND($B$7=$BT$26,$B$8=$BT$27),Datenbank!$P17)+IF(AND($B$7=$BU$26,$B$8=$BU$27),Datenbank!$Y17)+IF(AND($B$7=$BV$26,$B$8=$BV$27),Datenbank!$AH17)+IF(AND($B$7=$BW$26,$B$8=$BW$27),Datenbank!$AQ17)+IF(AND($B$7=$BX$26,$B$8=$BX$27),Datenbank!$AZ17)+IF(AND($B$7=$BY$26,$B$8=$BY$27),Datenbank!$BI17)+IF(AND($B$7=$BZ$26,$B$8=$BZ$27),Datenbank!$BR17)+IF(AND($B$7=$CA$26,$B$8=$CA$27),"-")+IF(AND($B$7=$CB$26,$B$8=$CB$27),"-")+IF(AND($B$7=$CC$26,$B$8=$CC$27),Datenbank!$Q17)+IF(AND($B$7=$CD$26,$B$8=$CD$27),Datenbank!$Z17)+IF(AND($B$7=$CE$26,$B$8=$CE$27),Datenbank!$AI17)+IF(AND($B$7=$CF$26,$B$8=$CF$27),Datenbank!$AR17)+IF(AND($B$7=$CG$26,$B$8=$CG$27),Datenbank!$BA17)+IF(AND($B$7=$CH$26,$B$8=$CH$27),Datenbank!$BJ17)+IF(AND($B$7=$CI$26,$B$8=$CI$27),Datenbank!$BS17)+IF(AND($B$7=$CJ$26,$B$8=$CJ$27),"-")+IF(AND($B$7=$CK$26,$B$8=$CK$27),"-")+IF(AND($B$7=$CL$26,$B$8=$CL$27),Datenbank!$R17)+IF(AND($B$7=$CM$26,$B$8=$CM$27),Datenbank!$AA17)+IF(AND($B$7=$CN$26,$B$8=$CN$27),Datenbank!$AJ17)+IF(AND($B$7=$CO$26,$B$8=$CO$27),Datenbank!$AS17)+IF(AND($B$7=$CP$26,$B$8=$CP$27),Datenbank!$BB17)+IF(AND($B$7=$CQ$26,$B$8=$CQ$27),Datenbank!$BK17)+IF(AND($B$7=$CR$26,$B$8=$CR$27),Datenbank!$BT17)+IF(AND($B$7=$CS$26,$B$8=$CS$27),"-")+IF(AND($B$7=$CT$26,$B$8=$CT$27),"-")</f>
        <v>560</v>
      </c>
    </row>
    <row r="11" spans="1:29">
      <c r="A11" s="703" t="s">
        <v>1779</v>
      </c>
      <c r="B11" s="705">
        <f>'Eingabe und Ergebnis'!B30</f>
        <v>2.1</v>
      </c>
      <c r="D11" s="703" t="s">
        <v>1660</v>
      </c>
      <c r="F11" s="705">
        <f>B7*B8</f>
        <v>26.5</v>
      </c>
      <c r="H11" s="704" t="s">
        <v>1283</v>
      </c>
      <c r="J11" s="706">
        <f t="shared" si="0"/>
        <v>90</v>
      </c>
      <c r="L11" s="847" t="s">
        <v>1623</v>
      </c>
      <c r="N11" s="861">
        <f ca="1">N10*N9*N8*B5</f>
        <v>173.12400000000002</v>
      </c>
      <c r="V11" s="703" t="s">
        <v>1527</v>
      </c>
      <c r="X11" s="859">
        <f ca="1">IF(AND($B$7=$B$26,$B$8=$B$27),Datenbank!$C18)+IF(AND($B$7=$C$26,$B$8=$C$27),Datenbank!$D18)+IF(AND($B$7=$D$26,$B$8=$D$27),Datenbank!$E18)+IF(AND($B$7=$E$26,$B$8=$E$27),Datenbank!$F18)+IF(AND($B$7=$F$26,$B$8=$F$27),Datenbank!$G18)+IF(AND($B$7=$G$26,$B$8=$G$27),Datenbank!$H18)+IF(AND($B$7=$H$26,$B$8=$H$27),Datenbank!$I18)+IF(AND($B$7=$I$26,$B$8=$I$27),Datenbank!$S18)+IF(AND($B$7=$J$26,$B$8=$J$27),Datenbank!$AB18)+IF(AND($B$7=$K$26,$B$8=$K$27),Datenbank!$L18)+IF(AND($B$7=$L$26,$B$8=$L$27),Datenbank!$M18)+IF(AND($B$7=$M$26,$B$8=$M$27),Datenbank!N18)+IF(AND($B$7=$N$26,$B$8=$N$27),Datenbank!$O18)+IF(AND($B$7=$O$26,$B$8=$O$27),Datenbank!$P18)+IF(AND($B$7=$P$26,$B$8=$P$27),Datenbank!$Q18)+IF(AND($B$7=$Q$26,$B$8=$Q$27),Datenbank!$R18)+IF(AND($B$7=$R$26,$B$8=$R$27),Datenbank!$S18)+IF(AND($B$7=$S$26,$B$8=$S$27),Datenbank!$AC18)+IF(AND($B$7=$T$26,$B$8=$T$27),Datenbank!$U18)+IF(AND($B$7=$U$26,$B$8=$U$27),Datenbank!$V18)+IF(AND($B$7=$V$26,$B$8=$V$27),Datenbank!$W18)+IF(AND($B$7=$W$26,$B$8=$W$27),Datenbank!$X18)+IF(AND($B$7=$X$26,$B$8=$X$27),Datenbank!$Y18)+IF(AND($B$7=$Y$26,$B$8=$Y$27),Datenbank!$Z18)+IF(AND($B$7=$Z$26,$B$8=$Z$27),Datenbank!$AA18)+IF(AND($B$7=$AA$26,$B$8=$AA$27),Datenbank!$AB18)+IF(AND($B$7=$AB$26,$B$8=$AB$27),Datenbank!$AC18)+IF(AND($B$7=$AC$26,$B$8=$AC$27),Datenbank!$AD18)+IF(AND($B$7=$AD$26,$B$8=$AD$27),Datenbank!$AE18)+IF(AND($B$7=$AE$26,$B$8=$AE$27),Datenbank!$AF18)+IF(AND($B$7=$AF$26,$B$8=$AF$27),Datenbank!$AG18)+IF(AND($B$7=$AG$26,$B$8=$AG$27),Datenbank!$AH18)+IF(AND($B$7=$AH$26,$B$8=$AH$27),Datenbank!$AI18)+IF(AND($B$7=$AI$26,$B$8=$AI$27),Datenbank!$AJ18)+IF(AND($B$7=$AJ$26,$B$8=$AJ$27),Datenbank!$L18)+IF(AND($B$7=$AK$26,$B$8=$AK$27),Datenbank!$U18)+IF(AND($B$7=$AL$26,$B$8=$AL$27),Datenbank!$AD18)+IF(AND($B$7=$AM$26,$B$8=$AM$27),Datenbank!$AN18)+IF(AND($B$7=$AN$26,$B$8=$AN$27),Datenbank!$AO18)+IF(AND($B$7=$AO$26,$B$8=$AO$27),Datenbank!$AP18)+IF(AND($B$7=$AP$26,$B$8=$AP$27),Datenbank!$AQ18)+IF(AND($B$7=$AQ$26,$B$8=$AQ$27),Datenbank!$AR18)+IF(AND($B$7=$AR$26,$B$8=$AR$27),Datenbank!$AS18)+IF(AND($B$7=$AS$26,$B$8=$AS$27),Datenbank!$M18)+IF(AND($B$7=$AT$26,$B$8=$AT$27),Datenbank!$V18)+IF(AND($B$7=$AU$26,$B$8=$AU$27),Datenbank!$AE18)+IF(AND($B$7=$AV$26,$B$8=$AV$27),Datenbank!$AN18)+IF(AND($B$7=$AW$26,$B$8=$AW$27),Datenbank!$AX18)+IF(AND($B$7=$AX$26,$B$8=$AX$27),Datenbank!$AY18)+IF(AND($B$7=$AY$26,$B$8=$AY$27),Datenbank!$AZ18)+IF(AND($B$7=$AZ$26,$B$8=$AZ$27),Datenbank!$BA18)+IF(AND($B$7=$BA$26,$B$8=$BA$27),Datenbank!$BB18)+IF(AND($B$7=$BB$26,$B$8=$BB$27),Datenbank!$N18)+IF(AND($B$7=$BC$26,$B$8=$BC$27),Datenbank!$W18)+IF(AND($B$7=$BD$26,$B$8=$BD$27),Datenbank!$AF18)+IF(AND($B$7=$BE$26,$B$8=$BE$27),Datenbank!$AO18)+IF(AND($B$7=$BF$26,$B$8=$BF$27),Datenbank!$AX18)+IF(AND($B$7=$BG$26,$B$8=$BG$27),Datenbank!$BH18)+IF(AND($B$7=$BH$26,$B$8=$BH$27),Datenbank!$BI18)+IF(AND($B$7=$BI$26,$B$8=$BI$27),Datenbank!$BJ18)+IF(AND($B$7=$BJ$26,$B$8=$BJ$27),Datenbank!$BK18)+IF(AND($B$7=$BK$26,$B$8=$BK$27),Datenbank!$O18)+IF(AND($B$7=$BL$26,$B$8=$BL$27),Datenbank!$X18)+IF(AND($B$7=$BM$26,$B$8=$BM$27),Datenbank!$AG18)+IF(AND($B$7=$BN$26,$B$8=$BN$27),Datenbank!$AP18)+IF(AND($B$7=$BO$26,$B$8=$BO$27),Datenbank!$AY18)+IF(AND($B$7=$BP$26,$B$8=$BP$27),Datenbank!$BH18)+IF(AND($B$7=$BQ$26,$B$8=$BQ$27),Datenbank!$BR18)+IF(AND($B$7=$BR$26,$B$8=$BR$27),Datenbank!$BS18)+IF(AND($B$7=$BS$26,$B$8=$BS$27),Datenbank!$BT18)+IF(AND($B$7=$BT$26,$B$8=$BT$27),Datenbank!$P18)+IF(AND($B$7=$BU$26,$B$8=$BU$27),Datenbank!$Y18)+IF(AND($B$7=$BV$26,$B$8=$BV$27),Datenbank!$AH18)+IF(AND($B$7=$BW$26,$B$8=$BW$27),Datenbank!$AQ18)+IF(AND($B$7=$BX$26,$B$8=$BX$27),Datenbank!$AZ18)+IF(AND($B$7=$BY$26,$B$8=$BY$27),Datenbank!$BI18)+IF(AND($B$7=$BZ$26,$B$8=$BZ$27),Datenbank!$BR18)+IF(AND($B$7=$CA$26,$B$8=$CA$27),"-")+IF(AND($B$7=$CB$26,$B$8=$CB$27),"-")+IF(AND($B$7=$CC$26,$B$8=$CC$27),Datenbank!$Q18)+IF(AND($B$7=$CD$26,$B$8=$CD$27),Datenbank!$Z18)+IF(AND($B$7=$CE$26,$B$8=$CE$27),Datenbank!$AI18)+IF(AND($B$7=$CF$26,$B$8=$CF$27),Datenbank!$AR18)+IF(AND($B$7=$CG$26,$B$8=$CG$27),Datenbank!$BA18)+IF(AND($B$7=$CH$26,$B$8=$CH$27),Datenbank!$BJ18)+IF(AND($B$7=$CI$26,$B$8=$CI$27),Datenbank!$BS18)+IF(AND($B$7=$CJ$26,$B$8=$CJ$27),"-")+IF(AND($B$7=$CK$26,$B$8=$CK$27),"-")+IF(AND($B$7=$CL$26,$B$8=$CL$27),Datenbank!$R18)+IF(AND($B$7=$CM$26,$B$8=$CM$27),Datenbank!$AA18)+IF(AND($B$7=$CN$26,$B$8=$CN$27),Datenbank!$AJ18)+IF(AND($B$7=$CO$26,$B$8=$CO$27),Datenbank!$AS18)+IF(AND($B$7=$CP$26,$B$8=$CP$27),Datenbank!$BB18)+IF(AND($B$7=$CQ$26,$B$8=$CQ$27),Datenbank!$BK18)+IF(AND($B$7=$CR$26,$B$8=$CR$27),Datenbank!$BT18)+IF(AND($B$7=$CS$26,$B$8=$CS$27),"-")+IF(AND($B$7=$CT$26,$B$8=$CT$27),"-")</f>
        <v>134400</v>
      </c>
    </row>
    <row r="12" spans="1:29">
      <c r="A12" s="703" t="s">
        <v>1632</v>
      </c>
      <c r="B12" s="926" t="str">
        <f>Aufbau_DE</f>
        <v>DE02</v>
      </c>
      <c r="F12" s="847"/>
      <c r="H12" s="704" t="s">
        <v>1284</v>
      </c>
      <c r="J12" s="854">
        <f t="shared" ca="1" si="0"/>
        <v>524.70000000000005</v>
      </c>
      <c r="U12" s="847"/>
      <c r="V12" s="847" t="s">
        <v>1623</v>
      </c>
      <c r="X12" s="861">
        <f ca="1">IF(AND($B$7=$B$26,$B$8=$B$27),Datenbank!$C19)+IF(AND($B$7=$C$26,$B$8=$C$27),Datenbank!$D19)+IF(AND($B$7=$D$26,$B$8=$D$27),Datenbank!$E19)+IF(AND($B$7=$E$26,$B$8=$E$27),Datenbank!$F19)+IF(AND($B$7=$F$26,$B$8=$F$27),Datenbank!$G19)+IF(AND($B$7=$G$26,$B$8=$G$27),Datenbank!$H19)+IF(AND($B$7=$H$26,$B$8=$H$27),Datenbank!$I19)+IF(AND($B$7=$I$26,$B$8=$I$27),Datenbank!$S19)+IF(AND($B$7=$J$26,$B$8=$J$27),Datenbank!$AB19)+IF(AND($B$7=$K$26,$B$8=$K$27),Datenbank!$L19)+IF(AND($B$7=$L$26,$B$8=$L$27),Datenbank!$M19)+IF(AND($B$7=$M$26,$B$8=$M$27),Datenbank!N19)+IF(AND($B$7=$N$26,$B$8=$N$27),Datenbank!$O19)+IF(AND($B$7=$O$26,$B$8=$O$27),Datenbank!$P19)+IF(AND($B$7=$P$26,$B$8=$P$27),Datenbank!$Q19)+IF(AND($B$7=$Q$26,$B$8=$Q$27),Datenbank!$R19)+IF(AND($B$7=$R$26,$B$8=$R$27),Datenbank!$S19)+IF(AND($B$7=$S$26,$B$8=$S$27),Datenbank!$AC19)+IF(AND($B$7=$T$26,$B$8=$T$27),Datenbank!$U19)+IF(AND($B$7=$U$26,$B$8=$U$27),Datenbank!$V19)+IF(AND($B$7=$V$26,$B$8=$V$27),Datenbank!$W19)+IF(AND($B$7=$W$26,$B$8=$W$27),Datenbank!$X19)+IF(AND($B$7=$X$26,$B$8=$X$27),Datenbank!$Y19)+IF(AND($B$7=$Y$26,$B$8=$Y$27),Datenbank!$Z19)+IF(AND($B$7=$Z$26,$B$8=$Z$27),Datenbank!$AA19)+IF(AND($B$7=$AA$26,$B$8=$AA$27),Datenbank!$AB19)+IF(AND($B$7=$AB$26,$B$8=$AB$27),Datenbank!$AC19)+IF(AND($B$7=$AC$26,$B$8=$AC$27),Datenbank!$AD19)+IF(AND($B$7=$AD$26,$B$8=$AD$27),Datenbank!$AE19)+IF(AND($B$7=$AE$26,$B$8=$AE$27),Datenbank!$AF19)+IF(AND($B$7=$AF$26,$B$8=$AF$27),Datenbank!$AG19)+IF(AND($B$7=$AG$26,$B$8=$AG$27),Datenbank!$AH19)+IF(AND($B$7=$AH$26,$B$8=$AH$27),Datenbank!$AI19)+IF(AND($B$7=$AI$26,$B$8=$AI$27),Datenbank!$AJ19)+IF(AND($B$7=$AJ$26,$B$8=$AJ$27),Datenbank!$L19)+IF(AND($B$7=$AK$26,$B$8=$AK$27),Datenbank!$U19)+IF(AND($B$7=$AL$26,$B$8=$AL$27),Datenbank!$AD19)+IF(AND($B$7=$AM$26,$B$8=$AM$27),Datenbank!$AN19)+IF(AND($B$7=$AN$26,$B$8=$AN$27),Datenbank!$AO19)+IF(AND($B$7=$AO$26,$B$8=$AO$27),Datenbank!$AP19)+IF(AND($B$7=$AP$26,$B$8=$AP$27),Datenbank!$AQ19)+IF(AND($B$7=$AQ$26,$B$8=$AQ$27),Datenbank!$AR19)+IF(AND($B$7=$AR$26,$B$8=$AR$27),Datenbank!$AS19)+IF(AND($B$7=$AS$26,$B$8=$AS$27),Datenbank!$M19)+IF(AND($B$7=$AT$26,$B$8=$AT$27),Datenbank!$V19)+IF(AND($B$7=$AU$26,$B$8=$AU$27),Datenbank!$AE19)+IF(AND($B$7=$AV$26,$B$8=$AV$27),Datenbank!$AN19)+IF(AND($B$7=$AW$26,$B$8=$AW$27),Datenbank!$AX19)+IF(AND($B$7=$AX$26,$B$8=$AX$27),Datenbank!$AY19)+IF(AND($B$7=$AY$26,$B$8=$AY$27),Datenbank!$AZ19)+IF(AND($B$7=$AZ$26,$B$8=$AZ$27),Datenbank!$BA19)+IF(AND($B$7=$BA$26,$B$8=$BA$27),Datenbank!$BB19)+IF(AND($B$7=$BB$26,$B$8=$BB$27),Datenbank!$N19)+IF(AND($B$7=$BC$26,$B$8=$BC$27),Datenbank!$W19)+IF(AND($B$7=$BD$26,$B$8=$BD$27),Datenbank!$AF19)+IF(AND($B$7=$BE$26,$B$8=$BE$27),Datenbank!$AO19)+IF(AND($B$7=$BF$26,$B$8=$BF$27),Datenbank!$AX19)+IF(AND($B$7=$BG$26,$B$8=$BG$27),Datenbank!$BH19)+IF(AND($B$7=$BH$26,$B$8=$BH$27),Datenbank!$BI19)+IF(AND($B$7=$BI$26,$B$8=$BI$27),Datenbank!$BJ19)+IF(AND($B$7=$BJ$26,$B$8=$BJ$27),Datenbank!$BK19)+IF(AND($B$7=$BK$26,$B$8=$BK$27),Datenbank!$O19)+IF(AND($B$7=$BL$26,$B$8=$BL$27),Datenbank!$X19)+IF(AND($B$7=$BM$26,$B$8=$BM$27),Datenbank!$AG19)+IF(AND($B$7=$BN$26,$B$8=$BN$27),Datenbank!$AP19)+IF(AND($B$7=$BO$26,$B$8=$BO$27),Datenbank!$AY19)+IF(AND($B$7=$BP$26,$B$8=$BP$27),Datenbank!$BH19)+IF(AND($B$7=$BQ$26,$B$8=$BQ$27),Datenbank!$BR19)+IF(AND($B$7=$BR$26,$B$8=$BR$27),Datenbank!$BS19)+IF(AND($B$7=$BS$26,$B$8=$BS$27),Datenbank!$BT19)+IF(AND($B$7=$BT$26,$B$8=$BT$27),Datenbank!$P19)+IF(AND($B$7=$BU$26,$B$8=$BU$27),Datenbank!$Y19)+IF(AND($B$7=$BV$26,$B$8=$BV$27),Datenbank!$AH19)+IF(AND($B$7=$BW$26,$B$8=$BW$27),Datenbank!$AQ19)+IF(AND($B$7=$BX$26,$B$8=$BX$27),Datenbank!$AZ19)+IF(AND($B$7=$BY$26,$B$8=$BY$27),Datenbank!$BI19)+IF(AND($B$7=$BZ$26,$B$8=$BZ$27),Datenbank!$BR19)+IF(AND($B$7=$CA$26,$B$8=$CA$27),"-")+IF(AND($B$7=$CB$26,$B$8=$CB$27),"-")+IF(AND($B$7=$CC$26,$B$8=$CC$27),Datenbank!$Q19)+IF(AND($B$7=$CD$26,$B$8=$CD$27),Datenbank!$Z19)+IF(AND($B$7=$CE$26,$B$8=$CE$27),Datenbank!$AI19)+IF(AND($B$7=$CF$26,$B$8=$CF$27),Datenbank!$AR19)+IF(AND($B$7=$CG$26,$B$8=$CG$27),Datenbank!$BA19)+IF(AND($B$7=$CH$26,$B$8=$CH$27),Datenbank!$BJ19)+IF(AND($B$7=$CI$26,$B$8=$CI$27),Datenbank!$BS19)+IF(AND($B$7=$CJ$26,$B$8=$CJ$27),"-")+IF(AND($B$7=$CK$26,$B$8=$CK$27),"-")+IF(AND($B$7=$CL$26,$B$8=$CL$27),Datenbank!$R19)+IF(AND($B$7=$CM$26,$B$8=$CM$27),Datenbank!$AA19)+IF(AND($B$7=$CN$26,$B$8=$CN$27),Datenbank!$AJ19)+IF(AND($B$7=$CO$26,$B$8=$CO$27),Datenbank!$AS19)+IF(AND($B$7=$CP$26,$B$8=$CP$27),Datenbank!$BB19)+IF(AND($B$7=$CQ$26,$B$8=$CQ$27),Datenbank!$BK19)+IF(AND($B$7=$CR$26,$B$8=$CR$27),Datenbank!$BT19)+IF(AND($B$7=$CS$26,$B$8=$CS$27),"-")+IF(AND($B$7=$CT$26,$B$8=$CT$27),"-")</f>
        <v>0.94975999999999994</v>
      </c>
      <c r="Z12" s="703" t="s">
        <v>1395</v>
      </c>
      <c r="AB12" s="863">
        <f ca="1">$S$5*Kosten_Fenster_min</f>
        <v>128185.19999999998</v>
      </c>
      <c r="AC12" s="863">
        <f ca="1">$S$5*Kosten_Fenster_max</f>
        <v>192277.8</v>
      </c>
    </row>
    <row r="13" spans="1:29">
      <c r="B13" s="721"/>
      <c r="D13" s="703" t="s">
        <v>1666</v>
      </c>
      <c r="F13" s="855">
        <f ca="1">((0.75*((F7-1)*$F$4*$X$20/1000+(F8-1)*$F$3*$X$20/1000))+(2*$F$3*$X$20/1000+2*$F$4*$X$20/1000))*$B$5</f>
        <v>337.88</v>
      </c>
      <c r="H13" s="703" t="s">
        <v>1656</v>
      </c>
      <c r="I13" s="703"/>
      <c r="J13" s="854">
        <f t="shared" ca="1" si="0"/>
        <v>879.80160000000001</v>
      </c>
      <c r="Z13" s="703" t="s">
        <v>2222</v>
      </c>
      <c r="AB13" s="863">
        <f ca="1">$N$5*Kosten_Fassade_min</f>
        <v>365537.04</v>
      </c>
      <c r="AC13" s="863">
        <f ca="1">$N$5*Kosten_Fassade_max</f>
        <v>415383</v>
      </c>
    </row>
    <row r="14" spans="1:29">
      <c r="A14" s="703" t="s">
        <v>1274</v>
      </c>
      <c r="B14" s="705" t="str">
        <f>'Eingabe und Ergebnis'!B23</f>
        <v>Hessen</v>
      </c>
      <c r="D14" s="703" t="s">
        <v>1667</v>
      </c>
      <c r="F14" s="855">
        <f ca="1">F2-F13</f>
        <v>2047.12</v>
      </c>
      <c r="I14" s="703"/>
      <c r="P14" s="703" t="s">
        <v>1399</v>
      </c>
      <c r="S14" s="847">
        <f>IF($B$7=$B$66,B77)+IF($B$7=$C$66,C77)+IF($B$7=$D$66,D77)+IF($B$7=$E$66,E77)+IF($B$7=$F$66,F77)+IF($B$7=$G$66,G77)+IF($B$7=$H$66,H77)</f>
        <v>0</v>
      </c>
      <c r="U14" s="703" t="s">
        <v>1565</v>
      </c>
      <c r="V14" s="703" t="s">
        <v>883</v>
      </c>
      <c r="X14" s="861">
        <f ca="1">IF(AND($B$7=$B$26,$B$8=$B$27),Datenbank!$C21)+IF(AND($B$7=$C$26,$B$8=$C$27),Datenbank!$D21)+IF(AND($B$7=$D$26,$B$8=$D$27),Datenbank!$E21)+IF(AND($B$7=$E$26,$B$8=$E$27),Datenbank!$F21)+IF(AND($B$7=$F$26,$B$8=$F$27),Datenbank!$G21)+IF(AND($B$7=$G$26,$B$8=$G$27),Datenbank!$H21)+IF(AND($B$7=$H$26,$B$8=$H$27),Datenbank!$I21)+IF(AND($B$7=$I$26,$B$8=$I$27),Datenbank!$S21)+IF(AND($B$7=$J$26,$B$8=$J$27),Datenbank!$AB21)+IF(AND($B$7=$K$26,$B$8=$K$27),Datenbank!$L21)+IF(AND($B$7=$L$26,$B$8=$L$27),Datenbank!$M21)+IF(AND($B$7=$M$26,$B$8=$M$27),Datenbank!N21)+IF(AND($B$7=$N$26,$B$8=$N$27),Datenbank!$O21)+IF(AND($B$7=$O$26,$B$8=$O$27),Datenbank!$P21)+IF(AND($B$7=$P$26,$B$8=$P$27),Datenbank!$Q21)+IF(AND($B$7=$Q$26,$B$8=$Q$27),Datenbank!$R21)+IF(AND($B$7=$R$26,$B$8=$R$27),Datenbank!$S21)+IF(AND($B$7=$S$26,$B$8=$S$27),Datenbank!$AC21)+IF(AND($B$7=$T$26,$B$8=$T$27),Datenbank!$U21)+IF(AND($B$7=$U$26,$B$8=$U$27),Datenbank!$V21)+IF(AND($B$7=$V$26,$B$8=$V$27),Datenbank!$W21)+IF(AND($B$7=$W$26,$B$8=$W$27),Datenbank!$X21)+IF(AND($B$7=$X$26,$B$8=$X$27),Datenbank!$Y21)+IF(AND($B$7=$Y$26,$B$8=$Y$27),Datenbank!$Z21)+IF(AND($B$7=$Z$26,$B$8=$Z$27),Datenbank!$AA21)+IF(AND($B$7=$AA$26,$B$8=$AA$27),Datenbank!$AB21)+IF(AND($B$7=$AB$26,$B$8=$AB$27),Datenbank!$AC21)+IF(AND($B$7=$AC$26,$B$8=$AC$27),Datenbank!$AD21)+IF(AND($B$7=$AD$26,$B$8=$AD$27),Datenbank!$AE21)+IF(AND($B$7=$AE$26,$B$8=$AE$27),Datenbank!$AF21)+IF(AND($B$7=$AF$26,$B$8=$AF$27),Datenbank!$AG21)+IF(AND($B$7=$AG$26,$B$8=$AG$27),Datenbank!$AH21)+IF(AND($B$7=$AH$26,$B$8=$AH$27),Datenbank!$AI21)+IF(AND($B$7=$AI$26,$B$8=$AI$27),Datenbank!$AJ21)+IF(AND($B$7=$AJ$26,$B$8=$AJ$27),Datenbank!$L21)+IF(AND($B$7=$AK$26,$B$8=$AK$27),Datenbank!$U21)+IF(AND($B$7=$AL$26,$B$8=$AL$27),Datenbank!$AD21)+IF(AND($B$7=$AM$26,$B$8=$AM$27),Datenbank!$AN21)+IF(AND($B$7=$AN$26,$B$8=$AN$27),Datenbank!$AO21)+IF(AND($B$7=$AO$26,$B$8=$AO$27),Datenbank!$AP21)+IF(AND($B$7=$AP$26,$B$8=$AP$27),Datenbank!$AQ21)+IF(AND($B$7=$AQ$26,$B$8=$AQ$27),Datenbank!$AR21)+IF(AND($B$7=$AR$26,$B$8=$AR$27),Datenbank!$AS21)+IF(AND($B$7=$AS$26,$B$8=$AS$27),Datenbank!$M21)+IF(AND($B$7=$AT$26,$B$8=$AT$27),Datenbank!$V21)+IF(AND($B$7=$AU$26,$B$8=$AU$27),Datenbank!$AE21)+IF(AND($B$7=$AV$26,$B$8=$AV$27),Datenbank!$AN21)+IF(AND($B$7=$AW$26,$B$8=$AW$27),Datenbank!$AX21)+IF(AND($B$7=$AX$26,$B$8=$AX$27),Datenbank!$AY21)+IF(AND($B$7=$AY$26,$B$8=$AY$27),Datenbank!$AZ21)+IF(AND($B$7=$AZ$26,$B$8=$AZ$27),Datenbank!$BA21)+IF(AND($B$7=$BA$26,$B$8=$BA$27),Datenbank!$BB21)+IF(AND($B$7=$BB$26,$B$8=$BB$27),Datenbank!$N21)+IF(AND($B$7=$BC$26,$B$8=$BC$27),Datenbank!$W21)+IF(AND($B$7=$BD$26,$B$8=$BD$27),Datenbank!$AF21)+IF(AND($B$7=$BE$26,$B$8=$BE$27),Datenbank!$AO21)+IF(AND($B$7=$BF$26,$B$8=$BF$27),Datenbank!$AX21)+IF(AND($B$7=$BG$26,$B$8=$BG$27),Datenbank!$BH21)+IF(AND($B$7=$BH$26,$B$8=$BH$27),Datenbank!$BI21)+IF(AND($B$7=$BI$26,$B$8=$BI$27),Datenbank!$BJ21)+IF(AND($B$7=$BJ$26,$B$8=$BJ$27),Datenbank!$BK21)+IF(AND($B$7=$BK$26,$B$8=$BK$27),Datenbank!$O21)+IF(AND($B$7=$BL$26,$B$8=$BL$27),Datenbank!$X21)+IF(AND($B$7=$BM$26,$B$8=$BM$27),Datenbank!$AG21)+IF(AND($B$7=$BN$26,$B$8=$BN$27),Datenbank!$AP21)+IF(AND($B$7=$BO$26,$B$8=$BO$27),Datenbank!$AY21)+IF(AND($B$7=$BP$26,$B$8=$BP$27),Datenbank!$BH21)+IF(AND($B$7=$BQ$26,$B$8=$BQ$27),Datenbank!$BR21)+IF(AND($B$7=$BR$26,$B$8=$BR$27),Datenbank!$BS21)+IF(AND($B$7=$BS$26,$B$8=$BS$27),Datenbank!$BT21)+IF(AND($B$7=$BT$26,$B$8=$BT$27),Datenbank!$P21)+IF(AND($B$7=$BU$26,$B$8=$BU$27),Datenbank!$Y21)+IF(AND($B$7=$BV$26,$B$8=$BV$27),Datenbank!$AH21)+IF(AND($B$7=$BW$26,$B$8=$BW$27),Datenbank!$AQ21)+IF(AND($B$7=$BX$26,$B$8=$BX$27),Datenbank!$AZ21)+IF(AND($B$7=$BY$26,$B$8=$BY$27),Datenbank!$BI21)+IF(AND($B$7=$BZ$26,$B$8=$BZ$27),Datenbank!$BR21)+IF(AND($B$7=$CA$26,$B$8=$CA$27),"-")+IF(AND($B$7=$CB$26,$B$8=$CB$27),"-")+IF(AND($B$7=$CC$26,$B$8=$CC$27),Datenbank!$Q21)+IF(AND($B$7=$CD$26,$B$8=$CD$27),Datenbank!$Z21)+IF(AND($B$7=$CE$26,$B$8=$CE$27),Datenbank!$AI21)+IF(AND($B$7=$CF$26,$B$8=$CF$27),Datenbank!$AR21)+IF(AND($B$7=$CG$26,$B$8=$CG$27),Datenbank!$BA21)+IF(AND($B$7=$CH$26,$B$8=$CH$27),Datenbank!$BJ21)+IF(AND($B$7=$CI$26,$B$8=$CI$27),Datenbank!$BS21)+IF(AND($B$7=$CJ$26,$B$8=$CJ$27),"-")+IF(AND($B$7=$CK$26,$B$8=$CK$27),"-")+IF(AND($B$7=$CL$26,$B$8=$CL$27),Datenbank!$R21)+IF(AND($B$7=$CM$26,$B$8=$CM$27),Datenbank!$AA21)+IF(AND($B$7=$CN$26,$B$8=$CN$27),Datenbank!$AJ21)+IF(AND($B$7=$CO$26,$B$8=$CO$27),Datenbank!$AS21)+IF(AND($B$7=$CP$26,$B$8=$CP$27),Datenbank!$BB21)+IF(AND($B$7=$CQ$26,$B$8=$CQ$27),Datenbank!$BK21)+IF(AND($B$7=$CR$26,$B$8=$CR$27),Datenbank!$BT21)+IF(AND($B$7=$CS$26,$B$8=$CS$27),"-")+IF(AND($B$7=$CT$26,$B$8=$CT$27),"-")</f>
        <v>3.4350000000000001</v>
      </c>
      <c r="Z14" s="703" t="s">
        <v>2349</v>
      </c>
      <c r="AB14" s="863">
        <f>$N$2*Kosten_Dachaufbau_min</f>
        <v>85859.999999999985</v>
      </c>
      <c r="AC14" s="863">
        <f>$N$2*Kosten_Dachaufbau_max</f>
        <v>119249.99999999999</v>
      </c>
    </row>
    <row r="15" spans="1:29">
      <c r="A15" s="857" t="s">
        <v>1693</v>
      </c>
      <c r="B15" s="856">
        <f>IF('Eingabe und Ergebnis'!B23=Datenbank!A77,Datenbank!C77,IF('Eingabe und Ergebnis'!B23=Datenbank!A78,Datenbank!C78,IF('Eingabe und Ergebnis'!B23=Datenbank!A79,Datenbank!C79,IF('Eingabe und Ergebnis'!B23=Datenbank!A80,Datenbank!C80,IF('Eingabe und Ergebnis'!B23=Datenbank!A81,Datenbank!C81,IF('Eingabe und Ergebnis'!B23=Datenbank!A82,Datenbank!C82,IF('Eingabe und Ergebnis'!B23=Datenbank!A83,Datenbank!C83,IF('Eingabe und Ergebnis'!B23=Datenbank!A84,Datenbank!C84,IF('Eingabe und Ergebnis'!B23=Datenbank!A85,Datenbank!C85,IF('Eingabe und Ergebnis'!B23=Datenbank!A86,Datenbank!C86,IF('Eingabe und Ergebnis'!B23=Datenbank!A86,Datenbank!C86,IF('Eingabe und Ergebnis'!B23=Datenbank!A87,Datenbank!C87,IF('Eingabe und Ergebnis'!B23=Datenbank!A88,Datenbank!C88,IF('Eingabe und Ergebnis'!B23=Datenbank!A89,Datenbank!C89,IF('Eingabe und Ergebnis'!B23=Datenbank!A90,Datenbank!C90,IF('Eingabe und Ergebnis'!B23=Datenbank!A91,Datenbank!C91,IF('Eingabe und Ergebnis'!B23=Datenbank!A92,Datenbank!C92)))))))))))))))))</f>
        <v>0.1</v>
      </c>
      <c r="D15" s="703" t="s">
        <v>1668</v>
      </c>
      <c r="F15" s="847">
        <f ca="1">Rechenmodell!F14/Rechenmodell!F2</f>
        <v>0.85833123689727464</v>
      </c>
      <c r="P15" s="703" t="s">
        <v>1400</v>
      </c>
      <c r="Z15" s="724" t="s">
        <v>1330</v>
      </c>
      <c r="AA15" s="724"/>
      <c r="AB15" s="864">
        <f ca="1">SUM(AB12:AB14)</f>
        <v>579582.24</v>
      </c>
      <c r="AC15" s="864">
        <f ca="1">SUM(AC12:AC14)</f>
        <v>726910.8</v>
      </c>
    </row>
    <row r="16" spans="1:29">
      <c r="A16" s="703" t="s">
        <v>1662</v>
      </c>
      <c r="B16" s="705">
        <f>IF(B14=Datenbank!A77,Datenbank!E77)+IF(B14=Datenbank!A78,Datenbank!E78)+IF(B14=Datenbank!A79,Datenbank!E79)+IF(B14=Datenbank!A80,Datenbank!E80)+IF(B14=Datenbank!A81,Datenbank!E81)+IF(B14=Datenbank!A82,Datenbank!E82)+IF(B14=Datenbank!A83,Datenbank!E83)+IF(B14=Datenbank!A84,Datenbank!E84)+IF(B14=Datenbank!A85,Datenbank!E85)+IF(B14=Datenbank!A86,Datenbank!E86)+IF(B14=Datenbank!A87,Datenbank!E87)+IF(B14=Datenbank!A88,Datenbank!E88)+IF(B14=Datenbank!A89,Datenbank!E89)+IF(B14=Datenbank!A90,Datenbank!E90)+IF(B14=Datenbank!A91,Datenbank!E91)+IF(B14=Datenbank!A92,Datenbank!E92)</f>
        <v>2.4</v>
      </c>
      <c r="F16" s="847"/>
      <c r="U16" s="703" t="s">
        <v>961</v>
      </c>
      <c r="Z16" s="703" t="s">
        <v>1661</v>
      </c>
      <c r="AB16" s="863">
        <f ca="1">AB15/$F$2</f>
        <v>243.01142138364779</v>
      </c>
      <c r="AC16" s="863">
        <f ca="1">AC15/$F$2</f>
        <v>304.78440251572329</v>
      </c>
    </row>
    <row r="17" spans="1:98">
      <c r="B17" s="721"/>
      <c r="F17" s="847"/>
      <c r="U17" s="716"/>
      <c r="V17" s="857" t="s">
        <v>1528</v>
      </c>
      <c r="X17" s="861">
        <f>IF(AND($B$7=$B$26,$B$8=$B$27),Datenbank!$C24)+IF(AND($B$7=$C$26,$B$8=$C$27),Datenbank!$D24)+IF(AND($B$7=$D$26,$B$8=$D$27),Datenbank!$E24)+IF(AND($B$7=$E$26,$B$8=$E$27),Datenbank!$F24)+IF(AND($B$7=$F$26,$B$8=$F$27),Datenbank!$G24)+IF(AND($B$7=$G$26,$B$8=$G$27),Datenbank!$H24)+IF(AND($B$7=$H$26,$B$8=$H$27),Datenbank!$I24)+IF(AND($B$7=$I$26,$B$8=$I$27),Datenbank!$S24)+IF(AND($B$7=$J$26,$B$8=$J$27),Datenbank!$AB24)+IF(AND($B$7=$K$26,$B$8=$K$27),Datenbank!$L24)+IF(AND($B$7=$L$26,$B$8=$L$27),Datenbank!$M24)+IF(AND($B$7=$M$26,$B$8=$M$27),Datenbank!N24)+IF(AND($B$7=$N$26,$B$8=$N$27),Datenbank!$O24)+IF(AND($B$7=$O$26,$B$8=$O$27),Datenbank!$P24)+IF(AND($B$7=$P$26,$B$8=$P$27),Datenbank!$Q24)+IF(AND($B$7=$Q$26,$B$8=$Q$27),Datenbank!$R24)+IF(AND($B$7=$R$26,$B$8=$R$27),Datenbank!$S24)+IF(AND($B$7=$S$26,$B$8=$S$27),Datenbank!$AC24)+IF(AND($B$7=$T$26,$B$8=$T$27),Datenbank!$U24)+IF(AND($B$7=$U$26,$B$8=$U$27),Datenbank!$V24)+IF(AND($B$7=$V$26,$B$8=$V$27),Datenbank!$W24)+IF(AND($B$7=$W$26,$B$8=$W$27),Datenbank!$X24)+IF(AND($B$7=$X$26,$B$8=$X$27),Datenbank!$Y24)+IF(AND($B$7=$Y$26,$B$8=$Y$27),Datenbank!$Z24)+IF(AND($B$7=$Z$26,$B$8=$Z$27),Datenbank!$AA24)+IF(AND($B$7=$AA$26,$B$8=$AA$27),Datenbank!$AB24)+IF(AND($B$7=$AB$26,$B$8=$AB$27),Datenbank!$AC24)+IF(AND($B$7=$AC$26,$B$8=$AC$27),Datenbank!$AD24)+IF(AND($B$7=$AD$26,$B$8=$AD$27),Datenbank!$AE24)+IF(AND($B$7=$AE$26,$B$8=$AE$27),Datenbank!$AF24)+IF(AND($B$7=$AF$26,$B$8=$AF$27),Datenbank!$AG24)+IF(AND($B$7=$AG$26,$B$8=$AG$27),Datenbank!$AH24)+IF(AND($B$7=$AH$26,$B$8=$AH$27),Datenbank!$AI24)+IF(AND($B$7=$AI$26,$B$8=$AI$27),Datenbank!$AJ24)+IF(AND($B$7=$AJ$26,$B$8=$AJ$27),Datenbank!$L24)+IF(AND($B$7=$AK$26,$B$8=$AK$27),Datenbank!$U24)+IF(AND($B$7=$AL$26,$B$8=$AL$27),Datenbank!$AD24)+IF(AND($B$7=$AM$26,$B$8=$AM$27),Datenbank!$AN24)+IF(AND($B$7=$AN$26,$B$8=$AN$27),Datenbank!$AO24)+IF(AND($B$7=$AO$26,$B$8=$AO$27),Datenbank!$AP24)+IF(AND($B$7=$AP$26,$B$8=$AP$27),Datenbank!$AQ24)+IF(AND($B$7=$AQ$26,$B$8=$AQ$27),Datenbank!$AR24)+IF(AND($B$7=$AR$26,$B$8=$AR$27),Datenbank!$AS24)+IF(AND($B$7=$AS$26,$B$8=$AS$27),Datenbank!$M24)+IF(AND($B$7=$AT$26,$B$8=$AT$27),Datenbank!$V24)+IF(AND($B$7=$AU$26,$B$8=$AU$27),Datenbank!$AE24)+IF(AND($B$7=$AV$26,$B$8=$AV$27),Datenbank!$AN24)+IF(AND($B$7=$AW$26,$B$8=$AW$27),Datenbank!$AX24)+IF(AND($B$7=$AX$26,$B$8=$AX$27),Datenbank!$AY24)+IF(AND($B$7=$AY$26,$B$8=$AY$27),Datenbank!$AZ24)+IF(AND($B$7=$AZ$26,$B$8=$AZ$27),Datenbank!$BA24)+IF(AND($B$7=$BA$26,$B$8=$BA$27),Datenbank!$BB24)+IF(AND($B$7=$BB$26,$B$8=$BB$27),Datenbank!$N24)+IF(AND($B$7=$BC$26,$B$8=$BC$27),Datenbank!$W24)+IF(AND($B$7=$BD$26,$B$8=$BD$27),Datenbank!$AF24)+IF(AND($B$7=$BE$26,$B$8=$BE$27),Datenbank!$AO24)+IF(AND($B$7=$BF$26,$B$8=$BF$27),Datenbank!$AX24)+IF(AND($B$7=$BG$26,$B$8=$BG$27),Datenbank!$BH24)+IF(AND($B$7=$BH$26,$B$8=$BH$27),Datenbank!$BI24)+IF(AND($B$7=$BI$26,$B$8=$BI$27),Datenbank!$BJ24)+IF(AND($B$7=$BJ$26,$B$8=$BJ$27),Datenbank!$BK24)+IF(AND($B$7=$BK$26,$B$8=$BK$27),Datenbank!$O24)+IF(AND($B$7=$BL$26,$B$8=$BL$27),Datenbank!$X24)+IF(AND($B$7=$BM$26,$B$8=$BM$27),Datenbank!$AG24)+IF(AND($B$7=$BN$26,$B$8=$BN$27),Datenbank!$AP24)+IF(AND($B$7=$BO$26,$B$8=$BO$27),Datenbank!$AY24)+IF(AND($B$7=$BP$26,$B$8=$BP$27),Datenbank!$BH24)+IF(AND($B$7=$BQ$26,$B$8=$BQ$27),Datenbank!$BR24)+IF(AND($B$7=$BR$26,$B$8=$BR$27),Datenbank!$BS24)+IF(AND($B$7=$BS$26,$B$8=$BS$27),Datenbank!$BT24)+IF(AND($B$7=$BT$26,$B$8=$BT$27),Datenbank!$P24)+IF(AND($B$7=$BU$26,$B$8=$BU$27),Datenbank!$Y24)+IF(AND($B$7=$BV$26,$B$8=$BV$27),Datenbank!$AH24)+IF(AND($B$7=$BW$26,$B$8=$BW$27),Datenbank!$AQ24)+IF(AND($B$7=$BX$26,$B$8=$BX$27),Datenbank!$AZ24)+IF(AND($B$7=$BY$26,$B$8=$BY$27),Datenbank!$BI24)+IF(AND($B$7=$BZ$26,$B$8=$BZ$27),Datenbank!$BR24)+IF(AND($B$7=$CA$26,$B$8=$CA$27),"-")+IF(AND($B$7=$CB$26,$B$8=$CB$27),"-")+IF(AND($B$7=$CC$26,$B$8=$CC$27),Datenbank!$Q24)+IF(AND($B$7=$CD$26,$B$8=$CD$27),Datenbank!$Z24)+IF(AND($B$7=$CE$26,$B$8=$CE$27),Datenbank!$AI24)+IF(AND($B$7=$CF$26,$B$8=$CF$27),Datenbank!$AR24)+IF(AND($B$7=$CG$26,$B$8=$CG$27),Datenbank!$BA24)+IF(AND($B$7=$CH$26,$B$8=$CH$27),Datenbank!$BJ24)+IF(AND($B$7=$CI$26,$B$8=$CI$27),Datenbank!$BS24)+IF(AND($B$7=$CJ$26,$B$8=$CJ$27),"-")+IF(AND($B$7=$CK$26,$B$8=$CK$27),"-")+IF(AND($B$7=$CL$26,$B$8=$CL$27),Datenbank!$R24)+IF(AND($B$7=$CM$26,$B$8=$CM$27),Datenbank!$AA24)+IF(AND($B$7=$CN$26,$B$8=$CN$27),Datenbank!$AJ24)+IF(AND($B$7=$CO$26,$B$8=$CO$27),Datenbank!$AS24)+IF(AND($B$7=$CP$26,$B$8=$CP$27),Datenbank!$BB24)+IF(AND($B$7=$CQ$26,$B$8=$CQ$27),Datenbank!$BK24)+IF(AND($B$7=$CR$26,$B$8=$CR$27),Datenbank!$BT24)+IF(AND($B$7=$CS$26,$B$8=$CS$27),"-")+IF(AND($B$7=$CT$26,$B$8=$CT$27),"-")</f>
        <v>5</v>
      </c>
    </row>
    <row r="18" spans="1:98" ht="14.5" customHeight="1">
      <c r="A18" s="1105" t="s">
        <v>1812</v>
      </c>
      <c r="B18" s="1106">
        <f>'Eingabe und Ergebnis'!B31</f>
        <v>3</v>
      </c>
      <c r="C18" s="1066"/>
      <c r="D18" s="1066" t="s">
        <v>1821</v>
      </c>
      <c r="E18" s="1066"/>
      <c r="F18" s="1107">
        <f>IF($B$19=Datenbank!$A$50,Datenbank!$C$50)+IF($B$19=Datenbank!$A$51,Datenbank!$C$51)+IF($B$19=Datenbank!$A$52,Datenbank!$C$52)</f>
        <v>17.64</v>
      </c>
      <c r="G18" s="1066"/>
      <c r="H18" s="1066" t="s">
        <v>2175</v>
      </c>
      <c r="I18" s="1068"/>
      <c r="J18" s="1107">
        <f>IF($B$19=Datenbank!$A$50,4.2)+IF($B$19=Datenbank!$A$51,4.2)+IF($B$19=Datenbank!$A$52,6)</f>
        <v>4.2</v>
      </c>
      <c r="K18" s="1066"/>
      <c r="L18" s="1066" t="s">
        <v>2176</v>
      </c>
      <c r="M18" s="1066"/>
      <c r="N18" s="1139">
        <f>IF($B$19=Datenbank!$A$50,4.2)+IF($B$19=Datenbank!$A$51,2.3)+IF($B$19=Datenbank!$A$52,2.3)</f>
        <v>4.2</v>
      </c>
      <c r="U18" s="716"/>
      <c r="V18" s="716" t="s">
        <v>1529</v>
      </c>
      <c r="X18" s="859">
        <f>IF(AND($B$7=$B$26,$B$8=$B$27),Datenbank!$C25)+IF(AND($B$7=$C$26,$B$8=$C$27),Datenbank!$D25)+IF(AND($B$7=$D$26,$B$8=$D$27),Datenbank!$E25)+IF(AND($B$7=$E$26,$B$8=$E$27),Datenbank!$F25)+IF(AND($B$7=$F$26,$B$8=$F$27),Datenbank!$G25)+IF(AND($B$7=$G$26,$B$8=$G$27),Datenbank!$H25)+IF(AND($B$7=$H$26,$B$8=$H$27),Datenbank!$I25)+IF(AND($B$7=$I$26,$B$8=$I$27),Datenbank!$S25)+IF(AND($B$7=$J$26,$B$8=$J$27),Datenbank!$AB25)+IF(AND($B$7=$K$26,$B$8=$K$27),Datenbank!$L25)+IF(AND($B$7=$L$26,$B$8=$L$27),Datenbank!$M25)+IF(AND($B$7=$M$26,$B$8=$M$27),Datenbank!N25)+IF(AND($B$7=$N$26,$B$8=$N$27),Datenbank!$O25)+IF(AND($B$7=$O$26,$B$8=$O$27),Datenbank!$P25)+IF(AND($B$7=$P$26,$B$8=$P$27),Datenbank!$Q25)+IF(AND($B$7=$Q$26,$B$8=$Q$27),Datenbank!$R25)+IF(AND($B$7=$R$26,$B$8=$R$27),Datenbank!$S25)+IF(AND($B$7=$S$26,$B$8=$S$27),Datenbank!$AC25)+IF(AND($B$7=$T$26,$B$8=$T$27),Datenbank!$U25)+IF(AND($B$7=$U$26,$B$8=$U$27),Datenbank!$V25)+IF(AND($B$7=$V$26,$B$8=$V$27),Datenbank!$W25)+IF(AND($B$7=$W$26,$B$8=$W$27),Datenbank!$X25)+IF(AND($B$7=$X$26,$B$8=$X$27),Datenbank!$Y25)+IF(AND($B$7=$Y$26,$B$8=$Y$27),Datenbank!$Z25)+IF(AND($B$7=$Z$26,$B$8=$Z$27),Datenbank!$AA25)+IF(AND($B$7=$AA$26,$B$8=$AA$27),Datenbank!$AB25)+IF(AND($B$7=$AB$26,$B$8=$AB$27),Datenbank!$AC25)+IF(AND($B$7=$AC$26,$B$8=$AC$27),Datenbank!$AD25)+IF(AND($B$7=$AD$26,$B$8=$AD$27),Datenbank!$AE25)+IF(AND($B$7=$AE$26,$B$8=$AE$27),Datenbank!$AF25)+IF(AND($B$7=$AF$26,$B$8=$AF$27),Datenbank!$AG25)+IF(AND($B$7=$AG$26,$B$8=$AG$27),Datenbank!$AH25)+IF(AND($B$7=$AH$26,$B$8=$AH$27),Datenbank!$AI25)+IF(AND($B$7=$AI$26,$B$8=$AI$27),Datenbank!$AJ25)+IF(AND($B$7=$AJ$26,$B$8=$AJ$27),Datenbank!$L25)+IF(AND($B$7=$AK$26,$B$8=$AK$27),Datenbank!$U25)+IF(AND($B$7=$AL$26,$B$8=$AL$27),Datenbank!$AD25)+IF(AND($B$7=$AM$26,$B$8=$AM$27),Datenbank!$AN25)+IF(AND($B$7=$AN$26,$B$8=$AN$27),Datenbank!$AO25)+IF(AND($B$7=$AO$26,$B$8=$AO$27),Datenbank!$AP25)+IF(AND($B$7=$AP$26,$B$8=$AP$27),Datenbank!$AQ25)+IF(AND($B$7=$AQ$26,$B$8=$AQ$27),Datenbank!$AR25)+IF(AND($B$7=$AR$26,$B$8=$AR$27),Datenbank!$AS25)+IF(AND($B$7=$AS$26,$B$8=$AS$27),Datenbank!$M25)+IF(AND($B$7=$AT$26,$B$8=$AT$27),Datenbank!$V25)+IF(AND($B$7=$AU$26,$B$8=$AU$27),Datenbank!$AE25)+IF(AND($B$7=$AV$26,$B$8=$AV$27),Datenbank!$AN25)+IF(AND($B$7=$AW$26,$B$8=$AW$27),Datenbank!$AX25)+IF(AND($B$7=$AX$26,$B$8=$AX$27),Datenbank!$AY25)+IF(AND($B$7=$AY$26,$B$8=$AY$27),Datenbank!$AZ25)+IF(AND($B$7=$AZ$26,$B$8=$AZ$27),Datenbank!$BA25)+IF(AND($B$7=$BA$26,$B$8=$BA$27),Datenbank!$BB25)+IF(AND($B$7=$BB$26,$B$8=$BB$27),Datenbank!$N25)+IF(AND($B$7=$BC$26,$B$8=$BC$27),Datenbank!$W25)+IF(AND($B$7=$BD$26,$B$8=$BD$27),Datenbank!$AF25)+IF(AND($B$7=$BE$26,$B$8=$BE$27),Datenbank!$AO25)+IF(AND($B$7=$BF$26,$B$8=$BF$27),Datenbank!$AX25)+IF(AND($B$7=$BG$26,$B$8=$BG$27),Datenbank!$BH25)+IF(AND($B$7=$BH$26,$B$8=$BH$27),Datenbank!$BI25)+IF(AND($B$7=$BI$26,$B$8=$BI$27),Datenbank!$BJ25)+IF(AND($B$7=$BJ$26,$B$8=$BJ$27),Datenbank!$BK25)+IF(AND($B$7=$BK$26,$B$8=$BK$27),Datenbank!$O25)+IF(AND($B$7=$BL$26,$B$8=$BL$27),Datenbank!$X25)+IF(AND($B$7=$BM$26,$B$8=$BM$27),Datenbank!$AG25)+IF(AND($B$7=$BN$26,$B$8=$BN$27),Datenbank!$AP25)+IF(AND($B$7=$BO$26,$B$8=$BO$27),Datenbank!$AY25)+IF(AND($B$7=$BP$26,$B$8=$BP$27),Datenbank!$BH25)+IF(AND($B$7=$BQ$26,$B$8=$BQ$27),Datenbank!$BR25)+IF(AND($B$7=$BR$26,$B$8=$BR$27),Datenbank!$BS25)+IF(AND($B$7=$BS$26,$B$8=$BS$27),Datenbank!$BT25)+IF(AND($B$7=$BT$26,$B$8=$BT$27),Datenbank!$P25)+IF(AND($B$7=$BU$26,$B$8=$BU$27),Datenbank!$Y25)+IF(AND($B$7=$BV$26,$B$8=$BV$27),Datenbank!$AH25)+IF(AND($B$7=$BW$26,$B$8=$BW$27),Datenbank!$AQ25)+IF(AND($B$7=$BX$26,$B$8=$BX$27),Datenbank!$AZ25)+IF(AND($B$7=$BY$26,$B$8=$BY$27),Datenbank!$BI25)+IF(AND($B$7=$BZ$26,$B$8=$BZ$27),Datenbank!$BR25)+IF(AND($B$7=$CA$26,$B$8=$CA$27),"-")+IF(AND($B$7=$CB$26,$B$8=$CB$27),"-")+IF(AND($B$7=$CC$26,$B$8=$CC$27),Datenbank!$Q25)+IF(AND($B$7=$CD$26,$B$8=$CD$27),Datenbank!$Z25)+IF(AND($B$7=$CE$26,$B$8=$CE$27),Datenbank!$AI25)+IF(AND($B$7=$CF$26,$B$8=$CF$27),Datenbank!$AR25)+IF(AND($B$7=$CG$26,$B$8=$CG$27),Datenbank!$BA25)+IF(AND($B$7=$CH$26,$B$8=$CH$27),Datenbank!$BJ25)+IF(AND($B$7=$CI$26,$B$8=$CI$27),Datenbank!$BS25)+IF(AND($B$7=$CJ$26,$B$8=$CJ$27),"-")+IF(AND($B$7=$CK$26,$B$8=$CK$27),"-")+IF(AND($B$7=$CL$26,$B$8=$CL$27),Datenbank!$R25)+IF(AND($B$7=$CM$26,$B$8=$CM$27),Datenbank!$AA25)+IF(AND($B$7=$CN$26,$B$8=$CN$27),Datenbank!$AJ25)+IF(AND($B$7=$CO$26,$B$8=$CO$27),Datenbank!$AS25)+IF(AND($B$7=$CP$26,$B$8=$CP$27),Datenbank!$BB25)+IF(AND($B$7=$CQ$26,$B$8=$CQ$27),Datenbank!$BK25)+IF(AND($B$7=$CR$26,$B$8=$CR$27),Datenbank!$BT25)+IF(AND($B$7=$CS$26,$B$8=$CS$27),"-")+IF(AND($B$7=$CT$26,$B$8=$CT$27),"-")</f>
        <v>5.3</v>
      </c>
    </row>
    <row r="19" spans="1:98" ht="26.5" customHeight="1">
      <c r="A19" s="1108" t="s">
        <v>1815</v>
      </c>
      <c r="B19" s="1109" t="str">
        <f>'Eingabe und Ergebnis'!B32</f>
        <v>A: mit Fahrstuhl</v>
      </c>
      <c r="D19" s="1079" t="s">
        <v>1818</v>
      </c>
      <c r="F19" s="859">
        <f t="array" ref="F19">SUM(IF((B26:CT26=B7)*(B27:CT27=B8)*(Datenbank!A50:A52=Rechenmodell!B19),(Rechenmodell!B61:CT63)))</f>
        <v>1</v>
      </c>
      <c r="H19" s="1079"/>
      <c r="J19" s="705">
        <f>IF($F$19=Datenbank!$T$56,Rechenmodell!$F$19*$B$7)+IF($F$19=Datenbank!$U$56,Rechenmodell!$F$19*Rechenmodell!$B$7)+IF(Rechenmodell!$F$19=Datenbank!$V$56,Rechenmodell!$F$19*Rechenmodell!$B$7)+IF(Rechenmodell!$F$19=Datenbank!$W$56,Rechenmodell!$B$7*2)+IF(Rechenmodell!$F$19=Datenbank!$X$56,3*Rechenmodell!$B$7)</f>
        <v>5.3</v>
      </c>
      <c r="K19" s="705"/>
      <c r="N19" s="1141">
        <f>IF($F$19=Datenbank!$T$56,Rechenmodell!$F$19*$B$8)+IF($F$19=Datenbank!$U$56,1*$B$8)+IF(Rechenmodell!$F$19=Datenbank!$V$56,1*$B$8)+IF(Rechenmodell!$F$19=Datenbank!$W$56,$B$8*2)+IF(Rechenmodell!$F$19=Datenbank!$X$56,2*$B$8)</f>
        <v>5</v>
      </c>
      <c r="O19" s="705"/>
      <c r="V19" s="1080" t="s">
        <v>1550</v>
      </c>
      <c r="X19" s="859">
        <f ca="1">IF(AND($B$7=$B$26,$B$8=$B$27),Datenbank!$C26)+IF(AND($B$7=$C$26,$B$8=$C$27),Datenbank!$D26)+IF(AND($B$7=$D$26,$B$8=$D$27),Datenbank!$E26)+IF(AND($B$7=$E$26,$B$8=$E$27),Datenbank!$F26)+IF(AND($B$7=$F$26,$B$8=$F$27),Datenbank!$G26)+IF(AND($B$7=$G$26,$B$8=$G$27),Datenbank!$H26)+IF(AND($B$7=$H$26,$B$8=$H$27),Datenbank!$I26)+IF(AND($B$7=$I$26,$B$8=$I$27),Datenbank!$S26)+IF(AND($B$7=$J$26,$B$8=$J$27),Datenbank!$AB26)+IF(AND($B$7=$K$26,$B$8=$K$27),Datenbank!$L26)+IF(AND($B$7=$L$26,$B$8=$L$27),Datenbank!$M26)+IF(AND($B$7=$M$26,$B$8=$M$27),Datenbank!N26)+IF(AND($B$7=$N$26,$B$8=$N$27),Datenbank!$O26)+IF(AND($B$7=$O$26,$B$8=$O$27),Datenbank!$P26)+IF(AND($B$7=$P$26,$B$8=$P$27),Datenbank!$Q26)+IF(AND($B$7=$Q$26,$B$8=$Q$27),Datenbank!$R26)+IF(AND($B$7=$R$26,$B$8=$R$27),Datenbank!$S26)+IF(AND($B$7=$S$26,$B$8=$S$27),Datenbank!$AC26)+IF(AND($B$7=$T$26,$B$8=$T$27),Datenbank!$U26)+IF(AND($B$7=$U$26,$B$8=$U$27),Datenbank!$V26)+IF(AND($B$7=$V$26,$B$8=$V$27),Datenbank!$W26)+IF(AND($B$7=$W$26,$B$8=$W$27),Datenbank!$X26)+IF(AND($B$7=$X$26,$B$8=$X$27),Datenbank!$Y26)+IF(AND($B$7=$Y$26,$B$8=$Y$27),Datenbank!$Z26)+IF(AND($B$7=$Z$26,$B$8=$Z$27),Datenbank!$AA26)+IF(AND($B$7=$AA$26,$B$8=$AA$27),Datenbank!$AB26)+IF(AND($B$7=$AB$26,$B$8=$AB$27),Datenbank!$AC26)+IF(AND($B$7=$AC$26,$B$8=$AC$27),Datenbank!$AD26)+IF(AND($B$7=$AD$26,$B$8=$AD$27),Datenbank!$AE26)+IF(AND($B$7=$AE$26,$B$8=$AE$27),Datenbank!$AF26)+IF(AND($B$7=$AF$26,$B$8=$AF$27),Datenbank!$AG26)+IF(AND($B$7=$AG$26,$B$8=$AG$27),Datenbank!$AH26)+IF(AND($B$7=$AH$26,$B$8=$AH$27),Datenbank!$AI26)+IF(AND($B$7=$AI$26,$B$8=$AI$27),Datenbank!$AJ26)+IF(AND($B$7=$AJ$26,$B$8=$AJ$27),Datenbank!$L26)+IF(AND($B$7=$AK$26,$B$8=$AK$27),Datenbank!$U26)+IF(AND($B$7=$AL$26,$B$8=$AL$27),Datenbank!$AD26)+IF(AND($B$7=$AM$26,$B$8=$AM$27),Datenbank!$AN26)+IF(AND($B$7=$AN$26,$B$8=$AN$27),Datenbank!$AO26)+IF(AND($B$7=$AO$26,$B$8=$AO$27),Datenbank!$AP26)+IF(AND($B$7=$AP$26,$B$8=$AP$27),Datenbank!$AQ26)+IF(AND($B$7=$AQ$26,$B$8=$AQ$27),Datenbank!$AR26)+IF(AND($B$7=$AR$26,$B$8=$AR$27),Datenbank!$AS26)+IF(AND($B$7=$AS$26,$B$8=$AS$27),Datenbank!$M26)+IF(AND($B$7=$AT$26,$B$8=$AT$27),Datenbank!$V26)+IF(AND($B$7=$AU$26,$B$8=$AU$27),Datenbank!$AE26)+IF(AND($B$7=$AV$26,$B$8=$AV$27),Datenbank!$AN26)+IF(AND($B$7=$AW$26,$B$8=$AW$27),Datenbank!$AX26)+IF(AND($B$7=$AX$26,$B$8=$AX$27),Datenbank!$AY26)+IF(AND($B$7=$AY$26,$B$8=$AY$27),Datenbank!$AZ26)+IF(AND($B$7=$AZ$26,$B$8=$AZ$27),Datenbank!$BA26)+IF(AND($B$7=$BA$26,$B$8=$BA$27),Datenbank!$BB26)+IF(AND($B$7=$BB$26,$B$8=$BB$27),Datenbank!$N26)+IF(AND($B$7=$BC$26,$B$8=$BC$27),Datenbank!$W26)+IF(AND($B$7=$BD$26,$B$8=$BD$27),Datenbank!$AF26)+IF(AND($B$7=$BE$26,$B$8=$BE$27),Datenbank!$AO26)+IF(AND($B$7=$BF$26,$B$8=$BF$27),Datenbank!$AX26)+IF(AND($B$7=$BG$26,$B$8=$BG$27),Datenbank!$BH26)+IF(AND($B$7=$BH$26,$B$8=$BH$27),Datenbank!$BI26)+IF(AND($B$7=$BI$26,$B$8=$BI$27),Datenbank!$BJ26)+IF(AND($B$7=$BJ$26,$B$8=$BJ$27),Datenbank!$BK26)+IF(AND($B$7=$BK$26,$B$8=$BK$27),Datenbank!$O26)+IF(AND($B$7=$BL$26,$B$8=$BL$27),Datenbank!$X26)+IF(AND($B$7=$BM$26,$B$8=$BM$27),Datenbank!$AG26)+IF(AND($B$7=$BN$26,$B$8=$BN$27),Datenbank!$AP26)+IF(AND($B$7=$BO$26,$B$8=$BO$27),Datenbank!$AY26)+IF(AND($B$7=$BP$26,$B$8=$BP$27),Datenbank!$BH26)+IF(AND($B$7=$BQ$26,$B$8=$BQ$27),Datenbank!$BR26)+IF(AND($B$7=$BR$26,$B$8=$BR$27),Datenbank!$BS26)+IF(AND($B$7=$BS$26,$B$8=$BS$27),Datenbank!$BT26)+IF(AND($B$7=$BT$26,$B$8=$BT$27),Datenbank!$P26)+IF(AND($B$7=$BU$26,$B$8=$BU$27),Datenbank!$Y26)+IF(AND($B$7=$BV$26,$B$8=$BV$27),Datenbank!$AH26)+IF(AND($B$7=$BW$26,$B$8=$BW$27),Datenbank!$AQ26)+IF(AND($B$7=$BX$26,$B$8=$BX$27),Datenbank!$AZ26)+IF(AND($B$7=$BY$26,$B$8=$BY$27),Datenbank!$BI26)+IF(AND($B$7=$BZ$26,$B$8=$BZ$27),Datenbank!$BR26)+IF(AND($B$7=$CA$26,$B$8=$CA$27),"-")+IF(AND($B$7=$CB$26,$B$8=$CB$27),"-")+IF(AND($B$7=$CC$26,$B$8=$CC$27),Datenbank!$Q26)+IF(AND($B$7=$CD$26,$B$8=$CD$27),Datenbank!$Z26)+IF(AND($B$7=$CE$26,$B$8=$CE$27),Datenbank!$AI26)+IF(AND($B$7=$CF$26,$B$8=$CF$27),Datenbank!$AR26)+IF(AND($B$7=$CG$26,$B$8=$CG$27),Datenbank!$BA26)+IF(AND($B$7=$CH$26,$B$8=$CH$27),Datenbank!$BJ26)+IF(AND($B$7=$CI$26,$B$8=$CI$27),Datenbank!$BS26)+IF(AND($B$7=$CJ$26,$B$8=$CJ$27),"-")+IF(AND($B$7=$CK$26,$B$8=$CK$27),"-")+IF(AND($B$7=$CL$26,$B$8=$CL$27),Datenbank!$R26)+IF(AND($B$7=$CM$26,$B$8=$CM$27),Datenbank!$AA26)+IF(AND($B$7=$CN$26,$B$8=$CN$27),Datenbank!$AJ26)+IF(AND($B$7=$CO$26,$B$8=$CO$27),Datenbank!$AS26)+IF(AND($B$7=$CP$26,$B$8=$CP$27),Datenbank!$BB26)+IF(AND($B$7=$CQ$26,$B$8=$CQ$27),Datenbank!$BK26)+IF(AND($B$7=$CR$26,$B$8=$CR$27),Datenbank!$BT26)+IF(AND($B$7=$CS$26,$B$8=$CS$27),"-")+IF(AND($B$7=$CT$26,$B$8=$CT$27),"-")</f>
        <v>3.5</v>
      </c>
    </row>
    <row r="20" spans="1:98" ht="28" customHeight="1">
      <c r="A20" s="1110"/>
      <c r="B20" s="721"/>
      <c r="D20" s="1395" t="s">
        <v>1822</v>
      </c>
      <c r="E20" s="1395"/>
      <c r="F20" s="847">
        <f>F19*B18</f>
        <v>3</v>
      </c>
      <c r="H20" s="1140"/>
      <c r="J20" s="705">
        <f>IF($F$19=Datenbank!$T$56,Rechenmodell!$F$19*B7)+IF($F$19=Datenbank!$U$56,1*B7)+IF(Rechenmodell!$F$19=Datenbank!$V$56,1*B7)+IF(Rechenmodell!$F$19=Datenbank!$W$56,B7*2)+IF(Rechenmodell!$F$19=Datenbank!$X$56,2*B7)</f>
        <v>5.3</v>
      </c>
      <c r="N20" s="1141">
        <f>IF($F$19=Datenbank!$T$56,Rechenmodell!$F$19*B8)+IF($F$19=Datenbank!$U$56,Rechenmodell!$F$19*Rechenmodell!F8)+IF(Rechenmodell!$F$19=Datenbank!$V$56,Rechenmodell!$F$19*B8)+IF(Rechenmodell!$F$19=Datenbank!$W$56,B8*2)+IF(Rechenmodell!$F$19=Datenbank!$X$56,3*B8)</f>
        <v>5</v>
      </c>
      <c r="V20" s="1395" t="s">
        <v>1555</v>
      </c>
      <c r="W20" s="1395"/>
      <c r="X20" s="859">
        <f ca="1">IF(AND($B$7=$B$26,$B$8=$B$27),Datenbank!$C27)+IF(AND($B$7=$C$26,$B$8=$C$27),Datenbank!$D27)+IF(AND($B$7=$D$26,$B$8=$D$27),Datenbank!$E27)+IF(AND($B$7=$E$26,$B$8=$E$27),Datenbank!$F27)+IF(AND($B$7=$F$26,$B$8=$F$27),Datenbank!$G27)+IF(AND($B$7=$G$26,$B$8=$G$27),Datenbank!$H27)+IF(AND($B$7=$H$26,$B$8=$H$27),Datenbank!$I27)+IF(AND($B$7=$I$26,$B$8=$I$27),Datenbank!$S27)+IF(AND($B$7=$J$26,$B$8=$J$27),Datenbank!$AB27)+IF(AND($B$7=$K$26,$B$8=$K$27),Datenbank!$L27)+IF(AND($B$7=$L$26,$B$8=$L$27),Datenbank!$M27)+IF(AND($B$7=$M$26,$B$8=$M$27),Datenbank!N27)+IF(AND($B$7=$N$26,$B$8=$N$27),Datenbank!$O27)+IF(AND($B$7=$O$26,$B$8=$O$27),Datenbank!$P27)+IF(AND($B$7=$P$26,$B$8=$P$27),Datenbank!$Q27)+IF(AND($B$7=$Q$26,$B$8=$Q$27),Datenbank!$R27)+IF(AND($B$7=$R$26,$B$8=$R$27),Datenbank!$S27)+IF(AND($B$7=$S$26,$B$8=$S$27),Datenbank!$AC27)+IF(AND($B$7=$T$26,$B$8=$T$27),Datenbank!$U27)+IF(AND($B$7=$U$26,$B$8=$U$27),Datenbank!$V27)+IF(AND($B$7=$V$26,$B$8=$V$27),Datenbank!$W27)+IF(AND($B$7=$W$26,$B$8=$W$27),Datenbank!$X27)+IF(AND($B$7=$X$26,$B$8=$X$27),Datenbank!$Y27)+IF(AND($B$7=$Y$26,$B$8=$Y$27),Datenbank!$Z27)+IF(AND($B$7=$Z$26,$B$8=$Z$27),Datenbank!$AA27)+IF(AND($B$7=$AA$26,$B$8=$AA$27),Datenbank!$AB27)+IF(AND($B$7=$AB$26,$B$8=$AB$27),Datenbank!$AC27)+IF(AND($B$7=$AC$26,$B$8=$AC$27),Datenbank!$AD27)+IF(AND($B$7=$AD$26,$B$8=$AD$27),Datenbank!$AE27)+IF(AND($B$7=$AE$26,$B$8=$AE$27),Datenbank!$AF27)+IF(AND($B$7=$AF$26,$B$8=$AF$27),Datenbank!$AG27)+IF(AND($B$7=$AG$26,$B$8=$AG$27),Datenbank!$AH27)+IF(AND($B$7=$AH$26,$B$8=$AH$27),Datenbank!$AI27)+IF(AND($B$7=$AI$26,$B$8=$AI$27),Datenbank!$AJ27)+IF(AND($B$7=$AJ$26,$B$8=$AJ$27),Datenbank!$L27)+IF(AND($B$7=$AK$26,$B$8=$AK$27),Datenbank!$U27)+IF(AND($B$7=$AL$26,$B$8=$AL$27),Datenbank!$AD27)+IF(AND($B$7=$AM$26,$B$8=$AM$27),Datenbank!$AN27)+IF(AND($B$7=$AN$26,$B$8=$AN$27),Datenbank!$AO27)+IF(AND($B$7=$AO$26,$B$8=$AO$27),Datenbank!$AP27)+IF(AND($B$7=$AP$26,$B$8=$AP$27),Datenbank!$AQ27)+IF(AND($B$7=$AQ$26,$B$8=$AQ$27),Datenbank!$AR27)+IF(AND($B$7=$AR$26,$B$8=$AR$27),Datenbank!$AS27)+IF(AND($B$7=$AS$26,$B$8=$AS$27),Datenbank!$M27)+IF(AND($B$7=$AT$26,$B$8=$AT$27),Datenbank!$V27)+IF(AND($B$7=$AU$26,$B$8=$AU$27),Datenbank!$AE27)+IF(AND($B$7=$AV$26,$B$8=$AV$27),Datenbank!$AN27)+IF(AND($B$7=$AW$26,$B$8=$AW$27),Datenbank!$AX27)+IF(AND($B$7=$AX$26,$B$8=$AX$27),Datenbank!$AY27)+IF(AND($B$7=$AY$26,$B$8=$AY$27),Datenbank!$AZ27)+IF(AND($B$7=$AZ$26,$B$8=$AZ$27),Datenbank!$BA27)+IF(AND($B$7=$BA$26,$B$8=$BA$27),Datenbank!$BB27)+IF(AND($B$7=$BB$26,$B$8=$BB$27),Datenbank!$N27)+IF(AND($B$7=$BC$26,$B$8=$BC$27),Datenbank!$W27)+IF(AND($B$7=$BD$26,$B$8=$BD$27),Datenbank!$AF27)+IF(AND($B$7=$BE$26,$B$8=$BE$27),Datenbank!$AO27)+IF(AND($B$7=$BF$26,$B$8=$BF$27),Datenbank!$AX27)+IF(AND($B$7=$BG$26,$B$8=$BG$27),Datenbank!$BH27)+IF(AND($B$7=$BH$26,$B$8=$BH$27),Datenbank!$BI27)+IF(AND($B$7=$BI$26,$B$8=$BI$27),Datenbank!$BJ27)+IF(AND($B$7=$BJ$26,$B$8=$BJ$27),Datenbank!$BK27)+IF(AND($B$7=$BK$26,$B$8=$BK$27),Datenbank!$O27)+IF(AND($B$7=$BL$26,$B$8=$BL$27),Datenbank!$X27)+IF(AND($B$7=$BM$26,$B$8=$BM$27),Datenbank!$AG27)+IF(AND($B$7=$BN$26,$B$8=$BN$27),Datenbank!$AP27)+IF(AND($B$7=$BO$26,$B$8=$BO$27),Datenbank!$AY27)+IF(AND($B$7=$BP$26,$B$8=$BP$27),Datenbank!$BH27)+IF(AND($B$7=$BQ$26,$B$8=$BQ$27),Datenbank!$BR27)+IF(AND($B$7=$BR$26,$B$8=$BR$27),Datenbank!$BS27)+IF(AND($B$7=$BS$26,$B$8=$BS$27),Datenbank!$BT27)+IF(AND($B$7=$BT$26,$B$8=$BT$27),Datenbank!$P27)+IF(AND($B$7=$BU$26,$B$8=$BU$27),Datenbank!$Y27)+IF(AND($B$7=$BV$26,$B$8=$BV$27),Datenbank!$AH27)+IF(AND($B$7=$BW$26,$B$8=$BW$27),Datenbank!$AQ27)+IF(AND($B$7=$BX$26,$B$8=$BX$27),Datenbank!$AZ27)+IF(AND($B$7=$BY$26,$B$8=$BY$27),Datenbank!$BI27)+IF(AND($B$7=$BZ$26,$B$8=$BZ$27),Datenbank!$BR27)+IF(AND($B$7=$CA$26,$B$8=$CA$27),"-")+IF(AND($B$7=$CB$26,$B$8=$CB$27),"-")+IF(AND($B$7=$CC$26,$B$8=$CC$27),Datenbank!$Q27)+IF(AND($B$7=$CD$26,$B$8=$CD$27),Datenbank!$Z27)+IF(AND($B$7=$CE$26,$B$8=$CE$27),Datenbank!$AI27)+IF(AND($B$7=$CF$26,$B$8=$CF$27),Datenbank!$AR27)+IF(AND($B$7=$CG$26,$B$8=$CG$27),Datenbank!$BA27)+IF(AND($B$7=$CH$26,$B$8=$CH$27),Datenbank!$BJ27)+IF(AND($B$7=$CI$26,$B$8=$CI$27),Datenbank!$BS27)+IF(AND($B$7=$CJ$26,$B$8=$CJ$27),"-")+IF(AND($B$7=$CK$26,$B$8=$CK$27),"-")+IF(AND($B$7=$CL$26,$B$8=$CL$27),Datenbank!$R27)+IF(AND($B$7=$CM$26,$B$8=$CM$27),Datenbank!$AA27)+IF(AND($B$7=$CN$26,$B$8=$CN$27),Datenbank!$AJ27)+IF(AND($B$7=$CO$26,$B$8=$CO$27),Datenbank!$AS27)+IF(AND($B$7=$CP$26,$B$8=$CP$27),Datenbank!$BB27)+IF(AND($B$7=$CQ$26,$B$8=$CQ$27),Datenbank!$BK27)+IF(AND($B$7=$CR$26,$B$8=$CR$27),Datenbank!$BT27)+IF(AND($B$7=$CS$26,$B$8=$CS$27),"-")+IF(AND($B$7=$CT$26,$B$8=$CT$27),"-")</f>
        <v>320</v>
      </c>
    </row>
    <row r="21" spans="1:98">
      <c r="A21" s="1110"/>
      <c r="B21" s="721"/>
      <c r="D21" s="703" t="s">
        <v>1819</v>
      </c>
      <c r="F21" s="847">
        <f>F9-F20</f>
        <v>15</v>
      </c>
      <c r="H21" s="703" t="s">
        <v>2182</v>
      </c>
      <c r="J21" s="926" t="str">
        <f>IF(AND($J$18&lt;$J$19,$J$18&lt;$N$20,$N$18&lt;$N$19,$N$18&lt;$J$20),Datenbank!$N$56,IF(AND($J$18&lt;$J$19,$J$18&gt;$N$20,$N$18&lt;$N$19),Datenbank!$N$57,IF(AND($J$18&lt;$J$20,$N$18&lt;$N$20),Datenbank!$N$57,IF(AND($J$18&gt;$J$19,$J$18&gt;$J$20,$N$18&lt;$J$19,$J$18&lt;$N$19),Datenbank!$N$58,IF($F$19=4,Datenbank!$N$56)))))</f>
        <v>EGAL</v>
      </c>
      <c r="N21" s="1073"/>
      <c r="V21" s="703" t="s">
        <v>1561</v>
      </c>
      <c r="X21" s="859">
        <f ca="1">IF(AND($B$7=$B$26,$B$8=$B$27),Datenbank!$C28)+IF(AND($B$7=$C$26,$B$8=$C$27),Datenbank!$D28)+IF(AND($B$7=$D$26,$B$8=$D$27),Datenbank!$E28)+IF(AND($B$7=$E$26,$B$8=$E$27),Datenbank!$F28)+IF(AND($B$7=$F$26,$B$8=$F$27),Datenbank!$G28)+IF(AND($B$7=$G$26,$B$8=$G$27),Datenbank!$H28)+IF(AND($B$7=$H$26,$B$8=$H$27),Datenbank!$I28)+IF(AND($B$7=$I$26,$B$8=$I$27),Datenbank!$S28)+IF(AND($B$7=$J$26,$B$8=$J$27),Datenbank!$AB28)+IF(AND($B$7=$K$26,$B$8=$K$27),Datenbank!$L28)+IF(AND($B$7=$L$26,$B$8=$L$27),Datenbank!$M28)+IF(AND($B$7=$M$26,$B$8=$M$27),Datenbank!N28)+IF(AND($B$7=$N$26,$B$8=$N$27),Datenbank!$O28)+IF(AND($B$7=$O$26,$B$8=$O$27),Datenbank!$P28)+IF(AND($B$7=$P$26,$B$8=$P$27),Datenbank!$Q28)+IF(AND($B$7=$Q$26,$B$8=$Q$27),Datenbank!$R28)+IF(AND($B$7=$R$26,$B$8=$R$27),Datenbank!$S28)+IF(AND($B$7=$S$26,$B$8=$S$27),Datenbank!$AC28)+IF(AND($B$7=$T$26,$B$8=$T$27),Datenbank!$U28)+IF(AND($B$7=$U$26,$B$8=$U$27),Datenbank!$V28)+IF(AND($B$7=$V$26,$B$8=$V$27),Datenbank!$W28)+IF(AND($B$7=$W$26,$B$8=$W$27),Datenbank!$X28)+IF(AND($B$7=$X$26,$B$8=$X$27),Datenbank!$Y28)+IF(AND($B$7=$Y$26,$B$8=$Y$27),Datenbank!$Z28)+IF(AND($B$7=$Z$26,$B$8=$Z$27),Datenbank!$AA28)+IF(AND($B$7=$AA$26,$B$8=$AA$27),Datenbank!$AB28)+IF(AND($B$7=$AB$26,$B$8=$AB$27),Datenbank!$AC28)+IF(AND($B$7=$AC$26,$B$8=$AC$27),Datenbank!$AD28)+IF(AND($B$7=$AD$26,$B$8=$AD$27),Datenbank!$AE28)+IF(AND($B$7=$AE$26,$B$8=$AE$27),Datenbank!$AF28)+IF(AND($B$7=$AF$26,$B$8=$AF$27),Datenbank!$AG28)+IF(AND($B$7=$AG$26,$B$8=$AG$27),Datenbank!$AH28)+IF(AND($B$7=$AH$26,$B$8=$AH$27),Datenbank!$AI28)+IF(AND($B$7=$AI$26,$B$8=$AI$27),Datenbank!$AJ28)+IF(AND($B$7=$AJ$26,$B$8=$AJ$27),Datenbank!$L28)+IF(AND($B$7=$AK$26,$B$8=$AK$27),Datenbank!$U28)+IF(AND($B$7=$AL$26,$B$8=$AL$27),Datenbank!$AD28)+IF(AND($B$7=$AM$26,$B$8=$AM$27),Datenbank!$AN28)+IF(AND($B$7=$AN$26,$B$8=$AN$27),Datenbank!$AO28)+IF(AND($B$7=$AO$26,$B$8=$AO$27),Datenbank!$AP28)+IF(AND($B$7=$AP$26,$B$8=$AP$27),Datenbank!$AQ28)+IF(AND($B$7=$AQ$26,$B$8=$AQ$27),Datenbank!$AR28)+IF(AND($B$7=$AR$26,$B$8=$AR$27),Datenbank!$AS28)+IF(AND($B$7=$AS$26,$B$8=$AS$27),Datenbank!$M28)+IF(AND($B$7=$AT$26,$B$8=$AT$27),Datenbank!$V28)+IF(AND($B$7=$AU$26,$B$8=$AU$27),Datenbank!$AE28)+IF(AND($B$7=$AV$26,$B$8=$AV$27),Datenbank!$AN28)+IF(AND($B$7=$AW$26,$B$8=$AW$27),Datenbank!$AX28)+IF(AND($B$7=$AX$26,$B$8=$AX$27),Datenbank!$AY28)+IF(AND($B$7=$AY$26,$B$8=$AY$27),Datenbank!$AZ28)+IF(AND($B$7=$AZ$26,$B$8=$AZ$27),Datenbank!$BA28)+IF(AND($B$7=$BA$26,$B$8=$BA$27),Datenbank!$BB28)+IF(AND($B$7=$BB$26,$B$8=$BB$27),Datenbank!$N28)+IF(AND($B$7=$BC$26,$B$8=$BC$27),Datenbank!$W28)+IF(AND($B$7=$BD$26,$B$8=$BD$27),Datenbank!$AF28)+IF(AND($B$7=$BE$26,$B$8=$BE$27),Datenbank!$AO28)+IF(AND($B$7=$BF$26,$B$8=$BF$27),Datenbank!$AX28)+IF(AND($B$7=$BG$26,$B$8=$BG$27),Datenbank!$BH28)+IF(AND($B$7=$BH$26,$B$8=$BH$27),Datenbank!$BI28)+IF(AND($B$7=$BI$26,$B$8=$BI$27),Datenbank!$BJ28)+IF(AND($B$7=$BJ$26,$B$8=$BJ$27),Datenbank!$BK28)+IF(AND($B$7=$BK$26,$B$8=$BK$27),Datenbank!$O28)+IF(AND($B$7=$BL$26,$B$8=$BL$27),Datenbank!$X28)+IF(AND($B$7=$BM$26,$B$8=$BM$27),Datenbank!$AG28)+IF(AND($B$7=$BN$26,$B$8=$BN$27),Datenbank!$AP28)+IF(AND($B$7=$BO$26,$B$8=$BO$27),Datenbank!$AY28)+IF(AND($B$7=$BP$26,$B$8=$BP$27),Datenbank!$BH28)+IF(AND($B$7=$BQ$26,$B$8=$BQ$27),Datenbank!$BR28)+IF(AND($B$7=$BR$26,$B$8=$BR$27),Datenbank!$BS28)+IF(AND($B$7=$BS$26,$B$8=$BS$27),Datenbank!$BT28)+IF(AND($B$7=$BT$26,$B$8=$BT$27),Datenbank!$P28)+IF(AND($B$7=$BU$26,$B$8=$BU$27),Datenbank!$Y28)+IF(AND($B$7=$BV$26,$B$8=$BV$27),Datenbank!$AH28)+IF(AND($B$7=$BW$26,$B$8=$BW$27),Datenbank!$AQ28)+IF(AND($B$7=$BX$26,$B$8=$BX$27),Datenbank!$AZ28)+IF(AND($B$7=$BY$26,$B$8=$BY$27),Datenbank!$BI28)+IF(AND($B$7=$BZ$26,$B$8=$BZ$27),Datenbank!$BR28)+IF(AND($B$7=$CA$26,$B$8=$CA$27),"-")+IF(AND($B$7=$CB$26,$B$8=$CB$27),"-")+IF(AND($B$7=$CC$26,$B$8=$CC$27),Datenbank!$Q28)+IF(AND($B$7=$CD$26,$B$8=$CD$27),Datenbank!$Z28)+IF(AND($B$7=$CE$26,$B$8=$CE$27),Datenbank!$AI28)+IF(AND($B$7=$CF$26,$B$8=$CF$27),Datenbank!$AR28)+IF(AND($B$7=$CG$26,$B$8=$CG$27),Datenbank!$BA28)+IF(AND($B$7=$CH$26,$B$8=$CH$27),Datenbank!$BJ28)+IF(AND($B$7=$CI$26,$B$8=$CI$27),Datenbank!$BS28)+IF(AND($B$7=$CJ$26,$B$8=$CJ$27),"-")+IF(AND($B$7=$CK$26,$B$8=$CK$27),"-")+IF(AND($B$7=$CL$26,$B$8=$CL$27),Datenbank!$R28)+IF(AND($B$7=$CM$26,$B$8=$CM$27),Datenbank!$AA28)+IF(AND($B$7=$CN$26,$B$8=$CN$27),Datenbank!$AJ28)+IF(AND($B$7=$CO$26,$B$8=$CO$27),Datenbank!$AS28)+IF(AND($B$7=$CP$26,$B$8=$CP$27),Datenbank!$BB28)+IF(AND($B$7=$CQ$26,$B$8=$CQ$27),Datenbank!$BK28)+IF(AND($B$7=$CR$26,$B$8=$CR$27),Datenbank!$BT28)+IF(AND($B$7=$CS$26,$B$8=$CS$27),"-")+IF(AND($B$7=$CT$26,$B$8=$CT$27),"-")</f>
        <v>102400</v>
      </c>
    </row>
    <row r="22" spans="1:98">
      <c r="A22" s="1111"/>
      <c r="B22" s="1112"/>
      <c r="C22" s="1113"/>
      <c r="D22" s="1113" t="s">
        <v>1823</v>
      </c>
      <c r="E22" s="1115"/>
      <c r="F22" s="1114">
        <f>ROUNDDOWN(F21/B18,0)</f>
        <v>5</v>
      </c>
      <c r="G22" s="1113"/>
      <c r="H22" s="1113"/>
      <c r="I22" s="1115"/>
      <c r="J22" s="1113"/>
      <c r="K22" s="1113"/>
      <c r="L22" s="1113"/>
      <c r="M22" s="1113"/>
      <c r="N22" s="1116"/>
      <c r="U22" s="847"/>
      <c r="V22" s="847" t="s">
        <v>1623</v>
      </c>
      <c r="X22" s="859">
        <f ca="1">IF(AND($B$7=$B$26,$B$8=$B$27),Datenbank!$C29)+IF(AND($B$7=$C$26,$B$8=$C$27),Datenbank!$D29)+IF(AND($B$7=$D$26,$B$8=$D$27),Datenbank!$E29)+IF(AND($B$7=$E$26,$B$8=$E$27),Datenbank!$F29)+IF(AND($B$7=$F$26,$B$8=$F$27),Datenbank!$G29)+IF(AND($B$7=$G$26,$B$8=$G$27),Datenbank!$H29)+IF(AND($B$7=$H$26,$B$8=$H$27),Datenbank!$I29)+IF(AND($B$7=$I$26,$B$8=$I$27),Datenbank!$S29)+IF(AND($B$7=$J$26,$B$8=$J$27),Datenbank!$AB29)+IF(AND($B$7=$K$26,$B$8=$K$27),Datenbank!$L29)+IF(AND($B$7=$L$26,$B$8=$L$27),Datenbank!$M29)+IF(AND($B$7=$M$26,$B$8=$M$27),Datenbank!N29)+IF(AND($B$7=$N$26,$B$8=$N$27),Datenbank!$O29)+IF(AND($B$7=$O$26,$B$8=$O$27),Datenbank!$P29)+IF(AND($B$7=$P$26,$B$8=$P$27),Datenbank!$Q29)+IF(AND($B$7=$Q$26,$B$8=$Q$27),Datenbank!$R29)+IF(AND($B$7=$R$26,$B$8=$R$27),Datenbank!$S29)+IF(AND($B$7=$S$26,$B$8=$S$27),Datenbank!$AC29)+IF(AND($B$7=$T$26,$B$8=$T$27),Datenbank!$U29)+IF(AND($B$7=$U$26,$B$8=$U$27),Datenbank!$V29)+IF(AND($B$7=$V$26,$B$8=$V$27),Datenbank!$W29)+IF(AND($B$7=$W$26,$B$8=$W$27),Datenbank!$X29)+IF(AND($B$7=$X$26,$B$8=$X$27),Datenbank!$Y29)+IF(AND($B$7=$Y$26,$B$8=$Y$27),Datenbank!$Z29)+IF(AND($B$7=$Z$26,$B$8=$Z$27),Datenbank!$AA29)+IF(AND($B$7=$AA$26,$B$8=$AA$27),Datenbank!$AB29)+IF(AND($B$7=$AB$26,$B$8=$AB$27),Datenbank!$AC29)+IF(AND($B$7=$AC$26,$B$8=$AC$27),Datenbank!$AD29)+IF(AND($B$7=$AD$26,$B$8=$AD$27),Datenbank!$AE29)+IF(AND($B$7=$AE$26,$B$8=$AE$27),Datenbank!$AF29)+IF(AND($B$7=$AF$26,$B$8=$AF$27),Datenbank!$AG29)+IF(AND($B$7=$AG$26,$B$8=$AG$27),Datenbank!$AH29)+IF(AND($B$7=$AH$26,$B$8=$AH$27),Datenbank!$AI29)+IF(AND($B$7=$AI$26,$B$8=$AI$27),Datenbank!$AJ29)+IF(AND($B$7=$AJ$26,$B$8=$AJ$27),Datenbank!$L29)+IF(AND($B$7=$AK$26,$B$8=$AK$27),Datenbank!$U29)+IF(AND($B$7=$AL$26,$B$8=$AL$27),Datenbank!$AD29)+IF(AND($B$7=$AM$26,$B$8=$AM$27),Datenbank!$AN29)+IF(AND($B$7=$AN$26,$B$8=$AN$27),Datenbank!$AO29)+IF(AND($B$7=$AO$26,$B$8=$AO$27),Datenbank!$AP29)+IF(AND($B$7=$AP$26,$B$8=$AP$27),Datenbank!$AQ29)+IF(AND($B$7=$AQ$26,$B$8=$AQ$27),Datenbank!$AR29)+IF(AND($B$7=$AR$26,$B$8=$AR$27),Datenbank!$AS29)+IF(AND($B$7=$AS$26,$B$8=$AS$27),Datenbank!$M29)+IF(AND($B$7=$AT$26,$B$8=$AT$27),Datenbank!$V29)+IF(AND($B$7=$AU$26,$B$8=$AU$27),Datenbank!$AE29)+IF(AND($B$7=$AV$26,$B$8=$AV$27),Datenbank!$AN29)+IF(AND($B$7=$AW$26,$B$8=$AW$27),Datenbank!$AX29)+IF(AND($B$7=$AX$26,$B$8=$AX$27),Datenbank!$AY29)+IF(AND($B$7=$AY$26,$B$8=$AY$27),Datenbank!$AZ29)+IF(AND($B$7=$AZ$26,$B$8=$AZ$27),Datenbank!$BA29)+IF(AND($B$7=$BA$26,$B$8=$BA$27),Datenbank!$BB29)+IF(AND($B$7=$BB$26,$B$8=$BB$27),Datenbank!$N29)+IF(AND($B$7=$BC$26,$B$8=$BC$27),Datenbank!$W29)+IF(AND($B$7=$BD$26,$B$8=$BD$27),Datenbank!$AF29)+IF(AND($B$7=$BE$26,$B$8=$BE$27),Datenbank!$AO29)+IF(AND($B$7=$BF$26,$B$8=$BF$27),Datenbank!$AX29)+IF(AND($B$7=$BG$26,$B$8=$BG$27),Datenbank!$BH29)+IF(AND($B$7=$BH$26,$B$8=$BH$27),Datenbank!$BI29)+IF(AND($B$7=$BI$26,$B$8=$BI$27),Datenbank!$BJ29)+IF(AND($B$7=$BJ$26,$B$8=$BJ$27),Datenbank!$BK29)+IF(AND($B$7=$BK$26,$B$8=$BK$27),Datenbank!$O29)+IF(AND($B$7=$BL$26,$B$8=$BL$27),Datenbank!$X29)+IF(AND($B$7=$BM$26,$B$8=$BM$27),Datenbank!$AG29)+IF(AND($B$7=$BN$26,$B$8=$BN$27),Datenbank!$AP29)+IF(AND($B$7=$BO$26,$B$8=$BO$27),Datenbank!$AY29)+IF(AND($B$7=$BP$26,$B$8=$BP$27),Datenbank!$BH29)+IF(AND($B$7=$BQ$26,$B$8=$BQ$27),Datenbank!$BR29)+IF(AND($B$7=$BR$26,$B$8=$BR$27),Datenbank!$BS29)+IF(AND($B$7=$BS$26,$B$8=$BS$27),Datenbank!$BT29)+IF(AND($B$7=$BT$26,$B$8=$BT$27),Datenbank!$P29)+IF(AND($B$7=$BU$26,$B$8=$BU$27),Datenbank!$Y29)+IF(AND($B$7=$BV$26,$B$8=$BV$27),Datenbank!$AH29)+IF(AND($B$7=$BW$26,$B$8=$BW$27),Datenbank!$AQ29)+IF(AND($B$7=$BX$26,$B$8=$BX$27),Datenbank!$AZ29)+IF(AND($B$7=$BY$26,$B$8=$BY$27),Datenbank!$BI29)+IF(AND($B$7=$BZ$26,$B$8=$BZ$27),Datenbank!$BR29)+IF(AND($B$7=$CA$26,$B$8=$CA$27),"-")+IF(AND($B$7=$CB$26,$B$8=$CB$27),"-")+IF(AND($B$7=$CC$26,$B$8=$CC$27),Datenbank!$Q29)+IF(AND($B$7=$CD$26,$B$8=$CD$27),Datenbank!$Z29)+IF(AND($B$7=$CE$26,$B$8=$CE$27),Datenbank!$AI29)+IF(AND($B$7=$CF$26,$B$8=$CF$27),Datenbank!$AR29)+IF(AND($B$7=$CG$26,$B$8=$CG$27),Datenbank!$BA29)+IF(AND($B$7=$CH$26,$B$8=$CH$27),Datenbank!$BJ29)+IF(AND($B$7=$CI$26,$B$8=$CI$27),Datenbank!$BS29)+IF(AND($B$7=$CJ$26,$B$8=$CJ$27),"-")+IF(AND($B$7=$CK$26,$B$8=$CK$27),"-")+IF(AND($B$7=$CL$26,$B$8=$CL$27),Datenbank!$R29)+IF(AND($B$7=$CM$26,$B$8=$CM$27),Datenbank!$AA29)+IF(AND($B$7=$CN$26,$B$8=$CN$27),Datenbank!$AJ29)+IF(AND($B$7=$CO$26,$B$8=$CO$27),Datenbank!$AS29)+IF(AND($B$7=$CP$26,$B$8=$CP$27),Datenbank!$BB29)+IF(AND($B$7=$CQ$26,$B$8=$CQ$27),Datenbank!$BK29)+IF(AND($B$7=$CR$26,$B$8=$CR$27),Datenbank!$BT29)+IF(AND($B$7=$CS$26,$B$8=$CS$27),"-")+IF(AND($B$7=$CT$26,$B$8=$CT$27),"-")</f>
        <v>0.35840000000000005</v>
      </c>
    </row>
    <row r="23" spans="1:98">
      <c r="B23" s="721"/>
      <c r="F23" s="847"/>
      <c r="V23" s="858"/>
    </row>
    <row r="24" spans="1:98">
      <c r="B24" s="721"/>
      <c r="F24" s="847"/>
      <c r="V24" s="847"/>
      <c r="X24" s="859"/>
    </row>
    <row r="25" spans="1:98">
      <c r="A25" s="1065" t="s">
        <v>1622</v>
      </c>
      <c r="B25" s="1066"/>
      <c r="C25" s="1066"/>
      <c r="D25" s="1066"/>
      <c r="E25" s="1066"/>
      <c r="F25" s="1066"/>
      <c r="G25" s="1066"/>
      <c r="H25" s="1066"/>
      <c r="I25" s="1067" t="s">
        <v>1621</v>
      </c>
      <c r="J25" s="1066"/>
      <c r="K25" s="1068"/>
      <c r="L25" s="1066"/>
      <c r="M25" s="1066"/>
      <c r="N25" s="1066"/>
      <c r="O25" s="1066"/>
      <c r="P25" s="1066"/>
      <c r="Q25" s="1066"/>
      <c r="R25" s="1118"/>
      <c r="S25" s="1066"/>
      <c r="T25" s="1066"/>
      <c r="U25" s="1066"/>
      <c r="V25" s="1066"/>
      <c r="W25" s="1066"/>
      <c r="X25" s="1066"/>
      <c r="Y25" s="1066"/>
      <c r="Z25" s="1066"/>
      <c r="AA25" s="1118"/>
      <c r="AB25" s="1066"/>
      <c r="AC25" s="1066"/>
      <c r="AD25" s="1066"/>
      <c r="AE25" s="1066"/>
      <c r="AF25" s="1066"/>
      <c r="AG25" s="1066"/>
      <c r="AH25" s="1066"/>
      <c r="AI25" s="1066"/>
      <c r="AJ25" s="1118"/>
      <c r="AK25" s="1066"/>
      <c r="AL25" s="1066"/>
      <c r="AM25" s="1066"/>
      <c r="AN25" s="1066"/>
      <c r="AO25" s="1066"/>
      <c r="AP25" s="1066"/>
      <c r="AQ25" s="1066"/>
      <c r="AR25" s="1066"/>
      <c r="AS25" s="1118"/>
      <c r="AT25" s="1066"/>
      <c r="AU25" s="1066"/>
      <c r="AV25" s="1066"/>
      <c r="AW25" s="1066"/>
      <c r="AX25" s="1066"/>
      <c r="AY25" s="1066"/>
      <c r="AZ25" s="1066"/>
      <c r="BA25" s="1066"/>
      <c r="BB25" s="1118"/>
      <c r="BC25" s="1066"/>
      <c r="BD25" s="1066"/>
      <c r="BE25" s="1066"/>
      <c r="BF25" s="1066"/>
      <c r="BG25" s="1066"/>
      <c r="BH25" s="1066"/>
      <c r="BI25" s="1066"/>
      <c r="BJ25" s="1066"/>
      <c r="BK25" s="1118"/>
      <c r="BL25" s="1066"/>
      <c r="BM25" s="1066"/>
      <c r="BN25" s="1066"/>
      <c r="BO25" s="1066"/>
      <c r="BP25" s="1066"/>
      <c r="BQ25" s="1066"/>
      <c r="BR25" s="1066"/>
      <c r="BS25" s="1066"/>
      <c r="BT25" s="1118"/>
      <c r="BU25" s="1066"/>
      <c r="BV25" s="1066"/>
      <c r="BW25" s="1066"/>
      <c r="BX25" s="1066"/>
      <c r="BY25" s="1066"/>
      <c r="BZ25" s="1066"/>
      <c r="CA25" s="1069" t="s">
        <v>1692</v>
      </c>
      <c r="CB25" s="1066"/>
      <c r="CC25" s="1066"/>
      <c r="CD25" s="1066"/>
      <c r="CE25" s="1066"/>
      <c r="CF25" s="1066"/>
      <c r="CG25" s="1066"/>
      <c r="CH25" s="1066"/>
      <c r="CI25" s="1066"/>
      <c r="CJ25" s="1069" t="s">
        <v>1692</v>
      </c>
      <c r="CK25" s="1066"/>
      <c r="CL25" s="1066"/>
      <c r="CM25" s="1066"/>
      <c r="CN25" s="1066"/>
      <c r="CO25" s="1066"/>
      <c r="CP25" s="1066"/>
      <c r="CQ25" s="1066"/>
      <c r="CR25" s="1066"/>
      <c r="CS25" s="1069" t="s">
        <v>1692</v>
      </c>
      <c r="CT25" s="1070"/>
    </row>
    <row r="26" spans="1:98">
      <c r="A26" s="707" t="s">
        <v>1630</v>
      </c>
      <c r="B26" s="708">
        <f>Datenbank!C14</f>
        <v>2.65</v>
      </c>
      <c r="C26" s="708">
        <f>Datenbank!D14</f>
        <v>2.85</v>
      </c>
      <c r="D26" s="708">
        <f>Datenbank!E14</f>
        <v>3</v>
      </c>
      <c r="E26" s="708">
        <f>Datenbank!F14</f>
        <v>3.5</v>
      </c>
      <c r="F26" s="708">
        <f>Datenbank!G14</f>
        <v>4</v>
      </c>
      <c r="G26" s="708">
        <f>Datenbank!H14</f>
        <v>4.5</v>
      </c>
      <c r="H26" s="806">
        <f>Datenbank!I14</f>
        <v>5</v>
      </c>
      <c r="I26" s="837">
        <f>Datenbank!J14</f>
        <v>2.65</v>
      </c>
      <c r="J26" s="708">
        <f>Datenbank!K14</f>
        <v>2.65</v>
      </c>
      <c r="K26" s="708">
        <f>Datenbank!L14</f>
        <v>2.65</v>
      </c>
      <c r="L26" s="708">
        <f>Datenbank!M14</f>
        <v>2.65</v>
      </c>
      <c r="M26" s="708">
        <f>Datenbank!N14</f>
        <v>2.65</v>
      </c>
      <c r="N26" s="708">
        <f>Datenbank!O14</f>
        <v>2.65</v>
      </c>
      <c r="O26" s="708">
        <f>Datenbank!P14</f>
        <v>2.65</v>
      </c>
      <c r="P26" s="708">
        <f>Datenbank!Q14</f>
        <v>2.65</v>
      </c>
      <c r="Q26" s="708">
        <f>Datenbank!R14</f>
        <v>2.65</v>
      </c>
      <c r="R26" s="1119">
        <f>Datenbank!S14</f>
        <v>2.85</v>
      </c>
      <c r="S26" s="708">
        <f>Datenbank!T14</f>
        <v>2.85</v>
      </c>
      <c r="T26" s="708">
        <f>Datenbank!U14</f>
        <v>2.85</v>
      </c>
      <c r="U26" s="708">
        <f>Datenbank!V14</f>
        <v>2.85</v>
      </c>
      <c r="V26" s="708">
        <f>Datenbank!W14</f>
        <v>2.85</v>
      </c>
      <c r="W26" s="708">
        <f>Datenbank!X14</f>
        <v>2.85</v>
      </c>
      <c r="X26" s="708">
        <f>Datenbank!Y14</f>
        <v>2.85</v>
      </c>
      <c r="Y26" s="708">
        <f>Datenbank!Z14</f>
        <v>2.85</v>
      </c>
      <c r="Z26" s="708">
        <f>Datenbank!AA14</f>
        <v>2.85</v>
      </c>
      <c r="AA26" s="1119">
        <f>Datenbank!AB14</f>
        <v>3</v>
      </c>
      <c r="AB26" s="708">
        <f>Datenbank!AC14</f>
        <v>3</v>
      </c>
      <c r="AC26" s="708">
        <f>Datenbank!AD14</f>
        <v>3</v>
      </c>
      <c r="AD26" s="708">
        <f>Datenbank!AE14</f>
        <v>3</v>
      </c>
      <c r="AE26" s="708">
        <f>Datenbank!AF14</f>
        <v>3</v>
      </c>
      <c r="AF26" s="708">
        <f>Datenbank!AG14</f>
        <v>3</v>
      </c>
      <c r="AG26" s="708">
        <f>Datenbank!AH14</f>
        <v>3</v>
      </c>
      <c r="AH26" s="708">
        <f>Datenbank!AI14</f>
        <v>3</v>
      </c>
      <c r="AI26" s="708">
        <f>Datenbank!AJ14</f>
        <v>3</v>
      </c>
      <c r="AJ26" s="1119">
        <f>Datenbank!AK14</f>
        <v>3.5</v>
      </c>
      <c r="AK26" s="708">
        <f>Datenbank!AL14</f>
        <v>3.5</v>
      </c>
      <c r="AL26" s="708">
        <f>Datenbank!AM14</f>
        <v>3.5</v>
      </c>
      <c r="AM26" s="708">
        <f>Datenbank!AN14</f>
        <v>3.5</v>
      </c>
      <c r="AN26" s="708">
        <f>Datenbank!AO14</f>
        <v>3.5</v>
      </c>
      <c r="AO26" s="708">
        <f>Datenbank!AP14</f>
        <v>3.5</v>
      </c>
      <c r="AP26" s="708">
        <f>Datenbank!AQ14</f>
        <v>3.5</v>
      </c>
      <c r="AQ26" s="708">
        <f>Datenbank!AR14</f>
        <v>3.5</v>
      </c>
      <c r="AR26" s="708">
        <f>Datenbank!AS14</f>
        <v>3.5</v>
      </c>
      <c r="AS26" s="1119">
        <f>Datenbank!AT14</f>
        <v>4</v>
      </c>
      <c r="AT26" s="708">
        <f>Datenbank!AU14</f>
        <v>4</v>
      </c>
      <c r="AU26" s="708">
        <f>Datenbank!AV14</f>
        <v>4</v>
      </c>
      <c r="AV26" s="708">
        <f>Datenbank!AW14</f>
        <v>4</v>
      </c>
      <c r="AW26" s="708">
        <f>Datenbank!AX14</f>
        <v>4</v>
      </c>
      <c r="AX26" s="708">
        <f>Datenbank!AY14</f>
        <v>4</v>
      </c>
      <c r="AY26" s="708">
        <f>Datenbank!AZ14</f>
        <v>4</v>
      </c>
      <c r="AZ26" s="708">
        <f>Datenbank!BA14</f>
        <v>4</v>
      </c>
      <c r="BA26" s="708">
        <f>Datenbank!BB14</f>
        <v>4</v>
      </c>
      <c r="BB26" s="1119">
        <f>Datenbank!BC14</f>
        <v>4.5</v>
      </c>
      <c r="BC26" s="708">
        <f>Datenbank!BD14</f>
        <v>4.5</v>
      </c>
      <c r="BD26" s="708">
        <f>Datenbank!BE14</f>
        <v>4.5</v>
      </c>
      <c r="BE26" s="708">
        <f>Datenbank!BF14</f>
        <v>4.5</v>
      </c>
      <c r="BF26" s="708">
        <f>Datenbank!BG14</f>
        <v>4.5</v>
      </c>
      <c r="BG26" s="708">
        <f>Datenbank!BH14</f>
        <v>4.5</v>
      </c>
      <c r="BH26" s="708">
        <f>Datenbank!BI14</f>
        <v>4.5</v>
      </c>
      <c r="BI26" s="708">
        <f>Datenbank!BJ14</f>
        <v>4.5</v>
      </c>
      <c r="BJ26" s="708">
        <f>Datenbank!BK14</f>
        <v>4.5</v>
      </c>
      <c r="BK26" s="1119">
        <f>Datenbank!BL14</f>
        <v>5</v>
      </c>
      <c r="BL26" s="708">
        <f>Datenbank!BM14</f>
        <v>5</v>
      </c>
      <c r="BM26" s="708">
        <f>Datenbank!BN14</f>
        <v>5</v>
      </c>
      <c r="BN26" s="708">
        <f>Datenbank!BO14</f>
        <v>5</v>
      </c>
      <c r="BO26" s="708">
        <f>Datenbank!BP14</f>
        <v>5</v>
      </c>
      <c r="BP26" s="708">
        <f>Datenbank!BQ14</f>
        <v>5</v>
      </c>
      <c r="BQ26" s="708">
        <f>Datenbank!BR14</f>
        <v>5</v>
      </c>
      <c r="BR26" s="708">
        <f>Datenbank!BS14</f>
        <v>5</v>
      </c>
      <c r="BS26" s="806">
        <f>Datenbank!BT14</f>
        <v>5</v>
      </c>
      <c r="BT26" s="1119">
        <v>5.3</v>
      </c>
      <c r="BU26" s="806">
        <v>5.3</v>
      </c>
      <c r="BV26" s="806">
        <v>5.3</v>
      </c>
      <c r="BW26" s="806">
        <v>5.3</v>
      </c>
      <c r="BX26" s="806">
        <v>5.3</v>
      </c>
      <c r="BY26" s="806">
        <v>5.3</v>
      </c>
      <c r="BZ26" s="806">
        <v>5.3</v>
      </c>
      <c r="CA26" s="806">
        <v>5.3</v>
      </c>
      <c r="CB26" s="806">
        <v>5.3</v>
      </c>
      <c r="CC26" s="806">
        <v>5.7</v>
      </c>
      <c r="CD26" s="806">
        <v>5.7</v>
      </c>
      <c r="CE26" s="806">
        <v>5.7</v>
      </c>
      <c r="CF26" s="806">
        <v>5.7</v>
      </c>
      <c r="CG26" s="806">
        <v>5.7</v>
      </c>
      <c r="CH26" s="806">
        <v>5.7</v>
      </c>
      <c r="CI26" s="806">
        <v>5.7</v>
      </c>
      <c r="CJ26" s="806">
        <v>5.7</v>
      </c>
      <c r="CK26" s="806">
        <v>5.7</v>
      </c>
      <c r="CL26" s="806">
        <v>6</v>
      </c>
      <c r="CM26" s="806">
        <v>6</v>
      </c>
      <c r="CN26" s="806">
        <v>6</v>
      </c>
      <c r="CO26" s="806">
        <v>6</v>
      </c>
      <c r="CP26" s="806">
        <v>6</v>
      </c>
      <c r="CQ26" s="806">
        <v>6</v>
      </c>
      <c r="CR26" s="806">
        <v>6</v>
      </c>
      <c r="CS26" s="806">
        <v>6</v>
      </c>
      <c r="CT26" s="708">
        <v>6</v>
      </c>
    </row>
    <row r="27" spans="1:98">
      <c r="A27" s="707" t="s">
        <v>1631</v>
      </c>
      <c r="B27" s="708">
        <f>Datenbank!C15</f>
        <v>2.65</v>
      </c>
      <c r="C27" s="708">
        <f>Datenbank!D15</f>
        <v>2.85</v>
      </c>
      <c r="D27" s="708">
        <f>Datenbank!E15</f>
        <v>3</v>
      </c>
      <c r="E27" s="708">
        <f>Datenbank!F15</f>
        <v>3.5</v>
      </c>
      <c r="F27" s="708">
        <f>Datenbank!G15</f>
        <v>4</v>
      </c>
      <c r="G27" s="708">
        <f>Datenbank!H15</f>
        <v>4.5</v>
      </c>
      <c r="H27" s="806">
        <f>Datenbank!I15</f>
        <v>5</v>
      </c>
      <c r="I27" s="837">
        <f>Datenbank!J15</f>
        <v>2.85</v>
      </c>
      <c r="J27" s="708">
        <f>Datenbank!K15</f>
        <v>3</v>
      </c>
      <c r="K27" s="708">
        <f>Datenbank!L15</f>
        <v>3.5</v>
      </c>
      <c r="L27" s="708">
        <f>Datenbank!M15</f>
        <v>4</v>
      </c>
      <c r="M27" s="708">
        <f>Datenbank!N15</f>
        <v>4.5</v>
      </c>
      <c r="N27" s="708">
        <f>Datenbank!O15</f>
        <v>5</v>
      </c>
      <c r="O27" s="708">
        <f>Datenbank!P15</f>
        <v>5.3</v>
      </c>
      <c r="P27" s="708">
        <f>Datenbank!Q15</f>
        <v>5.7</v>
      </c>
      <c r="Q27" s="708">
        <f>Datenbank!R15</f>
        <v>6</v>
      </c>
      <c r="R27" s="1120">
        <f>Datenbank!S15</f>
        <v>2.65</v>
      </c>
      <c r="S27" s="708">
        <f>Datenbank!T15</f>
        <v>3</v>
      </c>
      <c r="T27" s="708">
        <f>Datenbank!U15</f>
        <v>3.5</v>
      </c>
      <c r="U27" s="708">
        <f>Datenbank!V15</f>
        <v>4</v>
      </c>
      <c r="V27" s="708">
        <f>Datenbank!W15</f>
        <v>4.5</v>
      </c>
      <c r="W27" s="708">
        <f>Datenbank!X15</f>
        <v>5</v>
      </c>
      <c r="X27" s="708">
        <f>Datenbank!Y15</f>
        <v>5.3</v>
      </c>
      <c r="Y27" s="708">
        <f>Datenbank!Z15</f>
        <v>5.7</v>
      </c>
      <c r="Z27" s="708">
        <f>Datenbank!AA15</f>
        <v>6</v>
      </c>
      <c r="AA27" s="1120">
        <f>Datenbank!AB15</f>
        <v>2.65</v>
      </c>
      <c r="AB27" s="708">
        <f>Datenbank!AC15</f>
        <v>2.85</v>
      </c>
      <c r="AC27" s="708">
        <f>Datenbank!AD15</f>
        <v>3.5</v>
      </c>
      <c r="AD27" s="708">
        <f>Datenbank!AE15</f>
        <v>4</v>
      </c>
      <c r="AE27" s="708">
        <f>Datenbank!AF15</f>
        <v>4.5</v>
      </c>
      <c r="AF27" s="708">
        <f>Datenbank!AG15</f>
        <v>5</v>
      </c>
      <c r="AG27" s="708">
        <f>Datenbank!AH15</f>
        <v>5.3</v>
      </c>
      <c r="AH27" s="708">
        <f>Datenbank!AI15</f>
        <v>5.7</v>
      </c>
      <c r="AI27" s="708">
        <f>Datenbank!AJ15</f>
        <v>6</v>
      </c>
      <c r="AJ27" s="1120">
        <f>Datenbank!AK15</f>
        <v>2.65</v>
      </c>
      <c r="AK27" s="708">
        <f>Datenbank!AL15</f>
        <v>2.85</v>
      </c>
      <c r="AL27" s="708">
        <f>Datenbank!AM15</f>
        <v>3</v>
      </c>
      <c r="AM27" s="708">
        <f>Datenbank!AN15</f>
        <v>4</v>
      </c>
      <c r="AN27" s="708">
        <f>Datenbank!AO15</f>
        <v>4.5</v>
      </c>
      <c r="AO27" s="708">
        <f>Datenbank!AP15</f>
        <v>5</v>
      </c>
      <c r="AP27" s="708">
        <f>Datenbank!AQ15</f>
        <v>5.3</v>
      </c>
      <c r="AQ27" s="708">
        <f>Datenbank!AR15</f>
        <v>5.7</v>
      </c>
      <c r="AR27" s="708">
        <f>Datenbank!AS15</f>
        <v>6</v>
      </c>
      <c r="AS27" s="1120">
        <f>Datenbank!AT15</f>
        <v>2.65</v>
      </c>
      <c r="AT27" s="708">
        <f>Datenbank!AU15</f>
        <v>2.85</v>
      </c>
      <c r="AU27" s="708">
        <f>Datenbank!AV15</f>
        <v>3</v>
      </c>
      <c r="AV27" s="708">
        <f>Datenbank!AW15</f>
        <v>3.5</v>
      </c>
      <c r="AW27" s="708">
        <f>Datenbank!AX15</f>
        <v>4.5</v>
      </c>
      <c r="AX27" s="708">
        <f>Datenbank!AY15</f>
        <v>5</v>
      </c>
      <c r="AY27" s="708">
        <f>Datenbank!AZ15</f>
        <v>5.3</v>
      </c>
      <c r="AZ27" s="708">
        <f>Datenbank!BA15</f>
        <v>5.7</v>
      </c>
      <c r="BA27" s="708">
        <f>Datenbank!BB15</f>
        <v>6</v>
      </c>
      <c r="BB27" s="1120">
        <f>Datenbank!BC15</f>
        <v>2.65</v>
      </c>
      <c r="BC27" s="708">
        <f>Datenbank!BD15</f>
        <v>2.85</v>
      </c>
      <c r="BD27" s="708">
        <f>Datenbank!BE15</f>
        <v>3</v>
      </c>
      <c r="BE27" s="708">
        <f>Datenbank!BF15</f>
        <v>3.5</v>
      </c>
      <c r="BF27" s="708">
        <f>Datenbank!BG15</f>
        <v>4</v>
      </c>
      <c r="BG27" s="708">
        <f>Datenbank!BH15</f>
        <v>5</v>
      </c>
      <c r="BH27" s="708">
        <f>Datenbank!BI15</f>
        <v>5.3</v>
      </c>
      <c r="BI27" s="708">
        <f>Datenbank!BJ15</f>
        <v>5.7</v>
      </c>
      <c r="BJ27" s="708">
        <f>Datenbank!BK15</f>
        <v>6</v>
      </c>
      <c r="BK27" s="1120">
        <f>Datenbank!BL15</f>
        <v>2.65</v>
      </c>
      <c r="BL27" s="708">
        <f>Datenbank!BM15</f>
        <v>2.85</v>
      </c>
      <c r="BM27" s="708">
        <f>Datenbank!BN15</f>
        <v>3</v>
      </c>
      <c r="BN27" s="708">
        <f>Datenbank!BO15</f>
        <v>3.5</v>
      </c>
      <c r="BO27" s="708">
        <f>Datenbank!BP15</f>
        <v>4</v>
      </c>
      <c r="BP27" s="708">
        <f>Datenbank!BQ15</f>
        <v>4.5</v>
      </c>
      <c r="BQ27" s="708">
        <f>Datenbank!BR15</f>
        <v>5.3</v>
      </c>
      <c r="BR27" s="708">
        <f>Datenbank!BS15</f>
        <v>5.7</v>
      </c>
      <c r="BS27" s="806">
        <f>Datenbank!BT15</f>
        <v>6</v>
      </c>
      <c r="BT27" s="1120">
        <v>2.65</v>
      </c>
      <c r="BU27" s="708">
        <v>2.85</v>
      </c>
      <c r="BV27" s="708">
        <v>3</v>
      </c>
      <c r="BW27" s="708">
        <v>3.5</v>
      </c>
      <c r="BX27" s="708">
        <v>4</v>
      </c>
      <c r="BY27" s="708">
        <v>4.5</v>
      </c>
      <c r="BZ27" s="708">
        <v>5</v>
      </c>
      <c r="CA27" s="708">
        <v>5.7</v>
      </c>
      <c r="CB27" s="806">
        <v>6</v>
      </c>
      <c r="CC27" s="708">
        <v>2.65</v>
      </c>
      <c r="CD27" s="708">
        <v>2.85</v>
      </c>
      <c r="CE27" s="708">
        <v>3</v>
      </c>
      <c r="CF27" s="708">
        <v>3.5</v>
      </c>
      <c r="CG27" s="708">
        <v>4</v>
      </c>
      <c r="CH27" s="708">
        <v>4.5</v>
      </c>
      <c r="CI27" s="708">
        <v>5</v>
      </c>
      <c r="CJ27" s="708">
        <v>5.3</v>
      </c>
      <c r="CK27" s="806">
        <v>6</v>
      </c>
      <c r="CL27" s="708">
        <v>2.65</v>
      </c>
      <c r="CM27" s="708">
        <v>2.85</v>
      </c>
      <c r="CN27" s="708">
        <v>3</v>
      </c>
      <c r="CO27" s="708">
        <v>3.5</v>
      </c>
      <c r="CP27" s="708">
        <v>4</v>
      </c>
      <c r="CQ27" s="708">
        <v>4.5</v>
      </c>
      <c r="CR27" s="708">
        <v>5</v>
      </c>
      <c r="CS27" s="708">
        <v>5.3</v>
      </c>
      <c r="CT27" s="708">
        <v>5.7</v>
      </c>
    </row>
    <row r="28" spans="1:98">
      <c r="A28" s="707" t="s">
        <v>1598</v>
      </c>
      <c r="B28" s="709">
        <f>IF(Rechenmodell!B2&lt;Datenbank!B36,Datenbank!A35,IF(Rechenmodell!B2&lt;Datenbank!C36,Datenbank!B35,IF(Rechenmodell!B2&lt;Datenbank!D36,Datenbank!C35,IF(Rechenmodell!B2&lt;Datenbank!E36,Datenbank!D35,IF(Rechenmodell!B2&lt;Datenbank!F36,Datenbank!E35,IF(Rechenmodell!B2&lt;Datenbank!G36,Datenbank!F35,IF(Rechenmodell!B2&lt;Datenbank!H36,Datenbank!G35,IF(Rechenmodell!B2&lt;Datenbank!I36,Datenbank!H35,IF(Rechenmodell!B2&lt;Datenbank!J36,Datenbank!I35,IF(Rechenmodell!B2&lt;Datenbank!K36,Datenbank!J35,IF(Rechenmodell!B2&lt;Datenbank!L36,Datenbank!K35,IF(Rechenmodell!B2&lt;Datenbank!M36,Datenbank!L35,IF(Rechenmodell!B2&lt;Datenbank!N36,Datenbank!M35,IF(Rechenmodell!B2&lt;Datenbank!O36,Datenbank!N35,IF(Rechenmodell!B2&lt;Datenbank!P36,Datenbank!O35,IF(Rechenmodell!B2&lt;Datenbank!Q36,Datenbank!O35,IF(Rechenmodell!B2&lt;Datenbank!R36,Datenbank!Q35,IF(Rechenmodell!B2&lt;Datenbank!S36,Datenbank!R35,IF(Rechenmodell!B2&lt;Datenbank!T36,Datenbank!S35,IF(Rechenmodell!B2&lt;Datenbank!U36,Datenbank!T35,IF(Rechenmodell!B2&lt;Datenbank!V36,Datenbank!U35,IF(Rechenmodell!B2&lt;Datenbank!W36,Datenbank!V35,IF(Rechenmodell!B2&lt;Datenbank!X36,Datenbank!W35,IF(Rechenmodell!B2&lt;Datenbank!X36,Datenbank!W35,IF(Rechenmodell!B2&lt;Datenbank!Y36,Datenbank!X35,IF(Rechenmodell!B2&lt;Datenbank!Z36,Datenbank!X35,IF(Rechenmodell!B2&lt;Datenbank!AA36,Datenbank!Z35,IF(Rechenmodell!B2&lt;Datenbank!AB36,Datenbank!AA35,IF(Rechenmodell!B2&lt;Datenbank!AC36,Datenbank!AB35,IF(Rechenmodell!B2&lt;Datenbank!AD36,Datenbank!AC35,IF(Rechenmodell!B2&lt;Datenbank!AE36,Datenbank!AD35,IF(Rechenmodell!B2&lt;Datenbank!AF36,Datenbank!AE35,IF(Rechenmodell!B2&lt;Datenbank!AG36,Datenbank!AF35,IF(Rechenmodell!B2&lt;Datenbank!AH36,Datenbank!AG35,IF(Rechenmodell!B2&lt;Datenbank!AH36,Datenbank!AG35,IF(Rechenmodell!B2&lt;Datenbank!AI36,Datenbank!AH35,IF(Rechenmodell!B2&lt;Datenbank!AJ36,Datenbank!AI35,IF(Rechenmodell!B2&lt;Datenbank!AK36,Datenbank!AJ35,IF(Rechenmodell!B2&lt;Datenbank!AL36,Datenbank!AK35,IF(Rechenmodell!B2&lt;Datenbank!AM36,Datenbank!AK35,IF(Rechenmodell!B2&lt;Datenbank!AN36,Datenbank!AM35,IF(Rechenmodell!B2&lt;Datenbank!AO36,Datenbank!AN35,IF(Rechenmodell!B2&lt;Datenbank!AP36,Datenbank!AO35,IF(Rechenmodell!B2&lt;Datenbank!AQ36,Datenbank!AP35))))))))))))))))))))))))))))))))))))))))))))</f>
        <v>18</v>
      </c>
      <c r="C28" s="709">
        <f>IF(Rechenmodell!B2&lt;Datenbank!B37,Datenbank!A35,IF(Rechenmodell!B2&lt;Datenbank!C37,Datenbank!B35,IF(Rechenmodell!B2&lt;Datenbank!D37,Datenbank!C35,IF(Rechenmodell!B2&lt;Datenbank!E37,Datenbank!D35,IF(Rechenmodell!B2&lt;Datenbank!F37,Datenbank!E35,IF(Rechenmodell!B2&lt;Datenbank!G37,Datenbank!F35,IF(Rechenmodell!B2&lt;Datenbank!H37,Datenbank!G35,IF(Rechenmodell!B2&lt;Datenbank!I37,Datenbank!H35,IF(Rechenmodell!B2&lt;Datenbank!J37,Datenbank!I35,IF(Rechenmodell!B2&lt;Datenbank!K37,Datenbank!J35,IF(Rechenmodell!B2&lt;Datenbank!L37,Datenbank!K35,IF(Rechenmodell!B2&lt;Datenbank!M37,Datenbank!L35,IF(Rechenmodell!B2&lt;Datenbank!N37,Datenbank!M35,IF(Rechenmodell!B2&lt;Datenbank!O37,Datenbank!N35,IF(Rechenmodell!B2&lt;Datenbank!P37,Datenbank!O35,IF(Rechenmodell!B2&lt;Datenbank!Q37,Datenbank!O35,IF(Rechenmodell!B2&lt;Datenbank!R37,Datenbank!Q35,IF(Rechenmodell!B2&lt;Datenbank!S37,Datenbank!R35,IF(Rechenmodell!B2&lt;Datenbank!T37,Datenbank!S35,IF(Rechenmodell!B2&lt;Datenbank!U37,Datenbank!T35,IF(Rechenmodell!B2&lt;Datenbank!V37,Datenbank!U35,IF(Rechenmodell!B2&lt;Datenbank!W37,Datenbank!V35,IF(Rechenmodell!B2&lt;Datenbank!X37,Datenbank!W35,IF(Rechenmodell!B2&lt;Datenbank!X37,Datenbank!W35,IF(Rechenmodell!B2&lt;Datenbank!Y37,Datenbank!X35,IF(Rechenmodell!B2&lt;Datenbank!Z37,Datenbank!X35,IF(Rechenmodell!B2&lt;Datenbank!AA37,Datenbank!Z35,IF(Rechenmodell!B2&lt;Datenbank!AB37,Datenbank!AA35,IF(Rechenmodell!B2&lt;Datenbank!AC37,Datenbank!AB35,IF(Rechenmodell!B2&lt;Datenbank!AD37,Datenbank!AC35,IF(Rechenmodell!B2&lt;Datenbank!AE37,Datenbank!AD35,IF(Rechenmodell!B2&lt;Datenbank!AF37,Datenbank!AE35,IF(Rechenmodell!B2&lt;Datenbank!AG37,Datenbank!AF35,IF(Rechenmodell!B2&lt;Datenbank!AH37,Datenbank!AG35,IF(Rechenmodell!B2&lt;Datenbank!AH37,Datenbank!AG35,IF(Rechenmodell!B2&lt;Datenbank!AI37,Datenbank!AH35,IF(Rechenmodell!B2&lt;Datenbank!AJ37,Datenbank!AI35,IF(Rechenmodell!B2&lt;Datenbank!AK37,Datenbank!AJ35,IF(Rechenmodell!B2&lt;Datenbank!AL37,Datenbank!AK35,IF(Rechenmodell!B2&lt;Datenbank!AM37,Datenbank!AK35,IF(Rechenmodell!B2&lt;Datenbank!AN37,Datenbank!AM35,IF(Rechenmodell!B2&lt;Datenbank!AO37,Datenbank!AN35,IF(Rechenmodell!B2&lt;Datenbank!AP37,Datenbank!AO35,IF(Rechenmodell!B2&lt;Datenbank!AQ37,Datenbank!AP35))))))))))))))))))))))))))))))))))))))))))))</f>
        <v>17</v>
      </c>
      <c r="D28" s="709">
        <f>IF(Rechenmodell!B2&lt;Datenbank!B38,Datenbank!A35,IF(Rechenmodell!B2&lt;Datenbank!C38,Datenbank!B35,IF(Rechenmodell!B2&lt;Datenbank!D38,Datenbank!C35,IF(Rechenmodell!B2&lt;Datenbank!E38,Datenbank!D35,IF(Rechenmodell!B2&lt;Datenbank!F38,Datenbank!E35,IF(Rechenmodell!B2&lt;Datenbank!G38,Datenbank!F35,IF(Rechenmodell!B2&lt;Datenbank!H38,Datenbank!G35,IF(Rechenmodell!B2&lt;Datenbank!I38,Datenbank!H35,IF(Rechenmodell!B2&lt;Datenbank!J38,Datenbank!I35,IF(Rechenmodell!B2&lt;Datenbank!K38,Datenbank!J35,IF(Rechenmodell!B2&lt;Datenbank!L38,Datenbank!K35,IF(Rechenmodell!B2&lt;Datenbank!M38,Datenbank!L35,IF(Rechenmodell!B2&lt;Datenbank!N38,Datenbank!M35,IF(Rechenmodell!B2&lt;Datenbank!O38,Datenbank!N35,IF(Rechenmodell!B2&lt;Datenbank!P38,Datenbank!O35,IF(Rechenmodell!B2&lt;Datenbank!Q38,Datenbank!O35,IF(Rechenmodell!B2&lt;Datenbank!R38,Datenbank!Q35,IF(Rechenmodell!B2&lt;Datenbank!S38,Datenbank!R35,IF(Rechenmodell!B2&lt;Datenbank!T38,Datenbank!S35,IF(Rechenmodell!B2&lt;Datenbank!U38,Datenbank!T35,IF(Rechenmodell!B2&lt;Datenbank!V38,Datenbank!U35,IF(Rechenmodell!B2&lt;Datenbank!W38,Datenbank!V35,IF(Rechenmodell!B2&lt;Datenbank!X38,Datenbank!W35,IF(Rechenmodell!B2&lt;Datenbank!X38,Datenbank!W35,IF(Rechenmodell!B2&lt;Datenbank!Y38,Datenbank!X35,IF(Rechenmodell!B2&lt;Datenbank!Z38,Datenbank!X35,IF(Rechenmodell!B2&lt;Datenbank!AA38,Datenbank!Z35,IF(Rechenmodell!B2&lt;Datenbank!AB38,Datenbank!AA35,IF(Rechenmodell!B2&lt;Datenbank!AC38,Datenbank!AB35,IF(Rechenmodell!B2&lt;Datenbank!AD38,Datenbank!AC35,IF(Rechenmodell!B2&lt;Datenbank!AE38,Datenbank!AD35,IF(Rechenmodell!B2&lt;Datenbank!AF38,Datenbank!AE35,IF(Rechenmodell!B2&lt;Datenbank!AG38,Datenbank!AF35,IF(Rechenmodell!B2&lt;Datenbank!AH38,Datenbank!AG35,IF(Rechenmodell!B2&lt;Datenbank!AH38,Datenbank!AG35,IF(Rechenmodell!B2&lt;Datenbank!AI38,Datenbank!AH35,IF(Rechenmodell!B2&lt;Datenbank!AJ38,Datenbank!AI35,IF(Rechenmodell!B2&lt;Datenbank!AK38,Datenbank!AJ35,IF(Rechenmodell!B2&lt;Datenbank!AL38,Datenbank!AK35,IF(Rechenmodell!B2&lt;Datenbank!AM38,Datenbank!AK35,IF(Rechenmodell!B2&lt;Datenbank!AN38,Datenbank!AM35,IF(Rechenmodell!B2&lt;Datenbank!AO38,Datenbank!AN35,IF(Rechenmodell!B2&lt;Datenbank!AP38,Datenbank!AO35,IF(Rechenmodell!B2&lt;Datenbank!AQ38,Datenbank!AP35))))))))))))))))))))))))))))))))))))))))))))</f>
        <v>15</v>
      </c>
      <c r="E28" s="709">
        <f>IF(Rechenmodell!B2&lt;Datenbank!B39,Datenbank!A35,IF(Rechenmodell!B2&lt;Datenbank!C39,Datenbank!B35,IF(Rechenmodell!B2&lt;Datenbank!D39,Datenbank!C35,IF(Rechenmodell!B2&lt;Datenbank!E39,Datenbank!D35,IF(Rechenmodell!B2&lt;Datenbank!F39,Datenbank!E35,IF(Rechenmodell!B2&lt;Datenbank!G39,Datenbank!F35,IF(Rechenmodell!B2&lt;Datenbank!H39,Datenbank!G35,IF(Rechenmodell!B2&lt;Datenbank!I39,Datenbank!H35,IF(Rechenmodell!B2&lt;Datenbank!J39,Datenbank!I35,IF(Rechenmodell!B2&lt;Datenbank!K39,Datenbank!J35,IF(Rechenmodell!B2&lt;Datenbank!L39,Datenbank!K35,IF(Rechenmodell!B2&lt;Datenbank!M39,Datenbank!L35,IF(Rechenmodell!B2&lt;Datenbank!N39,Datenbank!M35,IF(Rechenmodell!B2&lt;Datenbank!O39,Datenbank!N35,IF(Rechenmodell!B2&lt;Datenbank!P39,Datenbank!O35,IF(Rechenmodell!B2&lt;Datenbank!Q39,Datenbank!O35,IF(Rechenmodell!B2&lt;Datenbank!R39,Datenbank!Q35,IF(Rechenmodell!B2&lt;Datenbank!S39,Datenbank!R35,IF(Rechenmodell!B2&lt;Datenbank!T39,Datenbank!S35,IF(Rechenmodell!B2&lt;Datenbank!U39,Datenbank!T35,IF(Rechenmodell!B2&lt;Datenbank!V39,Datenbank!U35,IF(Rechenmodell!B2&lt;Datenbank!W39,Datenbank!V35,IF(Rechenmodell!B2&lt;Datenbank!X39,Datenbank!W35,IF(Rechenmodell!B2&lt;Datenbank!X39,Datenbank!W35,IF(Rechenmodell!B2&lt;Datenbank!Y39,Datenbank!X35,IF(Rechenmodell!B2&lt;Datenbank!Z39,Datenbank!X35,IF(Rechenmodell!B2&lt;Datenbank!AA39,Datenbank!Z35,IF(Rechenmodell!B2&lt;Datenbank!AB39,Datenbank!AA35,IF(Rechenmodell!B2&lt;Datenbank!AC39,Datenbank!AB35,IF(Rechenmodell!B2&lt;Datenbank!AD39,Datenbank!AC35,IF(Rechenmodell!B2&lt;Datenbank!AE39,Datenbank!AD35,IF(Rechenmodell!B2&lt;Datenbank!AF39,Datenbank!AE35,IF(Rechenmodell!B2&lt;Datenbank!AG39,Datenbank!AF35,IF(Rechenmodell!B2&lt;Datenbank!AH39,Datenbank!AG35,IF(Rechenmodell!B2&lt;Datenbank!AH39,Datenbank!AG35,IF(Rechenmodell!B2&lt;Datenbank!AI39,Datenbank!AH35,IF(Rechenmodell!B2&lt;Datenbank!AJ39,Datenbank!AI35,IF(Rechenmodell!B2&lt;Datenbank!AK39,Datenbank!AJ35,IF(Rechenmodell!B2&lt;Datenbank!AL39,Datenbank!AK35,IF(Rechenmodell!B2&lt;Datenbank!AM39,Datenbank!AK35,IF(Rechenmodell!B2&lt;Datenbank!AN39,Datenbank!AM35,IF(Rechenmodell!B2&lt;Datenbank!AO39,Datenbank!AN35,IF(Rechenmodell!B2&lt;Datenbank!AP39,Datenbank!AO35,IF(Rechenmodell!B2&lt;Datenbank!AQ39,Datenbank!AP35))))))))))))))))))))))))))))))))))))))))))))</f>
        <v>14</v>
      </c>
      <c r="F28" s="709">
        <f>IF(Rechenmodell!B2&lt;Datenbank!B40,Datenbank!A35,IF(Rechenmodell!B2&lt;Datenbank!C40,Datenbank!B35,IF(Rechenmodell!B2&lt;Datenbank!D40,Datenbank!C35,IF(Rechenmodell!B2&lt;Datenbank!E40,Datenbank!D35,IF(Rechenmodell!B2&lt;Datenbank!F40,Datenbank!E35,IF(Rechenmodell!B2&lt;Datenbank!G40,Datenbank!F35,IF(Rechenmodell!B2&lt;Datenbank!H40,Datenbank!G35,IF(Rechenmodell!B2&lt;Datenbank!I40,Datenbank!H35,IF(Rechenmodell!B2&lt;Datenbank!J40,Datenbank!I35,IF(Rechenmodell!B2&lt;Datenbank!K40,Datenbank!J35,IF(Rechenmodell!B2&lt;Datenbank!L40,Datenbank!K35,IF(Rechenmodell!B2&lt;Datenbank!M40,Datenbank!L35,IF(Rechenmodell!B2&lt;Datenbank!N40,Datenbank!M35,IF(Rechenmodell!B2&lt;Datenbank!O40,Datenbank!N35,IF(Rechenmodell!B2&lt;Datenbank!P40,Datenbank!O35,IF(Rechenmodell!B2&lt;Datenbank!Q40,Datenbank!O35,IF(Rechenmodell!B2&lt;Datenbank!R40,Datenbank!Q35,IF(Rechenmodell!B2&lt;Datenbank!S40,Datenbank!R35,IF(Rechenmodell!B2&lt;Datenbank!T40,Datenbank!S35,IF(Rechenmodell!B2&lt;Datenbank!U40,Datenbank!T35,IF(Rechenmodell!B2&lt;Datenbank!V40,Datenbank!U35,IF(Rechenmodell!B2&lt;Datenbank!W40,Datenbank!V35,IF(Rechenmodell!B2&lt;Datenbank!X40,Datenbank!W35,IF(Rechenmodell!B2&lt;Datenbank!X40,Datenbank!W35,IF(Rechenmodell!B2&lt;Datenbank!Y40,Datenbank!X35,IF(Rechenmodell!B2&lt;Datenbank!Z40,Datenbank!X35,IF(Rechenmodell!B2&lt;Datenbank!AA40,Datenbank!Z35,IF(Rechenmodell!B2&lt;Datenbank!AB40,Datenbank!AA35,IF(Rechenmodell!B2&lt;Datenbank!AC40,Datenbank!AB35,IF(Rechenmodell!B2&lt;Datenbank!AD40,Datenbank!AC35,IF(Rechenmodell!B2&lt;Datenbank!AE40,Datenbank!AD35,IF(Rechenmodell!B2&lt;Datenbank!AF40,Datenbank!AE35,IF(Rechenmodell!B2&lt;Datenbank!AG40,Datenbank!AF35,IF(Rechenmodell!B2&lt;Datenbank!AH40,Datenbank!AG35,IF(Rechenmodell!B2&lt;Datenbank!AH40,Datenbank!AG35,IF(Rechenmodell!B2&lt;Datenbank!AI40,Datenbank!AH35,IF(Rechenmodell!B2&lt;Datenbank!AJ40,Datenbank!AI35,IF(Rechenmodell!B2&lt;Datenbank!AK40,Datenbank!AJ35,IF(Rechenmodell!B2&lt;Datenbank!AL40,Datenbank!AK35,IF(Rechenmodell!B2&lt;Datenbank!AM40,Datenbank!AK35,IF(Rechenmodell!B2&lt;Datenbank!AN40,Datenbank!AM35,IF(Rechenmodell!B2&lt;Datenbank!AO40,Datenbank!AN35,IF(Rechenmodell!B2&lt;Datenbank!AP40,Datenbank!AO35,IF(Rechenmodell!B2&lt;Datenbank!AQ40,Datenbank!AP35))))))))))))))))))))))))))))))))))))))))))))</f>
        <v>12</v>
      </c>
      <c r="G28" s="709">
        <f>IF(Rechenmodell!B2&lt;Datenbank!B41,Datenbank!A35,IF(Rechenmodell!B2&lt;Datenbank!C41,Datenbank!B35,IF(Rechenmodell!B2&lt;Datenbank!D41,Datenbank!C35,IF(Rechenmodell!B2&lt;Datenbank!E41,Datenbank!D35,IF(Rechenmodell!B2&lt;Datenbank!F41,Datenbank!E35,IF(Rechenmodell!B2&lt;Datenbank!G41,Datenbank!F35,IF(Rechenmodell!B2&lt;Datenbank!H41,Datenbank!G35,IF(Rechenmodell!B2&lt;Datenbank!I41,Datenbank!H35,IF(Rechenmodell!B2&lt;Datenbank!J41,Datenbank!I35,IF(Rechenmodell!B2&lt;Datenbank!K41,Datenbank!J35,IF(Rechenmodell!B2&lt;Datenbank!L41,Datenbank!K35,IF(Rechenmodell!B2&lt;Datenbank!M41,Datenbank!L35,IF(Rechenmodell!B2&lt;Datenbank!N41,Datenbank!M35,IF(Rechenmodell!B2&lt;Datenbank!O41,Datenbank!N35,IF(Rechenmodell!B2&lt;Datenbank!P41,Datenbank!O35,IF(Rechenmodell!B2&lt;Datenbank!Q41,Datenbank!O35,IF(Rechenmodell!B2&lt;Datenbank!R41,Datenbank!Q35,IF(Rechenmodell!B2&lt;Datenbank!S41,Datenbank!R35,IF(Rechenmodell!B2&lt;Datenbank!T41,Datenbank!S35,IF(Rechenmodell!B2&lt;Datenbank!U41,Datenbank!T35,IF(Rechenmodell!B2&lt;Datenbank!V41,Datenbank!U35,IF(Rechenmodell!B2&lt;Datenbank!W41,Datenbank!V35,IF(Rechenmodell!B2&lt;Datenbank!X41,Datenbank!W35,IF(Rechenmodell!B2&lt;Datenbank!X41,Datenbank!W35,IF(Rechenmodell!B2&lt;Datenbank!Y41,Datenbank!X35,IF(Rechenmodell!B2&lt;Datenbank!Z41,Datenbank!X35,IF(Rechenmodell!B2&lt;Datenbank!AA41,Datenbank!Z35,IF(Rechenmodell!B2&lt;Datenbank!AB41,Datenbank!AA35,IF(Rechenmodell!B2&lt;Datenbank!AC41,Datenbank!AB35,IF(Rechenmodell!B2&lt;Datenbank!AD41,Datenbank!AC35,IF(Rechenmodell!B2&lt;Datenbank!AE41,Datenbank!AD35,IF(Rechenmodell!B2&lt;Datenbank!AF41,Datenbank!AE35,IF(Rechenmodell!B2&lt;Datenbank!AG41,Datenbank!AF35,IF(Rechenmodell!B2&lt;Datenbank!AH41,Datenbank!AG35,IF(Rechenmodell!B2&lt;Datenbank!AH41,Datenbank!AG35,IF(Rechenmodell!B2&lt;Datenbank!AI41,Datenbank!AH35,IF(Rechenmodell!B2&lt;Datenbank!AJ41,Datenbank!AI35,IF(Rechenmodell!B2&lt;Datenbank!AK41,Datenbank!AJ35,IF(Rechenmodell!B2&lt;Datenbank!AL41,Datenbank!AK35,IF(Rechenmodell!B2&lt;Datenbank!AM41,Datenbank!AK35,IF(Rechenmodell!B2&lt;Datenbank!AN41,Datenbank!AM35,IF(Rechenmodell!B2&lt;Datenbank!AO41,Datenbank!AN35,IF(Rechenmodell!B2&lt;Datenbank!AP41,Datenbank!AO35,IF(Rechenmodell!B2&lt;Datenbank!AQ41,Datenbank!AP35))))))))))))))))))))))))))))))))))))))))))))</f>
        <v>11</v>
      </c>
      <c r="H28" s="831">
        <f>IF(Rechenmodell!B2&lt;Datenbank!B42,Datenbank!A35,IF(Rechenmodell!B2&lt;Datenbank!C42,Datenbank!B35,IF(Rechenmodell!B2&lt;Datenbank!D42,Datenbank!C35,IF(Rechenmodell!B2&lt;Datenbank!E42,Datenbank!D35,IF(Rechenmodell!B2&lt;Datenbank!F42,Datenbank!E35,IF(Rechenmodell!B2&lt;Datenbank!G42,Datenbank!F35,IF(Rechenmodell!B2&lt;Datenbank!H42,Datenbank!G35,IF(Rechenmodell!B2&lt;Datenbank!I42,Datenbank!H35,IF(Rechenmodell!B2&lt;Datenbank!J42,Datenbank!I35,IF(Rechenmodell!B2&lt;Datenbank!K42,Datenbank!J35,IF(Rechenmodell!B2&lt;Datenbank!L42,Datenbank!K35,IF(Rechenmodell!B2&lt;Datenbank!M42,Datenbank!L35,IF(Rechenmodell!B2&lt;Datenbank!N42,Datenbank!M35,IF(Rechenmodell!B2&lt;Datenbank!O42,Datenbank!N35,IF(Rechenmodell!B2&lt;Datenbank!P42,Datenbank!O35,IF(Rechenmodell!B2&lt;Datenbank!Q42,Datenbank!O35,IF(Rechenmodell!B2&lt;Datenbank!R42,Datenbank!Q35,IF(Rechenmodell!B2&lt;Datenbank!S42,Datenbank!R35,IF(Rechenmodell!B2&lt;Datenbank!T42,Datenbank!S35,IF(Rechenmodell!B2&lt;Datenbank!U42,Datenbank!T35,IF(Rechenmodell!B2&lt;Datenbank!V42,Datenbank!U35,IF(Rechenmodell!B2&lt;Datenbank!W42,Datenbank!V35,IF(Rechenmodell!B2&lt;Datenbank!X42,Datenbank!W35,IF(Rechenmodell!B2&lt;Datenbank!X42,Datenbank!W35,IF(Rechenmodell!B2&lt;Datenbank!Y42,Datenbank!X35,IF(Rechenmodell!B2&lt;Datenbank!Z42,Datenbank!X35,IF(Rechenmodell!B2&lt;Datenbank!AA42,Datenbank!Z35,IF(Rechenmodell!B2&lt;Datenbank!AB42,Datenbank!AA35,IF(Rechenmodell!B2&lt;Datenbank!AC42,Datenbank!AB35,IF(Rechenmodell!B2&lt;Datenbank!AD42,Datenbank!AC35,IF(Rechenmodell!B2&lt;Datenbank!AE42,Datenbank!AD35,IF(Rechenmodell!B2&lt;Datenbank!AF42,Datenbank!AE35,IF(Rechenmodell!B2&lt;Datenbank!AG42,Datenbank!AF35,IF(Rechenmodell!B2&lt;Datenbank!AH42,Datenbank!AG35,IF(Rechenmodell!B2&lt;Datenbank!AH42,Datenbank!AG35,IF(Rechenmodell!B2&lt;Datenbank!AI42,Datenbank!AH35,IF(Rechenmodell!B2&lt;Datenbank!AJ42,Datenbank!AI35,IF(Rechenmodell!B2&lt;Datenbank!AK42,Datenbank!AJ35,IF(Rechenmodell!B2&lt;Datenbank!AL42,Datenbank!AK35,IF(Rechenmodell!B2&lt;Datenbank!AM42,Datenbank!AK35,IF(Rechenmodell!B2&lt;Datenbank!AN42,Datenbank!AM35,IF(Rechenmodell!B2&lt;Datenbank!AO42,Datenbank!AN35,IF(Rechenmodell!B2&lt;Datenbank!AP42,Datenbank!AO35,IF(Rechenmodell!B2&lt;Datenbank!AQ42,Datenbank!AP35))))))))))))))))))))))))))))))))))))))))))))</f>
        <v>10</v>
      </c>
      <c r="I28" s="838">
        <f t="shared" ref="I28:AN28" si="1">ROUNDDOWN($B$2/I26, 0)</f>
        <v>18</v>
      </c>
      <c r="J28" s="709">
        <f t="shared" si="1"/>
        <v>18</v>
      </c>
      <c r="K28" s="709">
        <f t="shared" si="1"/>
        <v>18</v>
      </c>
      <c r="L28" s="709">
        <f t="shared" si="1"/>
        <v>18</v>
      </c>
      <c r="M28" s="709">
        <f t="shared" si="1"/>
        <v>18</v>
      </c>
      <c r="N28" s="709">
        <f t="shared" si="1"/>
        <v>18</v>
      </c>
      <c r="O28" s="709">
        <f t="shared" si="1"/>
        <v>18</v>
      </c>
      <c r="P28" s="709">
        <f t="shared" si="1"/>
        <v>18</v>
      </c>
      <c r="Q28" s="709">
        <f t="shared" si="1"/>
        <v>18</v>
      </c>
      <c r="R28" s="1121">
        <f t="shared" si="1"/>
        <v>17</v>
      </c>
      <c r="S28" s="709">
        <f t="shared" si="1"/>
        <v>17</v>
      </c>
      <c r="T28" s="709">
        <f t="shared" si="1"/>
        <v>17</v>
      </c>
      <c r="U28" s="709">
        <f t="shared" si="1"/>
        <v>17</v>
      </c>
      <c r="V28" s="709">
        <f t="shared" si="1"/>
        <v>17</v>
      </c>
      <c r="W28" s="709">
        <f t="shared" si="1"/>
        <v>17</v>
      </c>
      <c r="X28" s="709">
        <f t="shared" si="1"/>
        <v>17</v>
      </c>
      <c r="Y28" s="709">
        <f t="shared" si="1"/>
        <v>17</v>
      </c>
      <c r="Z28" s="709">
        <f t="shared" si="1"/>
        <v>17</v>
      </c>
      <c r="AA28" s="1121">
        <f t="shared" si="1"/>
        <v>16</v>
      </c>
      <c r="AB28" s="709">
        <f t="shared" si="1"/>
        <v>16</v>
      </c>
      <c r="AC28" s="709">
        <f t="shared" si="1"/>
        <v>16</v>
      </c>
      <c r="AD28" s="709">
        <f t="shared" si="1"/>
        <v>16</v>
      </c>
      <c r="AE28" s="709">
        <f t="shared" si="1"/>
        <v>16</v>
      </c>
      <c r="AF28" s="709">
        <f t="shared" si="1"/>
        <v>16</v>
      </c>
      <c r="AG28" s="709">
        <f t="shared" si="1"/>
        <v>16</v>
      </c>
      <c r="AH28" s="709">
        <f t="shared" si="1"/>
        <v>16</v>
      </c>
      <c r="AI28" s="709">
        <f t="shared" si="1"/>
        <v>16</v>
      </c>
      <c r="AJ28" s="1121">
        <f t="shared" si="1"/>
        <v>14</v>
      </c>
      <c r="AK28" s="709">
        <f t="shared" si="1"/>
        <v>14</v>
      </c>
      <c r="AL28" s="709">
        <f t="shared" si="1"/>
        <v>14</v>
      </c>
      <c r="AM28" s="709">
        <f t="shared" si="1"/>
        <v>14</v>
      </c>
      <c r="AN28" s="709">
        <f t="shared" si="1"/>
        <v>14</v>
      </c>
      <c r="AO28" s="709">
        <f t="shared" ref="AO28:BT28" si="2">ROUNDDOWN($B$2/AO26, 0)</f>
        <v>14</v>
      </c>
      <c r="AP28" s="709">
        <f t="shared" si="2"/>
        <v>14</v>
      </c>
      <c r="AQ28" s="709">
        <f t="shared" si="2"/>
        <v>14</v>
      </c>
      <c r="AR28" s="709">
        <f t="shared" si="2"/>
        <v>14</v>
      </c>
      <c r="AS28" s="1121">
        <f t="shared" si="2"/>
        <v>12</v>
      </c>
      <c r="AT28" s="709">
        <f t="shared" si="2"/>
        <v>12</v>
      </c>
      <c r="AU28" s="709">
        <f t="shared" si="2"/>
        <v>12</v>
      </c>
      <c r="AV28" s="709">
        <f t="shared" si="2"/>
        <v>12</v>
      </c>
      <c r="AW28" s="709">
        <f t="shared" si="2"/>
        <v>12</v>
      </c>
      <c r="AX28" s="709">
        <f t="shared" si="2"/>
        <v>12</v>
      </c>
      <c r="AY28" s="709">
        <f t="shared" si="2"/>
        <v>12</v>
      </c>
      <c r="AZ28" s="709">
        <f t="shared" si="2"/>
        <v>12</v>
      </c>
      <c r="BA28" s="709">
        <f t="shared" si="2"/>
        <v>12</v>
      </c>
      <c r="BB28" s="1121">
        <f t="shared" si="2"/>
        <v>11</v>
      </c>
      <c r="BC28" s="709">
        <f t="shared" si="2"/>
        <v>11</v>
      </c>
      <c r="BD28" s="709">
        <f t="shared" si="2"/>
        <v>11</v>
      </c>
      <c r="BE28" s="709">
        <f t="shared" si="2"/>
        <v>11</v>
      </c>
      <c r="BF28" s="709">
        <f t="shared" si="2"/>
        <v>11</v>
      </c>
      <c r="BG28" s="709">
        <f t="shared" si="2"/>
        <v>11</v>
      </c>
      <c r="BH28" s="709">
        <f t="shared" si="2"/>
        <v>11</v>
      </c>
      <c r="BI28" s="709">
        <f t="shared" si="2"/>
        <v>11</v>
      </c>
      <c r="BJ28" s="709">
        <f t="shared" si="2"/>
        <v>11</v>
      </c>
      <c r="BK28" s="1121">
        <f t="shared" si="2"/>
        <v>10</v>
      </c>
      <c r="BL28" s="709">
        <f t="shared" si="2"/>
        <v>10</v>
      </c>
      <c r="BM28" s="709">
        <f t="shared" si="2"/>
        <v>10</v>
      </c>
      <c r="BN28" s="709">
        <f t="shared" si="2"/>
        <v>10</v>
      </c>
      <c r="BO28" s="709">
        <f t="shared" si="2"/>
        <v>10</v>
      </c>
      <c r="BP28" s="709">
        <f t="shared" si="2"/>
        <v>10</v>
      </c>
      <c r="BQ28" s="709">
        <f t="shared" si="2"/>
        <v>10</v>
      </c>
      <c r="BR28" s="709">
        <f t="shared" si="2"/>
        <v>10</v>
      </c>
      <c r="BS28" s="831">
        <f t="shared" si="2"/>
        <v>10</v>
      </c>
      <c r="BT28" s="1121">
        <f t="shared" si="2"/>
        <v>9</v>
      </c>
      <c r="BU28" s="709">
        <f t="shared" ref="BU28:CT28" si="3">ROUNDDOWN($B$2/BU26, 0)</f>
        <v>9</v>
      </c>
      <c r="BV28" s="709">
        <f t="shared" si="3"/>
        <v>9</v>
      </c>
      <c r="BW28" s="709">
        <f t="shared" si="3"/>
        <v>9</v>
      </c>
      <c r="BX28" s="709">
        <f t="shared" si="3"/>
        <v>9</v>
      </c>
      <c r="BY28" s="709">
        <f t="shared" si="3"/>
        <v>9</v>
      </c>
      <c r="BZ28" s="709">
        <f t="shared" si="3"/>
        <v>9</v>
      </c>
      <c r="CA28" s="707">
        <f t="shared" si="3"/>
        <v>9</v>
      </c>
      <c r="CB28" s="707">
        <f t="shared" si="3"/>
        <v>9</v>
      </c>
      <c r="CC28" s="709">
        <f t="shared" si="3"/>
        <v>8</v>
      </c>
      <c r="CD28" s="709">
        <f t="shared" si="3"/>
        <v>8</v>
      </c>
      <c r="CE28" s="709">
        <f t="shared" si="3"/>
        <v>8</v>
      </c>
      <c r="CF28" s="709">
        <f t="shared" si="3"/>
        <v>8</v>
      </c>
      <c r="CG28" s="709">
        <f t="shared" si="3"/>
        <v>8</v>
      </c>
      <c r="CH28" s="709">
        <f t="shared" si="3"/>
        <v>8</v>
      </c>
      <c r="CI28" s="709">
        <f t="shared" si="3"/>
        <v>8</v>
      </c>
      <c r="CJ28" s="707">
        <f t="shared" si="3"/>
        <v>8</v>
      </c>
      <c r="CK28" s="707">
        <f t="shared" si="3"/>
        <v>8</v>
      </c>
      <c r="CL28" s="709">
        <f t="shared" si="3"/>
        <v>8</v>
      </c>
      <c r="CM28" s="709">
        <f t="shared" si="3"/>
        <v>8</v>
      </c>
      <c r="CN28" s="709">
        <f t="shared" si="3"/>
        <v>8</v>
      </c>
      <c r="CO28" s="709">
        <f t="shared" si="3"/>
        <v>8</v>
      </c>
      <c r="CP28" s="709">
        <f t="shared" si="3"/>
        <v>8</v>
      </c>
      <c r="CQ28" s="709">
        <f t="shared" si="3"/>
        <v>8</v>
      </c>
      <c r="CR28" s="709">
        <f t="shared" si="3"/>
        <v>8</v>
      </c>
      <c r="CS28" s="707">
        <f t="shared" si="3"/>
        <v>8</v>
      </c>
      <c r="CT28" s="707">
        <f t="shared" si="3"/>
        <v>8</v>
      </c>
    </row>
    <row r="29" spans="1:98">
      <c r="A29" s="707" t="s">
        <v>1599</v>
      </c>
      <c r="B29" s="829">
        <f t="shared" ref="B29:AG29" si="4">$B$2/B28</f>
        <v>2.7777777777777777</v>
      </c>
      <c r="C29" s="829">
        <f t="shared" si="4"/>
        <v>2.9411764705882355</v>
      </c>
      <c r="D29" s="829">
        <f t="shared" si="4"/>
        <v>3.3333333333333335</v>
      </c>
      <c r="E29" s="829">
        <f t="shared" si="4"/>
        <v>3.5714285714285716</v>
      </c>
      <c r="F29" s="829">
        <f t="shared" si="4"/>
        <v>4.166666666666667</v>
      </c>
      <c r="G29" s="829">
        <f t="shared" si="4"/>
        <v>4.5454545454545459</v>
      </c>
      <c r="H29" s="832">
        <f t="shared" si="4"/>
        <v>5</v>
      </c>
      <c r="I29" s="862">
        <f t="shared" si="4"/>
        <v>2.7777777777777777</v>
      </c>
      <c r="J29" s="832">
        <f t="shared" si="4"/>
        <v>2.7777777777777777</v>
      </c>
      <c r="K29" s="832">
        <f t="shared" si="4"/>
        <v>2.7777777777777777</v>
      </c>
      <c r="L29" s="832">
        <f t="shared" si="4"/>
        <v>2.7777777777777777</v>
      </c>
      <c r="M29" s="832">
        <f t="shared" si="4"/>
        <v>2.7777777777777777</v>
      </c>
      <c r="N29" s="832">
        <f t="shared" si="4"/>
        <v>2.7777777777777777</v>
      </c>
      <c r="O29" s="832">
        <f t="shared" si="4"/>
        <v>2.7777777777777777</v>
      </c>
      <c r="P29" s="832">
        <f t="shared" si="4"/>
        <v>2.7777777777777777</v>
      </c>
      <c r="Q29" s="832">
        <f t="shared" si="4"/>
        <v>2.7777777777777777</v>
      </c>
      <c r="R29" s="1122">
        <f t="shared" si="4"/>
        <v>2.9411764705882355</v>
      </c>
      <c r="S29" s="832">
        <f t="shared" si="4"/>
        <v>2.9411764705882355</v>
      </c>
      <c r="T29" s="832">
        <f t="shared" si="4"/>
        <v>2.9411764705882355</v>
      </c>
      <c r="U29" s="832">
        <f t="shared" si="4"/>
        <v>2.9411764705882355</v>
      </c>
      <c r="V29" s="832">
        <f t="shared" si="4"/>
        <v>2.9411764705882355</v>
      </c>
      <c r="W29" s="832">
        <f t="shared" si="4"/>
        <v>2.9411764705882355</v>
      </c>
      <c r="X29" s="832">
        <f t="shared" si="4"/>
        <v>2.9411764705882355</v>
      </c>
      <c r="Y29" s="832">
        <f t="shared" si="4"/>
        <v>2.9411764705882355</v>
      </c>
      <c r="Z29" s="832">
        <f t="shared" si="4"/>
        <v>2.9411764705882355</v>
      </c>
      <c r="AA29" s="1122">
        <f t="shared" si="4"/>
        <v>3.125</v>
      </c>
      <c r="AB29" s="832">
        <f t="shared" si="4"/>
        <v>3.125</v>
      </c>
      <c r="AC29" s="832">
        <f t="shared" si="4"/>
        <v>3.125</v>
      </c>
      <c r="AD29" s="832">
        <f t="shared" si="4"/>
        <v>3.125</v>
      </c>
      <c r="AE29" s="832">
        <f t="shared" si="4"/>
        <v>3.125</v>
      </c>
      <c r="AF29" s="832">
        <f t="shared" si="4"/>
        <v>3.125</v>
      </c>
      <c r="AG29" s="832">
        <f t="shared" si="4"/>
        <v>3.125</v>
      </c>
      <c r="AH29" s="832">
        <f t="shared" ref="AH29:BM29" si="5">$B$2/AH28</f>
        <v>3.125</v>
      </c>
      <c r="AI29" s="832">
        <f t="shared" si="5"/>
        <v>3.125</v>
      </c>
      <c r="AJ29" s="1122">
        <f t="shared" si="5"/>
        <v>3.5714285714285716</v>
      </c>
      <c r="AK29" s="832">
        <f t="shared" si="5"/>
        <v>3.5714285714285716</v>
      </c>
      <c r="AL29" s="832">
        <f t="shared" si="5"/>
        <v>3.5714285714285716</v>
      </c>
      <c r="AM29" s="832">
        <f t="shared" si="5"/>
        <v>3.5714285714285716</v>
      </c>
      <c r="AN29" s="832">
        <f t="shared" si="5"/>
        <v>3.5714285714285716</v>
      </c>
      <c r="AO29" s="832">
        <f t="shared" si="5"/>
        <v>3.5714285714285716</v>
      </c>
      <c r="AP29" s="832">
        <f t="shared" si="5"/>
        <v>3.5714285714285716</v>
      </c>
      <c r="AQ29" s="832">
        <f t="shared" si="5"/>
        <v>3.5714285714285716</v>
      </c>
      <c r="AR29" s="832">
        <f t="shared" si="5"/>
        <v>3.5714285714285716</v>
      </c>
      <c r="AS29" s="1122">
        <f t="shared" si="5"/>
        <v>4.166666666666667</v>
      </c>
      <c r="AT29" s="832">
        <f t="shared" si="5"/>
        <v>4.166666666666667</v>
      </c>
      <c r="AU29" s="832">
        <f t="shared" si="5"/>
        <v>4.166666666666667</v>
      </c>
      <c r="AV29" s="832">
        <f t="shared" si="5"/>
        <v>4.166666666666667</v>
      </c>
      <c r="AW29" s="832">
        <f t="shared" si="5"/>
        <v>4.166666666666667</v>
      </c>
      <c r="AX29" s="832">
        <f t="shared" si="5"/>
        <v>4.166666666666667</v>
      </c>
      <c r="AY29" s="832">
        <f t="shared" si="5"/>
        <v>4.166666666666667</v>
      </c>
      <c r="AZ29" s="832">
        <f t="shared" si="5"/>
        <v>4.166666666666667</v>
      </c>
      <c r="BA29" s="832">
        <f t="shared" si="5"/>
        <v>4.166666666666667</v>
      </c>
      <c r="BB29" s="1122">
        <f t="shared" si="5"/>
        <v>4.5454545454545459</v>
      </c>
      <c r="BC29" s="832">
        <f t="shared" si="5"/>
        <v>4.5454545454545459</v>
      </c>
      <c r="BD29" s="832">
        <f t="shared" si="5"/>
        <v>4.5454545454545459</v>
      </c>
      <c r="BE29" s="832">
        <f t="shared" si="5"/>
        <v>4.5454545454545459</v>
      </c>
      <c r="BF29" s="832">
        <f t="shared" si="5"/>
        <v>4.5454545454545459</v>
      </c>
      <c r="BG29" s="832">
        <f t="shared" si="5"/>
        <v>4.5454545454545459</v>
      </c>
      <c r="BH29" s="832">
        <f t="shared" si="5"/>
        <v>4.5454545454545459</v>
      </c>
      <c r="BI29" s="832">
        <f t="shared" si="5"/>
        <v>4.5454545454545459</v>
      </c>
      <c r="BJ29" s="832">
        <f t="shared" si="5"/>
        <v>4.5454545454545459</v>
      </c>
      <c r="BK29" s="1122">
        <f t="shared" si="5"/>
        <v>5</v>
      </c>
      <c r="BL29" s="832">
        <f t="shared" si="5"/>
        <v>5</v>
      </c>
      <c r="BM29" s="832">
        <f t="shared" si="5"/>
        <v>5</v>
      </c>
      <c r="BN29" s="832">
        <f t="shared" ref="BN29:CS29" si="6">$B$2/BN28</f>
        <v>5</v>
      </c>
      <c r="BO29" s="832">
        <f t="shared" si="6"/>
        <v>5</v>
      </c>
      <c r="BP29" s="832">
        <f t="shared" si="6"/>
        <v>5</v>
      </c>
      <c r="BQ29" s="832">
        <f t="shared" si="6"/>
        <v>5</v>
      </c>
      <c r="BR29" s="832">
        <f t="shared" si="6"/>
        <v>5</v>
      </c>
      <c r="BS29" s="832">
        <f t="shared" si="6"/>
        <v>5</v>
      </c>
      <c r="BT29" s="1122">
        <f t="shared" si="6"/>
        <v>5.5555555555555554</v>
      </c>
      <c r="BU29" s="832">
        <f t="shared" si="6"/>
        <v>5.5555555555555554</v>
      </c>
      <c r="BV29" s="832">
        <f t="shared" si="6"/>
        <v>5.5555555555555554</v>
      </c>
      <c r="BW29" s="832">
        <f t="shared" si="6"/>
        <v>5.5555555555555554</v>
      </c>
      <c r="BX29" s="832">
        <f t="shared" si="6"/>
        <v>5.5555555555555554</v>
      </c>
      <c r="BY29" s="832">
        <f t="shared" si="6"/>
        <v>5.5555555555555554</v>
      </c>
      <c r="BZ29" s="832">
        <f t="shared" si="6"/>
        <v>5.5555555555555554</v>
      </c>
      <c r="CA29" s="832">
        <f t="shared" si="6"/>
        <v>5.5555555555555554</v>
      </c>
      <c r="CB29" s="832">
        <f t="shared" si="6"/>
        <v>5.5555555555555554</v>
      </c>
      <c r="CC29" s="832">
        <f t="shared" si="6"/>
        <v>6.25</v>
      </c>
      <c r="CD29" s="832">
        <f t="shared" si="6"/>
        <v>6.25</v>
      </c>
      <c r="CE29" s="832">
        <f t="shared" si="6"/>
        <v>6.25</v>
      </c>
      <c r="CF29" s="832">
        <f t="shared" si="6"/>
        <v>6.25</v>
      </c>
      <c r="CG29" s="832">
        <f t="shared" si="6"/>
        <v>6.25</v>
      </c>
      <c r="CH29" s="832">
        <f t="shared" si="6"/>
        <v>6.25</v>
      </c>
      <c r="CI29" s="832">
        <f t="shared" si="6"/>
        <v>6.25</v>
      </c>
      <c r="CJ29" s="832">
        <f t="shared" si="6"/>
        <v>6.25</v>
      </c>
      <c r="CK29" s="832">
        <f t="shared" si="6"/>
        <v>6.25</v>
      </c>
      <c r="CL29" s="832">
        <f t="shared" si="6"/>
        <v>6.25</v>
      </c>
      <c r="CM29" s="832">
        <f t="shared" si="6"/>
        <v>6.25</v>
      </c>
      <c r="CN29" s="832">
        <f t="shared" si="6"/>
        <v>6.25</v>
      </c>
      <c r="CO29" s="832">
        <f t="shared" si="6"/>
        <v>6.25</v>
      </c>
      <c r="CP29" s="832">
        <f t="shared" si="6"/>
        <v>6.25</v>
      </c>
      <c r="CQ29" s="832">
        <f t="shared" si="6"/>
        <v>6.25</v>
      </c>
      <c r="CR29" s="832">
        <f t="shared" si="6"/>
        <v>6.25</v>
      </c>
      <c r="CS29" s="832">
        <f t="shared" si="6"/>
        <v>6.25</v>
      </c>
      <c r="CT29" s="829">
        <f t="shared" ref="CT29" si="7">$B$2/CT28</f>
        <v>6.25</v>
      </c>
    </row>
    <row r="30" spans="1:98">
      <c r="A30" s="707" t="s">
        <v>1597</v>
      </c>
      <c r="B30" s="709">
        <f>IF(Rechenmodell!$B$3&lt;Datenbank!$B36,Datenbank!$A$35,IF(Rechenmodell!$B$3&lt;Datenbank!$C36,Datenbank!$B$35,IF(Rechenmodell!$B$3&lt;Datenbank!$D36,Datenbank!$C$35,IF(Rechenmodell!$B$3&lt;Datenbank!$E36,Datenbank!$D$35,IF(Rechenmodell!$B$3&lt;Datenbank!$F36,Datenbank!$E$35,IF(Rechenmodell!$B$3&lt;Datenbank!$G36,Datenbank!$F$35,IF(Rechenmodell!$B$3&lt;Datenbank!$H36,Datenbank!$G$35,IF(Rechenmodell!$B$3&lt;Datenbank!$I36,Datenbank!$H$35,IF(Rechenmodell!$B$3&lt;Datenbank!$J36,Datenbank!$I$35,IF(Rechenmodell!$B$3&lt;Datenbank!$K36,Datenbank!$J$35,IF(Rechenmodell!$B$3&lt;Datenbank!$L36,Datenbank!$K$35,IF(Rechenmodell!$B$3&lt;Datenbank!$M36,Datenbank!$L$35,IF(Rechenmodell!$B$3&lt;Datenbank!$N36,Datenbank!$M$35,IF(Rechenmodell!$B$3&lt;Datenbank!$O36,Datenbank!$N$35,IF(Rechenmodell!$B$3&lt;Datenbank!$P36,Datenbank!$O$35,IF(Rechenmodell!$B$3&lt;Datenbank!$Q36,Datenbank!$P$35,IF(Rechenmodell!$B$3&lt;Datenbank!$R36,Datenbank!$Q$35,IF(Rechenmodell!$B$3&lt;Datenbank!$S36,Datenbank!$R$35,IF(Rechenmodell!$B$3&lt;Datenbank!$T36,Datenbank!$S$35,IF(Rechenmodell!$B$3&lt;Datenbank!$U36,Datenbank!$T$35,IF(Rechenmodell!$B$3&lt;Datenbank!$V36,Datenbank!$U$35,IF(Rechenmodell!$B$3&lt;Datenbank!$W36,Datenbank!$V$35,IF(Rechenmodell!$B$3&lt;Datenbank!$X36,Datenbank!$W$35,IF(Rechenmodell!$B$3&lt;Datenbank!$Y36,Datenbank!$X$35,IF(Rechenmodell!$B$3&lt;Datenbank!$Z36,Datenbank!$Y$35,IF(Rechenmodell!$B$3&lt;Datenbank!$AA36,Datenbank!$Z$35,IF(Rechenmodell!$B$3&lt;Datenbank!$AB36,Datenbank!$AA$35,IF(Rechenmodell!$B$3&lt;Datenbank!$AC36,Datenbank!$AB$35,IF(Rechenmodell!$B$3&lt;Datenbank!$AD36,Datenbank!$AC$35,IF(Rechenmodell!$B$3&lt;Datenbank!$AE36,Datenbank!$AD$35,IF(Rechenmodell!$B$3&lt;Datenbank!$AF36,Datenbank!$AE$35,IF(Rechenmodell!$B$3&lt;Datenbank!$AG36,Datenbank!$AF$35,IF(Rechenmodell!$B$3&lt;Datenbank!$AH36,Datenbank!$AG$35,IF(Rechenmodell!$B$3&lt;Datenbank!$AI36,Datenbank!$AH$35,IF(Rechenmodell!$B$3&lt;Datenbank!$AJ36,Datenbank!$AI$35,IF(Rechenmodell!$B$3&lt;Datenbank!$AK36,Datenbank!$AJ$35,IF(Rechenmodell!$B$3&lt;Datenbank!$AL36,Datenbank!$AK$35,IF(Rechenmodell!$B$3&lt;Datenbank!$AM36,Datenbank!$AL$35,IF(Rechenmodell!$B$3&lt;Datenbank!$AN36,Datenbank!$AM$35,IF(Rechenmodell!$B$3&lt;Datenbank!$AO36,Datenbank!$AM$35,IF(Rechenmodell!$B$3&lt;Datenbank!$AP36,Datenbank!$AO$35,IF(Rechenmodell!$B$3&lt;Datenbank!$AQ36,Datenbank!$AP$35,IF(Rechenmodell!$B$3&lt;Datenbank!$AR36,Datenbank!$AQ$35,IF(Rechenmodell!$B$3&lt;Datenbank!$AS36,Datenbank!$AR$35))))))))))))))))))))))))))))))))))))))))))))</f>
        <v>5</v>
      </c>
      <c r="C30" s="709">
        <f>IF(Rechenmodell!$B$3&lt;Datenbank!$B37,Datenbank!$A$35,IF(Rechenmodell!$B$3&lt;Datenbank!$C37,Datenbank!$B$35,IF(Rechenmodell!$B$3&lt;Datenbank!$D37,Datenbank!$C$35,IF(Rechenmodell!$B$3&lt;Datenbank!$E37,Datenbank!$D$35,IF(Rechenmodell!$B$3&lt;Datenbank!$F37,Datenbank!$E$35,IF(Rechenmodell!$B$3&lt;Datenbank!$G37,Datenbank!$F$35,IF(Rechenmodell!$B$3&lt;Datenbank!$H37,Datenbank!$G$35,IF(Rechenmodell!$B$3&lt;Datenbank!$I37,Datenbank!$H$35,IF(Rechenmodell!$B$3&lt;Datenbank!$J37,Datenbank!$I$35,IF(Rechenmodell!$B$3&lt;Datenbank!$K37,Datenbank!$J$35,IF(Rechenmodell!$B$3&lt;Datenbank!$L37,Datenbank!$K$35,IF(Rechenmodell!$B$3&lt;Datenbank!$M37,Datenbank!$L$35,IF(Rechenmodell!$B$3&lt;Datenbank!$N37,Datenbank!$M$35,IF(Rechenmodell!$B$3&lt;Datenbank!$O37,Datenbank!$N$35,IF(Rechenmodell!$B$3&lt;Datenbank!$P37,Datenbank!$O$35,IF(Rechenmodell!$B$3&lt;Datenbank!$Q37,Datenbank!$P$35,IF(Rechenmodell!$B$3&lt;Datenbank!$R37,Datenbank!$Q$35,IF(Rechenmodell!$B$3&lt;Datenbank!$S37,Datenbank!$R$35,IF(Rechenmodell!$B$3&lt;Datenbank!$T37,Datenbank!$S$35,IF(Rechenmodell!$B$3&lt;Datenbank!$U37,Datenbank!$T$35,IF(Rechenmodell!$B$3&lt;Datenbank!$V37,Datenbank!$U$35,IF(Rechenmodell!$B$3&lt;Datenbank!$W37,Datenbank!$V$35,IF(Rechenmodell!$B$3&lt;Datenbank!$X37,Datenbank!$W$35,IF(Rechenmodell!$B$3&lt;Datenbank!$Y37,Datenbank!$X$35,IF(Rechenmodell!$B$3&lt;Datenbank!$Z37,Datenbank!$Y$35,IF(Rechenmodell!$B$3&lt;Datenbank!$AA37,Datenbank!$Z$35,IF(Rechenmodell!$B$3&lt;Datenbank!$AB37,Datenbank!$AA$35,IF(Rechenmodell!$B$3&lt;Datenbank!$AC37,Datenbank!$AB$35,IF(Rechenmodell!$B$3&lt;Datenbank!$AD37,Datenbank!$AC$35,IF(Rechenmodell!$B$3&lt;Datenbank!$AE37,Datenbank!$AD$35,IF(Rechenmodell!$B$3&lt;Datenbank!$AF37,Datenbank!$AE$35,IF(Rechenmodell!$B$3&lt;Datenbank!$AG37,Datenbank!$AF$35,IF(Rechenmodell!$B$3&lt;Datenbank!$AH37,Datenbank!$AG$35,IF(Rechenmodell!$B$3&lt;Datenbank!$AI37,Datenbank!$AH$35,IF(Rechenmodell!$B$3&lt;Datenbank!$AJ37,Datenbank!$AI$35,IF(Rechenmodell!$B$3&lt;Datenbank!$AK37,Datenbank!$AJ$35,IF(Rechenmodell!$B$3&lt;Datenbank!$AL37,Datenbank!$AK$35,IF(Rechenmodell!$B$3&lt;Datenbank!$AM37,Datenbank!$AL$35,IF(Rechenmodell!$B$3&lt;Datenbank!$AN37,Datenbank!$AM$35,IF(Rechenmodell!$B$3&lt;Datenbank!$AO37,Datenbank!$AM$35,IF(Rechenmodell!$B$3&lt;Datenbank!$AP37,Datenbank!$AO$35,IF(Rechenmodell!$B$3&lt;Datenbank!$AQ37,Datenbank!$AP$35,IF(Rechenmodell!$B$3&lt;Datenbank!$AR37,Datenbank!$AQ$35,IF(Rechenmodell!$B$3&lt;Datenbank!$AS37,Datenbank!$AR$35))))))))))))))))))))))))))))))))))))))))))))</f>
        <v>4</v>
      </c>
      <c r="D30" s="709">
        <f>IF(Rechenmodell!$B$3&lt;Datenbank!$B38,Datenbank!$A$35,IF(Rechenmodell!$B$3&lt;Datenbank!$C38,Datenbank!$B$35,IF(Rechenmodell!$B$3&lt;Datenbank!$D38,Datenbank!$C$35,IF(Rechenmodell!$B$3&lt;Datenbank!$E38,Datenbank!$D$35,IF(Rechenmodell!$B$3&lt;Datenbank!$F38,Datenbank!$E$35,IF(Rechenmodell!$B$3&lt;Datenbank!$G38,Datenbank!$F$35,IF(Rechenmodell!$B$3&lt;Datenbank!$H38,Datenbank!$G$35,IF(Rechenmodell!$B$3&lt;Datenbank!$I38,Datenbank!$H$35,IF(Rechenmodell!$B$3&lt;Datenbank!$J38,Datenbank!$I$35,IF(Rechenmodell!$B$3&lt;Datenbank!$K38,Datenbank!$J$35,IF(Rechenmodell!$B$3&lt;Datenbank!$L38,Datenbank!$K$35,IF(Rechenmodell!$B$3&lt;Datenbank!$M38,Datenbank!$L$35,IF(Rechenmodell!$B$3&lt;Datenbank!$N38,Datenbank!$M$35,IF(Rechenmodell!$B$3&lt;Datenbank!$O38,Datenbank!$N$35,IF(Rechenmodell!$B$3&lt;Datenbank!$P38,Datenbank!$O$35,IF(Rechenmodell!$B$3&lt;Datenbank!$Q38,Datenbank!$P$35,IF(Rechenmodell!$B$3&lt;Datenbank!$R38,Datenbank!$Q$35,IF(Rechenmodell!$B$3&lt;Datenbank!$S38,Datenbank!$R$35,IF(Rechenmodell!$B$3&lt;Datenbank!$T38,Datenbank!$S$35,IF(Rechenmodell!$B$3&lt;Datenbank!$U38,Datenbank!$T$35,IF(Rechenmodell!$B$3&lt;Datenbank!$V38,Datenbank!$U$35,IF(Rechenmodell!$B$3&lt;Datenbank!$W38,Datenbank!$V$35,IF(Rechenmodell!$B$3&lt;Datenbank!$X38,Datenbank!$W$35,IF(Rechenmodell!$B$3&lt;Datenbank!$Y38,Datenbank!$X$35,IF(Rechenmodell!$B$3&lt;Datenbank!$Z38,Datenbank!$Y$35,IF(Rechenmodell!$B$3&lt;Datenbank!$AA38,Datenbank!$Z$35,IF(Rechenmodell!$B$3&lt;Datenbank!$AB38,Datenbank!$AA$35,IF(Rechenmodell!$B$3&lt;Datenbank!$AC38,Datenbank!$AB$35,IF(Rechenmodell!$B$3&lt;Datenbank!$AD38,Datenbank!$AC$35,IF(Rechenmodell!$B$3&lt;Datenbank!$AE38,Datenbank!$AD$35,IF(Rechenmodell!$B$3&lt;Datenbank!$AF38,Datenbank!$AE$35,IF(Rechenmodell!$B$3&lt;Datenbank!$AG38,Datenbank!$AF$35,IF(Rechenmodell!$B$3&lt;Datenbank!$AH38,Datenbank!$AG$35,IF(Rechenmodell!$B$3&lt;Datenbank!$AI38,Datenbank!$AH$35,IF(Rechenmodell!$B$3&lt;Datenbank!$AJ38,Datenbank!$AI$35,IF(Rechenmodell!$B$3&lt;Datenbank!$AK38,Datenbank!$AJ$35,IF(Rechenmodell!$B$3&lt;Datenbank!$AL38,Datenbank!$AK$35,IF(Rechenmodell!$B$3&lt;Datenbank!$AM38,Datenbank!$AL$35,IF(Rechenmodell!$B$3&lt;Datenbank!$AN38,Datenbank!$AM$35,IF(Rechenmodell!$B$3&lt;Datenbank!$AO38,Datenbank!$AM$35,IF(Rechenmodell!$B$3&lt;Datenbank!$AP38,Datenbank!$AO$35,IF(Rechenmodell!$B$3&lt;Datenbank!$AQ38,Datenbank!$AP$35,IF(Rechenmodell!$B$3&lt;Datenbank!$AR38,Datenbank!$AQ$35,IF(Rechenmodell!$B$3&lt;Datenbank!$AS38,Datenbank!$AR$35))))))))))))))))))))))))))))))))))))))))))))</f>
        <v>4</v>
      </c>
      <c r="E30" s="709">
        <f>IF(Rechenmodell!$B$3&lt;Datenbank!$B39,Datenbank!$A$35,IF(Rechenmodell!$B$3&lt;Datenbank!$C39,Datenbank!$B$35,IF(Rechenmodell!$B$3&lt;Datenbank!$D39,Datenbank!$C$35,IF(Rechenmodell!$B$3&lt;Datenbank!$E39,Datenbank!$D$35,IF(Rechenmodell!$B$3&lt;Datenbank!$F39,Datenbank!$E$35,IF(Rechenmodell!$B$3&lt;Datenbank!$G39,Datenbank!$F$35,IF(Rechenmodell!$B$3&lt;Datenbank!$H39,Datenbank!$G$35,IF(Rechenmodell!$B$3&lt;Datenbank!$I39,Datenbank!$H$35,IF(Rechenmodell!$B$3&lt;Datenbank!$J39,Datenbank!$I$35,IF(Rechenmodell!$B$3&lt;Datenbank!$K39,Datenbank!$J$35,IF(Rechenmodell!$B$3&lt;Datenbank!$L39,Datenbank!$K$35,IF(Rechenmodell!$B$3&lt;Datenbank!$M39,Datenbank!$L$35,IF(Rechenmodell!$B$3&lt;Datenbank!$N39,Datenbank!$M$35,IF(Rechenmodell!$B$3&lt;Datenbank!$O39,Datenbank!$N$35,IF(Rechenmodell!$B$3&lt;Datenbank!$P39,Datenbank!$O$35,IF(Rechenmodell!$B$3&lt;Datenbank!$Q39,Datenbank!$P$35,IF(Rechenmodell!$B$3&lt;Datenbank!$R39,Datenbank!$Q$35,IF(Rechenmodell!$B$3&lt;Datenbank!$S39,Datenbank!$R$35,IF(Rechenmodell!$B$3&lt;Datenbank!$T39,Datenbank!$S$35,IF(Rechenmodell!$B$3&lt;Datenbank!$U39,Datenbank!$T$35,IF(Rechenmodell!$B$3&lt;Datenbank!$V39,Datenbank!$U$35,IF(Rechenmodell!$B$3&lt;Datenbank!$W39,Datenbank!$V$35,IF(Rechenmodell!$B$3&lt;Datenbank!$X39,Datenbank!$W$35,IF(Rechenmodell!$B$3&lt;Datenbank!$Y39,Datenbank!$X$35,IF(Rechenmodell!$B$3&lt;Datenbank!$Z39,Datenbank!$Y$35,IF(Rechenmodell!$B$3&lt;Datenbank!$AA39,Datenbank!$Z$35,IF(Rechenmodell!$B$3&lt;Datenbank!$AB39,Datenbank!$AA$35,IF(Rechenmodell!$B$3&lt;Datenbank!$AC39,Datenbank!$AB$35,IF(Rechenmodell!$B$3&lt;Datenbank!$AD39,Datenbank!$AC$35,IF(Rechenmodell!$B$3&lt;Datenbank!$AE39,Datenbank!$AD$35,IF(Rechenmodell!$B$3&lt;Datenbank!$AF39,Datenbank!$AE$35,IF(Rechenmodell!$B$3&lt;Datenbank!$AG39,Datenbank!$AF$35,IF(Rechenmodell!$B$3&lt;Datenbank!$AH39,Datenbank!$AG$35,IF(Rechenmodell!$B$3&lt;Datenbank!$AI39,Datenbank!$AH$35,IF(Rechenmodell!$B$3&lt;Datenbank!$AJ39,Datenbank!$AI$35,IF(Rechenmodell!$B$3&lt;Datenbank!$AK39,Datenbank!$AJ$35,IF(Rechenmodell!$B$3&lt;Datenbank!$AL39,Datenbank!$AK$35,IF(Rechenmodell!$B$3&lt;Datenbank!$AM39,Datenbank!$AL$35,IF(Rechenmodell!$B$3&lt;Datenbank!$AN39,Datenbank!$AM$35,IF(Rechenmodell!$B$3&lt;Datenbank!$AO39,Datenbank!$AM$35,IF(Rechenmodell!$B$3&lt;Datenbank!$AP39,Datenbank!$AO$35,IF(Rechenmodell!$B$3&lt;Datenbank!$AQ39,Datenbank!$AP$35,IF(Rechenmodell!$B$3&lt;Datenbank!$AR39,Datenbank!$AQ$35,IF(Rechenmodell!$B$3&lt;Datenbank!$AS39,Datenbank!$AR$35))))))))))))))))))))))))))))))))))))))))))))</f>
        <v>4</v>
      </c>
      <c r="F30" s="709">
        <f>IF(Rechenmodell!$B$3&lt;Datenbank!$B40,Datenbank!$A$35,IF(Rechenmodell!$B$3&lt;Datenbank!$C40,Datenbank!$B$35,IF(Rechenmodell!$B$3&lt;Datenbank!$D40,Datenbank!$C$35,IF(Rechenmodell!$B$3&lt;Datenbank!$E40,Datenbank!$D$35,IF(Rechenmodell!$B$3&lt;Datenbank!$F40,Datenbank!$E$35,IF(Rechenmodell!$B$3&lt;Datenbank!$G40,Datenbank!$F$35,IF(Rechenmodell!$B$3&lt;Datenbank!$H40,Datenbank!$G$35,IF(Rechenmodell!$B$3&lt;Datenbank!$I40,Datenbank!$H$35,IF(Rechenmodell!$B$3&lt;Datenbank!$J40,Datenbank!$I$35,IF(Rechenmodell!$B$3&lt;Datenbank!$K40,Datenbank!$J$35,IF(Rechenmodell!$B$3&lt;Datenbank!$L40,Datenbank!$K$35,IF(Rechenmodell!$B$3&lt;Datenbank!$M40,Datenbank!$L$35,IF(Rechenmodell!$B$3&lt;Datenbank!$N40,Datenbank!$M$35,IF(Rechenmodell!$B$3&lt;Datenbank!$O40,Datenbank!$N$35,IF(Rechenmodell!$B$3&lt;Datenbank!$P40,Datenbank!$O$35,IF(Rechenmodell!$B$3&lt;Datenbank!$Q40,Datenbank!$P$35,IF(Rechenmodell!$B$3&lt;Datenbank!$R40,Datenbank!$Q$35,IF(Rechenmodell!$B$3&lt;Datenbank!$S40,Datenbank!$R$35,IF(Rechenmodell!$B$3&lt;Datenbank!$T40,Datenbank!$S$35,IF(Rechenmodell!$B$3&lt;Datenbank!$U40,Datenbank!$T$35,IF(Rechenmodell!$B$3&lt;Datenbank!$V40,Datenbank!$U$35,IF(Rechenmodell!$B$3&lt;Datenbank!$W40,Datenbank!$V$35,IF(Rechenmodell!$B$3&lt;Datenbank!$X40,Datenbank!$W$35,IF(Rechenmodell!$B$3&lt;Datenbank!$Y40,Datenbank!$X$35,IF(Rechenmodell!$B$3&lt;Datenbank!$Z40,Datenbank!$Y$35,IF(Rechenmodell!$B$3&lt;Datenbank!$AA40,Datenbank!$Z$35,IF(Rechenmodell!$B$3&lt;Datenbank!$AB40,Datenbank!$AA$35,IF(Rechenmodell!$B$3&lt;Datenbank!$AC40,Datenbank!$AB$35,IF(Rechenmodell!$B$3&lt;Datenbank!$AD40,Datenbank!$AC$35,IF(Rechenmodell!$B$3&lt;Datenbank!$AE40,Datenbank!$AD$35,IF(Rechenmodell!$B$3&lt;Datenbank!$AF40,Datenbank!$AE$35,IF(Rechenmodell!$B$3&lt;Datenbank!$AG40,Datenbank!$AF$35,IF(Rechenmodell!$B$3&lt;Datenbank!$AH40,Datenbank!$AG$35,IF(Rechenmodell!$B$3&lt;Datenbank!$AI40,Datenbank!$AH$35,IF(Rechenmodell!$B$3&lt;Datenbank!$AJ40,Datenbank!$AI$35,IF(Rechenmodell!$B$3&lt;Datenbank!$AK40,Datenbank!$AJ$35,IF(Rechenmodell!$B$3&lt;Datenbank!$AL40,Datenbank!$AK$35,IF(Rechenmodell!$B$3&lt;Datenbank!$AM40,Datenbank!$AL$35,IF(Rechenmodell!$B$3&lt;Datenbank!$AN40,Datenbank!$AM$35,IF(Rechenmodell!$B$3&lt;Datenbank!$AO40,Datenbank!$AM$35,IF(Rechenmodell!$B$3&lt;Datenbank!$AP40,Datenbank!$AO$35,IF(Rechenmodell!$B$3&lt;Datenbank!$AQ40,Datenbank!$AP$35,IF(Rechenmodell!$B$3&lt;Datenbank!$AR40,Datenbank!$AQ$35,IF(Rechenmodell!$B$3&lt;Datenbank!$AS40,Datenbank!$AR$35))))))))))))))))))))))))))))))))))))))))))))</f>
        <v>3</v>
      </c>
      <c r="G30" s="709">
        <f>IF(Rechenmodell!$B$3&lt;Datenbank!$B41,Datenbank!$A$35,IF(Rechenmodell!$B$3&lt;Datenbank!$C41,Datenbank!$B$35,IF(Rechenmodell!$B$3&lt;Datenbank!$D41,Datenbank!$C$35,IF(Rechenmodell!$B$3&lt;Datenbank!$E41,Datenbank!$D$35,IF(Rechenmodell!$B$3&lt;Datenbank!$F41,Datenbank!$E$35,IF(Rechenmodell!$B$3&lt;Datenbank!$G41,Datenbank!$F$35,IF(Rechenmodell!$B$3&lt;Datenbank!$H41,Datenbank!$G$35,IF(Rechenmodell!$B$3&lt;Datenbank!$I41,Datenbank!$H$35,IF(Rechenmodell!$B$3&lt;Datenbank!$J41,Datenbank!$I$35,IF(Rechenmodell!$B$3&lt;Datenbank!$K41,Datenbank!$J$35,IF(Rechenmodell!$B$3&lt;Datenbank!$L41,Datenbank!$K$35,IF(Rechenmodell!$B$3&lt;Datenbank!$M41,Datenbank!$L$35,IF(Rechenmodell!$B$3&lt;Datenbank!$N41,Datenbank!$M$35,IF(Rechenmodell!$B$3&lt;Datenbank!$O41,Datenbank!$N$35,IF(Rechenmodell!$B$3&lt;Datenbank!$P41,Datenbank!$O$35,IF(Rechenmodell!$B$3&lt;Datenbank!$Q41,Datenbank!$P$35,IF(Rechenmodell!$B$3&lt;Datenbank!$R41,Datenbank!$Q$35,IF(Rechenmodell!$B$3&lt;Datenbank!$S41,Datenbank!$R$35,IF(Rechenmodell!$B$3&lt;Datenbank!$T41,Datenbank!$S$35,IF(Rechenmodell!$B$3&lt;Datenbank!$U41,Datenbank!$T$35,IF(Rechenmodell!$B$3&lt;Datenbank!$V41,Datenbank!$U$35,IF(Rechenmodell!$B$3&lt;Datenbank!$W41,Datenbank!$V$35,IF(Rechenmodell!$B$3&lt;Datenbank!$X41,Datenbank!$W$35,IF(Rechenmodell!$B$3&lt;Datenbank!$Y41,Datenbank!$X$35,IF(Rechenmodell!$B$3&lt;Datenbank!$Z41,Datenbank!$Y$35,IF(Rechenmodell!$B$3&lt;Datenbank!$AA41,Datenbank!$Z$35,IF(Rechenmodell!$B$3&lt;Datenbank!$AB41,Datenbank!$AA$35,IF(Rechenmodell!$B$3&lt;Datenbank!$AC41,Datenbank!$AB$35,IF(Rechenmodell!$B$3&lt;Datenbank!$AD41,Datenbank!$AC$35,IF(Rechenmodell!$B$3&lt;Datenbank!$AE41,Datenbank!$AD$35,IF(Rechenmodell!$B$3&lt;Datenbank!$AF41,Datenbank!$AE$35,IF(Rechenmodell!$B$3&lt;Datenbank!$AG41,Datenbank!$AF$35,IF(Rechenmodell!$B$3&lt;Datenbank!$AH41,Datenbank!$AG$35,IF(Rechenmodell!$B$3&lt;Datenbank!$AI41,Datenbank!$AH$35,IF(Rechenmodell!$B$3&lt;Datenbank!$AJ41,Datenbank!$AI$35,IF(Rechenmodell!$B$3&lt;Datenbank!$AK41,Datenbank!$AJ$35,IF(Rechenmodell!$B$3&lt;Datenbank!$AL41,Datenbank!$AK$35,IF(Rechenmodell!$B$3&lt;Datenbank!$AM41,Datenbank!$AL$35,IF(Rechenmodell!$B$3&lt;Datenbank!$AN41,Datenbank!$AM$35,IF(Rechenmodell!$B$3&lt;Datenbank!$AO41,Datenbank!$AM$35,IF(Rechenmodell!$B$3&lt;Datenbank!$AP41,Datenbank!$AO$35,IF(Rechenmodell!$B$3&lt;Datenbank!$AQ41,Datenbank!$AP$35,IF(Rechenmodell!$B$3&lt;Datenbank!$AR41,Datenbank!$AQ$35,IF(Rechenmodell!$B$3&lt;Datenbank!$AS41,Datenbank!$AR$35))))))))))))))))))))))))))))))))))))))))))))</f>
        <v>3</v>
      </c>
      <c r="H30" s="831">
        <f>IF(Rechenmodell!$B$3&lt;Datenbank!$B42,Datenbank!$A$35,IF(Rechenmodell!$B$3&lt;Datenbank!$C42,Datenbank!$B$35,IF(Rechenmodell!$B$3&lt;Datenbank!$D42,Datenbank!$C$35,IF(Rechenmodell!$B$3&lt;Datenbank!$E42,Datenbank!$D$35,IF(Rechenmodell!$B$3&lt;Datenbank!$F42,Datenbank!$E$35,IF(Rechenmodell!$B$3&lt;Datenbank!$G42,Datenbank!$F$35,IF(Rechenmodell!$B$3&lt;Datenbank!$H42,Datenbank!$G$35,IF(Rechenmodell!$B$3&lt;Datenbank!$I42,Datenbank!$H$35,IF(Rechenmodell!$B$3&lt;Datenbank!$J42,Datenbank!$I$35,IF(Rechenmodell!$B$3&lt;Datenbank!$K42,Datenbank!$J$35,IF(Rechenmodell!$B$3&lt;Datenbank!$L42,Datenbank!$K$35,IF(Rechenmodell!$B$3&lt;Datenbank!$M42,Datenbank!$L$35,IF(Rechenmodell!$B$3&lt;Datenbank!$N42,Datenbank!$M$35,IF(Rechenmodell!$B$3&lt;Datenbank!$O42,Datenbank!$N$35,IF(Rechenmodell!$B$3&lt;Datenbank!$P42,Datenbank!$O$35,IF(Rechenmodell!$B$3&lt;Datenbank!$Q42,Datenbank!$P$35,IF(Rechenmodell!$B$3&lt;Datenbank!$R42,Datenbank!$Q$35,IF(Rechenmodell!$B$3&lt;Datenbank!$S42,Datenbank!$R$35,IF(Rechenmodell!$B$3&lt;Datenbank!$T42,Datenbank!$S$35,IF(Rechenmodell!$B$3&lt;Datenbank!$U42,Datenbank!$T$35,IF(Rechenmodell!$B$3&lt;Datenbank!$V42,Datenbank!$U$35,IF(Rechenmodell!$B$3&lt;Datenbank!$W42,Datenbank!$V$35,IF(Rechenmodell!$B$3&lt;Datenbank!$X42,Datenbank!$W$35,IF(Rechenmodell!$B$3&lt;Datenbank!$Y42,Datenbank!$X$35,IF(Rechenmodell!$B$3&lt;Datenbank!$Z42,Datenbank!$Y$35,IF(Rechenmodell!$B$3&lt;Datenbank!$AA42,Datenbank!$Z$35,IF(Rechenmodell!$B$3&lt;Datenbank!$AB42,Datenbank!$AA$35,IF(Rechenmodell!$B$3&lt;Datenbank!$AC42,Datenbank!$AB$35,IF(Rechenmodell!$B$3&lt;Datenbank!$AD42,Datenbank!$AC$35,IF(Rechenmodell!$B$3&lt;Datenbank!$AE42,Datenbank!$AD$35,IF(Rechenmodell!$B$3&lt;Datenbank!$AF42,Datenbank!$AE$35,IF(Rechenmodell!$B$3&lt;Datenbank!$AG42,Datenbank!$AF$35,IF(Rechenmodell!$B$3&lt;Datenbank!$AH42,Datenbank!$AG$35,IF(Rechenmodell!$B$3&lt;Datenbank!$AI42,Datenbank!$AH$35,IF(Rechenmodell!$B$3&lt;Datenbank!$AJ42,Datenbank!$AI$35,IF(Rechenmodell!$B$3&lt;Datenbank!$AK42,Datenbank!$AJ$35,IF(Rechenmodell!$B$3&lt;Datenbank!$AL42,Datenbank!$AK$35,IF(Rechenmodell!$B$3&lt;Datenbank!$AM42,Datenbank!$AL$35,IF(Rechenmodell!$B$3&lt;Datenbank!$AN42,Datenbank!$AM$35,IF(Rechenmodell!$B$3&lt;Datenbank!$AO42,Datenbank!$AM$35,IF(Rechenmodell!$B$3&lt;Datenbank!$AP42,Datenbank!$AO$35,IF(Rechenmodell!$B$3&lt;Datenbank!$AQ42,Datenbank!$AP$35,IF(Rechenmodell!$B$3&lt;Datenbank!$AR42,Datenbank!$AQ$35,IF(Rechenmodell!$B$3&lt;Datenbank!$AS42,Datenbank!$AR$35))))))))))))))))))))))))))))))))))))))))))))</f>
        <v>2</v>
      </c>
      <c r="I30" s="838">
        <f t="shared" ref="I30:AN30" si="8">ROUNDDOWN($B$3/I27, 0)</f>
        <v>4</v>
      </c>
      <c r="J30" s="709">
        <f t="shared" si="8"/>
        <v>4</v>
      </c>
      <c r="K30" s="709">
        <f t="shared" si="8"/>
        <v>4</v>
      </c>
      <c r="L30" s="709">
        <f t="shared" si="8"/>
        <v>3</v>
      </c>
      <c r="M30" s="709">
        <f t="shared" si="8"/>
        <v>3</v>
      </c>
      <c r="N30" s="709">
        <f t="shared" si="8"/>
        <v>2</v>
      </c>
      <c r="O30" s="709">
        <f t="shared" si="8"/>
        <v>2</v>
      </c>
      <c r="P30" s="709">
        <f t="shared" si="8"/>
        <v>2</v>
      </c>
      <c r="Q30" s="709">
        <f t="shared" si="8"/>
        <v>2</v>
      </c>
      <c r="R30" s="1121">
        <f t="shared" si="8"/>
        <v>5</v>
      </c>
      <c r="S30" s="709">
        <f t="shared" si="8"/>
        <v>4</v>
      </c>
      <c r="T30" s="709">
        <f t="shared" si="8"/>
        <v>4</v>
      </c>
      <c r="U30" s="709">
        <f t="shared" si="8"/>
        <v>3</v>
      </c>
      <c r="V30" s="709">
        <f t="shared" si="8"/>
        <v>3</v>
      </c>
      <c r="W30" s="709">
        <f t="shared" si="8"/>
        <v>2</v>
      </c>
      <c r="X30" s="709">
        <f t="shared" si="8"/>
        <v>2</v>
      </c>
      <c r="Y30" s="709">
        <f t="shared" si="8"/>
        <v>2</v>
      </c>
      <c r="Z30" s="709">
        <f t="shared" si="8"/>
        <v>2</v>
      </c>
      <c r="AA30" s="1121">
        <f t="shared" si="8"/>
        <v>5</v>
      </c>
      <c r="AB30" s="709">
        <f t="shared" si="8"/>
        <v>4</v>
      </c>
      <c r="AC30" s="709">
        <f t="shared" si="8"/>
        <v>4</v>
      </c>
      <c r="AD30" s="709">
        <f t="shared" si="8"/>
        <v>3</v>
      </c>
      <c r="AE30" s="709">
        <f t="shared" si="8"/>
        <v>3</v>
      </c>
      <c r="AF30" s="709">
        <f t="shared" si="8"/>
        <v>2</v>
      </c>
      <c r="AG30" s="709">
        <f t="shared" si="8"/>
        <v>2</v>
      </c>
      <c r="AH30" s="709">
        <f t="shared" si="8"/>
        <v>2</v>
      </c>
      <c r="AI30" s="709">
        <f t="shared" si="8"/>
        <v>2</v>
      </c>
      <c r="AJ30" s="1121">
        <f t="shared" si="8"/>
        <v>5</v>
      </c>
      <c r="AK30" s="709">
        <f t="shared" si="8"/>
        <v>4</v>
      </c>
      <c r="AL30" s="709">
        <f t="shared" si="8"/>
        <v>4</v>
      </c>
      <c r="AM30" s="709">
        <f t="shared" si="8"/>
        <v>3</v>
      </c>
      <c r="AN30" s="709">
        <f t="shared" si="8"/>
        <v>3</v>
      </c>
      <c r="AO30" s="709">
        <f t="shared" ref="AO30:BT30" si="9">ROUNDDOWN($B$3/AO27, 0)</f>
        <v>2</v>
      </c>
      <c r="AP30" s="709">
        <f t="shared" si="9"/>
        <v>2</v>
      </c>
      <c r="AQ30" s="709">
        <f t="shared" si="9"/>
        <v>2</v>
      </c>
      <c r="AR30" s="709">
        <f t="shared" si="9"/>
        <v>2</v>
      </c>
      <c r="AS30" s="1121">
        <f t="shared" si="9"/>
        <v>5</v>
      </c>
      <c r="AT30" s="709">
        <f t="shared" si="9"/>
        <v>4</v>
      </c>
      <c r="AU30" s="709">
        <f t="shared" si="9"/>
        <v>4</v>
      </c>
      <c r="AV30" s="709">
        <f t="shared" si="9"/>
        <v>4</v>
      </c>
      <c r="AW30" s="709">
        <f t="shared" si="9"/>
        <v>3</v>
      </c>
      <c r="AX30" s="709">
        <f t="shared" si="9"/>
        <v>2</v>
      </c>
      <c r="AY30" s="709">
        <f t="shared" si="9"/>
        <v>2</v>
      </c>
      <c r="AZ30" s="709">
        <f t="shared" si="9"/>
        <v>2</v>
      </c>
      <c r="BA30" s="709">
        <f t="shared" si="9"/>
        <v>2</v>
      </c>
      <c r="BB30" s="1121">
        <f t="shared" si="9"/>
        <v>5</v>
      </c>
      <c r="BC30" s="709">
        <f t="shared" si="9"/>
        <v>4</v>
      </c>
      <c r="BD30" s="709">
        <f t="shared" si="9"/>
        <v>4</v>
      </c>
      <c r="BE30" s="709">
        <f t="shared" si="9"/>
        <v>4</v>
      </c>
      <c r="BF30" s="709">
        <f t="shared" si="9"/>
        <v>3</v>
      </c>
      <c r="BG30" s="709">
        <f t="shared" si="9"/>
        <v>2</v>
      </c>
      <c r="BH30" s="709">
        <f t="shared" si="9"/>
        <v>2</v>
      </c>
      <c r="BI30" s="709">
        <f t="shared" si="9"/>
        <v>2</v>
      </c>
      <c r="BJ30" s="709">
        <f t="shared" si="9"/>
        <v>2</v>
      </c>
      <c r="BK30" s="1121">
        <f t="shared" si="9"/>
        <v>5</v>
      </c>
      <c r="BL30" s="709">
        <f t="shared" si="9"/>
        <v>4</v>
      </c>
      <c r="BM30" s="709">
        <f t="shared" si="9"/>
        <v>4</v>
      </c>
      <c r="BN30" s="709">
        <f t="shared" si="9"/>
        <v>4</v>
      </c>
      <c r="BO30" s="709">
        <f t="shared" si="9"/>
        <v>3</v>
      </c>
      <c r="BP30" s="709">
        <f t="shared" si="9"/>
        <v>3</v>
      </c>
      <c r="BQ30" s="709">
        <f t="shared" si="9"/>
        <v>2</v>
      </c>
      <c r="BR30" s="709">
        <f t="shared" si="9"/>
        <v>2</v>
      </c>
      <c r="BS30" s="831">
        <f t="shared" si="9"/>
        <v>2</v>
      </c>
      <c r="BT30" s="1121">
        <f t="shared" si="9"/>
        <v>5</v>
      </c>
      <c r="BU30" s="709">
        <f t="shared" ref="BU30:CT30" si="10">ROUNDDOWN($B$3/BU27, 0)</f>
        <v>4</v>
      </c>
      <c r="BV30" s="709">
        <f t="shared" si="10"/>
        <v>4</v>
      </c>
      <c r="BW30" s="709">
        <f t="shared" si="10"/>
        <v>4</v>
      </c>
      <c r="BX30" s="709">
        <f t="shared" si="10"/>
        <v>3</v>
      </c>
      <c r="BY30" s="709">
        <f t="shared" si="10"/>
        <v>3</v>
      </c>
      <c r="BZ30" s="709">
        <f t="shared" si="10"/>
        <v>2</v>
      </c>
      <c r="CA30" s="707">
        <f t="shared" si="10"/>
        <v>2</v>
      </c>
      <c r="CB30" s="707">
        <f t="shared" si="10"/>
        <v>2</v>
      </c>
      <c r="CC30" s="709">
        <f t="shared" si="10"/>
        <v>5</v>
      </c>
      <c r="CD30" s="709">
        <f t="shared" si="10"/>
        <v>4</v>
      </c>
      <c r="CE30" s="709">
        <f t="shared" si="10"/>
        <v>4</v>
      </c>
      <c r="CF30" s="709">
        <f t="shared" si="10"/>
        <v>4</v>
      </c>
      <c r="CG30" s="709">
        <f t="shared" si="10"/>
        <v>3</v>
      </c>
      <c r="CH30" s="709">
        <f t="shared" si="10"/>
        <v>3</v>
      </c>
      <c r="CI30" s="709">
        <f t="shared" si="10"/>
        <v>2</v>
      </c>
      <c r="CJ30" s="707">
        <f t="shared" si="10"/>
        <v>2</v>
      </c>
      <c r="CK30" s="707">
        <f t="shared" si="10"/>
        <v>2</v>
      </c>
      <c r="CL30" s="709">
        <f t="shared" si="10"/>
        <v>5</v>
      </c>
      <c r="CM30" s="709">
        <f t="shared" si="10"/>
        <v>4</v>
      </c>
      <c r="CN30" s="709">
        <f t="shared" si="10"/>
        <v>4</v>
      </c>
      <c r="CO30" s="709">
        <f t="shared" si="10"/>
        <v>4</v>
      </c>
      <c r="CP30" s="709">
        <f t="shared" si="10"/>
        <v>3</v>
      </c>
      <c r="CQ30" s="709">
        <f t="shared" si="10"/>
        <v>3</v>
      </c>
      <c r="CR30" s="709">
        <f t="shared" si="10"/>
        <v>2</v>
      </c>
      <c r="CS30" s="707">
        <f t="shared" si="10"/>
        <v>2</v>
      </c>
      <c r="CT30" s="707">
        <f t="shared" si="10"/>
        <v>2</v>
      </c>
    </row>
    <row r="31" spans="1:98">
      <c r="A31" s="707" t="s">
        <v>1276</v>
      </c>
      <c r="B31" s="829">
        <f t="shared" ref="B31:AG31" si="11">$B$3/B30</f>
        <v>2.84</v>
      </c>
      <c r="C31" s="829">
        <f t="shared" si="11"/>
        <v>3.55</v>
      </c>
      <c r="D31" s="829">
        <f t="shared" si="11"/>
        <v>3.55</v>
      </c>
      <c r="E31" s="829">
        <f t="shared" si="11"/>
        <v>3.55</v>
      </c>
      <c r="F31" s="829">
        <f t="shared" si="11"/>
        <v>4.7333333333333334</v>
      </c>
      <c r="G31" s="829">
        <f t="shared" si="11"/>
        <v>4.7333333333333334</v>
      </c>
      <c r="H31" s="832">
        <f t="shared" si="11"/>
        <v>7.1</v>
      </c>
      <c r="I31" s="862">
        <f t="shared" si="11"/>
        <v>3.55</v>
      </c>
      <c r="J31" s="832">
        <f t="shared" si="11"/>
        <v>3.55</v>
      </c>
      <c r="K31" s="832">
        <f t="shared" si="11"/>
        <v>3.55</v>
      </c>
      <c r="L31" s="832">
        <f t="shared" si="11"/>
        <v>4.7333333333333334</v>
      </c>
      <c r="M31" s="832">
        <f t="shared" si="11"/>
        <v>4.7333333333333334</v>
      </c>
      <c r="N31" s="832">
        <f t="shared" si="11"/>
        <v>7.1</v>
      </c>
      <c r="O31" s="832">
        <f t="shared" si="11"/>
        <v>7.1</v>
      </c>
      <c r="P31" s="832">
        <f t="shared" si="11"/>
        <v>7.1</v>
      </c>
      <c r="Q31" s="832">
        <f t="shared" si="11"/>
        <v>7.1</v>
      </c>
      <c r="R31" s="1122">
        <f t="shared" si="11"/>
        <v>2.84</v>
      </c>
      <c r="S31" s="832">
        <f t="shared" si="11"/>
        <v>3.55</v>
      </c>
      <c r="T31" s="832">
        <f t="shared" si="11"/>
        <v>3.55</v>
      </c>
      <c r="U31" s="832">
        <f t="shared" si="11"/>
        <v>4.7333333333333334</v>
      </c>
      <c r="V31" s="832">
        <f t="shared" si="11"/>
        <v>4.7333333333333334</v>
      </c>
      <c r="W31" s="832">
        <f t="shared" si="11"/>
        <v>7.1</v>
      </c>
      <c r="X31" s="832">
        <f t="shared" si="11"/>
        <v>7.1</v>
      </c>
      <c r="Y31" s="832">
        <f t="shared" si="11"/>
        <v>7.1</v>
      </c>
      <c r="Z31" s="832">
        <f t="shared" si="11"/>
        <v>7.1</v>
      </c>
      <c r="AA31" s="1122">
        <f t="shared" si="11"/>
        <v>2.84</v>
      </c>
      <c r="AB31" s="832">
        <f t="shared" si="11"/>
        <v>3.55</v>
      </c>
      <c r="AC31" s="832">
        <f t="shared" si="11"/>
        <v>3.55</v>
      </c>
      <c r="AD31" s="832">
        <f t="shared" si="11"/>
        <v>4.7333333333333334</v>
      </c>
      <c r="AE31" s="832">
        <f t="shared" si="11"/>
        <v>4.7333333333333334</v>
      </c>
      <c r="AF31" s="832">
        <f t="shared" si="11"/>
        <v>7.1</v>
      </c>
      <c r="AG31" s="832">
        <f t="shared" si="11"/>
        <v>7.1</v>
      </c>
      <c r="AH31" s="832">
        <f t="shared" ref="AH31:BM31" si="12">$B$3/AH30</f>
        <v>7.1</v>
      </c>
      <c r="AI31" s="832">
        <f t="shared" si="12"/>
        <v>7.1</v>
      </c>
      <c r="AJ31" s="1122">
        <f t="shared" si="12"/>
        <v>2.84</v>
      </c>
      <c r="AK31" s="832">
        <f t="shared" si="12"/>
        <v>3.55</v>
      </c>
      <c r="AL31" s="832">
        <f t="shared" si="12"/>
        <v>3.55</v>
      </c>
      <c r="AM31" s="832">
        <f t="shared" si="12"/>
        <v>4.7333333333333334</v>
      </c>
      <c r="AN31" s="832">
        <f t="shared" si="12"/>
        <v>4.7333333333333334</v>
      </c>
      <c r="AO31" s="832">
        <f t="shared" si="12"/>
        <v>7.1</v>
      </c>
      <c r="AP31" s="832">
        <f t="shared" si="12"/>
        <v>7.1</v>
      </c>
      <c r="AQ31" s="832">
        <f t="shared" si="12"/>
        <v>7.1</v>
      </c>
      <c r="AR31" s="832">
        <f t="shared" si="12"/>
        <v>7.1</v>
      </c>
      <c r="AS31" s="1122">
        <f t="shared" si="12"/>
        <v>2.84</v>
      </c>
      <c r="AT31" s="832">
        <f t="shared" si="12"/>
        <v>3.55</v>
      </c>
      <c r="AU31" s="832">
        <f t="shared" si="12"/>
        <v>3.55</v>
      </c>
      <c r="AV31" s="832">
        <f t="shared" si="12"/>
        <v>3.55</v>
      </c>
      <c r="AW31" s="832">
        <f t="shared" si="12"/>
        <v>4.7333333333333334</v>
      </c>
      <c r="AX31" s="832">
        <f t="shared" si="12"/>
        <v>7.1</v>
      </c>
      <c r="AY31" s="832">
        <f t="shared" si="12"/>
        <v>7.1</v>
      </c>
      <c r="AZ31" s="832">
        <f t="shared" si="12"/>
        <v>7.1</v>
      </c>
      <c r="BA31" s="832">
        <f t="shared" si="12"/>
        <v>7.1</v>
      </c>
      <c r="BB31" s="1122">
        <f t="shared" si="12"/>
        <v>2.84</v>
      </c>
      <c r="BC31" s="832">
        <f t="shared" si="12"/>
        <v>3.55</v>
      </c>
      <c r="BD31" s="832">
        <f t="shared" si="12"/>
        <v>3.55</v>
      </c>
      <c r="BE31" s="832">
        <f t="shared" si="12"/>
        <v>3.55</v>
      </c>
      <c r="BF31" s="832">
        <f t="shared" si="12"/>
        <v>4.7333333333333334</v>
      </c>
      <c r="BG31" s="832">
        <f t="shared" si="12"/>
        <v>7.1</v>
      </c>
      <c r="BH31" s="832">
        <f t="shared" si="12"/>
        <v>7.1</v>
      </c>
      <c r="BI31" s="832">
        <f t="shared" si="12"/>
        <v>7.1</v>
      </c>
      <c r="BJ31" s="832">
        <f t="shared" si="12"/>
        <v>7.1</v>
      </c>
      <c r="BK31" s="1122">
        <f t="shared" si="12"/>
        <v>2.84</v>
      </c>
      <c r="BL31" s="832">
        <f t="shared" si="12"/>
        <v>3.55</v>
      </c>
      <c r="BM31" s="832">
        <f t="shared" si="12"/>
        <v>3.55</v>
      </c>
      <c r="BN31" s="832">
        <f t="shared" ref="BN31:CS31" si="13">$B$3/BN30</f>
        <v>3.55</v>
      </c>
      <c r="BO31" s="832">
        <f t="shared" si="13"/>
        <v>4.7333333333333334</v>
      </c>
      <c r="BP31" s="832">
        <f t="shared" si="13"/>
        <v>4.7333333333333334</v>
      </c>
      <c r="BQ31" s="832">
        <f t="shared" si="13"/>
        <v>7.1</v>
      </c>
      <c r="BR31" s="832">
        <f t="shared" si="13"/>
        <v>7.1</v>
      </c>
      <c r="BS31" s="832">
        <f t="shared" si="13"/>
        <v>7.1</v>
      </c>
      <c r="BT31" s="1122">
        <f t="shared" si="13"/>
        <v>2.84</v>
      </c>
      <c r="BU31" s="832">
        <f t="shared" si="13"/>
        <v>3.55</v>
      </c>
      <c r="BV31" s="832">
        <f t="shared" si="13"/>
        <v>3.55</v>
      </c>
      <c r="BW31" s="832">
        <f t="shared" si="13"/>
        <v>3.55</v>
      </c>
      <c r="BX31" s="832">
        <f t="shared" si="13"/>
        <v>4.7333333333333334</v>
      </c>
      <c r="BY31" s="832">
        <f t="shared" si="13"/>
        <v>4.7333333333333334</v>
      </c>
      <c r="BZ31" s="832">
        <f t="shared" si="13"/>
        <v>7.1</v>
      </c>
      <c r="CA31" s="832">
        <f t="shared" si="13"/>
        <v>7.1</v>
      </c>
      <c r="CB31" s="832">
        <f t="shared" si="13"/>
        <v>7.1</v>
      </c>
      <c r="CC31" s="832">
        <f t="shared" si="13"/>
        <v>2.84</v>
      </c>
      <c r="CD31" s="832">
        <f t="shared" si="13"/>
        <v>3.55</v>
      </c>
      <c r="CE31" s="832">
        <f t="shared" si="13"/>
        <v>3.55</v>
      </c>
      <c r="CF31" s="832">
        <f t="shared" si="13"/>
        <v>3.55</v>
      </c>
      <c r="CG31" s="832">
        <f t="shared" si="13"/>
        <v>4.7333333333333334</v>
      </c>
      <c r="CH31" s="832">
        <f t="shared" si="13"/>
        <v>4.7333333333333334</v>
      </c>
      <c r="CI31" s="832">
        <f t="shared" si="13"/>
        <v>7.1</v>
      </c>
      <c r="CJ31" s="832">
        <f t="shared" si="13"/>
        <v>7.1</v>
      </c>
      <c r="CK31" s="832">
        <f t="shared" si="13"/>
        <v>7.1</v>
      </c>
      <c r="CL31" s="832">
        <f t="shared" si="13"/>
        <v>2.84</v>
      </c>
      <c r="CM31" s="832">
        <f t="shared" si="13"/>
        <v>3.55</v>
      </c>
      <c r="CN31" s="832">
        <f t="shared" si="13"/>
        <v>3.55</v>
      </c>
      <c r="CO31" s="832">
        <f t="shared" si="13"/>
        <v>3.55</v>
      </c>
      <c r="CP31" s="832">
        <f t="shared" si="13"/>
        <v>4.7333333333333334</v>
      </c>
      <c r="CQ31" s="832">
        <f t="shared" si="13"/>
        <v>4.7333333333333334</v>
      </c>
      <c r="CR31" s="832">
        <f t="shared" si="13"/>
        <v>7.1</v>
      </c>
      <c r="CS31" s="832">
        <f t="shared" si="13"/>
        <v>7.1</v>
      </c>
      <c r="CT31" s="829">
        <f t="shared" ref="CT31" si="14">$B$3/CT30</f>
        <v>7.1</v>
      </c>
    </row>
    <row r="32" spans="1:98">
      <c r="A32" s="707" t="s">
        <v>1277</v>
      </c>
      <c r="B32" s="709">
        <f t="shared" ref="B32:AG32" si="15">IF(B28&lt;=8,1,IF(B28&lt;=16,2,3))</f>
        <v>3</v>
      </c>
      <c r="C32" s="709">
        <f t="shared" si="15"/>
        <v>3</v>
      </c>
      <c r="D32" s="709">
        <f t="shared" si="15"/>
        <v>2</v>
      </c>
      <c r="E32" s="709">
        <f t="shared" si="15"/>
        <v>2</v>
      </c>
      <c r="F32" s="709">
        <f t="shared" si="15"/>
        <v>2</v>
      </c>
      <c r="G32" s="709">
        <f t="shared" si="15"/>
        <v>2</v>
      </c>
      <c r="H32" s="831">
        <f t="shared" si="15"/>
        <v>2</v>
      </c>
      <c r="I32" s="869">
        <f t="shared" si="15"/>
        <v>3</v>
      </c>
      <c r="J32" s="831">
        <f t="shared" si="15"/>
        <v>3</v>
      </c>
      <c r="K32" s="831">
        <f t="shared" si="15"/>
        <v>3</v>
      </c>
      <c r="L32" s="831">
        <f t="shared" si="15"/>
        <v>3</v>
      </c>
      <c r="M32" s="831">
        <f t="shared" si="15"/>
        <v>3</v>
      </c>
      <c r="N32" s="831">
        <f t="shared" si="15"/>
        <v>3</v>
      </c>
      <c r="O32" s="831">
        <f t="shared" si="15"/>
        <v>3</v>
      </c>
      <c r="P32" s="831">
        <f t="shared" si="15"/>
        <v>3</v>
      </c>
      <c r="Q32" s="831">
        <f t="shared" si="15"/>
        <v>3</v>
      </c>
      <c r="R32" s="1123">
        <f t="shared" si="15"/>
        <v>3</v>
      </c>
      <c r="S32" s="831">
        <f t="shared" si="15"/>
        <v>3</v>
      </c>
      <c r="T32" s="831">
        <f t="shared" si="15"/>
        <v>3</v>
      </c>
      <c r="U32" s="831">
        <f t="shared" si="15"/>
        <v>3</v>
      </c>
      <c r="V32" s="831">
        <f t="shared" si="15"/>
        <v>3</v>
      </c>
      <c r="W32" s="831">
        <f t="shared" si="15"/>
        <v>3</v>
      </c>
      <c r="X32" s="831">
        <f t="shared" si="15"/>
        <v>3</v>
      </c>
      <c r="Y32" s="831">
        <f t="shared" si="15"/>
        <v>3</v>
      </c>
      <c r="Z32" s="831">
        <f t="shared" si="15"/>
        <v>3</v>
      </c>
      <c r="AA32" s="1123">
        <f t="shared" si="15"/>
        <v>2</v>
      </c>
      <c r="AB32" s="831">
        <f t="shared" si="15"/>
        <v>2</v>
      </c>
      <c r="AC32" s="831">
        <f t="shared" si="15"/>
        <v>2</v>
      </c>
      <c r="AD32" s="831">
        <f t="shared" si="15"/>
        <v>2</v>
      </c>
      <c r="AE32" s="831">
        <f t="shared" si="15"/>
        <v>2</v>
      </c>
      <c r="AF32" s="831">
        <f t="shared" si="15"/>
        <v>2</v>
      </c>
      <c r="AG32" s="831">
        <f t="shared" si="15"/>
        <v>2</v>
      </c>
      <c r="AH32" s="831">
        <f t="shared" ref="AH32:BM32" si="16">IF(AH28&lt;=8,1,IF(AH28&lt;=16,2,3))</f>
        <v>2</v>
      </c>
      <c r="AI32" s="831">
        <f t="shared" si="16"/>
        <v>2</v>
      </c>
      <c r="AJ32" s="1123">
        <f t="shared" si="16"/>
        <v>2</v>
      </c>
      <c r="AK32" s="831">
        <f t="shared" si="16"/>
        <v>2</v>
      </c>
      <c r="AL32" s="831">
        <f t="shared" si="16"/>
        <v>2</v>
      </c>
      <c r="AM32" s="831">
        <f t="shared" si="16"/>
        <v>2</v>
      </c>
      <c r="AN32" s="831">
        <f t="shared" si="16"/>
        <v>2</v>
      </c>
      <c r="AO32" s="831">
        <f t="shared" si="16"/>
        <v>2</v>
      </c>
      <c r="AP32" s="831">
        <f t="shared" si="16"/>
        <v>2</v>
      </c>
      <c r="AQ32" s="831">
        <f t="shared" si="16"/>
        <v>2</v>
      </c>
      <c r="AR32" s="831">
        <f t="shared" si="16"/>
        <v>2</v>
      </c>
      <c r="AS32" s="1123">
        <f t="shared" si="16"/>
        <v>2</v>
      </c>
      <c r="AT32" s="831">
        <f t="shared" si="16"/>
        <v>2</v>
      </c>
      <c r="AU32" s="831">
        <f t="shared" si="16"/>
        <v>2</v>
      </c>
      <c r="AV32" s="831">
        <f t="shared" si="16"/>
        <v>2</v>
      </c>
      <c r="AW32" s="831">
        <f t="shared" si="16"/>
        <v>2</v>
      </c>
      <c r="AX32" s="831">
        <f t="shared" si="16"/>
        <v>2</v>
      </c>
      <c r="AY32" s="831">
        <f t="shared" si="16"/>
        <v>2</v>
      </c>
      <c r="AZ32" s="831">
        <f t="shared" si="16"/>
        <v>2</v>
      </c>
      <c r="BA32" s="831">
        <f t="shared" si="16"/>
        <v>2</v>
      </c>
      <c r="BB32" s="1123">
        <f t="shared" si="16"/>
        <v>2</v>
      </c>
      <c r="BC32" s="831">
        <f t="shared" si="16"/>
        <v>2</v>
      </c>
      <c r="BD32" s="831">
        <f t="shared" si="16"/>
        <v>2</v>
      </c>
      <c r="BE32" s="831">
        <f t="shared" si="16"/>
        <v>2</v>
      </c>
      <c r="BF32" s="831">
        <f t="shared" si="16"/>
        <v>2</v>
      </c>
      <c r="BG32" s="831">
        <f t="shared" si="16"/>
        <v>2</v>
      </c>
      <c r="BH32" s="831">
        <f t="shared" si="16"/>
        <v>2</v>
      </c>
      <c r="BI32" s="831">
        <f t="shared" si="16"/>
        <v>2</v>
      </c>
      <c r="BJ32" s="831">
        <f t="shared" si="16"/>
        <v>2</v>
      </c>
      <c r="BK32" s="1123">
        <f t="shared" si="16"/>
        <v>2</v>
      </c>
      <c r="BL32" s="831">
        <f t="shared" si="16"/>
        <v>2</v>
      </c>
      <c r="BM32" s="831">
        <f t="shared" si="16"/>
        <v>2</v>
      </c>
      <c r="BN32" s="831">
        <f t="shared" ref="BN32:CT32" si="17">IF(BN28&lt;=8,1,IF(BN28&lt;=16,2,3))</f>
        <v>2</v>
      </c>
      <c r="BO32" s="831">
        <f t="shared" si="17"/>
        <v>2</v>
      </c>
      <c r="BP32" s="831">
        <f t="shared" si="17"/>
        <v>2</v>
      </c>
      <c r="BQ32" s="831">
        <f t="shared" si="17"/>
        <v>2</v>
      </c>
      <c r="BR32" s="831">
        <f t="shared" si="17"/>
        <v>2</v>
      </c>
      <c r="BS32" s="831">
        <f t="shared" si="17"/>
        <v>2</v>
      </c>
      <c r="BT32" s="1123">
        <f t="shared" si="17"/>
        <v>2</v>
      </c>
      <c r="BU32" s="831">
        <f t="shared" si="17"/>
        <v>2</v>
      </c>
      <c r="BV32" s="831">
        <f t="shared" si="17"/>
        <v>2</v>
      </c>
      <c r="BW32" s="831">
        <f t="shared" si="17"/>
        <v>2</v>
      </c>
      <c r="BX32" s="831">
        <f t="shared" si="17"/>
        <v>2</v>
      </c>
      <c r="BY32" s="831">
        <f t="shared" si="17"/>
        <v>2</v>
      </c>
      <c r="BZ32" s="831">
        <f t="shared" si="17"/>
        <v>2</v>
      </c>
      <c r="CA32" s="833">
        <f t="shared" si="17"/>
        <v>2</v>
      </c>
      <c r="CB32" s="833">
        <f t="shared" si="17"/>
        <v>2</v>
      </c>
      <c r="CC32" s="831">
        <f t="shared" si="17"/>
        <v>1</v>
      </c>
      <c r="CD32" s="831">
        <f t="shared" si="17"/>
        <v>1</v>
      </c>
      <c r="CE32" s="831">
        <f t="shared" si="17"/>
        <v>1</v>
      </c>
      <c r="CF32" s="831">
        <f t="shared" si="17"/>
        <v>1</v>
      </c>
      <c r="CG32" s="831">
        <f t="shared" si="17"/>
        <v>1</v>
      </c>
      <c r="CH32" s="831">
        <f t="shared" si="17"/>
        <v>1</v>
      </c>
      <c r="CI32" s="831">
        <f t="shared" si="17"/>
        <v>1</v>
      </c>
      <c r="CJ32" s="833">
        <f t="shared" si="17"/>
        <v>1</v>
      </c>
      <c r="CK32" s="833">
        <f t="shared" si="17"/>
        <v>1</v>
      </c>
      <c r="CL32" s="831">
        <f t="shared" si="17"/>
        <v>1</v>
      </c>
      <c r="CM32" s="831">
        <f t="shared" si="17"/>
        <v>1</v>
      </c>
      <c r="CN32" s="831">
        <f t="shared" si="17"/>
        <v>1</v>
      </c>
      <c r="CO32" s="831">
        <f t="shared" si="17"/>
        <v>1</v>
      </c>
      <c r="CP32" s="831">
        <f t="shared" si="17"/>
        <v>1</v>
      </c>
      <c r="CQ32" s="831">
        <f t="shared" si="17"/>
        <v>1</v>
      </c>
      <c r="CR32" s="831">
        <f t="shared" si="17"/>
        <v>1</v>
      </c>
      <c r="CS32" s="833">
        <f t="shared" si="17"/>
        <v>1</v>
      </c>
      <c r="CT32" s="707">
        <f t="shared" si="17"/>
        <v>1</v>
      </c>
    </row>
    <row r="33" spans="1:98" ht="30">
      <c r="A33" s="830" t="s">
        <v>1278</v>
      </c>
      <c r="B33" s="709">
        <f t="shared" ref="B33:AG33" si="18">ROUND(B28/B32,0)</f>
        <v>6</v>
      </c>
      <c r="C33" s="709">
        <f t="shared" si="18"/>
        <v>6</v>
      </c>
      <c r="D33" s="709">
        <f t="shared" si="18"/>
        <v>8</v>
      </c>
      <c r="E33" s="709">
        <f t="shared" si="18"/>
        <v>7</v>
      </c>
      <c r="F33" s="709">
        <f t="shared" si="18"/>
        <v>6</v>
      </c>
      <c r="G33" s="709">
        <f t="shared" si="18"/>
        <v>6</v>
      </c>
      <c r="H33" s="831">
        <f t="shared" si="18"/>
        <v>5</v>
      </c>
      <c r="I33" s="869">
        <f t="shared" si="18"/>
        <v>6</v>
      </c>
      <c r="J33" s="831">
        <f t="shared" si="18"/>
        <v>6</v>
      </c>
      <c r="K33" s="831">
        <f t="shared" si="18"/>
        <v>6</v>
      </c>
      <c r="L33" s="831">
        <f t="shared" si="18"/>
        <v>6</v>
      </c>
      <c r="M33" s="831">
        <f t="shared" si="18"/>
        <v>6</v>
      </c>
      <c r="N33" s="831">
        <f t="shared" si="18"/>
        <v>6</v>
      </c>
      <c r="O33" s="831">
        <f t="shared" si="18"/>
        <v>6</v>
      </c>
      <c r="P33" s="831">
        <f t="shared" si="18"/>
        <v>6</v>
      </c>
      <c r="Q33" s="831">
        <f t="shared" si="18"/>
        <v>6</v>
      </c>
      <c r="R33" s="1123">
        <f t="shared" si="18"/>
        <v>6</v>
      </c>
      <c r="S33" s="831">
        <f t="shared" si="18"/>
        <v>6</v>
      </c>
      <c r="T33" s="831">
        <f t="shared" si="18"/>
        <v>6</v>
      </c>
      <c r="U33" s="831">
        <f t="shared" si="18"/>
        <v>6</v>
      </c>
      <c r="V33" s="831">
        <f t="shared" si="18"/>
        <v>6</v>
      </c>
      <c r="W33" s="831">
        <f t="shared" si="18"/>
        <v>6</v>
      </c>
      <c r="X33" s="831">
        <f t="shared" si="18"/>
        <v>6</v>
      </c>
      <c r="Y33" s="831">
        <f t="shared" si="18"/>
        <v>6</v>
      </c>
      <c r="Z33" s="831">
        <f t="shared" si="18"/>
        <v>6</v>
      </c>
      <c r="AA33" s="1123">
        <f t="shared" si="18"/>
        <v>8</v>
      </c>
      <c r="AB33" s="831">
        <f t="shared" si="18"/>
        <v>8</v>
      </c>
      <c r="AC33" s="831">
        <f t="shared" si="18"/>
        <v>8</v>
      </c>
      <c r="AD33" s="831">
        <f t="shared" si="18"/>
        <v>8</v>
      </c>
      <c r="AE33" s="831">
        <f t="shared" si="18"/>
        <v>8</v>
      </c>
      <c r="AF33" s="831">
        <f t="shared" si="18"/>
        <v>8</v>
      </c>
      <c r="AG33" s="831">
        <f t="shared" si="18"/>
        <v>8</v>
      </c>
      <c r="AH33" s="831">
        <f t="shared" ref="AH33:BM33" si="19">ROUND(AH28/AH32,0)</f>
        <v>8</v>
      </c>
      <c r="AI33" s="831">
        <f t="shared" si="19"/>
        <v>8</v>
      </c>
      <c r="AJ33" s="1123">
        <f t="shared" si="19"/>
        <v>7</v>
      </c>
      <c r="AK33" s="831">
        <f t="shared" si="19"/>
        <v>7</v>
      </c>
      <c r="AL33" s="831">
        <f t="shared" si="19"/>
        <v>7</v>
      </c>
      <c r="AM33" s="831">
        <f t="shared" si="19"/>
        <v>7</v>
      </c>
      <c r="AN33" s="831">
        <f t="shared" si="19"/>
        <v>7</v>
      </c>
      <c r="AO33" s="831">
        <f t="shared" si="19"/>
        <v>7</v>
      </c>
      <c r="AP33" s="831">
        <f t="shared" si="19"/>
        <v>7</v>
      </c>
      <c r="AQ33" s="831">
        <f t="shared" si="19"/>
        <v>7</v>
      </c>
      <c r="AR33" s="831">
        <f t="shared" si="19"/>
        <v>7</v>
      </c>
      <c r="AS33" s="1123">
        <f t="shared" si="19"/>
        <v>6</v>
      </c>
      <c r="AT33" s="831">
        <f t="shared" si="19"/>
        <v>6</v>
      </c>
      <c r="AU33" s="831">
        <f t="shared" si="19"/>
        <v>6</v>
      </c>
      <c r="AV33" s="831">
        <f t="shared" si="19"/>
        <v>6</v>
      </c>
      <c r="AW33" s="831">
        <f t="shared" si="19"/>
        <v>6</v>
      </c>
      <c r="AX33" s="831">
        <f t="shared" si="19"/>
        <v>6</v>
      </c>
      <c r="AY33" s="831">
        <f t="shared" si="19"/>
        <v>6</v>
      </c>
      <c r="AZ33" s="831">
        <f t="shared" si="19"/>
        <v>6</v>
      </c>
      <c r="BA33" s="831">
        <f t="shared" si="19"/>
        <v>6</v>
      </c>
      <c r="BB33" s="1123">
        <f t="shared" si="19"/>
        <v>6</v>
      </c>
      <c r="BC33" s="831">
        <f t="shared" si="19"/>
        <v>6</v>
      </c>
      <c r="BD33" s="831">
        <f t="shared" si="19"/>
        <v>6</v>
      </c>
      <c r="BE33" s="831">
        <f t="shared" si="19"/>
        <v>6</v>
      </c>
      <c r="BF33" s="831">
        <f t="shared" si="19"/>
        <v>6</v>
      </c>
      <c r="BG33" s="831">
        <f t="shared" si="19"/>
        <v>6</v>
      </c>
      <c r="BH33" s="831">
        <f t="shared" si="19"/>
        <v>6</v>
      </c>
      <c r="BI33" s="831">
        <f t="shared" si="19"/>
        <v>6</v>
      </c>
      <c r="BJ33" s="831">
        <f t="shared" si="19"/>
        <v>6</v>
      </c>
      <c r="BK33" s="1123">
        <f t="shared" si="19"/>
        <v>5</v>
      </c>
      <c r="BL33" s="831">
        <f t="shared" si="19"/>
        <v>5</v>
      </c>
      <c r="BM33" s="831">
        <f t="shared" si="19"/>
        <v>5</v>
      </c>
      <c r="BN33" s="831">
        <f t="shared" ref="BN33:CS33" si="20">ROUND(BN28/BN32,0)</f>
        <v>5</v>
      </c>
      <c r="BO33" s="831">
        <f t="shared" si="20"/>
        <v>5</v>
      </c>
      <c r="BP33" s="831">
        <f t="shared" si="20"/>
        <v>5</v>
      </c>
      <c r="BQ33" s="831">
        <f t="shared" si="20"/>
        <v>5</v>
      </c>
      <c r="BR33" s="831">
        <f t="shared" si="20"/>
        <v>5</v>
      </c>
      <c r="BS33" s="831">
        <f t="shared" si="20"/>
        <v>5</v>
      </c>
      <c r="BT33" s="1123">
        <f t="shared" si="20"/>
        <v>5</v>
      </c>
      <c r="BU33" s="831">
        <f t="shared" si="20"/>
        <v>5</v>
      </c>
      <c r="BV33" s="831">
        <f t="shared" si="20"/>
        <v>5</v>
      </c>
      <c r="BW33" s="831">
        <f t="shared" si="20"/>
        <v>5</v>
      </c>
      <c r="BX33" s="831">
        <f t="shared" si="20"/>
        <v>5</v>
      </c>
      <c r="BY33" s="831">
        <f t="shared" si="20"/>
        <v>5</v>
      </c>
      <c r="BZ33" s="831">
        <f t="shared" si="20"/>
        <v>5</v>
      </c>
      <c r="CA33" s="833">
        <f t="shared" si="20"/>
        <v>5</v>
      </c>
      <c r="CB33" s="833">
        <f t="shared" si="20"/>
        <v>5</v>
      </c>
      <c r="CC33" s="831">
        <f t="shared" si="20"/>
        <v>8</v>
      </c>
      <c r="CD33" s="831">
        <f t="shared" si="20"/>
        <v>8</v>
      </c>
      <c r="CE33" s="831">
        <f t="shared" si="20"/>
        <v>8</v>
      </c>
      <c r="CF33" s="831">
        <f t="shared" si="20"/>
        <v>8</v>
      </c>
      <c r="CG33" s="831">
        <f t="shared" si="20"/>
        <v>8</v>
      </c>
      <c r="CH33" s="831">
        <f t="shared" si="20"/>
        <v>8</v>
      </c>
      <c r="CI33" s="831">
        <f t="shared" si="20"/>
        <v>8</v>
      </c>
      <c r="CJ33" s="833">
        <f t="shared" si="20"/>
        <v>8</v>
      </c>
      <c r="CK33" s="833">
        <f t="shared" si="20"/>
        <v>8</v>
      </c>
      <c r="CL33" s="831">
        <f t="shared" si="20"/>
        <v>8</v>
      </c>
      <c r="CM33" s="831">
        <f t="shared" si="20"/>
        <v>8</v>
      </c>
      <c r="CN33" s="831">
        <f t="shared" si="20"/>
        <v>8</v>
      </c>
      <c r="CO33" s="831">
        <f t="shared" si="20"/>
        <v>8</v>
      </c>
      <c r="CP33" s="831">
        <f t="shared" si="20"/>
        <v>8</v>
      </c>
      <c r="CQ33" s="831">
        <f t="shared" si="20"/>
        <v>8</v>
      </c>
      <c r="CR33" s="831">
        <f t="shared" si="20"/>
        <v>8</v>
      </c>
      <c r="CS33" s="833">
        <f t="shared" si="20"/>
        <v>8</v>
      </c>
      <c r="CT33" s="707">
        <f t="shared" ref="CT33" si="21">ROUND(CT28/CT32,0)</f>
        <v>8</v>
      </c>
    </row>
    <row r="34" spans="1:98" s="724" customFormat="1" ht="16">
      <c r="A34" s="1071"/>
      <c r="B34" s="805"/>
      <c r="C34" s="805"/>
      <c r="D34" s="805"/>
      <c r="E34" s="805"/>
      <c r="F34" s="805"/>
      <c r="G34" s="805"/>
      <c r="H34" s="805"/>
      <c r="I34" s="839"/>
      <c r="J34" s="805"/>
      <c r="K34" s="805"/>
      <c r="L34" s="805"/>
      <c r="M34" s="805"/>
      <c r="N34" s="805"/>
      <c r="O34" s="805"/>
      <c r="P34" s="805"/>
      <c r="Q34" s="805"/>
      <c r="R34" s="1124"/>
      <c r="S34" s="805"/>
      <c r="T34" s="805"/>
      <c r="U34" s="805"/>
      <c r="V34" s="805"/>
      <c r="W34" s="805"/>
      <c r="X34" s="805"/>
      <c r="Y34" s="805"/>
      <c r="Z34" s="805"/>
      <c r="AA34" s="1124"/>
      <c r="AB34" s="805"/>
      <c r="AC34" s="805"/>
      <c r="AD34" s="805"/>
      <c r="AE34" s="805"/>
      <c r="AF34" s="805"/>
      <c r="AG34" s="805"/>
      <c r="AH34" s="805"/>
      <c r="AI34" s="805"/>
      <c r="AJ34" s="1124"/>
      <c r="AK34" s="805"/>
      <c r="AL34" s="805"/>
      <c r="AM34" s="805"/>
      <c r="AN34" s="805"/>
      <c r="AO34" s="805"/>
      <c r="AP34" s="805"/>
      <c r="AQ34" s="805"/>
      <c r="AR34" s="805"/>
      <c r="AS34" s="1124"/>
      <c r="AT34" s="805"/>
      <c r="AU34" s="805"/>
      <c r="AV34" s="805"/>
      <c r="AW34" s="805"/>
      <c r="AX34" s="805"/>
      <c r="AY34" s="805"/>
      <c r="AZ34" s="805"/>
      <c r="BA34" s="805"/>
      <c r="BB34" s="1124"/>
      <c r="BC34" s="805"/>
      <c r="BD34" s="805"/>
      <c r="BE34" s="805"/>
      <c r="BF34" s="805"/>
      <c r="BG34" s="805"/>
      <c r="BH34" s="805"/>
      <c r="BI34" s="805"/>
      <c r="BJ34" s="805"/>
      <c r="BK34" s="1124"/>
      <c r="BL34" s="805"/>
      <c r="BM34" s="805"/>
      <c r="BN34" s="805"/>
      <c r="BO34" s="805"/>
      <c r="BP34" s="805"/>
      <c r="BQ34" s="805"/>
      <c r="BR34" s="805"/>
      <c r="BS34" s="805"/>
      <c r="BT34" s="1124"/>
      <c r="BU34" s="805"/>
      <c r="BV34" s="805"/>
      <c r="BW34" s="805"/>
      <c r="BX34" s="805"/>
      <c r="BY34" s="805"/>
      <c r="BZ34" s="805"/>
      <c r="CA34" s="805"/>
      <c r="CB34" s="805"/>
      <c r="CC34" s="805"/>
      <c r="CD34" s="805"/>
      <c r="CE34" s="805"/>
      <c r="CF34" s="805"/>
      <c r="CG34" s="805"/>
      <c r="CH34" s="805"/>
      <c r="CI34" s="805"/>
      <c r="CJ34" s="805"/>
      <c r="CK34" s="805"/>
      <c r="CL34" s="805"/>
      <c r="CM34" s="805"/>
      <c r="CN34" s="805"/>
      <c r="CO34" s="805"/>
      <c r="CP34" s="805"/>
      <c r="CQ34" s="805"/>
      <c r="CR34" s="805"/>
      <c r="CS34" s="805"/>
      <c r="CT34" s="1072"/>
    </row>
    <row r="35" spans="1:98">
      <c r="A35" s="870"/>
      <c r="I35" s="840"/>
      <c r="L35" s="704"/>
      <c r="R35" s="1125"/>
      <c r="AA35" s="1125"/>
      <c r="AJ35" s="1125"/>
      <c r="AS35" s="1125"/>
      <c r="BB35" s="1125"/>
      <c r="BK35" s="1125"/>
      <c r="BT35" s="1125"/>
      <c r="CT35" s="1073"/>
    </row>
    <row r="36" spans="1:98">
      <c r="A36" s="1074" t="s">
        <v>1280</v>
      </c>
      <c r="I36" s="840"/>
      <c r="L36" s="704"/>
      <c r="R36" s="1125"/>
      <c r="AA36" s="1125"/>
      <c r="AJ36" s="1125"/>
      <c r="AS36" s="1125"/>
      <c r="BB36" s="1125"/>
      <c r="BK36" s="1125"/>
      <c r="BT36" s="1125"/>
      <c r="CT36" s="1073"/>
    </row>
    <row r="37" spans="1:98">
      <c r="A37" s="710" t="s">
        <v>1281</v>
      </c>
      <c r="B37" s="709">
        <f t="shared" ref="B37:AG37" si="22">(B28+1)*(B30+1)*$B$5</f>
        <v>570</v>
      </c>
      <c r="C37" s="709">
        <f t="shared" si="22"/>
        <v>450</v>
      </c>
      <c r="D37" s="709">
        <f t="shared" si="22"/>
        <v>400</v>
      </c>
      <c r="E37" s="709">
        <f t="shared" si="22"/>
        <v>375</v>
      </c>
      <c r="F37" s="709">
        <f t="shared" si="22"/>
        <v>260</v>
      </c>
      <c r="G37" s="709">
        <f t="shared" si="22"/>
        <v>240</v>
      </c>
      <c r="H37" s="831">
        <f t="shared" si="22"/>
        <v>165</v>
      </c>
      <c r="I37" s="838">
        <f t="shared" si="22"/>
        <v>475</v>
      </c>
      <c r="J37" s="709">
        <f t="shared" si="22"/>
        <v>475</v>
      </c>
      <c r="K37" s="709">
        <f t="shared" si="22"/>
        <v>475</v>
      </c>
      <c r="L37" s="709">
        <f t="shared" si="22"/>
        <v>380</v>
      </c>
      <c r="M37" s="709">
        <f t="shared" si="22"/>
        <v>380</v>
      </c>
      <c r="N37" s="709">
        <f t="shared" si="22"/>
        <v>285</v>
      </c>
      <c r="O37" s="709">
        <f t="shared" si="22"/>
        <v>285</v>
      </c>
      <c r="P37" s="709">
        <f t="shared" si="22"/>
        <v>285</v>
      </c>
      <c r="Q37" s="709">
        <f t="shared" si="22"/>
        <v>285</v>
      </c>
      <c r="R37" s="1121">
        <f t="shared" si="22"/>
        <v>540</v>
      </c>
      <c r="S37" s="709">
        <f t="shared" si="22"/>
        <v>450</v>
      </c>
      <c r="T37" s="709">
        <f t="shared" si="22"/>
        <v>450</v>
      </c>
      <c r="U37" s="709">
        <f t="shared" si="22"/>
        <v>360</v>
      </c>
      <c r="V37" s="709">
        <f t="shared" si="22"/>
        <v>360</v>
      </c>
      <c r="W37" s="709">
        <f t="shared" si="22"/>
        <v>270</v>
      </c>
      <c r="X37" s="709">
        <f t="shared" si="22"/>
        <v>270</v>
      </c>
      <c r="Y37" s="709">
        <f t="shared" si="22"/>
        <v>270</v>
      </c>
      <c r="Z37" s="709">
        <f t="shared" si="22"/>
        <v>270</v>
      </c>
      <c r="AA37" s="1121">
        <f t="shared" si="22"/>
        <v>510</v>
      </c>
      <c r="AB37" s="709">
        <f t="shared" si="22"/>
        <v>425</v>
      </c>
      <c r="AC37" s="709">
        <f t="shared" si="22"/>
        <v>425</v>
      </c>
      <c r="AD37" s="709">
        <f t="shared" si="22"/>
        <v>340</v>
      </c>
      <c r="AE37" s="709">
        <f t="shared" si="22"/>
        <v>340</v>
      </c>
      <c r="AF37" s="709">
        <f t="shared" si="22"/>
        <v>255</v>
      </c>
      <c r="AG37" s="709">
        <f t="shared" si="22"/>
        <v>255</v>
      </c>
      <c r="AH37" s="709">
        <f t="shared" ref="AH37:BM37" si="23">(AH28+1)*(AH30+1)*$B$5</f>
        <v>255</v>
      </c>
      <c r="AI37" s="709">
        <f t="shared" si="23"/>
        <v>255</v>
      </c>
      <c r="AJ37" s="1121">
        <f t="shared" si="23"/>
        <v>450</v>
      </c>
      <c r="AK37" s="709">
        <f t="shared" si="23"/>
        <v>375</v>
      </c>
      <c r="AL37" s="709">
        <f t="shared" si="23"/>
        <v>375</v>
      </c>
      <c r="AM37" s="709">
        <f t="shared" si="23"/>
        <v>300</v>
      </c>
      <c r="AN37" s="709">
        <f t="shared" si="23"/>
        <v>300</v>
      </c>
      <c r="AO37" s="709">
        <f t="shared" si="23"/>
        <v>225</v>
      </c>
      <c r="AP37" s="709">
        <f t="shared" si="23"/>
        <v>225</v>
      </c>
      <c r="AQ37" s="709">
        <f t="shared" si="23"/>
        <v>225</v>
      </c>
      <c r="AR37" s="709">
        <f t="shared" si="23"/>
        <v>225</v>
      </c>
      <c r="AS37" s="1121">
        <f t="shared" si="23"/>
        <v>390</v>
      </c>
      <c r="AT37" s="709">
        <f t="shared" si="23"/>
        <v>325</v>
      </c>
      <c r="AU37" s="709">
        <f t="shared" si="23"/>
        <v>325</v>
      </c>
      <c r="AV37" s="709">
        <f t="shared" si="23"/>
        <v>325</v>
      </c>
      <c r="AW37" s="709">
        <f t="shared" si="23"/>
        <v>260</v>
      </c>
      <c r="AX37" s="709">
        <f t="shared" si="23"/>
        <v>195</v>
      </c>
      <c r="AY37" s="709">
        <f t="shared" si="23"/>
        <v>195</v>
      </c>
      <c r="AZ37" s="709">
        <f t="shared" si="23"/>
        <v>195</v>
      </c>
      <c r="BA37" s="709">
        <f t="shared" si="23"/>
        <v>195</v>
      </c>
      <c r="BB37" s="1121">
        <f t="shared" si="23"/>
        <v>360</v>
      </c>
      <c r="BC37" s="709">
        <f t="shared" si="23"/>
        <v>300</v>
      </c>
      <c r="BD37" s="709">
        <f t="shared" si="23"/>
        <v>300</v>
      </c>
      <c r="BE37" s="709">
        <f t="shared" si="23"/>
        <v>300</v>
      </c>
      <c r="BF37" s="709">
        <f t="shared" si="23"/>
        <v>240</v>
      </c>
      <c r="BG37" s="709">
        <f t="shared" si="23"/>
        <v>180</v>
      </c>
      <c r="BH37" s="709">
        <f t="shared" si="23"/>
        <v>180</v>
      </c>
      <c r="BI37" s="709">
        <f t="shared" si="23"/>
        <v>180</v>
      </c>
      <c r="BJ37" s="709">
        <f t="shared" si="23"/>
        <v>180</v>
      </c>
      <c r="BK37" s="1121">
        <f t="shared" si="23"/>
        <v>330</v>
      </c>
      <c r="BL37" s="709">
        <f t="shared" si="23"/>
        <v>275</v>
      </c>
      <c r="BM37" s="709">
        <f t="shared" si="23"/>
        <v>275</v>
      </c>
      <c r="BN37" s="709">
        <f t="shared" ref="BN37:CT37" si="24">(BN28+1)*(BN30+1)*$B$5</f>
        <v>275</v>
      </c>
      <c r="BO37" s="709">
        <f t="shared" si="24"/>
        <v>220</v>
      </c>
      <c r="BP37" s="709">
        <f t="shared" si="24"/>
        <v>220</v>
      </c>
      <c r="BQ37" s="709">
        <f t="shared" si="24"/>
        <v>165</v>
      </c>
      <c r="BR37" s="709">
        <f t="shared" si="24"/>
        <v>165</v>
      </c>
      <c r="BS37" s="831">
        <f t="shared" si="24"/>
        <v>165</v>
      </c>
      <c r="BT37" s="1121">
        <f t="shared" si="24"/>
        <v>300</v>
      </c>
      <c r="BU37" s="709">
        <f t="shared" si="24"/>
        <v>250</v>
      </c>
      <c r="BV37" s="709">
        <f t="shared" si="24"/>
        <v>250</v>
      </c>
      <c r="BW37" s="709">
        <f t="shared" si="24"/>
        <v>250</v>
      </c>
      <c r="BX37" s="709">
        <f t="shared" si="24"/>
        <v>200</v>
      </c>
      <c r="BY37" s="709">
        <f t="shared" si="24"/>
        <v>200</v>
      </c>
      <c r="BZ37" s="709">
        <f t="shared" si="24"/>
        <v>150</v>
      </c>
      <c r="CA37" s="707">
        <f t="shared" si="24"/>
        <v>150</v>
      </c>
      <c r="CB37" s="707">
        <f t="shared" si="24"/>
        <v>150</v>
      </c>
      <c r="CC37" s="709">
        <f t="shared" si="24"/>
        <v>270</v>
      </c>
      <c r="CD37" s="709">
        <f t="shared" si="24"/>
        <v>225</v>
      </c>
      <c r="CE37" s="709">
        <f t="shared" si="24"/>
        <v>225</v>
      </c>
      <c r="CF37" s="709">
        <f t="shared" si="24"/>
        <v>225</v>
      </c>
      <c r="CG37" s="709">
        <f t="shared" si="24"/>
        <v>180</v>
      </c>
      <c r="CH37" s="709">
        <f t="shared" si="24"/>
        <v>180</v>
      </c>
      <c r="CI37" s="709">
        <f t="shared" si="24"/>
        <v>135</v>
      </c>
      <c r="CJ37" s="707">
        <f t="shared" si="24"/>
        <v>135</v>
      </c>
      <c r="CK37" s="707">
        <f t="shared" si="24"/>
        <v>135</v>
      </c>
      <c r="CL37" s="709">
        <f t="shared" si="24"/>
        <v>270</v>
      </c>
      <c r="CM37" s="709">
        <f t="shared" si="24"/>
        <v>225</v>
      </c>
      <c r="CN37" s="709">
        <f t="shared" si="24"/>
        <v>225</v>
      </c>
      <c r="CO37" s="709">
        <f t="shared" si="24"/>
        <v>225</v>
      </c>
      <c r="CP37" s="709">
        <f t="shared" si="24"/>
        <v>180</v>
      </c>
      <c r="CQ37" s="709">
        <f t="shared" si="24"/>
        <v>180</v>
      </c>
      <c r="CR37" s="709">
        <f t="shared" si="24"/>
        <v>135</v>
      </c>
      <c r="CS37" s="707">
        <f t="shared" si="24"/>
        <v>135</v>
      </c>
      <c r="CT37" s="707">
        <f t="shared" si="24"/>
        <v>135</v>
      </c>
    </row>
    <row r="38" spans="1:98">
      <c r="A38" s="710" t="s">
        <v>1282</v>
      </c>
      <c r="B38" s="712">
        <f ca="1">B37*Datenbank!C29</f>
        <v>98.495999999999995</v>
      </c>
      <c r="C38" s="712">
        <f ca="1">C37*Datenbank!D29</f>
        <v>77.759999999999991</v>
      </c>
      <c r="D38" s="712">
        <f ca="1">D37*Datenbank!E29</f>
        <v>69.11999999999999</v>
      </c>
      <c r="E38" s="712">
        <f ca="1">E37*Datenbank!F29</f>
        <v>66.959999999999994</v>
      </c>
      <c r="F38" s="712">
        <f ca="1">F37*Datenbank!G29</f>
        <v>65.228799999999993</v>
      </c>
      <c r="G38" s="712">
        <f ca="1">G37*Datenbank!H29</f>
        <v>62.092800000000004</v>
      </c>
      <c r="H38" s="834">
        <f ca="1">H37*Datenbank!I29</f>
        <v>57.446400000000004</v>
      </c>
      <c r="I38" s="841">
        <f ca="1">I37*Datenbank!$S$29</f>
        <v>82.079999999999984</v>
      </c>
      <c r="J38" s="712">
        <f ca="1">J37*Datenbank!$AB$29</f>
        <v>82.079999999999984</v>
      </c>
      <c r="K38" s="712">
        <f ca="1">K37*Datenbank!$L$29</f>
        <v>84.816000000000003</v>
      </c>
      <c r="L38" s="712">
        <f ca="1">L37*Datenbank!$M$29</f>
        <v>67.852800000000002</v>
      </c>
      <c r="M38" s="712">
        <f ca="1">M37*Datenbank!$N$29</f>
        <v>70.041599999999988</v>
      </c>
      <c r="N38" s="712">
        <f ca="1">N37*Datenbank!$O$29</f>
        <v>52.531199999999998</v>
      </c>
      <c r="O38" s="712">
        <f ca="1">O37*Datenbank!P29</f>
        <v>73.735200000000006</v>
      </c>
      <c r="P38" s="712">
        <f ca="1">P37*Datenbank!Q29</f>
        <v>73.735200000000006</v>
      </c>
      <c r="Q38" s="712">
        <f ca="1">Q37*Datenbank!R29</f>
        <v>73.735200000000006</v>
      </c>
      <c r="R38" s="1126">
        <f ca="1">R37*Datenbank!$S$29</f>
        <v>93.311999999999983</v>
      </c>
      <c r="S38" s="712">
        <f ca="1">S37*Datenbank!$AC$29</f>
        <v>77.759999999999991</v>
      </c>
      <c r="T38" s="712">
        <f ca="1">T37*Datenbank!U29</f>
        <v>80.352000000000004</v>
      </c>
      <c r="U38" s="712">
        <f ca="1">U37*Datenbank!V29</f>
        <v>64.281599999999997</v>
      </c>
      <c r="V38" s="712">
        <f ca="1">V37*Datenbank!W29</f>
        <v>66.355199999999996</v>
      </c>
      <c r="W38" s="712">
        <f ca="1">W37*Datenbank!X29</f>
        <v>67.7376</v>
      </c>
      <c r="X38" s="712">
        <f ca="1">X37*Datenbank!Y29</f>
        <v>69.854399999999998</v>
      </c>
      <c r="Y38" s="712">
        <f ca="1">Y37*Datenbank!Z29</f>
        <v>69.854399999999998</v>
      </c>
      <c r="Z38" s="712">
        <f ca="1">Z37*Datenbank!AA29</f>
        <v>69.854399999999998</v>
      </c>
      <c r="AA38" s="1126">
        <f ca="1">AA37*Datenbank!$AB$29</f>
        <v>88.127999999999986</v>
      </c>
      <c r="AB38" s="712">
        <f ca="1">AB37*Datenbank!$AC$29</f>
        <v>73.44</v>
      </c>
      <c r="AC38" s="712">
        <f ca="1">AC37*Datenbank!AD29</f>
        <v>75.888000000000005</v>
      </c>
      <c r="AD38" s="712">
        <f ca="1">AD37*Datenbank!AE29</f>
        <v>60.7104</v>
      </c>
      <c r="AE38" s="712">
        <f ca="1">AE37*Datenbank!AF29</f>
        <v>62.668799999999997</v>
      </c>
      <c r="AF38" s="712">
        <f ca="1">AF37*Datenbank!AG29</f>
        <v>63.974399999999996</v>
      </c>
      <c r="AG38" s="712">
        <f ca="1">AG37*Datenbank!AH29</f>
        <v>65.973600000000005</v>
      </c>
      <c r="AH38" s="712">
        <f ca="1">AH37*Datenbank!AI29</f>
        <v>65.973600000000005</v>
      </c>
      <c r="AI38" s="712">
        <f ca="1">AI37*Datenbank!AJ29</f>
        <v>65.973600000000005</v>
      </c>
      <c r="AJ38" s="1126">
        <f ca="1">AJ37*Datenbank!$L$29</f>
        <v>80.352000000000004</v>
      </c>
      <c r="AK38" s="712">
        <f ca="1">AK37*Datenbank!U29</f>
        <v>66.959999999999994</v>
      </c>
      <c r="AL38" s="712">
        <f ca="1">AL37*Datenbank!AD29</f>
        <v>66.959999999999994</v>
      </c>
      <c r="AM38" s="712">
        <f ca="1">AM37*Datenbank!AN29</f>
        <v>75.263999999999996</v>
      </c>
      <c r="AN38" s="712">
        <f ca="1">AN37*Datenbank!AO29</f>
        <v>75.263999999999996</v>
      </c>
      <c r="AO38" s="712">
        <f ca="1">AO37*Datenbank!AP29</f>
        <v>58.212000000000003</v>
      </c>
      <c r="AP38" s="712">
        <f ca="1">AP37*Datenbank!AQ29</f>
        <v>58.212000000000003</v>
      </c>
      <c r="AQ38" s="712">
        <f ca="1">AQ37*Datenbank!AR29</f>
        <v>59.976000000000006</v>
      </c>
      <c r="AR38" s="712">
        <f ca="1">AR37*Datenbank!AS29</f>
        <v>59.976000000000006</v>
      </c>
      <c r="AS38" s="1126">
        <f ca="1">AS37*Datenbank!$M$29</f>
        <v>69.638400000000004</v>
      </c>
      <c r="AT38" s="712">
        <f ca="1">AT37*Datenbank!V29</f>
        <v>58.031999999999996</v>
      </c>
      <c r="AU38" s="712">
        <f ca="1">AU37*Datenbank!AE29</f>
        <v>58.031999999999996</v>
      </c>
      <c r="AV38" s="712">
        <f ca="1">AV37*Datenbank!AN29</f>
        <v>81.536000000000001</v>
      </c>
      <c r="AW38" s="712">
        <f ca="1">AW37*Datenbank!AX29</f>
        <v>67.267200000000003</v>
      </c>
      <c r="AX38" s="712">
        <f ca="1">AX37*Datenbank!AY29</f>
        <v>50.450400000000002</v>
      </c>
      <c r="AY38" s="712">
        <f ca="1">AY37*Datenbank!AZ29</f>
        <v>51.979200000000006</v>
      </c>
      <c r="AZ38" s="712">
        <f ca="1">AZ37*Datenbank!BA29</f>
        <v>51.979200000000006</v>
      </c>
      <c r="BA38" s="712">
        <f ca="1">BA37*Datenbank!BB29</f>
        <v>53.507999999999996</v>
      </c>
      <c r="BB38" s="1126">
        <f ca="1">BB37*Datenbank!$N$29</f>
        <v>66.355199999999996</v>
      </c>
      <c r="BC38" s="712">
        <f ca="1">BC37*Datenbank!W29</f>
        <v>55.295999999999992</v>
      </c>
      <c r="BD38" s="712">
        <f ca="1">BD37*Datenbank!AF29</f>
        <v>55.295999999999992</v>
      </c>
      <c r="BE38" s="712">
        <f ca="1">BE37*Datenbank!AO29</f>
        <v>75.263999999999996</v>
      </c>
      <c r="BF38" s="712">
        <f ca="1">BF37*Datenbank!AX29</f>
        <v>62.092800000000004</v>
      </c>
      <c r="BG38" s="712">
        <f ca="1">BG37*Datenbank!BH29</f>
        <v>47.980800000000002</v>
      </c>
      <c r="BH38" s="712">
        <f ca="1">BH37*Datenbank!BI29</f>
        <v>47.980800000000002</v>
      </c>
      <c r="BI38" s="712">
        <f ca="1">BI37*Datenbank!BJ29</f>
        <v>64.512000000000015</v>
      </c>
      <c r="BJ38" s="712">
        <f ca="1">BJ37*Datenbank!BK29</f>
        <v>64.512000000000015</v>
      </c>
      <c r="BK38" s="1126">
        <f ca="1">BK37*Datenbank!$O$29</f>
        <v>60.825599999999994</v>
      </c>
      <c r="BL38" s="712">
        <f ca="1">BL37*Datenbank!X29</f>
        <v>68.992000000000004</v>
      </c>
      <c r="BM38" s="712">
        <f ca="1">BM37*Datenbank!AG29</f>
        <v>68.992000000000004</v>
      </c>
      <c r="BN38" s="712">
        <f ca="1">BN37*Datenbank!AP29</f>
        <v>71.147999999999996</v>
      </c>
      <c r="BO38" s="712">
        <f ca="1">BO37*Datenbank!AY29</f>
        <v>56.918399999999998</v>
      </c>
      <c r="BP38" s="712">
        <f ca="1">BP37*Datenbank!BH29</f>
        <v>58.643200000000007</v>
      </c>
      <c r="BQ38" s="712">
        <f ca="1">BQ37*Datenbank!BR29</f>
        <v>59.13600000000001</v>
      </c>
      <c r="BR38" s="712">
        <f ca="1">BR37*Datenbank!BS29</f>
        <v>59.13600000000001</v>
      </c>
      <c r="BS38" s="834">
        <f ca="1">BS37*Datenbank!BT29</f>
        <v>60.825599999999994</v>
      </c>
      <c r="BT38" s="1126">
        <f ca="1">BT37*Datenbank!P29</f>
        <v>77.616</v>
      </c>
      <c r="BU38" s="712">
        <f ca="1">BU37*Datenbank!Y29</f>
        <v>64.680000000000007</v>
      </c>
      <c r="BV38" s="712">
        <f ca="1">BV37*Datenbank!AH29</f>
        <v>64.680000000000007</v>
      </c>
      <c r="BW38" s="712">
        <f ca="1">BW37*Datenbank!AQ29</f>
        <v>64.680000000000007</v>
      </c>
      <c r="BX38" s="712">
        <f ca="1">BX37*Datenbank!AZ29</f>
        <v>53.312000000000005</v>
      </c>
      <c r="BY38" s="712">
        <f ca="1">BY37*Datenbank!BI29</f>
        <v>53.312000000000005</v>
      </c>
      <c r="BZ38" s="712">
        <f ca="1">BZ37*Datenbank!BR29</f>
        <v>53.760000000000005</v>
      </c>
      <c r="CA38" s="843">
        <f>CA37*Datenbank!CB29</f>
        <v>0</v>
      </c>
      <c r="CB38" s="843">
        <f>CB37*Datenbank!CC29</f>
        <v>0</v>
      </c>
      <c r="CC38" s="712">
        <f ca="1">CC37*Datenbank!Q29</f>
        <v>69.854399999999998</v>
      </c>
      <c r="CD38" s="712">
        <f ca="1">CD37*Datenbank!Z29</f>
        <v>58.212000000000003</v>
      </c>
      <c r="CE38" s="712">
        <f ca="1">CE37*Datenbank!AI29</f>
        <v>58.212000000000003</v>
      </c>
      <c r="CF38" s="712">
        <f ca="1">CF37*Datenbank!AR29</f>
        <v>59.976000000000006</v>
      </c>
      <c r="CG38" s="712">
        <f ca="1">CG37*Datenbank!BA29</f>
        <v>47.980800000000002</v>
      </c>
      <c r="CH38" s="712">
        <f ca="1">CH37*Datenbank!BJ29</f>
        <v>64.512000000000015</v>
      </c>
      <c r="CI38" s="712">
        <f ca="1">CI37*Datenbank!BS29</f>
        <v>48.384000000000007</v>
      </c>
      <c r="CJ38" s="843">
        <f>CJ37*Datenbank!CK29</f>
        <v>0</v>
      </c>
      <c r="CK38" s="843">
        <f>CK37*Datenbank!CL29</f>
        <v>0</v>
      </c>
      <c r="CL38" s="712">
        <f ca="1">CL37*Datenbank!R29</f>
        <v>69.854399999999998</v>
      </c>
      <c r="CM38" s="712">
        <f ca="1">CM37*Datenbank!AA29</f>
        <v>58.212000000000003</v>
      </c>
      <c r="CN38" s="712">
        <f ca="1">CN37*Datenbank!AJ29</f>
        <v>58.212000000000003</v>
      </c>
      <c r="CO38" s="712">
        <f ca="1">CO37*Datenbank!AS29</f>
        <v>59.976000000000006</v>
      </c>
      <c r="CP38" s="712">
        <f ca="1">CP37*Datenbank!BB29</f>
        <v>49.391999999999996</v>
      </c>
      <c r="CQ38" s="712">
        <f ca="1">CQ37*Datenbank!BK29</f>
        <v>64.512000000000015</v>
      </c>
      <c r="CR38" s="712">
        <f ca="1">CR37*Datenbank!BT29</f>
        <v>49.766399999999997</v>
      </c>
      <c r="CS38" s="843">
        <f>CS37*Datenbank!CT29</f>
        <v>0</v>
      </c>
      <c r="CT38" s="843">
        <f>CT37*Datenbank!CU29</f>
        <v>0</v>
      </c>
    </row>
    <row r="39" spans="1:98">
      <c r="A39" s="710" t="s">
        <v>1627</v>
      </c>
      <c r="B39" s="709">
        <f>((B28+1)*B30)*$B$5</f>
        <v>475</v>
      </c>
      <c r="C39" s="709">
        <f t="shared" ref="C39:H39" si="25">((C28+1)*C30)*$B$5</f>
        <v>360</v>
      </c>
      <c r="D39" s="709">
        <f t="shared" si="25"/>
        <v>320</v>
      </c>
      <c r="E39" s="709">
        <f t="shared" si="25"/>
        <v>300</v>
      </c>
      <c r="F39" s="709">
        <f t="shared" si="25"/>
        <v>195</v>
      </c>
      <c r="G39" s="709">
        <f t="shared" si="25"/>
        <v>180</v>
      </c>
      <c r="H39" s="709">
        <f t="shared" si="25"/>
        <v>110</v>
      </c>
      <c r="I39" s="838">
        <f>((I30+1)*I28)*$B$5</f>
        <v>450</v>
      </c>
      <c r="J39" s="838">
        <f>((J30+1)*J28)*$B$5</f>
        <v>450</v>
      </c>
      <c r="K39" s="709">
        <f t="shared" ref="K39:AN39" si="26">((K28+1)*K30)*$B$5</f>
        <v>380</v>
      </c>
      <c r="L39" s="709">
        <f t="shared" si="26"/>
        <v>285</v>
      </c>
      <c r="M39" s="709">
        <f t="shared" si="26"/>
        <v>285</v>
      </c>
      <c r="N39" s="709">
        <f t="shared" si="26"/>
        <v>190</v>
      </c>
      <c r="O39" s="709">
        <f t="shared" si="26"/>
        <v>190</v>
      </c>
      <c r="P39" s="709">
        <f t="shared" si="26"/>
        <v>190</v>
      </c>
      <c r="Q39" s="709">
        <f t="shared" si="26"/>
        <v>190</v>
      </c>
      <c r="R39" s="1121">
        <f>((R28+1)*R30)*$B$5</f>
        <v>450</v>
      </c>
      <c r="S39" s="709">
        <f>((S30+1)*S28)*$B$5</f>
        <v>425</v>
      </c>
      <c r="T39" s="709">
        <f t="shared" si="26"/>
        <v>360</v>
      </c>
      <c r="U39" s="709">
        <f t="shared" si="26"/>
        <v>270</v>
      </c>
      <c r="V39" s="709">
        <f t="shared" si="26"/>
        <v>270</v>
      </c>
      <c r="W39" s="709">
        <f t="shared" si="26"/>
        <v>180</v>
      </c>
      <c r="X39" s="709">
        <f t="shared" si="26"/>
        <v>180</v>
      </c>
      <c r="Y39" s="709">
        <f t="shared" si="26"/>
        <v>180</v>
      </c>
      <c r="Z39" s="709">
        <f t="shared" si="26"/>
        <v>180</v>
      </c>
      <c r="AA39" s="1121">
        <f t="shared" si="26"/>
        <v>425</v>
      </c>
      <c r="AB39" s="709">
        <f t="shared" si="26"/>
        <v>340</v>
      </c>
      <c r="AC39" s="709">
        <f t="shared" si="26"/>
        <v>340</v>
      </c>
      <c r="AD39" s="709">
        <f t="shared" si="26"/>
        <v>255</v>
      </c>
      <c r="AE39" s="709">
        <f t="shared" si="26"/>
        <v>255</v>
      </c>
      <c r="AF39" s="709">
        <f t="shared" si="26"/>
        <v>170</v>
      </c>
      <c r="AG39" s="709">
        <f t="shared" si="26"/>
        <v>170</v>
      </c>
      <c r="AH39" s="709">
        <f t="shared" si="26"/>
        <v>170</v>
      </c>
      <c r="AI39" s="709">
        <f t="shared" si="26"/>
        <v>170</v>
      </c>
      <c r="AJ39" s="1121">
        <f>((AJ30+1)*AJ28)*$B$5</f>
        <v>420</v>
      </c>
      <c r="AK39" s="1121">
        <f>((AK30+1)*AK28)*$B$5</f>
        <v>350</v>
      </c>
      <c r="AL39" s="1121">
        <f>((AL30+1)*AL28)*$B$5</f>
        <v>350</v>
      </c>
      <c r="AM39" s="709">
        <f t="shared" si="26"/>
        <v>225</v>
      </c>
      <c r="AN39" s="709">
        <f t="shared" si="26"/>
        <v>225</v>
      </c>
      <c r="AO39" s="709">
        <f t="shared" ref="AO39:BS39" si="27">((AO28+1)*AO30)*$B$5</f>
        <v>150</v>
      </c>
      <c r="AP39" s="709">
        <f t="shared" si="27"/>
        <v>150</v>
      </c>
      <c r="AQ39" s="709">
        <f t="shared" si="27"/>
        <v>150</v>
      </c>
      <c r="AR39" s="709">
        <f t="shared" si="27"/>
        <v>150</v>
      </c>
      <c r="AS39" s="1121">
        <f>((AS30+1)*AS28)*$B$5</f>
        <v>360</v>
      </c>
      <c r="AT39" s="1121">
        <f t="shared" ref="AT39:AV39" si="28">((AT30+1)*AT28)*$B$5</f>
        <v>300</v>
      </c>
      <c r="AU39" s="1121">
        <f t="shared" si="28"/>
        <v>300</v>
      </c>
      <c r="AV39" s="1121">
        <f t="shared" si="28"/>
        <v>300</v>
      </c>
      <c r="AW39" s="709">
        <f t="shared" si="27"/>
        <v>195</v>
      </c>
      <c r="AX39" s="709">
        <f t="shared" si="27"/>
        <v>130</v>
      </c>
      <c r="AY39" s="709">
        <f t="shared" si="27"/>
        <v>130</v>
      </c>
      <c r="AZ39" s="709">
        <f t="shared" si="27"/>
        <v>130</v>
      </c>
      <c r="BA39" s="709">
        <f t="shared" si="27"/>
        <v>130</v>
      </c>
      <c r="BB39" s="1121">
        <f>((BB30+1)*BB28)*$B$5</f>
        <v>330</v>
      </c>
      <c r="BC39" s="1121">
        <f t="shared" ref="BC39:BF39" si="29">((BC30+1)*BC28)*$B$5</f>
        <v>275</v>
      </c>
      <c r="BD39" s="1121">
        <f t="shared" si="29"/>
        <v>275</v>
      </c>
      <c r="BE39" s="1121">
        <f t="shared" si="29"/>
        <v>275</v>
      </c>
      <c r="BF39" s="1121">
        <f t="shared" si="29"/>
        <v>220</v>
      </c>
      <c r="BG39" s="709">
        <f t="shared" si="27"/>
        <v>120</v>
      </c>
      <c r="BH39" s="709">
        <f t="shared" si="27"/>
        <v>120</v>
      </c>
      <c r="BI39" s="709">
        <f t="shared" si="27"/>
        <v>120</v>
      </c>
      <c r="BJ39" s="709">
        <f t="shared" si="27"/>
        <v>120</v>
      </c>
      <c r="BK39" s="1121">
        <f t="shared" ref="BK39:BP39" si="30">((BK30+1)*BK28)*$B$5</f>
        <v>300</v>
      </c>
      <c r="BL39" s="1121">
        <f t="shared" si="30"/>
        <v>250</v>
      </c>
      <c r="BM39" s="1121">
        <f t="shared" si="30"/>
        <v>250</v>
      </c>
      <c r="BN39" s="1121">
        <f t="shared" si="30"/>
        <v>250</v>
      </c>
      <c r="BO39" s="1121">
        <f t="shared" si="30"/>
        <v>200</v>
      </c>
      <c r="BP39" s="1121">
        <f t="shared" si="30"/>
        <v>200</v>
      </c>
      <c r="BQ39" s="709">
        <f t="shared" si="27"/>
        <v>110</v>
      </c>
      <c r="BR39" s="709">
        <f t="shared" si="27"/>
        <v>110</v>
      </c>
      <c r="BS39" s="831">
        <f t="shared" si="27"/>
        <v>110</v>
      </c>
      <c r="BT39" s="1121">
        <f t="shared" ref="BT39:BZ39" si="31">((BT30+1)*BT28)*$B$5</f>
        <v>270</v>
      </c>
      <c r="BU39" s="1121">
        <f t="shared" si="31"/>
        <v>225</v>
      </c>
      <c r="BV39" s="1121">
        <f t="shared" si="31"/>
        <v>225</v>
      </c>
      <c r="BW39" s="1121">
        <f t="shared" si="31"/>
        <v>225</v>
      </c>
      <c r="BX39" s="1121">
        <f t="shared" si="31"/>
        <v>180</v>
      </c>
      <c r="BY39" s="1121">
        <f t="shared" si="31"/>
        <v>180</v>
      </c>
      <c r="BZ39" s="1121">
        <f t="shared" si="31"/>
        <v>135</v>
      </c>
      <c r="CA39" s="707">
        <f t="shared" ref="CA39:CT39" si="32">((CA28+1)*CA30)*$B$5</f>
        <v>100</v>
      </c>
      <c r="CB39" s="707">
        <f t="shared" si="32"/>
        <v>100</v>
      </c>
      <c r="CC39" s="1121">
        <f t="shared" ref="CC39:CI39" si="33">((CC30+1)*CC28)*$B$5</f>
        <v>240</v>
      </c>
      <c r="CD39" s="1121">
        <f t="shared" si="33"/>
        <v>200</v>
      </c>
      <c r="CE39" s="1121">
        <f t="shared" si="33"/>
        <v>200</v>
      </c>
      <c r="CF39" s="1121">
        <f t="shared" si="33"/>
        <v>200</v>
      </c>
      <c r="CG39" s="1121">
        <f t="shared" si="33"/>
        <v>160</v>
      </c>
      <c r="CH39" s="1121">
        <f t="shared" si="33"/>
        <v>160</v>
      </c>
      <c r="CI39" s="1121">
        <f t="shared" si="33"/>
        <v>120</v>
      </c>
      <c r="CJ39" s="707">
        <f t="shared" si="32"/>
        <v>90</v>
      </c>
      <c r="CK39" s="707">
        <f t="shared" si="32"/>
        <v>90</v>
      </c>
      <c r="CL39" s="1121">
        <f t="shared" ref="CL39:CR39" si="34">((CL30+1)*CL28)*$B$5</f>
        <v>240</v>
      </c>
      <c r="CM39" s="1121">
        <f t="shared" si="34"/>
        <v>200</v>
      </c>
      <c r="CN39" s="1121">
        <f t="shared" si="34"/>
        <v>200</v>
      </c>
      <c r="CO39" s="1121">
        <f t="shared" si="34"/>
        <v>200</v>
      </c>
      <c r="CP39" s="1121">
        <f t="shared" si="34"/>
        <v>160</v>
      </c>
      <c r="CQ39" s="1121">
        <f t="shared" si="34"/>
        <v>160</v>
      </c>
      <c r="CR39" s="1121">
        <f t="shared" si="34"/>
        <v>120</v>
      </c>
      <c r="CS39" s="707">
        <f t="shared" si="32"/>
        <v>90</v>
      </c>
      <c r="CT39" s="707">
        <f t="shared" si="32"/>
        <v>90</v>
      </c>
    </row>
    <row r="40" spans="1:98">
      <c r="A40" s="710" t="s">
        <v>1625</v>
      </c>
      <c r="B40" s="712">
        <f ca="1">B39*Datenbank!C19</f>
        <v>60.42</v>
      </c>
      <c r="C40" s="712">
        <f ca="1">C39*Datenbank!D19</f>
        <v>59.097600000000007</v>
      </c>
      <c r="D40" s="712">
        <f ca="1">D39*Datenbank!E19</f>
        <v>55.295999999999992</v>
      </c>
      <c r="E40" s="712">
        <f ca="1">E39*Datenbank!F19</f>
        <v>80.640000000000015</v>
      </c>
      <c r="F40" s="712">
        <f ca="1">F39*Datenbank!G19</f>
        <v>78.624000000000009</v>
      </c>
      <c r="G40" s="712">
        <f ca="1">G39*Datenbank!H19</f>
        <v>99.792000000000002</v>
      </c>
      <c r="H40" s="834">
        <f ca="1">H39*Datenbank!I19</f>
        <v>91.52</v>
      </c>
      <c r="I40" s="841">
        <f ca="1">I39*Datenbank!$S$19</f>
        <v>57.24</v>
      </c>
      <c r="J40" s="841">
        <f ca="1">J39*Datenbank!$AB$19</f>
        <v>68.688000000000017</v>
      </c>
      <c r="K40" s="841">
        <f ca="1">K39*Datenbank!$L$19</f>
        <v>89.375999999999991</v>
      </c>
      <c r="L40" s="841">
        <f ca="1">L39*Datenbank!$M$19</f>
        <v>87.551999999999992</v>
      </c>
      <c r="M40" s="841">
        <f ca="1">M39*Datenbank!$N$19</f>
        <v>123.12</v>
      </c>
      <c r="N40" s="841">
        <f ca="1">N39*Datenbank!$O$19</f>
        <v>100.32000000000001</v>
      </c>
      <c r="O40" s="841">
        <f ca="1">O39*Datenbank!P19</f>
        <v>124.0624</v>
      </c>
      <c r="P40" s="841">
        <f ca="1">P39*Datenbank!Q19</f>
        <v>145.55520000000001</v>
      </c>
      <c r="Q40" s="841">
        <f ca="1">Q39*Datenbank!R19</f>
        <v>165.98400000000001</v>
      </c>
      <c r="R40" s="1126">
        <f ca="1">R39*Datenbank!$S$19</f>
        <v>57.24</v>
      </c>
      <c r="S40" s="841">
        <f ca="1">S39*Datenbank!$AC$19</f>
        <v>69.768000000000015</v>
      </c>
      <c r="T40" s="841">
        <f ca="1">T39*Datenbank!U19</f>
        <v>84.671999999999997</v>
      </c>
      <c r="U40" s="841">
        <f ca="1">U39*Datenbank!V19</f>
        <v>82.943999999999988</v>
      </c>
      <c r="V40" s="841">
        <f ca="1">V39*Datenbank!W19</f>
        <v>116.64</v>
      </c>
      <c r="W40" s="841">
        <f ca="1">W39*Datenbank!X19</f>
        <v>110.88</v>
      </c>
      <c r="X40" s="841">
        <f ca="1">X39*Datenbank!Y19</f>
        <v>128.2176</v>
      </c>
      <c r="Y40" s="841">
        <f ca="1">Y39*Datenbank!Z19</f>
        <v>149.38560000000001</v>
      </c>
      <c r="Z40" s="841">
        <f ca="1">Z39*Datenbank!AA19</f>
        <v>169.34399999999999</v>
      </c>
      <c r="AA40" s="1126">
        <f ca="1">AA39*Datenbank!$AB$19</f>
        <v>64.872000000000014</v>
      </c>
      <c r="AB40" s="841">
        <f ca="1">AB39*Datenbank!$AC$19</f>
        <v>55.814400000000006</v>
      </c>
      <c r="AC40" s="841">
        <f ca="1">AC39*Datenbank!AD19</f>
        <v>79.968000000000004</v>
      </c>
      <c r="AD40" s="841">
        <f ca="1">AD39*Datenbank!AE19</f>
        <v>88.127999999999986</v>
      </c>
      <c r="AE40" s="841">
        <f ca="1">AE39*Datenbank!AF19</f>
        <v>110.16</v>
      </c>
      <c r="AF40" s="841">
        <f ca="1">AF39*Datenbank!AG19</f>
        <v>104.72</v>
      </c>
      <c r="AG40" s="841">
        <f ca="1">AG39*Datenbank!AH19</f>
        <v>121.09439999999999</v>
      </c>
      <c r="AH40" s="841">
        <f ca="1">AH39*Datenbank!AI19</f>
        <v>141.08640000000003</v>
      </c>
      <c r="AI40" s="841">
        <f ca="1">AI39*Datenbank!AJ19</f>
        <v>159.93600000000001</v>
      </c>
      <c r="AJ40" s="1126">
        <f ca="1">AJ39*Datenbank!$L$19</f>
        <v>98.783999999999992</v>
      </c>
      <c r="AK40" s="841">
        <f ca="1">AK39*Datenbank!U19</f>
        <v>82.32</v>
      </c>
      <c r="AL40" s="841">
        <f ca="1">AL39*Datenbank!AD19</f>
        <v>82.32</v>
      </c>
      <c r="AM40" s="841">
        <f ca="1">AM39*Datenbank!AN19</f>
        <v>90.720000000000013</v>
      </c>
      <c r="AN40" s="841">
        <f ca="1">AN39*Datenbank!AO19</f>
        <v>113.4</v>
      </c>
      <c r="AO40" s="841">
        <f ca="1">AO39*Datenbank!AP19</f>
        <v>92.4</v>
      </c>
      <c r="AP40" s="841">
        <f ca="1">AP39*Datenbank!AQ19</f>
        <v>106.848</v>
      </c>
      <c r="AQ40" s="841">
        <f ca="1">AQ39*Datenbank!AR19</f>
        <v>134.06399999999999</v>
      </c>
      <c r="AR40" s="841">
        <f ca="1">AR39*Datenbank!AS19</f>
        <v>151.19999999999999</v>
      </c>
      <c r="AS40" s="1126">
        <f ca="1">AS39*Datenbank!$M$19</f>
        <v>110.59199999999998</v>
      </c>
      <c r="AT40" s="841">
        <f ca="1">AT39*Datenbank!V19</f>
        <v>92.16</v>
      </c>
      <c r="AU40" s="841">
        <f ca="1">AU39*Datenbank!AE19</f>
        <v>103.67999999999999</v>
      </c>
      <c r="AV40" s="841">
        <f ca="1">AV39*Datenbank!AN19</f>
        <v>120.96000000000002</v>
      </c>
      <c r="AW40" s="841">
        <f ca="1">AW39*Datenbank!AX19</f>
        <v>108.108</v>
      </c>
      <c r="AX40" s="841">
        <f ca="1">AX39*Datenbank!AY19</f>
        <v>87.36</v>
      </c>
      <c r="AY40" s="841">
        <f ca="1">AY39*Datenbank!AZ19</f>
        <v>100.3184</v>
      </c>
      <c r="AZ40" s="841">
        <f ca="1">AZ39*Datenbank!BA19</f>
        <v>116.1888</v>
      </c>
      <c r="BA40" s="841">
        <f ca="1">BA39*Datenbank!BB19</f>
        <v>131.04</v>
      </c>
      <c r="BB40" s="1126">
        <f ca="1">BB39*Datenbank!$N$19</f>
        <v>142.56</v>
      </c>
      <c r="BC40" s="841">
        <f ca="1">BC39*Datenbank!W19</f>
        <v>118.8</v>
      </c>
      <c r="BD40" s="841">
        <f ca="1">BD39*Datenbank!AF19</f>
        <v>118.8</v>
      </c>
      <c r="BE40" s="841">
        <f ca="1">BE39*Datenbank!AO19</f>
        <v>138.6</v>
      </c>
      <c r="BF40" s="841">
        <f ca="1">BF39*Datenbank!AX19</f>
        <v>121.968</v>
      </c>
      <c r="BG40" s="841">
        <f ca="1">BG39*Datenbank!BH19</f>
        <v>87.36</v>
      </c>
      <c r="BH40" s="841">
        <f ca="1">BH39*Datenbank!BI19</f>
        <v>99.724800000000002</v>
      </c>
      <c r="BI40" s="841">
        <f ca="1">BI39*Datenbank!BJ19</f>
        <v>122.57280000000002</v>
      </c>
      <c r="BJ40" s="841">
        <f ca="1">BJ39*Datenbank!BK19</f>
        <v>138.23999999999998</v>
      </c>
      <c r="BK40" s="1126">
        <f ca="1">BK39*Datenbank!$O$19</f>
        <v>158.4</v>
      </c>
      <c r="BL40" s="841">
        <f ca="1">BL39*Datenbank!X19</f>
        <v>154</v>
      </c>
      <c r="BM40" s="841">
        <f ca="1">BM39*Datenbank!AG19</f>
        <v>154</v>
      </c>
      <c r="BN40" s="841">
        <f ca="1">BN39*Datenbank!AP19</f>
        <v>154</v>
      </c>
      <c r="BO40" s="841">
        <f ca="1">BO39*Datenbank!AY19</f>
        <v>134.4</v>
      </c>
      <c r="BP40" s="841">
        <f ca="1">BP39*Datenbank!BH19</f>
        <v>145.6</v>
      </c>
      <c r="BQ40" s="841">
        <f ca="1">BQ39*Datenbank!BR19</f>
        <v>104.47359999999999</v>
      </c>
      <c r="BR40" s="841">
        <f ca="1">BR39*Datenbank!BS19</f>
        <v>120.384</v>
      </c>
      <c r="BS40" s="1117">
        <f ca="1">BS39*Datenbank!BT19</f>
        <v>135.16799999999998</v>
      </c>
      <c r="BT40" s="1126">
        <f ca="1">BT39*Datenbank!P19</f>
        <v>176.29919999999998</v>
      </c>
      <c r="BU40" s="841">
        <f ca="1">BU39*Datenbank!Y19</f>
        <v>160.27199999999999</v>
      </c>
      <c r="BV40" s="841">
        <f ca="1">BV39*Datenbank!AH19</f>
        <v>160.27199999999999</v>
      </c>
      <c r="BW40" s="841">
        <f ca="1">BW39*Datenbank!AQ19</f>
        <v>160.27199999999999</v>
      </c>
      <c r="BX40" s="841">
        <f ca="1">BX39*Datenbank!AZ19</f>
        <v>138.9024</v>
      </c>
      <c r="BY40" s="841">
        <f ca="1">BY39*Datenbank!BI19</f>
        <v>149.5872</v>
      </c>
      <c r="BZ40" s="841">
        <f ca="1">BZ39*Datenbank!BR19</f>
        <v>128.2176</v>
      </c>
      <c r="CA40" s="844">
        <f>CA39*Datenbank!CB19</f>
        <v>0</v>
      </c>
      <c r="CB40" s="844">
        <f>CB39*Datenbank!CC19</f>
        <v>0</v>
      </c>
      <c r="CC40" s="841">
        <f ca="1">CC39*Datenbank!Q19</f>
        <v>183.85920000000002</v>
      </c>
      <c r="CD40" s="841">
        <f ca="1">CD39*Datenbank!Z19</f>
        <v>165.98400000000001</v>
      </c>
      <c r="CE40" s="841">
        <f ca="1">CE39*Datenbank!AI19</f>
        <v>165.98400000000001</v>
      </c>
      <c r="CF40" s="841">
        <f ca="1">CF39*Datenbank!AR19</f>
        <v>178.75200000000001</v>
      </c>
      <c r="CG40" s="841">
        <f ca="1">CG39*Datenbank!BA19</f>
        <v>143.0016</v>
      </c>
      <c r="CH40" s="841">
        <f ca="1">CH39*Datenbank!BJ19</f>
        <v>163.43040000000002</v>
      </c>
      <c r="CI40" s="841">
        <f ca="1">CI39*Datenbank!BS19</f>
        <v>131.328</v>
      </c>
      <c r="CJ40" s="844">
        <f>CJ39*Datenbank!CK19</f>
        <v>0</v>
      </c>
      <c r="CK40" s="844">
        <f>CK39*Datenbank!CL19</f>
        <v>0</v>
      </c>
      <c r="CL40" s="841">
        <f ca="1">CL39*Datenbank!R19</f>
        <v>209.66400000000002</v>
      </c>
      <c r="CM40" s="841">
        <f ca="1">CM39*Datenbank!AA19</f>
        <v>188.16</v>
      </c>
      <c r="CN40" s="841">
        <f ca="1">CN39*Datenbank!AJ19</f>
        <v>188.16</v>
      </c>
      <c r="CO40" s="841">
        <f ca="1">CO39*Datenbank!AS19</f>
        <v>201.6</v>
      </c>
      <c r="CP40" s="841">
        <f ca="1">CP39*Datenbank!BB19</f>
        <v>161.28</v>
      </c>
      <c r="CQ40" s="841">
        <f ca="1">CQ39*Datenbank!BK19</f>
        <v>184.32</v>
      </c>
      <c r="CR40" s="841">
        <f ca="1">CR39*Datenbank!BT19</f>
        <v>147.45599999999999</v>
      </c>
      <c r="CS40" s="844">
        <f>CS39*Datenbank!CT19</f>
        <v>0</v>
      </c>
      <c r="CT40" s="844">
        <f>CT39*Datenbank!CU19</f>
        <v>0</v>
      </c>
    </row>
    <row r="41" spans="1:98">
      <c r="A41" s="710" t="s">
        <v>1283</v>
      </c>
      <c r="B41" s="709">
        <f t="shared" ref="B41:AG41" si="35">B28*B30*$B$5</f>
        <v>450</v>
      </c>
      <c r="C41" s="709">
        <f t="shared" si="35"/>
        <v>340</v>
      </c>
      <c r="D41" s="709">
        <f t="shared" si="35"/>
        <v>300</v>
      </c>
      <c r="E41" s="709">
        <f t="shared" si="35"/>
        <v>280</v>
      </c>
      <c r="F41" s="709">
        <f t="shared" si="35"/>
        <v>180</v>
      </c>
      <c r="G41" s="709">
        <f t="shared" si="35"/>
        <v>165</v>
      </c>
      <c r="H41" s="831">
        <f t="shared" si="35"/>
        <v>100</v>
      </c>
      <c r="I41" s="838">
        <f t="shared" si="35"/>
        <v>360</v>
      </c>
      <c r="J41" s="709">
        <f t="shared" si="35"/>
        <v>360</v>
      </c>
      <c r="K41" s="709">
        <f t="shared" si="35"/>
        <v>360</v>
      </c>
      <c r="L41" s="709">
        <f t="shared" si="35"/>
        <v>270</v>
      </c>
      <c r="M41" s="709">
        <f t="shared" si="35"/>
        <v>270</v>
      </c>
      <c r="N41" s="709">
        <f t="shared" si="35"/>
        <v>180</v>
      </c>
      <c r="O41" s="709">
        <f t="shared" si="35"/>
        <v>180</v>
      </c>
      <c r="P41" s="709">
        <f t="shared" si="35"/>
        <v>180</v>
      </c>
      <c r="Q41" s="709">
        <f t="shared" si="35"/>
        <v>180</v>
      </c>
      <c r="R41" s="1121">
        <f t="shared" si="35"/>
        <v>425</v>
      </c>
      <c r="S41" s="709">
        <f t="shared" si="35"/>
        <v>340</v>
      </c>
      <c r="T41" s="709">
        <f t="shared" si="35"/>
        <v>340</v>
      </c>
      <c r="U41" s="709">
        <f t="shared" si="35"/>
        <v>255</v>
      </c>
      <c r="V41" s="709">
        <f t="shared" si="35"/>
        <v>255</v>
      </c>
      <c r="W41" s="709">
        <f t="shared" si="35"/>
        <v>170</v>
      </c>
      <c r="X41" s="709">
        <f t="shared" si="35"/>
        <v>170</v>
      </c>
      <c r="Y41" s="709">
        <f t="shared" si="35"/>
        <v>170</v>
      </c>
      <c r="Z41" s="709">
        <f t="shared" si="35"/>
        <v>170</v>
      </c>
      <c r="AA41" s="1121">
        <f t="shared" si="35"/>
        <v>400</v>
      </c>
      <c r="AB41" s="709">
        <f t="shared" si="35"/>
        <v>320</v>
      </c>
      <c r="AC41" s="709">
        <f t="shared" si="35"/>
        <v>320</v>
      </c>
      <c r="AD41" s="709">
        <f t="shared" si="35"/>
        <v>240</v>
      </c>
      <c r="AE41" s="709">
        <f t="shared" si="35"/>
        <v>240</v>
      </c>
      <c r="AF41" s="709">
        <f t="shared" si="35"/>
        <v>160</v>
      </c>
      <c r="AG41" s="709">
        <f t="shared" si="35"/>
        <v>160</v>
      </c>
      <c r="AH41" s="709">
        <f t="shared" ref="AH41:BM41" si="36">AH28*AH30*$B$5</f>
        <v>160</v>
      </c>
      <c r="AI41" s="709">
        <f t="shared" si="36"/>
        <v>160</v>
      </c>
      <c r="AJ41" s="1121">
        <f t="shared" si="36"/>
        <v>350</v>
      </c>
      <c r="AK41" s="709">
        <f t="shared" si="36"/>
        <v>280</v>
      </c>
      <c r="AL41" s="709">
        <f t="shared" si="36"/>
        <v>280</v>
      </c>
      <c r="AM41" s="709">
        <f t="shared" si="36"/>
        <v>210</v>
      </c>
      <c r="AN41" s="709">
        <f t="shared" si="36"/>
        <v>210</v>
      </c>
      <c r="AO41" s="709">
        <f t="shared" si="36"/>
        <v>140</v>
      </c>
      <c r="AP41" s="709">
        <f t="shared" si="36"/>
        <v>140</v>
      </c>
      <c r="AQ41" s="709">
        <f t="shared" si="36"/>
        <v>140</v>
      </c>
      <c r="AR41" s="709">
        <f t="shared" si="36"/>
        <v>140</v>
      </c>
      <c r="AS41" s="1121">
        <f t="shared" si="36"/>
        <v>300</v>
      </c>
      <c r="AT41" s="709">
        <f t="shared" si="36"/>
        <v>240</v>
      </c>
      <c r="AU41" s="709">
        <f t="shared" si="36"/>
        <v>240</v>
      </c>
      <c r="AV41" s="709">
        <f t="shared" si="36"/>
        <v>240</v>
      </c>
      <c r="AW41" s="709">
        <f t="shared" si="36"/>
        <v>180</v>
      </c>
      <c r="AX41" s="709">
        <f t="shared" si="36"/>
        <v>120</v>
      </c>
      <c r="AY41" s="709">
        <f t="shared" si="36"/>
        <v>120</v>
      </c>
      <c r="AZ41" s="709">
        <f t="shared" si="36"/>
        <v>120</v>
      </c>
      <c r="BA41" s="709">
        <f t="shared" si="36"/>
        <v>120</v>
      </c>
      <c r="BB41" s="1121">
        <f t="shared" si="36"/>
        <v>275</v>
      </c>
      <c r="BC41" s="709">
        <f t="shared" si="36"/>
        <v>220</v>
      </c>
      <c r="BD41" s="709">
        <f t="shared" si="36"/>
        <v>220</v>
      </c>
      <c r="BE41" s="709">
        <f t="shared" si="36"/>
        <v>220</v>
      </c>
      <c r="BF41" s="709">
        <f t="shared" si="36"/>
        <v>165</v>
      </c>
      <c r="BG41" s="709">
        <f t="shared" si="36"/>
        <v>110</v>
      </c>
      <c r="BH41" s="709">
        <f t="shared" si="36"/>
        <v>110</v>
      </c>
      <c r="BI41" s="709">
        <f t="shared" si="36"/>
        <v>110</v>
      </c>
      <c r="BJ41" s="709">
        <f t="shared" si="36"/>
        <v>110</v>
      </c>
      <c r="BK41" s="1121">
        <f t="shared" si="36"/>
        <v>250</v>
      </c>
      <c r="BL41" s="709">
        <f t="shared" si="36"/>
        <v>200</v>
      </c>
      <c r="BM41" s="709">
        <f t="shared" si="36"/>
        <v>200</v>
      </c>
      <c r="BN41" s="709">
        <f t="shared" ref="BN41:CT41" si="37">BN28*BN30*$B$5</f>
        <v>200</v>
      </c>
      <c r="BO41" s="709">
        <f t="shared" si="37"/>
        <v>150</v>
      </c>
      <c r="BP41" s="709">
        <f t="shared" si="37"/>
        <v>150</v>
      </c>
      <c r="BQ41" s="709">
        <f t="shared" si="37"/>
        <v>100</v>
      </c>
      <c r="BR41" s="709">
        <f t="shared" si="37"/>
        <v>100</v>
      </c>
      <c r="BS41" s="831">
        <f t="shared" si="37"/>
        <v>100</v>
      </c>
      <c r="BT41" s="1121">
        <f t="shared" si="37"/>
        <v>225</v>
      </c>
      <c r="BU41" s="709">
        <f t="shared" si="37"/>
        <v>180</v>
      </c>
      <c r="BV41" s="709">
        <f t="shared" si="37"/>
        <v>180</v>
      </c>
      <c r="BW41" s="709">
        <f t="shared" si="37"/>
        <v>180</v>
      </c>
      <c r="BX41" s="709">
        <f t="shared" si="37"/>
        <v>135</v>
      </c>
      <c r="BY41" s="709">
        <f t="shared" si="37"/>
        <v>135</v>
      </c>
      <c r="BZ41" s="709">
        <f t="shared" si="37"/>
        <v>90</v>
      </c>
      <c r="CA41" s="707">
        <f t="shared" si="37"/>
        <v>90</v>
      </c>
      <c r="CB41" s="707">
        <f t="shared" si="37"/>
        <v>90</v>
      </c>
      <c r="CC41" s="709">
        <f t="shared" si="37"/>
        <v>200</v>
      </c>
      <c r="CD41" s="709">
        <f t="shared" si="37"/>
        <v>160</v>
      </c>
      <c r="CE41" s="709">
        <f t="shared" si="37"/>
        <v>160</v>
      </c>
      <c r="CF41" s="709">
        <f t="shared" si="37"/>
        <v>160</v>
      </c>
      <c r="CG41" s="709">
        <f t="shared" si="37"/>
        <v>120</v>
      </c>
      <c r="CH41" s="709">
        <f t="shared" si="37"/>
        <v>120</v>
      </c>
      <c r="CI41" s="709">
        <f t="shared" si="37"/>
        <v>80</v>
      </c>
      <c r="CJ41" s="707">
        <f t="shared" si="37"/>
        <v>80</v>
      </c>
      <c r="CK41" s="707">
        <f t="shared" si="37"/>
        <v>80</v>
      </c>
      <c r="CL41" s="709">
        <f t="shared" si="37"/>
        <v>200</v>
      </c>
      <c r="CM41" s="709">
        <f t="shared" si="37"/>
        <v>160</v>
      </c>
      <c r="CN41" s="709">
        <f t="shared" si="37"/>
        <v>160</v>
      </c>
      <c r="CO41" s="709">
        <f t="shared" si="37"/>
        <v>160</v>
      </c>
      <c r="CP41" s="709">
        <f t="shared" si="37"/>
        <v>120</v>
      </c>
      <c r="CQ41" s="709">
        <f t="shared" si="37"/>
        <v>120</v>
      </c>
      <c r="CR41" s="709">
        <f t="shared" si="37"/>
        <v>80</v>
      </c>
      <c r="CS41" s="707">
        <f t="shared" si="37"/>
        <v>80</v>
      </c>
      <c r="CT41" s="707">
        <f t="shared" si="37"/>
        <v>80</v>
      </c>
    </row>
    <row r="42" spans="1:98">
      <c r="A42" s="710" t="s">
        <v>1284</v>
      </c>
      <c r="B42" s="712">
        <f ca="1">B41*Datenbank!C12</f>
        <v>379.21499999999997</v>
      </c>
      <c r="C42" s="712">
        <f ca="1">C41*Datenbank!D12</f>
        <v>331.39800000000002</v>
      </c>
      <c r="D42" s="712">
        <f ca="1">D41*Datenbank!E12</f>
        <v>324</v>
      </c>
      <c r="E42" s="712">
        <f ca="1">E41*Datenbank!F12</f>
        <v>480.20000000000005</v>
      </c>
      <c r="F42" s="712">
        <f ca="1">F41*Datenbank!G12</f>
        <v>460.8</v>
      </c>
      <c r="G42" s="712">
        <f ca="1">G41*Datenbank!H12</f>
        <v>601.42499999999995</v>
      </c>
      <c r="H42" s="834">
        <f ca="1">H41*Datenbank!I12</f>
        <v>550</v>
      </c>
      <c r="I42" s="841">
        <f ca="1">I41*Datenbank!$S$12</f>
        <v>326.26800000000003</v>
      </c>
      <c r="J42" s="841">
        <f ca="1">J41*Datenbank!$AB$12</f>
        <v>343.43999999999994</v>
      </c>
      <c r="K42" s="841">
        <f ca="1">K41*Datenbank!$L$12</f>
        <v>400.68</v>
      </c>
      <c r="L42" s="841">
        <f ca="1">L41*Datenbank!$M$12</f>
        <v>343.44</v>
      </c>
      <c r="M42" s="841">
        <f ca="1">M41*Datenbank!$N$12</f>
        <v>386.36999999999995</v>
      </c>
      <c r="N42" s="841">
        <f ca="1">N41*Datenbank!$O$12</f>
        <v>286.2</v>
      </c>
      <c r="O42" s="841">
        <f ca="1">O41*Datenbank!P12</f>
        <v>303.37200000000001</v>
      </c>
      <c r="P42" s="841">
        <f ca="1">P41*Datenbank!Q12</f>
        <v>326.26800000000003</v>
      </c>
      <c r="Q42" s="841">
        <f ca="1">Q41*Datenbank!R12</f>
        <v>343.43999999999994</v>
      </c>
      <c r="R42" s="1126">
        <f ca="1">R41*Datenbank!$S$12</f>
        <v>385.17750000000007</v>
      </c>
      <c r="S42" s="841">
        <f ca="1">S41*Datenbank!$AC$12</f>
        <v>348.84000000000003</v>
      </c>
      <c r="T42" s="841">
        <f ca="1">T41*Datenbank!U12</f>
        <v>406.98</v>
      </c>
      <c r="U42" s="841">
        <f ca="1">U41*Datenbank!V12</f>
        <v>348.84000000000003</v>
      </c>
      <c r="V42" s="841">
        <f ca="1">V41*Datenbank!W12</f>
        <v>392.44500000000005</v>
      </c>
      <c r="W42" s="841">
        <f ca="1">W41*Datenbank!X12</f>
        <v>290.7</v>
      </c>
      <c r="X42" s="841">
        <f ca="1">X41*Datenbank!Y12</f>
        <v>308.14200000000005</v>
      </c>
      <c r="Y42" s="841">
        <f ca="1">Y41*Datenbank!Z12</f>
        <v>331.39800000000002</v>
      </c>
      <c r="Z42" s="841">
        <f ca="1">Z41*Datenbank!AA12</f>
        <v>348.84000000000003</v>
      </c>
      <c r="AA42" s="1126">
        <f ca="1">AA41*Datenbank!$AB$12</f>
        <v>381.59999999999997</v>
      </c>
      <c r="AB42" s="841">
        <f ca="1">AB41*Datenbank!$AC$12</f>
        <v>328.32</v>
      </c>
      <c r="AC42" s="841">
        <f ca="1">AC41*Datenbank!AD12</f>
        <v>403.2</v>
      </c>
      <c r="AD42" s="841">
        <f ca="1">AD41*Datenbank!AE12</f>
        <v>345.59999999999997</v>
      </c>
      <c r="AE42" s="841">
        <f ca="1">AE41*Datenbank!AF12</f>
        <v>388.8</v>
      </c>
      <c r="AF42" s="841">
        <f ca="1">AF41*Datenbank!AG12</f>
        <v>288</v>
      </c>
      <c r="AG42" s="841">
        <f ca="1">AG41*Datenbank!AH12</f>
        <v>305.27999999999997</v>
      </c>
      <c r="AH42" s="841">
        <f ca="1">AH41*Datenbank!AI12</f>
        <v>328.32</v>
      </c>
      <c r="AI42" s="841">
        <f ca="1">AI41*Datenbank!AJ12</f>
        <v>345.6</v>
      </c>
      <c r="AJ42" s="1126">
        <f ca="1">AJ41*Datenbank!$L$12</f>
        <v>389.55</v>
      </c>
      <c r="AK42" s="841">
        <f ca="1">AK41*Datenbank!U12</f>
        <v>335.16</v>
      </c>
      <c r="AL42" s="841">
        <f ca="1">AL41*Datenbank!AD12</f>
        <v>352.8</v>
      </c>
      <c r="AM42" s="841">
        <f ca="1">AM41*Datenbank!AN12</f>
        <v>411.59999999999997</v>
      </c>
      <c r="AN42" s="841">
        <f ca="1">AN41*Datenbank!AO12</f>
        <v>463.05</v>
      </c>
      <c r="AO42" s="841">
        <f ca="1">AO41*Datenbank!AP12</f>
        <v>343</v>
      </c>
      <c r="AP42" s="841">
        <f ca="1">AP41*Datenbank!AQ12</f>
        <v>363.58</v>
      </c>
      <c r="AQ42" s="841">
        <f ca="1">AQ41*Datenbank!AR12</f>
        <v>391.02000000000004</v>
      </c>
      <c r="AR42" s="841">
        <f ca="1">AR41*Datenbank!AS12</f>
        <v>411.59999999999997</v>
      </c>
      <c r="AS42" s="1126">
        <f ca="1">AS41*Datenbank!$M$12</f>
        <v>381.6</v>
      </c>
      <c r="AT42" s="841">
        <f ca="1">AT41*Datenbank!V12</f>
        <v>328.32000000000005</v>
      </c>
      <c r="AU42" s="841">
        <f ca="1">AU41*Datenbank!AE12</f>
        <v>345.59999999999997</v>
      </c>
      <c r="AV42" s="841">
        <f ca="1">AV41*Datenbank!AN12</f>
        <v>470.4</v>
      </c>
      <c r="AW42" s="841">
        <f ca="1">AW41*Datenbank!AX12</f>
        <v>518.4</v>
      </c>
      <c r="AX42" s="841">
        <f ca="1">AX41*Datenbank!AY12</f>
        <v>384</v>
      </c>
      <c r="AY42" s="841">
        <f ca="1">AY41*Datenbank!AZ12</f>
        <v>407.03999999999996</v>
      </c>
      <c r="AZ42" s="841">
        <f ca="1">AZ41*Datenbank!BA12</f>
        <v>437.76</v>
      </c>
      <c r="BA42" s="841">
        <f ca="1">BA41*Datenbank!BB12</f>
        <v>460.79999999999995</v>
      </c>
      <c r="BB42" s="1126">
        <f ca="1">BB41*Datenbank!$N$12</f>
        <v>393.52499999999998</v>
      </c>
      <c r="BC42" s="841">
        <f ca="1">BC41*Datenbank!W12</f>
        <v>338.58000000000004</v>
      </c>
      <c r="BD42" s="841">
        <f ca="1">BD41*Datenbank!AF12</f>
        <v>356.40000000000003</v>
      </c>
      <c r="BE42" s="841">
        <f ca="1">BE41*Datenbank!AO12</f>
        <v>485.1</v>
      </c>
      <c r="BF42" s="841">
        <f ca="1">BF41*Datenbank!AX12</f>
        <v>475.2</v>
      </c>
      <c r="BG42" s="841">
        <f ca="1">BG41*Datenbank!BH12</f>
        <v>445.5</v>
      </c>
      <c r="BH42" s="841">
        <f ca="1">BH41*Datenbank!BI12</f>
        <v>472.23</v>
      </c>
      <c r="BI42" s="841">
        <f ca="1">BI41*Datenbank!BJ12</f>
        <v>507.87</v>
      </c>
      <c r="BJ42" s="841">
        <f ca="1">BJ41*Datenbank!BK12</f>
        <v>534.6</v>
      </c>
      <c r="BK42" s="1126">
        <f ca="1">BK41*Datenbank!$O$12</f>
        <v>397.5</v>
      </c>
      <c r="BL42" s="841">
        <f ca="1">BL41*Datenbank!X12</f>
        <v>342</v>
      </c>
      <c r="BM42" s="841">
        <f ca="1">BM41*Datenbank!AG12</f>
        <v>360</v>
      </c>
      <c r="BN42" s="841">
        <f ca="1">BN41*Datenbank!AP12</f>
        <v>490.00000000000006</v>
      </c>
      <c r="BO42" s="841">
        <f ca="1">BO41*Datenbank!AY12</f>
        <v>480</v>
      </c>
      <c r="BP42" s="841">
        <f ca="1">BP41*Datenbank!BH12</f>
        <v>607.5</v>
      </c>
      <c r="BQ42" s="841">
        <f ca="1">BQ41*Datenbank!BR12</f>
        <v>583</v>
      </c>
      <c r="BR42" s="841">
        <f ca="1">BR41*Datenbank!BS12</f>
        <v>627</v>
      </c>
      <c r="BS42" s="1117">
        <f ca="1">BS41*Datenbank!BT12</f>
        <v>660</v>
      </c>
      <c r="BT42" s="1126">
        <f ca="1">BT41*Datenbank!P12</f>
        <v>379.21499999999997</v>
      </c>
      <c r="BU42" s="841">
        <f ca="1">BU41*Datenbank!Y12</f>
        <v>326.26800000000003</v>
      </c>
      <c r="BV42" s="841">
        <f ca="1">BV41*Datenbank!AH12</f>
        <v>343.43999999999994</v>
      </c>
      <c r="BW42" s="841">
        <f ca="1">BW41*Datenbank!AQ12</f>
        <v>467.46</v>
      </c>
      <c r="BX42" s="841">
        <f ca="1">BX41*Datenbank!AZ12</f>
        <v>457.91999999999996</v>
      </c>
      <c r="BY42" s="841">
        <f ca="1">BY41*Datenbank!BI12</f>
        <v>579.55500000000006</v>
      </c>
      <c r="BZ42" s="841">
        <f ca="1">BZ41*Datenbank!BR12</f>
        <v>524.70000000000005</v>
      </c>
      <c r="CA42" s="844">
        <f>CA41*Datenbank!CB12</f>
        <v>0</v>
      </c>
      <c r="CB42" s="844">
        <f>CB41*Datenbank!CC12</f>
        <v>0</v>
      </c>
      <c r="CC42" s="841">
        <f ca="1">CC41*Datenbank!Q12</f>
        <v>362.52000000000004</v>
      </c>
      <c r="CD42" s="841">
        <f ca="1">CD41*Datenbank!Z12</f>
        <v>311.904</v>
      </c>
      <c r="CE42" s="841">
        <f ca="1">CE41*Datenbank!AI12</f>
        <v>328.32</v>
      </c>
      <c r="CF42" s="841">
        <f ca="1">CF41*Datenbank!AR12</f>
        <v>446.88</v>
      </c>
      <c r="CG42" s="841">
        <f ca="1">CG41*Datenbank!BA12</f>
        <v>437.76</v>
      </c>
      <c r="CH42" s="841">
        <f ca="1">CH41*Datenbank!BJ12</f>
        <v>554.04</v>
      </c>
      <c r="CI42" s="841">
        <f ca="1">CI41*Datenbank!BS12</f>
        <v>501.59999999999997</v>
      </c>
      <c r="CJ42" s="844">
        <f>CJ41*Datenbank!CK12</f>
        <v>0</v>
      </c>
      <c r="CK42" s="844">
        <f>CK41*Datenbank!CL12</f>
        <v>0</v>
      </c>
      <c r="CL42" s="841">
        <f ca="1">CL41*Datenbank!R12</f>
        <v>381.59999999999997</v>
      </c>
      <c r="CM42" s="841">
        <f ca="1">CM41*Datenbank!AA12</f>
        <v>328.32</v>
      </c>
      <c r="CN42" s="841">
        <f ca="1">CN41*Datenbank!AJ12</f>
        <v>345.6</v>
      </c>
      <c r="CO42" s="841">
        <f ca="1">CO41*Datenbank!AS12</f>
        <v>470.4</v>
      </c>
      <c r="CP42" s="841">
        <f ca="1">CP41*Datenbank!BB12</f>
        <v>460.79999999999995</v>
      </c>
      <c r="CQ42" s="841">
        <f ca="1">CQ41*Datenbank!BK12</f>
        <v>583.20000000000005</v>
      </c>
      <c r="CR42" s="841">
        <f ca="1">CR41*Datenbank!BT12</f>
        <v>528</v>
      </c>
      <c r="CS42" s="844">
        <f>CS41*Datenbank!CT12</f>
        <v>0</v>
      </c>
      <c r="CT42" s="844">
        <f>CT41*Datenbank!CU12</f>
        <v>0</v>
      </c>
    </row>
    <row r="43" spans="1:98">
      <c r="A43" s="710" t="s">
        <v>1620</v>
      </c>
      <c r="B43" s="712">
        <f ca="1">B42+B40+B38+N11</f>
        <v>711.255</v>
      </c>
      <c r="C43" s="712">
        <f ca="1">C42+C40+C38+N11</f>
        <v>641.37959999999998</v>
      </c>
      <c r="D43" s="712">
        <f ca="1">D42+D40+D38+N11</f>
        <v>621.54</v>
      </c>
      <c r="E43" s="712">
        <f ca="1">E42+E40+E38+N11</f>
        <v>800.92400000000009</v>
      </c>
      <c r="F43" s="712">
        <f ca="1">F42+F40+F38+N11</f>
        <v>777.77679999999998</v>
      </c>
      <c r="G43" s="712">
        <f ca="1">G42+G40+G38+N11</f>
        <v>936.43380000000002</v>
      </c>
      <c r="H43" s="834">
        <f ca="1">H42+H40+H38+N11</f>
        <v>872.09040000000005</v>
      </c>
      <c r="I43" s="841">
        <f ca="1">I42+I40+I38+N11</f>
        <v>638.71199999999999</v>
      </c>
      <c r="J43" s="712">
        <f ca="1">J42+J40+J38+N11</f>
        <v>667.33199999999988</v>
      </c>
      <c r="K43" s="712">
        <f ca="1">K42+K40+K38+N11</f>
        <v>747.99599999999998</v>
      </c>
      <c r="L43" s="712">
        <f ca="1">L42+L40+L38+N11</f>
        <v>671.96879999999999</v>
      </c>
      <c r="M43" s="712">
        <f ca="1">M42+M40+M38+N11</f>
        <v>752.65559999999994</v>
      </c>
      <c r="N43" s="712">
        <f ca="1">N42+N40+N38+N11</f>
        <v>612.17520000000002</v>
      </c>
      <c r="O43" s="712">
        <f ca="1">O42+O40+O38+N11</f>
        <v>674.29359999999997</v>
      </c>
      <c r="P43" s="712">
        <f ca="1">P42+P40+P38+N11</f>
        <v>718.68240000000003</v>
      </c>
      <c r="Q43" s="712">
        <f ca="1">Q42+Q40+Q38+N11</f>
        <v>756.28319999999997</v>
      </c>
      <c r="R43" s="1126">
        <f ca="1">R42+R40+R38+N11</f>
        <v>708.85350000000005</v>
      </c>
      <c r="S43" s="712">
        <f ca="1">S42+S40+S38+N11</f>
        <v>669.49200000000008</v>
      </c>
      <c r="T43" s="712">
        <f ca="1">T42+T40+T38+N11</f>
        <v>745.12800000000004</v>
      </c>
      <c r="U43" s="712">
        <f ca="1">U42+U40+U38+N11</f>
        <v>669.18960000000004</v>
      </c>
      <c r="V43" s="712">
        <f ca="1">V42+V40+V38+N11</f>
        <v>748.56420000000003</v>
      </c>
      <c r="W43" s="712">
        <f ca="1">W42+W40+W38+N11</f>
        <v>642.44159999999999</v>
      </c>
      <c r="X43" s="712">
        <f ca="1">X42+X40+X38+N11</f>
        <v>679.33800000000008</v>
      </c>
      <c r="Y43" s="712">
        <f ca="1">Y42+Y40+Y38+N11</f>
        <v>723.76200000000006</v>
      </c>
      <c r="Z43" s="712">
        <f ca="1">Z42+Z40+Z38+N11</f>
        <v>761.16239999999993</v>
      </c>
      <c r="AA43" s="1126">
        <f ca="1">AA42+AA40+AA38+N11</f>
        <v>707.72399999999993</v>
      </c>
      <c r="AB43" s="712">
        <f ca="1">AB42+AB40+AB38+N11</f>
        <v>630.69839999999999</v>
      </c>
      <c r="AC43" s="712">
        <f ca="1">AC42+AC40+AC38+N11</f>
        <v>732.18000000000006</v>
      </c>
      <c r="AD43" s="712">
        <f ca="1">AD42+AD40+AD38+N11</f>
        <v>667.56240000000003</v>
      </c>
      <c r="AE43" s="712">
        <f ca="1">AE42+AE40+AE38+N11</f>
        <v>734.75280000000009</v>
      </c>
      <c r="AF43" s="712">
        <f ca="1">AF42+AF40+AF38+N11</f>
        <v>629.81840000000011</v>
      </c>
      <c r="AG43" s="712">
        <f ca="1">AG42+AG40+AG38+N11</f>
        <v>665.47199999999998</v>
      </c>
      <c r="AH43" s="712">
        <f ca="1">AH42+AH40+AH38+N11</f>
        <v>708.50400000000002</v>
      </c>
      <c r="AI43" s="712">
        <f ca="1">AI42+AI40+AI38+N11</f>
        <v>744.63360000000011</v>
      </c>
      <c r="AJ43" s="1126">
        <f ca="1">AJ42+AJ40+AJ38+N11</f>
        <v>741.81000000000006</v>
      </c>
      <c r="AK43" s="712">
        <f ca="1">AK42+AK40+AK38+N11</f>
        <v>657.56400000000008</v>
      </c>
      <c r="AL43" s="712">
        <f ca="1">AL42+AL40+AL38+N11</f>
        <v>675.20399999999995</v>
      </c>
      <c r="AM43" s="712">
        <f ca="1">AM42+AM40+AM38+N11</f>
        <v>750.70799999999997</v>
      </c>
      <c r="AN43" s="712">
        <f ca="1">AN42+AN40+AN38+N11</f>
        <v>824.83800000000008</v>
      </c>
      <c r="AO43" s="712">
        <f ca="1">AO42+AO40+AO38+N11</f>
        <v>666.73599999999999</v>
      </c>
      <c r="AP43" s="712">
        <f ca="1">AP42+AP40+AP38+N11</f>
        <v>701.76400000000001</v>
      </c>
      <c r="AQ43" s="712">
        <f ca="1">AQ42+AQ40+AQ38+N11</f>
        <v>758.18400000000008</v>
      </c>
      <c r="AR43" s="712">
        <f ca="1">AR42+AR40+AR38+N11</f>
        <v>795.9</v>
      </c>
      <c r="AS43" s="1126">
        <f ca="1">AS42+AS40+AS38+N11</f>
        <v>734.95440000000008</v>
      </c>
      <c r="AT43" s="712">
        <f ca="1">AT42+AT40+AT38+N11</f>
        <v>651.63599999999997</v>
      </c>
      <c r="AU43" s="712">
        <f ca="1">AU42+AU40+AU38+N11</f>
        <v>680.43599999999992</v>
      </c>
      <c r="AV43" s="712">
        <f ca="1">AV42+AV40+AV38+N11</f>
        <v>846.02</v>
      </c>
      <c r="AW43" s="712">
        <f ca="1">AW42+AW40+AW38+N11</f>
        <v>866.89920000000006</v>
      </c>
      <c r="AX43" s="712">
        <f ca="1">AX42+AX40+AX38+N11</f>
        <v>694.9344000000001</v>
      </c>
      <c r="AY43" s="712">
        <f ca="1">AY42+AY40+AY38+N11</f>
        <v>732.46159999999998</v>
      </c>
      <c r="AZ43" s="712">
        <f ca="1">AZ42+AZ40+AZ38+N11</f>
        <v>779.05200000000002</v>
      </c>
      <c r="BA43" s="712">
        <f ca="1">BA42+BA40+BA38+N11</f>
        <v>818.47199999999998</v>
      </c>
      <c r="BB43" s="1126">
        <f ca="1">BB42+BB40+BB38+N11</f>
        <v>775.56420000000003</v>
      </c>
      <c r="BC43" s="712">
        <f ca="1">BC42+BC40+BC38+N11</f>
        <v>685.80000000000007</v>
      </c>
      <c r="BD43" s="712">
        <f ca="1">BD42+BD40+BD38+N11</f>
        <v>703.62000000000012</v>
      </c>
      <c r="BE43" s="712">
        <f ca="1">BE42+BE40+BE38+N11</f>
        <v>872.08800000000008</v>
      </c>
      <c r="BF43" s="712">
        <f ca="1">BF42+BF40+BF38+N11</f>
        <v>832.38480000000004</v>
      </c>
      <c r="BG43" s="712">
        <f ca="1">BG42+BG40+BG38+N11</f>
        <v>753.96480000000008</v>
      </c>
      <c r="BH43" s="712">
        <f ca="1">BH42+BH40+BH38+N11</f>
        <v>793.05960000000005</v>
      </c>
      <c r="BI43" s="712">
        <f ca="1">BI42+BI40+BI38+N11</f>
        <v>868.07880000000011</v>
      </c>
      <c r="BJ43" s="712">
        <f ca="1">BJ42+BJ40+BJ38+N11</f>
        <v>910.47600000000011</v>
      </c>
      <c r="BK43" s="1126">
        <f ca="1">BK42+BK40+BK38+N11</f>
        <v>789.84960000000001</v>
      </c>
      <c r="BL43" s="712">
        <f ca="1">BL42+BL40+BL38+N11</f>
        <v>738.11599999999999</v>
      </c>
      <c r="BM43" s="712">
        <f ca="1">BM42+BM40+BM38+N11</f>
        <v>756.11599999999999</v>
      </c>
      <c r="BN43" s="712">
        <f ca="1">BN42+BN40+BN38+N11</f>
        <v>888.27200000000005</v>
      </c>
      <c r="BO43" s="712">
        <f ca="1">BO42+BO40+BO38+N11</f>
        <v>844.44240000000002</v>
      </c>
      <c r="BP43" s="712">
        <f ca="1">BP42+BP40+BP38+N11</f>
        <v>984.86720000000003</v>
      </c>
      <c r="BQ43" s="712">
        <f ca="1">BQ42+BQ40+BQ38+N11</f>
        <v>919.73360000000002</v>
      </c>
      <c r="BR43" s="712">
        <f ca="1">BR42+BR40+BR38+N11</f>
        <v>979.64400000000001</v>
      </c>
      <c r="BS43" s="834">
        <f ca="1">BS42+BS40+BS38+N11</f>
        <v>1029.1176</v>
      </c>
      <c r="BT43" s="1126">
        <f ca="1">BT42+BT40+BT38+N11</f>
        <v>806.25419999999997</v>
      </c>
      <c r="BU43" s="712">
        <f ca="1">BU42+BU40+BU38+N11</f>
        <v>724.34400000000005</v>
      </c>
      <c r="BV43" s="712">
        <f ca="1">BV42+BV40+BV38+N11</f>
        <v>741.51599999999996</v>
      </c>
      <c r="BW43" s="712">
        <f ca="1">BW42+BW40+BW38+N11</f>
        <v>865.53600000000006</v>
      </c>
      <c r="BX43" s="712">
        <f ca="1">BX42+BX40+BX38+N11</f>
        <v>823.25840000000005</v>
      </c>
      <c r="BY43" s="712">
        <f ca="1">BY42+BY40+BY38+N11</f>
        <v>955.57820000000004</v>
      </c>
      <c r="BZ43" s="712">
        <f ca="1">BZ42+BZ40+BZ38+N11</f>
        <v>879.80160000000001</v>
      </c>
      <c r="CA43" s="843">
        <f t="shared" ref="CA43:CS43" si="38">CA42+CA40+CA38</f>
        <v>0</v>
      </c>
      <c r="CB43" s="843">
        <f t="shared" si="38"/>
        <v>0</v>
      </c>
      <c r="CC43" s="712">
        <f ca="1">CC42+CC40+CC38+N11</f>
        <v>789.35760000000005</v>
      </c>
      <c r="CD43" s="712">
        <f ca="1">CD42+CD40+CD38+N11</f>
        <v>709.22400000000005</v>
      </c>
      <c r="CE43" s="712">
        <f ca="1">CE42+CE40+CE38+N11</f>
        <v>725.64</v>
      </c>
      <c r="CF43" s="712">
        <f ca="1">CF42+CF40+CF38+N11</f>
        <v>858.73200000000008</v>
      </c>
      <c r="CG43" s="712">
        <f ca="1">CG42+CG40+CG38+N11</f>
        <v>801.86640000000011</v>
      </c>
      <c r="CH43" s="712">
        <f ca="1">CH42+CH40+CH38+N11</f>
        <v>955.10640000000001</v>
      </c>
      <c r="CI43" s="712">
        <f ca="1">CI42+CI40+CI38+N11</f>
        <v>854.43600000000004</v>
      </c>
      <c r="CJ43" s="843">
        <f t="shared" si="38"/>
        <v>0</v>
      </c>
      <c r="CK43" s="843">
        <f t="shared" si="38"/>
        <v>0</v>
      </c>
      <c r="CL43" s="712">
        <f ca="1">CL42+CL40+CL38+N11</f>
        <v>834.24240000000009</v>
      </c>
      <c r="CM43" s="712">
        <f ca="1">CM42+CM40+CM38+N11</f>
        <v>747.81600000000003</v>
      </c>
      <c r="CN43" s="712">
        <f ca="1">CN42+CN40+CN38+N11</f>
        <v>765.096</v>
      </c>
      <c r="CO43" s="712">
        <f ca="1">CO42+CO40+CO38+N11</f>
        <v>905.1</v>
      </c>
      <c r="CP43" s="712">
        <f ca="1">CP42+CP40+CP38+N11</f>
        <v>844.596</v>
      </c>
      <c r="CQ43" s="712">
        <f ca="1">CQ42+CQ40+CQ38+N11</f>
        <v>1005.1560000000001</v>
      </c>
      <c r="CR43" s="712">
        <f ca="1">CR42+CR40+CR38+N11</f>
        <v>898.34640000000002</v>
      </c>
      <c r="CS43" s="843">
        <f t="shared" si="38"/>
        <v>0</v>
      </c>
      <c r="CT43" s="843">
        <f t="shared" ref="CT43" si="39">CT42+CT40+CT38</f>
        <v>0</v>
      </c>
    </row>
    <row r="44" spans="1:98">
      <c r="A44" s="804" t="s">
        <v>1626</v>
      </c>
      <c r="B44" s="715">
        <f t="shared" ref="B44:AG44" ca="1" si="40">B43/B51</f>
        <v>0.22507179304616115</v>
      </c>
      <c r="C44" s="715">
        <f t="shared" ca="1" si="40"/>
        <v>0.2322450708815382</v>
      </c>
      <c r="D44" s="715">
        <f t="shared" ca="1" si="40"/>
        <v>0.23019999999999999</v>
      </c>
      <c r="E44" s="715">
        <f t="shared" ca="1" si="40"/>
        <v>0.23350553935860061</v>
      </c>
      <c r="F44" s="715">
        <f t="shared" ca="1" si="40"/>
        <v>0.27006138888888886</v>
      </c>
      <c r="G44" s="715">
        <f t="shared" ca="1" si="40"/>
        <v>0.28026451178451178</v>
      </c>
      <c r="H44" s="835">
        <f t="shared" ca="1" si="40"/>
        <v>0.34883616000000001</v>
      </c>
      <c r="I44" s="842">
        <f t="shared" ca="1" si="40"/>
        <v>0.23491559086395233</v>
      </c>
      <c r="J44" s="715">
        <f t="shared" ca="1" si="40"/>
        <v>0.23316981132075468</v>
      </c>
      <c r="K44" s="715">
        <f t="shared" ca="1" si="40"/>
        <v>0.2240179694519317</v>
      </c>
      <c r="L44" s="715">
        <f t="shared" ca="1" si="40"/>
        <v>0.23478993710691823</v>
      </c>
      <c r="M44" s="715">
        <f t="shared" ca="1" si="40"/>
        <v>0.23376212438853947</v>
      </c>
      <c r="N44" s="715">
        <f t="shared" ca="1" si="40"/>
        <v>0.25667723270440251</v>
      </c>
      <c r="O44" s="715">
        <f t="shared" ca="1" si="40"/>
        <v>0.26671951267750482</v>
      </c>
      <c r="P44" s="715">
        <f t="shared" ca="1" si="40"/>
        <v>0.2643283680900364</v>
      </c>
      <c r="Q44" s="715">
        <f t="shared" ca="1" si="40"/>
        <v>0.26424989517819703</v>
      </c>
      <c r="R44" s="1127">
        <f t="shared" ca="1" si="40"/>
        <v>0.22083953501956891</v>
      </c>
      <c r="S44" s="715">
        <f t="shared" ca="1" si="40"/>
        <v>0.23030340557275544</v>
      </c>
      <c r="T44" s="715">
        <f t="shared" ca="1" si="40"/>
        <v>0.2197045555064131</v>
      </c>
      <c r="U44" s="715">
        <f t="shared" ca="1" si="40"/>
        <v>0.23019938080495359</v>
      </c>
      <c r="V44" s="715">
        <f t="shared" ca="1" si="40"/>
        <v>0.22889246646026834</v>
      </c>
      <c r="W44" s="715">
        <f t="shared" ca="1" si="40"/>
        <v>0.26519777089783281</v>
      </c>
      <c r="X44" s="715">
        <f t="shared" ca="1" si="40"/>
        <v>0.26455517261522288</v>
      </c>
      <c r="Y44" s="715">
        <f t="shared" ca="1" si="40"/>
        <v>0.26207593286622127</v>
      </c>
      <c r="Z44" s="715">
        <f t="shared" ca="1" si="40"/>
        <v>0.26183777089783278</v>
      </c>
      <c r="AA44" s="1127">
        <f t="shared" ca="1" si="40"/>
        <v>0.22255471698113205</v>
      </c>
      <c r="AB44" s="715">
        <f t="shared" ca="1" si="40"/>
        <v>0.23051842105263157</v>
      </c>
      <c r="AC44" s="715">
        <f t="shared" ca="1" si="40"/>
        <v>0.21791071428571429</v>
      </c>
      <c r="AD44" s="715">
        <f t="shared" ca="1" si="40"/>
        <v>0.23179250000000001</v>
      </c>
      <c r="AE44" s="715">
        <f t="shared" ca="1" si="40"/>
        <v>0.22677555555555559</v>
      </c>
      <c r="AF44" s="715">
        <f t="shared" ca="1" si="40"/>
        <v>0.26242433333333337</v>
      </c>
      <c r="AG44" s="715">
        <f t="shared" ca="1" si="40"/>
        <v>0.26158490566037734</v>
      </c>
      <c r="AH44" s="715">
        <f t="shared" ref="AH44:BM44" ca="1" si="41">AH43/AH51</f>
        <v>0.25895614035087722</v>
      </c>
      <c r="AI44" s="715">
        <f t="shared" ca="1" si="41"/>
        <v>0.25855333333333336</v>
      </c>
      <c r="AJ44" s="1127">
        <f t="shared" ca="1" si="41"/>
        <v>0.22851289949942244</v>
      </c>
      <c r="AK44" s="715">
        <f t="shared" ca="1" si="41"/>
        <v>0.23543286788399573</v>
      </c>
      <c r="AL44" s="715">
        <f t="shared" ca="1" si="41"/>
        <v>0.2296612244897959</v>
      </c>
      <c r="AM44" s="715">
        <f t="shared" ca="1" si="41"/>
        <v>0.25534285714285715</v>
      </c>
      <c r="AN44" s="715">
        <f t="shared" ca="1" si="41"/>
        <v>0.24938412698412701</v>
      </c>
      <c r="AO44" s="715">
        <f t="shared" ca="1" si="41"/>
        <v>0.27213714285714286</v>
      </c>
      <c r="AP44" s="715">
        <f t="shared" ca="1" si="41"/>
        <v>0.2702210242587601</v>
      </c>
      <c r="AQ44" s="715">
        <f t="shared" ca="1" si="41"/>
        <v>0.2714586466165414</v>
      </c>
      <c r="AR44" s="715">
        <f t="shared" ca="1" si="41"/>
        <v>0.27071428571428569</v>
      </c>
      <c r="AS44" s="1127">
        <f t="shared" ca="1" si="41"/>
        <v>0.23111773584905662</v>
      </c>
      <c r="AT44" s="715">
        <f t="shared" ca="1" si="41"/>
        <v>0.23817105263157892</v>
      </c>
      <c r="AU44" s="715">
        <f t="shared" ca="1" si="41"/>
        <v>0.23626249999999999</v>
      </c>
      <c r="AV44" s="715">
        <f t="shared" ca="1" si="41"/>
        <v>0.25179166666666664</v>
      </c>
      <c r="AW44" s="715">
        <f t="shared" ca="1" si="41"/>
        <v>0.26756148148148151</v>
      </c>
      <c r="AX44" s="715">
        <f t="shared" ca="1" si="41"/>
        <v>0.28955600000000004</v>
      </c>
      <c r="AY44" s="715">
        <f t="shared" ca="1" si="41"/>
        <v>0.28791729559748425</v>
      </c>
      <c r="AZ44" s="715">
        <f t="shared" ca="1" si="41"/>
        <v>0.28474122807017543</v>
      </c>
      <c r="BA44" s="715">
        <f t="shared" ca="1" si="41"/>
        <v>0.28419166666666668</v>
      </c>
      <c r="BB44" s="1127">
        <f t="shared" ca="1" si="41"/>
        <v>0.23649756432246999</v>
      </c>
      <c r="BC44" s="715">
        <f t="shared" ca="1" si="41"/>
        <v>0.24306220095693781</v>
      </c>
      <c r="BD44" s="715">
        <f t="shared" ca="1" si="41"/>
        <v>0.23690909090909096</v>
      </c>
      <c r="BE44" s="715">
        <f t="shared" ca="1" si="41"/>
        <v>0.25168484848484851</v>
      </c>
      <c r="BF44" s="715">
        <f t="shared" ca="1" si="41"/>
        <v>0.28026424242424242</v>
      </c>
      <c r="BG44" s="715">
        <f t="shared" ca="1" si="41"/>
        <v>0.30463224242424247</v>
      </c>
      <c r="BH44" s="715">
        <f t="shared" ca="1" si="41"/>
        <v>0.30229068038879359</v>
      </c>
      <c r="BI44" s="715">
        <f t="shared" ca="1" si="41"/>
        <v>0.30766570972886764</v>
      </c>
      <c r="BJ44" s="715">
        <f t="shared" ca="1" si="41"/>
        <v>0.30655757575757581</v>
      </c>
      <c r="BK44" s="1127">
        <f t="shared" ca="1" si="41"/>
        <v>0.23844516226415094</v>
      </c>
      <c r="BL44" s="715">
        <f t="shared" ca="1" si="41"/>
        <v>0.25898807017543857</v>
      </c>
      <c r="BM44" s="715">
        <f t="shared" ca="1" si="41"/>
        <v>0.25203866666666669</v>
      </c>
      <c r="BN44" s="715">
        <f t="shared" ref="BN44:CS44" ca="1" si="42">BN43/BN51</f>
        <v>0.25379200000000002</v>
      </c>
      <c r="BO44" s="715">
        <f t="shared" ca="1" si="42"/>
        <v>0.28148080000000003</v>
      </c>
      <c r="BP44" s="715">
        <f t="shared" ca="1" si="42"/>
        <v>0.29181250370370371</v>
      </c>
      <c r="BQ44" s="715">
        <f t="shared" ca="1" si="42"/>
        <v>0.34706928301886791</v>
      </c>
      <c r="BR44" s="715">
        <f t="shared" ca="1" si="42"/>
        <v>0.34373473684210526</v>
      </c>
      <c r="BS44" s="835">
        <f t="shared" ca="1" si="42"/>
        <v>0.34303919999999999</v>
      </c>
      <c r="BT44" s="1127">
        <f t="shared" ca="1" si="42"/>
        <v>0.25513364186543253</v>
      </c>
      <c r="BU44" s="715">
        <f t="shared" ca="1" si="42"/>
        <v>0.26641068079002539</v>
      </c>
      <c r="BV44" s="715">
        <f t="shared" ca="1" si="42"/>
        <v>0.25909014675052411</v>
      </c>
      <c r="BW44" s="715">
        <f t="shared" ca="1" si="42"/>
        <v>0.25922012578616355</v>
      </c>
      <c r="BX44" s="715">
        <f t="shared" ca="1" si="42"/>
        <v>0.28765143256464015</v>
      </c>
      <c r="BY44" s="715">
        <f t="shared" ca="1" si="42"/>
        <v>0.29678645857597641</v>
      </c>
      <c r="BZ44" s="715">
        <f t="shared" ca="1" si="42"/>
        <v>0.36888955974842769</v>
      </c>
      <c r="CA44" s="845">
        <f t="shared" si="42"/>
        <v>0</v>
      </c>
      <c r="CB44" s="845">
        <f t="shared" si="42"/>
        <v>0</v>
      </c>
      <c r="CC44" s="715">
        <f t="shared" ca="1" si="42"/>
        <v>0.26129016881827216</v>
      </c>
      <c r="CD44" s="715">
        <f t="shared" ca="1" si="42"/>
        <v>0.27286241920590948</v>
      </c>
      <c r="CE44" s="715">
        <f t="shared" ca="1" si="42"/>
        <v>0.26521929824561402</v>
      </c>
      <c r="CF44" s="715">
        <f t="shared" ca="1" si="42"/>
        <v>0.26902631578947372</v>
      </c>
      <c r="CG44" s="715">
        <f t="shared" ca="1" si="42"/>
        <v>0.29307982456140352</v>
      </c>
      <c r="CH44" s="715">
        <f t="shared" ca="1" si="42"/>
        <v>0.31030097465886941</v>
      </c>
      <c r="CI44" s="715">
        <f t="shared" ca="1" si="42"/>
        <v>0.37475263157894739</v>
      </c>
      <c r="CJ44" s="845">
        <f t="shared" si="42"/>
        <v>0</v>
      </c>
      <c r="CK44" s="845">
        <f t="shared" si="42"/>
        <v>0</v>
      </c>
      <c r="CL44" s="715">
        <f t="shared" ca="1" si="42"/>
        <v>0.26234037735849058</v>
      </c>
      <c r="CM44" s="715">
        <f t="shared" ca="1" si="42"/>
        <v>0.2733245614035088</v>
      </c>
      <c r="CN44" s="715">
        <f t="shared" ca="1" si="42"/>
        <v>0.26565833333333333</v>
      </c>
      <c r="CO44" s="715">
        <f t="shared" ca="1" si="42"/>
        <v>0.26937500000000003</v>
      </c>
      <c r="CP44" s="715">
        <f t="shared" ca="1" si="42"/>
        <v>0.29326249999999998</v>
      </c>
      <c r="CQ44" s="715">
        <f t="shared" ca="1" si="42"/>
        <v>0.31023333333333336</v>
      </c>
      <c r="CR44" s="715">
        <f t="shared" ca="1" si="42"/>
        <v>0.374311</v>
      </c>
      <c r="CS44" s="845">
        <f t="shared" si="42"/>
        <v>0</v>
      </c>
      <c r="CT44" s="845">
        <f t="shared" ref="CT44" si="43">CT43/CT51</f>
        <v>0</v>
      </c>
    </row>
    <row r="45" spans="1:98">
      <c r="A45" s="1071"/>
      <c r="B45" s="716"/>
      <c r="C45" s="716"/>
      <c r="D45" s="716"/>
      <c r="E45" s="716"/>
      <c r="F45" s="716"/>
      <c r="G45" s="716"/>
      <c r="H45" s="716"/>
      <c r="I45" s="885"/>
      <c r="J45" s="716"/>
      <c r="K45" s="716"/>
      <c r="L45" s="716"/>
      <c r="M45" s="716"/>
      <c r="N45" s="716"/>
      <c r="O45" s="716"/>
      <c r="P45" s="716"/>
      <c r="Q45" s="716"/>
      <c r="R45" s="1128"/>
      <c r="S45" s="716"/>
      <c r="T45" s="716"/>
      <c r="U45" s="716"/>
      <c r="V45" s="716"/>
      <c r="W45" s="716"/>
      <c r="X45" s="716"/>
      <c r="Y45" s="716"/>
      <c r="Z45" s="716"/>
      <c r="AA45" s="1128"/>
      <c r="AB45" s="716"/>
      <c r="AC45" s="716"/>
      <c r="AD45" s="716"/>
      <c r="AE45" s="716"/>
      <c r="AF45" s="716"/>
      <c r="AG45" s="716"/>
      <c r="AH45" s="716"/>
      <c r="AI45" s="716"/>
      <c r="AJ45" s="1128"/>
      <c r="AK45" s="716"/>
      <c r="AL45" s="716"/>
      <c r="AM45" s="716"/>
      <c r="AN45" s="716"/>
      <c r="AO45" s="716"/>
      <c r="AP45" s="716"/>
      <c r="AQ45" s="716"/>
      <c r="AR45" s="716"/>
      <c r="AS45" s="1128"/>
      <c r="AT45" s="716"/>
      <c r="AU45" s="716"/>
      <c r="AV45" s="716"/>
      <c r="AW45" s="716"/>
      <c r="AX45" s="716"/>
      <c r="AY45" s="716"/>
      <c r="AZ45" s="716"/>
      <c r="BA45" s="716"/>
      <c r="BB45" s="1128"/>
      <c r="BC45" s="716"/>
      <c r="BD45" s="716"/>
      <c r="BE45" s="716"/>
      <c r="BF45" s="716"/>
      <c r="BG45" s="716"/>
      <c r="BH45" s="716"/>
      <c r="BI45" s="716"/>
      <c r="BJ45" s="716"/>
      <c r="BK45" s="1128"/>
      <c r="BL45" s="716"/>
      <c r="BM45" s="716"/>
      <c r="BN45" s="716"/>
      <c r="BO45" s="716"/>
      <c r="BP45" s="716"/>
      <c r="BQ45" s="716"/>
      <c r="BR45" s="716"/>
      <c r="BS45" s="716"/>
      <c r="BT45" s="1128"/>
      <c r="BU45" s="716"/>
      <c r="BV45" s="716"/>
      <c r="BW45" s="716"/>
      <c r="BX45" s="716"/>
      <c r="BY45" s="716"/>
      <c r="BZ45" s="716"/>
      <c r="CA45" s="716"/>
      <c r="CB45" s="716"/>
      <c r="CC45" s="716"/>
      <c r="CD45" s="716"/>
      <c r="CE45" s="716"/>
      <c r="CF45" s="716"/>
      <c r="CG45" s="716"/>
      <c r="CH45" s="716"/>
      <c r="CI45" s="716"/>
      <c r="CJ45" s="716"/>
      <c r="CK45" s="716"/>
      <c r="CL45" s="716"/>
      <c r="CM45" s="716"/>
      <c r="CN45" s="716"/>
      <c r="CO45" s="716"/>
      <c r="CP45" s="716"/>
      <c r="CQ45" s="716"/>
      <c r="CR45" s="716"/>
      <c r="CS45" s="716"/>
      <c r="CT45" s="1075"/>
    </row>
    <row r="46" spans="1:98" ht="14.25" customHeight="1">
      <c r="A46" s="1076" t="s">
        <v>1160</v>
      </c>
      <c r="H46" s="887"/>
      <c r="R46" s="1125"/>
      <c r="AA46" s="1125"/>
      <c r="AJ46" s="1125"/>
      <c r="AS46" s="1125"/>
      <c r="BB46" s="1125"/>
      <c r="BK46" s="1125"/>
      <c r="BT46" s="1125"/>
      <c r="CT46" s="1073"/>
    </row>
    <row r="47" spans="1:98" ht="14.25" customHeight="1">
      <c r="A47" s="707" t="s">
        <v>1324</v>
      </c>
      <c r="B47" s="709">
        <f t="shared" ref="B47:AG47" si="44">(B28-1)*(B30-1)*$B$5*0.75</f>
        <v>255</v>
      </c>
      <c r="C47" s="709">
        <f t="shared" si="44"/>
        <v>180</v>
      </c>
      <c r="D47" s="709">
        <f t="shared" si="44"/>
        <v>157.5</v>
      </c>
      <c r="E47" s="709">
        <f t="shared" si="44"/>
        <v>146.25</v>
      </c>
      <c r="F47" s="709">
        <f t="shared" si="44"/>
        <v>82.5</v>
      </c>
      <c r="G47" s="709">
        <f t="shared" si="44"/>
        <v>75</v>
      </c>
      <c r="H47" s="872">
        <f t="shared" si="44"/>
        <v>33.75</v>
      </c>
      <c r="I47" s="886">
        <f t="shared" si="44"/>
        <v>191.25</v>
      </c>
      <c r="J47" s="709">
        <f t="shared" si="44"/>
        <v>191.25</v>
      </c>
      <c r="K47" s="709">
        <f t="shared" si="44"/>
        <v>191.25</v>
      </c>
      <c r="L47" s="709">
        <f t="shared" si="44"/>
        <v>127.5</v>
      </c>
      <c r="M47" s="709">
        <f t="shared" si="44"/>
        <v>127.5</v>
      </c>
      <c r="N47" s="709">
        <f t="shared" si="44"/>
        <v>63.75</v>
      </c>
      <c r="O47" s="709">
        <f t="shared" si="44"/>
        <v>63.75</v>
      </c>
      <c r="P47" s="709">
        <f t="shared" si="44"/>
        <v>63.75</v>
      </c>
      <c r="Q47" s="709">
        <f t="shared" si="44"/>
        <v>63.75</v>
      </c>
      <c r="R47" s="1121">
        <f t="shared" si="44"/>
        <v>240</v>
      </c>
      <c r="S47" s="709">
        <f t="shared" si="44"/>
        <v>180</v>
      </c>
      <c r="T47" s="709">
        <f t="shared" si="44"/>
        <v>180</v>
      </c>
      <c r="U47" s="709">
        <f t="shared" si="44"/>
        <v>120</v>
      </c>
      <c r="V47" s="709">
        <f t="shared" si="44"/>
        <v>120</v>
      </c>
      <c r="W47" s="709">
        <f t="shared" si="44"/>
        <v>60</v>
      </c>
      <c r="X47" s="709">
        <f t="shared" si="44"/>
        <v>60</v>
      </c>
      <c r="Y47" s="709">
        <f t="shared" si="44"/>
        <v>60</v>
      </c>
      <c r="Z47" s="709">
        <f t="shared" si="44"/>
        <v>60</v>
      </c>
      <c r="AA47" s="1121">
        <f t="shared" si="44"/>
        <v>225</v>
      </c>
      <c r="AB47" s="709">
        <f t="shared" si="44"/>
        <v>168.75</v>
      </c>
      <c r="AC47" s="709">
        <f t="shared" si="44"/>
        <v>168.75</v>
      </c>
      <c r="AD47" s="709">
        <f t="shared" si="44"/>
        <v>112.5</v>
      </c>
      <c r="AE47" s="709">
        <f t="shared" si="44"/>
        <v>112.5</v>
      </c>
      <c r="AF47" s="709">
        <f t="shared" si="44"/>
        <v>56.25</v>
      </c>
      <c r="AG47" s="709">
        <f t="shared" si="44"/>
        <v>56.25</v>
      </c>
      <c r="AH47" s="709">
        <f t="shared" ref="AH47:BM47" si="45">(AH28-1)*(AH30-1)*$B$5*0.75</f>
        <v>56.25</v>
      </c>
      <c r="AI47" s="709">
        <f t="shared" si="45"/>
        <v>56.25</v>
      </c>
      <c r="AJ47" s="1121">
        <f t="shared" si="45"/>
        <v>195</v>
      </c>
      <c r="AK47" s="709">
        <f t="shared" si="45"/>
        <v>146.25</v>
      </c>
      <c r="AL47" s="709">
        <f t="shared" si="45"/>
        <v>146.25</v>
      </c>
      <c r="AM47" s="709">
        <f t="shared" si="45"/>
        <v>97.5</v>
      </c>
      <c r="AN47" s="709">
        <f t="shared" si="45"/>
        <v>97.5</v>
      </c>
      <c r="AO47" s="709">
        <f t="shared" si="45"/>
        <v>48.75</v>
      </c>
      <c r="AP47" s="709">
        <f t="shared" si="45"/>
        <v>48.75</v>
      </c>
      <c r="AQ47" s="709">
        <f t="shared" si="45"/>
        <v>48.75</v>
      </c>
      <c r="AR47" s="709">
        <f t="shared" si="45"/>
        <v>48.75</v>
      </c>
      <c r="AS47" s="1121">
        <f t="shared" si="45"/>
        <v>165</v>
      </c>
      <c r="AT47" s="709">
        <f t="shared" si="45"/>
        <v>123.75</v>
      </c>
      <c r="AU47" s="709">
        <f t="shared" si="45"/>
        <v>123.75</v>
      </c>
      <c r="AV47" s="709">
        <f t="shared" si="45"/>
        <v>123.75</v>
      </c>
      <c r="AW47" s="709">
        <f t="shared" si="45"/>
        <v>82.5</v>
      </c>
      <c r="AX47" s="709">
        <f t="shared" si="45"/>
        <v>41.25</v>
      </c>
      <c r="AY47" s="709">
        <f t="shared" si="45"/>
        <v>41.25</v>
      </c>
      <c r="AZ47" s="709">
        <f t="shared" si="45"/>
        <v>41.25</v>
      </c>
      <c r="BA47" s="709">
        <f t="shared" si="45"/>
        <v>41.25</v>
      </c>
      <c r="BB47" s="1121">
        <f t="shared" si="45"/>
        <v>150</v>
      </c>
      <c r="BC47" s="709">
        <f t="shared" si="45"/>
        <v>112.5</v>
      </c>
      <c r="BD47" s="709">
        <f t="shared" si="45"/>
        <v>112.5</v>
      </c>
      <c r="BE47" s="709">
        <f t="shared" si="45"/>
        <v>112.5</v>
      </c>
      <c r="BF47" s="709">
        <f t="shared" si="45"/>
        <v>75</v>
      </c>
      <c r="BG47" s="709">
        <f t="shared" si="45"/>
        <v>37.5</v>
      </c>
      <c r="BH47" s="709">
        <f t="shared" si="45"/>
        <v>37.5</v>
      </c>
      <c r="BI47" s="709">
        <f t="shared" si="45"/>
        <v>37.5</v>
      </c>
      <c r="BJ47" s="709">
        <f t="shared" si="45"/>
        <v>37.5</v>
      </c>
      <c r="BK47" s="1121">
        <f t="shared" si="45"/>
        <v>135</v>
      </c>
      <c r="BL47" s="709">
        <f t="shared" si="45"/>
        <v>101.25</v>
      </c>
      <c r="BM47" s="709">
        <f t="shared" si="45"/>
        <v>101.25</v>
      </c>
      <c r="BN47" s="709">
        <f t="shared" ref="BN47:CT47" si="46">(BN28-1)*(BN30-1)*$B$5*0.75</f>
        <v>101.25</v>
      </c>
      <c r="BO47" s="709">
        <f t="shared" si="46"/>
        <v>67.5</v>
      </c>
      <c r="BP47" s="709">
        <f t="shared" si="46"/>
        <v>67.5</v>
      </c>
      <c r="BQ47" s="709">
        <f t="shared" si="46"/>
        <v>33.75</v>
      </c>
      <c r="BR47" s="709">
        <f t="shared" si="46"/>
        <v>33.75</v>
      </c>
      <c r="BS47" s="831">
        <f t="shared" si="46"/>
        <v>33.75</v>
      </c>
      <c r="BT47" s="1121">
        <f t="shared" si="46"/>
        <v>120</v>
      </c>
      <c r="BU47" s="709">
        <f t="shared" si="46"/>
        <v>90</v>
      </c>
      <c r="BV47" s="709">
        <f t="shared" si="46"/>
        <v>90</v>
      </c>
      <c r="BW47" s="709">
        <f t="shared" si="46"/>
        <v>90</v>
      </c>
      <c r="BX47" s="709">
        <f t="shared" si="46"/>
        <v>60</v>
      </c>
      <c r="BY47" s="709">
        <f t="shared" si="46"/>
        <v>60</v>
      </c>
      <c r="BZ47" s="709">
        <f t="shared" si="46"/>
        <v>30</v>
      </c>
      <c r="CA47" s="707">
        <f t="shared" si="46"/>
        <v>30</v>
      </c>
      <c r="CB47" s="707">
        <f t="shared" si="46"/>
        <v>30</v>
      </c>
      <c r="CC47" s="709">
        <f t="shared" si="46"/>
        <v>105</v>
      </c>
      <c r="CD47" s="709">
        <f t="shared" si="46"/>
        <v>78.75</v>
      </c>
      <c r="CE47" s="709">
        <f t="shared" si="46"/>
        <v>78.75</v>
      </c>
      <c r="CF47" s="709">
        <f t="shared" si="46"/>
        <v>78.75</v>
      </c>
      <c r="CG47" s="709">
        <f t="shared" si="46"/>
        <v>52.5</v>
      </c>
      <c r="CH47" s="709">
        <f t="shared" si="46"/>
        <v>52.5</v>
      </c>
      <c r="CI47" s="709">
        <f t="shared" si="46"/>
        <v>26.25</v>
      </c>
      <c r="CJ47" s="707">
        <f t="shared" si="46"/>
        <v>26.25</v>
      </c>
      <c r="CK47" s="707">
        <f t="shared" si="46"/>
        <v>26.25</v>
      </c>
      <c r="CL47" s="709">
        <f t="shared" si="46"/>
        <v>105</v>
      </c>
      <c r="CM47" s="709">
        <f t="shared" si="46"/>
        <v>78.75</v>
      </c>
      <c r="CN47" s="709">
        <f t="shared" si="46"/>
        <v>78.75</v>
      </c>
      <c r="CO47" s="709">
        <f t="shared" si="46"/>
        <v>78.75</v>
      </c>
      <c r="CP47" s="709">
        <f t="shared" si="46"/>
        <v>52.5</v>
      </c>
      <c r="CQ47" s="709">
        <f t="shared" si="46"/>
        <v>52.5</v>
      </c>
      <c r="CR47" s="709">
        <f t="shared" si="46"/>
        <v>26.25</v>
      </c>
      <c r="CS47" s="707">
        <f t="shared" si="46"/>
        <v>26.25</v>
      </c>
      <c r="CT47" s="707">
        <f t="shared" si="46"/>
        <v>26.25</v>
      </c>
    </row>
    <row r="48" spans="1:98" ht="14.25" customHeight="1">
      <c r="A48" s="707" t="s">
        <v>1325</v>
      </c>
      <c r="B48" s="709">
        <f t="shared" ref="B48:H48" si="47">B47*B26*$B$6</f>
        <v>1621.8</v>
      </c>
      <c r="C48" s="709">
        <f t="shared" si="47"/>
        <v>1231.2</v>
      </c>
      <c r="D48" s="709">
        <f t="shared" si="47"/>
        <v>1134</v>
      </c>
      <c r="E48" s="709">
        <f t="shared" si="47"/>
        <v>1228.5</v>
      </c>
      <c r="F48" s="709">
        <f t="shared" si="47"/>
        <v>792</v>
      </c>
      <c r="G48" s="709">
        <f t="shared" si="47"/>
        <v>810</v>
      </c>
      <c r="H48" s="872">
        <f t="shared" si="47"/>
        <v>405</v>
      </c>
      <c r="R48" s="1125"/>
      <c r="AA48" s="1125"/>
      <c r="AJ48" s="1125"/>
      <c r="AS48" s="1125"/>
      <c r="BB48" s="1125"/>
      <c r="BK48" s="1125"/>
      <c r="BT48" s="1125"/>
      <c r="CT48" s="1073"/>
    </row>
    <row r="49" spans="1:99">
      <c r="A49" s="870"/>
      <c r="I49" s="840"/>
      <c r="R49" s="1125"/>
      <c r="AA49" s="1125"/>
      <c r="AJ49" s="1125"/>
      <c r="AS49" s="1125"/>
      <c r="BB49" s="1125"/>
      <c r="BK49" s="1125"/>
      <c r="BT49" s="1125"/>
      <c r="CT49" s="1073"/>
    </row>
    <row r="50" spans="1:99">
      <c r="A50" s="1074" t="s">
        <v>1285</v>
      </c>
      <c r="I50" s="840"/>
      <c r="R50" s="1125"/>
      <c r="AA50" s="1125"/>
      <c r="AJ50" s="1125"/>
      <c r="AS50" s="1125"/>
      <c r="BB50" s="1125"/>
      <c r="BK50" s="1125"/>
      <c r="BT50" s="1125"/>
      <c r="CT50" s="1073"/>
    </row>
    <row r="51" spans="1:99">
      <c r="A51" s="710" t="s">
        <v>1628</v>
      </c>
      <c r="B51" s="709">
        <f t="shared" ref="B51:AG51" si="48">$B$5*B26*B27*B28*B30</f>
        <v>3160.125</v>
      </c>
      <c r="C51" s="709">
        <f t="shared" si="48"/>
        <v>2761.65</v>
      </c>
      <c r="D51" s="709">
        <f t="shared" si="48"/>
        <v>2700</v>
      </c>
      <c r="E51" s="709">
        <f t="shared" si="48"/>
        <v>3430</v>
      </c>
      <c r="F51" s="709">
        <f t="shared" si="48"/>
        <v>2880</v>
      </c>
      <c r="G51" s="709">
        <f t="shared" si="48"/>
        <v>3341.25</v>
      </c>
      <c r="H51" s="831">
        <f t="shared" si="48"/>
        <v>2500</v>
      </c>
      <c r="I51" s="838">
        <f t="shared" si="48"/>
        <v>2718.9</v>
      </c>
      <c r="J51" s="709">
        <f t="shared" si="48"/>
        <v>2862</v>
      </c>
      <c r="K51" s="709">
        <f t="shared" si="48"/>
        <v>3339</v>
      </c>
      <c r="L51" s="709">
        <f t="shared" si="48"/>
        <v>2862</v>
      </c>
      <c r="M51" s="709">
        <f t="shared" si="48"/>
        <v>3219.75</v>
      </c>
      <c r="N51" s="709">
        <f t="shared" si="48"/>
        <v>2385</v>
      </c>
      <c r="O51" s="709">
        <f t="shared" si="48"/>
        <v>2528.1</v>
      </c>
      <c r="P51" s="709">
        <f t="shared" si="48"/>
        <v>2718.9</v>
      </c>
      <c r="Q51" s="709">
        <f t="shared" si="48"/>
        <v>2862</v>
      </c>
      <c r="R51" s="1121">
        <f t="shared" si="48"/>
        <v>3209.8125</v>
      </c>
      <c r="S51" s="709">
        <f t="shared" si="48"/>
        <v>2907</v>
      </c>
      <c r="T51" s="709">
        <f t="shared" si="48"/>
        <v>3391.5</v>
      </c>
      <c r="U51" s="709">
        <f t="shared" si="48"/>
        <v>2907</v>
      </c>
      <c r="V51" s="709">
        <f t="shared" si="48"/>
        <v>3270.375</v>
      </c>
      <c r="W51" s="709">
        <f t="shared" si="48"/>
        <v>2422.5</v>
      </c>
      <c r="X51" s="709">
        <f t="shared" si="48"/>
        <v>2567.85</v>
      </c>
      <c r="Y51" s="709">
        <f t="shared" si="48"/>
        <v>2761.65</v>
      </c>
      <c r="Z51" s="709">
        <f t="shared" si="48"/>
        <v>2907</v>
      </c>
      <c r="AA51" s="1121">
        <f t="shared" si="48"/>
        <v>3180</v>
      </c>
      <c r="AB51" s="709">
        <f t="shared" si="48"/>
        <v>2736</v>
      </c>
      <c r="AC51" s="709">
        <f t="shared" si="48"/>
        <v>3360</v>
      </c>
      <c r="AD51" s="709">
        <f t="shared" si="48"/>
        <v>2880</v>
      </c>
      <c r="AE51" s="709">
        <f t="shared" si="48"/>
        <v>3240</v>
      </c>
      <c r="AF51" s="709">
        <f t="shared" si="48"/>
        <v>2400</v>
      </c>
      <c r="AG51" s="709">
        <f t="shared" si="48"/>
        <v>2544</v>
      </c>
      <c r="AH51" s="709">
        <f t="shared" ref="AH51:BM51" si="49">$B$5*AH26*AH27*AH28*AH30</f>
        <v>2736</v>
      </c>
      <c r="AI51" s="709">
        <f t="shared" si="49"/>
        <v>2880</v>
      </c>
      <c r="AJ51" s="1121">
        <f t="shared" si="49"/>
        <v>3246.25</v>
      </c>
      <c r="AK51" s="709">
        <f t="shared" si="49"/>
        <v>2793</v>
      </c>
      <c r="AL51" s="709">
        <f t="shared" si="49"/>
        <v>2940</v>
      </c>
      <c r="AM51" s="709">
        <f t="shared" si="49"/>
        <v>2940</v>
      </c>
      <c r="AN51" s="709">
        <f t="shared" si="49"/>
        <v>3307.5</v>
      </c>
      <c r="AO51" s="709">
        <f t="shared" si="49"/>
        <v>2450</v>
      </c>
      <c r="AP51" s="709">
        <f t="shared" si="49"/>
        <v>2597</v>
      </c>
      <c r="AQ51" s="709">
        <f t="shared" si="49"/>
        <v>2793</v>
      </c>
      <c r="AR51" s="709">
        <f t="shared" si="49"/>
        <v>2940</v>
      </c>
      <c r="AS51" s="1121">
        <f t="shared" si="49"/>
        <v>3180</v>
      </c>
      <c r="AT51" s="709">
        <f t="shared" si="49"/>
        <v>2736</v>
      </c>
      <c r="AU51" s="709">
        <f t="shared" si="49"/>
        <v>2880</v>
      </c>
      <c r="AV51" s="709">
        <f t="shared" si="49"/>
        <v>3360</v>
      </c>
      <c r="AW51" s="709">
        <f t="shared" si="49"/>
        <v>3240</v>
      </c>
      <c r="AX51" s="709">
        <f t="shared" si="49"/>
        <v>2400</v>
      </c>
      <c r="AY51" s="709">
        <f t="shared" si="49"/>
        <v>2544</v>
      </c>
      <c r="AZ51" s="709">
        <f t="shared" si="49"/>
        <v>2736</v>
      </c>
      <c r="BA51" s="709">
        <f t="shared" si="49"/>
        <v>2880</v>
      </c>
      <c r="BB51" s="1121">
        <f t="shared" si="49"/>
        <v>3279.375</v>
      </c>
      <c r="BC51" s="709">
        <f t="shared" si="49"/>
        <v>2821.5</v>
      </c>
      <c r="BD51" s="709">
        <f t="shared" si="49"/>
        <v>2970</v>
      </c>
      <c r="BE51" s="709">
        <f t="shared" si="49"/>
        <v>3465</v>
      </c>
      <c r="BF51" s="709">
        <f t="shared" si="49"/>
        <v>2970</v>
      </c>
      <c r="BG51" s="709">
        <f t="shared" si="49"/>
        <v>2475</v>
      </c>
      <c r="BH51" s="709">
        <f t="shared" si="49"/>
        <v>2623.5</v>
      </c>
      <c r="BI51" s="709">
        <f t="shared" si="49"/>
        <v>2821.5</v>
      </c>
      <c r="BJ51" s="709">
        <f t="shared" si="49"/>
        <v>2970</v>
      </c>
      <c r="BK51" s="1121">
        <f t="shared" si="49"/>
        <v>3312.5</v>
      </c>
      <c r="BL51" s="709">
        <f t="shared" si="49"/>
        <v>2850</v>
      </c>
      <c r="BM51" s="709">
        <f t="shared" si="49"/>
        <v>3000</v>
      </c>
      <c r="BN51" s="709">
        <f t="shared" ref="BN51:CT51" si="50">$B$5*BN26*BN27*BN28*BN30</f>
        <v>3500</v>
      </c>
      <c r="BO51" s="709">
        <f t="shared" si="50"/>
        <v>3000</v>
      </c>
      <c r="BP51" s="709">
        <f t="shared" si="50"/>
        <v>3375</v>
      </c>
      <c r="BQ51" s="709">
        <f t="shared" si="50"/>
        <v>2650</v>
      </c>
      <c r="BR51" s="709">
        <f t="shared" si="50"/>
        <v>2850</v>
      </c>
      <c r="BS51" s="831">
        <f t="shared" si="50"/>
        <v>3000</v>
      </c>
      <c r="BT51" s="1121">
        <f t="shared" si="50"/>
        <v>3160.125</v>
      </c>
      <c r="BU51" s="709">
        <f t="shared" si="50"/>
        <v>2718.9</v>
      </c>
      <c r="BV51" s="709">
        <f t="shared" si="50"/>
        <v>2862</v>
      </c>
      <c r="BW51" s="709">
        <f t="shared" si="50"/>
        <v>3339</v>
      </c>
      <c r="BX51" s="709">
        <f t="shared" si="50"/>
        <v>2862</v>
      </c>
      <c r="BY51" s="709">
        <f t="shared" si="50"/>
        <v>3219.75</v>
      </c>
      <c r="BZ51" s="709">
        <f t="shared" si="50"/>
        <v>2385</v>
      </c>
      <c r="CA51" s="707">
        <f t="shared" si="50"/>
        <v>2718.9</v>
      </c>
      <c r="CB51" s="707">
        <f t="shared" si="50"/>
        <v>2862</v>
      </c>
      <c r="CC51" s="709">
        <f t="shared" si="50"/>
        <v>3020.9999999999995</v>
      </c>
      <c r="CD51" s="709">
        <f t="shared" si="50"/>
        <v>2599.2000000000003</v>
      </c>
      <c r="CE51" s="709">
        <f t="shared" si="50"/>
        <v>2736</v>
      </c>
      <c r="CF51" s="709">
        <f t="shared" si="50"/>
        <v>3192</v>
      </c>
      <c r="CG51" s="709">
        <f t="shared" si="50"/>
        <v>2736</v>
      </c>
      <c r="CH51" s="709">
        <f t="shared" si="50"/>
        <v>3078</v>
      </c>
      <c r="CI51" s="709">
        <f t="shared" si="50"/>
        <v>2280</v>
      </c>
      <c r="CJ51" s="707">
        <f t="shared" si="50"/>
        <v>2416.7999999999997</v>
      </c>
      <c r="CK51" s="707">
        <f t="shared" si="50"/>
        <v>2736</v>
      </c>
      <c r="CL51" s="709">
        <f t="shared" si="50"/>
        <v>3180</v>
      </c>
      <c r="CM51" s="709">
        <f t="shared" si="50"/>
        <v>2736</v>
      </c>
      <c r="CN51" s="709">
        <f t="shared" si="50"/>
        <v>2880</v>
      </c>
      <c r="CO51" s="709">
        <f t="shared" si="50"/>
        <v>3360</v>
      </c>
      <c r="CP51" s="709">
        <f t="shared" si="50"/>
        <v>2880</v>
      </c>
      <c r="CQ51" s="709">
        <f t="shared" si="50"/>
        <v>3240</v>
      </c>
      <c r="CR51" s="709">
        <f t="shared" si="50"/>
        <v>2400</v>
      </c>
      <c r="CS51" s="707">
        <f t="shared" si="50"/>
        <v>2544</v>
      </c>
      <c r="CT51" s="707">
        <f t="shared" si="50"/>
        <v>2736</v>
      </c>
    </row>
    <row r="52" spans="1:99">
      <c r="A52" s="710" t="s">
        <v>1287</v>
      </c>
      <c r="B52" s="709">
        <f t="shared" ref="B52:AG52" ca="1" si="51">((0.75*((B28-1)*$F$4*$X$20/1000+(B30-1)*$F$3*$X$20/1000))+(2*$F$3*$X$20/1000+2*$F$4*$X$20/1000))*$B$5</f>
        <v>617.59999999999991</v>
      </c>
      <c r="C52" s="709">
        <f t="shared" ca="1" si="51"/>
        <v>548.36</v>
      </c>
      <c r="D52" s="709">
        <f t="shared" ca="1" si="51"/>
        <v>524.36</v>
      </c>
      <c r="E52" s="709">
        <f t="shared" ca="1" si="51"/>
        <v>512.36</v>
      </c>
      <c r="F52" s="709">
        <f t="shared" ca="1" si="51"/>
        <v>431.11999999999995</v>
      </c>
      <c r="G52" s="709">
        <f t="shared" ca="1" si="51"/>
        <v>419.11999999999989</v>
      </c>
      <c r="H52" s="709">
        <f t="shared" ca="1" si="51"/>
        <v>349.88</v>
      </c>
      <c r="I52" s="709">
        <f t="shared" ca="1" si="51"/>
        <v>560.36</v>
      </c>
      <c r="J52" s="709">
        <f t="shared" ca="1" si="51"/>
        <v>560.36</v>
      </c>
      <c r="K52" s="709">
        <f t="shared" ca="1" si="51"/>
        <v>560.36</v>
      </c>
      <c r="L52" s="709">
        <f t="shared" ca="1" si="51"/>
        <v>503.12</v>
      </c>
      <c r="M52" s="709">
        <f t="shared" ca="1" si="51"/>
        <v>503.12</v>
      </c>
      <c r="N52" s="709">
        <f t="shared" ca="1" si="51"/>
        <v>445.88</v>
      </c>
      <c r="O52" s="709">
        <f t="shared" ca="1" si="51"/>
        <v>445.88</v>
      </c>
      <c r="P52" s="709">
        <f t="shared" ca="1" si="51"/>
        <v>445.88</v>
      </c>
      <c r="Q52" s="709">
        <f t="shared" ca="1" si="51"/>
        <v>445.88</v>
      </c>
      <c r="R52" s="1121">
        <f t="shared" ca="1" si="51"/>
        <v>605.6</v>
      </c>
      <c r="S52" s="709">
        <f t="shared" ca="1" si="51"/>
        <v>548.36</v>
      </c>
      <c r="T52" s="709">
        <f t="shared" ca="1" si="51"/>
        <v>548.36</v>
      </c>
      <c r="U52" s="709">
        <f t="shared" ca="1" si="51"/>
        <v>491.11999999999995</v>
      </c>
      <c r="V52" s="709">
        <f t="shared" ca="1" si="51"/>
        <v>491.11999999999995</v>
      </c>
      <c r="W52" s="709">
        <f t="shared" ca="1" si="51"/>
        <v>433.88</v>
      </c>
      <c r="X52" s="709">
        <f t="shared" ca="1" si="51"/>
        <v>433.88</v>
      </c>
      <c r="Y52" s="709">
        <f t="shared" ca="1" si="51"/>
        <v>433.88</v>
      </c>
      <c r="Z52" s="709">
        <f t="shared" ca="1" si="51"/>
        <v>433.88</v>
      </c>
      <c r="AA52" s="1121">
        <f t="shared" ca="1" si="51"/>
        <v>593.59999999999991</v>
      </c>
      <c r="AB52" s="709">
        <f t="shared" ca="1" si="51"/>
        <v>536.3599999999999</v>
      </c>
      <c r="AC52" s="709">
        <f t="shared" ca="1" si="51"/>
        <v>536.3599999999999</v>
      </c>
      <c r="AD52" s="709">
        <f t="shared" ca="1" si="51"/>
        <v>479.11999999999989</v>
      </c>
      <c r="AE52" s="709">
        <f t="shared" ca="1" si="51"/>
        <v>479.11999999999989</v>
      </c>
      <c r="AF52" s="709">
        <f t="shared" ca="1" si="51"/>
        <v>421.87999999999994</v>
      </c>
      <c r="AG52" s="709">
        <f t="shared" ca="1" si="51"/>
        <v>421.87999999999994</v>
      </c>
      <c r="AH52" s="709">
        <f t="shared" ref="AH52:BM52" ca="1" si="52">((0.75*((AH28-1)*$F$4*$X$20/1000+(AH30-1)*$F$3*$X$20/1000))+(2*$F$3*$X$20/1000+2*$F$4*$X$20/1000))*$B$5</f>
        <v>421.87999999999994</v>
      </c>
      <c r="AI52" s="709">
        <f t="shared" ca="1" si="52"/>
        <v>421.87999999999994</v>
      </c>
      <c r="AJ52" s="1121">
        <f t="shared" ca="1" si="52"/>
        <v>569.59999999999991</v>
      </c>
      <c r="AK52" s="709">
        <f t="shared" ca="1" si="52"/>
        <v>512.36</v>
      </c>
      <c r="AL52" s="709">
        <f t="shared" ca="1" si="52"/>
        <v>512.36</v>
      </c>
      <c r="AM52" s="709">
        <f t="shared" ca="1" si="52"/>
        <v>455.12</v>
      </c>
      <c r="AN52" s="709">
        <f t="shared" ca="1" si="52"/>
        <v>455.12</v>
      </c>
      <c r="AO52" s="709">
        <f t="shared" ca="1" si="52"/>
        <v>397.88</v>
      </c>
      <c r="AP52" s="709">
        <f t="shared" ca="1" si="52"/>
        <v>397.88</v>
      </c>
      <c r="AQ52" s="709">
        <f t="shared" ca="1" si="52"/>
        <v>397.88</v>
      </c>
      <c r="AR52" s="709">
        <f t="shared" ca="1" si="52"/>
        <v>397.88</v>
      </c>
      <c r="AS52" s="1121">
        <f t="shared" ca="1" si="52"/>
        <v>545.6</v>
      </c>
      <c r="AT52" s="709">
        <f t="shared" ca="1" si="52"/>
        <v>488.36</v>
      </c>
      <c r="AU52" s="709">
        <f t="shared" ca="1" si="52"/>
        <v>488.36</v>
      </c>
      <c r="AV52" s="709">
        <f t="shared" ca="1" si="52"/>
        <v>488.36</v>
      </c>
      <c r="AW52" s="709">
        <f t="shared" ca="1" si="52"/>
        <v>431.11999999999995</v>
      </c>
      <c r="AX52" s="709">
        <f t="shared" ca="1" si="52"/>
        <v>373.88</v>
      </c>
      <c r="AY52" s="709">
        <f t="shared" ca="1" si="52"/>
        <v>373.88</v>
      </c>
      <c r="AZ52" s="709">
        <f t="shared" ca="1" si="52"/>
        <v>373.88</v>
      </c>
      <c r="BA52" s="709">
        <f t="shared" ca="1" si="52"/>
        <v>373.88</v>
      </c>
      <c r="BB52" s="1121">
        <f t="shared" ca="1" si="52"/>
        <v>533.59999999999991</v>
      </c>
      <c r="BC52" s="709">
        <f t="shared" ca="1" si="52"/>
        <v>476.35999999999996</v>
      </c>
      <c r="BD52" s="709">
        <f t="shared" ca="1" si="52"/>
        <v>476.35999999999996</v>
      </c>
      <c r="BE52" s="709">
        <f t="shared" ca="1" si="52"/>
        <v>476.35999999999996</v>
      </c>
      <c r="BF52" s="709">
        <f t="shared" ca="1" si="52"/>
        <v>419.11999999999989</v>
      </c>
      <c r="BG52" s="709">
        <f t="shared" ca="1" si="52"/>
        <v>361.87999999999994</v>
      </c>
      <c r="BH52" s="709">
        <f t="shared" ca="1" si="52"/>
        <v>361.87999999999994</v>
      </c>
      <c r="BI52" s="709">
        <f t="shared" ca="1" si="52"/>
        <v>361.87999999999994</v>
      </c>
      <c r="BJ52" s="709">
        <f t="shared" ca="1" si="52"/>
        <v>361.87999999999994</v>
      </c>
      <c r="BK52" s="1121">
        <f t="shared" ca="1" si="52"/>
        <v>521.59999999999991</v>
      </c>
      <c r="BL52" s="709">
        <f t="shared" ca="1" si="52"/>
        <v>464.36</v>
      </c>
      <c r="BM52" s="709">
        <f t="shared" ca="1" si="52"/>
        <v>464.36</v>
      </c>
      <c r="BN52" s="709">
        <f t="shared" ref="BN52:CT52" ca="1" si="53">((0.75*((BN28-1)*$F$4*$X$20/1000+(BN30-1)*$F$3*$X$20/1000))+(2*$F$3*$X$20/1000+2*$F$4*$X$20/1000))*$B$5</f>
        <v>464.36</v>
      </c>
      <c r="BO52" s="709">
        <f t="shared" ca="1" si="53"/>
        <v>407.11999999999995</v>
      </c>
      <c r="BP52" s="709">
        <f t="shared" ca="1" si="53"/>
        <v>407.11999999999995</v>
      </c>
      <c r="BQ52" s="709">
        <f t="shared" ca="1" si="53"/>
        <v>349.88</v>
      </c>
      <c r="BR52" s="709">
        <f t="shared" ca="1" si="53"/>
        <v>349.88</v>
      </c>
      <c r="BS52" s="831">
        <f t="shared" ca="1" si="53"/>
        <v>349.88</v>
      </c>
      <c r="BT52" s="1121">
        <f t="shared" ca="1" si="53"/>
        <v>509.59999999999991</v>
      </c>
      <c r="BU52" s="709">
        <f t="shared" ca="1" si="53"/>
        <v>452.35999999999996</v>
      </c>
      <c r="BV52" s="709">
        <f t="shared" ca="1" si="53"/>
        <v>452.35999999999996</v>
      </c>
      <c r="BW52" s="709">
        <f t="shared" ca="1" si="53"/>
        <v>452.35999999999996</v>
      </c>
      <c r="BX52" s="709">
        <f t="shared" ca="1" si="53"/>
        <v>395.12</v>
      </c>
      <c r="BY52" s="709">
        <f t="shared" ca="1" si="53"/>
        <v>395.12</v>
      </c>
      <c r="BZ52" s="709">
        <f t="shared" ca="1" si="53"/>
        <v>337.88</v>
      </c>
      <c r="CA52" s="707">
        <f t="shared" ca="1" si="53"/>
        <v>337.88</v>
      </c>
      <c r="CB52" s="707">
        <f t="shared" ca="1" si="53"/>
        <v>337.88</v>
      </c>
      <c r="CC52" s="709">
        <f t="shared" ca="1" si="53"/>
        <v>497.59999999999991</v>
      </c>
      <c r="CD52" s="709">
        <f t="shared" ca="1" si="53"/>
        <v>440.36</v>
      </c>
      <c r="CE52" s="709">
        <f t="shared" ca="1" si="53"/>
        <v>440.36</v>
      </c>
      <c r="CF52" s="709">
        <f t="shared" ca="1" si="53"/>
        <v>440.36</v>
      </c>
      <c r="CG52" s="709">
        <f t="shared" ca="1" si="53"/>
        <v>383.12</v>
      </c>
      <c r="CH52" s="709">
        <f t="shared" ca="1" si="53"/>
        <v>383.12</v>
      </c>
      <c r="CI52" s="709">
        <f t="shared" ca="1" si="53"/>
        <v>325.87999999999994</v>
      </c>
      <c r="CJ52" s="707">
        <f t="shared" ca="1" si="53"/>
        <v>325.87999999999994</v>
      </c>
      <c r="CK52" s="707">
        <f t="shared" ca="1" si="53"/>
        <v>325.87999999999994</v>
      </c>
      <c r="CL52" s="709">
        <f t="shared" ca="1" si="53"/>
        <v>497.59999999999991</v>
      </c>
      <c r="CM52" s="709">
        <f t="shared" ca="1" si="53"/>
        <v>440.36</v>
      </c>
      <c r="CN52" s="709">
        <f t="shared" ca="1" si="53"/>
        <v>440.36</v>
      </c>
      <c r="CO52" s="709">
        <f t="shared" ca="1" si="53"/>
        <v>440.36</v>
      </c>
      <c r="CP52" s="709">
        <f t="shared" ca="1" si="53"/>
        <v>383.12</v>
      </c>
      <c r="CQ52" s="709">
        <f t="shared" ca="1" si="53"/>
        <v>383.12</v>
      </c>
      <c r="CR52" s="709">
        <f t="shared" ca="1" si="53"/>
        <v>325.87999999999994</v>
      </c>
      <c r="CS52" s="707">
        <f t="shared" ca="1" si="53"/>
        <v>325.87999999999994</v>
      </c>
      <c r="CT52" s="707">
        <f t="shared" ca="1" si="53"/>
        <v>325.87999999999994</v>
      </c>
      <c r="CU52" s="703" t="s">
        <v>1665</v>
      </c>
    </row>
    <row r="53" spans="1:99">
      <c r="A53" s="710" t="s">
        <v>1288</v>
      </c>
      <c r="B53" s="714">
        <f t="shared" ref="B53:AG53" ca="1" si="54">$B$51-B52</f>
        <v>2542.5250000000001</v>
      </c>
      <c r="C53" s="714">
        <f t="shared" ca="1" si="54"/>
        <v>2611.7649999999999</v>
      </c>
      <c r="D53" s="714">
        <f t="shared" ca="1" si="54"/>
        <v>2635.7649999999999</v>
      </c>
      <c r="E53" s="714">
        <f t="shared" ca="1" si="54"/>
        <v>2647.7649999999999</v>
      </c>
      <c r="F53" s="714">
        <f t="shared" ca="1" si="54"/>
        <v>2729.0050000000001</v>
      </c>
      <c r="G53" s="714">
        <f t="shared" ca="1" si="54"/>
        <v>2741.0050000000001</v>
      </c>
      <c r="H53" s="836">
        <f t="shared" ca="1" si="54"/>
        <v>2810.2449999999999</v>
      </c>
      <c r="I53" s="867">
        <f t="shared" ca="1" si="54"/>
        <v>2599.7649999999999</v>
      </c>
      <c r="J53" s="836">
        <f t="shared" ca="1" si="54"/>
        <v>2599.7649999999999</v>
      </c>
      <c r="K53" s="836">
        <f t="shared" ca="1" si="54"/>
        <v>2599.7649999999999</v>
      </c>
      <c r="L53" s="836">
        <f t="shared" ca="1" si="54"/>
        <v>2657.0050000000001</v>
      </c>
      <c r="M53" s="836">
        <f t="shared" ca="1" si="54"/>
        <v>2657.0050000000001</v>
      </c>
      <c r="N53" s="836">
        <f t="shared" ca="1" si="54"/>
        <v>2714.2449999999999</v>
      </c>
      <c r="O53" s="836">
        <f t="shared" ca="1" si="54"/>
        <v>2714.2449999999999</v>
      </c>
      <c r="P53" s="836">
        <f t="shared" ca="1" si="54"/>
        <v>2714.2449999999999</v>
      </c>
      <c r="Q53" s="836">
        <f t="shared" ca="1" si="54"/>
        <v>2714.2449999999999</v>
      </c>
      <c r="R53" s="1129">
        <f t="shared" ca="1" si="54"/>
        <v>2554.5250000000001</v>
      </c>
      <c r="S53" s="836">
        <f t="shared" ca="1" si="54"/>
        <v>2611.7649999999999</v>
      </c>
      <c r="T53" s="836">
        <f t="shared" ca="1" si="54"/>
        <v>2611.7649999999999</v>
      </c>
      <c r="U53" s="836">
        <f t="shared" ca="1" si="54"/>
        <v>2669.0050000000001</v>
      </c>
      <c r="V53" s="836">
        <f t="shared" ca="1" si="54"/>
        <v>2669.0050000000001</v>
      </c>
      <c r="W53" s="836">
        <f t="shared" ca="1" si="54"/>
        <v>2726.2449999999999</v>
      </c>
      <c r="X53" s="836">
        <f t="shared" ca="1" si="54"/>
        <v>2726.2449999999999</v>
      </c>
      <c r="Y53" s="836">
        <f t="shared" ca="1" si="54"/>
        <v>2726.2449999999999</v>
      </c>
      <c r="Z53" s="836">
        <f t="shared" ca="1" si="54"/>
        <v>2726.2449999999999</v>
      </c>
      <c r="AA53" s="1129">
        <f t="shared" ca="1" si="54"/>
        <v>2566.5250000000001</v>
      </c>
      <c r="AB53" s="836">
        <f t="shared" ca="1" si="54"/>
        <v>2623.7650000000003</v>
      </c>
      <c r="AC53" s="836">
        <f t="shared" ca="1" si="54"/>
        <v>2623.7650000000003</v>
      </c>
      <c r="AD53" s="836">
        <f t="shared" ca="1" si="54"/>
        <v>2681.0050000000001</v>
      </c>
      <c r="AE53" s="836">
        <f t="shared" ca="1" si="54"/>
        <v>2681.0050000000001</v>
      </c>
      <c r="AF53" s="836">
        <f t="shared" ca="1" si="54"/>
        <v>2738.2449999999999</v>
      </c>
      <c r="AG53" s="836">
        <f t="shared" ca="1" si="54"/>
        <v>2738.2449999999999</v>
      </c>
      <c r="AH53" s="836">
        <f t="shared" ref="AH53:BM53" ca="1" si="55">$B$51-AH52</f>
        <v>2738.2449999999999</v>
      </c>
      <c r="AI53" s="836">
        <f t="shared" ca="1" si="55"/>
        <v>2738.2449999999999</v>
      </c>
      <c r="AJ53" s="1129">
        <f t="shared" ca="1" si="55"/>
        <v>2590.5250000000001</v>
      </c>
      <c r="AK53" s="836">
        <f t="shared" ca="1" si="55"/>
        <v>2647.7649999999999</v>
      </c>
      <c r="AL53" s="836">
        <f t="shared" ca="1" si="55"/>
        <v>2647.7649999999999</v>
      </c>
      <c r="AM53" s="836">
        <f t="shared" ca="1" si="55"/>
        <v>2705.0050000000001</v>
      </c>
      <c r="AN53" s="836">
        <f t="shared" ca="1" si="55"/>
        <v>2705.0050000000001</v>
      </c>
      <c r="AO53" s="836">
        <f t="shared" ca="1" si="55"/>
        <v>2762.2449999999999</v>
      </c>
      <c r="AP53" s="836">
        <f t="shared" ca="1" si="55"/>
        <v>2762.2449999999999</v>
      </c>
      <c r="AQ53" s="836">
        <f t="shared" ca="1" si="55"/>
        <v>2762.2449999999999</v>
      </c>
      <c r="AR53" s="836">
        <f t="shared" ca="1" si="55"/>
        <v>2762.2449999999999</v>
      </c>
      <c r="AS53" s="1129">
        <f t="shared" ca="1" si="55"/>
        <v>2614.5250000000001</v>
      </c>
      <c r="AT53" s="836">
        <f t="shared" ca="1" si="55"/>
        <v>2671.7649999999999</v>
      </c>
      <c r="AU53" s="836">
        <f t="shared" ca="1" si="55"/>
        <v>2671.7649999999999</v>
      </c>
      <c r="AV53" s="836">
        <f t="shared" ca="1" si="55"/>
        <v>2671.7649999999999</v>
      </c>
      <c r="AW53" s="836">
        <f t="shared" ca="1" si="55"/>
        <v>2729.0050000000001</v>
      </c>
      <c r="AX53" s="836">
        <f t="shared" ca="1" si="55"/>
        <v>2786.2449999999999</v>
      </c>
      <c r="AY53" s="836">
        <f t="shared" ca="1" si="55"/>
        <v>2786.2449999999999</v>
      </c>
      <c r="AZ53" s="836">
        <f t="shared" ca="1" si="55"/>
        <v>2786.2449999999999</v>
      </c>
      <c r="BA53" s="836">
        <f t="shared" ca="1" si="55"/>
        <v>2786.2449999999999</v>
      </c>
      <c r="BB53" s="1129">
        <f t="shared" ca="1" si="55"/>
        <v>2626.5250000000001</v>
      </c>
      <c r="BC53" s="836">
        <f t="shared" ca="1" si="55"/>
        <v>2683.7649999999999</v>
      </c>
      <c r="BD53" s="836">
        <f t="shared" ca="1" si="55"/>
        <v>2683.7649999999999</v>
      </c>
      <c r="BE53" s="836">
        <f t="shared" ca="1" si="55"/>
        <v>2683.7649999999999</v>
      </c>
      <c r="BF53" s="836">
        <f t="shared" ca="1" si="55"/>
        <v>2741.0050000000001</v>
      </c>
      <c r="BG53" s="836">
        <f t="shared" ca="1" si="55"/>
        <v>2798.2449999999999</v>
      </c>
      <c r="BH53" s="836">
        <f t="shared" ca="1" si="55"/>
        <v>2798.2449999999999</v>
      </c>
      <c r="BI53" s="836">
        <f t="shared" ca="1" si="55"/>
        <v>2798.2449999999999</v>
      </c>
      <c r="BJ53" s="836">
        <f t="shared" ca="1" si="55"/>
        <v>2798.2449999999999</v>
      </c>
      <c r="BK53" s="1129">
        <f t="shared" ca="1" si="55"/>
        <v>2638.5250000000001</v>
      </c>
      <c r="BL53" s="836">
        <f t="shared" ca="1" si="55"/>
        <v>2695.7649999999999</v>
      </c>
      <c r="BM53" s="836">
        <f t="shared" ca="1" si="55"/>
        <v>2695.7649999999999</v>
      </c>
      <c r="BN53" s="836">
        <f t="shared" ref="BN53:CS53" ca="1" si="56">$B$51-BN52</f>
        <v>2695.7649999999999</v>
      </c>
      <c r="BO53" s="836">
        <f t="shared" ca="1" si="56"/>
        <v>2753.0050000000001</v>
      </c>
      <c r="BP53" s="836">
        <f t="shared" ca="1" si="56"/>
        <v>2753.0050000000001</v>
      </c>
      <c r="BQ53" s="836">
        <f t="shared" ca="1" si="56"/>
        <v>2810.2449999999999</v>
      </c>
      <c r="BR53" s="836">
        <f t="shared" ca="1" si="56"/>
        <v>2810.2449999999999</v>
      </c>
      <c r="BS53" s="836">
        <f t="shared" ca="1" si="56"/>
        <v>2810.2449999999999</v>
      </c>
      <c r="BT53" s="1129">
        <f t="shared" ca="1" si="56"/>
        <v>2650.5250000000001</v>
      </c>
      <c r="BU53" s="836">
        <f t="shared" ca="1" si="56"/>
        <v>2707.7649999999999</v>
      </c>
      <c r="BV53" s="836">
        <f t="shared" ca="1" si="56"/>
        <v>2707.7649999999999</v>
      </c>
      <c r="BW53" s="836">
        <f t="shared" ca="1" si="56"/>
        <v>2707.7649999999999</v>
      </c>
      <c r="BX53" s="836">
        <f t="shared" ca="1" si="56"/>
        <v>2765.0050000000001</v>
      </c>
      <c r="BY53" s="836">
        <f t="shared" ca="1" si="56"/>
        <v>2765.0050000000001</v>
      </c>
      <c r="BZ53" s="836">
        <f t="shared" ca="1" si="56"/>
        <v>2822.2449999999999</v>
      </c>
      <c r="CA53" s="865">
        <f t="shared" ca="1" si="56"/>
        <v>2822.2449999999999</v>
      </c>
      <c r="CB53" s="865">
        <f t="shared" ca="1" si="56"/>
        <v>2822.2449999999999</v>
      </c>
      <c r="CC53" s="836">
        <f t="shared" ca="1" si="56"/>
        <v>2662.5250000000001</v>
      </c>
      <c r="CD53" s="836">
        <f t="shared" ca="1" si="56"/>
        <v>2719.7649999999999</v>
      </c>
      <c r="CE53" s="836">
        <f t="shared" ca="1" si="56"/>
        <v>2719.7649999999999</v>
      </c>
      <c r="CF53" s="836">
        <f t="shared" ca="1" si="56"/>
        <v>2719.7649999999999</v>
      </c>
      <c r="CG53" s="836">
        <f t="shared" ca="1" si="56"/>
        <v>2777.0050000000001</v>
      </c>
      <c r="CH53" s="836">
        <f t="shared" ca="1" si="56"/>
        <v>2777.0050000000001</v>
      </c>
      <c r="CI53" s="836">
        <f t="shared" ca="1" si="56"/>
        <v>2834.2449999999999</v>
      </c>
      <c r="CJ53" s="865">
        <f t="shared" ca="1" si="56"/>
        <v>2834.2449999999999</v>
      </c>
      <c r="CK53" s="865">
        <f t="shared" ca="1" si="56"/>
        <v>2834.2449999999999</v>
      </c>
      <c r="CL53" s="836">
        <f t="shared" ca="1" si="56"/>
        <v>2662.5250000000001</v>
      </c>
      <c r="CM53" s="836">
        <f t="shared" ca="1" si="56"/>
        <v>2719.7649999999999</v>
      </c>
      <c r="CN53" s="836">
        <f t="shared" ca="1" si="56"/>
        <v>2719.7649999999999</v>
      </c>
      <c r="CO53" s="836">
        <f t="shared" ca="1" si="56"/>
        <v>2719.7649999999999</v>
      </c>
      <c r="CP53" s="836">
        <f t="shared" ca="1" si="56"/>
        <v>2777.0050000000001</v>
      </c>
      <c r="CQ53" s="836">
        <f t="shared" ca="1" si="56"/>
        <v>2777.0050000000001</v>
      </c>
      <c r="CR53" s="836">
        <f t="shared" ca="1" si="56"/>
        <v>2834.2449999999999</v>
      </c>
      <c r="CS53" s="865">
        <f t="shared" ca="1" si="56"/>
        <v>2834.2449999999999</v>
      </c>
      <c r="CT53" s="1077">
        <f t="shared" ref="CT53" ca="1" si="57">$B$51-CT52</f>
        <v>2834.2449999999999</v>
      </c>
      <c r="CU53" s="704" t="s">
        <v>1289</v>
      </c>
    </row>
    <row r="54" spans="1:99">
      <c r="A54" s="710" t="s">
        <v>1290</v>
      </c>
      <c r="B54" s="715">
        <f t="shared" ref="B54:AG54" ca="1" si="58">B53/$B$51</f>
        <v>0.80456469285233978</v>
      </c>
      <c r="C54" s="715">
        <f t="shared" ca="1" si="58"/>
        <v>0.8264752185435702</v>
      </c>
      <c r="D54" s="715">
        <f t="shared" ca="1" si="58"/>
        <v>0.83406985483169171</v>
      </c>
      <c r="E54" s="715">
        <f t="shared" ca="1" si="58"/>
        <v>0.83786717297575253</v>
      </c>
      <c r="F54" s="715">
        <f t="shared" ca="1" si="58"/>
        <v>0.86357501681104387</v>
      </c>
      <c r="G54" s="715">
        <f t="shared" ca="1" si="58"/>
        <v>0.86737233495510468</v>
      </c>
      <c r="H54" s="871">
        <f t="shared" ca="1" si="58"/>
        <v>0.8892828606463351</v>
      </c>
      <c r="I54" s="868">
        <f t="shared" ca="1" si="58"/>
        <v>0.8226779003995095</v>
      </c>
      <c r="J54" s="835">
        <f t="shared" ca="1" si="58"/>
        <v>0.8226779003995095</v>
      </c>
      <c r="K54" s="835">
        <f t="shared" ca="1" si="58"/>
        <v>0.8226779003995095</v>
      </c>
      <c r="L54" s="835">
        <f t="shared" ca="1" si="58"/>
        <v>0.84079110794667933</v>
      </c>
      <c r="M54" s="835">
        <f t="shared" ca="1" si="58"/>
        <v>0.84079110794667933</v>
      </c>
      <c r="N54" s="835">
        <f t="shared" ca="1" si="58"/>
        <v>0.85890431549384905</v>
      </c>
      <c r="O54" s="835">
        <f t="shared" ca="1" si="58"/>
        <v>0.85890431549384905</v>
      </c>
      <c r="P54" s="835">
        <f t="shared" ca="1" si="58"/>
        <v>0.85890431549384905</v>
      </c>
      <c r="Q54" s="835">
        <f t="shared" ca="1" si="58"/>
        <v>0.85890431549384905</v>
      </c>
      <c r="R54" s="1130">
        <f t="shared" ca="1" si="58"/>
        <v>0.80836201099640048</v>
      </c>
      <c r="S54" s="835">
        <f t="shared" ca="1" si="58"/>
        <v>0.8264752185435702</v>
      </c>
      <c r="T54" s="835">
        <f t="shared" ca="1" si="58"/>
        <v>0.8264752185435702</v>
      </c>
      <c r="U54" s="835">
        <f t="shared" ca="1" si="58"/>
        <v>0.84458842609074014</v>
      </c>
      <c r="V54" s="835">
        <f t="shared" ca="1" si="58"/>
        <v>0.84458842609074014</v>
      </c>
      <c r="W54" s="835">
        <f t="shared" ca="1" si="58"/>
        <v>0.86270163363790986</v>
      </c>
      <c r="X54" s="835">
        <f t="shared" ca="1" si="58"/>
        <v>0.86270163363790986</v>
      </c>
      <c r="Y54" s="835">
        <f t="shared" ca="1" si="58"/>
        <v>0.86270163363790986</v>
      </c>
      <c r="Z54" s="835">
        <f t="shared" ca="1" si="58"/>
        <v>0.86270163363790986</v>
      </c>
      <c r="AA54" s="1130">
        <f t="shared" ca="1" si="58"/>
        <v>0.81215932914046129</v>
      </c>
      <c r="AB54" s="835">
        <f t="shared" ca="1" si="58"/>
        <v>0.83027253668763112</v>
      </c>
      <c r="AC54" s="835">
        <f t="shared" ca="1" si="58"/>
        <v>0.83027253668763112</v>
      </c>
      <c r="AD54" s="835">
        <f t="shared" ca="1" si="58"/>
        <v>0.84838574423480084</v>
      </c>
      <c r="AE54" s="835">
        <f t="shared" ca="1" si="58"/>
        <v>0.84838574423480084</v>
      </c>
      <c r="AF54" s="835">
        <f t="shared" ca="1" si="58"/>
        <v>0.86649895178197056</v>
      </c>
      <c r="AG54" s="835">
        <f t="shared" ca="1" si="58"/>
        <v>0.86649895178197056</v>
      </c>
      <c r="AH54" s="835">
        <f t="shared" ref="AH54:BM54" ca="1" si="59">AH53/$B$51</f>
        <v>0.86649895178197056</v>
      </c>
      <c r="AI54" s="835">
        <f t="shared" ca="1" si="59"/>
        <v>0.86649895178197056</v>
      </c>
      <c r="AJ54" s="1130">
        <f t="shared" ca="1" si="59"/>
        <v>0.81975396542858281</v>
      </c>
      <c r="AK54" s="835">
        <f t="shared" ca="1" si="59"/>
        <v>0.83786717297575253</v>
      </c>
      <c r="AL54" s="835">
        <f t="shared" ca="1" si="59"/>
        <v>0.83786717297575253</v>
      </c>
      <c r="AM54" s="835">
        <f t="shared" ca="1" si="59"/>
        <v>0.85598038052292236</v>
      </c>
      <c r="AN54" s="835">
        <f t="shared" ca="1" si="59"/>
        <v>0.85598038052292236</v>
      </c>
      <c r="AO54" s="835">
        <f t="shared" ca="1" si="59"/>
        <v>0.87409358807009208</v>
      </c>
      <c r="AP54" s="835">
        <f t="shared" ca="1" si="59"/>
        <v>0.87409358807009208</v>
      </c>
      <c r="AQ54" s="835">
        <f t="shared" ca="1" si="59"/>
        <v>0.87409358807009208</v>
      </c>
      <c r="AR54" s="835">
        <f t="shared" ca="1" si="59"/>
        <v>0.87409358807009208</v>
      </c>
      <c r="AS54" s="1130">
        <f t="shared" ca="1" si="59"/>
        <v>0.82734860171670432</v>
      </c>
      <c r="AT54" s="835">
        <f t="shared" ca="1" si="59"/>
        <v>0.84546180926387404</v>
      </c>
      <c r="AU54" s="835">
        <f t="shared" ca="1" si="59"/>
        <v>0.84546180926387404</v>
      </c>
      <c r="AV54" s="835">
        <f t="shared" ca="1" si="59"/>
        <v>0.84546180926387404</v>
      </c>
      <c r="AW54" s="835">
        <f t="shared" ca="1" si="59"/>
        <v>0.86357501681104387</v>
      </c>
      <c r="AX54" s="835">
        <f t="shared" ca="1" si="59"/>
        <v>0.88168822435821359</v>
      </c>
      <c r="AY54" s="835">
        <f t="shared" ca="1" si="59"/>
        <v>0.88168822435821359</v>
      </c>
      <c r="AZ54" s="835">
        <f t="shared" ca="1" si="59"/>
        <v>0.88168822435821359</v>
      </c>
      <c r="BA54" s="835">
        <f t="shared" ca="1" si="59"/>
        <v>0.88168822435821359</v>
      </c>
      <c r="BB54" s="1130">
        <f t="shared" ca="1" si="59"/>
        <v>0.83114591986076503</v>
      </c>
      <c r="BC54" s="835">
        <f t="shared" ca="1" si="59"/>
        <v>0.84925912740793474</v>
      </c>
      <c r="BD54" s="835">
        <f t="shared" ca="1" si="59"/>
        <v>0.84925912740793474</v>
      </c>
      <c r="BE54" s="835">
        <f t="shared" ca="1" si="59"/>
        <v>0.84925912740793474</v>
      </c>
      <c r="BF54" s="835">
        <f t="shared" ca="1" si="59"/>
        <v>0.86737233495510468</v>
      </c>
      <c r="BG54" s="835">
        <f t="shared" ca="1" si="59"/>
        <v>0.8854855425022744</v>
      </c>
      <c r="BH54" s="835">
        <f t="shared" ca="1" si="59"/>
        <v>0.8854855425022744</v>
      </c>
      <c r="BI54" s="835">
        <f t="shared" ca="1" si="59"/>
        <v>0.8854855425022744</v>
      </c>
      <c r="BJ54" s="835">
        <f t="shared" ca="1" si="59"/>
        <v>0.8854855425022744</v>
      </c>
      <c r="BK54" s="1130">
        <f t="shared" ca="1" si="59"/>
        <v>0.83494323800482584</v>
      </c>
      <c r="BL54" s="835">
        <f t="shared" ca="1" si="59"/>
        <v>0.85305644555199556</v>
      </c>
      <c r="BM54" s="835">
        <f t="shared" ca="1" si="59"/>
        <v>0.85305644555199556</v>
      </c>
      <c r="BN54" s="835">
        <f t="shared" ref="BN54:CS54" ca="1" si="60">BN53/$B$51</f>
        <v>0.85305644555199556</v>
      </c>
      <c r="BO54" s="835">
        <f t="shared" ca="1" si="60"/>
        <v>0.87116965309916539</v>
      </c>
      <c r="BP54" s="835">
        <f t="shared" ca="1" si="60"/>
        <v>0.87116965309916539</v>
      </c>
      <c r="BQ54" s="835">
        <f t="shared" ca="1" si="60"/>
        <v>0.8892828606463351</v>
      </c>
      <c r="BR54" s="835">
        <f t="shared" ca="1" si="60"/>
        <v>0.8892828606463351</v>
      </c>
      <c r="BS54" s="835">
        <f t="shared" ca="1" si="60"/>
        <v>0.8892828606463351</v>
      </c>
      <c r="BT54" s="1130">
        <f t="shared" ca="1" si="60"/>
        <v>0.83874055614888654</v>
      </c>
      <c r="BU54" s="835">
        <f t="shared" ca="1" si="60"/>
        <v>0.85685376369605626</v>
      </c>
      <c r="BV54" s="835">
        <f t="shared" ca="1" si="60"/>
        <v>0.85685376369605626</v>
      </c>
      <c r="BW54" s="835">
        <f t="shared" ca="1" si="60"/>
        <v>0.85685376369605626</v>
      </c>
      <c r="BX54" s="835">
        <f t="shared" ca="1" si="60"/>
        <v>0.8749669712432262</v>
      </c>
      <c r="BY54" s="835">
        <f t="shared" ca="1" si="60"/>
        <v>0.8749669712432262</v>
      </c>
      <c r="BZ54" s="835">
        <f t="shared" ca="1" si="60"/>
        <v>0.89308017879039592</v>
      </c>
      <c r="CA54" s="866">
        <f t="shared" ca="1" si="60"/>
        <v>0.89308017879039592</v>
      </c>
      <c r="CB54" s="866">
        <f t="shared" ca="1" si="60"/>
        <v>0.89308017879039592</v>
      </c>
      <c r="CC54" s="835">
        <f t="shared" ca="1" si="60"/>
        <v>0.84253787429294735</v>
      </c>
      <c r="CD54" s="835">
        <f t="shared" ca="1" si="60"/>
        <v>0.86065108184011707</v>
      </c>
      <c r="CE54" s="835">
        <f t="shared" ca="1" si="60"/>
        <v>0.86065108184011707</v>
      </c>
      <c r="CF54" s="835">
        <f t="shared" ca="1" si="60"/>
        <v>0.86065108184011707</v>
      </c>
      <c r="CG54" s="835">
        <f t="shared" ca="1" si="60"/>
        <v>0.8787642893872869</v>
      </c>
      <c r="CH54" s="835">
        <f t="shared" ca="1" si="60"/>
        <v>0.8787642893872869</v>
      </c>
      <c r="CI54" s="835">
        <f t="shared" ca="1" si="60"/>
        <v>0.89687749693445662</v>
      </c>
      <c r="CJ54" s="866">
        <f t="shared" ca="1" si="60"/>
        <v>0.89687749693445662</v>
      </c>
      <c r="CK54" s="866">
        <f t="shared" ca="1" si="60"/>
        <v>0.89687749693445662</v>
      </c>
      <c r="CL54" s="835">
        <f t="shared" ca="1" si="60"/>
        <v>0.84253787429294735</v>
      </c>
      <c r="CM54" s="835">
        <f t="shared" ca="1" si="60"/>
        <v>0.86065108184011707</v>
      </c>
      <c r="CN54" s="835">
        <f t="shared" ca="1" si="60"/>
        <v>0.86065108184011707</v>
      </c>
      <c r="CO54" s="835">
        <f t="shared" ca="1" si="60"/>
        <v>0.86065108184011707</v>
      </c>
      <c r="CP54" s="835">
        <f t="shared" ca="1" si="60"/>
        <v>0.8787642893872869</v>
      </c>
      <c r="CQ54" s="835">
        <f t="shared" ca="1" si="60"/>
        <v>0.8787642893872869</v>
      </c>
      <c r="CR54" s="835">
        <f t="shared" ca="1" si="60"/>
        <v>0.89687749693445662</v>
      </c>
      <c r="CS54" s="866">
        <f t="shared" ca="1" si="60"/>
        <v>0.89687749693445662</v>
      </c>
      <c r="CT54" s="845">
        <f t="shared" ref="CT54" ca="1" si="61">CT53/$B$51</f>
        <v>0.89687749693445662</v>
      </c>
      <c r="CU54" s="704" t="s">
        <v>1291</v>
      </c>
    </row>
    <row r="55" spans="1:99">
      <c r="A55" s="713" t="s">
        <v>1292</v>
      </c>
      <c r="B55" s="870"/>
      <c r="C55" s="704"/>
      <c r="D55" s="704"/>
      <c r="E55" s="704"/>
      <c r="F55" s="704"/>
      <c r="G55" s="704"/>
      <c r="H55" s="704"/>
      <c r="I55" s="840"/>
      <c r="J55" s="704"/>
      <c r="K55" s="704"/>
      <c r="L55" s="704"/>
      <c r="R55" s="1125"/>
      <c r="AA55" s="1125"/>
      <c r="AJ55" s="1125"/>
      <c r="AS55" s="1125"/>
      <c r="BB55" s="1125"/>
      <c r="BK55" s="1125"/>
      <c r="BT55" s="1125"/>
      <c r="CT55" s="1073"/>
    </row>
    <row r="56" spans="1:99">
      <c r="A56" s="713" t="s">
        <v>1293</v>
      </c>
      <c r="B56" s="870"/>
      <c r="C56" s="704"/>
      <c r="D56" s="704"/>
      <c r="E56" s="704"/>
      <c r="F56" s="704"/>
      <c r="G56" s="704"/>
      <c r="H56" s="704"/>
      <c r="I56" s="840"/>
      <c r="J56" s="704"/>
      <c r="K56" s="704"/>
      <c r="L56" s="704"/>
      <c r="R56" s="1125"/>
      <c r="AA56" s="1125"/>
      <c r="AJ56" s="1125"/>
      <c r="AS56" s="1125"/>
      <c r="BB56" s="1125"/>
      <c r="BK56" s="1125"/>
      <c r="BT56" s="1125"/>
      <c r="CT56" s="1073"/>
    </row>
    <row r="57" spans="1:99">
      <c r="A57" s="713" t="s">
        <v>1294</v>
      </c>
      <c r="B57" s="870"/>
      <c r="C57" s="704"/>
      <c r="D57" s="704"/>
      <c r="E57" s="704"/>
      <c r="F57" s="704"/>
      <c r="G57" s="704"/>
      <c r="H57" s="704"/>
      <c r="I57" s="840"/>
      <c r="J57" s="704"/>
      <c r="K57" s="704"/>
      <c r="L57" s="704"/>
      <c r="R57" s="1125"/>
      <c r="AA57" s="1125"/>
      <c r="AJ57" s="1125"/>
      <c r="AS57" s="1125"/>
      <c r="BB57" s="1125"/>
      <c r="BK57" s="1125"/>
      <c r="BT57" s="1125"/>
      <c r="CT57" s="1073"/>
    </row>
    <row r="58" spans="1:99">
      <c r="A58" s="710" t="s">
        <v>1664</v>
      </c>
      <c r="B58" s="709">
        <f t="shared" ref="B58:AG58" si="62">(B28+B30-2)*2</f>
        <v>42</v>
      </c>
      <c r="C58" s="709">
        <f t="shared" si="62"/>
        <v>38</v>
      </c>
      <c r="D58" s="709">
        <f t="shared" si="62"/>
        <v>34</v>
      </c>
      <c r="E58" s="709">
        <f t="shared" si="62"/>
        <v>32</v>
      </c>
      <c r="F58" s="709">
        <f t="shared" si="62"/>
        <v>26</v>
      </c>
      <c r="G58" s="709">
        <f t="shared" si="62"/>
        <v>24</v>
      </c>
      <c r="H58" s="872">
        <f t="shared" si="62"/>
        <v>20</v>
      </c>
      <c r="I58" s="869">
        <f t="shared" si="62"/>
        <v>40</v>
      </c>
      <c r="J58" s="831">
        <f t="shared" si="62"/>
        <v>40</v>
      </c>
      <c r="K58" s="831">
        <f t="shared" si="62"/>
        <v>40</v>
      </c>
      <c r="L58" s="831">
        <f t="shared" si="62"/>
        <v>38</v>
      </c>
      <c r="M58" s="831">
        <f t="shared" si="62"/>
        <v>38</v>
      </c>
      <c r="N58" s="831">
        <f t="shared" si="62"/>
        <v>36</v>
      </c>
      <c r="O58" s="831">
        <f t="shared" si="62"/>
        <v>36</v>
      </c>
      <c r="P58" s="831">
        <f t="shared" si="62"/>
        <v>36</v>
      </c>
      <c r="Q58" s="831">
        <f t="shared" si="62"/>
        <v>36</v>
      </c>
      <c r="R58" s="1123">
        <f t="shared" si="62"/>
        <v>40</v>
      </c>
      <c r="S58" s="831">
        <f t="shared" si="62"/>
        <v>38</v>
      </c>
      <c r="T58" s="831">
        <f t="shared" si="62"/>
        <v>38</v>
      </c>
      <c r="U58" s="831">
        <f t="shared" si="62"/>
        <v>36</v>
      </c>
      <c r="V58" s="831">
        <f t="shared" si="62"/>
        <v>36</v>
      </c>
      <c r="W58" s="831">
        <f t="shared" si="62"/>
        <v>34</v>
      </c>
      <c r="X58" s="831">
        <f t="shared" si="62"/>
        <v>34</v>
      </c>
      <c r="Y58" s="831">
        <f t="shared" si="62"/>
        <v>34</v>
      </c>
      <c r="Z58" s="831">
        <f t="shared" si="62"/>
        <v>34</v>
      </c>
      <c r="AA58" s="1123">
        <f t="shared" si="62"/>
        <v>38</v>
      </c>
      <c r="AB58" s="831">
        <f t="shared" si="62"/>
        <v>36</v>
      </c>
      <c r="AC58" s="831">
        <f t="shared" si="62"/>
        <v>36</v>
      </c>
      <c r="AD58" s="831">
        <f t="shared" si="62"/>
        <v>34</v>
      </c>
      <c r="AE58" s="831">
        <f t="shared" si="62"/>
        <v>34</v>
      </c>
      <c r="AF58" s="831">
        <f t="shared" si="62"/>
        <v>32</v>
      </c>
      <c r="AG58" s="831">
        <f t="shared" si="62"/>
        <v>32</v>
      </c>
      <c r="AH58" s="831">
        <f t="shared" ref="AH58:BM58" si="63">(AH28+AH30-2)*2</f>
        <v>32</v>
      </c>
      <c r="AI58" s="831">
        <f t="shared" si="63"/>
        <v>32</v>
      </c>
      <c r="AJ58" s="1123">
        <f t="shared" si="63"/>
        <v>34</v>
      </c>
      <c r="AK58" s="831">
        <f t="shared" si="63"/>
        <v>32</v>
      </c>
      <c r="AL58" s="831">
        <f t="shared" si="63"/>
        <v>32</v>
      </c>
      <c r="AM58" s="831">
        <f t="shared" si="63"/>
        <v>30</v>
      </c>
      <c r="AN58" s="831">
        <f t="shared" si="63"/>
        <v>30</v>
      </c>
      <c r="AO58" s="831">
        <f t="shared" si="63"/>
        <v>28</v>
      </c>
      <c r="AP58" s="831">
        <f t="shared" si="63"/>
        <v>28</v>
      </c>
      <c r="AQ58" s="831">
        <f t="shared" si="63"/>
        <v>28</v>
      </c>
      <c r="AR58" s="831">
        <f t="shared" si="63"/>
        <v>28</v>
      </c>
      <c r="AS58" s="1123">
        <f t="shared" si="63"/>
        <v>30</v>
      </c>
      <c r="AT58" s="831">
        <f t="shared" si="63"/>
        <v>28</v>
      </c>
      <c r="AU58" s="831">
        <f t="shared" si="63"/>
        <v>28</v>
      </c>
      <c r="AV58" s="831">
        <f t="shared" si="63"/>
        <v>28</v>
      </c>
      <c r="AW58" s="831">
        <f t="shared" si="63"/>
        <v>26</v>
      </c>
      <c r="AX58" s="831">
        <f t="shared" si="63"/>
        <v>24</v>
      </c>
      <c r="AY58" s="831">
        <f t="shared" si="63"/>
        <v>24</v>
      </c>
      <c r="AZ58" s="831">
        <f t="shared" si="63"/>
        <v>24</v>
      </c>
      <c r="BA58" s="831">
        <f t="shared" si="63"/>
        <v>24</v>
      </c>
      <c r="BB58" s="1123">
        <f t="shared" si="63"/>
        <v>28</v>
      </c>
      <c r="BC58" s="831">
        <f t="shared" si="63"/>
        <v>26</v>
      </c>
      <c r="BD58" s="831">
        <f t="shared" si="63"/>
        <v>26</v>
      </c>
      <c r="BE58" s="831">
        <f t="shared" si="63"/>
        <v>26</v>
      </c>
      <c r="BF58" s="831">
        <f t="shared" si="63"/>
        <v>24</v>
      </c>
      <c r="BG58" s="831">
        <f t="shared" si="63"/>
        <v>22</v>
      </c>
      <c r="BH58" s="831">
        <f t="shared" si="63"/>
        <v>22</v>
      </c>
      <c r="BI58" s="831">
        <f t="shared" si="63"/>
        <v>22</v>
      </c>
      <c r="BJ58" s="831">
        <f t="shared" si="63"/>
        <v>22</v>
      </c>
      <c r="BK58" s="1123">
        <f t="shared" si="63"/>
        <v>26</v>
      </c>
      <c r="BL58" s="831">
        <f t="shared" si="63"/>
        <v>24</v>
      </c>
      <c r="BM58" s="831">
        <f t="shared" si="63"/>
        <v>24</v>
      </c>
      <c r="BN58" s="831">
        <f t="shared" ref="BN58:CT58" si="64">(BN28+BN30-2)*2</f>
        <v>24</v>
      </c>
      <c r="BO58" s="831">
        <f t="shared" si="64"/>
        <v>22</v>
      </c>
      <c r="BP58" s="831">
        <f t="shared" si="64"/>
        <v>22</v>
      </c>
      <c r="BQ58" s="831">
        <f t="shared" si="64"/>
        <v>20</v>
      </c>
      <c r="BR58" s="831">
        <f t="shared" si="64"/>
        <v>20</v>
      </c>
      <c r="BS58" s="831">
        <f t="shared" si="64"/>
        <v>20</v>
      </c>
      <c r="BT58" s="1123">
        <f t="shared" si="64"/>
        <v>24</v>
      </c>
      <c r="BU58" s="831">
        <f t="shared" si="64"/>
        <v>22</v>
      </c>
      <c r="BV58" s="831">
        <f t="shared" si="64"/>
        <v>22</v>
      </c>
      <c r="BW58" s="831">
        <f t="shared" si="64"/>
        <v>22</v>
      </c>
      <c r="BX58" s="831">
        <f t="shared" si="64"/>
        <v>20</v>
      </c>
      <c r="BY58" s="831">
        <f t="shared" si="64"/>
        <v>20</v>
      </c>
      <c r="BZ58" s="831">
        <f t="shared" si="64"/>
        <v>18</v>
      </c>
      <c r="CA58" s="833">
        <f t="shared" si="64"/>
        <v>18</v>
      </c>
      <c r="CB58" s="833">
        <f t="shared" si="64"/>
        <v>18</v>
      </c>
      <c r="CC58" s="831">
        <f t="shared" si="64"/>
        <v>22</v>
      </c>
      <c r="CD58" s="831">
        <f t="shared" si="64"/>
        <v>20</v>
      </c>
      <c r="CE58" s="831">
        <f t="shared" si="64"/>
        <v>20</v>
      </c>
      <c r="CF58" s="831">
        <f t="shared" si="64"/>
        <v>20</v>
      </c>
      <c r="CG58" s="831">
        <f t="shared" si="64"/>
        <v>18</v>
      </c>
      <c r="CH58" s="831">
        <f t="shared" si="64"/>
        <v>18</v>
      </c>
      <c r="CI58" s="831">
        <f t="shared" si="64"/>
        <v>16</v>
      </c>
      <c r="CJ58" s="833">
        <f t="shared" si="64"/>
        <v>16</v>
      </c>
      <c r="CK58" s="833">
        <f t="shared" si="64"/>
        <v>16</v>
      </c>
      <c r="CL58" s="831">
        <f t="shared" si="64"/>
        <v>22</v>
      </c>
      <c r="CM58" s="831">
        <f t="shared" si="64"/>
        <v>20</v>
      </c>
      <c r="CN58" s="831">
        <f t="shared" si="64"/>
        <v>20</v>
      </c>
      <c r="CO58" s="831">
        <f t="shared" si="64"/>
        <v>20</v>
      </c>
      <c r="CP58" s="831">
        <f t="shared" si="64"/>
        <v>18</v>
      </c>
      <c r="CQ58" s="831">
        <f t="shared" si="64"/>
        <v>18</v>
      </c>
      <c r="CR58" s="831">
        <f t="shared" si="64"/>
        <v>16</v>
      </c>
      <c r="CS58" s="833">
        <f t="shared" si="64"/>
        <v>16</v>
      </c>
      <c r="CT58" s="707">
        <f t="shared" si="64"/>
        <v>16</v>
      </c>
    </row>
    <row r="59" spans="1:99">
      <c r="A59" s="870"/>
      <c r="I59" s="1131"/>
      <c r="R59" s="1125"/>
      <c r="AA59" s="1125"/>
      <c r="AJ59" s="1125"/>
      <c r="AS59" s="1125"/>
      <c r="BB59" s="1125"/>
      <c r="BK59" s="1125"/>
      <c r="BT59" s="1125"/>
      <c r="CT59" s="1073"/>
    </row>
    <row r="60" spans="1:99">
      <c r="A60" s="1074" t="s">
        <v>2095</v>
      </c>
      <c r="I60" s="840"/>
      <c r="R60" s="1125"/>
      <c r="AA60" s="1125"/>
      <c r="AJ60" s="1125"/>
      <c r="AS60" s="1125"/>
      <c r="BB60" s="1125"/>
      <c r="BK60" s="1125"/>
      <c r="BT60" s="1125"/>
      <c r="CT60" s="1073"/>
    </row>
    <row r="61" spans="1:99">
      <c r="A61" s="870" t="s">
        <v>2096</v>
      </c>
      <c r="B61" s="703">
        <f>Datenbank!C57*Datenbank!C57</f>
        <v>4</v>
      </c>
      <c r="C61" s="703">
        <f>Datenbank!D57*Datenbank!D57</f>
        <v>4</v>
      </c>
      <c r="D61" s="703">
        <f>Datenbank!E57*Datenbank!E57</f>
        <v>4</v>
      </c>
      <c r="E61" s="703">
        <f>Datenbank!F57*Datenbank!F57</f>
        <v>4</v>
      </c>
      <c r="F61" s="703">
        <f>Datenbank!G57*Datenbank!G57</f>
        <v>4</v>
      </c>
      <c r="G61" s="703">
        <f>Datenbank!H57*Datenbank!H57</f>
        <v>1</v>
      </c>
      <c r="H61" s="703">
        <f>Datenbank!I57*Datenbank!I57</f>
        <v>1</v>
      </c>
      <c r="I61" s="1132">
        <f>Datenbank!$C$57*Datenbank!$D$57</f>
        <v>4</v>
      </c>
      <c r="J61" s="703">
        <f>Datenbank!$C$57*Datenbank!$E$57</f>
        <v>4</v>
      </c>
      <c r="K61" s="703">
        <f>Datenbank!$C$57*Datenbank!F57</f>
        <v>4</v>
      </c>
      <c r="L61" s="703">
        <f>Datenbank!$C$57*Datenbank!G57</f>
        <v>4</v>
      </c>
      <c r="M61" s="703">
        <f>Datenbank!$C$57*Datenbank!H57</f>
        <v>2</v>
      </c>
      <c r="N61" s="703">
        <f>Datenbank!$C$57*Datenbank!I57</f>
        <v>2</v>
      </c>
      <c r="O61" s="703">
        <f>Datenbank!$C$57*Datenbank!J57</f>
        <v>2</v>
      </c>
      <c r="P61" s="703">
        <f>Datenbank!$C$57*Datenbank!K57</f>
        <v>2</v>
      </c>
      <c r="Q61" s="703">
        <f>Datenbank!$C$57*Datenbank!L57</f>
        <v>2</v>
      </c>
      <c r="R61" s="1125">
        <f>Datenbank!$C$57*Datenbank!$D$57</f>
        <v>4</v>
      </c>
      <c r="S61" s="703">
        <f>Datenbank!$D$57*Datenbank!$E$57</f>
        <v>4</v>
      </c>
      <c r="T61" s="703">
        <f>Datenbank!$D$57*Datenbank!F57</f>
        <v>4</v>
      </c>
      <c r="U61" s="703">
        <f>Datenbank!$D$57*Datenbank!G57</f>
        <v>4</v>
      </c>
      <c r="V61" s="703">
        <f>Datenbank!$D$57*Datenbank!H57</f>
        <v>2</v>
      </c>
      <c r="W61" s="703">
        <f>Datenbank!$D$57*Datenbank!I57</f>
        <v>2</v>
      </c>
      <c r="X61" s="703">
        <f>Datenbank!$D$57*Datenbank!J57</f>
        <v>2</v>
      </c>
      <c r="Y61" s="703">
        <f>Datenbank!$D$57*Datenbank!K57</f>
        <v>2</v>
      </c>
      <c r="Z61" s="703">
        <f>Datenbank!$D$57*Datenbank!L57</f>
        <v>2</v>
      </c>
      <c r="AA61" s="1125">
        <f>Datenbank!$C$57*Datenbank!$E$57</f>
        <v>4</v>
      </c>
      <c r="AB61" s="703">
        <f>Datenbank!$D$57*Datenbank!$E$57</f>
        <v>4</v>
      </c>
      <c r="AC61" s="703">
        <f>Datenbank!$E$57*Datenbank!F57</f>
        <v>4</v>
      </c>
      <c r="AD61" s="703">
        <f>Datenbank!$E$57*Datenbank!G57</f>
        <v>4</v>
      </c>
      <c r="AE61" s="703">
        <f>Datenbank!$E$57*Datenbank!H57</f>
        <v>2</v>
      </c>
      <c r="AF61" s="703">
        <f>Datenbank!$E$57*Datenbank!I57</f>
        <v>2</v>
      </c>
      <c r="AG61" s="703">
        <f>Datenbank!$E$57*Datenbank!J57</f>
        <v>2</v>
      </c>
      <c r="AH61" s="703">
        <f>Datenbank!$E$57*Datenbank!K57</f>
        <v>2</v>
      </c>
      <c r="AI61" s="703">
        <f>Datenbank!$E$57*Datenbank!L57</f>
        <v>2</v>
      </c>
      <c r="AJ61" s="1125">
        <f>Datenbank!C57*Datenbank!$F$57</f>
        <v>4</v>
      </c>
      <c r="AK61" s="703">
        <f>Datenbank!D57*Datenbank!$F$57</f>
        <v>4</v>
      </c>
      <c r="AL61" s="703">
        <f>Datenbank!E57*Datenbank!$F$57</f>
        <v>4</v>
      </c>
      <c r="AM61" s="703">
        <f>Datenbank!F57*Datenbank!$F$57</f>
        <v>4</v>
      </c>
      <c r="AN61" s="703">
        <f>Datenbank!H$57*Datenbank!$F$57</f>
        <v>2</v>
      </c>
      <c r="AO61" s="703">
        <f>Datenbank!I$57*Datenbank!$F$57</f>
        <v>2</v>
      </c>
      <c r="AP61" s="703">
        <f>Datenbank!J$57*Datenbank!$F$57</f>
        <v>2</v>
      </c>
      <c r="AQ61" s="703">
        <f>Datenbank!K$57*Datenbank!$F$57</f>
        <v>2</v>
      </c>
      <c r="AR61" s="703">
        <f>Datenbank!$F$57*Datenbank!L57</f>
        <v>2</v>
      </c>
      <c r="AS61" s="1125">
        <f>Datenbank!$C$57*Datenbank!$G$57</f>
        <v>4</v>
      </c>
      <c r="AT61" s="703">
        <f>Datenbank!$D$57*Datenbank!$G$57</f>
        <v>4</v>
      </c>
      <c r="AU61" s="703">
        <f>Datenbank!$E$57*Datenbank!$G$57</f>
        <v>4</v>
      </c>
      <c r="AV61" s="703">
        <f>Datenbank!$F$57*Datenbank!$G$57</f>
        <v>4</v>
      </c>
      <c r="AW61" s="703">
        <f>Datenbank!H$57*Datenbank!$G$57</f>
        <v>2</v>
      </c>
      <c r="AX61" s="703">
        <f>Datenbank!I$57*Datenbank!$G$57</f>
        <v>2</v>
      </c>
      <c r="AY61" s="703">
        <f>Datenbank!J$57*Datenbank!$G$57</f>
        <v>2</v>
      </c>
      <c r="AZ61" s="703">
        <f>Datenbank!K$57*Datenbank!$G$57</f>
        <v>2</v>
      </c>
      <c r="BA61" s="703">
        <f>Datenbank!$G$57*Datenbank!L57</f>
        <v>2</v>
      </c>
      <c r="BB61" s="1125">
        <f>Datenbank!$H$57*Datenbank!C57</f>
        <v>2</v>
      </c>
      <c r="BC61" s="703">
        <f>Datenbank!$H$57*Datenbank!D57</f>
        <v>2</v>
      </c>
      <c r="BD61" s="703">
        <f>Datenbank!$H$57*Datenbank!E57</f>
        <v>2</v>
      </c>
      <c r="BE61" s="703">
        <f>Datenbank!$H$57*Datenbank!F57</f>
        <v>2</v>
      </c>
      <c r="BF61" s="703">
        <f>Datenbank!$H$57*Datenbank!G57</f>
        <v>2</v>
      </c>
      <c r="BG61" s="703">
        <f>Datenbank!$H$57*Datenbank!I57</f>
        <v>1</v>
      </c>
      <c r="BH61" s="703">
        <f>Datenbank!$H$57*Datenbank!J57</f>
        <v>1</v>
      </c>
      <c r="BI61" s="703">
        <f>Datenbank!$H$57*Datenbank!K57</f>
        <v>1</v>
      </c>
      <c r="BJ61" s="703">
        <f>Datenbank!$H$57*Datenbank!L57</f>
        <v>1</v>
      </c>
      <c r="BK61" s="1125">
        <f>Datenbank!$I$57*Datenbank!C$57</f>
        <v>2</v>
      </c>
      <c r="BL61" s="703">
        <f>Datenbank!$I$57*Datenbank!D$57</f>
        <v>2</v>
      </c>
      <c r="BM61" s="703">
        <f>Datenbank!$I$57*Datenbank!E57</f>
        <v>2</v>
      </c>
      <c r="BN61" s="703">
        <f>Datenbank!$I$57*Datenbank!F57</f>
        <v>2</v>
      </c>
      <c r="BO61" s="703">
        <f>Datenbank!$I$57*Datenbank!G57</f>
        <v>2</v>
      </c>
      <c r="BP61" s="703">
        <f>Datenbank!$I$57*Datenbank!H57</f>
        <v>1</v>
      </c>
      <c r="BQ61" s="703">
        <f>Datenbank!$I$57*Datenbank!J57</f>
        <v>1</v>
      </c>
      <c r="BR61" s="703">
        <f>Datenbank!$I$57*Datenbank!K57</f>
        <v>1</v>
      </c>
      <c r="BS61" s="703">
        <f>Datenbank!$I$57*Datenbank!L57</f>
        <v>1</v>
      </c>
      <c r="BT61" s="1125">
        <f>Datenbank!$J$57*Datenbank!C$57</f>
        <v>2</v>
      </c>
      <c r="BU61" s="703">
        <f>Datenbank!$J$57*Datenbank!D$57</f>
        <v>2</v>
      </c>
      <c r="BV61" s="703">
        <f>Datenbank!$J$57*Datenbank!E$57</f>
        <v>2</v>
      </c>
      <c r="BW61" s="703">
        <f>Datenbank!$J$57*Datenbank!F$57</f>
        <v>2</v>
      </c>
      <c r="BX61" s="703">
        <f>Datenbank!$J$57*Datenbank!G$57</f>
        <v>2</v>
      </c>
      <c r="BY61" s="703">
        <f>Datenbank!$J$57*Datenbank!H$57</f>
        <v>1</v>
      </c>
      <c r="BZ61" s="703">
        <f>Datenbank!$J$57*Datenbank!I$57</f>
        <v>1</v>
      </c>
      <c r="CC61" s="703">
        <f>Datenbank!$K$57*Datenbank!C$57</f>
        <v>2</v>
      </c>
      <c r="CD61" s="703">
        <f>Datenbank!$K$57*Datenbank!D$57</f>
        <v>2</v>
      </c>
      <c r="CE61" s="703">
        <f>Datenbank!$K$57*Datenbank!E$57</f>
        <v>2</v>
      </c>
      <c r="CF61" s="703">
        <f>Datenbank!$K$57*Datenbank!F$57</f>
        <v>2</v>
      </c>
      <c r="CG61" s="703">
        <f>Datenbank!$K$57*Datenbank!G$57</f>
        <v>2</v>
      </c>
      <c r="CH61" s="703">
        <f>Datenbank!$K$57*Datenbank!H$57</f>
        <v>1</v>
      </c>
      <c r="CI61" s="703">
        <f>Datenbank!$K$57*Datenbank!I$57</f>
        <v>1</v>
      </c>
      <c r="CL61" s="703">
        <f>Datenbank!$C$57*Datenbank!$L$57</f>
        <v>2</v>
      </c>
      <c r="CM61" s="703">
        <f>Datenbank!D$57*Datenbank!$L$57</f>
        <v>2</v>
      </c>
      <c r="CN61" s="703">
        <f>Datenbank!E$57*Datenbank!$L$57</f>
        <v>2</v>
      </c>
      <c r="CO61" s="703">
        <f>Datenbank!F$57*Datenbank!$L$57</f>
        <v>2</v>
      </c>
      <c r="CP61" s="703">
        <f>Datenbank!G$57*Datenbank!$L$57</f>
        <v>2</v>
      </c>
      <c r="CQ61" s="703">
        <f>Datenbank!H$57*Datenbank!$L$57</f>
        <v>1</v>
      </c>
      <c r="CR61" s="703">
        <f>Datenbank!I$57*Datenbank!$L$57</f>
        <v>1</v>
      </c>
      <c r="CT61" s="1073"/>
    </row>
    <row r="62" spans="1:99">
      <c r="A62" s="870" t="s">
        <v>2097</v>
      </c>
      <c r="B62" s="703">
        <f>Datenbank!$C$56*Datenbank!$C57</f>
        <v>2</v>
      </c>
      <c r="C62" s="703">
        <f>Datenbank!D56*Datenbank!D57</f>
        <v>2</v>
      </c>
      <c r="D62" s="703">
        <f>Datenbank!E56*Datenbank!E57</f>
        <v>2</v>
      </c>
      <c r="E62" s="703">
        <f>Datenbank!F56*Datenbank!F57</f>
        <v>2</v>
      </c>
      <c r="F62" s="703">
        <f>Datenbank!G56*Datenbank!G57</f>
        <v>2</v>
      </c>
      <c r="G62" s="703">
        <f>Datenbank!H56*Datenbank!H57</f>
        <v>1</v>
      </c>
      <c r="H62" s="703">
        <f>Datenbank!I56*Datenbank!I57</f>
        <v>1</v>
      </c>
      <c r="I62" s="1132">
        <f>Datenbank!$C$56*Datenbank!D57</f>
        <v>2</v>
      </c>
      <c r="J62" s="703">
        <f>Datenbank!$C$56*Datenbank!E57</f>
        <v>2</v>
      </c>
      <c r="K62" s="703">
        <f>Datenbank!$C$56*Datenbank!F57</f>
        <v>2</v>
      </c>
      <c r="L62" s="703">
        <f>Datenbank!$C$56*Datenbank!G57</f>
        <v>2</v>
      </c>
      <c r="M62" s="703">
        <f>Datenbank!$C$56*Datenbank!H57</f>
        <v>1</v>
      </c>
      <c r="N62" s="703">
        <f>Datenbank!$C$56*Datenbank!I57</f>
        <v>1</v>
      </c>
      <c r="O62" s="703">
        <f>Datenbank!$C$56*Datenbank!J57</f>
        <v>1</v>
      </c>
      <c r="P62" s="703">
        <f>Datenbank!$C$56*Datenbank!K57</f>
        <v>1</v>
      </c>
      <c r="Q62" s="703">
        <f>Datenbank!$C$56*Datenbank!L57</f>
        <v>1</v>
      </c>
      <c r="R62" s="1125">
        <f>Datenbank!$C$56*Datenbank!D57</f>
        <v>2</v>
      </c>
      <c r="S62" s="703">
        <f>Datenbank!$D$56*Datenbank!E57</f>
        <v>2</v>
      </c>
      <c r="T62" s="703">
        <f>Datenbank!$D$56*Datenbank!F57</f>
        <v>2</v>
      </c>
      <c r="U62" s="703">
        <f>Datenbank!$D$56*Datenbank!G57</f>
        <v>2</v>
      </c>
      <c r="V62" s="703">
        <f>Datenbank!$D$56*Datenbank!H57</f>
        <v>1</v>
      </c>
      <c r="W62" s="703">
        <f>Datenbank!$D$56*Datenbank!I57</f>
        <v>1</v>
      </c>
      <c r="X62" s="703">
        <f>Datenbank!$D$56*Datenbank!J57</f>
        <v>1</v>
      </c>
      <c r="Y62" s="703">
        <f>Datenbank!$D$56*Datenbank!K57</f>
        <v>1</v>
      </c>
      <c r="Z62" s="703">
        <f>Datenbank!$D$56*Datenbank!L57</f>
        <v>1</v>
      </c>
      <c r="AA62" s="1125">
        <f>Datenbank!C56*Datenbank!$E$57</f>
        <v>2</v>
      </c>
      <c r="AB62" s="703">
        <f>Datenbank!D$56*Datenbank!E57</f>
        <v>2</v>
      </c>
      <c r="AC62" s="703">
        <f>Datenbank!$E$56*Datenbank!F57</f>
        <v>2</v>
      </c>
      <c r="AD62" s="703">
        <f>Datenbank!$E$56*Datenbank!G57</f>
        <v>2</v>
      </c>
      <c r="AE62" s="703">
        <f>Datenbank!$E$56*Datenbank!H57</f>
        <v>1</v>
      </c>
      <c r="AF62" s="703">
        <f>Datenbank!$E$56*Datenbank!I57</f>
        <v>1</v>
      </c>
      <c r="AG62" s="703">
        <f>Datenbank!$E$56*Datenbank!J57</f>
        <v>1</v>
      </c>
      <c r="AH62" s="703">
        <f>Datenbank!$E$56*Datenbank!K57</f>
        <v>1</v>
      </c>
      <c r="AI62" s="703">
        <f>Datenbank!$E$56*Datenbank!L57</f>
        <v>1</v>
      </c>
      <c r="AJ62" s="1125">
        <f>Datenbank!C$56*Datenbank!$F57</f>
        <v>2</v>
      </c>
      <c r="AK62" s="703">
        <f>Datenbank!D$56*Datenbank!$F57</f>
        <v>2</v>
      </c>
      <c r="AL62" s="703">
        <f>Datenbank!E$56*Datenbank!$F57</f>
        <v>2</v>
      </c>
      <c r="AM62" s="703">
        <f>Datenbank!G$56*Datenbank!$F57</f>
        <v>2</v>
      </c>
      <c r="AN62" s="703">
        <f>Datenbank!$F$56*Datenbank!H57</f>
        <v>1</v>
      </c>
      <c r="AO62" s="703">
        <f>Datenbank!$F$56*Datenbank!I57</f>
        <v>1</v>
      </c>
      <c r="AP62" s="703">
        <f>Datenbank!$F$56*Datenbank!J57</f>
        <v>1</v>
      </c>
      <c r="AQ62" s="703">
        <f>Datenbank!$F$56*Datenbank!K57</f>
        <v>1</v>
      </c>
      <c r="AR62" s="703">
        <f>Datenbank!$F$56*Datenbank!L57</f>
        <v>1</v>
      </c>
      <c r="AS62" s="1125">
        <f>Datenbank!C$56*Datenbank!$G57</f>
        <v>2</v>
      </c>
      <c r="AT62" s="703">
        <f>Datenbank!D$56*Datenbank!$G57</f>
        <v>2</v>
      </c>
      <c r="AU62" s="703">
        <f>Datenbank!E$56*Datenbank!$G57</f>
        <v>2</v>
      </c>
      <c r="AV62" s="703">
        <f>Datenbank!F$56*Datenbank!$G57</f>
        <v>2</v>
      </c>
      <c r="AW62" s="703">
        <f>Datenbank!$G$56*Datenbank!H57</f>
        <v>1</v>
      </c>
      <c r="AX62" s="703">
        <f>Datenbank!$G$56*Datenbank!I57</f>
        <v>1</v>
      </c>
      <c r="AY62" s="703">
        <f>Datenbank!$G$56*Datenbank!J57</f>
        <v>1</v>
      </c>
      <c r="AZ62" s="703">
        <f>Datenbank!$G$56*Datenbank!K57</f>
        <v>1</v>
      </c>
      <c r="BA62" s="703">
        <f>Datenbank!$G$56*Datenbank!L57</f>
        <v>1</v>
      </c>
      <c r="BB62" s="1125">
        <f>Datenbank!$C$56*Datenbank!H57</f>
        <v>1</v>
      </c>
      <c r="BC62" s="703">
        <f>Datenbank!$D$56*Datenbank!H57</f>
        <v>1</v>
      </c>
      <c r="BD62" s="703">
        <f>Datenbank!$E$56*Datenbank!H57</f>
        <v>1</v>
      </c>
      <c r="BE62" s="703">
        <f>Datenbank!$F$56*Datenbank!H57</f>
        <v>1</v>
      </c>
      <c r="BF62" s="703">
        <f>Datenbank!$G$56*Datenbank!H57</f>
        <v>1</v>
      </c>
      <c r="BG62" s="703">
        <f>Datenbank!$H$56*Datenbank!I57</f>
        <v>1</v>
      </c>
      <c r="BH62" s="703">
        <f>Datenbank!$H$56*Datenbank!J57</f>
        <v>1</v>
      </c>
      <c r="BI62" s="703">
        <f>Datenbank!$H$56*Datenbank!K57</f>
        <v>1</v>
      </c>
      <c r="BJ62" s="703">
        <f>Datenbank!$H$56*Datenbank!L57</f>
        <v>1</v>
      </c>
      <c r="BK62" s="1125">
        <f>Datenbank!C$56*Datenbank!$I57</f>
        <v>1</v>
      </c>
      <c r="BL62" s="703">
        <f>Datenbank!D$56*Datenbank!$I57</f>
        <v>1</v>
      </c>
      <c r="BM62" s="703">
        <f>Datenbank!E$56*Datenbank!$I57</f>
        <v>1</v>
      </c>
      <c r="BN62" s="703">
        <f>Datenbank!F$56*Datenbank!$I57</f>
        <v>1</v>
      </c>
      <c r="BO62" s="703">
        <f>Datenbank!G$56*Datenbank!$I57</f>
        <v>1</v>
      </c>
      <c r="BP62" s="703">
        <f>Datenbank!H$56*Datenbank!$I57</f>
        <v>1</v>
      </c>
      <c r="BQ62" s="703">
        <f>Datenbank!$I$56*Datenbank!J57</f>
        <v>1</v>
      </c>
      <c r="BR62" s="703">
        <f>Datenbank!$I$56*Datenbank!K57</f>
        <v>1</v>
      </c>
      <c r="BS62" s="703">
        <f>Datenbank!$I$56*Datenbank!L57</f>
        <v>1</v>
      </c>
      <c r="BT62" s="1125">
        <f>Datenbank!C$56*Datenbank!$J57</f>
        <v>1</v>
      </c>
      <c r="BU62" s="703">
        <f>Datenbank!D$56*Datenbank!$J57</f>
        <v>1</v>
      </c>
      <c r="BV62" s="703">
        <f>Datenbank!E$56*Datenbank!$J57</f>
        <v>1</v>
      </c>
      <c r="BW62" s="703">
        <f>Datenbank!F$56*Datenbank!$J57</f>
        <v>1</v>
      </c>
      <c r="BX62" s="703">
        <f>Datenbank!G$56*Datenbank!$J57</f>
        <v>1</v>
      </c>
      <c r="BY62" s="703">
        <f>Datenbank!H$56*Datenbank!$J57</f>
        <v>1</v>
      </c>
      <c r="BZ62" s="703">
        <f>Datenbank!I$56*Datenbank!$J57</f>
        <v>1</v>
      </c>
      <c r="CC62" s="703">
        <f>Datenbank!C$56*Datenbank!$K57</f>
        <v>1</v>
      </c>
      <c r="CD62" s="703">
        <f>Datenbank!D$56*Datenbank!$K57</f>
        <v>1</v>
      </c>
      <c r="CE62" s="703">
        <f>Datenbank!E$56*Datenbank!$K57</f>
        <v>1</v>
      </c>
      <c r="CF62" s="703">
        <f>Datenbank!F$56*Datenbank!$K57</f>
        <v>1</v>
      </c>
      <c r="CG62" s="703">
        <f>Datenbank!G$56*Datenbank!$K57</f>
        <v>1</v>
      </c>
      <c r="CH62" s="703">
        <f>Datenbank!H$56*Datenbank!$K57</f>
        <v>1</v>
      </c>
      <c r="CI62" s="703">
        <f>Datenbank!I$56*Datenbank!$K57</f>
        <v>1</v>
      </c>
      <c r="CL62" s="703">
        <f>Datenbank!C$56*Datenbank!$L57</f>
        <v>1</v>
      </c>
      <c r="CM62" s="703">
        <f>Datenbank!D$56*Datenbank!$L57</f>
        <v>1</v>
      </c>
      <c r="CN62" s="703">
        <f>Datenbank!E$56*Datenbank!$L57</f>
        <v>1</v>
      </c>
      <c r="CO62" s="703">
        <f>Datenbank!F$56*Datenbank!$L57</f>
        <v>1</v>
      </c>
      <c r="CP62" s="703">
        <f>Datenbank!G$56*Datenbank!$L57</f>
        <v>1</v>
      </c>
      <c r="CQ62" s="703">
        <f>Datenbank!H$56*Datenbank!$L57</f>
        <v>1</v>
      </c>
      <c r="CR62" s="703">
        <f>Datenbank!I$56*Datenbank!$L57</f>
        <v>1</v>
      </c>
      <c r="CT62" s="1073"/>
    </row>
    <row r="63" spans="1:99">
      <c r="A63" s="1142" t="s">
        <v>2098</v>
      </c>
      <c r="B63" s="1113">
        <f>Datenbank!C56*Datenbank!C58</f>
        <v>3</v>
      </c>
      <c r="C63" s="1113">
        <f>Datenbank!D56*Datenbank!D58</f>
        <v>3</v>
      </c>
      <c r="D63" s="1113">
        <f>Datenbank!E56*Datenbank!E58</f>
        <v>2</v>
      </c>
      <c r="E63" s="1113">
        <f>Datenbank!F56*Datenbank!F58</f>
        <v>2</v>
      </c>
      <c r="F63" s="1113">
        <f>Datenbank!G56*Datenbank!G58</f>
        <v>2</v>
      </c>
      <c r="G63" s="1113">
        <f>Datenbank!H56*Datenbank!H58</f>
        <v>2</v>
      </c>
      <c r="H63" s="1113">
        <f>Datenbank!I56*Datenbank!I58</f>
        <v>2</v>
      </c>
      <c r="I63" s="1143">
        <f>Datenbank!$C$56*Datenbank!D58</f>
        <v>3</v>
      </c>
      <c r="J63" s="1113">
        <f>Datenbank!$C$56*Datenbank!E58</f>
        <v>2</v>
      </c>
      <c r="K63" s="1113">
        <f>Datenbank!$C$56*Datenbank!F58</f>
        <v>2</v>
      </c>
      <c r="L63" s="1113">
        <f>Datenbank!$C$56*Datenbank!G58</f>
        <v>2</v>
      </c>
      <c r="M63" s="1113">
        <f>Datenbank!$C$56*Datenbank!H58</f>
        <v>2</v>
      </c>
      <c r="N63" s="1113">
        <f>Datenbank!$C$56*Datenbank!I58</f>
        <v>2</v>
      </c>
      <c r="O63" s="1113">
        <f>Datenbank!$C$56*Datenbank!J58</f>
        <v>2</v>
      </c>
      <c r="P63" s="1113">
        <f>Datenbank!$C$56*Datenbank!K58</f>
        <v>2</v>
      </c>
      <c r="Q63" s="1113">
        <f>Datenbank!$C$56*Datenbank!L58</f>
        <v>1</v>
      </c>
      <c r="R63" s="1144">
        <f>Datenbank!$C$56*Datenbank!D58</f>
        <v>3</v>
      </c>
      <c r="S63" s="1113">
        <f>Datenbank!$D$56*Datenbank!E58</f>
        <v>2</v>
      </c>
      <c r="T63" s="1113">
        <f>Datenbank!$D$56*Datenbank!F58</f>
        <v>2</v>
      </c>
      <c r="U63" s="1113">
        <f>Datenbank!$D$56*Datenbank!G58</f>
        <v>2</v>
      </c>
      <c r="V63" s="1113">
        <f>Datenbank!$D$56*Datenbank!H58</f>
        <v>2</v>
      </c>
      <c r="W63" s="1113">
        <f>Datenbank!$D$56*Datenbank!I58</f>
        <v>2</v>
      </c>
      <c r="X63" s="1113">
        <f>Datenbank!$D$56*Datenbank!J58</f>
        <v>2</v>
      </c>
      <c r="Y63" s="1113">
        <f>Datenbank!$D$56*Datenbank!K58</f>
        <v>2</v>
      </c>
      <c r="Z63" s="1113">
        <f>Datenbank!$D$56*Datenbank!L58</f>
        <v>1</v>
      </c>
      <c r="AA63" s="1144">
        <f>Datenbank!C56*Datenbank!$E$58</f>
        <v>2</v>
      </c>
      <c r="AB63" s="1113">
        <f>Datenbank!D$56*Datenbank!E58</f>
        <v>2</v>
      </c>
      <c r="AC63" s="1113">
        <f>Datenbank!$E$56*Datenbank!F58</f>
        <v>2</v>
      </c>
      <c r="AD63" s="1113">
        <f>Datenbank!$E$56*Datenbank!G58</f>
        <v>2</v>
      </c>
      <c r="AE63" s="1113">
        <f>Datenbank!$E$56*Datenbank!H58</f>
        <v>2</v>
      </c>
      <c r="AF63" s="1113">
        <f>Datenbank!$E$56*Datenbank!I58</f>
        <v>2</v>
      </c>
      <c r="AG63" s="1113">
        <f>Datenbank!$E$56*Datenbank!J58</f>
        <v>2</v>
      </c>
      <c r="AH63" s="1113">
        <f>Datenbank!$E$56*Datenbank!K58</f>
        <v>2</v>
      </c>
      <c r="AI63" s="1113">
        <f>Datenbank!$E$56*Datenbank!L58</f>
        <v>1</v>
      </c>
      <c r="AJ63" s="1144">
        <f>Datenbank!C$56*Datenbank!$F58</f>
        <v>2</v>
      </c>
      <c r="AK63" s="1113">
        <f>Datenbank!D$56*Datenbank!$F58</f>
        <v>2</v>
      </c>
      <c r="AL63" s="1113">
        <f>Datenbank!E$56*Datenbank!$F58</f>
        <v>2</v>
      </c>
      <c r="AM63" s="1113">
        <f>Datenbank!G$56*Datenbank!$F58</f>
        <v>2</v>
      </c>
      <c r="AN63" s="1113">
        <f>Datenbank!$F$56*Datenbank!H58</f>
        <v>2</v>
      </c>
      <c r="AO63" s="1113">
        <f>Datenbank!$F$56*Datenbank!I58</f>
        <v>2</v>
      </c>
      <c r="AP63" s="1113">
        <f>Datenbank!$F$56*Datenbank!J58</f>
        <v>2</v>
      </c>
      <c r="AQ63" s="1113">
        <f>Datenbank!$F$56*Datenbank!K58</f>
        <v>2</v>
      </c>
      <c r="AR63" s="1113">
        <f>Datenbank!$F$56*Datenbank!L58</f>
        <v>1</v>
      </c>
      <c r="AS63" s="1144">
        <f>Datenbank!C$56*Datenbank!$G58</f>
        <v>2</v>
      </c>
      <c r="AT63" s="1113">
        <f>Datenbank!D$56*Datenbank!$G58</f>
        <v>2</v>
      </c>
      <c r="AU63" s="1113">
        <f>Datenbank!E$56*Datenbank!$G58</f>
        <v>2</v>
      </c>
      <c r="AV63" s="1113">
        <f>Datenbank!F$56*Datenbank!$G58</f>
        <v>2</v>
      </c>
      <c r="AW63" s="1113">
        <f>Datenbank!$G$56*Datenbank!H58</f>
        <v>2</v>
      </c>
      <c r="AX63" s="1113">
        <f>Datenbank!$G$56*Datenbank!I58</f>
        <v>2</v>
      </c>
      <c r="AY63" s="1113">
        <f>Datenbank!$G$56*Datenbank!J58</f>
        <v>2</v>
      </c>
      <c r="AZ63" s="1113">
        <f>Datenbank!$G$56*Datenbank!K58</f>
        <v>2</v>
      </c>
      <c r="BA63" s="1113">
        <f>Datenbank!$G$56*Datenbank!L58</f>
        <v>1</v>
      </c>
      <c r="BB63" s="1144">
        <f>Datenbank!$C$56*Datenbank!H58</f>
        <v>2</v>
      </c>
      <c r="BC63" s="1113">
        <f>Datenbank!$D$56*Datenbank!H58</f>
        <v>2</v>
      </c>
      <c r="BD63" s="1113">
        <f>Datenbank!$E$56*Datenbank!H58</f>
        <v>2</v>
      </c>
      <c r="BE63" s="1113">
        <f>Datenbank!$F$56*Datenbank!H58</f>
        <v>2</v>
      </c>
      <c r="BF63" s="1113">
        <f>Datenbank!$G$56*Datenbank!H58</f>
        <v>2</v>
      </c>
      <c r="BG63" s="1113">
        <f>Datenbank!$H$56*Datenbank!I58</f>
        <v>2</v>
      </c>
      <c r="BH63" s="1113">
        <f>Datenbank!$H$56*Datenbank!J58</f>
        <v>2</v>
      </c>
      <c r="BI63" s="1113">
        <f>Datenbank!$H$56*Datenbank!K58</f>
        <v>2</v>
      </c>
      <c r="BJ63" s="1113">
        <f>Datenbank!$H$56*Datenbank!L58</f>
        <v>1</v>
      </c>
      <c r="BK63" s="1144">
        <f>Datenbank!C$56*Datenbank!$I58</f>
        <v>2</v>
      </c>
      <c r="BL63" s="1113">
        <f>Datenbank!D$56*Datenbank!$I58</f>
        <v>2</v>
      </c>
      <c r="BM63" s="1113">
        <f>Datenbank!E$56*Datenbank!$I58</f>
        <v>2</v>
      </c>
      <c r="BN63" s="1113">
        <f>Datenbank!F$56*Datenbank!$I58</f>
        <v>2</v>
      </c>
      <c r="BO63" s="1113">
        <f>Datenbank!G$56*Datenbank!$I58</f>
        <v>2</v>
      </c>
      <c r="BP63" s="1113">
        <f>Datenbank!H$56*Datenbank!$I58</f>
        <v>2</v>
      </c>
      <c r="BQ63" s="1113">
        <f>Datenbank!$I$56*Datenbank!J58</f>
        <v>2</v>
      </c>
      <c r="BR63" s="1113">
        <f>Datenbank!$I$56*Datenbank!K58</f>
        <v>2</v>
      </c>
      <c r="BS63" s="1113">
        <f>Datenbank!$I$56*Datenbank!L58</f>
        <v>1</v>
      </c>
      <c r="BT63" s="1144">
        <f>Datenbank!C$56*Datenbank!$J58</f>
        <v>2</v>
      </c>
      <c r="BU63" s="1113">
        <f>Datenbank!D$56*Datenbank!$J58</f>
        <v>2</v>
      </c>
      <c r="BV63" s="1113">
        <f>Datenbank!E$56*Datenbank!$J58</f>
        <v>2</v>
      </c>
      <c r="BW63" s="1113">
        <f>Datenbank!F$56*Datenbank!$J58</f>
        <v>2</v>
      </c>
      <c r="BX63" s="1113">
        <f>Datenbank!G$56*Datenbank!$J58</f>
        <v>2</v>
      </c>
      <c r="BY63" s="1113">
        <f>Datenbank!H$56*Datenbank!$J58</f>
        <v>2</v>
      </c>
      <c r="BZ63" s="1113">
        <f>Datenbank!I$56*Datenbank!$J58</f>
        <v>2</v>
      </c>
      <c r="CA63" s="1113"/>
      <c r="CB63" s="1113"/>
      <c r="CC63" s="1113">
        <f>Datenbank!C$56*Datenbank!$K58</f>
        <v>2</v>
      </c>
      <c r="CD63" s="1113">
        <f>Datenbank!D$56*Datenbank!$K58</f>
        <v>2</v>
      </c>
      <c r="CE63" s="1113">
        <f>Datenbank!E$56*Datenbank!$K58</f>
        <v>2</v>
      </c>
      <c r="CF63" s="1113">
        <f>Datenbank!F$56*Datenbank!$K58</f>
        <v>2</v>
      </c>
      <c r="CG63" s="1113">
        <f>Datenbank!G$56*Datenbank!$K58</f>
        <v>2</v>
      </c>
      <c r="CH63" s="1113">
        <f>Datenbank!H$56*Datenbank!$K58</f>
        <v>2</v>
      </c>
      <c r="CI63" s="1113">
        <f>Datenbank!I$56*Datenbank!$K58</f>
        <v>2</v>
      </c>
      <c r="CJ63" s="1113"/>
      <c r="CK63" s="1113"/>
      <c r="CL63" s="1113">
        <f>Datenbank!C$56*Datenbank!$L58</f>
        <v>1</v>
      </c>
      <c r="CM63" s="1113">
        <f>Datenbank!D$56*Datenbank!$L58</f>
        <v>1</v>
      </c>
      <c r="CN63" s="1113">
        <f>Datenbank!E$56*Datenbank!$L58</f>
        <v>1</v>
      </c>
      <c r="CO63" s="1113">
        <f>Datenbank!F$56*Datenbank!$L58</f>
        <v>1</v>
      </c>
      <c r="CP63" s="1113">
        <f>Datenbank!G$56*Datenbank!$L58</f>
        <v>1</v>
      </c>
      <c r="CQ63" s="1113">
        <f>Datenbank!H$56*Datenbank!$L58</f>
        <v>1</v>
      </c>
      <c r="CR63" s="1113">
        <f>Datenbank!I$56*Datenbank!$L58</f>
        <v>1</v>
      </c>
      <c r="CS63" s="1113"/>
      <c r="CT63" s="1116"/>
    </row>
    <row r="64" spans="1:99">
      <c r="A64" s="704"/>
    </row>
    <row r="65" spans="1:23">
      <c r="A65" s="876" t="s">
        <v>1642</v>
      </c>
      <c r="M65" s="846" t="s">
        <v>1650</v>
      </c>
      <c r="N65" s="743"/>
      <c r="O65" s="743"/>
      <c r="P65" s="743"/>
      <c r="Q65" s="743"/>
      <c r="R65" s="743"/>
      <c r="S65" s="743"/>
      <c r="T65" s="743"/>
      <c r="U65" s="743"/>
      <c r="V65" s="743"/>
      <c r="W65" s="743"/>
    </row>
    <row r="66" spans="1:23">
      <c r="A66" s="710" t="s">
        <v>1275</v>
      </c>
      <c r="B66" s="873">
        <v>2.65</v>
      </c>
      <c r="C66" s="873">
        <v>2.85</v>
      </c>
      <c r="D66" s="873">
        <v>3</v>
      </c>
      <c r="E66" s="873">
        <v>3.5</v>
      </c>
      <c r="F66" s="873">
        <v>4</v>
      </c>
      <c r="G66" s="873">
        <v>4.5</v>
      </c>
      <c r="H66" s="873">
        <v>5</v>
      </c>
      <c r="I66" s="873">
        <v>5.3</v>
      </c>
      <c r="J66" s="873">
        <v>5.7</v>
      </c>
      <c r="K66" s="873">
        <v>6</v>
      </c>
      <c r="M66" s="800"/>
      <c r="N66" s="849" t="s">
        <v>1371</v>
      </c>
      <c r="O66" s="849" t="s">
        <v>1372</v>
      </c>
      <c r="P66" s="849" t="s">
        <v>1373</v>
      </c>
      <c r="Q66" s="849" t="s">
        <v>1374</v>
      </c>
      <c r="R66" s="849" t="s">
        <v>1375</v>
      </c>
      <c r="S66" s="849" t="s">
        <v>1376</v>
      </c>
      <c r="T66" s="849" t="s">
        <v>1616</v>
      </c>
      <c r="U66" s="849" t="s">
        <v>1617</v>
      </c>
      <c r="V66" s="849" t="s">
        <v>1618</v>
      </c>
      <c r="W66" s="849" t="s">
        <v>1619</v>
      </c>
    </row>
    <row r="67" spans="1:23">
      <c r="A67" s="713" t="s">
        <v>1670</v>
      </c>
      <c r="B67" s="709">
        <f t="shared" ref="B67:K67" si="65">ROUNDDOWN($B$2/B66, 0)</f>
        <v>18</v>
      </c>
      <c r="C67" s="709">
        <f t="shared" si="65"/>
        <v>17</v>
      </c>
      <c r="D67" s="709">
        <f t="shared" si="65"/>
        <v>16</v>
      </c>
      <c r="E67" s="709">
        <f t="shared" si="65"/>
        <v>14</v>
      </c>
      <c r="F67" s="709">
        <f t="shared" si="65"/>
        <v>12</v>
      </c>
      <c r="G67" s="709">
        <f t="shared" si="65"/>
        <v>11</v>
      </c>
      <c r="H67" s="709">
        <f t="shared" si="65"/>
        <v>10</v>
      </c>
      <c r="I67" s="709">
        <f t="shared" si="65"/>
        <v>9</v>
      </c>
      <c r="J67" s="709">
        <f t="shared" si="65"/>
        <v>8</v>
      </c>
      <c r="K67" s="709">
        <f t="shared" si="65"/>
        <v>8</v>
      </c>
      <c r="M67" s="743" t="s">
        <v>1646</v>
      </c>
      <c r="N67" s="850">
        <v>0.9464285714285714</v>
      </c>
      <c r="O67" s="851">
        <v>0.95</v>
      </c>
      <c r="P67" s="851">
        <v>1</v>
      </c>
      <c r="Q67" s="851">
        <v>1</v>
      </c>
      <c r="R67" s="851">
        <v>0.95238095238095233</v>
      </c>
      <c r="S67" s="851">
        <v>0.9642857142857143</v>
      </c>
      <c r="T67" s="851">
        <v>0.95238095238095233</v>
      </c>
      <c r="U67" s="851">
        <v>0.88333333333333341</v>
      </c>
      <c r="V67" s="851">
        <v>0.95</v>
      </c>
      <c r="W67" s="851">
        <v>1</v>
      </c>
    </row>
    <row r="68" spans="1:23">
      <c r="A68" s="713" t="s">
        <v>1644</v>
      </c>
      <c r="B68" s="874">
        <f t="shared" ref="B68:H68" si="66">B66*B28</f>
        <v>47.699999999999996</v>
      </c>
      <c r="C68" s="874">
        <f t="shared" si="66"/>
        <v>48.45</v>
      </c>
      <c r="D68" s="874">
        <f t="shared" si="66"/>
        <v>45</v>
      </c>
      <c r="E68" s="874">
        <f t="shared" si="66"/>
        <v>49</v>
      </c>
      <c r="F68" s="874">
        <f t="shared" si="66"/>
        <v>48</v>
      </c>
      <c r="G68" s="874">
        <f t="shared" si="66"/>
        <v>49.5</v>
      </c>
      <c r="H68" s="874">
        <f t="shared" si="66"/>
        <v>50</v>
      </c>
      <c r="I68" s="874">
        <f>I66*BT28</f>
        <v>47.699999999999996</v>
      </c>
      <c r="J68" s="874">
        <f>J66*CC28</f>
        <v>45.6</v>
      </c>
      <c r="K68" s="874">
        <f>K66*CL28</f>
        <v>48</v>
      </c>
      <c r="M68" s="743" t="s">
        <v>1651</v>
      </c>
      <c r="N68" s="852">
        <v>0.79499999999999993</v>
      </c>
      <c r="O68" s="853">
        <v>0.85500000000000009</v>
      </c>
      <c r="P68" s="853">
        <v>0.9</v>
      </c>
      <c r="Q68" s="853">
        <v>0.7</v>
      </c>
      <c r="R68" s="853">
        <v>0.8</v>
      </c>
      <c r="S68" s="853">
        <v>0.9</v>
      </c>
      <c r="T68" s="853">
        <v>1</v>
      </c>
      <c r="U68" s="853">
        <v>0.53</v>
      </c>
      <c r="V68" s="853">
        <v>0.57000000000000006</v>
      </c>
      <c r="W68" s="853">
        <v>0.6</v>
      </c>
    </row>
    <row r="69" spans="1:23">
      <c r="A69" s="713" t="s">
        <v>1646</v>
      </c>
      <c r="B69" s="875">
        <f t="shared" ref="B69:K69" si="67">B68/$B$2</f>
        <v>0.95399999999999996</v>
      </c>
      <c r="C69" s="875">
        <f t="shared" si="67"/>
        <v>0.96900000000000008</v>
      </c>
      <c r="D69" s="875">
        <f t="shared" si="67"/>
        <v>0.9</v>
      </c>
      <c r="E69" s="875">
        <f t="shared" si="67"/>
        <v>0.98</v>
      </c>
      <c r="F69" s="875">
        <f t="shared" si="67"/>
        <v>0.96</v>
      </c>
      <c r="G69" s="875">
        <f t="shared" si="67"/>
        <v>0.99</v>
      </c>
      <c r="H69" s="875">
        <f t="shared" si="67"/>
        <v>1</v>
      </c>
      <c r="I69" s="875">
        <f t="shared" si="67"/>
        <v>0.95399999999999996</v>
      </c>
      <c r="J69" s="875">
        <f t="shared" si="67"/>
        <v>0.91200000000000003</v>
      </c>
      <c r="K69" s="875">
        <f t="shared" si="67"/>
        <v>0.96</v>
      </c>
    </row>
    <row r="70" spans="1:23">
      <c r="A70" s="713" t="s">
        <v>1671</v>
      </c>
      <c r="B70" s="709">
        <f t="shared" ref="B70:K70" si="68">ROUNDDOWN($B$3/B66, 0)</f>
        <v>5</v>
      </c>
      <c r="C70" s="709">
        <f t="shared" si="68"/>
        <v>4</v>
      </c>
      <c r="D70" s="709">
        <f t="shared" si="68"/>
        <v>4</v>
      </c>
      <c r="E70" s="709">
        <f t="shared" si="68"/>
        <v>4</v>
      </c>
      <c r="F70" s="709">
        <f t="shared" si="68"/>
        <v>3</v>
      </c>
      <c r="G70" s="709">
        <f t="shared" si="68"/>
        <v>3</v>
      </c>
      <c r="H70" s="709">
        <f t="shared" si="68"/>
        <v>2</v>
      </c>
      <c r="I70" s="709">
        <f t="shared" si="68"/>
        <v>2</v>
      </c>
      <c r="J70" s="709">
        <f t="shared" si="68"/>
        <v>2</v>
      </c>
      <c r="K70" s="709">
        <f t="shared" si="68"/>
        <v>2</v>
      </c>
    </row>
    <row r="71" spans="1:23">
      <c r="A71" s="713" t="s">
        <v>1645</v>
      </c>
      <c r="B71" s="874">
        <f t="shared" ref="B71:H71" si="69">B66*B30</f>
        <v>13.25</v>
      </c>
      <c r="C71" s="874">
        <f t="shared" si="69"/>
        <v>11.4</v>
      </c>
      <c r="D71" s="874">
        <f t="shared" si="69"/>
        <v>12</v>
      </c>
      <c r="E71" s="874">
        <f t="shared" si="69"/>
        <v>14</v>
      </c>
      <c r="F71" s="874">
        <f t="shared" si="69"/>
        <v>12</v>
      </c>
      <c r="G71" s="874">
        <f t="shared" si="69"/>
        <v>13.5</v>
      </c>
      <c r="H71" s="874">
        <f t="shared" si="69"/>
        <v>10</v>
      </c>
      <c r="I71" s="874">
        <f>I66*O30</f>
        <v>10.6</v>
      </c>
      <c r="J71" s="874">
        <f>J66*P30</f>
        <v>11.4</v>
      </c>
      <c r="K71" s="874">
        <f>K66*Q30</f>
        <v>12</v>
      </c>
    </row>
    <row r="72" spans="1:23">
      <c r="A72" s="713" t="s">
        <v>1643</v>
      </c>
      <c r="B72" s="875">
        <f t="shared" ref="B72:K72" si="70">B71/$B$3</f>
        <v>0.93309859154929586</v>
      </c>
      <c r="C72" s="875">
        <f t="shared" si="70"/>
        <v>0.80281690140845074</v>
      </c>
      <c r="D72" s="875">
        <f t="shared" si="70"/>
        <v>0.84507042253521136</v>
      </c>
      <c r="E72" s="875">
        <f t="shared" si="70"/>
        <v>0.9859154929577465</v>
      </c>
      <c r="F72" s="875">
        <f t="shared" si="70"/>
        <v>0.84507042253521136</v>
      </c>
      <c r="G72" s="875">
        <f t="shared" si="70"/>
        <v>0.95070422535211274</v>
      </c>
      <c r="H72" s="875">
        <f t="shared" si="70"/>
        <v>0.70422535211267612</v>
      </c>
      <c r="I72" s="875">
        <f t="shared" si="70"/>
        <v>0.74647887323943662</v>
      </c>
      <c r="J72" s="875">
        <f t="shared" si="70"/>
        <v>0.80281690140845074</v>
      </c>
      <c r="K72" s="875">
        <f t="shared" si="70"/>
        <v>0.84507042253521136</v>
      </c>
    </row>
    <row r="73" spans="1:23">
      <c r="A73" s="704"/>
      <c r="B73" s="848"/>
      <c r="C73" s="848"/>
      <c r="D73" s="848"/>
      <c r="E73" s="848"/>
      <c r="F73" s="848"/>
      <c r="G73" s="848"/>
      <c r="H73" s="848"/>
      <c r="I73" s="848"/>
      <c r="J73" s="848"/>
      <c r="K73" s="848"/>
    </row>
    <row r="74" spans="1:23">
      <c r="A74" s="876" t="s">
        <v>1472</v>
      </c>
      <c r="B74" s="848"/>
      <c r="C74" s="848"/>
      <c r="D74" s="848"/>
      <c r="E74" s="848"/>
      <c r="F74" s="848"/>
      <c r="G74" s="848"/>
      <c r="H74" s="848"/>
      <c r="I74" s="848"/>
      <c r="J74" s="848"/>
      <c r="K74" s="848"/>
    </row>
    <row r="75" spans="1:23">
      <c r="A75" s="707" t="s">
        <v>1277</v>
      </c>
      <c r="B75" s="709">
        <f t="shared" ref="B75:K75" si="71">IF(B67&lt;=8,1,IF(B67&lt;=16,2,3))</f>
        <v>3</v>
      </c>
      <c r="C75" s="709">
        <f t="shared" si="71"/>
        <v>3</v>
      </c>
      <c r="D75" s="709">
        <f t="shared" si="71"/>
        <v>2</v>
      </c>
      <c r="E75" s="709">
        <f t="shared" si="71"/>
        <v>2</v>
      </c>
      <c r="F75" s="709">
        <f t="shared" si="71"/>
        <v>2</v>
      </c>
      <c r="G75" s="709">
        <f t="shared" si="71"/>
        <v>2</v>
      </c>
      <c r="H75" s="709">
        <f t="shared" si="71"/>
        <v>2</v>
      </c>
      <c r="I75" s="709">
        <f t="shared" si="71"/>
        <v>2</v>
      </c>
      <c r="J75" s="709">
        <f t="shared" si="71"/>
        <v>1</v>
      </c>
      <c r="K75" s="709">
        <f t="shared" si="71"/>
        <v>1</v>
      </c>
      <c r="L75" s="747" t="s">
        <v>2210</v>
      </c>
    </row>
    <row r="76" spans="1:23" ht="30">
      <c r="A76" s="830" t="s">
        <v>2211</v>
      </c>
      <c r="B76" s="709">
        <f>ROUND(B67/$B$18,0)</f>
        <v>6</v>
      </c>
      <c r="C76" s="709">
        <f t="shared" ref="C76:K76" si="72">ROUND(C67/$B$18,0)</f>
        <v>6</v>
      </c>
      <c r="D76" s="709">
        <f t="shared" si="72"/>
        <v>5</v>
      </c>
      <c r="E76" s="709">
        <f t="shared" si="72"/>
        <v>5</v>
      </c>
      <c r="F76" s="709">
        <f t="shared" si="72"/>
        <v>4</v>
      </c>
      <c r="G76" s="709">
        <f t="shared" si="72"/>
        <v>4</v>
      </c>
      <c r="H76" s="709">
        <f t="shared" si="72"/>
        <v>3</v>
      </c>
      <c r="I76" s="709">
        <f t="shared" si="72"/>
        <v>3</v>
      </c>
      <c r="J76" s="709">
        <f t="shared" si="72"/>
        <v>3</v>
      </c>
      <c r="K76" s="709">
        <f t="shared" si="72"/>
        <v>3</v>
      </c>
    </row>
    <row r="77" spans="1:23">
      <c r="A77" s="710" t="s">
        <v>1257</v>
      </c>
      <c r="B77" s="709">
        <f>IF(B76=Datenbank!$B$68,Datenbank!$B$69,IF(B76=Datenbank!$C$68,Datenbank!$C$69,IF(B76=Datenbank!$D$68,Datenbank!$D$69,IF(B76=Datenbank!$E$68,Datenbank!$E$69,IF(B76=Datenbank!$F$68,Datenbank!$F$69,IF(B76=Datenbank!$G$68,Datenbank!$G$69,IF(B76=Datenbank!$H$68,Datenbank!$H$69,IF(B76=Datenbank!$I$68,Datenbank!$I$69))))))))</f>
        <v>4</v>
      </c>
      <c r="C77" s="709">
        <f>IF(C76=Datenbank!$B$68,Datenbank!$B$69,IF(C76=Datenbank!$C$68,Datenbank!$C$69,IF(C76=Datenbank!$D$68,Datenbank!$D$69,IF(C76=Datenbank!$E$68,Datenbank!$E$69,IF(C76=Datenbank!$F$68,Datenbank!$F$69,IF(C76=Datenbank!$G$68,Datenbank!$G$69,IF(C76=Datenbank!$H$68,Datenbank!$H$69,IF(C76=Datenbank!$I$68,Datenbank!$I$69))))))))</f>
        <v>4</v>
      </c>
      <c r="D77" s="709">
        <f>IF(D76=Datenbank!$B$68,Datenbank!$B$69,IF(D76=Datenbank!$C$68,Datenbank!$C$69,IF(D76=Datenbank!$D$68,Datenbank!$D$69,IF(D76=Datenbank!$E$68,Datenbank!$E$69,IF(D76=Datenbank!$F$68,Datenbank!$F$69,IF(D76=Datenbank!$G$68,Datenbank!$G$69,IF(D76=Datenbank!$H$68,Datenbank!$H$69,IF(D76=Datenbank!$I$68,Datenbank!$I$69))))))))</f>
        <v>3</v>
      </c>
      <c r="E77" s="709">
        <f>IF(E76=Datenbank!$B$68,Datenbank!$B$69,IF(E76=Datenbank!$C$68,Datenbank!$C$69,IF(E76=Datenbank!$D$68,Datenbank!$D$69,IF(E76=Datenbank!$E$68,Datenbank!$E$69,IF(E76=Datenbank!$F$68,Datenbank!$F$69,IF(E76=Datenbank!$G$68,Datenbank!$G$69,IF(E76=Datenbank!$H$68,Datenbank!$H$69,IF(E76=Datenbank!$I$68,Datenbank!$I$69))))))))</f>
        <v>3</v>
      </c>
      <c r="F77" s="709">
        <f>IF(F76=Datenbank!$B$68,Datenbank!$B$69,IF(F76=Datenbank!$C$68,Datenbank!$C$69,IF(F76=Datenbank!$D$68,Datenbank!$D$69,IF(F76=Datenbank!$E$68,Datenbank!$E$69,IF(F76=Datenbank!$F$68,Datenbank!$F$69,IF(F76=Datenbank!$G$68,Datenbank!$G$69,IF(F76=Datenbank!$H$68,Datenbank!$H$69,IF(F76=Datenbank!$I$68,Datenbank!$I$69))))))))</f>
        <v>2</v>
      </c>
      <c r="G77" s="709">
        <f>IF(G76=Datenbank!$B$68,Datenbank!$B$69,IF(G76=Datenbank!$C$68,Datenbank!$C$69,IF(G76=Datenbank!$D$68,Datenbank!$D$69,IF(G76=Datenbank!$E$68,Datenbank!$E$69,IF(G76=Datenbank!$F$68,Datenbank!$F$69,IF(G76=Datenbank!$G$68,Datenbank!$G$69,IF(G76=Datenbank!$H$68,Datenbank!$H$69,IF(G76=Datenbank!$I$68,Datenbank!$I$69))))))))</f>
        <v>2</v>
      </c>
      <c r="H77" s="709">
        <f>IF(H76=Datenbank!$B$68,Datenbank!$B$69,IF(H76=Datenbank!$C$68,Datenbank!$C$69,IF(H76=Datenbank!$D$68,Datenbank!$D$69,IF(H76=Datenbank!$E$68,Datenbank!$E$69,IF(H76=Datenbank!$F$68,Datenbank!$F$69,IF(H76=Datenbank!$G$68,Datenbank!$G$69,IF(H76=Datenbank!$H$68,Datenbank!$H$69,IF(H76=Datenbank!$I$68,Datenbank!$I$69))))))))</f>
        <v>2</v>
      </c>
      <c r="I77" s="709">
        <f>IF(I76=Datenbank!$B$68,Datenbank!$B$69,IF(I76=Datenbank!$C$68,Datenbank!$C$69,IF(I76=Datenbank!$D$68,Datenbank!$D$69,IF(I76=Datenbank!$E$68,Datenbank!$E$69,IF(I76=Datenbank!$F$68,Datenbank!$F$69,IF(I76=Datenbank!$G$68,Datenbank!$G$69,IF(I76=Datenbank!$H$68,Datenbank!$H$69,IF(I76=Datenbank!$I$68,Datenbank!$I$69))))))))</f>
        <v>2</v>
      </c>
      <c r="J77" s="709">
        <f>IF(J76=Datenbank!$B$68,Datenbank!$B$69,IF(J76=Datenbank!$C$68,Datenbank!$C$69,IF(J76=Datenbank!$D$68,Datenbank!$D$69,IF(J76=Datenbank!$E$68,Datenbank!$E$69,IF(J76=Datenbank!$F$68,Datenbank!$F$69,IF(J76=Datenbank!$G$68,Datenbank!$G$69,IF(J76=Datenbank!$H$68,Datenbank!$H$69,IF(J76=Datenbank!$I$68,Datenbank!$I$69))))))))</f>
        <v>2</v>
      </c>
      <c r="K77" s="709">
        <f>IF(K76=Datenbank!$B$68,Datenbank!$B$69,IF(K76=Datenbank!$C$68,Datenbank!$C$69,IF(K76=Datenbank!$D$68,Datenbank!$D$69,IF(K76=Datenbank!$E$68,Datenbank!$E$69,IF(K76=Datenbank!$F$68,Datenbank!$F$69,IF(K76=Datenbank!$G$68,Datenbank!$G$69,IF(K76=Datenbank!$H$68,Datenbank!$H$69,IF(K76=Datenbank!$I$68,Datenbank!$I$69))))))))</f>
        <v>2</v>
      </c>
    </row>
    <row r="78" spans="1:23">
      <c r="A78" s="704"/>
    </row>
    <row r="85" spans="1:12">
      <c r="A85" s="702" t="s">
        <v>1295</v>
      </c>
      <c r="B85" s="716"/>
      <c r="C85" s="716"/>
      <c r="D85" s="716"/>
      <c r="E85" s="716"/>
      <c r="F85" s="716"/>
      <c r="G85" s="716"/>
      <c r="H85" s="716"/>
    </row>
    <row r="86" spans="1:12">
      <c r="A86" s="877" t="s">
        <v>1296</v>
      </c>
      <c r="B86" s="878">
        <f>B66/$B$3</f>
        <v>0.18661971830985916</v>
      </c>
      <c r="C86" s="878">
        <f t="shared" ref="C86:K86" si="73">C26/$B$3</f>
        <v>0.20070422535211269</v>
      </c>
      <c r="D86" s="878">
        <f t="shared" si="73"/>
        <v>0.21126760563380284</v>
      </c>
      <c r="E86" s="878">
        <f t="shared" si="73"/>
        <v>0.24647887323943662</v>
      </c>
      <c r="F86" s="878">
        <f t="shared" si="73"/>
        <v>0.28169014084507044</v>
      </c>
      <c r="G86" s="878">
        <f t="shared" si="73"/>
        <v>0.31690140845070425</v>
      </c>
      <c r="H86" s="878">
        <f t="shared" si="73"/>
        <v>0.35211267605633806</v>
      </c>
      <c r="I86" s="878">
        <f t="shared" si="73"/>
        <v>0.18661971830985916</v>
      </c>
      <c r="J86" s="878">
        <f t="shared" si="73"/>
        <v>0.18661971830985916</v>
      </c>
      <c r="K86" s="878">
        <f t="shared" si="73"/>
        <v>0.18661971830985916</v>
      </c>
      <c r="L86" s="877" t="s">
        <v>1297</v>
      </c>
    </row>
    <row r="87" spans="1:12">
      <c r="A87" s="704" t="s">
        <v>1298</v>
      </c>
      <c r="B87" s="716"/>
      <c r="C87" s="716"/>
      <c r="D87" s="716"/>
      <c r="E87" s="716"/>
      <c r="F87" s="716"/>
      <c r="G87" s="716"/>
      <c r="H87" s="716"/>
    </row>
    <row r="88" spans="1:12">
      <c r="A88" s="704" t="s">
        <v>1257</v>
      </c>
      <c r="B88" s="703">
        <f>IF(Rechenmodell!B33=Datenbank!$B$68,Datenbank!$B$69,IF(Rechenmodell!B33=Datenbank!$C$68,Datenbank!$C$69,IF(Rechenmodell!B33=Datenbank!$D$68,Datenbank!$D$69,IF(Rechenmodell!B33=Datenbank!$E$68,Datenbank!$E$69,IF(Rechenmodell!B33=Datenbank!$F$68,Datenbank!$F$69,IF(Rechenmodell!B33=Datenbank!$G$68,Datenbank!$G$69,IF(Rechenmodell!B33=Datenbank!$H$68,Datenbank!$H$69,IF(Rechenmodell!B33=Datenbank!$I$68,Datenbank!$I$69))))))))</f>
        <v>4</v>
      </c>
      <c r="C88" s="703">
        <f>IF(Rechenmodell!C33=Datenbank!$B$68,Datenbank!$B$69,IF(Rechenmodell!C33=Datenbank!$C$68,Datenbank!$C$69,IF(Rechenmodell!C33=Datenbank!$D$68,Datenbank!$D$69,IF(Rechenmodell!C33=Datenbank!$E$68,Datenbank!$E$69,IF(Rechenmodell!C33=Datenbank!$F$68,Datenbank!$F$69,IF(Rechenmodell!C33=Datenbank!$G$68,Datenbank!$G$69,IF(Rechenmodell!C33=Datenbank!$H$68,Datenbank!$H$69,IF(Rechenmodell!C33=Datenbank!$I$68,Datenbank!$I$69))))))))</f>
        <v>4</v>
      </c>
      <c r="D88" s="703">
        <f>IF(Rechenmodell!D33=Datenbank!$B$68,Datenbank!$B$69,IF(Rechenmodell!D33=Datenbank!$C$68,Datenbank!$C$69,IF(Rechenmodell!D33=Datenbank!$D$68,Datenbank!$D$69,IF(Rechenmodell!D33=Datenbank!$E$68,Datenbank!$E$69,IF(Rechenmodell!D33=Datenbank!$F$68,Datenbank!$F$69,IF(Rechenmodell!D33=Datenbank!$G$68,Datenbank!$G$69,IF(Rechenmodell!D33=Datenbank!$H$68,Datenbank!$H$69,IF(Rechenmodell!D33=Datenbank!$I$68,Datenbank!$I$69))))))))</f>
        <v>5</v>
      </c>
      <c r="E88" s="703">
        <f>IF(Rechenmodell!E33=Datenbank!$B$68,Datenbank!$B$69,IF(Rechenmodell!E33=Datenbank!$C$68,Datenbank!$C$69,IF(Rechenmodell!E33=Datenbank!$D$68,Datenbank!$D$69,IF(Rechenmodell!E33=Datenbank!$E$68,Datenbank!$E$69,IF(Rechenmodell!E33=Datenbank!$F$68,Datenbank!$F$69,IF(Rechenmodell!E33=Datenbank!$G$68,Datenbank!$G$69,IF(Rechenmodell!E33=Datenbank!$H$68,Datenbank!$H$69,IF(Rechenmodell!E33=Datenbank!$I$68,Datenbank!$I$69))))))))</f>
        <v>4</v>
      </c>
      <c r="F88" s="703">
        <f>IF(Rechenmodell!F33=Datenbank!$B$68,Datenbank!$B$69,IF(Rechenmodell!F33=Datenbank!$C$68,Datenbank!$C$69,IF(Rechenmodell!F33=Datenbank!$D$68,Datenbank!$D$69,IF(Rechenmodell!F33=Datenbank!$E$68,Datenbank!$E$69,IF(Rechenmodell!F33=Datenbank!$F$68,Datenbank!$F$69,IF(Rechenmodell!F33=Datenbank!$G$68,Datenbank!$G$69,IF(Rechenmodell!F33=Datenbank!$H$68,Datenbank!$H$69,IF(Rechenmodell!F33=Datenbank!$I$68,Datenbank!$I$69))))))))</f>
        <v>4</v>
      </c>
      <c r="G88" s="703">
        <f>IF(Rechenmodell!G33=Datenbank!$B$68,Datenbank!$B$69,IF(Rechenmodell!G33=Datenbank!$C$68,Datenbank!$C$69,IF(Rechenmodell!G33=Datenbank!$D$68,Datenbank!$D$69,IF(Rechenmodell!G33=Datenbank!$E$68,Datenbank!$E$69,IF(Rechenmodell!G33=Datenbank!$F$68,Datenbank!$F$69,IF(Rechenmodell!G33=Datenbank!$G$68,Datenbank!$G$69,IF(Rechenmodell!G33=Datenbank!$H$68,Datenbank!$H$69,IF(Rechenmodell!G33=Datenbank!$I$68,Datenbank!$I$69))))))))</f>
        <v>4</v>
      </c>
      <c r="H88" s="703">
        <f>IF(Rechenmodell!H33=Datenbank!$B$68,Datenbank!$B$69,IF(Rechenmodell!H33=Datenbank!$C$68,Datenbank!$C$69,IF(Rechenmodell!H33=Datenbank!$D$68,Datenbank!$D$69,IF(Rechenmodell!H33=Datenbank!$E$68,Datenbank!$E$69,IF(Rechenmodell!H33=Datenbank!$F$68,Datenbank!$F$69,IF(Rechenmodell!H33=Datenbank!$G$68,Datenbank!$G$69,IF(Rechenmodell!H33=Datenbank!$H$68,Datenbank!$H$69,IF(Rechenmodell!H33=Datenbank!$I$68,Datenbank!$I$69))))))))</f>
        <v>3</v>
      </c>
      <c r="I88" s="703">
        <f>IF(Rechenmodell!I33=Datenbank!$B$68,Datenbank!$B$69,IF(Rechenmodell!I33=Datenbank!$C$68,Datenbank!$C$69,IF(Rechenmodell!I33=Datenbank!$D$68,Datenbank!$D$69,IF(Rechenmodell!I33=Datenbank!$E$68,Datenbank!$E$69,IF(Rechenmodell!I33=Datenbank!$F$68,Datenbank!$F$69,IF(Rechenmodell!I33=Datenbank!$G$68,Datenbank!$G$69,IF(Rechenmodell!I33=Datenbank!$H$68,Datenbank!$H$69,IF(Rechenmodell!I33=Datenbank!$I$68,Datenbank!$I$69))))))))</f>
        <v>4</v>
      </c>
      <c r="J88" s="703">
        <f>IF(Rechenmodell!J33=Datenbank!$B$68,Datenbank!$B$69,IF(Rechenmodell!J33=Datenbank!$C$68,Datenbank!$C$69,IF(Rechenmodell!J33=Datenbank!$D$68,Datenbank!$D$69,IF(Rechenmodell!J33=Datenbank!$E$68,Datenbank!$E$69,IF(Rechenmodell!J33=Datenbank!$F$68,Datenbank!$F$69,IF(Rechenmodell!J33=Datenbank!$G$68,Datenbank!$G$69,IF(Rechenmodell!J33=Datenbank!$H$68,Datenbank!$H$69,IF(Rechenmodell!J33=Datenbank!$I$68,Datenbank!$I$69))))))))</f>
        <v>4</v>
      </c>
      <c r="K88" s="703">
        <f>IF(Rechenmodell!K33=Datenbank!$B$68,Datenbank!$B$69,IF(Rechenmodell!K33=Datenbank!$C$68,Datenbank!$C$69,IF(Rechenmodell!K33=Datenbank!$D$68,Datenbank!$D$69,IF(Rechenmodell!K33=Datenbank!$E$68,Datenbank!$E$69,IF(Rechenmodell!K33=Datenbank!$F$68,Datenbank!$F$69,IF(Rechenmodell!K33=Datenbank!$G$68,Datenbank!$G$69,IF(Rechenmodell!K33=Datenbank!$H$68,Datenbank!$H$69,IF(Rechenmodell!K33=Datenbank!$I$68,Datenbank!$I$69))))))))</f>
        <v>4</v>
      </c>
    </row>
    <row r="89" spans="1:12">
      <c r="A89" s="703" t="s">
        <v>1299</v>
      </c>
      <c r="B89" s="717">
        <f>'Eingabe und Ergebnis'!B30</f>
        <v>2.1</v>
      </c>
    </row>
    <row r="90" spans="1:12">
      <c r="A90" s="704" t="s">
        <v>1300</v>
      </c>
      <c r="B90" s="717">
        <f>2*B89</f>
        <v>4.2</v>
      </c>
      <c r="C90" s="718" t="s">
        <v>1301</v>
      </c>
    </row>
    <row r="91" spans="1:12">
      <c r="A91" s="703" t="s">
        <v>1302</v>
      </c>
      <c r="B91" s="717">
        <f>B90*2</f>
        <v>8.4</v>
      </c>
      <c r="C91" s="704" t="s">
        <v>1303</v>
      </c>
    </row>
    <row r="92" spans="1:12">
      <c r="A92" s="703" t="s">
        <v>1304</v>
      </c>
      <c r="B92" s="719">
        <f>B91/F4</f>
        <v>0.84000000000000008</v>
      </c>
      <c r="C92" s="703" t="s">
        <v>1669</v>
      </c>
    </row>
    <row r="93" spans="1:12">
      <c r="A93" s="704" t="s">
        <v>1254</v>
      </c>
      <c r="B93" s="716">
        <f ca="1">(B66-X20/1000)*Datenbank!$B$63</f>
        <v>1.2815000000000001</v>
      </c>
      <c r="C93" s="716">
        <f>(C66-Y20/1000)*Datenbank!$B$63</f>
        <v>1.5675000000000001</v>
      </c>
      <c r="D93" s="716">
        <f>(D66-Z20/1000)*Datenbank!$B$63</f>
        <v>1.6500000000000001</v>
      </c>
      <c r="E93" s="716">
        <f>(E66-AA20/1000)*Datenbank!$B$63</f>
        <v>1.9250000000000003</v>
      </c>
      <c r="F93" s="716">
        <f>(F66-AB20/1000)*Datenbank!$B$63</f>
        <v>2.2000000000000002</v>
      </c>
      <c r="G93" s="716">
        <f>(G66-AC20/1000)*Datenbank!$B$63</f>
        <v>2.4750000000000001</v>
      </c>
      <c r="H93" s="716">
        <f>(H66-AD20/1000)*Datenbank!$B$63</f>
        <v>2.75</v>
      </c>
      <c r="I93" s="716">
        <f>(I66-AE20/1000)*Datenbank!$B$63</f>
        <v>2.915</v>
      </c>
      <c r="J93" s="716">
        <f>(J66-AF20/1000)*Datenbank!$B$63</f>
        <v>3.1350000000000002</v>
      </c>
      <c r="K93" s="716">
        <f>(K66-AG20/1000)*Datenbank!$B$63</f>
        <v>3.3000000000000003</v>
      </c>
    </row>
    <row r="94" spans="1:12">
      <c r="A94" s="704"/>
      <c r="B94" s="716"/>
      <c r="C94" s="716"/>
      <c r="D94" s="716"/>
      <c r="E94" s="716"/>
      <c r="F94" s="716"/>
      <c r="G94" s="716"/>
      <c r="H94" s="716"/>
    </row>
    <row r="95" spans="1:12">
      <c r="A95" s="702" t="s">
        <v>1305</v>
      </c>
      <c r="B95" s="716"/>
      <c r="C95" s="716"/>
      <c r="D95" s="716"/>
      <c r="E95" s="716"/>
      <c r="F95" s="716"/>
      <c r="G95" s="716"/>
      <c r="H95" s="716"/>
    </row>
    <row r="96" spans="1:12">
      <c r="A96" s="716" t="s">
        <v>1306</v>
      </c>
      <c r="B96" s="720" t="e">
        <f>IF('Eingabe und Ergebnis'!$B$23=Datenbank!$A$77,Datenbank!$C$77*Rechenmodell!B98,IF('Eingabe und Ergebnis'!$B$23=Datenbank!$A$78,Datenbank!$C$78*Rechenmodell!B98,IF('Eingabe und Ergebnis'!$B$23=Datenbank!$A$79,Datenbank!$C$79*Rechenmodell!B98,IF('Eingabe und Ergebnis'!$B$23=Datenbank!$A$80,Datenbank!$C$80*Rechenmodell!B98,IF('Eingabe und Ergebnis'!$B$23=Datenbank!$A$81,Datenbank!$C$81*Rechenmodell!B98,IF('Eingabe und Ergebnis'!$B$23=Datenbank!$A$82,Datenbank!$C$82*Rechenmodell!B98,IF('Eingabe und Ergebnis'!$B$23=Datenbank!$A$83,Datenbank!$C$83*Rechenmodell!B98,IF('Eingabe und Ergebnis'!$B$23=Datenbank!$A$84,Datenbank!$C$84*Rechenmodell!B98,IF('Eingabe und Ergebnis'!$B$23=Datenbank!$A$85,Datenbank!$C$85*Rechenmodell!B98,IF('Eingabe und Ergebnis'!$B$23=Datenbank!$A$86,Datenbank!$C$86*Rechenmodell!B98,IF('Eingabe und Ergebnis'!$B$23=Datenbank!$A$87,Datenbank!$C$87*Rechenmodell!B98,IF('Eingabe und Ergebnis'!$B$23=Datenbank!$A$88,Datenbank!$C$88*Rechenmodell!B98,IF('Eingabe und Ergebnis'!$B$23=Datenbank!$A$89,Datenbank!$C$89*Rechenmodell!B98,IF('Eingabe und Ergebnis'!$B$23=Datenbank!$A$90,Datenbank!$C$90*Rechenmodell!B3,IF('Eingabe und Ergebnis'!$B$23=Datenbank!$A$91,Datenbank!$A$91*Rechenmodell!B98,IF('Eingabe und Ergebnis'!$B$23=Datenbank!$A$92,Datenbank!$A$92*Rechenmodell!B98))))))))))))))))</f>
        <v>#REF!</v>
      </c>
      <c r="C96" s="720" t="e">
        <f>IF('Eingabe und Ergebnis'!$B$23=Datenbank!$A$77,Datenbank!$C$77*Rechenmodell!C98,IF('Eingabe und Ergebnis'!$B$23=Datenbank!$A$78,Datenbank!$C$78*Rechenmodell!C98,IF('Eingabe und Ergebnis'!$B$23=Datenbank!$A$79,Datenbank!$C$79*Rechenmodell!C98,IF('Eingabe und Ergebnis'!$B$23=Datenbank!$A$80,Datenbank!$C$80*Rechenmodell!C98,IF('Eingabe und Ergebnis'!$B$23=Datenbank!$A$81,Datenbank!$C$81*Rechenmodell!C98,IF('Eingabe und Ergebnis'!$B$23=Datenbank!$A$82,Datenbank!$C$82*Rechenmodell!C98,IF('Eingabe und Ergebnis'!$B$23=Datenbank!$A$83,Datenbank!$C$83*Rechenmodell!C98,IF('Eingabe und Ergebnis'!$B$23=Datenbank!$A$84,Datenbank!$C$84*Rechenmodell!C98,IF('Eingabe und Ergebnis'!$B$23=Datenbank!$A$85,Datenbank!$C$85*Rechenmodell!C98,IF('Eingabe und Ergebnis'!$B$23=Datenbank!$A$86,Datenbank!$C$86*Rechenmodell!C98,IF('Eingabe und Ergebnis'!$B$23=Datenbank!$A$87,Datenbank!$C$87*Rechenmodell!C98,IF('Eingabe und Ergebnis'!$B$23=Datenbank!$A$88,Datenbank!$C$88*Rechenmodell!C98,IF('Eingabe und Ergebnis'!$B$23=Datenbank!$A$89,Datenbank!$C$89*Rechenmodell!C98,IF('Eingabe und Ergebnis'!$B$23=Datenbank!$A$90,Datenbank!$C$90*Rechenmodell!C3,IF('Eingabe und Ergebnis'!$B$23=Datenbank!$A$91,Datenbank!$A$91*Rechenmodell!C98,IF('Eingabe und Ergebnis'!$B$23=Datenbank!$A$92,Datenbank!$A$92*Rechenmodell!C98))))))))))))))))</f>
        <v>#REF!</v>
      </c>
      <c r="D96" s="720" t="e">
        <f>IF('Eingabe und Ergebnis'!$B$23=Datenbank!$A$77,Datenbank!$C$77*Rechenmodell!D98,IF('Eingabe und Ergebnis'!$B$23=Datenbank!$A$78,Datenbank!$C$78*Rechenmodell!D98,IF('Eingabe und Ergebnis'!$B$23=Datenbank!$A$79,Datenbank!$C$79*Rechenmodell!D98,IF('Eingabe und Ergebnis'!$B$23=Datenbank!$A$80,Datenbank!$C$80*Rechenmodell!D98,IF('Eingabe und Ergebnis'!$B$23=Datenbank!$A$81,Datenbank!$C$81*Rechenmodell!D98,IF('Eingabe und Ergebnis'!$B$23=Datenbank!$A$82,Datenbank!$C$82*Rechenmodell!D98,IF('Eingabe und Ergebnis'!$B$23=Datenbank!$A$83,Datenbank!$C$83*Rechenmodell!D98,IF('Eingabe und Ergebnis'!$B$23=Datenbank!$A$84,Datenbank!$C$84*Rechenmodell!D98,IF('Eingabe und Ergebnis'!$B$23=Datenbank!$A$85,Datenbank!$C$85*Rechenmodell!D98,IF('Eingabe und Ergebnis'!$B$23=Datenbank!$A$86,Datenbank!$C$86*Rechenmodell!D98,IF('Eingabe und Ergebnis'!$B$23=Datenbank!$A$87,Datenbank!$C$87*Rechenmodell!D98,IF('Eingabe und Ergebnis'!$B$23=Datenbank!$A$88,Datenbank!$C$88*Rechenmodell!D98,IF('Eingabe und Ergebnis'!$B$23=Datenbank!$A$89,Datenbank!$C$89*Rechenmodell!D98,IF('Eingabe und Ergebnis'!$B$23=Datenbank!$A$90,Datenbank!$C$90*Rechenmodell!#REF!,IF('Eingabe und Ergebnis'!$B$23=Datenbank!$A$91,Datenbank!$A$91*Rechenmodell!D98,IF('Eingabe und Ergebnis'!$B$23=Datenbank!$A$92,Datenbank!$A$92*Rechenmodell!D98))))))))))))))))</f>
        <v>#REF!</v>
      </c>
      <c r="E96" s="720" t="e">
        <f>IF('Eingabe und Ergebnis'!$B$23=Datenbank!$A$77,Datenbank!$C$77*Rechenmodell!E98,IF('Eingabe und Ergebnis'!$B$23=Datenbank!$A$78,Datenbank!$C$78*Rechenmodell!E98,IF('Eingabe und Ergebnis'!$B$23=Datenbank!$A$79,Datenbank!$C$79*Rechenmodell!E98,IF('Eingabe und Ergebnis'!$B$23=Datenbank!$A$80,Datenbank!$C$80*Rechenmodell!E98,IF('Eingabe und Ergebnis'!$B$23=Datenbank!$A$81,Datenbank!$C$81*Rechenmodell!E98,IF('Eingabe und Ergebnis'!$B$23=Datenbank!$A$82,Datenbank!$C$82*Rechenmodell!E98,IF('Eingabe und Ergebnis'!$B$23=Datenbank!$A$83,Datenbank!$C$83*Rechenmodell!E98,IF('Eingabe und Ergebnis'!$B$23=Datenbank!$A$84,Datenbank!$C$84*Rechenmodell!E98,IF('Eingabe und Ergebnis'!$B$23=Datenbank!$A$85,Datenbank!$C$85*Rechenmodell!E98,IF('Eingabe und Ergebnis'!$B$23=Datenbank!$A$86,Datenbank!$C$86*Rechenmodell!E98,IF('Eingabe und Ergebnis'!$B$23=Datenbank!$A$87,Datenbank!$C$87*Rechenmodell!E98,IF('Eingabe und Ergebnis'!$B$23=Datenbank!$A$88,Datenbank!$C$88*Rechenmodell!E98,IF('Eingabe und Ergebnis'!$B$23=Datenbank!$A$89,Datenbank!$C$89*Rechenmodell!E98,IF('Eingabe und Ergebnis'!$B$23=Datenbank!$A$90,Datenbank!$C$90*Rechenmodell!#REF!,IF('Eingabe und Ergebnis'!$B$23=Datenbank!$A$91,Datenbank!$A$91*Rechenmodell!E98,IF('Eingabe und Ergebnis'!$B$23=Datenbank!$A$92,Datenbank!$A$92*Rechenmodell!E98))))))))))))))))</f>
        <v>#REF!</v>
      </c>
      <c r="F96" s="720" t="e">
        <f>IF('Eingabe und Ergebnis'!$B$23=Datenbank!$A$77,Datenbank!$C$77*Rechenmodell!F98,IF('Eingabe und Ergebnis'!$B$23=Datenbank!$A$78,Datenbank!$C$78*Rechenmodell!F98,IF('Eingabe und Ergebnis'!$B$23=Datenbank!$A$79,Datenbank!$C$79*Rechenmodell!F98,IF('Eingabe und Ergebnis'!$B$23=Datenbank!$A$80,Datenbank!$C$80*Rechenmodell!F98,IF('Eingabe und Ergebnis'!$B$23=Datenbank!$A$81,Datenbank!$C$81*Rechenmodell!F98,IF('Eingabe und Ergebnis'!$B$23=Datenbank!$A$82,Datenbank!$C$82*Rechenmodell!F98,IF('Eingabe und Ergebnis'!$B$23=Datenbank!$A$83,Datenbank!$C$83*Rechenmodell!F98,IF('Eingabe und Ergebnis'!$B$23=Datenbank!$A$84,Datenbank!$C$84*Rechenmodell!F98,IF('Eingabe und Ergebnis'!$B$23=Datenbank!$A$85,Datenbank!$C$85*Rechenmodell!F98,IF('Eingabe und Ergebnis'!$B$23=Datenbank!$A$86,Datenbank!$C$86*Rechenmodell!F98,IF('Eingabe und Ergebnis'!$B$23=Datenbank!$A$87,Datenbank!$C$87*Rechenmodell!F98,IF('Eingabe und Ergebnis'!$B$23=Datenbank!$A$88,Datenbank!$C$88*Rechenmodell!F98,IF('Eingabe und Ergebnis'!$B$23=Datenbank!$A$89,Datenbank!$C$89*Rechenmodell!F98,IF('Eingabe und Ergebnis'!$B$23=Datenbank!$A$90,Datenbank!$C$90*Rechenmodell!#REF!,IF('Eingabe und Ergebnis'!$B$23=Datenbank!$A$91,Datenbank!$A$91*Rechenmodell!F98,IF('Eingabe und Ergebnis'!$B$23=Datenbank!$A$92,Datenbank!$A$92*Rechenmodell!F98))))))))))))))))</f>
        <v>#REF!</v>
      </c>
      <c r="G96" s="720" t="e">
        <f>IF('Eingabe und Ergebnis'!$B$23=Datenbank!$A$77,Datenbank!$C$77*Rechenmodell!G98,IF('Eingabe und Ergebnis'!$B$23=Datenbank!$A$78,Datenbank!$C$78*Rechenmodell!G98,IF('Eingabe und Ergebnis'!$B$23=Datenbank!$A$79,Datenbank!$C$79*Rechenmodell!G98,IF('Eingabe und Ergebnis'!$B$23=Datenbank!$A$80,Datenbank!$C$80*Rechenmodell!G98,IF('Eingabe und Ergebnis'!$B$23=Datenbank!$A$81,Datenbank!$C$81*Rechenmodell!G98,IF('Eingabe und Ergebnis'!$B$23=Datenbank!$A$82,Datenbank!$C$82*Rechenmodell!G98,IF('Eingabe und Ergebnis'!$B$23=Datenbank!$A$83,Datenbank!$C$83*Rechenmodell!G98,IF('Eingabe und Ergebnis'!$B$23=Datenbank!$A$84,Datenbank!$C$84*Rechenmodell!G98,IF('Eingabe und Ergebnis'!$B$23=Datenbank!$A$85,Datenbank!$C$85*Rechenmodell!G98,IF('Eingabe und Ergebnis'!$B$23=Datenbank!$A$86,Datenbank!$C$86*Rechenmodell!G98,IF('Eingabe und Ergebnis'!$B$23=Datenbank!$A$87,Datenbank!$C$87*Rechenmodell!G98,IF('Eingabe und Ergebnis'!$B$23=Datenbank!$A$88,Datenbank!$C$88*Rechenmodell!G98,IF('Eingabe und Ergebnis'!$B$23=Datenbank!$A$89,Datenbank!$C$89*Rechenmodell!G98,IF('Eingabe und Ergebnis'!$B$23=Datenbank!$A$90,Datenbank!$C$90*Rechenmodell!D3,IF('Eingabe und Ergebnis'!$B$23=Datenbank!$A$91,Datenbank!$A$91*Rechenmodell!G98,IF('Eingabe und Ergebnis'!$B$23=Datenbank!$A$92,Datenbank!$A$92*Rechenmodell!G98))))))))))))))))</f>
        <v>#REF!</v>
      </c>
      <c r="H96" s="720" t="e">
        <f>IF('Eingabe und Ergebnis'!$B$23=Datenbank!$A$77,Datenbank!$C$77*Rechenmodell!H98,IF('Eingabe und Ergebnis'!$B$23=Datenbank!$A$78,Datenbank!$C$78*Rechenmodell!H98,IF('Eingabe und Ergebnis'!$B$23=Datenbank!$A$79,Datenbank!$C$79*Rechenmodell!H98,IF('Eingabe und Ergebnis'!$B$23=Datenbank!$A$80,Datenbank!$C$80*Rechenmodell!H98,IF('Eingabe und Ergebnis'!$B$23=Datenbank!$A$81,Datenbank!$C$81*Rechenmodell!H98,IF('Eingabe und Ergebnis'!$B$23=Datenbank!$A$82,Datenbank!$C$82*Rechenmodell!H98,IF('Eingabe und Ergebnis'!$B$23=Datenbank!$A$83,Datenbank!$C$83*Rechenmodell!H98,IF('Eingabe und Ergebnis'!$B$23=Datenbank!$A$84,Datenbank!$C$84*Rechenmodell!H98,IF('Eingabe und Ergebnis'!$B$23=Datenbank!$A$85,Datenbank!$C$85*Rechenmodell!H98,IF('Eingabe und Ergebnis'!$B$23=Datenbank!$A$86,Datenbank!$C$86*Rechenmodell!H98,IF('Eingabe und Ergebnis'!$B$23=Datenbank!$A$87,Datenbank!$C$87*Rechenmodell!H98,IF('Eingabe und Ergebnis'!$B$23=Datenbank!$A$88,Datenbank!$C$88*Rechenmodell!H98,IF('Eingabe und Ergebnis'!$B$23=Datenbank!$A$89,Datenbank!$C$89*Rechenmodell!H98,IF('Eingabe und Ergebnis'!$B$23=Datenbank!$A$90,Datenbank!$C$90*Rechenmodell!E3,IF('Eingabe und Ergebnis'!$B$23=Datenbank!$A$91,Datenbank!$A$91*Rechenmodell!H98,IF('Eingabe und Ergebnis'!$B$23=Datenbank!$A$92,Datenbank!$A$92*Rechenmodell!H98))))))))))))))))</f>
        <v>#REF!</v>
      </c>
    </row>
    <row r="97" spans="1:8">
      <c r="A97" s="716" t="s">
        <v>1307</v>
      </c>
      <c r="B97" s="716">
        <f ca="1">Rechenmodell!$B$88*B26*B4/B5</f>
        <v>36.411000000000001</v>
      </c>
      <c r="D97" s="716"/>
      <c r="E97" s="716"/>
      <c r="F97" s="716"/>
      <c r="G97" s="716"/>
      <c r="H97" s="716"/>
    </row>
    <row r="98" spans="1:8">
      <c r="A98" s="716" t="s">
        <v>1308</v>
      </c>
      <c r="B98" s="721" t="e">
        <f>(B26-Datenbank!#REF!)*(B26-Datenbank!#REF!)</f>
        <v>#REF!</v>
      </c>
      <c r="C98" s="721" t="e">
        <f>(C26-Datenbank!#REF!)*(C26-Datenbank!#REF!)</f>
        <v>#REF!</v>
      </c>
      <c r="D98" s="721" t="e">
        <f>(D26-Datenbank!#REF!)*(D26-Datenbank!#REF!)</f>
        <v>#REF!</v>
      </c>
      <c r="E98" s="721" t="e">
        <f>(E26-Datenbank!#REF!)*(E26-Datenbank!#REF!)</f>
        <v>#REF!</v>
      </c>
      <c r="F98" s="721" t="e">
        <f>(F26-Datenbank!#REF!)*(F26-Datenbank!#REF!)</f>
        <v>#REF!</v>
      </c>
      <c r="G98" s="721" t="e">
        <f>(G26-Datenbank!#REF!)*(G26-Datenbank!#REF!)</f>
        <v>#REF!</v>
      </c>
      <c r="H98" s="721" t="e">
        <f>(H26-Datenbank!#REF!)*(H26-Datenbank!#REF!)</f>
        <v>#REF!</v>
      </c>
    </row>
    <row r="99" spans="1:8">
      <c r="A99" s="704" t="s">
        <v>1296</v>
      </c>
      <c r="B99" s="716"/>
      <c r="C99" s="716"/>
      <c r="D99" s="716"/>
      <c r="E99" s="716"/>
      <c r="F99" s="716"/>
      <c r="G99" s="716"/>
      <c r="H99" s="716"/>
    </row>
    <row r="100" spans="1:8">
      <c r="A100" s="704"/>
      <c r="B100" s="716"/>
      <c r="C100" s="716"/>
      <c r="D100" s="716"/>
      <c r="E100" s="716"/>
      <c r="F100" s="716"/>
      <c r="G100" s="716"/>
      <c r="H100" s="716"/>
    </row>
    <row r="101" spans="1:8">
      <c r="A101" s="702" t="s">
        <v>1309</v>
      </c>
    </row>
    <row r="102" spans="1:8">
      <c r="A102" s="703" t="s">
        <v>1310</v>
      </c>
      <c r="B102" s="721">
        <f>'Eingabe und Ergebnis'!$B$116</f>
        <v>5.3</v>
      </c>
      <c r="C102" s="703" t="s">
        <v>1311</v>
      </c>
    </row>
    <row r="103" spans="1:8">
      <c r="A103" s="703" t="s">
        <v>1312</v>
      </c>
      <c r="B103" s="721">
        <f>'Eingabe und Ergebnis'!$B$117</f>
        <v>5</v>
      </c>
      <c r="C103" s="703" t="s">
        <v>1311</v>
      </c>
    </row>
    <row r="104" spans="1:8">
      <c r="A104" s="703" t="s">
        <v>1261</v>
      </c>
      <c r="B104" s="721">
        <f>h_raum</f>
        <v>2.4</v>
      </c>
      <c r="C104" s="703" t="s">
        <v>1311</v>
      </c>
    </row>
    <row r="105" spans="1:8">
      <c r="A105" s="703" t="s">
        <v>1313</v>
      </c>
      <c r="B105" s="721">
        <f>SUMIF(Datenbank!B71:H71,'Eingabe und Ergebnis'!#REF!,Datenbank!B72:H72)</f>
        <v>0</v>
      </c>
    </row>
    <row r="106" spans="1:8" ht="15">
      <c r="A106" s="722" t="s">
        <v>1314</v>
      </c>
      <c r="B106" s="856">
        <f>IF('Eingabe und Ergebnis'!B23=Datenbank!A77,Datenbank!C77,IF('Eingabe und Ergebnis'!B23=Datenbank!A78,Datenbank!C78,IF('Eingabe und Ergebnis'!B23=Datenbank!A79,Datenbank!C79,IF('Eingabe und Ergebnis'!B23=Datenbank!A80,Datenbank!C80,IF('Eingabe und Ergebnis'!B23=Datenbank!A81,Datenbank!C81,IF('Eingabe und Ergebnis'!B23=Datenbank!A82,Datenbank!C82,IF('Eingabe und Ergebnis'!B23=Datenbank!A83,Datenbank!C83,IF('Eingabe und Ergebnis'!B23=Datenbank!A84,Datenbank!C84,IF('Eingabe und Ergebnis'!B23=Datenbank!A85,Datenbank!C85,IF('Eingabe und Ergebnis'!B23=Datenbank!A86,Datenbank!C86,IF('Eingabe und Ergebnis'!B23=Datenbank!A86,Datenbank!C86,IF('Eingabe und Ergebnis'!B23=Datenbank!A87,Datenbank!C87,IF('Eingabe und Ergebnis'!B23=Datenbank!A88,Datenbank!C88,IF('Eingabe und Ergebnis'!B23=Datenbank!A89,Datenbank!C89,IF('Eingabe und Ergebnis'!B23=Datenbank!A90,Datenbank!C90,IF('Eingabe und Ergebnis'!B23=Datenbank!A91,Datenbank!C91,IF('Eingabe und Ergebnis'!B23=Datenbank!A92,Datenbank!C92)))))))))))))))))</f>
        <v>0.1</v>
      </c>
    </row>
    <row r="107" spans="1:8" ht="15">
      <c r="A107" s="722" t="s">
        <v>1253</v>
      </c>
      <c r="B107" s="723" t="e">
        <f>B58*(B26-#REF!)</f>
        <v>#REF!</v>
      </c>
      <c r="C107" s="723" t="e">
        <f>C58*(C26-#REF!)</f>
        <v>#REF!</v>
      </c>
      <c r="D107" s="723" t="e">
        <f>D58*(D26-#REF!)</f>
        <v>#REF!</v>
      </c>
      <c r="E107" s="723" t="e">
        <f>E58*(E26-#REF!)</f>
        <v>#REF!</v>
      </c>
      <c r="F107" s="723" t="e">
        <f>F58*(F26-#REF!)</f>
        <v>#REF!</v>
      </c>
      <c r="G107" s="723" t="e">
        <f>G58*(G26-#REF!)</f>
        <v>#REF!</v>
      </c>
      <c r="H107" s="723" t="e">
        <f>H58*(H26-#REF!)</f>
        <v>#REF!</v>
      </c>
    </row>
    <row r="109" spans="1:8">
      <c r="A109" s="724" t="s">
        <v>1315</v>
      </c>
    </row>
    <row r="110" spans="1:8">
      <c r="A110" s="703" t="s">
        <v>1316</v>
      </c>
      <c r="B110" s="703">
        <f ca="1">(2*B2*B4)+(2*B3*B4)</f>
        <v>2205.27</v>
      </c>
      <c r="C110" s="704" t="s">
        <v>1317</v>
      </c>
    </row>
    <row r="111" spans="1:8">
      <c r="A111" s="703" t="s">
        <v>1318</v>
      </c>
      <c r="B111" s="703">
        <f ca="1">B110-B112</f>
        <v>2187.6278400000001</v>
      </c>
      <c r="C111" s="703" t="s">
        <v>1319</v>
      </c>
    </row>
    <row r="112" spans="1:8">
      <c r="A112" s="703" t="s">
        <v>1253</v>
      </c>
      <c r="B112" s="703">
        <f ca="1">('Eingabe und Ergebnis'!B29/100)*B110</f>
        <v>17.642160000000001</v>
      </c>
      <c r="C112" s="703" t="s">
        <v>1320</v>
      </c>
    </row>
    <row r="113" spans="1:3">
      <c r="A113" s="703" t="s">
        <v>1321</v>
      </c>
      <c r="B113" s="703">
        <f>B2*B3</f>
        <v>710</v>
      </c>
      <c r="C113" s="703" t="s">
        <v>1322</v>
      </c>
    </row>
    <row r="114" spans="1:3" ht="14.25" customHeight="1">
      <c r="A114" s="703" t="s">
        <v>1323</v>
      </c>
      <c r="B114" s="703">
        <f>B2*B3</f>
        <v>710</v>
      </c>
      <c r="C114" s="703" t="s">
        <v>1322</v>
      </c>
    </row>
    <row r="115" spans="1:3" ht="14.25" customHeight="1"/>
    <row r="119" spans="1:3" ht="14.25" customHeight="1"/>
    <row r="120" spans="1:3" ht="14.25" customHeight="1">
      <c r="A120" s="724" t="s">
        <v>1326</v>
      </c>
    </row>
    <row r="121" spans="1:3" ht="14.25" customHeight="1">
      <c r="A121" s="703" t="s">
        <v>1327</v>
      </c>
      <c r="B121" s="725">
        <f>'Erweiterte Eingabe'!B43</f>
        <v>180</v>
      </c>
      <c r="C121" s="703" t="s">
        <v>1311</v>
      </c>
    </row>
    <row r="122" spans="1:3" ht="14.25" customHeight="1">
      <c r="A122" s="703" t="s">
        <v>1328</v>
      </c>
      <c r="B122" s="725">
        <f>'Erweiterte Eingabe'!B44</f>
        <v>400</v>
      </c>
      <c r="C122" s="703" t="s">
        <v>1311</v>
      </c>
    </row>
    <row r="123" spans="1:3" ht="14.25" customHeight="1">
      <c r="A123" s="703" t="s">
        <v>1329</v>
      </c>
      <c r="B123" s="725">
        <f>'Erweiterte Eingabe'!B45</f>
        <v>220</v>
      </c>
      <c r="C123" s="703" t="s">
        <v>1311</v>
      </c>
    </row>
    <row r="124" spans="1:3" ht="14.25" customHeight="1">
      <c r="A124" s="703" t="s">
        <v>1330</v>
      </c>
      <c r="B124" s="725">
        <f ca="1">(B121*B113)+(B122*B112)+(B123*B111)</f>
        <v>616134.98880000005</v>
      </c>
      <c r="C124" s="703" t="s">
        <v>1331</v>
      </c>
    </row>
    <row r="125" spans="1:3" ht="14.25" customHeight="1">
      <c r="A125" s="703" t="s">
        <v>1332</v>
      </c>
      <c r="B125" s="725">
        <f ca="1">B124/$B$51</f>
        <v>194.97171434674263</v>
      </c>
      <c r="C125" s="703" t="s">
        <v>1332</v>
      </c>
    </row>
    <row r="126" spans="1:3" ht="14.25" customHeight="1"/>
    <row r="127" spans="1:3">
      <c r="A127" s="703" t="s">
        <v>1333</v>
      </c>
      <c r="B127" s="703">
        <f>'Erweiterte Eingabe'!B40</f>
        <v>800</v>
      </c>
    </row>
    <row r="128" spans="1:3">
      <c r="A128" s="703" t="s">
        <v>1334</v>
      </c>
      <c r="B128" s="703">
        <f>'Erweiterte Eingabe'!B41</f>
        <v>900</v>
      </c>
    </row>
    <row r="129" spans="1:9">
      <c r="A129" s="703" t="s">
        <v>1335</v>
      </c>
      <c r="B129" s="703">
        <f>'Erweiterte Eingabe'!B42</f>
        <v>120</v>
      </c>
    </row>
    <row r="130" spans="1:9">
      <c r="A130" s="703" t="s">
        <v>1336</v>
      </c>
      <c r="B130" s="725">
        <f t="shared" ref="B130:H130" ca="1" si="74">$B$127*B38</f>
        <v>78796.800000000003</v>
      </c>
      <c r="C130" s="725">
        <f t="shared" ca="1" si="74"/>
        <v>62207.999999999993</v>
      </c>
      <c r="D130" s="725">
        <f t="shared" ca="1" si="74"/>
        <v>55295.999999999993</v>
      </c>
      <c r="E130" s="725">
        <f t="shared" ca="1" si="74"/>
        <v>53567.999999999993</v>
      </c>
      <c r="F130" s="725">
        <f t="shared" ca="1" si="74"/>
        <v>52183.039999999994</v>
      </c>
      <c r="G130" s="725">
        <f t="shared" ca="1" si="74"/>
        <v>49674.240000000005</v>
      </c>
      <c r="H130" s="725">
        <f t="shared" ca="1" si="74"/>
        <v>45957.120000000003</v>
      </c>
    </row>
    <row r="131" spans="1:9">
      <c r="A131" s="703" t="s">
        <v>1337</v>
      </c>
      <c r="B131" s="725">
        <f t="shared" ref="B131:H131" ca="1" si="75">$B$127*B40</f>
        <v>48336</v>
      </c>
      <c r="C131" s="725">
        <f t="shared" ca="1" si="75"/>
        <v>47278.080000000009</v>
      </c>
      <c r="D131" s="725">
        <f t="shared" ca="1" si="75"/>
        <v>44236.799999999996</v>
      </c>
      <c r="E131" s="725">
        <f t="shared" ca="1" si="75"/>
        <v>64512.000000000015</v>
      </c>
      <c r="F131" s="725">
        <f t="shared" ca="1" si="75"/>
        <v>62899.200000000004</v>
      </c>
      <c r="G131" s="725">
        <f t="shared" ca="1" si="75"/>
        <v>79833.600000000006</v>
      </c>
      <c r="H131" s="725">
        <f t="shared" ca="1" si="75"/>
        <v>73216</v>
      </c>
    </row>
    <row r="132" spans="1:9">
      <c r="A132" s="703" t="s">
        <v>1338</v>
      </c>
      <c r="B132" s="725">
        <f t="shared" ref="B132:H132" ca="1" si="76">$B$128*B42</f>
        <v>341293.5</v>
      </c>
      <c r="C132" s="725">
        <f t="shared" ca="1" si="76"/>
        <v>298258.2</v>
      </c>
      <c r="D132" s="725">
        <f t="shared" ca="1" si="76"/>
        <v>291600</v>
      </c>
      <c r="E132" s="725">
        <f t="shared" ca="1" si="76"/>
        <v>432180.00000000006</v>
      </c>
      <c r="F132" s="725">
        <f t="shared" ca="1" si="76"/>
        <v>414720</v>
      </c>
      <c r="G132" s="725">
        <f t="shared" ca="1" si="76"/>
        <v>541282.5</v>
      </c>
      <c r="H132" s="725">
        <f t="shared" ca="1" si="76"/>
        <v>495000</v>
      </c>
    </row>
    <row r="133" spans="1:9">
      <c r="A133" s="703" t="s">
        <v>1339</v>
      </c>
      <c r="B133" s="725">
        <f t="shared" ref="B133:H133" si="77">$B$129*B48</f>
        <v>194616</v>
      </c>
      <c r="C133" s="725">
        <f t="shared" si="77"/>
        <v>147744</v>
      </c>
      <c r="D133" s="725">
        <f t="shared" si="77"/>
        <v>136080</v>
      </c>
      <c r="E133" s="725">
        <f t="shared" si="77"/>
        <v>147420</v>
      </c>
      <c r="F133" s="725">
        <f t="shared" si="77"/>
        <v>95040</v>
      </c>
      <c r="G133" s="725">
        <f t="shared" si="77"/>
        <v>97200</v>
      </c>
      <c r="H133" s="725">
        <f t="shared" si="77"/>
        <v>48600</v>
      </c>
    </row>
    <row r="134" spans="1:9">
      <c r="A134" s="703" t="s">
        <v>1340</v>
      </c>
      <c r="B134" s="725">
        <f ca="1">SUM(B130:B133)</f>
        <v>663042.30000000005</v>
      </c>
      <c r="C134" s="725">
        <f t="shared" ref="C134:H134" ca="1" si="78">SUM(C130:C133)</f>
        <v>555488.28</v>
      </c>
      <c r="D134" s="725">
        <f t="shared" ca="1" si="78"/>
        <v>527212.80000000005</v>
      </c>
      <c r="E134" s="725">
        <f t="shared" ca="1" si="78"/>
        <v>697680</v>
      </c>
      <c r="F134" s="725">
        <f t="shared" ca="1" si="78"/>
        <v>624842.23999999999</v>
      </c>
      <c r="G134" s="725">
        <f t="shared" ca="1" si="78"/>
        <v>767990.34</v>
      </c>
      <c r="H134" s="725">
        <f t="shared" ca="1" si="78"/>
        <v>662773.12</v>
      </c>
      <c r="I134" s="704" t="s">
        <v>1341</v>
      </c>
    </row>
    <row r="135" spans="1:9">
      <c r="A135" s="703" t="s">
        <v>1342</v>
      </c>
      <c r="B135" s="725">
        <f ca="1">B134/$B$51</f>
        <v>209.81521300581466</v>
      </c>
      <c r="C135" s="725">
        <f t="shared" ref="C135:H135" ca="1" si="79">C134/$B$51</f>
        <v>175.78047703809185</v>
      </c>
      <c r="D135" s="725">
        <f t="shared" ca="1" si="79"/>
        <v>166.83289426842293</v>
      </c>
      <c r="E135" s="725">
        <f t="shared" ca="1" si="79"/>
        <v>220.77607689569243</v>
      </c>
      <c r="F135" s="725">
        <f t="shared" ca="1" si="79"/>
        <v>197.72706459396383</v>
      </c>
      <c r="G135" s="725">
        <f t="shared" ca="1" si="79"/>
        <v>243.02530437878247</v>
      </c>
      <c r="H135" s="725">
        <f t="shared" ca="1" si="79"/>
        <v>209.73003283097978</v>
      </c>
      <c r="I135" s="703" t="s">
        <v>1343</v>
      </c>
    </row>
    <row r="136" spans="1:9">
      <c r="B136" s="725"/>
      <c r="C136" s="725"/>
      <c r="D136" s="725"/>
      <c r="E136" s="725"/>
      <c r="F136" s="725"/>
      <c r="G136" s="725"/>
      <c r="H136" s="725"/>
      <c r="I136" s="703"/>
    </row>
    <row r="137" spans="1:9">
      <c r="A137" s="724" t="s">
        <v>1344</v>
      </c>
      <c r="B137" s="725"/>
      <c r="C137" s="725"/>
      <c r="D137" s="725"/>
      <c r="E137" s="725"/>
      <c r="F137" s="725"/>
      <c r="G137" s="725"/>
      <c r="H137" s="725"/>
      <c r="I137" s="703"/>
    </row>
    <row r="138" spans="1:9">
      <c r="A138" s="703" t="s">
        <v>1345</v>
      </c>
      <c r="B138" s="716">
        <f t="shared" ref="B138:H138" ca="1" si="80">(B38+B40+B42)/$B$51</f>
        <v>0.17028788418179661</v>
      </c>
      <c r="C138" s="716">
        <f t="shared" ca="1" si="80"/>
        <v>0.14817629049483802</v>
      </c>
      <c r="D138" s="716">
        <f t="shared" ca="1" si="80"/>
        <v>0.14189818440726237</v>
      </c>
      <c r="E138" s="716">
        <f t="shared" ca="1" si="80"/>
        <v>0.19866302757011195</v>
      </c>
      <c r="F138" s="716">
        <f t="shared" ca="1" si="80"/>
        <v>0.19133825402476171</v>
      </c>
      <c r="G138" s="716">
        <f t="shared" ca="1" si="80"/>
        <v>0.2415441794232823</v>
      </c>
      <c r="H138" s="716">
        <f t="shared" ca="1" si="80"/>
        <v>0.22118314940073575</v>
      </c>
      <c r="I138" s="711" t="s">
        <v>1346</v>
      </c>
    </row>
    <row r="139" spans="1:9">
      <c r="A139" s="703" t="s">
        <v>1347</v>
      </c>
      <c r="B139" s="716">
        <f t="shared" ref="B139:H139" ca="1" si="81">(B38+B40+B42)/B53</f>
        <v>0.2116521961435974</v>
      </c>
      <c r="C139" s="716">
        <f t="shared" ca="1" si="81"/>
        <v>0.17928703386407277</v>
      </c>
      <c r="D139" s="716">
        <f t="shared" ca="1" si="81"/>
        <v>0.1701274582521583</v>
      </c>
      <c r="E139" s="716">
        <f t="shared" ca="1" si="81"/>
        <v>0.23710563437465187</v>
      </c>
      <c r="F139" s="716">
        <f t="shared" ca="1" si="81"/>
        <v>0.22156529577629944</v>
      </c>
      <c r="G139" s="716">
        <f t="shared" ca="1" si="81"/>
        <v>0.27847807647195094</v>
      </c>
      <c r="H139" s="716">
        <f t="shared" ca="1" si="81"/>
        <v>0.24872080548137263</v>
      </c>
      <c r="I139" s="711" t="s">
        <v>1346</v>
      </c>
    </row>
    <row r="140" spans="1:9">
      <c r="A140" s="703" t="s">
        <v>1348</v>
      </c>
      <c r="B140" s="726" t="s">
        <v>1349</v>
      </c>
      <c r="C140" s="726" t="s">
        <v>1349</v>
      </c>
      <c r="D140" s="726" t="s">
        <v>1349</v>
      </c>
      <c r="E140" s="726" t="s">
        <v>1349</v>
      </c>
      <c r="F140" s="726" t="s">
        <v>1349</v>
      </c>
      <c r="G140" s="726" t="s">
        <v>1349</v>
      </c>
      <c r="H140" s="726" t="s">
        <v>1349</v>
      </c>
      <c r="I140" s="711" t="s">
        <v>1279</v>
      </c>
    </row>
    <row r="141" spans="1:9">
      <c r="A141" s="703" t="s">
        <v>1350</v>
      </c>
      <c r="B141" s="725"/>
      <c r="C141" s="725"/>
      <c r="D141" s="725"/>
      <c r="E141" s="725"/>
      <c r="F141" s="725"/>
      <c r="G141" s="725"/>
      <c r="H141" s="725"/>
      <c r="I141" s="711" t="s">
        <v>1351</v>
      </c>
    </row>
    <row r="142" spans="1:9">
      <c r="B142" s="725"/>
      <c r="C142" s="725"/>
      <c r="D142" s="725"/>
      <c r="E142" s="725"/>
      <c r="F142" s="725"/>
      <c r="G142" s="725"/>
      <c r="H142" s="725"/>
      <c r="I142" s="703"/>
    </row>
    <row r="143" spans="1:9">
      <c r="B143" s="725"/>
      <c r="C143" s="725"/>
      <c r="D143" s="725"/>
      <c r="E143" s="725"/>
      <c r="F143" s="725"/>
      <c r="G143" s="725"/>
      <c r="H143" s="725"/>
      <c r="I143" s="703"/>
    </row>
    <row r="144" spans="1:9">
      <c r="B144" s="725"/>
      <c r="C144" s="725"/>
      <c r="D144" s="725"/>
      <c r="E144" s="725"/>
      <c r="F144" s="725"/>
      <c r="G144" s="725"/>
      <c r="H144" s="725"/>
      <c r="I144" s="703"/>
    </row>
  </sheetData>
  <sheetProtection algorithmName="SHA-512" hashValue="nnp2zvbsxbhe3jLJrjyyJKNJHyioEXbFZtaEuaLMIFeVRas1LZTrwxU4tnX+WC5g25/Zjj7LZ9r/ICjvQJPVAw==" saltValue="NsMvOnNExIUPal2DfovlAQ==" spinCount="100000" sheet="1" objects="1" scenarios="1"/>
  <mergeCells count="2">
    <mergeCell ref="V20:W20"/>
    <mergeCell ref="D20:E20"/>
  </mergeCells>
  <conditionalFormatting sqref="B73:K74">
    <cfRule type="colorScale" priority="15">
      <colorScale>
        <cfvo type="min"/>
        <cfvo type="percentile" val="50"/>
        <cfvo type="max"/>
        <color rgb="FFF8696B"/>
        <color rgb="FFFFEB84"/>
        <color rgb="FF63BE7B"/>
      </colorScale>
    </cfRule>
  </conditionalFormatting>
  <conditionalFormatting sqref="N67:W67">
    <cfRule type="colorScale" priority="3">
      <colorScale>
        <cfvo type="min"/>
        <cfvo type="percentile" val="50"/>
        <cfvo type="max"/>
        <color rgb="FFF8696B"/>
        <color rgb="FFFFEB84"/>
        <color rgb="FF63BE7B"/>
      </colorScale>
    </cfRule>
  </conditionalFormatting>
  <conditionalFormatting sqref="N67:W68">
    <cfRule type="colorScale" priority="1">
      <colorScale>
        <cfvo type="min"/>
        <cfvo type="percentile" val="50"/>
        <cfvo type="max"/>
        <color rgb="FFF8696B"/>
        <color rgb="FFFFEB84"/>
        <color rgb="FF63BE7B"/>
      </colorScale>
    </cfRule>
  </conditionalFormatting>
  <conditionalFormatting sqref="N68:W68">
    <cfRule type="colorScale" priority="2">
      <colorScale>
        <cfvo type="min"/>
        <cfvo type="percentile" val="50"/>
        <cfvo type="max"/>
        <color rgb="FFF8696B"/>
        <color rgb="FFFFEB84"/>
        <color rgb="FF63BE7B"/>
      </colorScale>
    </cfRule>
  </conditionalFormatting>
  <pageMargins left="0.7" right="0.7" top="0.75" bottom="0.75" header="0.3" footer="0.3"/>
  <pageSetup paperSize="8"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Tabelle8">
    <tabColor rgb="FFFF9999"/>
  </sheetPr>
  <dimension ref="A1:BT93"/>
  <sheetViews>
    <sheetView zoomScale="98" zoomScaleNormal="98" workbookViewId="0">
      <selection activeCell="N49" sqref="N49"/>
    </sheetView>
  </sheetViews>
  <sheetFormatPr baseColWidth="10" defaultColWidth="12.5" defaultRowHeight="17"/>
  <cols>
    <col min="1" max="1" width="17.5" style="675" customWidth="1"/>
    <col min="2" max="2" width="30.5" style="675" customWidth="1"/>
    <col min="3" max="80" width="9.5" style="675" customWidth="1"/>
    <col min="81" max="16384" width="12.5" style="675"/>
  </cols>
  <sheetData>
    <row r="1" spans="1:72">
      <c r="A1" s="673" t="s">
        <v>1239</v>
      </c>
      <c r="B1" s="673"/>
      <c r="C1" s="673"/>
      <c r="D1" s="673"/>
      <c r="E1" s="673"/>
      <c r="F1" s="673"/>
      <c r="G1" s="673"/>
      <c r="H1" s="674"/>
      <c r="I1" s="674"/>
      <c r="J1" s="674"/>
      <c r="K1" s="674"/>
      <c r="L1" s="674"/>
      <c r="M1" s="674"/>
      <c r="N1" s="674"/>
      <c r="O1" s="674"/>
    </row>
    <row r="3" spans="1:72">
      <c r="A3" s="676" t="s">
        <v>1240</v>
      </c>
      <c r="U3" s="677"/>
    </row>
    <row r="4" spans="1:72">
      <c r="A4" s="675" t="s">
        <v>1241</v>
      </c>
      <c r="B4" s="678" t="s">
        <v>1242</v>
      </c>
      <c r="C4" s="679">
        <v>2.65</v>
      </c>
      <c r="D4" s="679">
        <v>2.85</v>
      </c>
      <c r="E4" s="679">
        <v>3</v>
      </c>
      <c r="F4" s="679">
        <v>3.5</v>
      </c>
      <c r="G4" s="679">
        <v>4</v>
      </c>
      <c r="H4" s="679">
        <v>4.5</v>
      </c>
      <c r="I4" s="679">
        <v>5</v>
      </c>
      <c r="J4" s="679">
        <v>5.3</v>
      </c>
      <c r="K4" s="679">
        <v>5.7</v>
      </c>
      <c r="L4" s="679">
        <v>6</v>
      </c>
      <c r="P4" s="765"/>
      <c r="Q4" s="765"/>
      <c r="R4" s="765"/>
      <c r="S4" s="765"/>
      <c r="T4" s="765"/>
      <c r="U4" s="765"/>
    </row>
    <row r="5" spans="1:72">
      <c r="A5" s="675" t="s">
        <v>1243</v>
      </c>
      <c r="B5" s="678" t="s">
        <v>1244</v>
      </c>
      <c r="C5" s="679">
        <v>2.65</v>
      </c>
      <c r="D5" s="679">
        <v>2.85</v>
      </c>
      <c r="E5" s="679">
        <v>3</v>
      </c>
      <c r="F5" s="679">
        <v>3.5</v>
      </c>
      <c r="G5" s="679">
        <v>4</v>
      </c>
      <c r="H5" s="679">
        <v>4.5</v>
      </c>
      <c r="I5" s="679">
        <v>5</v>
      </c>
      <c r="J5" s="679">
        <v>5.3</v>
      </c>
      <c r="K5" s="679">
        <v>5.7</v>
      </c>
      <c r="L5" s="679">
        <v>6</v>
      </c>
      <c r="P5" s="765"/>
      <c r="Q5" s="765"/>
      <c r="R5" s="765"/>
      <c r="S5" s="765"/>
      <c r="T5" s="765"/>
      <c r="U5" s="765"/>
    </row>
    <row r="6" spans="1:72">
      <c r="S6" s="764"/>
      <c r="T6" s="764"/>
      <c r="U6" s="764"/>
    </row>
    <row r="7" spans="1:72">
      <c r="S7" s="763"/>
      <c r="T7" s="763"/>
      <c r="U7" s="763"/>
    </row>
    <row r="8" spans="1:72">
      <c r="A8" s="676" t="s">
        <v>1246</v>
      </c>
      <c r="S8" s="766"/>
      <c r="T8" s="766"/>
      <c r="U8" s="766"/>
    </row>
    <row r="9" spans="1:72">
      <c r="A9" s="675" t="s">
        <v>967</v>
      </c>
      <c r="U9" s="680"/>
    </row>
    <row r="10" spans="1:72">
      <c r="B10" s="675" t="s">
        <v>1528</v>
      </c>
      <c r="C10" s="765">
        <f t="shared" ref="C10:I10" si="0">C4</f>
        <v>2.65</v>
      </c>
      <c r="D10" s="765">
        <f t="shared" si="0"/>
        <v>2.85</v>
      </c>
      <c r="E10" s="765">
        <f t="shared" si="0"/>
        <v>3</v>
      </c>
      <c r="F10" s="765">
        <f t="shared" si="0"/>
        <v>3.5</v>
      </c>
      <c r="G10" s="765">
        <f t="shared" si="0"/>
        <v>4</v>
      </c>
      <c r="H10" s="765">
        <f t="shared" si="0"/>
        <v>4.5</v>
      </c>
      <c r="I10" s="765">
        <f t="shared" si="0"/>
        <v>5</v>
      </c>
      <c r="J10" s="765">
        <f>$C$4</f>
        <v>2.65</v>
      </c>
      <c r="K10" s="765">
        <f t="shared" ref="K10:R10" si="1">$C$4</f>
        <v>2.65</v>
      </c>
      <c r="L10" s="765">
        <f t="shared" si="1"/>
        <v>2.65</v>
      </c>
      <c r="M10" s="765">
        <f t="shared" si="1"/>
        <v>2.65</v>
      </c>
      <c r="N10" s="765">
        <f t="shared" si="1"/>
        <v>2.65</v>
      </c>
      <c r="O10" s="765">
        <f t="shared" si="1"/>
        <v>2.65</v>
      </c>
      <c r="P10" s="765">
        <f t="shared" si="1"/>
        <v>2.65</v>
      </c>
      <c r="Q10" s="765">
        <f t="shared" si="1"/>
        <v>2.65</v>
      </c>
      <c r="R10" s="765">
        <f t="shared" si="1"/>
        <v>2.65</v>
      </c>
      <c r="S10" s="679">
        <f>$D$4</f>
        <v>2.85</v>
      </c>
      <c r="T10" s="679">
        <f t="shared" ref="T10:AA10" si="2">$D$4</f>
        <v>2.85</v>
      </c>
      <c r="U10" s="679">
        <f t="shared" si="2"/>
        <v>2.85</v>
      </c>
      <c r="V10" s="679">
        <f t="shared" si="2"/>
        <v>2.85</v>
      </c>
      <c r="W10" s="679">
        <f t="shared" si="2"/>
        <v>2.85</v>
      </c>
      <c r="X10" s="679">
        <f t="shared" si="2"/>
        <v>2.85</v>
      </c>
      <c r="Y10" s="679">
        <f t="shared" si="2"/>
        <v>2.85</v>
      </c>
      <c r="Z10" s="679">
        <f t="shared" si="2"/>
        <v>2.85</v>
      </c>
      <c r="AA10" s="679">
        <f t="shared" si="2"/>
        <v>2.85</v>
      </c>
      <c r="AB10" s="679">
        <f>$E$4</f>
        <v>3</v>
      </c>
      <c r="AC10" s="679">
        <f t="shared" ref="AC10:AJ10" si="3">$E$4</f>
        <v>3</v>
      </c>
      <c r="AD10" s="679">
        <f t="shared" si="3"/>
        <v>3</v>
      </c>
      <c r="AE10" s="679">
        <f t="shared" si="3"/>
        <v>3</v>
      </c>
      <c r="AF10" s="679">
        <f t="shared" si="3"/>
        <v>3</v>
      </c>
      <c r="AG10" s="679">
        <f t="shared" si="3"/>
        <v>3</v>
      </c>
      <c r="AH10" s="679">
        <f t="shared" si="3"/>
        <v>3</v>
      </c>
      <c r="AI10" s="679">
        <f t="shared" si="3"/>
        <v>3</v>
      </c>
      <c r="AJ10" s="679">
        <f t="shared" si="3"/>
        <v>3</v>
      </c>
      <c r="AK10" s="679">
        <f>$F$4</f>
        <v>3.5</v>
      </c>
      <c r="AL10" s="679">
        <f t="shared" ref="AL10:AS10" si="4">$F$4</f>
        <v>3.5</v>
      </c>
      <c r="AM10" s="679">
        <f t="shared" si="4"/>
        <v>3.5</v>
      </c>
      <c r="AN10" s="679">
        <f t="shared" si="4"/>
        <v>3.5</v>
      </c>
      <c r="AO10" s="679">
        <f t="shared" si="4"/>
        <v>3.5</v>
      </c>
      <c r="AP10" s="679">
        <f t="shared" si="4"/>
        <v>3.5</v>
      </c>
      <c r="AQ10" s="679">
        <f t="shared" si="4"/>
        <v>3.5</v>
      </c>
      <c r="AR10" s="679">
        <f t="shared" si="4"/>
        <v>3.5</v>
      </c>
      <c r="AS10" s="679">
        <f t="shared" si="4"/>
        <v>3.5</v>
      </c>
      <c r="AT10" s="679">
        <f>$G$4</f>
        <v>4</v>
      </c>
      <c r="AU10" s="679">
        <f t="shared" ref="AU10:BB10" si="5">$G$4</f>
        <v>4</v>
      </c>
      <c r="AV10" s="679">
        <f t="shared" si="5"/>
        <v>4</v>
      </c>
      <c r="AW10" s="679">
        <f t="shared" si="5"/>
        <v>4</v>
      </c>
      <c r="AX10" s="679">
        <f t="shared" si="5"/>
        <v>4</v>
      </c>
      <c r="AY10" s="679">
        <f t="shared" si="5"/>
        <v>4</v>
      </c>
      <c r="AZ10" s="679">
        <f t="shared" si="5"/>
        <v>4</v>
      </c>
      <c r="BA10" s="679">
        <f t="shared" si="5"/>
        <v>4</v>
      </c>
      <c r="BB10" s="679">
        <f t="shared" si="5"/>
        <v>4</v>
      </c>
      <c r="BC10" s="679">
        <f>$H$4</f>
        <v>4.5</v>
      </c>
      <c r="BD10" s="679">
        <f t="shared" ref="BD10:BK10" si="6">$H$4</f>
        <v>4.5</v>
      </c>
      <c r="BE10" s="679">
        <f t="shared" si="6"/>
        <v>4.5</v>
      </c>
      <c r="BF10" s="679">
        <f t="shared" si="6"/>
        <v>4.5</v>
      </c>
      <c r="BG10" s="679">
        <f t="shared" si="6"/>
        <v>4.5</v>
      </c>
      <c r="BH10" s="679">
        <f t="shared" si="6"/>
        <v>4.5</v>
      </c>
      <c r="BI10" s="679">
        <f t="shared" si="6"/>
        <v>4.5</v>
      </c>
      <c r="BJ10" s="679">
        <f t="shared" si="6"/>
        <v>4.5</v>
      </c>
      <c r="BK10" s="679">
        <f t="shared" si="6"/>
        <v>4.5</v>
      </c>
      <c r="BL10" s="679">
        <f>$I$4</f>
        <v>5</v>
      </c>
      <c r="BM10" s="679">
        <f t="shared" ref="BM10:BT10" si="7">$I$4</f>
        <v>5</v>
      </c>
      <c r="BN10" s="679">
        <f t="shared" si="7"/>
        <v>5</v>
      </c>
      <c r="BO10" s="679">
        <f t="shared" si="7"/>
        <v>5</v>
      </c>
      <c r="BP10" s="679">
        <f t="shared" si="7"/>
        <v>5</v>
      </c>
      <c r="BQ10" s="679">
        <f t="shared" si="7"/>
        <v>5</v>
      </c>
      <c r="BR10" s="679">
        <f t="shared" si="7"/>
        <v>5</v>
      </c>
      <c r="BS10" s="679">
        <f t="shared" si="7"/>
        <v>5</v>
      </c>
      <c r="BT10" s="679">
        <f t="shared" si="7"/>
        <v>5</v>
      </c>
    </row>
    <row r="11" spans="1:72">
      <c r="B11" s="675" t="s">
        <v>1526</v>
      </c>
      <c r="C11" s="766">
        <f ca="1">'Rasterbemessung DE UZ ST'!D$12</f>
        <v>120</v>
      </c>
      <c r="D11" s="766">
        <f ca="1">'Rasterbemessung DE UZ ST'!E$12</f>
        <v>120</v>
      </c>
      <c r="E11" s="766">
        <f ca="1">'Rasterbemessung DE UZ ST'!F$12</f>
        <v>120</v>
      </c>
      <c r="F11" s="766">
        <f ca="1">'Rasterbemessung DE UZ ST'!G$12</f>
        <v>140</v>
      </c>
      <c r="G11" s="766">
        <f ca="1">'Rasterbemessung DE UZ ST'!H$12</f>
        <v>160</v>
      </c>
      <c r="H11" s="766">
        <f ca="1">'Rasterbemessung DE UZ ST'!I$12</f>
        <v>180</v>
      </c>
      <c r="I11" s="766">
        <f ca="1">'Rasterbemessung DE UZ ST'!J$12</f>
        <v>220</v>
      </c>
      <c r="J11" s="766">
        <f ca="1">$C$11</f>
        <v>120</v>
      </c>
      <c r="K11" s="766">
        <f t="shared" ref="K11:AA11" ca="1" si="8">$C$11</f>
        <v>120</v>
      </c>
      <c r="L11" s="766">
        <f t="shared" ca="1" si="8"/>
        <v>120</v>
      </c>
      <c r="M11" s="766">
        <f t="shared" ca="1" si="8"/>
        <v>120</v>
      </c>
      <c r="N11" s="766">
        <f t="shared" ca="1" si="8"/>
        <v>120</v>
      </c>
      <c r="O11" s="766">
        <f t="shared" ca="1" si="8"/>
        <v>120</v>
      </c>
      <c r="P11" s="766">
        <f t="shared" ca="1" si="8"/>
        <v>120</v>
      </c>
      <c r="Q11" s="766">
        <f t="shared" ca="1" si="8"/>
        <v>120</v>
      </c>
      <c r="R11" s="766">
        <f t="shared" ca="1" si="8"/>
        <v>120</v>
      </c>
      <c r="S11" s="766">
        <f t="shared" ca="1" si="8"/>
        <v>120</v>
      </c>
      <c r="T11" s="766">
        <f t="shared" ca="1" si="8"/>
        <v>120</v>
      </c>
      <c r="U11" s="766">
        <f t="shared" ca="1" si="8"/>
        <v>120</v>
      </c>
      <c r="V11" s="766">
        <f t="shared" ca="1" si="8"/>
        <v>120</v>
      </c>
      <c r="W11" s="766">
        <f t="shared" ca="1" si="8"/>
        <v>120</v>
      </c>
      <c r="X11" s="766">
        <f t="shared" ca="1" si="8"/>
        <v>120</v>
      </c>
      <c r="Y11" s="766">
        <f t="shared" ca="1" si="8"/>
        <v>120</v>
      </c>
      <c r="Z11" s="766">
        <f t="shared" ca="1" si="8"/>
        <v>120</v>
      </c>
      <c r="AA11" s="766">
        <f t="shared" ca="1" si="8"/>
        <v>120</v>
      </c>
      <c r="AB11" s="766">
        <f ca="1">$E$11</f>
        <v>120</v>
      </c>
      <c r="AC11" s="766">
        <f t="shared" ref="AC11:AJ11" ca="1" si="9">$E$11</f>
        <v>120</v>
      </c>
      <c r="AD11" s="766">
        <f t="shared" ca="1" si="9"/>
        <v>120</v>
      </c>
      <c r="AE11" s="766">
        <f t="shared" ca="1" si="9"/>
        <v>120</v>
      </c>
      <c r="AF11" s="766">
        <f t="shared" ca="1" si="9"/>
        <v>120</v>
      </c>
      <c r="AG11" s="766">
        <f t="shared" ca="1" si="9"/>
        <v>120</v>
      </c>
      <c r="AH11" s="766">
        <f t="shared" ca="1" si="9"/>
        <v>120</v>
      </c>
      <c r="AI11" s="766">
        <f t="shared" ca="1" si="9"/>
        <v>120</v>
      </c>
      <c r="AJ11" s="766">
        <f t="shared" ca="1" si="9"/>
        <v>120</v>
      </c>
      <c r="AK11" s="929">
        <f ca="1">$F$11</f>
        <v>140</v>
      </c>
      <c r="AL11" s="929">
        <f t="shared" ref="AL11:AS11" ca="1" si="10">$F$11</f>
        <v>140</v>
      </c>
      <c r="AM11" s="929">
        <f t="shared" ca="1" si="10"/>
        <v>140</v>
      </c>
      <c r="AN11" s="929">
        <f t="shared" ca="1" si="10"/>
        <v>140</v>
      </c>
      <c r="AO11" s="929">
        <f t="shared" ca="1" si="10"/>
        <v>140</v>
      </c>
      <c r="AP11" s="929">
        <f t="shared" ca="1" si="10"/>
        <v>140</v>
      </c>
      <c r="AQ11" s="929">
        <f t="shared" ca="1" si="10"/>
        <v>140</v>
      </c>
      <c r="AR11" s="929">
        <f t="shared" ca="1" si="10"/>
        <v>140</v>
      </c>
      <c r="AS11" s="929">
        <f t="shared" ca="1" si="10"/>
        <v>140</v>
      </c>
      <c r="AT11" s="929">
        <f ca="1">$G$11</f>
        <v>160</v>
      </c>
      <c r="AU11" s="929">
        <f t="shared" ref="AU11:BB11" ca="1" si="11">$G$11</f>
        <v>160</v>
      </c>
      <c r="AV11" s="929">
        <f t="shared" ca="1" si="11"/>
        <v>160</v>
      </c>
      <c r="AW11" s="929">
        <f t="shared" ca="1" si="11"/>
        <v>160</v>
      </c>
      <c r="AX11" s="929">
        <f t="shared" ca="1" si="11"/>
        <v>160</v>
      </c>
      <c r="AY11" s="929">
        <f t="shared" ca="1" si="11"/>
        <v>160</v>
      </c>
      <c r="AZ11" s="929">
        <f t="shared" ca="1" si="11"/>
        <v>160</v>
      </c>
      <c r="BA11" s="929">
        <f t="shared" ca="1" si="11"/>
        <v>160</v>
      </c>
      <c r="BB11" s="929">
        <f t="shared" ca="1" si="11"/>
        <v>160</v>
      </c>
      <c r="BC11" s="929">
        <f ca="1">$H$11</f>
        <v>180</v>
      </c>
      <c r="BD11" s="929">
        <f t="shared" ref="BD11:BK11" ca="1" si="12">$H$11</f>
        <v>180</v>
      </c>
      <c r="BE11" s="929">
        <f t="shared" ca="1" si="12"/>
        <v>180</v>
      </c>
      <c r="BF11" s="929">
        <f t="shared" ca="1" si="12"/>
        <v>180</v>
      </c>
      <c r="BG11" s="929">
        <f t="shared" ca="1" si="12"/>
        <v>180</v>
      </c>
      <c r="BH11" s="929">
        <f t="shared" ca="1" si="12"/>
        <v>180</v>
      </c>
      <c r="BI11" s="929">
        <f t="shared" ca="1" si="12"/>
        <v>180</v>
      </c>
      <c r="BJ11" s="929">
        <f t="shared" ca="1" si="12"/>
        <v>180</v>
      </c>
      <c r="BK11" s="929">
        <f t="shared" ca="1" si="12"/>
        <v>180</v>
      </c>
      <c r="BL11" s="929">
        <f ca="1">$I$11</f>
        <v>220</v>
      </c>
      <c r="BM11" s="929">
        <f t="shared" ref="BM11:BT11" ca="1" si="13">$I$11</f>
        <v>220</v>
      </c>
      <c r="BN11" s="929">
        <f t="shared" ca="1" si="13"/>
        <v>220</v>
      </c>
      <c r="BO11" s="929">
        <f t="shared" ca="1" si="13"/>
        <v>220</v>
      </c>
      <c r="BP11" s="929">
        <f t="shared" ca="1" si="13"/>
        <v>220</v>
      </c>
      <c r="BQ11" s="929">
        <f t="shared" ca="1" si="13"/>
        <v>220</v>
      </c>
      <c r="BR11" s="929">
        <f t="shared" ca="1" si="13"/>
        <v>220</v>
      </c>
      <c r="BS11" s="929">
        <f t="shared" ca="1" si="13"/>
        <v>220</v>
      </c>
      <c r="BT11" s="929">
        <f t="shared" ca="1" si="13"/>
        <v>220</v>
      </c>
    </row>
    <row r="12" spans="1:72" s="801" customFormat="1">
      <c r="A12" s="810"/>
      <c r="B12" s="810" t="s">
        <v>1623</v>
      </c>
      <c r="C12" s="811">
        <f ca="1">C10*C10*C11/1000</f>
        <v>0.8427</v>
      </c>
      <c r="D12" s="811">
        <f t="shared" ref="D12:I12" ca="1" si="14">D10*D10*D11/1000</f>
        <v>0.97470000000000001</v>
      </c>
      <c r="E12" s="811">
        <f t="shared" ca="1" si="14"/>
        <v>1.08</v>
      </c>
      <c r="F12" s="811">
        <f t="shared" ca="1" si="14"/>
        <v>1.7150000000000001</v>
      </c>
      <c r="G12" s="811">
        <f t="shared" ca="1" si="14"/>
        <v>2.56</v>
      </c>
      <c r="H12" s="811">
        <f t="shared" ca="1" si="14"/>
        <v>3.645</v>
      </c>
      <c r="I12" s="811">
        <f t="shared" ca="1" si="14"/>
        <v>5.5</v>
      </c>
      <c r="J12" s="803">
        <f ca="1">J14*J15*$C$11/1000</f>
        <v>0.90630000000000011</v>
      </c>
      <c r="K12" s="803">
        <f t="shared" ref="K12:R12" ca="1" si="15">K14*K15*$C$11/1000</f>
        <v>0.95399999999999985</v>
      </c>
      <c r="L12" s="820">
        <f t="shared" ca="1" si="15"/>
        <v>1.113</v>
      </c>
      <c r="M12" s="820">
        <f t="shared" ca="1" si="15"/>
        <v>1.272</v>
      </c>
      <c r="N12" s="820">
        <f t="shared" ca="1" si="15"/>
        <v>1.4309999999999998</v>
      </c>
      <c r="O12" s="820">
        <f t="shared" ca="1" si="15"/>
        <v>1.59</v>
      </c>
      <c r="P12" s="817">
        <f t="shared" ca="1" si="15"/>
        <v>1.6854</v>
      </c>
      <c r="Q12" s="817">
        <f t="shared" ca="1" si="15"/>
        <v>1.8126000000000002</v>
      </c>
      <c r="R12" s="817">
        <f t="shared" ca="1" si="15"/>
        <v>1.9079999999999997</v>
      </c>
      <c r="S12" s="820">
        <f ca="1">S14*S15*$D$11/1000</f>
        <v>0.90630000000000011</v>
      </c>
      <c r="T12" s="803">
        <f t="shared" ref="T12:AA12" ca="1" si="16">T14*T15*$D$11/1000</f>
        <v>1.026</v>
      </c>
      <c r="U12" s="820">
        <f t="shared" ca="1" si="16"/>
        <v>1.1970000000000001</v>
      </c>
      <c r="V12" s="820">
        <f t="shared" ca="1" si="16"/>
        <v>1.3680000000000001</v>
      </c>
      <c r="W12" s="820">
        <f t="shared" ca="1" si="16"/>
        <v>1.5390000000000001</v>
      </c>
      <c r="X12" s="820">
        <f t="shared" ca="1" si="16"/>
        <v>1.71</v>
      </c>
      <c r="Y12" s="817">
        <f t="shared" ca="1" si="16"/>
        <v>1.8126000000000002</v>
      </c>
      <c r="Z12" s="817">
        <f t="shared" ca="1" si="16"/>
        <v>1.9494</v>
      </c>
      <c r="AA12" s="817">
        <f t="shared" ca="1" si="16"/>
        <v>2.052</v>
      </c>
      <c r="AB12" s="820">
        <f ca="1">AB14*AB15*$E$11/1000</f>
        <v>0.95399999999999985</v>
      </c>
      <c r="AC12" s="820">
        <f t="shared" ref="AC12:AJ12" ca="1" si="17">AC14*AC15*$E$11/1000</f>
        <v>1.026</v>
      </c>
      <c r="AD12" s="820">
        <f t="shared" ca="1" si="17"/>
        <v>1.26</v>
      </c>
      <c r="AE12" s="820">
        <f t="shared" ca="1" si="17"/>
        <v>1.44</v>
      </c>
      <c r="AF12" s="820">
        <f t="shared" ca="1" si="17"/>
        <v>1.62</v>
      </c>
      <c r="AG12" s="820">
        <f t="shared" ca="1" si="17"/>
        <v>1.8</v>
      </c>
      <c r="AH12" s="817">
        <f t="shared" ca="1" si="17"/>
        <v>1.9079999999999997</v>
      </c>
      <c r="AI12" s="817">
        <f t="shared" ca="1" si="17"/>
        <v>2.052</v>
      </c>
      <c r="AJ12" s="817">
        <f t="shared" ca="1" si="17"/>
        <v>2.16</v>
      </c>
      <c r="AK12" s="803">
        <f ca="1">AK14*AK15*$F$11/1000</f>
        <v>1.2985</v>
      </c>
      <c r="AL12" s="803">
        <f t="shared" ref="AL12:AS12" ca="1" si="18">AL14*AL15*$F$11/1000</f>
        <v>1.3965000000000001</v>
      </c>
      <c r="AM12" s="803">
        <f t="shared" ca="1" si="18"/>
        <v>1.47</v>
      </c>
      <c r="AN12" s="820">
        <f t="shared" ca="1" si="18"/>
        <v>1.96</v>
      </c>
      <c r="AO12" s="820">
        <f t="shared" ca="1" si="18"/>
        <v>2.2050000000000001</v>
      </c>
      <c r="AP12" s="820">
        <f t="shared" ca="1" si="18"/>
        <v>2.4500000000000002</v>
      </c>
      <c r="AQ12" s="817">
        <f t="shared" ca="1" si="18"/>
        <v>2.597</v>
      </c>
      <c r="AR12" s="817">
        <f t="shared" ca="1" si="18"/>
        <v>2.7930000000000001</v>
      </c>
      <c r="AS12" s="817">
        <f t="shared" ca="1" si="18"/>
        <v>2.94</v>
      </c>
      <c r="AT12" s="803">
        <f ca="1">AT14*AT15*$G$11/1000</f>
        <v>1.696</v>
      </c>
      <c r="AU12" s="803">
        <f t="shared" ref="AU12:BB12" ca="1" si="19">AU14*AU15*$G$11/1000</f>
        <v>1.8240000000000001</v>
      </c>
      <c r="AV12" s="803">
        <f t="shared" ca="1" si="19"/>
        <v>1.92</v>
      </c>
      <c r="AW12" s="803">
        <f t="shared" ca="1" si="19"/>
        <v>2.2400000000000002</v>
      </c>
      <c r="AX12" s="820">
        <f t="shared" ca="1" si="19"/>
        <v>2.88</v>
      </c>
      <c r="AY12" s="820">
        <f t="shared" ca="1" si="19"/>
        <v>3.2</v>
      </c>
      <c r="AZ12" s="817">
        <f t="shared" ca="1" si="19"/>
        <v>3.3919999999999999</v>
      </c>
      <c r="BA12" s="817">
        <f t="shared" ca="1" si="19"/>
        <v>3.6480000000000001</v>
      </c>
      <c r="BB12" s="817">
        <f t="shared" ca="1" si="19"/>
        <v>3.84</v>
      </c>
      <c r="BC12" s="803">
        <f ca="1">BC14*BC15*$H$11/1000</f>
        <v>2.1465000000000001</v>
      </c>
      <c r="BD12" s="803">
        <f t="shared" ref="BD12:BK12" ca="1" si="20">BD14*BD15*$H$11/1000</f>
        <v>2.3085</v>
      </c>
      <c r="BE12" s="803">
        <f t="shared" ca="1" si="20"/>
        <v>2.4300000000000002</v>
      </c>
      <c r="BF12" s="803">
        <f t="shared" ca="1" si="20"/>
        <v>2.835</v>
      </c>
      <c r="BG12" s="803">
        <f t="shared" ca="1" si="20"/>
        <v>3.24</v>
      </c>
      <c r="BH12" s="820">
        <f t="shared" ca="1" si="20"/>
        <v>4.05</v>
      </c>
      <c r="BI12" s="817">
        <f t="shared" ca="1" si="20"/>
        <v>4.2930000000000001</v>
      </c>
      <c r="BJ12" s="817">
        <f t="shared" ca="1" si="20"/>
        <v>4.617</v>
      </c>
      <c r="BK12" s="817">
        <f t="shared" ca="1" si="20"/>
        <v>4.8600000000000003</v>
      </c>
      <c r="BL12" s="803">
        <f ca="1">BL14*BL15*$I$11/1000</f>
        <v>2.915</v>
      </c>
      <c r="BM12" s="803">
        <f t="shared" ref="BM12:BT12" ca="1" si="21">BM14*BM15*$I$11/1000</f>
        <v>3.1349999999999998</v>
      </c>
      <c r="BN12" s="803">
        <f t="shared" ca="1" si="21"/>
        <v>3.3</v>
      </c>
      <c r="BO12" s="803">
        <f t="shared" ca="1" si="21"/>
        <v>3.85</v>
      </c>
      <c r="BP12" s="803">
        <f t="shared" ca="1" si="21"/>
        <v>4.4000000000000004</v>
      </c>
      <c r="BQ12" s="803">
        <f t="shared" ca="1" si="21"/>
        <v>4.95</v>
      </c>
      <c r="BR12" s="817">
        <f t="shared" ca="1" si="21"/>
        <v>5.83</v>
      </c>
      <c r="BS12" s="817">
        <f t="shared" ca="1" si="21"/>
        <v>6.27</v>
      </c>
      <c r="BT12" s="817">
        <f t="shared" ca="1" si="21"/>
        <v>6.6</v>
      </c>
    </row>
    <row r="13" spans="1:72">
      <c r="A13" s="807" t="s">
        <v>968</v>
      </c>
      <c r="B13" s="812"/>
      <c r="C13" s="813" t="s">
        <v>1612</v>
      </c>
      <c r="D13" s="812"/>
      <c r="E13" s="812"/>
      <c r="F13" s="812"/>
      <c r="G13" s="812"/>
      <c r="H13" s="812"/>
      <c r="I13" s="812"/>
      <c r="J13" s="796" t="s">
        <v>1613</v>
      </c>
      <c r="L13" s="807"/>
      <c r="M13" s="807"/>
      <c r="N13" s="807"/>
      <c r="O13" s="807"/>
      <c r="P13" s="818"/>
      <c r="Q13" s="818"/>
      <c r="R13" s="818"/>
      <c r="S13" s="807"/>
      <c r="U13" s="827"/>
      <c r="V13" s="807"/>
      <c r="W13" s="807"/>
      <c r="X13" s="807"/>
      <c r="Y13" s="818"/>
      <c r="Z13" s="818"/>
      <c r="AA13" s="818"/>
      <c r="AB13" s="807"/>
      <c r="AC13" s="807"/>
      <c r="AD13" s="807"/>
      <c r="AE13" s="807"/>
      <c r="AF13" s="807"/>
      <c r="AG13" s="807"/>
      <c r="AH13" s="818"/>
      <c r="AI13" s="818"/>
      <c r="AJ13" s="818"/>
      <c r="AN13" s="807"/>
      <c r="AO13" s="807"/>
      <c r="AP13" s="807"/>
      <c r="AQ13" s="818"/>
      <c r="AR13" s="818"/>
      <c r="AS13" s="818"/>
      <c r="AX13" s="807"/>
      <c r="AY13" s="807"/>
      <c r="AZ13" s="818"/>
      <c r="BA13" s="818"/>
      <c r="BB13" s="818"/>
      <c r="BH13" s="807"/>
      <c r="BI13" s="818"/>
      <c r="BJ13" s="818"/>
      <c r="BK13" s="818"/>
      <c r="BR13" s="818"/>
      <c r="BS13" s="818"/>
      <c r="BT13" s="818"/>
    </row>
    <row r="14" spans="1:72">
      <c r="A14" s="812"/>
      <c r="B14" s="814" t="s">
        <v>1528</v>
      </c>
      <c r="C14" s="808">
        <f t="shared" ref="C14:I14" si="22">C4</f>
        <v>2.65</v>
      </c>
      <c r="D14" s="808">
        <f t="shared" si="22"/>
        <v>2.85</v>
      </c>
      <c r="E14" s="808">
        <f t="shared" si="22"/>
        <v>3</v>
      </c>
      <c r="F14" s="808">
        <f t="shared" si="22"/>
        <v>3.5</v>
      </c>
      <c r="G14" s="808">
        <f t="shared" si="22"/>
        <v>4</v>
      </c>
      <c r="H14" s="808">
        <f t="shared" si="22"/>
        <v>4.5</v>
      </c>
      <c r="I14" s="808">
        <f t="shared" si="22"/>
        <v>5</v>
      </c>
      <c r="J14" s="793">
        <f t="shared" ref="J14:R14" si="23">$C4</f>
        <v>2.65</v>
      </c>
      <c r="K14" s="765">
        <f t="shared" si="23"/>
        <v>2.65</v>
      </c>
      <c r="L14" s="808">
        <f t="shared" si="23"/>
        <v>2.65</v>
      </c>
      <c r="M14" s="808">
        <f t="shared" si="23"/>
        <v>2.65</v>
      </c>
      <c r="N14" s="808">
        <f t="shared" si="23"/>
        <v>2.65</v>
      </c>
      <c r="O14" s="808">
        <f t="shared" si="23"/>
        <v>2.65</v>
      </c>
      <c r="P14" s="824">
        <f t="shared" si="23"/>
        <v>2.65</v>
      </c>
      <c r="Q14" s="824">
        <f t="shared" si="23"/>
        <v>2.65</v>
      </c>
      <c r="R14" s="824">
        <f t="shared" si="23"/>
        <v>2.65</v>
      </c>
      <c r="S14" s="821">
        <f t="shared" ref="S14:AA14" si="24">$D4</f>
        <v>2.85</v>
      </c>
      <c r="T14" s="765">
        <f t="shared" si="24"/>
        <v>2.85</v>
      </c>
      <c r="U14" s="808">
        <f t="shared" si="24"/>
        <v>2.85</v>
      </c>
      <c r="V14" s="808">
        <f t="shared" si="24"/>
        <v>2.85</v>
      </c>
      <c r="W14" s="808">
        <f t="shared" si="24"/>
        <v>2.85</v>
      </c>
      <c r="X14" s="808">
        <f t="shared" si="24"/>
        <v>2.85</v>
      </c>
      <c r="Y14" s="824">
        <f t="shared" si="24"/>
        <v>2.85</v>
      </c>
      <c r="Z14" s="824">
        <f t="shared" si="24"/>
        <v>2.85</v>
      </c>
      <c r="AA14" s="824">
        <f t="shared" si="24"/>
        <v>2.85</v>
      </c>
      <c r="AB14" s="821">
        <f t="shared" ref="AB14:AJ14" si="25">$E4</f>
        <v>3</v>
      </c>
      <c r="AC14" s="808">
        <f t="shared" si="25"/>
        <v>3</v>
      </c>
      <c r="AD14" s="808">
        <f t="shared" si="25"/>
        <v>3</v>
      </c>
      <c r="AE14" s="808">
        <f t="shared" si="25"/>
        <v>3</v>
      </c>
      <c r="AF14" s="808">
        <f t="shared" si="25"/>
        <v>3</v>
      </c>
      <c r="AG14" s="808">
        <f t="shared" si="25"/>
        <v>3</v>
      </c>
      <c r="AH14" s="824">
        <f t="shared" si="25"/>
        <v>3</v>
      </c>
      <c r="AI14" s="824">
        <f t="shared" si="25"/>
        <v>3</v>
      </c>
      <c r="AJ14" s="824">
        <f t="shared" si="25"/>
        <v>3</v>
      </c>
      <c r="AK14" s="793">
        <f t="shared" ref="AK14:AS14" si="26">$F4</f>
        <v>3.5</v>
      </c>
      <c r="AL14" s="765">
        <f t="shared" si="26"/>
        <v>3.5</v>
      </c>
      <c r="AM14" s="765">
        <f t="shared" si="26"/>
        <v>3.5</v>
      </c>
      <c r="AN14" s="808">
        <f t="shared" si="26"/>
        <v>3.5</v>
      </c>
      <c r="AO14" s="808">
        <f t="shared" si="26"/>
        <v>3.5</v>
      </c>
      <c r="AP14" s="808">
        <f t="shared" si="26"/>
        <v>3.5</v>
      </c>
      <c r="AQ14" s="824">
        <f t="shared" si="26"/>
        <v>3.5</v>
      </c>
      <c r="AR14" s="824">
        <f t="shared" si="26"/>
        <v>3.5</v>
      </c>
      <c r="AS14" s="824">
        <f t="shared" si="26"/>
        <v>3.5</v>
      </c>
      <c r="AT14" s="793">
        <f t="shared" ref="AT14:BB14" si="27">$G4</f>
        <v>4</v>
      </c>
      <c r="AU14" s="765">
        <f t="shared" si="27"/>
        <v>4</v>
      </c>
      <c r="AV14" s="765">
        <f t="shared" si="27"/>
        <v>4</v>
      </c>
      <c r="AW14" s="765">
        <f t="shared" si="27"/>
        <v>4</v>
      </c>
      <c r="AX14" s="808">
        <f t="shared" si="27"/>
        <v>4</v>
      </c>
      <c r="AY14" s="808">
        <f t="shared" si="27"/>
        <v>4</v>
      </c>
      <c r="AZ14" s="824">
        <f t="shared" si="27"/>
        <v>4</v>
      </c>
      <c r="BA14" s="824">
        <f t="shared" si="27"/>
        <v>4</v>
      </c>
      <c r="BB14" s="824">
        <f t="shared" si="27"/>
        <v>4</v>
      </c>
      <c r="BC14" s="793">
        <f>$H4</f>
        <v>4.5</v>
      </c>
      <c r="BD14" s="765">
        <f t="shared" ref="BD14:BI14" si="28">$H4</f>
        <v>4.5</v>
      </c>
      <c r="BE14" s="765">
        <f t="shared" si="28"/>
        <v>4.5</v>
      </c>
      <c r="BF14" s="765">
        <f t="shared" si="28"/>
        <v>4.5</v>
      </c>
      <c r="BG14" s="765">
        <f t="shared" si="28"/>
        <v>4.5</v>
      </c>
      <c r="BH14" s="808">
        <f t="shared" si="28"/>
        <v>4.5</v>
      </c>
      <c r="BI14" s="824">
        <f t="shared" si="28"/>
        <v>4.5</v>
      </c>
      <c r="BJ14" s="824">
        <f>$H4</f>
        <v>4.5</v>
      </c>
      <c r="BK14" s="824">
        <f>$H4</f>
        <v>4.5</v>
      </c>
      <c r="BL14" s="793">
        <f>$I4</f>
        <v>5</v>
      </c>
      <c r="BM14" s="765">
        <f t="shared" ref="BM14:BR14" si="29">$I4</f>
        <v>5</v>
      </c>
      <c r="BN14" s="765">
        <f t="shared" si="29"/>
        <v>5</v>
      </c>
      <c r="BO14" s="765">
        <f t="shared" si="29"/>
        <v>5</v>
      </c>
      <c r="BP14" s="765">
        <f t="shared" si="29"/>
        <v>5</v>
      </c>
      <c r="BQ14" s="765">
        <f t="shared" si="29"/>
        <v>5</v>
      </c>
      <c r="BR14" s="824">
        <f t="shared" si="29"/>
        <v>5</v>
      </c>
      <c r="BS14" s="824">
        <f>$I4</f>
        <v>5</v>
      </c>
      <c r="BT14" s="824">
        <f>$I4</f>
        <v>5</v>
      </c>
    </row>
    <row r="15" spans="1:72">
      <c r="A15" s="807"/>
      <c r="B15" s="812" t="s">
        <v>1529</v>
      </c>
      <c r="C15" s="808">
        <f t="shared" ref="C15:I15" si="30">C4</f>
        <v>2.65</v>
      </c>
      <c r="D15" s="808">
        <f t="shared" si="30"/>
        <v>2.85</v>
      </c>
      <c r="E15" s="808">
        <f t="shared" si="30"/>
        <v>3</v>
      </c>
      <c r="F15" s="808">
        <f t="shared" si="30"/>
        <v>3.5</v>
      </c>
      <c r="G15" s="808">
        <f t="shared" si="30"/>
        <v>4</v>
      </c>
      <c r="H15" s="808">
        <f t="shared" si="30"/>
        <v>4.5</v>
      </c>
      <c r="I15" s="808">
        <f t="shared" si="30"/>
        <v>5</v>
      </c>
      <c r="J15" s="793">
        <f t="shared" ref="J15:R15" si="31">D4</f>
        <v>2.85</v>
      </c>
      <c r="K15" s="765">
        <f t="shared" si="31"/>
        <v>3</v>
      </c>
      <c r="L15" s="808">
        <f t="shared" si="31"/>
        <v>3.5</v>
      </c>
      <c r="M15" s="808">
        <f t="shared" si="31"/>
        <v>4</v>
      </c>
      <c r="N15" s="808">
        <f t="shared" si="31"/>
        <v>4.5</v>
      </c>
      <c r="O15" s="808">
        <f t="shared" si="31"/>
        <v>5</v>
      </c>
      <c r="P15" s="824">
        <f t="shared" si="31"/>
        <v>5.3</v>
      </c>
      <c r="Q15" s="824">
        <f t="shared" si="31"/>
        <v>5.7</v>
      </c>
      <c r="R15" s="824">
        <f t="shared" si="31"/>
        <v>6</v>
      </c>
      <c r="S15" s="821">
        <f>C4</f>
        <v>2.65</v>
      </c>
      <c r="T15" s="765">
        <f t="shared" ref="T15:AA15" si="32">E4</f>
        <v>3</v>
      </c>
      <c r="U15" s="808">
        <f t="shared" si="32"/>
        <v>3.5</v>
      </c>
      <c r="V15" s="808">
        <f t="shared" si="32"/>
        <v>4</v>
      </c>
      <c r="W15" s="808">
        <f t="shared" si="32"/>
        <v>4.5</v>
      </c>
      <c r="X15" s="808">
        <f t="shared" si="32"/>
        <v>5</v>
      </c>
      <c r="Y15" s="824">
        <f t="shared" si="32"/>
        <v>5.3</v>
      </c>
      <c r="Z15" s="824">
        <f t="shared" si="32"/>
        <v>5.7</v>
      </c>
      <c r="AA15" s="824">
        <f t="shared" si="32"/>
        <v>6</v>
      </c>
      <c r="AB15" s="821">
        <f>C5</f>
        <v>2.65</v>
      </c>
      <c r="AC15" s="808">
        <f>D5</f>
        <v>2.85</v>
      </c>
      <c r="AD15" s="808">
        <f t="shared" ref="AD15:AJ15" si="33">F5</f>
        <v>3.5</v>
      </c>
      <c r="AE15" s="808">
        <f t="shared" si="33"/>
        <v>4</v>
      </c>
      <c r="AF15" s="808">
        <f t="shared" si="33"/>
        <v>4.5</v>
      </c>
      <c r="AG15" s="808">
        <f t="shared" si="33"/>
        <v>5</v>
      </c>
      <c r="AH15" s="824">
        <f t="shared" si="33"/>
        <v>5.3</v>
      </c>
      <c r="AI15" s="824">
        <f t="shared" si="33"/>
        <v>5.7</v>
      </c>
      <c r="AJ15" s="824">
        <f t="shared" si="33"/>
        <v>6</v>
      </c>
      <c r="AK15" s="793">
        <f>C5</f>
        <v>2.65</v>
      </c>
      <c r="AL15" s="765">
        <f>D5</f>
        <v>2.85</v>
      </c>
      <c r="AM15" s="765">
        <f>E5</f>
        <v>3</v>
      </c>
      <c r="AN15" s="808">
        <f t="shared" ref="AN15:AS15" si="34">G5</f>
        <v>4</v>
      </c>
      <c r="AO15" s="808">
        <f t="shared" si="34"/>
        <v>4.5</v>
      </c>
      <c r="AP15" s="808">
        <f t="shared" si="34"/>
        <v>5</v>
      </c>
      <c r="AQ15" s="824">
        <f t="shared" si="34"/>
        <v>5.3</v>
      </c>
      <c r="AR15" s="824">
        <f t="shared" si="34"/>
        <v>5.7</v>
      </c>
      <c r="AS15" s="824">
        <f t="shared" si="34"/>
        <v>6</v>
      </c>
      <c r="AT15" s="793">
        <f>C5</f>
        <v>2.65</v>
      </c>
      <c r="AU15" s="765">
        <f>D5</f>
        <v>2.85</v>
      </c>
      <c r="AV15" s="765">
        <f>E5</f>
        <v>3</v>
      </c>
      <c r="AW15" s="765">
        <f>F5</f>
        <v>3.5</v>
      </c>
      <c r="AX15" s="808">
        <f>H5</f>
        <v>4.5</v>
      </c>
      <c r="AY15" s="808">
        <f>I5</f>
        <v>5</v>
      </c>
      <c r="AZ15" s="824">
        <f>J5</f>
        <v>5.3</v>
      </c>
      <c r="BA15" s="824">
        <f>K5</f>
        <v>5.7</v>
      </c>
      <c r="BB15" s="824">
        <f>L5</f>
        <v>6</v>
      </c>
      <c r="BC15" s="793">
        <f>C5</f>
        <v>2.65</v>
      </c>
      <c r="BD15" s="765">
        <f>D5</f>
        <v>2.85</v>
      </c>
      <c r="BE15" s="765">
        <f>E5</f>
        <v>3</v>
      </c>
      <c r="BF15" s="765">
        <f>F5</f>
        <v>3.5</v>
      </c>
      <c r="BG15" s="765">
        <f>G5</f>
        <v>4</v>
      </c>
      <c r="BH15" s="808">
        <f>I5</f>
        <v>5</v>
      </c>
      <c r="BI15" s="824">
        <f>J5</f>
        <v>5.3</v>
      </c>
      <c r="BJ15" s="824">
        <f>K5</f>
        <v>5.7</v>
      </c>
      <c r="BK15" s="824">
        <f>L5</f>
        <v>6</v>
      </c>
      <c r="BL15" s="793">
        <f t="shared" ref="BL15:BQ15" si="35">C5</f>
        <v>2.65</v>
      </c>
      <c r="BM15" s="765">
        <f t="shared" si="35"/>
        <v>2.85</v>
      </c>
      <c r="BN15" s="765">
        <f t="shared" si="35"/>
        <v>3</v>
      </c>
      <c r="BO15" s="765">
        <f t="shared" si="35"/>
        <v>3.5</v>
      </c>
      <c r="BP15" s="765">
        <f t="shared" si="35"/>
        <v>4</v>
      </c>
      <c r="BQ15" s="765">
        <f t="shared" si="35"/>
        <v>4.5</v>
      </c>
      <c r="BR15" s="824">
        <f>J5</f>
        <v>5.3</v>
      </c>
      <c r="BS15" s="824">
        <f>K5</f>
        <v>5.7</v>
      </c>
      <c r="BT15" s="824">
        <f>L5</f>
        <v>6</v>
      </c>
    </row>
    <row r="16" spans="1:72">
      <c r="A16" s="807"/>
      <c r="B16" s="812" t="s">
        <v>1560</v>
      </c>
      <c r="C16" s="815">
        <f ca="1">'Bemessung Unterzüge'!B41</f>
        <v>240</v>
      </c>
      <c r="D16" s="815">
        <f ca="1">'Bemessung Unterzüge'!C41</f>
        <v>240</v>
      </c>
      <c r="E16" s="815">
        <f ca="1">'Bemessung Unterzüge'!D41</f>
        <v>240</v>
      </c>
      <c r="F16" s="815">
        <f ca="1">'Bemessung Unterzüge'!E41</f>
        <v>240</v>
      </c>
      <c r="G16" s="815">
        <f ca="1">'Bemessung Unterzüge'!F41</f>
        <v>280</v>
      </c>
      <c r="H16" s="815">
        <f ca="1">'Bemessung Unterzüge'!G41</f>
        <v>280</v>
      </c>
      <c r="I16" s="815">
        <f ca="1">'Bemessung Unterzüge'!H41</f>
        <v>320</v>
      </c>
      <c r="J16" s="794">
        <f ca="1">'Bemessung Unterzüge'!I41</f>
        <v>240</v>
      </c>
      <c r="K16" s="763">
        <f ca="1">'Bemessung Unterzüge'!J41</f>
        <v>240</v>
      </c>
      <c r="L16" s="815">
        <f ca="1">'Bemessung Unterzüge'!K41</f>
        <v>240</v>
      </c>
      <c r="M16" s="815">
        <f ca="1">'Bemessung Unterzüge'!L41</f>
        <v>240</v>
      </c>
      <c r="N16" s="815">
        <f ca="1">'Bemessung Unterzüge'!M41</f>
        <v>240</v>
      </c>
      <c r="O16" s="815">
        <f ca="1">'Bemessung Unterzüge'!N41</f>
        <v>240</v>
      </c>
      <c r="P16" s="825">
        <f ca="1">'Bemessung Unterzüge'!O41</f>
        <v>280</v>
      </c>
      <c r="Q16" s="825">
        <f ca="1">'Bemessung Unterzüge'!P41</f>
        <v>280</v>
      </c>
      <c r="R16" s="825">
        <f ca="1">'Bemessung Unterzüge'!Q41</f>
        <v>280</v>
      </c>
      <c r="S16" s="822">
        <f ca="1">'Bemessung Unterzüge'!R41</f>
        <v>240</v>
      </c>
      <c r="T16" s="763">
        <f ca="1">'Bemessung Unterzüge'!S41</f>
        <v>240</v>
      </c>
      <c r="U16" s="815">
        <f ca="1">'Bemessung Unterzüge'!T41</f>
        <v>240</v>
      </c>
      <c r="V16" s="815">
        <f ca="1">'Bemessung Unterzüge'!U41</f>
        <v>240</v>
      </c>
      <c r="W16" s="815">
        <f ca="1">'Bemessung Unterzüge'!V41</f>
        <v>240</v>
      </c>
      <c r="X16" s="815">
        <f ca="1">'Bemessung Unterzüge'!W41</f>
        <v>280</v>
      </c>
      <c r="Y16" s="825">
        <f ca="1">'Bemessung Unterzüge'!X41</f>
        <v>280</v>
      </c>
      <c r="Z16" s="825">
        <f ca="1">'Bemessung Unterzüge'!Y41</f>
        <v>280</v>
      </c>
      <c r="AA16" s="825">
        <f ca="1">'Bemessung Unterzüge'!Z41</f>
        <v>280</v>
      </c>
      <c r="AB16" s="822">
        <f ca="1">'Bemessung Unterzüge'!AA41</f>
        <v>240</v>
      </c>
      <c r="AC16" s="815">
        <f ca="1">'Bemessung Unterzüge'!AB41</f>
        <v>240</v>
      </c>
      <c r="AD16" s="815">
        <f ca="1">'Bemessung Unterzüge'!AC41</f>
        <v>240</v>
      </c>
      <c r="AE16" s="815">
        <f ca="1">'Bemessung Unterzüge'!AD41</f>
        <v>240</v>
      </c>
      <c r="AF16" s="815">
        <f ca="1">'Bemessung Unterzüge'!AE41</f>
        <v>240</v>
      </c>
      <c r="AG16" s="815">
        <f ca="1">'Bemessung Unterzüge'!AF41</f>
        <v>280</v>
      </c>
      <c r="AH16" s="825">
        <f ca="1">'Bemessung Unterzüge'!AG41</f>
        <v>280</v>
      </c>
      <c r="AI16" s="825">
        <f ca="1">'Bemessung Unterzüge'!AH41</f>
        <v>280</v>
      </c>
      <c r="AJ16" s="825">
        <f ca="1">'Bemessung Unterzüge'!AI41</f>
        <v>280</v>
      </c>
      <c r="AK16" s="794">
        <f ca="1">'Bemessung Unterzüge'!AJ41</f>
        <v>240</v>
      </c>
      <c r="AL16" s="763">
        <f ca="1">'Bemessung Unterzüge'!AK41</f>
        <v>240</v>
      </c>
      <c r="AM16" s="763">
        <f ca="1">'Bemessung Unterzüge'!AL41</f>
        <v>240</v>
      </c>
      <c r="AN16" s="815">
        <f ca="1">'Bemessung Unterzüge'!AM41</f>
        <v>280</v>
      </c>
      <c r="AO16" s="815">
        <f ca="1">'Bemessung Unterzüge'!AN41</f>
        <v>280</v>
      </c>
      <c r="AP16" s="815">
        <f ca="1">'Bemessung Unterzüge'!AO41</f>
        <v>280</v>
      </c>
      <c r="AQ16" s="825">
        <f ca="1">'Bemessung Unterzüge'!AP41</f>
        <v>280</v>
      </c>
      <c r="AR16" s="825">
        <f ca="1">'Bemessung Unterzüge'!AQ41</f>
        <v>280</v>
      </c>
      <c r="AS16" s="825">
        <f ca="1">'Bemessung Unterzüge'!AR41</f>
        <v>280</v>
      </c>
      <c r="AT16" s="794">
        <f ca="1">'Bemessung Unterzüge'!AS41</f>
        <v>240</v>
      </c>
      <c r="AU16" s="763">
        <f ca="1">'Bemessung Unterzüge'!AT41</f>
        <v>240</v>
      </c>
      <c r="AV16" s="763">
        <f ca="1">'Bemessung Unterzüge'!AU41</f>
        <v>240</v>
      </c>
      <c r="AW16" s="763">
        <f ca="1">'Bemessung Unterzüge'!AV41</f>
        <v>240</v>
      </c>
      <c r="AX16" s="815">
        <f ca="1">'Bemessung Unterzüge'!AW41</f>
        <v>280</v>
      </c>
      <c r="AY16" s="815">
        <f ca="1">'Bemessung Unterzüge'!AX41</f>
        <v>280</v>
      </c>
      <c r="AZ16" s="825">
        <f ca="1">'Bemessung Unterzüge'!AY41</f>
        <v>280</v>
      </c>
      <c r="BA16" s="825">
        <f ca="1">'Bemessung Unterzüge'!AZ41</f>
        <v>280</v>
      </c>
      <c r="BB16" s="825">
        <f ca="1">'Bemessung Unterzüge'!BA41</f>
        <v>280</v>
      </c>
      <c r="BC16" s="794">
        <f ca="1">'Bemessung Unterzüge'!BB41</f>
        <v>240</v>
      </c>
      <c r="BD16" s="763">
        <f ca="1">'Bemessung Unterzüge'!BC41</f>
        <v>240</v>
      </c>
      <c r="BE16" s="763">
        <f ca="1">'Bemessung Unterzüge'!BD41</f>
        <v>240</v>
      </c>
      <c r="BF16" s="763">
        <f ca="1">'Bemessung Unterzüge'!BE41</f>
        <v>280</v>
      </c>
      <c r="BG16" s="763">
        <f ca="1">'Bemessung Unterzüge'!BF41</f>
        <v>280</v>
      </c>
      <c r="BH16" s="815">
        <f ca="1">'Bemessung Unterzüge'!BG41</f>
        <v>280</v>
      </c>
      <c r="BI16" s="825">
        <f ca="1">'Bemessung Unterzüge'!BH41</f>
        <v>280</v>
      </c>
      <c r="BJ16" s="825">
        <f ca="1">'Bemessung Unterzüge'!BI41</f>
        <v>320</v>
      </c>
      <c r="BK16" s="825">
        <f ca="1">'Bemessung Unterzüge'!BJ41</f>
        <v>320</v>
      </c>
      <c r="BL16" s="794">
        <f ca="1">'Bemessung Unterzüge'!BK41</f>
        <v>280</v>
      </c>
      <c r="BM16" s="763">
        <f ca="1">'Bemessung Unterzüge'!BL41</f>
        <v>280</v>
      </c>
      <c r="BN16" s="763">
        <f ca="1">'Bemessung Unterzüge'!BM41</f>
        <v>280</v>
      </c>
      <c r="BO16" s="763">
        <f ca="1">'Bemessung Unterzüge'!BN41</f>
        <v>280</v>
      </c>
      <c r="BP16" s="763">
        <f ca="1">'Bemessung Unterzüge'!BO41</f>
        <v>280</v>
      </c>
      <c r="BQ16" s="763">
        <f ca="1">'Bemessung Unterzüge'!BP41</f>
        <v>280</v>
      </c>
      <c r="BR16" s="825">
        <f ca="1">'Bemessung Unterzüge'!BQ41</f>
        <v>320</v>
      </c>
      <c r="BS16" s="825">
        <f ca="1">'Bemessung Unterzüge'!BR41</f>
        <v>320</v>
      </c>
      <c r="BT16" s="825">
        <f ca="1">'Bemessung Unterzüge'!BS41</f>
        <v>320</v>
      </c>
    </row>
    <row r="17" spans="1:72">
      <c r="A17" s="807"/>
      <c r="B17" s="812" t="s">
        <v>1563</v>
      </c>
      <c r="C17" s="815">
        <f ca="1">'Bemessung Unterzüge'!B42</f>
        <v>200</v>
      </c>
      <c r="D17" s="815">
        <f ca="1">'Bemessung Unterzüge'!C42</f>
        <v>240</v>
      </c>
      <c r="E17" s="815">
        <f ca="1">'Bemessung Unterzüge'!D42</f>
        <v>240</v>
      </c>
      <c r="F17" s="815">
        <f ca="1">'Bemessung Unterzüge'!E42</f>
        <v>320</v>
      </c>
      <c r="G17" s="815">
        <f ca="1">'Bemessung Unterzüge'!F42</f>
        <v>360</v>
      </c>
      <c r="H17" s="815">
        <f ca="1">'Bemessung Unterzüge'!G42</f>
        <v>440</v>
      </c>
      <c r="I17" s="815">
        <f ca="1">'Bemessung Unterzüge'!H42</f>
        <v>520</v>
      </c>
      <c r="J17" s="794">
        <f ca="1">'Bemessung Unterzüge'!I42</f>
        <v>240</v>
      </c>
      <c r="K17" s="763">
        <f ca="1">'Bemessung Unterzüge'!J42</f>
        <v>240</v>
      </c>
      <c r="L17" s="815">
        <f ca="1">'Bemessung Unterzüge'!K42</f>
        <v>280</v>
      </c>
      <c r="M17" s="815">
        <f ca="1">'Bemessung Unterzüge'!L42</f>
        <v>320</v>
      </c>
      <c r="N17" s="815">
        <f ca="1">'Bemessung Unterzüge'!M42</f>
        <v>400</v>
      </c>
      <c r="O17" s="815">
        <f ca="1">'Bemessung Unterzüge'!N42</f>
        <v>440</v>
      </c>
      <c r="P17" s="825">
        <f ca="1">'Bemessung Unterzüge'!O42</f>
        <v>440</v>
      </c>
      <c r="Q17" s="825">
        <f ca="1">'Bemessung Unterzüge'!P42</f>
        <v>480</v>
      </c>
      <c r="R17" s="825">
        <f ca="1">'Bemessung Unterzüge'!Q42</f>
        <v>520</v>
      </c>
      <c r="S17" s="822">
        <f ca="1">'Bemessung Unterzüge'!R42</f>
        <v>200</v>
      </c>
      <c r="T17" s="763">
        <f ca="1">'Bemessung Unterzüge'!S42</f>
        <v>240</v>
      </c>
      <c r="U17" s="815">
        <f ca="1">'Bemessung Unterzüge'!T42</f>
        <v>280</v>
      </c>
      <c r="V17" s="815">
        <f ca="1">'Bemessung Unterzüge'!U42</f>
        <v>320</v>
      </c>
      <c r="W17" s="815">
        <f ca="1">'Bemessung Unterzüge'!V42</f>
        <v>400</v>
      </c>
      <c r="X17" s="815">
        <f ca="1">'Bemessung Unterzüge'!W42</f>
        <v>440</v>
      </c>
      <c r="Y17" s="825">
        <f ca="1">'Bemessung Unterzüge'!X42</f>
        <v>480</v>
      </c>
      <c r="Z17" s="825">
        <f ca="1">'Bemessung Unterzüge'!Y42</f>
        <v>520</v>
      </c>
      <c r="AA17" s="825">
        <f ca="1">'Bemessung Unterzüge'!Z42</f>
        <v>560</v>
      </c>
      <c r="AB17" s="822">
        <f ca="1">'Bemessung Unterzüge'!AA42</f>
        <v>240</v>
      </c>
      <c r="AC17" s="815">
        <f ca="1">'Bemessung Unterzüge'!AB42</f>
        <v>240</v>
      </c>
      <c r="AD17" s="815">
        <f ca="1">'Bemessung Unterzüge'!AC42</f>
        <v>280</v>
      </c>
      <c r="AE17" s="815">
        <f ca="1">'Bemessung Unterzüge'!AD42</f>
        <v>360</v>
      </c>
      <c r="AF17" s="815">
        <f ca="1">'Bemessung Unterzüge'!AE42</f>
        <v>400</v>
      </c>
      <c r="AG17" s="815">
        <f ca="1">'Bemessung Unterzüge'!AF42</f>
        <v>440</v>
      </c>
      <c r="AH17" s="825">
        <f ca="1">'Bemessung Unterzüge'!AG42</f>
        <v>480</v>
      </c>
      <c r="AI17" s="825">
        <f ca="1">'Bemessung Unterzüge'!AH42</f>
        <v>520</v>
      </c>
      <c r="AJ17" s="825">
        <f ca="1">'Bemessung Unterzüge'!AI42</f>
        <v>560</v>
      </c>
      <c r="AK17" s="794">
        <f ca="1">'Bemessung Unterzüge'!AJ42</f>
        <v>240</v>
      </c>
      <c r="AL17" s="763">
        <f ca="1">'Bemessung Unterzüge'!AK42</f>
        <v>240</v>
      </c>
      <c r="AM17" s="763">
        <f ca="1">'Bemessung Unterzüge'!AL42</f>
        <v>280</v>
      </c>
      <c r="AN17" s="815">
        <f ca="1">'Bemessung Unterzüge'!AM42</f>
        <v>360</v>
      </c>
      <c r="AO17" s="815">
        <f ca="1">'Bemessung Unterzüge'!AN42</f>
        <v>400</v>
      </c>
      <c r="AP17" s="815">
        <f ca="1">'Bemessung Unterzüge'!AO42</f>
        <v>440</v>
      </c>
      <c r="AQ17" s="825">
        <f ca="1">'Bemessung Unterzüge'!AP42</f>
        <v>480</v>
      </c>
      <c r="AR17" s="825">
        <f ca="1">'Bemessung Unterzüge'!AQ42</f>
        <v>560</v>
      </c>
      <c r="AS17" s="825">
        <f ca="1">'Bemessung Unterzüge'!AR42</f>
        <v>600</v>
      </c>
      <c r="AT17" s="794">
        <f ca="1">'Bemessung Unterzüge'!AS42</f>
        <v>240</v>
      </c>
      <c r="AU17" s="763">
        <f ca="1">'Bemessung Unterzüge'!AT42</f>
        <v>280</v>
      </c>
      <c r="AV17" s="763">
        <f ca="1">'Bemessung Unterzüge'!AU42</f>
        <v>280</v>
      </c>
      <c r="AW17" s="763">
        <f ca="1">'Bemessung Unterzüge'!AV42</f>
        <v>320</v>
      </c>
      <c r="AX17" s="815">
        <f ca="1">'Bemessung Unterzüge'!AW42</f>
        <v>440</v>
      </c>
      <c r="AY17" s="815">
        <f ca="1">'Bemessung Unterzüge'!AX42</f>
        <v>480</v>
      </c>
      <c r="AZ17" s="825">
        <f ca="1">'Bemessung Unterzüge'!AY42</f>
        <v>520</v>
      </c>
      <c r="BA17" s="825">
        <f ca="1">'Bemessung Unterzüge'!AZ42</f>
        <v>560</v>
      </c>
      <c r="BB17" s="825">
        <f ca="1">'Bemessung Unterzüge'!BA42</f>
        <v>600</v>
      </c>
      <c r="BC17" s="794">
        <f ca="1">'Bemessung Unterzüge'!BB42</f>
        <v>280</v>
      </c>
      <c r="BD17" s="763">
        <f ca="1">'Bemessung Unterzüge'!BC42</f>
        <v>280</v>
      </c>
      <c r="BE17" s="763">
        <f ca="1">'Bemessung Unterzüge'!BD42</f>
        <v>280</v>
      </c>
      <c r="BF17" s="763">
        <f ca="1">'Bemessung Unterzüge'!BE42</f>
        <v>320</v>
      </c>
      <c r="BG17" s="763">
        <f ca="1">'Bemessung Unterzüge'!BF42</f>
        <v>360</v>
      </c>
      <c r="BH17" s="815">
        <f ca="1">'Bemessung Unterzüge'!BG42</f>
        <v>520</v>
      </c>
      <c r="BI17" s="825">
        <f ca="1">'Bemessung Unterzüge'!BH42</f>
        <v>560</v>
      </c>
      <c r="BJ17" s="825">
        <f ca="1">'Bemessung Unterzüge'!BI42</f>
        <v>560</v>
      </c>
      <c r="BK17" s="825">
        <f ca="1">'Bemessung Unterzüge'!BJ42</f>
        <v>600</v>
      </c>
      <c r="BL17" s="794">
        <f ca="1">'Bemessung Unterzüge'!BK42</f>
        <v>280</v>
      </c>
      <c r="BM17" s="763">
        <f ca="1">'Bemessung Unterzüge'!BL42</f>
        <v>280</v>
      </c>
      <c r="BN17" s="763">
        <f ca="1">'Bemessung Unterzüge'!BM42</f>
        <v>280</v>
      </c>
      <c r="BO17" s="763">
        <f ca="1">'Bemessung Unterzüge'!BN42</f>
        <v>360</v>
      </c>
      <c r="BP17" s="763">
        <f ca="1">'Bemessung Unterzüge'!BO42</f>
        <v>400</v>
      </c>
      <c r="BQ17" s="763">
        <f ca="1">'Bemessung Unterzüge'!BP42</f>
        <v>480</v>
      </c>
      <c r="BR17" s="825">
        <f ca="1">'Bemessung Unterzüge'!BQ42</f>
        <v>560</v>
      </c>
      <c r="BS17" s="825">
        <f ca="1">'Bemessung Unterzüge'!BR42</f>
        <v>600</v>
      </c>
      <c r="BT17" s="825">
        <f ca="1">'Bemessung Unterzüge'!BS42</f>
        <v>640</v>
      </c>
    </row>
    <row r="18" spans="1:72">
      <c r="A18" s="807"/>
      <c r="B18" s="807" t="s">
        <v>1527</v>
      </c>
      <c r="C18" s="809">
        <f t="shared" ref="C18:BN18" ca="1" si="36">C$17*b_UZ</f>
        <v>48000</v>
      </c>
      <c r="D18" s="809">
        <f t="shared" ca="1" si="36"/>
        <v>57600</v>
      </c>
      <c r="E18" s="809">
        <f t="shared" ca="1" si="36"/>
        <v>57600</v>
      </c>
      <c r="F18" s="809">
        <f t="shared" ca="1" si="36"/>
        <v>76800</v>
      </c>
      <c r="G18" s="809">
        <f t="shared" ca="1" si="36"/>
        <v>86400</v>
      </c>
      <c r="H18" s="809">
        <f t="shared" ca="1" si="36"/>
        <v>105600</v>
      </c>
      <c r="I18" s="809">
        <f t="shared" ca="1" si="36"/>
        <v>124800</v>
      </c>
      <c r="J18" s="795">
        <f t="shared" ca="1" si="36"/>
        <v>57600</v>
      </c>
      <c r="K18" s="766">
        <f t="shared" ca="1" si="36"/>
        <v>57600</v>
      </c>
      <c r="L18" s="809">
        <f t="shared" ca="1" si="36"/>
        <v>67200</v>
      </c>
      <c r="M18" s="809">
        <f t="shared" ca="1" si="36"/>
        <v>76800</v>
      </c>
      <c r="N18" s="809">
        <f t="shared" ca="1" si="36"/>
        <v>96000</v>
      </c>
      <c r="O18" s="809">
        <f t="shared" ca="1" si="36"/>
        <v>105600</v>
      </c>
      <c r="P18" s="826">
        <f t="shared" ca="1" si="36"/>
        <v>105600</v>
      </c>
      <c r="Q18" s="826">
        <f t="shared" ca="1" si="36"/>
        <v>115200</v>
      </c>
      <c r="R18" s="826">
        <f t="shared" ca="1" si="36"/>
        <v>124800</v>
      </c>
      <c r="S18" s="823">
        <f t="shared" ca="1" si="36"/>
        <v>48000</v>
      </c>
      <c r="T18" s="766">
        <f t="shared" ref="T18:AA18" ca="1" si="37">T$17*b_UZ</f>
        <v>57600</v>
      </c>
      <c r="U18" s="809">
        <f t="shared" ca="1" si="37"/>
        <v>67200</v>
      </c>
      <c r="V18" s="809">
        <f t="shared" ca="1" si="37"/>
        <v>76800</v>
      </c>
      <c r="W18" s="809">
        <f t="shared" ca="1" si="37"/>
        <v>96000</v>
      </c>
      <c r="X18" s="809">
        <f t="shared" ca="1" si="37"/>
        <v>105600</v>
      </c>
      <c r="Y18" s="826">
        <f t="shared" ca="1" si="37"/>
        <v>115200</v>
      </c>
      <c r="Z18" s="826">
        <f t="shared" ca="1" si="37"/>
        <v>124800</v>
      </c>
      <c r="AA18" s="826">
        <f t="shared" ca="1" si="37"/>
        <v>134400</v>
      </c>
      <c r="AB18" s="823">
        <f t="shared" ca="1" si="36"/>
        <v>57600</v>
      </c>
      <c r="AC18" s="809">
        <f t="shared" ca="1" si="36"/>
        <v>57600</v>
      </c>
      <c r="AD18" s="809">
        <f t="shared" ca="1" si="36"/>
        <v>67200</v>
      </c>
      <c r="AE18" s="809">
        <f t="shared" ca="1" si="36"/>
        <v>86400</v>
      </c>
      <c r="AF18" s="809">
        <f t="shared" ca="1" si="36"/>
        <v>96000</v>
      </c>
      <c r="AG18" s="809">
        <f t="shared" ca="1" si="36"/>
        <v>105600</v>
      </c>
      <c r="AH18" s="826">
        <f t="shared" ca="1" si="36"/>
        <v>115200</v>
      </c>
      <c r="AI18" s="826">
        <f t="shared" ca="1" si="36"/>
        <v>124800</v>
      </c>
      <c r="AJ18" s="826">
        <f t="shared" ca="1" si="36"/>
        <v>134400</v>
      </c>
      <c r="AK18" s="795">
        <f t="shared" ca="1" si="36"/>
        <v>57600</v>
      </c>
      <c r="AL18" s="766">
        <f t="shared" ca="1" si="36"/>
        <v>57600</v>
      </c>
      <c r="AM18" s="766">
        <f t="shared" ca="1" si="36"/>
        <v>67200</v>
      </c>
      <c r="AN18" s="809">
        <f t="shared" ca="1" si="36"/>
        <v>86400</v>
      </c>
      <c r="AO18" s="809">
        <f t="shared" ca="1" si="36"/>
        <v>96000</v>
      </c>
      <c r="AP18" s="809">
        <f t="shared" ca="1" si="36"/>
        <v>105600</v>
      </c>
      <c r="AQ18" s="826">
        <f t="shared" ca="1" si="36"/>
        <v>115200</v>
      </c>
      <c r="AR18" s="826">
        <f t="shared" ca="1" si="36"/>
        <v>134400</v>
      </c>
      <c r="AS18" s="826">
        <f t="shared" ca="1" si="36"/>
        <v>144000</v>
      </c>
      <c r="AT18" s="795">
        <f t="shared" ca="1" si="36"/>
        <v>57600</v>
      </c>
      <c r="AU18" s="766">
        <f t="shared" ca="1" si="36"/>
        <v>67200</v>
      </c>
      <c r="AV18" s="766">
        <f t="shared" ca="1" si="36"/>
        <v>67200</v>
      </c>
      <c r="AW18" s="766">
        <f t="shared" ca="1" si="36"/>
        <v>76800</v>
      </c>
      <c r="AX18" s="809">
        <f t="shared" ca="1" si="36"/>
        <v>105600</v>
      </c>
      <c r="AY18" s="809">
        <f t="shared" ca="1" si="36"/>
        <v>115200</v>
      </c>
      <c r="AZ18" s="826">
        <f t="shared" ca="1" si="36"/>
        <v>124800</v>
      </c>
      <c r="BA18" s="826">
        <f t="shared" ca="1" si="36"/>
        <v>134400</v>
      </c>
      <c r="BB18" s="826">
        <f t="shared" ca="1" si="36"/>
        <v>144000</v>
      </c>
      <c r="BC18" s="795">
        <f t="shared" ca="1" si="36"/>
        <v>67200</v>
      </c>
      <c r="BD18" s="766">
        <f t="shared" ca="1" si="36"/>
        <v>67200</v>
      </c>
      <c r="BE18" s="766">
        <f t="shared" ca="1" si="36"/>
        <v>67200</v>
      </c>
      <c r="BF18" s="766">
        <f t="shared" ca="1" si="36"/>
        <v>76800</v>
      </c>
      <c r="BG18" s="766">
        <f t="shared" ca="1" si="36"/>
        <v>86400</v>
      </c>
      <c r="BH18" s="809">
        <f t="shared" ca="1" si="36"/>
        <v>124800</v>
      </c>
      <c r="BI18" s="826">
        <f t="shared" ca="1" si="36"/>
        <v>134400</v>
      </c>
      <c r="BJ18" s="826">
        <f t="shared" ca="1" si="36"/>
        <v>134400</v>
      </c>
      <c r="BK18" s="826">
        <f t="shared" ca="1" si="36"/>
        <v>144000</v>
      </c>
      <c r="BL18" s="795">
        <f t="shared" ca="1" si="36"/>
        <v>67200</v>
      </c>
      <c r="BM18" s="766">
        <f t="shared" ca="1" si="36"/>
        <v>67200</v>
      </c>
      <c r="BN18" s="766">
        <f t="shared" ca="1" si="36"/>
        <v>67200</v>
      </c>
      <c r="BO18" s="766">
        <f t="shared" ref="BO18:BT18" ca="1" si="38">BO$17*b_UZ</f>
        <v>86400</v>
      </c>
      <c r="BP18" s="766">
        <f t="shared" ca="1" si="38"/>
        <v>96000</v>
      </c>
      <c r="BQ18" s="766">
        <f t="shared" ca="1" si="38"/>
        <v>115200</v>
      </c>
      <c r="BR18" s="826">
        <f t="shared" ca="1" si="38"/>
        <v>134400</v>
      </c>
      <c r="BS18" s="826">
        <f t="shared" ca="1" si="38"/>
        <v>144000</v>
      </c>
      <c r="BT18" s="826">
        <f t="shared" ca="1" si="38"/>
        <v>153600</v>
      </c>
    </row>
    <row r="19" spans="1:72" s="801" customFormat="1">
      <c r="A19" s="810"/>
      <c r="B19" s="810" t="s">
        <v>1623</v>
      </c>
      <c r="C19" s="811">
        <f ca="1">C15*C16/1000*C17/1000</f>
        <v>0.12720000000000001</v>
      </c>
      <c r="D19" s="811">
        <f t="shared" ref="D19:BO19" ca="1" si="39">D15*D16/1000*D17/1000</f>
        <v>0.16416000000000003</v>
      </c>
      <c r="E19" s="811">
        <f t="shared" ca="1" si="39"/>
        <v>0.17279999999999998</v>
      </c>
      <c r="F19" s="811">
        <f t="shared" ca="1" si="39"/>
        <v>0.26880000000000004</v>
      </c>
      <c r="G19" s="811">
        <f t="shared" ca="1" si="39"/>
        <v>0.40320000000000006</v>
      </c>
      <c r="H19" s="811">
        <f t="shared" ca="1" si="39"/>
        <v>0.5544</v>
      </c>
      <c r="I19" s="811">
        <f t="shared" ca="1" si="39"/>
        <v>0.83199999999999996</v>
      </c>
      <c r="J19" s="802">
        <f ca="1">J15*J16/1000*J17/1000</f>
        <v>0.16416000000000003</v>
      </c>
      <c r="K19" s="802">
        <f t="shared" ca="1" si="39"/>
        <v>0.17279999999999998</v>
      </c>
      <c r="L19" s="811">
        <f t="shared" ca="1" si="39"/>
        <v>0.23519999999999999</v>
      </c>
      <c r="M19" s="811">
        <f t="shared" ca="1" si="39"/>
        <v>0.30719999999999997</v>
      </c>
      <c r="N19" s="811">
        <f t="shared" ca="1" si="39"/>
        <v>0.432</v>
      </c>
      <c r="O19" s="811">
        <f t="shared" ca="1" si="39"/>
        <v>0.52800000000000002</v>
      </c>
      <c r="P19" s="819">
        <f t="shared" ca="1" si="39"/>
        <v>0.65295999999999998</v>
      </c>
      <c r="Q19" s="819">
        <f t="shared" ca="1" si="39"/>
        <v>0.76608000000000009</v>
      </c>
      <c r="R19" s="819">
        <f t="shared" ca="1" si="39"/>
        <v>0.87360000000000004</v>
      </c>
      <c r="S19" s="811">
        <f t="shared" ca="1" si="39"/>
        <v>0.12720000000000001</v>
      </c>
      <c r="T19" s="802">
        <f t="shared" ca="1" si="39"/>
        <v>0.17279999999999998</v>
      </c>
      <c r="U19" s="811">
        <f t="shared" ca="1" si="39"/>
        <v>0.23519999999999999</v>
      </c>
      <c r="V19" s="811">
        <f t="shared" ca="1" si="39"/>
        <v>0.30719999999999997</v>
      </c>
      <c r="W19" s="811">
        <f t="shared" ca="1" si="39"/>
        <v>0.432</v>
      </c>
      <c r="X19" s="811">
        <f t="shared" ca="1" si="39"/>
        <v>0.61599999999999999</v>
      </c>
      <c r="Y19" s="819">
        <f t="shared" ca="1" si="39"/>
        <v>0.71231999999999995</v>
      </c>
      <c r="Z19" s="819">
        <f t="shared" ca="1" si="39"/>
        <v>0.8299200000000001</v>
      </c>
      <c r="AA19" s="819">
        <f t="shared" ca="1" si="39"/>
        <v>0.94079999999999997</v>
      </c>
      <c r="AB19" s="811">
        <f t="shared" ca="1" si="39"/>
        <v>0.15264000000000003</v>
      </c>
      <c r="AC19" s="811">
        <f t="shared" ca="1" si="39"/>
        <v>0.16416000000000003</v>
      </c>
      <c r="AD19" s="811">
        <f t="shared" ca="1" si="39"/>
        <v>0.23519999999999999</v>
      </c>
      <c r="AE19" s="811">
        <f t="shared" ca="1" si="39"/>
        <v>0.34559999999999996</v>
      </c>
      <c r="AF19" s="811">
        <f t="shared" ca="1" si="39"/>
        <v>0.432</v>
      </c>
      <c r="AG19" s="811">
        <f t="shared" ca="1" si="39"/>
        <v>0.61599999999999999</v>
      </c>
      <c r="AH19" s="819">
        <f t="shared" ca="1" si="39"/>
        <v>0.71231999999999995</v>
      </c>
      <c r="AI19" s="819">
        <f t="shared" ca="1" si="39"/>
        <v>0.8299200000000001</v>
      </c>
      <c r="AJ19" s="819">
        <f t="shared" ca="1" si="39"/>
        <v>0.94079999999999997</v>
      </c>
      <c r="AK19" s="802">
        <f t="shared" ca="1" si="39"/>
        <v>0.15264000000000003</v>
      </c>
      <c r="AL19" s="802">
        <f t="shared" ca="1" si="39"/>
        <v>0.16416000000000003</v>
      </c>
      <c r="AM19" s="802">
        <f t="shared" ca="1" si="39"/>
        <v>0.2016</v>
      </c>
      <c r="AN19" s="811">
        <f t="shared" ca="1" si="39"/>
        <v>0.40320000000000006</v>
      </c>
      <c r="AO19" s="811">
        <f t="shared" ca="1" si="39"/>
        <v>0.504</v>
      </c>
      <c r="AP19" s="811">
        <f t="shared" ca="1" si="39"/>
        <v>0.61599999999999999</v>
      </c>
      <c r="AQ19" s="819">
        <f t="shared" ca="1" si="39"/>
        <v>0.71231999999999995</v>
      </c>
      <c r="AR19" s="819">
        <f t="shared" ca="1" si="39"/>
        <v>0.89376</v>
      </c>
      <c r="AS19" s="819">
        <f t="shared" ca="1" si="39"/>
        <v>1.008</v>
      </c>
      <c r="AT19" s="802">
        <f t="shared" ca="1" si="39"/>
        <v>0.15264000000000003</v>
      </c>
      <c r="AU19" s="802">
        <f t="shared" ca="1" si="39"/>
        <v>0.19152000000000002</v>
      </c>
      <c r="AV19" s="802">
        <f t="shared" ca="1" si="39"/>
        <v>0.2016</v>
      </c>
      <c r="AW19" s="802">
        <f t="shared" ca="1" si="39"/>
        <v>0.26880000000000004</v>
      </c>
      <c r="AX19" s="811">
        <f t="shared" ca="1" si="39"/>
        <v>0.5544</v>
      </c>
      <c r="AY19" s="811">
        <f t="shared" ca="1" si="39"/>
        <v>0.67200000000000004</v>
      </c>
      <c r="AZ19" s="819">
        <f t="shared" ca="1" si="39"/>
        <v>0.77167999999999992</v>
      </c>
      <c r="BA19" s="819">
        <f t="shared" ca="1" si="39"/>
        <v>0.89376</v>
      </c>
      <c r="BB19" s="819">
        <f t="shared" ca="1" si="39"/>
        <v>1.008</v>
      </c>
      <c r="BC19" s="802">
        <f t="shared" ca="1" si="39"/>
        <v>0.17808000000000002</v>
      </c>
      <c r="BD19" s="802">
        <f t="shared" ca="1" si="39"/>
        <v>0.19152000000000002</v>
      </c>
      <c r="BE19" s="802">
        <f t="shared" ca="1" si="39"/>
        <v>0.2016</v>
      </c>
      <c r="BF19" s="802">
        <f t="shared" ca="1" si="39"/>
        <v>0.31360000000000005</v>
      </c>
      <c r="BG19" s="802">
        <f t="shared" ca="1" si="39"/>
        <v>0.40320000000000006</v>
      </c>
      <c r="BH19" s="811">
        <f t="shared" ca="1" si="39"/>
        <v>0.72799999999999998</v>
      </c>
      <c r="BI19" s="819">
        <f t="shared" ca="1" si="39"/>
        <v>0.83104</v>
      </c>
      <c r="BJ19" s="819">
        <f t="shared" ca="1" si="39"/>
        <v>1.0214400000000001</v>
      </c>
      <c r="BK19" s="819">
        <f t="shared" ca="1" si="39"/>
        <v>1.1519999999999999</v>
      </c>
      <c r="BL19" s="802">
        <f t="shared" ca="1" si="39"/>
        <v>0.20776</v>
      </c>
      <c r="BM19" s="802">
        <f t="shared" ca="1" si="39"/>
        <v>0.22344</v>
      </c>
      <c r="BN19" s="802">
        <f t="shared" ca="1" si="39"/>
        <v>0.23519999999999999</v>
      </c>
      <c r="BO19" s="802">
        <f t="shared" ca="1" si="39"/>
        <v>0.3528</v>
      </c>
      <c r="BP19" s="802">
        <f ca="1">BP15*BP16/1000*BP17/1000</f>
        <v>0.44800000000000006</v>
      </c>
      <c r="BQ19" s="802">
        <f ca="1">BQ15*BQ16/1000*BQ17/1000</f>
        <v>0.6048</v>
      </c>
      <c r="BR19" s="819">
        <f ca="1">BR15*BR16/1000*BR17/1000</f>
        <v>0.94975999999999994</v>
      </c>
      <c r="BS19" s="819">
        <f ca="1">BS15*BS16/1000*BS17/1000</f>
        <v>1.0944</v>
      </c>
      <c r="BT19" s="819">
        <f ca="1">BT15*BT16/1000*BT17/1000</f>
        <v>1.2287999999999999</v>
      </c>
    </row>
    <row r="20" spans="1:72">
      <c r="A20" s="807"/>
      <c r="B20" s="807"/>
      <c r="C20" s="815"/>
      <c r="D20" s="815"/>
      <c r="E20" s="807"/>
      <c r="F20" s="815"/>
      <c r="G20" s="815"/>
      <c r="H20" s="815"/>
      <c r="I20" s="815"/>
      <c r="J20" s="763"/>
      <c r="K20" s="763"/>
      <c r="L20" s="807"/>
      <c r="M20" s="807"/>
      <c r="N20" s="807"/>
      <c r="O20" s="807"/>
      <c r="P20" s="818"/>
      <c r="Q20" s="818"/>
      <c r="R20" s="818"/>
      <c r="S20" s="807"/>
      <c r="U20" s="827"/>
      <c r="V20" s="807"/>
      <c r="W20" s="807"/>
      <c r="X20" s="807"/>
      <c r="Y20" s="818"/>
      <c r="Z20" s="818"/>
      <c r="AA20" s="818"/>
      <c r="AB20" s="807"/>
      <c r="AC20" s="807"/>
      <c r="AD20" s="807"/>
      <c r="AE20" s="807"/>
      <c r="AF20" s="807"/>
      <c r="AG20" s="807"/>
      <c r="AH20" s="818"/>
      <c r="AI20" s="818"/>
      <c r="AJ20" s="818"/>
      <c r="AN20" s="807"/>
      <c r="AO20" s="807"/>
      <c r="AP20" s="807"/>
      <c r="AQ20" s="818"/>
      <c r="AR20" s="818"/>
      <c r="AS20" s="818"/>
      <c r="AX20" s="807"/>
      <c r="AY20" s="807"/>
      <c r="AZ20" s="818"/>
      <c r="BA20" s="818"/>
      <c r="BB20" s="818"/>
      <c r="BH20" s="807"/>
      <c r="BI20" s="818"/>
      <c r="BJ20" s="818"/>
      <c r="BK20" s="818"/>
      <c r="BR20" s="818"/>
      <c r="BS20" s="818"/>
      <c r="BT20" s="818"/>
    </row>
    <row r="21" spans="1:72">
      <c r="A21" s="807" t="s">
        <v>1565</v>
      </c>
      <c r="B21" s="807" t="s">
        <v>883</v>
      </c>
      <c r="C21" s="808">
        <f ca="1">h_raum+
h_auf+
(HLOOKUP(Datenbank!C14,'Rasterbemessung DE UZ ST'!$C$8:$M$12,5,FALSE))/1000+
(INDEX('Rasterbemessung DE UZ ST'!$B$64:$M$75,MATCH(Datenbank!C$14,'Rasterbemessung DE UZ ST'!$B$64:$B$75,0),MATCH(Datenbank!C$15,'Rasterbemessung DE UZ ST'!$B$64:$M$64,0)))/1000</f>
        <v>2.9350000000000001</v>
      </c>
      <c r="D21" s="808">
        <f ca="1">h_raum+
h_auf+
(HLOOKUP(Datenbank!D14,'Rasterbemessung DE UZ ST'!$C$8:$M$12,5,FALSE))/1000+
(INDEX('Rasterbemessung DE UZ ST'!$B$64:$M$75,MATCH(Datenbank!D$14,'Rasterbemessung DE UZ ST'!$B$64:$B$75,0),MATCH(Datenbank!D$15,'Rasterbemessung DE UZ ST'!$B$64:$M$64,0)))/1000</f>
        <v>2.9749999999999996</v>
      </c>
      <c r="E21" s="808">
        <f ca="1">h_raum+
h_auf+
(HLOOKUP(Datenbank!E14,'Rasterbemessung DE UZ ST'!$C$8:$M$12,5,FALSE))/1000+
(INDEX('Rasterbemessung DE UZ ST'!$B$64:$M$75,MATCH(Datenbank!E$14,'Rasterbemessung DE UZ ST'!$B$64:$B$75,0),MATCH(Datenbank!E$15,'Rasterbemessung DE UZ ST'!$B$64:$M$64,0)))/1000</f>
        <v>2.9749999999999996</v>
      </c>
      <c r="F21" s="808">
        <f ca="1">h_raum+
h_auf+
(HLOOKUP(Datenbank!F14,'Rasterbemessung DE UZ ST'!$C$8:$M$12,5,FALSE))/1000+
(INDEX('Rasterbemessung DE UZ ST'!$B$64:$M$75,MATCH(Datenbank!F$14,'Rasterbemessung DE UZ ST'!$B$64:$B$75,0),MATCH(Datenbank!F$15,'Rasterbemessung DE UZ ST'!$B$64:$M$64,0)))/1000</f>
        <v>3.0749999999999997</v>
      </c>
      <c r="G21" s="808">
        <f ca="1">h_raum+
h_auf+
(HLOOKUP(Datenbank!G14,'Rasterbemessung DE UZ ST'!$C$8:$M$12,5,FALSE))/1000+
(INDEX('Rasterbemessung DE UZ ST'!$B$64:$M$75,MATCH(Datenbank!G$14,'Rasterbemessung DE UZ ST'!$B$64:$B$75,0),MATCH(Datenbank!G$15,'Rasterbemessung DE UZ ST'!$B$64:$M$64,0)))/1000</f>
        <v>3.1349999999999998</v>
      </c>
      <c r="H21" s="808">
        <f ca="1">h_raum+
h_auf+
(HLOOKUP(Datenbank!H14,'Rasterbemessung DE UZ ST'!$C$8:$M$12,5,FALSE))/1000+
(INDEX('Rasterbemessung DE UZ ST'!$B$64:$M$75,MATCH(Datenbank!H$14,'Rasterbemessung DE UZ ST'!$B$64:$B$75,0),MATCH(Datenbank!H$15,'Rasterbemessung DE UZ ST'!$B$64:$M$64,0)))/1000</f>
        <v>3.2749999999999999</v>
      </c>
      <c r="I21" s="808">
        <f ca="1">h_raum+
h_auf+
(HLOOKUP(Datenbank!I$14,'Rasterbemessung DE UZ ST'!$C$8:$M$12,5,FALSE))/1000+
(INDEX('Rasterbemessung DE UZ ST'!$B$64:$M$75,MATCH(Datenbank!I$14,'Rasterbemessung DE UZ ST'!$B$64:$B$75,0),MATCH(Datenbank!I$15,'Rasterbemessung DE UZ ST'!$B$64:$M$64,0)))/1000</f>
        <v>3.395</v>
      </c>
      <c r="J21" s="793">
        <f ca="1">h_raum+
h_auf+
(HLOOKUP(Datenbank!J$14,'Rasterbemessung DE UZ ST'!$C$8:$M$12,5,FALSE))/1000+
(INDEX('Rasterbemessung DE UZ ST'!$B$64:$M$75,MATCH(Datenbank!J$14,'Rasterbemessung DE UZ ST'!$B$64:$B$75,0),MATCH(Datenbank!J$15,'Rasterbemessung DE UZ ST'!$B$64:$M$64,0)))/1000</f>
        <v>2.9749999999999996</v>
      </c>
      <c r="K21" s="765">
        <f ca="1">h_raum+
h_auf+
(HLOOKUP(Datenbank!K$14,'Rasterbemessung DE UZ ST'!$C$8:$M$12,5,FALSE))/1000+
(INDEX('Rasterbemessung DE UZ ST'!$B$64:$M$75,MATCH(Datenbank!K$14,'Rasterbemessung DE UZ ST'!$B$64:$B$75,0),MATCH(Datenbank!K$15,'Rasterbemessung DE UZ ST'!$B$64:$M$64,0)))/1000</f>
        <v>2.9749999999999996</v>
      </c>
      <c r="L21" s="808">
        <f ca="1">h_raum+
h_auf+
(HLOOKUP(Datenbank!L$14,'Rasterbemessung DE UZ ST'!$C$8:$M$12,5,FALSE))/1000+
(INDEX('Rasterbemessung DE UZ ST'!$B$64:$M$75,MATCH(Datenbank!L$14,'Rasterbemessung DE UZ ST'!$B$64:$B$75,0),MATCH(Datenbank!L$15,'Rasterbemessung DE UZ ST'!$B$64:$M$64,0)))/1000</f>
        <v>3.0149999999999997</v>
      </c>
      <c r="M21" s="808">
        <f ca="1">h_raum+
h_auf+
(HLOOKUP(Datenbank!M$14,'Rasterbemessung DE UZ ST'!$C$8:$M$12,5,FALSE))/1000+
(INDEX('Rasterbemessung DE UZ ST'!$B$64:$M$75,MATCH(Datenbank!M$14,'Rasterbemessung DE UZ ST'!$B$64:$B$75,0),MATCH(Datenbank!M$15,'Rasterbemessung DE UZ ST'!$B$64:$M$64,0)))/1000</f>
        <v>3.0549999999999997</v>
      </c>
      <c r="N21" s="808">
        <f ca="1">h_raum+
h_auf+
(HLOOKUP(Datenbank!N$14,'Rasterbemessung DE UZ ST'!$C$8:$M$12,5,FALSE))/1000+
(INDEX('Rasterbemessung DE UZ ST'!$B$64:$M$75,MATCH(Datenbank!N$14,'Rasterbemessung DE UZ ST'!$B$64:$B$75,0),MATCH(Datenbank!N$15,'Rasterbemessung DE UZ ST'!$B$64:$M$64,0)))/1000</f>
        <v>3.1349999999999998</v>
      </c>
      <c r="O21" s="808">
        <f ca="1">h_raum+
h_auf+
(HLOOKUP(Datenbank!O$14,'Rasterbemessung DE UZ ST'!$C$8:$M$12,5,FALSE))/1000+
(INDEX('Rasterbemessung DE UZ ST'!$B$64:$M$75,MATCH(Datenbank!O$14,'Rasterbemessung DE UZ ST'!$B$64:$B$75,0),MATCH(Datenbank!O$15,'Rasterbemessung DE UZ ST'!$B$64:$M$64,0)))/1000</f>
        <v>3.1749999999999998</v>
      </c>
      <c r="P21" s="824">
        <f ca="1">h_raum+
h_auf+
(HLOOKUP(Datenbank!P$14,'Rasterbemessung DE UZ ST'!$C$8:$M$12,5,FALSE))/1000+
(INDEX('Rasterbemessung DE UZ ST'!$B$64:$M$75,MATCH(Datenbank!P$14,'Rasterbemessung DE UZ ST'!$B$64:$B$75,0),MATCH(Datenbank!P$15,'Rasterbemessung DE UZ ST'!$B$64:$M$64,0)))/1000</f>
        <v>3.2149999999999999</v>
      </c>
      <c r="Q21" s="824">
        <f ca="1">h_raum+
h_auf+
(HLOOKUP(Datenbank!Q$14,'Rasterbemessung DE UZ ST'!$C$8:$M$12,5,FALSE))/1000+
(INDEX('Rasterbemessung DE UZ ST'!$B$64:$M$75,MATCH(Datenbank!Q$14,'Rasterbemessung DE UZ ST'!$B$64:$B$75,0),MATCH(Datenbank!Q$15,'Rasterbemessung DE UZ ST'!$B$64:$M$64,0)))/1000</f>
        <v>3.2549999999999999</v>
      </c>
      <c r="R21" s="824">
        <f ca="1">h_raum+
h_auf+
(HLOOKUP(Datenbank!R$14,'Rasterbemessung DE UZ ST'!$C$8:$M$12,5,FALSE))/1000+
(INDEX('Rasterbemessung DE UZ ST'!$B$64:$M$75,MATCH(Datenbank!R$14,'Rasterbemessung DE UZ ST'!$B$64:$B$75,0),MATCH(Datenbank!R$15,'Rasterbemessung DE UZ ST'!$B$64:$M$64,0)))/1000</f>
        <v>3.2949999999999999</v>
      </c>
      <c r="S21" s="821">
        <f ca="1">h_raum+
h_auf+
(HLOOKUP(Datenbank!S$14,'Rasterbemessung DE UZ ST'!$C$8:$M$12,5,FALSE))/1000+
(INDEX('Rasterbemessung DE UZ ST'!$B$64:$M$75,MATCH(Datenbank!S$14,'Rasterbemessung DE UZ ST'!$B$64:$B$75,0),MATCH(Datenbank!S$15,'Rasterbemessung DE UZ ST'!$B$64:$M$64,0)))/1000</f>
        <v>2.9350000000000001</v>
      </c>
      <c r="T21" s="765">
        <f ca="1">h_raum+
h_auf+
(HLOOKUP(Datenbank!T$14,'Rasterbemessung DE UZ ST'!$C$8:$M$12,5,FALSE))/1000+
(INDEX('Rasterbemessung DE UZ ST'!$B$64:$M$75,MATCH(Datenbank!T$14,'Rasterbemessung DE UZ ST'!$B$64:$B$75,0),MATCH(Datenbank!T$15,'Rasterbemessung DE UZ ST'!$B$64:$M$64,0)))/1000</f>
        <v>2.9749999999999996</v>
      </c>
      <c r="U21" s="808">
        <f ca="1">h_raum+
h_auf+
(HLOOKUP(Datenbank!U$14,'Rasterbemessung DE UZ ST'!$C$8:$M$12,5,FALSE))/1000+
(INDEX('Rasterbemessung DE UZ ST'!$B$64:$M$75,MATCH(Datenbank!U$14,'Rasterbemessung DE UZ ST'!$B$64:$B$75,0),MATCH(Datenbank!U$15,'Rasterbemessung DE UZ ST'!$B$64:$M$64,0)))/1000</f>
        <v>3.0149999999999997</v>
      </c>
      <c r="V21" s="808">
        <f ca="1">h_raum+
h_auf+
(HLOOKUP(Datenbank!V$14,'Rasterbemessung DE UZ ST'!$C$8:$M$12,5,FALSE))/1000+
(INDEX('Rasterbemessung DE UZ ST'!$B$64:$M$75,MATCH(Datenbank!V$14,'Rasterbemessung DE UZ ST'!$B$64:$B$75,0),MATCH(Datenbank!V$15,'Rasterbemessung DE UZ ST'!$B$64:$M$64,0)))/1000</f>
        <v>3.0549999999999997</v>
      </c>
      <c r="W21" s="808">
        <f ca="1">h_raum+
h_auf+
(HLOOKUP(Datenbank!W$14,'Rasterbemessung DE UZ ST'!$C$8:$M$12,5,FALSE))/1000+
(INDEX('Rasterbemessung DE UZ ST'!$B$64:$M$75,MATCH(Datenbank!W$14,'Rasterbemessung DE UZ ST'!$B$64:$B$75,0),MATCH(Datenbank!W$15,'Rasterbemessung DE UZ ST'!$B$64:$M$64,0)))/1000</f>
        <v>3.1349999999999998</v>
      </c>
      <c r="X21" s="808">
        <f ca="1">h_raum+
h_auf+
(HLOOKUP(Datenbank!X$14,'Rasterbemessung DE UZ ST'!$C$8:$M$12,5,FALSE))/1000+
(INDEX('Rasterbemessung DE UZ ST'!$B$64:$M$75,MATCH(Datenbank!X$14,'Rasterbemessung DE UZ ST'!$B$64:$B$75,0),MATCH(Datenbank!X$15,'Rasterbemessung DE UZ ST'!$B$64:$M$64,0)))/1000</f>
        <v>3.1749999999999998</v>
      </c>
      <c r="Y21" s="824">
        <f ca="1">h_raum+
h_auf+
(HLOOKUP(Datenbank!Y$14,'Rasterbemessung DE UZ ST'!$C$8:$M$12,5,FALSE))/1000+
(INDEX('Rasterbemessung DE UZ ST'!$B$64:$M$75,MATCH(Datenbank!Y$14,'Rasterbemessung DE UZ ST'!$B$64:$B$75,0),MATCH(Datenbank!Y$15,'Rasterbemessung DE UZ ST'!$B$64:$M$64,0)))/1000</f>
        <v>3.2149999999999999</v>
      </c>
      <c r="Z21" s="824">
        <f ca="1">h_raum+
h_auf+
(HLOOKUP(Datenbank!Z$14,'Rasterbemessung DE UZ ST'!$C$8:$M$12,5,FALSE))/1000+
(INDEX('Rasterbemessung DE UZ ST'!$B$64:$M$75,MATCH(Datenbank!Z$14,'Rasterbemessung DE UZ ST'!$B$64:$B$75,0),MATCH(Datenbank!Z$15,'Rasterbemessung DE UZ ST'!$B$64:$M$64,0)))/1000</f>
        <v>3.2549999999999999</v>
      </c>
      <c r="AA21" s="824">
        <f ca="1">h_raum+
h_auf+
(HLOOKUP(Datenbank!AA$14,'Rasterbemessung DE UZ ST'!$C$8:$M$12,5,FALSE))/1000+
(INDEX('Rasterbemessung DE UZ ST'!$B$64:$M$75,MATCH(Datenbank!AA$14,'Rasterbemessung DE UZ ST'!$B$64:$B$75,0),MATCH(Datenbank!AA$15,'Rasterbemessung DE UZ ST'!$B$64:$M$64,0)))/1000</f>
        <v>3.2949999999999999</v>
      </c>
      <c r="AB21" s="821">
        <f ca="1">h_raum+
h_auf+
(HLOOKUP(Datenbank!AB$14,'Rasterbemessung DE UZ ST'!$C$8:$M$12,5,FALSE))/1000+
(INDEX('Rasterbemessung DE UZ ST'!$B$64:$M$75,MATCH(Datenbank!AB$14,'Rasterbemessung DE UZ ST'!$B$64:$B$75,0),MATCH(Datenbank!AB$15,'Rasterbemessung DE UZ ST'!$B$64:$M$64,0)))/1000</f>
        <v>2.9749999999999996</v>
      </c>
      <c r="AC21" s="808">
        <f ca="1">h_raum+
h_auf+
(HLOOKUP(Datenbank!AC$14,'Rasterbemessung DE UZ ST'!$C$8:$M$12,5,FALSE))/1000+
(INDEX('Rasterbemessung DE UZ ST'!$B$64:$M$75,MATCH(Datenbank!AC$14,'Rasterbemessung DE UZ ST'!$B$64:$B$75,0),MATCH(Datenbank!AC$15,'Rasterbemessung DE UZ ST'!$B$64:$M$64,0)))/1000</f>
        <v>2.9749999999999996</v>
      </c>
      <c r="AD21" s="808">
        <f ca="1">h_raum+
h_auf+
(HLOOKUP(Datenbank!AD$14,'Rasterbemessung DE UZ ST'!$C$8:$M$12,5,FALSE))/1000+
(INDEX('Rasterbemessung DE UZ ST'!$B$64:$M$75,MATCH(Datenbank!AD$14,'Rasterbemessung DE UZ ST'!$B$64:$B$75,0),MATCH(Datenbank!AD$15,'Rasterbemessung DE UZ ST'!$B$64:$M$64,0)))/1000</f>
        <v>3.0149999999999997</v>
      </c>
      <c r="AE21" s="808">
        <f ca="1">h_raum+
h_auf+
(HLOOKUP(Datenbank!AE$14,'Rasterbemessung DE UZ ST'!$C$8:$M$12,5,FALSE))/1000+
(INDEX('Rasterbemessung DE UZ ST'!$B$64:$M$75,MATCH(Datenbank!AE$14,'Rasterbemessung DE UZ ST'!$B$64:$B$75,0),MATCH(Datenbank!AE$15,'Rasterbemessung DE UZ ST'!$B$64:$M$64,0)))/1000</f>
        <v>3.0949999999999998</v>
      </c>
      <c r="AF21" s="808">
        <f ca="1">h_raum+
h_auf+
(HLOOKUP(Datenbank!AF$14,'Rasterbemessung DE UZ ST'!$C$8:$M$12,5,FALSE))/1000+
(INDEX('Rasterbemessung DE UZ ST'!$B$64:$M$75,MATCH(Datenbank!AF$14,'Rasterbemessung DE UZ ST'!$B$64:$B$75,0),MATCH(Datenbank!AF$15,'Rasterbemessung DE UZ ST'!$B$64:$M$64,0)))/1000</f>
        <v>3.1349999999999998</v>
      </c>
      <c r="AG21" s="808">
        <f ca="1">h_raum+
h_auf+
(HLOOKUP(Datenbank!AG$14,'Rasterbemessung DE UZ ST'!$C$8:$M$12,5,FALSE))/1000+
(INDEX('Rasterbemessung DE UZ ST'!$B$64:$M$75,MATCH(Datenbank!AG$14,'Rasterbemessung DE UZ ST'!$B$64:$B$75,0),MATCH(Datenbank!AG$15,'Rasterbemessung DE UZ ST'!$B$64:$M$64,0)))/1000</f>
        <v>3.1749999999999998</v>
      </c>
      <c r="AH21" s="824">
        <f ca="1">h_raum+
h_auf+
(HLOOKUP(Datenbank!AH$14,'Rasterbemessung DE UZ ST'!$C$8:$M$12,5,FALSE))/1000+
(INDEX('Rasterbemessung DE UZ ST'!$B$64:$M$75,MATCH(Datenbank!AH$14,'Rasterbemessung DE UZ ST'!$B$64:$B$75,0),MATCH(Datenbank!AH$15,'Rasterbemessung DE UZ ST'!$B$64:$M$64,0)))/1000</f>
        <v>3.2149999999999999</v>
      </c>
      <c r="AI21" s="824">
        <f ca="1">h_raum+
h_auf+
(HLOOKUP(Datenbank!AI$14,'Rasterbemessung DE UZ ST'!$C$8:$M$12,5,FALSE))/1000+
(INDEX('Rasterbemessung DE UZ ST'!$B$64:$M$75,MATCH(Datenbank!AI$14,'Rasterbemessung DE UZ ST'!$B$64:$B$75,0),MATCH(Datenbank!AI$15,'Rasterbemessung DE UZ ST'!$B$64:$M$64,0)))/1000</f>
        <v>3.2549999999999999</v>
      </c>
      <c r="AJ21" s="824">
        <f ca="1">h_raum+
h_auf+
(HLOOKUP(Datenbank!AJ$14,'Rasterbemessung DE UZ ST'!$C$8:$M$12,5,FALSE))/1000+
(INDEX('Rasterbemessung DE UZ ST'!$B$64:$M$75,MATCH(Datenbank!AJ$14,'Rasterbemessung DE UZ ST'!$B$64:$B$75,0),MATCH(Datenbank!AJ$15,'Rasterbemessung DE UZ ST'!$B$64:$M$64,0)))/1000</f>
        <v>3.2949999999999999</v>
      </c>
      <c r="AK21" s="793">
        <f ca="1">h_raum+
h_auf+
(HLOOKUP(Datenbank!AK$14,'Rasterbemessung DE UZ ST'!$C$8:$M$12,5,FALSE))/1000+
(INDEX('Rasterbemessung DE UZ ST'!$B$64:$M$75,MATCH(Datenbank!AK$14,'Rasterbemessung DE UZ ST'!$B$64:$B$75,0),MATCH(Datenbank!AK$15,'Rasterbemessung DE UZ ST'!$B$64:$M$64,0)))/1000</f>
        <v>2.9950000000000001</v>
      </c>
      <c r="AL21" s="765">
        <f ca="1">h_raum+
h_auf+
(HLOOKUP(Datenbank!AL$14,'Rasterbemessung DE UZ ST'!$C$8:$M$12,5,FALSE))/1000+
(INDEX('Rasterbemessung DE UZ ST'!$B$64:$M$75,MATCH(Datenbank!AL$14,'Rasterbemessung DE UZ ST'!$B$64:$B$75,0),MATCH(Datenbank!AL$15,'Rasterbemessung DE UZ ST'!$B$64:$M$64,0)))/1000</f>
        <v>2.9950000000000001</v>
      </c>
      <c r="AM21" s="765">
        <f ca="1">h_raum+
h_auf+
(HLOOKUP(Datenbank!AM$14,'Rasterbemessung DE UZ ST'!$C$8:$M$12,5,FALSE))/1000+
(INDEX('Rasterbemessung DE UZ ST'!$B$64:$M$75,MATCH(Datenbank!AM$14,'Rasterbemessung DE UZ ST'!$B$64:$B$75,0),MATCH(Datenbank!AM$15,'Rasterbemessung DE UZ ST'!$B$64:$M$64,0)))/1000</f>
        <v>3.0350000000000001</v>
      </c>
      <c r="AN21" s="808">
        <f ca="1">h_raum+
h_auf+
(HLOOKUP(Datenbank!AN$14,'Rasterbemessung DE UZ ST'!$C$8:$M$12,5,FALSE))/1000+
(INDEX('Rasterbemessung DE UZ ST'!$B$64:$M$75,MATCH(Datenbank!AN$14,'Rasterbemessung DE UZ ST'!$B$64:$B$75,0),MATCH(Datenbank!AN$15,'Rasterbemessung DE UZ ST'!$B$64:$M$64,0)))/1000</f>
        <v>3.1149999999999998</v>
      </c>
      <c r="AO21" s="808">
        <f ca="1">h_raum+
h_auf+
(HLOOKUP(Datenbank!AO$14,'Rasterbemessung DE UZ ST'!$C$8:$M$12,5,FALSE))/1000+
(INDEX('Rasterbemessung DE UZ ST'!$B$64:$M$75,MATCH(Datenbank!AO$14,'Rasterbemessung DE UZ ST'!$B$64:$B$75,0),MATCH(Datenbank!AO$15,'Rasterbemessung DE UZ ST'!$B$64:$M$64,0)))/1000</f>
        <v>3.1549999999999998</v>
      </c>
      <c r="AP21" s="808">
        <f ca="1">h_raum+
h_auf+
(HLOOKUP(Datenbank!AP$14,'Rasterbemessung DE UZ ST'!$C$8:$M$12,5,FALSE))/1000+
(INDEX('Rasterbemessung DE UZ ST'!$B$64:$M$75,MATCH(Datenbank!AP$14,'Rasterbemessung DE UZ ST'!$B$64:$B$75,0),MATCH(Datenbank!AP$15,'Rasterbemessung DE UZ ST'!$B$64:$M$64,0)))/1000</f>
        <v>3.2349999999999999</v>
      </c>
      <c r="AQ21" s="824">
        <f ca="1">h_raum+
h_auf+
(HLOOKUP(Datenbank!AQ$14,'Rasterbemessung DE UZ ST'!$C$8:$M$12,5,FALSE))/1000+
(INDEX('Rasterbemessung DE UZ ST'!$B$64:$M$75,MATCH(Datenbank!AQ$14,'Rasterbemessung DE UZ ST'!$B$64:$B$75,0),MATCH(Datenbank!AQ$15,'Rasterbemessung DE UZ ST'!$B$64:$M$64,0)))/1000</f>
        <v>3.2749999999999999</v>
      </c>
      <c r="AR21" s="824">
        <f ca="1">h_raum+
h_auf+
(HLOOKUP(Datenbank!AR$14,'Rasterbemessung DE UZ ST'!$C$8:$M$12,5,FALSE))/1000+
(INDEX('Rasterbemessung DE UZ ST'!$B$64:$M$75,MATCH(Datenbank!AR$14,'Rasterbemessung DE UZ ST'!$B$64:$B$75,0),MATCH(Datenbank!AR$15,'Rasterbemessung DE UZ ST'!$B$64:$M$64,0)))/1000</f>
        <v>3.3149999999999999</v>
      </c>
      <c r="AS21" s="824">
        <f ca="1">h_raum+
h_auf+
(HLOOKUP(Datenbank!AS$14,'Rasterbemessung DE UZ ST'!$C$8:$M$12,5,FALSE))/1000+
(INDEX('Rasterbemessung DE UZ ST'!$B$64:$M$75,MATCH(Datenbank!AS$14,'Rasterbemessung DE UZ ST'!$B$64:$B$75,0),MATCH(Datenbank!AS$15,'Rasterbemessung DE UZ ST'!$B$64:$M$64,0)))/1000</f>
        <v>3.355</v>
      </c>
      <c r="AT21" s="793">
        <f ca="1">h_raum+
h_auf+
(HLOOKUP(Datenbank!AT$14,'Rasterbemessung DE UZ ST'!$C$8:$M$12,5,FALSE))/1000+
(INDEX('Rasterbemessung DE UZ ST'!$B$64:$M$75,MATCH(Datenbank!AT$14,'Rasterbemessung DE UZ ST'!$B$64:$B$75,0),MATCH(Datenbank!AT$15,'Rasterbemessung DE UZ ST'!$B$64:$M$64,0)))/1000</f>
        <v>3.0149999999999997</v>
      </c>
      <c r="AU21" s="765">
        <f ca="1">h_raum+
h_auf+
(HLOOKUP(Datenbank!AU$14,'Rasterbemessung DE UZ ST'!$C$8:$M$12,5,FALSE))/1000+
(INDEX('Rasterbemessung DE UZ ST'!$B$64:$M$75,MATCH(Datenbank!AU$14,'Rasterbemessung DE UZ ST'!$B$64:$B$75,0),MATCH(Datenbank!AU$15,'Rasterbemessung DE UZ ST'!$B$64:$M$64,0)))/1000</f>
        <v>3.0549999999999997</v>
      </c>
      <c r="AV21" s="765">
        <f ca="1">h_raum+
h_auf+
(HLOOKUP(Datenbank!AV$14,'Rasterbemessung DE UZ ST'!$C$8:$M$12,5,FALSE))/1000+
(INDEX('Rasterbemessung DE UZ ST'!$B$64:$M$75,MATCH(Datenbank!AV$14,'Rasterbemessung DE UZ ST'!$B$64:$B$75,0),MATCH(Datenbank!AV$15,'Rasterbemessung DE UZ ST'!$B$64:$M$64,0)))/1000</f>
        <v>3.0549999999999997</v>
      </c>
      <c r="AW21" s="765">
        <f ca="1">h_raum+
h_auf+
(HLOOKUP(Datenbank!AW$14,'Rasterbemessung DE UZ ST'!$C$8:$M$12,5,FALSE))/1000+
(INDEX('Rasterbemessung DE UZ ST'!$B$64:$M$75,MATCH(Datenbank!AW$14,'Rasterbemessung DE UZ ST'!$B$64:$B$75,0),MATCH(Datenbank!AW$15,'Rasterbemessung DE UZ ST'!$B$64:$M$64,0)))/1000</f>
        <v>3.0949999999999998</v>
      </c>
      <c r="AX21" s="808">
        <f ca="1">h_raum+
h_auf+
(HLOOKUP(Datenbank!AX$14,'Rasterbemessung DE UZ ST'!$C$8:$M$12,5,FALSE))/1000+
(INDEX('Rasterbemessung DE UZ ST'!$B$64:$M$75,MATCH(Datenbank!AX$14,'Rasterbemessung DE UZ ST'!$B$64:$B$75,0),MATCH(Datenbank!AX$15,'Rasterbemessung DE UZ ST'!$B$64:$M$64,0)))/1000</f>
        <v>3.2149999999999999</v>
      </c>
      <c r="AY21" s="808">
        <f ca="1">h_raum+
h_auf+
(HLOOKUP(Datenbank!AY$14,'Rasterbemessung DE UZ ST'!$C$8:$M$12,5,FALSE))/1000+
(INDEX('Rasterbemessung DE UZ ST'!$B$64:$M$75,MATCH(Datenbank!AY$14,'Rasterbemessung DE UZ ST'!$B$64:$B$75,0),MATCH(Datenbank!AY$15,'Rasterbemessung DE UZ ST'!$B$64:$M$64,0)))/1000</f>
        <v>3.2949999999999999</v>
      </c>
      <c r="AZ21" s="824">
        <f ca="1">h_raum+
h_auf+
(HLOOKUP(Datenbank!AZ$14,'Rasterbemessung DE UZ ST'!$C$8:$M$12,5,FALSE))/1000+
(INDEX('Rasterbemessung DE UZ ST'!$B$64:$M$75,MATCH(Datenbank!AZ$14,'Rasterbemessung DE UZ ST'!$B$64:$B$75,0),MATCH(Datenbank!AZ$15,'Rasterbemessung DE UZ ST'!$B$64:$M$64,0)))/1000</f>
        <v>3.335</v>
      </c>
      <c r="BA21" s="824">
        <f ca="1">h_raum+
h_auf+
(HLOOKUP(Datenbank!BA$14,'Rasterbemessung DE UZ ST'!$C$8:$M$12,5,FALSE))/1000+
(INDEX('Rasterbemessung DE UZ ST'!$B$64:$M$75,MATCH(Datenbank!BA$14,'Rasterbemessung DE UZ ST'!$B$64:$B$75,0),MATCH(Datenbank!BA$15,'Rasterbemessung DE UZ ST'!$B$64:$M$64,0)))/1000</f>
        <v>3.375</v>
      </c>
      <c r="BB21" s="824">
        <f ca="1">h_raum+
h_auf+
(HLOOKUP(Datenbank!BB$14,'Rasterbemessung DE UZ ST'!$C$8:$M$12,5,FALSE))/1000+
(INDEX('Rasterbemessung DE UZ ST'!$B$64:$M$75,MATCH(Datenbank!BB$14,'Rasterbemessung DE UZ ST'!$B$64:$B$75,0),MATCH(Datenbank!BB$15,'Rasterbemessung DE UZ ST'!$B$64:$M$64,0)))/1000</f>
        <v>3.415</v>
      </c>
      <c r="BC21" s="793">
        <f ca="1">h_raum+
h_auf+
(HLOOKUP(Datenbank!BC$14,'Rasterbemessung DE UZ ST'!$C$8:$M$12,5,FALSE))/1000+
(INDEX('Rasterbemessung DE UZ ST'!$B$64:$M$75,MATCH(Datenbank!BC$14,'Rasterbemessung DE UZ ST'!$B$64:$B$75,0),MATCH(Datenbank!BC$15,'Rasterbemessung DE UZ ST'!$B$64:$M$64,0)))/1000</f>
        <v>3.0750000000000002</v>
      </c>
      <c r="BD21" s="765">
        <f ca="1">h_raum+
h_auf+
(HLOOKUP(Datenbank!BD$14,'Rasterbemessung DE UZ ST'!$C$8:$M$12,5,FALSE))/1000+
(INDEX('Rasterbemessung DE UZ ST'!$B$64:$M$75,MATCH(Datenbank!BD$14,'Rasterbemessung DE UZ ST'!$B$64:$B$75,0),MATCH(Datenbank!BD$15,'Rasterbemessung DE UZ ST'!$B$64:$M$64,0)))/1000</f>
        <v>3.0750000000000002</v>
      </c>
      <c r="BE21" s="765">
        <f ca="1">h_raum+
h_auf+
(HLOOKUP(Datenbank!BE$14,'Rasterbemessung DE UZ ST'!$C$8:$M$12,5,FALSE))/1000+
(INDEX('Rasterbemessung DE UZ ST'!$B$64:$M$75,MATCH(Datenbank!BE$14,'Rasterbemessung DE UZ ST'!$B$64:$B$75,0),MATCH(Datenbank!BE$15,'Rasterbemessung DE UZ ST'!$B$64:$M$64,0)))/1000</f>
        <v>3.0750000000000002</v>
      </c>
      <c r="BF21" s="765">
        <f ca="1">h_raum+
h_auf+
(HLOOKUP(Datenbank!BF$14,'Rasterbemessung DE UZ ST'!$C$8:$M$12,5,FALSE))/1000+
(INDEX('Rasterbemessung DE UZ ST'!$B$64:$M$75,MATCH(Datenbank!BF$14,'Rasterbemessung DE UZ ST'!$B$64:$B$75,0),MATCH(Datenbank!BF$15,'Rasterbemessung DE UZ ST'!$B$64:$M$64,0)))/1000</f>
        <v>3.1549999999999998</v>
      </c>
      <c r="BG21" s="765">
        <f ca="1">h_raum+
h_auf+
(HLOOKUP(Datenbank!BG$14,'Rasterbemessung DE UZ ST'!$C$8:$M$12,5,FALSE))/1000+
(INDEX('Rasterbemessung DE UZ ST'!$B$64:$M$75,MATCH(Datenbank!BG$14,'Rasterbemessung DE UZ ST'!$B$64:$B$75,0),MATCH(Datenbank!BG$15,'Rasterbemessung DE UZ ST'!$B$64:$M$64,0)))/1000</f>
        <v>3.1949999999999998</v>
      </c>
      <c r="BH21" s="808">
        <f ca="1">h_raum+
h_auf+
(HLOOKUP(Datenbank!BH$14,'Rasterbemessung DE UZ ST'!$C$8:$M$12,5,FALSE))/1000+
(INDEX('Rasterbemessung DE UZ ST'!$B$64:$M$75,MATCH(Datenbank!BH$14,'Rasterbemessung DE UZ ST'!$B$64:$B$75,0),MATCH(Datenbank!BH$15,'Rasterbemessung DE UZ ST'!$B$64:$M$64,0)))/1000</f>
        <v>3.3149999999999999</v>
      </c>
      <c r="BI21" s="824">
        <f ca="1">h_raum+
h_auf+
(HLOOKUP(Datenbank!BI$14,'Rasterbemessung DE UZ ST'!$C$8:$M$12,5,FALSE))/1000+
(INDEX('Rasterbemessung DE UZ ST'!$B$64:$M$75,MATCH(Datenbank!BI$14,'Rasterbemessung DE UZ ST'!$B$64:$B$75,0),MATCH(Datenbank!BI$15,'Rasterbemessung DE UZ ST'!$B$64:$M$64,0)))/1000</f>
        <v>3.355</v>
      </c>
      <c r="BJ21" s="824">
        <f ca="1">h_raum+
h_auf+
(HLOOKUP(Datenbank!BJ$14,'Rasterbemessung DE UZ ST'!$C$8:$M$12,5,FALSE))/1000+
(INDEX('Rasterbemessung DE UZ ST'!$B$64:$M$75,MATCH(Datenbank!BJ$14,'Rasterbemessung DE UZ ST'!$B$64:$B$75,0),MATCH(Datenbank!BJ$15,'Rasterbemessung DE UZ ST'!$B$64:$M$64,0)))/1000</f>
        <v>3.4350000000000001</v>
      </c>
      <c r="BK21" s="824">
        <f ca="1">h_raum+
h_auf+
(HLOOKUP(Datenbank!BK$14,'Rasterbemessung DE UZ ST'!$C$8:$M$12,5,FALSE))/1000+
(INDEX('Rasterbemessung DE UZ ST'!$B$64:$M$75,MATCH(Datenbank!BK$14,'Rasterbemessung DE UZ ST'!$B$64:$B$75,0),MATCH(Datenbank!BK$15,'Rasterbemessung DE UZ ST'!$B$64:$M$64,0)))/1000</f>
        <v>3.4750000000000001</v>
      </c>
      <c r="BL21" s="793">
        <f ca="1">h_raum+
h_auf+
(HLOOKUP(Datenbank!BL$14,'Rasterbemessung DE UZ ST'!$C$8:$M$12,5,FALSE))/1000+
(INDEX('Rasterbemessung DE UZ ST'!$B$64:$M$75,MATCH(Datenbank!BL$14,'Rasterbemessung DE UZ ST'!$B$64:$B$75,0),MATCH(Datenbank!BL$15,'Rasterbemessung DE UZ ST'!$B$64:$M$64,0)))/1000</f>
        <v>3.1150000000000002</v>
      </c>
      <c r="BM21" s="765">
        <f ca="1">h_raum+
h_auf+
(HLOOKUP(Datenbank!BM$14,'Rasterbemessung DE UZ ST'!$C$8:$M$12,5,FALSE))/1000+
(INDEX('Rasterbemessung DE UZ ST'!$B$64:$M$75,MATCH(Datenbank!BM$14,'Rasterbemessung DE UZ ST'!$B$64:$B$75,0),MATCH(Datenbank!BM$15,'Rasterbemessung DE UZ ST'!$B$64:$M$64,0)))/1000</f>
        <v>3.1549999999999998</v>
      </c>
      <c r="BN21" s="765">
        <f ca="1">h_raum+
h_auf+
(HLOOKUP(Datenbank!BN$14,'Rasterbemessung DE UZ ST'!$C$8:$M$12,5,FALSE))/1000+
(INDEX('Rasterbemessung DE UZ ST'!$B$64:$M$75,MATCH(Datenbank!BN$14,'Rasterbemessung DE UZ ST'!$B$64:$B$75,0),MATCH(Datenbank!BN$15,'Rasterbemessung DE UZ ST'!$B$64:$M$64,0)))/1000</f>
        <v>3.1549999999999998</v>
      </c>
      <c r="BO21" s="765">
        <f ca="1">h_raum+
h_auf+
(HLOOKUP(Datenbank!BO$14,'Rasterbemessung DE UZ ST'!$C$8:$M$12,5,FALSE))/1000+
(INDEX('Rasterbemessung DE UZ ST'!$B$64:$M$75,MATCH(Datenbank!BO$14,'Rasterbemessung DE UZ ST'!$B$64:$B$75,0),MATCH(Datenbank!BO$15,'Rasterbemessung DE UZ ST'!$B$64:$M$64,0)))/1000</f>
        <v>3.1949999999999998</v>
      </c>
      <c r="BP21" s="765">
        <f ca="1">h_raum+
h_auf+
(HLOOKUP(Datenbank!BP$14,'Rasterbemessung DE UZ ST'!$C$8:$M$12,5,FALSE))/1000+
(INDEX('Rasterbemessung DE UZ ST'!$B$64:$M$75,MATCH(Datenbank!BP$14,'Rasterbemessung DE UZ ST'!$B$64:$B$75,0),MATCH(Datenbank!BP$15,'Rasterbemessung DE UZ ST'!$B$64:$M$64,0)))/1000</f>
        <v>3.2349999999999999</v>
      </c>
      <c r="BQ21" s="765">
        <f ca="1">h_raum+
h_auf+
(HLOOKUP(Datenbank!BQ$14,'Rasterbemessung DE UZ ST'!$C$8:$M$12,5,FALSE))/1000+
(INDEX('Rasterbemessung DE UZ ST'!$B$64:$M$75,MATCH(Datenbank!BQ$14,'Rasterbemessung DE UZ ST'!$B$64:$B$75,0),MATCH(Datenbank!BQ$15,'Rasterbemessung DE UZ ST'!$B$64:$M$64,0)))/1000</f>
        <v>3.3149999999999999</v>
      </c>
      <c r="BR21" s="824">
        <f ca="1">h_raum+
h_auf+
(HLOOKUP(Datenbank!BR$14,'Rasterbemessung DE UZ ST'!$C$8:$M$12,5,FALSE))/1000+
(INDEX('Rasterbemessung DE UZ ST'!$B$64:$M$75,MATCH(Datenbank!BR$14,'Rasterbemessung DE UZ ST'!$B$64:$B$75,0),MATCH(Datenbank!BR$15,'Rasterbemessung DE UZ ST'!$B$64:$M$64,0)))/1000</f>
        <v>3.4350000000000001</v>
      </c>
      <c r="BS21" s="824">
        <f ca="1">h_raum+
h_auf+
(HLOOKUP(Datenbank!BS$14,'Rasterbemessung DE UZ ST'!$C$8:$M$12,5,FALSE))/1000+
(INDEX('Rasterbemessung DE UZ ST'!$B$64:$M$75,MATCH(Datenbank!BS$14,'Rasterbemessung DE UZ ST'!$B$64:$B$75,0),MATCH(Datenbank!BS$15,'Rasterbemessung DE UZ ST'!$B$64:$M$64,0)))/1000</f>
        <v>3.4750000000000001</v>
      </c>
      <c r="BT21" s="824">
        <f ca="1">h_raum+
h_auf+
(HLOOKUP(Datenbank!BT$14,'Rasterbemessung DE UZ ST'!$C$8:$M$12,5,FALSE))/1000+
(INDEX('Rasterbemessung DE UZ ST'!$B$64:$M$75,MATCH(Datenbank!BT$14,'Rasterbemessung DE UZ ST'!$B$64:$B$75,0),MATCH(Datenbank!BT$15,'Rasterbemessung DE UZ ST'!$B$64:$M$64,0)))/1000</f>
        <v>3.5549999999999997</v>
      </c>
    </row>
    <row r="22" spans="1:72">
      <c r="A22" s="807"/>
      <c r="B22" s="807"/>
      <c r="C22" s="815"/>
      <c r="D22" s="815"/>
      <c r="E22" s="807"/>
      <c r="F22" s="815"/>
      <c r="G22" s="815"/>
      <c r="H22" s="815"/>
      <c r="I22" s="815"/>
      <c r="J22" s="763"/>
      <c r="K22" s="763"/>
      <c r="L22" s="807"/>
      <c r="M22" s="807"/>
      <c r="N22" s="807"/>
      <c r="O22" s="807"/>
      <c r="P22" s="818"/>
      <c r="Q22" s="818"/>
      <c r="R22" s="818"/>
      <c r="S22" s="807"/>
      <c r="U22" s="827"/>
      <c r="V22" s="807"/>
      <c r="W22" s="807"/>
      <c r="X22" s="807"/>
      <c r="Y22" s="818"/>
      <c r="Z22" s="818"/>
      <c r="AA22" s="818"/>
      <c r="AB22" s="807"/>
      <c r="AC22" s="807"/>
      <c r="AD22" s="807"/>
      <c r="AE22" s="807"/>
      <c r="AF22" s="807"/>
      <c r="AG22" s="807"/>
      <c r="AH22" s="818"/>
      <c r="AI22" s="818"/>
      <c r="AJ22" s="818"/>
      <c r="AN22" s="807"/>
      <c r="AO22" s="807"/>
      <c r="AP22" s="807"/>
      <c r="AQ22" s="818"/>
      <c r="AR22" s="818"/>
      <c r="AS22" s="818"/>
      <c r="AX22" s="807"/>
      <c r="AY22" s="807"/>
      <c r="AZ22" s="818"/>
      <c r="BA22" s="818"/>
      <c r="BB22" s="818"/>
      <c r="BH22" s="807"/>
      <c r="BI22" s="818"/>
      <c r="BJ22" s="818"/>
      <c r="BK22" s="818"/>
      <c r="BR22" s="818"/>
      <c r="BS22" s="818"/>
      <c r="BT22" s="818"/>
    </row>
    <row r="23" spans="1:72">
      <c r="A23" s="807" t="s">
        <v>961</v>
      </c>
      <c r="B23" s="807"/>
      <c r="C23" s="807"/>
      <c r="D23" s="807"/>
      <c r="E23" s="807"/>
      <c r="F23" s="807"/>
      <c r="G23" s="807"/>
      <c r="H23" s="807"/>
      <c r="I23" s="807"/>
      <c r="L23" s="807"/>
      <c r="M23" s="807"/>
      <c r="N23" s="807"/>
      <c r="O23" s="807"/>
      <c r="P23" s="818"/>
      <c r="Q23" s="818"/>
      <c r="R23" s="818"/>
      <c r="S23" s="807"/>
      <c r="U23" s="827"/>
      <c r="V23" s="828"/>
      <c r="W23" s="807"/>
      <c r="X23" s="807"/>
      <c r="Y23" s="818"/>
      <c r="Z23" s="818"/>
      <c r="AA23" s="818"/>
      <c r="AB23" s="807"/>
      <c r="AC23" s="807"/>
      <c r="AD23" s="807"/>
      <c r="AE23" s="807"/>
      <c r="AF23" s="807"/>
      <c r="AG23" s="807"/>
      <c r="AH23" s="818"/>
      <c r="AI23" s="818"/>
      <c r="AJ23" s="818"/>
      <c r="AN23" s="807"/>
      <c r="AO23" s="807"/>
      <c r="AP23" s="807"/>
      <c r="AQ23" s="818"/>
      <c r="AR23" s="818"/>
      <c r="AS23" s="818"/>
      <c r="AX23" s="807"/>
      <c r="AY23" s="807"/>
      <c r="AZ23" s="818"/>
      <c r="BA23" s="818"/>
      <c r="BB23" s="818"/>
      <c r="BH23" s="807"/>
      <c r="BI23" s="818"/>
      <c r="BJ23" s="818"/>
      <c r="BK23" s="818"/>
      <c r="BR23" s="818"/>
      <c r="BS23" s="818"/>
      <c r="BT23" s="818"/>
    </row>
    <row r="24" spans="1:72">
      <c r="A24" s="812"/>
      <c r="B24" s="814" t="s">
        <v>1528</v>
      </c>
      <c r="C24" s="808">
        <f>C14</f>
        <v>2.65</v>
      </c>
      <c r="D24" s="808">
        <f t="shared" ref="D24:I24" si="40">D14</f>
        <v>2.85</v>
      </c>
      <c r="E24" s="808">
        <f t="shared" si="40"/>
        <v>3</v>
      </c>
      <c r="F24" s="808">
        <f t="shared" si="40"/>
        <v>3.5</v>
      </c>
      <c r="G24" s="808">
        <f t="shared" si="40"/>
        <v>4</v>
      </c>
      <c r="H24" s="808">
        <f t="shared" si="40"/>
        <v>4.5</v>
      </c>
      <c r="I24" s="808">
        <f t="shared" si="40"/>
        <v>5</v>
      </c>
      <c r="J24" s="793">
        <f>J14</f>
        <v>2.65</v>
      </c>
      <c r="K24" s="765">
        <f t="shared" ref="K24:S24" si="41">K14</f>
        <v>2.65</v>
      </c>
      <c r="L24" s="808">
        <f t="shared" si="41"/>
        <v>2.65</v>
      </c>
      <c r="M24" s="808">
        <f t="shared" si="41"/>
        <v>2.65</v>
      </c>
      <c r="N24" s="808">
        <f t="shared" si="41"/>
        <v>2.65</v>
      </c>
      <c r="O24" s="808">
        <f t="shared" si="41"/>
        <v>2.65</v>
      </c>
      <c r="P24" s="824">
        <f t="shared" si="41"/>
        <v>2.65</v>
      </c>
      <c r="Q24" s="824">
        <f t="shared" si="41"/>
        <v>2.65</v>
      </c>
      <c r="R24" s="824">
        <f t="shared" si="41"/>
        <v>2.65</v>
      </c>
      <c r="S24" s="821">
        <f t="shared" si="41"/>
        <v>2.85</v>
      </c>
      <c r="T24" s="765">
        <f t="shared" ref="T24:AA25" si="42">T14</f>
        <v>2.85</v>
      </c>
      <c r="U24" s="808">
        <f t="shared" si="42"/>
        <v>2.85</v>
      </c>
      <c r="V24" s="808">
        <f t="shared" si="42"/>
        <v>2.85</v>
      </c>
      <c r="W24" s="808">
        <f t="shared" si="42"/>
        <v>2.85</v>
      </c>
      <c r="X24" s="808">
        <f t="shared" si="42"/>
        <v>2.85</v>
      </c>
      <c r="Y24" s="824">
        <f t="shared" si="42"/>
        <v>2.85</v>
      </c>
      <c r="Z24" s="824">
        <f t="shared" si="42"/>
        <v>2.85</v>
      </c>
      <c r="AA24" s="824">
        <f t="shared" si="42"/>
        <v>2.85</v>
      </c>
      <c r="AB24" s="821">
        <f t="shared" ref="AB24:BT24" si="43">AB14</f>
        <v>3</v>
      </c>
      <c r="AC24" s="808">
        <f t="shared" si="43"/>
        <v>3</v>
      </c>
      <c r="AD24" s="808">
        <f t="shared" si="43"/>
        <v>3</v>
      </c>
      <c r="AE24" s="808">
        <f t="shared" si="43"/>
        <v>3</v>
      </c>
      <c r="AF24" s="808">
        <f t="shared" si="43"/>
        <v>3</v>
      </c>
      <c r="AG24" s="808">
        <f t="shared" si="43"/>
        <v>3</v>
      </c>
      <c r="AH24" s="824">
        <f t="shared" si="43"/>
        <v>3</v>
      </c>
      <c r="AI24" s="824">
        <f t="shared" si="43"/>
        <v>3</v>
      </c>
      <c r="AJ24" s="824">
        <f t="shared" si="43"/>
        <v>3</v>
      </c>
      <c r="AK24" s="793">
        <f t="shared" si="43"/>
        <v>3.5</v>
      </c>
      <c r="AL24" s="765">
        <f t="shared" si="43"/>
        <v>3.5</v>
      </c>
      <c r="AM24" s="765">
        <f t="shared" si="43"/>
        <v>3.5</v>
      </c>
      <c r="AN24" s="808">
        <f t="shared" si="43"/>
        <v>3.5</v>
      </c>
      <c r="AO24" s="808">
        <f t="shared" si="43"/>
        <v>3.5</v>
      </c>
      <c r="AP24" s="808">
        <f t="shared" si="43"/>
        <v>3.5</v>
      </c>
      <c r="AQ24" s="824">
        <f t="shared" si="43"/>
        <v>3.5</v>
      </c>
      <c r="AR24" s="824">
        <f t="shared" si="43"/>
        <v>3.5</v>
      </c>
      <c r="AS24" s="824">
        <f t="shared" si="43"/>
        <v>3.5</v>
      </c>
      <c r="AT24" s="793">
        <f t="shared" si="43"/>
        <v>4</v>
      </c>
      <c r="AU24" s="765">
        <f t="shared" si="43"/>
        <v>4</v>
      </c>
      <c r="AV24" s="765">
        <f t="shared" si="43"/>
        <v>4</v>
      </c>
      <c r="AW24" s="765">
        <f t="shared" si="43"/>
        <v>4</v>
      </c>
      <c r="AX24" s="808">
        <f t="shared" si="43"/>
        <v>4</v>
      </c>
      <c r="AY24" s="808">
        <f t="shared" si="43"/>
        <v>4</v>
      </c>
      <c r="AZ24" s="824">
        <f t="shared" si="43"/>
        <v>4</v>
      </c>
      <c r="BA24" s="824">
        <f t="shared" si="43"/>
        <v>4</v>
      </c>
      <c r="BB24" s="824">
        <f t="shared" si="43"/>
        <v>4</v>
      </c>
      <c r="BC24" s="793">
        <f t="shared" si="43"/>
        <v>4.5</v>
      </c>
      <c r="BD24" s="765">
        <f t="shared" si="43"/>
        <v>4.5</v>
      </c>
      <c r="BE24" s="765">
        <f t="shared" si="43"/>
        <v>4.5</v>
      </c>
      <c r="BF24" s="765">
        <f t="shared" si="43"/>
        <v>4.5</v>
      </c>
      <c r="BG24" s="765">
        <f t="shared" si="43"/>
        <v>4.5</v>
      </c>
      <c r="BH24" s="808">
        <f t="shared" si="43"/>
        <v>4.5</v>
      </c>
      <c r="BI24" s="824">
        <f t="shared" si="43"/>
        <v>4.5</v>
      </c>
      <c r="BJ24" s="824">
        <f t="shared" si="43"/>
        <v>4.5</v>
      </c>
      <c r="BK24" s="824">
        <f t="shared" si="43"/>
        <v>4.5</v>
      </c>
      <c r="BL24" s="793">
        <f t="shared" si="43"/>
        <v>5</v>
      </c>
      <c r="BM24" s="765">
        <f t="shared" si="43"/>
        <v>5</v>
      </c>
      <c r="BN24" s="765">
        <f t="shared" si="43"/>
        <v>5</v>
      </c>
      <c r="BO24" s="765">
        <f t="shared" si="43"/>
        <v>5</v>
      </c>
      <c r="BP24" s="765">
        <f t="shared" si="43"/>
        <v>5</v>
      </c>
      <c r="BQ24" s="765">
        <f t="shared" si="43"/>
        <v>5</v>
      </c>
      <c r="BR24" s="824">
        <f t="shared" si="43"/>
        <v>5</v>
      </c>
      <c r="BS24" s="824">
        <f t="shared" si="43"/>
        <v>5</v>
      </c>
      <c r="BT24" s="824">
        <f t="shared" si="43"/>
        <v>5</v>
      </c>
    </row>
    <row r="25" spans="1:72">
      <c r="A25" s="812"/>
      <c r="B25" s="812" t="s">
        <v>1529</v>
      </c>
      <c r="C25" s="808">
        <f>C15</f>
        <v>2.65</v>
      </c>
      <c r="D25" s="808">
        <f t="shared" ref="D25:I25" si="44">D15</f>
        <v>2.85</v>
      </c>
      <c r="E25" s="808">
        <f t="shared" si="44"/>
        <v>3</v>
      </c>
      <c r="F25" s="808">
        <f t="shared" si="44"/>
        <v>3.5</v>
      </c>
      <c r="G25" s="808">
        <f t="shared" si="44"/>
        <v>4</v>
      </c>
      <c r="H25" s="808">
        <f t="shared" si="44"/>
        <v>4.5</v>
      </c>
      <c r="I25" s="808">
        <f t="shared" si="44"/>
        <v>5</v>
      </c>
      <c r="J25" s="793">
        <f>J15</f>
        <v>2.85</v>
      </c>
      <c r="K25" s="765">
        <f t="shared" ref="K25:S25" si="45">K15</f>
        <v>3</v>
      </c>
      <c r="L25" s="808">
        <f t="shared" si="45"/>
        <v>3.5</v>
      </c>
      <c r="M25" s="808">
        <f t="shared" si="45"/>
        <v>4</v>
      </c>
      <c r="N25" s="808">
        <f t="shared" si="45"/>
        <v>4.5</v>
      </c>
      <c r="O25" s="808">
        <f t="shared" si="45"/>
        <v>5</v>
      </c>
      <c r="P25" s="824">
        <f t="shared" si="45"/>
        <v>5.3</v>
      </c>
      <c r="Q25" s="824">
        <f t="shared" si="45"/>
        <v>5.7</v>
      </c>
      <c r="R25" s="824">
        <f t="shared" si="45"/>
        <v>6</v>
      </c>
      <c r="S25" s="821">
        <f t="shared" si="45"/>
        <v>2.65</v>
      </c>
      <c r="T25" s="765">
        <f t="shared" si="42"/>
        <v>3</v>
      </c>
      <c r="U25" s="808">
        <f t="shared" si="42"/>
        <v>3.5</v>
      </c>
      <c r="V25" s="808">
        <f t="shared" si="42"/>
        <v>4</v>
      </c>
      <c r="W25" s="808">
        <f t="shared" si="42"/>
        <v>4.5</v>
      </c>
      <c r="X25" s="808">
        <f t="shared" si="42"/>
        <v>5</v>
      </c>
      <c r="Y25" s="824">
        <f t="shared" si="42"/>
        <v>5.3</v>
      </c>
      <c r="Z25" s="824">
        <f t="shared" si="42"/>
        <v>5.7</v>
      </c>
      <c r="AA25" s="824">
        <f t="shared" si="42"/>
        <v>6</v>
      </c>
      <c r="AB25" s="821">
        <f t="shared" ref="AB25:BT25" si="46">AB15</f>
        <v>2.65</v>
      </c>
      <c r="AC25" s="808">
        <f t="shared" si="46"/>
        <v>2.85</v>
      </c>
      <c r="AD25" s="808">
        <f t="shared" si="46"/>
        <v>3.5</v>
      </c>
      <c r="AE25" s="808">
        <f t="shared" si="46"/>
        <v>4</v>
      </c>
      <c r="AF25" s="808">
        <f t="shared" si="46"/>
        <v>4.5</v>
      </c>
      <c r="AG25" s="808">
        <f t="shared" si="46"/>
        <v>5</v>
      </c>
      <c r="AH25" s="824">
        <f t="shared" si="46"/>
        <v>5.3</v>
      </c>
      <c r="AI25" s="824">
        <f t="shared" si="46"/>
        <v>5.7</v>
      </c>
      <c r="AJ25" s="824">
        <f t="shared" si="46"/>
        <v>6</v>
      </c>
      <c r="AK25" s="793">
        <f t="shared" si="46"/>
        <v>2.65</v>
      </c>
      <c r="AL25" s="765">
        <f t="shared" si="46"/>
        <v>2.85</v>
      </c>
      <c r="AM25" s="765">
        <f t="shared" si="46"/>
        <v>3</v>
      </c>
      <c r="AN25" s="808">
        <f t="shared" si="46"/>
        <v>4</v>
      </c>
      <c r="AO25" s="808">
        <f t="shared" si="46"/>
        <v>4.5</v>
      </c>
      <c r="AP25" s="808">
        <f t="shared" si="46"/>
        <v>5</v>
      </c>
      <c r="AQ25" s="824">
        <f t="shared" si="46"/>
        <v>5.3</v>
      </c>
      <c r="AR25" s="824">
        <f t="shared" si="46"/>
        <v>5.7</v>
      </c>
      <c r="AS25" s="824">
        <f t="shared" si="46"/>
        <v>6</v>
      </c>
      <c r="AT25" s="793">
        <f t="shared" si="46"/>
        <v>2.65</v>
      </c>
      <c r="AU25" s="765">
        <f t="shared" si="46"/>
        <v>2.85</v>
      </c>
      <c r="AV25" s="765">
        <f t="shared" si="46"/>
        <v>3</v>
      </c>
      <c r="AW25" s="765">
        <f t="shared" si="46"/>
        <v>3.5</v>
      </c>
      <c r="AX25" s="808">
        <f t="shared" si="46"/>
        <v>4.5</v>
      </c>
      <c r="AY25" s="808">
        <f t="shared" si="46"/>
        <v>5</v>
      </c>
      <c r="AZ25" s="824">
        <f t="shared" si="46"/>
        <v>5.3</v>
      </c>
      <c r="BA25" s="824">
        <f t="shared" si="46"/>
        <v>5.7</v>
      </c>
      <c r="BB25" s="824">
        <f t="shared" si="46"/>
        <v>6</v>
      </c>
      <c r="BC25" s="793">
        <f t="shared" si="46"/>
        <v>2.65</v>
      </c>
      <c r="BD25" s="765">
        <f t="shared" si="46"/>
        <v>2.85</v>
      </c>
      <c r="BE25" s="765">
        <f t="shared" si="46"/>
        <v>3</v>
      </c>
      <c r="BF25" s="765">
        <f t="shared" si="46"/>
        <v>3.5</v>
      </c>
      <c r="BG25" s="765">
        <f t="shared" si="46"/>
        <v>4</v>
      </c>
      <c r="BH25" s="808">
        <f t="shared" si="46"/>
        <v>5</v>
      </c>
      <c r="BI25" s="824">
        <f t="shared" si="46"/>
        <v>5.3</v>
      </c>
      <c r="BJ25" s="824">
        <f t="shared" si="46"/>
        <v>5.7</v>
      </c>
      <c r="BK25" s="824">
        <f t="shared" si="46"/>
        <v>6</v>
      </c>
      <c r="BL25" s="793">
        <f t="shared" si="46"/>
        <v>2.65</v>
      </c>
      <c r="BM25" s="765">
        <f t="shared" si="46"/>
        <v>2.85</v>
      </c>
      <c r="BN25" s="765">
        <f t="shared" si="46"/>
        <v>3</v>
      </c>
      <c r="BO25" s="765">
        <f t="shared" si="46"/>
        <v>3.5</v>
      </c>
      <c r="BP25" s="765">
        <f t="shared" si="46"/>
        <v>4</v>
      </c>
      <c r="BQ25" s="765">
        <f t="shared" si="46"/>
        <v>4.5</v>
      </c>
      <c r="BR25" s="824">
        <f t="shared" si="46"/>
        <v>5.3</v>
      </c>
      <c r="BS25" s="824">
        <f t="shared" si="46"/>
        <v>5.7</v>
      </c>
      <c r="BT25" s="824">
        <f t="shared" si="46"/>
        <v>6</v>
      </c>
    </row>
    <row r="26" spans="1:72">
      <c r="A26" s="807"/>
      <c r="B26" s="814" t="s">
        <v>1550</v>
      </c>
      <c r="C26" s="808">
        <f ca="1">ROUNDUP(h_raum+
h_auf+
(HLOOKUP(Datenbank!C14,'Rasterbemessung DE UZ ST'!$C$8:$M$12,5,FALSE))/1000+
(INDEX('Rasterbemessung DE UZ ST'!$B$64:$M$75,MATCH(Datenbank!C$14,'Rasterbemessung DE UZ ST'!$B$64:$B$75,0),MATCH(Datenbank!C$15,'Rasterbemessung DE UZ ST'!$B$64:$M$64,0)))/1000,1)</f>
        <v>3</v>
      </c>
      <c r="D26" s="808">
        <f ca="1">ROUNDUP(h_raum+
h_auf+
(HLOOKUP(Datenbank!D14,'Rasterbemessung DE UZ ST'!$C$8:$M$12,5,FALSE))/1000+
(INDEX('Rasterbemessung DE UZ ST'!$B$64:$M$75,MATCH(Datenbank!D$14,'Rasterbemessung DE UZ ST'!$B$64:$B$75,0),MATCH(Datenbank!D$15,'Rasterbemessung DE UZ ST'!$B$64:$M$64,0)))/1000,1)</f>
        <v>3</v>
      </c>
      <c r="E26" s="808">
        <f ca="1">ROUNDUP(h_raum+
h_auf+
(HLOOKUP(Datenbank!E14,'Rasterbemessung DE UZ ST'!$C$8:$M$12,5,FALSE))/1000+
(INDEX('Rasterbemessung DE UZ ST'!$B$64:$M$75,MATCH(Datenbank!E$14,'Rasterbemessung DE UZ ST'!$B$64:$B$75,0),MATCH(Datenbank!E$15,'Rasterbemessung DE UZ ST'!$B$64:$M$64,0)))/1000,1)</f>
        <v>3</v>
      </c>
      <c r="F26" s="808">
        <f ca="1">ROUNDUP(h_raum+
h_auf+
(HLOOKUP(Datenbank!F14,'Rasterbemessung DE UZ ST'!$C$8:$M$12,5,FALSE))/1000+
(INDEX('Rasterbemessung DE UZ ST'!$B$64:$M$75,MATCH(Datenbank!F$14,'Rasterbemessung DE UZ ST'!$B$64:$B$75,0),MATCH(Datenbank!F$15,'Rasterbemessung DE UZ ST'!$B$64:$M$64,0)))/1000,1)</f>
        <v>3.1</v>
      </c>
      <c r="G26" s="808">
        <f ca="1">ROUNDUP(h_raum+
h_auf+
(HLOOKUP(Datenbank!G14,'Rasterbemessung DE UZ ST'!$C$8:$M$12,5,FALSE))/1000+
(INDEX('Rasterbemessung DE UZ ST'!$B$64:$M$75,MATCH(Datenbank!G$14,'Rasterbemessung DE UZ ST'!$B$64:$B$75,0),MATCH(Datenbank!G$15,'Rasterbemessung DE UZ ST'!$B$64:$M$64,0)))/1000,1)</f>
        <v>3.2</v>
      </c>
      <c r="H26" s="808">
        <f ca="1">ROUNDUP(h_raum+
h_auf+
(HLOOKUP(Datenbank!H14,'Rasterbemessung DE UZ ST'!$C$8:$M$12,5,FALSE))/1000+
(INDEX('Rasterbemessung DE UZ ST'!$B$64:$M$75,MATCH(Datenbank!H$14,'Rasterbemessung DE UZ ST'!$B$64:$B$75,0),MATCH(Datenbank!H$15,'Rasterbemessung DE UZ ST'!$B$64:$M$64,0)))/1000,1)</f>
        <v>3.3000000000000003</v>
      </c>
      <c r="I26" s="808">
        <f ca="1">ROUNDUP(h_raum+
h_auf+
(HLOOKUP(Datenbank!I14,'Rasterbemessung DE UZ ST'!$C$8:$M$12,5,FALSE))/1000+
(INDEX('Rasterbemessung DE UZ ST'!$B$64:$M$75,MATCH(Datenbank!I$14,'Rasterbemessung DE UZ ST'!$B$64:$B$75,0),MATCH(Datenbank!I$15,'Rasterbemessung DE UZ ST'!$B$64:$M$64,0)))/1000,1)</f>
        <v>3.4</v>
      </c>
      <c r="J26" s="793">
        <f ca="1">ROUNDUP(h_raum+
h_auf+
(HLOOKUP(Datenbank!J14,'Rasterbemessung DE UZ ST'!$C$8:$M$12,5,FALSE))/1000+
(INDEX('Rasterbemessung DE UZ ST'!$B$64:$M$75,MATCH(Datenbank!J$14,'Rasterbemessung DE UZ ST'!$B$64:$B$75,0),MATCH(Datenbank!J$15,'Rasterbemessung DE UZ ST'!$B$64:$M$64,0)))/1000,1)</f>
        <v>3</v>
      </c>
      <c r="K26" s="765">
        <f ca="1">ROUNDUP(h_raum+
h_auf+
(HLOOKUP(Datenbank!K14,'Rasterbemessung DE UZ ST'!$C$8:$M$12,5,FALSE))/1000+
(INDEX('Rasterbemessung DE UZ ST'!$B$64:$M$75,MATCH(Datenbank!K$14,'Rasterbemessung DE UZ ST'!$B$64:$B$75,0),MATCH(Datenbank!K$15,'Rasterbemessung DE UZ ST'!$B$64:$M$64,0)))/1000,1)</f>
        <v>3</v>
      </c>
      <c r="L26" s="808">
        <f ca="1">ROUNDUP(h_raum+
h_auf+
(HLOOKUP(Datenbank!L14,'Rasterbemessung DE UZ ST'!$C$8:$M$12,5,FALSE))/1000+
(INDEX('Rasterbemessung DE UZ ST'!$B$64:$M$75,MATCH(Datenbank!L$14,'Rasterbemessung DE UZ ST'!$B$64:$B$75,0),MATCH(Datenbank!L$15,'Rasterbemessung DE UZ ST'!$B$64:$M$64,0)))/1000,1)</f>
        <v>3.1</v>
      </c>
      <c r="M26" s="808">
        <f ca="1">ROUNDUP(h_raum+
h_auf+
(HLOOKUP(Datenbank!M14,'Rasterbemessung DE UZ ST'!$C$8:$M$12,5,FALSE))/1000+
(INDEX('Rasterbemessung DE UZ ST'!$B$64:$M$75,MATCH(Datenbank!M$14,'Rasterbemessung DE UZ ST'!$B$64:$B$75,0),MATCH(Datenbank!M$15,'Rasterbemessung DE UZ ST'!$B$64:$M$64,0)))/1000,1)</f>
        <v>3.1</v>
      </c>
      <c r="N26" s="808">
        <f ca="1">ROUNDUP(h_raum+
h_auf+
(HLOOKUP(Datenbank!N14,'Rasterbemessung DE UZ ST'!$C$8:$M$12,5,FALSE))/1000+
(INDEX('Rasterbemessung DE UZ ST'!$B$64:$M$75,MATCH(Datenbank!N$14,'Rasterbemessung DE UZ ST'!$B$64:$B$75,0),MATCH(Datenbank!N$15,'Rasterbemessung DE UZ ST'!$B$64:$M$64,0)))/1000,1)</f>
        <v>3.2</v>
      </c>
      <c r="O26" s="808">
        <f ca="1">ROUNDUP(h_raum+
h_auf+
(HLOOKUP(Datenbank!O14,'Rasterbemessung DE UZ ST'!$C$8:$M$12,5,FALSE))/1000+
(INDEX('Rasterbemessung DE UZ ST'!$B$64:$M$75,MATCH(Datenbank!O$14,'Rasterbemessung DE UZ ST'!$B$64:$B$75,0),MATCH(Datenbank!O$15,'Rasterbemessung DE UZ ST'!$B$64:$M$64,0)))/1000,1)</f>
        <v>3.2</v>
      </c>
      <c r="P26" s="824">
        <f ca="1">ROUNDUP(h_raum+
h_auf+
(HLOOKUP(Datenbank!P14,'Rasterbemessung DE UZ ST'!$C$8:$M$12,5,FALSE))/1000+
(INDEX('Rasterbemessung DE UZ ST'!$B$64:$M$75,MATCH(Datenbank!P$14,'Rasterbemessung DE UZ ST'!$B$64:$B$75,0),MATCH(Datenbank!P$15,'Rasterbemessung DE UZ ST'!$B$64:$M$64,0)))/1000,1)</f>
        <v>3.3000000000000003</v>
      </c>
      <c r="Q26" s="824">
        <f ca="1">ROUNDUP(h_raum+
h_auf+
(HLOOKUP(Datenbank!Q14,'Rasterbemessung DE UZ ST'!$C$8:$M$12,5,FALSE))/1000+
(INDEX('Rasterbemessung DE UZ ST'!$B$64:$M$75,MATCH(Datenbank!Q$14,'Rasterbemessung DE UZ ST'!$B$64:$B$75,0),MATCH(Datenbank!Q$15,'Rasterbemessung DE UZ ST'!$B$64:$M$64,0)))/1000,1)</f>
        <v>3.3000000000000003</v>
      </c>
      <c r="R26" s="824">
        <f ca="1">ROUNDUP(h_raum+
h_auf+
(HLOOKUP(Datenbank!R14,'Rasterbemessung DE UZ ST'!$C$8:$M$12,5,FALSE))/1000+
(INDEX('Rasterbemessung DE UZ ST'!$B$64:$M$75,MATCH(Datenbank!R$14,'Rasterbemessung DE UZ ST'!$B$64:$B$75,0),MATCH(Datenbank!R$15,'Rasterbemessung DE UZ ST'!$B$64:$M$64,0)))/1000,1)</f>
        <v>3.3000000000000003</v>
      </c>
      <c r="S26" s="821">
        <f ca="1">ROUNDUP(h_raum+
h_auf+
(HLOOKUP(Datenbank!S14,'Rasterbemessung DE UZ ST'!$C$8:$M$12,5,FALSE))/1000+
(INDEX('Rasterbemessung DE UZ ST'!$B$64:$M$75,MATCH(Datenbank!S$14,'Rasterbemessung DE UZ ST'!$B$64:$B$75,0),MATCH(Datenbank!S$15,'Rasterbemessung DE UZ ST'!$B$64:$M$64,0)))/1000,1)</f>
        <v>3</v>
      </c>
      <c r="T26" s="765">
        <f ca="1">ROUNDUP(h_raum+
h_auf+
(HLOOKUP(Datenbank!T14,'Rasterbemessung DE UZ ST'!$C$8:$M$12,5,FALSE))/1000+
(INDEX('Rasterbemessung DE UZ ST'!$B$64:$M$75,MATCH(Datenbank!T$14,'Rasterbemessung DE UZ ST'!$B$64:$B$75,0),MATCH(Datenbank!T$15,'Rasterbemessung DE UZ ST'!$B$64:$M$64,0)))/1000,1)</f>
        <v>3</v>
      </c>
      <c r="U26" s="808">
        <f ca="1">ROUNDUP(h_raum+
h_auf+
(HLOOKUP(Datenbank!U14,'Rasterbemessung DE UZ ST'!$C$8:$M$12,5,FALSE))/1000+
(INDEX('Rasterbemessung DE UZ ST'!$B$64:$M$75,MATCH(Datenbank!U$14,'Rasterbemessung DE UZ ST'!$B$64:$B$75,0),MATCH(Datenbank!U$15,'Rasterbemessung DE UZ ST'!$B$64:$M$64,0)))/1000,1)</f>
        <v>3.1</v>
      </c>
      <c r="V26" s="808">
        <f ca="1">ROUNDUP(h_raum+
h_auf+
(HLOOKUP(Datenbank!V14,'Rasterbemessung DE UZ ST'!$C$8:$M$12,5,FALSE))/1000+
(INDEX('Rasterbemessung DE UZ ST'!$B$64:$M$75,MATCH(Datenbank!V$14,'Rasterbemessung DE UZ ST'!$B$64:$B$75,0),MATCH(Datenbank!V$15,'Rasterbemessung DE UZ ST'!$B$64:$M$64,0)))/1000,1)</f>
        <v>3.1</v>
      </c>
      <c r="W26" s="808">
        <f ca="1">ROUNDUP(h_raum+
h_auf+
(HLOOKUP(Datenbank!W14,'Rasterbemessung DE UZ ST'!$C$8:$M$12,5,FALSE))/1000+
(INDEX('Rasterbemessung DE UZ ST'!$B$64:$M$75,MATCH(Datenbank!W$14,'Rasterbemessung DE UZ ST'!$B$64:$B$75,0),MATCH(Datenbank!W$15,'Rasterbemessung DE UZ ST'!$B$64:$M$64,0)))/1000,1)</f>
        <v>3.2</v>
      </c>
      <c r="X26" s="808">
        <f ca="1">ROUNDUP(h_raum+
h_auf+
(HLOOKUP(Datenbank!X14,'Rasterbemessung DE UZ ST'!$C$8:$M$12,5,FALSE))/1000+
(INDEX('Rasterbemessung DE UZ ST'!$B$64:$M$75,MATCH(Datenbank!X$14,'Rasterbemessung DE UZ ST'!$B$64:$B$75,0),MATCH(Datenbank!X$15,'Rasterbemessung DE UZ ST'!$B$64:$M$64,0)))/1000,1)</f>
        <v>3.2</v>
      </c>
      <c r="Y26" s="824">
        <f ca="1">ROUNDUP(h_raum+
h_auf+
(HLOOKUP(Datenbank!Y14,'Rasterbemessung DE UZ ST'!$C$8:$M$12,5,FALSE))/1000+
(INDEX('Rasterbemessung DE UZ ST'!$B$64:$M$75,MATCH(Datenbank!Y$14,'Rasterbemessung DE UZ ST'!$B$64:$B$75,0),MATCH(Datenbank!Y$15,'Rasterbemessung DE UZ ST'!$B$64:$M$64,0)))/1000,1)</f>
        <v>3.3000000000000003</v>
      </c>
      <c r="Z26" s="824">
        <f ca="1">ROUNDUP(h_raum+
h_auf+
(HLOOKUP(Datenbank!Z14,'Rasterbemessung DE UZ ST'!$C$8:$M$12,5,FALSE))/1000+
(INDEX('Rasterbemessung DE UZ ST'!$B$64:$M$75,MATCH(Datenbank!Z$14,'Rasterbemessung DE UZ ST'!$B$64:$B$75,0),MATCH(Datenbank!Z$15,'Rasterbemessung DE UZ ST'!$B$64:$M$64,0)))/1000,1)</f>
        <v>3.3000000000000003</v>
      </c>
      <c r="AA26" s="824">
        <f ca="1">ROUNDUP(h_raum+
h_auf+
(HLOOKUP(Datenbank!AA14,'Rasterbemessung DE UZ ST'!$C$8:$M$12,5,FALSE))/1000+
(INDEX('Rasterbemessung DE UZ ST'!$B$64:$M$75,MATCH(Datenbank!AA$14,'Rasterbemessung DE UZ ST'!$B$64:$B$75,0),MATCH(Datenbank!AA$15,'Rasterbemessung DE UZ ST'!$B$64:$M$64,0)))/1000,1)</f>
        <v>3.3000000000000003</v>
      </c>
      <c r="AB26" s="821">
        <f ca="1">ROUNDUP(h_raum+
h_auf+
(HLOOKUP(Datenbank!AB14,'Rasterbemessung DE UZ ST'!$C$8:$M$12,5,FALSE))/1000+
(INDEX('Rasterbemessung DE UZ ST'!$B$64:$M$75,MATCH(Datenbank!AB$14,'Rasterbemessung DE UZ ST'!$B$64:$B$75,0),MATCH(Datenbank!AB$15,'Rasterbemessung DE UZ ST'!$B$64:$M$64,0)))/1000,1)</f>
        <v>3</v>
      </c>
      <c r="AC26" s="808">
        <f ca="1">ROUNDUP(h_raum+
h_auf+
(HLOOKUP(Datenbank!AC14,'Rasterbemessung DE UZ ST'!$C$8:$M$12,5,FALSE))/1000+
(INDEX('Rasterbemessung DE UZ ST'!$B$64:$M$75,MATCH(Datenbank!AC$14,'Rasterbemessung DE UZ ST'!$B$64:$B$75,0),MATCH(Datenbank!AC$15,'Rasterbemessung DE UZ ST'!$B$64:$M$64,0)))/1000,1)</f>
        <v>3</v>
      </c>
      <c r="AD26" s="808">
        <f ca="1">ROUNDUP(h_raum+
h_auf+
(HLOOKUP(Datenbank!AD14,'Rasterbemessung DE UZ ST'!$C$8:$M$12,5,FALSE))/1000+
(INDEX('Rasterbemessung DE UZ ST'!$B$64:$M$75,MATCH(Datenbank!AD$14,'Rasterbemessung DE UZ ST'!$B$64:$B$75,0),MATCH(Datenbank!AD$15,'Rasterbemessung DE UZ ST'!$B$64:$M$64,0)))/1000,1)</f>
        <v>3.1</v>
      </c>
      <c r="AE26" s="808">
        <f ca="1">ROUNDUP(h_raum+
h_auf+
(HLOOKUP(Datenbank!AE14,'Rasterbemessung DE UZ ST'!$C$8:$M$12,5,FALSE))/1000+
(INDEX('Rasterbemessung DE UZ ST'!$B$64:$M$75,MATCH(Datenbank!AE$14,'Rasterbemessung DE UZ ST'!$B$64:$B$75,0),MATCH(Datenbank!AE$15,'Rasterbemessung DE UZ ST'!$B$64:$M$64,0)))/1000,1)</f>
        <v>3.1</v>
      </c>
      <c r="AF26" s="808">
        <f ca="1">ROUNDUP(h_raum+
h_auf+
(HLOOKUP(Datenbank!AF14,'Rasterbemessung DE UZ ST'!$C$8:$M$12,5,FALSE))/1000+
(INDEX('Rasterbemessung DE UZ ST'!$B$64:$M$75,MATCH(Datenbank!AF$14,'Rasterbemessung DE UZ ST'!$B$64:$B$75,0),MATCH(Datenbank!AF$15,'Rasterbemessung DE UZ ST'!$B$64:$M$64,0)))/1000,1)</f>
        <v>3.2</v>
      </c>
      <c r="AG26" s="808">
        <f ca="1">ROUNDUP(h_raum+
h_auf+
(HLOOKUP(Datenbank!AG14,'Rasterbemessung DE UZ ST'!$C$8:$M$12,5,FALSE))/1000+
(INDEX('Rasterbemessung DE UZ ST'!$B$64:$M$75,MATCH(Datenbank!AG$14,'Rasterbemessung DE UZ ST'!$B$64:$B$75,0),MATCH(Datenbank!AG$15,'Rasterbemessung DE UZ ST'!$B$64:$M$64,0)))/1000,1)</f>
        <v>3.2</v>
      </c>
      <c r="AH26" s="824">
        <f ca="1">ROUNDUP(h_raum+
h_auf+
(HLOOKUP(Datenbank!AH14,'Rasterbemessung DE UZ ST'!$C$8:$M$12,5,FALSE))/1000+
(INDEX('Rasterbemessung DE UZ ST'!$B$64:$M$75,MATCH(Datenbank!AH$14,'Rasterbemessung DE UZ ST'!$B$64:$B$75,0),MATCH(Datenbank!AH$15,'Rasterbemessung DE UZ ST'!$B$64:$M$64,0)))/1000,1)</f>
        <v>3.3000000000000003</v>
      </c>
      <c r="AI26" s="824">
        <f ca="1">ROUNDUP(h_raum+
h_auf+
(HLOOKUP(Datenbank!AI14,'Rasterbemessung DE UZ ST'!$C$8:$M$12,5,FALSE))/1000+
(INDEX('Rasterbemessung DE UZ ST'!$B$64:$M$75,MATCH(Datenbank!AI$14,'Rasterbemessung DE UZ ST'!$B$64:$B$75,0),MATCH(Datenbank!AI$15,'Rasterbemessung DE UZ ST'!$B$64:$M$64,0)))/1000,1)</f>
        <v>3.3000000000000003</v>
      </c>
      <c r="AJ26" s="824">
        <f ca="1">ROUNDUP(h_raum+
h_auf+
(HLOOKUP(Datenbank!AJ14,'Rasterbemessung DE UZ ST'!$C$8:$M$12,5,FALSE))/1000+
(INDEX('Rasterbemessung DE UZ ST'!$B$64:$M$75,MATCH(Datenbank!AJ$14,'Rasterbemessung DE UZ ST'!$B$64:$B$75,0),MATCH(Datenbank!AJ$15,'Rasterbemessung DE UZ ST'!$B$64:$M$64,0)))/1000,1)</f>
        <v>3.3000000000000003</v>
      </c>
      <c r="AK26" s="793">
        <f ca="1">ROUNDUP(h_raum+
h_auf+
(HLOOKUP(Datenbank!AK14,'Rasterbemessung DE UZ ST'!$C$8:$M$12,5,FALSE))/1000+
(INDEX('Rasterbemessung DE UZ ST'!$B$64:$M$75,MATCH(Datenbank!AK$14,'Rasterbemessung DE UZ ST'!$B$64:$B$75,0),MATCH(Datenbank!AK$15,'Rasterbemessung DE UZ ST'!$B$64:$M$64,0)))/1000,1)</f>
        <v>3</v>
      </c>
      <c r="AL26" s="765">
        <f ca="1">ROUNDUP(h_raum+
h_auf+
(HLOOKUP(Datenbank!AL14,'Rasterbemessung DE UZ ST'!$C$8:$M$12,5,FALSE))/1000+
(INDEX('Rasterbemessung DE UZ ST'!$B$64:$M$75,MATCH(Datenbank!AL$14,'Rasterbemessung DE UZ ST'!$B$64:$B$75,0),MATCH(Datenbank!AL$15,'Rasterbemessung DE UZ ST'!$B$64:$M$64,0)))/1000,1)</f>
        <v>3</v>
      </c>
      <c r="AM26" s="765">
        <f ca="1">ROUNDUP(h_raum+
h_auf+
(HLOOKUP(Datenbank!AM14,'Rasterbemessung DE UZ ST'!$C$8:$M$12,5,FALSE))/1000+
(INDEX('Rasterbemessung DE UZ ST'!$B$64:$M$75,MATCH(Datenbank!AM$14,'Rasterbemessung DE UZ ST'!$B$64:$B$75,0),MATCH(Datenbank!AM$15,'Rasterbemessung DE UZ ST'!$B$64:$M$64,0)))/1000,1)</f>
        <v>3.1</v>
      </c>
      <c r="AN26" s="808">
        <f ca="1">ROUNDUP(h_raum+
h_auf+
(HLOOKUP(Datenbank!AN14,'Rasterbemessung DE UZ ST'!$C$8:$M$12,5,FALSE))/1000+
(INDEX('Rasterbemessung DE UZ ST'!$B$64:$M$75,MATCH(Datenbank!AN$14,'Rasterbemessung DE UZ ST'!$B$64:$B$75,0),MATCH(Datenbank!AN$15,'Rasterbemessung DE UZ ST'!$B$64:$M$64,0)))/1000,1)</f>
        <v>3.2</v>
      </c>
      <c r="AO26" s="808">
        <f ca="1">ROUNDUP(h_raum+
h_auf+
(HLOOKUP(Datenbank!AO14,'Rasterbemessung DE UZ ST'!$C$8:$M$12,5,FALSE))/1000+
(INDEX('Rasterbemessung DE UZ ST'!$B$64:$M$75,MATCH(Datenbank!AO$14,'Rasterbemessung DE UZ ST'!$B$64:$B$75,0),MATCH(Datenbank!AO$15,'Rasterbemessung DE UZ ST'!$B$64:$M$64,0)))/1000,1)</f>
        <v>3.2</v>
      </c>
      <c r="AP26" s="808">
        <f ca="1">ROUNDUP(h_raum+
h_auf+
(HLOOKUP(Datenbank!AP14,'Rasterbemessung DE UZ ST'!$C$8:$M$12,5,FALSE))/1000+
(INDEX('Rasterbemessung DE UZ ST'!$B$64:$M$75,MATCH(Datenbank!AP$14,'Rasterbemessung DE UZ ST'!$B$64:$B$75,0),MATCH(Datenbank!AP$15,'Rasterbemessung DE UZ ST'!$B$64:$M$64,0)))/1000,1)</f>
        <v>3.3000000000000003</v>
      </c>
      <c r="AQ26" s="824">
        <f ca="1">ROUNDUP(h_raum+
h_auf+
(HLOOKUP(Datenbank!AQ14,'Rasterbemessung DE UZ ST'!$C$8:$M$12,5,FALSE))/1000+
(INDEX('Rasterbemessung DE UZ ST'!$B$64:$M$75,MATCH(Datenbank!AQ$14,'Rasterbemessung DE UZ ST'!$B$64:$B$75,0),MATCH(Datenbank!AQ$15,'Rasterbemessung DE UZ ST'!$B$64:$M$64,0)))/1000,1)</f>
        <v>3.3000000000000003</v>
      </c>
      <c r="AR26" s="824">
        <f ca="1">ROUNDUP(h_raum+
h_auf+
(HLOOKUP(Datenbank!AR14,'Rasterbemessung DE UZ ST'!$C$8:$M$12,5,FALSE))/1000+
(INDEX('Rasterbemessung DE UZ ST'!$B$64:$M$75,MATCH(Datenbank!AR$14,'Rasterbemessung DE UZ ST'!$B$64:$B$75,0),MATCH(Datenbank!AR$15,'Rasterbemessung DE UZ ST'!$B$64:$M$64,0)))/1000,1)</f>
        <v>3.4</v>
      </c>
      <c r="AS26" s="824">
        <f ca="1">ROUNDUP(h_raum+
h_auf+
(HLOOKUP(Datenbank!AS14,'Rasterbemessung DE UZ ST'!$C$8:$M$12,5,FALSE))/1000+
(INDEX('Rasterbemessung DE UZ ST'!$B$64:$M$75,MATCH(Datenbank!AS$14,'Rasterbemessung DE UZ ST'!$B$64:$B$75,0),MATCH(Datenbank!AS$15,'Rasterbemessung DE UZ ST'!$B$64:$M$64,0)))/1000,1)</f>
        <v>3.4</v>
      </c>
      <c r="AT26" s="793">
        <f ca="1">ROUNDUP(h_raum+
h_auf+
(HLOOKUP(Datenbank!AT14,'Rasterbemessung DE UZ ST'!$C$8:$M$12,5,FALSE))/1000+
(INDEX('Rasterbemessung DE UZ ST'!$B$64:$M$75,MATCH(Datenbank!AT$14,'Rasterbemessung DE UZ ST'!$B$64:$B$75,0),MATCH(Datenbank!AT$15,'Rasterbemessung DE UZ ST'!$B$64:$M$64,0)))/1000,1)</f>
        <v>3.1</v>
      </c>
      <c r="AU26" s="765">
        <f ca="1">ROUNDUP(h_raum+
h_auf+
(HLOOKUP(Datenbank!AU14,'Rasterbemessung DE UZ ST'!$C$8:$M$12,5,FALSE))/1000+
(INDEX('Rasterbemessung DE UZ ST'!$B$64:$M$75,MATCH(Datenbank!AU$14,'Rasterbemessung DE UZ ST'!$B$64:$B$75,0),MATCH(Datenbank!AU$15,'Rasterbemessung DE UZ ST'!$B$64:$M$64,0)))/1000,1)</f>
        <v>3.1</v>
      </c>
      <c r="AV26" s="765">
        <f ca="1">ROUNDUP(h_raum+
h_auf+
(HLOOKUP(Datenbank!AV14,'Rasterbemessung DE UZ ST'!$C$8:$M$12,5,FALSE))/1000+
(INDEX('Rasterbemessung DE UZ ST'!$B$64:$M$75,MATCH(Datenbank!AV$14,'Rasterbemessung DE UZ ST'!$B$64:$B$75,0),MATCH(Datenbank!AV$15,'Rasterbemessung DE UZ ST'!$B$64:$M$64,0)))/1000,1)</f>
        <v>3.1</v>
      </c>
      <c r="AW26" s="765">
        <f ca="1">ROUNDUP(h_raum+
h_auf+
(HLOOKUP(Datenbank!AW14,'Rasterbemessung DE UZ ST'!$C$8:$M$12,5,FALSE))/1000+
(INDEX('Rasterbemessung DE UZ ST'!$B$64:$M$75,MATCH(Datenbank!AW$14,'Rasterbemessung DE UZ ST'!$B$64:$B$75,0),MATCH(Datenbank!AW$15,'Rasterbemessung DE UZ ST'!$B$64:$M$64,0)))/1000,1)</f>
        <v>3.1</v>
      </c>
      <c r="AX26" s="808">
        <f ca="1">ROUNDUP(h_raum+
h_auf+
(HLOOKUP(Datenbank!AX14,'Rasterbemessung DE UZ ST'!$C$8:$M$12,5,FALSE))/1000+
(INDEX('Rasterbemessung DE UZ ST'!$B$64:$M$75,MATCH(Datenbank!AX$14,'Rasterbemessung DE UZ ST'!$B$64:$B$75,0),MATCH(Datenbank!AX$15,'Rasterbemessung DE UZ ST'!$B$64:$M$64,0)))/1000,1)</f>
        <v>3.3000000000000003</v>
      </c>
      <c r="AY26" s="808">
        <f ca="1">ROUNDUP(h_raum+
h_auf+
(HLOOKUP(Datenbank!AY14,'Rasterbemessung DE UZ ST'!$C$8:$M$12,5,FALSE))/1000+
(INDEX('Rasterbemessung DE UZ ST'!$B$64:$M$75,MATCH(Datenbank!AY$14,'Rasterbemessung DE UZ ST'!$B$64:$B$75,0),MATCH(Datenbank!AY$15,'Rasterbemessung DE UZ ST'!$B$64:$M$64,0)))/1000,1)</f>
        <v>3.3000000000000003</v>
      </c>
      <c r="AZ26" s="824">
        <f ca="1">ROUNDUP(h_raum+
h_auf+
(HLOOKUP(Datenbank!AZ14,'Rasterbemessung DE UZ ST'!$C$8:$M$12,5,FALSE))/1000+
(INDEX('Rasterbemessung DE UZ ST'!$B$64:$M$75,MATCH(Datenbank!AZ$14,'Rasterbemessung DE UZ ST'!$B$64:$B$75,0),MATCH(Datenbank!AZ$15,'Rasterbemessung DE UZ ST'!$B$64:$M$64,0)))/1000,1)</f>
        <v>3.4</v>
      </c>
      <c r="BA26" s="824">
        <f ca="1">ROUNDUP(h_raum+
h_auf+
(HLOOKUP(Datenbank!BA14,'Rasterbemessung DE UZ ST'!$C$8:$M$12,5,FALSE))/1000+
(INDEX('Rasterbemessung DE UZ ST'!$B$64:$M$75,MATCH(Datenbank!BA$14,'Rasterbemessung DE UZ ST'!$B$64:$B$75,0),MATCH(Datenbank!BA$15,'Rasterbemessung DE UZ ST'!$B$64:$M$64,0)))/1000,1)</f>
        <v>3.4</v>
      </c>
      <c r="BB26" s="824">
        <f ca="1">ROUNDUP(h_raum+
h_auf+
(HLOOKUP(Datenbank!BB14,'Rasterbemessung DE UZ ST'!$C$8:$M$12,5,FALSE))/1000+
(INDEX('Rasterbemessung DE UZ ST'!$B$64:$M$75,MATCH(Datenbank!BB$14,'Rasterbemessung DE UZ ST'!$B$64:$B$75,0),MATCH(Datenbank!BB$15,'Rasterbemessung DE UZ ST'!$B$64:$M$64,0)))/1000,1)</f>
        <v>3.5</v>
      </c>
      <c r="BC26" s="793">
        <f ca="1">ROUNDUP(h_raum+
h_auf+
(HLOOKUP(Datenbank!BC14,'Rasterbemessung DE UZ ST'!$C$8:$M$12,5,FALSE))/1000+
(INDEX('Rasterbemessung DE UZ ST'!$B$64:$M$75,MATCH(Datenbank!BC$14,'Rasterbemessung DE UZ ST'!$B$64:$B$75,0),MATCH(Datenbank!BC$15,'Rasterbemessung DE UZ ST'!$B$64:$M$64,0)))/1000,1)</f>
        <v>3.1</v>
      </c>
      <c r="BD26" s="765">
        <f ca="1">ROUNDUP(h_raum+
h_auf+
(HLOOKUP(Datenbank!BD14,'Rasterbemessung DE UZ ST'!$C$8:$M$12,5,FALSE))/1000+
(INDEX('Rasterbemessung DE UZ ST'!$B$64:$M$75,MATCH(Datenbank!BD$14,'Rasterbemessung DE UZ ST'!$B$64:$B$75,0),MATCH(Datenbank!BD$15,'Rasterbemessung DE UZ ST'!$B$64:$M$64,0)))/1000,1)</f>
        <v>3.1</v>
      </c>
      <c r="BE26" s="765">
        <f ca="1">ROUNDUP(h_raum+
h_auf+
(HLOOKUP(Datenbank!BE14,'Rasterbemessung DE UZ ST'!$C$8:$M$12,5,FALSE))/1000+
(INDEX('Rasterbemessung DE UZ ST'!$B$64:$M$75,MATCH(Datenbank!BE$14,'Rasterbemessung DE UZ ST'!$B$64:$B$75,0),MATCH(Datenbank!BE$15,'Rasterbemessung DE UZ ST'!$B$64:$M$64,0)))/1000,1)</f>
        <v>3.1</v>
      </c>
      <c r="BF26" s="765">
        <f ca="1">ROUNDUP(h_raum+
h_auf+
(HLOOKUP(Datenbank!BF14,'Rasterbemessung DE UZ ST'!$C$8:$M$12,5,FALSE))/1000+
(INDEX('Rasterbemessung DE UZ ST'!$B$64:$M$75,MATCH(Datenbank!BF$14,'Rasterbemessung DE UZ ST'!$B$64:$B$75,0),MATCH(Datenbank!BF$15,'Rasterbemessung DE UZ ST'!$B$64:$M$64,0)))/1000,1)</f>
        <v>3.2</v>
      </c>
      <c r="BG26" s="765">
        <f ca="1">ROUNDUP(h_raum+
h_auf+
(HLOOKUP(Datenbank!BG14,'Rasterbemessung DE UZ ST'!$C$8:$M$12,5,FALSE))/1000+
(INDEX('Rasterbemessung DE UZ ST'!$B$64:$M$75,MATCH(Datenbank!BG$14,'Rasterbemessung DE UZ ST'!$B$64:$B$75,0),MATCH(Datenbank!BG$15,'Rasterbemessung DE UZ ST'!$B$64:$M$64,0)))/1000,1)</f>
        <v>3.2</v>
      </c>
      <c r="BH26" s="808">
        <f ca="1">ROUNDUP(h_raum+
h_auf+
(HLOOKUP(Datenbank!BH14,'Rasterbemessung DE UZ ST'!$C$8:$M$12,5,FALSE))/1000+
(INDEX('Rasterbemessung DE UZ ST'!$B$64:$M$75,MATCH(Datenbank!BH$14,'Rasterbemessung DE UZ ST'!$B$64:$B$75,0),MATCH(Datenbank!BH$15,'Rasterbemessung DE UZ ST'!$B$64:$M$64,0)))/1000,1)</f>
        <v>3.4</v>
      </c>
      <c r="BI26" s="824">
        <f ca="1">ROUNDUP(h_raum+
h_auf+
(HLOOKUP(Datenbank!BI14,'Rasterbemessung DE UZ ST'!$C$8:$M$12,5,FALSE))/1000+
(INDEX('Rasterbemessung DE UZ ST'!$B$64:$M$75,MATCH(Datenbank!BI$14,'Rasterbemessung DE UZ ST'!$B$64:$B$75,0),MATCH(Datenbank!BI$15,'Rasterbemessung DE UZ ST'!$B$64:$M$64,0)))/1000,1)</f>
        <v>3.4</v>
      </c>
      <c r="BJ26" s="824">
        <f ca="1">ROUNDUP(h_raum+
h_auf+
(HLOOKUP(Datenbank!BJ14,'Rasterbemessung DE UZ ST'!$C$8:$M$12,5,FALSE))/1000+
(INDEX('Rasterbemessung DE UZ ST'!$B$64:$M$75,MATCH(Datenbank!BJ$14,'Rasterbemessung DE UZ ST'!$B$64:$B$75,0),MATCH(Datenbank!BJ$15,'Rasterbemessung DE UZ ST'!$B$64:$M$64,0)))/1000,1)</f>
        <v>3.5</v>
      </c>
      <c r="BK26" s="824">
        <f ca="1">ROUNDUP(h_raum+
h_auf+
(HLOOKUP(Datenbank!BK14,'Rasterbemessung DE UZ ST'!$C$8:$M$12,5,FALSE))/1000+
(INDEX('Rasterbemessung DE UZ ST'!$B$64:$M$75,MATCH(Datenbank!BK$14,'Rasterbemessung DE UZ ST'!$B$64:$B$75,0),MATCH(Datenbank!BK$15,'Rasterbemessung DE UZ ST'!$B$64:$M$64,0)))/1000,1)</f>
        <v>3.5</v>
      </c>
      <c r="BL26" s="793">
        <f ca="1">ROUNDUP(h_raum+
h_auf+
(HLOOKUP(Datenbank!BL14,'Rasterbemessung DE UZ ST'!$C$8:$M$12,5,FALSE))/1000+
(INDEX('Rasterbemessung DE UZ ST'!$B$64:$M$75,MATCH(Datenbank!BL$14,'Rasterbemessung DE UZ ST'!$B$64:$B$75,0),MATCH(Datenbank!BL$15,'Rasterbemessung DE UZ ST'!$B$64:$M$64,0)))/1000,1)</f>
        <v>3.2</v>
      </c>
      <c r="BM26" s="765">
        <f ca="1">ROUNDUP(h_raum+
h_auf+
(HLOOKUP(Datenbank!BM14,'Rasterbemessung DE UZ ST'!$C$8:$M$12,5,FALSE))/1000+
(INDEX('Rasterbemessung DE UZ ST'!$B$64:$M$75,MATCH(Datenbank!BM$14,'Rasterbemessung DE UZ ST'!$B$64:$B$75,0),MATCH(Datenbank!BM$15,'Rasterbemessung DE UZ ST'!$B$64:$M$64,0)))/1000,1)</f>
        <v>3.2</v>
      </c>
      <c r="BN26" s="765">
        <f ca="1">ROUNDUP(h_raum+
h_auf+
(HLOOKUP(Datenbank!BN14,'Rasterbemessung DE UZ ST'!$C$8:$M$12,5,FALSE))/1000+
(INDEX('Rasterbemessung DE UZ ST'!$B$64:$M$75,MATCH(Datenbank!BN$14,'Rasterbemessung DE UZ ST'!$B$64:$B$75,0),MATCH(Datenbank!BN$15,'Rasterbemessung DE UZ ST'!$B$64:$M$64,0)))/1000,1)</f>
        <v>3.2</v>
      </c>
      <c r="BO26" s="765">
        <f ca="1">ROUNDUP(h_raum+
h_auf+
(HLOOKUP(Datenbank!BO14,'Rasterbemessung DE UZ ST'!$C$8:$M$12,5,FALSE))/1000+
(INDEX('Rasterbemessung DE UZ ST'!$B$64:$M$75,MATCH(Datenbank!BO$14,'Rasterbemessung DE UZ ST'!$B$64:$B$75,0),MATCH(Datenbank!BO$15,'Rasterbemessung DE UZ ST'!$B$64:$M$64,0)))/1000,1)</f>
        <v>3.2</v>
      </c>
      <c r="BP26" s="765">
        <f ca="1">ROUNDUP(h_raum+
h_auf+
(HLOOKUP(Datenbank!BP14,'Rasterbemessung DE UZ ST'!$C$8:$M$12,5,FALSE))/1000+
(INDEX('Rasterbemessung DE UZ ST'!$B$64:$M$75,MATCH(Datenbank!BP$14,'Rasterbemessung DE UZ ST'!$B$64:$B$75,0),MATCH(Datenbank!BP$15,'Rasterbemessung DE UZ ST'!$B$64:$M$64,0)))/1000,1)</f>
        <v>3.3000000000000003</v>
      </c>
      <c r="BQ26" s="765">
        <f ca="1">ROUNDUP(h_raum+
h_auf+
(HLOOKUP(Datenbank!BQ14,'Rasterbemessung DE UZ ST'!$C$8:$M$12,5,FALSE))/1000+
(INDEX('Rasterbemessung DE UZ ST'!$B$64:$M$75,MATCH(Datenbank!BQ$14,'Rasterbemessung DE UZ ST'!$B$64:$B$75,0),MATCH(Datenbank!BQ$15,'Rasterbemessung DE UZ ST'!$B$64:$M$64,0)))/1000,1)</f>
        <v>3.4</v>
      </c>
      <c r="BR26" s="824">
        <f ca="1">ROUNDUP(h_raum+
h_auf+
(HLOOKUP(Datenbank!BR14,'Rasterbemessung DE UZ ST'!$C$8:$M$12,5,FALSE))/1000+
(INDEX('Rasterbemessung DE UZ ST'!$B$64:$M$75,MATCH(Datenbank!BR$14,'Rasterbemessung DE UZ ST'!$B$64:$B$75,0),MATCH(Datenbank!BR$15,'Rasterbemessung DE UZ ST'!$B$64:$M$64,0)))/1000,1)</f>
        <v>3.5</v>
      </c>
      <c r="BS26" s="824">
        <f ca="1">ROUNDUP(h_raum+
h_auf+
(HLOOKUP(Datenbank!BS14,'Rasterbemessung DE UZ ST'!$C$8:$M$12,5,FALSE))/1000+
(INDEX('Rasterbemessung DE UZ ST'!$B$64:$M$75,MATCH(Datenbank!BS$14,'Rasterbemessung DE UZ ST'!$B$64:$B$75,0),MATCH(Datenbank!BS$15,'Rasterbemessung DE UZ ST'!$B$64:$M$64,0)))/1000,1)</f>
        <v>3.5</v>
      </c>
      <c r="BT26" s="824">
        <f ca="1">ROUNDUP(h_raum+
h_auf+
(HLOOKUP(Datenbank!BT14,'Rasterbemessung DE UZ ST'!$C$8:$M$12,5,FALSE))/1000+
(INDEX('Rasterbemessung DE UZ ST'!$B$64:$M$75,MATCH(Datenbank!BT$14,'Rasterbemessung DE UZ ST'!$B$64:$B$75,0),MATCH(Datenbank!BT$15,'Rasterbemessung DE UZ ST'!$B$64:$M$64,0)))/1000,1)</f>
        <v>3.6</v>
      </c>
    </row>
    <row r="27" spans="1:72" ht="36">
      <c r="A27" s="807"/>
      <c r="B27" s="816" t="s">
        <v>1555</v>
      </c>
      <c r="C27" s="815">
        <f ca="1">MAX('Hilfstabellen_Mat&amp;Bem'!D175,'Hilfstabellen_Mat&amp;Bem'!D200)</f>
        <v>240</v>
      </c>
      <c r="D27" s="815">
        <f ca="1">MAX('Hilfstabellen_Mat&amp;Bem'!E175,'Hilfstabellen_Mat&amp;Bem'!E200)</f>
        <v>240</v>
      </c>
      <c r="E27" s="815">
        <f ca="1">MAX('Hilfstabellen_Mat&amp;Bem'!F175,'Hilfstabellen_Mat&amp;Bem'!F200)</f>
        <v>240</v>
      </c>
      <c r="F27" s="815">
        <f ca="1">MAX('Hilfstabellen_Mat&amp;Bem'!G175,'Hilfstabellen_Mat&amp;Bem'!G200)</f>
        <v>240</v>
      </c>
      <c r="G27" s="815">
        <f ca="1">MAX('Hilfstabellen_Mat&amp;Bem'!H175,'Hilfstabellen_Mat&amp;Bem'!H200)</f>
        <v>280</v>
      </c>
      <c r="H27" s="815">
        <f ca="1">MAX('Hilfstabellen_Mat&amp;Bem'!I175,'Hilfstabellen_Mat&amp;Bem'!I200)</f>
        <v>280</v>
      </c>
      <c r="I27" s="815">
        <f ca="1">MAX('Hilfstabellen_Mat&amp;Bem'!J175,'Hilfstabellen_Mat&amp;Bem'!J200)</f>
        <v>320</v>
      </c>
      <c r="J27" s="794">
        <f ca="1">MAX('Hilfstabellen_Mat&amp;Bem'!K175,'Hilfstabellen_Mat&amp;Bem'!K200)</f>
        <v>240</v>
      </c>
      <c r="K27" s="763">
        <f ca="1">MAX('Hilfstabellen_Mat&amp;Bem'!L175,'Hilfstabellen_Mat&amp;Bem'!L200)</f>
        <v>240</v>
      </c>
      <c r="L27" s="815">
        <f ca="1">MAX('Hilfstabellen_Mat&amp;Bem'!M175,'Hilfstabellen_Mat&amp;Bem'!M200)</f>
        <v>240</v>
      </c>
      <c r="M27" s="815">
        <f ca="1">MAX('Hilfstabellen_Mat&amp;Bem'!N175,'Hilfstabellen_Mat&amp;Bem'!N200)</f>
        <v>240</v>
      </c>
      <c r="N27" s="815">
        <f ca="1">MAX('Hilfstabellen_Mat&amp;Bem'!O175,'Hilfstabellen_Mat&amp;Bem'!O200)</f>
        <v>240</v>
      </c>
      <c r="O27" s="815">
        <f ca="1">MAX('Hilfstabellen_Mat&amp;Bem'!P175,'Hilfstabellen_Mat&amp;Bem'!P200)</f>
        <v>240</v>
      </c>
      <c r="P27" s="825">
        <f ca="1">MAX('Hilfstabellen_Mat&amp;Bem'!Q175,'Hilfstabellen_Mat&amp;Bem'!Q200)</f>
        <v>280</v>
      </c>
      <c r="Q27" s="825">
        <f ca="1">MAX('Hilfstabellen_Mat&amp;Bem'!R175,'Hilfstabellen_Mat&amp;Bem'!R200)</f>
        <v>280</v>
      </c>
      <c r="R27" s="825">
        <f ca="1">MAX('Hilfstabellen_Mat&amp;Bem'!S175,'Hilfstabellen_Mat&amp;Bem'!S200)</f>
        <v>280</v>
      </c>
      <c r="S27" s="822">
        <f ca="1">MAX('Hilfstabellen_Mat&amp;Bem'!T175,'Hilfstabellen_Mat&amp;Bem'!T200)</f>
        <v>240</v>
      </c>
      <c r="T27" s="763">
        <f ca="1">MAX('Hilfstabellen_Mat&amp;Bem'!U175,'Hilfstabellen_Mat&amp;Bem'!U200)</f>
        <v>240</v>
      </c>
      <c r="U27" s="815">
        <f ca="1">MAX('Hilfstabellen_Mat&amp;Bem'!V175,'Hilfstabellen_Mat&amp;Bem'!V200)</f>
        <v>240</v>
      </c>
      <c r="V27" s="815">
        <f ca="1">MAX('Hilfstabellen_Mat&amp;Bem'!W175,'Hilfstabellen_Mat&amp;Bem'!W200)</f>
        <v>240</v>
      </c>
      <c r="W27" s="815">
        <f ca="1">MAX('Hilfstabellen_Mat&amp;Bem'!X175,'Hilfstabellen_Mat&amp;Bem'!X200)</f>
        <v>240</v>
      </c>
      <c r="X27" s="815">
        <f ca="1">MAX('Hilfstabellen_Mat&amp;Bem'!Y175,'Hilfstabellen_Mat&amp;Bem'!Y200)</f>
        <v>280</v>
      </c>
      <c r="Y27" s="825">
        <f ca="1">MAX('Hilfstabellen_Mat&amp;Bem'!Z175,'Hilfstabellen_Mat&amp;Bem'!Z200)</f>
        <v>280</v>
      </c>
      <c r="Z27" s="825">
        <f ca="1">MAX('Hilfstabellen_Mat&amp;Bem'!AA175,'Hilfstabellen_Mat&amp;Bem'!AA200)</f>
        <v>280</v>
      </c>
      <c r="AA27" s="825">
        <f ca="1">MAX('Hilfstabellen_Mat&amp;Bem'!AB175,'Hilfstabellen_Mat&amp;Bem'!AB200)</f>
        <v>280</v>
      </c>
      <c r="AB27" s="822">
        <f ca="1">MAX('Hilfstabellen_Mat&amp;Bem'!AC175,'Hilfstabellen_Mat&amp;Bem'!AC200)</f>
        <v>240</v>
      </c>
      <c r="AC27" s="815">
        <f ca="1">MAX('Hilfstabellen_Mat&amp;Bem'!AD175,'Hilfstabellen_Mat&amp;Bem'!AD200)</f>
        <v>240</v>
      </c>
      <c r="AD27" s="815">
        <f ca="1">MAX('Hilfstabellen_Mat&amp;Bem'!AE175,'Hilfstabellen_Mat&amp;Bem'!AE200)</f>
        <v>240</v>
      </c>
      <c r="AE27" s="815">
        <f ca="1">MAX('Hilfstabellen_Mat&amp;Bem'!AF175,'Hilfstabellen_Mat&amp;Bem'!AF200)</f>
        <v>240</v>
      </c>
      <c r="AF27" s="815">
        <f ca="1">MAX('Hilfstabellen_Mat&amp;Bem'!AG175,'Hilfstabellen_Mat&amp;Bem'!AG200)</f>
        <v>240</v>
      </c>
      <c r="AG27" s="815">
        <f ca="1">MAX('Hilfstabellen_Mat&amp;Bem'!AH175,'Hilfstabellen_Mat&amp;Bem'!AH200)</f>
        <v>280</v>
      </c>
      <c r="AH27" s="825">
        <f ca="1">MAX('Hilfstabellen_Mat&amp;Bem'!AI175,'Hilfstabellen_Mat&amp;Bem'!AI200)</f>
        <v>280</v>
      </c>
      <c r="AI27" s="825">
        <f ca="1">MAX('Hilfstabellen_Mat&amp;Bem'!AJ175,'Hilfstabellen_Mat&amp;Bem'!AJ200)</f>
        <v>280</v>
      </c>
      <c r="AJ27" s="825">
        <f ca="1">MAX('Hilfstabellen_Mat&amp;Bem'!AK175,'Hilfstabellen_Mat&amp;Bem'!AK200)</f>
        <v>280</v>
      </c>
      <c r="AK27" s="794">
        <f ca="1">MAX('Hilfstabellen_Mat&amp;Bem'!AL175,'Hilfstabellen_Mat&amp;Bem'!AL200)</f>
        <v>240</v>
      </c>
      <c r="AL27" s="763">
        <f ca="1">MAX('Hilfstabellen_Mat&amp;Bem'!AM175,'Hilfstabellen_Mat&amp;Bem'!AM200)</f>
        <v>240</v>
      </c>
      <c r="AM27" s="763">
        <f ca="1">MAX('Hilfstabellen_Mat&amp;Bem'!AN175,'Hilfstabellen_Mat&amp;Bem'!AN200)</f>
        <v>240</v>
      </c>
      <c r="AN27" s="815">
        <f ca="1">MAX('Hilfstabellen_Mat&amp;Bem'!AO175,'Hilfstabellen_Mat&amp;Bem'!AO200)</f>
        <v>280</v>
      </c>
      <c r="AO27" s="815">
        <f ca="1">MAX('Hilfstabellen_Mat&amp;Bem'!AP175,'Hilfstabellen_Mat&amp;Bem'!AP200)</f>
        <v>280</v>
      </c>
      <c r="AP27" s="815">
        <f ca="1">MAX('Hilfstabellen_Mat&amp;Bem'!AQ175,'Hilfstabellen_Mat&amp;Bem'!AQ200)</f>
        <v>280</v>
      </c>
      <c r="AQ27" s="825">
        <f ca="1">MAX('Hilfstabellen_Mat&amp;Bem'!AR175,'Hilfstabellen_Mat&amp;Bem'!AR200)</f>
        <v>280</v>
      </c>
      <c r="AR27" s="825">
        <f ca="1">MAX('Hilfstabellen_Mat&amp;Bem'!AS175,'Hilfstabellen_Mat&amp;Bem'!AS200)</f>
        <v>280</v>
      </c>
      <c r="AS27" s="825">
        <f ca="1">MAX('Hilfstabellen_Mat&amp;Bem'!AT175,'Hilfstabellen_Mat&amp;Bem'!AT200)</f>
        <v>280</v>
      </c>
      <c r="AT27" s="794">
        <f ca="1">MAX('Hilfstabellen_Mat&amp;Bem'!AU175,'Hilfstabellen_Mat&amp;Bem'!AU200)</f>
        <v>240</v>
      </c>
      <c r="AU27" s="763">
        <f ca="1">MAX('Hilfstabellen_Mat&amp;Bem'!AV175,'Hilfstabellen_Mat&amp;Bem'!AV200)</f>
        <v>240</v>
      </c>
      <c r="AV27" s="763">
        <f ca="1">MAX('Hilfstabellen_Mat&amp;Bem'!AW175,'Hilfstabellen_Mat&amp;Bem'!AW200)</f>
        <v>240</v>
      </c>
      <c r="AW27" s="763">
        <f ca="1">MAX('Hilfstabellen_Mat&amp;Bem'!AX175,'Hilfstabellen_Mat&amp;Bem'!AX200)</f>
        <v>240</v>
      </c>
      <c r="AX27" s="815">
        <f ca="1">MAX('Hilfstabellen_Mat&amp;Bem'!AY175,'Hilfstabellen_Mat&amp;Bem'!AY200)</f>
        <v>280</v>
      </c>
      <c r="AY27" s="815">
        <f ca="1">MAX('Hilfstabellen_Mat&amp;Bem'!AZ175,'Hilfstabellen_Mat&amp;Bem'!AZ200)</f>
        <v>280</v>
      </c>
      <c r="AZ27" s="825">
        <f ca="1">MAX('Hilfstabellen_Mat&amp;Bem'!BA175,'Hilfstabellen_Mat&amp;Bem'!BA200)</f>
        <v>280</v>
      </c>
      <c r="BA27" s="825">
        <f ca="1">MAX('Hilfstabellen_Mat&amp;Bem'!BB175,'Hilfstabellen_Mat&amp;Bem'!BB200)</f>
        <v>280</v>
      </c>
      <c r="BB27" s="825">
        <f ca="1">MAX('Hilfstabellen_Mat&amp;Bem'!BC175,'Hilfstabellen_Mat&amp;Bem'!BC200)</f>
        <v>280</v>
      </c>
      <c r="BC27" s="794">
        <f ca="1">MAX('Hilfstabellen_Mat&amp;Bem'!BD175,'Hilfstabellen_Mat&amp;Bem'!BD200)</f>
        <v>240</v>
      </c>
      <c r="BD27" s="763">
        <f ca="1">MAX('Hilfstabellen_Mat&amp;Bem'!BE175,'Hilfstabellen_Mat&amp;Bem'!BE200)</f>
        <v>240</v>
      </c>
      <c r="BE27" s="763">
        <f ca="1">MAX('Hilfstabellen_Mat&amp;Bem'!BF175,'Hilfstabellen_Mat&amp;Bem'!BF200)</f>
        <v>240</v>
      </c>
      <c r="BF27" s="763">
        <f ca="1">MAX('Hilfstabellen_Mat&amp;Bem'!BG175,'Hilfstabellen_Mat&amp;Bem'!BG200)</f>
        <v>280</v>
      </c>
      <c r="BG27" s="763">
        <f ca="1">MAX('Hilfstabellen_Mat&amp;Bem'!BH175,'Hilfstabellen_Mat&amp;Bem'!BH200)</f>
        <v>280</v>
      </c>
      <c r="BH27" s="815">
        <f ca="1">MAX('Hilfstabellen_Mat&amp;Bem'!BI175,'Hilfstabellen_Mat&amp;Bem'!BI200)</f>
        <v>280</v>
      </c>
      <c r="BI27" s="825">
        <f ca="1">MAX('Hilfstabellen_Mat&amp;Bem'!BJ175,'Hilfstabellen_Mat&amp;Bem'!BJ200)</f>
        <v>280</v>
      </c>
      <c r="BJ27" s="825">
        <f ca="1">MAX('Hilfstabellen_Mat&amp;Bem'!BK175,'Hilfstabellen_Mat&amp;Bem'!BK200)</f>
        <v>320</v>
      </c>
      <c r="BK27" s="825">
        <f ca="1">MAX('Hilfstabellen_Mat&amp;Bem'!BL175,'Hilfstabellen_Mat&amp;Bem'!BL200)</f>
        <v>320</v>
      </c>
      <c r="BL27" s="794">
        <f ca="1">MAX('Hilfstabellen_Mat&amp;Bem'!BM175,'Hilfstabellen_Mat&amp;Bem'!BM200)</f>
        <v>280</v>
      </c>
      <c r="BM27" s="763">
        <f ca="1">MAX('Hilfstabellen_Mat&amp;Bem'!BN175,'Hilfstabellen_Mat&amp;Bem'!BN200)</f>
        <v>280</v>
      </c>
      <c r="BN27" s="763">
        <f ca="1">MAX('Hilfstabellen_Mat&amp;Bem'!BO175,'Hilfstabellen_Mat&amp;Bem'!BO200)</f>
        <v>280</v>
      </c>
      <c r="BO27" s="763">
        <f ca="1">MAX('Hilfstabellen_Mat&amp;Bem'!BP175,'Hilfstabellen_Mat&amp;Bem'!BP200)</f>
        <v>280</v>
      </c>
      <c r="BP27" s="763">
        <f ca="1">MAX('Hilfstabellen_Mat&amp;Bem'!BQ175,'Hilfstabellen_Mat&amp;Bem'!BQ200)</f>
        <v>280</v>
      </c>
      <c r="BQ27" s="763">
        <f ca="1">MAX('Hilfstabellen_Mat&amp;Bem'!BR175,'Hilfstabellen_Mat&amp;Bem'!BR200)</f>
        <v>280</v>
      </c>
      <c r="BR27" s="825">
        <f ca="1">MAX('Hilfstabellen_Mat&amp;Bem'!BS175,'Hilfstabellen_Mat&amp;Bem'!BS200)</f>
        <v>320</v>
      </c>
      <c r="BS27" s="825">
        <f ca="1">MAX('Hilfstabellen_Mat&amp;Bem'!BT175,'Hilfstabellen_Mat&amp;Bem'!BT200)</f>
        <v>320</v>
      </c>
      <c r="BT27" s="825">
        <f ca="1">MAX('Hilfstabellen_Mat&amp;Bem'!BU175,'Hilfstabellen_Mat&amp;Bem'!BU200)</f>
        <v>320</v>
      </c>
    </row>
    <row r="28" spans="1:72">
      <c r="A28" s="807"/>
      <c r="B28" s="807" t="s">
        <v>1561</v>
      </c>
      <c r="C28" s="809">
        <f ca="1">C27^2</f>
        <v>57600</v>
      </c>
      <c r="D28" s="809">
        <f t="shared" ref="D28:K28" ca="1" si="47">D27^2</f>
        <v>57600</v>
      </c>
      <c r="E28" s="809">
        <f t="shared" ca="1" si="47"/>
        <v>57600</v>
      </c>
      <c r="F28" s="809">
        <f t="shared" ca="1" si="47"/>
        <v>57600</v>
      </c>
      <c r="G28" s="809">
        <f t="shared" ca="1" si="47"/>
        <v>78400</v>
      </c>
      <c r="H28" s="809">
        <f t="shared" ca="1" si="47"/>
        <v>78400</v>
      </c>
      <c r="I28" s="809">
        <f t="shared" ca="1" si="47"/>
        <v>102400</v>
      </c>
      <c r="J28" s="795">
        <f t="shared" ca="1" si="47"/>
        <v>57600</v>
      </c>
      <c r="K28" s="766">
        <f t="shared" ca="1" si="47"/>
        <v>57600</v>
      </c>
      <c r="L28" s="809">
        <f ca="1">L27^2</f>
        <v>57600</v>
      </c>
      <c r="M28" s="809">
        <f t="shared" ref="M28:BT28" ca="1" si="48">M27^2</f>
        <v>57600</v>
      </c>
      <c r="N28" s="809">
        <f t="shared" ca="1" si="48"/>
        <v>57600</v>
      </c>
      <c r="O28" s="809">
        <f t="shared" ca="1" si="48"/>
        <v>57600</v>
      </c>
      <c r="P28" s="826">
        <f t="shared" ca="1" si="48"/>
        <v>78400</v>
      </c>
      <c r="Q28" s="826">
        <f t="shared" ca="1" si="48"/>
        <v>78400</v>
      </c>
      <c r="R28" s="826">
        <f t="shared" ca="1" si="48"/>
        <v>78400</v>
      </c>
      <c r="S28" s="823">
        <f t="shared" ca="1" si="48"/>
        <v>57600</v>
      </c>
      <c r="T28" s="766">
        <f t="shared" ref="T28:AA28" ca="1" si="49">T27^2</f>
        <v>57600</v>
      </c>
      <c r="U28" s="809">
        <f t="shared" ca="1" si="49"/>
        <v>57600</v>
      </c>
      <c r="V28" s="809">
        <f t="shared" ca="1" si="49"/>
        <v>57600</v>
      </c>
      <c r="W28" s="809">
        <f t="shared" ca="1" si="49"/>
        <v>57600</v>
      </c>
      <c r="X28" s="809">
        <f t="shared" ca="1" si="49"/>
        <v>78400</v>
      </c>
      <c r="Y28" s="826">
        <f t="shared" ca="1" si="49"/>
        <v>78400</v>
      </c>
      <c r="Z28" s="826">
        <f t="shared" ca="1" si="49"/>
        <v>78400</v>
      </c>
      <c r="AA28" s="826">
        <f t="shared" ca="1" si="49"/>
        <v>78400</v>
      </c>
      <c r="AB28" s="823">
        <f t="shared" ca="1" si="48"/>
        <v>57600</v>
      </c>
      <c r="AC28" s="809">
        <f t="shared" ca="1" si="48"/>
        <v>57600</v>
      </c>
      <c r="AD28" s="809">
        <f t="shared" ca="1" si="48"/>
        <v>57600</v>
      </c>
      <c r="AE28" s="809">
        <f t="shared" ca="1" si="48"/>
        <v>57600</v>
      </c>
      <c r="AF28" s="809">
        <f t="shared" ca="1" si="48"/>
        <v>57600</v>
      </c>
      <c r="AG28" s="809">
        <f t="shared" ca="1" si="48"/>
        <v>78400</v>
      </c>
      <c r="AH28" s="826">
        <f t="shared" ca="1" si="48"/>
        <v>78400</v>
      </c>
      <c r="AI28" s="826">
        <f t="shared" ca="1" si="48"/>
        <v>78400</v>
      </c>
      <c r="AJ28" s="826">
        <f t="shared" ca="1" si="48"/>
        <v>78400</v>
      </c>
      <c r="AK28" s="795">
        <f t="shared" ca="1" si="48"/>
        <v>57600</v>
      </c>
      <c r="AL28" s="766">
        <f t="shared" ca="1" si="48"/>
        <v>57600</v>
      </c>
      <c r="AM28" s="766">
        <f t="shared" ca="1" si="48"/>
        <v>57600</v>
      </c>
      <c r="AN28" s="809">
        <f t="shared" ca="1" si="48"/>
        <v>78400</v>
      </c>
      <c r="AO28" s="809">
        <f t="shared" ca="1" si="48"/>
        <v>78400</v>
      </c>
      <c r="AP28" s="809">
        <f t="shared" ca="1" si="48"/>
        <v>78400</v>
      </c>
      <c r="AQ28" s="826">
        <f t="shared" ca="1" si="48"/>
        <v>78400</v>
      </c>
      <c r="AR28" s="826">
        <f t="shared" ca="1" si="48"/>
        <v>78400</v>
      </c>
      <c r="AS28" s="826">
        <f t="shared" ca="1" si="48"/>
        <v>78400</v>
      </c>
      <c r="AT28" s="795">
        <f t="shared" ca="1" si="48"/>
        <v>57600</v>
      </c>
      <c r="AU28" s="766">
        <f t="shared" ca="1" si="48"/>
        <v>57600</v>
      </c>
      <c r="AV28" s="766">
        <f t="shared" ca="1" si="48"/>
        <v>57600</v>
      </c>
      <c r="AW28" s="766">
        <f t="shared" ca="1" si="48"/>
        <v>57600</v>
      </c>
      <c r="AX28" s="809">
        <f t="shared" ca="1" si="48"/>
        <v>78400</v>
      </c>
      <c r="AY28" s="809">
        <f t="shared" ca="1" si="48"/>
        <v>78400</v>
      </c>
      <c r="AZ28" s="826">
        <f t="shared" ca="1" si="48"/>
        <v>78400</v>
      </c>
      <c r="BA28" s="826">
        <f t="shared" ca="1" si="48"/>
        <v>78400</v>
      </c>
      <c r="BB28" s="826">
        <f t="shared" ca="1" si="48"/>
        <v>78400</v>
      </c>
      <c r="BC28" s="795">
        <f t="shared" ca="1" si="48"/>
        <v>57600</v>
      </c>
      <c r="BD28" s="766">
        <f t="shared" ca="1" si="48"/>
        <v>57600</v>
      </c>
      <c r="BE28" s="766">
        <f t="shared" ca="1" si="48"/>
        <v>57600</v>
      </c>
      <c r="BF28" s="766">
        <f t="shared" ca="1" si="48"/>
        <v>78400</v>
      </c>
      <c r="BG28" s="766">
        <f t="shared" ca="1" si="48"/>
        <v>78400</v>
      </c>
      <c r="BH28" s="809">
        <f t="shared" ca="1" si="48"/>
        <v>78400</v>
      </c>
      <c r="BI28" s="826">
        <f t="shared" ca="1" si="48"/>
        <v>78400</v>
      </c>
      <c r="BJ28" s="826">
        <f t="shared" ca="1" si="48"/>
        <v>102400</v>
      </c>
      <c r="BK28" s="826">
        <f t="shared" ca="1" si="48"/>
        <v>102400</v>
      </c>
      <c r="BL28" s="795">
        <f t="shared" ca="1" si="48"/>
        <v>78400</v>
      </c>
      <c r="BM28" s="766">
        <f t="shared" ca="1" si="48"/>
        <v>78400</v>
      </c>
      <c r="BN28" s="766">
        <f t="shared" ca="1" si="48"/>
        <v>78400</v>
      </c>
      <c r="BO28" s="766">
        <f t="shared" ca="1" si="48"/>
        <v>78400</v>
      </c>
      <c r="BP28" s="766">
        <f t="shared" ca="1" si="48"/>
        <v>78400</v>
      </c>
      <c r="BQ28" s="766">
        <f t="shared" ca="1" si="48"/>
        <v>78400</v>
      </c>
      <c r="BR28" s="826">
        <f t="shared" ca="1" si="48"/>
        <v>102400</v>
      </c>
      <c r="BS28" s="826">
        <f t="shared" ca="1" si="48"/>
        <v>102400</v>
      </c>
      <c r="BT28" s="826">
        <f t="shared" ca="1" si="48"/>
        <v>102400</v>
      </c>
    </row>
    <row r="29" spans="1:72" s="801" customFormat="1">
      <c r="A29" s="810"/>
      <c r="B29" s="810" t="s">
        <v>1623</v>
      </c>
      <c r="C29" s="811">
        <f ca="1">C26*C27/1000*C27/1000</f>
        <v>0.17279999999999998</v>
      </c>
      <c r="D29" s="811">
        <f t="shared" ref="D29:BO29" ca="1" si="50">D26*D27/1000*D27/1000</f>
        <v>0.17279999999999998</v>
      </c>
      <c r="E29" s="811">
        <f t="shared" ca="1" si="50"/>
        <v>0.17279999999999998</v>
      </c>
      <c r="F29" s="811">
        <f t="shared" ca="1" si="50"/>
        <v>0.17856</v>
      </c>
      <c r="G29" s="811">
        <f t="shared" ca="1" si="50"/>
        <v>0.25087999999999999</v>
      </c>
      <c r="H29" s="811">
        <f t="shared" ca="1" si="50"/>
        <v>0.25872000000000001</v>
      </c>
      <c r="I29" s="811">
        <f t="shared" ca="1" si="50"/>
        <v>0.34816000000000003</v>
      </c>
      <c r="J29" s="802">
        <f t="shared" ca="1" si="50"/>
        <v>0.17279999999999998</v>
      </c>
      <c r="K29" s="802">
        <f t="shared" ca="1" si="50"/>
        <v>0.17279999999999998</v>
      </c>
      <c r="L29" s="811">
        <f t="shared" ca="1" si="50"/>
        <v>0.17856</v>
      </c>
      <c r="M29" s="811">
        <f t="shared" ca="1" si="50"/>
        <v>0.17856</v>
      </c>
      <c r="N29" s="811">
        <f t="shared" ca="1" si="50"/>
        <v>0.18431999999999998</v>
      </c>
      <c r="O29" s="811">
        <f t="shared" ca="1" si="50"/>
        <v>0.18431999999999998</v>
      </c>
      <c r="P29" s="819">
        <f t="shared" ca="1" si="50"/>
        <v>0.25872000000000001</v>
      </c>
      <c r="Q29" s="819">
        <f t="shared" ca="1" si="50"/>
        <v>0.25872000000000001</v>
      </c>
      <c r="R29" s="819">
        <f t="shared" ca="1" si="50"/>
        <v>0.25872000000000001</v>
      </c>
      <c r="S29" s="811">
        <f t="shared" ca="1" si="50"/>
        <v>0.17279999999999998</v>
      </c>
      <c r="T29" s="802">
        <f t="shared" ca="1" si="50"/>
        <v>0.17279999999999998</v>
      </c>
      <c r="U29" s="811">
        <f t="shared" ca="1" si="50"/>
        <v>0.17856</v>
      </c>
      <c r="V29" s="811">
        <f t="shared" ca="1" si="50"/>
        <v>0.17856</v>
      </c>
      <c r="W29" s="811">
        <f t="shared" ca="1" si="50"/>
        <v>0.18431999999999998</v>
      </c>
      <c r="X29" s="811">
        <f t="shared" ca="1" si="50"/>
        <v>0.25087999999999999</v>
      </c>
      <c r="Y29" s="819">
        <f t="shared" ca="1" si="50"/>
        <v>0.25872000000000001</v>
      </c>
      <c r="Z29" s="819">
        <f t="shared" ca="1" si="50"/>
        <v>0.25872000000000001</v>
      </c>
      <c r="AA29" s="819">
        <f t="shared" ca="1" si="50"/>
        <v>0.25872000000000001</v>
      </c>
      <c r="AB29" s="811">
        <f t="shared" ca="1" si="50"/>
        <v>0.17279999999999998</v>
      </c>
      <c r="AC29" s="811">
        <f t="shared" ca="1" si="50"/>
        <v>0.17279999999999998</v>
      </c>
      <c r="AD29" s="811">
        <f t="shared" ca="1" si="50"/>
        <v>0.17856</v>
      </c>
      <c r="AE29" s="811">
        <f t="shared" ca="1" si="50"/>
        <v>0.17856</v>
      </c>
      <c r="AF29" s="811">
        <f t="shared" ca="1" si="50"/>
        <v>0.18431999999999998</v>
      </c>
      <c r="AG29" s="811">
        <f t="shared" ca="1" si="50"/>
        <v>0.25087999999999999</v>
      </c>
      <c r="AH29" s="819">
        <f t="shared" ca="1" si="50"/>
        <v>0.25872000000000001</v>
      </c>
      <c r="AI29" s="819">
        <f t="shared" ca="1" si="50"/>
        <v>0.25872000000000001</v>
      </c>
      <c r="AJ29" s="819">
        <f t="shared" ca="1" si="50"/>
        <v>0.25872000000000001</v>
      </c>
      <c r="AK29" s="802">
        <f t="shared" ca="1" si="50"/>
        <v>0.17279999999999998</v>
      </c>
      <c r="AL29" s="802">
        <f t="shared" ca="1" si="50"/>
        <v>0.17279999999999998</v>
      </c>
      <c r="AM29" s="802">
        <f t="shared" ca="1" si="50"/>
        <v>0.17856</v>
      </c>
      <c r="AN29" s="811">
        <f t="shared" ca="1" si="50"/>
        <v>0.25087999999999999</v>
      </c>
      <c r="AO29" s="811">
        <f t="shared" ca="1" si="50"/>
        <v>0.25087999999999999</v>
      </c>
      <c r="AP29" s="811">
        <f t="shared" ca="1" si="50"/>
        <v>0.25872000000000001</v>
      </c>
      <c r="AQ29" s="819">
        <f t="shared" ca="1" si="50"/>
        <v>0.25872000000000001</v>
      </c>
      <c r="AR29" s="819">
        <f t="shared" ca="1" si="50"/>
        <v>0.26656000000000002</v>
      </c>
      <c r="AS29" s="819">
        <f t="shared" ca="1" si="50"/>
        <v>0.26656000000000002</v>
      </c>
      <c r="AT29" s="802">
        <f t="shared" ca="1" si="50"/>
        <v>0.17856</v>
      </c>
      <c r="AU29" s="802">
        <f t="shared" ca="1" si="50"/>
        <v>0.17856</v>
      </c>
      <c r="AV29" s="802">
        <f t="shared" ca="1" si="50"/>
        <v>0.17856</v>
      </c>
      <c r="AW29" s="802">
        <f t="shared" ca="1" si="50"/>
        <v>0.17856</v>
      </c>
      <c r="AX29" s="811">
        <f t="shared" ca="1" si="50"/>
        <v>0.25872000000000001</v>
      </c>
      <c r="AY29" s="811">
        <f t="shared" ca="1" si="50"/>
        <v>0.25872000000000001</v>
      </c>
      <c r="AZ29" s="819">
        <f t="shared" ca="1" si="50"/>
        <v>0.26656000000000002</v>
      </c>
      <c r="BA29" s="819">
        <f t="shared" ca="1" si="50"/>
        <v>0.26656000000000002</v>
      </c>
      <c r="BB29" s="819">
        <f t="shared" ca="1" si="50"/>
        <v>0.27439999999999998</v>
      </c>
      <c r="BC29" s="802">
        <f t="shared" ca="1" si="50"/>
        <v>0.17856</v>
      </c>
      <c r="BD29" s="802">
        <f t="shared" ca="1" si="50"/>
        <v>0.17856</v>
      </c>
      <c r="BE29" s="802">
        <f t="shared" ca="1" si="50"/>
        <v>0.17856</v>
      </c>
      <c r="BF29" s="802">
        <f t="shared" ca="1" si="50"/>
        <v>0.25087999999999999</v>
      </c>
      <c r="BG29" s="802">
        <f t="shared" ca="1" si="50"/>
        <v>0.25087999999999999</v>
      </c>
      <c r="BH29" s="811">
        <f t="shared" ca="1" si="50"/>
        <v>0.26656000000000002</v>
      </c>
      <c r="BI29" s="819">
        <f t="shared" ca="1" si="50"/>
        <v>0.26656000000000002</v>
      </c>
      <c r="BJ29" s="819">
        <f t="shared" ca="1" si="50"/>
        <v>0.35840000000000005</v>
      </c>
      <c r="BK29" s="819">
        <f t="shared" ca="1" si="50"/>
        <v>0.35840000000000005</v>
      </c>
      <c r="BL29" s="802">
        <f t="shared" ca="1" si="50"/>
        <v>0.25087999999999999</v>
      </c>
      <c r="BM29" s="802">
        <f t="shared" ca="1" si="50"/>
        <v>0.25087999999999999</v>
      </c>
      <c r="BN29" s="802">
        <f t="shared" ca="1" si="50"/>
        <v>0.25087999999999999</v>
      </c>
      <c r="BO29" s="802">
        <f t="shared" ca="1" si="50"/>
        <v>0.25087999999999999</v>
      </c>
      <c r="BP29" s="802">
        <f ca="1">BP26*BP27/1000*BP27/1000</f>
        <v>0.25872000000000001</v>
      </c>
      <c r="BQ29" s="802">
        <f ca="1">BQ26*BQ27/1000*BQ27/1000</f>
        <v>0.26656000000000002</v>
      </c>
      <c r="BR29" s="819">
        <f ca="1">BR26*BR27/1000*BR27/1000</f>
        <v>0.35840000000000005</v>
      </c>
      <c r="BS29" s="819">
        <f ca="1">BS26*BS27/1000*BS27/1000</f>
        <v>0.35840000000000005</v>
      </c>
      <c r="BT29" s="819">
        <f ca="1">BT26*BT27/1000*BT27/1000</f>
        <v>0.36863999999999997</v>
      </c>
    </row>
    <row r="30" spans="1:72">
      <c r="A30" s="807"/>
      <c r="B30" s="808"/>
      <c r="C30" s="815"/>
      <c r="D30" s="815"/>
      <c r="E30" s="815"/>
      <c r="F30" s="815"/>
      <c r="G30" s="815"/>
      <c r="H30" s="815"/>
      <c r="I30" s="815"/>
      <c r="J30" s="763"/>
      <c r="K30" s="763"/>
      <c r="L30" s="815"/>
      <c r="M30" s="807"/>
      <c r="N30" s="807"/>
      <c r="O30" s="807"/>
      <c r="P30" s="818"/>
      <c r="Q30" s="818"/>
      <c r="R30" s="818"/>
      <c r="S30" s="807"/>
      <c r="U30" s="827"/>
      <c r="V30" s="807"/>
      <c r="W30" s="807"/>
      <c r="X30" s="807"/>
      <c r="Y30" s="818"/>
      <c r="Z30" s="818"/>
      <c r="AA30" s="818"/>
      <c r="AB30" s="807"/>
      <c r="AC30" s="807"/>
      <c r="AD30" s="807"/>
      <c r="AE30" s="807"/>
      <c r="AF30" s="807"/>
      <c r="AG30" s="807"/>
      <c r="AH30" s="818"/>
      <c r="AI30" s="818"/>
      <c r="AJ30" s="818"/>
      <c r="AN30" s="807"/>
      <c r="AO30" s="807"/>
      <c r="AP30" s="807"/>
      <c r="AQ30" s="818"/>
      <c r="AR30" s="818"/>
      <c r="AS30" s="818"/>
      <c r="AX30" s="807"/>
      <c r="AY30" s="807"/>
      <c r="AZ30" s="818"/>
      <c r="BA30" s="818"/>
      <c r="BB30" s="818"/>
      <c r="BH30" s="807"/>
      <c r="BI30" s="818"/>
      <c r="BJ30" s="818"/>
      <c r="BK30" s="818"/>
      <c r="BR30" s="818"/>
      <c r="BS30" s="818"/>
      <c r="BT30" s="818"/>
    </row>
    <row r="31" spans="1:72">
      <c r="A31" s="807"/>
      <c r="B31" s="810" t="s">
        <v>1624</v>
      </c>
      <c r="C31" s="811">
        <f ca="1">C29+C19+C12</f>
        <v>1.1427</v>
      </c>
      <c r="D31" s="811">
        <f t="shared" ref="D31:BO31" ca="1" si="51">D29+D19+D12</f>
        <v>1.31166</v>
      </c>
      <c r="E31" s="811">
        <f t="shared" ca="1" si="51"/>
        <v>1.4256</v>
      </c>
      <c r="F31" s="811">
        <f t="shared" ca="1" si="51"/>
        <v>2.1623600000000001</v>
      </c>
      <c r="G31" s="811">
        <f t="shared" ca="1" si="51"/>
        <v>3.21408</v>
      </c>
      <c r="H31" s="811">
        <f t="shared" ca="1" si="51"/>
        <v>4.4581200000000001</v>
      </c>
      <c r="I31" s="811">
        <f t="shared" ca="1" si="51"/>
        <v>6.6801599999999999</v>
      </c>
      <c r="J31" s="802">
        <f t="shared" ca="1" si="51"/>
        <v>1.2432600000000003</v>
      </c>
      <c r="K31" s="802">
        <f t="shared" ca="1" si="51"/>
        <v>1.2995999999999999</v>
      </c>
      <c r="L31" s="811">
        <f t="shared" ca="1" si="51"/>
        <v>1.5267599999999999</v>
      </c>
      <c r="M31" s="811">
        <f t="shared" ca="1" si="51"/>
        <v>1.75776</v>
      </c>
      <c r="N31" s="811">
        <f t="shared" ca="1" si="51"/>
        <v>2.04732</v>
      </c>
      <c r="O31" s="811">
        <f t="shared" ca="1" si="51"/>
        <v>2.3023199999999999</v>
      </c>
      <c r="P31" s="819">
        <f t="shared" ca="1" si="51"/>
        <v>2.5970800000000001</v>
      </c>
      <c r="Q31" s="819">
        <f t="shared" ca="1" si="51"/>
        <v>2.8374000000000006</v>
      </c>
      <c r="R31" s="819">
        <f t="shared" ca="1" si="51"/>
        <v>3.0403199999999995</v>
      </c>
      <c r="S31" s="811">
        <f t="shared" ca="1" si="51"/>
        <v>1.2063000000000001</v>
      </c>
      <c r="T31" s="802">
        <f t="shared" ca="1" si="51"/>
        <v>1.3715999999999999</v>
      </c>
      <c r="U31" s="811">
        <f t="shared" ca="1" si="51"/>
        <v>1.61076</v>
      </c>
      <c r="V31" s="811">
        <f t="shared" ca="1" si="51"/>
        <v>1.8537600000000001</v>
      </c>
      <c r="W31" s="811">
        <f t="shared" ca="1" si="51"/>
        <v>2.1553200000000001</v>
      </c>
      <c r="X31" s="811">
        <f t="shared" ca="1" si="51"/>
        <v>2.5768800000000001</v>
      </c>
      <c r="Y31" s="819">
        <f t="shared" ca="1" si="51"/>
        <v>2.7836400000000001</v>
      </c>
      <c r="Z31" s="819">
        <f t="shared" ca="1" si="51"/>
        <v>3.0380400000000001</v>
      </c>
      <c r="AA31" s="819">
        <f t="shared" ca="1" si="51"/>
        <v>3.2515200000000002</v>
      </c>
      <c r="AB31" s="811">
        <f t="shared" ca="1" si="51"/>
        <v>1.2794399999999999</v>
      </c>
      <c r="AC31" s="811">
        <f t="shared" ca="1" si="51"/>
        <v>1.3629600000000002</v>
      </c>
      <c r="AD31" s="811">
        <f t="shared" ca="1" si="51"/>
        <v>1.6737600000000001</v>
      </c>
      <c r="AE31" s="811">
        <f t="shared" ca="1" si="51"/>
        <v>1.9641599999999999</v>
      </c>
      <c r="AF31" s="811">
        <f t="shared" ca="1" si="51"/>
        <v>2.2363200000000001</v>
      </c>
      <c r="AG31" s="811">
        <f t="shared" ca="1" si="51"/>
        <v>2.6668799999999999</v>
      </c>
      <c r="AH31" s="819">
        <f t="shared" ca="1" si="51"/>
        <v>2.8790399999999998</v>
      </c>
      <c r="AI31" s="819">
        <f t="shared" ca="1" si="51"/>
        <v>3.1406400000000003</v>
      </c>
      <c r="AJ31" s="819">
        <f t="shared" ca="1" si="51"/>
        <v>3.3595199999999998</v>
      </c>
      <c r="AK31" s="802">
        <f t="shared" ca="1" si="51"/>
        <v>1.6239399999999999</v>
      </c>
      <c r="AL31" s="802">
        <f t="shared" ca="1" si="51"/>
        <v>1.73346</v>
      </c>
      <c r="AM31" s="802">
        <f t="shared" ca="1" si="51"/>
        <v>1.85016</v>
      </c>
      <c r="AN31" s="811">
        <f t="shared" ca="1" si="51"/>
        <v>2.61408</v>
      </c>
      <c r="AO31" s="811">
        <f t="shared" ca="1" si="51"/>
        <v>2.9598800000000001</v>
      </c>
      <c r="AP31" s="811">
        <f t="shared" ca="1" si="51"/>
        <v>3.3247200000000001</v>
      </c>
      <c r="AQ31" s="819">
        <f t="shared" ca="1" si="51"/>
        <v>3.5680399999999999</v>
      </c>
      <c r="AR31" s="819">
        <f t="shared" ca="1" si="51"/>
        <v>3.9533200000000002</v>
      </c>
      <c r="AS31" s="819">
        <f t="shared" ca="1" si="51"/>
        <v>4.2145600000000005</v>
      </c>
      <c r="AT31" s="802">
        <f t="shared" ca="1" si="51"/>
        <v>2.0272000000000001</v>
      </c>
      <c r="AU31" s="802">
        <f t="shared" ca="1" si="51"/>
        <v>2.19408</v>
      </c>
      <c r="AV31" s="802">
        <f t="shared" ca="1" si="51"/>
        <v>2.30016</v>
      </c>
      <c r="AW31" s="802">
        <f t="shared" ca="1" si="51"/>
        <v>2.6873600000000004</v>
      </c>
      <c r="AX31" s="811">
        <f t="shared" ca="1" si="51"/>
        <v>3.69312</v>
      </c>
      <c r="AY31" s="811">
        <f t="shared" ca="1" si="51"/>
        <v>4.1307200000000002</v>
      </c>
      <c r="AZ31" s="819">
        <f t="shared" ca="1" si="51"/>
        <v>4.4302399999999995</v>
      </c>
      <c r="BA31" s="819">
        <f t="shared" ca="1" si="51"/>
        <v>4.8083200000000001</v>
      </c>
      <c r="BB31" s="819">
        <f t="shared" ca="1" si="51"/>
        <v>5.1223999999999998</v>
      </c>
      <c r="BC31" s="802">
        <f t="shared" ca="1" si="51"/>
        <v>2.5031400000000001</v>
      </c>
      <c r="BD31" s="802">
        <f t="shared" ca="1" si="51"/>
        <v>2.6785800000000002</v>
      </c>
      <c r="BE31" s="802">
        <f t="shared" ca="1" si="51"/>
        <v>2.8101600000000002</v>
      </c>
      <c r="BF31" s="802">
        <f t="shared" ca="1" si="51"/>
        <v>3.3994800000000001</v>
      </c>
      <c r="BG31" s="802">
        <f t="shared" ca="1" si="51"/>
        <v>3.8940800000000002</v>
      </c>
      <c r="BH31" s="811">
        <f t="shared" ca="1" si="51"/>
        <v>5.0445599999999997</v>
      </c>
      <c r="BI31" s="819">
        <f t="shared" ca="1" si="51"/>
        <v>5.3906000000000001</v>
      </c>
      <c r="BJ31" s="819">
        <f t="shared" ca="1" si="51"/>
        <v>5.9968400000000006</v>
      </c>
      <c r="BK31" s="819">
        <f t="shared" ca="1" si="51"/>
        <v>6.3704000000000001</v>
      </c>
      <c r="BL31" s="802">
        <f t="shared" ca="1" si="51"/>
        <v>3.37364</v>
      </c>
      <c r="BM31" s="802">
        <f t="shared" ca="1" si="51"/>
        <v>3.6093199999999999</v>
      </c>
      <c r="BN31" s="802">
        <f t="shared" ca="1" si="51"/>
        <v>3.7860799999999997</v>
      </c>
      <c r="BO31" s="802">
        <f t="shared" ca="1" si="51"/>
        <v>4.4536800000000003</v>
      </c>
      <c r="BP31" s="802">
        <f ca="1">BP29+BP19+BP12</f>
        <v>5.1067200000000001</v>
      </c>
      <c r="BQ31" s="802">
        <f ca="1">BQ29+BQ19+BQ12</f>
        <v>5.8213600000000003</v>
      </c>
      <c r="BR31" s="819">
        <f ca="1">BR29+BR19+BR12</f>
        <v>7.1381600000000001</v>
      </c>
      <c r="BS31" s="819">
        <f ca="1">BS29+BS19+BS12</f>
        <v>7.7227999999999994</v>
      </c>
      <c r="BT31" s="819">
        <f ca="1">BT29+BT19+BT12</f>
        <v>8.1974400000000003</v>
      </c>
    </row>
    <row r="32" spans="1:72">
      <c r="B32" s="679"/>
      <c r="C32" s="763"/>
      <c r="D32" s="763"/>
      <c r="E32" s="763"/>
      <c r="F32" s="763"/>
      <c r="G32" s="763"/>
      <c r="H32" s="763"/>
      <c r="I32" s="763"/>
      <c r="J32" s="763"/>
      <c r="K32" s="763"/>
      <c r="L32" s="763"/>
      <c r="U32" s="680"/>
    </row>
    <row r="34" spans="1:43">
      <c r="A34" s="676" t="s">
        <v>1247</v>
      </c>
    </row>
    <row r="35" spans="1:43">
      <c r="A35" s="681">
        <v>1</v>
      </c>
      <c r="B35" s="681">
        <v>2</v>
      </c>
      <c r="C35" s="681">
        <v>3</v>
      </c>
      <c r="D35" s="681">
        <v>4</v>
      </c>
      <c r="E35" s="681">
        <v>5</v>
      </c>
      <c r="F35" s="681">
        <v>6</v>
      </c>
      <c r="G35" s="681">
        <v>7</v>
      </c>
      <c r="H35" s="681">
        <v>8</v>
      </c>
      <c r="I35" s="681">
        <v>9</v>
      </c>
      <c r="J35" s="681">
        <v>10</v>
      </c>
      <c r="K35" s="681">
        <v>11</v>
      </c>
      <c r="L35" s="681">
        <v>12</v>
      </c>
      <c r="M35" s="681">
        <v>13</v>
      </c>
      <c r="N35" s="681">
        <v>14</v>
      </c>
      <c r="O35" s="681">
        <v>15</v>
      </c>
      <c r="P35" s="681">
        <v>16</v>
      </c>
      <c r="Q35" s="681">
        <v>17</v>
      </c>
      <c r="R35" s="681">
        <v>18</v>
      </c>
      <c r="S35" s="681">
        <v>19</v>
      </c>
      <c r="T35" s="681">
        <v>20</v>
      </c>
      <c r="U35" s="681">
        <v>21</v>
      </c>
      <c r="V35" s="681">
        <v>22</v>
      </c>
      <c r="W35" s="681">
        <v>23</v>
      </c>
      <c r="X35" s="681">
        <v>24</v>
      </c>
      <c r="Y35" s="681">
        <v>25</v>
      </c>
      <c r="Z35" s="681">
        <v>26</v>
      </c>
      <c r="AA35" s="681">
        <v>27</v>
      </c>
      <c r="AB35" s="681">
        <v>28</v>
      </c>
      <c r="AC35" s="681">
        <v>29</v>
      </c>
      <c r="AD35" s="681">
        <v>30</v>
      </c>
      <c r="AE35" s="681">
        <v>31</v>
      </c>
      <c r="AF35" s="681">
        <v>32</v>
      </c>
      <c r="AG35" s="681">
        <v>33</v>
      </c>
      <c r="AH35" s="681">
        <v>34</v>
      </c>
      <c r="AI35" s="681">
        <v>35</v>
      </c>
      <c r="AJ35" s="681">
        <v>36</v>
      </c>
      <c r="AK35" s="681">
        <v>37</v>
      </c>
      <c r="AL35" s="681">
        <v>38</v>
      </c>
      <c r="AM35" s="681">
        <v>39</v>
      </c>
      <c r="AN35" s="681">
        <v>40</v>
      </c>
      <c r="AO35" s="681">
        <v>41</v>
      </c>
      <c r="AP35" s="681">
        <v>42</v>
      </c>
      <c r="AQ35" s="681">
        <v>43</v>
      </c>
    </row>
    <row r="36" spans="1:43">
      <c r="A36" s="682">
        <f>$C$4*A35</f>
        <v>2.65</v>
      </c>
      <c r="B36" s="683">
        <f t="shared" ref="B36:AQ36" si="52">$C$4*B35</f>
        <v>5.3</v>
      </c>
      <c r="C36" s="683">
        <f t="shared" si="52"/>
        <v>7.9499999999999993</v>
      </c>
      <c r="D36" s="683">
        <f t="shared" si="52"/>
        <v>10.6</v>
      </c>
      <c r="E36" s="683">
        <f t="shared" si="52"/>
        <v>13.25</v>
      </c>
      <c r="F36" s="683">
        <f t="shared" si="52"/>
        <v>15.899999999999999</v>
      </c>
      <c r="G36" s="683">
        <f t="shared" si="52"/>
        <v>18.55</v>
      </c>
      <c r="H36" s="683">
        <f t="shared" si="52"/>
        <v>21.2</v>
      </c>
      <c r="I36" s="683">
        <f t="shared" si="52"/>
        <v>23.849999999999998</v>
      </c>
      <c r="J36" s="684">
        <f t="shared" si="52"/>
        <v>26.5</v>
      </c>
      <c r="K36" s="684">
        <f t="shared" si="52"/>
        <v>29.15</v>
      </c>
      <c r="L36" s="684">
        <f t="shared" si="52"/>
        <v>31.799999999999997</v>
      </c>
      <c r="M36" s="684">
        <f t="shared" si="52"/>
        <v>34.449999999999996</v>
      </c>
      <c r="N36" s="684">
        <f t="shared" si="52"/>
        <v>37.1</v>
      </c>
      <c r="O36" s="684">
        <f t="shared" si="52"/>
        <v>39.75</v>
      </c>
      <c r="P36" s="684">
        <f t="shared" si="52"/>
        <v>42.4</v>
      </c>
      <c r="Q36" s="684">
        <f t="shared" si="52"/>
        <v>45.05</v>
      </c>
      <c r="R36" s="684">
        <f t="shared" si="52"/>
        <v>47.699999999999996</v>
      </c>
      <c r="S36" s="684">
        <f t="shared" si="52"/>
        <v>50.35</v>
      </c>
      <c r="T36" s="684">
        <f t="shared" si="52"/>
        <v>53</v>
      </c>
      <c r="U36" s="684">
        <f t="shared" si="52"/>
        <v>55.65</v>
      </c>
      <c r="V36" s="684">
        <f t="shared" si="52"/>
        <v>58.3</v>
      </c>
      <c r="W36" s="684">
        <f t="shared" si="52"/>
        <v>60.949999999999996</v>
      </c>
      <c r="X36" s="684">
        <f t="shared" si="52"/>
        <v>63.599999999999994</v>
      </c>
      <c r="Y36" s="684">
        <f t="shared" si="52"/>
        <v>66.25</v>
      </c>
      <c r="Z36" s="684">
        <f t="shared" si="52"/>
        <v>68.899999999999991</v>
      </c>
      <c r="AA36" s="684">
        <f t="shared" si="52"/>
        <v>71.55</v>
      </c>
      <c r="AB36" s="684">
        <f t="shared" si="52"/>
        <v>74.2</v>
      </c>
      <c r="AC36" s="684">
        <f t="shared" si="52"/>
        <v>76.849999999999994</v>
      </c>
      <c r="AD36" s="684">
        <f t="shared" si="52"/>
        <v>79.5</v>
      </c>
      <c r="AE36" s="684">
        <f t="shared" si="52"/>
        <v>82.149999999999991</v>
      </c>
      <c r="AF36" s="684">
        <f t="shared" si="52"/>
        <v>84.8</v>
      </c>
      <c r="AG36" s="684">
        <f t="shared" si="52"/>
        <v>87.45</v>
      </c>
      <c r="AH36" s="684">
        <f t="shared" si="52"/>
        <v>90.1</v>
      </c>
      <c r="AI36" s="684">
        <f t="shared" si="52"/>
        <v>92.75</v>
      </c>
      <c r="AJ36" s="684">
        <f t="shared" si="52"/>
        <v>95.399999999999991</v>
      </c>
      <c r="AK36" s="684">
        <f t="shared" si="52"/>
        <v>98.05</v>
      </c>
      <c r="AL36" s="684">
        <f t="shared" si="52"/>
        <v>100.7</v>
      </c>
      <c r="AM36" s="684">
        <f t="shared" si="52"/>
        <v>103.35</v>
      </c>
      <c r="AN36" s="684">
        <f t="shared" si="52"/>
        <v>106</v>
      </c>
      <c r="AO36" s="684">
        <f t="shared" si="52"/>
        <v>108.64999999999999</v>
      </c>
      <c r="AP36" s="684">
        <f t="shared" si="52"/>
        <v>111.3</v>
      </c>
      <c r="AQ36" s="684">
        <f t="shared" si="52"/>
        <v>113.95</v>
      </c>
    </row>
    <row r="37" spans="1:43">
      <c r="A37" s="682">
        <f>$D$4*A35</f>
        <v>2.85</v>
      </c>
      <c r="B37" s="683">
        <f t="shared" ref="B37:AQ37" si="53">$D$4*B35</f>
        <v>5.7</v>
      </c>
      <c r="C37" s="683">
        <f t="shared" si="53"/>
        <v>8.5500000000000007</v>
      </c>
      <c r="D37" s="683">
        <f t="shared" si="53"/>
        <v>11.4</v>
      </c>
      <c r="E37" s="683">
        <f t="shared" si="53"/>
        <v>14.25</v>
      </c>
      <c r="F37" s="683">
        <f t="shared" si="53"/>
        <v>17.100000000000001</v>
      </c>
      <c r="G37" s="683">
        <f t="shared" si="53"/>
        <v>19.95</v>
      </c>
      <c r="H37" s="683">
        <f t="shared" si="53"/>
        <v>22.8</v>
      </c>
      <c r="I37" s="683">
        <f t="shared" si="53"/>
        <v>25.650000000000002</v>
      </c>
      <c r="J37" s="684">
        <f t="shared" si="53"/>
        <v>28.5</v>
      </c>
      <c r="K37" s="684">
        <f t="shared" si="53"/>
        <v>31.35</v>
      </c>
      <c r="L37" s="684">
        <f t="shared" si="53"/>
        <v>34.200000000000003</v>
      </c>
      <c r="M37" s="684">
        <f t="shared" si="53"/>
        <v>37.050000000000004</v>
      </c>
      <c r="N37" s="684">
        <f t="shared" si="53"/>
        <v>39.9</v>
      </c>
      <c r="O37" s="684">
        <f t="shared" si="53"/>
        <v>42.75</v>
      </c>
      <c r="P37" s="684">
        <f t="shared" si="53"/>
        <v>45.6</v>
      </c>
      <c r="Q37" s="684">
        <f t="shared" si="53"/>
        <v>48.45</v>
      </c>
      <c r="R37" s="684">
        <f t="shared" si="53"/>
        <v>51.300000000000004</v>
      </c>
      <c r="S37" s="684">
        <f t="shared" si="53"/>
        <v>54.15</v>
      </c>
      <c r="T37" s="684">
        <f t="shared" si="53"/>
        <v>57</v>
      </c>
      <c r="U37" s="684">
        <f t="shared" si="53"/>
        <v>59.85</v>
      </c>
      <c r="V37" s="684">
        <f t="shared" si="53"/>
        <v>62.7</v>
      </c>
      <c r="W37" s="684">
        <f t="shared" si="53"/>
        <v>65.55</v>
      </c>
      <c r="X37" s="684">
        <f t="shared" si="53"/>
        <v>68.400000000000006</v>
      </c>
      <c r="Y37" s="684">
        <f t="shared" si="53"/>
        <v>71.25</v>
      </c>
      <c r="Z37" s="684">
        <f t="shared" si="53"/>
        <v>74.100000000000009</v>
      </c>
      <c r="AA37" s="684">
        <f t="shared" si="53"/>
        <v>76.95</v>
      </c>
      <c r="AB37" s="684">
        <f t="shared" si="53"/>
        <v>79.8</v>
      </c>
      <c r="AC37" s="684">
        <f t="shared" si="53"/>
        <v>82.65</v>
      </c>
      <c r="AD37" s="684">
        <f t="shared" si="53"/>
        <v>85.5</v>
      </c>
      <c r="AE37" s="684">
        <f t="shared" si="53"/>
        <v>88.350000000000009</v>
      </c>
      <c r="AF37" s="684">
        <f t="shared" si="53"/>
        <v>91.2</v>
      </c>
      <c r="AG37" s="684">
        <f t="shared" si="53"/>
        <v>94.05</v>
      </c>
      <c r="AH37" s="684">
        <f t="shared" si="53"/>
        <v>96.9</v>
      </c>
      <c r="AI37" s="684">
        <f t="shared" si="53"/>
        <v>99.75</v>
      </c>
      <c r="AJ37" s="684">
        <f t="shared" si="53"/>
        <v>102.60000000000001</v>
      </c>
      <c r="AK37" s="684">
        <f t="shared" si="53"/>
        <v>105.45</v>
      </c>
      <c r="AL37" s="684">
        <f t="shared" si="53"/>
        <v>108.3</v>
      </c>
      <c r="AM37" s="684">
        <f t="shared" si="53"/>
        <v>111.15</v>
      </c>
      <c r="AN37" s="684">
        <f t="shared" si="53"/>
        <v>114</v>
      </c>
      <c r="AO37" s="684">
        <f t="shared" si="53"/>
        <v>116.85000000000001</v>
      </c>
      <c r="AP37" s="684">
        <f t="shared" si="53"/>
        <v>119.7</v>
      </c>
      <c r="AQ37" s="684">
        <f t="shared" si="53"/>
        <v>122.55</v>
      </c>
    </row>
    <row r="38" spans="1:43">
      <c r="A38" s="682">
        <f>$E$4*A35</f>
        <v>3</v>
      </c>
      <c r="B38" s="683">
        <f t="shared" ref="B38:AQ38" si="54">$E$4*B35</f>
        <v>6</v>
      </c>
      <c r="C38" s="683">
        <f t="shared" si="54"/>
        <v>9</v>
      </c>
      <c r="D38" s="683">
        <f t="shared" si="54"/>
        <v>12</v>
      </c>
      <c r="E38" s="683">
        <f t="shared" si="54"/>
        <v>15</v>
      </c>
      <c r="F38" s="683">
        <f t="shared" si="54"/>
        <v>18</v>
      </c>
      <c r="G38" s="683">
        <f t="shared" si="54"/>
        <v>21</v>
      </c>
      <c r="H38" s="683">
        <f t="shared" si="54"/>
        <v>24</v>
      </c>
      <c r="I38" s="683">
        <f t="shared" si="54"/>
        <v>27</v>
      </c>
      <c r="J38" s="684">
        <f t="shared" si="54"/>
        <v>30</v>
      </c>
      <c r="K38" s="684">
        <f t="shared" si="54"/>
        <v>33</v>
      </c>
      <c r="L38" s="684">
        <f t="shared" si="54"/>
        <v>36</v>
      </c>
      <c r="M38" s="684">
        <f t="shared" si="54"/>
        <v>39</v>
      </c>
      <c r="N38" s="684">
        <f t="shared" si="54"/>
        <v>42</v>
      </c>
      <c r="O38" s="684">
        <f t="shared" si="54"/>
        <v>45</v>
      </c>
      <c r="P38" s="684">
        <f t="shared" si="54"/>
        <v>48</v>
      </c>
      <c r="Q38" s="684">
        <f t="shared" si="54"/>
        <v>51</v>
      </c>
      <c r="R38" s="684">
        <f t="shared" si="54"/>
        <v>54</v>
      </c>
      <c r="S38" s="684">
        <f t="shared" si="54"/>
        <v>57</v>
      </c>
      <c r="T38" s="684">
        <f t="shared" si="54"/>
        <v>60</v>
      </c>
      <c r="U38" s="684">
        <f t="shared" si="54"/>
        <v>63</v>
      </c>
      <c r="V38" s="684">
        <f t="shared" si="54"/>
        <v>66</v>
      </c>
      <c r="W38" s="684">
        <f t="shared" si="54"/>
        <v>69</v>
      </c>
      <c r="X38" s="684">
        <f t="shared" si="54"/>
        <v>72</v>
      </c>
      <c r="Y38" s="684">
        <f t="shared" si="54"/>
        <v>75</v>
      </c>
      <c r="Z38" s="684">
        <f t="shared" si="54"/>
        <v>78</v>
      </c>
      <c r="AA38" s="684">
        <f t="shared" si="54"/>
        <v>81</v>
      </c>
      <c r="AB38" s="684">
        <f t="shared" si="54"/>
        <v>84</v>
      </c>
      <c r="AC38" s="684">
        <f t="shared" si="54"/>
        <v>87</v>
      </c>
      <c r="AD38" s="684">
        <f t="shared" si="54"/>
        <v>90</v>
      </c>
      <c r="AE38" s="684">
        <f t="shared" si="54"/>
        <v>93</v>
      </c>
      <c r="AF38" s="684">
        <f t="shared" si="54"/>
        <v>96</v>
      </c>
      <c r="AG38" s="684">
        <f t="shared" si="54"/>
        <v>99</v>
      </c>
      <c r="AH38" s="684">
        <f t="shared" si="54"/>
        <v>102</v>
      </c>
      <c r="AI38" s="684">
        <f t="shared" si="54"/>
        <v>105</v>
      </c>
      <c r="AJ38" s="684">
        <f t="shared" si="54"/>
        <v>108</v>
      </c>
      <c r="AK38" s="684">
        <f t="shared" si="54"/>
        <v>111</v>
      </c>
      <c r="AL38" s="684">
        <f t="shared" si="54"/>
        <v>114</v>
      </c>
      <c r="AM38" s="684">
        <f t="shared" si="54"/>
        <v>117</v>
      </c>
      <c r="AN38" s="684">
        <f t="shared" si="54"/>
        <v>120</v>
      </c>
      <c r="AO38" s="684">
        <f t="shared" si="54"/>
        <v>123</v>
      </c>
      <c r="AP38" s="684">
        <f t="shared" si="54"/>
        <v>126</v>
      </c>
      <c r="AQ38" s="684">
        <f t="shared" si="54"/>
        <v>129</v>
      </c>
    </row>
    <row r="39" spans="1:43">
      <c r="A39" s="682">
        <f>$F$4*A35</f>
        <v>3.5</v>
      </c>
      <c r="B39" s="683">
        <f t="shared" ref="B39:AQ39" si="55">$F$4*B35</f>
        <v>7</v>
      </c>
      <c r="C39" s="683">
        <f t="shared" si="55"/>
        <v>10.5</v>
      </c>
      <c r="D39" s="683">
        <f t="shared" si="55"/>
        <v>14</v>
      </c>
      <c r="E39" s="683">
        <f t="shared" si="55"/>
        <v>17.5</v>
      </c>
      <c r="F39" s="683">
        <f t="shared" si="55"/>
        <v>21</v>
      </c>
      <c r="G39" s="683">
        <f t="shared" si="55"/>
        <v>24.5</v>
      </c>
      <c r="H39" s="683">
        <f t="shared" si="55"/>
        <v>28</v>
      </c>
      <c r="I39" s="683">
        <f t="shared" si="55"/>
        <v>31.5</v>
      </c>
      <c r="J39" s="684">
        <f t="shared" si="55"/>
        <v>35</v>
      </c>
      <c r="K39" s="684">
        <f t="shared" si="55"/>
        <v>38.5</v>
      </c>
      <c r="L39" s="684">
        <f t="shared" si="55"/>
        <v>42</v>
      </c>
      <c r="M39" s="684">
        <f t="shared" si="55"/>
        <v>45.5</v>
      </c>
      <c r="N39" s="684">
        <f t="shared" si="55"/>
        <v>49</v>
      </c>
      <c r="O39" s="684">
        <f t="shared" si="55"/>
        <v>52.5</v>
      </c>
      <c r="P39" s="684">
        <f t="shared" si="55"/>
        <v>56</v>
      </c>
      <c r="Q39" s="684">
        <f t="shared" si="55"/>
        <v>59.5</v>
      </c>
      <c r="R39" s="684">
        <f t="shared" si="55"/>
        <v>63</v>
      </c>
      <c r="S39" s="684">
        <f t="shared" si="55"/>
        <v>66.5</v>
      </c>
      <c r="T39" s="684">
        <f t="shared" si="55"/>
        <v>70</v>
      </c>
      <c r="U39" s="684">
        <f t="shared" si="55"/>
        <v>73.5</v>
      </c>
      <c r="V39" s="684">
        <f t="shared" si="55"/>
        <v>77</v>
      </c>
      <c r="W39" s="684">
        <f t="shared" si="55"/>
        <v>80.5</v>
      </c>
      <c r="X39" s="684">
        <f t="shared" si="55"/>
        <v>84</v>
      </c>
      <c r="Y39" s="684">
        <f t="shared" si="55"/>
        <v>87.5</v>
      </c>
      <c r="Z39" s="684">
        <f t="shared" si="55"/>
        <v>91</v>
      </c>
      <c r="AA39" s="684">
        <f t="shared" si="55"/>
        <v>94.5</v>
      </c>
      <c r="AB39" s="684">
        <f t="shared" si="55"/>
        <v>98</v>
      </c>
      <c r="AC39" s="684">
        <f t="shared" si="55"/>
        <v>101.5</v>
      </c>
      <c r="AD39" s="684">
        <f t="shared" si="55"/>
        <v>105</v>
      </c>
      <c r="AE39" s="684">
        <f t="shared" si="55"/>
        <v>108.5</v>
      </c>
      <c r="AF39" s="684">
        <f t="shared" si="55"/>
        <v>112</v>
      </c>
      <c r="AG39" s="684">
        <f t="shared" si="55"/>
        <v>115.5</v>
      </c>
      <c r="AH39" s="684">
        <f t="shared" si="55"/>
        <v>119</v>
      </c>
      <c r="AI39" s="684">
        <f t="shared" si="55"/>
        <v>122.5</v>
      </c>
      <c r="AJ39" s="684">
        <f t="shared" si="55"/>
        <v>126</v>
      </c>
      <c r="AK39" s="684">
        <f t="shared" si="55"/>
        <v>129.5</v>
      </c>
      <c r="AL39" s="684">
        <f t="shared" si="55"/>
        <v>133</v>
      </c>
      <c r="AM39" s="684">
        <f t="shared" si="55"/>
        <v>136.5</v>
      </c>
      <c r="AN39" s="684">
        <f t="shared" si="55"/>
        <v>140</v>
      </c>
      <c r="AO39" s="684">
        <f t="shared" si="55"/>
        <v>143.5</v>
      </c>
      <c r="AP39" s="684">
        <f t="shared" si="55"/>
        <v>147</v>
      </c>
      <c r="AQ39" s="684">
        <f t="shared" si="55"/>
        <v>150.5</v>
      </c>
    </row>
    <row r="40" spans="1:43">
      <c r="A40" s="682">
        <f>$G$4*A35</f>
        <v>4</v>
      </c>
      <c r="B40" s="683">
        <f t="shared" ref="B40:I40" si="56">$G$4*B35</f>
        <v>8</v>
      </c>
      <c r="C40" s="683">
        <f t="shared" si="56"/>
        <v>12</v>
      </c>
      <c r="D40" s="683">
        <f t="shared" si="56"/>
        <v>16</v>
      </c>
      <c r="E40" s="683">
        <f t="shared" si="56"/>
        <v>20</v>
      </c>
      <c r="F40" s="683">
        <f t="shared" si="56"/>
        <v>24</v>
      </c>
      <c r="G40" s="683">
        <f t="shared" si="56"/>
        <v>28</v>
      </c>
      <c r="H40" s="683">
        <f t="shared" si="56"/>
        <v>32</v>
      </c>
      <c r="I40" s="683">
        <f t="shared" si="56"/>
        <v>36</v>
      </c>
      <c r="J40" s="684">
        <f>$G$4*J35</f>
        <v>40</v>
      </c>
      <c r="K40" s="684">
        <f t="shared" ref="K40:AQ40" si="57">$G$4*K35</f>
        <v>44</v>
      </c>
      <c r="L40" s="684">
        <f t="shared" si="57"/>
        <v>48</v>
      </c>
      <c r="M40" s="684">
        <f t="shared" si="57"/>
        <v>52</v>
      </c>
      <c r="N40" s="684">
        <f t="shared" si="57"/>
        <v>56</v>
      </c>
      <c r="O40" s="684">
        <f t="shared" si="57"/>
        <v>60</v>
      </c>
      <c r="P40" s="684">
        <f t="shared" si="57"/>
        <v>64</v>
      </c>
      <c r="Q40" s="684">
        <f t="shared" si="57"/>
        <v>68</v>
      </c>
      <c r="R40" s="684">
        <f t="shared" si="57"/>
        <v>72</v>
      </c>
      <c r="S40" s="684">
        <f t="shared" si="57"/>
        <v>76</v>
      </c>
      <c r="T40" s="684">
        <f t="shared" si="57"/>
        <v>80</v>
      </c>
      <c r="U40" s="684">
        <f t="shared" si="57"/>
        <v>84</v>
      </c>
      <c r="V40" s="684">
        <f t="shared" si="57"/>
        <v>88</v>
      </c>
      <c r="W40" s="684">
        <f t="shared" si="57"/>
        <v>92</v>
      </c>
      <c r="X40" s="684">
        <f t="shared" si="57"/>
        <v>96</v>
      </c>
      <c r="Y40" s="684">
        <f t="shared" si="57"/>
        <v>100</v>
      </c>
      <c r="Z40" s="684">
        <f t="shared" si="57"/>
        <v>104</v>
      </c>
      <c r="AA40" s="684">
        <f t="shared" si="57"/>
        <v>108</v>
      </c>
      <c r="AB40" s="684">
        <f t="shared" si="57"/>
        <v>112</v>
      </c>
      <c r="AC40" s="684">
        <f t="shared" si="57"/>
        <v>116</v>
      </c>
      <c r="AD40" s="684">
        <f t="shared" si="57"/>
        <v>120</v>
      </c>
      <c r="AE40" s="684">
        <f t="shared" si="57"/>
        <v>124</v>
      </c>
      <c r="AF40" s="684">
        <f t="shared" si="57"/>
        <v>128</v>
      </c>
      <c r="AG40" s="684">
        <f t="shared" si="57"/>
        <v>132</v>
      </c>
      <c r="AH40" s="684">
        <f t="shared" si="57"/>
        <v>136</v>
      </c>
      <c r="AI40" s="684">
        <f t="shared" si="57"/>
        <v>140</v>
      </c>
      <c r="AJ40" s="684">
        <f t="shared" si="57"/>
        <v>144</v>
      </c>
      <c r="AK40" s="684">
        <f t="shared" si="57"/>
        <v>148</v>
      </c>
      <c r="AL40" s="684">
        <f t="shared" si="57"/>
        <v>152</v>
      </c>
      <c r="AM40" s="684">
        <f t="shared" si="57"/>
        <v>156</v>
      </c>
      <c r="AN40" s="684">
        <f t="shared" si="57"/>
        <v>160</v>
      </c>
      <c r="AO40" s="684">
        <f t="shared" si="57"/>
        <v>164</v>
      </c>
      <c r="AP40" s="684">
        <f t="shared" si="57"/>
        <v>168</v>
      </c>
      <c r="AQ40" s="684">
        <f t="shared" si="57"/>
        <v>172</v>
      </c>
    </row>
    <row r="41" spans="1:43">
      <c r="A41" s="682">
        <f>$H$4*A35</f>
        <v>4.5</v>
      </c>
      <c r="B41" s="683">
        <f t="shared" ref="B41:AQ41" si="58">$H$4*B35</f>
        <v>9</v>
      </c>
      <c r="C41" s="683">
        <f t="shared" si="58"/>
        <v>13.5</v>
      </c>
      <c r="D41" s="683">
        <f t="shared" si="58"/>
        <v>18</v>
      </c>
      <c r="E41" s="683">
        <f t="shared" si="58"/>
        <v>22.5</v>
      </c>
      <c r="F41" s="683">
        <f t="shared" si="58"/>
        <v>27</v>
      </c>
      <c r="G41" s="683">
        <f t="shared" si="58"/>
        <v>31.5</v>
      </c>
      <c r="H41" s="683">
        <f t="shared" si="58"/>
        <v>36</v>
      </c>
      <c r="I41" s="683">
        <f t="shared" si="58"/>
        <v>40.5</v>
      </c>
      <c r="J41" s="684">
        <f t="shared" si="58"/>
        <v>45</v>
      </c>
      <c r="K41" s="684">
        <f t="shared" si="58"/>
        <v>49.5</v>
      </c>
      <c r="L41" s="684">
        <f t="shared" si="58"/>
        <v>54</v>
      </c>
      <c r="M41" s="684">
        <f t="shared" si="58"/>
        <v>58.5</v>
      </c>
      <c r="N41" s="684">
        <f t="shared" si="58"/>
        <v>63</v>
      </c>
      <c r="O41" s="684">
        <f t="shared" si="58"/>
        <v>67.5</v>
      </c>
      <c r="P41" s="684">
        <f t="shared" si="58"/>
        <v>72</v>
      </c>
      <c r="Q41" s="684">
        <f t="shared" si="58"/>
        <v>76.5</v>
      </c>
      <c r="R41" s="684">
        <f t="shared" si="58"/>
        <v>81</v>
      </c>
      <c r="S41" s="684">
        <f t="shared" si="58"/>
        <v>85.5</v>
      </c>
      <c r="T41" s="684">
        <f t="shared" si="58"/>
        <v>90</v>
      </c>
      <c r="U41" s="684">
        <f t="shared" si="58"/>
        <v>94.5</v>
      </c>
      <c r="V41" s="684">
        <f t="shared" si="58"/>
        <v>99</v>
      </c>
      <c r="W41" s="684">
        <f t="shared" si="58"/>
        <v>103.5</v>
      </c>
      <c r="X41" s="684">
        <f t="shared" si="58"/>
        <v>108</v>
      </c>
      <c r="Y41" s="684">
        <f t="shared" si="58"/>
        <v>112.5</v>
      </c>
      <c r="Z41" s="684">
        <f t="shared" si="58"/>
        <v>117</v>
      </c>
      <c r="AA41" s="684">
        <f t="shared" si="58"/>
        <v>121.5</v>
      </c>
      <c r="AB41" s="684">
        <f t="shared" si="58"/>
        <v>126</v>
      </c>
      <c r="AC41" s="684">
        <f t="shared" si="58"/>
        <v>130.5</v>
      </c>
      <c r="AD41" s="684">
        <f t="shared" si="58"/>
        <v>135</v>
      </c>
      <c r="AE41" s="684">
        <f t="shared" si="58"/>
        <v>139.5</v>
      </c>
      <c r="AF41" s="684">
        <f t="shared" si="58"/>
        <v>144</v>
      </c>
      <c r="AG41" s="684">
        <f t="shared" si="58"/>
        <v>148.5</v>
      </c>
      <c r="AH41" s="684">
        <f t="shared" si="58"/>
        <v>153</v>
      </c>
      <c r="AI41" s="684">
        <f t="shared" si="58"/>
        <v>157.5</v>
      </c>
      <c r="AJ41" s="684">
        <f t="shared" si="58"/>
        <v>162</v>
      </c>
      <c r="AK41" s="684">
        <f t="shared" si="58"/>
        <v>166.5</v>
      </c>
      <c r="AL41" s="684">
        <f t="shared" si="58"/>
        <v>171</v>
      </c>
      <c r="AM41" s="684">
        <f t="shared" si="58"/>
        <v>175.5</v>
      </c>
      <c r="AN41" s="684">
        <f t="shared" si="58"/>
        <v>180</v>
      </c>
      <c r="AO41" s="684">
        <f t="shared" si="58"/>
        <v>184.5</v>
      </c>
      <c r="AP41" s="684">
        <f t="shared" si="58"/>
        <v>189</v>
      </c>
      <c r="AQ41" s="684">
        <f t="shared" si="58"/>
        <v>193.5</v>
      </c>
    </row>
    <row r="42" spans="1:43">
      <c r="A42" s="682">
        <f>$I$4*A35</f>
        <v>5</v>
      </c>
      <c r="B42" s="683">
        <f>$I$4*B35</f>
        <v>10</v>
      </c>
      <c r="C42" s="683">
        <f t="shared" ref="C42:AQ42" si="59">$I$4*C35</f>
        <v>15</v>
      </c>
      <c r="D42" s="683">
        <f t="shared" si="59"/>
        <v>20</v>
      </c>
      <c r="E42" s="683">
        <f t="shared" si="59"/>
        <v>25</v>
      </c>
      <c r="F42" s="683">
        <f t="shared" si="59"/>
        <v>30</v>
      </c>
      <c r="G42" s="683">
        <f t="shared" si="59"/>
        <v>35</v>
      </c>
      <c r="H42" s="683">
        <f t="shared" si="59"/>
        <v>40</v>
      </c>
      <c r="I42" s="683">
        <f t="shared" si="59"/>
        <v>45</v>
      </c>
      <c r="J42" s="684">
        <f t="shared" si="59"/>
        <v>50</v>
      </c>
      <c r="K42" s="684">
        <f t="shared" si="59"/>
        <v>55</v>
      </c>
      <c r="L42" s="684">
        <f t="shared" si="59"/>
        <v>60</v>
      </c>
      <c r="M42" s="684">
        <f t="shared" si="59"/>
        <v>65</v>
      </c>
      <c r="N42" s="684">
        <f t="shared" si="59"/>
        <v>70</v>
      </c>
      <c r="O42" s="684">
        <f t="shared" si="59"/>
        <v>75</v>
      </c>
      <c r="P42" s="684">
        <f t="shared" si="59"/>
        <v>80</v>
      </c>
      <c r="Q42" s="684">
        <f t="shared" si="59"/>
        <v>85</v>
      </c>
      <c r="R42" s="684">
        <f t="shared" si="59"/>
        <v>90</v>
      </c>
      <c r="S42" s="684">
        <f t="shared" si="59"/>
        <v>95</v>
      </c>
      <c r="T42" s="684">
        <f t="shared" si="59"/>
        <v>100</v>
      </c>
      <c r="U42" s="684">
        <f t="shared" si="59"/>
        <v>105</v>
      </c>
      <c r="V42" s="684">
        <f t="shared" si="59"/>
        <v>110</v>
      </c>
      <c r="W42" s="684">
        <f t="shared" si="59"/>
        <v>115</v>
      </c>
      <c r="X42" s="684">
        <f t="shared" si="59"/>
        <v>120</v>
      </c>
      <c r="Y42" s="684">
        <f t="shared" si="59"/>
        <v>125</v>
      </c>
      <c r="Z42" s="684">
        <f t="shared" si="59"/>
        <v>130</v>
      </c>
      <c r="AA42" s="684">
        <f t="shared" si="59"/>
        <v>135</v>
      </c>
      <c r="AB42" s="684">
        <f t="shared" si="59"/>
        <v>140</v>
      </c>
      <c r="AC42" s="684">
        <f t="shared" si="59"/>
        <v>145</v>
      </c>
      <c r="AD42" s="684">
        <f t="shared" si="59"/>
        <v>150</v>
      </c>
      <c r="AE42" s="684">
        <f t="shared" si="59"/>
        <v>155</v>
      </c>
      <c r="AF42" s="684">
        <f t="shared" si="59"/>
        <v>160</v>
      </c>
      <c r="AG42" s="684">
        <f t="shared" si="59"/>
        <v>165</v>
      </c>
      <c r="AH42" s="684">
        <f t="shared" si="59"/>
        <v>170</v>
      </c>
      <c r="AI42" s="684">
        <f t="shared" si="59"/>
        <v>175</v>
      </c>
      <c r="AJ42" s="684">
        <f t="shared" si="59"/>
        <v>180</v>
      </c>
      <c r="AK42" s="684">
        <f t="shared" si="59"/>
        <v>185</v>
      </c>
      <c r="AL42" s="684">
        <f t="shared" si="59"/>
        <v>190</v>
      </c>
      <c r="AM42" s="684">
        <f t="shared" si="59"/>
        <v>195</v>
      </c>
      <c r="AN42" s="684">
        <f t="shared" si="59"/>
        <v>200</v>
      </c>
      <c r="AO42" s="684">
        <f t="shared" si="59"/>
        <v>205</v>
      </c>
      <c r="AP42" s="684">
        <f t="shared" si="59"/>
        <v>210</v>
      </c>
      <c r="AQ42" s="684">
        <f t="shared" si="59"/>
        <v>215</v>
      </c>
    </row>
    <row r="43" spans="1:43">
      <c r="A43" s="682">
        <f>$J$4*A35</f>
        <v>5.3</v>
      </c>
      <c r="B43" s="682">
        <f t="shared" ref="B43:H43" si="60">$J$4*B35</f>
        <v>10.6</v>
      </c>
      <c r="C43" s="682">
        <f t="shared" si="60"/>
        <v>15.899999999999999</v>
      </c>
      <c r="D43" s="682">
        <f t="shared" si="60"/>
        <v>21.2</v>
      </c>
      <c r="E43" s="682">
        <f t="shared" si="60"/>
        <v>26.5</v>
      </c>
      <c r="F43" s="682">
        <f t="shared" si="60"/>
        <v>31.799999999999997</v>
      </c>
      <c r="G43" s="682">
        <f t="shared" si="60"/>
        <v>37.1</v>
      </c>
      <c r="H43" s="682">
        <f t="shared" si="60"/>
        <v>42.4</v>
      </c>
      <c r="I43" s="682">
        <f t="shared" ref="I43:AQ43" si="61">$J$4*I35</f>
        <v>47.699999999999996</v>
      </c>
      <c r="J43" s="682">
        <f t="shared" si="61"/>
        <v>53</v>
      </c>
      <c r="K43" s="682">
        <f t="shared" si="61"/>
        <v>58.3</v>
      </c>
      <c r="L43" s="682">
        <f t="shared" si="61"/>
        <v>63.599999999999994</v>
      </c>
      <c r="M43" s="682">
        <f t="shared" si="61"/>
        <v>68.899999999999991</v>
      </c>
      <c r="N43" s="682">
        <f t="shared" si="61"/>
        <v>74.2</v>
      </c>
      <c r="O43" s="682">
        <f t="shared" si="61"/>
        <v>79.5</v>
      </c>
      <c r="P43" s="682">
        <f t="shared" si="61"/>
        <v>84.8</v>
      </c>
      <c r="Q43" s="682">
        <f t="shared" si="61"/>
        <v>90.1</v>
      </c>
      <c r="R43" s="682">
        <f t="shared" si="61"/>
        <v>95.399999999999991</v>
      </c>
      <c r="S43" s="682">
        <f t="shared" si="61"/>
        <v>100.7</v>
      </c>
      <c r="T43" s="682">
        <f t="shared" si="61"/>
        <v>106</v>
      </c>
      <c r="U43" s="682">
        <f t="shared" si="61"/>
        <v>111.3</v>
      </c>
      <c r="V43" s="682">
        <f t="shared" si="61"/>
        <v>116.6</v>
      </c>
      <c r="W43" s="682">
        <f t="shared" si="61"/>
        <v>121.89999999999999</v>
      </c>
      <c r="X43" s="682">
        <f t="shared" si="61"/>
        <v>127.19999999999999</v>
      </c>
      <c r="Y43" s="682">
        <f t="shared" si="61"/>
        <v>132.5</v>
      </c>
      <c r="Z43" s="682">
        <f t="shared" si="61"/>
        <v>137.79999999999998</v>
      </c>
      <c r="AA43" s="682">
        <f t="shared" si="61"/>
        <v>143.1</v>
      </c>
      <c r="AB43" s="682">
        <f t="shared" si="61"/>
        <v>148.4</v>
      </c>
      <c r="AC43" s="682">
        <f t="shared" si="61"/>
        <v>153.69999999999999</v>
      </c>
      <c r="AD43" s="682">
        <f t="shared" si="61"/>
        <v>159</v>
      </c>
      <c r="AE43" s="682">
        <f t="shared" si="61"/>
        <v>164.29999999999998</v>
      </c>
      <c r="AF43" s="682">
        <f t="shared" si="61"/>
        <v>169.6</v>
      </c>
      <c r="AG43" s="682">
        <f t="shared" si="61"/>
        <v>174.9</v>
      </c>
      <c r="AH43" s="682">
        <f t="shared" si="61"/>
        <v>180.2</v>
      </c>
      <c r="AI43" s="682">
        <f t="shared" si="61"/>
        <v>185.5</v>
      </c>
      <c r="AJ43" s="682">
        <f t="shared" si="61"/>
        <v>190.79999999999998</v>
      </c>
      <c r="AK43" s="682">
        <f t="shared" si="61"/>
        <v>196.1</v>
      </c>
      <c r="AL43" s="682">
        <f t="shared" si="61"/>
        <v>201.4</v>
      </c>
      <c r="AM43" s="682">
        <f t="shared" si="61"/>
        <v>206.7</v>
      </c>
      <c r="AN43" s="682">
        <f t="shared" si="61"/>
        <v>212</v>
      </c>
      <c r="AO43" s="682">
        <f t="shared" si="61"/>
        <v>217.29999999999998</v>
      </c>
      <c r="AP43" s="682">
        <f t="shared" si="61"/>
        <v>222.6</v>
      </c>
      <c r="AQ43" s="682">
        <f t="shared" si="61"/>
        <v>227.9</v>
      </c>
    </row>
    <row r="44" spans="1:43">
      <c r="A44" s="682">
        <f>$K$4*A35</f>
        <v>5.7</v>
      </c>
      <c r="B44" s="682">
        <f t="shared" ref="B44:H44" si="62">$K$4*B35</f>
        <v>11.4</v>
      </c>
      <c r="C44" s="682">
        <f t="shared" si="62"/>
        <v>17.100000000000001</v>
      </c>
      <c r="D44" s="682">
        <f t="shared" si="62"/>
        <v>22.8</v>
      </c>
      <c r="E44" s="682">
        <f t="shared" si="62"/>
        <v>28.5</v>
      </c>
      <c r="F44" s="682">
        <f t="shared" si="62"/>
        <v>34.200000000000003</v>
      </c>
      <c r="G44" s="682">
        <f t="shared" si="62"/>
        <v>39.9</v>
      </c>
      <c r="H44" s="682">
        <f t="shared" si="62"/>
        <v>45.6</v>
      </c>
      <c r="I44" s="682">
        <f t="shared" ref="I44:AQ44" si="63">$K$4*I35</f>
        <v>51.300000000000004</v>
      </c>
      <c r="J44" s="682">
        <f t="shared" si="63"/>
        <v>57</v>
      </c>
      <c r="K44" s="682">
        <f t="shared" si="63"/>
        <v>62.7</v>
      </c>
      <c r="L44" s="682">
        <f t="shared" si="63"/>
        <v>68.400000000000006</v>
      </c>
      <c r="M44" s="682">
        <f t="shared" si="63"/>
        <v>74.100000000000009</v>
      </c>
      <c r="N44" s="682">
        <f t="shared" si="63"/>
        <v>79.8</v>
      </c>
      <c r="O44" s="682">
        <f t="shared" si="63"/>
        <v>85.5</v>
      </c>
      <c r="P44" s="682">
        <f t="shared" si="63"/>
        <v>91.2</v>
      </c>
      <c r="Q44" s="682">
        <f t="shared" si="63"/>
        <v>96.9</v>
      </c>
      <c r="R44" s="682">
        <f t="shared" si="63"/>
        <v>102.60000000000001</v>
      </c>
      <c r="S44" s="682">
        <f t="shared" si="63"/>
        <v>108.3</v>
      </c>
      <c r="T44" s="682">
        <f t="shared" si="63"/>
        <v>114</v>
      </c>
      <c r="U44" s="682">
        <f t="shared" si="63"/>
        <v>119.7</v>
      </c>
      <c r="V44" s="682">
        <f t="shared" si="63"/>
        <v>125.4</v>
      </c>
      <c r="W44" s="682">
        <f t="shared" si="63"/>
        <v>131.1</v>
      </c>
      <c r="X44" s="682">
        <f t="shared" si="63"/>
        <v>136.80000000000001</v>
      </c>
      <c r="Y44" s="682">
        <f t="shared" si="63"/>
        <v>142.5</v>
      </c>
      <c r="Z44" s="682">
        <f t="shared" si="63"/>
        <v>148.20000000000002</v>
      </c>
      <c r="AA44" s="682">
        <f t="shared" si="63"/>
        <v>153.9</v>
      </c>
      <c r="AB44" s="682">
        <f t="shared" si="63"/>
        <v>159.6</v>
      </c>
      <c r="AC44" s="682">
        <f t="shared" si="63"/>
        <v>165.3</v>
      </c>
      <c r="AD44" s="682">
        <f t="shared" si="63"/>
        <v>171</v>
      </c>
      <c r="AE44" s="682">
        <f t="shared" si="63"/>
        <v>176.70000000000002</v>
      </c>
      <c r="AF44" s="682">
        <f t="shared" si="63"/>
        <v>182.4</v>
      </c>
      <c r="AG44" s="682">
        <f t="shared" si="63"/>
        <v>188.1</v>
      </c>
      <c r="AH44" s="682">
        <f t="shared" si="63"/>
        <v>193.8</v>
      </c>
      <c r="AI44" s="682">
        <f t="shared" si="63"/>
        <v>199.5</v>
      </c>
      <c r="AJ44" s="682">
        <f t="shared" si="63"/>
        <v>205.20000000000002</v>
      </c>
      <c r="AK44" s="682">
        <f t="shared" si="63"/>
        <v>210.9</v>
      </c>
      <c r="AL44" s="682">
        <f t="shared" si="63"/>
        <v>216.6</v>
      </c>
      <c r="AM44" s="682">
        <f t="shared" si="63"/>
        <v>222.3</v>
      </c>
      <c r="AN44" s="682">
        <f t="shared" si="63"/>
        <v>228</v>
      </c>
      <c r="AO44" s="682">
        <f t="shared" si="63"/>
        <v>233.70000000000002</v>
      </c>
      <c r="AP44" s="682">
        <f t="shared" si="63"/>
        <v>239.4</v>
      </c>
      <c r="AQ44" s="682">
        <f t="shared" si="63"/>
        <v>245.1</v>
      </c>
    </row>
    <row r="45" spans="1:43">
      <c r="A45" s="682">
        <f>$L$4*A35</f>
        <v>6</v>
      </c>
      <c r="B45" s="682">
        <f t="shared" ref="B45:H45" si="64">$L$4*B35</f>
        <v>12</v>
      </c>
      <c r="C45" s="682">
        <f t="shared" si="64"/>
        <v>18</v>
      </c>
      <c r="D45" s="682">
        <f t="shared" si="64"/>
        <v>24</v>
      </c>
      <c r="E45" s="682">
        <f t="shared" si="64"/>
        <v>30</v>
      </c>
      <c r="F45" s="682">
        <f t="shared" si="64"/>
        <v>36</v>
      </c>
      <c r="G45" s="682">
        <f t="shared" si="64"/>
        <v>42</v>
      </c>
      <c r="H45" s="682">
        <f t="shared" si="64"/>
        <v>48</v>
      </c>
      <c r="I45" s="682">
        <f t="shared" ref="I45:AQ45" si="65">$L$4*I35</f>
        <v>54</v>
      </c>
      <c r="J45" s="682">
        <f t="shared" si="65"/>
        <v>60</v>
      </c>
      <c r="K45" s="682">
        <f t="shared" si="65"/>
        <v>66</v>
      </c>
      <c r="L45" s="682">
        <f t="shared" si="65"/>
        <v>72</v>
      </c>
      <c r="M45" s="682">
        <f t="shared" si="65"/>
        <v>78</v>
      </c>
      <c r="N45" s="682">
        <f t="shared" si="65"/>
        <v>84</v>
      </c>
      <c r="O45" s="682">
        <f t="shared" si="65"/>
        <v>90</v>
      </c>
      <c r="P45" s="682">
        <f t="shared" si="65"/>
        <v>96</v>
      </c>
      <c r="Q45" s="682">
        <f t="shared" si="65"/>
        <v>102</v>
      </c>
      <c r="R45" s="682">
        <f t="shared" si="65"/>
        <v>108</v>
      </c>
      <c r="S45" s="682">
        <f t="shared" si="65"/>
        <v>114</v>
      </c>
      <c r="T45" s="682">
        <f t="shared" si="65"/>
        <v>120</v>
      </c>
      <c r="U45" s="682">
        <f t="shared" si="65"/>
        <v>126</v>
      </c>
      <c r="V45" s="682">
        <f t="shared" si="65"/>
        <v>132</v>
      </c>
      <c r="W45" s="682">
        <f t="shared" si="65"/>
        <v>138</v>
      </c>
      <c r="X45" s="682">
        <f t="shared" si="65"/>
        <v>144</v>
      </c>
      <c r="Y45" s="682">
        <f t="shared" si="65"/>
        <v>150</v>
      </c>
      <c r="Z45" s="682">
        <f t="shared" si="65"/>
        <v>156</v>
      </c>
      <c r="AA45" s="682">
        <f t="shared" si="65"/>
        <v>162</v>
      </c>
      <c r="AB45" s="682">
        <f t="shared" si="65"/>
        <v>168</v>
      </c>
      <c r="AC45" s="682">
        <f t="shared" si="65"/>
        <v>174</v>
      </c>
      <c r="AD45" s="682">
        <f t="shared" si="65"/>
        <v>180</v>
      </c>
      <c r="AE45" s="682">
        <f t="shared" si="65"/>
        <v>186</v>
      </c>
      <c r="AF45" s="682">
        <f t="shared" si="65"/>
        <v>192</v>
      </c>
      <c r="AG45" s="682">
        <f t="shared" si="65"/>
        <v>198</v>
      </c>
      <c r="AH45" s="682">
        <f t="shared" si="65"/>
        <v>204</v>
      </c>
      <c r="AI45" s="682">
        <f t="shared" si="65"/>
        <v>210</v>
      </c>
      <c r="AJ45" s="682">
        <f t="shared" si="65"/>
        <v>216</v>
      </c>
      <c r="AK45" s="682">
        <f t="shared" si="65"/>
        <v>222</v>
      </c>
      <c r="AL45" s="682">
        <f t="shared" si="65"/>
        <v>228</v>
      </c>
      <c r="AM45" s="682">
        <f t="shared" si="65"/>
        <v>234</v>
      </c>
      <c r="AN45" s="682">
        <f t="shared" si="65"/>
        <v>240</v>
      </c>
      <c r="AO45" s="682">
        <f t="shared" si="65"/>
        <v>246</v>
      </c>
      <c r="AP45" s="682">
        <f t="shared" si="65"/>
        <v>252</v>
      </c>
      <c r="AQ45" s="682">
        <f t="shared" si="65"/>
        <v>258</v>
      </c>
    </row>
    <row r="46" spans="1:43">
      <c r="A46" s="679"/>
      <c r="B46" s="679"/>
      <c r="C46" s="679"/>
      <c r="D46" s="679"/>
      <c r="E46" s="679"/>
      <c r="F46" s="679"/>
      <c r="G46" s="679"/>
      <c r="H46" s="679"/>
      <c r="I46" s="679"/>
      <c r="J46" s="679"/>
    </row>
    <row r="47" spans="1:43" ht="36">
      <c r="A47" s="685" t="s">
        <v>1248</v>
      </c>
      <c r="B47" s="679" t="s">
        <v>1249</v>
      </c>
      <c r="C47" s="679" t="s">
        <v>1250</v>
      </c>
      <c r="D47" s="679" t="s">
        <v>1251</v>
      </c>
      <c r="E47" s="679" t="s">
        <v>1252</v>
      </c>
      <c r="F47" s="679"/>
      <c r="G47" s="679"/>
      <c r="H47" s="679"/>
      <c r="I47" s="679"/>
      <c r="J47" s="679"/>
    </row>
    <row r="48" spans="1:43">
      <c r="A48" s="679"/>
      <c r="B48" s="679"/>
      <c r="C48" s="679"/>
      <c r="D48" s="679"/>
      <c r="E48" s="679"/>
      <c r="F48" s="679"/>
      <c r="G48" s="679"/>
      <c r="H48" s="679"/>
      <c r="I48" s="679"/>
      <c r="J48" s="679"/>
    </row>
    <row r="49" spans="1:24" s="1063" customFormat="1" ht="15.75" customHeight="1">
      <c r="A49" s="1062" t="s">
        <v>1816</v>
      </c>
      <c r="B49" s="1062"/>
      <c r="C49" s="1048" t="s">
        <v>1820</v>
      </c>
      <c r="E49" s="1062"/>
      <c r="F49" s="1062"/>
      <c r="G49" s="1062"/>
      <c r="H49" s="1062"/>
      <c r="I49" s="1062"/>
      <c r="J49" s="1062"/>
      <c r="L49" s="1064"/>
      <c r="M49" s="1064"/>
      <c r="N49" s="1062"/>
    </row>
    <row r="50" spans="1:24" ht="115" customHeight="1">
      <c r="A50" s="1060" t="s">
        <v>2091</v>
      </c>
      <c r="B50" s="930"/>
      <c r="C50" s="932">
        <f>4.2*4.2</f>
        <v>17.64</v>
      </c>
      <c r="E50" s="679"/>
      <c r="F50" s="679"/>
      <c r="G50" s="679"/>
      <c r="H50" s="679"/>
      <c r="I50" s="679"/>
      <c r="J50" s="679"/>
      <c r="K50" s="930"/>
      <c r="L50" s="930"/>
      <c r="M50" s="930"/>
    </row>
    <row r="51" spans="1:24" ht="129.75" customHeight="1">
      <c r="A51" s="1061" t="s">
        <v>1817</v>
      </c>
      <c r="B51" s="930"/>
      <c r="C51" s="932">
        <f>2.3*4.2</f>
        <v>9.66</v>
      </c>
      <c r="E51" s="679"/>
      <c r="F51" s="679"/>
      <c r="G51" s="679"/>
      <c r="H51" s="679"/>
      <c r="I51" s="679"/>
      <c r="J51" s="679"/>
      <c r="K51" s="930"/>
      <c r="L51" s="930"/>
      <c r="M51" s="930"/>
    </row>
    <row r="52" spans="1:24" ht="146.5" customHeight="1">
      <c r="A52" s="1061" t="s">
        <v>2090</v>
      </c>
      <c r="B52" s="930"/>
      <c r="C52" s="932">
        <f>2.3*6</f>
        <v>13.799999999999999</v>
      </c>
      <c r="H52" s="932"/>
      <c r="I52" s="932"/>
      <c r="K52" s="932"/>
      <c r="L52" s="932"/>
      <c r="M52" s="932"/>
    </row>
    <row r="53" spans="1:24">
      <c r="A53" s="931"/>
    </row>
    <row r="54" spans="1:24" s="703" customFormat="1" ht="14">
      <c r="A54" s="1074" t="s">
        <v>2092</v>
      </c>
      <c r="I54" s="704"/>
    </row>
    <row r="55" spans="1:24" s="703" customFormat="1" ht="16">
      <c r="A55" s="702"/>
      <c r="C55" s="1078">
        <v>2.65</v>
      </c>
      <c r="D55" s="1078">
        <v>2.85</v>
      </c>
      <c r="E55" s="1078">
        <v>3</v>
      </c>
      <c r="F55" s="1078">
        <v>3.5</v>
      </c>
      <c r="G55" s="1078">
        <v>4</v>
      </c>
      <c r="H55" s="1078">
        <v>4.5</v>
      </c>
      <c r="I55" s="1078">
        <v>5</v>
      </c>
      <c r="J55" s="1078">
        <v>5.3</v>
      </c>
      <c r="K55" s="1078">
        <v>5.7</v>
      </c>
      <c r="L55" s="1078">
        <v>6</v>
      </c>
      <c r="N55" s="724" t="s">
        <v>2178</v>
      </c>
      <c r="Q55" s="724" t="s">
        <v>2218</v>
      </c>
      <c r="T55" s="724" t="s">
        <v>2220</v>
      </c>
    </row>
    <row r="56" spans="1:24" s="703" customFormat="1" ht="14">
      <c r="A56" s="704" t="s">
        <v>2174</v>
      </c>
      <c r="C56" s="1081">
        <v>1</v>
      </c>
      <c r="D56" s="1081">
        <v>1</v>
      </c>
      <c r="E56" s="1081">
        <v>1</v>
      </c>
      <c r="F56" s="1081">
        <v>1</v>
      </c>
      <c r="G56" s="1081">
        <v>1</v>
      </c>
      <c r="H56" s="1081">
        <v>1</v>
      </c>
      <c r="I56" s="1081">
        <v>1</v>
      </c>
      <c r="J56" s="1081">
        <v>1</v>
      </c>
      <c r="K56" s="1081">
        <v>1</v>
      </c>
      <c r="L56" s="1081">
        <v>1</v>
      </c>
      <c r="N56" s="703" t="s">
        <v>2179</v>
      </c>
      <c r="Q56" s="703" t="s">
        <v>904</v>
      </c>
      <c r="R56" s="717">
        <v>0.16</v>
      </c>
      <c r="T56" s="703">
        <v>1</v>
      </c>
      <c r="U56" s="703">
        <v>2</v>
      </c>
      <c r="V56" s="703">
        <v>3</v>
      </c>
      <c r="W56" s="703">
        <v>4</v>
      </c>
      <c r="X56" s="703">
        <v>6</v>
      </c>
    </row>
    <row r="57" spans="1:24" s="703" customFormat="1" ht="14">
      <c r="A57" s="704" t="s">
        <v>2093</v>
      </c>
      <c r="C57" s="1081">
        <v>2</v>
      </c>
      <c r="D57" s="1081">
        <v>2</v>
      </c>
      <c r="E57" s="1081">
        <v>2</v>
      </c>
      <c r="F57" s="1081">
        <v>2</v>
      </c>
      <c r="G57" s="1081">
        <v>2</v>
      </c>
      <c r="H57" s="1081">
        <v>1</v>
      </c>
      <c r="I57" s="1081">
        <v>1</v>
      </c>
      <c r="J57" s="1081">
        <v>1</v>
      </c>
      <c r="K57" s="1081">
        <v>1</v>
      </c>
      <c r="L57" s="1081">
        <v>1</v>
      </c>
      <c r="N57" s="703" t="s">
        <v>2180</v>
      </c>
      <c r="Q57" s="703" t="s">
        <v>906</v>
      </c>
      <c r="R57" s="717">
        <v>0.2</v>
      </c>
    </row>
    <row r="58" spans="1:24" s="703" customFormat="1" ht="14">
      <c r="A58" s="704" t="s">
        <v>2094</v>
      </c>
      <c r="C58" s="1081">
        <v>3</v>
      </c>
      <c r="D58" s="1081">
        <v>3</v>
      </c>
      <c r="E58" s="1081">
        <v>2</v>
      </c>
      <c r="F58" s="1081">
        <v>2</v>
      </c>
      <c r="G58" s="1081">
        <v>2</v>
      </c>
      <c r="H58" s="1081">
        <v>2</v>
      </c>
      <c r="I58" s="1081">
        <v>2</v>
      </c>
      <c r="J58" s="1081">
        <v>2</v>
      </c>
      <c r="K58" s="1081">
        <v>2</v>
      </c>
      <c r="L58" s="1081">
        <v>1</v>
      </c>
      <c r="N58" s="703" t="s">
        <v>2181</v>
      </c>
      <c r="Q58" s="703" t="s">
        <v>984</v>
      </c>
      <c r="R58" s="717">
        <v>0.24</v>
      </c>
    </row>
    <row r="59" spans="1:24" s="703" customFormat="1" ht="14">
      <c r="A59" s="704"/>
      <c r="I59" s="704"/>
    </row>
    <row r="60" spans="1:24" s="703" customFormat="1" ht="14">
      <c r="A60" s="704"/>
      <c r="I60" s="704"/>
    </row>
    <row r="61" spans="1:24">
      <c r="A61" s="676" t="s">
        <v>1009</v>
      </c>
    </row>
    <row r="62" spans="1:24">
      <c r="A62" s="675" t="s">
        <v>1253</v>
      </c>
      <c r="B62" s="686">
        <v>0.1</v>
      </c>
    </row>
    <row r="63" spans="1:24" ht="48" customHeight="1">
      <c r="A63" s="687" t="s">
        <v>1254</v>
      </c>
      <c r="B63" s="688">
        <v>0.55000000000000004</v>
      </c>
      <c r="C63" s="1396" t="s">
        <v>1255</v>
      </c>
      <c r="D63" s="1396"/>
      <c r="E63" s="1396"/>
      <c r="F63" s="1396"/>
      <c r="G63" s="1396"/>
      <c r="H63" s="1396"/>
      <c r="I63" s="1396"/>
      <c r="J63" s="1396"/>
    </row>
    <row r="64" spans="1:24">
      <c r="A64" s="689" t="s">
        <v>1256</v>
      </c>
    </row>
    <row r="65" spans="1:20">
      <c r="A65" s="689"/>
    </row>
    <row r="66" spans="1:20">
      <c r="A66" s="689"/>
    </row>
    <row r="67" spans="1:20">
      <c r="A67" s="676" t="s">
        <v>1257</v>
      </c>
      <c r="C67" s="675" t="s">
        <v>1258</v>
      </c>
    </row>
    <row r="68" spans="1:20">
      <c r="A68" s="681" t="s">
        <v>1259</v>
      </c>
      <c r="B68" s="690">
        <v>2</v>
      </c>
      <c r="C68" s="681">
        <v>3</v>
      </c>
      <c r="D68" s="690">
        <v>4</v>
      </c>
      <c r="E68" s="681">
        <v>5</v>
      </c>
      <c r="F68" s="690">
        <v>6</v>
      </c>
      <c r="G68" s="681">
        <v>7</v>
      </c>
      <c r="H68" s="690">
        <v>8</v>
      </c>
      <c r="I68" s="681">
        <v>9</v>
      </c>
      <c r="J68" s="690">
        <v>10</v>
      </c>
      <c r="K68" s="681">
        <v>11</v>
      </c>
      <c r="L68" s="690">
        <v>12</v>
      </c>
      <c r="M68" s="681">
        <v>13</v>
      </c>
      <c r="N68" s="690">
        <v>14</v>
      </c>
      <c r="O68" s="681">
        <v>15</v>
      </c>
      <c r="P68" s="690">
        <v>16</v>
      </c>
      <c r="Q68" s="681">
        <v>17</v>
      </c>
      <c r="R68" s="690">
        <v>18</v>
      </c>
      <c r="S68" s="681">
        <v>19</v>
      </c>
      <c r="T68" s="690">
        <v>20</v>
      </c>
    </row>
    <row r="69" spans="1:20">
      <c r="A69" s="681" t="s">
        <v>1260</v>
      </c>
      <c r="B69" s="681">
        <v>1</v>
      </c>
      <c r="C69" s="681">
        <v>2</v>
      </c>
      <c r="D69" s="681">
        <v>2</v>
      </c>
      <c r="E69" s="681">
        <v>3</v>
      </c>
      <c r="F69" s="681">
        <v>4</v>
      </c>
      <c r="G69" s="681">
        <v>4</v>
      </c>
      <c r="H69" s="681">
        <v>5</v>
      </c>
      <c r="I69" s="681">
        <v>3</v>
      </c>
    </row>
    <row r="71" spans="1:20">
      <c r="A71" s="675" t="s">
        <v>1261</v>
      </c>
      <c r="B71" s="681">
        <v>2.4</v>
      </c>
      <c r="C71" s="681">
        <v>2.5</v>
      </c>
      <c r="D71" s="681">
        <v>2.6</v>
      </c>
      <c r="E71" s="681">
        <v>2.7</v>
      </c>
      <c r="F71" s="681">
        <v>2.8</v>
      </c>
      <c r="G71" s="681">
        <v>2.9</v>
      </c>
      <c r="H71" s="681">
        <v>3</v>
      </c>
    </row>
    <row r="72" spans="1:20" ht="36">
      <c r="A72" s="691" t="s">
        <v>1262</v>
      </c>
      <c r="B72" s="692">
        <v>1.35</v>
      </c>
      <c r="C72" s="692">
        <v>1.35</v>
      </c>
      <c r="D72" s="692">
        <v>1.45</v>
      </c>
      <c r="E72" s="692">
        <v>1.55</v>
      </c>
      <c r="F72" s="692">
        <v>1.65</v>
      </c>
      <c r="G72" s="692">
        <v>1.75</v>
      </c>
      <c r="H72" s="692">
        <v>1.85</v>
      </c>
    </row>
    <row r="75" spans="1:20">
      <c r="A75" s="676" t="s">
        <v>1263</v>
      </c>
      <c r="D75" s="693" t="s">
        <v>1264</v>
      </c>
    </row>
    <row r="76" spans="1:20" ht="60" customHeight="1">
      <c r="A76" s="675" t="s">
        <v>1115</v>
      </c>
      <c r="B76" s="694" t="s">
        <v>1132</v>
      </c>
      <c r="C76" s="694" t="s">
        <v>1265</v>
      </c>
      <c r="D76" s="691" t="s">
        <v>1266</v>
      </c>
      <c r="E76" s="691" t="s">
        <v>1662</v>
      </c>
    </row>
    <row r="77" spans="1:20" s="691" customFormat="1" ht="30" customHeight="1">
      <c r="A77" s="691" t="s">
        <v>1116</v>
      </c>
      <c r="B77" s="695" t="s">
        <v>1133</v>
      </c>
      <c r="C77" s="695">
        <v>0.1</v>
      </c>
      <c r="D77" s="691">
        <v>60</v>
      </c>
      <c r="E77" s="696">
        <v>2.2999999999999998</v>
      </c>
    </row>
    <row r="78" spans="1:20" s="696" customFormat="1" ht="30" customHeight="1">
      <c r="A78" s="696" t="s">
        <v>1117</v>
      </c>
      <c r="B78" s="695" t="s">
        <v>1134</v>
      </c>
      <c r="C78" s="695">
        <v>0.125</v>
      </c>
      <c r="D78" s="691">
        <v>90</v>
      </c>
      <c r="E78" s="696">
        <v>2.4</v>
      </c>
    </row>
    <row r="79" spans="1:20" s="696" customFormat="1" ht="30" customHeight="1">
      <c r="A79" s="696" t="s">
        <v>1118</v>
      </c>
      <c r="B79" s="697" t="s">
        <v>1135</v>
      </c>
      <c r="C79" s="695">
        <v>0.125</v>
      </c>
      <c r="D79" s="691">
        <v>90</v>
      </c>
      <c r="E79" s="696">
        <v>2.5</v>
      </c>
    </row>
    <row r="80" spans="1:20" s="698" customFormat="1" ht="30" customHeight="1">
      <c r="A80" s="698" t="s">
        <v>1119</v>
      </c>
      <c r="B80" s="695" t="s">
        <v>1143</v>
      </c>
      <c r="C80" s="695">
        <v>0.125</v>
      </c>
      <c r="D80" s="691">
        <v>90</v>
      </c>
      <c r="E80" s="696">
        <v>2.4</v>
      </c>
    </row>
    <row r="81" spans="1:6" s="699" customFormat="1" ht="30" customHeight="1">
      <c r="A81" s="699" t="s">
        <v>1120</v>
      </c>
      <c r="B81" s="695" t="s">
        <v>1144</v>
      </c>
      <c r="C81" s="695">
        <v>0.1</v>
      </c>
      <c r="D81" s="691">
        <v>90</v>
      </c>
      <c r="E81" s="696">
        <v>2.4</v>
      </c>
    </row>
    <row r="82" spans="1:6" s="699" customFormat="1" ht="30" customHeight="1">
      <c r="A82" s="699" t="s">
        <v>1121</v>
      </c>
      <c r="B82" s="695" t="s">
        <v>1145</v>
      </c>
      <c r="C82" s="695">
        <v>0.125</v>
      </c>
      <c r="D82" s="691">
        <v>90</v>
      </c>
      <c r="E82" s="696">
        <v>2.4</v>
      </c>
      <c r="F82" s="696">
        <v>2.2999999999999998</v>
      </c>
    </row>
    <row r="83" spans="1:6" s="699" customFormat="1" ht="30" customHeight="1">
      <c r="A83" s="699" t="s">
        <v>1122</v>
      </c>
      <c r="B83" s="695" t="s">
        <v>1140</v>
      </c>
      <c r="C83" s="695">
        <v>0.1</v>
      </c>
      <c r="D83" s="700">
        <v>60</v>
      </c>
      <c r="E83" s="696">
        <v>2.4</v>
      </c>
    </row>
    <row r="84" spans="1:6" s="699" customFormat="1" ht="30" customHeight="1">
      <c r="A84" s="699" t="s">
        <v>1123</v>
      </c>
      <c r="B84" s="695" t="s">
        <v>1136</v>
      </c>
      <c r="C84" s="695">
        <v>0.125</v>
      </c>
      <c r="D84" s="691">
        <v>90</v>
      </c>
      <c r="E84" s="696">
        <v>2.4</v>
      </c>
      <c r="F84" s="696">
        <v>2.2999999999999998</v>
      </c>
    </row>
    <row r="85" spans="1:6" s="699" customFormat="1" ht="30" customHeight="1">
      <c r="A85" s="699" t="s">
        <v>1124</v>
      </c>
      <c r="B85" s="695" t="s">
        <v>1141</v>
      </c>
      <c r="C85" s="695">
        <v>0.125</v>
      </c>
      <c r="D85" s="691">
        <v>90</v>
      </c>
      <c r="E85" s="696">
        <v>2.4</v>
      </c>
    </row>
    <row r="86" spans="1:6" s="699" customFormat="1" ht="30" customHeight="1">
      <c r="A86" s="699" t="s">
        <v>1125</v>
      </c>
      <c r="B86" s="695" t="s">
        <v>1267</v>
      </c>
      <c r="C86" s="695">
        <v>0.125</v>
      </c>
      <c r="D86" s="691">
        <v>90</v>
      </c>
      <c r="E86" s="696">
        <v>2.4</v>
      </c>
    </row>
    <row r="87" spans="1:6" s="699" customFormat="1" ht="30" customHeight="1">
      <c r="A87" s="699" t="s">
        <v>1126</v>
      </c>
      <c r="B87" s="695" t="s">
        <v>1138</v>
      </c>
      <c r="C87" s="695">
        <v>0.1</v>
      </c>
      <c r="D87" s="691">
        <v>90</v>
      </c>
      <c r="E87" s="696">
        <v>2.4</v>
      </c>
    </row>
    <row r="88" spans="1:6" s="691" customFormat="1" ht="30" customHeight="1">
      <c r="A88" s="691" t="s">
        <v>1127</v>
      </c>
      <c r="B88" s="695" t="s">
        <v>1146</v>
      </c>
      <c r="C88" s="695">
        <v>0.125</v>
      </c>
      <c r="D88" s="691">
        <v>90</v>
      </c>
      <c r="E88" s="696">
        <v>2.4</v>
      </c>
    </row>
    <row r="89" spans="1:6" s="691" customFormat="1" ht="30" customHeight="1">
      <c r="A89" s="691" t="s">
        <v>1128</v>
      </c>
      <c r="B89" s="695" t="s">
        <v>1147</v>
      </c>
      <c r="C89" s="695">
        <v>0.125</v>
      </c>
      <c r="D89" s="691">
        <v>90</v>
      </c>
      <c r="E89" s="696">
        <v>2.4</v>
      </c>
    </row>
    <row r="90" spans="1:6" s="691" customFormat="1" ht="30" customHeight="1">
      <c r="A90" s="691" t="s">
        <v>1129</v>
      </c>
      <c r="B90" s="695" t="s">
        <v>1148</v>
      </c>
      <c r="C90" s="695">
        <v>0.125</v>
      </c>
      <c r="D90" s="691">
        <v>90</v>
      </c>
      <c r="E90" s="696">
        <v>2.4</v>
      </c>
    </row>
    <row r="91" spans="1:6" s="691" customFormat="1" ht="30" customHeight="1">
      <c r="A91" s="691" t="s">
        <v>1130</v>
      </c>
      <c r="B91" s="695" t="s">
        <v>1139</v>
      </c>
      <c r="C91" s="695">
        <v>0.125</v>
      </c>
      <c r="D91" s="691">
        <v>90</v>
      </c>
      <c r="E91" s="696">
        <v>2.4</v>
      </c>
    </row>
    <row r="92" spans="1:6" s="691" customFormat="1" ht="30" customHeight="1">
      <c r="A92" s="691" t="s">
        <v>1131</v>
      </c>
      <c r="B92" s="695" t="s">
        <v>1142</v>
      </c>
      <c r="C92" s="695">
        <v>0.125</v>
      </c>
      <c r="D92" s="691">
        <v>90</v>
      </c>
      <c r="E92" s="696">
        <v>2.4</v>
      </c>
    </row>
    <row r="93" spans="1:6">
      <c r="D93" s="693" t="s">
        <v>1264</v>
      </c>
    </row>
  </sheetData>
  <sheetProtection algorithmName="SHA-512" hashValue="T2vGi6B5NUWwVCYIeRZpOL7tXfRy7okQhiEgPZpBLtQ5LJnuaM/w3VB3m+3vg5Brq87cBSQ+VqWaTQLQMjMdxg==" saltValue="3UemfGllHMJaLjqdQ0eLdg==" spinCount="100000" sheet="1" objects="1" scenarios="1"/>
  <dataConsolidate>
    <dataRefs count="1">
      <dataRef name="Bundesland" r:id="rId1"/>
    </dataRefs>
  </dataConsolidate>
  <mergeCells count="1">
    <mergeCell ref="C63:J63"/>
  </mergeCells>
  <pageMargins left="0.7" right="0.7" top="0.75" bottom="0.75" header="0.3" footer="0.3"/>
  <pageSetup paperSize="8" orientation="landscape"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9999"/>
  </sheetPr>
  <dimension ref="A2:E27"/>
  <sheetViews>
    <sheetView workbookViewId="0">
      <selection activeCell="N49" sqref="N49"/>
    </sheetView>
  </sheetViews>
  <sheetFormatPr baseColWidth="10" defaultRowHeight="15"/>
  <cols>
    <col min="1" max="1" width="29.5" bestFit="1" customWidth="1"/>
    <col min="2" max="2" width="11.83203125" bestFit="1" customWidth="1"/>
    <col min="3" max="3" width="12.1640625" customWidth="1"/>
  </cols>
  <sheetData>
    <row r="2" spans="1:5" ht="19">
      <c r="A2" s="1317" t="s">
        <v>2350</v>
      </c>
    </row>
    <row r="4" spans="1:5">
      <c r="A4" s="1240"/>
      <c r="B4" s="1259" t="s">
        <v>1697</v>
      </c>
      <c r="C4" s="1240"/>
      <c r="D4" s="1259" t="s">
        <v>1698</v>
      </c>
      <c r="E4" s="1240"/>
    </row>
    <row r="5" spans="1:5" ht="16">
      <c r="A5" s="1240" t="s">
        <v>1699</v>
      </c>
      <c r="B5" s="1362">
        <v>600</v>
      </c>
      <c r="C5" s="1240" t="s">
        <v>1700</v>
      </c>
      <c r="D5" s="1362">
        <v>800</v>
      </c>
      <c r="E5" s="1240" t="s">
        <v>1700</v>
      </c>
    </row>
    <row r="6" spans="1:5" ht="16">
      <c r="A6" s="1240" t="s">
        <v>1392</v>
      </c>
      <c r="B6" s="1362">
        <v>800</v>
      </c>
      <c r="C6" s="1240" t="s">
        <v>1700</v>
      </c>
      <c r="D6" s="1362">
        <v>1200</v>
      </c>
      <c r="E6" s="1240" t="s">
        <v>1700</v>
      </c>
    </row>
    <row r="7" spans="1:5" ht="16">
      <c r="A7" s="1240" t="s">
        <v>1393</v>
      </c>
      <c r="B7" s="1362">
        <v>900</v>
      </c>
      <c r="C7" s="1240" t="s">
        <v>1700</v>
      </c>
      <c r="D7" s="1362">
        <v>1200</v>
      </c>
      <c r="E7" s="1240" t="s">
        <v>1700</v>
      </c>
    </row>
    <row r="8" spans="1:5" ht="16">
      <c r="A8" s="1240" t="s">
        <v>1394</v>
      </c>
      <c r="B8" s="1362">
        <v>120</v>
      </c>
      <c r="C8" s="1240" t="s">
        <v>1701</v>
      </c>
      <c r="D8" s="1362">
        <v>250</v>
      </c>
      <c r="E8" s="1240" t="s">
        <v>1701</v>
      </c>
    </row>
    <row r="9" spans="1:5" ht="16">
      <c r="A9" s="1240" t="s">
        <v>2349</v>
      </c>
      <c r="B9" s="1362">
        <v>180</v>
      </c>
      <c r="C9" s="1240" t="s">
        <v>1701</v>
      </c>
      <c r="D9" s="1362">
        <v>250</v>
      </c>
      <c r="E9" s="1240" t="s">
        <v>1701</v>
      </c>
    </row>
    <row r="10" spans="1:5" ht="16">
      <c r="A10" s="1240" t="s">
        <v>1395</v>
      </c>
      <c r="B10" s="1362">
        <v>375</v>
      </c>
      <c r="C10" s="1240" t="s">
        <v>1701</v>
      </c>
      <c r="D10" s="1362">
        <v>650</v>
      </c>
      <c r="E10" s="1240" t="s">
        <v>1701</v>
      </c>
    </row>
    <row r="11" spans="1:5" ht="16">
      <c r="A11" s="1240" t="s">
        <v>1396</v>
      </c>
      <c r="B11" s="1362">
        <v>100</v>
      </c>
      <c r="C11" s="1240" t="s">
        <v>1701</v>
      </c>
      <c r="D11" s="1362">
        <v>250</v>
      </c>
      <c r="E11" s="1240" t="s">
        <v>1701</v>
      </c>
    </row>
    <row r="17" spans="1:5" ht="19">
      <c r="A17" s="1317" t="s">
        <v>2351</v>
      </c>
    </row>
    <row r="18" spans="1:5">
      <c r="A18" t="s">
        <v>2352</v>
      </c>
    </row>
    <row r="19" spans="1:5">
      <c r="A19" s="1099" t="s">
        <v>2353</v>
      </c>
    </row>
    <row r="20" spans="1:5">
      <c r="A20" s="1321"/>
      <c r="B20" s="1319" t="s">
        <v>1697</v>
      </c>
      <c r="C20" s="703"/>
      <c r="D20" s="1319" t="s">
        <v>1698</v>
      </c>
      <c r="E20" s="703"/>
    </row>
    <row r="21" spans="1:5" ht="16">
      <c r="A21" s="703" t="s">
        <v>1699</v>
      </c>
      <c r="B21" s="1320">
        <f>IF('Erweiterte Eingabe'!B39="",Kostenwerte!B5,'Erweiterte Eingabe'!B39)</f>
        <v>600</v>
      </c>
      <c r="C21" s="1318" t="s">
        <v>1700</v>
      </c>
      <c r="D21" s="1320">
        <f>IF('Erweiterte Eingabe'!E39="",Kostenwerte!D5,'Erweiterte Eingabe'!E39)</f>
        <v>800</v>
      </c>
      <c r="E21" s="703" t="s">
        <v>1700</v>
      </c>
    </row>
    <row r="22" spans="1:5" ht="16">
      <c r="A22" s="703" t="s">
        <v>1392</v>
      </c>
      <c r="B22" s="1320">
        <f>IF('Erweiterte Eingabe'!B40="",Kostenwerte!B6,'Erweiterte Eingabe'!B40)</f>
        <v>800</v>
      </c>
      <c r="C22" s="1318" t="s">
        <v>1700</v>
      </c>
      <c r="D22" s="1320">
        <f>IF('Erweiterte Eingabe'!E40="",Kostenwerte!D6,'Erweiterte Eingabe'!E40)</f>
        <v>1200</v>
      </c>
      <c r="E22" s="703" t="s">
        <v>1700</v>
      </c>
    </row>
    <row r="23" spans="1:5" ht="16">
      <c r="A23" s="703" t="s">
        <v>1393</v>
      </c>
      <c r="B23" s="1320">
        <f>IF('Erweiterte Eingabe'!B41="",Kostenwerte!B7,'Erweiterte Eingabe'!B41)</f>
        <v>900</v>
      </c>
      <c r="C23" s="1318" t="s">
        <v>1700</v>
      </c>
      <c r="D23" s="1320">
        <f>IF('Erweiterte Eingabe'!E41="",Kostenwerte!D7,'Erweiterte Eingabe'!E41)</f>
        <v>1200</v>
      </c>
      <c r="E23" s="703" t="s">
        <v>1700</v>
      </c>
    </row>
    <row r="24" spans="1:5" ht="16">
      <c r="A24" s="703" t="s">
        <v>1394</v>
      </c>
      <c r="B24" s="1320">
        <f>IF('Erweiterte Eingabe'!B42="",Kostenwerte!B8,'Erweiterte Eingabe'!B42)</f>
        <v>120</v>
      </c>
      <c r="C24" s="1318" t="s">
        <v>1701</v>
      </c>
      <c r="D24" s="1320">
        <f>IF('Erweiterte Eingabe'!E42="",Kostenwerte!D8,'Erweiterte Eingabe'!E42)</f>
        <v>250</v>
      </c>
      <c r="E24" s="703" t="s">
        <v>1701</v>
      </c>
    </row>
    <row r="25" spans="1:5" ht="16">
      <c r="A25" s="703" t="s">
        <v>2349</v>
      </c>
      <c r="B25" s="1320">
        <f>IF('Erweiterte Eingabe'!B43="",Kostenwerte!B9,'Erweiterte Eingabe'!B43)</f>
        <v>180</v>
      </c>
      <c r="C25" s="1318" t="s">
        <v>1701</v>
      </c>
      <c r="D25" s="1320">
        <f>IF('Erweiterte Eingabe'!E43="",Kostenwerte!D9,'Erweiterte Eingabe'!E43)</f>
        <v>250</v>
      </c>
      <c r="E25" s="703" t="s">
        <v>1701</v>
      </c>
    </row>
    <row r="26" spans="1:5" ht="16">
      <c r="A26" s="703" t="s">
        <v>1395</v>
      </c>
      <c r="B26" s="1320">
        <f>IF('Erweiterte Eingabe'!B44="",Kostenwerte!B10,'Erweiterte Eingabe'!B44)</f>
        <v>400</v>
      </c>
      <c r="C26" s="1318" t="s">
        <v>1701</v>
      </c>
      <c r="D26" s="1320">
        <f>IF('Erweiterte Eingabe'!E44="",Kostenwerte!D10,'Erweiterte Eingabe'!E44)</f>
        <v>600</v>
      </c>
      <c r="E26" s="703" t="s">
        <v>1701</v>
      </c>
    </row>
    <row r="27" spans="1:5" ht="16">
      <c r="A27" s="703" t="s">
        <v>1396</v>
      </c>
      <c r="B27" s="1320">
        <f>IF('Erweiterte Eingabe'!B45="",Kostenwerte!B11,'Erweiterte Eingabe'!B45)</f>
        <v>220</v>
      </c>
      <c r="C27" s="1318" t="s">
        <v>1701</v>
      </c>
      <c r="D27" s="1320">
        <f>IF('Erweiterte Eingabe'!E45="",Kostenwerte!D11,'Erweiterte Eingabe'!E45)</f>
        <v>250</v>
      </c>
      <c r="E27" s="703" t="s">
        <v>1701</v>
      </c>
    </row>
  </sheetData>
  <sheetProtection algorithmName="SHA-512" hashValue="ob/KbO4Taas0+odHWcf60ntLrdirCBicSzzVn5n3BlS4mLswMpTeWFTt4nXSFkCga/rmJaRNnPkatDqjrr5emA==" saltValue="b8uTL8eDW8tYtSWIiTN0+g==" spinCount="100000" sheet="1" objects="1" scenarios="1"/>
  <pageMargins left="0.7" right="0.7" top="0.78740157499999996" bottom="0.78740157499999996"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Tabelle9">
    <tabColor rgb="FFFF9999"/>
  </sheetPr>
  <dimension ref="A3:P297"/>
  <sheetViews>
    <sheetView topLeftCell="A4" workbookViewId="0">
      <selection activeCell="N49" sqref="N49"/>
    </sheetView>
  </sheetViews>
  <sheetFormatPr baseColWidth="10" defaultRowHeight="15"/>
  <cols>
    <col min="3" max="3" width="20.1640625" customWidth="1"/>
    <col min="4" max="4" width="17.1640625" bestFit="1" customWidth="1"/>
    <col min="5" max="5" width="12.6640625" bestFit="1" customWidth="1"/>
  </cols>
  <sheetData>
    <row r="3" spans="1:10" ht="16" thickBot="1">
      <c r="I3" t="s">
        <v>1920</v>
      </c>
      <c r="J3" t="str">
        <f ca="1">"WZ_"&amp;INDIRECT("'Hilfstabelle Gebäudeklasse'!D4")</f>
        <v>WZ_HE</v>
      </c>
    </row>
    <row r="4" spans="1:10">
      <c r="A4" s="986" t="s">
        <v>1782</v>
      </c>
      <c r="B4" s="987"/>
      <c r="C4" s="987" t="str">
        <f>IF('Erweiterte Eingabe'!C28="","II",'Erweiterte Eingabe'!C28)</f>
        <v>I</v>
      </c>
      <c r="D4" s="988"/>
      <c r="I4" t="s">
        <v>1920</v>
      </c>
      <c r="J4" t="str">
        <f ca="1">"Gelände_"&amp;INDIRECT("C4")</f>
        <v>Gelände_I</v>
      </c>
    </row>
    <row r="5" spans="1:10">
      <c r="A5" s="989" t="s">
        <v>1784</v>
      </c>
      <c r="C5" t="str">
        <f>IF('Erweiterte Eingabe'!C29="","Binnenland",'Erweiterte Eingabe'!C29)</f>
        <v>Binnenland</v>
      </c>
      <c r="D5" s="619"/>
      <c r="J5" t="str">
        <f ca="1">INDIRECT("C4 ")&amp;" "&amp;INDIRECT("C5")</f>
        <v>I Binnenland</v>
      </c>
    </row>
    <row r="6" spans="1:10" ht="18" thickBot="1">
      <c r="A6" s="990" t="s">
        <v>1992</v>
      </c>
      <c r="B6" s="991"/>
      <c r="C6" s="992">
        <f ca="1">INDEX(Hilfstabelle_Aussteifung!$C$35:$E$42,MATCH(Aussteifung!$J$5,Hilfstabelle_Aussteifung!$B$35:$B$42,0),IFERROR(MATCH('Eingabe und Ergebnis'!$B26,Hilfstabelle_Aussteifung!$C$34:$E$34,1),0)+1)</f>
        <v>0.65</v>
      </c>
      <c r="D6" s="993"/>
    </row>
    <row r="9" spans="1:10">
      <c r="C9" t="s">
        <v>2320</v>
      </c>
      <c r="D9" t="s">
        <v>2322</v>
      </c>
    </row>
    <row r="11" spans="1:10">
      <c r="C11" t="s">
        <v>2321</v>
      </c>
      <c r="D11" t="s">
        <v>2180</v>
      </c>
    </row>
    <row r="12" spans="1:10">
      <c r="C12" t="s">
        <v>2180</v>
      </c>
      <c r="D12" t="s">
        <v>2181</v>
      </c>
    </row>
    <row r="13" spans="1:10">
      <c r="C13" t="s">
        <v>2181</v>
      </c>
    </row>
    <row r="16" spans="1:10">
      <c r="A16" s="1083" t="s">
        <v>1788</v>
      </c>
      <c r="B16" s="1083"/>
      <c r="C16" s="1083"/>
      <c r="D16" s="1084"/>
    </row>
    <row r="17" spans="1:9">
      <c r="A17" t="s">
        <v>1790</v>
      </c>
    </row>
    <row r="18" spans="1:9">
      <c r="A18" t="s">
        <v>1789</v>
      </c>
    </row>
    <row r="19" spans="1:9">
      <c r="A19" t="s">
        <v>1791</v>
      </c>
    </row>
    <row r="20" spans="1:9">
      <c r="A20" s="1085" t="s">
        <v>1792</v>
      </c>
      <c r="I20" s="1085" t="s">
        <v>2101</v>
      </c>
    </row>
    <row r="21" spans="1:9">
      <c r="A21" t="s">
        <v>1923</v>
      </c>
    </row>
    <row r="22" spans="1:9">
      <c r="A22" s="1085" t="s">
        <v>1798</v>
      </c>
      <c r="I22" s="1085" t="s">
        <v>2101</v>
      </c>
    </row>
    <row r="25" spans="1:9" ht="16" thickBot="1"/>
    <row r="26" spans="1:9">
      <c r="A26" s="978" t="s">
        <v>1793</v>
      </c>
      <c r="B26" s="979"/>
      <c r="C26" s="979"/>
      <c r="D26" s="980">
        <f>'Eingabe und Ergebnis'!B182</f>
        <v>47.699999999999996</v>
      </c>
    </row>
    <row r="27" spans="1:9">
      <c r="A27" s="618"/>
      <c r="B27" t="s">
        <v>1904</v>
      </c>
      <c r="D27" s="981">
        <v>40</v>
      </c>
    </row>
    <row r="28" spans="1:9" ht="30" customHeight="1">
      <c r="A28" s="618"/>
      <c r="B28" s="1398" t="s">
        <v>1933</v>
      </c>
      <c r="C28" s="1398"/>
      <c r="D28" s="982">
        <f>ROUNDUP(D26/D27,0)</f>
        <v>2</v>
      </c>
    </row>
    <row r="29" spans="1:9" ht="30" customHeight="1">
      <c r="A29" s="618"/>
      <c r="B29" s="1398" t="s">
        <v>1934</v>
      </c>
      <c r="C29" s="1398"/>
      <c r="D29" s="981">
        <f>D26/D28</f>
        <v>23.849999999999998</v>
      </c>
    </row>
    <row r="30" spans="1:9">
      <c r="A30" s="618"/>
      <c r="B30" s="1398" t="s">
        <v>1935</v>
      </c>
      <c r="C30" s="1398"/>
      <c r="D30" s="982">
        <f>ROUNDUP(D29/D52,0)</f>
        <v>5</v>
      </c>
    </row>
    <row r="31" spans="1:9" ht="30" customHeight="1">
      <c r="A31" s="618"/>
      <c r="B31" s="1398" t="s">
        <v>1936</v>
      </c>
      <c r="C31" s="1398"/>
      <c r="D31" s="981">
        <f>D30*D52</f>
        <v>26.5</v>
      </c>
    </row>
    <row r="32" spans="1:9">
      <c r="A32" s="618"/>
      <c r="B32" s="1398" t="s">
        <v>1812</v>
      </c>
      <c r="C32" s="1398"/>
      <c r="D32" s="982">
        <f>IF('Eingabe und Ergebnis'!$B$31="",1,'Eingabe und Ergebnis'!$B$31)</f>
        <v>3</v>
      </c>
    </row>
    <row r="33" spans="1:4" ht="30" customHeight="1">
      <c r="A33" s="618"/>
      <c r="B33" s="1398" t="s">
        <v>1903</v>
      </c>
      <c r="C33" s="1398"/>
      <c r="D33" s="981">
        <f>D26/D32</f>
        <v>15.899999999999999</v>
      </c>
    </row>
    <row r="34" spans="1:4">
      <c r="A34" s="618"/>
      <c r="D34" s="981"/>
    </row>
    <row r="35" spans="1:4" ht="16" thickBot="1">
      <c r="A35" s="983"/>
      <c r="B35" s="984" t="s">
        <v>1984</v>
      </c>
      <c r="C35" s="984"/>
      <c r="D35" s="985">
        <f>MIN(D27,D31,D33)</f>
        <v>15.899999999999999</v>
      </c>
    </row>
    <row r="36" spans="1:4" ht="16" thickBot="1">
      <c r="D36" s="945"/>
    </row>
    <row r="37" spans="1:4">
      <c r="A37" s="978" t="s">
        <v>1794</v>
      </c>
      <c r="B37" s="979"/>
      <c r="C37" s="979"/>
      <c r="D37" s="980">
        <f>'Eingabe und Ergebnis'!B183</f>
        <v>10</v>
      </c>
    </row>
    <row r="38" spans="1:4">
      <c r="A38" s="618"/>
      <c r="B38" t="s">
        <v>1904</v>
      </c>
      <c r="D38" s="981">
        <f>D27</f>
        <v>40</v>
      </c>
    </row>
    <row r="39" spans="1:4" ht="30" customHeight="1">
      <c r="A39" s="618"/>
      <c r="B39" s="1398" t="s">
        <v>1933</v>
      </c>
      <c r="C39" s="1398"/>
      <c r="D39" s="982">
        <f>ROUNDUP(D37/D38,0)</f>
        <v>1</v>
      </c>
    </row>
    <row r="40" spans="1:4" ht="30" customHeight="1">
      <c r="A40" s="618"/>
      <c r="B40" s="1398" t="s">
        <v>1934</v>
      </c>
      <c r="C40" s="1398"/>
      <c r="D40" s="981">
        <f>D37/D39</f>
        <v>10</v>
      </c>
    </row>
    <row r="41" spans="1:4">
      <c r="A41" s="618"/>
      <c r="B41" s="1398" t="s">
        <v>1935</v>
      </c>
      <c r="C41" s="1398"/>
      <c r="D41" s="982">
        <f>ROUNDUP(D40/D53,0)</f>
        <v>2</v>
      </c>
    </row>
    <row r="42" spans="1:4" ht="30" customHeight="1">
      <c r="A42" s="618"/>
      <c r="B42" s="1398" t="s">
        <v>1936</v>
      </c>
      <c r="C42" s="1398"/>
      <c r="D42" s="981">
        <f>D41*D53</f>
        <v>10</v>
      </c>
    </row>
    <row r="43" spans="1:4">
      <c r="A43" s="618"/>
      <c r="B43" s="1398" t="s">
        <v>1812</v>
      </c>
      <c r="C43" s="1398"/>
      <c r="D43" s="982">
        <f>IF(D37&gt;D26,'Eingabe und Ergebnis'!$B$31,1)</f>
        <v>1</v>
      </c>
    </row>
    <row r="44" spans="1:4" ht="30" customHeight="1">
      <c r="A44" s="618"/>
      <c r="B44" s="1398" t="s">
        <v>1903</v>
      </c>
      <c r="C44" s="1398"/>
      <c r="D44" s="981">
        <f>D37/D43</f>
        <v>10</v>
      </c>
    </row>
    <row r="45" spans="1:4">
      <c r="A45" s="618"/>
      <c r="D45" s="981"/>
    </row>
    <row r="46" spans="1:4" ht="16" thickBot="1">
      <c r="A46" s="983"/>
      <c r="B46" s="984" t="s">
        <v>1985</v>
      </c>
      <c r="C46" s="984"/>
      <c r="D46" s="985">
        <f>MIN(D38,D42,D44)</f>
        <v>10</v>
      </c>
    </row>
    <row r="47" spans="1:4" ht="16" thickBot="1">
      <c r="D47" s="945"/>
    </row>
    <row r="48" spans="1:4">
      <c r="A48" s="978" t="s">
        <v>1795</v>
      </c>
      <c r="B48" s="979"/>
      <c r="C48" s="979"/>
      <c r="D48" s="980">
        <f ca="1">Rechenmodell!B4</f>
        <v>17.175000000000001</v>
      </c>
    </row>
    <row r="49" spans="1:9">
      <c r="A49" s="618" t="s">
        <v>1799</v>
      </c>
      <c r="D49" s="981">
        <f ca="1">Rechenmodell!F6</f>
        <v>3.4350000000000001</v>
      </c>
    </row>
    <row r="50" spans="1:9" ht="16" thickBot="1">
      <c r="A50" s="983" t="s">
        <v>999</v>
      </c>
      <c r="B50" s="991"/>
      <c r="C50" s="991"/>
      <c r="D50" s="1018">
        <f>n_GESCHOSSE</f>
        <v>5</v>
      </c>
    </row>
    <row r="51" spans="1:9">
      <c r="D51" s="946"/>
    </row>
    <row r="52" spans="1:9">
      <c r="A52" t="s">
        <v>1807</v>
      </c>
      <c r="D52" s="945">
        <f>Rechenmodell!B7</f>
        <v>5.3</v>
      </c>
    </row>
    <row r="53" spans="1:9">
      <c r="A53" t="s">
        <v>1808</v>
      </c>
      <c r="D53" s="945">
        <f>Rechenmodell!B8</f>
        <v>5</v>
      </c>
    </row>
    <row r="54" spans="1:9">
      <c r="D54" s="549"/>
    </row>
    <row r="55" spans="1:9">
      <c r="D55" s="549"/>
    </row>
    <row r="56" spans="1:9">
      <c r="D56" s="549"/>
    </row>
    <row r="57" spans="1:9">
      <c r="A57" t="s">
        <v>1796</v>
      </c>
      <c r="D57" s="947">
        <f ca="1">D48/MIN(D26:D37)</f>
        <v>8.5875000000000004</v>
      </c>
    </row>
    <row r="60" spans="1:9">
      <c r="A60" s="1083" t="s">
        <v>1800</v>
      </c>
      <c r="B60" s="1086"/>
      <c r="C60" s="1086"/>
      <c r="D60" s="1086"/>
      <c r="E60" s="1086"/>
      <c r="F60" s="1086"/>
      <c r="G60" s="1086"/>
      <c r="H60" s="1086"/>
    </row>
    <row r="61" spans="1:9">
      <c r="B61" t="s">
        <v>1836</v>
      </c>
      <c r="E61" s="937">
        <f ca="1">0.005*SQRT(5/D49)</f>
        <v>6.0324208981374387E-3</v>
      </c>
      <c r="I61" t="s">
        <v>1837</v>
      </c>
    </row>
    <row r="62" spans="1:9" ht="17">
      <c r="B62" s="1397" t="s">
        <v>1854</v>
      </c>
      <c r="C62" s="1397"/>
      <c r="D62" s="1397"/>
      <c r="E62" s="938">
        <f ca="1">a_k+5*'Eingabe und Ergebnis'!D136/1000</f>
        <v>4.2</v>
      </c>
    </row>
    <row r="63" spans="1:9" ht="17">
      <c r="B63" s="1397" t="s">
        <v>1839</v>
      </c>
      <c r="C63" s="1397"/>
      <c r="D63" s="1397"/>
      <c r="E63" s="938">
        <f ca="1">a_k+5*'Eingabe und Ergebnis'!D136/1000</f>
        <v>4.2</v>
      </c>
    </row>
    <row r="64" spans="1:9" ht="17">
      <c r="B64" s="1397" t="s">
        <v>1840</v>
      </c>
      <c r="C64" s="1397"/>
      <c r="D64" s="1397"/>
      <c r="E64" s="938">
        <f>q_k</f>
        <v>2.2999999999999998</v>
      </c>
    </row>
    <row r="65" spans="1:9" ht="17">
      <c r="B65" t="s">
        <v>1855</v>
      </c>
      <c r="D65" s="936" t="s">
        <v>1856</v>
      </c>
      <c r="E65" s="939">
        <f ca="1">E61*E62</f>
        <v>2.5336167772177242E-2</v>
      </c>
      <c r="I65" t="s">
        <v>2104</v>
      </c>
    </row>
    <row r="66" spans="1:9" ht="17">
      <c r="B66" t="s">
        <v>1838</v>
      </c>
      <c r="D66" s="936" t="s">
        <v>1842</v>
      </c>
      <c r="E66" s="939">
        <f ca="1">E61*(E63+E64)</f>
        <v>3.9210735837893348E-2</v>
      </c>
      <c r="I66" t="s">
        <v>1849</v>
      </c>
    </row>
    <row r="67" spans="1:9" ht="17">
      <c r="B67" t="s">
        <v>1841</v>
      </c>
      <c r="D67" s="936" t="s">
        <v>1843</v>
      </c>
      <c r="E67" s="940">
        <f>D26*D37</f>
        <v>476.99999999999994</v>
      </c>
      <c r="I67" t="s">
        <v>1850</v>
      </c>
    </row>
    <row r="68" spans="1:9" ht="17">
      <c r="B68" t="s">
        <v>1857</v>
      </c>
      <c r="D68" s="936" t="s">
        <v>1858</v>
      </c>
      <c r="E68" s="941">
        <f ca="1">E65*E67</f>
        <v>12.085352027328543</v>
      </c>
      <c r="I68" t="s">
        <v>1859</v>
      </c>
    </row>
    <row r="69" spans="1:9" ht="17">
      <c r="B69" t="s">
        <v>1845</v>
      </c>
      <c r="D69" s="936" t="s">
        <v>1861</v>
      </c>
      <c r="E69" s="942">
        <f ca="1">E68/D37</f>
        <v>1.2085352027328544</v>
      </c>
      <c r="I69" t="s">
        <v>1852</v>
      </c>
    </row>
    <row r="70" spans="1:9" ht="17">
      <c r="B70" t="s">
        <v>1846</v>
      </c>
      <c r="D70" s="936" t="s">
        <v>1862</v>
      </c>
      <c r="E70" s="942">
        <f ca="1">E68/D26</f>
        <v>0.25336167772177243</v>
      </c>
      <c r="I70" t="s">
        <v>1853</v>
      </c>
    </row>
    <row r="71" spans="1:9" ht="17">
      <c r="B71" t="s">
        <v>1860</v>
      </c>
      <c r="D71" s="936" t="s">
        <v>1844</v>
      </c>
      <c r="E71" s="941">
        <f ca="1">E66*E67</f>
        <v>18.703520994675124</v>
      </c>
      <c r="I71" t="s">
        <v>1851</v>
      </c>
    </row>
    <row r="72" spans="1:9" ht="17">
      <c r="B72" t="s">
        <v>1845</v>
      </c>
      <c r="D72" s="936" t="s">
        <v>1847</v>
      </c>
      <c r="E72" s="942">
        <f ca="1">E71/D37</f>
        <v>1.8703520994675125</v>
      </c>
      <c r="I72" t="s">
        <v>1852</v>
      </c>
    </row>
    <row r="73" spans="1:9" ht="17">
      <c r="B73" t="s">
        <v>1846</v>
      </c>
      <c r="D73" s="936" t="s">
        <v>1848</v>
      </c>
      <c r="E73" s="942">
        <f ca="1">E71/D26</f>
        <v>0.39210735837893346</v>
      </c>
      <c r="I73" t="s">
        <v>1853</v>
      </c>
    </row>
    <row r="76" spans="1:9">
      <c r="A76" s="1083" t="s">
        <v>1801</v>
      </c>
      <c r="B76" s="1086"/>
      <c r="C76" s="1086"/>
      <c r="D76" s="1086"/>
      <c r="E76" s="1086"/>
      <c r="F76" s="1086"/>
      <c r="G76" s="1086"/>
      <c r="H76" s="1086"/>
    </row>
    <row r="77" spans="1:9" ht="17">
      <c r="D77" s="936" t="s">
        <v>1867</v>
      </c>
      <c r="E77" s="943">
        <f ca="1">(0.8+0.5)*$C$6*D49+E72</f>
        <v>4.7729270994675126</v>
      </c>
    </row>
    <row r="78" spans="1:9" ht="17">
      <c r="D78" s="936" t="s">
        <v>1868</v>
      </c>
      <c r="E78" s="943">
        <f ca="1">(0.8+0.5)*$C$6*D49+E73</f>
        <v>3.2946823583789335</v>
      </c>
    </row>
    <row r="79" spans="1:9" ht="17">
      <c r="C79" t="s">
        <v>1998</v>
      </c>
      <c r="D79" s="936" t="s">
        <v>1999</v>
      </c>
      <c r="E79" s="944">
        <f ca="1">ROUNDUP(E77*D37,0)</f>
        <v>48</v>
      </c>
    </row>
    <row r="80" spans="1:9" ht="17">
      <c r="D80" s="936" t="s">
        <v>2002</v>
      </c>
      <c r="E80" s="944">
        <f ca="1">ROUNDUP(E78*D26,0)</f>
        <v>158</v>
      </c>
    </row>
    <row r="81" spans="1:9" ht="17">
      <c r="C81" t="s">
        <v>1994</v>
      </c>
      <c r="D81" s="936" t="s">
        <v>1993</v>
      </c>
      <c r="E81" s="943">
        <f ca="1">MAX(E77:E78)</f>
        <v>4.7729270994675126</v>
      </c>
      <c r="I81" s="1085" t="s">
        <v>2105</v>
      </c>
    </row>
    <row r="82" spans="1:9">
      <c r="D82" s="936"/>
      <c r="E82" s="943"/>
    </row>
    <row r="83" spans="1:9">
      <c r="A83" s="1083" t="s">
        <v>1802</v>
      </c>
      <c r="B83" s="1086"/>
      <c r="C83" s="1086"/>
      <c r="D83" s="1086"/>
      <c r="E83" s="1086"/>
      <c r="F83" s="1086"/>
      <c r="G83" s="1086"/>
      <c r="H83" s="1086"/>
    </row>
    <row r="84" spans="1:9" ht="17">
      <c r="D84" s="936" t="s">
        <v>1869</v>
      </c>
      <c r="E84" s="943">
        <f ca="1">(0.8+0.5)*$C$6*(D49/2+0)+E69</f>
        <v>2.6598227027328543</v>
      </c>
    </row>
    <row r="85" spans="1:9" ht="17">
      <c r="D85" s="936" t="s">
        <v>1870</v>
      </c>
      <c r="E85" s="943">
        <f ca="1">(0.8+0.5)*$C$6*(D49/2+0)+E70</f>
        <v>1.7046491777217725</v>
      </c>
    </row>
    <row r="86" spans="1:9" ht="17">
      <c r="C86" t="s">
        <v>1998</v>
      </c>
      <c r="D86" s="936" t="s">
        <v>2000</v>
      </c>
      <c r="E86" s="944">
        <f ca="1">ROUNDUP(E84*D37,0)</f>
        <v>27</v>
      </c>
    </row>
    <row r="87" spans="1:9" ht="17">
      <c r="D87" s="936" t="s">
        <v>2001</v>
      </c>
      <c r="E87" s="944">
        <f ca="1">ROUNDUP(E85*D26,0)</f>
        <v>82</v>
      </c>
    </row>
    <row r="88" spans="1:9" ht="17">
      <c r="C88" t="s">
        <v>1994</v>
      </c>
      <c r="D88" s="936" t="s">
        <v>1995</v>
      </c>
      <c r="E88" s="943">
        <f ca="1">MAX(E84:E85)</f>
        <v>2.6598227027328543</v>
      </c>
      <c r="I88" s="1085" t="s">
        <v>2105</v>
      </c>
    </row>
    <row r="89" spans="1:9" ht="16" thickBot="1"/>
    <row r="90" spans="1:9">
      <c r="A90" s="1223" t="s">
        <v>2007</v>
      </c>
      <c r="B90" s="1224"/>
      <c r="C90" s="1224"/>
      <c r="D90" s="1224"/>
      <c r="E90" s="1224"/>
      <c r="F90" s="1224"/>
      <c r="G90" s="1224"/>
      <c r="H90" s="1225"/>
    </row>
    <row r="91" spans="1:9" ht="17">
      <c r="A91" s="618"/>
      <c r="D91" s="936" t="s">
        <v>2011</v>
      </c>
      <c r="E91" s="944">
        <f ca="1">ROUNDUP(E77*D46,0)</f>
        <v>48</v>
      </c>
      <c r="H91" s="619"/>
    </row>
    <row r="92" spans="1:9" ht="18" thickBot="1">
      <c r="A92" s="983"/>
      <c r="B92" s="991"/>
      <c r="C92" s="991"/>
      <c r="D92" s="1226" t="s">
        <v>2012</v>
      </c>
      <c r="E92" s="1227">
        <f ca="1">ROUNDUP(E78*D35,0)</f>
        <v>53</v>
      </c>
      <c r="F92" s="991"/>
      <c r="G92" s="991"/>
      <c r="H92" s="993"/>
    </row>
    <row r="93" spans="1:9" ht="16" thickBot="1"/>
    <row r="94" spans="1:9">
      <c r="A94" s="1223" t="s">
        <v>2008</v>
      </c>
      <c r="B94" s="1224"/>
      <c r="C94" s="1224"/>
      <c r="D94" s="1224"/>
      <c r="E94" s="1224"/>
      <c r="F94" s="1224"/>
      <c r="G94" s="1224"/>
      <c r="H94" s="1225"/>
    </row>
    <row r="95" spans="1:9" ht="17">
      <c r="A95" s="618"/>
      <c r="D95" s="936" t="s">
        <v>2013</v>
      </c>
      <c r="E95" s="944">
        <f ca="1">ROUNDUP(E84*D46,0)</f>
        <v>27</v>
      </c>
      <c r="H95" s="619"/>
    </row>
    <row r="96" spans="1:9" ht="18" thickBot="1">
      <c r="A96" s="983"/>
      <c r="B96" s="991"/>
      <c r="C96" s="991"/>
      <c r="D96" s="1226" t="s">
        <v>2014</v>
      </c>
      <c r="E96" s="1227">
        <f ca="1">ROUNDUP(E85*D35,0)</f>
        <v>28</v>
      </c>
      <c r="F96" s="991"/>
      <c r="G96" s="991"/>
      <c r="H96" s="993"/>
    </row>
    <row r="98" spans="1:9">
      <c r="A98" s="1083" t="s">
        <v>1863</v>
      </c>
      <c r="B98" s="1086"/>
      <c r="C98" s="1086"/>
      <c r="D98" s="1086"/>
      <c r="E98" s="1086"/>
      <c r="F98" s="1086"/>
      <c r="G98" s="1086"/>
      <c r="H98" s="1086"/>
    </row>
    <row r="99" spans="1:9" ht="17">
      <c r="D99" s="936" t="s">
        <v>1865</v>
      </c>
      <c r="E99" s="944">
        <f ca="1">$E$77*$D$37*($D$50-1)+$E$84*$D$37</f>
        <v>217.51531100602904</v>
      </c>
      <c r="H99" t="s">
        <v>1864</v>
      </c>
      <c r="I99" s="944">
        <f ca="1">D37*(D48-D49/2)*1.3*$C$6+E68+(D50-1)*E71</f>
        <v>217.51531100602907</v>
      </c>
    </row>
    <row r="100" spans="1:9" ht="17">
      <c r="D100" s="936" t="s">
        <v>1866</v>
      </c>
      <c r="E100" s="944">
        <f ca="1">$E$78*$D$26*($D$50-1)+$E$85*$D$26</f>
        <v>709.93715975602902</v>
      </c>
      <c r="H100" t="s">
        <v>1864</v>
      </c>
      <c r="I100" s="944">
        <f ca="1">D26*(D48-D49/2)*1.3*$C$6+E68+(D50-1)*E71</f>
        <v>709.93715975602913</v>
      </c>
    </row>
    <row r="102" spans="1:9">
      <c r="A102" s="1083" t="s">
        <v>1924</v>
      </c>
      <c r="B102" s="1086"/>
      <c r="C102" s="1086"/>
      <c r="D102" s="1086"/>
      <c r="E102" s="1086"/>
      <c r="F102" s="1086"/>
      <c r="G102" s="1086"/>
      <c r="H102" s="1086"/>
    </row>
    <row r="103" spans="1:9" ht="17">
      <c r="D103" s="936" t="s">
        <v>2009</v>
      </c>
      <c r="E103" s="944">
        <f ca="1">$E$77*$D$46*($D$50-1)+$E$84*$D$46</f>
        <v>217.51531100602904</v>
      </c>
    </row>
    <row r="104" spans="1:9" ht="17">
      <c r="D104" s="936" t="s">
        <v>2010</v>
      </c>
      <c r="E104" s="944">
        <f ca="1">$E$78*$D$35*($D$50-1)+$E$85*$D$35</f>
        <v>236.64571991867632</v>
      </c>
    </row>
    <row r="106" spans="1:9" ht="16" thickBot="1"/>
    <row r="107" spans="1:9" ht="16" thickBot="1">
      <c r="A107" s="1083" t="s">
        <v>2102</v>
      </c>
      <c r="B107" s="1086"/>
      <c r="C107" s="1086"/>
      <c r="D107" s="1086"/>
      <c r="E107" s="1087" t="str">
        <f>IF(n_GESCHOSSE&lt;=3,"BSP 160",IF(AND(n_GESCHOSSE&gt;3,n_GESCHOSSE&lt;=6),"BSP 200","BSP 240"))</f>
        <v>BSP 200</v>
      </c>
      <c r="F107" s="1087" t="str">
        <f>IFERROR(IF($E$107="BSP 160","BSPW 160",IF($E$107="BSP 200","BSPW 200","BSPW 240")),"")</f>
        <v>BSPW 200</v>
      </c>
      <c r="G107" s="1086"/>
      <c r="H107" s="1086"/>
      <c r="I107" s="1085" t="s">
        <v>2103</v>
      </c>
    </row>
    <row r="109" spans="1:9" ht="17">
      <c r="B109" t="s">
        <v>1878</v>
      </c>
      <c r="D109" s="936" t="s">
        <v>1882</v>
      </c>
      <c r="E109" s="948">
        <f>HLOOKUP(E107,Hilfstabelle_Aussteifung!$B$108:$I$118,4,FALSE)</f>
        <v>40</v>
      </c>
    </row>
    <row r="110" spans="1:9" ht="17">
      <c r="B110" t="s">
        <v>1880</v>
      </c>
      <c r="D110" s="936" t="s">
        <v>1884</v>
      </c>
      <c r="E110" s="946">
        <f>HLOOKUP(E107,Hilfstabelle_Aussteifung!$B$108:$I$118,7,FALSE)</f>
        <v>3</v>
      </c>
    </row>
    <row r="111" spans="1:9" ht="17">
      <c r="B111" t="s">
        <v>1877</v>
      </c>
      <c r="D111" s="936" t="s">
        <v>1881</v>
      </c>
      <c r="E111" s="948">
        <f>HLOOKUP(E107,Hilfstabelle_Aussteifung!$B$108:$I$118,5,FALSE)</f>
        <v>40</v>
      </c>
    </row>
    <row r="112" spans="1:9" ht="17">
      <c r="B112" t="s">
        <v>1879</v>
      </c>
      <c r="D112" s="936" t="s">
        <v>1883</v>
      </c>
      <c r="E112" s="946">
        <f>HLOOKUP(E107,Hilfstabelle_Aussteifung!$B$108:$I$118,8,FALSE)</f>
        <v>2</v>
      </c>
    </row>
    <row r="113" spans="2:8" ht="17">
      <c r="B113" t="s">
        <v>1982</v>
      </c>
      <c r="D113" s="936" t="s">
        <v>1882</v>
      </c>
      <c r="E113" s="948">
        <f>HLOOKUP(E107,Hilfstabelle_Aussteifung!$B$108:$I$118,6,FALSE)</f>
        <v>0</v>
      </c>
    </row>
    <row r="114" spans="2:8" ht="17">
      <c r="B114" t="s">
        <v>1983</v>
      </c>
      <c r="D114" s="936" t="s">
        <v>1884</v>
      </c>
      <c r="E114" s="946">
        <f>HLOOKUP(E107,Hilfstabelle_Aussteifung!$B$108:$I$118,9,FALSE)</f>
        <v>0</v>
      </c>
    </row>
    <row r="115" spans="2:8">
      <c r="B115" t="s">
        <v>1875</v>
      </c>
      <c r="D115" s="936" t="s">
        <v>1876</v>
      </c>
      <c r="E115" s="948">
        <f>HLOOKUP(E107,Hilfstabelle_Aussteifung!$B$108:$I$118,10,FALSE)</f>
        <v>200</v>
      </c>
    </row>
    <row r="116" spans="2:8" ht="17">
      <c r="B116" t="s">
        <v>1885</v>
      </c>
      <c r="D116" s="936" t="s">
        <v>1886</v>
      </c>
      <c r="E116" s="948">
        <f>HLOOKUP(E107,Hilfstabelle_Aussteifung!$B$108:$I$118,11,FALSE)</f>
        <v>80</v>
      </c>
    </row>
    <row r="117" spans="2:8">
      <c r="B117" t="s">
        <v>1887</v>
      </c>
      <c r="D117" s="936" t="s">
        <v>1888</v>
      </c>
      <c r="E117" s="948">
        <v>120</v>
      </c>
      <c r="H117" s="1099" t="s">
        <v>1979</v>
      </c>
    </row>
    <row r="118" spans="2:8" ht="17">
      <c r="B118" t="s">
        <v>1893</v>
      </c>
      <c r="D118" s="936" t="s">
        <v>1894</v>
      </c>
      <c r="E118" s="946">
        <f>E112+E110+E114</f>
        <v>5</v>
      </c>
    </row>
    <row r="121" spans="2:8">
      <c r="B121" s="973" t="s">
        <v>1986</v>
      </c>
      <c r="C121" s="974"/>
      <c r="D121" s="974"/>
      <c r="E121" s="974"/>
      <c r="F121" s="975"/>
      <c r="H121" t="s">
        <v>1922</v>
      </c>
    </row>
    <row r="122" spans="2:8" ht="17">
      <c r="B122" s="921"/>
      <c r="D122" s="936" t="s">
        <v>1871</v>
      </c>
      <c r="E122" s="949">
        <v>3.5</v>
      </c>
      <c r="F122" s="950"/>
      <c r="H122" s="1099" t="s">
        <v>1925</v>
      </c>
    </row>
    <row r="123" spans="2:8" ht="17">
      <c r="B123" s="921"/>
      <c r="D123" s="936" t="s">
        <v>1872</v>
      </c>
      <c r="E123" s="949">
        <f>E122*1/1.3</f>
        <v>2.6923076923076921</v>
      </c>
      <c r="F123" s="950"/>
    </row>
    <row r="124" spans="2:8" ht="17">
      <c r="B124" s="921"/>
      <c r="D124" s="936" t="s">
        <v>1873</v>
      </c>
      <c r="E124" s="945">
        <f ca="1">ROUNDUP(MIN(E99,E103)*1000*1.5/E115/E123/1000,2)</f>
        <v>0.61</v>
      </c>
      <c r="F124" s="950"/>
    </row>
    <row r="125" spans="2:8" ht="17">
      <c r="B125" s="921"/>
      <c r="D125" s="936" t="s">
        <v>1874</v>
      </c>
      <c r="E125" s="945">
        <f ca="1">ROUNDUP(MIN(E100,E104)*1000*1.5/E115/E123/1000,2)</f>
        <v>0.66</v>
      </c>
      <c r="F125" s="950"/>
    </row>
    <row r="126" spans="2:8">
      <c r="B126" s="921"/>
      <c r="F126" s="950"/>
    </row>
    <row r="127" spans="2:8">
      <c r="B127" s="976" t="s">
        <v>1987</v>
      </c>
      <c r="C127" s="612"/>
      <c r="D127" s="612"/>
      <c r="E127" s="612"/>
      <c r="F127" s="977"/>
    </row>
    <row r="128" spans="2:8" ht="17">
      <c r="B128" s="921"/>
      <c r="D128" s="936" t="s">
        <v>1889</v>
      </c>
      <c r="E128" s="949">
        <v>8</v>
      </c>
      <c r="F128" s="950"/>
      <c r="H128" s="1099" t="s">
        <v>1925</v>
      </c>
    </row>
    <row r="129" spans="2:8" ht="17">
      <c r="B129" s="921"/>
      <c r="D129" s="936" t="s">
        <v>1890</v>
      </c>
      <c r="E129" s="949">
        <f>E128*1/1.3</f>
        <v>6.1538461538461533</v>
      </c>
      <c r="F129" s="950"/>
    </row>
    <row r="130" spans="2:8" ht="17">
      <c r="B130" s="921"/>
      <c r="D130" s="936" t="s">
        <v>1891</v>
      </c>
      <c r="E130" s="945">
        <f ca="1">ROUNDUP(MIN(E99,E103)*1000*1.5/E116/E129/1000,2)</f>
        <v>0.67</v>
      </c>
      <c r="F130" s="950"/>
    </row>
    <row r="131" spans="2:8" ht="17">
      <c r="B131" s="921"/>
      <c r="D131" s="936" t="s">
        <v>1892</v>
      </c>
      <c r="E131" s="945">
        <f ca="1">ROUNDUP(MIN(E100,E104)*1000*1.5/E116/E129/1000,2)</f>
        <v>0.73</v>
      </c>
      <c r="F131" s="950"/>
    </row>
    <row r="132" spans="2:8">
      <c r="B132" s="921"/>
      <c r="F132" s="950"/>
    </row>
    <row r="133" spans="2:8">
      <c r="B133" s="976" t="s">
        <v>1988</v>
      </c>
      <c r="C133" s="612"/>
      <c r="D133" s="612"/>
      <c r="E133" s="612"/>
      <c r="F133" s="977"/>
    </row>
    <row r="134" spans="2:8" ht="17">
      <c r="B134" s="921"/>
      <c r="D134" s="936" t="s">
        <v>1895</v>
      </c>
      <c r="E134" s="949">
        <v>2.5</v>
      </c>
      <c r="F134" s="950"/>
      <c r="H134" s="1099" t="s">
        <v>1925</v>
      </c>
    </row>
    <row r="135" spans="2:8" ht="17">
      <c r="B135" s="921"/>
      <c r="D135" s="936" t="s">
        <v>1896</v>
      </c>
      <c r="E135" s="949">
        <f>E134*1/1.3</f>
        <v>1.9230769230769229</v>
      </c>
      <c r="F135" s="950"/>
    </row>
    <row r="136" spans="2:8" ht="17">
      <c r="B136" s="921"/>
      <c r="D136" s="936" t="s">
        <v>1897</v>
      </c>
      <c r="E136" s="945">
        <f ca="1">ROUNDUP(3*MIN(E99,E103)*1000*1.5/E117/(E118-1)/E135/1000,2)</f>
        <v>1.07</v>
      </c>
      <c r="F136" s="950"/>
    </row>
    <row r="137" spans="2:8" ht="17">
      <c r="B137" s="951"/>
      <c r="C137" s="671"/>
      <c r="D137" s="952" t="s">
        <v>1898</v>
      </c>
      <c r="E137" s="953">
        <f ca="1">ROUNDUP(3*MIN(E100,E104)*1000*1.5/E117/(E118-1)/E135/1000,2)</f>
        <v>1.1599999999999999</v>
      </c>
      <c r="F137" s="954"/>
    </row>
    <row r="139" spans="2:8">
      <c r="B139" s="585" t="s">
        <v>2106</v>
      </c>
    </row>
    <row r="140" spans="2:8" ht="17">
      <c r="D140" s="936" t="s">
        <v>1899</v>
      </c>
      <c r="E140" s="945">
        <f ca="1">MAX(E124,E130,E136)</f>
        <v>1.07</v>
      </c>
    </row>
    <row r="141" spans="2:8" ht="17">
      <c r="D141" s="936" t="s">
        <v>1900</v>
      </c>
      <c r="E141" s="945">
        <f ca="1">MAX(E125,E131,E137)</f>
        <v>1.1599999999999999</v>
      </c>
    </row>
    <row r="142" spans="2:8">
      <c r="C142" t="s">
        <v>1807</v>
      </c>
      <c r="D142" s="936"/>
      <c r="E142" s="945">
        <f>Rechenmodell!B7</f>
        <v>5.3</v>
      </c>
    </row>
    <row r="143" spans="2:8">
      <c r="C143" t="s">
        <v>1808</v>
      </c>
      <c r="D143" s="936"/>
      <c r="E143" s="945">
        <f>Rechenmodell!B8</f>
        <v>5</v>
      </c>
    </row>
    <row r="144" spans="2:8">
      <c r="C144" s="585" t="s">
        <v>1905</v>
      </c>
      <c r="D144" s="957"/>
      <c r="E144" s="955">
        <f ca="1">IF($E$140&lt;$E$142,$E$142,ROUNDUP($E$140/$E$142,0)*$E$142)</f>
        <v>5.3</v>
      </c>
    </row>
    <row r="145" spans="2:7">
      <c r="C145" s="585" t="s">
        <v>1906</v>
      </c>
      <c r="D145" s="585"/>
      <c r="E145" s="955">
        <f ca="1">IF($E$141&lt;$E$143,$E$143,ROUNDUP($E$141/$E$143,0)*$E$143)</f>
        <v>5</v>
      </c>
      <c r="G145" s="956"/>
    </row>
    <row r="146" spans="2:7">
      <c r="C146" t="s">
        <v>2235</v>
      </c>
      <c r="E146" s="549">
        <f ca="1">$E$144/$E$142</f>
        <v>1</v>
      </c>
    </row>
    <row r="147" spans="2:7">
      <c r="C147" t="s">
        <v>2236</v>
      </c>
      <c r="E147" s="549">
        <f ca="1">$E$145/$E$143</f>
        <v>1</v>
      </c>
    </row>
    <row r="148" spans="2:7">
      <c r="E148" s="549"/>
    </row>
    <row r="149" spans="2:7">
      <c r="E149" s="549"/>
    </row>
    <row r="150" spans="2:7" ht="16" thickBot="1">
      <c r="E150" s="549"/>
    </row>
    <row r="151" spans="2:7">
      <c r="B151" s="978" t="s">
        <v>1989</v>
      </c>
      <c r="C151" s="979"/>
      <c r="D151" s="979"/>
      <c r="E151" s="980"/>
    </row>
    <row r="152" spans="2:7">
      <c r="B152" s="1229" t="s">
        <v>2325</v>
      </c>
      <c r="C152" s="1181"/>
      <c r="D152" s="1181"/>
      <c r="E152" s="1230"/>
    </row>
    <row r="153" spans="2:7">
      <c r="B153" s="618" t="s">
        <v>1990</v>
      </c>
      <c r="E153" s="982">
        <f>ROUNDUP(MAX(Rechenmodell!$J$18,Rechenmodell!$N$18)/Rechenmodell!$B$7,0)</f>
        <v>1</v>
      </c>
    </row>
    <row r="154" spans="2:7">
      <c r="B154" s="618" t="s">
        <v>2237</v>
      </c>
      <c r="E154" s="981">
        <f>Rechenmodell!$B$7*E153</f>
        <v>5.3</v>
      </c>
    </row>
    <row r="155" spans="2:7">
      <c r="B155" s="618" t="s">
        <v>2239</v>
      </c>
      <c r="E155" s="1228">
        <f ca="1">$E$140/(2*E154)</f>
        <v>0.1009433962264151</v>
      </c>
      <c r="G155" t="s">
        <v>2240</v>
      </c>
    </row>
    <row r="156" spans="2:7">
      <c r="B156" s="618" t="s">
        <v>1991</v>
      </c>
      <c r="E156" s="982">
        <f>ROUNDUP(MIN(Rechenmodell!$N$18,Rechenmodell!$J$18)/Rechenmodell!$B$8,0)</f>
        <v>1</v>
      </c>
      <c r="G156" t="s">
        <v>2241</v>
      </c>
    </row>
    <row r="157" spans="2:7">
      <c r="B157" s="618" t="s">
        <v>2238</v>
      </c>
      <c r="E157" s="981">
        <f>Rechenmodell!$B$8*E156</f>
        <v>5</v>
      </c>
    </row>
    <row r="158" spans="2:7">
      <c r="B158" s="618" t="s">
        <v>2239</v>
      </c>
      <c r="E158" s="1228">
        <f ca="1">$E$141/(2*E157)</f>
        <v>0.11599999999999999</v>
      </c>
    </row>
    <row r="159" spans="2:7">
      <c r="B159" s="618"/>
      <c r="E159" s="981"/>
    </row>
    <row r="160" spans="2:7">
      <c r="B160" s="618"/>
      <c r="E160" s="981"/>
    </row>
    <row r="161" spans="2:5">
      <c r="B161" s="618"/>
      <c r="E161" s="981"/>
    </row>
    <row r="162" spans="2:5">
      <c r="B162" s="1229" t="s">
        <v>2326</v>
      </c>
      <c r="C162" s="1181"/>
      <c r="D162" s="1181"/>
      <c r="E162" s="1230"/>
    </row>
    <row r="163" spans="2:5">
      <c r="B163" s="618" t="s">
        <v>1990</v>
      </c>
      <c r="E163" s="982">
        <f>ROUNDUP(MIN(Rechenmodell!$J$18,Rechenmodell!$N$18)/Rechenmodell!$B$7,0)</f>
        <v>1</v>
      </c>
    </row>
    <row r="164" spans="2:5">
      <c r="B164" s="618" t="s">
        <v>2237</v>
      </c>
      <c r="E164" s="981">
        <f>Rechenmodell!$B$7*E163</f>
        <v>5.3</v>
      </c>
    </row>
    <row r="165" spans="2:5">
      <c r="B165" s="618" t="s">
        <v>2239</v>
      </c>
      <c r="E165" s="1228">
        <f ca="1">$E$140/(2*E164)</f>
        <v>0.1009433962264151</v>
      </c>
    </row>
    <row r="166" spans="2:5">
      <c r="B166" s="618" t="s">
        <v>1991</v>
      </c>
      <c r="E166" s="982">
        <f>ROUNDUP(MAX(Rechenmodell!$J$18,Rechenmodell!$N$18)/Rechenmodell!$B$8,0)</f>
        <v>1</v>
      </c>
    </row>
    <row r="167" spans="2:5">
      <c r="B167" s="618" t="s">
        <v>2238</v>
      </c>
      <c r="E167" s="981">
        <f>Rechenmodell!$B$8*E166</f>
        <v>5</v>
      </c>
    </row>
    <row r="168" spans="2:5">
      <c r="B168" s="618" t="s">
        <v>2239</v>
      </c>
      <c r="E168" s="1228">
        <f ca="1">$E$141/(2*E167)</f>
        <v>0.11599999999999999</v>
      </c>
    </row>
    <row r="169" spans="2:5">
      <c r="B169" s="618"/>
      <c r="E169" s="981"/>
    </row>
    <row r="170" spans="2:5">
      <c r="B170" s="618"/>
      <c r="E170" s="981"/>
    </row>
    <row r="171" spans="2:5">
      <c r="B171" s="618"/>
      <c r="E171" s="981"/>
    </row>
    <row r="172" spans="2:5">
      <c r="B172" s="1229" t="s">
        <v>2327</v>
      </c>
      <c r="E172" s="981"/>
    </row>
    <row r="173" spans="2:5">
      <c r="B173" s="618" t="s">
        <v>1990</v>
      </c>
      <c r="E173" s="982">
        <f>ROUNDUP(MAX(Rechenmodell!$J$18,Rechenmodell!$N$18)/Rechenmodell!$B$7,0)</f>
        <v>1</v>
      </c>
    </row>
    <row r="174" spans="2:5">
      <c r="B174" s="618" t="s">
        <v>2237</v>
      </c>
      <c r="E174" s="981">
        <f>Rechenmodell!$B$7*E173</f>
        <v>5.3</v>
      </c>
    </row>
    <row r="175" spans="2:5">
      <c r="B175" s="618" t="s">
        <v>2239</v>
      </c>
      <c r="E175" s="1228">
        <f ca="1">$E$140/E174</f>
        <v>0.2018867924528302</v>
      </c>
    </row>
    <row r="176" spans="2:5">
      <c r="B176" s="618" t="s">
        <v>1991</v>
      </c>
      <c r="E176" s="982">
        <f>ROUNDUP(MIN(Rechenmodell!$J$18,Rechenmodell!$N$18)/Rechenmodell!$B$8,0)</f>
        <v>1</v>
      </c>
    </row>
    <row r="177" spans="2:5">
      <c r="B177" s="618" t="s">
        <v>2238</v>
      </c>
      <c r="E177" s="981">
        <f>Rechenmodell!$B$8*E176</f>
        <v>5</v>
      </c>
    </row>
    <row r="178" spans="2:5">
      <c r="B178" s="618" t="s">
        <v>2239</v>
      </c>
      <c r="E178" s="1228">
        <f ca="1">$E$141/(2*E177)</f>
        <v>0.11599999999999999</v>
      </c>
    </row>
    <row r="179" spans="2:5">
      <c r="B179" s="618"/>
      <c r="E179" s="981"/>
    </row>
    <row r="180" spans="2:5">
      <c r="B180" s="618"/>
      <c r="E180" s="981"/>
    </row>
    <row r="181" spans="2:5">
      <c r="B181" s="618"/>
      <c r="E181" s="981"/>
    </row>
    <row r="182" spans="2:5">
      <c r="B182" s="1229" t="s">
        <v>2328</v>
      </c>
      <c r="E182" s="981"/>
    </row>
    <row r="183" spans="2:5">
      <c r="B183" s="618" t="s">
        <v>1990</v>
      </c>
      <c r="E183" s="982">
        <f>ROUNDUP(MIN(Rechenmodell!$J$18,Rechenmodell!$N$18)/Rechenmodell!$B$7,0)</f>
        <v>1</v>
      </c>
    </row>
    <row r="184" spans="2:5">
      <c r="B184" s="618" t="s">
        <v>2237</v>
      </c>
      <c r="E184" s="981">
        <f>Rechenmodell!$B$7*E183</f>
        <v>5.3</v>
      </c>
    </row>
    <row r="185" spans="2:5">
      <c r="B185" s="618" t="s">
        <v>2239</v>
      </c>
      <c r="E185" s="1228">
        <f ca="1">$E$140/E184</f>
        <v>0.2018867924528302</v>
      </c>
    </row>
    <row r="186" spans="2:5">
      <c r="B186" s="618" t="s">
        <v>1991</v>
      </c>
      <c r="E186" s="982">
        <f>ROUNDUP(MAX(Rechenmodell!$J$18,Rechenmodell!$N$18)/Rechenmodell!$B$8,0)</f>
        <v>1</v>
      </c>
    </row>
    <row r="187" spans="2:5">
      <c r="B187" s="618" t="s">
        <v>2238</v>
      </c>
      <c r="E187" s="981">
        <f>Rechenmodell!$B$8*E186</f>
        <v>5</v>
      </c>
    </row>
    <row r="188" spans="2:5">
      <c r="B188" s="618" t="s">
        <v>2239</v>
      </c>
      <c r="E188" s="1228">
        <f ca="1">$E$141/(2*E187)</f>
        <v>0.11599999999999999</v>
      </c>
    </row>
    <row r="189" spans="2:5">
      <c r="B189" s="618"/>
      <c r="E189" s="981"/>
    </row>
    <row r="190" spans="2:5">
      <c r="B190" s="618"/>
      <c r="E190" s="981"/>
    </row>
    <row r="191" spans="2:5">
      <c r="B191" s="618"/>
      <c r="E191" s="981"/>
    </row>
    <row r="192" spans="2:5">
      <c r="B192" s="1229" t="s">
        <v>2329</v>
      </c>
      <c r="E192" s="981"/>
    </row>
    <row r="193" spans="2:13">
      <c r="B193" s="618" t="s">
        <v>1990</v>
      </c>
      <c r="E193" s="982">
        <f>ROUNDUP(MAX(Rechenmodell!$J$18,Rechenmodell!$N$18)/Rechenmodell!$B$7,0)</f>
        <v>1</v>
      </c>
    </row>
    <row r="194" spans="2:13">
      <c r="B194" s="618" t="s">
        <v>2237</v>
      </c>
      <c r="E194" s="981">
        <f>Rechenmodell!$B$7*E193</f>
        <v>5.3</v>
      </c>
    </row>
    <row r="195" spans="2:13">
      <c r="B195" s="618" t="s">
        <v>2239</v>
      </c>
      <c r="E195" s="1228">
        <f ca="1">$E$140/(2*E194)</f>
        <v>0.1009433962264151</v>
      </c>
    </row>
    <row r="196" spans="2:13">
      <c r="B196" s="618" t="s">
        <v>1991</v>
      </c>
      <c r="E196" s="982">
        <f>ROUNDUP(MIN(Rechenmodell!$J$18,Rechenmodell!$N$18)/Rechenmodell!$B$8,0)</f>
        <v>1</v>
      </c>
    </row>
    <row r="197" spans="2:13">
      <c r="B197" s="618" t="s">
        <v>2238</v>
      </c>
      <c r="E197" s="981">
        <f>Rechenmodell!$B$8*E196</f>
        <v>5</v>
      </c>
    </row>
    <row r="198" spans="2:13">
      <c r="B198" s="618" t="s">
        <v>2239</v>
      </c>
      <c r="E198" s="1228">
        <f ca="1">$E$141/E197</f>
        <v>0.23199999999999998</v>
      </c>
    </row>
    <row r="199" spans="2:13">
      <c r="B199" s="618"/>
      <c r="E199" s="981"/>
    </row>
    <row r="200" spans="2:13">
      <c r="B200" s="618"/>
      <c r="E200" s="981"/>
    </row>
    <row r="201" spans="2:13">
      <c r="B201" s="618"/>
      <c r="E201" s="981"/>
    </row>
    <row r="202" spans="2:13">
      <c r="B202" s="1229" t="s">
        <v>2330</v>
      </c>
      <c r="E202" s="981"/>
    </row>
    <row r="203" spans="2:13">
      <c r="B203" s="618" t="s">
        <v>1990</v>
      </c>
      <c r="E203" s="982">
        <f>ROUNDUP(MIN(Rechenmodell!$J$18,Rechenmodell!$N$18)/Rechenmodell!$B$7,0)</f>
        <v>1</v>
      </c>
    </row>
    <row r="204" spans="2:13">
      <c r="B204" s="618" t="s">
        <v>2237</v>
      </c>
      <c r="E204" s="981">
        <f>Rechenmodell!$B$7*E203</f>
        <v>5.3</v>
      </c>
    </row>
    <row r="205" spans="2:13">
      <c r="B205" s="618" t="s">
        <v>2239</v>
      </c>
      <c r="E205" s="1228">
        <f ca="1">$E$140/(2*E204)</f>
        <v>0.1009433962264151</v>
      </c>
    </row>
    <row r="206" spans="2:13">
      <c r="B206" s="618" t="s">
        <v>1991</v>
      </c>
      <c r="E206" s="982">
        <f>ROUNDUP(MAX(Rechenmodell!$J$18,Rechenmodell!$N$18)/Rechenmodell!$B$8,0)</f>
        <v>1</v>
      </c>
      <c r="K206" s="703" t="s">
        <v>2323</v>
      </c>
      <c r="L206" s="703" t="s">
        <v>2178</v>
      </c>
      <c r="M206" s="703" t="s">
        <v>2324</v>
      </c>
    </row>
    <row r="207" spans="2:13">
      <c r="B207" s="618" t="s">
        <v>2238</v>
      </c>
      <c r="E207" s="981">
        <f>Rechenmodell!$B$8*E206</f>
        <v>5</v>
      </c>
      <c r="K207" s="703" t="str">
        <f>IFERROR(IF('Erweiterte Eingabe'!$C$30="x- &amp; y-Richtung","M",IF('Erweiterte Eingabe'!$C$30="x-Richtung","X",IF('Erweiterte Eingabe'!$C$30="y-Richtung","Y","M"))),"M")</f>
        <v>M</v>
      </c>
      <c r="L207" s="703" t="str">
        <f>IFERROR(IF('Erweiterte Eingabe'!C31="x-Richtung","1",IF('Erweiterte Eingabe'!C31="y-Richtung","2","1")),"1")</f>
        <v>2</v>
      </c>
      <c r="M207" s="703" t="str">
        <f>K207&amp;L207</f>
        <v>M2</v>
      </c>
    </row>
    <row r="208" spans="2:13">
      <c r="B208" s="618" t="s">
        <v>2239</v>
      </c>
      <c r="E208" s="1228">
        <f ca="1">$E$141/E207</f>
        <v>0.23199999999999998</v>
      </c>
    </row>
    <row r="209" spans="2:16">
      <c r="B209" s="618"/>
      <c r="E209" s="981"/>
    </row>
    <row r="210" spans="2:16">
      <c r="B210" s="618"/>
      <c r="E210" s="981"/>
    </row>
    <row r="211" spans="2:16" ht="16" thickBot="1">
      <c r="B211" s="618"/>
      <c r="E211" s="981"/>
    </row>
    <row r="212" spans="2:16" ht="16" thickBot="1">
      <c r="B212" s="989" t="s">
        <v>2331</v>
      </c>
      <c r="E212" s="981"/>
      <c r="K212" s="1314" t="s">
        <v>2314</v>
      </c>
      <c r="L212" s="1314" t="s">
        <v>2315</v>
      </c>
      <c r="M212" s="1314" t="s">
        <v>2316</v>
      </c>
      <c r="N212" s="1314" t="s">
        <v>2317</v>
      </c>
      <c r="O212" s="1314" t="s">
        <v>2318</v>
      </c>
      <c r="P212" s="1314" t="s">
        <v>2319</v>
      </c>
    </row>
    <row r="213" spans="2:16">
      <c r="B213" s="618" t="s">
        <v>2314</v>
      </c>
      <c r="D213" t="str">
        <f>B213&amp;"X"</f>
        <v>M1X</v>
      </c>
      <c r="E213" s="1228">
        <f ca="1">E155</f>
        <v>0.1009433962264151</v>
      </c>
      <c r="J213" s="1313" t="s">
        <v>1990</v>
      </c>
      <c r="K213" s="982">
        <f>E153</f>
        <v>1</v>
      </c>
      <c r="L213" s="982">
        <f>E163</f>
        <v>1</v>
      </c>
      <c r="M213" s="982">
        <f>E173</f>
        <v>1</v>
      </c>
      <c r="N213" s="982">
        <f>E183</f>
        <v>1</v>
      </c>
      <c r="O213" s="982">
        <f>E193</f>
        <v>1</v>
      </c>
      <c r="P213" s="982">
        <f>E203</f>
        <v>1</v>
      </c>
    </row>
    <row r="214" spans="2:16">
      <c r="B214" s="618"/>
      <c r="D214" t="str">
        <f>B213&amp;"Y"</f>
        <v>M1Y</v>
      </c>
      <c r="E214" s="1228">
        <f ca="1">E158</f>
        <v>0.11599999999999999</v>
      </c>
      <c r="J214" s="1313" t="s">
        <v>2237</v>
      </c>
      <c r="K214" s="981">
        <f>E154</f>
        <v>5.3</v>
      </c>
      <c r="L214" s="981">
        <f>E164</f>
        <v>5.3</v>
      </c>
      <c r="M214" s="981">
        <f>E174</f>
        <v>5.3</v>
      </c>
      <c r="N214" s="981">
        <f>E184</f>
        <v>5.3</v>
      </c>
      <c r="O214" s="981">
        <f>E194</f>
        <v>5.3</v>
      </c>
      <c r="P214" s="981">
        <f>E204</f>
        <v>5.3</v>
      </c>
    </row>
    <row r="215" spans="2:16">
      <c r="B215" s="618" t="s">
        <v>2315</v>
      </c>
      <c r="D215" t="str">
        <f t="shared" ref="D215" si="0">B215&amp;"X"</f>
        <v>M2X</v>
      </c>
      <c r="E215" s="1228">
        <f ca="1">E165</f>
        <v>0.1009433962264151</v>
      </c>
      <c r="J215" s="936" t="s">
        <v>2337</v>
      </c>
      <c r="K215" s="981">
        <f>K214*2</f>
        <v>10.6</v>
      </c>
      <c r="L215" s="981">
        <f>L214*2</f>
        <v>10.6</v>
      </c>
      <c r="M215" s="981">
        <f>M214</f>
        <v>5.3</v>
      </c>
      <c r="N215" s="981">
        <f>N214</f>
        <v>5.3</v>
      </c>
      <c r="O215" s="981">
        <f>O214*2</f>
        <v>10.6</v>
      </c>
      <c r="P215" s="981">
        <f>P214*2</f>
        <v>10.6</v>
      </c>
    </row>
    <row r="216" spans="2:16">
      <c r="B216" s="618"/>
      <c r="D216" t="str">
        <f t="shared" ref="D216" si="1">B215&amp;"Y"</f>
        <v>M2Y</v>
      </c>
      <c r="E216" s="1228">
        <f ca="1">E168</f>
        <v>0.11599999999999999</v>
      </c>
      <c r="J216" s="1313" t="s">
        <v>2239</v>
      </c>
      <c r="K216" s="1228">
        <f ca="1">E155</f>
        <v>0.1009433962264151</v>
      </c>
      <c r="L216" s="1228">
        <f ca="1">E165</f>
        <v>0.1009433962264151</v>
      </c>
      <c r="M216" s="1228">
        <f ca="1">E175</f>
        <v>0.2018867924528302</v>
      </c>
      <c r="N216" s="1228">
        <f ca="1">E185</f>
        <v>0.2018867924528302</v>
      </c>
      <c r="O216" s="1228">
        <f ca="1">E195</f>
        <v>0.1009433962264151</v>
      </c>
      <c r="P216" s="1228">
        <f ca="1">E205</f>
        <v>0.1009433962264151</v>
      </c>
    </row>
    <row r="217" spans="2:16">
      <c r="B217" s="618" t="s">
        <v>2316</v>
      </c>
      <c r="D217" t="str">
        <f t="shared" ref="D217" si="2">B217&amp;"X"</f>
        <v>X1X</v>
      </c>
      <c r="E217" s="1228">
        <f ca="1">E175</f>
        <v>0.2018867924528302</v>
      </c>
      <c r="J217" s="1313" t="s">
        <v>1991</v>
      </c>
      <c r="K217" s="982">
        <f>E156</f>
        <v>1</v>
      </c>
      <c r="L217" s="982">
        <f>E166</f>
        <v>1</v>
      </c>
      <c r="M217" s="982">
        <f>E176</f>
        <v>1</v>
      </c>
      <c r="N217" s="982">
        <f>E186</f>
        <v>1</v>
      </c>
      <c r="O217" s="982">
        <f>E196</f>
        <v>1</v>
      </c>
      <c r="P217" s="982">
        <f>E206</f>
        <v>1</v>
      </c>
    </row>
    <row r="218" spans="2:16">
      <c r="B218" s="618"/>
      <c r="D218" t="str">
        <f t="shared" ref="D218" si="3">B217&amp;"Y"</f>
        <v>X1Y</v>
      </c>
      <c r="E218" s="1228">
        <f ca="1">E178</f>
        <v>0.11599999999999999</v>
      </c>
      <c r="J218" s="1313" t="s">
        <v>2238</v>
      </c>
      <c r="K218" s="981">
        <f>E157</f>
        <v>5</v>
      </c>
      <c r="L218" s="981">
        <f>E167</f>
        <v>5</v>
      </c>
      <c r="M218" s="981">
        <f>E177</f>
        <v>5</v>
      </c>
      <c r="N218" s="981">
        <f>E187</f>
        <v>5</v>
      </c>
      <c r="O218" s="981">
        <f>E197</f>
        <v>5</v>
      </c>
      <c r="P218" s="981">
        <f>E207</f>
        <v>5</v>
      </c>
    </row>
    <row r="219" spans="2:16">
      <c r="B219" s="618" t="s">
        <v>2317</v>
      </c>
      <c r="D219" t="str">
        <f t="shared" ref="D219" si="4">B219&amp;"X"</f>
        <v>X2X</v>
      </c>
      <c r="E219" s="1228">
        <f ca="1">E185</f>
        <v>0.2018867924528302</v>
      </c>
      <c r="J219" s="936" t="s">
        <v>2338</v>
      </c>
      <c r="K219" s="981">
        <f>K218*2</f>
        <v>10</v>
      </c>
      <c r="L219" s="981">
        <f>L218*2</f>
        <v>10</v>
      </c>
      <c r="M219" s="981">
        <f>M218*2</f>
        <v>10</v>
      </c>
      <c r="N219" s="981">
        <f>N218*2</f>
        <v>10</v>
      </c>
      <c r="O219" s="981">
        <f>O218</f>
        <v>5</v>
      </c>
      <c r="P219" s="981">
        <f>P218</f>
        <v>5</v>
      </c>
    </row>
    <row r="220" spans="2:16">
      <c r="B220" s="618"/>
      <c r="D220" t="str">
        <f t="shared" ref="D220" si="5">B219&amp;"Y"</f>
        <v>X2Y</v>
      </c>
      <c r="E220" s="1228">
        <f ca="1">E188</f>
        <v>0.11599999999999999</v>
      </c>
      <c r="J220" s="1313" t="s">
        <v>2239</v>
      </c>
      <c r="K220" s="1228">
        <f ca="1">E158</f>
        <v>0.11599999999999999</v>
      </c>
      <c r="L220" s="1228">
        <f ca="1">E168</f>
        <v>0.11599999999999999</v>
      </c>
      <c r="M220" s="1228">
        <f ca="1">E178</f>
        <v>0.11599999999999999</v>
      </c>
      <c r="N220" s="1228">
        <f ca="1">E188</f>
        <v>0.11599999999999999</v>
      </c>
      <c r="O220" s="1228">
        <f ca="1">E198</f>
        <v>0.23199999999999998</v>
      </c>
      <c r="P220" s="1228">
        <f ca="1">E208</f>
        <v>0.23199999999999998</v>
      </c>
    </row>
    <row r="221" spans="2:16">
      <c r="B221" s="618" t="s">
        <v>2318</v>
      </c>
      <c r="D221" t="str">
        <f t="shared" ref="D221" si="6">B221&amp;"X"</f>
        <v>Y1X</v>
      </c>
      <c r="E221" s="1228">
        <f ca="1">E195</f>
        <v>0.1009433962264151</v>
      </c>
    </row>
    <row r="222" spans="2:16">
      <c r="B222" s="618"/>
      <c r="D222" t="str">
        <f t="shared" ref="D222" si="7">B221&amp;"Y"</f>
        <v>Y1Y</v>
      </c>
      <c r="E222" s="1228">
        <f ca="1">E198</f>
        <v>0.23199999999999998</v>
      </c>
    </row>
    <row r="223" spans="2:16">
      <c r="B223" s="618" t="s">
        <v>2319</v>
      </c>
      <c r="D223" t="str">
        <f t="shared" ref="D223" si="8">B223&amp;"X"</f>
        <v>Y2X</v>
      </c>
      <c r="E223" s="1228">
        <f ca="1">E205</f>
        <v>0.1009433962264151</v>
      </c>
    </row>
    <row r="224" spans="2:16">
      <c r="B224" s="618"/>
      <c r="D224" t="str">
        <f t="shared" ref="D224" si="9">B223&amp;"Y"</f>
        <v>Y2Y</v>
      </c>
      <c r="E224" s="1228">
        <f ca="1">E208</f>
        <v>0.23199999999999998</v>
      </c>
    </row>
    <row r="225" spans="2:9">
      <c r="B225" s="618"/>
      <c r="E225" s="981"/>
    </row>
    <row r="226" spans="2:9">
      <c r="B226" s="989" t="s">
        <v>2332</v>
      </c>
      <c r="E226" s="981"/>
    </row>
    <row r="227" spans="2:9">
      <c r="B227" s="618" t="str">
        <f>Aussteifung!$M$207</f>
        <v>M2</v>
      </c>
      <c r="D227" t="str">
        <f>B227&amp;"X"</f>
        <v>M2X</v>
      </c>
      <c r="E227" s="1228">
        <f ca="1">VLOOKUP(D227,D213:E224,2,0)</f>
        <v>0.1009433962264151</v>
      </c>
      <c r="G227" t="str">
        <f ca="1">IF(E227&gt;1,"zusätzliche Wandscheiben zur Aussteifung notwendig!","Wandscheiben des Kerns ausreichend")</f>
        <v>Wandscheiben des Kerns ausreichend</v>
      </c>
    </row>
    <row r="228" spans="2:9">
      <c r="B228" s="618"/>
      <c r="D228" t="str">
        <f>B227&amp;"Y"</f>
        <v>M2Y</v>
      </c>
      <c r="E228" s="1228">
        <f ca="1">VLOOKUP(D228,D213:E224,2,0)</f>
        <v>0.11599999999999999</v>
      </c>
      <c r="G228" t="str">
        <f ca="1">IF(E228&gt;1,"zusätzliche Wandscheiben zur Aussteifung notwendig!","Wandscheiben des Kerns ausreichend")</f>
        <v>Wandscheiben des Kerns ausreichend</v>
      </c>
    </row>
    <row r="229" spans="2:9">
      <c r="B229" s="618"/>
      <c r="D229" s="1313" t="s">
        <v>2339</v>
      </c>
      <c r="E229" s="981">
        <f>HLOOKUP($B$227,$K$212:$P$220,3,FALSE)</f>
        <v>5.3</v>
      </c>
    </row>
    <row r="230" spans="2:9">
      <c r="B230" s="618"/>
      <c r="D230" s="1313" t="s">
        <v>2340</v>
      </c>
      <c r="E230" s="981">
        <f>HLOOKUP($B$227,$K$212:$P$220,7,FALSE)</f>
        <v>5</v>
      </c>
    </row>
    <row r="231" spans="2:9">
      <c r="B231" s="618"/>
      <c r="D231" s="936" t="s">
        <v>2337</v>
      </c>
      <c r="E231" s="981">
        <f>HLOOKUP($B$227,$K$212:$P$220,4,FALSE)</f>
        <v>10.6</v>
      </c>
    </row>
    <row r="232" spans="2:9">
      <c r="B232" s="618"/>
      <c r="D232" s="936" t="s">
        <v>2338</v>
      </c>
      <c r="E232" s="981">
        <f>HLOOKUP($B$227,$K$212:$P$220,8,FALSE)</f>
        <v>10</v>
      </c>
    </row>
    <row r="233" spans="2:9">
      <c r="B233" s="618"/>
      <c r="E233" s="981"/>
    </row>
    <row r="234" spans="2:9" ht="16" thickBot="1">
      <c r="B234" s="983"/>
      <c r="C234" s="991"/>
      <c r="D234" s="991"/>
      <c r="E234" s="1019"/>
    </row>
    <row r="235" spans="2:9" ht="16" thickBot="1">
      <c r="E235" s="549"/>
    </row>
    <row r="236" spans="2:9">
      <c r="B236" s="978" t="s">
        <v>2107</v>
      </c>
      <c r="C236" s="979"/>
      <c r="D236" s="979"/>
      <c r="E236" s="980"/>
      <c r="I236" s="1085" t="s">
        <v>2110</v>
      </c>
    </row>
    <row r="237" spans="2:9">
      <c r="B237" s="618" t="s">
        <v>2108</v>
      </c>
      <c r="E237" s="981">
        <f>Rechenmodell!F19*Rechenmodell!B7</f>
        <v>5.3</v>
      </c>
    </row>
    <row r="238" spans="2:9" ht="16" thickBot="1">
      <c r="B238" s="983" t="s">
        <v>2109</v>
      </c>
      <c r="C238" s="991"/>
      <c r="D238" s="991"/>
      <c r="E238" s="1019">
        <f>Rechenmodell!B8</f>
        <v>5</v>
      </c>
    </row>
    <row r="239" spans="2:9" ht="16" thickBot="1">
      <c r="E239" s="549"/>
    </row>
    <row r="240" spans="2:9" ht="17">
      <c r="B240" s="978" t="s">
        <v>2111</v>
      </c>
      <c r="C240" s="979"/>
      <c r="D240" s="979"/>
      <c r="E240" s="980"/>
      <c r="I240" s="1085" t="s">
        <v>2114</v>
      </c>
    </row>
    <row r="241" spans="2:10">
      <c r="B241" s="618" t="s">
        <v>2112</v>
      </c>
      <c r="E241" s="981">
        <f>'Eingabe und Ergebnis'!B183</f>
        <v>10</v>
      </c>
    </row>
    <row r="242" spans="2:10" ht="17">
      <c r="B242" s="618" t="s">
        <v>2113</v>
      </c>
      <c r="E242" s="981">
        <f>E229+2*E230</f>
        <v>15.3</v>
      </c>
    </row>
    <row r="243" spans="2:10" ht="16" thickBot="1">
      <c r="B243" s="983"/>
      <c r="C243" s="991"/>
      <c r="D243" s="991"/>
      <c r="E243" s="1088">
        <f>E241/E242</f>
        <v>0.65359477124183007</v>
      </c>
      <c r="G243" t="str">
        <f>IF(E243&gt;1,"Zusätzliche Wandraster notwendig!","passt")</f>
        <v>passt</v>
      </c>
      <c r="J243" s="1085" t="s">
        <v>2341</v>
      </c>
    </row>
    <row r="244" spans="2:10" ht="16" thickBot="1">
      <c r="E244" s="549"/>
    </row>
    <row r="245" spans="2:10">
      <c r="B245" s="978" t="s">
        <v>2227</v>
      </c>
      <c r="C245" s="979"/>
      <c r="D245" s="979"/>
      <c r="E245" s="980"/>
    </row>
    <row r="246" spans="2:10">
      <c r="B246" t="s">
        <v>2228</v>
      </c>
      <c r="E246" s="982">
        <f ca="1">E146</f>
        <v>1</v>
      </c>
    </row>
    <row r="247" spans="2:10">
      <c r="B247" t="s">
        <v>2229</v>
      </c>
      <c r="E247" s="982">
        <f ca="1">E222</f>
        <v>0.23199999999999998</v>
      </c>
    </row>
    <row r="248" spans="2:10">
      <c r="B248" s="618" t="s">
        <v>2231</v>
      </c>
      <c r="E248" s="982">
        <f>IF(E243&gt;1,ROUNDUP(E146/2,0),0)</f>
        <v>0</v>
      </c>
    </row>
    <row r="249" spans="2:10">
      <c r="B249" t="s">
        <v>2230</v>
      </c>
      <c r="E249" s="982">
        <f ca="1">E147</f>
        <v>1</v>
      </c>
    </row>
    <row r="250" spans="2:10">
      <c r="B250" t="s">
        <v>2229</v>
      </c>
      <c r="E250" s="982">
        <f ca="1">E223*2</f>
        <v>0.2018867924528302</v>
      </c>
    </row>
    <row r="251" spans="2:10">
      <c r="B251" s="618" t="s">
        <v>2231</v>
      </c>
      <c r="E251" s="981"/>
    </row>
    <row r="252" spans="2:10">
      <c r="B252" s="618" t="s">
        <v>2232</v>
      </c>
      <c r="E252" s="982">
        <f>ROUNDUP($D$26/$D$35,0)</f>
        <v>3</v>
      </c>
    </row>
    <row r="253" spans="2:10">
      <c r="B253" s="618" t="s">
        <v>2233</v>
      </c>
      <c r="E253" s="982">
        <f>$D$37/$D$46</f>
        <v>1</v>
      </c>
    </row>
    <row r="254" spans="2:10">
      <c r="B254" s="618" t="s">
        <v>2234</v>
      </c>
      <c r="E254" s="982">
        <f>E252*E253</f>
        <v>3</v>
      </c>
    </row>
    <row r="255" spans="2:10">
      <c r="B255" s="618" t="s">
        <v>1812</v>
      </c>
      <c r="E255" s="982">
        <f>IF('Eingabe und Ergebnis'!$B$31="",1,'Eingabe und Ergebnis'!$B$31)</f>
        <v>3</v>
      </c>
    </row>
    <row r="256" spans="2:10" ht="16" thickBot="1">
      <c r="B256" s="983"/>
      <c r="C256" s="991"/>
      <c r="D256" s="991"/>
      <c r="E256" s="1088"/>
    </row>
    <row r="257" spans="2:5">
      <c r="E257" s="549"/>
    </row>
    <row r="258" spans="2:5">
      <c r="E258" s="549"/>
    </row>
    <row r="259" spans="2:5">
      <c r="E259" s="549"/>
    </row>
    <row r="260" spans="2:5">
      <c r="B260" s="585" t="s">
        <v>2015</v>
      </c>
      <c r="E260" s="549"/>
    </row>
    <row r="261" spans="2:5">
      <c r="C261" t="s">
        <v>2016</v>
      </c>
      <c r="E261" s="1020">
        <f ca="1">E144-E231</f>
        <v>-5.3</v>
      </c>
    </row>
    <row r="262" spans="2:5">
      <c r="C262" t="s">
        <v>1643</v>
      </c>
      <c r="E262" s="1020">
        <f ca="1">E145-E232</f>
        <v>-5</v>
      </c>
    </row>
    <row r="263" spans="2:5">
      <c r="E263" s="549"/>
    </row>
    <row r="264" spans="2:5">
      <c r="E264" s="549"/>
    </row>
    <row r="268" spans="2:5">
      <c r="C268" t="s">
        <v>2342</v>
      </c>
    </row>
    <row r="269" spans="2:5" ht="17">
      <c r="D269" s="936" t="s">
        <v>2343</v>
      </c>
      <c r="E269" s="969">
        <f ca="1">Hilfstabelle_Aussteifung!$P$79/$E$231</f>
        <v>20.660377358490567</v>
      </c>
    </row>
    <row r="270" spans="2:5" ht="17">
      <c r="D270" s="936" t="s">
        <v>2344</v>
      </c>
      <c r="E270" s="969">
        <f ca="1">Hilfstabelle_Aussteifung!$P$80/$E$232</f>
        <v>24</v>
      </c>
    </row>
    <row r="273" spans="2:6" ht="17">
      <c r="B273" t="s">
        <v>1902</v>
      </c>
      <c r="D273" s="936" t="s">
        <v>1901</v>
      </c>
    </row>
    <row r="276" spans="2:6">
      <c r="B276" s="585" t="s">
        <v>1907</v>
      </c>
    </row>
    <row r="277" spans="2:6" ht="17">
      <c r="B277" s="585"/>
      <c r="C277" t="s">
        <v>2021</v>
      </c>
    </row>
    <row r="278" spans="2:6" ht="17">
      <c r="B278" s="585"/>
      <c r="D278" s="936" t="s">
        <v>2022</v>
      </c>
      <c r="E278" s="1024">
        <f ca="1">Hilfstabelle_Aussteifung!D93</f>
        <v>2152.5</v>
      </c>
    </row>
    <row r="279" spans="2:6" ht="17">
      <c r="B279" s="585"/>
      <c r="D279" s="936" t="s">
        <v>2023</v>
      </c>
      <c r="E279" s="1024">
        <f ca="1">Hilfstabelle_Aussteifung!$E$93</f>
        <v>2345</v>
      </c>
    </row>
    <row r="280" spans="2:6">
      <c r="B280" s="585"/>
    </row>
    <row r="281" spans="2:6">
      <c r="B281" s="585"/>
      <c r="C281" t="s">
        <v>2024</v>
      </c>
    </row>
    <row r="282" spans="2:6" ht="17">
      <c r="B282" s="585"/>
      <c r="D282" s="936" t="s">
        <v>2025</v>
      </c>
      <c r="E282" s="944">
        <f ca="1">ROUNDUP(E278/E231,0)</f>
        <v>204</v>
      </c>
    </row>
    <row r="283" spans="2:6" ht="17">
      <c r="B283" s="585"/>
      <c r="D283" s="936" t="s">
        <v>2026</v>
      </c>
      <c r="E283" s="944">
        <f ca="1">ROUNDUP(E279/E232,0)</f>
        <v>235</v>
      </c>
    </row>
    <row r="284" spans="2:6">
      <c r="B284" s="585"/>
      <c r="D284" s="936"/>
      <c r="E284" s="944"/>
    </row>
    <row r="285" spans="2:6">
      <c r="B285" s="585"/>
      <c r="C285" t="s">
        <v>2027</v>
      </c>
    </row>
    <row r="286" spans="2:6" ht="17">
      <c r="B286" s="585"/>
      <c r="D286" s="936" t="s">
        <v>2029</v>
      </c>
      <c r="E286" s="549">
        <f>n_GESCHOSSE</f>
        <v>5</v>
      </c>
    </row>
    <row r="287" spans="2:6" ht="17">
      <c r="B287" s="585"/>
      <c r="D287" s="936" t="s">
        <v>2030</v>
      </c>
      <c r="E287" s="1025">
        <f>1/2*(Rechenmodell!$B$7*Rechenmodell!$B$8)</f>
        <v>13.25</v>
      </c>
      <c r="F287" t="s">
        <v>2034</v>
      </c>
    </row>
    <row r="288" spans="2:6" ht="17">
      <c r="B288" s="585"/>
      <c r="D288" s="936" t="s">
        <v>2028</v>
      </c>
      <c r="E288" s="944">
        <f ca="1">E287*(E286*(5*Rechenmodell!$X$4/1000+a_k)-a_k)</f>
        <v>237.17499999999998</v>
      </c>
    </row>
    <row r="289" spans="2:6">
      <c r="B289" s="585"/>
    </row>
    <row r="290" spans="2:6">
      <c r="B290" s="585"/>
      <c r="C290" t="s">
        <v>2031</v>
      </c>
    </row>
    <row r="291" spans="2:6" ht="17">
      <c r="B291" s="585"/>
      <c r="D291" s="936" t="s">
        <v>2032</v>
      </c>
      <c r="E291" s="944">
        <f ca="1">1.5*E282-E288</f>
        <v>68.825000000000017</v>
      </c>
    </row>
    <row r="292" spans="2:6" ht="17">
      <c r="B292" s="585"/>
      <c r="D292" s="936" t="s">
        <v>2033</v>
      </c>
      <c r="E292" s="944">
        <f ca="1">1.5*E283-E288</f>
        <v>115.32500000000002</v>
      </c>
      <c r="F292" t="s">
        <v>2099</v>
      </c>
    </row>
    <row r="293" spans="2:6">
      <c r="B293" s="585"/>
    </row>
    <row r="294" spans="2:6">
      <c r="B294" s="585"/>
    </row>
    <row r="296" spans="2:6">
      <c r="D296" s="936"/>
    </row>
    <row r="297" spans="2:6">
      <c r="D297" s="936"/>
    </row>
  </sheetData>
  <sheetProtection algorithmName="SHA-512" hashValue="R6CWOF8KPZ3PV+k505B4MGguKguiTC8XAZSncCjmEuUy4hDibYfBSRyrnllFGKhk8lS0TCZy0sxjz9AwngEkWw==" saltValue="o1Wv6ccK0SU3smKtMfVMyQ==" spinCount="100000" sheet="1" objects="1" scenarios="1"/>
  <mergeCells count="15">
    <mergeCell ref="B63:D63"/>
    <mergeCell ref="B64:D64"/>
    <mergeCell ref="B62:D62"/>
    <mergeCell ref="B33:C33"/>
    <mergeCell ref="B28:C28"/>
    <mergeCell ref="B29:C29"/>
    <mergeCell ref="B30:C30"/>
    <mergeCell ref="B31:C31"/>
    <mergeCell ref="B39:C39"/>
    <mergeCell ref="B40:C40"/>
    <mergeCell ref="B41:C41"/>
    <mergeCell ref="B42:C42"/>
    <mergeCell ref="B44:C44"/>
    <mergeCell ref="B32:C32"/>
    <mergeCell ref="B43:C43"/>
  </mergeCells>
  <conditionalFormatting sqref="C4:C5">
    <cfRule type="cellIs" dxfId="12" priority="36" operator="equal">
      <formula>""</formula>
    </cfRule>
  </conditionalFormatting>
  <conditionalFormatting sqref="E122">
    <cfRule type="cellIs" dxfId="11" priority="34" operator="equal">
      <formula>""</formula>
    </cfRule>
  </conditionalFormatting>
  <conditionalFormatting sqref="E128">
    <cfRule type="cellIs" dxfId="10" priority="33" operator="equal">
      <formula>""</formula>
    </cfRule>
  </conditionalFormatting>
  <conditionalFormatting sqref="E134">
    <cfRule type="cellIs" dxfId="9" priority="32" operator="equal">
      <formula>""</formula>
    </cfRule>
  </conditionalFormatting>
  <conditionalFormatting sqref="E155">
    <cfRule type="iconSet" priority="29">
      <iconSet iconSet="3Symbols2" reverse="1">
        <cfvo type="percent" val="0"/>
        <cfvo type="num" val="0.99990000000000001"/>
        <cfvo type="num" val="1.05" gte="0"/>
      </iconSet>
    </cfRule>
  </conditionalFormatting>
  <conditionalFormatting sqref="E158">
    <cfRule type="iconSet" priority="27">
      <iconSet iconSet="3Symbols2" reverse="1">
        <cfvo type="percent" val="0"/>
        <cfvo type="num" val="0.99990000000000001"/>
        <cfvo type="num" val="1.05" gte="0"/>
      </iconSet>
    </cfRule>
  </conditionalFormatting>
  <conditionalFormatting sqref="E165">
    <cfRule type="iconSet" priority="26">
      <iconSet iconSet="3Symbols2" reverse="1">
        <cfvo type="percent" val="0"/>
        <cfvo type="num" val="0.99990000000000001"/>
        <cfvo type="num" val="1.05" gte="0"/>
      </iconSet>
    </cfRule>
  </conditionalFormatting>
  <conditionalFormatting sqref="E168">
    <cfRule type="iconSet" priority="25">
      <iconSet iconSet="3Symbols2" reverse="1">
        <cfvo type="percent" val="0"/>
        <cfvo type="num" val="0.99990000000000001"/>
        <cfvo type="num" val="1.05" gte="0"/>
      </iconSet>
    </cfRule>
  </conditionalFormatting>
  <conditionalFormatting sqref="E175">
    <cfRule type="iconSet" priority="23">
      <iconSet iconSet="3Symbols2" reverse="1">
        <cfvo type="percent" val="0"/>
        <cfvo type="num" val="0.99990000000000001"/>
        <cfvo type="num" val="1.05" gte="0"/>
      </iconSet>
    </cfRule>
  </conditionalFormatting>
  <conditionalFormatting sqref="E178">
    <cfRule type="iconSet" priority="21">
      <iconSet iconSet="3Symbols2" reverse="1">
        <cfvo type="percent" val="0"/>
        <cfvo type="num" val="0.99990000000000001"/>
        <cfvo type="num" val="1.05" gte="0"/>
      </iconSet>
    </cfRule>
  </conditionalFormatting>
  <conditionalFormatting sqref="E185">
    <cfRule type="iconSet" priority="20">
      <iconSet iconSet="3Symbols2" reverse="1">
        <cfvo type="percent" val="0"/>
        <cfvo type="num" val="0.99990000000000001"/>
        <cfvo type="num" val="1.05" gte="0"/>
      </iconSet>
    </cfRule>
  </conditionalFormatting>
  <conditionalFormatting sqref="E188">
    <cfRule type="iconSet" priority="19">
      <iconSet iconSet="3Symbols2" reverse="1">
        <cfvo type="percent" val="0"/>
        <cfvo type="num" val="0.99990000000000001"/>
        <cfvo type="num" val="1.05" gte="0"/>
      </iconSet>
    </cfRule>
  </conditionalFormatting>
  <conditionalFormatting sqref="E195">
    <cfRule type="iconSet" priority="18">
      <iconSet iconSet="3Symbols2" reverse="1">
        <cfvo type="percent" val="0"/>
        <cfvo type="num" val="0.99990000000000001"/>
        <cfvo type="num" val="1.05" gte="0"/>
      </iconSet>
    </cfRule>
  </conditionalFormatting>
  <conditionalFormatting sqref="E198">
    <cfRule type="iconSet" priority="17">
      <iconSet iconSet="3Symbols2" reverse="1">
        <cfvo type="percent" val="0"/>
        <cfvo type="num" val="0.99990000000000001"/>
        <cfvo type="num" val="1.05" gte="0"/>
      </iconSet>
    </cfRule>
  </conditionalFormatting>
  <conditionalFormatting sqref="E205">
    <cfRule type="iconSet" priority="16">
      <iconSet iconSet="3Symbols2" reverse="1">
        <cfvo type="percent" val="0"/>
        <cfvo type="num" val="0.99990000000000001"/>
        <cfvo type="num" val="1.05" gte="0"/>
      </iconSet>
    </cfRule>
  </conditionalFormatting>
  <conditionalFormatting sqref="E208">
    <cfRule type="iconSet" priority="15">
      <iconSet iconSet="3Symbols2" reverse="1">
        <cfvo type="percent" val="0"/>
        <cfvo type="num" val="0.99990000000000001"/>
        <cfvo type="num" val="1.05" gte="0"/>
      </iconSet>
    </cfRule>
  </conditionalFormatting>
  <conditionalFormatting sqref="E213:E224">
    <cfRule type="iconSet" priority="14">
      <iconSet iconSet="3Symbols2" reverse="1">
        <cfvo type="percent" val="0"/>
        <cfvo type="num" val="0.99990000000000001"/>
        <cfvo type="num" val="1.05" gte="0"/>
      </iconSet>
    </cfRule>
  </conditionalFormatting>
  <conditionalFormatting sqref="E227:E228">
    <cfRule type="iconSet" priority="13">
      <iconSet iconSet="3Symbols2" reverse="1">
        <cfvo type="percent" val="0"/>
        <cfvo type="num" val="0.99990000000000001"/>
        <cfvo type="num" val="1.05" gte="0"/>
      </iconSet>
    </cfRule>
  </conditionalFormatting>
  <conditionalFormatting sqref="E243">
    <cfRule type="iconSet" priority="31">
      <iconSet iconSet="3Symbols2" reverse="1">
        <cfvo type="percent" val="0"/>
        <cfvo type="num" val="0.99990000000000001"/>
        <cfvo type="num" val="1.05" gte="0"/>
      </iconSet>
    </cfRule>
  </conditionalFormatting>
  <conditionalFormatting sqref="E256">
    <cfRule type="iconSet" priority="30">
      <iconSet iconSet="3Symbols2" reverse="1">
        <cfvo type="percent" val="0"/>
        <cfvo type="num" val="0.99990000000000001"/>
        <cfvo type="num" val="1.05" gte="0"/>
      </iconSet>
    </cfRule>
  </conditionalFormatting>
  <conditionalFormatting sqref="K216">
    <cfRule type="iconSet" priority="12">
      <iconSet iconSet="3Symbols2" reverse="1">
        <cfvo type="percent" val="0"/>
        <cfvo type="num" val="0.99990000000000001"/>
        <cfvo type="num" val="1.05" gte="0"/>
      </iconSet>
    </cfRule>
  </conditionalFormatting>
  <conditionalFormatting sqref="K220">
    <cfRule type="iconSet" priority="11">
      <iconSet iconSet="3Symbols2" reverse="1">
        <cfvo type="percent" val="0"/>
        <cfvo type="num" val="0.99990000000000001"/>
        <cfvo type="num" val="1.05" gte="0"/>
      </iconSet>
    </cfRule>
  </conditionalFormatting>
  <conditionalFormatting sqref="L216">
    <cfRule type="iconSet" priority="10">
      <iconSet iconSet="3Symbols2" reverse="1">
        <cfvo type="percent" val="0"/>
        <cfvo type="num" val="0.99990000000000001"/>
        <cfvo type="num" val="1.05" gte="0"/>
      </iconSet>
    </cfRule>
  </conditionalFormatting>
  <conditionalFormatting sqref="L220">
    <cfRule type="iconSet" priority="9">
      <iconSet iconSet="3Symbols2" reverse="1">
        <cfvo type="percent" val="0"/>
        <cfvo type="num" val="0.99990000000000001"/>
        <cfvo type="num" val="1.05" gte="0"/>
      </iconSet>
    </cfRule>
  </conditionalFormatting>
  <conditionalFormatting sqref="M216">
    <cfRule type="iconSet" priority="8">
      <iconSet iconSet="3Symbols2" reverse="1">
        <cfvo type="percent" val="0"/>
        <cfvo type="num" val="0.99990000000000001"/>
        <cfvo type="num" val="1.05" gte="0"/>
      </iconSet>
    </cfRule>
  </conditionalFormatting>
  <conditionalFormatting sqref="M220">
    <cfRule type="iconSet" priority="7">
      <iconSet iconSet="3Symbols2" reverse="1">
        <cfvo type="percent" val="0"/>
        <cfvo type="num" val="0.99990000000000001"/>
        <cfvo type="num" val="1.05" gte="0"/>
      </iconSet>
    </cfRule>
  </conditionalFormatting>
  <conditionalFormatting sqref="N216">
    <cfRule type="iconSet" priority="6">
      <iconSet iconSet="3Symbols2" reverse="1">
        <cfvo type="percent" val="0"/>
        <cfvo type="num" val="0.99990000000000001"/>
        <cfvo type="num" val="1.05" gte="0"/>
      </iconSet>
    </cfRule>
  </conditionalFormatting>
  <conditionalFormatting sqref="N220">
    <cfRule type="iconSet" priority="5">
      <iconSet iconSet="3Symbols2" reverse="1">
        <cfvo type="percent" val="0"/>
        <cfvo type="num" val="0.99990000000000001"/>
        <cfvo type="num" val="1.05" gte="0"/>
      </iconSet>
    </cfRule>
  </conditionalFormatting>
  <conditionalFormatting sqref="O216">
    <cfRule type="iconSet" priority="4">
      <iconSet iconSet="3Symbols2" reverse="1">
        <cfvo type="percent" val="0"/>
        <cfvo type="num" val="0.99990000000000001"/>
        <cfvo type="num" val="1.05" gte="0"/>
      </iconSet>
    </cfRule>
  </conditionalFormatting>
  <conditionalFormatting sqref="O220">
    <cfRule type="iconSet" priority="3">
      <iconSet iconSet="3Symbols2" reverse="1">
        <cfvo type="percent" val="0"/>
        <cfvo type="num" val="0.99990000000000001"/>
        <cfvo type="num" val="1.05" gte="0"/>
      </iconSet>
    </cfRule>
  </conditionalFormatting>
  <conditionalFormatting sqref="P216">
    <cfRule type="iconSet" priority="2">
      <iconSet iconSet="3Symbols2" reverse="1">
        <cfvo type="percent" val="0"/>
        <cfvo type="num" val="0.99990000000000001"/>
        <cfvo type="num" val="1.05" gte="0"/>
      </iconSet>
    </cfRule>
  </conditionalFormatting>
  <conditionalFormatting sqref="P220">
    <cfRule type="iconSet" priority="1">
      <iconSet iconSet="3Symbols2" reverse="1">
        <cfvo type="percent" val="0"/>
        <cfvo type="num" val="0.99990000000000001"/>
        <cfvo type="num" val="1.05" gte="0"/>
      </iconSet>
    </cfRule>
  </conditionalFormatting>
  <pageMargins left="0.7" right="0.7" top="0.78740157499999996" bottom="0.78740157499999996" header="0.3" footer="0.3"/>
  <pageSetup paperSize="9" orientation="portrait" r:id="rId1"/>
  <ignoredErrors>
    <ignoredError sqref="D214:D215 D216:D224" formula="1"/>
  </ignoredError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Tabelle10">
    <tabColor rgb="FFFF9999"/>
  </sheetPr>
  <dimension ref="A4:AP154"/>
  <sheetViews>
    <sheetView topLeftCell="E1" zoomScale="85" zoomScaleNormal="85" workbookViewId="0">
      <selection activeCell="N49" sqref="N49"/>
    </sheetView>
  </sheetViews>
  <sheetFormatPr baseColWidth="10" defaultRowHeight="15"/>
  <cols>
    <col min="2" max="2" width="54.5" bestFit="1" customWidth="1"/>
    <col min="3" max="3" width="21.5" bestFit="1" customWidth="1"/>
    <col min="4" max="4" width="37.5" bestFit="1" customWidth="1"/>
    <col min="5" max="5" width="18.5" bestFit="1" customWidth="1"/>
    <col min="6" max="6" width="45" bestFit="1" customWidth="1"/>
    <col min="7" max="8" width="13.33203125" bestFit="1" customWidth="1"/>
    <col min="9" max="9" width="27.5" bestFit="1" customWidth="1"/>
    <col min="10" max="10" width="27.83203125" bestFit="1" customWidth="1"/>
    <col min="11" max="11" width="48.1640625" bestFit="1" customWidth="1"/>
  </cols>
  <sheetData>
    <row r="4" spans="1:11">
      <c r="A4" t="s">
        <v>1782</v>
      </c>
      <c r="D4" t="s">
        <v>1784</v>
      </c>
      <c r="H4" t="s">
        <v>1916</v>
      </c>
      <c r="I4" t="s">
        <v>1917</v>
      </c>
      <c r="J4" t="s">
        <v>1918</v>
      </c>
      <c r="K4" t="s">
        <v>1919</v>
      </c>
    </row>
    <row r="6" spans="1:11">
      <c r="A6" t="s">
        <v>78</v>
      </c>
      <c r="D6" t="s">
        <v>1786</v>
      </c>
      <c r="H6" t="s">
        <v>1786</v>
      </c>
      <c r="I6" t="s">
        <v>1786</v>
      </c>
      <c r="J6" t="s">
        <v>1786</v>
      </c>
      <c r="K6" t="s">
        <v>1786</v>
      </c>
    </row>
    <row r="7" spans="1:11">
      <c r="A7" t="s">
        <v>230</v>
      </c>
      <c r="D7" t="s">
        <v>1834</v>
      </c>
      <c r="I7" t="s">
        <v>1834</v>
      </c>
      <c r="J7" t="s">
        <v>1834</v>
      </c>
      <c r="K7" t="s">
        <v>1835</v>
      </c>
    </row>
    <row r="8" spans="1:11">
      <c r="A8" t="s">
        <v>231</v>
      </c>
      <c r="D8" t="s">
        <v>1787</v>
      </c>
      <c r="K8" t="s">
        <v>1787</v>
      </c>
    </row>
    <row r="9" spans="1:11">
      <c r="A9" t="s">
        <v>1783</v>
      </c>
    </row>
    <row r="12" spans="1:11" ht="16" thickBot="1"/>
    <row r="13" spans="1:11">
      <c r="A13" s="978" t="s">
        <v>2017</v>
      </c>
      <c r="B13" s="979" t="s">
        <v>1115</v>
      </c>
      <c r="C13" s="979" t="s">
        <v>2018</v>
      </c>
      <c r="D13" s="979"/>
      <c r="E13" s="979"/>
      <c r="F13" s="1021"/>
    </row>
    <row r="14" spans="1:11">
      <c r="A14" s="1022" t="s">
        <v>1133</v>
      </c>
      <c r="B14" t="s">
        <v>1116</v>
      </c>
      <c r="C14" t="s">
        <v>78</v>
      </c>
      <c r="D14" t="s">
        <v>230</v>
      </c>
      <c r="F14" s="619"/>
    </row>
    <row r="15" spans="1:11">
      <c r="A15" s="1022" t="s">
        <v>1134</v>
      </c>
      <c r="B15" t="s">
        <v>1117</v>
      </c>
      <c r="C15" t="s">
        <v>78</v>
      </c>
      <c r="D15" t="s">
        <v>230</v>
      </c>
      <c r="F15" s="619"/>
    </row>
    <row r="16" spans="1:11">
      <c r="A16" s="1022" t="s">
        <v>1135</v>
      </c>
      <c r="B16" t="s">
        <v>1118</v>
      </c>
      <c r="D16" t="s">
        <v>230</v>
      </c>
      <c r="F16" s="619"/>
    </row>
    <row r="17" spans="1:6">
      <c r="A17" s="1022" t="s">
        <v>1143</v>
      </c>
      <c r="B17" t="s">
        <v>1119</v>
      </c>
      <c r="D17" t="s">
        <v>230</v>
      </c>
      <c r="F17" s="619"/>
    </row>
    <row r="18" spans="1:6">
      <c r="A18" s="1022" t="s">
        <v>1144</v>
      </c>
      <c r="B18" t="s">
        <v>1120</v>
      </c>
      <c r="D18" t="s">
        <v>230</v>
      </c>
      <c r="E18" t="s">
        <v>231</v>
      </c>
      <c r="F18" s="619"/>
    </row>
    <row r="19" spans="1:6">
      <c r="A19" s="1022" t="s">
        <v>1145</v>
      </c>
      <c r="B19" t="s">
        <v>1121</v>
      </c>
      <c r="D19" t="s">
        <v>230</v>
      </c>
      <c r="F19" s="619"/>
    </row>
    <row r="20" spans="1:6">
      <c r="A20" s="1022" t="s">
        <v>1140</v>
      </c>
      <c r="B20" t="s">
        <v>1122</v>
      </c>
      <c r="C20" t="s">
        <v>78</v>
      </c>
      <c r="F20" s="619"/>
    </row>
    <row r="21" spans="1:6">
      <c r="A21" s="1022" t="s">
        <v>1136</v>
      </c>
      <c r="B21" t="s">
        <v>1123</v>
      </c>
      <c r="D21" t="s">
        <v>230</v>
      </c>
      <c r="E21" t="s">
        <v>231</v>
      </c>
      <c r="F21" s="619" t="s">
        <v>1783</v>
      </c>
    </row>
    <row r="22" spans="1:6">
      <c r="A22" s="1022" t="s">
        <v>1141</v>
      </c>
      <c r="B22" t="s">
        <v>1124</v>
      </c>
      <c r="C22" t="s">
        <v>78</v>
      </c>
      <c r="D22" t="s">
        <v>230</v>
      </c>
      <c r="E22" t="s">
        <v>231</v>
      </c>
      <c r="F22" s="619" t="s">
        <v>1783</v>
      </c>
    </row>
    <row r="23" spans="1:6">
      <c r="A23" s="1022" t="s">
        <v>1137</v>
      </c>
      <c r="B23" t="s">
        <v>1125</v>
      </c>
      <c r="C23" t="s">
        <v>78</v>
      </c>
      <c r="D23" t="s">
        <v>230</v>
      </c>
      <c r="F23" s="619"/>
    </row>
    <row r="24" spans="1:6">
      <c r="A24" s="1022" t="s">
        <v>1138</v>
      </c>
      <c r="B24" t="s">
        <v>1126</v>
      </c>
      <c r="C24" t="s">
        <v>78</v>
      </c>
      <c r="D24" t="s">
        <v>230</v>
      </c>
      <c r="F24" s="619"/>
    </row>
    <row r="25" spans="1:6">
      <c r="A25" s="1022" t="s">
        <v>1146</v>
      </c>
      <c r="B25" t="s">
        <v>1127</v>
      </c>
      <c r="C25" t="s">
        <v>78</v>
      </c>
      <c r="F25" s="619"/>
    </row>
    <row r="26" spans="1:6">
      <c r="A26" s="1022" t="s">
        <v>1147</v>
      </c>
      <c r="B26" t="s">
        <v>1128</v>
      </c>
      <c r="D26" t="s">
        <v>230</v>
      </c>
      <c r="F26" s="619"/>
    </row>
    <row r="27" spans="1:6">
      <c r="A27" s="1022" t="s">
        <v>1148</v>
      </c>
      <c r="B27" t="s">
        <v>1129</v>
      </c>
      <c r="D27" t="s">
        <v>230</v>
      </c>
      <c r="F27" s="619"/>
    </row>
    <row r="28" spans="1:6">
      <c r="A28" s="1022" t="s">
        <v>1139</v>
      </c>
      <c r="B28" t="s">
        <v>1130</v>
      </c>
      <c r="D28" t="s">
        <v>230</v>
      </c>
      <c r="E28" t="s">
        <v>231</v>
      </c>
      <c r="F28" s="619" t="s">
        <v>1783</v>
      </c>
    </row>
    <row r="29" spans="1:6" ht="16" thickBot="1">
      <c r="A29" s="1023" t="s">
        <v>1142</v>
      </c>
      <c r="B29" s="991" t="s">
        <v>1131</v>
      </c>
      <c r="C29" s="991" t="s">
        <v>78</v>
      </c>
      <c r="D29" s="991" t="s">
        <v>230</v>
      </c>
      <c r="E29" s="991"/>
      <c r="F29" s="993"/>
    </row>
    <row r="33" spans="1:5">
      <c r="A33" t="s">
        <v>1785</v>
      </c>
    </row>
    <row r="34" spans="1:5">
      <c r="C34" s="958">
        <v>10</v>
      </c>
      <c r="D34" s="958">
        <v>18</v>
      </c>
      <c r="E34" s="958">
        <v>25</v>
      </c>
    </row>
    <row r="35" spans="1:5">
      <c r="A35" t="s">
        <v>78</v>
      </c>
      <c r="B35" t="s">
        <v>1908</v>
      </c>
      <c r="C35" s="553">
        <v>0.5</v>
      </c>
      <c r="D35" s="553">
        <v>0.65</v>
      </c>
      <c r="E35" s="553">
        <v>0.75</v>
      </c>
    </row>
    <row r="36" spans="1:5">
      <c r="A36" t="s">
        <v>230</v>
      </c>
      <c r="B36" t="s">
        <v>1909</v>
      </c>
      <c r="C36" s="553">
        <v>0.65</v>
      </c>
      <c r="D36" s="553">
        <v>0.8</v>
      </c>
      <c r="E36" s="553">
        <v>0.9</v>
      </c>
    </row>
    <row r="37" spans="1:5">
      <c r="A37" t="s">
        <v>230</v>
      </c>
      <c r="B37" t="s">
        <v>1910</v>
      </c>
      <c r="C37" s="553">
        <v>0.85</v>
      </c>
      <c r="D37" s="553">
        <v>1</v>
      </c>
      <c r="E37" s="553">
        <v>1.1000000000000001</v>
      </c>
    </row>
    <row r="38" spans="1:5">
      <c r="A38" t="s">
        <v>231</v>
      </c>
      <c r="B38" t="s">
        <v>1911</v>
      </c>
      <c r="C38" s="553">
        <v>0.8</v>
      </c>
      <c r="D38" s="553">
        <v>0.95</v>
      </c>
      <c r="E38" s="553">
        <v>1.1000000000000001</v>
      </c>
    </row>
    <row r="39" spans="1:5">
      <c r="A39" t="s">
        <v>231</v>
      </c>
      <c r="B39" t="s">
        <v>1912</v>
      </c>
      <c r="C39" s="553">
        <v>1.05</v>
      </c>
      <c r="D39" s="553">
        <v>1.2</v>
      </c>
      <c r="E39" s="553">
        <v>1.3</v>
      </c>
    </row>
    <row r="40" spans="1:5">
      <c r="A40" t="s">
        <v>1783</v>
      </c>
      <c r="B40" t="s">
        <v>1913</v>
      </c>
      <c r="C40" s="553">
        <v>0.95</v>
      </c>
      <c r="D40" s="553">
        <v>1.1499999999999999</v>
      </c>
      <c r="E40" s="553">
        <v>1.3</v>
      </c>
    </row>
    <row r="41" spans="1:5">
      <c r="A41" t="s">
        <v>1783</v>
      </c>
      <c r="B41" t="s">
        <v>1914</v>
      </c>
      <c r="C41" s="553">
        <v>1.25</v>
      </c>
      <c r="D41" s="553">
        <v>1.4</v>
      </c>
      <c r="E41" s="553">
        <v>1.55</v>
      </c>
    </row>
    <row r="42" spans="1:5">
      <c r="A42" t="s">
        <v>1783</v>
      </c>
      <c r="B42" t="s">
        <v>1915</v>
      </c>
      <c r="C42" s="553">
        <v>1.4</v>
      </c>
      <c r="D42" s="553" t="s">
        <v>1181</v>
      </c>
      <c r="E42" s="553" t="s">
        <v>1181</v>
      </c>
    </row>
    <row r="50" spans="1:6">
      <c r="A50" t="s">
        <v>1783</v>
      </c>
      <c r="B50" t="s">
        <v>1786</v>
      </c>
    </row>
    <row r="54" spans="1:6">
      <c r="A54" t="s">
        <v>1797</v>
      </c>
    </row>
    <row r="55" spans="1:6">
      <c r="B55" t="s">
        <v>63</v>
      </c>
      <c r="C55" t="s">
        <v>65</v>
      </c>
      <c r="D55" t="s">
        <v>67</v>
      </c>
      <c r="E55" t="s">
        <v>69</v>
      </c>
      <c r="F55" t="s">
        <v>71</v>
      </c>
    </row>
    <row r="62" spans="1:6">
      <c r="A62" t="s">
        <v>1803</v>
      </c>
      <c r="F62" t="s">
        <v>1804</v>
      </c>
    </row>
    <row r="63" spans="1:6">
      <c r="A63" t="s">
        <v>1805</v>
      </c>
      <c r="F63" t="s">
        <v>1806</v>
      </c>
    </row>
    <row r="75" spans="3:42">
      <c r="C75" s="959" t="s">
        <v>999</v>
      </c>
      <c r="D75" s="959" t="s">
        <v>1926</v>
      </c>
      <c r="F75" s="961" t="s">
        <v>1928</v>
      </c>
      <c r="G75" s="962"/>
      <c r="K75" s="962"/>
      <c r="L75" s="962"/>
      <c r="M75" s="962"/>
      <c r="N75" s="962"/>
      <c r="O75" s="962"/>
      <c r="P75" s="962"/>
      <c r="Q75" s="962"/>
      <c r="R75" s="962"/>
      <c r="S75" s="962"/>
      <c r="T75" s="962"/>
      <c r="U75" s="962"/>
      <c r="V75" s="962"/>
      <c r="W75" s="962"/>
      <c r="X75" s="962"/>
      <c r="Y75" s="962"/>
      <c r="Z75" s="962"/>
      <c r="AA75" s="962"/>
      <c r="AB75" s="962"/>
      <c r="AC75" s="962"/>
      <c r="AD75" s="962"/>
      <c r="AE75" s="962"/>
      <c r="AF75" s="962"/>
      <c r="AG75" s="962"/>
      <c r="AH75" s="962"/>
      <c r="AI75" s="962"/>
      <c r="AJ75" s="962"/>
      <c r="AK75" s="962"/>
      <c r="AL75" s="962"/>
      <c r="AM75" s="962"/>
      <c r="AN75" s="962"/>
      <c r="AO75" s="962"/>
      <c r="AP75" s="962"/>
    </row>
    <row r="76" spans="3:42">
      <c r="C76" s="960">
        <v>1</v>
      </c>
      <c r="D76" s="960" t="s">
        <v>1927</v>
      </c>
      <c r="F76" s="963" t="s">
        <v>999</v>
      </c>
      <c r="G76" s="963">
        <f>n_GESCHOSSE</f>
        <v>5</v>
      </c>
      <c r="H76" s="1013" t="str">
        <f>D76</f>
        <v>EG</v>
      </c>
      <c r="I76" s="1013" t="str">
        <f>D77</f>
        <v>1. OG</v>
      </c>
      <c r="J76" s="1013" t="str">
        <f>D78</f>
        <v>2. OG</v>
      </c>
      <c r="K76" s="1013" t="str">
        <f>D79</f>
        <v>3. OG</v>
      </c>
      <c r="L76" s="1013" t="str">
        <f>D80</f>
        <v>DG</v>
      </c>
      <c r="M76" s="1013" t="str">
        <f>D81</f>
        <v/>
      </c>
      <c r="N76" s="1013" t="str">
        <f>D82</f>
        <v/>
      </c>
      <c r="O76" s="1013" t="str">
        <f>D83</f>
        <v/>
      </c>
      <c r="P76" s="1016" t="s">
        <v>2036</v>
      </c>
      <c r="Q76" s="1016"/>
      <c r="R76" s="962"/>
      <c r="S76" s="1013"/>
      <c r="T76" s="1013"/>
      <c r="U76" s="1013"/>
      <c r="V76" s="1013"/>
      <c r="W76" s="1013"/>
      <c r="X76" s="1013"/>
      <c r="Y76" s="1013"/>
      <c r="Z76" s="1013"/>
      <c r="AA76" s="1013"/>
      <c r="AB76" s="1013"/>
      <c r="AC76" s="1013"/>
      <c r="AD76" s="1013"/>
      <c r="AE76" s="1013"/>
      <c r="AF76" s="1013"/>
      <c r="AG76" s="1013"/>
      <c r="AH76" s="1013"/>
      <c r="AI76" s="1013"/>
      <c r="AJ76" s="1013"/>
      <c r="AK76" s="1013"/>
      <c r="AL76" s="1013"/>
      <c r="AM76" s="1013"/>
      <c r="AN76" s="1013"/>
      <c r="AO76" s="1013"/>
      <c r="AP76" s="1013"/>
    </row>
    <row r="77" spans="3:42">
      <c r="C77" s="960">
        <v>2</v>
      </c>
      <c r="D77" s="960" t="str">
        <f>IF(Aussteifung!$D$50&gt;C77,(C77-1)&amp;". OG",IF(Aussteifung!$D$50=C77,"DG",""))</f>
        <v>1. OG</v>
      </c>
      <c r="F77" s="964" t="s">
        <v>1929</v>
      </c>
      <c r="G77" s="965" t="s">
        <v>1930</v>
      </c>
      <c r="H77" s="966">
        <f ca="1">ROUNDUP(Rechenmodell!$X$14,1)</f>
        <v>3.5</v>
      </c>
      <c r="I77" s="966">
        <f ca="1">IF(I76="",0,ROUNDUP(Rechenmodell!$X$14,1))</f>
        <v>3.5</v>
      </c>
      <c r="J77" s="966">
        <f ca="1">IF(J76="",0,ROUNDUP(Rechenmodell!$X$14,1))</f>
        <v>3.5</v>
      </c>
      <c r="K77" s="966">
        <f ca="1">IF(K76="",0,ROUNDUP(Rechenmodell!$X$14,1))</f>
        <v>3.5</v>
      </c>
      <c r="L77" s="966">
        <f ca="1">IF(L76="",0,ROUNDUP(Rechenmodell!$X$14,1))</f>
        <v>3.5</v>
      </c>
      <c r="M77" s="966">
        <f>IF(M76="",0,ROUNDUP(Rechenmodell!$X$14,1))</f>
        <v>0</v>
      </c>
      <c r="N77" s="966">
        <f>IF(N76="",0,ROUNDUP(Rechenmodell!$X$14,1))</f>
        <v>0</v>
      </c>
      <c r="O77" s="966">
        <f>IF(O76="",0,ROUNDUP(Rechenmodell!$X$14,1))</f>
        <v>0</v>
      </c>
      <c r="P77" s="962"/>
      <c r="Q77" s="965"/>
      <c r="R77" s="962"/>
      <c r="S77" s="1014"/>
      <c r="T77" s="1014"/>
      <c r="U77" s="1014"/>
      <c r="V77" s="1014"/>
      <c r="W77" s="1014"/>
      <c r="X77" s="1014"/>
      <c r="Y77" s="1014"/>
      <c r="Z77" s="1014"/>
      <c r="AA77" s="1014"/>
      <c r="AB77" s="1014"/>
      <c r="AC77" s="1014"/>
      <c r="AD77" s="1014"/>
      <c r="AE77" s="1014"/>
      <c r="AF77" s="1014"/>
      <c r="AG77" s="1014"/>
      <c r="AH77" s="1014"/>
      <c r="AI77" s="1014"/>
      <c r="AJ77" s="1014"/>
      <c r="AK77" s="1014"/>
      <c r="AL77" s="1014"/>
      <c r="AM77" s="1014"/>
      <c r="AN77" s="1014"/>
      <c r="AO77" s="1014"/>
      <c r="AP77" s="1014"/>
    </row>
    <row r="78" spans="3:42">
      <c r="C78" s="960">
        <v>3</v>
      </c>
      <c r="D78" s="960" t="str">
        <f>IF(Aussteifung!$D$50&gt;C78,(C78-1)&amp;". OG",IF(Aussteifung!$D$50=C78,"DG",""))</f>
        <v>2. OG</v>
      </c>
      <c r="F78" s="964" t="s">
        <v>1931</v>
      </c>
      <c r="G78" s="965" t="s">
        <v>1932</v>
      </c>
      <c r="H78" s="966">
        <f ca="1">SUM($H$77:H77)</f>
        <v>3.5</v>
      </c>
      <c r="I78" s="966">
        <f ca="1">SUM($H$77:I77)</f>
        <v>7</v>
      </c>
      <c r="J78" s="966">
        <f ca="1">SUM($H$77:J77)</f>
        <v>10.5</v>
      </c>
      <c r="K78" s="966">
        <f ca="1">SUM($H$77:K77)</f>
        <v>14</v>
      </c>
      <c r="L78" s="966">
        <f ca="1">SUM($H$77:L77)</f>
        <v>17.5</v>
      </c>
      <c r="M78" s="966">
        <f ca="1">SUM($H$77:M77)</f>
        <v>17.5</v>
      </c>
      <c r="N78" s="966">
        <f ca="1">SUM($H$77:N77)</f>
        <v>17.5</v>
      </c>
      <c r="O78" s="966">
        <f ca="1">SUM($H$77:O77)</f>
        <v>17.5</v>
      </c>
      <c r="P78" s="962"/>
      <c r="Q78" s="965"/>
      <c r="R78" s="962"/>
      <c r="S78" s="458"/>
      <c r="T78" s="458"/>
      <c r="U78" s="458"/>
      <c r="V78" s="458"/>
      <c r="W78" s="458"/>
      <c r="X78" s="458"/>
      <c r="Y78" s="458"/>
      <c r="Z78" s="458"/>
      <c r="AA78" s="458"/>
      <c r="AB78" s="458"/>
      <c r="AC78" s="458"/>
      <c r="AD78" s="458"/>
      <c r="AE78" s="458"/>
      <c r="AF78" s="458"/>
      <c r="AG78" s="458"/>
      <c r="AH78" s="458"/>
      <c r="AI78" s="458"/>
      <c r="AJ78" s="458"/>
      <c r="AK78" s="458"/>
      <c r="AL78" s="458"/>
      <c r="AM78" s="458"/>
      <c r="AN78" s="458"/>
      <c r="AO78" s="458"/>
      <c r="AP78" s="458"/>
    </row>
    <row r="79" spans="3:42">
      <c r="C79" s="960">
        <v>4</v>
      </c>
      <c r="D79" s="960" t="str">
        <f>IF(Aussteifung!$D$50&gt;C79,(C79-1)&amp;". OG",IF(Aussteifung!$D$50=C79,"DG",""))</f>
        <v>3. OG</v>
      </c>
      <c r="F79" s="964" t="s">
        <v>2003</v>
      </c>
      <c r="G79" s="965" t="s">
        <v>2004</v>
      </c>
      <c r="H79" s="1017">
        <f ca="1">IF(H77=0,0,IF(n_GESCHOSSE=1,Aussteifung!$E$95,Aussteifung!$E$91))</f>
        <v>48</v>
      </c>
      <c r="I79" s="1017">
        <f ca="1">IF(I77=0,0,IF(n_GESCHOSSE=2,Aussteifung!$E$95,Aussteifung!$E$91))</f>
        <v>48</v>
      </c>
      <c r="J79" s="1017">
        <f ca="1">IF(J77=0,0,IF(n_GESCHOSSE=3,Aussteifung!$E$95,Aussteifung!$E$91))</f>
        <v>48</v>
      </c>
      <c r="K79" s="1017">
        <f ca="1">IF(K77=0,0,IF(n_GESCHOSSE=4,Aussteifung!$E$95,Aussteifung!$E$91))</f>
        <v>48</v>
      </c>
      <c r="L79" s="1017">
        <f ca="1">IF(L77=0,0,IF(n_GESCHOSSE=5,Aussteifung!$E$95,Aussteifung!$E$91))</f>
        <v>27</v>
      </c>
      <c r="M79" s="1017">
        <f>IF(M77=0,0,IF(n_GESCHOSSE=6,Aussteifung!$E$95,Aussteifung!$E$91))</f>
        <v>0</v>
      </c>
      <c r="N79" s="1017">
        <f>IF(N77=0,0,IF(n_GESCHOSSE=7,Aussteifung!$E$95,Aussteifung!$E$91))</f>
        <v>0</v>
      </c>
      <c r="O79" s="1017">
        <f>IF(O77=0,0,IF(n_GESCHOSSE=8,Aussteifung!$E$95,Aussteifung!$E$91))</f>
        <v>0</v>
      </c>
      <c r="P79" s="1316">
        <f ca="1">SUM(H79:O79)</f>
        <v>219</v>
      </c>
      <c r="Q79" s="965"/>
      <c r="R79" s="962"/>
      <c r="S79" s="1015"/>
      <c r="T79" s="1015"/>
      <c r="U79" s="1015"/>
      <c r="V79" s="1015"/>
      <c r="W79" s="1015"/>
      <c r="X79" s="1015"/>
      <c r="Y79" s="1015"/>
      <c r="Z79" s="1015"/>
      <c r="AA79" s="1015"/>
      <c r="AB79" s="1015"/>
      <c r="AC79" s="1015"/>
      <c r="AD79" s="1015"/>
      <c r="AE79" s="1015"/>
      <c r="AF79" s="1015"/>
      <c r="AG79" s="1015"/>
      <c r="AH79" s="1015"/>
      <c r="AI79" s="1015"/>
      <c r="AJ79" s="1015"/>
      <c r="AK79" s="1015"/>
      <c r="AL79" s="1015"/>
      <c r="AM79" s="1015"/>
      <c r="AN79" s="1015"/>
      <c r="AO79" s="1015"/>
      <c r="AP79" s="1015"/>
    </row>
    <row r="80" spans="3:42">
      <c r="C80" s="960">
        <v>5</v>
      </c>
      <c r="D80" s="960" t="str">
        <f>IF(Aussteifung!$D$50&gt;C80,(C80-1)&amp;". OG",IF(Aussteifung!$D$50=C80,"DG",""))</f>
        <v>DG</v>
      </c>
      <c r="F80" s="964" t="s">
        <v>2006</v>
      </c>
      <c r="G80" s="965" t="s">
        <v>2005</v>
      </c>
      <c r="H80" s="1017">
        <f ca="1">IF(H77=0,0,IF(n_GESCHOSSE=1,Aussteifung!$E$96,Aussteifung!$E$92))</f>
        <v>53</v>
      </c>
      <c r="I80" s="1017">
        <f ca="1">IF(I77=0,0,IF(n_GESCHOSSE=2,Aussteifung!$E$96,Aussteifung!$E$92))</f>
        <v>53</v>
      </c>
      <c r="J80" s="1017">
        <f ca="1">IF(J77=0,0,IF(n_GESCHOSSE=3,Aussteifung!$E$96,Aussteifung!$E$92))</f>
        <v>53</v>
      </c>
      <c r="K80" s="1017">
        <f ca="1">IF(K77=0,0,IF(n_GESCHOSSE=4,Aussteifung!$E$96,Aussteifung!$E$92))</f>
        <v>53</v>
      </c>
      <c r="L80" s="1017">
        <f ca="1">IF(L77=0,0,IF(n_GESCHOSSE=5,Aussteifung!$E$96,Aussteifung!$E$92))</f>
        <v>28</v>
      </c>
      <c r="M80" s="1017">
        <f>IF(M77=0,0,IF(n_GESCHOSSE=6,Aussteifung!$E$96,Aussteifung!$E$92))</f>
        <v>0</v>
      </c>
      <c r="N80" s="1017">
        <f>IF(N77=0,0,IF(n_GESCHOSSE=7,Aussteifung!$E$96,Aussteifung!$E$92))</f>
        <v>0</v>
      </c>
      <c r="O80" s="1017">
        <f>IF(O77=0,0,IF(n_GESCHOSSE=8,Aussteifung!$E$96,Aussteifung!$E$92))</f>
        <v>0</v>
      </c>
      <c r="P80" s="1316">
        <f ca="1">SUM(H80:O80)</f>
        <v>240</v>
      </c>
    </row>
    <row r="81" spans="3:15">
      <c r="C81" s="960">
        <v>6</v>
      </c>
      <c r="D81" s="960" t="str">
        <f>IF(Aussteifung!$D$50&gt;C81,(C81-1)&amp;". OG",IF(Aussteifung!$D$50=C81,"DG",""))</f>
        <v/>
      </c>
    </row>
    <row r="82" spans="3:15">
      <c r="C82" s="960">
        <v>7</v>
      </c>
      <c r="D82" s="960" t="str">
        <f>IF(Aussteifung!$D$50&gt;C82,(C82-1)&amp;". OG",IF(Aussteifung!$D$50=C82,"DG",""))</f>
        <v/>
      </c>
    </row>
    <row r="83" spans="3:15">
      <c r="C83" s="960">
        <v>8</v>
      </c>
      <c r="D83" s="960" t="str">
        <f>IF(Aussteifung!$D$50&gt;C83,(C83-1)&amp;". OG",IF(Aussteifung!$D$50=C83,"DG",""))</f>
        <v/>
      </c>
    </row>
    <row r="85" spans="3:15">
      <c r="C85" s="1007" t="s">
        <v>1997</v>
      </c>
      <c r="D85" s="1007" t="s">
        <v>2019</v>
      </c>
      <c r="E85" s="1007" t="s">
        <v>2020</v>
      </c>
      <c r="H85" s="1399" t="s">
        <v>1996</v>
      </c>
      <c r="I85" s="1399"/>
      <c r="J85" s="1399"/>
      <c r="K85" s="1399"/>
      <c r="L85" s="1399"/>
      <c r="M85" s="1399"/>
      <c r="N85" s="1399"/>
      <c r="O85" s="1399"/>
    </row>
    <row r="86" spans="3:15">
      <c r="C86" s="1010" t="str">
        <f>D83</f>
        <v/>
      </c>
      <c r="D86" s="1011">
        <f t="shared" ref="D86:D92" ca="1" si="0">SUMPRODUCT($H$79:$O$79,H86:O86)</f>
        <v>0</v>
      </c>
      <c r="E86" s="1011">
        <f ca="1">SUMPRODUCT($H$80:$O$80,H86:O86)</f>
        <v>0</v>
      </c>
      <c r="H86" s="1008"/>
      <c r="I86" s="1008"/>
      <c r="J86" s="1008"/>
      <c r="K86" s="1008"/>
      <c r="L86" s="1008"/>
      <c r="M86" s="1008"/>
      <c r="N86" s="1008"/>
      <c r="O86" s="1009">
        <f>O77</f>
        <v>0</v>
      </c>
    </row>
    <row r="87" spans="3:15">
      <c r="C87" s="1010" t="str">
        <f>D82</f>
        <v/>
      </c>
      <c r="D87" s="1011">
        <f t="shared" ca="1" si="0"/>
        <v>0</v>
      </c>
      <c r="E87" s="1011">
        <f t="shared" ref="E87:E93" ca="1" si="1">SUMPRODUCT($H$80:$O$80,H87:O87)</f>
        <v>0</v>
      </c>
      <c r="H87" s="1008"/>
      <c r="I87" s="1008"/>
      <c r="J87" s="1008"/>
      <c r="K87" s="1008"/>
      <c r="L87" s="1008"/>
      <c r="M87" s="967"/>
      <c r="N87" s="1009">
        <f>N77</f>
        <v>0</v>
      </c>
      <c r="O87" s="1009">
        <f>N87+O86</f>
        <v>0</v>
      </c>
    </row>
    <row r="88" spans="3:15">
      <c r="C88" s="1010" t="str">
        <f>D81</f>
        <v/>
      </c>
      <c r="D88" s="1011">
        <f t="shared" ca="1" si="0"/>
        <v>0</v>
      </c>
      <c r="E88" s="1011">
        <f t="shared" ca="1" si="1"/>
        <v>0</v>
      </c>
      <c r="H88" s="1008"/>
      <c r="I88" s="1008"/>
      <c r="J88" s="1008"/>
      <c r="K88" s="1008"/>
      <c r="L88" s="1008"/>
      <c r="M88" s="1009">
        <f>M77</f>
        <v>0</v>
      </c>
      <c r="N88" s="1009">
        <f>M88+N87</f>
        <v>0</v>
      </c>
      <c r="O88" s="1009">
        <f>M88+N87+O86</f>
        <v>0</v>
      </c>
    </row>
    <row r="89" spans="3:15">
      <c r="C89" s="1010" t="str">
        <f>D80</f>
        <v>DG</v>
      </c>
      <c r="D89" s="1011">
        <f t="shared" ca="1" si="0"/>
        <v>94.5</v>
      </c>
      <c r="E89" s="1011">
        <f t="shared" ca="1" si="1"/>
        <v>98</v>
      </c>
      <c r="H89" s="1008"/>
      <c r="I89" s="1008"/>
      <c r="J89" s="1008"/>
      <c r="K89" s="1008"/>
      <c r="L89" s="1009">
        <f ca="1">L77</f>
        <v>3.5</v>
      </c>
      <c r="M89" s="1009">
        <f ca="1">L89+M88</f>
        <v>3.5</v>
      </c>
      <c r="N89" s="1009">
        <f ca="1">L89+M88+N87</f>
        <v>3.5</v>
      </c>
      <c r="O89" s="1009">
        <f ca="1">L89+M88+N87+O86</f>
        <v>3.5</v>
      </c>
    </row>
    <row r="90" spans="3:15">
      <c r="C90" s="1010" t="str">
        <f>D79</f>
        <v>3. OG</v>
      </c>
      <c r="D90" s="1011">
        <f t="shared" ca="1" si="0"/>
        <v>357</v>
      </c>
      <c r="E90" s="1011">
        <f t="shared" ca="1" si="1"/>
        <v>381.5</v>
      </c>
      <c r="H90" s="1008"/>
      <c r="I90" s="1008"/>
      <c r="J90" s="1008"/>
      <c r="K90" s="1009">
        <f ca="1">K77</f>
        <v>3.5</v>
      </c>
      <c r="L90" s="1009">
        <f ca="1">K90+L89</f>
        <v>7</v>
      </c>
      <c r="M90" s="1009">
        <f ca="1">K90+L89+M88</f>
        <v>7</v>
      </c>
      <c r="N90" s="1009">
        <f ca="1">K90+L89+M88+N87</f>
        <v>7</v>
      </c>
      <c r="O90" s="1009">
        <f ca="1">K90+L89+M88+N87+O86</f>
        <v>7</v>
      </c>
    </row>
    <row r="91" spans="3:15">
      <c r="C91" s="1010" t="str">
        <f>D78</f>
        <v>2. OG</v>
      </c>
      <c r="D91" s="1011">
        <f t="shared" ca="1" si="0"/>
        <v>787.5</v>
      </c>
      <c r="E91" s="1011">
        <f t="shared" ca="1" si="1"/>
        <v>850.5</v>
      </c>
      <c r="H91" s="1008"/>
      <c r="I91" s="1008"/>
      <c r="J91" s="1009">
        <f ca="1">J77</f>
        <v>3.5</v>
      </c>
      <c r="K91" s="1009">
        <f ca="1">J91+K90</f>
        <v>7</v>
      </c>
      <c r="L91" s="1009">
        <f ca="1">J91+K90+L89</f>
        <v>10.5</v>
      </c>
      <c r="M91" s="1009">
        <f ca="1">J91+K90+L89+M88</f>
        <v>10.5</v>
      </c>
      <c r="N91" s="1009">
        <f ca="1">J91+K90+L89+M88+N87</f>
        <v>10.5</v>
      </c>
      <c r="O91" s="1009">
        <f ca="1">J91+K90+L89+M88+N87+O86</f>
        <v>10.5</v>
      </c>
    </row>
    <row r="92" spans="3:15">
      <c r="C92" s="1010" t="str">
        <f>D77</f>
        <v>1. OG</v>
      </c>
      <c r="D92" s="1011">
        <f t="shared" ca="1" si="0"/>
        <v>1386</v>
      </c>
      <c r="E92" s="1011">
        <f t="shared" ca="1" si="1"/>
        <v>1505</v>
      </c>
      <c r="H92" s="967"/>
      <c r="I92" s="1009">
        <f ca="1">I77</f>
        <v>3.5</v>
      </c>
      <c r="J92" s="1009">
        <f ca="1">I92+J91</f>
        <v>7</v>
      </c>
      <c r="K92" s="1009">
        <f ca="1">I92+J91+K90</f>
        <v>10.5</v>
      </c>
      <c r="L92" s="1009">
        <f ca="1">I92+J91+K90+L89</f>
        <v>14</v>
      </c>
      <c r="M92" s="1009">
        <f ca="1">I92+J91+K90+L89+M88</f>
        <v>14</v>
      </c>
      <c r="N92" s="1009">
        <f ca="1">I92+J91+K90+L89+M88+N87</f>
        <v>14</v>
      </c>
      <c r="O92" s="1009">
        <f ca="1">I92+J91+K90+L89+M88+N87+O86</f>
        <v>14</v>
      </c>
    </row>
    <row r="93" spans="3:15">
      <c r="C93" s="1010" t="str">
        <f>D76</f>
        <v>EG</v>
      </c>
      <c r="D93" s="1011">
        <f ca="1">SUMPRODUCT($H$79:$O$79,H93:O93)</f>
        <v>2152.5</v>
      </c>
      <c r="E93" s="1011">
        <f t="shared" ca="1" si="1"/>
        <v>2345</v>
      </c>
      <c r="H93" s="1009">
        <f ca="1">H77</f>
        <v>3.5</v>
      </c>
      <c r="I93" s="1009">
        <f ca="1">H93+I92</f>
        <v>7</v>
      </c>
      <c r="J93" s="1009">
        <f ca="1">H93+I92+J91</f>
        <v>10.5</v>
      </c>
      <c r="K93" s="1009">
        <f ca="1">H93+I92+J91+K90</f>
        <v>14</v>
      </c>
      <c r="L93" s="1009">
        <f ca="1">H93+I92+J91+K90+L89</f>
        <v>17.5</v>
      </c>
      <c r="M93" s="1009">
        <f ca="1">H93+I92+J91+K90+L89+M88</f>
        <v>17.5</v>
      </c>
      <c r="N93" s="1009">
        <f ca="1">H93+I92+J91+K90+L89+M88+N87</f>
        <v>17.5</v>
      </c>
      <c r="O93" s="1009">
        <f ca="1">H93+I92+J91+K90+L89+M88+N87+O86</f>
        <v>17.5</v>
      </c>
    </row>
    <row r="94" spans="3:15">
      <c r="K94" s="1012"/>
    </row>
    <row r="106" spans="2:9" ht="16" thickBot="1"/>
    <row r="107" spans="2:9">
      <c r="B107" s="994" t="s">
        <v>1960</v>
      </c>
      <c r="C107" s="995"/>
      <c r="D107" s="995"/>
      <c r="E107" s="995"/>
      <c r="F107" s="995"/>
      <c r="G107" s="995"/>
      <c r="H107" s="995"/>
      <c r="I107" s="988"/>
    </row>
    <row r="108" spans="2:9">
      <c r="B108" s="996"/>
      <c r="C108" s="782" t="s">
        <v>902</v>
      </c>
      <c r="D108" s="782" t="s">
        <v>903</v>
      </c>
      <c r="E108" s="782" t="s">
        <v>904</v>
      </c>
      <c r="F108" s="782" t="s">
        <v>905</v>
      </c>
      <c r="G108" s="782" t="s">
        <v>906</v>
      </c>
      <c r="H108" s="782" t="s">
        <v>907</v>
      </c>
      <c r="I108" s="997" t="s">
        <v>984</v>
      </c>
    </row>
    <row r="109" spans="2:9">
      <c r="B109" s="998" t="s">
        <v>1976</v>
      </c>
      <c r="C109" s="782"/>
      <c r="D109" s="782"/>
      <c r="E109" s="782"/>
      <c r="F109" s="782"/>
      <c r="G109" s="782"/>
      <c r="H109" s="782"/>
      <c r="I109" s="997"/>
    </row>
    <row r="110" spans="2:9">
      <c r="B110" s="996" t="s">
        <v>912</v>
      </c>
      <c r="C110" s="782" t="s">
        <v>895</v>
      </c>
      <c r="D110" s="782" t="s">
        <v>908</v>
      </c>
      <c r="E110" s="782" t="s">
        <v>909</v>
      </c>
      <c r="F110" s="782" t="s">
        <v>900</v>
      </c>
      <c r="G110" s="782" t="s">
        <v>910</v>
      </c>
      <c r="H110" s="782" t="s">
        <v>901</v>
      </c>
      <c r="I110" s="997" t="s">
        <v>985</v>
      </c>
    </row>
    <row r="111" spans="2:9">
      <c r="B111" s="996" t="s">
        <v>1972</v>
      </c>
      <c r="C111" s="782"/>
      <c r="D111" s="782"/>
      <c r="E111" s="782">
        <v>40</v>
      </c>
      <c r="F111" s="782"/>
      <c r="G111" s="782">
        <v>40</v>
      </c>
      <c r="H111" s="782">
        <v>60</v>
      </c>
      <c r="I111" s="997">
        <v>60</v>
      </c>
    </row>
    <row r="112" spans="2:9">
      <c r="B112" s="996" t="s">
        <v>1973</v>
      </c>
      <c r="C112" s="782"/>
      <c r="D112" s="782"/>
      <c r="E112" s="782">
        <v>20</v>
      </c>
      <c r="F112" s="782"/>
      <c r="G112" s="782">
        <v>40</v>
      </c>
      <c r="H112" s="782">
        <v>30</v>
      </c>
      <c r="I112" s="997">
        <v>40</v>
      </c>
    </row>
    <row r="113" spans="2:9">
      <c r="B113" s="996" t="s">
        <v>1980</v>
      </c>
      <c r="C113" s="782"/>
      <c r="D113" s="782"/>
      <c r="E113" s="782">
        <v>0</v>
      </c>
      <c r="F113" s="782"/>
      <c r="G113" s="782">
        <v>0</v>
      </c>
      <c r="H113" s="782">
        <v>40</v>
      </c>
      <c r="I113" s="997">
        <v>40</v>
      </c>
    </row>
    <row r="114" spans="2:9">
      <c r="B114" s="996" t="s">
        <v>1975</v>
      </c>
      <c r="C114" s="782"/>
      <c r="D114" s="782"/>
      <c r="E114" s="782">
        <v>3</v>
      </c>
      <c r="F114" s="782"/>
      <c r="G114" s="782">
        <v>3</v>
      </c>
      <c r="H114" s="782">
        <v>2</v>
      </c>
      <c r="I114" s="997">
        <v>2</v>
      </c>
    </row>
    <row r="115" spans="2:9">
      <c r="B115" s="996" t="s">
        <v>1974</v>
      </c>
      <c r="C115" s="782"/>
      <c r="D115" s="782"/>
      <c r="E115" s="782">
        <v>2</v>
      </c>
      <c r="F115" s="782"/>
      <c r="G115" s="782">
        <v>2</v>
      </c>
      <c r="H115" s="782">
        <v>2</v>
      </c>
      <c r="I115" s="997">
        <v>2</v>
      </c>
    </row>
    <row r="116" spans="2:9">
      <c r="B116" s="996" t="s">
        <v>1981</v>
      </c>
      <c r="C116" s="782"/>
      <c r="D116" s="782"/>
      <c r="E116" s="782">
        <v>0</v>
      </c>
      <c r="F116" s="782"/>
      <c r="G116" s="782">
        <v>0</v>
      </c>
      <c r="H116" s="782">
        <v>1</v>
      </c>
      <c r="I116" s="997">
        <v>1</v>
      </c>
    </row>
    <row r="117" spans="2:9">
      <c r="B117" s="996" t="s">
        <v>1977</v>
      </c>
      <c r="C117" s="782"/>
      <c r="D117" s="782"/>
      <c r="E117" s="782">
        <f>E111*E114+E112*E115+E113*E116</f>
        <v>160</v>
      </c>
      <c r="F117" s="782"/>
      <c r="G117" s="782">
        <f>G111*G114+G112*G115+G113*G116</f>
        <v>200</v>
      </c>
      <c r="H117" s="782">
        <f>H111*H114+H112*H115+H113*H116</f>
        <v>220</v>
      </c>
      <c r="I117" s="997">
        <f>I111*I114+I112*I115+I113*I116</f>
        <v>240</v>
      </c>
    </row>
    <row r="118" spans="2:9">
      <c r="B118" s="996" t="s">
        <v>1978</v>
      </c>
      <c r="C118" s="782"/>
      <c r="D118" s="782"/>
      <c r="E118" s="782">
        <f>MIN(E111*E114+E113*E116,E112*E115)</f>
        <v>40</v>
      </c>
      <c r="F118" s="782"/>
      <c r="G118" s="782">
        <f>MIN(G111*G114+G113*G116,G112*G115)</f>
        <v>80</v>
      </c>
      <c r="H118" s="782">
        <f>MIN(H111*H114+H113*H116,H112*H115)</f>
        <v>60</v>
      </c>
      <c r="I118" s="997">
        <f>MIN(I111*I114+I113*I116,I112*I115)</f>
        <v>80</v>
      </c>
    </row>
    <row r="119" spans="2:9">
      <c r="B119" s="996"/>
      <c r="C119" s="782"/>
      <c r="D119" s="782"/>
      <c r="E119" s="782"/>
      <c r="F119" s="782"/>
      <c r="G119" s="782"/>
      <c r="I119" s="619"/>
    </row>
    <row r="120" spans="2:9">
      <c r="B120" s="998" t="s">
        <v>1969</v>
      </c>
      <c r="C120" s="913"/>
      <c r="D120" s="913"/>
      <c r="E120" s="466"/>
      <c r="F120" s="466"/>
      <c r="G120" s="913"/>
      <c r="I120" s="619"/>
    </row>
    <row r="121" spans="2:9">
      <c r="B121" s="996" t="s">
        <v>1970</v>
      </c>
      <c r="C121" s="782"/>
      <c r="D121" s="782"/>
      <c r="E121" s="782"/>
      <c r="F121" s="782"/>
      <c r="G121" s="782"/>
      <c r="H121" s="330"/>
      <c r="I121" s="515"/>
    </row>
    <row r="122" spans="2:9">
      <c r="B122" s="996" t="s">
        <v>1971</v>
      </c>
      <c r="C122" s="782"/>
      <c r="D122" s="999"/>
      <c r="E122" s="782"/>
      <c r="F122" s="782"/>
      <c r="G122" s="782"/>
      <c r="H122" s="330"/>
      <c r="I122" s="515"/>
    </row>
    <row r="123" spans="2:9">
      <c r="B123" s="996" t="s">
        <v>1961</v>
      </c>
      <c r="C123" s="999"/>
      <c r="D123" s="999"/>
      <c r="E123" s="999"/>
      <c r="F123" s="999"/>
      <c r="G123" s="999"/>
      <c r="H123" s="211"/>
      <c r="I123" s="1000"/>
    </row>
    <row r="124" spans="2:9">
      <c r="B124" s="996" t="s">
        <v>1962</v>
      </c>
      <c r="C124" s="782"/>
      <c r="D124" s="782"/>
      <c r="E124" s="782"/>
      <c r="F124" s="782"/>
      <c r="G124" s="782"/>
      <c r="H124" s="330"/>
      <c r="I124" s="515"/>
    </row>
    <row r="125" spans="2:9">
      <c r="B125" s="996" t="s">
        <v>1963</v>
      </c>
      <c r="C125" s="782"/>
      <c r="D125" s="782"/>
      <c r="E125" s="782"/>
      <c r="F125" s="782"/>
      <c r="G125" s="782"/>
      <c r="H125" s="330"/>
      <c r="I125" s="515"/>
    </row>
    <row r="126" spans="2:9">
      <c r="B126" s="996" t="s">
        <v>1964</v>
      </c>
      <c r="C126" s="782"/>
      <c r="D126" s="782"/>
      <c r="E126" s="782"/>
      <c r="F126" s="782"/>
      <c r="G126" s="782"/>
      <c r="H126" s="330"/>
      <c r="I126" s="515"/>
    </row>
    <row r="127" spans="2:9">
      <c r="B127" s="996" t="s">
        <v>1965</v>
      </c>
      <c r="C127" s="1001"/>
      <c r="D127" s="1001"/>
      <c r="E127" s="1001"/>
      <c r="F127" s="1001"/>
      <c r="G127" s="1001"/>
      <c r="H127" s="501"/>
      <c r="I127" s="1002"/>
    </row>
    <row r="128" spans="2:9">
      <c r="B128" s="996" t="s">
        <v>1966</v>
      </c>
      <c r="C128" s="1001"/>
      <c r="D128" s="1001"/>
      <c r="E128" s="1001"/>
      <c r="F128" s="1001"/>
      <c r="G128" s="1001"/>
      <c r="H128" s="501"/>
      <c r="I128" s="1002"/>
    </row>
    <row r="129" spans="2:9">
      <c r="B129" s="1003"/>
      <c r="C129" s="913"/>
      <c r="D129" s="913"/>
      <c r="E129" s="913"/>
      <c r="F129" s="913"/>
      <c r="G129" s="913"/>
      <c r="H129" s="347"/>
      <c r="I129" s="619"/>
    </row>
    <row r="130" spans="2:9">
      <c r="B130" s="1003"/>
      <c r="C130" s="913"/>
      <c r="D130" s="913"/>
      <c r="E130" s="913"/>
      <c r="F130" s="913"/>
      <c r="G130" s="913"/>
      <c r="H130" s="347"/>
      <c r="I130" s="619"/>
    </row>
    <row r="131" spans="2:9">
      <c r="B131" s="1003"/>
      <c r="C131" s="913"/>
      <c r="D131" s="913"/>
      <c r="E131" s="913"/>
      <c r="F131" s="913"/>
      <c r="G131" s="913"/>
      <c r="H131" s="347"/>
      <c r="I131" s="619"/>
    </row>
    <row r="132" spans="2:9">
      <c r="B132" s="1004"/>
      <c r="C132" s="913"/>
      <c r="D132" s="913"/>
      <c r="E132" s="913"/>
      <c r="F132" s="913"/>
      <c r="G132" s="913"/>
      <c r="H132" s="347"/>
      <c r="I132" s="619"/>
    </row>
    <row r="133" spans="2:9">
      <c r="B133" s="998" t="s">
        <v>917</v>
      </c>
      <c r="C133" s="782"/>
      <c r="D133" s="782"/>
      <c r="E133" s="782"/>
      <c r="F133" s="782"/>
      <c r="G133" s="782"/>
      <c r="H133" s="330"/>
      <c r="I133" s="619"/>
    </row>
    <row r="134" spans="2:9">
      <c r="B134" s="996" t="s">
        <v>1967</v>
      </c>
      <c r="C134" s="782"/>
      <c r="D134" s="782"/>
      <c r="E134" s="782"/>
      <c r="F134" s="782"/>
      <c r="G134" s="782"/>
      <c r="H134" s="330"/>
      <c r="I134" s="515"/>
    </row>
    <row r="135" spans="2:9" ht="16" thickBot="1">
      <c r="B135" s="1005" t="s">
        <v>1968</v>
      </c>
      <c r="C135" s="1006"/>
      <c r="D135" s="1006"/>
      <c r="E135" s="1006"/>
      <c r="F135" s="1006"/>
      <c r="G135" s="1006"/>
      <c r="H135" s="525"/>
      <c r="I135" s="540"/>
    </row>
    <row r="138" spans="2:9">
      <c r="B138" s="1089" t="s">
        <v>2115</v>
      </c>
    </row>
    <row r="139" spans="2:9">
      <c r="C139" s="1090" t="s">
        <v>2116</v>
      </c>
      <c r="D139" s="1089" t="s">
        <v>2124</v>
      </c>
      <c r="E139" s="1091" t="s">
        <v>2117</v>
      </c>
      <c r="F139" s="1089" t="s">
        <v>2124</v>
      </c>
    </row>
    <row r="140" spans="2:9" ht="17">
      <c r="B140" s="1092" t="s">
        <v>2120</v>
      </c>
      <c r="C140" s="548" t="s">
        <v>2119</v>
      </c>
      <c r="E140" s="548" t="s">
        <v>2119</v>
      </c>
      <c r="G140" t="s">
        <v>2137</v>
      </c>
    </row>
    <row r="141" spans="2:9" ht="40">
      <c r="B141" s="1090">
        <v>1</v>
      </c>
      <c r="F141" s="1094" t="s">
        <v>2136</v>
      </c>
      <c r="G141" s="1097">
        <v>60</v>
      </c>
    </row>
    <row r="142" spans="2:9">
      <c r="B142" s="1090">
        <v>2</v>
      </c>
      <c r="E142" s="1091"/>
      <c r="F142" s="1091"/>
    </row>
    <row r="143" spans="2:9">
      <c r="B143" s="1090">
        <v>3</v>
      </c>
    </row>
    <row r="144" spans="2:9">
      <c r="B144" s="1090">
        <v>4</v>
      </c>
    </row>
    <row r="147" spans="2:6">
      <c r="B147" s="1089" t="s">
        <v>2118</v>
      </c>
    </row>
    <row r="148" spans="2:6">
      <c r="C148" s="1091" t="s">
        <v>2135</v>
      </c>
      <c r="D148" s="1089" t="s">
        <v>2124</v>
      </c>
      <c r="E148" s="1091" t="s">
        <v>2135</v>
      </c>
      <c r="F148" s="1089" t="s">
        <v>2124</v>
      </c>
    </row>
    <row r="149" spans="2:6" ht="17">
      <c r="B149" s="1092" t="s">
        <v>2120</v>
      </c>
      <c r="C149" s="548" t="s">
        <v>2134</v>
      </c>
      <c r="D149" s="1093" t="s">
        <v>2122</v>
      </c>
      <c r="E149" s="548" t="s">
        <v>2134</v>
      </c>
      <c r="F149" s="1093" t="s">
        <v>2121</v>
      </c>
    </row>
    <row r="150" spans="2:6" ht="27">
      <c r="B150" s="1090">
        <v>1</v>
      </c>
      <c r="C150" s="1095">
        <v>96.5</v>
      </c>
      <c r="D150" s="783" t="s">
        <v>2123</v>
      </c>
      <c r="E150" s="1095">
        <v>90</v>
      </c>
      <c r="F150" s="1094" t="s">
        <v>2125</v>
      </c>
    </row>
    <row r="151" spans="2:6" ht="27">
      <c r="B151" s="1090">
        <v>2</v>
      </c>
      <c r="C151" s="1095">
        <v>42.2</v>
      </c>
      <c r="D151" s="783" t="s">
        <v>2126</v>
      </c>
      <c r="E151" s="1095">
        <v>42.2</v>
      </c>
      <c r="F151" s="1094" t="s">
        <v>2130</v>
      </c>
    </row>
    <row r="152" spans="2:6" ht="27">
      <c r="B152" s="1090">
        <v>3</v>
      </c>
      <c r="C152" s="1095">
        <v>26</v>
      </c>
      <c r="D152" s="783" t="s">
        <v>2127</v>
      </c>
      <c r="E152" s="1095"/>
      <c r="F152" s="1094" t="s">
        <v>2131</v>
      </c>
    </row>
    <row r="153" spans="2:6" ht="27">
      <c r="B153" s="1090">
        <v>4</v>
      </c>
      <c r="C153" s="1095">
        <v>8.4</v>
      </c>
      <c r="D153" s="1096" t="s">
        <v>2128</v>
      </c>
      <c r="E153" s="1095"/>
      <c r="F153" s="1094" t="s">
        <v>2132</v>
      </c>
    </row>
    <row r="154" spans="2:6" ht="27">
      <c r="B154" s="1090">
        <v>5</v>
      </c>
      <c r="C154" s="1095">
        <v>18.7</v>
      </c>
      <c r="D154" s="783" t="s">
        <v>2129</v>
      </c>
      <c r="E154" s="1095"/>
      <c r="F154" s="1094" t="s">
        <v>2133</v>
      </c>
    </row>
  </sheetData>
  <sheetProtection algorithmName="SHA-512" hashValue="s2wo5zHHScsDnGmu+WdhDTwV4kPc0Zz6cGu32V0euRh8PAdzHDpiOO5TiAkYCx6PSFgwQ+IOgyhrHmFTUeT8ew==" saltValue="pPDKF04JmN6DQ4A4LUxZQA==" spinCount="100000" sheet="1" objects="1" scenarios="1"/>
  <mergeCells count="1">
    <mergeCell ref="H85:O85"/>
  </mergeCells>
  <pageMargins left="0.7" right="0.7" top="0.78740157499999996" bottom="0.78740157499999996"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Tabelle11">
    <tabColor rgb="FFFF9999"/>
  </sheetPr>
  <dimension ref="A4:N90"/>
  <sheetViews>
    <sheetView workbookViewId="0">
      <selection activeCell="N49" sqref="N49"/>
    </sheetView>
  </sheetViews>
  <sheetFormatPr baseColWidth="10" defaultRowHeight="15"/>
  <cols>
    <col min="3" max="3" width="35" customWidth="1"/>
    <col min="4" max="4" width="12.6640625" customWidth="1"/>
  </cols>
  <sheetData>
    <row r="4" spans="1:7">
      <c r="A4" s="612" t="s">
        <v>967</v>
      </c>
      <c r="B4" s="620"/>
      <c r="C4" s="620"/>
      <c r="D4" s="620"/>
    </row>
    <row r="5" spans="1:7">
      <c r="A5" t="s">
        <v>1937</v>
      </c>
    </row>
    <row r="6" spans="1:7">
      <c r="B6" t="s">
        <v>1813</v>
      </c>
      <c r="D6" s="968">
        <f>Rechenmodell!$X$3</f>
        <v>5</v>
      </c>
    </row>
    <row r="7" spans="1:7">
      <c r="B7" t="s">
        <v>1939</v>
      </c>
    </row>
    <row r="8" spans="1:7">
      <c r="C8" t="s">
        <v>2199</v>
      </c>
      <c r="D8" s="969">
        <f ca="1">VLOOKUP(D6,'Hilfstabellen_Mat&amp;Bem'!$C$72:$D$83,2,FALSE)</f>
        <v>10.5</v>
      </c>
    </row>
    <row r="9" spans="1:7">
      <c r="C9" t="s">
        <v>1940</v>
      </c>
      <c r="D9" s="969">
        <f>VLOOKUP(D6,'Hilfstabellen_Mat&amp;Bem'!$C$72:$E$83,3,FALSE)</f>
        <v>5.75</v>
      </c>
    </row>
    <row r="10" spans="1:7" ht="17">
      <c r="C10" s="936" t="s">
        <v>2144</v>
      </c>
      <c r="D10" s="969">
        <f ca="1">D8*1.35/0.6</f>
        <v>23.625000000000004</v>
      </c>
      <c r="G10" s="1085" t="s">
        <v>2148</v>
      </c>
    </row>
    <row r="11" spans="1:7" ht="17">
      <c r="C11" s="936" t="s">
        <v>2145</v>
      </c>
      <c r="D11" s="969">
        <f ca="1">(SUM(D8:D8)*1.35+D9*1.5)/k_mod</f>
        <v>28.5</v>
      </c>
      <c r="G11" s="1085" t="s">
        <v>2149</v>
      </c>
    </row>
    <row r="12" spans="1:7" ht="17">
      <c r="C12" s="936" t="s">
        <v>2146</v>
      </c>
      <c r="D12" s="928">
        <f ca="1">IF(D10=MAX(D10:D11),0.6,k_mod)</f>
        <v>0.8</v>
      </c>
      <c r="G12" s="1085" t="s">
        <v>2147</v>
      </c>
    </row>
    <row r="13" spans="1:7" ht="17">
      <c r="C13" t="s">
        <v>2143</v>
      </c>
      <c r="D13" s="969">
        <f ca="1">MAX(D10:D11)*D12</f>
        <v>22.8</v>
      </c>
    </row>
    <row r="15" spans="1:7" ht="17">
      <c r="C15" t="s">
        <v>2154</v>
      </c>
      <c r="D15" s="970">
        <f ca="1">Rechenmodell!$X$9/2</f>
        <v>160</v>
      </c>
    </row>
    <row r="16" spans="1:7" ht="17">
      <c r="C16" t="s">
        <v>1952</v>
      </c>
      <c r="D16" s="972">
        <f ca="1">$D$13*1000/1000/$D$15</f>
        <v>0.14250000000000002</v>
      </c>
      <c r="E16" t="s">
        <v>2155</v>
      </c>
    </row>
    <row r="17" spans="1:4" ht="17">
      <c r="C17" t="s">
        <v>1953</v>
      </c>
      <c r="D17" s="972">
        <f ca="1">$D$12*'Hilfstabellen_Mat&amp;Bem'!$BB$21/gamma_m</f>
        <v>1.5384615384615383</v>
      </c>
    </row>
    <row r="18" spans="1:4">
      <c r="C18" t="s">
        <v>1959</v>
      </c>
      <c r="D18" s="928">
        <f ca="1">D16/D17</f>
        <v>9.2625000000000013E-2</v>
      </c>
    </row>
    <row r="20" spans="1:4" ht="17">
      <c r="C20" t="s">
        <v>2156</v>
      </c>
      <c r="D20" s="970">
        <f ca="1">ROUNDUP(D13*1000/('Hilfstabellen_Mat&amp;Bem'!$BB$21*$D$12/gamma_m)/b_DE,0)</f>
        <v>15</v>
      </c>
    </row>
    <row r="23" spans="1:4">
      <c r="A23" s="612" t="s">
        <v>968</v>
      </c>
      <c r="B23" s="620"/>
      <c r="C23" s="620"/>
      <c r="D23" s="620"/>
    </row>
    <row r="24" spans="1:4">
      <c r="A24" t="s">
        <v>1937</v>
      </c>
    </row>
    <row r="25" spans="1:4">
      <c r="B25" t="s">
        <v>880</v>
      </c>
      <c r="D25" s="968">
        <f>Rechenmodell!$X$3</f>
        <v>5</v>
      </c>
    </row>
    <row r="26" spans="1:4">
      <c r="B26" t="s">
        <v>1941</v>
      </c>
      <c r="D26" s="968">
        <f>Rechenmodell!$X$8</f>
        <v>5.3</v>
      </c>
    </row>
    <row r="27" spans="1:4">
      <c r="B27" t="s">
        <v>1948</v>
      </c>
      <c r="D27" s="968" t="str">
        <f>Mat_UZ</f>
        <v>GL24h</v>
      </c>
    </row>
    <row r="28" spans="1:4">
      <c r="B28" t="s">
        <v>1949</v>
      </c>
      <c r="D28" s="968" t="str">
        <f>VLOOKUP(Mat_UZ,ALPHA_DEUT!$Y$114:$AA$192,3,FALSE)</f>
        <v>Nadel - Brettschichtholz</v>
      </c>
    </row>
    <row r="29" spans="1:4">
      <c r="B29" t="s">
        <v>1955</v>
      </c>
      <c r="C29" s="703"/>
      <c r="D29" s="970">
        <f ca="1">Rechenmodell!$X$9</f>
        <v>320</v>
      </c>
    </row>
    <row r="30" spans="1:4">
      <c r="B30" t="s">
        <v>1956</v>
      </c>
      <c r="C30" s="703"/>
      <c r="D30" s="970">
        <f ca="1">Rechenmodell!X10</f>
        <v>560</v>
      </c>
    </row>
    <row r="31" spans="1:4">
      <c r="B31" t="s">
        <v>1939</v>
      </c>
    </row>
    <row r="32" spans="1:4">
      <c r="C32" t="s">
        <v>2142</v>
      </c>
      <c r="D32" s="971">
        <f ca="1">INDEX('Hilfstabellen_Mat&amp;Bem'!$C$92:$N$103,MATCH(Detailnachweise!$D$25,'Hilfstabellen_Mat&amp;Bem'!$C$92:$C$103,0),MATCH(Detailnachweise!$D$26,'Hilfstabellen_Mat&amp;Bem'!$C$92:$N$92,0))</f>
        <v>57.557999999999993</v>
      </c>
    </row>
    <row r="33" spans="3:14">
      <c r="C33" t="s">
        <v>1943</v>
      </c>
      <c r="D33" s="971">
        <f>INDEX('Hilfstabellen_Mat&amp;Bem'!$C$105:$N$116,MATCH(Detailnachweise!$D$25,'Hilfstabellen_Mat&amp;Bem'!$C$105:$C$116,0),MATCH(Detailnachweise!$D$26,'Hilfstabellen_Mat&amp;Bem'!$C$105:$N$105,0))</f>
        <v>30.474999999999998</v>
      </c>
    </row>
    <row r="34" spans="3:14" ht="17">
      <c r="C34" s="936" t="s">
        <v>2144</v>
      </c>
      <c r="D34" s="971">
        <f ca="1">D32*1.35/0.6</f>
        <v>129.50550000000001</v>
      </c>
      <c r="G34" s="1085" t="s">
        <v>2148</v>
      </c>
    </row>
    <row r="35" spans="3:14" ht="17">
      <c r="C35" s="936" t="s">
        <v>2145</v>
      </c>
      <c r="D35" s="971">
        <f ca="1">(D32*1.35+D33*1.5)/k_mod</f>
        <v>154.26974999999999</v>
      </c>
      <c r="G35" s="1085" t="s">
        <v>2149</v>
      </c>
    </row>
    <row r="36" spans="3:14" ht="17">
      <c r="C36" s="936" t="s">
        <v>2146</v>
      </c>
      <c r="D36" s="928">
        <f ca="1">IF(D34=MAX(D34:D35),0.6,k_mod)</f>
        <v>0.8</v>
      </c>
      <c r="G36" s="1085" t="s">
        <v>2147</v>
      </c>
    </row>
    <row r="37" spans="3:14" ht="17">
      <c r="C37" t="s">
        <v>2143</v>
      </c>
      <c r="D37" s="971">
        <f ca="1">MAX(D34:D35)*D36</f>
        <v>123.41579999999999</v>
      </c>
    </row>
    <row r="39" spans="3:14" ht="17">
      <c r="C39" t="s">
        <v>1944</v>
      </c>
      <c r="D39" s="1082">
        <v>60</v>
      </c>
      <c r="E39" t="s">
        <v>1950</v>
      </c>
      <c r="G39" s="1099" t="s">
        <v>2169</v>
      </c>
      <c r="H39" s="1104">
        <f ca="1">$D$90</f>
        <v>220</v>
      </c>
    </row>
    <row r="40" spans="3:14" ht="17">
      <c r="C40" t="s">
        <v>1951</v>
      </c>
      <c r="D40" s="970">
        <f ca="1">Rechenmodell!$X$9-b_Za</f>
        <v>260</v>
      </c>
    </row>
    <row r="41" spans="3:14" ht="17">
      <c r="C41" t="s">
        <v>1947</v>
      </c>
      <c r="D41" s="928">
        <f>IF(D28="Nadel - Brettschichtholz",1.5,1.25)</f>
        <v>1.5</v>
      </c>
      <c r="E41" t="s">
        <v>2100</v>
      </c>
    </row>
    <row r="42" spans="3:14" ht="17">
      <c r="C42" t="s">
        <v>1952</v>
      </c>
      <c r="D42" s="972">
        <f ca="1">$D$37*1000/($D$40*($D$46/2+30))</f>
        <v>2.4982955465587042</v>
      </c>
    </row>
    <row r="43" spans="3:14" ht="17">
      <c r="C43" t="s">
        <v>1953</v>
      </c>
      <c r="D43" s="972">
        <f ca="1">$D$36*'Hilfstabellen_Mat&amp;Bem'!$BC$21/gamma_m</f>
        <v>1.5384615384615383</v>
      </c>
    </row>
    <row r="44" spans="3:14">
      <c r="C44" t="s">
        <v>1959</v>
      </c>
      <c r="D44" s="928">
        <f ca="1">D42/k_c90_UZ/D43</f>
        <v>1.0825947368421052</v>
      </c>
      <c r="G44" s="1099" t="str">
        <f ca="1">IF(D45&gt;D46/2,"Achtung!!! - Querdruck nicht erfüllt","passt")</f>
        <v>Achtung!!! - Querdruck nicht erfüllt</v>
      </c>
    </row>
    <row r="45" spans="3:14" ht="17">
      <c r="C45" s="1100" t="s">
        <v>1945</v>
      </c>
      <c r="D45" s="1102">
        <f ca="1">ROUNDUP(D37*1000/('Hilfstabellen_Mat&amp;Bem'!$BC$21*k_c90_UZ*$D$36/gamma_m)/($D$29-b_Za),0)-30</f>
        <v>176</v>
      </c>
      <c r="E45" s="669" t="s">
        <v>2164</v>
      </c>
      <c r="F45" s="669"/>
      <c r="G45" s="669"/>
      <c r="H45" s="669"/>
      <c r="I45" s="669"/>
      <c r="J45" s="669"/>
      <c r="K45" s="1101"/>
    </row>
    <row r="46" spans="3:14" ht="17">
      <c r="C46" s="921" t="s">
        <v>1946</v>
      </c>
      <c r="D46" s="970">
        <f ca="1">Rechenmodell!$X$20</f>
        <v>320</v>
      </c>
      <c r="K46" s="950"/>
      <c r="L46" s="1085" t="s">
        <v>2163</v>
      </c>
    </row>
    <row r="47" spans="3:14" ht="17">
      <c r="C47" s="921" t="s">
        <v>2157</v>
      </c>
      <c r="D47" s="970">
        <f ca="1">D45*2</f>
        <v>352</v>
      </c>
      <c r="E47" t="s">
        <v>2166</v>
      </c>
      <c r="K47" s="950"/>
      <c r="L47" s="669" t="s">
        <v>2160</v>
      </c>
      <c r="M47" s="1101">
        <v>0.5</v>
      </c>
    </row>
    <row r="48" spans="3:14" ht="17">
      <c r="C48" s="921" t="s">
        <v>2161</v>
      </c>
      <c r="D48" s="970">
        <f ca="1">(-M48+SQRT(M48^2-4*M49*M47))/(2*M47)</f>
        <v>332.50618039368834</v>
      </c>
      <c r="E48" t="s">
        <v>2165</v>
      </c>
      <c r="K48" s="950"/>
      <c r="L48" t="s">
        <v>2159</v>
      </c>
      <c r="M48" s="950">
        <f>30-0.5*b_Za</f>
        <v>0</v>
      </c>
      <c r="N48" s="1085"/>
    </row>
    <row r="49" spans="1:13">
      <c r="C49" s="951" t="s">
        <v>2162</v>
      </c>
      <c r="D49" s="1103">
        <f ca="1">ROUNDUP(D48/RUWE_ST,0)*RUWE_ST</f>
        <v>360</v>
      </c>
      <c r="E49" s="671" t="s">
        <v>2167</v>
      </c>
      <c r="F49" s="671"/>
      <c r="G49" s="671"/>
      <c r="H49" s="671"/>
      <c r="I49" s="671"/>
      <c r="J49" s="671"/>
      <c r="K49" s="954"/>
      <c r="L49" s="671" t="s">
        <v>2158</v>
      </c>
      <c r="M49" s="954">
        <f ca="1">-($D$37*1000/('Hilfstabellen_Mat&amp;Bem'!$BC$21*k_c90_UZ*$D$36/gamma_m)+30*b_Za)</f>
        <v>-55280.18</v>
      </c>
    </row>
    <row r="52" spans="1:13" ht="17">
      <c r="C52" t="s">
        <v>1954</v>
      </c>
      <c r="D52" s="972">
        <f ca="1">1.5*$D$37*1000/($D$30*$D$40)</f>
        <v>1.2714539835164833</v>
      </c>
    </row>
    <row r="53" spans="1:13" ht="17">
      <c r="C53" t="s">
        <v>1957</v>
      </c>
      <c r="D53" s="972">
        <f ca="1">$D$36*'Hilfstabellen_Mat&amp;Bem'!$BC$22*'Hilfstabellen_Mat&amp;Bem'!$BC$24/gamma_m</f>
        <v>1.5292307692307692</v>
      </c>
    </row>
    <row r="54" spans="1:13">
      <c r="C54" t="s">
        <v>1958</v>
      </c>
      <c r="D54" s="928">
        <f ca="1">D52/D53</f>
        <v>0.83143369143432011</v>
      </c>
    </row>
    <row r="61" spans="1:13">
      <c r="A61" s="612" t="s">
        <v>961</v>
      </c>
      <c r="B61" s="620"/>
      <c r="C61" s="620"/>
      <c r="D61" s="620"/>
    </row>
    <row r="62" spans="1:13">
      <c r="B62" t="s">
        <v>2170</v>
      </c>
      <c r="D62" t="str">
        <f>Mat_ST</f>
        <v>GL24h</v>
      </c>
    </row>
    <row r="63" spans="1:13">
      <c r="B63" t="s">
        <v>2171</v>
      </c>
      <c r="D63" t="str">
        <f>VLOOKUP(Mat_ST,ALPHA_DEUT!$Y$114:$AA$192,3,FALSE)</f>
        <v>Nadel - Brettschichtholz</v>
      </c>
    </row>
    <row r="64" spans="1:13">
      <c r="B64" t="s">
        <v>2172</v>
      </c>
      <c r="D64" s="970">
        <f ca="1">Rechenmodell!$X$20</f>
        <v>320</v>
      </c>
    </row>
    <row r="65" spans="2:7">
      <c r="B65" t="s">
        <v>999</v>
      </c>
      <c r="D65" s="548">
        <f>n_GESCHOSSE</f>
        <v>5</v>
      </c>
    </row>
    <row r="67" spans="2:7">
      <c r="B67" t="s">
        <v>2138</v>
      </c>
    </row>
    <row r="68" spans="2:7">
      <c r="C68" t="s">
        <v>1942</v>
      </c>
      <c r="D68" s="971">
        <f ca="1">(n_GESCHOSSE-1)*5*Rechenmodell!$X$19*Rechenmodell!$X$20/1000*Rechenmodell!$X$20/1000</f>
        <v>7.1680000000000001</v>
      </c>
    </row>
    <row r="69" spans="2:7">
      <c r="C69" t="s">
        <v>2140</v>
      </c>
      <c r="D69" s="971">
        <f ca="1">ROUNDUP((n_GESCHOSSE-1)*2*INDEX('Hilfstabellen_Mat&amp;Bem'!$C$92:$N$103,MATCH(Detailnachweise!$D$25,'Hilfstabellen_Mat&amp;Bem'!$C$92:$C$103,0),MATCH(Detailnachweise!$D$26,'Hilfstabellen_Mat&amp;Bem'!$C$92:$N$92,0)),0)</f>
        <v>461</v>
      </c>
    </row>
    <row r="70" spans="2:7">
      <c r="C70" t="s">
        <v>2141</v>
      </c>
      <c r="D70" s="971">
        <f>ROUNDUP((n_GESCHOSSE-1)*2*INDEX('Hilfstabellen_Mat&amp;Bem'!$C$105:$N$116,MATCH(Detailnachweise!$D$25,'Hilfstabellen_Mat&amp;Bem'!$C$105:$C$116,0),MATCH(Detailnachweise!$D$26,'Hilfstabellen_Mat&amp;Bem'!$C$105:$N$105,0)),0)</f>
        <v>244</v>
      </c>
    </row>
    <row r="71" spans="2:7" ht="17">
      <c r="C71" s="936" t="s">
        <v>2144</v>
      </c>
      <c r="D71" s="971">
        <f ca="1">SUM(D68:D69)*1.35/0.6</f>
        <v>1053.3780000000002</v>
      </c>
      <c r="G71" s="1085" t="s">
        <v>2148</v>
      </c>
    </row>
    <row r="72" spans="2:7" ht="17">
      <c r="C72" s="936" t="s">
        <v>2145</v>
      </c>
      <c r="D72" s="971">
        <f ca="1">(SUM(D68:D69)*1.35+D70*1.5)/k_mod</f>
        <v>1247.5335</v>
      </c>
      <c r="G72" s="1085" t="s">
        <v>2149</v>
      </c>
    </row>
    <row r="73" spans="2:7" ht="17">
      <c r="C73" s="936" t="s">
        <v>2146</v>
      </c>
      <c r="D73" s="928">
        <f ca="1">IF(D71=MAX(D71:D72),0.6,k_mod)</f>
        <v>0.8</v>
      </c>
      <c r="G73" s="1085" t="s">
        <v>2147</v>
      </c>
    </row>
    <row r="74" spans="2:7" ht="17">
      <c r="C74" t="s">
        <v>2143</v>
      </c>
      <c r="D74" s="971">
        <f ca="1">MAX(D71:D72)*D73</f>
        <v>998.02680000000009</v>
      </c>
    </row>
    <row r="76" spans="2:7">
      <c r="B76" t="s">
        <v>2139</v>
      </c>
    </row>
    <row r="77" spans="2:7">
      <c r="C77" t="s">
        <v>1942</v>
      </c>
      <c r="D77" s="971">
        <f ca="1">n_GESCHOSSE*5*Rechenmodell!$X$19*Rechenmodell!$X$20/1000*Rechenmodell!$X$20/1000</f>
        <v>8.9600000000000009</v>
      </c>
    </row>
    <row r="78" spans="2:7">
      <c r="C78" t="s">
        <v>2140</v>
      </c>
      <c r="D78" s="971">
        <f ca="1">ROUNDUP(n_GESCHOSSE*2*INDEX('Hilfstabellen_Mat&amp;Bem'!$C$92:$N$103,MATCH(Detailnachweise!$D$25,'Hilfstabellen_Mat&amp;Bem'!$C$92:$C$103,0),MATCH(Detailnachweise!$D$26,'Hilfstabellen_Mat&amp;Bem'!$C$92:$N$92,0)),0)</f>
        <v>576</v>
      </c>
    </row>
    <row r="79" spans="2:7">
      <c r="C79" t="s">
        <v>2141</v>
      </c>
      <c r="D79" s="971">
        <f>ROUNDUP(n_GESCHOSSE*2*INDEX('Hilfstabellen_Mat&amp;Bem'!$C$105:$N$116,MATCH(Detailnachweise!$D$25,'Hilfstabellen_Mat&amp;Bem'!$C$105:$C$116,0),MATCH(Detailnachweise!$D$26,'Hilfstabellen_Mat&amp;Bem'!$C$105:$N$105,0)),0)</f>
        <v>305</v>
      </c>
    </row>
    <row r="80" spans="2:7" ht="17">
      <c r="C80" s="936" t="s">
        <v>2144</v>
      </c>
      <c r="D80" s="971">
        <f ca="1">SUM(D77:D78)*1.35/0.6</f>
        <v>1316.1600000000003</v>
      </c>
      <c r="G80" s="1085" t="s">
        <v>2148</v>
      </c>
    </row>
    <row r="81" spans="1:7" ht="17">
      <c r="C81" s="936" t="s">
        <v>2145</v>
      </c>
      <c r="D81" s="971">
        <f ca="1">(SUM(D77:D78)*1.35+D79*1.5)/k_mod</f>
        <v>1558.9950000000001</v>
      </c>
      <c r="G81" s="1085" t="s">
        <v>2149</v>
      </c>
    </row>
    <row r="82" spans="1:7" ht="17">
      <c r="C82" s="936" t="s">
        <v>2146</v>
      </c>
      <c r="D82" s="928">
        <f ca="1">IF(D80=MAX(D80:D81),0.6,k_mod)</f>
        <v>0.8</v>
      </c>
      <c r="G82" s="1085" t="s">
        <v>2147</v>
      </c>
    </row>
    <row r="83" spans="1:7" ht="17">
      <c r="C83" t="s">
        <v>2143</v>
      </c>
      <c r="D83" s="971">
        <f ca="1">MAX(D80:D81)*D82</f>
        <v>1247.1960000000001</v>
      </c>
    </row>
    <row r="85" spans="1:7">
      <c r="A85" t="s">
        <v>1938</v>
      </c>
    </row>
    <row r="86" spans="1:7" ht="17">
      <c r="C86" t="s">
        <v>1944</v>
      </c>
      <c r="D86" s="970">
        <f>b_Za</f>
        <v>60</v>
      </c>
      <c r="E86" t="s">
        <v>2150</v>
      </c>
    </row>
    <row r="87" spans="1:7" ht="17">
      <c r="C87" t="s">
        <v>2151</v>
      </c>
      <c r="D87" s="1098">
        <f ca="1">$D$74*1000/$D$86/Rechenmodell!$X$20</f>
        <v>51.980562500000005</v>
      </c>
    </row>
    <row r="88" spans="1:7" ht="17">
      <c r="C88" t="s">
        <v>2152</v>
      </c>
      <c r="D88" s="1098">
        <f ca="1">$D$73*'Hilfstabellen_Mat&amp;Bem'!$BD$20/gamma_m</f>
        <v>14.76923076923077</v>
      </c>
    </row>
    <row r="89" spans="1:7">
      <c r="C89" t="s">
        <v>2153</v>
      </c>
      <c r="D89" s="928">
        <f ca="1">D87/D88</f>
        <v>3.5195172526041669</v>
      </c>
    </row>
    <row r="90" spans="1:7" ht="17">
      <c r="C90" t="s">
        <v>2168</v>
      </c>
      <c r="D90" s="970">
        <f ca="1">ROUNDUP(($D$74*1000*gamma_m)/(Rechenmodell!$X$20*Detailnachweise!$D$82*'Hilfstabellen_Mat&amp;Bem'!f.Rd.3)/20,0)*20</f>
        <v>220</v>
      </c>
    </row>
  </sheetData>
  <sheetProtection algorithmName="SHA-512" hashValue="LRWk91EX1pMGWsqaH2c/T/Q7ubI8mlnQ6LQRKPThQUQGbAcGSOz0cFkzPbr8jfM9yVYXZSPyS8iHC7WMgeCN5w==" saltValue="FqdlRCgq5tLwX7EfyA+GOw==" spinCount="100000" sheet="1" objects="1" scenarios="1"/>
  <conditionalFormatting sqref="D18">
    <cfRule type="iconSet" priority="1">
      <iconSet iconSet="3Symbols2" reverse="1">
        <cfvo type="percent" val="0"/>
        <cfvo type="num" val="0.95"/>
        <cfvo type="num" val="1"/>
      </iconSet>
    </cfRule>
  </conditionalFormatting>
  <conditionalFormatting sqref="D44">
    <cfRule type="iconSet" priority="3">
      <iconSet iconSet="3Symbols2" reverse="1">
        <cfvo type="percent" val="0"/>
        <cfvo type="num" val="0.95"/>
        <cfvo type="num" val="1"/>
      </iconSet>
    </cfRule>
  </conditionalFormatting>
  <conditionalFormatting sqref="D54">
    <cfRule type="iconSet" priority="5">
      <iconSet iconSet="3Symbols2" reverse="1">
        <cfvo type="percent" val="0"/>
        <cfvo type="num" val="0.95"/>
        <cfvo type="num" val="1" gte="0"/>
      </iconSet>
    </cfRule>
  </conditionalFormatting>
  <conditionalFormatting sqref="D89">
    <cfRule type="iconSet" priority="2">
      <iconSet iconSet="3Symbols2" reverse="1">
        <cfvo type="percent" val="0"/>
        <cfvo type="num" val="0.95"/>
        <cfvo type="num" val="1"/>
      </iconSet>
    </cfRule>
  </conditionalFormatting>
  <pageMargins left="0.7" right="0.7" top="0.78740157499999996" bottom="0.78740157499999996" header="0.3" footer="0.3"/>
  <pageSetup paperSize="9"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FF9999"/>
  </sheetPr>
  <dimension ref="A1:BT46"/>
  <sheetViews>
    <sheetView zoomScale="85" zoomScaleNormal="85" workbookViewId="0">
      <selection activeCell="N49" sqref="N49"/>
    </sheetView>
  </sheetViews>
  <sheetFormatPr baseColWidth="10" defaultRowHeight="15"/>
  <cols>
    <col min="1" max="1" width="48.83203125" bestFit="1" customWidth="1"/>
    <col min="2" max="2" width="8.83203125" style="548" bestFit="1" customWidth="1"/>
    <col min="3" max="9" width="6.6640625" customWidth="1"/>
    <col min="10" max="72" width="6.33203125" customWidth="1"/>
  </cols>
  <sheetData>
    <row r="1" spans="1:72">
      <c r="B1"/>
    </row>
    <row r="2" spans="1:72">
      <c r="B2"/>
    </row>
    <row r="3" spans="1:72">
      <c r="B3"/>
    </row>
    <row r="4" spans="1:72">
      <c r="B4"/>
    </row>
    <row r="5" spans="1:72" s="1181" customFormat="1">
      <c r="A5" s="935" t="s">
        <v>2200</v>
      </c>
      <c r="B5" s="1180"/>
    </row>
    <row r="6" spans="1:72">
      <c r="A6" t="s">
        <v>1813</v>
      </c>
      <c r="B6" s="548" t="s">
        <v>883</v>
      </c>
      <c r="C6" s="928">
        <f>Datenbank!C10</f>
        <v>2.65</v>
      </c>
      <c r="D6" s="928">
        <f>Datenbank!D10</f>
        <v>2.85</v>
      </c>
      <c r="E6" s="928">
        <f>Datenbank!E10</f>
        <v>3</v>
      </c>
      <c r="F6" s="928">
        <f>Datenbank!F10</f>
        <v>3.5</v>
      </c>
      <c r="G6" s="928">
        <f>Datenbank!G10</f>
        <v>4</v>
      </c>
      <c r="H6" s="928">
        <f>Datenbank!H10</f>
        <v>4.5</v>
      </c>
      <c r="I6" s="928">
        <f>Datenbank!I10</f>
        <v>5</v>
      </c>
      <c r="J6" s="928"/>
      <c r="K6" s="928"/>
      <c r="L6" s="928"/>
      <c r="M6" s="928"/>
      <c r="N6" s="928"/>
      <c r="O6" s="928"/>
      <c r="P6" s="928"/>
      <c r="Q6" s="928"/>
      <c r="R6" s="928"/>
      <c r="S6" s="928"/>
      <c r="T6" s="928"/>
      <c r="U6" s="928"/>
      <c r="V6" s="928"/>
      <c r="W6" s="928"/>
      <c r="X6" s="928"/>
      <c r="Y6" s="928"/>
      <c r="Z6" s="928"/>
      <c r="AA6" s="928"/>
      <c r="AB6" s="928"/>
      <c r="AC6" s="928"/>
      <c r="AD6" s="928"/>
      <c r="AE6" s="928"/>
      <c r="AF6" s="928"/>
      <c r="AG6" s="928"/>
      <c r="AH6" s="928"/>
      <c r="AI6" s="928"/>
      <c r="AJ6" s="928"/>
      <c r="AK6" s="928"/>
      <c r="AL6" s="928"/>
      <c r="AM6" s="928"/>
      <c r="AN6" s="928"/>
      <c r="AO6" s="928"/>
      <c r="AP6" s="928"/>
      <c r="AQ6" s="928"/>
      <c r="AR6" s="928"/>
      <c r="AS6" s="928"/>
      <c r="AT6" s="928"/>
      <c r="AU6" s="928"/>
      <c r="AV6" s="928"/>
      <c r="AW6" s="928"/>
      <c r="AX6" s="928"/>
      <c r="AY6" s="928"/>
      <c r="AZ6" s="928"/>
      <c r="BA6" s="928"/>
      <c r="BB6" s="928"/>
      <c r="BC6" s="928"/>
      <c r="BD6" s="928"/>
      <c r="BE6" s="928"/>
      <c r="BF6" s="928"/>
      <c r="BG6" s="928"/>
      <c r="BH6" s="928"/>
      <c r="BI6" s="928"/>
      <c r="BJ6" s="928"/>
      <c r="BK6" s="928"/>
      <c r="BL6" s="928"/>
      <c r="BM6" s="928"/>
      <c r="BN6" s="928"/>
      <c r="BO6" s="928"/>
      <c r="BP6" s="928"/>
      <c r="BQ6" s="928"/>
      <c r="BR6" s="928"/>
      <c r="BS6" s="928"/>
      <c r="BT6" s="928"/>
    </row>
    <row r="7" spans="1:72">
      <c r="A7" t="s">
        <v>1939</v>
      </c>
    </row>
    <row r="8" spans="1:72">
      <c r="A8" s="936" t="s">
        <v>2199</v>
      </c>
      <c r="B8" s="548" t="s">
        <v>2196</v>
      </c>
      <c r="C8" s="1179">
        <f ca="1">VLOOKUP(C6,'Hilfstabellen_Mat&amp;Bem'!$C$72:$D$83,2,FALSE)</f>
        <v>4.9024999999999999</v>
      </c>
      <c r="D8" s="1179">
        <f ca="1">VLOOKUP(D6,'Hilfstabellen_Mat&amp;Bem'!$C$72:$D$83,2,FALSE)</f>
        <v>5.2725000000000009</v>
      </c>
      <c r="E8" s="1179">
        <f ca="1">VLOOKUP(E6,'Hilfstabellen_Mat&amp;Bem'!$C$72:$D$83,2,FALSE)</f>
        <v>5.5500000000000007</v>
      </c>
      <c r="F8" s="1179">
        <f ca="1">VLOOKUP(F6,'Hilfstabellen_Mat&amp;Bem'!$C$72:$D$83,2,FALSE)</f>
        <v>6.6499999999999995</v>
      </c>
      <c r="G8" s="1179">
        <f ca="1">VLOOKUP(G6,'Hilfstabellen_Mat&amp;Bem'!$C$72:$D$83,2,FALSE)</f>
        <v>7.8000000000000007</v>
      </c>
      <c r="H8" s="1179">
        <f ca="1">VLOOKUP(H6,'Hilfstabellen_Mat&amp;Bem'!$C$72:$D$83,2,FALSE)</f>
        <v>9</v>
      </c>
      <c r="I8" s="1179">
        <f ca="1">VLOOKUP(I6,'Hilfstabellen_Mat&amp;Bem'!$C$72:$D$83,2,FALSE)</f>
        <v>10.5</v>
      </c>
      <c r="J8" s="1179"/>
      <c r="K8" s="1179"/>
      <c r="L8" s="1179"/>
      <c r="M8" s="1179"/>
      <c r="N8" s="1179"/>
      <c r="O8" s="1179"/>
      <c r="P8" s="1179"/>
      <c r="Q8" s="1179"/>
      <c r="R8" s="1179"/>
      <c r="S8" s="1179"/>
      <c r="T8" s="1179"/>
      <c r="U8" s="1179"/>
      <c r="V8" s="1179"/>
      <c r="W8" s="1179"/>
      <c r="X8" s="1179"/>
      <c r="Y8" s="1179"/>
      <c r="Z8" s="1179"/>
      <c r="AA8" s="1179"/>
      <c r="AB8" s="1179"/>
      <c r="AC8" s="1179"/>
      <c r="AD8" s="1179"/>
      <c r="AE8" s="1179"/>
      <c r="AF8" s="1179"/>
      <c r="AG8" s="1179"/>
      <c r="AH8" s="1179"/>
      <c r="AI8" s="1179"/>
      <c r="AJ8" s="1179"/>
      <c r="AK8" s="1179"/>
      <c r="AL8" s="1179"/>
      <c r="AM8" s="1179"/>
      <c r="AN8" s="1179"/>
      <c r="AO8" s="1179"/>
      <c r="AP8" s="1179"/>
      <c r="AQ8" s="1179"/>
      <c r="AR8" s="1179"/>
      <c r="AS8" s="1179"/>
      <c r="AT8" s="1179"/>
      <c r="AU8" s="1179"/>
      <c r="AV8" s="1179"/>
      <c r="AW8" s="1179"/>
      <c r="AX8" s="1179"/>
      <c r="AY8" s="1179"/>
      <c r="AZ8" s="1179"/>
      <c r="BA8" s="1179"/>
      <c r="BB8" s="1179"/>
      <c r="BC8" s="1179"/>
      <c r="BD8" s="1179"/>
      <c r="BE8" s="1179"/>
      <c r="BF8" s="1179"/>
      <c r="BG8" s="1179"/>
      <c r="BH8" s="1179"/>
      <c r="BI8" s="1179"/>
      <c r="BJ8" s="1179"/>
      <c r="BK8" s="1179"/>
      <c r="BL8" s="1179"/>
      <c r="BM8" s="1179"/>
      <c r="BN8" s="1179"/>
      <c r="BO8" s="1179"/>
      <c r="BP8" s="1179"/>
      <c r="BQ8" s="1179"/>
      <c r="BR8" s="1179"/>
      <c r="BS8" s="1179"/>
      <c r="BT8" s="1179"/>
    </row>
    <row r="9" spans="1:72">
      <c r="A9" s="936" t="s">
        <v>1940</v>
      </c>
      <c r="B9" s="548" t="s">
        <v>2196</v>
      </c>
      <c r="C9" s="1179">
        <f>VLOOKUP(C6,'Hilfstabellen_Mat&amp;Bem'!$C$72:$E$83,3,FALSE)</f>
        <v>3.0474999999999999</v>
      </c>
      <c r="D9" s="1179">
        <f>VLOOKUP(D6,'Hilfstabellen_Mat&amp;Bem'!$C$72:$E$83,3,FALSE)</f>
        <v>3.2774999999999999</v>
      </c>
      <c r="E9" s="1179">
        <f>VLOOKUP(E6,'Hilfstabellen_Mat&amp;Bem'!$C$72:$E$83,3,FALSE)</f>
        <v>3.4499999999999997</v>
      </c>
      <c r="F9" s="1179">
        <f>VLOOKUP(F6,'Hilfstabellen_Mat&amp;Bem'!$C$72:$E$83,3,FALSE)</f>
        <v>4.0249999999999995</v>
      </c>
      <c r="G9" s="1179">
        <f>VLOOKUP(G6,'Hilfstabellen_Mat&amp;Bem'!$C$72:$E$83,3,FALSE)</f>
        <v>4.5999999999999996</v>
      </c>
      <c r="H9" s="1179">
        <f>VLOOKUP(H6,'Hilfstabellen_Mat&amp;Bem'!$C$72:$E$83,3,FALSE)</f>
        <v>5.1749999999999998</v>
      </c>
      <c r="I9" s="1179">
        <f>VLOOKUP(I6,'Hilfstabellen_Mat&amp;Bem'!$C$72:$E$83,3,FALSE)</f>
        <v>5.75</v>
      </c>
      <c r="J9" s="1179"/>
      <c r="K9" s="1179"/>
      <c r="L9" s="1179"/>
      <c r="M9" s="1179"/>
      <c r="N9" s="1179"/>
      <c r="O9" s="1179"/>
      <c r="P9" s="1179"/>
      <c r="Q9" s="1179"/>
      <c r="R9" s="1179"/>
      <c r="S9" s="1179"/>
      <c r="T9" s="1179"/>
      <c r="U9" s="1179"/>
      <c r="V9" s="1179"/>
      <c r="W9" s="1179"/>
      <c r="X9" s="1179"/>
      <c r="Y9" s="1179"/>
      <c r="Z9" s="1179"/>
      <c r="AA9" s="1179"/>
      <c r="AB9" s="1179"/>
      <c r="AC9" s="1179"/>
      <c r="AD9" s="1179"/>
      <c r="AE9" s="1179"/>
      <c r="AF9" s="1179"/>
      <c r="AG9" s="1179"/>
      <c r="AH9" s="1179"/>
      <c r="AI9" s="1179"/>
      <c r="AJ9" s="1179"/>
      <c r="AK9" s="1179"/>
      <c r="AL9" s="1179"/>
      <c r="AM9" s="1179"/>
      <c r="AN9" s="1179"/>
      <c r="AO9" s="1179"/>
      <c r="AP9" s="1179"/>
      <c r="AQ9" s="1179"/>
      <c r="AR9" s="1179"/>
      <c r="AS9" s="1179"/>
      <c r="AT9" s="1179"/>
      <c r="AU9" s="1179"/>
      <c r="AV9" s="1179"/>
      <c r="AW9" s="1179"/>
      <c r="AX9" s="1179"/>
      <c r="AY9" s="1179"/>
      <c r="AZ9" s="1179"/>
      <c r="BA9" s="1179"/>
      <c r="BB9" s="1179"/>
      <c r="BC9" s="1179"/>
      <c r="BD9" s="1179"/>
      <c r="BE9" s="1179"/>
      <c r="BF9" s="1179"/>
      <c r="BG9" s="1179"/>
      <c r="BH9" s="1179"/>
      <c r="BI9" s="1179"/>
      <c r="BJ9" s="1179"/>
      <c r="BK9" s="1179"/>
      <c r="BL9" s="1179"/>
      <c r="BM9" s="1179"/>
      <c r="BN9" s="1179"/>
      <c r="BO9" s="1179"/>
      <c r="BP9" s="1179"/>
      <c r="BQ9" s="1179"/>
      <c r="BR9" s="1179"/>
      <c r="BS9" s="1179"/>
      <c r="BT9" s="1179"/>
    </row>
    <row r="10" spans="1:72" ht="17">
      <c r="A10" s="936" t="s">
        <v>2144</v>
      </c>
      <c r="B10" s="548" t="s">
        <v>2196</v>
      </c>
      <c r="C10" s="1179">
        <f ca="1">C8*1.35/0.6</f>
        <v>11.030625000000001</v>
      </c>
      <c r="D10" s="1179">
        <f t="shared" ref="D10:I10" ca="1" si="0">D8*1.35/0.6</f>
        <v>11.863125000000004</v>
      </c>
      <c r="E10" s="1179">
        <f t="shared" ca="1" si="0"/>
        <v>12.487500000000002</v>
      </c>
      <c r="F10" s="1179">
        <f t="shared" ca="1" si="0"/>
        <v>14.962499999999999</v>
      </c>
      <c r="G10" s="1179">
        <f t="shared" ca="1" si="0"/>
        <v>17.550000000000004</v>
      </c>
      <c r="H10" s="1179">
        <f t="shared" ca="1" si="0"/>
        <v>20.25</v>
      </c>
      <c r="I10" s="1179">
        <f t="shared" ca="1" si="0"/>
        <v>23.625000000000004</v>
      </c>
      <c r="J10" s="1179"/>
      <c r="K10" s="1179"/>
      <c r="L10" s="1179"/>
      <c r="M10" s="1179"/>
      <c r="N10" s="1179"/>
      <c r="O10" s="1179"/>
      <c r="P10" s="1179"/>
      <c r="Q10" s="1179"/>
      <c r="R10" s="1179"/>
      <c r="S10" s="1179"/>
      <c r="T10" s="1179"/>
      <c r="U10" s="1179"/>
      <c r="V10" s="1179"/>
      <c r="W10" s="1179"/>
      <c r="X10" s="1179"/>
      <c r="Y10" s="1179"/>
      <c r="Z10" s="1179"/>
      <c r="AA10" s="1179"/>
      <c r="AB10" s="1179"/>
      <c r="AC10" s="1179"/>
      <c r="AD10" s="1179"/>
      <c r="AE10" s="1179"/>
      <c r="AF10" s="1179"/>
      <c r="AG10" s="1179"/>
      <c r="AH10" s="1179"/>
      <c r="AI10" s="1179"/>
      <c r="AJ10" s="1179"/>
      <c r="AK10" s="1179"/>
      <c r="AL10" s="1179"/>
      <c r="AM10" s="1179"/>
      <c r="AN10" s="1179"/>
      <c r="AO10" s="1179"/>
      <c r="AP10" s="1179"/>
      <c r="AQ10" s="1179"/>
      <c r="AR10" s="1179"/>
      <c r="AS10" s="1179"/>
      <c r="AT10" s="1179"/>
      <c r="AU10" s="1179"/>
      <c r="AV10" s="1179"/>
      <c r="AW10" s="1179"/>
      <c r="AX10" s="1179"/>
      <c r="AY10" s="1179"/>
      <c r="AZ10" s="1179"/>
      <c r="BA10" s="1179"/>
      <c r="BB10" s="1179"/>
      <c r="BC10" s="1179"/>
      <c r="BD10" s="1179"/>
      <c r="BE10" s="1179"/>
      <c r="BF10" s="1179"/>
      <c r="BG10" s="1179"/>
      <c r="BH10" s="1179"/>
      <c r="BI10" s="1179"/>
      <c r="BJ10" s="1179"/>
      <c r="BK10" s="1179"/>
      <c r="BL10" s="1179"/>
      <c r="BM10" s="1179"/>
      <c r="BN10" s="1179"/>
      <c r="BO10" s="1179"/>
      <c r="BP10" s="1179"/>
      <c r="BQ10" s="1179"/>
      <c r="BR10" s="1179"/>
      <c r="BS10" s="1179"/>
      <c r="BT10" s="1179"/>
    </row>
    <row r="11" spans="1:72" ht="17">
      <c r="A11" s="936" t="s">
        <v>2145</v>
      </c>
      <c r="B11" s="548" t="s">
        <v>2196</v>
      </c>
      <c r="C11" s="1179">
        <f t="shared" ref="C11:I11" ca="1" si="1">(C8*1.35+C9*1.5)/k_mod</f>
        <v>13.987031249999999</v>
      </c>
      <c r="D11" s="1179">
        <f t="shared" ca="1" si="1"/>
        <v>15.04265625</v>
      </c>
      <c r="E11" s="1179">
        <f t="shared" ca="1" si="1"/>
        <v>15.834375</v>
      </c>
      <c r="F11" s="1179">
        <f t="shared" ca="1" si="1"/>
        <v>18.768749999999997</v>
      </c>
      <c r="G11" s="1179">
        <f t="shared" ca="1" si="1"/>
        <v>21.787499999999998</v>
      </c>
      <c r="H11" s="1179">
        <f t="shared" ca="1" si="1"/>
        <v>24.890625</v>
      </c>
      <c r="I11" s="1179">
        <f t="shared" ca="1" si="1"/>
        <v>28.5</v>
      </c>
      <c r="J11" s="1179"/>
      <c r="K11" s="1179"/>
      <c r="L11" s="1179"/>
      <c r="M11" s="1179"/>
      <c r="N11" s="1179"/>
      <c r="O11" s="1179"/>
      <c r="P11" s="1179"/>
      <c r="Q11" s="1179"/>
      <c r="R11" s="1179"/>
      <c r="S11" s="1179"/>
      <c r="T11" s="1179"/>
      <c r="U11" s="1179"/>
      <c r="V11" s="1179"/>
      <c r="W11" s="1179"/>
      <c r="X11" s="1179"/>
      <c r="Y11" s="1179"/>
      <c r="Z11" s="1179"/>
      <c r="AA11" s="1179"/>
      <c r="AB11" s="1179"/>
      <c r="AC11" s="1179"/>
      <c r="AD11" s="1179"/>
      <c r="AE11" s="1179"/>
      <c r="AF11" s="1179"/>
      <c r="AG11" s="1179"/>
      <c r="AH11" s="1179"/>
      <c r="AI11" s="1179"/>
      <c r="AJ11" s="1179"/>
      <c r="AK11" s="1179"/>
      <c r="AL11" s="1179"/>
      <c r="AM11" s="1179"/>
      <c r="AN11" s="1179"/>
      <c r="AO11" s="1179"/>
      <c r="AP11" s="1179"/>
      <c r="AQ11" s="1179"/>
      <c r="AR11" s="1179"/>
      <c r="AS11" s="1179"/>
      <c r="AT11" s="1179"/>
      <c r="AU11" s="1179"/>
      <c r="AV11" s="1179"/>
      <c r="AW11" s="1179"/>
      <c r="AX11" s="1179"/>
      <c r="AY11" s="1179"/>
      <c r="AZ11" s="1179"/>
      <c r="BA11" s="1179"/>
      <c r="BB11" s="1179"/>
      <c r="BC11" s="1179"/>
      <c r="BD11" s="1179"/>
      <c r="BE11" s="1179"/>
      <c r="BF11" s="1179"/>
      <c r="BG11" s="1179"/>
      <c r="BH11" s="1179"/>
      <c r="BI11" s="1179"/>
      <c r="BJ11" s="1179"/>
      <c r="BK11" s="1179"/>
      <c r="BL11" s="1179"/>
      <c r="BM11" s="1179"/>
      <c r="BN11" s="1179"/>
      <c r="BO11" s="1179"/>
      <c r="BP11" s="1179"/>
      <c r="BQ11" s="1179"/>
      <c r="BR11" s="1179"/>
      <c r="BS11" s="1179"/>
      <c r="BT11" s="1179"/>
    </row>
    <row r="12" spans="1:72" ht="17">
      <c r="A12" s="936" t="s">
        <v>2146</v>
      </c>
      <c r="B12" s="548" t="s">
        <v>423</v>
      </c>
      <c r="C12">
        <f t="shared" ref="C12:I12" ca="1" si="2">IF(C10=MAX(C10:C11),0.6,k_mod)</f>
        <v>0.8</v>
      </c>
      <c r="D12">
        <f t="shared" ca="1" si="2"/>
        <v>0.8</v>
      </c>
      <c r="E12">
        <f t="shared" ca="1" si="2"/>
        <v>0.8</v>
      </c>
      <c r="F12">
        <f t="shared" ca="1" si="2"/>
        <v>0.8</v>
      </c>
      <c r="G12">
        <f t="shared" ca="1" si="2"/>
        <v>0.8</v>
      </c>
      <c r="H12">
        <f t="shared" ca="1" si="2"/>
        <v>0.8</v>
      </c>
      <c r="I12">
        <f t="shared" ca="1" si="2"/>
        <v>0.8</v>
      </c>
    </row>
    <row r="13" spans="1:72">
      <c r="A13" s="936"/>
    </row>
    <row r="14" spans="1:72">
      <c r="A14" t="s">
        <v>1813</v>
      </c>
      <c r="B14" s="548" t="s">
        <v>883</v>
      </c>
      <c r="C14" s="553">
        <f>Datenbank!C10</f>
        <v>2.65</v>
      </c>
      <c r="D14" s="553">
        <f>Datenbank!D10</f>
        <v>2.85</v>
      </c>
      <c r="E14" s="553">
        <f>Datenbank!E10</f>
        <v>3</v>
      </c>
      <c r="F14" s="553">
        <f>Datenbank!F10</f>
        <v>3.5</v>
      </c>
      <c r="G14" s="553">
        <f>Datenbank!G10</f>
        <v>4</v>
      </c>
      <c r="H14" s="553">
        <f>Datenbank!H10</f>
        <v>4.5</v>
      </c>
      <c r="I14" s="553">
        <f>Datenbank!I10</f>
        <v>5</v>
      </c>
      <c r="J14" s="553"/>
      <c r="K14" s="553"/>
      <c r="L14" s="553"/>
      <c r="M14" s="553"/>
      <c r="N14" s="553"/>
      <c r="O14" s="553"/>
      <c r="P14" s="553"/>
      <c r="Q14" s="553"/>
      <c r="R14" s="553"/>
      <c r="S14" s="553"/>
      <c r="T14" s="553"/>
      <c r="U14" s="553"/>
      <c r="V14" s="553"/>
      <c r="W14" s="553"/>
      <c r="X14" s="553"/>
      <c r="Y14" s="553"/>
      <c r="Z14" s="553"/>
      <c r="AA14" s="553"/>
      <c r="AB14" s="553"/>
      <c r="AC14" s="553"/>
      <c r="AD14" s="553"/>
      <c r="AE14" s="553"/>
      <c r="AF14" s="553"/>
      <c r="AG14" s="553"/>
      <c r="AH14" s="553"/>
      <c r="AI14" s="553"/>
      <c r="AJ14" s="553"/>
      <c r="AK14" s="553"/>
      <c r="AL14" s="553"/>
      <c r="AM14" s="553"/>
      <c r="AN14" s="553"/>
      <c r="AO14" s="553"/>
      <c r="AP14" s="553"/>
      <c r="AQ14" s="553"/>
      <c r="AR14" s="553"/>
      <c r="AS14" s="553"/>
      <c r="AT14" s="553"/>
      <c r="AU14" s="553"/>
      <c r="AV14" s="553"/>
      <c r="AW14" s="553"/>
      <c r="AX14" s="553"/>
      <c r="AY14" s="553"/>
      <c r="AZ14" s="553"/>
      <c r="BA14" s="553"/>
      <c r="BB14" s="553"/>
      <c r="BC14" s="553"/>
      <c r="BD14" s="553"/>
      <c r="BE14" s="553"/>
      <c r="BF14" s="553"/>
      <c r="BG14" s="553"/>
      <c r="BH14" s="553"/>
      <c r="BI14" s="553"/>
      <c r="BJ14" s="553"/>
      <c r="BK14" s="553"/>
      <c r="BL14" s="553"/>
      <c r="BM14" s="553"/>
      <c r="BN14" s="553"/>
      <c r="BO14" s="553"/>
      <c r="BP14" s="553"/>
      <c r="BQ14" s="553"/>
      <c r="BR14" s="553"/>
      <c r="BS14" s="553"/>
      <c r="BT14" s="553"/>
    </row>
    <row r="15" spans="1:72" ht="17">
      <c r="A15" s="936" t="s">
        <v>2143</v>
      </c>
      <c r="B15" s="548" t="s">
        <v>2196</v>
      </c>
      <c r="C15" s="787">
        <f ca="1">MAX(C10:C11)*C12</f>
        <v>11.189624999999999</v>
      </c>
      <c r="D15" s="787">
        <f t="shared" ref="D15:I15" ca="1" si="3">MAX(D10:D11)*D12</f>
        <v>12.034125000000001</v>
      </c>
      <c r="E15" s="787">
        <f t="shared" ca="1" si="3"/>
        <v>12.6675</v>
      </c>
      <c r="F15" s="787">
        <f t="shared" ca="1" si="3"/>
        <v>15.014999999999999</v>
      </c>
      <c r="G15" s="787">
        <f t="shared" ca="1" si="3"/>
        <v>17.43</v>
      </c>
      <c r="H15" s="787">
        <f t="shared" ca="1" si="3"/>
        <v>19.912500000000001</v>
      </c>
      <c r="I15" s="787">
        <f t="shared" ca="1" si="3"/>
        <v>22.8</v>
      </c>
      <c r="J15" s="787"/>
      <c r="K15" s="787"/>
      <c r="L15" s="787"/>
      <c r="M15" s="787"/>
      <c r="N15" s="787"/>
      <c r="O15" s="787"/>
      <c r="P15" s="787"/>
      <c r="Q15" s="787"/>
      <c r="R15" s="787"/>
      <c r="S15" s="787"/>
      <c r="T15" s="787"/>
      <c r="U15" s="787"/>
      <c r="V15" s="787"/>
      <c r="W15" s="787"/>
      <c r="X15" s="787"/>
      <c r="Y15" s="787"/>
      <c r="Z15" s="787"/>
      <c r="AA15" s="787"/>
      <c r="AB15" s="787"/>
      <c r="AC15" s="787"/>
      <c r="AD15" s="787"/>
      <c r="AE15" s="787"/>
      <c r="AF15" s="787"/>
      <c r="AG15" s="787"/>
      <c r="AH15" s="787"/>
      <c r="AI15" s="787"/>
      <c r="AJ15" s="787"/>
      <c r="AK15" s="787"/>
      <c r="AL15" s="787"/>
      <c r="AM15" s="787"/>
      <c r="AN15" s="787"/>
      <c r="AO15" s="787"/>
      <c r="AP15" s="787"/>
      <c r="AQ15" s="787"/>
      <c r="AR15" s="787"/>
      <c r="AS15" s="787"/>
      <c r="AT15" s="787"/>
      <c r="AU15" s="787"/>
      <c r="AV15" s="787"/>
      <c r="AW15" s="787"/>
      <c r="AX15" s="787"/>
      <c r="AY15" s="787"/>
      <c r="AZ15" s="787"/>
      <c r="BA15" s="787"/>
      <c r="BB15" s="787"/>
      <c r="BC15" s="787"/>
      <c r="BD15" s="787"/>
      <c r="BE15" s="787"/>
      <c r="BF15" s="787"/>
      <c r="BG15" s="787"/>
      <c r="BH15" s="787"/>
      <c r="BI15" s="787"/>
      <c r="BJ15" s="787"/>
      <c r="BK15" s="787"/>
      <c r="BL15" s="787"/>
      <c r="BM15" s="787"/>
      <c r="BN15" s="787"/>
      <c r="BO15" s="787"/>
      <c r="BP15" s="787"/>
      <c r="BQ15" s="787"/>
      <c r="BR15" s="787"/>
      <c r="BS15" s="787"/>
      <c r="BT15" s="787"/>
    </row>
    <row r="16" spans="1:72">
      <c r="A16" s="936"/>
      <c r="C16" s="787"/>
      <c r="D16" s="787"/>
      <c r="E16" s="787"/>
      <c r="F16" s="787"/>
      <c r="G16" s="787"/>
      <c r="H16" s="787"/>
      <c r="I16" s="787"/>
      <c r="J16" s="787"/>
      <c r="K16" s="787"/>
      <c r="L16" s="787"/>
      <c r="M16" s="787"/>
      <c r="N16" s="787"/>
      <c r="O16" s="787"/>
      <c r="P16" s="787"/>
      <c r="Q16" s="787"/>
      <c r="R16" s="787"/>
      <c r="S16" s="787"/>
      <c r="T16" s="787"/>
      <c r="U16" s="787"/>
      <c r="V16" s="787"/>
      <c r="W16" s="787"/>
      <c r="X16" s="787"/>
      <c r="Y16" s="787"/>
      <c r="Z16" s="787"/>
      <c r="AA16" s="787"/>
      <c r="AB16" s="787"/>
      <c r="AC16" s="787"/>
      <c r="AD16" s="787"/>
      <c r="AE16" s="787"/>
      <c r="AF16" s="787"/>
      <c r="AG16" s="787"/>
      <c r="AH16" s="787"/>
      <c r="AI16" s="787"/>
      <c r="AJ16" s="787"/>
      <c r="AK16" s="787"/>
      <c r="AL16" s="787"/>
      <c r="AM16" s="787"/>
      <c r="AN16" s="787"/>
      <c r="AO16" s="787"/>
      <c r="AP16" s="787"/>
      <c r="AQ16" s="787"/>
      <c r="AR16" s="787"/>
      <c r="AS16" s="787"/>
      <c r="AT16" s="787"/>
      <c r="AU16" s="787"/>
      <c r="AV16" s="787"/>
      <c r="AW16" s="787"/>
      <c r="AX16" s="787"/>
      <c r="AY16" s="787"/>
      <c r="AZ16" s="787"/>
      <c r="BA16" s="787"/>
      <c r="BB16" s="787"/>
      <c r="BC16" s="787"/>
      <c r="BD16" s="787"/>
      <c r="BE16" s="787"/>
      <c r="BF16" s="787"/>
      <c r="BG16" s="787"/>
      <c r="BH16" s="787"/>
      <c r="BI16" s="787"/>
      <c r="BJ16" s="787"/>
      <c r="BK16" s="787"/>
      <c r="BL16" s="787"/>
      <c r="BM16" s="787"/>
      <c r="BN16" s="787"/>
      <c r="BO16" s="787"/>
      <c r="BP16" s="787"/>
      <c r="BQ16" s="787"/>
      <c r="BR16" s="787"/>
      <c r="BS16" s="787"/>
      <c r="BT16" s="787"/>
    </row>
    <row r="17" spans="1:72">
      <c r="A17" s="936" t="s">
        <v>2203</v>
      </c>
      <c r="C17" s="787"/>
      <c r="D17" s="787"/>
      <c r="E17" s="787"/>
      <c r="F17" s="787"/>
      <c r="G17" s="787"/>
      <c r="H17" s="787"/>
      <c r="I17" s="787"/>
      <c r="J17" s="787"/>
      <c r="K17" s="787"/>
      <c r="L17" s="787"/>
      <c r="M17" s="787"/>
      <c r="N17" s="787"/>
      <c r="O17" s="787"/>
      <c r="P17" s="787"/>
      <c r="Q17" s="787"/>
      <c r="R17" s="787"/>
      <c r="S17" s="787"/>
      <c r="T17" s="787"/>
      <c r="U17" s="787"/>
      <c r="V17" s="787"/>
      <c r="W17" s="787"/>
      <c r="X17" s="787"/>
      <c r="Y17" s="787"/>
      <c r="Z17" s="787"/>
      <c r="AA17" s="787"/>
      <c r="AB17" s="787"/>
      <c r="AC17" s="787"/>
      <c r="AD17" s="787"/>
      <c r="AE17" s="787"/>
      <c r="AF17" s="787"/>
      <c r="AG17" s="787"/>
      <c r="AH17" s="787"/>
      <c r="AI17" s="787"/>
      <c r="AJ17" s="787"/>
      <c r="AK17" s="787"/>
      <c r="AL17" s="787"/>
      <c r="AM17" s="787"/>
      <c r="AN17" s="787"/>
      <c r="AO17" s="787"/>
      <c r="AP17" s="787"/>
      <c r="AQ17" s="787"/>
      <c r="AR17" s="787"/>
      <c r="AS17" s="787"/>
      <c r="AT17" s="787"/>
      <c r="AU17" s="787"/>
      <c r="AV17" s="787"/>
      <c r="AW17" s="787"/>
      <c r="AX17" s="787"/>
      <c r="AY17" s="787"/>
      <c r="AZ17" s="787"/>
      <c r="BA17" s="787"/>
      <c r="BB17" s="787"/>
      <c r="BC17" s="787"/>
      <c r="BD17" s="787"/>
      <c r="BE17" s="787"/>
      <c r="BF17" s="787"/>
      <c r="BG17" s="787"/>
      <c r="BH17" s="787"/>
      <c r="BI17" s="787"/>
      <c r="BJ17" s="787"/>
      <c r="BK17" s="787"/>
      <c r="BL17" s="787"/>
      <c r="BM17" s="787"/>
      <c r="BN17" s="787"/>
      <c r="BO17" s="787"/>
      <c r="BP17" s="787"/>
      <c r="BQ17" s="787"/>
      <c r="BR17" s="787"/>
      <c r="BS17" s="787"/>
      <c r="BT17" s="787"/>
    </row>
    <row r="18" spans="1:72" ht="17">
      <c r="A18" s="936" t="s">
        <v>1953</v>
      </c>
      <c r="B18" s="548" t="s">
        <v>2204</v>
      </c>
      <c r="C18" s="553">
        <f ca="1">C$12*'Hilfstabellen_Mat&amp;Bem'!$BB$21/gamma_m</f>
        <v>1.5384615384615383</v>
      </c>
      <c r="D18" s="553">
        <f ca="1">D$12*'Hilfstabellen_Mat&amp;Bem'!$BB$21/gamma_m</f>
        <v>1.5384615384615383</v>
      </c>
      <c r="E18" s="553">
        <f ca="1">E$12*'Hilfstabellen_Mat&amp;Bem'!$BB$21/gamma_m</f>
        <v>1.5384615384615383</v>
      </c>
      <c r="F18" s="553">
        <f ca="1">F$12*'Hilfstabellen_Mat&amp;Bem'!$BB$21/gamma_m</f>
        <v>1.5384615384615383</v>
      </c>
      <c r="G18" s="553">
        <f ca="1">G$12*'Hilfstabellen_Mat&amp;Bem'!$BB$21/gamma_m</f>
        <v>1.5384615384615383</v>
      </c>
      <c r="H18" s="553">
        <f ca="1">H$12*'Hilfstabellen_Mat&amp;Bem'!$BB$21/gamma_m</f>
        <v>1.5384615384615383</v>
      </c>
      <c r="I18" s="553">
        <f ca="1">I$12*'Hilfstabellen_Mat&amp;Bem'!$BB$21/gamma_m</f>
        <v>1.5384615384615383</v>
      </c>
      <c r="J18" s="787"/>
      <c r="K18" s="787"/>
      <c r="L18" s="787"/>
      <c r="M18" s="787"/>
      <c r="N18" s="787"/>
      <c r="O18" s="787"/>
      <c r="P18" s="787"/>
      <c r="Q18" s="787"/>
      <c r="R18" s="787"/>
      <c r="S18" s="787"/>
      <c r="T18" s="787"/>
      <c r="U18" s="787"/>
      <c r="V18" s="787"/>
      <c r="W18" s="787"/>
      <c r="X18" s="787"/>
      <c r="Y18" s="787"/>
      <c r="Z18" s="787"/>
      <c r="AA18" s="787"/>
      <c r="AB18" s="787"/>
      <c r="AC18" s="787"/>
      <c r="AD18" s="787"/>
      <c r="AE18" s="787"/>
      <c r="AF18" s="787"/>
      <c r="AG18" s="787"/>
      <c r="AH18" s="787"/>
      <c r="AI18" s="787"/>
      <c r="AJ18" s="787"/>
      <c r="AK18" s="787"/>
      <c r="AL18" s="787"/>
      <c r="AM18" s="787"/>
      <c r="AN18" s="787"/>
      <c r="AO18" s="787"/>
      <c r="AP18" s="787"/>
      <c r="AQ18" s="787"/>
      <c r="AR18" s="787"/>
      <c r="AS18" s="787"/>
      <c r="AT18" s="787"/>
      <c r="AU18" s="787"/>
      <c r="AV18" s="787"/>
      <c r="AW18" s="787"/>
      <c r="AX18" s="787"/>
      <c r="AY18" s="787"/>
      <c r="AZ18" s="787"/>
      <c r="BA18" s="787"/>
      <c r="BB18" s="787"/>
      <c r="BC18" s="787"/>
      <c r="BD18" s="787"/>
      <c r="BE18" s="787"/>
      <c r="BF18" s="787"/>
      <c r="BG18" s="787"/>
      <c r="BH18" s="787"/>
      <c r="BI18" s="787"/>
      <c r="BJ18" s="787"/>
      <c r="BK18" s="787"/>
      <c r="BL18" s="787"/>
      <c r="BM18" s="787"/>
      <c r="BN18" s="787"/>
      <c r="BO18" s="787"/>
      <c r="BP18" s="787"/>
      <c r="BQ18" s="787"/>
      <c r="BR18" s="787"/>
      <c r="BS18" s="787"/>
      <c r="BT18" s="787"/>
    </row>
    <row r="19" spans="1:72">
      <c r="A19" s="936" t="s">
        <v>2205</v>
      </c>
      <c r="B19" s="548" t="s">
        <v>423</v>
      </c>
      <c r="C19" s="553">
        <f ca="1">((C15*1000)/(20*1000))/C18</f>
        <v>0.36366281250000004</v>
      </c>
      <c r="D19" s="553">
        <f t="shared" ref="D19:I19" ca="1" si="4">((D15*1000)/(20*1000))/D18</f>
        <v>0.3911090625000001</v>
      </c>
      <c r="E19" s="553">
        <f t="shared" ca="1" si="4"/>
        <v>0.41169375000000002</v>
      </c>
      <c r="F19" s="553">
        <f t="shared" ca="1" si="4"/>
        <v>0.48798749999999996</v>
      </c>
      <c r="G19" s="553">
        <f t="shared" ca="1" si="4"/>
        <v>0.56647500000000006</v>
      </c>
      <c r="H19" s="553">
        <f t="shared" ca="1" si="4"/>
        <v>0.6471562500000001</v>
      </c>
      <c r="I19" s="553">
        <f t="shared" ca="1" si="4"/>
        <v>0.74099999999999999</v>
      </c>
      <c r="J19" s="787"/>
      <c r="K19" s="787"/>
      <c r="L19" s="1185" t="s">
        <v>2206</v>
      </c>
      <c r="M19" s="787"/>
      <c r="N19" s="787"/>
      <c r="O19" s="787"/>
      <c r="P19" s="787"/>
      <c r="Q19" s="787"/>
      <c r="R19" s="787"/>
      <c r="S19" s="787"/>
      <c r="T19" s="787"/>
      <c r="U19" s="787"/>
      <c r="V19" s="787"/>
      <c r="W19" s="787"/>
      <c r="X19" s="787"/>
      <c r="Y19" s="787"/>
      <c r="Z19" s="787"/>
      <c r="AA19" s="787"/>
      <c r="AB19" s="787"/>
      <c r="AC19" s="787"/>
      <c r="AD19" s="787"/>
      <c r="AE19" s="787"/>
      <c r="AF19" s="787"/>
      <c r="AG19" s="787"/>
      <c r="AH19" s="787"/>
      <c r="AI19" s="787"/>
      <c r="AJ19" s="787"/>
      <c r="AK19" s="787"/>
      <c r="AL19" s="787"/>
      <c r="AM19" s="787"/>
      <c r="AN19" s="787"/>
      <c r="AO19" s="787"/>
      <c r="AP19" s="787"/>
      <c r="AQ19" s="787"/>
      <c r="AR19" s="787"/>
      <c r="AS19" s="787"/>
      <c r="AT19" s="787"/>
      <c r="AU19" s="787"/>
      <c r="AV19" s="787"/>
      <c r="AW19" s="787"/>
      <c r="AX19" s="787"/>
      <c r="AY19" s="787"/>
      <c r="AZ19" s="787"/>
      <c r="BA19" s="787"/>
      <c r="BB19" s="787"/>
      <c r="BC19" s="787"/>
      <c r="BD19" s="787"/>
      <c r="BE19" s="787"/>
      <c r="BF19" s="787"/>
      <c r="BG19" s="787"/>
      <c r="BH19" s="787"/>
      <c r="BI19" s="787"/>
      <c r="BJ19" s="787"/>
      <c r="BK19" s="787"/>
      <c r="BL19" s="787"/>
      <c r="BM19" s="787"/>
      <c r="BN19" s="787"/>
      <c r="BO19" s="787"/>
      <c r="BP19" s="787"/>
      <c r="BQ19" s="787"/>
      <c r="BR19" s="787"/>
      <c r="BS19" s="787"/>
      <c r="BT19" s="787"/>
    </row>
    <row r="20" spans="1:72">
      <c r="A20" s="936"/>
      <c r="C20" s="787"/>
      <c r="D20" s="787"/>
      <c r="E20" s="787"/>
      <c r="F20" s="787"/>
      <c r="G20" s="787"/>
      <c r="H20" s="787"/>
      <c r="I20" s="787"/>
      <c r="J20" s="787"/>
      <c r="K20" s="787"/>
      <c r="L20" s="787"/>
      <c r="M20" s="787"/>
      <c r="N20" s="787"/>
      <c r="O20" s="787"/>
      <c r="P20" s="787"/>
      <c r="Q20" s="787"/>
      <c r="R20" s="787"/>
      <c r="S20" s="787"/>
      <c r="T20" s="787"/>
      <c r="U20" s="787"/>
      <c r="V20" s="787"/>
      <c r="W20" s="787"/>
      <c r="X20" s="787"/>
      <c r="Y20" s="787"/>
      <c r="Z20" s="787"/>
      <c r="AA20" s="787"/>
      <c r="AB20" s="787"/>
      <c r="AC20" s="787"/>
      <c r="AD20" s="787"/>
      <c r="AE20" s="787"/>
      <c r="AF20" s="787"/>
      <c r="AG20" s="787"/>
      <c r="AH20" s="787"/>
      <c r="AI20" s="787"/>
      <c r="AJ20" s="787"/>
      <c r="AK20" s="787"/>
      <c r="AL20" s="787"/>
      <c r="AM20" s="787"/>
      <c r="AN20" s="787"/>
      <c r="AO20" s="787"/>
      <c r="AP20" s="787"/>
      <c r="AQ20" s="787"/>
      <c r="AR20" s="787"/>
      <c r="AS20" s="787"/>
      <c r="AT20" s="787"/>
      <c r="AU20" s="787"/>
      <c r="AV20" s="787"/>
      <c r="AW20" s="787"/>
      <c r="AX20" s="787"/>
      <c r="AY20" s="787"/>
      <c r="AZ20" s="787"/>
      <c r="BA20" s="787"/>
      <c r="BB20" s="787"/>
      <c r="BC20" s="787"/>
      <c r="BD20" s="787"/>
      <c r="BE20" s="787"/>
      <c r="BF20" s="787"/>
      <c r="BG20" s="787"/>
      <c r="BH20" s="787"/>
      <c r="BI20" s="787"/>
      <c r="BJ20" s="787"/>
      <c r="BK20" s="787"/>
      <c r="BL20" s="787"/>
      <c r="BM20" s="787"/>
      <c r="BN20" s="787"/>
      <c r="BO20" s="787"/>
      <c r="BP20" s="787"/>
      <c r="BQ20" s="787"/>
      <c r="BR20" s="787"/>
      <c r="BS20" s="787"/>
      <c r="BT20" s="787"/>
    </row>
    <row r="22" spans="1:72" s="1181" customFormat="1">
      <c r="A22" s="935" t="s">
        <v>2201</v>
      </c>
      <c r="B22" s="1180"/>
    </row>
    <row r="23" spans="1:72">
      <c r="A23" t="s">
        <v>1813</v>
      </c>
      <c r="B23" s="548" t="s">
        <v>883</v>
      </c>
      <c r="C23" s="928">
        <f>Datenbank!C10</f>
        <v>2.65</v>
      </c>
      <c r="D23" s="928">
        <f>Datenbank!D10</f>
        <v>2.85</v>
      </c>
      <c r="E23" s="928">
        <f>Datenbank!E10</f>
        <v>3</v>
      </c>
      <c r="F23" s="928">
        <f>Datenbank!F10</f>
        <v>3.5</v>
      </c>
      <c r="G23" s="928">
        <f>Datenbank!G10</f>
        <v>4</v>
      </c>
      <c r="H23" s="928">
        <f>Datenbank!H10</f>
        <v>4.5</v>
      </c>
      <c r="I23" s="928">
        <f>Datenbank!I10</f>
        <v>5</v>
      </c>
      <c r="J23" s="928">
        <f>Datenbank!J10</f>
        <v>2.65</v>
      </c>
      <c r="K23" s="928">
        <f>Datenbank!K10</f>
        <v>2.65</v>
      </c>
      <c r="L23" s="928">
        <f>Datenbank!L10</f>
        <v>2.65</v>
      </c>
      <c r="M23" s="928">
        <f>Datenbank!M10</f>
        <v>2.65</v>
      </c>
      <c r="N23" s="928">
        <f>Datenbank!N10</f>
        <v>2.65</v>
      </c>
      <c r="O23" s="928">
        <f>Datenbank!O10</f>
        <v>2.65</v>
      </c>
      <c r="P23" s="928">
        <f>Datenbank!P10</f>
        <v>2.65</v>
      </c>
      <c r="Q23" s="928">
        <f>Datenbank!Q10</f>
        <v>2.65</v>
      </c>
      <c r="R23" s="928">
        <f>Datenbank!R10</f>
        <v>2.65</v>
      </c>
      <c r="S23" s="928">
        <f>Datenbank!S10</f>
        <v>2.85</v>
      </c>
      <c r="T23" s="928">
        <f>Datenbank!T10</f>
        <v>2.85</v>
      </c>
      <c r="U23" s="928">
        <f>Datenbank!U10</f>
        <v>2.85</v>
      </c>
      <c r="V23" s="928">
        <f>Datenbank!V10</f>
        <v>2.85</v>
      </c>
      <c r="W23" s="928">
        <f>Datenbank!W10</f>
        <v>2.85</v>
      </c>
      <c r="X23" s="928">
        <f>Datenbank!X10</f>
        <v>2.85</v>
      </c>
      <c r="Y23" s="928">
        <f>Datenbank!Y10</f>
        <v>2.85</v>
      </c>
      <c r="Z23" s="928">
        <f>Datenbank!Z10</f>
        <v>2.85</v>
      </c>
      <c r="AA23" s="928">
        <f>Datenbank!AA10</f>
        <v>2.85</v>
      </c>
      <c r="AB23" s="928">
        <f>Datenbank!AB10</f>
        <v>3</v>
      </c>
      <c r="AC23" s="928">
        <f>Datenbank!AC10</f>
        <v>3</v>
      </c>
      <c r="AD23" s="928">
        <f>Datenbank!AD10</f>
        <v>3</v>
      </c>
      <c r="AE23" s="928">
        <f>Datenbank!AE10</f>
        <v>3</v>
      </c>
      <c r="AF23" s="928">
        <f>Datenbank!AF10</f>
        <v>3</v>
      </c>
      <c r="AG23" s="928">
        <f>Datenbank!AG10</f>
        <v>3</v>
      </c>
      <c r="AH23" s="928">
        <f>Datenbank!AH10</f>
        <v>3</v>
      </c>
      <c r="AI23" s="928">
        <f>Datenbank!AI10</f>
        <v>3</v>
      </c>
      <c r="AJ23" s="928">
        <f>Datenbank!AJ10</f>
        <v>3</v>
      </c>
      <c r="AK23" s="928">
        <f>Datenbank!AK10</f>
        <v>3.5</v>
      </c>
      <c r="AL23" s="928">
        <f>Datenbank!AL10</f>
        <v>3.5</v>
      </c>
      <c r="AM23" s="928">
        <f>Datenbank!AM10</f>
        <v>3.5</v>
      </c>
      <c r="AN23" s="928">
        <f>Datenbank!AN10</f>
        <v>3.5</v>
      </c>
      <c r="AO23" s="928">
        <f>Datenbank!AO10</f>
        <v>3.5</v>
      </c>
      <c r="AP23" s="928">
        <f>Datenbank!AP10</f>
        <v>3.5</v>
      </c>
      <c r="AQ23" s="928">
        <f>Datenbank!AQ10</f>
        <v>3.5</v>
      </c>
      <c r="AR23" s="928">
        <f>Datenbank!AR10</f>
        <v>3.5</v>
      </c>
      <c r="AS23" s="928">
        <f>Datenbank!AS10</f>
        <v>3.5</v>
      </c>
      <c r="AT23" s="928">
        <f>Datenbank!AT10</f>
        <v>4</v>
      </c>
      <c r="AU23" s="928">
        <f>Datenbank!AU10</f>
        <v>4</v>
      </c>
      <c r="AV23" s="928">
        <f>Datenbank!AV10</f>
        <v>4</v>
      </c>
      <c r="AW23" s="928">
        <f>Datenbank!AW10</f>
        <v>4</v>
      </c>
      <c r="AX23" s="928">
        <f>Datenbank!AX10</f>
        <v>4</v>
      </c>
      <c r="AY23" s="928">
        <f>Datenbank!AY10</f>
        <v>4</v>
      </c>
      <c r="AZ23" s="928">
        <f>Datenbank!AZ10</f>
        <v>4</v>
      </c>
      <c r="BA23" s="928">
        <f>Datenbank!BA10</f>
        <v>4</v>
      </c>
      <c r="BB23" s="928">
        <f>Datenbank!BB10</f>
        <v>4</v>
      </c>
      <c r="BC23" s="928">
        <f>Datenbank!BC10</f>
        <v>4.5</v>
      </c>
      <c r="BD23" s="928">
        <f>Datenbank!BD10</f>
        <v>4.5</v>
      </c>
      <c r="BE23" s="928">
        <f>Datenbank!BE10</f>
        <v>4.5</v>
      </c>
      <c r="BF23" s="928">
        <f>Datenbank!BF10</f>
        <v>4.5</v>
      </c>
      <c r="BG23" s="928">
        <f>Datenbank!BG10</f>
        <v>4.5</v>
      </c>
      <c r="BH23" s="928">
        <f>Datenbank!BH10</f>
        <v>4.5</v>
      </c>
      <c r="BI23" s="928">
        <f>Datenbank!BI10</f>
        <v>4.5</v>
      </c>
      <c r="BJ23" s="928">
        <f>Datenbank!BJ10</f>
        <v>4.5</v>
      </c>
      <c r="BK23" s="928">
        <f>Datenbank!BK10</f>
        <v>4.5</v>
      </c>
      <c r="BL23" s="928">
        <f>Datenbank!BL10</f>
        <v>5</v>
      </c>
      <c r="BM23" s="928">
        <f>Datenbank!BM10</f>
        <v>5</v>
      </c>
      <c r="BN23" s="928">
        <f>Datenbank!BN10</f>
        <v>5</v>
      </c>
      <c r="BO23" s="928">
        <f>Datenbank!BO10</f>
        <v>5</v>
      </c>
      <c r="BP23" s="928">
        <f>Datenbank!BP10</f>
        <v>5</v>
      </c>
      <c r="BQ23" s="928">
        <f>Datenbank!BQ10</f>
        <v>5</v>
      </c>
      <c r="BR23" s="928">
        <f>Datenbank!BR10</f>
        <v>5</v>
      </c>
      <c r="BS23" s="928">
        <f>Datenbank!BS10</f>
        <v>5</v>
      </c>
      <c r="BT23" s="928">
        <f>Datenbank!BT10</f>
        <v>5</v>
      </c>
    </row>
    <row r="24" spans="1:72">
      <c r="A24" t="s">
        <v>2198</v>
      </c>
      <c r="B24" s="548" t="s">
        <v>883</v>
      </c>
      <c r="C24" s="928">
        <f>Datenbank!C15</f>
        <v>2.65</v>
      </c>
      <c r="D24" s="928">
        <f>Datenbank!D15</f>
        <v>2.85</v>
      </c>
      <c r="E24" s="928">
        <f>Datenbank!E15</f>
        <v>3</v>
      </c>
      <c r="F24" s="928">
        <f>Datenbank!F15</f>
        <v>3.5</v>
      </c>
      <c r="G24" s="928">
        <f>Datenbank!G15</f>
        <v>4</v>
      </c>
      <c r="H24" s="928">
        <f>Datenbank!H15</f>
        <v>4.5</v>
      </c>
      <c r="I24" s="928">
        <f>Datenbank!I15</f>
        <v>5</v>
      </c>
      <c r="J24" s="928">
        <f>Datenbank!J15</f>
        <v>2.85</v>
      </c>
      <c r="K24" s="928">
        <f>Datenbank!K15</f>
        <v>3</v>
      </c>
      <c r="L24" s="928">
        <f>Datenbank!L15</f>
        <v>3.5</v>
      </c>
      <c r="M24" s="928">
        <f>Datenbank!M15</f>
        <v>4</v>
      </c>
      <c r="N24" s="928">
        <f>Datenbank!N15</f>
        <v>4.5</v>
      </c>
      <c r="O24" s="928">
        <f>Datenbank!O15</f>
        <v>5</v>
      </c>
      <c r="P24" s="928">
        <f>Datenbank!P15</f>
        <v>5.3</v>
      </c>
      <c r="Q24" s="928">
        <f>Datenbank!Q15</f>
        <v>5.7</v>
      </c>
      <c r="R24" s="928">
        <f>Datenbank!R15</f>
        <v>6</v>
      </c>
      <c r="S24" s="928">
        <f>Datenbank!S15</f>
        <v>2.65</v>
      </c>
      <c r="T24" s="928">
        <f>Datenbank!T15</f>
        <v>3</v>
      </c>
      <c r="U24" s="928">
        <f>Datenbank!U15</f>
        <v>3.5</v>
      </c>
      <c r="V24" s="928">
        <f>Datenbank!V15</f>
        <v>4</v>
      </c>
      <c r="W24" s="928">
        <f>Datenbank!W15</f>
        <v>4.5</v>
      </c>
      <c r="X24" s="928">
        <f>Datenbank!X15</f>
        <v>5</v>
      </c>
      <c r="Y24" s="928">
        <f>Datenbank!Y15</f>
        <v>5.3</v>
      </c>
      <c r="Z24" s="928">
        <f>Datenbank!Z15</f>
        <v>5.7</v>
      </c>
      <c r="AA24" s="928">
        <f>Datenbank!AA15</f>
        <v>6</v>
      </c>
      <c r="AB24" s="928">
        <f>Datenbank!AB15</f>
        <v>2.65</v>
      </c>
      <c r="AC24" s="928">
        <f>Datenbank!AC15</f>
        <v>2.85</v>
      </c>
      <c r="AD24" s="928">
        <f>Datenbank!AD15</f>
        <v>3.5</v>
      </c>
      <c r="AE24" s="928">
        <f>Datenbank!AE15</f>
        <v>4</v>
      </c>
      <c r="AF24" s="928">
        <f>Datenbank!AF15</f>
        <v>4.5</v>
      </c>
      <c r="AG24" s="928">
        <f>Datenbank!AG15</f>
        <v>5</v>
      </c>
      <c r="AH24" s="928">
        <f>Datenbank!AH15</f>
        <v>5.3</v>
      </c>
      <c r="AI24" s="928">
        <f>Datenbank!AI15</f>
        <v>5.7</v>
      </c>
      <c r="AJ24" s="928">
        <f>Datenbank!AJ15</f>
        <v>6</v>
      </c>
      <c r="AK24" s="928">
        <f>Datenbank!AK15</f>
        <v>2.65</v>
      </c>
      <c r="AL24" s="928">
        <f>Datenbank!AL15</f>
        <v>2.85</v>
      </c>
      <c r="AM24" s="928">
        <f>Datenbank!AM15</f>
        <v>3</v>
      </c>
      <c r="AN24" s="928">
        <f>Datenbank!AN15</f>
        <v>4</v>
      </c>
      <c r="AO24" s="928">
        <f>Datenbank!AO15</f>
        <v>4.5</v>
      </c>
      <c r="AP24" s="928">
        <f>Datenbank!AP15</f>
        <v>5</v>
      </c>
      <c r="AQ24" s="928">
        <f>Datenbank!AQ15</f>
        <v>5.3</v>
      </c>
      <c r="AR24" s="928">
        <f>Datenbank!AR15</f>
        <v>5.7</v>
      </c>
      <c r="AS24" s="928">
        <f>Datenbank!AS15</f>
        <v>6</v>
      </c>
      <c r="AT24" s="928">
        <f>Datenbank!AT15</f>
        <v>2.65</v>
      </c>
      <c r="AU24" s="928">
        <f>Datenbank!AU15</f>
        <v>2.85</v>
      </c>
      <c r="AV24" s="928">
        <f>Datenbank!AV15</f>
        <v>3</v>
      </c>
      <c r="AW24" s="928">
        <f>Datenbank!AW15</f>
        <v>3.5</v>
      </c>
      <c r="AX24" s="928">
        <f>Datenbank!AX15</f>
        <v>4.5</v>
      </c>
      <c r="AY24" s="928">
        <f>Datenbank!AY15</f>
        <v>5</v>
      </c>
      <c r="AZ24" s="928">
        <f>Datenbank!AZ15</f>
        <v>5.3</v>
      </c>
      <c r="BA24" s="928">
        <f>Datenbank!BA15</f>
        <v>5.7</v>
      </c>
      <c r="BB24" s="928">
        <f>Datenbank!BB15</f>
        <v>6</v>
      </c>
      <c r="BC24" s="928">
        <f>Datenbank!BC15</f>
        <v>2.65</v>
      </c>
      <c r="BD24" s="928">
        <f>Datenbank!BD15</f>
        <v>2.85</v>
      </c>
      <c r="BE24" s="928">
        <f>Datenbank!BE15</f>
        <v>3</v>
      </c>
      <c r="BF24" s="928">
        <f>Datenbank!BF15</f>
        <v>3.5</v>
      </c>
      <c r="BG24" s="928">
        <f>Datenbank!BG15</f>
        <v>4</v>
      </c>
      <c r="BH24" s="928">
        <f>Datenbank!BH15</f>
        <v>5</v>
      </c>
      <c r="BI24" s="928">
        <f>Datenbank!BI15</f>
        <v>5.3</v>
      </c>
      <c r="BJ24" s="928">
        <f>Datenbank!BJ15</f>
        <v>5.7</v>
      </c>
      <c r="BK24" s="928">
        <f>Datenbank!BK15</f>
        <v>6</v>
      </c>
      <c r="BL24" s="928">
        <f>Datenbank!BL15</f>
        <v>2.65</v>
      </c>
      <c r="BM24" s="928">
        <f>Datenbank!BM15</f>
        <v>2.85</v>
      </c>
      <c r="BN24" s="928">
        <f>Datenbank!BN15</f>
        <v>3</v>
      </c>
      <c r="BO24" s="928">
        <f>Datenbank!BO15</f>
        <v>3.5</v>
      </c>
      <c r="BP24" s="928">
        <f>Datenbank!BP15</f>
        <v>4</v>
      </c>
      <c r="BQ24" s="928">
        <f>Datenbank!BQ15</f>
        <v>4.5</v>
      </c>
      <c r="BR24" s="928">
        <f>Datenbank!BR15</f>
        <v>5.3</v>
      </c>
      <c r="BS24" s="928">
        <f>Datenbank!BS15</f>
        <v>5.7</v>
      </c>
      <c r="BT24" s="928">
        <f>Datenbank!BT15</f>
        <v>6</v>
      </c>
    </row>
    <row r="25" spans="1:72">
      <c r="A25" t="s">
        <v>1939</v>
      </c>
    </row>
    <row r="26" spans="1:72">
      <c r="A26" s="936" t="s">
        <v>2142</v>
      </c>
      <c r="B26" s="548" t="s">
        <v>2197</v>
      </c>
      <c r="C26" s="1179">
        <f ca="1">INDEX('Hilfstabellen_Mat&amp;Bem'!$C$92:$N$103,MATCH(C23,'Hilfstabellen_Mat&amp;Bem'!$C$92:$C$103,0),MATCH(C24,'Hilfstabellen_Mat&amp;Bem'!$C$92:$N$92,0))</f>
        <v>13.309624999999999</v>
      </c>
      <c r="D26" s="1179">
        <f ca="1">INDEX('Hilfstabellen_Mat&amp;Bem'!$C$92:$N$103,MATCH(D23,'Hilfstabellen_Mat&amp;Bem'!$C$92:$C$103,0),MATCH(D24,'Hilfstabellen_Mat&amp;Bem'!$C$92:$N$92,0))</f>
        <v>15.437025000000004</v>
      </c>
      <c r="E26" s="1179">
        <f ca="1">INDEX('Hilfstabellen_Mat&amp;Bem'!$C$92:$N$103,MATCH(E23,'Hilfstabellen_Mat&amp;Bem'!$C$92:$C$103,0),MATCH(E24,'Hilfstabellen_Mat&amp;Bem'!$C$92:$N$92,0))</f>
        <v>17.082000000000001</v>
      </c>
      <c r="F26" s="1179">
        <f ca="1">INDEX('Hilfstabellen_Mat&amp;Bem'!$C$92:$N$103,MATCH(F23,'Hilfstabellen_Mat&amp;Bem'!$C$92:$C$103,0),MATCH(F24,'Hilfstabellen_Mat&amp;Bem'!$C$92:$N$92,0))</f>
        <v>23.946999999999999</v>
      </c>
      <c r="G26" s="1179">
        <f ca="1">INDEX('Hilfstabellen_Mat&amp;Bem'!$C$92:$N$103,MATCH(G23,'Hilfstabellen_Mat&amp;Bem'!$C$92:$C$103,0),MATCH(G24,'Hilfstabellen_Mat&amp;Bem'!$C$92:$N$92,0))</f>
        <v>32.064</v>
      </c>
      <c r="H26" s="1179">
        <f ca="1">INDEX('Hilfstabellen_Mat&amp;Bem'!$C$92:$N$103,MATCH(H23,'Hilfstabellen_Mat&amp;Bem'!$C$92:$C$103,0),MATCH(H24,'Hilfstabellen_Mat&amp;Bem'!$C$92:$N$92,0))</f>
        <v>41.795999999999999</v>
      </c>
      <c r="I26" s="1179">
        <f ca="1">INDEX('Hilfstabellen_Mat&amp;Bem'!$C$92:$N$103,MATCH(I23,'Hilfstabellen_Mat&amp;Bem'!$C$92:$C$103,0),MATCH(I24,'Hilfstabellen_Mat&amp;Bem'!$C$92:$N$92,0))</f>
        <v>54.18</v>
      </c>
      <c r="J26" s="1179">
        <f ca="1">INDEX('Hilfstabellen_Mat&amp;Bem'!$C$92:$N$103,MATCH(J23,'Hilfstabellen_Mat&amp;Bem'!$C$92:$C$103,0),MATCH(J24,'Hilfstabellen_Mat&amp;Bem'!$C$92:$N$92,0))</f>
        <v>14.382525000000001</v>
      </c>
      <c r="K26" s="1179">
        <f ca="1">INDEX('Hilfstabellen_Mat&amp;Bem'!$C$92:$N$103,MATCH(K23,'Hilfstabellen_Mat&amp;Bem'!$C$92:$C$103,0),MATCH(K24,'Hilfstabellen_Mat&amp;Bem'!$C$92:$N$92,0))</f>
        <v>15.1395</v>
      </c>
      <c r="L26" s="1179">
        <f ca="1">INDEX('Hilfstabellen_Mat&amp;Bem'!$C$92:$N$103,MATCH(L23,'Hilfstabellen_Mat&amp;Bem'!$C$92:$C$103,0),MATCH(L24,'Hilfstabellen_Mat&amp;Bem'!$C$92:$N$92,0))</f>
        <v>17.746749999999999</v>
      </c>
      <c r="M26" s="1179">
        <f ca="1">INDEX('Hilfstabellen_Mat&amp;Bem'!$C$92:$N$103,MATCH(M23,'Hilfstabellen_Mat&amp;Bem'!$C$92:$C$103,0),MATCH(M24,'Hilfstabellen_Mat&amp;Bem'!$C$92:$N$92,0))</f>
        <v>20.378</v>
      </c>
      <c r="N26" s="1179">
        <f ca="1">INDEX('Hilfstabellen_Mat&amp;Bem'!$C$92:$N$103,MATCH(N23,'Hilfstabellen_Mat&amp;Bem'!$C$92:$C$103,0),MATCH(N24,'Hilfstabellen_Mat&amp;Bem'!$C$92:$N$92,0))</f>
        <v>23.141249999999999</v>
      </c>
      <c r="O26" s="1179">
        <f ca="1">INDEX('Hilfstabellen_Mat&amp;Bem'!$C$92:$N$103,MATCH(O23,'Hilfstabellen_Mat&amp;Bem'!$C$92:$C$103,0),MATCH(O24,'Hilfstabellen_Mat&amp;Bem'!$C$92:$N$92,0))</f>
        <v>25.8325</v>
      </c>
      <c r="P26" s="1179">
        <f ca="1">INDEX('Hilfstabellen_Mat&amp;Bem'!$C$92:$N$103,MATCH(P23,'Hilfstabellen_Mat&amp;Bem'!$C$92:$C$103,0),MATCH(P24,'Hilfstabellen_Mat&amp;Bem'!$C$92:$N$92,0))</f>
        <v>27.509650000000001</v>
      </c>
      <c r="Q26" s="1179">
        <f ca="1">INDEX('Hilfstabellen_Mat&amp;Bem'!$C$92:$N$103,MATCH(Q23,'Hilfstabellen_Mat&amp;Bem'!$C$92:$C$103,0),MATCH(Q24,'Hilfstabellen_Mat&amp;Bem'!$C$92:$N$92,0))</f>
        <v>29.722650000000002</v>
      </c>
      <c r="R26" s="1179">
        <f ca="1">INDEX('Hilfstabellen_Mat&amp;Bem'!$C$92:$N$103,MATCH(R23,'Hilfstabellen_Mat&amp;Bem'!$C$92:$C$103,0),MATCH(R24,'Hilfstabellen_Mat&amp;Bem'!$C$92:$N$92,0))</f>
        <v>31.431000000000001</v>
      </c>
      <c r="S26" s="1179">
        <f ca="1">INDEX('Hilfstabellen_Mat&amp;Bem'!$C$92:$N$103,MATCH(S23,'Hilfstabellen_Mat&amp;Bem'!$C$92:$C$103,0),MATCH(S24,'Hilfstabellen_Mat&amp;Bem'!$C$92:$N$92,0))</f>
        <v>14.290125000000002</v>
      </c>
      <c r="T26" s="1179">
        <f ca="1">INDEX('Hilfstabellen_Mat&amp;Bem'!$C$92:$N$103,MATCH(T23,'Hilfstabellen_Mat&amp;Bem'!$C$92:$C$103,0),MATCH(T24,'Hilfstabellen_Mat&amp;Bem'!$C$92:$N$92,0))</f>
        <v>16.249500000000005</v>
      </c>
      <c r="U26" s="1179">
        <f ca="1">INDEX('Hilfstabellen_Mat&amp;Bem'!$C$92:$N$103,MATCH(U23,'Hilfstabellen_Mat&amp;Bem'!$C$92:$C$103,0),MATCH(U24,'Hilfstabellen_Mat&amp;Bem'!$C$92:$N$92,0))</f>
        <v>19.041750000000004</v>
      </c>
      <c r="V26" s="1179">
        <f ca="1">INDEX('Hilfstabellen_Mat&amp;Bem'!$C$92:$N$103,MATCH(V23,'Hilfstabellen_Mat&amp;Bem'!$C$92:$C$103,0),MATCH(V24,'Hilfstabellen_Mat&amp;Bem'!$C$92:$N$92,0))</f>
        <v>21.858000000000004</v>
      </c>
      <c r="W26" s="1179">
        <f ca="1">INDEX('Hilfstabellen_Mat&amp;Bem'!$C$92:$N$103,MATCH(W23,'Hilfstabellen_Mat&amp;Bem'!$C$92:$C$103,0),MATCH(W24,'Hilfstabellen_Mat&amp;Bem'!$C$92:$N$92,0))</f>
        <v>24.806250000000006</v>
      </c>
      <c r="X26" s="1179">
        <f ca="1">INDEX('Hilfstabellen_Mat&amp;Bem'!$C$92:$N$103,MATCH(X23,'Hilfstabellen_Mat&amp;Bem'!$C$92:$C$103,0),MATCH(X24,'Hilfstabellen_Mat&amp;Bem'!$C$92:$N$92,0))</f>
        <v>27.682500000000005</v>
      </c>
      <c r="Y26" s="1179">
        <f ca="1">INDEX('Hilfstabellen_Mat&amp;Bem'!$C$92:$N$103,MATCH(Y23,'Hilfstabellen_Mat&amp;Bem'!$C$92:$C$103,0),MATCH(Y24,'Hilfstabellen_Mat&amp;Bem'!$C$92:$N$92,0))</f>
        <v>29.470650000000006</v>
      </c>
      <c r="Z26" s="1179">
        <f ca="1">INDEX('Hilfstabellen_Mat&amp;Bem'!$C$92:$N$103,MATCH(Z23,'Hilfstabellen_Mat&amp;Bem'!$C$92:$C$103,0),MATCH(Z24,'Hilfstabellen_Mat&amp;Bem'!$C$92:$N$92,0))</f>
        <v>31.831650000000007</v>
      </c>
      <c r="AA26" s="1179">
        <f ca="1">INDEX('Hilfstabellen_Mat&amp;Bem'!$C$92:$N$103,MATCH(AA23,'Hilfstabellen_Mat&amp;Bem'!$C$92:$C$103,0),MATCH(AA24,'Hilfstabellen_Mat&amp;Bem'!$C$92:$N$92,0))</f>
        <v>33.65100000000001</v>
      </c>
      <c r="AB26" s="1179">
        <f ca="1">INDEX('Hilfstabellen_Mat&amp;Bem'!$C$92:$N$103,MATCH(AB23,'Hilfstabellen_Mat&amp;Bem'!$C$92:$C$103,0),MATCH(AB24,'Hilfstabellen_Mat&amp;Bem'!$C$92:$N$92,0))</f>
        <v>15.089100000000002</v>
      </c>
      <c r="AC26" s="1179">
        <f ca="1">INDEX('Hilfstabellen_Mat&amp;Bem'!$C$92:$N$103,MATCH(AC23,'Hilfstabellen_Mat&amp;Bem'!$C$92:$C$103,0),MATCH(AC24,'Hilfstabellen_Mat&amp;Bem'!$C$92:$N$92,0))</f>
        <v>16.227900000000002</v>
      </c>
      <c r="AD26" s="1179">
        <f ca="1">INDEX('Hilfstabellen_Mat&amp;Bem'!$C$92:$N$103,MATCH(AD23,'Hilfstabellen_Mat&amp;Bem'!$C$92:$C$103,0),MATCH(AD24,'Hilfstabellen_Mat&amp;Bem'!$C$92:$N$92,0))</f>
        <v>20.013000000000002</v>
      </c>
      <c r="AE26" s="1179">
        <f ca="1">INDEX('Hilfstabellen_Mat&amp;Bem'!$C$92:$N$103,MATCH(AE23,'Hilfstabellen_Mat&amp;Bem'!$C$92:$C$103,0),MATCH(AE24,'Hilfstabellen_Mat&amp;Bem'!$C$92:$N$92,0))</f>
        <v>23.064000000000004</v>
      </c>
      <c r="AF26" s="1179">
        <f ca="1">INDEX('Hilfstabellen_Mat&amp;Bem'!$C$92:$N$103,MATCH(AF23,'Hilfstabellen_Mat&amp;Bem'!$C$92:$C$103,0),MATCH(AF24,'Hilfstabellen_Mat&amp;Bem'!$C$92:$N$92,0))</f>
        <v>26.055000000000003</v>
      </c>
      <c r="AG26" s="1179">
        <f ca="1">INDEX('Hilfstabellen_Mat&amp;Bem'!$C$92:$N$103,MATCH(AG23,'Hilfstabellen_Mat&amp;Bem'!$C$92:$C$103,0),MATCH(AG24,'Hilfstabellen_Mat&amp;Bem'!$C$92:$N$92,0))</f>
        <v>29.070000000000004</v>
      </c>
      <c r="AH26" s="1179">
        <f ca="1">INDEX('Hilfstabellen_Mat&amp;Bem'!$C$92:$N$103,MATCH(AH23,'Hilfstabellen_Mat&amp;Bem'!$C$92:$C$103,0),MATCH(AH24,'Hilfstabellen_Mat&amp;Bem'!$C$92:$N$92,0))</f>
        <v>30.941400000000005</v>
      </c>
      <c r="AI26" s="1179">
        <f ca="1">INDEX('Hilfstabellen_Mat&amp;Bem'!$C$92:$N$103,MATCH(AI23,'Hilfstabellen_Mat&amp;Bem'!$C$92:$C$103,0),MATCH(AI24,'Hilfstabellen_Mat&amp;Bem'!$C$92:$N$92,0))</f>
        <v>33.41340000000001</v>
      </c>
      <c r="AJ26" s="1179">
        <f ca="1">INDEX('Hilfstabellen_Mat&amp;Bem'!$C$92:$N$103,MATCH(AJ23,'Hilfstabellen_Mat&amp;Bem'!$C$92:$C$103,0),MATCH(AJ24,'Hilfstabellen_Mat&amp;Bem'!$C$92:$N$92,0))</f>
        <v>35.316000000000003</v>
      </c>
      <c r="AK26" s="1179">
        <f ca="1">INDEX('Hilfstabellen_Mat&amp;Bem'!$C$92:$N$103,MATCH(AK23,'Hilfstabellen_Mat&amp;Bem'!$C$92:$C$103,0),MATCH(AK24,'Hilfstabellen_Mat&amp;Bem'!$C$92:$N$92,0))</f>
        <v>18.004099999999998</v>
      </c>
      <c r="AL26" s="1179">
        <f ca="1">INDEX('Hilfstabellen_Mat&amp;Bem'!$C$92:$N$103,MATCH(AL23,'Hilfstabellen_Mat&amp;Bem'!$C$92:$C$103,0),MATCH(AL24,'Hilfstabellen_Mat&amp;Bem'!$C$92:$N$92,0))</f>
        <v>19.3629</v>
      </c>
      <c r="AM26" s="1179">
        <f ca="1">INDEX('Hilfstabellen_Mat&amp;Bem'!$C$92:$N$103,MATCH(AM23,'Hilfstabellen_Mat&amp;Bem'!$C$92:$C$103,0),MATCH(AM24,'Hilfstabellen_Mat&amp;Bem'!$C$92:$N$92,0))</f>
        <v>20.454000000000001</v>
      </c>
      <c r="AN26" s="1179">
        <f ca="1">INDEX('Hilfstabellen_Mat&amp;Bem'!$C$92:$N$103,MATCH(AN23,'Hilfstabellen_Mat&amp;Bem'!$C$92:$C$103,0),MATCH(AN24,'Hilfstabellen_Mat&amp;Bem'!$C$92:$N$92,0))</f>
        <v>27.463999999999999</v>
      </c>
      <c r="AO26" s="1179">
        <f ca="1">INDEX('Hilfstabellen_Mat&amp;Bem'!$C$92:$N$103,MATCH(AO23,'Hilfstabellen_Mat&amp;Bem'!$C$92:$C$103,0),MATCH(AO24,'Hilfstabellen_Mat&amp;Bem'!$C$92:$N$92,0))</f>
        <v>31.004999999999999</v>
      </c>
      <c r="AP26" s="1179">
        <f ca="1">INDEX('Hilfstabellen_Mat&amp;Bem'!$C$92:$N$103,MATCH(AP23,'Hilfstabellen_Mat&amp;Bem'!$C$92:$C$103,0),MATCH(AP24,'Hilfstabellen_Mat&amp;Bem'!$C$92:$N$92,0))</f>
        <v>34.69</v>
      </c>
      <c r="AQ26" s="1179">
        <f ca="1">INDEX('Hilfstabellen_Mat&amp;Bem'!$C$92:$N$103,MATCH(AQ23,'Hilfstabellen_Mat&amp;Bem'!$C$92:$C$103,0),MATCH(AQ24,'Hilfstabellen_Mat&amp;Bem'!$C$92:$N$92,0))</f>
        <v>36.898599999999995</v>
      </c>
      <c r="AR26" s="1179">
        <f ca="1">INDEX('Hilfstabellen_Mat&amp;Bem'!$C$92:$N$103,MATCH(AR23,'Hilfstabellen_Mat&amp;Bem'!$C$92:$C$103,0),MATCH(AR24,'Hilfstabellen_Mat&amp;Bem'!$C$92:$N$92,0))</f>
        <v>39.8202</v>
      </c>
      <c r="AS26" s="1179">
        <f ca="1">INDEX('Hilfstabellen_Mat&amp;Bem'!$C$92:$N$103,MATCH(AS23,'Hilfstabellen_Mat&amp;Bem'!$C$92:$C$103,0),MATCH(AS24,'Hilfstabellen_Mat&amp;Bem'!$C$92:$N$92,0))</f>
        <v>42.06</v>
      </c>
      <c r="AT26" s="1179">
        <f ca="1">INDEX('Hilfstabellen_Mat&amp;Bem'!$C$92:$N$103,MATCH(AT23,'Hilfstabellen_Mat&amp;Bem'!$C$92:$C$103,0),MATCH(AT24,'Hilfstabellen_Mat&amp;Bem'!$C$92:$N$92,0))</f>
        <v>21.051600000000001</v>
      </c>
      <c r="AU26" s="1179">
        <f ca="1">INDEX('Hilfstabellen_Mat&amp;Bem'!$C$92:$N$103,MATCH(AU23,'Hilfstabellen_Mat&amp;Bem'!$C$92:$C$103,0),MATCH(AU24,'Hilfstabellen_Mat&amp;Bem'!$C$92:$N$92,0))</f>
        <v>22.708800000000004</v>
      </c>
      <c r="AV26" s="1179">
        <f ca="1">INDEX('Hilfstabellen_Mat&amp;Bem'!$C$92:$N$103,MATCH(AV23,'Hilfstabellen_Mat&amp;Bem'!$C$92:$C$103,0),MATCH(AV24,'Hilfstabellen_Mat&amp;Bem'!$C$92:$N$92,0))</f>
        <v>23.904000000000003</v>
      </c>
      <c r="AW26" s="1179">
        <f ca="1">INDEX('Hilfstabellen_Mat&amp;Bem'!$C$92:$N$103,MATCH(AW23,'Hilfstabellen_Mat&amp;Bem'!$C$92:$C$103,0),MATCH(AW24,'Hilfstabellen_Mat&amp;Bem'!$C$92:$N$92,0))</f>
        <v>27.972000000000001</v>
      </c>
      <c r="AX26" s="1179">
        <f ca="1">INDEX('Hilfstabellen_Mat&amp;Bem'!$C$92:$N$103,MATCH(AX23,'Hilfstabellen_Mat&amp;Bem'!$C$92:$C$103,0),MATCH(AX24,'Hilfstabellen_Mat&amp;Bem'!$C$92:$N$92,0))</f>
        <v>36.287999999999997</v>
      </c>
      <c r="AY26" s="1179">
        <f ca="1">INDEX('Hilfstabellen_Mat&amp;Bem'!$C$92:$N$103,MATCH(AY23,'Hilfstabellen_Mat&amp;Bem'!$C$92:$C$103,0),MATCH(AY24,'Hilfstabellen_Mat&amp;Bem'!$C$92:$N$92,0))</f>
        <v>40.56</v>
      </c>
      <c r="AZ26" s="1179">
        <f ca="1">INDEX('Hilfstabellen_Mat&amp;Bem'!$C$92:$N$103,MATCH(AZ23,'Hilfstabellen_Mat&amp;Bem'!$C$92:$C$103,0),MATCH(AZ24,'Hilfstabellen_Mat&amp;Bem'!$C$92:$N$92,0))</f>
        <v>43.120800000000003</v>
      </c>
      <c r="BA26" s="1179">
        <f ca="1">INDEX('Hilfstabellen_Mat&amp;Bem'!$C$92:$N$103,MATCH(BA23,'Hilfstabellen_Mat&amp;Bem'!$C$92:$C$103,0),MATCH(BA24,'Hilfstabellen_Mat&amp;Bem'!$C$92:$N$92,0))</f>
        <v>46.512</v>
      </c>
      <c r="BB26" s="1179">
        <f ca="1">INDEX('Hilfstabellen_Mat&amp;Bem'!$C$92:$N$103,MATCH(BB23,'Hilfstabellen_Mat&amp;Bem'!$C$92:$C$103,0),MATCH(BB24,'Hilfstabellen_Mat&amp;Bem'!$C$92:$N$92,0))</f>
        <v>49.104000000000006</v>
      </c>
      <c r="BC26" s="1179">
        <f ca="1">INDEX('Hilfstabellen_Mat&amp;Bem'!$C$92:$N$103,MATCH(BC23,'Hilfstabellen_Mat&amp;Bem'!$C$92:$C$103,0),MATCH(BC24,'Hilfstabellen_Mat&amp;Bem'!$C$92:$N$92,0))</f>
        <v>24.295199999999998</v>
      </c>
      <c r="BD26" s="1179">
        <f ca="1">INDEX('Hilfstabellen_Mat&amp;Bem'!$C$92:$N$103,MATCH(BD23,'Hilfstabellen_Mat&amp;Bem'!$C$92:$C$103,0),MATCH(BD24,'Hilfstabellen_Mat&amp;Bem'!$C$92:$N$92,0))</f>
        <v>26.128799999999998</v>
      </c>
      <c r="BE26" s="1179">
        <f ca="1">INDEX('Hilfstabellen_Mat&amp;Bem'!$C$92:$N$103,MATCH(BE23,'Hilfstabellen_Mat&amp;Bem'!$C$92:$C$103,0),MATCH(BE24,'Hilfstabellen_Mat&amp;Bem'!$C$92:$N$92,0))</f>
        <v>27.503999999999998</v>
      </c>
      <c r="BF26" s="1179">
        <f ca="1">INDEX('Hilfstabellen_Mat&amp;Bem'!$C$92:$N$103,MATCH(BF23,'Hilfstabellen_Mat&amp;Bem'!$C$92:$C$103,0),MATCH(BF24,'Hilfstabellen_Mat&amp;Bem'!$C$92:$N$92,0))</f>
        <v>32.256</v>
      </c>
      <c r="BG26" s="1179">
        <f ca="1">INDEX('Hilfstabellen_Mat&amp;Bem'!$C$92:$N$103,MATCH(BG23,'Hilfstabellen_Mat&amp;Bem'!$C$92:$C$103,0),MATCH(BG24,'Hilfstabellen_Mat&amp;Bem'!$C$92:$N$92,0))</f>
        <v>36.96</v>
      </c>
      <c r="BH26" s="1179">
        <f ca="1">INDEX('Hilfstabellen_Mat&amp;Bem'!$C$92:$N$103,MATCH(BH23,'Hilfstabellen_Mat&amp;Bem'!$C$92:$C$103,0),MATCH(BH24,'Hilfstabellen_Mat&amp;Bem'!$C$92:$N$92,0))</f>
        <v>46.559999999999995</v>
      </c>
      <c r="BI26" s="1179">
        <f ca="1">INDEX('Hilfstabellen_Mat&amp;Bem'!$C$92:$N$103,MATCH(BI23,'Hilfstabellen_Mat&amp;Bem'!$C$92:$C$103,0),MATCH(BI24,'Hilfstabellen_Mat&amp;Bem'!$C$92:$N$92,0))</f>
        <v>49.480800000000002</v>
      </c>
      <c r="BJ26" s="1179">
        <f ca="1">INDEX('Hilfstabellen_Mat&amp;Bem'!$C$92:$N$103,MATCH(BJ23,'Hilfstabellen_Mat&amp;Bem'!$C$92:$C$103,0),MATCH(BJ24,'Hilfstabellen_Mat&amp;Bem'!$C$92:$N$92,0))</f>
        <v>53.488800000000005</v>
      </c>
      <c r="BK26" s="1179">
        <f ca="1">INDEX('Hilfstabellen_Mat&amp;Bem'!$C$92:$N$103,MATCH(BK23,'Hilfstabellen_Mat&amp;Bem'!$C$92:$C$103,0),MATCH(BK24,'Hilfstabellen_Mat&amp;Bem'!$C$92:$N$92,0))</f>
        <v>56.447999999999993</v>
      </c>
      <c r="BL26" s="1179">
        <f ca="1">INDEX('Hilfstabellen_Mat&amp;Bem'!$C$92:$N$103,MATCH(BL23,'Hilfstabellen_Mat&amp;Bem'!$C$92:$C$103,0),MATCH(BL24,'Hilfstabellen_Mat&amp;Bem'!$C$92:$N$92,0))</f>
        <v>28.270199999999996</v>
      </c>
      <c r="BM26" s="1179">
        <f ca="1">INDEX('Hilfstabellen_Mat&amp;Bem'!$C$92:$N$103,MATCH(BM23,'Hilfstabellen_Mat&amp;Bem'!$C$92:$C$103,0),MATCH(BM24,'Hilfstabellen_Mat&amp;Bem'!$C$92:$N$92,0))</f>
        <v>30.472200000000001</v>
      </c>
      <c r="BN26" s="1179">
        <f ca="1">INDEX('Hilfstabellen_Mat&amp;Bem'!$C$92:$N$103,MATCH(BN23,'Hilfstabellen_Mat&amp;Bem'!$C$92:$C$103,0),MATCH(BN24,'Hilfstabellen_Mat&amp;Bem'!$C$92:$N$92,0))</f>
        <v>32.076000000000001</v>
      </c>
      <c r="BO26" s="1179">
        <f ca="1">INDEX('Hilfstabellen_Mat&amp;Bem'!$C$92:$N$103,MATCH(BO23,'Hilfstabellen_Mat&amp;Bem'!$C$92:$C$103,0),MATCH(BO24,'Hilfstabellen_Mat&amp;Bem'!$C$92:$N$92,0))</f>
        <v>37.506</v>
      </c>
      <c r="BP26" s="1179">
        <f ca="1">INDEX('Hilfstabellen_Mat&amp;Bem'!$C$92:$N$103,MATCH(BP23,'Hilfstabellen_Mat&amp;Bem'!$C$92:$C$103,0),MATCH(BP24,'Hilfstabellen_Mat&amp;Bem'!$C$92:$N$92,0))</f>
        <v>42.96</v>
      </c>
      <c r="BQ26" s="1179">
        <f ca="1">INDEX('Hilfstabellen_Mat&amp;Bem'!$C$92:$N$103,MATCH(BQ23,'Hilfstabellen_Mat&amp;Bem'!$C$92:$C$103,0),MATCH(BQ24,'Hilfstabellen_Mat&amp;Bem'!$C$92:$N$92,0))</f>
        <v>48.545999999999999</v>
      </c>
      <c r="BR26" s="1179">
        <f ca="1">INDEX('Hilfstabellen_Mat&amp;Bem'!$C$92:$N$103,MATCH(BR23,'Hilfstabellen_Mat&amp;Bem'!$C$92:$C$103,0),MATCH(BR24,'Hilfstabellen_Mat&amp;Bem'!$C$92:$N$92,0))</f>
        <v>57.557999999999993</v>
      </c>
      <c r="BS26" s="1179">
        <f ca="1">INDEX('Hilfstabellen_Mat&amp;Bem'!$C$92:$N$103,MATCH(BS23,'Hilfstabellen_Mat&amp;Bem'!$C$92:$C$103,0),MATCH(BS24,'Hilfstabellen_Mat&amp;Bem'!$C$92:$N$92,0))</f>
        <v>62.038800000000002</v>
      </c>
      <c r="BT26" s="1179">
        <f ca="1">INDEX('Hilfstabellen_Mat&amp;Bem'!$C$92:$N$103,MATCH(BT23,'Hilfstabellen_Mat&amp;Bem'!$C$92:$C$103,0),MATCH(BT24,'Hilfstabellen_Mat&amp;Bem'!$C$92:$N$92,0))</f>
        <v>65.591999999999999</v>
      </c>
    </row>
    <row r="27" spans="1:72">
      <c r="A27" s="936" t="s">
        <v>1943</v>
      </c>
      <c r="B27" s="548" t="s">
        <v>2197</v>
      </c>
      <c r="C27" s="1179">
        <f>INDEX('Hilfstabellen_Mat&amp;Bem'!$C$105:$N$116,MATCH(C23,'Hilfstabellen_Mat&amp;Bem'!$C$105:$C$116,0),MATCH(C24,'Hilfstabellen_Mat&amp;Bem'!$C$105:$N$105,0))</f>
        <v>8.0758749999999999</v>
      </c>
      <c r="D27" s="1179">
        <f>INDEX('Hilfstabellen_Mat&amp;Bem'!$C$105:$N$116,MATCH(D23,'Hilfstabellen_Mat&amp;Bem'!$C$105:$C$116,0),MATCH(D24,'Hilfstabellen_Mat&amp;Bem'!$C$105:$N$105,0))</f>
        <v>9.3408750000000005</v>
      </c>
      <c r="E27" s="1179">
        <f>INDEX('Hilfstabellen_Mat&amp;Bem'!$C$105:$N$116,MATCH(E23,'Hilfstabellen_Mat&amp;Bem'!$C$105:$C$116,0),MATCH(E24,'Hilfstabellen_Mat&amp;Bem'!$C$105:$N$105,0))</f>
        <v>10.35</v>
      </c>
      <c r="F27" s="1179">
        <f>INDEX('Hilfstabellen_Mat&amp;Bem'!$C$105:$N$116,MATCH(F23,'Hilfstabellen_Mat&amp;Bem'!$C$105:$C$116,0),MATCH(F24,'Hilfstabellen_Mat&amp;Bem'!$C$105:$N$105,0))</f>
        <v>14.087499999999999</v>
      </c>
      <c r="G27" s="1179">
        <f>INDEX('Hilfstabellen_Mat&amp;Bem'!$C$105:$N$116,MATCH(G23,'Hilfstabellen_Mat&amp;Bem'!$C$105:$C$116,0),MATCH(G24,'Hilfstabellen_Mat&amp;Bem'!$C$105:$N$105,0))</f>
        <v>18.399999999999999</v>
      </c>
      <c r="H27" s="1179">
        <f>INDEX('Hilfstabellen_Mat&amp;Bem'!$C$105:$N$116,MATCH(H23,'Hilfstabellen_Mat&amp;Bem'!$C$105:$C$116,0),MATCH(H24,'Hilfstabellen_Mat&amp;Bem'!$C$105:$N$105,0))</f>
        <v>23.287499999999998</v>
      </c>
      <c r="I27" s="1179">
        <f>INDEX('Hilfstabellen_Mat&amp;Bem'!$C$105:$N$116,MATCH(I23,'Hilfstabellen_Mat&amp;Bem'!$C$105:$C$116,0),MATCH(I24,'Hilfstabellen_Mat&amp;Bem'!$C$105:$N$105,0))</f>
        <v>28.75</v>
      </c>
      <c r="J27" s="1179">
        <f>INDEX('Hilfstabellen_Mat&amp;Bem'!$C$105:$N$116,MATCH(J23,'Hilfstabellen_Mat&amp;Bem'!$C$105:$C$116,0),MATCH(J24,'Hilfstabellen_Mat&amp;Bem'!$C$105:$N$105,0))</f>
        <v>8.6853750000000005</v>
      </c>
      <c r="K27" s="1179">
        <f>INDEX('Hilfstabellen_Mat&amp;Bem'!$C$105:$N$116,MATCH(K23,'Hilfstabellen_Mat&amp;Bem'!$C$105:$C$116,0),MATCH(K24,'Hilfstabellen_Mat&amp;Bem'!$C$105:$N$105,0))</f>
        <v>9.1425000000000001</v>
      </c>
      <c r="L27" s="1179">
        <f>INDEX('Hilfstabellen_Mat&amp;Bem'!$C$105:$N$116,MATCH(L23,'Hilfstabellen_Mat&amp;Bem'!$C$105:$C$116,0),MATCH(L24,'Hilfstabellen_Mat&amp;Bem'!$C$105:$N$105,0))</f>
        <v>10.66625</v>
      </c>
      <c r="M27" s="1179">
        <f>INDEX('Hilfstabellen_Mat&amp;Bem'!$C$105:$N$116,MATCH(M23,'Hilfstabellen_Mat&amp;Bem'!$C$105:$C$116,0),MATCH(M24,'Hilfstabellen_Mat&amp;Bem'!$C$105:$N$105,0))</f>
        <v>12.19</v>
      </c>
      <c r="N27" s="1179">
        <f>INDEX('Hilfstabellen_Mat&amp;Bem'!$C$105:$N$116,MATCH(N23,'Hilfstabellen_Mat&amp;Bem'!$C$105:$C$116,0),MATCH(N24,'Hilfstabellen_Mat&amp;Bem'!$C$105:$N$105,0))</f>
        <v>13.713749999999999</v>
      </c>
      <c r="O27" s="1179">
        <f>INDEX('Hilfstabellen_Mat&amp;Bem'!$C$105:$N$116,MATCH(O23,'Hilfstabellen_Mat&amp;Bem'!$C$105:$C$116,0),MATCH(O24,'Hilfstabellen_Mat&amp;Bem'!$C$105:$N$105,0))</f>
        <v>15.237499999999999</v>
      </c>
      <c r="P27" s="1179">
        <f>INDEX('Hilfstabellen_Mat&amp;Bem'!$C$105:$N$116,MATCH(P23,'Hilfstabellen_Mat&amp;Bem'!$C$105:$C$116,0),MATCH(P24,'Hilfstabellen_Mat&amp;Bem'!$C$105:$N$105,0))</f>
        <v>16.15175</v>
      </c>
      <c r="Q27" s="1179">
        <f>INDEX('Hilfstabellen_Mat&amp;Bem'!$C$105:$N$116,MATCH(Q23,'Hilfstabellen_Mat&amp;Bem'!$C$105:$C$116,0),MATCH(Q24,'Hilfstabellen_Mat&amp;Bem'!$C$105:$N$105,0))</f>
        <v>17.370750000000001</v>
      </c>
      <c r="R27" s="1179">
        <f>INDEX('Hilfstabellen_Mat&amp;Bem'!$C$105:$N$116,MATCH(R23,'Hilfstabellen_Mat&amp;Bem'!$C$105:$C$116,0),MATCH(R24,'Hilfstabellen_Mat&amp;Bem'!$C$105:$N$105,0))</f>
        <v>18.285</v>
      </c>
      <c r="S27" s="1179">
        <f>INDEX('Hilfstabellen_Mat&amp;Bem'!$C$105:$N$116,MATCH(S23,'Hilfstabellen_Mat&amp;Bem'!$C$105:$C$116,0),MATCH(S24,'Hilfstabellen_Mat&amp;Bem'!$C$105:$N$105,0))</f>
        <v>8.6853749999999987</v>
      </c>
      <c r="T27" s="1179">
        <f>INDEX('Hilfstabellen_Mat&amp;Bem'!$C$105:$N$116,MATCH(T23,'Hilfstabellen_Mat&amp;Bem'!$C$105:$C$116,0),MATCH(T24,'Hilfstabellen_Mat&amp;Bem'!$C$105:$N$105,0))</f>
        <v>9.8324999999999996</v>
      </c>
      <c r="U27" s="1179">
        <f>INDEX('Hilfstabellen_Mat&amp;Bem'!$C$105:$N$116,MATCH(U23,'Hilfstabellen_Mat&amp;Bem'!$C$105:$C$116,0),MATCH(U24,'Hilfstabellen_Mat&amp;Bem'!$C$105:$N$105,0))</f>
        <v>11.47125</v>
      </c>
      <c r="V27" s="1179">
        <f>INDEX('Hilfstabellen_Mat&amp;Bem'!$C$105:$N$116,MATCH(V23,'Hilfstabellen_Mat&amp;Bem'!$C$105:$C$116,0),MATCH(V24,'Hilfstabellen_Mat&amp;Bem'!$C$105:$N$105,0))</f>
        <v>13.11</v>
      </c>
      <c r="W27" s="1179">
        <f>INDEX('Hilfstabellen_Mat&amp;Bem'!$C$105:$N$116,MATCH(W23,'Hilfstabellen_Mat&amp;Bem'!$C$105:$C$116,0),MATCH(W24,'Hilfstabellen_Mat&amp;Bem'!$C$105:$N$105,0))</f>
        <v>14.748749999999999</v>
      </c>
      <c r="X27" s="1179">
        <f>INDEX('Hilfstabellen_Mat&amp;Bem'!$C$105:$N$116,MATCH(X23,'Hilfstabellen_Mat&amp;Bem'!$C$105:$C$116,0),MATCH(X24,'Hilfstabellen_Mat&amp;Bem'!$C$105:$N$105,0))</f>
        <v>16.387499999999999</v>
      </c>
      <c r="Y27" s="1179">
        <f>INDEX('Hilfstabellen_Mat&amp;Bem'!$C$105:$N$116,MATCH(Y23,'Hilfstabellen_Mat&amp;Bem'!$C$105:$C$116,0),MATCH(Y24,'Hilfstabellen_Mat&amp;Bem'!$C$105:$N$105,0))</f>
        <v>17.370749999999997</v>
      </c>
      <c r="Z27" s="1179">
        <f>INDEX('Hilfstabellen_Mat&amp;Bem'!$C$105:$N$116,MATCH(Z23,'Hilfstabellen_Mat&amp;Bem'!$C$105:$C$116,0),MATCH(Z24,'Hilfstabellen_Mat&amp;Bem'!$C$105:$N$105,0))</f>
        <v>18.681750000000001</v>
      </c>
      <c r="AA27" s="1179">
        <f>INDEX('Hilfstabellen_Mat&amp;Bem'!$C$105:$N$116,MATCH(AA23,'Hilfstabellen_Mat&amp;Bem'!$C$105:$C$116,0),MATCH(AA24,'Hilfstabellen_Mat&amp;Bem'!$C$105:$N$105,0))</f>
        <v>19.664999999999999</v>
      </c>
      <c r="AB27" s="1179">
        <f>INDEX('Hilfstabellen_Mat&amp;Bem'!$C$105:$N$116,MATCH(AB23,'Hilfstabellen_Mat&amp;Bem'!$C$105:$C$116,0),MATCH(AB24,'Hilfstabellen_Mat&amp;Bem'!$C$105:$N$105,0))</f>
        <v>9.1424999999999983</v>
      </c>
      <c r="AC27" s="1179">
        <f>INDEX('Hilfstabellen_Mat&amp;Bem'!$C$105:$N$116,MATCH(AC23,'Hilfstabellen_Mat&amp;Bem'!$C$105:$C$116,0),MATCH(AC24,'Hilfstabellen_Mat&amp;Bem'!$C$105:$N$105,0))</f>
        <v>9.8324999999999996</v>
      </c>
      <c r="AD27" s="1179">
        <f>INDEX('Hilfstabellen_Mat&amp;Bem'!$C$105:$N$116,MATCH(AD23,'Hilfstabellen_Mat&amp;Bem'!$C$105:$C$116,0),MATCH(AD24,'Hilfstabellen_Mat&amp;Bem'!$C$105:$N$105,0))</f>
        <v>12.074999999999999</v>
      </c>
      <c r="AE27" s="1179">
        <f>INDEX('Hilfstabellen_Mat&amp;Bem'!$C$105:$N$116,MATCH(AE23,'Hilfstabellen_Mat&amp;Bem'!$C$105:$C$116,0),MATCH(AE24,'Hilfstabellen_Mat&amp;Bem'!$C$105:$N$105,0))</f>
        <v>13.799999999999999</v>
      </c>
      <c r="AF27" s="1179">
        <f>INDEX('Hilfstabellen_Mat&amp;Bem'!$C$105:$N$116,MATCH(AF23,'Hilfstabellen_Mat&amp;Bem'!$C$105:$C$116,0),MATCH(AF24,'Hilfstabellen_Mat&amp;Bem'!$C$105:$N$105,0))</f>
        <v>15.524999999999999</v>
      </c>
      <c r="AG27" s="1179">
        <f>INDEX('Hilfstabellen_Mat&amp;Bem'!$C$105:$N$116,MATCH(AG23,'Hilfstabellen_Mat&amp;Bem'!$C$105:$C$116,0),MATCH(AG24,'Hilfstabellen_Mat&amp;Bem'!$C$105:$N$105,0))</f>
        <v>17.25</v>
      </c>
      <c r="AH27" s="1179">
        <f>INDEX('Hilfstabellen_Mat&amp;Bem'!$C$105:$N$116,MATCH(AH23,'Hilfstabellen_Mat&amp;Bem'!$C$105:$C$116,0),MATCH(AH24,'Hilfstabellen_Mat&amp;Bem'!$C$105:$N$105,0))</f>
        <v>18.284999999999997</v>
      </c>
      <c r="AI27" s="1179">
        <f>INDEX('Hilfstabellen_Mat&amp;Bem'!$C$105:$N$116,MATCH(AI23,'Hilfstabellen_Mat&amp;Bem'!$C$105:$C$116,0),MATCH(AI24,'Hilfstabellen_Mat&amp;Bem'!$C$105:$N$105,0))</f>
        <v>19.664999999999999</v>
      </c>
      <c r="AJ27" s="1179">
        <f>INDEX('Hilfstabellen_Mat&amp;Bem'!$C$105:$N$116,MATCH(AJ23,'Hilfstabellen_Mat&amp;Bem'!$C$105:$C$116,0),MATCH(AJ24,'Hilfstabellen_Mat&amp;Bem'!$C$105:$N$105,0))</f>
        <v>20.7</v>
      </c>
      <c r="AK27" s="1179">
        <f>INDEX('Hilfstabellen_Mat&amp;Bem'!$C$105:$N$116,MATCH(AK23,'Hilfstabellen_Mat&amp;Bem'!$C$105:$C$116,0),MATCH(AK24,'Hilfstabellen_Mat&amp;Bem'!$C$105:$N$105,0))</f>
        <v>10.666249999999998</v>
      </c>
      <c r="AL27" s="1179">
        <f>INDEX('Hilfstabellen_Mat&amp;Bem'!$C$105:$N$116,MATCH(AL23,'Hilfstabellen_Mat&amp;Bem'!$C$105:$C$116,0),MATCH(AL24,'Hilfstabellen_Mat&amp;Bem'!$C$105:$N$105,0))</f>
        <v>11.47125</v>
      </c>
      <c r="AM27" s="1179">
        <f>INDEX('Hilfstabellen_Mat&amp;Bem'!$C$105:$N$116,MATCH(AM23,'Hilfstabellen_Mat&amp;Bem'!$C$105:$C$116,0),MATCH(AM24,'Hilfstabellen_Mat&amp;Bem'!$C$105:$N$105,0))</f>
        <v>12.074999999999999</v>
      </c>
      <c r="AN27" s="1179">
        <f>INDEX('Hilfstabellen_Mat&amp;Bem'!$C$105:$N$116,MATCH(AN23,'Hilfstabellen_Mat&amp;Bem'!$C$105:$C$116,0),MATCH(AN24,'Hilfstabellen_Mat&amp;Bem'!$C$105:$N$105,0))</f>
        <v>16.099999999999998</v>
      </c>
      <c r="AO27" s="1179">
        <f>INDEX('Hilfstabellen_Mat&amp;Bem'!$C$105:$N$116,MATCH(AO23,'Hilfstabellen_Mat&amp;Bem'!$C$105:$C$116,0),MATCH(AO24,'Hilfstabellen_Mat&amp;Bem'!$C$105:$N$105,0))</f>
        <v>18.112499999999997</v>
      </c>
      <c r="AP27" s="1179">
        <f>INDEX('Hilfstabellen_Mat&amp;Bem'!$C$105:$N$116,MATCH(AP23,'Hilfstabellen_Mat&amp;Bem'!$C$105:$C$116,0),MATCH(AP24,'Hilfstabellen_Mat&amp;Bem'!$C$105:$N$105,0))</f>
        <v>20.124999999999996</v>
      </c>
      <c r="AQ27" s="1179">
        <f>INDEX('Hilfstabellen_Mat&amp;Bem'!$C$105:$N$116,MATCH(AQ23,'Hilfstabellen_Mat&amp;Bem'!$C$105:$C$116,0),MATCH(AQ24,'Hilfstabellen_Mat&amp;Bem'!$C$105:$N$105,0))</f>
        <v>21.332499999999996</v>
      </c>
      <c r="AR27" s="1179">
        <f>INDEX('Hilfstabellen_Mat&amp;Bem'!$C$105:$N$116,MATCH(AR23,'Hilfstabellen_Mat&amp;Bem'!$C$105:$C$116,0),MATCH(AR24,'Hilfstabellen_Mat&amp;Bem'!$C$105:$N$105,0))</f>
        <v>22.942499999999999</v>
      </c>
      <c r="AS27" s="1179">
        <f>INDEX('Hilfstabellen_Mat&amp;Bem'!$C$105:$N$116,MATCH(AS23,'Hilfstabellen_Mat&amp;Bem'!$C$105:$C$116,0),MATCH(AS24,'Hilfstabellen_Mat&amp;Bem'!$C$105:$N$105,0))</f>
        <v>24.15</v>
      </c>
      <c r="AT27" s="1179">
        <f>INDEX('Hilfstabellen_Mat&amp;Bem'!$C$105:$N$116,MATCH(AT23,'Hilfstabellen_Mat&amp;Bem'!$C$105:$C$116,0),MATCH(AT24,'Hilfstabellen_Mat&amp;Bem'!$C$105:$N$105,0))</f>
        <v>12.19</v>
      </c>
      <c r="AU27" s="1179">
        <f>INDEX('Hilfstabellen_Mat&amp;Bem'!$C$105:$N$116,MATCH(AU23,'Hilfstabellen_Mat&amp;Bem'!$C$105:$C$116,0),MATCH(AU24,'Hilfstabellen_Mat&amp;Bem'!$C$105:$N$105,0))</f>
        <v>13.11</v>
      </c>
      <c r="AV27" s="1179">
        <f>INDEX('Hilfstabellen_Mat&amp;Bem'!$C$105:$N$116,MATCH(AV23,'Hilfstabellen_Mat&amp;Bem'!$C$105:$C$116,0),MATCH(AV24,'Hilfstabellen_Mat&amp;Bem'!$C$105:$N$105,0))</f>
        <v>13.799999999999999</v>
      </c>
      <c r="AW27" s="1179">
        <f>INDEX('Hilfstabellen_Mat&amp;Bem'!$C$105:$N$116,MATCH(AW23,'Hilfstabellen_Mat&amp;Bem'!$C$105:$C$116,0),MATCH(AW24,'Hilfstabellen_Mat&amp;Bem'!$C$105:$N$105,0))</f>
        <v>16.099999999999998</v>
      </c>
      <c r="AX27" s="1179">
        <f>INDEX('Hilfstabellen_Mat&amp;Bem'!$C$105:$N$116,MATCH(AX23,'Hilfstabellen_Mat&amp;Bem'!$C$105:$C$116,0),MATCH(AX24,'Hilfstabellen_Mat&amp;Bem'!$C$105:$N$105,0))</f>
        <v>20.7</v>
      </c>
      <c r="AY27" s="1179">
        <f>INDEX('Hilfstabellen_Mat&amp;Bem'!$C$105:$N$116,MATCH(AY23,'Hilfstabellen_Mat&amp;Bem'!$C$105:$C$116,0),MATCH(AY24,'Hilfstabellen_Mat&amp;Bem'!$C$105:$N$105,0))</f>
        <v>23</v>
      </c>
      <c r="AZ27" s="1179">
        <f>INDEX('Hilfstabellen_Mat&amp;Bem'!$C$105:$N$116,MATCH(AZ23,'Hilfstabellen_Mat&amp;Bem'!$C$105:$C$116,0),MATCH(AZ24,'Hilfstabellen_Mat&amp;Bem'!$C$105:$N$105,0))</f>
        <v>24.38</v>
      </c>
      <c r="BA27" s="1179">
        <f>INDEX('Hilfstabellen_Mat&amp;Bem'!$C$105:$N$116,MATCH(BA23,'Hilfstabellen_Mat&amp;Bem'!$C$105:$C$116,0),MATCH(BA24,'Hilfstabellen_Mat&amp;Bem'!$C$105:$N$105,0))</f>
        <v>26.22</v>
      </c>
      <c r="BB27" s="1179">
        <f>INDEX('Hilfstabellen_Mat&amp;Bem'!$C$105:$N$116,MATCH(BB23,'Hilfstabellen_Mat&amp;Bem'!$C$105:$C$116,0),MATCH(BB24,'Hilfstabellen_Mat&amp;Bem'!$C$105:$N$105,0))</f>
        <v>27.599999999999998</v>
      </c>
      <c r="BC27" s="1179">
        <f>INDEX('Hilfstabellen_Mat&amp;Bem'!$C$105:$N$116,MATCH(BC23,'Hilfstabellen_Mat&amp;Bem'!$C$105:$C$116,0),MATCH(BC24,'Hilfstabellen_Mat&amp;Bem'!$C$105:$N$105,0))</f>
        <v>13.713749999999999</v>
      </c>
      <c r="BD27" s="1179">
        <f>INDEX('Hilfstabellen_Mat&amp;Bem'!$C$105:$N$116,MATCH(BD23,'Hilfstabellen_Mat&amp;Bem'!$C$105:$C$116,0),MATCH(BD24,'Hilfstabellen_Mat&amp;Bem'!$C$105:$N$105,0))</f>
        <v>14.748749999999999</v>
      </c>
      <c r="BE27" s="1179">
        <f>INDEX('Hilfstabellen_Mat&amp;Bem'!$C$105:$N$116,MATCH(BE23,'Hilfstabellen_Mat&amp;Bem'!$C$105:$C$116,0),MATCH(BE24,'Hilfstabellen_Mat&amp;Bem'!$C$105:$N$105,0))</f>
        <v>15.524999999999999</v>
      </c>
      <c r="BF27" s="1179">
        <f>INDEX('Hilfstabellen_Mat&amp;Bem'!$C$105:$N$116,MATCH(BF23,'Hilfstabellen_Mat&amp;Bem'!$C$105:$C$116,0),MATCH(BF24,'Hilfstabellen_Mat&amp;Bem'!$C$105:$N$105,0))</f>
        <v>18.112500000000001</v>
      </c>
      <c r="BG27" s="1179">
        <f>INDEX('Hilfstabellen_Mat&amp;Bem'!$C$105:$N$116,MATCH(BG23,'Hilfstabellen_Mat&amp;Bem'!$C$105:$C$116,0),MATCH(BG24,'Hilfstabellen_Mat&amp;Bem'!$C$105:$N$105,0))</f>
        <v>20.7</v>
      </c>
      <c r="BH27" s="1179">
        <f>INDEX('Hilfstabellen_Mat&amp;Bem'!$C$105:$N$116,MATCH(BH23,'Hilfstabellen_Mat&amp;Bem'!$C$105:$C$116,0),MATCH(BH24,'Hilfstabellen_Mat&amp;Bem'!$C$105:$N$105,0))</f>
        <v>25.875</v>
      </c>
      <c r="BI27" s="1179">
        <f>INDEX('Hilfstabellen_Mat&amp;Bem'!$C$105:$N$116,MATCH(BI23,'Hilfstabellen_Mat&amp;Bem'!$C$105:$C$116,0),MATCH(BI24,'Hilfstabellen_Mat&amp;Bem'!$C$105:$N$105,0))</f>
        <v>27.427499999999998</v>
      </c>
      <c r="BJ27" s="1179">
        <f>INDEX('Hilfstabellen_Mat&amp;Bem'!$C$105:$N$116,MATCH(BJ23,'Hilfstabellen_Mat&amp;Bem'!$C$105:$C$116,0),MATCH(BJ24,'Hilfstabellen_Mat&amp;Bem'!$C$105:$N$105,0))</f>
        <v>29.497499999999999</v>
      </c>
      <c r="BK27" s="1179">
        <f>INDEX('Hilfstabellen_Mat&amp;Bem'!$C$105:$N$116,MATCH(BK23,'Hilfstabellen_Mat&amp;Bem'!$C$105:$C$116,0),MATCH(BK24,'Hilfstabellen_Mat&amp;Bem'!$C$105:$N$105,0))</f>
        <v>31.049999999999997</v>
      </c>
      <c r="BL27" s="1179">
        <f>INDEX('Hilfstabellen_Mat&amp;Bem'!$C$105:$N$116,MATCH(BL23,'Hilfstabellen_Mat&amp;Bem'!$C$105:$C$116,0),MATCH(BL24,'Hilfstabellen_Mat&amp;Bem'!$C$105:$N$105,0))</f>
        <v>15.237499999999999</v>
      </c>
      <c r="BM27" s="1179">
        <f>INDEX('Hilfstabellen_Mat&amp;Bem'!$C$105:$N$116,MATCH(BM23,'Hilfstabellen_Mat&amp;Bem'!$C$105:$C$116,0),MATCH(BM24,'Hilfstabellen_Mat&amp;Bem'!$C$105:$N$105,0))</f>
        <v>16.387499999999999</v>
      </c>
      <c r="BN27" s="1179">
        <f>INDEX('Hilfstabellen_Mat&amp;Bem'!$C$105:$N$116,MATCH(BN23,'Hilfstabellen_Mat&amp;Bem'!$C$105:$C$116,0),MATCH(BN24,'Hilfstabellen_Mat&amp;Bem'!$C$105:$N$105,0))</f>
        <v>17.25</v>
      </c>
      <c r="BO27" s="1179">
        <f>INDEX('Hilfstabellen_Mat&amp;Bem'!$C$105:$N$116,MATCH(BO23,'Hilfstabellen_Mat&amp;Bem'!$C$105:$C$116,0),MATCH(BO24,'Hilfstabellen_Mat&amp;Bem'!$C$105:$N$105,0))</f>
        <v>20.125</v>
      </c>
      <c r="BP27" s="1179">
        <f>INDEX('Hilfstabellen_Mat&amp;Bem'!$C$105:$N$116,MATCH(BP23,'Hilfstabellen_Mat&amp;Bem'!$C$105:$C$116,0),MATCH(BP24,'Hilfstabellen_Mat&amp;Bem'!$C$105:$N$105,0))</f>
        <v>23</v>
      </c>
      <c r="BQ27" s="1179">
        <f>INDEX('Hilfstabellen_Mat&amp;Bem'!$C$105:$N$116,MATCH(BQ23,'Hilfstabellen_Mat&amp;Bem'!$C$105:$C$116,0),MATCH(BQ24,'Hilfstabellen_Mat&amp;Bem'!$C$105:$N$105,0))</f>
        <v>25.875</v>
      </c>
      <c r="BR27" s="1179">
        <f>INDEX('Hilfstabellen_Mat&amp;Bem'!$C$105:$N$116,MATCH(BR23,'Hilfstabellen_Mat&amp;Bem'!$C$105:$C$116,0),MATCH(BR24,'Hilfstabellen_Mat&amp;Bem'!$C$105:$N$105,0))</f>
        <v>30.474999999999998</v>
      </c>
      <c r="BS27" s="1179">
        <f>INDEX('Hilfstabellen_Mat&amp;Bem'!$C$105:$N$116,MATCH(BS23,'Hilfstabellen_Mat&amp;Bem'!$C$105:$C$116,0),MATCH(BS24,'Hilfstabellen_Mat&amp;Bem'!$C$105:$N$105,0))</f>
        <v>32.774999999999999</v>
      </c>
      <c r="BT27" s="1179">
        <f>INDEX('Hilfstabellen_Mat&amp;Bem'!$C$105:$N$116,MATCH(BT23,'Hilfstabellen_Mat&amp;Bem'!$C$105:$C$116,0),MATCH(BT24,'Hilfstabellen_Mat&amp;Bem'!$C$105:$N$105,0))</f>
        <v>34.5</v>
      </c>
    </row>
    <row r="28" spans="1:72" ht="17">
      <c r="A28" s="936" t="s">
        <v>2144</v>
      </c>
      <c r="B28" s="548" t="s">
        <v>2197</v>
      </c>
      <c r="C28" s="1179">
        <f ca="1">C26*1.35/0.6</f>
        <v>29.946656249999997</v>
      </c>
      <c r="D28" s="1179">
        <f t="shared" ref="D28:L28" ca="1" si="5">D26*1.35/0.6</f>
        <v>34.733306250000012</v>
      </c>
      <c r="E28" s="1179">
        <f t="shared" ca="1" si="5"/>
        <v>38.434500000000007</v>
      </c>
      <c r="F28" s="1179">
        <f t="shared" ca="1" si="5"/>
        <v>53.880750000000006</v>
      </c>
      <c r="G28" s="1179">
        <f t="shared" ca="1" si="5"/>
        <v>72.144000000000005</v>
      </c>
      <c r="H28" s="1179">
        <f t="shared" ca="1" si="5"/>
        <v>94.041000000000011</v>
      </c>
      <c r="I28" s="1179">
        <f t="shared" ca="1" si="5"/>
        <v>121.905</v>
      </c>
      <c r="J28" s="1179">
        <f t="shared" ca="1" si="5"/>
        <v>32.360681250000006</v>
      </c>
      <c r="K28" s="1179">
        <f t="shared" ca="1" si="5"/>
        <v>34.063875000000003</v>
      </c>
      <c r="L28" s="1179">
        <f t="shared" ca="1" si="5"/>
        <v>39.930187500000002</v>
      </c>
      <c r="M28" s="1179">
        <f ca="1">M26*1.35/0.6</f>
        <v>45.850500000000004</v>
      </c>
      <c r="N28" s="1179">
        <f t="shared" ref="N28:AD28" ca="1" si="6">N26*1.35/0.6</f>
        <v>52.067812500000002</v>
      </c>
      <c r="O28" s="1179">
        <f t="shared" ca="1" si="6"/>
        <v>58.123125000000002</v>
      </c>
      <c r="P28" s="1179">
        <f t="shared" ca="1" si="6"/>
        <v>61.8967125</v>
      </c>
      <c r="Q28" s="1179">
        <f t="shared" ca="1" si="6"/>
        <v>66.875962500000014</v>
      </c>
      <c r="R28" s="1179">
        <f t="shared" ca="1" si="6"/>
        <v>70.719750000000005</v>
      </c>
      <c r="S28" s="1179">
        <f t="shared" ca="1" si="6"/>
        <v>32.152781250000004</v>
      </c>
      <c r="T28" s="1179">
        <f t="shared" ca="1" si="6"/>
        <v>36.561375000000019</v>
      </c>
      <c r="U28" s="1179">
        <f t="shared" ca="1" si="6"/>
        <v>42.843937500000017</v>
      </c>
      <c r="V28" s="1179">
        <f t="shared" ca="1" si="6"/>
        <v>49.180500000000016</v>
      </c>
      <c r="W28" s="1179">
        <f t="shared" ca="1" si="6"/>
        <v>55.81406250000002</v>
      </c>
      <c r="X28" s="1179">
        <f t="shared" ca="1" si="6"/>
        <v>62.285625000000017</v>
      </c>
      <c r="Y28" s="1179">
        <f t="shared" ca="1" si="6"/>
        <v>66.308962500000021</v>
      </c>
      <c r="Z28" s="1179">
        <f t="shared" ca="1" si="6"/>
        <v>71.621212500000027</v>
      </c>
      <c r="AA28" s="1179">
        <f t="shared" ca="1" si="6"/>
        <v>75.714750000000038</v>
      </c>
      <c r="AB28" s="1179">
        <f t="shared" ca="1" si="6"/>
        <v>33.950475000000004</v>
      </c>
      <c r="AC28" s="1179">
        <f t="shared" ca="1" si="6"/>
        <v>36.512775000000012</v>
      </c>
      <c r="AD28" s="1179">
        <f t="shared" ca="1" si="6"/>
        <v>45.029250000000005</v>
      </c>
      <c r="AE28" s="1179">
        <f t="shared" ref="AE28:BT28" ca="1" si="7">AE26*1.35/0.6</f>
        <v>51.894000000000013</v>
      </c>
      <c r="AF28" s="1179">
        <f t="shared" ca="1" si="7"/>
        <v>58.623750000000015</v>
      </c>
      <c r="AG28" s="1179">
        <f t="shared" ca="1" si="7"/>
        <v>65.407500000000013</v>
      </c>
      <c r="AH28" s="1179">
        <f t="shared" ca="1" si="7"/>
        <v>69.618150000000014</v>
      </c>
      <c r="AI28" s="1179">
        <f t="shared" ca="1" si="7"/>
        <v>75.18015000000004</v>
      </c>
      <c r="AJ28" s="1179">
        <f t="shared" ca="1" si="7"/>
        <v>79.461000000000013</v>
      </c>
      <c r="AK28" s="1179">
        <f t="shared" ca="1" si="7"/>
        <v>40.509225000000001</v>
      </c>
      <c r="AL28" s="1179">
        <f t="shared" ca="1" si="7"/>
        <v>43.566525000000006</v>
      </c>
      <c r="AM28" s="1179">
        <f t="shared" ca="1" si="7"/>
        <v>46.02150000000001</v>
      </c>
      <c r="AN28" s="1179">
        <f t="shared" ca="1" si="7"/>
        <v>61.794000000000004</v>
      </c>
      <c r="AO28" s="1179">
        <f t="shared" ca="1" si="7"/>
        <v>69.761250000000004</v>
      </c>
      <c r="AP28" s="1179">
        <f t="shared" ca="1" si="7"/>
        <v>78.052499999999995</v>
      </c>
      <c r="AQ28" s="1179">
        <f t="shared" ca="1" si="7"/>
        <v>83.021850000000001</v>
      </c>
      <c r="AR28" s="1179">
        <f t="shared" ca="1" si="7"/>
        <v>89.595450000000014</v>
      </c>
      <c r="AS28" s="1179">
        <f t="shared" ca="1" si="7"/>
        <v>94.635000000000019</v>
      </c>
      <c r="AT28" s="1179">
        <f t="shared" ca="1" si="7"/>
        <v>47.36610000000001</v>
      </c>
      <c r="AU28" s="1179">
        <f t="shared" ca="1" si="7"/>
        <v>51.094800000000014</v>
      </c>
      <c r="AV28" s="1179">
        <f t="shared" ca="1" si="7"/>
        <v>53.78400000000002</v>
      </c>
      <c r="AW28" s="1179">
        <f t="shared" ca="1" si="7"/>
        <v>62.937000000000012</v>
      </c>
      <c r="AX28" s="1179">
        <f t="shared" ca="1" si="7"/>
        <v>81.647999999999996</v>
      </c>
      <c r="AY28" s="1179">
        <f t="shared" ca="1" si="7"/>
        <v>91.260000000000019</v>
      </c>
      <c r="AZ28" s="1179">
        <f t="shared" ca="1" si="7"/>
        <v>97.021800000000013</v>
      </c>
      <c r="BA28" s="1179">
        <f t="shared" ca="1" si="7"/>
        <v>104.65200000000002</v>
      </c>
      <c r="BB28" s="1179">
        <f t="shared" ca="1" si="7"/>
        <v>110.48400000000004</v>
      </c>
      <c r="BC28" s="1179">
        <f t="shared" ca="1" si="7"/>
        <v>54.664199999999994</v>
      </c>
      <c r="BD28" s="1179">
        <f t="shared" ca="1" si="7"/>
        <v>58.7898</v>
      </c>
      <c r="BE28" s="1179">
        <f t="shared" ca="1" si="7"/>
        <v>61.884000000000007</v>
      </c>
      <c r="BF28" s="1179">
        <f t="shared" ca="1" si="7"/>
        <v>72.576000000000008</v>
      </c>
      <c r="BG28" s="1179">
        <f t="shared" ca="1" si="7"/>
        <v>83.160000000000011</v>
      </c>
      <c r="BH28" s="1179">
        <f t="shared" ca="1" si="7"/>
        <v>104.75999999999999</v>
      </c>
      <c r="BI28" s="1179">
        <f t="shared" ca="1" si="7"/>
        <v>111.33180000000002</v>
      </c>
      <c r="BJ28" s="1179">
        <f t="shared" ca="1" si="7"/>
        <v>120.34980000000003</v>
      </c>
      <c r="BK28" s="1179">
        <f t="shared" ca="1" si="7"/>
        <v>127.008</v>
      </c>
      <c r="BL28" s="1179">
        <f t="shared" ca="1" si="7"/>
        <v>63.607949999999995</v>
      </c>
      <c r="BM28" s="1179">
        <f t="shared" ca="1" si="7"/>
        <v>68.562449999999998</v>
      </c>
      <c r="BN28" s="1179">
        <f t="shared" ca="1" si="7"/>
        <v>72.171000000000006</v>
      </c>
      <c r="BO28" s="1179">
        <f t="shared" ca="1" si="7"/>
        <v>84.388500000000008</v>
      </c>
      <c r="BP28" s="1179">
        <f t="shared" ca="1" si="7"/>
        <v>96.660000000000011</v>
      </c>
      <c r="BQ28" s="1179">
        <f t="shared" ca="1" si="7"/>
        <v>109.22850000000003</v>
      </c>
      <c r="BR28" s="1179">
        <f t="shared" ca="1" si="7"/>
        <v>129.50550000000001</v>
      </c>
      <c r="BS28" s="1179">
        <f t="shared" ca="1" si="7"/>
        <v>139.5873</v>
      </c>
      <c r="BT28" s="1179">
        <f t="shared" ca="1" si="7"/>
        <v>147.58199999999999</v>
      </c>
    </row>
    <row r="29" spans="1:72" ht="17">
      <c r="A29" s="936" t="s">
        <v>2145</v>
      </c>
      <c r="B29" s="548" t="s">
        <v>2197</v>
      </c>
      <c r="C29" s="1179">
        <f t="shared" ref="C29:AH29" ca="1" si="8">(C26*1.35+C27*1.5)/k_mod</f>
        <v>37.6022578125</v>
      </c>
      <c r="D29" s="1179">
        <f t="shared" ca="1" si="8"/>
        <v>43.564120312500002</v>
      </c>
      <c r="E29" s="1179">
        <f t="shared" ca="1" si="8"/>
        <v>48.232125000000003</v>
      </c>
      <c r="F29" s="1179">
        <f t="shared" ca="1" si="8"/>
        <v>66.824624999999997</v>
      </c>
      <c r="G29" s="1179">
        <f t="shared" ca="1" si="8"/>
        <v>88.60799999999999</v>
      </c>
      <c r="H29" s="1179">
        <f t="shared" ca="1" si="8"/>
        <v>114.1948125</v>
      </c>
      <c r="I29" s="1179">
        <f t="shared" ca="1" si="8"/>
        <v>145.33499999999998</v>
      </c>
      <c r="J29" s="1179">
        <f t="shared" ca="1" si="8"/>
        <v>40.555589062500005</v>
      </c>
      <c r="K29" s="1179">
        <f t="shared" ca="1" si="8"/>
        <v>42.690093750000003</v>
      </c>
      <c r="L29" s="1179">
        <f t="shared" ca="1" si="8"/>
        <v>49.946859374999995</v>
      </c>
      <c r="M29" s="1179">
        <f t="shared" ca="1" si="8"/>
        <v>57.244124999999997</v>
      </c>
      <c r="N29" s="1179">
        <f t="shared" ca="1" si="8"/>
        <v>64.764140624999996</v>
      </c>
      <c r="O29" s="1179">
        <f t="shared" ca="1" si="8"/>
        <v>72.162656249999998</v>
      </c>
      <c r="P29" s="1179">
        <f t="shared" ca="1" si="8"/>
        <v>76.707065624999984</v>
      </c>
      <c r="Q29" s="1179">
        <f t="shared" ca="1" si="8"/>
        <v>82.727128124999993</v>
      </c>
      <c r="R29" s="1179">
        <f t="shared" ca="1" si="8"/>
        <v>87.324187500000008</v>
      </c>
      <c r="S29" s="1179">
        <f t="shared" ca="1" si="8"/>
        <v>40.399664062500001</v>
      </c>
      <c r="T29" s="1179">
        <f t="shared" ca="1" si="8"/>
        <v>45.856968750000007</v>
      </c>
      <c r="U29" s="1179">
        <f t="shared" ca="1" si="8"/>
        <v>53.64154687500001</v>
      </c>
      <c r="V29" s="1179">
        <f t="shared" ca="1" si="8"/>
        <v>61.466625000000015</v>
      </c>
      <c r="W29" s="1179">
        <f t="shared" ca="1" si="8"/>
        <v>69.514453125000003</v>
      </c>
      <c r="X29" s="1179">
        <f t="shared" ca="1" si="8"/>
        <v>77.440781250000001</v>
      </c>
      <c r="Y29" s="1179">
        <f t="shared" ca="1" si="8"/>
        <v>82.301878125000002</v>
      </c>
      <c r="Z29" s="1179">
        <f t="shared" ca="1" si="8"/>
        <v>88.744190625000002</v>
      </c>
      <c r="AA29" s="1179">
        <f t="shared" ca="1" si="8"/>
        <v>93.657937500000017</v>
      </c>
      <c r="AB29" s="1179">
        <f t="shared" ca="1" si="8"/>
        <v>42.60504375</v>
      </c>
      <c r="AC29" s="1179">
        <f t="shared" ca="1" si="8"/>
        <v>45.820518749999998</v>
      </c>
      <c r="AD29" s="1179">
        <f t="shared" ca="1" si="8"/>
        <v>56.412562499999993</v>
      </c>
      <c r="AE29" s="1179">
        <f t="shared" ca="1" si="8"/>
        <v>64.795500000000004</v>
      </c>
      <c r="AF29" s="1179">
        <f t="shared" ca="1" si="8"/>
        <v>73.077187500000008</v>
      </c>
      <c r="AG29" s="1179">
        <f t="shared" ca="1" si="8"/>
        <v>81.39937500000002</v>
      </c>
      <c r="AH29" s="1179">
        <f t="shared" ca="1" si="8"/>
        <v>86.497987499999994</v>
      </c>
      <c r="AI29" s="1179">
        <f t="shared" ref="AI29:BN29" ca="1" si="9">(AI26*1.35+AI27*1.5)/k_mod</f>
        <v>93.256987500000022</v>
      </c>
      <c r="AJ29" s="1179">
        <f t="shared" ca="1" si="9"/>
        <v>98.408249999999995</v>
      </c>
      <c r="AK29" s="1179">
        <f t="shared" ca="1" si="9"/>
        <v>50.381137499999987</v>
      </c>
      <c r="AL29" s="1179">
        <f t="shared" ca="1" si="9"/>
        <v>54.183487499999998</v>
      </c>
      <c r="AM29" s="1179">
        <f t="shared" ca="1" si="9"/>
        <v>57.156749999999995</v>
      </c>
      <c r="AN29" s="1179">
        <f t="shared" ca="1" si="9"/>
        <v>76.532999999999987</v>
      </c>
      <c r="AO29" s="1179">
        <f t="shared" ca="1" si="9"/>
        <v>86.281874999999985</v>
      </c>
      <c r="AP29" s="1179">
        <f t="shared" ca="1" si="9"/>
        <v>96.273749999999978</v>
      </c>
      <c r="AQ29" s="1179">
        <f t="shared" ca="1" si="9"/>
        <v>102.26482499999999</v>
      </c>
      <c r="AR29" s="1179">
        <f t="shared" ca="1" si="9"/>
        <v>110.213775</v>
      </c>
      <c r="AS29" s="1179">
        <f t="shared" ca="1" si="9"/>
        <v>116.25749999999999</v>
      </c>
      <c r="AT29" s="1179">
        <f t="shared" ca="1" si="9"/>
        <v>58.380825000000002</v>
      </c>
      <c r="AU29" s="1179">
        <f t="shared" ca="1" si="9"/>
        <v>62.902350000000006</v>
      </c>
      <c r="AV29" s="1179">
        <f t="shared" ca="1" si="9"/>
        <v>66.213000000000008</v>
      </c>
      <c r="AW29" s="1179">
        <f t="shared" ca="1" si="9"/>
        <v>77.390250000000009</v>
      </c>
      <c r="AX29" s="1179">
        <f t="shared" ca="1" si="9"/>
        <v>100.04849999999999</v>
      </c>
      <c r="AY29" s="1179">
        <f t="shared" ca="1" si="9"/>
        <v>111.57</v>
      </c>
      <c r="AZ29" s="1179">
        <f t="shared" ca="1" si="9"/>
        <v>118.47885000000001</v>
      </c>
      <c r="BA29" s="1179">
        <f t="shared" ca="1" si="9"/>
        <v>127.6515</v>
      </c>
      <c r="BB29" s="1179">
        <f t="shared" ca="1" si="9"/>
        <v>134.613</v>
      </c>
      <c r="BC29" s="1179">
        <f t="shared" ca="1" si="9"/>
        <v>66.71143124999999</v>
      </c>
      <c r="BD29" s="1179">
        <f t="shared" ca="1" si="9"/>
        <v>71.746256249999988</v>
      </c>
      <c r="BE29" s="1179">
        <f t="shared" ca="1" si="9"/>
        <v>75.522374999999997</v>
      </c>
      <c r="BF29" s="1179">
        <f t="shared" ca="1" si="9"/>
        <v>88.392937499999988</v>
      </c>
      <c r="BG29" s="1179">
        <f t="shared" ca="1" si="9"/>
        <v>101.18249999999999</v>
      </c>
      <c r="BH29" s="1179">
        <f t="shared" ca="1" si="9"/>
        <v>127.08562499999999</v>
      </c>
      <c r="BI29" s="1179">
        <f t="shared" ca="1" si="9"/>
        <v>134.92541249999999</v>
      </c>
      <c r="BJ29" s="1179">
        <f t="shared" ca="1" si="9"/>
        <v>145.57016249999998</v>
      </c>
      <c r="BK29" s="1179">
        <f t="shared" ca="1" si="9"/>
        <v>153.47474999999997</v>
      </c>
      <c r="BL29" s="1179">
        <f t="shared" ca="1" si="9"/>
        <v>76.276274999999984</v>
      </c>
      <c r="BM29" s="1179">
        <f t="shared" ca="1" si="9"/>
        <v>82.148399999999981</v>
      </c>
      <c r="BN29" s="1179">
        <f t="shared" ca="1" si="9"/>
        <v>86.472000000000008</v>
      </c>
      <c r="BO29" s="1179">
        <f t="shared" ref="BO29:BT29" ca="1" si="10">(BO26*1.35+BO27*1.5)/k_mod</f>
        <v>101.02575000000002</v>
      </c>
      <c r="BP29" s="1179">
        <f t="shared" ca="1" si="10"/>
        <v>115.62</v>
      </c>
      <c r="BQ29" s="1179">
        <f t="shared" ca="1" si="10"/>
        <v>130.43700000000001</v>
      </c>
      <c r="BR29" s="1179">
        <f t="shared" ca="1" si="10"/>
        <v>154.26974999999999</v>
      </c>
      <c r="BS29" s="1179">
        <f t="shared" ca="1" si="10"/>
        <v>166.14359999999996</v>
      </c>
      <c r="BT29" s="1179">
        <f t="shared" ca="1" si="10"/>
        <v>175.37399999999997</v>
      </c>
    </row>
    <row r="30" spans="1:72" ht="17">
      <c r="A30" s="936" t="s">
        <v>2146</v>
      </c>
      <c r="B30" s="548" t="s">
        <v>423</v>
      </c>
      <c r="C30">
        <f t="shared" ref="C30:AH30" ca="1" si="11">IF(C28=MAX(C28:C29),0.6,k_mod)</f>
        <v>0.8</v>
      </c>
      <c r="D30">
        <f t="shared" ca="1" si="11"/>
        <v>0.8</v>
      </c>
      <c r="E30">
        <f t="shared" ca="1" si="11"/>
        <v>0.8</v>
      </c>
      <c r="F30">
        <f t="shared" ca="1" si="11"/>
        <v>0.8</v>
      </c>
      <c r="G30">
        <f t="shared" ca="1" si="11"/>
        <v>0.8</v>
      </c>
      <c r="H30">
        <f t="shared" ca="1" si="11"/>
        <v>0.8</v>
      </c>
      <c r="I30">
        <f t="shared" ca="1" si="11"/>
        <v>0.8</v>
      </c>
      <c r="J30">
        <f t="shared" ca="1" si="11"/>
        <v>0.8</v>
      </c>
      <c r="K30">
        <f t="shared" ca="1" si="11"/>
        <v>0.8</v>
      </c>
      <c r="L30">
        <f t="shared" ca="1" si="11"/>
        <v>0.8</v>
      </c>
      <c r="M30">
        <f t="shared" ca="1" si="11"/>
        <v>0.8</v>
      </c>
      <c r="N30">
        <f t="shared" ca="1" si="11"/>
        <v>0.8</v>
      </c>
      <c r="O30">
        <f t="shared" ca="1" si="11"/>
        <v>0.8</v>
      </c>
      <c r="P30">
        <f t="shared" ca="1" si="11"/>
        <v>0.8</v>
      </c>
      <c r="Q30">
        <f t="shared" ca="1" si="11"/>
        <v>0.8</v>
      </c>
      <c r="R30">
        <f t="shared" ca="1" si="11"/>
        <v>0.8</v>
      </c>
      <c r="S30">
        <f t="shared" ca="1" si="11"/>
        <v>0.8</v>
      </c>
      <c r="T30">
        <f t="shared" ca="1" si="11"/>
        <v>0.8</v>
      </c>
      <c r="U30">
        <f t="shared" ca="1" si="11"/>
        <v>0.8</v>
      </c>
      <c r="V30">
        <f t="shared" ca="1" si="11"/>
        <v>0.8</v>
      </c>
      <c r="W30">
        <f t="shared" ca="1" si="11"/>
        <v>0.8</v>
      </c>
      <c r="X30">
        <f t="shared" ca="1" si="11"/>
        <v>0.8</v>
      </c>
      <c r="Y30">
        <f t="shared" ca="1" si="11"/>
        <v>0.8</v>
      </c>
      <c r="Z30">
        <f t="shared" ca="1" si="11"/>
        <v>0.8</v>
      </c>
      <c r="AA30">
        <f t="shared" ca="1" si="11"/>
        <v>0.8</v>
      </c>
      <c r="AB30">
        <f t="shared" ca="1" si="11"/>
        <v>0.8</v>
      </c>
      <c r="AC30">
        <f t="shared" ca="1" si="11"/>
        <v>0.8</v>
      </c>
      <c r="AD30">
        <f t="shared" ca="1" si="11"/>
        <v>0.8</v>
      </c>
      <c r="AE30">
        <f t="shared" ca="1" si="11"/>
        <v>0.8</v>
      </c>
      <c r="AF30">
        <f t="shared" ca="1" si="11"/>
        <v>0.8</v>
      </c>
      <c r="AG30">
        <f t="shared" ca="1" si="11"/>
        <v>0.8</v>
      </c>
      <c r="AH30">
        <f t="shared" ca="1" si="11"/>
        <v>0.8</v>
      </c>
      <c r="AI30">
        <f t="shared" ref="AI30:BN30" ca="1" si="12">IF(AI28=MAX(AI28:AI29),0.6,k_mod)</f>
        <v>0.8</v>
      </c>
      <c r="AJ30">
        <f t="shared" ca="1" si="12"/>
        <v>0.8</v>
      </c>
      <c r="AK30">
        <f t="shared" ca="1" si="12"/>
        <v>0.8</v>
      </c>
      <c r="AL30">
        <f t="shared" ca="1" si="12"/>
        <v>0.8</v>
      </c>
      <c r="AM30">
        <f t="shared" ca="1" si="12"/>
        <v>0.8</v>
      </c>
      <c r="AN30">
        <f t="shared" ca="1" si="12"/>
        <v>0.8</v>
      </c>
      <c r="AO30">
        <f t="shared" ca="1" si="12"/>
        <v>0.8</v>
      </c>
      <c r="AP30">
        <f t="shared" ca="1" si="12"/>
        <v>0.8</v>
      </c>
      <c r="AQ30">
        <f t="shared" ca="1" si="12"/>
        <v>0.8</v>
      </c>
      <c r="AR30">
        <f t="shared" ca="1" si="12"/>
        <v>0.8</v>
      </c>
      <c r="AS30">
        <f t="shared" ca="1" si="12"/>
        <v>0.8</v>
      </c>
      <c r="AT30">
        <f t="shared" ca="1" si="12"/>
        <v>0.8</v>
      </c>
      <c r="AU30">
        <f t="shared" ca="1" si="12"/>
        <v>0.8</v>
      </c>
      <c r="AV30">
        <f t="shared" ca="1" si="12"/>
        <v>0.8</v>
      </c>
      <c r="AW30">
        <f t="shared" ca="1" si="12"/>
        <v>0.8</v>
      </c>
      <c r="AX30">
        <f t="shared" ca="1" si="12"/>
        <v>0.8</v>
      </c>
      <c r="AY30">
        <f t="shared" ca="1" si="12"/>
        <v>0.8</v>
      </c>
      <c r="AZ30">
        <f t="shared" ca="1" si="12"/>
        <v>0.8</v>
      </c>
      <c r="BA30">
        <f t="shared" ca="1" si="12"/>
        <v>0.8</v>
      </c>
      <c r="BB30">
        <f t="shared" ca="1" si="12"/>
        <v>0.8</v>
      </c>
      <c r="BC30">
        <f t="shared" ca="1" si="12"/>
        <v>0.8</v>
      </c>
      <c r="BD30">
        <f t="shared" ca="1" si="12"/>
        <v>0.8</v>
      </c>
      <c r="BE30">
        <f t="shared" ca="1" si="12"/>
        <v>0.8</v>
      </c>
      <c r="BF30">
        <f t="shared" ca="1" si="12"/>
        <v>0.8</v>
      </c>
      <c r="BG30">
        <f t="shared" ca="1" si="12"/>
        <v>0.8</v>
      </c>
      <c r="BH30">
        <f t="shared" ca="1" si="12"/>
        <v>0.8</v>
      </c>
      <c r="BI30">
        <f t="shared" ca="1" si="12"/>
        <v>0.8</v>
      </c>
      <c r="BJ30">
        <f t="shared" ca="1" si="12"/>
        <v>0.8</v>
      </c>
      <c r="BK30">
        <f t="shared" ca="1" si="12"/>
        <v>0.8</v>
      </c>
      <c r="BL30">
        <f t="shared" ca="1" si="12"/>
        <v>0.8</v>
      </c>
      <c r="BM30">
        <f t="shared" ca="1" si="12"/>
        <v>0.8</v>
      </c>
      <c r="BN30">
        <f t="shared" ca="1" si="12"/>
        <v>0.8</v>
      </c>
      <c r="BO30">
        <f t="shared" ref="BO30:BT30" ca="1" si="13">IF(BO28=MAX(BO28:BO29),0.6,k_mod)</f>
        <v>0.8</v>
      </c>
      <c r="BP30">
        <f t="shared" ca="1" si="13"/>
        <v>0.8</v>
      </c>
      <c r="BQ30">
        <f t="shared" ca="1" si="13"/>
        <v>0.8</v>
      </c>
      <c r="BR30">
        <f t="shared" ca="1" si="13"/>
        <v>0.8</v>
      </c>
      <c r="BS30">
        <f t="shared" ca="1" si="13"/>
        <v>0.8</v>
      </c>
      <c r="BT30">
        <f t="shared" ca="1" si="13"/>
        <v>0.8</v>
      </c>
    </row>
    <row r="31" spans="1:72">
      <c r="A31" s="936"/>
    </row>
    <row r="32" spans="1:72">
      <c r="A32" t="s">
        <v>1813</v>
      </c>
      <c r="B32" s="548" t="s">
        <v>883</v>
      </c>
      <c r="C32" s="553">
        <f>Datenbank!C10</f>
        <v>2.65</v>
      </c>
      <c r="D32" s="553">
        <f>Datenbank!D10</f>
        <v>2.85</v>
      </c>
      <c r="E32" s="553">
        <f>Datenbank!E10</f>
        <v>3</v>
      </c>
      <c r="F32" s="553">
        <f>Datenbank!F10</f>
        <v>3.5</v>
      </c>
      <c r="G32" s="553">
        <f>Datenbank!G10</f>
        <v>4</v>
      </c>
      <c r="H32" s="553">
        <f>Datenbank!H10</f>
        <v>4.5</v>
      </c>
      <c r="I32" s="1183">
        <f>Datenbank!I10</f>
        <v>5</v>
      </c>
      <c r="J32" s="553">
        <f>Datenbank!J10</f>
        <v>2.65</v>
      </c>
      <c r="K32" s="553">
        <f>Datenbank!K10</f>
        <v>2.65</v>
      </c>
      <c r="L32" s="553">
        <f>Datenbank!L10</f>
        <v>2.65</v>
      </c>
      <c r="M32" s="553">
        <f>Datenbank!M10</f>
        <v>2.65</v>
      </c>
      <c r="N32" s="553">
        <f>Datenbank!N10</f>
        <v>2.65</v>
      </c>
      <c r="O32" s="553">
        <f>Datenbank!O10</f>
        <v>2.65</v>
      </c>
      <c r="P32" s="553">
        <f>Datenbank!P10</f>
        <v>2.65</v>
      </c>
      <c r="Q32" s="553">
        <f>Datenbank!Q10</f>
        <v>2.65</v>
      </c>
      <c r="R32" s="1183">
        <f>Datenbank!R10</f>
        <v>2.65</v>
      </c>
      <c r="S32" s="553">
        <f>Datenbank!S10</f>
        <v>2.85</v>
      </c>
      <c r="T32" s="553">
        <f>Datenbank!T10</f>
        <v>2.85</v>
      </c>
      <c r="U32" s="553">
        <f>Datenbank!U10</f>
        <v>2.85</v>
      </c>
      <c r="V32" s="553">
        <f>Datenbank!V10</f>
        <v>2.85</v>
      </c>
      <c r="W32" s="553">
        <f>Datenbank!W10</f>
        <v>2.85</v>
      </c>
      <c r="X32" s="553">
        <f>Datenbank!X10</f>
        <v>2.85</v>
      </c>
      <c r="Y32" s="553">
        <f>Datenbank!Y10</f>
        <v>2.85</v>
      </c>
      <c r="Z32" s="553">
        <f>Datenbank!Z10</f>
        <v>2.85</v>
      </c>
      <c r="AA32" s="1183">
        <f>Datenbank!AA10</f>
        <v>2.85</v>
      </c>
      <c r="AB32" s="553">
        <f>Datenbank!AB10</f>
        <v>3</v>
      </c>
      <c r="AC32" s="553">
        <f>Datenbank!AC10</f>
        <v>3</v>
      </c>
      <c r="AD32" s="553">
        <f>Datenbank!AD10</f>
        <v>3</v>
      </c>
      <c r="AE32" s="553">
        <f>Datenbank!AE10</f>
        <v>3</v>
      </c>
      <c r="AF32" s="553">
        <f>Datenbank!AF10</f>
        <v>3</v>
      </c>
      <c r="AG32" s="553">
        <f>Datenbank!AG10</f>
        <v>3</v>
      </c>
      <c r="AH32" s="553">
        <f>Datenbank!AH10</f>
        <v>3</v>
      </c>
      <c r="AI32" s="553">
        <f>Datenbank!AI10</f>
        <v>3</v>
      </c>
      <c r="AJ32" s="1183">
        <f>Datenbank!AJ10</f>
        <v>3</v>
      </c>
      <c r="AK32" s="553">
        <f>Datenbank!AK10</f>
        <v>3.5</v>
      </c>
      <c r="AL32" s="553">
        <f>Datenbank!AL10</f>
        <v>3.5</v>
      </c>
      <c r="AM32" s="553">
        <f>Datenbank!AM10</f>
        <v>3.5</v>
      </c>
      <c r="AN32" s="553">
        <f>Datenbank!AN10</f>
        <v>3.5</v>
      </c>
      <c r="AO32" s="553">
        <f>Datenbank!AO10</f>
        <v>3.5</v>
      </c>
      <c r="AP32" s="553">
        <f>Datenbank!AP10</f>
        <v>3.5</v>
      </c>
      <c r="AQ32" s="553">
        <f>Datenbank!AQ10</f>
        <v>3.5</v>
      </c>
      <c r="AR32" s="553">
        <f>Datenbank!AR10</f>
        <v>3.5</v>
      </c>
      <c r="AS32" s="1183">
        <f>Datenbank!AS10</f>
        <v>3.5</v>
      </c>
      <c r="AT32" s="553">
        <f>Datenbank!AT10</f>
        <v>4</v>
      </c>
      <c r="AU32" s="553">
        <f>Datenbank!AU10</f>
        <v>4</v>
      </c>
      <c r="AV32" s="553">
        <f>Datenbank!AV10</f>
        <v>4</v>
      </c>
      <c r="AW32" s="553">
        <f>Datenbank!AW10</f>
        <v>4</v>
      </c>
      <c r="AX32" s="553">
        <f>Datenbank!AX10</f>
        <v>4</v>
      </c>
      <c r="AY32" s="553">
        <f>Datenbank!AY10</f>
        <v>4</v>
      </c>
      <c r="AZ32" s="553">
        <f>Datenbank!AZ10</f>
        <v>4</v>
      </c>
      <c r="BA32" s="553">
        <f>Datenbank!BA10</f>
        <v>4</v>
      </c>
      <c r="BB32" s="1183">
        <f>Datenbank!BB10</f>
        <v>4</v>
      </c>
      <c r="BC32" s="553">
        <f>Datenbank!BC10</f>
        <v>4.5</v>
      </c>
      <c r="BD32" s="553">
        <f>Datenbank!BD10</f>
        <v>4.5</v>
      </c>
      <c r="BE32" s="553">
        <f>Datenbank!BE10</f>
        <v>4.5</v>
      </c>
      <c r="BF32" s="553">
        <f>Datenbank!BF10</f>
        <v>4.5</v>
      </c>
      <c r="BG32" s="553">
        <f>Datenbank!BG10</f>
        <v>4.5</v>
      </c>
      <c r="BH32" s="553">
        <f>Datenbank!BH10</f>
        <v>4.5</v>
      </c>
      <c r="BI32" s="553">
        <f>Datenbank!BI10</f>
        <v>4.5</v>
      </c>
      <c r="BJ32" s="553">
        <f>Datenbank!BJ10</f>
        <v>4.5</v>
      </c>
      <c r="BK32" s="1183">
        <f>Datenbank!BK10</f>
        <v>4.5</v>
      </c>
      <c r="BL32" s="553">
        <f>Datenbank!BL10</f>
        <v>5</v>
      </c>
      <c r="BM32" s="553">
        <f>Datenbank!BM10</f>
        <v>5</v>
      </c>
      <c r="BN32" s="553">
        <f>Datenbank!BN10</f>
        <v>5</v>
      </c>
      <c r="BO32" s="553">
        <f>Datenbank!BO10</f>
        <v>5</v>
      </c>
      <c r="BP32" s="553">
        <f>Datenbank!BP10</f>
        <v>5</v>
      </c>
      <c r="BQ32" s="553">
        <f>Datenbank!BQ10</f>
        <v>5</v>
      </c>
      <c r="BR32" s="553">
        <f>Datenbank!BR10</f>
        <v>5</v>
      </c>
      <c r="BS32" s="553">
        <f>Datenbank!BS10</f>
        <v>5</v>
      </c>
      <c r="BT32" s="553">
        <f>Datenbank!BT10</f>
        <v>5</v>
      </c>
    </row>
    <row r="33" spans="1:72">
      <c r="A33" t="s">
        <v>2198</v>
      </c>
      <c r="B33" s="548" t="s">
        <v>883</v>
      </c>
      <c r="C33" s="553">
        <f>Datenbank!C15</f>
        <v>2.65</v>
      </c>
      <c r="D33" s="553">
        <f>Datenbank!D15</f>
        <v>2.85</v>
      </c>
      <c r="E33" s="553">
        <f>Datenbank!E15</f>
        <v>3</v>
      </c>
      <c r="F33" s="553">
        <f>Datenbank!F15</f>
        <v>3.5</v>
      </c>
      <c r="G33" s="553">
        <f>Datenbank!G15</f>
        <v>4</v>
      </c>
      <c r="H33" s="553">
        <f>Datenbank!H15</f>
        <v>4.5</v>
      </c>
      <c r="I33" s="1183">
        <f>Datenbank!I15</f>
        <v>5</v>
      </c>
      <c r="J33" s="553">
        <f>Datenbank!J15</f>
        <v>2.85</v>
      </c>
      <c r="K33" s="553">
        <f>Datenbank!K15</f>
        <v>3</v>
      </c>
      <c r="L33" s="553">
        <f>Datenbank!L15</f>
        <v>3.5</v>
      </c>
      <c r="M33" s="553">
        <f>Datenbank!M15</f>
        <v>4</v>
      </c>
      <c r="N33" s="553">
        <f>Datenbank!N15</f>
        <v>4.5</v>
      </c>
      <c r="O33" s="553">
        <f>Datenbank!O15</f>
        <v>5</v>
      </c>
      <c r="P33" s="553">
        <f>Datenbank!P15</f>
        <v>5.3</v>
      </c>
      <c r="Q33" s="553">
        <f>Datenbank!Q15</f>
        <v>5.7</v>
      </c>
      <c r="R33" s="1183">
        <f>Datenbank!R15</f>
        <v>6</v>
      </c>
      <c r="S33" s="553">
        <f>Datenbank!S15</f>
        <v>2.65</v>
      </c>
      <c r="T33" s="553">
        <f>Datenbank!T15</f>
        <v>3</v>
      </c>
      <c r="U33" s="553">
        <f>Datenbank!U15</f>
        <v>3.5</v>
      </c>
      <c r="V33" s="553">
        <f>Datenbank!V15</f>
        <v>4</v>
      </c>
      <c r="W33" s="553">
        <f>Datenbank!W15</f>
        <v>4.5</v>
      </c>
      <c r="X33" s="553">
        <f>Datenbank!X15</f>
        <v>5</v>
      </c>
      <c r="Y33" s="553">
        <f>Datenbank!Y15</f>
        <v>5.3</v>
      </c>
      <c r="Z33" s="553">
        <f>Datenbank!Z15</f>
        <v>5.7</v>
      </c>
      <c r="AA33" s="1183">
        <f>Datenbank!AA15</f>
        <v>6</v>
      </c>
      <c r="AB33" s="553">
        <f>Datenbank!AB15</f>
        <v>2.65</v>
      </c>
      <c r="AC33" s="553">
        <f>Datenbank!AC15</f>
        <v>2.85</v>
      </c>
      <c r="AD33" s="553">
        <f>Datenbank!AD15</f>
        <v>3.5</v>
      </c>
      <c r="AE33" s="553">
        <f>Datenbank!AE15</f>
        <v>4</v>
      </c>
      <c r="AF33" s="553">
        <f>Datenbank!AF15</f>
        <v>4.5</v>
      </c>
      <c r="AG33" s="553">
        <f>Datenbank!AG15</f>
        <v>5</v>
      </c>
      <c r="AH33" s="553">
        <f>Datenbank!AH15</f>
        <v>5.3</v>
      </c>
      <c r="AI33" s="553">
        <f>Datenbank!AI15</f>
        <v>5.7</v>
      </c>
      <c r="AJ33" s="1183">
        <f>Datenbank!AJ15</f>
        <v>6</v>
      </c>
      <c r="AK33" s="553">
        <f>Datenbank!AK15</f>
        <v>2.65</v>
      </c>
      <c r="AL33" s="553">
        <f>Datenbank!AL15</f>
        <v>2.85</v>
      </c>
      <c r="AM33" s="553">
        <f>Datenbank!AM15</f>
        <v>3</v>
      </c>
      <c r="AN33" s="553">
        <f>Datenbank!AN15</f>
        <v>4</v>
      </c>
      <c r="AO33" s="553">
        <f>Datenbank!AO15</f>
        <v>4.5</v>
      </c>
      <c r="AP33" s="553">
        <f>Datenbank!AP15</f>
        <v>5</v>
      </c>
      <c r="AQ33" s="553">
        <f>Datenbank!AQ15</f>
        <v>5.3</v>
      </c>
      <c r="AR33" s="553">
        <f>Datenbank!AR15</f>
        <v>5.7</v>
      </c>
      <c r="AS33" s="1183">
        <f>Datenbank!AS15</f>
        <v>6</v>
      </c>
      <c r="AT33" s="553">
        <f>Datenbank!AT15</f>
        <v>2.65</v>
      </c>
      <c r="AU33" s="553">
        <f>Datenbank!AU15</f>
        <v>2.85</v>
      </c>
      <c r="AV33" s="553">
        <f>Datenbank!AV15</f>
        <v>3</v>
      </c>
      <c r="AW33" s="553">
        <f>Datenbank!AW15</f>
        <v>3.5</v>
      </c>
      <c r="AX33" s="553">
        <f>Datenbank!AX15</f>
        <v>4.5</v>
      </c>
      <c r="AY33" s="553">
        <f>Datenbank!AY15</f>
        <v>5</v>
      </c>
      <c r="AZ33" s="553">
        <f>Datenbank!AZ15</f>
        <v>5.3</v>
      </c>
      <c r="BA33" s="553">
        <f>Datenbank!BA15</f>
        <v>5.7</v>
      </c>
      <c r="BB33" s="1183">
        <f>Datenbank!BB15</f>
        <v>6</v>
      </c>
      <c r="BC33" s="553">
        <f>Datenbank!BC15</f>
        <v>2.65</v>
      </c>
      <c r="BD33" s="553">
        <f>Datenbank!BD15</f>
        <v>2.85</v>
      </c>
      <c r="BE33" s="553">
        <f>Datenbank!BE15</f>
        <v>3</v>
      </c>
      <c r="BF33" s="553">
        <f>Datenbank!BF15</f>
        <v>3.5</v>
      </c>
      <c r="BG33" s="553">
        <f>Datenbank!BG15</f>
        <v>4</v>
      </c>
      <c r="BH33" s="553">
        <f>Datenbank!BH15</f>
        <v>5</v>
      </c>
      <c r="BI33" s="553">
        <f>Datenbank!BI15</f>
        <v>5.3</v>
      </c>
      <c r="BJ33" s="553">
        <f>Datenbank!BJ15</f>
        <v>5.7</v>
      </c>
      <c r="BK33" s="1183">
        <f>Datenbank!BK15</f>
        <v>6</v>
      </c>
      <c r="BL33" s="553">
        <f>Datenbank!BL15</f>
        <v>2.65</v>
      </c>
      <c r="BM33" s="553">
        <f>Datenbank!BM15</f>
        <v>2.85</v>
      </c>
      <c r="BN33" s="553">
        <f>Datenbank!BN15</f>
        <v>3</v>
      </c>
      <c r="BO33" s="553">
        <f>Datenbank!BO15</f>
        <v>3.5</v>
      </c>
      <c r="BP33" s="553">
        <f>Datenbank!BP15</f>
        <v>4</v>
      </c>
      <c r="BQ33" s="553">
        <f>Datenbank!BQ15</f>
        <v>4.5</v>
      </c>
      <c r="BR33" s="553">
        <f>Datenbank!BR15</f>
        <v>5.3</v>
      </c>
      <c r="BS33" s="553">
        <f>Datenbank!BS15</f>
        <v>5.7</v>
      </c>
      <c r="BT33" s="553">
        <f>Datenbank!BT15</f>
        <v>6</v>
      </c>
    </row>
    <row r="34" spans="1:72" ht="17">
      <c r="A34" s="936" t="s">
        <v>2143</v>
      </c>
      <c r="B34" s="548" t="s">
        <v>2197</v>
      </c>
      <c r="C34" s="787">
        <f ca="1">MAX(C28:C29)*C30</f>
        <v>30.08180625</v>
      </c>
      <c r="D34" s="787">
        <f t="shared" ref="D34:BO34" ca="1" si="14">MAX(D28:D29)*D30</f>
        <v>34.851296250000004</v>
      </c>
      <c r="E34" s="787">
        <f t="shared" ca="1" si="14"/>
        <v>38.585700000000003</v>
      </c>
      <c r="F34" s="787">
        <f t="shared" ca="1" si="14"/>
        <v>53.459699999999998</v>
      </c>
      <c r="G34" s="787">
        <f t="shared" ca="1" si="14"/>
        <v>70.886399999999995</v>
      </c>
      <c r="H34" s="787">
        <f t="shared" ca="1" si="14"/>
        <v>91.355850000000004</v>
      </c>
      <c r="I34" s="1184">
        <f t="shared" ca="1" si="14"/>
        <v>116.26799999999999</v>
      </c>
      <c r="J34" s="787">
        <f t="shared" ca="1" si="14"/>
        <v>32.444471250000007</v>
      </c>
      <c r="K34" s="787">
        <f t="shared" ca="1" si="14"/>
        <v>34.152075000000004</v>
      </c>
      <c r="L34" s="787">
        <f t="shared" ca="1" si="14"/>
        <v>39.957487499999999</v>
      </c>
      <c r="M34" s="787">
        <f t="shared" ca="1" si="14"/>
        <v>45.795299999999997</v>
      </c>
      <c r="N34" s="787">
        <f t="shared" ca="1" si="14"/>
        <v>51.8113125</v>
      </c>
      <c r="O34" s="787">
        <f t="shared" ca="1" si="14"/>
        <v>57.730125000000001</v>
      </c>
      <c r="P34" s="787">
        <f t="shared" ca="1" si="14"/>
        <v>61.365652499999989</v>
      </c>
      <c r="Q34" s="787">
        <f t="shared" ca="1" si="14"/>
        <v>66.1817025</v>
      </c>
      <c r="R34" s="1184">
        <f t="shared" ca="1" si="14"/>
        <v>69.859350000000006</v>
      </c>
      <c r="S34" s="787">
        <f t="shared" ca="1" si="14"/>
        <v>32.319731250000004</v>
      </c>
      <c r="T34" s="787">
        <f t="shared" ca="1" si="14"/>
        <v>36.685575000000007</v>
      </c>
      <c r="U34" s="787">
        <f t="shared" ca="1" si="14"/>
        <v>42.913237500000008</v>
      </c>
      <c r="V34" s="787">
        <f t="shared" ca="1" si="14"/>
        <v>49.173300000000012</v>
      </c>
      <c r="W34" s="787">
        <f t="shared" ca="1" si="14"/>
        <v>55.611562500000005</v>
      </c>
      <c r="X34" s="787">
        <f t="shared" ca="1" si="14"/>
        <v>61.952625000000005</v>
      </c>
      <c r="Y34" s="787">
        <f t="shared" ca="1" si="14"/>
        <v>65.841502500000004</v>
      </c>
      <c r="Z34" s="787">
        <f t="shared" ca="1" si="14"/>
        <v>70.99535250000001</v>
      </c>
      <c r="AA34" s="1184">
        <f t="shared" ca="1" si="14"/>
        <v>74.926350000000014</v>
      </c>
      <c r="AB34" s="787">
        <f t="shared" ca="1" si="14"/>
        <v>34.084035</v>
      </c>
      <c r="AC34" s="787">
        <f t="shared" ca="1" si="14"/>
        <v>36.656415000000003</v>
      </c>
      <c r="AD34" s="787">
        <f t="shared" ca="1" si="14"/>
        <v>45.130049999999997</v>
      </c>
      <c r="AE34" s="787">
        <f t="shared" ca="1" si="14"/>
        <v>51.836400000000005</v>
      </c>
      <c r="AF34" s="787">
        <f t="shared" ca="1" si="14"/>
        <v>58.461750000000009</v>
      </c>
      <c r="AG34" s="787">
        <f t="shared" ca="1" si="14"/>
        <v>65.119500000000016</v>
      </c>
      <c r="AH34" s="787">
        <f t="shared" ca="1" si="14"/>
        <v>69.198390000000003</v>
      </c>
      <c r="AI34" s="787">
        <f t="shared" ca="1" si="14"/>
        <v>74.605590000000021</v>
      </c>
      <c r="AJ34" s="1184">
        <f t="shared" ca="1" si="14"/>
        <v>78.726600000000005</v>
      </c>
      <c r="AK34" s="787">
        <f t="shared" ca="1" si="14"/>
        <v>40.304909999999992</v>
      </c>
      <c r="AL34" s="787">
        <f t="shared" ca="1" si="14"/>
        <v>43.346789999999999</v>
      </c>
      <c r="AM34" s="787">
        <f t="shared" ca="1" si="14"/>
        <v>45.7254</v>
      </c>
      <c r="AN34" s="787">
        <f t="shared" ca="1" si="14"/>
        <v>61.226399999999991</v>
      </c>
      <c r="AO34" s="787">
        <f t="shared" ca="1" si="14"/>
        <v>69.025499999999994</v>
      </c>
      <c r="AP34" s="787">
        <f t="shared" ca="1" si="14"/>
        <v>77.018999999999991</v>
      </c>
      <c r="AQ34" s="787">
        <f t="shared" ca="1" si="14"/>
        <v>81.811859999999996</v>
      </c>
      <c r="AR34" s="787">
        <f t="shared" ca="1" si="14"/>
        <v>88.171019999999999</v>
      </c>
      <c r="AS34" s="1184">
        <f t="shared" ca="1" si="14"/>
        <v>93.006</v>
      </c>
      <c r="AT34" s="787">
        <f t="shared" ca="1" si="14"/>
        <v>46.704660000000004</v>
      </c>
      <c r="AU34" s="787">
        <f t="shared" ca="1" si="14"/>
        <v>50.321880000000007</v>
      </c>
      <c r="AV34" s="787">
        <f t="shared" ca="1" si="14"/>
        <v>52.970400000000012</v>
      </c>
      <c r="AW34" s="787">
        <f t="shared" ca="1" si="14"/>
        <v>61.912200000000013</v>
      </c>
      <c r="AX34" s="787">
        <f t="shared" ca="1" si="14"/>
        <v>80.038799999999995</v>
      </c>
      <c r="AY34" s="787">
        <f t="shared" ca="1" si="14"/>
        <v>89.256</v>
      </c>
      <c r="AZ34" s="787">
        <f t="shared" ca="1" si="14"/>
        <v>94.783080000000012</v>
      </c>
      <c r="BA34" s="787">
        <f t="shared" ca="1" si="14"/>
        <v>102.1212</v>
      </c>
      <c r="BB34" s="1184">
        <f t="shared" ca="1" si="14"/>
        <v>107.69040000000001</v>
      </c>
      <c r="BC34" s="787">
        <f t="shared" ca="1" si="14"/>
        <v>53.369144999999996</v>
      </c>
      <c r="BD34" s="787">
        <f t="shared" ca="1" si="14"/>
        <v>57.397004999999993</v>
      </c>
      <c r="BE34" s="787">
        <f t="shared" ca="1" si="14"/>
        <v>60.417900000000003</v>
      </c>
      <c r="BF34" s="787">
        <f t="shared" ca="1" si="14"/>
        <v>70.714349999999996</v>
      </c>
      <c r="BG34" s="787">
        <f t="shared" ca="1" si="14"/>
        <v>80.945999999999998</v>
      </c>
      <c r="BH34" s="787">
        <f t="shared" ca="1" si="14"/>
        <v>101.66849999999999</v>
      </c>
      <c r="BI34" s="787">
        <f t="shared" ca="1" si="14"/>
        <v>107.94033</v>
      </c>
      <c r="BJ34" s="787">
        <f t="shared" ca="1" si="14"/>
        <v>116.45612999999999</v>
      </c>
      <c r="BK34" s="1184">
        <f t="shared" ca="1" si="14"/>
        <v>122.77979999999998</v>
      </c>
      <c r="BL34" s="787">
        <f t="shared" ca="1" si="14"/>
        <v>61.021019999999993</v>
      </c>
      <c r="BM34" s="787">
        <f t="shared" ca="1" si="14"/>
        <v>65.71871999999999</v>
      </c>
      <c r="BN34" s="787">
        <f t="shared" ca="1" si="14"/>
        <v>69.177600000000012</v>
      </c>
      <c r="BO34" s="787">
        <f t="shared" ca="1" si="14"/>
        <v>80.820600000000013</v>
      </c>
      <c r="BP34" s="787">
        <f t="shared" ref="BP34:BT34" ca="1" si="15">MAX(BP28:BP29)*BP30</f>
        <v>92.496000000000009</v>
      </c>
      <c r="BQ34" s="787">
        <f t="shared" ca="1" si="15"/>
        <v>104.34960000000001</v>
      </c>
      <c r="BR34" s="787">
        <f t="shared" ca="1" si="15"/>
        <v>123.41579999999999</v>
      </c>
      <c r="BS34" s="787">
        <f t="shared" ca="1" si="15"/>
        <v>132.91487999999998</v>
      </c>
      <c r="BT34" s="787">
        <f t="shared" ca="1" si="15"/>
        <v>140.29919999999998</v>
      </c>
    </row>
    <row r="35" spans="1:72">
      <c r="A35" s="936"/>
    </row>
    <row r="36" spans="1:72" s="1181" customFormat="1">
      <c r="A36" s="935" t="s">
        <v>2202</v>
      </c>
      <c r="B36" s="1180"/>
    </row>
    <row r="37" spans="1:72">
      <c r="A37" t="s">
        <v>1813</v>
      </c>
      <c r="B37" s="548" t="s">
        <v>883</v>
      </c>
      <c r="C37" s="553">
        <f>Datenbank!C10</f>
        <v>2.65</v>
      </c>
      <c r="D37" s="553">
        <f>Datenbank!D10</f>
        <v>2.85</v>
      </c>
      <c r="E37" s="553">
        <f>Datenbank!E10</f>
        <v>3</v>
      </c>
      <c r="F37" s="553">
        <f>Datenbank!F10</f>
        <v>3.5</v>
      </c>
      <c r="G37" s="553">
        <f>Datenbank!G10</f>
        <v>4</v>
      </c>
      <c r="H37" s="553">
        <f>Datenbank!H10</f>
        <v>4.5</v>
      </c>
      <c r="I37" s="1183">
        <f>Datenbank!I10</f>
        <v>5</v>
      </c>
      <c r="J37" s="553">
        <f>Datenbank!J10</f>
        <v>2.65</v>
      </c>
      <c r="K37" s="553">
        <f>Datenbank!K10</f>
        <v>2.65</v>
      </c>
      <c r="L37" s="553">
        <f>Datenbank!L10</f>
        <v>2.65</v>
      </c>
      <c r="M37" s="553">
        <f>Datenbank!M10</f>
        <v>2.65</v>
      </c>
      <c r="N37" s="553">
        <f>Datenbank!N10</f>
        <v>2.65</v>
      </c>
      <c r="O37" s="553">
        <f>Datenbank!O10</f>
        <v>2.65</v>
      </c>
      <c r="P37" s="553">
        <f>Datenbank!P10</f>
        <v>2.65</v>
      </c>
      <c r="Q37" s="553">
        <f>Datenbank!Q10</f>
        <v>2.65</v>
      </c>
      <c r="R37" s="1183">
        <f>Datenbank!R10</f>
        <v>2.65</v>
      </c>
      <c r="S37" s="553">
        <f>Datenbank!S10</f>
        <v>2.85</v>
      </c>
      <c r="T37" s="553">
        <f>Datenbank!T10</f>
        <v>2.85</v>
      </c>
      <c r="U37" s="553">
        <f>Datenbank!U10</f>
        <v>2.85</v>
      </c>
      <c r="V37" s="553">
        <f>Datenbank!V10</f>
        <v>2.85</v>
      </c>
      <c r="W37" s="553">
        <f>Datenbank!W10</f>
        <v>2.85</v>
      </c>
      <c r="X37" s="553">
        <f>Datenbank!X10</f>
        <v>2.85</v>
      </c>
      <c r="Y37" s="553">
        <f>Datenbank!Y10</f>
        <v>2.85</v>
      </c>
      <c r="Z37" s="553">
        <f>Datenbank!Z10</f>
        <v>2.85</v>
      </c>
      <c r="AA37" s="1183">
        <f>Datenbank!AA10</f>
        <v>2.85</v>
      </c>
      <c r="AB37" s="553">
        <f>Datenbank!AB10</f>
        <v>3</v>
      </c>
      <c r="AC37" s="553">
        <f>Datenbank!AC10</f>
        <v>3</v>
      </c>
      <c r="AD37" s="553">
        <f>Datenbank!AD10</f>
        <v>3</v>
      </c>
      <c r="AE37" s="553">
        <f>Datenbank!AE10</f>
        <v>3</v>
      </c>
      <c r="AF37" s="553">
        <f>Datenbank!AF10</f>
        <v>3</v>
      </c>
      <c r="AG37" s="553">
        <f>Datenbank!AG10</f>
        <v>3</v>
      </c>
      <c r="AH37" s="553">
        <f>Datenbank!AH10</f>
        <v>3</v>
      </c>
      <c r="AI37" s="553">
        <f>Datenbank!AI10</f>
        <v>3</v>
      </c>
      <c r="AJ37" s="1183">
        <f>Datenbank!AJ10</f>
        <v>3</v>
      </c>
      <c r="AK37" s="553">
        <f>Datenbank!AK10</f>
        <v>3.5</v>
      </c>
      <c r="AL37" s="553">
        <f>Datenbank!AL10</f>
        <v>3.5</v>
      </c>
      <c r="AM37" s="553">
        <f>Datenbank!AM10</f>
        <v>3.5</v>
      </c>
      <c r="AN37" s="553">
        <f>Datenbank!AN10</f>
        <v>3.5</v>
      </c>
      <c r="AO37" s="553">
        <f>Datenbank!AO10</f>
        <v>3.5</v>
      </c>
      <c r="AP37" s="553">
        <f>Datenbank!AP10</f>
        <v>3.5</v>
      </c>
      <c r="AQ37" s="553">
        <f>Datenbank!AQ10</f>
        <v>3.5</v>
      </c>
      <c r="AR37" s="553">
        <f>Datenbank!AR10</f>
        <v>3.5</v>
      </c>
      <c r="AS37" s="1183">
        <f>Datenbank!AS10</f>
        <v>3.5</v>
      </c>
      <c r="AT37" s="553">
        <f>Datenbank!AT10</f>
        <v>4</v>
      </c>
      <c r="AU37" s="553">
        <f>Datenbank!AU10</f>
        <v>4</v>
      </c>
      <c r="AV37" s="553">
        <f>Datenbank!AV10</f>
        <v>4</v>
      </c>
      <c r="AW37" s="553">
        <f>Datenbank!AW10</f>
        <v>4</v>
      </c>
      <c r="AX37" s="553">
        <f>Datenbank!AX10</f>
        <v>4</v>
      </c>
      <c r="AY37" s="553">
        <f>Datenbank!AY10</f>
        <v>4</v>
      </c>
      <c r="AZ37" s="553">
        <f>Datenbank!AZ10</f>
        <v>4</v>
      </c>
      <c r="BA37" s="553">
        <f>Datenbank!BA10</f>
        <v>4</v>
      </c>
      <c r="BB37" s="1183">
        <f>Datenbank!BB10</f>
        <v>4</v>
      </c>
      <c r="BC37" s="553">
        <f>Datenbank!BC10</f>
        <v>4.5</v>
      </c>
      <c r="BD37" s="553">
        <f>Datenbank!BD10</f>
        <v>4.5</v>
      </c>
      <c r="BE37" s="553">
        <f>Datenbank!BE10</f>
        <v>4.5</v>
      </c>
      <c r="BF37" s="553">
        <f>Datenbank!BF10</f>
        <v>4.5</v>
      </c>
      <c r="BG37" s="553">
        <f>Datenbank!BG10</f>
        <v>4.5</v>
      </c>
      <c r="BH37" s="553">
        <f>Datenbank!BH10</f>
        <v>4.5</v>
      </c>
      <c r="BI37" s="553">
        <f>Datenbank!BI10</f>
        <v>4.5</v>
      </c>
      <c r="BJ37" s="553">
        <f>Datenbank!BJ10</f>
        <v>4.5</v>
      </c>
      <c r="BK37" s="1183">
        <f>Datenbank!BK10</f>
        <v>4.5</v>
      </c>
      <c r="BL37" s="553">
        <f>Datenbank!BL10</f>
        <v>5</v>
      </c>
      <c r="BM37" s="553">
        <f>Datenbank!BM10</f>
        <v>5</v>
      </c>
      <c r="BN37" s="553">
        <f>Datenbank!BN10</f>
        <v>5</v>
      </c>
      <c r="BO37" s="553">
        <f>Datenbank!BO10</f>
        <v>5</v>
      </c>
      <c r="BP37" s="553">
        <f>Datenbank!BP10</f>
        <v>5</v>
      </c>
      <c r="BQ37" s="553">
        <f>Datenbank!BQ10</f>
        <v>5</v>
      </c>
      <c r="BR37" s="553">
        <f>Datenbank!BR10</f>
        <v>5</v>
      </c>
      <c r="BS37" s="553">
        <f>Datenbank!BS10</f>
        <v>5</v>
      </c>
      <c r="BT37" s="553">
        <f>Datenbank!BT10</f>
        <v>5</v>
      </c>
    </row>
    <row r="38" spans="1:72">
      <c r="A38" t="s">
        <v>2198</v>
      </c>
      <c r="B38" s="548" t="s">
        <v>883</v>
      </c>
      <c r="C38" s="553">
        <f>Datenbank!C15</f>
        <v>2.65</v>
      </c>
      <c r="D38" s="553">
        <f>Datenbank!D15</f>
        <v>2.85</v>
      </c>
      <c r="E38" s="553">
        <f>Datenbank!E15</f>
        <v>3</v>
      </c>
      <c r="F38" s="553">
        <f>Datenbank!F15</f>
        <v>3.5</v>
      </c>
      <c r="G38" s="553">
        <f>Datenbank!G15</f>
        <v>4</v>
      </c>
      <c r="H38" s="553">
        <f>Datenbank!H15</f>
        <v>4.5</v>
      </c>
      <c r="I38" s="1183">
        <f>Datenbank!I15</f>
        <v>5</v>
      </c>
      <c r="J38" s="553">
        <f>Datenbank!J15</f>
        <v>2.85</v>
      </c>
      <c r="K38" s="553">
        <f>Datenbank!K15</f>
        <v>3</v>
      </c>
      <c r="L38" s="553">
        <f>Datenbank!L15</f>
        <v>3.5</v>
      </c>
      <c r="M38" s="553">
        <f>Datenbank!M15</f>
        <v>4</v>
      </c>
      <c r="N38" s="553">
        <f>Datenbank!N15</f>
        <v>4.5</v>
      </c>
      <c r="O38" s="553">
        <f>Datenbank!O15</f>
        <v>5</v>
      </c>
      <c r="P38" s="553">
        <f>Datenbank!P15</f>
        <v>5.3</v>
      </c>
      <c r="Q38" s="553">
        <f>Datenbank!Q15</f>
        <v>5.7</v>
      </c>
      <c r="R38" s="1183">
        <f>Datenbank!R15</f>
        <v>6</v>
      </c>
      <c r="S38" s="553">
        <f>Datenbank!S15</f>
        <v>2.65</v>
      </c>
      <c r="T38" s="553">
        <f>Datenbank!T15</f>
        <v>3</v>
      </c>
      <c r="U38" s="553">
        <f>Datenbank!U15</f>
        <v>3.5</v>
      </c>
      <c r="V38" s="553">
        <f>Datenbank!V15</f>
        <v>4</v>
      </c>
      <c r="W38" s="553">
        <f>Datenbank!W15</f>
        <v>4.5</v>
      </c>
      <c r="X38" s="553">
        <f>Datenbank!X15</f>
        <v>5</v>
      </c>
      <c r="Y38" s="553">
        <f>Datenbank!Y15</f>
        <v>5.3</v>
      </c>
      <c r="Z38" s="553">
        <f>Datenbank!Z15</f>
        <v>5.7</v>
      </c>
      <c r="AA38" s="1183">
        <f>Datenbank!AA15</f>
        <v>6</v>
      </c>
      <c r="AB38" s="553">
        <f>Datenbank!AB15</f>
        <v>2.65</v>
      </c>
      <c r="AC38" s="553">
        <f>Datenbank!AC15</f>
        <v>2.85</v>
      </c>
      <c r="AD38" s="553">
        <f>Datenbank!AD15</f>
        <v>3.5</v>
      </c>
      <c r="AE38" s="553">
        <f>Datenbank!AE15</f>
        <v>4</v>
      </c>
      <c r="AF38" s="553">
        <f>Datenbank!AF15</f>
        <v>4.5</v>
      </c>
      <c r="AG38" s="553">
        <f>Datenbank!AG15</f>
        <v>5</v>
      </c>
      <c r="AH38" s="553">
        <f>Datenbank!AH15</f>
        <v>5.3</v>
      </c>
      <c r="AI38" s="553">
        <f>Datenbank!AI15</f>
        <v>5.7</v>
      </c>
      <c r="AJ38" s="1183">
        <f>Datenbank!AJ15</f>
        <v>6</v>
      </c>
      <c r="AK38" s="553">
        <f>Datenbank!AK15</f>
        <v>2.65</v>
      </c>
      <c r="AL38" s="553">
        <f>Datenbank!AL15</f>
        <v>2.85</v>
      </c>
      <c r="AM38" s="553">
        <f>Datenbank!AM15</f>
        <v>3</v>
      </c>
      <c r="AN38" s="553">
        <f>Datenbank!AN15</f>
        <v>4</v>
      </c>
      <c r="AO38" s="553">
        <f>Datenbank!AO15</f>
        <v>4.5</v>
      </c>
      <c r="AP38" s="553">
        <f>Datenbank!AP15</f>
        <v>5</v>
      </c>
      <c r="AQ38" s="553">
        <f>Datenbank!AQ15</f>
        <v>5.3</v>
      </c>
      <c r="AR38" s="553">
        <f>Datenbank!AR15</f>
        <v>5.7</v>
      </c>
      <c r="AS38" s="1183">
        <f>Datenbank!AS15</f>
        <v>6</v>
      </c>
      <c r="AT38" s="553">
        <f>Datenbank!AT15</f>
        <v>2.65</v>
      </c>
      <c r="AU38" s="553">
        <f>Datenbank!AU15</f>
        <v>2.85</v>
      </c>
      <c r="AV38" s="553">
        <f>Datenbank!AV15</f>
        <v>3</v>
      </c>
      <c r="AW38" s="553">
        <f>Datenbank!AW15</f>
        <v>3.5</v>
      </c>
      <c r="AX38" s="553">
        <f>Datenbank!AX15</f>
        <v>4.5</v>
      </c>
      <c r="AY38" s="553">
        <f>Datenbank!AY15</f>
        <v>5</v>
      </c>
      <c r="AZ38" s="553">
        <f>Datenbank!AZ15</f>
        <v>5.3</v>
      </c>
      <c r="BA38" s="553">
        <f>Datenbank!BA15</f>
        <v>5.7</v>
      </c>
      <c r="BB38" s="1183">
        <f>Datenbank!BB15</f>
        <v>6</v>
      </c>
      <c r="BC38" s="553">
        <f>Datenbank!BC15</f>
        <v>2.65</v>
      </c>
      <c r="BD38" s="553">
        <f>Datenbank!BD15</f>
        <v>2.85</v>
      </c>
      <c r="BE38" s="553">
        <f>Datenbank!BE15</f>
        <v>3</v>
      </c>
      <c r="BF38" s="553">
        <f>Datenbank!BF15</f>
        <v>3.5</v>
      </c>
      <c r="BG38" s="553">
        <f>Datenbank!BG15</f>
        <v>4</v>
      </c>
      <c r="BH38" s="553">
        <f>Datenbank!BH15</f>
        <v>5</v>
      </c>
      <c r="BI38" s="553">
        <f>Datenbank!BI15</f>
        <v>5.3</v>
      </c>
      <c r="BJ38" s="553">
        <f>Datenbank!BJ15</f>
        <v>5.7</v>
      </c>
      <c r="BK38" s="1183">
        <f>Datenbank!BK15</f>
        <v>6</v>
      </c>
      <c r="BL38" s="553">
        <f>Datenbank!BL15</f>
        <v>2.65</v>
      </c>
      <c r="BM38" s="553">
        <f>Datenbank!BM15</f>
        <v>2.85</v>
      </c>
      <c r="BN38" s="553">
        <f>Datenbank!BN15</f>
        <v>3</v>
      </c>
      <c r="BO38" s="553">
        <f>Datenbank!BO15</f>
        <v>3.5</v>
      </c>
      <c r="BP38" s="553">
        <f>Datenbank!BP15</f>
        <v>4</v>
      </c>
      <c r="BQ38" s="553">
        <f>Datenbank!BQ15</f>
        <v>4.5</v>
      </c>
      <c r="BR38" s="553">
        <f>Datenbank!BR15</f>
        <v>5.3</v>
      </c>
      <c r="BS38" s="553">
        <f>Datenbank!BS15</f>
        <v>5.7</v>
      </c>
      <c r="BT38" s="553">
        <f>Datenbank!BT15</f>
        <v>6</v>
      </c>
    </row>
    <row r="39" spans="1:72">
      <c r="A39" t="s">
        <v>2195</v>
      </c>
      <c r="B39" s="548">
        <v>1</v>
      </c>
      <c r="C39" s="551">
        <f ca="1">MAX(C28:C29)*C30</f>
        <v>30.08180625</v>
      </c>
      <c r="D39" s="551">
        <f t="shared" ref="D39:BO39" ca="1" si="16">MAX(D28:D29)*D30</f>
        <v>34.851296250000004</v>
      </c>
      <c r="E39" s="551">
        <f t="shared" ca="1" si="16"/>
        <v>38.585700000000003</v>
      </c>
      <c r="F39" s="551">
        <f t="shared" ca="1" si="16"/>
        <v>53.459699999999998</v>
      </c>
      <c r="G39" s="551">
        <f t="shared" ca="1" si="16"/>
        <v>70.886399999999995</v>
      </c>
      <c r="H39" s="551">
        <f t="shared" ca="1" si="16"/>
        <v>91.355850000000004</v>
      </c>
      <c r="I39" s="1182">
        <f t="shared" ca="1" si="16"/>
        <v>116.26799999999999</v>
      </c>
      <c r="J39" s="551">
        <f t="shared" ca="1" si="16"/>
        <v>32.444471250000007</v>
      </c>
      <c r="K39" s="551">
        <f t="shared" ca="1" si="16"/>
        <v>34.152075000000004</v>
      </c>
      <c r="L39" s="551">
        <f t="shared" ca="1" si="16"/>
        <v>39.957487499999999</v>
      </c>
      <c r="M39" s="551">
        <f t="shared" ca="1" si="16"/>
        <v>45.795299999999997</v>
      </c>
      <c r="N39" s="551">
        <f t="shared" ca="1" si="16"/>
        <v>51.8113125</v>
      </c>
      <c r="O39" s="551">
        <f t="shared" ca="1" si="16"/>
        <v>57.730125000000001</v>
      </c>
      <c r="P39" s="551">
        <f t="shared" ca="1" si="16"/>
        <v>61.365652499999989</v>
      </c>
      <c r="Q39" s="551">
        <f t="shared" ca="1" si="16"/>
        <v>66.1817025</v>
      </c>
      <c r="R39" s="1182">
        <f t="shared" ca="1" si="16"/>
        <v>69.859350000000006</v>
      </c>
      <c r="S39" s="551">
        <f t="shared" ca="1" si="16"/>
        <v>32.319731250000004</v>
      </c>
      <c r="T39" s="551">
        <f t="shared" ca="1" si="16"/>
        <v>36.685575000000007</v>
      </c>
      <c r="U39" s="551">
        <f t="shared" ca="1" si="16"/>
        <v>42.913237500000008</v>
      </c>
      <c r="V39" s="551">
        <f t="shared" ca="1" si="16"/>
        <v>49.173300000000012</v>
      </c>
      <c r="W39" s="551">
        <f t="shared" ca="1" si="16"/>
        <v>55.611562500000005</v>
      </c>
      <c r="X39" s="551">
        <f t="shared" ca="1" si="16"/>
        <v>61.952625000000005</v>
      </c>
      <c r="Y39" s="551">
        <f t="shared" ca="1" si="16"/>
        <v>65.841502500000004</v>
      </c>
      <c r="Z39" s="551">
        <f t="shared" ca="1" si="16"/>
        <v>70.99535250000001</v>
      </c>
      <c r="AA39" s="1182">
        <f t="shared" ca="1" si="16"/>
        <v>74.926350000000014</v>
      </c>
      <c r="AB39" s="551">
        <f t="shared" ca="1" si="16"/>
        <v>34.084035</v>
      </c>
      <c r="AC39" s="551">
        <f t="shared" ca="1" si="16"/>
        <v>36.656415000000003</v>
      </c>
      <c r="AD39" s="551">
        <f t="shared" ca="1" si="16"/>
        <v>45.130049999999997</v>
      </c>
      <c r="AE39" s="551">
        <f t="shared" ca="1" si="16"/>
        <v>51.836400000000005</v>
      </c>
      <c r="AF39" s="551">
        <f t="shared" ca="1" si="16"/>
        <v>58.461750000000009</v>
      </c>
      <c r="AG39" s="551">
        <f t="shared" ca="1" si="16"/>
        <v>65.119500000000016</v>
      </c>
      <c r="AH39" s="551">
        <f t="shared" ca="1" si="16"/>
        <v>69.198390000000003</v>
      </c>
      <c r="AI39" s="551">
        <f t="shared" ca="1" si="16"/>
        <v>74.605590000000021</v>
      </c>
      <c r="AJ39" s="1182">
        <f t="shared" ca="1" si="16"/>
        <v>78.726600000000005</v>
      </c>
      <c r="AK39" s="551">
        <f t="shared" ca="1" si="16"/>
        <v>40.304909999999992</v>
      </c>
      <c r="AL39" s="551">
        <f t="shared" ca="1" si="16"/>
        <v>43.346789999999999</v>
      </c>
      <c r="AM39" s="551">
        <f t="shared" ca="1" si="16"/>
        <v>45.7254</v>
      </c>
      <c r="AN39" s="551">
        <f t="shared" ca="1" si="16"/>
        <v>61.226399999999991</v>
      </c>
      <c r="AO39" s="551">
        <f t="shared" ca="1" si="16"/>
        <v>69.025499999999994</v>
      </c>
      <c r="AP39" s="551">
        <f t="shared" ca="1" si="16"/>
        <v>77.018999999999991</v>
      </c>
      <c r="AQ39" s="551">
        <f t="shared" ca="1" si="16"/>
        <v>81.811859999999996</v>
      </c>
      <c r="AR39" s="551">
        <f t="shared" ca="1" si="16"/>
        <v>88.171019999999999</v>
      </c>
      <c r="AS39" s="1182">
        <f t="shared" ca="1" si="16"/>
        <v>93.006</v>
      </c>
      <c r="AT39" s="551">
        <f t="shared" ca="1" si="16"/>
        <v>46.704660000000004</v>
      </c>
      <c r="AU39" s="551">
        <f t="shared" ca="1" si="16"/>
        <v>50.321880000000007</v>
      </c>
      <c r="AV39" s="551">
        <f t="shared" ca="1" si="16"/>
        <v>52.970400000000012</v>
      </c>
      <c r="AW39" s="551">
        <f t="shared" ca="1" si="16"/>
        <v>61.912200000000013</v>
      </c>
      <c r="AX39" s="551">
        <f t="shared" ca="1" si="16"/>
        <v>80.038799999999995</v>
      </c>
      <c r="AY39" s="551">
        <f t="shared" ca="1" si="16"/>
        <v>89.256</v>
      </c>
      <c r="AZ39" s="551">
        <f t="shared" ca="1" si="16"/>
        <v>94.783080000000012</v>
      </c>
      <c r="BA39" s="551">
        <f t="shared" ca="1" si="16"/>
        <v>102.1212</v>
      </c>
      <c r="BB39" s="1182">
        <f t="shared" ca="1" si="16"/>
        <v>107.69040000000001</v>
      </c>
      <c r="BC39" s="551">
        <f t="shared" ca="1" si="16"/>
        <v>53.369144999999996</v>
      </c>
      <c r="BD39" s="551">
        <f t="shared" ca="1" si="16"/>
        <v>57.397004999999993</v>
      </c>
      <c r="BE39" s="551">
        <f t="shared" ca="1" si="16"/>
        <v>60.417900000000003</v>
      </c>
      <c r="BF39" s="551">
        <f t="shared" ca="1" si="16"/>
        <v>70.714349999999996</v>
      </c>
      <c r="BG39" s="551">
        <f t="shared" ca="1" si="16"/>
        <v>80.945999999999998</v>
      </c>
      <c r="BH39" s="551">
        <f t="shared" ca="1" si="16"/>
        <v>101.66849999999999</v>
      </c>
      <c r="BI39" s="551">
        <f t="shared" ca="1" si="16"/>
        <v>107.94033</v>
      </c>
      <c r="BJ39" s="551">
        <f t="shared" ca="1" si="16"/>
        <v>116.45612999999999</v>
      </c>
      <c r="BK39" s="1182">
        <f t="shared" ca="1" si="16"/>
        <v>122.77979999999998</v>
      </c>
      <c r="BL39" s="551">
        <f t="shared" ca="1" si="16"/>
        <v>61.021019999999993</v>
      </c>
      <c r="BM39" s="551">
        <f t="shared" ca="1" si="16"/>
        <v>65.71871999999999</v>
      </c>
      <c r="BN39" s="551">
        <f t="shared" ca="1" si="16"/>
        <v>69.177600000000012</v>
      </c>
      <c r="BO39" s="551">
        <f t="shared" ca="1" si="16"/>
        <v>80.820600000000013</v>
      </c>
      <c r="BP39" s="551">
        <f t="shared" ref="BP39:BT39" ca="1" si="17">MAX(BP28:BP29)*BP30</f>
        <v>92.496000000000009</v>
      </c>
      <c r="BQ39" s="551">
        <f t="shared" ca="1" si="17"/>
        <v>104.34960000000001</v>
      </c>
      <c r="BR39" s="551">
        <f t="shared" ca="1" si="17"/>
        <v>123.41579999999999</v>
      </c>
      <c r="BS39" s="551">
        <f t="shared" ca="1" si="17"/>
        <v>132.91487999999998</v>
      </c>
      <c r="BT39" s="551">
        <f t="shared" ca="1" si="17"/>
        <v>140.29919999999998</v>
      </c>
    </row>
    <row r="40" spans="1:72">
      <c r="B40" s="548">
        <v>2</v>
      </c>
      <c r="C40" s="551">
        <f ca="1">C$39*$B40</f>
        <v>60.163612499999999</v>
      </c>
      <c r="D40" s="551">
        <f t="shared" ref="D40:BO41" ca="1" si="18">D$39*$B40</f>
        <v>69.702592500000009</v>
      </c>
      <c r="E40" s="551">
        <f t="shared" ca="1" si="18"/>
        <v>77.171400000000006</v>
      </c>
      <c r="F40" s="551">
        <f t="shared" ca="1" si="18"/>
        <v>106.9194</v>
      </c>
      <c r="G40" s="551">
        <f t="shared" ca="1" si="18"/>
        <v>141.77279999999999</v>
      </c>
      <c r="H40" s="551">
        <f t="shared" ca="1" si="18"/>
        <v>182.71170000000001</v>
      </c>
      <c r="I40" s="1182">
        <f t="shared" ca="1" si="18"/>
        <v>232.53599999999997</v>
      </c>
      <c r="J40" s="551">
        <f t="shared" ca="1" si="18"/>
        <v>64.888942500000013</v>
      </c>
      <c r="K40" s="551">
        <f t="shared" ca="1" si="18"/>
        <v>68.304150000000007</v>
      </c>
      <c r="L40" s="551">
        <f t="shared" ca="1" si="18"/>
        <v>79.914974999999998</v>
      </c>
      <c r="M40" s="551">
        <f t="shared" ca="1" si="18"/>
        <v>91.590599999999995</v>
      </c>
      <c r="N40" s="551">
        <f t="shared" ca="1" si="18"/>
        <v>103.622625</v>
      </c>
      <c r="O40" s="551">
        <f t="shared" ca="1" si="18"/>
        <v>115.46025</v>
      </c>
      <c r="P40" s="551">
        <f t="shared" ca="1" si="18"/>
        <v>122.73130499999998</v>
      </c>
      <c r="Q40" s="551">
        <f t="shared" ca="1" si="18"/>
        <v>132.363405</v>
      </c>
      <c r="R40" s="1182">
        <f t="shared" ca="1" si="18"/>
        <v>139.71870000000001</v>
      </c>
      <c r="S40" s="551">
        <f t="shared" ca="1" si="18"/>
        <v>64.639462500000008</v>
      </c>
      <c r="T40" s="551">
        <f t="shared" ca="1" si="18"/>
        <v>73.371150000000014</v>
      </c>
      <c r="U40" s="551">
        <f t="shared" ca="1" si="18"/>
        <v>85.826475000000016</v>
      </c>
      <c r="V40" s="551">
        <f t="shared" ca="1" si="18"/>
        <v>98.346600000000024</v>
      </c>
      <c r="W40" s="551">
        <f t="shared" ca="1" si="18"/>
        <v>111.22312500000001</v>
      </c>
      <c r="X40" s="551">
        <f t="shared" ca="1" si="18"/>
        <v>123.90525000000001</v>
      </c>
      <c r="Y40" s="551">
        <f t="shared" ca="1" si="18"/>
        <v>131.68300500000001</v>
      </c>
      <c r="Z40" s="551">
        <f t="shared" ca="1" si="18"/>
        <v>141.99070500000002</v>
      </c>
      <c r="AA40" s="1182">
        <f t="shared" ca="1" si="18"/>
        <v>149.85270000000003</v>
      </c>
      <c r="AB40" s="551">
        <f t="shared" ca="1" si="18"/>
        <v>68.16807</v>
      </c>
      <c r="AC40" s="551">
        <f t="shared" ca="1" si="18"/>
        <v>73.312830000000005</v>
      </c>
      <c r="AD40" s="551">
        <f t="shared" ca="1" si="18"/>
        <v>90.260099999999994</v>
      </c>
      <c r="AE40" s="551">
        <f t="shared" ca="1" si="18"/>
        <v>103.67280000000001</v>
      </c>
      <c r="AF40" s="551">
        <f t="shared" ca="1" si="18"/>
        <v>116.92350000000002</v>
      </c>
      <c r="AG40" s="551">
        <f t="shared" ca="1" si="18"/>
        <v>130.23900000000003</v>
      </c>
      <c r="AH40" s="551">
        <f t="shared" ca="1" si="18"/>
        <v>138.39678000000001</v>
      </c>
      <c r="AI40" s="551">
        <f t="shared" ca="1" si="18"/>
        <v>149.21118000000004</v>
      </c>
      <c r="AJ40" s="1182">
        <f t="shared" ca="1" si="18"/>
        <v>157.45320000000001</v>
      </c>
      <c r="AK40" s="551">
        <f t="shared" ca="1" si="18"/>
        <v>80.609819999999985</v>
      </c>
      <c r="AL40" s="551">
        <f t="shared" ca="1" si="18"/>
        <v>86.693579999999997</v>
      </c>
      <c r="AM40" s="551">
        <f t="shared" ca="1" si="18"/>
        <v>91.450800000000001</v>
      </c>
      <c r="AN40" s="551">
        <f t="shared" ca="1" si="18"/>
        <v>122.45279999999998</v>
      </c>
      <c r="AO40" s="551">
        <f t="shared" ca="1" si="18"/>
        <v>138.05099999999999</v>
      </c>
      <c r="AP40" s="551">
        <f t="shared" ca="1" si="18"/>
        <v>154.03799999999998</v>
      </c>
      <c r="AQ40" s="551">
        <f t="shared" ca="1" si="18"/>
        <v>163.62371999999999</v>
      </c>
      <c r="AR40" s="551">
        <f t="shared" ca="1" si="18"/>
        <v>176.34204</v>
      </c>
      <c r="AS40" s="1182">
        <f t="shared" ca="1" si="18"/>
        <v>186.012</v>
      </c>
      <c r="AT40" s="551">
        <f t="shared" ca="1" si="18"/>
        <v>93.409320000000008</v>
      </c>
      <c r="AU40" s="551">
        <f t="shared" ca="1" si="18"/>
        <v>100.64376000000001</v>
      </c>
      <c r="AV40" s="551">
        <f t="shared" ca="1" si="18"/>
        <v>105.94080000000002</v>
      </c>
      <c r="AW40" s="551">
        <f t="shared" ca="1" si="18"/>
        <v>123.82440000000003</v>
      </c>
      <c r="AX40" s="551">
        <f t="shared" ca="1" si="18"/>
        <v>160.07759999999999</v>
      </c>
      <c r="AY40" s="551">
        <f t="shared" ca="1" si="18"/>
        <v>178.512</v>
      </c>
      <c r="AZ40" s="551">
        <f t="shared" ca="1" si="18"/>
        <v>189.56616000000002</v>
      </c>
      <c r="BA40" s="551">
        <f t="shared" ca="1" si="18"/>
        <v>204.2424</v>
      </c>
      <c r="BB40" s="1182">
        <f t="shared" ca="1" si="18"/>
        <v>215.38080000000002</v>
      </c>
      <c r="BC40" s="551">
        <f t="shared" ca="1" si="18"/>
        <v>106.73828999999999</v>
      </c>
      <c r="BD40" s="551">
        <f t="shared" ca="1" si="18"/>
        <v>114.79400999999999</v>
      </c>
      <c r="BE40" s="551">
        <f t="shared" ca="1" si="18"/>
        <v>120.83580000000001</v>
      </c>
      <c r="BF40" s="551">
        <f t="shared" ca="1" si="18"/>
        <v>141.42869999999999</v>
      </c>
      <c r="BG40" s="551">
        <f t="shared" ca="1" si="18"/>
        <v>161.892</v>
      </c>
      <c r="BH40" s="551">
        <f t="shared" ca="1" si="18"/>
        <v>203.33699999999999</v>
      </c>
      <c r="BI40" s="551">
        <f t="shared" ca="1" si="18"/>
        <v>215.88066000000001</v>
      </c>
      <c r="BJ40" s="551">
        <f t="shared" ca="1" si="18"/>
        <v>232.91225999999997</v>
      </c>
      <c r="BK40" s="1182">
        <f t="shared" ca="1" si="18"/>
        <v>245.55959999999996</v>
      </c>
      <c r="BL40" s="551">
        <f t="shared" ca="1" si="18"/>
        <v>122.04203999999999</v>
      </c>
      <c r="BM40" s="551">
        <f t="shared" ca="1" si="18"/>
        <v>131.43743999999998</v>
      </c>
      <c r="BN40" s="551">
        <f t="shared" ca="1" si="18"/>
        <v>138.35520000000002</v>
      </c>
      <c r="BO40" s="551">
        <f t="shared" ca="1" si="18"/>
        <v>161.64120000000003</v>
      </c>
      <c r="BP40" s="551">
        <f t="shared" ref="BP40:BT44" ca="1" si="19">BP$39*$B40</f>
        <v>184.99200000000002</v>
      </c>
      <c r="BQ40" s="551">
        <f t="shared" ca="1" si="19"/>
        <v>208.69920000000002</v>
      </c>
      <c r="BR40" s="551">
        <f t="shared" ca="1" si="19"/>
        <v>246.83159999999998</v>
      </c>
      <c r="BS40" s="551">
        <f t="shared" ca="1" si="19"/>
        <v>265.82975999999996</v>
      </c>
      <c r="BT40" s="551">
        <f t="shared" ca="1" si="19"/>
        <v>280.59839999999997</v>
      </c>
    </row>
    <row r="41" spans="1:72">
      <c r="B41" s="548">
        <v>3</v>
      </c>
      <c r="C41" s="551">
        <f t="shared" ref="C41:R46" ca="1" si="20">C$39*$B41</f>
        <v>90.245418749999999</v>
      </c>
      <c r="D41" s="551">
        <f t="shared" ca="1" si="20"/>
        <v>104.55388875000001</v>
      </c>
      <c r="E41" s="551">
        <f t="shared" ca="1" si="20"/>
        <v>115.75710000000001</v>
      </c>
      <c r="F41" s="551">
        <f t="shared" ca="1" si="20"/>
        <v>160.37909999999999</v>
      </c>
      <c r="G41" s="551">
        <f t="shared" ca="1" si="20"/>
        <v>212.6592</v>
      </c>
      <c r="H41" s="551">
        <f t="shared" ca="1" si="20"/>
        <v>274.06754999999998</v>
      </c>
      <c r="I41" s="1182">
        <f t="shared" ca="1" si="20"/>
        <v>348.80399999999997</v>
      </c>
      <c r="J41" s="551">
        <f t="shared" ca="1" si="20"/>
        <v>97.33341375000002</v>
      </c>
      <c r="K41" s="551">
        <f t="shared" ca="1" si="20"/>
        <v>102.45622500000002</v>
      </c>
      <c r="L41" s="551">
        <f t="shared" ca="1" si="20"/>
        <v>119.8724625</v>
      </c>
      <c r="M41" s="551">
        <f t="shared" ca="1" si="20"/>
        <v>137.38589999999999</v>
      </c>
      <c r="N41" s="551">
        <f t="shared" ca="1" si="20"/>
        <v>155.43393750000001</v>
      </c>
      <c r="O41" s="551">
        <f t="shared" ca="1" si="20"/>
        <v>173.19037500000002</v>
      </c>
      <c r="P41" s="551">
        <f t="shared" ca="1" si="20"/>
        <v>184.09695749999997</v>
      </c>
      <c r="Q41" s="551">
        <f t="shared" ca="1" si="20"/>
        <v>198.5451075</v>
      </c>
      <c r="R41" s="1182">
        <f t="shared" ca="1" si="20"/>
        <v>209.57805000000002</v>
      </c>
      <c r="S41" s="551">
        <f t="shared" ca="1" si="18"/>
        <v>96.959193750000011</v>
      </c>
      <c r="T41" s="551">
        <f t="shared" ca="1" si="18"/>
        <v>110.05672500000003</v>
      </c>
      <c r="U41" s="551">
        <f t="shared" ca="1" si="18"/>
        <v>128.73971250000002</v>
      </c>
      <c r="V41" s="551">
        <f t="shared" ca="1" si="18"/>
        <v>147.51990000000004</v>
      </c>
      <c r="W41" s="551">
        <f t="shared" ca="1" si="18"/>
        <v>166.83468750000003</v>
      </c>
      <c r="X41" s="551">
        <f t="shared" ca="1" si="18"/>
        <v>185.85787500000001</v>
      </c>
      <c r="Y41" s="551">
        <f t="shared" ca="1" si="18"/>
        <v>197.52450750000003</v>
      </c>
      <c r="Z41" s="551">
        <f t="shared" ca="1" si="18"/>
        <v>212.98605750000002</v>
      </c>
      <c r="AA41" s="1182">
        <f t="shared" ca="1" si="18"/>
        <v>224.77905000000004</v>
      </c>
      <c r="AB41" s="551">
        <f t="shared" ca="1" si="18"/>
        <v>102.252105</v>
      </c>
      <c r="AC41" s="551">
        <f t="shared" ca="1" si="18"/>
        <v>109.969245</v>
      </c>
      <c r="AD41" s="551">
        <f t="shared" ca="1" si="18"/>
        <v>135.39015000000001</v>
      </c>
      <c r="AE41" s="551">
        <f t="shared" ca="1" si="18"/>
        <v>155.50920000000002</v>
      </c>
      <c r="AF41" s="551">
        <f t="shared" ca="1" si="18"/>
        <v>175.38525000000004</v>
      </c>
      <c r="AG41" s="551">
        <f t="shared" ca="1" si="18"/>
        <v>195.35850000000005</v>
      </c>
      <c r="AH41" s="551">
        <f t="shared" ca="1" si="18"/>
        <v>207.59517</v>
      </c>
      <c r="AI41" s="551">
        <f t="shared" ca="1" si="18"/>
        <v>223.81677000000008</v>
      </c>
      <c r="AJ41" s="1182">
        <f t="shared" ca="1" si="18"/>
        <v>236.1798</v>
      </c>
      <c r="AK41" s="551">
        <f t="shared" ca="1" si="18"/>
        <v>120.91472999999998</v>
      </c>
      <c r="AL41" s="551">
        <f t="shared" ca="1" si="18"/>
        <v>130.04037</v>
      </c>
      <c r="AM41" s="551">
        <f t="shared" ca="1" si="18"/>
        <v>137.17619999999999</v>
      </c>
      <c r="AN41" s="551">
        <f t="shared" ca="1" si="18"/>
        <v>183.67919999999998</v>
      </c>
      <c r="AO41" s="551">
        <f t="shared" ca="1" si="18"/>
        <v>207.07649999999998</v>
      </c>
      <c r="AP41" s="551">
        <f t="shared" ca="1" si="18"/>
        <v>231.05699999999996</v>
      </c>
      <c r="AQ41" s="551">
        <f t="shared" ca="1" si="18"/>
        <v>245.43557999999999</v>
      </c>
      <c r="AR41" s="551">
        <f t="shared" ca="1" si="18"/>
        <v>264.51306</v>
      </c>
      <c r="AS41" s="1182">
        <f t="shared" ca="1" si="18"/>
        <v>279.01800000000003</v>
      </c>
      <c r="AT41" s="551">
        <f t="shared" ca="1" si="18"/>
        <v>140.11398000000003</v>
      </c>
      <c r="AU41" s="551">
        <f t="shared" ca="1" si="18"/>
        <v>150.96564000000001</v>
      </c>
      <c r="AV41" s="551">
        <f t="shared" ca="1" si="18"/>
        <v>158.91120000000004</v>
      </c>
      <c r="AW41" s="551">
        <f t="shared" ca="1" si="18"/>
        <v>185.73660000000004</v>
      </c>
      <c r="AX41" s="551">
        <f t="shared" ca="1" si="18"/>
        <v>240.1164</v>
      </c>
      <c r="AY41" s="551">
        <f t="shared" ca="1" si="18"/>
        <v>267.76800000000003</v>
      </c>
      <c r="AZ41" s="551">
        <f t="shared" ca="1" si="18"/>
        <v>284.34924000000001</v>
      </c>
      <c r="BA41" s="551">
        <f t="shared" ca="1" si="18"/>
        <v>306.36360000000002</v>
      </c>
      <c r="BB41" s="1182">
        <f t="shared" ca="1" si="18"/>
        <v>323.07120000000003</v>
      </c>
      <c r="BC41" s="551">
        <f t="shared" ca="1" si="18"/>
        <v>160.10743499999998</v>
      </c>
      <c r="BD41" s="551">
        <f t="shared" ca="1" si="18"/>
        <v>172.19101499999999</v>
      </c>
      <c r="BE41" s="551">
        <f t="shared" ca="1" si="18"/>
        <v>181.25370000000001</v>
      </c>
      <c r="BF41" s="551">
        <f t="shared" ca="1" si="18"/>
        <v>212.14304999999999</v>
      </c>
      <c r="BG41" s="551">
        <f t="shared" ca="1" si="18"/>
        <v>242.83799999999999</v>
      </c>
      <c r="BH41" s="551">
        <f t="shared" ca="1" si="18"/>
        <v>305.00549999999998</v>
      </c>
      <c r="BI41" s="551">
        <f t="shared" ca="1" si="18"/>
        <v>323.82098999999999</v>
      </c>
      <c r="BJ41" s="551">
        <f t="shared" ca="1" si="18"/>
        <v>349.36838999999998</v>
      </c>
      <c r="BK41" s="1182">
        <f t="shared" ca="1" si="18"/>
        <v>368.33939999999996</v>
      </c>
      <c r="BL41" s="551">
        <f t="shared" ca="1" si="18"/>
        <v>183.06305999999998</v>
      </c>
      <c r="BM41" s="551">
        <f t="shared" ca="1" si="18"/>
        <v>197.15615999999997</v>
      </c>
      <c r="BN41" s="551">
        <f t="shared" ca="1" si="18"/>
        <v>207.53280000000004</v>
      </c>
      <c r="BO41" s="551">
        <f t="shared" ca="1" si="18"/>
        <v>242.46180000000004</v>
      </c>
      <c r="BP41" s="551">
        <f t="shared" ca="1" si="19"/>
        <v>277.48800000000006</v>
      </c>
      <c r="BQ41" s="551">
        <f t="shared" ca="1" si="19"/>
        <v>313.04880000000003</v>
      </c>
      <c r="BR41" s="551">
        <f t="shared" ca="1" si="19"/>
        <v>370.24739999999997</v>
      </c>
      <c r="BS41" s="551">
        <f t="shared" ca="1" si="19"/>
        <v>398.74463999999995</v>
      </c>
      <c r="BT41" s="551">
        <f t="shared" ca="1" si="19"/>
        <v>420.89759999999995</v>
      </c>
    </row>
    <row r="42" spans="1:72">
      <c r="B42" s="548">
        <v>4</v>
      </c>
      <c r="C42" s="551">
        <f t="shared" ca="1" si="20"/>
        <v>120.327225</v>
      </c>
      <c r="D42" s="551">
        <f t="shared" ref="D42:BO45" ca="1" si="21">D$39*$B42</f>
        <v>139.40518500000002</v>
      </c>
      <c r="E42" s="551">
        <f t="shared" ca="1" si="21"/>
        <v>154.34280000000001</v>
      </c>
      <c r="F42" s="551">
        <f t="shared" ca="1" si="21"/>
        <v>213.83879999999999</v>
      </c>
      <c r="G42" s="551">
        <f t="shared" ca="1" si="21"/>
        <v>283.54559999999998</v>
      </c>
      <c r="H42" s="551">
        <f t="shared" ca="1" si="21"/>
        <v>365.42340000000002</v>
      </c>
      <c r="I42" s="1182">
        <f t="shared" ca="1" si="21"/>
        <v>465.07199999999995</v>
      </c>
      <c r="J42" s="551">
        <f t="shared" ca="1" si="21"/>
        <v>129.77788500000003</v>
      </c>
      <c r="K42" s="551">
        <f t="shared" ca="1" si="21"/>
        <v>136.60830000000001</v>
      </c>
      <c r="L42" s="551">
        <f t="shared" ca="1" si="21"/>
        <v>159.82995</v>
      </c>
      <c r="M42" s="551">
        <f t="shared" ca="1" si="21"/>
        <v>183.18119999999999</v>
      </c>
      <c r="N42" s="551">
        <f t="shared" ca="1" si="21"/>
        <v>207.24525</v>
      </c>
      <c r="O42" s="551">
        <f t="shared" ca="1" si="21"/>
        <v>230.9205</v>
      </c>
      <c r="P42" s="551">
        <f t="shared" ca="1" si="21"/>
        <v>245.46260999999996</v>
      </c>
      <c r="Q42" s="551">
        <f t="shared" ca="1" si="21"/>
        <v>264.72681</v>
      </c>
      <c r="R42" s="1182">
        <f t="shared" ca="1" si="21"/>
        <v>279.43740000000003</v>
      </c>
      <c r="S42" s="551">
        <f t="shared" ca="1" si="21"/>
        <v>129.27892500000002</v>
      </c>
      <c r="T42" s="551">
        <f t="shared" ca="1" si="21"/>
        <v>146.74230000000003</v>
      </c>
      <c r="U42" s="551">
        <f t="shared" ca="1" si="21"/>
        <v>171.65295000000003</v>
      </c>
      <c r="V42" s="551">
        <f t="shared" ca="1" si="21"/>
        <v>196.69320000000005</v>
      </c>
      <c r="W42" s="551">
        <f t="shared" ca="1" si="21"/>
        <v>222.44625000000002</v>
      </c>
      <c r="X42" s="551">
        <f t="shared" ca="1" si="21"/>
        <v>247.81050000000002</v>
      </c>
      <c r="Y42" s="551">
        <f t="shared" ca="1" si="21"/>
        <v>263.36601000000002</v>
      </c>
      <c r="Z42" s="551">
        <f t="shared" ca="1" si="21"/>
        <v>283.98141000000004</v>
      </c>
      <c r="AA42" s="1182">
        <f t="shared" ca="1" si="21"/>
        <v>299.70540000000005</v>
      </c>
      <c r="AB42" s="551">
        <f t="shared" ca="1" si="21"/>
        <v>136.33614</v>
      </c>
      <c r="AC42" s="551">
        <f t="shared" ca="1" si="21"/>
        <v>146.62566000000001</v>
      </c>
      <c r="AD42" s="551">
        <f t="shared" ca="1" si="21"/>
        <v>180.52019999999999</v>
      </c>
      <c r="AE42" s="551">
        <f t="shared" ca="1" si="21"/>
        <v>207.34560000000002</v>
      </c>
      <c r="AF42" s="551">
        <f t="shared" ca="1" si="21"/>
        <v>233.84700000000004</v>
      </c>
      <c r="AG42" s="551">
        <f t="shared" ca="1" si="21"/>
        <v>260.47800000000007</v>
      </c>
      <c r="AH42" s="551">
        <f t="shared" ca="1" si="21"/>
        <v>276.79356000000001</v>
      </c>
      <c r="AI42" s="551">
        <f t="shared" ca="1" si="21"/>
        <v>298.42236000000008</v>
      </c>
      <c r="AJ42" s="1182">
        <f t="shared" ca="1" si="21"/>
        <v>314.90640000000002</v>
      </c>
      <c r="AK42" s="551">
        <f t="shared" ca="1" si="21"/>
        <v>161.21963999999997</v>
      </c>
      <c r="AL42" s="551">
        <f t="shared" ca="1" si="21"/>
        <v>173.38715999999999</v>
      </c>
      <c r="AM42" s="551">
        <f t="shared" ca="1" si="21"/>
        <v>182.9016</v>
      </c>
      <c r="AN42" s="551">
        <f t="shared" ca="1" si="21"/>
        <v>244.90559999999996</v>
      </c>
      <c r="AO42" s="551">
        <f t="shared" ca="1" si="21"/>
        <v>276.10199999999998</v>
      </c>
      <c r="AP42" s="551">
        <f t="shared" ca="1" si="21"/>
        <v>308.07599999999996</v>
      </c>
      <c r="AQ42" s="551">
        <f t="shared" ca="1" si="21"/>
        <v>327.24743999999998</v>
      </c>
      <c r="AR42" s="551">
        <f t="shared" ca="1" si="21"/>
        <v>352.68407999999999</v>
      </c>
      <c r="AS42" s="1182">
        <f t="shared" ca="1" si="21"/>
        <v>372.024</v>
      </c>
      <c r="AT42" s="551">
        <f t="shared" ca="1" si="21"/>
        <v>186.81864000000002</v>
      </c>
      <c r="AU42" s="551">
        <f t="shared" ca="1" si="21"/>
        <v>201.28752000000003</v>
      </c>
      <c r="AV42" s="551">
        <f t="shared" ca="1" si="21"/>
        <v>211.88160000000005</v>
      </c>
      <c r="AW42" s="551">
        <f t="shared" ca="1" si="21"/>
        <v>247.64880000000005</v>
      </c>
      <c r="AX42" s="551">
        <f t="shared" ca="1" si="21"/>
        <v>320.15519999999998</v>
      </c>
      <c r="AY42" s="551">
        <f t="shared" ca="1" si="21"/>
        <v>357.024</v>
      </c>
      <c r="AZ42" s="551">
        <f t="shared" ca="1" si="21"/>
        <v>379.13232000000005</v>
      </c>
      <c r="BA42" s="551">
        <f t="shared" ca="1" si="21"/>
        <v>408.48480000000001</v>
      </c>
      <c r="BB42" s="1182">
        <f t="shared" ca="1" si="21"/>
        <v>430.76160000000004</v>
      </c>
      <c r="BC42" s="551">
        <f t="shared" ca="1" si="21"/>
        <v>213.47657999999998</v>
      </c>
      <c r="BD42" s="551">
        <f t="shared" ca="1" si="21"/>
        <v>229.58801999999997</v>
      </c>
      <c r="BE42" s="551">
        <f t="shared" ca="1" si="21"/>
        <v>241.67160000000001</v>
      </c>
      <c r="BF42" s="551">
        <f t="shared" ca="1" si="21"/>
        <v>282.85739999999998</v>
      </c>
      <c r="BG42" s="551">
        <f t="shared" ca="1" si="21"/>
        <v>323.78399999999999</v>
      </c>
      <c r="BH42" s="551">
        <f t="shared" ca="1" si="21"/>
        <v>406.67399999999998</v>
      </c>
      <c r="BI42" s="551">
        <f t="shared" ca="1" si="21"/>
        <v>431.76132000000001</v>
      </c>
      <c r="BJ42" s="551">
        <f t="shared" ca="1" si="21"/>
        <v>465.82451999999995</v>
      </c>
      <c r="BK42" s="1182">
        <f t="shared" ca="1" si="21"/>
        <v>491.11919999999992</v>
      </c>
      <c r="BL42" s="551">
        <f t="shared" ca="1" si="21"/>
        <v>244.08407999999997</v>
      </c>
      <c r="BM42" s="551">
        <f t="shared" ca="1" si="21"/>
        <v>262.87487999999996</v>
      </c>
      <c r="BN42" s="551">
        <f t="shared" ca="1" si="21"/>
        <v>276.71040000000005</v>
      </c>
      <c r="BO42" s="551">
        <f t="shared" ca="1" si="21"/>
        <v>323.28240000000005</v>
      </c>
      <c r="BP42" s="551">
        <f t="shared" ca="1" si="19"/>
        <v>369.98400000000004</v>
      </c>
      <c r="BQ42" s="551">
        <f t="shared" ca="1" si="19"/>
        <v>417.39840000000004</v>
      </c>
      <c r="BR42" s="551">
        <f t="shared" ca="1" si="19"/>
        <v>493.66319999999996</v>
      </c>
      <c r="BS42" s="551">
        <f t="shared" ca="1" si="19"/>
        <v>531.65951999999993</v>
      </c>
      <c r="BT42" s="551">
        <f t="shared" ca="1" si="19"/>
        <v>561.19679999999994</v>
      </c>
    </row>
    <row r="43" spans="1:72">
      <c r="B43" s="548">
        <v>5</v>
      </c>
      <c r="C43" s="551">
        <f t="shared" ca="1" si="20"/>
        <v>150.40903125</v>
      </c>
      <c r="D43" s="551">
        <f t="shared" ca="1" si="21"/>
        <v>174.25648125000004</v>
      </c>
      <c r="E43" s="551">
        <f t="shared" ca="1" si="21"/>
        <v>192.92850000000001</v>
      </c>
      <c r="F43" s="551">
        <f t="shared" ca="1" si="21"/>
        <v>267.29849999999999</v>
      </c>
      <c r="G43" s="551">
        <f t="shared" ca="1" si="21"/>
        <v>354.43199999999996</v>
      </c>
      <c r="H43" s="551">
        <f t="shared" ca="1" si="21"/>
        <v>456.77925000000005</v>
      </c>
      <c r="I43" s="1182">
        <f t="shared" ca="1" si="21"/>
        <v>581.33999999999992</v>
      </c>
      <c r="J43" s="551">
        <f t="shared" ca="1" si="21"/>
        <v>162.22235625000002</v>
      </c>
      <c r="K43" s="551">
        <f t="shared" ca="1" si="21"/>
        <v>170.76037500000001</v>
      </c>
      <c r="L43" s="551">
        <f t="shared" ca="1" si="21"/>
        <v>199.78743750000001</v>
      </c>
      <c r="M43" s="551">
        <f t="shared" ca="1" si="21"/>
        <v>228.97649999999999</v>
      </c>
      <c r="N43" s="551">
        <f t="shared" ca="1" si="21"/>
        <v>259.05656249999998</v>
      </c>
      <c r="O43" s="551">
        <f t="shared" ca="1" si="21"/>
        <v>288.65062499999999</v>
      </c>
      <c r="P43" s="551">
        <f t="shared" ca="1" si="21"/>
        <v>306.82826249999994</v>
      </c>
      <c r="Q43" s="551">
        <f t="shared" ca="1" si="21"/>
        <v>330.90851250000003</v>
      </c>
      <c r="R43" s="1182">
        <f t="shared" ca="1" si="21"/>
        <v>349.29675000000003</v>
      </c>
      <c r="S43" s="551">
        <f t="shared" ca="1" si="21"/>
        <v>161.59865625000003</v>
      </c>
      <c r="T43" s="551">
        <f t="shared" ca="1" si="21"/>
        <v>183.42787500000003</v>
      </c>
      <c r="U43" s="551">
        <f t="shared" ca="1" si="21"/>
        <v>214.56618750000004</v>
      </c>
      <c r="V43" s="551">
        <f t="shared" ca="1" si="21"/>
        <v>245.86650000000006</v>
      </c>
      <c r="W43" s="551">
        <f t="shared" ca="1" si="21"/>
        <v>278.05781250000001</v>
      </c>
      <c r="X43" s="551">
        <f t="shared" ca="1" si="21"/>
        <v>309.763125</v>
      </c>
      <c r="Y43" s="551">
        <f t="shared" ca="1" si="21"/>
        <v>329.20751250000001</v>
      </c>
      <c r="Z43" s="551">
        <f t="shared" ca="1" si="21"/>
        <v>354.97676250000006</v>
      </c>
      <c r="AA43" s="1182">
        <f t="shared" ca="1" si="21"/>
        <v>374.63175000000007</v>
      </c>
      <c r="AB43" s="551">
        <f t="shared" ca="1" si="21"/>
        <v>170.420175</v>
      </c>
      <c r="AC43" s="551">
        <f t="shared" ca="1" si="21"/>
        <v>183.28207500000002</v>
      </c>
      <c r="AD43" s="551">
        <f t="shared" ca="1" si="21"/>
        <v>225.65024999999997</v>
      </c>
      <c r="AE43" s="551">
        <f t="shared" ca="1" si="21"/>
        <v>259.18200000000002</v>
      </c>
      <c r="AF43" s="551">
        <f t="shared" ca="1" si="21"/>
        <v>292.30875000000003</v>
      </c>
      <c r="AG43" s="551">
        <f t="shared" ca="1" si="21"/>
        <v>325.59750000000008</v>
      </c>
      <c r="AH43" s="551">
        <f t="shared" ca="1" si="21"/>
        <v>345.99195000000003</v>
      </c>
      <c r="AI43" s="551">
        <f t="shared" ca="1" si="21"/>
        <v>373.02795000000009</v>
      </c>
      <c r="AJ43" s="1182">
        <f t="shared" ca="1" si="21"/>
        <v>393.63300000000004</v>
      </c>
      <c r="AK43" s="551">
        <f t="shared" ca="1" si="21"/>
        <v>201.52454999999998</v>
      </c>
      <c r="AL43" s="551">
        <f t="shared" ca="1" si="21"/>
        <v>216.73394999999999</v>
      </c>
      <c r="AM43" s="551">
        <f t="shared" ca="1" si="21"/>
        <v>228.62700000000001</v>
      </c>
      <c r="AN43" s="551">
        <f t="shared" ca="1" si="21"/>
        <v>306.13199999999995</v>
      </c>
      <c r="AO43" s="551">
        <f t="shared" ca="1" si="21"/>
        <v>345.12749999999994</v>
      </c>
      <c r="AP43" s="551">
        <f t="shared" ca="1" si="21"/>
        <v>385.09499999999997</v>
      </c>
      <c r="AQ43" s="551">
        <f t="shared" ca="1" si="21"/>
        <v>409.05930000000001</v>
      </c>
      <c r="AR43" s="551">
        <f t="shared" ca="1" si="21"/>
        <v>440.85509999999999</v>
      </c>
      <c r="AS43" s="1182">
        <f t="shared" ca="1" si="21"/>
        <v>465.03</v>
      </c>
      <c r="AT43" s="551">
        <f t="shared" ca="1" si="21"/>
        <v>233.52330000000001</v>
      </c>
      <c r="AU43" s="551">
        <f t="shared" ca="1" si="21"/>
        <v>251.60940000000005</v>
      </c>
      <c r="AV43" s="551">
        <f t="shared" ca="1" si="21"/>
        <v>264.85200000000009</v>
      </c>
      <c r="AW43" s="551">
        <f t="shared" ca="1" si="21"/>
        <v>309.56100000000004</v>
      </c>
      <c r="AX43" s="551">
        <f t="shared" ca="1" si="21"/>
        <v>400.19399999999996</v>
      </c>
      <c r="AY43" s="551">
        <f t="shared" ca="1" si="21"/>
        <v>446.28</v>
      </c>
      <c r="AZ43" s="551">
        <f t="shared" ca="1" si="21"/>
        <v>473.91540000000009</v>
      </c>
      <c r="BA43" s="551">
        <f t="shared" ca="1" si="21"/>
        <v>510.60599999999999</v>
      </c>
      <c r="BB43" s="1182">
        <f t="shared" ca="1" si="21"/>
        <v>538.452</v>
      </c>
      <c r="BC43" s="551">
        <f t="shared" ca="1" si="21"/>
        <v>266.84572499999996</v>
      </c>
      <c r="BD43" s="551">
        <f t="shared" ca="1" si="21"/>
        <v>286.98502499999995</v>
      </c>
      <c r="BE43" s="551">
        <f t="shared" ca="1" si="21"/>
        <v>302.08950000000004</v>
      </c>
      <c r="BF43" s="551">
        <f t="shared" ca="1" si="21"/>
        <v>353.57174999999995</v>
      </c>
      <c r="BG43" s="551">
        <f t="shared" ca="1" si="21"/>
        <v>404.73</v>
      </c>
      <c r="BH43" s="551">
        <f t="shared" ca="1" si="21"/>
        <v>508.34249999999997</v>
      </c>
      <c r="BI43" s="551">
        <f t="shared" ca="1" si="21"/>
        <v>539.70164999999997</v>
      </c>
      <c r="BJ43" s="551">
        <f t="shared" ca="1" si="21"/>
        <v>582.28064999999992</v>
      </c>
      <c r="BK43" s="1182">
        <f t="shared" ca="1" si="21"/>
        <v>613.89899999999989</v>
      </c>
      <c r="BL43" s="551">
        <f t="shared" ca="1" si="21"/>
        <v>305.10509999999999</v>
      </c>
      <c r="BM43" s="551">
        <f t="shared" ca="1" si="21"/>
        <v>328.59359999999992</v>
      </c>
      <c r="BN43" s="551">
        <f t="shared" ca="1" si="21"/>
        <v>345.88800000000003</v>
      </c>
      <c r="BO43" s="551">
        <f t="shared" ca="1" si="21"/>
        <v>404.10300000000007</v>
      </c>
      <c r="BP43" s="551">
        <f t="shared" ca="1" si="19"/>
        <v>462.48</v>
      </c>
      <c r="BQ43" s="551">
        <f t="shared" ca="1" si="19"/>
        <v>521.74800000000005</v>
      </c>
      <c r="BR43" s="551">
        <f t="shared" ca="1" si="19"/>
        <v>617.07899999999995</v>
      </c>
      <c r="BS43" s="551">
        <f t="shared" ca="1" si="19"/>
        <v>664.57439999999997</v>
      </c>
      <c r="BT43" s="551">
        <f t="shared" ca="1" si="19"/>
        <v>701.49599999999987</v>
      </c>
    </row>
    <row r="44" spans="1:72">
      <c r="B44" s="548">
        <v>6</v>
      </c>
      <c r="C44" s="551">
        <f t="shared" ca="1" si="20"/>
        <v>180.4908375</v>
      </c>
      <c r="D44" s="551">
        <f t="shared" ca="1" si="21"/>
        <v>209.10777750000003</v>
      </c>
      <c r="E44" s="551">
        <f t="shared" ca="1" si="21"/>
        <v>231.51420000000002</v>
      </c>
      <c r="F44" s="551">
        <f t="shared" ca="1" si="21"/>
        <v>320.75819999999999</v>
      </c>
      <c r="G44" s="551">
        <f t="shared" ca="1" si="21"/>
        <v>425.3184</v>
      </c>
      <c r="H44" s="551">
        <f t="shared" ca="1" si="21"/>
        <v>548.13509999999997</v>
      </c>
      <c r="I44" s="1182">
        <f t="shared" ca="1" si="21"/>
        <v>697.60799999999995</v>
      </c>
      <c r="J44" s="551">
        <f t="shared" ca="1" si="21"/>
        <v>194.66682750000004</v>
      </c>
      <c r="K44" s="551">
        <f t="shared" ca="1" si="21"/>
        <v>204.91245000000004</v>
      </c>
      <c r="L44" s="551">
        <f t="shared" ca="1" si="21"/>
        <v>239.74492499999999</v>
      </c>
      <c r="M44" s="551">
        <f t="shared" ca="1" si="21"/>
        <v>274.77179999999998</v>
      </c>
      <c r="N44" s="551">
        <f t="shared" ca="1" si="21"/>
        <v>310.86787500000003</v>
      </c>
      <c r="O44" s="551">
        <f t="shared" ca="1" si="21"/>
        <v>346.38075000000003</v>
      </c>
      <c r="P44" s="551">
        <f t="shared" ca="1" si="21"/>
        <v>368.19391499999995</v>
      </c>
      <c r="Q44" s="551">
        <f t="shared" ca="1" si="21"/>
        <v>397.090215</v>
      </c>
      <c r="R44" s="1182">
        <f t="shared" ca="1" si="21"/>
        <v>419.15610000000004</v>
      </c>
      <c r="S44" s="551">
        <f t="shared" ca="1" si="21"/>
        <v>193.91838750000002</v>
      </c>
      <c r="T44" s="551">
        <f t="shared" ca="1" si="21"/>
        <v>220.11345000000006</v>
      </c>
      <c r="U44" s="551">
        <f t="shared" ca="1" si="21"/>
        <v>257.47942500000005</v>
      </c>
      <c r="V44" s="551">
        <f t="shared" ca="1" si="21"/>
        <v>295.03980000000007</v>
      </c>
      <c r="W44" s="551">
        <f t="shared" ca="1" si="21"/>
        <v>333.66937500000006</v>
      </c>
      <c r="X44" s="551">
        <f t="shared" ca="1" si="21"/>
        <v>371.71575000000001</v>
      </c>
      <c r="Y44" s="551">
        <f t="shared" ca="1" si="21"/>
        <v>395.04901500000005</v>
      </c>
      <c r="Z44" s="551">
        <f t="shared" ca="1" si="21"/>
        <v>425.97211500000003</v>
      </c>
      <c r="AA44" s="1182">
        <f t="shared" ca="1" si="21"/>
        <v>449.55810000000008</v>
      </c>
      <c r="AB44" s="551">
        <f t="shared" ca="1" si="21"/>
        <v>204.50421</v>
      </c>
      <c r="AC44" s="551">
        <f t="shared" ca="1" si="21"/>
        <v>219.93849</v>
      </c>
      <c r="AD44" s="551">
        <f t="shared" ca="1" si="21"/>
        <v>270.78030000000001</v>
      </c>
      <c r="AE44" s="551">
        <f t="shared" ca="1" si="21"/>
        <v>311.01840000000004</v>
      </c>
      <c r="AF44" s="551">
        <f t="shared" ca="1" si="21"/>
        <v>350.77050000000008</v>
      </c>
      <c r="AG44" s="551">
        <f t="shared" ca="1" si="21"/>
        <v>390.7170000000001</v>
      </c>
      <c r="AH44" s="551">
        <f t="shared" ca="1" si="21"/>
        <v>415.19033999999999</v>
      </c>
      <c r="AI44" s="551">
        <f t="shared" ca="1" si="21"/>
        <v>447.63354000000015</v>
      </c>
      <c r="AJ44" s="1182">
        <f t="shared" ca="1" si="21"/>
        <v>472.3596</v>
      </c>
      <c r="AK44" s="551">
        <f t="shared" ca="1" si="21"/>
        <v>241.82945999999995</v>
      </c>
      <c r="AL44" s="551">
        <f t="shared" ca="1" si="21"/>
        <v>260.08073999999999</v>
      </c>
      <c r="AM44" s="551">
        <f t="shared" ca="1" si="21"/>
        <v>274.35239999999999</v>
      </c>
      <c r="AN44" s="551">
        <f t="shared" ca="1" si="21"/>
        <v>367.35839999999996</v>
      </c>
      <c r="AO44" s="551">
        <f t="shared" ca="1" si="21"/>
        <v>414.15299999999996</v>
      </c>
      <c r="AP44" s="551">
        <f t="shared" ca="1" si="21"/>
        <v>462.11399999999992</v>
      </c>
      <c r="AQ44" s="551">
        <f t="shared" ca="1" si="21"/>
        <v>490.87115999999997</v>
      </c>
      <c r="AR44" s="551">
        <f t="shared" ca="1" si="21"/>
        <v>529.02611999999999</v>
      </c>
      <c r="AS44" s="1182">
        <f t="shared" ca="1" si="21"/>
        <v>558.03600000000006</v>
      </c>
      <c r="AT44" s="551">
        <f t="shared" ca="1" si="21"/>
        <v>280.22796000000005</v>
      </c>
      <c r="AU44" s="551">
        <f t="shared" ca="1" si="21"/>
        <v>301.93128000000002</v>
      </c>
      <c r="AV44" s="551">
        <f t="shared" ca="1" si="21"/>
        <v>317.82240000000007</v>
      </c>
      <c r="AW44" s="551">
        <f t="shared" ca="1" si="21"/>
        <v>371.47320000000008</v>
      </c>
      <c r="AX44" s="551">
        <f t="shared" ca="1" si="21"/>
        <v>480.2328</v>
      </c>
      <c r="AY44" s="551">
        <f t="shared" ca="1" si="21"/>
        <v>535.53600000000006</v>
      </c>
      <c r="AZ44" s="551">
        <f t="shared" ca="1" si="21"/>
        <v>568.69848000000002</v>
      </c>
      <c r="BA44" s="551">
        <f t="shared" ca="1" si="21"/>
        <v>612.72720000000004</v>
      </c>
      <c r="BB44" s="1182">
        <f t="shared" ca="1" si="21"/>
        <v>646.14240000000007</v>
      </c>
      <c r="BC44" s="551">
        <f t="shared" ca="1" si="21"/>
        <v>320.21486999999996</v>
      </c>
      <c r="BD44" s="551">
        <f t="shared" ca="1" si="21"/>
        <v>344.38202999999999</v>
      </c>
      <c r="BE44" s="551">
        <f t="shared" ca="1" si="21"/>
        <v>362.50740000000002</v>
      </c>
      <c r="BF44" s="551">
        <f t="shared" ca="1" si="21"/>
        <v>424.28609999999998</v>
      </c>
      <c r="BG44" s="551">
        <f t="shared" ca="1" si="21"/>
        <v>485.67599999999999</v>
      </c>
      <c r="BH44" s="551">
        <f t="shared" ca="1" si="21"/>
        <v>610.01099999999997</v>
      </c>
      <c r="BI44" s="551">
        <f t="shared" ca="1" si="21"/>
        <v>647.64197999999999</v>
      </c>
      <c r="BJ44" s="551">
        <f t="shared" ca="1" si="21"/>
        <v>698.73677999999995</v>
      </c>
      <c r="BK44" s="1182">
        <f t="shared" ca="1" si="21"/>
        <v>736.67879999999991</v>
      </c>
      <c r="BL44" s="551">
        <f t="shared" ca="1" si="21"/>
        <v>366.12611999999996</v>
      </c>
      <c r="BM44" s="551">
        <f t="shared" ca="1" si="21"/>
        <v>394.31231999999994</v>
      </c>
      <c r="BN44" s="551">
        <f t="shared" ca="1" si="21"/>
        <v>415.06560000000007</v>
      </c>
      <c r="BO44" s="551">
        <f t="shared" ca="1" si="21"/>
        <v>484.92360000000008</v>
      </c>
      <c r="BP44" s="551">
        <f t="shared" ca="1" si="19"/>
        <v>554.97600000000011</v>
      </c>
      <c r="BQ44" s="551">
        <f t="shared" ca="1" si="19"/>
        <v>626.09760000000006</v>
      </c>
      <c r="BR44" s="551">
        <f t="shared" ca="1" si="19"/>
        <v>740.49479999999994</v>
      </c>
      <c r="BS44" s="551">
        <f t="shared" ca="1" si="19"/>
        <v>797.48927999999989</v>
      </c>
      <c r="BT44" s="551">
        <f t="shared" ca="1" si="19"/>
        <v>841.79519999999991</v>
      </c>
    </row>
    <row r="45" spans="1:72">
      <c r="B45" s="548">
        <v>7</v>
      </c>
      <c r="C45" s="551">
        <f t="shared" ca="1" si="20"/>
        <v>210.57264375</v>
      </c>
      <c r="D45" s="551">
        <f t="shared" ca="1" si="21"/>
        <v>243.95907375000002</v>
      </c>
      <c r="E45" s="551">
        <f t="shared" ca="1" si="21"/>
        <v>270.09990000000005</v>
      </c>
      <c r="F45" s="551">
        <f t="shared" ca="1" si="21"/>
        <v>374.21789999999999</v>
      </c>
      <c r="G45" s="551">
        <f t="shared" ca="1" si="21"/>
        <v>496.20479999999998</v>
      </c>
      <c r="H45" s="551">
        <f t="shared" ca="1" si="21"/>
        <v>639.49095</v>
      </c>
      <c r="I45" s="1182">
        <f t="shared" ca="1" si="21"/>
        <v>813.87599999999986</v>
      </c>
      <c r="J45" s="551">
        <f t="shared" ca="1" si="21"/>
        <v>227.11129875000006</v>
      </c>
      <c r="K45" s="551">
        <f t="shared" ca="1" si="21"/>
        <v>239.06452500000003</v>
      </c>
      <c r="L45" s="551">
        <f t="shared" ca="1" si="21"/>
        <v>279.70241249999998</v>
      </c>
      <c r="M45" s="551">
        <f t="shared" ca="1" si="21"/>
        <v>320.56709999999998</v>
      </c>
      <c r="N45" s="551">
        <f t="shared" ca="1" si="21"/>
        <v>362.67918750000001</v>
      </c>
      <c r="O45" s="551">
        <f t="shared" ca="1" si="21"/>
        <v>404.11087500000002</v>
      </c>
      <c r="P45" s="551">
        <f t="shared" ca="1" si="21"/>
        <v>429.5595674999999</v>
      </c>
      <c r="Q45" s="551">
        <f t="shared" ca="1" si="21"/>
        <v>463.27191749999997</v>
      </c>
      <c r="R45" s="1182">
        <f t="shared" ca="1" si="21"/>
        <v>489.01545000000004</v>
      </c>
      <c r="S45" s="551">
        <f t="shared" ca="1" si="21"/>
        <v>226.23811875000001</v>
      </c>
      <c r="T45" s="551">
        <f t="shared" ca="1" si="21"/>
        <v>256.79902500000003</v>
      </c>
      <c r="U45" s="551">
        <f t="shared" ca="1" si="21"/>
        <v>300.39266250000003</v>
      </c>
      <c r="V45" s="551">
        <f t="shared" ca="1" si="21"/>
        <v>344.21310000000005</v>
      </c>
      <c r="W45" s="551">
        <f t="shared" ca="1" si="21"/>
        <v>389.28093750000005</v>
      </c>
      <c r="X45" s="551">
        <f t="shared" ca="1" si="21"/>
        <v>433.66837500000003</v>
      </c>
      <c r="Y45" s="551">
        <f t="shared" ca="1" si="21"/>
        <v>460.89051750000004</v>
      </c>
      <c r="Z45" s="551">
        <f t="shared" ca="1" si="21"/>
        <v>496.96746750000005</v>
      </c>
      <c r="AA45" s="1182">
        <f t="shared" ca="1" si="21"/>
        <v>524.48445000000015</v>
      </c>
      <c r="AB45" s="551">
        <f t="shared" ca="1" si="21"/>
        <v>238.588245</v>
      </c>
      <c r="AC45" s="551">
        <f t="shared" ca="1" si="21"/>
        <v>256.59490500000004</v>
      </c>
      <c r="AD45" s="551">
        <f t="shared" ca="1" si="21"/>
        <v>315.91034999999999</v>
      </c>
      <c r="AE45" s="551">
        <f t="shared" ca="1" si="21"/>
        <v>362.85480000000001</v>
      </c>
      <c r="AF45" s="551">
        <f t="shared" ca="1" si="21"/>
        <v>409.23225000000008</v>
      </c>
      <c r="AG45" s="551">
        <f t="shared" ca="1" si="21"/>
        <v>455.83650000000011</v>
      </c>
      <c r="AH45" s="551">
        <f t="shared" ca="1" si="21"/>
        <v>484.38873000000001</v>
      </c>
      <c r="AI45" s="551">
        <f t="shared" ca="1" si="21"/>
        <v>522.23913000000016</v>
      </c>
      <c r="AJ45" s="1182">
        <f t="shared" ca="1" si="21"/>
        <v>551.08620000000008</v>
      </c>
      <c r="AK45" s="551">
        <f t="shared" ca="1" si="21"/>
        <v>282.13436999999993</v>
      </c>
      <c r="AL45" s="551">
        <f t="shared" ca="1" si="21"/>
        <v>303.42752999999999</v>
      </c>
      <c r="AM45" s="551">
        <f t="shared" ca="1" si="21"/>
        <v>320.07780000000002</v>
      </c>
      <c r="AN45" s="551">
        <f t="shared" ca="1" si="21"/>
        <v>428.58479999999992</v>
      </c>
      <c r="AO45" s="551">
        <f t="shared" ca="1" si="21"/>
        <v>483.17849999999999</v>
      </c>
      <c r="AP45" s="551">
        <f t="shared" ca="1" si="21"/>
        <v>539.13299999999992</v>
      </c>
      <c r="AQ45" s="551">
        <f t="shared" ca="1" si="21"/>
        <v>572.68301999999994</v>
      </c>
      <c r="AR45" s="551">
        <f t="shared" ca="1" si="21"/>
        <v>617.19713999999999</v>
      </c>
      <c r="AS45" s="1182">
        <f t="shared" ca="1" si="21"/>
        <v>651.04200000000003</v>
      </c>
      <c r="AT45" s="551">
        <f t="shared" ca="1" si="21"/>
        <v>326.93262000000004</v>
      </c>
      <c r="AU45" s="551">
        <f t="shared" ca="1" si="21"/>
        <v>352.25316000000004</v>
      </c>
      <c r="AV45" s="551">
        <f t="shared" ca="1" si="21"/>
        <v>370.79280000000006</v>
      </c>
      <c r="AW45" s="551">
        <f t="shared" ca="1" si="21"/>
        <v>433.38540000000012</v>
      </c>
      <c r="AX45" s="551">
        <f t="shared" ca="1" si="21"/>
        <v>560.27159999999992</v>
      </c>
      <c r="AY45" s="551">
        <f t="shared" ca="1" si="21"/>
        <v>624.79200000000003</v>
      </c>
      <c r="AZ45" s="551">
        <f t="shared" ca="1" si="21"/>
        <v>663.48156000000006</v>
      </c>
      <c r="BA45" s="551">
        <f t="shared" ca="1" si="21"/>
        <v>714.84839999999997</v>
      </c>
      <c r="BB45" s="1182">
        <f t="shared" ca="1" si="21"/>
        <v>753.83280000000013</v>
      </c>
      <c r="BC45" s="551">
        <f t="shared" ca="1" si="21"/>
        <v>373.58401499999997</v>
      </c>
      <c r="BD45" s="551">
        <f t="shared" ca="1" si="21"/>
        <v>401.77903499999996</v>
      </c>
      <c r="BE45" s="551">
        <f t="shared" ca="1" si="21"/>
        <v>422.92529999999999</v>
      </c>
      <c r="BF45" s="551">
        <f t="shared" ca="1" si="21"/>
        <v>495.00045</v>
      </c>
      <c r="BG45" s="551">
        <f t="shared" ca="1" si="21"/>
        <v>566.62199999999996</v>
      </c>
      <c r="BH45" s="551">
        <f t="shared" ca="1" si="21"/>
        <v>711.67949999999996</v>
      </c>
      <c r="BI45" s="551">
        <f t="shared" ca="1" si="21"/>
        <v>755.58231000000001</v>
      </c>
      <c r="BJ45" s="551">
        <f t="shared" ca="1" si="21"/>
        <v>815.19290999999987</v>
      </c>
      <c r="BK45" s="1182">
        <f t="shared" ca="1" si="21"/>
        <v>859.45859999999982</v>
      </c>
      <c r="BL45" s="551">
        <f t="shared" ca="1" si="21"/>
        <v>427.14713999999992</v>
      </c>
      <c r="BM45" s="551">
        <f t="shared" ca="1" si="21"/>
        <v>460.03103999999996</v>
      </c>
      <c r="BN45" s="551">
        <f t="shared" ca="1" si="21"/>
        <v>484.24320000000012</v>
      </c>
      <c r="BO45" s="551">
        <f t="shared" ref="BO45:BT46" ca="1" si="22">BO$39*$B45</f>
        <v>565.74420000000009</v>
      </c>
      <c r="BP45" s="551">
        <f t="shared" ca="1" si="22"/>
        <v>647.47200000000009</v>
      </c>
      <c r="BQ45" s="551">
        <f t="shared" ca="1" si="22"/>
        <v>730.44720000000007</v>
      </c>
      <c r="BR45" s="551">
        <f t="shared" ca="1" si="22"/>
        <v>863.91059999999993</v>
      </c>
      <c r="BS45" s="551">
        <f t="shared" ca="1" si="22"/>
        <v>930.40415999999982</v>
      </c>
      <c r="BT45" s="551">
        <f t="shared" ca="1" si="22"/>
        <v>982.09439999999995</v>
      </c>
    </row>
    <row r="46" spans="1:72">
      <c r="B46" s="548">
        <v>8</v>
      </c>
      <c r="C46" s="551">
        <f t="shared" ca="1" si="20"/>
        <v>240.65445</v>
      </c>
      <c r="D46" s="551">
        <f t="shared" ref="D46:BO46" ca="1" si="23">D$39*$B46</f>
        <v>278.81037000000003</v>
      </c>
      <c r="E46" s="551">
        <f t="shared" ca="1" si="23"/>
        <v>308.68560000000002</v>
      </c>
      <c r="F46" s="551">
        <f t="shared" ca="1" si="23"/>
        <v>427.67759999999998</v>
      </c>
      <c r="G46" s="551">
        <f t="shared" ca="1" si="23"/>
        <v>567.09119999999996</v>
      </c>
      <c r="H46" s="551">
        <f t="shared" ca="1" si="23"/>
        <v>730.84680000000003</v>
      </c>
      <c r="I46" s="1182">
        <f t="shared" ca="1" si="23"/>
        <v>930.14399999999989</v>
      </c>
      <c r="J46" s="551">
        <f t="shared" ca="1" si="23"/>
        <v>259.55577000000005</v>
      </c>
      <c r="K46" s="551">
        <f t="shared" ca="1" si="23"/>
        <v>273.21660000000003</v>
      </c>
      <c r="L46" s="551">
        <f t="shared" ca="1" si="23"/>
        <v>319.65989999999999</v>
      </c>
      <c r="M46" s="551">
        <f t="shared" ca="1" si="23"/>
        <v>366.36239999999998</v>
      </c>
      <c r="N46" s="551">
        <f t="shared" ca="1" si="23"/>
        <v>414.4905</v>
      </c>
      <c r="O46" s="551">
        <f t="shared" ca="1" si="23"/>
        <v>461.84100000000001</v>
      </c>
      <c r="P46" s="551">
        <f t="shared" ca="1" si="23"/>
        <v>490.92521999999991</v>
      </c>
      <c r="Q46" s="551">
        <f t="shared" ca="1" si="23"/>
        <v>529.45362</v>
      </c>
      <c r="R46" s="1182">
        <f t="shared" ca="1" si="23"/>
        <v>558.87480000000005</v>
      </c>
      <c r="S46" s="551">
        <f t="shared" ca="1" si="23"/>
        <v>258.55785000000003</v>
      </c>
      <c r="T46" s="551">
        <f t="shared" ca="1" si="23"/>
        <v>293.48460000000006</v>
      </c>
      <c r="U46" s="551">
        <f t="shared" ca="1" si="23"/>
        <v>343.30590000000007</v>
      </c>
      <c r="V46" s="551">
        <f t="shared" ca="1" si="23"/>
        <v>393.38640000000009</v>
      </c>
      <c r="W46" s="551">
        <f t="shared" ca="1" si="23"/>
        <v>444.89250000000004</v>
      </c>
      <c r="X46" s="551">
        <f t="shared" ca="1" si="23"/>
        <v>495.62100000000004</v>
      </c>
      <c r="Y46" s="551">
        <f t="shared" ca="1" si="23"/>
        <v>526.73202000000003</v>
      </c>
      <c r="Z46" s="551">
        <f t="shared" ca="1" si="23"/>
        <v>567.96282000000008</v>
      </c>
      <c r="AA46" s="1182">
        <f t="shared" ca="1" si="23"/>
        <v>599.41080000000011</v>
      </c>
      <c r="AB46" s="551">
        <f t="shared" ca="1" si="23"/>
        <v>272.67228</v>
      </c>
      <c r="AC46" s="551">
        <f t="shared" ca="1" si="23"/>
        <v>293.25132000000002</v>
      </c>
      <c r="AD46" s="551">
        <f t="shared" ca="1" si="23"/>
        <v>361.04039999999998</v>
      </c>
      <c r="AE46" s="551">
        <f t="shared" ca="1" si="23"/>
        <v>414.69120000000004</v>
      </c>
      <c r="AF46" s="551">
        <f t="shared" ca="1" si="23"/>
        <v>467.69400000000007</v>
      </c>
      <c r="AG46" s="551">
        <f t="shared" ca="1" si="23"/>
        <v>520.95600000000013</v>
      </c>
      <c r="AH46" s="551">
        <f t="shared" ca="1" si="23"/>
        <v>553.58712000000003</v>
      </c>
      <c r="AI46" s="551">
        <f t="shared" ca="1" si="23"/>
        <v>596.84472000000017</v>
      </c>
      <c r="AJ46" s="1182">
        <f t="shared" ca="1" si="23"/>
        <v>629.81280000000004</v>
      </c>
      <c r="AK46" s="551">
        <f t="shared" ca="1" si="23"/>
        <v>322.43927999999994</v>
      </c>
      <c r="AL46" s="551">
        <f t="shared" ca="1" si="23"/>
        <v>346.77431999999999</v>
      </c>
      <c r="AM46" s="551">
        <f t="shared" ca="1" si="23"/>
        <v>365.8032</v>
      </c>
      <c r="AN46" s="551">
        <f t="shared" ca="1" si="23"/>
        <v>489.81119999999993</v>
      </c>
      <c r="AO46" s="551">
        <f t="shared" ca="1" si="23"/>
        <v>552.20399999999995</v>
      </c>
      <c r="AP46" s="551">
        <f t="shared" ca="1" si="23"/>
        <v>616.15199999999993</v>
      </c>
      <c r="AQ46" s="551">
        <f t="shared" ca="1" si="23"/>
        <v>654.49487999999997</v>
      </c>
      <c r="AR46" s="551">
        <f t="shared" ca="1" si="23"/>
        <v>705.36815999999999</v>
      </c>
      <c r="AS46" s="1182">
        <f t="shared" ca="1" si="23"/>
        <v>744.048</v>
      </c>
      <c r="AT46" s="551">
        <f t="shared" ca="1" si="23"/>
        <v>373.63728000000003</v>
      </c>
      <c r="AU46" s="551">
        <f t="shared" ca="1" si="23"/>
        <v>402.57504000000006</v>
      </c>
      <c r="AV46" s="551">
        <f t="shared" ca="1" si="23"/>
        <v>423.7632000000001</v>
      </c>
      <c r="AW46" s="551">
        <f t="shared" ca="1" si="23"/>
        <v>495.2976000000001</v>
      </c>
      <c r="AX46" s="551">
        <f t="shared" ca="1" si="23"/>
        <v>640.31039999999996</v>
      </c>
      <c r="AY46" s="551">
        <f t="shared" ca="1" si="23"/>
        <v>714.048</v>
      </c>
      <c r="AZ46" s="551">
        <f t="shared" ca="1" si="23"/>
        <v>758.2646400000001</v>
      </c>
      <c r="BA46" s="551">
        <f t="shared" ca="1" si="23"/>
        <v>816.96960000000001</v>
      </c>
      <c r="BB46" s="1182">
        <f t="shared" ca="1" si="23"/>
        <v>861.52320000000009</v>
      </c>
      <c r="BC46" s="551">
        <f t="shared" ca="1" si="23"/>
        <v>426.95315999999997</v>
      </c>
      <c r="BD46" s="551">
        <f t="shared" ca="1" si="23"/>
        <v>459.17603999999994</v>
      </c>
      <c r="BE46" s="551">
        <f t="shared" ca="1" si="23"/>
        <v>483.34320000000002</v>
      </c>
      <c r="BF46" s="551">
        <f t="shared" ca="1" si="23"/>
        <v>565.71479999999997</v>
      </c>
      <c r="BG46" s="551">
        <f t="shared" ca="1" si="23"/>
        <v>647.56799999999998</v>
      </c>
      <c r="BH46" s="551">
        <f t="shared" ca="1" si="23"/>
        <v>813.34799999999996</v>
      </c>
      <c r="BI46" s="551">
        <f t="shared" ca="1" si="23"/>
        <v>863.52264000000002</v>
      </c>
      <c r="BJ46" s="551">
        <f t="shared" ca="1" si="23"/>
        <v>931.6490399999999</v>
      </c>
      <c r="BK46" s="1182">
        <f t="shared" ca="1" si="23"/>
        <v>982.23839999999984</v>
      </c>
      <c r="BL46" s="551">
        <f t="shared" ca="1" si="23"/>
        <v>488.16815999999994</v>
      </c>
      <c r="BM46" s="551">
        <f t="shared" ca="1" si="23"/>
        <v>525.74975999999992</v>
      </c>
      <c r="BN46" s="551">
        <f t="shared" ca="1" si="23"/>
        <v>553.4208000000001</v>
      </c>
      <c r="BO46" s="551">
        <f t="shared" ca="1" si="23"/>
        <v>646.5648000000001</v>
      </c>
      <c r="BP46" s="551">
        <f t="shared" ca="1" si="22"/>
        <v>739.96800000000007</v>
      </c>
      <c r="BQ46" s="551">
        <f t="shared" ca="1" si="22"/>
        <v>834.79680000000008</v>
      </c>
      <c r="BR46" s="551">
        <f t="shared" ca="1" si="22"/>
        <v>987.32639999999992</v>
      </c>
      <c r="BS46" s="551">
        <f t="shared" ca="1" si="22"/>
        <v>1063.3190399999999</v>
      </c>
      <c r="BT46" s="551">
        <f t="shared" ca="1" si="22"/>
        <v>1122.3935999999999</v>
      </c>
    </row>
  </sheetData>
  <sheetProtection algorithmName="SHA-512" hashValue="x0mf5euGvMkSuEJq8XGYrHaK9Oxd75Ituw2481UdQIxD9zxIFt0Cb3vnB0zRQd69gqjrCYUBFaK+fKdx6CNv0A==" saltValue="5d+W13VEfW/oQztv3BdPWw==" spinCount="100000" sheet="1" objects="1" scenarios="1"/>
  <conditionalFormatting sqref="C15:I15">
    <cfRule type="colorScale" priority="3">
      <colorScale>
        <cfvo type="min"/>
        <cfvo type="max"/>
        <color rgb="FF92D050"/>
        <color rgb="FFFEF29A"/>
      </colorScale>
    </cfRule>
  </conditionalFormatting>
  <conditionalFormatting sqref="C19:I19">
    <cfRule type="iconSet" priority="1">
      <iconSet iconSet="3Symbols2" reverse="1">
        <cfvo type="percent" val="0"/>
        <cfvo type="num" val="0.99"/>
        <cfvo type="num" val="1.05"/>
      </iconSet>
    </cfRule>
  </conditionalFormatting>
  <conditionalFormatting sqref="C34:BT34">
    <cfRule type="colorScale" priority="4">
      <colorScale>
        <cfvo type="min"/>
        <cfvo type="max"/>
        <color rgb="FF92D050"/>
        <color rgb="FFFFEF9C"/>
      </colorScale>
    </cfRule>
  </conditionalFormatting>
  <conditionalFormatting sqref="C39:BT46">
    <cfRule type="colorScale" priority="7">
      <colorScale>
        <cfvo type="num" val="100"/>
        <cfvo type="num" val="350"/>
        <cfvo type="num" val="800"/>
        <color rgb="FF92D050"/>
        <color rgb="FFFEF29A"/>
        <color rgb="FFFF7C80"/>
      </colorScale>
    </cfRule>
  </conditionalFormatting>
  <pageMargins left="0.7" right="0.7" top="0.78740157499999996" bottom="0.78740157499999996"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FF9999"/>
    <pageSetUpPr fitToPage="1"/>
  </sheetPr>
  <dimension ref="A1:O98"/>
  <sheetViews>
    <sheetView zoomScale="89" zoomScaleNormal="89" workbookViewId="0">
      <selection activeCell="G31" sqref="G31"/>
    </sheetView>
  </sheetViews>
  <sheetFormatPr baseColWidth="10" defaultColWidth="10.83203125" defaultRowHeight="17"/>
  <cols>
    <col min="1" max="1" width="15.5" style="1145" bestFit="1" customWidth="1"/>
    <col min="2" max="2" width="31.83203125" style="1145" customWidth="1"/>
    <col min="3" max="3" width="11.5" style="1145" customWidth="1"/>
    <col min="4" max="4" width="31.83203125" style="1145" customWidth="1"/>
    <col min="5" max="5" width="11.5" style="1145" customWidth="1"/>
    <col min="6" max="6" width="32" style="1145" customWidth="1"/>
    <col min="7" max="7" width="11.5" style="1145" customWidth="1"/>
    <col min="8" max="8" width="31.83203125" style="1145" customWidth="1"/>
    <col min="9" max="9" width="11.5" style="1145" customWidth="1"/>
    <col min="10" max="10" width="31.83203125" style="1145" customWidth="1"/>
    <col min="11" max="11" width="11.5" style="1145" customWidth="1"/>
    <col min="12" max="12" width="31.83203125" style="1145" customWidth="1"/>
    <col min="13" max="13" width="11.5" style="1145" customWidth="1"/>
    <col min="14" max="14" width="31.83203125" style="1145" customWidth="1"/>
    <col min="15" max="15" width="11.5" style="1145" customWidth="1"/>
    <col min="16" max="16384" width="10.83203125" style="1145"/>
  </cols>
  <sheetData>
    <row r="1" spans="1:15">
      <c r="A1" s="1048" t="s">
        <v>1469</v>
      </c>
      <c r="B1" s="931"/>
      <c r="C1" s="931"/>
    </row>
    <row r="2" spans="1:15">
      <c r="A2" s="1048" t="s">
        <v>2348</v>
      </c>
      <c r="B2" s="931"/>
      <c r="C2" s="931"/>
    </row>
    <row r="3" spans="1:15" ht="15.75" customHeight="1">
      <c r="A3" s="1040"/>
      <c r="B3" s="1040"/>
      <c r="C3" s="931"/>
      <c r="D3" s="701"/>
      <c r="E3" s="931"/>
      <c r="F3" s="931"/>
      <c r="G3" s="931"/>
      <c r="H3" s="931"/>
      <c r="I3" s="931"/>
      <c r="J3" s="931"/>
      <c r="K3" s="931"/>
      <c r="L3" s="931"/>
      <c r="M3" s="931"/>
      <c r="N3" s="931"/>
      <c r="O3" s="931"/>
    </row>
    <row r="4" spans="1:15" ht="18">
      <c r="A4" s="1188" t="s">
        <v>1364</v>
      </c>
      <c r="B4" s="1405" t="s">
        <v>2189</v>
      </c>
      <c r="C4" s="1406"/>
      <c r="D4" s="1405" t="s">
        <v>2054</v>
      </c>
      <c r="E4" s="1406"/>
      <c r="F4" s="1405" t="s">
        <v>2188</v>
      </c>
      <c r="G4" s="1406"/>
      <c r="H4" s="1040"/>
      <c r="I4" s="701"/>
      <c r="J4" s="1040"/>
      <c r="K4" s="701"/>
      <c r="L4" s="1040"/>
      <c r="M4" s="701"/>
      <c r="N4" s="1166"/>
      <c r="O4" s="701"/>
    </row>
    <row r="5" spans="1:15">
      <c r="A5" s="1424"/>
      <c r="B5" s="1425" t="s">
        <v>2187</v>
      </c>
      <c r="C5" s="1036">
        <v>3.6</v>
      </c>
      <c r="D5" s="1425" t="s">
        <v>2207</v>
      </c>
      <c r="E5" s="1036">
        <v>3.6</v>
      </c>
      <c r="F5" s="1425" t="s">
        <v>2208</v>
      </c>
      <c r="G5" s="1036">
        <v>3.6</v>
      </c>
      <c r="H5" s="1040"/>
      <c r="I5" s="1152"/>
      <c r="J5" s="1040"/>
      <c r="K5" s="1152"/>
      <c r="L5" s="1040"/>
      <c r="M5" s="1152"/>
      <c r="N5" s="1040"/>
      <c r="O5" s="1152"/>
    </row>
    <row r="6" spans="1:15" ht="15.75" customHeight="1">
      <c r="A6" s="1424"/>
      <c r="B6" s="1410"/>
      <c r="C6" s="1036">
        <v>1.9</v>
      </c>
      <c r="D6" s="1410"/>
      <c r="E6" s="1036">
        <v>2.9</v>
      </c>
      <c r="F6" s="1410"/>
      <c r="G6" s="1036">
        <v>3.6</v>
      </c>
      <c r="H6" s="701"/>
      <c r="I6" s="1152"/>
      <c r="J6" s="701"/>
      <c r="K6" s="1152"/>
      <c r="L6" s="701"/>
      <c r="M6" s="1152"/>
      <c r="N6" s="701"/>
      <c r="O6" s="1152"/>
    </row>
    <row r="7" spans="1:15" ht="15.75" customHeight="1">
      <c r="A7" s="1424"/>
      <c r="B7" s="1410"/>
      <c r="C7" s="1151">
        <f>C5*C6</f>
        <v>6.84</v>
      </c>
      <c r="D7" s="1410"/>
      <c r="E7" s="1151">
        <f>E5*E6</f>
        <v>10.44</v>
      </c>
      <c r="F7" s="1410"/>
      <c r="G7" s="1151">
        <f>G5*G6</f>
        <v>12.96</v>
      </c>
      <c r="H7" s="701"/>
      <c r="I7" s="1149"/>
      <c r="J7" s="701"/>
      <c r="K7" s="1149"/>
      <c r="L7" s="701"/>
      <c r="M7" s="1149"/>
      <c r="N7" s="701"/>
      <c r="O7" s="1149"/>
    </row>
    <row r="8" spans="1:15" ht="15.75" customHeight="1">
      <c r="A8" s="1424"/>
      <c r="B8" s="1410"/>
      <c r="C8" s="1036">
        <v>2.5</v>
      </c>
      <c r="D8" s="1410"/>
      <c r="E8" s="1036">
        <v>2.5</v>
      </c>
      <c r="F8" s="1410"/>
      <c r="G8" s="1036">
        <v>4.2</v>
      </c>
      <c r="H8" s="701"/>
      <c r="I8" s="1149"/>
      <c r="J8" s="701"/>
      <c r="K8" s="1165"/>
      <c r="L8" s="701"/>
      <c r="M8" s="1165"/>
      <c r="N8" s="701"/>
      <c r="O8" s="1149"/>
    </row>
    <row r="9" spans="1:15" ht="15.75" customHeight="1">
      <c r="A9" s="1424"/>
      <c r="B9" s="1410"/>
      <c r="C9" s="1036">
        <v>3</v>
      </c>
      <c r="D9" s="1410"/>
      <c r="E9" s="1036">
        <v>5.0999999999999996</v>
      </c>
      <c r="F9" s="1410"/>
      <c r="G9" s="1036">
        <v>3</v>
      </c>
      <c r="H9" s="701"/>
      <c r="I9" s="1149"/>
      <c r="J9" s="701"/>
      <c r="K9" s="1149"/>
      <c r="L9" s="701"/>
      <c r="M9" s="1149"/>
      <c r="N9" s="701"/>
      <c r="O9" s="1149"/>
    </row>
    <row r="10" spans="1:15" ht="15.75" customHeight="1">
      <c r="A10" s="1424"/>
      <c r="B10" s="1410"/>
      <c r="C10" s="1151">
        <f>C8*C9</f>
        <v>7.5</v>
      </c>
      <c r="D10" s="1410"/>
      <c r="E10" s="1151">
        <f>E8*E9</f>
        <v>12.75</v>
      </c>
      <c r="F10" s="1410"/>
      <c r="G10" s="1151">
        <f>G8*G9</f>
        <v>12.600000000000001</v>
      </c>
      <c r="H10" s="701"/>
      <c r="I10" s="1149"/>
      <c r="J10" s="701"/>
      <c r="K10" s="1165"/>
      <c r="L10" s="701"/>
      <c r="M10" s="1165"/>
      <c r="N10" s="701"/>
      <c r="O10" s="1149"/>
    </row>
    <row r="11" spans="1:15" ht="15.75" customHeight="1">
      <c r="A11" s="1424"/>
      <c r="B11" s="1410"/>
      <c r="C11" s="1420"/>
      <c r="D11" s="1410"/>
      <c r="E11" s="1036">
        <v>3.6</v>
      </c>
      <c r="F11" s="1410"/>
      <c r="G11" s="1036">
        <v>3.6</v>
      </c>
      <c r="H11" s="701"/>
      <c r="I11" s="1149"/>
      <c r="J11" s="701"/>
      <c r="K11" s="1165"/>
      <c r="L11" s="701"/>
      <c r="M11" s="1165"/>
      <c r="N11" s="701"/>
      <c r="O11" s="1149"/>
    </row>
    <row r="12" spans="1:15" ht="15.75" customHeight="1">
      <c r="A12" s="1424"/>
      <c r="B12" s="1410"/>
      <c r="C12" s="1421"/>
      <c r="D12" s="1410"/>
      <c r="E12" s="1036">
        <v>2.4500000000000002</v>
      </c>
      <c r="F12" s="1410"/>
      <c r="G12" s="1036">
        <v>2.4500000000000002</v>
      </c>
      <c r="H12" s="701"/>
      <c r="I12" s="1149"/>
      <c r="J12" s="701"/>
      <c r="K12" s="1165"/>
      <c r="L12" s="701"/>
      <c r="M12" s="1165"/>
      <c r="N12" s="701"/>
      <c r="O12" s="1149"/>
    </row>
    <row r="13" spans="1:15" ht="15.75" customHeight="1">
      <c r="A13" s="1424"/>
      <c r="B13" s="1410"/>
      <c r="C13" s="1421"/>
      <c r="D13" s="1410"/>
      <c r="E13" s="1151">
        <f>E11*E12</f>
        <v>8.82</v>
      </c>
      <c r="F13" s="1410"/>
      <c r="G13" s="1151">
        <f>G11*G12</f>
        <v>8.82</v>
      </c>
      <c r="H13" s="701"/>
      <c r="I13" s="1149"/>
      <c r="J13" s="701"/>
      <c r="K13" s="1165"/>
      <c r="L13" s="701"/>
      <c r="M13" s="1165"/>
      <c r="N13" s="701"/>
      <c r="O13" s="1149"/>
    </row>
    <row r="14" spans="1:15" ht="15.75" customHeight="1">
      <c r="A14" s="1424"/>
      <c r="B14" s="1410"/>
      <c r="C14" s="1421"/>
      <c r="D14" s="1410"/>
      <c r="E14" s="1036">
        <v>3.6</v>
      </c>
      <c r="F14" s="1410"/>
      <c r="G14" s="1036">
        <v>3.6</v>
      </c>
      <c r="H14" s="701"/>
      <c r="I14" s="1149"/>
      <c r="J14" s="701"/>
      <c r="K14" s="1165"/>
      <c r="L14" s="701"/>
      <c r="M14" s="1165"/>
      <c r="N14" s="701"/>
      <c r="O14" s="1149"/>
    </row>
    <row r="15" spans="1:15" ht="15.75" customHeight="1">
      <c r="A15" s="1424"/>
      <c r="B15" s="1410"/>
      <c r="C15" s="1421"/>
      <c r="D15" s="1410"/>
      <c r="E15" s="1036">
        <v>2.65</v>
      </c>
      <c r="F15" s="1410"/>
      <c r="G15" s="1036">
        <v>2.65</v>
      </c>
      <c r="H15" s="701"/>
      <c r="I15" s="1149"/>
      <c r="J15" s="701"/>
      <c r="K15" s="1165"/>
      <c r="L15" s="701"/>
      <c r="M15" s="1165"/>
      <c r="N15" s="701"/>
      <c r="O15" s="1149"/>
    </row>
    <row r="16" spans="1:15" ht="15.75" customHeight="1">
      <c r="A16" s="1424"/>
      <c r="B16" s="1410"/>
      <c r="C16" s="1421"/>
      <c r="D16" s="1410"/>
      <c r="E16" s="1151">
        <f>E14*E15</f>
        <v>9.5399999999999991</v>
      </c>
      <c r="F16" s="1410"/>
      <c r="G16" s="1151">
        <f>G14*G15</f>
        <v>9.5399999999999991</v>
      </c>
      <c r="H16" s="701"/>
      <c r="I16" s="1149"/>
      <c r="J16" s="701"/>
      <c r="K16" s="1165"/>
      <c r="L16" s="701"/>
      <c r="M16" s="1165"/>
      <c r="N16" s="701"/>
      <c r="O16" s="1149"/>
    </row>
    <row r="17" spans="1:15" ht="15.75" customHeight="1">
      <c r="A17" s="1424"/>
      <c r="B17" s="1410"/>
      <c r="C17" s="1421"/>
      <c r="D17" s="1410"/>
      <c r="E17" s="1036">
        <v>3.6</v>
      </c>
      <c r="F17" s="1410"/>
      <c r="G17" s="1036">
        <v>3.6</v>
      </c>
      <c r="H17" s="701"/>
      <c r="I17" s="1149"/>
      <c r="J17" s="701"/>
      <c r="K17" s="1165"/>
      <c r="L17" s="701"/>
      <c r="M17" s="1165"/>
      <c r="N17" s="701"/>
      <c r="O17" s="1149"/>
    </row>
    <row r="18" spans="1:15" ht="15.75" customHeight="1">
      <c r="A18" s="1424"/>
      <c r="B18" s="1410"/>
      <c r="C18" s="1421"/>
      <c r="D18" s="1410"/>
      <c r="E18" s="1036">
        <v>2.8</v>
      </c>
      <c r="F18" s="1410"/>
      <c r="G18" s="1036">
        <v>2.8</v>
      </c>
      <c r="H18" s="701"/>
      <c r="I18" s="1149"/>
      <c r="J18" s="701"/>
      <c r="K18" s="1165"/>
      <c r="L18" s="701"/>
      <c r="M18" s="1165"/>
      <c r="N18" s="701"/>
      <c r="O18" s="1149"/>
    </row>
    <row r="19" spans="1:15" ht="15.75" customHeight="1">
      <c r="A19" s="1424"/>
      <c r="B19" s="1410"/>
      <c r="C19" s="1421"/>
      <c r="D19" s="1410"/>
      <c r="E19" s="1151">
        <f>E17*E18</f>
        <v>10.08</v>
      </c>
      <c r="F19" s="1410"/>
      <c r="G19" s="1151">
        <f>G17*G18</f>
        <v>10.08</v>
      </c>
      <c r="H19" s="701"/>
      <c r="I19" s="1149"/>
      <c r="J19" s="701"/>
      <c r="K19" s="1165"/>
      <c r="L19" s="701"/>
      <c r="M19" s="1165"/>
      <c r="N19" s="701"/>
      <c r="O19" s="1149"/>
    </row>
    <row r="20" spans="1:15" ht="20.25" customHeight="1">
      <c r="A20" s="1424"/>
      <c r="B20" s="1410"/>
      <c r="C20" s="1422"/>
      <c r="D20" s="1410"/>
      <c r="E20" s="1030"/>
      <c r="F20" s="1410"/>
      <c r="G20" s="1030"/>
      <c r="H20" s="701"/>
      <c r="I20" s="1146"/>
      <c r="J20" s="701"/>
      <c r="K20" s="1146"/>
      <c r="L20" s="701"/>
      <c r="M20" s="1146"/>
      <c r="N20" s="701"/>
      <c r="O20" s="1146"/>
    </row>
    <row r="21" spans="1:15" ht="20.25" customHeight="1">
      <c r="A21" s="1157"/>
      <c r="B21" s="1158"/>
      <c r="C21" s="1151">
        <f>AVERAGE(C7,C10)</f>
        <v>7.17</v>
      </c>
      <c r="D21" s="1158"/>
      <c r="E21" s="1151">
        <f>AVERAGE(E7,E10,E13,E16,E19)</f>
        <v>10.325999999999999</v>
      </c>
      <c r="F21" s="1158"/>
      <c r="G21" s="1151">
        <f>AVERAGE(G19,G16,G13,G10,G7)</f>
        <v>10.8</v>
      </c>
      <c r="H21" s="701"/>
      <c r="I21" s="1146"/>
      <c r="J21" s="701"/>
      <c r="K21" s="1146"/>
      <c r="L21" s="701"/>
      <c r="M21" s="1146"/>
      <c r="N21" s="701"/>
      <c r="O21" s="1146"/>
    </row>
    <row r="22" spans="1:15" ht="15.75" customHeight="1">
      <c r="A22" s="1157"/>
      <c r="B22" s="701"/>
      <c r="C22" s="1156"/>
      <c r="D22" s="701"/>
      <c r="E22" s="1146"/>
      <c r="F22" s="701"/>
      <c r="G22" s="1146"/>
      <c r="H22" s="701"/>
      <c r="I22" s="1146"/>
      <c r="J22" s="701"/>
      <c r="K22" s="1146"/>
      <c r="L22" s="701"/>
      <c r="M22" s="1146"/>
      <c r="N22" s="701"/>
      <c r="O22" s="1146"/>
    </row>
    <row r="23" spans="1:15" ht="18">
      <c r="A23" s="1188" t="s">
        <v>1365</v>
      </c>
      <c r="B23" s="1405" t="s">
        <v>2045</v>
      </c>
      <c r="C23" s="1406"/>
      <c r="D23" s="1405" t="s">
        <v>2044</v>
      </c>
      <c r="E23" s="1406"/>
      <c r="F23" s="1405" t="s">
        <v>2043</v>
      </c>
      <c r="G23" s="1407"/>
      <c r="H23" s="1408"/>
      <c r="I23" s="1401"/>
      <c r="J23" s="1400"/>
      <c r="K23" s="1401"/>
      <c r="L23" s="1400"/>
      <c r="M23" s="1401"/>
      <c r="N23" s="1402"/>
      <c r="O23" s="1401"/>
    </row>
    <row r="24" spans="1:15" ht="15.75" customHeight="1">
      <c r="A24" s="1424"/>
      <c r="B24" s="1404"/>
      <c r="C24" s="1036">
        <v>2.4500000000000002</v>
      </c>
      <c r="D24" s="1404"/>
      <c r="E24" s="1036">
        <v>3</v>
      </c>
      <c r="F24" s="1404"/>
      <c r="G24" s="1153">
        <v>3</v>
      </c>
      <c r="H24" s="1147"/>
      <c r="I24" s="1152"/>
      <c r="J24" s="701"/>
      <c r="K24" s="1152"/>
      <c r="L24" s="701"/>
      <c r="M24" s="1152"/>
      <c r="N24" s="701"/>
      <c r="O24" s="1152"/>
    </row>
    <row r="25" spans="1:15" ht="15.75" customHeight="1">
      <c r="A25" s="1424"/>
      <c r="B25" s="1404"/>
      <c r="C25" s="1036">
        <v>1.8</v>
      </c>
      <c r="D25" s="1404"/>
      <c r="E25" s="1036">
        <v>1.9</v>
      </c>
      <c r="F25" s="1404"/>
      <c r="G25" s="1153">
        <v>3.5</v>
      </c>
      <c r="H25" s="1147"/>
      <c r="I25" s="1152"/>
      <c r="J25" s="701"/>
      <c r="K25" s="1152"/>
      <c r="L25" s="701"/>
      <c r="M25" s="1152"/>
      <c r="N25" s="701"/>
      <c r="O25" s="1152"/>
    </row>
    <row r="26" spans="1:15" ht="15" customHeight="1">
      <c r="A26" s="1424"/>
      <c r="B26" s="1404"/>
      <c r="C26" s="1151">
        <f>C25*C24</f>
        <v>4.41</v>
      </c>
      <c r="D26" s="1404"/>
      <c r="E26" s="1151">
        <f>E25*E24</f>
        <v>5.6999999999999993</v>
      </c>
      <c r="F26" s="1404"/>
      <c r="G26" s="1150">
        <f>G25*G24</f>
        <v>10.5</v>
      </c>
      <c r="H26" s="1147"/>
      <c r="I26" s="1149"/>
      <c r="J26" s="701"/>
      <c r="K26" s="1149"/>
      <c r="L26" s="701"/>
      <c r="M26" s="1149"/>
      <c r="N26" s="701"/>
      <c r="O26" s="1149"/>
    </row>
    <row r="27" spans="1:15" ht="15.75" customHeight="1">
      <c r="A27" s="1424"/>
      <c r="B27" s="1404"/>
      <c r="C27" s="1036"/>
      <c r="D27" s="1404"/>
      <c r="E27" s="1036"/>
      <c r="F27" s="1404"/>
      <c r="G27" s="1153">
        <v>2.4500000000000002</v>
      </c>
      <c r="H27" s="1147"/>
      <c r="I27" s="1152"/>
      <c r="J27" s="701"/>
      <c r="K27" s="1152"/>
      <c r="L27" s="701"/>
      <c r="M27" s="1152"/>
      <c r="N27" s="701"/>
      <c r="O27" s="1152"/>
    </row>
    <row r="28" spans="1:15" ht="15.75" customHeight="1">
      <c r="A28" s="1424"/>
      <c r="B28" s="1404"/>
      <c r="C28" s="1036"/>
      <c r="D28" s="1404"/>
      <c r="E28" s="1036"/>
      <c r="F28" s="1404"/>
      <c r="G28" s="1153">
        <v>4.8</v>
      </c>
      <c r="H28" s="1147"/>
      <c r="I28" s="1152"/>
      <c r="J28" s="701"/>
      <c r="K28" s="1152"/>
      <c r="L28" s="701"/>
      <c r="M28" s="1152"/>
      <c r="N28" s="701"/>
      <c r="O28" s="1152"/>
    </row>
    <row r="29" spans="1:15" ht="15" customHeight="1">
      <c r="A29" s="1424"/>
      <c r="B29" s="1404"/>
      <c r="C29" s="1036"/>
      <c r="D29" s="1404"/>
      <c r="E29" s="1036"/>
      <c r="F29" s="1404"/>
      <c r="G29" s="1150">
        <f>G28*G27</f>
        <v>11.76</v>
      </c>
      <c r="H29" s="1147"/>
      <c r="I29" s="1152"/>
      <c r="J29" s="701"/>
      <c r="K29" s="1152"/>
      <c r="L29" s="701"/>
      <c r="M29" s="1149"/>
      <c r="N29" s="701"/>
      <c r="O29" s="1149"/>
    </row>
    <row r="30" spans="1:15" ht="42.75" customHeight="1">
      <c r="A30" s="1424"/>
      <c r="B30" s="1404"/>
      <c r="C30" s="1164"/>
      <c r="D30" s="1404"/>
      <c r="E30" s="1164"/>
      <c r="F30" s="1404"/>
      <c r="G30" s="1148"/>
      <c r="H30" s="1147"/>
      <c r="I30" s="1163"/>
      <c r="J30" s="701"/>
      <c r="K30" s="1163"/>
      <c r="L30" s="701"/>
      <c r="M30" s="1146"/>
      <c r="N30" s="701"/>
      <c r="O30" s="1146"/>
    </row>
    <row r="31" spans="1:15" ht="20.25" customHeight="1">
      <c r="A31" s="1157"/>
      <c r="F31" s="1158"/>
      <c r="G31" s="1151">
        <f>AVERAGE(G29,G26)</f>
        <v>11.129999999999999</v>
      </c>
      <c r="H31" s="701"/>
      <c r="I31" s="1146"/>
      <c r="J31" s="701"/>
      <c r="K31" s="1146"/>
      <c r="L31" s="701"/>
      <c r="M31" s="1146"/>
      <c r="N31" s="701"/>
      <c r="O31" s="1146"/>
    </row>
    <row r="32" spans="1:15" ht="15.75" customHeight="1">
      <c r="A32" s="1157"/>
      <c r="B32" s="701"/>
      <c r="C32" s="1156"/>
      <c r="D32" s="701"/>
      <c r="E32" s="1146"/>
      <c r="F32" s="701"/>
      <c r="G32" s="1146"/>
      <c r="H32" s="701"/>
      <c r="I32" s="1146"/>
      <c r="J32" s="701"/>
      <c r="K32" s="1146"/>
      <c r="L32" s="701"/>
      <c r="M32" s="1146"/>
      <c r="N32" s="701"/>
      <c r="O32" s="1146"/>
    </row>
    <row r="33" spans="1:15" ht="18">
      <c r="A33" s="1188" t="s">
        <v>1366</v>
      </c>
      <c r="B33" s="1405" t="s">
        <v>1357</v>
      </c>
      <c r="C33" s="1406"/>
      <c r="D33" s="1405" t="s">
        <v>1358</v>
      </c>
      <c r="E33" s="1406"/>
      <c r="F33" s="1405" t="s">
        <v>1359</v>
      </c>
      <c r="G33" s="1406"/>
      <c r="H33" s="1405" t="s">
        <v>1360</v>
      </c>
      <c r="I33" s="1406"/>
      <c r="J33" s="1405" t="s">
        <v>1361</v>
      </c>
      <c r="K33" s="1406"/>
      <c r="L33" s="1405" t="s">
        <v>1362</v>
      </c>
      <c r="M33" s="1406"/>
      <c r="N33" s="1409" t="s">
        <v>1363</v>
      </c>
      <c r="O33" s="1406"/>
    </row>
    <row r="34" spans="1:15" ht="15.75" customHeight="1">
      <c r="A34" s="1403"/>
      <c r="B34" s="1423" t="s">
        <v>2186</v>
      </c>
      <c r="C34" s="1036">
        <v>1.5</v>
      </c>
      <c r="D34" s="1423" t="s">
        <v>2186</v>
      </c>
      <c r="E34" s="1036">
        <v>1.5</v>
      </c>
      <c r="F34" s="1423"/>
      <c r="G34" s="1036">
        <v>2.4</v>
      </c>
      <c r="H34" s="1423"/>
      <c r="I34" s="1036">
        <v>2.4</v>
      </c>
      <c r="J34" s="1423"/>
      <c r="K34" s="1036">
        <v>2.4</v>
      </c>
      <c r="L34" s="1423"/>
      <c r="M34" s="1036">
        <v>2.4</v>
      </c>
      <c r="N34" s="1423"/>
      <c r="O34" s="1036">
        <v>2.4</v>
      </c>
    </row>
    <row r="35" spans="1:15" ht="15.75" customHeight="1">
      <c r="A35" s="1404"/>
      <c r="B35" s="1423"/>
      <c r="C35" s="1036">
        <v>1.5</v>
      </c>
      <c r="D35" s="1423"/>
      <c r="E35" s="1036">
        <v>1.5</v>
      </c>
      <c r="F35" s="1423"/>
      <c r="G35" s="1036">
        <v>1.5</v>
      </c>
      <c r="H35" s="1423"/>
      <c r="I35" s="1036">
        <v>1.8</v>
      </c>
      <c r="J35" s="1423"/>
      <c r="K35" s="1036">
        <v>2.1</v>
      </c>
      <c r="L35" s="1423"/>
      <c r="M35" s="1036">
        <v>2.4</v>
      </c>
      <c r="N35" s="1423"/>
      <c r="O35" s="1036">
        <v>2.7</v>
      </c>
    </row>
    <row r="36" spans="1:15" ht="15.75" customHeight="1">
      <c r="A36" s="1404"/>
      <c r="B36" s="1423"/>
      <c r="C36" s="1151">
        <f>C34*C35</f>
        <v>2.25</v>
      </c>
      <c r="D36" s="1423"/>
      <c r="E36" s="1151">
        <f>E34*E35</f>
        <v>2.25</v>
      </c>
      <c r="F36" s="1423"/>
      <c r="G36" s="1151">
        <f>G34*G35</f>
        <v>3.5999999999999996</v>
      </c>
      <c r="H36" s="1423"/>
      <c r="I36" s="1151">
        <f>I34*I35</f>
        <v>4.32</v>
      </c>
      <c r="J36" s="1423"/>
      <c r="K36" s="1151">
        <f>K34*K35</f>
        <v>5.04</v>
      </c>
      <c r="L36" s="1423"/>
      <c r="M36" s="1151">
        <f>M34*M35</f>
        <v>5.76</v>
      </c>
      <c r="N36" s="1423"/>
      <c r="O36" s="1151">
        <f>O34*O35</f>
        <v>6.48</v>
      </c>
    </row>
    <row r="37" spans="1:15" ht="15.75" customHeight="1">
      <c r="A37" s="1404"/>
      <c r="B37" s="1423"/>
      <c r="C37" s="1036">
        <v>1.2</v>
      </c>
      <c r="D37" s="1423"/>
      <c r="E37" s="1036">
        <v>1.2</v>
      </c>
      <c r="F37" s="1423"/>
      <c r="G37" s="1420"/>
      <c r="H37" s="1423"/>
      <c r="I37" s="1420"/>
      <c r="J37" s="1423"/>
      <c r="K37" s="1420"/>
      <c r="L37" s="1423"/>
      <c r="M37" s="1420"/>
      <c r="N37" s="1423"/>
      <c r="O37" s="1420"/>
    </row>
    <row r="38" spans="1:15" ht="15.75" customHeight="1">
      <c r="A38" s="1404"/>
      <c r="B38" s="1423"/>
      <c r="C38" s="1036">
        <v>2.4</v>
      </c>
      <c r="D38" s="1423"/>
      <c r="E38" s="1036">
        <v>2.4</v>
      </c>
      <c r="F38" s="1423"/>
      <c r="G38" s="1421"/>
      <c r="H38" s="1423"/>
      <c r="I38" s="1421"/>
      <c r="J38" s="1423"/>
      <c r="K38" s="1421"/>
      <c r="L38" s="1423"/>
      <c r="M38" s="1421"/>
      <c r="N38" s="1423"/>
      <c r="O38" s="1421"/>
    </row>
    <row r="39" spans="1:15" ht="15.75" customHeight="1">
      <c r="A39" s="1404"/>
      <c r="B39" s="1423"/>
      <c r="C39" s="1151">
        <f>C37*C38</f>
        <v>2.88</v>
      </c>
      <c r="D39" s="1423"/>
      <c r="E39" s="1151">
        <f>E37*E38</f>
        <v>2.88</v>
      </c>
      <c r="F39" s="1423"/>
      <c r="G39" s="1421"/>
      <c r="H39" s="1423"/>
      <c r="I39" s="1421"/>
      <c r="J39" s="1423"/>
      <c r="K39" s="1421"/>
      <c r="L39" s="1423"/>
      <c r="M39" s="1421"/>
      <c r="N39" s="1423"/>
      <c r="O39" s="1421"/>
    </row>
    <row r="40" spans="1:15" ht="15" customHeight="1">
      <c r="A40" s="1404"/>
      <c r="B40" s="1423"/>
      <c r="C40" s="1030"/>
      <c r="D40" s="1423"/>
      <c r="E40" s="1030"/>
      <c r="F40" s="1423"/>
      <c r="G40" s="1422"/>
      <c r="H40" s="1423"/>
      <c r="I40" s="1422"/>
      <c r="J40" s="1423"/>
      <c r="K40" s="1422"/>
      <c r="L40" s="1423"/>
      <c r="M40" s="1422"/>
      <c r="N40" s="1423"/>
      <c r="O40" s="1422"/>
    </row>
    <row r="41" spans="1:15" ht="15" customHeight="1">
      <c r="A41" s="701"/>
      <c r="B41" s="1162"/>
      <c r="C41" s="1151">
        <f>AVERAGE(C39,C36)</f>
        <v>2.5649999999999999</v>
      </c>
      <c r="D41" s="1162"/>
      <c r="E41" s="1151">
        <f>AVERAGE(E39,E36)</f>
        <v>2.5649999999999999</v>
      </c>
      <c r="F41" s="1162"/>
      <c r="G41" s="1161"/>
      <c r="H41" s="1162"/>
      <c r="I41" s="1161"/>
      <c r="J41" s="1162"/>
      <c r="K41" s="1161"/>
      <c r="L41" s="1162"/>
      <c r="M41" s="1161"/>
      <c r="N41" s="1162"/>
      <c r="O41" s="1161"/>
    </row>
    <row r="42" spans="1:15" ht="15.75" customHeight="1">
      <c r="A42" s="1157"/>
      <c r="B42" s="701"/>
      <c r="C42" s="1156"/>
      <c r="D42" s="701"/>
      <c r="E42" s="1146"/>
      <c r="F42" s="701"/>
      <c r="G42" s="1146"/>
      <c r="H42" s="701"/>
      <c r="I42" s="1146"/>
      <c r="J42" s="701"/>
      <c r="K42" s="1146"/>
      <c r="L42" s="701"/>
      <c r="M42" s="1146"/>
      <c r="N42" s="701"/>
      <c r="O42" s="1146"/>
    </row>
    <row r="43" spans="1:15" ht="18">
      <c r="A43" s="1188" t="s">
        <v>1367</v>
      </c>
      <c r="B43" s="1405" t="s">
        <v>1357</v>
      </c>
      <c r="C43" s="1406"/>
      <c r="D43" s="1405" t="s">
        <v>1358</v>
      </c>
      <c r="E43" s="1406"/>
      <c r="F43" s="1405" t="s">
        <v>1359</v>
      </c>
      <c r="G43" s="1406"/>
      <c r="H43" s="1405" t="s">
        <v>1360</v>
      </c>
      <c r="I43" s="1406"/>
      <c r="J43" s="1405" t="s">
        <v>1361</v>
      </c>
      <c r="K43" s="1406"/>
      <c r="L43" s="1405" t="s">
        <v>1362</v>
      </c>
      <c r="M43" s="1406"/>
      <c r="N43" s="1409" t="s">
        <v>1363</v>
      </c>
      <c r="O43" s="1406"/>
    </row>
    <row r="44" spans="1:15" ht="15.75" customHeight="1">
      <c r="A44" s="1403"/>
      <c r="B44" s="1414"/>
      <c r="C44" s="1036">
        <v>1.8</v>
      </c>
      <c r="D44" s="1414"/>
      <c r="E44" s="1036">
        <v>2.4</v>
      </c>
      <c r="F44" s="1417" t="s">
        <v>2186</v>
      </c>
      <c r="G44" s="1036">
        <v>1.8</v>
      </c>
      <c r="H44" s="1414"/>
      <c r="I44" s="1036">
        <v>2.4</v>
      </c>
      <c r="J44" s="1414"/>
      <c r="K44" s="1036">
        <v>3</v>
      </c>
      <c r="L44" s="1414"/>
      <c r="M44" s="1036">
        <v>3.6</v>
      </c>
      <c r="N44" s="1414"/>
      <c r="O44" s="1036">
        <v>3.6</v>
      </c>
    </row>
    <row r="45" spans="1:15" ht="15.75" customHeight="1">
      <c r="A45" s="1404"/>
      <c r="B45" s="1415"/>
      <c r="C45" s="1036">
        <v>1.5</v>
      </c>
      <c r="D45" s="1415"/>
      <c r="E45" s="1036">
        <v>1.5</v>
      </c>
      <c r="F45" s="1418"/>
      <c r="G45" s="1036">
        <v>2.4</v>
      </c>
      <c r="H45" s="1415"/>
      <c r="I45" s="1036">
        <v>2.4</v>
      </c>
      <c r="J45" s="1415"/>
      <c r="K45" s="1036">
        <v>2.4</v>
      </c>
      <c r="L45" s="1415"/>
      <c r="M45" s="1036">
        <v>2.4</v>
      </c>
      <c r="N45" s="1415"/>
      <c r="O45" s="1036">
        <v>2.4</v>
      </c>
    </row>
    <row r="46" spans="1:15" ht="15.75" customHeight="1">
      <c r="A46" s="1404"/>
      <c r="B46" s="1415"/>
      <c r="C46" s="1151">
        <f>C44*C45</f>
        <v>2.7</v>
      </c>
      <c r="D46" s="1415"/>
      <c r="E46" s="1151">
        <f>E44*E45</f>
        <v>3.5999999999999996</v>
      </c>
      <c r="F46" s="1418"/>
      <c r="G46" s="1151">
        <f>G44*G45</f>
        <v>4.32</v>
      </c>
      <c r="H46" s="1415"/>
      <c r="I46" s="1151">
        <f>I44*I45</f>
        <v>5.76</v>
      </c>
      <c r="J46" s="1415"/>
      <c r="K46" s="1151">
        <f>K44*K45</f>
        <v>7.1999999999999993</v>
      </c>
      <c r="L46" s="1415"/>
      <c r="M46" s="1151">
        <f>M44*M45</f>
        <v>8.64</v>
      </c>
      <c r="N46" s="1415"/>
      <c r="O46" s="1151">
        <f>O44*O45</f>
        <v>8.64</v>
      </c>
    </row>
    <row r="47" spans="1:15" ht="15.75" customHeight="1">
      <c r="A47" s="1404"/>
      <c r="B47" s="1415"/>
      <c r="C47" s="1411"/>
      <c r="D47" s="1415"/>
      <c r="E47" s="1411"/>
      <c r="F47" s="1418"/>
      <c r="G47" s="1036">
        <v>3</v>
      </c>
      <c r="H47" s="1415"/>
      <c r="I47" s="1160"/>
      <c r="J47" s="1415"/>
      <c r="K47" s="1160"/>
      <c r="L47" s="1415"/>
      <c r="M47" s="1036">
        <v>3</v>
      </c>
      <c r="N47" s="1415"/>
      <c r="O47" s="1036">
        <v>3</v>
      </c>
    </row>
    <row r="48" spans="1:15" ht="15.75" customHeight="1">
      <c r="A48" s="1404"/>
      <c r="B48" s="1415"/>
      <c r="C48" s="1412"/>
      <c r="D48" s="1415"/>
      <c r="E48" s="1412"/>
      <c r="F48" s="1418"/>
      <c r="G48" s="1036">
        <v>1.5</v>
      </c>
      <c r="H48" s="1415"/>
      <c r="I48" s="1160"/>
      <c r="J48" s="1415"/>
      <c r="K48" s="1160"/>
      <c r="L48" s="1415"/>
      <c r="M48" s="1036">
        <v>3</v>
      </c>
      <c r="N48" s="1415"/>
      <c r="O48" s="1036">
        <v>3</v>
      </c>
    </row>
    <row r="49" spans="1:15" ht="15.75" customHeight="1">
      <c r="A49" s="1404"/>
      <c r="B49" s="1415"/>
      <c r="C49" s="1412"/>
      <c r="D49" s="1415"/>
      <c r="E49" s="1412"/>
      <c r="F49" s="1418"/>
      <c r="G49" s="1151">
        <f>G47*G48</f>
        <v>4.5</v>
      </c>
      <c r="H49" s="1415"/>
      <c r="I49" s="1160"/>
      <c r="J49" s="1415"/>
      <c r="K49" s="1160"/>
      <c r="L49" s="1415"/>
      <c r="M49" s="1151">
        <f>M47*M48</f>
        <v>9</v>
      </c>
      <c r="N49" s="1415"/>
      <c r="O49" s="1151">
        <f>O47*O48</f>
        <v>9</v>
      </c>
    </row>
    <row r="50" spans="1:15" ht="15.75" customHeight="1">
      <c r="A50" s="1404"/>
      <c r="B50" s="1416"/>
      <c r="C50" s="1413"/>
      <c r="D50" s="1416"/>
      <c r="E50" s="1413"/>
      <c r="F50" s="1419"/>
      <c r="G50" s="1030"/>
      <c r="H50" s="1416"/>
      <c r="I50" s="1030"/>
      <c r="J50" s="1416"/>
      <c r="K50" s="1030"/>
      <c r="L50" s="1416"/>
      <c r="M50" s="1030"/>
      <c r="N50" s="1416"/>
      <c r="O50" s="1030"/>
    </row>
    <row r="51" spans="1:15" ht="15.75" customHeight="1">
      <c r="A51" s="701"/>
      <c r="B51" s="1187"/>
      <c r="C51" s="1159"/>
      <c r="D51" s="1187"/>
      <c r="E51" s="1159"/>
      <c r="F51" s="1158"/>
      <c r="G51" s="1151">
        <f>AVERAGE(G49,G46)</f>
        <v>4.41</v>
      </c>
      <c r="H51" s="1187"/>
      <c r="I51" s="1146"/>
      <c r="J51" s="1187"/>
      <c r="K51" s="1146"/>
      <c r="L51" s="1187"/>
      <c r="M51" s="1151">
        <f>AVERAGE(M49,M46)</f>
        <v>8.82</v>
      </c>
      <c r="N51" s="1187"/>
      <c r="O51" s="1151">
        <f>AVERAGE(O49,O46)</f>
        <v>8.82</v>
      </c>
    </row>
    <row r="52" spans="1:15" ht="15.75" customHeight="1">
      <c r="A52" s="1157"/>
      <c r="B52" s="701"/>
      <c r="C52" s="1156"/>
      <c r="D52" s="701"/>
      <c r="E52" s="1146"/>
      <c r="F52" s="701"/>
      <c r="G52" s="1146"/>
      <c r="H52" s="701"/>
      <c r="I52" s="1146"/>
      <c r="J52" s="701"/>
      <c r="K52" s="1146"/>
      <c r="L52" s="701"/>
      <c r="M52" s="1146"/>
      <c r="N52" s="701"/>
      <c r="O52" s="1146"/>
    </row>
    <row r="53" spans="1:15" ht="66" customHeight="1">
      <c r="A53" s="1188" t="s">
        <v>1368</v>
      </c>
      <c r="B53" s="1405" t="s">
        <v>1357</v>
      </c>
      <c r="C53" s="1406"/>
      <c r="D53" s="1405" t="s">
        <v>1358</v>
      </c>
      <c r="E53" s="1406"/>
      <c r="F53" s="1405" t="s">
        <v>1359</v>
      </c>
      <c r="G53" s="1406"/>
      <c r="H53" s="1405" t="s">
        <v>1360</v>
      </c>
      <c r="I53" s="1406"/>
      <c r="J53" s="1405" t="s">
        <v>1361</v>
      </c>
      <c r="K53" s="1406"/>
      <c r="L53" s="1405" t="s">
        <v>1362</v>
      </c>
      <c r="M53" s="1406"/>
      <c r="N53" s="1409" t="s">
        <v>1363</v>
      </c>
      <c r="O53" s="1406"/>
    </row>
    <row r="54" spans="1:15" ht="15.75" customHeight="1">
      <c r="A54" s="1403"/>
      <c r="B54" s="1404"/>
      <c r="C54" s="1036">
        <v>2.4</v>
      </c>
      <c r="D54" s="1404"/>
      <c r="E54" s="1036">
        <v>2.4</v>
      </c>
      <c r="F54" s="1404"/>
      <c r="G54" s="1036">
        <v>2.4</v>
      </c>
      <c r="H54" s="1404"/>
      <c r="I54" s="1036">
        <v>2.4</v>
      </c>
      <c r="J54" s="1410" t="s">
        <v>2186</v>
      </c>
      <c r="K54" s="1036">
        <v>3.2</v>
      </c>
      <c r="L54" s="1410" t="s">
        <v>2186</v>
      </c>
      <c r="M54" s="1036">
        <v>3.9</v>
      </c>
      <c r="N54" s="1410" t="s">
        <v>2186</v>
      </c>
      <c r="O54" s="1036">
        <v>4.0999999999999996</v>
      </c>
    </row>
    <row r="55" spans="1:15" ht="15.75" customHeight="1">
      <c r="A55" s="1404"/>
      <c r="B55" s="1404"/>
      <c r="C55" s="1036">
        <v>2.4</v>
      </c>
      <c r="D55" s="1404"/>
      <c r="E55" s="1036">
        <v>2.4</v>
      </c>
      <c r="F55" s="1404"/>
      <c r="G55" s="1036">
        <v>2.4</v>
      </c>
      <c r="H55" s="1404"/>
      <c r="I55" s="1036">
        <v>2.4</v>
      </c>
      <c r="J55" s="1410"/>
      <c r="K55" s="1036">
        <v>2.4</v>
      </c>
      <c r="L55" s="1410"/>
      <c r="M55" s="1036">
        <v>2.4</v>
      </c>
      <c r="N55" s="1410"/>
      <c r="O55" s="1036">
        <v>2.4</v>
      </c>
    </row>
    <row r="56" spans="1:15">
      <c r="A56" s="1404"/>
      <c r="B56" s="1404"/>
      <c r="C56" s="1151">
        <f>C54*C55</f>
        <v>5.76</v>
      </c>
      <c r="D56" s="1404"/>
      <c r="E56" s="1151">
        <f>E54*E55</f>
        <v>5.76</v>
      </c>
      <c r="F56" s="1404"/>
      <c r="G56" s="1151">
        <f>G54*G55</f>
        <v>5.76</v>
      </c>
      <c r="H56" s="1404"/>
      <c r="I56" s="1151">
        <f>I54*I55</f>
        <v>5.76</v>
      </c>
      <c r="J56" s="1410"/>
      <c r="K56" s="1151">
        <f>K54*K55</f>
        <v>7.68</v>
      </c>
      <c r="L56" s="1410"/>
      <c r="M56" s="1151">
        <f>M54*M55</f>
        <v>9.36</v>
      </c>
      <c r="N56" s="1410"/>
      <c r="O56" s="1151">
        <f>O54*O55</f>
        <v>9.8399999999999981</v>
      </c>
    </row>
    <row r="57" spans="1:15" ht="15.75" customHeight="1">
      <c r="A57" s="1404"/>
      <c r="B57" s="1404"/>
      <c r="C57" s="1411"/>
      <c r="D57" s="1404"/>
      <c r="E57" s="1411"/>
      <c r="F57" s="1404"/>
      <c r="G57" s="1411"/>
      <c r="H57" s="1404"/>
      <c r="I57" s="1411"/>
      <c r="J57" s="1410"/>
      <c r="K57" s="1036">
        <v>2.5</v>
      </c>
      <c r="L57" s="1410"/>
      <c r="M57" s="1036">
        <v>3</v>
      </c>
      <c r="N57" s="1410"/>
      <c r="O57" s="1036">
        <v>3</v>
      </c>
    </row>
    <row r="58" spans="1:15" ht="15.75" customHeight="1">
      <c r="A58" s="1404"/>
      <c r="B58" s="1404"/>
      <c r="C58" s="1412"/>
      <c r="D58" s="1404"/>
      <c r="E58" s="1412"/>
      <c r="F58" s="1404"/>
      <c r="G58" s="1412"/>
      <c r="H58" s="1404"/>
      <c r="I58" s="1412"/>
      <c r="J58" s="1410"/>
      <c r="K58" s="1036">
        <v>2.8</v>
      </c>
      <c r="L58" s="1410"/>
      <c r="M58" s="1036">
        <v>3</v>
      </c>
      <c r="N58" s="1410"/>
      <c r="O58" s="1036">
        <v>3</v>
      </c>
    </row>
    <row r="59" spans="1:15">
      <c r="A59" s="1404"/>
      <c r="B59" s="1404"/>
      <c r="C59" s="1412"/>
      <c r="D59" s="1404"/>
      <c r="E59" s="1412"/>
      <c r="F59" s="1404"/>
      <c r="G59" s="1412"/>
      <c r="H59" s="1404"/>
      <c r="I59" s="1412"/>
      <c r="J59" s="1410"/>
      <c r="K59" s="1151">
        <f>K57*K58</f>
        <v>7</v>
      </c>
      <c r="L59" s="1410"/>
      <c r="M59" s="1151">
        <f>M57*M58</f>
        <v>9</v>
      </c>
      <c r="N59" s="1410"/>
      <c r="O59" s="1151">
        <f>O57*O58</f>
        <v>9</v>
      </c>
    </row>
    <row r="60" spans="1:15" ht="65.25" customHeight="1">
      <c r="A60" s="1404"/>
      <c r="B60" s="1404"/>
      <c r="C60" s="1413"/>
      <c r="D60" s="1404"/>
      <c r="E60" s="1413"/>
      <c r="F60" s="1404"/>
      <c r="G60" s="1413"/>
      <c r="H60" s="1404"/>
      <c r="I60" s="1413"/>
      <c r="J60" s="1410"/>
      <c r="K60" s="1030"/>
      <c r="L60" s="1410"/>
      <c r="M60" s="1030"/>
      <c r="N60" s="1410"/>
      <c r="O60" s="1030"/>
    </row>
    <row r="61" spans="1:15" ht="22.5" customHeight="1">
      <c r="A61" s="701"/>
      <c r="B61" s="701"/>
      <c r="C61" s="1159"/>
      <c r="D61" s="701"/>
      <c r="E61" s="1159"/>
      <c r="F61" s="701"/>
      <c r="G61" s="1159"/>
      <c r="H61" s="701"/>
      <c r="I61" s="1159"/>
      <c r="J61" s="1158"/>
      <c r="K61" s="1151">
        <f>AVERAGE(K59,K56)</f>
        <v>7.34</v>
      </c>
      <c r="L61" s="1158"/>
      <c r="M61" s="1151">
        <f>AVERAGE(M59,M56)</f>
        <v>9.18</v>
      </c>
      <c r="N61" s="1158"/>
      <c r="O61" s="1151">
        <f>AVERAGE(O59,O56)</f>
        <v>9.4199999999999982</v>
      </c>
    </row>
    <row r="62" spans="1:15" ht="20">
      <c r="A62" s="1157"/>
      <c r="B62" s="701"/>
      <c r="C62" s="1156"/>
      <c r="D62" s="701"/>
      <c r="E62" s="1146"/>
      <c r="F62" s="701"/>
      <c r="G62" s="1146"/>
      <c r="H62" s="701"/>
      <c r="I62" s="1146"/>
      <c r="J62" s="701"/>
      <c r="K62" s="1146"/>
      <c r="L62" s="701"/>
      <c r="M62" s="1146"/>
      <c r="N62" s="701"/>
      <c r="O62" s="1146"/>
    </row>
    <row r="63" spans="1:15" ht="18">
      <c r="A63" s="1188" t="s">
        <v>1369</v>
      </c>
      <c r="B63" s="1405" t="s">
        <v>2185</v>
      </c>
      <c r="C63" s="1406"/>
      <c r="D63" s="1405" t="s">
        <v>2184</v>
      </c>
      <c r="E63" s="1406"/>
      <c r="F63" s="1405" t="s">
        <v>2038</v>
      </c>
      <c r="G63" s="1406"/>
      <c r="H63" s="1405" t="s">
        <v>2183</v>
      </c>
      <c r="I63" s="1407"/>
      <c r="J63" s="1408"/>
      <c r="K63" s="1401"/>
      <c r="L63" s="1400"/>
      <c r="M63" s="1401"/>
      <c r="N63" s="1402"/>
      <c r="O63" s="1401"/>
    </row>
    <row r="64" spans="1:15">
      <c r="A64" s="1403"/>
      <c r="B64" s="1403"/>
      <c r="C64" s="1036">
        <v>1.7</v>
      </c>
      <c r="D64" s="1403"/>
      <c r="E64" s="1036">
        <v>1.9</v>
      </c>
      <c r="F64" s="1403"/>
      <c r="G64" s="1036">
        <v>1.8</v>
      </c>
      <c r="H64" s="1403"/>
      <c r="I64" s="1153">
        <v>1.6</v>
      </c>
      <c r="J64" s="1155"/>
      <c r="K64" s="1152"/>
      <c r="L64" s="1154"/>
      <c r="M64" s="1152"/>
      <c r="N64" s="1154"/>
      <c r="O64" s="1152"/>
    </row>
    <row r="65" spans="1:15" ht="18">
      <c r="A65" s="1404"/>
      <c r="B65" s="1404"/>
      <c r="C65" s="1036">
        <v>2.4</v>
      </c>
      <c r="D65" s="1404"/>
      <c r="E65" s="1036">
        <v>2.4</v>
      </c>
      <c r="F65" s="1404"/>
      <c r="G65" s="1036">
        <v>2.5</v>
      </c>
      <c r="H65" s="1404"/>
      <c r="I65" s="1153">
        <v>0.9</v>
      </c>
      <c r="J65" s="1147"/>
      <c r="K65" s="1152"/>
      <c r="L65" s="701"/>
      <c r="M65" s="1152"/>
      <c r="N65" s="701"/>
      <c r="O65" s="1152"/>
    </row>
    <row r="66" spans="1:15" ht="18">
      <c r="A66" s="1404"/>
      <c r="B66" s="1404"/>
      <c r="C66" s="1151">
        <f>C64*C65</f>
        <v>4.08</v>
      </c>
      <c r="D66" s="1404"/>
      <c r="E66" s="1151">
        <f>E64*E65</f>
        <v>4.5599999999999996</v>
      </c>
      <c r="F66" s="1404"/>
      <c r="G66" s="1151">
        <f>G64*G65</f>
        <v>4.5</v>
      </c>
      <c r="H66" s="1404"/>
      <c r="I66" s="1150">
        <f>I64*I65</f>
        <v>1.4400000000000002</v>
      </c>
      <c r="J66" s="1147"/>
      <c r="K66" s="1149"/>
      <c r="L66" s="701"/>
      <c r="M66" s="1149"/>
      <c r="N66" s="701"/>
      <c r="O66" s="1149"/>
    </row>
    <row r="67" spans="1:15" ht="20">
      <c r="A67" s="1404"/>
      <c r="B67" s="1404"/>
      <c r="C67" s="1186"/>
      <c r="D67" s="1404"/>
      <c r="E67" s="1186"/>
      <c r="F67" s="1404"/>
      <c r="G67" s="1030"/>
      <c r="H67" s="1404"/>
      <c r="I67" s="1148"/>
      <c r="J67" s="1147"/>
      <c r="K67" s="1146"/>
      <c r="L67" s="701"/>
      <c r="M67" s="1146"/>
      <c r="N67" s="701"/>
      <c r="O67" s="1146"/>
    </row>
    <row r="70" spans="1:15" ht="18">
      <c r="A70" s="1040"/>
      <c r="B70" s="1040"/>
      <c r="C70" s="701"/>
      <c r="D70" s="1040"/>
      <c r="E70" s="701"/>
      <c r="F70" s="1040"/>
      <c r="G70" s="701"/>
      <c r="H70" s="1040"/>
      <c r="I70" s="701"/>
      <c r="J70" s="1040"/>
      <c r="K70" s="701"/>
      <c r="L70" s="1040"/>
      <c r="M70" s="701"/>
      <c r="N70" s="1166"/>
      <c r="O70" s="701"/>
    </row>
    <row r="71" spans="1:15" ht="15.75" customHeight="1">
      <c r="A71" s="1191"/>
      <c r="B71" s="1040"/>
      <c r="C71" s="1039"/>
      <c r="D71" s="1040"/>
      <c r="E71" s="1039"/>
      <c r="F71" s="1040"/>
      <c r="G71" s="1039"/>
      <c r="H71" s="1040"/>
      <c r="I71" s="1039"/>
      <c r="J71" s="1040"/>
      <c r="K71" s="1039"/>
      <c r="L71" s="1040"/>
      <c r="M71" s="1039"/>
      <c r="N71" s="1040"/>
      <c r="O71" s="1039"/>
    </row>
    <row r="72" spans="1:15" ht="15.75" customHeight="1">
      <c r="A72" s="1191"/>
      <c r="B72" s="1040"/>
      <c r="C72" s="1039"/>
      <c r="D72" s="1040"/>
      <c r="E72" s="1152"/>
      <c r="F72" s="1040"/>
      <c r="G72" s="1039"/>
      <c r="H72" s="1040"/>
      <c r="I72" s="1039"/>
      <c r="J72" s="1040"/>
      <c r="K72" s="1039"/>
      <c r="L72" s="1040"/>
      <c r="M72" s="1039"/>
      <c r="N72" s="1040"/>
      <c r="O72" s="1039"/>
    </row>
    <row r="73" spans="1:15" ht="15.75" customHeight="1">
      <c r="A73" s="1192"/>
      <c r="B73" s="1040"/>
      <c r="C73" s="1039"/>
      <c r="D73" s="1040"/>
      <c r="E73" s="1152"/>
      <c r="F73" s="1040"/>
      <c r="G73" s="1039"/>
      <c r="H73" s="701"/>
      <c r="I73" s="1152"/>
      <c r="J73" s="1040"/>
      <c r="K73" s="1039"/>
      <c r="L73" s="701"/>
      <c r="M73" s="1039"/>
      <c r="N73" s="701"/>
      <c r="O73" s="1039"/>
    </row>
    <row r="74" spans="1:15" ht="15.75" customHeight="1">
      <c r="A74" s="1192"/>
      <c r="B74" s="1040"/>
      <c r="C74" s="1193"/>
      <c r="D74" s="1040"/>
      <c r="E74" s="1193"/>
      <c r="F74" s="1040"/>
      <c r="G74" s="1193"/>
      <c r="H74" s="701"/>
      <c r="I74" s="1193"/>
      <c r="J74" s="1040"/>
      <c r="K74" s="1193"/>
      <c r="L74" s="701"/>
      <c r="M74" s="1193"/>
      <c r="N74" s="701"/>
      <c r="O74" s="1193"/>
    </row>
    <row r="75" spans="1:15" ht="15.75" customHeight="1">
      <c r="A75" s="1191"/>
      <c r="B75" s="701"/>
      <c r="C75" s="1152"/>
      <c r="D75" s="701"/>
      <c r="E75" s="1152"/>
      <c r="F75" s="701"/>
      <c r="G75" s="1146"/>
      <c r="H75" s="701"/>
      <c r="I75" s="1039"/>
      <c r="J75" s="701"/>
      <c r="K75" s="1146"/>
      <c r="L75" s="701"/>
      <c r="M75" s="1039"/>
      <c r="N75" s="701"/>
      <c r="O75" s="1039"/>
    </row>
    <row r="76" spans="1:15" ht="15.75" customHeight="1">
      <c r="A76" s="1192"/>
      <c r="B76" s="701"/>
      <c r="C76" s="1152"/>
      <c r="D76" s="701"/>
      <c r="E76" s="1152"/>
      <c r="F76" s="701"/>
      <c r="G76" s="1146"/>
      <c r="H76" s="701"/>
      <c r="I76" s="1152"/>
      <c r="J76" s="701"/>
      <c r="K76" s="1146"/>
      <c r="L76" s="701"/>
      <c r="M76" s="1152"/>
      <c r="N76" s="701"/>
      <c r="O76" s="1152"/>
    </row>
    <row r="77" spans="1:15" ht="16" customHeight="1">
      <c r="A77" s="1192"/>
      <c r="B77" s="701"/>
      <c r="C77" s="1152"/>
      <c r="D77" s="701"/>
      <c r="E77" s="1152"/>
      <c r="F77" s="701"/>
      <c r="G77" s="1146"/>
      <c r="H77" s="701"/>
      <c r="I77" s="1193"/>
      <c r="J77" s="701"/>
      <c r="K77" s="1146"/>
      <c r="L77" s="701"/>
      <c r="M77" s="1193"/>
      <c r="N77" s="701"/>
      <c r="O77" s="1193"/>
    </row>
    <row r="78" spans="1:15" ht="15.75" customHeight="1">
      <c r="A78" s="1191"/>
      <c r="B78" s="701"/>
      <c r="C78" s="1039"/>
      <c r="D78" s="701"/>
      <c r="E78" s="1039"/>
      <c r="F78" s="701"/>
      <c r="G78" s="1039"/>
      <c r="H78" s="701"/>
      <c r="I78" s="1039"/>
      <c r="J78" s="701"/>
      <c r="K78" s="1039"/>
      <c r="L78" s="701"/>
      <c r="M78" s="1039"/>
      <c r="N78" s="701"/>
      <c r="O78" s="1039"/>
    </row>
    <row r="79" spans="1:15" ht="15.75" customHeight="1">
      <c r="A79" s="1192"/>
      <c r="B79" s="701"/>
      <c r="C79" s="1039"/>
      <c r="D79" s="701"/>
      <c r="E79" s="1039"/>
      <c r="F79" s="701"/>
      <c r="G79" s="1039"/>
      <c r="H79" s="701"/>
      <c r="I79" s="1039"/>
      <c r="J79" s="701"/>
      <c r="K79" s="1039"/>
      <c r="L79" s="701"/>
      <c r="M79" s="1039"/>
      <c r="N79" s="701"/>
      <c r="O79" s="1039"/>
    </row>
    <row r="80" spans="1:15" ht="15.75" customHeight="1">
      <c r="A80" s="1192"/>
      <c r="B80" s="701"/>
      <c r="C80" s="1039"/>
      <c r="D80" s="701"/>
      <c r="E80" s="1039"/>
      <c r="F80" s="701"/>
      <c r="G80" s="1039"/>
      <c r="H80" s="701"/>
      <c r="I80" s="1152"/>
      <c r="J80" s="701"/>
      <c r="K80" s="1193"/>
      <c r="L80" s="701"/>
      <c r="M80" s="1193"/>
      <c r="N80" s="701"/>
      <c r="O80" s="1193"/>
    </row>
    <row r="81" spans="1:15" ht="15.75" customHeight="1">
      <c r="A81" s="1191"/>
      <c r="B81" s="701"/>
      <c r="C81" s="1146"/>
      <c r="D81" s="701"/>
      <c r="E81" s="1146"/>
      <c r="F81" s="701"/>
      <c r="G81" s="1146"/>
      <c r="H81" s="701"/>
      <c r="I81" s="1146"/>
      <c r="J81" s="701"/>
      <c r="K81" s="1039"/>
      <c r="L81" s="701"/>
      <c r="M81" s="1039"/>
      <c r="N81" s="701"/>
      <c r="O81" s="1039"/>
    </row>
    <row r="82" spans="1:15" ht="15.75" customHeight="1">
      <c r="A82" s="1192"/>
      <c r="B82" s="701"/>
      <c r="C82" s="1146"/>
      <c r="D82" s="701"/>
      <c r="E82" s="1146"/>
      <c r="F82" s="701"/>
      <c r="G82" s="1146"/>
      <c r="H82" s="701"/>
      <c r="I82" s="1146"/>
      <c r="J82" s="701"/>
      <c r="K82" s="1039"/>
      <c r="L82" s="701"/>
      <c r="M82" s="1039"/>
      <c r="N82" s="701"/>
      <c r="O82" s="1039"/>
    </row>
    <row r="83" spans="1:15" ht="15.75" customHeight="1">
      <c r="A83" s="1192"/>
      <c r="B83" s="701"/>
      <c r="C83" s="1146"/>
      <c r="D83" s="701"/>
      <c r="E83" s="1146"/>
      <c r="F83" s="701"/>
      <c r="G83" s="1146"/>
      <c r="H83" s="701"/>
      <c r="I83" s="1146"/>
      <c r="J83" s="701"/>
      <c r="K83" s="1193"/>
      <c r="L83" s="701"/>
      <c r="M83" s="1193"/>
      <c r="N83" s="701"/>
      <c r="O83" s="1193"/>
    </row>
    <row r="84" spans="1:15" ht="15.75" customHeight="1">
      <c r="A84" s="1192"/>
      <c r="B84" s="701"/>
      <c r="C84" s="1146"/>
      <c r="D84" s="701"/>
      <c r="E84" s="1146"/>
      <c r="F84" s="701"/>
      <c r="G84" s="1146"/>
      <c r="H84" s="701"/>
      <c r="I84" s="1146"/>
      <c r="J84" s="701"/>
      <c r="K84" s="763"/>
      <c r="L84" s="701"/>
      <c r="M84" s="763"/>
      <c r="N84" s="701"/>
      <c r="O84" s="763"/>
    </row>
    <row r="85" spans="1:15" ht="20">
      <c r="A85" s="1192"/>
      <c r="B85" s="701"/>
      <c r="C85" s="1146"/>
      <c r="D85" s="701"/>
      <c r="E85" s="1146"/>
      <c r="F85" s="701"/>
      <c r="G85" s="1146"/>
      <c r="H85" s="701"/>
      <c r="I85" s="1146"/>
      <c r="J85" s="701"/>
      <c r="K85" s="1146"/>
      <c r="L85" s="701"/>
      <c r="M85" s="1146"/>
      <c r="N85" s="701"/>
      <c r="O85" s="1146"/>
    </row>
    <row r="86" spans="1:15" ht="15.75" customHeight="1">
      <c r="A86" s="1191"/>
      <c r="B86" s="701"/>
      <c r="C86" s="1146"/>
      <c r="D86" s="701"/>
      <c r="E86" s="1146"/>
      <c r="F86" s="701"/>
      <c r="G86" s="1146"/>
      <c r="H86" s="701"/>
      <c r="I86" s="1039"/>
      <c r="J86" s="701"/>
      <c r="K86" s="1039"/>
      <c r="L86" s="701"/>
      <c r="M86" s="1039"/>
      <c r="N86" s="701"/>
      <c r="O86" s="1039"/>
    </row>
    <row r="87" spans="1:15" ht="15.75" customHeight="1">
      <c r="A87" s="1192"/>
      <c r="B87" s="701"/>
      <c r="C87" s="1146"/>
      <c r="D87" s="701"/>
      <c r="E87" s="1146"/>
      <c r="F87" s="701"/>
      <c r="G87" s="1146"/>
      <c r="H87" s="701"/>
      <c r="I87" s="1039"/>
      <c r="J87" s="701"/>
      <c r="K87" s="1039"/>
      <c r="L87" s="701"/>
      <c r="M87" s="1039"/>
      <c r="N87" s="701"/>
      <c r="O87" s="1039"/>
    </row>
    <row r="88" spans="1:15" ht="15.75" customHeight="1">
      <c r="A88" s="1192"/>
      <c r="B88" s="701"/>
      <c r="C88" s="1146"/>
      <c r="D88" s="701"/>
      <c r="E88" s="1146"/>
      <c r="F88" s="701"/>
      <c r="G88" s="1146"/>
      <c r="H88" s="701"/>
      <c r="I88" s="1193"/>
      <c r="J88" s="701"/>
      <c r="K88" s="1193"/>
      <c r="L88" s="701"/>
      <c r="M88" s="1193"/>
      <c r="N88" s="701"/>
      <c r="O88" s="1193"/>
    </row>
    <row r="89" spans="1:15" ht="15.75" customHeight="1">
      <c r="A89" s="1192"/>
      <c r="B89" s="701"/>
      <c r="C89" s="1146"/>
      <c r="D89" s="701"/>
      <c r="E89" s="1146"/>
      <c r="F89" s="701"/>
      <c r="G89" s="1146"/>
      <c r="H89" s="701"/>
      <c r="I89" s="763"/>
      <c r="J89" s="701"/>
      <c r="K89" s="763"/>
      <c r="L89" s="701"/>
      <c r="M89" s="763"/>
      <c r="N89" s="701"/>
      <c r="O89" s="763"/>
    </row>
    <row r="90" spans="1:15" ht="20">
      <c r="A90" s="1192"/>
      <c r="B90" s="701"/>
      <c r="C90" s="1146"/>
      <c r="D90" s="701"/>
      <c r="E90" s="1146"/>
      <c r="F90" s="701"/>
      <c r="G90" s="1146"/>
      <c r="H90" s="701"/>
      <c r="I90" s="1146"/>
      <c r="J90" s="701"/>
      <c r="K90" s="1146"/>
      <c r="L90" s="701"/>
      <c r="M90" s="1146"/>
      <c r="N90" s="701"/>
      <c r="O90" s="1146"/>
    </row>
    <row r="91" spans="1:15" ht="15.75" customHeight="1">
      <c r="A91" s="1191"/>
      <c r="B91" s="701"/>
      <c r="C91" s="1039"/>
      <c r="D91" s="701"/>
      <c r="E91" s="1039"/>
      <c r="F91" s="701"/>
      <c r="G91" s="1039"/>
      <c r="H91" s="701"/>
      <c r="I91" s="1039"/>
      <c r="J91" s="701"/>
      <c r="K91" s="1039"/>
      <c r="L91" s="701"/>
      <c r="M91" s="1039"/>
      <c r="N91" s="701"/>
      <c r="O91" s="1039"/>
    </row>
    <row r="92" spans="1:15" ht="15.75" customHeight="1">
      <c r="A92" s="1192"/>
      <c r="B92" s="701"/>
      <c r="C92" s="1039"/>
      <c r="D92" s="701"/>
      <c r="E92" s="1039"/>
      <c r="F92" s="701"/>
      <c r="G92" s="1039"/>
      <c r="H92" s="701"/>
      <c r="I92" s="1039"/>
      <c r="J92" s="701"/>
      <c r="K92" s="1039"/>
      <c r="L92" s="701"/>
      <c r="M92" s="1039"/>
      <c r="N92" s="701"/>
      <c r="O92" s="1039"/>
    </row>
    <row r="93" spans="1:15" ht="15.75" customHeight="1">
      <c r="A93" s="1192"/>
      <c r="B93" s="701"/>
      <c r="C93" s="1039"/>
      <c r="D93" s="701"/>
      <c r="E93" s="1039"/>
      <c r="F93" s="701"/>
      <c r="G93" s="1039"/>
      <c r="H93" s="701"/>
      <c r="I93" s="1039"/>
      <c r="J93" s="701"/>
      <c r="K93" s="1039"/>
      <c r="L93" s="701"/>
      <c r="M93" s="1039"/>
      <c r="N93" s="701"/>
      <c r="O93" s="1039"/>
    </row>
    <row r="94" spans="1:15" ht="15.75" customHeight="1">
      <c r="A94" s="1192"/>
      <c r="B94" s="701"/>
      <c r="C94" s="1193"/>
      <c r="D94" s="701"/>
      <c r="E94" s="1193"/>
      <c r="F94" s="701"/>
      <c r="G94" s="1193"/>
      <c r="H94" s="701"/>
      <c r="I94" s="1193"/>
      <c r="J94" s="701"/>
      <c r="K94" s="1193"/>
      <c r="L94" s="701"/>
      <c r="M94" s="1193"/>
      <c r="N94" s="701"/>
      <c r="O94" s="1193"/>
    </row>
    <row r="95" spans="1:15" ht="18">
      <c r="A95" s="1191"/>
      <c r="B95" s="701"/>
      <c r="C95" s="1039"/>
      <c r="D95" s="701"/>
      <c r="E95" s="1039"/>
      <c r="F95" s="701"/>
      <c r="G95" s="763"/>
      <c r="H95" s="701"/>
      <c r="I95" s="763"/>
      <c r="J95" s="701"/>
      <c r="K95" s="763"/>
      <c r="L95" s="701"/>
      <c r="M95" s="763"/>
      <c r="N95" s="1194"/>
      <c r="O95" s="763"/>
    </row>
    <row r="96" spans="1:15" ht="20">
      <c r="A96" s="1191"/>
      <c r="B96" s="701"/>
      <c r="C96" s="1195"/>
      <c r="D96" s="701"/>
      <c r="E96" s="1195"/>
      <c r="F96" s="701"/>
      <c r="G96" s="1146"/>
      <c r="H96" s="701"/>
      <c r="I96" s="1146"/>
      <c r="J96" s="701"/>
      <c r="K96" s="1146"/>
      <c r="L96" s="701"/>
      <c r="M96" s="1146"/>
      <c r="N96" s="1194"/>
      <c r="O96" s="1146"/>
    </row>
    <row r="97" spans="1:15">
      <c r="A97" s="1048"/>
      <c r="B97" s="1048"/>
      <c r="C97" s="1196"/>
      <c r="D97" s="1048"/>
      <c r="E97" s="1196"/>
      <c r="F97" s="1197"/>
      <c r="G97" s="1196"/>
      <c r="H97" s="1197"/>
      <c r="I97" s="1196"/>
      <c r="J97" s="1197"/>
      <c r="K97" s="1196"/>
      <c r="L97" s="1197"/>
      <c r="M97" s="1196"/>
      <c r="N97" s="1197"/>
      <c r="O97" s="1196"/>
    </row>
    <row r="98" spans="1:15">
      <c r="A98" s="1048"/>
      <c r="B98" s="1048"/>
      <c r="C98" s="1198"/>
      <c r="D98" s="1048"/>
      <c r="E98" s="1198"/>
      <c r="F98" s="1197"/>
      <c r="G98" s="1198"/>
      <c r="H98" s="1197"/>
      <c r="I98" s="1198"/>
      <c r="J98" s="1197"/>
      <c r="K98" s="1198"/>
      <c r="L98" s="1197"/>
      <c r="M98" s="1198"/>
      <c r="N98" s="1197"/>
      <c r="O98" s="1198"/>
    </row>
  </sheetData>
  <sheetProtection algorithmName="SHA-512" hashValue="ChVWedpBVMNHdO1+dISDt9Zv14KR9JMsJ+LJt1q7bwFMy4ooThfWckZWRRe9TqHN1NzHJjoY8RluDCWBaGM05A==" saltValue="g6l02hXrYPd6V8iFlCzY1w==" spinCount="100000" sheet="1" objects="1" scenarios="1"/>
  <mergeCells count="87">
    <mergeCell ref="B4:C4"/>
    <mergeCell ref="D4:E4"/>
    <mergeCell ref="F4:G4"/>
    <mergeCell ref="A5:A20"/>
    <mergeCell ref="B5:B20"/>
    <mergeCell ref="D5:D20"/>
    <mergeCell ref="F5:F20"/>
    <mergeCell ref="C11:C20"/>
    <mergeCell ref="N23:O23"/>
    <mergeCell ref="A24:A30"/>
    <mergeCell ref="B24:B30"/>
    <mergeCell ref="D24:D30"/>
    <mergeCell ref="F24:F30"/>
    <mergeCell ref="B23:C23"/>
    <mergeCell ref="D23:E23"/>
    <mergeCell ref="F23:G23"/>
    <mergeCell ref="H23:I23"/>
    <mergeCell ref="J23:K23"/>
    <mergeCell ref="L23:M23"/>
    <mergeCell ref="L33:M33"/>
    <mergeCell ref="N33:O33"/>
    <mergeCell ref="A34:A40"/>
    <mergeCell ref="B34:B40"/>
    <mergeCell ref="D34:D40"/>
    <mergeCell ref="F34:F40"/>
    <mergeCell ref="H34:H40"/>
    <mergeCell ref="J34:J40"/>
    <mergeCell ref="L34:L40"/>
    <mergeCell ref="N34:N40"/>
    <mergeCell ref="B33:C33"/>
    <mergeCell ref="D33:E33"/>
    <mergeCell ref="F33:G33"/>
    <mergeCell ref="H33:I33"/>
    <mergeCell ref="J33:K33"/>
    <mergeCell ref="G37:G40"/>
    <mergeCell ref="I37:I40"/>
    <mergeCell ref="K37:K40"/>
    <mergeCell ref="M37:M40"/>
    <mergeCell ref="O37:O40"/>
    <mergeCell ref="L43:M43"/>
    <mergeCell ref="N43:O43"/>
    <mergeCell ref="A44:A50"/>
    <mergeCell ref="B44:B50"/>
    <mergeCell ref="D44:D50"/>
    <mergeCell ref="F44:F50"/>
    <mergeCell ref="H44:H50"/>
    <mergeCell ref="N44:N50"/>
    <mergeCell ref="B43:C43"/>
    <mergeCell ref="D43:E43"/>
    <mergeCell ref="F43:G43"/>
    <mergeCell ref="H43:I43"/>
    <mergeCell ref="J43:K43"/>
    <mergeCell ref="C47:C50"/>
    <mergeCell ref="E47:E50"/>
    <mergeCell ref="F53:G53"/>
    <mergeCell ref="J53:K53"/>
    <mergeCell ref="L53:M53"/>
    <mergeCell ref="J44:J50"/>
    <mergeCell ref="L44:L50"/>
    <mergeCell ref="N53:O53"/>
    <mergeCell ref="A54:A60"/>
    <mergeCell ref="B54:B60"/>
    <mergeCell ref="D54:D60"/>
    <mergeCell ref="F54:F60"/>
    <mergeCell ref="H54:H60"/>
    <mergeCell ref="J54:J60"/>
    <mergeCell ref="L54:L60"/>
    <mergeCell ref="H53:I53"/>
    <mergeCell ref="N54:N60"/>
    <mergeCell ref="C57:C60"/>
    <mergeCell ref="E57:E60"/>
    <mergeCell ref="G57:G60"/>
    <mergeCell ref="I57:I60"/>
    <mergeCell ref="B53:C53"/>
    <mergeCell ref="D53:E53"/>
    <mergeCell ref="L63:M63"/>
    <mergeCell ref="N63:O63"/>
    <mergeCell ref="A64:A67"/>
    <mergeCell ref="B64:B67"/>
    <mergeCell ref="D64:D67"/>
    <mergeCell ref="F64:F67"/>
    <mergeCell ref="H64:H67"/>
    <mergeCell ref="B63:C63"/>
    <mergeCell ref="D63:E63"/>
    <mergeCell ref="F63:G63"/>
    <mergeCell ref="H63:I63"/>
    <mergeCell ref="J63:K63"/>
  </mergeCells>
  <conditionalFormatting sqref="C22">
    <cfRule type="colorScale" priority="120">
      <colorScale>
        <cfvo type="min"/>
        <cfvo type="percentile" val="50"/>
        <cfvo type="max"/>
        <color rgb="FFF8696B"/>
        <color rgb="FFFFEB84"/>
        <color rgb="FF63BE7B"/>
      </colorScale>
    </cfRule>
  </conditionalFormatting>
  <conditionalFormatting sqref="C32">
    <cfRule type="colorScale" priority="114">
      <colorScale>
        <cfvo type="min"/>
        <cfvo type="percentile" val="50"/>
        <cfvo type="max"/>
        <color rgb="FFF8696B"/>
        <color rgb="FFFFEB84"/>
        <color rgb="FF63BE7B"/>
      </colorScale>
    </cfRule>
  </conditionalFormatting>
  <conditionalFormatting sqref="C42">
    <cfRule type="colorScale" priority="108">
      <colorScale>
        <cfvo type="min"/>
        <cfvo type="percentile" val="50"/>
        <cfvo type="max"/>
        <color rgb="FFF8696B"/>
        <color rgb="FFFFEB84"/>
        <color rgb="FF63BE7B"/>
      </colorScale>
    </cfRule>
  </conditionalFormatting>
  <conditionalFormatting sqref="C52">
    <cfRule type="colorScale" priority="102">
      <colorScale>
        <cfvo type="min"/>
        <cfvo type="percentile" val="50"/>
        <cfvo type="max"/>
        <color rgb="FFF8696B"/>
        <color rgb="FFFFEB84"/>
        <color rgb="FF63BE7B"/>
      </colorScale>
    </cfRule>
  </conditionalFormatting>
  <conditionalFormatting sqref="C62">
    <cfRule type="colorScale" priority="96">
      <colorScale>
        <cfvo type="min"/>
        <cfvo type="percentile" val="50"/>
        <cfvo type="max"/>
        <color rgb="FFF8696B"/>
        <color rgb="FFFFEB84"/>
        <color rgb="FF63BE7B"/>
      </colorScale>
    </cfRule>
  </conditionalFormatting>
  <conditionalFormatting sqref="C81">
    <cfRule type="colorScale" priority="24">
      <colorScale>
        <cfvo type="min"/>
        <cfvo type="max"/>
        <color rgb="FFFCFCFF"/>
        <color rgb="FFF8696B"/>
      </colorScale>
    </cfRule>
    <cfRule type="colorScale" priority="27">
      <colorScale>
        <cfvo type="min"/>
        <cfvo type="percentile" val="50"/>
        <cfvo type="max"/>
        <color rgb="FF63BE7B"/>
        <color rgb="FFFFEB84"/>
        <color rgb="FFF8696B"/>
      </colorScale>
    </cfRule>
    <cfRule type="colorScale" priority="23">
      <colorScale>
        <cfvo type="min"/>
        <cfvo type="percentile" val="50"/>
        <cfvo type="max"/>
        <color rgb="FFF8696B"/>
        <color rgb="FFFFEB84"/>
        <color rgb="FF63BE7B"/>
      </colorScale>
    </cfRule>
    <cfRule type="colorScale" priority="25">
      <colorScale>
        <cfvo type="min"/>
        <cfvo type="max"/>
        <color rgb="FFF8696B"/>
        <color rgb="FFFCFCFF"/>
      </colorScale>
    </cfRule>
    <cfRule type="colorScale" priority="28">
      <colorScale>
        <cfvo type="min"/>
        <cfvo type="percentile" val="50"/>
        <cfvo type="max"/>
        <color rgb="FFF8696B"/>
        <color rgb="FFFFEB84"/>
        <color rgb="FF63BE7B"/>
      </colorScale>
    </cfRule>
    <cfRule type="colorScale" priority="22">
      <colorScale>
        <cfvo type="min"/>
        <cfvo type="max"/>
        <color rgb="FFFCFCFF"/>
        <color rgb="FFF8696B"/>
      </colorScale>
    </cfRule>
    <cfRule type="colorScale" priority="26">
      <colorScale>
        <cfvo type="min"/>
        <cfvo type="percentile" val="50"/>
        <cfvo type="max"/>
        <color rgb="FF63BE7B"/>
        <color rgb="FFFFEB84"/>
        <color rgb="FFF8696B"/>
      </colorScale>
    </cfRule>
  </conditionalFormatting>
  <conditionalFormatting sqref="E20 M30 G67 G20 I20:I21 K20:K21 M20:M21 O20:O21 C40 E40 G50 I50:I51 K50:K51 M50 O50 K60 M60 O60 I67 K67 M67 O67">
    <cfRule type="colorScale" priority="126">
      <colorScale>
        <cfvo type="min"/>
        <cfvo type="percentile" val="50"/>
        <cfvo type="max"/>
        <color rgb="FFF8696B"/>
        <color rgb="FFFFEB84"/>
        <color rgb="FF63BE7B"/>
      </colorScale>
    </cfRule>
  </conditionalFormatting>
  <conditionalFormatting sqref="E20 M30 G67 G20 I20:I21 K20:K21 M20:M21 O20:O21 C40 E40 K50:K51 M50 K60 M60 O60 I67 K67 M67 O67">
    <cfRule type="colorScale" priority="124">
      <colorScale>
        <cfvo type="min"/>
        <cfvo type="percentile" val="50"/>
        <cfvo type="max"/>
        <color rgb="FF63BE7B"/>
        <color rgb="FFFFEB84"/>
        <color rgb="FFF8696B"/>
      </colorScale>
    </cfRule>
    <cfRule type="colorScale" priority="125">
      <colorScale>
        <cfvo type="min"/>
        <cfvo type="percentile" val="50"/>
        <cfvo type="max"/>
        <color rgb="FFF8696B"/>
        <color rgb="FFFFEB84"/>
        <color rgb="FF63BE7B"/>
      </colorScale>
    </cfRule>
  </conditionalFormatting>
  <conditionalFormatting sqref="E81">
    <cfRule type="colorScale" priority="16">
      <colorScale>
        <cfvo type="min"/>
        <cfvo type="percentile" val="50"/>
        <cfvo type="max"/>
        <color rgb="FFF8696B"/>
        <color rgb="FFFFEB84"/>
        <color rgb="FF63BE7B"/>
      </colorScale>
    </cfRule>
    <cfRule type="colorScale" priority="17">
      <colorScale>
        <cfvo type="min"/>
        <cfvo type="max"/>
        <color rgb="FFFCFCFF"/>
        <color rgb="FFF8696B"/>
      </colorScale>
    </cfRule>
    <cfRule type="colorScale" priority="18">
      <colorScale>
        <cfvo type="min"/>
        <cfvo type="max"/>
        <color rgb="FFF8696B"/>
        <color rgb="FFFCFCFF"/>
      </colorScale>
    </cfRule>
    <cfRule type="colorScale" priority="19">
      <colorScale>
        <cfvo type="min"/>
        <cfvo type="percentile" val="50"/>
        <cfvo type="max"/>
        <color rgb="FF63BE7B"/>
        <color rgb="FFFFEB84"/>
        <color rgb="FFF8696B"/>
      </colorScale>
    </cfRule>
    <cfRule type="colorScale" priority="20">
      <colorScale>
        <cfvo type="min"/>
        <cfvo type="percentile" val="50"/>
        <cfvo type="max"/>
        <color rgb="FF63BE7B"/>
        <color rgb="FFFFEB84"/>
        <color rgb="FFF8696B"/>
      </colorScale>
    </cfRule>
    <cfRule type="colorScale" priority="21">
      <colorScale>
        <cfvo type="min"/>
        <cfvo type="percentile" val="50"/>
        <cfvo type="max"/>
        <color rgb="FFF8696B"/>
        <color rgb="FFFFEB84"/>
        <color rgb="FF63BE7B"/>
      </colorScale>
    </cfRule>
    <cfRule type="colorScale" priority="15">
      <colorScale>
        <cfvo type="min"/>
        <cfvo type="max"/>
        <color rgb="FFFCFCFF"/>
        <color rgb="FFF8696B"/>
      </colorScale>
    </cfRule>
  </conditionalFormatting>
  <conditionalFormatting sqref="G30">
    <cfRule type="colorScale" priority="83">
      <colorScale>
        <cfvo type="min"/>
        <cfvo type="max"/>
        <color rgb="FFFCFCFF"/>
        <color rgb="FF63BE7B"/>
      </colorScale>
    </cfRule>
    <cfRule type="colorScale" priority="82">
      <colorScale>
        <cfvo type="min"/>
        <cfvo type="max"/>
        <color rgb="FFFCFCFF"/>
        <color rgb="FFF8696B"/>
      </colorScale>
    </cfRule>
    <cfRule type="colorScale" priority="84">
      <colorScale>
        <cfvo type="min"/>
        <cfvo type="percentile" val="50"/>
        <cfvo type="max"/>
        <color rgb="FF63BE7B"/>
        <color rgb="FFFFEB84"/>
        <color rgb="FFF8696B"/>
      </colorScale>
    </cfRule>
    <cfRule type="colorScale" priority="85">
      <colorScale>
        <cfvo type="min"/>
        <cfvo type="percentile" val="50"/>
        <cfvo type="max"/>
        <color rgb="FFF8696B"/>
        <color rgb="FFFFEB84"/>
        <color rgb="FF63BE7B"/>
      </colorScale>
    </cfRule>
    <cfRule type="colorScale" priority="86">
      <colorScale>
        <cfvo type="min"/>
        <cfvo type="percentile" val="50"/>
        <cfvo type="max"/>
        <color rgb="FFF8696B"/>
        <color rgb="FFFFEB84"/>
        <color rgb="FF63BE7B"/>
      </colorScale>
    </cfRule>
  </conditionalFormatting>
  <conditionalFormatting sqref="G81">
    <cfRule type="colorScale" priority="10">
      <colorScale>
        <cfvo type="min"/>
        <cfvo type="max"/>
        <color rgb="FFFCFCFF"/>
        <color rgb="FFF8696B"/>
      </colorScale>
    </cfRule>
    <cfRule type="colorScale" priority="9">
      <colorScale>
        <cfvo type="min"/>
        <cfvo type="percentile" val="50"/>
        <cfvo type="max"/>
        <color rgb="FFF8696B"/>
        <color rgb="FFFFEB84"/>
        <color rgb="FF63BE7B"/>
      </colorScale>
    </cfRule>
    <cfRule type="colorScale" priority="8">
      <colorScale>
        <cfvo type="min"/>
        <cfvo type="max"/>
        <color rgb="FFFCFCFF"/>
        <color rgb="FFF8696B"/>
      </colorScale>
    </cfRule>
    <cfRule type="colorScale" priority="11">
      <colorScale>
        <cfvo type="min"/>
        <cfvo type="max"/>
        <color rgb="FFF8696B"/>
        <color rgb="FFFCFCFF"/>
      </colorScale>
    </cfRule>
    <cfRule type="colorScale" priority="14">
      <colorScale>
        <cfvo type="min"/>
        <cfvo type="percentile" val="50"/>
        <cfvo type="max"/>
        <color rgb="FFF8696B"/>
        <color rgb="FFFFEB84"/>
        <color rgb="FF63BE7B"/>
      </colorScale>
    </cfRule>
    <cfRule type="colorScale" priority="13">
      <colorScale>
        <cfvo type="min"/>
        <cfvo type="percentile" val="50"/>
        <cfvo type="max"/>
        <color rgb="FF63BE7B"/>
        <color rgb="FFFFEB84"/>
        <color rgb="FFF8696B"/>
      </colorScale>
    </cfRule>
    <cfRule type="colorScale" priority="12">
      <colorScale>
        <cfvo type="min"/>
        <cfvo type="percentile" val="50"/>
        <cfvo type="max"/>
        <color rgb="FF63BE7B"/>
        <color rgb="FFFFEB84"/>
        <color rgb="FFF8696B"/>
      </colorScale>
    </cfRule>
  </conditionalFormatting>
  <conditionalFormatting sqref="G96 K85 K90 I90 I96 K96">
    <cfRule type="colorScale" priority="51">
      <colorScale>
        <cfvo type="min"/>
        <cfvo type="max"/>
        <color rgb="FFFCFCFF"/>
        <color rgb="FFF8696B"/>
      </colorScale>
    </cfRule>
  </conditionalFormatting>
  <conditionalFormatting sqref="G96">
    <cfRule type="colorScale" priority="74">
      <colorScale>
        <cfvo type="min"/>
        <cfvo type="percentile" val="50"/>
        <cfvo type="max"/>
        <color rgb="FFF8696B"/>
        <color rgb="FFFFEB84"/>
        <color rgb="FF63BE7B"/>
      </colorScale>
    </cfRule>
    <cfRule type="colorScale" priority="69">
      <colorScale>
        <cfvo type="min"/>
        <cfvo type="max"/>
        <color rgb="FFFCFCFF"/>
        <color rgb="FFF8696B"/>
      </colorScale>
    </cfRule>
    <cfRule type="colorScale" priority="70">
      <colorScale>
        <cfvo type="min"/>
        <cfvo type="max"/>
        <color rgb="FFF8696B"/>
        <color rgb="FFFCFCFF"/>
      </colorScale>
    </cfRule>
    <cfRule type="colorScale" priority="72">
      <colorScale>
        <cfvo type="min"/>
        <cfvo type="percentile" val="50"/>
        <cfvo type="max"/>
        <color rgb="FF63BE7B"/>
        <color rgb="FFFFEB84"/>
        <color rgb="FFF8696B"/>
      </colorScale>
    </cfRule>
    <cfRule type="colorScale" priority="73">
      <colorScale>
        <cfvo type="min"/>
        <cfvo type="percentile" val="50"/>
        <cfvo type="max"/>
        <color rgb="FFF8696B"/>
        <color rgb="FFFFEB84"/>
        <color rgb="FF63BE7B"/>
      </colorScale>
    </cfRule>
    <cfRule type="colorScale" priority="75">
      <colorScale>
        <cfvo type="min"/>
        <cfvo type="percentile" val="50"/>
        <cfvo type="max"/>
        <color rgb="FFF8696B"/>
        <color rgb="FFFFEB84"/>
        <color rgb="FF63BE7B"/>
      </colorScale>
    </cfRule>
    <cfRule type="colorScale" priority="71">
      <colorScale>
        <cfvo type="min"/>
        <cfvo type="percentile" val="50"/>
        <cfvo type="max"/>
        <color rgb="FF63BE7B"/>
        <color rgb="FFFFEB84"/>
        <color rgb="FFF8696B"/>
      </colorScale>
    </cfRule>
  </conditionalFormatting>
  <conditionalFormatting sqref="I31 K31 M31 O31">
    <cfRule type="colorScale" priority="77">
      <colorScale>
        <cfvo type="min"/>
        <cfvo type="max"/>
        <color rgb="FFFCFCFF"/>
        <color rgb="FFF8696B"/>
      </colorScale>
    </cfRule>
    <cfRule type="colorScale" priority="78">
      <colorScale>
        <cfvo type="min"/>
        <cfvo type="max"/>
        <color rgb="FFFCFCFF"/>
        <color rgb="FF63BE7B"/>
      </colorScale>
    </cfRule>
    <cfRule type="colorScale" priority="79">
      <colorScale>
        <cfvo type="min"/>
        <cfvo type="percentile" val="50"/>
        <cfvo type="max"/>
        <color rgb="FF63BE7B"/>
        <color rgb="FFFFEB84"/>
        <color rgb="FFF8696B"/>
      </colorScale>
    </cfRule>
    <cfRule type="colorScale" priority="80">
      <colorScale>
        <cfvo type="min"/>
        <cfvo type="percentile" val="50"/>
        <cfvo type="max"/>
        <color rgb="FFF8696B"/>
        <color rgb="FFFFEB84"/>
        <color rgb="FF63BE7B"/>
      </colorScale>
    </cfRule>
    <cfRule type="colorScale" priority="81">
      <colorScale>
        <cfvo type="min"/>
        <cfvo type="percentile" val="50"/>
        <cfvo type="max"/>
        <color rgb="FFF8696B"/>
        <color rgb="FFFFEB84"/>
        <color rgb="FF63BE7B"/>
      </colorScale>
    </cfRule>
  </conditionalFormatting>
  <conditionalFormatting sqref="I81">
    <cfRule type="colorScale" priority="1">
      <colorScale>
        <cfvo type="min"/>
        <cfvo type="max"/>
        <color rgb="FFFCFCFF"/>
        <color rgb="FFF8696B"/>
      </colorScale>
    </cfRule>
    <cfRule type="colorScale" priority="4">
      <colorScale>
        <cfvo type="min"/>
        <cfvo type="max"/>
        <color rgb="FFF8696B"/>
        <color rgb="FFFCFCFF"/>
      </colorScale>
    </cfRule>
    <cfRule type="colorScale" priority="7">
      <colorScale>
        <cfvo type="min"/>
        <cfvo type="percentile" val="50"/>
        <cfvo type="max"/>
        <color rgb="FFF8696B"/>
        <color rgb="FFFFEB84"/>
        <color rgb="FF63BE7B"/>
      </colorScale>
    </cfRule>
    <cfRule type="colorScale" priority="6">
      <colorScale>
        <cfvo type="min"/>
        <cfvo type="percentile" val="50"/>
        <cfvo type="max"/>
        <color rgb="FF63BE7B"/>
        <color rgb="FFFFEB84"/>
        <color rgb="FFF8696B"/>
      </colorScale>
    </cfRule>
    <cfRule type="colorScale" priority="3">
      <colorScale>
        <cfvo type="min"/>
        <cfvo type="max"/>
        <color rgb="FFFCFCFF"/>
        <color rgb="FFF8696B"/>
      </colorScale>
    </cfRule>
    <cfRule type="colorScale" priority="5">
      <colorScale>
        <cfvo type="min"/>
        <cfvo type="percentile" val="50"/>
        <cfvo type="max"/>
        <color rgb="FF63BE7B"/>
        <color rgb="FFFFEB84"/>
        <color rgb="FFF8696B"/>
      </colorScale>
    </cfRule>
    <cfRule type="colorScale" priority="2">
      <colorScale>
        <cfvo type="min"/>
        <cfvo type="percentile" val="50"/>
        <cfvo type="max"/>
        <color rgb="FFF8696B"/>
        <color rgb="FFFFEB84"/>
        <color rgb="FF63BE7B"/>
      </colorScale>
    </cfRule>
  </conditionalFormatting>
  <conditionalFormatting sqref="I90">
    <cfRule type="colorScale" priority="53">
      <colorScale>
        <cfvo type="min"/>
        <cfvo type="percentile" val="50"/>
        <cfvo type="max"/>
        <color rgb="FFF8696B"/>
        <color rgb="FFFFEB84"/>
        <color rgb="FF63BE7B"/>
      </colorScale>
    </cfRule>
  </conditionalFormatting>
  <conditionalFormatting sqref="I96">
    <cfRule type="colorScale" priority="67">
      <colorScale>
        <cfvo type="min"/>
        <cfvo type="percentile" val="50"/>
        <cfvo type="max"/>
        <color rgb="FFF8696B"/>
        <color rgb="FFFFEB84"/>
        <color rgb="FF63BE7B"/>
      </colorScale>
    </cfRule>
    <cfRule type="colorScale" priority="64">
      <colorScale>
        <cfvo type="min"/>
        <cfvo type="percentile" val="50"/>
        <cfvo type="max"/>
        <color rgb="FF63BE7B"/>
        <color rgb="FFFFEB84"/>
        <color rgb="FFF8696B"/>
      </colorScale>
    </cfRule>
    <cfRule type="colorScale" priority="68">
      <colorScale>
        <cfvo type="min"/>
        <cfvo type="percentile" val="50"/>
        <cfvo type="max"/>
        <color rgb="FFF8696B"/>
        <color rgb="FFFFEB84"/>
        <color rgb="FF63BE7B"/>
      </colorScale>
    </cfRule>
    <cfRule type="colorScale" priority="66">
      <colorScale>
        <cfvo type="min"/>
        <cfvo type="percentile" val="50"/>
        <cfvo type="max"/>
        <color rgb="FFF8696B"/>
        <color rgb="FFFFEB84"/>
        <color rgb="FF63BE7B"/>
      </colorScale>
    </cfRule>
    <cfRule type="colorScale" priority="65">
      <colorScale>
        <cfvo type="min"/>
        <cfvo type="percentile" val="50"/>
        <cfvo type="max"/>
        <color rgb="FF63BE7B"/>
        <color rgb="FFFFEB84"/>
        <color rgb="FFF8696B"/>
      </colorScale>
    </cfRule>
    <cfRule type="colorScale" priority="63">
      <colorScale>
        <cfvo type="min"/>
        <cfvo type="max"/>
        <color rgb="FFF8696B"/>
        <color rgb="FFFCFCFF"/>
      </colorScale>
    </cfRule>
    <cfRule type="colorScale" priority="62">
      <colorScale>
        <cfvo type="min"/>
        <cfvo type="max"/>
        <color rgb="FFFCFCFF"/>
        <color rgb="FFF8696B"/>
      </colorScale>
    </cfRule>
  </conditionalFormatting>
  <conditionalFormatting sqref="K85 I90 K90">
    <cfRule type="colorScale" priority="128">
      <colorScale>
        <cfvo type="min"/>
        <cfvo type="percentile" val="50"/>
        <cfvo type="max"/>
        <color rgb="FF63BE7B"/>
        <color rgb="FFFFEB84"/>
        <color rgb="FFF8696B"/>
      </colorScale>
    </cfRule>
    <cfRule type="colorScale" priority="129">
      <colorScale>
        <cfvo type="min"/>
        <cfvo type="max"/>
        <color rgb="FFFCFCFF"/>
        <color rgb="FFF8696B"/>
      </colorScale>
    </cfRule>
    <cfRule type="colorScale" priority="127">
      <colorScale>
        <cfvo type="min"/>
        <cfvo type="percentile" val="50"/>
        <cfvo type="max"/>
        <color rgb="FFF8696B"/>
        <color rgb="FFFFEB84"/>
        <color rgb="FF63BE7B"/>
      </colorScale>
    </cfRule>
    <cfRule type="colorScale" priority="131">
      <colorScale>
        <cfvo type="min"/>
        <cfvo type="max"/>
        <color rgb="FFF8696B"/>
        <color rgb="FFFCFCFF"/>
      </colorScale>
    </cfRule>
    <cfRule type="colorScale" priority="130">
      <colorScale>
        <cfvo type="min"/>
        <cfvo type="percentile" val="50"/>
        <cfvo type="max"/>
        <color rgb="FF63BE7B"/>
        <color rgb="FFFFEB84"/>
        <color rgb="FFF8696B"/>
      </colorScale>
    </cfRule>
  </conditionalFormatting>
  <conditionalFormatting sqref="K85">
    <cfRule type="colorScale" priority="54">
      <colorScale>
        <cfvo type="min"/>
        <cfvo type="percentile" val="50"/>
        <cfvo type="max"/>
        <color rgb="FFF8696B"/>
        <color rgb="FFFFEB84"/>
        <color rgb="FF63BE7B"/>
      </colorScale>
    </cfRule>
  </conditionalFormatting>
  <conditionalFormatting sqref="K90">
    <cfRule type="colorScale" priority="52">
      <colorScale>
        <cfvo type="min"/>
        <cfvo type="percentile" val="50"/>
        <cfvo type="max"/>
        <color rgb="FFF8696B"/>
        <color rgb="FFFFEB84"/>
        <color rgb="FF63BE7B"/>
      </colorScale>
    </cfRule>
    <cfRule type="colorScale" priority="76">
      <colorScale>
        <cfvo type="min"/>
        <cfvo type="percentile" val="50"/>
        <cfvo type="max"/>
        <color rgb="FFF8696B"/>
        <color rgb="FFFFEB84"/>
        <color rgb="FF63BE7B"/>
      </colorScale>
    </cfRule>
  </conditionalFormatting>
  <conditionalFormatting sqref="K96">
    <cfRule type="colorScale" priority="57">
      <colorScale>
        <cfvo type="min"/>
        <cfvo type="percentile" val="50"/>
        <cfvo type="max"/>
        <color rgb="FF63BE7B"/>
        <color rgb="FFFFEB84"/>
        <color rgb="FFF8696B"/>
      </colorScale>
    </cfRule>
    <cfRule type="colorScale" priority="56">
      <colorScale>
        <cfvo type="min"/>
        <cfvo type="max"/>
        <color rgb="FFF8696B"/>
        <color rgb="FFFCFCFF"/>
      </colorScale>
    </cfRule>
    <cfRule type="colorScale" priority="58">
      <colorScale>
        <cfvo type="min"/>
        <cfvo type="percentile" val="50"/>
        <cfvo type="max"/>
        <color rgb="FF63BE7B"/>
        <color rgb="FFFFEB84"/>
        <color rgb="FFF8696B"/>
      </colorScale>
    </cfRule>
    <cfRule type="colorScale" priority="55">
      <colorScale>
        <cfvo type="min"/>
        <cfvo type="max"/>
        <color rgb="FFFCFCFF"/>
        <color rgb="FFF8696B"/>
      </colorScale>
    </cfRule>
    <cfRule type="colorScale" priority="59">
      <colorScale>
        <cfvo type="min"/>
        <cfvo type="percentile" val="50"/>
        <cfvo type="max"/>
        <color rgb="FFF8696B"/>
        <color rgb="FFFFEB84"/>
        <color rgb="FF63BE7B"/>
      </colorScale>
    </cfRule>
    <cfRule type="colorScale" priority="61">
      <colorScale>
        <cfvo type="min"/>
        <cfvo type="percentile" val="50"/>
        <cfvo type="max"/>
        <color rgb="FFF8696B"/>
        <color rgb="FFFFEB84"/>
        <color rgb="FF63BE7B"/>
      </colorScale>
    </cfRule>
    <cfRule type="colorScale" priority="60">
      <colorScale>
        <cfvo type="min"/>
        <cfvo type="percentile" val="50"/>
        <cfvo type="max"/>
        <color rgb="FFF8696B"/>
        <color rgb="FFFFEB84"/>
        <color rgb="FF63BE7B"/>
      </colorScale>
    </cfRule>
  </conditionalFormatting>
  <conditionalFormatting sqref="M22 O22 K22 I22 G22 C22 E22">
    <cfRule type="colorScale" priority="116">
      <colorScale>
        <cfvo type="min"/>
        <cfvo type="max"/>
        <color rgb="FFFCFCFF"/>
        <color rgb="FFF8696B"/>
      </colorScale>
    </cfRule>
  </conditionalFormatting>
  <conditionalFormatting sqref="M22 O22 K22 I22 G22 E22 C22">
    <cfRule type="colorScale" priority="118">
      <colorScale>
        <cfvo type="min"/>
        <cfvo type="percentile" val="50"/>
        <cfvo type="max"/>
        <color rgb="FF63BE7B"/>
        <color rgb="FFFFEB84"/>
        <color rgb="FFF8696B"/>
      </colorScale>
    </cfRule>
    <cfRule type="colorScale" priority="121">
      <colorScale>
        <cfvo type="min"/>
        <cfvo type="percentile" val="50"/>
        <cfvo type="max"/>
        <color rgb="FFF8696B"/>
        <color rgb="FFFFEB84"/>
        <color rgb="FF63BE7B"/>
      </colorScale>
    </cfRule>
    <cfRule type="colorScale" priority="117">
      <colorScale>
        <cfvo type="min"/>
        <cfvo type="max"/>
        <color rgb="FFFCFCFF"/>
        <color rgb="FF63BE7B"/>
      </colorScale>
    </cfRule>
  </conditionalFormatting>
  <conditionalFormatting sqref="M22">
    <cfRule type="colorScale" priority="119">
      <colorScale>
        <cfvo type="min"/>
        <cfvo type="percentile" val="50"/>
        <cfvo type="max"/>
        <color rgb="FFF8696B"/>
        <color rgb="FFFFEB84"/>
        <color rgb="FF63BE7B"/>
      </colorScale>
    </cfRule>
  </conditionalFormatting>
  <conditionalFormatting sqref="M30 O60 G67 E20 G20 I20:I21 K20:K21 M20:M21 O20:O21 C40 E40 G50 I50:I51 K50:K51 M50 O50 M60 K60 I67 K67 M67 O67">
    <cfRule type="colorScale" priority="123">
      <colorScale>
        <cfvo type="min"/>
        <cfvo type="max"/>
        <color rgb="FFFCFCFF"/>
        <color rgb="FF63BE7B"/>
      </colorScale>
    </cfRule>
    <cfRule type="colorScale" priority="122">
      <colorScale>
        <cfvo type="min"/>
        <cfvo type="max"/>
        <color rgb="FFFCFCFF"/>
        <color rgb="FFF8696B"/>
      </colorScale>
    </cfRule>
  </conditionalFormatting>
  <conditionalFormatting sqref="M32 O32 K32 I32 G32 C32 E32">
    <cfRule type="colorScale" priority="110">
      <colorScale>
        <cfvo type="min"/>
        <cfvo type="max"/>
        <color rgb="FFFCFCFF"/>
        <color rgb="FFF8696B"/>
      </colorScale>
    </cfRule>
  </conditionalFormatting>
  <conditionalFormatting sqref="M32 O32 K32 I32 G32 E32 C32">
    <cfRule type="colorScale" priority="112">
      <colorScale>
        <cfvo type="min"/>
        <cfvo type="percentile" val="50"/>
        <cfvo type="max"/>
        <color rgb="FF63BE7B"/>
        <color rgb="FFFFEB84"/>
        <color rgb="FFF8696B"/>
      </colorScale>
    </cfRule>
    <cfRule type="colorScale" priority="115">
      <colorScale>
        <cfvo type="min"/>
        <cfvo type="percentile" val="50"/>
        <cfvo type="max"/>
        <color rgb="FFF8696B"/>
        <color rgb="FFFFEB84"/>
        <color rgb="FF63BE7B"/>
      </colorScale>
    </cfRule>
    <cfRule type="colorScale" priority="111">
      <colorScale>
        <cfvo type="min"/>
        <cfvo type="max"/>
        <color rgb="FFFCFCFF"/>
        <color rgb="FF63BE7B"/>
      </colorScale>
    </cfRule>
  </conditionalFormatting>
  <conditionalFormatting sqref="M32">
    <cfRule type="colorScale" priority="113">
      <colorScale>
        <cfvo type="min"/>
        <cfvo type="percentile" val="50"/>
        <cfvo type="max"/>
        <color rgb="FFF8696B"/>
        <color rgb="FFFFEB84"/>
        <color rgb="FF63BE7B"/>
      </colorScale>
    </cfRule>
  </conditionalFormatting>
  <conditionalFormatting sqref="M42 O42 K42 I42 G42 C42 E42">
    <cfRule type="colorScale" priority="104">
      <colorScale>
        <cfvo type="min"/>
        <cfvo type="max"/>
        <color rgb="FFFCFCFF"/>
        <color rgb="FFF8696B"/>
      </colorScale>
    </cfRule>
  </conditionalFormatting>
  <conditionalFormatting sqref="M42 O42 K42 I42 G42 E42 C42">
    <cfRule type="colorScale" priority="105">
      <colorScale>
        <cfvo type="min"/>
        <cfvo type="max"/>
        <color rgb="FFFCFCFF"/>
        <color rgb="FF63BE7B"/>
      </colorScale>
    </cfRule>
  </conditionalFormatting>
  <conditionalFormatting sqref="M42">
    <cfRule type="colorScale" priority="107">
      <colorScale>
        <cfvo type="min"/>
        <cfvo type="percentile" val="50"/>
        <cfvo type="max"/>
        <color rgb="FFF8696B"/>
        <color rgb="FFFFEB84"/>
        <color rgb="FF63BE7B"/>
      </colorScale>
    </cfRule>
  </conditionalFormatting>
  <conditionalFormatting sqref="M52 O52 K52 I52 G52 E52 C52">
    <cfRule type="colorScale" priority="99">
      <colorScale>
        <cfvo type="min"/>
        <cfvo type="max"/>
        <color rgb="FFFCFCFF"/>
        <color rgb="FF63BE7B"/>
      </colorScale>
    </cfRule>
    <cfRule type="colorScale" priority="103">
      <colorScale>
        <cfvo type="min"/>
        <cfvo type="percentile" val="50"/>
        <cfvo type="max"/>
        <color rgb="FFF8696B"/>
        <color rgb="FFFFEB84"/>
        <color rgb="FF63BE7B"/>
      </colorScale>
    </cfRule>
    <cfRule type="colorScale" priority="100">
      <colorScale>
        <cfvo type="min"/>
        <cfvo type="percentile" val="50"/>
        <cfvo type="max"/>
        <color rgb="FF63BE7B"/>
        <color rgb="FFFFEB84"/>
        <color rgb="FFF8696B"/>
      </colorScale>
    </cfRule>
  </conditionalFormatting>
  <conditionalFormatting sqref="M52">
    <cfRule type="colorScale" priority="101">
      <colorScale>
        <cfvo type="min"/>
        <cfvo type="percentile" val="50"/>
        <cfvo type="max"/>
        <color rgb="FFF8696B"/>
        <color rgb="FFFFEB84"/>
        <color rgb="FF63BE7B"/>
      </colorScale>
    </cfRule>
  </conditionalFormatting>
  <conditionalFormatting sqref="M62 O62 K62 I62 G62 C62 E62">
    <cfRule type="colorScale" priority="92">
      <colorScale>
        <cfvo type="min"/>
        <cfvo type="max"/>
        <color rgb="FFFCFCFF"/>
        <color rgb="FFF8696B"/>
      </colorScale>
    </cfRule>
  </conditionalFormatting>
  <conditionalFormatting sqref="M62 O62 K62 I62 G62 E62 C62">
    <cfRule type="colorScale" priority="97">
      <colorScale>
        <cfvo type="min"/>
        <cfvo type="percentile" val="50"/>
        <cfvo type="max"/>
        <color rgb="FFF8696B"/>
        <color rgb="FFFFEB84"/>
        <color rgb="FF63BE7B"/>
      </colorScale>
    </cfRule>
    <cfRule type="colorScale" priority="93">
      <colorScale>
        <cfvo type="min"/>
        <cfvo type="max"/>
        <color rgb="FFFCFCFF"/>
        <color rgb="FF63BE7B"/>
      </colorScale>
    </cfRule>
  </conditionalFormatting>
  <conditionalFormatting sqref="M62">
    <cfRule type="colorScale" priority="95">
      <colorScale>
        <cfvo type="min"/>
        <cfvo type="percentile" val="50"/>
        <cfvo type="max"/>
        <color rgb="FFF8696B"/>
        <color rgb="FFFFEB84"/>
        <color rgb="FF63BE7B"/>
      </colorScale>
    </cfRule>
  </conditionalFormatting>
  <conditionalFormatting sqref="M85 M90">
    <cfRule type="colorScale" priority="136">
      <colorScale>
        <cfvo type="min"/>
        <cfvo type="max"/>
        <color rgb="FFF8696B"/>
        <color rgb="FFFCFCFF"/>
      </colorScale>
    </cfRule>
    <cfRule type="colorScale" priority="135">
      <colorScale>
        <cfvo type="min"/>
        <cfvo type="percentile" val="50"/>
        <cfvo type="max"/>
        <color rgb="FF63BE7B"/>
        <color rgb="FFFFEB84"/>
        <color rgb="FFF8696B"/>
      </colorScale>
    </cfRule>
    <cfRule type="colorScale" priority="134">
      <colorScale>
        <cfvo type="min"/>
        <cfvo type="max"/>
        <color rgb="FFFCFCFF"/>
        <color rgb="FFF8696B"/>
      </colorScale>
    </cfRule>
    <cfRule type="colorScale" priority="133">
      <colorScale>
        <cfvo type="min"/>
        <cfvo type="percentile" val="50"/>
        <cfvo type="max"/>
        <color rgb="FF63BE7B"/>
        <color rgb="FFFFEB84"/>
        <color rgb="FFF8696B"/>
      </colorScale>
    </cfRule>
    <cfRule type="colorScale" priority="132">
      <colorScale>
        <cfvo type="min"/>
        <cfvo type="percentile" val="50"/>
        <cfvo type="max"/>
        <color rgb="FFF8696B"/>
        <color rgb="FFFFEB84"/>
        <color rgb="FF63BE7B"/>
      </colorScale>
    </cfRule>
  </conditionalFormatting>
  <conditionalFormatting sqref="M85">
    <cfRule type="colorScale" priority="42">
      <colorScale>
        <cfvo type="min"/>
        <cfvo type="percentile" val="50"/>
        <cfvo type="max"/>
        <color rgb="FFF8696B"/>
        <color rgb="FFFFEB84"/>
        <color rgb="FF63BE7B"/>
      </colorScale>
    </cfRule>
  </conditionalFormatting>
  <conditionalFormatting sqref="M90">
    <cfRule type="colorScale" priority="41">
      <colorScale>
        <cfvo type="min"/>
        <cfvo type="percentile" val="50"/>
        <cfvo type="max"/>
        <color rgb="FFF8696B"/>
        <color rgb="FFFFEB84"/>
        <color rgb="FF63BE7B"/>
      </colorScale>
    </cfRule>
    <cfRule type="colorScale" priority="50">
      <colorScale>
        <cfvo type="min"/>
        <cfvo type="percentile" val="50"/>
        <cfvo type="max"/>
        <color rgb="FFF8696B"/>
        <color rgb="FFFFEB84"/>
        <color rgb="FF63BE7B"/>
      </colorScale>
    </cfRule>
  </conditionalFormatting>
  <conditionalFormatting sqref="M96 M85 M90">
    <cfRule type="colorScale" priority="40">
      <colorScale>
        <cfvo type="min"/>
        <cfvo type="max"/>
        <color rgb="FFFCFCFF"/>
        <color rgb="FFF8696B"/>
      </colorScale>
    </cfRule>
  </conditionalFormatting>
  <conditionalFormatting sqref="M96">
    <cfRule type="colorScale" priority="49">
      <colorScale>
        <cfvo type="min"/>
        <cfvo type="percentile" val="50"/>
        <cfvo type="max"/>
        <color rgb="FFF8696B"/>
        <color rgb="FFFFEB84"/>
        <color rgb="FF63BE7B"/>
      </colorScale>
    </cfRule>
    <cfRule type="colorScale" priority="43">
      <colorScale>
        <cfvo type="min"/>
        <cfvo type="max"/>
        <color rgb="FFFCFCFF"/>
        <color rgb="FFF8696B"/>
      </colorScale>
    </cfRule>
    <cfRule type="colorScale" priority="47">
      <colorScale>
        <cfvo type="min"/>
        <cfvo type="percentile" val="50"/>
        <cfvo type="max"/>
        <color rgb="FFF8696B"/>
        <color rgb="FFFFEB84"/>
        <color rgb="FF63BE7B"/>
      </colorScale>
    </cfRule>
    <cfRule type="colorScale" priority="44">
      <colorScale>
        <cfvo type="min"/>
        <cfvo type="max"/>
        <color rgb="FFF8696B"/>
        <color rgb="FFFCFCFF"/>
      </colorScale>
    </cfRule>
    <cfRule type="colorScale" priority="46">
      <colorScale>
        <cfvo type="min"/>
        <cfvo type="percentile" val="50"/>
        <cfvo type="max"/>
        <color rgb="FF63BE7B"/>
        <color rgb="FFFFEB84"/>
        <color rgb="FFF8696B"/>
      </colorScale>
    </cfRule>
    <cfRule type="colorScale" priority="48">
      <colorScale>
        <cfvo type="min"/>
        <cfvo type="percentile" val="50"/>
        <cfvo type="max"/>
        <color rgb="FFF8696B"/>
        <color rgb="FFFFEB84"/>
        <color rgb="FF63BE7B"/>
      </colorScale>
    </cfRule>
    <cfRule type="colorScale" priority="45">
      <colorScale>
        <cfvo type="min"/>
        <cfvo type="percentile" val="50"/>
        <cfvo type="max"/>
        <color rgb="FF63BE7B"/>
        <color rgb="FFFFEB84"/>
        <color rgb="FFF8696B"/>
      </colorScale>
    </cfRule>
  </conditionalFormatting>
  <conditionalFormatting sqref="O30">
    <cfRule type="colorScale" priority="91">
      <colorScale>
        <cfvo type="min"/>
        <cfvo type="percentile" val="50"/>
        <cfvo type="max"/>
        <color rgb="FFF8696B"/>
        <color rgb="FFFFEB84"/>
        <color rgb="FF63BE7B"/>
      </colorScale>
    </cfRule>
    <cfRule type="colorScale" priority="90">
      <colorScale>
        <cfvo type="min"/>
        <cfvo type="percentile" val="50"/>
        <cfvo type="max"/>
        <color rgb="FFF8696B"/>
        <color rgb="FFFFEB84"/>
        <color rgb="FF63BE7B"/>
      </colorScale>
    </cfRule>
    <cfRule type="colorScale" priority="89">
      <colorScale>
        <cfvo type="min"/>
        <cfvo type="percentile" val="50"/>
        <cfvo type="max"/>
        <color rgb="FF63BE7B"/>
        <color rgb="FFFFEB84"/>
        <color rgb="FFF8696B"/>
      </colorScale>
    </cfRule>
    <cfRule type="colorScale" priority="88">
      <colorScale>
        <cfvo type="min"/>
        <cfvo type="max"/>
        <color rgb="FFFCFCFF"/>
        <color rgb="FF63BE7B"/>
      </colorScale>
    </cfRule>
    <cfRule type="colorScale" priority="87">
      <colorScale>
        <cfvo type="min"/>
        <cfvo type="max"/>
        <color rgb="FFFCFCFF"/>
        <color rgb="FFF8696B"/>
      </colorScale>
    </cfRule>
  </conditionalFormatting>
  <conditionalFormatting sqref="O42 M42 K42 I42 G42 E42 C42">
    <cfRule type="colorScale" priority="106">
      <colorScale>
        <cfvo type="min"/>
        <cfvo type="percentile" val="50"/>
        <cfvo type="max"/>
        <color rgb="FF63BE7B"/>
        <color rgb="FFFFEB84"/>
        <color rgb="FFF8696B"/>
      </colorScale>
    </cfRule>
    <cfRule type="colorScale" priority="109">
      <colorScale>
        <cfvo type="min"/>
        <cfvo type="percentile" val="50"/>
        <cfvo type="max"/>
        <color rgb="FFF8696B"/>
        <color rgb="FFFFEB84"/>
        <color rgb="FF63BE7B"/>
      </colorScale>
    </cfRule>
  </conditionalFormatting>
  <conditionalFormatting sqref="O52 M52 K52 I52 G52 C52 E52">
    <cfRule type="colorScale" priority="98">
      <colorScale>
        <cfvo type="min"/>
        <cfvo type="max"/>
        <color rgb="FFFCFCFF"/>
        <color rgb="FFF8696B"/>
      </colorScale>
    </cfRule>
  </conditionalFormatting>
  <conditionalFormatting sqref="O62 M62 K62 I62 G62 E62 C62">
    <cfRule type="colorScale" priority="94">
      <colorScale>
        <cfvo type="min"/>
        <cfvo type="percentile" val="50"/>
        <cfvo type="max"/>
        <color rgb="FF63BE7B"/>
        <color rgb="FFFFEB84"/>
        <color rgb="FFF8696B"/>
      </colorScale>
    </cfRule>
  </conditionalFormatting>
  <conditionalFormatting sqref="O85 O90">
    <cfRule type="colorScale" priority="141">
      <colorScale>
        <cfvo type="min"/>
        <cfvo type="max"/>
        <color rgb="FFF8696B"/>
        <color rgb="FFFCFCFF"/>
      </colorScale>
    </cfRule>
    <cfRule type="colorScale" priority="138">
      <colorScale>
        <cfvo type="min"/>
        <cfvo type="percentile" val="50"/>
        <cfvo type="max"/>
        <color rgb="FF63BE7B"/>
        <color rgb="FFFFEB84"/>
        <color rgb="FFF8696B"/>
      </colorScale>
    </cfRule>
    <cfRule type="colorScale" priority="140">
      <colorScale>
        <cfvo type="min"/>
        <cfvo type="percentile" val="50"/>
        <cfvo type="max"/>
        <color rgb="FF63BE7B"/>
        <color rgb="FFFFEB84"/>
        <color rgb="FFF8696B"/>
      </colorScale>
    </cfRule>
    <cfRule type="colorScale" priority="139">
      <colorScale>
        <cfvo type="min"/>
        <cfvo type="max"/>
        <color rgb="FFFCFCFF"/>
        <color rgb="FFF8696B"/>
      </colorScale>
    </cfRule>
    <cfRule type="colorScale" priority="137">
      <colorScale>
        <cfvo type="min"/>
        <cfvo type="percentile" val="50"/>
        <cfvo type="max"/>
        <color rgb="FFF8696B"/>
        <color rgb="FFFFEB84"/>
        <color rgb="FF63BE7B"/>
      </colorScale>
    </cfRule>
  </conditionalFormatting>
  <conditionalFormatting sqref="O85 O96 O90">
    <cfRule type="colorScale" priority="29">
      <colorScale>
        <cfvo type="min"/>
        <cfvo type="max"/>
        <color rgb="FFFCFCFF"/>
        <color rgb="FFF8696B"/>
      </colorScale>
    </cfRule>
  </conditionalFormatting>
  <conditionalFormatting sqref="O85">
    <cfRule type="colorScale" priority="31">
      <colorScale>
        <cfvo type="min"/>
        <cfvo type="percentile" val="50"/>
        <cfvo type="max"/>
        <color rgb="FFF8696B"/>
        <color rgb="FFFFEB84"/>
        <color rgb="FF63BE7B"/>
      </colorScale>
    </cfRule>
  </conditionalFormatting>
  <conditionalFormatting sqref="O90">
    <cfRule type="colorScale" priority="39">
      <colorScale>
        <cfvo type="min"/>
        <cfvo type="percentile" val="50"/>
        <cfvo type="max"/>
        <color rgb="FFF8696B"/>
        <color rgb="FFFFEB84"/>
        <color rgb="FF63BE7B"/>
      </colorScale>
    </cfRule>
    <cfRule type="colorScale" priority="30">
      <colorScale>
        <cfvo type="min"/>
        <cfvo type="percentile" val="50"/>
        <cfvo type="max"/>
        <color rgb="FFF8696B"/>
        <color rgb="FFFFEB84"/>
        <color rgb="FF63BE7B"/>
      </colorScale>
    </cfRule>
  </conditionalFormatting>
  <conditionalFormatting sqref="O96">
    <cfRule type="colorScale" priority="36">
      <colorScale>
        <cfvo type="min"/>
        <cfvo type="percentile" val="50"/>
        <cfvo type="max"/>
        <color rgb="FFF8696B"/>
        <color rgb="FFFFEB84"/>
        <color rgb="FF63BE7B"/>
      </colorScale>
    </cfRule>
    <cfRule type="colorScale" priority="32">
      <colorScale>
        <cfvo type="min"/>
        <cfvo type="max"/>
        <color rgb="FFFCFCFF"/>
        <color rgb="FFF8696B"/>
      </colorScale>
    </cfRule>
    <cfRule type="colorScale" priority="33">
      <colorScale>
        <cfvo type="min"/>
        <cfvo type="max"/>
        <color rgb="FFF8696B"/>
        <color rgb="FFFCFCFF"/>
      </colorScale>
    </cfRule>
    <cfRule type="colorScale" priority="34">
      <colorScale>
        <cfvo type="min"/>
        <cfvo type="percentile" val="50"/>
        <cfvo type="max"/>
        <color rgb="FF63BE7B"/>
        <color rgb="FFFFEB84"/>
        <color rgb="FFF8696B"/>
      </colorScale>
    </cfRule>
    <cfRule type="colorScale" priority="38">
      <colorScale>
        <cfvo type="min"/>
        <cfvo type="percentile" val="50"/>
        <cfvo type="max"/>
        <color rgb="FFF8696B"/>
        <color rgb="FFFFEB84"/>
        <color rgb="FF63BE7B"/>
      </colorScale>
    </cfRule>
    <cfRule type="colorScale" priority="37">
      <colorScale>
        <cfvo type="min"/>
        <cfvo type="percentile" val="50"/>
        <cfvo type="max"/>
        <color rgb="FFF8696B"/>
        <color rgb="FFFFEB84"/>
        <color rgb="FF63BE7B"/>
      </colorScale>
    </cfRule>
    <cfRule type="colorScale" priority="35">
      <colorScale>
        <cfvo type="min"/>
        <cfvo type="percentile" val="50"/>
        <cfvo type="max"/>
        <color rgb="FF63BE7B"/>
        <color rgb="FFFFEB84"/>
        <color rgb="FFF8696B"/>
      </colorScale>
    </cfRule>
  </conditionalFormatting>
  <pageMargins left="0.25" right="0.25" top="0.75" bottom="0.75" header="0.3" footer="0.3"/>
  <pageSetup paperSize="8" scale="62"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FF9999"/>
    <pageSetUpPr fitToPage="1"/>
  </sheetPr>
  <dimension ref="A1:EM259"/>
  <sheetViews>
    <sheetView zoomScale="80" zoomScaleNormal="80" workbookViewId="0">
      <selection activeCell="H90" sqref="H90"/>
    </sheetView>
  </sheetViews>
  <sheetFormatPr baseColWidth="10" defaultColWidth="12.1640625" defaultRowHeight="15.75" customHeight="1"/>
  <cols>
    <col min="1" max="1" width="15.5" style="1048" bestFit="1" customWidth="1"/>
    <col min="2" max="2" width="31.83203125" style="1048" customWidth="1"/>
    <col min="3" max="3" width="11.6640625" style="1048" customWidth="1"/>
    <col min="4" max="4" width="31.83203125" style="1048" customWidth="1"/>
    <col min="5" max="5" width="12.83203125" style="1048" customWidth="1"/>
    <col min="6" max="6" width="31.83203125" style="1048" customWidth="1"/>
    <col min="7" max="7" width="12.5" style="1048" customWidth="1"/>
    <col min="8" max="8" width="31.83203125" style="1048" customWidth="1"/>
    <col min="9" max="9" width="12.5" style="1048" customWidth="1"/>
    <col min="10" max="10" width="31.83203125" style="1048" customWidth="1"/>
    <col min="11" max="11" width="12.83203125" style="1048" customWidth="1"/>
    <col min="12" max="12" width="31.83203125" style="1048" customWidth="1"/>
    <col min="13" max="13" width="12.5" style="1048" customWidth="1"/>
    <col min="14" max="14" width="31.83203125" style="1048" customWidth="1"/>
    <col min="15" max="15" width="12.33203125" style="1048" customWidth="1"/>
    <col min="16" max="16" width="12.1640625" style="1048"/>
    <col min="17" max="17" width="19" style="1048" customWidth="1"/>
    <col min="18" max="18" width="31.83203125" style="1048" customWidth="1"/>
    <col min="19" max="19" width="11.5" style="1048" customWidth="1"/>
    <col min="20" max="20" width="31.83203125" style="1048" customWidth="1"/>
    <col min="21" max="21" width="11.5" style="1048" customWidth="1"/>
    <col min="22" max="22" width="31.83203125" style="1048" customWidth="1"/>
    <col min="23" max="23" width="11.5" style="1048" customWidth="1"/>
    <col min="24" max="24" width="31.83203125" style="1048" customWidth="1"/>
    <col min="25" max="25" width="12.1640625" style="1048"/>
    <col min="26" max="26" width="31.83203125" style="1048" customWidth="1"/>
    <col min="27" max="27" width="12.1640625" style="1048"/>
    <col min="28" max="28" width="31.6640625" style="1048" customWidth="1"/>
    <col min="29" max="29" width="12.1640625" style="1048"/>
    <col min="30" max="30" width="31.83203125" style="1048" customWidth="1"/>
    <col min="31" max="33" width="12.1640625" style="1048"/>
    <col min="34" max="34" width="31.83203125" style="1048" customWidth="1"/>
    <col min="35" max="35" width="12.1640625" style="1048"/>
    <col min="36" max="36" width="31.83203125" style="1048" customWidth="1"/>
    <col min="37" max="37" width="12.1640625" style="1048"/>
    <col min="38" max="38" width="31.83203125" style="1048" customWidth="1"/>
    <col min="39" max="39" width="12.1640625" style="1048"/>
    <col min="40" max="40" width="31.83203125" style="1048" customWidth="1"/>
    <col min="41" max="41" width="12.1640625" style="1048"/>
    <col min="42" max="42" width="31.83203125" style="1048" customWidth="1"/>
    <col min="43" max="43" width="12.1640625" style="1048"/>
    <col min="44" max="44" width="31.83203125" style="1048" customWidth="1"/>
    <col min="45" max="45" width="12.1640625" style="1048"/>
    <col min="46" max="46" width="31.83203125" style="1048" customWidth="1"/>
    <col min="47" max="49" width="12.1640625" style="1048"/>
    <col min="50" max="50" width="31.83203125" style="1048" customWidth="1"/>
    <col min="51" max="51" width="12.1640625" style="1048"/>
    <col min="52" max="52" width="31.83203125" style="1048" customWidth="1"/>
    <col min="53" max="53" width="12.1640625" style="1048"/>
    <col min="54" max="54" width="31.83203125" style="1048" customWidth="1"/>
    <col min="55" max="55" width="12.1640625" style="1048"/>
    <col min="56" max="56" width="31.83203125" style="1048" customWidth="1"/>
    <col min="57" max="57" width="12.1640625" style="1048"/>
    <col min="58" max="58" width="31.83203125" style="1048" customWidth="1"/>
    <col min="59" max="59" width="12.1640625" style="1048"/>
    <col min="60" max="60" width="31.83203125" style="1048" customWidth="1"/>
    <col min="61" max="61" width="12.1640625" style="1048"/>
    <col min="62" max="62" width="31.83203125" style="1048" customWidth="1"/>
    <col min="63" max="65" width="12.1640625" style="1048"/>
    <col min="66" max="66" width="31.83203125" style="1048" customWidth="1"/>
    <col min="67" max="67" width="12.1640625" style="1048"/>
    <col min="68" max="68" width="31.83203125" style="1048" customWidth="1"/>
    <col min="69" max="69" width="12.1640625" style="1048"/>
    <col min="70" max="70" width="31.83203125" style="1048" customWidth="1"/>
    <col min="71" max="71" width="12.1640625" style="1048"/>
    <col min="72" max="72" width="31.83203125" style="1048" customWidth="1"/>
    <col min="73" max="73" width="12.1640625" style="1048"/>
    <col min="74" max="74" width="31.83203125" style="1048" customWidth="1"/>
    <col min="75" max="75" width="12.1640625" style="1048"/>
    <col min="76" max="76" width="31.83203125" style="1048" customWidth="1"/>
    <col min="77" max="77" width="12.1640625" style="1048"/>
    <col min="78" max="78" width="31.83203125" style="1048" customWidth="1"/>
    <col min="79" max="81" width="12.1640625" style="1048"/>
    <col min="82" max="82" width="31.83203125" style="1048" customWidth="1"/>
    <col min="83" max="83" width="12.1640625" style="1048"/>
    <col min="84" max="84" width="31.83203125" style="1048" customWidth="1"/>
    <col min="85" max="85" width="12.1640625" style="1048"/>
    <col min="86" max="86" width="31.83203125" style="1048" customWidth="1"/>
    <col min="87" max="87" width="12.1640625" style="1048"/>
    <col min="88" max="88" width="31.83203125" style="1048" customWidth="1"/>
    <col min="89" max="89" width="12.1640625" style="1048"/>
    <col min="90" max="90" width="31.83203125" style="1048" customWidth="1"/>
    <col min="91" max="91" width="12.1640625" style="1048"/>
    <col min="92" max="92" width="31.83203125" style="1048" customWidth="1"/>
    <col min="93" max="93" width="12.1640625" style="1048"/>
    <col min="94" max="94" width="31.83203125" style="1048" customWidth="1"/>
    <col min="95" max="97" width="12.1640625" style="1048"/>
    <col min="98" max="98" width="31.83203125" style="1048" customWidth="1"/>
    <col min="99" max="99" width="12.1640625" style="1048"/>
    <col min="100" max="100" width="31.83203125" style="1048" customWidth="1"/>
    <col min="101" max="101" width="12.1640625" style="1048"/>
    <col min="102" max="102" width="31.83203125" style="1048" customWidth="1"/>
    <col min="103" max="103" width="12.1640625" style="1048"/>
    <col min="104" max="104" width="31.83203125" style="1048" customWidth="1"/>
    <col min="105" max="105" width="12.1640625" style="1048"/>
    <col min="106" max="106" width="31.83203125" style="1048" customWidth="1"/>
    <col min="107" max="107" width="12.1640625" style="1048"/>
    <col min="108" max="108" width="31.83203125" style="1048" customWidth="1"/>
    <col min="109" max="109" width="12.1640625" style="1048"/>
    <col min="110" max="110" width="31.83203125" style="1048" customWidth="1"/>
    <col min="111" max="113" width="12.1640625" style="1048"/>
    <col min="114" max="114" width="31.83203125" style="1048" customWidth="1"/>
    <col min="115" max="115" width="12.1640625" style="1048"/>
    <col min="116" max="116" width="31.83203125" style="1048" customWidth="1"/>
    <col min="117" max="117" width="12.1640625" style="1048"/>
    <col min="118" max="118" width="31.83203125" style="1048" customWidth="1"/>
    <col min="119" max="119" width="12.1640625" style="1048"/>
    <col min="120" max="120" width="31.83203125" style="1048" customWidth="1"/>
    <col min="121" max="121" width="12.1640625" style="1048"/>
    <col min="122" max="122" width="31.83203125" style="1048" customWidth="1"/>
    <col min="123" max="123" width="12.1640625" style="1048"/>
    <col min="124" max="124" width="31.83203125" style="1048" customWidth="1"/>
    <col min="125" max="125" width="12.1640625" style="1048"/>
    <col min="126" max="126" width="31.83203125" style="1048" customWidth="1"/>
    <col min="127" max="129" width="12.1640625" style="1048"/>
    <col min="130" max="130" width="31.83203125" style="1048" customWidth="1"/>
    <col min="131" max="131" width="12.1640625" style="1048"/>
    <col min="132" max="132" width="31.83203125" style="1048" customWidth="1"/>
    <col min="133" max="133" width="12.1640625" style="1048"/>
    <col min="134" max="134" width="31.83203125" style="1048" customWidth="1"/>
    <col min="135" max="135" width="12.1640625" style="1048"/>
    <col min="136" max="136" width="31.83203125" style="1048" customWidth="1"/>
    <col min="137" max="137" width="12.1640625" style="1048"/>
    <col min="138" max="138" width="31.83203125" style="1048" customWidth="1"/>
    <col min="139" max="139" width="12.1640625" style="1048"/>
    <col min="140" max="140" width="31.83203125" style="1048" customWidth="1"/>
    <col min="141" max="141" width="12.1640625" style="1048"/>
    <col min="142" max="142" width="31.83203125" style="1048" customWidth="1"/>
    <col min="143" max="16384" width="12.1640625" style="1048"/>
  </cols>
  <sheetData>
    <row r="1" spans="1:143" ht="15.75" customHeight="1">
      <c r="A1" s="1048" t="s">
        <v>1469</v>
      </c>
      <c r="C1" s="931"/>
      <c r="D1" s="931"/>
      <c r="E1" s="931"/>
      <c r="F1" s="931"/>
      <c r="G1" s="931"/>
      <c r="H1" s="931"/>
      <c r="I1" s="931"/>
      <c r="J1" s="931"/>
      <c r="K1" s="931"/>
      <c r="L1" s="931"/>
      <c r="M1" s="931"/>
      <c r="N1" s="931"/>
      <c r="O1" s="931"/>
    </row>
    <row r="2" spans="1:143" ht="15.75" customHeight="1">
      <c r="A2" s="1048" t="s">
        <v>1470</v>
      </c>
      <c r="C2" s="931"/>
      <c r="D2" s="931"/>
      <c r="E2" s="931"/>
      <c r="F2" s="931"/>
      <c r="G2" s="931"/>
      <c r="H2" s="931"/>
      <c r="I2" s="931"/>
      <c r="J2" s="931"/>
      <c r="K2" s="931"/>
      <c r="L2" s="931"/>
      <c r="M2" s="931"/>
      <c r="N2" s="931"/>
      <c r="O2" s="931"/>
    </row>
    <row r="3" spans="1:143" ht="15.75" customHeight="1">
      <c r="A3" s="1041" t="s">
        <v>2052</v>
      </c>
      <c r="B3" s="1041">
        <v>2.65</v>
      </c>
      <c r="C3" s="1041">
        <v>2.65</v>
      </c>
      <c r="D3" s="1441"/>
      <c r="E3" s="931"/>
      <c r="F3" s="931"/>
      <c r="G3" s="931"/>
      <c r="H3" s="931"/>
      <c r="I3" s="931"/>
      <c r="J3" s="931"/>
      <c r="K3" s="931"/>
      <c r="L3" s="931"/>
      <c r="M3" s="931"/>
      <c r="N3" s="931"/>
      <c r="O3" s="931"/>
      <c r="Q3" s="1041" t="s">
        <v>2052</v>
      </c>
      <c r="R3" s="1041">
        <v>2.65</v>
      </c>
      <c r="S3" s="1041">
        <v>2.85</v>
      </c>
      <c r="T3" s="1041"/>
      <c r="U3" s="931"/>
      <c r="V3" s="931"/>
      <c r="W3" s="931"/>
      <c r="X3" s="931"/>
      <c r="Y3" s="931"/>
      <c r="Z3" s="931"/>
      <c r="AA3" s="931"/>
      <c r="AB3" s="931"/>
      <c r="AC3" s="931"/>
      <c r="AD3" s="931"/>
      <c r="AE3" s="931"/>
      <c r="AG3" s="1041" t="s">
        <v>2052</v>
      </c>
      <c r="AH3" s="1041">
        <v>2.65</v>
      </c>
      <c r="AI3" s="1041">
        <v>3</v>
      </c>
      <c r="AJ3" s="1041"/>
      <c r="AK3" s="931"/>
      <c r="AL3" s="931"/>
      <c r="AM3" s="931"/>
      <c r="AN3" s="931"/>
      <c r="AO3" s="931"/>
      <c r="AP3" s="931"/>
      <c r="AQ3" s="931"/>
      <c r="AR3" s="931"/>
      <c r="AS3" s="931"/>
      <c r="AT3" s="931"/>
      <c r="AU3" s="931"/>
      <c r="AW3" s="1041" t="s">
        <v>2052</v>
      </c>
      <c r="AX3" s="1041">
        <v>2.65</v>
      </c>
      <c r="AY3" s="1041">
        <v>3.5</v>
      </c>
      <c r="AZ3" s="1041"/>
      <c r="BA3" s="931"/>
      <c r="BB3" s="931"/>
      <c r="BC3" s="931"/>
      <c r="BD3" s="931"/>
      <c r="BE3" s="931"/>
      <c r="BF3" s="931"/>
      <c r="BG3" s="931"/>
      <c r="BH3" s="931"/>
      <c r="BI3" s="931"/>
      <c r="BJ3" s="931"/>
      <c r="BK3" s="931"/>
      <c r="BM3" s="1041" t="s">
        <v>2052</v>
      </c>
      <c r="BN3" s="1041">
        <v>2.65</v>
      </c>
      <c r="BO3" s="1041">
        <v>4</v>
      </c>
      <c r="BP3" s="1041"/>
      <c r="BQ3" s="931"/>
      <c r="BR3" s="931"/>
      <c r="BS3" s="931"/>
      <c r="BT3" s="931"/>
      <c r="BU3" s="931"/>
      <c r="BV3" s="931"/>
      <c r="BW3" s="931"/>
      <c r="BX3" s="931"/>
      <c r="BY3" s="931"/>
      <c r="BZ3" s="931"/>
      <c r="CA3" s="931"/>
      <c r="CC3" s="1041" t="s">
        <v>2052</v>
      </c>
      <c r="CD3" s="1041">
        <v>2.65</v>
      </c>
      <c r="CE3" s="1041">
        <v>4.5</v>
      </c>
      <c r="CF3" s="1041"/>
      <c r="CG3" s="931"/>
      <c r="CH3" s="931"/>
      <c r="CI3" s="931"/>
      <c r="CJ3" s="931"/>
      <c r="CK3" s="931"/>
      <c r="CL3" s="931"/>
      <c r="CM3" s="931"/>
      <c r="CN3" s="931"/>
      <c r="CO3" s="931"/>
      <c r="CP3" s="931"/>
      <c r="CQ3" s="931"/>
      <c r="CS3" s="1041" t="s">
        <v>2052</v>
      </c>
      <c r="CT3" s="1041">
        <v>2.65</v>
      </c>
      <c r="CU3" s="1041">
        <v>5</v>
      </c>
      <c r="CV3" s="1041"/>
      <c r="CW3" s="931"/>
      <c r="CX3" s="931"/>
      <c r="CY3" s="931"/>
      <c r="CZ3" s="931"/>
      <c r="DA3" s="931"/>
      <c r="DB3" s="931"/>
      <c r="DC3" s="931"/>
      <c r="DD3" s="931"/>
      <c r="DE3" s="931"/>
      <c r="DF3" s="931"/>
      <c r="DG3" s="931"/>
      <c r="DI3" s="1041" t="s">
        <v>2052</v>
      </c>
      <c r="DJ3" s="1041">
        <v>2.65</v>
      </c>
      <c r="DK3" s="1041">
        <v>5.3</v>
      </c>
      <c r="DL3" s="1041"/>
      <c r="DM3" s="931"/>
      <c r="DN3" s="931"/>
      <c r="DO3" s="931"/>
      <c r="DP3" s="931"/>
      <c r="DQ3" s="931"/>
      <c r="DR3" s="931"/>
      <c r="DS3" s="931"/>
      <c r="DT3" s="931"/>
      <c r="DU3" s="931"/>
      <c r="DV3" s="931"/>
      <c r="DW3" s="931"/>
      <c r="DY3" s="1041" t="s">
        <v>2052</v>
      </c>
      <c r="DZ3" s="1041">
        <v>2.65</v>
      </c>
      <c r="EA3" s="1041">
        <v>5.7</v>
      </c>
      <c r="EB3" s="1041"/>
      <c r="EC3" s="931"/>
      <c r="ED3" s="931"/>
      <c r="EE3" s="931"/>
      <c r="EF3" s="931"/>
      <c r="EG3" s="931"/>
      <c r="EH3" s="931"/>
      <c r="EI3" s="931"/>
      <c r="EJ3" s="931"/>
      <c r="EK3" s="931"/>
      <c r="EL3" s="931"/>
      <c r="EM3" s="931"/>
    </row>
    <row r="4" spans="1:143" ht="15.75" customHeight="1">
      <c r="A4" s="1038" t="s">
        <v>1354</v>
      </c>
      <c r="B4" s="1038">
        <f>B3-0.2</f>
        <v>2.4499999999999997</v>
      </c>
      <c r="C4" s="1038">
        <f>C3-0.2</f>
        <v>2.4499999999999997</v>
      </c>
      <c r="D4" s="1442"/>
      <c r="E4" s="1038"/>
      <c r="F4" s="1038"/>
      <c r="G4" s="1038"/>
      <c r="H4" s="1038"/>
      <c r="I4" s="1038"/>
      <c r="J4" s="1038"/>
      <c r="K4" s="1038"/>
      <c r="L4" s="1038"/>
      <c r="M4" s="1038"/>
      <c r="N4" s="1038"/>
      <c r="O4" s="1038"/>
      <c r="Q4" s="1038" t="s">
        <v>1354</v>
      </c>
      <c r="R4" s="1038">
        <f>R3-0.2</f>
        <v>2.4499999999999997</v>
      </c>
      <c r="S4" s="1038">
        <f>S3-0.2</f>
        <v>2.65</v>
      </c>
      <c r="T4" s="701"/>
      <c r="U4" s="1038"/>
      <c r="V4" s="1038"/>
      <c r="W4" s="1038"/>
      <c r="X4" s="1038"/>
      <c r="Y4" s="1038"/>
      <c r="Z4" s="1038"/>
      <c r="AA4" s="1038"/>
      <c r="AB4" s="1038"/>
      <c r="AC4" s="1038"/>
      <c r="AD4" s="1038"/>
      <c r="AE4" s="1038"/>
      <c r="AG4" s="1038" t="s">
        <v>1354</v>
      </c>
      <c r="AH4" s="1038">
        <f>AH3-0.2</f>
        <v>2.4499999999999997</v>
      </c>
      <c r="AI4" s="1038">
        <f>AI3-0.2</f>
        <v>2.8</v>
      </c>
      <c r="AJ4" s="701"/>
      <c r="AK4" s="1038"/>
      <c r="AL4" s="1038"/>
      <c r="AM4" s="1038"/>
      <c r="AN4" s="1038"/>
      <c r="AO4" s="1038"/>
      <c r="AP4" s="1038"/>
      <c r="AQ4" s="1038"/>
      <c r="AR4" s="1038"/>
      <c r="AS4" s="1038"/>
      <c r="AT4" s="1038"/>
      <c r="AU4" s="1038"/>
      <c r="AW4" s="1038" t="s">
        <v>1354</v>
      </c>
      <c r="AX4" s="1038">
        <f>AX3-0.2</f>
        <v>2.4499999999999997</v>
      </c>
      <c r="AY4" s="1038">
        <f>AY3-0.2</f>
        <v>3.3</v>
      </c>
      <c r="AZ4" s="701"/>
      <c r="BA4" s="1038"/>
      <c r="BB4" s="1038"/>
      <c r="BC4" s="1038"/>
      <c r="BD4" s="1038"/>
      <c r="BE4" s="1038"/>
      <c r="BF4" s="1038"/>
      <c r="BG4" s="1038"/>
      <c r="BH4" s="1038"/>
      <c r="BI4" s="1038"/>
      <c r="BJ4" s="1038"/>
      <c r="BK4" s="1038"/>
      <c r="BM4" s="1038" t="s">
        <v>1354</v>
      </c>
      <c r="BN4" s="1038">
        <f>BN3-0.2</f>
        <v>2.4499999999999997</v>
      </c>
      <c r="BO4" s="1038">
        <f>BO3-0.2</f>
        <v>3.8</v>
      </c>
      <c r="BP4" s="701"/>
      <c r="BQ4" s="1038"/>
      <c r="BR4" s="1038"/>
      <c r="BS4" s="1038"/>
      <c r="BT4" s="1038"/>
      <c r="BU4" s="1038"/>
      <c r="BV4" s="1038"/>
      <c r="BW4" s="1038"/>
      <c r="BX4" s="1038"/>
      <c r="BY4" s="1038"/>
      <c r="BZ4" s="1038"/>
      <c r="CA4" s="1038"/>
      <c r="CC4" s="1038" t="s">
        <v>1354</v>
      </c>
      <c r="CD4" s="1038">
        <f>CD3-0.2</f>
        <v>2.4499999999999997</v>
      </c>
      <c r="CE4" s="1038">
        <f>CE3-0.2</f>
        <v>4.3</v>
      </c>
      <c r="CF4" s="701"/>
      <c r="CG4" s="1038"/>
      <c r="CH4" s="1038"/>
      <c r="CI4" s="1038"/>
      <c r="CJ4" s="1038"/>
      <c r="CK4" s="1038"/>
      <c r="CL4" s="1038"/>
      <c r="CM4" s="1038"/>
      <c r="CN4" s="1038"/>
      <c r="CO4" s="1038"/>
      <c r="CP4" s="1038"/>
      <c r="CQ4" s="1038"/>
      <c r="CS4" s="1038" t="s">
        <v>1354</v>
      </c>
      <c r="CT4" s="1038">
        <f>CT3-0.2</f>
        <v>2.4499999999999997</v>
      </c>
      <c r="CU4" s="1038">
        <f>CU3-0.2</f>
        <v>4.8</v>
      </c>
      <c r="CV4" s="701"/>
      <c r="CW4" s="1038"/>
      <c r="CX4" s="1038"/>
      <c r="CY4" s="1038"/>
      <c r="CZ4" s="1038"/>
      <c r="DA4" s="1038"/>
      <c r="DB4" s="1038"/>
      <c r="DC4" s="1038"/>
      <c r="DD4" s="1038"/>
      <c r="DE4" s="1038"/>
      <c r="DF4" s="1038"/>
      <c r="DG4" s="1038"/>
      <c r="DI4" s="1038" t="s">
        <v>1354</v>
      </c>
      <c r="DJ4" s="1038">
        <f>DJ3-0.2</f>
        <v>2.4499999999999997</v>
      </c>
      <c r="DK4" s="1038">
        <f>DK3-0.2</f>
        <v>5.0999999999999996</v>
      </c>
      <c r="DL4" s="701"/>
      <c r="DM4" s="1038"/>
      <c r="DN4" s="1038"/>
      <c r="DO4" s="1038"/>
      <c r="DP4" s="1038"/>
      <c r="DQ4" s="1038"/>
      <c r="DR4" s="1038"/>
      <c r="DS4" s="1038"/>
      <c r="DT4" s="1038"/>
      <c r="DU4" s="1038"/>
      <c r="DV4" s="1038"/>
      <c r="DW4" s="1038"/>
      <c r="DY4" s="1038" t="s">
        <v>1354</v>
      </c>
      <c r="DZ4" s="1038">
        <f>DZ3-0.2</f>
        <v>2.4499999999999997</v>
      </c>
      <c r="EA4" s="1038">
        <f>EA3-0.2</f>
        <v>5.5</v>
      </c>
      <c r="EB4" s="701"/>
      <c r="EC4" s="1038"/>
      <c r="ED4" s="1038"/>
      <c r="EE4" s="1038"/>
      <c r="EF4" s="1038"/>
      <c r="EG4" s="1038"/>
      <c r="EH4" s="1038"/>
      <c r="EI4" s="1038"/>
      <c r="EJ4" s="1038"/>
      <c r="EK4" s="1038"/>
      <c r="EL4" s="1038"/>
      <c r="EM4" s="1038"/>
    </row>
    <row r="5" spans="1:143" ht="15.75" customHeight="1">
      <c r="A5" s="1040" t="s">
        <v>1471</v>
      </c>
      <c r="B5" s="1040"/>
      <c r="C5" s="1039">
        <f>B3*C3</f>
        <v>7.0225</v>
      </c>
      <c r="D5" s="1442"/>
      <c r="E5" s="1038"/>
      <c r="F5" s="1038"/>
      <c r="G5" s="1038"/>
      <c r="H5" s="1038"/>
      <c r="I5" s="1038"/>
      <c r="J5" s="1038"/>
      <c r="K5" s="1038"/>
      <c r="L5" s="1038"/>
      <c r="M5" s="1038"/>
      <c r="N5" s="1038"/>
      <c r="O5" s="1038"/>
      <c r="Q5" s="1040" t="s">
        <v>1471</v>
      </c>
      <c r="R5" s="1040"/>
      <c r="S5" s="1039">
        <f>R3*S3</f>
        <v>7.5525000000000002</v>
      </c>
      <c r="T5" s="701"/>
      <c r="U5" s="1038"/>
      <c r="V5" s="1038"/>
      <c r="W5" s="1038"/>
      <c r="X5" s="1038"/>
      <c r="Y5" s="1038"/>
      <c r="Z5" s="1038"/>
      <c r="AA5" s="1038"/>
      <c r="AB5" s="1038"/>
      <c r="AC5" s="1038"/>
      <c r="AD5" s="1038"/>
      <c r="AE5" s="1038"/>
      <c r="AG5" s="1040" t="s">
        <v>1471</v>
      </c>
      <c r="AH5" s="1040"/>
      <c r="AI5" s="1039">
        <f>AH3*AI3</f>
        <v>7.9499999999999993</v>
      </c>
      <c r="AJ5" s="701"/>
      <c r="AK5" s="1038"/>
      <c r="AL5" s="1038"/>
      <c r="AM5" s="1038"/>
      <c r="AN5" s="1038"/>
      <c r="AO5" s="1038"/>
      <c r="AP5" s="1038"/>
      <c r="AQ5" s="1038"/>
      <c r="AR5" s="1038"/>
      <c r="AS5" s="1038"/>
      <c r="AT5" s="1038"/>
      <c r="AU5" s="1038"/>
      <c r="AW5" s="1040" t="s">
        <v>1471</v>
      </c>
      <c r="AX5" s="1040"/>
      <c r="AY5" s="1039">
        <f>AX3*AY3</f>
        <v>9.2750000000000004</v>
      </c>
      <c r="AZ5" s="701"/>
      <c r="BA5" s="1038"/>
      <c r="BB5" s="1038"/>
      <c r="BC5" s="1038"/>
      <c r="BD5" s="1038"/>
      <c r="BE5" s="1038"/>
      <c r="BF5" s="1038"/>
      <c r="BG5" s="1038"/>
      <c r="BH5" s="1038"/>
      <c r="BI5" s="1038"/>
      <c r="BJ5" s="1038"/>
      <c r="BK5" s="1038"/>
      <c r="BM5" s="1040" t="s">
        <v>1471</v>
      </c>
      <c r="BN5" s="1040"/>
      <c r="BO5" s="1039">
        <f>BN3*BO3</f>
        <v>10.6</v>
      </c>
      <c r="BP5" s="701"/>
      <c r="BQ5" s="1038"/>
      <c r="BR5" s="1038"/>
      <c r="BS5" s="1038"/>
      <c r="BT5" s="1038"/>
      <c r="BU5" s="1038"/>
      <c r="BV5" s="1038"/>
      <c r="BW5" s="1038"/>
      <c r="BX5" s="1038"/>
      <c r="BY5" s="1038"/>
      <c r="BZ5" s="1038"/>
      <c r="CA5" s="1038"/>
      <c r="CC5" s="1040" t="s">
        <v>1471</v>
      </c>
      <c r="CD5" s="1040"/>
      <c r="CE5" s="1039">
        <f>CD3*CE3</f>
        <v>11.924999999999999</v>
      </c>
      <c r="CF5" s="701"/>
      <c r="CG5" s="1038"/>
      <c r="CH5" s="1038"/>
      <c r="CI5" s="1038"/>
      <c r="CJ5" s="1038"/>
      <c r="CK5" s="1038"/>
      <c r="CL5" s="1038"/>
      <c r="CM5" s="1038"/>
      <c r="CN5" s="1038"/>
      <c r="CO5" s="1038"/>
      <c r="CP5" s="1038"/>
      <c r="CQ5" s="1038"/>
      <c r="CS5" s="1040" t="s">
        <v>1471</v>
      </c>
      <c r="CT5" s="1040"/>
      <c r="CU5" s="1039">
        <f>CT3*CU3</f>
        <v>13.25</v>
      </c>
      <c r="CV5" s="701"/>
      <c r="CW5" s="1038"/>
      <c r="CX5" s="1038"/>
      <c r="CY5" s="1038"/>
      <c r="CZ5" s="1038"/>
      <c r="DA5" s="1038"/>
      <c r="DB5" s="1038"/>
      <c r="DC5" s="1038"/>
      <c r="DD5" s="1038"/>
      <c r="DE5" s="1038"/>
      <c r="DF5" s="1038"/>
      <c r="DG5" s="1038"/>
      <c r="DI5" s="1040" t="s">
        <v>1471</v>
      </c>
      <c r="DJ5" s="1040"/>
      <c r="DK5" s="1039">
        <f>DJ3*DK3</f>
        <v>14.045</v>
      </c>
      <c r="DL5" s="701"/>
      <c r="DM5" s="1038"/>
      <c r="DN5" s="1038"/>
      <c r="DO5" s="1038"/>
      <c r="DP5" s="1038"/>
      <c r="DQ5" s="1038"/>
      <c r="DR5" s="1038"/>
      <c r="DS5" s="1038"/>
      <c r="DT5" s="1038"/>
      <c r="DU5" s="1038"/>
      <c r="DV5" s="1038"/>
      <c r="DW5" s="1038"/>
      <c r="DY5" s="1040" t="s">
        <v>1471</v>
      </c>
      <c r="DZ5" s="1040"/>
      <c r="EA5" s="1039">
        <f>DZ3*EA3</f>
        <v>15.105</v>
      </c>
      <c r="EB5" s="701"/>
      <c r="EC5" s="1038"/>
      <c r="ED5" s="1038"/>
      <c r="EE5" s="1038"/>
      <c r="EF5" s="1038"/>
      <c r="EG5" s="1038"/>
      <c r="EH5" s="1038"/>
      <c r="EI5" s="1038"/>
      <c r="EJ5" s="1038"/>
      <c r="EK5" s="1038"/>
      <c r="EL5" s="1038"/>
      <c r="EM5" s="1038"/>
    </row>
    <row r="6" spans="1:143" ht="15.75" customHeight="1">
      <c r="A6" s="1040" t="s">
        <v>1355</v>
      </c>
      <c r="B6" s="1040"/>
      <c r="C6" s="1039">
        <f>C4*C4</f>
        <v>6.0024999999999986</v>
      </c>
      <c r="D6" s="1442"/>
      <c r="E6" s="1038"/>
      <c r="F6" s="1038"/>
      <c r="G6" s="1038"/>
      <c r="H6" s="1038"/>
      <c r="I6" s="1038"/>
      <c r="J6" s="1038"/>
      <c r="K6" s="1038"/>
      <c r="L6" s="1038"/>
      <c r="M6" s="1038"/>
      <c r="N6" s="1038"/>
      <c r="O6" s="1038"/>
      <c r="Q6" s="1040" t="s">
        <v>1355</v>
      </c>
      <c r="R6" s="1040"/>
      <c r="S6" s="1039">
        <f>R4*S4</f>
        <v>6.4924999999999988</v>
      </c>
      <c r="T6" s="701"/>
      <c r="U6" s="1038"/>
      <c r="V6" s="1038"/>
      <c r="W6" s="1038"/>
      <c r="X6" s="1038"/>
      <c r="Y6" s="1038"/>
      <c r="Z6" s="1038"/>
      <c r="AA6" s="1038"/>
      <c r="AB6" s="1038"/>
      <c r="AC6" s="1038"/>
      <c r="AD6" s="1038"/>
      <c r="AE6" s="1038"/>
      <c r="AG6" s="1040" t="s">
        <v>1355</v>
      </c>
      <c r="AH6" s="1040"/>
      <c r="AI6" s="1039">
        <f>AH4*AI4</f>
        <v>6.8599999999999985</v>
      </c>
      <c r="AJ6" s="701"/>
      <c r="AK6" s="1038"/>
      <c r="AL6" s="1038"/>
      <c r="AM6" s="1038"/>
      <c r="AN6" s="1038"/>
      <c r="AO6" s="1038"/>
      <c r="AP6" s="1038"/>
      <c r="AQ6" s="1038"/>
      <c r="AR6" s="1038"/>
      <c r="AS6" s="1038"/>
      <c r="AT6" s="1038"/>
      <c r="AU6" s="1038"/>
      <c r="AW6" s="1040" t="s">
        <v>1355</v>
      </c>
      <c r="AX6" s="1040"/>
      <c r="AY6" s="1039">
        <f>AX4*AY4</f>
        <v>8.0849999999999991</v>
      </c>
      <c r="AZ6" s="701"/>
      <c r="BA6" s="1038"/>
      <c r="BB6" s="1038"/>
      <c r="BC6" s="1038"/>
      <c r="BD6" s="1038"/>
      <c r="BE6" s="1038"/>
      <c r="BF6" s="1038"/>
      <c r="BG6" s="1038"/>
      <c r="BH6" s="1038"/>
      <c r="BI6" s="1038"/>
      <c r="BJ6" s="1038"/>
      <c r="BK6" s="1038"/>
      <c r="BM6" s="1040" t="s">
        <v>1355</v>
      </c>
      <c r="BN6" s="1040"/>
      <c r="BO6" s="1039">
        <f>BN4*BO4</f>
        <v>9.3099999999999987</v>
      </c>
      <c r="BP6" s="701"/>
      <c r="BQ6" s="1038"/>
      <c r="BR6" s="1038"/>
      <c r="BS6" s="1038"/>
      <c r="BT6" s="1038"/>
      <c r="BU6" s="1038"/>
      <c r="BV6" s="1038"/>
      <c r="BW6" s="1038"/>
      <c r="BX6" s="1038"/>
      <c r="BY6" s="1038"/>
      <c r="BZ6" s="1038"/>
      <c r="CA6" s="1038"/>
      <c r="CC6" s="1040" t="s">
        <v>1355</v>
      </c>
      <c r="CD6" s="1040"/>
      <c r="CE6" s="1039">
        <f>CD4*CE4</f>
        <v>10.534999999999998</v>
      </c>
      <c r="CF6" s="701"/>
      <c r="CG6" s="1038"/>
      <c r="CH6" s="1038"/>
      <c r="CI6" s="1038"/>
      <c r="CJ6" s="1038"/>
      <c r="CK6" s="1038"/>
      <c r="CL6" s="1038"/>
      <c r="CM6" s="1038"/>
      <c r="CN6" s="1038"/>
      <c r="CO6" s="1038"/>
      <c r="CP6" s="1038"/>
      <c r="CQ6" s="1038"/>
      <c r="CS6" s="1040" t="s">
        <v>1355</v>
      </c>
      <c r="CT6" s="1040"/>
      <c r="CU6" s="1039">
        <f>CT4*CU4</f>
        <v>11.759999999999998</v>
      </c>
      <c r="CV6" s="701"/>
      <c r="CW6" s="1038"/>
      <c r="CX6" s="1038"/>
      <c r="CY6" s="1038"/>
      <c r="CZ6" s="1038"/>
      <c r="DA6" s="1038"/>
      <c r="DB6" s="1038"/>
      <c r="DC6" s="1038"/>
      <c r="DD6" s="1038"/>
      <c r="DE6" s="1038"/>
      <c r="DF6" s="1038"/>
      <c r="DG6" s="1038"/>
      <c r="DI6" s="1040" t="s">
        <v>1355</v>
      </c>
      <c r="DJ6" s="1040"/>
      <c r="DK6" s="1039">
        <f>DJ4*DK4</f>
        <v>12.494999999999997</v>
      </c>
      <c r="DL6" s="701"/>
      <c r="DM6" s="1038"/>
      <c r="DN6" s="1038"/>
      <c r="DO6" s="1038"/>
      <c r="DP6" s="1038"/>
      <c r="DQ6" s="1038"/>
      <c r="DR6" s="1038"/>
      <c r="DS6" s="1038"/>
      <c r="DT6" s="1038"/>
      <c r="DU6" s="1038"/>
      <c r="DV6" s="1038"/>
      <c r="DW6" s="1038"/>
      <c r="DY6" s="1040" t="s">
        <v>1355</v>
      </c>
      <c r="DZ6" s="1040"/>
      <c r="EA6" s="1039">
        <f>DZ4*EA4</f>
        <v>13.474999999999998</v>
      </c>
      <c r="EB6" s="701"/>
      <c r="EC6" s="1038"/>
      <c r="ED6" s="1038"/>
      <c r="EE6" s="1038"/>
      <c r="EF6" s="1038"/>
      <c r="EG6" s="1038"/>
      <c r="EH6" s="1038"/>
      <c r="EI6" s="1038"/>
      <c r="EJ6" s="1038"/>
      <c r="EK6" s="1038"/>
      <c r="EL6" s="1038"/>
      <c r="EM6" s="1038"/>
    </row>
    <row r="7" spans="1:143" ht="15.75" customHeight="1">
      <c r="A7" s="1037" t="s">
        <v>1356</v>
      </c>
      <c r="B7" s="1405" t="s">
        <v>1357</v>
      </c>
      <c r="C7" s="1406"/>
      <c r="D7" s="1405" t="s">
        <v>1358</v>
      </c>
      <c r="E7" s="1406"/>
      <c r="F7" s="1405" t="s">
        <v>1359</v>
      </c>
      <c r="G7" s="1406"/>
      <c r="H7" s="1405" t="s">
        <v>1360</v>
      </c>
      <c r="I7" s="1406"/>
      <c r="J7" s="1405" t="s">
        <v>1361</v>
      </c>
      <c r="K7" s="1406"/>
      <c r="L7" s="1405" t="s">
        <v>1362</v>
      </c>
      <c r="M7" s="1406"/>
      <c r="N7" s="1409" t="s">
        <v>1363</v>
      </c>
      <c r="O7" s="1406"/>
      <c r="Q7" s="1037" t="s">
        <v>1356</v>
      </c>
      <c r="R7" s="1405" t="s">
        <v>1357</v>
      </c>
      <c r="S7" s="1406"/>
      <c r="T7" s="1405" t="s">
        <v>1358</v>
      </c>
      <c r="U7" s="1406"/>
      <c r="V7" s="1405" t="s">
        <v>1359</v>
      </c>
      <c r="W7" s="1406"/>
      <c r="X7" s="1405" t="s">
        <v>1360</v>
      </c>
      <c r="Y7" s="1406"/>
      <c r="Z7" s="1405" t="s">
        <v>1361</v>
      </c>
      <c r="AA7" s="1406"/>
      <c r="AB7" s="1405" t="s">
        <v>1362</v>
      </c>
      <c r="AC7" s="1406"/>
      <c r="AD7" s="1409" t="s">
        <v>1363</v>
      </c>
      <c r="AE7" s="1406"/>
      <c r="AG7" s="1037" t="s">
        <v>1356</v>
      </c>
      <c r="AH7" s="1405" t="s">
        <v>1357</v>
      </c>
      <c r="AI7" s="1406"/>
      <c r="AJ7" s="1405" t="s">
        <v>1358</v>
      </c>
      <c r="AK7" s="1406"/>
      <c r="AL7" s="1405" t="s">
        <v>1359</v>
      </c>
      <c r="AM7" s="1406"/>
      <c r="AN7" s="1405" t="s">
        <v>1360</v>
      </c>
      <c r="AO7" s="1406"/>
      <c r="AP7" s="1405" t="s">
        <v>1361</v>
      </c>
      <c r="AQ7" s="1406"/>
      <c r="AR7" s="1405" t="s">
        <v>1362</v>
      </c>
      <c r="AS7" s="1406"/>
      <c r="AT7" s="1409" t="s">
        <v>1363</v>
      </c>
      <c r="AU7" s="1406"/>
      <c r="AW7" s="1037" t="s">
        <v>1356</v>
      </c>
      <c r="AX7" s="1405" t="s">
        <v>1357</v>
      </c>
      <c r="AY7" s="1406"/>
      <c r="AZ7" s="1405" t="s">
        <v>1358</v>
      </c>
      <c r="BA7" s="1406"/>
      <c r="BB7" s="1405" t="s">
        <v>1359</v>
      </c>
      <c r="BC7" s="1406"/>
      <c r="BD7" s="1405" t="s">
        <v>1360</v>
      </c>
      <c r="BE7" s="1406"/>
      <c r="BF7" s="1405" t="s">
        <v>1361</v>
      </c>
      <c r="BG7" s="1406"/>
      <c r="BH7" s="1405" t="s">
        <v>1362</v>
      </c>
      <c r="BI7" s="1406"/>
      <c r="BJ7" s="1409" t="s">
        <v>1363</v>
      </c>
      <c r="BK7" s="1406"/>
      <c r="BM7" s="1037" t="s">
        <v>1356</v>
      </c>
      <c r="BN7" s="1405" t="s">
        <v>1357</v>
      </c>
      <c r="BO7" s="1406"/>
      <c r="BP7" s="1405" t="s">
        <v>1358</v>
      </c>
      <c r="BQ7" s="1406"/>
      <c r="BR7" s="1405" t="s">
        <v>1359</v>
      </c>
      <c r="BS7" s="1406"/>
      <c r="BT7" s="1405" t="s">
        <v>1360</v>
      </c>
      <c r="BU7" s="1406"/>
      <c r="BV7" s="1405" t="s">
        <v>1361</v>
      </c>
      <c r="BW7" s="1406"/>
      <c r="BX7" s="1405" t="s">
        <v>1362</v>
      </c>
      <c r="BY7" s="1406"/>
      <c r="BZ7" s="1409" t="s">
        <v>1363</v>
      </c>
      <c r="CA7" s="1406"/>
      <c r="CC7" s="1037" t="s">
        <v>1356</v>
      </c>
      <c r="CD7" s="1405" t="s">
        <v>1357</v>
      </c>
      <c r="CE7" s="1406"/>
      <c r="CF7" s="1405" t="s">
        <v>1358</v>
      </c>
      <c r="CG7" s="1406"/>
      <c r="CH7" s="1405" t="s">
        <v>1359</v>
      </c>
      <c r="CI7" s="1406"/>
      <c r="CJ7" s="1405" t="s">
        <v>1360</v>
      </c>
      <c r="CK7" s="1406"/>
      <c r="CL7" s="1405" t="s">
        <v>1361</v>
      </c>
      <c r="CM7" s="1406"/>
      <c r="CN7" s="1405" t="s">
        <v>1362</v>
      </c>
      <c r="CO7" s="1406"/>
      <c r="CP7" s="1409" t="s">
        <v>1363</v>
      </c>
      <c r="CQ7" s="1406"/>
      <c r="CS7" s="1037" t="s">
        <v>1356</v>
      </c>
      <c r="CT7" s="1405" t="s">
        <v>1357</v>
      </c>
      <c r="CU7" s="1406"/>
      <c r="CV7" s="1405" t="s">
        <v>1358</v>
      </c>
      <c r="CW7" s="1406"/>
      <c r="CX7" s="1405" t="s">
        <v>1359</v>
      </c>
      <c r="CY7" s="1406"/>
      <c r="CZ7" s="1405" t="s">
        <v>1360</v>
      </c>
      <c r="DA7" s="1406"/>
      <c r="DB7" s="1405" t="s">
        <v>1361</v>
      </c>
      <c r="DC7" s="1406"/>
      <c r="DD7" s="1405" t="s">
        <v>1362</v>
      </c>
      <c r="DE7" s="1406"/>
      <c r="DF7" s="1409" t="s">
        <v>1363</v>
      </c>
      <c r="DG7" s="1406"/>
      <c r="DI7" s="1037" t="s">
        <v>1356</v>
      </c>
      <c r="DJ7" s="1405" t="s">
        <v>1357</v>
      </c>
      <c r="DK7" s="1406"/>
      <c r="DL7" s="1405" t="s">
        <v>1358</v>
      </c>
      <c r="DM7" s="1406"/>
      <c r="DN7" s="1405" t="s">
        <v>1359</v>
      </c>
      <c r="DO7" s="1406"/>
      <c r="DP7" s="1405" t="s">
        <v>1360</v>
      </c>
      <c r="DQ7" s="1406"/>
      <c r="DR7" s="1405" t="s">
        <v>1361</v>
      </c>
      <c r="DS7" s="1406"/>
      <c r="DT7" s="1405" t="s">
        <v>1362</v>
      </c>
      <c r="DU7" s="1406"/>
      <c r="DV7" s="1409" t="s">
        <v>1363</v>
      </c>
      <c r="DW7" s="1406"/>
      <c r="DY7" s="1037" t="s">
        <v>1356</v>
      </c>
      <c r="DZ7" s="1405" t="s">
        <v>1357</v>
      </c>
      <c r="EA7" s="1406"/>
      <c r="EB7" s="1405" t="s">
        <v>1358</v>
      </c>
      <c r="EC7" s="1406"/>
      <c r="ED7" s="1405" t="s">
        <v>1359</v>
      </c>
      <c r="EE7" s="1406"/>
      <c r="EF7" s="1405" t="s">
        <v>1360</v>
      </c>
      <c r="EG7" s="1406"/>
      <c r="EH7" s="1405" t="s">
        <v>1361</v>
      </c>
      <c r="EI7" s="1406"/>
      <c r="EJ7" s="1405" t="s">
        <v>1362</v>
      </c>
      <c r="EK7" s="1406"/>
      <c r="EL7" s="1409" t="s">
        <v>1363</v>
      </c>
      <c r="EM7" s="1406"/>
    </row>
    <row r="8" spans="1:143" ht="15.75" customHeight="1">
      <c r="A8" s="1435" t="s">
        <v>1364</v>
      </c>
      <c r="B8" s="1440"/>
      <c r="C8" s="1033">
        <f>Möblierungsschablone!$C$21</f>
        <v>7.17</v>
      </c>
      <c r="D8" s="1440"/>
      <c r="E8" s="1033">
        <f>Möblierungsschablone!$G$21</f>
        <v>10.8</v>
      </c>
      <c r="F8" s="1440"/>
      <c r="G8" s="1033">
        <f>Möblierungsschablone!$C$21</f>
        <v>7.17</v>
      </c>
      <c r="H8" s="1440"/>
      <c r="I8" s="1033">
        <f>Möblierungsschablone!$E$21</f>
        <v>10.325999999999999</v>
      </c>
      <c r="J8" s="1440"/>
      <c r="K8" s="1033">
        <f>Möblierungsschablone!$C$21</f>
        <v>7.17</v>
      </c>
      <c r="L8" s="1440"/>
      <c r="M8" s="1189"/>
      <c r="N8" s="1440"/>
      <c r="O8" s="1047"/>
      <c r="Q8" s="1435" t="s">
        <v>1364</v>
      </c>
      <c r="R8" s="1199" t="s">
        <v>2051</v>
      </c>
      <c r="S8" s="1033">
        <f>Möblierungsschablone!$C$21</f>
        <v>7.17</v>
      </c>
      <c r="T8" s="1200" t="s">
        <v>2046</v>
      </c>
      <c r="U8" s="1033">
        <f>Möblierungsschablone!$G$21</f>
        <v>10.8</v>
      </c>
      <c r="V8" s="1199" t="s">
        <v>2051</v>
      </c>
      <c r="W8" s="1033">
        <f>Möblierungsschablone!$C$21</f>
        <v>7.17</v>
      </c>
      <c r="X8" s="1199" t="s">
        <v>2054</v>
      </c>
      <c r="Y8" s="1033">
        <f>Möblierungsschablone!$E$21</f>
        <v>10.325999999999999</v>
      </c>
      <c r="Z8" s="1199" t="s">
        <v>2051</v>
      </c>
      <c r="AA8" s="1033">
        <f>Möblierungsschablone!$C$21</f>
        <v>7.17</v>
      </c>
      <c r="AB8" s="1199" t="s">
        <v>2053</v>
      </c>
      <c r="AC8" s="1033">
        <f>2*Möblierungsschablone!$E$21</f>
        <v>20.651999999999997</v>
      </c>
      <c r="AD8" s="1199" t="s">
        <v>2051</v>
      </c>
      <c r="AE8" s="1033">
        <f>Möblierungsschablone!$C$21</f>
        <v>7.17</v>
      </c>
      <c r="AG8" s="1435" t="s">
        <v>1364</v>
      </c>
      <c r="AH8" s="1199" t="s">
        <v>2051</v>
      </c>
      <c r="AI8" s="1033">
        <f>Möblierungsschablone!$C$21</f>
        <v>7.17</v>
      </c>
      <c r="AJ8" s="1200" t="s">
        <v>2046</v>
      </c>
      <c r="AK8" s="1033">
        <f>Möblierungsschablone!$G$21</f>
        <v>10.8</v>
      </c>
      <c r="AL8" s="1199" t="s">
        <v>2051</v>
      </c>
      <c r="AM8" s="1033">
        <f>Möblierungsschablone!$C$21</f>
        <v>7.17</v>
      </c>
      <c r="AN8" s="1199" t="s">
        <v>2054</v>
      </c>
      <c r="AO8" s="1033">
        <f>Möblierungsschablone!$E$21</f>
        <v>10.325999999999999</v>
      </c>
      <c r="AP8" s="1199" t="s">
        <v>2051</v>
      </c>
      <c r="AQ8" s="1033">
        <f>Möblierungsschablone!$C$21</f>
        <v>7.17</v>
      </c>
      <c r="AR8" s="1199" t="s">
        <v>2053</v>
      </c>
      <c r="AS8" s="1033">
        <f>2*Möblierungsschablone!$E$21</f>
        <v>20.651999999999997</v>
      </c>
      <c r="AT8" s="1199" t="s">
        <v>2051</v>
      </c>
      <c r="AU8" s="1033">
        <f>Möblierungsschablone!$C$21</f>
        <v>7.17</v>
      </c>
      <c r="AW8" s="1403" t="s">
        <v>1364</v>
      </c>
      <c r="AX8" s="1199" t="s">
        <v>2051</v>
      </c>
      <c r="AY8" s="1033">
        <f>Möblierungsschablone!$C$21</f>
        <v>7.17</v>
      </c>
      <c r="AZ8" s="1200" t="s">
        <v>2046</v>
      </c>
      <c r="BA8" s="1033">
        <f>Möblierungsschablone!$G$21</f>
        <v>10.8</v>
      </c>
      <c r="BB8" s="1199" t="s">
        <v>2051</v>
      </c>
      <c r="BC8" s="1033">
        <f>Möblierungsschablone!$C$21</f>
        <v>7.17</v>
      </c>
      <c r="BD8" s="1199" t="s">
        <v>2054</v>
      </c>
      <c r="BE8" s="1033">
        <f>Möblierungsschablone!$E$21</f>
        <v>10.325999999999999</v>
      </c>
      <c r="BF8" s="1199" t="s">
        <v>2049</v>
      </c>
      <c r="BG8" s="1033">
        <f>Möblierungsschablone!$C$21</f>
        <v>7.17</v>
      </c>
      <c r="BH8" s="1199" t="s">
        <v>2053</v>
      </c>
      <c r="BI8" s="1033">
        <f>2*Möblierungsschablone!$E$21</f>
        <v>20.651999999999997</v>
      </c>
      <c r="BJ8" s="1199" t="s">
        <v>2051</v>
      </c>
      <c r="BK8" s="1033">
        <f>Möblierungsschablone!$C$21</f>
        <v>7.17</v>
      </c>
      <c r="BM8" s="1403" t="s">
        <v>1364</v>
      </c>
      <c r="BN8" s="1199" t="s">
        <v>2051</v>
      </c>
      <c r="BO8" s="1033">
        <f>Möblierungsschablone!$C$21</f>
        <v>7.17</v>
      </c>
      <c r="BP8" s="1200" t="s">
        <v>2046</v>
      </c>
      <c r="BQ8" s="1033">
        <f>Möblierungsschablone!$G$21</f>
        <v>10.8</v>
      </c>
      <c r="BR8" s="1199" t="s">
        <v>2051</v>
      </c>
      <c r="BS8" s="1033">
        <f>Möblierungsschablone!$C$21</f>
        <v>7.17</v>
      </c>
      <c r="BT8" s="1199" t="s">
        <v>2050</v>
      </c>
      <c r="BU8" s="1033">
        <f>Möblierungsschablone!$C$21*2</f>
        <v>14.34</v>
      </c>
      <c r="BV8" s="1199" t="s">
        <v>2049</v>
      </c>
      <c r="BW8" s="1033">
        <f>3*Möblierungsschablone!$C$21</f>
        <v>21.509999999999998</v>
      </c>
      <c r="BX8" s="1199" t="s">
        <v>2048</v>
      </c>
      <c r="BY8" s="1033">
        <f>4*Möblierungsschablone!$C$21</f>
        <v>28.68</v>
      </c>
      <c r="BZ8" s="1199" t="s">
        <v>2047</v>
      </c>
      <c r="CA8" s="1033">
        <f>5*Möblierungsschablone!$C$21</f>
        <v>35.85</v>
      </c>
      <c r="CC8" s="1435" t="s">
        <v>1364</v>
      </c>
      <c r="CD8" s="1199" t="s">
        <v>2051</v>
      </c>
      <c r="CE8" s="1033">
        <f>Möblierungsschablone!$C$21</f>
        <v>7.17</v>
      </c>
      <c r="CF8" s="1200" t="s">
        <v>2046</v>
      </c>
      <c r="CG8" s="1033">
        <f>Möblierungsschablone!$G$21</f>
        <v>10.8</v>
      </c>
      <c r="CH8" s="1199" t="s">
        <v>2051</v>
      </c>
      <c r="CI8" s="1033">
        <f>Möblierungsschablone!$C$21</f>
        <v>7.17</v>
      </c>
      <c r="CJ8" s="1199" t="s">
        <v>2050</v>
      </c>
      <c r="CK8" s="1033">
        <f>Möblierungsschablone!$C$21*2</f>
        <v>14.34</v>
      </c>
      <c r="CL8" s="1199" t="s">
        <v>2049</v>
      </c>
      <c r="CM8" s="1033">
        <f>3*Möblierungsschablone!$C$21</f>
        <v>21.509999999999998</v>
      </c>
      <c r="CN8" s="1199" t="s">
        <v>2048</v>
      </c>
      <c r="CO8" s="1033">
        <f>4*Möblierungsschablone!$C$21</f>
        <v>28.68</v>
      </c>
      <c r="CP8" s="1199" t="s">
        <v>2047</v>
      </c>
      <c r="CQ8" s="1033">
        <f>5*Möblierungsschablone!$C$21</f>
        <v>35.85</v>
      </c>
      <c r="CS8" s="1435" t="s">
        <v>1364</v>
      </c>
      <c r="CT8" s="1199" t="s">
        <v>2051</v>
      </c>
      <c r="CU8" s="1033">
        <f>Möblierungsschablone!$C$21</f>
        <v>7.17</v>
      </c>
      <c r="CV8" s="1200" t="s">
        <v>2046</v>
      </c>
      <c r="CW8" s="1033">
        <f>Möblierungsschablone!$G$21</f>
        <v>10.8</v>
      </c>
      <c r="CX8" s="1199" t="s">
        <v>2051</v>
      </c>
      <c r="CY8" s="1033">
        <f>Möblierungsschablone!$C$21</f>
        <v>7.17</v>
      </c>
      <c r="CZ8" s="1199" t="s">
        <v>2050</v>
      </c>
      <c r="DA8" s="1033">
        <f>Möblierungsschablone!$C$21*2</f>
        <v>14.34</v>
      </c>
      <c r="DB8" s="1199" t="s">
        <v>2049</v>
      </c>
      <c r="DC8" s="1033">
        <f>3*Möblierungsschablone!$C$21</f>
        <v>21.509999999999998</v>
      </c>
      <c r="DD8" s="1199" t="s">
        <v>2048</v>
      </c>
      <c r="DE8" s="1033">
        <f>4*Möblierungsschablone!$C$21</f>
        <v>28.68</v>
      </c>
      <c r="DF8" s="1199" t="s">
        <v>2047</v>
      </c>
      <c r="DG8" s="1033">
        <f>5*Möblierungsschablone!$C$21</f>
        <v>35.85</v>
      </c>
      <c r="DI8" s="1435" t="s">
        <v>1364</v>
      </c>
      <c r="DJ8" s="1199" t="s">
        <v>2051</v>
      </c>
      <c r="DK8" s="1033">
        <f>Möblierungsschablone!$C$21</f>
        <v>7.17</v>
      </c>
      <c r="DL8" s="1200" t="s">
        <v>2046</v>
      </c>
      <c r="DM8" s="1033">
        <f>Möblierungsschablone!$G$21</f>
        <v>10.8</v>
      </c>
      <c r="DN8" s="1199" t="s">
        <v>2051</v>
      </c>
      <c r="DO8" s="1033">
        <f>Möblierungsschablone!$C$21</f>
        <v>7.17</v>
      </c>
      <c r="DP8" s="1199" t="s">
        <v>2050</v>
      </c>
      <c r="DQ8" s="1033">
        <f>Möblierungsschablone!$E$21</f>
        <v>10.325999999999999</v>
      </c>
      <c r="DR8" s="1199" t="s">
        <v>2049</v>
      </c>
      <c r="DS8" s="1033">
        <f>3*Möblierungsschablone!$C$21</f>
        <v>21.509999999999998</v>
      </c>
      <c r="DT8" s="1199" t="s">
        <v>2048</v>
      </c>
      <c r="DU8" s="1033">
        <f>4*Möblierungsschablone!$C$21</f>
        <v>28.68</v>
      </c>
      <c r="DV8" s="1199" t="s">
        <v>2047</v>
      </c>
      <c r="DW8" s="1033">
        <f>5*Möblierungsschablone!$C$21</f>
        <v>35.85</v>
      </c>
      <c r="DY8" s="1435" t="s">
        <v>1364</v>
      </c>
      <c r="DZ8" s="1199" t="s">
        <v>2051</v>
      </c>
      <c r="EA8" s="1033">
        <f>Möblierungsschablone!$C$21</f>
        <v>7.17</v>
      </c>
      <c r="EB8" s="1200" t="s">
        <v>2046</v>
      </c>
      <c r="EC8" s="1033">
        <f>Möblierungsschablone!$G$21</f>
        <v>10.8</v>
      </c>
      <c r="ED8" s="1199" t="s">
        <v>2051</v>
      </c>
      <c r="EE8" s="1033">
        <f>Möblierungsschablone!$C$21</f>
        <v>7.17</v>
      </c>
      <c r="EF8" s="1199" t="s">
        <v>2050</v>
      </c>
      <c r="EG8" s="1033">
        <f>Möblierungsschablone!$E$21</f>
        <v>10.325999999999999</v>
      </c>
      <c r="EH8" s="1199" t="s">
        <v>2049</v>
      </c>
      <c r="EI8" s="1033">
        <f>3*Möblierungsschablone!$C$21</f>
        <v>21.509999999999998</v>
      </c>
      <c r="EJ8" s="1199" t="s">
        <v>2048</v>
      </c>
      <c r="EK8" s="1033">
        <f>4*Möblierungsschablone!$C$21</f>
        <v>28.68</v>
      </c>
      <c r="EL8" s="1199" t="s">
        <v>2047</v>
      </c>
      <c r="EM8" s="1033">
        <f>5*Möblierungsschablone!$C$21</f>
        <v>35.85</v>
      </c>
    </row>
    <row r="9" spans="1:143" ht="15.75" customHeight="1">
      <c r="A9" s="1435"/>
      <c r="B9" s="1440"/>
      <c r="C9" s="1033"/>
      <c r="D9" s="1440"/>
      <c r="E9" s="1036"/>
      <c r="F9" s="1440"/>
      <c r="G9" s="1033">
        <f>Möblierungsschablone!$G$21</f>
        <v>10.8</v>
      </c>
      <c r="H9" s="1440"/>
      <c r="I9" s="1033">
        <f>Möblierungsschablone!$G$21</f>
        <v>10.8</v>
      </c>
      <c r="J9" s="1440"/>
      <c r="K9" s="1033">
        <f>Möblierungsschablone!$E$21</f>
        <v>10.325999999999999</v>
      </c>
      <c r="L9" s="1440"/>
      <c r="M9" s="1189"/>
      <c r="N9" s="1440"/>
      <c r="O9" s="1047"/>
      <c r="Q9" s="1435"/>
      <c r="R9" s="1200"/>
      <c r="S9" s="1033"/>
      <c r="T9" s="1200"/>
      <c r="U9" s="1036"/>
      <c r="V9" s="1200" t="s">
        <v>2046</v>
      </c>
      <c r="W9" s="1033">
        <f>Möblierungsschablone!$G$21</f>
        <v>10.8</v>
      </c>
      <c r="X9" s="1200" t="s">
        <v>2046</v>
      </c>
      <c r="Y9" s="1033">
        <f>Möblierungsschablone!$G$21</f>
        <v>10.8</v>
      </c>
      <c r="Z9" s="1200" t="s">
        <v>2054</v>
      </c>
      <c r="AA9" s="1033">
        <f>Möblierungsschablone!$E$21</f>
        <v>10.325999999999999</v>
      </c>
      <c r="AB9" s="1200" t="s">
        <v>2046</v>
      </c>
      <c r="AC9" s="1033">
        <f>Möblierungsschablone!$G$21</f>
        <v>10.8</v>
      </c>
      <c r="AD9" s="1200" t="s">
        <v>2053</v>
      </c>
      <c r="AE9" s="1033">
        <f>2*Möblierungsschablone!$E$21</f>
        <v>20.651999999999997</v>
      </c>
      <c r="AG9" s="1435"/>
      <c r="AH9" s="1200"/>
      <c r="AI9" s="1033"/>
      <c r="AJ9" s="1200"/>
      <c r="AK9" s="1036"/>
      <c r="AL9" s="1200" t="s">
        <v>2046</v>
      </c>
      <c r="AM9" s="1033">
        <f>Möblierungsschablone!$G$21</f>
        <v>10.8</v>
      </c>
      <c r="AN9" s="1200" t="s">
        <v>2046</v>
      </c>
      <c r="AO9" s="1033">
        <f>Möblierungsschablone!$G$21</f>
        <v>10.8</v>
      </c>
      <c r="AP9" s="1200" t="s">
        <v>2054</v>
      </c>
      <c r="AQ9" s="1033">
        <f>Möblierungsschablone!$E$21</f>
        <v>10.325999999999999</v>
      </c>
      <c r="AR9" s="1200" t="s">
        <v>2046</v>
      </c>
      <c r="AS9" s="1033">
        <f>Möblierungsschablone!$G$21</f>
        <v>10.8</v>
      </c>
      <c r="AT9" s="1200" t="s">
        <v>2053</v>
      </c>
      <c r="AU9" s="1033">
        <f>2*Möblierungsschablone!$E$21</f>
        <v>20.651999999999997</v>
      </c>
      <c r="AW9" s="1403"/>
      <c r="AX9" s="1200"/>
      <c r="AY9" s="1033"/>
      <c r="AZ9" s="1200"/>
      <c r="BA9" s="1036"/>
      <c r="BB9" s="1200" t="s">
        <v>2046</v>
      </c>
      <c r="BC9" s="1033">
        <f>Möblierungsschablone!$G$21</f>
        <v>10.8</v>
      </c>
      <c r="BD9" s="1200" t="s">
        <v>2046</v>
      </c>
      <c r="BE9" s="1033">
        <f>Möblierungsschablone!$G$21</f>
        <v>10.8</v>
      </c>
      <c r="BF9" s="1200" t="s">
        <v>2054</v>
      </c>
      <c r="BG9" s="1033">
        <f>Möblierungsschablone!$E$21</f>
        <v>10.325999999999999</v>
      </c>
      <c r="BH9" s="1200" t="s">
        <v>2046</v>
      </c>
      <c r="BI9" s="1033">
        <f>Möblierungsschablone!$G$21</f>
        <v>10.8</v>
      </c>
      <c r="BJ9" s="1200" t="s">
        <v>2053</v>
      </c>
      <c r="BK9" s="1033">
        <f>2*Möblierungsschablone!$E$21</f>
        <v>20.651999999999997</v>
      </c>
      <c r="BM9" s="1403"/>
      <c r="BN9" s="1200"/>
      <c r="BO9" s="1033"/>
      <c r="BP9" s="1200"/>
      <c r="BQ9" s="1036"/>
      <c r="BR9" s="1200" t="s">
        <v>2046</v>
      </c>
      <c r="BS9" s="1033">
        <f>Möblierungsschablone!$G$21</f>
        <v>10.8</v>
      </c>
      <c r="BT9" s="1200" t="s">
        <v>2046</v>
      </c>
      <c r="BU9" s="1033">
        <f>Möblierungsschablone!$G$21</f>
        <v>10.8</v>
      </c>
      <c r="BV9" s="1200" t="s">
        <v>2046</v>
      </c>
      <c r="BW9" s="1033">
        <f>Möblierungsschablone!$G$21</f>
        <v>10.8</v>
      </c>
      <c r="BX9" s="1200" t="s">
        <v>2046</v>
      </c>
      <c r="BY9" s="1033">
        <f>Möblierungsschablone!$G$21</f>
        <v>10.8</v>
      </c>
      <c r="BZ9" s="1200" t="s">
        <v>2046</v>
      </c>
      <c r="CA9" s="1033">
        <f>Möblierungsschablone!$G$21</f>
        <v>10.8</v>
      </c>
      <c r="CC9" s="1435"/>
      <c r="CD9" s="1200"/>
      <c r="CE9" s="1033"/>
      <c r="CF9" s="1200"/>
      <c r="CG9" s="1036"/>
      <c r="CH9" s="1200" t="s">
        <v>2046</v>
      </c>
      <c r="CI9" s="1033">
        <f>Möblierungsschablone!$G$21</f>
        <v>10.8</v>
      </c>
      <c r="CJ9" s="1200" t="s">
        <v>2046</v>
      </c>
      <c r="CK9" s="1033">
        <f>Möblierungsschablone!$G$21</f>
        <v>10.8</v>
      </c>
      <c r="CL9" s="1200" t="s">
        <v>2046</v>
      </c>
      <c r="CM9" s="1033">
        <f>Möblierungsschablone!$G$21</f>
        <v>10.8</v>
      </c>
      <c r="CN9" s="1200" t="s">
        <v>2046</v>
      </c>
      <c r="CO9" s="1033">
        <f>Möblierungsschablone!$G$21</f>
        <v>10.8</v>
      </c>
      <c r="CP9" s="1200" t="s">
        <v>2046</v>
      </c>
      <c r="CQ9" s="1033">
        <f>Möblierungsschablone!$G$21</f>
        <v>10.8</v>
      </c>
      <c r="CS9" s="1435"/>
      <c r="CT9" s="1200"/>
      <c r="CU9" s="1033"/>
      <c r="CV9" s="1200"/>
      <c r="CW9" s="1036"/>
      <c r="CX9" s="1200" t="s">
        <v>2046</v>
      </c>
      <c r="CY9" s="1033">
        <f>Möblierungsschablone!$G$21</f>
        <v>10.8</v>
      </c>
      <c r="CZ9" s="1200" t="s">
        <v>2046</v>
      </c>
      <c r="DA9" s="1033">
        <f>Möblierungsschablone!$G$21</f>
        <v>10.8</v>
      </c>
      <c r="DB9" s="1200" t="s">
        <v>2046</v>
      </c>
      <c r="DC9" s="1033">
        <f>Möblierungsschablone!$G$21</f>
        <v>10.8</v>
      </c>
      <c r="DD9" s="1200" t="s">
        <v>2046</v>
      </c>
      <c r="DE9" s="1033">
        <f>Möblierungsschablone!$G$21</f>
        <v>10.8</v>
      </c>
      <c r="DF9" s="1200" t="s">
        <v>2046</v>
      </c>
      <c r="DG9" s="1033">
        <f>Möblierungsschablone!$G$21</f>
        <v>10.8</v>
      </c>
      <c r="DI9" s="1435"/>
      <c r="DJ9" s="1200"/>
      <c r="DK9" s="1033"/>
      <c r="DL9" s="1200"/>
      <c r="DM9" s="1036"/>
      <c r="DN9" s="1200" t="s">
        <v>2046</v>
      </c>
      <c r="DO9" s="1033">
        <f>Möblierungsschablone!$G$21</f>
        <v>10.8</v>
      </c>
      <c r="DP9" s="1200" t="s">
        <v>2046</v>
      </c>
      <c r="DQ9" s="1033">
        <f>Möblierungsschablone!$G$21</f>
        <v>10.8</v>
      </c>
      <c r="DR9" s="1200" t="s">
        <v>2046</v>
      </c>
      <c r="DS9" s="1033">
        <f>Möblierungsschablone!$G$21</f>
        <v>10.8</v>
      </c>
      <c r="DT9" s="1200" t="s">
        <v>2046</v>
      </c>
      <c r="DU9" s="1033">
        <f>Möblierungsschablone!$G$21</f>
        <v>10.8</v>
      </c>
      <c r="DV9" s="1200" t="s">
        <v>2046</v>
      </c>
      <c r="DW9" s="1033">
        <f>Möblierungsschablone!$G$21</f>
        <v>10.8</v>
      </c>
      <c r="DY9" s="1435"/>
      <c r="DZ9" s="1200"/>
      <c r="EA9" s="1033"/>
      <c r="EB9" s="1200"/>
      <c r="EC9" s="1036"/>
      <c r="ED9" s="1200" t="s">
        <v>2046</v>
      </c>
      <c r="EE9" s="1033">
        <f>Möblierungsschablone!$G$21</f>
        <v>10.8</v>
      </c>
      <c r="EF9" s="1200" t="s">
        <v>2046</v>
      </c>
      <c r="EG9" s="1033">
        <f>Möblierungsschablone!$G$21</f>
        <v>10.8</v>
      </c>
      <c r="EH9" s="1200" t="s">
        <v>2046</v>
      </c>
      <c r="EI9" s="1033">
        <f>Möblierungsschablone!$G$21</f>
        <v>10.8</v>
      </c>
      <c r="EJ9" s="1200" t="s">
        <v>2046</v>
      </c>
      <c r="EK9" s="1033">
        <f>Möblierungsschablone!$G$21</f>
        <v>10.8</v>
      </c>
      <c r="EL9" s="1200" t="s">
        <v>2046</v>
      </c>
      <c r="EM9" s="1033">
        <f>Möblierungsschablone!$G$21</f>
        <v>10.8</v>
      </c>
    </row>
    <row r="10" spans="1:143" ht="15.75" customHeight="1">
      <c r="A10" s="1436"/>
      <c r="B10" s="1404"/>
      <c r="C10" s="1033"/>
      <c r="D10" s="1404"/>
      <c r="E10" s="1036"/>
      <c r="F10" s="1404"/>
      <c r="G10" s="1036"/>
      <c r="H10" s="1404"/>
      <c r="I10" s="1036"/>
      <c r="J10" s="1404"/>
      <c r="K10" s="1033">
        <f>Möblierungsschablone!$G$21</f>
        <v>10.8</v>
      </c>
      <c r="L10" s="1404"/>
      <c r="M10" s="1189"/>
      <c r="N10" s="1404"/>
      <c r="O10" s="1047"/>
      <c r="Q10" s="1436"/>
      <c r="R10" s="1200"/>
      <c r="S10" s="1033"/>
      <c r="T10" s="1200"/>
      <c r="U10" s="1036"/>
      <c r="V10" s="1200"/>
      <c r="W10" s="1036"/>
      <c r="X10" s="1200"/>
      <c r="Y10" s="1036"/>
      <c r="Z10" s="1200" t="s">
        <v>2046</v>
      </c>
      <c r="AA10" s="1033">
        <f>Möblierungsschablone!$G$21</f>
        <v>10.8</v>
      </c>
      <c r="AB10" s="1200"/>
      <c r="AC10" s="1189"/>
      <c r="AD10" s="1200" t="s">
        <v>2046</v>
      </c>
      <c r="AE10" s="1033">
        <f>Möblierungsschablone!$G$21</f>
        <v>10.8</v>
      </c>
      <c r="AG10" s="1436"/>
      <c r="AH10" s="1200"/>
      <c r="AI10" s="1033"/>
      <c r="AJ10" s="1200"/>
      <c r="AK10" s="1036"/>
      <c r="AL10" s="1200"/>
      <c r="AM10" s="1036"/>
      <c r="AN10" s="1200"/>
      <c r="AO10" s="1036"/>
      <c r="AP10" s="1200" t="s">
        <v>2046</v>
      </c>
      <c r="AQ10" s="1033">
        <f>Möblierungsschablone!$G$21</f>
        <v>10.8</v>
      </c>
      <c r="AR10" s="1200"/>
      <c r="AS10" s="1189"/>
      <c r="AT10" s="1200" t="s">
        <v>2046</v>
      </c>
      <c r="AU10" s="1033">
        <f>Möblierungsschablone!$G$21</f>
        <v>10.8</v>
      </c>
      <c r="AW10" s="1404"/>
      <c r="AX10" s="1200"/>
      <c r="AY10" s="1033"/>
      <c r="AZ10" s="1200"/>
      <c r="BA10" s="1036"/>
      <c r="BB10" s="1200"/>
      <c r="BC10" s="1036"/>
      <c r="BD10" s="1200"/>
      <c r="BE10" s="1036"/>
      <c r="BF10" s="1200" t="s">
        <v>2046</v>
      </c>
      <c r="BG10" s="1033">
        <f>Möblierungsschablone!$G$21</f>
        <v>10.8</v>
      </c>
      <c r="BH10" s="1200"/>
      <c r="BI10" s="1189"/>
      <c r="BJ10" s="1200" t="s">
        <v>2046</v>
      </c>
      <c r="BK10" s="1033">
        <f>Möblierungsschablone!$G$21</f>
        <v>10.8</v>
      </c>
      <c r="BM10" s="1404"/>
      <c r="BN10" s="1200"/>
      <c r="BO10" s="1033"/>
      <c r="BP10" s="1200"/>
      <c r="BQ10" s="1036"/>
      <c r="BR10" s="1200"/>
      <c r="BS10" s="1036"/>
      <c r="BT10" s="1200"/>
      <c r="BU10" s="1036"/>
      <c r="BV10" s="1200"/>
      <c r="BW10" s="1036"/>
      <c r="BX10" s="1200"/>
      <c r="BY10" s="1036"/>
      <c r="BZ10" s="1200"/>
      <c r="CA10" s="1036"/>
      <c r="CC10" s="1436"/>
      <c r="CD10" s="1200"/>
      <c r="CE10" s="1033"/>
      <c r="CF10" s="1200"/>
      <c r="CG10" s="1036"/>
      <c r="CH10" s="1200"/>
      <c r="CI10" s="1036"/>
      <c r="CJ10" s="1200"/>
      <c r="CK10" s="1036"/>
      <c r="CL10" s="1200"/>
      <c r="CM10" s="1036"/>
      <c r="CN10" s="1200"/>
      <c r="CO10" s="1036"/>
      <c r="CP10" s="1200"/>
      <c r="CQ10" s="1036"/>
      <c r="CS10" s="1436"/>
      <c r="CT10" s="1200"/>
      <c r="CU10" s="1033"/>
      <c r="CV10" s="1200"/>
      <c r="CW10" s="1036"/>
      <c r="CX10" s="1200"/>
      <c r="CY10" s="1036"/>
      <c r="CZ10" s="1200"/>
      <c r="DA10" s="1036"/>
      <c r="DB10" s="1200"/>
      <c r="DC10" s="1036"/>
      <c r="DD10" s="1200"/>
      <c r="DE10" s="1036"/>
      <c r="DF10" s="1200"/>
      <c r="DG10" s="1036"/>
      <c r="DI10" s="1436"/>
      <c r="DJ10" s="1200"/>
      <c r="DK10" s="1033"/>
      <c r="DL10" s="1200"/>
      <c r="DM10" s="1036"/>
      <c r="DN10" s="1200"/>
      <c r="DO10" s="1036"/>
      <c r="DP10" s="1200"/>
      <c r="DQ10" s="1036"/>
      <c r="DR10" s="1200"/>
      <c r="DS10" s="1036"/>
      <c r="DT10" s="1200"/>
      <c r="DU10" s="1036"/>
      <c r="DV10" s="1200"/>
      <c r="DW10" s="1036"/>
      <c r="DY10" s="1436"/>
      <c r="DZ10" s="1200"/>
      <c r="EA10" s="1033"/>
      <c r="EB10" s="1200"/>
      <c r="EC10" s="1036"/>
      <c r="ED10" s="1200"/>
      <c r="EE10" s="1036"/>
      <c r="EF10" s="1200"/>
      <c r="EG10" s="1036"/>
      <c r="EH10" s="1200"/>
      <c r="EI10" s="1036"/>
      <c r="EJ10" s="1200"/>
      <c r="EK10" s="1036"/>
      <c r="EL10" s="1200"/>
      <c r="EM10" s="1036"/>
    </row>
    <row r="11" spans="1:143" ht="15.75" customHeight="1">
      <c r="A11" s="1436"/>
      <c r="B11" s="1404"/>
      <c r="C11" s="1034">
        <f>SUM(C8:C10)</f>
        <v>7.17</v>
      </c>
      <c r="D11" s="1404"/>
      <c r="E11" s="1034">
        <f>SUM(E8:E10)</f>
        <v>10.8</v>
      </c>
      <c r="F11" s="1404"/>
      <c r="G11" s="1034">
        <f>SUM(G8:G10)</f>
        <v>17.97</v>
      </c>
      <c r="H11" s="1404"/>
      <c r="I11" s="1034">
        <f>SUM(I8:I10)</f>
        <v>21.125999999999998</v>
      </c>
      <c r="J11" s="1404"/>
      <c r="K11" s="1034">
        <f>SUM(K8:K10)</f>
        <v>28.295999999999999</v>
      </c>
      <c r="L11" s="1404"/>
      <c r="M11" s="1034"/>
      <c r="N11" s="1404"/>
      <c r="O11" s="1046"/>
      <c r="Q11" s="1436"/>
      <c r="R11" s="1201" t="s">
        <v>2036</v>
      </c>
      <c r="S11" s="1034">
        <f>SUM(S8:S10)</f>
        <v>7.17</v>
      </c>
      <c r="T11" s="1201" t="s">
        <v>2036</v>
      </c>
      <c r="U11" s="1034">
        <f>SUM(U8:U10)</f>
        <v>10.8</v>
      </c>
      <c r="V11" s="1201" t="s">
        <v>2036</v>
      </c>
      <c r="W11" s="1034">
        <f>SUM(W8:W10)</f>
        <v>17.97</v>
      </c>
      <c r="X11" s="1201" t="s">
        <v>2036</v>
      </c>
      <c r="Y11" s="1034">
        <f>SUM(Y8:Y10)</f>
        <v>21.125999999999998</v>
      </c>
      <c r="Z11" s="1201" t="s">
        <v>2036</v>
      </c>
      <c r="AA11" s="1034">
        <f>SUM(AA8:AA10)</f>
        <v>28.295999999999999</v>
      </c>
      <c r="AB11" s="1201" t="s">
        <v>2036</v>
      </c>
      <c r="AC11" s="1034">
        <f>SUM(AC8:AC10)</f>
        <v>31.451999999999998</v>
      </c>
      <c r="AD11" s="1201" t="s">
        <v>2036</v>
      </c>
      <c r="AE11" s="1034">
        <f>SUM(AE8:AE10)</f>
        <v>38.622</v>
      </c>
      <c r="AG11" s="1436"/>
      <c r="AH11" s="1201" t="s">
        <v>2036</v>
      </c>
      <c r="AI11" s="1034">
        <f>SUM(AI8:AI10)</f>
        <v>7.17</v>
      </c>
      <c r="AJ11" s="1201" t="s">
        <v>2036</v>
      </c>
      <c r="AK11" s="1034">
        <f>SUM(AK8:AK10)</f>
        <v>10.8</v>
      </c>
      <c r="AL11" s="1201" t="s">
        <v>2036</v>
      </c>
      <c r="AM11" s="1034">
        <f>SUM(AM8:AM10)</f>
        <v>17.97</v>
      </c>
      <c r="AN11" s="1201" t="s">
        <v>2036</v>
      </c>
      <c r="AO11" s="1034">
        <f>SUM(AO8:AO10)</f>
        <v>21.125999999999998</v>
      </c>
      <c r="AP11" s="1201" t="s">
        <v>2036</v>
      </c>
      <c r="AQ11" s="1034">
        <f>SUM(AQ8:AQ10)</f>
        <v>28.295999999999999</v>
      </c>
      <c r="AR11" s="1201" t="s">
        <v>2036</v>
      </c>
      <c r="AS11" s="1034">
        <f>SUM(AS8:AS10)</f>
        <v>31.451999999999998</v>
      </c>
      <c r="AT11" s="1201" t="s">
        <v>2036</v>
      </c>
      <c r="AU11" s="1034">
        <f>SUM(AU8:AU10)</f>
        <v>38.622</v>
      </c>
      <c r="AW11" s="1404"/>
      <c r="AX11" s="1201" t="s">
        <v>2036</v>
      </c>
      <c r="AY11" s="1034">
        <f>SUM(AY8:AY10)</f>
        <v>7.17</v>
      </c>
      <c r="AZ11" s="1201" t="s">
        <v>2036</v>
      </c>
      <c r="BA11" s="1034">
        <f>SUM(BA8:BA10)</f>
        <v>10.8</v>
      </c>
      <c r="BB11" s="1201" t="s">
        <v>2036</v>
      </c>
      <c r="BC11" s="1034">
        <f>SUM(BC8:BC10)</f>
        <v>17.97</v>
      </c>
      <c r="BD11" s="1201" t="s">
        <v>2036</v>
      </c>
      <c r="BE11" s="1034">
        <f>SUM(BE8:BE10)</f>
        <v>21.125999999999998</v>
      </c>
      <c r="BF11" s="1201" t="s">
        <v>2036</v>
      </c>
      <c r="BG11" s="1034">
        <f>SUM(BG8:BG10)</f>
        <v>28.295999999999999</v>
      </c>
      <c r="BH11" s="1201" t="s">
        <v>2036</v>
      </c>
      <c r="BI11" s="1034">
        <f>SUM(BI8:BI10)</f>
        <v>31.451999999999998</v>
      </c>
      <c r="BJ11" s="1201" t="s">
        <v>2036</v>
      </c>
      <c r="BK11" s="1034">
        <f>SUM(BK8:BK10)</f>
        <v>38.622</v>
      </c>
      <c r="BM11" s="1404"/>
      <c r="BN11" s="1201" t="s">
        <v>2036</v>
      </c>
      <c r="BO11" s="1034">
        <f>SUM(BO8:BO10)</f>
        <v>7.17</v>
      </c>
      <c r="BP11" s="1201" t="s">
        <v>2036</v>
      </c>
      <c r="BQ11" s="1034">
        <f>SUM(BQ8:BQ10)</f>
        <v>10.8</v>
      </c>
      <c r="BR11" s="1201" t="s">
        <v>2036</v>
      </c>
      <c r="BS11" s="1034">
        <f>SUM(BS8:BS10)</f>
        <v>17.97</v>
      </c>
      <c r="BT11" s="1201" t="s">
        <v>2036</v>
      </c>
      <c r="BU11" s="1034">
        <f>SUM(BU8:BU10)</f>
        <v>25.14</v>
      </c>
      <c r="BV11" s="1201" t="s">
        <v>2036</v>
      </c>
      <c r="BW11" s="1034">
        <f>SUM(BW8:BW10)</f>
        <v>32.31</v>
      </c>
      <c r="BX11" s="1201" t="s">
        <v>2036</v>
      </c>
      <c r="BY11" s="1034">
        <f>SUM(BY8:BY10)</f>
        <v>39.480000000000004</v>
      </c>
      <c r="BZ11" s="1201" t="s">
        <v>2036</v>
      </c>
      <c r="CA11" s="1034">
        <f>SUM(CA8:CA10)</f>
        <v>46.650000000000006</v>
      </c>
      <c r="CC11" s="1436"/>
      <c r="CD11" s="1201" t="s">
        <v>2036</v>
      </c>
      <c r="CE11" s="1034">
        <f>SUM(CE8:CE10)</f>
        <v>7.17</v>
      </c>
      <c r="CF11" s="1201" t="s">
        <v>2036</v>
      </c>
      <c r="CG11" s="1034">
        <f>SUM(CG8:CG10)</f>
        <v>10.8</v>
      </c>
      <c r="CH11" s="1201" t="s">
        <v>2036</v>
      </c>
      <c r="CI11" s="1034">
        <f>SUM(CI8:CI10)</f>
        <v>17.97</v>
      </c>
      <c r="CJ11" s="1201" t="s">
        <v>2036</v>
      </c>
      <c r="CK11" s="1034">
        <f>SUM(CK8:CK10)</f>
        <v>25.14</v>
      </c>
      <c r="CL11" s="1201" t="s">
        <v>2036</v>
      </c>
      <c r="CM11" s="1034">
        <f>SUM(CM8:CM10)</f>
        <v>32.31</v>
      </c>
      <c r="CN11" s="1201" t="s">
        <v>2036</v>
      </c>
      <c r="CO11" s="1034">
        <f>SUM(CO8:CO10)</f>
        <v>39.480000000000004</v>
      </c>
      <c r="CP11" s="1201" t="s">
        <v>2036</v>
      </c>
      <c r="CQ11" s="1034">
        <f>SUM(CQ8:CQ10)</f>
        <v>46.650000000000006</v>
      </c>
      <c r="CS11" s="1436"/>
      <c r="CT11" s="1201" t="s">
        <v>2036</v>
      </c>
      <c r="CU11" s="1034">
        <f>SUM(CU8:CU10)</f>
        <v>7.17</v>
      </c>
      <c r="CV11" s="1201" t="s">
        <v>2036</v>
      </c>
      <c r="CW11" s="1034">
        <f>SUM(CW8:CW10)</f>
        <v>10.8</v>
      </c>
      <c r="CX11" s="1201" t="s">
        <v>2036</v>
      </c>
      <c r="CY11" s="1034">
        <f>SUM(CY8:CY10)</f>
        <v>17.97</v>
      </c>
      <c r="CZ11" s="1201" t="s">
        <v>2036</v>
      </c>
      <c r="DA11" s="1034">
        <f>SUM(DA8:DA10)</f>
        <v>25.14</v>
      </c>
      <c r="DB11" s="1201" t="s">
        <v>2036</v>
      </c>
      <c r="DC11" s="1034">
        <f>SUM(DC8:DC10)</f>
        <v>32.31</v>
      </c>
      <c r="DD11" s="1201" t="s">
        <v>2036</v>
      </c>
      <c r="DE11" s="1034">
        <f>SUM(DE8:DE10)</f>
        <v>39.480000000000004</v>
      </c>
      <c r="DF11" s="1201" t="s">
        <v>2036</v>
      </c>
      <c r="DG11" s="1034">
        <f>SUM(DG8:DG10)</f>
        <v>46.650000000000006</v>
      </c>
      <c r="DI11" s="1436"/>
      <c r="DJ11" s="1201" t="s">
        <v>2036</v>
      </c>
      <c r="DK11" s="1034">
        <f>SUM(DK8:DK10)</f>
        <v>7.17</v>
      </c>
      <c r="DL11" s="1201" t="s">
        <v>2036</v>
      </c>
      <c r="DM11" s="1034">
        <f>SUM(DM8:DM10)</f>
        <v>10.8</v>
      </c>
      <c r="DN11" s="1201" t="s">
        <v>2036</v>
      </c>
      <c r="DO11" s="1034">
        <f>SUM(DO8:DO10)</f>
        <v>17.97</v>
      </c>
      <c r="DP11" s="1201" t="s">
        <v>2036</v>
      </c>
      <c r="DQ11" s="1034">
        <f>SUM(DQ8:DQ10)</f>
        <v>21.125999999999998</v>
      </c>
      <c r="DR11" s="1201" t="s">
        <v>2036</v>
      </c>
      <c r="DS11" s="1034">
        <f>SUM(DS8:DS10)</f>
        <v>32.31</v>
      </c>
      <c r="DT11" s="1201" t="s">
        <v>2036</v>
      </c>
      <c r="DU11" s="1034">
        <f>SUM(DU8:DU10)</f>
        <v>39.480000000000004</v>
      </c>
      <c r="DV11" s="1201" t="s">
        <v>2036</v>
      </c>
      <c r="DW11" s="1034">
        <f>SUM(DW8:DW10)</f>
        <v>46.650000000000006</v>
      </c>
      <c r="DY11" s="1436"/>
      <c r="DZ11" s="1201" t="s">
        <v>2036</v>
      </c>
      <c r="EA11" s="1034">
        <f>SUM(EA8:EA10)</f>
        <v>7.17</v>
      </c>
      <c r="EB11" s="1201" t="s">
        <v>2036</v>
      </c>
      <c r="EC11" s="1034">
        <f>SUM(EC8:EC10)</f>
        <v>10.8</v>
      </c>
      <c r="ED11" s="1201" t="s">
        <v>2036</v>
      </c>
      <c r="EE11" s="1034">
        <f>SUM(EE8:EE10)</f>
        <v>17.97</v>
      </c>
      <c r="EF11" s="1201" t="s">
        <v>2036</v>
      </c>
      <c r="EG11" s="1034">
        <f>SUM(EG8:EG10)</f>
        <v>21.125999999999998</v>
      </c>
      <c r="EH11" s="1201" t="s">
        <v>2036</v>
      </c>
      <c r="EI11" s="1034">
        <f>SUM(EI8:EI10)</f>
        <v>32.31</v>
      </c>
      <c r="EJ11" s="1201" t="s">
        <v>2036</v>
      </c>
      <c r="EK11" s="1034">
        <f>SUM(EK8:EK10)</f>
        <v>39.480000000000004</v>
      </c>
      <c r="EL11" s="1201" t="s">
        <v>2036</v>
      </c>
      <c r="EM11" s="1034">
        <f>SUM(EM8:EM10)</f>
        <v>46.650000000000006</v>
      </c>
    </row>
    <row r="12" spans="1:143" ht="15.75" customHeight="1">
      <c r="A12" s="1436"/>
      <c r="B12" s="1404"/>
      <c r="C12" s="1032">
        <v>2</v>
      </c>
      <c r="D12" s="1404"/>
      <c r="E12" s="1032">
        <v>2</v>
      </c>
      <c r="F12" s="1404"/>
      <c r="G12" s="1032">
        <v>4</v>
      </c>
      <c r="H12" s="1404"/>
      <c r="I12" s="1032">
        <v>4</v>
      </c>
      <c r="J12" s="1404"/>
      <c r="K12" s="1032">
        <v>6</v>
      </c>
      <c r="L12" s="1404"/>
      <c r="M12" s="1034"/>
      <c r="N12" s="1404"/>
      <c r="O12" s="1046"/>
      <c r="Q12" s="1436"/>
      <c r="R12" s="1200" t="s">
        <v>1247</v>
      </c>
      <c r="S12" s="1032">
        <v>2</v>
      </c>
      <c r="T12" s="1200" t="s">
        <v>1247</v>
      </c>
      <c r="U12" s="1032">
        <v>2</v>
      </c>
      <c r="V12" s="1200" t="s">
        <v>1247</v>
      </c>
      <c r="W12" s="1032">
        <v>4</v>
      </c>
      <c r="X12" s="1200" t="s">
        <v>1247</v>
      </c>
      <c r="Y12" s="1032">
        <v>4</v>
      </c>
      <c r="Z12" s="1200" t="s">
        <v>1247</v>
      </c>
      <c r="AA12" s="1032">
        <v>6</v>
      </c>
      <c r="AB12" s="1200" t="s">
        <v>1247</v>
      </c>
      <c r="AC12" s="1032">
        <v>6</v>
      </c>
      <c r="AD12" s="1200" t="s">
        <v>1247</v>
      </c>
      <c r="AE12" s="1032">
        <v>8</v>
      </c>
      <c r="AG12" s="1436"/>
      <c r="AH12" s="1200" t="s">
        <v>1247</v>
      </c>
      <c r="AI12" s="1032">
        <v>2</v>
      </c>
      <c r="AJ12" s="1200" t="s">
        <v>1247</v>
      </c>
      <c r="AK12" s="1032">
        <v>2</v>
      </c>
      <c r="AL12" s="1200" t="s">
        <v>1247</v>
      </c>
      <c r="AM12" s="1032">
        <v>4</v>
      </c>
      <c r="AN12" s="1200" t="s">
        <v>1247</v>
      </c>
      <c r="AO12" s="1032">
        <v>4</v>
      </c>
      <c r="AP12" s="1200" t="s">
        <v>1247</v>
      </c>
      <c r="AQ12" s="1032">
        <v>6</v>
      </c>
      <c r="AR12" s="1200" t="s">
        <v>1247</v>
      </c>
      <c r="AS12" s="1032">
        <v>6</v>
      </c>
      <c r="AT12" s="1200" t="s">
        <v>1247</v>
      </c>
      <c r="AU12" s="1032">
        <v>8</v>
      </c>
      <c r="AW12" s="1404"/>
      <c r="AX12" s="1200" t="s">
        <v>1247</v>
      </c>
      <c r="AY12" s="1032">
        <v>2</v>
      </c>
      <c r="AZ12" s="1200" t="s">
        <v>1247</v>
      </c>
      <c r="BA12" s="1032">
        <v>2</v>
      </c>
      <c r="BB12" s="1200" t="s">
        <v>1247</v>
      </c>
      <c r="BC12" s="1032">
        <v>4</v>
      </c>
      <c r="BD12" s="1200" t="s">
        <v>1247</v>
      </c>
      <c r="BE12" s="1032">
        <v>4</v>
      </c>
      <c r="BF12" s="1200" t="s">
        <v>1247</v>
      </c>
      <c r="BG12" s="1032">
        <v>6</v>
      </c>
      <c r="BH12" s="1200" t="s">
        <v>1247</v>
      </c>
      <c r="BI12" s="1032">
        <v>6</v>
      </c>
      <c r="BJ12" s="1200" t="s">
        <v>1247</v>
      </c>
      <c r="BK12" s="1032">
        <v>8</v>
      </c>
      <c r="BM12" s="1404"/>
      <c r="BN12" s="1200" t="s">
        <v>1247</v>
      </c>
      <c r="BO12" s="1032">
        <v>1</v>
      </c>
      <c r="BP12" s="1200" t="s">
        <v>1247</v>
      </c>
      <c r="BQ12" s="1032">
        <v>2</v>
      </c>
      <c r="BR12" s="1200" t="s">
        <v>1247</v>
      </c>
      <c r="BS12" s="1032">
        <v>3</v>
      </c>
      <c r="BT12" s="1200" t="s">
        <v>1247</v>
      </c>
      <c r="BU12" s="1032">
        <v>4</v>
      </c>
      <c r="BV12" s="1200" t="s">
        <v>1247</v>
      </c>
      <c r="BW12" s="1032">
        <v>5</v>
      </c>
      <c r="BX12" s="1200" t="s">
        <v>1247</v>
      </c>
      <c r="BY12" s="1032">
        <v>6</v>
      </c>
      <c r="BZ12" s="1200" t="s">
        <v>1247</v>
      </c>
      <c r="CA12" s="1032">
        <v>7</v>
      </c>
      <c r="CC12" s="1436"/>
      <c r="CD12" s="1200" t="s">
        <v>1247</v>
      </c>
      <c r="CE12" s="1032">
        <v>1</v>
      </c>
      <c r="CF12" s="1200" t="s">
        <v>1247</v>
      </c>
      <c r="CG12" s="1032">
        <v>2</v>
      </c>
      <c r="CH12" s="1200" t="s">
        <v>1247</v>
      </c>
      <c r="CI12" s="1032">
        <v>3</v>
      </c>
      <c r="CJ12" s="1200" t="s">
        <v>1247</v>
      </c>
      <c r="CK12" s="1032">
        <v>4</v>
      </c>
      <c r="CL12" s="1200" t="s">
        <v>1247</v>
      </c>
      <c r="CM12" s="1032">
        <v>5</v>
      </c>
      <c r="CN12" s="1200" t="s">
        <v>1247</v>
      </c>
      <c r="CO12" s="1032">
        <v>6</v>
      </c>
      <c r="CP12" s="1200" t="s">
        <v>1247</v>
      </c>
      <c r="CQ12" s="1032">
        <v>7</v>
      </c>
      <c r="CS12" s="1436"/>
      <c r="CT12" s="1200" t="s">
        <v>1247</v>
      </c>
      <c r="CU12" s="1032">
        <v>1</v>
      </c>
      <c r="CV12" s="1200" t="s">
        <v>1247</v>
      </c>
      <c r="CW12" s="1032">
        <v>2</v>
      </c>
      <c r="CX12" s="1200" t="s">
        <v>1247</v>
      </c>
      <c r="CY12" s="1032">
        <v>3</v>
      </c>
      <c r="CZ12" s="1200" t="s">
        <v>1247</v>
      </c>
      <c r="DA12" s="1032">
        <v>4</v>
      </c>
      <c r="DB12" s="1200" t="s">
        <v>1247</v>
      </c>
      <c r="DC12" s="1032">
        <v>5</v>
      </c>
      <c r="DD12" s="1200" t="s">
        <v>1247</v>
      </c>
      <c r="DE12" s="1032">
        <v>6</v>
      </c>
      <c r="DF12" s="1200" t="s">
        <v>1247</v>
      </c>
      <c r="DG12" s="1032">
        <v>7</v>
      </c>
      <c r="DI12" s="1436"/>
      <c r="DJ12" s="1200" t="s">
        <v>1247</v>
      </c>
      <c r="DK12" s="1032">
        <v>1</v>
      </c>
      <c r="DL12" s="1200" t="s">
        <v>1247</v>
      </c>
      <c r="DM12" s="1032">
        <v>2</v>
      </c>
      <c r="DN12" s="1200" t="s">
        <v>1247</v>
      </c>
      <c r="DO12" s="1032">
        <v>3</v>
      </c>
      <c r="DP12" s="1200" t="s">
        <v>1247</v>
      </c>
      <c r="DQ12" s="1032">
        <v>4</v>
      </c>
      <c r="DR12" s="1200" t="s">
        <v>1247</v>
      </c>
      <c r="DS12" s="1032">
        <v>5</v>
      </c>
      <c r="DT12" s="1200" t="s">
        <v>1247</v>
      </c>
      <c r="DU12" s="1032">
        <v>6</v>
      </c>
      <c r="DV12" s="1200" t="s">
        <v>1247</v>
      </c>
      <c r="DW12" s="1032">
        <v>7</v>
      </c>
      <c r="DY12" s="1436"/>
      <c r="DZ12" s="1200" t="s">
        <v>1247</v>
      </c>
      <c r="EA12" s="1032">
        <v>1</v>
      </c>
      <c r="EB12" s="1200" t="s">
        <v>1247</v>
      </c>
      <c r="EC12" s="1032">
        <v>2</v>
      </c>
      <c r="ED12" s="1200" t="s">
        <v>1247</v>
      </c>
      <c r="EE12" s="1032">
        <v>3</v>
      </c>
      <c r="EF12" s="1200" t="s">
        <v>1247</v>
      </c>
      <c r="EG12" s="1032">
        <v>4</v>
      </c>
      <c r="EH12" s="1200" t="s">
        <v>1247</v>
      </c>
      <c r="EI12" s="1032">
        <v>5</v>
      </c>
      <c r="EJ12" s="1200" t="s">
        <v>1247</v>
      </c>
      <c r="EK12" s="1032">
        <v>6</v>
      </c>
      <c r="EL12" s="1200" t="s">
        <v>1247</v>
      </c>
      <c r="EM12" s="1032">
        <v>7</v>
      </c>
    </row>
    <row r="13" spans="1:143" ht="121.5" customHeight="1">
      <c r="A13" s="1436"/>
      <c r="B13" s="1404"/>
      <c r="C13" s="1030">
        <f>C11/(C12*C6)</f>
        <v>0.5972511453561018</v>
      </c>
      <c r="D13" s="1404"/>
      <c r="E13" s="1030">
        <f>E11/(E12*C6)</f>
        <v>0.89962515618492322</v>
      </c>
      <c r="F13" s="1404"/>
      <c r="G13" s="1030">
        <f>G11/(G12*C6)</f>
        <v>0.74843815077051246</v>
      </c>
      <c r="H13" s="1404"/>
      <c r="I13" s="1030">
        <f>I11/(I12*C6)</f>
        <v>0.87988338192419835</v>
      </c>
      <c r="J13" s="1404"/>
      <c r="K13" s="1030">
        <f>K11/(K12*C6)</f>
        <v>0.78567263640149954</v>
      </c>
      <c r="L13" s="1404"/>
      <c r="M13" s="1031" t="s">
        <v>1181</v>
      </c>
      <c r="N13" s="1404"/>
      <c r="O13" s="1031" t="s">
        <v>1181</v>
      </c>
      <c r="Q13" s="1436"/>
      <c r="R13" s="1202"/>
      <c r="S13" s="1030">
        <f>S11/(S12*S6)</f>
        <v>0.55217558721601856</v>
      </c>
      <c r="T13" s="1202"/>
      <c r="U13" s="1030">
        <f>U11/(U12*S6)</f>
        <v>0.83172891798228743</v>
      </c>
      <c r="V13" s="1202"/>
      <c r="W13" s="1030">
        <f>W11/(W12*S6)</f>
        <v>0.69195225259915294</v>
      </c>
      <c r="X13" s="1202"/>
      <c r="Y13" s="1030">
        <f>Y11/(Y12*S6)</f>
        <v>0.81347708894878712</v>
      </c>
      <c r="Z13" s="1202"/>
      <c r="AA13" s="1030">
        <f>AA11/(AA12*S6)</f>
        <v>0.72637658837119767</v>
      </c>
      <c r="AB13" s="1202"/>
      <c r="AC13" s="1030">
        <f>AC11/(AC12*S6)</f>
        <v>0.80739314593762046</v>
      </c>
      <c r="AD13" s="1202"/>
      <c r="AE13" s="1030">
        <f>AE11/(AE12*S6)</f>
        <v>0.74358875625721998</v>
      </c>
      <c r="AG13" s="1436"/>
      <c r="AH13" s="1202"/>
      <c r="AI13" s="1030">
        <f>AI11/(AI12*AI6)</f>
        <v>0.52259475218658902</v>
      </c>
      <c r="AJ13" s="1202"/>
      <c r="AK13" s="1030">
        <f>AK11/(AK12*AI6)</f>
        <v>0.78717201166180784</v>
      </c>
      <c r="AL13" s="1202"/>
      <c r="AM13" s="1030">
        <f>AM11/(AM12*AI6)</f>
        <v>0.65488338192419837</v>
      </c>
      <c r="AN13" s="1202"/>
      <c r="AO13" s="1030">
        <f>AO11/(AO12*AI6)</f>
        <v>0.76989795918367354</v>
      </c>
      <c r="AP13" s="1202"/>
      <c r="AQ13" s="1030">
        <f>AQ11/(AQ12*AI6)</f>
        <v>0.68746355685131211</v>
      </c>
      <c r="AR13" s="1202"/>
      <c r="AS13" s="1030">
        <f>AS11/(AS12*AI6)</f>
        <v>0.76413994169096222</v>
      </c>
      <c r="AT13" s="1202"/>
      <c r="AU13" s="1030">
        <f>AU11/(AU12*AI6)</f>
        <v>0.70375364431486898</v>
      </c>
      <c r="AW13" s="1404"/>
      <c r="AX13" s="1202"/>
      <c r="AY13" s="1030">
        <f>AY11/(AY12*AY6)</f>
        <v>0.44341372912801491</v>
      </c>
      <c r="AZ13" s="1202"/>
      <c r="BA13" s="1030">
        <f>BA11/(BA12*AY6)</f>
        <v>0.66790352504638228</v>
      </c>
      <c r="BB13" s="1202"/>
      <c r="BC13" s="1030">
        <f>BC11/(BC12*AY6)</f>
        <v>0.5556586270871986</v>
      </c>
      <c r="BD13" s="1202"/>
      <c r="BE13" s="1030">
        <f>BE11/(BE12*AY6)</f>
        <v>0.6532467532467533</v>
      </c>
      <c r="BF13" s="1202"/>
      <c r="BG13" s="1030">
        <f>BG11/(BG12*AY6)</f>
        <v>0.58330241187384058</v>
      </c>
      <c r="BH13" s="1202"/>
      <c r="BI13" s="1030">
        <f>BI11/(BI12*AY6)</f>
        <v>0.64836116264687704</v>
      </c>
      <c r="BJ13" s="1202"/>
      <c r="BK13" s="1030">
        <f>BK11/(BK12*AY6)</f>
        <v>0.59712430426716145</v>
      </c>
      <c r="BM13" s="1404"/>
      <c r="BN13" s="1202"/>
      <c r="BO13" s="1030">
        <f>BO11/(BO12*BO6)</f>
        <v>0.770139634801289</v>
      </c>
      <c r="BP13" s="1202"/>
      <c r="BQ13" s="1030">
        <f>BQ11/(BQ12*BO6)</f>
        <v>0.58002148227712147</v>
      </c>
      <c r="BR13" s="1202"/>
      <c r="BS13" s="1030">
        <f>BS11/(BS12*BO6)</f>
        <v>0.64339419978517731</v>
      </c>
      <c r="BT13" s="1202"/>
      <c r="BU13" s="1030">
        <f>BU11/(BU12*BO6)</f>
        <v>0.67508055853920523</v>
      </c>
      <c r="BV13" s="1202"/>
      <c r="BW13" s="1030">
        <f>BW11/(BW12*BO6)</f>
        <v>0.69409237379162203</v>
      </c>
      <c r="BX13" s="1202"/>
      <c r="BY13" s="1030">
        <f>BY11/(BY12*BO6)</f>
        <v>0.70676691729323327</v>
      </c>
      <c r="BZ13" s="1202"/>
      <c r="CA13" s="1030">
        <f>CA11/(CA12*BO6)</f>
        <v>0.71582016265152704</v>
      </c>
      <c r="CC13" s="1436"/>
      <c r="CD13" s="1202"/>
      <c r="CE13" s="1030">
        <f>CE11/(CE12*CE6)</f>
        <v>0.68058851447555779</v>
      </c>
      <c r="CF13" s="1202"/>
      <c r="CG13" s="1030">
        <f>CG11/(CG12*CE6)</f>
        <v>0.51257712387280507</v>
      </c>
      <c r="CH13" s="1202"/>
      <c r="CI13" s="1030">
        <f>CI11/(CI12*CE6)</f>
        <v>0.56858092074038924</v>
      </c>
      <c r="CJ13" s="1202"/>
      <c r="CK13" s="1030">
        <f>CK11/(CK12*CE6)</f>
        <v>0.59658281917418143</v>
      </c>
      <c r="CL13" s="1202"/>
      <c r="CM13" s="1030">
        <f>CM11/(CM12*CE6)</f>
        <v>0.61338395823445668</v>
      </c>
      <c r="CN13" s="1202"/>
      <c r="CO13" s="1030">
        <f>CO11/(CO12*CE6)</f>
        <v>0.62458471760797352</v>
      </c>
      <c r="CP13" s="1202"/>
      <c r="CQ13" s="1030">
        <f>CQ11/(CQ12*CE6)</f>
        <v>0.63258526001762849</v>
      </c>
      <c r="CS13" s="1436"/>
      <c r="CT13" s="1202"/>
      <c r="CU13" s="1030">
        <f>CU11/(CU12*CU6)</f>
        <v>0.60969387755102056</v>
      </c>
      <c r="CV13" s="1202"/>
      <c r="CW13" s="1030">
        <f>CW11/(CW12*CU6)</f>
        <v>0.45918367346938788</v>
      </c>
      <c r="CX13" s="1202"/>
      <c r="CY13" s="1030">
        <f>CY11/(CY12*CU6)</f>
        <v>0.50935374149659873</v>
      </c>
      <c r="CZ13" s="1202"/>
      <c r="DA13" s="1030">
        <f>DA11/(DA12*CU6)</f>
        <v>0.53443877551020413</v>
      </c>
      <c r="DB13" s="1202"/>
      <c r="DC13" s="1030">
        <f>DC11/(DC12*CU6)</f>
        <v>0.54948979591836744</v>
      </c>
      <c r="DD13" s="1202"/>
      <c r="DE13" s="1030">
        <f>DE11/(DE12*CU6)</f>
        <v>0.55952380952380965</v>
      </c>
      <c r="DF13" s="1202"/>
      <c r="DG13" s="1030">
        <f>DG11/(DG12*CU6)</f>
        <v>0.56669096209912551</v>
      </c>
      <c r="DI13" s="1436"/>
      <c r="DJ13" s="1202"/>
      <c r="DK13" s="1030">
        <f>DK11/(DK12*DK6)</f>
        <v>0.57382953181272522</v>
      </c>
      <c r="DL13" s="1202"/>
      <c r="DM13" s="1030">
        <f>DM11/(DM12*DK6)</f>
        <v>0.43217286914765918</v>
      </c>
      <c r="DN13" s="1202"/>
      <c r="DO13" s="1030">
        <f>DO11/(DO12*DK6)</f>
        <v>0.47939175670268114</v>
      </c>
      <c r="DP13" s="1202"/>
      <c r="DQ13" s="1030">
        <f>DQ11/(DQ12*DK6)</f>
        <v>0.42268907563025215</v>
      </c>
      <c r="DR13" s="1202"/>
      <c r="DS13" s="1030">
        <f>DS11/(DS12*DK6)</f>
        <v>0.51716686674669887</v>
      </c>
      <c r="DT13" s="1202"/>
      <c r="DU13" s="1030">
        <f>DU11/(DU12*DK6)</f>
        <v>0.52661064425770321</v>
      </c>
      <c r="DV13" s="1202"/>
      <c r="DW13" s="1030">
        <f>DW11/(DW12*DK6)</f>
        <v>0.53335619962270642</v>
      </c>
      <c r="DY13" s="1436"/>
      <c r="DZ13" s="1202"/>
      <c r="EA13" s="1030">
        <f>EA11/(EA12*EA6)</f>
        <v>0.53209647495361789</v>
      </c>
      <c r="EB13" s="1202"/>
      <c r="EC13" s="1030">
        <f>EC11/(EC12*EA6)</f>
        <v>0.40074211502782942</v>
      </c>
      <c r="ED13" s="1202"/>
      <c r="EE13" s="1030">
        <f>EE11/(EE12*EA6)</f>
        <v>0.44452690166975883</v>
      </c>
      <c r="EF13" s="1202"/>
      <c r="EG13" s="1030">
        <f>EG11/(EG12*EA6)</f>
        <v>0.39194805194805199</v>
      </c>
      <c r="EH13" s="1202"/>
      <c r="EI13" s="1030">
        <f>EI11/(EI12*EA6)</f>
        <v>0.47955473098330254</v>
      </c>
      <c r="EJ13" s="1202"/>
      <c r="EK13" s="1030">
        <f>EK11/(EK12*EA6)</f>
        <v>0.48831168831168842</v>
      </c>
      <c r="EL13" s="1202"/>
      <c r="EM13" s="1030">
        <f>EM11/(EM12*EA6)</f>
        <v>0.49456665783196407</v>
      </c>
    </row>
    <row r="14" spans="1:143" ht="15.75" customHeight="1">
      <c r="A14" s="1435" t="s">
        <v>1365</v>
      </c>
      <c r="B14" s="1404"/>
      <c r="C14" s="1036"/>
      <c r="D14" s="1404"/>
      <c r="E14" s="1036"/>
      <c r="F14" s="1404"/>
      <c r="G14" s="1033">
        <f>Möblierungsschablone!$C$26</f>
        <v>4.41</v>
      </c>
      <c r="H14" s="1404"/>
      <c r="I14" s="1033">
        <f>Möblierungsschablone!$E$26</f>
        <v>5.6999999999999993</v>
      </c>
      <c r="J14" s="1404"/>
      <c r="K14" s="1033">
        <f>Möblierungsschablone!$E$26</f>
        <v>5.6999999999999993</v>
      </c>
      <c r="L14" s="1404"/>
      <c r="M14" s="1036"/>
      <c r="N14" s="1404"/>
      <c r="O14" s="1036"/>
      <c r="Q14" s="1435" t="s">
        <v>1365</v>
      </c>
      <c r="R14" s="1404"/>
      <c r="S14" s="1036"/>
      <c r="T14" s="1404"/>
      <c r="U14" s="1036"/>
      <c r="V14" s="1199" t="s">
        <v>2045</v>
      </c>
      <c r="W14" s="1033">
        <f>Möblierungsschablone!$C$26</f>
        <v>4.41</v>
      </c>
      <c r="X14" s="1199" t="s">
        <v>2044</v>
      </c>
      <c r="Y14" s="1033">
        <f>Möblierungsschablone!$E$26</f>
        <v>5.6999999999999993</v>
      </c>
      <c r="Z14" s="1199" t="s">
        <v>2044</v>
      </c>
      <c r="AA14" s="1033">
        <f>Möblierungsschablone!$E$26</f>
        <v>5.6999999999999993</v>
      </c>
      <c r="AB14" s="1199" t="s">
        <v>2043</v>
      </c>
      <c r="AC14" s="1033">
        <f>Möblierungsschablone!$G$31</f>
        <v>11.129999999999999</v>
      </c>
      <c r="AD14" s="1199" t="s">
        <v>2043</v>
      </c>
      <c r="AE14" s="1033">
        <f>Möblierungsschablone!$G$31</f>
        <v>11.129999999999999</v>
      </c>
      <c r="AG14" s="1435" t="s">
        <v>1365</v>
      </c>
      <c r="AH14" s="1404"/>
      <c r="AI14" s="1036"/>
      <c r="AJ14" s="1404"/>
      <c r="AK14" s="1036"/>
      <c r="AL14" s="1199" t="s">
        <v>2045</v>
      </c>
      <c r="AM14" s="1033">
        <f>Möblierungsschablone!$C$26</f>
        <v>4.41</v>
      </c>
      <c r="AN14" s="1199" t="s">
        <v>2044</v>
      </c>
      <c r="AO14" s="1033">
        <f>Möblierungsschablone!$E$26</f>
        <v>5.6999999999999993</v>
      </c>
      <c r="AP14" s="1199" t="s">
        <v>2044</v>
      </c>
      <c r="AQ14" s="1033">
        <f>Möblierungsschablone!$E$26</f>
        <v>5.6999999999999993</v>
      </c>
      <c r="AR14" s="1199" t="s">
        <v>2043</v>
      </c>
      <c r="AS14" s="1033">
        <f>Möblierungsschablone!$G$31</f>
        <v>11.129999999999999</v>
      </c>
      <c r="AT14" s="1199" t="s">
        <v>2043</v>
      </c>
      <c r="AU14" s="1033">
        <f>Möblierungsschablone!$G$31</f>
        <v>11.129999999999999</v>
      </c>
      <c r="AW14" s="1403" t="s">
        <v>1365</v>
      </c>
      <c r="AX14" s="1404"/>
      <c r="AY14" s="1036"/>
      <c r="AZ14" s="1404"/>
      <c r="BA14" s="1036"/>
      <c r="BB14" s="1199" t="s">
        <v>2045</v>
      </c>
      <c r="BC14" s="1033">
        <f>Möblierungsschablone!$C$26</f>
        <v>4.41</v>
      </c>
      <c r="BD14" s="1199" t="s">
        <v>2044</v>
      </c>
      <c r="BE14" s="1033">
        <f>Möblierungsschablone!$E$26</f>
        <v>5.6999999999999993</v>
      </c>
      <c r="BF14" s="1199" t="s">
        <v>2044</v>
      </c>
      <c r="BG14" s="1033">
        <f>Möblierungsschablone!$E$26</f>
        <v>5.6999999999999993</v>
      </c>
      <c r="BH14" s="1199" t="s">
        <v>2043</v>
      </c>
      <c r="BI14" s="1033">
        <f>Möblierungsschablone!$G$31</f>
        <v>11.129999999999999</v>
      </c>
      <c r="BJ14" s="1199" t="s">
        <v>2043</v>
      </c>
      <c r="BK14" s="1033">
        <f>Möblierungsschablone!$G$31</f>
        <v>11.129999999999999</v>
      </c>
      <c r="BM14" s="1403" t="s">
        <v>1365</v>
      </c>
      <c r="BN14" s="1404"/>
      <c r="BO14" s="1036"/>
      <c r="BP14" s="1404"/>
      <c r="BQ14" s="1036"/>
      <c r="BR14" s="1199" t="s">
        <v>2045</v>
      </c>
      <c r="BS14" s="1033">
        <f>Möblierungsschablone!$C$26</f>
        <v>4.41</v>
      </c>
      <c r="BT14" s="1199" t="s">
        <v>2044</v>
      </c>
      <c r="BU14" s="1033">
        <f>Möblierungsschablone!$E$26</f>
        <v>5.6999999999999993</v>
      </c>
      <c r="BV14" s="1199" t="s">
        <v>2044</v>
      </c>
      <c r="BW14" s="1033">
        <f>Möblierungsschablone!$E$26</f>
        <v>5.6999999999999993</v>
      </c>
      <c r="BX14" s="1199" t="s">
        <v>2043</v>
      </c>
      <c r="BY14" s="1033">
        <f>Möblierungsschablone!$G$31</f>
        <v>11.129999999999999</v>
      </c>
      <c r="BZ14" s="1199" t="s">
        <v>2043</v>
      </c>
      <c r="CA14" s="1033">
        <f>Möblierungsschablone!$G$31</f>
        <v>11.129999999999999</v>
      </c>
      <c r="CC14" s="1435" t="s">
        <v>1365</v>
      </c>
      <c r="CD14" s="1404"/>
      <c r="CE14" s="1036"/>
      <c r="CF14" s="1404"/>
      <c r="CG14" s="1036"/>
      <c r="CH14" s="1199" t="s">
        <v>2045</v>
      </c>
      <c r="CI14" s="1033">
        <f>Möblierungsschablone!$C$26</f>
        <v>4.41</v>
      </c>
      <c r="CJ14" s="1199" t="s">
        <v>2044</v>
      </c>
      <c r="CK14" s="1033">
        <f>Möblierungsschablone!$E$26</f>
        <v>5.6999999999999993</v>
      </c>
      <c r="CL14" s="1199" t="s">
        <v>2044</v>
      </c>
      <c r="CM14" s="1033">
        <f>Möblierungsschablone!$E$26</f>
        <v>5.6999999999999993</v>
      </c>
      <c r="CN14" s="1199" t="s">
        <v>2043</v>
      </c>
      <c r="CO14" s="1033">
        <f>Möblierungsschablone!$G$31</f>
        <v>11.129999999999999</v>
      </c>
      <c r="CP14" s="1199" t="s">
        <v>2043</v>
      </c>
      <c r="CQ14" s="1033">
        <f>Möblierungsschablone!$G$31</f>
        <v>11.129999999999999</v>
      </c>
      <c r="CS14" s="1435" t="s">
        <v>1365</v>
      </c>
      <c r="CT14" s="1404"/>
      <c r="CU14" s="1036"/>
      <c r="CV14" s="1404"/>
      <c r="CW14" s="1036"/>
      <c r="CX14" s="1199" t="s">
        <v>2045</v>
      </c>
      <c r="CY14" s="1033">
        <f>Möblierungsschablone!$C$26</f>
        <v>4.41</v>
      </c>
      <c r="CZ14" s="1199" t="s">
        <v>2044</v>
      </c>
      <c r="DA14" s="1033">
        <f>Möblierungsschablone!$E$26</f>
        <v>5.6999999999999993</v>
      </c>
      <c r="DB14" s="1199" t="s">
        <v>2044</v>
      </c>
      <c r="DC14" s="1033">
        <f>Möblierungsschablone!$E$26</f>
        <v>5.6999999999999993</v>
      </c>
      <c r="DD14" s="1199" t="s">
        <v>2043</v>
      </c>
      <c r="DE14" s="1033">
        <f>Möblierungsschablone!$G$31</f>
        <v>11.129999999999999</v>
      </c>
      <c r="DF14" s="1199" t="s">
        <v>2043</v>
      </c>
      <c r="DG14" s="1033">
        <f>Möblierungsschablone!$G$31</f>
        <v>11.129999999999999</v>
      </c>
      <c r="DI14" s="1435" t="s">
        <v>1365</v>
      </c>
      <c r="DJ14" s="1404"/>
      <c r="DK14" s="1036"/>
      <c r="DL14" s="1404"/>
      <c r="DM14" s="1036"/>
      <c r="DN14" s="1199" t="s">
        <v>2045</v>
      </c>
      <c r="DO14" s="1033">
        <f>Möblierungsschablone!$C$26</f>
        <v>4.41</v>
      </c>
      <c r="DP14" s="1199" t="s">
        <v>2044</v>
      </c>
      <c r="DQ14" s="1033">
        <f>Möblierungsschablone!$E$26</f>
        <v>5.6999999999999993</v>
      </c>
      <c r="DR14" s="1199" t="s">
        <v>2044</v>
      </c>
      <c r="DS14" s="1033">
        <f>Möblierungsschablone!$E$26</f>
        <v>5.6999999999999993</v>
      </c>
      <c r="DT14" s="1199" t="s">
        <v>2043</v>
      </c>
      <c r="DU14" s="1033">
        <f>Möblierungsschablone!$G$31</f>
        <v>11.129999999999999</v>
      </c>
      <c r="DV14" s="1199" t="s">
        <v>2043</v>
      </c>
      <c r="DW14" s="1033">
        <f>Möblierungsschablone!$G$31</f>
        <v>11.129999999999999</v>
      </c>
      <c r="DY14" s="1435" t="s">
        <v>1365</v>
      </c>
      <c r="DZ14" s="1404"/>
      <c r="EA14" s="1036"/>
      <c r="EB14" s="1404"/>
      <c r="EC14" s="1036"/>
      <c r="ED14" s="1199" t="s">
        <v>2045</v>
      </c>
      <c r="EE14" s="1033">
        <f>Möblierungsschablone!$C$26</f>
        <v>4.41</v>
      </c>
      <c r="EF14" s="1199" t="s">
        <v>2044</v>
      </c>
      <c r="EG14" s="1033">
        <f>Möblierungsschablone!$E$26</f>
        <v>5.6999999999999993</v>
      </c>
      <c r="EH14" s="1199" t="s">
        <v>2044</v>
      </c>
      <c r="EI14" s="1033">
        <f>Möblierungsschablone!$E$26</f>
        <v>5.6999999999999993</v>
      </c>
      <c r="EJ14" s="1199" t="s">
        <v>2043</v>
      </c>
      <c r="EK14" s="1033">
        <f>Möblierungsschablone!$G$31</f>
        <v>11.129999999999999</v>
      </c>
      <c r="EL14" s="1199" t="s">
        <v>2043</v>
      </c>
      <c r="EM14" s="1033">
        <f>Möblierungsschablone!$G$31</f>
        <v>11.129999999999999</v>
      </c>
    </row>
    <row r="15" spans="1:143" ht="15.75" customHeight="1">
      <c r="A15" s="1436"/>
      <c r="B15" s="1404"/>
      <c r="C15" s="1036"/>
      <c r="D15" s="1404"/>
      <c r="E15" s="1036"/>
      <c r="F15" s="1404"/>
      <c r="G15" s="1036"/>
      <c r="H15" s="1404"/>
      <c r="I15" s="1036"/>
      <c r="J15" s="1404"/>
      <c r="K15" s="1036"/>
      <c r="L15" s="1404"/>
      <c r="M15" s="1036"/>
      <c r="N15" s="1404"/>
      <c r="O15" s="1036"/>
      <c r="Q15" s="1436"/>
      <c r="R15" s="1404"/>
      <c r="S15" s="1036"/>
      <c r="T15" s="1404"/>
      <c r="U15" s="1036"/>
      <c r="V15" s="1200"/>
      <c r="W15" s="1036"/>
      <c r="X15" s="1200"/>
      <c r="Y15" s="1036"/>
      <c r="Z15" s="1200"/>
      <c r="AA15" s="1036"/>
      <c r="AB15" s="1200"/>
      <c r="AC15" s="1036"/>
      <c r="AD15" s="1200"/>
      <c r="AE15" s="1036"/>
      <c r="AG15" s="1436"/>
      <c r="AH15" s="1404"/>
      <c r="AI15" s="1036"/>
      <c r="AJ15" s="1404"/>
      <c r="AK15" s="1036"/>
      <c r="AL15" s="1200"/>
      <c r="AM15" s="1036"/>
      <c r="AN15" s="1200"/>
      <c r="AO15" s="1036"/>
      <c r="AP15" s="1200"/>
      <c r="AQ15" s="1036"/>
      <c r="AR15" s="1200"/>
      <c r="AS15" s="1036"/>
      <c r="AT15" s="1200"/>
      <c r="AU15" s="1036"/>
      <c r="AW15" s="1404"/>
      <c r="AX15" s="1404"/>
      <c r="AY15" s="1036"/>
      <c r="AZ15" s="1404"/>
      <c r="BA15" s="1036"/>
      <c r="BB15" s="1200"/>
      <c r="BC15" s="1036"/>
      <c r="BD15" s="1200"/>
      <c r="BE15" s="1036"/>
      <c r="BF15" s="1200"/>
      <c r="BG15" s="1036"/>
      <c r="BH15" s="1200"/>
      <c r="BI15" s="1036"/>
      <c r="BJ15" s="1200"/>
      <c r="BK15" s="1036"/>
      <c r="BM15" s="1404"/>
      <c r="BN15" s="1404"/>
      <c r="BO15" s="1036"/>
      <c r="BP15" s="1404"/>
      <c r="BQ15" s="1036"/>
      <c r="BR15" s="1200"/>
      <c r="BS15" s="1036"/>
      <c r="BT15" s="1200"/>
      <c r="BU15" s="1036"/>
      <c r="BV15" s="1200"/>
      <c r="BW15" s="1036"/>
      <c r="BX15" s="1200"/>
      <c r="BY15" s="1036"/>
      <c r="BZ15" s="1200"/>
      <c r="CA15" s="1036"/>
      <c r="CC15" s="1436"/>
      <c r="CD15" s="1404"/>
      <c r="CE15" s="1036"/>
      <c r="CF15" s="1404"/>
      <c r="CG15" s="1036"/>
      <c r="CH15" s="1200"/>
      <c r="CI15" s="1036"/>
      <c r="CJ15" s="1200"/>
      <c r="CK15" s="1036"/>
      <c r="CL15" s="1200"/>
      <c r="CM15" s="1036"/>
      <c r="CN15" s="1200"/>
      <c r="CO15" s="1036"/>
      <c r="CP15" s="1200"/>
      <c r="CQ15" s="1036"/>
      <c r="CS15" s="1436"/>
      <c r="CT15" s="1404"/>
      <c r="CU15" s="1036"/>
      <c r="CV15" s="1404"/>
      <c r="CW15" s="1036"/>
      <c r="CX15" s="1200"/>
      <c r="CY15" s="1036"/>
      <c r="CZ15" s="1200"/>
      <c r="DA15" s="1036"/>
      <c r="DB15" s="1200"/>
      <c r="DC15" s="1036"/>
      <c r="DD15" s="1200"/>
      <c r="DE15" s="1036"/>
      <c r="DF15" s="1200"/>
      <c r="DG15" s="1036"/>
      <c r="DI15" s="1436"/>
      <c r="DJ15" s="1404"/>
      <c r="DK15" s="1036"/>
      <c r="DL15" s="1404"/>
      <c r="DM15" s="1036"/>
      <c r="DN15" s="1200"/>
      <c r="DO15" s="1036"/>
      <c r="DP15" s="1200"/>
      <c r="DQ15" s="1036"/>
      <c r="DR15" s="1200"/>
      <c r="DS15" s="1036"/>
      <c r="DT15" s="1200"/>
      <c r="DU15" s="1036"/>
      <c r="DV15" s="1200"/>
      <c r="DW15" s="1036"/>
      <c r="DY15" s="1436"/>
      <c r="DZ15" s="1404"/>
      <c r="EA15" s="1036"/>
      <c r="EB15" s="1404"/>
      <c r="EC15" s="1036"/>
      <c r="ED15" s="1200"/>
      <c r="EE15" s="1036"/>
      <c r="EF15" s="1200"/>
      <c r="EG15" s="1036"/>
      <c r="EH15" s="1200"/>
      <c r="EI15" s="1036"/>
      <c r="EJ15" s="1200"/>
      <c r="EK15" s="1036"/>
      <c r="EL15" s="1200"/>
      <c r="EM15" s="1036"/>
    </row>
    <row r="16" spans="1:143" ht="15.75" customHeight="1">
      <c r="A16" s="1436"/>
      <c r="B16" s="1404"/>
      <c r="C16" s="1036"/>
      <c r="D16" s="1404"/>
      <c r="E16" s="1036"/>
      <c r="F16" s="1404"/>
      <c r="G16" s="1034">
        <f>SUM(G14:G15)</f>
        <v>4.41</v>
      </c>
      <c r="H16" s="1404"/>
      <c r="I16" s="1034">
        <f>SUM(I14:I15)</f>
        <v>5.6999999999999993</v>
      </c>
      <c r="J16" s="1404"/>
      <c r="K16" s="1034">
        <f>SUM(K14:K15)</f>
        <v>5.6999999999999993</v>
      </c>
      <c r="L16" s="1404"/>
      <c r="M16" s="1036"/>
      <c r="N16" s="1404"/>
      <c r="O16" s="1036"/>
      <c r="Q16" s="1436"/>
      <c r="R16" s="1404"/>
      <c r="S16" s="1036"/>
      <c r="T16" s="1404"/>
      <c r="U16" s="1036"/>
      <c r="V16" s="1201" t="s">
        <v>2036</v>
      </c>
      <c r="W16" s="1034">
        <f>SUM(W14:W15)</f>
        <v>4.41</v>
      </c>
      <c r="X16" s="1201" t="s">
        <v>2036</v>
      </c>
      <c r="Y16" s="1034">
        <f>SUM(Y14:Y15)</f>
        <v>5.6999999999999993</v>
      </c>
      <c r="Z16" s="1201" t="s">
        <v>2036</v>
      </c>
      <c r="AA16" s="1034">
        <f>SUM(AA14:AA15)</f>
        <v>5.6999999999999993</v>
      </c>
      <c r="AB16" s="1201" t="s">
        <v>2036</v>
      </c>
      <c r="AC16" s="1034">
        <f>SUM(AC14:AC15)</f>
        <v>11.129999999999999</v>
      </c>
      <c r="AD16" s="1201" t="s">
        <v>2036</v>
      </c>
      <c r="AE16" s="1034">
        <f>SUM(AE14:AE15)</f>
        <v>11.129999999999999</v>
      </c>
      <c r="AG16" s="1436"/>
      <c r="AH16" s="1404"/>
      <c r="AI16" s="1036"/>
      <c r="AJ16" s="1404"/>
      <c r="AK16" s="1036"/>
      <c r="AL16" s="1201" t="s">
        <v>2036</v>
      </c>
      <c r="AM16" s="1034">
        <f>SUM(AM14:AM15)</f>
        <v>4.41</v>
      </c>
      <c r="AN16" s="1201" t="s">
        <v>2036</v>
      </c>
      <c r="AO16" s="1034">
        <f>SUM(AO14:AO15)</f>
        <v>5.6999999999999993</v>
      </c>
      <c r="AP16" s="1201" t="s">
        <v>2036</v>
      </c>
      <c r="AQ16" s="1034">
        <f>SUM(AQ14:AQ15)</f>
        <v>5.6999999999999993</v>
      </c>
      <c r="AR16" s="1201" t="s">
        <v>2036</v>
      </c>
      <c r="AS16" s="1034">
        <f>SUM(AS14:AS15)</f>
        <v>11.129999999999999</v>
      </c>
      <c r="AT16" s="1201" t="s">
        <v>2036</v>
      </c>
      <c r="AU16" s="1034">
        <f>SUM(AU14:AU15)</f>
        <v>11.129999999999999</v>
      </c>
      <c r="AW16" s="1404"/>
      <c r="AX16" s="1404"/>
      <c r="AY16" s="1036"/>
      <c r="AZ16" s="1404"/>
      <c r="BA16" s="1036"/>
      <c r="BB16" s="1201" t="s">
        <v>2036</v>
      </c>
      <c r="BC16" s="1034">
        <f>SUM(BC14:BC15)</f>
        <v>4.41</v>
      </c>
      <c r="BD16" s="1201" t="s">
        <v>2036</v>
      </c>
      <c r="BE16" s="1034">
        <f>SUM(BE14:BE15)</f>
        <v>5.6999999999999993</v>
      </c>
      <c r="BF16" s="1201" t="s">
        <v>2036</v>
      </c>
      <c r="BG16" s="1034">
        <f>SUM(BG14:BG15)</f>
        <v>5.6999999999999993</v>
      </c>
      <c r="BH16" s="1201" t="s">
        <v>2036</v>
      </c>
      <c r="BI16" s="1034">
        <f>SUM(BI14:BI15)</f>
        <v>11.129999999999999</v>
      </c>
      <c r="BJ16" s="1201" t="s">
        <v>2036</v>
      </c>
      <c r="BK16" s="1034">
        <f>SUM(BK14:BK15)</f>
        <v>11.129999999999999</v>
      </c>
      <c r="BM16" s="1404"/>
      <c r="BN16" s="1404"/>
      <c r="BO16" s="1036"/>
      <c r="BP16" s="1404"/>
      <c r="BQ16" s="1036"/>
      <c r="BR16" s="1201" t="s">
        <v>2036</v>
      </c>
      <c r="BS16" s="1034">
        <f>SUM(BS14:BS15)</f>
        <v>4.41</v>
      </c>
      <c r="BT16" s="1201" t="s">
        <v>2036</v>
      </c>
      <c r="BU16" s="1034">
        <f>SUM(BU14:BU15)</f>
        <v>5.6999999999999993</v>
      </c>
      <c r="BV16" s="1201" t="s">
        <v>2036</v>
      </c>
      <c r="BW16" s="1034">
        <f>SUM(BW14:BW15)</f>
        <v>5.6999999999999993</v>
      </c>
      <c r="BX16" s="1201" t="s">
        <v>2036</v>
      </c>
      <c r="BY16" s="1034">
        <f>SUM(BY14:BY15)</f>
        <v>11.129999999999999</v>
      </c>
      <c r="BZ16" s="1201" t="s">
        <v>2036</v>
      </c>
      <c r="CA16" s="1034">
        <f>SUM(CA14:CA15)</f>
        <v>11.129999999999999</v>
      </c>
      <c r="CC16" s="1436"/>
      <c r="CD16" s="1404"/>
      <c r="CE16" s="1036"/>
      <c r="CF16" s="1404"/>
      <c r="CG16" s="1036"/>
      <c r="CH16" s="1201" t="s">
        <v>2036</v>
      </c>
      <c r="CI16" s="1034">
        <f>SUM(CI14:CI15)</f>
        <v>4.41</v>
      </c>
      <c r="CJ16" s="1201" t="s">
        <v>2036</v>
      </c>
      <c r="CK16" s="1034">
        <f>SUM(CK14:CK15)</f>
        <v>5.6999999999999993</v>
      </c>
      <c r="CL16" s="1201" t="s">
        <v>2036</v>
      </c>
      <c r="CM16" s="1034">
        <f>SUM(CM14:CM15)</f>
        <v>5.6999999999999993</v>
      </c>
      <c r="CN16" s="1201" t="s">
        <v>2036</v>
      </c>
      <c r="CO16" s="1034">
        <f>SUM(CO14:CO15)</f>
        <v>11.129999999999999</v>
      </c>
      <c r="CP16" s="1201" t="s">
        <v>2036</v>
      </c>
      <c r="CQ16" s="1034">
        <f>SUM(CQ14:CQ15)</f>
        <v>11.129999999999999</v>
      </c>
      <c r="CS16" s="1436"/>
      <c r="CT16" s="1404"/>
      <c r="CU16" s="1036"/>
      <c r="CV16" s="1404"/>
      <c r="CW16" s="1036"/>
      <c r="CX16" s="1201" t="s">
        <v>2036</v>
      </c>
      <c r="CY16" s="1034">
        <f>SUM(CY14:CY15)</f>
        <v>4.41</v>
      </c>
      <c r="CZ16" s="1201" t="s">
        <v>2036</v>
      </c>
      <c r="DA16" s="1034">
        <f>SUM(DA14:DA15)</f>
        <v>5.6999999999999993</v>
      </c>
      <c r="DB16" s="1201" t="s">
        <v>2036</v>
      </c>
      <c r="DC16" s="1034">
        <f>SUM(DC14:DC15)</f>
        <v>5.6999999999999993</v>
      </c>
      <c r="DD16" s="1201" t="s">
        <v>2036</v>
      </c>
      <c r="DE16" s="1034">
        <f>SUM(DE14:DE15)</f>
        <v>11.129999999999999</v>
      </c>
      <c r="DF16" s="1201" t="s">
        <v>2036</v>
      </c>
      <c r="DG16" s="1034">
        <f>SUM(DG14:DG15)</f>
        <v>11.129999999999999</v>
      </c>
      <c r="DI16" s="1436"/>
      <c r="DJ16" s="1404"/>
      <c r="DK16" s="1036"/>
      <c r="DL16" s="1404"/>
      <c r="DM16" s="1036"/>
      <c r="DN16" s="1201" t="s">
        <v>2036</v>
      </c>
      <c r="DO16" s="1034">
        <f>SUM(DO14:DO15)</f>
        <v>4.41</v>
      </c>
      <c r="DP16" s="1201" t="s">
        <v>2036</v>
      </c>
      <c r="DQ16" s="1034">
        <f>SUM(DQ14:DQ15)</f>
        <v>5.6999999999999993</v>
      </c>
      <c r="DR16" s="1201" t="s">
        <v>2036</v>
      </c>
      <c r="DS16" s="1034">
        <f>SUM(DS14:DS15)</f>
        <v>5.6999999999999993</v>
      </c>
      <c r="DT16" s="1201" t="s">
        <v>2036</v>
      </c>
      <c r="DU16" s="1034">
        <f>SUM(DU14:DU15)</f>
        <v>11.129999999999999</v>
      </c>
      <c r="DV16" s="1201" t="s">
        <v>2036</v>
      </c>
      <c r="DW16" s="1034">
        <f>SUM(DW14:DW15)</f>
        <v>11.129999999999999</v>
      </c>
      <c r="DY16" s="1436"/>
      <c r="DZ16" s="1404"/>
      <c r="EA16" s="1036"/>
      <c r="EB16" s="1404"/>
      <c r="EC16" s="1036"/>
      <c r="ED16" s="1201" t="s">
        <v>2036</v>
      </c>
      <c r="EE16" s="1034">
        <f>SUM(EE14:EE15)</f>
        <v>4.41</v>
      </c>
      <c r="EF16" s="1201" t="s">
        <v>2036</v>
      </c>
      <c r="EG16" s="1034">
        <f>SUM(EG14:EG15)</f>
        <v>5.6999999999999993</v>
      </c>
      <c r="EH16" s="1201" t="s">
        <v>2036</v>
      </c>
      <c r="EI16" s="1034">
        <f>SUM(EI14:EI15)</f>
        <v>5.6999999999999993</v>
      </c>
      <c r="EJ16" s="1201" t="s">
        <v>2036</v>
      </c>
      <c r="EK16" s="1034">
        <f>SUM(EK14:EK15)</f>
        <v>11.129999999999999</v>
      </c>
      <c r="EL16" s="1201" t="s">
        <v>2036</v>
      </c>
      <c r="EM16" s="1034">
        <f>SUM(EM14:EM15)</f>
        <v>11.129999999999999</v>
      </c>
    </row>
    <row r="17" spans="1:143" ht="15.75" customHeight="1">
      <c r="A17" s="1436"/>
      <c r="B17" s="1404"/>
      <c r="C17" s="1036"/>
      <c r="D17" s="1404"/>
      <c r="E17" s="1036"/>
      <c r="F17" s="1404"/>
      <c r="G17" s="1032">
        <v>1</v>
      </c>
      <c r="H17" s="1404"/>
      <c r="I17" s="1032">
        <v>2</v>
      </c>
      <c r="J17" s="1404"/>
      <c r="K17" s="1032">
        <v>2</v>
      </c>
      <c r="L17" s="1404"/>
      <c r="M17" s="1036"/>
      <c r="N17" s="1404"/>
      <c r="O17" s="1036"/>
      <c r="Q17" s="1436"/>
      <c r="R17" s="1404"/>
      <c r="S17" s="1036"/>
      <c r="T17" s="1404"/>
      <c r="U17" s="1036"/>
      <c r="V17" s="1200" t="s">
        <v>1247</v>
      </c>
      <c r="W17" s="1032">
        <v>1</v>
      </c>
      <c r="X17" s="1200" t="s">
        <v>1247</v>
      </c>
      <c r="Y17" s="1032">
        <v>2</v>
      </c>
      <c r="Z17" s="1200" t="s">
        <v>1247</v>
      </c>
      <c r="AA17" s="1032">
        <v>2</v>
      </c>
      <c r="AB17" s="1200" t="s">
        <v>1247</v>
      </c>
      <c r="AC17" s="1032">
        <v>2</v>
      </c>
      <c r="AD17" s="1200" t="s">
        <v>1247</v>
      </c>
      <c r="AE17" s="1032">
        <v>2</v>
      </c>
      <c r="AG17" s="1436"/>
      <c r="AH17" s="1404"/>
      <c r="AI17" s="1036"/>
      <c r="AJ17" s="1404"/>
      <c r="AK17" s="1036"/>
      <c r="AL17" s="1200" t="s">
        <v>1247</v>
      </c>
      <c r="AM17" s="1032">
        <v>1</v>
      </c>
      <c r="AN17" s="1200" t="s">
        <v>1247</v>
      </c>
      <c r="AO17" s="1032">
        <v>2</v>
      </c>
      <c r="AP17" s="1200" t="s">
        <v>1247</v>
      </c>
      <c r="AQ17" s="1032">
        <v>2</v>
      </c>
      <c r="AR17" s="1200" t="s">
        <v>1247</v>
      </c>
      <c r="AS17" s="1032">
        <v>2</v>
      </c>
      <c r="AT17" s="1200" t="s">
        <v>1247</v>
      </c>
      <c r="AU17" s="1032">
        <v>2</v>
      </c>
      <c r="AW17" s="1404"/>
      <c r="AX17" s="1404"/>
      <c r="AY17" s="1036"/>
      <c r="AZ17" s="1404"/>
      <c r="BA17" s="1036"/>
      <c r="BB17" s="1200" t="s">
        <v>1247</v>
      </c>
      <c r="BC17" s="1032">
        <v>1</v>
      </c>
      <c r="BD17" s="1200" t="s">
        <v>1247</v>
      </c>
      <c r="BE17" s="1032">
        <v>1</v>
      </c>
      <c r="BF17" s="1200" t="s">
        <v>1247</v>
      </c>
      <c r="BG17" s="1032">
        <v>1</v>
      </c>
      <c r="BH17" s="1200" t="s">
        <v>1247</v>
      </c>
      <c r="BI17" s="1032">
        <v>2</v>
      </c>
      <c r="BJ17" s="1200" t="s">
        <v>1247</v>
      </c>
      <c r="BK17" s="1032">
        <v>2</v>
      </c>
      <c r="BM17" s="1404"/>
      <c r="BN17" s="1404"/>
      <c r="BO17" s="1036"/>
      <c r="BP17" s="1404"/>
      <c r="BQ17" s="1036"/>
      <c r="BR17" s="1200" t="s">
        <v>1247</v>
      </c>
      <c r="BS17" s="1032">
        <v>1</v>
      </c>
      <c r="BT17" s="1200" t="s">
        <v>1247</v>
      </c>
      <c r="BU17" s="1032">
        <v>1</v>
      </c>
      <c r="BV17" s="1200" t="s">
        <v>1247</v>
      </c>
      <c r="BW17" s="1032">
        <v>1</v>
      </c>
      <c r="BX17" s="1200" t="s">
        <v>1247</v>
      </c>
      <c r="BY17" s="1032">
        <v>2</v>
      </c>
      <c r="BZ17" s="1200" t="s">
        <v>1247</v>
      </c>
      <c r="CA17" s="1032">
        <v>2</v>
      </c>
      <c r="CC17" s="1436"/>
      <c r="CD17" s="1404"/>
      <c r="CE17" s="1036"/>
      <c r="CF17" s="1404"/>
      <c r="CG17" s="1036"/>
      <c r="CH17" s="1200" t="s">
        <v>1247</v>
      </c>
      <c r="CI17" s="1032">
        <v>1</v>
      </c>
      <c r="CJ17" s="1200" t="s">
        <v>1247</v>
      </c>
      <c r="CK17" s="1032">
        <v>1</v>
      </c>
      <c r="CL17" s="1200" t="s">
        <v>1247</v>
      </c>
      <c r="CM17" s="1032">
        <v>1</v>
      </c>
      <c r="CN17" s="1200" t="s">
        <v>1247</v>
      </c>
      <c r="CO17" s="1032">
        <v>2</v>
      </c>
      <c r="CP17" s="1200" t="s">
        <v>1247</v>
      </c>
      <c r="CQ17" s="1032">
        <v>2</v>
      </c>
      <c r="CS17" s="1436"/>
      <c r="CT17" s="1404"/>
      <c r="CU17" s="1036"/>
      <c r="CV17" s="1404"/>
      <c r="CW17" s="1036"/>
      <c r="CX17" s="1200" t="s">
        <v>1247</v>
      </c>
      <c r="CY17" s="1032">
        <v>1</v>
      </c>
      <c r="CZ17" s="1200" t="s">
        <v>1247</v>
      </c>
      <c r="DA17" s="1032">
        <v>1</v>
      </c>
      <c r="DB17" s="1200" t="s">
        <v>1247</v>
      </c>
      <c r="DC17" s="1032">
        <v>1</v>
      </c>
      <c r="DD17" s="1200" t="s">
        <v>1247</v>
      </c>
      <c r="DE17" s="1032">
        <v>1</v>
      </c>
      <c r="DF17" s="1200" t="s">
        <v>1247</v>
      </c>
      <c r="DG17" s="1032">
        <v>1</v>
      </c>
      <c r="DI17" s="1436"/>
      <c r="DJ17" s="1404"/>
      <c r="DK17" s="1036"/>
      <c r="DL17" s="1404"/>
      <c r="DM17" s="1036"/>
      <c r="DN17" s="1200" t="s">
        <v>1247</v>
      </c>
      <c r="DO17" s="1032">
        <v>1</v>
      </c>
      <c r="DP17" s="1200" t="s">
        <v>1247</v>
      </c>
      <c r="DQ17" s="1032">
        <v>1</v>
      </c>
      <c r="DR17" s="1200" t="s">
        <v>1247</v>
      </c>
      <c r="DS17" s="1032">
        <v>1</v>
      </c>
      <c r="DT17" s="1200" t="s">
        <v>1247</v>
      </c>
      <c r="DU17" s="1032">
        <v>1</v>
      </c>
      <c r="DV17" s="1200" t="s">
        <v>1247</v>
      </c>
      <c r="DW17" s="1032">
        <v>1</v>
      </c>
      <c r="DY17" s="1436"/>
      <c r="DZ17" s="1404"/>
      <c r="EA17" s="1036"/>
      <c r="EB17" s="1404"/>
      <c r="EC17" s="1036"/>
      <c r="ED17" s="1200" t="s">
        <v>1247</v>
      </c>
      <c r="EE17" s="1032">
        <v>1</v>
      </c>
      <c r="EF17" s="1200" t="s">
        <v>1247</v>
      </c>
      <c r="EG17" s="1032">
        <v>1</v>
      </c>
      <c r="EH17" s="1200" t="s">
        <v>1247</v>
      </c>
      <c r="EI17" s="1032">
        <v>1</v>
      </c>
      <c r="EJ17" s="1200" t="s">
        <v>1247</v>
      </c>
      <c r="EK17" s="1032">
        <v>1</v>
      </c>
      <c r="EL17" s="1200" t="s">
        <v>1247</v>
      </c>
      <c r="EM17" s="1032">
        <v>1</v>
      </c>
    </row>
    <row r="18" spans="1:143" ht="19" customHeight="1">
      <c r="A18" s="1436"/>
      <c r="B18" s="1404"/>
      <c r="C18" s="1035" t="s">
        <v>1181</v>
      </c>
      <c r="D18" s="1404"/>
      <c r="E18" s="1035" t="s">
        <v>1181</v>
      </c>
      <c r="F18" s="1404"/>
      <c r="G18" s="1030">
        <f>G16/(G17*C6)</f>
        <v>0.73469387755102056</v>
      </c>
      <c r="H18" s="1404"/>
      <c r="I18" s="1030">
        <f>I16/(I17*C6)</f>
        <v>0.47480216576426493</v>
      </c>
      <c r="J18" s="1404"/>
      <c r="K18" s="1030">
        <f>K16/(K17*C6)</f>
        <v>0.47480216576426493</v>
      </c>
      <c r="L18" s="1404"/>
      <c r="M18" s="1031" t="s">
        <v>1181</v>
      </c>
      <c r="N18" s="1404"/>
      <c r="O18" s="1031" t="s">
        <v>1181</v>
      </c>
      <c r="Q18" s="1436"/>
      <c r="R18" s="1404"/>
      <c r="S18" s="1035" t="s">
        <v>1181</v>
      </c>
      <c r="T18" s="1404"/>
      <c r="U18" s="1035" t="s">
        <v>1181</v>
      </c>
      <c r="V18" s="1202"/>
      <c r="W18" s="1030">
        <f>W16/(W17*S6)</f>
        <v>0.67924528301886811</v>
      </c>
      <c r="X18" s="1202"/>
      <c r="Y18" s="1030">
        <f>Y16/(Y17*S6)</f>
        <v>0.43896804004620721</v>
      </c>
      <c r="Z18" s="1202"/>
      <c r="AA18" s="1030">
        <f>AA16/(AA17*S6)</f>
        <v>0.43896804004620721</v>
      </c>
      <c r="AB18" s="1202"/>
      <c r="AC18" s="1030">
        <f>AC16/(AC17*S6)</f>
        <v>0.85714285714285721</v>
      </c>
      <c r="AD18" s="1202"/>
      <c r="AE18" s="1030">
        <f>AE16/(AE17*S6)</f>
        <v>0.85714285714285721</v>
      </c>
      <c r="AG18" s="1436"/>
      <c r="AH18" s="1404"/>
      <c r="AI18" s="1035" t="s">
        <v>1181</v>
      </c>
      <c r="AJ18" s="1404"/>
      <c r="AK18" s="1035" t="s">
        <v>1181</v>
      </c>
      <c r="AL18" s="1202"/>
      <c r="AM18" s="1030">
        <f>AM16/(AM17*AI6)</f>
        <v>0.64285714285714302</v>
      </c>
      <c r="AN18" s="1202"/>
      <c r="AO18" s="1030">
        <f>AO16/(AO17*AI6)</f>
        <v>0.41545189504373181</v>
      </c>
      <c r="AP18" s="1202"/>
      <c r="AQ18" s="1030">
        <f>AQ16/(AQ17*AI6)</f>
        <v>0.41545189504373181</v>
      </c>
      <c r="AR18" s="1202"/>
      <c r="AS18" s="1030">
        <f>AS16/(AS17*AI6)</f>
        <v>0.81122448979591844</v>
      </c>
      <c r="AT18" s="1202"/>
      <c r="AU18" s="1030">
        <f>AU16/(AU17*AI6)</f>
        <v>0.81122448979591844</v>
      </c>
      <c r="AW18" s="1404"/>
      <c r="AX18" s="1404"/>
      <c r="AY18" s="1035" t="s">
        <v>1181</v>
      </c>
      <c r="AZ18" s="1404"/>
      <c r="BA18" s="1035" t="s">
        <v>1181</v>
      </c>
      <c r="BB18" s="1202"/>
      <c r="BC18" s="1030">
        <f>BC16/(BC17*AY6)</f>
        <v>0.54545454545454553</v>
      </c>
      <c r="BD18" s="1202"/>
      <c r="BE18" s="1030">
        <f>BE16/(BE17*AY6)</f>
        <v>0.70500927643784783</v>
      </c>
      <c r="BF18" s="1202"/>
      <c r="BG18" s="1030">
        <f>BG16/(BG17*AY6)</f>
        <v>0.70500927643784783</v>
      </c>
      <c r="BH18" s="1202"/>
      <c r="BI18" s="1030">
        <f>BI16/(BI17*AY6)</f>
        <v>0.68831168831168832</v>
      </c>
      <c r="BJ18" s="1202"/>
      <c r="BK18" s="1030">
        <f>BK16/(BK17*AY6)</f>
        <v>0.68831168831168832</v>
      </c>
      <c r="BM18" s="1404"/>
      <c r="BN18" s="1404"/>
      <c r="BO18" s="1035" t="s">
        <v>1181</v>
      </c>
      <c r="BP18" s="1404"/>
      <c r="BQ18" s="1035" t="s">
        <v>1181</v>
      </c>
      <c r="BR18" s="1202"/>
      <c r="BS18" s="1030">
        <f>BS16/(BS17*BO6)</f>
        <v>0.47368421052631587</v>
      </c>
      <c r="BT18" s="1202"/>
      <c r="BU18" s="1030">
        <f>BU16/(BU17*BO6)</f>
        <v>0.61224489795918369</v>
      </c>
      <c r="BV18" s="1202"/>
      <c r="BW18" s="1030">
        <f>BW16/(BW17*BO6)</f>
        <v>0.61224489795918369</v>
      </c>
      <c r="BX18" s="1202"/>
      <c r="BY18" s="1030">
        <f>BY16/(BY17*BO6)</f>
        <v>0.59774436090225569</v>
      </c>
      <c r="BZ18" s="1202"/>
      <c r="CA18" s="1030">
        <f>CA16/(CA17*BO6)</f>
        <v>0.59774436090225569</v>
      </c>
      <c r="CC18" s="1436"/>
      <c r="CD18" s="1404"/>
      <c r="CE18" s="1035" t="s">
        <v>1181</v>
      </c>
      <c r="CF18" s="1404"/>
      <c r="CG18" s="1035" t="s">
        <v>1181</v>
      </c>
      <c r="CH18" s="1202"/>
      <c r="CI18" s="1030">
        <f>CI16/(CI17*CE6)</f>
        <v>0.41860465116279078</v>
      </c>
      <c r="CJ18" s="1202"/>
      <c r="CK18" s="1030">
        <f>CK16/(CK17*CE6)</f>
        <v>0.54105363075462742</v>
      </c>
      <c r="CL18" s="1202"/>
      <c r="CM18" s="1030">
        <f>CM16/(CM17*CE6)</f>
        <v>0.54105363075462742</v>
      </c>
      <c r="CN18" s="1202"/>
      <c r="CO18" s="1030">
        <f>CO16/(CO17*CE6)</f>
        <v>0.52823920265780733</v>
      </c>
      <c r="CP18" s="1202"/>
      <c r="CQ18" s="1030">
        <f>CQ16/(CQ17*CE6)</f>
        <v>0.52823920265780733</v>
      </c>
      <c r="CS18" s="1436"/>
      <c r="CT18" s="1404"/>
      <c r="CU18" s="1035" t="s">
        <v>1181</v>
      </c>
      <c r="CV18" s="1404"/>
      <c r="CW18" s="1035" t="s">
        <v>1181</v>
      </c>
      <c r="CX18" s="1202"/>
      <c r="CY18" s="1030">
        <f>CY16/(CY17*CU6)</f>
        <v>0.37500000000000006</v>
      </c>
      <c r="CZ18" s="1202"/>
      <c r="DA18" s="1030">
        <f>DA16/(DA17*CU6)</f>
        <v>0.48469387755102045</v>
      </c>
      <c r="DB18" s="1202"/>
      <c r="DC18" s="1030">
        <f>DC16/(DC17*CU6)</f>
        <v>0.48469387755102045</v>
      </c>
      <c r="DD18" s="1202"/>
      <c r="DE18" s="1030">
        <f>DE16/(DE17*CU6)</f>
        <v>0.94642857142857151</v>
      </c>
      <c r="DF18" s="1202"/>
      <c r="DG18" s="1030">
        <f>DG16/(DG17*CU6)</f>
        <v>0.94642857142857151</v>
      </c>
      <c r="DI18" s="1436"/>
      <c r="DJ18" s="1404"/>
      <c r="DK18" s="1035" t="s">
        <v>1181</v>
      </c>
      <c r="DL18" s="1404"/>
      <c r="DM18" s="1035" t="s">
        <v>1181</v>
      </c>
      <c r="DN18" s="1202"/>
      <c r="DO18" s="1030">
        <f>DO16/(DO17*DK6)</f>
        <v>0.35294117647058831</v>
      </c>
      <c r="DP18" s="1202"/>
      <c r="DQ18" s="1030">
        <f>DQ16/(DQ17*DK6)</f>
        <v>0.45618247298919573</v>
      </c>
      <c r="DR18" s="1202"/>
      <c r="DS18" s="1030">
        <f>DS16/(DS17*DK6)</f>
        <v>0.45618247298919573</v>
      </c>
      <c r="DT18" s="1202"/>
      <c r="DU18" s="1030">
        <f>DU16/(DU17*DK6)</f>
        <v>0.89075630252100846</v>
      </c>
      <c r="DV18" s="1202"/>
      <c r="DW18" s="1030">
        <f>DW16/(DW17*DK6)</f>
        <v>0.89075630252100846</v>
      </c>
      <c r="DY18" s="1436"/>
      <c r="DZ18" s="1404"/>
      <c r="EA18" s="1035" t="s">
        <v>1181</v>
      </c>
      <c r="EB18" s="1404"/>
      <c r="EC18" s="1035" t="s">
        <v>1181</v>
      </c>
      <c r="ED18" s="1202"/>
      <c r="EE18" s="1030">
        <f>EE16/(EE17*EA6)</f>
        <v>0.32727272727272733</v>
      </c>
      <c r="EF18" s="1202"/>
      <c r="EG18" s="1030">
        <f>EG16/(EG17*EA6)</f>
        <v>0.42300556586270871</v>
      </c>
      <c r="EH18" s="1202"/>
      <c r="EI18" s="1030">
        <f>EI16/(EI17*EA6)</f>
        <v>0.42300556586270871</v>
      </c>
      <c r="EJ18" s="1202"/>
      <c r="EK18" s="1030">
        <f>EK16/(EK17*EA6)</f>
        <v>0.82597402597402603</v>
      </c>
      <c r="EL18" s="1202"/>
      <c r="EM18" s="1030">
        <f>EM16/(EM17*EA6)</f>
        <v>0.82597402597402603</v>
      </c>
    </row>
    <row r="19" spans="1:143" ht="15.75" customHeight="1">
      <c r="A19" s="1435" t="s">
        <v>1366</v>
      </c>
      <c r="B19" s="1406"/>
      <c r="C19" s="1033">
        <f>Möblierungsschablone!$C$41</f>
        <v>2.5649999999999999</v>
      </c>
      <c r="D19" s="1406"/>
      <c r="E19" s="1033">
        <f>Möblierungsschablone!$E$41</f>
        <v>2.5649999999999999</v>
      </c>
      <c r="F19" s="1406"/>
      <c r="G19" s="1033">
        <f>Möblierungsschablone!$G$36</f>
        <v>3.5999999999999996</v>
      </c>
      <c r="H19" s="1404"/>
      <c r="I19" s="1033">
        <f>Möblierungsschablone!$I$36</f>
        <v>4.32</v>
      </c>
      <c r="J19" s="1404"/>
      <c r="K19" s="1033">
        <f>Möblierungsschablone!$K$36</f>
        <v>5.04</v>
      </c>
      <c r="L19" s="1406"/>
      <c r="M19" s="1188"/>
      <c r="N19" s="1406"/>
      <c r="O19" s="1188"/>
      <c r="Q19" s="1435" t="s">
        <v>1366</v>
      </c>
      <c r="R19" s="1406"/>
      <c r="S19" s="1033">
        <f>Möblierungsschablone!$C$41</f>
        <v>2.5649999999999999</v>
      </c>
      <c r="T19" s="1406"/>
      <c r="U19" s="1033">
        <f>Möblierungsschablone!$E$41</f>
        <v>2.5649999999999999</v>
      </c>
      <c r="V19" s="1414"/>
      <c r="W19" s="1033">
        <f>Möblierungsschablone!$G$36</f>
        <v>3.5999999999999996</v>
      </c>
      <c r="X19" s="1406"/>
      <c r="Y19" s="1033">
        <f>Möblierungsschablone!$I$36</f>
        <v>4.32</v>
      </c>
      <c r="Z19" s="1406"/>
      <c r="AA19" s="1033">
        <f>Möblierungsschablone!$K$36</f>
        <v>5.04</v>
      </c>
      <c r="AB19" s="1406"/>
      <c r="AC19" s="1033">
        <f>Möblierungsschablone!$M$36</f>
        <v>5.76</v>
      </c>
      <c r="AD19" s="1406"/>
      <c r="AE19" s="1033">
        <f>Möblierungsschablone!$O$36</f>
        <v>6.48</v>
      </c>
      <c r="AG19" s="1435" t="s">
        <v>1366</v>
      </c>
      <c r="AH19" s="1199" t="s">
        <v>2042</v>
      </c>
      <c r="AI19" s="1033">
        <f>Möblierungsschablone!$C$41</f>
        <v>2.5649999999999999</v>
      </c>
      <c r="AJ19" s="1199" t="s">
        <v>2042</v>
      </c>
      <c r="AK19" s="1033">
        <f>Möblierungsschablone!$E$41</f>
        <v>2.5649999999999999</v>
      </c>
      <c r="AL19" s="1406"/>
      <c r="AM19" s="1033">
        <f>Möblierungsschablone!$G$36</f>
        <v>3.5999999999999996</v>
      </c>
      <c r="AN19" s="1406"/>
      <c r="AO19" s="1033">
        <f>Möblierungsschablone!$I$36</f>
        <v>4.32</v>
      </c>
      <c r="AP19" s="1406"/>
      <c r="AQ19" s="1033">
        <f>Möblierungsschablone!$K$36</f>
        <v>5.04</v>
      </c>
      <c r="AR19" s="1406"/>
      <c r="AS19" s="1033">
        <f>Möblierungsschablone!$M$36</f>
        <v>5.76</v>
      </c>
      <c r="AT19" s="1406"/>
      <c r="AU19" s="1033">
        <f>Möblierungsschablone!$O$36</f>
        <v>6.48</v>
      </c>
      <c r="AW19" s="1403" t="s">
        <v>1366</v>
      </c>
      <c r="AX19" s="1199" t="s">
        <v>2042</v>
      </c>
      <c r="AY19" s="1033">
        <f>Möblierungsschablone!$C$41</f>
        <v>2.5649999999999999</v>
      </c>
      <c r="AZ19" s="1199" t="s">
        <v>2042</v>
      </c>
      <c r="BA19" s="1033">
        <f>Möblierungsschablone!$E$41</f>
        <v>2.5649999999999999</v>
      </c>
      <c r="BB19" s="1199" t="s">
        <v>2042</v>
      </c>
      <c r="BC19" s="1033">
        <f>Möblierungsschablone!$G$36</f>
        <v>3.5999999999999996</v>
      </c>
      <c r="BD19" s="1406"/>
      <c r="BE19" s="1033">
        <f>Möblierungsschablone!$I$36</f>
        <v>4.32</v>
      </c>
      <c r="BF19" s="1406"/>
      <c r="BG19" s="1033">
        <f>Möblierungsschablone!$K$36</f>
        <v>5.04</v>
      </c>
      <c r="BH19" s="1406"/>
      <c r="BI19" s="1033">
        <f>Möblierungsschablone!$M$36</f>
        <v>5.76</v>
      </c>
      <c r="BJ19" s="1406"/>
      <c r="BK19" s="1033">
        <f>Möblierungsschablone!$O$36</f>
        <v>6.48</v>
      </c>
      <c r="BM19" s="1403" t="s">
        <v>1366</v>
      </c>
      <c r="BN19" s="1199" t="s">
        <v>2042</v>
      </c>
      <c r="BO19" s="1033">
        <f>Möblierungsschablone!$C$41</f>
        <v>2.5649999999999999</v>
      </c>
      <c r="BP19" s="1199" t="s">
        <v>2042</v>
      </c>
      <c r="BQ19" s="1033">
        <f>Möblierungsschablone!$E$41</f>
        <v>2.5649999999999999</v>
      </c>
      <c r="BR19" s="1199" t="s">
        <v>2042</v>
      </c>
      <c r="BS19" s="1033">
        <f>Möblierungsschablone!$G$36</f>
        <v>3.5999999999999996</v>
      </c>
      <c r="BT19" s="1406"/>
      <c r="BU19" s="1033">
        <f>Möblierungsschablone!$I$36</f>
        <v>4.32</v>
      </c>
      <c r="BV19" s="1406"/>
      <c r="BW19" s="1033">
        <f>Möblierungsschablone!$K$36</f>
        <v>5.04</v>
      </c>
      <c r="BX19" s="1406"/>
      <c r="BY19" s="1033">
        <f>Möblierungsschablone!$M$36</f>
        <v>5.76</v>
      </c>
      <c r="BZ19" s="1406"/>
      <c r="CA19" s="1033">
        <f>Möblierungsschablone!$O$36</f>
        <v>6.48</v>
      </c>
      <c r="CC19" s="1435" t="s">
        <v>1366</v>
      </c>
      <c r="CD19" s="1199" t="s">
        <v>2042</v>
      </c>
      <c r="CE19" s="1033">
        <f>Möblierungsschablone!$C$41</f>
        <v>2.5649999999999999</v>
      </c>
      <c r="CF19" s="1199" t="s">
        <v>2042</v>
      </c>
      <c r="CG19" s="1033">
        <f>Möblierungsschablone!$E$41</f>
        <v>2.5649999999999999</v>
      </c>
      <c r="CH19" s="1199" t="s">
        <v>2042</v>
      </c>
      <c r="CI19" s="1033">
        <f>Möblierungsschablone!$G$36</f>
        <v>3.5999999999999996</v>
      </c>
      <c r="CJ19" s="1199" t="s">
        <v>2042</v>
      </c>
      <c r="CK19" s="1033">
        <f>Möblierungsschablone!$I$36</f>
        <v>4.32</v>
      </c>
      <c r="CL19" s="1406"/>
      <c r="CM19" s="1033">
        <f>Möblierungsschablone!$K$36</f>
        <v>5.04</v>
      </c>
      <c r="CN19" s="1406"/>
      <c r="CO19" s="1033">
        <f>Möblierungsschablone!$M$36</f>
        <v>5.76</v>
      </c>
      <c r="CP19" s="1406"/>
      <c r="CQ19" s="1033">
        <f>Möblierungsschablone!$O$36</f>
        <v>6.48</v>
      </c>
      <c r="CS19" s="1435" t="s">
        <v>1366</v>
      </c>
      <c r="CT19" s="1199" t="s">
        <v>2042</v>
      </c>
      <c r="CU19" s="1033">
        <f>Möblierungsschablone!$C$41</f>
        <v>2.5649999999999999</v>
      </c>
      <c r="CV19" s="1199" t="s">
        <v>2042</v>
      </c>
      <c r="CW19" s="1033">
        <f>Möblierungsschablone!$E$41</f>
        <v>2.5649999999999999</v>
      </c>
      <c r="CX19" s="1199" t="s">
        <v>2042</v>
      </c>
      <c r="CY19" s="1033">
        <f>Möblierungsschablone!$G$36</f>
        <v>3.5999999999999996</v>
      </c>
      <c r="CZ19" s="1199" t="s">
        <v>2042</v>
      </c>
      <c r="DA19" s="1033">
        <f>Möblierungsschablone!$I$36</f>
        <v>4.32</v>
      </c>
      <c r="DB19" s="1406"/>
      <c r="DC19" s="1033">
        <f>Möblierungsschablone!$K$36</f>
        <v>5.04</v>
      </c>
      <c r="DD19" s="1406"/>
      <c r="DE19" s="1033">
        <f>Möblierungsschablone!$M$36</f>
        <v>5.76</v>
      </c>
      <c r="DF19" s="1406"/>
      <c r="DG19" s="1033">
        <f>Möblierungsschablone!$O$36</f>
        <v>6.48</v>
      </c>
      <c r="DI19" s="1435" t="s">
        <v>1366</v>
      </c>
      <c r="DJ19" s="1199" t="s">
        <v>2042</v>
      </c>
      <c r="DK19" s="1033">
        <f>Möblierungsschablone!$C$41</f>
        <v>2.5649999999999999</v>
      </c>
      <c r="DL19" s="1199" t="s">
        <v>2042</v>
      </c>
      <c r="DM19" s="1033">
        <f>Möblierungsschablone!$E$41</f>
        <v>2.5649999999999999</v>
      </c>
      <c r="DN19" s="1199" t="s">
        <v>2042</v>
      </c>
      <c r="DO19" s="1033">
        <f>Möblierungsschablone!$G$36</f>
        <v>3.5999999999999996</v>
      </c>
      <c r="DP19" s="1199" t="s">
        <v>2042</v>
      </c>
      <c r="DQ19" s="1033">
        <f>Möblierungsschablone!$I$36</f>
        <v>4.32</v>
      </c>
      <c r="DR19" s="1199" t="s">
        <v>2042</v>
      </c>
      <c r="DS19" s="1033">
        <f>Möblierungsschablone!$K$36</f>
        <v>5.04</v>
      </c>
      <c r="DT19" s="1406"/>
      <c r="DU19" s="1033">
        <f>Möblierungsschablone!$M$36</f>
        <v>5.76</v>
      </c>
      <c r="DV19" s="1406"/>
      <c r="DW19" s="1033">
        <f>Möblierungsschablone!$O$36</f>
        <v>6.48</v>
      </c>
      <c r="DY19" s="1435" t="s">
        <v>1366</v>
      </c>
      <c r="DZ19" s="1199" t="s">
        <v>2042</v>
      </c>
      <c r="EA19" s="1033">
        <f>Möblierungsschablone!$C$41</f>
        <v>2.5649999999999999</v>
      </c>
      <c r="EB19" s="1199" t="s">
        <v>2042</v>
      </c>
      <c r="EC19" s="1033">
        <f>Möblierungsschablone!$E$41</f>
        <v>2.5649999999999999</v>
      </c>
      <c r="ED19" s="1199" t="s">
        <v>2042</v>
      </c>
      <c r="EE19" s="1033">
        <f>Möblierungsschablone!$G$36</f>
        <v>3.5999999999999996</v>
      </c>
      <c r="EF19" s="1199" t="s">
        <v>2042</v>
      </c>
      <c r="EG19" s="1033">
        <f>Möblierungsschablone!$I$36</f>
        <v>4.32</v>
      </c>
      <c r="EH19" s="1199" t="s">
        <v>2042</v>
      </c>
      <c r="EI19" s="1033">
        <f>Möblierungsschablone!$K$36</f>
        <v>5.04</v>
      </c>
      <c r="EJ19" s="1406"/>
      <c r="EK19" s="1033">
        <f>Möblierungsschablone!$M$36</f>
        <v>5.76</v>
      </c>
      <c r="EL19" s="1406"/>
      <c r="EM19" s="1033">
        <f>Möblierungsschablone!$O$36</f>
        <v>6.48</v>
      </c>
    </row>
    <row r="20" spans="1:143" ht="15.75" customHeight="1">
      <c r="A20" s="1436"/>
      <c r="B20" s="1406"/>
      <c r="C20" s="1033"/>
      <c r="D20" s="1406"/>
      <c r="E20" s="1033"/>
      <c r="F20" s="1406"/>
      <c r="G20" s="1033"/>
      <c r="H20" s="1404"/>
      <c r="I20" s="1033"/>
      <c r="J20" s="1404"/>
      <c r="K20" s="1033"/>
      <c r="L20" s="1406"/>
      <c r="M20" s="1188"/>
      <c r="N20" s="1406"/>
      <c r="O20" s="1188"/>
      <c r="Q20" s="1436"/>
      <c r="R20" s="1406"/>
      <c r="S20" s="1033"/>
      <c r="T20" s="1406"/>
      <c r="U20" s="1033"/>
      <c r="V20" s="1415"/>
      <c r="W20" s="1033"/>
      <c r="X20" s="1406"/>
      <c r="Y20" s="1033"/>
      <c r="Z20" s="1406"/>
      <c r="AA20" s="1033"/>
      <c r="AB20" s="1406"/>
      <c r="AC20" s="1033"/>
      <c r="AD20" s="1406"/>
      <c r="AE20" s="1033"/>
      <c r="AG20" s="1436"/>
      <c r="AH20" s="1200" t="s">
        <v>1367</v>
      </c>
      <c r="AI20" s="1033">
        <f>Möblierungsschablone!$C$46</f>
        <v>2.7</v>
      </c>
      <c r="AJ20" s="1200" t="s">
        <v>1367</v>
      </c>
      <c r="AK20" s="1033">
        <f>Möblierungsschablone!$E$46</f>
        <v>3.5999999999999996</v>
      </c>
      <c r="AL20" s="1406"/>
      <c r="AM20" s="1033"/>
      <c r="AN20" s="1406"/>
      <c r="AO20" s="1033"/>
      <c r="AP20" s="1406"/>
      <c r="AQ20" s="1033"/>
      <c r="AR20" s="1406"/>
      <c r="AS20" s="1033"/>
      <c r="AT20" s="1406"/>
      <c r="AU20" s="1033"/>
      <c r="AW20" s="1404"/>
      <c r="AX20" s="1200" t="s">
        <v>1367</v>
      </c>
      <c r="AY20" s="1033">
        <f>Möblierungsschablone!$C$46</f>
        <v>2.7</v>
      </c>
      <c r="AZ20" s="1200" t="s">
        <v>1367</v>
      </c>
      <c r="BA20" s="1033">
        <f>Möblierungsschablone!$E$46</f>
        <v>3.5999999999999996</v>
      </c>
      <c r="BB20" s="1200" t="s">
        <v>1367</v>
      </c>
      <c r="BC20" s="1033">
        <f>Möblierungsschablone!$G$46</f>
        <v>4.32</v>
      </c>
      <c r="BD20" s="1406"/>
      <c r="BE20" s="1033"/>
      <c r="BF20" s="1406"/>
      <c r="BG20" s="1033"/>
      <c r="BH20" s="1406"/>
      <c r="BI20" s="1033"/>
      <c r="BJ20" s="1406"/>
      <c r="BK20" s="1033"/>
      <c r="BM20" s="1404"/>
      <c r="BN20" s="1200" t="s">
        <v>1367</v>
      </c>
      <c r="BO20" s="1033">
        <f>Möblierungsschablone!$C$46</f>
        <v>2.7</v>
      </c>
      <c r="BP20" s="1200" t="s">
        <v>1367</v>
      </c>
      <c r="BQ20" s="1033">
        <f>Möblierungsschablone!$E$46</f>
        <v>3.5999999999999996</v>
      </c>
      <c r="BR20" s="1200" t="s">
        <v>1367</v>
      </c>
      <c r="BS20" s="1033">
        <f>Möblierungsschablone!$G$46</f>
        <v>4.32</v>
      </c>
      <c r="BT20" s="1406"/>
      <c r="BU20" s="1033"/>
      <c r="BV20" s="1406"/>
      <c r="BW20" s="1033"/>
      <c r="BX20" s="1406"/>
      <c r="BY20" s="1033"/>
      <c r="BZ20" s="1406"/>
      <c r="CA20" s="1033"/>
      <c r="CC20" s="1436"/>
      <c r="CD20" s="1200" t="s">
        <v>1367</v>
      </c>
      <c r="CE20" s="1033">
        <f>Möblierungsschablone!$C$46</f>
        <v>2.7</v>
      </c>
      <c r="CF20" s="1200" t="s">
        <v>1367</v>
      </c>
      <c r="CG20" s="1033">
        <f>Möblierungsschablone!$E$46</f>
        <v>3.5999999999999996</v>
      </c>
      <c r="CH20" s="1200" t="s">
        <v>1367</v>
      </c>
      <c r="CI20" s="1033">
        <f>Möblierungsschablone!$G$46</f>
        <v>4.32</v>
      </c>
      <c r="CJ20" s="1200" t="s">
        <v>1367</v>
      </c>
      <c r="CK20" s="1033">
        <f>Möblierungsschablone!$I$46</f>
        <v>5.76</v>
      </c>
      <c r="CL20" s="1406"/>
      <c r="CM20" s="1033"/>
      <c r="CN20" s="1406"/>
      <c r="CO20" s="1033"/>
      <c r="CP20" s="1406"/>
      <c r="CQ20" s="1033"/>
      <c r="CS20" s="1436"/>
      <c r="CT20" s="1200" t="s">
        <v>1367</v>
      </c>
      <c r="CU20" s="1033">
        <f>Möblierungsschablone!$C$46</f>
        <v>2.7</v>
      </c>
      <c r="CV20" s="1200" t="s">
        <v>1367</v>
      </c>
      <c r="CW20" s="1033">
        <f>Möblierungsschablone!$E$46</f>
        <v>3.5999999999999996</v>
      </c>
      <c r="CX20" s="1200" t="s">
        <v>1367</v>
      </c>
      <c r="CY20" s="1033">
        <f>Möblierungsschablone!$G$46</f>
        <v>4.32</v>
      </c>
      <c r="CZ20" s="1200" t="s">
        <v>1367</v>
      </c>
      <c r="DA20" s="1033">
        <f>Möblierungsschablone!$I$46</f>
        <v>5.76</v>
      </c>
      <c r="DB20" s="1406"/>
      <c r="DC20" s="1033"/>
      <c r="DD20" s="1406"/>
      <c r="DE20" s="1033"/>
      <c r="DF20" s="1406"/>
      <c r="DG20" s="1033"/>
      <c r="DI20" s="1436"/>
      <c r="DJ20" s="1200" t="s">
        <v>1367</v>
      </c>
      <c r="DK20" s="1033">
        <f>Möblierungsschablone!$C$46</f>
        <v>2.7</v>
      </c>
      <c r="DL20" s="1200" t="s">
        <v>1367</v>
      </c>
      <c r="DM20" s="1033">
        <f>Möblierungsschablone!$E$46</f>
        <v>3.5999999999999996</v>
      </c>
      <c r="DN20" s="1200" t="s">
        <v>1367</v>
      </c>
      <c r="DO20" s="1033">
        <f>Möblierungsschablone!$G$46</f>
        <v>4.32</v>
      </c>
      <c r="DP20" s="1200" t="s">
        <v>1367</v>
      </c>
      <c r="DQ20" s="1033">
        <f>Möblierungsschablone!$I$46</f>
        <v>5.76</v>
      </c>
      <c r="DR20" s="1200" t="s">
        <v>1367</v>
      </c>
      <c r="DS20" s="1033">
        <f>Möblierungsschablone!$K$46</f>
        <v>7.1999999999999993</v>
      </c>
      <c r="DT20" s="1406"/>
      <c r="DU20" s="1033"/>
      <c r="DV20" s="1406"/>
      <c r="DW20" s="1033"/>
      <c r="DY20" s="1436"/>
      <c r="DZ20" s="1200" t="s">
        <v>1367</v>
      </c>
      <c r="EA20" s="1033">
        <f>Möblierungsschablone!$C$46</f>
        <v>2.7</v>
      </c>
      <c r="EB20" s="1200" t="s">
        <v>1367</v>
      </c>
      <c r="EC20" s="1033">
        <f>Möblierungsschablone!$E$46</f>
        <v>3.5999999999999996</v>
      </c>
      <c r="ED20" s="1200" t="s">
        <v>1367</v>
      </c>
      <c r="EE20" s="1033">
        <f>Möblierungsschablone!$G$46</f>
        <v>4.32</v>
      </c>
      <c r="EF20" s="1200" t="s">
        <v>1367</v>
      </c>
      <c r="EG20" s="1033">
        <f>Möblierungsschablone!$I$46</f>
        <v>5.76</v>
      </c>
      <c r="EH20" s="1200" t="s">
        <v>1367</v>
      </c>
      <c r="EI20" s="1033">
        <f>Möblierungsschablone!$K$46</f>
        <v>7.1999999999999993</v>
      </c>
      <c r="EJ20" s="1406"/>
      <c r="EK20" s="1033"/>
      <c r="EL20" s="1406"/>
      <c r="EM20" s="1033"/>
    </row>
    <row r="21" spans="1:143" ht="15.75" customHeight="1">
      <c r="A21" s="1436"/>
      <c r="B21" s="1406"/>
      <c r="C21" s="1034">
        <f>SUM(C19:C20)</f>
        <v>2.5649999999999999</v>
      </c>
      <c r="D21" s="1406"/>
      <c r="E21" s="1034">
        <f>SUM(E19:E20)</f>
        <v>2.5649999999999999</v>
      </c>
      <c r="F21" s="1406"/>
      <c r="G21" s="1034">
        <f>SUM(G19:G20)</f>
        <v>3.5999999999999996</v>
      </c>
      <c r="H21" s="1404"/>
      <c r="I21" s="1034">
        <f>SUM(I19:I20)</f>
        <v>4.32</v>
      </c>
      <c r="J21" s="1404"/>
      <c r="K21" s="1034">
        <f>SUM(K19:K20)</f>
        <v>5.04</v>
      </c>
      <c r="L21" s="1406"/>
      <c r="M21" s="1188"/>
      <c r="N21" s="1406"/>
      <c r="O21" s="1188"/>
      <c r="Q21" s="1436"/>
      <c r="R21" s="1406"/>
      <c r="S21" s="1034">
        <f>SUM(S19:S20)</f>
        <v>2.5649999999999999</v>
      </c>
      <c r="T21" s="1406"/>
      <c r="U21" s="1034">
        <f>SUM(U19:U20)</f>
        <v>2.5649999999999999</v>
      </c>
      <c r="V21" s="1415"/>
      <c r="W21" s="1034">
        <f>SUM(W19:W20)</f>
        <v>3.5999999999999996</v>
      </c>
      <c r="X21" s="1406"/>
      <c r="Y21" s="1034">
        <f>SUM(Y19:Y20)</f>
        <v>4.32</v>
      </c>
      <c r="Z21" s="1406"/>
      <c r="AA21" s="1034">
        <f>SUM(AA19:AA20)</f>
        <v>5.04</v>
      </c>
      <c r="AB21" s="1406"/>
      <c r="AC21" s="1034">
        <f>SUM(AC19:AC20)</f>
        <v>5.76</v>
      </c>
      <c r="AD21" s="1406"/>
      <c r="AE21" s="1034">
        <f>SUM(AE19:AE20)</f>
        <v>6.48</v>
      </c>
      <c r="AG21" s="1436"/>
      <c r="AH21" s="1200"/>
      <c r="AI21" s="1036"/>
      <c r="AJ21" s="1200"/>
      <c r="AK21" s="1036"/>
      <c r="AL21" s="1406"/>
      <c r="AM21" s="1034">
        <f>SUM(AM19:AM20)</f>
        <v>3.5999999999999996</v>
      </c>
      <c r="AN21" s="1406"/>
      <c r="AO21" s="1034">
        <f>SUM(AO19:AO20)</f>
        <v>4.32</v>
      </c>
      <c r="AP21" s="1406"/>
      <c r="AQ21" s="1034">
        <f>SUM(AQ19:AQ20)</f>
        <v>5.04</v>
      </c>
      <c r="AR21" s="1406"/>
      <c r="AS21" s="1034">
        <f>SUM(AS19:AS20)</f>
        <v>5.76</v>
      </c>
      <c r="AT21" s="1406"/>
      <c r="AU21" s="1034">
        <f>SUM(AU19:AU20)</f>
        <v>6.48</v>
      </c>
      <c r="AW21" s="1404"/>
      <c r="AX21" s="1200"/>
      <c r="AY21" s="1036"/>
      <c r="AZ21" s="1200"/>
      <c r="BA21" s="1036"/>
      <c r="BB21" s="1200"/>
      <c r="BC21" s="1036"/>
      <c r="BD21" s="1406"/>
      <c r="BE21" s="1034">
        <f>SUM(BE19:BE20)</f>
        <v>4.32</v>
      </c>
      <c r="BF21" s="1406"/>
      <c r="BG21" s="1034">
        <f>SUM(BG19:BG20)</f>
        <v>5.04</v>
      </c>
      <c r="BH21" s="1406"/>
      <c r="BI21" s="1034">
        <f>SUM(BI19:BI20)</f>
        <v>5.76</v>
      </c>
      <c r="BJ21" s="1406"/>
      <c r="BK21" s="1034">
        <f>SUM(BK19:BK20)</f>
        <v>6.48</v>
      </c>
      <c r="BM21" s="1404"/>
      <c r="BN21" s="1200"/>
      <c r="BO21" s="1034"/>
      <c r="BP21" s="1200"/>
      <c r="BQ21" s="1034"/>
      <c r="BR21" s="1200"/>
      <c r="BS21" s="1034"/>
      <c r="BT21" s="1406"/>
      <c r="BU21" s="1034">
        <f>SUM(BU19:BU20)</f>
        <v>4.32</v>
      </c>
      <c r="BV21" s="1406"/>
      <c r="BW21" s="1034">
        <f>SUM(BW19:BW20)</f>
        <v>5.04</v>
      </c>
      <c r="BX21" s="1406"/>
      <c r="BY21" s="1034">
        <f>SUM(BY19:BY20)</f>
        <v>5.76</v>
      </c>
      <c r="BZ21" s="1406"/>
      <c r="CA21" s="1034">
        <f>SUM(CA19:CA20)</f>
        <v>6.48</v>
      </c>
      <c r="CC21" s="1436"/>
      <c r="CD21" s="1200"/>
      <c r="CE21" s="1034"/>
      <c r="CF21" s="1200"/>
      <c r="CG21" s="1034"/>
      <c r="CH21" s="1200"/>
      <c r="CI21" s="1034"/>
      <c r="CJ21" s="1200"/>
      <c r="CK21" s="1034"/>
      <c r="CL21" s="1406"/>
      <c r="CM21" s="1034">
        <f>SUM(CM19:CM20)</f>
        <v>5.04</v>
      </c>
      <c r="CN21" s="1406"/>
      <c r="CO21" s="1034">
        <f>SUM(CO19:CO20)</f>
        <v>5.76</v>
      </c>
      <c r="CP21" s="1406"/>
      <c r="CQ21" s="1034">
        <f>SUM(CQ19:CQ20)</f>
        <v>6.48</v>
      </c>
      <c r="CS21" s="1436"/>
      <c r="CT21" s="1200"/>
      <c r="CU21" s="1034"/>
      <c r="CV21" s="1200"/>
      <c r="CW21" s="1034"/>
      <c r="CX21" s="1200"/>
      <c r="CY21" s="1034"/>
      <c r="CZ21" s="1200"/>
      <c r="DA21" s="1034"/>
      <c r="DB21" s="1406"/>
      <c r="DC21" s="1034">
        <f>SUM(DC19:DC20)</f>
        <v>5.04</v>
      </c>
      <c r="DD21" s="1406"/>
      <c r="DE21" s="1034">
        <f>SUM(DE19:DE20)</f>
        <v>5.76</v>
      </c>
      <c r="DF21" s="1406"/>
      <c r="DG21" s="1034">
        <f>SUM(DG19:DG20)</f>
        <v>6.48</v>
      </c>
      <c r="DI21" s="1436"/>
      <c r="DJ21" s="1200" t="s">
        <v>2041</v>
      </c>
      <c r="DK21" s="1033">
        <f>Möblierungsschablone!$C$56</f>
        <v>5.76</v>
      </c>
      <c r="DL21" s="1200" t="s">
        <v>2041</v>
      </c>
      <c r="DM21" s="1033">
        <f>Möblierungsschablone!$E$56</f>
        <v>5.76</v>
      </c>
      <c r="DN21" s="1200"/>
      <c r="DO21" s="1034"/>
      <c r="DP21" s="1200"/>
      <c r="DQ21" s="1034"/>
      <c r="DR21" s="1200"/>
      <c r="DS21" s="1036"/>
      <c r="DT21" s="1406"/>
      <c r="DU21" s="1034">
        <f>SUM(DU19:DU20)</f>
        <v>5.76</v>
      </c>
      <c r="DV21" s="1406"/>
      <c r="DW21" s="1034">
        <f>SUM(DW19:DW20)</f>
        <v>6.48</v>
      </c>
      <c r="DY21" s="1436"/>
      <c r="DZ21" s="1200" t="s">
        <v>2041</v>
      </c>
      <c r="EA21" s="1033">
        <f>Möblierungsschablone!$C$56</f>
        <v>5.76</v>
      </c>
      <c r="EB21" s="1200" t="s">
        <v>2041</v>
      </c>
      <c r="EC21" s="1033">
        <f>Möblierungsschablone!$E$56</f>
        <v>5.76</v>
      </c>
      <c r="ED21" s="1200"/>
      <c r="EE21" s="1034"/>
      <c r="EF21" s="1200"/>
      <c r="EG21" s="1034"/>
      <c r="EH21" s="1200"/>
      <c r="EI21" s="1036"/>
      <c r="EJ21" s="1406"/>
      <c r="EK21" s="1034">
        <f>SUM(EK19:EK20)</f>
        <v>5.76</v>
      </c>
      <c r="EL21" s="1406"/>
      <c r="EM21" s="1034">
        <f>SUM(EM19:EM20)</f>
        <v>6.48</v>
      </c>
    </row>
    <row r="22" spans="1:143" ht="15.75" customHeight="1">
      <c r="A22" s="1436"/>
      <c r="B22" s="1406"/>
      <c r="C22" s="1032">
        <v>1</v>
      </c>
      <c r="D22" s="1406"/>
      <c r="E22" s="1032">
        <v>1</v>
      </c>
      <c r="F22" s="1406"/>
      <c r="G22" s="1032">
        <v>1</v>
      </c>
      <c r="H22" s="1404"/>
      <c r="I22" s="1032">
        <v>1</v>
      </c>
      <c r="J22" s="1404"/>
      <c r="K22" s="1032">
        <v>1</v>
      </c>
      <c r="L22" s="1406"/>
      <c r="M22" s="1188"/>
      <c r="N22" s="1406"/>
      <c r="O22" s="1188"/>
      <c r="Q22" s="1436"/>
      <c r="R22" s="1406"/>
      <c r="S22" s="1032">
        <v>1</v>
      </c>
      <c r="T22" s="1406"/>
      <c r="U22" s="1032">
        <v>1</v>
      </c>
      <c r="V22" s="1415"/>
      <c r="W22" s="1032">
        <v>1</v>
      </c>
      <c r="X22" s="1406"/>
      <c r="Y22" s="1032">
        <v>1</v>
      </c>
      <c r="Z22" s="1406"/>
      <c r="AA22" s="1032">
        <v>1</v>
      </c>
      <c r="AB22" s="1406"/>
      <c r="AC22" s="1032">
        <v>1</v>
      </c>
      <c r="AD22" s="1406"/>
      <c r="AE22" s="1032">
        <v>1</v>
      </c>
      <c r="AG22" s="1436"/>
      <c r="AH22" s="1201" t="s">
        <v>2036</v>
      </c>
      <c r="AI22" s="1034">
        <f>SUM(AI20:AI21)</f>
        <v>2.7</v>
      </c>
      <c r="AJ22" s="1201" t="s">
        <v>2036</v>
      </c>
      <c r="AK22" s="1034">
        <f>SUM(AK20:AK21)</f>
        <v>3.5999999999999996</v>
      </c>
      <c r="AL22" s="1406"/>
      <c r="AM22" s="1032">
        <v>1</v>
      </c>
      <c r="AN22" s="1406"/>
      <c r="AO22" s="1032">
        <v>1</v>
      </c>
      <c r="AP22" s="1406"/>
      <c r="AQ22" s="1032">
        <v>1</v>
      </c>
      <c r="AR22" s="1406"/>
      <c r="AS22" s="1032">
        <v>1</v>
      </c>
      <c r="AT22" s="1406"/>
      <c r="AU22" s="1032">
        <v>1</v>
      </c>
      <c r="AW22" s="1404"/>
      <c r="AX22" s="1201" t="s">
        <v>2036</v>
      </c>
      <c r="AY22" s="1034">
        <f>SUM(AY20:AY21)</f>
        <v>2.7</v>
      </c>
      <c r="AZ22" s="1201" t="s">
        <v>2036</v>
      </c>
      <c r="BA22" s="1034">
        <f>SUM(BA20:BA21)</f>
        <v>3.5999999999999996</v>
      </c>
      <c r="BB22" s="1201" t="s">
        <v>2036</v>
      </c>
      <c r="BC22" s="1034">
        <f>SUM(BC20:BC21)</f>
        <v>4.32</v>
      </c>
      <c r="BD22" s="1406"/>
      <c r="BE22" s="1032">
        <v>1</v>
      </c>
      <c r="BF22" s="1406"/>
      <c r="BG22" s="1032">
        <v>1</v>
      </c>
      <c r="BH22" s="1406"/>
      <c r="BI22" s="1032">
        <v>1</v>
      </c>
      <c r="BJ22" s="1406"/>
      <c r="BK22" s="1032">
        <v>1</v>
      </c>
      <c r="BM22" s="1404"/>
      <c r="BN22" s="1201" t="s">
        <v>2036</v>
      </c>
      <c r="BO22" s="1034">
        <f>SUM(BO19:BO21)</f>
        <v>5.2650000000000006</v>
      </c>
      <c r="BP22" s="1201" t="s">
        <v>2036</v>
      </c>
      <c r="BQ22" s="1034">
        <f>SUM(BQ19:BQ21)</f>
        <v>6.1649999999999991</v>
      </c>
      <c r="BR22" s="1201" t="s">
        <v>2036</v>
      </c>
      <c r="BS22" s="1034">
        <f>SUM(BS19:BS21)</f>
        <v>7.92</v>
      </c>
      <c r="BT22" s="1406"/>
      <c r="BU22" s="1032">
        <v>1</v>
      </c>
      <c r="BV22" s="1406"/>
      <c r="BW22" s="1032">
        <v>1</v>
      </c>
      <c r="BX22" s="1406"/>
      <c r="BY22" s="1032">
        <v>1</v>
      </c>
      <c r="BZ22" s="1406"/>
      <c r="CA22" s="1032">
        <v>1</v>
      </c>
      <c r="CC22" s="1436"/>
      <c r="CD22" s="1201" t="s">
        <v>2036</v>
      </c>
      <c r="CE22" s="1034">
        <f>SUM(CE19:CE21)</f>
        <v>5.2650000000000006</v>
      </c>
      <c r="CF22" s="1201" t="s">
        <v>2036</v>
      </c>
      <c r="CG22" s="1034">
        <f>SUM(CG19:CG21)</f>
        <v>6.1649999999999991</v>
      </c>
      <c r="CH22" s="1201" t="s">
        <v>2036</v>
      </c>
      <c r="CI22" s="1034">
        <f>SUM(CI19:CI21)</f>
        <v>7.92</v>
      </c>
      <c r="CJ22" s="1201" t="s">
        <v>2036</v>
      </c>
      <c r="CK22" s="1034">
        <f>SUM(CK19:CK21)</f>
        <v>10.08</v>
      </c>
      <c r="CL22" s="1406"/>
      <c r="CM22" s="1032">
        <v>1</v>
      </c>
      <c r="CN22" s="1406"/>
      <c r="CO22" s="1032">
        <v>1</v>
      </c>
      <c r="CP22" s="1406"/>
      <c r="CQ22" s="1032">
        <v>1</v>
      </c>
      <c r="CS22" s="1436"/>
      <c r="CT22" s="1201" t="s">
        <v>2036</v>
      </c>
      <c r="CU22" s="1034">
        <f>SUM(CU19:CU21)</f>
        <v>5.2650000000000006</v>
      </c>
      <c r="CV22" s="1201" t="s">
        <v>2036</v>
      </c>
      <c r="CW22" s="1034">
        <f>SUM(CW19:CW21)</f>
        <v>6.1649999999999991</v>
      </c>
      <c r="CX22" s="1201" t="s">
        <v>2036</v>
      </c>
      <c r="CY22" s="1034">
        <f>SUM(CY19:CY21)</f>
        <v>7.92</v>
      </c>
      <c r="CZ22" s="1201" t="s">
        <v>2036</v>
      </c>
      <c r="DA22" s="1034">
        <f>SUM(DA19:DA21)</f>
        <v>10.08</v>
      </c>
      <c r="DB22" s="1406"/>
      <c r="DC22" s="1032">
        <v>1</v>
      </c>
      <c r="DD22" s="1406"/>
      <c r="DE22" s="1032">
        <v>1</v>
      </c>
      <c r="DF22" s="1406"/>
      <c r="DG22" s="1032">
        <v>1</v>
      </c>
      <c r="DI22" s="1436"/>
      <c r="DJ22" s="1201" t="s">
        <v>2036</v>
      </c>
      <c r="DK22" s="1034">
        <f>SUM(DK19:DK21)</f>
        <v>11.025</v>
      </c>
      <c r="DL22" s="1201" t="s">
        <v>2036</v>
      </c>
      <c r="DM22" s="1034">
        <f>SUM(DM19:DM21)</f>
        <v>11.924999999999999</v>
      </c>
      <c r="DN22" s="1201" t="s">
        <v>2036</v>
      </c>
      <c r="DO22" s="1034">
        <f>SUM(DO19:DO21)</f>
        <v>7.92</v>
      </c>
      <c r="DP22" s="1201" t="s">
        <v>2036</v>
      </c>
      <c r="DQ22" s="1034">
        <f>SUM(DQ19:DQ21)</f>
        <v>10.08</v>
      </c>
      <c r="DR22" s="1201" t="s">
        <v>2036</v>
      </c>
      <c r="DS22" s="1034">
        <f>SUM(DS19:DS21)</f>
        <v>12.239999999999998</v>
      </c>
      <c r="DT22" s="1406"/>
      <c r="DU22" s="1032">
        <v>1</v>
      </c>
      <c r="DV22" s="1406"/>
      <c r="DW22" s="1032">
        <v>1</v>
      </c>
      <c r="DY22" s="1436"/>
      <c r="DZ22" s="1201" t="s">
        <v>2036</v>
      </c>
      <c r="EA22" s="1034">
        <f>SUM(EA19:EA21)</f>
        <v>11.025</v>
      </c>
      <c r="EB22" s="1201" t="s">
        <v>2036</v>
      </c>
      <c r="EC22" s="1034">
        <f>SUM(EC19:EC21)</f>
        <v>11.924999999999999</v>
      </c>
      <c r="ED22" s="1201" t="s">
        <v>2036</v>
      </c>
      <c r="EE22" s="1034">
        <f>SUM(EE19:EE21)</f>
        <v>7.92</v>
      </c>
      <c r="EF22" s="1201" t="s">
        <v>2036</v>
      </c>
      <c r="EG22" s="1034">
        <f>SUM(EG19:EG21)</f>
        <v>10.08</v>
      </c>
      <c r="EH22" s="1201" t="s">
        <v>2036</v>
      </c>
      <c r="EI22" s="1034">
        <f>SUM(EI19:EI21)</f>
        <v>12.239999999999998</v>
      </c>
      <c r="EJ22" s="1406"/>
      <c r="EK22" s="1032">
        <v>1</v>
      </c>
      <c r="EL22" s="1406"/>
      <c r="EM22" s="1032">
        <v>1</v>
      </c>
    </row>
    <row r="23" spans="1:143" ht="15.75" customHeight="1">
      <c r="A23" s="1436"/>
      <c r="B23" s="1406"/>
      <c r="C23" s="1030">
        <f>C21/(C22*C6)</f>
        <v>0.4273219491878385</v>
      </c>
      <c r="D23" s="1406"/>
      <c r="E23" s="1030">
        <f>E21/(E22*C6)</f>
        <v>0.4273219491878385</v>
      </c>
      <c r="F23" s="1406"/>
      <c r="G23" s="1030">
        <f>G21/(G22*C6)</f>
        <v>0.599750104123282</v>
      </c>
      <c r="H23" s="1404"/>
      <c r="I23" s="1030">
        <f>I21/(I22*C6)</f>
        <v>0.71970012494793856</v>
      </c>
      <c r="J23" s="1404"/>
      <c r="K23" s="1030">
        <f>K21/(K22*C6)</f>
        <v>0.839650145772595</v>
      </c>
      <c r="L23" s="1406"/>
      <c r="M23" s="1031" t="s">
        <v>1181</v>
      </c>
      <c r="N23" s="1406"/>
      <c r="O23" s="1031" t="s">
        <v>1181</v>
      </c>
      <c r="Q23" s="1436"/>
      <c r="R23" s="1406"/>
      <c r="S23" s="1030">
        <f>S21/(S22*S6)</f>
        <v>0.3950712360415865</v>
      </c>
      <c r="T23" s="1406"/>
      <c r="U23" s="1030">
        <f>U21/(U22*S6)</f>
        <v>0.3950712360415865</v>
      </c>
      <c r="V23" s="1416"/>
      <c r="W23" s="1030">
        <f>W21/(W22*S6)</f>
        <v>0.55448594532152484</v>
      </c>
      <c r="X23" s="1406"/>
      <c r="Y23" s="1030">
        <f>Y21/(Y22*S6)</f>
        <v>0.66538313438582997</v>
      </c>
      <c r="Z23" s="1406"/>
      <c r="AA23" s="1030">
        <f>AA21/(AA22*S6)</f>
        <v>0.77628032345013487</v>
      </c>
      <c r="AB23" s="1406"/>
      <c r="AC23" s="1030">
        <f>AC21/(AC22*S6)</f>
        <v>0.88717751251443988</v>
      </c>
      <c r="AD23" s="1406"/>
      <c r="AE23" s="1030">
        <f>AE21/(AE22*S6)</f>
        <v>0.998074701578745</v>
      </c>
      <c r="AG23" s="1436"/>
      <c r="AH23" s="1200" t="s">
        <v>1247</v>
      </c>
      <c r="AI23" s="1032">
        <v>1</v>
      </c>
      <c r="AJ23" s="1200" t="s">
        <v>1247</v>
      </c>
      <c r="AK23" s="1032">
        <v>1</v>
      </c>
      <c r="AL23" s="1406"/>
      <c r="AM23" s="1030">
        <f>AM21/(AM22*AI6)</f>
        <v>0.52478134110787178</v>
      </c>
      <c r="AN23" s="1406"/>
      <c r="AO23" s="1030">
        <f>AO21/(AO22*AI6)</f>
        <v>0.62973760932944622</v>
      </c>
      <c r="AP23" s="1406"/>
      <c r="AQ23" s="1030">
        <f>AQ21/(AQ22*AI6)</f>
        <v>0.73469387755102056</v>
      </c>
      <c r="AR23" s="1406"/>
      <c r="AS23" s="1030">
        <f>AS21/(AS22*AI6)</f>
        <v>0.83965014577259489</v>
      </c>
      <c r="AT23" s="1406"/>
      <c r="AU23" s="1030">
        <f>AU21/(AU22*AI6)</f>
        <v>0.94460641399416934</v>
      </c>
      <c r="AW23" s="1404"/>
      <c r="AX23" s="1200" t="s">
        <v>1247</v>
      </c>
      <c r="AY23" s="1032">
        <v>1</v>
      </c>
      <c r="AZ23" s="1200" t="s">
        <v>1247</v>
      </c>
      <c r="BA23" s="1032">
        <v>1</v>
      </c>
      <c r="BB23" s="1200" t="s">
        <v>1247</v>
      </c>
      <c r="BC23" s="1032">
        <v>1</v>
      </c>
      <c r="BD23" s="1406"/>
      <c r="BE23" s="1030">
        <f>BE21/(BE22*AY6)</f>
        <v>0.53432282003710585</v>
      </c>
      <c r="BF23" s="1406"/>
      <c r="BG23" s="1030">
        <f>BG21/(BG22*AY6)</f>
        <v>0.62337662337662347</v>
      </c>
      <c r="BH23" s="1406"/>
      <c r="BI23" s="1030">
        <f>BI21/(BI22*AY6)</f>
        <v>0.7124304267161411</v>
      </c>
      <c r="BJ23" s="1406"/>
      <c r="BK23" s="1030">
        <f>BK21/(BK22*AY6)</f>
        <v>0.80148423005565872</v>
      </c>
      <c r="BM23" s="1404"/>
      <c r="BN23" s="1200" t="s">
        <v>1247</v>
      </c>
      <c r="BO23" s="1032">
        <v>1</v>
      </c>
      <c r="BP23" s="1200" t="s">
        <v>1247</v>
      </c>
      <c r="BQ23" s="1032">
        <v>1</v>
      </c>
      <c r="BR23" s="1200" t="s">
        <v>1247</v>
      </c>
      <c r="BS23" s="1032">
        <v>1</v>
      </c>
      <c r="BT23" s="1406"/>
      <c r="BU23" s="1030">
        <f>BU21/(BU22*BO6)</f>
        <v>0.46401718582169721</v>
      </c>
      <c r="BV23" s="1406"/>
      <c r="BW23" s="1030">
        <f>BW21/(BW22*BO6)</f>
        <v>0.5413533834586467</v>
      </c>
      <c r="BX23" s="1406"/>
      <c r="BY23" s="1030">
        <f>BY21/(BY22*BO6)</f>
        <v>0.61868958109559624</v>
      </c>
      <c r="BZ23" s="1406"/>
      <c r="CA23" s="1030">
        <f>CA21/(CA22*BO6)</f>
        <v>0.69602577873254579</v>
      </c>
      <c r="CC23" s="1436"/>
      <c r="CD23" s="1200" t="s">
        <v>1247</v>
      </c>
      <c r="CE23" s="1032">
        <v>1</v>
      </c>
      <c r="CF23" s="1200" t="s">
        <v>1247</v>
      </c>
      <c r="CG23" s="1032">
        <v>1</v>
      </c>
      <c r="CH23" s="1200" t="s">
        <v>1247</v>
      </c>
      <c r="CI23" s="1032">
        <v>1</v>
      </c>
      <c r="CJ23" s="1200" t="s">
        <v>1247</v>
      </c>
      <c r="CK23" s="1032">
        <v>1</v>
      </c>
      <c r="CL23" s="1406"/>
      <c r="CM23" s="1030">
        <f>CM21/(CM22*CE6)</f>
        <v>0.47840531561461802</v>
      </c>
      <c r="CN23" s="1406"/>
      <c r="CO23" s="1030">
        <f>CO21/(CO22*CE6)</f>
        <v>0.54674893213099196</v>
      </c>
      <c r="CP23" s="1406"/>
      <c r="CQ23" s="1030">
        <f>CQ21/(CQ22*CE6)</f>
        <v>0.61509254864736607</v>
      </c>
      <c r="CS23" s="1436"/>
      <c r="CT23" s="1200" t="s">
        <v>1247</v>
      </c>
      <c r="CU23" s="1032">
        <v>1</v>
      </c>
      <c r="CV23" s="1200" t="s">
        <v>1247</v>
      </c>
      <c r="CW23" s="1032">
        <v>1</v>
      </c>
      <c r="CX23" s="1200" t="s">
        <v>1247</v>
      </c>
      <c r="CY23" s="1032">
        <v>1</v>
      </c>
      <c r="CZ23" s="1200" t="s">
        <v>1247</v>
      </c>
      <c r="DA23" s="1032">
        <v>1</v>
      </c>
      <c r="DB23" s="1406"/>
      <c r="DC23" s="1030">
        <f>DC21/(DC22*CU6)</f>
        <v>0.42857142857142866</v>
      </c>
      <c r="DD23" s="1406"/>
      <c r="DE23" s="1030">
        <f>DE21/(DE22*CU6)</f>
        <v>0.48979591836734698</v>
      </c>
      <c r="DF23" s="1406"/>
      <c r="DG23" s="1030">
        <f>DG21/(DG22*CU6)</f>
        <v>0.55102040816326547</v>
      </c>
      <c r="DI23" s="1436"/>
      <c r="DJ23" s="1200" t="s">
        <v>1247</v>
      </c>
      <c r="DK23" s="1032">
        <v>1</v>
      </c>
      <c r="DL23" s="1200" t="s">
        <v>1247</v>
      </c>
      <c r="DM23" s="1032">
        <v>1</v>
      </c>
      <c r="DN23" s="1200" t="s">
        <v>1247</v>
      </c>
      <c r="DO23" s="1032">
        <v>1</v>
      </c>
      <c r="DP23" s="1200" t="s">
        <v>1247</v>
      </c>
      <c r="DQ23" s="1032">
        <v>1</v>
      </c>
      <c r="DR23" s="1200" t="s">
        <v>1247</v>
      </c>
      <c r="DS23" s="1032">
        <v>1</v>
      </c>
      <c r="DT23" s="1406"/>
      <c r="DU23" s="1059">
        <f>DU21/(DU22*DK6)</f>
        <v>0.46098439375750305</v>
      </c>
      <c r="DV23" s="1406"/>
      <c r="DW23" s="1059">
        <f>DW21/(DW22*DK6)</f>
        <v>0.51860744297719097</v>
      </c>
      <c r="DY23" s="1436"/>
      <c r="DZ23" s="1200" t="s">
        <v>1247</v>
      </c>
      <c r="EA23" s="1032">
        <v>1</v>
      </c>
      <c r="EB23" s="1200" t="s">
        <v>1247</v>
      </c>
      <c r="EC23" s="1032">
        <v>1</v>
      </c>
      <c r="ED23" s="1200" t="s">
        <v>1247</v>
      </c>
      <c r="EE23" s="1032">
        <v>1</v>
      </c>
      <c r="EF23" s="1200" t="s">
        <v>1247</v>
      </c>
      <c r="EG23" s="1032">
        <v>1</v>
      </c>
      <c r="EH23" s="1200" t="s">
        <v>1247</v>
      </c>
      <c r="EI23" s="1032">
        <v>1</v>
      </c>
      <c r="EJ23" s="1406"/>
      <c r="EK23" s="1059">
        <f>EK21/(EK22*EA6)</f>
        <v>0.42745825602968468</v>
      </c>
      <c r="EL23" s="1406"/>
      <c r="EM23" s="1059">
        <f>EM21/(EM22*EA6)</f>
        <v>0.48089053803339527</v>
      </c>
    </row>
    <row r="24" spans="1:143" ht="15.75" customHeight="1">
      <c r="A24" s="1435" t="s">
        <v>1367</v>
      </c>
      <c r="B24" s="1406"/>
      <c r="C24" s="1033">
        <f>Möblierungsschablone!$C$46</f>
        <v>2.7</v>
      </c>
      <c r="D24" s="1406"/>
      <c r="E24" s="1033">
        <f>Möblierungsschablone!$E$46</f>
        <v>3.5999999999999996</v>
      </c>
      <c r="F24" s="1406"/>
      <c r="G24" s="1033">
        <f>Möblierungsschablone!$G$51</f>
        <v>4.41</v>
      </c>
      <c r="H24" s="1406"/>
      <c r="I24" s="1033">
        <f>Möblierungsschablone!$I$46</f>
        <v>5.76</v>
      </c>
      <c r="J24" s="1406"/>
      <c r="K24" s="1033">
        <f>Möblierungsschablone!$K$46</f>
        <v>7.1999999999999993</v>
      </c>
      <c r="L24" s="1406"/>
      <c r="M24" s="1188"/>
      <c r="N24" s="1406"/>
      <c r="O24" s="1188"/>
      <c r="Q24" s="1435" t="s">
        <v>1367</v>
      </c>
      <c r="R24" s="1406"/>
      <c r="S24" s="1033">
        <f>Möblierungsschablone!$C$46</f>
        <v>2.7</v>
      </c>
      <c r="T24" s="1406"/>
      <c r="U24" s="1033">
        <f>Möblierungsschablone!$E$46</f>
        <v>3.5999999999999996</v>
      </c>
      <c r="V24" s="1406"/>
      <c r="W24" s="1033">
        <f>Möblierungsschablone!$G$46</f>
        <v>4.32</v>
      </c>
      <c r="X24" s="1406"/>
      <c r="Y24" s="1033">
        <f>Möblierungsschablone!$I$46</f>
        <v>5.76</v>
      </c>
      <c r="Z24" s="1406"/>
      <c r="AA24" s="1033">
        <f>Möblierungsschablone!$K$46</f>
        <v>7.1999999999999993</v>
      </c>
      <c r="AB24" s="1406"/>
      <c r="AC24" s="1033">
        <f>Möblierungsschablone!$M$51</f>
        <v>8.82</v>
      </c>
      <c r="AD24" s="1406"/>
      <c r="AE24" s="1033">
        <f>Möblierungsschablone!$O$51</f>
        <v>8.82</v>
      </c>
      <c r="AG24" s="1435" t="s">
        <v>1367</v>
      </c>
      <c r="AH24" s="1433"/>
      <c r="AI24" s="1426">
        <f>AI22/(AI23*AI6)</f>
        <v>0.39358600583090392</v>
      </c>
      <c r="AJ24" s="1433"/>
      <c r="AK24" s="1426">
        <f>AK22/(AK23*AI6)</f>
        <v>0.52478134110787178</v>
      </c>
      <c r="AL24" s="1406"/>
      <c r="AM24" s="1033">
        <f>Möblierungsschablone!$G$46</f>
        <v>4.32</v>
      </c>
      <c r="AN24" s="1406"/>
      <c r="AO24" s="1033">
        <f>Möblierungsschablone!$I$46</f>
        <v>5.76</v>
      </c>
      <c r="AP24" s="1406"/>
      <c r="AQ24" s="1033">
        <f>Möblierungsschablone!$K$46</f>
        <v>7.1999999999999993</v>
      </c>
      <c r="AR24" s="1406"/>
      <c r="AS24" s="1033">
        <f>Möblierungsschablone!$M$51</f>
        <v>8.82</v>
      </c>
      <c r="AT24" s="1406"/>
      <c r="AU24" s="1033">
        <f>Möblierungsschablone!$O$51</f>
        <v>8.82</v>
      </c>
      <c r="AW24" s="1403" t="s">
        <v>1367</v>
      </c>
      <c r="AX24" s="1433"/>
      <c r="AY24" s="1426">
        <f>AY22/(AY23*AY6)</f>
        <v>0.33395176252319114</v>
      </c>
      <c r="AZ24" s="1433"/>
      <c r="BA24" s="1426">
        <f>BA22/(BA23*AY6)</f>
        <v>0.44526901669758812</v>
      </c>
      <c r="BB24" s="1433"/>
      <c r="BC24" s="1426">
        <f>BC22/(BC23*AY6)</f>
        <v>0.53432282003710585</v>
      </c>
      <c r="BD24" s="1406"/>
      <c r="BE24" s="1033">
        <f>Möblierungsschablone!$I$46</f>
        <v>5.76</v>
      </c>
      <c r="BF24" s="1406"/>
      <c r="BG24" s="1033">
        <f>Möblierungsschablone!$K$46</f>
        <v>7.1999999999999993</v>
      </c>
      <c r="BH24" s="1406"/>
      <c r="BI24" s="1033">
        <f>Möblierungsschablone!$M$51</f>
        <v>8.82</v>
      </c>
      <c r="BJ24" s="1406"/>
      <c r="BK24" s="1033">
        <f>Möblierungsschablone!$O$51</f>
        <v>8.82</v>
      </c>
      <c r="BM24" s="1403" t="s">
        <v>1367</v>
      </c>
      <c r="BN24" s="1433"/>
      <c r="BO24" s="1426">
        <f>BO22/(BO23*BO6)</f>
        <v>0.56552094522019347</v>
      </c>
      <c r="BP24" s="1433"/>
      <c r="BQ24" s="1426">
        <f>BQ22/(BQ23*BO6)</f>
        <v>0.66219119226638024</v>
      </c>
      <c r="BR24" s="1433"/>
      <c r="BS24" s="1426">
        <f>BS22/(BS23*BO6)</f>
        <v>0.85069817400644476</v>
      </c>
      <c r="BT24" s="1406"/>
      <c r="BU24" s="1033">
        <f>Möblierungsschablone!$I$46</f>
        <v>5.76</v>
      </c>
      <c r="BV24" s="1406"/>
      <c r="BW24" s="1033">
        <f>Möblierungsschablone!$K$46</f>
        <v>7.1999999999999993</v>
      </c>
      <c r="BX24" s="1406"/>
      <c r="BY24" s="1033">
        <f>Möblierungsschablone!$M$51</f>
        <v>8.82</v>
      </c>
      <c r="BZ24" s="1406"/>
      <c r="CA24" s="1033">
        <f>Möblierungsschablone!$O$51</f>
        <v>8.82</v>
      </c>
      <c r="CC24" s="1435" t="s">
        <v>1367</v>
      </c>
      <c r="CD24" s="1433"/>
      <c r="CE24" s="1426">
        <f>CE22/(CE23*CE6)</f>
        <v>0.49976269577598492</v>
      </c>
      <c r="CF24" s="1433"/>
      <c r="CG24" s="1426">
        <f>CG22/(CG23*CE6)</f>
        <v>0.58519221642145236</v>
      </c>
      <c r="CH24" s="1433"/>
      <c r="CI24" s="1426">
        <f>CI22/(CI23*CE6)</f>
        <v>0.75177978168011406</v>
      </c>
      <c r="CJ24" s="1433"/>
      <c r="CK24" s="1426">
        <f>CK22/(CK23*CE6)</f>
        <v>0.95681063122923604</v>
      </c>
      <c r="CL24" s="1406"/>
      <c r="CM24" s="1033">
        <f>Möblierungsschablone!$K$46</f>
        <v>7.1999999999999993</v>
      </c>
      <c r="CN24" s="1406"/>
      <c r="CO24" s="1033">
        <f>Möblierungsschablone!$M$51</f>
        <v>8.82</v>
      </c>
      <c r="CP24" s="1406"/>
      <c r="CQ24" s="1033">
        <f>Möblierungsschablone!$O$51</f>
        <v>8.82</v>
      </c>
      <c r="CS24" s="1435" t="s">
        <v>1367</v>
      </c>
      <c r="CT24" s="1433"/>
      <c r="CU24" s="1426">
        <f>CU22/(CU23*CU6)</f>
        <v>0.44770408163265318</v>
      </c>
      <c r="CV24" s="1433"/>
      <c r="CW24" s="1426">
        <f>CW22/(CW23*CU6)</f>
        <v>0.52423469387755106</v>
      </c>
      <c r="CX24" s="1433"/>
      <c r="CY24" s="1426">
        <f>CY22/(CY23*CU6)</f>
        <v>0.67346938775510212</v>
      </c>
      <c r="CZ24" s="1433"/>
      <c r="DA24" s="1426">
        <f>DA22/(DA23*CU6)</f>
        <v>0.85714285714285732</v>
      </c>
      <c r="DB24" s="1406"/>
      <c r="DC24" s="1033">
        <f>Möblierungsschablone!$K$46</f>
        <v>7.1999999999999993</v>
      </c>
      <c r="DD24" s="1406"/>
      <c r="DE24" s="1033">
        <f>Möblierungsschablone!$M$51</f>
        <v>8.82</v>
      </c>
      <c r="DF24" s="1406"/>
      <c r="DG24" s="1033">
        <f>Möblierungsschablone!$O$51</f>
        <v>8.82</v>
      </c>
      <c r="DI24" s="1435" t="s">
        <v>1367</v>
      </c>
      <c r="DJ24" s="1433"/>
      <c r="DK24" s="1426">
        <f>DK22/(DK23*DK6)</f>
        <v>0.88235294117647078</v>
      </c>
      <c r="DL24" s="1433"/>
      <c r="DM24" s="1426">
        <f>DM22/(DM23*DK6)</f>
        <v>0.9543817527010805</v>
      </c>
      <c r="DN24" s="1433"/>
      <c r="DO24" s="1426">
        <f>DO22/(DO23*DK6)</f>
        <v>0.6338535414165668</v>
      </c>
      <c r="DP24" s="1433"/>
      <c r="DQ24" s="1426">
        <f>DQ22/(DQ23*DK6)</f>
        <v>0.80672268907563038</v>
      </c>
      <c r="DR24" s="1433"/>
      <c r="DS24" s="1426">
        <f>DS22/(DS23*DK6)</f>
        <v>0.97959183673469397</v>
      </c>
      <c r="DT24" s="1406"/>
      <c r="DU24" s="1033">
        <f>Möblierungsschablone!$M$51</f>
        <v>8.82</v>
      </c>
      <c r="DV24" s="1406"/>
      <c r="DW24" s="1033">
        <f>Möblierungsschablone!$O$51</f>
        <v>8.82</v>
      </c>
      <c r="DY24" s="1435" t="s">
        <v>1367</v>
      </c>
      <c r="DZ24" s="1433"/>
      <c r="EA24" s="1426">
        <f>EA22/(EA23*EA6)</f>
        <v>0.81818181818181834</v>
      </c>
      <c r="EB24" s="1433"/>
      <c r="EC24" s="1426">
        <f>EC22/(EC23*EA6)</f>
        <v>0.88497217068645651</v>
      </c>
      <c r="ED24" s="1433"/>
      <c r="EE24" s="1426">
        <f>EE22/(EE23*EA6)</f>
        <v>0.58775510204081638</v>
      </c>
      <c r="EF24" s="1433"/>
      <c r="EG24" s="1426">
        <f>EG22/(EG23*EA6)</f>
        <v>0.74805194805194819</v>
      </c>
      <c r="EH24" s="1433"/>
      <c r="EI24" s="1426">
        <f>EI22/(EI23*EA6)</f>
        <v>0.90834879406307978</v>
      </c>
      <c r="EJ24" s="1406"/>
      <c r="EK24" s="1033">
        <f>Möblierungsschablone!$M$51</f>
        <v>8.82</v>
      </c>
      <c r="EL24" s="1406"/>
      <c r="EM24" s="1033">
        <f>Möblierungsschablone!$O$51</f>
        <v>8.82</v>
      </c>
    </row>
    <row r="25" spans="1:143" ht="15.75" customHeight="1">
      <c r="A25" s="1436"/>
      <c r="B25" s="1406"/>
      <c r="C25" s="1033"/>
      <c r="D25" s="1406"/>
      <c r="E25" s="1033"/>
      <c r="F25" s="1406"/>
      <c r="G25" s="1033"/>
      <c r="H25" s="1406"/>
      <c r="I25" s="1033"/>
      <c r="J25" s="1406"/>
      <c r="K25" s="1033"/>
      <c r="L25" s="1406"/>
      <c r="M25" s="1188"/>
      <c r="N25" s="1406"/>
      <c r="O25" s="1188"/>
      <c r="Q25" s="1436"/>
      <c r="R25" s="1406"/>
      <c r="S25" s="1033"/>
      <c r="T25" s="1406"/>
      <c r="U25" s="1033"/>
      <c r="V25" s="1406"/>
      <c r="W25" s="1033"/>
      <c r="X25" s="1406"/>
      <c r="Y25" s="1033"/>
      <c r="Z25" s="1406"/>
      <c r="AA25" s="1033"/>
      <c r="AB25" s="1406"/>
      <c r="AC25" s="1033"/>
      <c r="AD25" s="1406"/>
      <c r="AE25" s="1033"/>
      <c r="AG25" s="1436"/>
      <c r="AH25" s="1433"/>
      <c r="AI25" s="1427"/>
      <c r="AJ25" s="1433"/>
      <c r="AK25" s="1427"/>
      <c r="AL25" s="1406"/>
      <c r="AM25" s="1033"/>
      <c r="AN25" s="1406"/>
      <c r="AO25" s="1033"/>
      <c r="AP25" s="1406"/>
      <c r="AQ25" s="1033"/>
      <c r="AR25" s="1406"/>
      <c r="AS25" s="1033"/>
      <c r="AT25" s="1406"/>
      <c r="AU25" s="1033"/>
      <c r="AW25" s="1404"/>
      <c r="AX25" s="1433"/>
      <c r="AY25" s="1427"/>
      <c r="AZ25" s="1433"/>
      <c r="BA25" s="1427"/>
      <c r="BB25" s="1433"/>
      <c r="BC25" s="1427"/>
      <c r="BD25" s="1406"/>
      <c r="BE25" s="1033"/>
      <c r="BF25" s="1406"/>
      <c r="BG25" s="1033"/>
      <c r="BH25" s="1406"/>
      <c r="BI25" s="1033"/>
      <c r="BJ25" s="1406"/>
      <c r="BK25" s="1033"/>
      <c r="BM25" s="1404"/>
      <c r="BN25" s="1433"/>
      <c r="BO25" s="1427"/>
      <c r="BP25" s="1433"/>
      <c r="BQ25" s="1427"/>
      <c r="BR25" s="1433"/>
      <c r="BS25" s="1427"/>
      <c r="BT25" s="1406"/>
      <c r="BU25" s="1033"/>
      <c r="BV25" s="1406"/>
      <c r="BW25" s="1033"/>
      <c r="BX25" s="1406"/>
      <c r="BY25" s="1033"/>
      <c r="BZ25" s="1406"/>
      <c r="CA25" s="1033"/>
      <c r="CC25" s="1436"/>
      <c r="CD25" s="1433"/>
      <c r="CE25" s="1427"/>
      <c r="CF25" s="1433"/>
      <c r="CG25" s="1427"/>
      <c r="CH25" s="1433"/>
      <c r="CI25" s="1427"/>
      <c r="CJ25" s="1433"/>
      <c r="CK25" s="1427"/>
      <c r="CL25" s="1406"/>
      <c r="CM25" s="1033"/>
      <c r="CN25" s="1406"/>
      <c r="CO25" s="1033"/>
      <c r="CP25" s="1406"/>
      <c r="CQ25" s="1033"/>
      <c r="CS25" s="1436"/>
      <c r="CT25" s="1433"/>
      <c r="CU25" s="1427"/>
      <c r="CV25" s="1433"/>
      <c r="CW25" s="1427"/>
      <c r="CX25" s="1433"/>
      <c r="CY25" s="1427"/>
      <c r="CZ25" s="1433"/>
      <c r="DA25" s="1427"/>
      <c r="DB25" s="1406"/>
      <c r="DC25" s="1033"/>
      <c r="DD25" s="1406"/>
      <c r="DE25" s="1033"/>
      <c r="DF25" s="1406"/>
      <c r="DG25" s="1033"/>
      <c r="DI25" s="1436"/>
      <c r="DJ25" s="1433"/>
      <c r="DK25" s="1427"/>
      <c r="DL25" s="1433"/>
      <c r="DM25" s="1427"/>
      <c r="DN25" s="1433"/>
      <c r="DO25" s="1427"/>
      <c r="DP25" s="1433"/>
      <c r="DQ25" s="1427"/>
      <c r="DR25" s="1433"/>
      <c r="DS25" s="1427"/>
      <c r="DT25" s="1406"/>
      <c r="DU25" s="1033"/>
      <c r="DV25" s="1406"/>
      <c r="DW25" s="1033"/>
      <c r="DY25" s="1436"/>
      <c r="DZ25" s="1433"/>
      <c r="EA25" s="1427"/>
      <c r="EB25" s="1433"/>
      <c r="EC25" s="1427"/>
      <c r="ED25" s="1433"/>
      <c r="EE25" s="1427"/>
      <c r="EF25" s="1433"/>
      <c r="EG25" s="1427"/>
      <c r="EH25" s="1433"/>
      <c r="EI25" s="1427"/>
      <c r="EJ25" s="1406"/>
      <c r="EK25" s="1033"/>
      <c r="EL25" s="1406"/>
      <c r="EM25" s="1033"/>
    </row>
    <row r="26" spans="1:143" ht="15.75" customHeight="1">
      <c r="A26" s="1436"/>
      <c r="B26" s="1406"/>
      <c r="C26" s="1034">
        <f>SUM(C24:C25)</f>
        <v>2.7</v>
      </c>
      <c r="D26" s="1406"/>
      <c r="E26" s="1034">
        <f>SUM(E24:E25)</f>
        <v>3.5999999999999996</v>
      </c>
      <c r="F26" s="1406"/>
      <c r="G26" s="1034">
        <f>SUM(G24:G25)</f>
        <v>4.41</v>
      </c>
      <c r="H26" s="1406"/>
      <c r="I26" s="1034">
        <f>SUM(I24:I25)</f>
        <v>5.76</v>
      </c>
      <c r="J26" s="1406"/>
      <c r="K26" s="1034">
        <f>SUM(K24:K25)</f>
        <v>7.1999999999999993</v>
      </c>
      <c r="L26" s="1406"/>
      <c r="M26" s="1188"/>
      <c r="N26" s="1406"/>
      <c r="O26" s="1188"/>
      <c r="Q26" s="1436"/>
      <c r="R26" s="1406"/>
      <c r="S26" s="1034">
        <f>SUM(S24:S25)</f>
        <v>2.7</v>
      </c>
      <c r="T26" s="1406"/>
      <c r="U26" s="1034">
        <f>SUM(U24:U25)</f>
        <v>3.5999999999999996</v>
      </c>
      <c r="V26" s="1406"/>
      <c r="W26" s="1034">
        <f>SUM(W24:W25)</f>
        <v>4.32</v>
      </c>
      <c r="X26" s="1406"/>
      <c r="Y26" s="1034">
        <f>SUM(Y24:Y25)</f>
        <v>5.76</v>
      </c>
      <c r="Z26" s="1406"/>
      <c r="AA26" s="1034">
        <f>SUM(AA24:AA25)</f>
        <v>7.1999999999999993</v>
      </c>
      <c r="AB26" s="1406"/>
      <c r="AC26" s="1034">
        <f>SUM(AC24:AC25)</f>
        <v>8.82</v>
      </c>
      <c r="AD26" s="1406"/>
      <c r="AE26" s="1034">
        <f>SUM(AE24:AE25)</f>
        <v>8.82</v>
      </c>
      <c r="AG26" s="1436"/>
      <c r="AH26" s="1433"/>
      <c r="AI26" s="1427"/>
      <c r="AJ26" s="1433"/>
      <c r="AK26" s="1427"/>
      <c r="AL26" s="1406"/>
      <c r="AM26" s="1034">
        <f>SUM(AM24:AM25)</f>
        <v>4.32</v>
      </c>
      <c r="AN26" s="1406"/>
      <c r="AO26" s="1034">
        <f>SUM(AO24:AO25)</f>
        <v>5.76</v>
      </c>
      <c r="AP26" s="1406"/>
      <c r="AQ26" s="1034">
        <f>SUM(AQ24:AQ25)</f>
        <v>7.1999999999999993</v>
      </c>
      <c r="AR26" s="1406"/>
      <c r="AS26" s="1034">
        <f>SUM(AS24:AS25)</f>
        <v>8.82</v>
      </c>
      <c r="AT26" s="1406"/>
      <c r="AU26" s="1034">
        <f>SUM(AU24:AU25)</f>
        <v>8.82</v>
      </c>
      <c r="AW26" s="1404"/>
      <c r="AX26" s="1433"/>
      <c r="AY26" s="1427"/>
      <c r="AZ26" s="1433"/>
      <c r="BA26" s="1427"/>
      <c r="BB26" s="1433"/>
      <c r="BC26" s="1427"/>
      <c r="BD26" s="1406"/>
      <c r="BE26" s="1034">
        <f>SUM(BE24:BE25)</f>
        <v>5.76</v>
      </c>
      <c r="BF26" s="1406"/>
      <c r="BG26" s="1034">
        <f>SUM(BG24:BG25)</f>
        <v>7.1999999999999993</v>
      </c>
      <c r="BH26" s="1406"/>
      <c r="BI26" s="1034">
        <f>SUM(BI24:BI25)</f>
        <v>8.82</v>
      </c>
      <c r="BJ26" s="1406"/>
      <c r="BK26" s="1034">
        <f>SUM(BK24:BK25)</f>
        <v>8.82</v>
      </c>
      <c r="BM26" s="1404"/>
      <c r="BN26" s="1433"/>
      <c r="BO26" s="1427"/>
      <c r="BP26" s="1433"/>
      <c r="BQ26" s="1427"/>
      <c r="BR26" s="1433"/>
      <c r="BS26" s="1427"/>
      <c r="BT26" s="1406"/>
      <c r="BU26" s="1034">
        <f>SUM(BU24:BU25)</f>
        <v>5.76</v>
      </c>
      <c r="BV26" s="1406"/>
      <c r="BW26" s="1034">
        <f>SUM(BW24:BW25)</f>
        <v>7.1999999999999993</v>
      </c>
      <c r="BX26" s="1406"/>
      <c r="BY26" s="1034">
        <f>SUM(BY24:BY25)</f>
        <v>8.82</v>
      </c>
      <c r="BZ26" s="1406"/>
      <c r="CA26" s="1034">
        <f>SUM(CA24:CA25)</f>
        <v>8.82</v>
      </c>
      <c r="CC26" s="1436"/>
      <c r="CD26" s="1433"/>
      <c r="CE26" s="1427"/>
      <c r="CF26" s="1433"/>
      <c r="CG26" s="1427"/>
      <c r="CH26" s="1433"/>
      <c r="CI26" s="1427"/>
      <c r="CJ26" s="1433"/>
      <c r="CK26" s="1427"/>
      <c r="CL26" s="1406"/>
      <c r="CM26" s="1034">
        <f>SUM(CM24:CM25)</f>
        <v>7.1999999999999993</v>
      </c>
      <c r="CN26" s="1406"/>
      <c r="CO26" s="1034">
        <f>SUM(CO24:CO25)</f>
        <v>8.82</v>
      </c>
      <c r="CP26" s="1406"/>
      <c r="CQ26" s="1034">
        <f>SUM(CQ24:CQ25)</f>
        <v>8.82</v>
      </c>
      <c r="CS26" s="1436"/>
      <c r="CT26" s="1433"/>
      <c r="CU26" s="1427"/>
      <c r="CV26" s="1433"/>
      <c r="CW26" s="1427"/>
      <c r="CX26" s="1433"/>
      <c r="CY26" s="1427"/>
      <c r="CZ26" s="1433"/>
      <c r="DA26" s="1427"/>
      <c r="DB26" s="1406"/>
      <c r="DC26" s="1034">
        <f>SUM(DC24:DC25)</f>
        <v>7.1999999999999993</v>
      </c>
      <c r="DD26" s="1406"/>
      <c r="DE26" s="1034">
        <f>SUM(DE24:DE25)</f>
        <v>8.82</v>
      </c>
      <c r="DF26" s="1406"/>
      <c r="DG26" s="1034">
        <f>SUM(DG24:DG25)</f>
        <v>8.82</v>
      </c>
      <c r="DI26" s="1436"/>
      <c r="DJ26" s="1433"/>
      <c r="DK26" s="1427"/>
      <c r="DL26" s="1433"/>
      <c r="DM26" s="1427"/>
      <c r="DN26" s="1433"/>
      <c r="DO26" s="1427"/>
      <c r="DP26" s="1433"/>
      <c r="DQ26" s="1427"/>
      <c r="DR26" s="1433"/>
      <c r="DS26" s="1427"/>
      <c r="DT26" s="1406"/>
      <c r="DU26" s="1034">
        <f>SUM(DU24:DU25)</f>
        <v>8.82</v>
      </c>
      <c r="DV26" s="1406"/>
      <c r="DW26" s="1034">
        <f>SUM(DW24:DW25)</f>
        <v>8.82</v>
      </c>
      <c r="DY26" s="1436"/>
      <c r="DZ26" s="1433"/>
      <c r="EA26" s="1427"/>
      <c r="EB26" s="1433"/>
      <c r="EC26" s="1427"/>
      <c r="ED26" s="1433"/>
      <c r="EE26" s="1427"/>
      <c r="EF26" s="1433"/>
      <c r="EG26" s="1427"/>
      <c r="EH26" s="1433"/>
      <c r="EI26" s="1427"/>
      <c r="EJ26" s="1406"/>
      <c r="EK26" s="1034">
        <f>SUM(EK24:EK25)</f>
        <v>8.82</v>
      </c>
      <c r="EL26" s="1406"/>
      <c r="EM26" s="1034">
        <f>SUM(EM24:EM25)</f>
        <v>8.82</v>
      </c>
    </row>
    <row r="27" spans="1:143" ht="15.75" customHeight="1">
      <c r="A27" s="1436"/>
      <c r="B27" s="1406"/>
      <c r="C27" s="1032">
        <v>1</v>
      </c>
      <c r="D27" s="1406"/>
      <c r="E27" s="1032">
        <v>1</v>
      </c>
      <c r="F27" s="1406"/>
      <c r="G27" s="1032">
        <v>1</v>
      </c>
      <c r="H27" s="1406"/>
      <c r="I27" s="1032">
        <v>1</v>
      </c>
      <c r="J27" s="1406"/>
      <c r="K27" s="1032">
        <v>2</v>
      </c>
      <c r="L27" s="1406"/>
      <c r="M27" s="1188"/>
      <c r="N27" s="1406"/>
      <c r="O27" s="1188"/>
      <c r="Q27" s="1436"/>
      <c r="R27" s="1406"/>
      <c r="S27" s="1032">
        <v>1</v>
      </c>
      <c r="T27" s="1406"/>
      <c r="U27" s="1032">
        <v>1</v>
      </c>
      <c r="V27" s="1406"/>
      <c r="W27" s="1032">
        <v>1</v>
      </c>
      <c r="X27" s="1406"/>
      <c r="Y27" s="1032">
        <v>1</v>
      </c>
      <c r="Z27" s="1406"/>
      <c r="AA27" s="1032">
        <v>2</v>
      </c>
      <c r="AB27" s="1406"/>
      <c r="AC27" s="1032">
        <v>2</v>
      </c>
      <c r="AD27" s="1406"/>
      <c r="AE27" s="1032">
        <v>2</v>
      </c>
      <c r="AG27" s="1436"/>
      <c r="AH27" s="1433"/>
      <c r="AI27" s="1427"/>
      <c r="AJ27" s="1433"/>
      <c r="AK27" s="1427"/>
      <c r="AL27" s="1406"/>
      <c r="AM27" s="1032">
        <v>1</v>
      </c>
      <c r="AN27" s="1406"/>
      <c r="AO27" s="1032">
        <v>1</v>
      </c>
      <c r="AP27" s="1406"/>
      <c r="AQ27" s="1032">
        <v>2</v>
      </c>
      <c r="AR27" s="1406"/>
      <c r="AS27" s="1032">
        <v>2</v>
      </c>
      <c r="AT27" s="1406"/>
      <c r="AU27" s="1032">
        <v>2</v>
      </c>
      <c r="AW27" s="1404"/>
      <c r="AX27" s="1433"/>
      <c r="AY27" s="1427"/>
      <c r="AZ27" s="1433"/>
      <c r="BA27" s="1427"/>
      <c r="BB27" s="1433"/>
      <c r="BC27" s="1427"/>
      <c r="BD27" s="1406"/>
      <c r="BE27" s="1032">
        <v>1</v>
      </c>
      <c r="BF27" s="1406"/>
      <c r="BG27" s="1032">
        <v>2</v>
      </c>
      <c r="BH27" s="1406"/>
      <c r="BI27" s="1032">
        <v>2</v>
      </c>
      <c r="BJ27" s="1406"/>
      <c r="BK27" s="1032">
        <v>2</v>
      </c>
      <c r="BM27" s="1404"/>
      <c r="BN27" s="1433"/>
      <c r="BO27" s="1427"/>
      <c r="BP27" s="1433"/>
      <c r="BQ27" s="1427"/>
      <c r="BR27" s="1433"/>
      <c r="BS27" s="1427"/>
      <c r="BT27" s="1406"/>
      <c r="BU27" s="1032">
        <v>1</v>
      </c>
      <c r="BV27" s="1406"/>
      <c r="BW27" s="1032">
        <v>1</v>
      </c>
      <c r="BX27" s="1406"/>
      <c r="BY27" s="1032">
        <v>1</v>
      </c>
      <c r="BZ27" s="1406"/>
      <c r="CA27" s="1032">
        <v>1</v>
      </c>
      <c r="CC27" s="1436"/>
      <c r="CD27" s="1433"/>
      <c r="CE27" s="1427"/>
      <c r="CF27" s="1433"/>
      <c r="CG27" s="1427"/>
      <c r="CH27" s="1433"/>
      <c r="CI27" s="1427"/>
      <c r="CJ27" s="1433"/>
      <c r="CK27" s="1427"/>
      <c r="CL27" s="1406"/>
      <c r="CM27" s="1032">
        <v>1</v>
      </c>
      <c r="CN27" s="1406"/>
      <c r="CO27" s="1032">
        <v>1</v>
      </c>
      <c r="CP27" s="1406"/>
      <c r="CQ27" s="1032">
        <v>1</v>
      </c>
      <c r="CS27" s="1436"/>
      <c r="CT27" s="1433"/>
      <c r="CU27" s="1427"/>
      <c r="CV27" s="1433"/>
      <c r="CW27" s="1427"/>
      <c r="CX27" s="1433"/>
      <c r="CY27" s="1427"/>
      <c r="CZ27" s="1433"/>
      <c r="DA27" s="1427"/>
      <c r="DB27" s="1406"/>
      <c r="DC27" s="1032">
        <v>1</v>
      </c>
      <c r="DD27" s="1406"/>
      <c r="DE27" s="1032">
        <v>1</v>
      </c>
      <c r="DF27" s="1406"/>
      <c r="DG27" s="1032">
        <v>1</v>
      </c>
      <c r="DI27" s="1436"/>
      <c r="DJ27" s="1433"/>
      <c r="DK27" s="1427"/>
      <c r="DL27" s="1433"/>
      <c r="DM27" s="1427"/>
      <c r="DN27" s="1433"/>
      <c r="DO27" s="1427"/>
      <c r="DP27" s="1433"/>
      <c r="DQ27" s="1427"/>
      <c r="DR27" s="1433"/>
      <c r="DS27" s="1427"/>
      <c r="DT27" s="1406"/>
      <c r="DU27" s="1032">
        <v>1</v>
      </c>
      <c r="DV27" s="1406"/>
      <c r="DW27" s="1032">
        <v>1</v>
      </c>
      <c r="DY27" s="1436"/>
      <c r="DZ27" s="1433"/>
      <c r="EA27" s="1427"/>
      <c r="EB27" s="1433"/>
      <c r="EC27" s="1427"/>
      <c r="ED27" s="1433"/>
      <c r="EE27" s="1427"/>
      <c r="EF27" s="1433"/>
      <c r="EG27" s="1427"/>
      <c r="EH27" s="1433"/>
      <c r="EI27" s="1427"/>
      <c r="EJ27" s="1406"/>
      <c r="EK27" s="1032">
        <v>1</v>
      </c>
      <c r="EL27" s="1406"/>
      <c r="EM27" s="1032">
        <v>1</v>
      </c>
    </row>
    <row r="28" spans="1:143" ht="15.75" customHeight="1">
      <c r="A28" s="1436"/>
      <c r="B28" s="1406"/>
      <c r="C28" s="1030">
        <f>C26/(C27*C6)</f>
        <v>0.44981257809246161</v>
      </c>
      <c r="D28" s="1406"/>
      <c r="E28" s="1030">
        <f>E26/(E27*C6)</f>
        <v>0.599750104123282</v>
      </c>
      <c r="F28" s="1406"/>
      <c r="G28" s="1030">
        <f>G26/(G27*C6)</f>
        <v>0.73469387755102056</v>
      </c>
      <c r="H28" s="1406"/>
      <c r="I28" s="1030">
        <f>I26/(I27*C6)</f>
        <v>0.95960016659725134</v>
      </c>
      <c r="J28" s="1406"/>
      <c r="K28" s="1030">
        <f>K26/(K27*C6)</f>
        <v>0.599750104123282</v>
      </c>
      <c r="L28" s="1406"/>
      <c r="M28" s="1031" t="s">
        <v>1181</v>
      </c>
      <c r="N28" s="1406"/>
      <c r="O28" s="1031" t="s">
        <v>1181</v>
      </c>
      <c r="Q28" s="1436"/>
      <c r="R28" s="1406"/>
      <c r="S28" s="1030">
        <f>S26/(S27*S6)</f>
        <v>0.41586445899114372</v>
      </c>
      <c r="T28" s="1406"/>
      <c r="U28" s="1030">
        <f>U26/(U27*S6)</f>
        <v>0.55448594532152484</v>
      </c>
      <c r="V28" s="1406"/>
      <c r="W28" s="1030">
        <f>W26/(W27*S6)</f>
        <v>0.66538313438582997</v>
      </c>
      <c r="X28" s="1406"/>
      <c r="Y28" s="1030">
        <f>Y26/(Y27*S6)</f>
        <v>0.88717751251443988</v>
      </c>
      <c r="Z28" s="1406"/>
      <c r="AA28" s="1030">
        <f>AA26/(AA27*S6)</f>
        <v>0.55448594532152484</v>
      </c>
      <c r="AB28" s="1406"/>
      <c r="AC28" s="1030">
        <f>AC26/(AC27*S6)</f>
        <v>0.67924528301886811</v>
      </c>
      <c r="AD28" s="1406"/>
      <c r="AE28" s="1030">
        <f>AE26/(AE27*S6)</f>
        <v>0.67924528301886811</v>
      </c>
      <c r="AG28" s="1436"/>
      <c r="AH28" s="1434"/>
      <c r="AI28" s="1428"/>
      <c r="AJ28" s="1434"/>
      <c r="AK28" s="1428"/>
      <c r="AL28" s="1406"/>
      <c r="AM28" s="1030">
        <f>AM26/(AM27*AI6)</f>
        <v>0.62973760932944622</v>
      </c>
      <c r="AN28" s="1406"/>
      <c r="AO28" s="1030">
        <f>AO26/(AO27*AI6)</f>
        <v>0.83965014577259489</v>
      </c>
      <c r="AP28" s="1406"/>
      <c r="AQ28" s="1030">
        <f>AQ26/(AQ27*AI6)</f>
        <v>0.52478134110787178</v>
      </c>
      <c r="AR28" s="1406"/>
      <c r="AS28" s="1030">
        <f>AS26/(AS27*AI6)</f>
        <v>0.64285714285714302</v>
      </c>
      <c r="AT28" s="1406"/>
      <c r="AU28" s="1030">
        <f>AU26/(AU27*AI6)</f>
        <v>0.64285714285714302</v>
      </c>
      <c r="AW28" s="1404"/>
      <c r="AX28" s="1434"/>
      <c r="AY28" s="1428"/>
      <c r="AZ28" s="1434"/>
      <c r="BA28" s="1428"/>
      <c r="BB28" s="1434"/>
      <c r="BC28" s="1428"/>
      <c r="BD28" s="1406"/>
      <c r="BE28" s="1030">
        <f>BE26/(BE27*AY6)</f>
        <v>0.7124304267161411</v>
      </c>
      <c r="BF28" s="1406"/>
      <c r="BG28" s="1030">
        <f>BG26/(BG27*AY6)</f>
        <v>0.44526901669758812</v>
      </c>
      <c r="BH28" s="1406"/>
      <c r="BI28" s="1030">
        <f>BI26/(BI27*AY6)</f>
        <v>0.54545454545454553</v>
      </c>
      <c r="BJ28" s="1406"/>
      <c r="BK28" s="1030">
        <f>BK26/(BK27*AY6)</f>
        <v>0.54545454545454553</v>
      </c>
      <c r="BM28" s="1404"/>
      <c r="BN28" s="1434"/>
      <c r="BO28" s="1428"/>
      <c r="BP28" s="1434"/>
      <c r="BQ28" s="1428"/>
      <c r="BR28" s="1434"/>
      <c r="BS28" s="1428"/>
      <c r="BT28" s="1406"/>
      <c r="BU28" s="1030">
        <f>BU26/(BU27*BO6)</f>
        <v>0.61868958109559624</v>
      </c>
      <c r="BV28" s="1406"/>
      <c r="BW28" s="1030">
        <f>BW26/(BW27*BO6)</f>
        <v>0.77336197636949522</v>
      </c>
      <c r="BX28" s="1406"/>
      <c r="BY28" s="1030">
        <f>BY26/(BY27*BO6)</f>
        <v>0.94736842105263175</v>
      </c>
      <c r="BZ28" s="1406"/>
      <c r="CA28" s="1030">
        <f>CA26/(CA27*BO6)</f>
        <v>0.94736842105263175</v>
      </c>
      <c r="CC28" s="1436"/>
      <c r="CD28" s="1434"/>
      <c r="CE28" s="1428"/>
      <c r="CF28" s="1434"/>
      <c r="CG28" s="1428"/>
      <c r="CH28" s="1434"/>
      <c r="CI28" s="1428"/>
      <c r="CJ28" s="1434"/>
      <c r="CK28" s="1428"/>
      <c r="CL28" s="1406"/>
      <c r="CM28" s="1030">
        <f>CM26/(CM27*CE6)</f>
        <v>0.68343616516373995</v>
      </c>
      <c r="CN28" s="1406"/>
      <c r="CO28" s="1030">
        <f>CO26/(CO27*CE6)</f>
        <v>0.83720930232558155</v>
      </c>
      <c r="CP28" s="1406"/>
      <c r="CQ28" s="1030">
        <f>CQ26/(CQ27*CE6)</f>
        <v>0.83720930232558155</v>
      </c>
      <c r="CS28" s="1436"/>
      <c r="CT28" s="1434"/>
      <c r="CU28" s="1428"/>
      <c r="CV28" s="1434"/>
      <c r="CW28" s="1428"/>
      <c r="CX28" s="1434"/>
      <c r="CY28" s="1428"/>
      <c r="CZ28" s="1434"/>
      <c r="DA28" s="1428"/>
      <c r="DB28" s="1406"/>
      <c r="DC28" s="1030">
        <f>DC26/(DC27*CU6)</f>
        <v>0.61224489795918369</v>
      </c>
      <c r="DD28" s="1406"/>
      <c r="DE28" s="1030">
        <f>DE26/(DE27*CU6)</f>
        <v>0.75000000000000011</v>
      </c>
      <c r="DF28" s="1406"/>
      <c r="DG28" s="1030">
        <f>DG26/(DG27*CU6)</f>
        <v>0.75000000000000011</v>
      </c>
      <c r="DI28" s="1436"/>
      <c r="DJ28" s="1433"/>
      <c r="DK28" s="1427"/>
      <c r="DL28" s="1433"/>
      <c r="DM28" s="1427"/>
      <c r="DN28" s="1434"/>
      <c r="DO28" s="1428"/>
      <c r="DP28" s="1434"/>
      <c r="DQ28" s="1428"/>
      <c r="DR28" s="1434"/>
      <c r="DS28" s="1428"/>
      <c r="DT28" s="1406"/>
      <c r="DU28" s="1059">
        <f>DU26/(DU27*DK6)</f>
        <v>0.70588235294117663</v>
      </c>
      <c r="DV28" s="1406"/>
      <c r="DW28" s="1059">
        <f>DW26/(DW27*DK6)</f>
        <v>0.70588235294117663</v>
      </c>
      <c r="DY28" s="1436"/>
      <c r="DZ28" s="1433"/>
      <c r="EA28" s="1427"/>
      <c r="EB28" s="1433"/>
      <c r="EC28" s="1427"/>
      <c r="ED28" s="1434"/>
      <c r="EE28" s="1428"/>
      <c r="EF28" s="1434"/>
      <c r="EG28" s="1428"/>
      <c r="EH28" s="1434"/>
      <c r="EI28" s="1428"/>
      <c r="EJ28" s="1406"/>
      <c r="EK28" s="1059">
        <f>EK26/(EK27*EA6)</f>
        <v>0.65454545454545465</v>
      </c>
      <c r="EL28" s="1406"/>
      <c r="EM28" s="1059">
        <f>EM26/(EM27*EA6)</f>
        <v>0.65454545454545465</v>
      </c>
    </row>
    <row r="29" spans="1:143" ht="15.75" customHeight="1">
      <c r="A29" s="1435" t="s">
        <v>1368</v>
      </c>
      <c r="B29" s="1406"/>
      <c r="C29" s="1033">
        <f>Möblierungsschablone!$C$56</f>
        <v>5.76</v>
      </c>
      <c r="D29" s="1406"/>
      <c r="E29" s="1033">
        <f>Möblierungsschablone!$E$56</f>
        <v>5.76</v>
      </c>
      <c r="F29" s="1406"/>
      <c r="G29" s="1033">
        <f>Möblierungsschablone!$G$56</f>
        <v>5.76</v>
      </c>
      <c r="H29" s="1406"/>
      <c r="I29" s="1033">
        <f>Möblierungsschablone!$I$56</f>
        <v>5.76</v>
      </c>
      <c r="J29" s="1406"/>
      <c r="K29" s="1033">
        <f>Möblierungsschablone!$K$61</f>
        <v>7.34</v>
      </c>
      <c r="L29" s="1404"/>
      <c r="M29" s="1188"/>
      <c r="N29" s="1404"/>
      <c r="O29" s="1188"/>
      <c r="Q29" s="1435" t="s">
        <v>1368</v>
      </c>
      <c r="R29" s="1404"/>
      <c r="S29" s="1033">
        <f>Möblierungsschablone!$C$56</f>
        <v>5.76</v>
      </c>
      <c r="T29" s="1404"/>
      <c r="U29" s="1033">
        <f>Möblierungsschablone!$E$56</f>
        <v>5.76</v>
      </c>
      <c r="V29" s="1404"/>
      <c r="W29" s="1033">
        <f>Möblierungsschablone!$G$56</f>
        <v>5.76</v>
      </c>
      <c r="X29" s="1404"/>
      <c r="Y29" s="1033">
        <f>Möblierungsschablone!$I$56</f>
        <v>5.76</v>
      </c>
      <c r="Z29" s="1404"/>
      <c r="AA29" s="1033">
        <f>Möblierungsschablone!$K$61</f>
        <v>7.34</v>
      </c>
      <c r="AB29" s="1404"/>
      <c r="AC29" s="1033">
        <f>Möblierungsschablone!$M$61</f>
        <v>9.18</v>
      </c>
      <c r="AD29" s="1404"/>
      <c r="AE29" s="1033">
        <f>Möblierungsschablone!$O$61</f>
        <v>9.4199999999999982</v>
      </c>
      <c r="AG29" s="1435" t="s">
        <v>1368</v>
      </c>
      <c r="AH29" s="1404"/>
      <c r="AI29" s="1033">
        <f>Möblierungsschablone!$C$56</f>
        <v>5.76</v>
      </c>
      <c r="AJ29" s="1404"/>
      <c r="AK29" s="1033">
        <f>Möblierungsschablone!$E$56</f>
        <v>5.76</v>
      </c>
      <c r="AL29" s="1404"/>
      <c r="AM29" s="1033">
        <f>Möblierungsschablone!$G$56</f>
        <v>5.76</v>
      </c>
      <c r="AN29" s="1404"/>
      <c r="AO29" s="1033">
        <f>Möblierungsschablone!$I$56</f>
        <v>5.76</v>
      </c>
      <c r="AP29" s="1404"/>
      <c r="AQ29" s="1033">
        <f>Möblierungsschablone!$K$61</f>
        <v>7.34</v>
      </c>
      <c r="AR29" s="1404"/>
      <c r="AS29" s="1033">
        <f>Möblierungsschablone!$M$61</f>
        <v>9.18</v>
      </c>
      <c r="AT29" s="1404"/>
      <c r="AU29" s="1033">
        <f>Möblierungsschablone!$O$61</f>
        <v>9.4199999999999982</v>
      </c>
      <c r="AW29" s="1403" t="s">
        <v>1368</v>
      </c>
      <c r="AX29" s="1404"/>
      <c r="AY29" s="1033">
        <f>Möblierungsschablone!$C$56</f>
        <v>5.76</v>
      </c>
      <c r="AZ29" s="1404"/>
      <c r="BA29" s="1033">
        <f>Möblierungsschablone!$C$56</f>
        <v>5.76</v>
      </c>
      <c r="BB29" s="1404"/>
      <c r="BC29" s="1033">
        <f>Möblierungsschablone!$C$56</f>
        <v>5.76</v>
      </c>
      <c r="BD29" s="1404"/>
      <c r="BE29" s="1033">
        <f>Möblierungsschablone!$C$56</f>
        <v>5.76</v>
      </c>
      <c r="BF29" s="1404"/>
      <c r="BG29" s="1033">
        <f>Möblierungsschablone!$K$61</f>
        <v>7.34</v>
      </c>
      <c r="BH29" s="1404"/>
      <c r="BI29" s="1033">
        <f>Möblierungsschablone!$M$61</f>
        <v>9.18</v>
      </c>
      <c r="BJ29" s="1404"/>
      <c r="BK29" s="1033">
        <f>Möblierungsschablone!$O$61</f>
        <v>9.4199999999999982</v>
      </c>
      <c r="BM29" s="1403" t="s">
        <v>1368</v>
      </c>
      <c r="BN29" s="1404"/>
      <c r="BO29" s="1033">
        <f>Möblierungsschablone!$C$56</f>
        <v>5.76</v>
      </c>
      <c r="BP29" s="1404"/>
      <c r="BQ29" s="1033">
        <f>Möblierungsschablone!$C$56</f>
        <v>5.76</v>
      </c>
      <c r="BR29" s="1404"/>
      <c r="BS29" s="1033">
        <f>Möblierungsschablone!$C$56</f>
        <v>5.76</v>
      </c>
      <c r="BT29" s="1404"/>
      <c r="BU29" s="1033">
        <f>Möblierungsschablone!$C$56</f>
        <v>5.76</v>
      </c>
      <c r="BV29" s="1404"/>
      <c r="BW29" s="1033">
        <f>Möblierungsschablone!$K$61</f>
        <v>7.34</v>
      </c>
      <c r="BX29" s="1404"/>
      <c r="BY29" s="1033">
        <f>Möblierungsschablone!$M$61</f>
        <v>9.18</v>
      </c>
      <c r="BZ29" s="1404"/>
      <c r="CA29" s="1033">
        <f>Möblierungsschablone!$O$61</f>
        <v>9.4199999999999982</v>
      </c>
      <c r="CC29" s="1435" t="s">
        <v>1368</v>
      </c>
      <c r="CD29" s="1404"/>
      <c r="CE29" s="1033">
        <f>Möblierungsschablone!$C$56</f>
        <v>5.76</v>
      </c>
      <c r="CF29" s="1404"/>
      <c r="CG29" s="1033">
        <f>Möblierungsschablone!$E$56</f>
        <v>5.76</v>
      </c>
      <c r="CH29" s="1404"/>
      <c r="CI29" s="1033">
        <f>Möblierungsschablone!$G$56</f>
        <v>5.76</v>
      </c>
      <c r="CJ29" s="1404"/>
      <c r="CK29" s="1033">
        <f>Möblierungsschablone!$I$56</f>
        <v>5.76</v>
      </c>
      <c r="CL29" s="1404"/>
      <c r="CM29" s="1033">
        <f>Möblierungsschablone!$K$61</f>
        <v>7.34</v>
      </c>
      <c r="CN29" s="1404"/>
      <c r="CO29" s="1033">
        <f>Möblierungsschablone!$M$61</f>
        <v>9.18</v>
      </c>
      <c r="CP29" s="1404"/>
      <c r="CQ29" s="1033">
        <f>Möblierungsschablone!$O$61</f>
        <v>9.4199999999999982</v>
      </c>
      <c r="CS29" s="1435" t="s">
        <v>1368</v>
      </c>
      <c r="CT29" s="1404"/>
      <c r="CU29" s="1033">
        <f>Möblierungsschablone!$C$56</f>
        <v>5.76</v>
      </c>
      <c r="CV29" s="1404"/>
      <c r="CW29" s="1033">
        <f>Möblierungsschablone!$C$56</f>
        <v>5.76</v>
      </c>
      <c r="CX29" s="1404"/>
      <c r="CY29" s="1033">
        <f>Möblierungsschablone!$C$56</f>
        <v>5.76</v>
      </c>
      <c r="CZ29" s="1404"/>
      <c r="DA29" s="1033">
        <f>Möblierungsschablone!$C$56</f>
        <v>5.76</v>
      </c>
      <c r="DB29" s="1404"/>
      <c r="DC29" s="1033">
        <f>Möblierungsschablone!$K$61</f>
        <v>7.34</v>
      </c>
      <c r="DD29" s="1404"/>
      <c r="DE29" s="1033">
        <f>Möblierungsschablone!$M$61</f>
        <v>9.18</v>
      </c>
      <c r="DF29" s="1404"/>
      <c r="DG29" s="1033">
        <f>Möblierungsschablone!$O$61</f>
        <v>9.4199999999999982</v>
      </c>
      <c r="DI29" s="1435" t="s">
        <v>1368</v>
      </c>
      <c r="DJ29" s="1433"/>
      <c r="DK29" s="1427"/>
      <c r="DL29" s="1433"/>
      <c r="DM29" s="1427"/>
      <c r="DN29" s="1404"/>
      <c r="DO29" s="1033">
        <f>Möblierungsschablone!$G$56</f>
        <v>5.76</v>
      </c>
      <c r="DP29" s="1404"/>
      <c r="DQ29" s="1033">
        <f>Möblierungsschablone!$I$56</f>
        <v>5.76</v>
      </c>
      <c r="DR29" s="1404"/>
      <c r="DS29" s="1033">
        <f>Möblierungsschablone!$K$61</f>
        <v>7.34</v>
      </c>
      <c r="DT29" s="1404"/>
      <c r="DU29" s="1033">
        <f>Möblierungsschablone!$M$61</f>
        <v>9.18</v>
      </c>
      <c r="DV29" s="1404"/>
      <c r="DW29" s="1033">
        <f>Möblierungsschablone!$O$61</f>
        <v>9.4199999999999982</v>
      </c>
      <c r="DY29" s="1435" t="s">
        <v>1368</v>
      </c>
      <c r="DZ29" s="1433"/>
      <c r="EA29" s="1427"/>
      <c r="EB29" s="1433"/>
      <c r="EC29" s="1427"/>
      <c r="ED29" s="1404"/>
      <c r="EE29" s="1033">
        <f>Möblierungsschablone!$G$56</f>
        <v>5.76</v>
      </c>
      <c r="EF29" s="1404"/>
      <c r="EG29" s="1033">
        <f>Möblierungsschablone!$I$56</f>
        <v>5.76</v>
      </c>
      <c r="EH29" s="1404"/>
      <c r="EI29" s="1033">
        <f>Möblierungsschablone!$K$61</f>
        <v>7.34</v>
      </c>
      <c r="EJ29" s="1404"/>
      <c r="EK29" s="1033">
        <f>Möblierungsschablone!$M$61</f>
        <v>9.18</v>
      </c>
      <c r="EL29" s="1404"/>
      <c r="EM29" s="1033">
        <f>Möblierungsschablone!$O$61</f>
        <v>9.4199999999999982</v>
      </c>
    </row>
    <row r="30" spans="1:143" ht="15.75" customHeight="1">
      <c r="A30" s="1436"/>
      <c r="B30" s="1406"/>
      <c r="C30" s="1033"/>
      <c r="D30" s="1406"/>
      <c r="E30" s="1033"/>
      <c r="F30" s="1406"/>
      <c r="G30" s="1033"/>
      <c r="H30" s="1406"/>
      <c r="I30" s="1033"/>
      <c r="J30" s="1406"/>
      <c r="K30" s="1033"/>
      <c r="L30" s="1404"/>
      <c r="M30" s="1188"/>
      <c r="N30" s="1404"/>
      <c r="O30" s="1188"/>
      <c r="Q30" s="1436"/>
      <c r="R30" s="1404"/>
      <c r="S30" s="1033"/>
      <c r="T30" s="1404"/>
      <c r="U30" s="1033"/>
      <c r="V30" s="1404"/>
      <c r="W30" s="1033"/>
      <c r="X30" s="1404"/>
      <c r="Y30" s="1033"/>
      <c r="Z30" s="1404"/>
      <c r="AA30" s="1033"/>
      <c r="AB30" s="1404"/>
      <c r="AC30" s="1033"/>
      <c r="AD30" s="1404"/>
      <c r="AE30" s="1033"/>
      <c r="AG30" s="1436"/>
      <c r="AH30" s="1404"/>
      <c r="AI30" s="1033"/>
      <c r="AJ30" s="1404"/>
      <c r="AK30" s="1033"/>
      <c r="AL30" s="1404"/>
      <c r="AM30" s="1033"/>
      <c r="AN30" s="1404"/>
      <c r="AO30" s="1033"/>
      <c r="AP30" s="1404"/>
      <c r="AQ30" s="1033"/>
      <c r="AR30" s="1404"/>
      <c r="AS30" s="1033"/>
      <c r="AT30" s="1404"/>
      <c r="AU30" s="1033"/>
      <c r="AW30" s="1404"/>
      <c r="AX30" s="1404"/>
      <c r="AY30" s="1033"/>
      <c r="AZ30" s="1404"/>
      <c r="BA30" s="1033"/>
      <c r="BB30" s="1404"/>
      <c r="BC30" s="1033"/>
      <c r="BD30" s="1404"/>
      <c r="BE30" s="1033"/>
      <c r="BF30" s="1404"/>
      <c r="BG30" s="1033"/>
      <c r="BH30" s="1404"/>
      <c r="BI30" s="1033"/>
      <c r="BJ30" s="1404"/>
      <c r="BK30" s="1033"/>
      <c r="BM30" s="1404"/>
      <c r="BN30" s="1404"/>
      <c r="BO30" s="1033"/>
      <c r="BP30" s="1404"/>
      <c r="BQ30" s="1033"/>
      <c r="BR30" s="1404"/>
      <c r="BS30" s="1033"/>
      <c r="BT30" s="1404"/>
      <c r="BU30" s="1033"/>
      <c r="BV30" s="1404"/>
      <c r="BW30" s="1033"/>
      <c r="BX30" s="1404"/>
      <c r="BY30" s="1033"/>
      <c r="BZ30" s="1404"/>
      <c r="CA30" s="1033"/>
      <c r="CC30" s="1436"/>
      <c r="CD30" s="1404"/>
      <c r="CE30" s="1033"/>
      <c r="CF30" s="1404"/>
      <c r="CG30" s="1033"/>
      <c r="CH30" s="1404"/>
      <c r="CI30" s="1033"/>
      <c r="CJ30" s="1404"/>
      <c r="CK30" s="1033"/>
      <c r="CL30" s="1404"/>
      <c r="CM30" s="1033"/>
      <c r="CN30" s="1404"/>
      <c r="CO30" s="1033"/>
      <c r="CP30" s="1404"/>
      <c r="CQ30" s="1033"/>
      <c r="CS30" s="1436"/>
      <c r="CT30" s="1404"/>
      <c r="CU30" s="1033"/>
      <c r="CV30" s="1404"/>
      <c r="CW30" s="1033"/>
      <c r="CX30" s="1404"/>
      <c r="CY30" s="1033"/>
      <c r="CZ30" s="1404"/>
      <c r="DA30" s="1033"/>
      <c r="DB30" s="1404"/>
      <c r="DC30" s="1033"/>
      <c r="DD30" s="1404"/>
      <c r="DE30" s="1033"/>
      <c r="DF30" s="1404"/>
      <c r="DG30" s="1033"/>
      <c r="DI30" s="1436"/>
      <c r="DJ30" s="1433"/>
      <c r="DK30" s="1427"/>
      <c r="DL30" s="1433"/>
      <c r="DM30" s="1427"/>
      <c r="DN30" s="1404"/>
      <c r="DO30" s="1033"/>
      <c r="DP30" s="1404"/>
      <c r="DQ30" s="1033"/>
      <c r="DR30" s="1404"/>
      <c r="DS30" s="1033"/>
      <c r="DT30" s="1404"/>
      <c r="DU30" s="1033"/>
      <c r="DV30" s="1404"/>
      <c r="DW30" s="1033"/>
      <c r="DY30" s="1436"/>
      <c r="DZ30" s="1433"/>
      <c r="EA30" s="1427"/>
      <c r="EB30" s="1433"/>
      <c r="EC30" s="1427"/>
      <c r="ED30" s="1404"/>
      <c r="EE30" s="1033"/>
      <c r="EF30" s="1404"/>
      <c r="EG30" s="1033"/>
      <c r="EH30" s="1404"/>
      <c r="EI30" s="1033"/>
      <c r="EJ30" s="1404"/>
      <c r="EK30" s="1033"/>
      <c r="EL30" s="1404"/>
      <c r="EM30" s="1033"/>
    </row>
    <row r="31" spans="1:143" ht="15.75" customHeight="1">
      <c r="A31" s="1436"/>
      <c r="B31" s="1406"/>
      <c r="C31" s="1034">
        <f>SUM(C29:C30)</f>
        <v>5.76</v>
      </c>
      <c r="D31" s="1406"/>
      <c r="E31" s="1034">
        <f>SUM(E29:E30)</f>
        <v>5.76</v>
      </c>
      <c r="F31" s="1406"/>
      <c r="G31" s="1034">
        <f>SUM(G29:G30)</f>
        <v>5.76</v>
      </c>
      <c r="H31" s="1406"/>
      <c r="I31" s="1034">
        <f>SUM(I29:I30)</f>
        <v>5.76</v>
      </c>
      <c r="J31" s="1406"/>
      <c r="K31" s="1034">
        <f>SUM(K29:K30)</f>
        <v>7.34</v>
      </c>
      <c r="L31" s="1404"/>
      <c r="M31" s="1188"/>
      <c r="N31" s="1404"/>
      <c r="O31" s="1188"/>
      <c r="Q31" s="1436"/>
      <c r="R31" s="1404"/>
      <c r="S31" s="1034">
        <f>SUM(S29:S30)</f>
        <v>5.76</v>
      </c>
      <c r="T31" s="1404"/>
      <c r="U31" s="1034">
        <f>SUM(U29:U30)</f>
        <v>5.76</v>
      </c>
      <c r="V31" s="1404"/>
      <c r="W31" s="1034">
        <f>SUM(W29:W30)</f>
        <v>5.76</v>
      </c>
      <c r="X31" s="1404"/>
      <c r="Y31" s="1034">
        <f>SUM(Y29:Y30)</f>
        <v>5.76</v>
      </c>
      <c r="Z31" s="1404"/>
      <c r="AA31" s="1034">
        <f>SUM(AA29:AA30)</f>
        <v>7.34</v>
      </c>
      <c r="AB31" s="1404"/>
      <c r="AC31" s="1034">
        <f>SUM(AC29:AC30)</f>
        <v>9.18</v>
      </c>
      <c r="AD31" s="1404"/>
      <c r="AE31" s="1034">
        <f>SUM(AE29:AE30)</f>
        <v>9.4199999999999982</v>
      </c>
      <c r="AG31" s="1436"/>
      <c r="AH31" s="1404"/>
      <c r="AI31" s="1034">
        <f>SUM(AI29:AI30)</f>
        <v>5.76</v>
      </c>
      <c r="AJ31" s="1404"/>
      <c r="AK31" s="1034">
        <f>SUM(AK29:AK30)</f>
        <v>5.76</v>
      </c>
      <c r="AL31" s="1404"/>
      <c r="AM31" s="1034">
        <f>SUM(AM29:AM30)</f>
        <v>5.76</v>
      </c>
      <c r="AN31" s="1404"/>
      <c r="AO31" s="1034">
        <f>SUM(AO29:AO30)</f>
        <v>5.76</v>
      </c>
      <c r="AP31" s="1404"/>
      <c r="AQ31" s="1034">
        <f>SUM(AQ29:AQ30)</f>
        <v>7.34</v>
      </c>
      <c r="AR31" s="1404"/>
      <c r="AS31" s="1034">
        <f>SUM(AS29:AS30)</f>
        <v>9.18</v>
      </c>
      <c r="AT31" s="1404"/>
      <c r="AU31" s="1034">
        <f>SUM(AU29:AU30)</f>
        <v>9.4199999999999982</v>
      </c>
      <c r="AW31" s="1404"/>
      <c r="AX31" s="1404"/>
      <c r="AY31" s="1034">
        <f>SUM(AY29:AY30)</f>
        <v>5.76</v>
      </c>
      <c r="AZ31" s="1404"/>
      <c r="BA31" s="1034">
        <f>SUM(BA29:BA30)</f>
        <v>5.76</v>
      </c>
      <c r="BB31" s="1404"/>
      <c r="BC31" s="1034">
        <f>SUM(BC29:BC30)</f>
        <v>5.76</v>
      </c>
      <c r="BD31" s="1404"/>
      <c r="BE31" s="1034">
        <f>SUM(BE29:BE30)</f>
        <v>5.76</v>
      </c>
      <c r="BF31" s="1404"/>
      <c r="BG31" s="1034">
        <f>SUM(BG29:BG30)</f>
        <v>7.34</v>
      </c>
      <c r="BH31" s="1404"/>
      <c r="BI31" s="1034">
        <f>SUM(BI29:BI30)</f>
        <v>9.18</v>
      </c>
      <c r="BJ31" s="1404"/>
      <c r="BK31" s="1034">
        <f>SUM(BK29:BK30)</f>
        <v>9.4199999999999982</v>
      </c>
      <c r="BM31" s="1404"/>
      <c r="BN31" s="1404"/>
      <c r="BO31" s="1034">
        <f>SUM(BO29:BO30)</f>
        <v>5.76</v>
      </c>
      <c r="BP31" s="1404"/>
      <c r="BQ31" s="1034">
        <f>SUM(BQ29:BQ30)</f>
        <v>5.76</v>
      </c>
      <c r="BR31" s="1404"/>
      <c r="BS31" s="1034">
        <f>SUM(BS29:BS30)</f>
        <v>5.76</v>
      </c>
      <c r="BT31" s="1404"/>
      <c r="BU31" s="1034">
        <f>SUM(BU29:BU30)</f>
        <v>5.76</v>
      </c>
      <c r="BV31" s="1404"/>
      <c r="BW31" s="1034">
        <f>SUM(BW29:BW30)</f>
        <v>7.34</v>
      </c>
      <c r="BX31" s="1404"/>
      <c r="BY31" s="1034">
        <f>SUM(BY29:BY30)</f>
        <v>9.18</v>
      </c>
      <c r="BZ31" s="1404"/>
      <c r="CA31" s="1034">
        <f>SUM(CA29:CA30)</f>
        <v>9.4199999999999982</v>
      </c>
      <c r="CC31" s="1436"/>
      <c r="CD31" s="1404"/>
      <c r="CE31" s="1034">
        <f>SUM(CE29:CE30)</f>
        <v>5.76</v>
      </c>
      <c r="CF31" s="1404"/>
      <c r="CG31" s="1034">
        <f>SUM(CG29:CG30)</f>
        <v>5.76</v>
      </c>
      <c r="CH31" s="1404"/>
      <c r="CI31" s="1034">
        <f>SUM(CI29:CI30)</f>
        <v>5.76</v>
      </c>
      <c r="CJ31" s="1404"/>
      <c r="CK31" s="1034">
        <f>SUM(CK29:CK30)</f>
        <v>5.76</v>
      </c>
      <c r="CL31" s="1404"/>
      <c r="CM31" s="1034">
        <f>SUM(CM29:CM30)</f>
        <v>7.34</v>
      </c>
      <c r="CN31" s="1404"/>
      <c r="CO31" s="1034">
        <f>SUM(CO29:CO30)</f>
        <v>9.18</v>
      </c>
      <c r="CP31" s="1404"/>
      <c r="CQ31" s="1034">
        <f>SUM(CQ29:CQ30)</f>
        <v>9.4199999999999982</v>
      </c>
      <c r="CS31" s="1436"/>
      <c r="CT31" s="1404"/>
      <c r="CU31" s="1034">
        <f>SUM(CU29:CU30)</f>
        <v>5.76</v>
      </c>
      <c r="CV31" s="1404"/>
      <c r="CW31" s="1034">
        <f>SUM(CW29:CW30)</f>
        <v>5.76</v>
      </c>
      <c r="CX31" s="1404"/>
      <c r="CY31" s="1034">
        <f>SUM(CY29:CY30)</f>
        <v>5.76</v>
      </c>
      <c r="CZ31" s="1404"/>
      <c r="DA31" s="1034">
        <f>SUM(DA29:DA30)</f>
        <v>5.76</v>
      </c>
      <c r="DB31" s="1404"/>
      <c r="DC31" s="1034">
        <f>SUM(DC29:DC30)</f>
        <v>7.34</v>
      </c>
      <c r="DD31" s="1404"/>
      <c r="DE31" s="1034">
        <f>SUM(DE29:DE30)</f>
        <v>9.18</v>
      </c>
      <c r="DF31" s="1404"/>
      <c r="DG31" s="1034">
        <f>SUM(DG29:DG30)</f>
        <v>9.4199999999999982</v>
      </c>
      <c r="DI31" s="1436"/>
      <c r="DJ31" s="1433"/>
      <c r="DK31" s="1427"/>
      <c r="DL31" s="1433"/>
      <c r="DM31" s="1427"/>
      <c r="DN31" s="1404"/>
      <c r="DO31" s="1034">
        <f>SUM(DO29:DO30)</f>
        <v>5.76</v>
      </c>
      <c r="DP31" s="1404"/>
      <c r="DQ31" s="1034">
        <f>SUM(DQ29:DQ30)</f>
        <v>5.76</v>
      </c>
      <c r="DR31" s="1404"/>
      <c r="DS31" s="1034">
        <f>SUM(DS29:DS30)</f>
        <v>7.34</v>
      </c>
      <c r="DT31" s="1404"/>
      <c r="DU31" s="1034">
        <f>SUM(DU29:DU30)</f>
        <v>9.18</v>
      </c>
      <c r="DV31" s="1404"/>
      <c r="DW31" s="1034">
        <f>SUM(DW29:DW30)</f>
        <v>9.4199999999999982</v>
      </c>
      <c r="DY31" s="1436"/>
      <c r="DZ31" s="1433"/>
      <c r="EA31" s="1427"/>
      <c r="EB31" s="1433"/>
      <c r="EC31" s="1427"/>
      <c r="ED31" s="1404"/>
      <c r="EE31" s="1034">
        <f>SUM(EE29:EE30)</f>
        <v>5.76</v>
      </c>
      <c r="EF31" s="1404"/>
      <c r="EG31" s="1034">
        <f>SUM(EG29:EG30)</f>
        <v>5.76</v>
      </c>
      <c r="EH31" s="1404"/>
      <c r="EI31" s="1034">
        <f>SUM(EI29:EI30)</f>
        <v>7.34</v>
      </c>
      <c r="EJ31" s="1404"/>
      <c r="EK31" s="1034">
        <f>SUM(EK29:EK30)</f>
        <v>9.18</v>
      </c>
      <c r="EL31" s="1404"/>
      <c r="EM31" s="1034">
        <f>SUM(EM29:EM30)</f>
        <v>9.4199999999999982</v>
      </c>
    </row>
    <row r="32" spans="1:143" ht="15.75" customHeight="1">
      <c r="A32" s="1436"/>
      <c r="B32" s="1406"/>
      <c r="C32" s="1032">
        <v>1</v>
      </c>
      <c r="D32" s="1406"/>
      <c r="E32" s="1032">
        <v>1</v>
      </c>
      <c r="F32" s="1406"/>
      <c r="G32" s="1032">
        <v>1</v>
      </c>
      <c r="H32" s="1406"/>
      <c r="I32" s="1032">
        <v>1</v>
      </c>
      <c r="J32" s="1406"/>
      <c r="K32" s="1032">
        <v>2</v>
      </c>
      <c r="L32" s="1404"/>
      <c r="M32" s="1188"/>
      <c r="N32" s="1404"/>
      <c r="O32" s="1188"/>
      <c r="Q32" s="1436"/>
      <c r="R32" s="1404"/>
      <c r="S32" s="1032">
        <v>1</v>
      </c>
      <c r="T32" s="1404"/>
      <c r="U32" s="1032">
        <v>1</v>
      </c>
      <c r="V32" s="1404"/>
      <c r="W32" s="1032">
        <v>1</v>
      </c>
      <c r="X32" s="1404"/>
      <c r="Y32" s="1032">
        <v>1</v>
      </c>
      <c r="Z32" s="1404"/>
      <c r="AA32" s="1032">
        <v>2</v>
      </c>
      <c r="AB32" s="1404"/>
      <c r="AC32" s="1032">
        <v>2</v>
      </c>
      <c r="AD32" s="1404"/>
      <c r="AE32" s="1032">
        <v>2</v>
      </c>
      <c r="AG32" s="1436"/>
      <c r="AH32" s="1404"/>
      <c r="AI32" s="1032">
        <v>1</v>
      </c>
      <c r="AJ32" s="1404"/>
      <c r="AK32" s="1032">
        <v>1</v>
      </c>
      <c r="AL32" s="1404"/>
      <c r="AM32" s="1032">
        <v>1</v>
      </c>
      <c r="AN32" s="1404"/>
      <c r="AO32" s="1032">
        <v>1</v>
      </c>
      <c r="AP32" s="1404"/>
      <c r="AQ32" s="1032">
        <v>2</v>
      </c>
      <c r="AR32" s="1404"/>
      <c r="AS32" s="1032">
        <v>2</v>
      </c>
      <c r="AT32" s="1404"/>
      <c r="AU32" s="1032">
        <v>2</v>
      </c>
      <c r="AW32" s="1404"/>
      <c r="AX32" s="1404"/>
      <c r="AY32" s="1032">
        <v>1</v>
      </c>
      <c r="AZ32" s="1404"/>
      <c r="BA32" s="1032">
        <v>1</v>
      </c>
      <c r="BB32" s="1404"/>
      <c r="BC32" s="1032">
        <v>1</v>
      </c>
      <c r="BD32" s="1404"/>
      <c r="BE32" s="1032">
        <v>1</v>
      </c>
      <c r="BF32" s="1404"/>
      <c r="BG32" s="1032">
        <v>2</v>
      </c>
      <c r="BH32" s="1404"/>
      <c r="BI32" s="1032">
        <v>2</v>
      </c>
      <c r="BJ32" s="1404"/>
      <c r="BK32" s="1032">
        <v>2</v>
      </c>
      <c r="BM32" s="1404"/>
      <c r="BN32" s="1404"/>
      <c r="BO32" s="1032">
        <v>1</v>
      </c>
      <c r="BP32" s="1404"/>
      <c r="BQ32" s="1032">
        <v>1</v>
      </c>
      <c r="BR32" s="1404"/>
      <c r="BS32" s="1032">
        <v>1</v>
      </c>
      <c r="BT32" s="1404"/>
      <c r="BU32" s="1032">
        <v>1</v>
      </c>
      <c r="BV32" s="1404"/>
      <c r="BW32" s="1032">
        <v>1</v>
      </c>
      <c r="BX32" s="1404"/>
      <c r="BY32" s="1032">
        <v>2</v>
      </c>
      <c r="BZ32" s="1404"/>
      <c r="CA32" s="1032">
        <v>2</v>
      </c>
      <c r="CC32" s="1436"/>
      <c r="CD32" s="1404"/>
      <c r="CE32" s="1032">
        <v>1</v>
      </c>
      <c r="CF32" s="1404"/>
      <c r="CG32" s="1032">
        <v>1</v>
      </c>
      <c r="CH32" s="1404"/>
      <c r="CI32" s="1032">
        <v>1</v>
      </c>
      <c r="CJ32" s="1404"/>
      <c r="CK32" s="1032">
        <v>1</v>
      </c>
      <c r="CL32" s="1404"/>
      <c r="CM32" s="1032">
        <v>1</v>
      </c>
      <c r="CN32" s="1404"/>
      <c r="CO32" s="1032">
        <v>1</v>
      </c>
      <c r="CP32" s="1404"/>
      <c r="CQ32" s="1032">
        <v>1</v>
      </c>
      <c r="CS32" s="1436"/>
      <c r="CT32" s="1404"/>
      <c r="CU32" s="1032">
        <v>1</v>
      </c>
      <c r="CV32" s="1404"/>
      <c r="CW32" s="1032">
        <v>1</v>
      </c>
      <c r="CX32" s="1404"/>
      <c r="CY32" s="1032">
        <v>1</v>
      </c>
      <c r="CZ32" s="1404"/>
      <c r="DA32" s="1032">
        <v>1</v>
      </c>
      <c r="DB32" s="1404"/>
      <c r="DC32" s="1032">
        <v>1</v>
      </c>
      <c r="DD32" s="1404"/>
      <c r="DE32" s="1032">
        <v>1</v>
      </c>
      <c r="DF32" s="1404"/>
      <c r="DG32" s="1032">
        <v>1</v>
      </c>
      <c r="DI32" s="1436"/>
      <c r="DJ32" s="1433"/>
      <c r="DK32" s="1427"/>
      <c r="DL32" s="1433"/>
      <c r="DM32" s="1427"/>
      <c r="DN32" s="1404"/>
      <c r="DO32" s="1032">
        <v>1</v>
      </c>
      <c r="DP32" s="1404"/>
      <c r="DQ32" s="1032">
        <v>1</v>
      </c>
      <c r="DR32" s="1404"/>
      <c r="DS32" s="1032">
        <v>1</v>
      </c>
      <c r="DT32" s="1404"/>
      <c r="DU32" s="1032">
        <v>1</v>
      </c>
      <c r="DV32" s="1404"/>
      <c r="DW32" s="1032">
        <v>1</v>
      </c>
      <c r="DY32" s="1436"/>
      <c r="DZ32" s="1433"/>
      <c r="EA32" s="1427"/>
      <c r="EB32" s="1433"/>
      <c r="EC32" s="1427"/>
      <c r="ED32" s="1404"/>
      <c r="EE32" s="1032">
        <v>1</v>
      </c>
      <c r="EF32" s="1404"/>
      <c r="EG32" s="1032">
        <v>1</v>
      </c>
      <c r="EH32" s="1404"/>
      <c r="EI32" s="1032">
        <v>1</v>
      </c>
      <c r="EJ32" s="1404"/>
      <c r="EK32" s="1032">
        <v>1</v>
      </c>
      <c r="EL32" s="1404"/>
      <c r="EM32" s="1032">
        <v>1</v>
      </c>
    </row>
    <row r="33" spans="1:143" ht="45" customHeight="1">
      <c r="A33" s="1436"/>
      <c r="B33" s="1406"/>
      <c r="C33" s="1030">
        <f>C31/(C32*C6)</f>
        <v>0.95960016659725134</v>
      </c>
      <c r="D33" s="1406"/>
      <c r="E33" s="1030">
        <f>E31/(E32*C6)</f>
        <v>0.95960016659725134</v>
      </c>
      <c r="F33" s="1406"/>
      <c r="G33" s="1030">
        <f>G31/(G32*C6)</f>
        <v>0.95960016659725134</v>
      </c>
      <c r="H33" s="1406"/>
      <c r="I33" s="1030">
        <f>I31/(I32*C6)</f>
        <v>0.95960016659725134</v>
      </c>
      <c r="J33" s="1406"/>
      <c r="K33" s="1030">
        <f>K31/(K32*C6)</f>
        <v>0.61141191170345699</v>
      </c>
      <c r="L33" s="1404"/>
      <c r="M33" s="1031" t="s">
        <v>1181</v>
      </c>
      <c r="N33" s="1404"/>
      <c r="O33" s="1031" t="s">
        <v>1181</v>
      </c>
      <c r="Q33" s="1436"/>
      <c r="R33" s="1404"/>
      <c r="S33" s="1030">
        <f>S31/(S32*S6)</f>
        <v>0.88717751251443988</v>
      </c>
      <c r="T33" s="1404"/>
      <c r="U33" s="1030">
        <f>U31/(U32*S6)</f>
        <v>0.88717751251443988</v>
      </c>
      <c r="V33" s="1404"/>
      <c r="W33" s="1030">
        <f>W31/(W32*S6)</f>
        <v>0.88717751251443988</v>
      </c>
      <c r="X33" s="1404"/>
      <c r="Y33" s="1030">
        <f>Y31/(Y32*S6)</f>
        <v>0.88717751251443988</v>
      </c>
      <c r="Z33" s="1404"/>
      <c r="AA33" s="1030">
        <f>AA31/(AA32*S6)</f>
        <v>0.56526761648055457</v>
      </c>
      <c r="AB33" s="1404"/>
      <c r="AC33" s="1030">
        <f>AC31/(AC32*S6)</f>
        <v>0.70696958028494428</v>
      </c>
      <c r="AD33" s="1404"/>
      <c r="AE33" s="1030">
        <f>AE31/(AE32*S6)</f>
        <v>0.72545244512899498</v>
      </c>
      <c r="AG33" s="1436"/>
      <c r="AH33" s="1404"/>
      <c r="AI33" s="1030">
        <f>AI31/(AI32*AI6)</f>
        <v>0.83965014577259489</v>
      </c>
      <c r="AJ33" s="1404"/>
      <c r="AK33" s="1030">
        <f>AK31/(AK32*AI6)</f>
        <v>0.83965014577259489</v>
      </c>
      <c r="AL33" s="1404"/>
      <c r="AM33" s="1030">
        <f>AM31/(AM32*AI6)</f>
        <v>0.83965014577259489</v>
      </c>
      <c r="AN33" s="1404"/>
      <c r="AO33" s="1030">
        <f>AO31/(AO32*AI6)</f>
        <v>0.83965014577259489</v>
      </c>
      <c r="AP33" s="1404"/>
      <c r="AQ33" s="1030">
        <f>AQ31/(AQ32*AI6)</f>
        <v>0.53498542274052485</v>
      </c>
      <c r="AR33" s="1404"/>
      <c r="AS33" s="1030">
        <f>AS31/(AS32*AI6)</f>
        <v>0.6690962099125366</v>
      </c>
      <c r="AT33" s="1404"/>
      <c r="AU33" s="1030">
        <f>AU31/(AU32*AI6)</f>
        <v>0.6865889212827988</v>
      </c>
      <c r="AW33" s="1404"/>
      <c r="AX33" s="1404"/>
      <c r="AY33" s="1030">
        <f>AY31/(AY32*AY6)</f>
        <v>0.7124304267161411</v>
      </c>
      <c r="AZ33" s="1404"/>
      <c r="BA33" s="1030">
        <f>BA31/(BA32*AY6)</f>
        <v>0.7124304267161411</v>
      </c>
      <c r="BB33" s="1404"/>
      <c r="BC33" s="1030">
        <f>BC31/(BC32*AY6)</f>
        <v>0.7124304267161411</v>
      </c>
      <c r="BD33" s="1404"/>
      <c r="BE33" s="1030">
        <f>BE31/(BE32*AY6)</f>
        <v>0.7124304267161411</v>
      </c>
      <c r="BF33" s="1404"/>
      <c r="BG33" s="1030">
        <f>BG31/(BG32*AY6)</f>
        <v>0.45392702535559681</v>
      </c>
      <c r="BH33" s="1404"/>
      <c r="BI33" s="1030">
        <f>BI31/(BI32*AY6)</f>
        <v>0.56771799628942488</v>
      </c>
      <c r="BJ33" s="1404"/>
      <c r="BK33" s="1030">
        <f>BK31/(BK32*AY6)</f>
        <v>0.58256029684601107</v>
      </c>
      <c r="BM33" s="1404"/>
      <c r="BN33" s="1404"/>
      <c r="BO33" s="1030">
        <f>BO31/(BO32*BO6)</f>
        <v>0.61868958109559624</v>
      </c>
      <c r="BP33" s="1404"/>
      <c r="BQ33" s="1030">
        <f>BQ31/(BQ32*BO6)</f>
        <v>0.61868958109559624</v>
      </c>
      <c r="BR33" s="1404"/>
      <c r="BS33" s="1030">
        <f>BS31/(BS32*BO6)</f>
        <v>0.61868958109559624</v>
      </c>
      <c r="BT33" s="1404"/>
      <c r="BU33" s="1030">
        <f>BU31/(BU32*BO6)</f>
        <v>0.61868958109559624</v>
      </c>
      <c r="BV33" s="1404"/>
      <c r="BW33" s="1030">
        <f>BW31/(BW32*BO6)</f>
        <v>0.78839957035445762</v>
      </c>
      <c r="BX33" s="1404"/>
      <c r="BY33" s="1030">
        <f>BY31/(BY32*BO6)</f>
        <v>0.4930182599355532</v>
      </c>
      <c r="BZ33" s="1404"/>
      <c r="CA33" s="1030">
        <f>CA31/(CA32*BO6)</f>
        <v>0.50590762620837804</v>
      </c>
      <c r="CC33" s="1436"/>
      <c r="CD33" s="1404"/>
      <c r="CE33" s="1030">
        <f>CE31/(CE32*CE6)</f>
        <v>0.54674893213099196</v>
      </c>
      <c r="CF33" s="1404"/>
      <c r="CG33" s="1030">
        <f>CG31/(CG32*CE6)</f>
        <v>0.54674893213099196</v>
      </c>
      <c r="CH33" s="1404"/>
      <c r="CI33" s="1030">
        <f>CI31/(CI32*CE6)</f>
        <v>0.54674893213099196</v>
      </c>
      <c r="CJ33" s="1404"/>
      <c r="CK33" s="1030">
        <f>CK31/(CK32*CE6)</f>
        <v>0.54674893213099196</v>
      </c>
      <c r="CL33" s="1404"/>
      <c r="CM33" s="1030">
        <f>CM31/(CM32*CE6)</f>
        <v>0.69672520170859054</v>
      </c>
      <c r="CN33" s="1404"/>
      <c r="CO33" s="1030">
        <f>CO31/(CO32*CE6)</f>
        <v>0.87138111058376855</v>
      </c>
      <c r="CP33" s="1404"/>
      <c r="CQ33" s="1030">
        <f>CQ31/(CQ32*CE6)</f>
        <v>0.89416231608922636</v>
      </c>
      <c r="CS33" s="1436"/>
      <c r="CT33" s="1404"/>
      <c r="CU33" s="1030">
        <f>CU31/(CU32*CU6)</f>
        <v>0.48979591836734698</v>
      </c>
      <c r="CV33" s="1404"/>
      <c r="CW33" s="1030">
        <f>CW31/(CW32*CU6)</f>
        <v>0.48979591836734698</v>
      </c>
      <c r="CX33" s="1404"/>
      <c r="CY33" s="1030">
        <f>CY31/(CY32*CU6)</f>
        <v>0.48979591836734698</v>
      </c>
      <c r="CZ33" s="1404"/>
      <c r="DA33" s="1030">
        <f>DA31/(DA32*CU6)</f>
        <v>0.48979591836734698</v>
      </c>
      <c r="DB33" s="1404"/>
      <c r="DC33" s="1030">
        <f>DC31/(DC32*CU6)</f>
        <v>0.62414965986394566</v>
      </c>
      <c r="DD33" s="1404"/>
      <c r="DE33" s="1030">
        <f>DE31/(DE32*CU6)</f>
        <v>0.78061224489795933</v>
      </c>
      <c r="DF33" s="1404"/>
      <c r="DG33" s="1030">
        <f>DG31/(DG32*CU6)</f>
        <v>0.80102040816326525</v>
      </c>
      <c r="DI33" s="1436"/>
      <c r="DJ33" s="1434"/>
      <c r="DK33" s="1428"/>
      <c r="DL33" s="1434"/>
      <c r="DM33" s="1428"/>
      <c r="DN33" s="1404"/>
      <c r="DO33" s="1030">
        <f>DO31/(DO32*DK6)</f>
        <v>0.46098439375750305</v>
      </c>
      <c r="DP33" s="1404"/>
      <c r="DQ33" s="1030">
        <f>DQ31/(DQ32*DK6)</f>
        <v>0.46098439375750305</v>
      </c>
      <c r="DR33" s="1404"/>
      <c r="DS33" s="1059">
        <f>DS31/(DS32*DK6)</f>
        <v>0.58743497398959599</v>
      </c>
      <c r="DT33" s="1404"/>
      <c r="DU33" s="1059">
        <f>DU31/(DU32*DK6)</f>
        <v>0.73469387755102056</v>
      </c>
      <c r="DV33" s="1404"/>
      <c r="DW33" s="1059">
        <f>DW31/(DW32*DK6)</f>
        <v>0.75390156062424973</v>
      </c>
      <c r="DY33" s="1436"/>
      <c r="DZ33" s="1434"/>
      <c r="EA33" s="1428"/>
      <c r="EB33" s="1434"/>
      <c r="EC33" s="1428"/>
      <c r="ED33" s="1404"/>
      <c r="EE33" s="1030">
        <f>EE31/(EE32*EA6)</f>
        <v>0.42745825602968468</v>
      </c>
      <c r="EF33" s="1404"/>
      <c r="EG33" s="1030">
        <f>EG31/(EG32*EA6)</f>
        <v>0.42745825602968468</v>
      </c>
      <c r="EH33" s="1404"/>
      <c r="EI33" s="1059">
        <f>EI31/(EI32*EA6)</f>
        <v>0.54471243042671624</v>
      </c>
      <c r="EJ33" s="1404"/>
      <c r="EK33" s="1059">
        <f>EK31/(EK32*EA6)</f>
        <v>0.68126159554730992</v>
      </c>
      <c r="EL33" s="1404"/>
      <c r="EM33" s="1059">
        <f>EM31/(EM32*EA6)</f>
        <v>0.69907235621521335</v>
      </c>
    </row>
    <row r="34" spans="1:143" ht="15.75" customHeight="1">
      <c r="A34" s="1435" t="s">
        <v>1369</v>
      </c>
      <c r="B34" s="1404"/>
      <c r="C34" s="1033">
        <f>Möblierungsschablone!$C$66</f>
        <v>4.08</v>
      </c>
      <c r="D34" s="1404"/>
      <c r="E34" s="1033">
        <f>Möblierungsschablone!$C$66</f>
        <v>4.08</v>
      </c>
      <c r="F34" s="1404"/>
      <c r="G34" s="1033">
        <f>Möblierungsschablone!$C$66</f>
        <v>4.08</v>
      </c>
      <c r="H34" s="1404"/>
      <c r="I34" s="1033">
        <f>2*Möblierungsschablone!$C$66</f>
        <v>8.16</v>
      </c>
      <c r="J34" s="1404"/>
      <c r="K34" s="1033">
        <f>2*Möblierungsschablone!$C$66</f>
        <v>8.16</v>
      </c>
      <c r="L34" s="1404"/>
      <c r="M34" s="1188"/>
      <c r="N34" s="1404"/>
      <c r="O34" s="1188"/>
      <c r="Q34" s="1435" t="s">
        <v>1369</v>
      </c>
      <c r="R34" s="1199" t="s">
        <v>2039</v>
      </c>
      <c r="S34" s="1033">
        <f>Möblierungsschablone!$C$66</f>
        <v>4.08</v>
      </c>
      <c r="T34" s="1199" t="s">
        <v>2039</v>
      </c>
      <c r="U34" s="1033">
        <f>Möblierungsschablone!$C$66</f>
        <v>4.08</v>
      </c>
      <c r="V34" s="1199" t="s">
        <v>2039</v>
      </c>
      <c r="W34" s="1033">
        <f>Möblierungsschablone!$C$66</f>
        <v>4.08</v>
      </c>
      <c r="X34" s="1199" t="s">
        <v>2040</v>
      </c>
      <c r="Y34" s="1033">
        <f>2*Möblierungsschablone!$C$66</f>
        <v>8.16</v>
      </c>
      <c r="Z34" s="1199" t="s">
        <v>2040</v>
      </c>
      <c r="AA34" s="1033">
        <f>2*Möblierungsschablone!$C$66</f>
        <v>8.16</v>
      </c>
      <c r="AB34" s="1199" t="s">
        <v>2039</v>
      </c>
      <c r="AC34" s="1033">
        <f>Möblierungsschablone!$C$66</f>
        <v>4.08</v>
      </c>
      <c r="AD34" s="1199" t="s">
        <v>2039</v>
      </c>
      <c r="AE34" s="1033">
        <f>Möblierungsschablone!$C$66</f>
        <v>4.08</v>
      </c>
      <c r="AG34" s="1435" t="s">
        <v>1369</v>
      </c>
      <c r="AH34" s="1199" t="s">
        <v>2039</v>
      </c>
      <c r="AI34" s="1033">
        <f>Möblierungsschablone!$C$66</f>
        <v>4.08</v>
      </c>
      <c r="AJ34" s="1199" t="s">
        <v>2039</v>
      </c>
      <c r="AK34" s="1033">
        <f>Möblierungsschablone!$C$66</f>
        <v>4.08</v>
      </c>
      <c r="AL34" s="1199" t="s">
        <v>2039</v>
      </c>
      <c r="AM34" s="1033">
        <f>Möblierungsschablone!$C$66</f>
        <v>4.08</v>
      </c>
      <c r="AN34" s="1199" t="s">
        <v>2040</v>
      </c>
      <c r="AO34" s="1033">
        <f>2*Möblierungsschablone!$C$66</f>
        <v>8.16</v>
      </c>
      <c r="AP34" s="1199" t="s">
        <v>2040</v>
      </c>
      <c r="AQ34" s="1033">
        <f>2*Möblierungsschablone!$C$66</f>
        <v>8.16</v>
      </c>
      <c r="AR34" s="1199" t="s">
        <v>2039</v>
      </c>
      <c r="AS34" s="1033">
        <f>Möblierungsschablone!$C$66</f>
        <v>4.08</v>
      </c>
      <c r="AT34" s="1199" t="s">
        <v>2039</v>
      </c>
      <c r="AU34" s="1033">
        <f>Möblierungsschablone!$C$66</f>
        <v>4.08</v>
      </c>
      <c r="AW34" s="1403" t="s">
        <v>1369</v>
      </c>
      <c r="AX34" s="1199" t="s">
        <v>2039</v>
      </c>
      <c r="AY34" s="1033">
        <f>Möblierungsschablone!$C$66</f>
        <v>4.08</v>
      </c>
      <c r="AZ34" s="1199" t="s">
        <v>2039</v>
      </c>
      <c r="BA34" s="1033">
        <f>Möblierungsschablone!$C$66</f>
        <v>4.08</v>
      </c>
      <c r="BB34" s="1199" t="s">
        <v>2039</v>
      </c>
      <c r="BC34" s="1033">
        <f>Möblierungsschablone!$C$66</f>
        <v>4.08</v>
      </c>
      <c r="BD34" s="1199" t="s">
        <v>2040</v>
      </c>
      <c r="BE34" s="1033">
        <f>2*Möblierungsschablone!$C$66</f>
        <v>8.16</v>
      </c>
      <c r="BF34" s="1199" t="s">
        <v>2040</v>
      </c>
      <c r="BG34" s="1033">
        <f>2*Möblierungsschablone!$C$66</f>
        <v>8.16</v>
      </c>
      <c r="BH34" s="1199" t="s">
        <v>2039</v>
      </c>
      <c r="BI34" s="1033">
        <f>Möblierungsschablone!$C$66</f>
        <v>4.08</v>
      </c>
      <c r="BJ34" s="1199" t="s">
        <v>2039</v>
      </c>
      <c r="BK34" s="1033">
        <f>Möblierungsschablone!$C$66</f>
        <v>4.08</v>
      </c>
      <c r="BM34" s="1403" t="s">
        <v>1369</v>
      </c>
      <c r="BN34" s="1199" t="s">
        <v>2039</v>
      </c>
      <c r="BO34" s="1033">
        <f>Möblierungsschablone!$C$66</f>
        <v>4.08</v>
      </c>
      <c r="BP34" s="1199" t="s">
        <v>2039</v>
      </c>
      <c r="BQ34" s="1033">
        <f>Möblierungsschablone!$C$66</f>
        <v>4.08</v>
      </c>
      <c r="BR34" s="1199" t="s">
        <v>2039</v>
      </c>
      <c r="BS34" s="1033">
        <f>Möblierungsschablone!$C$66</f>
        <v>4.08</v>
      </c>
      <c r="BT34" s="1199" t="s">
        <v>2040</v>
      </c>
      <c r="BU34" s="1033">
        <f>2*Möblierungsschablone!$C$66</f>
        <v>8.16</v>
      </c>
      <c r="BV34" s="1199" t="s">
        <v>2040</v>
      </c>
      <c r="BW34" s="1033">
        <f>2*Möblierungsschablone!$C$66</f>
        <v>8.16</v>
      </c>
      <c r="BX34" s="1199" t="s">
        <v>2039</v>
      </c>
      <c r="BY34" s="1033">
        <f>Möblierungsschablone!$C$66</f>
        <v>4.08</v>
      </c>
      <c r="BZ34" s="1199" t="s">
        <v>2039</v>
      </c>
      <c r="CA34" s="1033">
        <f>Möblierungsschablone!$C$66</f>
        <v>4.08</v>
      </c>
      <c r="CC34" s="1435" t="s">
        <v>1369</v>
      </c>
      <c r="CD34" s="1404"/>
      <c r="CE34" s="1033">
        <f>Möblierungsschablone!$C$66</f>
        <v>4.08</v>
      </c>
      <c r="CF34" s="1404"/>
      <c r="CG34" s="1033">
        <f>Möblierungsschablone!$C$66</f>
        <v>4.08</v>
      </c>
      <c r="CH34" s="1199" t="s">
        <v>2039</v>
      </c>
      <c r="CI34" s="1033">
        <f>Möblierungsschablone!$C$66</f>
        <v>4.08</v>
      </c>
      <c r="CJ34" s="1199" t="s">
        <v>2040</v>
      </c>
      <c r="CK34" s="1033">
        <f>2*Möblierungsschablone!$C$66</f>
        <v>8.16</v>
      </c>
      <c r="CL34" s="1199" t="s">
        <v>2040</v>
      </c>
      <c r="CM34" s="1033">
        <f>2*Möblierungsschablone!$C$66</f>
        <v>8.16</v>
      </c>
      <c r="CN34" s="1199" t="s">
        <v>2039</v>
      </c>
      <c r="CO34" s="1033">
        <f>Möblierungsschablone!$C$66</f>
        <v>4.08</v>
      </c>
      <c r="CP34" s="1199" t="s">
        <v>2039</v>
      </c>
      <c r="CQ34" s="1033">
        <f>Möblierungsschablone!$C$66</f>
        <v>4.08</v>
      </c>
      <c r="CS34" s="1435" t="s">
        <v>1369</v>
      </c>
      <c r="CT34" s="1199" t="s">
        <v>2039</v>
      </c>
      <c r="CU34" s="1033">
        <f>Möblierungsschablone!$C$66</f>
        <v>4.08</v>
      </c>
      <c r="CV34" s="1199" t="s">
        <v>2039</v>
      </c>
      <c r="CW34" s="1033">
        <f>Möblierungsschablone!$C$66</f>
        <v>4.08</v>
      </c>
      <c r="CX34" s="1199" t="s">
        <v>2039</v>
      </c>
      <c r="CY34" s="1033">
        <f>Möblierungsschablone!$C$66</f>
        <v>4.08</v>
      </c>
      <c r="CZ34" s="1199" t="s">
        <v>2040</v>
      </c>
      <c r="DA34" s="1033">
        <f>2*Möblierungsschablone!$C$66</f>
        <v>8.16</v>
      </c>
      <c r="DB34" s="1199" t="s">
        <v>2040</v>
      </c>
      <c r="DC34" s="1033">
        <f>2*Möblierungsschablone!$C$66</f>
        <v>8.16</v>
      </c>
      <c r="DD34" s="1199" t="s">
        <v>2039</v>
      </c>
      <c r="DE34" s="1033">
        <f>Möblierungsschablone!$C$66</f>
        <v>4.08</v>
      </c>
      <c r="DF34" s="1199" t="s">
        <v>2039</v>
      </c>
      <c r="DG34" s="1033">
        <f>Möblierungsschablone!$C$66</f>
        <v>4.08</v>
      </c>
      <c r="DI34" s="1435" t="s">
        <v>1369</v>
      </c>
      <c r="DJ34" s="1199" t="s">
        <v>2039</v>
      </c>
      <c r="DK34" s="1033">
        <f>Möblierungsschablone!$C$66</f>
        <v>4.08</v>
      </c>
      <c r="DL34" s="1199" t="s">
        <v>2039</v>
      </c>
      <c r="DM34" s="1033">
        <f>Möblierungsschablone!$C$66</f>
        <v>4.08</v>
      </c>
      <c r="DN34" s="1199" t="s">
        <v>2039</v>
      </c>
      <c r="DO34" s="1033">
        <f>Möblierungsschablone!$C$66</f>
        <v>4.08</v>
      </c>
      <c r="DP34" s="1199" t="s">
        <v>2040</v>
      </c>
      <c r="DQ34" s="1033">
        <f>2*Möblierungsschablone!$C$66</f>
        <v>8.16</v>
      </c>
      <c r="DR34" s="1199" t="s">
        <v>2040</v>
      </c>
      <c r="DS34" s="1033">
        <f>2*Möblierungsschablone!$C$66</f>
        <v>8.16</v>
      </c>
      <c r="DT34" s="1199" t="s">
        <v>2039</v>
      </c>
      <c r="DU34" s="1033">
        <f>Möblierungsschablone!$C$66</f>
        <v>4.08</v>
      </c>
      <c r="DV34" s="1199" t="s">
        <v>2039</v>
      </c>
      <c r="DW34" s="1033">
        <f>Möblierungsschablone!$C$66</f>
        <v>4.08</v>
      </c>
      <c r="DY34" s="1435" t="s">
        <v>1369</v>
      </c>
      <c r="DZ34" s="1199" t="s">
        <v>2039</v>
      </c>
      <c r="EA34" s="1033">
        <f>Möblierungsschablone!$C$66</f>
        <v>4.08</v>
      </c>
      <c r="EB34" s="1199" t="s">
        <v>2039</v>
      </c>
      <c r="EC34" s="1033">
        <f>Möblierungsschablone!$C$66</f>
        <v>4.08</v>
      </c>
      <c r="ED34" s="1199" t="s">
        <v>2039</v>
      </c>
      <c r="EE34" s="1033">
        <f>Möblierungsschablone!$C$66</f>
        <v>4.08</v>
      </c>
      <c r="EF34" s="1199" t="s">
        <v>2040</v>
      </c>
      <c r="EG34" s="1033">
        <f>2*Möblierungsschablone!$C$66</f>
        <v>8.16</v>
      </c>
      <c r="EH34" s="1199" t="s">
        <v>2040</v>
      </c>
      <c r="EI34" s="1033">
        <f>2*Möblierungsschablone!$C$66</f>
        <v>8.16</v>
      </c>
      <c r="EJ34" s="1199" t="s">
        <v>2039</v>
      </c>
      <c r="EK34" s="1033">
        <f>Möblierungsschablone!$C$66</f>
        <v>4.08</v>
      </c>
      <c r="EL34" s="1199" t="s">
        <v>2039</v>
      </c>
      <c r="EM34" s="1033">
        <f>Möblierungsschablone!$C$66</f>
        <v>4.08</v>
      </c>
    </row>
    <row r="35" spans="1:143" ht="15.75" customHeight="1">
      <c r="A35" s="1436"/>
      <c r="B35" s="1404"/>
      <c r="C35" s="1033"/>
      <c r="D35" s="1404"/>
      <c r="E35" s="1033"/>
      <c r="F35" s="1404"/>
      <c r="G35" s="1033">
        <f>Möblierungsschablone!$I$66</f>
        <v>1.4400000000000002</v>
      </c>
      <c r="H35" s="1404"/>
      <c r="I35" s="1033"/>
      <c r="J35" s="1404"/>
      <c r="K35" s="1033"/>
      <c r="L35" s="1404"/>
      <c r="M35" s="1188"/>
      <c r="N35" s="1404"/>
      <c r="O35" s="1188"/>
      <c r="Q35" s="1436"/>
      <c r="R35" s="1200"/>
      <c r="S35" s="1033"/>
      <c r="T35" s="1200"/>
      <c r="U35" s="1033"/>
      <c r="V35" s="1200" t="s">
        <v>2037</v>
      </c>
      <c r="W35" s="1033">
        <f>Möblierungsschablone!$I$66</f>
        <v>1.4400000000000002</v>
      </c>
      <c r="X35" s="1200"/>
      <c r="Y35" s="1033"/>
      <c r="Z35" s="1200"/>
      <c r="AA35" s="1033"/>
      <c r="AB35" s="1200" t="s">
        <v>2038</v>
      </c>
      <c r="AC35" s="1033">
        <f>Möblierungsschablone!$G$66</f>
        <v>4.5</v>
      </c>
      <c r="AD35" s="1200" t="s">
        <v>2038</v>
      </c>
      <c r="AE35" s="1033">
        <f>Möblierungsschablone!$G$66</f>
        <v>4.5</v>
      </c>
      <c r="AG35" s="1436"/>
      <c r="AH35" s="1200"/>
      <c r="AI35" s="1033"/>
      <c r="AJ35" s="1200"/>
      <c r="AK35" s="1033"/>
      <c r="AL35" s="1200" t="s">
        <v>2037</v>
      </c>
      <c r="AM35" s="1033">
        <f>Möblierungsschablone!$I$66</f>
        <v>1.4400000000000002</v>
      </c>
      <c r="AN35" s="1200"/>
      <c r="AO35" s="1033"/>
      <c r="AP35" s="1200"/>
      <c r="AQ35" s="1033"/>
      <c r="AR35" s="1200" t="s">
        <v>2038</v>
      </c>
      <c r="AS35" s="1033">
        <f>Möblierungsschablone!$G$66</f>
        <v>4.5</v>
      </c>
      <c r="AT35" s="1200" t="s">
        <v>2038</v>
      </c>
      <c r="AU35" s="1033">
        <f>Möblierungsschablone!$G$66</f>
        <v>4.5</v>
      </c>
      <c r="AW35" s="1404"/>
      <c r="AX35" s="1200"/>
      <c r="AY35" s="1033"/>
      <c r="AZ35" s="1200"/>
      <c r="BA35" s="1033"/>
      <c r="BB35" s="1200" t="s">
        <v>2037</v>
      </c>
      <c r="BC35" s="1033">
        <f>Möblierungsschablone!$I$66</f>
        <v>1.4400000000000002</v>
      </c>
      <c r="BD35" s="1200"/>
      <c r="BE35" s="1033"/>
      <c r="BF35" s="1200"/>
      <c r="BG35" s="1033"/>
      <c r="BH35" s="1200" t="s">
        <v>2038</v>
      </c>
      <c r="BI35" s="1033">
        <f>Möblierungsschablone!$G$66</f>
        <v>4.5</v>
      </c>
      <c r="BJ35" s="1200" t="s">
        <v>2038</v>
      </c>
      <c r="BK35" s="1033">
        <f>Möblierungsschablone!$G$66</f>
        <v>4.5</v>
      </c>
      <c r="BM35" s="1404"/>
      <c r="BN35" s="1200"/>
      <c r="BO35" s="1033"/>
      <c r="BP35" s="1200"/>
      <c r="BQ35" s="1033"/>
      <c r="BR35" s="1200" t="s">
        <v>2037</v>
      </c>
      <c r="BS35" s="1033">
        <f>Möblierungsschablone!$I$66</f>
        <v>1.4400000000000002</v>
      </c>
      <c r="BT35" s="1200"/>
      <c r="BU35" s="1033"/>
      <c r="BV35" s="1200"/>
      <c r="BW35" s="1033"/>
      <c r="BX35" s="1200" t="s">
        <v>2038</v>
      </c>
      <c r="BY35" s="1033">
        <f>Möblierungsschablone!$G$66</f>
        <v>4.5</v>
      </c>
      <c r="BZ35" s="1200" t="s">
        <v>2038</v>
      </c>
      <c r="CA35" s="1033">
        <f>Möblierungsschablone!$G$66</f>
        <v>4.5</v>
      </c>
      <c r="CC35" s="1436"/>
      <c r="CD35" s="1404"/>
      <c r="CE35" s="1033"/>
      <c r="CF35" s="1404"/>
      <c r="CG35" s="1033"/>
      <c r="CH35" s="1200" t="s">
        <v>2037</v>
      </c>
      <c r="CI35" s="1033">
        <f>Möblierungsschablone!$I$66</f>
        <v>1.4400000000000002</v>
      </c>
      <c r="CJ35" s="1200"/>
      <c r="CK35" s="1033"/>
      <c r="CL35" s="1200"/>
      <c r="CM35" s="1033"/>
      <c r="CN35" s="1200" t="s">
        <v>2038</v>
      </c>
      <c r="CO35" s="1033">
        <f>Möblierungsschablone!$G$66</f>
        <v>4.5</v>
      </c>
      <c r="CP35" s="1200" t="s">
        <v>2038</v>
      </c>
      <c r="CQ35" s="1033">
        <f>Möblierungsschablone!$G$66</f>
        <v>4.5</v>
      </c>
      <c r="CS35" s="1436"/>
      <c r="CT35" s="1200"/>
      <c r="CU35" s="1033"/>
      <c r="CV35" s="1200"/>
      <c r="CW35" s="1033"/>
      <c r="CX35" s="1200" t="s">
        <v>2037</v>
      </c>
      <c r="CY35" s="1033">
        <f>Möblierungsschablone!$I$66</f>
        <v>1.4400000000000002</v>
      </c>
      <c r="CZ35" s="1200"/>
      <c r="DA35" s="1033"/>
      <c r="DB35" s="1200"/>
      <c r="DC35" s="1033"/>
      <c r="DD35" s="1200" t="s">
        <v>2038</v>
      </c>
      <c r="DE35" s="1033">
        <f>Möblierungsschablone!$G$66</f>
        <v>4.5</v>
      </c>
      <c r="DF35" s="1200" t="s">
        <v>2038</v>
      </c>
      <c r="DG35" s="1033">
        <f>Möblierungsschablone!$G$66</f>
        <v>4.5</v>
      </c>
      <c r="DI35" s="1436"/>
      <c r="DJ35" s="1200"/>
      <c r="DK35" s="1033"/>
      <c r="DL35" s="1200"/>
      <c r="DM35" s="1033"/>
      <c r="DN35" s="1200" t="s">
        <v>2037</v>
      </c>
      <c r="DO35" s="1033">
        <f>Möblierungsschablone!$I$66</f>
        <v>1.4400000000000002</v>
      </c>
      <c r="DP35" s="1200"/>
      <c r="DQ35" s="1033"/>
      <c r="DR35" s="1200"/>
      <c r="DS35" s="1033"/>
      <c r="DT35" s="1200" t="s">
        <v>2038</v>
      </c>
      <c r="DU35" s="1033">
        <f>Möblierungsschablone!$G$66</f>
        <v>4.5</v>
      </c>
      <c r="DV35" s="1200" t="s">
        <v>2038</v>
      </c>
      <c r="DW35" s="1033">
        <f>Möblierungsschablone!$G$66</f>
        <v>4.5</v>
      </c>
      <c r="DY35" s="1436"/>
      <c r="DZ35" s="1200"/>
      <c r="EA35" s="1033"/>
      <c r="EB35" s="1200"/>
      <c r="EC35" s="1033"/>
      <c r="ED35" s="1200" t="s">
        <v>2037</v>
      </c>
      <c r="EE35" s="1033">
        <f>Möblierungsschablone!$I$66</f>
        <v>1.4400000000000002</v>
      </c>
      <c r="EF35" s="1200"/>
      <c r="EG35" s="1033"/>
      <c r="EH35" s="1200"/>
      <c r="EI35" s="1033"/>
      <c r="EJ35" s="1200" t="s">
        <v>2038</v>
      </c>
      <c r="EK35" s="1033">
        <f>Möblierungsschablone!$G$66</f>
        <v>4.5</v>
      </c>
      <c r="EL35" s="1200" t="s">
        <v>2038</v>
      </c>
      <c r="EM35" s="1033">
        <f>Möblierungsschablone!$G$66</f>
        <v>4.5</v>
      </c>
    </row>
    <row r="36" spans="1:143" ht="15.75" customHeight="1">
      <c r="A36" s="1436"/>
      <c r="B36" s="1404"/>
      <c r="C36" s="1033"/>
      <c r="D36" s="1404"/>
      <c r="E36" s="1033"/>
      <c r="F36" s="1404"/>
      <c r="G36" s="1033"/>
      <c r="H36" s="1404"/>
      <c r="I36" s="1033"/>
      <c r="J36" s="1404"/>
      <c r="K36" s="1033"/>
      <c r="L36" s="1404"/>
      <c r="M36" s="1188"/>
      <c r="N36" s="1404"/>
      <c r="O36" s="1188"/>
      <c r="Q36" s="1436"/>
      <c r="R36" s="1200"/>
      <c r="S36" s="1033"/>
      <c r="T36" s="1200"/>
      <c r="U36" s="1033"/>
      <c r="V36" s="1200"/>
      <c r="W36" s="1033"/>
      <c r="X36" s="1200"/>
      <c r="Y36" s="1033"/>
      <c r="Z36" s="1200"/>
      <c r="AA36" s="1033"/>
      <c r="AB36" s="1200"/>
      <c r="AC36" s="1033"/>
      <c r="AD36" s="1200" t="s">
        <v>2037</v>
      </c>
      <c r="AE36" s="1033">
        <f>Möblierungsschablone!$I$66</f>
        <v>1.4400000000000002</v>
      </c>
      <c r="AG36" s="1436"/>
      <c r="AH36" s="1200"/>
      <c r="AI36" s="1033"/>
      <c r="AJ36" s="1200"/>
      <c r="AK36" s="1033"/>
      <c r="AL36" s="1200"/>
      <c r="AM36" s="1033"/>
      <c r="AN36" s="1200"/>
      <c r="AO36" s="1033"/>
      <c r="AP36" s="1200"/>
      <c r="AQ36" s="1033"/>
      <c r="AR36" s="1200"/>
      <c r="AS36" s="1033"/>
      <c r="AT36" s="1200" t="s">
        <v>2037</v>
      </c>
      <c r="AU36" s="1033">
        <f>Möblierungsschablone!$I$66</f>
        <v>1.4400000000000002</v>
      </c>
      <c r="AW36" s="1404"/>
      <c r="AX36" s="1200"/>
      <c r="AY36" s="1033"/>
      <c r="AZ36" s="1200"/>
      <c r="BA36" s="1033"/>
      <c r="BB36" s="1200"/>
      <c r="BC36" s="1033"/>
      <c r="BD36" s="1200"/>
      <c r="BE36" s="1033"/>
      <c r="BF36" s="1200"/>
      <c r="BG36" s="1033"/>
      <c r="BH36" s="1200"/>
      <c r="BI36" s="1033"/>
      <c r="BJ36" s="1200" t="s">
        <v>2037</v>
      </c>
      <c r="BK36" s="1033">
        <f>Möblierungsschablone!$I$66</f>
        <v>1.4400000000000002</v>
      </c>
      <c r="BM36" s="1404"/>
      <c r="BN36" s="1200"/>
      <c r="BO36" s="1033"/>
      <c r="BP36" s="1200"/>
      <c r="BQ36" s="1033"/>
      <c r="BR36" s="1200"/>
      <c r="BS36" s="1033"/>
      <c r="BT36" s="1200"/>
      <c r="BU36" s="1033"/>
      <c r="BV36" s="1200"/>
      <c r="BW36" s="1033"/>
      <c r="BX36" s="1200"/>
      <c r="BY36" s="1033"/>
      <c r="BZ36" s="1200" t="s">
        <v>2037</v>
      </c>
      <c r="CA36" s="1033">
        <f>Möblierungsschablone!$I$66</f>
        <v>1.4400000000000002</v>
      </c>
      <c r="CC36" s="1436"/>
      <c r="CD36" s="1404"/>
      <c r="CE36" s="1033"/>
      <c r="CF36" s="1404"/>
      <c r="CG36" s="1033"/>
      <c r="CH36" s="1200"/>
      <c r="CI36" s="1033"/>
      <c r="CJ36" s="1200"/>
      <c r="CK36" s="1033"/>
      <c r="CL36" s="1200"/>
      <c r="CM36" s="1033"/>
      <c r="CN36" s="1200"/>
      <c r="CO36" s="1033"/>
      <c r="CP36" s="1200" t="s">
        <v>2037</v>
      </c>
      <c r="CQ36" s="1033">
        <f>Möblierungsschablone!$I$66</f>
        <v>1.4400000000000002</v>
      </c>
      <c r="CS36" s="1436"/>
      <c r="CT36" s="1200"/>
      <c r="CU36" s="1033"/>
      <c r="CV36" s="1200"/>
      <c r="CW36" s="1033"/>
      <c r="CX36" s="1200"/>
      <c r="CY36" s="1033"/>
      <c r="CZ36" s="1200"/>
      <c r="DA36" s="1033"/>
      <c r="DB36" s="1200"/>
      <c r="DC36" s="1033"/>
      <c r="DD36" s="1200"/>
      <c r="DE36" s="1033"/>
      <c r="DF36" s="1200" t="s">
        <v>2037</v>
      </c>
      <c r="DG36" s="1033">
        <f>Möblierungsschablone!$I$66</f>
        <v>1.4400000000000002</v>
      </c>
      <c r="DI36" s="1436"/>
      <c r="DJ36" s="1200"/>
      <c r="DK36" s="1033"/>
      <c r="DL36" s="1200"/>
      <c r="DM36" s="1033"/>
      <c r="DN36" s="1200"/>
      <c r="DO36" s="1033"/>
      <c r="DP36" s="1200"/>
      <c r="DQ36" s="1033"/>
      <c r="DR36" s="1200"/>
      <c r="DS36" s="1033"/>
      <c r="DT36" s="1200"/>
      <c r="DU36" s="1033"/>
      <c r="DV36" s="1200" t="s">
        <v>2037</v>
      </c>
      <c r="DW36" s="1033">
        <f>Möblierungsschablone!$I$66</f>
        <v>1.4400000000000002</v>
      </c>
      <c r="DY36" s="1436"/>
      <c r="DZ36" s="1200"/>
      <c r="EA36" s="1033"/>
      <c r="EB36" s="1200"/>
      <c r="EC36" s="1033"/>
      <c r="ED36" s="1200"/>
      <c r="EE36" s="1033"/>
      <c r="EF36" s="1200"/>
      <c r="EG36" s="1033"/>
      <c r="EH36" s="1200"/>
      <c r="EI36" s="1033"/>
      <c r="EJ36" s="1200"/>
      <c r="EK36" s="1033"/>
      <c r="EL36" s="1200" t="s">
        <v>2037</v>
      </c>
      <c r="EM36" s="1033">
        <f>Möblierungsschablone!$I$66</f>
        <v>1.4400000000000002</v>
      </c>
    </row>
    <row r="37" spans="1:143" ht="15.75" customHeight="1">
      <c r="A37" s="1436"/>
      <c r="B37" s="1404"/>
      <c r="C37" s="1034">
        <f>SUM(C34:C35)</f>
        <v>4.08</v>
      </c>
      <c r="D37" s="1404"/>
      <c r="E37" s="1034">
        <f>SUM(E34:E35)</f>
        <v>4.08</v>
      </c>
      <c r="F37" s="1404"/>
      <c r="G37" s="1034">
        <f>SUM(G34:G35)</f>
        <v>5.5200000000000005</v>
      </c>
      <c r="H37" s="1404"/>
      <c r="I37" s="1034">
        <f>SUM(I34:I35)</f>
        <v>8.16</v>
      </c>
      <c r="J37" s="1404"/>
      <c r="K37" s="1034">
        <f>SUM(K34:K35)</f>
        <v>8.16</v>
      </c>
      <c r="L37" s="1404"/>
      <c r="M37" s="1188"/>
      <c r="N37" s="1404"/>
      <c r="O37" s="1188"/>
      <c r="Q37" s="1436"/>
      <c r="R37" s="1201" t="s">
        <v>2036</v>
      </c>
      <c r="S37" s="1034">
        <f>SUM(S34:S35)</f>
        <v>4.08</v>
      </c>
      <c r="T37" s="1201" t="s">
        <v>2036</v>
      </c>
      <c r="U37" s="1034">
        <f>SUM(U34:U35)</f>
        <v>4.08</v>
      </c>
      <c r="V37" s="1201" t="s">
        <v>2036</v>
      </c>
      <c r="W37" s="1034">
        <f>SUM(W34:W35)</f>
        <v>5.5200000000000005</v>
      </c>
      <c r="X37" s="1201" t="s">
        <v>2036</v>
      </c>
      <c r="Y37" s="1034">
        <f>SUM(Y34:Y35)</f>
        <v>8.16</v>
      </c>
      <c r="Z37" s="1201" t="s">
        <v>2036</v>
      </c>
      <c r="AA37" s="1034">
        <f>SUM(AA34:AA35)</f>
        <v>8.16</v>
      </c>
      <c r="AB37" s="1201" t="s">
        <v>2036</v>
      </c>
      <c r="AC37" s="1034">
        <f>SUM(AC34:AC35)</f>
        <v>8.58</v>
      </c>
      <c r="AD37" s="1201" t="s">
        <v>2036</v>
      </c>
      <c r="AE37" s="1034">
        <f>SUM(AE34:AE36)</f>
        <v>10.02</v>
      </c>
      <c r="AG37" s="1436"/>
      <c r="AH37" s="1201" t="s">
        <v>2036</v>
      </c>
      <c r="AI37" s="1034">
        <f>SUM(AI34:AI35)</f>
        <v>4.08</v>
      </c>
      <c r="AJ37" s="1201" t="s">
        <v>2036</v>
      </c>
      <c r="AK37" s="1034">
        <f>SUM(AK34:AK35)</f>
        <v>4.08</v>
      </c>
      <c r="AL37" s="1201" t="s">
        <v>2036</v>
      </c>
      <c r="AM37" s="1034">
        <f>SUM(AM34:AM35)</f>
        <v>5.5200000000000005</v>
      </c>
      <c r="AN37" s="1201" t="s">
        <v>2036</v>
      </c>
      <c r="AO37" s="1034">
        <f>SUM(AO34:AO35)</f>
        <v>8.16</v>
      </c>
      <c r="AP37" s="1201" t="s">
        <v>2036</v>
      </c>
      <c r="AQ37" s="1034">
        <f>SUM(AQ34:AQ35)</f>
        <v>8.16</v>
      </c>
      <c r="AR37" s="1201" t="s">
        <v>2036</v>
      </c>
      <c r="AS37" s="1034">
        <f>SUM(AS34:AS35)</f>
        <v>8.58</v>
      </c>
      <c r="AT37" s="1201" t="s">
        <v>2036</v>
      </c>
      <c r="AU37" s="1034">
        <f>SUM(AU34:AU36)</f>
        <v>10.02</v>
      </c>
      <c r="AW37" s="1404"/>
      <c r="AX37" s="1201" t="s">
        <v>2036</v>
      </c>
      <c r="AY37" s="1034">
        <f>SUM(AY34:AY35)</f>
        <v>4.08</v>
      </c>
      <c r="AZ37" s="1201" t="s">
        <v>2036</v>
      </c>
      <c r="BA37" s="1034">
        <f>SUM(BA34:BA35)</f>
        <v>4.08</v>
      </c>
      <c r="BB37" s="1201" t="s">
        <v>2036</v>
      </c>
      <c r="BC37" s="1034">
        <f>SUM(BC34:BC35)</f>
        <v>5.5200000000000005</v>
      </c>
      <c r="BD37" s="1201" t="s">
        <v>2036</v>
      </c>
      <c r="BE37" s="1034">
        <f>SUM(BE34:BE35)</f>
        <v>8.16</v>
      </c>
      <c r="BF37" s="1201" t="s">
        <v>2036</v>
      </c>
      <c r="BG37" s="1034">
        <f>SUM(BG34:BG35)</f>
        <v>8.16</v>
      </c>
      <c r="BH37" s="1201" t="s">
        <v>2036</v>
      </c>
      <c r="BI37" s="1034">
        <f>SUM(BI34:BI35)</f>
        <v>8.58</v>
      </c>
      <c r="BJ37" s="1201" t="s">
        <v>2036</v>
      </c>
      <c r="BK37" s="1034">
        <f>SUM(BK34:BK36)</f>
        <v>10.02</v>
      </c>
      <c r="BM37" s="1404"/>
      <c r="BN37" s="1201" t="s">
        <v>2036</v>
      </c>
      <c r="BO37" s="1034">
        <f>SUM(BO34:BO35)</f>
        <v>4.08</v>
      </c>
      <c r="BP37" s="1201" t="s">
        <v>2036</v>
      </c>
      <c r="BQ37" s="1034">
        <f>SUM(BQ34:BQ35)</f>
        <v>4.08</v>
      </c>
      <c r="BR37" s="1201" t="s">
        <v>2036</v>
      </c>
      <c r="BS37" s="1034">
        <f>SUM(BS34:BS35)</f>
        <v>5.5200000000000005</v>
      </c>
      <c r="BT37" s="1201" t="s">
        <v>2036</v>
      </c>
      <c r="BU37" s="1034">
        <f>SUM(BU34:BU35)</f>
        <v>8.16</v>
      </c>
      <c r="BV37" s="1201" t="s">
        <v>2036</v>
      </c>
      <c r="BW37" s="1034">
        <f>SUM(BW34:BW35)</f>
        <v>8.16</v>
      </c>
      <c r="BX37" s="1201" t="s">
        <v>2036</v>
      </c>
      <c r="BY37" s="1034">
        <f>SUM(BY34:BY35)</f>
        <v>8.58</v>
      </c>
      <c r="BZ37" s="1201" t="s">
        <v>2036</v>
      </c>
      <c r="CA37" s="1034">
        <f>SUM(CA34:CA36)</f>
        <v>10.02</v>
      </c>
      <c r="CC37" s="1436"/>
      <c r="CD37" s="1404"/>
      <c r="CE37" s="1034">
        <f>SUM(CE34:CE35)</f>
        <v>4.08</v>
      </c>
      <c r="CF37" s="1404"/>
      <c r="CG37" s="1034">
        <f>SUM(CG34:CG35)</f>
        <v>4.08</v>
      </c>
      <c r="CH37" s="1201" t="s">
        <v>2036</v>
      </c>
      <c r="CI37" s="1034">
        <f>SUM(CI34:CI35)</f>
        <v>5.5200000000000005</v>
      </c>
      <c r="CJ37" s="1201" t="s">
        <v>2036</v>
      </c>
      <c r="CK37" s="1034">
        <f>SUM(CK34:CK35)</f>
        <v>8.16</v>
      </c>
      <c r="CL37" s="1201" t="s">
        <v>2036</v>
      </c>
      <c r="CM37" s="1034">
        <f>SUM(CM34:CM35)</f>
        <v>8.16</v>
      </c>
      <c r="CN37" s="1201" t="s">
        <v>2036</v>
      </c>
      <c r="CO37" s="1034">
        <f>SUM(CO34:CO35)</f>
        <v>8.58</v>
      </c>
      <c r="CP37" s="1201" t="s">
        <v>2036</v>
      </c>
      <c r="CQ37" s="1034">
        <f>SUM(CQ34:CQ36)</f>
        <v>10.02</v>
      </c>
      <c r="CS37" s="1436"/>
      <c r="CT37" s="1201" t="s">
        <v>2036</v>
      </c>
      <c r="CU37" s="1034">
        <f>SUM(CU34:CU35)</f>
        <v>4.08</v>
      </c>
      <c r="CV37" s="1201" t="s">
        <v>2036</v>
      </c>
      <c r="CW37" s="1034">
        <f>SUM(CW34:CW35)</f>
        <v>4.08</v>
      </c>
      <c r="CX37" s="1201" t="s">
        <v>2036</v>
      </c>
      <c r="CY37" s="1034">
        <f>SUM(CY34:CY35)</f>
        <v>5.5200000000000005</v>
      </c>
      <c r="CZ37" s="1201" t="s">
        <v>2036</v>
      </c>
      <c r="DA37" s="1034">
        <f>SUM(DA34:DA35)</f>
        <v>8.16</v>
      </c>
      <c r="DB37" s="1201" t="s">
        <v>2036</v>
      </c>
      <c r="DC37" s="1034">
        <f>SUM(DC34:DC35)</f>
        <v>8.16</v>
      </c>
      <c r="DD37" s="1201" t="s">
        <v>2036</v>
      </c>
      <c r="DE37" s="1034">
        <f>SUM(DE34:DE35)</f>
        <v>8.58</v>
      </c>
      <c r="DF37" s="1201" t="s">
        <v>2036</v>
      </c>
      <c r="DG37" s="1034">
        <f>SUM(DG34:DG36)</f>
        <v>10.02</v>
      </c>
      <c r="DI37" s="1436"/>
      <c r="DJ37" s="1201" t="s">
        <v>2036</v>
      </c>
      <c r="DK37" s="1034">
        <f>SUM(DK34:DK35)</f>
        <v>4.08</v>
      </c>
      <c r="DL37" s="1201" t="s">
        <v>2036</v>
      </c>
      <c r="DM37" s="1034">
        <f>SUM(DM34:DM35)</f>
        <v>4.08</v>
      </c>
      <c r="DN37" s="1201" t="s">
        <v>2036</v>
      </c>
      <c r="DO37" s="1034">
        <f>SUM(DO34:DO35)</f>
        <v>5.5200000000000005</v>
      </c>
      <c r="DP37" s="1201" t="s">
        <v>2036</v>
      </c>
      <c r="DQ37" s="1034">
        <f>SUM(DQ34:DQ35)</f>
        <v>8.16</v>
      </c>
      <c r="DR37" s="1201" t="s">
        <v>2036</v>
      </c>
      <c r="DS37" s="1034">
        <f>SUM(DS34:DS35)</f>
        <v>8.16</v>
      </c>
      <c r="DT37" s="1201" t="s">
        <v>2036</v>
      </c>
      <c r="DU37" s="1034">
        <f>SUM(DU34:DU35)</f>
        <v>8.58</v>
      </c>
      <c r="DV37" s="1201" t="s">
        <v>2036</v>
      </c>
      <c r="DW37" s="1034">
        <f>SUM(DW34:DW36)</f>
        <v>10.02</v>
      </c>
      <c r="DY37" s="1436"/>
      <c r="DZ37" s="1201" t="s">
        <v>2036</v>
      </c>
      <c r="EA37" s="1034">
        <f>SUM(EA34:EA35)</f>
        <v>4.08</v>
      </c>
      <c r="EB37" s="1201" t="s">
        <v>2036</v>
      </c>
      <c r="EC37" s="1034">
        <f>SUM(EC34:EC35)</f>
        <v>4.08</v>
      </c>
      <c r="ED37" s="1201" t="s">
        <v>2036</v>
      </c>
      <c r="EE37" s="1034">
        <f>SUM(EE34:EE35)</f>
        <v>5.5200000000000005</v>
      </c>
      <c r="EF37" s="1201" t="s">
        <v>2036</v>
      </c>
      <c r="EG37" s="1034">
        <f>SUM(EG34:EG35)</f>
        <v>8.16</v>
      </c>
      <c r="EH37" s="1201" t="s">
        <v>2036</v>
      </c>
      <c r="EI37" s="1034">
        <f>SUM(EI34:EI35)</f>
        <v>8.16</v>
      </c>
      <c r="EJ37" s="1201" t="s">
        <v>2036</v>
      </c>
      <c r="EK37" s="1034">
        <f>SUM(EK34:EK35)</f>
        <v>8.58</v>
      </c>
      <c r="EL37" s="1201" t="s">
        <v>2036</v>
      </c>
      <c r="EM37" s="1034">
        <f>SUM(EM34:EM36)</f>
        <v>10.02</v>
      </c>
    </row>
    <row r="38" spans="1:143" ht="15.75" customHeight="1">
      <c r="A38" s="1436"/>
      <c r="B38" s="1404"/>
      <c r="C38" s="1032">
        <v>1</v>
      </c>
      <c r="D38" s="1404"/>
      <c r="E38" s="1032">
        <v>1</v>
      </c>
      <c r="F38" s="1404"/>
      <c r="G38" s="1032">
        <v>2</v>
      </c>
      <c r="H38" s="1404"/>
      <c r="I38" s="1032">
        <v>2</v>
      </c>
      <c r="J38" s="1404"/>
      <c r="K38" s="1032">
        <v>2</v>
      </c>
      <c r="L38" s="1404"/>
      <c r="M38" s="1188"/>
      <c r="N38" s="1404"/>
      <c r="O38" s="1188"/>
      <c r="Q38" s="1436"/>
      <c r="R38" s="1200" t="s">
        <v>1247</v>
      </c>
      <c r="S38" s="1032">
        <v>1</v>
      </c>
      <c r="T38" s="1200" t="s">
        <v>1247</v>
      </c>
      <c r="U38" s="1032">
        <v>1</v>
      </c>
      <c r="V38" s="1200" t="s">
        <v>1247</v>
      </c>
      <c r="W38" s="1032">
        <v>1</v>
      </c>
      <c r="X38" s="1200" t="s">
        <v>1247</v>
      </c>
      <c r="Y38" s="1032">
        <v>2</v>
      </c>
      <c r="Z38" s="1200" t="s">
        <v>1247</v>
      </c>
      <c r="AA38" s="1032">
        <v>2</v>
      </c>
      <c r="AB38" s="1200" t="s">
        <v>1247</v>
      </c>
      <c r="AC38" s="1032">
        <v>2</v>
      </c>
      <c r="AD38" s="1200" t="s">
        <v>1247</v>
      </c>
      <c r="AE38" s="1032">
        <v>2</v>
      </c>
      <c r="AG38" s="1436"/>
      <c r="AH38" s="1200" t="s">
        <v>1247</v>
      </c>
      <c r="AI38" s="1032">
        <v>1</v>
      </c>
      <c r="AJ38" s="1200" t="s">
        <v>1247</v>
      </c>
      <c r="AK38" s="1032">
        <v>1</v>
      </c>
      <c r="AL38" s="1200" t="s">
        <v>1247</v>
      </c>
      <c r="AM38" s="1032">
        <v>1</v>
      </c>
      <c r="AN38" s="1200" t="s">
        <v>1247</v>
      </c>
      <c r="AO38" s="1032">
        <v>2</v>
      </c>
      <c r="AP38" s="1200" t="s">
        <v>1247</v>
      </c>
      <c r="AQ38" s="1032">
        <v>2</v>
      </c>
      <c r="AR38" s="1200" t="s">
        <v>1247</v>
      </c>
      <c r="AS38" s="1032">
        <v>2</v>
      </c>
      <c r="AT38" s="1200" t="s">
        <v>1247</v>
      </c>
      <c r="AU38" s="1032">
        <v>2</v>
      </c>
      <c r="AW38" s="1404"/>
      <c r="AX38" s="1200" t="s">
        <v>1247</v>
      </c>
      <c r="AY38" s="1032">
        <v>1</v>
      </c>
      <c r="AZ38" s="1200" t="s">
        <v>1247</v>
      </c>
      <c r="BA38" s="1032">
        <v>1</v>
      </c>
      <c r="BB38" s="1200" t="s">
        <v>1247</v>
      </c>
      <c r="BC38" s="1032">
        <v>1</v>
      </c>
      <c r="BD38" s="1200" t="s">
        <v>1247</v>
      </c>
      <c r="BE38" s="1032">
        <v>2</v>
      </c>
      <c r="BF38" s="1200" t="s">
        <v>1247</v>
      </c>
      <c r="BG38" s="1032">
        <v>2</v>
      </c>
      <c r="BH38" s="1200" t="s">
        <v>1247</v>
      </c>
      <c r="BI38" s="1032">
        <v>2</v>
      </c>
      <c r="BJ38" s="1200" t="s">
        <v>1247</v>
      </c>
      <c r="BK38" s="1032">
        <v>2</v>
      </c>
      <c r="BM38" s="1404"/>
      <c r="BN38" s="1200" t="s">
        <v>1247</v>
      </c>
      <c r="BO38" s="1032">
        <v>1</v>
      </c>
      <c r="BP38" s="1200" t="s">
        <v>1247</v>
      </c>
      <c r="BQ38" s="1032">
        <v>1</v>
      </c>
      <c r="BR38" s="1200" t="s">
        <v>1247</v>
      </c>
      <c r="BS38" s="1032">
        <v>1</v>
      </c>
      <c r="BT38" s="1200" t="s">
        <v>1247</v>
      </c>
      <c r="BU38" s="1032">
        <v>1</v>
      </c>
      <c r="BV38" s="1200" t="s">
        <v>1247</v>
      </c>
      <c r="BW38" s="1032">
        <v>1</v>
      </c>
      <c r="BX38" s="1200" t="s">
        <v>1247</v>
      </c>
      <c r="BY38" s="1032">
        <v>1</v>
      </c>
      <c r="BZ38" s="1200" t="s">
        <v>1247</v>
      </c>
      <c r="CA38" s="1032">
        <v>2</v>
      </c>
      <c r="CC38" s="1436"/>
      <c r="CD38" s="1404"/>
      <c r="CE38" s="1032">
        <v>1</v>
      </c>
      <c r="CF38" s="1404"/>
      <c r="CG38" s="1032">
        <v>1</v>
      </c>
      <c r="CH38" s="1200" t="s">
        <v>1247</v>
      </c>
      <c r="CI38" s="1032">
        <v>1</v>
      </c>
      <c r="CJ38" s="1200" t="s">
        <v>1247</v>
      </c>
      <c r="CK38" s="1032">
        <v>1</v>
      </c>
      <c r="CL38" s="1200" t="s">
        <v>1247</v>
      </c>
      <c r="CM38" s="1032">
        <v>1</v>
      </c>
      <c r="CN38" s="1200" t="s">
        <v>1247</v>
      </c>
      <c r="CO38" s="1032">
        <v>1</v>
      </c>
      <c r="CP38" s="1200" t="s">
        <v>1247</v>
      </c>
      <c r="CQ38" s="1032">
        <v>1</v>
      </c>
      <c r="CS38" s="1436"/>
      <c r="CT38" s="1200" t="s">
        <v>1247</v>
      </c>
      <c r="CU38" s="1032">
        <v>1</v>
      </c>
      <c r="CV38" s="1200" t="s">
        <v>1247</v>
      </c>
      <c r="CW38" s="1032">
        <v>1</v>
      </c>
      <c r="CX38" s="1200" t="s">
        <v>1247</v>
      </c>
      <c r="CY38" s="1032">
        <v>1</v>
      </c>
      <c r="CZ38" s="1200" t="s">
        <v>1247</v>
      </c>
      <c r="DA38" s="1032">
        <v>1</v>
      </c>
      <c r="DB38" s="1200" t="s">
        <v>1247</v>
      </c>
      <c r="DC38" s="1032">
        <v>1</v>
      </c>
      <c r="DD38" s="1200" t="s">
        <v>1247</v>
      </c>
      <c r="DE38" s="1032">
        <v>1</v>
      </c>
      <c r="DF38" s="1200" t="s">
        <v>1247</v>
      </c>
      <c r="DG38" s="1032">
        <v>1</v>
      </c>
      <c r="DI38" s="1436"/>
      <c r="DJ38" s="1200" t="s">
        <v>1247</v>
      </c>
      <c r="DK38" s="1032">
        <v>1</v>
      </c>
      <c r="DL38" s="1200" t="s">
        <v>1247</v>
      </c>
      <c r="DM38" s="1032">
        <v>1</v>
      </c>
      <c r="DN38" s="1200" t="s">
        <v>1247</v>
      </c>
      <c r="DO38" s="1032">
        <v>1</v>
      </c>
      <c r="DP38" s="1200" t="s">
        <v>1247</v>
      </c>
      <c r="DQ38" s="1032">
        <v>1</v>
      </c>
      <c r="DR38" s="1200" t="s">
        <v>1247</v>
      </c>
      <c r="DS38" s="1032">
        <v>1</v>
      </c>
      <c r="DT38" s="1200" t="s">
        <v>1247</v>
      </c>
      <c r="DU38" s="1032">
        <v>1</v>
      </c>
      <c r="DV38" s="1200" t="s">
        <v>1247</v>
      </c>
      <c r="DW38" s="1032">
        <v>1</v>
      </c>
      <c r="DY38" s="1436"/>
      <c r="DZ38" s="1200" t="s">
        <v>1247</v>
      </c>
      <c r="EA38" s="1032">
        <v>1</v>
      </c>
      <c r="EB38" s="1200" t="s">
        <v>1247</v>
      </c>
      <c r="EC38" s="1032">
        <v>1</v>
      </c>
      <c r="ED38" s="1200" t="s">
        <v>1247</v>
      </c>
      <c r="EE38" s="1032">
        <v>1</v>
      </c>
      <c r="EF38" s="1200" t="s">
        <v>1247</v>
      </c>
      <c r="EG38" s="1032">
        <v>1</v>
      </c>
      <c r="EH38" s="1200" t="s">
        <v>1247</v>
      </c>
      <c r="EI38" s="1032">
        <v>1</v>
      </c>
      <c r="EJ38" s="1200" t="s">
        <v>1247</v>
      </c>
      <c r="EK38" s="1032">
        <v>1</v>
      </c>
      <c r="EL38" s="1200" t="s">
        <v>1247</v>
      </c>
      <c r="EM38" s="1032">
        <v>1</v>
      </c>
    </row>
    <row r="39" spans="1:143" ht="98.25" customHeight="1">
      <c r="A39" s="1436"/>
      <c r="B39" s="1404"/>
      <c r="C39" s="1030">
        <f>C37/(C38*C6)</f>
        <v>0.67971678467305308</v>
      </c>
      <c r="D39" s="1404"/>
      <c r="E39" s="1030">
        <f>E37/(E38*C6)</f>
        <v>0.67971678467305308</v>
      </c>
      <c r="F39" s="1404"/>
      <c r="G39" s="1030">
        <f>G37/(G38*C6)</f>
        <v>0.45980841316118298</v>
      </c>
      <c r="H39" s="1404"/>
      <c r="I39" s="1030">
        <f>I37/(I38*C6)</f>
        <v>0.67971678467305308</v>
      </c>
      <c r="J39" s="1404"/>
      <c r="K39" s="1030">
        <f>K37/(K38*C6)</f>
        <v>0.67971678467305308</v>
      </c>
      <c r="L39" s="1404"/>
      <c r="M39" s="1031" t="s">
        <v>1181</v>
      </c>
      <c r="N39" s="1404"/>
      <c r="O39" s="1031" t="s">
        <v>1181</v>
      </c>
      <c r="Q39" s="1436"/>
      <c r="R39" s="1202"/>
      <c r="S39" s="1030">
        <f>S37/(S38*S6)</f>
        <v>0.62841740469772822</v>
      </c>
      <c r="T39" s="1202"/>
      <c r="U39" s="1030">
        <f>U37/(U38*S6)</f>
        <v>0.62841740469772822</v>
      </c>
      <c r="V39" s="1202"/>
      <c r="W39" s="1030">
        <f>W37/(W38*S6)</f>
        <v>0.85021178282633836</v>
      </c>
      <c r="X39" s="1202"/>
      <c r="Y39" s="1030">
        <f>Y37/(Y38*S6)</f>
        <v>0.62841740469772822</v>
      </c>
      <c r="Z39" s="1202"/>
      <c r="AA39" s="1030">
        <f>AA37/(AA38*S6)</f>
        <v>0.62841740469772822</v>
      </c>
      <c r="AB39" s="1202"/>
      <c r="AC39" s="1030">
        <f>AC37/(AC38*S6)</f>
        <v>0.66076241817481718</v>
      </c>
      <c r="AD39" s="1202"/>
      <c r="AE39" s="1030">
        <f>AE37/(AE38*S6)</f>
        <v>0.77165960723912219</v>
      </c>
      <c r="AG39" s="1436"/>
      <c r="AH39" s="1202"/>
      <c r="AI39" s="1030">
        <f>AI37/(AI38*AI6)</f>
        <v>0.59475218658892137</v>
      </c>
      <c r="AJ39" s="1202"/>
      <c r="AK39" s="1030">
        <f>AK37/(AK38*AI6)</f>
        <v>0.59475218658892137</v>
      </c>
      <c r="AL39" s="1202"/>
      <c r="AM39" s="1030">
        <f>AM37/(AM38*AI6)</f>
        <v>0.80466472303207026</v>
      </c>
      <c r="AN39" s="1202"/>
      <c r="AO39" s="1030">
        <f>AO37/(AO38*AI6)</f>
        <v>0.59475218658892137</v>
      </c>
      <c r="AP39" s="1202"/>
      <c r="AQ39" s="1030">
        <f>AQ37/(AQ38*AI6)</f>
        <v>0.59475218658892137</v>
      </c>
      <c r="AR39" s="1202"/>
      <c r="AS39" s="1030">
        <f>AS37/(AS38*AI6)</f>
        <v>0.62536443148688059</v>
      </c>
      <c r="AT39" s="1202"/>
      <c r="AU39" s="1030">
        <f>AU37/(AU38*AI6)</f>
        <v>0.73032069970845492</v>
      </c>
      <c r="AW39" s="1404"/>
      <c r="AX39" s="1202"/>
      <c r="AY39" s="1030">
        <f>AY37/(AY38*AY6)</f>
        <v>0.50463821892393323</v>
      </c>
      <c r="AZ39" s="1202"/>
      <c r="BA39" s="1030">
        <f>BA37/(BA38*AY6)</f>
        <v>0.50463821892393323</v>
      </c>
      <c r="BB39" s="1202"/>
      <c r="BC39" s="1030">
        <f>BC37/(BC38*AY6)</f>
        <v>0.68274582560296859</v>
      </c>
      <c r="BD39" s="1202"/>
      <c r="BE39" s="1030">
        <f>BE37/(BE38*AY6)</f>
        <v>0.50463821892393323</v>
      </c>
      <c r="BF39" s="1202"/>
      <c r="BG39" s="1030">
        <f>BG37/(BG38*AY6)</f>
        <v>0.50463821892393323</v>
      </c>
      <c r="BH39" s="1202"/>
      <c r="BI39" s="1030">
        <f>BI37/(BI38*AY6)</f>
        <v>0.53061224489795922</v>
      </c>
      <c r="BJ39" s="1202"/>
      <c r="BK39" s="1030">
        <f>BK37/(BK38*AY6)</f>
        <v>0.61966604823747684</v>
      </c>
      <c r="BM39" s="1404"/>
      <c r="BN39" s="1202"/>
      <c r="BO39" s="1030">
        <f>BO37/(BO38*BO6)</f>
        <v>0.43823845327604732</v>
      </c>
      <c r="BP39" s="1202"/>
      <c r="BQ39" s="1030">
        <f>BQ37/(BQ38*BO6)</f>
        <v>0.43823845327604732</v>
      </c>
      <c r="BR39" s="1202"/>
      <c r="BS39" s="1030">
        <f>BS37/(BS38*BO6)</f>
        <v>0.59291084854994647</v>
      </c>
      <c r="BT39" s="1202"/>
      <c r="BU39" s="1030">
        <f>BU37/(BU38*BO6)</f>
        <v>0.87647690655209465</v>
      </c>
      <c r="BV39" s="1202"/>
      <c r="BW39" s="1030">
        <f>BW37/(BW38*BO6)</f>
        <v>0.87647690655209465</v>
      </c>
      <c r="BX39" s="1202"/>
      <c r="BY39" s="1030">
        <f>BY37/(BY38*BO6)</f>
        <v>0.92158968850698186</v>
      </c>
      <c r="BZ39" s="1202"/>
      <c r="CA39" s="1030">
        <f>CA37/(CA38*BO6)</f>
        <v>0.53813104189044048</v>
      </c>
      <c r="CC39" s="1436"/>
      <c r="CD39" s="1404"/>
      <c r="CE39" s="1030">
        <f>CE37/(CE38*CE6)</f>
        <v>0.38728049359278605</v>
      </c>
      <c r="CF39" s="1404"/>
      <c r="CG39" s="1030">
        <f>CG37/(CG38*CE6)</f>
        <v>0.38728049359278605</v>
      </c>
      <c r="CH39" s="1202"/>
      <c r="CI39" s="1030">
        <f>CI37/(CI38*CE6)</f>
        <v>0.52396772662553404</v>
      </c>
      <c r="CJ39" s="1202"/>
      <c r="CK39" s="1030">
        <f>CK37/(CK38*CE6)</f>
        <v>0.77456098718557209</v>
      </c>
      <c r="CL39" s="1202"/>
      <c r="CM39" s="1030">
        <f>CM37/(CM38*CE6)</f>
        <v>0.77456098718557209</v>
      </c>
      <c r="CN39" s="1202"/>
      <c r="CO39" s="1030">
        <f>CO37/(CO38*CE6)</f>
        <v>0.81442809682012351</v>
      </c>
      <c r="CP39" s="1202"/>
      <c r="CQ39" s="1030">
        <f>CQ37/(CQ38*CE6)</f>
        <v>0.9511153298528715</v>
      </c>
      <c r="CS39" s="1436"/>
      <c r="CT39" s="1202"/>
      <c r="CU39" s="1030">
        <f>CU37/(CU38*CU6)</f>
        <v>0.34693877551020413</v>
      </c>
      <c r="CV39" s="1202"/>
      <c r="CW39" s="1030">
        <f>CW37/(CW38*CU6)</f>
        <v>0.34693877551020413</v>
      </c>
      <c r="CX39" s="1202"/>
      <c r="CY39" s="1030">
        <f>CY37/(CY38*CU6)</f>
        <v>0.46938775510204095</v>
      </c>
      <c r="CZ39" s="1202"/>
      <c r="DA39" s="1030">
        <f>DA37/(DA38*CU6)</f>
        <v>0.69387755102040827</v>
      </c>
      <c r="DB39" s="1202"/>
      <c r="DC39" s="1030">
        <f>DC37/(DC38*CU6)</f>
        <v>0.69387755102040827</v>
      </c>
      <c r="DD39" s="1202"/>
      <c r="DE39" s="1030">
        <f>DE37/(DE38*CU6)</f>
        <v>0.72959183673469397</v>
      </c>
      <c r="DF39" s="1202"/>
      <c r="DG39" s="1030">
        <f>DG37/(DG38*CU6)</f>
        <v>0.85204081632653073</v>
      </c>
      <c r="DI39" s="1436"/>
      <c r="DJ39" s="1202"/>
      <c r="DK39" s="1030">
        <f>DK37/(DK38*DK6)</f>
        <v>0.32653061224489804</v>
      </c>
      <c r="DL39" s="1202"/>
      <c r="DM39" s="1030">
        <f>DM37/(DM38*DK6)</f>
        <v>0.32653061224489804</v>
      </c>
      <c r="DN39" s="1202"/>
      <c r="DO39" s="1030">
        <f>DO37/(DO38*DK6)</f>
        <v>0.44177671068427382</v>
      </c>
      <c r="DP39" s="1202"/>
      <c r="DQ39" s="1030">
        <f>DQ37/(DQ38*DK6)</f>
        <v>0.65306122448979609</v>
      </c>
      <c r="DR39" s="1202"/>
      <c r="DS39" s="1059">
        <f>DS37/(DS38*DK6)</f>
        <v>0.65306122448979609</v>
      </c>
      <c r="DT39" s="1202"/>
      <c r="DU39" s="1059">
        <f>DU37/(DU38*DK6)</f>
        <v>0.68667466986794734</v>
      </c>
      <c r="DV39" s="1202"/>
      <c r="DW39" s="1059">
        <f>DW37/(DW38*DK6)</f>
        <v>0.80192076830732306</v>
      </c>
      <c r="DY39" s="1436"/>
      <c r="DZ39" s="1202"/>
      <c r="EA39" s="1030">
        <f>EA37/(EA38*EA6)</f>
        <v>0.30278293135435996</v>
      </c>
      <c r="EB39" s="1202"/>
      <c r="EC39" s="1030">
        <f>EC37/(EC38*EA6)</f>
        <v>0.30278293135435996</v>
      </c>
      <c r="ED39" s="1202"/>
      <c r="EE39" s="1030">
        <f>EE37/(EE38*EA6)</f>
        <v>0.40964749536178119</v>
      </c>
      <c r="EF39" s="1202"/>
      <c r="EG39" s="1030">
        <f>EG37/(EG38*EA6)</f>
        <v>0.60556586270871993</v>
      </c>
      <c r="EH39" s="1202"/>
      <c r="EI39" s="1059">
        <f>EI37/(EI38*EA6)</f>
        <v>0.60556586270871993</v>
      </c>
      <c r="EJ39" s="1202"/>
      <c r="EK39" s="1059">
        <f>EK37/(EK38*EA6)</f>
        <v>0.63673469387755111</v>
      </c>
      <c r="EL39" s="1202"/>
      <c r="EM39" s="1059">
        <f>EM37/(EM38*EA6)</f>
        <v>0.74359925788497228</v>
      </c>
    </row>
    <row r="40" spans="1:143" ht="15.75" customHeight="1">
      <c r="A40" s="1429" t="s">
        <v>1472</v>
      </c>
      <c r="B40" s="1414"/>
      <c r="C40" s="1033"/>
      <c r="D40" s="1414"/>
      <c r="E40" s="1033"/>
      <c r="F40" s="1203" t="s">
        <v>2035</v>
      </c>
      <c r="G40" s="1032">
        <v>1</v>
      </c>
      <c r="H40" s="1203" t="s">
        <v>2035</v>
      </c>
      <c r="I40" s="1032">
        <v>1</v>
      </c>
      <c r="J40" s="1203" t="s">
        <v>2035</v>
      </c>
      <c r="K40" s="1032">
        <v>1</v>
      </c>
      <c r="L40" s="1203" t="s">
        <v>2035</v>
      </c>
      <c r="M40" s="1188"/>
      <c r="N40" s="1203" t="s">
        <v>2035</v>
      </c>
      <c r="O40" s="1188"/>
      <c r="Q40" s="1429" t="s">
        <v>1472</v>
      </c>
      <c r="R40" s="1414"/>
      <c r="S40" s="1033"/>
      <c r="T40" s="1414"/>
      <c r="U40" s="1033"/>
      <c r="V40" s="1203" t="s">
        <v>2035</v>
      </c>
      <c r="W40" s="1032">
        <v>1</v>
      </c>
      <c r="X40" s="1203" t="s">
        <v>2035</v>
      </c>
      <c r="Y40" s="1032">
        <v>1</v>
      </c>
      <c r="Z40" s="1203" t="s">
        <v>2035</v>
      </c>
      <c r="AA40" s="1032">
        <v>1</v>
      </c>
      <c r="AB40" s="1203" t="s">
        <v>2035</v>
      </c>
      <c r="AC40" s="1032">
        <v>1</v>
      </c>
      <c r="AD40" s="1203" t="s">
        <v>2035</v>
      </c>
      <c r="AE40" s="1032">
        <v>1</v>
      </c>
      <c r="AG40" s="1429" t="s">
        <v>1472</v>
      </c>
      <c r="AH40" s="1414"/>
      <c r="AI40" s="1033"/>
      <c r="AJ40" s="1414"/>
      <c r="AK40" s="1033"/>
      <c r="AL40" s="1203"/>
      <c r="AM40" s="1032"/>
      <c r="AN40" s="1203" t="s">
        <v>2035</v>
      </c>
      <c r="AO40" s="1032">
        <v>1</v>
      </c>
      <c r="AP40" s="1203" t="s">
        <v>2035</v>
      </c>
      <c r="AQ40" s="1032">
        <v>1</v>
      </c>
      <c r="AR40" s="1203" t="s">
        <v>2035</v>
      </c>
      <c r="AS40" s="1032">
        <v>1</v>
      </c>
      <c r="AT40" s="1203" t="s">
        <v>2035</v>
      </c>
      <c r="AU40" s="1032">
        <v>1</v>
      </c>
      <c r="AW40" s="1431" t="s">
        <v>1472</v>
      </c>
      <c r="AX40" s="1414"/>
      <c r="AY40" s="1033"/>
      <c r="AZ40" s="1414"/>
      <c r="BA40" s="1033"/>
      <c r="BB40" s="1203"/>
      <c r="BC40" s="1032"/>
      <c r="BD40" s="1203" t="s">
        <v>2035</v>
      </c>
      <c r="BE40" s="1032">
        <v>1</v>
      </c>
      <c r="BF40" s="1203" t="s">
        <v>2035</v>
      </c>
      <c r="BG40" s="1032">
        <v>1</v>
      </c>
      <c r="BH40" s="1203" t="s">
        <v>2035</v>
      </c>
      <c r="BI40" s="1032">
        <v>1</v>
      </c>
      <c r="BJ40" s="1203" t="s">
        <v>2035</v>
      </c>
      <c r="BK40" s="1032">
        <v>1</v>
      </c>
      <c r="BM40" s="1431" t="s">
        <v>1472</v>
      </c>
      <c r="BN40" s="1414"/>
      <c r="BO40" s="1033"/>
      <c r="BP40" s="1414"/>
      <c r="BQ40" s="1033"/>
      <c r="BR40" s="1203"/>
      <c r="BS40" s="1032"/>
      <c r="BT40" s="1203" t="s">
        <v>2035</v>
      </c>
      <c r="BU40" s="1032">
        <v>1</v>
      </c>
      <c r="BV40" s="1203" t="s">
        <v>2035</v>
      </c>
      <c r="BW40" s="1032">
        <v>1</v>
      </c>
      <c r="BX40" s="1203" t="s">
        <v>2035</v>
      </c>
      <c r="BY40" s="1032">
        <v>1</v>
      </c>
      <c r="BZ40" s="1203" t="s">
        <v>2035</v>
      </c>
      <c r="CA40" s="1032">
        <v>1</v>
      </c>
      <c r="CC40" s="1429" t="s">
        <v>1472</v>
      </c>
      <c r="CD40" s="1414"/>
      <c r="CE40" s="1033"/>
      <c r="CF40" s="1414"/>
      <c r="CG40" s="1033"/>
      <c r="CH40" s="1203"/>
      <c r="CI40" s="1032"/>
      <c r="CJ40" s="1203"/>
      <c r="CK40" s="1032"/>
      <c r="CL40" s="1203"/>
      <c r="CM40" s="1032"/>
      <c r="CN40" s="1203"/>
      <c r="CO40" s="1032"/>
      <c r="CP40" s="1203" t="s">
        <v>2035</v>
      </c>
      <c r="CQ40" s="1032">
        <v>1</v>
      </c>
      <c r="CS40" s="1429" t="s">
        <v>1472</v>
      </c>
      <c r="CT40" s="1414"/>
      <c r="CU40" s="1033"/>
      <c r="CV40" s="1414"/>
      <c r="CW40" s="1033"/>
      <c r="CX40" s="1203"/>
      <c r="CY40" s="1032"/>
      <c r="CZ40" s="1203"/>
      <c r="DA40" s="1032"/>
      <c r="DB40" s="1203"/>
      <c r="DC40" s="1032"/>
      <c r="DD40" s="1203"/>
      <c r="DE40" s="1032"/>
      <c r="DF40" s="1203"/>
      <c r="DG40" s="1032"/>
      <c r="DI40" s="1431" t="s">
        <v>1472</v>
      </c>
      <c r="DJ40" s="1414"/>
      <c r="DK40" s="1033"/>
      <c r="DL40" s="1414"/>
      <c r="DM40" s="1033"/>
      <c r="DN40" s="1203"/>
      <c r="DO40" s="1032"/>
      <c r="DP40" s="1203"/>
      <c r="DQ40" s="1032"/>
      <c r="DR40" s="1203"/>
      <c r="DS40" s="1032"/>
      <c r="DT40" s="1203"/>
      <c r="DU40" s="1032"/>
      <c r="DV40" s="1203"/>
      <c r="DW40" s="1032"/>
      <c r="DY40" s="1429" t="s">
        <v>1472</v>
      </c>
      <c r="DZ40" s="1414"/>
      <c r="EA40" s="1033"/>
      <c r="EB40" s="1414"/>
      <c r="EC40" s="1033"/>
      <c r="ED40" s="1203"/>
      <c r="EE40" s="1032"/>
      <c r="EF40" s="1203"/>
      <c r="EG40" s="1032"/>
      <c r="EH40" s="1203"/>
      <c r="EI40" s="1032"/>
      <c r="EJ40" s="1203"/>
      <c r="EK40" s="1032"/>
      <c r="EL40" s="1203"/>
      <c r="EM40" s="1032"/>
    </row>
    <row r="41" spans="1:143" ht="50.25" customHeight="1">
      <c r="A41" s="1430"/>
      <c r="B41" s="1416"/>
      <c r="C41" s="1031" t="s">
        <v>1181</v>
      </c>
      <c r="D41" s="1416"/>
      <c r="E41" s="1031" t="s">
        <v>1181</v>
      </c>
      <c r="F41" s="1204"/>
      <c r="G41" s="1030">
        <v>1</v>
      </c>
      <c r="H41" s="1204"/>
      <c r="I41" s="1030">
        <v>1</v>
      </c>
      <c r="J41" s="1204"/>
      <c r="K41" s="1030">
        <v>1</v>
      </c>
      <c r="L41" s="1204"/>
      <c r="M41" s="1188"/>
      <c r="N41" s="1204"/>
      <c r="O41" s="1188"/>
      <c r="Q41" s="1430"/>
      <c r="R41" s="1416"/>
      <c r="S41" s="1031"/>
      <c r="T41" s="1416"/>
      <c r="U41" s="1031"/>
      <c r="V41" s="1204"/>
      <c r="W41" s="1030">
        <v>1</v>
      </c>
      <c r="X41" s="1204"/>
      <c r="Y41" s="1030">
        <v>1</v>
      </c>
      <c r="Z41" s="1204"/>
      <c r="AA41" s="1030">
        <v>1</v>
      </c>
      <c r="AB41" s="1204"/>
      <c r="AC41" s="1030">
        <v>1</v>
      </c>
      <c r="AD41" s="1204"/>
      <c r="AE41" s="1030">
        <v>1</v>
      </c>
      <c r="AG41" s="1430"/>
      <c r="AH41" s="1416"/>
      <c r="AI41" s="1031"/>
      <c r="AJ41" s="1416"/>
      <c r="AK41" s="1031"/>
      <c r="AL41" s="1204"/>
      <c r="AM41" s="1030"/>
      <c r="AN41" s="1204"/>
      <c r="AO41" s="1030">
        <v>1</v>
      </c>
      <c r="AP41" s="1204"/>
      <c r="AQ41" s="1030">
        <v>1</v>
      </c>
      <c r="AR41" s="1204"/>
      <c r="AS41" s="1030">
        <v>1</v>
      </c>
      <c r="AT41" s="1204"/>
      <c r="AU41" s="1030">
        <v>1</v>
      </c>
      <c r="AW41" s="1432"/>
      <c r="AX41" s="1416"/>
      <c r="AY41" s="1031"/>
      <c r="AZ41" s="1416"/>
      <c r="BA41" s="1031"/>
      <c r="BB41" s="1204"/>
      <c r="BC41" s="1030"/>
      <c r="BD41" s="1204"/>
      <c r="BE41" s="1030">
        <v>1</v>
      </c>
      <c r="BF41" s="1204"/>
      <c r="BG41" s="1030">
        <v>1</v>
      </c>
      <c r="BH41" s="1204"/>
      <c r="BI41" s="1030">
        <v>1</v>
      </c>
      <c r="BJ41" s="1204"/>
      <c r="BK41" s="1030">
        <v>1</v>
      </c>
      <c r="BM41" s="1432"/>
      <c r="BN41" s="1416"/>
      <c r="BO41" s="1031"/>
      <c r="BP41" s="1416"/>
      <c r="BQ41" s="1031"/>
      <c r="BR41" s="1204"/>
      <c r="BS41" s="1030"/>
      <c r="BT41" s="1204"/>
      <c r="BU41" s="1030">
        <v>1</v>
      </c>
      <c r="BV41" s="1204"/>
      <c r="BW41" s="1030">
        <v>1</v>
      </c>
      <c r="BX41" s="1204"/>
      <c r="BY41" s="1030">
        <v>1</v>
      </c>
      <c r="BZ41" s="1204"/>
      <c r="CA41" s="1030">
        <v>1</v>
      </c>
      <c r="CC41" s="1430"/>
      <c r="CD41" s="1416"/>
      <c r="CE41" s="1031"/>
      <c r="CF41" s="1416"/>
      <c r="CG41" s="1031"/>
      <c r="CH41" s="1204"/>
      <c r="CI41" s="1030"/>
      <c r="CJ41" s="1204"/>
      <c r="CK41" s="1030"/>
      <c r="CL41" s="1204"/>
      <c r="CM41" s="1030"/>
      <c r="CN41" s="1204"/>
      <c r="CO41" s="1030"/>
      <c r="CP41" s="1204"/>
      <c r="CQ41" s="1030">
        <v>1</v>
      </c>
      <c r="CS41" s="1430"/>
      <c r="CT41" s="1416"/>
      <c r="CU41" s="1031"/>
      <c r="CV41" s="1416"/>
      <c r="CW41" s="1031"/>
      <c r="CX41" s="1204"/>
      <c r="CY41" s="1030"/>
      <c r="CZ41" s="1204"/>
      <c r="DA41" s="1030"/>
      <c r="DB41" s="1204"/>
      <c r="DC41" s="1030"/>
      <c r="DD41" s="1204"/>
      <c r="DE41" s="1030"/>
      <c r="DF41" s="1204"/>
      <c r="DG41" s="1030"/>
      <c r="DI41" s="1432"/>
      <c r="DJ41" s="1416"/>
      <c r="DK41" s="1031"/>
      <c r="DL41" s="1416"/>
      <c r="DM41" s="1031"/>
      <c r="DN41" s="1204"/>
      <c r="DO41" s="1030"/>
      <c r="DP41" s="1204"/>
      <c r="DQ41" s="1030"/>
      <c r="DR41" s="1204"/>
      <c r="DS41" s="1059"/>
      <c r="DT41" s="1204"/>
      <c r="DU41" s="1059"/>
      <c r="DV41" s="1204"/>
      <c r="DW41" s="1059"/>
      <c r="DY41" s="1430"/>
      <c r="DZ41" s="1416"/>
      <c r="EA41" s="1031"/>
      <c r="EB41" s="1416"/>
      <c r="EC41" s="1031"/>
      <c r="ED41" s="1204"/>
      <c r="EE41" s="1030"/>
      <c r="EF41" s="1204"/>
      <c r="EG41" s="1030"/>
      <c r="EH41" s="1204"/>
      <c r="EI41" s="1059"/>
      <c r="EJ41" s="1204"/>
      <c r="EK41" s="1059"/>
      <c r="EL41" s="1204"/>
      <c r="EM41" s="1059"/>
    </row>
    <row r="42" spans="1:143" ht="15.75" customHeight="1">
      <c r="A42" s="1028" t="s">
        <v>1370</v>
      </c>
      <c r="B42" s="1028"/>
      <c r="C42" s="1029">
        <f>C40+C38+C32+C27+C22+C12</f>
        <v>6</v>
      </c>
      <c r="D42" s="1029"/>
      <c r="E42" s="1029">
        <f>E40+E38+E32+E27+E22+E12</f>
        <v>6</v>
      </c>
      <c r="F42" s="1029"/>
      <c r="G42" s="1029">
        <f>G40+G38+G32+G27+G22+G17+G12</f>
        <v>11</v>
      </c>
      <c r="H42" s="1029"/>
      <c r="I42" s="1029">
        <f>I40+I38+I32+I27+I22+I17+I12</f>
        <v>12</v>
      </c>
      <c r="J42" s="1029"/>
      <c r="K42" s="1029">
        <f>K40+K38+K32+K27+K22+K17+K12</f>
        <v>16</v>
      </c>
      <c r="L42" s="1029"/>
      <c r="M42" s="1029"/>
      <c r="N42" s="1029"/>
      <c r="O42" s="1029"/>
      <c r="Q42" s="1028" t="s">
        <v>1370</v>
      </c>
      <c r="R42" s="1028"/>
      <c r="S42" s="1029">
        <f>S40+S38+S32+S27+S22+S12</f>
        <v>6</v>
      </c>
      <c r="T42" s="1029"/>
      <c r="U42" s="1029">
        <f>U40+U38+U32+U27+U22+U12</f>
        <v>6</v>
      </c>
      <c r="V42" s="1029"/>
      <c r="W42" s="1029">
        <f>W40+W38+W32+W27+W22+W17+W12</f>
        <v>10</v>
      </c>
      <c r="X42" s="1029"/>
      <c r="Y42" s="1029">
        <f>Y40+Y38+Y32+Y27+Y22+Y17+Y12</f>
        <v>12</v>
      </c>
      <c r="Z42" s="1029"/>
      <c r="AA42" s="1029">
        <f>AA40+AA38+AA32+AA27+AA22+AA17+AA12</f>
        <v>16</v>
      </c>
      <c r="AB42" s="1029"/>
      <c r="AC42" s="1029">
        <f>AC40+AC38+AC32+AC27+AC22+AC17+AC12</f>
        <v>16</v>
      </c>
      <c r="AD42" s="1029"/>
      <c r="AE42" s="1029">
        <f>AE40+AE38+AE32+AE27+AE22+AE17+AE12</f>
        <v>18</v>
      </c>
      <c r="AG42" s="1028" t="s">
        <v>1370</v>
      </c>
      <c r="AH42" s="1028"/>
      <c r="AI42" s="1029">
        <f>AI40+AI38+AI32+AI23+AI12</f>
        <v>5</v>
      </c>
      <c r="AJ42" s="1029"/>
      <c r="AK42" s="1029">
        <f>AK40+AK38+AK32+AK23+AK12</f>
        <v>5</v>
      </c>
      <c r="AL42" s="1029"/>
      <c r="AM42" s="1029">
        <f>AM40+AM38+AM32+AM27+AM22+AM17+AM12</f>
        <v>9</v>
      </c>
      <c r="AN42" s="1029"/>
      <c r="AO42" s="1029">
        <f>AO40+AO38+AO32+AO27+AO22+AO17+AO12</f>
        <v>12</v>
      </c>
      <c r="AP42" s="1029"/>
      <c r="AQ42" s="1029">
        <f>AQ40+AQ38+AQ32+AQ27+AQ22+AQ17+AQ12</f>
        <v>16</v>
      </c>
      <c r="AR42" s="1029"/>
      <c r="AS42" s="1029">
        <f>AS40+AS38+AS32+AS27+AS22+AS17+AS12</f>
        <v>16</v>
      </c>
      <c r="AT42" s="1029"/>
      <c r="AU42" s="1029">
        <f>AU40+AU38+AU32+AU27+AU22+AU17+AU12</f>
        <v>18</v>
      </c>
      <c r="AW42" s="1028" t="s">
        <v>1370</v>
      </c>
      <c r="AX42" s="1028"/>
      <c r="AY42" s="1029">
        <f>AY40+AY38+AY32+AY23+AY12</f>
        <v>5</v>
      </c>
      <c r="AZ42" s="1029"/>
      <c r="BA42" s="1029">
        <f>BA40+BA38+BA32+BA23+BA12</f>
        <v>5</v>
      </c>
      <c r="BB42" s="1029"/>
      <c r="BC42" s="1029">
        <f>BC40+BC38+BC32+BC23+BC17+BC12</f>
        <v>8</v>
      </c>
      <c r="BD42" s="1029"/>
      <c r="BE42" s="1029">
        <f>BE40+BE38+BE32+BE27+BE22+BE17+BE12</f>
        <v>11</v>
      </c>
      <c r="BF42" s="1029"/>
      <c r="BG42" s="1029">
        <f>BG40+BG38+BG32+BG27+BG22+BG17+BG12</f>
        <v>15</v>
      </c>
      <c r="BH42" s="1029"/>
      <c r="BI42" s="1029">
        <f>BI40+BI38+BI32+BI27+BI22+BI17+BI12</f>
        <v>16</v>
      </c>
      <c r="BJ42" s="1029"/>
      <c r="BK42" s="1029">
        <f>BK40+BK38+BK32+BK27+BK22+BK17+BK12</f>
        <v>18</v>
      </c>
      <c r="BM42" s="1028" t="s">
        <v>1370</v>
      </c>
      <c r="BN42" s="1028"/>
      <c r="BO42" s="1029">
        <f>BO40+BO38+BO32+BO23+BO12</f>
        <v>4</v>
      </c>
      <c r="BP42" s="1029"/>
      <c r="BQ42" s="1029">
        <f>BQ40+BQ38+BQ32+BQ23+BQ12</f>
        <v>5</v>
      </c>
      <c r="BR42" s="1029"/>
      <c r="BS42" s="1029">
        <f>BS40+BS38+BS32+BS23+BS17+BS12</f>
        <v>7</v>
      </c>
      <c r="BT42" s="1029"/>
      <c r="BU42" s="1029">
        <f>BU40+BU38+BU32+BU27+BU22+BU17+BU12</f>
        <v>10</v>
      </c>
      <c r="BV42" s="1029"/>
      <c r="BW42" s="1029">
        <f>BW40+BW38+BW32+BW27+BW22+BW17+BW12</f>
        <v>11</v>
      </c>
      <c r="BX42" s="1029"/>
      <c r="BY42" s="1029">
        <f>BY40+BY38+BY32+BY27+BY22+BY17+BY12</f>
        <v>14</v>
      </c>
      <c r="BZ42" s="1029"/>
      <c r="CA42" s="1029">
        <f>CA40+CA38+CA32+CA27+CA22+CA17+CA12</f>
        <v>16</v>
      </c>
      <c r="CC42" s="1028" t="s">
        <v>1370</v>
      </c>
      <c r="CD42" s="1028"/>
      <c r="CE42" s="1029">
        <f>CE40+CE38+CE32+CE23+CE12</f>
        <v>4</v>
      </c>
      <c r="CF42" s="1029"/>
      <c r="CG42" s="1029">
        <f>CG40+CG38+CG32+CG23+CG12</f>
        <v>5</v>
      </c>
      <c r="CH42" s="1029"/>
      <c r="CI42" s="1029">
        <f>CI40+CI38+CI32+CI23+CI17+CI12</f>
        <v>7</v>
      </c>
      <c r="CJ42" s="1029"/>
      <c r="CK42" s="1029">
        <f>CK40+CK38+CK32+CK23+CK17+CK12</f>
        <v>8</v>
      </c>
      <c r="CL42" s="1029"/>
      <c r="CM42" s="1029">
        <f>CM40+CM38+CM32+CM27+CM22+CM17+CM12</f>
        <v>10</v>
      </c>
      <c r="CN42" s="1029"/>
      <c r="CO42" s="1029">
        <f>CO40+CO38+CO32+CO27+CO22+CO17+CO12</f>
        <v>12</v>
      </c>
      <c r="CP42" s="1029"/>
      <c r="CQ42" s="1029">
        <f>CQ40+CQ38+CQ32+CQ27+CQ22+CQ17+CQ12</f>
        <v>14</v>
      </c>
      <c r="CS42" s="1028" t="s">
        <v>1370</v>
      </c>
      <c r="CT42" s="1028"/>
      <c r="CU42" s="1029">
        <f>CU40+CU38+CU32+CU23+CU12</f>
        <v>4</v>
      </c>
      <c r="CV42" s="1029"/>
      <c r="CW42" s="1029">
        <f>CW40+CW38+CW32+CW23+CW12</f>
        <v>5</v>
      </c>
      <c r="CX42" s="1029"/>
      <c r="CY42" s="1029">
        <f>CY40+CY38+CY32+CY23+CY17+CY12</f>
        <v>7</v>
      </c>
      <c r="CZ42" s="1029"/>
      <c r="DA42" s="1029">
        <f>DA40+DA38+DA32+DA23+DA17+DA12</f>
        <v>8</v>
      </c>
      <c r="DB42" s="1029"/>
      <c r="DC42" s="1029">
        <f>DC40+DC38+DC32+DC27+DC22+DC17+DC12</f>
        <v>10</v>
      </c>
      <c r="DD42" s="1029"/>
      <c r="DE42" s="1029">
        <f>DE40+DE38+DE32+DE27+DE22+DE17+DE12</f>
        <v>11</v>
      </c>
      <c r="DF42" s="1029"/>
      <c r="DG42" s="1029">
        <f>DG40+DG38+DG32+DG27+DG22+DG17+DG12</f>
        <v>12</v>
      </c>
      <c r="DI42" s="1028" t="s">
        <v>1370</v>
      </c>
      <c r="DJ42" s="1028"/>
      <c r="DK42" s="1029">
        <f>DK40+DK38+DK23+DK12</f>
        <v>3</v>
      </c>
      <c r="DL42" s="1029"/>
      <c r="DM42" s="1029">
        <f>DM40+DM38+DM23+DM12</f>
        <v>4</v>
      </c>
      <c r="DN42" s="1029"/>
      <c r="DO42" s="1029">
        <f>DO40+DO38+DO32+DO23+DO17+DO12</f>
        <v>7</v>
      </c>
      <c r="DP42" s="1029"/>
      <c r="DQ42" s="1029">
        <f>DQ40+DQ38+DQ32+DQ23+DQ17+DQ12</f>
        <v>8</v>
      </c>
      <c r="DR42" s="1029"/>
      <c r="DS42" s="1029">
        <f>DS40+DS38+DS32+DS23+DS17+DS12</f>
        <v>9</v>
      </c>
      <c r="DT42" s="1029"/>
      <c r="DU42" s="1029">
        <f>DU40+DU38+DU32+DU27+DU22+DU17+DU12</f>
        <v>11</v>
      </c>
      <c r="DV42" s="1029"/>
      <c r="DW42" s="1029">
        <f>DW40+DW38+DW32+DW27+DW22+DW17+DW12</f>
        <v>12</v>
      </c>
      <c r="DY42" s="1028" t="s">
        <v>1370</v>
      </c>
      <c r="DZ42" s="1028"/>
      <c r="EA42" s="1029">
        <f>EA40+EA38+EA23+EA12</f>
        <v>3</v>
      </c>
      <c r="EB42" s="1029"/>
      <c r="EC42" s="1029">
        <f>EC40+EC38+EC23+EC12</f>
        <v>4</v>
      </c>
      <c r="ED42" s="1029"/>
      <c r="EE42" s="1029">
        <f>EE40+EE38+EE32+EE23+EE17+EE12</f>
        <v>7</v>
      </c>
      <c r="EF42" s="1029"/>
      <c r="EG42" s="1029">
        <f>EG40+EG38+EG32+EG23+EG17+EG12</f>
        <v>8</v>
      </c>
      <c r="EH42" s="1029"/>
      <c r="EI42" s="1029">
        <f>EI40+EI38+EI32+EI23+EI17+EI12</f>
        <v>9</v>
      </c>
      <c r="EJ42" s="1029"/>
      <c r="EK42" s="1029">
        <f>EK40+EK38+EK32+EK27+EK22+EK17+EK12</f>
        <v>11</v>
      </c>
      <c r="EL42" s="1029"/>
      <c r="EM42" s="1029">
        <f>EM40+EM38+EM32+EM27+EM22+EM17+EM12</f>
        <v>12</v>
      </c>
    </row>
    <row r="43" spans="1:143" ht="15.75" customHeight="1">
      <c r="A43" s="1028" t="s">
        <v>1473</v>
      </c>
      <c r="B43" s="1028"/>
      <c r="C43" s="1026">
        <f>C6*C42/1</f>
        <v>36.014999999999993</v>
      </c>
      <c r="D43" s="1028"/>
      <c r="E43" s="1026">
        <f>C6*E42/2</f>
        <v>18.007499999999997</v>
      </c>
      <c r="F43" s="1027"/>
      <c r="G43" s="1026">
        <f>C6*G42/3</f>
        <v>22.009166666666662</v>
      </c>
      <c r="H43" s="1027"/>
      <c r="I43" s="1026">
        <f>C6*I42/4</f>
        <v>18.007499999999997</v>
      </c>
      <c r="J43" s="1027"/>
      <c r="K43" s="1026">
        <f>C6*K42/5</f>
        <v>19.207999999999995</v>
      </c>
      <c r="L43" s="1027"/>
      <c r="M43" s="1027" t="s">
        <v>1181</v>
      </c>
      <c r="N43" s="1027"/>
      <c r="O43" s="1027" t="s">
        <v>1181</v>
      </c>
      <c r="Q43" s="1028" t="s">
        <v>1473</v>
      </c>
      <c r="R43" s="1028"/>
      <c r="S43" s="1026">
        <f>S6*S42/1</f>
        <v>38.954999999999991</v>
      </c>
      <c r="T43" s="1028"/>
      <c r="U43" s="1026">
        <f>S6*U42/2</f>
        <v>19.477499999999996</v>
      </c>
      <c r="V43" s="1027"/>
      <c r="W43" s="1026">
        <f>S6*W42/3</f>
        <v>21.641666666666662</v>
      </c>
      <c r="X43" s="1027"/>
      <c r="Y43" s="1026">
        <f>S6*Y42/4</f>
        <v>19.477499999999996</v>
      </c>
      <c r="Z43" s="1027"/>
      <c r="AA43" s="1026">
        <f>S6*AA42/5</f>
        <v>20.775999999999996</v>
      </c>
      <c r="AB43" s="1027"/>
      <c r="AC43" s="1026">
        <f>S6*AC42/5</f>
        <v>20.775999999999996</v>
      </c>
      <c r="AD43" s="1027"/>
      <c r="AE43" s="1026">
        <f>S6*AE42/5</f>
        <v>23.372999999999998</v>
      </c>
      <c r="AG43" s="1028" t="s">
        <v>1473</v>
      </c>
      <c r="AH43" s="1028"/>
      <c r="AI43" s="1026">
        <f>AI6*AI42/1</f>
        <v>34.29999999999999</v>
      </c>
      <c r="AJ43" s="1028"/>
      <c r="AK43" s="1026">
        <f>AI6*AK42/2</f>
        <v>17.149999999999995</v>
      </c>
      <c r="AL43" s="1027"/>
      <c r="AM43" s="1026">
        <f>AI6*AM42/3</f>
        <v>20.579999999999995</v>
      </c>
      <c r="AN43" s="1027"/>
      <c r="AO43" s="1026">
        <f>AI6*AO42/4</f>
        <v>20.579999999999995</v>
      </c>
      <c r="AP43" s="1027"/>
      <c r="AQ43" s="1026">
        <f>AI6*AQ42/5</f>
        <v>21.951999999999995</v>
      </c>
      <c r="AR43" s="1027"/>
      <c r="AS43" s="1026">
        <f>AI6*AS42/5</f>
        <v>21.951999999999995</v>
      </c>
      <c r="AT43" s="1027"/>
      <c r="AU43" s="1026">
        <f>AI6*AU42/5</f>
        <v>24.695999999999994</v>
      </c>
      <c r="AW43" s="1028" t="s">
        <v>1473</v>
      </c>
      <c r="AX43" s="1028"/>
      <c r="AY43" s="1026">
        <f>AY6*AY42/1</f>
        <v>40.424999999999997</v>
      </c>
      <c r="AZ43" s="1028"/>
      <c r="BA43" s="1026">
        <f>AY6*BA42/2</f>
        <v>20.212499999999999</v>
      </c>
      <c r="BB43" s="1027"/>
      <c r="BC43" s="1026">
        <f>AY6*BC42/3</f>
        <v>21.56</v>
      </c>
      <c r="BD43" s="1027"/>
      <c r="BE43" s="1026">
        <f>AY6*BE42/4</f>
        <v>22.233749999999997</v>
      </c>
      <c r="BF43" s="1027"/>
      <c r="BG43" s="1026">
        <f>AY6*BG42/5</f>
        <v>24.254999999999999</v>
      </c>
      <c r="BH43" s="1027"/>
      <c r="BI43" s="1026">
        <f>AY6*BI42/5</f>
        <v>25.871999999999996</v>
      </c>
      <c r="BJ43" s="1027"/>
      <c r="BK43" s="1026">
        <f>AY6*BK42/5</f>
        <v>29.105999999999995</v>
      </c>
      <c r="BM43" s="1028" t="s">
        <v>1473</v>
      </c>
      <c r="BN43" s="1028"/>
      <c r="BO43" s="1026">
        <f>BO6*BO42/1</f>
        <v>37.239999999999995</v>
      </c>
      <c r="BP43" s="1028"/>
      <c r="BQ43" s="1026">
        <f>BO6*BQ42/2</f>
        <v>23.274999999999999</v>
      </c>
      <c r="BR43" s="1027"/>
      <c r="BS43" s="1026">
        <f>BO6*BS42/3</f>
        <v>21.723333333333329</v>
      </c>
      <c r="BT43" s="1027"/>
      <c r="BU43" s="1026">
        <f>BO6*BU42/4</f>
        <v>23.274999999999999</v>
      </c>
      <c r="BV43" s="1027"/>
      <c r="BW43" s="1026">
        <f>BO6*BW42/5</f>
        <v>20.481999999999996</v>
      </c>
      <c r="BX43" s="1027"/>
      <c r="BY43" s="1026">
        <f>BO6*BY42/5</f>
        <v>26.067999999999994</v>
      </c>
      <c r="BZ43" s="1027"/>
      <c r="CA43" s="1026">
        <f>BO6*CA42/5</f>
        <v>29.791999999999994</v>
      </c>
      <c r="CC43" s="1028" t="s">
        <v>1473</v>
      </c>
      <c r="CD43" s="1028"/>
      <c r="CE43" s="1026">
        <f>CE6*CE42/1</f>
        <v>42.139999999999993</v>
      </c>
      <c r="CF43" s="1028"/>
      <c r="CG43" s="1026">
        <f>CE6*CG42/2</f>
        <v>26.337499999999995</v>
      </c>
      <c r="CH43" s="1027"/>
      <c r="CI43" s="1026">
        <f>CE6*CI42/3</f>
        <v>24.581666666666663</v>
      </c>
      <c r="CJ43" s="1027"/>
      <c r="CK43" s="1026">
        <f>CE6*CK42/4</f>
        <v>21.069999999999997</v>
      </c>
      <c r="CL43" s="1027"/>
      <c r="CM43" s="1026">
        <f>CE6*CM42/5</f>
        <v>21.069999999999997</v>
      </c>
      <c r="CN43" s="1027"/>
      <c r="CO43" s="1026">
        <f>CE6*CO42/5</f>
        <v>25.283999999999999</v>
      </c>
      <c r="CP43" s="1027"/>
      <c r="CQ43" s="1026">
        <f>CE6*CQ42/5</f>
        <v>29.497999999999998</v>
      </c>
      <c r="CS43" s="1028" t="s">
        <v>1473</v>
      </c>
      <c r="CT43" s="1028"/>
      <c r="CU43" s="1026">
        <f>CU6*CU42/1</f>
        <v>47.039999999999992</v>
      </c>
      <c r="CV43" s="1028"/>
      <c r="CW43" s="1026">
        <f>CU6*CW42/2</f>
        <v>29.399999999999995</v>
      </c>
      <c r="CX43" s="1027"/>
      <c r="CY43" s="1026">
        <f>CU6*CY42/3</f>
        <v>27.439999999999998</v>
      </c>
      <c r="CZ43" s="1027"/>
      <c r="DA43" s="1026">
        <f>CU6*DA42/4</f>
        <v>23.519999999999996</v>
      </c>
      <c r="DB43" s="1027"/>
      <c r="DC43" s="1026">
        <f>CU6*DC42/5</f>
        <v>23.519999999999996</v>
      </c>
      <c r="DD43" s="1027"/>
      <c r="DE43" s="1026">
        <f>CU6*DE42/5</f>
        <v>25.871999999999996</v>
      </c>
      <c r="DF43" s="1027"/>
      <c r="DG43" s="1026">
        <f>CU6*DG42/5</f>
        <v>28.223999999999997</v>
      </c>
      <c r="DI43" s="1028" t="s">
        <v>1473</v>
      </c>
      <c r="DJ43" s="1028"/>
      <c r="DK43" s="1026">
        <f>DK6*DK42/1</f>
        <v>37.484999999999992</v>
      </c>
      <c r="DL43" s="1028"/>
      <c r="DM43" s="1026">
        <f>DK6*DM42/2</f>
        <v>24.989999999999995</v>
      </c>
      <c r="DN43" s="1027"/>
      <c r="DO43" s="1026">
        <f>DK6*DO42/3</f>
        <v>29.15499999999999</v>
      </c>
      <c r="DP43" s="1027"/>
      <c r="DQ43" s="1026">
        <f>DK6*DQ42/4</f>
        <v>24.989999999999995</v>
      </c>
      <c r="DR43" s="1027"/>
      <c r="DS43" s="1026">
        <f>DK6*DS42/5</f>
        <v>22.490999999999996</v>
      </c>
      <c r="DT43" s="1027"/>
      <c r="DU43" s="1026">
        <f>DK6*DU42/5</f>
        <v>27.488999999999994</v>
      </c>
      <c r="DV43" s="1027"/>
      <c r="DW43" s="1026">
        <f>DK6*DW42/5</f>
        <v>29.987999999999992</v>
      </c>
      <c r="DY43" s="1028" t="s">
        <v>1473</v>
      </c>
      <c r="DZ43" s="1028"/>
      <c r="EA43" s="1026">
        <f>EA6*EA42/1</f>
        <v>40.424999999999997</v>
      </c>
      <c r="EB43" s="1028"/>
      <c r="EC43" s="1026">
        <f>EA6*EC42/2</f>
        <v>26.949999999999996</v>
      </c>
      <c r="ED43" s="1027"/>
      <c r="EE43" s="1026">
        <f>EA6*EE42/3</f>
        <v>31.441666666666663</v>
      </c>
      <c r="EF43" s="1027"/>
      <c r="EG43" s="1026">
        <f>EA6*EG42/4</f>
        <v>26.949999999999996</v>
      </c>
      <c r="EH43" s="1027"/>
      <c r="EI43" s="1026">
        <f>EA6*EI42/5</f>
        <v>24.254999999999995</v>
      </c>
      <c r="EJ43" s="1027"/>
      <c r="EK43" s="1026">
        <f>EA6*EK42/5</f>
        <v>29.644999999999992</v>
      </c>
      <c r="EL43" s="1027"/>
      <c r="EM43" s="1026">
        <f>EA6*EM42/5</f>
        <v>32.339999999999996</v>
      </c>
    </row>
    <row r="44" spans="1:143" ht="15.75" customHeight="1">
      <c r="C44" s="1205">
        <f>C37+C31+C26+C21+C11</f>
        <v>22.274999999999999</v>
      </c>
      <c r="D44" s="1206">
        <f>E37+E31+E26+E21+E11</f>
        <v>26.805</v>
      </c>
      <c r="E44" s="1206">
        <f>G37+G31+G26+G21+G16+G11+C6</f>
        <v>47.672499999999999</v>
      </c>
      <c r="F44" s="1207">
        <f>I37+I31+I26+I21+I16+I11+C6</f>
        <v>56.828499999999991</v>
      </c>
      <c r="G44" s="1207">
        <f>K37+K31+K26+K21+K16+K11+C6</f>
        <v>67.738500000000002</v>
      </c>
      <c r="S44" s="1205">
        <f>S37+S31+S26+S21+S11</f>
        <v>22.274999999999999</v>
      </c>
      <c r="T44" s="1206">
        <f>U37+U31+U26+U21+U11</f>
        <v>26.805</v>
      </c>
      <c r="U44" s="1206">
        <f>W37+W31+W26+W21+W16+W11+S6</f>
        <v>48.072499999999998</v>
      </c>
      <c r="V44" s="1207">
        <f>Y37+Y31+Y26+Y21+Y16+Y11+S6</f>
        <v>57.318499999999993</v>
      </c>
      <c r="W44" s="1207">
        <f>AA37+AA31+AA26+AA21+AA16+AA11+S6</f>
        <v>68.228499999999997</v>
      </c>
      <c r="X44" s="1207">
        <f>AC37+AC31+AC26+AC21+AC16+AC11+S6</f>
        <v>81.41449999999999</v>
      </c>
      <c r="Y44" s="1207">
        <f>AE37+AE31+AE26+AE21+AE16+AE11+S6</f>
        <v>90.984499999999983</v>
      </c>
      <c r="AI44" s="1205">
        <f>AI37+AI31+AI22+AI11</f>
        <v>19.71</v>
      </c>
      <c r="AJ44" s="1206">
        <f>AK37+AK31+AK22+AK11</f>
        <v>24.240000000000002</v>
      </c>
      <c r="AK44" s="1206">
        <f>AM37+AM31+AM26+AM21+AM16+AM11</f>
        <v>41.58</v>
      </c>
      <c r="AL44" s="1207">
        <f>AO37+AO31+AO26+AO21+AO16+AO11+AI6</f>
        <v>57.685999999999993</v>
      </c>
      <c r="AM44" s="1207">
        <f>AQ37+AQ31+AQ26+AQ21+AQ16+AQ11+AI6</f>
        <v>68.595999999999989</v>
      </c>
      <c r="AN44" s="1207">
        <f>AS37+AS31+AS26+AS21+AS16+AS11+AI6</f>
        <v>81.781999999999996</v>
      </c>
      <c r="AO44" s="1207">
        <f>AU37+AU31+AU26+AU21+AU16+AU11+AI6</f>
        <v>91.35199999999999</v>
      </c>
      <c r="AY44" s="1205">
        <f>AY37+AY31+AY22+AY11</f>
        <v>19.71</v>
      </c>
      <c r="AZ44" s="1206">
        <f>BA37+BA31+BA22+BA11</f>
        <v>24.240000000000002</v>
      </c>
      <c r="BA44" s="1206">
        <f>BC37+BC31+BC22+BC16+BC11</f>
        <v>37.980000000000004</v>
      </c>
      <c r="BB44" s="1207">
        <f>BE37+BE31+BE26+BE21+BE16+BE11+AY6</f>
        <v>58.910999999999994</v>
      </c>
      <c r="BC44" s="1207">
        <f>BG37+BG31+BG26+BG21+BG16+BG11+AY6</f>
        <v>69.820999999999998</v>
      </c>
      <c r="BD44" s="1207">
        <f>BI37+BI31+BI26+BI21+BI16+BI11+AY6</f>
        <v>83.006999999999991</v>
      </c>
      <c r="BE44" s="1207">
        <f>BK37+BK31+BK26+BK21+BK16+BK11+AY6</f>
        <v>92.576999999999984</v>
      </c>
      <c r="BO44" s="1205">
        <f>BO37+BO31+BO22+BO11</f>
        <v>22.274999999999999</v>
      </c>
      <c r="BP44" s="1206">
        <f>BQ37+BQ31+BQ22+BQ11</f>
        <v>26.805</v>
      </c>
      <c r="BQ44" s="1206">
        <f>BS37+BS31+BS22+BS16+BS11</f>
        <v>41.58</v>
      </c>
      <c r="BR44" s="1207">
        <f>BU37+BU31+BU26+BU21+BU16+BU11+BO6</f>
        <v>64.150000000000006</v>
      </c>
      <c r="BS44" s="1207">
        <f>BW37+BW31+BW26+BW21+BW16+BW11+BO6</f>
        <v>75.06</v>
      </c>
      <c r="BT44" s="1207">
        <f>BY37+BY31+BY26+BY21+BY16+BY11+BO6</f>
        <v>92.26</v>
      </c>
      <c r="BU44" s="1207">
        <f>CA37+CA31+CA26+CA21+CA16+CA11+BO6</f>
        <v>101.83</v>
      </c>
      <c r="CE44" s="1205">
        <f>CE37+CE31+CE22+CE11</f>
        <v>22.274999999999999</v>
      </c>
      <c r="CF44" s="1206">
        <f>CG37+CG31+CG22+CG11</f>
        <v>26.805</v>
      </c>
      <c r="CG44" s="1206">
        <f>CI37+CI31+CI22+CI16+CI11</f>
        <v>41.58</v>
      </c>
      <c r="CH44" s="1207">
        <f>CK37+CK31+CK22+CK16+CK11</f>
        <v>54.84</v>
      </c>
      <c r="CI44" s="1207">
        <f>CM37+CM31+CM26+CM21+CM16+CM11</f>
        <v>65.75</v>
      </c>
      <c r="CJ44" s="1207">
        <f>CO37+CO31+CO26+CO21+CO16+CO11</f>
        <v>82.95</v>
      </c>
      <c r="CK44" s="1207">
        <f>CQ37+CQ31+CQ26+CQ21+CQ16+CQ11+CE6</f>
        <v>103.05499999999999</v>
      </c>
      <c r="CU44" s="1205">
        <f>CU37+CU31+CU22+CU11</f>
        <v>22.274999999999999</v>
      </c>
      <c r="CV44" s="1206">
        <f>CW37+CW31+CW22+CW11</f>
        <v>26.805</v>
      </c>
      <c r="CW44" s="1206">
        <f>CY37+CY31+CY22+CY16+CY11</f>
        <v>41.58</v>
      </c>
      <c r="CX44" s="1207">
        <f>DA37+DA31+DA22+DA16+DA11</f>
        <v>54.84</v>
      </c>
      <c r="CY44" s="1207">
        <f>DC37+DC31+DC26+DC21+DC16+DC11</f>
        <v>65.75</v>
      </c>
      <c r="CZ44" s="1207">
        <f>DE37+DE31+DE26+DE21+DE16+DE11</f>
        <v>82.95</v>
      </c>
      <c r="DA44" s="1207">
        <f>DG37+DG31+DG26+DG21+DG16+DG11+CU6</f>
        <v>104.28</v>
      </c>
      <c r="DK44" s="1205">
        <f>DK37+DK22+DK11</f>
        <v>22.274999999999999</v>
      </c>
      <c r="DL44" s="1206">
        <f>DM37+DM22+DM11</f>
        <v>26.805</v>
      </c>
      <c r="DM44" s="1206">
        <f>DO37+DO31+DO22+DO16+DO11</f>
        <v>41.58</v>
      </c>
      <c r="DN44" s="1207">
        <f>DQ37+DQ31+DQ22+DQ16+DQ11</f>
        <v>50.825999999999993</v>
      </c>
      <c r="DO44" s="1207">
        <f>DS37+DS31+DS22+DS16+DS11</f>
        <v>65.75</v>
      </c>
      <c r="DP44" s="1207">
        <f>DU37+DU31+DU26+DU21+DU16+DU11</f>
        <v>82.95</v>
      </c>
      <c r="DQ44" s="1207">
        <f>DW37+DW31+DW26+DW21+DW16+DW11</f>
        <v>92.52</v>
      </c>
      <c r="EA44" s="1205">
        <f>EA37+EA22+EA11</f>
        <v>22.274999999999999</v>
      </c>
      <c r="EB44" s="1206">
        <f>EC37+EC22+EC11</f>
        <v>26.805</v>
      </c>
      <c r="EC44" s="1206">
        <f>EE37+EE31+EE22+EE16+EE11</f>
        <v>41.58</v>
      </c>
      <c r="ED44" s="1207">
        <f>EG37+EG31+EG22+EG16+EG11</f>
        <v>50.825999999999993</v>
      </c>
      <c r="EE44" s="1207">
        <f>EI37+EI31+EI22+EI16+EI11</f>
        <v>65.75</v>
      </c>
      <c r="EF44" s="1207">
        <f>EK37+EK31+EK26+EK21+EK16+EK11</f>
        <v>82.95</v>
      </c>
      <c r="EG44" s="1207">
        <f>EM37+EM31+EM26+EM21+EM16+EM11</f>
        <v>92.52</v>
      </c>
    </row>
    <row r="46" spans="1:143" ht="15.75" customHeight="1">
      <c r="A46" s="1041" t="s">
        <v>2052</v>
      </c>
      <c r="B46" s="1041">
        <v>2.85</v>
      </c>
      <c r="C46" s="1041">
        <v>2.85</v>
      </c>
      <c r="D46" s="1441"/>
      <c r="E46" s="931"/>
      <c r="F46" s="931"/>
      <c r="G46" s="931"/>
      <c r="H46" s="931"/>
      <c r="I46" s="931"/>
      <c r="J46" s="931"/>
      <c r="K46" s="931"/>
      <c r="L46" s="931"/>
      <c r="M46" s="931"/>
      <c r="N46" s="931"/>
      <c r="O46" s="931"/>
      <c r="Q46" s="1041" t="s">
        <v>2052</v>
      </c>
      <c r="R46" s="1041">
        <v>2.85</v>
      </c>
      <c r="S46" s="1041">
        <v>3</v>
      </c>
      <c r="T46" s="1441"/>
      <c r="U46" s="931"/>
      <c r="V46" s="931"/>
      <c r="W46" s="931"/>
      <c r="X46" s="931"/>
      <c r="Y46" s="931"/>
      <c r="Z46" s="931"/>
      <c r="AA46" s="931"/>
      <c r="AB46" s="931"/>
      <c r="AC46" s="931"/>
      <c r="AD46" s="931"/>
      <c r="AE46" s="931"/>
      <c r="AG46" s="1041" t="s">
        <v>2052</v>
      </c>
      <c r="AH46" s="1041">
        <v>2.85</v>
      </c>
      <c r="AI46" s="1041">
        <v>3.5</v>
      </c>
      <c r="AJ46" s="1441"/>
      <c r="AK46" s="931"/>
      <c r="AL46" s="931"/>
      <c r="AM46" s="931"/>
      <c r="AN46" s="931"/>
      <c r="AO46" s="931"/>
      <c r="AP46" s="931"/>
      <c r="AQ46" s="931"/>
      <c r="AR46" s="931"/>
      <c r="AS46" s="931"/>
      <c r="AT46" s="931"/>
      <c r="AU46" s="931"/>
      <c r="AW46" s="1041" t="s">
        <v>2052</v>
      </c>
      <c r="AX46" s="1041">
        <v>2.85</v>
      </c>
      <c r="AY46" s="1041">
        <v>4</v>
      </c>
      <c r="AZ46" s="1441"/>
      <c r="BA46" s="931"/>
      <c r="BB46" s="931"/>
      <c r="BC46" s="931"/>
      <c r="BD46" s="931"/>
      <c r="BE46" s="931"/>
      <c r="BF46" s="931"/>
      <c r="BG46" s="931"/>
      <c r="BH46" s="931"/>
      <c r="BI46" s="931"/>
      <c r="BJ46" s="931"/>
      <c r="BK46" s="931"/>
      <c r="BM46" s="1041" t="s">
        <v>2052</v>
      </c>
      <c r="BN46" s="1041">
        <v>2.85</v>
      </c>
      <c r="BO46" s="1041">
        <v>4.5</v>
      </c>
      <c r="BP46" s="1441"/>
      <c r="BQ46" s="931"/>
      <c r="BR46" s="931"/>
      <c r="BS46" s="931"/>
      <c r="BT46" s="931"/>
      <c r="BU46" s="931"/>
      <c r="BV46" s="931"/>
      <c r="BW46" s="931"/>
      <c r="BX46" s="931"/>
      <c r="BY46" s="931"/>
      <c r="BZ46" s="931"/>
      <c r="CA46" s="931"/>
      <c r="CC46" s="1041" t="s">
        <v>2052</v>
      </c>
      <c r="CD46" s="1041">
        <v>2.85</v>
      </c>
      <c r="CE46" s="1041">
        <v>5</v>
      </c>
      <c r="CF46" s="1441"/>
      <c r="CG46" s="931"/>
      <c r="CH46" s="931"/>
      <c r="CI46" s="931"/>
      <c r="CJ46" s="931"/>
      <c r="CK46" s="931"/>
      <c r="CL46" s="931"/>
      <c r="CM46" s="931"/>
      <c r="CN46" s="931"/>
      <c r="CO46" s="931"/>
      <c r="CP46" s="931"/>
      <c r="CQ46" s="931"/>
      <c r="CS46" s="1041" t="s">
        <v>2052</v>
      </c>
      <c r="CT46" s="1041">
        <v>2.85</v>
      </c>
      <c r="CU46" s="1041">
        <v>5.3</v>
      </c>
      <c r="CV46" s="1441"/>
      <c r="CW46" s="931"/>
      <c r="CX46" s="931"/>
      <c r="CY46" s="931"/>
      <c r="CZ46" s="931"/>
      <c r="DA46" s="931"/>
      <c r="DB46" s="931"/>
      <c r="DC46" s="931"/>
      <c r="DD46" s="931"/>
      <c r="DE46" s="931"/>
      <c r="DF46" s="931"/>
      <c r="DG46" s="931"/>
      <c r="DI46" s="1041" t="s">
        <v>2052</v>
      </c>
      <c r="DJ46" s="1041">
        <v>2.85</v>
      </c>
      <c r="DK46" s="1041">
        <v>5.7</v>
      </c>
      <c r="DL46" s="1441"/>
      <c r="DM46" s="931"/>
      <c r="DN46" s="931"/>
      <c r="DO46" s="931"/>
      <c r="DP46" s="931"/>
      <c r="DQ46" s="931"/>
      <c r="DR46" s="931"/>
      <c r="DS46" s="931"/>
      <c r="DT46" s="931"/>
      <c r="DU46" s="931"/>
      <c r="DV46" s="931"/>
      <c r="DW46" s="931"/>
      <c r="DY46" s="1041" t="s">
        <v>2052</v>
      </c>
      <c r="DZ46" s="1041">
        <v>2.85</v>
      </c>
      <c r="EA46" s="1041">
        <v>6</v>
      </c>
      <c r="EB46" s="1441"/>
      <c r="EC46" s="931"/>
      <c r="ED46" s="931"/>
      <c r="EE46" s="931"/>
      <c r="EF46" s="931"/>
      <c r="EG46" s="931"/>
      <c r="EH46" s="931"/>
      <c r="EI46" s="931"/>
      <c r="EJ46" s="931"/>
      <c r="EK46" s="931"/>
      <c r="EL46" s="931"/>
      <c r="EM46" s="931"/>
    </row>
    <row r="47" spans="1:143" ht="15.75" customHeight="1">
      <c r="A47" s="1038" t="s">
        <v>1354</v>
      </c>
      <c r="B47" s="1038">
        <f>B46-0.2</f>
        <v>2.65</v>
      </c>
      <c r="C47" s="1038">
        <f>C46-0.2</f>
        <v>2.65</v>
      </c>
      <c r="D47" s="1442"/>
      <c r="E47" s="1038"/>
      <c r="F47" s="1038"/>
      <c r="G47" s="1038"/>
      <c r="H47" s="1038"/>
      <c r="I47" s="1038"/>
      <c r="J47" s="1038"/>
      <c r="K47" s="1038"/>
      <c r="L47" s="1038"/>
      <c r="M47" s="1038"/>
      <c r="N47" s="1038"/>
      <c r="O47" s="1038"/>
      <c r="Q47" s="1038" t="s">
        <v>1354</v>
      </c>
      <c r="R47" s="1038">
        <f>R46-0.2</f>
        <v>2.65</v>
      </c>
      <c r="S47" s="1038">
        <f>S46-0.2</f>
        <v>2.8</v>
      </c>
      <c r="T47" s="1442"/>
      <c r="U47" s="1038"/>
      <c r="V47" s="1038"/>
      <c r="W47" s="1038"/>
      <c r="X47" s="1038"/>
      <c r="Y47" s="1038"/>
      <c r="Z47" s="1038"/>
      <c r="AA47" s="1038"/>
      <c r="AB47" s="1038"/>
      <c r="AC47" s="1038"/>
      <c r="AD47" s="1038"/>
      <c r="AE47" s="1038"/>
      <c r="AG47" s="1038" t="s">
        <v>1354</v>
      </c>
      <c r="AH47" s="1038">
        <f>AH46-0.2</f>
        <v>2.65</v>
      </c>
      <c r="AI47" s="1038">
        <f>AI46-0.2</f>
        <v>3.3</v>
      </c>
      <c r="AJ47" s="1442"/>
      <c r="AK47" s="1038"/>
      <c r="AL47" s="1038"/>
      <c r="AM47" s="1038"/>
      <c r="AN47" s="1038"/>
      <c r="AO47" s="1038"/>
      <c r="AP47" s="1038"/>
      <c r="AQ47" s="1038"/>
      <c r="AR47" s="1038"/>
      <c r="AS47" s="1038"/>
      <c r="AT47" s="1038"/>
      <c r="AU47" s="1038"/>
      <c r="AW47" s="1038" t="s">
        <v>1354</v>
      </c>
      <c r="AX47" s="1038">
        <f>AX46-0.2</f>
        <v>2.65</v>
      </c>
      <c r="AY47" s="1038">
        <f>AY46-0.2</f>
        <v>3.8</v>
      </c>
      <c r="AZ47" s="1442"/>
      <c r="BA47" s="1038"/>
      <c r="BB47" s="1038"/>
      <c r="BC47" s="1038"/>
      <c r="BD47" s="1038"/>
      <c r="BE47" s="1038"/>
      <c r="BF47" s="1038"/>
      <c r="BG47" s="1038"/>
      <c r="BH47" s="1038"/>
      <c r="BI47" s="1038"/>
      <c r="BJ47" s="1038"/>
      <c r="BK47" s="1038"/>
      <c r="BM47" s="1038" t="s">
        <v>1354</v>
      </c>
      <c r="BN47" s="1038">
        <f>BN46-0.2</f>
        <v>2.65</v>
      </c>
      <c r="BO47" s="1038">
        <f>BO46-0.2</f>
        <v>4.3</v>
      </c>
      <c r="BP47" s="1442"/>
      <c r="BQ47" s="1038"/>
      <c r="BR47" s="1038"/>
      <c r="BS47" s="1038"/>
      <c r="BT47" s="1038"/>
      <c r="BU47" s="1038"/>
      <c r="BV47" s="1038"/>
      <c r="BW47" s="1038"/>
      <c r="BX47" s="1038"/>
      <c r="BY47" s="1038"/>
      <c r="BZ47" s="1038"/>
      <c r="CA47" s="1038"/>
      <c r="CC47" s="1038" t="s">
        <v>1354</v>
      </c>
      <c r="CD47" s="1038">
        <f>CD46-0.2</f>
        <v>2.65</v>
      </c>
      <c r="CE47" s="1038">
        <f>CE46-0.2</f>
        <v>4.8</v>
      </c>
      <c r="CF47" s="1442"/>
      <c r="CG47" s="1038"/>
      <c r="CH47" s="1038"/>
      <c r="CI47" s="1038"/>
      <c r="CJ47" s="1038"/>
      <c r="CK47" s="1038"/>
      <c r="CL47" s="1038"/>
      <c r="CM47" s="1038"/>
      <c r="CN47" s="1038"/>
      <c r="CO47" s="1038"/>
      <c r="CP47" s="1038"/>
      <c r="CQ47" s="1038"/>
      <c r="CS47" s="1038" t="s">
        <v>1354</v>
      </c>
      <c r="CT47" s="1038">
        <f>CT46-0.2</f>
        <v>2.65</v>
      </c>
      <c r="CU47" s="1038">
        <f>CU46-0.2</f>
        <v>5.0999999999999996</v>
      </c>
      <c r="CV47" s="1442"/>
      <c r="CW47" s="1038"/>
      <c r="CX47" s="1038"/>
      <c r="CY47" s="1038"/>
      <c r="CZ47" s="1038"/>
      <c r="DA47" s="1038"/>
      <c r="DB47" s="1038"/>
      <c r="DC47" s="1038"/>
      <c r="DD47" s="1038"/>
      <c r="DE47" s="1038"/>
      <c r="DF47" s="1038"/>
      <c r="DG47" s="1038"/>
      <c r="DI47" s="1038" t="s">
        <v>1354</v>
      </c>
      <c r="DJ47" s="1038">
        <f>DJ46-0.2</f>
        <v>2.65</v>
      </c>
      <c r="DK47" s="1038">
        <f>DK46-0.2</f>
        <v>5.5</v>
      </c>
      <c r="DL47" s="1442"/>
      <c r="DM47" s="1038"/>
      <c r="DN47" s="1038"/>
      <c r="DO47" s="1038"/>
      <c r="DP47" s="1038"/>
      <c r="DQ47" s="1038"/>
      <c r="DR47" s="1038"/>
      <c r="DS47" s="1038"/>
      <c r="DT47" s="1038"/>
      <c r="DU47" s="1038"/>
      <c r="DV47" s="1038"/>
      <c r="DW47" s="1038"/>
      <c r="DY47" s="1038" t="s">
        <v>1354</v>
      </c>
      <c r="DZ47" s="1038">
        <f>DZ46-0.2</f>
        <v>2.65</v>
      </c>
      <c r="EA47" s="1038">
        <f>EA46-0.2</f>
        <v>5.8</v>
      </c>
      <c r="EB47" s="1442"/>
      <c r="EC47" s="1038"/>
      <c r="ED47" s="1038"/>
      <c r="EE47" s="1038"/>
      <c r="EF47" s="1038"/>
      <c r="EG47" s="1038"/>
      <c r="EH47" s="1038"/>
      <c r="EI47" s="1038"/>
      <c r="EJ47" s="1038"/>
      <c r="EK47" s="1038"/>
      <c r="EL47" s="1038"/>
      <c r="EM47" s="1038"/>
    </row>
    <row r="48" spans="1:143" ht="15.75" customHeight="1">
      <c r="A48" s="1040" t="s">
        <v>1471</v>
      </c>
      <c r="B48" s="1040"/>
      <c r="C48" s="1039">
        <f>B46*C46</f>
        <v>8.1225000000000005</v>
      </c>
      <c r="D48" s="1442"/>
      <c r="E48" s="1038"/>
      <c r="F48" s="1038"/>
      <c r="G48" s="1038"/>
      <c r="H48" s="1038"/>
      <c r="I48" s="1038"/>
      <c r="J48" s="1038"/>
      <c r="K48" s="1038"/>
      <c r="L48" s="1038"/>
      <c r="M48" s="1038"/>
      <c r="N48" s="1038"/>
      <c r="O48" s="1038"/>
      <c r="Q48" s="1040" t="s">
        <v>1471</v>
      </c>
      <c r="R48" s="1040"/>
      <c r="S48" s="1039">
        <f>R46*S46</f>
        <v>8.5500000000000007</v>
      </c>
      <c r="T48" s="1442"/>
      <c r="U48" s="1038"/>
      <c r="V48" s="1038"/>
      <c r="W48" s="1038"/>
      <c r="X48" s="1038"/>
      <c r="Y48" s="1038"/>
      <c r="Z48" s="1038"/>
      <c r="AA48" s="1038"/>
      <c r="AB48" s="1038"/>
      <c r="AC48" s="1038"/>
      <c r="AD48" s="1038"/>
      <c r="AE48" s="1038"/>
      <c r="AG48" s="1040" t="s">
        <v>1471</v>
      </c>
      <c r="AH48" s="1040"/>
      <c r="AI48" s="1039">
        <f>AH46*AI46</f>
        <v>9.9749999999999996</v>
      </c>
      <c r="AJ48" s="1442"/>
      <c r="AK48" s="1038"/>
      <c r="AL48" s="1038"/>
      <c r="AM48" s="1038"/>
      <c r="AN48" s="1038"/>
      <c r="AO48" s="1038"/>
      <c r="AP48" s="1038"/>
      <c r="AQ48" s="1038"/>
      <c r="AR48" s="1038"/>
      <c r="AS48" s="1038"/>
      <c r="AT48" s="1038"/>
      <c r="AU48" s="1038"/>
      <c r="AW48" s="1040" t="s">
        <v>1471</v>
      </c>
      <c r="AX48" s="1040"/>
      <c r="AY48" s="1039">
        <f>AX46*AY46</f>
        <v>11.4</v>
      </c>
      <c r="AZ48" s="1442"/>
      <c r="BA48" s="1038"/>
      <c r="BB48" s="1038"/>
      <c r="BC48" s="1038"/>
      <c r="BD48" s="1038"/>
      <c r="BE48" s="1038"/>
      <c r="BF48" s="1038"/>
      <c r="BG48" s="1038"/>
      <c r="BH48" s="1038"/>
      <c r="BI48" s="1038"/>
      <c r="BJ48" s="1038"/>
      <c r="BK48" s="1038"/>
      <c r="BM48" s="1040" t="s">
        <v>1471</v>
      </c>
      <c r="BN48" s="1040"/>
      <c r="BO48" s="1039">
        <f>BN46*BO46</f>
        <v>12.825000000000001</v>
      </c>
      <c r="BP48" s="1442"/>
      <c r="BQ48" s="1038"/>
      <c r="BR48" s="1038"/>
      <c r="BS48" s="1038"/>
      <c r="BT48" s="1038"/>
      <c r="BU48" s="1038"/>
      <c r="BV48" s="1038"/>
      <c r="BW48" s="1038"/>
      <c r="BX48" s="1038"/>
      <c r="BY48" s="1038"/>
      <c r="BZ48" s="1038"/>
      <c r="CA48" s="1038"/>
      <c r="CC48" s="1040" t="s">
        <v>1471</v>
      </c>
      <c r="CD48" s="1040"/>
      <c r="CE48" s="1039">
        <f>CD46*CE46</f>
        <v>14.25</v>
      </c>
      <c r="CF48" s="1442"/>
      <c r="CG48" s="1038"/>
      <c r="CH48" s="1038"/>
      <c r="CI48" s="1038"/>
      <c r="CJ48" s="1038"/>
      <c r="CK48" s="1038"/>
      <c r="CL48" s="1038"/>
      <c r="CM48" s="1038"/>
      <c r="CN48" s="1038"/>
      <c r="CO48" s="1038"/>
      <c r="CP48" s="1038"/>
      <c r="CQ48" s="1038"/>
      <c r="CS48" s="1040" t="s">
        <v>1471</v>
      </c>
      <c r="CT48" s="1040"/>
      <c r="CU48" s="1039">
        <f>CT46*CU46</f>
        <v>15.105</v>
      </c>
      <c r="CV48" s="1442"/>
      <c r="CW48" s="1038"/>
      <c r="CX48" s="1038"/>
      <c r="CY48" s="1038"/>
      <c r="CZ48" s="1038"/>
      <c r="DA48" s="1038"/>
      <c r="DB48" s="1038"/>
      <c r="DC48" s="1038"/>
      <c r="DD48" s="1038"/>
      <c r="DE48" s="1038"/>
      <c r="DF48" s="1038"/>
      <c r="DG48" s="1038"/>
      <c r="DI48" s="1040" t="s">
        <v>1471</v>
      </c>
      <c r="DJ48" s="1040"/>
      <c r="DK48" s="1039">
        <f>DJ46*DK46</f>
        <v>16.245000000000001</v>
      </c>
      <c r="DL48" s="1442"/>
      <c r="DM48" s="1038"/>
      <c r="DN48" s="1038"/>
      <c r="DO48" s="1038"/>
      <c r="DP48" s="1038"/>
      <c r="DQ48" s="1038"/>
      <c r="DR48" s="1038"/>
      <c r="DS48" s="1038"/>
      <c r="DT48" s="1038"/>
      <c r="DU48" s="1038"/>
      <c r="DV48" s="1038"/>
      <c r="DW48" s="1038"/>
      <c r="DY48" s="1040" t="s">
        <v>1471</v>
      </c>
      <c r="DZ48" s="1040"/>
      <c r="EA48" s="1039">
        <f>DZ46*EA46</f>
        <v>17.100000000000001</v>
      </c>
      <c r="EB48" s="1442"/>
      <c r="EC48" s="1038"/>
      <c r="ED48" s="1038"/>
      <c r="EE48" s="1038"/>
      <c r="EF48" s="1038"/>
      <c r="EG48" s="1038"/>
      <c r="EH48" s="1038"/>
      <c r="EI48" s="1038"/>
      <c r="EJ48" s="1038"/>
      <c r="EK48" s="1038"/>
      <c r="EL48" s="1038"/>
      <c r="EM48" s="1038"/>
    </row>
    <row r="49" spans="1:143" ht="15.75" customHeight="1">
      <c r="A49" s="1040" t="s">
        <v>1355</v>
      </c>
      <c r="B49" s="1040"/>
      <c r="C49" s="1039">
        <f>C47*C47</f>
        <v>7.0225</v>
      </c>
      <c r="D49" s="1442"/>
      <c r="E49" s="1038"/>
      <c r="F49" s="1038"/>
      <c r="G49" s="1038"/>
      <c r="H49" s="1038"/>
      <c r="I49" s="1038"/>
      <c r="J49" s="1038"/>
      <c r="K49" s="1038"/>
      <c r="L49" s="1038"/>
      <c r="M49" s="1038"/>
      <c r="N49" s="1038"/>
      <c r="O49" s="1038"/>
      <c r="Q49" s="1040" t="s">
        <v>1355</v>
      </c>
      <c r="R49" s="1040"/>
      <c r="S49" s="1039">
        <f>R47*S47</f>
        <v>7.419999999999999</v>
      </c>
      <c r="T49" s="1442"/>
      <c r="U49" s="1038"/>
      <c r="V49" s="1038"/>
      <c r="W49" s="1038"/>
      <c r="X49" s="1038"/>
      <c r="Y49" s="1038"/>
      <c r="Z49" s="1038"/>
      <c r="AA49" s="1038"/>
      <c r="AB49" s="1038"/>
      <c r="AC49" s="1038"/>
      <c r="AD49" s="1038"/>
      <c r="AE49" s="1038"/>
      <c r="AG49" s="1040" t="s">
        <v>1355</v>
      </c>
      <c r="AH49" s="1040"/>
      <c r="AI49" s="1039">
        <f>AH47*AI47</f>
        <v>8.7449999999999992</v>
      </c>
      <c r="AJ49" s="1442"/>
      <c r="AK49" s="1038"/>
      <c r="AL49" s="1038"/>
      <c r="AM49" s="1038"/>
      <c r="AN49" s="1038"/>
      <c r="AO49" s="1038"/>
      <c r="AP49" s="1038"/>
      <c r="AQ49" s="1038"/>
      <c r="AR49" s="1038"/>
      <c r="AS49" s="1038"/>
      <c r="AT49" s="1038"/>
      <c r="AU49" s="1038"/>
      <c r="AW49" s="1040" t="s">
        <v>1355</v>
      </c>
      <c r="AX49" s="1040"/>
      <c r="AY49" s="1039">
        <f>AX47*AY47</f>
        <v>10.069999999999999</v>
      </c>
      <c r="AZ49" s="1442"/>
      <c r="BA49" s="1038"/>
      <c r="BB49" s="1038"/>
      <c r="BC49" s="1038"/>
      <c r="BD49" s="1038"/>
      <c r="BE49" s="1038"/>
      <c r="BF49" s="1038"/>
      <c r="BG49" s="1038"/>
      <c r="BH49" s="1038"/>
      <c r="BI49" s="1038"/>
      <c r="BJ49" s="1038"/>
      <c r="BK49" s="1038"/>
      <c r="BM49" s="1040" t="s">
        <v>1355</v>
      </c>
      <c r="BN49" s="1040"/>
      <c r="BO49" s="1039">
        <f>BN47*BO47</f>
        <v>11.395</v>
      </c>
      <c r="BP49" s="1442"/>
      <c r="BQ49" s="1038"/>
      <c r="BR49" s="1038"/>
      <c r="BS49" s="1038"/>
      <c r="BT49" s="1038"/>
      <c r="BU49" s="1038"/>
      <c r="BV49" s="1038"/>
      <c r="BW49" s="1038"/>
      <c r="BX49" s="1038"/>
      <c r="BY49" s="1038"/>
      <c r="BZ49" s="1038"/>
      <c r="CA49" s="1038"/>
      <c r="CC49" s="1040" t="s">
        <v>1355</v>
      </c>
      <c r="CD49" s="1040"/>
      <c r="CE49" s="1039">
        <f>CD47*CE47</f>
        <v>12.719999999999999</v>
      </c>
      <c r="CF49" s="1442"/>
      <c r="CG49" s="1038"/>
      <c r="CH49" s="1038"/>
      <c r="CI49" s="1038"/>
      <c r="CJ49" s="1038"/>
      <c r="CK49" s="1038"/>
      <c r="CL49" s="1038"/>
      <c r="CM49" s="1038"/>
      <c r="CN49" s="1038"/>
      <c r="CO49" s="1038"/>
      <c r="CP49" s="1038"/>
      <c r="CQ49" s="1038"/>
      <c r="CS49" s="1040" t="s">
        <v>1355</v>
      </c>
      <c r="CT49" s="1040"/>
      <c r="CU49" s="1039">
        <f>CT47*CU47</f>
        <v>13.514999999999999</v>
      </c>
      <c r="CV49" s="1442"/>
      <c r="CW49" s="1038"/>
      <c r="CX49" s="1038"/>
      <c r="CY49" s="1038"/>
      <c r="CZ49" s="1038"/>
      <c r="DA49" s="1038"/>
      <c r="DB49" s="1038"/>
      <c r="DC49" s="1038"/>
      <c r="DD49" s="1038"/>
      <c r="DE49" s="1038"/>
      <c r="DF49" s="1038"/>
      <c r="DG49" s="1038"/>
      <c r="DI49" s="1040" t="s">
        <v>1355</v>
      </c>
      <c r="DJ49" s="1040"/>
      <c r="DK49" s="1039">
        <f>DJ47*DK47</f>
        <v>14.574999999999999</v>
      </c>
      <c r="DL49" s="1442"/>
      <c r="DM49" s="1038"/>
      <c r="DN49" s="1038"/>
      <c r="DO49" s="1038"/>
      <c r="DP49" s="1038"/>
      <c r="DQ49" s="1038"/>
      <c r="DR49" s="1038"/>
      <c r="DS49" s="1038"/>
      <c r="DT49" s="1038"/>
      <c r="DU49" s="1038"/>
      <c r="DV49" s="1038"/>
      <c r="DW49" s="1038"/>
      <c r="DY49" s="1040" t="s">
        <v>1355</v>
      </c>
      <c r="DZ49" s="1040"/>
      <c r="EA49" s="1039">
        <f>DZ47*EA47</f>
        <v>15.37</v>
      </c>
      <c r="EB49" s="1442"/>
      <c r="EC49" s="1038"/>
      <c r="ED49" s="1038"/>
      <c r="EE49" s="1038"/>
      <c r="EF49" s="1038"/>
      <c r="EG49" s="1038"/>
      <c r="EH49" s="1038"/>
      <c r="EI49" s="1038"/>
      <c r="EJ49" s="1038"/>
      <c r="EK49" s="1038"/>
      <c r="EL49" s="1038"/>
      <c r="EM49" s="1038"/>
    </row>
    <row r="50" spans="1:143" ht="15.75" customHeight="1">
      <c r="A50" s="1037" t="s">
        <v>1356</v>
      </c>
      <c r="B50" s="1405" t="s">
        <v>1357</v>
      </c>
      <c r="C50" s="1406"/>
      <c r="D50" s="1405" t="s">
        <v>1358</v>
      </c>
      <c r="E50" s="1406"/>
      <c r="F50" s="1405" t="s">
        <v>1359</v>
      </c>
      <c r="G50" s="1406"/>
      <c r="H50" s="1405" t="s">
        <v>1360</v>
      </c>
      <c r="I50" s="1406"/>
      <c r="J50" s="1405" t="s">
        <v>1361</v>
      </c>
      <c r="K50" s="1406"/>
      <c r="L50" s="1405" t="s">
        <v>1362</v>
      </c>
      <c r="M50" s="1406"/>
      <c r="N50" s="1409" t="s">
        <v>1363</v>
      </c>
      <c r="O50" s="1406"/>
      <c r="Q50" s="1037" t="s">
        <v>1356</v>
      </c>
      <c r="R50" s="1405" t="s">
        <v>1357</v>
      </c>
      <c r="S50" s="1406"/>
      <c r="T50" s="1405" t="s">
        <v>1358</v>
      </c>
      <c r="U50" s="1406"/>
      <c r="V50" s="1405" t="s">
        <v>1359</v>
      </c>
      <c r="W50" s="1406"/>
      <c r="X50" s="1405" t="s">
        <v>1360</v>
      </c>
      <c r="Y50" s="1406"/>
      <c r="Z50" s="1405" t="s">
        <v>1361</v>
      </c>
      <c r="AA50" s="1406"/>
      <c r="AB50" s="1405" t="s">
        <v>1362</v>
      </c>
      <c r="AC50" s="1406"/>
      <c r="AD50" s="1409" t="s">
        <v>1363</v>
      </c>
      <c r="AE50" s="1406"/>
      <c r="AG50" s="1037" t="s">
        <v>1356</v>
      </c>
      <c r="AH50" s="1405" t="s">
        <v>1357</v>
      </c>
      <c r="AI50" s="1406"/>
      <c r="AJ50" s="1405" t="s">
        <v>1358</v>
      </c>
      <c r="AK50" s="1406"/>
      <c r="AL50" s="1405" t="s">
        <v>1359</v>
      </c>
      <c r="AM50" s="1406"/>
      <c r="AN50" s="1405" t="s">
        <v>1360</v>
      </c>
      <c r="AO50" s="1406"/>
      <c r="AP50" s="1405" t="s">
        <v>1361</v>
      </c>
      <c r="AQ50" s="1406"/>
      <c r="AR50" s="1405" t="s">
        <v>1362</v>
      </c>
      <c r="AS50" s="1406"/>
      <c r="AT50" s="1409" t="s">
        <v>1363</v>
      </c>
      <c r="AU50" s="1406"/>
      <c r="AW50" s="1037" t="s">
        <v>1356</v>
      </c>
      <c r="AX50" s="1405" t="s">
        <v>1357</v>
      </c>
      <c r="AY50" s="1406"/>
      <c r="AZ50" s="1405" t="s">
        <v>1358</v>
      </c>
      <c r="BA50" s="1406"/>
      <c r="BB50" s="1405" t="s">
        <v>1359</v>
      </c>
      <c r="BC50" s="1406"/>
      <c r="BD50" s="1405" t="s">
        <v>1360</v>
      </c>
      <c r="BE50" s="1406"/>
      <c r="BF50" s="1405" t="s">
        <v>1361</v>
      </c>
      <c r="BG50" s="1406"/>
      <c r="BH50" s="1405" t="s">
        <v>1362</v>
      </c>
      <c r="BI50" s="1406"/>
      <c r="BJ50" s="1409" t="s">
        <v>1363</v>
      </c>
      <c r="BK50" s="1406"/>
      <c r="BM50" s="1037" t="s">
        <v>1356</v>
      </c>
      <c r="BN50" s="1405" t="s">
        <v>1357</v>
      </c>
      <c r="BO50" s="1406"/>
      <c r="BP50" s="1405" t="s">
        <v>1358</v>
      </c>
      <c r="BQ50" s="1406"/>
      <c r="BR50" s="1405" t="s">
        <v>1359</v>
      </c>
      <c r="BS50" s="1406"/>
      <c r="BT50" s="1405" t="s">
        <v>1360</v>
      </c>
      <c r="BU50" s="1406"/>
      <c r="BV50" s="1405" t="s">
        <v>1361</v>
      </c>
      <c r="BW50" s="1406"/>
      <c r="BX50" s="1405" t="s">
        <v>1362</v>
      </c>
      <c r="BY50" s="1406"/>
      <c r="BZ50" s="1409" t="s">
        <v>1363</v>
      </c>
      <c r="CA50" s="1406"/>
      <c r="CC50" s="1037" t="s">
        <v>1356</v>
      </c>
      <c r="CD50" s="1405" t="s">
        <v>1357</v>
      </c>
      <c r="CE50" s="1406"/>
      <c r="CF50" s="1405" t="s">
        <v>1358</v>
      </c>
      <c r="CG50" s="1406"/>
      <c r="CH50" s="1405" t="s">
        <v>1359</v>
      </c>
      <c r="CI50" s="1406"/>
      <c r="CJ50" s="1405" t="s">
        <v>1360</v>
      </c>
      <c r="CK50" s="1406"/>
      <c r="CL50" s="1405" t="s">
        <v>1361</v>
      </c>
      <c r="CM50" s="1406"/>
      <c r="CN50" s="1405" t="s">
        <v>1362</v>
      </c>
      <c r="CO50" s="1406"/>
      <c r="CP50" s="1409" t="s">
        <v>1363</v>
      </c>
      <c r="CQ50" s="1406"/>
      <c r="CS50" s="1037" t="s">
        <v>1356</v>
      </c>
      <c r="CT50" s="1405" t="s">
        <v>1357</v>
      </c>
      <c r="CU50" s="1406"/>
      <c r="CV50" s="1405" t="s">
        <v>1358</v>
      </c>
      <c r="CW50" s="1406"/>
      <c r="CX50" s="1405" t="s">
        <v>1359</v>
      </c>
      <c r="CY50" s="1406"/>
      <c r="CZ50" s="1405" t="s">
        <v>1360</v>
      </c>
      <c r="DA50" s="1406"/>
      <c r="DB50" s="1405" t="s">
        <v>1361</v>
      </c>
      <c r="DC50" s="1406"/>
      <c r="DD50" s="1405" t="s">
        <v>1362</v>
      </c>
      <c r="DE50" s="1406"/>
      <c r="DF50" s="1409" t="s">
        <v>1363</v>
      </c>
      <c r="DG50" s="1406"/>
      <c r="DI50" s="1037" t="s">
        <v>1356</v>
      </c>
      <c r="DJ50" s="1405" t="s">
        <v>1357</v>
      </c>
      <c r="DK50" s="1406"/>
      <c r="DL50" s="1405" t="s">
        <v>1358</v>
      </c>
      <c r="DM50" s="1406"/>
      <c r="DN50" s="1405" t="s">
        <v>1359</v>
      </c>
      <c r="DO50" s="1406"/>
      <c r="DP50" s="1405" t="s">
        <v>1360</v>
      </c>
      <c r="DQ50" s="1406"/>
      <c r="DR50" s="1405" t="s">
        <v>1361</v>
      </c>
      <c r="DS50" s="1406"/>
      <c r="DT50" s="1405" t="s">
        <v>1362</v>
      </c>
      <c r="DU50" s="1406"/>
      <c r="DV50" s="1409" t="s">
        <v>1363</v>
      </c>
      <c r="DW50" s="1406"/>
      <c r="DY50" s="1037" t="s">
        <v>1356</v>
      </c>
      <c r="DZ50" s="1405" t="s">
        <v>1357</v>
      </c>
      <c r="EA50" s="1406"/>
      <c r="EB50" s="1405" t="s">
        <v>1358</v>
      </c>
      <c r="EC50" s="1406"/>
      <c r="ED50" s="1405" t="s">
        <v>1359</v>
      </c>
      <c r="EE50" s="1406"/>
      <c r="EF50" s="1405" t="s">
        <v>1360</v>
      </c>
      <c r="EG50" s="1406"/>
      <c r="EH50" s="1405" t="s">
        <v>1361</v>
      </c>
      <c r="EI50" s="1406"/>
      <c r="EJ50" s="1405" t="s">
        <v>1362</v>
      </c>
      <c r="EK50" s="1406"/>
      <c r="EL50" s="1409" t="s">
        <v>1363</v>
      </c>
      <c r="EM50" s="1406"/>
    </row>
    <row r="51" spans="1:143" ht="15.75" customHeight="1">
      <c r="A51" s="1435" t="s">
        <v>1364</v>
      </c>
      <c r="B51" s="1440"/>
      <c r="C51" s="1033">
        <f>Möblierungsschablone!$C$21</f>
        <v>7.17</v>
      </c>
      <c r="D51" s="1440"/>
      <c r="E51" s="1033">
        <f>Möblierungsschablone!$G$21</f>
        <v>10.8</v>
      </c>
      <c r="F51" s="1440"/>
      <c r="G51" s="1033">
        <f>Möblierungsschablone!$C$21</f>
        <v>7.17</v>
      </c>
      <c r="H51" s="1440"/>
      <c r="I51" s="1033">
        <f>Möblierungsschablone!$E$21</f>
        <v>10.325999999999999</v>
      </c>
      <c r="J51" s="1440"/>
      <c r="K51" s="1033">
        <f>Möblierungsschablone!$C$21</f>
        <v>7.17</v>
      </c>
      <c r="L51" s="1440"/>
      <c r="M51" s="1033">
        <f>2*Möblierungsschablone!$E$21</f>
        <v>20.651999999999997</v>
      </c>
      <c r="N51" s="1440"/>
      <c r="O51" s="1033">
        <f>Möblierungsschablone!$C$21</f>
        <v>7.17</v>
      </c>
      <c r="Q51" s="1435" t="s">
        <v>1364</v>
      </c>
      <c r="R51" s="1199" t="s">
        <v>2051</v>
      </c>
      <c r="S51" s="1033">
        <f>Möblierungsschablone!$C$21</f>
        <v>7.17</v>
      </c>
      <c r="T51" s="1200" t="s">
        <v>2046</v>
      </c>
      <c r="U51" s="1033">
        <f>Möblierungsschablone!$G$21</f>
        <v>10.8</v>
      </c>
      <c r="V51" s="1199" t="s">
        <v>2051</v>
      </c>
      <c r="W51" s="1033">
        <f>Möblierungsschablone!$C$21</f>
        <v>7.17</v>
      </c>
      <c r="X51" s="1199" t="s">
        <v>2054</v>
      </c>
      <c r="Y51" s="1033">
        <f>Möblierungsschablone!$E$21</f>
        <v>10.325999999999999</v>
      </c>
      <c r="Z51" s="1199" t="s">
        <v>2051</v>
      </c>
      <c r="AA51" s="1033">
        <f>Möblierungsschablone!$C$21</f>
        <v>7.17</v>
      </c>
      <c r="AB51" s="1199" t="s">
        <v>2053</v>
      </c>
      <c r="AC51" s="1033">
        <f>2*Möblierungsschablone!$E$21</f>
        <v>20.651999999999997</v>
      </c>
      <c r="AD51" s="1199" t="s">
        <v>2051</v>
      </c>
      <c r="AE51" s="1033">
        <f>Möblierungsschablone!$C$21</f>
        <v>7.17</v>
      </c>
      <c r="AG51" s="1435" t="s">
        <v>1364</v>
      </c>
      <c r="AH51" s="1199" t="s">
        <v>2051</v>
      </c>
      <c r="AI51" s="1033">
        <f>Möblierungsschablone!$C$21</f>
        <v>7.17</v>
      </c>
      <c r="AJ51" s="1200" t="s">
        <v>2046</v>
      </c>
      <c r="AK51" s="1033">
        <f>Möblierungsschablone!$G$21</f>
        <v>10.8</v>
      </c>
      <c r="AL51" s="1199" t="s">
        <v>2051</v>
      </c>
      <c r="AM51" s="1033">
        <f>Möblierungsschablone!$C$21</f>
        <v>7.17</v>
      </c>
      <c r="AN51" s="1199" t="s">
        <v>2050</v>
      </c>
      <c r="AO51" s="1033">
        <f>2*Möblierungsschablone!$C$21</f>
        <v>14.34</v>
      </c>
      <c r="AP51" s="1199" t="s">
        <v>2049</v>
      </c>
      <c r="AQ51" s="1033">
        <f>3*Möblierungsschablone!$C$21</f>
        <v>21.509999999999998</v>
      </c>
      <c r="AR51" s="1199" t="s">
        <v>2048</v>
      </c>
      <c r="AS51" s="1033">
        <f>4*Möblierungsschablone!$C$21</f>
        <v>28.68</v>
      </c>
      <c r="AT51" s="1199" t="s">
        <v>2047</v>
      </c>
      <c r="AU51" s="1033">
        <f>5*Möblierungsschablone!$C$21</f>
        <v>35.85</v>
      </c>
      <c r="AW51" s="1435" t="s">
        <v>1364</v>
      </c>
      <c r="AX51" s="1451"/>
      <c r="AY51" s="1033">
        <f>Möblierungsschablone!$C$21</f>
        <v>7.17</v>
      </c>
      <c r="AZ51" s="1451"/>
      <c r="BA51" s="1033">
        <f>Möblierungsschablone!$G$21</f>
        <v>10.8</v>
      </c>
      <c r="BB51" s="1451"/>
      <c r="BC51" s="1033">
        <f>Möblierungsschablone!$C$21</f>
        <v>7.17</v>
      </c>
      <c r="BD51" s="1451"/>
      <c r="BE51" s="1033">
        <f>2*Möblierungsschablone!$C$21</f>
        <v>14.34</v>
      </c>
      <c r="BF51" s="1451"/>
      <c r="BG51" s="1033">
        <f>3*Möblierungsschablone!$C$21</f>
        <v>21.509999999999998</v>
      </c>
      <c r="BH51" s="1451"/>
      <c r="BI51" s="1033">
        <f>4*Möblierungsschablone!$C$21</f>
        <v>28.68</v>
      </c>
      <c r="BJ51" s="1451"/>
      <c r="BK51" s="1033">
        <f>5*Möblierungsschablone!$C$21</f>
        <v>35.85</v>
      </c>
      <c r="BM51" s="1435" t="s">
        <v>1364</v>
      </c>
      <c r="BN51" s="1199" t="s">
        <v>2051</v>
      </c>
      <c r="BO51" s="1033">
        <f>Möblierungsschablone!$C$21</f>
        <v>7.17</v>
      </c>
      <c r="BP51" s="1200" t="s">
        <v>2046</v>
      </c>
      <c r="BQ51" s="1033">
        <f>Möblierungsschablone!$G$21</f>
        <v>10.8</v>
      </c>
      <c r="BR51" s="1199" t="s">
        <v>2051</v>
      </c>
      <c r="BS51" s="1033">
        <f>Möblierungsschablone!$C$21</f>
        <v>7.17</v>
      </c>
      <c r="BT51" s="1199" t="s">
        <v>2050</v>
      </c>
      <c r="BU51" s="1033">
        <f>2*Möblierungsschablone!$C$21</f>
        <v>14.34</v>
      </c>
      <c r="BV51" s="1199" t="s">
        <v>2049</v>
      </c>
      <c r="BW51" s="1033">
        <f>3*Möblierungsschablone!$C$21</f>
        <v>21.509999999999998</v>
      </c>
      <c r="BX51" s="1199" t="s">
        <v>2048</v>
      </c>
      <c r="BY51" s="1033">
        <f>4*Möblierungsschablone!$C$21</f>
        <v>28.68</v>
      </c>
      <c r="BZ51" s="1199" t="s">
        <v>2047</v>
      </c>
      <c r="CA51" s="1033">
        <f>5*Möblierungsschablone!$C$21</f>
        <v>35.85</v>
      </c>
      <c r="CC51" s="1435" t="s">
        <v>1364</v>
      </c>
      <c r="CD51" s="1199" t="s">
        <v>2051</v>
      </c>
      <c r="CE51" s="1033">
        <f>Möblierungsschablone!$C$21</f>
        <v>7.17</v>
      </c>
      <c r="CF51" s="1200" t="s">
        <v>2046</v>
      </c>
      <c r="CG51" s="1033">
        <f>Möblierungsschablone!$G$21</f>
        <v>10.8</v>
      </c>
      <c r="CH51" s="1199" t="s">
        <v>2051</v>
      </c>
      <c r="CI51" s="1033">
        <f>Möblierungsschablone!$C$21</f>
        <v>7.17</v>
      </c>
      <c r="CJ51" s="1199" t="s">
        <v>2050</v>
      </c>
      <c r="CK51" s="1033">
        <f>2*Möblierungsschablone!$C$21</f>
        <v>14.34</v>
      </c>
      <c r="CL51" s="1199" t="s">
        <v>2049</v>
      </c>
      <c r="CM51" s="1033">
        <f>3*Möblierungsschablone!$C$21</f>
        <v>21.509999999999998</v>
      </c>
      <c r="CN51" s="1199" t="s">
        <v>2048</v>
      </c>
      <c r="CO51" s="1033">
        <f>4*Möblierungsschablone!$C$21</f>
        <v>28.68</v>
      </c>
      <c r="CP51" s="1199" t="s">
        <v>2047</v>
      </c>
      <c r="CQ51" s="1033">
        <f>5*Möblierungsschablone!$C$21</f>
        <v>35.85</v>
      </c>
      <c r="CS51" s="1435" t="s">
        <v>1364</v>
      </c>
      <c r="CT51" s="1199" t="s">
        <v>2051</v>
      </c>
      <c r="CU51" s="1033">
        <f>Möblierungsschablone!$C$21</f>
        <v>7.17</v>
      </c>
      <c r="CV51" s="1200" t="s">
        <v>2046</v>
      </c>
      <c r="CW51" s="1033">
        <f>Möblierungsschablone!$G$21</f>
        <v>10.8</v>
      </c>
      <c r="CX51" s="1199" t="s">
        <v>2051</v>
      </c>
      <c r="CY51" s="1033">
        <f>Möblierungsschablone!$C$21</f>
        <v>7.17</v>
      </c>
      <c r="CZ51" s="1199" t="s">
        <v>2050</v>
      </c>
      <c r="DA51" s="1033">
        <f>2*Möblierungsschablone!$C$21</f>
        <v>14.34</v>
      </c>
      <c r="DB51" s="1199" t="s">
        <v>2049</v>
      </c>
      <c r="DC51" s="1033">
        <f>3*Möblierungsschablone!$C$21</f>
        <v>21.509999999999998</v>
      </c>
      <c r="DD51" s="1199" t="s">
        <v>2048</v>
      </c>
      <c r="DE51" s="1033">
        <f>4*Möblierungsschablone!$C$21</f>
        <v>28.68</v>
      </c>
      <c r="DF51" s="1199" t="s">
        <v>2047</v>
      </c>
      <c r="DG51" s="1033">
        <f>5*Möblierungsschablone!$C$21</f>
        <v>35.85</v>
      </c>
      <c r="DI51" s="1435" t="s">
        <v>1364</v>
      </c>
      <c r="DJ51" s="1199" t="s">
        <v>2051</v>
      </c>
      <c r="DK51" s="1033">
        <f>Möblierungsschablone!$C$21</f>
        <v>7.17</v>
      </c>
      <c r="DL51" s="1200" t="s">
        <v>2046</v>
      </c>
      <c r="DM51" s="1033">
        <f>Möblierungsschablone!$G$21</f>
        <v>10.8</v>
      </c>
      <c r="DN51" s="1199" t="s">
        <v>2051</v>
      </c>
      <c r="DO51" s="1033">
        <f>Möblierungsschablone!$C$21</f>
        <v>7.17</v>
      </c>
      <c r="DP51" s="1199" t="s">
        <v>2050</v>
      </c>
      <c r="DQ51" s="1033">
        <f>2*Möblierungsschablone!$C$21</f>
        <v>14.34</v>
      </c>
      <c r="DR51" s="1199" t="s">
        <v>2049</v>
      </c>
      <c r="DS51" s="1033">
        <f>3*Möblierungsschablone!$C$21</f>
        <v>21.509999999999998</v>
      </c>
      <c r="DT51" s="1199" t="s">
        <v>2048</v>
      </c>
      <c r="DU51" s="1033">
        <f>4*Möblierungsschablone!$C$21</f>
        <v>28.68</v>
      </c>
      <c r="DV51" s="1199" t="s">
        <v>2047</v>
      </c>
      <c r="DW51" s="1033">
        <f>5*Möblierungsschablone!$C$21</f>
        <v>35.85</v>
      </c>
      <c r="DY51" s="1435" t="s">
        <v>1364</v>
      </c>
      <c r="DZ51" s="1199" t="s">
        <v>2051</v>
      </c>
      <c r="EA51" s="1033">
        <f>Möblierungsschablone!$C$21</f>
        <v>7.17</v>
      </c>
      <c r="EB51" s="1200" t="s">
        <v>2046</v>
      </c>
      <c r="EC51" s="1033">
        <f>Möblierungsschablone!$G$21</f>
        <v>10.8</v>
      </c>
      <c r="ED51" s="1199" t="s">
        <v>2051</v>
      </c>
      <c r="EE51" s="1033">
        <f>Möblierungsschablone!$C$21</f>
        <v>7.17</v>
      </c>
      <c r="EF51" s="1199" t="s">
        <v>2050</v>
      </c>
      <c r="EG51" s="1033">
        <f>2*Möblierungsschablone!$C$21</f>
        <v>14.34</v>
      </c>
      <c r="EH51" s="1199" t="s">
        <v>2049</v>
      </c>
      <c r="EI51" s="1033">
        <f>3*Möblierungsschablone!$C$21</f>
        <v>21.509999999999998</v>
      </c>
      <c r="EJ51" s="1199" t="s">
        <v>2048</v>
      </c>
      <c r="EK51" s="1033">
        <f>4*Möblierungsschablone!$C$21</f>
        <v>28.68</v>
      </c>
      <c r="EL51" s="1199" t="s">
        <v>2047</v>
      </c>
      <c r="EM51" s="1033">
        <f>5*Möblierungsschablone!$C$21</f>
        <v>35.85</v>
      </c>
    </row>
    <row r="52" spans="1:143" ht="15.75" customHeight="1">
      <c r="A52" s="1435"/>
      <c r="B52" s="1440"/>
      <c r="C52" s="1033"/>
      <c r="D52" s="1440"/>
      <c r="E52" s="1036"/>
      <c r="F52" s="1440"/>
      <c r="G52" s="1033">
        <f>Möblierungsschablone!$G$21</f>
        <v>10.8</v>
      </c>
      <c r="H52" s="1440"/>
      <c r="I52" s="1033">
        <f>Möblierungsschablone!$G$21</f>
        <v>10.8</v>
      </c>
      <c r="J52" s="1440"/>
      <c r="K52" s="1033">
        <f>Möblierungsschablone!$E$21</f>
        <v>10.325999999999999</v>
      </c>
      <c r="L52" s="1440"/>
      <c r="M52" s="1033">
        <f>Möblierungsschablone!$G$21</f>
        <v>10.8</v>
      </c>
      <c r="N52" s="1440"/>
      <c r="O52" s="1033">
        <f>2*Möblierungsschablone!$E$21</f>
        <v>20.651999999999997</v>
      </c>
      <c r="Q52" s="1435"/>
      <c r="R52" s="1200"/>
      <c r="S52" s="1033"/>
      <c r="T52" s="1200"/>
      <c r="U52" s="1036"/>
      <c r="V52" s="1200" t="s">
        <v>2046</v>
      </c>
      <c r="W52" s="1033">
        <f>Möblierungsschablone!$G$21</f>
        <v>10.8</v>
      </c>
      <c r="X52" s="1200" t="s">
        <v>2046</v>
      </c>
      <c r="Y52" s="1033">
        <f>Möblierungsschablone!$G$21</f>
        <v>10.8</v>
      </c>
      <c r="Z52" s="1200" t="s">
        <v>2054</v>
      </c>
      <c r="AA52" s="1033">
        <f>Möblierungsschablone!$E$21</f>
        <v>10.325999999999999</v>
      </c>
      <c r="AB52" s="1200" t="s">
        <v>2046</v>
      </c>
      <c r="AC52" s="1033">
        <f>Möblierungsschablone!$G$21</f>
        <v>10.8</v>
      </c>
      <c r="AD52" s="1200" t="s">
        <v>2053</v>
      </c>
      <c r="AE52" s="1033">
        <f>2*Möblierungsschablone!$E$21</f>
        <v>20.651999999999997</v>
      </c>
      <c r="AG52" s="1435"/>
      <c r="AH52" s="1200"/>
      <c r="AI52" s="1033"/>
      <c r="AJ52" s="1200"/>
      <c r="AK52" s="1036"/>
      <c r="AL52" s="1200" t="s">
        <v>2046</v>
      </c>
      <c r="AM52" s="1033">
        <f>Möblierungsschablone!$G$21</f>
        <v>10.8</v>
      </c>
      <c r="AN52" s="1200" t="s">
        <v>2046</v>
      </c>
      <c r="AO52" s="1033">
        <f>Möblierungsschablone!$G$21</f>
        <v>10.8</v>
      </c>
      <c r="AP52" s="1200" t="s">
        <v>2046</v>
      </c>
      <c r="AQ52" s="1033">
        <f>Möblierungsschablone!$G$21</f>
        <v>10.8</v>
      </c>
      <c r="AR52" s="1200" t="s">
        <v>2046</v>
      </c>
      <c r="AS52" s="1033">
        <f>Möblierungsschablone!$G$21</f>
        <v>10.8</v>
      </c>
      <c r="AT52" s="1200" t="s">
        <v>2046</v>
      </c>
      <c r="AU52" s="1033">
        <f>Möblierungsschablone!$G$21</f>
        <v>10.8</v>
      </c>
      <c r="AW52" s="1435"/>
      <c r="AX52" s="1451"/>
      <c r="AY52" s="1033"/>
      <c r="AZ52" s="1451"/>
      <c r="BA52" s="1036"/>
      <c r="BB52" s="1451"/>
      <c r="BC52" s="1033">
        <f>Möblierungsschablone!$G$21</f>
        <v>10.8</v>
      </c>
      <c r="BD52" s="1451"/>
      <c r="BE52" s="1033">
        <f>Möblierungsschablone!$G$21</f>
        <v>10.8</v>
      </c>
      <c r="BF52" s="1451"/>
      <c r="BG52" s="1033">
        <f>Möblierungsschablone!$G$21</f>
        <v>10.8</v>
      </c>
      <c r="BH52" s="1451"/>
      <c r="BI52" s="1033">
        <f>Möblierungsschablone!$G$21</f>
        <v>10.8</v>
      </c>
      <c r="BJ52" s="1451"/>
      <c r="BK52" s="1033">
        <f>Möblierungsschablone!$G$21</f>
        <v>10.8</v>
      </c>
      <c r="BM52" s="1435"/>
      <c r="BN52" s="1200"/>
      <c r="BO52" s="1033"/>
      <c r="BP52" s="1200"/>
      <c r="BQ52" s="1036"/>
      <c r="BR52" s="1200" t="s">
        <v>2046</v>
      </c>
      <c r="BS52" s="1033">
        <f>Möblierungsschablone!$G$21</f>
        <v>10.8</v>
      </c>
      <c r="BT52" s="1200" t="s">
        <v>2046</v>
      </c>
      <c r="BU52" s="1033">
        <f>Möblierungsschablone!$G$21</f>
        <v>10.8</v>
      </c>
      <c r="BV52" s="1200" t="s">
        <v>2046</v>
      </c>
      <c r="BW52" s="1033">
        <f>Möblierungsschablone!$G$21</f>
        <v>10.8</v>
      </c>
      <c r="BX52" s="1200" t="s">
        <v>2046</v>
      </c>
      <c r="BY52" s="1033">
        <f>Möblierungsschablone!$G$21</f>
        <v>10.8</v>
      </c>
      <c r="BZ52" s="1200" t="s">
        <v>2046</v>
      </c>
      <c r="CA52" s="1033">
        <f>Möblierungsschablone!$G$21</f>
        <v>10.8</v>
      </c>
      <c r="CC52" s="1435"/>
      <c r="CD52" s="1200"/>
      <c r="CE52" s="1033"/>
      <c r="CF52" s="1200"/>
      <c r="CG52" s="1036"/>
      <c r="CH52" s="1200" t="s">
        <v>2046</v>
      </c>
      <c r="CI52" s="1033">
        <f>Möblierungsschablone!$G$21</f>
        <v>10.8</v>
      </c>
      <c r="CJ52" s="1200" t="s">
        <v>2046</v>
      </c>
      <c r="CK52" s="1033">
        <f>Möblierungsschablone!$G$21</f>
        <v>10.8</v>
      </c>
      <c r="CL52" s="1200" t="s">
        <v>2046</v>
      </c>
      <c r="CM52" s="1033">
        <f>Möblierungsschablone!$G$21</f>
        <v>10.8</v>
      </c>
      <c r="CN52" s="1200" t="s">
        <v>2046</v>
      </c>
      <c r="CO52" s="1033">
        <f>Möblierungsschablone!$G$21</f>
        <v>10.8</v>
      </c>
      <c r="CP52" s="1200" t="s">
        <v>2046</v>
      </c>
      <c r="CQ52" s="1033">
        <f>Möblierungsschablone!$G$21</f>
        <v>10.8</v>
      </c>
      <c r="CS52" s="1435"/>
      <c r="CT52" s="1200"/>
      <c r="CU52" s="1033"/>
      <c r="CV52" s="1200"/>
      <c r="CW52" s="1036"/>
      <c r="CX52" s="1200" t="s">
        <v>2046</v>
      </c>
      <c r="CY52" s="1033">
        <f>Möblierungsschablone!$G$21</f>
        <v>10.8</v>
      </c>
      <c r="CZ52" s="1200" t="s">
        <v>2046</v>
      </c>
      <c r="DA52" s="1033">
        <f>Möblierungsschablone!$G$21</f>
        <v>10.8</v>
      </c>
      <c r="DB52" s="1200" t="s">
        <v>2046</v>
      </c>
      <c r="DC52" s="1033">
        <f>Möblierungsschablone!$G$21</f>
        <v>10.8</v>
      </c>
      <c r="DD52" s="1200" t="s">
        <v>2046</v>
      </c>
      <c r="DE52" s="1033">
        <f>Möblierungsschablone!$G$21</f>
        <v>10.8</v>
      </c>
      <c r="DF52" s="1200" t="s">
        <v>2046</v>
      </c>
      <c r="DG52" s="1033">
        <f>Möblierungsschablone!$G$21</f>
        <v>10.8</v>
      </c>
      <c r="DI52" s="1435"/>
      <c r="DJ52" s="1200"/>
      <c r="DK52" s="1033"/>
      <c r="DL52" s="1200"/>
      <c r="DM52" s="1036"/>
      <c r="DN52" s="1200" t="s">
        <v>2046</v>
      </c>
      <c r="DO52" s="1033">
        <f>Möblierungsschablone!$G$21</f>
        <v>10.8</v>
      </c>
      <c r="DP52" s="1200" t="s">
        <v>2046</v>
      </c>
      <c r="DQ52" s="1033">
        <f>Möblierungsschablone!$G$21</f>
        <v>10.8</v>
      </c>
      <c r="DR52" s="1200" t="s">
        <v>2046</v>
      </c>
      <c r="DS52" s="1033">
        <f>Möblierungsschablone!$G$21</f>
        <v>10.8</v>
      </c>
      <c r="DT52" s="1200" t="s">
        <v>2046</v>
      </c>
      <c r="DU52" s="1033">
        <f>Möblierungsschablone!$G$21</f>
        <v>10.8</v>
      </c>
      <c r="DV52" s="1200" t="s">
        <v>2046</v>
      </c>
      <c r="DW52" s="1033">
        <f>Möblierungsschablone!$G$21</f>
        <v>10.8</v>
      </c>
      <c r="DY52" s="1435"/>
      <c r="DZ52" s="1200"/>
      <c r="EA52" s="1033"/>
      <c r="EB52" s="1200"/>
      <c r="EC52" s="1036"/>
      <c r="ED52" s="1200" t="s">
        <v>2046</v>
      </c>
      <c r="EE52" s="1033">
        <f>Möblierungsschablone!$G$21</f>
        <v>10.8</v>
      </c>
      <c r="EF52" s="1200" t="s">
        <v>2046</v>
      </c>
      <c r="EG52" s="1033">
        <f>Möblierungsschablone!$G$21</f>
        <v>10.8</v>
      </c>
      <c r="EH52" s="1200" t="s">
        <v>2046</v>
      </c>
      <c r="EI52" s="1033">
        <f>Möblierungsschablone!$G$21</f>
        <v>10.8</v>
      </c>
      <c r="EJ52" s="1200" t="s">
        <v>2046</v>
      </c>
      <c r="EK52" s="1033">
        <f>Möblierungsschablone!$G$21</f>
        <v>10.8</v>
      </c>
      <c r="EL52" s="1200" t="s">
        <v>2046</v>
      </c>
      <c r="EM52" s="1033">
        <f>Möblierungsschablone!$G$21</f>
        <v>10.8</v>
      </c>
    </row>
    <row r="53" spans="1:143" ht="15.75" customHeight="1">
      <c r="A53" s="1436"/>
      <c r="B53" s="1404"/>
      <c r="C53" s="1033"/>
      <c r="D53" s="1404"/>
      <c r="E53" s="1036"/>
      <c r="F53" s="1404"/>
      <c r="G53" s="1036"/>
      <c r="H53" s="1404"/>
      <c r="I53" s="1036"/>
      <c r="J53" s="1404"/>
      <c r="K53" s="1033">
        <f>Möblierungsschablone!$G$21</f>
        <v>10.8</v>
      </c>
      <c r="L53" s="1404"/>
      <c r="M53" s="1033"/>
      <c r="N53" s="1404"/>
      <c r="O53" s="1033">
        <f>Möblierungsschablone!$G$21</f>
        <v>10.8</v>
      </c>
      <c r="Q53" s="1436"/>
      <c r="R53" s="1200"/>
      <c r="S53" s="1033"/>
      <c r="T53" s="1200"/>
      <c r="U53" s="1036"/>
      <c r="V53" s="1200"/>
      <c r="W53" s="1036"/>
      <c r="X53" s="1200"/>
      <c r="Y53" s="1036"/>
      <c r="Z53" s="1200" t="s">
        <v>2046</v>
      </c>
      <c r="AA53" s="1033">
        <f>Möblierungsschablone!$G$21</f>
        <v>10.8</v>
      </c>
      <c r="AB53" s="1200"/>
      <c r="AC53" s="1033"/>
      <c r="AD53" s="1200" t="s">
        <v>2046</v>
      </c>
      <c r="AE53" s="1033">
        <f>Möblierungsschablone!$G$21</f>
        <v>10.8</v>
      </c>
      <c r="AG53" s="1436"/>
      <c r="AH53" s="1200"/>
      <c r="AI53" s="1033"/>
      <c r="AJ53" s="1200"/>
      <c r="AK53" s="1036"/>
      <c r="AL53" s="1200"/>
      <c r="AM53" s="1036"/>
      <c r="AN53" s="1200"/>
      <c r="AO53" s="1036"/>
      <c r="AP53" s="1200"/>
      <c r="AQ53" s="1036"/>
      <c r="AR53" s="1200"/>
      <c r="AS53" s="1036"/>
      <c r="AT53" s="1200"/>
      <c r="AU53" s="1036"/>
      <c r="AW53" s="1436"/>
      <c r="AX53" s="1451"/>
      <c r="AY53" s="1033"/>
      <c r="AZ53" s="1451"/>
      <c r="BA53" s="1036"/>
      <c r="BB53" s="1451"/>
      <c r="BC53" s="1036"/>
      <c r="BD53" s="1451"/>
      <c r="BE53" s="1036"/>
      <c r="BF53" s="1451"/>
      <c r="BG53" s="1036"/>
      <c r="BH53" s="1451"/>
      <c r="BI53" s="1036"/>
      <c r="BJ53" s="1451"/>
      <c r="BK53" s="1036"/>
      <c r="BM53" s="1436"/>
      <c r="BN53" s="1200"/>
      <c r="BO53" s="1033"/>
      <c r="BP53" s="1200"/>
      <c r="BQ53" s="1036"/>
      <c r="BR53" s="1200"/>
      <c r="BS53" s="1036"/>
      <c r="BT53" s="1200"/>
      <c r="BU53" s="1036"/>
      <c r="BV53" s="1200"/>
      <c r="BW53" s="1036"/>
      <c r="BX53" s="1200"/>
      <c r="BY53" s="1036"/>
      <c r="BZ53" s="1200"/>
      <c r="CA53" s="1036"/>
      <c r="CC53" s="1436"/>
      <c r="CD53" s="1200"/>
      <c r="CE53" s="1033"/>
      <c r="CF53" s="1200"/>
      <c r="CG53" s="1036"/>
      <c r="CH53" s="1200" t="s">
        <v>2045</v>
      </c>
      <c r="CI53" s="1033">
        <f>Möblierungsschablone!$C$26</f>
        <v>4.41</v>
      </c>
      <c r="CJ53" s="1200"/>
      <c r="CK53" s="1036"/>
      <c r="CL53" s="1200"/>
      <c r="CM53" s="1036"/>
      <c r="CN53" s="1200"/>
      <c r="CO53" s="1036"/>
      <c r="CP53" s="1200"/>
      <c r="CQ53" s="1036"/>
      <c r="CS53" s="1436"/>
      <c r="CT53" s="1200"/>
      <c r="CU53" s="1033"/>
      <c r="CV53" s="1200"/>
      <c r="CW53" s="1036"/>
      <c r="CX53" s="1200" t="s">
        <v>2045</v>
      </c>
      <c r="CY53" s="1033">
        <f>Möblierungsschablone!$C$26</f>
        <v>4.41</v>
      </c>
      <c r="CZ53" s="1200"/>
      <c r="DA53" s="1036"/>
      <c r="DB53" s="1200"/>
      <c r="DC53" s="1036"/>
      <c r="DD53" s="1200"/>
      <c r="DE53" s="1036"/>
      <c r="DF53" s="1200"/>
      <c r="DG53" s="1036"/>
      <c r="DI53" s="1436"/>
      <c r="DJ53" s="1200"/>
      <c r="DK53" s="1033"/>
      <c r="DL53" s="1200"/>
      <c r="DM53" s="1036"/>
      <c r="DN53" s="1200" t="s">
        <v>2045</v>
      </c>
      <c r="DO53" s="1033">
        <f>Möblierungsschablone!$C$26</f>
        <v>4.41</v>
      </c>
      <c r="DP53" s="1200"/>
      <c r="DQ53" s="1036"/>
      <c r="DR53" s="1200"/>
      <c r="DS53" s="1036"/>
      <c r="DT53" s="1200"/>
      <c r="DU53" s="1036"/>
      <c r="DV53" s="1200"/>
      <c r="DW53" s="1036"/>
      <c r="DY53" s="1436"/>
      <c r="DZ53" s="1200"/>
      <c r="EA53" s="1033"/>
      <c r="EB53" s="1200"/>
      <c r="EC53" s="1036"/>
      <c r="ED53" s="1200" t="s">
        <v>2045</v>
      </c>
      <c r="EE53" s="1033">
        <f>Möblierungsschablone!$C$26</f>
        <v>4.41</v>
      </c>
      <c r="EF53" s="1200"/>
      <c r="EG53" s="1036"/>
      <c r="EH53" s="1200"/>
      <c r="EI53" s="1036"/>
      <c r="EJ53" s="1200"/>
      <c r="EK53" s="1036"/>
      <c r="EL53" s="1200"/>
      <c r="EM53" s="1036"/>
    </row>
    <row r="54" spans="1:143" ht="15.75" customHeight="1">
      <c r="A54" s="1436"/>
      <c r="B54" s="1404"/>
      <c r="C54" s="1034">
        <f>SUM(C51:C53)</f>
        <v>7.17</v>
      </c>
      <c r="D54" s="1404"/>
      <c r="E54" s="1034">
        <f>SUM(E51:E53)</f>
        <v>10.8</v>
      </c>
      <c r="F54" s="1404"/>
      <c r="G54" s="1034">
        <f>SUM(G51:G53)</f>
        <v>17.97</v>
      </c>
      <c r="H54" s="1404"/>
      <c r="I54" s="1034">
        <f>SUM(I51:I53)</f>
        <v>21.125999999999998</v>
      </c>
      <c r="J54" s="1404"/>
      <c r="K54" s="1034">
        <f>SUM(K51:K53)</f>
        <v>28.295999999999999</v>
      </c>
      <c r="L54" s="1404"/>
      <c r="M54" s="1034">
        <f>SUM(M51:M53)</f>
        <v>31.451999999999998</v>
      </c>
      <c r="N54" s="1404"/>
      <c r="O54" s="1034">
        <f>SUM(O51:O53)</f>
        <v>38.622</v>
      </c>
      <c r="Q54" s="1436"/>
      <c r="R54" s="1201" t="s">
        <v>2036</v>
      </c>
      <c r="S54" s="1034">
        <f>SUM(S51:S53)</f>
        <v>7.17</v>
      </c>
      <c r="T54" s="1201" t="s">
        <v>2036</v>
      </c>
      <c r="U54" s="1034">
        <f>SUM(U51:U53)</f>
        <v>10.8</v>
      </c>
      <c r="V54" s="1201" t="s">
        <v>2036</v>
      </c>
      <c r="W54" s="1034">
        <f>SUM(W51:W53)</f>
        <v>17.97</v>
      </c>
      <c r="X54" s="1201" t="s">
        <v>2036</v>
      </c>
      <c r="Y54" s="1034">
        <f>SUM(Y51:Y53)</f>
        <v>21.125999999999998</v>
      </c>
      <c r="Z54" s="1201" t="s">
        <v>2036</v>
      </c>
      <c r="AA54" s="1034">
        <f>SUM(AA51:AA53)</f>
        <v>28.295999999999999</v>
      </c>
      <c r="AB54" s="1201" t="s">
        <v>2036</v>
      </c>
      <c r="AC54" s="1034">
        <f>SUM(AC51:AC53)</f>
        <v>31.451999999999998</v>
      </c>
      <c r="AD54" s="1201" t="s">
        <v>2036</v>
      </c>
      <c r="AE54" s="1034">
        <f>SUM(AE51:AE53)</f>
        <v>38.622</v>
      </c>
      <c r="AG54" s="1436"/>
      <c r="AH54" s="1201" t="s">
        <v>2036</v>
      </c>
      <c r="AI54" s="1034">
        <f>SUM(AI51:AI53)</f>
        <v>7.17</v>
      </c>
      <c r="AJ54" s="1201" t="s">
        <v>2036</v>
      </c>
      <c r="AK54" s="1034">
        <f>SUM(AK51:AK53)</f>
        <v>10.8</v>
      </c>
      <c r="AL54" s="1201" t="s">
        <v>2036</v>
      </c>
      <c r="AM54" s="1034">
        <f>SUM(AM51:AM53)</f>
        <v>17.97</v>
      </c>
      <c r="AN54" s="1201" t="s">
        <v>2036</v>
      </c>
      <c r="AO54" s="1034">
        <f>SUM(AO51:AO53)</f>
        <v>25.14</v>
      </c>
      <c r="AP54" s="1201" t="s">
        <v>2036</v>
      </c>
      <c r="AQ54" s="1034">
        <f>SUM(AQ51:AQ53)</f>
        <v>32.31</v>
      </c>
      <c r="AR54" s="1201" t="s">
        <v>2036</v>
      </c>
      <c r="AS54" s="1034">
        <f>SUM(AS51:AS53)</f>
        <v>39.480000000000004</v>
      </c>
      <c r="AT54" s="1201" t="s">
        <v>2036</v>
      </c>
      <c r="AU54" s="1034">
        <f>SUM(AU51:AU53)</f>
        <v>46.650000000000006</v>
      </c>
      <c r="AW54" s="1436"/>
      <c r="AX54" s="1451"/>
      <c r="AY54" s="1034">
        <f>SUM(AY51:AY53)</f>
        <v>7.17</v>
      </c>
      <c r="AZ54" s="1451"/>
      <c r="BA54" s="1034">
        <f>SUM(BA51:BA53)</f>
        <v>10.8</v>
      </c>
      <c r="BB54" s="1451"/>
      <c r="BC54" s="1034">
        <f>SUM(BC51:BC53)</f>
        <v>17.97</v>
      </c>
      <c r="BD54" s="1451"/>
      <c r="BE54" s="1034">
        <f>SUM(BE51:BE53)</f>
        <v>25.14</v>
      </c>
      <c r="BF54" s="1451"/>
      <c r="BG54" s="1034">
        <f>SUM(BG51:BG53)</f>
        <v>32.31</v>
      </c>
      <c r="BH54" s="1451"/>
      <c r="BI54" s="1034">
        <f>SUM(BI51:BI53)</f>
        <v>39.480000000000004</v>
      </c>
      <c r="BJ54" s="1451"/>
      <c r="BK54" s="1034">
        <f>SUM(BK51:BK53)</f>
        <v>46.650000000000006</v>
      </c>
      <c r="BM54" s="1436"/>
      <c r="BN54" s="1201" t="s">
        <v>2036</v>
      </c>
      <c r="BO54" s="1034">
        <f>SUM(BO51:BO53)</f>
        <v>7.17</v>
      </c>
      <c r="BP54" s="1201" t="s">
        <v>2036</v>
      </c>
      <c r="BQ54" s="1034">
        <f>SUM(BQ51:BQ53)</f>
        <v>10.8</v>
      </c>
      <c r="BR54" s="1201" t="s">
        <v>2036</v>
      </c>
      <c r="BS54" s="1034">
        <f>SUM(BS51:BS53)</f>
        <v>17.97</v>
      </c>
      <c r="BT54" s="1201" t="s">
        <v>2036</v>
      </c>
      <c r="BU54" s="1034">
        <f>SUM(BU51:BU53)</f>
        <v>25.14</v>
      </c>
      <c r="BV54" s="1201" t="s">
        <v>2036</v>
      </c>
      <c r="BW54" s="1034">
        <f>SUM(BW51:BW53)</f>
        <v>32.31</v>
      </c>
      <c r="BX54" s="1201" t="s">
        <v>2036</v>
      </c>
      <c r="BY54" s="1034">
        <f>SUM(BY51:BY53)</f>
        <v>39.480000000000004</v>
      </c>
      <c r="BZ54" s="1201" t="s">
        <v>2036</v>
      </c>
      <c r="CA54" s="1034">
        <f>SUM(CA51:CA53)</f>
        <v>46.650000000000006</v>
      </c>
      <c r="CC54" s="1436"/>
      <c r="CD54" s="1201" t="s">
        <v>2036</v>
      </c>
      <c r="CE54" s="1034">
        <f>SUM(CE51:CE53)</f>
        <v>7.17</v>
      </c>
      <c r="CF54" s="1201" t="s">
        <v>2036</v>
      </c>
      <c r="CG54" s="1034">
        <f>SUM(CG51:CG53)</f>
        <v>10.8</v>
      </c>
      <c r="CH54" s="1201" t="s">
        <v>2036</v>
      </c>
      <c r="CI54" s="1034">
        <f>SUM(CI51:CI53)</f>
        <v>22.38</v>
      </c>
      <c r="CJ54" s="1201" t="s">
        <v>2036</v>
      </c>
      <c r="CK54" s="1034">
        <f>SUM(CK51:CK53)</f>
        <v>25.14</v>
      </c>
      <c r="CL54" s="1201" t="s">
        <v>2036</v>
      </c>
      <c r="CM54" s="1034">
        <f>SUM(CM51:CM53)</f>
        <v>32.31</v>
      </c>
      <c r="CN54" s="1201" t="s">
        <v>2036</v>
      </c>
      <c r="CO54" s="1034">
        <f>SUM(CO51:CO53)</f>
        <v>39.480000000000004</v>
      </c>
      <c r="CP54" s="1201" t="s">
        <v>2036</v>
      </c>
      <c r="CQ54" s="1034">
        <f>SUM(CQ51:CQ53)</f>
        <v>46.650000000000006</v>
      </c>
      <c r="CS54" s="1436"/>
      <c r="CT54" s="1201" t="s">
        <v>2036</v>
      </c>
      <c r="CU54" s="1034">
        <f>SUM(CU51:CU53)</f>
        <v>7.17</v>
      </c>
      <c r="CV54" s="1201" t="s">
        <v>2036</v>
      </c>
      <c r="CW54" s="1034">
        <f>SUM(CW51:CW53)</f>
        <v>10.8</v>
      </c>
      <c r="CX54" s="1201" t="s">
        <v>2036</v>
      </c>
      <c r="CY54" s="1034">
        <f>SUM(CY51:CY53)</f>
        <v>22.38</v>
      </c>
      <c r="CZ54" s="1201" t="s">
        <v>2036</v>
      </c>
      <c r="DA54" s="1034">
        <f>SUM(DA51:DA53)</f>
        <v>25.14</v>
      </c>
      <c r="DB54" s="1201" t="s">
        <v>2036</v>
      </c>
      <c r="DC54" s="1034">
        <f>SUM(DC51:DC53)</f>
        <v>32.31</v>
      </c>
      <c r="DD54" s="1201" t="s">
        <v>2036</v>
      </c>
      <c r="DE54" s="1034">
        <f>SUM(DE51:DE53)</f>
        <v>39.480000000000004</v>
      </c>
      <c r="DF54" s="1201" t="s">
        <v>2036</v>
      </c>
      <c r="DG54" s="1034">
        <f>SUM(DG51:DG53)</f>
        <v>46.650000000000006</v>
      </c>
      <c r="DI54" s="1436"/>
      <c r="DJ54" s="1201" t="s">
        <v>2036</v>
      </c>
      <c r="DK54" s="1034">
        <f>SUM(DK51:DK53)</f>
        <v>7.17</v>
      </c>
      <c r="DL54" s="1201" t="s">
        <v>2036</v>
      </c>
      <c r="DM54" s="1034">
        <f>SUM(DM51:DM53)</f>
        <v>10.8</v>
      </c>
      <c r="DN54" s="1201" t="s">
        <v>2036</v>
      </c>
      <c r="DO54" s="1034">
        <f>SUM(DO51:DO53)</f>
        <v>22.38</v>
      </c>
      <c r="DP54" s="1201" t="s">
        <v>2036</v>
      </c>
      <c r="DQ54" s="1034">
        <f>SUM(DQ51:DQ53)</f>
        <v>25.14</v>
      </c>
      <c r="DR54" s="1201" t="s">
        <v>2036</v>
      </c>
      <c r="DS54" s="1034">
        <f>SUM(DS51:DS53)</f>
        <v>32.31</v>
      </c>
      <c r="DT54" s="1201" t="s">
        <v>2036</v>
      </c>
      <c r="DU54" s="1034">
        <f>SUM(DU51:DU53)</f>
        <v>39.480000000000004</v>
      </c>
      <c r="DV54" s="1201" t="s">
        <v>2036</v>
      </c>
      <c r="DW54" s="1034">
        <f>SUM(DW51:DW53)</f>
        <v>46.650000000000006</v>
      </c>
      <c r="DY54" s="1436"/>
      <c r="DZ54" s="1201" t="s">
        <v>2036</v>
      </c>
      <c r="EA54" s="1034">
        <f>SUM(EA51:EA53)</f>
        <v>7.17</v>
      </c>
      <c r="EB54" s="1201" t="s">
        <v>2036</v>
      </c>
      <c r="EC54" s="1034">
        <f>SUM(EC51:EC53)</f>
        <v>10.8</v>
      </c>
      <c r="ED54" s="1201" t="s">
        <v>2036</v>
      </c>
      <c r="EE54" s="1034">
        <f>SUM(EE51:EE53)</f>
        <v>22.38</v>
      </c>
      <c r="EF54" s="1201" t="s">
        <v>2036</v>
      </c>
      <c r="EG54" s="1034">
        <f>SUM(EG51:EG53)</f>
        <v>25.14</v>
      </c>
      <c r="EH54" s="1201" t="s">
        <v>2036</v>
      </c>
      <c r="EI54" s="1034">
        <f>SUM(EI51:EI53)</f>
        <v>32.31</v>
      </c>
      <c r="EJ54" s="1201" t="s">
        <v>2036</v>
      </c>
      <c r="EK54" s="1034">
        <f>SUM(EK51:EK53)</f>
        <v>39.480000000000004</v>
      </c>
      <c r="EL54" s="1201" t="s">
        <v>2036</v>
      </c>
      <c r="EM54" s="1034">
        <f>SUM(EM51:EM53)</f>
        <v>46.650000000000006</v>
      </c>
    </row>
    <row r="55" spans="1:143" ht="15.75" customHeight="1">
      <c r="A55" s="1436"/>
      <c r="B55" s="1404"/>
      <c r="C55" s="1032">
        <v>2</v>
      </c>
      <c r="D55" s="1404"/>
      <c r="E55" s="1032">
        <v>2</v>
      </c>
      <c r="F55" s="1404"/>
      <c r="G55" s="1032">
        <v>4</v>
      </c>
      <c r="H55" s="1404"/>
      <c r="I55" s="1032">
        <v>4</v>
      </c>
      <c r="J55" s="1404"/>
      <c r="K55" s="1032">
        <v>6</v>
      </c>
      <c r="L55" s="1404"/>
      <c r="M55" s="1032">
        <v>6</v>
      </c>
      <c r="N55" s="1404"/>
      <c r="O55" s="1032">
        <v>8</v>
      </c>
      <c r="Q55" s="1436"/>
      <c r="R55" s="1200" t="s">
        <v>1247</v>
      </c>
      <c r="S55" s="1032">
        <v>2</v>
      </c>
      <c r="T55" s="1200" t="s">
        <v>1247</v>
      </c>
      <c r="U55" s="1032">
        <v>2</v>
      </c>
      <c r="V55" s="1200" t="s">
        <v>1247</v>
      </c>
      <c r="W55" s="1032">
        <v>4</v>
      </c>
      <c r="X55" s="1200" t="s">
        <v>1247</v>
      </c>
      <c r="Y55" s="1032">
        <v>4</v>
      </c>
      <c r="Z55" s="1200" t="s">
        <v>1247</v>
      </c>
      <c r="AA55" s="1032">
        <v>6</v>
      </c>
      <c r="AB55" s="1200" t="s">
        <v>1247</v>
      </c>
      <c r="AC55" s="1032">
        <v>6</v>
      </c>
      <c r="AD55" s="1200" t="s">
        <v>1247</v>
      </c>
      <c r="AE55" s="1032">
        <v>8</v>
      </c>
      <c r="AG55" s="1436"/>
      <c r="AH55" s="1200" t="s">
        <v>1247</v>
      </c>
      <c r="AI55" s="1032">
        <v>1</v>
      </c>
      <c r="AJ55" s="1200" t="s">
        <v>1247</v>
      </c>
      <c r="AK55" s="1032">
        <v>2</v>
      </c>
      <c r="AL55" s="1200" t="s">
        <v>1247</v>
      </c>
      <c r="AM55" s="1032">
        <v>3</v>
      </c>
      <c r="AN55" s="1200" t="s">
        <v>1247</v>
      </c>
      <c r="AO55" s="1032">
        <v>4</v>
      </c>
      <c r="AP55" s="1200" t="s">
        <v>1247</v>
      </c>
      <c r="AQ55" s="1032">
        <v>5</v>
      </c>
      <c r="AR55" s="1200" t="s">
        <v>1247</v>
      </c>
      <c r="AS55" s="1032">
        <v>6</v>
      </c>
      <c r="AT55" s="1200" t="s">
        <v>1247</v>
      </c>
      <c r="AU55" s="1032">
        <v>7</v>
      </c>
      <c r="AW55" s="1436"/>
      <c r="AX55" s="1451"/>
      <c r="AY55" s="1032">
        <v>1</v>
      </c>
      <c r="AZ55" s="1451"/>
      <c r="BA55" s="1032">
        <v>2</v>
      </c>
      <c r="BB55" s="1451"/>
      <c r="BC55" s="1032">
        <v>3</v>
      </c>
      <c r="BD55" s="1451"/>
      <c r="BE55" s="1032">
        <v>4</v>
      </c>
      <c r="BF55" s="1451"/>
      <c r="BG55" s="1032">
        <v>5</v>
      </c>
      <c r="BH55" s="1451"/>
      <c r="BI55" s="1032">
        <v>6</v>
      </c>
      <c r="BJ55" s="1451"/>
      <c r="BK55" s="1032">
        <v>7</v>
      </c>
      <c r="BM55" s="1436"/>
      <c r="BN55" s="1200" t="s">
        <v>1247</v>
      </c>
      <c r="BO55" s="1032">
        <v>1</v>
      </c>
      <c r="BP55" s="1200" t="s">
        <v>1247</v>
      </c>
      <c r="BQ55" s="1032">
        <v>2</v>
      </c>
      <c r="BR55" s="1200" t="s">
        <v>1247</v>
      </c>
      <c r="BS55" s="1032">
        <v>3</v>
      </c>
      <c r="BT55" s="1200" t="s">
        <v>1247</v>
      </c>
      <c r="BU55" s="1032">
        <v>4</v>
      </c>
      <c r="BV55" s="1200" t="s">
        <v>1247</v>
      </c>
      <c r="BW55" s="1032">
        <v>5</v>
      </c>
      <c r="BX55" s="1200" t="s">
        <v>1247</v>
      </c>
      <c r="BY55" s="1032">
        <v>6</v>
      </c>
      <c r="BZ55" s="1200" t="s">
        <v>1247</v>
      </c>
      <c r="CA55" s="1032">
        <v>7</v>
      </c>
      <c r="CC55" s="1436"/>
      <c r="CD55" s="1200" t="s">
        <v>1247</v>
      </c>
      <c r="CE55" s="1032">
        <v>1</v>
      </c>
      <c r="CF55" s="1200" t="s">
        <v>1247</v>
      </c>
      <c r="CG55" s="1032">
        <v>2</v>
      </c>
      <c r="CH55" s="1200" t="s">
        <v>1247</v>
      </c>
      <c r="CI55" s="1032">
        <v>3</v>
      </c>
      <c r="CJ55" s="1200" t="s">
        <v>1247</v>
      </c>
      <c r="CK55" s="1032">
        <v>4</v>
      </c>
      <c r="CL55" s="1200" t="s">
        <v>1247</v>
      </c>
      <c r="CM55" s="1032">
        <v>5</v>
      </c>
      <c r="CN55" s="1200" t="s">
        <v>1247</v>
      </c>
      <c r="CO55" s="1032">
        <v>6</v>
      </c>
      <c r="CP55" s="1200" t="s">
        <v>1247</v>
      </c>
      <c r="CQ55" s="1032">
        <v>7</v>
      </c>
      <c r="CS55" s="1436"/>
      <c r="CT55" s="1200" t="s">
        <v>1247</v>
      </c>
      <c r="CU55" s="1032">
        <v>1</v>
      </c>
      <c r="CV55" s="1200" t="s">
        <v>1247</v>
      </c>
      <c r="CW55" s="1032">
        <v>2</v>
      </c>
      <c r="CX55" s="1200" t="s">
        <v>1247</v>
      </c>
      <c r="CY55" s="1032">
        <v>3</v>
      </c>
      <c r="CZ55" s="1200" t="s">
        <v>1247</v>
      </c>
      <c r="DA55" s="1032">
        <v>4</v>
      </c>
      <c r="DB55" s="1200" t="s">
        <v>1247</v>
      </c>
      <c r="DC55" s="1032">
        <v>5</v>
      </c>
      <c r="DD55" s="1200" t="s">
        <v>1247</v>
      </c>
      <c r="DE55" s="1032">
        <v>6</v>
      </c>
      <c r="DF55" s="1200" t="s">
        <v>1247</v>
      </c>
      <c r="DG55" s="1032">
        <v>7</v>
      </c>
      <c r="DI55" s="1436"/>
      <c r="DJ55" s="1200" t="s">
        <v>1247</v>
      </c>
      <c r="DK55" s="1032">
        <v>1</v>
      </c>
      <c r="DL55" s="1200" t="s">
        <v>1247</v>
      </c>
      <c r="DM55" s="1032">
        <v>2</v>
      </c>
      <c r="DN55" s="1200" t="s">
        <v>1247</v>
      </c>
      <c r="DO55" s="1032">
        <v>3</v>
      </c>
      <c r="DP55" s="1200" t="s">
        <v>1247</v>
      </c>
      <c r="DQ55" s="1032">
        <v>4</v>
      </c>
      <c r="DR55" s="1200" t="s">
        <v>1247</v>
      </c>
      <c r="DS55" s="1032">
        <v>5</v>
      </c>
      <c r="DT55" s="1200" t="s">
        <v>1247</v>
      </c>
      <c r="DU55" s="1032">
        <v>6</v>
      </c>
      <c r="DV55" s="1200" t="s">
        <v>1247</v>
      </c>
      <c r="DW55" s="1032">
        <v>7</v>
      </c>
      <c r="DY55" s="1436"/>
      <c r="DZ55" s="1200" t="s">
        <v>1247</v>
      </c>
      <c r="EA55" s="1032">
        <v>1</v>
      </c>
      <c r="EB55" s="1200" t="s">
        <v>1247</v>
      </c>
      <c r="EC55" s="1032">
        <v>2</v>
      </c>
      <c r="ED55" s="1200" t="s">
        <v>1247</v>
      </c>
      <c r="EE55" s="1032">
        <v>3</v>
      </c>
      <c r="EF55" s="1200" t="s">
        <v>1247</v>
      </c>
      <c r="EG55" s="1032">
        <v>4</v>
      </c>
      <c r="EH55" s="1200" t="s">
        <v>1247</v>
      </c>
      <c r="EI55" s="1032">
        <v>5</v>
      </c>
      <c r="EJ55" s="1200" t="s">
        <v>1247</v>
      </c>
      <c r="EK55" s="1032">
        <v>6</v>
      </c>
      <c r="EL55" s="1200" t="s">
        <v>1247</v>
      </c>
      <c r="EM55" s="1032">
        <v>7</v>
      </c>
    </row>
    <row r="56" spans="1:143" ht="149.25" customHeight="1">
      <c r="A56" s="1436"/>
      <c r="B56" s="1404"/>
      <c r="C56" s="1030">
        <f>C54/(C55*C49)</f>
        <v>0.51050195799216802</v>
      </c>
      <c r="D56" s="1404"/>
      <c r="E56" s="1030">
        <f>E54/(E55*C49)</f>
        <v>0.76895692417230332</v>
      </c>
      <c r="F56" s="1404"/>
      <c r="G56" s="1030">
        <f>G54/(G55*C49)</f>
        <v>0.63972944108223562</v>
      </c>
      <c r="H56" s="1404"/>
      <c r="I56" s="1030">
        <f>I54/(I55*C49)</f>
        <v>0.7520825916696332</v>
      </c>
      <c r="J56" s="1404"/>
      <c r="K56" s="1030">
        <f>K54/(K55*C49)</f>
        <v>0.67155571377714496</v>
      </c>
      <c r="L56" s="1404"/>
      <c r="M56" s="1030">
        <f>M54/(M55*C49)</f>
        <v>0.74645781416874335</v>
      </c>
      <c r="N56" s="1404"/>
      <c r="O56" s="1030">
        <f>O54/(O55*C49)</f>
        <v>0.68746885012459946</v>
      </c>
      <c r="Q56" s="1436"/>
      <c r="R56" s="1202"/>
      <c r="S56" s="1030">
        <f>S54/(S55*S49)</f>
        <v>0.48315363881401624</v>
      </c>
      <c r="T56" s="1202"/>
      <c r="U56" s="1030">
        <f>U54/(U55*S49)</f>
        <v>0.72776280323450149</v>
      </c>
      <c r="V56" s="1202"/>
      <c r="W56" s="1030">
        <f>W54/(W55*S49)</f>
        <v>0.60545822102425884</v>
      </c>
      <c r="X56" s="1202"/>
      <c r="Y56" s="1030">
        <f>Y54/(Y55*S49)</f>
        <v>0.71179245283018866</v>
      </c>
      <c r="Z56" s="1202"/>
      <c r="AA56" s="1030">
        <f>AA54/(AA55*S49)</f>
        <v>0.63557951482479791</v>
      </c>
      <c r="AB56" s="1202"/>
      <c r="AC56" s="1030">
        <f>AC54/(AC55*S49)</f>
        <v>0.70646900269541779</v>
      </c>
      <c r="AD56" s="1202"/>
      <c r="AE56" s="1030">
        <f>AE54/(AE55*S49)</f>
        <v>0.65064016172506745</v>
      </c>
      <c r="AG56" s="1436"/>
      <c r="AH56" s="1202"/>
      <c r="AI56" s="1030">
        <f>AI54/(AI55*AI49)</f>
        <v>0.81989708404802752</v>
      </c>
      <c r="AJ56" s="1202"/>
      <c r="AK56" s="1030">
        <f>AK54/(AK55*AI49)</f>
        <v>0.61749571183533458</v>
      </c>
      <c r="AL56" s="1202"/>
      <c r="AM56" s="1030">
        <f>AM54/(AM55*AI49)</f>
        <v>0.68496283590623208</v>
      </c>
      <c r="AN56" s="1202"/>
      <c r="AO56" s="1030">
        <f>AO54/(AO55*AI49)</f>
        <v>0.71869639794168105</v>
      </c>
      <c r="AP56" s="1202"/>
      <c r="AQ56" s="1030">
        <f>AQ54/(AQ55*AI49)</f>
        <v>0.73893653516295044</v>
      </c>
      <c r="AR56" s="1202"/>
      <c r="AS56" s="1030">
        <f>AS54/(AS55*AI49)</f>
        <v>0.75242995997712991</v>
      </c>
      <c r="AT56" s="1202"/>
      <c r="AU56" s="1030">
        <f>AU54/(AU55*AI49)</f>
        <v>0.76206812055868678</v>
      </c>
      <c r="AW56" s="1436"/>
      <c r="AX56" s="1451"/>
      <c r="AY56" s="1030">
        <f>AY54/(AY55*AY49)</f>
        <v>0.71201588877855027</v>
      </c>
      <c r="AZ56" s="1451"/>
      <c r="BA56" s="1030">
        <f>BA54/(BA55*AY49)</f>
        <v>0.53624627606752739</v>
      </c>
      <c r="BB56" s="1451"/>
      <c r="BC56" s="1030">
        <f>BC54/(BC55*AY49)</f>
        <v>0.59483614697120168</v>
      </c>
      <c r="BD56" s="1451"/>
      <c r="BE56" s="1030">
        <f>BE54/(BE55*AY49)</f>
        <v>0.62413108242303883</v>
      </c>
      <c r="BF56" s="1451"/>
      <c r="BG56" s="1030">
        <f>BG54/(BG55*AY49)</f>
        <v>0.64170804369414114</v>
      </c>
      <c r="BH56" s="1451"/>
      <c r="BI56" s="1030">
        <f>BI54/(BI55*AY49)</f>
        <v>0.65342601787487609</v>
      </c>
      <c r="BJ56" s="1451"/>
      <c r="BK56" s="1030">
        <f>BK54/(BK55*AY49)</f>
        <v>0.66179599943254375</v>
      </c>
      <c r="BM56" s="1436"/>
      <c r="BN56" s="1202"/>
      <c r="BO56" s="1030">
        <f>BO54/(BO55*BO49)</f>
        <v>0.62922334357174203</v>
      </c>
      <c r="BP56" s="1202"/>
      <c r="BQ56" s="1030">
        <f>BQ54/(BQ55*BO49)</f>
        <v>0.47389205792014044</v>
      </c>
      <c r="BR56" s="1202"/>
      <c r="BS56" s="1030">
        <f>BS54/(BS55*BO49)</f>
        <v>0.52566915313734086</v>
      </c>
      <c r="BT56" s="1202"/>
      <c r="BU56" s="1030">
        <f>BU54/(BU55*BO49)</f>
        <v>0.55155770074594124</v>
      </c>
      <c r="BV56" s="1202"/>
      <c r="BW56" s="1059">
        <f>BW54/(BW55*BO49)</f>
        <v>0.56709082931110144</v>
      </c>
      <c r="BX56" s="1202"/>
      <c r="BY56" s="1059">
        <f>BY54/(BY55*BO49)</f>
        <v>0.5774462483545415</v>
      </c>
      <c r="BZ56" s="1202"/>
      <c r="CA56" s="1059">
        <f>CA54/(CA55*BO49)</f>
        <v>0.58484297624271309</v>
      </c>
      <c r="CC56" s="1436"/>
      <c r="CD56" s="1202"/>
      <c r="CE56" s="1030">
        <f>CE54/(CE55*CE49)</f>
        <v>0.56367924528301894</v>
      </c>
      <c r="CF56" s="1202"/>
      <c r="CG56" s="1030">
        <f>CG54/(CG55*CE49)</f>
        <v>0.42452830188679253</v>
      </c>
      <c r="CH56" s="1433"/>
      <c r="CI56" s="1426">
        <f>CI54/(CI55*CE49)</f>
        <v>0.58647798742138368</v>
      </c>
      <c r="CJ56" s="1202"/>
      <c r="CK56" s="1030">
        <f>CK54/(CK55*CE49)</f>
        <v>0.4941037735849057</v>
      </c>
      <c r="CL56" s="1202"/>
      <c r="CM56" s="1059">
        <f>CM54/(CM55*CE49)</f>
        <v>0.50801886792452833</v>
      </c>
      <c r="CN56" s="1202"/>
      <c r="CO56" s="1059">
        <f>CO54/(CO55*CE49)</f>
        <v>0.51729559748427678</v>
      </c>
      <c r="CP56" s="1202"/>
      <c r="CQ56" s="1059">
        <f>CQ54/(CQ55*CE49)</f>
        <v>0.52392183288409711</v>
      </c>
      <c r="CS56" s="1436"/>
      <c r="CT56" s="1202"/>
      <c r="CU56" s="1030">
        <f>CU54/(CU55*CU49)</f>
        <v>0.5305216426193119</v>
      </c>
      <c r="CV56" s="1202"/>
      <c r="CW56" s="1030">
        <f>CW54/(CW55*CU49)</f>
        <v>0.39955604883462825</v>
      </c>
      <c r="CX56" s="1433"/>
      <c r="CY56" s="1426">
        <f>CY54/(CY55*CU49)</f>
        <v>0.55197928227894932</v>
      </c>
      <c r="CZ56" s="1202"/>
      <c r="DA56" s="1030">
        <f>DA54/(DA55*CU49)</f>
        <v>0.46503884572697007</v>
      </c>
      <c r="DB56" s="1202"/>
      <c r="DC56" s="1059">
        <f>DC54/(DC55*CU49)</f>
        <v>0.4781354051054385</v>
      </c>
      <c r="DD56" s="1202"/>
      <c r="DE56" s="1059">
        <f>DE54/(DE55*CU49)</f>
        <v>0.48686644469108409</v>
      </c>
      <c r="DF56" s="1202"/>
      <c r="DG56" s="1059">
        <f>DG54/(DG55*CU49)</f>
        <v>0.49310290153797381</v>
      </c>
      <c r="DI56" s="1436"/>
      <c r="DJ56" s="1202"/>
      <c r="DK56" s="1030">
        <f>DK54/(DK55*DK49)</f>
        <v>0.4919382504288165</v>
      </c>
      <c r="DL56" s="1202"/>
      <c r="DM56" s="1030">
        <f>DM54/(DM55*DK49)</f>
        <v>0.3704974271012007</v>
      </c>
      <c r="DN56" s="1433"/>
      <c r="DO56" s="1426">
        <f>DO54/(DO55*DK49)</f>
        <v>0.51183533447684393</v>
      </c>
      <c r="DP56" s="1202"/>
      <c r="DQ56" s="1030">
        <f>DQ54/(DQ55*DK49)</f>
        <v>0.43121783876500863</v>
      </c>
      <c r="DR56" s="1202"/>
      <c r="DS56" s="1059">
        <f>DS54/(DS55*DK49)</f>
        <v>0.44336192109777017</v>
      </c>
      <c r="DT56" s="1202"/>
      <c r="DU56" s="1059">
        <f>DU54/(DU55*DK49)</f>
        <v>0.45145797598627796</v>
      </c>
      <c r="DV56" s="1202"/>
      <c r="DW56" s="1059">
        <f>DW54/(DW55*DK49)</f>
        <v>0.45724087233521205</v>
      </c>
      <c r="DY56" s="1436"/>
      <c r="DZ56" s="1202"/>
      <c r="EA56" s="1030">
        <f>EA54/(EA55*EA49)</f>
        <v>0.4664931685100846</v>
      </c>
      <c r="EB56" s="1202"/>
      <c r="EC56" s="1030">
        <f>EC54/(EC55*EA49)</f>
        <v>0.35133376707872482</v>
      </c>
      <c r="ED56" s="1433"/>
      <c r="EE56" s="1426">
        <f>EE54/(EE55*EA49)</f>
        <v>0.48536109303838643</v>
      </c>
      <c r="EF56" s="1202"/>
      <c r="EG56" s="1030">
        <f>EG54/(EG55*EA49)</f>
        <v>0.40891346779440474</v>
      </c>
      <c r="EH56" s="1202"/>
      <c r="EI56" s="1059">
        <f>EI54/(EI55*EA49)</f>
        <v>0.42042940793754074</v>
      </c>
      <c r="EJ56" s="1202"/>
      <c r="EK56" s="1059">
        <f>EK54/(EK55*EA49)</f>
        <v>0.42810670136629803</v>
      </c>
      <c r="EL56" s="1202"/>
      <c r="EM56" s="1059">
        <f>EM54/(EM55*EA49)</f>
        <v>0.433590482386839</v>
      </c>
    </row>
    <row r="57" spans="1:143" ht="15.75" customHeight="1">
      <c r="A57" s="1435" t="s">
        <v>1365</v>
      </c>
      <c r="B57" s="1404"/>
      <c r="C57" s="1036"/>
      <c r="D57" s="1404"/>
      <c r="E57" s="1036"/>
      <c r="F57" s="1404"/>
      <c r="G57" s="1033">
        <f>Möblierungsschablone!$C$26</f>
        <v>4.41</v>
      </c>
      <c r="H57" s="1404"/>
      <c r="I57" s="1033">
        <f>Möblierungsschablone!$E$26</f>
        <v>5.6999999999999993</v>
      </c>
      <c r="J57" s="1404"/>
      <c r="K57" s="1033">
        <f>Möblierungsschablone!$E$26</f>
        <v>5.6999999999999993</v>
      </c>
      <c r="L57" s="1404"/>
      <c r="M57" s="1033">
        <f>Möblierungsschablone!$G$31</f>
        <v>11.129999999999999</v>
      </c>
      <c r="N57" s="1404"/>
      <c r="O57" s="1033">
        <f>Möblierungsschablone!$G$31</f>
        <v>11.129999999999999</v>
      </c>
      <c r="Q57" s="1435" t="s">
        <v>1365</v>
      </c>
      <c r="R57" s="1404"/>
      <c r="S57" s="1036"/>
      <c r="T57" s="1404"/>
      <c r="U57" s="1036"/>
      <c r="V57" s="1199" t="s">
        <v>2045</v>
      </c>
      <c r="W57" s="1033">
        <f>Möblierungsschablone!$C$26</f>
        <v>4.41</v>
      </c>
      <c r="X57" s="1199" t="s">
        <v>2044</v>
      </c>
      <c r="Y57" s="1033">
        <f>Möblierungsschablone!$E$26</f>
        <v>5.6999999999999993</v>
      </c>
      <c r="Z57" s="1199" t="s">
        <v>2044</v>
      </c>
      <c r="AA57" s="1033">
        <f>Möblierungsschablone!$E$26</f>
        <v>5.6999999999999993</v>
      </c>
      <c r="AB57" s="1199" t="s">
        <v>2043</v>
      </c>
      <c r="AC57" s="1033">
        <f>Möblierungsschablone!$G$31</f>
        <v>11.129999999999999</v>
      </c>
      <c r="AD57" s="1199" t="s">
        <v>2043</v>
      </c>
      <c r="AE57" s="1033">
        <f>Möblierungsschablone!$G$31</f>
        <v>11.129999999999999</v>
      </c>
      <c r="AG57" s="1435" t="s">
        <v>1365</v>
      </c>
      <c r="AH57" s="1404"/>
      <c r="AI57" s="1036"/>
      <c r="AJ57" s="1404"/>
      <c r="AK57" s="1036"/>
      <c r="AL57" s="1199" t="s">
        <v>2045</v>
      </c>
      <c r="AM57" s="1033">
        <f>Möblierungsschablone!$C$26</f>
        <v>4.41</v>
      </c>
      <c r="AN57" s="1199" t="s">
        <v>2044</v>
      </c>
      <c r="AO57" s="1033">
        <f>Möblierungsschablone!$E$26</f>
        <v>5.6999999999999993</v>
      </c>
      <c r="AP57" s="1199" t="s">
        <v>2044</v>
      </c>
      <c r="AQ57" s="1033">
        <f>Möblierungsschablone!$E$26</f>
        <v>5.6999999999999993</v>
      </c>
      <c r="AR57" s="1199" t="s">
        <v>2043</v>
      </c>
      <c r="AS57" s="1033">
        <f>Möblierungsschablone!$G$31</f>
        <v>11.129999999999999</v>
      </c>
      <c r="AT57" s="1199" t="s">
        <v>2043</v>
      </c>
      <c r="AU57" s="1033">
        <f>Möblierungsschablone!$G$31</f>
        <v>11.129999999999999</v>
      </c>
      <c r="AW57" s="1435" t="s">
        <v>1365</v>
      </c>
      <c r="AX57" s="1404"/>
      <c r="AY57" s="1036"/>
      <c r="AZ57" s="1404"/>
      <c r="BA57" s="1036"/>
      <c r="BB57" s="1404"/>
      <c r="BC57" s="1033">
        <f>Möblierungsschablone!$C$26</f>
        <v>4.41</v>
      </c>
      <c r="BD57" s="1404"/>
      <c r="BE57" s="1033">
        <f>Möblierungsschablone!$E$26</f>
        <v>5.6999999999999993</v>
      </c>
      <c r="BF57" s="1404"/>
      <c r="BG57" s="1033">
        <f>Möblierungsschablone!$E$26</f>
        <v>5.6999999999999993</v>
      </c>
      <c r="BH57" s="1404"/>
      <c r="BI57" s="1033">
        <f>Möblierungsschablone!$G$31</f>
        <v>11.129999999999999</v>
      </c>
      <c r="BJ57" s="1404"/>
      <c r="BK57" s="1033">
        <f>Möblierungsschablone!$G$31</f>
        <v>11.129999999999999</v>
      </c>
      <c r="BM57" s="1435" t="s">
        <v>1365</v>
      </c>
      <c r="BN57" s="1404"/>
      <c r="BO57" s="1036"/>
      <c r="BP57" s="1404"/>
      <c r="BQ57" s="1036"/>
      <c r="BR57" s="1199" t="s">
        <v>2045</v>
      </c>
      <c r="BS57" s="1033">
        <f>Möblierungsschablone!$C$26</f>
        <v>4.41</v>
      </c>
      <c r="BT57" s="1199" t="s">
        <v>2044</v>
      </c>
      <c r="BU57" s="1033">
        <f>Möblierungsschablone!$E$26</f>
        <v>5.6999999999999993</v>
      </c>
      <c r="BV57" s="1199" t="s">
        <v>2044</v>
      </c>
      <c r="BW57" s="1033">
        <f>Möblierungsschablone!$E$26</f>
        <v>5.6999999999999993</v>
      </c>
      <c r="BX57" s="1199" t="s">
        <v>2043</v>
      </c>
      <c r="BY57" s="1033">
        <f>Möblierungsschablone!$G$31</f>
        <v>11.129999999999999</v>
      </c>
      <c r="BZ57" s="1199" t="s">
        <v>2043</v>
      </c>
      <c r="CA57" s="1033">
        <f>Möblierungsschablone!$G$31</f>
        <v>11.129999999999999</v>
      </c>
      <c r="CC57" s="1435" t="s">
        <v>1365</v>
      </c>
      <c r="CD57" s="1404"/>
      <c r="CE57" s="1036"/>
      <c r="CF57" s="1404"/>
      <c r="CG57" s="1036"/>
      <c r="CH57" s="1433"/>
      <c r="CI57" s="1427"/>
      <c r="CJ57" s="1199" t="s">
        <v>2044</v>
      </c>
      <c r="CK57" s="1033">
        <f>Möblierungsschablone!$E$26</f>
        <v>5.6999999999999993</v>
      </c>
      <c r="CL57" s="1199" t="s">
        <v>2044</v>
      </c>
      <c r="CM57" s="1033">
        <f>Möblierungsschablone!$E$26</f>
        <v>5.6999999999999993</v>
      </c>
      <c r="CN57" s="1199" t="s">
        <v>2043</v>
      </c>
      <c r="CO57" s="1033">
        <f>Möblierungsschablone!$G$31</f>
        <v>11.129999999999999</v>
      </c>
      <c r="CP57" s="1199" t="s">
        <v>2043</v>
      </c>
      <c r="CQ57" s="1033">
        <f>Möblierungsschablone!$G$31</f>
        <v>11.129999999999999</v>
      </c>
      <c r="CS57" s="1435" t="s">
        <v>1365</v>
      </c>
      <c r="CT57" s="1404"/>
      <c r="CU57" s="1036"/>
      <c r="CV57" s="1404"/>
      <c r="CW57" s="1036"/>
      <c r="CX57" s="1433"/>
      <c r="CY57" s="1427"/>
      <c r="CZ57" s="1199" t="s">
        <v>2044</v>
      </c>
      <c r="DA57" s="1033">
        <f>Möblierungsschablone!$E$26</f>
        <v>5.6999999999999993</v>
      </c>
      <c r="DB57" s="1199" t="s">
        <v>2044</v>
      </c>
      <c r="DC57" s="1033">
        <f>Möblierungsschablone!$E$26</f>
        <v>5.6999999999999993</v>
      </c>
      <c r="DD57" s="1199" t="s">
        <v>2043</v>
      </c>
      <c r="DE57" s="1033">
        <f>Möblierungsschablone!$G$31</f>
        <v>11.129999999999999</v>
      </c>
      <c r="DF57" s="1199" t="s">
        <v>2043</v>
      </c>
      <c r="DG57" s="1033">
        <f>Möblierungsschablone!$G$31</f>
        <v>11.129999999999999</v>
      </c>
      <c r="DI57" s="1435" t="s">
        <v>1365</v>
      </c>
      <c r="DJ57" s="1404"/>
      <c r="DK57" s="1036"/>
      <c r="DL57" s="1404"/>
      <c r="DM57" s="1036"/>
      <c r="DN57" s="1433"/>
      <c r="DO57" s="1427"/>
      <c r="DP57" s="1199" t="s">
        <v>2044</v>
      </c>
      <c r="DQ57" s="1033">
        <f>Möblierungsschablone!$E$26</f>
        <v>5.6999999999999993</v>
      </c>
      <c r="DR57" s="1199" t="s">
        <v>2044</v>
      </c>
      <c r="DS57" s="1033">
        <f>Möblierungsschablone!$E$26</f>
        <v>5.6999999999999993</v>
      </c>
      <c r="DT57" s="1199" t="s">
        <v>2043</v>
      </c>
      <c r="DU57" s="1033">
        <f>Möblierungsschablone!$G$31</f>
        <v>11.129999999999999</v>
      </c>
      <c r="DV57" s="1199" t="s">
        <v>2043</v>
      </c>
      <c r="DW57" s="1033">
        <f>Möblierungsschablone!$G$31</f>
        <v>11.129999999999999</v>
      </c>
      <c r="DY57" s="1435" t="s">
        <v>1365</v>
      </c>
      <c r="DZ57" s="1404"/>
      <c r="EA57" s="1036"/>
      <c r="EB57" s="1404"/>
      <c r="EC57" s="1036"/>
      <c r="ED57" s="1433"/>
      <c r="EE57" s="1427"/>
      <c r="EF57" s="1199" t="s">
        <v>2044</v>
      </c>
      <c r="EG57" s="1033">
        <f>Möblierungsschablone!$E$26</f>
        <v>5.6999999999999993</v>
      </c>
      <c r="EH57" s="1199" t="s">
        <v>2044</v>
      </c>
      <c r="EI57" s="1033">
        <f>Möblierungsschablone!$E$26</f>
        <v>5.6999999999999993</v>
      </c>
      <c r="EJ57" s="1199" t="s">
        <v>2043</v>
      </c>
      <c r="EK57" s="1033">
        <f>Möblierungsschablone!$G$31</f>
        <v>11.129999999999999</v>
      </c>
      <c r="EL57" s="1199" t="s">
        <v>2043</v>
      </c>
      <c r="EM57" s="1033">
        <f>Möblierungsschablone!$G$31</f>
        <v>11.129999999999999</v>
      </c>
    </row>
    <row r="58" spans="1:143" ht="15.75" customHeight="1">
      <c r="A58" s="1436"/>
      <c r="B58" s="1404"/>
      <c r="C58" s="1036"/>
      <c r="D58" s="1404"/>
      <c r="E58" s="1036"/>
      <c r="F58" s="1404"/>
      <c r="G58" s="1036"/>
      <c r="H58" s="1404"/>
      <c r="I58" s="1036"/>
      <c r="J58" s="1404"/>
      <c r="K58" s="1036"/>
      <c r="L58" s="1404"/>
      <c r="M58" s="1036"/>
      <c r="N58" s="1404"/>
      <c r="O58" s="1036"/>
      <c r="Q58" s="1436"/>
      <c r="R58" s="1404"/>
      <c r="S58" s="1036"/>
      <c r="T58" s="1404"/>
      <c r="U58" s="1036"/>
      <c r="V58" s="1200"/>
      <c r="W58" s="1036"/>
      <c r="X58" s="1200"/>
      <c r="Y58" s="1036"/>
      <c r="Z58" s="1200"/>
      <c r="AA58" s="1036"/>
      <c r="AB58" s="1200"/>
      <c r="AC58" s="1036"/>
      <c r="AD58" s="1200"/>
      <c r="AE58" s="1036"/>
      <c r="AG58" s="1436"/>
      <c r="AH58" s="1404"/>
      <c r="AI58" s="1036"/>
      <c r="AJ58" s="1404"/>
      <c r="AK58" s="1036"/>
      <c r="AL58" s="1200"/>
      <c r="AM58" s="1036"/>
      <c r="AN58" s="1200"/>
      <c r="AO58" s="1036"/>
      <c r="AP58" s="1200"/>
      <c r="AQ58" s="1036"/>
      <c r="AR58" s="1200"/>
      <c r="AS58" s="1036"/>
      <c r="AT58" s="1200"/>
      <c r="AU58" s="1036"/>
      <c r="AW58" s="1436"/>
      <c r="AX58" s="1404"/>
      <c r="AY58" s="1036"/>
      <c r="AZ58" s="1404"/>
      <c r="BA58" s="1036"/>
      <c r="BB58" s="1404"/>
      <c r="BC58" s="1036"/>
      <c r="BD58" s="1404"/>
      <c r="BE58" s="1036"/>
      <c r="BF58" s="1404"/>
      <c r="BG58" s="1036"/>
      <c r="BH58" s="1404"/>
      <c r="BI58" s="1036"/>
      <c r="BJ58" s="1404"/>
      <c r="BK58" s="1036"/>
      <c r="BM58" s="1436"/>
      <c r="BN58" s="1404"/>
      <c r="BO58" s="1036"/>
      <c r="BP58" s="1404"/>
      <c r="BQ58" s="1036"/>
      <c r="BR58" s="1200"/>
      <c r="BS58" s="1036"/>
      <c r="BT58" s="1200"/>
      <c r="BU58" s="1036"/>
      <c r="BV58" s="1200"/>
      <c r="BW58" s="1036"/>
      <c r="BX58" s="1200"/>
      <c r="BY58" s="1036"/>
      <c r="BZ58" s="1200"/>
      <c r="CA58" s="1036"/>
      <c r="CC58" s="1436"/>
      <c r="CD58" s="1404"/>
      <c r="CE58" s="1036"/>
      <c r="CF58" s="1404"/>
      <c r="CG58" s="1036"/>
      <c r="CH58" s="1433"/>
      <c r="CI58" s="1427"/>
      <c r="CJ58" s="1200"/>
      <c r="CK58" s="1036"/>
      <c r="CL58" s="1200"/>
      <c r="CM58" s="1036"/>
      <c r="CN58" s="1200"/>
      <c r="CO58" s="1036"/>
      <c r="CP58" s="1200"/>
      <c r="CQ58" s="1036"/>
      <c r="CS58" s="1436"/>
      <c r="CT58" s="1404"/>
      <c r="CU58" s="1036"/>
      <c r="CV58" s="1404"/>
      <c r="CW58" s="1036"/>
      <c r="CX58" s="1433"/>
      <c r="CY58" s="1427"/>
      <c r="CZ58" s="1200"/>
      <c r="DA58" s="1036"/>
      <c r="DB58" s="1200"/>
      <c r="DC58" s="1036"/>
      <c r="DD58" s="1200"/>
      <c r="DE58" s="1036"/>
      <c r="DF58" s="1200"/>
      <c r="DG58" s="1036"/>
      <c r="DI58" s="1436"/>
      <c r="DJ58" s="1404"/>
      <c r="DK58" s="1036"/>
      <c r="DL58" s="1404"/>
      <c r="DM58" s="1036"/>
      <c r="DN58" s="1433"/>
      <c r="DO58" s="1427"/>
      <c r="DP58" s="1200"/>
      <c r="DQ58" s="1036"/>
      <c r="DR58" s="1200"/>
      <c r="DS58" s="1036"/>
      <c r="DT58" s="1200"/>
      <c r="DU58" s="1036"/>
      <c r="DV58" s="1200"/>
      <c r="DW58" s="1036"/>
      <c r="DY58" s="1436"/>
      <c r="DZ58" s="1404"/>
      <c r="EA58" s="1036"/>
      <c r="EB58" s="1404"/>
      <c r="EC58" s="1036"/>
      <c r="ED58" s="1433"/>
      <c r="EE58" s="1427"/>
      <c r="EF58" s="1200"/>
      <c r="EG58" s="1036"/>
      <c r="EH58" s="1200"/>
      <c r="EI58" s="1036"/>
      <c r="EJ58" s="1200"/>
      <c r="EK58" s="1036"/>
      <c r="EL58" s="1200"/>
      <c r="EM58" s="1036"/>
    </row>
    <row r="59" spans="1:143" ht="15.75" customHeight="1">
      <c r="A59" s="1436"/>
      <c r="B59" s="1404"/>
      <c r="C59" s="1036"/>
      <c r="D59" s="1404"/>
      <c r="E59" s="1036"/>
      <c r="F59" s="1404"/>
      <c r="G59" s="1034">
        <f>SUM(G57:G58)</f>
        <v>4.41</v>
      </c>
      <c r="H59" s="1404"/>
      <c r="I59" s="1034">
        <f>SUM(I57:I58)</f>
        <v>5.6999999999999993</v>
      </c>
      <c r="J59" s="1404"/>
      <c r="K59" s="1034">
        <f>SUM(K57:K58)</f>
        <v>5.6999999999999993</v>
      </c>
      <c r="L59" s="1404"/>
      <c r="M59" s="1034">
        <f>SUM(M57:M58)</f>
        <v>11.129999999999999</v>
      </c>
      <c r="N59" s="1404"/>
      <c r="O59" s="1034">
        <f>SUM(O57:O58)</f>
        <v>11.129999999999999</v>
      </c>
      <c r="Q59" s="1436"/>
      <c r="R59" s="1404"/>
      <c r="S59" s="1036"/>
      <c r="T59" s="1404"/>
      <c r="U59" s="1036"/>
      <c r="V59" s="1201" t="s">
        <v>2036</v>
      </c>
      <c r="W59" s="1034">
        <f>SUM(W57:W58)</f>
        <v>4.41</v>
      </c>
      <c r="X59" s="1201" t="s">
        <v>2036</v>
      </c>
      <c r="Y59" s="1034">
        <f>SUM(Y57:Y58)</f>
        <v>5.6999999999999993</v>
      </c>
      <c r="Z59" s="1201" t="s">
        <v>2036</v>
      </c>
      <c r="AA59" s="1034">
        <f>SUM(AA57:AA58)</f>
        <v>5.6999999999999993</v>
      </c>
      <c r="AB59" s="1201" t="s">
        <v>2036</v>
      </c>
      <c r="AC59" s="1034">
        <f>SUM(AC57:AC58)</f>
        <v>11.129999999999999</v>
      </c>
      <c r="AD59" s="1201" t="s">
        <v>2036</v>
      </c>
      <c r="AE59" s="1034">
        <f>SUM(AE57:AE58)</f>
        <v>11.129999999999999</v>
      </c>
      <c r="AG59" s="1436"/>
      <c r="AH59" s="1404"/>
      <c r="AI59" s="1036"/>
      <c r="AJ59" s="1404"/>
      <c r="AK59" s="1036"/>
      <c r="AL59" s="1201" t="s">
        <v>2036</v>
      </c>
      <c r="AM59" s="1034">
        <f>SUM(AM57:AM58)</f>
        <v>4.41</v>
      </c>
      <c r="AN59" s="1201" t="s">
        <v>2036</v>
      </c>
      <c r="AO59" s="1034">
        <f>SUM(AO57:AO58)</f>
        <v>5.6999999999999993</v>
      </c>
      <c r="AP59" s="1201" t="s">
        <v>2036</v>
      </c>
      <c r="AQ59" s="1034">
        <f>SUM(AQ57:AQ58)</f>
        <v>5.6999999999999993</v>
      </c>
      <c r="AR59" s="1201" t="s">
        <v>2036</v>
      </c>
      <c r="AS59" s="1034">
        <f>SUM(AS57:AS58)</f>
        <v>11.129999999999999</v>
      </c>
      <c r="AT59" s="1201" t="s">
        <v>2036</v>
      </c>
      <c r="AU59" s="1034">
        <f>SUM(AU57:AU58)</f>
        <v>11.129999999999999</v>
      </c>
      <c r="AW59" s="1436"/>
      <c r="AX59" s="1404"/>
      <c r="AY59" s="1036"/>
      <c r="AZ59" s="1404"/>
      <c r="BA59" s="1036"/>
      <c r="BB59" s="1404"/>
      <c r="BC59" s="1034">
        <f>SUM(BC57:BC58)</f>
        <v>4.41</v>
      </c>
      <c r="BD59" s="1404"/>
      <c r="BE59" s="1034">
        <f>SUM(BE57:BE58)</f>
        <v>5.6999999999999993</v>
      </c>
      <c r="BF59" s="1404"/>
      <c r="BG59" s="1034">
        <f>SUM(BG57:BG58)</f>
        <v>5.6999999999999993</v>
      </c>
      <c r="BH59" s="1404"/>
      <c r="BI59" s="1034">
        <f>SUM(BI57:BI58)</f>
        <v>11.129999999999999</v>
      </c>
      <c r="BJ59" s="1404"/>
      <c r="BK59" s="1034">
        <f>SUM(BK57:BK58)</f>
        <v>11.129999999999999</v>
      </c>
      <c r="BM59" s="1436"/>
      <c r="BN59" s="1404"/>
      <c r="BO59" s="1036"/>
      <c r="BP59" s="1404"/>
      <c r="BQ59" s="1036"/>
      <c r="BR59" s="1201" t="s">
        <v>2036</v>
      </c>
      <c r="BS59" s="1034">
        <f>SUM(BS57:BS58)</f>
        <v>4.41</v>
      </c>
      <c r="BT59" s="1201" t="s">
        <v>2036</v>
      </c>
      <c r="BU59" s="1034">
        <f>SUM(BU57:BU58)</f>
        <v>5.6999999999999993</v>
      </c>
      <c r="BV59" s="1201" t="s">
        <v>2036</v>
      </c>
      <c r="BW59" s="1034">
        <f>SUM(BW57:BW58)</f>
        <v>5.6999999999999993</v>
      </c>
      <c r="BX59" s="1201" t="s">
        <v>2036</v>
      </c>
      <c r="BY59" s="1034">
        <f>SUM(BY57:BY58)</f>
        <v>11.129999999999999</v>
      </c>
      <c r="BZ59" s="1201" t="s">
        <v>2036</v>
      </c>
      <c r="CA59" s="1034">
        <f>SUM(CA57:CA58)</f>
        <v>11.129999999999999</v>
      </c>
      <c r="CC59" s="1436"/>
      <c r="CD59" s="1404"/>
      <c r="CE59" s="1036"/>
      <c r="CF59" s="1404"/>
      <c r="CG59" s="1036"/>
      <c r="CH59" s="1433"/>
      <c r="CI59" s="1427"/>
      <c r="CJ59" s="1201" t="s">
        <v>2036</v>
      </c>
      <c r="CK59" s="1034">
        <f>SUM(CK57:CK58)</f>
        <v>5.6999999999999993</v>
      </c>
      <c r="CL59" s="1201" t="s">
        <v>2036</v>
      </c>
      <c r="CM59" s="1034">
        <f>SUM(CM57:CM58)</f>
        <v>5.6999999999999993</v>
      </c>
      <c r="CN59" s="1201" t="s">
        <v>2036</v>
      </c>
      <c r="CO59" s="1034">
        <f>SUM(CO57:CO58)</f>
        <v>11.129999999999999</v>
      </c>
      <c r="CP59" s="1201" t="s">
        <v>2036</v>
      </c>
      <c r="CQ59" s="1034">
        <f>SUM(CQ57:CQ58)</f>
        <v>11.129999999999999</v>
      </c>
      <c r="CS59" s="1436"/>
      <c r="CT59" s="1404"/>
      <c r="CU59" s="1036"/>
      <c r="CV59" s="1404"/>
      <c r="CW59" s="1036"/>
      <c r="CX59" s="1433"/>
      <c r="CY59" s="1427"/>
      <c r="CZ59" s="1201" t="s">
        <v>2036</v>
      </c>
      <c r="DA59" s="1034">
        <f>SUM(DA57:DA58)</f>
        <v>5.6999999999999993</v>
      </c>
      <c r="DB59" s="1201" t="s">
        <v>2036</v>
      </c>
      <c r="DC59" s="1034">
        <f>SUM(DC57:DC58)</f>
        <v>5.6999999999999993</v>
      </c>
      <c r="DD59" s="1201" t="s">
        <v>2036</v>
      </c>
      <c r="DE59" s="1034">
        <f>SUM(DE57:DE58)</f>
        <v>11.129999999999999</v>
      </c>
      <c r="DF59" s="1201" t="s">
        <v>2036</v>
      </c>
      <c r="DG59" s="1034">
        <f>SUM(DG57:DG58)</f>
        <v>11.129999999999999</v>
      </c>
      <c r="DI59" s="1436"/>
      <c r="DJ59" s="1404"/>
      <c r="DK59" s="1036"/>
      <c r="DL59" s="1404"/>
      <c r="DM59" s="1036"/>
      <c r="DN59" s="1433"/>
      <c r="DO59" s="1427"/>
      <c r="DP59" s="1201" t="s">
        <v>2036</v>
      </c>
      <c r="DQ59" s="1034">
        <f>SUM(DQ57:DQ58)</f>
        <v>5.6999999999999993</v>
      </c>
      <c r="DR59" s="1201" t="s">
        <v>2036</v>
      </c>
      <c r="DS59" s="1034">
        <f>SUM(DS57:DS58)</f>
        <v>5.6999999999999993</v>
      </c>
      <c r="DT59" s="1201" t="s">
        <v>2036</v>
      </c>
      <c r="DU59" s="1034">
        <f>SUM(DU57:DU58)</f>
        <v>11.129999999999999</v>
      </c>
      <c r="DV59" s="1201" t="s">
        <v>2036</v>
      </c>
      <c r="DW59" s="1034">
        <f>SUM(DW57:DW58)</f>
        <v>11.129999999999999</v>
      </c>
      <c r="DY59" s="1436"/>
      <c r="DZ59" s="1404"/>
      <c r="EA59" s="1036"/>
      <c r="EB59" s="1404"/>
      <c r="EC59" s="1036"/>
      <c r="ED59" s="1433"/>
      <c r="EE59" s="1427"/>
      <c r="EF59" s="1201" t="s">
        <v>2036</v>
      </c>
      <c r="EG59" s="1034">
        <f>SUM(EG57:EG58)</f>
        <v>5.6999999999999993</v>
      </c>
      <c r="EH59" s="1201" t="s">
        <v>2036</v>
      </c>
      <c r="EI59" s="1034">
        <f>SUM(EI57:EI58)</f>
        <v>5.6999999999999993</v>
      </c>
      <c r="EJ59" s="1201" t="s">
        <v>2036</v>
      </c>
      <c r="EK59" s="1034">
        <f>SUM(EK57:EK58)</f>
        <v>11.129999999999999</v>
      </c>
      <c r="EL59" s="1201" t="s">
        <v>2036</v>
      </c>
      <c r="EM59" s="1034">
        <f>SUM(EM57:EM58)</f>
        <v>11.129999999999999</v>
      </c>
    </row>
    <row r="60" spans="1:143" ht="15.75" customHeight="1">
      <c r="A60" s="1436"/>
      <c r="B60" s="1404"/>
      <c r="C60" s="1036"/>
      <c r="D60" s="1404"/>
      <c r="E60" s="1036"/>
      <c r="F60" s="1404"/>
      <c r="G60" s="1032">
        <v>1</v>
      </c>
      <c r="H60" s="1404"/>
      <c r="I60" s="1032">
        <v>2</v>
      </c>
      <c r="J60" s="1404"/>
      <c r="K60" s="1032">
        <v>2</v>
      </c>
      <c r="L60" s="1404"/>
      <c r="M60" s="1032">
        <v>2</v>
      </c>
      <c r="N60" s="1404"/>
      <c r="O60" s="1032">
        <v>2</v>
      </c>
      <c r="Q60" s="1436"/>
      <c r="R60" s="1404"/>
      <c r="S60" s="1036"/>
      <c r="T60" s="1404"/>
      <c r="U60" s="1036"/>
      <c r="V60" s="1200" t="s">
        <v>1247</v>
      </c>
      <c r="W60" s="1032">
        <v>1</v>
      </c>
      <c r="X60" s="1200" t="s">
        <v>1247</v>
      </c>
      <c r="Y60" s="1032">
        <v>2</v>
      </c>
      <c r="Z60" s="1200" t="s">
        <v>1247</v>
      </c>
      <c r="AA60" s="1032">
        <v>2</v>
      </c>
      <c r="AB60" s="1200" t="s">
        <v>1247</v>
      </c>
      <c r="AC60" s="1032">
        <v>2</v>
      </c>
      <c r="AD60" s="1200" t="s">
        <v>1247</v>
      </c>
      <c r="AE60" s="1032">
        <v>2</v>
      </c>
      <c r="AG60" s="1436"/>
      <c r="AH60" s="1404"/>
      <c r="AI60" s="1036"/>
      <c r="AJ60" s="1404"/>
      <c r="AK60" s="1036"/>
      <c r="AL60" s="1200" t="s">
        <v>1247</v>
      </c>
      <c r="AM60" s="1032">
        <v>1</v>
      </c>
      <c r="AN60" s="1200" t="s">
        <v>1247</v>
      </c>
      <c r="AO60" s="1032">
        <v>1</v>
      </c>
      <c r="AP60" s="1200" t="s">
        <v>1247</v>
      </c>
      <c r="AQ60" s="1032">
        <v>1</v>
      </c>
      <c r="AR60" s="1200" t="s">
        <v>1247</v>
      </c>
      <c r="AS60" s="1032">
        <v>2</v>
      </c>
      <c r="AT60" s="1200" t="s">
        <v>1247</v>
      </c>
      <c r="AU60" s="1032">
        <v>2</v>
      </c>
      <c r="AW60" s="1436"/>
      <c r="AX60" s="1404"/>
      <c r="AY60" s="1036"/>
      <c r="AZ60" s="1404"/>
      <c r="BA60" s="1036"/>
      <c r="BB60" s="1404"/>
      <c r="BC60" s="1032">
        <v>1</v>
      </c>
      <c r="BD60" s="1404"/>
      <c r="BE60" s="1032">
        <v>1</v>
      </c>
      <c r="BF60" s="1404"/>
      <c r="BG60" s="1032">
        <v>1</v>
      </c>
      <c r="BH60" s="1404"/>
      <c r="BI60" s="1032">
        <v>2</v>
      </c>
      <c r="BJ60" s="1404"/>
      <c r="BK60" s="1032">
        <v>2</v>
      </c>
      <c r="BM60" s="1436"/>
      <c r="BN60" s="1404"/>
      <c r="BO60" s="1036"/>
      <c r="BP60" s="1404"/>
      <c r="BQ60" s="1036"/>
      <c r="BR60" s="1200" t="s">
        <v>1247</v>
      </c>
      <c r="BS60" s="1032">
        <v>1</v>
      </c>
      <c r="BT60" s="1200" t="s">
        <v>1247</v>
      </c>
      <c r="BU60" s="1032">
        <v>1</v>
      </c>
      <c r="BV60" s="1200" t="s">
        <v>1247</v>
      </c>
      <c r="BW60" s="1032">
        <v>1</v>
      </c>
      <c r="BX60" s="1200" t="s">
        <v>1247</v>
      </c>
      <c r="BY60" s="1032">
        <v>2</v>
      </c>
      <c r="BZ60" s="1200" t="s">
        <v>1247</v>
      </c>
      <c r="CA60" s="1032">
        <v>2</v>
      </c>
      <c r="CC60" s="1436"/>
      <c r="CD60" s="1404"/>
      <c r="CE60" s="1036"/>
      <c r="CF60" s="1404"/>
      <c r="CG60" s="1036"/>
      <c r="CH60" s="1433"/>
      <c r="CI60" s="1427"/>
      <c r="CJ60" s="1200" t="s">
        <v>1247</v>
      </c>
      <c r="CK60" s="1032">
        <v>1</v>
      </c>
      <c r="CL60" s="1200" t="s">
        <v>1247</v>
      </c>
      <c r="CM60" s="1032">
        <v>1</v>
      </c>
      <c r="CN60" s="1200" t="s">
        <v>1247</v>
      </c>
      <c r="CO60" s="1032">
        <v>1</v>
      </c>
      <c r="CP60" s="1200" t="s">
        <v>1247</v>
      </c>
      <c r="CQ60" s="1032">
        <v>1</v>
      </c>
      <c r="CS60" s="1436"/>
      <c r="CT60" s="1404"/>
      <c r="CU60" s="1036"/>
      <c r="CV60" s="1404"/>
      <c r="CW60" s="1036"/>
      <c r="CX60" s="1433"/>
      <c r="CY60" s="1427"/>
      <c r="CZ60" s="1200" t="s">
        <v>1247</v>
      </c>
      <c r="DA60" s="1032">
        <v>1</v>
      </c>
      <c r="DB60" s="1200" t="s">
        <v>1247</v>
      </c>
      <c r="DC60" s="1032">
        <v>1</v>
      </c>
      <c r="DD60" s="1200" t="s">
        <v>1247</v>
      </c>
      <c r="DE60" s="1032">
        <v>1</v>
      </c>
      <c r="DF60" s="1200" t="s">
        <v>1247</v>
      </c>
      <c r="DG60" s="1032">
        <v>1</v>
      </c>
      <c r="DI60" s="1436"/>
      <c r="DJ60" s="1404"/>
      <c r="DK60" s="1036"/>
      <c r="DL60" s="1404"/>
      <c r="DM60" s="1036"/>
      <c r="DN60" s="1433"/>
      <c r="DO60" s="1427"/>
      <c r="DP60" s="1200" t="s">
        <v>1247</v>
      </c>
      <c r="DQ60" s="1032">
        <v>1</v>
      </c>
      <c r="DR60" s="1200" t="s">
        <v>1247</v>
      </c>
      <c r="DS60" s="1032">
        <v>1</v>
      </c>
      <c r="DT60" s="1200" t="s">
        <v>1247</v>
      </c>
      <c r="DU60" s="1032">
        <v>1</v>
      </c>
      <c r="DV60" s="1200" t="s">
        <v>1247</v>
      </c>
      <c r="DW60" s="1032">
        <v>1</v>
      </c>
      <c r="DY60" s="1436"/>
      <c r="DZ60" s="1404"/>
      <c r="EA60" s="1036"/>
      <c r="EB60" s="1404"/>
      <c r="EC60" s="1036"/>
      <c r="ED60" s="1433"/>
      <c r="EE60" s="1427"/>
      <c r="EF60" s="1200" t="s">
        <v>1247</v>
      </c>
      <c r="EG60" s="1032">
        <v>1</v>
      </c>
      <c r="EH60" s="1200" t="s">
        <v>1247</v>
      </c>
      <c r="EI60" s="1032">
        <v>1</v>
      </c>
      <c r="EJ60" s="1200" t="s">
        <v>1247</v>
      </c>
      <c r="EK60" s="1032">
        <v>1</v>
      </c>
      <c r="EL60" s="1200" t="s">
        <v>1247</v>
      </c>
      <c r="EM60" s="1032">
        <v>1</v>
      </c>
    </row>
    <row r="61" spans="1:143" ht="21" customHeight="1">
      <c r="A61" s="1436"/>
      <c r="B61" s="1404"/>
      <c r="C61" s="1035" t="s">
        <v>1181</v>
      </c>
      <c r="D61" s="1404"/>
      <c r="E61" s="1035" t="s">
        <v>1181</v>
      </c>
      <c r="F61" s="1404"/>
      <c r="G61" s="1030">
        <f>G59/(G60*C49)</f>
        <v>0.62798148807404774</v>
      </c>
      <c r="H61" s="1404"/>
      <c r="I61" s="1030">
        <f>I59/(I60*C49)</f>
        <v>0.40583837664649336</v>
      </c>
      <c r="J61" s="1404"/>
      <c r="K61" s="1030">
        <f>K59/(K60*C49)</f>
        <v>0.40583837664649336</v>
      </c>
      <c r="L61" s="1404"/>
      <c r="M61" s="1030">
        <f>M59/(M60*C49)</f>
        <v>0.79245283018867918</v>
      </c>
      <c r="N61" s="1404"/>
      <c r="O61" s="1030">
        <f>O59/(O60*C49)</f>
        <v>0.79245283018867918</v>
      </c>
      <c r="Q61" s="1436"/>
      <c r="R61" s="1404"/>
      <c r="S61" s="1035" t="s">
        <v>1181</v>
      </c>
      <c r="T61" s="1404"/>
      <c r="U61" s="1035" t="s">
        <v>1181</v>
      </c>
      <c r="V61" s="1202"/>
      <c r="W61" s="1030">
        <f>W59/(W60*S49)</f>
        <v>0.59433962264150952</v>
      </c>
      <c r="X61" s="1202"/>
      <c r="Y61" s="1030">
        <f>Y59/(Y60*S49)</f>
        <v>0.38409703504043125</v>
      </c>
      <c r="Z61" s="1202"/>
      <c r="AA61" s="1030">
        <f>AA59/(AA60*S49)</f>
        <v>0.38409703504043125</v>
      </c>
      <c r="AB61" s="1202"/>
      <c r="AC61" s="1030">
        <f>AC59/(AC60*S49)</f>
        <v>0.75</v>
      </c>
      <c r="AD61" s="1202"/>
      <c r="AE61" s="1030">
        <f>AE59/(AE60*S49)</f>
        <v>0.75</v>
      </c>
      <c r="AG61" s="1436"/>
      <c r="AH61" s="1404"/>
      <c r="AI61" s="1035" t="s">
        <v>1181</v>
      </c>
      <c r="AJ61" s="1404"/>
      <c r="AK61" s="1035" t="s">
        <v>1181</v>
      </c>
      <c r="AL61" s="1202"/>
      <c r="AM61" s="1030">
        <f>AM59/(AM60*AI49)</f>
        <v>0.50428816466552318</v>
      </c>
      <c r="AN61" s="1202"/>
      <c r="AO61" s="1030">
        <f>AO59/(AO60*AI49)</f>
        <v>0.65180102915951965</v>
      </c>
      <c r="AP61" s="1202"/>
      <c r="AQ61" s="1030">
        <f>AQ59/(AQ60*AI49)</f>
        <v>0.65180102915951965</v>
      </c>
      <c r="AR61" s="1202"/>
      <c r="AS61" s="1030">
        <f>AS59/(AS60*AI49)</f>
        <v>0.63636363636363635</v>
      </c>
      <c r="AT61" s="1202"/>
      <c r="AU61" s="1030">
        <f>AU59/(AU60*AI49)</f>
        <v>0.63636363636363635</v>
      </c>
      <c r="AW61" s="1436"/>
      <c r="AX61" s="1404"/>
      <c r="AY61" s="1035" t="s">
        <v>1181</v>
      </c>
      <c r="AZ61" s="1404"/>
      <c r="BA61" s="1035" t="s">
        <v>1181</v>
      </c>
      <c r="BB61" s="1404"/>
      <c r="BC61" s="1030">
        <f>BC59/(BC60*AY49)</f>
        <v>0.4379344587884807</v>
      </c>
      <c r="BD61" s="1404"/>
      <c r="BE61" s="1030">
        <f>BE59/(BE60*AY49)</f>
        <v>0.56603773584905659</v>
      </c>
      <c r="BF61" s="1404"/>
      <c r="BG61" s="1030">
        <f>BG59/(BG60*AY49)</f>
        <v>0.56603773584905659</v>
      </c>
      <c r="BH61" s="1404"/>
      <c r="BI61" s="1030">
        <f>BI59/(BI60*AY49)</f>
        <v>0.55263157894736847</v>
      </c>
      <c r="BJ61" s="1404"/>
      <c r="BK61" s="1030">
        <f>BK59/(BK60*AY49)</f>
        <v>0.55263157894736847</v>
      </c>
      <c r="BM61" s="1436"/>
      <c r="BN61" s="1404"/>
      <c r="BO61" s="1035" t="s">
        <v>1181</v>
      </c>
      <c r="BP61" s="1404"/>
      <c r="BQ61" s="1035" t="s">
        <v>1181</v>
      </c>
      <c r="BR61" s="1202"/>
      <c r="BS61" s="1030">
        <f>BS59/(BS60*BO49)</f>
        <v>0.38701184730144805</v>
      </c>
      <c r="BT61" s="1202"/>
      <c r="BU61" s="1030">
        <f>BU59/(BU60*BO49)</f>
        <v>0.50021939447125929</v>
      </c>
      <c r="BV61" s="1202"/>
      <c r="BW61" s="1059">
        <f>BW59/(BW60*BO49)</f>
        <v>0.50021939447125929</v>
      </c>
      <c r="BX61" s="1202"/>
      <c r="BY61" s="1059">
        <f>BY59/(BY60*BO49)</f>
        <v>0.48837209302325579</v>
      </c>
      <c r="BZ61" s="1202"/>
      <c r="CA61" s="1059">
        <f>CA59/(CA60*BO49)</f>
        <v>0.48837209302325579</v>
      </c>
      <c r="CC61" s="1436"/>
      <c r="CD61" s="1404"/>
      <c r="CE61" s="1035" t="s">
        <v>1181</v>
      </c>
      <c r="CF61" s="1404"/>
      <c r="CG61" s="1035" t="s">
        <v>1181</v>
      </c>
      <c r="CH61" s="1434"/>
      <c r="CI61" s="1428"/>
      <c r="CJ61" s="1202"/>
      <c r="CK61" s="1030">
        <f>CK59/(CK60*CE49)</f>
        <v>0.44811320754716982</v>
      </c>
      <c r="CL61" s="1202"/>
      <c r="CM61" s="1059">
        <f>CM59/(CM60*CE49)</f>
        <v>0.44811320754716982</v>
      </c>
      <c r="CN61" s="1202"/>
      <c r="CO61" s="1059">
        <f>CO59/(CO60*CE49)</f>
        <v>0.875</v>
      </c>
      <c r="CP61" s="1202"/>
      <c r="CQ61" s="1059">
        <f>CQ59/(CQ60*CE49)</f>
        <v>0.875</v>
      </c>
      <c r="CS61" s="1436"/>
      <c r="CT61" s="1404"/>
      <c r="CU61" s="1035" t="s">
        <v>1181</v>
      </c>
      <c r="CV61" s="1404"/>
      <c r="CW61" s="1035" t="s">
        <v>1181</v>
      </c>
      <c r="CX61" s="1434"/>
      <c r="CY61" s="1428"/>
      <c r="CZ61" s="1202"/>
      <c r="DA61" s="1030">
        <f>DA59/(DA60*CU49)</f>
        <v>0.42175360710321863</v>
      </c>
      <c r="DB61" s="1202"/>
      <c r="DC61" s="1059">
        <f>DC59/(DC60*CU49)</f>
        <v>0.42175360710321863</v>
      </c>
      <c r="DD61" s="1202"/>
      <c r="DE61" s="1059">
        <f>DE59/(DE60*CU49)</f>
        <v>0.82352941176470584</v>
      </c>
      <c r="DF61" s="1202"/>
      <c r="DG61" s="1059">
        <f>DG59/(DG60*CU49)</f>
        <v>0.82352941176470584</v>
      </c>
      <c r="DI61" s="1436"/>
      <c r="DJ61" s="1404"/>
      <c r="DK61" s="1035" t="s">
        <v>1181</v>
      </c>
      <c r="DL61" s="1404"/>
      <c r="DM61" s="1035" t="s">
        <v>1181</v>
      </c>
      <c r="DN61" s="1434"/>
      <c r="DO61" s="1428"/>
      <c r="DP61" s="1202"/>
      <c r="DQ61" s="1030">
        <f>DQ59/(DQ60*DK49)</f>
        <v>0.39108061749571182</v>
      </c>
      <c r="DR61" s="1202"/>
      <c r="DS61" s="1059">
        <f>DS59/(DS60*DK49)</f>
        <v>0.39108061749571182</v>
      </c>
      <c r="DT61" s="1202"/>
      <c r="DU61" s="1059">
        <f>DU59/(DU60*DK49)</f>
        <v>0.76363636363636356</v>
      </c>
      <c r="DV61" s="1202"/>
      <c r="DW61" s="1059">
        <f>DW59/(DW60*DK49)</f>
        <v>0.76363636363636356</v>
      </c>
      <c r="DY61" s="1436"/>
      <c r="DZ61" s="1404"/>
      <c r="EA61" s="1035" t="s">
        <v>1181</v>
      </c>
      <c r="EB61" s="1404"/>
      <c r="EC61" s="1035" t="s">
        <v>1181</v>
      </c>
      <c r="ED61" s="1434"/>
      <c r="EE61" s="1428"/>
      <c r="EF61" s="1202"/>
      <c r="EG61" s="1030">
        <f>EG59/(EG60*EA49)</f>
        <v>0.37085230969420946</v>
      </c>
      <c r="EH61" s="1202"/>
      <c r="EI61" s="1059">
        <f>EI59/(EI60*EA49)</f>
        <v>0.37085230969420946</v>
      </c>
      <c r="EJ61" s="1202"/>
      <c r="EK61" s="1059">
        <f>EK59/(EK60*EA49)</f>
        <v>0.72413793103448276</v>
      </c>
      <c r="EL61" s="1202"/>
      <c r="EM61" s="1059">
        <f>EM59/(EM60*EA49)</f>
        <v>0.72413793103448276</v>
      </c>
    </row>
    <row r="62" spans="1:143" ht="15.75" customHeight="1">
      <c r="A62" s="1435" t="s">
        <v>1366</v>
      </c>
      <c r="B62" s="1404"/>
      <c r="C62" s="1033">
        <f>Möblierungsschablone!$C$41</f>
        <v>2.5649999999999999</v>
      </c>
      <c r="D62" s="1404"/>
      <c r="E62" s="1033">
        <f>Möblierungsschablone!$E$41</f>
        <v>2.5649999999999999</v>
      </c>
      <c r="F62" s="1404"/>
      <c r="G62" s="1033">
        <f>Möblierungsschablone!$G$36</f>
        <v>3.5999999999999996</v>
      </c>
      <c r="H62" s="1404"/>
      <c r="I62" s="1033">
        <f>Möblierungsschablone!$I$36</f>
        <v>4.32</v>
      </c>
      <c r="J62" s="1404"/>
      <c r="K62" s="1033">
        <f>Möblierungsschablone!$K$36</f>
        <v>5.04</v>
      </c>
      <c r="L62" s="1404"/>
      <c r="M62" s="1033">
        <f>Möblierungsschablone!$M$36</f>
        <v>5.76</v>
      </c>
      <c r="N62" s="1404"/>
      <c r="O62" s="1033">
        <f>Möblierungsschablone!$O$36</f>
        <v>6.48</v>
      </c>
      <c r="Q62" s="1435" t="s">
        <v>1366</v>
      </c>
      <c r="R62" s="1199" t="s">
        <v>2042</v>
      </c>
      <c r="S62" s="1033">
        <f>Möblierungsschablone!$C$41</f>
        <v>2.5649999999999999</v>
      </c>
      <c r="T62" s="1199" t="s">
        <v>2042</v>
      </c>
      <c r="U62" s="1033">
        <f>Möblierungsschablone!$E$41</f>
        <v>2.5649999999999999</v>
      </c>
      <c r="V62" s="1406"/>
      <c r="W62" s="1033">
        <f>Möblierungsschablone!$G$36</f>
        <v>3.5999999999999996</v>
      </c>
      <c r="X62" s="1406"/>
      <c r="Y62" s="1033">
        <f>Möblierungsschablone!$I$36</f>
        <v>4.32</v>
      </c>
      <c r="Z62" s="1406"/>
      <c r="AA62" s="1033">
        <f>Möblierungsschablone!$K$36</f>
        <v>5.04</v>
      </c>
      <c r="AB62" s="1406"/>
      <c r="AC62" s="1033">
        <f>Möblierungsschablone!$M$36</f>
        <v>5.76</v>
      </c>
      <c r="AD62" s="1406"/>
      <c r="AE62" s="1033">
        <f>Möblierungsschablone!$O$36</f>
        <v>6.48</v>
      </c>
      <c r="AG62" s="1435" t="s">
        <v>1366</v>
      </c>
      <c r="AH62" s="1199" t="s">
        <v>2042</v>
      </c>
      <c r="AI62" s="1033">
        <f>Möblierungsschablone!$C$41</f>
        <v>2.5649999999999999</v>
      </c>
      <c r="AJ62" s="1199" t="s">
        <v>2042</v>
      </c>
      <c r="AK62" s="1033">
        <f>Möblierungsschablone!$E$41</f>
        <v>2.5649999999999999</v>
      </c>
      <c r="AL62" s="1199" t="s">
        <v>2042</v>
      </c>
      <c r="AM62" s="1033">
        <f>Möblierungsschablone!$G$36</f>
        <v>3.5999999999999996</v>
      </c>
      <c r="AN62" s="1406"/>
      <c r="AO62" s="1033">
        <f>Möblierungsschablone!$I$36</f>
        <v>4.32</v>
      </c>
      <c r="AP62" s="1406"/>
      <c r="AQ62" s="1033">
        <f>Möblierungsschablone!$K$36</f>
        <v>5.04</v>
      </c>
      <c r="AR62" s="1406"/>
      <c r="AS62" s="1033">
        <f>Möblierungsschablone!$M$36</f>
        <v>5.76</v>
      </c>
      <c r="AT62" s="1406"/>
      <c r="AU62" s="1033">
        <f>Möblierungsschablone!$O$36</f>
        <v>6.48</v>
      </c>
      <c r="AW62" s="1435" t="s">
        <v>1366</v>
      </c>
      <c r="AX62" s="1414"/>
      <c r="AY62" s="1033">
        <f>Möblierungsschablone!$C$41</f>
        <v>2.5649999999999999</v>
      </c>
      <c r="AZ62" s="1414"/>
      <c r="BA62" s="1033">
        <f>Möblierungsschablone!$E$41</f>
        <v>2.5649999999999999</v>
      </c>
      <c r="BB62" s="1414"/>
      <c r="BC62" s="1033">
        <f>Möblierungsschablone!$G$36</f>
        <v>3.5999999999999996</v>
      </c>
      <c r="BD62" s="1406"/>
      <c r="BE62" s="1033">
        <f>Möblierungsschablone!$I$36</f>
        <v>4.32</v>
      </c>
      <c r="BF62" s="1406"/>
      <c r="BG62" s="1033">
        <f>Möblierungsschablone!$K$36</f>
        <v>5.04</v>
      </c>
      <c r="BH62" s="1406"/>
      <c r="BI62" s="1033">
        <f>Möblierungsschablone!$M$36</f>
        <v>5.76</v>
      </c>
      <c r="BJ62" s="1406"/>
      <c r="BK62" s="1033">
        <f>Möblierungsschablone!$O$36</f>
        <v>6.48</v>
      </c>
      <c r="BM62" s="1435" t="s">
        <v>1366</v>
      </c>
      <c r="BN62" s="1199" t="s">
        <v>2042</v>
      </c>
      <c r="BO62" s="1033">
        <f>Möblierungsschablone!$C$41</f>
        <v>2.5649999999999999</v>
      </c>
      <c r="BP62" s="1199" t="s">
        <v>2042</v>
      </c>
      <c r="BQ62" s="1033">
        <f>Möblierungsschablone!$E$41</f>
        <v>2.5649999999999999</v>
      </c>
      <c r="BR62" s="1199" t="s">
        <v>2042</v>
      </c>
      <c r="BS62" s="1033">
        <f>Möblierungsschablone!$G$36</f>
        <v>3.5999999999999996</v>
      </c>
      <c r="BT62" s="1199" t="s">
        <v>2042</v>
      </c>
      <c r="BU62" s="1033">
        <f>Möblierungsschablone!$I$36</f>
        <v>4.32</v>
      </c>
      <c r="BV62" s="1406"/>
      <c r="BW62" s="1033">
        <f>Möblierungsschablone!$K$36</f>
        <v>5.04</v>
      </c>
      <c r="BX62" s="1406"/>
      <c r="BY62" s="1033">
        <f>Möblierungsschablone!$M$36</f>
        <v>5.76</v>
      </c>
      <c r="BZ62" s="1406"/>
      <c r="CA62" s="1033">
        <f>Möblierungsschablone!$O$36</f>
        <v>6.48</v>
      </c>
      <c r="CC62" s="1435" t="s">
        <v>1366</v>
      </c>
      <c r="CD62" s="1199" t="s">
        <v>2042</v>
      </c>
      <c r="CE62" s="1033">
        <f>Möblierungsschablone!$C$41</f>
        <v>2.5649999999999999</v>
      </c>
      <c r="CF62" s="1199" t="s">
        <v>2042</v>
      </c>
      <c r="CG62" s="1033">
        <f>Möblierungsschablone!$E$41</f>
        <v>2.5649999999999999</v>
      </c>
      <c r="CH62" s="1199" t="s">
        <v>2042</v>
      </c>
      <c r="CI62" s="1033">
        <f>Möblierungsschablone!$G$36</f>
        <v>3.5999999999999996</v>
      </c>
      <c r="CJ62" s="1199" t="s">
        <v>2042</v>
      </c>
      <c r="CK62" s="1033">
        <f>Möblierungsschablone!$I$36</f>
        <v>4.32</v>
      </c>
      <c r="CL62" s="1199" t="s">
        <v>2042</v>
      </c>
      <c r="CM62" s="1033">
        <f>Möblierungsschablone!$K$36</f>
        <v>5.04</v>
      </c>
      <c r="CN62" s="1406"/>
      <c r="CO62" s="1033">
        <f>Möblierungsschablone!$M$36</f>
        <v>5.76</v>
      </c>
      <c r="CP62" s="1406"/>
      <c r="CQ62" s="1033">
        <f>Möblierungsschablone!$O$36</f>
        <v>6.48</v>
      </c>
      <c r="CS62" s="1435" t="s">
        <v>1366</v>
      </c>
      <c r="CT62" s="1199" t="s">
        <v>2042</v>
      </c>
      <c r="CU62" s="1033">
        <f>Möblierungsschablone!$C$41</f>
        <v>2.5649999999999999</v>
      </c>
      <c r="CV62" s="1199" t="s">
        <v>2042</v>
      </c>
      <c r="CW62" s="1033">
        <f>Möblierungsschablone!$E$41</f>
        <v>2.5649999999999999</v>
      </c>
      <c r="CX62" s="1199" t="s">
        <v>2042</v>
      </c>
      <c r="CY62" s="1033">
        <f>Möblierungsschablone!$G$36</f>
        <v>3.5999999999999996</v>
      </c>
      <c r="CZ62" s="1199" t="s">
        <v>2042</v>
      </c>
      <c r="DA62" s="1033">
        <f>Möblierungsschablone!$I$36</f>
        <v>4.32</v>
      </c>
      <c r="DB62" s="1199" t="s">
        <v>2042</v>
      </c>
      <c r="DC62" s="1033">
        <f>Möblierungsschablone!$K$36</f>
        <v>5.04</v>
      </c>
      <c r="DD62" s="1406"/>
      <c r="DE62" s="1033">
        <f>Möblierungsschablone!$M$36</f>
        <v>5.76</v>
      </c>
      <c r="DF62" s="1406"/>
      <c r="DG62" s="1033">
        <f>Möblierungsschablone!$O$36</f>
        <v>6.48</v>
      </c>
      <c r="DI62" s="1435" t="s">
        <v>1366</v>
      </c>
      <c r="DJ62" s="1199" t="s">
        <v>2042</v>
      </c>
      <c r="DK62" s="1033">
        <f>Möblierungsschablone!$C$41</f>
        <v>2.5649999999999999</v>
      </c>
      <c r="DL62" s="1199" t="s">
        <v>2042</v>
      </c>
      <c r="DM62" s="1033">
        <f>Möblierungsschablone!$E$41</f>
        <v>2.5649999999999999</v>
      </c>
      <c r="DN62" s="1199" t="s">
        <v>2042</v>
      </c>
      <c r="DO62" s="1033">
        <f>Möblierungsschablone!$G$36</f>
        <v>3.5999999999999996</v>
      </c>
      <c r="DP62" s="1199" t="s">
        <v>2042</v>
      </c>
      <c r="DQ62" s="1033">
        <f>Möblierungsschablone!$I$36</f>
        <v>4.32</v>
      </c>
      <c r="DR62" s="1199" t="s">
        <v>2042</v>
      </c>
      <c r="DS62" s="1033">
        <f>Möblierungsschablone!$K$36</f>
        <v>5.04</v>
      </c>
      <c r="DT62" s="1406"/>
      <c r="DU62" s="1033">
        <f>Möblierungsschablone!$M$36</f>
        <v>5.76</v>
      </c>
      <c r="DV62" s="1406"/>
      <c r="DW62" s="1033">
        <f>Möblierungsschablone!$O$36</f>
        <v>6.48</v>
      </c>
      <c r="DY62" s="1435" t="s">
        <v>1366</v>
      </c>
      <c r="DZ62" s="1199" t="s">
        <v>2042</v>
      </c>
      <c r="EA62" s="1033">
        <f>Möblierungsschablone!$C$41</f>
        <v>2.5649999999999999</v>
      </c>
      <c r="EB62" s="1199" t="s">
        <v>2042</v>
      </c>
      <c r="EC62" s="1033">
        <f>Möblierungsschablone!$E$41</f>
        <v>2.5649999999999999</v>
      </c>
      <c r="ED62" s="1199" t="s">
        <v>2042</v>
      </c>
      <c r="EE62" s="1033">
        <f>Möblierungsschablone!$G$36</f>
        <v>3.5999999999999996</v>
      </c>
      <c r="EF62" s="1199" t="s">
        <v>2042</v>
      </c>
      <c r="EG62" s="1033">
        <f>Möblierungsschablone!$I$36</f>
        <v>4.32</v>
      </c>
      <c r="EH62" s="1199" t="s">
        <v>2042</v>
      </c>
      <c r="EI62" s="1033">
        <f>Möblierungsschablone!$K$36</f>
        <v>5.04</v>
      </c>
      <c r="EJ62" s="1406"/>
      <c r="EK62" s="1033">
        <f>Möblierungsschablone!$M$36</f>
        <v>5.76</v>
      </c>
      <c r="EL62" s="1406"/>
      <c r="EM62" s="1033">
        <f>Möblierungsschablone!$O$36</f>
        <v>6.48</v>
      </c>
    </row>
    <row r="63" spans="1:143" ht="15.75" customHeight="1">
      <c r="A63" s="1436"/>
      <c r="B63" s="1404"/>
      <c r="C63" s="1033"/>
      <c r="D63" s="1404"/>
      <c r="E63" s="1033"/>
      <c r="F63" s="1404"/>
      <c r="G63" s="1033"/>
      <c r="H63" s="1404"/>
      <c r="I63" s="1033"/>
      <c r="J63" s="1404"/>
      <c r="K63" s="1033"/>
      <c r="L63" s="1404"/>
      <c r="M63" s="1033"/>
      <c r="N63" s="1404"/>
      <c r="O63" s="1033"/>
      <c r="Q63" s="1436"/>
      <c r="R63" s="1200" t="s">
        <v>1367</v>
      </c>
      <c r="S63" s="1033">
        <f>Möblierungsschablone!$C$46</f>
        <v>2.7</v>
      </c>
      <c r="T63" s="1200" t="s">
        <v>1367</v>
      </c>
      <c r="U63" s="1033">
        <f>Möblierungsschablone!$E$46</f>
        <v>3.5999999999999996</v>
      </c>
      <c r="V63" s="1406"/>
      <c r="W63" s="1033"/>
      <c r="X63" s="1406"/>
      <c r="Y63" s="1033"/>
      <c r="Z63" s="1406"/>
      <c r="AA63" s="1033"/>
      <c r="AB63" s="1406"/>
      <c r="AC63" s="1033"/>
      <c r="AD63" s="1406"/>
      <c r="AE63" s="1033"/>
      <c r="AG63" s="1436"/>
      <c r="AH63" s="1200" t="s">
        <v>1367</v>
      </c>
      <c r="AI63" s="1033">
        <f>Möblierungsschablone!$C$46</f>
        <v>2.7</v>
      </c>
      <c r="AJ63" s="1200" t="s">
        <v>1367</v>
      </c>
      <c r="AK63" s="1033">
        <f>Möblierungsschablone!$E$46</f>
        <v>3.5999999999999996</v>
      </c>
      <c r="AL63" s="1200" t="s">
        <v>1367</v>
      </c>
      <c r="AM63" s="1033">
        <f>Möblierungsschablone!$G$46</f>
        <v>4.32</v>
      </c>
      <c r="AN63" s="1406"/>
      <c r="AO63" s="1033"/>
      <c r="AP63" s="1406"/>
      <c r="AQ63" s="1033"/>
      <c r="AR63" s="1406"/>
      <c r="AS63" s="1033"/>
      <c r="AT63" s="1406"/>
      <c r="AU63" s="1033"/>
      <c r="AW63" s="1436"/>
      <c r="AX63" s="1415"/>
      <c r="AY63" s="1033">
        <f>Möblierungsschablone!$C$46</f>
        <v>2.7</v>
      </c>
      <c r="AZ63" s="1415"/>
      <c r="BA63" s="1033">
        <f>Möblierungsschablone!$E$46</f>
        <v>3.5999999999999996</v>
      </c>
      <c r="BB63" s="1415"/>
      <c r="BC63" s="1033">
        <f>Möblierungsschablone!$G$46</f>
        <v>4.32</v>
      </c>
      <c r="BD63" s="1406"/>
      <c r="BE63" s="1033"/>
      <c r="BF63" s="1406"/>
      <c r="BG63" s="1033"/>
      <c r="BH63" s="1406"/>
      <c r="BI63" s="1033"/>
      <c r="BJ63" s="1406"/>
      <c r="BK63" s="1033"/>
      <c r="BM63" s="1436"/>
      <c r="BN63" s="1200" t="s">
        <v>1367</v>
      </c>
      <c r="BO63" s="1033">
        <f>Möblierungsschablone!$C$46</f>
        <v>2.7</v>
      </c>
      <c r="BP63" s="1200" t="s">
        <v>1367</v>
      </c>
      <c r="BQ63" s="1033">
        <f>Möblierungsschablone!$E$46</f>
        <v>3.5999999999999996</v>
      </c>
      <c r="BR63" s="1200" t="s">
        <v>1367</v>
      </c>
      <c r="BS63" s="1033">
        <f>Möblierungsschablone!$G$46</f>
        <v>4.32</v>
      </c>
      <c r="BT63" s="1200" t="s">
        <v>1367</v>
      </c>
      <c r="BU63" s="1033">
        <f>Möblierungsschablone!$I$46</f>
        <v>5.76</v>
      </c>
      <c r="BV63" s="1406"/>
      <c r="BW63" s="1033"/>
      <c r="BX63" s="1406"/>
      <c r="BY63" s="1033"/>
      <c r="BZ63" s="1406"/>
      <c r="CA63" s="1033"/>
      <c r="CC63" s="1436"/>
      <c r="CD63" s="1200" t="s">
        <v>1367</v>
      </c>
      <c r="CE63" s="1033">
        <f>Möblierungsschablone!$C$46</f>
        <v>2.7</v>
      </c>
      <c r="CF63" s="1200" t="s">
        <v>1367</v>
      </c>
      <c r="CG63" s="1033">
        <f>Möblierungsschablone!$E$46</f>
        <v>3.5999999999999996</v>
      </c>
      <c r="CH63" s="1200" t="s">
        <v>1367</v>
      </c>
      <c r="CI63" s="1033">
        <f>Möblierungsschablone!$G$46</f>
        <v>4.32</v>
      </c>
      <c r="CJ63" s="1200" t="s">
        <v>1367</v>
      </c>
      <c r="CK63" s="1033">
        <f>Möblierungsschablone!$I$46</f>
        <v>5.76</v>
      </c>
      <c r="CL63" s="1200" t="s">
        <v>1367</v>
      </c>
      <c r="CM63" s="1033">
        <f>Möblierungsschablone!$K$46</f>
        <v>7.1999999999999993</v>
      </c>
      <c r="CN63" s="1406"/>
      <c r="CO63" s="1033"/>
      <c r="CP63" s="1406"/>
      <c r="CQ63" s="1033"/>
      <c r="CS63" s="1436"/>
      <c r="CT63" s="1200" t="s">
        <v>1367</v>
      </c>
      <c r="CU63" s="1033">
        <f>Möblierungsschablone!$C$46</f>
        <v>2.7</v>
      </c>
      <c r="CV63" s="1200" t="s">
        <v>1367</v>
      </c>
      <c r="CW63" s="1033">
        <f>Möblierungsschablone!$E$46</f>
        <v>3.5999999999999996</v>
      </c>
      <c r="CX63" s="1200" t="s">
        <v>1367</v>
      </c>
      <c r="CY63" s="1033">
        <f>Möblierungsschablone!$G$46</f>
        <v>4.32</v>
      </c>
      <c r="CZ63" s="1200" t="s">
        <v>1367</v>
      </c>
      <c r="DA63" s="1033">
        <f>Möblierungsschablone!$I$46</f>
        <v>5.76</v>
      </c>
      <c r="DB63" s="1200" t="s">
        <v>1367</v>
      </c>
      <c r="DC63" s="1033">
        <f>Möblierungsschablone!$K$46</f>
        <v>7.1999999999999993</v>
      </c>
      <c r="DD63" s="1406"/>
      <c r="DE63" s="1033"/>
      <c r="DF63" s="1406"/>
      <c r="DG63" s="1033"/>
      <c r="DI63" s="1436"/>
      <c r="DJ63" s="1200" t="s">
        <v>1367</v>
      </c>
      <c r="DK63" s="1033">
        <f>Möblierungsschablone!$C$46</f>
        <v>2.7</v>
      </c>
      <c r="DL63" s="1200" t="s">
        <v>1367</v>
      </c>
      <c r="DM63" s="1033">
        <f>Möblierungsschablone!$E$46</f>
        <v>3.5999999999999996</v>
      </c>
      <c r="DN63" s="1200" t="s">
        <v>1367</v>
      </c>
      <c r="DO63" s="1033">
        <f>Möblierungsschablone!$G$46</f>
        <v>4.32</v>
      </c>
      <c r="DP63" s="1200" t="s">
        <v>1367</v>
      </c>
      <c r="DQ63" s="1033">
        <f>Möblierungsschablone!$I$46</f>
        <v>5.76</v>
      </c>
      <c r="DR63" s="1200" t="s">
        <v>1367</v>
      </c>
      <c r="DS63" s="1033">
        <f>Möblierungsschablone!$K$46</f>
        <v>7.1999999999999993</v>
      </c>
      <c r="DT63" s="1406"/>
      <c r="DU63" s="1033"/>
      <c r="DV63" s="1406"/>
      <c r="DW63" s="1033"/>
      <c r="DY63" s="1436"/>
      <c r="DZ63" s="1200" t="s">
        <v>1367</v>
      </c>
      <c r="EA63" s="1033">
        <f>Möblierungsschablone!$C$46</f>
        <v>2.7</v>
      </c>
      <c r="EB63" s="1200" t="s">
        <v>1367</v>
      </c>
      <c r="EC63" s="1033">
        <f>Möblierungsschablone!$E$46</f>
        <v>3.5999999999999996</v>
      </c>
      <c r="ED63" s="1200" t="s">
        <v>1367</v>
      </c>
      <c r="EE63" s="1033">
        <f>Möblierungsschablone!$G$46</f>
        <v>4.32</v>
      </c>
      <c r="EF63" s="1200" t="s">
        <v>1367</v>
      </c>
      <c r="EG63" s="1033">
        <f>Möblierungsschablone!$I$46</f>
        <v>5.76</v>
      </c>
      <c r="EH63" s="1200" t="s">
        <v>1367</v>
      </c>
      <c r="EI63" s="1033">
        <f>Möblierungsschablone!$K$46</f>
        <v>7.1999999999999993</v>
      </c>
      <c r="EJ63" s="1406"/>
      <c r="EK63" s="1033"/>
      <c r="EL63" s="1406"/>
      <c r="EM63" s="1033"/>
    </row>
    <row r="64" spans="1:143" ht="15.75" customHeight="1">
      <c r="A64" s="1436"/>
      <c r="B64" s="1404"/>
      <c r="C64" s="1034">
        <f>SUM(C62:C63)</f>
        <v>2.5649999999999999</v>
      </c>
      <c r="D64" s="1404"/>
      <c r="E64" s="1034">
        <f>SUM(E62:E63)</f>
        <v>2.5649999999999999</v>
      </c>
      <c r="F64" s="1404"/>
      <c r="G64" s="1034">
        <f>SUM(G62:G63)</f>
        <v>3.5999999999999996</v>
      </c>
      <c r="H64" s="1404"/>
      <c r="I64" s="1034">
        <f>SUM(I62:I63)</f>
        <v>4.32</v>
      </c>
      <c r="J64" s="1404"/>
      <c r="K64" s="1034">
        <f>SUM(K62:K63)</f>
        <v>5.04</v>
      </c>
      <c r="L64" s="1404"/>
      <c r="M64" s="1034">
        <f>SUM(M62:M63)</f>
        <v>5.76</v>
      </c>
      <c r="N64" s="1404"/>
      <c r="O64" s="1034">
        <f>SUM(O62:O63)</f>
        <v>6.48</v>
      </c>
      <c r="Q64" s="1436"/>
      <c r="R64" s="1200"/>
      <c r="S64" s="1036"/>
      <c r="T64" s="1200"/>
      <c r="U64" s="1036"/>
      <c r="V64" s="1406"/>
      <c r="W64" s="1034">
        <f>SUM(W62:W63)</f>
        <v>3.5999999999999996</v>
      </c>
      <c r="X64" s="1406"/>
      <c r="Y64" s="1034">
        <f>SUM(Y62:Y63)</f>
        <v>4.32</v>
      </c>
      <c r="Z64" s="1406"/>
      <c r="AA64" s="1034">
        <f>SUM(AA62:AA63)</f>
        <v>5.04</v>
      </c>
      <c r="AB64" s="1406"/>
      <c r="AC64" s="1034">
        <f>SUM(AC62:AC63)</f>
        <v>5.76</v>
      </c>
      <c r="AD64" s="1406"/>
      <c r="AE64" s="1034">
        <f>SUM(AE62:AE63)</f>
        <v>6.48</v>
      </c>
      <c r="AG64" s="1436"/>
      <c r="AH64" s="1200"/>
      <c r="AI64" s="1036"/>
      <c r="AJ64" s="1200"/>
      <c r="AK64" s="1036"/>
      <c r="AL64" s="1200"/>
      <c r="AM64" s="1036"/>
      <c r="AN64" s="1406"/>
      <c r="AO64" s="1034">
        <f>SUM(AO62:AO63)</f>
        <v>4.32</v>
      </c>
      <c r="AP64" s="1406"/>
      <c r="AQ64" s="1034">
        <f>SUM(AQ62:AQ63)</f>
        <v>5.04</v>
      </c>
      <c r="AR64" s="1406"/>
      <c r="AS64" s="1034">
        <f>SUM(AS62:AS63)</f>
        <v>5.76</v>
      </c>
      <c r="AT64" s="1406"/>
      <c r="AU64" s="1034">
        <f>SUM(AU62:AU63)</f>
        <v>6.48</v>
      </c>
      <c r="AW64" s="1436"/>
      <c r="AX64" s="1415"/>
      <c r="AY64" s="1036"/>
      <c r="AZ64" s="1415"/>
      <c r="BA64" s="1036"/>
      <c r="BB64" s="1415"/>
      <c r="BC64" s="1036"/>
      <c r="BD64" s="1406"/>
      <c r="BE64" s="1034">
        <f>SUM(BE62:BE63)</f>
        <v>4.32</v>
      </c>
      <c r="BF64" s="1406"/>
      <c r="BG64" s="1034">
        <f>SUM(BG62:BG63)</f>
        <v>5.04</v>
      </c>
      <c r="BH64" s="1406"/>
      <c r="BI64" s="1034">
        <f>SUM(BI62:BI63)</f>
        <v>5.76</v>
      </c>
      <c r="BJ64" s="1406"/>
      <c r="BK64" s="1034">
        <f>SUM(BK62:BK63)</f>
        <v>6.48</v>
      </c>
      <c r="BM64" s="1436"/>
      <c r="BN64" s="1200"/>
      <c r="BO64" s="1034"/>
      <c r="BP64" s="1200"/>
      <c r="BQ64" s="1034"/>
      <c r="BR64" s="1200"/>
      <c r="BS64" s="1034"/>
      <c r="BT64" s="1200"/>
      <c r="BU64" s="1034"/>
      <c r="BV64" s="1406"/>
      <c r="BW64" s="1034">
        <f>SUM(BW62:BW63)</f>
        <v>5.04</v>
      </c>
      <c r="BX64" s="1406"/>
      <c r="BY64" s="1034">
        <f>SUM(BY62:BY63)</f>
        <v>5.76</v>
      </c>
      <c r="BZ64" s="1406"/>
      <c r="CA64" s="1034">
        <f>SUM(CA62:CA63)</f>
        <v>6.48</v>
      </c>
      <c r="CC64" s="1436"/>
      <c r="CD64" s="1200"/>
      <c r="CE64" s="1034"/>
      <c r="CF64" s="1200"/>
      <c r="CG64" s="1034"/>
      <c r="CH64" s="1200"/>
      <c r="CI64" s="1034"/>
      <c r="CJ64" s="1200"/>
      <c r="CK64" s="1034"/>
      <c r="CL64" s="1200"/>
      <c r="CM64" s="1036"/>
      <c r="CN64" s="1406"/>
      <c r="CO64" s="1034">
        <f>SUM(CO62:CO63)</f>
        <v>5.76</v>
      </c>
      <c r="CP64" s="1406"/>
      <c r="CQ64" s="1034">
        <f>SUM(CQ62:CQ63)</f>
        <v>6.48</v>
      </c>
      <c r="CS64" s="1436"/>
      <c r="CT64" s="1200" t="s">
        <v>2041</v>
      </c>
      <c r="CU64" s="1033">
        <f>Möblierungsschablone!$C$56</f>
        <v>5.76</v>
      </c>
      <c r="CV64" s="1200" t="s">
        <v>2041</v>
      </c>
      <c r="CW64" s="1033">
        <f>Möblierungsschablone!$E$56</f>
        <v>5.76</v>
      </c>
      <c r="CX64" s="1200"/>
      <c r="CY64" s="1034"/>
      <c r="CZ64" s="1200"/>
      <c r="DA64" s="1034"/>
      <c r="DB64" s="1200"/>
      <c r="DC64" s="1036"/>
      <c r="DD64" s="1406"/>
      <c r="DE64" s="1034">
        <f>SUM(DE62:DE63)</f>
        <v>5.76</v>
      </c>
      <c r="DF64" s="1406"/>
      <c r="DG64" s="1034">
        <f>SUM(DG62:DG63)</f>
        <v>6.48</v>
      </c>
      <c r="DI64" s="1436"/>
      <c r="DJ64" s="1200" t="s">
        <v>2041</v>
      </c>
      <c r="DK64" s="1033">
        <f>Möblierungsschablone!$C$56</f>
        <v>5.76</v>
      </c>
      <c r="DL64" s="1200" t="s">
        <v>2041</v>
      </c>
      <c r="DM64" s="1033">
        <f>Möblierungsschablone!$E$56</f>
        <v>5.76</v>
      </c>
      <c r="DN64" s="1200"/>
      <c r="DO64" s="1034"/>
      <c r="DP64" s="1200"/>
      <c r="DQ64" s="1034"/>
      <c r="DR64" s="1200"/>
      <c r="DS64" s="1036"/>
      <c r="DT64" s="1406"/>
      <c r="DU64" s="1034">
        <f>SUM(DU62:DU63)</f>
        <v>5.76</v>
      </c>
      <c r="DV64" s="1406"/>
      <c r="DW64" s="1034">
        <f>SUM(DW62:DW63)</f>
        <v>6.48</v>
      </c>
      <c r="DY64" s="1436"/>
      <c r="DZ64" s="1200" t="s">
        <v>2041</v>
      </c>
      <c r="EA64" s="1033">
        <f>Möblierungsschablone!$C$56</f>
        <v>5.76</v>
      </c>
      <c r="EB64" s="1200" t="s">
        <v>2041</v>
      </c>
      <c r="EC64" s="1033">
        <f>Möblierungsschablone!$E$56</f>
        <v>5.76</v>
      </c>
      <c r="ED64" s="1200"/>
      <c r="EE64" s="1034"/>
      <c r="EF64" s="1200"/>
      <c r="EG64" s="1034"/>
      <c r="EH64" s="1200"/>
      <c r="EI64" s="1036"/>
      <c r="EJ64" s="1406"/>
      <c r="EK64" s="1034">
        <f>SUM(EK62:EK63)</f>
        <v>5.76</v>
      </c>
      <c r="EL64" s="1406"/>
      <c r="EM64" s="1034">
        <f>SUM(EM62:EM63)</f>
        <v>6.48</v>
      </c>
    </row>
    <row r="65" spans="1:143" ht="15.75" customHeight="1">
      <c r="A65" s="1436"/>
      <c r="B65" s="1404"/>
      <c r="C65" s="1032">
        <v>1</v>
      </c>
      <c r="D65" s="1404"/>
      <c r="E65" s="1032">
        <v>1</v>
      </c>
      <c r="F65" s="1404"/>
      <c r="G65" s="1032">
        <v>1</v>
      </c>
      <c r="H65" s="1404"/>
      <c r="I65" s="1032">
        <v>1</v>
      </c>
      <c r="J65" s="1404"/>
      <c r="K65" s="1032">
        <v>1</v>
      </c>
      <c r="L65" s="1404"/>
      <c r="M65" s="1032">
        <v>1</v>
      </c>
      <c r="N65" s="1404"/>
      <c r="O65" s="1032">
        <v>2</v>
      </c>
      <c r="Q65" s="1436"/>
      <c r="R65" s="1201" t="s">
        <v>2036</v>
      </c>
      <c r="S65" s="1034">
        <f>SUM(S62:S64)</f>
        <v>5.2650000000000006</v>
      </c>
      <c r="T65" s="1201" t="s">
        <v>2036</v>
      </c>
      <c r="U65" s="1034">
        <f>SUM(U62:U64)</f>
        <v>6.1649999999999991</v>
      </c>
      <c r="V65" s="1406"/>
      <c r="W65" s="1032">
        <v>1</v>
      </c>
      <c r="X65" s="1406"/>
      <c r="Y65" s="1032">
        <v>1</v>
      </c>
      <c r="Z65" s="1406"/>
      <c r="AA65" s="1032">
        <v>1</v>
      </c>
      <c r="AB65" s="1406"/>
      <c r="AC65" s="1032">
        <v>1</v>
      </c>
      <c r="AD65" s="1406"/>
      <c r="AE65" s="1032">
        <v>1</v>
      </c>
      <c r="AG65" s="1436"/>
      <c r="AH65" s="1201" t="s">
        <v>2036</v>
      </c>
      <c r="AI65" s="1034">
        <f>SUM(AI62:AI64)</f>
        <v>5.2650000000000006</v>
      </c>
      <c r="AJ65" s="1201" t="s">
        <v>2036</v>
      </c>
      <c r="AK65" s="1034">
        <f>SUM(AK62:AK64)</f>
        <v>6.1649999999999991</v>
      </c>
      <c r="AL65" s="1201" t="s">
        <v>2036</v>
      </c>
      <c r="AM65" s="1034">
        <f>SUM(AM62:AM64)</f>
        <v>7.92</v>
      </c>
      <c r="AN65" s="1406"/>
      <c r="AO65" s="1032">
        <v>1</v>
      </c>
      <c r="AP65" s="1406"/>
      <c r="AQ65" s="1032">
        <v>1</v>
      </c>
      <c r="AR65" s="1406"/>
      <c r="AS65" s="1032">
        <v>1</v>
      </c>
      <c r="AT65" s="1406"/>
      <c r="AU65" s="1032">
        <v>1</v>
      </c>
      <c r="AW65" s="1436"/>
      <c r="AX65" s="1415"/>
      <c r="AY65" s="1034">
        <f>SUM(AY62:AY64)</f>
        <v>5.2650000000000006</v>
      </c>
      <c r="AZ65" s="1415"/>
      <c r="BA65" s="1034">
        <f>SUM(BA62:BA64)</f>
        <v>6.1649999999999991</v>
      </c>
      <c r="BB65" s="1415"/>
      <c r="BC65" s="1034">
        <f>SUM(BC62:BC64)</f>
        <v>7.92</v>
      </c>
      <c r="BD65" s="1406"/>
      <c r="BE65" s="1032">
        <v>1</v>
      </c>
      <c r="BF65" s="1406"/>
      <c r="BG65" s="1032">
        <v>1</v>
      </c>
      <c r="BH65" s="1406"/>
      <c r="BI65" s="1032">
        <v>1</v>
      </c>
      <c r="BJ65" s="1406"/>
      <c r="BK65" s="1032">
        <v>1</v>
      </c>
      <c r="BM65" s="1436"/>
      <c r="BN65" s="1201" t="s">
        <v>2036</v>
      </c>
      <c r="BO65" s="1034">
        <f>SUM(BO62:BO64)</f>
        <v>5.2650000000000006</v>
      </c>
      <c r="BP65" s="1201" t="s">
        <v>2036</v>
      </c>
      <c r="BQ65" s="1034">
        <f>SUM(BQ62:BQ64)</f>
        <v>6.1649999999999991</v>
      </c>
      <c r="BR65" s="1201" t="s">
        <v>2036</v>
      </c>
      <c r="BS65" s="1034">
        <f>SUM(BS62:BS64)</f>
        <v>7.92</v>
      </c>
      <c r="BT65" s="1201" t="s">
        <v>2036</v>
      </c>
      <c r="BU65" s="1034">
        <f>SUM(BU62:BU64)</f>
        <v>10.08</v>
      </c>
      <c r="BV65" s="1406"/>
      <c r="BW65" s="1032">
        <v>1</v>
      </c>
      <c r="BX65" s="1406"/>
      <c r="BY65" s="1032">
        <v>1</v>
      </c>
      <c r="BZ65" s="1406"/>
      <c r="CA65" s="1032">
        <v>1</v>
      </c>
      <c r="CC65" s="1436"/>
      <c r="CD65" s="1201" t="s">
        <v>2036</v>
      </c>
      <c r="CE65" s="1034">
        <f>SUM(CE62:CE64)</f>
        <v>5.2650000000000006</v>
      </c>
      <c r="CF65" s="1201" t="s">
        <v>2036</v>
      </c>
      <c r="CG65" s="1034">
        <f>SUM(CG62:CG64)</f>
        <v>6.1649999999999991</v>
      </c>
      <c r="CH65" s="1201" t="s">
        <v>2036</v>
      </c>
      <c r="CI65" s="1034">
        <f>SUM(CI62:CI64)</f>
        <v>7.92</v>
      </c>
      <c r="CJ65" s="1201" t="s">
        <v>2036</v>
      </c>
      <c r="CK65" s="1034">
        <f>SUM(CK62:CK64)</f>
        <v>10.08</v>
      </c>
      <c r="CL65" s="1201" t="s">
        <v>2036</v>
      </c>
      <c r="CM65" s="1034">
        <f>SUM(CM62:CM64)</f>
        <v>12.239999999999998</v>
      </c>
      <c r="CN65" s="1406"/>
      <c r="CO65" s="1032">
        <v>1</v>
      </c>
      <c r="CP65" s="1406"/>
      <c r="CQ65" s="1032">
        <v>1</v>
      </c>
      <c r="CS65" s="1436"/>
      <c r="CT65" s="1201" t="s">
        <v>2036</v>
      </c>
      <c r="CU65" s="1034">
        <f>SUM(CU62:CU64)</f>
        <v>11.025</v>
      </c>
      <c r="CV65" s="1201" t="s">
        <v>2036</v>
      </c>
      <c r="CW65" s="1034">
        <f>SUM(CW62:CW64)</f>
        <v>11.924999999999999</v>
      </c>
      <c r="CX65" s="1201" t="s">
        <v>2036</v>
      </c>
      <c r="CY65" s="1034">
        <f>SUM(CY62:CY64)</f>
        <v>7.92</v>
      </c>
      <c r="CZ65" s="1201" t="s">
        <v>2036</v>
      </c>
      <c r="DA65" s="1034">
        <f>SUM(DA62:DA64)</f>
        <v>10.08</v>
      </c>
      <c r="DB65" s="1201" t="s">
        <v>2036</v>
      </c>
      <c r="DC65" s="1034">
        <f>SUM(DC62:DC64)</f>
        <v>12.239999999999998</v>
      </c>
      <c r="DD65" s="1406"/>
      <c r="DE65" s="1032">
        <v>1</v>
      </c>
      <c r="DF65" s="1406"/>
      <c r="DG65" s="1032">
        <v>1</v>
      </c>
      <c r="DI65" s="1436"/>
      <c r="DJ65" s="1201" t="s">
        <v>2036</v>
      </c>
      <c r="DK65" s="1034">
        <f>SUM(DK62:DK64)</f>
        <v>11.025</v>
      </c>
      <c r="DL65" s="1201" t="s">
        <v>2036</v>
      </c>
      <c r="DM65" s="1034">
        <f>SUM(DM62:DM64)</f>
        <v>11.924999999999999</v>
      </c>
      <c r="DN65" s="1201" t="s">
        <v>2036</v>
      </c>
      <c r="DO65" s="1034">
        <f>SUM(DO62:DO64)</f>
        <v>7.92</v>
      </c>
      <c r="DP65" s="1201" t="s">
        <v>2036</v>
      </c>
      <c r="DQ65" s="1034">
        <f>SUM(DQ62:DQ64)</f>
        <v>10.08</v>
      </c>
      <c r="DR65" s="1201" t="s">
        <v>2036</v>
      </c>
      <c r="DS65" s="1034">
        <f>SUM(DS62:DS64)</f>
        <v>12.239999999999998</v>
      </c>
      <c r="DT65" s="1406"/>
      <c r="DU65" s="1032">
        <v>1</v>
      </c>
      <c r="DV65" s="1406"/>
      <c r="DW65" s="1032">
        <v>1</v>
      </c>
      <c r="DY65" s="1436"/>
      <c r="DZ65" s="1201" t="s">
        <v>2036</v>
      </c>
      <c r="EA65" s="1034">
        <f>SUM(EA62:EA64)</f>
        <v>11.025</v>
      </c>
      <c r="EB65" s="1201" t="s">
        <v>2036</v>
      </c>
      <c r="EC65" s="1034">
        <f>SUM(EC62:EC64)</f>
        <v>11.924999999999999</v>
      </c>
      <c r="ED65" s="1201" t="s">
        <v>2036</v>
      </c>
      <c r="EE65" s="1034">
        <f>SUM(EE62:EE64)</f>
        <v>7.92</v>
      </c>
      <c r="EF65" s="1201" t="s">
        <v>2036</v>
      </c>
      <c r="EG65" s="1034">
        <f>SUM(EG62:EG64)</f>
        <v>10.08</v>
      </c>
      <c r="EH65" s="1201" t="s">
        <v>2036</v>
      </c>
      <c r="EI65" s="1034">
        <f>SUM(EI62:EI64)</f>
        <v>12.239999999999998</v>
      </c>
      <c r="EJ65" s="1406"/>
      <c r="EK65" s="1032">
        <v>1</v>
      </c>
      <c r="EL65" s="1406"/>
      <c r="EM65" s="1032">
        <v>1</v>
      </c>
    </row>
    <row r="66" spans="1:143" ht="18" customHeight="1">
      <c r="A66" s="1436"/>
      <c r="B66" s="1404"/>
      <c r="C66" s="1030">
        <f>C64/(C65*C49)</f>
        <v>0.36525453898184407</v>
      </c>
      <c r="D66" s="1404"/>
      <c r="E66" s="1030">
        <f>E64/(E65*C49)</f>
        <v>0.36525453898184407</v>
      </c>
      <c r="F66" s="1404"/>
      <c r="G66" s="1030">
        <f>G64/(G65*C49)</f>
        <v>0.51263794944820218</v>
      </c>
      <c r="H66" s="1404"/>
      <c r="I66" s="1030">
        <f>I64/(I65*C49)</f>
        <v>0.61516553933784268</v>
      </c>
      <c r="J66" s="1404"/>
      <c r="K66" s="1030">
        <f>K64/(K65*C49)</f>
        <v>0.71769312922748307</v>
      </c>
      <c r="L66" s="1404"/>
      <c r="M66" s="1030">
        <f>M64/(M65*C49)</f>
        <v>0.82022071911712346</v>
      </c>
      <c r="N66" s="1404"/>
      <c r="O66" s="1030">
        <f>O64/(O65*C49)</f>
        <v>0.46137415450338204</v>
      </c>
      <c r="Q66" s="1436"/>
      <c r="R66" s="1200" t="s">
        <v>1247</v>
      </c>
      <c r="S66" s="1032">
        <v>1</v>
      </c>
      <c r="T66" s="1200" t="s">
        <v>1247</v>
      </c>
      <c r="U66" s="1032">
        <v>1</v>
      </c>
      <c r="V66" s="1406"/>
      <c r="W66" s="1030">
        <f>W64/(W65*S49)</f>
        <v>0.48517520215633425</v>
      </c>
      <c r="X66" s="1406"/>
      <c r="Y66" s="1030">
        <f>Y64/(Y65*S49)</f>
        <v>0.58221024258760123</v>
      </c>
      <c r="Z66" s="1406"/>
      <c r="AA66" s="1030">
        <f>AA64/(AA65*S49)</f>
        <v>0.679245283018868</v>
      </c>
      <c r="AB66" s="1406"/>
      <c r="AC66" s="1030">
        <f>AC64/(AC65*S49)</f>
        <v>0.77628032345013487</v>
      </c>
      <c r="AD66" s="1406"/>
      <c r="AE66" s="1030">
        <f>AE64/(AE65*S49)</f>
        <v>0.87331536388140174</v>
      </c>
      <c r="AG66" s="1436"/>
      <c r="AH66" s="1200" t="s">
        <v>1247</v>
      </c>
      <c r="AI66" s="1032">
        <v>1</v>
      </c>
      <c r="AJ66" s="1200" t="s">
        <v>1247</v>
      </c>
      <c r="AK66" s="1032">
        <v>1</v>
      </c>
      <c r="AL66" s="1200" t="s">
        <v>1247</v>
      </c>
      <c r="AM66" s="1032">
        <v>1</v>
      </c>
      <c r="AN66" s="1406"/>
      <c r="AO66" s="1030">
        <f>AO64/(AO65*AI49)</f>
        <v>0.49399656946826764</v>
      </c>
      <c r="AP66" s="1406"/>
      <c r="AQ66" s="1030">
        <f>AQ64/(AQ65*AI49)</f>
        <v>0.57632933104631223</v>
      </c>
      <c r="AR66" s="1406"/>
      <c r="AS66" s="1030">
        <f>AS64/(AS65*AI49)</f>
        <v>0.65866209262435682</v>
      </c>
      <c r="AT66" s="1406"/>
      <c r="AU66" s="1030">
        <f>AU64/(AU65*AI49)</f>
        <v>0.74099485420240152</v>
      </c>
      <c r="AW66" s="1436"/>
      <c r="AX66" s="1415"/>
      <c r="AY66" s="1032">
        <v>1</v>
      </c>
      <c r="AZ66" s="1415"/>
      <c r="BA66" s="1032">
        <v>1</v>
      </c>
      <c r="BB66" s="1415"/>
      <c r="BC66" s="1032">
        <v>1</v>
      </c>
      <c r="BD66" s="1406"/>
      <c r="BE66" s="1030">
        <f>BE64/(BE65*AY49)</f>
        <v>0.42899702085402192</v>
      </c>
      <c r="BF66" s="1406"/>
      <c r="BG66" s="1030">
        <f>BG64/(BG65*AY49)</f>
        <v>0.50049652432969227</v>
      </c>
      <c r="BH66" s="1406"/>
      <c r="BI66" s="1030">
        <f>BI64/(BI65*AY49)</f>
        <v>0.57199602780536252</v>
      </c>
      <c r="BJ66" s="1406"/>
      <c r="BK66" s="1030">
        <f>BK64/(BK65*AY49)</f>
        <v>0.64349553128103287</v>
      </c>
      <c r="BM66" s="1436"/>
      <c r="BN66" s="1200" t="s">
        <v>1247</v>
      </c>
      <c r="BO66" s="1032">
        <v>1</v>
      </c>
      <c r="BP66" s="1200" t="s">
        <v>1247</v>
      </c>
      <c r="BQ66" s="1032">
        <v>1</v>
      </c>
      <c r="BR66" s="1200" t="s">
        <v>1247</v>
      </c>
      <c r="BS66" s="1032">
        <v>1</v>
      </c>
      <c r="BT66" s="1200" t="s">
        <v>1247</v>
      </c>
      <c r="BU66" s="1032">
        <v>1</v>
      </c>
      <c r="BV66" s="1406"/>
      <c r="BW66" s="1030">
        <f>BW64/(BW65*BO49)</f>
        <v>0.44229925405879772</v>
      </c>
      <c r="BX66" s="1406"/>
      <c r="BY66" s="1059">
        <f>BY64/(BY65*BO49)</f>
        <v>0.50548486178148311</v>
      </c>
      <c r="BZ66" s="1406"/>
      <c r="CA66" s="1059">
        <f>CA64/(CA65*BO49)</f>
        <v>0.56867046950416855</v>
      </c>
      <c r="CC66" s="1436"/>
      <c r="CD66" s="1200" t="s">
        <v>1247</v>
      </c>
      <c r="CE66" s="1032">
        <v>1</v>
      </c>
      <c r="CF66" s="1200" t="s">
        <v>1247</v>
      </c>
      <c r="CG66" s="1032">
        <v>1</v>
      </c>
      <c r="CH66" s="1200" t="s">
        <v>1247</v>
      </c>
      <c r="CI66" s="1032">
        <v>1</v>
      </c>
      <c r="CJ66" s="1200" t="s">
        <v>1247</v>
      </c>
      <c r="CK66" s="1032">
        <v>1</v>
      </c>
      <c r="CL66" s="1200" t="s">
        <v>1247</v>
      </c>
      <c r="CM66" s="1032">
        <v>1</v>
      </c>
      <c r="CN66" s="1406"/>
      <c r="CO66" s="1059">
        <f>CO64/(CO65*CE49)</f>
        <v>0.45283018867924529</v>
      </c>
      <c r="CP66" s="1406"/>
      <c r="CQ66" s="1059">
        <f>CQ64/(CQ65*CE49)</f>
        <v>0.50943396226415105</v>
      </c>
      <c r="CS66" s="1436"/>
      <c r="CT66" s="1200" t="s">
        <v>1247</v>
      </c>
      <c r="CU66" s="1032">
        <v>1</v>
      </c>
      <c r="CV66" s="1200" t="s">
        <v>1247</v>
      </c>
      <c r="CW66" s="1032">
        <v>1</v>
      </c>
      <c r="CX66" s="1200" t="s">
        <v>1247</v>
      </c>
      <c r="CY66" s="1032">
        <v>1</v>
      </c>
      <c r="CZ66" s="1200" t="s">
        <v>1247</v>
      </c>
      <c r="DA66" s="1032">
        <v>1</v>
      </c>
      <c r="DB66" s="1200" t="s">
        <v>1247</v>
      </c>
      <c r="DC66" s="1032">
        <v>1</v>
      </c>
      <c r="DD66" s="1406"/>
      <c r="DE66" s="1059">
        <f>DE64/(DE65*CU49)</f>
        <v>0.42619311875693677</v>
      </c>
      <c r="DF66" s="1406"/>
      <c r="DG66" s="1059">
        <f>DG64/(DG65*CU49)</f>
        <v>0.47946725860155393</v>
      </c>
      <c r="DI66" s="1436"/>
      <c r="DJ66" s="1200" t="s">
        <v>1247</v>
      </c>
      <c r="DK66" s="1032">
        <v>1</v>
      </c>
      <c r="DL66" s="1200" t="s">
        <v>1247</v>
      </c>
      <c r="DM66" s="1032">
        <v>1</v>
      </c>
      <c r="DN66" s="1200" t="s">
        <v>1247</v>
      </c>
      <c r="DO66" s="1032">
        <v>1</v>
      </c>
      <c r="DP66" s="1200" t="s">
        <v>1247</v>
      </c>
      <c r="DQ66" s="1032">
        <v>1</v>
      </c>
      <c r="DR66" s="1200" t="s">
        <v>1247</v>
      </c>
      <c r="DS66" s="1032">
        <v>1</v>
      </c>
      <c r="DT66" s="1406"/>
      <c r="DU66" s="1059">
        <f>DU64/(DU65*DK49)</f>
        <v>0.39519725557461405</v>
      </c>
      <c r="DV66" s="1406"/>
      <c r="DW66" s="1059">
        <f>DW64/(DW65*DK49)</f>
        <v>0.4445969125214409</v>
      </c>
      <c r="DY66" s="1436"/>
      <c r="DZ66" s="1200" t="s">
        <v>1247</v>
      </c>
      <c r="EA66" s="1032">
        <v>1</v>
      </c>
      <c r="EB66" s="1200" t="s">
        <v>1247</v>
      </c>
      <c r="EC66" s="1032">
        <v>1</v>
      </c>
      <c r="ED66" s="1200" t="s">
        <v>1247</v>
      </c>
      <c r="EE66" s="1032">
        <v>1</v>
      </c>
      <c r="EF66" s="1200" t="s">
        <v>1247</v>
      </c>
      <c r="EG66" s="1032">
        <v>1</v>
      </c>
      <c r="EH66" s="1200" t="s">
        <v>1247</v>
      </c>
      <c r="EI66" s="1032">
        <v>1</v>
      </c>
      <c r="EJ66" s="1406"/>
      <c r="EK66" s="1059">
        <f>EK64/(EK65*EA49)</f>
        <v>0.37475601821730642</v>
      </c>
      <c r="EL66" s="1406"/>
      <c r="EM66" s="1059">
        <f>EM64/(EM65*EA49)</f>
        <v>0.42160052049446978</v>
      </c>
    </row>
    <row r="67" spans="1:143" ht="15.75" customHeight="1">
      <c r="A67" s="1435" t="s">
        <v>1367</v>
      </c>
      <c r="B67" s="1404"/>
      <c r="C67" s="1033">
        <f>Möblierungsschablone!$C$46</f>
        <v>2.7</v>
      </c>
      <c r="D67" s="1404"/>
      <c r="E67" s="1033">
        <f>Möblierungsschablone!$E$46</f>
        <v>3.5999999999999996</v>
      </c>
      <c r="F67" s="1404"/>
      <c r="G67" s="1033">
        <f>Möblierungsschablone!$G$46</f>
        <v>4.32</v>
      </c>
      <c r="H67" s="1404"/>
      <c r="I67" s="1033">
        <f>Möblierungsschablone!$I$46</f>
        <v>5.76</v>
      </c>
      <c r="J67" s="1404"/>
      <c r="K67" s="1033">
        <f>Möblierungsschablone!$K$46</f>
        <v>7.1999999999999993</v>
      </c>
      <c r="L67" s="1404"/>
      <c r="M67" s="1033">
        <f>Möblierungsschablone!$M$51</f>
        <v>8.82</v>
      </c>
      <c r="N67" s="1404"/>
      <c r="O67" s="1033">
        <f>Möblierungsschablone!$O$51</f>
        <v>8.82</v>
      </c>
      <c r="Q67" s="1435" t="s">
        <v>1367</v>
      </c>
      <c r="R67" s="1433"/>
      <c r="S67" s="1426">
        <f>S65/(S66*S49)</f>
        <v>0.709568733153639</v>
      </c>
      <c r="T67" s="1433"/>
      <c r="U67" s="1426">
        <f>U65/(U66*S49)</f>
        <v>0.83086253369272234</v>
      </c>
      <c r="V67" s="1406"/>
      <c r="W67" s="1033">
        <f>Möblierungsschablone!$G$46</f>
        <v>4.32</v>
      </c>
      <c r="X67" s="1406"/>
      <c r="Y67" s="1033">
        <f>Möblierungsschablone!$I$46</f>
        <v>5.76</v>
      </c>
      <c r="Z67" s="1406"/>
      <c r="AA67" s="1033">
        <f>Möblierungsschablone!$K$46</f>
        <v>7.1999999999999993</v>
      </c>
      <c r="AB67" s="1406"/>
      <c r="AC67" s="1033">
        <f>Möblierungsschablone!$M$51</f>
        <v>8.82</v>
      </c>
      <c r="AD67" s="1406"/>
      <c r="AE67" s="1033">
        <f>Möblierungsschablone!$O$51</f>
        <v>8.82</v>
      </c>
      <c r="AG67" s="1435" t="s">
        <v>1367</v>
      </c>
      <c r="AH67" s="1433"/>
      <c r="AI67" s="1426">
        <f>AI65/(AI66*AI49)</f>
        <v>0.60205831903945128</v>
      </c>
      <c r="AJ67" s="1433"/>
      <c r="AK67" s="1426">
        <f>AK65/(AK66*AI49)</f>
        <v>0.70497427101200683</v>
      </c>
      <c r="AL67" s="1433"/>
      <c r="AM67" s="1426">
        <f>AM65/(AM66*AI49)</f>
        <v>0.90566037735849059</v>
      </c>
      <c r="AN67" s="1406"/>
      <c r="AO67" s="1033">
        <f>Möblierungsschablone!$I$46</f>
        <v>5.76</v>
      </c>
      <c r="AP67" s="1406"/>
      <c r="AQ67" s="1033">
        <f>Möblierungsschablone!$K$46</f>
        <v>7.1999999999999993</v>
      </c>
      <c r="AR67" s="1406"/>
      <c r="AS67" s="1033">
        <f>Möblierungsschablone!$M$51</f>
        <v>8.82</v>
      </c>
      <c r="AT67" s="1406"/>
      <c r="AU67" s="1033">
        <f>Möblierungsschablone!$O$51</f>
        <v>8.82</v>
      </c>
      <c r="AW67" s="1435" t="s">
        <v>1367</v>
      </c>
      <c r="AX67" s="1415"/>
      <c r="AY67" s="1426">
        <f>AY65/(AY66*AY49)</f>
        <v>0.52284011916583928</v>
      </c>
      <c r="AZ67" s="1415"/>
      <c r="BA67" s="1426">
        <f>BA65/(BA66*AY49)</f>
        <v>0.61221449851042697</v>
      </c>
      <c r="BB67" s="1415"/>
      <c r="BC67" s="1426">
        <f>BC65/(BC66*AY49)</f>
        <v>0.78649453823237347</v>
      </c>
      <c r="BD67" s="1406"/>
      <c r="BE67" s="1033">
        <f>Möblierungsschablone!$I$46</f>
        <v>5.76</v>
      </c>
      <c r="BF67" s="1406"/>
      <c r="BG67" s="1033">
        <f>Möblierungsschablone!$K$46</f>
        <v>7.1999999999999993</v>
      </c>
      <c r="BH67" s="1406"/>
      <c r="BI67" s="1033">
        <f>Möblierungsschablone!$M$51</f>
        <v>8.82</v>
      </c>
      <c r="BJ67" s="1406"/>
      <c r="BK67" s="1033">
        <f>Möblierungsschablone!$O$51</f>
        <v>8.82</v>
      </c>
      <c r="BM67" s="1435" t="s">
        <v>1367</v>
      </c>
      <c r="BN67" s="1433"/>
      <c r="BO67" s="1426">
        <f>BO65/(BO66*BO49)</f>
        <v>0.462044756472137</v>
      </c>
      <c r="BP67" s="1433"/>
      <c r="BQ67" s="1426">
        <f>BQ65/(BQ66*BO49)</f>
        <v>0.54102676612549361</v>
      </c>
      <c r="BR67" s="1433"/>
      <c r="BS67" s="1426">
        <f>BS65/(BS66*BO49)</f>
        <v>0.69504168494953933</v>
      </c>
      <c r="BT67" s="1433"/>
      <c r="BU67" s="1426">
        <f>BU65/(BU66*BO49)</f>
        <v>0.88459850811759544</v>
      </c>
      <c r="BV67" s="1406"/>
      <c r="BW67" s="1033">
        <f>Möblierungsschablone!$K$46</f>
        <v>7.1999999999999993</v>
      </c>
      <c r="BX67" s="1406"/>
      <c r="BY67" s="1033">
        <f>Möblierungsschablone!$M$51</f>
        <v>8.82</v>
      </c>
      <c r="BZ67" s="1406"/>
      <c r="CA67" s="1033">
        <f>Möblierungsschablone!$O$51</f>
        <v>8.82</v>
      </c>
      <c r="CC67" s="1435" t="s">
        <v>1367</v>
      </c>
      <c r="CD67" s="1433"/>
      <c r="CE67" s="1426">
        <f>CE65/(CE66*CE49)</f>
        <v>0.4139150943396227</v>
      </c>
      <c r="CF67" s="1433"/>
      <c r="CG67" s="1426">
        <f>CG65/(CG66*CE49)</f>
        <v>0.48466981132075471</v>
      </c>
      <c r="CH67" s="1433"/>
      <c r="CI67" s="1426">
        <f>CI65/(CI66*CE49)</f>
        <v>0.62264150943396235</v>
      </c>
      <c r="CJ67" s="1433"/>
      <c r="CK67" s="1426">
        <f>CK65/(CK66*CE49)</f>
        <v>0.79245283018867929</v>
      </c>
      <c r="CL67" s="1433"/>
      <c r="CM67" s="1426">
        <f>CM65/(CM66*CE49)</f>
        <v>0.96226415094339623</v>
      </c>
      <c r="CN67" s="1406"/>
      <c r="CO67" s="1033">
        <f>Möblierungsschablone!$M$51</f>
        <v>8.82</v>
      </c>
      <c r="CP67" s="1406"/>
      <c r="CQ67" s="1033">
        <f>Möblierungsschablone!$O$51</f>
        <v>8.82</v>
      </c>
      <c r="CS67" s="1435" t="s">
        <v>1367</v>
      </c>
      <c r="CT67" s="1433"/>
      <c r="CU67" s="1426">
        <f>CU65/(CU66*CU49)</f>
        <v>0.81576026637069932</v>
      </c>
      <c r="CV67" s="1433"/>
      <c r="CW67" s="1426">
        <f>CW65/(CW66*CU49)</f>
        <v>0.88235294117647056</v>
      </c>
      <c r="CX67" s="1433"/>
      <c r="CY67" s="1426">
        <f>CY65/(CY66*CU49)</f>
        <v>0.58601553829078801</v>
      </c>
      <c r="CZ67" s="1433"/>
      <c r="DA67" s="1426">
        <f>DA65/(DA66*CU49)</f>
        <v>0.74583795782463935</v>
      </c>
      <c r="DB67" s="1433"/>
      <c r="DC67" s="1426">
        <f>DC65/(DC66*CU49)</f>
        <v>0.90566037735849048</v>
      </c>
      <c r="DD67" s="1406"/>
      <c r="DE67" s="1033">
        <f>Möblierungsschablone!$M$51</f>
        <v>8.82</v>
      </c>
      <c r="DF67" s="1406"/>
      <c r="DG67" s="1033">
        <f>Möblierungsschablone!$O$51</f>
        <v>8.82</v>
      </c>
      <c r="DI67" s="1435" t="s">
        <v>1367</v>
      </c>
      <c r="DJ67" s="1433"/>
      <c r="DK67" s="1426">
        <f>DK65/(DK66*DK49)</f>
        <v>0.75643224699828482</v>
      </c>
      <c r="DL67" s="1433"/>
      <c r="DM67" s="1426">
        <f>DM65/(DM66*DK49)</f>
        <v>0.81818181818181812</v>
      </c>
      <c r="DN67" s="1433"/>
      <c r="DO67" s="1426">
        <f>DO65/(DO66*DK49)</f>
        <v>0.54339622641509433</v>
      </c>
      <c r="DP67" s="1433"/>
      <c r="DQ67" s="1426">
        <f>DQ65/(DQ66*DK49)</f>
        <v>0.69159519725557461</v>
      </c>
      <c r="DR67" s="1433"/>
      <c r="DS67" s="1426">
        <f>DS65/(DS66*DK49)</f>
        <v>0.83979416809605478</v>
      </c>
      <c r="DT67" s="1406"/>
      <c r="DU67" s="1033">
        <f>Möblierungsschablone!$M$51</f>
        <v>8.82</v>
      </c>
      <c r="DV67" s="1406"/>
      <c r="DW67" s="1033">
        <f>Möblierungsschablone!$O$51</f>
        <v>8.82</v>
      </c>
      <c r="DY67" s="1435" t="s">
        <v>1367</v>
      </c>
      <c r="DZ67" s="1433"/>
      <c r="EA67" s="1426">
        <f>EA65/(EA66*EA49)</f>
        <v>0.71730644111906317</v>
      </c>
      <c r="EB67" s="1433"/>
      <c r="EC67" s="1426">
        <f>EC65/(EC66*EA49)</f>
        <v>0.77586206896551724</v>
      </c>
      <c r="ED67" s="1433"/>
      <c r="EE67" s="1426">
        <f>EE65/(EE66*EA49)</f>
        <v>0.51528952504879633</v>
      </c>
      <c r="EF67" s="1433"/>
      <c r="EG67" s="1426">
        <f>EG65/(EG66*EA49)</f>
        <v>0.65582303188028634</v>
      </c>
      <c r="EH67" s="1433"/>
      <c r="EI67" s="1426">
        <f>EI65/(EI66*EA49)</f>
        <v>0.79635653871177614</v>
      </c>
      <c r="EJ67" s="1406"/>
      <c r="EK67" s="1033">
        <f>Möblierungsschablone!$M$51</f>
        <v>8.82</v>
      </c>
      <c r="EL67" s="1406"/>
      <c r="EM67" s="1033">
        <f>Möblierungsschablone!$O$51</f>
        <v>8.82</v>
      </c>
    </row>
    <row r="68" spans="1:143" ht="15.75" customHeight="1">
      <c r="A68" s="1436"/>
      <c r="B68" s="1404"/>
      <c r="C68" s="1033"/>
      <c r="D68" s="1404"/>
      <c r="E68" s="1033"/>
      <c r="F68" s="1404"/>
      <c r="G68" s="1033"/>
      <c r="H68" s="1404"/>
      <c r="I68" s="1033"/>
      <c r="J68" s="1404"/>
      <c r="K68" s="1033"/>
      <c r="L68" s="1404"/>
      <c r="M68" s="1033"/>
      <c r="N68" s="1404"/>
      <c r="O68" s="1033"/>
      <c r="Q68" s="1436"/>
      <c r="R68" s="1433"/>
      <c r="S68" s="1427"/>
      <c r="T68" s="1433"/>
      <c r="U68" s="1427"/>
      <c r="V68" s="1406"/>
      <c r="W68" s="1033"/>
      <c r="X68" s="1406"/>
      <c r="Y68" s="1033"/>
      <c r="Z68" s="1406"/>
      <c r="AA68" s="1033"/>
      <c r="AB68" s="1406"/>
      <c r="AC68" s="1033"/>
      <c r="AD68" s="1406"/>
      <c r="AE68" s="1033"/>
      <c r="AG68" s="1436"/>
      <c r="AH68" s="1433"/>
      <c r="AI68" s="1427"/>
      <c r="AJ68" s="1433"/>
      <c r="AK68" s="1427"/>
      <c r="AL68" s="1433"/>
      <c r="AM68" s="1427"/>
      <c r="AN68" s="1406"/>
      <c r="AO68" s="1033"/>
      <c r="AP68" s="1406"/>
      <c r="AQ68" s="1033"/>
      <c r="AR68" s="1406"/>
      <c r="AS68" s="1033"/>
      <c r="AT68" s="1406"/>
      <c r="AU68" s="1033"/>
      <c r="AW68" s="1436"/>
      <c r="AX68" s="1415"/>
      <c r="AY68" s="1427"/>
      <c r="AZ68" s="1415"/>
      <c r="BA68" s="1427"/>
      <c r="BB68" s="1415"/>
      <c r="BC68" s="1427"/>
      <c r="BD68" s="1406"/>
      <c r="BE68" s="1033"/>
      <c r="BF68" s="1406"/>
      <c r="BG68" s="1033"/>
      <c r="BH68" s="1406"/>
      <c r="BI68" s="1033"/>
      <c r="BJ68" s="1406"/>
      <c r="BK68" s="1033"/>
      <c r="BM68" s="1436"/>
      <c r="BN68" s="1433"/>
      <c r="BO68" s="1427"/>
      <c r="BP68" s="1433"/>
      <c r="BQ68" s="1427"/>
      <c r="BR68" s="1433"/>
      <c r="BS68" s="1427"/>
      <c r="BT68" s="1433"/>
      <c r="BU68" s="1427"/>
      <c r="BV68" s="1406"/>
      <c r="BW68" s="1033"/>
      <c r="BX68" s="1406"/>
      <c r="BY68" s="1033"/>
      <c r="BZ68" s="1406"/>
      <c r="CA68" s="1033"/>
      <c r="CC68" s="1436"/>
      <c r="CD68" s="1433"/>
      <c r="CE68" s="1427"/>
      <c r="CF68" s="1433"/>
      <c r="CG68" s="1427"/>
      <c r="CH68" s="1433"/>
      <c r="CI68" s="1427"/>
      <c r="CJ68" s="1433"/>
      <c r="CK68" s="1427"/>
      <c r="CL68" s="1433"/>
      <c r="CM68" s="1427"/>
      <c r="CN68" s="1406"/>
      <c r="CO68" s="1033"/>
      <c r="CP68" s="1406"/>
      <c r="CQ68" s="1033"/>
      <c r="CS68" s="1436"/>
      <c r="CT68" s="1433"/>
      <c r="CU68" s="1427"/>
      <c r="CV68" s="1433"/>
      <c r="CW68" s="1427"/>
      <c r="CX68" s="1433"/>
      <c r="CY68" s="1427"/>
      <c r="CZ68" s="1433"/>
      <c r="DA68" s="1427"/>
      <c r="DB68" s="1433"/>
      <c r="DC68" s="1427"/>
      <c r="DD68" s="1406"/>
      <c r="DE68" s="1033"/>
      <c r="DF68" s="1406"/>
      <c r="DG68" s="1033"/>
      <c r="DI68" s="1436"/>
      <c r="DJ68" s="1433"/>
      <c r="DK68" s="1427"/>
      <c r="DL68" s="1433"/>
      <c r="DM68" s="1427"/>
      <c r="DN68" s="1433"/>
      <c r="DO68" s="1427"/>
      <c r="DP68" s="1433"/>
      <c r="DQ68" s="1427"/>
      <c r="DR68" s="1433"/>
      <c r="DS68" s="1427"/>
      <c r="DT68" s="1406"/>
      <c r="DU68" s="1033"/>
      <c r="DV68" s="1406"/>
      <c r="DW68" s="1033"/>
      <c r="DY68" s="1436"/>
      <c r="DZ68" s="1433"/>
      <c r="EA68" s="1427"/>
      <c r="EB68" s="1433"/>
      <c r="EC68" s="1427"/>
      <c r="ED68" s="1433"/>
      <c r="EE68" s="1427"/>
      <c r="EF68" s="1433"/>
      <c r="EG68" s="1427"/>
      <c r="EH68" s="1433"/>
      <c r="EI68" s="1427"/>
      <c r="EJ68" s="1406"/>
      <c r="EK68" s="1033"/>
      <c r="EL68" s="1406"/>
      <c r="EM68" s="1033"/>
    </row>
    <row r="69" spans="1:143" ht="15.75" customHeight="1">
      <c r="A69" s="1436"/>
      <c r="B69" s="1404"/>
      <c r="C69" s="1034">
        <f>SUM(C67:C68)</f>
        <v>2.7</v>
      </c>
      <c r="D69" s="1404"/>
      <c r="E69" s="1034">
        <f>SUM(E67:E68)</f>
        <v>3.5999999999999996</v>
      </c>
      <c r="F69" s="1404"/>
      <c r="G69" s="1034">
        <f>SUM(G67:G68)</f>
        <v>4.32</v>
      </c>
      <c r="H69" s="1404"/>
      <c r="I69" s="1034">
        <f>SUM(I67:I68)</f>
        <v>5.76</v>
      </c>
      <c r="J69" s="1404"/>
      <c r="K69" s="1034">
        <f>SUM(K67:K68)</f>
        <v>7.1999999999999993</v>
      </c>
      <c r="L69" s="1404"/>
      <c r="M69" s="1034">
        <f>SUM(M67:M68)</f>
        <v>8.82</v>
      </c>
      <c r="N69" s="1404"/>
      <c r="O69" s="1034">
        <f>SUM(O67:O68)</f>
        <v>8.82</v>
      </c>
      <c r="Q69" s="1436"/>
      <c r="R69" s="1433"/>
      <c r="S69" s="1427"/>
      <c r="T69" s="1433"/>
      <c r="U69" s="1427"/>
      <c r="V69" s="1406"/>
      <c r="W69" s="1034">
        <f>SUM(W67:W68)</f>
        <v>4.32</v>
      </c>
      <c r="X69" s="1406"/>
      <c r="Y69" s="1034">
        <f>SUM(Y67:Y68)</f>
        <v>5.76</v>
      </c>
      <c r="Z69" s="1406"/>
      <c r="AA69" s="1034">
        <f>SUM(AA67:AA68)</f>
        <v>7.1999999999999993</v>
      </c>
      <c r="AB69" s="1406"/>
      <c r="AC69" s="1034">
        <f>SUM(AC67:AC68)</f>
        <v>8.82</v>
      </c>
      <c r="AD69" s="1406"/>
      <c r="AE69" s="1034">
        <f>SUM(AE67:AE68)</f>
        <v>8.82</v>
      </c>
      <c r="AG69" s="1436"/>
      <c r="AH69" s="1433"/>
      <c r="AI69" s="1427"/>
      <c r="AJ69" s="1433"/>
      <c r="AK69" s="1427"/>
      <c r="AL69" s="1433"/>
      <c r="AM69" s="1427"/>
      <c r="AN69" s="1406"/>
      <c r="AO69" s="1034">
        <f>SUM(AO67:AO68)</f>
        <v>5.76</v>
      </c>
      <c r="AP69" s="1406"/>
      <c r="AQ69" s="1034">
        <f>SUM(AQ67:AQ68)</f>
        <v>7.1999999999999993</v>
      </c>
      <c r="AR69" s="1406"/>
      <c r="AS69" s="1034">
        <f>SUM(AS67:AS68)</f>
        <v>8.82</v>
      </c>
      <c r="AT69" s="1406"/>
      <c r="AU69" s="1034">
        <f>SUM(AU67:AU68)</f>
        <v>8.82</v>
      </c>
      <c r="AW69" s="1436"/>
      <c r="AX69" s="1415"/>
      <c r="AY69" s="1427"/>
      <c r="AZ69" s="1415"/>
      <c r="BA69" s="1427"/>
      <c r="BB69" s="1415"/>
      <c r="BC69" s="1427"/>
      <c r="BD69" s="1406"/>
      <c r="BE69" s="1034">
        <f>SUM(BE67:BE68)</f>
        <v>5.76</v>
      </c>
      <c r="BF69" s="1406"/>
      <c r="BG69" s="1034">
        <f>SUM(BG67:BG68)</f>
        <v>7.1999999999999993</v>
      </c>
      <c r="BH69" s="1406"/>
      <c r="BI69" s="1034">
        <f>SUM(BI67:BI68)</f>
        <v>8.82</v>
      </c>
      <c r="BJ69" s="1406"/>
      <c r="BK69" s="1034">
        <f>SUM(BK67:BK68)</f>
        <v>8.82</v>
      </c>
      <c r="BM69" s="1436"/>
      <c r="BN69" s="1433"/>
      <c r="BO69" s="1427"/>
      <c r="BP69" s="1433"/>
      <c r="BQ69" s="1427"/>
      <c r="BR69" s="1433"/>
      <c r="BS69" s="1427"/>
      <c r="BT69" s="1433"/>
      <c r="BU69" s="1427"/>
      <c r="BV69" s="1406"/>
      <c r="BW69" s="1034">
        <f>SUM(BW67:BW68)</f>
        <v>7.1999999999999993</v>
      </c>
      <c r="BX69" s="1406"/>
      <c r="BY69" s="1034">
        <f>SUM(BY67:BY68)</f>
        <v>8.82</v>
      </c>
      <c r="BZ69" s="1406"/>
      <c r="CA69" s="1034">
        <f>SUM(CA67:CA68)</f>
        <v>8.82</v>
      </c>
      <c r="CC69" s="1436"/>
      <c r="CD69" s="1433"/>
      <c r="CE69" s="1427"/>
      <c r="CF69" s="1433"/>
      <c r="CG69" s="1427"/>
      <c r="CH69" s="1433"/>
      <c r="CI69" s="1427"/>
      <c r="CJ69" s="1433"/>
      <c r="CK69" s="1427"/>
      <c r="CL69" s="1433"/>
      <c r="CM69" s="1427"/>
      <c r="CN69" s="1406"/>
      <c r="CO69" s="1034">
        <f>SUM(CO67:CO68)</f>
        <v>8.82</v>
      </c>
      <c r="CP69" s="1406"/>
      <c r="CQ69" s="1034">
        <f>SUM(CQ67:CQ68)</f>
        <v>8.82</v>
      </c>
      <c r="CS69" s="1436"/>
      <c r="CT69" s="1433"/>
      <c r="CU69" s="1427"/>
      <c r="CV69" s="1433"/>
      <c r="CW69" s="1427"/>
      <c r="CX69" s="1433"/>
      <c r="CY69" s="1427"/>
      <c r="CZ69" s="1433"/>
      <c r="DA69" s="1427"/>
      <c r="DB69" s="1433"/>
      <c r="DC69" s="1427"/>
      <c r="DD69" s="1406"/>
      <c r="DE69" s="1034">
        <f>SUM(DE67:DE68)</f>
        <v>8.82</v>
      </c>
      <c r="DF69" s="1406"/>
      <c r="DG69" s="1034">
        <f>SUM(DG67:DG68)</f>
        <v>8.82</v>
      </c>
      <c r="DI69" s="1436"/>
      <c r="DJ69" s="1433"/>
      <c r="DK69" s="1427"/>
      <c r="DL69" s="1433"/>
      <c r="DM69" s="1427"/>
      <c r="DN69" s="1433"/>
      <c r="DO69" s="1427"/>
      <c r="DP69" s="1433"/>
      <c r="DQ69" s="1427"/>
      <c r="DR69" s="1433"/>
      <c r="DS69" s="1427"/>
      <c r="DT69" s="1406"/>
      <c r="DU69" s="1034">
        <f>SUM(DU67:DU68)</f>
        <v>8.82</v>
      </c>
      <c r="DV69" s="1406"/>
      <c r="DW69" s="1034">
        <f>SUM(DW67:DW68)</f>
        <v>8.82</v>
      </c>
      <c r="DY69" s="1436"/>
      <c r="DZ69" s="1433"/>
      <c r="EA69" s="1427"/>
      <c r="EB69" s="1433"/>
      <c r="EC69" s="1427"/>
      <c r="ED69" s="1433"/>
      <c r="EE69" s="1427"/>
      <c r="EF69" s="1433"/>
      <c r="EG69" s="1427"/>
      <c r="EH69" s="1433"/>
      <c r="EI69" s="1427"/>
      <c r="EJ69" s="1406"/>
      <c r="EK69" s="1034">
        <f>SUM(EK67:EK68)</f>
        <v>8.82</v>
      </c>
      <c r="EL69" s="1406"/>
      <c r="EM69" s="1034">
        <f>SUM(EM67:EM68)</f>
        <v>8.82</v>
      </c>
    </row>
    <row r="70" spans="1:143" ht="15.75" customHeight="1">
      <c r="A70" s="1436"/>
      <c r="B70" s="1404"/>
      <c r="C70" s="1032">
        <v>1</v>
      </c>
      <c r="D70" s="1404"/>
      <c r="E70" s="1032">
        <v>1</v>
      </c>
      <c r="F70" s="1404"/>
      <c r="G70" s="1032">
        <v>1</v>
      </c>
      <c r="H70" s="1404"/>
      <c r="I70" s="1032">
        <v>1</v>
      </c>
      <c r="J70" s="1404"/>
      <c r="K70" s="1032">
        <v>2</v>
      </c>
      <c r="L70" s="1404"/>
      <c r="M70" s="1032">
        <v>2</v>
      </c>
      <c r="N70" s="1404"/>
      <c r="O70" s="1032">
        <v>2</v>
      </c>
      <c r="Q70" s="1436"/>
      <c r="R70" s="1433"/>
      <c r="S70" s="1427"/>
      <c r="T70" s="1433"/>
      <c r="U70" s="1427"/>
      <c r="V70" s="1406"/>
      <c r="W70" s="1032">
        <v>1</v>
      </c>
      <c r="X70" s="1406"/>
      <c r="Y70" s="1032">
        <v>1</v>
      </c>
      <c r="Z70" s="1406"/>
      <c r="AA70" s="1032">
        <v>2</v>
      </c>
      <c r="AB70" s="1406"/>
      <c r="AC70" s="1032">
        <v>2</v>
      </c>
      <c r="AD70" s="1406"/>
      <c r="AE70" s="1032">
        <v>2</v>
      </c>
      <c r="AG70" s="1436"/>
      <c r="AH70" s="1433"/>
      <c r="AI70" s="1427"/>
      <c r="AJ70" s="1433"/>
      <c r="AK70" s="1427"/>
      <c r="AL70" s="1433"/>
      <c r="AM70" s="1427"/>
      <c r="AN70" s="1406"/>
      <c r="AO70" s="1032">
        <v>1</v>
      </c>
      <c r="AP70" s="1406"/>
      <c r="AQ70" s="1032">
        <v>1</v>
      </c>
      <c r="AR70" s="1406"/>
      <c r="AS70" s="1032">
        <v>2</v>
      </c>
      <c r="AT70" s="1406"/>
      <c r="AU70" s="1032">
        <v>2</v>
      </c>
      <c r="AW70" s="1436"/>
      <c r="AX70" s="1415"/>
      <c r="AY70" s="1427"/>
      <c r="AZ70" s="1415"/>
      <c r="BA70" s="1427"/>
      <c r="BB70" s="1415"/>
      <c r="BC70" s="1427"/>
      <c r="BD70" s="1406"/>
      <c r="BE70" s="1032">
        <v>1</v>
      </c>
      <c r="BF70" s="1406"/>
      <c r="BG70" s="1032">
        <v>1</v>
      </c>
      <c r="BH70" s="1406"/>
      <c r="BI70" s="1032">
        <v>1</v>
      </c>
      <c r="BJ70" s="1406"/>
      <c r="BK70" s="1032">
        <v>1</v>
      </c>
      <c r="BM70" s="1436"/>
      <c r="BN70" s="1433"/>
      <c r="BO70" s="1427"/>
      <c r="BP70" s="1433"/>
      <c r="BQ70" s="1427"/>
      <c r="BR70" s="1433"/>
      <c r="BS70" s="1427"/>
      <c r="BT70" s="1433"/>
      <c r="BU70" s="1427"/>
      <c r="BV70" s="1406"/>
      <c r="BW70" s="1032">
        <v>1</v>
      </c>
      <c r="BX70" s="1406"/>
      <c r="BY70" s="1032">
        <v>1</v>
      </c>
      <c r="BZ70" s="1406"/>
      <c r="CA70" s="1032">
        <v>1</v>
      </c>
      <c r="CC70" s="1436"/>
      <c r="CD70" s="1433"/>
      <c r="CE70" s="1427"/>
      <c r="CF70" s="1433"/>
      <c r="CG70" s="1427"/>
      <c r="CH70" s="1433"/>
      <c r="CI70" s="1427"/>
      <c r="CJ70" s="1433"/>
      <c r="CK70" s="1427"/>
      <c r="CL70" s="1433"/>
      <c r="CM70" s="1427"/>
      <c r="CN70" s="1406"/>
      <c r="CO70" s="1032">
        <v>1</v>
      </c>
      <c r="CP70" s="1406"/>
      <c r="CQ70" s="1032">
        <v>1</v>
      </c>
      <c r="CS70" s="1436"/>
      <c r="CT70" s="1433"/>
      <c r="CU70" s="1427"/>
      <c r="CV70" s="1433"/>
      <c r="CW70" s="1427"/>
      <c r="CX70" s="1433"/>
      <c r="CY70" s="1427"/>
      <c r="CZ70" s="1433"/>
      <c r="DA70" s="1427"/>
      <c r="DB70" s="1433"/>
      <c r="DC70" s="1427"/>
      <c r="DD70" s="1406"/>
      <c r="DE70" s="1032">
        <v>1</v>
      </c>
      <c r="DF70" s="1406"/>
      <c r="DG70" s="1032">
        <v>1</v>
      </c>
      <c r="DI70" s="1436"/>
      <c r="DJ70" s="1433"/>
      <c r="DK70" s="1427"/>
      <c r="DL70" s="1433"/>
      <c r="DM70" s="1427"/>
      <c r="DN70" s="1433"/>
      <c r="DO70" s="1427"/>
      <c r="DP70" s="1433"/>
      <c r="DQ70" s="1427"/>
      <c r="DR70" s="1433"/>
      <c r="DS70" s="1427"/>
      <c r="DT70" s="1406"/>
      <c r="DU70" s="1032">
        <v>1</v>
      </c>
      <c r="DV70" s="1406"/>
      <c r="DW70" s="1032">
        <v>1</v>
      </c>
      <c r="DY70" s="1436"/>
      <c r="DZ70" s="1433"/>
      <c r="EA70" s="1427"/>
      <c r="EB70" s="1433"/>
      <c r="EC70" s="1427"/>
      <c r="ED70" s="1433"/>
      <c r="EE70" s="1427"/>
      <c r="EF70" s="1433"/>
      <c r="EG70" s="1427"/>
      <c r="EH70" s="1433"/>
      <c r="EI70" s="1427"/>
      <c r="EJ70" s="1406"/>
      <c r="EK70" s="1032">
        <v>1</v>
      </c>
      <c r="EL70" s="1406"/>
      <c r="EM70" s="1032">
        <v>1</v>
      </c>
    </row>
    <row r="71" spans="1:143" ht="17.5" customHeight="1">
      <c r="A71" s="1436"/>
      <c r="B71" s="1404"/>
      <c r="C71" s="1030">
        <f>C69/(C70*C49)</f>
        <v>0.38447846208615166</v>
      </c>
      <c r="D71" s="1404"/>
      <c r="E71" s="1030">
        <f>E69/(E70*C49)</f>
        <v>0.51263794944820218</v>
      </c>
      <c r="F71" s="1404"/>
      <c r="G71" s="1030">
        <f>G69/(G70*C49)</f>
        <v>0.61516553933784268</v>
      </c>
      <c r="H71" s="1404"/>
      <c r="I71" s="1030">
        <f>I69/(I70*C49)</f>
        <v>0.82022071911712346</v>
      </c>
      <c r="J71" s="1404"/>
      <c r="K71" s="1030">
        <f>K69/(K70*C49)</f>
        <v>0.51263794944820218</v>
      </c>
      <c r="L71" s="1404"/>
      <c r="M71" s="1030">
        <f>M69/(M70*C49)</f>
        <v>0.62798148807404774</v>
      </c>
      <c r="N71" s="1404"/>
      <c r="O71" s="1030">
        <f>O69/(O70*C49)</f>
        <v>0.62798148807404774</v>
      </c>
      <c r="Q71" s="1436"/>
      <c r="R71" s="1434"/>
      <c r="S71" s="1428"/>
      <c r="T71" s="1434"/>
      <c r="U71" s="1428"/>
      <c r="V71" s="1406"/>
      <c r="W71" s="1030">
        <f>W69/(W70*S49)</f>
        <v>0.58221024258760123</v>
      </c>
      <c r="X71" s="1406"/>
      <c r="Y71" s="1030">
        <f>Y69/(Y70*S49)</f>
        <v>0.77628032345013487</v>
      </c>
      <c r="Z71" s="1406"/>
      <c r="AA71" s="1030">
        <f>AA69/(AA70*S49)</f>
        <v>0.48517520215633425</v>
      </c>
      <c r="AB71" s="1406"/>
      <c r="AC71" s="1030">
        <f>AC69/(AC70*S49)</f>
        <v>0.59433962264150952</v>
      </c>
      <c r="AD71" s="1406"/>
      <c r="AE71" s="1030">
        <f>AE69/(AE70*S49)</f>
        <v>0.59433962264150952</v>
      </c>
      <c r="AG71" s="1436"/>
      <c r="AH71" s="1434"/>
      <c r="AI71" s="1428"/>
      <c r="AJ71" s="1434"/>
      <c r="AK71" s="1428"/>
      <c r="AL71" s="1434"/>
      <c r="AM71" s="1428"/>
      <c r="AN71" s="1406"/>
      <c r="AO71" s="1030">
        <f>AO69/(AO70*AI49)</f>
        <v>0.65866209262435682</v>
      </c>
      <c r="AP71" s="1406"/>
      <c r="AQ71" s="1030">
        <f>AQ69/(AQ70*AI49)</f>
        <v>0.823327615780446</v>
      </c>
      <c r="AR71" s="1406"/>
      <c r="AS71" s="1030">
        <f>AS69/(AS70*AI49)</f>
        <v>0.50428816466552318</v>
      </c>
      <c r="AT71" s="1406"/>
      <c r="AU71" s="1030">
        <f>AU69/(AU70*AI49)</f>
        <v>0.50428816466552318</v>
      </c>
      <c r="AW71" s="1436"/>
      <c r="AX71" s="1416"/>
      <c r="AY71" s="1428"/>
      <c r="AZ71" s="1416"/>
      <c r="BA71" s="1428"/>
      <c r="BB71" s="1416"/>
      <c r="BC71" s="1428"/>
      <c r="BD71" s="1406"/>
      <c r="BE71" s="1030">
        <f>BE69/(BE70*AY49)</f>
        <v>0.57199602780536252</v>
      </c>
      <c r="BF71" s="1406"/>
      <c r="BG71" s="1030">
        <f>BG69/(BG70*AY49)</f>
        <v>0.71499503475670312</v>
      </c>
      <c r="BH71" s="1406"/>
      <c r="BI71" s="1030">
        <f>BI69/(BI70*AY49)</f>
        <v>0.87586891757696139</v>
      </c>
      <c r="BJ71" s="1406"/>
      <c r="BK71" s="1030">
        <f>BK69/(BK70*AY49)</f>
        <v>0.87586891757696139</v>
      </c>
      <c r="BM71" s="1436"/>
      <c r="BN71" s="1434"/>
      <c r="BO71" s="1428"/>
      <c r="BP71" s="1434"/>
      <c r="BQ71" s="1428"/>
      <c r="BR71" s="1434"/>
      <c r="BS71" s="1428"/>
      <c r="BT71" s="1434"/>
      <c r="BU71" s="1428"/>
      <c r="BV71" s="1406"/>
      <c r="BW71" s="1030">
        <f>BW69/(BW70*BO49)</f>
        <v>0.63185607722685388</v>
      </c>
      <c r="BX71" s="1406"/>
      <c r="BY71" s="1059">
        <f>BY69/(BY70*BO49)</f>
        <v>0.77402369460289611</v>
      </c>
      <c r="BZ71" s="1406"/>
      <c r="CA71" s="1059">
        <f>CA69/(CA70*BO49)</f>
        <v>0.77402369460289611</v>
      </c>
      <c r="CC71" s="1436"/>
      <c r="CD71" s="1434"/>
      <c r="CE71" s="1428"/>
      <c r="CF71" s="1434"/>
      <c r="CG71" s="1428"/>
      <c r="CH71" s="1434"/>
      <c r="CI71" s="1428"/>
      <c r="CJ71" s="1434"/>
      <c r="CK71" s="1428"/>
      <c r="CL71" s="1434"/>
      <c r="CM71" s="1428"/>
      <c r="CN71" s="1406"/>
      <c r="CO71" s="1059">
        <f>CO69/(CO70*CE49)</f>
        <v>0.69339622641509446</v>
      </c>
      <c r="CP71" s="1406"/>
      <c r="CQ71" s="1059">
        <f>CQ69/(CQ70*CE49)</f>
        <v>0.69339622641509446</v>
      </c>
      <c r="CS71" s="1436"/>
      <c r="CT71" s="1433"/>
      <c r="CU71" s="1427"/>
      <c r="CV71" s="1433"/>
      <c r="CW71" s="1427"/>
      <c r="CX71" s="1434"/>
      <c r="CY71" s="1428"/>
      <c r="CZ71" s="1434"/>
      <c r="DA71" s="1428"/>
      <c r="DB71" s="1434"/>
      <c r="DC71" s="1428"/>
      <c r="DD71" s="1406"/>
      <c r="DE71" s="1059">
        <f>DE69/(DE70*CU49)</f>
        <v>0.65260821309655948</v>
      </c>
      <c r="DF71" s="1406"/>
      <c r="DG71" s="1059">
        <f>DG69/(DG70*CU49)</f>
        <v>0.65260821309655948</v>
      </c>
      <c r="DI71" s="1436"/>
      <c r="DJ71" s="1433"/>
      <c r="DK71" s="1427"/>
      <c r="DL71" s="1433"/>
      <c r="DM71" s="1427"/>
      <c r="DN71" s="1434"/>
      <c r="DO71" s="1428"/>
      <c r="DP71" s="1434"/>
      <c r="DQ71" s="1428"/>
      <c r="DR71" s="1434"/>
      <c r="DS71" s="1428"/>
      <c r="DT71" s="1406"/>
      <c r="DU71" s="1059">
        <f>DU69/(DU70*DK49)</f>
        <v>0.60514579759862785</v>
      </c>
      <c r="DV71" s="1406"/>
      <c r="DW71" s="1059">
        <f>DW69/(DW70*DK49)</f>
        <v>0.60514579759862785</v>
      </c>
      <c r="DY71" s="1436"/>
      <c r="DZ71" s="1433"/>
      <c r="EA71" s="1427"/>
      <c r="EB71" s="1433"/>
      <c r="EC71" s="1427"/>
      <c r="ED71" s="1434"/>
      <c r="EE71" s="1428"/>
      <c r="EF71" s="1434"/>
      <c r="EG71" s="1428"/>
      <c r="EH71" s="1434"/>
      <c r="EI71" s="1428"/>
      <c r="EJ71" s="1406"/>
      <c r="EK71" s="1059">
        <f>EK69/(EK70*EA49)</f>
        <v>0.57384515289525051</v>
      </c>
      <c r="EL71" s="1406"/>
      <c r="EM71" s="1059">
        <f>EM69/(EM70*EA49)</f>
        <v>0.57384515289525051</v>
      </c>
    </row>
    <row r="72" spans="1:143" ht="15.75" customHeight="1">
      <c r="A72" s="1435" t="s">
        <v>1368</v>
      </c>
      <c r="B72" s="1404"/>
      <c r="C72" s="1033">
        <f>Möblierungsschablone!$C$56</f>
        <v>5.76</v>
      </c>
      <c r="D72" s="1404"/>
      <c r="E72" s="1033">
        <f>Möblierungsschablone!$E$56</f>
        <v>5.76</v>
      </c>
      <c r="F72" s="1404"/>
      <c r="G72" s="1033">
        <f>Möblierungsschablone!$G$56</f>
        <v>5.76</v>
      </c>
      <c r="H72" s="1404"/>
      <c r="I72" s="1033">
        <f>Möblierungsschablone!$I$56</f>
        <v>5.76</v>
      </c>
      <c r="J72" s="1404"/>
      <c r="K72" s="1033">
        <f>Möblierungsschablone!$K$61</f>
        <v>7.34</v>
      </c>
      <c r="L72" s="1404"/>
      <c r="M72" s="1033">
        <f>Möblierungsschablone!$M$61</f>
        <v>9.18</v>
      </c>
      <c r="N72" s="1404"/>
      <c r="O72" s="1033">
        <f>Möblierungsschablone!$O$61</f>
        <v>9.4199999999999982</v>
      </c>
      <c r="Q72" s="1435" t="s">
        <v>1368</v>
      </c>
      <c r="R72" s="1404"/>
      <c r="S72" s="1033">
        <f>Möblierungsschablone!$C$56</f>
        <v>5.76</v>
      </c>
      <c r="T72" s="1404"/>
      <c r="U72" s="1033">
        <f>Möblierungsschablone!$E$56</f>
        <v>5.76</v>
      </c>
      <c r="V72" s="1404"/>
      <c r="W72" s="1033">
        <f>Möblierungsschablone!$G$56</f>
        <v>5.76</v>
      </c>
      <c r="X72" s="1404"/>
      <c r="Y72" s="1033">
        <f>Möblierungsschablone!$I$56</f>
        <v>5.76</v>
      </c>
      <c r="Z72" s="1404"/>
      <c r="AA72" s="1033">
        <f>Möblierungsschablone!$K$61</f>
        <v>7.34</v>
      </c>
      <c r="AB72" s="1404"/>
      <c r="AC72" s="1033">
        <f>Möblierungsschablone!$M$61</f>
        <v>9.18</v>
      </c>
      <c r="AD72" s="1404"/>
      <c r="AE72" s="1033">
        <f>Möblierungsschablone!$O$61</f>
        <v>9.4199999999999982</v>
      </c>
      <c r="AG72" s="1435" t="s">
        <v>1368</v>
      </c>
      <c r="AH72" s="1404"/>
      <c r="AI72" s="1033">
        <f>Möblierungsschablone!$C$56</f>
        <v>5.76</v>
      </c>
      <c r="AJ72" s="1404"/>
      <c r="AK72" s="1033">
        <f>Möblierungsschablone!$E$56</f>
        <v>5.76</v>
      </c>
      <c r="AL72" s="1404"/>
      <c r="AM72" s="1033">
        <f>Möblierungsschablone!$G$56</f>
        <v>5.76</v>
      </c>
      <c r="AN72" s="1404"/>
      <c r="AO72" s="1033">
        <f>Möblierungsschablone!$I$56</f>
        <v>5.76</v>
      </c>
      <c r="AP72" s="1404"/>
      <c r="AQ72" s="1033">
        <f>Möblierungsschablone!$K$61</f>
        <v>7.34</v>
      </c>
      <c r="AR72" s="1404"/>
      <c r="AS72" s="1033">
        <f>Möblierungsschablone!$M$61</f>
        <v>9.18</v>
      </c>
      <c r="AT72" s="1404"/>
      <c r="AU72" s="1033">
        <f>Möblierungsschablone!$O$61</f>
        <v>9.4199999999999982</v>
      </c>
      <c r="AW72" s="1435" t="s">
        <v>1368</v>
      </c>
      <c r="AX72" s="1406"/>
      <c r="AY72" s="1033">
        <f>Möblierungsschablone!$C$56</f>
        <v>5.76</v>
      </c>
      <c r="AZ72" s="1406"/>
      <c r="BA72" s="1033">
        <f>Möblierungsschablone!$E$56</f>
        <v>5.76</v>
      </c>
      <c r="BB72" s="1406"/>
      <c r="BC72" s="1033">
        <f>Möblierungsschablone!$G$56</f>
        <v>5.76</v>
      </c>
      <c r="BD72" s="1406"/>
      <c r="BE72" s="1033">
        <f>Möblierungsschablone!$I$56</f>
        <v>5.76</v>
      </c>
      <c r="BF72" s="1406"/>
      <c r="BG72" s="1033">
        <f>Möblierungsschablone!$K$61</f>
        <v>7.34</v>
      </c>
      <c r="BH72" s="1406"/>
      <c r="BI72" s="1033">
        <f>Möblierungsschablone!$M$61</f>
        <v>9.18</v>
      </c>
      <c r="BJ72" s="1406"/>
      <c r="BK72" s="1033">
        <f>Möblierungsschablone!$O$61</f>
        <v>9.4199999999999982</v>
      </c>
      <c r="BM72" s="1435" t="s">
        <v>1368</v>
      </c>
      <c r="BN72" s="1208" t="s">
        <v>2177</v>
      </c>
      <c r="BO72" s="1033">
        <f>Möblierungsschablone!$G$56</f>
        <v>5.76</v>
      </c>
      <c r="BP72" s="1208" t="s">
        <v>2177</v>
      </c>
      <c r="BQ72" s="1033">
        <f>Möblierungsschablone!$G$56</f>
        <v>5.76</v>
      </c>
      <c r="BR72" s="1208" t="s">
        <v>2177</v>
      </c>
      <c r="BS72" s="1033">
        <f>Möblierungsschablone!$G$56</f>
        <v>5.76</v>
      </c>
      <c r="BT72" s="1404"/>
      <c r="BU72" s="1033">
        <f>Möblierungsschablone!$I$56</f>
        <v>5.76</v>
      </c>
      <c r="BV72" s="1404"/>
      <c r="BW72" s="1033">
        <f>Möblierungsschablone!$K$61</f>
        <v>7.34</v>
      </c>
      <c r="BX72" s="1404"/>
      <c r="BY72" s="1033">
        <f>Möblierungsschablone!$M$61</f>
        <v>9.18</v>
      </c>
      <c r="BZ72" s="1404"/>
      <c r="CA72" s="1033">
        <f>Möblierungsschablone!$O$61</f>
        <v>9.4199999999999982</v>
      </c>
      <c r="CC72" s="1435" t="s">
        <v>1368</v>
      </c>
      <c r="CD72" s="1208" t="s">
        <v>2177</v>
      </c>
      <c r="CE72" s="1033">
        <f>Möblierungsschablone!$G$56</f>
        <v>5.76</v>
      </c>
      <c r="CF72" s="1208" t="s">
        <v>2177</v>
      </c>
      <c r="CG72" s="1033">
        <f>Möblierungsschablone!$G$56</f>
        <v>5.76</v>
      </c>
      <c r="CH72" s="1208" t="s">
        <v>2177</v>
      </c>
      <c r="CI72" s="1033">
        <f>Möblierungsschablone!$G$56</f>
        <v>5.76</v>
      </c>
      <c r="CJ72" s="1404"/>
      <c r="CK72" s="1033">
        <f>Möblierungsschablone!$I$56</f>
        <v>5.76</v>
      </c>
      <c r="CL72" s="1404"/>
      <c r="CM72" s="1033">
        <f>Möblierungsschablone!$K$61</f>
        <v>7.34</v>
      </c>
      <c r="CN72" s="1404"/>
      <c r="CO72" s="1033">
        <f>Möblierungsschablone!$M$61</f>
        <v>9.18</v>
      </c>
      <c r="CP72" s="1404"/>
      <c r="CQ72" s="1033">
        <f>Möblierungsschablone!$O$61</f>
        <v>9.4199999999999982</v>
      </c>
      <c r="CS72" s="1435" t="s">
        <v>1368</v>
      </c>
      <c r="CT72" s="1433"/>
      <c r="CU72" s="1427"/>
      <c r="CV72" s="1433"/>
      <c r="CW72" s="1427"/>
      <c r="CX72" s="1208" t="s">
        <v>2177</v>
      </c>
      <c r="CY72" s="1033">
        <f>Möblierungsschablone!$G$56</f>
        <v>5.76</v>
      </c>
      <c r="CZ72" s="1404"/>
      <c r="DA72" s="1033">
        <f>Möblierungsschablone!$I$56</f>
        <v>5.76</v>
      </c>
      <c r="DB72" s="1404"/>
      <c r="DC72" s="1033">
        <f>Möblierungsschablone!$K$61</f>
        <v>7.34</v>
      </c>
      <c r="DD72" s="1404"/>
      <c r="DE72" s="1033">
        <f>Möblierungsschablone!$M$61</f>
        <v>9.18</v>
      </c>
      <c r="DF72" s="1404"/>
      <c r="DG72" s="1033">
        <f>Möblierungsschablone!$O$61</f>
        <v>9.4199999999999982</v>
      </c>
      <c r="DI72" s="1435" t="s">
        <v>1368</v>
      </c>
      <c r="DJ72" s="1433"/>
      <c r="DK72" s="1427"/>
      <c r="DL72" s="1433"/>
      <c r="DM72" s="1427"/>
      <c r="DN72" s="1208" t="s">
        <v>2177</v>
      </c>
      <c r="DO72" s="1033">
        <f>Möblierungsschablone!$G$56</f>
        <v>5.76</v>
      </c>
      <c r="DP72" s="1404"/>
      <c r="DQ72" s="1033">
        <f>Möblierungsschablone!$I$56</f>
        <v>5.76</v>
      </c>
      <c r="DR72" s="1404"/>
      <c r="DS72" s="1033">
        <f>Möblierungsschablone!$K$61</f>
        <v>7.34</v>
      </c>
      <c r="DT72" s="1404"/>
      <c r="DU72" s="1033">
        <f>Möblierungsschablone!$M$61</f>
        <v>9.18</v>
      </c>
      <c r="DV72" s="1404"/>
      <c r="DW72" s="1033">
        <f>Möblierungsschablone!$O$61</f>
        <v>9.4199999999999982</v>
      </c>
      <c r="DY72" s="1435" t="s">
        <v>1368</v>
      </c>
      <c r="DZ72" s="1433"/>
      <c r="EA72" s="1427"/>
      <c r="EB72" s="1433"/>
      <c r="EC72" s="1427"/>
      <c r="ED72" s="1208" t="s">
        <v>2177</v>
      </c>
      <c r="EE72" s="1033">
        <f>Möblierungsschablone!$G$56</f>
        <v>5.76</v>
      </c>
      <c r="EF72" s="1199" t="s">
        <v>2177</v>
      </c>
      <c r="EG72" s="1033">
        <f>Möblierungsschablone!$I$56</f>
        <v>5.76</v>
      </c>
      <c r="EH72" s="1404"/>
      <c r="EI72" s="1033">
        <f>Möblierungsschablone!$K$61</f>
        <v>7.34</v>
      </c>
      <c r="EJ72" s="1404"/>
      <c r="EK72" s="1033">
        <f>Möblierungsschablone!$M$61</f>
        <v>9.18</v>
      </c>
      <c r="EL72" s="1404"/>
      <c r="EM72" s="1033">
        <f>Möblierungsschablone!$O$61</f>
        <v>9.4199999999999982</v>
      </c>
    </row>
    <row r="73" spans="1:143" ht="15.75" customHeight="1">
      <c r="A73" s="1436"/>
      <c r="B73" s="1404"/>
      <c r="C73" s="1033"/>
      <c r="D73" s="1404"/>
      <c r="E73" s="1033"/>
      <c r="F73" s="1404"/>
      <c r="G73" s="1033"/>
      <c r="H73" s="1404"/>
      <c r="I73" s="1033"/>
      <c r="J73" s="1404"/>
      <c r="K73" s="1033"/>
      <c r="L73" s="1404"/>
      <c r="M73" s="1033"/>
      <c r="N73" s="1404"/>
      <c r="O73" s="1033"/>
      <c r="Q73" s="1436"/>
      <c r="R73" s="1404"/>
      <c r="S73" s="1033"/>
      <c r="T73" s="1404"/>
      <c r="U73" s="1033"/>
      <c r="V73" s="1404"/>
      <c r="W73" s="1033"/>
      <c r="X73" s="1404"/>
      <c r="Y73" s="1033"/>
      <c r="Z73" s="1404"/>
      <c r="AA73" s="1033"/>
      <c r="AB73" s="1404"/>
      <c r="AC73" s="1033"/>
      <c r="AD73" s="1404"/>
      <c r="AE73" s="1033"/>
      <c r="AG73" s="1436"/>
      <c r="AH73" s="1404"/>
      <c r="AI73" s="1033"/>
      <c r="AJ73" s="1404"/>
      <c r="AK73" s="1033"/>
      <c r="AL73" s="1404"/>
      <c r="AM73" s="1033"/>
      <c r="AN73" s="1404"/>
      <c r="AO73" s="1033"/>
      <c r="AP73" s="1404"/>
      <c r="AQ73" s="1033"/>
      <c r="AR73" s="1404"/>
      <c r="AS73" s="1033"/>
      <c r="AT73" s="1404"/>
      <c r="AU73" s="1033"/>
      <c r="AW73" s="1436"/>
      <c r="AX73" s="1406"/>
      <c r="AY73" s="1033"/>
      <c r="AZ73" s="1406"/>
      <c r="BA73" s="1033"/>
      <c r="BB73" s="1406"/>
      <c r="BC73" s="1033"/>
      <c r="BD73" s="1406"/>
      <c r="BE73" s="1033"/>
      <c r="BF73" s="1406"/>
      <c r="BG73" s="1033"/>
      <c r="BH73" s="1406"/>
      <c r="BI73" s="1033"/>
      <c r="BJ73" s="1406"/>
      <c r="BK73" s="1033"/>
      <c r="BM73" s="1436"/>
      <c r="BN73" s="1200" t="s">
        <v>2039</v>
      </c>
      <c r="BO73" s="1033">
        <f>Möblierungsschablone!$C$66</f>
        <v>4.08</v>
      </c>
      <c r="BP73" s="1200" t="s">
        <v>2039</v>
      </c>
      <c r="BQ73" s="1033">
        <f>Möblierungsschablone!$C$66</f>
        <v>4.08</v>
      </c>
      <c r="BR73" s="1200" t="s">
        <v>2039</v>
      </c>
      <c r="BS73" s="1033">
        <f>Möblierungsschablone!$C$66</f>
        <v>4.08</v>
      </c>
      <c r="BT73" s="1404"/>
      <c r="BU73" s="1033"/>
      <c r="BV73" s="1404"/>
      <c r="BW73" s="1033"/>
      <c r="BX73" s="1404"/>
      <c r="BY73" s="1033"/>
      <c r="BZ73" s="1404"/>
      <c r="CA73" s="1033"/>
      <c r="CC73" s="1436"/>
      <c r="CD73" s="1200" t="s">
        <v>2039</v>
      </c>
      <c r="CE73" s="1033">
        <f>Möblierungsschablone!$C$66</f>
        <v>4.08</v>
      </c>
      <c r="CF73" s="1200" t="s">
        <v>2039</v>
      </c>
      <c r="CG73" s="1033">
        <f>Möblierungsschablone!$C$66</f>
        <v>4.08</v>
      </c>
      <c r="CH73" s="1200" t="s">
        <v>2039</v>
      </c>
      <c r="CI73" s="1033">
        <f>Möblierungsschablone!$C$66</f>
        <v>4.08</v>
      </c>
      <c r="CJ73" s="1404"/>
      <c r="CK73" s="1033"/>
      <c r="CL73" s="1404"/>
      <c r="CM73" s="1033"/>
      <c r="CN73" s="1404"/>
      <c r="CO73" s="1033"/>
      <c r="CP73" s="1404"/>
      <c r="CQ73" s="1033"/>
      <c r="CS73" s="1436"/>
      <c r="CT73" s="1433"/>
      <c r="CU73" s="1427"/>
      <c r="CV73" s="1433"/>
      <c r="CW73" s="1427"/>
      <c r="CX73" s="1200" t="s">
        <v>2039</v>
      </c>
      <c r="CY73" s="1033">
        <f>Möblierungsschablone!$C$66</f>
        <v>4.08</v>
      </c>
      <c r="CZ73" s="1404"/>
      <c r="DA73" s="1033"/>
      <c r="DB73" s="1404"/>
      <c r="DC73" s="1033"/>
      <c r="DD73" s="1404"/>
      <c r="DE73" s="1033"/>
      <c r="DF73" s="1404"/>
      <c r="DG73" s="1033"/>
      <c r="DI73" s="1436"/>
      <c r="DJ73" s="1433"/>
      <c r="DK73" s="1427"/>
      <c r="DL73" s="1433"/>
      <c r="DM73" s="1427"/>
      <c r="DN73" s="1200" t="s">
        <v>2039</v>
      </c>
      <c r="DO73" s="1033">
        <f>Möblierungsschablone!$C$66</f>
        <v>4.08</v>
      </c>
      <c r="DP73" s="1404"/>
      <c r="DQ73" s="1033"/>
      <c r="DR73" s="1404"/>
      <c r="DS73" s="1033"/>
      <c r="DT73" s="1404"/>
      <c r="DU73" s="1033"/>
      <c r="DV73" s="1404"/>
      <c r="DW73" s="1033"/>
      <c r="DY73" s="1436"/>
      <c r="DZ73" s="1433"/>
      <c r="EA73" s="1427"/>
      <c r="EB73" s="1433"/>
      <c r="EC73" s="1427"/>
      <c r="ED73" s="1200" t="s">
        <v>2039</v>
      </c>
      <c r="EE73" s="1033">
        <f>Möblierungsschablone!$C$66</f>
        <v>4.08</v>
      </c>
      <c r="EF73" s="1200" t="s">
        <v>2040</v>
      </c>
      <c r="EG73" s="1033">
        <f>2*Möblierungsschablone!$C$66</f>
        <v>8.16</v>
      </c>
      <c r="EH73" s="1404"/>
      <c r="EI73" s="1033"/>
      <c r="EJ73" s="1404"/>
      <c r="EK73" s="1033"/>
      <c r="EL73" s="1404"/>
      <c r="EM73" s="1033"/>
    </row>
    <row r="74" spans="1:143" ht="15.75" customHeight="1">
      <c r="A74" s="1436"/>
      <c r="B74" s="1404"/>
      <c r="C74" s="1034">
        <f>SUM(C72:C73)</f>
        <v>5.76</v>
      </c>
      <c r="D74" s="1404"/>
      <c r="E74" s="1034">
        <f>SUM(E72:E73)</f>
        <v>5.76</v>
      </c>
      <c r="F74" s="1404"/>
      <c r="G74" s="1034">
        <f>SUM(G72:G73)</f>
        <v>5.76</v>
      </c>
      <c r="H74" s="1404"/>
      <c r="I74" s="1034">
        <f>SUM(I72:I73)</f>
        <v>5.76</v>
      </c>
      <c r="J74" s="1404"/>
      <c r="K74" s="1034">
        <f>SUM(K72:K73)</f>
        <v>7.34</v>
      </c>
      <c r="L74" s="1404"/>
      <c r="M74" s="1034">
        <f>SUM(M72:M73)</f>
        <v>9.18</v>
      </c>
      <c r="N74" s="1404"/>
      <c r="O74" s="1034">
        <f>SUM(O72:O73)</f>
        <v>9.4199999999999982</v>
      </c>
      <c r="Q74" s="1436"/>
      <c r="R74" s="1404"/>
      <c r="S74" s="1034">
        <f>SUM(S72:S73)</f>
        <v>5.76</v>
      </c>
      <c r="T74" s="1404"/>
      <c r="U74" s="1034">
        <f>SUM(U72:U73)</f>
        <v>5.76</v>
      </c>
      <c r="V74" s="1404"/>
      <c r="W74" s="1034">
        <f>SUM(W72:W73)</f>
        <v>5.76</v>
      </c>
      <c r="X74" s="1404"/>
      <c r="Y74" s="1034">
        <f>SUM(Y72:Y73)</f>
        <v>5.76</v>
      </c>
      <c r="Z74" s="1404"/>
      <c r="AA74" s="1034">
        <f>SUM(AA72:AA73)</f>
        <v>7.34</v>
      </c>
      <c r="AB74" s="1404"/>
      <c r="AC74" s="1034">
        <f>SUM(AC72:AC73)</f>
        <v>9.18</v>
      </c>
      <c r="AD74" s="1404"/>
      <c r="AE74" s="1034">
        <f>SUM(AE72:AE73)</f>
        <v>9.4199999999999982</v>
      </c>
      <c r="AG74" s="1436"/>
      <c r="AH74" s="1404"/>
      <c r="AI74" s="1034">
        <f>SUM(AI72:AI73)</f>
        <v>5.76</v>
      </c>
      <c r="AJ74" s="1404"/>
      <c r="AK74" s="1034">
        <f>SUM(AK72:AK73)</f>
        <v>5.76</v>
      </c>
      <c r="AL74" s="1404"/>
      <c r="AM74" s="1034">
        <f>SUM(AM72:AM73)</f>
        <v>5.76</v>
      </c>
      <c r="AN74" s="1404"/>
      <c r="AO74" s="1034">
        <f>SUM(AO72:AO73)</f>
        <v>5.76</v>
      </c>
      <c r="AP74" s="1404"/>
      <c r="AQ74" s="1034">
        <f>SUM(AQ72:AQ73)</f>
        <v>7.34</v>
      </c>
      <c r="AR74" s="1404"/>
      <c r="AS74" s="1034">
        <f>SUM(AS72:AS73)</f>
        <v>9.18</v>
      </c>
      <c r="AT74" s="1404"/>
      <c r="AU74" s="1034">
        <f>SUM(AU72:AU73)</f>
        <v>9.4199999999999982</v>
      </c>
      <c r="AW74" s="1436"/>
      <c r="AX74" s="1406"/>
      <c r="AY74" s="1034">
        <f>SUM(AY72:AY73)</f>
        <v>5.76</v>
      </c>
      <c r="AZ74" s="1406"/>
      <c r="BA74" s="1034">
        <f>SUM(BA72:BA73)</f>
        <v>5.76</v>
      </c>
      <c r="BB74" s="1406"/>
      <c r="BC74" s="1034">
        <f>SUM(BC72:BC73)</f>
        <v>5.76</v>
      </c>
      <c r="BD74" s="1406"/>
      <c r="BE74" s="1034">
        <f>SUM(BE72:BE73)</f>
        <v>5.76</v>
      </c>
      <c r="BF74" s="1406"/>
      <c r="BG74" s="1034">
        <f>SUM(BG72:BG73)</f>
        <v>7.34</v>
      </c>
      <c r="BH74" s="1406"/>
      <c r="BI74" s="1034">
        <f>SUM(BI72:BI73)</f>
        <v>9.18</v>
      </c>
      <c r="BJ74" s="1406"/>
      <c r="BK74" s="1034">
        <f>SUM(BK72:BK73)</f>
        <v>9.4199999999999982</v>
      </c>
      <c r="BM74" s="1436"/>
      <c r="BN74" s="1200"/>
      <c r="BO74" s="1033"/>
      <c r="BP74" s="1200"/>
      <c r="BQ74" s="1033"/>
      <c r="BR74" s="1200" t="s">
        <v>2037</v>
      </c>
      <c r="BS74" s="1033">
        <f>Möblierungsschablone!$I$66</f>
        <v>1.4400000000000002</v>
      </c>
      <c r="BT74" s="1404"/>
      <c r="BU74" s="1034">
        <f>SUM(BU72:BU73)</f>
        <v>5.76</v>
      </c>
      <c r="BV74" s="1404"/>
      <c r="BW74" s="1034">
        <f>SUM(BW72:BW73)</f>
        <v>7.34</v>
      </c>
      <c r="BX74" s="1404"/>
      <c r="BY74" s="1034">
        <f>SUM(BY72:BY73)</f>
        <v>9.18</v>
      </c>
      <c r="BZ74" s="1404"/>
      <c r="CA74" s="1034">
        <f>SUM(CA72:CA73)</f>
        <v>9.4199999999999982</v>
      </c>
      <c r="CC74" s="1436"/>
      <c r="CD74" s="1200"/>
      <c r="CE74" s="1033"/>
      <c r="CF74" s="1200"/>
      <c r="CG74" s="1033"/>
      <c r="CH74" s="1200" t="s">
        <v>2037</v>
      </c>
      <c r="CI74" s="1033">
        <f>Möblierungsschablone!$I$66</f>
        <v>1.4400000000000002</v>
      </c>
      <c r="CJ74" s="1404"/>
      <c r="CK74" s="1034">
        <f>SUM(CK72:CK73)</f>
        <v>5.76</v>
      </c>
      <c r="CL74" s="1404"/>
      <c r="CM74" s="1034">
        <f>SUM(CM72:CM73)</f>
        <v>7.34</v>
      </c>
      <c r="CN74" s="1404"/>
      <c r="CO74" s="1034">
        <f>SUM(CO72:CO73)</f>
        <v>9.18</v>
      </c>
      <c r="CP74" s="1404"/>
      <c r="CQ74" s="1034">
        <f>SUM(CQ72:CQ73)</f>
        <v>9.4199999999999982</v>
      </c>
      <c r="CS74" s="1436"/>
      <c r="CT74" s="1433"/>
      <c r="CU74" s="1427"/>
      <c r="CV74" s="1433"/>
      <c r="CW74" s="1427"/>
      <c r="CX74" s="1200" t="s">
        <v>2037</v>
      </c>
      <c r="CY74" s="1033">
        <f>Möblierungsschablone!$I$66</f>
        <v>1.4400000000000002</v>
      </c>
      <c r="CZ74" s="1404"/>
      <c r="DA74" s="1034">
        <f>SUM(DA72:DA73)</f>
        <v>5.76</v>
      </c>
      <c r="DB74" s="1404"/>
      <c r="DC74" s="1034">
        <f>SUM(DC72:DC73)</f>
        <v>7.34</v>
      </c>
      <c r="DD74" s="1404"/>
      <c r="DE74" s="1034">
        <f>SUM(DE72:DE73)</f>
        <v>9.18</v>
      </c>
      <c r="DF74" s="1404"/>
      <c r="DG74" s="1034">
        <f>SUM(DG72:DG73)</f>
        <v>9.4199999999999982</v>
      </c>
      <c r="DI74" s="1436"/>
      <c r="DJ74" s="1433"/>
      <c r="DK74" s="1427"/>
      <c r="DL74" s="1433"/>
      <c r="DM74" s="1427"/>
      <c r="DN74" s="1200" t="s">
        <v>2037</v>
      </c>
      <c r="DO74" s="1033">
        <f>Möblierungsschablone!$I$66</f>
        <v>1.4400000000000002</v>
      </c>
      <c r="DP74" s="1404"/>
      <c r="DQ74" s="1034">
        <f>SUM(DQ72:DQ73)</f>
        <v>5.76</v>
      </c>
      <c r="DR74" s="1404"/>
      <c r="DS74" s="1034">
        <f>SUM(DS72:DS73)</f>
        <v>7.34</v>
      </c>
      <c r="DT74" s="1404"/>
      <c r="DU74" s="1034">
        <f>SUM(DU72:DU73)</f>
        <v>9.18</v>
      </c>
      <c r="DV74" s="1404"/>
      <c r="DW74" s="1034">
        <f>SUM(DW72:DW73)</f>
        <v>9.4199999999999982</v>
      </c>
      <c r="DY74" s="1436"/>
      <c r="DZ74" s="1433"/>
      <c r="EA74" s="1427"/>
      <c r="EB74" s="1433"/>
      <c r="EC74" s="1427"/>
      <c r="ED74" s="1200" t="s">
        <v>2037</v>
      </c>
      <c r="EE74" s="1033">
        <f>Möblierungsschablone!$I$66</f>
        <v>1.4400000000000002</v>
      </c>
      <c r="EF74" s="1201" t="s">
        <v>2036</v>
      </c>
      <c r="EG74" s="1034">
        <f>SUM(EG72:EG73)</f>
        <v>13.92</v>
      </c>
      <c r="EH74" s="1404"/>
      <c r="EI74" s="1034">
        <f>SUM(EI72:EI73)</f>
        <v>7.34</v>
      </c>
      <c r="EJ74" s="1404"/>
      <c r="EK74" s="1034">
        <f>SUM(EK72:EK73)</f>
        <v>9.18</v>
      </c>
      <c r="EL74" s="1404"/>
      <c r="EM74" s="1034">
        <f>SUM(EM72:EM73)</f>
        <v>9.4199999999999982</v>
      </c>
    </row>
    <row r="75" spans="1:143" ht="15.75" customHeight="1">
      <c r="A75" s="1436"/>
      <c r="B75" s="1404"/>
      <c r="C75" s="1032">
        <v>1</v>
      </c>
      <c r="D75" s="1404"/>
      <c r="E75" s="1032">
        <v>1</v>
      </c>
      <c r="F75" s="1404"/>
      <c r="G75" s="1032">
        <v>1</v>
      </c>
      <c r="H75" s="1404"/>
      <c r="I75" s="1032">
        <v>1</v>
      </c>
      <c r="J75" s="1404"/>
      <c r="K75" s="1032">
        <v>2</v>
      </c>
      <c r="L75" s="1404"/>
      <c r="M75" s="1032">
        <v>2</v>
      </c>
      <c r="N75" s="1404"/>
      <c r="O75" s="1032">
        <v>2</v>
      </c>
      <c r="Q75" s="1436"/>
      <c r="R75" s="1404"/>
      <c r="S75" s="1032">
        <v>1</v>
      </c>
      <c r="T75" s="1404"/>
      <c r="U75" s="1032">
        <v>1</v>
      </c>
      <c r="V75" s="1404"/>
      <c r="W75" s="1032">
        <v>1</v>
      </c>
      <c r="X75" s="1404"/>
      <c r="Y75" s="1032">
        <v>1</v>
      </c>
      <c r="Z75" s="1404"/>
      <c r="AA75" s="1032">
        <v>1</v>
      </c>
      <c r="AB75" s="1404"/>
      <c r="AC75" s="1032">
        <v>2</v>
      </c>
      <c r="AD75" s="1404"/>
      <c r="AE75" s="1032">
        <v>2</v>
      </c>
      <c r="AG75" s="1436"/>
      <c r="AH75" s="1404"/>
      <c r="AI75" s="1032">
        <v>1</v>
      </c>
      <c r="AJ75" s="1404"/>
      <c r="AK75" s="1032">
        <v>1</v>
      </c>
      <c r="AL75" s="1404"/>
      <c r="AM75" s="1032">
        <v>1</v>
      </c>
      <c r="AN75" s="1404"/>
      <c r="AO75" s="1032">
        <v>1</v>
      </c>
      <c r="AP75" s="1404"/>
      <c r="AQ75" s="1032">
        <v>1</v>
      </c>
      <c r="AR75" s="1404"/>
      <c r="AS75" s="1032">
        <v>2</v>
      </c>
      <c r="AT75" s="1404"/>
      <c r="AU75" s="1032">
        <v>2</v>
      </c>
      <c r="AW75" s="1436"/>
      <c r="AX75" s="1406"/>
      <c r="AY75" s="1032">
        <v>1</v>
      </c>
      <c r="AZ75" s="1406"/>
      <c r="BA75" s="1032">
        <v>1</v>
      </c>
      <c r="BB75" s="1406"/>
      <c r="BC75" s="1032">
        <v>1</v>
      </c>
      <c r="BD75" s="1406"/>
      <c r="BE75" s="1032">
        <v>1</v>
      </c>
      <c r="BF75" s="1406"/>
      <c r="BG75" s="1032">
        <v>1</v>
      </c>
      <c r="BH75" s="1406"/>
      <c r="BI75" s="1032">
        <v>2</v>
      </c>
      <c r="BJ75" s="1406"/>
      <c r="BK75" s="1032">
        <v>2</v>
      </c>
      <c r="BM75" s="1436"/>
      <c r="BN75" s="1200"/>
      <c r="BO75" s="1209">
        <f>SUM(BO72:BO74)</f>
        <v>9.84</v>
      </c>
      <c r="BP75" s="1200"/>
      <c r="BQ75" s="1209">
        <f>SUM(BQ72:BQ74)</f>
        <v>9.84</v>
      </c>
      <c r="BR75" s="1200"/>
      <c r="BS75" s="1209">
        <f>SUM(BS72:BS74)</f>
        <v>11.28</v>
      </c>
      <c r="BT75" s="1404"/>
      <c r="BU75" s="1032">
        <v>1</v>
      </c>
      <c r="BV75" s="1404"/>
      <c r="BW75" s="1032">
        <v>1</v>
      </c>
      <c r="BX75" s="1404"/>
      <c r="BY75" s="1032">
        <v>1</v>
      </c>
      <c r="BZ75" s="1404"/>
      <c r="CA75" s="1032">
        <v>1</v>
      </c>
      <c r="CC75" s="1436"/>
      <c r="CD75" s="1200"/>
      <c r="CE75" s="1209">
        <f>SUM(CE72:CE74)</f>
        <v>9.84</v>
      </c>
      <c r="CF75" s="1200"/>
      <c r="CG75" s="1209">
        <f>SUM(CG72:CG74)</f>
        <v>9.84</v>
      </c>
      <c r="CH75" s="1200"/>
      <c r="CI75" s="1209">
        <f>SUM(CI72:CI74)</f>
        <v>11.28</v>
      </c>
      <c r="CJ75" s="1404"/>
      <c r="CK75" s="1032">
        <v>1</v>
      </c>
      <c r="CL75" s="1404"/>
      <c r="CM75" s="1032">
        <v>1</v>
      </c>
      <c r="CN75" s="1404"/>
      <c r="CO75" s="1032">
        <v>1</v>
      </c>
      <c r="CP75" s="1404"/>
      <c r="CQ75" s="1032">
        <v>1</v>
      </c>
      <c r="CS75" s="1436"/>
      <c r="CT75" s="1433"/>
      <c r="CU75" s="1427"/>
      <c r="CV75" s="1433"/>
      <c r="CW75" s="1427"/>
      <c r="CX75" s="1200"/>
      <c r="CY75" s="1209">
        <f>SUM(CY72:CY74)</f>
        <v>11.28</v>
      </c>
      <c r="CZ75" s="1404"/>
      <c r="DA75" s="1032">
        <v>1</v>
      </c>
      <c r="DB75" s="1404"/>
      <c r="DC75" s="1032">
        <v>1</v>
      </c>
      <c r="DD75" s="1404"/>
      <c r="DE75" s="1032">
        <v>1</v>
      </c>
      <c r="DF75" s="1404"/>
      <c r="DG75" s="1032">
        <v>1</v>
      </c>
      <c r="DI75" s="1436"/>
      <c r="DJ75" s="1433"/>
      <c r="DK75" s="1427"/>
      <c r="DL75" s="1433"/>
      <c r="DM75" s="1427"/>
      <c r="DN75" s="1200"/>
      <c r="DO75" s="1209">
        <f>SUM(DO72:DO74)</f>
        <v>11.28</v>
      </c>
      <c r="DP75" s="1404"/>
      <c r="DQ75" s="1032">
        <v>1</v>
      </c>
      <c r="DR75" s="1404"/>
      <c r="DS75" s="1032">
        <v>1</v>
      </c>
      <c r="DT75" s="1404"/>
      <c r="DU75" s="1032">
        <v>1</v>
      </c>
      <c r="DV75" s="1404"/>
      <c r="DW75" s="1032">
        <v>1</v>
      </c>
      <c r="DY75" s="1436"/>
      <c r="DZ75" s="1433"/>
      <c r="EA75" s="1427"/>
      <c r="EB75" s="1433"/>
      <c r="EC75" s="1427"/>
      <c r="ED75" s="1200"/>
      <c r="EE75" s="1209">
        <f>SUM(EE72:EE74)</f>
        <v>11.28</v>
      </c>
      <c r="EF75" s="1200" t="s">
        <v>1247</v>
      </c>
      <c r="EG75" s="1032">
        <v>1</v>
      </c>
      <c r="EH75" s="1404"/>
      <c r="EI75" s="1032">
        <v>1</v>
      </c>
      <c r="EJ75" s="1404"/>
      <c r="EK75" s="1032">
        <v>1</v>
      </c>
      <c r="EL75" s="1404"/>
      <c r="EM75" s="1032">
        <v>1</v>
      </c>
    </row>
    <row r="76" spans="1:143" ht="27.75" customHeight="1">
      <c r="A76" s="1436"/>
      <c r="B76" s="1404"/>
      <c r="C76" s="1030">
        <f>C74/(C75*C49)</f>
        <v>0.82022071911712346</v>
      </c>
      <c r="D76" s="1404"/>
      <c r="E76" s="1030">
        <f>E74/(E75*C49)</f>
        <v>0.82022071911712346</v>
      </c>
      <c r="F76" s="1404"/>
      <c r="G76" s="1030">
        <f>G74/(G75*C49)</f>
        <v>0.82022071911712346</v>
      </c>
      <c r="H76" s="1404"/>
      <c r="I76" s="1030">
        <f>I74/(I75*C49)</f>
        <v>0.82022071911712346</v>
      </c>
      <c r="J76" s="1404"/>
      <c r="K76" s="1030">
        <f>K74/(K75*C49)</f>
        <v>0.52260590957636166</v>
      </c>
      <c r="L76" s="1404"/>
      <c r="M76" s="1030">
        <f>M74/(M75*C49)</f>
        <v>0.65361338554645776</v>
      </c>
      <c r="N76" s="1404"/>
      <c r="O76" s="1030">
        <f>O74/(O75*C49)</f>
        <v>0.67070131719473114</v>
      </c>
      <c r="Q76" s="1436"/>
      <c r="R76" s="1404"/>
      <c r="S76" s="1030">
        <f>S74/(S75*S49)</f>
        <v>0.77628032345013487</v>
      </c>
      <c r="T76" s="1404"/>
      <c r="U76" s="1030">
        <f>U74/(U75*S49)</f>
        <v>0.77628032345013487</v>
      </c>
      <c r="V76" s="1404"/>
      <c r="W76" s="1030">
        <f>W74/(W75*S49)</f>
        <v>0.77628032345013487</v>
      </c>
      <c r="X76" s="1404"/>
      <c r="Y76" s="1030">
        <f>Y74/(Y75*S49)</f>
        <v>0.77628032345013487</v>
      </c>
      <c r="Z76" s="1404"/>
      <c r="AA76" s="1030">
        <f>AA74/(AA75*S49)</f>
        <v>0.9892183288409705</v>
      </c>
      <c r="AB76" s="1404"/>
      <c r="AC76" s="1030">
        <f>AC74/(AC75*S49)</f>
        <v>0.61859838274932621</v>
      </c>
      <c r="AD76" s="1404"/>
      <c r="AE76" s="1030">
        <f>AE74/(AE75*S49)</f>
        <v>0.63477088948787053</v>
      </c>
      <c r="AG76" s="1436"/>
      <c r="AH76" s="1404"/>
      <c r="AI76" s="1030">
        <f>AI74/(AI75*AI49)</f>
        <v>0.65866209262435682</v>
      </c>
      <c r="AJ76" s="1404"/>
      <c r="AK76" s="1030">
        <f>AK74/(AK75*AI49)</f>
        <v>0.65866209262435682</v>
      </c>
      <c r="AL76" s="1404"/>
      <c r="AM76" s="1030">
        <f>AM74/(AM75*AI49)</f>
        <v>0.65866209262435682</v>
      </c>
      <c r="AN76" s="1404"/>
      <c r="AO76" s="1030">
        <f>AO74/(AO75*AI49)</f>
        <v>0.65866209262435682</v>
      </c>
      <c r="AP76" s="1404"/>
      <c r="AQ76" s="1030">
        <f>AQ74/(AQ75*AI49)</f>
        <v>0.83933676386506584</v>
      </c>
      <c r="AR76" s="1404"/>
      <c r="AS76" s="1030">
        <f>AS74/(AS75*AI49)</f>
        <v>0.52487135506003435</v>
      </c>
      <c r="AT76" s="1404"/>
      <c r="AU76" s="1030">
        <f>AU74/(AU75*AI49)</f>
        <v>0.53859348198970836</v>
      </c>
      <c r="AW76" s="1436"/>
      <c r="AX76" s="1406"/>
      <c r="AY76" s="1030">
        <f>AY74/(AY75*AY49)</f>
        <v>0.57199602780536252</v>
      </c>
      <c r="AZ76" s="1406"/>
      <c r="BA76" s="1030">
        <f>BA74/(BA75*AY49)</f>
        <v>0.57199602780536252</v>
      </c>
      <c r="BB76" s="1406"/>
      <c r="BC76" s="1030">
        <f>BC74/(BC75*AY49)</f>
        <v>0.57199602780536252</v>
      </c>
      <c r="BD76" s="1406"/>
      <c r="BE76" s="1030">
        <f>BE74/(BE75*AY49)</f>
        <v>0.57199602780536252</v>
      </c>
      <c r="BF76" s="1406"/>
      <c r="BG76" s="1030">
        <f>BG74/(BG75*AY49)</f>
        <v>0.72889771598808351</v>
      </c>
      <c r="BH76" s="1406"/>
      <c r="BI76" s="1030">
        <f>BI74/(BI75*AY49)</f>
        <v>0.45580933465739826</v>
      </c>
      <c r="BJ76" s="1406"/>
      <c r="BK76" s="1030">
        <f>BK74/(BK75*AY49)</f>
        <v>0.46772591857000989</v>
      </c>
      <c r="BM76" s="1436"/>
      <c r="BN76" s="1201" t="s">
        <v>2036</v>
      </c>
      <c r="BO76" s="1032">
        <v>1</v>
      </c>
      <c r="BP76" s="1201" t="s">
        <v>2036</v>
      </c>
      <c r="BQ76" s="1032">
        <v>1</v>
      </c>
      <c r="BR76" s="1201" t="s">
        <v>2036</v>
      </c>
      <c r="BS76" s="1032">
        <v>1</v>
      </c>
      <c r="BT76" s="1404"/>
      <c r="BU76" s="1030">
        <f>BU74/(BU75*BO49)</f>
        <v>0.50548486178148311</v>
      </c>
      <c r="BV76" s="1404"/>
      <c r="BW76" s="1059">
        <f>BW74/(BW75*BO49)</f>
        <v>0.64414216761737608</v>
      </c>
      <c r="BX76" s="1404"/>
      <c r="BY76" s="1059">
        <f>BY74/(BY75*BO49)</f>
        <v>0.80561649846423866</v>
      </c>
      <c r="BZ76" s="1404"/>
      <c r="CA76" s="1059">
        <f>CA74/(CA75*BO49)</f>
        <v>0.8266783677051337</v>
      </c>
      <c r="CC76" s="1436"/>
      <c r="CD76" s="1201" t="s">
        <v>2036</v>
      </c>
      <c r="CE76" s="1032">
        <v>1</v>
      </c>
      <c r="CF76" s="1201" t="s">
        <v>2036</v>
      </c>
      <c r="CG76" s="1032">
        <v>1</v>
      </c>
      <c r="CH76" s="1201" t="s">
        <v>2036</v>
      </c>
      <c r="CI76" s="1032">
        <v>1</v>
      </c>
      <c r="CJ76" s="1404"/>
      <c r="CK76" s="1030">
        <f>CK74/(CK75*CE49)</f>
        <v>0.45283018867924529</v>
      </c>
      <c r="CL76" s="1404"/>
      <c r="CM76" s="1059">
        <f>CM74/(CM75*CE49)</f>
        <v>0.57704402515723274</v>
      </c>
      <c r="CN76" s="1404"/>
      <c r="CO76" s="1059">
        <f>CO74/(CO75*CE49)</f>
        <v>0.72169811320754718</v>
      </c>
      <c r="CP76" s="1404"/>
      <c r="CQ76" s="1059">
        <f>CQ74/(CQ75*CE49)</f>
        <v>0.74056603773584895</v>
      </c>
      <c r="CS76" s="1436"/>
      <c r="CT76" s="1434"/>
      <c r="CU76" s="1428"/>
      <c r="CV76" s="1434"/>
      <c r="CW76" s="1428"/>
      <c r="CX76" s="1201" t="s">
        <v>2036</v>
      </c>
      <c r="CY76" s="1032">
        <v>1</v>
      </c>
      <c r="CZ76" s="1404"/>
      <c r="DA76" s="1030">
        <f>DA74/(DA75*CU49)</f>
        <v>0.42619311875693677</v>
      </c>
      <c r="DB76" s="1404"/>
      <c r="DC76" s="1059">
        <f>DC74/(DC75*CU49)</f>
        <v>0.54310025897151315</v>
      </c>
      <c r="DD76" s="1404"/>
      <c r="DE76" s="1059">
        <f>DE74/(DE75*CU49)</f>
        <v>0.679245283018868</v>
      </c>
      <c r="DF76" s="1404"/>
      <c r="DG76" s="1059">
        <f>DG74/(DG75*CU49)</f>
        <v>0.69700332963374023</v>
      </c>
      <c r="DI76" s="1436"/>
      <c r="DJ76" s="1434"/>
      <c r="DK76" s="1428"/>
      <c r="DL76" s="1434"/>
      <c r="DM76" s="1428"/>
      <c r="DN76" s="1201" t="s">
        <v>2036</v>
      </c>
      <c r="DO76" s="1032">
        <v>1</v>
      </c>
      <c r="DP76" s="1404"/>
      <c r="DQ76" s="1030">
        <f>DQ74/(DQ75*DK49)</f>
        <v>0.39519725557461405</v>
      </c>
      <c r="DR76" s="1404"/>
      <c r="DS76" s="1059">
        <f>DS74/(DS75*DK49)</f>
        <v>0.50360205831903948</v>
      </c>
      <c r="DT76" s="1404"/>
      <c r="DU76" s="1059">
        <f>DU74/(DU75*DK49)</f>
        <v>0.6298456260720412</v>
      </c>
      <c r="DV76" s="1404"/>
      <c r="DW76" s="1059">
        <f>DW74/(DW75*DK49)</f>
        <v>0.64631217838764998</v>
      </c>
      <c r="DY76" s="1436"/>
      <c r="DZ76" s="1434"/>
      <c r="EA76" s="1428"/>
      <c r="EB76" s="1434"/>
      <c r="EC76" s="1428"/>
      <c r="ED76" s="1201" t="s">
        <v>2036</v>
      </c>
      <c r="EE76" s="1032">
        <v>1</v>
      </c>
      <c r="EF76" s="1433"/>
      <c r="EG76" s="1426">
        <f>EG74/(EG75*EA49)</f>
        <v>0.90566037735849059</v>
      </c>
      <c r="EH76" s="1404"/>
      <c r="EI76" s="1059">
        <f>EI74/(EI75*EA49)</f>
        <v>0.47755367599219262</v>
      </c>
      <c r="EJ76" s="1404"/>
      <c r="EK76" s="1059">
        <f>EK74/(EK75*EA49)</f>
        <v>0.59726740403383216</v>
      </c>
      <c r="EL76" s="1404"/>
      <c r="EM76" s="1059">
        <f>EM74/(EM75*EA49)</f>
        <v>0.61288223812621978</v>
      </c>
    </row>
    <row r="77" spans="1:143" ht="15.75" customHeight="1">
      <c r="A77" s="1435" t="s">
        <v>1369</v>
      </c>
      <c r="B77" s="1404"/>
      <c r="C77" s="1033">
        <f>Möblierungsschablone!$C$66</f>
        <v>4.08</v>
      </c>
      <c r="D77" s="1404"/>
      <c r="E77" s="1033">
        <f>Möblierungsschablone!$C$66</f>
        <v>4.08</v>
      </c>
      <c r="F77" s="1404"/>
      <c r="G77" s="1033">
        <f>Möblierungsschablone!$C$66</f>
        <v>4.08</v>
      </c>
      <c r="H77" s="1404"/>
      <c r="I77" s="1033">
        <f>2*Möblierungsschablone!$C$66</f>
        <v>8.16</v>
      </c>
      <c r="J77" s="1404"/>
      <c r="K77" s="1033">
        <f>2*Möblierungsschablone!$C$66</f>
        <v>8.16</v>
      </c>
      <c r="L77" s="1404"/>
      <c r="M77" s="1033">
        <f>Möblierungsschablone!$C$66</f>
        <v>4.08</v>
      </c>
      <c r="N77" s="1404"/>
      <c r="O77" s="1033">
        <f>Möblierungsschablone!$C$66</f>
        <v>4.08</v>
      </c>
      <c r="Q77" s="1435" t="s">
        <v>1369</v>
      </c>
      <c r="R77" s="1199" t="s">
        <v>2039</v>
      </c>
      <c r="S77" s="1033">
        <f>Möblierungsschablone!$C$66</f>
        <v>4.08</v>
      </c>
      <c r="T77" s="1199" t="s">
        <v>2039</v>
      </c>
      <c r="U77" s="1033">
        <f>Möblierungsschablone!$C$66</f>
        <v>4.08</v>
      </c>
      <c r="V77" s="1199" t="s">
        <v>2039</v>
      </c>
      <c r="W77" s="1033">
        <f>Möblierungsschablone!$C$66</f>
        <v>4.08</v>
      </c>
      <c r="X77" s="1199" t="s">
        <v>2040</v>
      </c>
      <c r="Y77" s="1033">
        <f>2*Möblierungsschablone!$C$66</f>
        <v>8.16</v>
      </c>
      <c r="Z77" s="1199" t="s">
        <v>2040</v>
      </c>
      <c r="AA77" s="1033">
        <f>2*Möblierungsschablone!$C$66</f>
        <v>8.16</v>
      </c>
      <c r="AB77" s="1199" t="s">
        <v>2039</v>
      </c>
      <c r="AC77" s="1033">
        <f>Möblierungsschablone!$C$66</f>
        <v>4.08</v>
      </c>
      <c r="AD77" s="1199" t="s">
        <v>2039</v>
      </c>
      <c r="AE77" s="1033">
        <f>Möblierungsschablone!$C$66</f>
        <v>4.08</v>
      </c>
      <c r="AG77" s="1435" t="s">
        <v>1369</v>
      </c>
      <c r="AH77" s="1199" t="s">
        <v>2039</v>
      </c>
      <c r="AI77" s="1033">
        <f>Möblierungsschablone!$C$66</f>
        <v>4.08</v>
      </c>
      <c r="AJ77" s="1199" t="s">
        <v>2039</v>
      </c>
      <c r="AK77" s="1033">
        <f>Möblierungsschablone!$C$66</f>
        <v>4.08</v>
      </c>
      <c r="AL77" s="1199" t="s">
        <v>2039</v>
      </c>
      <c r="AM77" s="1033">
        <f>Möblierungsschablone!$C$66</f>
        <v>4.08</v>
      </c>
      <c r="AN77" s="1199" t="s">
        <v>2040</v>
      </c>
      <c r="AO77" s="1033">
        <f>2*Möblierungsschablone!$C$66</f>
        <v>8.16</v>
      </c>
      <c r="AP77" s="1199" t="s">
        <v>2040</v>
      </c>
      <c r="AQ77" s="1033">
        <f>2*Möblierungsschablone!$C$66</f>
        <v>8.16</v>
      </c>
      <c r="AR77" s="1199" t="s">
        <v>2039</v>
      </c>
      <c r="AS77" s="1033">
        <f>Möblierungsschablone!$C$66</f>
        <v>4.08</v>
      </c>
      <c r="AT77" s="1199" t="s">
        <v>2039</v>
      </c>
      <c r="AU77" s="1033">
        <f>Möblierungsschablone!$C$66</f>
        <v>4.08</v>
      </c>
      <c r="AW77" s="1435" t="s">
        <v>1369</v>
      </c>
      <c r="AX77" s="1404"/>
      <c r="AY77" s="1033">
        <f>Möblierungsschablone!$C$66</f>
        <v>4.08</v>
      </c>
      <c r="AZ77" s="1404"/>
      <c r="BA77" s="1033">
        <f>Möblierungsschablone!$C$66</f>
        <v>4.08</v>
      </c>
      <c r="BB77" s="1404"/>
      <c r="BC77" s="1033">
        <f>Möblierungsschablone!$C$66</f>
        <v>4.08</v>
      </c>
      <c r="BD77" s="1404"/>
      <c r="BE77" s="1033">
        <f>2*Möblierungsschablone!$C$66</f>
        <v>8.16</v>
      </c>
      <c r="BF77" s="1404"/>
      <c r="BG77" s="1033">
        <f>2*Möblierungsschablone!$C$66</f>
        <v>8.16</v>
      </c>
      <c r="BH77" s="1404"/>
      <c r="BI77" s="1033">
        <f>Möblierungsschablone!$C$66</f>
        <v>4.08</v>
      </c>
      <c r="BJ77" s="1404"/>
      <c r="BK77" s="1033">
        <f>Möblierungsschablone!$C$66</f>
        <v>4.08</v>
      </c>
      <c r="BM77" s="1435" t="s">
        <v>1369</v>
      </c>
      <c r="BN77" s="1200" t="s">
        <v>1247</v>
      </c>
      <c r="BO77" s="1426">
        <f>BO75/(BO76*BO49)</f>
        <v>0.86353663887670029</v>
      </c>
      <c r="BP77" s="1200" t="s">
        <v>1247</v>
      </c>
      <c r="BQ77" s="1426">
        <f>BQ75/(BQ76*BO49)</f>
        <v>0.86353663887670029</v>
      </c>
      <c r="BR77" s="1200" t="s">
        <v>1247</v>
      </c>
      <c r="BS77" s="1426">
        <f>BS75/(BS76*BO49)</f>
        <v>0.98990785432207107</v>
      </c>
      <c r="BT77" s="1199" t="s">
        <v>2040</v>
      </c>
      <c r="BU77" s="1033">
        <f>2*Möblierungsschablone!$C$66</f>
        <v>8.16</v>
      </c>
      <c r="BV77" s="1199" t="s">
        <v>2040</v>
      </c>
      <c r="BW77" s="1033">
        <f>2*Möblierungsschablone!$C$66</f>
        <v>8.16</v>
      </c>
      <c r="BX77" s="1199" t="s">
        <v>2039</v>
      </c>
      <c r="BY77" s="1033">
        <f>Möblierungsschablone!$C$66</f>
        <v>4.08</v>
      </c>
      <c r="BZ77" s="1199" t="s">
        <v>2039</v>
      </c>
      <c r="CA77" s="1033">
        <f>Möblierungsschablone!$C$66</f>
        <v>4.08</v>
      </c>
      <c r="CC77" s="1435" t="s">
        <v>1369</v>
      </c>
      <c r="CD77" s="1200" t="s">
        <v>1247</v>
      </c>
      <c r="CE77" s="1426">
        <f>CE75/(CE76*CE49)</f>
        <v>0.77358490566037741</v>
      </c>
      <c r="CF77" s="1200" t="s">
        <v>1247</v>
      </c>
      <c r="CG77" s="1426">
        <f>CG75/(CG76*CE49)</f>
        <v>0.77358490566037741</v>
      </c>
      <c r="CH77" s="1200" t="s">
        <v>1247</v>
      </c>
      <c r="CI77" s="1426">
        <f>CI75/(CI76*CE49)</f>
        <v>0.8867924528301887</v>
      </c>
      <c r="CJ77" s="1199" t="s">
        <v>2040</v>
      </c>
      <c r="CK77" s="1033">
        <f>2*Möblierungsschablone!$C$66</f>
        <v>8.16</v>
      </c>
      <c r="CL77" s="1199" t="s">
        <v>2040</v>
      </c>
      <c r="CM77" s="1033">
        <f>2*Möblierungsschablone!$C$66</f>
        <v>8.16</v>
      </c>
      <c r="CN77" s="1199" t="s">
        <v>2039</v>
      </c>
      <c r="CO77" s="1033">
        <f>Möblierungsschablone!$C$66</f>
        <v>4.08</v>
      </c>
      <c r="CP77" s="1199" t="s">
        <v>2039</v>
      </c>
      <c r="CQ77" s="1033">
        <f>Möblierungsschablone!$C$66</f>
        <v>4.08</v>
      </c>
      <c r="CS77" s="1435" t="s">
        <v>1369</v>
      </c>
      <c r="CT77" s="1199" t="s">
        <v>2039</v>
      </c>
      <c r="CU77" s="1033">
        <f>Möblierungsschablone!$C$66</f>
        <v>4.08</v>
      </c>
      <c r="CV77" s="1199" t="s">
        <v>2039</v>
      </c>
      <c r="CW77" s="1033">
        <f>Möblierungsschablone!$C$66</f>
        <v>4.08</v>
      </c>
      <c r="CX77" s="1200" t="s">
        <v>1247</v>
      </c>
      <c r="CY77" s="1426">
        <f>CY75/(CY76*CU49)</f>
        <v>0.83462819089900109</v>
      </c>
      <c r="CZ77" s="1199" t="s">
        <v>2040</v>
      </c>
      <c r="DA77" s="1033">
        <f>2*Möblierungsschablone!$C$66</f>
        <v>8.16</v>
      </c>
      <c r="DB77" s="1199" t="s">
        <v>2040</v>
      </c>
      <c r="DC77" s="1033">
        <f>2*Möblierungsschablone!$C$66</f>
        <v>8.16</v>
      </c>
      <c r="DD77" s="1199" t="s">
        <v>2039</v>
      </c>
      <c r="DE77" s="1033">
        <f>Möblierungsschablone!$C$66</f>
        <v>4.08</v>
      </c>
      <c r="DF77" s="1199" t="s">
        <v>2039</v>
      </c>
      <c r="DG77" s="1033">
        <f>Möblierungsschablone!$C$66</f>
        <v>4.08</v>
      </c>
      <c r="DI77" s="1435" t="s">
        <v>1369</v>
      </c>
      <c r="DJ77" s="1199" t="s">
        <v>2039</v>
      </c>
      <c r="DK77" s="1033">
        <f>Möblierungsschablone!$C$66</f>
        <v>4.08</v>
      </c>
      <c r="DL77" s="1199" t="s">
        <v>2039</v>
      </c>
      <c r="DM77" s="1033">
        <f>Möblierungsschablone!$C$66</f>
        <v>4.08</v>
      </c>
      <c r="DN77" s="1200" t="s">
        <v>1247</v>
      </c>
      <c r="DO77" s="1426">
        <f>DO75/(DO76*DK49)</f>
        <v>0.7739279588336192</v>
      </c>
      <c r="DP77" s="1199" t="s">
        <v>2040</v>
      </c>
      <c r="DQ77" s="1033">
        <f>2*Möblierungsschablone!$C$66</f>
        <v>8.16</v>
      </c>
      <c r="DR77" s="1199" t="s">
        <v>2040</v>
      </c>
      <c r="DS77" s="1033">
        <f>2*Möblierungsschablone!$C$66</f>
        <v>8.16</v>
      </c>
      <c r="DT77" s="1199" t="s">
        <v>2039</v>
      </c>
      <c r="DU77" s="1033">
        <f>Möblierungsschablone!$C$66</f>
        <v>4.08</v>
      </c>
      <c r="DV77" s="1199" t="s">
        <v>2039</v>
      </c>
      <c r="DW77" s="1033">
        <f>Möblierungsschablone!$C$66</f>
        <v>4.08</v>
      </c>
      <c r="DY77" s="1435" t="s">
        <v>1369</v>
      </c>
      <c r="DZ77" s="1199" t="s">
        <v>2039</v>
      </c>
      <c r="EA77" s="1033">
        <f>Möblierungsschablone!$C$66</f>
        <v>4.08</v>
      </c>
      <c r="EB77" s="1199" t="s">
        <v>2039</v>
      </c>
      <c r="EC77" s="1033">
        <f>Möblierungsschablone!$C$66</f>
        <v>4.08</v>
      </c>
      <c r="ED77" s="1200" t="s">
        <v>1247</v>
      </c>
      <c r="EE77" s="1426">
        <f>EE75/(EE76*EA49)</f>
        <v>0.73389720234222511</v>
      </c>
      <c r="EF77" s="1433"/>
      <c r="EG77" s="1427"/>
      <c r="EH77" s="1199" t="s">
        <v>2040</v>
      </c>
      <c r="EI77" s="1033">
        <f>2*Möblierungsschablone!$C$66</f>
        <v>8.16</v>
      </c>
      <c r="EJ77" s="1199" t="s">
        <v>2039</v>
      </c>
      <c r="EK77" s="1033">
        <f>Möblierungsschablone!$C$66</f>
        <v>4.08</v>
      </c>
      <c r="EL77" s="1199" t="s">
        <v>2039</v>
      </c>
      <c r="EM77" s="1033">
        <f>Möblierungsschablone!$C$66</f>
        <v>4.08</v>
      </c>
    </row>
    <row r="78" spans="1:143" ht="15.75" customHeight="1">
      <c r="A78" s="1436"/>
      <c r="B78" s="1404"/>
      <c r="C78" s="1033"/>
      <c r="D78" s="1404"/>
      <c r="E78" s="1033"/>
      <c r="F78" s="1404"/>
      <c r="G78" s="1033">
        <f>Möblierungsschablone!$I$66</f>
        <v>1.4400000000000002</v>
      </c>
      <c r="H78" s="1404"/>
      <c r="I78" s="1033"/>
      <c r="J78" s="1404"/>
      <c r="K78" s="1033"/>
      <c r="L78" s="1404"/>
      <c r="M78" s="1033">
        <f>Möblierungsschablone!$G$66</f>
        <v>4.5</v>
      </c>
      <c r="N78" s="1404"/>
      <c r="O78" s="1033">
        <f>Möblierungsschablone!$G$66</f>
        <v>4.5</v>
      </c>
      <c r="Q78" s="1436"/>
      <c r="R78" s="1200"/>
      <c r="S78" s="1033"/>
      <c r="T78" s="1200"/>
      <c r="U78" s="1033"/>
      <c r="V78" s="1200" t="s">
        <v>2037</v>
      </c>
      <c r="W78" s="1033">
        <f>Möblierungsschablone!$I$66</f>
        <v>1.4400000000000002</v>
      </c>
      <c r="X78" s="1200"/>
      <c r="Y78" s="1033"/>
      <c r="Z78" s="1200"/>
      <c r="AA78" s="1033"/>
      <c r="AB78" s="1200" t="s">
        <v>2038</v>
      </c>
      <c r="AC78" s="1033">
        <f>Möblierungsschablone!$G$66</f>
        <v>4.5</v>
      </c>
      <c r="AD78" s="1200" t="s">
        <v>2038</v>
      </c>
      <c r="AE78" s="1033">
        <f>Möblierungsschablone!$G$66</f>
        <v>4.5</v>
      </c>
      <c r="AG78" s="1436"/>
      <c r="AH78" s="1200"/>
      <c r="AI78" s="1033"/>
      <c r="AJ78" s="1200"/>
      <c r="AK78" s="1033"/>
      <c r="AL78" s="1200" t="s">
        <v>2037</v>
      </c>
      <c r="AM78" s="1033">
        <f>Möblierungsschablone!$I$66</f>
        <v>1.4400000000000002</v>
      </c>
      <c r="AN78" s="1200"/>
      <c r="AO78" s="1033"/>
      <c r="AP78" s="1200"/>
      <c r="AQ78" s="1033"/>
      <c r="AR78" s="1200" t="s">
        <v>2038</v>
      </c>
      <c r="AS78" s="1033">
        <f>Möblierungsschablone!$G$66</f>
        <v>4.5</v>
      </c>
      <c r="AT78" s="1200" t="s">
        <v>2038</v>
      </c>
      <c r="AU78" s="1033">
        <f>Möblierungsschablone!$G$66</f>
        <v>4.5</v>
      </c>
      <c r="AW78" s="1436"/>
      <c r="AX78" s="1404"/>
      <c r="AY78" s="1033"/>
      <c r="AZ78" s="1404"/>
      <c r="BA78" s="1033"/>
      <c r="BB78" s="1404"/>
      <c r="BC78" s="1033">
        <f>Möblierungsschablone!$I$66</f>
        <v>1.4400000000000002</v>
      </c>
      <c r="BD78" s="1404"/>
      <c r="BE78" s="1033"/>
      <c r="BF78" s="1404"/>
      <c r="BG78" s="1033"/>
      <c r="BH78" s="1404"/>
      <c r="BI78" s="1033">
        <f>Möblierungsschablone!$G$66</f>
        <v>4.5</v>
      </c>
      <c r="BJ78" s="1404"/>
      <c r="BK78" s="1033">
        <f>Möblierungsschablone!$G$66</f>
        <v>4.5</v>
      </c>
      <c r="BM78" s="1436"/>
      <c r="BN78" s="1200"/>
      <c r="BO78" s="1427"/>
      <c r="BP78" s="1200"/>
      <c r="BQ78" s="1427"/>
      <c r="BR78" s="1200"/>
      <c r="BS78" s="1427"/>
      <c r="BT78" s="1200"/>
      <c r="BU78" s="1033"/>
      <c r="BV78" s="1200"/>
      <c r="BW78" s="1033"/>
      <c r="BX78" s="1200" t="s">
        <v>2038</v>
      </c>
      <c r="BY78" s="1033">
        <f>Möblierungsschablone!$G$66</f>
        <v>4.5</v>
      </c>
      <c r="BZ78" s="1200" t="s">
        <v>2038</v>
      </c>
      <c r="CA78" s="1033">
        <f>Möblierungsschablone!$G$66</f>
        <v>4.5</v>
      </c>
      <c r="CC78" s="1436"/>
      <c r="CD78" s="1200"/>
      <c r="CE78" s="1427"/>
      <c r="CF78" s="1200"/>
      <c r="CG78" s="1427"/>
      <c r="CH78" s="1200"/>
      <c r="CI78" s="1427"/>
      <c r="CJ78" s="1200"/>
      <c r="CK78" s="1033"/>
      <c r="CL78" s="1200"/>
      <c r="CM78" s="1033"/>
      <c r="CN78" s="1200" t="s">
        <v>2038</v>
      </c>
      <c r="CO78" s="1033">
        <f>Möblierungsschablone!$G$66</f>
        <v>4.5</v>
      </c>
      <c r="CP78" s="1200" t="s">
        <v>2038</v>
      </c>
      <c r="CQ78" s="1033">
        <f>Möblierungsschablone!$G$66</f>
        <v>4.5</v>
      </c>
      <c r="CS78" s="1436"/>
      <c r="CT78" s="1200"/>
      <c r="CU78" s="1033"/>
      <c r="CV78" s="1200"/>
      <c r="CW78" s="1033"/>
      <c r="CX78" s="1200"/>
      <c r="CY78" s="1427"/>
      <c r="CZ78" s="1200"/>
      <c r="DA78" s="1033"/>
      <c r="DB78" s="1200"/>
      <c r="DC78" s="1033"/>
      <c r="DD78" s="1200" t="s">
        <v>2038</v>
      </c>
      <c r="DE78" s="1033">
        <f>Möblierungsschablone!$G$66</f>
        <v>4.5</v>
      </c>
      <c r="DF78" s="1200" t="s">
        <v>2038</v>
      </c>
      <c r="DG78" s="1033">
        <f>Möblierungsschablone!$G$66</f>
        <v>4.5</v>
      </c>
      <c r="DI78" s="1436"/>
      <c r="DJ78" s="1200"/>
      <c r="DK78" s="1033"/>
      <c r="DL78" s="1200"/>
      <c r="DM78" s="1033"/>
      <c r="DN78" s="1200"/>
      <c r="DO78" s="1427"/>
      <c r="DP78" s="1200"/>
      <c r="DQ78" s="1033"/>
      <c r="DR78" s="1200"/>
      <c r="DS78" s="1033"/>
      <c r="DT78" s="1200" t="s">
        <v>2038</v>
      </c>
      <c r="DU78" s="1033">
        <f>Möblierungsschablone!$G$66</f>
        <v>4.5</v>
      </c>
      <c r="DV78" s="1200" t="s">
        <v>2038</v>
      </c>
      <c r="DW78" s="1033">
        <f>Möblierungsschablone!$G$66</f>
        <v>4.5</v>
      </c>
      <c r="DY78" s="1436"/>
      <c r="DZ78" s="1200"/>
      <c r="EA78" s="1033"/>
      <c r="EB78" s="1200"/>
      <c r="EC78" s="1033"/>
      <c r="ED78" s="1200"/>
      <c r="EE78" s="1427"/>
      <c r="EF78" s="1433"/>
      <c r="EG78" s="1427"/>
      <c r="EH78" s="1200"/>
      <c r="EI78" s="1033"/>
      <c r="EJ78" s="1200" t="s">
        <v>2038</v>
      </c>
      <c r="EK78" s="1033">
        <f>Möblierungsschablone!$G$66</f>
        <v>4.5</v>
      </c>
      <c r="EL78" s="1200" t="s">
        <v>2038</v>
      </c>
      <c r="EM78" s="1033">
        <f>Möblierungsschablone!$G$66</f>
        <v>4.5</v>
      </c>
    </row>
    <row r="79" spans="1:143" ht="15.75" customHeight="1">
      <c r="A79" s="1436"/>
      <c r="B79" s="1404"/>
      <c r="C79" s="1033"/>
      <c r="D79" s="1404"/>
      <c r="E79" s="1033"/>
      <c r="F79" s="1404"/>
      <c r="G79" s="1033"/>
      <c r="H79" s="1404"/>
      <c r="I79" s="1033"/>
      <c r="J79" s="1404"/>
      <c r="K79" s="1033"/>
      <c r="L79" s="1404"/>
      <c r="M79" s="1033"/>
      <c r="N79" s="1404"/>
      <c r="O79" s="1033">
        <f>Möblierungsschablone!$I$66</f>
        <v>1.4400000000000002</v>
      </c>
      <c r="Q79" s="1436"/>
      <c r="R79" s="1200"/>
      <c r="S79" s="1033"/>
      <c r="T79" s="1200"/>
      <c r="U79" s="1033"/>
      <c r="V79" s="1200"/>
      <c r="W79" s="1033"/>
      <c r="X79" s="1200"/>
      <c r="Y79" s="1033"/>
      <c r="Z79" s="1200"/>
      <c r="AA79" s="1033"/>
      <c r="AB79" s="1200"/>
      <c r="AC79" s="1033"/>
      <c r="AD79" s="1200" t="s">
        <v>2037</v>
      </c>
      <c r="AE79" s="1033">
        <f>Möblierungsschablone!$I$66</f>
        <v>1.4400000000000002</v>
      </c>
      <c r="AG79" s="1436"/>
      <c r="AH79" s="1200"/>
      <c r="AI79" s="1033"/>
      <c r="AJ79" s="1200"/>
      <c r="AK79" s="1033"/>
      <c r="AL79" s="1200"/>
      <c r="AM79" s="1033"/>
      <c r="AN79" s="1200"/>
      <c r="AO79" s="1033"/>
      <c r="AP79" s="1200"/>
      <c r="AQ79" s="1033"/>
      <c r="AR79" s="1200"/>
      <c r="AS79" s="1033"/>
      <c r="AT79" s="1200" t="s">
        <v>2037</v>
      </c>
      <c r="AU79" s="1033">
        <f>Möblierungsschablone!$I$66</f>
        <v>1.4400000000000002</v>
      </c>
      <c r="AW79" s="1436"/>
      <c r="AX79" s="1404"/>
      <c r="AY79" s="1033"/>
      <c r="AZ79" s="1404"/>
      <c r="BA79" s="1033"/>
      <c r="BB79" s="1404"/>
      <c r="BC79" s="1033"/>
      <c r="BD79" s="1404"/>
      <c r="BE79" s="1033"/>
      <c r="BF79" s="1404"/>
      <c r="BG79" s="1033"/>
      <c r="BH79" s="1404"/>
      <c r="BI79" s="1033"/>
      <c r="BJ79" s="1404"/>
      <c r="BK79" s="1033">
        <f>Möblierungsschablone!$I$66</f>
        <v>1.4400000000000002</v>
      </c>
      <c r="BM79" s="1436"/>
      <c r="BN79" s="1200"/>
      <c r="BO79" s="1427"/>
      <c r="BP79" s="1200"/>
      <c r="BQ79" s="1427"/>
      <c r="BR79" s="1200"/>
      <c r="BS79" s="1427"/>
      <c r="BT79" s="1200"/>
      <c r="BU79" s="1033"/>
      <c r="BV79" s="1200"/>
      <c r="BW79" s="1033"/>
      <c r="BX79" s="1200"/>
      <c r="BY79" s="1033"/>
      <c r="BZ79" s="1200" t="s">
        <v>2037</v>
      </c>
      <c r="CA79" s="1033">
        <f>Möblierungsschablone!$I$66</f>
        <v>1.4400000000000002</v>
      </c>
      <c r="CC79" s="1436"/>
      <c r="CD79" s="1200"/>
      <c r="CE79" s="1427"/>
      <c r="CF79" s="1200"/>
      <c r="CG79" s="1427"/>
      <c r="CH79" s="1200"/>
      <c r="CI79" s="1427"/>
      <c r="CJ79" s="1200"/>
      <c r="CK79" s="1033"/>
      <c r="CL79" s="1200"/>
      <c r="CM79" s="1033"/>
      <c r="CN79" s="1200"/>
      <c r="CO79" s="1033"/>
      <c r="CP79" s="1200" t="s">
        <v>2037</v>
      </c>
      <c r="CQ79" s="1033">
        <f>Möblierungsschablone!$I$66</f>
        <v>1.4400000000000002</v>
      </c>
      <c r="CS79" s="1436"/>
      <c r="CT79" s="1200"/>
      <c r="CU79" s="1033"/>
      <c r="CV79" s="1200"/>
      <c r="CW79" s="1033"/>
      <c r="CX79" s="1200"/>
      <c r="CY79" s="1427"/>
      <c r="CZ79" s="1200"/>
      <c r="DA79" s="1033"/>
      <c r="DB79" s="1200"/>
      <c r="DC79" s="1033"/>
      <c r="DD79" s="1200"/>
      <c r="DE79" s="1033"/>
      <c r="DF79" s="1200" t="s">
        <v>2037</v>
      </c>
      <c r="DG79" s="1033">
        <f>Möblierungsschablone!$I$66</f>
        <v>1.4400000000000002</v>
      </c>
      <c r="DI79" s="1436"/>
      <c r="DJ79" s="1200"/>
      <c r="DK79" s="1033"/>
      <c r="DL79" s="1200"/>
      <c r="DM79" s="1033"/>
      <c r="DN79" s="1200"/>
      <c r="DO79" s="1427"/>
      <c r="DP79" s="1200"/>
      <c r="DQ79" s="1033"/>
      <c r="DR79" s="1200"/>
      <c r="DS79" s="1033"/>
      <c r="DT79" s="1200"/>
      <c r="DU79" s="1033"/>
      <c r="DV79" s="1200" t="s">
        <v>2037</v>
      </c>
      <c r="DW79" s="1033">
        <f>Möblierungsschablone!$I$66</f>
        <v>1.4400000000000002</v>
      </c>
      <c r="DY79" s="1436"/>
      <c r="DZ79" s="1200"/>
      <c r="EA79" s="1033"/>
      <c r="EB79" s="1200"/>
      <c r="EC79" s="1033"/>
      <c r="ED79" s="1200"/>
      <c r="EE79" s="1427"/>
      <c r="EF79" s="1433"/>
      <c r="EG79" s="1427"/>
      <c r="EH79" s="1200"/>
      <c r="EI79" s="1033"/>
      <c r="EJ79" s="1200"/>
      <c r="EK79" s="1033"/>
      <c r="EL79" s="1200" t="s">
        <v>2037</v>
      </c>
      <c r="EM79" s="1033">
        <f>Möblierungsschablone!$I$66</f>
        <v>1.4400000000000002</v>
      </c>
    </row>
    <row r="80" spans="1:143" ht="15.75" customHeight="1">
      <c r="A80" s="1436"/>
      <c r="B80" s="1404"/>
      <c r="C80" s="1034">
        <f>SUM(C77:C78)</f>
        <v>4.08</v>
      </c>
      <c r="D80" s="1404"/>
      <c r="E80" s="1034">
        <f>SUM(E77:E78)</f>
        <v>4.08</v>
      </c>
      <c r="F80" s="1404"/>
      <c r="G80" s="1034">
        <f>SUM(G77:G78)</f>
        <v>5.5200000000000005</v>
      </c>
      <c r="H80" s="1404"/>
      <c r="I80" s="1034">
        <f>SUM(I77:I78)</f>
        <v>8.16</v>
      </c>
      <c r="J80" s="1404"/>
      <c r="K80" s="1034">
        <f>SUM(K77:K78)</f>
        <v>8.16</v>
      </c>
      <c r="L80" s="1404"/>
      <c r="M80" s="1034">
        <f>SUM(M77:M78)</f>
        <v>8.58</v>
      </c>
      <c r="N80" s="1404"/>
      <c r="O80" s="1034">
        <f>SUM(O77:O79)</f>
        <v>10.02</v>
      </c>
      <c r="Q80" s="1436"/>
      <c r="R80" s="1201" t="s">
        <v>2036</v>
      </c>
      <c r="S80" s="1034">
        <f>SUM(S77:S78)</f>
        <v>4.08</v>
      </c>
      <c r="T80" s="1201" t="s">
        <v>2036</v>
      </c>
      <c r="U80" s="1034">
        <f>SUM(U77:U78)</f>
        <v>4.08</v>
      </c>
      <c r="V80" s="1201" t="s">
        <v>2036</v>
      </c>
      <c r="W80" s="1034">
        <f>SUM(W77:W78)</f>
        <v>5.5200000000000005</v>
      </c>
      <c r="X80" s="1201" t="s">
        <v>2036</v>
      </c>
      <c r="Y80" s="1034">
        <f>SUM(Y77:Y78)</f>
        <v>8.16</v>
      </c>
      <c r="Z80" s="1201" t="s">
        <v>2036</v>
      </c>
      <c r="AA80" s="1034">
        <f>SUM(AA77:AA78)</f>
        <v>8.16</v>
      </c>
      <c r="AB80" s="1201" t="s">
        <v>2036</v>
      </c>
      <c r="AC80" s="1034">
        <f>SUM(AC77:AC78)</f>
        <v>8.58</v>
      </c>
      <c r="AD80" s="1201" t="s">
        <v>2036</v>
      </c>
      <c r="AE80" s="1034">
        <f>SUM(AE77:AE79)</f>
        <v>10.02</v>
      </c>
      <c r="AG80" s="1436"/>
      <c r="AH80" s="1201" t="s">
        <v>2036</v>
      </c>
      <c r="AI80" s="1034">
        <f>SUM(AI77:AI78)</f>
        <v>4.08</v>
      </c>
      <c r="AJ80" s="1201" t="s">
        <v>2036</v>
      </c>
      <c r="AK80" s="1034">
        <f>SUM(AK77:AK78)</f>
        <v>4.08</v>
      </c>
      <c r="AL80" s="1201" t="s">
        <v>2036</v>
      </c>
      <c r="AM80" s="1034">
        <f>SUM(AM77:AM78)</f>
        <v>5.5200000000000005</v>
      </c>
      <c r="AN80" s="1201" t="s">
        <v>2036</v>
      </c>
      <c r="AO80" s="1034">
        <f>SUM(AO77:AO78)</f>
        <v>8.16</v>
      </c>
      <c r="AP80" s="1201" t="s">
        <v>2036</v>
      </c>
      <c r="AQ80" s="1034">
        <f>SUM(AQ77:AQ78)</f>
        <v>8.16</v>
      </c>
      <c r="AR80" s="1201" t="s">
        <v>2036</v>
      </c>
      <c r="AS80" s="1034">
        <f>SUM(AS77:AS78)</f>
        <v>8.58</v>
      </c>
      <c r="AT80" s="1201" t="s">
        <v>2036</v>
      </c>
      <c r="AU80" s="1034">
        <f>SUM(AU77:AU79)</f>
        <v>10.02</v>
      </c>
      <c r="AW80" s="1436"/>
      <c r="AX80" s="1404"/>
      <c r="AY80" s="1034">
        <f>SUM(AY77:AY78)</f>
        <v>4.08</v>
      </c>
      <c r="AZ80" s="1404"/>
      <c r="BA80" s="1034">
        <f>SUM(BA77:BA78)</f>
        <v>4.08</v>
      </c>
      <c r="BB80" s="1404"/>
      <c r="BC80" s="1034">
        <f>SUM(BC77:BC78)</f>
        <v>5.5200000000000005</v>
      </c>
      <c r="BD80" s="1404"/>
      <c r="BE80" s="1034">
        <f>SUM(BE77:BE78)</f>
        <v>8.16</v>
      </c>
      <c r="BF80" s="1404"/>
      <c r="BG80" s="1034">
        <f>SUM(BG77:BG78)</f>
        <v>8.16</v>
      </c>
      <c r="BH80" s="1404"/>
      <c r="BI80" s="1034">
        <f>SUM(BI77:BI78)</f>
        <v>8.58</v>
      </c>
      <c r="BJ80" s="1404"/>
      <c r="BK80" s="1034">
        <f>SUM(BK77:BK79)</f>
        <v>10.02</v>
      </c>
      <c r="BM80" s="1436"/>
      <c r="BN80" s="1201"/>
      <c r="BO80" s="1427"/>
      <c r="BP80" s="1201"/>
      <c r="BQ80" s="1427"/>
      <c r="BR80" s="1201"/>
      <c r="BS80" s="1427"/>
      <c r="BT80" s="1201" t="s">
        <v>2036</v>
      </c>
      <c r="BU80" s="1034">
        <f>SUM(BU77:BU78)</f>
        <v>8.16</v>
      </c>
      <c r="BV80" s="1201" t="s">
        <v>2036</v>
      </c>
      <c r="BW80" s="1034">
        <f>SUM(BW77:BW78)</f>
        <v>8.16</v>
      </c>
      <c r="BX80" s="1201" t="s">
        <v>2036</v>
      </c>
      <c r="BY80" s="1034">
        <f>SUM(BY77:BY78)</f>
        <v>8.58</v>
      </c>
      <c r="BZ80" s="1201" t="s">
        <v>2036</v>
      </c>
      <c r="CA80" s="1034">
        <f>SUM(CA77:CA79)</f>
        <v>10.02</v>
      </c>
      <c r="CC80" s="1436"/>
      <c r="CD80" s="1201"/>
      <c r="CE80" s="1427"/>
      <c r="CF80" s="1201"/>
      <c r="CG80" s="1427"/>
      <c r="CH80" s="1201"/>
      <c r="CI80" s="1427"/>
      <c r="CJ80" s="1201" t="s">
        <v>2036</v>
      </c>
      <c r="CK80" s="1034">
        <f>SUM(CK77:CK78)</f>
        <v>8.16</v>
      </c>
      <c r="CL80" s="1201" t="s">
        <v>2036</v>
      </c>
      <c r="CM80" s="1034">
        <f>SUM(CM77:CM78)</f>
        <v>8.16</v>
      </c>
      <c r="CN80" s="1201" t="s">
        <v>2036</v>
      </c>
      <c r="CO80" s="1034">
        <f>SUM(CO77:CO78)</f>
        <v>8.58</v>
      </c>
      <c r="CP80" s="1201" t="s">
        <v>2036</v>
      </c>
      <c r="CQ80" s="1034">
        <f>SUM(CQ77:CQ79)</f>
        <v>10.02</v>
      </c>
      <c r="CS80" s="1436"/>
      <c r="CT80" s="1201" t="s">
        <v>2036</v>
      </c>
      <c r="CU80" s="1034">
        <f>SUM(CU77:CU78)</f>
        <v>4.08</v>
      </c>
      <c r="CV80" s="1201" t="s">
        <v>2036</v>
      </c>
      <c r="CW80" s="1034">
        <f>SUM(CW77:CW78)</f>
        <v>4.08</v>
      </c>
      <c r="CX80" s="1201"/>
      <c r="CY80" s="1427"/>
      <c r="CZ80" s="1201" t="s">
        <v>2036</v>
      </c>
      <c r="DA80" s="1034">
        <f>SUM(DA77:DA78)</f>
        <v>8.16</v>
      </c>
      <c r="DB80" s="1201" t="s">
        <v>2036</v>
      </c>
      <c r="DC80" s="1034">
        <f>SUM(DC77:DC78)</f>
        <v>8.16</v>
      </c>
      <c r="DD80" s="1201" t="s">
        <v>2036</v>
      </c>
      <c r="DE80" s="1034">
        <f>SUM(DE77:DE78)</f>
        <v>8.58</v>
      </c>
      <c r="DF80" s="1201" t="s">
        <v>2036</v>
      </c>
      <c r="DG80" s="1034">
        <f>SUM(DG77:DG79)</f>
        <v>10.02</v>
      </c>
      <c r="DI80" s="1436"/>
      <c r="DJ80" s="1201" t="s">
        <v>2036</v>
      </c>
      <c r="DK80" s="1034">
        <f>SUM(DK77:DK78)</f>
        <v>4.08</v>
      </c>
      <c r="DL80" s="1201" t="s">
        <v>2036</v>
      </c>
      <c r="DM80" s="1034">
        <f>SUM(DM77:DM78)</f>
        <v>4.08</v>
      </c>
      <c r="DN80" s="1201"/>
      <c r="DO80" s="1427"/>
      <c r="DP80" s="1201" t="s">
        <v>2036</v>
      </c>
      <c r="DQ80" s="1034">
        <f>SUM(DQ77:DQ78)</f>
        <v>8.16</v>
      </c>
      <c r="DR80" s="1201" t="s">
        <v>2036</v>
      </c>
      <c r="DS80" s="1034">
        <f>SUM(DS77:DS78)</f>
        <v>8.16</v>
      </c>
      <c r="DT80" s="1201" t="s">
        <v>2036</v>
      </c>
      <c r="DU80" s="1034">
        <f>SUM(DU77:DU78)</f>
        <v>8.58</v>
      </c>
      <c r="DV80" s="1201" t="s">
        <v>2036</v>
      </c>
      <c r="DW80" s="1034">
        <f>SUM(DW77:DW79)</f>
        <v>10.02</v>
      </c>
      <c r="DY80" s="1436"/>
      <c r="DZ80" s="1201" t="s">
        <v>2036</v>
      </c>
      <c r="EA80" s="1034">
        <f>SUM(EA77:EA78)</f>
        <v>4.08</v>
      </c>
      <c r="EB80" s="1201" t="s">
        <v>2036</v>
      </c>
      <c r="EC80" s="1034">
        <f>SUM(EC77:EC78)</f>
        <v>4.08</v>
      </c>
      <c r="ED80" s="1201"/>
      <c r="EE80" s="1427"/>
      <c r="EF80" s="1433"/>
      <c r="EG80" s="1427"/>
      <c r="EH80" s="1201" t="s">
        <v>2036</v>
      </c>
      <c r="EI80" s="1034">
        <f>SUM(EI77:EI78)</f>
        <v>8.16</v>
      </c>
      <c r="EJ80" s="1201" t="s">
        <v>2036</v>
      </c>
      <c r="EK80" s="1034">
        <f>SUM(EK77:EK78)</f>
        <v>8.58</v>
      </c>
      <c r="EL80" s="1201" t="s">
        <v>2036</v>
      </c>
      <c r="EM80" s="1034">
        <f>SUM(EM77:EM79)</f>
        <v>10.02</v>
      </c>
    </row>
    <row r="81" spans="1:143" ht="15.75" customHeight="1">
      <c r="A81" s="1436"/>
      <c r="B81" s="1404"/>
      <c r="C81" s="1032">
        <v>1</v>
      </c>
      <c r="D81" s="1404"/>
      <c r="E81" s="1032">
        <v>1</v>
      </c>
      <c r="F81" s="1404"/>
      <c r="G81" s="1032">
        <v>1</v>
      </c>
      <c r="H81" s="1404"/>
      <c r="I81" s="1032">
        <v>2</v>
      </c>
      <c r="J81" s="1404"/>
      <c r="K81" s="1032">
        <v>2</v>
      </c>
      <c r="L81" s="1404"/>
      <c r="M81" s="1032">
        <v>2</v>
      </c>
      <c r="N81" s="1404"/>
      <c r="O81" s="1032">
        <v>2</v>
      </c>
      <c r="Q81" s="1436"/>
      <c r="R81" s="1200" t="s">
        <v>1247</v>
      </c>
      <c r="S81" s="1032">
        <v>1</v>
      </c>
      <c r="T81" s="1200" t="s">
        <v>1247</v>
      </c>
      <c r="U81" s="1032">
        <v>1</v>
      </c>
      <c r="V81" s="1200" t="s">
        <v>1247</v>
      </c>
      <c r="W81" s="1032">
        <v>1</v>
      </c>
      <c r="X81" s="1200" t="s">
        <v>1247</v>
      </c>
      <c r="Y81" s="1032">
        <v>2</v>
      </c>
      <c r="Z81" s="1200" t="s">
        <v>1247</v>
      </c>
      <c r="AA81" s="1032">
        <v>2</v>
      </c>
      <c r="AB81" s="1200" t="s">
        <v>1247</v>
      </c>
      <c r="AC81" s="1032">
        <v>2</v>
      </c>
      <c r="AD81" s="1200" t="s">
        <v>1247</v>
      </c>
      <c r="AE81" s="1032">
        <v>2</v>
      </c>
      <c r="AG81" s="1436"/>
      <c r="AH81" s="1200" t="s">
        <v>1247</v>
      </c>
      <c r="AI81" s="1032">
        <v>1</v>
      </c>
      <c r="AJ81" s="1200" t="s">
        <v>1247</v>
      </c>
      <c r="AK81" s="1032">
        <v>1</v>
      </c>
      <c r="AL81" s="1200" t="s">
        <v>1247</v>
      </c>
      <c r="AM81" s="1032">
        <v>1</v>
      </c>
      <c r="AN81" s="1200" t="s">
        <v>1247</v>
      </c>
      <c r="AO81" s="1032">
        <v>2</v>
      </c>
      <c r="AP81" s="1200" t="s">
        <v>1247</v>
      </c>
      <c r="AQ81" s="1032">
        <v>2</v>
      </c>
      <c r="AR81" s="1200" t="s">
        <v>1247</v>
      </c>
      <c r="AS81" s="1032">
        <v>2</v>
      </c>
      <c r="AT81" s="1200" t="s">
        <v>1247</v>
      </c>
      <c r="AU81" s="1032">
        <v>2</v>
      </c>
      <c r="AW81" s="1436"/>
      <c r="AX81" s="1404"/>
      <c r="AY81" s="1032">
        <v>1</v>
      </c>
      <c r="AZ81" s="1404"/>
      <c r="BA81" s="1032">
        <v>1</v>
      </c>
      <c r="BB81" s="1404"/>
      <c r="BC81" s="1032">
        <v>1</v>
      </c>
      <c r="BD81" s="1404"/>
      <c r="BE81" s="1032">
        <v>1</v>
      </c>
      <c r="BF81" s="1404"/>
      <c r="BG81" s="1032">
        <v>1</v>
      </c>
      <c r="BH81" s="1404"/>
      <c r="BI81" s="1032">
        <v>1</v>
      </c>
      <c r="BJ81" s="1404"/>
      <c r="BK81" s="1032">
        <v>2</v>
      </c>
      <c r="BM81" s="1436"/>
      <c r="BN81" s="1200"/>
      <c r="BO81" s="1427"/>
      <c r="BP81" s="1200"/>
      <c r="BQ81" s="1427"/>
      <c r="BR81" s="1200"/>
      <c r="BS81" s="1427"/>
      <c r="BT81" s="1200" t="s">
        <v>1247</v>
      </c>
      <c r="BU81" s="1032">
        <v>1</v>
      </c>
      <c r="BV81" s="1200" t="s">
        <v>1247</v>
      </c>
      <c r="BW81" s="1032">
        <v>1</v>
      </c>
      <c r="BX81" s="1200" t="s">
        <v>1247</v>
      </c>
      <c r="BY81" s="1032">
        <v>1</v>
      </c>
      <c r="BZ81" s="1200" t="s">
        <v>1247</v>
      </c>
      <c r="CA81" s="1032">
        <v>1</v>
      </c>
      <c r="CC81" s="1436"/>
      <c r="CD81" s="1200"/>
      <c r="CE81" s="1427"/>
      <c r="CF81" s="1200"/>
      <c r="CG81" s="1427"/>
      <c r="CH81" s="1200"/>
      <c r="CI81" s="1427"/>
      <c r="CJ81" s="1200" t="s">
        <v>1247</v>
      </c>
      <c r="CK81" s="1032">
        <v>1</v>
      </c>
      <c r="CL81" s="1200" t="s">
        <v>1247</v>
      </c>
      <c r="CM81" s="1032">
        <v>1</v>
      </c>
      <c r="CN81" s="1200" t="s">
        <v>1247</v>
      </c>
      <c r="CO81" s="1032">
        <v>1</v>
      </c>
      <c r="CP81" s="1200" t="s">
        <v>1247</v>
      </c>
      <c r="CQ81" s="1032">
        <v>1</v>
      </c>
      <c r="CS81" s="1436"/>
      <c r="CT81" s="1200" t="s">
        <v>1247</v>
      </c>
      <c r="CU81" s="1032">
        <v>1</v>
      </c>
      <c r="CV81" s="1200" t="s">
        <v>1247</v>
      </c>
      <c r="CW81" s="1032">
        <v>1</v>
      </c>
      <c r="CX81" s="1200"/>
      <c r="CY81" s="1427"/>
      <c r="CZ81" s="1200" t="s">
        <v>1247</v>
      </c>
      <c r="DA81" s="1032">
        <v>1</v>
      </c>
      <c r="DB81" s="1200" t="s">
        <v>1247</v>
      </c>
      <c r="DC81" s="1032">
        <v>1</v>
      </c>
      <c r="DD81" s="1200" t="s">
        <v>1247</v>
      </c>
      <c r="DE81" s="1032">
        <v>1</v>
      </c>
      <c r="DF81" s="1200" t="s">
        <v>1247</v>
      </c>
      <c r="DG81" s="1032">
        <v>1</v>
      </c>
      <c r="DI81" s="1436"/>
      <c r="DJ81" s="1200" t="s">
        <v>1247</v>
      </c>
      <c r="DK81" s="1032">
        <v>1</v>
      </c>
      <c r="DL81" s="1200" t="s">
        <v>1247</v>
      </c>
      <c r="DM81" s="1032">
        <v>1</v>
      </c>
      <c r="DN81" s="1200"/>
      <c r="DO81" s="1427"/>
      <c r="DP81" s="1200" t="s">
        <v>1247</v>
      </c>
      <c r="DQ81" s="1032">
        <v>1</v>
      </c>
      <c r="DR81" s="1200" t="s">
        <v>1247</v>
      </c>
      <c r="DS81" s="1032">
        <v>1</v>
      </c>
      <c r="DT81" s="1200" t="s">
        <v>1247</v>
      </c>
      <c r="DU81" s="1032">
        <v>1</v>
      </c>
      <c r="DV81" s="1200" t="s">
        <v>1247</v>
      </c>
      <c r="DW81" s="1032">
        <v>1</v>
      </c>
      <c r="DY81" s="1436"/>
      <c r="DZ81" s="1200" t="s">
        <v>1247</v>
      </c>
      <c r="EA81" s="1032">
        <v>1</v>
      </c>
      <c r="EB81" s="1200" t="s">
        <v>1247</v>
      </c>
      <c r="EC81" s="1032">
        <v>1</v>
      </c>
      <c r="ED81" s="1200"/>
      <c r="EE81" s="1427"/>
      <c r="EF81" s="1433"/>
      <c r="EG81" s="1427"/>
      <c r="EH81" s="1200" t="s">
        <v>1247</v>
      </c>
      <c r="EI81" s="1032">
        <v>1</v>
      </c>
      <c r="EJ81" s="1200" t="s">
        <v>1247</v>
      </c>
      <c r="EK81" s="1032">
        <v>1</v>
      </c>
      <c r="EL81" s="1200" t="s">
        <v>1247</v>
      </c>
      <c r="EM81" s="1032">
        <v>1</v>
      </c>
    </row>
    <row r="82" spans="1:143" ht="74.25" customHeight="1">
      <c r="A82" s="1436"/>
      <c r="B82" s="1404"/>
      <c r="C82" s="1030">
        <f>C80/(C81*C49)</f>
        <v>0.58098967604129581</v>
      </c>
      <c r="D82" s="1404"/>
      <c r="E82" s="1030">
        <f>E80/(E81*C49)</f>
        <v>0.58098967604129581</v>
      </c>
      <c r="F82" s="1404"/>
      <c r="G82" s="1030">
        <f>G80/(G81*C49)</f>
        <v>0.78604485582057682</v>
      </c>
      <c r="H82" s="1404"/>
      <c r="I82" s="1030">
        <f>I80/(I81*C49)</f>
        <v>0.58098967604129581</v>
      </c>
      <c r="J82" s="1404"/>
      <c r="K82" s="1030">
        <f>K80/(K81*C49)</f>
        <v>0.58098967604129581</v>
      </c>
      <c r="L82" s="1404"/>
      <c r="M82" s="1030">
        <f>M80/(M81*C49)</f>
        <v>0.61089355642577425</v>
      </c>
      <c r="N82" s="1404"/>
      <c r="O82" s="1030">
        <f>O80/(O81*C49)</f>
        <v>0.71342114631541476</v>
      </c>
      <c r="Q82" s="1436"/>
      <c r="R82" s="1202"/>
      <c r="S82" s="1030">
        <f>S80/(S81*S49)</f>
        <v>0.54986522911051217</v>
      </c>
      <c r="T82" s="1202"/>
      <c r="U82" s="1030">
        <f>U80/(U81*S49)</f>
        <v>0.54986522911051217</v>
      </c>
      <c r="V82" s="1202"/>
      <c r="W82" s="1030">
        <f>W80/(W81*S49)</f>
        <v>0.74393530997304602</v>
      </c>
      <c r="X82" s="1202"/>
      <c r="Y82" s="1030">
        <f>Y80/(Y81*S49)</f>
        <v>0.54986522911051217</v>
      </c>
      <c r="Z82" s="1202"/>
      <c r="AA82" s="1030">
        <f>AA80/(AA81*S49)</f>
        <v>0.54986522911051217</v>
      </c>
      <c r="AB82" s="1202"/>
      <c r="AC82" s="1030">
        <f>AC80/(AC81*S49)</f>
        <v>0.57816711590296499</v>
      </c>
      <c r="AD82" s="1202"/>
      <c r="AE82" s="1030">
        <f>AE80/(AE81*S49)</f>
        <v>0.67520215633423186</v>
      </c>
      <c r="AG82" s="1436"/>
      <c r="AH82" s="1202"/>
      <c r="AI82" s="1030">
        <f>AI80/(AI81*AI49)</f>
        <v>0.46655231560891941</v>
      </c>
      <c r="AJ82" s="1202"/>
      <c r="AK82" s="1030">
        <f>AK80/(AK81*AI49)</f>
        <v>0.46655231560891941</v>
      </c>
      <c r="AL82" s="1202"/>
      <c r="AM82" s="1030">
        <f>AM80/(AM81*AI49)</f>
        <v>0.6312178387650087</v>
      </c>
      <c r="AN82" s="1202"/>
      <c r="AO82" s="1030">
        <f>AO80/(AO81*AI49)</f>
        <v>0.46655231560891941</v>
      </c>
      <c r="AP82" s="1202"/>
      <c r="AQ82" s="1030">
        <f>AQ80/(AQ81*AI49)</f>
        <v>0.46655231560891941</v>
      </c>
      <c r="AR82" s="1202"/>
      <c r="AS82" s="1030">
        <f>AS80/(AS81*AI49)</f>
        <v>0.49056603773584911</v>
      </c>
      <c r="AT82" s="1202"/>
      <c r="AU82" s="1030">
        <f>AU80/(AU81*AI49)</f>
        <v>0.57289879931389365</v>
      </c>
      <c r="AW82" s="1436"/>
      <c r="AX82" s="1404"/>
      <c r="AY82" s="1030">
        <f>AY80/(AY81*AY49)</f>
        <v>0.40516385302879848</v>
      </c>
      <c r="AZ82" s="1404"/>
      <c r="BA82" s="1030">
        <f>BA80/(BA81*AY49)</f>
        <v>0.40516385302879848</v>
      </c>
      <c r="BB82" s="1404"/>
      <c r="BC82" s="1030">
        <f>BC80/(BC81*AY49)</f>
        <v>0.54816285998013914</v>
      </c>
      <c r="BD82" s="1404"/>
      <c r="BE82" s="1030">
        <f>BE80/(BE81*AY49)</f>
        <v>0.81032770605759696</v>
      </c>
      <c r="BF82" s="1404"/>
      <c r="BG82" s="1030">
        <f>BG80/(BG81*AY49)</f>
        <v>0.81032770605759696</v>
      </c>
      <c r="BH82" s="1404"/>
      <c r="BI82" s="1030">
        <f>BI80/(BI81*AY49)</f>
        <v>0.85203574975173801</v>
      </c>
      <c r="BJ82" s="1404"/>
      <c r="BK82" s="1030">
        <f>BK80/(BK81*AY49)</f>
        <v>0.49751737835153925</v>
      </c>
      <c r="BM82" s="1436"/>
      <c r="BN82" s="1202"/>
      <c r="BO82" s="1428"/>
      <c r="BP82" s="1202"/>
      <c r="BQ82" s="1428"/>
      <c r="BR82" s="1202"/>
      <c r="BS82" s="1428"/>
      <c r="BT82" s="1202"/>
      <c r="BU82" s="1030">
        <f>BU80/(BU81*BO49)</f>
        <v>0.71610355419043448</v>
      </c>
      <c r="BV82" s="1202"/>
      <c r="BW82" s="1059">
        <f>BW80/(BW81*BO49)</f>
        <v>0.71610355419043448</v>
      </c>
      <c r="BX82" s="1202"/>
      <c r="BY82" s="1059">
        <f>BY80/(BY81*BO49)</f>
        <v>0.75296182536200096</v>
      </c>
      <c r="BZ82" s="1202"/>
      <c r="CA82" s="1059">
        <f>CA80/(CA81*BO49)</f>
        <v>0.87933304080737162</v>
      </c>
      <c r="CC82" s="1436"/>
      <c r="CD82" s="1202"/>
      <c r="CE82" s="1428"/>
      <c r="CF82" s="1202"/>
      <c r="CG82" s="1428"/>
      <c r="CH82" s="1202"/>
      <c r="CI82" s="1428"/>
      <c r="CJ82" s="1202"/>
      <c r="CK82" s="1030">
        <f>CK80/(CK81*CE49)</f>
        <v>0.64150943396226423</v>
      </c>
      <c r="CL82" s="1202"/>
      <c r="CM82" s="1059">
        <f>CM80/(CM81*CE49)</f>
        <v>0.64150943396226423</v>
      </c>
      <c r="CN82" s="1202"/>
      <c r="CO82" s="1059">
        <f>CO80/(CO81*CE49)</f>
        <v>0.67452830188679247</v>
      </c>
      <c r="CP82" s="1202"/>
      <c r="CQ82" s="1059">
        <f>CQ80/(CQ81*CE49)</f>
        <v>0.78773584905660377</v>
      </c>
      <c r="CS82" s="1436"/>
      <c r="CT82" s="1202"/>
      <c r="CU82" s="1030">
        <f>CU80/(CU81*CU49)</f>
        <v>0.30188679245283023</v>
      </c>
      <c r="CV82" s="1202"/>
      <c r="CW82" s="1030">
        <f>CW80/(CW81*CU49)</f>
        <v>0.30188679245283023</v>
      </c>
      <c r="CX82" s="1202"/>
      <c r="CY82" s="1428"/>
      <c r="CZ82" s="1202"/>
      <c r="DA82" s="1030">
        <f>DA80/(DA81*CU49)</f>
        <v>0.60377358490566047</v>
      </c>
      <c r="DB82" s="1202"/>
      <c r="DC82" s="1059">
        <f>DC80/(DC81*CU49)</f>
        <v>0.60377358490566047</v>
      </c>
      <c r="DD82" s="1202"/>
      <c r="DE82" s="1059">
        <f>DE80/(DE81*CU49)</f>
        <v>0.63485016648168713</v>
      </c>
      <c r="DF82" s="1202"/>
      <c r="DG82" s="1059">
        <f>DG80/(DG81*CU49)</f>
        <v>0.74139844617092121</v>
      </c>
      <c r="DI82" s="1436"/>
      <c r="DJ82" s="1202"/>
      <c r="DK82" s="1030">
        <f>DK80/(DK81*DK49)</f>
        <v>0.27993138936535167</v>
      </c>
      <c r="DL82" s="1202"/>
      <c r="DM82" s="1030">
        <f>DM80/(DM81*DK49)</f>
        <v>0.27993138936535167</v>
      </c>
      <c r="DN82" s="1202"/>
      <c r="DO82" s="1428"/>
      <c r="DP82" s="1202"/>
      <c r="DQ82" s="1030">
        <f>DQ80/(DQ81*DK49)</f>
        <v>0.55986277873070334</v>
      </c>
      <c r="DR82" s="1202"/>
      <c r="DS82" s="1059">
        <f>DS80/(DS81*DK49)</f>
        <v>0.55986277873070334</v>
      </c>
      <c r="DT82" s="1202"/>
      <c r="DU82" s="1059">
        <f>DU80/(DU81*DK49)</f>
        <v>0.58867924528301885</v>
      </c>
      <c r="DV82" s="1202"/>
      <c r="DW82" s="1059">
        <f>DW80/(DW81*DK49)</f>
        <v>0.68747855917667244</v>
      </c>
      <c r="DY82" s="1436"/>
      <c r="DZ82" s="1202"/>
      <c r="EA82" s="1030">
        <f>EA80/(EA81*EA49)</f>
        <v>0.26545217957059208</v>
      </c>
      <c r="EB82" s="1202"/>
      <c r="EC82" s="1030">
        <f>EC80/(EC81*EA49)</f>
        <v>0.26545217957059208</v>
      </c>
      <c r="ED82" s="1202"/>
      <c r="EE82" s="1428"/>
      <c r="EF82" s="1434"/>
      <c r="EG82" s="1428"/>
      <c r="EH82" s="1202"/>
      <c r="EI82" s="1059">
        <f>EI80/(EI81*EA49)</f>
        <v>0.53090435914118417</v>
      </c>
      <c r="EJ82" s="1202"/>
      <c r="EK82" s="1059">
        <f>EK80/(EK81*EA49)</f>
        <v>0.55823031880286278</v>
      </c>
      <c r="EL82" s="1202"/>
      <c r="EM82" s="1059">
        <f>EM80/(EM81*EA49)</f>
        <v>0.65191932335718938</v>
      </c>
    </row>
    <row r="83" spans="1:143" ht="15.75" customHeight="1">
      <c r="A83" s="1429" t="s">
        <v>1472</v>
      </c>
      <c r="B83" s="1414"/>
      <c r="C83" s="1033"/>
      <c r="D83" s="1414"/>
      <c r="E83" s="1033"/>
      <c r="F83" s="1203"/>
      <c r="G83" s="1032"/>
      <c r="H83" s="1203" t="s">
        <v>2035</v>
      </c>
      <c r="I83" s="1032">
        <v>1</v>
      </c>
      <c r="J83" s="1203" t="s">
        <v>2035</v>
      </c>
      <c r="K83" s="1032">
        <v>1</v>
      </c>
      <c r="L83" s="1203" t="s">
        <v>2035</v>
      </c>
      <c r="M83" s="1032">
        <v>1</v>
      </c>
      <c r="N83" s="1203" t="s">
        <v>2035</v>
      </c>
      <c r="O83" s="1032">
        <v>1</v>
      </c>
      <c r="Q83" s="1429" t="s">
        <v>1472</v>
      </c>
      <c r="R83" s="1414"/>
      <c r="S83" s="1033"/>
      <c r="T83" s="1414"/>
      <c r="U83" s="1033"/>
      <c r="V83" s="1203"/>
      <c r="W83" s="1032"/>
      <c r="X83" s="1203" t="s">
        <v>2035</v>
      </c>
      <c r="Y83" s="1032">
        <v>1</v>
      </c>
      <c r="Z83" s="1203" t="s">
        <v>2035</v>
      </c>
      <c r="AA83" s="1032">
        <v>1</v>
      </c>
      <c r="AB83" s="1203" t="s">
        <v>2035</v>
      </c>
      <c r="AC83" s="1032">
        <v>1</v>
      </c>
      <c r="AD83" s="1203" t="s">
        <v>2035</v>
      </c>
      <c r="AE83" s="1032">
        <v>1</v>
      </c>
      <c r="AG83" s="1429" t="s">
        <v>1472</v>
      </c>
      <c r="AH83" s="1414"/>
      <c r="AI83" s="1033"/>
      <c r="AJ83" s="1414"/>
      <c r="AK83" s="1033"/>
      <c r="AL83" s="1203"/>
      <c r="AM83" s="1032"/>
      <c r="AN83" s="1203" t="s">
        <v>2035</v>
      </c>
      <c r="AO83" s="1032">
        <v>1</v>
      </c>
      <c r="AP83" s="1203" t="s">
        <v>2035</v>
      </c>
      <c r="AQ83" s="1032">
        <v>1</v>
      </c>
      <c r="AR83" s="1203" t="s">
        <v>2035</v>
      </c>
      <c r="AS83" s="1032">
        <v>1</v>
      </c>
      <c r="AT83" s="1203" t="s">
        <v>2035</v>
      </c>
      <c r="AU83" s="1032">
        <v>1</v>
      </c>
      <c r="AW83" s="1429" t="s">
        <v>1472</v>
      </c>
      <c r="AX83" s="1414"/>
      <c r="AY83" s="1033"/>
      <c r="AZ83" s="1414"/>
      <c r="BA83" s="1033"/>
      <c r="BB83" s="1414"/>
      <c r="BC83" s="1032"/>
      <c r="BD83" s="1203" t="s">
        <v>2035</v>
      </c>
      <c r="BE83" s="1032">
        <v>1</v>
      </c>
      <c r="BF83" s="1203" t="s">
        <v>2035</v>
      </c>
      <c r="BG83" s="1032">
        <v>1</v>
      </c>
      <c r="BH83" s="1203" t="s">
        <v>2035</v>
      </c>
      <c r="BI83" s="1032">
        <v>1</v>
      </c>
      <c r="BJ83" s="1203" t="s">
        <v>2035</v>
      </c>
      <c r="BK83" s="1032">
        <v>1</v>
      </c>
      <c r="BM83" s="1429" t="s">
        <v>1472</v>
      </c>
      <c r="BN83" s="1414"/>
      <c r="BO83" s="1033"/>
      <c r="BP83" s="1414"/>
      <c r="BQ83" s="1033"/>
      <c r="BR83" s="1203"/>
      <c r="BS83" s="1032"/>
      <c r="BT83" s="1203"/>
      <c r="BU83" s="1032"/>
      <c r="BV83" s="1203"/>
      <c r="BW83" s="1032"/>
      <c r="BX83" s="1203"/>
      <c r="BY83" s="1032"/>
      <c r="BZ83" s="1203" t="s">
        <v>2035</v>
      </c>
      <c r="CA83" s="1032">
        <v>1</v>
      </c>
      <c r="CC83" s="1429" t="s">
        <v>1472</v>
      </c>
      <c r="CD83" s="1414"/>
      <c r="CE83" s="1033"/>
      <c r="CF83" s="1414"/>
      <c r="CG83" s="1033"/>
      <c r="CH83" s="1203"/>
      <c r="CI83" s="1032"/>
      <c r="CJ83" s="1203"/>
      <c r="CK83" s="1032"/>
      <c r="CL83" s="1203"/>
      <c r="CM83" s="1032"/>
      <c r="CN83" s="1203"/>
      <c r="CO83" s="1032"/>
      <c r="CP83" s="1203"/>
      <c r="CQ83" s="1032"/>
      <c r="CS83" s="1429" t="s">
        <v>1472</v>
      </c>
      <c r="CT83" s="1414"/>
      <c r="CU83" s="1033"/>
      <c r="CV83" s="1414"/>
      <c r="CW83" s="1033"/>
      <c r="CX83" s="1203"/>
      <c r="CY83" s="1032"/>
      <c r="CZ83" s="1203"/>
      <c r="DA83" s="1032"/>
      <c r="DB83" s="1203"/>
      <c r="DC83" s="1032"/>
      <c r="DD83" s="1203"/>
      <c r="DE83" s="1032"/>
      <c r="DF83" s="1203"/>
      <c r="DG83" s="1032"/>
      <c r="DI83" s="1429" t="s">
        <v>1472</v>
      </c>
      <c r="DJ83" s="1414"/>
      <c r="DK83" s="1033"/>
      <c r="DL83" s="1414"/>
      <c r="DM83" s="1033"/>
      <c r="DN83" s="1203"/>
      <c r="DO83" s="1032"/>
      <c r="DP83" s="1203"/>
      <c r="DQ83" s="1032"/>
      <c r="DR83" s="1203"/>
      <c r="DS83" s="1032"/>
      <c r="DT83" s="1203"/>
      <c r="DU83" s="1032"/>
      <c r="DV83" s="1203"/>
      <c r="DW83" s="1032"/>
      <c r="DY83" s="1429" t="s">
        <v>1472</v>
      </c>
      <c r="DZ83" s="1414"/>
      <c r="EA83" s="1033"/>
      <c r="EB83" s="1414"/>
      <c r="EC83" s="1033"/>
      <c r="ED83" s="1203"/>
      <c r="EE83" s="1032"/>
      <c r="EF83" s="1203"/>
      <c r="EG83" s="1032"/>
      <c r="EH83" s="1203"/>
      <c r="EI83" s="1032"/>
      <c r="EJ83" s="1203"/>
      <c r="EK83" s="1032"/>
      <c r="EL83" s="1203"/>
      <c r="EM83" s="1032"/>
    </row>
    <row r="84" spans="1:143" ht="42.75" customHeight="1">
      <c r="A84" s="1430"/>
      <c r="B84" s="1416"/>
      <c r="C84" s="1031" t="s">
        <v>1181</v>
      </c>
      <c r="D84" s="1416"/>
      <c r="E84" s="1031" t="s">
        <v>1181</v>
      </c>
      <c r="F84" s="1204"/>
      <c r="G84" s="1030"/>
      <c r="H84" s="1204"/>
      <c r="I84" s="1030">
        <v>1</v>
      </c>
      <c r="J84" s="1204"/>
      <c r="K84" s="1030">
        <v>1</v>
      </c>
      <c r="L84" s="1204"/>
      <c r="M84" s="1030">
        <v>1</v>
      </c>
      <c r="N84" s="1204"/>
      <c r="O84" s="1030">
        <v>1</v>
      </c>
      <c r="Q84" s="1430"/>
      <c r="R84" s="1416"/>
      <c r="S84" s="1031"/>
      <c r="T84" s="1416"/>
      <c r="U84" s="1031"/>
      <c r="V84" s="1204"/>
      <c r="W84" s="1030"/>
      <c r="X84" s="1204"/>
      <c r="Y84" s="1030">
        <v>1</v>
      </c>
      <c r="Z84" s="1204"/>
      <c r="AA84" s="1030">
        <v>1</v>
      </c>
      <c r="AB84" s="1204"/>
      <c r="AC84" s="1030">
        <v>1</v>
      </c>
      <c r="AD84" s="1204"/>
      <c r="AE84" s="1030">
        <v>1</v>
      </c>
      <c r="AG84" s="1430"/>
      <c r="AH84" s="1416"/>
      <c r="AI84" s="1031"/>
      <c r="AJ84" s="1416"/>
      <c r="AK84" s="1031"/>
      <c r="AL84" s="1204"/>
      <c r="AM84" s="1030"/>
      <c r="AN84" s="1204"/>
      <c r="AO84" s="1030">
        <v>1</v>
      </c>
      <c r="AP84" s="1204"/>
      <c r="AQ84" s="1030">
        <v>1</v>
      </c>
      <c r="AR84" s="1204"/>
      <c r="AS84" s="1030">
        <v>1</v>
      </c>
      <c r="AT84" s="1204"/>
      <c r="AU84" s="1030">
        <v>1</v>
      </c>
      <c r="AW84" s="1430"/>
      <c r="AX84" s="1416"/>
      <c r="AY84" s="1031"/>
      <c r="AZ84" s="1416"/>
      <c r="BA84" s="1031"/>
      <c r="BB84" s="1416"/>
      <c r="BC84" s="1030"/>
      <c r="BD84" s="1204"/>
      <c r="BE84" s="1030">
        <v>1</v>
      </c>
      <c r="BF84" s="1204"/>
      <c r="BG84" s="1030">
        <v>1</v>
      </c>
      <c r="BH84" s="1204"/>
      <c r="BI84" s="1030">
        <v>1</v>
      </c>
      <c r="BJ84" s="1204"/>
      <c r="BK84" s="1030">
        <v>1</v>
      </c>
      <c r="BM84" s="1430"/>
      <c r="BN84" s="1416"/>
      <c r="BO84" s="1031"/>
      <c r="BP84" s="1416"/>
      <c r="BQ84" s="1031"/>
      <c r="BR84" s="1204"/>
      <c r="BS84" s="1030"/>
      <c r="BT84" s="1204"/>
      <c r="BU84" s="1030"/>
      <c r="BV84" s="1204"/>
      <c r="BW84" s="1030"/>
      <c r="BX84" s="1204"/>
      <c r="BY84" s="1030"/>
      <c r="BZ84" s="1204"/>
      <c r="CA84" s="1030">
        <v>1</v>
      </c>
      <c r="CC84" s="1430"/>
      <c r="CD84" s="1416"/>
      <c r="CE84" s="1031"/>
      <c r="CF84" s="1416"/>
      <c r="CG84" s="1031"/>
      <c r="CH84" s="1204"/>
      <c r="CI84" s="1030"/>
      <c r="CJ84" s="1204"/>
      <c r="CK84" s="1030"/>
      <c r="CL84" s="1204"/>
      <c r="CM84" s="1030"/>
      <c r="CN84" s="1204"/>
      <c r="CO84" s="1030"/>
      <c r="CP84" s="1204"/>
      <c r="CQ84" s="1030"/>
      <c r="CS84" s="1430"/>
      <c r="CT84" s="1416"/>
      <c r="CU84" s="1031"/>
      <c r="CV84" s="1416"/>
      <c r="CW84" s="1031"/>
      <c r="CX84" s="1204"/>
      <c r="CY84" s="1030"/>
      <c r="CZ84" s="1204"/>
      <c r="DA84" s="1030"/>
      <c r="DB84" s="1204"/>
      <c r="DC84" s="1059"/>
      <c r="DD84" s="1204"/>
      <c r="DE84" s="1059"/>
      <c r="DF84" s="1204"/>
      <c r="DG84" s="1059"/>
      <c r="DI84" s="1430"/>
      <c r="DJ84" s="1416"/>
      <c r="DK84" s="1031"/>
      <c r="DL84" s="1416"/>
      <c r="DM84" s="1031"/>
      <c r="DN84" s="1204"/>
      <c r="DO84" s="1030"/>
      <c r="DP84" s="1204"/>
      <c r="DQ84" s="1030"/>
      <c r="DR84" s="1204"/>
      <c r="DS84" s="1059"/>
      <c r="DT84" s="1204"/>
      <c r="DU84" s="1059"/>
      <c r="DV84" s="1204"/>
      <c r="DW84" s="1059"/>
      <c r="DY84" s="1430"/>
      <c r="DZ84" s="1416"/>
      <c r="EA84" s="1031"/>
      <c r="EB84" s="1416"/>
      <c r="EC84" s="1031"/>
      <c r="ED84" s="1204"/>
      <c r="EE84" s="1030"/>
      <c r="EF84" s="1204"/>
      <c r="EG84" s="1030"/>
      <c r="EH84" s="1204"/>
      <c r="EI84" s="1059"/>
      <c r="EJ84" s="1204"/>
      <c r="EK84" s="1059"/>
      <c r="EL84" s="1204"/>
      <c r="EM84" s="1059"/>
    </row>
    <row r="85" spans="1:143" ht="15.75" customHeight="1">
      <c r="A85" s="1028" t="s">
        <v>1370</v>
      </c>
      <c r="B85" s="1028"/>
      <c r="C85" s="1029">
        <f>C83+C81+C75+C70+C65+C55</f>
        <v>6</v>
      </c>
      <c r="D85" s="1029"/>
      <c r="E85" s="1029">
        <f>E83+E81+E75+E70+E65+E55</f>
        <v>6</v>
      </c>
      <c r="F85" s="1029"/>
      <c r="G85" s="1029">
        <f>G83+G81+G75+G70+G65+G60+G55</f>
        <v>9</v>
      </c>
      <c r="H85" s="1029"/>
      <c r="I85" s="1029">
        <f>I83+I81+I75+I70+I65+I60+I55</f>
        <v>12</v>
      </c>
      <c r="J85" s="1029"/>
      <c r="K85" s="1029">
        <f>K83+K81+K75+K70+K65+K60+K55</f>
        <v>16</v>
      </c>
      <c r="L85" s="1029"/>
      <c r="M85" s="1029">
        <f>M83+M81+M75+M70+M65+M60+M55</f>
        <v>16</v>
      </c>
      <c r="N85" s="1029"/>
      <c r="O85" s="1029">
        <f>O83+O81+O75+O70+O65+O60+O55</f>
        <v>19</v>
      </c>
      <c r="Q85" s="1028" t="s">
        <v>1370</v>
      </c>
      <c r="R85" s="1028"/>
      <c r="S85" s="1029">
        <f>S83+S81+S75+S66+S55</f>
        <v>5</v>
      </c>
      <c r="T85" s="1029"/>
      <c r="U85" s="1029">
        <f>U83+U81+U75+U66+U55</f>
        <v>5</v>
      </c>
      <c r="V85" s="1029"/>
      <c r="W85" s="1029">
        <f>W83+W81+W75+W70+W65+W60+W55</f>
        <v>9</v>
      </c>
      <c r="X85" s="1029"/>
      <c r="Y85" s="1029">
        <f>Y83+Y81+Y75+Y70+Y65+Y60+Y55</f>
        <v>12</v>
      </c>
      <c r="Z85" s="1029"/>
      <c r="AA85" s="1029">
        <f>AA83+AA81+AA75+AA70+AA65+AA60+AA55</f>
        <v>15</v>
      </c>
      <c r="AB85" s="1029"/>
      <c r="AC85" s="1029">
        <f>AC83+AC81+AC75+AC70+AC65+AC60+AC55</f>
        <v>16</v>
      </c>
      <c r="AD85" s="1029"/>
      <c r="AE85" s="1029">
        <f>AE83+AE81+AE75+AE70+AE65+AE60+AE55</f>
        <v>18</v>
      </c>
      <c r="AG85" s="1028" t="s">
        <v>1370</v>
      </c>
      <c r="AH85" s="1028"/>
      <c r="AI85" s="1029">
        <f>AI83+AI81+AI75+AI66+AI55</f>
        <v>4</v>
      </c>
      <c r="AJ85" s="1029"/>
      <c r="AK85" s="1029">
        <f>AK83+AK81+AK75+AK66+AK55</f>
        <v>5</v>
      </c>
      <c r="AL85" s="1029"/>
      <c r="AM85" s="1029">
        <f>AM83+AM81+AM75+AM66+AM60+AM55</f>
        <v>7</v>
      </c>
      <c r="AN85" s="1029"/>
      <c r="AO85" s="1029">
        <f>AO83+AO81+AO75+AO70+AO65+AO60+AO55</f>
        <v>11</v>
      </c>
      <c r="AP85" s="1029"/>
      <c r="AQ85" s="1029">
        <f>AQ83+AQ81+AQ75+AQ70+AQ65+AQ60+AQ55</f>
        <v>12</v>
      </c>
      <c r="AR85" s="1029"/>
      <c r="AS85" s="1029">
        <f>AS83+AS81+AS75+AS70+AS65+AS60+AS55</f>
        <v>16</v>
      </c>
      <c r="AT85" s="1029"/>
      <c r="AU85" s="1029">
        <f>AU83+AU81+AU75+AU70+AU65+AU60+AU55</f>
        <v>17</v>
      </c>
      <c r="AW85" s="1028" t="s">
        <v>1370</v>
      </c>
      <c r="AX85" s="1028"/>
      <c r="AY85" s="1029">
        <f>AY83+AY81+AY75+AY66+AY55</f>
        <v>4</v>
      </c>
      <c r="AZ85" s="1029"/>
      <c r="BA85" s="1029">
        <f>BA83+BA81+BA75+BA66+BA55</f>
        <v>5</v>
      </c>
      <c r="BB85" s="1029"/>
      <c r="BC85" s="1029">
        <f>BC83+BC81+BC75+BC66+BC60+BC55</f>
        <v>7</v>
      </c>
      <c r="BD85" s="1029"/>
      <c r="BE85" s="1029">
        <f>BE83+BE81+BE75+BE70+BE65+BE60+BE55</f>
        <v>10</v>
      </c>
      <c r="BF85" s="1029"/>
      <c r="BG85" s="1029">
        <f>BG83+BG81+BG75+BG70+BG65+BG60+BG55</f>
        <v>11</v>
      </c>
      <c r="BH85" s="1029"/>
      <c r="BI85" s="1029">
        <f>BI83+BI81+BI75+BI70+BI65+BI60+BI55</f>
        <v>14</v>
      </c>
      <c r="BJ85" s="1029"/>
      <c r="BK85" s="1029">
        <f>BK83+BK81+BK75+BK70+BK65+BK60+BK55</f>
        <v>16</v>
      </c>
      <c r="BM85" s="1028" t="s">
        <v>1370</v>
      </c>
      <c r="BN85" s="1028"/>
      <c r="BO85" s="1029">
        <f>BO83+BO76+BO66+BO55</f>
        <v>3</v>
      </c>
      <c r="BP85" s="1029"/>
      <c r="BQ85" s="1029">
        <f>BQ83+BQ76+BQ66+BQ55</f>
        <v>4</v>
      </c>
      <c r="BR85" s="1029"/>
      <c r="BS85" s="1029">
        <f>BS76+BS66+BS60+BS55</f>
        <v>6</v>
      </c>
      <c r="BT85" s="1029"/>
      <c r="BU85" s="1029">
        <f>BU83+BU81+BU75+BU66+BU60+BU55</f>
        <v>8</v>
      </c>
      <c r="BV85" s="1029"/>
      <c r="BW85" s="1029">
        <f>BW70+BW81+BW75+BW65+BW60+BW55</f>
        <v>10</v>
      </c>
      <c r="BX85" s="1029"/>
      <c r="BY85" s="1029">
        <f>BY83+BY81+BY75+BY70+BY65+BY60+BY55</f>
        <v>12</v>
      </c>
      <c r="BZ85" s="1029"/>
      <c r="CA85" s="1029">
        <f>CA83+CA81+CA75+CA70+CA65+CA60+CA55</f>
        <v>14</v>
      </c>
      <c r="CC85" s="1028" t="s">
        <v>1370</v>
      </c>
      <c r="CD85" s="1028"/>
      <c r="CE85" s="1029">
        <f>CE83+CE76+CE66+CE55</f>
        <v>3</v>
      </c>
      <c r="CF85" s="1029"/>
      <c r="CG85" s="1029">
        <f>CG83+CG76+CG66+CG55</f>
        <v>4</v>
      </c>
      <c r="CH85" s="1029"/>
      <c r="CI85" s="1029">
        <f>CI83+CI76+CI66+CI55</f>
        <v>5</v>
      </c>
      <c r="CJ85" s="1029"/>
      <c r="CK85" s="1029">
        <f>CK83+CK81+CK75+CK66+CK60+CK55</f>
        <v>8</v>
      </c>
      <c r="CL85" s="1029"/>
      <c r="CM85" s="1029">
        <f>CM83+CM81+CM75+CM66+CM60+CM55</f>
        <v>9</v>
      </c>
      <c r="CN85" s="1029"/>
      <c r="CO85" s="1029">
        <f>CO83+CO81+CO75+CO70+CO65+CO60+CO55</f>
        <v>11</v>
      </c>
      <c r="CP85" s="1029"/>
      <c r="CQ85" s="1029">
        <f>CQ83+CQ81+CQ75+CQ70+CQ65+CQ60+CQ55</f>
        <v>12</v>
      </c>
      <c r="CS85" s="1028" t="s">
        <v>1370</v>
      </c>
      <c r="CT85" s="1028"/>
      <c r="CU85" s="1029">
        <f>CU83+CU81+CU66+CU55</f>
        <v>3</v>
      </c>
      <c r="CV85" s="1029"/>
      <c r="CW85" s="1029">
        <f>CW83+CW81+CW66+CW55</f>
        <v>4</v>
      </c>
      <c r="CX85" s="1029"/>
      <c r="CY85" s="1029">
        <f>CY83+CY76+CY66+CY55</f>
        <v>5</v>
      </c>
      <c r="CZ85" s="1029"/>
      <c r="DA85" s="1029">
        <f>DA83+DA81+DA75+DA66+DA60+DA55</f>
        <v>8</v>
      </c>
      <c r="DB85" s="1029"/>
      <c r="DC85" s="1029">
        <f>DC83+DC81+DC75+DC66+DC60+DC55</f>
        <v>9</v>
      </c>
      <c r="DD85" s="1029"/>
      <c r="DE85" s="1029">
        <f>DE83+DE81+DE75+DE70+DE65+DE60+DE55</f>
        <v>11</v>
      </c>
      <c r="DF85" s="1029"/>
      <c r="DG85" s="1029">
        <f>DG83+DG81+DG75+DG70+DG65+DG60+DG55</f>
        <v>12</v>
      </c>
      <c r="DI85" s="1028" t="s">
        <v>1370</v>
      </c>
      <c r="DJ85" s="1028"/>
      <c r="DK85" s="1029">
        <f>DK83+DK81+DK66+DK55</f>
        <v>3</v>
      </c>
      <c r="DL85" s="1029"/>
      <c r="DM85" s="1029">
        <f>DM83+DM81+DM66+DM55</f>
        <v>4</v>
      </c>
      <c r="DN85" s="1029"/>
      <c r="DO85" s="1029">
        <f>DO83+DO76+DO66+DO55</f>
        <v>5</v>
      </c>
      <c r="DP85" s="1029"/>
      <c r="DQ85" s="1029">
        <f>DQ83+DQ81+DQ75+DQ66+DQ60+DQ55</f>
        <v>8</v>
      </c>
      <c r="DR85" s="1029"/>
      <c r="DS85" s="1029">
        <f>DS83+DS81+DS75+DS66+DS60+DS55</f>
        <v>9</v>
      </c>
      <c r="DT85" s="1029"/>
      <c r="DU85" s="1029">
        <f>DU83+DU81+DU75+DU70+DU65+DU60+DU55</f>
        <v>11</v>
      </c>
      <c r="DV85" s="1029"/>
      <c r="DW85" s="1029">
        <f>DW83+DW81+DW75+DW70+DW65+DW60+DW55</f>
        <v>12</v>
      </c>
      <c r="DY85" s="1028" t="s">
        <v>1370</v>
      </c>
      <c r="DZ85" s="1028"/>
      <c r="EA85" s="1029">
        <f>EA83+EA81+EA66+EA55</f>
        <v>3</v>
      </c>
      <c r="EB85" s="1029"/>
      <c r="EC85" s="1029">
        <f>EC83+EC81+EC66+EC55</f>
        <v>4</v>
      </c>
      <c r="ED85" s="1029"/>
      <c r="EE85" s="1029">
        <f>EE83+EE76+EE66+EE55</f>
        <v>5</v>
      </c>
      <c r="EF85" s="1029"/>
      <c r="EG85" s="1029">
        <f>EG83+EG75+EG66+EG60+EG55</f>
        <v>7</v>
      </c>
      <c r="EH85" s="1029"/>
      <c r="EI85" s="1029">
        <f>EI83+EI81+EI75+EI66+EI60+EI55</f>
        <v>9</v>
      </c>
      <c r="EJ85" s="1029"/>
      <c r="EK85" s="1029">
        <f>EK83+EK81+EK75+EK70+EK65+EK60+EK55</f>
        <v>11</v>
      </c>
      <c r="EL85" s="1029"/>
      <c r="EM85" s="1029">
        <f>EM83+EM81+EM75+EM70+EM65+EM60+EM55</f>
        <v>12</v>
      </c>
    </row>
    <row r="86" spans="1:143" ht="15.75" customHeight="1">
      <c r="A86" s="1028" t="s">
        <v>1473</v>
      </c>
      <c r="B86" s="1028"/>
      <c r="C86" s="1026">
        <f>C49*C85/1</f>
        <v>42.134999999999998</v>
      </c>
      <c r="D86" s="1028"/>
      <c r="E86" s="1026">
        <f>C49*E85/2</f>
        <v>21.067499999999999</v>
      </c>
      <c r="F86" s="1027"/>
      <c r="G86" s="1026">
        <f>C49*G85/3</f>
        <v>21.067499999999999</v>
      </c>
      <c r="H86" s="1027"/>
      <c r="I86" s="1026">
        <f>C49*I85/4</f>
        <v>21.067499999999999</v>
      </c>
      <c r="J86" s="1027"/>
      <c r="K86" s="1026">
        <f>C49*K85/5</f>
        <v>22.472000000000001</v>
      </c>
      <c r="L86" s="1027"/>
      <c r="M86" s="1026">
        <f>C49*M85/5</f>
        <v>22.472000000000001</v>
      </c>
      <c r="N86" s="1027"/>
      <c r="O86" s="1026">
        <f>C49*O85/5</f>
        <v>26.685500000000001</v>
      </c>
      <c r="Q86" s="1028" t="s">
        <v>1473</v>
      </c>
      <c r="R86" s="1028"/>
      <c r="S86" s="1026">
        <f>S49*S85/1</f>
        <v>37.099999999999994</v>
      </c>
      <c r="T86" s="1028"/>
      <c r="U86" s="1026">
        <f>S49*U85/2</f>
        <v>18.549999999999997</v>
      </c>
      <c r="V86" s="1027"/>
      <c r="W86" s="1026">
        <f>S49*W85/3</f>
        <v>22.259999999999994</v>
      </c>
      <c r="X86" s="1027"/>
      <c r="Y86" s="1026">
        <f>S49*Y85/4</f>
        <v>22.259999999999998</v>
      </c>
      <c r="Z86" s="1027"/>
      <c r="AA86" s="1026">
        <f>S49*AA85/5</f>
        <v>22.259999999999998</v>
      </c>
      <c r="AB86" s="1027"/>
      <c r="AC86" s="1026">
        <f>S49*AC85/5</f>
        <v>23.743999999999996</v>
      </c>
      <c r="AD86" s="1027"/>
      <c r="AE86" s="1026">
        <f>S49*AE85/5</f>
        <v>26.711999999999996</v>
      </c>
      <c r="AG86" s="1028" t="s">
        <v>1473</v>
      </c>
      <c r="AH86" s="1028"/>
      <c r="AI86" s="1026">
        <f>AI49*AI85/1</f>
        <v>34.979999999999997</v>
      </c>
      <c r="AJ86" s="1028"/>
      <c r="AK86" s="1026">
        <f>AI49*AK85/2</f>
        <v>21.862499999999997</v>
      </c>
      <c r="AL86" s="1027"/>
      <c r="AM86" s="1026">
        <f>AI49*AM85/3</f>
        <v>20.404999999999998</v>
      </c>
      <c r="AN86" s="1027"/>
      <c r="AO86" s="1026">
        <f>AI49*AO85/4</f>
        <v>24.048749999999998</v>
      </c>
      <c r="AP86" s="1027"/>
      <c r="AQ86" s="1026">
        <f>AI49*AQ85/5</f>
        <v>20.988</v>
      </c>
      <c r="AR86" s="1027"/>
      <c r="AS86" s="1026">
        <f>AI49*AS85/5</f>
        <v>27.983999999999998</v>
      </c>
      <c r="AT86" s="1027"/>
      <c r="AU86" s="1026">
        <f>AI49*AU85/5</f>
        <v>29.732999999999997</v>
      </c>
      <c r="AW86" s="1028" t="s">
        <v>1473</v>
      </c>
      <c r="AX86" s="1028"/>
      <c r="AY86" s="1026">
        <f>AY49*AY85/1</f>
        <v>40.279999999999994</v>
      </c>
      <c r="AZ86" s="1028"/>
      <c r="BA86" s="1026">
        <f>AY49*BA85/2</f>
        <v>25.174999999999997</v>
      </c>
      <c r="BB86" s="1027"/>
      <c r="BC86" s="1026">
        <f>AY49*BC85/3</f>
        <v>23.496666666666666</v>
      </c>
      <c r="BD86" s="1027"/>
      <c r="BE86" s="1026">
        <f>AY49*BE85/4</f>
        <v>25.174999999999997</v>
      </c>
      <c r="BF86" s="1027"/>
      <c r="BG86" s="1026">
        <f>AY49*BG85/5</f>
        <v>22.153999999999996</v>
      </c>
      <c r="BH86" s="1027"/>
      <c r="BI86" s="1026">
        <f>AY49*BI85/5</f>
        <v>28.195999999999998</v>
      </c>
      <c r="BJ86" s="1027"/>
      <c r="BK86" s="1026">
        <f>AY49*BK85/5</f>
        <v>32.223999999999997</v>
      </c>
      <c r="BM86" s="1028" t="s">
        <v>1473</v>
      </c>
      <c r="BN86" s="1028"/>
      <c r="BO86" s="1026">
        <f>BO49*BO85/1</f>
        <v>34.185000000000002</v>
      </c>
      <c r="BP86" s="1028"/>
      <c r="BQ86" s="1026">
        <f>BO49*BQ85/2</f>
        <v>22.79</v>
      </c>
      <c r="BR86" s="1027"/>
      <c r="BS86" s="1026">
        <f>BO49*BS85/3</f>
        <v>22.790000000000003</v>
      </c>
      <c r="BT86" s="1027"/>
      <c r="BU86" s="1026">
        <f>BO49*BU85/4</f>
        <v>22.79</v>
      </c>
      <c r="BV86" s="1027"/>
      <c r="BW86" s="1026">
        <f>BO49*BW85/5</f>
        <v>22.79</v>
      </c>
      <c r="BX86" s="1027"/>
      <c r="BY86" s="1026">
        <f>BO49*BY85/5</f>
        <v>27.348000000000003</v>
      </c>
      <c r="BZ86" s="1027"/>
      <c r="CA86" s="1026">
        <f>BO49*CA85/5</f>
        <v>31.905999999999999</v>
      </c>
      <c r="CC86" s="1028" t="s">
        <v>1473</v>
      </c>
      <c r="CD86" s="1028"/>
      <c r="CE86" s="1026">
        <f>CE49*CE85/1</f>
        <v>38.159999999999997</v>
      </c>
      <c r="CF86" s="1028"/>
      <c r="CG86" s="1026">
        <f>CE49*CG85/2</f>
        <v>25.439999999999998</v>
      </c>
      <c r="CH86" s="1027"/>
      <c r="CI86" s="1026">
        <f>CE49*CI85/3</f>
        <v>21.2</v>
      </c>
      <c r="CJ86" s="1027"/>
      <c r="CK86" s="1026">
        <f>CE49*CK85/4</f>
        <v>25.439999999999998</v>
      </c>
      <c r="CL86" s="1027"/>
      <c r="CM86" s="1026">
        <f>CE49*CM85/5</f>
        <v>22.895999999999997</v>
      </c>
      <c r="CN86" s="1027"/>
      <c r="CO86" s="1026">
        <f>CE49*CO85/6</f>
        <v>23.319999999999997</v>
      </c>
      <c r="CP86" s="1027"/>
      <c r="CQ86" s="1026">
        <f>CE49*CQ85/5</f>
        <v>30.527999999999999</v>
      </c>
      <c r="CS86" s="1028" t="s">
        <v>1473</v>
      </c>
      <c r="CT86" s="1028"/>
      <c r="CU86" s="1026">
        <f>CU49*CU85/1</f>
        <v>40.544999999999995</v>
      </c>
      <c r="CV86" s="1028"/>
      <c r="CW86" s="1026">
        <f>CU49*CW85/2</f>
        <v>27.029999999999998</v>
      </c>
      <c r="CX86" s="1027"/>
      <c r="CY86" s="1026">
        <f>CU49*CY85/3</f>
        <v>22.524999999999995</v>
      </c>
      <c r="CZ86" s="1027"/>
      <c r="DA86" s="1026">
        <f>CU49*DA85/4</f>
        <v>27.029999999999998</v>
      </c>
      <c r="DB86" s="1027"/>
      <c r="DC86" s="1026">
        <f>CU49*DC85/5</f>
        <v>24.326999999999998</v>
      </c>
      <c r="DD86" s="1027"/>
      <c r="DE86" s="1026">
        <f>CU49*DE85/5</f>
        <v>29.732999999999997</v>
      </c>
      <c r="DF86" s="1027"/>
      <c r="DG86" s="1026">
        <f>CU49*DG85/5</f>
        <v>32.435999999999993</v>
      </c>
      <c r="DI86" s="1028" t="s">
        <v>1473</v>
      </c>
      <c r="DJ86" s="1028"/>
      <c r="DK86" s="1026">
        <f>DK49*DK85/1</f>
        <v>43.724999999999994</v>
      </c>
      <c r="DL86" s="1028"/>
      <c r="DM86" s="1026">
        <f>DK49*DM85/2</f>
        <v>29.15</v>
      </c>
      <c r="DN86" s="1027"/>
      <c r="DO86" s="1026">
        <f>DK49*DO85/3</f>
        <v>24.291666666666668</v>
      </c>
      <c r="DP86" s="1027"/>
      <c r="DQ86" s="1026">
        <f>DK49*DQ85/4</f>
        <v>29.15</v>
      </c>
      <c r="DR86" s="1027"/>
      <c r="DS86" s="1026">
        <f>DK49*DS85/5</f>
        <v>26.234999999999996</v>
      </c>
      <c r="DT86" s="1027"/>
      <c r="DU86" s="1026">
        <f>DK49*DU85/5</f>
        <v>32.064999999999998</v>
      </c>
      <c r="DV86" s="1027"/>
      <c r="DW86" s="1026">
        <f>DK49*DW85/5</f>
        <v>34.979999999999997</v>
      </c>
      <c r="DY86" s="1028" t="s">
        <v>1473</v>
      </c>
      <c r="DZ86" s="1028"/>
      <c r="EA86" s="1026">
        <f>EA49*EA85/1</f>
        <v>46.11</v>
      </c>
      <c r="EB86" s="1028"/>
      <c r="EC86" s="1026">
        <f>EA49*EC85/2</f>
        <v>30.74</v>
      </c>
      <c r="ED86" s="1027"/>
      <c r="EE86" s="1026">
        <f>EA49*EE85/3</f>
        <v>25.616666666666664</v>
      </c>
      <c r="EF86" s="1027"/>
      <c r="EG86" s="1026">
        <f>EA49*EG85/4</f>
        <v>26.897499999999997</v>
      </c>
      <c r="EH86" s="1027"/>
      <c r="EI86" s="1026">
        <f>EA49*EI85/5</f>
        <v>27.665999999999997</v>
      </c>
      <c r="EJ86" s="1027"/>
      <c r="EK86" s="1026">
        <f>EA49*EK85/5</f>
        <v>33.814</v>
      </c>
      <c r="EL86" s="1027"/>
      <c r="EM86" s="1026">
        <f>EA49*EM85/5</f>
        <v>36.887999999999998</v>
      </c>
    </row>
    <row r="87" spans="1:143" ht="15.75" customHeight="1">
      <c r="C87" s="1205">
        <f>C80+C74+C64+C54+C69</f>
        <v>22.274999999999999</v>
      </c>
      <c r="D87" s="1206">
        <f>E80+E64+E54+E74+E69</f>
        <v>26.805</v>
      </c>
      <c r="E87" s="1206">
        <f>G74+G64+G54+G59+G80+G69</f>
        <v>41.58</v>
      </c>
      <c r="F87" s="1207">
        <f>I80+I74+I64+I59+I54+C49+I69</f>
        <v>57.848500000000001</v>
      </c>
      <c r="G87" s="1207">
        <f>K80+K74+K65+K59+K54+C49</f>
        <v>57.518499999999996</v>
      </c>
      <c r="H87" s="1207">
        <f>M80+M74+M69+M64+M59+M54+C49</f>
        <v>81.944499999999991</v>
      </c>
      <c r="I87" s="1207">
        <f>O80+O74+O69+O64+O59+O54+C49</f>
        <v>91.514499999999984</v>
      </c>
      <c r="S87" s="1205">
        <f>S80+S74+S65+S54</f>
        <v>22.274999999999999</v>
      </c>
      <c r="T87" s="1206">
        <f>U80+U65+U54+U74</f>
        <v>26.805</v>
      </c>
      <c r="U87" s="1206">
        <f>W74+W65+W54+W59+W80</f>
        <v>34.659999999999997</v>
      </c>
      <c r="V87" s="1207">
        <f>Y80+Y74+Y65+Y59+Y54+S49</f>
        <v>49.165999999999997</v>
      </c>
      <c r="W87" s="1207">
        <f>AA80+AA74+AA65+AA59+AA54+S49</f>
        <v>57.915999999999997</v>
      </c>
      <c r="X87" s="1207">
        <f>AC80+AC74+AC69+AC64+AC59+AC54+S49</f>
        <v>82.341999999999999</v>
      </c>
      <c r="Y87" s="1207">
        <f>AE80+AE74+AE69+AE64+AE59+AE54+S49</f>
        <v>91.911999999999992</v>
      </c>
      <c r="AI87" s="1205">
        <f>AI80+AI74+AI65+AI54</f>
        <v>22.274999999999999</v>
      </c>
      <c r="AJ87" s="1206">
        <f>AK80+AK65+AK54+AK74</f>
        <v>26.805</v>
      </c>
      <c r="AK87" s="1206">
        <f>AM74+AM65+AM54+AM59+AM80</f>
        <v>41.580000000000005</v>
      </c>
      <c r="AL87" s="1207">
        <f>AO80+AO74+AO65+AO59+AO54+AI49</f>
        <v>54.504999999999995</v>
      </c>
      <c r="AM87" s="1207">
        <f>AQ80+AQ74+AQ65+AQ59+AQ54+AI49</f>
        <v>63.255000000000003</v>
      </c>
      <c r="AN87" s="1207">
        <f>AS80+AS74+AS69+AS64+AS59+AS54+AI49</f>
        <v>91.695000000000007</v>
      </c>
      <c r="AO87" s="1207">
        <f>AU80+AU74+AU69+AU64+AU59+AU54+AI49</f>
        <v>101.265</v>
      </c>
      <c r="AY87" s="1205">
        <f>AY80+AY74+AY65+AY54</f>
        <v>22.274999999999999</v>
      </c>
      <c r="AZ87" s="1206">
        <f>BA80+BA65+BA54+BA74</f>
        <v>26.805</v>
      </c>
      <c r="BA87" s="1206">
        <f>BC74+BC65+BC54+BC59+BC80</f>
        <v>41.580000000000005</v>
      </c>
      <c r="BB87" s="1207">
        <f>BE80+BE74+BE65+BE59+BE54+AY49</f>
        <v>55.83</v>
      </c>
      <c r="BC87" s="1207">
        <f>BG80+BG74+BG65+BG59+BG54+AY49</f>
        <v>64.58</v>
      </c>
      <c r="BD87" s="1207">
        <f>BI80+BI74+BI69+BI64+BI59+BI54+AY49</f>
        <v>93.02</v>
      </c>
      <c r="BE87" s="1207">
        <f>BK80+BK74+BK69+BK64+BK59+BK54+AY49</f>
        <v>102.58999999999999</v>
      </c>
      <c r="BO87" s="1205">
        <f>BO75+BO65+BO54</f>
        <v>22.274999999999999</v>
      </c>
      <c r="BP87" s="1206">
        <f>BQ65+BQ54+BQ75</f>
        <v>26.805</v>
      </c>
      <c r="BQ87" s="1206">
        <f>BS75+BS65+BS54+BS59</f>
        <v>41.58</v>
      </c>
      <c r="BR87" s="1207">
        <f>BU80+BU74+BU65+BU59+BU54</f>
        <v>54.84</v>
      </c>
      <c r="BS87" s="1207">
        <f>BW80+BW74+BW64+BW59+BW54+BW69</f>
        <v>65.75</v>
      </c>
      <c r="BT87" s="1207">
        <f>BY80+BY74+BY69+BY64+BY59+BY54</f>
        <v>82.95</v>
      </c>
      <c r="BU87" s="1207">
        <f>CA80+CA74+CA69+CA64+CA59+CA54+BO49</f>
        <v>103.91499999999999</v>
      </c>
      <c r="CE87" s="1205">
        <f>CE75+CE65+CE54</f>
        <v>22.274999999999999</v>
      </c>
      <c r="CF87" s="1206">
        <f>CG65+CG54+CG75</f>
        <v>26.805</v>
      </c>
      <c r="CG87" s="1206">
        <f>CI75+CI65+CI54</f>
        <v>41.58</v>
      </c>
      <c r="CH87" s="1207">
        <f>CK80+CK74+CK65+CK59+CK54</f>
        <v>54.84</v>
      </c>
      <c r="CI87" s="1207">
        <f>CM80+CM74+CM65+CM59+CM54</f>
        <v>65.75</v>
      </c>
      <c r="CJ87" s="1207">
        <f>CO80+CO74+CO69+CO64+CO59+CO54</f>
        <v>82.95</v>
      </c>
      <c r="CK87" s="1207">
        <f>CQ80+CQ74+CQ69+CQ64+CQ59+CQ54</f>
        <v>92.52</v>
      </c>
      <c r="CU87" s="1205">
        <f>CU80+CU65+CU54</f>
        <v>22.274999999999999</v>
      </c>
      <c r="CV87" s="1206">
        <f>CW80+CW65+CW54</f>
        <v>26.805</v>
      </c>
      <c r="CW87" s="1206">
        <f>CY75+CY65+CY54</f>
        <v>41.58</v>
      </c>
      <c r="CX87" s="1207">
        <f>DA80+DA74+DA65+DA59+DA54</f>
        <v>54.84</v>
      </c>
      <c r="CY87" s="1207">
        <f>DC80+DC74+DC65+DC59+DC54</f>
        <v>65.75</v>
      </c>
      <c r="CZ87" s="1207">
        <f>DE80+DE74+DE69+DE64+DE59+DE54</f>
        <v>82.95</v>
      </c>
      <c r="DA87" s="1207">
        <f>DG80+DG74+DG69+DG64+DG59+DG54</f>
        <v>92.52</v>
      </c>
      <c r="DK87" s="1205">
        <f>DK80+DK65+DK54</f>
        <v>22.274999999999999</v>
      </c>
      <c r="DL87" s="1206">
        <f>DM80+DM65+DM54</f>
        <v>26.805</v>
      </c>
      <c r="DM87" s="1206">
        <f>DO75+DO65+DO54</f>
        <v>41.58</v>
      </c>
      <c r="DN87" s="1207">
        <f>DQ80+DQ74+DQ65+DQ59+DQ54</f>
        <v>54.84</v>
      </c>
      <c r="DO87" s="1207">
        <f>DS80+DS74+DS65+DS59+DS54</f>
        <v>65.75</v>
      </c>
      <c r="DP87" s="1207">
        <f>DU80+DU74+DU69+DU64+DU59+DU54</f>
        <v>82.95</v>
      </c>
      <c r="DQ87" s="1207">
        <f>DW80+DW74+DW69+DW64+DW59+DW54</f>
        <v>92.52</v>
      </c>
      <c r="EA87" s="1205">
        <f>EA80+EA65+EA54</f>
        <v>22.274999999999999</v>
      </c>
      <c r="EB87" s="1206">
        <f>EC80+EC65+EC54</f>
        <v>26.805</v>
      </c>
      <c r="EC87" s="1206">
        <f>EE75+EE65+EE54</f>
        <v>41.58</v>
      </c>
      <c r="ED87" s="1207">
        <f>EG74+EG65+EG59+EG54</f>
        <v>54.84</v>
      </c>
      <c r="EE87" s="1207">
        <f>EI80+EI74+EI65+EI59+EI54</f>
        <v>65.75</v>
      </c>
      <c r="EF87" s="1207">
        <f>EK80+EK74+EK69+EK64+EK59+EK54</f>
        <v>82.95</v>
      </c>
      <c r="EG87" s="1207">
        <f>EM80+EM74+EM69+EM64+EM59+EM54</f>
        <v>92.52</v>
      </c>
    </row>
    <row r="89" spans="1:143" ht="15.75" customHeight="1">
      <c r="A89" s="1041" t="s">
        <v>2052</v>
      </c>
      <c r="B89" s="1041">
        <v>3</v>
      </c>
      <c r="C89" s="1041">
        <v>3</v>
      </c>
      <c r="D89" s="1441"/>
      <c r="E89" s="931"/>
      <c r="F89" s="931"/>
      <c r="G89" s="931"/>
      <c r="H89" s="931"/>
      <c r="I89" s="931"/>
      <c r="J89" s="931"/>
      <c r="K89" s="931"/>
      <c r="L89" s="931"/>
      <c r="M89" s="931"/>
      <c r="N89" s="931"/>
      <c r="O89" s="931"/>
      <c r="Q89" s="1041" t="s">
        <v>2052</v>
      </c>
      <c r="R89" s="1041">
        <v>3</v>
      </c>
      <c r="S89" s="1041">
        <v>3.5</v>
      </c>
      <c r="T89" s="1441"/>
      <c r="U89" s="931"/>
      <c r="V89" s="931"/>
      <c r="W89" s="931"/>
      <c r="X89" s="931"/>
      <c r="Y89" s="931"/>
      <c r="Z89" s="931"/>
      <c r="AA89" s="931"/>
      <c r="AB89" s="931"/>
      <c r="AC89" s="931"/>
      <c r="AD89" s="931"/>
      <c r="AE89" s="931"/>
      <c r="AG89" s="1041" t="s">
        <v>2052</v>
      </c>
      <c r="AH89" s="1041">
        <v>3</v>
      </c>
      <c r="AI89" s="1041">
        <v>4</v>
      </c>
      <c r="AJ89" s="1441"/>
      <c r="AK89" s="931"/>
      <c r="AL89" s="931"/>
      <c r="AM89" s="931"/>
      <c r="AN89" s="931"/>
      <c r="AO89" s="931"/>
      <c r="AP89" s="931"/>
      <c r="AQ89" s="931"/>
      <c r="AR89" s="931"/>
      <c r="AS89" s="931"/>
      <c r="AT89" s="931"/>
      <c r="AU89" s="931"/>
      <c r="AW89" s="1041" t="s">
        <v>2052</v>
      </c>
      <c r="AX89" s="1041">
        <v>3</v>
      </c>
      <c r="AY89" s="1041">
        <v>4.5</v>
      </c>
      <c r="AZ89" s="1441"/>
      <c r="BA89" s="931"/>
      <c r="BB89" s="931"/>
      <c r="BC89" s="931"/>
      <c r="BD89" s="931"/>
      <c r="BE89" s="931"/>
      <c r="BF89" s="931"/>
      <c r="BG89" s="931"/>
      <c r="BH89" s="931"/>
      <c r="BI89" s="931"/>
      <c r="BJ89" s="931"/>
      <c r="BK89" s="931"/>
      <c r="BM89" s="1041" t="s">
        <v>2052</v>
      </c>
      <c r="BN89" s="1041">
        <v>3</v>
      </c>
      <c r="BO89" s="1041">
        <v>5</v>
      </c>
      <c r="BP89" s="1441"/>
      <c r="BQ89" s="931"/>
      <c r="BR89" s="931"/>
      <c r="BS89" s="931"/>
      <c r="BT89" s="931"/>
      <c r="BU89" s="931"/>
      <c r="BV89" s="931"/>
      <c r="BW89" s="931"/>
      <c r="BX89" s="931"/>
      <c r="BY89" s="931"/>
      <c r="BZ89" s="931"/>
      <c r="CA89" s="931"/>
      <c r="CC89" s="1041" t="s">
        <v>2052</v>
      </c>
      <c r="CD89" s="1041">
        <v>3</v>
      </c>
      <c r="CE89" s="1041">
        <v>5.3</v>
      </c>
      <c r="CF89" s="1441"/>
      <c r="CG89" s="931"/>
      <c r="CH89" s="931"/>
      <c r="CI89" s="931"/>
      <c r="CJ89" s="931"/>
      <c r="CK89" s="931"/>
      <c r="CL89" s="931"/>
      <c r="CM89" s="931"/>
      <c r="CN89" s="931"/>
      <c r="CO89" s="931"/>
      <c r="CP89" s="931"/>
      <c r="CQ89" s="931"/>
      <c r="CS89" s="1041" t="s">
        <v>2052</v>
      </c>
      <c r="CT89" s="1041">
        <v>3</v>
      </c>
      <c r="CU89" s="1041">
        <v>5.7</v>
      </c>
      <c r="CV89" s="1441"/>
      <c r="CW89" s="931"/>
      <c r="CX89" s="931"/>
      <c r="CY89" s="931"/>
      <c r="CZ89" s="931"/>
      <c r="DA89" s="931"/>
      <c r="DB89" s="931"/>
      <c r="DC89" s="931"/>
      <c r="DD89" s="931"/>
      <c r="DE89" s="931"/>
      <c r="DF89" s="931"/>
      <c r="DG89" s="931"/>
      <c r="DI89" s="1041" t="s">
        <v>2052</v>
      </c>
      <c r="DJ89" s="1041">
        <v>3</v>
      </c>
      <c r="DK89" s="1041">
        <v>6</v>
      </c>
      <c r="DL89" s="1441"/>
      <c r="DM89" s="931"/>
      <c r="DN89" s="931"/>
      <c r="DO89" s="931"/>
      <c r="DP89" s="931"/>
      <c r="DQ89" s="931"/>
      <c r="DR89" s="931"/>
      <c r="DS89" s="931"/>
      <c r="DT89" s="931"/>
      <c r="DU89" s="931"/>
      <c r="DV89" s="931"/>
      <c r="DW89" s="931"/>
      <c r="DY89" s="1041"/>
      <c r="DZ89" s="1041"/>
      <c r="EA89" s="1041"/>
      <c r="EB89" s="1041"/>
      <c r="EC89" s="931"/>
      <c r="ED89" s="931"/>
      <c r="EE89" s="931"/>
      <c r="EF89" s="931"/>
      <c r="EG89" s="931"/>
      <c r="EH89" s="931"/>
      <c r="EI89" s="931"/>
      <c r="EJ89" s="931"/>
      <c r="EK89" s="931"/>
      <c r="EL89" s="931"/>
      <c r="EM89" s="931"/>
    </row>
    <row r="90" spans="1:143" ht="15.75" customHeight="1">
      <c r="A90" s="1038" t="s">
        <v>1354</v>
      </c>
      <c r="B90" s="1038">
        <f>B89-0.2</f>
        <v>2.8</v>
      </c>
      <c r="C90" s="1038">
        <f>C89-0.2</f>
        <v>2.8</v>
      </c>
      <c r="D90" s="1442"/>
      <c r="E90" s="1038"/>
      <c r="F90" s="1038"/>
      <c r="G90" s="1038"/>
      <c r="H90" s="1038"/>
      <c r="I90" s="1038"/>
      <c r="J90" s="1038"/>
      <c r="K90" s="1038"/>
      <c r="L90" s="1038"/>
      <c r="M90" s="1038"/>
      <c r="N90" s="1038"/>
      <c r="O90" s="1038"/>
      <c r="Q90" s="1038" t="s">
        <v>1354</v>
      </c>
      <c r="R90" s="1038">
        <f>R89-0.2</f>
        <v>2.8</v>
      </c>
      <c r="S90" s="1038">
        <f>S89-0.2</f>
        <v>3.3</v>
      </c>
      <c r="T90" s="1442"/>
      <c r="U90" s="1038"/>
      <c r="V90" s="1038"/>
      <c r="W90" s="1038"/>
      <c r="X90" s="1038"/>
      <c r="Y90" s="1038"/>
      <c r="Z90" s="1038"/>
      <c r="AA90" s="1038"/>
      <c r="AB90" s="1038"/>
      <c r="AC90" s="1038"/>
      <c r="AD90" s="1038"/>
      <c r="AE90" s="1038"/>
      <c r="AG90" s="1038" t="s">
        <v>1354</v>
      </c>
      <c r="AH90" s="1038">
        <f>AH89-0.2</f>
        <v>2.8</v>
      </c>
      <c r="AI90" s="1038">
        <f>AI89-0.2</f>
        <v>3.8</v>
      </c>
      <c r="AJ90" s="1442"/>
      <c r="AK90" s="1038"/>
      <c r="AL90" s="1038"/>
      <c r="AM90" s="1038"/>
      <c r="AN90" s="1038"/>
      <c r="AO90" s="1038"/>
      <c r="AP90" s="1038"/>
      <c r="AQ90" s="1038"/>
      <c r="AR90" s="1038"/>
      <c r="AS90" s="1038"/>
      <c r="AT90" s="1038"/>
      <c r="AU90" s="1038"/>
      <c r="AW90" s="1038" t="s">
        <v>1354</v>
      </c>
      <c r="AX90" s="1038">
        <f>AX89-0.2</f>
        <v>2.8</v>
      </c>
      <c r="AY90" s="1038">
        <f>AY89-0.2</f>
        <v>4.3</v>
      </c>
      <c r="AZ90" s="1442"/>
      <c r="BA90" s="1038"/>
      <c r="BB90" s="1038"/>
      <c r="BC90" s="1038"/>
      <c r="BD90" s="1038"/>
      <c r="BE90" s="1038"/>
      <c r="BF90" s="1038"/>
      <c r="BG90" s="1038"/>
      <c r="BH90" s="1038"/>
      <c r="BI90" s="1038"/>
      <c r="BJ90" s="1038"/>
      <c r="BK90" s="1038"/>
      <c r="BM90" s="1038" t="s">
        <v>1354</v>
      </c>
      <c r="BN90" s="1038">
        <f>BN89-0.2</f>
        <v>2.8</v>
      </c>
      <c r="BO90" s="1038">
        <f>BO89-0.2</f>
        <v>4.8</v>
      </c>
      <c r="BP90" s="1442"/>
      <c r="BQ90" s="1038"/>
      <c r="BR90" s="1038"/>
      <c r="BS90" s="1038"/>
      <c r="BT90" s="1038"/>
      <c r="BU90" s="1038"/>
      <c r="BV90" s="1038"/>
      <c r="BW90" s="1038"/>
      <c r="BX90" s="1038"/>
      <c r="BY90" s="1038"/>
      <c r="BZ90" s="1038"/>
      <c r="CA90" s="1038"/>
      <c r="CC90" s="1038" t="s">
        <v>1354</v>
      </c>
      <c r="CD90" s="1038">
        <f>CD89-0.2</f>
        <v>2.8</v>
      </c>
      <c r="CE90" s="1038">
        <f>CE89-0.2</f>
        <v>5.0999999999999996</v>
      </c>
      <c r="CF90" s="1442"/>
      <c r="CG90" s="1038"/>
      <c r="CH90" s="1038"/>
      <c r="CI90" s="1038"/>
      <c r="CJ90" s="1038"/>
      <c r="CK90" s="1038"/>
      <c r="CL90" s="1038"/>
      <c r="CM90" s="1038"/>
      <c r="CN90" s="1038"/>
      <c r="CO90" s="1038"/>
      <c r="CP90" s="1038"/>
      <c r="CQ90" s="1038"/>
      <c r="CS90" s="1038" t="s">
        <v>1354</v>
      </c>
      <c r="CT90" s="1038">
        <f>CT89-0.2</f>
        <v>2.8</v>
      </c>
      <c r="CU90" s="1038">
        <f>CU89-0.2</f>
        <v>5.5</v>
      </c>
      <c r="CV90" s="1442"/>
      <c r="CW90" s="1038"/>
      <c r="CX90" s="1038"/>
      <c r="CY90" s="1038"/>
      <c r="CZ90" s="1038"/>
      <c r="DA90" s="1038"/>
      <c r="DB90" s="1038"/>
      <c r="DC90" s="1038"/>
      <c r="DD90" s="1038"/>
      <c r="DE90" s="1038"/>
      <c r="DF90" s="1038"/>
      <c r="DG90" s="1038"/>
      <c r="DI90" s="1038" t="s">
        <v>1354</v>
      </c>
      <c r="DJ90" s="1038">
        <f>DJ89-0.2</f>
        <v>2.8</v>
      </c>
      <c r="DK90" s="1038">
        <f>DK89-0.2</f>
        <v>5.8</v>
      </c>
      <c r="DL90" s="1442"/>
      <c r="DM90" s="1038"/>
      <c r="DN90" s="1038"/>
      <c r="DO90" s="1038"/>
      <c r="DP90" s="1038"/>
      <c r="DQ90" s="1038"/>
      <c r="DR90" s="1038"/>
      <c r="DS90" s="1038"/>
      <c r="DT90" s="1038"/>
      <c r="DU90" s="1038"/>
      <c r="DV90" s="1038"/>
      <c r="DW90" s="1038"/>
      <c r="DY90" s="1038"/>
      <c r="DZ90" s="1038"/>
      <c r="EA90" s="1038"/>
      <c r="EB90" s="701"/>
      <c r="EC90" s="1038"/>
      <c r="ED90" s="1038"/>
      <c r="EE90" s="1038"/>
      <c r="EF90" s="1038"/>
      <c r="EG90" s="1038"/>
      <c r="EH90" s="1038"/>
      <c r="EI90" s="1038"/>
      <c r="EJ90" s="1038"/>
      <c r="EK90" s="1038"/>
      <c r="EL90" s="1038"/>
      <c r="EM90" s="1038"/>
    </row>
    <row r="91" spans="1:143" ht="15.75" customHeight="1">
      <c r="A91" s="1040" t="s">
        <v>1471</v>
      </c>
      <c r="B91" s="1040"/>
      <c r="C91" s="1039">
        <f>B89*C89</f>
        <v>9</v>
      </c>
      <c r="D91" s="1442"/>
      <c r="E91" s="1038"/>
      <c r="F91" s="1038"/>
      <c r="G91" s="1038"/>
      <c r="H91" s="1038"/>
      <c r="I91" s="1038"/>
      <c r="J91" s="1038"/>
      <c r="K91" s="1038"/>
      <c r="L91" s="1038"/>
      <c r="M91" s="1038"/>
      <c r="N91" s="1038"/>
      <c r="O91" s="1038"/>
      <c r="Q91" s="1040" t="s">
        <v>1471</v>
      </c>
      <c r="R91" s="1040"/>
      <c r="S91" s="1039">
        <f>R89*S89</f>
        <v>10.5</v>
      </c>
      <c r="T91" s="1442"/>
      <c r="U91" s="1038"/>
      <c r="V91" s="1038"/>
      <c r="W91" s="1038"/>
      <c r="X91" s="1038"/>
      <c r="Y91" s="1038"/>
      <c r="Z91" s="1038"/>
      <c r="AA91" s="1038"/>
      <c r="AB91" s="1038"/>
      <c r="AC91" s="1038"/>
      <c r="AD91" s="1038"/>
      <c r="AE91" s="1038"/>
      <c r="AG91" s="1040" t="s">
        <v>1471</v>
      </c>
      <c r="AH91" s="1040"/>
      <c r="AI91" s="1039">
        <f>AH89*AI89</f>
        <v>12</v>
      </c>
      <c r="AJ91" s="1442"/>
      <c r="AK91" s="1038"/>
      <c r="AL91" s="1038"/>
      <c r="AM91" s="1038"/>
      <c r="AN91" s="1038"/>
      <c r="AO91" s="1038"/>
      <c r="AP91" s="1038"/>
      <c r="AQ91" s="1038"/>
      <c r="AR91" s="1038"/>
      <c r="AS91" s="1038"/>
      <c r="AT91" s="1038"/>
      <c r="AU91" s="1038"/>
      <c r="AW91" s="1040" t="s">
        <v>1471</v>
      </c>
      <c r="AX91" s="1040"/>
      <c r="AY91" s="1039">
        <f>AX89*AY89</f>
        <v>13.5</v>
      </c>
      <c r="AZ91" s="1442"/>
      <c r="BA91" s="1038"/>
      <c r="BB91" s="1038"/>
      <c r="BC91" s="1038"/>
      <c r="BD91" s="1038"/>
      <c r="BE91" s="1038"/>
      <c r="BF91" s="1038"/>
      <c r="BG91" s="1038"/>
      <c r="BH91" s="1038"/>
      <c r="BI91" s="1038"/>
      <c r="BJ91" s="1038"/>
      <c r="BK91" s="1038"/>
      <c r="BM91" s="1040" t="s">
        <v>1471</v>
      </c>
      <c r="BN91" s="1040"/>
      <c r="BO91" s="1039">
        <f>BN89*BO89</f>
        <v>15</v>
      </c>
      <c r="BP91" s="1442"/>
      <c r="BQ91" s="1038"/>
      <c r="BR91" s="1038"/>
      <c r="BS91" s="1038"/>
      <c r="BT91" s="1038"/>
      <c r="BU91" s="1038"/>
      <c r="BV91" s="1038"/>
      <c r="BW91" s="1038"/>
      <c r="BX91" s="1038"/>
      <c r="BY91" s="1038"/>
      <c r="BZ91" s="1038"/>
      <c r="CA91" s="1038"/>
      <c r="CC91" s="1040" t="s">
        <v>1471</v>
      </c>
      <c r="CD91" s="1040"/>
      <c r="CE91" s="1039">
        <f>CD89*CE89</f>
        <v>15.899999999999999</v>
      </c>
      <c r="CF91" s="1442"/>
      <c r="CG91" s="1038"/>
      <c r="CH91" s="1038"/>
      <c r="CI91" s="1038"/>
      <c r="CJ91" s="1038"/>
      <c r="CK91" s="1038"/>
      <c r="CL91" s="1038"/>
      <c r="CM91" s="1038"/>
      <c r="CN91" s="1038"/>
      <c r="CO91" s="1038"/>
      <c r="CP91" s="1038"/>
      <c r="CQ91" s="1038"/>
      <c r="CS91" s="1040" t="s">
        <v>1471</v>
      </c>
      <c r="CT91" s="1040"/>
      <c r="CU91" s="1039">
        <f>CT89*CU89</f>
        <v>17.100000000000001</v>
      </c>
      <c r="CV91" s="1442"/>
      <c r="CW91" s="1038"/>
      <c r="CX91" s="1038"/>
      <c r="CY91" s="1038"/>
      <c r="CZ91" s="1038"/>
      <c r="DA91" s="1038"/>
      <c r="DB91" s="1038"/>
      <c r="DC91" s="1038"/>
      <c r="DD91" s="1038"/>
      <c r="DE91" s="1038"/>
      <c r="DF91" s="1038"/>
      <c r="DG91" s="1038"/>
      <c r="DI91" s="1040" t="s">
        <v>1471</v>
      </c>
      <c r="DJ91" s="1040"/>
      <c r="DK91" s="1039">
        <f>DJ89*DK89</f>
        <v>18</v>
      </c>
      <c r="DL91" s="1442"/>
      <c r="DM91" s="1038"/>
      <c r="DN91" s="1038"/>
      <c r="DO91" s="1038"/>
      <c r="DP91" s="1038"/>
      <c r="DQ91" s="1038"/>
      <c r="DR91" s="1038"/>
      <c r="DS91" s="1038"/>
      <c r="DT91" s="1038"/>
      <c r="DU91" s="1038"/>
      <c r="DV91" s="1038"/>
      <c r="DW91" s="1038"/>
      <c r="DY91" s="1040"/>
      <c r="DZ91" s="1040"/>
      <c r="EA91" s="1039"/>
      <c r="EB91" s="701"/>
      <c r="EC91" s="1038"/>
      <c r="ED91" s="1038"/>
      <c r="EE91" s="1038"/>
      <c r="EF91" s="1038"/>
      <c r="EG91" s="1038"/>
      <c r="EH91" s="1038"/>
      <c r="EI91" s="1038"/>
      <c r="EJ91" s="1038"/>
      <c r="EK91" s="1038"/>
      <c r="EL91" s="1038"/>
      <c r="EM91" s="1038"/>
    </row>
    <row r="92" spans="1:143" ht="15.75" customHeight="1">
      <c r="A92" s="1040" t="s">
        <v>1355</v>
      </c>
      <c r="B92" s="1040"/>
      <c r="C92" s="1039">
        <f>C90*C90</f>
        <v>7.839999999999999</v>
      </c>
      <c r="D92" s="1442"/>
      <c r="E92" s="1038"/>
      <c r="F92" s="1038"/>
      <c r="G92" s="1038"/>
      <c r="H92" s="1038"/>
      <c r="I92" s="1038"/>
      <c r="J92" s="1038"/>
      <c r="K92" s="1038"/>
      <c r="L92" s="1038"/>
      <c r="M92" s="1038"/>
      <c r="N92" s="1038"/>
      <c r="O92" s="1038"/>
      <c r="Q92" s="1040" t="s">
        <v>1355</v>
      </c>
      <c r="R92" s="1040"/>
      <c r="S92" s="1039">
        <f>R90*S90</f>
        <v>9.2399999999999984</v>
      </c>
      <c r="T92" s="1442"/>
      <c r="U92" s="1038"/>
      <c r="V92" s="1038"/>
      <c r="W92" s="1038"/>
      <c r="X92" s="1038"/>
      <c r="Y92" s="1038"/>
      <c r="Z92" s="1038"/>
      <c r="AA92" s="1038"/>
      <c r="AB92" s="1038"/>
      <c r="AC92" s="1038"/>
      <c r="AD92" s="1038"/>
      <c r="AE92" s="1038"/>
      <c r="AG92" s="1040" t="s">
        <v>1355</v>
      </c>
      <c r="AH92" s="1040"/>
      <c r="AI92" s="1039">
        <f>AH90*AI90</f>
        <v>10.639999999999999</v>
      </c>
      <c r="AJ92" s="1442"/>
      <c r="AK92" s="1038"/>
      <c r="AL92" s="1038"/>
      <c r="AM92" s="1038"/>
      <c r="AN92" s="1038"/>
      <c r="AO92" s="1038"/>
      <c r="AP92" s="1038"/>
      <c r="AQ92" s="1038"/>
      <c r="AR92" s="1038"/>
      <c r="AS92" s="1038"/>
      <c r="AT92" s="1038"/>
      <c r="AU92" s="1038"/>
      <c r="AW92" s="1040" t="s">
        <v>1355</v>
      </c>
      <c r="AX92" s="1040"/>
      <c r="AY92" s="1039">
        <f>AX90*AY90</f>
        <v>12.04</v>
      </c>
      <c r="AZ92" s="1442"/>
      <c r="BA92" s="1038"/>
      <c r="BB92" s="1038"/>
      <c r="BC92" s="1038"/>
      <c r="BD92" s="1038"/>
      <c r="BE92" s="1038"/>
      <c r="BF92" s="1038"/>
      <c r="BG92" s="1038"/>
      <c r="BH92" s="1038"/>
      <c r="BI92" s="1038"/>
      <c r="BJ92" s="1038"/>
      <c r="BK92" s="1038"/>
      <c r="BM92" s="1040" t="s">
        <v>1355</v>
      </c>
      <c r="BN92" s="1040"/>
      <c r="BO92" s="1039">
        <f>BN90*BO90</f>
        <v>13.44</v>
      </c>
      <c r="BP92" s="1442"/>
      <c r="BQ92" s="1038"/>
      <c r="BR92" s="1038"/>
      <c r="BS92" s="1038"/>
      <c r="BT92" s="1038"/>
      <c r="BU92" s="1038"/>
      <c r="BV92" s="1038"/>
      <c r="BW92" s="1038"/>
      <c r="BX92" s="1038"/>
      <c r="BY92" s="1038"/>
      <c r="BZ92" s="1038"/>
      <c r="CA92" s="1038"/>
      <c r="CC92" s="1040" t="s">
        <v>1355</v>
      </c>
      <c r="CD92" s="1040"/>
      <c r="CE92" s="1039">
        <f>CD90*CE90</f>
        <v>14.279999999999998</v>
      </c>
      <c r="CF92" s="1442"/>
      <c r="CG92" s="1038"/>
      <c r="CH92" s="1038"/>
      <c r="CI92" s="1038"/>
      <c r="CJ92" s="1038"/>
      <c r="CK92" s="1038"/>
      <c r="CL92" s="1038"/>
      <c r="CM92" s="1038"/>
      <c r="CN92" s="1038"/>
      <c r="CO92" s="1038"/>
      <c r="CP92" s="1038"/>
      <c r="CQ92" s="1038"/>
      <c r="CS92" s="1040" t="s">
        <v>1355</v>
      </c>
      <c r="CT92" s="1040"/>
      <c r="CU92" s="1039">
        <f>CT90*CU90</f>
        <v>15.399999999999999</v>
      </c>
      <c r="CV92" s="1442"/>
      <c r="CW92" s="1038"/>
      <c r="CX92" s="1038"/>
      <c r="CY92" s="1038"/>
      <c r="CZ92" s="1038"/>
      <c r="DA92" s="1038"/>
      <c r="DB92" s="1038"/>
      <c r="DC92" s="1038"/>
      <c r="DD92" s="1038"/>
      <c r="DE92" s="1038"/>
      <c r="DF92" s="1038"/>
      <c r="DG92" s="1038"/>
      <c r="DI92" s="1040" t="s">
        <v>1355</v>
      </c>
      <c r="DJ92" s="1040"/>
      <c r="DK92" s="1039">
        <f>DJ90*DK90</f>
        <v>16.239999999999998</v>
      </c>
      <c r="DL92" s="1442"/>
      <c r="DM92" s="1038"/>
      <c r="DN92" s="1038"/>
      <c r="DO92" s="1038"/>
      <c r="DP92" s="1038"/>
      <c r="DQ92" s="1038"/>
      <c r="DR92" s="1038"/>
      <c r="DS92" s="1038"/>
      <c r="DT92" s="1038"/>
      <c r="DU92" s="1038"/>
      <c r="DV92" s="1038"/>
      <c r="DW92" s="1038"/>
      <c r="DY92" s="1040"/>
      <c r="DZ92" s="1040"/>
      <c r="EA92" s="1039"/>
      <c r="EB92" s="701"/>
      <c r="EC92" s="1038"/>
      <c r="ED92" s="1038"/>
      <c r="EE92" s="1038"/>
      <c r="EF92" s="1038"/>
      <c r="EG92" s="1038"/>
      <c r="EH92" s="1038"/>
      <c r="EI92" s="1038"/>
      <c r="EJ92" s="1038"/>
      <c r="EK92" s="1038"/>
      <c r="EL92" s="1038"/>
      <c r="EM92" s="1038"/>
    </row>
    <row r="93" spans="1:143" ht="15.75" customHeight="1">
      <c r="A93" s="1037" t="s">
        <v>1356</v>
      </c>
      <c r="B93" s="1405" t="s">
        <v>1357</v>
      </c>
      <c r="C93" s="1406"/>
      <c r="D93" s="1405" t="s">
        <v>1358</v>
      </c>
      <c r="E93" s="1406"/>
      <c r="F93" s="1405" t="s">
        <v>1359</v>
      </c>
      <c r="G93" s="1406"/>
      <c r="H93" s="1405" t="s">
        <v>1360</v>
      </c>
      <c r="I93" s="1406"/>
      <c r="J93" s="1405" t="s">
        <v>1361</v>
      </c>
      <c r="K93" s="1406"/>
      <c r="L93" s="1405" t="s">
        <v>1362</v>
      </c>
      <c r="M93" s="1406"/>
      <c r="N93" s="1409" t="s">
        <v>1363</v>
      </c>
      <c r="O93" s="1406"/>
      <c r="Q93" s="1037" t="s">
        <v>1356</v>
      </c>
      <c r="R93" s="1405" t="s">
        <v>1357</v>
      </c>
      <c r="S93" s="1406"/>
      <c r="T93" s="1405" t="s">
        <v>1358</v>
      </c>
      <c r="U93" s="1406"/>
      <c r="V93" s="1405" t="s">
        <v>1359</v>
      </c>
      <c r="W93" s="1406"/>
      <c r="X93" s="1405" t="s">
        <v>1360</v>
      </c>
      <c r="Y93" s="1406"/>
      <c r="Z93" s="1405" t="s">
        <v>1361</v>
      </c>
      <c r="AA93" s="1406"/>
      <c r="AB93" s="1405" t="s">
        <v>1362</v>
      </c>
      <c r="AC93" s="1406"/>
      <c r="AD93" s="1409" t="s">
        <v>1363</v>
      </c>
      <c r="AE93" s="1406"/>
      <c r="AG93" s="1037" t="s">
        <v>1356</v>
      </c>
      <c r="AH93" s="1405" t="s">
        <v>1357</v>
      </c>
      <c r="AI93" s="1406"/>
      <c r="AJ93" s="1405" t="s">
        <v>1358</v>
      </c>
      <c r="AK93" s="1406"/>
      <c r="AL93" s="1405" t="s">
        <v>1359</v>
      </c>
      <c r="AM93" s="1406"/>
      <c r="AN93" s="1405" t="s">
        <v>1360</v>
      </c>
      <c r="AO93" s="1406"/>
      <c r="AP93" s="1405" t="s">
        <v>1361</v>
      </c>
      <c r="AQ93" s="1406"/>
      <c r="AR93" s="1405" t="s">
        <v>1362</v>
      </c>
      <c r="AS93" s="1406"/>
      <c r="AT93" s="1409" t="s">
        <v>1363</v>
      </c>
      <c r="AU93" s="1406"/>
      <c r="AW93" s="1037" t="s">
        <v>1356</v>
      </c>
      <c r="AX93" s="1405" t="s">
        <v>1357</v>
      </c>
      <c r="AY93" s="1406"/>
      <c r="AZ93" s="1405" t="s">
        <v>1358</v>
      </c>
      <c r="BA93" s="1406"/>
      <c r="BB93" s="1405" t="s">
        <v>1359</v>
      </c>
      <c r="BC93" s="1406"/>
      <c r="BD93" s="1405" t="s">
        <v>1360</v>
      </c>
      <c r="BE93" s="1406"/>
      <c r="BF93" s="1405" t="s">
        <v>1361</v>
      </c>
      <c r="BG93" s="1406"/>
      <c r="BH93" s="1405" t="s">
        <v>1362</v>
      </c>
      <c r="BI93" s="1406"/>
      <c r="BJ93" s="1409" t="s">
        <v>1363</v>
      </c>
      <c r="BK93" s="1406"/>
      <c r="BM93" s="1037" t="s">
        <v>1356</v>
      </c>
      <c r="BN93" s="1405" t="s">
        <v>1357</v>
      </c>
      <c r="BO93" s="1406"/>
      <c r="BP93" s="1405" t="s">
        <v>1358</v>
      </c>
      <c r="BQ93" s="1406"/>
      <c r="BR93" s="1405" t="s">
        <v>1359</v>
      </c>
      <c r="BS93" s="1406"/>
      <c r="BT93" s="1405" t="s">
        <v>1360</v>
      </c>
      <c r="BU93" s="1406"/>
      <c r="BV93" s="1405" t="s">
        <v>1361</v>
      </c>
      <c r="BW93" s="1406"/>
      <c r="BX93" s="1405" t="s">
        <v>1362</v>
      </c>
      <c r="BY93" s="1406"/>
      <c r="BZ93" s="1409" t="s">
        <v>1363</v>
      </c>
      <c r="CA93" s="1406"/>
      <c r="CC93" s="1037" t="s">
        <v>1356</v>
      </c>
      <c r="CD93" s="1405" t="s">
        <v>1357</v>
      </c>
      <c r="CE93" s="1406"/>
      <c r="CF93" s="1405" t="s">
        <v>1358</v>
      </c>
      <c r="CG93" s="1406"/>
      <c r="CH93" s="1405" t="s">
        <v>1359</v>
      </c>
      <c r="CI93" s="1406"/>
      <c r="CJ93" s="1405" t="s">
        <v>1360</v>
      </c>
      <c r="CK93" s="1406"/>
      <c r="CL93" s="1405" t="s">
        <v>1361</v>
      </c>
      <c r="CM93" s="1406"/>
      <c r="CN93" s="1405" t="s">
        <v>1362</v>
      </c>
      <c r="CO93" s="1406"/>
      <c r="CP93" s="1409" t="s">
        <v>1363</v>
      </c>
      <c r="CQ93" s="1406"/>
      <c r="CS93" s="1037" t="s">
        <v>1356</v>
      </c>
      <c r="CT93" s="1405" t="s">
        <v>1357</v>
      </c>
      <c r="CU93" s="1406"/>
      <c r="CV93" s="1405" t="s">
        <v>1358</v>
      </c>
      <c r="CW93" s="1406"/>
      <c r="CX93" s="1405" t="s">
        <v>1359</v>
      </c>
      <c r="CY93" s="1406"/>
      <c r="CZ93" s="1405" t="s">
        <v>1360</v>
      </c>
      <c r="DA93" s="1406"/>
      <c r="DB93" s="1405" t="s">
        <v>1361</v>
      </c>
      <c r="DC93" s="1406"/>
      <c r="DD93" s="1405" t="s">
        <v>1362</v>
      </c>
      <c r="DE93" s="1406"/>
      <c r="DF93" s="1409" t="s">
        <v>1363</v>
      </c>
      <c r="DG93" s="1406"/>
      <c r="DI93" s="1037" t="s">
        <v>1356</v>
      </c>
      <c r="DJ93" s="1405" t="s">
        <v>1357</v>
      </c>
      <c r="DK93" s="1406"/>
      <c r="DL93" s="1405" t="s">
        <v>1358</v>
      </c>
      <c r="DM93" s="1406"/>
      <c r="DN93" s="1405" t="s">
        <v>1359</v>
      </c>
      <c r="DO93" s="1406"/>
      <c r="DP93" s="1405" t="s">
        <v>1360</v>
      </c>
      <c r="DQ93" s="1406"/>
      <c r="DR93" s="1405" t="s">
        <v>1361</v>
      </c>
      <c r="DS93" s="1406"/>
      <c r="DT93" s="1405" t="s">
        <v>1362</v>
      </c>
      <c r="DU93" s="1406"/>
      <c r="DV93" s="1409" t="s">
        <v>1363</v>
      </c>
      <c r="DW93" s="1406"/>
      <c r="DY93" s="1040"/>
      <c r="DZ93" s="1040"/>
      <c r="EA93" s="701"/>
      <c r="EB93" s="1040"/>
      <c r="EC93" s="701"/>
      <c r="ED93" s="1040"/>
      <c r="EE93" s="701"/>
      <c r="EF93" s="1040"/>
      <c r="EG93" s="701"/>
      <c r="EH93" s="1040"/>
      <c r="EI93" s="701"/>
      <c r="EJ93" s="1040"/>
      <c r="EK93" s="701"/>
      <c r="EL93" s="1166"/>
      <c r="EM93" s="701"/>
    </row>
    <row r="94" spans="1:143" ht="15.75" customHeight="1">
      <c r="A94" s="1435" t="s">
        <v>1364</v>
      </c>
      <c r="B94" s="1451"/>
      <c r="C94" s="1033">
        <f>Möblierungsschablone!$C$21</f>
        <v>7.17</v>
      </c>
      <c r="D94" s="1451"/>
      <c r="E94" s="1033">
        <f>Möblierungsschablone!$G$21</f>
        <v>10.8</v>
      </c>
      <c r="F94" s="1451"/>
      <c r="G94" s="1033">
        <f>Möblierungsschablone!$C$21</f>
        <v>7.17</v>
      </c>
      <c r="H94" s="1451"/>
      <c r="I94" s="1033">
        <f>Möblierungsschablone!$E$21</f>
        <v>10.325999999999999</v>
      </c>
      <c r="J94" s="1451"/>
      <c r="K94" s="1033">
        <f>Möblierungsschablone!$C$21</f>
        <v>7.17</v>
      </c>
      <c r="L94" s="1451"/>
      <c r="M94" s="1033">
        <f>2*Möblierungsschablone!$E$21</f>
        <v>20.651999999999997</v>
      </c>
      <c r="N94" s="1451"/>
      <c r="O94" s="1033">
        <f>Möblierungsschablone!$C$21</f>
        <v>7.17</v>
      </c>
      <c r="Q94" s="1435" t="s">
        <v>1364</v>
      </c>
      <c r="R94" s="1199" t="s">
        <v>2051</v>
      </c>
      <c r="S94" s="1033">
        <f>Möblierungsschablone!$C$21</f>
        <v>7.17</v>
      </c>
      <c r="T94" s="1200" t="s">
        <v>2046</v>
      </c>
      <c r="U94" s="1033">
        <f>Möblierungsschablone!$G$21</f>
        <v>10.8</v>
      </c>
      <c r="V94" s="1199" t="s">
        <v>2051</v>
      </c>
      <c r="W94" s="1033">
        <f>Möblierungsschablone!$C$21</f>
        <v>7.17</v>
      </c>
      <c r="X94" s="1199" t="s">
        <v>2050</v>
      </c>
      <c r="Y94" s="1033">
        <f>2*Möblierungsschablone!$C$21</f>
        <v>14.34</v>
      </c>
      <c r="Z94" s="1199" t="s">
        <v>2049</v>
      </c>
      <c r="AA94" s="1033">
        <f>3*Möblierungsschablone!$C$21</f>
        <v>21.509999999999998</v>
      </c>
      <c r="AB94" s="1199" t="s">
        <v>2048</v>
      </c>
      <c r="AC94" s="1033">
        <f>4*Möblierungsschablone!$C$21</f>
        <v>28.68</v>
      </c>
      <c r="AD94" s="1199" t="s">
        <v>2047</v>
      </c>
      <c r="AE94" s="1033">
        <f>5*Möblierungsschablone!$C$21</f>
        <v>35.85</v>
      </c>
      <c r="AG94" s="1435" t="s">
        <v>1364</v>
      </c>
      <c r="AH94" s="1199" t="s">
        <v>2051</v>
      </c>
      <c r="AI94" s="1033">
        <f>Möblierungsschablone!$C$21</f>
        <v>7.17</v>
      </c>
      <c r="AJ94" s="1200" t="s">
        <v>2046</v>
      </c>
      <c r="AK94" s="1033">
        <f>Möblierungsschablone!$G$21</f>
        <v>10.8</v>
      </c>
      <c r="AL94" s="1199" t="s">
        <v>2051</v>
      </c>
      <c r="AM94" s="1033">
        <f>Möblierungsschablone!$C$21</f>
        <v>7.17</v>
      </c>
      <c r="AN94" s="1199" t="s">
        <v>2050</v>
      </c>
      <c r="AO94" s="1033">
        <f>2*Möblierungsschablone!$C$21</f>
        <v>14.34</v>
      </c>
      <c r="AP94" s="1199" t="s">
        <v>2049</v>
      </c>
      <c r="AQ94" s="1033">
        <f>3*Möblierungsschablone!$C$21</f>
        <v>21.509999999999998</v>
      </c>
      <c r="AR94" s="1199" t="s">
        <v>2048</v>
      </c>
      <c r="AS94" s="1033">
        <f>4*Möblierungsschablone!$C$21</f>
        <v>28.68</v>
      </c>
      <c r="AT94" s="1199" t="s">
        <v>2047</v>
      </c>
      <c r="AU94" s="1033">
        <f>5*Möblierungsschablone!$C$21</f>
        <v>35.85</v>
      </c>
      <c r="AW94" s="1435" t="s">
        <v>1364</v>
      </c>
      <c r="AX94" s="1199" t="s">
        <v>2051</v>
      </c>
      <c r="AY94" s="1033">
        <f>Möblierungsschablone!$C$21</f>
        <v>7.17</v>
      </c>
      <c r="AZ94" s="1200" t="s">
        <v>2046</v>
      </c>
      <c r="BA94" s="1033">
        <f>Möblierungsschablone!$G$21</f>
        <v>10.8</v>
      </c>
      <c r="BB94" s="1199" t="s">
        <v>2051</v>
      </c>
      <c r="BC94" s="1033">
        <f>Möblierungsschablone!$C$21</f>
        <v>7.17</v>
      </c>
      <c r="BD94" s="1199" t="s">
        <v>2050</v>
      </c>
      <c r="BE94" s="1033">
        <f>2*Möblierungsschablone!$C$21</f>
        <v>14.34</v>
      </c>
      <c r="BF94" s="1199" t="s">
        <v>2049</v>
      </c>
      <c r="BG94" s="1033">
        <f>3*Möblierungsschablone!$C$21</f>
        <v>21.509999999999998</v>
      </c>
      <c r="BH94" s="1199" t="s">
        <v>2048</v>
      </c>
      <c r="BI94" s="1033">
        <f>4*Möblierungsschablone!$C$21</f>
        <v>28.68</v>
      </c>
      <c r="BJ94" s="1199" t="s">
        <v>2047</v>
      </c>
      <c r="BK94" s="1033">
        <f>5*Möblierungsschablone!$C$21</f>
        <v>35.85</v>
      </c>
      <c r="BM94" s="1435" t="s">
        <v>1364</v>
      </c>
      <c r="BN94" s="1199" t="s">
        <v>2051</v>
      </c>
      <c r="BO94" s="1033">
        <f>Möblierungsschablone!$C$21</f>
        <v>7.17</v>
      </c>
      <c r="BP94" s="1200" t="s">
        <v>2046</v>
      </c>
      <c r="BQ94" s="1033">
        <f>Möblierungsschablone!$G$21</f>
        <v>10.8</v>
      </c>
      <c r="BR94" s="1199" t="s">
        <v>2051</v>
      </c>
      <c r="BS94" s="1033">
        <f>Möblierungsschablone!$C$21</f>
        <v>7.17</v>
      </c>
      <c r="BT94" s="1199" t="s">
        <v>2050</v>
      </c>
      <c r="BU94" s="1033">
        <f>2*Möblierungsschablone!$C$21</f>
        <v>14.34</v>
      </c>
      <c r="BV94" s="1199" t="s">
        <v>2049</v>
      </c>
      <c r="BW94" s="1033">
        <f>3*Möblierungsschablone!$C$21</f>
        <v>21.509999999999998</v>
      </c>
      <c r="BX94" s="1199" t="s">
        <v>2048</v>
      </c>
      <c r="BY94" s="1033">
        <f>4*Möblierungsschablone!$C$21</f>
        <v>28.68</v>
      </c>
      <c r="BZ94" s="1199" t="s">
        <v>2047</v>
      </c>
      <c r="CA94" s="1033">
        <f>5*Möblierungsschablone!$C$21</f>
        <v>35.85</v>
      </c>
      <c r="CC94" s="1435" t="s">
        <v>1364</v>
      </c>
      <c r="CD94" s="1199" t="s">
        <v>2051</v>
      </c>
      <c r="CE94" s="1033">
        <f>Möblierungsschablone!$C$21</f>
        <v>7.17</v>
      </c>
      <c r="CF94" s="1200" t="s">
        <v>2046</v>
      </c>
      <c r="CG94" s="1033">
        <f>Möblierungsschablone!$G$21</f>
        <v>10.8</v>
      </c>
      <c r="CH94" s="1199" t="s">
        <v>2051</v>
      </c>
      <c r="CI94" s="1033">
        <f>Möblierungsschablone!$C$21</f>
        <v>7.17</v>
      </c>
      <c r="CJ94" s="1199" t="s">
        <v>2050</v>
      </c>
      <c r="CK94" s="1033">
        <f>2*Möblierungsschablone!$C$21</f>
        <v>14.34</v>
      </c>
      <c r="CL94" s="1199" t="s">
        <v>2049</v>
      </c>
      <c r="CM94" s="1033">
        <f>3*Möblierungsschablone!$C$21</f>
        <v>21.509999999999998</v>
      </c>
      <c r="CN94" s="1199" t="s">
        <v>2048</v>
      </c>
      <c r="CO94" s="1033">
        <f>4*Möblierungsschablone!$C$21</f>
        <v>28.68</v>
      </c>
      <c r="CP94" s="1199" t="s">
        <v>2047</v>
      </c>
      <c r="CQ94" s="1033">
        <f>5*Möblierungsschablone!$C$21</f>
        <v>35.85</v>
      </c>
      <c r="CS94" s="1435" t="s">
        <v>1364</v>
      </c>
      <c r="CT94" s="1199" t="s">
        <v>2051</v>
      </c>
      <c r="CU94" s="1033">
        <f>Möblierungsschablone!$C$21</f>
        <v>7.17</v>
      </c>
      <c r="CV94" s="1200" t="s">
        <v>2046</v>
      </c>
      <c r="CW94" s="1033">
        <f>Möblierungsschablone!$G$21</f>
        <v>10.8</v>
      </c>
      <c r="CX94" s="1199" t="s">
        <v>2051</v>
      </c>
      <c r="CY94" s="1033">
        <f>Möblierungsschablone!$C$21</f>
        <v>7.17</v>
      </c>
      <c r="CZ94" s="1199" t="s">
        <v>2050</v>
      </c>
      <c r="DA94" s="1033">
        <f>2*Möblierungsschablone!$C$21</f>
        <v>14.34</v>
      </c>
      <c r="DB94" s="1199" t="s">
        <v>2049</v>
      </c>
      <c r="DC94" s="1033">
        <f>3*Möblierungsschablone!$C$21</f>
        <v>21.509999999999998</v>
      </c>
      <c r="DD94" s="1199" t="s">
        <v>2048</v>
      </c>
      <c r="DE94" s="1033">
        <f>4*Möblierungsschablone!$C$21</f>
        <v>28.68</v>
      </c>
      <c r="DF94" s="1199" t="s">
        <v>2047</v>
      </c>
      <c r="DG94" s="1033">
        <f>5*Möblierungsschablone!$C$21</f>
        <v>35.85</v>
      </c>
      <c r="DI94" s="1435" t="s">
        <v>1364</v>
      </c>
      <c r="DJ94" s="1199" t="s">
        <v>2051</v>
      </c>
      <c r="DK94" s="1033">
        <f>Möblierungsschablone!$C$21</f>
        <v>7.17</v>
      </c>
      <c r="DL94" s="1200" t="s">
        <v>2046</v>
      </c>
      <c r="DM94" s="1033">
        <f>Möblierungsschablone!$G$21</f>
        <v>10.8</v>
      </c>
      <c r="DN94" s="1199" t="s">
        <v>2051</v>
      </c>
      <c r="DO94" s="1033">
        <f>Möblierungsschablone!$C$21</f>
        <v>7.17</v>
      </c>
      <c r="DP94" s="1199" t="s">
        <v>2050</v>
      </c>
      <c r="DQ94" s="1033">
        <f>2*Möblierungsschablone!$C$21</f>
        <v>14.34</v>
      </c>
      <c r="DR94" s="1199" t="s">
        <v>2049</v>
      </c>
      <c r="DS94" s="1033">
        <f>3*Möblierungsschablone!$C$21</f>
        <v>21.509999999999998</v>
      </c>
      <c r="DT94" s="1199" t="s">
        <v>2048</v>
      </c>
      <c r="DU94" s="1033">
        <f>4*Möblierungsschablone!$C$21</f>
        <v>28.68</v>
      </c>
      <c r="DV94" s="1199" t="s">
        <v>2047</v>
      </c>
      <c r="DW94" s="1033">
        <f>5*Möblierungsschablone!$C$21</f>
        <v>35.85</v>
      </c>
      <c r="DY94" s="1154"/>
      <c r="DZ94" s="1040"/>
      <c r="EA94" s="1039"/>
      <c r="EB94" s="1040"/>
      <c r="EC94" s="1039"/>
      <c r="ED94" s="1040"/>
      <c r="EE94" s="1039"/>
      <c r="EF94" s="1040"/>
      <c r="EG94" s="1039"/>
      <c r="EH94" s="1040"/>
      <c r="EI94" s="1039"/>
      <c r="EJ94" s="1040"/>
      <c r="EK94" s="1039"/>
      <c r="EL94" s="1040"/>
      <c r="EM94" s="1039"/>
    </row>
    <row r="95" spans="1:143" ht="15.75" customHeight="1">
      <c r="A95" s="1435"/>
      <c r="B95" s="1451"/>
      <c r="C95" s="1033"/>
      <c r="D95" s="1451"/>
      <c r="E95" s="1036"/>
      <c r="F95" s="1451"/>
      <c r="G95" s="1033">
        <f>Möblierungsschablone!$G$21</f>
        <v>10.8</v>
      </c>
      <c r="H95" s="1451"/>
      <c r="I95" s="1033">
        <f>Möblierungsschablone!$G$21</f>
        <v>10.8</v>
      </c>
      <c r="J95" s="1451"/>
      <c r="K95" s="1033">
        <f>Möblierungsschablone!$E$21</f>
        <v>10.325999999999999</v>
      </c>
      <c r="L95" s="1451"/>
      <c r="M95" s="1033">
        <f>Möblierungsschablone!$G$21</f>
        <v>10.8</v>
      </c>
      <c r="N95" s="1451"/>
      <c r="O95" s="1033">
        <f>2*Möblierungsschablone!$E$21</f>
        <v>20.651999999999997</v>
      </c>
      <c r="Q95" s="1435"/>
      <c r="R95" s="1200"/>
      <c r="S95" s="1033"/>
      <c r="T95" s="1200"/>
      <c r="U95" s="1036"/>
      <c r="V95" s="1200" t="s">
        <v>2046</v>
      </c>
      <c r="W95" s="1033">
        <f>Möblierungsschablone!$G$21</f>
        <v>10.8</v>
      </c>
      <c r="X95" s="1200" t="s">
        <v>2046</v>
      </c>
      <c r="Y95" s="1033">
        <f>Möblierungsschablone!$G$21</f>
        <v>10.8</v>
      </c>
      <c r="Z95" s="1200" t="s">
        <v>2046</v>
      </c>
      <c r="AA95" s="1033">
        <f>Möblierungsschablone!$G$21</f>
        <v>10.8</v>
      </c>
      <c r="AB95" s="1200" t="s">
        <v>2046</v>
      </c>
      <c r="AC95" s="1033">
        <f>Möblierungsschablone!$G$21</f>
        <v>10.8</v>
      </c>
      <c r="AD95" s="1200" t="s">
        <v>2046</v>
      </c>
      <c r="AE95" s="1033">
        <f>Möblierungsschablone!$G$21</f>
        <v>10.8</v>
      </c>
      <c r="AG95" s="1435"/>
      <c r="AH95" s="1200"/>
      <c r="AI95" s="1033"/>
      <c r="AJ95" s="1200"/>
      <c r="AK95" s="1036"/>
      <c r="AL95" s="1200" t="s">
        <v>2046</v>
      </c>
      <c r="AM95" s="1033">
        <f>Möblierungsschablone!$G$21</f>
        <v>10.8</v>
      </c>
      <c r="AN95" s="1200" t="s">
        <v>2046</v>
      </c>
      <c r="AO95" s="1033">
        <f>Möblierungsschablone!$G$21</f>
        <v>10.8</v>
      </c>
      <c r="AP95" s="1200" t="s">
        <v>2046</v>
      </c>
      <c r="AQ95" s="1033">
        <f>Möblierungsschablone!$G$21</f>
        <v>10.8</v>
      </c>
      <c r="AR95" s="1200" t="s">
        <v>2046</v>
      </c>
      <c r="AS95" s="1033">
        <f>Möblierungsschablone!$G$21</f>
        <v>10.8</v>
      </c>
      <c r="AT95" s="1200" t="s">
        <v>2046</v>
      </c>
      <c r="AU95" s="1033">
        <f>Möblierungsschablone!$G$21</f>
        <v>10.8</v>
      </c>
      <c r="AW95" s="1435"/>
      <c r="AX95" s="1200"/>
      <c r="AY95" s="1033"/>
      <c r="AZ95" s="1200"/>
      <c r="BA95" s="1036"/>
      <c r="BB95" s="1200" t="s">
        <v>2046</v>
      </c>
      <c r="BC95" s="1033">
        <f>Möblierungsschablone!$G$21</f>
        <v>10.8</v>
      </c>
      <c r="BD95" s="1200" t="s">
        <v>2046</v>
      </c>
      <c r="BE95" s="1033">
        <f>Möblierungsschablone!$G$21</f>
        <v>10.8</v>
      </c>
      <c r="BF95" s="1200" t="s">
        <v>2046</v>
      </c>
      <c r="BG95" s="1033">
        <f>Möblierungsschablone!$G$21</f>
        <v>10.8</v>
      </c>
      <c r="BH95" s="1200" t="s">
        <v>2046</v>
      </c>
      <c r="BI95" s="1033">
        <f>Möblierungsschablone!$G$21</f>
        <v>10.8</v>
      </c>
      <c r="BJ95" s="1200" t="s">
        <v>2046</v>
      </c>
      <c r="BK95" s="1033">
        <f>Möblierungsschablone!$G$21</f>
        <v>10.8</v>
      </c>
      <c r="BM95" s="1435"/>
      <c r="BN95" s="1200"/>
      <c r="BO95" s="1033"/>
      <c r="BP95" s="1200"/>
      <c r="BQ95" s="1036"/>
      <c r="BR95" s="1200" t="s">
        <v>2046</v>
      </c>
      <c r="BS95" s="1033">
        <f>Möblierungsschablone!$G$21</f>
        <v>10.8</v>
      </c>
      <c r="BT95" s="1200" t="s">
        <v>2046</v>
      </c>
      <c r="BU95" s="1033">
        <f>Möblierungsschablone!$G$21</f>
        <v>10.8</v>
      </c>
      <c r="BV95" s="1200" t="s">
        <v>2046</v>
      </c>
      <c r="BW95" s="1033">
        <f>Möblierungsschablone!$G$21</f>
        <v>10.8</v>
      </c>
      <c r="BX95" s="1200" t="s">
        <v>2046</v>
      </c>
      <c r="BY95" s="1033">
        <f>Möblierungsschablone!$G$21</f>
        <v>10.8</v>
      </c>
      <c r="BZ95" s="1200" t="s">
        <v>2046</v>
      </c>
      <c r="CA95" s="1033">
        <f>Möblierungsschablone!$G$21</f>
        <v>10.8</v>
      </c>
      <c r="CC95" s="1435"/>
      <c r="CD95" s="1200"/>
      <c r="CE95" s="1033"/>
      <c r="CF95" s="1200"/>
      <c r="CG95" s="1036"/>
      <c r="CH95" s="1200" t="s">
        <v>2046</v>
      </c>
      <c r="CI95" s="1033">
        <f>Möblierungsschablone!$G$21</f>
        <v>10.8</v>
      </c>
      <c r="CJ95" s="1200" t="s">
        <v>2046</v>
      </c>
      <c r="CK95" s="1033">
        <f>Möblierungsschablone!$G$21</f>
        <v>10.8</v>
      </c>
      <c r="CL95" s="1200" t="s">
        <v>2046</v>
      </c>
      <c r="CM95" s="1033">
        <f>Möblierungsschablone!$G$21</f>
        <v>10.8</v>
      </c>
      <c r="CN95" s="1200" t="s">
        <v>2046</v>
      </c>
      <c r="CO95" s="1033">
        <f>Möblierungsschablone!$G$21</f>
        <v>10.8</v>
      </c>
      <c r="CP95" s="1200" t="s">
        <v>2046</v>
      </c>
      <c r="CQ95" s="1033">
        <f>Möblierungsschablone!$G$21</f>
        <v>10.8</v>
      </c>
      <c r="CS95" s="1435"/>
      <c r="CT95" s="1200"/>
      <c r="CU95" s="1033"/>
      <c r="CV95" s="1200"/>
      <c r="CW95" s="1036"/>
      <c r="CX95" s="1200" t="s">
        <v>2046</v>
      </c>
      <c r="CY95" s="1033">
        <f>Möblierungsschablone!$G$21</f>
        <v>10.8</v>
      </c>
      <c r="CZ95" s="1200" t="s">
        <v>2046</v>
      </c>
      <c r="DA95" s="1033">
        <f>Möblierungsschablone!$G$21</f>
        <v>10.8</v>
      </c>
      <c r="DB95" s="1200" t="s">
        <v>2046</v>
      </c>
      <c r="DC95" s="1033">
        <f>Möblierungsschablone!$G$21</f>
        <v>10.8</v>
      </c>
      <c r="DD95" s="1200" t="s">
        <v>2046</v>
      </c>
      <c r="DE95" s="1033">
        <f>Möblierungsschablone!$G$21</f>
        <v>10.8</v>
      </c>
      <c r="DF95" s="1200" t="s">
        <v>2046</v>
      </c>
      <c r="DG95" s="1033">
        <f>Möblierungsschablone!$G$21</f>
        <v>10.8</v>
      </c>
      <c r="DI95" s="1435"/>
      <c r="DJ95" s="1200"/>
      <c r="DK95" s="1033"/>
      <c r="DL95" s="1200"/>
      <c r="DM95" s="1036"/>
      <c r="DN95" s="1200" t="s">
        <v>2046</v>
      </c>
      <c r="DO95" s="1033">
        <f>Möblierungsschablone!$G$21</f>
        <v>10.8</v>
      </c>
      <c r="DP95" s="1200" t="s">
        <v>2046</v>
      </c>
      <c r="DQ95" s="1033">
        <f>Möblierungsschablone!$G$21</f>
        <v>10.8</v>
      </c>
      <c r="DR95" s="1200" t="s">
        <v>2046</v>
      </c>
      <c r="DS95" s="1033">
        <f>Möblierungsschablone!$G$21</f>
        <v>10.8</v>
      </c>
      <c r="DT95" s="1200" t="s">
        <v>2046</v>
      </c>
      <c r="DU95" s="1033">
        <f>Möblierungsschablone!$G$21</f>
        <v>10.8</v>
      </c>
      <c r="DV95" s="1200" t="s">
        <v>2046</v>
      </c>
      <c r="DW95" s="1033">
        <f>Möblierungsschablone!$G$21</f>
        <v>10.8</v>
      </c>
      <c r="DY95" s="1154"/>
      <c r="DZ95" s="1040"/>
      <c r="EA95" s="1039"/>
      <c r="EB95" s="1040"/>
      <c r="EC95" s="1152"/>
      <c r="ED95" s="1040"/>
      <c r="EE95" s="1039"/>
      <c r="EF95" s="1040"/>
      <c r="EG95" s="1039"/>
      <c r="EH95" s="1040"/>
      <c r="EI95" s="1039"/>
      <c r="EJ95" s="1040"/>
      <c r="EK95" s="1039"/>
      <c r="EL95" s="1040"/>
      <c r="EM95" s="1039"/>
    </row>
    <row r="96" spans="1:143" ht="15.75" customHeight="1">
      <c r="A96" s="1436"/>
      <c r="B96" s="1451"/>
      <c r="C96" s="1033"/>
      <c r="D96" s="1451"/>
      <c r="E96" s="1036"/>
      <c r="F96" s="1451"/>
      <c r="G96" s="1036"/>
      <c r="H96" s="1451"/>
      <c r="I96" s="1036"/>
      <c r="J96" s="1451"/>
      <c r="K96" s="1033">
        <f>Möblierungsschablone!$G$21</f>
        <v>10.8</v>
      </c>
      <c r="L96" s="1451"/>
      <c r="M96" s="1033"/>
      <c r="N96" s="1451"/>
      <c r="O96" s="1033">
        <f>Möblierungsschablone!$G$21</f>
        <v>10.8</v>
      </c>
      <c r="Q96" s="1436"/>
      <c r="R96" s="1200"/>
      <c r="S96" s="1033"/>
      <c r="T96" s="1200"/>
      <c r="U96" s="1036"/>
      <c r="V96" s="1200"/>
      <c r="W96" s="1036"/>
      <c r="X96" s="1200"/>
      <c r="Y96" s="1036"/>
      <c r="Z96" s="1200"/>
      <c r="AA96" s="1036"/>
      <c r="AB96" s="1200"/>
      <c r="AC96" s="1036"/>
      <c r="AD96" s="1200"/>
      <c r="AE96" s="1036"/>
      <c r="AG96" s="1436"/>
      <c r="AH96" s="1200"/>
      <c r="AI96" s="1033"/>
      <c r="AJ96" s="1200"/>
      <c r="AK96" s="1036"/>
      <c r="AL96" s="1200"/>
      <c r="AM96" s="1036"/>
      <c r="AN96" s="1200"/>
      <c r="AO96" s="1036"/>
      <c r="AP96" s="1200"/>
      <c r="AQ96" s="1036"/>
      <c r="AR96" s="1200"/>
      <c r="AS96" s="1036"/>
      <c r="AT96" s="1200"/>
      <c r="AU96" s="1036"/>
      <c r="AW96" s="1436"/>
      <c r="AX96" s="1200"/>
      <c r="AY96" s="1033"/>
      <c r="AZ96" s="1200"/>
      <c r="BA96" s="1036"/>
      <c r="BB96" s="1200"/>
      <c r="BC96" s="1036"/>
      <c r="BD96" s="1200"/>
      <c r="BE96" s="1036"/>
      <c r="BF96" s="1200"/>
      <c r="BG96" s="1036"/>
      <c r="BH96" s="1200"/>
      <c r="BI96" s="1036"/>
      <c r="BJ96" s="1200"/>
      <c r="BK96" s="1036"/>
      <c r="BM96" s="1436"/>
      <c r="BN96" s="1200"/>
      <c r="BO96" s="1033"/>
      <c r="BP96" s="1200"/>
      <c r="BQ96" s="1036"/>
      <c r="BR96" s="1200" t="s">
        <v>2045</v>
      </c>
      <c r="BS96" s="1033">
        <f>Möblierungsschablone!$C$26</f>
        <v>4.41</v>
      </c>
      <c r="BT96" s="1200"/>
      <c r="BU96" s="1036"/>
      <c r="BV96" s="1200"/>
      <c r="BW96" s="1036"/>
      <c r="BX96" s="1200"/>
      <c r="BY96" s="1036"/>
      <c r="BZ96" s="1200"/>
      <c r="CA96" s="1036"/>
      <c r="CC96" s="1436"/>
      <c r="CD96" s="1200"/>
      <c r="CE96" s="1033"/>
      <c r="CF96" s="1200"/>
      <c r="CG96" s="1036"/>
      <c r="CH96" s="1200" t="s">
        <v>2045</v>
      </c>
      <c r="CI96" s="1033">
        <f>Möblierungsschablone!$C$26</f>
        <v>4.41</v>
      </c>
      <c r="CJ96" s="1200"/>
      <c r="CK96" s="1036"/>
      <c r="CL96" s="1200"/>
      <c r="CM96" s="1036"/>
      <c r="CN96" s="1200"/>
      <c r="CO96" s="1036"/>
      <c r="CP96" s="1200"/>
      <c r="CQ96" s="1036"/>
      <c r="CS96" s="1436"/>
      <c r="CT96" s="1200"/>
      <c r="CU96" s="1033"/>
      <c r="CV96" s="1200"/>
      <c r="CW96" s="1036"/>
      <c r="CX96" s="1200" t="s">
        <v>2045</v>
      </c>
      <c r="CY96" s="1033">
        <f>Möblierungsschablone!$C$26</f>
        <v>4.41</v>
      </c>
      <c r="CZ96" s="1200"/>
      <c r="DA96" s="1036"/>
      <c r="DB96" s="1200"/>
      <c r="DC96" s="1036"/>
      <c r="DD96" s="1200"/>
      <c r="DE96" s="1036"/>
      <c r="DF96" s="1200"/>
      <c r="DG96" s="1036"/>
      <c r="DI96" s="1436"/>
      <c r="DJ96" s="1200"/>
      <c r="DK96" s="1033"/>
      <c r="DL96" s="1200"/>
      <c r="DM96" s="1036"/>
      <c r="DN96" s="1200" t="s">
        <v>2045</v>
      </c>
      <c r="DO96" s="1033">
        <f>Möblierungsschablone!$C$26</f>
        <v>4.41</v>
      </c>
      <c r="DP96" s="1200"/>
      <c r="DQ96" s="1036"/>
      <c r="DR96" s="1200"/>
      <c r="DS96" s="1036"/>
      <c r="DT96" s="1200"/>
      <c r="DU96" s="1036"/>
      <c r="DV96" s="1200"/>
      <c r="DW96" s="1036"/>
      <c r="DY96" s="701"/>
      <c r="DZ96" s="1040"/>
      <c r="EA96" s="1039"/>
      <c r="EB96" s="1040"/>
      <c r="EC96" s="1152"/>
      <c r="ED96" s="701"/>
      <c r="EE96" s="1152"/>
      <c r="EF96" s="701"/>
      <c r="EG96" s="1152"/>
      <c r="EH96" s="701"/>
      <c r="EI96" s="1152"/>
      <c r="EJ96" s="701"/>
      <c r="EK96" s="1152"/>
      <c r="EL96" s="701"/>
      <c r="EM96" s="1152"/>
    </row>
    <row r="97" spans="1:143" ht="15.75" customHeight="1">
      <c r="A97" s="1436"/>
      <c r="B97" s="1451"/>
      <c r="C97" s="1034">
        <f>SUM(C94:C96)</f>
        <v>7.17</v>
      </c>
      <c r="D97" s="1451"/>
      <c r="E97" s="1034">
        <f>SUM(E94:E96)</f>
        <v>10.8</v>
      </c>
      <c r="F97" s="1451"/>
      <c r="G97" s="1034">
        <f>SUM(G94:G96)</f>
        <v>17.97</v>
      </c>
      <c r="H97" s="1451"/>
      <c r="I97" s="1034">
        <f>SUM(I94:I96)</f>
        <v>21.125999999999998</v>
      </c>
      <c r="J97" s="1451"/>
      <c r="K97" s="1034">
        <f>SUM(K94:K96)</f>
        <v>28.295999999999999</v>
      </c>
      <c r="L97" s="1451"/>
      <c r="M97" s="1034">
        <f>SUM(M94:M96)</f>
        <v>31.451999999999998</v>
      </c>
      <c r="N97" s="1451"/>
      <c r="O97" s="1034">
        <f>SUM(O94:O96)</f>
        <v>38.622</v>
      </c>
      <c r="Q97" s="1436"/>
      <c r="R97" s="1201" t="s">
        <v>2036</v>
      </c>
      <c r="S97" s="1034">
        <f>SUM(S94:S96)</f>
        <v>7.17</v>
      </c>
      <c r="T97" s="1201" t="s">
        <v>2036</v>
      </c>
      <c r="U97" s="1034">
        <f>SUM(U94:U96)</f>
        <v>10.8</v>
      </c>
      <c r="V97" s="1201" t="s">
        <v>2036</v>
      </c>
      <c r="W97" s="1034">
        <f>SUM(W94:W96)</f>
        <v>17.97</v>
      </c>
      <c r="X97" s="1201" t="s">
        <v>2036</v>
      </c>
      <c r="Y97" s="1034">
        <f>SUM(Y94:Y96)</f>
        <v>25.14</v>
      </c>
      <c r="Z97" s="1201" t="s">
        <v>2036</v>
      </c>
      <c r="AA97" s="1034">
        <f>SUM(AA94:AA96)</f>
        <v>32.31</v>
      </c>
      <c r="AB97" s="1201" t="s">
        <v>2036</v>
      </c>
      <c r="AC97" s="1034">
        <f>SUM(AC94:AC96)</f>
        <v>39.480000000000004</v>
      </c>
      <c r="AD97" s="1201" t="s">
        <v>2036</v>
      </c>
      <c r="AE97" s="1034">
        <f>SUM(AE94:AE96)</f>
        <v>46.650000000000006</v>
      </c>
      <c r="AG97" s="1436"/>
      <c r="AH97" s="1201" t="s">
        <v>2036</v>
      </c>
      <c r="AI97" s="1034">
        <f>SUM(AI94:AI96)</f>
        <v>7.17</v>
      </c>
      <c r="AJ97" s="1201" t="s">
        <v>2036</v>
      </c>
      <c r="AK97" s="1034">
        <f>SUM(AK94:AK96)</f>
        <v>10.8</v>
      </c>
      <c r="AL97" s="1201" t="s">
        <v>2036</v>
      </c>
      <c r="AM97" s="1034">
        <f>SUM(AM94:AM96)</f>
        <v>17.97</v>
      </c>
      <c r="AN97" s="1201" t="s">
        <v>2036</v>
      </c>
      <c r="AO97" s="1034">
        <f>SUM(AO94:AO96)</f>
        <v>25.14</v>
      </c>
      <c r="AP97" s="1201" t="s">
        <v>2036</v>
      </c>
      <c r="AQ97" s="1034">
        <f>SUM(AQ94:AQ96)</f>
        <v>32.31</v>
      </c>
      <c r="AR97" s="1201" t="s">
        <v>2036</v>
      </c>
      <c r="AS97" s="1034">
        <f>SUM(AS94:AS96)</f>
        <v>39.480000000000004</v>
      </c>
      <c r="AT97" s="1201" t="s">
        <v>2036</v>
      </c>
      <c r="AU97" s="1034">
        <f>SUM(AU94:AU96)</f>
        <v>46.650000000000006</v>
      </c>
      <c r="AW97" s="1436"/>
      <c r="AX97" s="1201" t="s">
        <v>2036</v>
      </c>
      <c r="AY97" s="1034">
        <f>SUM(AY94:AY96)</f>
        <v>7.17</v>
      </c>
      <c r="AZ97" s="1201" t="s">
        <v>2036</v>
      </c>
      <c r="BA97" s="1034">
        <f>SUM(BA94:BA96)</f>
        <v>10.8</v>
      </c>
      <c r="BB97" s="1201" t="s">
        <v>2036</v>
      </c>
      <c r="BC97" s="1034">
        <f>SUM(BC94:BC96)</f>
        <v>17.97</v>
      </c>
      <c r="BD97" s="1201" t="s">
        <v>2036</v>
      </c>
      <c r="BE97" s="1034">
        <f>SUM(BE94:BE96)</f>
        <v>25.14</v>
      </c>
      <c r="BF97" s="1201" t="s">
        <v>2036</v>
      </c>
      <c r="BG97" s="1034">
        <f>SUM(BG94:BG96)</f>
        <v>32.31</v>
      </c>
      <c r="BH97" s="1201" t="s">
        <v>2036</v>
      </c>
      <c r="BI97" s="1034">
        <f>SUM(BI94:BI96)</f>
        <v>39.480000000000004</v>
      </c>
      <c r="BJ97" s="1201" t="s">
        <v>2036</v>
      </c>
      <c r="BK97" s="1034">
        <f>SUM(BK94:BK96)</f>
        <v>46.650000000000006</v>
      </c>
      <c r="BM97" s="1436"/>
      <c r="BN97" s="1201" t="s">
        <v>2036</v>
      </c>
      <c r="BO97" s="1034">
        <f>SUM(BO94:BO96)</f>
        <v>7.17</v>
      </c>
      <c r="BP97" s="1201" t="s">
        <v>2036</v>
      </c>
      <c r="BQ97" s="1034">
        <f>SUM(BQ94:BQ96)</f>
        <v>10.8</v>
      </c>
      <c r="BR97" s="1201" t="s">
        <v>2036</v>
      </c>
      <c r="BS97" s="1034">
        <f>SUM(BS94:BS96)</f>
        <v>22.38</v>
      </c>
      <c r="BT97" s="1201" t="s">
        <v>2036</v>
      </c>
      <c r="BU97" s="1034">
        <f>SUM(BU94:BU96)</f>
        <v>25.14</v>
      </c>
      <c r="BV97" s="1201" t="s">
        <v>2036</v>
      </c>
      <c r="BW97" s="1034">
        <f>SUM(BW94:BW96)</f>
        <v>32.31</v>
      </c>
      <c r="BX97" s="1201" t="s">
        <v>2036</v>
      </c>
      <c r="BY97" s="1034">
        <f>SUM(BY94:BY96)</f>
        <v>39.480000000000004</v>
      </c>
      <c r="BZ97" s="1201" t="s">
        <v>2036</v>
      </c>
      <c r="CA97" s="1034">
        <f>SUM(CA94:CA96)</f>
        <v>46.650000000000006</v>
      </c>
      <c r="CC97" s="1436"/>
      <c r="CD97" s="1201" t="s">
        <v>2036</v>
      </c>
      <c r="CE97" s="1034">
        <f>SUM(CE94:CE96)</f>
        <v>7.17</v>
      </c>
      <c r="CF97" s="1201" t="s">
        <v>2036</v>
      </c>
      <c r="CG97" s="1034">
        <f>SUM(CG94:CG96)</f>
        <v>10.8</v>
      </c>
      <c r="CH97" s="1201" t="s">
        <v>2036</v>
      </c>
      <c r="CI97" s="1034">
        <f>SUM(CI94:CI96)</f>
        <v>22.38</v>
      </c>
      <c r="CJ97" s="1201" t="s">
        <v>2036</v>
      </c>
      <c r="CK97" s="1034">
        <f>SUM(CK94:CK96)</f>
        <v>25.14</v>
      </c>
      <c r="CL97" s="1201" t="s">
        <v>2036</v>
      </c>
      <c r="CM97" s="1034">
        <f>SUM(CM94:CM96)</f>
        <v>32.31</v>
      </c>
      <c r="CN97" s="1201" t="s">
        <v>2036</v>
      </c>
      <c r="CO97" s="1034">
        <f>SUM(CO94:CO96)</f>
        <v>39.480000000000004</v>
      </c>
      <c r="CP97" s="1201" t="s">
        <v>2036</v>
      </c>
      <c r="CQ97" s="1034">
        <f>SUM(CQ94:CQ96)</f>
        <v>46.650000000000006</v>
      </c>
      <c r="CS97" s="1436"/>
      <c r="CT97" s="1201" t="s">
        <v>2036</v>
      </c>
      <c r="CU97" s="1034">
        <f>SUM(CU94:CU96)</f>
        <v>7.17</v>
      </c>
      <c r="CV97" s="1201" t="s">
        <v>2036</v>
      </c>
      <c r="CW97" s="1034">
        <f>SUM(CW94:CW96)</f>
        <v>10.8</v>
      </c>
      <c r="CX97" s="1201" t="s">
        <v>2036</v>
      </c>
      <c r="CY97" s="1034">
        <f>SUM(CY94:CY96)</f>
        <v>22.38</v>
      </c>
      <c r="CZ97" s="1201" t="s">
        <v>2036</v>
      </c>
      <c r="DA97" s="1034">
        <f>SUM(DA94:DA96)</f>
        <v>25.14</v>
      </c>
      <c r="DB97" s="1201" t="s">
        <v>2036</v>
      </c>
      <c r="DC97" s="1034">
        <f>SUM(DC94:DC96)</f>
        <v>32.31</v>
      </c>
      <c r="DD97" s="1201" t="s">
        <v>2036</v>
      </c>
      <c r="DE97" s="1034">
        <f>SUM(DE94:DE96)</f>
        <v>39.480000000000004</v>
      </c>
      <c r="DF97" s="1201" t="s">
        <v>2036</v>
      </c>
      <c r="DG97" s="1034">
        <f>SUM(DG94:DG96)</f>
        <v>46.650000000000006</v>
      </c>
      <c r="DI97" s="1436"/>
      <c r="DJ97" s="1201" t="s">
        <v>2036</v>
      </c>
      <c r="DK97" s="1034">
        <f>SUM(DK94:DK96)</f>
        <v>7.17</v>
      </c>
      <c r="DL97" s="1201" t="s">
        <v>2036</v>
      </c>
      <c r="DM97" s="1034">
        <f>SUM(DM94:DM96)</f>
        <v>10.8</v>
      </c>
      <c r="DN97" s="1201" t="s">
        <v>2036</v>
      </c>
      <c r="DO97" s="1034">
        <f>SUM(DO94:DO96)</f>
        <v>22.38</v>
      </c>
      <c r="DP97" s="1201" t="s">
        <v>2036</v>
      </c>
      <c r="DQ97" s="1034">
        <f>SUM(DQ94:DQ96)</f>
        <v>25.14</v>
      </c>
      <c r="DR97" s="1201" t="s">
        <v>2036</v>
      </c>
      <c r="DS97" s="1034">
        <f>SUM(DS94:DS96)</f>
        <v>32.31</v>
      </c>
      <c r="DT97" s="1201" t="s">
        <v>2036</v>
      </c>
      <c r="DU97" s="1034">
        <f>SUM(DU94:DU96)</f>
        <v>39.480000000000004</v>
      </c>
      <c r="DV97" s="1201" t="s">
        <v>2036</v>
      </c>
      <c r="DW97" s="1034">
        <f>SUM(DW94:DW96)</f>
        <v>46.650000000000006</v>
      </c>
      <c r="DY97" s="701"/>
      <c r="DZ97" s="1040"/>
      <c r="EA97" s="1193"/>
      <c r="EB97" s="1040"/>
      <c r="EC97" s="1193"/>
      <c r="ED97" s="701"/>
      <c r="EE97" s="1193"/>
      <c r="EF97" s="701"/>
      <c r="EG97" s="1193"/>
      <c r="EH97" s="701"/>
      <c r="EI97" s="1193"/>
      <c r="EJ97" s="701"/>
      <c r="EK97" s="1193"/>
      <c r="EL97" s="701"/>
      <c r="EM97" s="1193"/>
    </row>
    <row r="98" spans="1:143" ht="15.75" customHeight="1">
      <c r="A98" s="1436"/>
      <c r="B98" s="1451"/>
      <c r="C98" s="1032">
        <v>2</v>
      </c>
      <c r="D98" s="1451"/>
      <c r="E98" s="1032">
        <v>2</v>
      </c>
      <c r="F98" s="1451"/>
      <c r="G98" s="1032">
        <v>4</v>
      </c>
      <c r="H98" s="1451"/>
      <c r="I98" s="1032">
        <v>4</v>
      </c>
      <c r="J98" s="1451"/>
      <c r="K98" s="1032">
        <v>6</v>
      </c>
      <c r="L98" s="1451"/>
      <c r="M98" s="1032">
        <v>6</v>
      </c>
      <c r="N98" s="1451"/>
      <c r="O98" s="1032">
        <v>7</v>
      </c>
      <c r="Q98" s="1436"/>
      <c r="R98" s="1200" t="s">
        <v>1247</v>
      </c>
      <c r="S98" s="1032">
        <v>1</v>
      </c>
      <c r="T98" s="1200" t="s">
        <v>1247</v>
      </c>
      <c r="U98" s="1032">
        <v>2</v>
      </c>
      <c r="V98" s="1200" t="s">
        <v>1247</v>
      </c>
      <c r="W98" s="1032">
        <v>3</v>
      </c>
      <c r="X98" s="1200" t="s">
        <v>1247</v>
      </c>
      <c r="Y98" s="1032">
        <v>4</v>
      </c>
      <c r="Z98" s="1200" t="s">
        <v>1247</v>
      </c>
      <c r="AA98" s="1032">
        <v>5</v>
      </c>
      <c r="AB98" s="1200" t="s">
        <v>1247</v>
      </c>
      <c r="AC98" s="1032">
        <v>6</v>
      </c>
      <c r="AD98" s="1200" t="s">
        <v>1247</v>
      </c>
      <c r="AE98" s="1032">
        <v>7</v>
      </c>
      <c r="AG98" s="1436"/>
      <c r="AH98" s="1200" t="s">
        <v>1247</v>
      </c>
      <c r="AI98" s="1032">
        <v>1</v>
      </c>
      <c r="AJ98" s="1200" t="s">
        <v>1247</v>
      </c>
      <c r="AK98" s="1032">
        <v>2</v>
      </c>
      <c r="AL98" s="1200" t="s">
        <v>1247</v>
      </c>
      <c r="AM98" s="1032">
        <v>3</v>
      </c>
      <c r="AN98" s="1200" t="s">
        <v>1247</v>
      </c>
      <c r="AO98" s="1032">
        <v>4</v>
      </c>
      <c r="AP98" s="1200" t="s">
        <v>1247</v>
      </c>
      <c r="AQ98" s="1032">
        <v>5</v>
      </c>
      <c r="AR98" s="1200" t="s">
        <v>1247</v>
      </c>
      <c r="AS98" s="1032">
        <v>6</v>
      </c>
      <c r="AT98" s="1200" t="s">
        <v>1247</v>
      </c>
      <c r="AU98" s="1032">
        <v>7</v>
      </c>
      <c r="AW98" s="1436"/>
      <c r="AX98" s="1200" t="s">
        <v>1247</v>
      </c>
      <c r="AY98" s="1032">
        <v>1</v>
      </c>
      <c r="AZ98" s="1200" t="s">
        <v>1247</v>
      </c>
      <c r="BA98" s="1032">
        <v>2</v>
      </c>
      <c r="BB98" s="1200" t="s">
        <v>1247</v>
      </c>
      <c r="BC98" s="1032">
        <v>3</v>
      </c>
      <c r="BD98" s="1200" t="s">
        <v>1247</v>
      </c>
      <c r="BE98" s="1032">
        <v>4</v>
      </c>
      <c r="BF98" s="1200" t="s">
        <v>1247</v>
      </c>
      <c r="BG98" s="1032">
        <v>5</v>
      </c>
      <c r="BH98" s="1200" t="s">
        <v>1247</v>
      </c>
      <c r="BI98" s="1032">
        <v>6</v>
      </c>
      <c r="BJ98" s="1200" t="s">
        <v>1247</v>
      </c>
      <c r="BK98" s="1032">
        <v>7</v>
      </c>
      <c r="BM98" s="1436"/>
      <c r="BN98" s="1200" t="s">
        <v>1247</v>
      </c>
      <c r="BO98" s="1032">
        <v>1</v>
      </c>
      <c r="BP98" s="1200" t="s">
        <v>1247</v>
      </c>
      <c r="BQ98" s="1032">
        <v>2</v>
      </c>
      <c r="BR98" s="1200" t="s">
        <v>1247</v>
      </c>
      <c r="BS98" s="1032">
        <v>3</v>
      </c>
      <c r="BT98" s="1200" t="s">
        <v>1247</v>
      </c>
      <c r="BU98" s="1032">
        <v>4</v>
      </c>
      <c r="BV98" s="1200" t="s">
        <v>1247</v>
      </c>
      <c r="BW98" s="1032">
        <v>5</v>
      </c>
      <c r="BX98" s="1200" t="s">
        <v>1247</v>
      </c>
      <c r="BY98" s="1032">
        <v>6</v>
      </c>
      <c r="BZ98" s="1200" t="s">
        <v>1247</v>
      </c>
      <c r="CA98" s="1032">
        <v>7</v>
      </c>
      <c r="CC98" s="1436"/>
      <c r="CD98" s="1200" t="s">
        <v>1247</v>
      </c>
      <c r="CE98" s="1032">
        <v>1</v>
      </c>
      <c r="CF98" s="1200" t="s">
        <v>1247</v>
      </c>
      <c r="CG98" s="1032">
        <v>2</v>
      </c>
      <c r="CH98" s="1200" t="s">
        <v>1247</v>
      </c>
      <c r="CI98" s="1032">
        <v>3</v>
      </c>
      <c r="CJ98" s="1200" t="s">
        <v>1247</v>
      </c>
      <c r="CK98" s="1032">
        <v>4</v>
      </c>
      <c r="CL98" s="1200" t="s">
        <v>1247</v>
      </c>
      <c r="CM98" s="1032">
        <v>5</v>
      </c>
      <c r="CN98" s="1200" t="s">
        <v>1247</v>
      </c>
      <c r="CO98" s="1032">
        <v>6</v>
      </c>
      <c r="CP98" s="1200" t="s">
        <v>1247</v>
      </c>
      <c r="CQ98" s="1032">
        <v>7</v>
      </c>
      <c r="CS98" s="1436"/>
      <c r="CT98" s="1200" t="s">
        <v>1247</v>
      </c>
      <c r="CU98" s="1032">
        <v>1</v>
      </c>
      <c r="CV98" s="1200" t="s">
        <v>1247</v>
      </c>
      <c r="CW98" s="1032">
        <v>2</v>
      </c>
      <c r="CX98" s="1200" t="s">
        <v>1247</v>
      </c>
      <c r="CY98" s="1032">
        <v>3</v>
      </c>
      <c r="CZ98" s="1200" t="s">
        <v>1247</v>
      </c>
      <c r="DA98" s="1032">
        <v>4</v>
      </c>
      <c r="DB98" s="1200" t="s">
        <v>1247</v>
      </c>
      <c r="DC98" s="1032">
        <v>5</v>
      </c>
      <c r="DD98" s="1200" t="s">
        <v>1247</v>
      </c>
      <c r="DE98" s="1032">
        <v>6</v>
      </c>
      <c r="DF98" s="1200" t="s">
        <v>1247</v>
      </c>
      <c r="DG98" s="1032">
        <v>7</v>
      </c>
      <c r="DI98" s="1436"/>
      <c r="DJ98" s="1200" t="s">
        <v>1247</v>
      </c>
      <c r="DK98" s="1032">
        <v>1</v>
      </c>
      <c r="DL98" s="1200" t="s">
        <v>1247</v>
      </c>
      <c r="DM98" s="1032">
        <v>2</v>
      </c>
      <c r="DN98" s="1200" t="s">
        <v>1247</v>
      </c>
      <c r="DO98" s="1032">
        <v>3</v>
      </c>
      <c r="DP98" s="1200" t="s">
        <v>1247</v>
      </c>
      <c r="DQ98" s="1032">
        <v>4</v>
      </c>
      <c r="DR98" s="1200" t="s">
        <v>1247</v>
      </c>
      <c r="DS98" s="1032">
        <v>5</v>
      </c>
      <c r="DT98" s="1200" t="s">
        <v>1247</v>
      </c>
      <c r="DU98" s="1032">
        <v>6</v>
      </c>
      <c r="DV98" s="1200" t="s">
        <v>1247</v>
      </c>
      <c r="DW98" s="1032">
        <v>7</v>
      </c>
      <c r="DY98" s="701"/>
      <c r="DZ98" s="1040"/>
      <c r="EA98" s="763"/>
      <c r="EB98" s="1040"/>
      <c r="EC98" s="763"/>
      <c r="ED98" s="701"/>
      <c r="EE98" s="763"/>
      <c r="EF98" s="701"/>
      <c r="EG98" s="763"/>
      <c r="EH98" s="701"/>
      <c r="EI98" s="763"/>
      <c r="EJ98" s="701"/>
      <c r="EK98" s="763"/>
      <c r="EL98" s="701"/>
      <c r="EM98" s="763"/>
    </row>
    <row r="99" spans="1:143" ht="98.25" customHeight="1">
      <c r="A99" s="1436"/>
      <c r="B99" s="1451"/>
      <c r="C99" s="1030">
        <f>C97/(C98*C92)</f>
        <v>0.45727040816326536</v>
      </c>
      <c r="D99" s="1451"/>
      <c r="E99" s="1030">
        <f>E97/(E98*C92)</f>
        <v>0.68877551020408179</v>
      </c>
      <c r="F99" s="1451"/>
      <c r="G99" s="1030">
        <f>G97/(G98*C92)</f>
        <v>0.57302295918367352</v>
      </c>
      <c r="H99" s="1451"/>
      <c r="I99" s="1030">
        <f>I97/(I98*C92)</f>
        <v>0.67366071428571428</v>
      </c>
      <c r="J99" s="1451"/>
      <c r="K99" s="1030">
        <f>K97/(K98*C92)</f>
        <v>0.60153061224489801</v>
      </c>
      <c r="L99" s="1451"/>
      <c r="M99" s="1030">
        <f>M97/(M98*C92)</f>
        <v>0.66862244897959189</v>
      </c>
      <c r="N99" s="1451"/>
      <c r="O99" s="1030">
        <f>O97/(O98*C92)</f>
        <v>0.70375364431486886</v>
      </c>
      <c r="Q99" s="1436"/>
      <c r="R99" s="1202"/>
      <c r="S99" s="1030">
        <f>S97/(S98*S92)</f>
        <v>0.77597402597402609</v>
      </c>
      <c r="T99" s="1202"/>
      <c r="U99" s="1030">
        <f>U97/(U98*S92)</f>
        <v>0.5844155844155845</v>
      </c>
      <c r="V99" s="1202"/>
      <c r="W99" s="1030">
        <f>W97/(W98*S92)</f>
        <v>0.64826839826839833</v>
      </c>
      <c r="X99" s="1202"/>
      <c r="Y99" s="1030">
        <f>Y97/(Y98*S92)</f>
        <v>0.68019480519480535</v>
      </c>
      <c r="Z99" s="1202"/>
      <c r="AA99" s="1030">
        <f>AA97/(AA98*S92)</f>
        <v>0.69935064935064961</v>
      </c>
      <c r="AB99" s="1202"/>
      <c r="AC99" s="1030">
        <f>AC97/(AC98*S92)</f>
        <v>0.71212121212121227</v>
      </c>
      <c r="AD99" s="1202"/>
      <c r="AE99" s="1030">
        <f>AE97/(AE98*S92)</f>
        <v>0.72124304267161432</v>
      </c>
      <c r="AG99" s="1436"/>
      <c r="AH99" s="1202"/>
      <c r="AI99" s="1030">
        <f>AI97/(AI98*AI92)</f>
        <v>0.67387218045112784</v>
      </c>
      <c r="AJ99" s="1202"/>
      <c r="AK99" s="1030">
        <f>AK97/(AK98*AI92)</f>
        <v>0.50751879699248126</v>
      </c>
      <c r="AL99" s="1202"/>
      <c r="AM99" s="1030">
        <f>AM97/(AM98*AI92)</f>
        <v>0.56296992481203012</v>
      </c>
      <c r="AN99" s="1202"/>
      <c r="AO99" s="1030">
        <f>AO97/(AO98*AI92)</f>
        <v>0.59069548872180455</v>
      </c>
      <c r="AP99" s="1202"/>
      <c r="AQ99" s="1030">
        <f>AQ97/(AQ98*AI92)</f>
        <v>0.60733082706766928</v>
      </c>
      <c r="AR99" s="1202"/>
      <c r="AS99" s="1030">
        <f>AS97/(AS98*AI92)</f>
        <v>0.61842105263157909</v>
      </c>
      <c r="AT99" s="1202"/>
      <c r="AU99" s="1030">
        <f>AU97/(AU98*AI92)</f>
        <v>0.62634264232008607</v>
      </c>
      <c r="AW99" s="1436"/>
      <c r="AX99" s="1202"/>
      <c r="AY99" s="1030">
        <f>AY97/(AY98*AY92)</f>
        <v>0.595514950166113</v>
      </c>
      <c r="AZ99" s="1202"/>
      <c r="BA99" s="1030">
        <f>BA97/(BA98*AY92)</f>
        <v>0.44850498338870437</v>
      </c>
      <c r="BB99" s="1202"/>
      <c r="BC99" s="1030">
        <f>BC97/(BC98*AY92)</f>
        <v>0.49750830564784054</v>
      </c>
      <c r="BD99" s="1202"/>
      <c r="BE99" s="1030">
        <f>BE97/(BE98*AY92)</f>
        <v>0.52200996677740874</v>
      </c>
      <c r="BF99" s="1202"/>
      <c r="BG99" s="1030">
        <f>BG97/(BG98*AY92)</f>
        <v>0.53671096345514957</v>
      </c>
      <c r="BH99" s="1202"/>
      <c r="BI99" s="1030">
        <f>BI97/(BI98*AY92)</f>
        <v>0.54651162790697683</v>
      </c>
      <c r="BJ99" s="1202"/>
      <c r="BK99" s="1030">
        <f>BK97/(BK98*AY92)</f>
        <v>0.55351210251542482</v>
      </c>
      <c r="BM99" s="1436"/>
      <c r="BN99" s="1202"/>
      <c r="BO99" s="1030">
        <f>BO97/(BO98*BO92)</f>
        <v>0.5334821428571429</v>
      </c>
      <c r="BP99" s="1202"/>
      <c r="BQ99" s="1030">
        <f>BQ97/(BQ98*BO92)</f>
        <v>0.4017857142857143</v>
      </c>
      <c r="BR99" s="1433"/>
      <c r="BS99" s="1426">
        <f>BS97/(BS98*BO92)</f>
        <v>0.55505952380952384</v>
      </c>
      <c r="BT99" s="1202"/>
      <c r="BU99" s="1030">
        <f>BU97/(BU98*BO92)</f>
        <v>0.4676339285714286</v>
      </c>
      <c r="BV99" s="1202"/>
      <c r="BW99" s="1030">
        <f>BW97/(BW98*BO92)</f>
        <v>0.48080357142857144</v>
      </c>
      <c r="BX99" s="1202"/>
      <c r="BY99" s="1030">
        <f>BY97/(BY98*BO92)</f>
        <v>0.48958333333333337</v>
      </c>
      <c r="BZ99" s="1202"/>
      <c r="CA99" s="1030">
        <f>CA97/(CA98*BO92)</f>
        <v>0.49585459183673475</v>
      </c>
      <c r="CC99" s="1436"/>
      <c r="CD99" s="1202"/>
      <c r="CE99" s="1059">
        <f>CE97/(CE98*CE92)</f>
        <v>0.50210084033613456</v>
      </c>
      <c r="CF99" s="1202"/>
      <c r="CG99" s="1059">
        <f>CG97/(CG98*CE92)</f>
        <v>0.37815126050420178</v>
      </c>
      <c r="CH99" s="1433"/>
      <c r="CI99" s="1426">
        <f>CI97/(CI98*CE92)</f>
        <v>0.52240896358543432</v>
      </c>
      <c r="CJ99" s="1202"/>
      <c r="CK99" s="1059">
        <f>CK97/(CK98*CE92)</f>
        <v>0.44012605042016817</v>
      </c>
      <c r="CL99" s="1202"/>
      <c r="CM99" s="1059">
        <f>CM97/(CM98*CE92)</f>
        <v>0.45252100840336146</v>
      </c>
      <c r="CN99" s="1202"/>
      <c r="CO99" s="1059">
        <f>CO97/(CO98*CE92)</f>
        <v>0.46078431372549034</v>
      </c>
      <c r="CP99" s="1202"/>
      <c r="CQ99" s="1059">
        <f>CQ97/(CQ98*CE92)</f>
        <v>0.46668667466986807</v>
      </c>
      <c r="CS99" s="1436"/>
      <c r="CT99" s="1202"/>
      <c r="CU99" s="1059">
        <f>CU97/(CU98*CU92)</f>
        <v>0.4655844155844156</v>
      </c>
      <c r="CV99" s="1202"/>
      <c r="CW99" s="1059">
        <f>CW97/(CW98*CU92)</f>
        <v>0.35064935064935071</v>
      </c>
      <c r="CX99" s="1433"/>
      <c r="CY99" s="1426">
        <f>CY97/(CY98*CU92)</f>
        <v>0.48441558441558447</v>
      </c>
      <c r="CZ99" s="1202"/>
      <c r="DA99" s="1059">
        <f>DA97/(DA98*CU92)</f>
        <v>0.40811688311688316</v>
      </c>
      <c r="DB99" s="1202"/>
      <c r="DC99" s="1059">
        <f>DC97/(DC98*CU92)</f>
        <v>0.41961038961038966</v>
      </c>
      <c r="DD99" s="1202"/>
      <c r="DE99" s="1059">
        <f>DE97/(DE98*CU92)</f>
        <v>0.42727272727272736</v>
      </c>
      <c r="DF99" s="1202"/>
      <c r="DG99" s="1059">
        <f>DG97/(DG98*CU92)</f>
        <v>0.43274582560296859</v>
      </c>
      <c r="DI99" s="1436"/>
      <c r="DJ99" s="1202"/>
      <c r="DK99" s="1059">
        <f>DK97/(DK98*DK92)</f>
        <v>0.44150246305418722</v>
      </c>
      <c r="DL99" s="1202"/>
      <c r="DM99" s="1059">
        <f>DM97/(DM98*DK92)</f>
        <v>0.332512315270936</v>
      </c>
      <c r="DN99" s="1433"/>
      <c r="DO99" s="1426">
        <f>DO97/(DO98*DK92)</f>
        <v>0.45935960591133002</v>
      </c>
      <c r="DP99" s="1202"/>
      <c r="DQ99" s="1059">
        <f>DQ97/(DQ98*DK92)</f>
        <v>0.38700738916256161</v>
      </c>
      <c r="DR99" s="1202"/>
      <c r="DS99" s="1059">
        <f>DS97/(DS98*DK92)</f>
        <v>0.39790640394088678</v>
      </c>
      <c r="DT99" s="1202"/>
      <c r="DU99" s="1059">
        <f>DU97/(DU98*DK92)</f>
        <v>0.40517241379310348</v>
      </c>
      <c r="DV99" s="1202"/>
      <c r="DW99" s="1059">
        <f>DW97/(DW98*DK92)</f>
        <v>0.4103624208304012</v>
      </c>
      <c r="DY99" s="701"/>
      <c r="DZ99" s="1040"/>
      <c r="EA99" s="1146"/>
      <c r="EB99" s="1040"/>
      <c r="EC99" s="1146"/>
      <c r="ED99" s="701"/>
      <c r="EE99" s="1146"/>
      <c r="EF99" s="701"/>
      <c r="EG99" s="1146"/>
      <c r="EH99" s="701"/>
      <c r="EI99" s="1146"/>
      <c r="EJ99" s="701"/>
      <c r="EK99" s="1146"/>
      <c r="EL99" s="701"/>
      <c r="EM99" s="1146"/>
    </row>
    <row r="100" spans="1:143" ht="15.75" customHeight="1">
      <c r="A100" s="1435" t="s">
        <v>1365</v>
      </c>
      <c r="B100" s="1404"/>
      <c r="C100" s="1036"/>
      <c r="D100" s="1404"/>
      <c r="E100" s="1036"/>
      <c r="F100" s="1404"/>
      <c r="G100" s="1033">
        <f>Möblierungsschablone!$C$26</f>
        <v>4.41</v>
      </c>
      <c r="H100" s="1404"/>
      <c r="I100" s="1033">
        <f>Möblierungsschablone!$E$26</f>
        <v>5.6999999999999993</v>
      </c>
      <c r="J100" s="1404"/>
      <c r="K100" s="1033">
        <f>Möblierungsschablone!$E$26</f>
        <v>5.6999999999999993</v>
      </c>
      <c r="L100" s="1404"/>
      <c r="M100" s="1033">
        <f>Möblierungsschablone!$G$31</f>
        <v>11.129999999999999</v>
      </c>
      <c r="N100" s="1404"/>
      <c r="O100" s="1033">
        <f>Möblierungsschablone!$G$31</f>
        <v>11.129999999999999</v>
      </c>
      <c r="Q100" s="1435" t="s">
        <v>1365</v>
      </c>
      <c r="R100" s="1404"/>
      <c r="S100" s="1036"/>
      <c r="T100" s="1404"/>
      <c r="U100" s="1036"/>
      <c r="V100" s="1199" t="s">
        <v>2045</v>
      </c>
      <c r="W100" s="1033">
        <f>Möblierungsschablone!$C$26</f>
        <v>4.41</v>
      </c>
      <c r="X100" s="1199" t="s">
        <v>2044</v>
      </c>
      <c r="Y100" s="1033">
        <f>Möblierungsschablone!$E$26</f>
        <v>5.6999999999999993</v>
      </c>
      <c r="Z100" s="1199" t="s">
        <v>2044</v>
      </c>
      <c r="AA100" s="1033">
        <f>Möblierungsschablone!$E$26</f>
        <v>5.6999999999999993</v>
      </c>
      <c r="AB100" s="1199" t="s">
        <v>2043</v>
      </c>
      <c r="AC100" s="1033">
        <f>Möblierungsschablone!$G$31</f>
        <v>11.129999999999999</v>
      </c>
      <c r="AD100" s="1199" t="s">
        <v>2043</v>
      </c>
      <c r="AE100" s="1033">
        <f>Möblierungsschablone!$G$31</f>
        <v>11.129999999999999</v>
      </c>
      <c r="AG100" s="1435" t="s">
        <v>1365</v>
      </c>
      <c r="AH100" s="1404"/>
      <c r="AI100" s="1036"/>
      <c r="AJ100" s="1404"/>
      <c r="AK100" s="1036"/>
      <c r="AL100" s="1199" t="s">
        <v>2045</v>
      </c>
      <c r="AM100" s="1033">
        <f>Möblierungsschablone!$C$26</f>
        <v>4.41</v>
      </c>
      <c r="AN100" s="1199" t="s">
        <v>2044</v>
      </c>
      <c r="AO100" s="1033">
        <f>Möblierungsschablone!$E$26</f>
        <v>5.6999999999999993</v>
      </c>
      <c r="AP100" s="1199" t="s">
        <v>2044</v>
      </c>
      <c r="AQ100" s="1033">
        <f>Möblierungsschablone!$E$26</f>
        <v>5.6999999999999993</v>
      </c>
      <c r="AR100" s="1199" t="s">
        <v>2043</v>
      </c>
      <c r="AS100" s="1033">
        <f>Möblierungsschablone!$G$31</f>
        <v>11.129999999999999</v>
      </c>
      <c r="AT100" s="1199" t="s">
        <v>2043</v>
      </c>
      <c r="AU100" s="1033">
        <f>Möblierungsschablone!$G$31</f>
        <v>11.129999999999999</v>
      </c>
      <c r="AW100" s="1435" t="s">
        <v>1365</v>
      </c>
      <c r="AX100" s="1404"/>
      <c r="AY100" s="1036"/>
      <c r="AZ100" s="1404"/>
      <c r="BA100" s="1036"/>
      <c r="BB100" s="1199" t="s">
        <v>2045</v>
      </c>
      <c r="BC100" s="1033">
        <f>Möblierungsschablone!$C$26</f>
        <v>4.41</v>
      </c>
      <c r="BD100" s="1199" t="s">
        <v>2044</v>
      </c>
      <c r="BE100" s="1033">
        <f>Möblierungsschablone!$E$26</f>
        <v>5.6999999999999993</v>
      </c>
      <c r="BF100" s="1199" t="s">
        <v>2044</v>
      </c>
      <c r="BG100" s="1033">
        <f>Möblierungsschablone!$E$26</f>
        <v>5.6999999999999993</v>
      </c>
      <c r="BH100" s="1199" t="s">
        <v>2043</v>
      </c>
      <c r="BI100" s="1033">
        <f>Möblierungsschablone!$G$31</f>
        <v>11.129999999999999</v>
      </c>
      <c r="BJ100" s="1199" t="s">
        <v>2043</v>
      </c>
      <c r="BK100" s="1033">
        <f>Möblierungsschablone!$G$31</f>
        <v>11.129999999999999</v>
      </c>
      <c r="BM100" s="1435" t="s">
        <v>1365</v>
      </c>
      <c r="BN100" s="1404"/>
      <c r="BO100" s="1036"/>
      <c r="BP100" s="1404"/>
      <c r="BQ100" s="1036"/>
      <c r="BR100" s="1433"/>
      <c r="BS100" s="1427"/>
      <c r="BT100" s="1199" t="s">
        <v>2044</v>
      </c>
      <c r="BU100" s="1033">
        <f>Möblierungsschablone!$E$26</f>
        <v>5.6999999999999993</v>
      </c>
      <c r="BV100" s="1199" t="s">
        <v>2044</v>
      </c>
      <c r="BW100" s="1033">
        <f>Möblierungsschablone!$E$26</f>
        <v>5.6999999999999993</v>
      </c>
      <c r="BX100" s="1199" t="s">
        <v>2043</v>
      </c>
      <c r="BY100" s="1033">
        <f>Möblierungsschablone!$G$31</f>
        <v>11.129999999999999</v>
      </c>
      <c r="BZ100" s="1199" t="s">
        <v>2043</v>
      </c>
      <c r="CA100" s="1033">
        <f>Möblierungsschablone!$G$31</f>
        <v>11.129999999999999</v>
      </c>
      <c r="CC100" s="1435" t="s">
        <v>1365</v>
      </c>
      <c r="CD100" s="1404"/>
      <c r="CE100" s="1036"/>
      <c r="CF100" s="1404"/>
      <c r="CG100" s="1036"/>
      <c r="CH100" s="1433"/>
      <c r="CI100" s="1427"/>
      <c r="CJ100" s="1199" t="s">
        <v>2044</v>
      </c>
      <c r="CK100" s="1033">
        <f>Möblierungsschablone!$E$26</f>
        <v>5.6999999999999993</v>
      </c>
      <c r="CL100" s="1199" t="s">
        <v>2044</v>
      </c>
      <c r="CM100" s="1033">
        <f>Möblierungsschablone!$E$26</f>
        <v>5.6999999999999993</v>
      </c>
      <c r="CN100" s="1199" t="s">
        <v>2043</v>
      </c>
      <c r="CO100" s="1033">
        <f>Möblierungsschablone!$G$31</f>
        <v>11.129999999999999</v>
      </c>
      <c r="CP100" s="1199" t="s">
        <v>2043</v>
      </c>
      <c r="CQ100" s="1033">
        <f>Möblierungsschablone!$G$31</f>
        <v>11.129999999999999</v>
      </c>
      <c r="CS100" s="1435" t="s">
        <v>1365</v>
      </c>
      <c r="CT100" s="1404"/>
      <c r="CU100" s="1036"/>
      <c r="CV100" s="1404"/>
      <c r="CW100" s="1036"/>
      <c r="CX100" s="1433"/>
      <c r="CY100" s="1427"/>
      <c r="CZ100" s="1199" t="s">
        <v>2044</v>
      </c>
      <c r="DA100" s="1033">
        <f>Möblierungsschablone!$E$26</f>
        <v>5.6999999999999993</v>
      </c>
      <c r="DB100" s="1199" t="s">
        <v>2044</v>
      </c>
      <c r="DC100" s="1033">
        <f>Möblierungsschablone!$E$26</f>
        <v>5.6999999999999993</v>
      </c>
      <c r="DD100" s="1199" t="s">
        <v>2043</v>
      </c>
      <c r="DE100" s="1033">
        <f>Möblierungsschablone!$G$31</f>
        <v>11.129999999999999</v>
      </c>
      <c r="DF100" s="1199" t="s">
        <v>2043</v>
      </c>
      <c r="DG100" s="1033">
        <f>Möblierungsschablone!$G$31</f>
        <v>11.129999999999999</v>
      </c>
      <c r="DI100" s="1435" t="s">
        <v>1365</v>
      </c>
      <c r="DJ100" s="1404"/>
      <c r="DK100" s="1036"/>
      <c r="DL100" s="1404"/>
      <c r="DM100" s="1036"/>
      <c r="DN100" s="1433"/>
      <c r="DO100" s="1427"/>
      <c r="DP100" s="1199" t="s">
        <v>2044</v>
      </c>
      <c r="DQ100" s="1033">
        <f>Möblierungsschablone!$E$26</f>
        <v>5.6999999999999993</v>
      </c>
      <c r="DR100" s="1199" t="s">
        <v>2044</v>
      </c>
      <c r="DS100" s="1033">
        <f>Möblierungsschablone!$E$26</f>
        <v>5.6999999999999993</v>
      </c>
      <c r="DT100" s="1199" t="s">
        <v>2043</v>
      </c>
      <c r="DU100" s="1033">
        <f>Möblierungsschablone!$G$31</f>
        <v>11.129999999999999</v>
      </c>
      <c r="DV100" s="1199" t="s">
        <v>2043</v>
      </c>
      <c r="DW100" s="1033">
        <f>Möblierungsschablone!$G$31</f>
        <v>11.129999999999999</v>
      </c>
      <c r="DY100" s="1154"/>
      <c r="DZ100" s="701"/>
      <c r="EA100" s="1152"/>
      <c r="EB100" s="701"/>
      <c r="EC100" s="1152"/>
      <c r="ED100" s="701"/>
      <c r="EE100" s="1039"/>
      <c r="EF100" s="701"/>
      <c r="EG100" s="1039"/>
      <c r="EH100" s="701"/>
      <c r="EI100" s="1039"/>
      <c r="EJ100" s="701"/>
      <c r="EK100" s="1039"/>
      <c r="EL100" s="701"/>
      <c r="EM100" s="1039"/>
    </row>
    <row r="101" spans="1:143" ht="15.75" customHeight="1">
      <c r="A101" s="1436"/>
      <c r="B101" s="1404"/>
      <c r="C101" s="1036"/>
      <c r="D101" s="1404"/>
      <c r="E101" s="1036"/>
      <c r="F101" s="1404"/>
      <c r="G101" s="1036"/>
      <c r="H101" s="1404"/>
      <c r="I101" s="1036"/>
      <c r="J101" s="1404"/>
      <c r="K101" s="1036"/>
      <c r="L101" s="1404"/>
      <c r="M101" s="1036"/>
      <c r="N101" s="1404"/>
      <c r="O101" s="1036"/>
      <c r="Q101" s="1436"/>
      <c r="R101" s="1404"/>
      <c r="S101" s="1036"/>
      <c r="T101" s="1404"/>
      <c r="U101" s="1036"/>
      <c r="V101" s="1200"/>
      <c r="W101" s="1036"/>
      <c r="X101" s="1200"/>
      <c r="Y101" s="1036"/>
      <c r="Z101" s="1200"/>
      <c r="AA101" s="1036"/>
      <c r="AB101" s="1200"/>
      <c r="AC101" s="1036"/>
      <c r="AD101" s="1200"/>
      <c r="AE101" s="1036"/>
      <c r="AG101" s="1436"/>
      <c r="AH101" s="1404"/>
      <c r="AI101" s="1036"/>
      <c r="AJ101" s="1404"/>
      <c r="AK101" s="1036"/>
      <c r="AL101" s="1200"/>
      <c r="AM101" s="1036"/>
      <c r="AN101" s="1200"/>
      <c r="AO101" s="1036"/>
      <c r="AP101" s="1200"/>
      <c r="AQ101" s="1036"/>
      <c r="AR101" s="1200"/>
      <c r="AS101" s="1036"/>
      <c r="AT101" s="1200"/>
      <c r="AU101" s="1036"/>
      <c r="AW101" s="1436"/>
      <c r="AX101" s="1404"/>
      <c r="AY101" s="1036"/>
      <c r="AZ101" s="1404"/>
      <c r="BA101" s="1036"/>
      <c r="BB101" s="1200"/>
      <c r="BC101" s="1036"/>
      <c r="BD101" s="1200"/>
      <c r="BE101" s="1036"/>
      <c r="BF101" s="1200"/>
      <c r="BG101" s="1036"/>
      <c r="BH101" s="1200"/>
      <c r="BI101" s="1036"/>
      <c r="BJ101" s="1200"/>
      <c r="BK101" s="1036"/>
      <c r="BM101" s="1436"/>
      <c r="BN101" s="1404"/>
      <c r="BO101" s="1036"/>
      <c r="BP101" s="1404"/>
      <c r="BQ101" s="1036"/>
      <c r="BR101" s="1433"/>
      <c r="BS101" s="1427"/>
      <c r="BT101" s="1200"/>
      <c r="BU101" s="1036"/>
      <c r="BV101" s="1200"/>
      <c r="BW101" s="1036"/>
      <c r="BX101" s="1200"/>
      <c r="BY101" s="1036"/>
      <c r="BZ101" s="1200"/>
      <c r="CA101" s="1036"/>
      <c r="CC101" s="1436"/>
      <c r="CD101" s="1404"/>
      <c r="CE101" s="1036"/>
      <c r="CF101" s="1404"/>
      <c r="CG101" s="1036"/>
      <c r="CH101" s="1433"/>
      <c r="CI101" s="1427"/>
      <c r="CJ101" s="1200"/>
      <c r="CK101" s="1036"/>
      <c r="CL101" s="1200"/>
      <c r="CM101" s="1036"/>
      <c r="CN101" s="1200"/>
      <c r="CO101" s="1036"/>
      <c r="CP101" s="1200"/>
      <c r="CQ101" s="1036"/>
      <c r="CS101" s="1436"/>
      <c r="CT101" s="1404"/>
      <c r="CU101" s="1036"/>
      <c r="CV101" s="1404"/>
      <c r="CW101" s="1036"/>
      <c r="CX101" s="1433"/>
      <c r="CY101" s="1427"/>
      <c r="CZ101" s="1200"/>
      <c r="DA101" s="1036"/>
      <c r="DB101" s="1200"/>
      <c r="DC101" s="1036"/>
      <c r="DD101" s="1200"/>
      <c r="DE101" s="1036"/>
      <c r="DF101" s="1200"/>
      <c r="DG101" s="1036"/>
      <c r="DI101" s="1436"/>
      <c r="DJ101" s="1404"/>
      <c r="DK101" s="1036"/>
      <c r="DL101" s="1404"/>
      <c r="DM101" s="1036"/>
      <c r="DN101" s="1433"/>
      <c r="DO101" s="1427"/>
      <c r="DP101" s="1200"/>
      <c r="DQ101" s="1036"/>
      <c r="DR101" s="1200"/>
      <c r="DS101" s="1036"/>
      <c r="DT101" s="1200"/>
      <c r="DU101" s="1036"/>
      <c r="DV101" s="1200"/>
      <c r="DW101" s="1036"/>
      <c r="DY101" s="701"/>
      <c r="DZ101" s="701"/>
      <c r="EA101" s="1152"/>
      <c r="EB101" s="701"/>
      <c r="EC101" s="1152"/>
      <c r="ED101" s="701"/>
      <c r="EE101" s="1152"/>
      <c r="EF101" s="701"/>
      <c r="EG101" s="1152"/>
      <c r="EH101" s="701"/>
      <c r="EI101" s="1152"/>
      <c r="EJ101" s="701"/>
      <c r="EK101" s="1152"/>
      <c r="EL101" s="701"/>
      <c r="EM101" s="1152"/>
    </row>
    <row r="102" spans="1:143" ht="15.75" customHeight="1">
      <c r="A102" s="1436"/>
      <c r="B102" s="1404"/>
      <c r="C102" s="1036"/>
      <c r="D102" s="1404"/>
      <c r="E102" s="1036"/>
      <c r="F102" s="1404"/>
      <c r="G102" s="1034">
        <f>SUM(G100:G101)</f>
        <v>4.41</v>
      </c>
      <c r="H102" s="1404"/>
      <c r="I102" s="1034">
        <f>SUM(I100:I101)</f>
        <v>5.6999999999999993</v>
      </c>
      <c r="J102" s="1404"/>
      <c r="K102" s="1034">
        <f>SUM(K100:K101)</f>
        <v>5.6999999999999993</v>
      </c>
      <c r="L102" s="1404"/>
      <c r="M102" s="1034">
        <f>SUM(M100:M101)</f>
        <v>11.129999999999999</v>
      </c>
      <c r="N102" s="1404"/>
      <c r="O102" s="1034">
        <f>SUM(O100:O101)</f>
        <v>11.129999999999999</v>
      </c>
      <c r="Q102" s="1436"/>
      <c r="R102" s="1404"/>
      <c r="S102" s="1036"/>
      <c r="T102" s="1404"/>
      <c r="U102" s="1036"/>
      <c r="V102" s="1201" t="s">
        <v>2036</v>
      </c>
      <c r="W102" s="1034">
        <f>SUM(W100:W101)</f>
        <v>4.41</v>
      </c>
      <c r="X102" s="1201" t="s">
        <v>2036</v>
      </c>
      <c r="Y102" s="1034">
        <f>SUM(Y100:Y101)</f>
        <v>5.6999999999999993</v>
      </c>
      <c r="Z102" s="1201" t="s">
        <v>2036</v>
      </c>
      <c r="AA102" s="1034">
        <f>SUM(AA100:AA101)</f>
        <v>5.6999999999999993</v>
      </c>
      <c r="AB102" s="1201" t="s">
        <v>2036</v>
      </c>
      <c r="AC102" s="1034">
        <f>SUM(AC100:AC101)</f>
        <v>11.129999999999999</v>
      </c>
      <c r="AD102" s="1201" t="s">
        <v>2036</v>
      </c>
      <c r="AE102" s="1034">
        <f>SUM(AE100:AE101)</f>
        <v>11.129999999999999</v>
      </c>
      <c r="AG102" s="1436"/>
      <c r="AH102" s="1404"/>
      <c r="AI102" s="1036"/>
      <c r="AJ102" s="1404"/>
      <c r="AK102" s="1036"/>
      <c r="AL102" s="1201" t="s">
        <v>2036</v>
      </c>
      <c r="AM102" s="1034">
        <f>SUM(AM100:AM101)</f>
        <v>4.41</v>
      </c>
      <c r="AN102" s="1201" t="s">
        <v>2036</v>
      </c>
      <c r="AO102" s="1034">
        <f>SUM(AO100:AO101)</f>
        <v>5.6999999999999993</v>
      </c>
      <c r="AP102" s="1201" t="s">
        <v>2036</v>
      </c>
      <c r="AQ102" s="1034">
        <f>SUM(AQ100:AQ101)</f>
        <v>5.6999999999999993</v>
      </c>
      <c r="AR102" s="1201" t="s">
        <v>2036</v>
      </c>
      <c r="AS102" s="1034">
        <f>SUM(AS100:AS101)</f>
        <v>11.129999999999999</v>
      </c>
      <c r="AT102" s="1201" t="s">
        <v>2036</v>
      </c>
      <c r="AU102" s="1034">
        <f>SUM(AU100:AU101)</f>
        <v>11.129999999999999</v>
      </c>
      <c r="AW102" s="1436"/>
      <c r="AX102" s="1404"/>
      <c r="AY102" s="1036"/>
      <c r="AZ102" s="1404"/>
      <c r="BA102" s="1036"/>
      <c r="BB102" s="1201" t="s">
        <v>2036</v>
      </c>
      <c r="BC102" s="1034">
        <f>SUM(BC100:BC101)</f>
        <v>4.41</v>
      </c>
      <c r="BD102" s="1201" t="s">
        <v>2036</v>
      </c>
      <c r="BE102" s="1034">
        <f>SUM(BE100:BE101)</f>
        <v>5.6999999999999993</v>
      </c>
      <c r="BF102" s="1201" t="s">
        <v>2036</v>
      </c>
      <c r="BG102" s="1034">
        <f>SUM(BG100:BG101)</f>
        <v>5.6999999999999993</v>
      </c>
      <c r="BH102" s="1201" t="s">
        <v>2036</v>
      </c>
      <c r="BI102" s="1034">
        <f>SUM(BI100:BI101)</f>
        <v>11.129999999999999</v>
      </c>
      <c r="BJ102" s="1201" t="s">
        <v>2036</v>
      </c>
      <c r="BK102" s="1034">
        <f>SUM(BK100:BK101)</f>
        <v>11.129999999999999</v>
      </c>
      <c r="BM102" s="1436"/>
      <c r="BN102" s="1404"/>
      <c r="BO102" s="1036"/>
      <c r="BP102" s="1404"/>
      <c r="BQ102" s="1036"/>
      <c r="BR102" s="1433"/>
      <c r="BS102" s="1427"/>
      <c r="BT102" s="1201" t="s">
        <v>2036</v>
      </c>
      <c r="BU102" s="1034">
        <f>SUM(BU100:BU101)</f>
        <v>5.6999999999999993</v>
      </c>
      <c r="BV102" s="1201" t="s">
        <v>2036</v>
      </c>
      <c r="BW102" s="1034">
        <f>SUM(BW100:BW101)</f>
        <v>5.6999999999999993</v>
      </c>
      <c r="BX102" s="1201" t="s">
        <v>2036</v>
      </c>
      <c r="BY102" s="1034">
        <f>SUM(BY100:BY101)</f>
        <v>11.129999999999999</v>
      </c>
      <c r="BZ102" s="1201" t="s">
        <v>2036</v>
      </c>
      <c r="CA102" s="1034">
        <f>SUM(CA100:CA101)</f>
        <v>11.129999999999999</v>
      </c>
      <c r="CC102" s="1436"/>
      <c r="CD102" s="1404"/>
      <c r="CE102" s="1036"/>
      <c r="CF102" s="1404"/>
      <c r="CG102" s="1036"/>
      <c r="CH102" s="1433"/>
      <c r="CI102" s="1427"/>
      <c r="CJ102" s="1201" t="s">
        <v>2036</v>
      </c>
      <c r="CK102" s="1034">
        <f>SUM(CK100:CK101)</f>
        <v>5.6999999999999993</v>
      </c>
      <c r="CL102" s="1201" t="s">
        <v>2036</v>
      </c>
      <c r="CM102" s="1034">
        <f>SUM(CM100:CM101)</f>
        <v>5.6999999999999993</v>
      </c>
      <c r="CN102" s="1201" t="s">
        <v>2036</v>
      </c>
      <c r="CO102" s="1034">
        <f>SUM(CO100:CO101)</f>
        <v>11.129999999999999</v>
      </c>
      <c r="CP102" s="1201" t="s">
        <v>2036</v>
      </c>
      <c r="CQ102" s="1034">
        <f>SUM(CQ100:CQ101)</f>
        <v>11.129999999999999</v>
      </c>
      <c r="CS102" s="1436"/>
      <c r="CT102" s="1404"/>
      <c r="CU102" s="1036"/>
      <c r="CV102" s="1404"/>
      <c r="CW102" s="1036"/>
      <c r="CX102" s="1433"/>
      <c r="CY102" s="1427"/>
      <c r="CZ102" s="1201" t="s">
        <v>2036</v>
      </c>
      <c r="DA102" s="1034">
        <f>SUM(DA100:DA101)</f>
        <v>5.6999999999999993</v>
      </c>
      <c r="DB102" s="1201" t="s">
        <v>2036</v>
      </c>
      <c r="DC102" s="1034">
        <f>SUM(DC100:DC101)</f>
        <v>5.6999999999999993</v>
      </c>
      <c r="DD102" s="1201" t="s">
        <v>2036</v>
      </c>
      <c r="DE102" s="1034">
        <f>SUM(DE100:DE101)</f>
        <v>11.129999999999999</v>
      </c>
      <c r="DF102" s="1201" t="s">
        <v>2036</v>
      </c>
      <c r="DG102" s="1034">
        <f>SUM(DG100:DG101)</f>
        <v>11.129999999999999</v>
      </c>
      <c r="DI102" s="1436"/>
      <c r="DJ102" s="1404"/>
      <c r="DK102" s="1036"/>
      <c r="DL102" s="1404"/>
      <c r="DM102" s="1036"/>
      <c r="DN102" s="1433"/>
      <c r="DO102" s="1427"/>
      <c r="DP102" s="1201" t="s">
        <v>2036</v>
      </c>
      <c r="DQ102" s="1034">
        <f>SUM(DQ100:DQ101)</f>
        <v>5.6999999999999993</v>
      </c>
      <c r="DR102" s="1201" t="s">
        <v>2036</v>
      </c>
      <c r="DS102" s="1034">
        <f>SUM(DS100:DS101)</f>
        <v>5.6999999999999993</v>
      </c>
      <c r="DT102" s="1201" t="s">
        <v>2036</v>
      </c>
      <c r="DU102" s="1034">
        <f>SUM(DU100:DU101)</f>
        <v>11.129999999999999</v>
      </c>
      <c r="DV102" s="1201" t="s">
        <v>2036</v>
      </c>
      <c r="DW102" s="1034">
        <f>SUM(DW100:DW101)</f>
        <v>11.129999999999999</v>
      </c>
      <c r="DY102" s="701"/>
      <c r="DZ102" s="701"/>
      <c r="EA102" s="1152"/>
      <c r="EB102" s="701"/>
      <c r="EC102" s="1152"/>
      <c r="ED102" s="701"/>
      <c r="EE102" s="1193"/>
      <c r="EF102" s="701"/>
      <c r="EG102" s="1193"/>
      <c r="EH102" s="701"/>
      <c r="EI102" s="1193"/>
      <c r="EJ102" s="701"/>
      <c r="EK102" s="1193"/>
      <c r="EL102" s="701"/>
      <c r="EM102" s="1193"/>
    </row>
    <row r="103" spans="1:143" ht="15.75" customHeight="1">
      <c r="A103" s="1436"/>
      <c r="B103" s="1404"/>
      <c r="C103" s="1036"/>
      <c r="D103" s="1404"/>
      <c r="E103" s="1036"/>
      <c r="F103" s="1404"/>
      <c r="G103" s="1032">
        <v>1</v>
      </c>
      <c r="H103" s="1404"/>
      <c r="I103" s="1032">
        <v>2</v>
      </c>
      <c r="J103" s="1404"/>
      <c r="K103" s="1032">
        <v>2</v>
      </c>
      <c r="L103" s="1404"/>
      <c r="M103" s="1032">
        <v>2</v>
      </c>
      <c r="N103" s="1404"/>
      <c r="O103" s="1032">
        <v>2</v>
      </c>
      <c r="Q103" s="1436"/>
      <c r="R103" s="1404"/>
      <c r="S103" s="1036"/>
      <c r="T103" s="1404"/>
      <c r="U103" s="1036"/>
      <c r="V103" s="1200" t="s">
        <v>1247</v>
      </c>
      <c r="W103" s="1032">
        <v>1</v>
      </c>
      <c r="X103" s="1200" t="s">
        <v>1247</v>
      </c>
      <c r="Y103" s="1032">
        <v>1</v>
      </c>
      <c r="Z103" s="1200" t="s">
        <v>1247</v>
      </c>
      <c r="AA103" s="1032">
        <v>1</v>
      </c>
      <c r="AB103" s="1200" t="s">
        <v>1247</v>
      </c>
      <c r="AC103" s="1032">
        <v>2</v>
      </c>
      <c r="AD103" s="1200" t="s">
        <v>1247</v>
      </c>
      <c r="AE103" s="1032">
        <v>2</v>
      </c>
      <c r="AG103" s="1436"/>
      <c r="AH103" s="1404"/>
      <c r="AI103" s="1036"/>
      <c r="AJ103" s="1404"/>
      <c r="AK103" s="1036"/>
      <c r="AL103" s="1200" t="s">
        <v>1247</v>
      </c>
      <c r="AM103" s="1032">
        <v>1</v>
      </c>
      <c r="AN103" s="1200" t="s">
        <v>1247</v>
      </c>
      <c r="AO103" s="1032">
        <v>1</v>
      </c>
      <c r="AP103" s="1200" t="s">
        <v>1247</v>
      </c>
      <c r="AQ103" s="1032">
        <v>1</v>
      </c>
      <c r="AR103" s="1200" t="s">
        <v>1247</v>
      </c>
      <c r="AS103" s="1032">
        <v>2</v>
      </c>
      <c r="AT103" s="1200" t="s">
        <v>1247</v>
      </c>
      <c r="AU103" s="1032">
        <v>2</v>
      </c>
      <c r="AW103" s="1436"/>
      <c r="AX103" s="1404"/>
      <c r="AY103" s="1036"/>
      <c r="AZ103" s="1404"/>
      <c r="BA103" s="1036"/>
      <c r="BB103" s="1200" t="s">
        <v>1247</v>
      </c>
      <c r="BC103" s="1032">
        <v>1</v>
      </c>
      <c r="BD103" s="1200" t="s">
        <v>1247</v>
      </c>
      <c r="BE103" s="1032">
        <v>1</v>
      </c>
      <c r="BF103" s="1200" t="s">
        <v>1247</v>
      </c>
      <c r="BG103" s="1032">
        <v>1</v>
      </c>
      <c r="BH103" s="1200" t="s">
        <v>1247</v>
      </c>
      <c r="BI103" s="1032">
        <v>2</v>
      </c>
      <c r="BJ103" s="1200" t="s">
        <v>1247</v>
      </c>
      <c r="BK103" s="1032">
        <v>2</v>
      </c>
      <c r="BM103" s="1436"/>
      <c r="BN103" s="1404"/>
      <c r="BO103" s="1036"/>
      <c r="BP103" s="1404"/>
      <c r="BQ103" s="1036"/>
      <c r="BR103" s="1433"/>
      <c r="BS103" s="1427"/>
      <c r="BT103" s="1200" t="s">
        <v>1247</v>
      </c>
      <c r="BU103" s="1032">
        <v>1</v>
      </c>
      <c r="BV103" s="1200" t="s">
        <v>1247</v>
      </c>
      <c r="BW103" s="1032">
        <v>1</v>
      </c>
      <c r="BX103" s="1200" t="s">
        <v>1247</v>
      </c>
      <c r="BY103" s="1032">
        <v>1</v>
      </c>
      <c r="BZ103" s="1200" t="s">
        <v>1247</v>
      </c>
      <c r="CA103" s="1032">
        <v>1</v>
      </c>
      <c r="CC103" s="1436"/>
      <c r="CD103" s="1404"/>
      <c r="CE103" s="1036"/>
      <c r="CF103" s="1404"/>
      <c r="CG103" s="1036"/>
      <c r="CH103" s="1433"/>
      <c r="CI103" s="1427"/>
      <c r="CJ103" s="1200" t="s">
        <v>1247</v>
      </c>
      <c r="CK103" s="1032">
        <v>1</v>
      </c>
      <c r="CL103" s="1200" t="s">
        <v>1247</v>
      </c>
      <c r="CM103" s="1032">
        <v>1</v>
      </c>
      <c r="CN103" s="1200" t="s">
        <v>1247</v>
      </c>
      <c r="CO103" s="1032">
        <v>1</v>
      </c>
      <c r="CP103" s="1200" t="s">
        <v>1247</v>
      </c>
      <c r="CQ103" s="1032">
        <v>1</v>
      </c>
      <c r="CS103" s="1436"/>
      <c r="CT103" s="1404"/>
      <c r="CU103" s="1036"/>
      <c r="CV103" s="1404"/>
      <c r="CW103" s="1036"/>
      <c r="CX103" s="1433"/>
      <c r="CY103" s="1427"/>
      <c r="CZ103" s="1200" t="s">
        <v>1247</v>
      </c>
      <c r="DA103" s="1032">
        <v>1</v>
      </c>
      <c r="DB103" s="1200" t="s">
        <v>1247</v>
      </c>
      <c r="DC103" s="1032">
        <v>1</v>
      </c>
      <c r="DD103" s="1200" t="s">
        <v>1247</v>
      </c>
      <c r="DE103" s="1032">
        <v>1</v>
      </c>
      <c r="DF103" s="1200" t="s">
        <v>1247</v>
      </c>
      <c r="DG103" s="1032">
        <v>1</v>
      </c>
      <c r="DI103" s="1436"/>
      <c r="DJ103" s="1404"/>
      <c r="DK103" s="1036"/>
      <c r="DL103" s="1404"/>
      <c r="DM103" s="1036"/>
      <c r="DN103" s="1433"/>
      <c r="DO103" s="1427"/>
      <c r="DP103" s="1200" t="s">
        <v>1247</v>
      </c>
      <c r="DQ103" s="1032">
        <v>1</v>
      </c>
      <c r="DR103" s="1200" t="s">
        <v>1247</v>
      </c>
      <c r="DS103" s="1032">
        <v>1</v>
      </c>
      <c r="DT103" s="1200" t="s">
        <v>1247</v>
      </c>
      <c r="DU103" s="1032">
        <v>1</v>
      </c>
      <c r="DV103" s="1200" t="s">
        <v>1247</v>
      </c>
      <c r="DW103" s="1032">
        <v>1</v>
      </c>
      <c r="DY103" s="701"/>
      <c r="DZ103" s="701"/>
      <c r="EA103" s="1152"/>
      <c r="EB103" s="701"/>
      <c r="EC103" s="1152"/>
      <c r="ED103" s="701"/>
      <c r="EE103" s="763"/>
      <c r="EF103" s="701"/>
      <c r="EG103" s="763"/>
      <c r="EH103" s="701"/>
      <c r="EI103" s="763"/>
      <c r="EJ103" s="701"/>
      <c r="EK103" s="763"/>
      <c r="EL103" s="701"/>
      <c r="EM103" s="763"/>
    </row>
    <row r="104" spans="1:143" ht="17.25" customHeight="1">
      <c r="A104" s="1436"/>
      <c r="B104" s="1404"/>
      <c r="C104" s="1035" t="s">
        <v>1181</v>
      </c>
      <c r="D104" s="1404"/>
      <c r="E104" s="1035" t="s">
        <v>1181</v>
      </c>
      <c r="F104" s="1404"/>
      <c r="G104" s="1030">
        <f>G102/(G103*C92)</f>
        <v>0.56250000000000011</v>
      </c>
      <c r="H104" s="1404"/>
      <c r="I104" s="1030">
        <f>I102/(I103*C92)</f>
        <v>0.36352040816326531</v>
      </c>
      <c r="J104" s="1404"/>
      <c r="K104" s="1030">
        <f>K102/(K103*C92)</f>
        <v>0.36352040816326531</v>
      </c>
      <c r="L104" s="1404"/>
      <c r="M104" s="1030">
        <f>M102/(M103*C92)</f>
        <v>0.7098214285714286</v>
      </c>
      <c r="N104" s="1404"/>
      <c r="O104" s="1030">
        <f>O102/(O103*C92)</f>
        <v>0.7098214285714286</v>
      </c>
      <c r="Q104" s="1436"/>
      <c r="R104" s="1404"/>
      <c r="S104" s="1035" t="s">
        <v>1181</v>
      </c>
      <c r="T104" s="1404"/>
      <c r="U104" s="1035" t="s">
        <v>1181</v>
      </c>
      <c r="V104" s="1202"/>
      <c r="W104" s="1030">
        <f>W102/(W103*S92)</f>
        <v>0.47727272727272735</v>
      </c>
      <c r="X104" s="1202"/>
      <c r="Y104" s="1030">
        <f>Y102/(Y103*S92)</f>
        <v>0.61688311688311692</v>
      </c>
      <c r="Z104" s="1202"/>
      <c r="AA104" s="1030">
        <f>AA102/(AA103*S92)</f>
        <v>0.61688311688311692</v>
      </c>
      <c r="AB104" s="1202"/>
      <c r="AC104" s="1030">
        <f>AC102/(AC103*S92)</f>
        <v>0.60227272727272729</v>
      </c>
      <c r="AD104" s="1202"/>
      <c r="AE104" s="1030">
        <f>AE102/(AE103*S92)</f>
        <v>0.60227272727272729</v>
      </c>
      <c r="AG104" s="1436"/>
      <c r="AH104" s="1404"/>
      <c r="AI104" s="1035" t="s">
        <v>1181</v>
      </c>
      <c r="AJ104" s="1404"/>
      <c r="AK104" s="1035" t="s">
        <v>1181</v>
      </c>
      <c r="AL104" s="1202"/>
      <c r="AM104" s="1030">
        <f>AM102/(AM103*AI92)</f>
        <v>0.41447368421052638</v>
      </c>
      <c r="AN104" s="1202"/>
      <c r="AO104" s="1030">
        <f>AO102/(AO103*AI92)</f>
        <v>0.5357142857142857</v>
      </c>
      <c r="AP104" s="1202"/>
      <c r="AQ104" s="1030">
        <f>AQ102/(AQ103*AI92)</f>
        <v>0.5357142857142857</v>
      </c>
      <c r="AR104" s="1202"/>
      <c r="AS104" s="1030">
        <f>AS102/(AS103*AI92)</f>
        <v>0.52302631578947367</v>
      </c>
      <c r="AT104" s="1202"/>
      <c r="AU104" s="1030">
        <f>AU102/(AU103*AI92)</f>
        <v>0.52302631578947367</v>
      </c>
      <c r="AW104" s="1436"/>
      <c r="AX104" s="1404"/>
      <c r="AY104" s="1035" t="s">
        <v>1181</v>
      </c>
      <c r="AZ104" s="1404"/>
      <c r="BA104" s="1035" t="s">
        <v>1181</v>
      </c>
      <c r="BB104" s="1202"/>
      <c r="BC104" s="1030">
        <f>BC102/(BC103*AY92)</f>
        <v>0.3662790697674419</v>
      </c>
      <c r="BD104" s="1202"/>
      <c r="BE104" s="1030">
        <f>BE102/(BE103*AY92)</f>
        <v>0.473421926910299</v>
      </c>
      <c r="BF104" s="1202"/>
      <c r="BG104" s="1030">
        <f>BG102/(BG103*AY92)</f>
        <v>0.473421926910299</v>
      </c>
      <c r="BH104" s="1202"/>
      <c r="BI104" s="1030">
        <f>BI102/(BI103*AY92)</f>
        <v>0.46220930232558138</v>
      </c>
      <c r="BJ104" s="1202"/>
      <c r="BK104" s="1030">
        <f>BK102/(BK103*AY92)</f>
        <v>0.46220930232558138</v>
      </c>
      <c r="BM104" s="1436"/>
      <c r="BN104" s="1404"/>
      <c r="BO104" s="1035" t="s">
        <v>1181</v>
      </c>
      <c r="BP104" s="1404"/>
      <c r="BQ104" s="1035" t="s">
        <v>1181</v>
      </c>
      <c r="BR104" s="1434"/>
      <c r="BS104" s="1428"/>
      <c r="BT104" s="1202"/>
      <c r="BU104" s="1030">
        <f>BU102/(BU103*BO92)</f>
        <v>0.42410714285714279</v>
      </c>
      <c r="BV104" s="1202"/>
      <c r="BW104" s="1030">
        <f>BW102/(BW103*BO92)</f>
        <v>0.42410714285714279</v>
      </c>
      <c r="BX104" s="1202"/>
      <c r="BY104" s="1030">
        <f>BY102/(BY103*BO92)</f>
        <v>0.828125</v>
      </c>
      <c r="BZ104" s="1202"/>
      <c r="CA104" s="1030">
        <f>CA102/(CA103*BO92)</f>
        <v>0.828125</v>
      </c>
      <c r="CC104" s="1436"/>
      <c r="CD104" s="1404"/>
      <c r="CE104" s="1035" t="s">
        <v>1181</v>
      </c>
      <c r="CF104" s="1404"/>
      <c r="CG104" s="1035" t="s">
        <v>1181</v>
      </c>
      <c r="CH104" s="1434"/>
      <c r="CI104" s="1428"/>
      <c r="CJ104" s="1202"/>
      <c r="CK104" s="1059">
        <f>CK102/(CK103*CE92)</f>
        <v>0.39915966386554624</v>
      </c>
      <c r="CL104" s="1202"/>
      <c r="CM104" s="1059">
        <f>CM102/(CM103*CE92)</f>
        <v>0.39915966386554624</v>
      </c>
      <c r="CN104" s="1202"/>
      <c r="CO104" s="1059">
        <f>CO102/(CO103*CE92)</f>
        <v>0.77941176470588247</v>
      </c>
      <c r="CP104" s="1202"/>
      <c r="CQ104" s="1059">
        <f>CQ102/(CQ103*CE92)</f>
        <v>0.77941176470588247</v>
      </c>
      <c r="CS104" s="1436"/>
      <c r="CT104" s="1404"/>
      <c r="CU104" s="1035" t="s">
        <v>1181</v>
      </c>
      <c r="CV104" s="1404"/>
      <c r="CW104" s="1035" t="s">
        <v>1181</v>
      </c>
      <c r="CX104" s="1434"/>
      <c r="CY104" s="1428"/>
      <c r="CZ104" s="1202"/>
      <c r="DA104" s="1059">
        <f>DA102/(DA103*CU92)</f>
        <v>0.37012987012987014</v>
      </c>
      <c r="DB104" s="1202"/>
      <c r="DC104" s="1059">
        <f>DC102/(DC103*CU92)</f>
        <v>0.37012987012987014</v>
      </c>
      <c r="DD104" s="1202"/>
      <c r="DE104" s="1059">
        <f>DE102/(DE103*CU92)</f>
        <v>0.72272727272727277</v>
      </c>
      <c r="DF104" s="1202"/>
      <c r="DG104" s="1059">
        <f>DG102/(DG103*CU92)</f>
        <v>0.72272727272727277</v>
      </c>
      <c r="DI104" s="1436"/>
      <c r="DJ104" s="1404"/>
      <c r="DK104" s="1035" t="s">
        <v>1181</v>
      </c>
      <c r="DL104" s="1404"/>
      <c r="DM104" s="1035" t="s">
        <v>1181</v>
      </c>
      <c r="DN104" s="1434"/>
      <c r="DO104" s="1428"/>
      <c r="DP104" s="1202"/>
      <c r="DQ104" s="1059">
        <f>DQ102/(DQ103*DK92)</f>
        <v>0.35098522167487683</v>
      </c>
      <c r="DR104" s="1202"/>
      <c r="DS104" s="1059">
        <f>DS102/(DS103*DK92)</f>
        <v>0.35098522167487683</v>
      </c>
      <c r="DT104" s="1202"/>
      <c r="DU104" s="1059">
        <f>DU102/(DU103*DK92)</f>
        <v>0.68534482758620685</v>
      </c>
      <c r="DV104" s="1202"/>
      <c r="DW104" s="1059">
        <f>DW102/(DW103*DK92)</f>
        <v>0.68534482758620685</v>
      </c>
      <c r="DY104" s="701"/>
      <c r="DZ104" s="701"/>
      <c r="EA104" s="1210"/>
      <c r="EB104" s="701"/>
      <c r="EC104" s="1210"/>
      <c r="ED104" s="701"/>
      <c r="EE104" s="1146"/>
      <c r="EF104" s="701"/>
      <c r="EG104" s="1146"/>
      <c r="EH104" s="701"/>
      <c r="EI104" s="1146"/>
      <c r="EJ104" s="701"/>
      <c r="EK104" s="1146"/>
      <c r="EL104" s="701"/>
      <c r="EM104" s="1146"/>
    </row>
    <row r="105" spans="1:143" ht="15.75" customHeight="1">
      <c r="A105" s="1455" t="s">
        <v>1366</v>
      </c>
      <c r="B105" s="1414"/>
      <c r="C105" s="1045">
        <f>Möblierungsschablone!$C$41</f>
        <v>2.5649999999999999</v>
      </c>
      <c r="D105" s="1414"/>
      <c r="E105" s="1033">
        <f>Möblierungsschablone!$E$41</f>
        <v>2.5649999999999999</v>
      </c>
      <c r="F105" s="1404"/>
      <c r="G105" s="1033">
        <f>Möblierungsschablone!$G$36</f>
        <v>3.5999999999999996</v>
      </c>
      <c r="H105" s="1404"/>
      <c r="I105" s="1033">
        <f>Möblierungsschablone!$I$36</f>
        <v>4.32</v>
      </c>
      <c r="J105" s="1404"/>
      <c r="K105" s="1033">
        <f>Möblierungsschablone!$K$36</f>
        <v>5.04</v>
      </c>
      <c r="L105" s="1404"/>
      <c r="M105" s="1033">
        <f>Möblierungsschablone!$M$36</f>
        <v>5.76</v>
      </c>
      <c r="N105" s="1404"/>
      <c r="O105" s="1033">
        <f>Möblierungsschablone!$O$36</f>
        <v>6.48</v>
      </c>
      <c r="Q105" s="1435" t="s">
        <v>1366</v>
      </c>
      <c r="R105" s="1199" t="s">
        <v>2042</v>
      </c>
      <c r="S105" s="1033">
        <f>Möblierungsschablone!$C$41</f>
        <v>2.5649999999999999</v>
      </c>
      <c r="T105" s="1199" t="s">
        <v>2042</v>
      </c>
      <c r="U105" s="1033">
        <f>Möblierungsschablone!$E$41</f>
        <v>2.5649999999999999</v>
      </c>
      <c r="V105" s="1199" t="s">
        <v>2042</v>
      </c>
      <c r="W105" s="1033">
        <f>Möblierungsschablone!$G$36</f>
        <v>3.5999999999999996</v>
      </c>
      <c r="X105" s="1406"/>
      <c r="Y105" s="1033">
        <f>Möblierungsschablone!$I$36</f>
        <v>4.32</v>
      </c>
      <c r="Z105" s="1406"/>
      <c r="AA105" s="1033">
        <f>Möblierungsschablone!$K$36</f>
        <v>5.04</v>
      </c>
      <c r="AB105" s="1406"/>
      <c r="AC105" s="1033">
        <f>Möblierungsschablone!$M$36</f>
        <v>5.76</v>
      </c>
      <c r="AD105" s="1406"/>
      <c r="AE105" s="1033">
        <f>Möblierungsschablone!$O$36</f>
        <v>6.48</v>
      </c>
      <c r="AG105" s="1435" t="s">
        <v>1366</v>
      </c>
      <c r="AH105" s="1199" t="s">
        <v>2042</v>
      </c>
      <c r="AI105" s="1033">
        <f>Möblierungsschablone!$C$41</f>
        <v>2.5649999999999999</v>
      </c>
      <c r="AJ105" s="1199" t="s">
        <v>2042</v>
      </c>
      <c r="AK105" s="1033">
        <f>Möblierungsschablone!$E$41</f>
        <v>2.5649999999999999</v>
      </c>
      <c r="AL105" s="1199" t="s">
        <v>2042</v>
      </c>
      <c r="AM105" s="1033">
        <f>Möblierungsschablone!$G$36</f>
        <v>3.5999999999999996</v>
      </c>
      <c r="AN105" s="1406"/>
      <c r="AO105" s="1033">
        <f>Möblierungsschablone!$I$36</f>
        <v>4.32</v>
      </c>
      <c r="AP105" s="1406"/>
      <c r="AQ105" s="1033">
        <f>Möblierungsschablone!$K$36</f>
        <v>5.04</v>
      </c>
      <c r="AR105" s="1406"/>
      <c r="AS105" s="1033">
        <f>Möblierungsschablone!$M$36</f>
        <v>5.76</v>
      </c>
      <c r="AT105" s="1406"/>
      <c r="AU105" s="1033">
        <f>Möblierungsschablone!$O$36</f>
        <v>6.48</v>
      </c>
      <c r="AW105" s="1435" t="s">
        <v>1366</v>
      </c>
      <c r="AX105" s="1199" t="s">
        <v>2042</v>
      </c>
      <c r="AY105" s="1033">
        <f>Möblierungsschablone!$C$41</f>
        <v>2.5649999999999999</v>
      </c>
      <c r="AZ105" s="1199" t="s">
        <v>2042</v>
      </c>
      <c r="BA105" s="1033">
        <f>Möblierungsschablone!$E$41</f>
        <v>2.5649999999999999</v>
      </c>
      <c r="BB105" s="1199" t="s">
        <v>2042</v>
      </c>
      <c r="BC105" s="1033">
        <f>Möblierungsschablone!$G$36</f>
        <v>3.5999999999999996</v>
      </c>
      <c r="BD105" s="1199" t="s">
        <v>2042</v>
      </c>
      <c r="BE105" s="1033">
        <f>Möblierungsschablone!$I$36</f>
        <v>4.32</v>
      </c>
      <c r="BF105" s="1406"/>
      <c r="BG105" s="1033">
        <f>Möblierungsschablone!$K$36</f>
        <v>5.04</v>
      </c>
      <c r="BH105" s="1406"/>
      <c r="BI105" s="1033">
        <f>Möblierungsschablone!$M$36</f>
        <v>5.76</v>
      </c>
      <c r="BJ105" s="1406"/>
      <c r="BK105" s="1033">
        <f>Möblierungsschablone!$O$36</f>
        <v>6.48</v>
      </c>
      <c r="BM105" s="1435" t="s">
        <v>1366</v>
      </c>
      <c r="BN105" s="1199" t="s">
        <v>2042</v>
      </c>
      <c r="BO105" s="1033">
        <f>Möblierungsschablone!$C$41</f>
        <v>2.5649999999999999</v>
      </c>
      <c r="BP105" s="1199" t="s">
        <v>2042</v>
      </c>
      <c r="BQ105" s="1033">
        <f>Möblierungsschablone!$E$41</f>
        <v>2.5649999999999999</v>
      </c>
      <c r="BR105" s="1199" t="s">
        <v>2042</v>
      </c>
      <c r="BS105" s="1033">
        <f>Möblierungsschablone!$G$36</f>
        <v>3.5999999999999996</v>
      </c>
      <c r="BT105" s="1199" t="s">
        <v>2042</v>
      </c>
      <c r="BU105" s="1033">
        <f>Möblierungsschablone!$I$36</f>
        <v>4.32</v>
      </c>
      <c r="BV105" s="1406"/>
      <c r="BW105" s="1033">
        <f>Möblierungsschablone!$K$36</f>
        <v>5.04</v>
      </c>
      <c r="BX105" s="1406"/>
      <c r="BY105" s="1033">
        <f>Möblierungsschablone!$M$36</f>
        <v>5.76</v>
      </c>
      <c r="BZ105" s="1406"/>
      <c r="CA105" s="1033">
        <f>Möblierungsschablone!$O$36</f>
        <v>6.48</v>
      </c>
      <c r="CC105" s="1435" t="s">
        <v>1366</v>
      </c>
      <c r="CD105" s="1199" t="s">
        <v>2042</v>
      </c>
      <c r="CE105" s="1033">
        <f>Möblierungsschablone!$C$41</f>
        <v>2.5649999999999999</v>
      </c>
      <c r="CF105" s="1199" t="s">
        <v>2042</v>
      </c>
      <c r="CG105" s="1033">
        <f>Möblierungsschablone!$E$41</f>
        <v>2.5649999999999999</v>
      </c>
      <c r="CH105" s="1199" t="s">
        <v>2042</v>
      </c>
      <c r="CI105" s="1033">
        <f>Möblierungsschablone!$G$36</f>
        <v>3.5999999999999996</v>
      </c>
      <c r="CJ105" s="1199" t="s">
        <v>2042</v>
      </c>
      <c r="CK105" s="1033">
        <f>Möblierungsschablone!$I$36</f>
        <v>4.32</v>
      </c>
      <c r="CL105" s="1199" t="s">
        <v>2042</v>
      </c>
      <c r="CM105" s="1033">
        <f>Möblierungsschablone!$K$36</f>
        <v>5.04</v>
      </c>
      <c r="CN105" s="1406"/>
      <c r="CO105" s="1033">
        <f>Möblierungsschablone!$M$36</f>
        <v>5.76</v>
      </c>
      <c r="CP105" s="1406"/>
      <c r="CQ105" s="1033">
        <f>Möblierungsschablone!$O$36</f>
        <v>6.48</v>
      </c>
      <c r="CS105" s="1435" t="s">
        <v>1366</v>
      </c>
      <c r="CT105" s="1199" t="s">
        <v>2042</v>
      </c>
      <c r="CU105" s="1033">
        <f>Möblierungsschablone!$C$41</f>
        <v>2.5649999999999999</v>
      </c>
      <c r="CV105" s="1199" t="s">
        <v>2042</v>
      </c>
      <c r="CW105" s="1033">
        <f>Möblierungsschablone!$E$41</f>
        <v>2.5649999999999999</v>
      </c>
      <c r="CX105" s="1199" t="s">
        <v>2042</v>
      </c>
      <c r="CY105" s="1033">
        <f>Möblierungsschablone!$G$36</f>
        <v>3.5999999999999996</v>
      </c>
      <c r="CZ105" s="1199" t="s">
        <v>2042</v>
      </c>
      <c r="DA105" s="1033">
        <f>Möblierungsschablone!$I$36</f>
        <v>4.32</v>
      </c>
      <c r="DB105" s="1199" t="s">
        <v>2042</v>
      </c>
      <c r="DC105" s="1033">
        <f>Möblierungsschablone!$K$36</f>
        <v>5.04</v>
      </c>
      <c r="DD105" s="1406"/>
      <c r="DE105" s="1033">
        <f>Möblierungsschablone!$M$36</f>
        <v>5.76</v>
      </c>
      <c r="DF105" s="1406"/>
      <c r="DG105" s="1033">
        <f>Möblierungsschablone!$O$36</f>
        <v>6.48</v>
      </c>
      <c r="DI105" s="1435" t="s">
        <v>1366</v>
      </c>
      <c r="DJ105" s="1199" t="s">
        <v>2042</v>
      </c>
      <c r="DK105" s="1033">
        <f>Möblierungsschablone!$C$41</f>
        <v>2.5649999999999999</v>
      </c>
      <c r="DL105" s="1199" t="s">
        <v>2042</v>
      </c>
      <c r="DM105" s="1033">
        <f>Möblierungsschablone!$E$41</f>
        <v>2.5649999999999999</v>
      </c>
      <c r="DN105" s="1199" t="s">
        <v>2042</v>
      </c>
      <c r="DO105" s="1033">
        <f>Möblierungsschablone!$G$36</f>
        <v>3.5999999999999996</v>
      </c>
      <c r="DP105" s="1199" t="s">
        <v>2042</v>
      </c>
      <c r="DQ105" s="1033">
        <f>Möblierungsschablone!$I$36</f>
        <v>4.32</v>
      </c>
      <c r="DR105" s="1199" t="s">
        <v>2042</v>
      </c>
      <c r="DS105" s="1033">
        <f>Möblierungsschablone!$K$36</f>
        <v>5.04</v>
      </c>
      <c r="DT105" s="1406"/>
      <c r="DU105" s="1033">
        <f>Möblierungsschablone!$M$36</f>
        <v>5.76</v>
      </c>
      <c r="DV105" s="1406"/>
      <c r="DW105" s="1033">
        <f>Möblierungsschablone!$O$36</f>
        <v>6.48</v>
      </c>
      <c r="DY105" s="1154"/>
      <c r="DZ105" s="701"/>
      <c r="EA105" s="1152"/>
      <c r="EB105" s="701"/>
      <c r="EC105" s="1152"/>
      <c r="ED105" s="701"/>
      <c r="EE105" s="1152"/>
      <c r="EF105" s="701"/>
      <c r="EG105" s="1152"/>
      <c r="EH105" s="701"/>
      <c r="EI105" s="1152"/>
      <c r="EJ105" s="701"/>
      <c r="EK105" s="1039"/>
      <c r="EL105" s="701"/>
      <c r="EM105" s="1039"/>
    </row>
    <row r="106" spans="1:143" ht="15.75" customHeight="1">
      <c r="A106" s="1456"/>
      <c r="B106" s="1415"/>
      <c r="C106" s="1045">
        <f>Möblierungsschablone!$C$46</f>
        <v>2.7</v>
      </c>
      <c r="D106" s="1415"/>
      <c r="E106" s="1033">
        <f>Möblierungsschablone!$E$46</f>
        <v>3.5999999999999996</v>
      </c>
      <c r="F106" s="1404"/>
      <c r="G106" s="1033"/>
      <c r="H106" s="1404"/>
      <c r="I106" s="1033"/>
      <c r="J106" s="1404"/>
      <c r="K106" s="1033"/>
      <c r="L106" s="1404"/>
      <c r="M106" s="1033"/>
      <c r="N106" s="1404"/>
      <c r="O106" s="1033"/>
      <c r="Q106" s="1436"/>
      <c r="R106" s="1200" t="s">
        <v>1367</v>
      </c>
      <c r="S106" s="1033">
        <f>Möblierungsschablone!$C$46</f>
        <v>2.7</v>
      </c>
      <c r="T106" s="1200" t="s">
        <v>1367</v>
      </c>
      <c r="U106" s="1033">
        <f>Möblierungsschablone!$E$46</f>
        <v>3.5999999999999996</v>
      </c>
      <c r="V106" s="1200" t="s">
        <v>1367</v>
      </c>
      <c r="W106" s="1033">
        <f>Möblierungsschablone!$G$46</f>
        <v>4.32</v>
      </c>
      <c r="X106" s="1406"/>
      <c r="Y106" s="1033"/>
      <c r="Z106" s="1406"/>
      <c r="AA106" s="1033"/>
      <c r="AB106" s="1406"/>
      <c r="AC106" s="1033"/>
      <c r="AD106" s="1406"/>
      <c r="AE106" s="1033"/>
      <c r="AG106" s="1436"/>
      <c r="AH106" s="1200" t="s">
        <v>1367</v>
      </c>
      <c r="AI106" s="1033">
        <f>Möblierungsschablone!$C$46</f>
        <v>2.7</v>
      </c>
      <c r="AJ106" s="1200" t="s">
        <v>1367</v>
      </c>
      <c r="AK106" s="1033">
        <f>Möblierungsschablone!$E$46</f>
        <v>3.5999999999999996</v>
      </c>
      <c r="AL106" s="1200" t="s">
        <v>1367</v>
      </c>
      <c r="AM106" s="1033">
        <f>Möblierungsschablone!$G$46</f>
        <v>4.32</v>
      </c>
      <c r="AN106" s="1406"/>
      <c r="AO106" s="1033"/>
      <c r="AP106" s="1406"/>
      <c r="AQ106" s="1033"/>
      <c r="AR106" s="1406"/>
      <c r="AS106" s="1033"/>
      <c r="AT106" s="1406"/>
      <c r="AU106" s="1033"/>
      <c r="AW106" s="1436"/>
      <c r="AX106" s="1200" t="s">
        <v>1367</v>
      </c>
      <c r="AY106" s="1033">
        <f>Möblierungsschablone!$C$46</f>
        <v>2.7</v>
      </c>
      <c r="AZ106" s="1200" t="s">
        <v>1367</v>
      </c>
      <c r="BA106" s="1033">
        <f>Möblierungsschablone!$E$46</f>
        <v>3.5999999999999996</v>
      </c>
      <c r="BB106" s="1200" t="s">
        <v>1367</v>
      </c>
      <c r="BC106" s="1033">
        <f>Möblierungsschablone!$G$46</f>
        <v>4.32</v>
      </c>
      <c r="BD106" s="1200" t="s">
        <v>1367</v>
      </c>
      <c r="BE106" s="1033">
        <f>Möblierungsschablone!$I$46</f>
        <v>5.76</v>
      </c>
      <c r="BF106" s="1406"/>
      <c r="BG106" s="1033"/>
      <c r="BH106" s="1406"/>
      <c r="BI106" s="1033"/>
      <c r="BJ106" s="1406"/>
      <c r="BK106" s="1033"/>
      <c r="BM106" s="1436"/>
      <c r="BN106" s="1200" t="s">
        <v>1367</v>
      </c>
      <c r="BO106" s="1033">
        <f>Möblierungsschablone!$C$46</f>
        <v>2.7</v>
      </c>
      <c r="BP106" s="1200" t="s">
        <v>1367</v>
      </c>
      <c r="BQ106" s="1033">
        <f>Möblierungsschablone!$E$46</f>
        <v>3.5999999999999996</v>
      </c>
      <c r="BR106" s="1200" t="s">
        <v>1367</v>
      </c>
      <c r="BS106" s="1033">
        <f>Möblierungsschablone!$G$46</f>
        <v>4.32</v>
      </c>
      <c r="BT106" s="1200" t="s">
        <v>1367</v>
      </c>
      <c r="BU106" s="1033">
        <f>Möblierungsschablone!$I$46</f>
        <v>5.76</v>
      </c>
      <c r="BV106" s="1406"/>
      <c r="BW106" s="1033"/>
      <c r="BX106" s="1406"/>
      <c r="BY106" s="1033"/>
      <c r="BZ106" s="1406"/>
      <c r="CA106" s="1033"/>
      <c r="CC106" s="1436"/>
      <c r="CD106" s="1200" t="s">
        <v>1367</v>
      </c>
      <c r="CE106" s="1033">
        <f>Möblierungsschablone!$C$46</f>
        <v>2.7</v>
      </c>
      <c r="CF106" s="1200" t="s">
        <v>1367</v>
      </c>
      <c r="CG106" s="1033">
        <f>Möblierungsschablone!$E$46</f>
        <v>3.5999999999999996</v>
      </c>
      <c r="CH106" s="1200" t="s">
        <v>1367</v>
      </c>
      <c r="CI106" s="1033">
        <f>Möblierungsschablone!$G$46</f>
        <v>4.32</v>
      </c>
      <c r="CJ106" s="1200" t="s">
        <v>1367</v>
      </c>
      <c r="CK106" s="1033">
        <f>Möblierungsschablone!$I$46</f>
        <v>5.76</v>
      </c>
      <c r="CL106" s="1200" t="s">
        <v>1367</v>
      </c>
      <c r="CM106" s="1033">
        <f>Möblierungsschablone!$K$46</f>
        <v>7.1999999999999993</v>
      </c>
      <c r="CN106" s="1406"/>
      <c r="CO106" s="1033"/>
      <c r="CP106" s="1406"/>
      <c r="CQ106" s="1033"/>
      <c r="CS106" s="1436"/>
      <c r="CT106" s="1200" t="s">
        <v>1367</v>
      </c>
      <c r="CU106" s="1033">
        <f>Möblierungsschablone!$C$46</f>
        <v>2.7</v>
      </c>
      <c r="CV106" s="1200" t="s">
        <v>1367</v>
      </c>
      <c r="CW106" s="1033">
        <f>Möblierungsschablone!$E$46</f>
        <v>3.5999999999999996</v>
      </c>
      <c r="CX106" s="1200" t="s">
        <v>1367</v>
      </c>
      <c r="CY106" s="1033">
        <f>Möblierungsschablone!$G$46</f>
        <v>4.32</v>
      </c>
      <c r="CZ106" s="1200" t="s">
        <v>1367</v>
      </c>
      <c r="DA106" s="1033">
        <f>Möblierungsschablone!$I$46</f>
        <v>5.76</v>
      </c>
      <c r="DB106" s="1200" t="s">
        <v>1367</v>
      </c>
      <c r="DC106" s="1033">
        <f>Möblierungsschablone!$K$46</f>
        <v>7.1999999999999993</v>
      </c>
      <c r="DD106" s="1406"/>
      <c r="DE106" s="1033"/>
      <c r="DF106" s="1406"/>
      <c r="DG106" s="1033"/>
      <c r="DI106" s="1436"/>
      <c r="DJ106" s="1200" t="s">
        <v>1367</v>
      </c>
      <c r="DK106" s="1033">
        <f>Möblierungsschablone!$C$46</f>
        <v>2.7</v>
      </c>
      <c r="DL106" s="1200" t="s">
        <v>1367</v>
      </c>
      <c r="DM106" s="1033">
        <f>Möblierungsschablone!$E$46</f>
        <v>3.5999999999999996</v>
      </c>
      <c r="DN106" s="1200" t="s">
        <v>1367</v>
      </c>
      <c r="DO106" s="1033">
        <f>Möblierungsschablone!$G$46</f>
        <v>4.32</v>
      </c>
      <c r="DP106" s="1200" t="s">
        <v>1367</v>
      </c>
      <c r="DQ106" s="1033">
        <f>Möblierungsschablone!$I$46</f>
        <v>5.76</v>
      </c>
      <c r="DR106" s="1200" t="s">
        <v>1367</v>
      </c>
      <c r="DS106" s="1033">
        <f>Möblierungsschablone!$K$46</f>
        <v>7.1999999999999993</v>
      </c>
      <c r="DT106" s="1406"/>
      <c r="DU106" s="1033"/>
      <c r="DV106" s="1406"/>
      <c r="DW106" s="1033"/>
      <c r="DY106" s="701"/>
      <c r="DZ106" s="701"/>
      <c r="EA106" s="1152"/>
      <c r="EB106" s="701"/>
      <c r="EC106" s="1152"/>
      <c r="ED106" s="701"/>
      <c r="EE106" s="1152"/>
      <c r="EF106" s="701"/>
      <c r="EG106" s="1152"/>
      <c r="EH106" s="701"/>
      <c r="EI106" s="1152"/>
      <c r="EJ106" s="701"/>
      <c r="EK106" s="1039"/>
      <c r="EL106" s="701"/>
      <c r="EM106" s="1039"/>
    </row>
    <row r="107" spans="1:143" ht="15.75" customHeight="1">
      <c r="A107" s="1456"/>
      <c r="B107" s="1415"/>
      <c r="C107" s="1044"/>
      <c r="D107" s="1415"/>
      <c r="E107" s="1034"/>
      <c r="F107" s="1404"/>
      <c r="G107" s="1034">
        <f>SUM(G105:G106)</f>
        <v>3.5999999999999996</v>
      </c>
      <c r="H107" s="1404"/>
      <c r="I107" s="1034">
        <f>SUM(I105:I106)</f>
        <v>4.32</v>
      </c>
      <c r="J107" s="1404"/>
      <c r="K107" s="1034">
        <f>SUM(K105:K106)</f>
        <v>5.04</v>
      </c>
      <c r="L107" s="1404"/>
      <c r="M107" s="1034">
        <f>SUM(M105:M106)</f>
        <v>5.76</v>
      </c>
      <c r="N107" s="1404"/>
      <c r="O107" s="1034">
        <f>SUM(O105:O106)</f>
        <v>6.48</v>
      </c>
      <c r="Q107" s="1436"/>
      <c r="R107" s="1200"/>
      <c r="S107" s="1034"/>
      <c r="T107" s="1200"/>
      <c r="U107" s="1034"/>
      <c r="V107" s="1200"/>
      <c r="W107" s="1034"/>
      <c r="X107" s="1406"/>
      <c r="Y107" s="1034">
        <f>SUM(Y105:Y106)</f>
        <v>4.32</v>
      </c>
      <c r="Z107" s="1406"/>
      <c r="AA107" s="1034">
        <f>SUM(AA105:AA106)</f>
        <v>5.04</v>
      </c>
      <c r="AB107" s="1406"/>
      <c r="AC107" s="1034">
        <f>SUM(AC105:AC106)</f>
        <v>5.76</v>
      </c>
      <c r="AD107" s="1406"/>
      <c r="AE107" s="1034">
        <f>SUM(AE105:AE106)</f>
        <v>6.48</v>
      </c>
      <c r="AG107" s="1436"/>
      <c r="AH107" s="1200"/>
      <c r="AI107" s="1034"/>
      <c r="AJ107" s="1200"/>
      <c r="AK107" s="1034"/>
      <c r="AL107" s="1200"/>
      <c r="AM107" s="1034"/>
      <c r="AN107" s="1406"/>
      <c r="AO107" s="1034">
        <f>SUM(AO105:AO106)</f>
        <v>4.32</v>
      </c>
      <c r="AP107" s="1406"/>
      <c r="AQ107" s="1034">
        <f>SUM(AQ105:AQ106)</f>
        <v>5.04</v>
      </c>
      <c r="AR107" s="1406"/>
      <c r="AS107" s="1034">
        <f>SUM(AS105:AS106)</f>
        <v>5.76</v>
      </c>
      <c r="AT107" s="1406"/>
      <c r="AU107" s="1034">
        <f>SUM(AU105:AU106)</f>
        <v>6.48</v>
      </c>
      <c r="AW107" s="1436"/>
      <c r="AX107" s="1200"/>
      <c r="AY107" s="1034"/>
      <c r="AZ107" s="1200"/>
      <c r="BA107" s="1034"/>
      <c r="BB107" s="1200"/>
      <c r="BC107" s="1034"/>
      <c r="BD107" s="1200"/>
      <c r="BE107" s="1034"/>
      <c r="BF107" s="1406"/>
      <c r="BG107" s="1034">
        <f>SUM(BG105:BG106)</f>
        <v>5.04</v>
      </c>
      <c r="BH107" s="1406"/>
      <c r="BI107" s="1034">
        <f>SUM(BI105:BI106)</f>
        <v>5.76</v>
      </c>
      <c r="BJ107" s="1406"/>
      <c r="BK107" s="1034">
        <f>SUM(BK105:BK106)</f>
        <v>6.48</v>
      </c>
      <c r="BM107" s="1436"/>
      <c r="BN107" s="1200" t="s">
        <v>2041</v>
      </c>
      <c r="BO107" s="1033">
        <f>Möblierungsschablone!$C$56</f>
        <v>5.76</v>
      </c>
      <c r="BP107" s="1200" t="s">
        <v>2041</v>
      </c>
      <c r="BQ107" s="1033">
        <f>Möblierungsschablone!$E$56</f>
        <v>5.76</v>
      </c>
      <c r="BR107" s="1200"/>
      <c r="BS107" s="1034"/>
      <c r="BT107" s="1200"/>
      <c r="BU107" s="1034"/>
      <c r="BV107" s="1406"/>
      <c r="BW107" s="1034">
        <f>SUM(BW105:BW106)</f>
        <v>5.04</v>
      </c>
      <c r="BX107" s="1406"/>
      <c r="BY107" s="1034">
        <f>SUM(BY105:BY106)</f>
        <v>5.76</v>
      </c>
      <c r="BZ107" s="1406"/>
      <c r="CA107" s="1034">
        <f>SUM(CA105:CA106)</f>
        <v>6.48</v>
      </c>
      <c r="CC107" s="1436"/>
      <c r="CD107" s="1200" t="s">
        <v>2041</v>
      </c>
      <c r="CE107" s="1033">
        <f>Möblierungsschablone!$C$56</f>
        <v>5.76</v>
      </c>
      <c r="CF107" s="1200" t="s">
        <v>2041</v>
      </c>
      <c r="CG107" s="1033">
        <f>Möblierungsschablone!$E$56</f>
        <v>5.76</v>
      </c>
      <c r="CH107" s="1200"/>
      <c r="CI107" s="1034"/>
      <c r="CJ107" s="1200"/>
      <c r="CK107" s="1034"/>
      <c r="CL107" s="1200"/>
      <c r="CM107" s="1036"/>
      <c r="CN107" s="1406"/>
      <c r="CO107" s="1034">
        <f>SUM(CO105:CO106)</f>
        <v>5.76</v>
      </c>
      <c r="CP107" s="1406"/>
      <c r="CQ107" s="1034">
        <f>SUM(CQ105:CQ106)</f>
        <v>6.48</v>
      </c>
      <c r="CS107" s="1436"/>
      <c r="CT107" s="1200" t="s">
        <v>2041</v>
      </c>
      <c r="CU107" s="1033">
        <f>Möblierungsschablone!$C$56</f>
        <v>5.76</v>
      </c>
      <c r="CV107" s="1200" t="s">
        <v>2041</v>
      </c>
      <c r="CW107" s="1033">
        <f>Möblierungsschablone!$E$56</f>
        <v>5.76</v>
      </c>
      <c r="CX107" s="1200"/>
      <c r="CY107" s="1034"/>
      <c r="CZ107" s="1200"/>
      <c r="DA107" s="1034"/>
      <c r="DB107" s="1200"/>
      <c r="DC107" s="1036"/>
      <c r="DD107" s="1406"/>
      <c r="DE107" s="1034">
        <f>SUM(DE105:DE106)</f>
        <v>5.76</v>
      </c>
      <c r="DF107" s="1406"/>
      <c r="DG107" s="1034">
        <f>SUM(DG105:DG106)</f>
        <v>6.48</v>
      </c>
      <c r="DI107" s="1436"/>
      <c r="DJ107" s="1200" t="s">
        <v>2041</v>
      </c>
      <c r="DK107" s="1033">
        <f>Möblierungsschablone!$C$56</f>
        <v>5.76</v>
      </c>
      <c r="DL107" s="1200" t="s">
        <v>2041</v>
      </c>
      <c r="DM107" s="1033">
        <f>Möblierungsschablone!$E$56</f>
        <v>5.76</v>
      </c>
      <c r="DN107" s="1200"/>
      <c r="DO107" s="1034"/>
      <c r="DP107" s="1200"/>
      <c r="DQ107" s="1034"/>
      <c r="DR107" s="1200"/>
      <c r="DS107" s="1036"/>
      <c r="DT107" s="1406"/>
      <c r="DU107" s="1034">
        <f>SUM(DU105:DU106)</f>
        <v>5.76</v>
      </c>
      <c r="DV107" s="1406"/>
      <c r="DW107" s="1034">
        <f>SUM(DW105:DW106)</f>
        <v>6.48</v>
      </c>
      <c r="DY107" s="701"/>
      <c r="DZ107" s="701"/>
      <c r="EA107" s="1152"/>
      <c r="EB107" s="701"/>
      <c r="EC107" s="1152"/>
      <c r="ED107" s="701"/>
      <c r="EE107" s="1152"/>
      <c r="EF107" s="701"/>
      <c r="EG107" s="1152"/>
      <c r="EH107" s="701"/>
      <c r="EI107" s="1152"/>
      <c r="EJ107" s="701"/>
      <c r="EK107" s="1193"/>
      <c r="EL107" s="701"/>
      <c r="EM107" s="1193"/>
    </row>
    <row r="108" spans="1:143" ht="15.75" customHeight="1">
      <c r="A108" s="1456"/>
      <c r="B108" s="1415"/>
      <c r="C108" s="1044">
        <f>SUM(C105:C107)</f>
        <v>5.2650000000000006</v>
      </c>
      <c r="D108" s="1415"/>
      <c r="E108" s="1034">
        <f>SUM(E105:E107)</f>
        <v>6.1649999999999991</v>
      </c>
      <c r="F108" s="1404"/>
      <c r="G108" s="1032">
        <v>1</v>
      </c>
      <c r="H108" s="1404"/>
      <c r="I108" s="1032">
        <v>1</v>
      </c>
      <c r="J108" s="1404"/>
      <c r="K108" s="1032">
        <v>1</v>
      </c>
      <c r="L108" s="1404"/>
      <c r="M108" s="1032">
        <v>1</v>
      </c>
      <c r="N108" s="1404"/>
      <c r="O108" s="1032">
        <v>1</v>
      </c>
      <c r="Q108" s="1436"/>
      <c r="R108" s="1201" t="s">
        <v>2036</v>
      </c>
      <c r="S108" s="1034">
        <f>SUM(S105:S107)</f>
        <v>5.2650000000000006</v>
      </c>
      <c r="T108" s="1201" t="s">
        <v>2036</v>
      </c>
      <c r="U108" s="1034">
        <f>SUM(U105:U107)</f>
        <v>6.1649999999999991</v>
      </c>
      <c r="V108" s="1201" t="s">
        <v>2036</v>
      </c>
      <c r="W108" s="1034">
        <f>SUM(W105:W107)</f>
        <v>7.92</v>
      </c>
      <c r="X108" s="1406"/>
      <c r="Y108" s="1032">
        <v>1</v>
      </c>
      <c r="Z108" s="1406"/>
      <c r="AA108" s="1032">
        <v>1</v>
      </c>
      <c r="AB108" s="1406"/>
      <c r="AC108" s="1032">
        <v>1</v>
      </c>
      <c r="AD108" s="1406"/>
      <c r="AE108" s="1032">
        <v>1</v>
      </c>
      <c r="AG108" s="1436"/>
      <c r="AH108" s="1201" t="s">
        <v>2036</v>
      </c>
      <c r="AI108" s="1034">
        <f>SUM(AI105:AI107)</f>
        <v>5.2650000000000006</v>
      </c>
      <c r="AJ108" s="1201" t="s">
        <v>2036</v>
      </c>
      <c r="AK108" s="1034">
        <f>SUM(AK105:AK107)</f>
        <v>6.1649999999999991</v>
      </c>
      <c r="AL108" s="1201" t="s">
        <v>2036</v>
      </c>
      <c r="AM108" s="1034">
        <f>SUM(AM105:AM107)</f>
        <v>7.92</v>
      </c>
      <c r="AN108" s="1406"/>
      <c r="AO108" s="1032">
        <v>1</v>
      </c>
      <c r="AP108" s="1406"/>
      <c r="AQ108" s="1032">
        <v>1</v>
      </c>
      <c r="AR108" s="1406"/>
      <c r="AS108" s="1032">
        <v>1</v>
      </c>
      <c r="AT108" s="1406"/>
      <c r="AU108" s="1032">
        <v>1</v>
      </c>
      <c r="AW108" s="1436"/>
      <c r="AX108" s="1201" t="s">
        <v>2036</v>
      </c>
      <c r="AY108" s="1034">
        <f>SUM(AY105:AY107)</f>
        <v>5.2650000000000006</v>
      </c>
      <c r="AZ108" s="1201" t="s">
        <v>2036</v>
      </c>
      <c r="BA108" s="1034">
        <f>SUM(BA105:BA107)</f>
        <v>6.1649999999999991</v>
      </c>
      <c r="BB108" s="1201" t="s">
        <v>2036</v>
      </c>
      <c r="BC108" s="1034">
        <f>SUM(BC105:BC107)</f>
        <v>7.92</v>
      </c>
      <c r="BD108" s="1201" t="s">
        <v>2036</v>
      </c>
      <c r="BE108" s="1034">
        <f>SUM(BE105:BE107)</f>
        <v>10.08</v>
      </c>
      <c r="BF108" s="1406"/>
      <c r="BG108" s="1032">
        <v>1</v>
      </c>
      <c r="BH108" s="1406"/>
      <c r="BI108" s="1032">
        <v>1</v>
      </c>
      <c r="BJ108" s="1406"/>
      <c r="BK108" s="1032">
        <v>1</v>
      </c>
      <c r="BM108" s="1436"/>
      <c r="BN108" s="1201" t="s">
        <v>2036</v>
      </c>
      <c r="BO108" s="1034">
        <f>SUM(BO105:BO107)</f>
        <v>11.025</v>
      </c>
      <c r="BP108" s="1201" t="s">
        <v>2036</v>
      </c>
      <c r="BQ108" s="1034">
        <f>SUM(BQ105:BQ107)</f>
        <v>11.924999999999999</v>
      </c>
      <c r="BR108" s="1201" t="s">
        <v>2036</v>
      </c>
      <c r="BS108" s="1034">
        <f>SUM(BS105:BS107)</f>
        <v>7.92</v>
      </c>
      <c r="BT108" s="1201" t="s">
        <v>2036</v>
      </c>
      <c r="BU108" s="1034">
        <f>SUM(BU105:BU107)</f>
        <v>10.08</v>
      </c>
      <c r="BV108" s="1406"/>
      <c r="BW108" s="1032">
        <v>1</v>
      </c>
      <c r="BX108" s="1406"/>
      <c r="BY108" s="1032">
        <v>1</v>
      </c>
      <c r="BZ108" s="1406"/>
      <c r="CA108" s="1032">
        <v>1</v>
      </c>
      <c r="CC108" s="1436"/>
      <c r="CD108" s="1201" t="s">
        <v>2036</v>
      </c>
      <c r="CE108" s="1034">
        <f>SUM(CE105:CE107)</f>
        <v>11.025</v>
      </c>
      <c r="CF108" s="1201" t="s">
        <v>2036</v>
      </c>
      <c r="CG108" s="1034">
        <f>SUM(CG105:CG107)</f>
        <v>11.924999999999999</v>
      </c>
      <c r="CH108" s="1201" t="s">
        <v>2036</v>
      </c>
      <c r="CI108" s="1034">
        <f>SUM(CI105:CI107)</f>
        <v>7.92</v>
      </c>
      <c r="CJ108" s="1201" t="s">
        <v>2036</v>
      </c>
      <c r="CK108" s="1034">
        <f>SUM(CK105:CK107)</f>
        <v>10.08</v>
      </c>
      <c r="CL108" s="1201" t="s">
        <v>2036</v>
      </c>
      <c r="CM108" s="1034">
        <f>SUM(CM105:CM107)</f>
        <v>12.239999999999998</v>
      </c>
      <c r="CN108" s="1406"/>
      <c r="CO108" s="1032">
        <v>1</v>
      </c>
      <c r="CP108" s="1406"/>
      <c r="CQ108" s="1032">
        <v>1</v>
      </c>
      <c r="CS108" s="1436"/>
      <c r="CT108" s="1201" t="s">
        <v>2036</v>
      </c>
      <c r="CU108" s="1034">
        <f>SUM(CU105:CU107)</f>
        <v>11.025</v>
      </c>
      <c r="CV108" s="1201" t="s">
        <v>2036</v>
      </c>
      <c r="CW108" s="1034">
        <f>SUM(CW105:CW107)</f>
        <v>11.924999999999999</v>
      </c>
      <c r="CX108" s="1201" t="s">
        <v>2036</v>
      </c>
      <c r="CY108" s="1034">
        <f>SUM(CY105:CY107)</f>
        <v>7.92</v>
      </c>
      <c r="CZ108" s="1201" t="s">
        <v>2036</v>
      </c>
      <c r="DA108" s="1034">
        <f>SUM(DA105:DA107)</f>
        <v>10.08</v>
      </c>
      <c r="DB108" s="1201" t="s">
        <v>2036</v>
      </c>
      <c r="DC108" s="1034">
        <f>SUM(DC105:DC107)</f>
        <v>12.239999999999998</v>
      </c>
      <c r="DD108" s="1406"/>
      <c r="DE108" s="1032">
        <v>1</v>
      </c>
      <c r="DF108" s="1406"/>
      <c r="DG108" s="1032">
        <v>1</v>
      </c>
      <c r="DI108" s="1436"/>
      <c r="DJ108" s="1201" t="s">
        <v>2036</v>
      </c>
      <c r="DK108" s="1034">
        <f>SUM(DK105:DK107)</f>
        <v>11.025</v>
      </c>
      <c r="DL108" s="1201" t="s">
        <v>2036</v>
      </c>
      <c r="DM108" s="1034">
        <f>SUM(DM105:DM107)</f>
        <v>11.924999999999999</v>
      </c>
      <c r="DN108" s="1201" t="s">
        <v>2036</v>
      </c>
      <c r="DO108" s="1034">
        <f>SUM(DO105:DO107)</f>
        <v>7.92</v>
      </c>
      <c r="DP108" s="1201" t="s">
        <v>2036</v>
      </c>
      <c r="DQ108" s="1034">
        <f>SUM(DQ105:DQ107)</f>
        <v>10.08</v>
      </c>
      <c r="DR108" s="1201" t="s">
        <v>2036</v>
      </c>
      <c r="DS108" s="1034">
        <f>SUM(DS105:DS107)</f>
        <v>12.239999999999998</v>
      </c>
      <c r="DT108" s="1406"/>
      <c r="DU108" s="1032">
        <v>1</v>
      </c>
      <c r="DV108" s="1406"/>
      <c r="DW108" s="1032">
        <v>1</v>
      </c>
      <c r="DY108" s="701"/>
      <c r="DZ108" s="701"/>
      <c r="EA108" s="1210"/>
      <c r="EB108" s="701"/>
      <c r="EC108" s="1210"/>
      <c r="ED108" s="701"/>
      <c r="EE108" s="1210"/>
      <c r="EF108" s="701"/>
      <c r="EG108" s="1210"/>
      <c r="EH108" s="701"/>
      <c r="EI108" s="1210"/>
      <c r="EJ108" s="701"/>
      <c r="EK108" s="763"/>
      <c r="EL108" s="701"/>
      <c r="EM108" s="763"/>
    </row>
    <row r="109" spans="1:143" ht="15.75" customHeight="1">
      <c r="A109" s="1456"/>
      <c r="B109" s="1415"/>
      <c r="C109" s="1043">
        <v>1</v>
      </c>
      <c r="D109" s="1415"/>
      <c r="E109" s="1032">
        <v>1</v>
      </c>
      <c r="F109" s="1404"/>
      <c r="G109" s="1030">
        <f>G107/(G108*C92)</f>
        <v>0.45918367346938777</v>
      </c>
      <c r="H109" s="1404"/>
      <c r="I109" s="1030">
        <f>I107/(I108*C92)</f>
        <v>0.55102040816326536</v>
      </c>
      <c r="J109" s="1404"/>
      <c r="K109" s="1030">
        <f>K107/(K108*C92)</f>
        <v>0.6428571428571429</v>
      </c>
      <c r="L109" s="1404"/>
      <c r="M109" s="1030">
        <f>M107/(M108*C92)</f>
        <v>0.73469387755102045</v>
      </c>
      <c r="N109" s="1404"/>
      <c r="O109" s="1030">
        <f>O107/(O108*C92)</f>
        <v>0.8265306122448981</v>
      </c>
      <c r="Q109" s="1436"/>
      <c r="R109" s="1200" t="s">
        <v>1247</v>
      </c>
      <c r="S109" s="1032">
        <v>1</v>
      </c>
      <c r="T109" s="1200" t="s">
        <v>1247</v>
      </c>
      <c r="U109" s="1032">
        <v>1</v>
      </c>
      <c r="V109" s="1200" t="s">
        <v>1247</v>
      </c>
      <c r="W109" s="1032">
        <v>1</v>
      </c>
      <c r="X109" s="1406"/>
      <c r="Y109" s="1030">
        <f>Y107/(Y108*S92)</f>
        <v>0.46753246753246763</v>
      </c>
      <c r="Z109" s="1406"/>
      <c r="AA109" s="1030">
        <f>AA107/(AA108*S92)</f>
        <v>0.54545454545454553</v>
      </c>
      <c r="AB109" s="1406"/>
      <c r="AC109" s="1030">
        <f>AC107/(AC108*S92)</f>
        <v>0.62337662337662347</v>
      </c>
      <c r="AD109" s="1406"/>
      <c r="AE109" s="1030">
        <f>AE107/(AE108*S92)</f>
        <v>0.70129870129870142</v>
      </c>
      <c r="AG109" s="1436"/>
      <c r="AH109" s="1200" t="s">
        <v>1247</v>
      </c>
      <c r="AI109" s="1032">
        <v>1</v>
      </c>
      <c r="AJ109" s="1200" t="s">
        <v>1247</v>
      </c>
      <c r="AK109" s="1032">
        <v>1</v>
      </c>
      <c r="AL109" s="1200" t="s">
        <v>1247</v>
      </c>
      <c r="AM109" s="1032">
        <v>1</v>
      </c>
      <c r="AN109" s="1406"/>
      <c r="AO109" s="1030">
        <f>AO107/(AO108*AI92)</f>
        <v>0.40601503759398505</v>
      </c>
      <c r="AP109" s="1406"/>
      <c r="AQ109" s="1030">
        <f>AQ107/(AQ108*AI92)</f>
        <v>0.47368421052631587</v>
      </c>
      <c r="AR109" s="1406"/>
      <c r="AS109" s="1030">
        <f>AS107/(AS108*AI92)</f>
        <v>0.5413533834586467</v>
      </c>
      <c r="AT109" s="1406"/>
      <c r="AU109" s="1030">
        <f>AU107/(AU108*AI92)</f>
        <v>0.60902255639097758</v>
      </c>
      <c r="AW109" s="1436"/>
      <c r="AX109" s="1200" t="s">
        <v>1247</v>
      </c>
      <c r="AY109" s="1032">
        <v>1</v>
      </c>
      <c r="AZ109" s="1200" t="s">
        <v>1247</v>
      </c>
      <c r="BA109" s="1032">
        <v>1</v>
      </c>
      <c r="BB109" s="1200" t="s">
        <v>1247</v>
      </c>
      <c r="BC109" s="1032">
        <v>1</v>
      </c>
      <c r="BD109" s="1200" t="s">
        <v>1247</v>
      </c>
      <c r="BE109" s="1032">
        <v>1</v>
      </c>
      <c r="BF109" s="1406"/>
      <c r="BG109" s="1030">
        <f>BG107/(BG108*AY92)</f>
        <v>0.41860465116279072</v>
      </c>
      <c r="BH109" s="1406"/>
      <c r="BI109" s="1030">
        <f>BI107/(BI108*AY92)</f>
        <v>0.47840531561461797</v>
      </c>
      <c r="BJ109" s="1406"/>
      <c r="BK109" s="1030">
        <f>BK107/(BK108*AY92)</f>
        <v>0.53820598006644527</v>
      </c>
      <c r="BM109" s="1436"/>
      <c r="BN109" s="1200" t="s">
        <v>1247</v>
      </c>
      <c r="BO109" s="1032">
        <v>1</v>
      </c>
      <c r="BP109" s="1200" t="s">
        <v>1247</v>
      </c>
      <c r="BQ109" s="1032">
        <v>1</v>
      </c>
      <c r="BR109" s="1200" t="s">
        <v>1247</v>
      </c>
      <c r="BS109" s="1032">
        <v>1</v>
      </c>
      <c r="BT109" s="1200" t="s">
        <v>1247</v>
      </c>
      <c r="BU109" s="1032">
        <v>1</v>
      </c>
      <c r="BV109" s="1406"/>
      <c r="BW109" s="1030">
        <f>BW107/(BW108*BO92)</f>
        <v>0.375</v>
      </c>
      <c r="BX109" s="1406"/>
      <c r="BY109" s="1030">
        <f>BY107/(BY108*BO92)</f>
        <v>0.42857142857142855</v>
      </c>
      <c r="BZ109" s="1406"/>
      <c r="CA109" s="1030">
        <f>CA107/(CA108*BO92)</f>
        <v>0.48214285714285721</v>
      </c>
      <c r="CC109" s="1436"/>
      <c r="CD109" s="1200" t="s">
        <v>1247</v>
      </c>
      <c r="CE109" s="1032">
        <v>1</v>
      </c>
      <c r="CF109" s="1200" t="s">
        <v>1247</v>
      </c>
      <c r="CG109" s="1032">
        <v>1</v>
      </c>
      <c r="CH109" s="1200" t="s">
        <v>1247</v>
      </c>
      <c r="CI109" s="1032">
        <v>1</v>
      </c>
      <c r="CJ109" s="1200" t="s">
        <v>1247</v>
      </c>
      <c r="CK109" s="1032">
        <v>1</v>
      </c>
      <c r="CL109" s="1200" t="s">
        <v>1247</v>
      </c>
      <c r="CM109" s="1032">
        <v>1</v>
      </c>
      <c r="CN109" s="1406"/>
      <c r="CO109" s="1059">
        <f>CO107/(CO108*CE92)</f>
        <v>0.40336134453781519</v>
      </c>
      <c r="CP109" s="1406"/>
      <c r="CQ109" s="1059">
        <f>CQ107/(CQ108*CE92)</f>
        <v>0.45378151260504213</v>
      </c>
      <c r="CS109" s="1436"/>
      <c r="CT109" s="1200" t="s">
        <v>1247</v>
      </c>
      <c r="CU109" s="1032">
        <v>1</v>
      </c>
      <c r="CV109" s="1200" t="s">
        <v>1247</v>
      </c>
      <c r="CW109" s="1032">
        <v>1</v>
      </c>
      <c r="CX109" s="1200" t="s">
        <v>1247</v>
      </c>
      <c r="CY109" s="1032">
        <v>1</v>
      </c>
      <c r="CZ109" s="1200" t="s">
        <v>1247</v>
      </c>
      <c r="DA109" s="1032">
        <v>1</v>
      </c>
      <c r="DB109" s="1200" t="s">
        <v>1247</v>
      </c>
      <c r="DC109" s="1032">
        <v>1</v>
      </c>
      <c r="DD109" s="1406"/>
      <c r="DE109" s="1059">
        <f>DE107/(DE108*CU92)</f>
        <v>0.37402597402597404</v>
      </c>
      <c r="DF109" s="1406"/>
      <c r="DG109" s="1059">
        <f>DG107/(DG108*CU92)</f>
        <v>0.42077922077922086</v>
      </c>
      <c r="DI109" s="1436"/>
      <c r="DJ109" s="1200" t="s">
        <v>1247</v>
      </c>
      <c r="DK109" s="1032">
        <v>1</v>
      </c>
      <c r="DL109" s="1200" t="s">
        <v>1247</v>
      </c>
      <c r="DM109" s="1032">
        <v>1</v>
      </c>
      <c r="DN109" s="1200" t="s">
        <v>1247</v>
      </c>
      <c r="DO109" s="1032">
        <v>1</v>
      </c>
      <c r="DP109" s="1200" t="s">
        <v>1247</v>
      </c>
      <c r="DQ109" s="1032">
        <v>1</v>
      </c>
      <c r="DR109" s="1200" t="s">
        <v>1247</v>
      </c>
      <c r="DS109" s="1032">
        <v>1</v>
      </c>
      <c r="DT109" s="1406"/>
      <c r="DU109" s="1059">
        <f>DU107/(DU108*DK92)</f>
        <v>0.35467980295566504</v>
      </c>
      <c r="DV109" s="1406"/>
      <c r="DW109" s="1059">
        <f>DW107/(DW108*DK92)</f>
        <v>0.39901477832512322</v>
      </c>
      <c r="DY109" s="701"/>
      <c r="DZ109" s="701"/>
      <c r="EA109" s="1211"/>
      <c r="EB109" s="701"/>
      <c r="EC109" s="1211"/>
      <c r="ED109" s="701"/>
      <c r="EE109" s="1211"/>
      <c r="EF109" s="701"/>
      <c r="EG109" s="1211"/>
      <c r="EH109" s="701"/>
      <c r="EI109" s="1211"/>
      <c r="EJ109" s="701"/>
      <c r="EK109" s="1146"/>
      <c r="EL109" s="701"/>
      <c r="EM109" s="1146"/>
    </row>
    <row r="110" spans="1:143" ht="15.75" customHeight="1">
      <c r="A110" s="1455" t="s">
        <v>1367</v>
      </c>
      <c r="B110" s="1415"/>
      <c r="C110" s="1445">
        <f>C108/(C109*C92)</f>
        <v>0.67155612244897978</v>
      </c>
      <c r="D110" s="1415"/>
      <c r="E110" s="1426">
        <f>E108/(E109*C92)</f>
        <v>0.78635204081632648</v>
      </c>
      <c r="F110" s="1404"/>
      <c r="G110" s="1033">
        <f>Möblierungsschablone!$G$51</f>
        <v>4.41</v>
      </c>
      <c r="H110" s="1404"/>
      <c r="I110" s="1033">
        <f>Möblierungsschablone!$I$46</f>
        <v>5.76</v>
      </c>
      <c r="J110" s="1404"/>
      <c r="K110" s="1033">
        <f>Möblierungsschablone!$K$46</f>
        <v>7.1999999999999993</v>
      </c>
      <c r="L110" s="1404"/>
      <c r="M110" s="1033">
        <f>Möblierungsschablone!$M$51</f>
        <v>8.82</v>
      </c>
      <c r="N110" s="1404"/>
      <c r="O110" s="1033">
        <f>Möblierungsschablone!$O$51</f>
        <v>8.82</v>
      </c>
      <c r="Q110" s="1435" t="s">
        <v>1367</v>
      </c>
      <c r="R110" s="1433"/>
      <c r="S110" s="1426">
        <f>S108/(S109*S92)</f>
        <v>0.56980519480519498</v>
      </c>
      <c r="T110" s="1433"/>
      <c r="U110" s="1426">
        <f>U108/(U109*S92)</f>
        <v>0.66720779220779225</v>
      </c>
      <c r="V110" s="1433"/>
      <c r="W110" s="1426">
        <f>W108/(W109*S92)</f>
        <v>0.85714285714285732</v>
      </c>
      <c r="X110" s="1406"/>
      <c r="Y110" s="1033">
        <f>Möblierungsschablone!$I$46</f>
        <v>5.76</v>
      </c>
      <c r="Z110" s="1406"/>
      <c r="AA110" s="1033">
        <f>Möblierungsschablone!$K$46</f>
        <v>7.1999999999999993</v>
      </c>
      <c r="AB110" s="1406"/>
      <c r="AC110" s="1033">
        <f>Möblierungsschablone!$M$51</f>
        <v>8.82</v>
      </c>
      <c r="AD110" s="1406"/>
      <c r="AE110" s="1033">
        <f>Möblierungsschablone!$O$51</f>
        <v>8.82</v>
      </c>
      <c r="AG110" s="1435" t="s">
        <v>1367</v>
      </c>
      <c r="AH110" s="1433"/>
      <c r="AI110" s="1426">
        <f>AI108/(AI109*AI92)</f>
        <v>0.49483082706766929</v>
      </c>
      <c r="AJ110" s="1433"/>
      <c r="AK110" s="1426">
        <f>AK108/(AK109*AI92)</f>
        <v>0.57941729323308266</v>
      </c>
      <c r="AL110" s="1433"/>
      <c r="AM110" s="1426">
        <f>AM108/(AM109*AI92)</f>
        <v>0.74436090225563922</v>
      </c>
      <c r="AN110" s="1406"/>
      <c r="AO110" s="1033">
        <f>Möblierungsschablone!$I$46</f>
        <v>5.76</v>
      </c>
      <c r="AP110" s="1406"/>
      <c r="AQ110" s="1033">
        <f>Möblierungsschablone!$K$46</f>
        <v>7.1999999999999993</v>
      </c>
      <c r="AR110" s="1406"/>
      <c r="AS110" s="1033">
        <f>Möblierungsschablone!$M$51</f>
        <v>8.82</v>
      </c>
      <c r="AT110" s="1406"/>
      <c r="AU110" s="1033">
        <f>Möblierungsschablone!$O$51</f>
        <v>8.82</v>
      </c>
      <c r="AW110" s="1435" t="s">
        <v>1367</v>
      </c>
      <c r="AX110" s="1433"/>
      <c r="AY110" s="1426">
        <f>AY108/(AY109*AY92)</f>
        <v>0.43729235880398681</v>
      </c>
      <c r="AZ110" s="1433"/>
      <c r="BA110" s="1426">
        <f>BA108/(BA109*AY92)</f>
        <v>0.51204318936877069</v>
      </c>
      <c r="BB110" s="1433"/>
      <c r="BC110" s="1426">
        <f>BC108/(BC109*AY92)</f>
        <v>0.65780730897009976</v>
      </c>
      <c r="BD110" s="1433"/>
      <c r="BE110" s="1426">
        <f>BE108/(BE109*AY92)</f>
        <v>0.83720930232558144</v>
      </c>
      <c r="BF110" s="1406"/>
      <c r="BG110" s="1033">
        <f>Möblierungsschablone!$K$46</f>
        <v>7.1999999999999993</v>
      </c>
      <c r="BH110" s="1406"/>
      <c r="BI110" s="1033">
        <f>Möblierungsschablone!$M$51</f>
        <v>8.82</v>
      </c>
      <c r="BJ110" s="1406"/>
      <c r="BK110" s="1033">
        <f>Möblierungsschablone!$O$51</f>
        <v>8.82</v>
      </c>
      <c r="BM110" s="1435" t="s">
        <v>1367</v>
      </c>
      <c r="BN110" s="1433"/>
      <c r="BO110" s="1426">
        <f>BO108/(BO109*BO92)</f>
        <v>0.82031250000000011</v>
      </c>
      <c r="BP110" s="1433"/>
      <c r="BQ110" s="1426">
        <f>BQ108/(BQ109*BO92)</f>
        <v>0.8872767857142857</v>
      </c>
      <c r="BR110" s="1433"/>
      <c r="BS110" s="1426">
        <f>BS108/(BS109*BO92)</f>
        <v>0.5892857142857143</v>
      </c>
      <c r="BT110" s="1433"/>
      <c r="BU110" s="1426">
        <f>BU108/(BU109*BO92)</f>
        <v>0.75</v>
      </c>
      <c r="BV110" s="1406"/>
      <c r="BW110" s="1033">
        <f>Möblierungsschablone!$K$46</f>
        <v>7.1999999999999993</v>
      </c>
      <c r="BX110" s="1406"/>
      <c r="BY110" s="1033">
        <f>Möblierungsschablone!$M$51</f>
        <v>8.82</v>
      </c>
      <c r="BZ110" s="1406"/>
      <c r="CA110" s="1033">
        <f>Möblierungsschablone!$O$51</f>
        <v>8.82</v>
      </c>
      <c r="CC110" s="1435" t="s">
        <v>1367</v>
      </c>
      <c r="CD110" s="1433"/>
      <c r="CE110" s="1426">
        <f>CE108/(CE109*CE92)</f>
        <v>0.77205882352941191</v>
      </c>
      <c r="CF110" s="1433"/>
      <c r="CG110" s="1426">
        <f>CG108/(CG109*CE92)</f>
        <v>0.83508403361344541</v>
      </c>
      <c r="CH110" s="1433"/>
      <c r="CI110" s="1426">
        <f>CI108/(CI109*CE92)</f>
        <v>0.55462184873949594</v>
      </c>
      <c r="CJ110" s="1433"/>
      <c r="CK110" s="1426">
        <f>CK108/(CK109*CE92)</f>
        <v>0.70588235294117663</v>
      </c>
      <c r="CL110" s="1433"/>
      <c r="CM110" s="1426">
        <f>CM108/(CM109*CE92)</f>
        <v>0.85714285714285721</v>
      </c>
      <c r="CN110" s="1406"/>
      <c r="CO110" s="1033">
        <f>Möblierungsschablone!$M$51</f>
        <v>8.82</v>
      </c>
      <c r="CP110" s="1406"/>
      <c r="CQ110" s="1033">
        <f>Möblierungsschablone!$O$51</f>
        <v>8.82</v>
      </c>
      <c r="CS110" s="1435" t="s">
        <v>1367</v>
      </c>
      <c r="CT110" s="1433"/>
      <c r="CU110" s="1426">
        <f>CU108/(CU109*CU92)</f>
        <v>0.71590909090909105</v>
      </c>
      <c r="CV110" s="1433"/>
      <c r="CW110" s="1426">
        <f>CW108/(CW109*CU92)</f>
        <v>0.77435064935064934</v>
      </c>
      <c r="CX110" s="1433"/>
      <c r="CY110" s="1426">
        <f>CY108/(CY109*CU92)</f>
        <v>0.51428571428571435</v>
      </c>
      <c r="CZ110" s="1433"/>
      <c r="DA110" s="1426">
        <f>DA108/(DA109*CU92)</f>
        <v>0.65454545454545465</v>
      </c>
      <c r="DB110" s="1433"/>
      <c r="DC110" s="1426">
        <f>DC108/(DC109*CU92)</f>
        <v>0.79480519480519474</v>
      </c>
      <c r="DD110" s="1406"/>
      <c r="DE110" s="1033">
        <f>Möblierungsschablone!$M$51</f>
        <v>8.82</v>
      </c>
      <c r="DF110" s="1406"/>
      <c r="DG110" s="1033">
        <f>Möblierungsschablone!$O$51</f>
        <v>8.82</v>
      </c>
      <c r="DI110" s="1435" t="s">
        <v>1367</v>
      </c>
      <c r="DJ110" s="1433"/>
      <c r="DK110" s="1426">
        <f>DK108/(DK109*DK92)</f>
        <v>0.67887931034482762</v>
      </c>
      <c r="DL110" s="1433"/>
      <c r="DM110" s="1426">
        <f>DM108/(DM109*DK92)</f>
        <v>0.73429802955665024</v>
      </c>
      <c r="DN110" s="1433"/>
      <c r="DO110" s="1426">
        <f>DO108/(DO109*DK92)</f>
        <v>0.48768472906403942</v>
      </c>
      <c r="DP110" s="1433"/>
      <c r="DQ110" s="1426">
        <f>DQ108/(DQ109*DK92)</f>
        <v>0.62068965517241381</v>
      </c>
      <c r="DR110" s="1433"/>
      <c r="DS110" s="1426">
        <f>DS108/(DS109*DK92)</f>
        <v>0.75369458128078815</v>
      </c>
      <c r="DT110" s="1406"/>
      <c r="DU110" s="1033">
        <f>Möblierungsschablone!$M$51</f>
        <v>8.82</v>
      </c>
      <c r="DV110" s="1406"/>
      <c r="DW110" s="1033">
        <f>Möblierungsschablone!$O$51</f>
        <v>8.82</v>
      </c>
      <c r="DY110" s="1154"/>
      <c r="DZ110" s="701"/>
      <c r="EA110" s="1152"/>
      <c r="EB110" s="701"/>
      <c r="EC110" s="1152"/>
      <c r="ED110" s="701"/>
      <c r="EE110" s="1152"/>
      <c r="EF110" s="701"/>
      <c r="EG110" s="1152"/>
      <c r="EH110" s="701"/>
      <c r="EI110" s="1152"/>
      <c r="EJ110" s="701"/>
      <c r="EK110" s="1039"/>
      <c r="EL110" s="701"/>
      <c r="EM110" s="1039"/>
    </row>
    <row r="111" spans="1:143" ht="15.75" customHeight="1">
      <c r="A111" s="1456"/>
      <c r="B111" s="1415"/>
      <c r="C111" s="1446"/>
      <c r="D111" s="1415"/>
      <c r="E111" s="1427"/>
      <c r="F111" s="1404"/>
      <c r="G111" s="1033"/>
      <c r="H111" s="1404"/>
      <c r="I111" s="1033"/>
      <c r="J111" s="1404"/>
      <c r="K111" s="1033"/>
      <c r="L111" s="1404"/>
      <c r="M111" s="1033"/>
      <c r="N111" s="1404"/>
      <c r="O111" s="1033"/>
      <c r="Q111" s="1436"/>
      <c r="R111" s="1433"/>
      <c r="S111" s="1427"/>
      <c r="T111" s="1433"/>
      <c r="U111" s="1427"/>
      <c r="V111" s="1433"/>
      <c r="W111" s="1427"/>
      <c r="X111" s="1406"/>
      <c r="Y111" s="1033"/>
      <c r="Z111" s="1406"/>
      <c r="AA111" s="1033"/>
      <c r="AB111" s="1406"/>
      <c r="AC111" s="1033"/>
      <c r="AD111" s="1406"/>
      <c r="AE111" s="1033"/>
      <c r="AG111" s="1436"/>
      <c r="AH111" s="1433"/>
      <c r="AI111" s="1427"/>
      <c r="AJ111" s="1433"/>
      <c r="AK111" s="1427"/>
      <c r="AL111" s="1433"/>
      <c r="AM111" s="1427"/>
      <c r="AN111" s="1406"/>
      <c r="AO111" s="1033"/>
      <c r="AP111" s="1406"/>
      <c r="AQ111" s="1033"/>
      <c r="AR111" s="1406"/>
      <c r="AS111" s="1033"/>
      <c r="AT111" s="1406"/>
      <c r="AU111" s="1033"/>
      <c r="AW111" s="1436"/>
      <c r="AX111" s="1433"/>
      <c r="AY111" s="1427"/>
      <c r="AZ111" s="1433"/>
      <c r="BA111" s="1427"/>
      <c r="BB111" s="1433"/>
      <c r="BC111" s="1427"/>
      <c r="BD111" s="1433"/>
      <c r="BE111" s="1427"/>
      <c r="BF111" s="1406"/>
      <c r="BG111" s="1033"/>
      <c r="BH111" s="1406"/>
      <c r="BI111" s="1033"/>
      <c r="BJ111" s="1406"/>
      <c r="BK111" s="1033"/>
      <c r="BM111" s="1436"/>
      <c r="BN111" s="1433"/>
      <c r="BO111" s="1427"/>
      <c r="BP111" s="1433"/>
      <c r="BQ111" s="1427"/>
      <c r="BR111" s="1433"/>
      <c r="BS111" s="1427"/>
      <c r="BT111" s="1433"/>
      <c r="BU111" s="1427"/>
      <c r="BV111" s="1406"/>
      <c r="BW111" s="1033"/>
      <c r="BX111" s="1406"/>
      <c r="BY111" s="1033"/>
      <c r="BZ111" s="1406"/>
      <c r="CA111" s="1033"/>
      <c r="CC111" s="1436"/>
      <c r="CD111" s="1433"/>
      <c r="CE111" s="1427"/>
      <c r="CF111" s="1433"/>
      <c r="CG111" s="1427"/>
      <c r="CH111" s="1433"/>
      <c r="CI111" s="1427"/>
      <c r="CJ111" s="1433"/>
      <c r="CK111" s="1427"/>
      <c r="CL111" s="1433"/>
      <c r="CM111" s="1427"/>
      <c r="CN111" s="1406"/>
      <c r="CO111" s="1033"/>
      <c r="CP111" s="1406"/>
      <c r="CQ111" s="1033"/>
      <c r="CS111" s="1436"/>
      <c r="CT111" s="1433"/>
      <c r="CU111" s="1427"/>
      <c r="CV111" s="1433"/>
      <c r="CW111" s="1427"/>
      <c r="CX111" s="1433"/>
      <c r="CY111" s="1427"/>
      <c r="CZ111" s="1433"/>
      <c r="DA111" s="1427"/>
      <c r="DB111" s="1433"/>
      <c r="DC111" s="1427"/>
      <c r="DD111" s="1406"/>
      <c r="DE111" s="1033"/>
      <c r="DF111" s="1406"/>
      <c r="DG111" s="1033"/>
      <c r="DI111" s="1436"/>
      <c r="DJ111" s="1433"/>
      <c r="DK111" s="1427"/>
      <c r="DL111" s="1433"/>
      <c r="DM111" s="1427"/>
      <c r="DN111" s="1433"/>
      <c r="DO111" s="1427"/>
      <c r="DP111" s="1433"/>
      <c r="DQ111" s="1427"/>
      <c r="DR111" s="1433"/>
      <c r="DS111" s="1427"/>
      <c r="DT111" s="1406"/>
      <c r="DU111" s="1033"/>
      <c r="DV111" s="1406"/>
      <c r="DW111" s="1033"/>
      <c r="DY111" s="701"/>
      <c r="DZ111" s="701"/>
      <c r="EA111" s="1152"/>
      <c r="EB111" s="701"/>
      <c r="EC111" s="1152"/>
      <c r="ED111" s="701"/>
      <c r="EE111" s="1152"/>
      <c r="EF111" s="701"/>
      <c r="EG111" s="1152"/>
      <c r="EH111" s="701"/>
      <c r="EI111" s="1152"/>
      <c r="EJ111" s="701"/>
      <c r="EK111" s="1039"/>
      <c r="EL111" s="701"/>
      <c r="EM111" s="1039"/>
    </row>
    <row r="112" spans="1:143" ht="15.75" customHeight="1">
      <c r="A112" s="1456"/>
      <c r="B112" s="1415"/>
      <c r="C112" s="1446"/>
      <c r="D112" s="1415"/>
      <c r="E112" s="1427"/>
      <c r="F112" s="1404"/>
      <c r="G112" s="1034">
        <f>SUM(G110:G111)</f>
        <v>4.41</v>
      </c>
      <c r="H112" s="1404"/>
      <c r="I112" s="1034">
        <f>SUM(I110:I111)</f>
        <v>5.76</v>
      </c>
      <c r="J112" s="1404"/>
      <c r="K112" s="1034">
        <f>SUM(K110:K111)</f>
        <v>7.1999999999999993</v>
      </c>
      <c r="L112" s="1404"/>
      <c r="M112" s="1034">
        <f>SUM(M110:M111)</f>
        <v>8.82</v>
      </c>
      <c r="N112" s="1404"/>
      <c r="O112" s="1034">
        <f>SUM(O110:O111)</f>
        <v>8.82</v>
      </c>
      <c r="Q112" s="1436"/>
      <c r="R112" s="1433"/>
      <c r="S112" s="1427"/>
      <c r="T112" s="1433"/>
      <c r="U112" s="1427"/>
      <c r="V112" s="1433"/>
      <c r="W112" s="1427"/>
      <c r="X112" s="1406"/>
      <c r="Y112" s="1034">
        <f>SUM(Y110:Y111)</f>
        <v>5.76</v>
      </c>
      <c r="Z112" s="1406"/>
      <c r="AA112" s="1034">
        <f>SUM(AA110:AA111)</f>
        <v>7.1999999999999993</v>
      </c>
      <c r="AB112" s="1406"/>
      <c r="AC112" s="1034">
        <f>SUM(AC110:AC111)</f>
        <v>8.82</v>
      </c>
      <c r="AD112" s="1406"/>
      <c r="AE112" s="1034">
        <f>SUM(AE110:AE111)</f>
        <v>8.82</v>
      </c>
      <c r="AG112" s="1436"/>
      <c r="AH112" s="1433"/>
      <c r="AI112" s="1427"/>
      <c r="AJ112" s="1433"/>
      <c r="AK112" s="1427"/>
      <c r="AL112" s="1433"/>
      <c r="AM112" s="1427"/>
      <c r="AN112" s="1406"/>
      <c r="AO112" s="1034">
        <f>SUM(AO110:AO111)</f>
        <v>5.76</v>
      </c>
      <c r="AP112" s="1406"/>
      <c r="AQ112" s="1034">
        <f>SUM(AQ110:AQ111)</f>
        <v>7.1999999999999993</v>
      </c>
      <c r="AR112" s="1406"/>
      <c r="AS112" s="1034">
        <f>SUM(AS110:AS111)</f>
        <v>8.82</v>
      </c>
      <c r="AT112" s="1406"/>
      <c r="AU112" s="1034">
        <f>SUM(AU110:AU111)</f>
        <v>8.82</v>
      </c>
      <c r="AW112" s="1436"/>
      <c r="AX112" s="1433"/>
      <c r="AY112" s="1427"/>
      <c r="AZ112" s="1433"/>
      <c r="BA112" s="1427"/>
      <c r="BB112" s="1433"/>
      <c r="BC112" s="1427"/>
      <c r="BD112" s="1433"/>
      <c r="BE112" s="1427"/>
      <c r="BF112" s="1406"/>
      <c r="BG112" s="1034">
        <f>SUM(BG110:BG111)</f>
        <v>7.1999999999999993</v>
      </c>
      <c r="BH112" s="1406"/>
      <c r="BI112" s="1034">
        <f>SUM(BI110:BI111)</f>
        <v>8.82</v>
      </c>
      <c r="BJ112" s="1406"/>
      <c r="BK112" s="1034">
        <f>SUM(BK110:BK111)</f>
        <v>8.82</v>
      </c>
      <c r="BM112" s="1436"/>
      <c r="BN112" s="1433"/>
      <c r="BO112" s="1427"/>
      <c r="BP112" s="1433"/>
      <c r="BQ112" s="1427"/>
      <c r="BR112" s="1433"/>
      <c r="BS112" s="1427"/>
      <c r="BT112" s="1433"/>
      <c r="BU112" s="1427"/>
      <c r="BV112" s="1406"/>
      <c r="BW112" s="1034">
        <f>SUM(BW110:BW111)</f>
        <v>7.1999999999999993</v>
      </c>
      <c r="BX112" s="1406"/>
      <c r="BY112" s="1034">
        <f>SUM(BY110:BY111)</f>
        <v>8.82</v>
      </c>
      <c r="BZ112" s="1406"/>
      <c r="CA112" s="1034">
        <f>SUM(CA110:CA111)</f>
        <v>8.82</v>
      </c>
      <c r="CC112" s="1436"/>
      <c r="CD112" s="1433"/>
      <c r="CE112" s="1427"/>
      <c r="CF112" s="1433"/>
      <c r="CG112" s="1427"/>
      <c r="CH112" s="1433"/>
      <c r="CI112" s="1427"/>
      <c r="CJ112" s="1433"/>
      <c r="CK112" s="1427"/>
      <c r="CL112" s="1433"/>
      <c r="CM112" s="1427"/>
      <c r="CN112" s="1406"/>
      <c r="CO112" s="1034">
        <f>SUM(CO110:CO111)</f>
        <v>8.82</v>
      </c>
      <c r="CP112" s="1406"/>
      <c r="CQ112" s="1034">
        <f>SUM(CQ110:CQ111)</f>
        <v>8.82</v>
      </c>
      <c r="CS112" s="1436"/>
      <c r="CT112" s="1433"/>
      <c r="CU112" s="1427"/>
      <c r="CV112" s="1433"/>
      <c r="CW112" s="1427"/>
      <c r="CX112" s="1433"/>
      <c r="CY112" s="1427"/>
      <c r="CZ112" s="1433"/>
      <c r="DA112" s="1427"/>
      <c r="DB112" s="1433"/>
      <c r="DC112" s="1427"/>
      <c r="DD112" s="1406"/>
      <c r="DE112" s="1034">
        <f>SUM(DE110:DE111)</f>
        <v>8.82</v>
      </c>
      <c r="DF112" s="1406"/>
      <c r="DG112" s="1034">
        <f>SUM(DG110:DG111)</f>
        <v>8.82</v>
      </c>
      <c r="DI112" s="1436"/>
      <c r="DJ112" s="1433"/>
      <c r="DK112" s="1427"/>
      <c r="DL112" s="1433"/>
      <c r="DM112" s="1427"/>
      <c r="DN112" s="1433"/>
      <c r="DO112" s="1427"/>
      <c r="DP112" s="1433"/>
      <c r="DQ112" s="1427"/>
      <c r="DR112" s="1433"/>
      <c r="DS112" s="1427"/>
      <c r="DT112" s="1406"/>
      <c r="DU112" s="1034">
        <f>SUM(DU110:DU111)</f>
        <v>8.82</v>
      </c>
      <c r="DV112" s="1406"/>
      <c r="DW112" s="1034">
        <f>SUM(DW110:DW111)</f>
        <v>8.82</v>
      </c>
      <c r="DY112" s="701"/>
      <c r="DZ112" s="701"/>
      <c r="EA112" s="1152"/>
      <c r="EB112" s="701"/>
      <c r="EC112" s="1152"/>
      <c r="ED112" s="701"/>
      <c r="EE112" s="1152"/>
      <c r="EF112" s="701"/>
      <c r="EG112" s="1152"/>
      <c r="EH112" s="701"/>
      <c r="EI112" s="1152"/>
      <c r="EJ112" s="701"/>
      <c r="EK112" s="1193"/>
      <c r="EL112" s="701"/>
      <c r="EM112" s="1193"/>
    </row>
    <row r="113" spans="1:143" ht="15.75" customHeight="1">
      <c r="A113" s="1456"/>
      <c r="B113" s="1415"/>
      <c r="C113" s="1446"/>
      <c r="D113" s="1415"/>
      <c r="E113" s="1427"/>
      <c r="F113" s="1404"/>
      <c r="G113" s="1032">
        <v>1</v>
      </c>
      <c r="H113" s="1404"/>
      <c r="I113" s="1032">
        <v>1</v>
      </c>
      <c r="J113" s="1404"/>
      <c r="K113" s="1032">
        <v>2</v>
      </c>
      <c r="L113" s="1404"/>
      <c r="M113" s="1032">
        <v>2</v>
      </c>
      <c r="N113" s="1404"/>
      <c r="O113" s="1032">
        <v>2</v>
      </c>
      <c r="Q113" s="1436"/>
      <c r="R113" s="1433"/>
      <c r="S113" s="1427"/>
      <c r="T113" s="1433"/>
      <c r="U113" s="1427"/>
      <c r="V113" s="1433"/>
      <c r="W113" s="1427"/>
      <c r="X113" s="1406"/>
      <c r="Y113" s="1032">
        <v>1</v>
      </c>
      <c r="Z113" s="1406"/>
      <c r="AA113" s="1032">
        <v>1</v>
      </c>
      <c r="AB113" s="1406"/>
      <c r="AC113" s="1032">
        <v>2</v>
      </c>
      <c r="AD113" s="1406"/>
      <c r="AE113" s="1032">
        <v>2</v>
      </c>
      <c r="AG113" s="1436"/>
      <c r="AH113" s="1433"/>
      <c r="AI113" s="1427"/>
      <c r="AJ113" s="1433"/>
      <c r="AK113" s="1427"/>
      <c r="AL113" s="1433"/>
      <c r="AM113" s="1427"/>
      <c r="AN113" s="1406"/>
      <c r="AO113" s="1032">
        <v>1</v>
      </c>
      <c r="AP113" s="1406"/>
      <c r="AQ113" s="1032">
        <v>1</v>
      </c>
      <c r="AR113" s="1406"/>
      <c r="AS113" s="1032">
        <v>1</v>
      </c>
      <c r="AT113" s="1406"/>
      <c r="AU113" s="1032">
        <v>1</v>
      </c>
      <c r="AW113" s="1436"/>
      <c r="AX113" s="1433"/>
      <c r="AY113" s="1427"/>
      <c r="AZ113" s="1433"/>
      <c r="BA113" s="1427"/>
      <c r="BB113" s="1433"/>
      <c r="BC113" s="1427"/>
      <c r="BD113" s="1433"/>
      <c r="BE113" s="1427"/>
      <c r="BF113" s="1406"/>
      <c r="BG113" s="1032">
        <v>1</v>
      </c>
      <c r="BH113" s="1406"/>
      <c r="BI113" s="1032">
        <v>1</v>
      </c>
      <c r="BJ113" s="1406"/>
      <c r="BK113" s="1032">
        <v>1</v>
      </c>
      <c r="BM113" s="1436"/>
      <c r="BN113" s="1433"/>
      <c r="BO113" s="1427"/>
      <c r="BP113" s="1433"/>
      <c r="BQ113" s="1427"/>
      <c r="BR113" s="1433"/>
      <c r="BS113" s="1427"/>
      <c r="BT113" s="1433"/>
      <c r="BU113" s="1427"/>
      <c r="BV113" s="1406"/>
      <c r="BW113" s="1032">
        <v>1</v>
      </c>
      <c r="BX113" s="1406"/>
      <c r="BY113" s="1032">
        <v>1</v>
      </c>
      <c r="BZ113" s="1406"/>
      <c r="CA113" s="1032">
        <v>1</v>
      </c>
      <c r="CC113" s="1436"/>
      <c r="CD113" s="1433"/>
      <c r="CE113" s="1427"/>
      <c r="CF113" s="1433"/>
      <c r="CG113" s="1427"/>
      <c r="CH113" s="1433"/>
      <c r="CI113" s="1427"/>
      <c r="CJ113" s="1433"/>
      <c r="CK113" s="1427"/>
      <c r="CL113" s="1433"/>
      <c r="CM113" s="1427"/>
      <c r="CN113" s="1406"/>
      <c r="CO113" s="1032">
        <v>1</v>
      </c>
      <c r="CP113" s="1406"/>
      <c r="CQ113" s="1032">
        <v>1</v>
      </c>
      <c r="CS113" s="1436"/>
      <c r="CT113" s="1433"/>
      <c r="CU113" s="1427"/>
      <c r="CV113" s="1433"/>
      <c r="CW113" s="1427"/>
      <c r="CX113" s="1433"/>
      <c r="CY113" s="1427"/>
      <c r="CZ113" s="1433"/>
      <c r="DA113" s="1427"/>
      <c r="DB113" s="1433"/>
      <c r="DC113" s="1427"/>
      <c r="DD113" s="1406"/>
      <c r="DE113" s="1032">
        <v>1</v>
      </c>
      <c r="DF113" s="1406"/>
      <c r="DG113" s="1032">
        <v>1</v>
      </c>
      <c r="DI113" s="1436"/>
      <c r="DJ113" s="1433"/>
      <c r="DK113" s="1427"/>
      <c r="DL113" s="1433"/>
      <c r="DM113" s="1427"/>
      <c r="DN113" s="1433"/>
      <c r="DO113" s="1427"/>
      <c r="DP113" s="1433"/>
      <c r="DQ113" s="1427"/>
      <c r="DR113" s="1433"/>
      <c r="DS113" s="1427"/>
      <c r="DT113" s="1406"/>
      <c r="DU113" s="1032">
        <v>1</v>
      </c>
      <c r="DV113" s="1406"/>
      <c r="DW113" s="1032">
        <v>1</v>
      </c>
      <c r="DY113" s="701"/>
      <c r="DZ113" s="701"/>
      <c r="EA113" s="1210"/>
      <c r="EB113" s="701"/>
      <c r="EC113" s="1210"/>
      <c r="ED113" s="701"/>
      <c r="EE113" s="1210"/>
      <c r="EF113" s="701"/>
      <c r="EG113" s="1210"/>
      <c r="EH113" s="701"/>
      <c r="EI113" s="1210"/>
      <c r="EJ113" s="701"/>
      <c r="EK113" s="763"/>
      <c r="EL113" s="701"/>
      <c r="EM113" s="763"/>
    </row>
    <row r="114" spans="1:143" ht="15.75" customHeight="1">
      <c r="A114" s="1456"/>
      <c r="B114" s="1416"/>
      <c r="C114" s="1447"/>
      <c r="D114" s="1416"/>
      <c r="E114" s="1428"/>
      <c r="F114" s="1404"/>
      <c r="G114" s="1030">
        <f>G112/(G113*C92)</f>
        <v>0.56250000000000011</v>
      </c>
      <c r="H114" s="1404"/>
      <c r="I114" s="1030">
        <f>I112/(I113*C92)</f>
        <v>0.73469387755102045</v>
      </c>
      <c r="J114" s="1404"/>
      <c r="K114" s="1030">
        <f>K112/(K113*C92)</f>
        <v>0.45918367346938777</v>
      </c>
      <c r="L114" s="1404"/>
      <c r="M114" s="1030">
        <f>M112/(M113*C92)</f>
        <v>0.56250000000000011</v>
      </c>
      <c r="N114" s="1404"/>
      <c r="O114" s="1030">
        <f>O112/(O113*C92)</f>
        <v>0.56250000000000011</v>
      </c>
      <c r="Q114" s="1436"/>
      <c r="R114" s="1434"/>
      <c r="S114" s="1428"/>
      <c r="T114" s="1434"/>
      <c r="U114" s="1428"/>
      <c r="V114" s="1434"/>
      <c r="W114" s="1428"/>
      <c r="X114" s="1406"/>
      <c r="Y114" s="1030">
        <f>Y112/(Y113*S92)</f>
        <v>0.62337662337662347</v>
      </c>
      <c r="Z114" s="1406"/>
      <c r="AA114" s="1030">
        <f>AA112/(AA113*S92)</f>
        <v>0.77922077922077926</v>
      </c>
      <c r="AB114" s="1406"/>
      <c r="AC114" s="1030">
        <f>AC112/(AC113*S92)</f>
        <v>0.47727272727272735</v>
      </c>
      <c r="AD114" s="1406"/>
      <c r="AE114" s="1030">
        <f>AE112/(AE113*S92)</f>
        <v>0.47727272727272735</v>
      </c>
      <c r="AG114" s="1436"/>
      <c r="AH114" s="1434"/>
      <c r="AI114" s="1428"/>
      <c r="AJ114" s="1434"/>
      <c r="AK114" s="1428"/>
      <c r="AL114" s="1434"/>
      <c r="AM114" s="1428"/>
      <c r="AN114" s="1406"/>
      <c r="AO114" s="1030">
        <f>AO112/(AO113*AI92)</f>
        <v>0.5413533834586467</v>
      </c>
      <c r="AP114" s="1406"/>
      <c r="AQ114" s="1030">
        <f>AQ112/(AQ113*AI92)</f>
        <v>0.67669172932330823</v>
      </c>
      <c r="AR114" s="1406"/>
      <c r="AS114" s="1030">
        <f>AS112/(AS113*AI92)</f>
        <v>0.82894736842105277</v>
      </c>
      <c r="AT114" s="1406"/>
      <c r="AU114" s="1030">
        <f>AU112/(AU113*AI92)</f>
        <v>0.82894736842105277</v>
      </c>
      <c r="AW114" s="1436"/>
      <c r="AX114" s="1434"/>
      <c r="AY114" s="1428"/>
      <c r="AZ114" s="1434"/>
      <c r="BA114" s="1428"/>
      <c r="BB114" s="1434"/>
      <c r="BC114" s="1428"/>
      <c r="BD114" s="1434"/>
      <c r="BE114" s="1428"/>
      <c r="BF114" s="1406"/>
      <c r="BG114" s="1030">
        <f>BG112/(BG113*AY92)</f>
        <v>0.59800664451827246</v>
      </c>
      <c r="BH114" s="1406"/>
      <c r="BI114" s="1030">
        <f>BI112/(BI113*AY92)</f>
        <v>0.7325581395348838</v>
      </c>
      <c r="BJ114" s="1406"/>
      <c r="BK114" s="1030">
        <f>BK112/(BK113*AY92)</f>
        <v>0.7325581395348838</v>
      </c>
      <c r="BM114" s="1436"/>
      <c r="BN114" s="1433"/>
      <c r="BO114" s="1427"/>
      <c r="BP114" s="1433"/>
      <c r="BQ114" s="1427"/>
      <c r="BR114" s="1434"/>
      <c r="BS114" s="1428"/>
      <c r="BT114" s="1434"/>
      <c r="BU114" s="1428"/>
      <c r="BV114" s="1406"/>
      <c r="BW114" s="1030">
        <f>BW112/(BW113*BO92)</f>
        <v>0.5357142857142857</v>
      </c>
      <c r="BX114" s="1406"/>
      <c r="BY114" s="1030">
        <f>BY112/(BY113*BO92)</f>
        <v>0.65625</v>
      </c>
      <c r="BZ114" s="1406"/>
      <c r="CA114" s="1030">
        <f>CA112/(CA113*BO92)</f>
        <v>0.65625</v>
      </c>
      <c r="CC114" s="1436"/>
      <c r="CD114" s="1433"/>
      <c r="CE114" s="1427"/>
      <c r="CF114" s="1433"/>
      <c r="CG114" s="1427"/>
      <c r="CH114" s="1434"/>
      <c r="CI114" s="1428"/>
      <c r="CJ114" s="1434"/>
      <c r="CK114" s="1428"/>
      <c r="CL114" s="1434"/>
      <c r="CM114" s="1428"/>
      <c r="CN114" s="1406"/>
      <c r="CO114" s="1059">
        <f>CO112/(CO113*CE92)</f>
        <v>0.61764705882352955</v>
      </c>
      <c r="CP114" s="1406"/>
      <c r="CQ114" s="1059">
        <f>CQ112/(CQ113*CE92)</f>
        <v>0.61764705882352955</v>
      </c>
      <c r="CS114" s="1436"/>
      <c r="CT114" s="1433"/>
      <c r="CU114" s="1427"/>
      <c r="CV114" s="1433"/>
      <c r="CW114" s="1427"/>
      <c r="CX114" s="1434"/>
      <c r="CY114" s="1428"/>
      <c r="CZ114" s="1434"/>
      <c r="DA114" s="1428"/>
      <c r="DB114" s="1434"/>
      <c r="DC114" s="1428"/>
      <c r="DD114" s="1406"/>
      <c r="DE114" s="1059">
        <f>DE112/(DE113*CU92)</f>
        <v>0.57272727272727275</v>
      </c>
      <c r="DF114" s="1406"/>
      <c r="DG114" s="1059">
        <f>DG112/(DG113*CU92)</f>
        <v>0.57272727272727275</v>
      </c>
      <c r="DI114" s="1436"/>
      <c r="DJ114" s="1433"/>
      <c r="DK114" s="1427"/>
      <c r="DL114" s="1433"/>
      <c r="DM114" s="1427"/>
      <c r="DN114" s="1434"/>
      <c r="DO114" s="1428"/>
      <c r="DP114" s="1434"/>
      <c r="DQ114" s="1428"/>
      <c r="DR114" s="1434"/>
      <c r="DS114" s="1428"/>
      <c r="DT114" s="1406"/>
      <c r="DU114" s="1059">
        <f>DU112/(DU113*DK92)</f>
        <v>0.5431034482758621</v>
      </c>
      <c r="DV114" s="1406"/>
      <c r="DW114" s="1059">
        <f>DW112/(DW113*DK92)</f>
        <v>0.5431034482758621</v>
      </c>
      <c r="DY114" s="701"/>
      <c r="DZ114" s="701"/>
      <c r="EA114" s="1211"/>
      <c r="EB114" s="701"/>
      <c r="EC114" s="1211"/>
      <c r="ED114" s="701"/>
      <c r="EE114" s="1211"/>
      <c r="EF114" s="701"/>
      <c r="EG114" s="1211"/>
      <c r="EH114" s="701"/>
      <c r="EI114" s="1211"/>
      <c r="EJ114" s="701"/>
      <c r="EK114" s="1146"/>
      <c r="EL114" s="701"/>
      <c r="EM114" s="1146"/>
    </row>
    <row r="115" spans="1:143" ht="15.75" customHeight="1">
      <c r="A115" s="1435" t="s">
        <v>1368</v>
      </c>
      <c r="B115" s="1404"/>
      <c r="C115" s="1033">
        <f>Möblierungsschablone!$C$56</f>
        <v>5.76</v>
      </c>
      <c r="D115" s="1404"/>
      <c r="E115" s="1033">
        <f>Möblierungsschablone!$E$56</f>
        <v>5.76</v>
      </c>
      <c r="F115" s="1404"/>
      <c r="G115" s="1033">
        <f>Möblierungsschablone!$G$56</f>
        <v>5.76</v>
      </c>
      <c r="H115" s="1404"/>
      <c r="I115" s="1033">
        <f>Möblierungsschablone!$I$56</f>
        <v>5.76</v>
      </c>
      <c r="J115" s="1404"/>
      <c r="K115" s="1033">
        <f>Möblierungsschablone!$K$61</f>
        <v>7.34</v>
      </c>
      <c r="L115" s="1404"/>
      <c r="M115" s="1033">
        <f>Möblierungsschablone!$M$61</f>
        <v>9.18</v>
      </c>
      <c r="N115" s="1404"/>
      <c r="O115" s="1033">
        <f>Möblierungsschablone!$O$61</f>
        <v>9.4199999999999982</v>
      </c>
      <c r="Q115" s="1435" t="s">
        <v>1368</v>
      </c>
      <c r="R115" s="1404"/>
      <c r="S115" s="1033">
        <f>Möblierungsschablone!$C$56</f>
        <v>5.76</v>
      </c>
      <c r="T115" s="1404"/>
      <c r="U115" s="1033">
        <f>Möblierungsschablone!$E$56</f>
        <v>5.76</v>
      </c>
      <c r="V115" s="1404"/>
      <c r="W115" s="1033">
        <f>Möblierungsschablone!$G$56</f>
        <v>5.76</v>
      </c>
      <c r="X115" s="1404"/>
      <c r="Y115" s="1033">
        <f>Möblierungsschablone!$I$56</f>
        <v>5.76</v>
      </c>
      <c r="Z115" s="1404"/>
      <c r="AA115" s="1033">
        <f>Möblierungsschablone!$K$61</f>
        <v>7.34</v>
      </c>
      <c r="AB115" s="1404"/>
      <c r="AC115" s="1033">
        <f>Möblierungsschablone!$M$61</f>
        <v>9.18</v>
      </c>
      <c r="AD115" s="1404"/>
      <c r="AE115" s="1033">
        <f>Möblierungsschablone!$O$61</f>
        <v>9.4199999999999982</v>
      </c>
      <c r="AG115" s="1435" t="s">
        <v>1368</v>
      </c>
      <c r="AH115" s="1404"/>
      <c r="AI115" s="1033">
        <f>Möblierungsschablone!$C$56</f>
        <v>5.76</v>
      </c>
      <c r="AJ115" s="1404"/>
      <c r="AK115" s="1033">
        <f>Möblierungsschablone!$E$56</f>
        <v>5.76</v>
      </c>
      <c r="AL115" s="1404"/>
      <c r="AM115" s="1033">
        <f>Möblierungsschablone!$G$56</f>
        <v>5.76</v>
      </c>
      <c r="AN115" s="1404"/>
      <c r="AO115" s="1033">
        <f>Möblierungsschablone!$I$56</f>
        <v>5.76</v>
      </c>
      <c r="AP115" s="1404"/>
      <c r="AQ115" s="1033">
        <f>Möblierungsschablone!$K$61</f>
        <v>7.34</v>
      </c>
      <c r="AR115" s="1404"/>
      <c r="AS115" s="1033">
        <f>Möblierungsschablone!$M$61</f>
        <v>9.18</v>
      </c>
      <c r="AT115" s="1404"/>
      <c r="AU115" s="1033">
        <f>Möblierungsschablone!$O$61</f>
        <v>9.4199999999999982</v>
      </c>
      <c r="AW115" s="1435" t="s">
        <v>1368</v>
      </c>
      <c r="AX115" s="1208" t="s">
        <v>2177</v>
      </c>
      <c r="AY115" s="1033">
        <f>Möblierungsschablone!$G$56</f>
        <v>5.76</v>
      </c>
      <c r="AZ115" s="1208" t="s">
        <v>2177</v>
      </c>
      <c r="BA115" s="1033">
        <f>Möblierungsschablone!$G$56</f>
        <v>5.76</v>
      </c>
      <c r="BB115" s="1208" t="s">
        <v>2177</v>
      </c>
      <c r="BC115" s="1033">
        <f>Möblierungsschablone!$G$56</f>
        <v>5.76</v>
      </c>
      <c r="BD115" s="1404"/>
      <c r="BE115" s="1033">
        <f>Möblierungsschablone!$I$56</f>
        <v>5.76</v>
      </c>
      <c r="BF115" s="1404"/>
      <c r="BG115" s="1033">
        <f>Möblierungsschablone!$K$61</f>
        <v>7.34</v>
      </c>
      <c r="BH115" s="1404"/>
      <c r="BI115" s="1033">
        <f>Möblierungsschablone!$M$61</f>
        <v>9.18</v>
      </c>
      <c r="BJ115" s="1404"/>
      <c r="BK115" s="1033">
        <f>Möblierungsschablone!$O$61</f>
        <v>9.4199999999999982</v>
      </c>
      <c r="BM115" s="1435" t="s">
        <v>1368</v>
      </c>
      <c r="BN115" s="1433"/>
      <c r="BO115" s="1427"/>
      <c r="BP115" s="1433"/>
      <c r="BQ115" s="1427"/>
      <c r="BR115" s="1208" t="s">
        <v>2177</v>
      </c>
      <c r="BS115" s="1033">
        <f>Möblierungsschablone!$G$56</f>
        <v>5.76</v>
      </c>
      <c r="BT115" s="1404"/>
      <c r="BU115" s="1033">
        <f>Möblierungsschablone!$I$56</f>
        <v>5.76</v>
      </c>
      <c r="BV115" s="1404"/>
      <c r="BW115" s="1033">
        <f>Möblierungsschablone!$K$61</f>
        <v>7.34</v>
      </c>
      <c r="BX115" s="1404"/>
      <c r="BY115" s="1033">
        <f>Möblierungsschablone!$M$61</f>
        <v>9.18</v>
      </c>
      <c r="BZ115" s="1404"/>
      <c r="CA115" s="1033">
        <f>Möblierungsschablone!$O$61</f>
        <v>9.4199999999999982</v>
      </c>
      <c r="CC115" s="1435" t="s">
        <v>1368</v>
      </c>
      <c r="CD115" s="1433"/>
      <c r="CE115" s="1427"/>
      <c r="CF115" s="1433"/>
      <c r="CG115" s="1427"/>
      <c r="CH115" s="1208" t="s">
        <v>2177</v>
      </c>
      <c r="CI115" s="1033">
        <f>Möblierungsschablone!$G$56</f>
        <v>5.76</v>
      </c>
      <c r="CJ115" s="1404"/>
      <c r="CK115" s="1033">
        <f>Möblierungsschablone!$I$56</f>
        <v>5.76</v>
      </c>
      <c r="CL115" s="1404"/>
      <c r="CM115" s="1033">
        <f>Möblierungsschablone!$K$61</f>
        <v>7.34</v>
      </c>
      <c r="CN115" s="1404"/>
      <c r="CO115" s="1033">
        <f>Möblierungsschablone!$M$61</f>
        <v>9.18</v>
      </c>
      <c r="CP115" s="1404"/>
      <c r="CQ115" s="1033">
        <f>Möblierungsschablone!$O$61</f>
        <v>9.4199999999999982</v>
      </c>
      <c r="CS115" s="1435" t="s">
        <v>1368</v>
      </c>
      <c r="CT115" s="1433"/>
      <c r="CU115" s="1427"/>
      <c r="CV115" s="1433"/>
      <c r="CW115" s="1427"/>
      <c r="CX115" s="1208" t="s">
        <v>2177</v>
      </c>
      <c r="CY115" s="1033">
        <f>Möblierungsschablone!$G$56</f>
        <v>5.76</v>
      </c>
      <c r="CZ115" s="1404"/>
      <c r="DA115" s="1033">
        <f>Möblierungsschablone!$I$56</f>
        <v>5.76</v>
      </c>
      <c r="DB115" s="1404"/>
      <c r="DC115" s="1033">
        <f>Möblierungsschablone!$K$61</f>
        <v>7.34</v>
      </c>
      <c r="DD115" s="1404"/>
      <c r="DE115" s="1033">
        <f>Möblierungsschablone!$M$61</f>
        <v>9.18</v>
      </c>
      <c r="DF115" s="1404"/>
      <c r="DG115" s="1033">
        <f>Möblierungsschablone!$O$61</f>
        <v>9.4199999999999982</v>
      </c>
      <c r="DI115" s="1435" t="s">
        <v>1368</v>
      </c>
      <c r="DJ115" s="1433"/>
      <c r="DK115" s="1427"/>
      <c r="DL115" s="1433"/>
      <c r="DM115" s="1427"/>
      <c r="DN115" s="1208" t="s">
        <v>2177</v>
      </c>
      <c r="DO115" s="1033">
        <f>Möblierungsschablone!$G$56</f>
        <v>5.76</v>
      </c>
      <c r="DP115" s="1199" t="s">
        <v>2177</v>
      </c>
      <c r="DQ115" s="1033">
        <f>Möblierungsschablone!$I$56</f>
        <v>5.76</v>
      </c>
      <c r="DR115" s="1404"/>
      <c r="DS115" s="1033">
        <f>Möblierungsschablone!$K$61</f>
        <v>7.34</v>
      </c>
      <c r="DT115" s="1404"/>
      <c r="DU115" s="1033">
        <f>Möblierungsschablone!$M$61</f>
        <v>9.18</v>
      </c>
      <c r="DV115" s="1404"/>
      <c r="DW115" s="1033">
        <f>Möblierungsschablone!$O$61</f>
        <v>9.4199999999999982</v>
      </c>
      <c r="DY115" s="1154"/>
      <c r="DZ115" s="701"/>
      <c r="EA115" s="1152"/>
      <c r="EB115" s="701"/>
      <c r="EC115" s="1152"/>
      <c r="ED115" s="701"/>
      <c r="EE115" s="1039"/>
      <c r="EF115" s="701"/>
      <c r="EG115" s="1039"/>
      <c r="EH115" s="701"/>
      <c r="EI115" s="1039"/>
      <c r="EJ115" s="701"/>
      <c r="EK115" s="1039"/>
      <c r="EL115" s="701"/>
      <c r="EM115" s="1039"/>
    </row>
    <row r="116" spans="1:143" ht="15.75" customHeight="1">
      <c r="A116" s="1436"/>
      <c r="B116" s="1404"/>
      <c r="C116" s="1033"/>
      <c r="D116" s="1404"/>
      <c r="E116" s="1033"/>
      <c r="F116" s="1404"/>
      <c r="G116" s="1033"/>
      <c r="H116" s="1404"/>
      <c r="I116" s="1033"/>
      <c r="J116" s="1404"/>
      <c r="K116" s="1033"/>
      <c r="L116" s="1404"/>
      <c r="M116" s="1033"/>
      <c r="N116" s="1404"/>
      <c r="O116" s="1033"/>
      <c r="Q116" s="1436"/>
      <c r="R116" s="1404"/>
      <c r="S116" s="1033"/>
      <c r="T116" s="1404"/>
      <c r="U116" s="1033"/>
      <c r="V116" s="1404"/>
      <c r="W116" s="1033"/>
      <c r="X116" s="1404"/>
      <c r="Y116" s="1033"/>
      <c r="Z116" s="1404"/>
      <c r="AA116" s="1033"/>
      <c r="AB116" s="1404"/>
      <c r="AC116" s="1033"/>
      <c r="AD116" s="1404"/>
      <c r="AE116" s="1033"/>
      <c r="AG116" s="1436"/>
      <c r="AH116" s="1404"/>
      <c r="AI116" s="1033"/>
      <c r="AJ116" s="1404"/>
      <c r="AK116" s="1033"/>
      <c r="AL116" s="1404"/>
      <c r="AM116" s="1033"/>
      <c r="AN116" s="1404"/>
      <c r="AO116" s="1033"/>
      <c r="AP116" s="1404"/>
      <c r="AQ116" s="1033"/>
      <c r="AR116" s="1404"/>
      <c r="AS116" s="1033"/>
      <c r="AT116" s="1404"/>
      <c r="AU116" s="1033"/>
      <c r="AW116" s="1436"/>
      <c r="AX116" s="1200" t="s">
        <v>2039</v>
      </c>
      <c r="AY116" s="1033">
        <f>Möblierungsschablone!$C$66</f>
        <v>4.08</v>
      </c>
      <c r="AZ116" s="1200" t="s">
        <v>2039</v>
      </c>
      <c r="BA116" s="1033">
        <f>Möblierungsschablone!$C$66</f>
        <v>4.08</v>
      </c>
      <c r="BB116" s="1200" t="s">
        <v>2039</v>
      </c>
      <c r="BC116" s="1033">
        <f>Möblierungsschablone!$C$66</f>
        <v>4.08</v>
      </c>
      <c r="BD116" s="1404"/>
      <c r="BE116" s="1033"/>
      <c r="BF116" s="1404"/>
      <c r="BG116" s="1033"/>
      <c r="BH116" s="1404"/>
      <c r="BI116" s="1033"/>
      <c r="BJ116" s="1404"/>
      <c r="BK116" s="1033"/>
      <c r="BM116" s="1436"/>
      <c r="BN116" s="1433"/>
      <c r="BO116" s="1427"/>
      <c r="BP116" s="1433"/>
      <c r="BQ116" s="1427"/>
      <c r="BR116" s="1200" t="s">
        <v>2039</v>
      </c>
      <c r="BS116" s="1033">
        <f>Möblierungsschablone!$C$66</f>
        <v>4.08</v>
      </c>
      <c r="BT116" s="1404"/>
      <c r="BU116" s="1033"/>
      <c r="BV116" s="1404"/>
      <c r="BW116" s="1033"/>
      <c r="BX116" s="1404"/>
      <c r="BY116" s="1033"/>
      <c r="BZ116" s="1404"/>
      <c r="CA116" s="1033"/>
      <c r="CC116" s="1436"/>
      <c r="CD116" s="1433"/>
      <c r="CE116" s="1427"/>
      <c r="CF116" s="1433"/>
      <c r="CG116" s="1427"/>
      <c r="CH116" s="1200" t="s">
        <v>2039</v>
      </c>
      <c r="CI116" s="1033">
        <f>Möblierungsschablone!$C$66</f>
        <v>4.08</v>
      </c>
      <c r="CJ116" s="1404"/>
      <c r="CK116" s="1033"/>
      <c r="CL116" s="1404"/>
      <c r="CM116" s="1033"/>
      <c r="CN116" s="1404"/>
      <c r="CO116" s="1033"/>
      <c r="CP116" s="1404"/>
      <c r="CQ116" s="1033"/>
      <c r="CS116" s="1436"/>
      <c r="CT116" s="1433"/>
      <c r="CU116" s="1427"/>
      <c r="CV116" s="1433"/>
      <c r="CW116" s="1427"/>
      <c r="CX116" s="1200" t="s">
        <v>2039</v>
      </c>
      <c r="CY116" s="1033">
        <f>Möblierungsschablone!$C$66</f>
        <v>4.08</v>
      </c>
      <c r="CZ116" s="1404"/>
      <c r="DA116" s="1033"/>
      <c r="DB116" s="1404"/>
      <c r="DC116" s="1033"/>
      <c r="DD116" s="1404"/>
      <c r="DE116" s="1033"/>
      <c r="DF116" s="1404"/>
      <c r="DG116" s="1033"/>
      <c r="DI116" s="1436"/>
      <c r="DJ116" s="1433"/>
      <c r="DK116" s="1427"/>
      <c r="DL116" s="1433"/>
      <c r="DM116" s="1427"/>
      <c r="DN116" s="1200" t="s">
        <v>2039</v>
      </c>
      <c r="DO116" s="1033">
        <f>Möblierungsschablone!$C$66</f>
        <v>4.08</v>
      </c>
      <c r="DP116" s="1200" t="s">
        <v>2040</v>
      </c>
      <c r="DQ116" s="1033">
        <f>2*Möblierungsschablone!$C$66</f>
        <v>8.16</v>
      </c>
      <c r="DR116" s="1404"/>
      <c r="DS116" s="1033"/>
      <c r="DT116" s="1404"/>
      <c r="DU116" s="1033"/>
      <c r="DV116" s="1404"/>
      <c r="DW116" s="1033"/>
      <c r="DY116" s="701"/>
      <c r="DZ116" s="701"/>
      <c r="EA116" s="1152"/>
      <c r="EB116" s="701"/>
      <c r="EC116" s="1152"/>
      <c r="ED116" s="701"/>
      <c r="EE116" s="1039"/>
      <c r="EF116" s="701"/>
      <c r="EG116" s="1039"/>
      <c r="EH116" s="701"/>
      <c r="EI116" s="1039"/>
      <c r="EJ116" s="701"/>
      <c r="EK116" s="1039"/>
      <c r="EL116" s="701"/>
      <c r="EM116" s="1039"/>
    </row>
    <row r="117" spans="1:143" ht="15.75" customHeight="1">
      <c r="A117" s="1436"/>
      <c r="B117" s="1404"/>
      <c r="C117" s="1034">
        <f>SUM(C115:C116)</f>
        <v>5.76</v>
      </c>
      <c r="D117" s="1404"/>
      <c r="E117" s="1034">
        <f>SUM(E115:E116)</f>
        <v>5.76</v>
      </c>
      <c r="F117" s="1404"/>
      <c r="G117" s="1034">
        <f>SUM(G115:G116)</f>
        <v>5.76</v>
      </c>
      <c r="H117" s="1404"/>
      <c r="I117" s="1034">
        <f>SUM(I115:I116)</f>
        <v>5.76</v>
      </c>
      <c r="J117" s="1404"/>
      <c r="K117" s="1034">
        <f>SUM(K115:K116)</f>
        <v>7.34</v>
      </c>
      <c r="L117" s="1404"/>
      <c r="M117" s="1034">
        <f>SUM(M115:M116)</f>
        <v>9.18</v>
      </c>
      <c r="N117" s="1404"/>
      <c r="O117" s="1034">
        <f>SUM(O115:O116)</f>
        <v>9.4199999999999982</v>
      </c>
      <c r="Q117" s="1436"/>
      <c r="R117" s="1404"/>
      <c r="S117" s="1034">
        <f>SUM(S115:S116)</f>
        <v>5.76</v>
      </c>
      <c r="T117" s="1404"/>
      <c r="U117" s="1034">
        <f>SUM(U115:U116)</f>
        <v>5.76</v>
      </c>
      <c r="V117" s="1404"/>
      <c r="W117" s="1034">
        <f>SUM(W115:W116)</f>
        <v>5.76</v>
      </c>
      <c r="X117" s="1404"/>
      <c r="Y117" s="1034">
        <f>SUM(Y115:Y116)</f>
        <v>5.76</v>
      </c>
      <c r="Z117" s="1404"/>
      <c r="AA117" s="1034">
        <f>SUM(AA115:AA116)</f>
        <v>7.34</v>
      </c>
      <c r="AB117" s="1404"/>
      <c r="AC117" s="1034">
        <f>SUM(AC115:AC116)</f>
        <v>9.18</v>
      </c>
      <c r="AD117" s="1404"/>
      <c r="AE117" s="1034">
        <f>SUM(AE115:AE116)</f>
        <v>9.4199999999999982</v>
      </c>
      <c r="AG117" s="1436"/>
      <c r="AH117" s="1404"/>
      <c r="AI117" s="1034">
        <f>SUM(AI115:AI116)</f>
        <v>5.76</v>
      </c>
      <c r="AJ117" s="1404"/>
      <c r="AK117" s="1034">
        <f>SUM(AK115:AK116)</f>
        <v>5.76</v>
      </c>
      <c r="AL117" s="1404"/>
      <c r="AM117" s="1034">
        <f>SUM(AM115:AM116)</f>
        <v>5.76</v>
      </c>
      <c r="AN117" s="1404"/>
      <c r="AO117" s="1034">
        <f>SUM(AO115:AO116)</f>
        <v>5.76</v>
      </c>
      <c r="AP117" s="1404"/>
      <c r="AQ117" s="1034">
        <f>SUM(AQ115:AQ116)</f>
        <v>7.34</v>
      </c>
      <c r="AR117" s="1404"/>
      <c r="AS117" s="1034">
        <f>SUM(AS115:AS116)</f>
        <v>9.18</v>
      </c>
      <c r="AT117" s="1404"/>
      <c r="AU117" s="1034">
        <f>SUM(AU115:AU116)</f>
        <v>9.4199999999999982</v>
      </c>
      <c r="AW117" s="1436"/>
      <c r="AX117" s="1200"/>
      <c r="AY117" s="1033"/>
      <c r="AZ117" s="1200"/>
      <c r="BA117" s="1033"/>
      <c r="BB117" s="1200" t="s">
        <v>2037</v>
      </c>
      <c r="BC117" s="1033">
        <f>Möblierungsschablone!$I$66</f>
        <v>1.4400000000000002</v>
      </c>
      <c r="BD117" s="1404"/>
      <c r="BE117" s="1034">
        <f>SUM(BE115:BE116)</f>
        <v>5.76</v>
      </c>
      <c r="BF117" s="1404"/>
      <c r="BG117" s="1034">
        <f>SUM(BG115:BG116)</f>
        <v>7.34</v>
      </c>
      <c r="BH117" s="1404"/>
      <c r="BI117" s="1034">
        <f>SUM(BI115:BI116)</f>
        <v>9.18</v>
      </c>
      <c r="BJ117" s="1404"/>
      <c r="BK117" s="1034">
        <f>SUM(BK115:BK116)</f>
        <v>9.4199999999999982</v>
      </c>
      <c r="BM117" s="1436"/>
      <c r="BN117" s="1433"/>
      <c r="BO117" s="1427"/>
      <c r="BP117" s="1433"/>
      <c r="BQ117" s="1427"/>
      <c r="BR117" s="1200" t="s">
        <v>2037</v>
      </c>
      <c r="BS117" s="1033">
        <f>Möblierungsschablone!$I$66</f>
        <v>1.4400000000000002</v>
      </c>
      <c r="BT117" s="1404"/>
      <c r="BU117" s="1034">
        <f>SUM(BU115:BU116)</f>
        <v>5.76</v>
      </c>
      <c r="BV117" s="1404"/>
      <c r="BW117" s="1034">
        <f>SUM(BW115:BW116)</f>
        <v>7.34</v>
      </c>
      <c r="BX117" s="1404"/>
      <c r="BY117" s="1034">
        <f>SUM(BY115:BY116)</f>
        <v>9.18</v>
      </c>
      <c r="BZ117" s="1404"/>
      <c r="CA117" s="1034">
        <f>SUM(CA115:CA116)</f>
        <v>9.4199999999999982</v>
      </c>
      <c r="CC117" s="1436"/>
      <c r="CD117" s="1433"/>
      <c r="CE117" s="1427"/>
      <c r="CF117" s="1433"/>
      <c r="CG117" s="1427"/>
      <c r="CH117" s="1200" t="s">
        <v>2037</v>
      </c>
      <c r="CI117" s="1033">
        <f>Möblierungsschablone!$I$66</f>
        <v>1.4400000000000002</v>
      </c>
      <c r="CJ117" s="1404"/>
      <c r="CK117" s="1034">
        <f>SUM(CK115:CK116)</f>
        <v>5.76</v>
      </c>
      <c r="CL117" s="1404"/>
      <c r="CM117" s="1034">
        <f>SUM(CM115:CM116)</f>
        <v>7.34</v>
      </c>
      <c r="CN117" s="1404"/>
      <c r="CO117" s="1034">
        <f>SUM(CO115:CO116)</f>
        <v>9.18</v>
      </c>
      <c r="CP117" s="1404"/>
      <c r="CQ117" s="1034">
        <f>SUM(CQ115:CQ116)</f>
        <v>9.4199999999999982</v>
      </c>
      <c r="CS117" s="1436"/>
      <c r="CT117" s="1433"/>
      <c r="CU117" s="1427"/>
      <c r="CV117" s="1433"/>
      <c r="CW117" s="1427"/>
      <c r="CX117" s="1200" t="s">
        <v>2037</v>
      </c>
      <c r="CY117" s="1033">
        <f>Möblierungsschablone!$I$66</f>
        <v>1.4400000000000002</v>
      </c>
      <c r="CZ117" s="1404"/>
      <c r="DA117" s="1034">
        <f>SUM(DA115:DA116)</f>
        <v>5.76</v>
      </c>
      <c r="DB117" s="1404"/>
      <c r="DC117" s="1034">
        <f>SUM(DC115:DC116)</f>
        <v>7.34</v>
      </c>
      <c r="DD117" s="1404"/>
      <c r="DE117" s="1034">
        <f>SUM(DE115:DE116)</f>
        <v>9.18</v>
      </c>
      <c r="DF117" s="1404"/>
      <c r="DG117" s="1034">
        <f>SUM(DG115:DG116)</f>
        <v>9.4199999999999982</v>
      </c>
      <c r="DI117" s="1436"/>
      <c r="DJ117" s="1433"/>
      <c r="DK117" s="1427"/>
      <c r="DL117" s="1433"/>
      <c r="DM117" s="1427"/>
      <c r="DN117" s="1200" t="s">
        <v>2037</v>
      </c>
      <c r="DO117" s="1033">
        <f>Möblierungsschablone!$I$66</f>
        <v>1.4400000000000002</v>
      </c>
      <c r="DP117" s="1201" t="s">
        <v>2036</v>
      </c>
      <c r="DQ117" s="1034">
        <f>SUM(DQ115:DQ116)</f>
        <v>13.92</v>
      </c>
      <c r="DR117" s="1404"/>
      <c r="DS117" s="1034">
        <f>SUM(DS115:DS116)</f>
        <v>7.34</v>
      </c>
      <c r="DT117" s="1404"/>
      <c r="DU117" s="1034">
        <f>SUM(DU115:DU116)</f>
        <v>9.18</v>
      </c>
      <c r="DV117" s="1404"/>
      <c r="DW117" s="1034">
        <f>SUM(DW115:DW116)</f>
        <v>9.4199999999999982</v>
      </c>
      <c r="DY117" s="701"/>
      <c r="DZ117" s="701"/>
      <c r="EA117" s="1152"/>
      <c r="EB117" s="701"/>
      <c r="EC117" s="1152"/>
      <c r="ED117" s="701"/>
      <c r="EE117" s="1193"/>
      <c r="EF117" s="701"/>
      <c r="EG117" s="1193"/>
      <c r="EH117" s="701"/>
      <c r="EI117" s="1193"/>
      <c r="EJ117" s="701"/>
      <c r="EK117" s="1193"/>
      <c r="EL117" s="701"/>
      <c r="EM117" s="1193"/>
    </row>
    <row r="118" spans="1:143" ht="15.75" customHeight="1">
      <c r="A118" s="1436"/>
      <c r="B118" s="1404"/>
      <c r="C118" s="1032">
        <v>1</v>
      </c>
      <c r="D118" s="1404"/>
      <c r="E118" s="1032">
        <v>1</v>
      </c>
      <c r="F118" s="1404"/>
      <c r="G118" s="1032">
        <v>1</v>
      </c>
      <c r="H118" s="1404"/>
      <c r="I118" s="1032">
        <v>1</v>
      </c>
      <c r="J118" s="1404"/>
      <c r="K118" s="1032">
        <v>2</v>
      </c>
      <c r="L118" s="1404"/>
      <c r="M118" s="1032">
        <v>2</v>
      </c>
      <c r="N118" s="1404"/>
      <c r="O118" s="1032">
        <v>2</v>
      </c>
      <c r="Q118" s="1436"/>
      <c r="R118" s="1404"/>
      <c r="S118" s="1032">
        <v>1</v>
      </c>
      <c r="T118" s="1404"/>
      <c r="U118" s="1032">
        <v>1</v>
      </c>
      <c r="V118" s="1404"/>
      <c r="W118" s="1032">
        <v>1</v>
      </c>
      <c r="X118" s="1404"/>
      <c r="Y118" s="1032">
        <v>1</v>
      </c>
      <c r="Z118" s="1404"/>
      <c r="AA118" s="1032">
        <v>1</v>
      </c>
      <c r="AB118" s="1404"/>
      <c r="AC118" s="1032">
        <v>2</v>
      </c>
      <c r="AD118" s="1404"/>
      <c r="AE118" s="1032">
        <v>2</v>
      </c>
      <c r="AG118" s="1436"/>
      <c r="AH118" s="1404"/>
      <c r="AI118" s="1032">
        <v>1</v>
      </c>
      <c r="AJ118" s="1404"/>
      <c r="AK118" s="1032">
        <v>1</v>
      </c>
      <c r="AL118" s="1404"/>
      <c r="AM118" s="1032">
        <v>1</v>
      </c>
      <c r="AN118" s="1404"/>
      <c r="AO118" s="1032">
        <v>1</v>
      </c>
      <c r="AP118" s="1404"/>
      <c r="AQ118" s="1032">
        <v>1</v>
      </c>
      <c r="AR118" s="1404"/>
      <c r="AS118" s="1032">
        <v>2</v>
      </c>
      <c r="AT118" s="1404"/>
      <c r="AU118" s="1032">
        <v>2</v>
      </c>
      <c r="AW118" s="1436"/>
      <c r="AX118" s="1200"/>
      <c r="AY118" s="1209">
        <f>SUM(AY115:AY117)</f>
        <v>9.84</v>
      </c>
      <c r="AZ118" s="1200"/>
      <c r="BA118" s="1209">
        <f>SUM(BA115:BA117)</f>
        <v>9.84</v>
      </c>
      <c r="BB118" s="1200"/>
      <c r="BC118" s="1209">
        <f>SUM(BC115:BC117)</f>
        <v>11.28</v>
      </c>
      <c r="BD118" s="1404"/>
      <c r="BE118" s="1032">
        <v>1</v>
      </c>
      <c r="BF118" s="1404"/>
      <c r="BG118" s="1032">
        <v>1</v>
      </c>
      <c r="BH118" s="1404"/>
      <c r="BI118" s="1032">
        <v>1</v>
      </c>
      <c r="BJ118" s="1404"/>
      <c r="BK118" s="1032">
        <v>1</v>
      </c>
      <c r="BM118" s="1436"/>
      <c r="BN118" s="1433"/>
      <c r="BO118" s="1427"/>
      <c r="BP118" s="1433"/>
      <c r="BQ118" s="1427"/>
      <c r="BR118" s="1200"/>
      <c r="BS118" s="1209">
        <f>SUM(BS115:BS117)</f>
        <v>11.28</v>
      </c>
      <c r="BT118" s="1404"/>
      <c r="BU118" s="1032">
        <v>1</v>
      </c>
      <c r="BV118" s="1404"/>
      <c r="BW118" s="1032">
        <v>1</v>
      </c>
      <c r="BX118" s="1404"/>
      <c r="BY118" s="1032">
        <v>1</v>
      </c>
      <c r="BZ118" s="1404"/>
      <c r="CA118" s="1032">
        <v>1</v>
      </c>
      <c r="CC118" s="1436"/>
      <c r="CD118" s="1433"/>
      <c r="CE118" s="1427"/>
      <c r="CF118" s="1433"/>
      <c r="CG118" s="1427"/>
      <c r="CH118" s="1200"/>
      <c r="CI118" s="1209">
        <f>SUM(CI115:CI117)</f>
        <v>11.28</v>
      </c>
      <c r="CJ118" s="1404"/>
      <c r="CK118" s="1032">
        <v>1</v>
      </c>
      <c r="CL118" s="1404"/>
      <c r="CM118" s="1032">
        <v>1</v>
      </c>
      <c r="CN118" s="1404"/>
      <c r="CO118" s="1032">
        <v>1</v>
      </c>
      <c r="CP118" s="1404"/>
      <c r="CQ118" s="1032">
        <v>1</v>
      </c>
      <c r="CS118" s="1436"/>
      <c r="CT118" s="1433"/>
      <c r="CU118" s="1427"/>
      <c r="CV118" s="1433"/>
      <c r="CW118" s="1427"/>
      <c r="CX118" s="1200"/>
      <c r="CY118" s="1209">
        <f>SUM(CY115:CY117)</f>
        <v>11.28</v>
      </c>
      <c r="CZ118" s="1404"/>
      <c r="DA118" s="1032">
        <v>1</v>
      </c>
      <c r="DB118" s="1404"/>
      <c r="DC118" s="1032">
        <v>1</v>
      </c>
      <c r="DD118" s="1404"/>
      <c r="DE118" s="1032">
        <v>1</v>
      </c>
      <c r="DF118" s="1404"/>
      <c r="DG118" s="1032">
        <v>1</v>
      </c>
      <c r="DI118" s="1436"/>
      <c r="DJ118" s="1433"/>
      <c r="DK118" s="1427"/>
      <c r="DL118" s="1433"/>
      <c r="DM118" s="1427"/>
      <c r="DN118" s="1201" t="s">
        <v>2036</v>
      </c>
      <c r="DO118" s="1209">
        <f>SUM(DO115:DO117)</f>
        <v>11.28</v>
      </c>
      <c r="DP118" s="1200" t="s">
        <v>1247</v>
      </c>
      <c r="DQ118" s="1032">
        <v>1</v>
      </c>
      <c r="DR118" s="1404"/>
      <c r="DS118" s="1032">
        <v>1</v>
      </c>
      <c r="DT118" s="1404"/>
      <c r="DU118" s="1032">
        <v>1</v>
      </c>
      <c r="DV118" s="1404"/>
      <c r="DW118" s="1032">
        <v>1</v>
      </c>
      <c r="DY118" s="701"/>
      <c r="DZ118" s="701"/>
      <c r="EA118" s="1210"/>
      <c r="EB118" s="701"/>
      <c r="EC118" s="1210"/>
      <c r="ED118" s="701"/>
      <c r="EE118" s="763"/>
      <c r="EF118" s="701"/>
      <c r="EG118" s="763"/>
      <c r="EH118" s="701"/>
      <c r="EI118" s="763"/>
      <c r="EJ118" s="701"/>
      <c r="EK118" s="763"/>
      <c r="EL118" s="701"/>
      <c r="EM118" s="763"/>
    </row>
    <row r="119" spans="1:143" ht="34.5" customHeight="1">
      <c r="A119" s="1436"/>
      <c r="B119" s="1404"/>
      <c r="C119" s="1030">
        <f>C117/(C118*C92)</f>
        <v>0.73469387755102045</v>
      </c>
      <c r="D119" s="1404"/>
      <c r="E119" s="1030">
        <f>E117/(E118*C92)</f>
        <v>0.73469387755102045</v>
      </c>
      <c r="F119" s="1404"/>
      <c r="G119" s="1030">
        <f>G117/(G118*C92)</f>
        <v>0.73469387755102045</v>
      </c>
      <c r="H119" s="1404"/>
      <c r="I119" s="1030">
        <f>I117/(I118*C92)</f>
        <v>0.73469387755102045</v>
      </c>
      <c r="J119" s="1404"/>
      <c r="K119" s="1030">
        <f>K117/(K118*C92)</f>
        <v>0.46811224489795922</v>
      </c>
      <c r="L119" s="1404"/>
      <c r="M119" s="1030">
        <f>M117/(M118*C92)</f>
        <v>0.5854591836734695</v>
      </c>
      <c r="N119" s="1404"/>
      <c r="O119" s="1030">
        <f>O117/(O118*C92)</f>
        <v>0.60076530612244894</v>
      </c>
      <c r="Q119" s="1436"/>
      <c r="R119" s="1404"/>
      <c r="S119" s="1030">
        <f>S117/(S118*S92)</f>
        <v>0.62337662337662347</v>
      </c>
      <c r="T119" s="1404"/>
      <c r="U119" s="1030">
        <f>U117/(U118*S92)</f>
        <v>0.62337662337662347</v>
      </c>
      <c r="V119" s="1404"/>
      <c r="W119" s="1030">
        <f>W117/(W118*S92)</f>
        <v>0.62337662337662347</v>
      </c>
      <c r="X119" s="1404"/>
      <c r="Y119" s="1030">
        <f>Y117/(Y118*S92)</f>
        <v>0.62337662337662347</v>
      </c>
      <c r="Z119" s="1404"/>
      <c r="AA119" s="1030">
        <f>AA117/(AA118*S92)</f>
        <v>0.79437229437229451</v>
      </c>
      <c r="AB119" s="1404"/>
      <c r="AC119" s="1030">
        <f>AC117/(AC118*S92)</f>
        <v>0.49675324675324684</v>
      </c>
      <c r="AD119" s="1404"/>
      <c r="AE119" s="1030">
        <f>AE117/(AE118*S92)</f>
        <v>0.50974025974025972</v>
      </c>
      <c r="AG119" s="1436"/>
      <c r="AH119" s="1404"/>
      <c r="AI119" s="1030">
        <f>AI117/(AI118*AI92)</f>
        <v>0.5413533834586467</v>
      </c>
      <c r="AJ119" s="1404"/>
      <c r="AK119" s="1030">
        <f>AK117/(AK118*AI92)</f>
        <v>0.5413533834586467</v>
      </c>
      <c r="AL119" s="1404"/>
      <c r="AM119" s="1030">
        <f>AM117/(AM118*AI92)</f>
        <v>0.5413533834586467</v>
      </c>
      <c r="AN119" s="1404"/>
      <c r="AO119" s="1030">
        <f>AO117/(AO118*AI92)</f>
        <v>0.5413533834586467</v>
      </c>
      <c r="AP119" s="1404"/>
      <c r="AQ119" s="1030">
        <f>AQ117/(AQ118*AI92)</f>
        <v>0.68984962406015049</v>
      </c>
      <c r="AR119" s="1404"/>
      <c r="AS119" s="1030">
        <f>AS117/(AS118*AI92)</f>
        <v>0.43139097744360905</v>
      </c>
      <c r="AT119" s="1404"/>
      <c r="AU119" s="1030">
        <f>AU117/(AU118*AI92)</f>
        <v>0.44266917293233077</v>
      </c>
      <c r="AW119" s="1436"/>
      <c r="AX119" s="1201" t="s">
        <v>2036</v>
      </c>
      <c r="AY119" s="1032">
        <v>1</v>
      </c>
      <c r="AZ119" s="1201" t="s">
        <v>2036</v>
      </c>
      <c r="BA119" s="1032">
        <v>1</v>
      </c>
      <c r="BB119" s="1201" t="s">
        <v>2036</v>
      </c>
      <c r="BC119" s="1032">
        <v>1</v>
      </c>
      <c r="BD119" s="1404"/>
      <c r="BE119" s="1030">
        <f>BE117/(BE118*AY92)</f>
        <v>0.47840531561461797</v>
      </c>
      <c r="BF119" s="1404"/>
      <c r="BG119" s="1030">
        <f>BG117/(BG118*AY92)</f>
        <v>0.60963455149501666</v>
      </c>
      <c r="BH119" s="1404"/>
      <c r="BI119" s="1030">
        <f>BI117/(BI118*AY92)</f>
        <v>0.7624584717607974</v>
      </c>
      <c r="BJ119" s="1404"/>
      <c r="BK119" s="1030">
        <f>BK117/(BK118*AY92)</f>
        <v>0.78239202657807294</v>
      </c>
      <c r="BM119" s="1436"/>
      <c r="BN119" s="1434"/>
      <c r="BO119" s="1428"/>
      <c r="BP119" s="1434"/>
      <c r="BQ119" s="1428"/>
      <c r="BR119" s="1201" t="s">
        <v>2036</v>
      </c>
      <c r="BS119" s="1032">
        <v>1</v>
      </c>
      <c r="BT119" s="1404"/>
      <c r="BU119" s="1030">
        <f>BU117/(BU118*BO92)</f>
        <v>0.42857142857142855</v>
      </c>
      <c r="BV119" s="1404"/>
      <c r="BW119" s="1030">
        <f>BW117/(BW118*BO92)</f>
        <v>0.54613095238095244</v>
      </c>
      <c r="BX119" s="1404"/>
      <c r="BY119" s="1030">
        <f>BY117/(BY118*BO92)</f>
        <v>0.6830357142857143</v>
      </c>
      <c r="BZ119" s="1404"/>
      <c r="CA119" s="1030">
        <f>CA117/(CA118*BO92)</f>
        <v>0.70089285714285698</v>
      </c>
      <c r="CC119" s="1436"/>
      <c r="CD119" s="1434"/>
      <c r="CE119" s="1428"/>
      <c r="CF119" s="1434"/>
      <c r="CG119" s="1428"/>
      <c r="CH119" s="1201" t="s">
        <v>2036</v>
      </c>
      <c r="CI119" s="1032">
        <v>1</v>
      </c>
      <c r="CJ119" s="1404"/>
      <c r="CK119" s="1059">
        <f>CK117/(CK118*CE92)</f>
        <v>0.40336134453781519</v>
      </c>
      <c r="CL119" s="1404"/>
      <c r="CM119" s="1059">
        <f>CM117/(CM118*CE92)</f>
        <v>0.51400560224089642</v>
      </c>
      <c r="CN119" s="1404"/>
      <c r="CO119" s="1059">
        <f>CO117/(CO118*CE92)</f>
        <v>0.6428571428571429</v>
      </c>
      <c r="CP119" s="1404"/>
      <c r="CQ119" s="1059">
        <f>CQ117/(CQ118*CE92)</f>
        <v>0.65966386554621848</v>
      </c>
      <c r="CS119" s="1436"/>
      <c r="CT119" s="1434"/>
      <c r="CU119" s="1428"/>
      <c r="CV119" s="1434"/>
      <c r="CW119" s="1428"/>
      <c r="CX119" s="1201" t="s">
        <v>2036</v>
      </c>
      <c r="CY119" s="1032">
        <v>1</v>
      </c>
      <c r="CZ119" s="1404"/>
      <c r="DA119" s="1059">
        <f>DA117/(DA118*CU92)</f>
        <v>0.37402597402597404</v>
      </c>
      <c r="DB119" s="1404"/>
      <c r="DC119" s="1059">
        <f>DC117/(DC118*CU92)</f>
        <v>0.47662337662337667</v>
      </c>
      <c r="DD119" s="1404"/>
      <c r="DE119" s="1059">
        <f>DE117/(DE118*CU92)</f>
        <v>0.59610389610389614</v>
      </c>
      <c r="DF119" s="1404"/>
      <c r="DG119" s="1059">
        <f>DG117/(DG118*CU92)</f>
        <v>0.61168831168831161</v>
      </c>
      <c r="DI119" s="1436"/>
      <c r="DJ119" s="1434"/>
      <c r="DK119" s="1428"/>
      <c r="DL119" s="1434"/>
      <c r="DM119" s="1428"/>
      <c r="DN119" s="1200" t="s">
        <v>1247</v>
      </c>
      <c r="DO119" s="1032">
        <v>1</v>
      </c>
      <c r="DP119" s="1433"/>
      <c r="DQ119" s="1426">
        <f>DQ117/(DQ118*DK92)</f>
        <v>0.85714285714285721</v>
      </c>
      <c r="DR119" s="1404"/>
      <c r="DS119" s="1059">
        <f>DS117/(DS118*DK92)</f>
        <v>0.45197044334975373</v>
      </c>
      <c r="DT119" s="1404"/>
      <c r="DU119" s="1059">
        <f>DU117/(DU118*DK92)</f>
        <v>0.56527093596059119</v>
      </c>
      <c r="DV119" s="1404"/>
      <c r="DW119" s="1059">
        <f>DW117/(DW118*DK92)</f>
        <v>0.58004926108374377</v>
      </c>
      <c r="DY119" s="701"/>
      <c r="DZ119" s="701"/>
      <c r="EA119" s="1211"/>
      <c r="EB119" s="701"/>
      <c r="EC119" s="1211"/>
      <c r="ED119" s="701"/>
      <c r="EE119" s="1146"/>
      <c r="EF119" s="701"/>
      <c r="EG119" s="1146"/>
      <c r="EH119" s="701"/>
      <c r="EI119" s="1146"/>
      <c r="EJ119" s="701"/>
      <c r="EK119" s="1146"/>
      <c r="EL119" s="701"/>
      <c r="EM119" s="1146"/>
    </row>
    <row r="120" spans="1:143" ht="15.75" customHeight="1">
      <c r="A120" s="1435" t="s">
        <v>1369</v>
      </c>
      <c r="B120" s="1404"/>
      <c r="C120" s="1033">
        <f>Möblierungsschablone!$C$66</f>
        <v>4.08</v>
      </c>
      <c r="D120" s="1404"/>
      <c r="E120" s="1033">
        <f>Möblierungsschablone!$C$66</f>
        <v>4.08</v>
      </c>
      <c r="F120" s="1404"/>
      <c r="G120" s="1033">
        <f>Möblierungsschablone!$C$66</f>
        <v>4.08</v>
      </c>
      <c r="H120" s="1404"/>
      <c r="I120" s="1033">
        <f>2*Möblierungsschablone!$C$66</f>
        <v>8.16</v>
      </c>
      <c r="J120" s="1404"/>
      <c r="K120" s="1033">
        <f>2*Möblierungsschablone!$C$66</f>
        <v>8.16</v>
      </c>
      <c r="L120" s="1404"/>
      <c r="M120" s="1033">
        <f>Möblierungsschablone!$C$66</f>
        <v>4.08</v>
      </c>
      <c r="N120" s="1404"/>
      <c r="O120" s="1033">
        <f>Möblierungsschablone!$C$66</f>
        <v>4.08</v>
      </c>
      <c r="Q120" s="1435" t="s">
        <v>1369</v>
      </c>
      <c r="R120" s="1199" t="s">
        <v>2039</v>
      </c>
      <c r="S120" s="1033">
        <f>Möblierungsschablone!$C$66</f>
        <v>4.08</v>
      </c>
      <c r="T120" s="1199" t="s">
        <v>2039</v>
      </c>
      <c r="U120" s="1033">
        <f>Möblierungsschablone!$C$66</f>
        <v>4.08</v>
      </c>
      <c r="V120" s="1199" t="s">
        <v>2039</v>
      </c>
      <c r="W120" s="1033">
        <f>Möblierungsschablone!$C$66</f>
        <v>4.08</v>
      </c>
      <c r="X120" s="1199" t="s">
        <v>2040</v>
      </c>
      <c r="Y120" s="1033">
        <f>2*Möblierungsschablone!$C$66</f>
        <v>8.16</v>
      </c>
      <c r="Z120" s="1199" t="s">
        <v>2040</v>
      </c>
      <c r="AA120" s="1033">
        <f>2*Möblierungsschablone!$C$66</f>
        <v>8.16</v>
      </c>
      <c r="AB120" s="1199" t="s">
        <v>2039</v>
      </c>
      <c r="AC120" s="1033">
        <f>Möblierungsschablone!$C$66</f>
        <v>4.08</v>
      </c>
      <c r="AD120" s="1199" t="s">
        <v>2039</v>
      </c>
      <c r="AE120" s="1033">
        <f>Möblierungsschablone!$C$66</f>
        <v>4.08</v>
      </c>
      <c r="AG120" s="1435" t="s">
        <v>1369</v>
      </c>
      <c r="AH120" s="1199" t="s">
        <v>2039</v>
      </c>
      <c r="AI120" s="1033">
        <f>Möblierungsschablone!$C$66</f>
        <v>4.08</v>
      </c>
      <c r="AJ120" s="1199" t="s">
        <v>2039</v>
      </c>
      <c r="AK120" s="1033">
        <f>Möblierungsschablone!$C$66</f>
        <v>4.08</v>
      </c>
      <c r="AL120" s="1199" t="s">
        <v>2039</v>
      </c>
      <c r="AM120" s="1033">
        <f>Möblierungsschablone!$C$66</f>
        <v>4.08</v>
      </c>
      <c r="AN120" s="1199" t="s">
        <v>2040</v>
      </c>
      <c r="AO120" s="1033">
        <f>2*Möblierungsschablone!$C$66</f>
        <v>8.16</v>
      </c>
      <c r="AP120" s="1199" t="s">
        <v>2040</v>
      </c>
      <c r="AQ120" s="1033">
        <f>2*Möblierungsschablone!$C$66</f>
        <v>8.16</v>
      </c>
      <c r="AR120" s="1199" t="s">
        <v>2039</v>
      </c>
      <c r="AS120" s="1033">
        <f>Möblierungsschablone!$C$66</f>
        <v>4.08</v>
      </c>
      <c r="AT120" s="1199" t="s">
        <v>2039</v>
      </c>
      <c r="AU120" s="1033">
        <f>Möblierungsschablone!$C$66</f>
        <v>4.08</v>
      </c>
      <c r="AW120" s="1435" t="s">
        <v>1369</v>
      </c>
      <c r="AX120" s="1200" t="s">
        <v>1247</v>
      </c>
      <c r="AY120" s="1426">
        <f>AY118/(AY119*AY92)</f>
        <v>0.81727574750830567</v>
      </c>
      <c r="AZ120" s="1200" t="s">
        <v>1247</v>
      </c>
      <c r="BA120" s="1426">
        <f>BA118/(BA119*AY92)</f>
        <v>0.81727574750830567</v>
      </c>
      <c r="BB120" s="1200" t="s">
        <v>1247</v>
      </c>
      <c r="BC120" s="1426">
        <f>BC118/(BC119*AY92)</f>
        <v>0.93687707641196016</v>
      </c>
      <c r="BD120" s="1199" t="s">
        <v>2040</v>
      </c>
      <c r="BE120" s="1033">
        <f>2*Möblierungsschablone!$C$66</f>
        <v>8.16</v>
      </c>
      <c r="BF120" s="1199" t="s">
        <v>2040</v>
      </c>
      <c r="BG120" s="1033">
        <f>2*Möblierungsschablone!$C$66</f>
        <v>8.16</v>
      </c>
      <c r="BH120" s="1199" t="s">
        <v>2039</v>
      </c>
      <c r="BI120" s="1033">
        <f>Möblierungsschablone!$C$66</f>
        <v>4.08</v>
      </c>
      <c r="BJ120" s="1199" t="s">
        <v>2039</v>
      </c>
      <c r="BK120" s="1033">
        <f>Möblierungsschablone!$C$66</f>
        <v>4.08</v>
      </c>
      <c r="BM120" s="1435" t="s">
        <v>1369</v>
      </c>
      <c r="BN120" s="1199" t="s">
        <v>2039</v>
      </c>
      <c r="BO120" s="1033">
        <f>Möblierungsschablone!$C$66</f>
        <v>4.08</v>
      </c>
      <c r="BP120" s="1199" t="s">
        <v>2039</v>
      </c>
      <c r="BQ120" s="1033">
        <f>Möblierungsschablone!$C$66</f>
        <v>4.08</v>
      </c>
      <c r="BR120" s="1200" t="s">
        <v>1247</v>
      </c>
      <c r="BS120" s="1426">
        <f>BS118/(BS119*BO92)</f>
        <v>0.8392857142857143</v>
      </c>
      <c r="BT120" s="1199" t="s">
        <v>2040</v>
      </c>
      <c r="BU120" s="1033">
        <f>2*Möblierungsschablone!$C$66</f>
        <v>8.16</v>
      </c>
      <c r="BV120" s="1199" t="s">
        <v>2040</v>
      </c>
      <c r="BW120" s="1033">
        <f>2*Möblierungsschablone!$C$66</f>
        <v>8.16</v>
      </c>
      <c r="BX120" s="1199" t="s">
        <v>2039</v>
      </c>
      <c r="BY120" s="1033">
        <f>Möblierungsschablone!$C$66</f>
        <v>4.08</v>
      </c>
      <c r="BZ120" s="1199" t="s">
        <v>2039</v>
      </c>
      <c r="CA120" s="1033">
        <f>Möblierungsschablone!$C$66</f>
        <v>4.08</v>
      </c>
      <c r="CC120" s="1435" t="s">
        <v>1369</v>
      </c>
      <c r="CD120" s="1199" t="s">
        <v>2039</v>
      </c>
      <c r="CE120" s="1033">
        <f>Möblierungsschablone!$C$66</f>
        <v>4.08</v>
      </c>
      <c r="CF120" s="1199" t="s">
        <v>2039</v>
      </c>
      <c r="CG120" s="1033">
        <f>Möblierungsschablone!$C$66</f>
        <v>4.08</v>
      </c>
      <c r="CH120" s="1200" t="s">
        <v>1247</v>
      </c>
      <c r="CI120" s="1426">
        <f>CI118/(CI119*CE92)</f>
        <v>0.7899159663865547</v>
      </c>
      <c r="CJ120" s="1199" t="s">
        <v>2040</v>
      </c>
      <c r="CK120" s="1033">
        <f>2*Möblierungsschablone!$C$66</f>
        <v>8.16</v>
      </c>
      <c r="CL120" s="1199" t="s">
        <v>2040</v>
      </c>
      <c r="CM120" s="1033">
        <f>2*Möblierungsschablone!$C$66</f>
        <v>8.16</v>
      </c>
      <c r="CN120" s="1199" t="s">
        <v>2039</v>
      </c>
      <c r="CO120" s="1033">
        <f>Möblierungsschablone!$C$66</f>
        <v>4.08</v>
      </c>
      <c r="CP120" s="1199" t="s">
        <v>2039</v>
      </c>
      <c r="CQ120" s="1033">
        <f>Möblierungsschablone!$C$66</f>
        <v>4.08</v>
      </c>
      <c r="CS120" s="1435" t="s">
        <v>1369</v>
      </c>
      <c r="CT120" s="1199" t="s">
        <v>2039</v>
      </c>
      <c r="CU120" s="1033">
        <f>Möblierungsschablone!$C$66</f>
        <v>4.08</v>
      </c>
      <c r="CV120" s="1199" t="s">
        <v>2039</v>
      </c>
      <c r="CW120" s="1033">
        <f>Möblierungsschablone!$C$66</f>
        <v>4.08</v>
      </c>
      <c r="CX120" s="1200" t="s">
        <v>1247</v>
      </c>
      <c r="CY120" s="1426">
        <f>CY118/(CY119*CU92)</f>
        <v>0.73246753246753249</v>
      </c>
      <c r="CZ120" s="1199" t="s">
        <v>2040</v>
      </c>
      <c r="DA120" s="1033">
        <f>2*Möblierungsschablone!$C$66</f>
        <v>8.16</v>
      </c>
      <c r="DB120" s="1199" t="s">
        <v>2040</v>
      </c>
      <c r="DC120" s="1033">
        <f>2*Möblierungsschablone!$C$66</f>
        <v>8.16</v>
      </c>
      <c r="DD120" s="1199" t="s">
        <v>2039</v>
      </c>
      <c r="DE120" s="1033">
        <f>Möblierungsschablone!$C$66</f>
        <v>4.08</v>
      </c>
      <c r="DF120" s="1199" t="s">
        <v>2039</v>
      </c>
      <c r="DG120" s="1033">
        <f>Möblierungsschablone!$C$66</f>
        <v>4.08</v>
      </c>
      <c r="DI120" s="1435" t="s">
        <v>1369</v>
      </c>
      <c r="DJ120" s="1199" t="s">
        <v>2039</v>
      </c>
      <c r="DK120" s="1033">
        <f>Möblierungsschablone!$C$66</f>
        <v>4.08</v>
      </c>
      <c r="DL120" s="1199" t="s">
        <v>2039</v>
      </c>
      <c r="DM120" s="1033">
        <f>Möblierungsschablone!$C$66</f>
        <v>4.08</v>
      </c>
      <c r="DO120" s="1426">
        <f>DO118/(DO119*DK92)</f>
        <v>0.69458128078817738</v>
      </c>
      <c r="DP120" s="1433"/>
      <c r="DQ120" s="1427"/>
      <c r="DR120" s="1199" t="s">
        <v>2040</v>
      </c>
      <c r="DS120" s="1033">
        <f>2*Möblierungsschablone!$C$66</f>
        <v>8.16</v>
      </c>
      <c r="DT120" s="1199" t="s">
        <v>2039</v>
      </c>
      <c r="DU120" s="1033">
        <f>Möblierungsschablone!$C$66</f>
        <v>4.08</v>
      </c>
      <c r="DV120" s="1199" t="s">
        <v>2039</v>
      </c>
      <c r="DW120" s="1033">
        <f>Möblierungsschablone!$C$66</f>
        <v>4.08</v>
      </c>
      <c r="DY120" s="1154"/>
      <c r="DZ120" s="701"/>
      <c r="EA120" s="1039"/>
      <c r="EB120" s="701"/>
      <c r="EC120" s="1039"/>
      <c r="ED120" s="701"/>
      <c r="EE120" s="1039"/>
      <c r="EF120" s="701"/>
      <c r="EG120" s="1039"/>
      <c r="EH120" s="701"/>
      <c r="EI120" s="1039"/>
      <c r="EJ120" s="701"/>
      <c r="EK120" s="1039"/>
      <c r="EL120" s="701"/>
      <c r="EM120" s="1039"/>
    </row>
    <row r="121" spans="1:143" ht="15.75" customHeight="1">
      <c r="A121" s="1436"/>
      <c r="B121" s="1404"/>
      <c r="C121" s="1033"/>
      <c r="D121" s="1404"/>
      <c r="E121" s="1033"/>
      <c r="F121" s="1404"/>
      <c r="G121" s="1033">
        <f>Möblierungsschablone!$I$66</f>
        <v>1.4400000000000002</v>
      </c>
      <c r="H121" s="1404"/>
      <c r="I121" s="1033"/>
      <c r="J121" s="1404"/>
      <c r="K121" s="1033"/>
      <c r="L121" s="1404"/>
      <c r="M121" s="1033">
        <f>Möblierungsschablone!$G$66</f>
        <v>4.5</v>
      </c>
      <c r="N121" s="1404"/>
      <c r="O121" s="1033">
        <f>Möblierungsschablone!$G$66</f>
        <v>4.5</v>
      </c>
      <c r="Q121" s="1436"/>
      <c r="R121" s="1200"/>
      <c r="S121" s="1033"/>
      <c r="T121" s="1200"/>
      <c r="U121" s="1033"/>
      <c r="V121" s="1200" t="s">
        <v>2037</v>
      </c>
      <c r="W121" s="1033">
        <f>Möblierungsschablone!$I$66</f>
        <v>1.4400000000000002</v>
      </c>
      <c r="X121" s="1200"/>
      <c r="Y121" s="1033"/>
      <c r="Z121" s="1200"/>
      <c r="AA121" s="1033"/>
      <c r="AB121" s="1200" t="s">
        <v>2038</v>
      </c>
      <c r="AC121" s="1033">
        <f>Möblierungsschablone!$G$66</f>
        <v>4.5</v>
      </c>
      <c r="AD121" s="1200" t="s">
        <v>2038</v>
      </c>
      <c r="AE121" s="1033">
        <f>Möblierungsschablone!$G$66</f>
        <v>4.5</v>
      </c>
      <c r="AG121" s="1436"/>
      <c r="AH121" s="1200"/>
      <c r="AI121" s="1033"/>
      <c r="AJ121" s="1200"/>
      <c r="AK121" s="1033"/>
      <c r="AL121" s="1200" t="s">
        <v>2037</v>
      </c>
      <c r="AM121" s="1033">
        <f>Möblierungsschablone!$I$66</f>
        <v>1.4400000000000002</v>
      </c>
      <c r="AN121" s="1200"/>
      <c r="AO121" s="1033"/>
      <c r="AP121" s="1200"/>
      <c r="AQ121" s="1033"/>
      <c r="AR121" s="1200" t="s">
        <v>2038</v>
      </c>
      <c r="AS121" s="1033">
        <f>Möblierungsschablone!$G$66</f>
        <v>4.5</v>
      </c>
      <c r="AT121" s="1200" t="s">
        <v>2038</v>
      </c>
      <c r="AU121" s="1033">
        <f>Möblierungsschablone!$G$66</f>
        <v>4.5</v>
      </c>
      <c r="AW121" s="1436"/>
      <c r="AX121" s="1200"/>
      <c r="AY121" s="1427"/>
      <c r="AZ121" s="1200"/>
      <c r="BA121" s="1427"/>
      <c r="BB121" s="1200"/>
      <c r="BC121" s="1427"/>
      <c r="BD121" s="1200"/>
      <c r="BE121" s="1033"/>
      <c r="BF121" s="1200"/>
      <c r="BG121" s="1033"/>
      <c r="BH121" s="1200" t="s">
        <v>2038</v>
      </c>
      <c r="BI121" s="1033">
        <f>Möblierungsschablone!$G$66</f>
        <v>4.5</v>
      </c>
      <c r="BJ121" s="1200" t="s">
        <v>2038</v>
      </c>
      <c r="BK121" s="1033">
        <f>Möblierungsschablone!$G$66</f>
        <v>4.5</v>
      </c>
      <c r="BM121" s="1436"/>
      <c r="BN121" s="1200"/>
      <c r="BO121" s="1033"/>
      <c r="BP121" s="1200"/>
      <c r="BQ121" s="1033"/>
      <c r="BR121" s="1200"/>
      <c r="BS121" s="1427"/>
      <c r="BT121" s="1200"/>
      <c r="BU121" s="1033"/>
      <c r="BV121" s="1200"/>
      <c r="BW121" s="1033"/>
      <c r="BX121" s="1200" t="s">
        <v>2038</v>
      </c>
      <c r="BY121" s="1033">
        <f>Möblierungsschablone!$G$66</f>
        <v>4.5</v>
      </c>
      <c r="BZ121" s="1200" t="s">
        <v>2038</v>
      </c>
      <c r="CA121" s="1033">
        <f>Möblierungsschablone!$G$66</f>
        <v>4.5</v>
      </c>
      <c r="CC121" s="1436"/>
      <c r="CD121" s="1200"/>
      <c r="CE121" s="1033"/>
      <c r="CF121" s="1200"/>
      <c r="CG121" s="1033"/>
      <c r="CH121" s="1200"/>
      <c r="CI121" s="1427"/>
      <c r="CJ121" s="1200"/>
      <c r="CK121" s="1033"/>
      <c r="CL121" s="1200"/>
      <c r="CM121" s="1033"/>
      <c r="CN121" s="1200" t="s">
        <v>2038</v>
      </c>
      <c r="CO121" s="1033">
        <f>Möblierungsschablone!$G$66</f>
        <v>4.5</v>
      </c>
      <c r="CP121" s="1200" t="s">
        <v>2038</v>
      </c>
      <c r="CQ121" s="1033">
        <f>Möblierungsschablone!$G$66</f>
        <v>4.5</v>
      </c>
      <c r="CS121" s="1436"/>
      <c r="CT121" s="1200"/>
      <c r="CU121" s="1033"/>
      <c r="CV121" s="1200"/>
      <c r="CW121" s="1033"/>
      <c r="CX121" s="1200"/>
      <c r="CY121" s="1427"/>
      <c r="CZ121" s="1200"/>
      <c r="DA121" s="1033"/>
      <c r="DB121" s="1200"/>
      <c r="DC121" s="1033"/>
      <c r="DD121" s="1200" t="s">
        <v>2038</v>
      </c>
      <c r="DE121" s="1033">
        <f>Möblierungsschablone!$G$66</f>
        <v>4.5</v>
      </c>
      <c r="DF121" s="1200" t="s">
        <v>2038</v>
      </c>
      <c r="DG121" s="1033">
        <f>Möblierungsschablone!$G$66</f>
        <v>4.5</v>
      </c>
      <c r="DI121" s="1436"/>
      <c r="DJ121" s="1200"/>
      <c r="DK121" s="1033"/>
      <c r="DL121" s="1200"/>
      <c r="DM121" s="1033"/>
      <c r="DN121" s="1200"/>
      <c r="DO121" s="1427"/>
      <c r="DP121" s="1433"/>
      <c r="DQ121" s="1427"/>
      <c r="DR121" s="1200"/>
      <c r="DS121" s="1033"/>
      <c r="DT121" s="1200" t="s">
        <v>2038</v>
      </c>
      <c r="DU121" s="1033">
        <f>Möblierungsschablone!$G$66</f>
        <v>4.5</v>
      </c>
      <c r="DV121" s="1200" t="s">
        <v>2038</v>
      </c>
      <c r="DW121" s="1033">
        <f>Möblierungsschablone!$G$66</f>
        <v>4.5</v>
      </c>
      <c r="DY121" s="701"/>
      <c r="DZ121" s="701"/>
      <c r="EA121" s="1039"/>
      <c r="EB121" s="701"/>
      <c r="EC121" s="1039"/>
      <c r="ED121" s="701"/>
      <c r="EE121" s="1039"/>
      <c r="EF121" s="701"/>
      <c r="EG121" s="1039"/>
      <c r="EH121" s="701"/>
      <c r="EI121" s="1039"/>
      <c r="EJ121" s="701"/>
      <c r="EK121" s="1039"/>
      <c r="EL121" s="701"/>
      <c r="EM121" s="1039"/>
    </row>
    <row r="122" spans="1:143" ht="15.75" customHeight="1">
      <c r="A122" s="1436"/>
      <c r="B122" s="1404"/>
      <c r="C122" s="1033"/>
      <c r="D122" s="1404"/>
      <c r="E122" s="1033"/>
      <c r="F122" s="1404"/>
      <c r="G122" s="1033"/>
      <c r="H122" s="1404"/>
      <c r="I122" s="1033"/>
      <c r="J122" s="1404"/>
      <c r="K122" s="1033"/>
      <c r="L122" s="1404"/>
      <c r="M122" s="1033"/>
      <c r="N122" s="1404"/>
      <c r="O122" s="1033">
        <f>Möblierungsschablone!$I$66</f>
        <v>1.4400000000000002</v>
      </c>
      <c r="Q122" s="1436"/>
      <c r="R122" s="1200"/>
      <c r="S122" s="1033"/>
      <c r="T122" s="1200"/>
      <c r="U122" s="1033"/>
      <c r="V122" s="1200"/>
      <c r="W122" s="1033"/>
      <c r="X122" s="1200"/>
      <c r="Y122" s="1033"/>
      <c r="Z122" s="1200"/>
      <c r="AA122" s="1033"/>
      <c r="AB122" s="1200"/>
      <c r="AC122" s="1033"/>
      <c r="AD122" s="1200" t="s">
        <v>2037</v>
      </c>
      <c r="AE122" s="1033">
        <f>Möblierungsschablone!$I$66</f>
        <v>1.4400000000000002</v>
      </c>
      <c r="AG122" s="1436"/>
      <c r="AH122" s="1200"/>
      <c r="AI122" s="1033"/>
      <c r="AJ122" s="1200"/>
      <c r="AK122" s="1033"/>
      <c r="AL122" s="1200"/>
      <c r="AM122" s="1033"/>
      <c r="AN122" s="1200"/>
      <c r="AO122" s="1033"/>
      <c r="AP122" s="1200"/>
      <c r="AQ122" s="1033"/>
      <c r="AR122" s="1200"/>
      <c r="AS122" s="1033"/>
      <c r="AT122" s="1200" t="s">
        <v>2037</v>
      </c>
      <c r="AU122" s="1033">
        <f>Möblierungsschablone!$I$66</f>
        <v>1.4400000000000002</v>
      </c>
      <c r="AW122" s="1436"/>
      <c r="AX122" s="1200"/>
      <c r="AY122" s="1427"/>
      <c r="AZ122" s="1200"/>
      <c r="BA122" s="1427"/>
      <c r="BB122" s="1200"/>
      <c r="BC122" s="1427"/>
      <c r="BD122" s="1200"/>
      <c r="BE122" s="1033"/>
      <c r="BF122" s="1200"/>
      <c r="BG122" s="1033"/>
      <c r="BH122" s="1200"/>
      <c r="BI122" s="1033"/>
      <c r="BJ122" s="1200" t="s">
        <v>2037</v>
      </c>
      <c r="BK122" s="1033">
        <f>Möblierungsschablone!$I$66</f>
        <v>1.4400000000000002</v>
      </c>
      <c r="BM122" s="1436"/>
      <c r="BN122" s="1200"/>
      <c r="BO122" s="1033"/>
      <c r="BP122" s="1200"/>
      <c r="BQ122" s="1033"/>
      <c r="BR122" s="1200"/>
      <c r="BS122" s="1427"/>
      <c r="BT122" s="1200"/>
      <c r="BU122" s="1033"/>
      <c r="BV122" s="1200"/>
      <c r="BW122" s="1033"/>
      <c r="BX122" s="1200"/>
      <c r="BY122" s="1033"/>
      <c r="BZ122" s="1200" t="s">
        <v>2037</v>
      </c>
      <c r="CA122" s="1033">
        <f>Möblierungsschablone!$I$66</f>
        <v>1.4400000000000002</v>
      </c>
      <c r="CC122" s="1436"/>
      <c r="CD122" s="1200"/>
      <c r="CE122" s="1033"/>
      <c r="CF122" s="1200"/>
      <c r="CG122" s="1033"/>
      <c r="CH122" s="1200"/>
      <c r="CI122" s="1427"/>
      <c r="CJ122" s="1200"/>
      <c r="CK122" s="1033"/>
      <c r="CL122" s="1200"/>
      <c r="CM122" s="1033"/>
      <c r="CN122" s="1200"/>
      <c r="CO122" s="1033"/>
      <c r="CP122" s="1200" t="s">
        <v>2037</v>
      </c>
      <c r="CQ122" s="1033">
        <f>Möblierungsschablone!$I$66</f>
        <v>1.4400000000000002</v>
      </c>
      <c r="CS122" s="1436"/>
      <c r="CT122" s="1200"/>
      <c r="CU122" s="1033"/>
      <c r="CV122" s="1200"/>
      <c r="CW122" s="1033"/>
      <c r="CX122" s="1200"/>
      <c r="CY122" s="1427"/>
      <c r="CZ122" s="1200"/>
      <c r="DA122" s="1033"/>
      <c r="DB122" s="1200"/>
      <c r="DC122" s="1033"/>
      <c r="DD122" s="1200"/>
      <c r="DE122" s="1033"/>
      <c r="DF122" s="1200" t="s">
        <v>2037</v>
      </c>
      <c r="DG122" s="1033">
        <f>Möblierungsschablone!$I$66</f>
        <v>1.4400000000000002</v>
      </c>
      <c r="DI122" s="1436"/>
      <c r="DJ122" s="1200"/>
      <c r="DK122" s="1033"/>
      <c r="DL122" s="1200"/>
      <c r="DM122" s="1033"/>
      <c r="DN122" s="1200"/>
      <c r="DO122" s="1427"/>
      <c r="DP122" s="1433"/>
      <c r="DQ122" s="1427"/>
      <c r="DR122" s="1200"/>
      <c r="DS122" s="1033"/>
      <c r="DT122" s="1200"/>
      <c r="DU122" s="1033"/>
      <c r="DV122" s="1200" t="s">
        <v>2037</v>
      </c>
      <c r="DW122" s="1033">
        <f>Möblierungsschablone!$I$66</f>
        <v>1.4400000000000002</v>
      </c>
      <c r="DY122" s="701"/>
      <c r="DZ122" s="701"/>
      <c r="EA122" s="1039"/>
      <c r="EB122" s="701"/>
      <c r="EC122" s="1039"/>
      <c r="ED122" s="701"/>
      <c r="EE122" s="1039"/>
      <c r="EF122" s="701"/>
      <c r="EG122" s="1039"/>
      <c r="EH122" s="701"/>
      <c r="EI122" s="1039"/>
      <c r="EJ122" s="701"/>
      <c r="EK122" s="1039"/>
      <c r="EL122" s="701"/>
      <c r="EM122" s="1039"/>
    </row>
    <row r="123" spans="1:143" ht="15.75" customHeight="1">
      <c r="A123" s="1436"/>
      <c r="B123" s="1404"/>
      <c r="C123" s="1034">
        <f>SUM(C120:C121)</f>
        <v>4.08</v>
      </c>
      <c r="D123" s="1404"/>
      <c r="E123" s="1034">
        <f>SUM(E120:E121)</f>
        <v>4.08</v>
      </c>
      <c r="F123" s="1404"/>
      <c r="G123" s="1034">
        <f>SUM(G120:G121)</f>
        <v>5.5200000000000005</v>
      </c>
      <c r="H123" s="1404"/>
      <c r="I123" s="1034">
        <f>SUM(I120:I121)</f>
        <v>8.16</v>
      </c>
      <c r="J123" s="1404"/>
      <c r="K123" s="1034">
        <f>SUM(K120:K121)</f>
        <v>8.16</v>
      </c>
      <c r="L123" s="1404"/>
      <c r="M123" s="1034">
        <f>SUM(M120:M121)</f>
        <v>8.58</v>
      </c>
      <c r="N123" s="1404"/>
      <c r="O123" s="1034">
        <f>SUM(O120:O122)</f>
        <v>10.02</v>
      </c>
      <c r="Q123" s="1436"/>
      <c r="R123" s="1201" t="s">
        <v>2036</v>
      </c>
      <c r="S123" s="1034">
        <f>SUM(S120:S121)</f>
        <v>4.08</v>
      </c>
      <c r="T123" s="1201" t="s">
        <v>2036</v>
      </c>
      <c r="U123" s="1034">
        <f>SUM(U120:U121)</f>
        <v>4.08</v>
      </c>
      <c r="V123" s="1201" t="s">
        <v>2036</v>
      </c>
      <c r="W123" s="1034">
        <f>SUM(W120:W121)</f>
        <v>5.5200000000000005</v>
      </c>
      <c r="X123" s="1201" t="s">
        <v>2036</v>
      </c>
      <c r="Y123" s="1034">
        <f>SUM(Y120:Y121)</f>
        <v>8.16</v>
      </c>
      <c r="Z123" s="1201" t="s">
        <v>2036</v>
      </c>
      <c r="AA123" s="1034">
        <f>SUM(AA120:AA121)</f>
        <v>8.16</v>
      </c>
      <c r="AB123" s="1201" t="s">
        <v>2036</v>
      </c>
      <c r="AC123" s="1034">
        <f>SUM(AC120:AC121)</f>
        <v>8.58</v>
      </c>
      <c r="AD123" s="1201" t="s">
        <v>2036</v>
      </c>
      <c r="AE123" s="1034">
        <f>SUM(AE120:AE122)</f>
        <v>10.02</v>
      </c>
      <c r="AG123" s="1436"/>
      <c r="AH123" s="1201" t="s">
        <v>2036</v>
      </c>
      <c r="AI123" s="1034">
        <f>SUM(AI120:AI121)</f>
        <v>4.08</v>
      </c>
      <c r="AJ123" s="1201" t="s">
        <v>2036</v>
      </c>
      <c r="AK123" s="1034">
        <f>SUM(AK120:AK121)</f>
        <v>4.08</v>
      </c>
      <c r="AL123" s="1201" t="s">
        <v>2036</v>
      </c>
      <c r="AM123" s="1034">
        <f>SUM(AM120:AM121)</f>
        <v>5.5200000000000005</v>
      </c>
      <c r="AN123" s="1201" t="s">
        <v>2036</v>
      </c>
      <c r="AO123" s="1034">
        <f>SUM(AO120:AO121)</f>
        <v>8.16</v>
      </c>
      <c r="AP123" s="1201" t="s">
        <v>2036</v>
      </c>
      <c r="AQ123" s="1034">
        <f>SUM(AQ120:AQ121)</f>
        <v>8.16</v>
      </c>
      <c r="AR123" s="1201" t="s">
        <v>2036</v>
      </c>
      <c r="AS123" s="1034">
        <f>SUM(AS120:AS121)</f>
        <v>8.58</v>
      </c>
      <c r="AT123" s="1201" t="s">
        <v>2036</v>
      </c>
      <c r="AU123" s="1034">
        <f>SUM(AU120:AU122)</f>
        <v>10.02</v>
      </c>
      <c r="AW123" s="1436"/>
      <c r="AX123" s="1201"/>
      <c r="AY123" s="1427"/>
      <c r="AZ123" s="1201"/>
      <c r="BA123" s="1427"/>
      <c r="BB123" s="1201"/>
      <c r="BC123" s="1427"/>
      <c r="BD123" s="1201" t="s">
        <v>2036</v>
      </c>
      <c r="BE123" s="1034">
        <f>SUM(BE120:BE121)</f>
        <v>8.16</v>
      </c>
      <c r="BF123" s="1201" t="s">
        <v>2036</v>
      </c>
      <c r="BG123" s="1034">
        <f>SUM(BG120:BG121)</f>
        <v>8.16</v>
      </c>
      <c r="BH123" s="1201" t="s">
        <v>2036</v>
      </c>
      <c r="BI123" s="1034">
        <f>SUM(BI120:BI121)</f>
        <v>8.58</v>
      </c>
      <c r="BJ123" s="1201" t="s">
        <v>2036</v>
      </c>
      <c r="BK123" s="1034">
        <f>SUM(BK120:BK122)</f>
        <v>10.02</v>
      </c>
      <c r="BM123" s="1436"/>
      <c r="BN123" s="1201" t="s">
        <v>2036</v>
      </c>
      <c r="BO123" s="1034">
        <f>SUM(BO120:BO121)</f>
        <v>4.08</v>
      </c>
      <c r="BP123" s="1201" t="s">
        <v>2036</v>
      </c>
      <c r="BQ123" s="1034">
        <f>SUM(BQ120:BQ121)</f>
        <v>4.08</v>
      </c>
      <c r="BR123" s="1201"/>
      <c r="BS123" s="1427"/>
      <c r="BT123" s="1201" t="s">
        <v>2036</v>
      </c>
      <c r="BU123" s="1034">
        <f>SUM(BU120:BU121)</f>
        <v>8.16</v>
      </c>
      <c r="BV123" s="1201" t="s">
        <v>2036</v>
      </c>
      <c r="BW123" s="1034">
        <f>SUM(BW120:BW121)</f>
        <v>8.16</v>
      </c>
      <c r="BX123" s="1201" t="s">
        <v>2036</v>
      </c>
      <c r="BY123" s="1034">
        <f>SUM(BY120:BY121)</f>
        <v>8.58</v>
      </c>
      <c r="BZ123" s="1201" t="s">
        <v>2036</v>
      </c>
      <c r="CA123" s="1034">
        <f>SUM(CA120:CA122)</f>
        <v>10.02</v>
      </c>
      <c r="CC123" s="1436"/>
      <c r="CD123" s="1201" t="s">
        <v>2036</v>
      </c>
      <c r="CE123" s="1034">
        <f>SUM(CE120:CE121)</f>
        <v>4.08</v>
      </c>
      <c r="CF123" s="1201" t="s">
        <v>2036</v>
      </c>
      <c r="CG123" s="1034">
        <f>SUM(CG120:CG121)</f>
        <v>4.08</v>
      </c>
      <c r="CH123" s="1201"/>
      <c r="CI123" s="1427"/>
      <c r="CJ123" s="1201" t="s">
        <v>2036</v>
      </c>
      <c r="CK123" s="1034">
        <f>SUM(CK120:CK121)</f>
        <v>8.16</v>
      </c>
      <c r="CL123" s="1201" t="s">
        <v>2036</v>
      </c>
      <c r="CM123" s="1034">
        <f>SUM(CM120:CM121)</f>
        <v>8.16</v>
      </c>
      <c r="CN123" s="1201" t="s">
        <v>2036</v>
      </c>
      <c r="CO123" s="1034">
        <f>SUM(CO120:CO121)</f>
        <v>8.58</v>
      </c>
      <c r="CP123" s="1201" t="s">
        <v>2036</v>
      </c>
      <c r="CQ123" s="1034">
        <f>SUM(CQ120:CQ122)</f>
        <v>10.02</v>
      </c>
      <c r="CS123" s="1436"/>
      <c r="CT123" s="1201" t="s">
        <v>2036</v>
      </c>
      <c r="CU123" s="1034">
        <f>SUM(CU120:CU121)</f>
        <v>4.08</v>
      </c>
      <c r="CV123" s="1201" t="s">
        <v>2036</v>
      </c>
      <c r="CW123" s="1034">
        <f>SUM(CW120:CW121)</f>
        <v>4.08</v>
      </c>
      <c r="CX123" s="1201"/>
      <c r="CY123" s="1427"/>
      <c r="CZ123" s="1201" t="s">
        <v>2036</v>
      </c>
      <c r="DA123" s="1034">
        <f>SUM(DA120:DA121)</f>
        <v>8.16</v>
      </c>
      <c r="DB123" s="1201" t="s">
        <v>2036</v>
      </c>
      <c r="DC123" s="1034">
        <f>SUM(DC120:DC121)</f>
        <v>8.16</v>
      </c>
      <c r="DD123" s="1201" t="s">
        <v>2036</v>
      </c>
      <c r="DE123" s="1034">
        <f>SUM(DE120:DE121)</f>
        <v>8.58</v>
      </c>
      <c r="DF123" s="1201" t="s">
        <v>2036</v>
      </c>
      <c r="DG123" s="1034">
        <f>SUM(DG120:DG122)</f>
        <v>10.02</v>
      </c>
      <c r="DI123" s="1436"/>
      <c r="DJ123" s="1201" t="s">
        <v>2036</v>
      </c>
      <c r="DK123" s="1034">
        <f>SUM(DK120:DK121)</f>
        <v>4.08</v>
      </c>
      <c r="DL123" s="1201" t="s">
        <v>2036</v>
      </c>
      <c r="DM123" s="1034">
        <f>SUM(DM120:DM121)</f>
        <v>4.08</v>
      </c>
      <c r="DN123" s="1201"/>
      <c r="DO123" s="1427"/>
      <c r="DP123" s="1433"/>
      <c r="DQ123" s="1427"/>
      <c r="DR123" s="1201" t="s">
        <v>2036</v>
      </c>
      <c r="DS123" s="1034">
        <f>SUM(DS120:DS121)</f>
        <v>8.16</v>
      </c>
      <c r="DT123" s="1201" t="s">
        <v>2036</v>
      </c>
      <c r="DU123" s="1034">
        <f>SUM(DU120:DU121)</f>
        <v>8.58</v>
      </c>
      <c r="DV123" s="1201" t="s">
        <v>2036</v>
      </c>
      <c r="DW123" s="1034">
        <f>SUM(DW120:DW122)</f>
        <v>10.02</v>
      </c>
      <c r="DY123" s="701"/>
      <c r="DZ123" s="701"/>
      <c r="EA123" s="1193"/>
      <c r="EB123" s="701"/>
      <c r="EC123" s="1193"/>
      <c r="ED123" s="701"/>
      <c r="EE123" s="1193"/>
      <c r="EF123" s="701"/>
      <c r="EG123" s="1193"/>
      <c r="EH123" s="701"/>
      <c r="EI123" s="1193"/>
      <c r="EJ123" s="701"/>
      <c r="EK123" s="1193"/>
      <c r="EL123" s="701"/>
      <c r="EM123" s="1193"/>
    </row>
    <row r="124" spans="1:143" ht="15.75" customHeight="1">
      <c r="A124" s="1436"/>
      <c r="B124" s="1404"/>
      <c r="C124" s="1032">
        <v>1</v>
      </c>
      <c r="D124" s="1404"/>
      <c r="E124" s="1032">
        <v>1</v>
      </c>
      <c r="F124" s="1404"/>
      <c r="G124" s="1032">
        <v>1</v>
      </c>
      <c r="H124" s="1404"/>
      <c r="I124" s="1032">
        <v>2</v>
      </c>
      <c r="J124" s="1404"/>
      <c r="K124" s="1032">
        <v>2</v>
      </c>
      <c r="L124" s="1404"/>
      <c r="M124" s="1032">
        <v>2</v>
      </c>
      <c r="N124" s="1404"/>
      <c r="O124" s="1032">
        <v>2</v>
      </c>
      <c r="Q124" s="1436"/>
      <c r="R124" s="1200" t="s">
        <v>1247</v>
      </c>
      <c r="S124" s="1032">
        <v>1</v>
      </c>
      <c r="T124" s="1200" t="s">
        <v>1247</v>
      </c>
      <c r="U124" s="1032">
        <v>1</v>
      </c>
      <c r="V124" s="1200" t="s">
        <v>1247</v>
      </c>
      <c r="W124" s="1032">
        <v>1</v>
      </c>
      <c r="X124" s="1200" t="s">
        <v>1247</v>
      </c>
      <c r="Y124" s="1032">
        <v>2</v>
      </c>
      <c r="Z124" s="1200" t="s">
        <v>1247</v>
      </c>
      <c r="AA124" s="1032">
        <v>2</v>
      </c>
      <c r="AB124" s="1200" t="s">
        <v>1247</v>
      </c>
      <c r="AC124" s="1032">
        <v>2</v>
      </c>
      <c r="AD124" s="1200" t="s">
        <v>1247</v>
      </c>
      <c r="AE124" s="1032">
        <v>2</v>
      </c>
      <c r="AG124" s="1436"/>
      <c r="AH124" s="1200" t="s">
        <v>1247</v>
      </c>
      <c r="AI124" s="1032">
        <v>1</v>
      </c>
      <c r="AJ124" s="1200" t="s">
        <v>1247</v>
      </c>
      <c r="AK124" s="1032">
        <v>1</v>
      </c>
      <c r="AL124" s="1200" t="s">
        <v>1247</v>
      </c>
      <c r="AM124" s="1032">
        <v>1</v>
      </c>
      <c r="AN124" s="1200" t="s">
        <v>1247</v>
      </c>
      <c r="AO124" s="1032">
        <v>1</v>
      </c>
      <c r="AP124" s="1200" t="s">
        <v>1247</v>
      </c>
      <c r="AQ124" s="1032">
        <v>1</v>
      </c>
      <c r="AR124" s="1200" t="s">
        <v>1247</v>
      </c>
      <c r="AS124" s="1032">
        <v>1</v>
      </c>
      <c r="AT124" s="1200" t="s">
        <v>1247</v>
      </c>
      <c r="AU124" s="1032">
        <v>2</v>
      </c>
      <c r="AW124" s="1436"/>
      <c r="AX124" s="1200"/>
      <c r="AY124" s="1427"/>
      <c r="AZ124" s="1200"/>
      <c r="BA124" s="1427"/>
      <c r="BB124" s="1200"/>
      <c r="BC124" s="1427"/>
      <c r="BD124" s="1200" t="s">
        <v>1247</v>
      </c>
      <c r="BE124" s="1032">
        <v>1</v>
      </c>
      <c r="BF124" s="1200" t="s">
        <v>1247</v>
      </c>
      <c r="BG124" s="1032">
        <v>1</v>
      </c>
      <c r="BH124" s="1200" t="s">
        <v>1247</v>
      </c>
      <c r="BI124" s="1032">
        <v>1</v>
      </c>
      <c r="BJ124" s="1200" t="s">
        <v>1247</v>
      </c>
      <c r="BK124" s="1032">
        <v>2</v>
      </c>
      <c r="BM124" s="1436"/>
      <c r="BN124" s="1200" t="s">
        <v>1247</v>
      </c>
      <c r="BO124" s="1032">
        <v>1</v>
      </c>
      <c r="BP124" s="1200" t="s">
        <v>1247</v>
      </c>
      <c r="BQ124" s="1032">
        <v>1</v>
      </c>
      <c r="BR124" s="1200"/>
      <c r="BS124" s="1427"/>
      <c r="BT124" s="1200" t="s">
        <v>1247</v>
      </c>
      <c r="BU124" s="1032">
        <v>1</v>
      </c>
      <c r="BV124" s="1200" t="s">
        <v>1247</v>
      </c>
      <c r="BW124" s="1032">
        <v>1</v>
      </c>
      <c r="BX124" s="1200" t="s">
        <v>1247</v>
      </c>
      <c r="BY124" s="1032">
        <v>1</v>
      </c>
      <c r="BZ124" s="1200" t="s">
        <v>1247</v>
      </c>
      <c r="CA124" s="1032">
        <v>1</v>
      </c>
      <c r="CC124" s="1436"/>
      <c r="CD124" s="1200" t="s">
        <v>1247</v>
      </c>
      <c r="CE124" s="1032">
        <v>1</v>
      </c>
      <c r="CF124" s="1200" t="s">
        <v>1247</v>
      </c>
      <c r="CG124" s="1032">
        <v>1</v>
      </c>
      <c r="CH124" s="1200"/>
      <c r="CI124" s="1427"/>
      <c r="CJ124" s="1200" t="s">
        <v>1247</v>
      </c>
      <c r="CK124" s="1032">
        <v>1</v>
      </c>
      <c r="CL124" s="1200" t="s">
        <v>1247</v>
      </c>
      <c r="CM124" s="1032">
        <v>1</v>
      </c>
      <c r="CN124" s="1200" t="s">
        <v>1247</v>
      </c>
      <c r="CO124" s="1032">
        <v>1</v>
      </c>
      <c r="CP124" s="1200" t="s">
        <v>1247</v>
      </c>
      <c r="CQ124" s="1032">
        <v>1</v>
      </c>
      <c r="CS124" s="1436"/>
      <c r="CT124" s="1200" t="s">
        <v>1247</v>
      </c>
      <c r="CU124" s="1032">
        <v>1</v>
      </c>
      <c r="CV124" s="1200" t="s">
        <v>1247</v>
      </c>
      <c r="CW124" s="1032">
        <v>1</v>
      </c>
      <c r="CX124" s="1200"/>
      <c r="CY124" s="1427"/>
      <c r="CZ124" s="1200" t="s">
        <v>1247</v>
      </c>
      <c r="DA124" s="1032">
        <v>1</v>
      </c>
      <c r="DB124" s="1200" t="s">
        <v>1247</v>
      </c>
      <c r="DC124" s="1032">
        <v>1</v>
      </c>
      <c r="DD124" s="1200" t="s">
        <v>1247</v>
      </c>
      <c r="DE124" s="1032">
        <v>1</v>
      </c>
      <c r="DF124" s="1200" t="s">
        <v>1247</v>
      </c>
      <c r="DG124" s="1032">
        <v>1</v>
      </c>
      <c r="DI124" s="1436"/>
      <c r="DJ124" s="1200" t="s">
        <v>1247</v>
      </c>
      <c r="DK124" s="1032">
        <v>1</v>
      </c>
      <c r="DL124" s="1200" t="s">
        <v>1247</v>
      </c>
      <c r="DM124" s="1032">
        <v>1</v>
      </c>
      <c r="DN124" s="1200"/>
      <c r="DO124" s="1427"/>
      <c r="DP124" s="1433"/>
      <c r="DQ124" s="1427"/>
      <c r="DR124" s="1200" t="s">
        <v>1247</v>
      </c>
      <c r="DS124" s="1032">
        <v>1</v>
      </c>
      <c r="DT124" s="1200" t="s">
        <v>1247</v>
      </c>
      <c r="DU124" s="1032">
        <v>1</v>
      </c>
      <c r="DV124" s="1200" t="s">
        <v>1247</v>
      </c>
      <c r="DW124" s="1032">
        <v>1</v>
      </c>
      <c r="DY124" s="701"/>
      <c r="DZ124" s="701"/>
      <c r="EA124" s="763"/>
      <c r="EB124" s="701"/>
      <c r="EC124" s="763"/>
      <c r="ED124" s="701"/>
      <c r="EE124" s="763"/>
      <c r="EF124" s="701"/>
      <c r="EG124" s="763"/>
      <c r="EH124" s="701"/>
      <c r="EI124" s="763"/>
      <c r="EJ124" s="701"/>
      <c r="EK124" s="763"/>
      <c r="EL124" s="701"/>
      <c r="EM124" s="763"/>
    </row>
    <row r="125" spans="1:143" ht="88.5" customHeight="1">
      <c r="A125" s="1436"/>
      <c r="B125" s="1404"/>
      <c r="C125" s="1030">
        <f>C123/(C124*C92)</f>
        <v>0.52040816326530615</v>
      </c>
      <c r="D125" s="1404"/>
      <c r="E125" s="1030">
        <f>E123/(E124*C92)</f>
        <v>0.52040816326530615</v>
      </c>
      <c r="F125" s="1404"/>
      <c r="G125" s="1030">
        <f>G123/(G124*C92)</f>
        <v>0.70408163265306134</v>
      </c>
      <c r="H125" s="1404"/>
      <c r="I125" s="1030">
        <f>I123/(I124*C92)</f>
        <v>0.52040816326530615</v>
      </c>
      <c r="J125" s="1404"/>
      <c r="K125" s="1030">
        <f>K123/(K124*C92)</f>
        <v>0.52040816326530615</v>
      </c>
      <c r="L125" s="1404"/>
      <c r="M125" s="1030">
        <f>M123/(M124*C92)</f>
        <v>0.54719387755102045</v>
      </c>
      <c r="N125" s="1404"/>
      <c r="O125" s="1030">
        <f>O123/(O124*C92)</f>
        <v>0.63903061224489799</v>
      </c>
      <c r="Q125" s="1436"/>
      <c r="R125" s="1202"/>
      <c r="S125" s="1030">
        <f>S123/(S124*S92)</f>
        <v>0.44155844155844165</v>
      </c>
      <c r="T125" s="1202"/>
      <c r="U125" s="1030">
        <f>U123/(U124*S92)</f>
        <v>0.44155844155844165</v>
      </c>
      <c r="V125" s="1202"/>
      <c r="W125" s="1030">
        <f>W123/(W124*S92)</f>
        <v>0.5974025974025976</v>
      </c>
      <c r="X125" s="1202"/>
      <c r="Y125" s="1030">
        <f>Y123/(Y124*S92)</f>
        <v>0.44155844155844165</v>
      </c>
      <c r="Z125" s="1202"/>
      <c r="AA125" s="1030">
        <f>AA123/(AA124*S92)</f>
        <v>0.44155844155844165</v>
      </c>
      <c r="AB125" s="1202"/>
      <c r="AC125" s="1030">
        <f>AC123/(AC124*S92)</f>
        <v>0.46428571428571436</v>
      </c>
      <c r="AD125" s="1202"/>
      <c r="AE125" s="1030">
        <f>AE123/(AE124*S92)</f>
        <v>0.54220779220779225</v>
      </c>
      <c r="AG125" s="1436"/>
      <c r="AH125" s="1202"/>
      <c r="AI125" s="1030">
        <f>AI123/(AI124*AI92)</f>
        <v>0.38345864661654139</v>
      </c>
      <c r="AJ125" s="1202"/>
      <c r="AK125" s="1030">
        <f>AK123/(AK124*AI92)</f>
        <v>0.38345864661654139</v>
      </c>
      <c r="AL125" s="1202"/>
      <c r="AM125" s="1030">
        <f>AM123/(AM124*AI92)</f>
        <v>0.51879699248120315</v>
      </c>
      <c r="AN125" s="1202"/>
      <c r="AO125" s="1030">
        <f>AO123/(AO124*AI92)</f>
        <v>0.76691729323308278</v>
      </c>
      <c r="AP125" s="1202"/>
      <c r="AQ125" s="1030">
        <f>AQ123/(AQ124*AI92)</f>
        <v>0.76691729323308278</v>
      </c>
      <c r="AR125" s="1202"/>
      <c r="AS125" s="1030">
        <f>AS123/(AS124*AI92)</f>
        <v>0.8063909774436091</v>
      </c>
      <c r="AT125" s="1202"/>
      <c r="AU125" s="1030">
        <f>AU123/(AU124*AI92)</f>
        <v>0.47086466165413537</v>
      </c>
      <c r="AW125" s="1436"/>
      <c r="AX125" s="1202"/>
      <c r="AY125" s="1428"/>
      <c r="AZ125" s="1202"/>
      <c r="BA125" s="1428"/>
      <c r="BB125" s="1202"/>
      <c r="BC125" s="1428"/>
      <c r="BD125" s="1202"/>
      <c r="BE125" s="1030">
        <f>BE123/(BE124*AY92)</f>
        <v>0.67774086378737552</v>
      </c>
      <c r="BF125" s="1202"/>
      <c r="BG125" s="1030">
        <f>BG123/(BG124*AY92)</f>
        <v>0.67774086378737552</v>
      </c>
      <c r="BH125" s="1202"/>
      <c r="BI125" s="1030">
        <f>BI123/(BI124*AY92)</f>
        <v>0.71262458471760803</v>
      </c>
      <c r="BJ125" s="1202"/>
      <c r="BK125" s="1030">
        <f>BK123/(BK124*AY92)</f>
        <v>0.41611295681063126</v>
      </c>
      <c r="BM125" s="1436"/>
      <c r="BN125" s="1202"/>
      <c r="BO125" s="1030">
        <f>BO123/(BO124*BO92)</f>
        <v>0.3035714285714286</v>
      </c>
      <c r="BP125" s="1202"/>
      <c r="BQ125" s="1030">
        <f>BQ123/(BQ124*BO92)</f>
        <v>0.3035714285714286</v>
      </c>
      <c r="BR125" s="1202"/>
      <c r="BS125" s="1428"/>
      <c r="BT125" s="1202"/>
      <c r="BU125" s="1030">
        <f>BU123/(BU124*BO92)</f>
        <v>0.60714285714285721</v>
      </c>
      <c r="BV125" s="1202"/>
      <c r="BW125" s="1030">
        <f>BW123/(BW124*BO92)</f>
        <v>0.60714285714285721</v>
      </c>
      <c r="BX125" s="1202"/>
      <c r="BY125" s="1030">
        <f>BY123/(BY124*BO92)</f>
        <v>0.63839285714285721</v>
      </c>
      <c r="BZ125" s="1202"/>
      <c r="CA125" s="1030">
        <f>CA123/(CA124*BO92)</f>
        <v>0.7455357142857143</v>
      </c>
      <c r="CC125" s="1436"/>
      <c r="CD125" s="1202"/>
      <c r="CE125" s="1059">
        <f>CE123/(CE124*CE92)</f>
        <v>0.28571428571428575</v>
      </c>
      <c r="CF125" s="1202"/>
      <c r="CG125" s="1059">
        <f>CG123/(CG124*CE92)</f>
        <v>0.28571428571428575</v>
      </c>
      <c r="CH125" s="1202"/>
      <c r="CI125" s="1428"/>
      <c r="CJ125" s="1202"/>
      <c r="CK125" s="1059">
        <f>CK123/(CK124*CE92)</f>
        <v>0.57142857142857151</v>
      </c>
      <c r="CL125" s="1202"/>
      <c r="CM125" s="1059">
        <f>CM123/(CM124*CE92)</f>
        <v>0.57142857142857151</v>
      </c>
      <c r="CN125" s="1202"/>
      <c r="CO125" s="1059">
        <f>CO123/(CO124*CE92)</f>
        <v>0.60084033613445387</v>
      </c>
      <c r="CP125" s="1202"/>
      <c r="CQ125" s="1059">
        <f>CQ123/(CQ124*CE92)</f>
        <v>0.70168067226890762</v>
      </c>
      <c r="CS125" s="1436"/>
      <c r="CT125" s="1202"/>
      <c r="CU125" s="1059">
        <f>CU123/(CU124*CU92)</f>
        <v>0.26493506493506497</v>
      </c>
      <c r="CV125" s="1202"/>
      <c r="CW125" s="1059">
        <f>CW123/(CW124*CU92)</f>
        <v>0.26493506493506497</v>
      </c>
      <c r="CX125" s="1202"/>
      <c r="CY125" s="1428"/>
      <c r="CZ125" s="1202"/>
      <c r="DA125" s="1059">
        <f>DA123/(DA124*CU92)</f>
        <v>0.52987012987012994</v>
      </c>
      <c r="DB125" s="1202"/>
      <c r="DC125" s="1059">
        <f>DC123/(DC124*CU92)</f>
        <v>0.52987012987012994</v>
      </c>
      <c r="DD125" s="1202"/>
      <c r="DE125" s="1059">
        <f>DE123/(DE124*CU92)</f>
        <v>0.55714285714285716</v>
      </c>
      <c r="DF125" s="1202"/>
      <c r="DG125" s="1059">
        <f>DG123/(DG124*CU92)</f>
        <v>0.6506493506493507</v>
      </c>
      <c r="DI125" s="1436"/>
      <c r="DJ125" s="1202"/>
      <c r="DK125" s="1059">
        <f>DK123/(DK124*DK92)</f>
        <v>0.25123152709359609</v>
      </c>
      <c r="DL125" s="1202"/>
      <c r="DM125" s="1059">
        <f>DM123/(DM124*DK92)</f>
        <v>0.25123152709359609</v>
      </c>
      <c r="DN125" s="1202"/>
      <c r="DO125" s="1428"/>
      <c r="DP125" s="1434"/>
      <c r="DQ125" s="1428"/>
      <c r="DR125" s="1202"/>
      <c r="DS125" s="1059">
        <f>DS123/(DS124*DK92)</f>
        <v>0.50246305418719217</v>
      </c>
      <c r="DT125" s="1202"/>
      <c r="DU125" s="1059">
        <f>DU123/(DU124*DK92)</f>
        <v>0.52832512315270941</v>
      </c>
      <c r="DV125" s="1202"/>
      <c r="DW125" s="1059">
        <f>DW123/(DW124*DK92)</f>
        <v>0.61699507389162567</v>
      </c>
      <c r="DY125" s="701"/>
      <c r="DZ125" s="701"/>
      <c r="EA125" s="1146"/>
      <c r="EB125" s="701"/>
      <c r="EC125" s="1146"/>
      <c r="ED125" s="701"/>
      <c r="EE125" s="1146"/>
      <c r="EF125" s="701"/>
      <c r="EG125" s="1146"/>
      <c r="EH125" s="701"/>
      <c r="EI125" s="1146"/>
      <c r="EJ125" s="701"/>
      <c r="EK125" s="1146"/>
      <c r="EL125" s="701"/>
      <c r="EM125" s="1146"/>
    </row>
    <row r="126" spans="1:143" ht="15.75" customHeight="1">
      <c r="A126" s="1429" t="s">
        <v>1472</v>
      </c>
      <c r="B126" s="1414"/>
      <c r="C126" s="1033"/>
      <c r="D126" s="1414"/>
      <c r="E126" s="1033"/>
      <c r="F126" s="1203"/>
      <c r="G126" s="1032"/>
      <c r="H126" s="1203" t="s">
        <v>2035</v>
      </c>
      <c r="I126" s="1032">
        <v>1</v>
      </c>
      <c r="J126" s="1203" t="s">
        <v>2035</v>
      </c>
      <c r="K126" s="1032">
        <v>1</v>
      </c>
      <c r="L126" s="1203" t="s">
        <v>2035</v>
      </c>
      <c r="M126" s="1032">
        <v>1</v>
      </c>
      <c r="N126" s="1203" t="s">
        <v>2035</v>
      </c>
      <c r="O126" s="1032">
        <v>1</v>
      </c>
      <c r="Q126" s="1429" t="s">
        <v>1472</v>
      </c>
      <c r="R126" s="1414"/>
      <c r="S126" s="1033"/>
      <c r="T126" s="1414"/>
      <c r="U126" s="1033"/>
      <c r="V126" s="1203"/>
      <c r="W126" s="1032"/>
      <c r="X126" s="1203" t="s">
        <v>2035</v>
      </c>
      <c r="Y126" s="1032">
        <v>1</v>
      </c>
      <c r="Z126" s="1203" t="s">
        <v>2035</v>
      </c>
      <c r="AA126" s="1032">
        <v>1</v>
      </c>
      <c r="AB126" s="1203" t="s">
        <v>2035</v>
      </c>
      <c r="AC126" s="1032">
        <v>1</v>
      </c>
      <c r="AD126" s="1203" t="s">
        <v>2035</v>
      </c>
      <c r="AE126" s="1032">
        <v>1</v>
      </c>
      <c r="AG126" s="1429" t="s">
        <v>1472</v>
      </c>
      <c r="AH126" s="1414"/>
      <c r="AI126" s="1033"/>
      <c r="AJ126" s="1414"/>
      <c r="AK126" s="1033"/>
      <c r="AL126" s="1203"/>
      <c r="AM126" s="1032"/>
      <c r="AN126" s="1203" t="s">
        <v>2035</v>
      </c>
      <c r="AO126" s="1032">
        <v>1</v>
      </c>
      <c r="AP126" s="1203" t="s">
        <v>2035</v>
      </c>
      <c r="AQ126" s="1032">
        <v>1</v>
      </c>
      <c r="AR126" s="1203" t="s">
        <v>2035</v>
      </c>
      <c r="AS126" s="1032">
        <v>1</v>
      </c>
      <c r="AT126" s="1203" t="s">
        <v>2035</v>
      </c>
      <c r="AU126" s="1032">
        <v>1</v>
      </c>
      <c r="AW126" s="1429" t="s">
        <v>1472</v>
      </c>
      <c r="AX126" s="1414"/>
      <c r="AY126" s="1033"/>
      <c r="AZ126" s="1414"/>
      <c r="BA126" s="1033"/>
      <c r="BB126" s="1203"/>
      <c r="BC126" s="1032"/>
      <c r="BD126" s="1203"/>
      <c r="BE126" s="1032"/>
      <c r="BF126" s="1203"/>
      <c r="BG126" s="1032"/>
      <c r="BH126" s="1203"/>
      <c r="BI126" s="1032"/>
      <c r="BJ126" s="1203" t="s">
        <v>2035</v>
      </c>
      <c r="BK126" s="1032">
        <v>1</v>
      </c>
      <c r="BM126" s="1429" t="s">
        <v>1472</v>
      </c>
      <c r="BN126" s="1414"/>
      <c r="BO126" s="1033"/>
      <c r="BP126" s="1414"/>
      <c r="BQ126" s="1033"/>
      <c r="BR126" s="1203"/>
      <c r="BS126" s="1032"/>
      <c r="BT126" s="1203"/>
      <c r="BU126" s="1032"/>
      <c r="BV126" s="1203"/>
      <c r="BW126" s="1032"/>
      <c r="BX126" s="1203"/>
      <c r="BY126" s="1032"/>
      <c r="BZ126" s="1203"/>
      <c r="CA126" s="1032"/>
      <c r="CC126" s="1429" t="s">
        <v>1472</v>
      </c>
      <c r="CD126" s="1414"/>
      <c r="CE126" s="1033"/>
      <c r="CF126" s="1414"/>
      <c r="CG126" s="1033"/>
      <c r="CH126" s="1203"/>
      <c r="CI126" s="1032"/>
      <c r="CJ126" s="1203"/>
      <c r="CK126" s="1032"/>
      <c r="CL126" s="1203"/>
      <c r="CM126" s="1032"/>
      <c r="CN126" s="1203"/>
      <c r="CO126" s="1032"/>
      <c r="CP126" s="1203"/>
      <c r="CQ126" s="1032"/>
      <c r="CS126" s="1429" t="s">
        <v>1472</v>
      </c>
      <c r="CT126" s="1414"/>
      <c r="CU126" s="1033"/>
      <c r="CV126" s="1414"/>
      <c r="CW126" s="1033"/>
      <c r="CX126" s="1203"/>
      <c r="CY126" s="1032"/>
      <c r="CZ126" s="1203"/>
      <c r="DA126" s="1032"/>
      <c r="DB126" s="1203"/>
      <c r="DC126" s="1032"/>
      <c r="DD126" s="1203"/>
      <c r="DE126" s="1032"/>
      <c r="DF126" s="1203"/>
      <c r="DG126" s="1032"/>
      <c r="DI126" s="1429" t="s">
        <v>1472</v>
      </c>
      <c r="DJ126" s="1414"/>
      <c r="DK126" s="1033"/>
      <c r="DL126" s="1414"/>
      <c r="DM126" s="1033"/>
      <c r="DN126" s="1203"/>
      <c r="DO126" s="1032"/>
      <c r="DP126" s="1203"/>
      <c r="DQ126" s="1032"/>
      <c r="DR126" s="1203"/>
      <c r="DS126" s="1032"/>
      <c r="DT126" s="1203"/>
      <c r="DU126" s="1032"/>
      <c r="DV126" s="1203"/>
      <c r="DW126" s="1032"/>
      <c r="DY126" s="1154"/>
      <c r="DZ126" s="701"/>
      <c r="EA126" s="1039"/>
      <c r="EB126" s="701"/>
      <c r="EC126" s="1039"/>
      <c r="ED126" s="701"/>
      <c r="EE126" s="763"/>
      <c r="EF126" s="701"/>
      <c r="EG126" s="763"/>
      <c r="EH126" s="701"/>
      <c r="EI126" s="763"/>
      <c r="EJ126" s="701"/>
      <c r="EK126" s="763"/>
      <c r="EL126" s="701"/>
      <c r="EM126" s="763"/>
    </row>
    <row r="127" spans="1:143" ht="55.5" customHeight="1">
      <c r="A127" s="1430"/>
      <c r="B127" s="1416"/>
      <c r="C127" s="1031" t="s">
        <v>1181</v>
      </c>
      <c r="D127" s="1416"/>
      <c r="E127" s="1031" t="s">
        <v>1181</v>
      </c>
      <c r="F127" s="1204"/>
      <c r="G127" s="1030"/>
      <c r="H127" s="1204"/>
      <c r="I127" s="1030">
        <v>1</v>
      </c>
      <c r="J127" s="1204"/>
      <c r="K127" s="1030">
        <v>1</v>
      </c>
      <c r="L127" s="1204"/>
      <c r="M127" s="1030">
        <v>1</v>
      </c>
      <c r="N127" s="1204"/>
      <c r="O127" s="1030">
        <v>1</v>
      </c>
      <c r="Q127" s="1430"/>
      <c r="R127" s="1416"/>
      <c r="S127" s="1031"/>
      <c r="T127" s="1416"/>
      <c r="U127" s="1031"/>
      <c r="V127" s="1204"/>
      <c r="W127" s="1030"/>
      <c r="X127" s="1204"/>
      <c r="Y127" s="1030">
        <v>1</v>
      </c>
      <c r="Z127" s="1204"/>
      <c r="AA127" s="1030">
        <v>1</v>
      </c>
      <c r="AB127" s="1204"/>
      <c r="AC127" s="1030">
        <v>1</v>
      </c>
      <c r="AD127" s="1204"/>
      <c r="AE127" s="1030">
        <v>1</v>
      </c>
      <c r="AG127" s="1430"/>
      <c r="AH127" s="1416"/>
      <c r="AI127" s="1031"/>
      <c r="AJ127" s="1416"/>
      <c r="AK127" s="1031"/>
      <c r="AL127" s="1204"/>
      <c r="AM127" s="1030"/>
      <c r="AN127" s="1204"/>
      <c r="AO127" s="1030">
        <v>1</v>
      </c>
      <c r="AP127" s="1204"/>
      <c r="AQ127" s="1030">
        <v>1</v>
      </c>
      <c r="AR127" s="1204"/>
      <c r="AS127" s="1030">
        <v>1</v>
      </c>
      <c r="AT127" s="1204"/>
      <c r="AU127" s="1030">
        <v>1</v>
      </c>
      <c r="AW127" s="1430"/>
      <c r="AX127" s="1416"/>
      <c r="AY127" s="1031"/>
      <c r="AZ127" s="1416"/>
      <c r="BA127" s="1031"/>
      <c r="BB127" s="1204"/>
      <c r="BC127" s="1030"/>
      <c r="BD127" s="1204"/>
      <c r="BE127" s="1030"/>
      <c r="BF127" s="1204"/>
      <c r="BG127" s="1030"/>
      <c r="BH127" s="1204"/>
      <c r="BI127" s="1030"/>
      <c r="BJ127" s="1204"/>
      <c r="BK127" s="1030">
        <v>1</v>
      </c>
      <c r="BM127" s="1430"/>
      <c r="BN127" s="1416"/>
      <c r="BO127" s="1031"/>
      <c r="BP127" s="1416"/>
      <c r="BQ127" s="1031"/>
      <c r="BR127" s="1204"/>
      <c r="BS127" s="1030"/>
      <c r="BT127" s="1204"/>
      <c r="BU127" s="1030"/>
      <c r="BV127" s="1204"/>
      <c r="BW127" s="1030"/>
      <c r="BX127" s="1204"/>
      <c r="BY127" s="1030"/>
      <c r="BZ127" s="1204"/>
      <c r="CA127" s="1030"/>
      <c r="CC127" s="1430"/>
      <c r="CD127" s="1416"/>
      <c r="CE127" s="1031"/>
      <c r="CF127" s="1416"/>
      <c r="CG127" s="1031"/>
      <c r="CH127" s="1204"/>
      <c r="CI127" s="1059"/>
      <c r="CJ127" s="1204"/>
      <c r="CK127" s="1059"/>
      <c r="CL127" s="1204"/>
      <c r="CM127" s="1059"/>
      <c r="CN127" s="1204"/>
      <c r="CO127" s="1059"/>
      <c r="CP127" s="1204"/>
      <c r="CQ127" s="1059"/>
      <c r="CS127" s="1430"/>
      <c r="CT127" s="1416"/>
      <c r="CU127" s="1031"/>
      <c r="CV127" s="1416"/>
      <c r="CW127" s="1031"/>
      <c r="CX127" s="1204"/>
      <c r="CY127" s="1059"/>
      <c r="CZ127" s="1204"/>
      <c r="DA127" s="1059"/>
      <c r="DB127" s="1204"/>
      <c r="DC127" s="1059"/>
      <c r="DD127" s="1204"/>
      <c r="DE127" s="1059"/>
      <c r="DF127" s="1204"/>
      <c r="DG127" s="1059"/>
      <c r="DI127" s="1430"/>
      <c r="DJ127" s="1416"/>
      <c r="DK127" s="1031"/>
      <c r="DL127" s="1416"/>
      <c r="DM127" s="1031"/>
      <c r="DN127" s="1204"/>
      <c r="DO127" s="1059"/>
      <c r="DP127" s="1204"/>
      <c r="DQ127" s="1059"/>
      <c r="DR127" s="1204"/>
      <c r="DS127" s="1059"/>
      <c r="DT127" s="1204"/>
      <c r="DU127" s="1059"/>
      <c r="DV127" s="1204"/>
      <c r="DW127" s="1059"/>
      <c r="DY127" s="1154"/>
      <c r="DZ127" s="701"/>
      <c r="EA127" s="1195"/>
      <c r="EB127" s="701"/>
      <c r="EC127" s="1195"/>
      <c r="ED127" s="701"/>
      <c r="EE127" s="1146"/>
      <c r="EF127" s="701"/>
      <c r="EG127" s="1146"/>
      <c r="EH127" s="701"/>
      <c r="EI127" s="1146"/>
      <c r="EJ127" s="701"/>
      <c r="EK127" s="1146"/>
      <c r="EL127" s="701"/>
      <c r="EM127" s="1146"/>
    </row>
    <row r="128" spans="1:143" ht="15.75" customHeight="1">
      <c r="A128" s="1028" t="s">
        <v>1370</v>
      </c>
      <c r="B128" s="1028"/>
      <c r="C128" s="1029">
        <f>C126+C124+C118+C109+C98</f>
        <v>5</v>
      </c>
      <c r="D128" s="1029"/>
      <c r="E128" s="1029">
        <f>E126+E124+E118+E109+E98</f>
        <v>5</v>
      </c>
      <c r="F128" s="1029"/>
      <c r="G128" s="1029">
        <f>G126+G124+G118+G113+G108+G103+G98</f>
        <v>9</v>
      </c>
      <c r="H128" s="1029"/>
      <c r="I128" s="1029">
        <f>I126+I124+I118+I113+I108+I103+I98</f>
        <v>12</v>
      </c>
      <c r="J128" s="1029"/>
      <c r="K128" s="1029">
        <f>K126+K124+K118+K113+K108+K103+K98</f>
        <v>16</v>
      </c>
      <c r="L128" s="1029"/>
      <c r="M128" s="1029">
        <f>M126+M124+M118+M113+M108+M103+M98</f>
        <v>16</v>
      </c>
      <c r="N128" s="1029"/>
      <c r="O128" s="1029">
        <f>O126+O124+O118+O113+O108+O103+O98</f>
        <v>17</v>
      </c>
      <c r="Q128" s="1028" t="s">
        <v>1370</v>
      </c>
      <c r="R128" s="1028"/>
      <c r="S128" s="1029">
        <f>S126+S124+S118+S109+S98</f>
        <v>4</v>
      </c>
      <c r="T128" s="1029"/>
      <c r="U128" s="1029">
        <f>U126+U124+U118+U109+U98</f>
        <v>5</v>
      </c>
      <c r="V128" s="1029"/>
      <c r="W128" s="1029">
        <f>W126+W124+W118+W109+W103+W98</f>
        <v>7</v>
      </c>
      <c r="X128" s="1029"/>
      <c r="Y128" s="1029">
        <f>Y126+Y124+Y118+Y113+Y108+Y103+Y98</f>
        <v>11</v>
      </c>
      <c r="Z128" s="1029"/>
      <c r="AA128" s="1029">
        <f>AA126+AA124+AA118+AA113+AA108+AA103+AA98</f>
        <v>12</v>
      </c>
      <c r="AB128" s="1029"/>
      <c r="AC128" s="1029">
        <f>AC126+AC124+AC118+AC113+AC108+AC103+AC98</f>
        <v>16</v>
      </c>
      <c r="AD128" s="1029"/>
      <c r="AE128" s="1029">
        <f>AE126+AE124+AE118+AE113+AE108+AE103+AE98</f>
        <v>17</v>
      </c>
      <c r="AG128" s="1028" t="s">
        <v>1370</v>
      </c>
      <c r="AH128" s="1028"/>
      <c r="AI128" s="1029">
        <f>AI126+AI124+AI118+AI109+AI98</f>
        <v>4</v>
      </c>
      <c r="AJ128" s="1029"/>
      <c r="AK128" s="1029">
        <f>AK126+AK124+AK118+AK109+AK98</f>
        <v>5</v>
      </c>
      <c r="AL128" s="1029"/>
      <c r="AM128" s="1029">
        <f>AM126+AM124+AM118+AM109+AM103+AM98</f>
        <v>7</v>
      </c>
      <c r="AN128" s="1029"/>
      <c r="AO128" s="1029">
        <f>AO126+AO124+AO118+AO113+AO108+AO103+AO98</f>
        <v>10</v>
      </c>
      <c r="AP128" s="1029"/>
      <c r="AQ128" s="1029">
        <f>AQ126+AQ124+AQ118+AQ113+AQ108+AQ103+AQ98</f>
        <v>11</v>
      </c>
      <c r="AR128" s="1029"/>
      <c r="AS128" s="1029">
        <f>AS126+AS124+AS118+AS113+AS108+AS103+AS98</f>
        <v>14</v>
      </c>
      <c r="AT128" s="1029"/>
      <c r="AU128" s="1029">
        <f>AU126+AU124+AU118+AU113+AU108+AU103+AU98</f>
        <v>16</v>
      </c>
      <c r="AW128" s="1028" t="s">
        <v>1370</v>
      </c>
      <c r="AX128" s="1028"/>
      <c r="AY128" s="1029">
        <f>AY126++AY119+AY109+AY98</f>
        <v>3</v>
      </c>
      <c r="AZ128" s="1029"/>
      <c r="BA128" s="1029">
        <f>BA126++BA119+BA109+BA98</f>
        <v>4</v>
      </c>
      <c r="BB128" s="1029"/>
      <c r="BC128" s="1029">
        <f>BC119+BC109+BC103+BC98</f>
        <v>6</v>
      </c>
      <c r="BD128" s="1029"/>
      <c r="BE128" s="1029">
        <f>BE126+BE124+BE118+BE109+BE103+BE98</f>
        <v>8</v>
      </c>
      <c r="BF128" s="1029"/>
      <c r="BG128" s="1029">
        <f>BG126+BG124+BG118+BG113+BG108+BG103+BG98</f>
        <v>10</v>
      </c>
      <c r="BH128" s="1029"/>
      <c r="BI128" s="1029">
        <f>BI126+BI124+BI118+BI113+BI108+BI103+BI98</f>
        <v>12</v>
      </c>
      <c r="BJ128" s="1029"/>
      <c r="BK128" s="1029">
        <f>BK126+BK124+BK118+BK113+BK108+BK103+BK98</f>
        <v>15</v>
      </c>
      <c r="BM128" s="1028" t="s">
        <v>1370</v>
      </c>
      <c r="BN128" s="1028"/>
      <c r="BO128" s="1029">
        <f>BO126+BO124+BO109+BO98</f>
        <v>3</v>
      </c>
      <c r="BP128" s="1029"/>
      <c r="BQ128" s="1029">
        <f>BQ126+BQ124+BQ109+BQ98</f>
        <v>4</v>
      </c>
      <c r="BR128" s="1029"/>
      <c r="BS128" s="1029">
        <f>BS119+BS109+BS98</f>
        <v>5</v>
      </c>
      <c r="BT128" s="1029"/>
      <c r="BU128" s="1029">
        <f>BU126+BU124+BU118+BU109+BU103+BU98</f>
        <v>8</v>
      </c>
      <c r="BV128" s="1029"/>
      <c r="BW128" s="1029">
        <f>BW126+BW124+BW118+BW113+BW108+BW103+BW98</f>
        <v>10</v>
      </c>
      <c r="BX128" s="1029"/>
      <c r="BY128" s="1029">
        <f>BY126+BY124+BY118+BY113+BY108+BY103+BY98</f>
        <v>11</v>
      </c>
      <c r="BZ128" s="1029"/>
      <c r="CA128" s="1029">
        <f>CA126+CA124+CA118+CA113+CA108+CA103+CA98</f>
        <v>12</v>
      </c>
      <c r="CC128" s="1028" t="s">
        <v>1370</v>
      </c>
      <c r="CD128" s="1028"/>
      <c r="CE128" s="1029">
        <f>CE126+CE124+CE109+CE98</f>
        <v>3</v>
      </c>
      <c r="CF128" s="1029"/>
      <c r="CG128" s="1029">
        <f>CG126+CG124+CG109+CG98</f>
        <v>4</v>
      </c>
      <c r="CH128" s="1029"/>
      <c r="CI128" s="1029">
        <f>CI119+CI109+CI98</f>
        <v>5</v>
      </c>
      <c r="CJ128" s="1029"/>
      <c r="CK128" s="1029">
        <f>CK126+CK124+CK118+CK109+CK103+CK98</f>
        <v>8</v>
      </c>
      <c r="CL128" s="1029"/>
      <c r="CM128" s="1029">
        <f>CM126+CM124+CM118+CM109+CM103+CM98</f>
        <v>9</v>
      </c>
      <c r="CN128" s="1029"/>
      <c r="CO128" s="1029">
        <f>CO126+CO124+CO118+CO113+CO108+CO103+CO98</f>
        <v>11</v>
      </c>
      <c r="CP128" s="1029"/>
      <c r="CQ128" s="1029">
        <f>CQ126+CQ124+CQ118+CQ113+CQ108+CQ103+CQ98</f>
        <v>12</v>
      </c>
      <c r="CS128" s="1028" t="s">
        <v>1370</v>
      </c>
      <c r="CT128" s="1028"/>
      <c r="CU128" s="1029">
        <f>CU126+CU124+CU109+CU98</f>
        <v>3</v>
      </c>
      <c r="CV128" s="1029"/>
      <c r="CW128" s="1029">
        <f>CW126+CW124+CW109+CW98</f>
        <v>4</v>
      </c>
      <c r="CX128" s="1029"/>
      <c r="CY128" s="1029">
        <f>CY119+CY109+CY98</f>
        <v>5</v>
      </c>
      <c r="CZ128" s="1029"/>
      <c r="DA128" s="1029">
        <f>DA126+DA124+DA118+DA109+DA103+DA98</f>
        <v>8</v>
      </c>
      <c r="DB128" s="1029"/>
      <c r="DC128" s="1029">
        <f>DC126+DC124+DC118+DC109+DC103+DC98</f>
        <v>9</v>
      </c>
      <c r="DD128" s="1029"/>
      <c r="DE128" s="1029">
        <f>DE126+DE124+DE118+DE113+DE108+DE103+DE98</f>
        <v>11</v>
      </c>
      <c r="DF128" s="1029"/>
      <c r="DG128" s="1029">
        <f>DG126+DG124+DG118+DG113+DG108+DG103+DG98</f>
        <v>12</v>
      </c>
      <c r="DI128" s="1028" t="s">
        <v>1370</v>
      </c>
      <c r="DJ128" s="1028"/>
      <c r="DK128" s="1029">
        <f>DK126+DK124+DK109+DK98</f>
        <v>3</v>
      </c>
      <c r="DL128" s="1029"/>
      <c r="DM128" s="1029">
        <f>DM126+DM124+DM109+DM98</f>
        <v>4</v>
      </c>
      <c r="DN128" s="1029"/>
      <c r="DO128" s="1029">
        <f>DO126+DO119+DO109+DO98</f>
        <v>5</v>
      </c>
      <c r="DP128" s="1029"/>
      <c r="DQ128" s="1029">
        <f>DQ126+DQ118+DQ109+DQ103+DQ98</f>
        <v>7</v>
      </c>
      <c r="DR128" s="1029"/>
      <c r="DS128" s="1029">
        <f>DS126+DS124+DS118+DS109+DS103+DS98</f>
        <v>9</v>
      </c>
      <c r="DT128" s="1029"/>
      <c r="DU128" s="1029">
        <f>DU126+DU124+DU118+DU113+DU108+DU103+DU98</f>
        <v>11</v>
      </c>
      <c r="DV128" s="1029"/>
      <c r="DW128" s="1029">
        <f>DW126+DW124+DW118+DW113+DW108+DW103+DW98</f>
        <v>12</v>
      </c>
      <c r="EA128" s="1196"/>
      <c r="EB128" s="1196"/>
      <c r="EC128" s="1196"/>
      <c r="ED128" s="1196"/>
      <c r="EE128" s="1196"/>
      <c r="EF128" s="1196"/>
      <c r="EG128" s="1196"/>
      <c r="EH128" s="1196"/>
      <c r="EI128" s="1196"/>
      <c r="EJ128" s="1196"/>
      <c r="EK128" s="1196"/>
      <c r="EL128" s="1196"/>
      <c r="EM128" s="1196"/>
    </row>
    <row r="129" spans="1:143" ht="15.75" customHeight="1">
      <c r="A129" s="1028" t="s">
        <v>1473</v>
      </c>
      <c r="B129" s="1028"/>
      <c r="C129" s="1026">
        <f>C92*C128/1</f>
        <v>39.199999999999996</v>
      </c>
      <c r="D129" s="1028"/>
      <c r="E129" s="1026">
        <f>C92*E128/2</f>
        <v>19.599999999999998</v>
      </c>
      <c r="F129" s="1027"/>
      <c r="G129" s="1026">
        <f>C92*G128/3</f>
        <v>23.519999999999996</v>
      </c>
      <c r="H129" s="1027"/>
      <c r="I129" s="1026">
        <f>C92*I128/4</f>
        <v>23.519999999999996</v>
      </c>
      <c r="J129" s="1027"/>
      <c r="K129" s="1026">
        <f>C92*K128/5</f>
        <v>25.087999999999997</v>
      </c>
      <c r="L129" s="1027"/>
      <c r="M129" s="1026">
        <f>C92*M128/5</f>
        <v>25.087999999999997</v>
      </c>
      <c r="N129" s="1027"/>
      <c r="O129" s="1026">
        <f>C92*O128/5</f>
        <v>26.655999999999995</v>
      </c>
      <c r="Q129" s="1028" t="s">
        <v>1473</v>
      </c>
      <c r="R129" s="1028"/>
      <c r="S129" s="1026">
        <f>S92*S128/1</f>
        <v>36.959999999999994</v>
      </c>
      <c r="T129" s="1028"/>
      <c r="U129" s="1026">
        <f>S92*U128/2</f>
        <v>23.099999999999994</v>
      </c>
      <c r="V129" s="1027"/>
      <c r="W129" s="1026">
        <f>S92*W128/3</f>
        <v>21.56</v>
      </c>
      <c r="X129" s="1027"/>
      <c r="Y129" s="1026">
        <f>S92*Y128/4</f>
        <v>25.409999999999997</v>
      </c>
      <c r="Z129" s="1027"/>
      <c r="AA129" s="1026">
        <f>S92*AA128/5</f>
        <v>22.175999999999995</v>
      </c>
      <c r="AB129" s="1027"/>
      <c r="AC129" s="1026">
        <f>S92*AC128/5</f>
        <v>29.567999999999994</v>
      </c>
      <c r="AD129" s="1027"/>
      <c r="AE129" s="1026">
        <f>S92*AE128/5</f>
        <v>31.415999999999997</v>
      </c>
      <c r="AG129" s="1028" t="s">
        <v>1473</v>
      </c>
      <c r="AH129" s="1028"/>
      <c r="AI129" s="1026">
        <f>AI92*AI128/1</f>
        <v>42.559999999999995</v>
      </c>
      <c r="AJ129" s="1028"/>
      <c r="AK129" s="1026">
        <f>AI92*AK128/2</f>
        <v>26.599999999999998</v>
      </c>
      <c r="AL129" s="1027"/>
      <c r="AM129" s="1026">
        <f>AI92*AM128/3</f>
        <v>24.826666666666664</v>
      </c>
      <c r="AN129" s="1027"/>
      <c r="AO129" s="1026">
        <f>AI92*AO128/4</f>
        <v>26.599999999999998</v>
      </c>
      <c r="AP129" s="1027"/>
      <c r="AQ129" s="1026">
        <f>AI92*AQ128/5</f>
        <v>23.407999999999998</v>
      </c>
      <c r="AR129" s="1027"/>
      <c r="AS129" s="1026">
        <f>AI92*AS128/5</f>
        <v>29.791999999999994</v>
      </c>
      <c r="AT129" s="1027"/>
      <c r="AU129" s="1026">
        <f>AI92*AU128/5</f>
        <v>34.047999999999995</v>
      </c>
      <c r="AW129" s="1028" t="s">
        <v>1473</v>
      </c>
      <c r="AX129" s="1028"/>
      <c r="AY129" s="1026">
        <f>AY92*AY128/1</f>
        <v>36.119999999999997</v>
      </c>
      <c r="AZ129" s="1028"/>
      <c r="BA129" s="1026">
        <f>AY92*BA128/2</f>
        <v>24.08</v>
      </c>
      <c r="BB129" s="1027"/>
      <c r="BC129" s="1026">
        <f>AY92*BC128/3</f>
        <v>24.08</v>
      </c>
      <c r="BD129" s="1027"/>
      <c r="BE129" s="1026">
        <f>AY92*BE128/4</f>
        <v>24.08</v>
      </c>
      <c r="BF129" s="1027"/>
      <c r="BG129" s="1026">
        <f>AY92*BG128/5</f>
        <v>24.08</v>
      </c>
      <c r="BH129" s="1027"/>
      <c r="BI129" s="1026">
        <f>AY92*BI128/5</f>
        <v>28.895999999999997</v>
      </c>
      <c r="BJ129" s="1027"/>
      <c r="BK129" s="1026">
        <f>AY92*BK128/5</f>
        <v>36.119999999999997</v>
      </c>
      <c r="BM129" s="1028" t="s">
        <v>1473</v>
      </c>
      <c r="BN129" s="1028"/>
      <c r="BO129" s="1026">
        <f>BO92*BO128/1</f>
        <v>40.32</v>
      </c>
      <c r="BP129" s="1028"/>
      <c r="BQ129" s="1026">
        <f>BO92*BQ128/2</f>
        <v>26.88</v>
      </c>
      <c r="BR129" s="1027"/>
      <c r="BS129" s="1026">
        <f>BO92*BS128/3</f>
        <v>22.400000000000002</v>
      </c>
      <c r="BT129" s="1027"/>
      <c r="BU129" s="1026">
        <f>BO92*BU128/4</f>
        <v>26.88</v>
      </c>
      <c r="BV129" s="1027"/>
      <c r="BW129" s="1026">
        <f>BO92*BW128/5</f>
        <v>26.880000000000003</v>
      </c>
      <c r="BX129" s="1027"/>
      <c r="BY129" s="1026">
        <f>BO92*BY128/5</f>
        <v>29.568000000000001</v>
      </c>
      <c r="BZ129" s="1027"/>
      <c r="CA129" s="1026">
        <f>BO92*CA128/5</f>
        <v>32.256</v>
      </c>
      <c r="CC129" s="1028" t="s">
        <v>1473</v>
      </c>
      <c r="CD129" s="1028"/>
      <c r="CE129" s="1026">
        <f>CE92*CE128/1</f>
        <v>42.839999999999989</v>
      </c>
      <c r="CF129" s="1028"/>
      <c r="CG129" s="1026">
        <f>CE92*CG128/2</f>
        <v>28.559999999999995</v>
      </c>
      <c r="CH129" s="1027"/>
      <c r="CI129" s="1026">
        <f>CE92*CI128/3</f>
        <v>23.799999999999997</v>
      </c>
      <c r="CJ129" s="1027"/>
      <c r="CK129" s="1026">
        <f>CE92*CK128/4</f>
        <v>28.559999999999995</v>
      </c>
      <c r="CL129" s="1027"/>
      <c r="CM129" s="1026">
        <f>CE92*CM128/5</f>
        <v>25.703999999999997</v>
      </c>
      <c r="CN129" s="1027"/>
      <c r="CO129" s="1026">
        <f>CE92*CO128/5</f>
        <v>31.415999999999997</v>
      </c>
      <c r="CP129" s="1027"/>
      <c r="CQ129" s="1026">
        <f>CE92*CQ128/5</f>
        <v>34.271999999999991</v>
      </c>
      <c r="CS129" s="1028" t="s">
        <v>1473</v>
      </c>
      <c r="CT129" s="1028"/>
      <c r="CU129" s="1026">
        <f>CU92*CU128/1</f>
        <v>46.199999999999996</v>
      </c>
      <c r="CV129" s="1028"/>
      <c r="CW129" s="1026">
        <f>CU92*CW128/2</f>
        <v>30.799999999999997</v>
      </c>
      <c r="CX129" s="1027"/>
      <c r="CY129" s="1026">
        <f>CU92*CY128/3</f>
        <v>25.666666666666668</v>
      </c>
      <c r="CZ129" s="1027"/>
      <c r="DA129" s="1026">
        <f>CU92*DA128/4</f>
        <v>30.799999999999997</v>
      </c>
      <c r="DB129" s="1027"/>
      <c r="DC129" s="1026">
        <f>CU92*DC128/5</f>
        <v>27.72</v>
      </c>
      <c r="DD129" s="1027"/>
      <c r="DE129" s="1026">
        <f>CU92*DE128/5</f>
        <v>33.879999999999995</v>
      </c>
      <c r="DF129" s="1027"/>
      <c r="DG129" s="1026">
        <f>CU92*DG128/5</f>
        <v>36.959999999999994</v>
      </c>
      <c r="DI129" s="1028" t="s">
        <v>1473</v>
      </c>
      <c r="DJ129" s="1028"/>
      <c r="DK129" s="1026">
        <f>DK92*DK128/1</f>
        <v>48.72</v>
      </c>
      <c r="DL129" s="1028"/>
      <c r="DM129" s="1026">
        <f>DK92*DM128/2</f>
        <v>32.479999999999997</v>
      </c>
      <c r="DN129" s="1027"/>
      <c r="DO129" s="1026">
        <f>DK92*DO128/3</f>
        <v>27.066666666666663</v>
      </c>
      <c r="DP129" s="1027"/>
      <c r="DQ129" s="1026">
        <f>DK92*DQ128/4</f>
        <v>28.419999999999998</v>
      </c>
      <c r="DR129" s="1027"/>
      <c r="DS129" s="1026">
        <f>DK92*DS128/5</f>
        <v>29.231999999999999</v>
      </c>
      <c r="DT129" s="1027"/>
      <c r="DU129" s="1026">
        <f>DK92*DU128/5</f>
        <v>35.727999999999994</v>
      </c>
      <c r="DV129" s="1027"/>
      <c r="DW129" s="1026">
        <f>DK92*DW128/5</f>
        <v>38.975999999999999</v>
      </c>
      <c r="EA129" s="1198"/>
      <c r="EC129" s="1198"/>
      <c r="ED129" s="1197"/>
      <c r="EE129" s="1198"/>
      <c r="EF129" s="1197"/>
      <c r="EG129" s="1198"/>
      <c r="EH129" s="1197"/>
      <c r="EI129" s="1198"/>
      <c r="EJ129" s="1197"/>
      <c r="EK129" s="1198"/>
      <c r="EL129" s="1197"/>
      <c r="EM129" s="1198"/>
    </row>
    <row r="130" spans="1:143" ht="15.75" customHeight="1">
      <c r="C130" s="1205">
        <f>C123+C117+C108+C97</f>
        <v>22.274999999999999</v>
      </c>
      <c r="D130" s="1206">
        <f>E123+E108+E97+E117</f>
        <v>26.805</v>
      </c>
      <c r="E130" s="1206">
        <f>G117+G107+G97+G102+G123+G112</f>
        <v>41.67</v>
      </c>
      <c r="F130" s="1207">
        <f>I123+I117+I107+I102+I97+C92+I112</f>
        <v>58.665999999999997</v>
      </c>
      <c r="G130" s="1207">
        <f>K123+K117+K107+K102+K97+C92+K112</f>
        <v>69.575999999999993</v>
      </c>
      <c r="H130" s="1207">
        <f>M123+M117+M112+M107+M102+M97+C92</f>
        <v>82.762</v>
      </c>
      <c r="I130" s="1207">
        <f>O123+O117+O112+O107+O102+O97+C92</f>
        <v>92.331999999999994</v>
      </c>
      <c r="S130" s="1205">
        <f>S123+S117+S108+S97</f>
        <v>22.274999999999999</v>
      </c>
      <c r="T130" s="1206">
        <f>U123+U108+U97+U117</f>
        <v>26.805</v>
      </c>
      <c r="U130" s="1206">
        <f>W117+W108+W97+W102+W123</f>
        <v>41.580000000000005</v>
      </c>
      <c r="V130" s="1207">
        <f>Y123+Y117+Y107+Y102+Y97+S92+Y112</f>
        <v>64.08</v>
      </c>
      <c r="W130" s="1207">
        <f>AA123+AA117+AA107+AA102+AA97+S92+AA112</f>
        <v>74.989999999999995</v>
      </c>
      <c r="X130" s="1207">
        <f>AC123+AC117+AC112+AC107+AC102+AC97+S92</f>
        <v>92.19</v>
      </c>
      <c r="Y130" s="1207">
        <f>AE123+AE117+AE112+AE107+AE102+AE97+S92</f>
        <v>101.75999999999999</v>
      </c>
      <c r="AI130" s="1205">
        <f>AI123+AI117+AI108+AI97</f>
        <v>22.274999999999999</v>
      </c>
      <c r="AJ130" s="1206">
        <f>AK123+AK108+AK97+AK117</f>
        <v>26.805</v>
      </c>
      <c r="AK130" s="1206">
        <f>AM117+AM108+AM97+AM102+AM123</f>
        <v>41.580000000000005</v>
      </c>
      <c r="AL130" s="1207">
        <f>AO123+AO117+AO107+AO102+AO97+AI92+AO112</f>
        <v>65.48</v>
      </c>
      <c r="AM130" s="1207">
        <f>AQ123+AQ117+AQ107+AQ102+AQ97+AI92+AQ112</f>
        <v>76.39</v>
      </c>
      <c r="AN130" s="1207">
        <f>AS123+AS117+AS112+AS107+AS102+AS97+AI92</f>
        <v>93.59</v>
      </c>
      <c r="AO130" s="1207">
        <f>AU123+AU117+AU112+AU107+AU102+AU97+AI92</f>
        <v>103.16</v>
      </c>
      <c r="AY130" s="1205">
        <f>+AY118+AY108+AY97</f>
        <v>22.274999999999999</v>
      </c>
      <c r="AZ130" s="1206">
        <f>BA108+BA97+BA118</f>
        <v>26.805</v>
      </c>
      <c r="BA130" s="1206">
        <f>BC118+BC108+BC97+BC102</f>
        <v>41.58</v>
      </c>
      <c r="BB130" s="1207">
        <f>BE123+BE117+BE108+BE102+BE97</f>
        <v>54.84</v>
      </c>
      <c r="BC130" s="1207">
        <f>BG123+BG117+BG107+BG102+BG97+BG112</f>
        <v>65.75</v>
      </c>
      <c r="BD130" s="1207">
        <f>BI123+BI117+BI112+BI107+BI102+BI97</f>
        <v>82.95</v>
      </c>
      <c r="BE130" s="1207">
        <f>BK123+BK117+BK112+BK107+BK102+BK97+AY92</f>
        <v>104.56</v>
      </c>
      <c r="BO130" s="1205">
        <f>BO123+BO108+BO97</f>
        <v>22.274999999999999</v>
      </c>
      <c r="BP130" s="1206">
        <f>BQ123+BQ108+BQ97</f>
        <v>26.805</v>
      </c>
      <c r="BQ130" s="1206">
        <f>BS118+BS108+BS97</f>
        <v>41.58</v>
      </c>
      <c r="BR130" s="1207">
        <f>BU123+BU117+BU108+BU102+BU97</f>
        <v>54.84</v>
      </c>
      <c r="BS130" s="1207">
        <f>BW123+BW117+BW107+BW102+BW97+BW112</f>
        <v>65.75</v>
      </c>
      <c r="BT130" s="1207">
        <f>BY123+BY117+BY112+BY107+BY102+BY97</f>
        <v>82.95</v>
      </c>
      <c r="BU130" s="1207">
        <f>CA123+CA117+CA112+CA107+CA102+CA97</f>
        <v>92.52</v>
      </c>
      <c r="CE130" s="1205">
        <f>CE123+CE108+CE97</f>
        <v>22.274999999999999</v>
      </c>
      <c r="CF130" s="1206">
        <f>CG123+CG108+CG97</f>
        <v>26.805</v>
      </c>
      <c r="CG130" s="1206">
        <f>CI118+CI108+CI97</f>
        <v>41.58</v>
      </c>
      <c r="CH130" s="1207">
        <f>CK123+CK117+CK108+CK102+CK97</f>
        <v>54.84</v>
      </c>
      <c r="CI130" s="1207">
        <f>CM123+CM117+CM108+CM102+CM97</f>
        <v>65.75</v>
      </c>
      <c r="CJ130" s="1207">
        <f>CO123+CO117+CO112+CO107+CO102+CO97</f>
        <v>82.95</v>
      </c>
      <c r="CK130" s="1207">
        <f>CQ123+CQ117+CQ112+CQ107+CQ102+CQ97</f>
        <v>92.52</v>
      </c>
      <c r="CU130" s="1205">
        <f>CU123+CU108+CU97</f>
        <v>22.274999999999999</v>
      </c>
      <c r="CV130" s="1206">
        <f>CW123+CW108+CW97</f>
        <v>26.805</v>
      </c>
      <c r="CW130" s="1206">
        <f>CY118+CY108+CY97</f>
        <v>41.58</v>
      </c>
      <c r="CX130" s="1207">
        <f>DA123+DA117+DA108+DA102+DA97</f>
        <v>54.84</v>
      </c>
      <c r="CY130" s="1207">
        <f>DC123+DC117+DC108+DC102+DC97</f>
        <v>65.75</v>
      </c>
      <c r="CZ130" s="1207">
        <f>DE123+DE117+DE112+DE107+DE102+DE97</f>
        <v>82.95</v>
      </c>
      <c r="DA130" s="1207">
        <f>DG123+DG117+DG112+DG107+DG102+DG97</f>
        <v>92.52</v>
      </c>
      <c r="DK130" s="1205">
        <f>DK123+DK108+DK97</f>
        <v>22.274999999999999</v>
      </c>
      <c r="DL130" s="1206">
        <f>DM123+DM108+DM97</f>
        <v>26.805</v>
      </c>
      <c r="DM130" s="1206">
        <f>DO118+DO108+DO97</f>
        <v>41.58</v>
      </c>
      <c r="DN130" s="1207">
        <f>DQ117+DQ108+DQ102+DQ97</f>
        <v>54.84</v>
      </c>
      <c r="DO130" s="1207">
        <f>DS123+DS117+DS108+DS102+DS97</f>
        <v>65.75</v>
      </c>
      <c r="DP130" s="1207">
        <f>DU123+DU117+DU112+DU107+DU102+DU97</f>
        <v>82.95</v>
      </c>
      <c r="DQ130" s="1207">
        <f>DW123+DW117+DW112+DW107+DW102+DW97</f>
        <v>92.52</v>
      </c>
    </row>
    <row r="132" spans="1:143" ht="15.75" customHeight="1">
      <c r="A132" s="1041" t="s">
        <v>2052</v>
      </c>
      <c r="B132" s="1041">
        <v>3.5</v>
      </c>
      <c r="C132" s="1041">
        <v>3.5</v>
      </c>
      <c r="D132" s="1441"/>
      <c r="E132" s="931"/>
      <c r="F132" s="931"/>
      <c r="G132" s="931"/>
      <c r="H132" s="931"/>
      <c r="I132" s="931"/>
      <c r="J132" s="931"/>
      <c r="K132" s="931"/>
      <c r="L132" s="931"/>
      <c r="M132" s="931"/>
      <c r="N132" s="931"/>
      <c r="O132" s="931"/>
      <c r="Q132" s="1041" t="s">
        <v>2052</v>
      </c>
      <c r="R132" s="1041">
        <v>3.5</v>
      </c>
      <c r="S132" s="1041">
        <v>4</v>
      </c>
      <c r="T132" s="1441"/>
      <c r="U132" s="931"/>
      <c r="V132" s="931"/>
      <c r="W132" s="931"/>
      <c r="X132" s="931"/>
      <c r="Y132" s="931"/>
      <c r="Z132" s="931"/>
      <c r="AA132" s="931"/>
      <c r="AB132" s="931"/>
      <c r="AC132" s="931"/>
      <c r="AD132" s="931"/>
      <c r="AE132" s="931"/>
      <c r="AG132" s="1041" t="s">
        <v>2052</v>
      </c>
      <c r="AH132" s="1041">
        <v>3.5</v>
      </c>
      <c r="AI132" s="1041">
        <v>4.5</v>
      </c>
      <c r="AJ132" s="1441"/>
      <c r="AK132" s="931"/>
      <c r="AL132" s="931"/>
      <c r="AM132" s="931"/>
      <c r="AN132" s="931"/>
      <c r="AO132" s="931"/>
      <c r="AP132" s="931"/>
      <c r="AQ132" s="931"/>
      <c r="AR132" s="931"/>
      <c r="AS132" s="931"/>
      <c r="AT132" s="931"/>
      <c r="AU132" s="931"/>
      <c r="AW132" s="1041" t="s">
        <v>2052</v>
      </c>
      <c r="AX132" s="1041">
        <v>3.5</v>
      </c>
      <c r="AY132" s="1041">
        <v>5</v>
      </c>
      <c r="AZ132" s="1441"/>
      <c r="BA132" s="931"/>
      <c r="BB132" s="931"/>
      <c r="BC132" s="931"/>
      <c r="BD132" s="931"/>
      <c r="BE132" s="931"/>
      <c r="BF132" s="931"/>
      <c r="BG132" s="931"/>
      <c r="BH132" s="931"/>
      <c r="BI132" s="931"/>
      <c r="BJ132" s="931"/>
      <c r="BK132" s="931"/>
      <c r="BM132" s="1041" t="s">
        <v>2052</v>
      </c>
      <c r="BN132" s="1041">
        <v>3.5</v>
      </c>
      <c r="BO132" s="1041">
        <v>5.3</v>
      </c>
      <c r="BP132" s="1441"/>
      <c r="BQ132" s="931"/>
      <c r="BR132" s="931"/>
      <c r="BS132" s="931"/>
      <c r="BT132" s="931"/>
      <c r="BU132" s="931"/>
      <c r="BV132" s="931"/>
      <c r="BW132" s="931"/>
      <c r="BX132" s="931"/>
      <c r="BY132" s="931"/>
      <c r="BZ132" s="931"/>
      <c r="CA132" s="931"/>
      <c r="CC132" s="1041" t="s">
        <v>2052</v>
      </c>
      <c r="CD132" s="1041">
        <v>3.5</v>
      </c>
      <c r="CE132" s="1041">
        <v>5.7</v>
      </c>
      <c r="CF132" s="1441"/>
      <c r="CG132" s="931"/>
      <c r="CH132" s="931"/>
      <c r="CI132" s="931"/>
      <c r="CJ132" s="931"/>
      <c r="CK132" s="931"/>
      <c r="CL132" s="931"/>
      <c r="CM132" s="931"/>
      <c r="CN132" s="931"/>
      <c r="CO132" s="931"/>
      <c r="CP132" s="931"/>
      <c r="CQ132" s="931"/>
      <c r="CS132" s="1041" t="s">
        <v>2052</v>
      </c>
      <c r="CT132" s="1041">
        <v>3.5</v>
      </c>
      <c r="CU132" s="1041">
        <v>6</v>
      </c>
      <c r="CV132" s="1441"/>
      <c r="CW132" s="931"/>
      <c r="CX132" s="931"/>
      <c r="CY132" s="931"/>
      <c r="CZ132" s="931"/>
      <c r="DA132" s="931"/>
      <c r="DB132" s="931"/>
      <c r="DC132" s="931"/>
      <c r="DD132" s="931"/>
      <c r="DE132" s="931"/>
      <c r="DF132" s="931"/>
      <c r="DG132" s="931"/>
      <c r="DI132" s="1041"/>
      <c r="DJ132" s="1041"/>
      <c r="DK132" s="1041"/>
      <c r="DL132" s="1041"/>
      <c r="DM132" s="931"/>
      <c r="DN132" s="931"/>
      <c r="DO132" s="931"/>
      <c r="DP132" s="931"/>
      <c r="DQ132" s="931"/>
      <c r="DR132" s="931"/>
      <c r="DS132" s="931"/>
      <c r="DT132" s="931"/>
      <c r="DU132" s="931"/>
      <c r="DV132" s="931"/>
      <c r="DW132" s="931"/>
    </row>
    <row r="133" spans="1:143" ht="15.75" customHeight="1">
      <c r="A133" s="1038" t="s">
        <v>1354</v>
      </c>
      <c r="B133" s="1038">
        <f>B132-0.2</f>
        <v>3.3</v>
      </c>
      <c r="C133" s="1038">
        <f>C132-0.2</f>
        <v>3.3</v>
      </c>
      <c r="D133" s="1442"/>
      <c r="E133" s="1038"/>
      <c r="F133" s="1038"/>
      <c r="G133" s="1038"/>
      <c r="H133" s="1038"/>
      <c r="I133" s="1038"/>
      <c r="J133" s="1038"/>
      <c r="K133" s="1038"/>
      <c r="L133" s="1038"/>
      <c r="M133" s="1038"/>
      <c r="N133" s="1038"/>
      <c r="O133" s="1038"/>
      <c r="Q133" s="1038" t="s">
        <v>1354</v>
      </c>
      <c r="R133" s="1038">
        <f>R132-0.2</f>
        <v>3.3</v>
      </c>
      <c r="S133" s="1038">
        <f>S132-0.2</f>
        <v>3.8</v>
      </c>
      <c r="T133" s="1442"/>
      <c r="U133" s="1038"/>
      <c r="V133" s="1038"/>
      <c r="W133" s="1038"/>
      <c r="X133" s="1038"/>
      <c r="Y133" s="1038"/>
      <c r="Z133" s="1038"/>
      <c r="AA133" s="1038"/>
      <c r="AB133" s="1038"/>
      <c r="AC133" s="1038"/>
      <c r="AD133" s="1038"/>
      <c r="AE133" s="1038"/>
      <c r="AG133" s="1038" t="s">
        <v>1354</v>
      </c>
      <c r="AH133" s="1038">
        <f>AH132-0.2</f>
        <v>3.3</v>
      </c>
      <c r="AI133" s="1038">
        <f>AI132-0.2</f>
        <v>4.3</v>
      </c>
      <c r="AJ133" s="1442"/>
      <c r="AK133" s="1038"/>
      <c r="AL133" s="1038"/>
      <c r="AM133" s="1038"/>
      <c r="AN133" s="1038"/>
      <c r="AO133" s="1038"/>
      <c r="AP133" s="1038"/>
      <c r="AQ133" s="1038"/>
      <c r="AR133" s="1038"/>
      <c r="AS133" s="1038"/>
      <c r="AT133" s="1038"/>
      <c r="AU133" s="1038"/>
      <c r="AW133" s="1038" t="s">
        <v>1354</v>
      </c>
      <c r="AX133" s="1038">
        <f>AX132-0.2</f>
        <v>3.3</v>
      </c>
      <c r="AY133" s="1038">
        <f>AY132-0.2</f>
        <v>4.8</v>
      </c>
      <c r="AZ133" s="1442"/>
      <c r="BA133" s="1038"/>
      <c r="BB133" s="1038"/>
      <c r="BC133" s="1038"/>
      <c r="BD133" s="1038"/>
      <c r="BE133" s="1038"/>
      <c r="BF133" s="1038"/>
      <c r="BG133" s="1038"/>
      <c r="BH133" s="1038"/>
      <c r="BI133" s="1038"/>
      <c r="BJ133" s="1038"/>
      <c r="BK133" s="1038"/>
      <c r="BM133" s="1038" t="s">
        <v>1354</v>
      </c>
      <c r="BN133" s="1038">
        <f>BN132-0.2</f>
        <v>3.3</v>
      </c>
      <c r="BO133" s="1038">
        <f>BO132-0.2</f>
        <v>5.0999999999999996</v>
      </c>
      <c r="BP133" s="1442"/>
      <c r="BQ133" s="1038"/>
      <c r="BR133" s="1038"/>
      <c r="BS133" s="1038"/>
      <c r="BT133" s="1038"/>
      <c r="BU133" s="1038"/>
      <c r="BV133" s="1038"/>
      <c r="BW133" s="1038"/>
      <c r="BX133" s="1038"/>
      <c r="BY133" s="1038"/>
      <c r="BZ133" s="1038"/>
      <c r="CA133" s="1038"/>
      <c r="CC133" s="1038" t="s">
        <v>1354</v>
      </c>
      <c r="CD133" s="1038">
        <f>CD132-0.2</f>
        <v>3.3</v>
      </c>
      <c r="CE133" s="1038">
        <f>CE132-0.2</f>
        <v>5.5</v>
      </c>
      <c r="CF133" s="1442"/>
      <c r="CG133" s="1038"/>
      <c r="CH133" s="1038"/>
      <c r="CI133" s="1038"/>
      <c r="CJ133" s="1038"/>
      <c r="CK133" s="1038"/>
      <c r="CL133" s="1038"/>
      <c r="CM133" s="1038"/>
      <c r="CN133" s="1038"/>
      <c r="CO133" s="1038"/>
      <c r="CP133" s="1038"/>
      <c r="CQ133" s="1038"/>
      <c r="CS133" s="1038" t="s">
        <v>1354</v>
      </c>
      <c r="CT133" s="1038">
        <f>CT132-0.2</f>
        <v>3.3</v>
      </c>
      <c r="CU133" s="1038">
        <f>CU132-0.2</f>
        <v>5.8</v>
      </c>
      <c r="CV133" s="1442"/>
      <c r="CW133" s="1038"/>
      <c r="CX133" s="1038"/>
      <c r="CY133" s="1038"/>
      <c r="CZ133" s="1038"/>
      <c r="DA133" s="1038"/>
      <c r="DB133" s="1038"/>
      <c r="DC133" s="1038"/>
      <c r="DD133" s="1038"/>
      <c r="DE133" s="1038"/>
      <c r="DF133" s="1038"/>
      <c r="DG133" s="1038"/>
      <c r="DI133" s="1038"/>
      <c r="DJ133" s="1038"/>
      <c r="DK133" s="1038"/>
      <c r="DL133" s="701"/>
      <c r="DM133" s="1038"/>
      <c r="DN133" s="1038"/>
      <c r="DO133" s="1038"/>
      <c r="DP133" s="1038"/>
      <c r="DQ133" s="1038"/>
      <c r="DR133" s="1038"/>
      <c r="DS133" s="1038"/>
      <c r="DT133" s="1038"/>
      <c r="DU133" s="1038"/>
      <c r="DV133" s="1038"/>
      <c r="DW133" s="1038"/>
    </row>
    <row r="134" spans="1:143" ht="15.75" customHeight="1">
      <c r="A134" s="1040" t="s">
        <v>1471</v>
      </c>
      <c r="B134" s="1040"/>
      <c r="C134" s="1039">
        <f>B132*C132</f>
        <v>12.25</v>
      </c>
      <c r="D134" s="1442"/>
      <c r="E134" s="1038"/>
      <c r="F134" s="1038"/>
      <c r="G134" s="1038"/>
      <c r="H134" s="1038"/>
      <c r="I134" s="1038"/>
      <c r="J134" s="1038"/>
      <c r="K134" s="1038"/>
      <c r="L134" s="1038"/>
      <c r="M134" s="1038"/>
      <c r="N134" s="1038"/>
      <c r="O134" s="1038"/>
      <c r="Q134" s="1040" t="s">
        <v>1471</v>
      </c>
      <c r="R134" s="1040"/>
      <c r="S134" s="1039">
        <f>R132*S132</f>
        <v>14</v>
      </c>
      <c r="T134" s="1442"/>
      <c r="U134" s="1038"/>
      <c r="V134" s="1038"/>
      <c r="W134" s="1038"/>
      <c r="X134" s="1038"/>
      <c r="Y134" s="1038"/>
      <c r="Z134" s="1038"/>
      <c r="AA134" s="1038"/>
      <c r="AB134" s="1038"/>
      <c r="AC134" s="1038"/>
      <c r="AD134" s="1038"/>
      <c r="AE134" s="1038"/>
      <c r="AG134" s="1040" t="s">
        <v>1471</v>
      </c>
      <c r="AH134" s="1040"/>
      <c r="AI134" s="1039">
        <f>AH132*AI132</f>
        <v>15.75</v>
      </c>
      <c r="AJ134" s="1442"/>
      <c r="AK134" s="1038"/>
      <c r="AL134" s="1038"/>
      <c r="AM134" s="1038"/>
      <c r="AN134" s="1038"/>
      <c r="AO134" s="1038"/>
      <c r="AP134" s="1038"/>
      <c r="AQ134" s="1038"/>
      <c r="AR134" s="1038"/>
      <c r="AS134" s="1038"/>
      <c r="AT134" s="1038"/>
      <c r="AU134" s="1038"/>
      <c r="AW134" s="1040" t="s">
        <v>1471</v>
      </c>
      <c r="AX134" s="1040"/>
      <c r="AY134" s="1039">
        <f>AX132*AY132</f>
        <v>17.5</v>
      </c>
      <c r="AZ134" s="1442"/>
      <c r="BA134" s="1038"/>
      <c r="BB134" s="1038"/>
      <c r="BC134" s="1038"/>
      <c r="BD134" s="1038"/>
      <c r="BE134" s="1038"/>
      <c r="BF134" s="1038"/>
      <c r="BG134" s="1038"/>
      <c r="BH134" s="1038"/>
      <c r="BI134" s="1038"/>
      <c r="BJ134" s="1038"/>
      <c r="BK134" s="1038"/>
      <c r="BM134" s="1040" t="s">
        <v>1471</v>
      </c>
      <c r="BN134" s="1040"/>
      <c r="BO134" s="1039">
        <f>BN132*BO132</f>
        <v>18.55</v>
      </c>
      <c r="BP134" s="1442"/>
      <c r="BQ134" s="1038"/>
      <c r="BR134" s="1038"/>
      <c r="BS134" s="1038"/>
      <c r="BT134" s="1038"/>
      <c r="BU134" s="1038"/>
      <c r="BV134" s="1038"/>
      <c r="BW134" s="1038"/>
      <c r="BX134" s="1038"/>
      <c r="BY134" s="1038"/>
      <c r="BZ134" s="1038"/>
      <c r="CA134" s="1038"/>
      <c r="CC134" s="1040" t="s">
        <v>1471</v>
      </c>
      <c r="CD134" s="1040"/>
      <c r="CE134" s="1039">
        <f>CD132*CE132</f>
        <v>19.95</v>
      </c>
      <c r="CF134" s="1442"/>
      <c r="CG134" s="1038"/>
      <c r="CH134" s="1038"/>
      <c r="CI134" s="1038"/>
      <c r="CJ134" s="1038"/>
      <c r="CK134" s="1038"/>
      <c r="CL134" s="1038"/>
      <c r="CM134" s="1038"/>
      <c r="CN134" s="1038"/>
      <c r="CO134" s="1038"/>
      <c r="CP134" s="1038"/>
      <c r="CQ134" s="1038"/>
      <c r="CS134" s="1040" t="s">
        <v>1471</v>
      </c>
      <c r="CT134" s="1040"/>
      <c r="CU134" s="1039">
        <f>CT132*CU132</f>
        <v>21</v>
      </c>
      <c r="CV134" s="1442"/>
      <c r="CW134" s="1038"/>
      <c r="CX134" s="1038"/>
      <c r="CY134" s="1038"/>
      <c r="CZ134" s="1038"/>
      <c r="DA134" s="1038"/>
      <c r="DB134" s="1038"/>
      <c r="DC134" s="1038"/>
      <c r="DD134" s="1038"/>
      <c r="DE134" s="1038"/>
      <c r="DF134" s="1038"/>
      <c r="DG134" s="1038"/>
      <c r="DI134" s="1040"/>
      <c r="DJ134" s="1040"/>
      <c r="DK134" s="1039"/>
      <c r="DL134" s="701"/>
      <c r="DM134" s="1038"/>
      <c r="DN134" s="1038"/>
      <c r="DO134" s="1038"/>
      <c r="DP134" s="1038"/>
      <c r="DQ134" s="1038"/>
      <c r="DR134" s="1038"/>
      <c r="DS134" s="1038"/>
      <c r="DT134" s="1038"/>
      <c r="DU134" s="1038"/>
      <c r="DV134" s="1038"/>
      <c r="DW134" s="1038"/>
    </row>
    <row r="135" spans="1:143" ht="15.75" customHeight="1">
      <c r="A135" s="1040" t="s">
        <v>1355</v>
      </c>
      <c r="B135" s="1040"/>
      <c r="C135" s="1039">
        <f>C133*C133</f>
        <v>10.889999999999999</v>
      </c>
      <c r="D135" s="1442"/>
      <c r="E135" s="1038"/>
      <c r="F135" s="1038"/>
      <c r="G135" s="1038"/>
      <c r="H135" s="1038"/>
      <c r="I135" s="1038"/>
      <c r="J135" s="1038"/>
      <c r="K135" s="1038"/>
      <c r="L135" s="1038"/>
      <c r="M135" s="1038"/>
      <c r="N135" s="1038"/>
      <c r="O135" s="1038"/>
      <c r="Q135" s="1040" t="s">
        <v>1355</v>
      </c>
      <c r="R135" s="1040"/>
      <c r="S135" s="1039">
        <f>R133*S133</f>
        <v>12.54</v>
      </c>
      <c r="T135" s="1442"/>
      <c r="U135" s="1038"/>
      <c r="V135" s="1038"/>
      <c r="W135" s="1038"/>
      <c r="X135" s="1038"/>
      <c r="Y135" s="1038"/>
      <c r="Z135" s="1038"/>
      <c r="AA135" s="1038"/>
      <c r="AB135" s="1038"/>
      <c r="AC135" s="1038"/>
      <c r="AD135" s="1038"/>
      <c r="AE135" s="1038"/>
      <c r="AG135" s="1040" t="s">
        <v>1355</v>
      </c>
      <c r="AH135" s="1040"/>
      <c r="AI135" s="1039">
        <f>AH133*AI133</f>
        <v>14.19</v>
      </c>
      <c r="AJ135" s="1442"/>
      <c r="AK135" s="1038"/>
      <c r="AL135" s="1038"/>
      <c r="AM135" s="1038"/>
      <c r="AN135" s="1038"/>
      <c r="AO135" s="1038"/>
      <c r="AP135" s="1038"/>
      <c r="AQ135" s="1038"/>
      <c r="AR135" s="1038"/>
      <c r="AS135" s="1038"/>
      <c r="AT135" s="1038"/>
      <c r="AU135" s="1038"/>
      <c r="AW135" s="1040" t="s">
        <v>1355</v>
      </c>
      <c r="AX135" s="1040"/>
      <c r="AY135" s="1039">
        <f>AX133*AY133</f>
        <v>15.839999999999998</v>
      </c>
      <c r="AZ135" s="1442"/>
      <c r="BA135" s="1038"/>
      <c r="BB135" s="1038"/>
      <c r="BC135" s="1038"/>
      <c r="BD135" s="1038"/>
      <c r="BE135" s="1038"/>
      <c r="BF135" s="1038"/>
      <c r="BG135" s="1038"/>
      <c r="BH135" s="1038"/>
      <c r="BI135" s="1038"/>
      <c r="BJ135" s="1038"/>
      <c r="BK135" s="1038"/>
      <c r="BM135" s="1040" t="s">
        <v>1355</v>
      </c>
      <c r="BN135" s="1040"/>
      <c r="BO135" s="1039">
        <f>BN133*BO133</f>
        <v>16.829999999999998</v>
      </c>
      <c r="BP135" s="1442"/>
      <c r="BQ135" s="1038"/>
      <c r="BR135" s="1038"/>
      <c r="BS135" s="1038"/>
      <c r="BT135" s="1038"/>
      <c r="BU135" s="1038"/>
      <c r="BV135" s="1038"/>
      <c r="BW135" s="1038"/>
      <c r="BX135" s="1038"/>
      <c r="BY135" s="1038"/>
      <c r="BZ135" s="1038"/>
      <c r="CA135" s="1038"/>
      <c r="CC135" s="1040" t="s">
        <v>1355</v>
      </c>
      <c r="CD135" s="1040"/>
      <c r="CE135" s="1039">
        <f>CD133*CE133</f>
        <v>18.149999999999999</v>
      </c>
      <c r="CF135" s="1442"/>
      <c r="CG135" s="1038"/>
      <c r="CH135" s="1038"/>
      <c r="CI135" s="1038"/>
      <c r="CJ135" s="1038"/>
      <c r="CK135" s="1038"/>
      <c r="CL135" s="1038"/>
      <c r="CM135" s="1038"/>
      <c r="CN135" s="1038"/>
      <c r="CO135" s="1038"/>
      <c r="CP135" s="1038"/>
      <c r="CQ135" s="1038"/>
      <c r="CS135" s="1040" t="s">
        <v>1355</v>
      </c>
      <c r="CT135" s="1040"/>
      <c r="CU135" s="1039">
        <f>CT133*CU133</f>
        <v>19.139999999999997</v>
      </c>
      <c r="CV135" s="1442"/>
      <c r="CW135" s="1038"/>
      <c r="CX135" s="1038"/>
      <c r="CY135" s="1038"/>
      <c r="CZ135" s="1038"/>
      <c r="DA135" s="1038"/>
      <c r="DB135" s="1038"/>
      <c r="DC135" s="1038"/>
      <c r="DD135" s="1038"/>
      <c r="DE135" s="1038"/>
      <c r="DF135" s="1038"/>
      <c r="DG135" s="1038"/>
      <c r="DI135" s="1040"/>
      <c r="DJ135" s="1040"/>
      <c r="DK135" s="1039"/>
      <c r="DL135" s="701"/>
      <c r="DM135" s="1038"/>
      <c r="DN135" s="1038"/>
      <c r="DO135" s="1038"/>
      <c r="DP135" s="1038"/>
      <c r="DQ135" s="1038"/>
      <c r="DR135" s="1038"/>
      <c r="DS135" s="1038"/>
      <c r="DT135" s="1038"/>
      <c r="DU135" s="1038"/>
      <c r="DV135" s="1038"/>
      <c r="DW135" s="1038"/>
    </row>
    <row r="136" spans="1:143" ht="15.75" customHeight="1">
      <c r="A136" s="1037" t="s">
        <v>1356</v>
      </c>
      <c r="B136" s="1405" t="s">
        <v>1357</v>
      </c>
      <c r="C136" s="1406"/>
      <c r="D136" s="1405" t="s">
        <v>1358</v>
      </c>
      <c r="E136" s="1406"/>
      <c r="F136" s="1405" t="s">
        <v>1359</v>
      </c>
      <c r="G136" s="1406"/>
      <c r="H136" s="1405" t="s">
        <v>1360</v>
      </c>
      <c r="I136" s="1406"/>
      <c r="J136" s="1405" t="s">
        <v>1361</v>
      </c>
      <c r="K136" s="1406"/>
      <c r="L136" s="1405" t="s">
        <v>1362</v>
      </c>
      <c r="M136" s="1406"/>
      <c r="N136" s="1409" t="s">
        <v>1363</v>
      </c>
      <c r="O136" s="1406"/>
      <c r="Q136" s="1037" t="s">
        <v>1356</v>
      </c>
      <c r="R136" s="1405" t="s">
        <v>1357</v>
      </c>
      <c r="S136" s="1406"/>
      <c r="T136" s="1405" t="s">
        <v>1358</v>
      </c>
      <c r="U136" s="1406"/>
      <c r="V136" s="1405" t="s">
        <v>1359</v>
      </c>
      <c r="W136" s="1406"/>
      <c r="X136" s="1405" t="s">
        <v>1360</v>
      </c>
      <c r="Y136" s="1406"/>
      <c r="Z136" s="1405" t="s">
        <v>1361</v>
      </c>
      <c r="AA136" s="1406"/>
      <c r="AB136" s="1405" t="s">
        <v>1362</v>
      </c>
      <c r="AC136" s="1406"/>
      <c r="AD136" s="1409" t="s">
        <v>1363</v>
      </c>
      <c r="AE136" s="1406"/>
      <c r="AG136" s="1037" t="s">
        <v>1356</v>
      </c>
      <c r="AH136" s="1405" t="s">
        <v>1357</v>
      </c>
      <c r="AI136" s="1406"/>
      <c r="AJ136" s="1405" t="s">
        <v>1358</v>
      </c>
      <c r="AK136" s="1406"/>
      <c r="AL136" s="1405" t="s">
        <v>1359</v>
      </c>
      <c r="AM136" s="1406"/>
      <c r="AN136" s="1405" t="s">
        <v>1360</v>
      </c>
      <c r="AO136" s="1406"/>
      <c r="AP136" s="1405" t="s">
        <v>1361</v>
      </c>
      <c r="AQ136" s="1406"/>
      <c r="AR136" s="1405" t="s">
        <v>1362</v>
      </c>
      <c r="AS136" s="1406"/>
      <c r="AT136" s="1409" t="s">
        <v>1363</v>
      </c>
      <c r="AU136" s="1406"/>
      <c r="AW136" s="1037" t="s">
        <v>1356</v>
      </c>
      <c r="AX136" s="1405" t="s">
        <v>1357</v>
      </c>
      <c r="AY136" s="1406"/>
      <c r="AZ136" s="1405" t="s">
        <v>1358</v>
      </c>
      <c r="BA136" s="1406"/>
      <c r="BB136" s="1405" t="s">
        <v>1359</v>
      </c>
      <c r="BC136" s="1406"/>
      <c r="BD136" s="1405" t="s">
        <v>1360</v>
      </c>
      <c r="BE136" s="1406"/>
      <c r="BF136" s="1405" t="s">
        <v>1361</v>
      </c>
      <c r="BG136" s="1406"/>
      <c r="BH136" s="1405" t="s">
        <v>1362</v>
      </c>
      <c r="BI136" s="1406"/>
      <c r="BJ136" s="1409" t="s">
        <v>1363</v>
      </c>
      <c r="BK136" s="1406"/>
      <c r="BM136" s="1037" t="s">
        <v>1356</v>
      </c>
      <c r="BN136" s="1405" t="s">
        <v>1357</v>
      </c>
      <c r="BO136" s="1406"/>
      <c r="BP136" s="1405" t="s">
        <v>1358</v>
      </c>
      <c r="BQ136" s="1406"/>
      <c r="BR136" s="1405" t="s">
        <v>1359</v>
      </c>
      <c r="BS136" s="1406"/>
      <c r="BT136" s="1405" t="s">
        <v>1360</v>
      </c>
      <c r="BU136" s="1406"/>
      <c r="BV136" s="1405" t="s">
        <v>1361</v>
      </c>
      <c r="BW136" s="1406"/>
      <c r="BX136" s="1405" t="s">
        <v>1362</v>
      </c>
      <c r="BY136" s="1406"/>
      <c r="BZ136" s="1409" t="s">
        <v>1363</v>
      </c>
      <c r="CA136" s="1406"/>
      <c r="CC136" s="1037" t="s">
        <v>1356</v>
      </c>
      <c r="CD136" s="1405" t="s">
        <v>1357</v>
      </c>
      <c r="CE136" s="1406"/>
      <c r="CF136" s="1405" t="s">
        <v>1358</v>
      </c>
      <c r="CG136" s="1406"/>
      <c r="CH136" s="1405" t="s">
        <v>1359</v>
      </c>
      <c r="CI136" s="1406"/>
      <c r="CJ136" s="1405" t="s">
        <v>1360</v>
      </c>
      <c r="CK136" s="1406"/>
      <c r="CL136" s="1405" t="s">
        <v>1361</v>
      </c>
      <c r="CM136" s="1406"/>
      <c r="CN136" s="1405" t="s">
        <v>1362</v>
      </c>
      <c r="CO136" s="1406"/>
      <c r="CP136" s="1409" t="s">
        <v>1363</v>
      </c>
      <c r="CQ136" s="1406"/>
      <c r="CS136" s="1037" t="s">
        <v>1356</v>
      </c>
      <c r="CT136" s="1405" t="s">
        <v>1357</v>
      </c>
      <c r="CU136" s="1406"/>
      <c r="CV136" s="1405" t="s">
        <v>1358</v>
      </c>
      <c r="CW136" s="1406"/>
      <c r="CX136" s="1405" t="s">
        <v>1359</v>
      </c>
      <c r="CY136" s="1406"/>
      <c r="CZ136" s="1405" t="s">
        <v>1360</v>
      </c>
      <c r="DA136" s="1406"/>
      <c r="DB136" s="1405" t="s">
        <v>1361</v>
      </c>
      <c r="DC136" s="1406"/>
      <c r="DD136" s="1405" t="s">
        <v>1362</v>
      </c>
      <c r="DE136" s="1406"/>
      <c r="DF136" s="1409" t="s">
        <v>1363</v>
      </c>
      <c r="DG136" s="1406"/>
      <c r="DI136" s="1040"/>
      <c r="DJ136" s="1040"/>
      <c r="DK136" s="701"/>
      <c r="DL136" s="1040"/>
      <c r="DM136" s="701"/>
      <c r="DN136" s="1040"/>
      <c r="DO136" s="701"/>
      <c r="DP136" s="1040"/>
      <c r="DQ136" s="701"/>
      <c r="DR136" s="1040"/>
      <c r="DS136" s="701"/>
      <c r="DT136" s="1040"/>
      <c r="DU136" s="701"/>
      <c r="DV136" s="1166"/>
      <c r="DW136" s="701"/>
    </row>
    <row r="137" spans="1:143" ht="15.75" customHeight="1">
      <c r="A137" s="1435" t="s">
        <v>1364</v>
      </c>
      <c r="B137" s="1452"/>
      <c r="C137" s="1033">
        <f>Möblierungsschablone!$C$21</f>
        <v>7.17</v>
      </c>
      <c r="D137" s="1440"/>
      <c r="E137" s="1033">
        <f>Möblierungsschablone!$G$21</f>
        <v>10.8</v>
      </c>
      <c r="F137" s="1440"/>
      <c r="G137" s="1033">
        <f>Möblierungsschablone!$C$21</f>
        <v>7.17</v>
      </c>
      <c r="H137" s="1440"/>
      <c r="I137" s="1033">
        <f>2*Möblierungsschablone!$C$21</f>
        <v>14.34</v>
      </c>
      <c r="J137" s="1440"/>
      <c r="K137" s="1033">
        <f>3*Möblierungsschablone!$C$21</f>
        <v>21.509999999999998</v>
      </c>
      <c r="L137" s="1440"/>
      <c r="M137" s="1033">
        <f>4*Möblierungsschablone!$C$21</f>
        <v>28.68</v>
      </c>
      <c r="N137" s="1440"/>
      <c r="O137" s="1033">
        <f>5*Möblierungsschablone!$C$21</f>
        <v>35.85</v>
      </c>
      <c r="Q137" s="1435" t="s">
        <v>1364</v>
      </c>
      <c r="R137" s="1199" t="s">
        <v>2051</v>
      </c>
      <c r="S137" s="1033">
        <f>Möblierungsschablone!$C$21</f>
        <v>7.17</v>
      </c>
      <c r="T137" s="1200" t="s">
        <v>2046</v>
      </c>
      <c r="U137" s="1033">
        <f>Möblierungsschablone!$G$21</f>
        <v>10.8</v>
      </c>
      <c r="V137" s="1199" t="s">
        <v>2051</v>
      </c>
      <c r="W137" s="1033">
        <f>Möblierungsschablone!$C$21</f>
        <v>7.17</v>
      </c>
      <c r="X137" s="1199" t="s">
        <v>2050</v>
      </c>
      <c r="Y137" s="1033">
        <f>2*Möblierungsschablone!$C$21</f>
        <v>14.34</v>
      </c>
      <c r="Z137" s="1199" t="s">
        <v>2049</v>
      </c>
      <c r="AA137" s="1033">
        <f>3*Möblierungsschablone!$C$21</f>
        <v>21.509999999999998</v>
      </c>
      <c r="AB137" s="1199" t="s">
        <v>2048</v>
      </c>
      <c r="AC137" s="1033">
        <f>4*Möblierungsschablone!$C$21</f>
        <v>28.68</v>
      </c>
      <c r="AD137" s="1199" t="s">
        <v>2047</v>
      </c>
      <c r="AE137" s="1033">
        <f>5*Möblierungsschablone!$C$21</f>
        <v>35.85</v>
      </c>
      <c r="AG137" s="1435" t="s">
        <v>1364</v>
      </c>
      <c r="AH137" s="1199" t="s">
        <v>2051</v>
      </c>
      <c r="AI137" s="1033">
        <f>Möblierungsschablone!$C$21</f>
        <v>7.17</v>
      </c>
      <c r="AJ137" s="1200" t="s">
        <v>2046</v>
      </c>
      <c r="AK137" s="1033">
        <f>Möblierungsschablone!$G$21</f>
        <v>10.8</v>
      </c>
      <c r="AL137" s="1199" t="s">
        <v>2051</v>
      </c>
      <c r="AM137" s="1033">
        <f>Möblierungsschablone!$C$21</f>
        <v>7.17</v>
      </c>
      <c r="AN137" s="1199" t="s">
        <v>2050</v>
      </c>
      <c r="AO137" s="1033">
        <f>2*Möblierungsschablone!$C$21</f>
        <v>14.34</v>
      </c>
      <c r="AP137" s="1199" t="s">
        <v>2049</v>
      </c>
      <c r="AQ137" s="1033">
        <f>3*Möblierungsschablone!$C$21</f>
        <v>21.509999999999998</v>
      </c>
      <c r="AR137" s="1199" t="s">
        <v>2048</v>
      </c>
      <c r="AS137" s="1033">
        <f>4*Möblierungsschablone!$C$21</f>
        <v>28.68</v>
      </c>
      <c r="AT137" s="1199" t="s">
        <v>2047</v>
      </c>
      <c r="AU137" s="1033">
        <f>5*Möblierungsschablone!$C$21</f>
        <v>35.85</v>
      </c>
      <c r="AW137" s="1435" t="s">
        <v>1364</v>
      </c>
      <c r="AX137" s="1199" t="s">
        <v>2051</v>
      </c>
      <c r="AY137" s="1033">
        <f>Möblierungsschablone!$C$21</f>
        <v>7.17</v>
      </c>
      <c r="AZ137" s="1200" t="s">
        <v>2046</v>
      </c>
      <c r="BA137" s="1033">
        <f>Möblierungsschablone!$G$21</f>
        <v>10.8</v>
      </c>
      <c r="BB137" s="1199" t="s">
        <v>2051</v>
      </c>
      <c r="BC137" s="1033">
        <f>Möblierungsschablone!$C$21</f>
        <v>7.17</v>
      </c>
      <c r="BD137" s="1199" t="s">
        <v>2050</v>
      </c>
      <c r="BE137" s="1033">
        <f>2*Möblierungsschablone!$C$21</f>
        <v>14.34</v>
      </c>
      <c r="BF137" s="1199" t="s">
        <v>2049</v>
      </c>
      <c r="BG137" s="1033">
        <f>3*Möblierungsschablone!$C$21</f>
        <v>21.509999999999998</v>
      </c>
      <c r="BH137" s="1199" t="s">
        <v>2048</v>
      </c>
      <c r="BI137" s="1033">
        <f>4*Möblierungsschablone!$C$21</f>
        <v>28.68</v>
      </c>
      <c r="BJ137" s="1199" t="s">
        <v>2047</v>
      </c>
      <c r="BK137" s="1033">
        <f>5*Möblierungsschablone!$C$21</f>
        <v>35.85</v>
      </c>
      <c r="BM137" s="1435" t="s">
        <v>1364</v>
      </c>
      <c r="BN137" s="1451"/>
      <c r="BO137" s="1033">
        <f>Möblierungsschablone!$C$21</f>
        <v>7.17</v>
      </c>
      <c r="BP137" s="1451"/>
      <c r="BQ137" s="1033">
        <f>Möblierungsschablone!$G$21</f>
        <v>10.8</v>
      </c>
      <c r="BR137" s="1437"/>
      <c r="BS137" s="1033">
        <f>Möblierungsschablone!$C$21</f>
        <v>7.17</v>
      </c>
      <c r="BT137" s="1440"/>
      <c r="BU137" s="1033">
        <f>2*Möblierungsschablone!$C$21</f>
        <v>14.34</v>
      </c>
      <c r="BV137" s="1437"/>
      <c r="BW137" s="1033">
        <f>3*Möblierungsschablone!$C$21</f>
        <v>21.509999999999998</v>
      </c>
      <c r="BX137" s="1440"/>
      <c r="BY137" s="1033">
        <f>4*Möblierungsschablone!$C$21</f>
        <v>28.68</v>
      </c>
      <c r="BZ137" s="1440"/>
      <c r="CA137" s="1033">
        <f>5*Möblierungsschablone!$C$21</f>
        <v>35.85</v>
      </c>
      <c r="CC137" s="1435" t="s">
        <v>1364</v>
      </c>
      <c r="CD137" s="1199" t="s">
        <v>2051</v>
      </c>
      <c r="CE137" s="1033">
        <f>Möblierungsschablone!$C$21</f>
        <v>7.17</v>
      </c>
      <c r="CF137" s="1200" t="s">
        <v>2046</v>
      </c>
      <c r="CG137" s="1033">
        <f>Möblierungsschablone!$G$21</f>
        <v>10.8</v>
      </c>
      <c r="CH137" s="1199" t="s">
        <v>2051</v>
      </c>
      <c r="CI137" s="1033">
        <f>Möblierungsschablone!$C$21</f>
        <v>7.17</v>
      </c>
      <c r="CJ137" s="1199" t="s">
        <v>2050</v>
      </c>
      <c r="CK137" s="1033">
        <f>2*Möblierungsschablone!$C$21</f>
        <v>14.34</v>
      </c>
      <c r="CL137" s="1199" t="s">
        <v>2049</v>
      </c>
      <c r="CM137" s="1033">
        <f>3*Möblierungsschablone!$C$21</f>
        <v>21.509999999999998</v>
      </c>
      <c r="CN137" s="1199" t="s">
        <v>2048</v>
      </c>
      <c r="CO137" s="1033">
        <f>4*Möblierungsschablone!$C$21</f>
        <v>28.68</v>
      </c>
      <c r="CP137" s="1199" t="s">
        <v>2047</v>
      </c>
      <c r="CQ137" s="1033">
        <f>5*Möblierungsschablone!$C$21</f>
        <v>35.85</v>
      </c>
      <c r="CS137" s="1435" t="s">
        <v>1364</v>
      </c>
      <c r="CT137" s="1199" t="s">
        <v>2051</v>
      </c>
      <c r="CU137" s="1033">
        <f>Möblierungsschablone!$C$21</f>
        <v>7.17</v>
      </c>
      <c r="CV137" s="1200" t="s">
        <v>2046</v>
      </c>
      <c r="CW137" s="1033">
        <f>Möblierungsschablone!$G$21</f>
        <v>10.8</v>
      </c>
      <c r="CX137" s="1199" t="s">
        <v>2051</v>
      </c>
      <c r="CY137" s="1033">
        <f>Möblierungsschablone!$C$21</f>
        <v>7.17</v>
      </c>
      <c r="CZ137" s="1199" t="s">
        <v>2050</v>
      </c>
      <c r="DA137" s="1033">
        <f>2*Möblierungsschablone!$C$21</f>
        <v>14.34</v>
      </c>
      <c r="DB137" s="1199" t="s">
        <v>2049</v>
      </c>
      <c r="DC137" s="1033">
        <f>3*Möblierungsschablone!$C$21</f>
        <v>21.509999999999998</v>
      </c>
      <c r="DD137" s="1199" t="s">
        <v>2048</v>
      </c>
      <c r="DE137" s="1033">
        <f>4*Möblierungsschablone!$C$21</f>
        <v>28.68</v>
      </c>
      <c r="DF137" s="1199" t="s">
        <v>2047</v>
      </c>
      <c r="DG137" s="1033">
        <f>5*Möblierungsschablone!$C$21</f>
        <v>35.85</v>
      </c>
      <c r="DI137" s="1154"/>
      <c r="DJ137" s="1040"/>
      <c r="DK137" s="1039"/>
      <c r="DL137" s="1040"/>
      <c r="DM137" s="1039"/>
      <c r="DN137" s="1040"/>
      <c r="DO137" s="1039"/>
      <c r="DP137" s="1040"/>
      <c r="DQ137" s="1039"/>
      <c r="DR137" s="1040"/>
      <c r="DS137" s="1039"/>
      <c r="DT137" s="1040"/>
      <c r="DU137" s="1039"/>
      <c r="DV137" s="1040"/>
      <c r="DW137" s="1039"/>
    </row>
    <row r="138" spans="1:143" ht="15.75" customHeight="1">
      <c r="A138" s="1435"/>
      <c r="B138" s="1453"/>
      <c r="C138" s="1033"/>
      <c r="D138" s="1440"/>
      <c r="E138" s="1036"/>
      <c r="F138" s="1440"/>
      <c r="G138" s="1033">
        <f>Möblierungsschablone!$G$21</f>
        <v>10.8</v>
      </c>
      <c r="H138" s="1440"/>
      <c r="I138" s="1033">
        <f>Möblierungsschablone!$G$21</f>
        <v>10.8</v>
      </c>
      <c r="J138" s="1440"/>
      <c r="K138" s="1033">
        <f>Möblierungsschablone!$G$21</f>
        <v>10.8</v>
      </c>
      <c r="L138" s="1440"/>
      <c r="M138" s="1033">
        <f>Möblierungsschablone!$G$21</f>
        <v>10.8</v>
      </c>
      <c r="N138" s="1440"/>
      <c r="O138" s="1033">
        <f>Möblierungsschablone!$G$21</f>
        <v>10.8</v>
      </c>
      <c r="Q138" s="1435"/>
      <c r="R138" s="1200"/>
      <c r="S138" s="1033"/>
      <c r="T138" s="1200"/>
      <c r="U138" s="1036"/>
      <c r="V138" s="1200" t="s">
        <v>2046</v>
      </c>
      <c r="W138" s="1033">
        <f>Möblierungsschablone!$G$21</f>
        <v>10.8</v>
      </c>
      <c r="X138" s="1200" t="s">
        <v>2046</v>
      </c>
      <c r="Y138" s="1033">
        <f>Möblierungsschablone!$G$21</f>
        <v>10.8</v>
      </c>
      <c r="Z138" s="1200" t="s">
        <v>2046</v>
      </c>
      <c r="AA138" s="1033">
        <f>Möblierungsschablone!$G$21</f>
        <v>10.8</v>
      </c>
      <c r="AB138" s="1200" t="s">
        <v>2046</v>
      </c>
      <c r="AC138" s="1033">
        <f>Möblierungsschablone!$G$21</f>
        <v>10.8</v>
      </c>
      <c r="AD138" s="1200" t="s">
        <v>2046</v>
      </c>
      <c r="AE138" s="1033">
        <f>Möblierungsschablone!$G$21</f>
        <v>10.8</v>
      </c>
      <c r="AG138" s="1435"/>
      <c r="AH138" s="1200"/>
      <c r="AI138" s="1033"/>
      <c r="AJ138" s="1200"/>
      <c r="AK138" s="1036"/>
      <c r="AL138" s="1200" t="s">
        <v>2046</v>
      </c>
      <c r="AM138" s="1033">
        <f>Möblierungsschablone!$G$21</f>
        <v>10.8</v>
      </c>
      <c r="AN138" s="1200" t="s">
        <v>2046</v>
      </c>
      <c r="AO138" s="1033">
        <f>Möblierungsschablone!$G$21</f>
        <v>10.8</v>
      </c>
      <c r="AP138" s="1200" t="s">
        <v>2046</v>
      </c>
      <c r="AQ138" s="1033">
        <f>Möblierungsschablone!$G$21</f>
        <v>10.8</v>
      </c>
      <c r="AR138" s="1200" t="s">
        <v>2046</v>
      </c>
      <c r="AS138" s="1033">
        <f>Möblierungsschablone!$G$21</f>
        <v>10.8</v>
      </c>
      <c r="AT138" s="1200" t="s">
        <v>2046</v>
      </c>
      <c r="AU138" s="1033">
        <f>Möblierungsschablone!$G$21</f>
        <v>10.8</v>
      </c>
      <c r="AW138" s="1435"/>
      <c r="AX138" s="1200"/>
      <c r="AY138" s="1033"/>
      <c r="AZ138" s="1200"/>
      <c r="BA138" s="1036"/>
      <c r="BB138" s="1200" t="s">
        <v>2046</v>
      </c>
      <c r="BC138" s="1033">
        <f>Möblierungsschablone!$G$21</f>
        <v>10.8</v>
      </c>
      <c r="BD138" s="1200" t="s">
        <v>2046</v>
      </c>
      <c r="BE138" s="1033">
        <f>Möblierungsschablone!$G$21</f>
        <v>10.8</v>
      </c>
      <c r="BF138" s="1200" t="s">
        <v>2046</v>
      </c>
      <c r="BG138" s="1033">
        <f>Möblierungsschablone!$G$21</f>
        <v>10.8</v>
      </c>
      <c r="BH138" s="1200" t="s">
        <v>2046</v>
      </c>
      <c r="BI138" s="1033">
        <f>Möblierungsschablone!$G$21</f>
        <v>10.8</v>
      </c>
      <c r="BJ138" s="1200" t="s">
        <v>2046</v>
      </c>
      <c r="BK138" s="1033">
        <f>Möblierungsschablone!$G$21</f>
        <v>10.8</v>
      </c>
      <c r="BM138" s="1435"/>
      <c r="BN138" s="1451"/>
      <c r="BO138" s="1033"/>
      <c r="BP138" s="1451"/>
      <c r="BQ138" s="1036"/>
      <c r="BR138" s="1438"/>
      <c r="BS138" s="1033">
        <f>Möblierungsschablone!$G$21</f>
        <v>10.8</v>
      </c>
      <c r="BT138" s="1440"/>
      <c r="BU138" s="1033">
        <f>Möblierungsschablone!$G$21</f>
        <v>10.8</v>
      </c>
      <c r="BV138" s="1438"/>
      <c r="BW138" s="1033">
        <f>Möblierungsschablone!$G$21</f>
        <v>10.8</v>
      </c>
      <c r="BX138" s="1440"/>
      <c r="BY138" s="1033">
        <f>Möblierungsschablone!$G$21</f>
        <v>10.8</v>
      </c>
      <c r="BZ138" s="1440"/>
      <c r="CA138" s="1033">
        <f>Möblierungsschablone!$G$21</f>
        <v>10.8</v>
      </c>
      <c r="CC138" s="1435"/>
      <c r="CD138" s="1200"/>
      <c r="CE138" s="1033"/>
      <c r="CF138" s="1200"/>
      <c r="CG138" s="1036"/>
      <c r="CH138" s="1200" t="s">
        <v>2046</v>
      </c>
      <c r="CI138" s="1033">
        <f>Möblierungsschablone!$G$21</f>
        <v>10.8</v>
      </c>
      <c r="CJ138" s="1200" t="s">
        <v>2046</v>
      </c>
      <c r="CK138" s="1033">
        <f>Möblierungsschablone!$G$21</f>
        <v>10.8</v>
      </c>
      <c r="CL138" s="1200" t="s">
        <v>2046</v>
      </c>
      <c r="CM138" s="1033">
        <f>Möblierungsschablone!$G$21</f>
        <v>10.8</v>
      </c>
      <c r="CN138" s="1200" t="s">
        <v>2046</v>
      </c>
      <c r="CO138" s="1033">
        <f>Möblierungsschablone!$G$21</f>
        <v>10.8</v>
      </c>
      <c r="CP138" s="1200" t="s">
        <v>2046</v>
      </c>
      <c r="CQ138" s="1033">
        <f>Möblierungsschablone!$G$21</f>
        <v>10.8</v>
      </c>
      <c r="CS138" s="1435"/>
      <c r="CT138" s="1200"/>
      <c r="CU138" s="1033"/>
      <c r="CV138" s="1200"/>
      <c r="CW138" s="1036"/>
      <c r="CX138" s="1200" t="s">
        <v>2046</v>
      </c>
      <c r="CY138" s="1033">
        <f>Möblierungsschablone!$G$21</f>
        <v>10.8</v>
      </c>
      <c r="CZ138" s="1200" t="s">
        <v>2046</v>
      </c>
      <c r="DA138" s="1033">
        <f>Möblierungsschablone!$G$21</f>
        <v>10.8</v>
      </c>
      <c r="DB138" s="1200" t="s">
        <v>2046</v>
      </c>
      <c r="DC138" s="1033">
        <f>Möblierungsschablone!$G$21</f>
        <v>10.8</v>
      </c>
      <c r="DD138" s="1200" t="s">
        <v>2046</v>
      </c>
      <c r="DE138" s="1033">
        <f>Möblierungsschablone!$G$21</f>
        <v>10.8</v>
      </c>
      <c r="DF138" s="1200" t="s">
        <v>2046</v>
      </c>
      <c r="DG138" s="1033">
        <f>Möblierungsschablone!$G$21</f>
        <v>10.8</v>
      </c>
      <c r="DI138" s="1154"/>
      <c r="DJ138" s="1040"/>
      <c r="DK138" s="1039"/>
      <c r="DL138" s="1040"/>
      <c r="DM138" s="1152"/>
      <c r="DN138" s="1040"/>
      <c r="DO138" s="1039"/>
      <c r="DP138" s="1040"/>
      <c r="DQ138" s="1039"/>
      <c r="DR138" s="1040"/>
      <c r="DS138" s="1039"/>
      <c r="DT138" s="1040"/>
      <c r="DU138" s="1039"/>
      <c r="DV138" s="1040"/>
      <c r="DW138" s="1039"/>
    </row>
    <row r="139" spans="1:143" ht="15.75" customHeight="1">
      <c r="A139" s="1436"/>
      <c r="B139" s="1453"/>
      <c r="C139" s="1033"/>
      <c r="D139" s="1404"/>
      <c r="E139" s="1036"/>
      <c r="F139" s="1404"/>
      <c r="G139" s="1036"/>
      <c r="H139" s="1404"/>
      <c r="I139" s="1036"/>
      <c r="J139" s="1404"/>
      <c r="K139" s="1036"/>
      <c r="L139" s="1404"/>
      <c r="M139" s="1036"/>
      <c r="N139" s="1404"/>
      <c r="O139" s="1036"/>
      <c r="Q139" s="1436"/>
      <c r="R139" s="1200"/>
      <c r="S139" s="1033"/>
      <c r="T139" s="1200"/>
      <c r="U139" s="1036"/>
      <c r="V139" s="1200"/>
      <c r="W139" s="1036"/>
      <c r="X139" s="1200"/>
      <c r="Y139" s="1036"/>
      <c r="Z139" s="1200"/>
      <c r="AA139" s="1036"/>
      <c r="AB139" s="1200"/>
      <c r="AC139" s="1036"/>
      <c r="AD139" s="1200"/>
      <c r="AE139" s="1036"/>
      <c r="AG139" s="1436"/>
      <c r="AH139" s="1200"/>
      <c r="AI139" s="1033"/>
      <c r="AJ139" s="1200"/>
      <c r="AK139" s="1036"/>
      <c r="AL139" s="1200"/>
      <c r="AM139" s="1036"/>
      <c r="AN139" s="1200"/>
      <c r="AO139" s="1036"/>
      <c r="AP139" s="1200"/>
      <c r="AQ139" s="1033"/>
      <c r="AR139" s="1200"/>
      <c r="AS139" s="1033"/>
      <c r="AT139" s="1200"/>
      <c r="AU139" s="1033"/>
      <c r="AW139" s="1436"/>
      <c r="AX139" s="1200"/>
      <c r="AY139" s="1033"/>
      <c r="AZ139" s="1200"/>
      <c r="BA139" s="1036"/>
      <c r="BB139" s="1200" t="s">
        <v>2045</v>
      </c>
      <c r="BC139" s="1033">
        <f>Möblierungsschablone!$C$26</f>
        <v>4.41</v>
      </c>
      <c r="BD139" s="1200"/>
      <c r="BE139" s="1036"/>
      <c r="BF139" s="1200" t="s">
        <v>2044</v>
      </c>
      <c r="BG139" s="1033"/>
      <c r="BH139" s="1200"/>
      <c r="BI139" s="1033"/>
      <c r="BJ139" s="1200"/>
      <c r="BK139" s="1033"/>
      <c r="BM139" s="1436"/>
      <c r="BN139" s="1451"/>
      <c r="BO139" s="1033"/>
      <c r="BP139" s="1451"/>
      <c r="BQ139" s="1036"/>
      <c r="BR139" s="1438"/>
      <c r="BS139" s="1033">
        <f>Möblierungsschablone!$C$26</f>
        <v>4.41</v>
      </c>
      <c r="BT139" s="1404"/>
      <c r="BU139" s="1036"/>
      <c r="BV139" s="1438"/>
      <c r="BW139" s="1033"/>
      <c r="BX139" s="1404"/>
      <c r="BY139" s="1033"/>
      <c r="BZ139" s="1404"/>
      <c r="CA139" s="1033"/>
      <c r="CC139" s="1436"/>
      <c r="CD139" s="1200"/>
      <c r="CE139" s="1033"/>
      <c r="CF139" s="1200"/>
      <c r="CG139" s="1036"/>
      <c r="CH139" s="1200" t="s">
        <v>2045</v>
      </c>
      <c r="CI139" s="1033">
        <f>Möblierungsschablone!$C$26</f>
        <v>4.41</v>
      </c>
      <c r="CJ139" s="1200"/>
      <c r="CK139" s="1036"/>
      <c r="CL139" s="1200" t="s">
        <v>2044</v>
      </c>
      <c r="CM139" s="1033">
        <f>Möblierungsschablone!$E$26</f>
        <v>5.6999999999999993</v>
      </c>
      <c r="CN139" s="1200"/>
      <c r="CO139" s="1033"/>
      <c r="CP139" s="1200"/>
      <c r="CQ139" s="1033"/>
      <c r="CS139" s="1436"/>
      <c r="CT139" s="1200"/>
      <c r="CU139" s="1033"/>
      <c r="CV139" s="1200"/>
      <c r="CW139" s="1036"/>
      <c r="CX139" s="1200" t="s">
        <v>2045</v>
      </c>
      <c r="CY139" s="1033">
        <f>Möblierungsschablone!$C$26</f>
        <v>4.41</v>
      </c>
      <c r="CZ139" s="1200"/>
      <c r="DA139" s="1036"/>
      <c r="DB139" s="1200" t="s">
        <v>2044</v>
      </c>
      <c r="DC139" s="1033">
        <f>Möblierungsschablone!$E$26</f>
        <v>5.6999999999999993</v>
      </c>
      <c r="DD139" s="1200"/>
      <c r="DE139" s="1033"/>
      <c r="DF139" s="1200"/>
      <c r="DG139" s="1033"/>
      <c r="DI139" s="701"/>
      <c r="DJ139" s="1040"/>
      <c r="DK139" s="1039"/>
      <c r="DL139" s="1040"/>
      <c r="DM139" s="1152"/>
      <c r="DN139" s="701"/>
      <c r="DO139" s="1152"/>
      <c r="DP139" s="701"/>
      <c r="DQ139" s="1152"/>
      <c r="DR139" s="701"/>
      <c r="DS139" s="1039"/>
      <c r="DT139" s="701"/>
      <c r="DU139" s="1039"/>
      <c r="DV139" s="701"/>
      <c r="DW139" s="1039"/>
    </row>
    <row r="140" spans="1:143" ht="15.75" customHeight="1">
      <c r="A140" s="1436"/>
      <c r="B140" s="1453"/>
      <c r="C140" s="1034">
        <f>SUM(C137:C139)</f>
        <v>7.17</v>
      </c>
      <c r="D140" s="1404"/>
      <c r="E140" s="1034">
        <f>SUM(E137:E139)</f>
        <v>10.8</v>
      </c>
      <c r="F140" s="1404"/>
      <c r="G140" s="1034">
        <f>SUM(G137:G139)</f>
        <v>17.97</v>
      </c>
      <c r="H140" s="1404"/>
      <c r="I140" s="1034">
        <f>SUM(I137:I139)</f>
        <v>25.14</v>
      </c>
      <c r="J140" s="1404"/>
      <c r="K140" s="1034">
        <f>SUM(K137:K139)</f>
        <v>32.31</v>
      </c>
      <c r="L140" s="1404"/>
      <c r="M140" s="1034">
        <f>SUM(M137:M139)</f>
        <v>39.480000000000004</v>
      </c>
      <c r="N140" s="1404"/>
      <c r="O140" s="1034">
        <f>SUM(O137:O139)</f>
        <v>46.650000000000006</v>
      </c>
      <c r="Q140" s="1436"/>
      <c r="R140" s="1201" t="s">
        <v>2036</v>
      </c>
      <c r="S140" s="1034">
        <f>SUM(S137:S139)</f>
        <v>7.17</v>
      </c>
      <c r="T140" s="1201" t="s">
        <v>2036</v>
      </c>
      <c r="U140" s="1034">
        <f>SUM(U137:U139)</f>
        <v>10.8</v>
      </c>
      <c r="V140" s="1201" t="s">
        <v>2036</v>
      </c>
      <c r="W140" s="1034">
        <f>SUM(W137:W139)</f>
        <v>17.97</v>
      </c>
      <c r="X140" s="1201" t="s">
        <v>2036</v>
      </c>
      <c r="Y140" s="1034">
        <f>SUM(Y137:Y139)</f>
        <v>25.14</v>
      </c>
      <c r="Z140" s="1201" t="s">
        <v>2036</v>
      </c>
      <c r="AA140" s="1034">
        <f>SUM(AA137:AA139)</f>
        <v>32.31</v>
      </c>
      <c r="AB140" s="1201" t="s">
        <v>2036</v>
      </c>
      <c r="AC140" s="1034">
        <f>SUM(AC137:AC139)</f>
        <v>39.480000000000004</v>
      </c>
      <c r="AD140" s="1201" t="s">
        <v>2036</v>
      </c>
      <c r="AE140" s="1034">
        <f>SUM(AE137:AE139)</f>
        <v>46.650000000000006</v>
      </c>
      <c r="AG140" s="1436"/>
      <c r="AH140" s="1201" t="s">
        <v>2036</v>
      </c>
      <c r="AI140" s="1034">
        <f>SUM(AI137:AI139)</f>
        <v>7.17</v>
      </c>
      <c r="AJ140" s="1201" t="s">
        <v>2036</v>
      </c>
      <c r="AK140" s="1034">
        <f>SUM(AK137:AK139)</f>
        <v>10.8</v>
      </c>
      <c r="AL140" s="1201" t="s">
        <v>2036</v>
      </c>
      <c r="AM140" s="1034">
        <f>SUM(AM137:AM139)</f>
        <v>17.97</v>
      </c>
      <c r="AN140" s="1201" t="s">
        <v>2036</v>
      </c>
      <c r="AO140" s="1034">
        <f>SUM(AO137:AO139)</f>
        <v>25.14</v>
      </c>
      <c r="AP140" s="1201" t="s">
        <v>2036</v>
      </c>
      <c r="AQ140" s="1034">
        <f>SUM(AQ137:AQ139)</f>
        <v>32.31</v>
      </c>
      <c r="AR140" s="1201" t="s">
        <v>2036</v>
      </c>
      <c r="AS140" s="1034">
        <f>SUM(AS137:AS139)</f>
        <v>39.480000000000004</v>
      </c>
      <c r="AT140" s="1201" t="s">
        <v>2036</v>
      </c>
      <c r="AU140" s="1034">
        <f>SUM(AU137:AU139)</f>
        <v>46.650000000000006</v>
      </c>
      <c r="AW140" s="1436"/>
      <c r="AX140" s="1201" t="s">
        <v>2036</v>
      </c>
      <c r="AY140" s="1034">
        <f>SUM(AY137:AY139)</f>
        <v>7.17</v>
      </c>
      <c r="AZ140" s="1201" t="s">
        <v>2036</v>
      </c>
      <c r="BA140" s="1034">
        <f>SUM(BA137:BA139)</f>
        <v>10.8</v>
      </c>
      <c r="BB140" s="1201" t="s">
        <v>2036</v>
      </c>
      <c r="BC140" s="1034">
        <f>SUM(BC137:BC139)</f>
        <v>22.38</v>
      </c>
      <c r="BD140" s="1201" t="s">
        <v>2036</v>
      </c>
      <c r="BE140" s="1034">
        <f>SUM(BE137:BE139)</f>
        <v>25.14</v>
      </c>
      <c r="BF140" s="1201" t="s">
        <v>2036</v>
      </c>
      <c r="BG140" s="1034">
        <f>SUM(BG137:BG139)</f>
        <v>32.31</v>
      </c>
      <c r="BH140" s="1201" t="s">
        <v>2036</v>
      </c>
      <c r="BI140" s="1034">
        <f>SUM(BI137:BI139)</f>
        <v>39.480000000000004</v>
      </c>
      <c r="BJ140" s="1201" t="s">
        <v>2036</v>
      </c>
      <c r="BK140" s="1034">
        <f>SUM(BK137:BK139)</f>
        <v>46.650000000000006</v>
      </c>
      <c r="BM140" s="1436"/>
      <c r="BN140" s="1451"/>
      <c r="BO140" s="1034">
        <f>SUM(BO137:BO139)</f>
        <v>7.17</v>
      </c>
      <c r="BP140" s="1451"/>
      <c r="BQ140" s="1034">
        <f>SUM(BQ137:BQ139)</f>
        <v>10.8</v>
      </c>
      <c r="BR140" s="1438"/>
      <c r="BS140" s="1034">
        <f>SUM(BS137:BS139)</f>
        <v>22.38</v>
      </c>
      <c r="BT140" s="1404"/>
      <c r="BU140" s="1034">
        <f>SUM(BU137:BU139)</f>
        <v>25.14</v>
      </c>
      <c r="BV140" s="1438"/>
      <c r="BW140" s="1034">
        <f>SUM(BW137:BW139)</f>
        <v>32.31</v>
      </c>
      <c r="BX140" s="1404"/>
      <c r="BY140" s="1034">
        <f>SUM(BY137:BY139)</f>
        <v>39.480000000000004</v>
      </c>
      <c r="BZ140" s="1404"/>
      <c r="CA140" s="1034">
        <f>SUM(CA137:CA139)</f>
        <v>46.650000000000006</v>
      </c>
      <c r="CC140" s="1436"/>
      <c r="CD140" s="1201" t="s">
        <v>2036</v>
      </c>
      <c r="CE140" s="1034">
        <f>SUM(CE137:CE139)</f>
        <v>7.17</v>
      </c>
      <c r="CF140" s="1201" t="s">
        <v>2036</v>
      </c>
      <c r="CG140" s="1034">
        <f>SUM(CG137:CG139)</f>
        <v>10.8</v>
      </c>
      <c r="CH140" s="1201" t="s">
        <v>2036</v>
      </c>
      <c r="CI140" s="1034">
        <f>SUM(CI137:CI139)</f>
        <v>22.38</v>
      </c>
      <c r="CJ140" s="1201" t="s">
        <v>2036</v>
      </c>
      <c r="CK140" s="1034">
        <f>SUM(CK137:CK139)</f>
        <v>25.14</v>
      </c>
      <c r="CL140" s="1201" t="s">
        <v>2036</v>
      </c>
      <c r="CM140" s="1034">
        <f>SUM(CM137:CM139)</f>
        <v>38.010000000000005</v>
      </c>
      <c r="CN140" s="1201" t="s">
        <v>2036</v>
      </c>
      <c r="CO140" s="1034">
        <f>SUM(CO137:CO139)</f>
        <v>39.480000000000004</v>
      </c>
      <c r="CP140" s="1201" t="s">
        <v>2036</v>
      </c>
      <c r="CQ140" s="1034">
        <f>SUM(CQ137:CQ139)</f>
        <v>46.650000000000006</v>
      </c>
      <c r="CS140" s="1436"/>
      <c r="CT140" s="1201" t="s">
        <v>2036</v>
      </c>
      <c r="CU140" s="1034">
        <f>SUM(CU137:CU139)</f>
        <v>7.17</v>
      </c>
      <c r="CV140" s="1201" t="s">
        <v>2036</v>
      </c>
      <c r="CW140" s="1034">
        <f>SUM(CW137:CW139)</f>
        <v>10.8</v>
      </c>
      <c r="CX140" s="1201" t="s">
        <v>2036</v>
      </c>
      <c r="CY140" s="1034">
        <f>SUM(CY137:CY139)</f>
        <v>22.38</v>
      </c>
      <c r="CZ140" s="1201" t="s">
        <v>2036</v>
      </c>
      <c r="DA140" s="1034">
        <f>SUM(DA137:DA139)</f>
        <v>25.14</v>
      </c>
      <c r="DB140" s="1201" t="s">
        <v>2036</v>
      </c>
      <c r="DC140" s="1034">
        <f>SUM(DC137:DC139)</f>
        <v>38.010000000000005</v>
      </c>
      <c r="DD140" s="1201" t="s">
        <v>2036</v>
      </c>
      <c r="DE140" s="1034">
        <f>SUM(DE137:DE139)</f>
        <v>39.480000000000004</v>
      </c>
      <c r="DF140" s="1201" t="s">
        <v>2036</v>
      </c>
      <c r="DG140" s="1034">
        <f>SUM(DG137:DG139)</f>
        <v>46.650000000000006</v>
      </c>
      <c r="DI140" s="701"/>
      <c r="DJ140" s="1040"/>
      <c r="DK140" s="1193"/>
      <c r="DL140" s="1040"/>
      <c r="DM140" s="1193"/>
      <c r="DN140" s="701"/>
      <c r="DO140" s="1193"/>
      <c r="DP140" s="701"/>
      <c r="DQ140" s="1193"/>
      <c r="DR140" s="701"/>
      <c r="DS140" s="1193"/>
      <c r="DT140" s="701"/>
      <c r="DU140" s="1193"/>
      <c r="DV140" s="701"/>
      <c r="DW140" s="1193"/>
    </row>
    <row r="141" spans="1:143" ht="15.75" customHeight="1">
      <c r="A141" s="1436"/>
      <c r="B141" s="1453"/>
      <c r="C141" s="1032">
        <v>1</v>
      </c>
      <c r="D141" s="1404"/>
      <c r="E141" s="1032">
        <v>2</v>
      </c>
      <c r="F141" s="1404"/>
      <c r="G141" s="1032">
        <v>3</v>
      </c>
      <c r="H141" s="1404"/>
      <c r="I141" s="1032">
        <v>4</v>
      </c>
      <c r="J141" s="1404"/>
      <c r="K141" s="1032">
        <v>5</v>
      </c>
      <c r="L141" s="1404"/>
      <c r="M141" s="1032">
        <v>6</v>
      </c>
      <c r="N141" s="1404"/>
      <c r="O141" s="1032">
        <v>7</v>
      </c>
      <c r="Q141" s="1436"/>
      <c r="R141" s="1200" t="s">
        <v>1247</v>
      </c>
      <c r="S141" s="1032">
        <v>1</v>
      </c>
      <c r="T141" s="1200" t="s">
        <v>1247</v>
      </c>
      <c r="U141" s="1032">
        <v>2</v>
      </c>
      <c r="V141" s="1200" t="s">
        <v>1247</v>
      </c>
      <c r="W141" s="1032">
        <v>3</v>
      </c>
      <c r="X141" s="1200" t="s">
        <v>1247</v>
      </c>
      <c r="Y141" s="1032">
        <v>4</v>
      </c>
      <c r="Z141" s="1200" t="s">
        <v>1247</v>
      </c>
      <c r="AA141" s="1032">
        <v>5</v>
      </c>
      <c r="AB141" s="1200" t="s">
        <v>1247</v>
      </c>
      <c r="AC141" s="1032">
        <v>6</v>
      </c>
      <c r="AD141" s="1200" t="s">
        <v>1247</v>
      </c>
      <c r="AE141" s="1032">
        <v>7</v>
      </c>
      <c r="AG141" s="1436"/>
      <c r="AH141" s="1200" t="s">
        <v>1247</v>
      </c>
      <c r="AI141" s="1032">
        <v>1</v>
      </c>
      <c r="AJ141" s="1200" t="s">
        <v>1247</v>
      </c>
      <c r="AK141" s="1032">
        <v>1</v>
      </c>
      <c r="AL141" s="1200" t="s">
        <v>1247</v>
      </c>
      <c r="AM141" s="1032">
        <v>2</v>
      </c>
      <c r="AN141" s="1200" t="s">
        <v>1247</v>
      </c>
      <c r="AO141" s="1032">
        <v>3</v>
      </c>
      <c r="AP141" s="1200" t="s">
        <v>1247</v>
      </c>
      <c r="AQ141" s="1032">
        <v>4</v>
      </c>
      <c r="AR141" s="1200" t="s">
        <v>1247</v>
      </c>
      <c r="AS141" s="1032">
        <v>5</v>
      </c>
      <c r="AT141" s="1200" t="s">
        <v>1247</v>
      </c>
      <c r="AU141" s="1032">
        <v>6</v>
      </c>
      <c r="AW141" s="1436"/>
      <c r="AX141" s="1200" t="s">
        <v>1247</v>
      </c>
      <c r="AY141" s="1032">
        <v>1</v>
      </c>
      <c r="AZ141" s="1200" t="s">
        <v>1247</v>
      </c>
      <c r="BA141" s="1032">
        <v>1</v>
      </c>
      <c r="BB141" s="1200" t="s">
        <v>1247</v>
      </c>
      <c r="BC141" s="1032">
        <v>2</v>
      </c>
      <c r="BD141" s="1200" t="s">
        <v>1247</v>
      </c>
      <c r="BE141" s="1032">
        <v>3</v>
      </c>
      <c r="BF141" s="1200" t="s">
        <v>1247</v>
      </c>
      <c r="BG141" s="1032">
        <v>4</v>
      </c>
      <c r="BH141" s="1200" t="s">
        <v>1247</v>
      </c>
      <c r="BI141" s="1032">
        <v>5</v>
      </c>
      <c r="BJ141" s="1200" t="s">
        <v>1247</v>
      </c>
      <c r="BK141" s="1032">
        <v>6</v>
      </c>
      <c r="BM141" s="1436"/>
      <c r="BN141" s="1451"/>
      <c r="BO141" s="1032">
        <v>1</v>
      </c>
      <c r="BP141" s="1451"/>
      <c r="BQ141" s="1032">
        <v>1</v>
      </c>
      <c r="BR141" s="1438"/>
      <c r="BS141" s="1032">
        <v>2</v>
      </c>
      <c r="BT141" s="1404"/>
      <c r="BU141" s="1032">
        <v>2</v>
      </c>
      <c r="BV141" s="1438"/>
      <c r="BW141" s="1032">
        <v>3</v>
      </c>
      <c r="BX141" s="1404"/>
      <c r="BY141" s="1032">
        <v>3</v>
      </c>
      <c r="BZ141" s="1404"/>
      <c r="CA141" s="1032">
        <v>4</v>
      </c>
      <c r="CC141" s="1436"/>
      <c r="CD141" s="1200" t="s">
        <v>1247</v>
      </c>
      <c r="CE141" s="1032">
        <v>1</v>
      </c>
      <c r="CF141" s="1200" t="s">
        <v>1247</v>
      </c>
      <c r="CG141" s="1032">
        <v>1</v>
      </c>
      <c r="CH141" s="1200" t="s">
        <v>1247</v>
      </c>
      <c r="CI141" s="1032">
        <v>2</v>
      </c>
      <c r="CJ141" s="1200" t="s">
        <v>1247</v>
      </c>
      <c r="CK141" s="1032">
        <v>2</v>
      </c>
      <c r="CL141" s="1200" t="s">
        <v>1247</v>
      </c>
      <c r="CM141" s="1032">
        <v>3</v>
      </c>
      <c r="CN141" s="1200" t="s">
        <v>1247</v>
      </c>
      <c r="CO141" s="1032">
        <v>3</v>
      </c>
      <c r="CP141" s="1200" t="s">
        <v>1247</v>
      </c>
      <c r="CQ141" s="1032">
        <v>4</v>
      </c>
      <c r="CS141" s="1436"/>
      <c r="CT141" s="1200" t="s">
        <v>1247</v>
      </c>
      <c r="CU141" s="1032">
        <v>1</v>
      </c>
      <c r="CV141" s="1200" t="s">
        <v>1247</v>
      </c>
      <c r="CW141" s="1032">
        <v>1</v>
      </c>
      <c r="CX141" s="1200" t="s">
        <v>1247</v>
      </c>
      <c r="CY141" s="1032">
        <v>2</v>
      </c>
      <c r="CZ141" s="1200" t="s">
        <v>1247</v>
      </c>
      <c r="DA141" s="1032">
        <v>2</v>
      </c>
      <c r="DB141" s="1200" t="s">
        <v>1247</v>
      </c>
      <c r="DC141" s="1032">
        <v>3</v>
      </c>
      <c r="DD141" s="1200" t="s">
        <v>1247</v>
      </c>
      <c r="DE141" s="1032">
        <v>3</v>
      </c>
      <c r="DF141" s="1200" t="s">
        <v>1247</v>
      </c>
      <c r="DG141" s="1032">
        <v>4</v>
      </c>
      <c r="DI141" s="701"/>
      <c r="DJ141" s="1040"/>
      <c r="DK141" s="763"/>
      <c r="DL141" s="1040"/>
      <c r="DM141" s="763"/>
      <c r="DN141" s="701"/>
      <c r="DO141" s="763"/>
      <c r="DP141" s="701"/>
      <c r="DQ141" s="763"/>
      <c r="DR141" s="701"/>
      <c r="DS141" s="763"/>
      <c r="DT141" s="701"/>
      <c r="DU141" s="763"/>
      <c r="DV141" s="701"/>
      <c r="DW141" s="763"/>
    </row>
    <row r="142" spans="1:143" ht="99.75" customHeight="1">
      <c r="A142" s="1436"/>
      <c r="B142" s="1454"/>
      <c r="C142" s="1030">
        <f>C140/(C141*C135)</f>
        <v>0.65840220385674941</v>
      </c>
      <c r="D142" s="1404"/>
      <c r="E142" s="1030">
        <f>E140/(E141*C135)</f>
        <v>0.49586776859504139</v>
      </c>
      <c r="F142" s="1404"/>
      <c r="G142" s="1030">
        <f>G140/(G141*C135)</f>
        <v>0.5500459136822774</v>
      </c>
      <c r="H142" s="1404"/>
      <c r="I142" s="1030">
        <f>I140/(I141*C135)</f>
        <v>0.57713498622589543</v>
      </c>
      <c r="J142" s="1404"/>
      <c r="K142" s="1030">
        <f>K140/(K141*C135)</f>
        <v>0.59338842975206618</v>
      </c>
      <c r="L142" s="1404"/>
      <c r="M142" s="1030">
        <f>M140/(M141*C135)</f>
        <v>0.60422405876951346</v>
      </c>
      <c r="N142" s="1404"/>
      <c r="O142" s="1030">
        <f>O140/(O141*C135)</f>
        <v>0.61196379378197574</v>
      </c>
      <c r="Q142" s="1436"/>
      <c r="R142" s="1202"/>
      <c r="S142" s="1030">
        <f>S140/(S141*S135)</f>
        <v>0.57177033492822971</v>
      </c>
      <c r="T142" s="1202"/>
      <c r="U142" s="1030">
        <f>U140/(U141*S135)</f>
        <v>0.43062200956937807</v>
      </c>
      <c r="V142" s="1202"/>
      <c r="W142" s="1030">
        <f>W140/(W141*S135)</f>
        <v>0.47767145135566186</v>
      </c>
      <c r="X142" s="1202"/>
      <c r="Y142" s="1030">
        <f>Y140/(Y141*S135)</f>
        <v>0.50119617224880386</v>
      </c>
      <c r="Z142" s="1202"/>
      <c r="AA142" s="1030">
        <f>AA140/(AA141*S135)</f>
        <v>0.51531100478468905</v>
      </c>
      <c r="AB142" s="1202"/>
      <c r="AC142" s="1030">
        <f>AC140/(AC141*S135)</f>
        <v>0.52472089314194581</v>
      </c>
      <c r="AD142" s="1202"/>
      <c r="AE142" s="1030">
        <f>AE140/(AE141*S135)</f>
        <v>0.53144224196855783</v>
      </c>
      <c r="AG142" s="1436"/>
      <c r="AH142" s="1202"/>
      <c r="AI142" s="1030">
        <f>AI140/(AI141*AI135)</f>
        <v>0.50528541226215651</v>
      </c>
      <c r="AJ142" s="1202"/>
      <c r="AK142" s="1030">
        <f>AK140/(AK141*AI135)</f>
        <v>0.76109936575052861</v>
      </c>
      <c r="AL142" s="1202"/>
      <c r="AM142" s="1030">
        <f>AM140/(AM141*AI135)</f>
        <v>0.63319238900634245</v>
      </c>
      <c r="AN142" s="1202"/>
      <c r="AO142" s="1030">
        <f>AO140/(AO141*AI135)</f>
        <v>0.5905567300916138</v>
      </c>
      <c r="AP142" s="1202"/>
      <c r="AQ142" s="1030">
        <f>AQ140/(AQ141*AI135)</f>
        <v>0.56923890063424953</v>
      </c>
      <c r="AR142" s="1202"/>
      <c r="AS142" s="1030">
        <f>AS140/(AS141*AI135)</f>
        <v>0.55644820295983088</v>
      </c>
      <c r="AT142" s="1202"/>
      <c r="AU142" s="1030">
        <f>AU140/(AU141*AI135)</f>
        <v>0.54792107117688515</v>
      </c>
      <c r="AW142" s="1436"/>
      <c r="AX142" s="1202"/>
      <c r="AY142" s="1030">
        <f>AY140/(AY141*AY135)</f>
        <v>0.45265151515151519</v>
      </c>
      <c r="AZ142" s="1202"/>
      <c r="BA142" s="1030">
        <f>BA140/(BA141*AY135)</f>
        <v>0.68181818181818199</v>
      </c>
      <c r="BB142" s="1433"/>
      <c r="BC142" s="1426">
        <f>BC140/(BC141*AY135)</f>
        <v>0.70643939393939403</v>
      </c>
      <c r="BD142" s="1202"/>
      <c r="BE142" s="1030">
        <f>BE140/(BE141*AY135)</f>
        <v>0.52904040404040409</v>
      </c>
      <c r="BF142" s="1433"/>
      <c r="BG142" s="1426">
        <f>BG140/(BG141*AY135)</f>
        <v>0.50994318181818188</v>
      </c>
      <c r="BH142" s="1202"/>
      <c r="BI142" s="1030">
        <f>BI140/(BI141*AY135)</f>
        <v>0.49848484848484859</v>
      </c>
      <c r="BJ142" s="1212"/>
      <c r="BK142" s="1030">
        <f>BK140/(BK141*AY135)</f>
        <v>0.49084595959595972</v>
      </c>
      <c r="BM142" s="1436"/>
      <c r="BN142" s="1451"/>
      <c r="BO142" s="1030">
        <f>BO140/(BO141*BO135)</f>
        <v>0.4260249554367202</v>
      </c>
      <c r="BP142" s="1451"/>
      <c r="BQ142" s="1030">
        <f>BQ140/(BQ141*BO135)</f>
        <v>0.64171122994652419</v>
      </c>
      <c r="BR142" s="1438"/>
      <c r="BS142" s="1426">
        <f>BS140/(BS141*BO135)</f>
        <v>0.6648841354723708</v>
      </c>
      <c r="BT142" s="1404"/>
      <c r="BU142" s="1030">
        <f>BU140/(BU141*BO135)</f>
        <v>0.74688057040998224</v>
      </c>
      <c r="BV142" s="1438"/>
      <c r="BW142" s="1426">
        <f>BW140/(BW141*BO135)</f>
        <v>0.63992869875222824</v>
      </c>
      <c r="BX142" s="1404"/>
      <c r="BY142" s="1030">
        <f>BY140/(BY141*BO135)</f>
        <v>0.78193701723113507</v>
      </c>
      <c r="BZ142" s="1404"/>
      <c r="CA142" s="1030">
        <f>CA140/(CA141*BO135)</f>
        <v>0.69295900178253134</v>
      </c>
      <c r="CC142" s="1436"/>
      <c r="CD142" s="1202"/>
      <c r="CE142" s="1030">
        <f>CE140/(CE141*CE135)</f>
        <v>0.39504132231404959</v>
      </c>
      <c r="CF142" s="1202"/>
      <c r="CG142" s="1030">
        <f>CG140/(CG141*CE135)</f>
        <v>0.59504132231404971</v>
      </c>
      <c r="CH142" s="1433"/>
      <c r="CI142" s="1426">
        <f>CI140/(CI141*CE135)</f>
        <v>0.61652892561983474</v>
      </c>
      <c r="CJ142" s="1202"/>
      <c r="CK142" s="1030">
        <f>CK140/(CK141*CE135)</f>
        <v>0.69256198347107445</v>
      </c>
      <c r="CL142" s="1433"/>
      <c r="CM142" s="1426">
        <f>CM140/(CM141*CE135)</f>
        <v>0.69807162534435274</v>
      </c>
      <c r="CN142" s="1202"/>
      <c r="CO142" s="1030">
        <f>CO140/(CO141*CE135)</f>
        <v>0.72506887052341606</v>
      </c>
      <c r="CP142" s="1202"/>
      <c r="CQ142" s="1030">
        <f>CQ140/(CQ141*CE135)</f>
        <v>0.64256198347107452</v>
      </c>
      <c r="CS142" s="1436"/>
      <c r="CT142" s="1202"/>
      <c r="CU142" s="1030">
        <f>CU140/(CU141*CU135)</f>
        <v>0.3746081504702195</v>
      </c>
      <c r="CV142" s="1202"/>
      <c r="CW142" s="1030">
        <f>CW140/(CW141*CU135)</f>
        <v>0.56426332288401271</v>
      </c>
      <c r="CX142" s="1433"/>
      <c r="CY142" s="1426">
        <f>CY140/(CY141*CU135)</f>
        <v>0.58463949843260199</v>
      </c>
      <c r="CZ142" s="1202"/>
      <c r="DA142" s="1030">
        <f>DA140/(DA141*CU135)</f>
        <v>0.65673981191222586</v>
      </c>
      <c r="DB142" s="1433"/>
      <c r="DC142" s="1426">
        <f>DC140/(DC141*CU135)</f>
        <v>0.66196447230930011</v>
      </c>
      <c r="DD142" s="1202"/>
      <c r="DE142" s="1030">
        <f>DE140/(DE141*CU135)</f>
        <v>0.68756530825496365</v>
      </c>
      <c r="DF142" s="1202"/>
      <c r="DG142" s="1030">
        <f>DG140/(DG141*CU135)</f>
        <v>0.60932601880877757</v>
      </c>
      <c r="DI142" s="701"/>
      <c r="DJ142" s="1040"/>
      <c r="DK142" s="1146"/>
      <c r="DL142" s="1040"/>
      <c r="DM142" s="1146"/>
      <c r="DN142" s="701"/>
      <c r="DO142" s="1146"/>
      <c r="DP142" s="701"/>
      <c r="DQ142" s="1146"/>
      <c r="DR142" s="701"/>
      <c r="DS142" s="1146"/>
      <c r="DT142" s="701"/>
      <c r="DU142" s="1146"/>
      <c r="DV142" s="701"/>
      <c r="DW142" s="1146"/>
    </row>
    <row r="143" spans="1:143" ht="15.75" customHeight="1">
      <c r="A143" s="1435" t="s">
        <v>1365</v>
      </c>
      <c r="B143" s="1404"/>
      <c r="C143" s="1036"/>
      <c r="D143" s="1404"/>
      <c r="E143" s="1036"/>
      <c r="F143" s="1404"/>
      <c r="G143" s="1033">
        <f>Möblierungsschablone!$C$26</f>
        <v>4.41</v>
      </c>
      <c r="H143" s="1404"/>
      <c r="I143" s="1033">
        <f>Möblierungsschablone!$E$26</f>
        <v>5.6999999999999993</v>
      </c>
      <c r="J143" s="1404"/>
      <c r="K143" s="1033">
        <f>Möblierungsschablone!$E$26</f>
        <v>5.6999999999999993</v>
      </c>
      <c r="L143" s="1404"/>
      <c r="M143" s="1033">
        <f>Möblierungsschablone!$G$31</f>
        <v>11.129999999999999</v>
      </c>
      <c r="N143" s="1404"/>
      <c r="O143" s="1033">
        <f>Möblierungsschablone!$G$31</f>
        <v>11.129999999999999</v>
      </c>
      <c r="Q143" s="1435" t="s">
        <v>1365</v>
      </c>
      <c r="R143" s="1404"/>
      <c r="S143" s="1036"/>
      <c r="T143" s="1404"/>
      <c r="U143" s="1036"/>
      <c r="V143" s="1199" t="s">
        <v>2045</v>
      </c>
      <c r="W143" s="1033">
        <f>Möblierungsschablone!$C$26</f>
        <v>4.41</v>
      </c>
      <c r="X143" s="1199" t="s">
        <v>2044</v>
      </c>
      <c r="Y143" s="1033">
        <f>Möblierungsschablone!$E$26</f>
        <v>5.6999999999999993</v>
      </c>
      <c r="Z143" s="1199" t="s">
        <v>2044</v>
      </c>
      <c r="AA143" s="1033">
        <f>Möblierungsschablone!$E$26</f>
        <v>5.6999999999999993</v>
      </c>
      <c r="AB143" s="1199" t="s">
        <v>2043</v>
      </c>
      <c r="AC143" s="1033">
        <f>Möblierungsschablone!$G$31</f>
        <v>11.129999999999999</v>
      </c>
      <c r="AD143" s="1199" t="s">
        <v>2043</v>
      </c>
      <c r="AE143" s="1033">
        <f>Möblierungsschablone!$G$31</f>
        <v>11.129999999999999</v>
      </c>
      <c r="AG143" s="1435" t="s">
        <v>1365</v>
      </c>
      <c r="AH143" s="1404"/>
      <c r="AI143" s="1036"/>
      <c r="AJ143" s="1404"/>
      <c r="AK143" s="1036"/>
      <c r="AL143" s="1199" t="s">
        <v>2045</v>
      </c>
      <c r="AM143" s="1033">
        <f>Möblierungsschablone!$C$26</f>
        <v>4.41</v>
      </c>
      <c r="AN143" s="1199" t="s">
        <v>2044</v>
      </c>
      <c r="AO143" s="1033">
        <f>Möblierungsschablone!$E$26</f>
        <v>5.6999999999999993</v>
      </c>
      <c r="AP143" s="1199" t="s">
        <v>2044</v>
      </c>
      <c r="AQ143" s="1033">
        <f>Möblierungsschablone!$E$26</f>
        <v>5.6999999999999993</v>
      </c>
      <c r="AR143" s="1199" t="s">
        <v>2043</v>
      </c>
      <c r="AS143" s="1033">
        <f>Möblierungsschablone!$G$31</f>
        <v>11.129999999999999</v>
      </c>
      <c r="AT143" s="1199" t="s">
        <v>2043</v>
      </c>
      <c r="AU143" s="1033">
        <f>Möblierungsschablone!$G$31</f>
        <v>11.129999999999999</v>
      </c>
      <c r="AW143" s="1435" t="s">
        <v>1365</v>
      </c>
      <c r="AX143" s="1404"/>
      <c r="AY143" s="1036"/>
      <c r="AZ143" s="1404"/>
      <c r="BA143" s="1036"/>
      <c r="BB143" s="1433"/>
      <c r="BC143" s="1427"/>
      <c r="BD143" s="1199" t="s">
        <v>2044</v>
      </c>
      <c r="BE143" s="1033">
        <f>Möblierungsschablone!$E$26</f>
        <v>5.6999999999999993</v>
      </c>
      <c r="BF143" s="1433"/>
      <c r="BG143" s="1427"/>
      <c r="BH143" s="1199" t="s">
        <v>2043</v>
      </c>
      <c r="BI143" s="1033">
        <f>Möblierungsschablone!$G$31</f>
        <v>11.129999999999999</v>
      </c>
      <c r="BJ143" s="1199" t="s">
        <v>2043</v>
      </c>
      <c r="BK143" s="1033">
        <f>Möblierungsschablone!$G$31</f>
        <v>11.129999999999999</v>
      </c>
      <c r="BM143" s="1435" t="s">
        <v>1365</v>
      </c>
      <c r="BN143" s="1404"/>
      <c r="BO143" s="1036"/>
      <c r="BP143" s="1404"/>
      <c r="BQ143" s="1036"/>
      <c r="BR143" s="1438"/>
      <c r="BS143" s="1427"/>
      <c r="BT143" s="1404"/>
      <c r="BU143" s="1033">
        <f>Möblierungsschablone!$E$26</f>
        <v>5.6999999999999993</v>
      </c>
      <c r="BV143" s="1438"/>
      <c r="BW143" s="1427"/>
      <c r="BX143" s="1404"/>
      <c r="BY143" s="1033">
        <f>Möblierungsschablone!$G$31</f>
        <v>11.129999999999999</v>
      </c>
      <c r="BZ143" s="1404"/>
      <c r="CA143" s="1033">
        <f>Möblierungsschablone!$G$31</f>
        <v>11.129999999999999</v>
      </c>
      <c r="CC143" s="1435" t="s">
        <v>1365</v>
      </c>
      <c r="CD143" s="1404"/>
      <c r="CE143" s="1036"/>
      <c r="CF143" s="1404"/>
      <c r="CG143" s="1036"/>
      <c r="CH143" s="1433"/>
      <c r="CI143" s="1427"/>
      <c r="CJ143" s="1199" t="s">
        <v>2044</v>
      </c>
      <c r="CK143" s="1033">
        <f>Möblierungsschablone!$E$26</f>
        <v>5.6999999999999993</v>
      </c>
      <c r="CL143" s="1433"/>
      <c r="CM143" s="1427"/>
      <c r="CN143" s="1199" t="s">
        <v>2043</v>
      </c>
      <c r="CO143" s="1033">
        <f>Möblierungsschablone!$G$31</f>
        <v>11.129999999999999</v>
      </c>
      <c r="CP143" s="1199" t="s">
        <v>2043</v>
      </c>
      <c r="CQ143" s="1033">
        <f>Möblierungsschablone!$G$31</f>
        <v>11.129999999999999</v>
      </c>
      <c r="CS143" s="1435" t="s">
        <v>1365</v>
      </c>
      <c r="CT143" s="1404"/>
      <c r="CU143" s="1036"/>
      <c r="CV143" s="1404"/>
      <c r="CW143" s="1036"/>
      <c r="CX143" s="1433"/>
      <c r="CY143" s="1427"/>
      <c r="CZ143" s="1199" t="s">
        <v>2044</v>
      </c>
      <c r="DA143" s="1033">
        <f>Möblierungsschablone!$E$26</f>
        <v>5.6999999999999993</v>
      </c>
      <c r="DB143" s="1433"/>
      <c r="DC143" s="1427"/>
      <c r="DD143" s="1199" t="s">
        <v>2043</v>
      </c>
      <c r="DE143" s="1033">
        <f>Möblierungsschablone!$G$31</f>
        <v>11.129999999999999</v>
      </c>
      <c r="DF143" s="1199" t="s">
        <v>2043</v>
      </c>
      <c r="DG143" s="1033">
        <f>Möblierungsschablone!$G$31</f>
        <v>11.129999999999999</v>
      </c>
      <c r="DI143" s="1154"/>
      <c r="DJ143" s="701"/>
      <c r="DK143" s="1152"/>
      <c r="DL143" s="701"/>
      <c r="DM143" s="1152"/>
      <c r="DN143" s="701"/>
      <c r="DO143" s="1039"/>
      <c r="DP143" s="701"/>
      <c r="DQ143" s="1039"/>
      <c r="DR143" s="701"/>
      <c r="DS143" s="1039"/>
      <c r="DT143" s="701"/>
      <c r="DU143" s="1039"/>
      <c r="DV143" s="701"/>
      <c r="DW143" s="1039"/>
    </row>
    <row r="144" spans="1:143" ht="15.75" customHeight="1">
      <c r="A144" s="1436"/>
      <c r="B144" s="1404"/>
      <c r="C144" s="1036"/>
      <c r="D144" s="1404"/>
      <c r="E144" s="1036"/>
      <c r="F144" s="1404"/>
      <c r="G144" s="1036"/>
      <c r="H144" s="1404"/>
      <c r="I144" s="1036"/>
      <c r="J144" s="1404"/>
      <c r="K144" s="1036"/>
      <c r="L144" s="1404"/>
      <c r="M144" s="1036"/>
      <c r="N144" s="1404"/>
      <c r="O144" s="1036"/>
      <c r="Q144" s="1436"/>
      <c r="R144" s="1404"/>
      <c r="S144" s="1036"/>
      <c r="T144" s="1404"/>
      <c r="U144" s="1036"/>
      <c r="V144" s="1200"/>
      <c r="W144" s="1036"/>
      <c r="X144" s="1200"/>
      <c r="Y144" s="1036"/>
      <c r="Z144" s="1200"/>
      <c r="AA144" s="1036"/>
      <c r="AB144" s="1200"/>
      <c r="AC144" s="1036"/>
      <c r="AD144" s="1200"/>
      <c r="AE144" s="1036"/>
      <c r="AG144" s="1436"/>
      <c r="AH144" s="1404"/>
      <c r="AI144" s="1036"/>
      <c r="AJ144" s="1404"/>
      <c r="AK144" s="1036"/>
      <c r="AL144" s="1200"/>
      <c r="AM144" s="1036"/>
      <c r="AN144" s="1200"/>
      <c r="AO144" s="1036"/>
      <c r="AP144" s="1200"/>
      <c r="AQ144" s="1036"/>
      <c r="AR144" s="1200"/>
      <c r="AS144" s="1036"/>
      <c r="AT144" s="1200"/>
      <c r="AU144" s="1036"/>
      <c r="AW144" s="1436"/>
      <c r="AX144" s="1404"/>
      <c r="AY144" s="1036"/>
      <c r="AZ144" s="1404"/>
      <c r="BA144" s="1036"/>
      <c r="BB144" s="1433"/>
      <c r="BC144" s="1427"/>
      <c r="BD144" s="1200"/>
      <c r="BE144" s="1036"/>
      <c r="BF144" s="1433"/>
      <c r="BG144" s="1427"/>
      <c r="BH144" s="1200"/>
      <c r="BI144" s="1036"/>
      <c r="BJ144" s="1200"/>
      <c r="BK144" s="1036"/>
      <c r="BM144" s="1436"/>
      <c r="BN144" s="1404"/>
      <c r="BO144" s="1036"/>
      <c r="BP144" s="1404"/>
      <c r="BQ144" s="1036"/>
      <c r="BR144" s="1438"/>
      <c r="BS144" s="1427"/>
      <c r="BT144" s="1404"/>
      <c r="BU144" s="1036"/>
      <c r="BV144" s="1438"/>
      <c r="BW144" s="1427"/>
      <c r="BX144" s="1404"/>
      <c r="BY144" s="1036"/>
      <c r="BZ144" s="1404"/>
      <c r="CA144" s="1036"/>
      <c r="CC144" s="1436"/>
      <c r="CD144" s="1404"/>
      <c r="CE144" s="1036"/>
      <c r="CF144" s="1404"/>
      <c r="CG144" s="1036"/>
      <c r="CH144" s="1433"/>
      <c r="CI144" s="1427"/>
      <c r="CJ144" s="1200"/>
      <c r="CK144" s="1036"/>
      <c r="CL144" s="1433"/>
      <c r="CM144" s="1427"/>
      <c r="CN144" s="1200"/>
      <c r="CO144" s="1036"/>
      <c r="CP144" s="1200"/>
      <c r="CQ144" s="1036"/>
      <c r="CS144" s="1436"/>
      <c r="CT144" s="1404"/>
      <c r="CU144" s="1036"/>
      <c r="CV144" s="1404"/>
      <c r="CW144" s="1036"/>
      <c r="CX144" s="1433"/>
      <c r="CY144" s="1427"/>
      <c r="CZ144" s="1200"/>
      <c r="DA144" s="1036"/>
      <c r="DB144" s="1433"/>
      <c r="DC144" s="1427"/>
      <c r="DD144" s="1200"/>
      <c r="DE144" s="1036"/>
      <c r="DF144" s="1200"/>
      <c r="DG144" s="1036"/>
      <c r="DI144" s="701"/>
      <c r="DJ144" s="701"/>
      <c r="DK144" s="1152"/>
      <c r="DL144" s="701"/>
      <c r="DM144" s="1152"/>
      <c r="DN144" s="701"/>
      <c r="DO144" s="1152"/>
      <c r="DP144" s="701"/>
      <c r="DQ144" s="1152"/>
      <c r="DR144" s="701"/>
      <c r="DS144" s="1152"/>
      <c r="DT144" s="701"/>
      <c r="DU144" s="1152"/>
      <c r="DV144" s="701"/>
      <c r="DW144" s="1152"/>
    </row>
    <row r="145" spans="1:127" ht="15.75" customHeight="1">
      <c r="A145" s="1436"/>
      <c r="B145" s="1404"/>
      <c r="C145" s="1036"/>
      <c r="D145" s="1404"/>
      <c r="E145" s="1036"/>
      <c r="F145" s="1404"/>
      <c r="G145" s="1034">
        <f>SUM(G143:G144)</f>
        <v>4.41</v>
      </c>
      <c r="H145" s="1404"/>
      <c r="I145" s="1034">
        <f>SUM(I143:I144)</f>
        <v>5.6999999999999993</v>
      </c>
      <c r="J145" s="1404"/>
      <c r="K145" s="1034">
        <f>SUM(K143:K144)</f>
        <v>5.6999999999999993</v>
      </c>
      <c r="L145" s="1404"/>
      <c r="M145" s="1034">
        <f>SUM(M143:M144)</f>
        <v>11.129999999999999</v>
      </c>
      <c r="N145" s="1404"/>
      <c r="O145" s="1034">
        <f>SUM(O143:O144)</f>
        <v>11.129999999999999</v>
      </c>
      <c r="Q145" s="1436"/>
      <c r="R145" s="1404"/>
      <c r="S145" s="1036"/>
      <c r="T145" s="1404"/>
      <c r="U145" s="1036"/>
      <c r="V145" s="1201" t="s">
        <v>2036</v>
      </c>
      <c r="W145" s="1034">
        <f>SUM(W143:W144)</f>
        <v>4.41</v>
      </c>
      <c r="X145" s="1201" t="s">
        <v>2036</v>
      </c>
      <c r="Y145" s="1034">
        <f>SUM(Y143:Y144)</f>
        <v>5.6999999999999993</v>
      </c>
      <c r="Z145" s="1201" t="s">
        <v>2036</v>
      </c>
      <c r="AA145" s="1034">
        <f>SUM(AA143:AA144)</f>
        <v>5.6999999999999993</v>
      </c>
      <c r="AB145" s="1201" t="s">
        <v>2036</v>
      </c>
      <c r="AC145" s="1034">
        <f>SUM(AC143:AC144)</f>
        <v>11.129999999999999</v>
      </c>
      <c r="AD145" s="1201" t="s">
        <v>2036</v>
      </c>
      <c r="AE145" s="1034">
        <f>SUM(AE143:AE144)</f>
        <v>11.129999999999999</v>
      </c>
      <c r="AG145" s="1436"/>
      <c r="AH145" s="1404"/>
      <c r="AI145" s="1036"/>
      <c r="AJ145" s="1404"/>
      <c r="AK145" s="1036"/>
      <c r="AL145" s="1201" t="s">
        <v>2036</v>
      </c>
      <c r="AM145" s="1034">
        <f>SUM(AM143:AM144)</f>
        <v>4.41</v>
      </c>
      <c r="AN145" s="1201" t="s">
        <v>2036</v>
      </c>
      <c r="AO145" s="1034">
        <f>SUM(AO143:AO144)</f>
        <v>5.6999999999999993</v>
      </c>
      <c r="AP145" s="1201" t="s">
        <v>2036</v>
      </c>
      <c r="AQ145" s="1034">
        <f>SUM(AQ143:AQ144)</f>
        <v>5.6999999999999993</v>
      </c>
      <c r="AR145" s="1201" t="s">
        <v>2036</v>
      </c>
      <c r="AS145" s="1034">
        <f>SUM(AS143:AS144)</f>
        <v>11.129999999999999</v>
      </c>
      <c r="AT145" s="1201" t="s">
        <v>2036</v>
      </c>
      <c r="AU145" s="1034">
        <f>SUM(AU143:AU144)</f>
        <v>11.129999999999999</v>
      </c>
      <c r="AW145" s="1436"/>
      <c r="AX145" s="1404"/>
      <c r="AY145" s="1036"/>
      <c r="AZ145" s="1404"/>
      <c r="BA145" s="1036"/>
      <c r="BB145" s="1433"/>
      <c r="BC145" s="1427"/>
      <c r="BD145" s="1201" t="s">
        <v>2036</v>
      </c>
      <c r="BE145" s="1034">
        <f>SUM(BE143:BE144)</f>
        <v>5.6999999999999993</v>
      </c>
      <c r="BF145" s="1433"/>
      <c r="BG145" s="1427"/>
      <c r="BH145" s="1201" t="s">
        <v>2036</v>
      </c>
      <c r="BI145" s="1034">
        <f>SUM(BI143:BI144)</f>
        <v>11.129999999999999</v>
      </c>
      <c r="BJ145" s="1201" t="s">
        <v>2036</v>
      </c>
      <c r="BK145" s="1034">
        <f>SUM(BK143:BK144)</f>
        <v>11.129999999999999</v>
      </c>
      <c r="BM145" s="1436"/>
      <c r="BN145" s="1404"/>
      <c r="BO145" s="1036"/>
      <c r="BP145" s="1404"/>
      <c r="BQ145" s="1036"/>
      <c r="BR145" s="1438"/>
      <c r="BS145" s="1427"/>
      <c r="BT145" s="1404"/>
      <c r="BU145" s="1034">
        <f>SUM(BU143:BU144)</f>
        <v>5.6999999999999993</v>
      </c>
      <c r="BV145" s="1438"/>
      <c r="BW145" s="1427"/>
      <c r="BX145" s="1404"/>
      <c r="BY145" s="1034">
        <f>SUM(BY143:BY144)</f>
        <v>11.129999999999999</v>
      </c>
      <c r="BZ145" s="1404"/>
      <c r="CA145" s="1034">
        <f>SUM(CA143:CA144)</f>
        <v>11.129999999999999</v>
      </c>
      <c r="CC145" s="1436"/>
      <c r="CD145" s="1404"/>
      <c r="CE145" s="1036"/>
      <c r="CF145" s="1404"/>
      <c r="CG145" s="1036"/>
      <c r="CH145" s="1433"/>
      <c r="CI145" s="1427"/>
      <c r="CJ145" s="1201" t="s">
        <v>2036</v>
      </c>
      <c r="CK145" s="1034">
        <f>SUM(CK143:CK144)</f>
        <v>5.6999999999999993</v>
      </c>
      <c r="CL145" s="1433"/>
      <c r="CM145" s="1427"/>
      <c r="CN145" s="1201" t="s">
        <v>2036</v>
      </c>
      <c r="CO145" s="1034">
        <f>SUM(CO143:CO144)</f>
        <v>11.129999999999999</v>
      </c>
      <c r="CP145" s="1201" t="s">
        <v>2036</v>
      </c>
      <c r="CQ145" s="1034">
        <f>SUM(CQ143:CQ144)</f>
        <v>11.129999999999999</v>
      </c>
      <c r="CS145" s="1436"/>
      <c r="CT145" s="1404"/>
      <c r="CU145" s="1036"/>
      <c r="CV145" s="1404"/>
      <c r="CW145" s="1036"/>
      <c r="CX145" s="1433"/>
      <c r="CY145" s="1427"/>
      <c r="CZ145" s="1201" t="s">
        <v>2036</v>
      </c>
      <c r="DA145" s="1034">
        <f>SUM(DA143:DA144)</f>
        <v>5.6999999999999993</v>
      </c>
      <c r="DB145" s="1433"/>
      <c r="DC145" s="1427"/>
      <c r="DD145" s="1201" t="s">
        <v>2036</v>
      </c>
      <c r="DE145" s="1034">
        <f>SUM(DE143:DE144)</f>
        <v>11.129999999999999</v>
      </c>
      <c r="DF145" s="1201" t="s">
        <v>2036</v>
      </c>
      <c r="DG145" s="1034">
        <f>SUM(DG143:DG144)</f>
        <v>11.129999999999999</v>
      </c>
      <c r="DI145" s="701"/>
      <c r="DJ145" s="701"/>
      <c r="DK145" s="1152"/>
      <c r="DL145" s="701"/>
      <c r="DM145" s="1152"/>
      <c r="DN145" s="701"/>
      <c r="DO145" s="1193"/>
      <c r="DP145" s="701"/>
      <c r="DQ145" s="1193"/>
      <c r="DR145" s="701"/>
      <c r="DS145" s="1193"/>
      <c r="DT145" s="701"/>
      <c r="DU145" s="1193"/>
      <c r="DV145" s="701"/>
      <c r="DW145" s="1193"/>
    </row>
    <row r="146" spans="1:127" ht="15.75" customHeight="1">
      <c r="A146" s="1436"/>
      <c r="B146" s="1404"/>
      <c r="C146" s="1036"/>
      <c r="D146" s="1404"/>
      <c r="E146" s="1036"/>
      <c r="F146" s="1404"/>
      <c r="G146" s="1032">
        <v>1</v>
      </c>
      <c r="H146" s="1404"/>
      <c r="I146" s="1032">
        <v>1</v>
      </c>
      <c r="J146" s="1404"/>
      <c r="K146" s="1032">
        <v>1</v>
      </c>
      <c r="L146" s="1404"/>
      <c r="M146" s="1032">
        <v>2</v>
      </c>
      <c r="N146" s="1404"/>
      <c r="O146" s="1032">
        <v>2</v>
      </c>
      <c r="Q146" s="1436"/>
      <c r="R146" s="1404"/>
      <c r="S146" s="1036"/>
      <c r="T146" s="1404"/>
      <c r="U146" s="1036"/>
      <c r="V146" s="1200" t="s">
        <v>1247</v>
      </c>
      <c r="W146" s="1032">
        <v>1</v>
      </c>
      <c r="X146" s="1200" t="s">
        <v>1247</v>
      </c>
      <c r="Y146" s="1032">
        <v>1</v>
      </c>
      <c r="Z146" s="1200" t="s">
        <v>1247</v>
      </c>
      <c r="AA146" s="1032">
        <v>1</v>
      </c>
      <c r="AB146" s="1200" t="s">
        <v>1247</v>
      </c>
      <c r="AC146" s="1032">
        <v>1</v>
      </c>
      <c r="AD146" s="1200" t="s">
        <v>1247</v>
      </c>
      <c r="AE146" s="1032">
        <v>1</v>
      </c>
      <c r="AG146" s="1436"/>
      <c r="AH146" s="1404"/>
      <c r="AI146" s="1036"/>
      <c r="AJ146" s="1404"/>
      <c r="AK146" s="1036"/>
      <c r="AL146" s="1200" t="s">
        <v>1247</v>
      </c>
      <c r="AM146" s="1032">
        <v>1</v>
      </c>
      <c r="AN146" s="1200" t="s">
        <v>1247</v>
      </c>
      <c r="AO146" s="1032">
        <v>1</v>
      </c>
      <c r="AP146" s="1200" t="s">
        <v>1247</v>
      </c>
      <c r="AQ146" s="1032">
        <v>1</v>
      </c>
      <c r="AR146" s="1200" t="s">
        <v>1247</v>
      </c>
      <c r="AS146" s="1032">
        <v>1</v>
      </c>
      <c r="AT146" s="1200" t="s">
        <v>1247</v>
      </c>
      <c r="AU146" s="1032">
        <v>1</v>
      </c>
      <c r="AW146" s="1436"/>
      <c r="AX146" s="1404"/>
      <c r="AY146" s="1036"/>
      <c r="AZ146" s="1404"/>
      <c r="BA146" s="1036"/>
      <c r="BB146" s="1433"/>
      <c r="BC146" s="1427"/>
      <c r="BD146" s="1200" t="s">
        <v>1247</v>
      </c>
      <c r="BE146" s="1032">
        <v>1</v>
      </c>
      <c r="BF146" s="1433"/>
      <c r="BG146" s="1427"/>
      <c r="BH146" s="1200" t="s">
        <v>1247</v>
      </c>
      <c r="BI146" s="1032">
        <v>1</v>
      </c>
      <c r="BJ146" s="1200" t="s">
        <v>1247</v>
      </c>
      <c r="BK146" s="1032">
        <v>1</v>
      </c>
      <c r="BM146" s="1436"/>
      <c r="BN146" s="1404"/>
      <c r="BO146" s="1036"/>
      <c r="BP146" s="1404"/>
      <c r="BQ146" s="1036"/>
      <c r="BR146" s="1438"/>
      <c r="BS146" s="1427"/>
      <c r="BT146" s="1404"/>
      <c r="BU146" s="1032">
        <v>1</v>
      </c>
      <c r="BV146" s="1438"/>
      <c r="BW146" s="1427"/>
      <c r="BX146" s="1404"/>
      <c r="BY146" s="1032">
        <v>1</v>
      </c>
      <c r="BZ146" s="1404"/>
      <c r="CA146" s="1032">
        <v>1</v>
      </c>
      <c r="CC146" s="1436"/>
      <c r="CD146" s="1404"/>
      <c r="CE146" s="1036"/>
      <c r="CF146" s="1404"/>
      <c r="CG146" s="1036"/>
      <c r="CH146" s="1433"/>
      <c r="CI146" s="1427"/>
      <c r="CJ146" s="1200" t="s">
        <v>1247</v>
      </c>
      <c r="CK146" s="1032">
        <v>1</v>
      </c>
      <c r="CL146" s="1433"/>
      <c r="CM146" s="1427"/>
      <c r="CN146" s="1200" t="s">
        <v>1247</v>
      </c>
      <c r="CO146" s="1032">
        <v>1</v>
      </c>
      <c r="CP146" s="1200" t="s">
        <v>1247</v>
      </c>
      <c r="CQ146" s="1032">
        <v>1</v>
      </c>
      <c r="CS146" s="1436"/>
      <c r="CT146" s="1404"/>
      <c r="CU146" s="1036"/>
      <c r="CV146" s="1404"/>
      <c r="CW146" s="1036"/>
      <c r="CX146" s="1433"/>
      <c r="CY146" s="1427"/>
      <c r="CZ146" s="1200" t="s">
        <v>1247</v>
      </c>
      <c r="DA146" s="1032">
        <v>1</v>
      </c>
      <c r="DB146" s="1433"/>
      <c r="DC146" s="1427"/>
      <c r="DD146" s="1200" t="s">
        <v>1247</v>
      </c>
      <c r="DE146" s="1032">
        <v>1</v>
      </c>
      <c r="DF146" s="1200" t="s">
        <v>1247</v>
      </c>
      <c r="DG146" s="1032">
        <v>1</v>
      </c>
      <c r="DI146" s="701"/>
      <c r="DJ146" s="701"/>
      <c r="DK146" s="1152"/>
      <c r="DL146" s="701"/>
      <c r="DM146" s="1152"/>
      <c r="DN146" s="701"/>
      <c r="DO146" s="763"/>
      <c r="DP146" s="701"/>
      <c r="DQ146" s="763"/>
      <c r="DR146" s="701"/>
      <c r="DS146" s="763"/>
      <c r="DT146" s="701"/>
      <c r="DU146" s="763"/>
      <c r="DV146" s="701"/>
      <c r="DW146" s="763"/>
    </row>
    <row r="147" spans="1:127" ht="15.75" customHeight="1">
      <c r="A147" s="1436"/>
      <c r="B147" s="1404"/>
      <c r="C147" s="1035" t="s">
        <v>1181</v>
      </c>
      <c r="D147" s="1404"/>
      <c r="E147" s="1035" t="s">
        <v>1181</v>
      </c>
      <c r="F147" s="1404"/>
      <c r="G147" s="1030">
        <f>G145/(G146*C135)</f>
        <v>0.40495867768595045</v>
      </c>
      <c r="H147" s="1404"/>
      <c r="I147" s="1030">
        <f>I145/(I146*C135)</f>
        <v>0.52341597796143247</v>
      </c>
      <c r="J147" s="1404"/>
      <c r="K147" s="1030">
        <f>K145/(K146*C135)</f>
        <v>0.52341597796143247</v>
      </c>
      <c r="L147" s="1404"/>
      <c r="M147" s="1030">
        <f>M145/(M146*C135)</f>
        <v>0.51101928374655647</v>
      </c>
      <c r="N147" s="1404"/>
      <c r="O147" s="1030">
        <f>O145/(O146*C135)</f>
        <v>0.51101928374655647</v>
      </c>
      <c r="Q147" s="1436"/>
      <c r="R147" s="1404"/>
      <c r="S147" s="1035" t="s">
        <v>1181</v>
      </c>
      <c r="T147" s="1404"/>
      <c r="U147" s="1035" t="s">
        <v>1181</v>
      </c>
      <c r="V147" s="1202"/>
      <c r="W147" s="1030">
        <f>W145/(W146*S135)</f>
        <v>0.35167464114832542</v>
      </c>
      <c r="X147" s="1202"/>
      <c r="Y147" s="1030">
        <f>Y145/(Y146*S135)</f>
        <v>0.45454545454545453</v>
      </c>
      <c r="Z147" s="1202"/>
      <c r="AA147" s="1030">
        <f>AA145/(AA146*S135)</f>
        <v>0.45454545454545453</v>
      </c>
      <c r="AB147" s="1202"/>
      <c r="AC147" s="1030">
        <f>AC145/(AC146*S135)</f>
        <v>0.88755980861244022</v>
      </c>
      <c r="AD147" s="1202"/>
      <c r="AE147" s="1030">
        <f>AE145/(AE146*S135)</f>
        <v>0.88755980861244022</v>
      </c>
      <c r="AG147" s="1436"/>
      <c r="AH147" s="1404"/>
      <c r="AI147" s="1035" t="s">
        <v>1181</v>
      </c>
      <c r="AJ147" s="1404"/>
      <c r="AK147" s="1035" t="s">
        <v>1181</v>
      </c>
      <c r="AL147" s="1202"/>
      <c r="AM147" s="1030">
        <f>AM145/(AM146*AI135)</f>
        <v>0.31078224101479918</v>
      </c>
      <c r="AN147" s="1202"/>
      <c r="AO147" s="1030">
        <f>AO145/(AO146*AI135)</f>
        <v>0.40169133192389</v>
      </c>
      <c r="AP147" s="1202"/>
      <c r="AQ147" s="1030">
        <f>AQ145/(AQ146*AI135)</f>
        <v>0.40169133192389</v>
      </c>
      <c r="AR147" s="1202"/>
      <c r="AS147" s="1030">
        <f>AS145/(AS146*AI135)</f>
        <v>0.78435517970401691</v>
      </c>
      <c r="AT147" s="1202"/>
      <c r="AU147" s="1030">
        <f>AU145/(AU146*AI135)</f>
        <v>0.78435517970401691</v>
      </c>
      <c r="AW147" s="1436"/>
      <c r="AX147" s="1404"/>
      <c r="AY147" s="1035" t="s">
        <v>1181</v>
      </c>
      <c r="AZ147" s="1404"/>
      <c r="BA147" s="1035" t="s">
        <v>1181</v>
      </c>
      <c r="BB147" s="1434"/>
      <c r="BC147" s="1428"/>
      <c r="BD147" s="1202"/>
      <c r="BE147" s="1030">
        <f>BE145/(BE146*AY135)</f>
        <v>0.35984848484848486</v>
      </c>
      <c r="BF147" s="1434"/>
      <c r="BG147" s="1428"/>
      <c r="BH147" s="1202"/>
      <c r="BI147" s="1030">
        <f>BI145/(BI146*AY135)</f>
        <v>0.70265151515151514</v>
      </c>
      <c r="BJ147" s="1202"/>
      <c r="BK147" s="1030">
        <f>BK145/(BK146*AY135)</f>
        <v>0.70265151515151514</v>
      </c>
      <c r="BM147" s="1436"/>
      <c r="BN147" s="1404"/>
      <c r="BO147" s="1035" t="s">
        <v>1181</v>
      </c>
      <c r="BP147" s="1404"/>
      <c r="BQ147" s="1035" t="s">
        <v>1181</v>
      </c>
      <c r="BR147" s="1439"/>
      <c r="BS147" s="1428"/>
      <c r="BT147" s="1404"/>
      <c r="BU147" s="1030">
        <f>BU145/(BU146*BO135)</f>
        <v>0.33868092691622104</v>
      </c>
      <c r="BV147" s="1439"/>
      <c r="BW147" s="1428"/>
      <c r="BX147" s="1404"/>
      <c r="BY147" s="1030">
        <f>BY145/(BY146*BO135)</f>
        <v>0.66131907308377902</v>
      </c>
      <c r="BZ147" s="1404"/>
      <c r="CA147" s="1030">
        <f>CA145/(CA146*BO135)</f>
        <v>0.66131907308377902</v>
      </c>
      <c r="CC147" s="1436"/>
      <c r="CD147" s="1404"/>
      <c r="CE147" s="1035" t="s">
        <v>1181</v>
      </c>
      <c r="CF147" s="1404"/>
      <c r="CG147" s="1035" t="s">
        <v>1181</v>
      </c>
      <c r="CH147" s="1434"/>
      <c r="CI147" s="1428"/>
      <c r="CJ147" s="1202"/>
      <c r="CK147" s="1030">
        <f>CK145/(CK146*CE135)</f>
        <v>0.31404958677685951</v>
      </c>
      <c r="CL147" s="1434"/>
      <c r="CM147" s="1428"/>
      <c r="CN147" s="1202"/>
      <c r="CO147" s="1030">
        <f>CO145/(CO146*CE135)</f>
        <v>0.61322314049586779</v>
      </c>
      <c r="CP147" s="1202"/>
      <c r="CQ147" s="1030">
        <f>CQ145/(CQ146*CE135)</f>
        <v>0.61322314049586779</v>
      </c>
      <c r="CS147" s="1436"/>
      <c r="CT147" s="1404"/>
      <c r="CU147" s="1035" t="s">
        <v>1181</v>
      </c>
      <c r="CV147" s="1404"/>
      <c r="CW147" s="1035" t="s">
        <v>1181</v>
      </c>
      <c r="CX147" s="1434"/>
      <c r="CY147" s="1428"/>
      <c r="CZ147" s="1202"/>
      <c r="DA147" s="1030">
        <f>DA145/(DA146*CU135)</f>
        <v>0.29780564263322884</v>
      </c>
      <c r="DB147" s="1434"/>
      <c r="DC147" s="1428"/>
      <c r="DD147" s="1202"/>
      <c r="DE147" s="1030">
        <f>DE145/(DE146*CU135)</f>
        <v>0.58150470219435746</v>
      </c>
      <c r="DF147" s="1202"/>
      <c r="DG147" s="1030">
        <f>DG145/(DG146*CU135)</f>
        <v>0.58150470219435746</v>
      </c>
      <c r="DI147" s="701"/>
      <c r="DJ147" s="701"/>
      <c r="DK147" s="1210"/>
      <c r="DL147" s="701"/>
      <c r="DM147" s="1210"/>
      <c r="DN147" s="701"/>
      <c r="DO147" s="1146"/>
      <c r="DP147" s="701"/>
      <c r="DQ147" s="1146"/>
      <c r="DR147" s="701"/>
      <c r="DS147" s="1146"/>
      <c r="DT147" s="701"/>
      <c r="DU147" s="1146"/>
      <c r="DV147" s="701"/>
      <c r="DW147" s="1146"/>
    </row>
    <row r="148" spans="1:127" ht="15.75" customHeight="1">
      <c r="A148" s="1435" t="s">
        <v>1366</v>
      </c>
      <c r="B148" s="1414"/>
      <c r="C148" s="1033">
        <f>Möblierungsschablone!$C$41</f>
        <v>2.5649999999999999</v>
      </c>
      <c r="D148" s="1414"/>
      <c r="E148" s="1033">
        <f>Möblierungsschablone!$E$41</f>
        <v>2.5649999999999999</v>
      </c>
      <c r="F148" s="1414"/>
      <c r="G148" s="1033">
        <f>Möblierungsschablone!$G$36</f>
        <v>3.5999999999999996</v>
      </c>
      <c r="H148" s="1404"/>
      <c r="I148" s="1033">
        <f>Möblierungsschablone!$I$36</f>
        <v>4.32</v>
      </c>
      <c r="J148" s="1404"/>
      <c r="K148" s="1033">
        <f>Möblierungsschablone!$K$36</f>
        <v>5.04</v>
      </c>
      <c r="L148" s="1404"/>
      <c r="M148" s="1033">
        <f>Möblierungsschablone!$M$36</f>
        <v>5.76</v>
      </c>
      <c r="N148" s="1404"/>
      <c r="O148" s="1033">
        <f>Möblierungsschablone!$O$36</f>
        <v>6.48</v>
      </c>
      <c r="Q148" s="1435" t="s">
        <v>1366</v>
      </c>
      <c r="R148" s="1199" t="s">
        <v>2042</v>
      </c>
      <c r="S148" s="1033">
        <f>Möblierungsschablone!$C$41</f>
        <v>2.5649999999999999</v>
      </c>
      <c r="T148" s="1199" t="s">
        <v>2042</v>
      </c>
      <c r="U148" s="1033">
        <f>Möblierungsschablone!$E$41</f>
        <v>2.5649999999999999</v>
      </c>
      <c r="V148" s="1199" t="s">
        <v>2042</v>
      </c>
      <c r="W148" s="1033">
        <f>Möblierungsschablone!$G$36</f>
        <v>3.5999999999999996</v>
      </c>
      <c r="X148" s="1406"/>
      <c r="Y148" s="1033">
        <f>Möblierungsschablone!$I$36</f>
        <v>4.32</v>
      </c>
      <c r="Z148" s="1406"/>
      <c r="AA148" s="1033">
        <f>Möblierungsschablone!$K$36</f>
        <v>5.04</v>
      </c>
      <c r="AB148" s="1406"/>
      <c r="AC148" s="1033">
        <f>Möblierungsschablone!$M$36</f>
        <v>5.76</v>
      </c>
      <c r="AD148" s="1406"/>
      <c r="AE148" s="1033">
        <f>Möblierungsschablone!$O$36</f>
        <v>6.48</v>
      </c>
      <c r="AG148" s="1435" t="s">
        <v>1366</v>
      </c>
      <c r="AH148" s="1199" t="s">
        <v>2042</v>
      </c>
      <c r="AI148" s="1033">
        <f>Möblierungsschablone!$C$41</f>
        <v>2.5649999999999999</v>
      </c>
      <c r="AJ148" s="1199" t="s">
        <v>2042</v>
      </c>
      <c r="AK148" s="1033">
        <f>Möblierungsschablone!$E$41</f>
        <v>2.5649999999999999</v>
      </c>
      <c r="AL148" s="1199" t="s">
        <v>2042</v>
      </c>
      <c r="AM148" s="1033">
        <f>Möblierungsschablone!$G$36</f>
        <v>3.5999999999999996</v>
      </c>
      <c r="AN148" s="1199" t="s">
        <v>2042</v>
      </c>
      <c r="AO148" s="1033">
        <f>Möblierungsschablone!$I$36</f>
        <v>4.32</v>
      </c>
      <c r="AP148" s="1406"/>
      <c r="AQ148" s="1033">
        <f>Möblierungsschablone!$K$36</f>
        <v>5.04</v>
      </c>
      <c r="AR148" s="1406"/>
      <c r="AS148" s="1033">
        <f>Möblierungsschablone!$M$36</f>
        <v>5.76</v>
      </c>
      <c r="AT148" s="1406"/>
      <c r="AU148" s="1033">
        <f>Möblierungsschablone!$O$36</f>
        <v>6.48</v>
      </c>
      <c r="AW148" s="1435" t="s">
        <v>1366</v>
      </c>
      <c r="AX148" s="1199" t="s">
        <v>2042</v>
      </c>
      <c r="AY148" s="1033">
        <f>Möblierungsschablone!$C$41</f>
        <v>2.5649999999999999</v>
      </c>
      <c r="AZ148" s="1199" t="s">
        <v>2042</v>
      </c>
      <c r="BA148" s="1033">
        <f>Möblierungsschablone!$E$41</f>
        <v>2.5649999999999999</v>
      </c>
      <c r="BB148" s="1199" t="s">
        <v>2042</v>
      </c>
      <c r="BC148" s="1033">
        <f>Möblierungsschablone!$G$36</f>
        <v>3.5999999999999996</v>
      </c>
      <c r="BD148" s="1199" t="s">
        <v>2042</v>
      </c>
      <c r="BE148" s="1033">
        <f>Möblierungsschablone!$I$36</f>
        <v>4.32</v>
      </c>
      <c r="BF148" s="1199" t="s">
        <v>2042</v>
      </c>
      <c r="BG148" s="1033">
        <f>Möblierungsschablone!$K$36</f>
        <v>5.04</v>
      </c>
      <c r="BH148" s="1406"/>
      <c r="BI148" s="1033">
        <f>Möblierungsschablone!$M$36</f>
        <v>5.76</v>
      </c>
      <c r="BJ148" s="1406"/>
      <c r="BK148" s="1033">
        <f>Möblierungsschablone!$O$36</f>
        <v>6.48</v>
      </c>
      <c r="BM148" s="1435" t="s">
        <v>1366</v>
      </c>
      <c r="BN148" s="1414"/>
      <c r="BO148" s="1033">
        <f>Möblierungsschablone!$C$41</f>
        <v>2.5649999999999999</v>
      </c>
      <c r="BP148" s="1414"/>
      <c r="BQ148" s="1033">
        <f>Möblierungsschablone!$E$41</f>
        <v>2.5649999999999999</v>
      </c>
      <c r="BR148" s="1414"/>
      <c r="BS148" s="1033">
        <f>Möblierungsschablone!$G$36</f>
        <v>3.5999999999999996</v>
      </c>
      <c r="BT148" s="1414"/>
      <c r="BU148" s="1033">
        <f>Möblierungsschablone!$I$36</f>
        <v>4.32</v>
      </c>
      <c r="BV148" s="1414"/>
      <c r="BW148" s="1033">
        <f>Möblierungsschablone!$K$36</f>
        <v>5.04</v>
      </c>
      <c r="BX148" s="1414"/>
      <c r="BY148" s="1033">
        <f>Möblierungsschablone!$M$36</f>
        <v>5.76</v>
      </c>
      <c r="BZ148" s="1414"/>
      <c r="CA148" s="1033">
        <f>Möblierungsschablone!$O$36</f>
        <v>6.48</v>
      </c>
      <c r="CC148" s="1435" t="s">
        <v>1366</v>
      </c>
      <c r="CD148" s="1199" t="s">
        <v>2042</v>
      </c>
      <c r="CE148" s="1033">
        <f>Möblierungsschablone!$C$41</f>
        <v>2.5649999999999999</v>
      </c>
      <c r="CF148" s="1199" t="s">
        <v>2042</v>
      </c>
      <c r="CG148" s="1033">
        <f>Möblierungsschablone!$E$41</f>
        <v>2.5649999999999999</v>
      </c>
      <c r="CH148" s="1199" t="s">
        <v>2042</v>
      </c>
      <c r="CI148" s="1033">
        <f>Möblierungsschablone!$G$36</f>
        <v>3.5999999999999996</v>
      </c>
      <c r="CJ148" s="1199" t="s">
        <v>2042</v>
      </c>
      <c r="CK148" s="1033">
        <f>Möblierungsschablone!$I$36</f>
        <v>4.32</v>
      </c>
      <c r="CL148" s="1199" t="s">
        <v>2042</v>
      </c>
      <c r="CM148" s="1033">
        <f>Möblierungsschablone!$K$36</f>
        <v>5.04</v>
      </c>
      <c r="CN148" s="1199" t="s">
        <v>2042</v>
      </c>
      <c r="CO148" s="1033">
        <f>Möblierungsschablone!$M$36</f>
        <v>5.76</v>
      </c>
      <c r="CP148" s="1199" t="s">
        <v>2042</v>
      </c>
      <c r="CQ148" s="1033">
        <f>Möblierungsschablone!$O$36</f>
        <v>6.48</v>
      </c>
      <c r="CS148" s="1435" t="s">
        <v>1366</v>
      </c>
      <c r="CT148" s="1199" t="s">
        <v>2042</v>
      </c>
      <c r="CU148" s="1033">
        <f>Möblierungsschablone!$C$41</f>
        <v>2.5649999999999999</v>
      </c>
      <c r="CV148" s="1199" t="s">
        <v>2042</v>
      </c>
      <c r="CW148" s="1033">
        <f>Möblierungsschablone!$E$41</f>
        <v>2.5649999999999999</v>
      </c>
      <c r="CX148" s="1199" t="s">
        <v>2042</v>
      </c>
      <c r="CY148" s="1033">
        <f>Möblierungsschablone!$G$36</f>
        <v>3.5999999999999996</v>
      </c>
      <c r="CZ148" s="1199" t="s">
        <v>2042</v>
      </c>
      <c r="DA148" s="1033">
        <f>Möblierungsschablone!$I$36</f>
        <v>4.32</v>
      </c>
      <c r="DB148" s="1199" t="s">
        <v>2042</v>
      </c>
      <c r="DC148" s="1033">
        <f>Möblierungsschablone!$K$36</f>
        <v>5.04</v>
      </c>
      <c r="DD148" s="1199" t="s">
        <v>2042</v>
      </c>
      <c r="DE148" s="1033">
        <f>Möblierungsschablone!$M$36</f>
        <v>5.76</v>
      </c>
      <c r="DF148" s="1199" t="s">
        <v>2042</v>
      </c>
      <c r="DG148" s="1033">
        <f>Möblierungsschablone!$O$36</f>
        <v>6.48</v>
      </c>
      <c r="DI148" s="1154"/>
      <c r="DJ148" s="701"/>
      <c r="DK148" s="1152"/>
      <c r="DL148" s="701"/>
      <c r="DM148" s="1152"/>
      <c r="DN148" s="701"/>
      <c r="DO148" s="1152"/>
      <c r="DP148" s="701"/>
      <c r="DQ148" s="1152"/>
      <c r="DR148" s="701"/>
      <c r="DS148" s="1152"/>
      <c r="DT148" s="701"/>
      <c r="DU148" s="1152"/>
      <c r="DV148" s="701"/>
      <c r="DW148" s="1152"/>
    </row>
    <row r="149" spans="1:127" ht="15.75" customHeight="1">
      <c r="A149" s="1436"/>
      <c r="B149" s="1415"/>
      <c r="C149" s="1033">
        <f>Möblierungsschablone!$C$46</f>
        <v>2.7</v>
      </c>
      <c r="D149" s="1415"/>
      <c r="E149" s="1033">
        <f>Möblierungsschablone!$E$46</f>
        <v>3.5999999999999996</v>
      </c>
      <c r="F149" s="1415"/>
      <c r="G149" s="1033">
        <f>Möblierungsschablone!$G$51</f>
        <v>4.41</v>
      </c>
      <c r="H149" s="1404"/>
      <c r="I149" s="1033"/>
      <c r="J149" s="1404"/>
      <c r="K149" s="1033"/>
      <c r="L149" s="1404"/>
      <c r="M149" s="1033"/>
      <c r="N149" s="1404"/>
      <c r="O149" s="1033"/>
      <c r="Q149" s="1436"/>
      <c r="R149" s="1200" t="s">
        <v>1367</v>
      </c>
      <c r="S149" s="1033">
        <f>Möblierungsschablone!$C$46</f>
        <v>2.7</v>
      </c>
      <c r="T149" s="1200" t="s">
        <v>1367</v>
      </c>
      <c r="U149" s="1033">
        <f>Möblierungsschablone!$E$46</f>
        <v>3.5999999999999996</v>
      </c>
      <c r="V149" s="1200" t="s">
        <v>1367</v>
      </c>
      <c r="W149" s="1033">
        <f>Möblierungsschablone!$G$49</f>
        <v>4.5</v>
      </c>
      <c r="X149" s="1406"/>
      <c r="Y149" s="1033"/>
      <c r="Z149" s="1406"/>
      <c r="AA149" s="1033"/>
      <c r="AB149" s="1406"/>
      <c r="AC149" s="1033"/>
      <c r="AD149" s="1406"/>
      <c r="AE149" s="1033"/>
      <c r="AG149" s="1436"/>
      <c r="AH149" s="1200" t="s">
        <v>1367</v>
      </c>
      <c r="AI149" s="1033">
        <f>Möblierungsschablone!$C$46</f>
        <v>2.7</v>
      </c>
      <c r="AJ149" s="1200" t="s">
        <v>1367</v>
      </c>
      <c r="AK149" s="1033">
        <f>Möblierungsschablone!$E$46</f>
        <v>3.5999999999999996</v>
      </c>
      <c r="AL149" s="1200" t="s">
        <v>1367</v>
      </c>
      <c r="AM149" s="1033">
        <f>Möblierungsschablone!$G$49</f>
        <v>4.5</v>
      </c>
      <c r="AN149" s="1200" t="s">
        <v>1367</v>
      </c>
      <c r="AO149" s="1033">
        <f>Möblierungsschablone!$I$46</f>
        <v>5.76</v>
      </c>
      <c r="AP149" s="1406"/>
      <c r="AQ149" s="1033"/>
      <c r="AR149" s="1406"/>
      <c r="AS149" s="1033"/>
      <c r="AT149" s="1406"/>
      <c r="AU149" s="1033"/>
      <c r="AW149" s="1436"/>
      <c r="AX149" s="1200" t="s">
        <v>1367</v>
      </c>
      <c r="AY149" s="1033">
        <f>Möblierungsschablone!$C$46</f>
        <v>2.7</v>
      </c>
      <c r="AZ149" s="1200" t="s">
        <v>1367</v>
      </c>
      <c r="BA149" s="1033">
        <f>Möblierungsschablone!$E$46</f>
        <v>3.5999999999999996</v>
      </c>
      <c r="BB149" s="1200" t="s">
        <v>1367</v>
      </c>
      <c r="BC149" s="1033">
        <f>Möblierungsschablone!$G$49</f>
        <v>4.5</v>
      </c>
      <c r="BD149" s="1200" t="s">
        <v>1367</v>
      </c>
      <c r="BE149" s="1033">
        <f>Möblierungsschablone!$I$46</f>
        <v>5.76</v>
      </c>
      <c r="BF149" s="1200" t="s">
        <v>1367</v>
      </c>
      <c r="BG149" s="1033">
        <f>Möblierungsschablone!$K$46</f>
        <v>7.1999999999999993</v>
      </c>
      <c r="BH149" s="1406"/>
      <c r="BI149" s="1033"/>
      <c r="BJ149" s="1406"/>
      <c r="BK149" s="1033"/>
      <c r="BM149" s="1436"/>
      <c r="BN149" s="1415"/>
      <c r="BO149" s="1033">
        <f>Möblierungsschablone!$C$46</f>
        <v>2.7</v>
      </c>
      <c r="BP149" s="1415"/>
      <c r="BQ149" s="1033">
        <f>Möblierungsschablone!$E$46</f>
        <v>3.5999999999999996</v>
      </c>
      <c r="BR149" s="1415"/>
      <c r="BS149" s="1033">
        <f>Möblierungsschablone!$G$49</f>
        <v>4.5</v>
      </c>
      <c r="BT149" s="1415"/>
      <c r="BU149" s="1033">
        <f>Möblierungsschablone!$I$46</f>
        <v>5.76</v>
      </c>
      <c r="BV149" s="1415"/>
      <c r="BW149" s="1033">
        <f>Möblierungsschablone!$K$46</f>
        <v>7.1999999999999993</v>
      </c>
      <c r="BX149" s="1415"/>
      <c r="BY149" s="1033"/>
      <c r="BZ149" s="1415"/>
      <c r="CA149" s="1033"/>
      <c r="CC149" s="1436"/>
      <c r="CD149" s="1200" t="s">
        <v>1367</v>
      </c>
      <c r="CE149" s="1033">
        <f>Möblierungsschablone!$C$46</f>
        <v>2.7</v>
      </c>
      <c r="CF149" s="1200" t="s">
        <v>1367</v>
      </c>
      <c r="CG149" s="1033">
        <f>Möblierungsschablone!$E$46</f>
        <v>3.5999999999999996</v>
      </c>
      <c r="CH149" s="1200" t="s">
        <v>1367</v>
      </c>
      <c r="CI149" s="1033">
        <f>Möblierungsschablone!$G$49</f>
        <v>4.5</v>
      </c>
      <c r="CJ149" s="1200" t="s">
        <v>1367</v>
      </c>
      <c r="CK149" s="1033">
        <f>Möblierungsschablone!$I$46</f>
        <v>5.76</v>
      </c>
      <c r="CL149" s="1200" t="s">
        <v>1367</v>
      </c>
      <c r="CM149" s="1033">
        <f>Möblierungsschablone!$K$46</f>
        <v>7.1999999999999993</v>
      </c>
      <c r="CN149" s="1200" t="s">
        <v>1367</v>
      </c>
      <c r="CO149" s="1033">
        <f>Möblierungsschablone!$M$51</f>
        <v>8.82</v>
      </c>
      <c r="CP149" s="1200" t="s">
        <v>1367</v>
      </c>
      <c r="CQ149" s="1033">
        <f>Möblierungsschablone!$O$51</f>
        <v>8.82</v>
      </c>
      <c r="CS149" s="1436"/>
      <c r="CT149" s="1200" t="s">
        <v>1367</v>
      </c>
      <c r="CU149" s="1033">
        <f>Möblierungsschablone!$C$46</f>
        <v>2.7</v>
      </c>
      <c r="CV149" s="1200" t="s">
        <v>1367</v>
      </c>
      <c r="CW149" s="1033">
        <f>Möblierungsschablone!$E$46</f>
        <v>3.5999999999999996</v>
      </c>
      <c r="CX149" s="1200" t="s">
        <v>1367</v>
      </c>
      <c r="CY149" s="1033">
        <f>Möblierungsschablone!$G$49</f>
        <v>4.5</v>
      </c>
      <c r="CZ149" s="1200" t="s">
        <v>1367</v>
      </c>
      <c r="DA149" s="1033">
        <f>Möblierungsschablone!$I$46</f>
        <v>5.76</v>
      </c>
      <c r="DB149" s="1200" t="s">
        <v>1367</v>
      </c>
      <c r="DC149" s="1033">
        <f>Möblierungsschablone!$K$46</f>
        <v>7.1999999999999993</v>
      </c>
      <c r="DD149" s="1200" t="s">
        <v>1367</v>
      </c>
      <c r="DE149" s="1033">
        <f>Möblierungsschablone!$M$51</f>
        <v>8.82</v>
      </c>
      <c r="DF149" s="1200" t="s">
        <v>1367</v>
      </c>
      <c r="DG149" s="1033">
        <f>Möblierungsschablone!$O$51</f>
        <v>8.82</v>
      </c>
      <c r="DI149" s="701"/>
      <c r="DJ149" s="701"/>
      <c r="DK149" s="1152"/>
      <c r="DL149" s="701"/>
      <c r="DM149" s="1152"/>
      <c r="DN149" s="701"/>
      <c r="DO149" s="1152"/>
      <c r="DP149" s="701"/>
      <c r="DQ149" s="1152"/>
      <c r="DR149" s="701"/>
      <c r="DS149" s="1152"/>
      <c r="DT149" s="701"/>
      <c r="DU149" s="1152"/>
      <c r="DV149" s="701"/>
      <c r="DW149" s="1152"/>
    </row>
    <row r="150" spans="1:127" ht="15.75" customHeight="1">
      <c r="A150" s="1436"/>
      <c r="B150" s="1415"/>
      <c r="C150" s="1034"/>
      <c r="D150" s="1415"/>
      <c r="E150" s="1034"/>
      <c r="F150" s="1415"/>
      <c r="G150" s="1036"/>
      <c r="H150" s="1404"/>
      <c r="I150" s="1034">
        <f>SUM(I148:I149)</f>
        <v>4.32</v>
      </c>
      <c r="J150" s="1404"/>
      <c r="K150" s="1034">
        <f>SUM(K148:K149)</f>
        <v>5.04</v>
      </c>
      <c r="L150" s="1404"/>
      <c r="M150" s="1034">
        <f>SUM(M148:M149)</f>
        <v>5.76</v>
      </c>
      <c r="N150" s="1404"/>
      <c r="O150" s="1034">
        <f>SUM(O148:O149)</f>
        <v>6.48</v>
      </c>
      <c r="Q150" s="1436"/>
      <c r="R150" s="1200"/>
      <c r="S150" s="1034"/>
      <c r="T150" s="1200"/>
      <c r="U150" s="1034"/>
      <c r="V150" s="1200"/>
      <c r="W150" s="1036"/>
      <c r="X150" s="1406"/>
      <c r="Y150" s="1034">
        <f>SUM(Y148:Y149)</f>
        <v>4.32</v>
      </c>
      <c r="Z150" s="1406"/>
      <c r="AA150" s="1034">
        <f>SUM(AA148:AA149)</f>
        <v>5.04</v>
      </c>
      <c r="AB150" s="1406"/>
      <c r="AC150" s="1034">
        <f>SUM(AC148:AC149)</f>
        <v>5.76</v>
      </c>
      <c r="AD150" s="1406"/>
      <c r="AE150" s="1034">
        <f>SUM(AE148:AE149)</f>
        <v>6.48</v>
      </c>
      <c r="AG150" s="1436"/>
      <c r="AH150" s="1200"/>
      <c r="AI150" s="1034"/>
      <c r="AJ150" s="1200"/>
      <c r="AK150" s="1034"/>
      <c r="AL150" s="1200"/>
      <c r="AM150" s="1036"/>
      <c r="AN150" s="1200"/>
      <c r="AO150" s="1036"/>
      <c r="AP150" s="1406"/>
      <c r="AQ150" s="1034">
        <f>SUM(AQ148:AQ149)</f>
        <v>5.04</v>
      </c>
      <c r="AR150" s="1406"/>
      <c r="AS150" s="1034">
        <f>SUM(AS148:AS149)</f>
        <v>5.76</v>
      </c>
      <c r="AT150" s="1406"/>
      <c r="AU150" s="1034">
        <f>SUM(AU148:AU149)</f>
        <v>6.48</v>
      </c>
      <c r="AW150" s="1436"/>
      <c r="AX150" s="1200" t="s">
        <v>2041</v>
      </c>
      <c r="AY150" s="1033">
        <f>Möblierungsschablone!$C$56</f>
        <v>5.76</v>
      </c>
      <c r="AZ150" s="1200" t="s">
        <v>2041</v>
      </c>
      <c r="BA150" s="1033">
        <f>Möblierungsschablone!$E$56</f>
        <v>5.76</v>
      </c>
      <c r="BB150" s="1200" t="s">
        <v>2041</v>
      </c>
      <c r="BC150" s="1033">
        <f>Möblierungsschablone!$G$56</f>
        <v>5.76</v>
      </c>
      <c r="BD150" s="1200"/>
      <c r="BE150" s="1036"/>
      <c r="BF150" s="1200"/>
      <c r="BG150" s="1036"/>
      <c r="BH150" s="1406"/>
      <c r="BI150" s="1034">
        <f>SUM(BI148:BI149)</f>
        <v>5.76</v>
      </c>
      <c r="BJ150" s="1406"/>
      <c r="BK150" s="1034">
        <f>SUM(BK148:BK149)</f>
        <v>6.48</v>
      </c>
      <c r="BM150" s="1436"/>
      <c r="BN150" s="1415"/>
      <c r="BO150" s="1033">
        <f>Möblierungsschablone!$C$56</f>
        <v>5.76</v>
      </c>
      <c r="BP150" s="1415"/>
      <c r="BQ150" s="1033">
        <f>Möblierungsschablone!$E$56</f>
        <v>5.76</v>
      </c>
      <c r="BR150" s="1415"/>
      <c r="BS150" s="1033">
        <f>Möblierungsschablone!$G$56</f>
        <v>5.76</v>
      </c>
      <c r="BT150" s="1415"/>
      <c r="BU150" s="1036"/>
      <c r="BV150" s="1415"/>
      <c r="BW150" s="1036"/>
      <c r="BX150" s="1415"/>
      <c r="BY150" s="1034">
        <f>SUM(BY148:BY149)</f>
        <v>5.76</v>
      </c>
      <c r="BZ150" s="1415"/>
      <c r="CA150" s="1034">
        <f>SUM(CA148:CA149)</f>
        <v>6.48</v>
      </c>
      <c r="CC150" s="1436"/>
      <c r="CD150" s="1200" t="s">
        <v>2041</v>
      </c>
      <c r="CE150" s="1033">
        <f>Möblierungsschablone!$C$56</f>
        <v>5.76</v>
      </c>
      <c r="CF150" s="1200" t="s">
        <v>2041</v>
      </c>
      <c r="CG150" s="1033">
        <f>Möblierungsschablone!$E$56</f>
        <v>5.76</v>
      </c>
      <c r="CH150" s="1200" t="s">
        <v>2041</v>
      </c>
      <c r="CI150" s="1033">
        <f>Möblierungsschablone!$G$56</f>
        <v>5.76</v>
      </c>
      <c r="CJ150" s="1200"/>
      <c r="CK150" s="1036"/>
      <c r="CL150" s="1200"/>
      <c r="CM150" s="1036"/>
      <c r="CN150" s="1200"/>
      <c r="CO150" s="1036"/>
      <c r="CP150" s="1200"/>
      <c r="CQ150" s="1036"/>
      <c r="CS150" s="1436"/>
      <c r="CT150" s="1200" t="s">
        <v>2041</v>
      </c>
      <c r="CU150" s="1033">
        <f>Möblierungsschablone!$C$56</f>
        <v>5.76</v>
      </c>
      <c r="CV150" s="1200" t="s">
        <v>2041</v>
      </c>
      <c r="CW150" s="1033">
        <f>Möblierungsschablone!$E$56</f>
        <v>5.76</v>
      </c>
      <c r="CX150" s="1200" t="s">
        <v>2041</v>
      </c>
      <c r="CY150" s="1033">
        <f>Möblierungsschablone!$G$56</f>
        <v>5.76</v>
      </c>
      <c r="CZ150" s="1200"/>
      <c r="DA150" s="1036"/>
      <c r="DB150" s="1200"/>
      <c r="DC150" s="1036"/>
      <c r="DD150" s="1200"/>
      <c r="DE150" s="1036"/>
      <c r="DF150" s="1200"/>
      <c r="DG150" s="1036"/>
      <c r="DI150" s="701"/>
      <c r="DJ150" s="701"/>
      <c r="DK150" s="1152"/>
      <c r="DL150" s="701"/>
      <c r="DM150" s="1152"/>
      <c r="DN150" s="701"/>
      <c r="DO150" s="1152"/>
      <c r="DP150" s="701"/>
      <c r="DQ150" s="1152"/>
      <c r="DR150" s="701"/>
      <c r="DS150" s="1152"/>
      <c r="DT150" s="701"/>
      <c r="DU150" s="1152"/>
      <c r="DV150" s="701"/>
      <c r="DW150" s="1152"/>
    </row>
    <row r="151" spans="1:127" ht="15.75" customHeight="1">
      <c r="A151" s="1436"/>
      <c r="B151" s="1415"/>
      <c r="C151" s="1034">
        <f>SUM(C148:C150)</f>
        <v>5.2650000000000006</v>
      </c>
      <c r="D151" s="1415"/>
      <c r="E151" s="1034">
        <f>SUM(E148:E150)</f>
        <v>6.1649999999999991</v>
      </c>
      <c r="F151" s="1415"/>
      <c r="G151" s="1034">
        <f>SUM(G148:G150)</f>
        <v>8.01</v>
      </c>
      <c r="H151" s="1404"/>
      <c r="I151" s="1032">
        <v>1</v>
      </c>
      <c r="J151" s="1404"/>
      <c r="K151" s="1032">
        <v>1</v>
      </c>
      <c r="L151" s="1404"/>
      <c r="M151" s="1032">
        <v>1</v>
      </c>
      <c r="N151" s="1404"/>
      <c r="O151" s="1032">
        <v>1</v>
      </c>
      <c r="Q151" s="1436"/>
      <c r="R151" s="1201" t="s">
        <v>2036</v>
      </c>
      <c r="S151" s="1034">
        <f>SUM(S148:S150)</f>
        <v>5.2650000000000006</v>
      </c>
      <c r="T151" s="1201" t="s">
        <v>2036</v>
      </c>
      <c r="U151" s="1034">
        <f>SUM(U148:U150)</f>
        <v>6.1649999999999991</v>
      </c>
      <c r="V151" s="1201" t="s">
        <v>2036</v>
      </c>
      <c r="W151" s="1034">
        <f>SUM(W148:W150)</f>
        <v>8.1</v>
      </c>
      <c r="X151" s="1406"/>
      <c r="Y151" s="1032">
        <v>1</v>
      </c>
      <c r="Z151" s="1406"/>
      <c r="AA151" s="1032">
        <v>1</v>
      </c>
      <c r="AB151" s="1406"/>
      <c r="AC151" s="1032">
        <v>1</v>
      </c>
      <c r="AD151" s="1406"/>
      <c r="AE151" s="1032">
        <v>1</v>
      </c>
      <c r="AG151" s="1436"/>
      <c r="AH151" s="1201" t="s">
        <v>2036</v>
      </c>
      <c r="AI151" s="1034">
        <f>SUM(AI148:AI150)</f>
        <v>5.2650000000000006</v>
      </c>
      <c r="AJ151" s="1201" t="s">
        <v>2036</v>
      </c>
      <c r="AK151" s="1034">
        <f>SUM(AK148:AK150)</f>
        <v>6.1649999999999991</v>
      </c>
      <c r="AL151" s="1201" t="s">
        <v>2036</v>
      </c>
      <c r="AM151" s="1034">
        <f>SUM(AM148:AM150)</f>
        <v>8.1</v>
      </c>
      <c r="AN151" s="1201" t="s">
        <v>2036</v>
      </c>
      <c r="AO151" s="1034">
        <f>SUM(AO148:AO150)</f>
        <v>10.08</v>
      </c>
      <c r="AP151" s="1406"/>
      <c r="AQ151" s="1032">
        <v>1</v>
      </c>
      <c r="AR151" s="1406"/>
      <c r="AS151" s="1032">
        <v>1</v>
      </c>
      <c r="AT151" s="1406"/>
      <c r="AU151" s="1032">
        <v>1</v>
      </c>
      <c r="AW151" s="1436"/>
      <c r="AX151" s="1201" t="s">
        <v>2036</v>
      </c>
      <c r="AY151" s="1034">
        <f>SUM(AY148:AY150)</f>
        <v>11.025</v>
      </c>
      <c r="AZ151" s="1201" t="s">
        <v>2036</v>
      </c>
      <c r="BA151" s="1034">
        <f>SUM(BA148:BA150)</f>
        <v>11.924999999999999</v>
      </c>
      <c r="BB151" s="1201" t="s">
        <v>2036</v>
      </c>
      <c r="BC151" s="1034">
        <f>SUM(BC148:BC150)</f>
        <v>13.86</v>
      </c>
      <c r="BD151" s="1201" t="s">
        <v>2036</v>
      </c>
      <c r="BE151" s="1034">
        <f>SUM(BE148:BE150)</f>
        <v>10.08</v>
      </c>
      <c r="BF151" s="1201" t="s">
        <v>2036</v>
      </c>
      <c r="BG151" s="1034">
        <f>SUM(BG148:BG150)</f>
        <v>12.239999999999998</v>
      </c>
      <c r="BH151" s="1406"/>
      <c r="BI151" s="1032">
        <v>1</v>
      </c>
      <c r="BJ151" s="1406"/>
      <c r="BK151" s="1032">
        <v>1</v>
      </c>
      <c r="BM151" s="1436"/>
      <c r="BN151" s="1415"/>
      <c r="BO151" s="1034">
        <f>SUM(BO148:BO150)</f>
        <v>11.025</v>
      </c>
      <c r="BP151" s="1415"/>
      <c r="BQ151" s="1034">
        <f>SUM(BQ148:BQ150)</f>
        <v>11.924999999999999</v>
      </c>
      <c r="BR151" s="1415"/>
      <c r="BS151" s="1034">
        <f>SUM(BS148:BS150)</f>
        <v>13.86</v>
      </c>
      <c r="BT151" s="1415"/>
      <c r="BU151" s="1034">
        <f>SUM(BU148:BU150)</f>
        <v>10.08</v>
      </c>
      <c r="BV151" s="1415"/>
      <c r="BW151" s="1034">
        <f>SUM(BW148:BW150)</f>
        <v>12.239999999999998</v>
      </c>
      <c r="BX151" s="1415"/>
      <c r="BY151" s="1032">
        <v>1</v>
      </c>
      <c r="BZ151" s="1415"/>
      <c r="CA151" s="1032">
        <v>1</v>
      </c>
      <c r="CC151" s="1436"/>
      <c r="CD151" s="1201" t="s">
        <v>2036</v>
      </c>
      <c r="CE151" s="1034">
        <f>SUM(CE148:CE150)</f>
        <v>11.025</v>
      </c>
      <c r="CF151" s="1201" t="s">
        <v>2036</v>
      </c>
      <c r="CG151" s="1034">
        <f>SUM(CG148:CG150)</f>
        <v>11.924999999999999</v>
      </c>
      <c r="CH151" s="1201" t="s">
        <v>2036</v>
      </c>
      <c r="CI151" s="1034">
        <f>SUM(CI148:CI150)</f>
        <v>13.86</v>
      </c>
      <c r="CJ151" s="1201" t="s">
        <v>2036</v>
      </c>
      <c r="CK151" s="1034">
        <f>SUM(CK148:CK150)</f>
        <v>10.08</v>
      </c>
      <c r="CL151" s="1201" t="s">
        <v>2036</v>
      </c>
      <c r="CM151" s="1034">
        <f>SUM(CM148:CM150)</f>
        <v>12.239999999999998</v>
      </c>
      <c r="CN151" s="1201" t="s">
        <v>2036</v>
      </c>
      <c r="CO151" s="1034">
        <f>SUM(CO148:CO150)</f>
        <v>14.58</v>
      </c>
      <c r="CP151" s="1201" t="s">
        <v>2036</v>
      </c>
      <c r="CQ151" s="1034">
        <f>SUM(CQ148:CQ150)</f>
        <v>15.3</v>
      </c>
      <c r="CS151" s="1436"/>
      <c r="CT151" s="1201" t="s">
        <v>2036</v>
      </c>
      <c r="CU151" s="1034">
        <f>SUM(CU148:CU150)</f>
        <v>11.025</v>
      </c>
      <c r="CV151" s="1201" t="s">
        <v>2036</v>
      </c>
      <c r="CW151" s="1034">
        <f>SUM(CW148:CW150)</f>
        <v>11.924999999999999</v>
      </c>
      <c r="CX151" s="1201" t="s">
        <v>2036</v>
      </c>
      <c r="CY151" s="1034">
        <f>SUM(CY148:CY150)</f>
        <v>13.86</v>
      </c>
      <c r="CZ151" s="1201" t="s">
        <v>2036</v>
      </c>
      <c r="DA151" s="1034">
        <f>SUM(DA148:DA150)</f>
        <v>10.08</v>
      </c>
      <c r="DB151" s="1201" t="s">
        <v>2036</v>
      </c>
      <c r="DC151" s="1034">
        <f>SUM(DC148:DC150)</f>
        <v>12.239999999999998</v>
      </c>
      <c r="DD151" s="1201" t="s">
        <v>2036</v>
      </c>
      <c r="DE151" s="1034">
        <f>SUM(DE148:DE150)</f>
        <v>14.58</v>
      </c>
      <c r="DF151" s="1201" t="s">
        <v>2036</v>
      </c>
      <c r="DG151" s="1034">
        <f>SUM(DG148:DG150)</f>
        <v>15.3</v>
      </c>
      <c r="DI151" s="701"/>
      <c r="DJ151" s="701"/>
      <c r="DK151" s="1210"/>
      <c r="DL151" s="701"/>
      <c r="DM151" s="1210"/>
      <c r="DN151" s="701"/>
      <c r="DO151" s="1210"/>
      <c r="DP151" s="701"/>
      <c r="DQ151" s="1210"/>
      <c r="DR151" s="701"/>
      <c r="DS151" s="1210"/>
      <c r="DT151" s="701"/>
      <c r="DU151" s="1210"/>
      <c r="DV151" s="701"/>
      <c r="DW151" s="1210"/>
    </row>
    <row r="152" spans="1:127" ht="15.75" customHeight="1">
      <c r="A152" s="1436"/>
      <c r="B152" s="1415"/>
      <c r="C152" s="1032">
        <v>1</v>
      </c>
      <c r="D152" s="1415"/>
      <c r="E152" s="1032">
        <v>1</v>
      </c>
      <c r="F152" s="1415"/>
      <c r="G152" s="1032">
        <v>1</v>
      </c>
      <c r="H152" s="1404"/>
      <c r="I152" s="1030">
        <f>I150/(I151*C135)</f>
        <v>0.39669421487603312</v>
      </c>
      <c r="J152" s="1404"/>
      <c r="K152" s="1030">
        <f>K150/(K151*C135)</f>
        <v>0.46280991735537197</v>
      </c>
      <c r="L152" s="1404"/>
      <c r="M152" s="1030">
        <f>M150/(M151*C135)</f>
        <v>0.52892561983471076</v>
      </c>
      <c r="N152" s="1404"/>
      <c r="O152" s="1030">
        <f>O150/(O151*C135)</f>
        <v>0.59504132231404971</v>
      </c>
      <c r="Q152" s="1436"/>
      <c r="R152" s="1200" t="s">
        <v>1247</v>
      </c>
      <c r="S152" s="1032">
        <v>1</v>
      </c>
      <c r="T152" s="1200" t="s">
        <v>1247</v>
      </c>
      <c r="U152" s="1032">
        <v>1</v>
      </c>
      <c r="V152" s="1200" t="s">
        <v>1247</v>
      </c>
      <c r="W152" s="1032">
        <v>1</v>
      </c>
      <c r="X152" s="1406"/>
      <c r="Y152" s="1030">
        <f>Y150/(Y151*S135)</f>
        <v>0.34449760765550241</v>
      </c>
      <c r="Z152" s="1406"/>
      <c r="AA152" s="1030">
        <f>AA150/(AA151*S135)</f>
        <v>0.40191387559808617</v>
      </c>
      <c r="AB152" s="1406"/>
      <c r="AC152" s="1030">
        <f>AC150/(AC151*S135)</f>
        <v>0.45933014354066987</v>
      </c>
      <c r="AD152" s="1406"/>
      <c r="AE152" s="1030">
        <f>AE150/(AE151*S135)</f>
        <v>0.51674641148325362</v>
      </c>
      <c r="AG152" s="1436"/>
      <c r="AH152" s="1200" t="s">
        <v>1247</v>
      </c>
      <c r="AI152" s="1032">
        <v>1</v>
      </c>
      <c r="AJ152" s="1200" t="s">
        <v>1247</v>
      </c>
      <c r="AK152" s="1032">
        <v>1</v>
      </c>
      <c r="AL152" s="1200" t="s">
        <v>1247</v>
      </c>
      <c r="AM152" s="1032">
        <v>1</v>
      </c>
      <c r="AN152" s="1200" t="s">
        <v>1247</v>
      </c>
      <c r="AO152" s="1032">
        <v>1</v>
      </c>
      <c r="AP152" s="1406"/>
      <c r="AQ152" s="1030">
        <f>AQ150/(AQ151*AI135)</f>
        <v>0.35517970401691334</v>
      </c>
      <c r="AR152" s="1406"/>
      <c r="AS152" s="1030">
        <f>AS150/(AS151*AI135)</f>
        <v>0.40591966173361521</v>
      </c>
      <c r="AT152" s="1406"/>
      <c r="AU152" s="1030">
        <f>AU150/(AU151*AI135)</f>
        <v>0.45665961945031719</v>
      </c>
      <c r="AW152" s="1436"/>
      <c r="AX152" s="1200" t="s">
        <v>1247</v>
      </c>
      <c r="AY152" s="1032">
        <v>1</v>
      </c>
      <c r="AZ152" s="1200" t="s">
        <v>1247</v>
      </c>
      <c r="BA152" s="1032">
        <v>1</v>
      </c>
      <c r="BB152" s="1200" t="s">
        <v>1247</v>
      </c>
      <c r="BC152" s="1032">
        <v>1</v>
      </c>
      <c r="BD152" s="1200" t="s">
        <v>1247</v>
      </c>
      <c r="BE152" s="1032">
        <v>1</v>
      </c>
      <c r="BF152" s="1200" t="s">
        <v>1247</v>
      </c>
      <c r="BG152" s="1032">
        <v>1</v>
      </c>
      <c r="BH152" s="1406"/>
      <c r="BI152" s="1030">
        <f>BI150/(BI151*AY135)</f>
        <v>0.36363636363636365</v>
      </c>
      <c r="BJ152" s="1406"/>
      <c r="BK152" s="1030">
        <f>BK150/(BK151*AY135)</f>
        <v>0.40909090909090917</v>
      </c>
      <c r="BM152" s="1436"/>
      <c r="BN152" s="1415"/>
      <c r="BO152" s="1032">
        <v>1</v>
      </c>
      <c r="BP152" s="1415"/>
      <c r="BQ152" s="1032">
        <v>1</v>
      </c>
      <c r="BR152" s="1415"/>
      <c r="BS152" s="1032">
        <v>1</v>
      </c>
      <c r="BT152" s="1415"/>
      <c r="BU152" s="1032">
        <v>1</v>
      </c>
      <c r="BV152" s="1415"/>
      <c r="BW152" s="1032">
        <v>1</v>
      </c>
      <c r="BX152" s="1416"/>
      <c r="BY152" s="1030">
        <f>BY150/(BY151*BO135)</f>
        <v>0.34224598930481287</v>
      </c>
      <c r="BZ152" s="1416"/>
      <c r="CA152" s="1030">
        <f>CA150/(CA151*BO135)</f>
        <v>0.38502673796791448</v>
      </c>
      <c r="CC152" s="1436"/>
      <c r="CD152" s="1200" t="s">
        <v>1247</v>
      </c>
      <c r="CE152" s="1032">
        <v>1</v>
      </c>
      <c r="CF152" s="1200" t="s">
        <v>1247</v>
      </c>
      <c r="CG152" s="1032">
        <v>1</v>
      </c>
      <c r="CH152" s="1200" t="s">
        <v>1247</v>
      </c>
      <c r="CI152" s="1032">
        <v>1</v>
      </c>
      <c r="CJ152" s="1200" t="s">
        <v>1247</v>
      </c>
      <c r="CK152" s="1032">
        <v>1</v>
      </c>
      <c r="CL152" s="1200" t="s">
        <v>1247</v>
      </c>
      <c r="CM152" s="1032">
        <v>1</v>
      </c>
      <c r="CN152" s="1200" t="s">
        <v>1247</v>
      </c>
      <c r="CO152" s="1032">
        <v>1</v>
      </c>
      <c r="CP152" s="1200" t="s">
        <v>1247</v>
      </c>
      <c r="CQ152" s="1032">
        <v>1</v>
      </c>
      <c r="CS152" s="1436"/>
      <c r="CT152" s="1200" t="s">
        <v>1247</v>
      </c>
      <c r="CU152" s="1032">
        <v>1</v>
      </c>
      <c r="CV152" s="1200" t="s">
        <v>1247</v>
      </c>
      <c r="CW152" s="1032">
        <v>1</v>
      </c>
      <c r="CX152" s="1200" t="s">
        <v>1247</v>
      </c>
      <c r="CY152" s="1032">
        <v>1</v>
      </c>
      <c r="CZ152" s="1200" t="s">
        <v>1247</v>
      </c>
      <c r="DA152" s="1032">
        <v>1</v>
      </c>
      <c r="DB152" s="1200" t="s">
        <v>1247</v>
      </c>
      <c r="DC152" s="1032">
        <v>1</v>
      </c>
      <c r="DD152" s="1200" t="s">
        <v>1247</v>
      </c>
      <c r="DE152" s="1032">
        <v>1</v>
      </c>
      <c r="DF152" s="1200" t="s">
        <v>1247</v>
      </c>
      <c r="DG152" s="1032">
        <v>1</v>
      </c>
      <c r="DI152" s="701"/>
      <c r="DJ152" s="701"/>
      <c r="DK152" s="1211"/>
      <c r="DL152" s="701"/>
      <c r="DM152" s="1211"/>
      <c r="DN152" s="701"/>
      <c r="DO152" s="1211"/>
      <c r="DP152" s="701"/>
      <c r="DQ152" s="1211"/>
      <c r="DR152" s="701"/>
      <c r="DS152" s="1211"/>
      <c r="DT152" s="701"/>
      <c r="DU152" s="1211"/>
      <c r="DV152" s="701"/>
      <c r="DW152" s="1211"/>
    </row>
    <row r="153" spans="1:127" ht="15.75" customHeight="1">
      <c r="A153" s="1435" t="s">
        <v>1367</v>
      </c>
      <c r="B153" s="1415"/>
      <c r="C153" s="1426">
        <f>C151/(C152*C135)</f>
        <v>0.4834710743801654</v>
      </c>
      <c r="D153" s="1415"/>
      <c r="E153" s="1426">
        <f>E151/(E152*C135)</f>
        <v>0.56611570247933884</v>
      </c>
      <c r="F153" s="1415"/>
      <c r="G153" s="1426">
        <f>G151/(G152*C135)</f>
        <v>0.73553719008264473</v>
      </c>
      <c r="H153" s="1404"/>
      <c r="I153" s="1033">
        <f>Möblierungsschablone!$I$46</f>
        <v>5.76</v>
      </c>
      <c r="J153" s="1404"/>
      <c r="K153" s="1033">
        <f>Möblierungsschablone!$K$46</f>
        <v>7.1999999999999993</v>
      </c>
      <c r="L153" s="1404"/>
      <c r="M153" s="1033">
        <f>Möblierungsschablone!$M$51</f>
        <v>8.82</v>
      </c>
      <c r="N153" s="1404"/>
      <c r="O153" s="1033">
        <f>Möblierungsschablone!$O$51</f>
        <v>8.82</v>
      </c>
      <c r="Q153" s="1435" t="s">
        <v>1367</v>
      </c>
      <c r="R153" s="1433"/>
      <c r="S153" s="1426">
        <f>S151/(S152*S135)</f>
        <v>0.41985645933014359</v>
      </c>
      <c r="T153" s="1433"/>
      <c r="U153" s="1426">
        <f>U151/(U152*S135)</f>
        <v>0.49162679425837319</v>
      </c>
      <c r="V153" s="1433"/>
      <c r="W153" s="1426">
        <f>W151/(W152*S135)</f>
        <v>0.64593301435406703</v>
      </c>
      <c r="X153" s="1406"/>
      <c r="Y153" s="1033">
        <f>Möblierungsschablone!$I$46</f>
        <v>5.76</v>
      </c>
      <c r="Z153" s="1406"/>
      <c r="AA153" s="1033">
        <f>Möblierungsschablone!$K$46</f>
        <v>7.1999999999999993</v>
      </c>
      <c r="AB153" s="1406"/>
      <c r="AC153" s="1033">
        <f>Möblierungsschablone!$M$51</f>
        <v>8.82</v>
      </c>
      <c r="AD153" s="1406"/>
      <c r="AE153" s="1033">
        <f>Möblierungsschablone!$O$51</f>
        <v>8.82</v>
      </c>
      <c r="AG153" s="1435" t="s">
        <v>1367</v>
      </c>
      <c r="AH153" s="1433"/>
      <c r="AI153" s="1426">
        <f>AI151/(AI152*AI135)</f>
        <v>0.3710359408033827</v>
      </c>
      <c r="AJ153" s="1433"/>
      <c r="AK153" s="1426">
        <f>AK151/(AK152*AI135)</f>
        <v>0.43446088794926002</v>
      </c>
      <c r="AL153" s="1433"/>
      <c r="AM153" s="1426">
        <f>AM151/(AM152*AI135)</f>
        <v>0.57082452431289643</v>
      </c>
      <c r="AN153" s="1433"/>
      <c r="AO153" s="1426">
        <f>AO151/(AO152*AI135)</f>
        <v>0.71035940803382669</v>
      </c>
      <c r="AP153" s="1406"/>
      <c r="AQ153" s="1033">
        <f>Möblierungsschablone!$K$46</f>
        <v>7.1999999999999993</v>
      </c>
      <c r="AR153" s="1406"/>
      <c r="AS153" s="1033">
        <f>Möblierungsschablone!$M$51</f>
        <v>8.82</v>
      </c>
      <c r="AT153" s="1406"/>
      <c r="AU153" s="1033">
        <f>Möblierungsschablone!$O$51</f>
        <v>8.82</v>
      </c>
      <c r="AW153" s="1435" t="s">
        <v>1367</v>
      </c>
      <c r="AX153" s="1433"/>
      <c r="AY153" s="1426">
        <f>AY151/(AY152*AY135)</f>
        <v>0.6960227272727274</v>
      </c>
      <c r="AZ153" s="1433"/>
      <c r="BA153" s="1426">
        <f>BA151/(BA152*AY135)</f>
        <v>0.75284090909090906</v>
      </c>
      <c r="BB153" s="1433"/>
      <c r="BC153" s="1426">
        <f>BC151/(BC152*AY135)</f>
        <v>0.87500000000000011</v>
      </c>
      <c r="BD153" s="1433"/>
      <c r="BE153" s="1426">
        <f>BE151/(BE152*AY135)</f>
        <v>0.63636363636363646</v>
      </c>
      <c r="BF153" s="1433"/>
      <c r="BG153" s="1426">
        <f>BG151/(BG152*AY135)</f>
        <v>0.77272727272727271</v>
      </c>
      <c r="BH153" s="1406"/>
      <c r="BI153" s="1033">
        <f>Möblierungsschablone!$M$51</f>
        <v>8.82</v>
      </c>
      <c r="BJ153" s="1406"/>
      <c r="BK153" s="1033">
        <f>Möblierungsschablone!$O$51</f>
        <v>8.82</v>
      </c>
      <c r="BM153" s="1435" t="s">
        <v>1367</v>
      </c>
      <c r="BN153" s="1415"/>
      <c r="BO153" s="1426">
        <f>BO151/(BO152*BO135)</f>
        <v>0.65508021390374338</v>
      </c>
      <c r="BP153" s="1415"/>
      <c r="BQ153" s="1426">
        <f>BQ151/(BQ152*BO135)</f>
        <v>0.70855614973262038</v>
      </c>
      <c r="BR153" s="1415"/>
      <c r="BS153" s="1426">
        <f>BS151/(BS152*BO135)</f>
        <v>0.82352941176470595</v>
      </c>
      <c r="BT153" s="1415"/>
      <c r="BU153" s="1426">
        <f>BU151/(BU152*BO135)</f>
        <v>0.59893048128342252</v>
      </c>
      <c r="BV153" s="1415"/>
      <c r="BW153" s="1426">
        <f>BW151/(BW152*BO135)</f>
        <v>0.72727272727272729</v>
      </c>
      <c r="BX153" s="1414"/>
      <c r="BY153" s="1033">
        <f>Möblierungsschablone!$M$51</f>
        <v>8.82</v>
      </c>
      <c r="BZ153" s="1414"/>
      <c r="CA153" s="1033">
        <f>Möblierungsschablone!$O$51</f>
        <v>8.82</v>
      </c>
      <c r="CC153" s="1435" t="s">
        <v>1367</v>
      </c>
      <c r="CD153" s="1433"/>
      <c r="CE153" s="1426">
        <f>CE151/(CE152*CE135)</f>
        <v>0.60743801652892571</v>
      </c>
      <c r="CF153" s="1433"/>
      <c r="CG153" s="1426">
        <f>CG151/(CG152*CE135)</f>
        <v>0.65702479338842978</v>
      </c>
      <c r="CH153" s="1433"/>
      <c r="CI153" s="1426">
        <f>CI151/(CI152*CE135)</f>
        <v>0.76363636363636367</v>
      </c>
      <c r="CJ153" s="1433"/>
      <c r="CK153" s="1426">
        <f>CK151/(CK152*CE135)</f>
        <v>0.55537190082644627</v>
      </c>
      <c r="CL153" s="1433"/>
      <c r="CM153" s="1426">
        <f>CM151/(CM152*CE135)</f>
        <v>0.67438016528925615</v>
      </c>
      <c r="CN153" s="1433"/>
      <c r="CO153" s="1426">
        <f>CO151/(CO152*CE135)</f>
        <v>0.803305785123967</v>
      </c>
      <c r="CP153" s="1433"/>
      <c r="CQ153" s="1426">
        <f>CQ151/(CQ152*CE135)</f>
        <v>0.84297520661157033</v>
      </c>
      <c r="CS153" s="1435" t="s">
        <v>1367</v>
      </c>
      <c r="CT153" s="1433"/>
      <c r="CU153" s="1426">
        <f>CU151/(CU152*CU135)</f>
        <v>0.57601880877742961</v>
      </c>
      <c r="CV153" s="1433"/>
      <c r="CW153" s="1426">
        <f>CW151/(CW152*CU135)</f>
        <v>0.62304075235109724</v>
      </c>
      <c r="CX153" s="1433"/>
      <c r="CY153" s="1426">
        <f>CY151/(CY152*CU135)</f>
        <v>0.72413793103448287</v>
      </c>
      <c r="CZ153" s="1433"/>
      <c r="DA153" s="1426">
        <f>DA151/(DA152*CU135)</f>
        <v>0.52664576802507845</v>
      </c>
      <c r="DB153" s="1433"/>
      <c r="DC153" s="1426">
        <f>DC151/(DC152*CU135)</f>
        <v>0.63949843260188088</v>
      </c>
      <c r="DD153" s="1433"/>
      <c r="DE153" s="1426">
        <f>DE151/(DE152*CU135)</f>
        <v>0.76175548589341702</v>
      </c>
      <c r="DF153" s="1433"/>
      <c r="DG153" s="1426">
        <f>DG151/(DG152*CU135)</f>
        <v>0.79937304075235127</v>
      </c>
      <c r="DI153" s="1154"/>
      <c r="DJ153" s="701"/>
      <c r="DK153" s="1152"/>
      <c r="DL153" s="701"/>
      <c r="DM153" s="1152"/>
      <c r="DN153" s="701"/>
      <c r="DO153" s="1152"/>
      <c r="DP153" s="701"/>
      <c r="DQ153" s="1152"/>
      <c r="DR153" s="701"/>
      <c r="DS153" s="1152"/>
      <c r="DT153" s="701"/>
      <c r="DU153" s="1152"/>
      <c r="DV153" s="701"/>
      <c r="DW153" s="1152"/>
    </row>
    <row r="154" spans="1:127" ht="15.75" customHeight="1">
      <c r="A154" s="1436"/>
      <c r="B154" s="1415"/>
      <c r="C154" s="1427"/>
      <c r="D154" s="1415"/>
      <c r="E154" s="1427"/>
      <c r="F154" s="1415"/>
      <c r="G154" s="1427"/>
      <c r="H154" s="1404"/>
      <c r="I154" s="1033"/>
      <c r="J154" s="1404"/>
      <c r="K154" s="1033"/>
      <c r="L154" s="1404"/>
      <c r="M154" s="1033"/>
      <c r="N154" s="1404"/>
      <c r="O154" s="1033"/>
      <c r="Q154" s="1436"/>
      <c r="R154" s="1433"/>
      <c r="S154" s="1427"/>
      <c r="T154" s="1433"/>
      <c r="U154" s="1427"/>
      <c r="V154" s="1433"/>
      <c r="W154" s="1427"/>
      <c r="X154" s="1406"/>
      <c r="Y154" s="1033"/>
      <c r="Z154" s="1406"/>
      <c r="AA154" s="1033"/>
      <c r="AB154" s="1406"/>
      <c r="AC154" s="1033"/>
      <c r="AD154" s="1406"/>
      <c r="AE154" s="1033"/>
      <c r="AG154" s="1436"/>
      <c r="AH154" s="1433"/>
      <c r="AI154" s="1427"/>
      <c r="AJ154" s="1433"/>
      <c r="AK154" s="1427"/>
      <c r="AL154" s="1433"/>
      <c r="AM154" s="1427"/>
      <c r="AN154" s="1433"/>
      <c r="AO154" s="1427"/>
      <c r="AP154" s="1406"/>
      <c r="AQ154" s="1033"/>
      <c r="AR154" s="1406"/>
      <c r="AS154" s="1033"/>
      <c r="AT154" s="1406"/>
      <c r="AU154" s="1033"/>
      <c r="AW154" s="1436"/>
      <c r="AX154" s="1433"/>
      <c r="AY154" s="1427"/>
      <c r="AZ154" s="1433"/>
      <c r="BA154" s="1427"/>
      <c r="BB154" s="1433"/>
      <c r="BC154" s="1427"/>
      <c r="BD154" s="1433"/>
      <c r="BE154" s="1427"/>
      <c r="BF154" s="1433"/>
      <c r="BG154" s="1427"/>
      <c r="BH154" s="1406"/>
      <c r="BI154" s="1033"/>
      <c r="BJ154" s="1406"/>
      <c r="BK154" s="1033"/>
      <c r="BM154" s="1436"/>
      <c r="BN154" s="1415"/>
      <c r="BO154" s="1427"/>
      <c r="BP154" s="1415"/>
      <c r="BQ154" s="1427"/>
      <c r="BR154" s="1415"/>
      <c r="BS154" s="1427"/>
      <c r="BT154" s="1415"/>
      <c r="BU154" s="1427"/>
      <c r="BV154" s="1415"/>
      <c r="BW154" s="1427"/>
      <c r="BX154" s="1415"/>
      <c r="BY154" s="1033"/>
      <c r="BZ154" s="1415"/>
      <c r="CA154" s="1033"/>
      <c r="CC154" s="1436"/>
      <c r="CD154" s="1433"/>
      <c r="CE154" s="1427"/>
      <c r="CF154" s="1433"/>
      <c r="CG154" s="1427"/>
      <c r="CH154" s="1433"/>
      <c r="CI154" s="1427"/>
      <c r="CJ154" s="1433"/>
      <c r="CK154" s="1427"/>
      <c r="CL154" s="1433"/>
      <c r="CM154" s="1427"/>
      <c r="CN154" s="1433"/>
      <c r="CO154" s="1427"/>
      <c r="CP154" s="1433"/>
      <c r="CQ154" s="1427"/>
      <c r="CS154" s="1436"/>
      <c r="CT154" s="1433"/>
      <c r="CU154" s="1427"/>
      <c r="CV154" s="1433"/>
      <c r="CW154" s="1427"/>
      <c r="CX154" s="1433"/>
      <c r="CY154" s="1427"/>
      <c r="CZ154" s="1433"/>
      <c r="DA154" s="1427"/>
      <c r="DB154" s="1433"/>
      <c r="DC154" s="1427"/>
      <c r="DD154" s="1433"/>
      <c r="DE154" s="1427"/>
      <c r="DF154" s="1433"/>
      <c r="DG154" s="1427"/>
      <c r="DI154" s="701"/>
      <c r="DJ154" s="701"/>
      <c r="DK154" s="1152"/>
      <c r="DL154" s="701"/>
      <c r="DM154" s="1152"/>
      <c r="DN154" s="701"/>
      <c r="DO154" s="1152"/>
      <c r="DP154" s="701"/>
      <c r="DQ154" s="1152"/>
      <c r="DR154" s="701"/>
      <c r="DS154" s="1152"/>
      <c r="DT154" s="701"/>
      <c r="DU154" s="1152"/>
      <c r="DV154" s="701"/>
      <c r="DW154" s="1152"/>
    </row>
    <row r="155" spans="1:127" ht="15.75" customHeight="1">
      <c r="A155" s="1436"/>
      <c r="B155" s="1415"/>
      <c r="C155" s="1427"/>
      <c r="D155" s="1415"/>
      <c r="E155" s="1427"/>
      <c r="F155" s="1415"/>
      <c r="G155" s="1427"/>
      <c r="H155" s="1404"/>
      <c r="I155" s="1034">
        <f>SUM(I153:I154)</f>
        <v>5.76</v>
      </c>
      <c r="J155" s="1404"/>
      <c r="K155" s="1034">
        <f>SUM(K153:K154)</f>
        <v>7.1999999999999993</v>
      </c>
      <c r="L155" s="1404"/>
      <c r="M155" s="1034">
        <f>SUM(M153:M154)</f>
        <v>8.82</v>
      </c>
      <c r="N155" s="1404"/>
      <c r="O155" s="1034">
        <f>SUM(O153:O154)</f>
        <v>8.82</v>
      </c>
      <c r="Q155" s="1436"/>
      <c r="R155" s="1433"/>
      <c r="S155" s="1427"/>
      <c r="T155" s="1433"/>
      <c r="U155" s="1427"/>
      <c r="V155" s="1433"/>
      <c r="W155" s="1427"/>
      <c r="X155" s="1406"/>
      <c r="Y155" s="1034">
        <f>SUM(Y153:Y154)</f>
        <v>5.76</v>
      </c>
      <c r="Z155" s="1406"/>
      <c r="AA155" s="1034">
        <f>SUM(AA153:AA154)</f>
        <v>7.1999999999999993</v>
      </c>
      <c r="AB155" s="1406"/>
      <c r="AC155" s="1034">
        <f>SUM(AC153:AC154)</f>
        <v>8.82</v>
      </c>
      <c r="AD155" s="1406"/>
      <c r="AE155" s="1034">
        <f>SUM(AE153:AE154)</f>
        <v>8.82</v>
      </c>
      <c r="AG155" s="1436"/>
      <c r="AH155" s="1433"/>
      <c r="AI155" s="1427"/>
      <c r="AJ155" s="1433"/>
      <c r="AK155" s="1427"/>
      <c r="AL155" s="1433"/>
      <c r="AM155" s="1427"/>
      <c r="AN155" s="1433"/>
      <c r="AO155" s="1427"/>
      <c r="AP155" s="1406"/>
      <c r="AQ155" s="1034">
        <f>SUM(AQ153:AQ154)</f>
        <v>7.1999999999999993</v>
      </c>
      <c r="AR155" s="1406"/>
      <c r="AS155" s="1034">
        <f>SUM(AS153:AS154)</f>
        <v>8.82</v>
      </c>
      <c r="AT155" s="1406"/>
      <c r="AU155" s="1034">
        <f>SUM(AU153:AU154)</f>
        <v>8.82</v>
      </c>
      <c r="AW155" s="1436"/>
      <c r="AX155" s="1433"/>
      <c r="AY155" s="1427"/>
      <c r="AZ155" s="1433"/>
      <c r="BA155" s="1427"/>
      <c r="BB155" s="1433"/>
      <c r="BC155" s="1427"/>
      <c r="BD155" s="1433"/>
      <c r="BE155" s="1427"/>
      <c r="BF155" s="1433"/>
      <c r="BG155" s="1427"/>
      <c r="BH155" s="1406"/>
      <c r="BI155" s="1034">
        <f>SUM(BI153:BI154)</f>
        <v>8.82</v>
      </c>
      <c r="BJ155" s="1406"/>
      <c r="BK155" s="1034">
        <f>SUM(BK153:BK154)</f>
        <v>8.82</v>
      </c>
      <c r="BM155" s="1436"/>
      <c r="BN155" s="1415"/>
      <c r="BO155" s="1427"/>
      <c r="BP155" s="1415"/>
      <c r="BQ155" s="1427"/>
      <c r="BR155" s="1415"/>
      <c r="BS155" s="1427"/>
      <c r="BT155" s="1415"/>
      <c r="BU155" s="1427"/>
      <c r="BV155" s="1415"/>
      <c r="BW155" s="1427"/>
      <c r="BX155" s="1415"/>
      <c r="BY155" s="1034">
        <f>SUM(BY153:BY154)</f>
        <v>8.82</v>
      </c>
      <c r="BZ155" s="1415"/>
      <c r="CA155" s="1034">
        <f>SUM(CA153:CA154)</f>
        <v>8.82</v>
      </c>
      <c r="CC155" s="1436"/>
      <c r="CD155" s="1433"/>
      <c r="CE155" s="1427"/>
      <c r="CF155" s="1433"/>
      <c r="CG155" s="1427"/>
      <c r="CH155" s="1433"/>
      <c r="CI155" s="1427"/>
      <c r="CJ155" s="1433"/>
      <c r="CK155" s="1427"/>
      <c r="CL155" s="1433"/>
      <c r="CM155" s="1427"/>
      <c r="CN155" s="1433"/>
      <c r="CO155" s="1427"/>
      <c r="CP155" s="1433"/>
      <c r="CQ155" s="1427"/>
      <c r="CS155" s="1436"/>
      <c r="CT155" s="1433"/>
      <c r="CU155" s="1427"/>
      <c r="CV155" s="1433"/>
      <c r="CW155" s="1427"/>
      <c r="CX155" s="1433"/>
      <c r="CY155" s="1427"/>
      <c r="CZ155" s="1433"/>
      <c r="DA155" s="1427"/>
      <c r="DB155" s="1433"/>
      <c r="DC155" s="1427"/>
      <c r="DD155" s="1433"/>
      <c r="DE155" s="1427"/>
      <c r="DF155" s="1433"/>
      <c r="DG155" s="1427"/>
      <c r="DI155" s="701"/>
      <c r="DJ155" s="701"/>
      <c r="DK155" s="1152"/>
      <c r="DL155" s="701"/>
      <c r="DM155" s="1152"/>
      <c r="DN155" s="701"/>
      <c r="DO155" s="1152"/>
      <c r="DP155" s="701"/>
      <c r="DQ155" s="1152"/>
      <c r="DR155" s="701"/>
      <c r="DS155" s="1152"/>
      <c r="DT155" s="701"/>
      <c r="DU155" s="1152"/>
      <c r="DV155" s="701"/>
      <c r="DW155" s="1152"/>
    </row>
    <row r="156" spans="1:127" ht="15.75" customHeight="1">
      <c r="A156" s="1436"/>
      <c r="B156" s="1415"/>
      <c r="C156" s="1427"/>
      <c r="D156" s="1415"/>
      <c r="E156" s="1427"/>
      <c r="F156" s="1415"/>
      <c r="G156" s="1427"/>
      <c r="H156" s="1404"/>
      <c r="I156" s="1032">
        <v>1</v>
      </c>
      <c r="J156" s="1404"/>
      <c r="K156" s="1032">
        <v>1</v>
      </c>
      <c r="L156" s="1404"/>
      <c r="M156" s="1032">
        <v>1</v>
      </c>
      <c r="N156" s="1404"/>
      <c r="O156" s="1032">
        <v>1</v>
      </c>
      <c r="Q156" s="1436"/>
      <c r="R156" s="1433"/>
      <c r="S156" s="1427"/>
      <c r="T156" s="1433"/>
      <c r="U156" s="1427"/>
      <c r="V156" s="1433"/>
      <c r="W156" s="1427"/>
      <c r="X156" s="1406"/>
      <c r="Y156" s="1032">
        <v>1</v>
      </c>
      <c r="Z156" s="1406"/>
      <c r="AA156" s="1032">
        <v>1</v>
      </c>
      <c r="AB156" s="1406"/>
      <c r="AC156" s="1032">
        <v>1</v>
      </c>
      <c r="AD156" s="1406"/>
      <c r="AE156" s="1032">
        <v>1</v>
      </c>
      <c r="AG156" s="1436"/>
      <c r="AH156" s="1433"/>
      <c r="AI156" s="1427"/>
      <c r="AJ156" s="1433"/>
      <c r="AK156" s="1427"/>
      <c r="AL156" s="1433"/>
      <c r="AM156" s="1427"/>
      <c r="AN156" s="1433"/>
      <c r="AO156" s="1427"/>
      <c r="AP156" s="1406"/>
      <c r="AQ156" s="1032">
        <v>1</v>
      </c>
      <c r="AR156" s="1406"/>
      <c r="AS156" s="1032">
        <v>1</v>
      </c>
      <c r="AT156" s="1406"/>
      <c r="AU156" s="1032">
        <v>1</v>
      </c>
      <c r="AW156" s="1436"/>
      <c r="AX156" s="1433"/>
      <c r="AY156" s="1427"/>
      <c r="AZ156" s="1433"/>
      <c r="BA156" s="1427"/>
      <c r="BB156" s="1433"/>
      <c r="BC156" s="1427"/>
      <c r="BD156" s="1433"/>
      <c r="BE156" s="1427"/>
      <c r="BF156" s="1433"/>
      <c r="BG156" s="1427"/>
      <c r="BH156" s="1406"/>
      <c r="BI156" s="1032">
        <v>1</v>
      </c>
      <c r="BJ156" s="1406"/>
      <c r="BK156" s="1032">
        <v>1</v>
      </c>
      <c r="BM156" s="1436"/>
      <c r="BN156" s="1415"/>
      <c r="BO156" s="1427"/>
      <c r="BP156" s="1415"/>
      <c r="BQ156" s="1427"/>
      <c r="BR156" s="1415"/>
      <c r="BS156" s="1427"/>
      <c r="BT156" s="1415"/>
      <c r="BU156" s="1427"/>
      <c r="BV156" s="1415"/>
      <c r="BW156" s="1427"/>
      <c r="BX156" s="1415"/>
      <c r="BY156" s="1032">
        <v>1</v>
      </c>
      <c r="BZ156" s="1415"/>
      <c r="CA156" s="1032">
        <v>1</v>
      </c>
      <c r="CC156" s="1436"/>
      <c r="CD156" s="1433"/>
      <c r="CE156" s="1427"/>
      <c r="CF156" s="1433"/>
      <c r="CG156" s="1427"/>
      <c r="CH156" s="1433"/>
      <c r="CI156" s="1427"/>
      <c r="CJ156" s="1433"/>
      <c r="CK156" s="1427"/>
      <c r="CL156" s="1433"/>
      <c r="CM156" s="1427"/>
      <c r="CN156" s="1433"/>
      <c r="CO156" s="1427"/>
      <c r="CP156" s="1433"/>
      <c r="CQ156" s="1427"/>
      <c r="CS156" s="1436"/>
      <c r="CT156" s="1433"/>
      <c r="CU156" s="1427"/>
      <c r="CV156" s="1433"/>
      <c r="CW156" s="1427"/>
      <c r="CX156" s="1433"/>
      <c r="CY156" s="1427"/>
      <c r="CZ156" s="1433"/>
      <c r="DA156" s="1427"/>
      <c r="DB156" s="1433"/>
      <c r="DC156" s="1427"/>
      <c r="DD156" s="1433"/>
      <c r="DE156" s="1427"/>
      <c r="DF156" s="1433"/>
      <c r="DG156" s="1427"/>
      <c r="DI156" s="701"/>
      <c r="DJ156" s="701"/>
      <c r="DK156" s="1210"/>
      <c r="DL156" s="701"/>
      <c r="DM156" s="1210"/>
      <c r="DN156" s="701"/>
      <c r="DO156" s="1210"/>
      <c r="DP156" s="701"/>
      <c r="DQ156" s="1210"/>
      <c r="DR156" s="701"/>
      <c r="DS156" s="1210"/>
      <c r="DT156" s="701"/>
      <c r="DU156" s="1210"/>
      <c r="DV156" s="701"/>
      <c r="DW156" s="1210"/>
    </row>
    <row r="157" spans="1:127" ht="20.25" customHeight="1">
      <c r="A157" s="1436"/>
      <c r="B157" s="1416"/>
      <c r="C157" s="1428"/>
      <c r="D157" s="1416"/>
      <c r="E157" s="1428"/>
      <c r="F157" s="1416"/>
      <c r="G157" s="1428"/>
      <c r="H157" s="1404"/>
      <c r="I157" s="1030">
        <f>I155/(I156*C135)</f>
        <v>0.52892561983471076</v>
      </c>
      <c r="J157" s="1404"/>
      <c r="K157" s="1030">
        <f>K155/(K156*C135)</f>
        <v>0.66115702479338845</v>
      </c>
      <c r="L157" s="1404"/>
      <c r="M157" s="1030">
        <f>M155/(M156*C135)</f>
        <v>0.8099173553719009</v>
      </c>
      <c r="N157" s="1404"/>
      <c r="O157" s="1030">
        <f>O155/(O156*C135)</f>
        <v>0.8099173553719009</v>
      </c>
      <c r="Q157" s="1436"/>
      <c r="R157" s="1434"/>
      <c r="S157" s="1428"/>
      <c r="T157" s="1434"/>
      <c r="U157" s="1428"/>
      <c r="V157" s="1434"/>
      <c r="W157" s="1428"/>
      <c r="X157" s="1406"/>
      <c r="Y157" s="1030">
        <f>Y155/(Y156*S135)</f>
        <v>0.45933014354066987</v>
      </c>
      <c r="Z157" s="1406"/>
      <c r="AA157" s="1030">
        <f>AA155/(AA156*S135)</f>
        <v>0.57416267942583732</v>
      </c>
      <c r="AB157" s="1406"/>
      <c r="AC157" s="1030">
        <f>AC155/(AC156*S135)</f>
        <v>0.70334928229665084</v>
      </c>
      <c r="AD157" s="1406"/>
      <c r="AE157" s="1030">
        <f>AE155/(AE156*S135)</f>
        <v>0.70334928229665084</v>
      </c>
      <c r="AG157" s="1436"/>
      <c r="AH157" s="1434"/>
      <c r="AI157" s="1428"/>
      <c r="AJ157" s="1434"/>
      <c r="AK157" s="1428"/>
      <c r="AL157" s="1434"/>
      <c r="AM157" s="1428"/>
      <c r="AN157" s="1434"/>
      <c r="AO157" s="1428"/>
      <c r="AP157" s="1406"/>
      <c r="AQ157" s="1030">
        <f>AQ155/(AQ156*AI135)</f>
        <v>0.507399577167019</v>
      </c>
      <c r="AR157" s="1406"/>
      <c r="AS157" s="1030">
        <f>AS155/(AS156*AI135)</f>
        <v>0.62156448202959835</v>
      </c>
      <c r="AT157" s="1406"/>
      <c r="AU157" s="1030">
        <f>AU155/(AU156*AI135)</f>
        <v>0.62156448202959835</v>
      </c>
      <c r="AW157" s="1436"/>
      <c r="AX157" s="1433"/>
      <c r="AY157" s="1427"/>
      <c r="AZ157" s="1433"/>
      <c r="BA157" s="1427"/>
      <c r="BB157" s="1433"/>
      <c r="BC157" s="1427"/>
      <c r="BD157" s="1434"/>
      <c r="BE157" s="1428"/>
      <c r="BF157" s="1434"/>
      <c r="BG157" s="1428"/>
      <c r="BH157" s="1406"/>
      <c r="BI157" s="1030">
        <f>BI155/(BI156*AY135)</f>
        <v>0.55681818181818188</v>
      </c>
      <c r="BJ157" s="1406"/>
      <c r="BK157" s="1030">
        <f>BK155/(BK156*AY135)</f>
        <v>0.55681818181818188</v>
      </c>
      <c r="BM157" s="1436"/>
      <c r="BN157" s="1415"/>
      <c r="BO157" s="1427"/>
      <c r="BP157" s="1415"/>
      <c r="BQ157" s="1427"/>
      <c r="BR157" s="1415"/>
      <c r="BS157" s="1427"/>
      <c r="BT157" s="1416"/>
      <c r="BU157" s="1428"/>
      <c r="BV157" s="1416"/>
      <c r="BW157" s="1428"/>
      <c r="BX157" s="1416"/>
      <c r="BY157" s="1030">
        <f>BY155/(BY156*BO135)</f>
        <v>0.52406417112299475</v>
      </c>
      <c r="BZ157" s="1416"/>
      <c r="CA157" s="1030">
        <f>CA155/(CA156*BO135)</f>
        <v>0.52406417112299475</v>
      </c>
      <c r="CC157" s="1436"/>
      <c r="CD157" s="1433"/>
      <c r="CE157" s="1427"/>
      <c r="CF157" s="1433"/>
      <c r="CG157" s="1427"/>
      <c r="CH157" s="1433"/>
      <c r="CI157" s="1427"/>
      <c r="CJ157" s="1434"/>
      <c r="CK157" s="1428"/>
      <c r="CL157" s="1434"/>
      <c r="CM157" s="1428"/>
      <c r="CN157" s="1434"/>
      <c r="CO157" s="1428"/>
      <c r="CP157" s="1434"/>
      <c r="CQ157" s="1428"/>
      <c r="CS157" s="1436"/>
      <c r="CT157" s="1433"/>
      <c r="CU157" s="1427"/>
      <c r="CV157" s="1433"/>
      <c r="CW157" s="1427"/>
      <c r="CX157" s="1433"/>
      <c r="CY157" s="1427"/>
      <c r="CZ157" s="1434"/>
      <c r="DA157" s="1428"/>
      <c r="DB157" s="1434"/>
      <c r="DC157" s="1428"/>
      <c r="DD157" s="1434"/>
      <c r="DE157" s="1428"/>
      <c r="DF157" s="1434"/>
      <c r="DG157" s="1428"/>
      <c r="DI157" s="701"/>
      <c r="DJ157" s="701"/>
      <c r="DK157" s="1211"/>
      <c r="DL157" s="701"/>
      <c r="DM157" s="1211"/>
      <c r="DN157" s="701"/>
      <c r="DO157" s="1211"/>
      <c r="DP157" s="701"/>
      <c r="DQ157" s="1211"/>
      <c r="DR157" s="701"/>
      <c r="DS157" s="1211"/>
      <c r="DT157" s="701"/>
      <c r="DU157" s="1211"/>
      <c r="DV157" s="701"/>
      <c r="DW157" s="1211"/>
    </row>
    <row r="158" spans="1:127" ht="15.75" customHeight="1">
      <c r="A158" s="1435" t="s">
        <v>1368</v>
      </c>
      <c r="B158" s="1404"/>
      <c r="C158" s="1033">
        <f>Möblierungsschablone!$C$56</f>
        <v>5.76</v>
      </c>
      <c r="D158" s="1404"/>
      <c r="E158" s="1033">
        <f>Möblierungsschablone!$E$56</f>
        <v>5.76</v>
      </c>
      <c r="F158" s="1404"/>
      <c r="G158" s="1033">
        <f>Möblierungsschablone!$G$56</f>
        <v>5.76</v>
      </c>
      <c r="H158" s="1404"/>
      <c r="I158" s="1033">
        <f>Möblierungsschablone!$I$56</f>
        <v>5.76</v>
      </c>
      <c r="J158" s="1404"/>
      <c r="K158" s="1033">
        <f>Möblierungsschablone!$K$61</f>
        <v>7.34</v>
      </c>
      <c r="L158" s="1404"/>
      <c r="M158" s="1033">
        <f>Möblierungsschablone!$M$61</f>
        <v>9.18</v>
      </c>
      <c r="N158" s="1404"/>
      <c r="O158" s="1033">
        <f>Möblierungsschablone!$O$61</f>
        <v>9.4199999999999982</v>
      </c>
      <c r="Q158" s="1435" t="s">
        <v>1368</v>
      </c>
      <c r="R158" s="1404"/>
      <c r="S158" s="1033">
        <f>Möblierungsschablone!$C$56</f>
        <v>5.76</v>
      </c>
      <c r="T158" s="1404"/>
      <c r="U158" s="1033">
        <f>Möblierungsschablone!$E$56</f>
        <v>5.76</v>
      </c>
      <c r="V158" s="1404"/>
      <c r="W158" s="1033">
        <f>Möblierungsschablone!$G$56</f>
        <v>5.76</v>
      </c>
      <c r="X158" s="1404"/>
      <c r="Y158" s="1033">
        <f>Möblierungsschablone!$I$56</f>
        <v>5.76</v>
      </c>
      <c r="Z158" s="1404"/>
      <c r="AA158" s="1033">
        <f>Möblierungsschablone!$K$61</f>
        <v>7.34</v>
      </c>
      <c r="AB158" s="1404"/>
      <c r="AC158" s="1033">
        <f>Möblierungsschablone!$M$61</f>
        <v>9.18</v>
      </c>
      <c r="AD158" s="1404"/>
      <c r="AE158" s="1033">
        <f>Möblierungsschablone!$O$61</f>
        <v>9.4199999999999982</v>
      </c>
      <c r="AG158" s="1435" t="s">
        <v>1368</v>
      </c>
      <c r="AH158" s="1404"/>
      <c r="AI158" s="1033">
        <f>Möblierungsschablone!$C$56</f>
        <v>5.76</v>
      </c>
      <c r="AJ158" s="1404"/>
      <c r="AK158" s="1033">
        <f>Möblierungsschablone!$E$56</f>
        <v>5.76</v>
      </c>
      <c r="AL158" s="1404"/>
      <c r="AM158" s="1033">
        <f>Möblierungsschablone!$G$56</f>
        <v>5.76</v>
      </c>
      <c r="AN158" s="1404"/>
      <c r="AO158" s="1033">
        <f>Möblierungsschablone!$I$56</f>
        <v>5.76</v>
      </c>
      <c r="AP158" s="1404"/>
      <c r="AQ158" s="1033">
        <f>Möblierungsschablone!$K$61</f>
        <v>7.34</v>
      </c>
      <c r="AR158" s="1404"/>
      <c r="AS158" s="1033">
        <f>Möblierungsschablone!$M$61</f>
        <v>9.18</v>
      </c>
      <c r="AT158" s="1404"/>
      <c r="AU158" s="1033">
        <f>Möblierungsschablone!$O$61</f>
        <v>9.4199999999999982</v>
      </c>
      <c r="AW158" s="1435" t="s">
        <v>1368</v>
      </c>
      <c r="AX158" s="1433"/>
      <c r="AY158" s="1427"/>
      <c r="AZ158" s="1433"/>
      <c r="BA158" s="1427"/>
      <c r="BB158" s="1433"/>
      <c r="BC158" s="1427"/>
      <c r="BD158" s="1404"/>
      <c r="BE158" s="1033">
        <f>Möblierungsschablone!$I$56</f>
        <v>5.76</v>
      </c>
      <c r="BF158" s="1404"/>
      <c r="BG158" s="1033">
        <f>Möblierungsschablone!$K$61</f>
        <v>7.34</v>
      </c>
      <c r="BH158" s="1404"/>
      <c r="BI158" s="1033">
        <f>Möblierungsschablone!$M$61</f>
        <v>9.18</v>
      </c>
      <c r="BJ158" s="1404"/>
      <c r="BK158" s="1033">
        <f>Möblierungsschablone!$O$61</f>
        <v>9.4199999999999982</v>
      </c>
      <c r="BM158" s="1435" t="s">
        <v>1368</v>
      </c>
      <c r="BN158" s="1415"/>
      <c r="BO158" s="1427"/>
      <c r="BP158" s="1415"/>
      <c r="BQ158" s="1427"/>
      <c r="BR158" s="1415"/>
      <c r="BS158" s="1427"/>
      <c r="BT158" s="1404"/>
      <c r="BU158" s="1033">
        <f>Möblierungsschablone!$I$56</f>
        <v>5.76</v>
      </c>
      <c r="BV158" s="1414"/>
      <c r="BW158" s="1033">
        <f>Möblierungsschablone!$K$61</f>
        <v>7.34</v>
      </c>
      <c r="BX158" s="1414"/>
      <c r="BY158" s="1033">
        <f>Möblierungsschablone!$M$61</f>
        <v>9.18</v>
      </c>
      <c r="BZ158" s="1414"/>
      <c r="CA158" s="1033">
        <f>Möblierungsschablone!$O$61</f>
        <v>9.4199999999999982</v>
      </c>
      <c r="CC158" s="1435" t="s">
        <v>1368</v>
      </c>
      <c r="CD158" s="1433"/>
      <c r="CE158" s="1427"/>
      <c r="CF158" s="1433"/>
      <c r="CG158" s="1427"/>
      <c r="CH158" s="1433"/>
      <c r="CI158" s="1427"/>
      <c r="CJ158" s="1404"/>
      <c r="CK158" s="1033">
        <f>Möblierungsschablone!$I$56</f>
        <v>5.76</v>
      </c>
      <c r="CL158" s="1404"/>
      <c r="CM158" s="1033">
        <f>Möblierungsschablone!$K$61</f>
        <v>7.34</v>
      </c>
      <c r="CN158" s="1404"/>
      <c r="CO158" s="1033">
        <f>Möblierungsschablone!$M$61</f>
        <v>9.18</v>
      </c>
      <c r="CP158" s="1404"/>
      <c r="CQ158" s="1033">
        <f>Möblierungsschablone!$O$61</f>
        <v>9.4199999999999982</v>
      </c>
      <c r="CS158" s="1435" t="s">
        <v>1368</v>
      </c>
      <c r="CT158" s="1433"/>
      <c r="CU158" s="1427"/>
      <c r="CV158" s="1433"/>
      <c r="CW158" s="1427"/>
      <c r="CX158" s="1433"/>
      <c r="CY158" s="1427"/>
      <c r="CZ158" s="1199" t="s">
        <v>2177</v>
      </c>
      <c r="DA158" s="1033">
        <f>Möblierungsschablone!$I$56</f>
        <v>5.76</v>
      </c>
      <c r="DB158" s="1404"/>
      <c r="DC158" s="1033">
        <f>Möblierungsschablone!$K$61</f>
        <v>7.34</v>
      </c>
      <c r="DD158" s="1404"/>
      <c r="DE158" s="1033">
        <f>Möblierungsschablone!$M$61</f>
        <v>9.18</v>
      </c>
      <c r="DF158" s="1404"/>
      <c r="DG158" s="1033">
        <f>Möblierungsschablone!$O$61</f>
        <v>9.4199999999999982</v>
      </c>
      <c r="DI158" s="1154"/>
      <c r="DJ158" s="701"/>
      <c r="DK158" s="1152"/>
      <c r="DL158" s="701"/>
      <c r="DM158" s="1152"/>
      <c r="DN158" s="701"/>
      <c r="DO158" s="1152"/>
      <c r="DP158" s="701"/>
      <c r="DQ158" s="1039"/>
      <c r="DR158" s="701"/>
      <c r="DS158" s="1039"/>
      <c r="DT158" s="701"/>
      <c r="DU158" s="1039"/>
      <c r="DV158" s="701"/>
      <c r="DW158" s="1039"/>
    </row>
    <row r="159" spans="1:127" ht="15.75" customHeight="1">
      <c r="A159" s="1436"/>
      <c r="B159" s="1404"/>
      <c r="C159" s="1033"/>
      <c r="D159" s="1404"/>
      <c r="E159" s="1033"/>
      <c r="F159" s="1404"/>
      <c r="G159" s="1033"/>
      <c r="H159" s="1404"/>
      <c r="I159" s="1033"/>
      <c r="J159" s="1404"/>
      <c r="K159" s="1033"/>
      <c r="L159" s="1404"/>
      <c r="M159" s="1033"/>
      <c r="N159" s="1404"/>
      <c r="O159" s="1033"/>
      <c r="Q159" s="1436"/>
      <c r="R159" s="1404"/>
      <c r="S159" s="1033"/>
      <c r="T159" s="1404"/>
      <c r="U159" s="1033"/>
      <c r="V159" s="1404"/>
      <c r="W159" s="1033"/>
      <c r="X159" s="1404"/>
      <c r="Y159" s="1033"/>
      <c r="Z159" s="1404"/>
      <c r="AA159" s="1033"/>
      <c r="AB159" s="1404"/>
      <c r="AC159" s="1033"/>
      <c r="AD159" s="1404"/>
      <c r="AE159" s="1033"/>
      <c r="AG159" s="1436"/>
      <c r="AH159" s="1404"/>
      <c r="AI159" s="1033"/>
      <c r="AJ159" s="1404"/>
      <c r="AK159" s="1033"/>
      <c r="AL159" s="1404"/>
      <c r="AM159" s="1033"/>
      <c r="AN159" s="1404"/>
      <c r="AO159" s="1033"/>
      <c r="AP159" s="1404"/>
      <c r="AQ159" s="1033"/>
      <c r="AR159" s="1404"/>
      <c r="AS159" s="1033"/>
      <c r="AT159" s="1404"/>
      <c r="AU159" s="1033"/>
      <c r="AW159" s="1436"/>
      <c r="AX159" s="1433"/>
      <c r="AY159" s="1427"/>
      <c r="AZ159" s="1433"/>
      <c r="BA159" s="1427"/>
      <c r="BB159" s="1433"/>
      <c r="BC159" s="1427"/>
      <c r="BD159" s="1404"/>
      <c r="BE159" s="1033"/>
      <c r="BF159" s="1404"/>
      <c r="BG159" s="1033"/>
      <c r="BH159" s="1404"/>
      <c r="BI159" s="1033"/>
      <c r="BJ159" s="1404"/>
      <c r="BK159" s="1033"/>
      <c r="BM159" s="1436"/>
      <c r="BN159" s="1415"/>
      <c r="BO159" s="1427"/>
      <c r="BP159" s="1415"/>
      <c r="BQ159" s="1427"/>
      <c r="BR159" s="1415"/>
      <c r="BS159" s="1427"/>
      <c r="BT159" s="1404"/>
      <c r="BU159" s="1033"/>
      <c r="BV159" s="1415"/>
      <c r="BW159" s="1033"/>
      <c r="BX159" s="1415"/>
      <c r="BY159" s="1033"/>
      <c r="BZ159" s="1415"/>
      <c r="CA159" s="1033"/>
      <c r="CC159" s="1436"/>
      <c r="CD159" s="1433"/>
      <c r="CE159" s="1427"/>
      <c r="CF159" s="1433"/>
      <c r="CG159" s="1427"/>
      <c r="CH159" s="1433"/>
      <c r="CI159" s="1427"/>
      <c r="CJ159" s="1404"/>
      <c r="CK159" s="1033"/>
      <c r="CL159" s="1404"/>
      <c r="CM159" s="1033"/>
      <c r="CN159" s="1404"/>
      <c r="CO159" s="1033"/>
      <c r="CP159" s="1404"/>
      <c r="CQ159" s="1033"/>
      <c r="CS159" s="1436"/>
      <c r="CT159" s="1433"/>
      <c r="CU159" s="1427"/>
      <c r="CV159" s="1433"/>
      <c r="CW159" s="1427"/>
      <c r="CX159" s="1433"/>
      <c r="CY159" s="1427"/>
      <c r="CZ159" s="1200" t="s">
        <v>2040</v>
      </c>
      <c r="DA159" s="1033">
        <f>2*Möblierungsschablone!$C$66</f>
        <v>8.16</v>
      </c>
      <c r="DB159" s="1404"/>
      <c r="DC159" s="1033"/>
      <c r="DD159" s="1404"/>
      <c r="DE159" s="1033"/>
      <c r="DF159" s="1404"/>
      <c r="DG159" s="1033"/>
      <c r="DI159" s="701"/>
      <c r="DJ159" s="701"/>
      <c r="DK159" s="1152"/>
      <c r="DL159" s="701"/>
      <c r="DM159" s="1152"/>
      <c r="DN159" s="701"/>
      <c r="DO159" s="1152"/>
      <c r="DP159" s="701"/>
      <c r="DQ159" s="1039"/>
      <c r="DR159" s="701"/>
      <c r="DS159" s="1039"/>
      <c r="DT159" s="701"/>
      <c r="DU159" s="1039"/>
      <c r="DV159" s="701"/>
      <c r="DW159" s="1039"/>
    </row>
    <row r="160" spans="1:127" ht="15.75" customHeight="1">
      <c r="A160" s="1436"/>
      <c r="B160" s="1404"/>
      <c r="C160" s="1034">
        <f>SUM(C158:C159)</f>
        <v>5.76</v>
      </c>
      <c r="D160" s="1404"/>
      <c r="E160" s="1034">
        <f>SUM(E158:E159)</f>
        <v>5.76</v>
      </c>
      <c r="F160" s="1404"/>
      <c r="G160" s="1034">
        <f>SUM(G158:G159)</f>
        <v>5.76</v>
      </c>
      <c r="H160" s="1404"/>
      <c r="I160" s="1034">
        <f>SUM(I158:I159)</f>
        <v>5.76</v>
      </c>
      <c r="J160" s="1404"/>
      <c r="K160" s="1034">
        <f>SUM(K158:K159)</f>
        <v>7.34</v>
      </c>
      <c r="L160" s="1404"/>
      <c r="M160" s="1034">
        <f>SUM(M158:M159)</f>
        <v>9.18</v>
      </c>
      <c r="N160" s="1404"/>
      <c r="O160" s="1034">
        <f>SUM(O158:O159)</f>
        <v>9.4199999999999982</v>
      </c>
      <c r="Q160" s="1436"/>
      <c r="R160" s="1404"/>
      <c r="S160" s="1034">
        <f>SUM(S158:S159)</f>
        <v>5.76</v>
      </c>
      <c r="T160" s="1404"/>
      <c r="U160" s="1034">
        <f>SUM(U158:U159)</f>
        <v>5.76</v>
      </c>
      <c r="V160" s="1404"/>
      <c r="W160" s="1034">
        <f>SUM(W158:W159)</f>
        <v>5.76</v>
      </c>
      <c r="X160" s="1404"/>
      <c r="Y160" s="1034">
        <f>SUM(Y158:Y159)</f>
        <v>5.76</v>
      </c>
      <c r="Z160" s="1404"/>
      <c r="AA160" s="1034">
        <f>SUM(AA158:AA159)</f>
        <v>7.34</v>
      </c>
      <c r="AB160" s="1404"/>
      <c r="AC160" s="1034">
        <f>SUM(AC158:AC159)</f>
        <v>9.18</v>
      </c>
      <c r="AD160" s="1404"/>
      <c r="AE160" s="1034">
        <f>SUM(AE158:AE159)</f>
        <v>9.4199999999999982</v>
      </c>
      <c r="AG160" s="1436"/>
      <c r="AH160" s="1404"/>
      <c r="AI160" s="1034">
        <f>SUM(AI158:AI159)</f>
        <v>5.76</v>
      </c>
      <c r="AJ160" s="1404"/>
      <c r="AK160" s="1034">
        <f>SUM(AK158:AK159)</f>
        <v>5.76</v>
      </c>
      <c r="AL160" s="1404"/>
      <c r="AM160" s="1034">
        <f>SUM(AM158:AM159)</f>
        <v>5.76</v>
      </c>
      <c r="AN160" s="1404"/>
      <c r="AO160" s="1034">
        <f>SUM(AO158:AO159)</f>
        <v>5.76</v>
      </c>
      <c r="AP160" s="1404"/>
      <c r="AQ160" s="1034">
        <f>SUM(AQ158:AQ159)</f>
        <v>7.34</v>
      </c>
      <c r="AR160" s="1404"/>
      <c r="AS160" s="1034">
        <f>SUM(AS158:AS159)</f>
        <v>9.18</v>
      </c>
      <c r="AT160" s="1404"/>
      <c r="AU160" s="1034">
        <f>SUM(AU158:AU159)</f>
        <v>9.4199999999999982</v>
      </c>
      <c r="AW160" s="1436"/>
      <c r="AX160" s="1433"/>
      <c r="AY160" s="1427"/>
      <c r="AZ160" s="1433"/>
      <c r="BA160" s="1427"/>
      <c r="BB160" s="1433"/>
      <c r="BC160" s="1427"/>
      <c r="BD160" s="1404"/>
      <c r="BE160" s="1034">
        <f>SUM(BE158:BE159)</f>
        <v>5.76</v>
      </c>
      <c r="BF160" s="1404"/>
      <c r="BG160" s="1034">
        <f>SUM(BG158:BG159)</f>
        <v>7.34</v>
      </c>
      <c r="BH160" s="1404"/>
      <c r="BI160" s="1034">
        <f>SUM(BI158:BI159)</f>
        <v>9.18</v>
      </c>
      <c r="BJ160" s="1404"/>
      <c r="BK160" s="1034">
        <f>SUM(BK158:BK159)</f>
        <v>9.4199999999999982</v>
      </c>
      <c r="BM160" s="1436"/>
      <c r="BN160" s="1415"/>
      <c r="BO160" s="1427"/>
      <c r="BP160" s="1415"/>
      <c r="BQ160" s="1427"/>
      <c r="BR160" s="1415"/>
      <c r="BS160" s="1427"/>
      <c r="BT160" s="1404"/>
      <c r="BU160" s="1034">
        <f>SUM(BU158:BU159)</f>
        <v>5.76</v>
      </c>
      <c r="BV160" s="1415"/>
      <c r="BW160" s="1034">
        <f>SUM(BW158:BW159)</f>
        <v>7.34</v>
      </c>
      <c r="BX160" s="1415"/>
      <c r="BY160" s="1034">
        <f>SUM(BY158:BY159)</f>
        <v>9.18</v>
      </c>
      <c r="BZ160" s="1415"/>
      <c r="CA160" s="1034">
        <f>SUM(CA158:CA159)</f>
        <v>9.4199999999999982</v>
      </c>
      <c r="CC160" s="1436"/>
      <c r="CD160" s="1433"/>
      <c r="CE160" s="1427"/>
      <c r="CF160" s="1433"/>
      <c r="CG160" s="1427"/>
      <c r="CH160" s="1433"/>
      <c r="CI160" s="1427"/>
      <c r="CJ160" s="1404"/>
      <c r="CK160" s="1034">
        <f>SUM(CK158:CK159)</f>
        <v>5.76</v>
      </c>
      <c r="CL160" s="1404"/>
      <c r="CM160" s="1034">
        <f>SUM(CM158:CM159)</f>
        <v>7.34</v>
      </c>
      <c r="CN160" s="1404"/>
      <c r="CO160" s="1034">
        <f>SUM(CO158:CO159)</f>
        <v>9.18</v>
      </c>
      <c r="CP160" s="1404"/>
      <c r="CQ160" s="1034">
        <f>SUM(CQ158:CQ159)</f>
        <v>9.4199999999999982</v>
      </c>
      <c r="CS160" s="1436"/>
      <c r="CT160" s="1433"/>
      <c r="CU160" s="1427"/>
      <c r="CV160" s="1433"/>
      <c r="CW160" s="1427"/>
      <c r="CX160" s="1433"/>
      <c r="CY160" s="1427"/>
      <c r="CZ160" s="1201" t="s">
        <v>2036</v>
      </c>
      <c r="DA160" s="1034">
        <f>SUM(DA158:DA159)</f>
        <v>13.92</v>
      </c>
      <c r="DB160" s="1404"/>
      <c r="DC160" s="1034">
        <f>SUM(DC158:DC159)</f>
        <v>7.34</v>
      </c>
      <c r="DD160" s="1404"/>
      <c r="DE160" s="1034">
        <f>SUM(DE158:DE159)</f>
        <v>9.18</v>
      </c>
      <c r="DF160" s="1404"/>
      <c r="DG160" s="1034">
        <f>SUM(DG158:DG159)</f>
        <v>9.4199999999999982</v>
      </c>
      <c r="DI160" s="701"/>
      <c r="DJ160" s="701"/>
      <c r="DK160" s="1152"/>
      <c r="DL160" s="701"/>
      <c r="DM160" s="1152"/>
      <c r="DN160" s="701"/>
      <c r="DO160" s="1152"/>
      <c r="DP160" s="701"/>
      <c r="DQ160" s="1193"/>
      <c r="DR160" s="701"/>
      <c r="DS160" s="1193"/>
      <c r="DT160" s="701"/>
      <c r="DU160" s="1193"/>
      <c r="DV160" s="701"/>
      <c r="DW160" s="1193"/>
    </row>
    <row r="161" spans="1:127" ht="15.75" customHeight="1">
      <c r="A161" s="1436"/>
      <c r="B161" s="1404"/>
      <c r="C161" s="1032">
        <v>1</v>
      </c>
      <c r="D161" s="1404"/>
      <c r="E161" s="1032">
        <v>1</v>
      </c>
      <c r="F161" s="1404"/>
      <c r="G161" s="1032">
        <v>1</v>
      </c>
      <c r="H161" s="1404"/>
      <c r="I161" s="1032">
        <v>1</v>
      </c>
      <c r="J161" s="1404"/>
      <c r="K161" s="1032">
        <v>1</v>
      </c>
      <c r="L161" s="1404"/>
      <c r="M161" s="1032">
        <v>1</v>
      </c>
      <c r="N161" s="1404"/>
      <c r="O161" s="1032">
        <v>1</v>
      </c>
      <c r="Q161" s="1436"/>
      <c r="R161" s="1404"/>
      <c r="S161" s="1032">
        <v>1</v>
      </c>
      <c r="T161" s="1404"/>
      <c r="U161" s="1032">
        <v>1</v>
      </c>
      <c r="V161" s="1404"/>
      <c r="W161" s="1032">
        <v>1</v>
      </c>
      <c r="X161" s="1404"/>
      <c r="Y161" s="1032">
        <v>1</v>
      </c>
      <c r="Z161" s="1404"/>
      <c r="AA161" s="1032">
        <v>1</v>
      </c>
      <c r="AB161" s="1404"/>
      <c r="AC161" s="1032">
        <v>1</v>
      </c>
      <c r="AD161" s="1404"/>
      <c r="AE161" s="1032">
        <v>1</v>
      </c>
      <c r="AG161" s="1436"/>
      <c r="AH161" s="1404"/>
      <c r="AI161" s="1032">
        <v>1</v>
      </c>
      <c r="AJ161" s="1404"/>
      <c r="AK161" s="1032">
        <v>1</v>
      </c>
      <c r="AL161" s="1404"/>
      <c r="AM161" s="1032">
        <v>1</v>
      </c>
      <c r="AN161" s="1404"/>
      <c r="AO161" s="1032">
        <v>1</v>
      </c>
      <c r="AP161" s="1404"/>
      <c r="AQ161" s="1032">
        <v>1</v>
      </c>
      <c r="AR161" s="1404"/>
      <c r="AS161" s="1032">
        <v>1</v>
      </c>
      <c r="AT161" s="1404"/>
      <c r="AU161" s="1032">
        <v>1</v>
      </c>
      <c r="AW161" s="1436"/>
      <c r="AX161" s="1433"/>
      <c r="AY161" s="1427"/>
      <c r="AZ161" s="1433"/>
      <c r="BA161" s="1427"/>
      <c r="BB161" s="1433"/>
      <c r="BC161" s="1427"/>
      <c r="BD161" s="1404"/>
      <c r="BE161" s="1032">
        <v>1</v>
      </c>
      <c r="BF161" s="1404"/>
      <c r="BG161" s="1032">
        <v>1</v>
      </c>
      <c r="BH161" s="1404"/>
      <c r="BI161" s="1032">
        <v>1</v>
      </c>
      <c r="BJ161" s="1404"/>
      <c r="BK161" s="1032">
        <v>1</v>
      </c>
      <c r="BM161" s="1436"/>
      <c r="BN161" s="1415"/>
      <c r="BO161" s="1427"/>
      <c r="BP161" s="1415"/>
      <c r="BQ161" s="1427"/>
      <c r="BR161" s="1415"/>
      <c r="BS161" s="1427"/>
      <c r="BT161" s="1404"/>
      <c r="BU161" s="1032">
        <v>1</v>
      </c>
      <c r="BV161" s="1415"/>
      <c r="BW161" s="1032">
        <v>1</v>
      </c>
      <c r="BX161" s="1415"/>
      <c r="BY161" s="1032">
        <v>1</v>
      </c>
      <c r="BZ161" s="1415"/>
      <c r="CA161" s="1032">
        <v>1</v>
      </c>
      <c r="CC161" s="1436"/>
      <c r="CD161" s="1433"/>
      <c r="CE161" s="1427"/>
      <c r="CF161" s="1433"/>
      <c r="CG161" s="1427"/>
      <c r="CH161" s="1433"/>
      <c r="CI161" s="1427"/>
      <c r="CJ161" s="1404"/>
      <c r="CK161" s="1032">
        <v>1</v>
      </c>
      <c r="CL161" s="1404"/>
      <c r="CM161" s="1032">
        <v>1</v>
      </c>
      <c r="CN161" s="1404"/>
      <c r="CO161" s="1032">
        <v>1</v>
      </c>
      <c r="CP161" s="1404"/>
      <c r="CQ161" s="1032">
        <v>1</v>
      </c>
      <c r="CS161" s="1436"/>
      <c r="CT161" s="1433"/>
      <c r="CU161" s="1427"/>
      <c r="CV161" s="1433"/>
      <c r="CW161" s="1427"/>
      <c r="CX161" s="1433"/>
      <c r="CY161" s="1427"/>
      <c r="CZ161" s="1200" t="s">
        <v>1247</v>
      </c>
      <c r="DA161" s="1032">
        <v>1</v>
      </c>
      <c r="DB161" s="1404"/>
      <c r="DC161" s="1032">
        <v>1</v>
      </c>
      <c r="DD161" s="1404"/>
      <c r="DE161" s="1032">
        <v>1</v>
      </c>
      <c r="DF161" s="1404"/>
      <c r="DG161" s="1032">
        <v>1</v>
      </c>
      <c r="DI161" s="701"/>
      <c r="DJ161" s="701"/>
      <c r="DK161" s="1210"/>
      <c r="DL161" s="701"/>
      <c r="DM161" s="1210"/>
      <c r="DN161" s="701"/>
      <c r="DO161" s="1210"/>
      <c r="DP161" s="701"/>
      <c r="DQ161" s="763"/>
      <c r="DR161" s="701"/>
      <c r="DS161" s="763"/>
      <c r="DT161" s="701"/>
      <c r="DU161" s="763"/>
      <c r="DV161" s="701"/>
      <c r="DW161" s="763"/>
    </row>
    <row r="162" spans="1:127" ht="40.5" customHeight="1">
      <c r="A162" s="1436"/>
      <c r="B162" s="1404"/>
      <c r="C162" s="1030">
        <f>C160/(C161*C135)</f>
        <v>0.52892561983471076</v>
      </c>
      <c r="D162" s="1404"/>
      <c r="E162" s="1030">
        <f>E160/(E161*C135)</f>
        <v>0.52892561983471076</v>
      </c>
      <c r="F162" s="1404"/>
      <c r="G162" s="1030">
        <f>G160/(G161*C135)</f>
        <v>0.52892561983471076</v>
      </c>
      <c r="H162" s="1404"/>
      <c r="I162" s="1030">
        <f>I160/(I161*C135)</f>
        <v>0.52892561983471076</v>
      </c>
      <c r="J162" s="1404"/>
      <c r="K162" s="1030">
        <f>K160/(K161*C135)</f>
        <v>0.67401285583103776</v>
      </c>
      <c r="L162" s="1404"/>
      <c r="M162" s="1030">
        <f>M160/(M161*C135)</f>
        <v>0.84297520661157033</v>
      </c>
      <c r="N162" s="1404"/>
      <c r="O162" s="1030">
        <f>O160/(O161*C135)</f>
        <v>0.86501377410468316</v>
      </c>
      <c r="Q162" s="1436"/>
      <c r="R162" s="1404"/>
      <c r="S162" s="1030">
        <f>S160/(S161*S135)</f>
        <v>0.45933014354066987</v>
      </c>
      <c r="T162" s="1404"/>
      <c r="U162" s="1030">
        <f>U160/(U161*S135)</f>
        <v>0.45933014354066987</v>
      </c>
      <c r="V162" s="1404"/>
      <c r="W162" s="1030">
        <f>W160/(W161*S135)</f>
        <v>0.45933014354066987</v>
      </c>
      <c r="X162" s="1404"/>
      <c r="Y162" s="1030">
        <f>Y160/(Y161*S135)</f>
        <v>0.45933014354066987</v>
      </c>
      <c r="Z162" s="1404"/>
      <c r="AA162" s="1030">
        <f>AA160/(AA161*S135)</f>
        <v>0.58532695374800636</v>
      </c>
      <c r="AB162" s="1404"/>
      <c r="AC162" s="1030">
        <f>AC160/(AC161*S135)</f>
        <v>0.73205741626794263</v>
      </c>
      <c r="AD162" s="1404"/>
      <c r="AE162" s="1030">
        <f>AE160/(AE161*S135)</f>
        <v>0.75119617224880375</v>
      </c>
      <c r="AG162" s="1436"/>
      <c r="AH162" s="1404"/>
      <c r="AI162" s="1030">
        <f>AI160/(AI161*AI135)</f>
        <v>0.40591966173361521</v>
      </c>
      <c r="AJ162" s="1404"/>
      <c r="AK162" s="1030">
        <f>AK160/(AK161*AI135)</f>
        <v>0.40591966173361521</v>
      </c>
      <c r="AL162" s="1404"/>
      <c r="AM162" s="1030">
        <f>AM160/(AM161*AI135)</f>
        <v>0.40591966173361521</v>
      </c>
      <c r="AN162" s="1404"/>
      <c r="AO162" s="1030">
        <f>AO160/(AO161*AI135)</f>
        <v>0.40591966173361521</v>
      </c>
      <c r="AP162" s="1404"/>
      <c r="AQ162" s="1030">
        <f>AQ160/(AQ161*AI135)</f>
        <v>0.51726568005637774</v>
      </c>
      <c r="AR162" s="1404"/>
      <c r="AS162" s="1030">
        <f>AS160/(AS161*AI135)</f>
        <v>0.64693446088794926</v>
      </c>
      <c r="AT162" s="1404"/>
      <c r="AU162" s="1030">
        <f>AU160/(AU161*AI135)</f>
        <v>0.66384778012684975</v>
      </c>
      <c r="AW162" s="1436"/>
      <c r="AX162" s="1434"/>
      <c r="AY162" s="1428"/>
      <c r="AZ162" s="1434"/>
      <c r="BA162" s="1428"/>
      <c r="BB162" s="1434"/>
      <c r="BC162" s="1428"/>
      <c r="BD162" s="1404"/>
      <c r="BE162" s="1030">
        <f>BE160/(BE161*AY135)</f>
        <v>0.36363636363636365</v>
      </c>
      <c r="BF162" s="1404"/>
      <c r="BG162" s="1030">
        <f>BG160/(BG161*AY135)</f>
        <v>0.46338383838383845</v>
      </c>
      <c r="BH162" s="1404"/>
      <c r="BI162" s="1030">
        <f>BI160/(BI161*AY135)</f>
        <v>0.57954545454545459</v>
      </c>
      <c r="BJ162" s="1404"/>
      <c r="BK162" s="1030">
        <f>BK160/(BK161*AY135)</f>
        <v>0.59469696969696961</v>
      </c>
      <c r="BM162" s="1436"/>
      <c r="BN162" s="1416"/>
      <c r="BO162" s="1428"/>
      <c r="BP162" s="1416"/>
      <c r="BQ162" s="1428"/>
      <c r="BR162" s="1416"/>
      <c r="BS162" s="1428"/>
      <c r="BT162" s="1404"/>
      <c r="BU162" s="1030">
        <f>BU160/(BU161*BO135)</f>
        <v>0.34224598930481287</v>
      </c>
      <c r="BV162" s="1416"/>
      <c r="BW162" s="1030">
        <f>BW160/(BW161*BO135)</f>
        <v>0.43612596553773025</v>
      </c>
      <c r="BX162" s="1416"/>
      <c r="BY162" s="1030">
        <f>BY160/(BY161*BO135)</f>
        <v>0.54545454545454553</v>
      </c>
      <c r="BZ162" s="1416"/>
      <c r="CA162" s="1030">
        <f>CA160/(CA161*BO135)</f>
        <v>0.55971479500891264</v>
      </c>
      <c r="CC162" s="1436"/>
      <c r="CD162" s="1434"/>
      <c r="CE162" s="1428"/>
      <c r="CF162" s="1434"/>
      <c r="CG162" s="1428"/>
      <c r="CH162" s="1434"/>
      <c r="CI162" s="1428"/>
      <c r="CJ162" s="1404"/>
      <c r="CK162" s="1030">
        <f>CK160/(CK161*CE135)</f>
        <v>0.31735537190082647</v>
      </c>
      <c r="CL162" s="1404"/>
      <c r="CM162" s="1030">
        <f>CM160/(CM161*CE135)</f>
        <v>0.40440771349862259</v>
      </c>
      <c r="CN162" s="1404"/>
      <c r="CO162" s="1030">
        <f>CO160/(CO161*CE135)</f>
        <v>0.5057851239669422</v>
      </c>
      <c r="CP162" s="1404"/>
      <c r="CQ162" s="1030">
        <f>CQ160/(CQ161*CE135)</f>
        <v>0.5190082644628099</v>
      </c>
      <c r="CS162" s="1436"/>
      <c r="CT162" s="1434"/>
      <c r="CU162" s="1428"/>
      <c r="CV162" s="1434"/>
      <c r="CW162" s="1428"/>
      <c r="CX162" s="1434"/>
      <c r="CY162" s="1428"/>
      <c r="CZ162" s="1433"/>
      <c r="DA162" s="1426">
        <f>DA160/(DA161*CU135)</f>
        <v>0.7272727272727274</v>
      </c>
      <c r="DB162" s="1404"/>
      <c r="DC162" s="1030">
        <f>DC160/(DC161*CU135)</f>
        <v>0.38349007314524564</v>
      </c>
      <c r="DD162" s="1404"/>
      <c r="DE162" s="1030">
        <f>DE160/(DE161*CU135)</f>
        <v>0.47962382445141072</v>
      </c>
      <c r="DF162" s="1404"/>
      <c r="DG162" s="1030">
        <f>DG160/(DG161*CU135)</f>
        <v>0.49216300940438867</v>
      </c>
      <c r="DI162" s="701"/>
      <c r="DJ162" s="701"/>
      <c r="DK162" s="1211"/>
      <c r="DL162" s="701"/>
      <c r="DM162" s="1211"/>
      <c r="DN162" s="701"/>
      <c r="DO162" s="1211"/>
      <c r="DP162" s="701"/>
      <c r="DQ162" s="1146"/>
      <c r="DR162" s="701"/>
      <c r="DS162" s="1146"/>
      <c r="DT162" s="701"/>
      <c r="DU162" s="1146"/>
      <c r="DV162" s="701"/>
      <c r="DW162" s="1146"/>
    </row>
    <row r="163" spans="1:127" ht="15.75" customHeight="1">
      <c r="A163" s="1435" t="s">
        <v>1369</v>
      </c>
      <c r="B163" s="1404"/>
      <c r="C163" s="1033">
        <f>Möblierungsschablone!$C$66</f>
        <v>4.08</v>
      </c>
      <c r="D163" s="1404"/>
      <c r="E163" s="1033">
        <f>Möblierungsschablone!$C$66</f>
        <v>4.08</v>
      </c>
      <c r="F163" s="1404"/>
      <c r="G163" s="1033">
        <f>Möblierungsschablone!$C$66</f>
        <v>4.08</v>
      </c>
      <c r="H163" s="1404"/>
      <c r="I163" s="1033">
        <f>2*Möblierungsschablone!$C$66</f>
        <v>8.16</v>
      </c>
      <c r="J163" s="1404"/>
      <c r="K163" s="1033">
        <f>2*Möblierungsschablone!$C$66</f>
        <v>8.16</v>
      </c>
      <c r="L163" s="1404"/>
      <c r="M163" s="1033">
        <f>Möblierungsschablone!$C$66</f>
        <v>4.08</v>
      </c>
      <c r="N163" s="1404"/>
      <c r="O163" s="1033">
        <f>Möblierungsschablone!$C$66</f>
        <v>4.08</v>
      </c>
      <c r="Q163" s="1435" t="s">
        <v>1369</v>
      </c>
      <c r="R163" s="1199" t="s">
        <v>2039</v>
      </c>
      <c r="S163" s="1033">
        <f>Möblierungsschablone!$C$66</f>
        <v>4.08</v>
      </c>
      <c r="T163" s="1199" t="s">
        <v>2039</v>
      </c>
      <c r="U163" s="1033">
        <f>Möblierungsschablone!$C$66</f>
        <v>4.08</v>
      </c>
      <c r="V163" s="1199" t="s">
        <v>2039</v>
      </c>
      <c r="W163" s="1033">
        <f>Möblierungsschablone!$C$66</f>
        <v>4.08</v>
      </c>
      <c r="X163" s="1199" t="s">
        <v>2040</v>
      </c>
      <c r="Y163" s="1033">
        <f>2*Möblierungsschablone!$C$66</f>
        <v>8.16</v>
      </c>
      <c r="Z163" s="1199" t="s">
        <v>2040</v>
      </c>
      <c r="AA163" s="1033">
        <f>2*Möblierungsschablone!$C$66</f>
        <v>8.16</v>
      </c>
      <c r="AB163" s="1199" t="s">
        <v>2039</v>
      </c>
      <c r="AC163" s="1033">
        <f>Möblierungsschablone!$C$66</f>
        <v>4.08</v>
      </c>
      <c r="AD163" s="1199" t="s">
        <v>2039</v>
      </c>
      <c r="AE163" s="1033">
        <f>Möblierungsschablone!$C$66</f>
        <v>4.08</v>
      </c>
      <c r="AG163" s="1435" t="s">
        <v>1369</v>
      </c>
      <c r="AH163" s="1199" t="s">
        <v>2039</v>
      </c>
      <c r="AI163" s="1033">
        <f>Möblierungsschablone!$C$66</f>
        <v>4.08</v>
      </c>
      <c r="AJ163" s="1199" t="s">
        <v>2039</v>
      </c>
      <c r="AK163" s="1033">
        <f>Möblierungsschablone!$C$66</f>
        <v>4.08</v>
      </c>
      <c r="AL163" s="1199" t="s">
        <v>2039</v>
      </c>
      <c r="AM163" s="1033">
        <f>Möblierungsschablone!$C$66</f>
        <v>4.08</v>
      </c>
      <c r="AN163" s="1199" t="s">
        <v>2040</v>
      </c>
      <c r="AO163" s="1033">
        <f>2*Möblierungsschablone!$C$66</f>
        <v>8.16</v>
      </c>
      <c r="AP163" s="1199" t="s">
        <v>2040</v>
      </c>
      <c r="AQ163" s="1033">
        <f>2*Möblierungsschablone!$C$66</f>
        <v>8.16</v>
      </c>
      <c r="AR163" s="1199" t="s">
        <v>2039</v>
      </c>
      <c r="AS163" s="1033">
        <f>Möblierungsschablone!$C$66</f>
        <v>4.08</v>
      </c>
      <c r="AT163" s="1199" t="s">
        <v>2039</v>
      </c>
      <c r="AU163" s="1033">
        <f>Möblierungsschablone!$C$66</f>
        <v>4.08</v>
      </c>
      <c r="AW163" s="1435" t="s">
        <v>1369</v>
      </c>
      <c r="AX163" s="1199" t="s">
        <v>2039</v>
      </c>
      <c r="AY163" s="1033">
        <f>Möblierungsschablone!$C$66</f>
        <v>4.08</v>
      </c>
      <c r="AZ163" s="1199" t="s">
        <v>2039</v>
      </c>
      <c r="BA163" s="1033">
        <f>Möblierungsschablone!$C$66</f>
        <v>4.08</v>
      </c>
      <c r="BB163" s="1199" t="s">
        <v>2039</v>
      </c>
      <c r="BC163" s="1033">
        <f>Möblierungsschablone!$C$66</f>
        <v>4.08</v>
      </c>
      <c r="BD163" s="1199" t="s">
        <v>2040</v>
      </c>
      <c r="BE163" s="1033">
        <f>2*Möblierungsschablone!$C$66</f>
        <v>8.16</v>
      </c>
      <c r="BF163" s="1199" t="s">
        <v>2040</v>
      </c>
      <c r="BG163" s="1033">
        <f>2*Möblierungsschablone!$C$66</f>
        <v>8.16</v>
      </c>
      <c r="BH163" s="1199" t="s">
        <v>2039</v>
      </c>
      <c r="BI163" s="1033">
        <f>Möblierungsschablone!$C$66</f>
        <v>4.08</v>
      </c>
      <c r="BJ163" s="1199" t="s">
        <v>2039</v>
      </c>
      <c r="BK163" s="1033">
        <f>Möblierungsschablone!$C$66</f>
        <v>4.08</v>
      </c>
      <c r="BM163" s="1435" t="s">
        <v>1369</v>
      </c>
      <c r="BN163" s="1440"/>
      <c r="BO163" s="1033">
        <f>Möblierungsschablone!$C$66</f>
        <v>4.08</v>
      </c>
      <c r="BP163" s="1440"/>
      <c r="BQ163" s="1033">
        <f>Möblierungsschablone!$C$66</f>
        <v>4.08</v>
      </c>
      <c r="BR163" s="1440"/>
      <c r="BS163" s="1033">
        <f>Möblierungsschablone!$C$66</f>
        <v>4.08</v>
      </c>
      <c r="BT163" s="1440"/>
      <c r="BU163" s="1033">
        <f>2*Möblierungsschablone!$C$66</f>
        <v>8.16</v>
      </c>
      <c r="BV163" s="1440"/>
      <c r="BW163" s="1033">
        <f>2*Möblierungsschablone!$C$66</f>
        <v>8.16</v>
      </c>
      <c r="BX163" s="1440"/>
      <c r="BY163" s="1033">
        <f>Möblierungsschablone!$C$66</f>
        <v>4.08</v>
      </c>
      <c r="BZ163" s="1440"/>
      <c r="CA163" s="1033">
        <f>Möblierungsschablone!$C$66</f>
        <v>4.08</v>
      </c>
      <c r="CC163" s="1435" t="s">
        <v>1369</v>
      </c>
      <c r="CD163" s="1199" t="s">
        <v>2039</v>
      </c>
      <c r="CE163" s="1033">
        <f>Möblierungsschablone!$C$66</f>
        <v>4.08</v>
      </c>
      <c r="CF163" s="1199" t="s">
        <v>2039</v>
      </c>
      <c r="CG163" s="1033">
        <f>Möblierungsschablone!$C$66</f>
        <v>4.08</v>
      </c>
      <c r="CH163" s="1199" t="s">
        <v>2039</v>
      </c>
      <c r="CI163" s="1033">
        <f>Möblierungsschablone!$C$66</f>
        <v>4.08</v>
      </c>
      <c r="CJ163" s="1199" t="s">
        <v>2040</v>
      </c>
      <c r="CK163" s="1033">
        <f>2*Möblierungsschablone!$C$66</f>
        <v>8.16</v>
      </c>
      <c r="CL163" s="1199" t="s">
        <v>2040</v>
      </c>
      <c r="CM163" s="1033">
        <f>2*Möblierungsschablone!$C$66</f>
        <v>8.16</v>
      </c>
      <c r="CN163" s="1199" t="s">
        <v>2039</v>
      </c>
      <c r="CO163" s="1033">
        <f>Möblierungsschablone!$C$66</f>
        <v>4.08</v>
      </c>
      <c r="CP163" s="1199" t="s">
        <v>2039</v>
      </c>
      <c r="CQ163" s="1033">
        <f>Möblierungsschablone!$C$66</f>
        <v>4.08</v>
      </c>
      <c r="CS163" s="1435" t="s">
        <v>1369</v>
      </c>
      <c r="CT163" s="1199" t="s">
        <v>2039</v>
      </c>
      <c r="CU163" s="1033">
        <f>Möblierungsschablone!$C$66</f>
        <v>4.08</v>
      </c>
      <c r="CV163" s="1199" t="s">
        <v>2039</v>
      </c>
      <c r="CW163" s="1033">
        <f>Möblierungsschablone!$C$66</f>
        <v>4.08</v>
      </c>
      <c r="CX163" s="1199" t="s">
        <v>2039</v>
      </c>
      <c r="CY163" s="1033">
        <f>Möblierungsschablone!$C$66</f>
        <v>4.08</v>
      </c>
      <c r="CZ163" s="1433"/>
      <c r="DA163" s="1427"/>
      <c r="DB163" s="1199" t="s">
        <v>2040</v>
      </c>
      <c r="DC163" s="1033">
        <f>2*Möblierungsschablone!$C$66</f>
        <v>8.16</v>
      </c>
      <c r="DD163" s="1199" t="s">
        <v>2039</v>
      </c>
      <c r="DE163" s="1033">
        <f>Möblierungsschablone!$C$66</f>
        <v>4.08</v>
      </c>
      <c r="DF163" s="1199" t="s">
        <v>2039</v>
      </c>
      <c r="DG163" s="1033">
        <f>Möblierungsschablone!$C$66</f>
        <v>4.08</v>
      </c>
      <c r="DI163" s="1154"/>
      <c r="DJ163" s="701"/>
      <c r="DK163" s="1039"/>
      <c r="DL163" s="701"/>
      <c r="DM163" s="1039"/>
      <c r="DN163" s="701"/>
      <c r="DO163" s="1039"/>
      <c r="DP163" s="701"/>
      <c r="DQ163" s="1039"/>
      <c r="DR163" s="701"/>
      <c r="DS163" s="1039"/>
      <c r="DT163" s="701"/>
      <c r="DU163" s="1039"/>
      <c r="DV163" s="701"/>
      <c r="DW163" s="1039"/>
    </row>
    <row r="164" spans="1:127" ht="15.75" customHeight="1">
      <c r="A164" s="1436"/>
      <c r="B164" s="1404"/>
      <c r="C164" s="1033"/>
      <c r="D164" s="1404"/>
      <c r="E164" s="1033"/>
      <c r="F164" s="1404"/>
      <c r="G164" s="1033">
        <f>Möblierungsschablone!$I$66</f>
        <v>1.4400000000000002</v>
      </c>
      <c r="H164" s="1404"/>
      <c r="I164" s="1033"/>
      <c r="J164" s="1404"/>
      <c r="K164" s="1033"/>
      <c r="L164" s="1404"/>
      <c r="M164" s="1033">
        <f>Möblierungsschablone!$G$66</f>
        <v>4.5</v>
      </c>
      <c r="N164" s="1404"/>
      <c r="O164" s="1033">
        <f>Möblierungsschablone!$G$66</f>
        <v>4.5</v>
      </c>
      <c r="Q164" s="1436"/>
      <c r="R164" s="1200"/>
      <c r="S164" s="1033"/>
      <c r="T164" s="1200"/>
      <c r="U164" s="1033"/>
      <c r="V164" s="1200" t="s">
        <v>2037</v>
      </c>
      <c r="W164" s="1033">
        <f>Möblierungsschablone!$I$66</f>
        <v>1.4400000000000002</v>
      </c>
      <c r="X164" s="1200"/>
      <c r="Y164" s="1033"/>
      <c r="Z164" s="1200"/>
      <c r="AA164" s="1033"/>
      <c r="AB164" s="1200" t="s">
        <v>2038</v>
      </c>
      <c r="AC164" s="1033">
        <f>Möblierungsschablone!$G$66</f>
        <v>4.5</v>
      </c>
      <c r="AD164" s="1200" t="s">
        <v>2038</v>
      </c>
      <c r="AE164" s="1033">
        <f>Möblierungsschablone!$G$66</f>
        <v>4.5</v>
      </c>
      <c r="AG164" s="1436"/>
      <c r="AH164" s="1200"/>
      <c r="AI164" s="1033"/>
      <c r="AJ164" s="1200"/>
      <c r="AK164" s="1033"/>
      <c r="AL164" s="1200" t="s">
        <v>2037</v>
      </c>
      <c r="AM164" s="1033">
        <f>Möblierungsschablone!$I$66</f>
        <v>1.4400000000000002</v>
      </c>
      <c r="AN164" s="1200"/>
      <c r="AO164" s="1033"/>
      <c r="AP164" s="1200"/>
      <c r="AQ164" s="1033"/>
      <c r="AR164" s="1200" t="s">
        <v>2038</v>
      </c>
      <c r="AS164" s="1033">
        <f>Möblierungsschablone!$G$66</f>
        <v>4.5</v>
      </c>
      <c r="AT164" s="1200" t="s">
        <v>2038</v>
      </c>
      <c r="AU164" s="1033">
        <f>Möblierungsschablone!$G$66</f>
        <v>4.5</v>
      </c>
      <c r="AW164" s="1436"/>
      <c r="AX164" s="1200"/>
      <c r="AY164" s="1033"/>
      <c r="AZ164" s="1200"/>
      <c r="BA164" s="1033"/>
      <c r="BB164" s="1200" t="s">
        <v>2037</v>
      </c>
      <c r="BC164" s="1033">
        <f>Möblierungsschablone!$I$66</f>
        <v>1.4400000000000002</v>
      </c>
      <c r="BD164" s="1200"/>
      <c r="BE164" s="1033"/>
      <c r="BF164" s="1200"/>
      <c r="BG164" s="1033"/>
      <c r="BH164" s="1200" t="s">
        <v>2038</v>
      </c>
      <c r="BI164" s="1033">
        <f>Möblierungsschablone!$G$66</f>
        <v>4.5</v>
      </c>
      <c r="BJ164" s="1200" t="s">
        <v>2038</v>
      </c>
      <c r="BK164" s="1033">
        <f>Möblierungsschablone!$G$66</f>
        <v>4.5</v>
      </c>
      <c r="BM164" s="1436"/>
      <c r="BN164" s="1440"/>
      <c r="BO164" s="1033"/>
      <c r="BP164" s="1440"/>
      <c r="BQ164" s="1033"/>
      <c r="BR164" s="1440"/>
      <c r="BS164" s="1033">
        <f>Möblierungsschablone!$I$66</f>
        <v>1.4400000000000002</v>
      </c>
      <c r="BT164" s="1440"/>
      <c r="BU164" s="1033"/>
      <c r="BV164" s="1440"/>
      <c r="BW164" s="1033"/>
      <c r="BX164" s="1440"/>
      <c r="BY164" s="1033">
        <f>Möblierungsschablone!$G$66</f>
        <v>4.5</v>
      </c>
      <c r="BZ164" s="1440"/>
      <c r="CA164" s="1033">
        <f>Möblierungsschablone!$G$66</f>
        <v>4.5</v>
      </c>
      <c r="CC164" s="1436"/>
      <c r="CD164" s="1200"/>
      <c r="CE164" s="1033"/>
      <c r="CF164" s="1200"/>
      <c r="CG164" s="1033"/>
      <c r="CH164" s="1200" t="s">
        <v>2037</v>
      </c>
      <c r="CI164" s="1033">
        <f>Möblierungsschablone!$I$66</f>
        <v>1.4400000000000002</v>
      </c>
      <c r="CJ164" s="1200"/>
      <c r="CK164" s="1033"/>
      <c r="CL164" s="1200"/>
      <c r="CM164" s="1033"/>
      <c r="CN164" s="1200" t="s">
        <v>2038</v>
      </c>
      <c r="CO164" s="1033">
        <f>Möblierungsschablone!$G$66</f>
        <v>4.5</v>
      </c>
      <c r="CP164" s="1200" t="s">
        <v>2038</v>
      </c>
      <c r="CQ164" s="1033">
        <f>Möblierungsschablone!$G$66</f>
        <v>4.5</v>
      </c>
      <c r="CS164" s="1436"/>
      <c r="CT164" s="1200"/>
      <c r="CU164" s="1033"/>
      <c r="CV164" s="1200"/>
      <c r="CW164" s="1033"/>
      <c r="CX164" s="1200" t="s">
        <v>2037</v>
      </c>
      <c r="CY164" s="1033">
        <f>Möblierungsschablone!$I$66</f>
        <v>1.4400000000000002</v>
      </c>
      <c r="CZ164" s="1433"/>
      <c r="DA164" s="1427"/>
      <c r="DB164" s="1200"/>
      <c r="DC164" s="1033"/>
      <c r="DD164" s="1200" t="s">
        <v>2038</v>
      </c>
      <c r="DE164" s="1033">
        <f>Möblierungsschablone!$G$66</f>
        <v>4.5</v>
      </c>
      <c r="DF164" s="1200" t="s">
        <v>2038</v>
      </c>
      <c r="DG164" s="1033">
        <f>Möblierungsschablone!$G$66</f>
        <v>4.5</v>
      </c>
      <c r="DI164" s="701"/>
      <c r="DJ164" s="701"/>
      <c r="DK164" s="1039"/>
      <c r="DL164" s="701"/>
      <c r="DM164" s="1039"/>
      <c r="DN164" s="701"/>
      <c r="DO164" s="1039"/>
      <c r="DP164" s="701"/>
      <c r="DQ164" s="1039"/>
      <c r="DR164" s="701"/>
      <c r="DS164" s="1039"/>
      <c r="DT164" s="701"/>
      <c r="DU164" s="1039"/>
      <c r="DV164" s="701"/>
      <c r="DW164" s="1039"/>
    </row>
    <row r="165" spans="1:127" ht="15.75" customHeight="1">
      <c r="A165" s="1436"/>
      <c r="B165" s="1404"/>
      <c r="C165" s="1033"/>
      <c r="D165" s="1404"/>
      <c r="E165" s="1033"/>
      <c r="F165" s="1404"/>
      <c r="G165" s="1033"/>
      <c r="H165" s="1404"/>
      <c r="I165" s="1033"/>
      <c r="J165" s="1404"/>
      <c r="K165" s="1033"/>
      <c r="L165" s="1404"/>
      <c r="M165" s="1033"/>
      <c r="N165" s="1404"/>
      <c r="O165" s="1033">
        <f>Möblierungsschablone!$I$66</f>
        <v>1.4400000000000002</v>
      </c>
      <c r="Q165" s="1436"/>
      <c r="R165" s="1200"/>
      <c r="S165" s="1033"/>
      <c r="T165" s="1200"/>
      <c r="U165" s="1033"/>
      <c r="V165" s="1200"/>
      <c r="W165" s="1033"/>
      <c r="X165" s="1200"/>
      <c r="Y165" s="1033"/>
      <c r="Z165" s="1200"/>
      <c r="AA165" s="1033"/>
      <c r="AB165" s="1200"/>
      <c r="AC165" s="1033"/>
      <c r="AD165" s="1200" t="s">
        <v>2037</v>
      </c>
      <c r="AE165" s="1033">
        <f>Möblierungsschablone!$I$66</f>
        <v>1.4400000000000002</v>
      </c>
      <c r="AG165" s="1436"/>
      <c r="AH165" s="1200"/>
      <c r="AI165" s="1033"/>
      <c r="AJ165" s="1200"/>
      <c r="AK165" s="1033"/>
      <c r="AL165" s="1200"/>
      <c r="AM165" s="1033"/>
      <c r="AN165" s="1200"/>
      <c r="AO165" s="1033"/>
      <c r="AP165" s="1200"/>
      <c r="AQ165" s="1033"/>
      <c r="AR165" s="1200"/>
      <c r="AS165" s="1033"/>
      <c r="AT165" s="1200" t="s">
        <v>2037</v>
      </c>
      <c r="AU165" s="1033">
        <f>Möblierungsschablone!$I$66</f>
        <v>1.4400000000000002</v>
      </c>
      <c r="AW165" s="1436"/>
      <c r="AX165" s="1200"/>
      <c r="AY165" s="1033"/>
      <c r="AZ165" s="1200"/>
      <c r="BA165" s="1033"/>
      <c r="BB165" s="1200"/>
      <c r="BC165" s="1033"/>
      <c r="BD165" s="1200"/>
      <c r="BE165" s="1033"/>
      <c r="BF165" s="1200"/>
      <c r="BG165" s="1033"/>
      <c r="BH165" s="1200"/>
      <c r="BI165" s="1033"/>
      <c r="BJ165" s="1200" t="s">
        <v>2037</v>
      </c>
      <c r="BK165" s="1033">
        <f>Möblierungsschablone!$I$66</f>
        <v>1.4400000000000002</v>
      </c>
      <c r="BM165" s="1436"/>
      <c r="BN165" s="1404"/>
      <c r="BO165" s="1033"/>
      <c r="BP165" s="1404"/>
      <c r="BQ165" s="1033"/>
      <c r="BR165" s="1404"/>
      <c r="BS165" s="1033"/>
      <c r="BT165" s="1404"/>
      <c r="BU165" s="1033"/>
      <c r="BV165" s="1404"/>
      <c r="BW165" s="1033"/>
      <c r="BX165" s="1404"/>
      <c r="BY165" s="1033"/>
      <c r="BZ165" s="1404"/>
      <c r="CA165" s="1033">
        <f>Möblierungsschablone!$I$66</f>
        <v>1.4400000000000002</v>
      </c>
      <c r="CC165" s="1436"/>
      <c r="CD165" s="1200"/>
      <c r="CE165" s="1033"/>
      <c r="CF165" s="1200"/>
      <c r="CG165" s="1033"/>
      <c r="CH165" s="1200"/>
      <c r="CI165" s="1033"/>
      <c r="CJ165" s="1200"/>
      <c r="CK165" s="1033"/>
      <c r="CL165" s="1200"/>
      <c r="CM165" s="1033"/>
      <c r="CN165" s="1200"/>
      <c r="CO165" s="1033"/>
      <c r="CP165" s="1200" t="s">
        <v>2037</v>
      </c>
      <c r="CQ165" s="1033">
        <f>Möblierungsschablone!$I$66</f>
        <v>1.4400000000000002</v>
      </c>
      <c r="CS165" s="1436"/>
      <c r="CT165" s="1200"/>
      <c r="CU165" s="1033"/>
      <c r="CV165" s="1200"/>
      <c r="CW165" s="1033"/>
      <c r="CX165" s="1200"/>
      <c r="CY165" s="1033"/>
      <c r="CZ165" s="1433"/>
      <c r="DA165" s="1427"/>
      <c r="DB165" s="1200"/>
      <c r="DC165" s="1033"/>
      <c r="DD165" s="1200"/>
      <c r="DE165" s="1033"/>
      <c r="DF165" s="1200" t="s">
        <v>2037</v>
      </c>
      <c r="DG165" s="1033">
        <f>Möblierungsschablone!$I$66</f>
        <v>1.4400000000000002</v>
      </c>
      <c r="DI165" s="701"/>
      <c r="DJ165" s="701"/>
      <c r="DK165" s="1039"/>
      <c r="DL165" s="701"/>
      <c r="DM165" s="1039"/>
      <c r="DN165" s="701"/>
      <c r="DO165" s="1039"/>
      <c r="DP165" s="701"/>
      <c r="DQ165" s="1039"/>
      <c r="DR165" s="701"/>
      <c r="DS165" s="1039"/>
      <c r="DT165" s="701"/>
      <c r="DU165" s="1039"/>
      <c r="DV165" s="701"/>
      <c r="DW165" s="1039"/>
    </row>
    <row r="166" spans="1:127" ht="15.75" customHeight="1">
      <c r="A166" s="1436"/>
      <c r="B166" s="1404"/>
      <c r="C166" s="1034">
        <f>SUM(C163:C164)</f>
        <v>4.08</v>
      </c>
      <c r="D166" s="1404"/>
      <c r="E166" s="1034">
        <f>SUM(E163:E164)</f>
        <v>4.08</v>
      </c>
      <c r="F166" s="1404"/>
      <c r="G166" s="1034">
        <f>SUM(G163:G164)</f>
        <v>5.5200000000000005</v>
      </c>
      <c r="H166" s="1404"/>
      <c r="I166" s="1034">
        <f>SUM(I163:I164)</f>
        <v>8.16</v>
      </c>
      <c r="J166" s="1404"/>
      <c r="K166" s="1034">
        <f>SUM(K163:K164)</f>
        <v>8.16</v>
      </c>
      <c r="L166" s="1404"/>
      <c r="M166" s="1034">
        <f>SUM(M163:M164)</f>
        <v>8.58</v>
      </c>
      <c r="N166" s="1404"/>
      <c r="O166" s="1034">
        <f>SUM(O163:O165)</f>
        <v>10.02</v>
      </c>
      <c r="Q166" s="1436"/>
      <c r="R166" s="1201" t="s">
        <v>2036</v>
      </c>
      <c r="S166" s="1034">
        <f>SUM(S163:S164)</f>
        <v>4.08</v>
      </c>
      <c r="T166" s="1201" t="s">
        <v>2036</v>
      </c>
      <c r="U166" s="1034">
        <f>SUM(U163:U164)</f>
        <v>4.08</v>
      </c>
      <c r="V166" s="1201" t="s">
        <v>2036</v>
      </c>
      <c r="W166" s="1034">
        <f>SUM(W163:W164)</f>
        <v>5.5200000000000005</v>
      </c>
      <c r="X166" s="1201" t="s">
        <v>2036</v>
      </c>
      <c r="Y166" s="1034">
        <f>SUM(Y163:Y164)</f>
        <v>8.16</v>
      </c>
      <c r="Z166" s="1201" t="s">
        <v>2036</v>
      </c>
      <c r="AA166" s="1034">
        <f>SUM(AA163:AA164)</f>
        <v>8.16</v>
      </c>
      <c r="AB166" s="1201" t="s">
        <v>2036</v>
      </c>
      <c r="AC166" s="1034">
        <f>SUM(AC163:AC164)</f>
        <v>8.58</v>
      </c>
      <c r="AD166" s="1201" t="s">
        <v>2036</v>
      </c>
      <c r="AE166" s="1034">
        <f>SUM(AE163:AE165)</f>
        <v>10.02</v>
      </c>
      <c r="AG166" s="1436"/>
      <c r="AH166" s="1201" t="s">
        <v>2036</v>
      </c>
      <c r="AI166" s="1034">
        <f>SUM(AI163:AI164)</f>
        <v>4.08</v>
      </c>
      <c r="AJ166" s="1201" t="s">
        <v>2036</v>
      </c>
      <c r="AK166" s="1034">
        <f>SUM(AK163:AK164)</f>
        <v>4.08</v>
      </c>
      <c r="AL166" s="1201" t="s">
        <v>2036</v>
      </c>
      <c r="AM166" s="1034">
        <f>SUM(AM163:AM164)</f>
        <v>5.5200000000000005</v>
      </c>
      <c r="AN166" s="1201" t="s">
        <v>2036</v>
      </c>
      <c r="AO166" s="1034">
        <f>SUM(AO163:AO164)</f>
        <v>8.16</v>
      </c>
      <c r="AP166" s="1201" t="s">
        <v>2036</v>
      </c>
      <c r="AQ166" s="1034">
        <f>SUM(AQ163:AQ164)</f>
        <v>8.16</v>
      </c>
      <c r="AR166" s="1201" t="s">
        <v>2036</v>
      </c>
      <c r="AS166" s="1034">
        <f>SUM(AS163:AS164)</f>
        <v>8.58</v>
      </c>
      <c r="AT166" s="1201" t="s">
        <v>2036</v>
      </c>
      <c r="AU166" s="1034">
        <f>SUM(AU163:AU165)</f>
        <v>10.02</v>
      </c>
      <c r="AW166" s="1436"/>
      <c r="AX166" s="1201" t="s">
        <v>2036</v>
      </c>
      <c r="AY166" s="1034">
        <f>SUM(AY163:AY164)</f>
        <v>4.08</v>
      </c>
      <c r="AZ166" s="1201" t="s">
        <v>2036</v>
      </c>
      <c r="BA166" s="1034">
        <f>SUM(BA163:BA164)</f>
        <v>4.08</v>
      </c>
      <c r="BB166" s="1201" t="s">
        <v>2036</v>
      </c>
      <c r="BC166" s="1034">
        <f>SUM(BC163:BC164)</f>
        <v>5.5200000000000005</v>
      </c>
      <c r="BD166" s="1201" t="s">
        <v>2036</v>
      </c>
      <c r="BE166" s="1034">
        <f>SUM(BE163:BE164)</f>
        <v>8.16</v>
      </c>
      <c r="BF166" s="1201" t="s">
        <v>2036</v>
      </c>
      <c r="BG166" s="1034">
        <f>SUM(BG163:BG164)</f>
        <v>8.16</v>
      </c>
      <c r="BH166" s="1201" t="s">
        <v>2036</v>
      </c>
      <c r="BI166" s="1034">
        <f>SUM(BI163:BI164)</f>
        <v>8.58</v>
      </c>
      <c r="BJ166" s="1201" t="s">
        <v>2036</v>
      </c>
      <c r="BK166" s="1034">
        <f>SUM(BK163:BK165)</f>
        <v>10.02</v>
      </c>
      <c r="BM166" s="1436"/>
      <c r="BN166" s="1404"/>
      <c r="BO166" s="1034">
        <f>SUM(BO163:BO164)</f>
        <v>4.08</v>
      </c>
      <c r="BP166" s="1404"/>
      <c r="BQ166" s="1034">
        <f>SUM(BQ163:BQ164)</f>
        <v>4.08</v>
      </c>
      <c r="BR166" s="1404"/>
      <c r="BS166" s="1034">
        <f>SUM(BS163:BS164)</f>
        <v>5.5200000000000005</v>
      </c>
      <c r="BT166" s="1404"/>
      <c r="BU166" s="1034">
        <f>SUM(BU163:BU164)</f>
        <v>8.16</v>
      </c>
      <c r="BV166" s="1404"/>
      <c r="BW166" s="1034">
        <f>SUM(BW163:BW164)</f>
        <v>8.16</v>
      </c>
      <c r="BX166" s="1404"/>
      <c r="BY166" s="1034">
        <f>SUM(BY163:BY164)</f>
        <v>8.58</v>
      </c>
      <c r="BZ166" s="1404"/>
      <c r="CA166" s="1034">
        <f>SUM(CA163:CA165)</f>
        <v>10.02</v>
      </c>
      <c r="CC166" s="1436"/>
      <c r="CD166" s="1201" t="s">
        <v>2036</v>
      </c>
      <c r="CE166" s="1034">
        <f>SUM(CE163:CE164)</f>
        <v>4.08</v>
      </c>
      <c r="CF166" s="1201" t="s">
        <v>2036</v>
      </c>
      <c r="CG166" s="1034">
        <f>SUM(CG163:CG164)</f>
        <v>4.08</v>
      </c>
      <c r="CH166" s="1201" t="s">
        <v>2036</v>
      </c>
      <c r="CI166" s="1034">
        <f>SUM(CI163:CI164)</f>
        <v>5.5200000000000005</v>
      </c>
      <c r="CJ166" s="1201" t="s">
        <v>2036</v>
      </c>
      <c r="CK166" s="1034">
        <f>SUM(CK163:CK164)</f>
        <v>8.16</v>
      </c>
      <c r="CL166" s="1201" t="s">
        <v>2036</v>
      </c>
      <c r="CM166" s="1034">
        <f>SUM(CM163:CM164)</f>
        <v>8.16</v>
      </c>
      <c r="CN166" s="1201" t="s">
        <v>2036</v>
      </c>
      <c r="CO166" s="1034">
        <f>SUM(CO163:CO164)</f>
        <v>8.58</v>
      </c>
      <c r="CP166" s="1201" t="s">
        <v>2036</v>
      </c>
      <c r="CQ166" s="1034">
        <f>SUM(CQ163:CQ165)</f>
        <v>10.02</v>
      </c>
      <c r="CS166" s="1436"/>
      <c r="CT166" s="1201" t="s">
        <v>2036</v>
      </c>
      <c r="CU166" s="1034">
        <f>SUM(CU163:CU164)</f>
        <v>4.08</v>
      </c>
      <c r="CV166" s="1201" t="s">
        <v>2036</v>
      </c>
      <c r="CW166" s="1034">
        <f>SUM(CW163:CW164)</f>
        <v>4.08</v>
      </c>
      <c r="CX166" s="1201" t="s">
        <v>2036</v>
      </c>
      <c r="CY166" s="1034">
        <f>SUM(CY163:CY164)</f>
        <v>5.5200000000000005</v>
      </c>
      <c r="CZ166" s="1433"/>
      <c r="DA166" s="1427"/>
      <c r="DB166" s="1201" t="s">
        <v>2036</v>
      </c>
      <c r="DC166" s="1034">
        <f>SUM(DC163:DC164)</f>
        <v>8.16</v>
      </c>
      <c r="DD166" s="1201" t="s">
        <v>2036</v>
      </c>
      <c r="DE166" s="1034">
        <f>SUM(DE163:DE164)</f>
        <v>8.58</v>
      </c>
      <c r="DF166" s="1201" t="s">
        <v>2036</v>
      </c>
      <c r="DG166" s="1034">
        <f>SUM(DG163:DG165)</f>
        <v>10.02</v>
      </c>
      <c r="DI166" s="701"/>
      <c r="DJ166" s="701"/>
      <c r="DK166" s="1193"/>
      <c r="DL166" s="701"/>
      <c r="DM166" s="1193"/>
      <c r="DN166" s="701"/>
      <c r="DO166" s="1193"/>
      <c r="DP166" s="701"/>
      <c r="DQ166" s="1193"/>
      <c r="DR166" s="701"/>
      <c r="DS166" s="1193"/>
      <c r="DT166" s="701"/>
      <c r="DU166" s="1193"/>
      <c r="DV166" s="701"/>
      <c r="DW166" s="1193"/>
    </row>
    <row r="167" spans="1:127" ht="15.75" customHeight="1">
      <c r="A167" s="1436"/>
      <c r="B167" s="1404"/>
      <c r="C167" s="1032">
        <v>1</v>
      </c>
      <c r="D167" s="1404"/>
      <c r="E167" s="1032">
        <v>1</v>
      </c>
      <c r="F167" s="1404"/>
      <c r="G167" s="1032">
        <v>1</v>
      </c>
      <c r="H167" s="1404"/>
      <c r="I167" s="1032">
        <v>2</v>
      </c>
      <c r="J167" s="1404"/>
      <c r="K167" s="1032">
        <v>2</v>
      </c>
      <c r="L167" s="1404"/>
      <c r="M167" s="1032">
        <v>2</v>
      </c>
      <c r="N167" s="1404"/>
      <c r="O167" s="1032">
        <v>2</v>
      </c>
      <c r="Q167" s="1436"/>
      <c r="R167" s="1200" t="s">
        <v>1247</v>
      </c>
      <c r="S167" s="1032">
        <v>1</v>
      </c>
      <c r="T167" s="1200" t="s">
        <v>1247</v>
      </c>
      <c r="U167" s="1032">
        <v>1</v>
      </c>
      <c r="V167" s="1200" t="s">
        <v>1247</v>
      </c>
      <c r="W167" s="1032">
        <v>1</v>
      </c>
      <c r="X167" s="1200" t="s">
        <v>1247</v>
      </c>
      <c r="Y167" s="1032">
        <v>1</v>
      </c>
      <c r="Z167" s="1200" t="s">
        <v>1247</v>
      </c>
      <c r="AA167" s="1032">
        <v>1</v>
      </c>
      <c r="AB167" s="1200" t="s">
        <v>1247</v>
      </c>
      <c r="AC167" s="1032">
        <v>1</v>
      </c>
      <c r="AD167" s="1200" t="s">
        <v>1247</v>
      </c>
      <c r="AE167" s="1032">
        <v>1</v>
      </c>
      <c r="AG167" s="1436"/>
      <c r="AH167" s="1200" t="s">
        <v>1247</v>
      </c>
      <c r="AI167" s="1032">
        <v>1</v>
      </c>
      <c r="AJ167" s="1200" t="s">
        <v>1247</v>
      </c>
      <c r="AK167" s="1032">
        <v>1</v>
      </c>
      <c r="AL167" s="1200" t="s">
        <v>1247</v>
      </c>
      <c r="AM167" s="1032">
        <v>1</v>
      </c>
      <c r="AN167" s="1200" t="s">
        <v>1247</v>
      </c>
      <c r="AO167" s="1032">
        <v>1</v>
      </c>
      <c r="AP167" s="1200" t="s">
        <v>1247</v>
      </c>
      <c r="AQ167" s="1032">
        <v>1</v>
      </c>
      <c r="AR167" s="1200" t="s">
        <v>1247</v>
      </c>
      <c r="AS167" s="1032">
        <v>1</v>
      </c>
      <c r="AT167" s="1200" t="s">
        <v>1247</v>
      </c>
      <c r="AU167" s="1032">
        <v>1</v>
      </c>
      <c r="AW167" s="1436"/>
      <c r="AX167" s="1200" t="s">
        <v>1247</v>
      </c>
      <c r="AY167" s="1032">
        <v>1</v>
      </c>
      <c r="AZ167" s="1200" t="s">
        <v>1247</v>
      </c>
      <c r="BA167" s="1032">
        <v>1</v>
      </c>
      <c r="BB167" s="1200" t="s">
        <v>1247</v>
      </c>
      <c r="BC167" s="1032">
        <v>1</v>
      </c>
      <c r="BD167" s="1200" t="s">
        <v>1247</v>
      </c>
      <c r="BE167" s="1032">
        <v>1</v>
      </c>
      <c r="BF167" s="1200" t="s">
        <v>1247</v>
      </c>
      <c r="BG167" s="1032">
        <v>1</v>
      </c>
      <c r="BH167" s="1200" t="s">
        <v>1247</v>
      </c>
      <c r="BI167" s="1032">
        <v>1</v>
      </c>
      <c r="BJ167" s="1200" t="s">
        <v>1247</v>
      </c>
      <c r="BK167" s="1032">
        <v>1</v>
      </c>
      <c r="BM167" s="1436"/>
      <c r="BN167" s="1404"/>
      <c r="BO167" s="1032">
        <v>1</v>
      </c>
      <c r="BP167" s="1404"/>
      <c r="BQ167" s="1032">
        <v>1</v>
      </c>
      <c r="BR167" s="1404"/>
      <c r="BS167" s="1032">
        <v>1</v>
      </c>
      <c r="BT167" s="1404"/>
      <c r="BU167" s="1032">
        <v>1</v>
      </c>
      <c r="BV167" s="1404"/>
      <c r="BW167" s="1032">
        <v>1</v>
      </c>
      <c r="BX167" s="1404"/>
      <c r="BY167" s="1032">
        <v>1</v>
      </c>
      <c r="BZ167" s="1404"/>
      <c r="CA167" s="1032">
        <v>1</v>
      </c>
      <c r="CC167" s="1436"/>
      <c r="CD167" s="1200" t="s">
        <v>1247</v>
      </c>
      <c r="CE167" s="1032">
        <v>1</v>
      </c>
      <c r="CF167" s="1200" t="s">
        <v>1247</v>
      </c>
      <c r="CG167" s="1032">
        <v>1</v>
      </c>
      <c r="CH167" s="1200" t="s">
        <v>1247</v>
      </c>
      <c r="CI167" s="1032">
        <v>1</v>
      </c>
      <c r="CJ167" s="1200" t="s">
        <v>1247</v>
      </c>
      <c r="CK167" s="1032">
        <v>1</v>
      </c>
      <c r="CL167" s="1200" t="s">
        <v>1247</v>
      </c>
      <c r="CM167" s="1032">
        <v>1</v>
      </c>
      <c r="CN167" s="1200" t="s">
        <v>1247</v>
      </c>
      <c r="CO167" s="1032">
        <v>1</v>
      </c>
      <c r="CP167" s="1200" t="s">
        <v>1247</v>
      </c>
      <c r="CQ167" s="1032">
        <v>1</v>
      </c>
      <c r="CS167" s="1436"/>
      <c r="CT167" s="1200" t="s">
        <v>1247</v>
      </c>
      <c r="CU167" s="1032">
        <v>1</v>
      </c>
      <c r="CV167" s="1200" t="s">
        <v>1247</v>
      </c>
      <c r="CW167" s="1032">
        <v>1</v>
      </c>
      <c r="CX167" s="1200" t="s">
        <v>1247</v>
      </c>
      <c r="CY167" s="1032">
        <v>1</v>
      </c>
      <c r="CZ167" s="1433"/>
      <c r="DA167" s="1427"/>
      <c r="DB167" s="1200" t="s">
        <v>1247</v>
      </c>
      <c r="DC167" s="1032">
        <v>1</v>
      </c>
      <c r="DD167" s="1200" t="s">
        <v>1247</v>
      </c>
      <c r="DE167" s="1032">
        <v>1</v>
      </c>
      <c r="DF167" s="1200" t="s">
        <v>1247</v>
      </c>
      <c r="DG167" s="1032">
        <v>1</v>
      </c>
      <c r="DI167" s="701"/>
      <c r="DJ167" s="701"/>
      <c r="DK167" s="763"/>
      <c r="DL167" s="701"/>
      <c r="DM167" s="763"/>
      <c r="DN167" s="701"/>
      <c r="DO167" s="763"/>
      <c r="DP167" s="701"/>
      <c r="DQ167" s="763"/>
      <c r="DR167" s="701"/>
      <c r="DS167" s="763"/>
      <c r="DT167" s="701"/>
      <c r="DU167" s="763"/>
      <c r="DV167" s="701"/>
      <c r="DW167" s="763"/>
    </row>
    <row r="168" spans="1:127" ht="89.25" customHeight="1">
      <c r="A168" s="1436"/>
      <c r="B168" s="1404"/>
      <c r="C168" s="1030">
        <f>C166/(C167*C135)</f>
        <v>0.37465564738292018</v>
      </c>
      <c r="D168" s="1404"/>
      <c r="E168" s="1030">
        <f>E166/(E167*C135)</f>
        <v>0.37465564738292018</v>
      </c>
      <c r="F168" s="1404"/>
      <c r="G168" s="1030">
        <f>G166/(G167*C135)</f>
        <v>0.50688705234159792</v>
      </c>
      <c r="H168" s="1404"/>
      <c r="I168" s="1030">
        <f>I166/(I167*C135)</f>
        <v>0.37465564738292018</v>
      </c>
      <c r="J168" s="1404"/>
      <c r="K168" s="1030">
        <f>K166/(K167*C135)</f>
        <v>0.37465564738292018</v>
      </c>
      <c r="L168" s="1404"/>
      <c r="M168" s="1030">
        <f>M166/(M167*C135)</f>
        <v>0.39393939393939398</v>
      </c>
      <c r="N168" s="1404"/>
      <c r="O168" s="1030">
        <f>O166/(O167*C135)</f>
        <v>0.46005509641873282</v>
      </c>
      <c r="Q168" s="1436"/>
      <c r="R168" s="1202"/>
      <c r="S168" s="1030">
        <f>S166/(S167*S135)</f>
        <v>0.32535885167464118</v>
      </c>
      <c r="T168" s="1202"/>
      <c r="U168" s="1030">
        <f>U166/(U167*S135)</f>
        <v>0.32535885167464118</v>
      </c>
      <c r="V168" s="1202"/>
      <c r="W168" s="1030">
        <f>W166/(W167*S135)</f>
        <v>0.44019138755980869</v>
      </c>
      <c r="X168" s="1202"/>
      <c r="Y168" s="1030">
        <f>Y166/(Y167*S135)</f>
        <v>0.65071770334928236</v>
      </c>
      <c r="Z168" s="1202"/>
      <c r="AA168" s="1030">
        <f>AA166/(AA167*S135)</f>
        <v>0.65071770334928236</v>
      </c>
      <c r="AB168" s="1202"/>
      <c r="AC168" s="1030">
        <f>AC166/(AC167*S135)</f>
        <v>0.68421052631578949</v>
      </c>
      <c r="AD168" s="1202"/>
      <c r="AE168" s="1030">
        <f>AE166/(AE167*S135)</f>
        <v>0.799043062200957</v>
      </c>
      <c r="AG168" s="1436"/>
      <c r="AH168" s="1202"/>
      <c r="AI168" s="1030">
        <f>AI166/(AI167*AI135)</f>
        <v>0.28752642706131082</v>
      </c>
      <c r="AJ168" s="1202"/>
      <c r="AK168" s="1030">
        <f>AK166/(AK167*AI135)</f>
        <v>0.28752642706131082</v>
      </c>
      <c r="AL168" s="1202"/>
      <c r="AM168" s="1030">
        <f>AM166/(AM167*AI135)</f>
        <v>0.38900634249471461</v>
      </c>
      <c r="AN168" s="1202"/>
      <c r="AO168" s="1030">
        <f>AO166/(AO167*AI135)</f>
        <v>0.57505285412262164</v>
      </c>
      <c r="AP168" s="1202"/>
      <c r="AQ168" s="1030">
        <f>AQ166/(AQ167*AI135)</f>
        <v>0.57505285412262164</v>
      </c>
      <c r="AR168" s="1202"/>
      <c r="AS168" s="1030">
        <f>AS166/(AS167*AI135)</f>
        <v>0.60465116279069775</v>
      </c>
      <c r="AT168" s="1202"/>
      <c r="AU168" s="1030">
        <f>AU166/(AU167*AI135)</f>
        <v>0.70613107822410148</v>
      </c>
      <c r="AW168" s="1436"/>
      <c r="AX168" s="1202"/>
      <c r="AY168" s="1030">
        <f>AY166/(AY167*AY135)</f>
        <v>0.25757575757575762</v>
      </c>
      <c r="AZ168" s="1202"/>
      <c r="BA168" s="1030">
        <f>BA166/(BA167*AY135)</f>
        <v>0.25757575757575762</v>
      </c>
      <c r="BB168" s="1202"/>
      <c r="BC168" s="1030">
        <f>BC166/(BC167*AY135)</f>
        <v>0.34848484848484856</v>
      </c>
      <c r="BD168" s="1202"/>
      <c r="BE168" s="1030">
        <f>BE166/(BE167*AY135)</f>
        <v>0.51515151515151525</v>
      </c>
      <c r="BF168" s="1202"/>
      <c r="BG168" s="1030">
        <f>BG166/(BG167*AY135)</f>
        <v>0.51515151515151525</v>
      </c>
      <c r="BH168" s="1202"/>
      <c r="BI168" s="1030">
        <f>BI166/(BI167*AY135)</f>
        <v>0.54166666666666674</v>
      </c>
      <c r="BJ168" s="1202"/>
      <c r="BK168" s="1030">
        <f>BK166/(BK167*AY135)</f>
        <v>0.63257575757575768</v>
      </c>
      <c r="BM168" s="1436"/>
      <c r="BN168" s="1404"/>
      <c r="BO168" s="1030">
        <f>BO166/(BO167*BO135)</f>
        <v>0.24242424242424246</v>
      </c>
      <c r="BP168" s="1404"/>
      <c r="BQ168" s="1030">
        <f>BQ166/(BQ167*BO135)</f>
        <v>0.24242424242424246</v>
      </c>
      <c r="BR168" s="1404"/>
      <c r="BS168" s="1030">
        <f>BS166/(BS167*BO135)</f>
        <v>0.3279857397504457</v>
      </c>
      <c r="BT168" s="1404"/>
      <c r="BU168" s="1030">
        <f>BU166/(BU167*BO135)</f>
        <v>0.48484848484848492</v>
      </c>
      <c r="BV168" s="1404"/>
      <c r="BW168" s="1030">
        <f>BW166/(BW167*BO135)</f>
        <v>0.48484848484848492</v>
      </c>
      <c r="BX168" s="1404"/>
      <c r="BY168" s="1030">
        <f>BY166/(BY167*BO135)</f>
        <v>0.50980392156862753</v>
      </c>
      <c r="BZ168" s="1404"/>
      <c r="CA168" s="1030">
        <f>CA166/(CA167*BO135)</f>
        <v>0.59536541889483074</v>
      </c>
      <c r="CC168" s="1436"/>
      <c r="CD168" s="1202"/>
      <c r="CE168" s="1030">
        <f>CE166/(CE167*CE135)</f>
        <v>0.22479338842975208</v>
      </c>
      <c r="CF168" s="1202"/>
      <c r="CG168" s="1030">
        <f>CG166/(CG167*CE135)</f>
        <v>0.22479338842975208</v>
      </c>
      <c r="CH168" s="1202"/>
      <c r="CI168" s="1030">
        <f>CI166/(CI167*CE135)</f>
        <v>0.30413223140495871</v>
      </c>
      <c r="CJ168" s="1202"/>
      <c r="CK168" s="1030">
        <f>CK166/(CK167*CE135)</f>
        <v>0.44958677685950416</v>
      </c>
      <c r="CL168" s="1202"/>
      <c r="CM168" s="1030">
        <f>CM166/(CM167*CE135)</f>
        <v>0.44958677685950416</v>
      </c>
      <c r="CN168" s="1202"/>
      <c r="CO168" s="1030">
        <f>CO166/(CO167*CE135)</f>
        <v>0.47272727272727277</v>
      </c>
      <c r="CP168" s="1202"/>
      <c r="CQ168" s="1030">
        <f>CQ166/(CQ167*CE135)</f>
        <v>0.55206611570247932</v>
      </c>
      <c r="CS168" s="1436"/>
      <c r="CT168" s="1202"/>
      <c r="CU168" s="1030">
        <f>CU166/(CU167*CU135)</f>
        <v>0.21316614420062699</v>
      </c>
      <c r="CV168" s="1202"/>
      <c r="CW168" s="1030">
        <f>CW166/(CW167*CU135)</f>
        <v>0.21316614420062699</v>
      </c>
      <c r="CX168" s="1202"/>
      <c r="CY168" s="1030">
        <f>CY166/(CY167*CU135)</f>
        <v>0.28840125391849536</v>
      </c>
      <c r="CZ168" s="1434"/>
      <c r="DA168" s="1428"/>
      <c r="DB168" s="1202"/>
      <c r="DC168" s="1030">
        <f>DC166/(DC167*CU135)</f>
        <v>0.42633228840125398</v>
      </c>
      <c r="DD168" s="1202"/>
      <c r="DE168" s="1030">
        <f>DE166/(DE167*CU135)</f>
        <v>0.44827586206896558</v>
      </c>
      <c r="DF168" s="1202"/>
      <c r="DG168" s="1030">
        <f>DG166/(DG167*CU135)</f>
        <v>0.52351097178683392</v>
      </c>
      <c r="DI168" s="701"/>
      <c r="DJ168" s="701"/>
      <c r="DK168" s="1146"/>
      <c r="DL168" s="701"/>
      <c r="DM168" s="1146"/>
      <c r="DN168" s="701"/>
      <c r="DO168" s="1146"/>
      <c r="DP168" s="701"/>
      <c r="DQ168" s="1146"/>
      <c r="DR168" s="701"/>
      <c r="DS168" s="1146"/>
      <c r="DT168" s="701"/>
      <c r="DU168" s="1146"/>
      <c r="DV168" s="701"/>
      <c r="DW168" s="1146"/>
    </row>
    <row r="169" spans="1:127" ht="15.75" customHeight="1">
      <c r="A169" s="1429" t="s">
        <v>1472</v>
      </c>
      <c r="B169" s="1414"/>
      <c r="C169" s="1033"/>
      <c r="D169" s="1414"/>
      <c r="E169" s="1033"/>
      <c r="F169" s="1203"/>
      <c r="G169" s="1032"/>
      <c r="H169" s="1203" t="s">
        <v>2035</v>
      </c>
      <c r="I169" s="1032">
        <v>1</v>
      </c>
      <c r="J169" s="1203" t="s">
        <v>2035</v>
      </c>
      <c r="K169" s="1032">
        <v>1</v>
      </c>
      <c r="L169" s="1203" t="s">
        <v>2035</v>
      </c>
      <c r="M169" s="1032">
        <v>1</v>
      </c>
      <c r="N169" s="1203" t="s">
        <v>2035</v>
      </c>
      <c r="O169" s="1032">
        <v>1</v>
      </c>
      <c r="Q169" s="1429" t="s">
        <v>1472</v>
      </c>
      <c r="R169" s="1414"/>
      <c r="S169" s="1033"/>
      <c r="T169" s="1414"/>
      <c r="U169" s="1033"/>
      <c r="V169" s="1203"/>
      <c r="W169" s="1032"/>
      <c r="X169" s="1203" t="s">
        <v>2035</v>
      </c>
      <c r="Y169" s="1032">
        <v>1</v>
      </c>
      <c r="Z169" s="1203" t="s">
        <v>2035</v>
      </c>
      <c r="AA169" s="1032">
        <v>1</v>
      </c>
      <c r="AB169" s="1203" t="s">
        <v>2035</v>
      </c>
      <c r="AC169" s="1032">
        <v>1</v>
      </c>
      <c r="AD169" s="1203" t="s">
        <v>2035</v>
      </c>
      <c r="AE169" s="1032">
        <v>1</v>
      </c>
      <c r="AG169" s="1429" t="s">
        <v>1472</v>
      </c>
      <c r="AH169" s="1414"/>
      <c r="AI169" s="1033"/>
      <c r="AJ169" s="1414"/>
      <c r="AK169" s="1033"/>
      <c r="AL169" s="1203"/>
      <c r="AM169" s="1032"/>
      <c r="AN169" s="1203"/>
      <c r="AO169" s="1032"/>
      <c r="AP169" s="1203"/>
      <c r="AQ169" s="1032"/>
      <c r="AR169" s="1203"/>
      <c r="AS169" s="1032"/>
      <c r="AT169" s="1203" t="s">
        <v>2035</v>
      </c>
      <c r="AU169" s="1032">
        <v>1</v>
      </c>
      <c r="AW169" s="1429" t="s">
        <v>1472</v>
      </c>
      <c r="AX169" s="1414"/>
      <c r="AY169" s="1033"/>
      <c r="AZ169" s="1414"/>
      <c r="BA169" s="1033"/>
      <c r="BB169" s="1203"/>
      <c r="BC169" s="1032"/>
      <c r="BD169" s="1203"/>
      <c r="BE169" s="1032"/>
      <c r="BF169" s="1203"/>
      <c r="BG169" s="1032"/>
      <c r="BH169" s="1203"/>
      <c r="BI169" s="1032"/>
      <c r="BJ169" s="1203"/>
      <c r="BK169" s="1032"/>
      <c r="BM169" s="1429" t="s">
        <v>1472</v>
      </c>
      <c r="BN169" s="1414"/>
      <c r="BO169" s="1033"/>
      <c r="BP169" s="1414"/>
      <c r="BQ169" s="1033"/>
      <c r="BR169" s="1203"/>
      <c r="BS169" s="1032"/>
      <c r="BT169" s="1203"/>
      <c r="BU169" s="1032"/>
      <c r="BV169" s="1203"/>
      <c r="BW169" s="1032"/>
      <c r="BX169" s="1203"/>
      <c r="BY169" s="1032"/>
      <c r="BZ169" s="1203"/>
      <c r="CA169" s="1032"/>
      <c r="CC169" s="1429" t="s">
        <v>1472</v>
      </c>
      <c r="CD169" s="1414"/>
      <c r="CE169" s="1033"/>
      <c r="CF169" s="1414"/>
      <c r="CG169" s="1033"/>
      <c r="CH169" s="1203"/>
      <c r="CI169" s="1032"/>
      <c r="CJ169" s="1203"/>
      <c r="CK169" s="1032"/>
      <c r="CL169" s="1203"/>
      <c r="CM169" s="1032"/>
      <c r="CN169" s="1203"/>
      <c r="CO169" s="1032"/>
      <c r="CP169" s="1203"/>
      <c r="CQ169" s="1032"/>
      <c r="CS169" s="1429" t="s">
        <v>1472</v>
      </c>
      <c r="CT169" s="1414"/>
      <c r="CU169" s="1033"/>
      <c r="CV169" s="1414"/>
      <c r="CW169" s="1033"/>
      <c r="CX169" s="1203"/>
      <c r="CY169" s="1032"/>
      <c r="CZ169" s="1203"/>
      <c r="DA169" s="1032"/>
      <c r="DB169" s="1203"/>
      <c r="DC169" s="1032"/>
      <c r="DD169" s="1203"/>
      <c r="DE169" s="1032"/>
      <c r="DF169" s="1203"/>
      <c r="DG169" s="1032"/>
      <c r="DI169" s="1154"/>
      <c r="DJ169" s="701"/>
      <c r="DK169" s="1039"/>
      <c r="DL169" s="701"/>
      <c r="DM169" s="1039"/>
      <c r="DN169" s="701"/>
      <c r="DO169" s="763"/>
      <c r="DP169" s="701"/>
      <c r="DQ169" s="763"/>
      <c r="DR169" s="701"/>
      <c r="DS169" s="763"/>
      <c r="DT169" s="701"/>
      <c r="DU169" s="763"/>
      <c r="DV169" s="701"/>
      <c r="DW169" s="763"/>
    </row>
    <row r="170" spans="1:127" ht="59.25" customHeight="1">
      <c r="A170" s="1430"/>
      <c r="B170" s="1416"/>
      <c r="C170" s="1031" t="s">
        <v>1181</v>
      </c>
      <c r="D170" s="1416"/>
      <c r="E170" s="1031" t="s">
        <v>1181</v>
      </c>
      <c r="F170" s="1204"/>
      <c r="G170" s="1030"/>
      <c r="H170" s="1204"/>
      <c r="I170" s="1030">
        <v>1</v>
      </c>
      <c r="J170" s="1204"/>
      <c r="K170" s="1030">
        <v>1</v>
      </c>
      <c r="L170" s="1204"/>
      <c r="M170" s="1030">
        <v>1</v>
      </c>
      <c r="N170" s="1204"/>
      <c r="O170" s="1030">
        <v>1</v>
      </c>
      <c r="Q170" s="1430"/>
      <c r="R170" s="1416"/>
      <c r="S170" s="1031"/>
      <c r="T170" s="1416"/>
      <c r="U170" s="1031"/>
      <c r="V170" s="1204"/>
      <c r="W170" s="1030"/>
      <c r="X170" s="1204"/>
      <c r="Y170" s="1030">
        <v>1</v>
      </c>
      <c r="Z170" s="1204"/>
      <c r="AA170" s="1030">
        <v>1</v>
      </c>
      <c r="AB170" s="1204"/>
      <c r="AC170" s="1030">
        <v>1</v>
      </c>
      <c r="AD170" s="1204"/>
      <c r="AE170" s="1030">
        <v>1</v>
      </c>
      <c r="AG170" s="1430"/>
      <c r="AH170" s="1416"/>
      <c r="AI170" s="1031"/>
      <c r="AJ170" s="1416"/>
      <c r="AK170" s="1031"/>
      <c r="AL170" s="1204"/>
      <c r="AM170" s="1030"/>
      <c r="AN170" s="1204"/>
      <c r="AO170" s="1030"/>
      <c r="AP170" s="1204"/>
      <c r="AQ170" s="1030"/>
      <c r="AR170" s="1204"/>
      <c r="AS170" s="1030"/>
      <c r="AT170" s="1204"/>
      <c r="AU170" s="1030">
        <v>1</v>
      </c>
      <c r="AW170" s="1430"/>
      <c r="AX170" s="1416"/>
      <c r="AY170" s="1031"/>
      <c r="AZ170" s="1416"/>
      <c r="BA170" s="1031"/>
      <c r="BB170" s="1204"/>
      <c r="BC170" s="1030"/>
      <c r="BD170" s="1204"/>
      <c r="BE170" s="1030"/>
      <c r="BF170" s="1204"/>
      <c r="BG170" s="1030"/>
      <c r="BH170" s="1204"/>
      <c r="BI170" s="1030"/>
      <c r="BJ170" s="1204"/>
      <c r="BK170" s="1030"/>
      <c r="BM170" s="1430"/>
      <c r="BN170" s="1416"/>
      <c r="BO170" s="1031"/>
      <c r="BP170" s="1416"/>
      <c r="BQ170" s="1031"/>
      <c r="BR170" s="1204"/>
      <c r="BS170" s="1030"/>
      <c r="BT170" s="1204"/>
      <c r="BU170" s="1030"/>
      <c r="BV170" s="1204"/>
      <c r="BW170" s="1030"/>
      <c r="BX170" s="1204"/>
      <c r="BY170" s="1030"/>
      <c r="BZ170" s="1204"/>
      <c r="CA170" s="1030"/>
      <c r="CC170" s="1430"/>
      <c r="CD170" s="1416"/>
      <c r="CE170" s="1031"/>
      <c r="CF170" s="1416"/>
      <c r="CG170" s="1031"/>
      <c r="CH170" s="1204"/>
      <c r="CI170" s="1030"/>
      <c r="CJ170" s="1204"/>
      <c r="CK170" s="1030"/>
      <c r="CL170" s="1204"/>
      <c r="CM170" s="1030"/>
      <c r="CN170" s="1204"/>
      <c r="CO170" s="1030"/>
      <c r="CP170" s="1204"/>
      <c r="CQ170" s="1030"/>
      <c r="CS170" s="1430"/>
      <c r="CT170" s="1416"/>
      <c r="CU170" s="1031"/>
      <c r="CV170" s="1416"/>
      <c r="CW170" s="1031"/>
      <c r="CX170" s="1204"/>
      <c r="CY170" s="1030"/>
      <c r="CZ170" s="1204"/>
      <c r="DA170" s="1030"/>
      <c r="DB170" s="1204"/>
      <c r="DC170" s="1030"/>
      <c r="DD170" s="1204"/>
      <c r="DE170" s="1030"/>
      <c r="DF170" s="1204"/>
      <c r="DG170" s="1030"/>
      <c r="DI170" s="1154"/>
      <c r="DJ170" s="701"/>
      <c r="DK170" s="1195"/>
      <c r="DL170" s="701"/>
      <c r="DM170" s="1195"/>
      <c r="DN170" s="701"/>
      <c r="DO170" s="1146"/>
      <c r="DP170" s="701"/>
      <c r="DQ170" s="1146"/>
      <c r="DR170" s="701"/>
      <c r="DS170" s="1146"/>
      <c r="DT170" s="701"/>
      <c r="DU170" s="1146"/>
      <c r="DV170" s="701"/>
      <c r="DW170" s="1146"/>
    </row>
    <row r="171" spans="1:127" ht="15.75" customHeight="1">
      <c r="A171" s="1028" t="s">
        <v>1370</v>
      </c>
      <c r="B171" s="1028"/>
      <c r="C171" s="1029">
        <f>C169+C167+C161+C152+C141</f>
        <v>4</v>
      </c>
      <c r="D171" s="1028"/>
      <c r="E171" s="1029">
        <f>E169+E167+E161+E152+E141</f>
        <v>5</v>
      </c>
      <c r="F171" s="1027"/>
      <c r="G171" s="1029">
        <f>G169+G167+G161+G152+G146+G141</f>
        <v>7</v>
      </c>
      <c r="H171" s="1027"/>
      <c r="I171" s="1029">
        <f>I169+I167+I161+I156+I151+I146+I141</f>
        <v>11</v>
      </c>
      <c r="J171" s="1027"/>
      <c r="K171" s="1029">
        <f>K169+K167+K161+K156+K151+K146+K141</f>
        <v>12</v>
      </c>
      <c r="L171" s="1027"/>
      <c r="M171" s="1029">
        <f>M169+M167+M161+M156+M151+M146+M141</f>
        <v>14</v>
      </c>
      <c r="N171" s="1027"/>
      <c r="O171" s="1029">
        <f>O169+O167+O161+O156+O151+O146+O141</f>
        <v>15</v>
      </c>
      <c r="Q171" s="1028" t="s">
        <v>1370</v>
      </c>
      <c r="R171" s="1028"/>
      <c r="S171" s="1029">
        <f>S169+S167+S161+S152+S141</f>
        <v>4</v>
      </c>
      <c r="T171" s="1028"/>
      <c r="U171" s="1029">
        <f>U169+U167+U161+U152+U141</f>
        <v>5</v>
      </c>
      <c r="V171" s="1027"/>
      <c r="W171" s="1029">
        <f>W169+W167+W161+W152+W146+W141</f>
        <v>7</v>
      </c>
      <c r="X171" s="1027"/>
      <c r="Y171" s="1029">
        <f>Y169+Y167+Y161+Y156+Y151+Y146+Y141</f>
        <v>10</v>
      </c>
      <c r="Z171" s="1027"/>
      <c r="AA171" s="1029">
        <f>AA169+AA167+AA161+AA156+AA151+AA146+AA141</f>
        <v>11</v>
      </c>
      <c r="AB171" s="1027"/>
      <c r="AC171" s="1029">
        <f>AC169+AC167+AC161+AC156+AC151+AC146+AC141</f>
        <v>12</v>
      </c>
      <c r="AD171" s="1027"/>
      <c r="AE171" s="1029">
        <f>AE169+AE167+AE161+AE156+AE151+AE146+AE141</f>
        <v>13</v>
      </c>
      <c r="AG171" s="1028" t="s">
        <v>1370</v>
      </c>
      <c r="AH171" s="1028"/>
      <c r="AI171" s="1029">
        <f>AI169+AI167+AI161+AI152+AI141</f>
        <v>4</v>
      </c>
      <c r="AJ171" s="1028"/>
      <c r="AK171" s="1029">
        <f>AK169+AK167+AK161+AK152+AK141</f>
        <v>4</v>
      </c>
      <c r="AL171" s="1027"/>
      <c r="AM171" s="1029">
        <f>AM169+AM167+AM161+AM152+AM146+AM141</f>
        <v>6</v>
      </c>
      <c r="AN171" s="1027"/>
      <c r="AO171" s="1029">
        <f>AO169+AO167+AO161+AO152+AO146+AO141</f>
        <v>7</v>
      </c>
      <c r="AP171" s="1027"/>
      <c r="AQ171" s="1029">
        <f>AQ169+AQ167+AQ161+AQ156+AQ151+AQ146+AQ141</f>
        <v>9</v>
      </c>
      <c r="AR171" s="1027"/>
      <c r="AS171" s="1029">
        <f>AS169+AS167+AS161+AS156+AS151+AS146+AS141</f>
        <v>10</v>
      </c>
      <c r="AT171" s="1027"/>
      <c r="AU171" s="1029">
        <f>AU169+AU167+AU161+AU156+AU151+AU146+AU141</f>
        <v>12</v>
      </c>
      <c r="AW171" s="1028" t="s">
        <v>1370</v>
      </c>
      <c r="AX171" s="1028"/>
      <c r="AY171" s="1029">
        <f>AY169+AY167+AY152+AY141</f>
        <v>3</v>
      </c>
      <c r="AZ171" s="1028"/>
      <c r="BA171" s="1029">
        <f>BA169+BA167+BA152+BA141</f>
        <v>3</v>
      </c>
      <c r="BB171" s="1027"/>
      <c r="BC171" s="1029">
        <f>BC169+BC167+BC152+BC141</f>
        <v>4</v>
      </c>
      <c r="BD171" s="1027"/>
      <c r="BE171" s="1029">
        <f>BE169+BE167+BE161+BE152+BE146+BE141</f>
        <v>7</v>
      </c>
      <c r="BF171" s="1027"/>
      <c r="BG171" s="1029">
        <f>BG169+BG167+BG161+BG152+BG141</f>
        <v>7</v>
      </c>
      <c r="BH171" s="1027"/>
      <c r="BI171" s="1029">
        <f>BI169+BI167+BI161+BI156+BI151+BI146+BI141</f>
        <v>10</v>
      </c>
      <c r="BJ171" s="1027"/>
      <c r="BK171" s="1029">
        <f>BK169+BK167+BK161+BK156+BK151+BK146+BK141</f>
        <v>11</v>
      </c>
      <c r="BM171" s="1028" t="s">
        <v>1370</v>
      </c>
      <c r="BN171" s="1028"/>
      <c r="BO171" s="1029">
        <f>BO169+BO167+BO152+BO141</f>
        <v>3</v>
      </c>
      <c r="BP171" s="1028"/>
      <c r="BQ171" s="1029">
        <f>BQ169+BQ167+BQ152+BQ141</f>
        <v>3</v>
      </c>
      <c r="BR171" s="1027"/>
      <c r="BS171" s="1029">
        <f>BS169+BS167+BS152+BS141</f>
        <v>4</v>
      </c>
      <c r="BT171" s="1027"/>
      <c r="BU171" s="1029">
        <f>BU169+BU167+BU161+BU152+BU146+BU141</f>
        <v>6</v>
      </c>
      <c r="BV171" s="1027"/>
      <c r="BW171" s="1029">
        <f>BW169+BW167+BW161+BW152+BW141</f>
        <v>6</v>
      </c>
      <c r="BX171" s="1027"/>
      <c r="BY171" s="1029">
        <f>BY169+BY167+BY161+BY156+BY146+BY141</f>
        <v>7</v>
      </c>
      <c r="BZ171" s="1027"/>
      <c r="CA171" s="1029">
        <f>CA169+CA167+CA161+CA156+CA151+CA146+CA141</f>
        <v>9</v>
      </c>
      <c r="CC171" s="1028" t="s">
        <v>1370</v>
      </c>
      <c r="CD171" s="1028"/>
      <c r="CE171" s="1029">
        <f>CE169+CE167+CE152+CE141</f>
        <v>3</v>
      </c>
      <c r="CF171" s="1028"/>
      <c r="CG171" s="1029">
        <f>CG169+CG167+CG152+CG141</f>
        <v>3</v>
      </c>
      <c r="CH171" s="1027"/>
      <c r="CI171" s="1029">
        <f>CI169+CI167+CI152+CI141</f>
        <v>4</v>
      </c>
      <c r="CJ171" s="1027"/>
      <c r="CK171" s="1029">
        <f>CK169+CK167+CK161+CK152+CK146+CK141</f>
        <v>6</v>
      </c>
      <c r="CL171" s="1027"/>
      <c r="CM171" s="1029">
        <f>CM169+CM167+CM161+CM152+CM141</f>
        <v>6</v>
      </c>
      <c r="CN171" s="1027"/>
      <c r="CO171" s="1029">
        <f>CO169+CO167+CO161+CO152+CO146+CO141</f>
        <v>7</v>
      </c>
      <c r="CP171" s="1027"/>
      <c r="CQ171" s="1029">
        <f>CQ169+CQ167+CQ161+CQ152+CQ146+CQ141</f>
        <v>8</v>
      </c>
      <c r="CS171" s="1028" t="s">
        <v>1370</v>
      </c>
      <c r="CT171" s="1028"/>
      <c r="CU171" s="1029">
        <f>CU169+CU167+CU152+CU141</f>
        <v>3</v>
      </c>
      <c r="CV171" s="1028"/>
      <c r="CW171" s="1029">
        <f>CW169+CW167+CW152+CW141</f>
        <v>3</v>
      </c>
      <c r="CX171" s="1027"/>
      <c r="CY171" s="1029">
        <f>CY169+CY167+CY152+CY141</f>
        <v>4</v>
      </c>
      <c r="CZ171" s="1027"/>
      <c r="DA171" s="1029">
        <f>DA169+DA161+DA152+DA146+DA141</f>
        <v>5</v>
      </c>
      <c r="DB171" s="1027"/>
      <c r="DC171" s="1029">
        <f>DC169+DC167+DC161+DC152+DC141</f>
        <v>6</v>
      </c>
      <c r="DD171" s="1027"/>
      <c r="DE171" s="1029">
        <f>DE169+DE167+DE161+DE152+DE146+DE141</f>
        <v>7</v>
      </c>
      <c r="DF171" s="1027"/>
      <c r="DG171" s="1029">
        <f>DG169+DG167+DG161+DG152+DG146+DG141</f>
        <v>8</v>
      </c>
      <c r="DK171" s="1196"/>
      <c r="DM171" s="1196"/>
      <c r="DN171" s="1197"/>
      <c r="DO171" s="1196"/>
      <c r="DP171" s="1197"/>
      <c r="DQ171" s="1196"/>
      <c r="DR171" s="1197"/>
      <c r="DS171" s="1196"/>
      <c r="DT171" s="1197"/>
      <c r="DU171" s="1196"/>
      <c r="DV171" s="1197"/>
      <c r="DW171" s="1196"/>
    </row>
    <row r="172" spans="1:127" ht="15.75" customHeight="1">
      <c r="A172" s="1028" t="s">
        <v>1473</v>
      </c>
      <c r="B172" s="1028"/>
      <c r="C172" s="1026">
        <f>C135*C171/1</f>
        <v>43.559999999999995</v>
      </c>
      <c r="D172" s="1028"/>
      <c r="E172" s="1026">
        <f>C135*E171/2</f>
        <v>27.224999999999998</v>
      </c>
      <c r="F172" s="1027"/>
      <c r="G172" s="1026">
        <f>C135*G171/3</f>
        <v>25.409999999999997</v>
      </c>
      <c r="H172" s="1027"/>
      <c r="I172" s="1026">
        <f>C135*I171/4</f>
        <v>29.947499999999998</v>
      </c>
      <c r="J172" s="1027"/>
      <c r="K172" s="1026">
        <f>C135*K171/5</f>
        <v>26.135999999999996</v>
      </c>
      <c r="L172" s="1027"/>
      <c r="M172" s="1026">
        <f>C135*M171/5</f>
        <v>30.491999999999997</v>
      </c>
      <c r="N172" s="1027"/>
      <c r="O172" s="1026">
        <f>C135*O171/5</f>
        <v>32.67</v>
      </c>
      <c r="Q172" s="1028" t="s">
        <v>1473</v>
      </c>
      <c r="R172" s="1028"/>
      <c r="S172" s="1026">
        <f>S135*S171/1</f>
        <v>50.16</v>
      </c>
      <c r="T172" s="1028"/>
      <c r="U172" s="1026">
        <f>S135*U171/2</f>
        <v>31.349999999999998</v>
      </c>
      <c r="V172" s="1027"/>
      <c r="W172" s="1026">
        <f>S135*W171/3</f>
        <v>29.26</v>
      </c>
      <c r="X172" s="1027"/>
      <c r="Y172" s="1026">
        <f>S135*Y171/4</f>
        <v>31.349999999999998</v>
      </c>
      <c r="Z172" s="1027"/>
      <c r="AA172" s="1026">
        <f>S135*AA171/5</f>
        <v>27.588000000000001</v>
      </c>
      <c r="AB172" s="1027"/>
      <c r="AC172" s="1026">
        <f>S135*AC171/5</f>
        <v>30.095999999999997</v>
      </c>
      <c r="AD172" s="1027"/>
      <c r="AE172" s="1026">
        <f>S135*AE171/5</f>
        <v>32.603999999999999</v>
      </c>
      <c r="AG172" s="1028" t="s">
        <v>1473</v>
      </c>
      <c r="AH172" s="1028"/>
      <c r="AI172" s="1026">
        <f>AI135*AI171/1</f>
        <v>56.76</v>
      </c>
      <c r="AJ172" s="1028"/>
      <c r="AK172" s="1026">
        <f>AI135*AK171/2</f>
        <v>28.38</v>
      </c>
      <c r="AL172" s="1027"/>
      <c r="AM172" s="1026">
        <f>AI135*AM171/3</f>
        <v>28.38</v>
      </c>
      <c r="AN172" s="1027"/>
      <c r="AO172" s="1026">
        <f>AI135*AO171/4</f>
        <v>24.8325</v>
      </c>
      <c r="AP172" s="1027"/>
      <c r="AQ172" s="1026">
        <f>AI135*AQ171/5</f>
        <v>25.541999999999998</v>
      </c>
      <c r="AR172" s="1027"/>
      <c r="AS172" s="1026">
        <f>AI135*AS171/5</f>
        <v>28.380000000000003</v>
      </c>
      <c r="AT172" s="1027"/>
      <c r="AU172" s="1026">
        <f>AI135*AU171/5</f>
        <v>34.055999999999997</v>
      </c>
      <c r="AW172" s="1028" t="s">
        <v>1473</v>
      </c>
      <c r="AX172" s="1028"/>
      <c r="AY172" s="1026">
        <f>AY135*AY171/1</f>
        <v>47.519999999999996</v>
      </c>
      <c r="AZ172" s="1028"/>
      <c r="BA172" s="1026">
        <f>AY135*BA171/2</f>
        <v>23.759999999999998</v>
      </c>
      <c r="BB172" s="1027"/>
      <c r="BC172" s="1026">
        <f>AY135*BC171/3</f>
        <v>21.119999999999997</v>
      </c>
      <c r="BD172" s="1027"/>
      <c r="BE172" s="1026">
        <f>AY135*BE171/4</f>
        <v>27.719999999999995</v>
      </c>
      <c r="BF172" s="1027"/>
      <c r="BG172" s="1026">
        <f>AY135*BG171/5</f>
        <v>22.175999999999995</v>
      </c>
      <c r="BH172" s="1027"/>
      <c r="BI172" s="1026">
        <f>AY135*BI171/5</f>
        <v>31.679999999999996</v>
      </c>
      <c r="BJ172" s="1027"/>
      <c r="BK172" s="1026">
        <f>AY135*BK171/5</f>
        <v>34.847999999999999</v>
      </c>
      <c r="BM172" s="1028" t="s">
        <v>1473</v>
      </c>
      <c r="BN172" s="1028"/>
      <c r="BO172" s="1026">
        <f>BO135*BO171/1</f>
        <v>50.489999999999995</v>
      </c>
      <c r="BP172" s="1028"/>
      <c r="BQ172" s="1026">
        <f>BO135*BQ171/2</f>
        <v>25.244999999999997</v>
      </c>
      <c r="BR172" s="1027"/>
      <c r="BS172" s="1026">
        <f>BO135*BS171/3</f>
        <v>22.439999999999998</v>
      </c>
      <c r="BT172" s="1027"/>
      <c r="BU172" s="1026">
        <f>BO135*BU171/4</f>
        <v>25.244999999999997</v>
      </c>
      <c r="BV172" s="1027"/>
      <c r="BW172" s="1026">
        <f>BO135*BW171/5</f>
        <v>20.195999999999998</v>
      </c>
      <c r="BX172" s="1027"/>
      <c r="BY172" s="1026">
        <f>BO135*BY171/5</f>
        <v>23.561999999999998</v>
      </c>
      <c r="BZ172" s="1027"/>
      <c r="CA172" s="1026">
        <f>BO135*CA171/5</f>
        <v>30.293999999999993</v>
      </c>
      <c r="CC172" s="1028" t="s">
        <v>1473</v>
      </c>
      <c r="CD172" s="1028"/>
      <c r="CE172" s="1026">
        <f>CE135*CE171/1</f>
        <v>54.449999999999996</v>
      </c>
      <c r="CF172" s="1028"/>
      <c r="CG172" s="1026">
        <f>CE135*CG171/2</f>
        <v>27.224999999999998</v>
      </c>
      <c r="CH172" s="1027"/>
      <c r="CI172" s="1026">
        <f>CE135*CI171/3</f>
        <v>24.2</v>
      </c>
      <c r="CJ172" s="1027"/>
      <c r="CK172" s="1026">
        <f>CE135*CK171/4</f>
        <v>27.224999999999998</v>
      </c>
      <c r="CL172" s="1027"/>
      <c r="CM172" s="1026">
        <f>CE135*CM171/5</f>
        <v>21.779999999999998</v>
      </c>
      <c r="CN172" s="1027"/>
      <c r="CO172" s="1026">
        <f>CE135*CO171/5</f>
        <v>25.409999999999997</v>
      </c>
      <c r="CP172" s="1027"/>
      <c r="CQ172" s="1026">
        <f>CE135*CQ171/5</f>
        <v>29.04</v>
      </c>
      <c r="CS172" s="1028" t="s">
        <v>1473</v>
      </c>
      <c r="CT172" s="1028"/>
      <c r="CU172" s="1026">
        <f>CU135*CU171/1</f>
        <v>57.419999999999987</v>
      </c>
      <c r="CV172" s="1028"/>
      <c r="CW172" s="1026">
        <f>CU135*CW171/2</f>
        <v>28.709999999999994</v>
      </c>
      <c r="CX172" s="1027"/>
      <c r="CY172" s="1026">
        <f>CU135*CY171/3</f>
        <v>25.519999999999996</v>
      </c>
      <c r="CZ172" s="1027"/>
      <c r="DA172" s="1026">
        <f>CU135*DA171/4</f>
        <v>23.924999999999997</v>
      </c>
      <c r="DB172" s="1027"/>
      <c r="DC172" s="1026">
        <f>CU135*DC171/5</f>
        <v>22.967999999999996</v>
      </c>
      <c r="DD172" s="1027"/>
      <c r="DE172" s="1026">
        <f>CU135*DE171/5</f>
        <v>26.795999999999999</v>
      </c>
      <c r="DF172" s="1027"/>
      <c r="DG172" s="1026">
        <f>CU135*DG171/5</f>
        <v>30.623999999999995</v>
      </c>
      <c r="DK172" s="1198"/>
      <c r="DM172" s="1198"/>
      <c r="DN172" s="1197"/>
      <c r="DO172" s="1198"/>
      <c r="DP172" s="1197"/>
      <c r="DQ172" s="1198"/>
      <c r="DR172" s="1197"/>
      <c r="DS172" s="1198"/>
      <c r="DT172" s="1197"/>
      <c r="DU172" s="1198"/>
      <c r="DV172" s="1197"/>
      <c r="DW172" s="1198"/>
    </row>
    <row r="173" spans="1:127" ht="15.75" customHeight="1">
      <c r="C173" s="1205">
        <f>C166+C160+C151+C140</f>
        <v>22.274999999999999</v>
      </c>
      <c r="D173" s="1206">
        <f>E166+E151+E140+E160</f>
        <v>26.805</v>
      </c>
      <c r="E173" s="1206">
        <f>G160+G151+G140+G145+G166</f>
        <v>41.67</v>
      </c>
      <c r="F173" s="1207">
        <f>I166+I160+I150+I145+I140+C135+I155</f>
        <v>65.73</v>
      </c>
      <c r="G173" s="1207">
        <f>K166+K160+K150+K145+K140+C135+K155</f>
        <v>76.64</v>
      </c>
      <c r="H173" s="1207">
        <f>M166+M160+M155+M150+M145+M140+C135</f>
        <v>93.84</v>
      </c>
      <c r="I173" s="1207">
        <f>O166+O160+O155+O150+O145+O140+C135</f>
        <v>103.41</v>
      </c>
      <c r="S173" s="1205">
        <f>S166+S160+S151+S140</f>
        <v>22.274999999999999</v>
      </c>
      <c r="T173" s="1206">
        <f>U166+U151+U140+U160</f>
        <v>26.805</v>
      </c>
      <c r="U173" s="1206">
        <f>W160+W151+W140+W145+W166</f>
        <v>41.76</v>
      </c>
      <c r="V173" s="1207">
        <f>Y166+Y160+Y150+Y145+Y140+S135+Y155</f>
        <v>67.38</v>
      </c>
      <c r="W173" s="1207">
        <f>AA166+AA160+AA150+AA145+AA140+S135+AA155</f>
        <v>78.290000000000006</v>
      </c>
      <c r="X173" s="1207">
        <f>AC166+AC160+AC155+AC150+AC145+AC140+S135</f>
        <v>95.490000000000009</v>
      </c>
      <c r="Y173" s="1207">
        <f>AE166+AE160+AE155+AE150+AE145+AE140+S135</f>
        <v>105.06</v>
      </c>
      <c r="AI173" s="1205">
        <f>AI166+AI160+AI151+AI140</f>
        <v>22.274999999999999</v>
      </c>
      <c r="AJ173" s="1206">
        <f>AK166+AK151+AK140+AK160</f>
        <v>26.805</v>
      </c>
      <c r="AK173" s="1206">
        <f>AM160+AM151+AM140+AM145+AM166</f>
        <v>41.76</v>
      </c>
      <c r="AL173" s="1207">
        <f>AO166+AO160+AO151+AO145+AO140</f>
        <v>54.84</v>
      </c>
      <c r="AM173" s="1207">
        <f>AQ166+AQ160+AQ150+AQ145+AQ140+AQ155</f>
        <v>65.75</v>
      </c>
      <c r="AN173" s="1207">
        <f>AS166+AS160+AS155+AS150+AS145+AS140</f>
        <v>82.95</v>
      </c>
      <c r="AO173" s="1207">
        <f>AU166+AU160+AU155+AU150+AU145+AU140+AI135</f>
        <v>106.71</v>
      </c>
      <c r="AY173" s="1205">
        <f>AY166+AY151+AY140</f>
        <v>22.274999999999999</v>
      </c>
      <c r="AZ173" s="1206">
        <f>BA166+BA151+BA140</f>
        <v>26.805</v>
      </c>
      <c r="BA173" s="1206">
        <f>BC151+BC140+BC166</f>
        <v>41.76</v>
      </c>
      <c r="BB173" s="1207">
        <f>BE166+BE160+BE151+BE145+BE140</f>
        <v>54.84</v>
      </c>
      <c r="BC173" s="1207">
        <f>BG166+BG160+BG151+BG140</f>
        <v>60.05</v>
      </c>
      <c r="BD173" s="1207">
        <f>BI166+BI160+BI155+BI150+BI145+BI140</f>
        <v>82.95</v>
      </c>
      <c r="BE173" s="1207">
        <f>BK166+BK160+BK155+BK150+BK145+BK140+AY135</f>
        <v>108.36</v>
      </c>
      <c r="BO173" s="1205">
        <f>BO166+BO151+BO140</f>
        <v>22.274999999999999</v>
      </c>
      <c r="BP173" s="1206">
        <f>BQ166+BQ151+BQ140</f>
        <v>26.805</v>
      </c>
      <c r="BQ173" s="1206">
        <f>BS151+BS140+BS166</f>
        <v>41.76</v>
      </c>
      <c r="BR173" s="1207">
        <f>BU166+BU160+BU151+BU145+BU140</f>
        <v>54.84</v>
      </c>
      <c r="BS173" s="1207">
        <f>BW166+BW160+BW151+BW140</f>
        <v>60.05</v>
      </c>
      <c r="BT173" s="1207">
        <f>BY166+BY160+BY155+BY150+BY145+BY140</f>
        <v>82.95</v>
      </c>
      <c r="BU173" s="1207">
        <f>CA166+CA160+CA155+CA150+CA145+CA140</f>
        <v>92.52</v>
      </c>
      <c r="CE173" s="1205">
        <f>CE166+CE151+CE140</f>
        <v>22.274999999999999</v>
      </c>
      <c r="CF173" s="1206">
        <f>CG166+CG151+CG140</f>
        <v>26.805</v>
      </c>
      <c r="CG173" s="1206">
        <f>CI166+CI151+CI140</f>
        <v>41.76</v>
      </c>
      <c r="CH173" s="1207">
        <f>CK166+CK160+CK151+CK145+CK140</f>
        <v>54.84</v>
      </c>
      <c r="CI173" s="1207">
        <f>CM166+CM160+CM151+CM140</f>
        <v>65.75</v>
      </c>
      <c r="CJ173" s="1207">
        <f>CO166+CO160+CO151+CO145+CO140</f>
        <v>82.95</v>
      </c>
      <c r="CK173" s="1207">
        <f>CQ166+CQ160+CQ151+CQ145+CQ140</f>
        <v>92.52</v>
      </c>
      <c r="CU173" s="1205">
        <f>CU166+CU151+CU140</f>
        <v>22.274999999999999</v>
      </c>
      <c r="CV173" s="1206">
        <f>CW166+CW151+CW140</f>
        <v>26.805</v>
      </c>
      <c r="CW173" s="1206">
        <f>CY166+CY151+CY140</f>
        <v>41.76</v>
      </c>
      <c r="CX173" s="1207">
        <f>DA160+DA151+DA145+DA140</f>
        <v>54.84</v>
      </c>
      <c r="CY173" s="1207">
        <f>DC166+DC160+DC151+DC140</f>
        <v>65.75</v>
      </c>
      <c r="CZ173" s="1207">
        <f>DE166+DE160+DE151+DE145+DE140</f>
        <v>82.95</v>
      </c>
      <c r="DA173" s="1207">
        <f>DG166+DG160+DG151+DG145+DG140</f>
        <v>92.52</v>
      </c>
    </row>
    <row r="175" spans="1:127" ht="15.75" customHeight="1">
      <c r="A175" s="1041" t="s">
        <v>2052</v>
      </c>
      <c r="B175" s="1041">
        <v>4</v>
      </c>
      <c r="C175" s="1041">
        <v>4</v>
      </c>
      <c r="D175" s="1441"/>
      <c r="E175" s="931"/>
      <c r="F175" s="931"/>
      <c r="G175" s="931"/>
      <c r="H175" s="931"/>
      <c r="I175" s="931"/>
      <c r="J175" s="931"/>
      <c r="K175" s="931"/>
      <c r="L175" s="931"/>
      <c r="M175" s="931"/>
      <c r="N175" s="931"/>
      <c r="O175" s="931"/>
      <c r="Q175" s="1041" t="s">
        <v>2052</v>
      </c>
      <c r="R175" s="1041">
        <v>4</v>
      </c>
      <c r="S175" s="1041">
        <v>4.5</v>
      </c>
      <c r="T175" s="1441"/>
      <c r="U175" s="931"/>
      <c r="V175" s="931"/>
      <c r="W175" s="931"/>
      <c r="X175" s="931"/>
      <c r="Y175" s="931"/>
      <c r="Z175" s="931"/>
      <c r="AA175" s="931"/>
      <c r="AB175" s="931"/>
      <c r="AC175" s="931"/>
      <c r="AD175" s="931"/>
      <c r="AE175" s="931"/>
      <c r="AG175" s="1041" t="s">
        <v>2052</v>
      </c>
      <c r="AH175" s="1041">
        <v>4</v>
      </c>
      <c r="AI175" s="1041">
        <v>5</v>
      </c>
      <c r="AJ175" s="1441"/>
      <c r="AK175" s="931"/>
      <c r="AL175" s="931"/>
      <c r="AM175" s="931"/>
      <c r="AN175" s="931"/>
      <c r="AO175" s="931"/>
      <c r="AP175" s="931"/>
      <c r="AQ175" s="931"/>
      <c r="AR175" s="931"/>
      <c r="AS175" s="931"/>
      <c r="AT175" s="931"/>
      <c r="AU175" s="931"/>
      <c r="AW175" s="1041" t="s">
        <v>2052</v>
      </c>
      <c r="AX175" s="1041">
        <v>4</v>
      </c>
      <c r="AY175" s="1041">
        <v>5.3</v>
      </c>
      <c r="AZ175" s="1441"/>
      <c r="BA175" s="931"/>
      <c r="BB175" s="931"/>
      <c r="BC175" s="931"/>
      <c r="BD175" s="931"/>
      <c r="BE175" s="931"/>
      <c r="BF175" s="931"/>
      <c r="BG175" s="931"/>
      <c r="BH175" s="931"/>
      <c r="BI175" s="931"/>
      <c r="BJ175" s="931"/>
      <c r="BK175" s="931"/>
      <c r="BM175" s="1041" t="s">
        <v>2052</v>
      </c>
      <c r="BN175" s="1041">
        <v>4</v>
      </c>
      <c r="BO175" s="1041">
        <v>5.7</v>
      </c>
      <c r="BP175" s="1441"/>
      <c r="BQ175" s="931"/>
      <c r="BR175" s="931"/>
      <c r="BS175" s="931"/>
      <c r="BT175" s="931"/>
      <c r="BU175" s="931"/>
      <c r="BV175" s="931"/>
      <c r="BW175" s="931"/>
      <c r="BX175" s="931"/>
      <c r="BY175" s="931"/>
      <c r="BZ175" s="931"/>
      <c r="CA175" s="931"/>
      <c r="CC175" s="1041" t="s">
        <v>2052</v>
      </c>
      <c r="CD175" s="1041">
        <v>4</v>
      </c>
      <c r="CE175" s="1041">
        <v>6</v>
      </c>
      <c r="CF175" s="1441"/>
      <c r="CG175" s="931"/>
      <c r="CH175" s="931"/>
      <c r="CI175" s="931"/>
      <c r="CJ175" s="931"/>
      <c r="CK175" s="931"/>
      <c r="CL175" s="931"/>
      <c r="CM175" s="931"/>
      <c r="CN175" s="931"/>
      <c r="CO175" s="931"/>
      <c r="CP175" s="931"/>
      <c r="CQ175" s="931"/>
      <c r="CS175" s="1041"/>
      <c r="CT175" s="1041"/>
      <c r="CU175" s="1041"/>
      <c r="CV175" s="1041"/>
      <c r="CW175" s="931"/>
      <c r="CX175" s="931"/>
      <c r="CY175" s="931"/>
      <c r="CZ175" s="931"/>
      <c r="DA175" s="931"/>
      <c r="DB175" s="931"/>
      <c r="DC175" s="931"/>
      <c r="DD175" s="931"/>
      <c r="DE175" s="931"/>
      <c r="DF175" s="931"/>
      <c r="DG175" s="931"/>
    </row>
    <row r="176" spans="1:127" ht="15.75" customHeight="1">
      <c r="A176" s="1038" t="s">
        <v>1354</v>
      </c>
      <c r="B176" s="1038">
        <f>B175-0.2</f>
        <v>3.8</v>
      </c>
      <c r="C176" s="1038">
        <f>C175-0.2</f>
        <v>3.8</v>
      </c>
      <c r="D176" s="1442"/>
      <c r="E176" s="1038"/>
      <c r="F176" s="1038"/>
      <c r="G176" s="1038"/>
      <c r="H176" s="1038"/>
      <c r="I176" s="1038"/>
      <c r="J176" s="1038"/>
      <c r="K176" s="1038"/>
      <c r="L176" s="1038"/>
      <c r="M176" s="1038"/>
      <c r="N176" s="1038"/>
      <c r="O176" s="1038"/>
      <c r="Q176" s="1038" t="s">
        <v>1354</v>
      </c>
      <c r="R176" s="1038">
        <f>R175-0.2</f>
        <v>3.8</v>
      </c>
      <c r="S176" s="1038">
        <f>S175-0.2</f>
        <v>4.3</v>
      </c>
      <c r="T176" s="1442"/>
      <c r="U176" s="1038"/>
      <c r="V176" s="1038"/>
      <c r="W176" s="1038"/>
      <c r="X176" s="1038"/>
      <c r="Y176" s="1038"/>
      <c r="Z176" s="1038"/>
      <c r="AA176" s="1038"/>
      <c r="AB176" s="1038"/>
      <c r="AC176" s="1038"/>
      <c r="AD176" s="1038"/>
      <c r="AE176" s="1038"/>
      <c r="AG176" s="1038" t="s">
        <v>1354</v>
      </c>
      <c r="AH176" s="1038">
        <f>AH175-0.2</f>
        <v>3.8</v>
      </c>
      <c r="AI176" s="1038">
        <f>AI175-0.2</f>
        <v>4.8</v>
      </c>
      <c r="AJ176" s="1442"/>
      <c r="AK176" s="1038"/>
      <c r="AL176" s="1038"/>
      <c r="AM176" s="1038"/>
      <c r="AN176" s="1038"/>
      <c r="AO176" s="1038"/>
      <c r="AP176" s="1038"/>
      <c r="AQ176" s="1038"/>
      <c r="AR176" s="1038"/>
      <c r="AS176" s="1038"/>
      <c r="AT176" s="1038"/>
      <c r="AU176" s="1038"/>
      <c r="AW176" s="1038" t="s">
        <v>1354</v>
      </c>
      <c r="AX176" s="1038">
        <f>AX175-0.2</f>
        <v>3.8</v>
      </c>
      <c r="AY176" s="1038">
        <f>AY175-0.2</f>
        <v>5.0999999999999996</v>
      </c>
      <c r="AZ176" s="1442"/>
      <c r="BA176" s="1038"/>
      <c r="BB176" s="1038"/>
      <c r="BC176" s="1038"/>
      <c r="BD176" s="1038"/>
      <c r="BE176" s="1038"/>
      <c r="BF176" s="1038"/>
      <c r="BG176" s="1038"/>
      <c r="BH176" s="1038"/>
      <c r="BI176" s="1038"/>
      <c r="BJ176" s="1038"/>
      <c r="BK176" s="1038"/>
      <c r="BM176" s="1038" t="s">
        <v>1354</v>
      </c>
      <c r="BN176" s="1038">
        <f>BN175-0.2</f>
        <v>3.8</v>
      </c>
      <c r="BO176" s="1038">
        <f>BO175-0.2</f>
        <v>5.5</v>
      </c>
      <c r="BP176" s="1442"/>
      <c r="BQ176" s="1038"/>
      <c r="BR176" s="1038"/>
      <c r="BS176" s="1038"/>
      <c r="BT176" s="1038"/>
      <c r="BU176" s="1038"/>
      <c r="BV176" s="1038"/>
      <c r="BW176" s="1038"/>
      <c r="BX176" s="1038"/>
      <c r="BY176" s="1038"/>
      <c r="BZ176" s="1038"/>
      <c r="CA176" s="1038"/>
      <c r="CC176" s="1038" t="s">
        <v>1354</v>
      </c>
      <c r="CD176" s="1038">
        <f>CD175-0.2</f>
        <v>3.8</v>
      </c>
      <c r="CE176" s="1038">
        <f>CE175-0.2</f>
        <v>5.8</v>
      </c>
      <c r="CF176" s="1442"/>
      <c r="CG176" s="1038"/>
      <c r="CH176" s="1038"/>
      <c r="CI176" s="1038"/>
      <c r="CJ176" s="1038"/>
      <c r="CK176" s="1038"/>
      <c r="CL176" s="1038"/>
      <c r="CM176" s="1038"/>
      <c r="CN176" s="1038"/>
      <c r="CO176" s="1038"/>
      <c r="CP176" s="1038"/>
      <c r="CQ176" s="1038"/>
      <c r="CS176" s="1038"/>
      <c r="CT176" s="1038"/>
      <c r="CU176" s="1038"/>
      <c r="CV176" s="701"/>
      <c r="CW176" s="1038"/>
      <c r="CX176" s="1038"/>
      <c r="CY176" s="1038"/>
      <c r="CZ176" s="1038"/>
      <c r="DA176" s="1038"/>
      <c r="DB176" s="1038"/>
      <c r="DC176" s="1038"/>
      <c r="DD176" s="1038"/>
      <c r="DE176" s="1038"/>
      <c r="DF176" s="1038"/>
      <c r="DG176" s="1038"/>
    </row>
    <row r="177" spans="1:111" ht="15.75" customHeight="1">
      <c r="A177" s="1040" t="s">
        <v>1471</v>
      </c>
      <c r="B177" s="1040"/>
      <c r="C177" s="1039">
        <f>B175*C175</f>
        <v>16</v>
      </c>
      <c r="D177" s="1442"/>
      <c r="E177" s="1038"/>
      <c r="F177" s="1038"/>
      <c r="G177" s="1038"/>
      <c r="H177" s="1038"/>
      <c r="I177" s="1038"/>
      <c r="J177" s="1038"/>
      <c r="K177" s="1038"/>
      <c r="L177" s="1038"/>
      <c r="M177" s="1038"/>
      <c r="N177" s="1038"/>
      <c r="O177" s="1038"/>
      <c r="Q177" s="1040" t="s">
        <v>1471</v>
      </c>
      <c r="R177" s="1040"/>
      <c r="S177" s="1039">
        <f>R175*S175</f>
        <v>18</v>
      </c>
      <c r="T177" s="1442"/>
      <c r="U177" s="1038"/>
      <c r="V177" s="1038"/>
      <c r="W177" s="1038"/>
      <c r="X177" s="1038"/>
      <c r="Y177" s="1038"/>
      <c r="Z177" s="1038"/>
      <c r="AA177" s="1038"/>
      <c r="AB177" s="1038"/>
      <c r="AC177" s="1038"/>
      <c r="AD177" s="1038"/>
      <c r="AE177" s="1038"/>
      <c r="AG177" s="1040" t="s">
        <v>1471</v>
      </c>
      <c r="AH177" s="1040"/>
      <c r="AI177" s="1039">
        <f>AH175*AI175</f>
        <v>20</v>
      </c>
      <c r="AJ177" s="1442"/>
      <c r="AK177" s="1038"/>
      <c r="AL177" s="1038"/>
      <c r="AM177" s="1038"/>
      <c r="AN177" s="1038"/>
      <c r="AO177" s="1038"/>
      <c r="AP177" s="1038"/>
      <c r="AQ177" s="1038"/>
      <c r="AR177" s="1038"/>
      <c r="AS177" s="1038"/>
      <c r="AT177" s="1038"/>
      <c r="AU177" s="1038"/>
      <c r="AW177" s="1040" t="s">
        <v>1471</v>
      </c>
      <c r="AX177" s="1040"/>
      <c r="AY177" s="1039">
        <f>AX175*AY175</f>
        <v>21.2</v>
      </c>
      <c r="AZ177" s="1442"/>
      <c r="BA177" s="1038"/>
      <c r="BB177" s="1038"/>
      <c r="BC177" s="1038"/>
      <c r="BD177" s="1038"/>
      <c r="BE177" s="1038"/>
      <c r="BF177" s="1038"/>
      <c r="BG177" s="1038"/>
      <c r="BH177" s="1038"/>
      <c r="BI177" s="1038"/>
      <c r="BJ177" s="1038"/>
      <c r="BK177" s="1038"/>
      <c r="BM177" s="1040" t="s">
        <v>1471</v>
      </c>
      <c r="BN177" s="1040"/>
      <c r="BO177" s="1039">
        <f>BN175*BO175</f>
        <v>22.8</v>
      </c>
      <c r="BP177" s="1442"/>
      <c r="BQ177" s="1038"/>
      <c r="BR177" s="1038"/>
      <c r="BS177" s="1038"/>
      <c r="BT177" s="1038"/>
      <c r="BU177" s="1038"/>
      <c r="BV177" s="1038"/>
      <c r="BW177" s="1038"/>
      <c r="BX177" s="1038"/>
      <c r="BY177" s="1038"/>
      <c r="BZ177" s="1038"/>
      <c r="CA177" s="1038"/>
      <c r="CC177" s="1040" t="s">
        <v>1471</v>
      </c>
      <c r="CD177" s="1040"/>
      <c r="CE177" s="1039">
        <f>CD175*CE175</f>
        <v>24</v>
      </c>
      <c r="CF177" s="1442"/>
      <c r="CG177" s="1038"/>
      <c r="CH177" s="1038"/>
      <c r="CI177" s="1038"/>
      <c r="CJ177" s="1038"/>
      <c r="CK177" s="1038"/>
      <c r="CL177" s="1038"/>
      <c r="CM177" s="1038"/>
      <c r="CN177" s="1038"/>
      <c r="CO177" s="1038"/>
      <c r="CP177" s="1038"/>
      <c r="CQ177" s="1038"/>
      <c r="CS177" s="1040"/>
      <c r="CT177" s="1040"/>
      <c r="CU177" s="1039"/>
      <c r="CV177" s="701"/>
      <c r="CW177" s="1038"/>
      <c r="CX177" s="1038"/>
      <c r="CY177" s="1038"/>
      <c r="CZ177" s="1038"/>
      <c r="DA177" s="1038"/>
      <c r="DB177" s="1038"/>
      <c r="DC177" s="1038"/>
      <c r="DD177" s="1038"/>
      <c r="DE177" s="1038"/>
      <c r="DF177" s="1038"/>
      <c r="DG177" s="1038"/>
    </row>
    <row r="178" spans="1:111" ht="15.75" customHeight="1">
      <c r="A178" s="1040" t="s">
        <v>1355</v>
      </c>
      <c r="B178" s="1040"/>
      <c r="C178" s="1039">
        <f>C176*C176</f>
        <v>14.44</v>
      </c>
      <c r="D178" s="1442"/>
      <c r="E178" s="1038"/>
      <c r="F178" s="1038"/>
      <c r="G178" s="1038"/>
      <c r="H178" s="1038"/>
      <c r="I178" s="1038"/>
      <c r="J178" s="1038"/>
      <c r="K178" s="1038"/>
      <c r="L178" s="1038"/>
      <c r="M178" s="1038"/>
      <c r="N178" s="1038"/>
      <c r="O178" s="1038"/>
      <c r="Q178" s="1040" t="s">
        <v>1355</v>
      </c>
      <c r="R178" s="1040"/>
      <c r="S178" s="1039">
        <f>R176*S176</f>
        <v>16.34</v>
      </c>
      <c r="T178" s="1442"/>
      <c r="U178" s="1038"/>
      <c r="V178" s="1038"/>
      <c r="W178" s="1038"/>
      <c r="X178" s="1038"/>
      <c r="Y178" s="1038"/>
      <c r="Z178" s="1038"/>
      <c r="AA178" s="1038"/>
      <c r="AB178" s="1038"/>
      <c r="AC178" s="1038"/>
      <c r="AD178" s="1038"/>
      <c r="AE178" s="1038"/>
      <c r="AG178" s="1040" t="s">
        <v>1355</v>
      </c>
      <c r="AH178" s="1040"/>
      <c r="AI178" s="1039">
        <f>AH176*AI176</f>
        <v>18.239999999999998</v>
      </c>
      <c r="AJ178" s="1442"/>
      <c r="AK178" s="1038"/>
      <c r="AL178" s="1038"/>
      <c r="AM178" s="1038"/>
      <c r="AN178" s="1038"/>
      <c r="AO178" s="1038"/>
      <c r="AP178" s="1038"/>
      <c r="AQ178" s="1038"/>
      <c r="AR178" s="1038"/>
      <c r="AS178" s="1038"/>
      <c r="AT178" s="1038"/>
      <c r="AU178" s="1038"/>
      <c r="AW178" s="1040" t="s">
        <v>1355</v>
      </c>
      <c r="AX178" s="1040"/>
      <c r="AY178" s="1039">
        <f>AX176*AY176</f>
        <v>19.38</v>
      </c>
      <c r="AZ178" s="1442"/>
      <c r="BA178" s="1038"/>
      <c r="BB178" s="1038"/>
      <c r="BC178" s="1038"/>
      <c r="BD178" s="1038"/>
      <c r="BE178" s="1038"/>
      <c r="BF178" s="1038"/>
      <c r="BG178" s="1038"/>
      <c r="BH178" s="1038"/>
      <c r="BI178" s="1038"/>
      <c r="BJ178" s="1038"/>
      <c r="BK178" s="1038"/>
      <c r="BM178" s="1040" t="s">
        <v>1355</v>
      </c>
      <c r="BN178" s="1040"/>
      <c r="BO178" s="1039">
        <f>BN176*BO176</f>
        <v>20.9</v>
      </c>
      <c r="BP178" s="1442"/>
      <c r="BQ178" s="1038"/>
      <c r="BR178" s="1038"/>
      <c r="BS178" s="1038"/>
      <c r="BT178" s="1038"/>
      <c r="BU178" s="1038"/>
      <c r="BV178" s="1038"/>
      <c r="BW178" s="1038"/>
      <c r="BX178" s="1038"/>
      <c r="BY178" s="1038"/>
      <c r="BZ178" s="1038"/>
      <c r="CA178" s="1038"/>
      <c r="CC178" s="1040" t="s">
        <v>1355</v>
      </c>
      <c r="CD178" s="1040"/>
      <c r="CE178" s="1039">
        <f>CD176*CE176</f>
        <v>22.04</v>
      </c>
      <c r="CF178" s="1442"/>
      <c r="CG178" s="1038"/>
      <c r="CH178" s="1038"/>
      <c r="CI178" s="1038"/>
      <c r="CJ178" s="1038"/>
      <c r="CK178" s="1038"/>
      <c r="CL178" s="1038"/>
      <c r="CM178" s="1038"/>
      <c r="CN178" s="1038"/>
      <c r="CO178" s="1038"/>
      <c r="CP178" s="1038"/>
      <c r="CQ178" s="1038"/>
      <c r="CS178" s="1040"/>
      <c r="CT178" s="1040"/>
      <c r="CU178" s="1039"/>
      <c r="CV178" s="701"/>
      <c r="CW178" s="1038"/>
      <c r="CX178" s="1038"/>
      <c r="CY178" s="1038"/>
      <c r="CZ178" s="1038"/>
      <c r="DA178" s="1038"/>
      <c r="DB178" s="1038"/>
      <c r="DC178" s="1038"/>
      <c r="DD178" s="1038"/>
      <c r="DE178" s="1038"/>
      <c r="DF178" s="1038"/>
      <c r="DG178" s="1038"/>
    </row>
    <row r="179" spans="1:111" ht="15.75" customHeight="1">
      <c r="A179" s="1037" t="s">
        <v>1356</v>
      </c>
      <c r="B179" s="1405" t="s">
        <v>1357</v>
      </c>
      <c r="C179" s="1406"/>
      <c r="D179" s="1405" t="s">
        <v>1358</v>
      </c>
      <c r="E179" s="1406"/>
      <c r="F179" s="1405" t="s">
        <v>1359</v>
      </c>
      <c r="G179" s="1406"/>
      <c r="H179" s="1405" t="s">
        <v>1360</v>
      </c>
      <c r="I179" s="1406"/>
      <c r="J179" s="1405" t="s">
        <v>1361</v>
      </c>
      <c r="K179" s="1406"/>
      <c r="L179" s="1405" t="s">
        <v>1362</v>
      </c>
      <c r="M179" s="1406"/>
      <c r="N179" s="1409" t="s">
        <v>1363</v>
      </c>
      <c r="O179" s="1406"/>
      <c r="Q179" s="1037" t="s">
        <v>1356</v>
      </c>
      <c r="R179" s="1405" t="s">
        <v>1357</v>
      </c>
      <c r="S179" s="1406"/>
      <c r="T179" s="1405" t="s">
        <v>1358</v>
      </c>
      <c r="U179" s="1406"/>
      <c r="V179" s="1405" t="s">
        <v>1359</v>
      </c>
      <c r="W179" s="1406"/>
      <c r="X179" s="1405" t="s">
        <v>1360</v>
      </c>
      <c r="Y179" s="1406"/>
      <c r="Z179" s="1405" t="s">
        <v>1361</v>
      </c>
      <c r="AA179" s="1406"/>
      <c r="AB179" s="1405" t="s">
        <v>1362</v>
      </c>
      <c r="AC179" s="1406"/>
      <c r="AD179" s="1409" t="s">
        <v>1363</v>
      </c>
      <c r="AE179" s="1406"/>
      <c r="AG179" s="1037" t="s">
        <v>1356</v>
      </c>
      <c r="AH179" s="1405" t="s">
        <v>1357</v>
      </c>
      <c r="AI179" s="1406"/>
      <c r="AJ179" s="1405" t="s">
        <v>1358</v>
      </c>
      <c r="AK179" s="1406"/>
      <c r="AL179" s="1405" t="s">
        <v>1359</v>
      </c>
      <c r="AM179" s="1406"/>
      <c r="AN179" s="1405" t="s">
        <v>1360</v>
      </c>
      <c r="AO179" s="1406"/>
      <c r="AP179" s="1405" t="s">
        <v>1361</v>
      </c>
      <c r="AQ179" s="1406"/>
      <c r="AR179" s="1405" t="s">
        <v>1362</v>
      </c>
      <c r="AS179" s="1406"/>
      <c r="AT179" s="1409" t="s">
        <v>1363</v>
      </c>
      <c r="AU179" s="1406"/>
      <c r="AW179" s="1037" t="s">
        <v>1356</v>
      </c>
      <c r="AX179" s="1405" t="s">
        <v>1357</v>
      </c>
      <c r="AY179" s="1406"/>
      <c r="AZ179" s="1405" t="s">
        <v>1358</v>
      </c>
      <c r="BA179" s="1406"/>
      <c r="BB179" s="1405" t="s">
        <v>1359</v>
      </c>
      <c r="BC179" s="1406"/>
      <c r="BD179" s="1405" t="s">
        <v>1360</v>
      </c>
      <c r="BE179" s="1406"/>
      <c r="BF179" s="1405" t="s">
        <v>1361</v>
      </c>
      <c r="BG179" s="1406"/>
      <c r="BH179" s="1405" t="s">
        <v>1362</v>
      </c>
      <c r="BI179" s="1406"/>
      <c r="BJ179" s="1409" t="s">
        <v>1363</v>
      </c>
      <c r="BK179" s="1406"/>
      <c r="BM179" s="1037" t="s">
        <v>1356</v>
      </c>
      <c r="BN179" s="1405" t="s">
        <v>1357</v>
      </c>
      <c r="BO179" s="1406"/>
      <c r="BP179" s="1405" t="s">
        <v>1358</v>
      </c>
      <c r="BQ179" s="1406"/>
      <c r="BR179" s="1405" t="s">
        <v>1359</v>
      </c>
      <c r="BS179" s="1406"/>
      <c r="BT179" s="1405" t="s">
        <v>1360</v>
      </c>
      <c r="BU179" s="1406"/>
      <c r="BV179" s="1405" t="s">
        <v>1361</v>
      </c>
      <c r="BW179" s="1406"/>
      <c r="BX179" s="1405" t="s">
        <v>1362</v>
      </c>
      <c r="BY179" s="1406"/>
      <c r="BZ179" s="1409" t="s">
        <v>1363</v>
      </c>
      <c r="CA179" s="1406"/>
      <c r="CC179" s="1037" t="s">
        <v>1356</v>
      </c>
      <c r="CD179" s="1405" t="s">
        <v>1357</v>
      </c>
      <c r="CE179" s="1406"/>
      <c r="CF179" s="1405" t="s">
        <v>1358</v>
      </c>
      <c r="CG179" s="1406"/>
      <c r="CH179" s="1405" t="s">
        <v>1359</v>
      </c>
      <c r="CI179" s="1406"/>
      <c r="CJ179" s="1405" t="s">
        <v>1360</v>
      </c>
      <c r="CK179" s="1406"/>
      <c r="CL179" s="1405" t="s">
        <v>1361</v>
      </c>
      <c r="CM179" s="1406"/>
      <c r="CN179" s="1405" t="s">
        <v>1362</v>
      </c>
      <c r="CO179" s="1406"/>
      <c r="CP179" s="1409" t="s">
        <v>1363</v>
      </c>
      <c r="CQ179" s="1406"/>
      <c r="CS179" s="1040"/>
      <c r="CT179" s="1040"/>
      <c r="CU179" s="701"/>
      <c r="CV179" s="1040"/>
      <c r="CW179" s="701"/>
      <c r="CX179" s="1040"/>
      <c r="CY179" s="701"/>
      <c r="CZ179" s="1040"/>
      <c r="DA179" s="701"/>
      <c r="DB179" s="1040"/>
      <c r="DC179" s="701"/>
      <c r="DD179" s="1040"/>
      <c r="DE179" s="701"/>
      <c r="DF179" s="1166"/>
      <c r="DG179" s="701"/>
    </row>
    <row r="180" spans="1:111" ht="15.75" customHeight="1">
      <c r="A180" s="1435" t="s">
        <v>1364</v>
      </c>
      <c r="B180" s="1440"/>
      <c r="C180" s="1033">
        <f>Möblierungsschablone!$C$21</f>
        <v>7.17</v>
      </c>
      <c r="D180" s="1440"/>
      <c r="E180" s="1033">
        <f>Möblierungsschablone!$G$21</f>
        <v>10.8</v>
      </c>
      <c r="F180" s="1437"/>
      <c r="G180" s="1033">
        <f>Möblierungsschablone!$C$21</f>
        <v>7.17</v>
      </c>
      <c r="H180" s="1440"/>
      <c r="I180" s="1033">
        <f>2*Möblierungsschablone!$C$21</f>
        <v>14.34</v>
      </c>
      <c r="J180" s="1437"/>
      <c r="K180" s="1033">
        <f>3*Möblierungsschablone!$C$21</f>
        <v>21.509999999999998</v>
      </c>
      <c r="L180" s="1440"/>
      <c r="M180" s="1033">
        <f>4*Möblierungsschablone!$C$21</f>
        <v>28.68</v>
      </c>
      <c r="N180" s="1440"/>
      <c r="O180" s="1033">
        <f>5*Möblierungsschablone!$C$21</f>
        <v>35.85</v>
      </c>
      <c r="Q180" s="1435" t="s">
        <v>1364</v>
      </c>
      <c r="R180" s="1199" t="s">
        <v>2051</v>
      </c>
      <c r="S180" s="1033">
        <f>Möblierungsschablone!$C$21</f>
        <v>7.17</v>
      </c>
      <c r="T180" s="1200" t="s">
        <v>2046</v>
      </c>
      <c r="U180" s="1033">
        <f>Möblierungsschablone!$G$21</f>
        <v>10.8</v>
      </c>
      <c r="V180" s="1199" t="s">
        <v>2051</v>
      </c>
      <c r="W180" s="1033">
        <f>Möblierungsschablone!$C$21</f>
        <v>7.17</v>
      </c>
      <c r="X180" s="1199" t="s">
        <v>2050</v>
      </c>
      <c r="Y180" s="1033">
        <f>2*Möblierungsschablone!$C$21</f>
        <v>14.34</v>
      </c>
      <c r="Z180" s="1199" t="s">
        <v>2049</v>
      </c>
      <c r="AA180" s="1033">
        <f>3*Möblierungsschablone!$C$21</f>
        <v>21.509999999999998</v>
      </c>
      <c r="AB180" s="1199" t="s">
        <v>2048</v>
      </c>
      <c r="AC180" s="1033">
        <f>4*Möblierungsschablone!$C$21</f>
        <v>28.68</v>
      </c>
      <c r="AD180" s="1199" t="s">
        <v>2047</v>
      </c>
      <c r="AE180" s="1033">
        <f>5*Möblierungsschablone!$C$21</f>
        <v>35.85</v>
      </c>
      <c r="AG180" s="1435" t="s">
        <v>1364</v>
      </c>
      <c r="AH180" s="1199" t="s">
        <v>2051</v>
      </c>
      <c r="AI180" s="1033">
        <f>Möblierungsschablone!$C$21</f>
        <v>7.17</v>
      </c>
      <c r="AJ180" s="1200" t="s">
        <v>2046</v>
      </c>
      <c r="AK180" s="1033">
        <f>Möblierungsschablone!$G$21</f>
        <v>10.8</v>
      </c>
      <c r="AL180" s="1199" t="s">
        <v>2051</v>
      </c>
      <c r="AM180" s="1033">
        <f>Möblierungsschablone!$C$21</f>
        <v>7.17</v>
      </c>
      <c r="AN180" s="1199" t="s">
        <v>2050</v>
      </c>
      <c r="AO180" s="1033">
        <f>2*Möblierungsschablone!$C$21</f>
        <v>14.34</v>
      </c>
      <c r="AP180" s="1199" t="s">
        <v>2049</v>
      </c>
      <c r="AQ180" s="1033">
        <f>3*Möblierungsschablone!$C$21</f>
        <v>21.509999999999998</v>
      </c>
      <c r="AR180" s="1199" t="s">
        <v>2048</v>
      </c>
      <c r="AS180" s="1033">
        <f>4*Möblierungsschablone!$C$21</f>
        <v>28.68</v>
      </c>
      <c r="AT180" s="1199" t="s">
        <v>2047</v>
      </c>
      <c r="AU180" s="1033">
        <f>5*Möblierungsschablone!$C$21</f>
        <v>35.85</v>
      </c>
      <c r="AW180" s="1403" t="s">
        <v>1364</v>
      </c>
      <c r="AX180" s="1199" t="s">
        <v>2051</v>
      </c>
      <c r="AY180" s="1033">
        <f>Möblierungsschablone!$C$21</f>
        <v>7.17</v>
      </c>
      <c r="AZ180" s="1200" t="s">
        <v>2046</v>
      </c>
      <c r="BA180" s="1033">
        <f>Möblierungsschablone!$G$21</f>
        <v>10.8</v>
      </c>
      <c r="BB180" s="1199" t="s">
        <v>2051</v>
      </c>
      <c r="BC180" s="1033">
        <f>Möblierungsschablone!$C$21</f>
        <v>7.17</v>
      </c>
      <c r="BD180" s="1199" t="s">
        <v>2050</v>
      </c>
      <c r="BE180" s="1033">
        <f>2*Möblierungsschablone!$C$21</f>
        <v>14.34</v>
      </c>
      <c r="BF180" s="1199" t="s">
        <v>2049</v>
      </c>
      <c r="BG180" s="1033">
        <f>3*Möblierungsschablone!$C$21</f>
        <v>21.509999999999998</v>
      </c>
      <c r="BH180" s="1199" t="s">
        <v>2048</v>
      </c>
      <c r="BI180" s="1033">
        <f>4*Möblierungsschablone!$C$21</f>
        <v>28.68</v>
      </c>
      <c r="BJ180" s="1199" t="s">
        <v>2047</v>
      </c>
      <c r="BK180" s="1033">
        <f>5*Möblierungsschablone!$C$21</f>
        <v>35.85</v>
      </c>
      <c r="BM180" s="1435" t="s">
        <v>1364</v>
      </c>
      <c r="BN180" s="1199" t="s">
        <v>2051</v>
      </c>
      <c r="BO180" s="1033">
        <f>Möblierungsschablone!$C$21</f>
        <v>7.17</v>
      </c>
      <c r="BP180" s="1200" t="s">
        <v>2046</v>
      </c>
      <c r="BQ180" s="1033">
        <f>Möblierungsschablone!$G$21</f>
        <v>10.8</v>
      </c>
      <c r="BR180" s="1199" t="s">
        <v>2051</v>
      </c>
      <c r="BS180" s="1033">
        <f>Möblierungsschablone!$C$21</f>
        <v>7.17</v>
      </c>
      <c r="BT180" s="1199" t="s">
        <v>2050</v>
      </c>
      <c r="BU180" s="1033">
        <f>2*Möblierungsschablone!$C$21</f>
        <v>14.34</v>
      </c>
      <c r="BV180" s="1199" t="s">
        <v>2049</v>
      </c>
      <c r="BW180" s="1033">
        <f>3*Möblierungsschablone!$C$21</f>
        <v>21.509999999999998</v>
      </c>
      <c r="BX180" s="1199" t="s">
        <v>2048</v>
      </c>
      <c r="BY180" s="1033">
        <f>4*Möblierungsschablone!$C$21</f>
        <v>28.68</v>
      </c>
      <c r="BZ180" s="1199" t="s">
        <v>2047</v>
      </c>
      <c r="CA180" s="1033">
        <f>5*Möblierungsschablone!$C$21</f>
        <v>35.85</v>
      </c>
      <c r="CC180" s="1435" t="s">
        <v>1364</v>
      </c>
      <c r="CD180" s="1199" t="s">
        <v>2051</v>
      </c>
      <c r="CE180" s="1033">
        <f>Möblierungsschablone!$C$21</f>
        <v>7.17</v>
      </c>
      <c r="CF180" s="1200" t="s">
        <v>2046</v>
      </c>
      <c r="CG180" s="1033">
        <f>Möblierungsschablone!$G$21</f>
        <v>10.8</v>
      </c>
      <c r="CH180" s="1199" t="s">
        <v>2051</v>
      </c>
      <c r="CI180" s="1033">
        <f>Möblierungsschablone!$C$21</f>
        <v>7.17</v>
      </c>
      <c r="CJ180" s="1199" t="s">
        <v>2050</v>
      </c>
      <c r="CK180" s="1033">
        <f>2*Möblierungsschablone!$C$21</f>
        <v>14.34</v>
      </c>
      <c r="CL180" s="1199" t="s">
        <v>2049</v>
      </c>
      <c r="CM180" s="1033">
        <f>3*Möblierungsschablone!$C$21</f>
        <v>21.509999999999998</v>
      </c>
      <c r="CN180" s="1199" t="s">
        <v>2048</v>
      </c>
      <c r="CO180" s="1033">
        <f>4*Möblierungsschablone!$C$21</f>
        <v>28.68</v>
      </c>
      <c r="CP180" s="1199" t="s">
        <v>2047</v>
      </c>
      <c r="CQ180" s="1033">
        <f>5*Möblierungsschablone!$C$21</f>
        <v>35.85</v>
      </c>
      <c r="CS180" s="1154"/>
      <c r="CT180" s="1040"/>
      <c r="CU180" s="1039"/>
      <c r="CV180" s="1040"/>
      <c r="CW180" s="1039"/>
      <c r="CX180" s="1040"/>
      <c r="CY180" s="1039"/>
      <c r="CZ180" s="1040"/>
      <c r="DA180" s="1039"/>
      <c r="DB180" s="1040"/>
      <c r="DC180" s="1039"/>
      <c r="DD180" s="1040"/>
      <c r="DE180" s="1039"/>
      <c r="DF180" s="1040"/>
      <c r="DG180" s="1039"/>
    </row>
    <row r="181" spans="1:111" ht="15.75" customHeight="1">
      <c r="A181" s="1435"/>
      <c r="B181" s="1440"/>
      <c r="C181" s="1033"/>
      <c r="D181" s="1440"/>
      <c r="E181" s="1036"/>
      <c r="F181" s="1438"/>
      <c r="G181" s="1033">
        <f>Möblierungsschablone!$G$21</f>
        <v>10.8</v>
      </c>
      <c r="H181" s="1440"/>
      <c r="I181" s="1033">
        <f>Möblierungsschablone!$G$21</f>
        <v>10.8</v>
      </c>
      <c r="J181" s="1438"/>
      <c r="K181" s="1033">
        <f>Möblierungsschablone!$G$21</f>
        <v>10.8</v>
      </c>
      <c r="L181" s="1440"/>
      <c r="M181" s="1033">
        <f>Möblierungsschablone!$G$21</f>
        <v>10.8</v>
      </c>
      <c r="N181" s="1440"/>
      <c r="O181" s="1033">
        <f>Möblierungsschablone!$G$21</f>
        <v>10.8</v>
      </c>
      <c r="Q181" s="1435"/>
      <c r="R181" s="1200"/>
      <c r="S181" s="1033"/>
      <c r="T181" s="1200"/>
      <c r="U181" s="1036"/>
      <c r="V181" s="1200" t="s">
        <v>2046</v>
      </c>
      <c r="W181" s="1033">
        <f>Möblierungsschablone!$G$21</f>
        <v>10.8</v>
      </c>
      <c r="X181" s="1200" t="s">
        <v>2046</v>
      </c>
      <c r="Y181" s="1033">
        <f>Möblierungsschablone!$G$21</f>
        <v>10.8</v>
      </c>
      <c r="Z181" s="1200" t="s">
        <v>2046</v>
      </c>
      <c r="AA181" s="1033">
        <f>Möblierungsschablone!$G$21</f>
        <v>10.8</v>
      </c>
      <c r="AB181" s="1200" t="s">
        <v>2046</v>
      </c>
      <c r="AC181" s="1033">
        <f>Möblierungsschablone!$G$21</f>
        <v>10.8</v>
      </c>
      <c r="AD181" s="1200" t="s">
        <v>2046</v>
      </c>
      <c r="AE181" s="1033">
        <f>Möblierungsschablone!$G$21</f>
        <v>10.8</v>
      </c>
      <c r="AG181" s="1435"/>
      <c r="AH181" s="1200"/>
      <c r="AI181" s="1033"/>
      <c r="AJ181" s="1200"/>
      <c r="AK181" s="1036"/>
      <c r="AL181" s="1200" t="s">
        <v>2046</v>
      </c>
      <c r="AM181" s="1033">
        <f>Möblierungsschablone!$G$21</f>
        <v>10.8</v>
      </c>
      <c r="AN181" s="1200" t="s">
        <v>2046</v>
      </c>
      <c r="AO181" s="1033">
        <f>Möblierungsschablone!$G$21</f>
        <v>10.8</v>
      </c>
      <c r="AP181" s="1200" t="s">
        <v>2046</v>
      </c>
      <c r="AQ181" s="1033">
        <f>Möblierungsschablone!$G$21</f>
        <v>10.8</v>
      </c>
      <c r="AR181" s="1200" t="s">
        <v>2046</v>
      </c>
      <c r="AS181" s="1033">
        <f>Möblierungsschablone!$G$21</f>
        <v>10.8</v>
      </c>
      <c r="AT181" s="1200" t="s">
        <v>2046</v>
      </c>
      <c r="AU181" s="1033">
        <f>Möblierungsschablone!$G$21</f>
        <v>10.8</v>
      </c>
      <c r="AW181" s="1403"/>
      <c r="AX181" s="1200"/>
      <c r="AY181" s="1033"/>
      <c r="AZ181" s="1200"/>
      <c r="BA181" s="1036"/>
      <c r="BB181" s="1200" t="s">
        <v>2046</v>
      </c>
      <c r="BC181" s="1033">
        <f>Möblierungsschablone!$G$21</f>
        <v>10.8</v>
      </c>
      <c r="BD181" s="1200" t="s">
        <v>2046</v>
      </c>
      <c r="BE181" s="1033">
        <f>Möblierungsschablone!$G$21</f>
        <v>10.8</v>
      </c>
      <c r="BF181" s="1200" t="s">
        <v>2046</v>
      </c>
      <c r="BG181" s="1033">
        <f>Möblierungsschablone!$G$21</f>
        <v>10.8</v>
      </c>
      <c r="BH181" s="1200" t="s">
        <v>2046</v>
      </c>
      <c r="BI181" s="1033">
        <f>Möblierungsschablone!$G$21</f>
        <v>10.8</v>
      </c>
      <c r="BJ181" s="1200" t="s">
        <v>2046</v>
      </c>
      <c r="BK181" s="1033">
        <f>Möblierungsschablone!$G$21</f>
        <v>10.8</v>
      </c>
      <c r="BM181" s="1435"/>
      <c r="BN181" s="1200"/>
      <c r="BO181" s="1033"/>
      <c r="BP181" s="1200"/>
      <c r="BQ181" s="1036"/>
      <c r="BR181" s="1200" t="s">
        <v>2046</v>
      </c>
      <c r="BS181" s="1033">
        <f>Möblierungsschablone!$G$21</f>
        <v>10.8</v>
      </c>
      <c r="BT181" s="1200" t="s">
        <v>2046</v>
      </c>
      <c r="BU181" s="1033">
        <f>Möblierungsschablone!$G$21</f>
        <v>10.8</v>
      </c>
      <c r="BV181" s="1200" t="s">
        <v>2046</v>
      </c>
      <c r="BW181" s="1033">
        <f>Möblierungsschablone!$G$21</f>
        <v>10.8</v>
      </c>
      <c r="BX181" s="1200" t="s">
        <v>2046</v>
      </c>
      <c r="BY181" s="1033">
        <f>Möblierungsschablone!$G$21</f>
        <v>10.8</v>
      </c>
      <c r="BZ181" s="1200" t="s">
        <v>2046</v>
      </c>
      <c r="CA181" s="1033">
        <f>Möblierungsschablone!$G$21</f>
        <v>10.8</v>
      </c>
      <c r="CC181" s="1435"/>
      <c r="CD181" s="1200"/>
      <c r="CE181" s="1033"/>
      <c r="CF181" s="1200"/>
      <c r="CG181" s="1036"/>
      <c r="CH181" s="1200" t="s">
        <v>2046</v>
      </c>
      <c r="CI181" s="1033">
        <f>Möblierungsschablone!$G$21</f>
        <v>10.8</v>
      </c>
      <c r="CJ181" s="1200" t="s">
        <v>2046</v>
      </c>
      <c r="CK181" s="1033">
        <f>Möblierungsschablone!$G$21</f>
        <v>10.8</v>
      </c>
      <c r="CL181" s="1200" t="s">
        <v>2046</v>
      </c>
      <c r="CM181" s="1033">
        <f>Möblierungsschablone!$G$21</f>
        <v>10.8</v>
      </c>
      <c r="CN181" s="1200" t="s">
        <v>2046</v>
      </c>
      <c r="CO181" s="1033">
        <f>Möblierungsschablone!$G$21</f>
        <v>10.8</v>
      </c>
      <c r="CP181" s="1200" t="s">
        <v>2046</v>
      </c>
      <c r="CQ181" s="1033">
        <f>Möblierungsschablone!$G$21</f>
        <v>10.8</v>
      </c>
      <c r="CS181" s="1154"/>
      <c r="CT181" s="1040"/>
      <c r="CU181" s="1039"/>
      <c r="CV181" s="1040"/>
      <c r="CW181" s="1152"/>
      <c r="CX181" s="1040"/>
      <c r="CY181" s="1039"/>
      <c r="CZ181" s="1040"/>
      <c r="DA181" s="1039"/>
      <c r="DB181" s="1040"/>
      <c r="DC181" s="1039"/>
      <c r="DD181" s="1040"/>
      <c r="DE181" s="1039"/>
      <c r="DF181" s="1040"/>
      <c r="DG181" s="1039"/>
    </row>
    <row r="182" spans="1:111" ht="15.75" customHeight="1">
      <c r="A182" s="1436"/>
      <c r="B182" s="1404"/>
      <c r="C182" s="1033"/>
      <c r="D182" s="1404"/>
      <c r="E182" s="1036"/>
      <c r="F182" s="1438"/>
      <c r="G182" s="1033">
        <f>Möblierungsschablone!$C$26</f>
        <v>4.41</v>
      </c>
      <c r="H182" s="1404"/>
      <c r="I182" s="1033"/>
      <c r="J182" s="1438"/>
      <c r="K182" s="1033">
        <f>Möblierungsschablone!$E$26</f>
        <v>5.6999999999999993</v>
      </c>
      <c r="L182" s="1404"/>
      <c r="M182" s="1033"/>
      <c r="N182" s="1404"/>
      <c r="O182" s="1033"/>
      <c r="Q182" s="1436"/>
      <c r="R182" s="1200"/>
      <c r="S182" s="1033"/>
      <c r="T182" s="1200"/>
      <c r="U182" s="1036"/>
      <c r="V182" s="1200" t="s">
        <v>2045</v>
      </c>
      <c r="W182" s="1033">
        <f>Möblierungsschablone!$C$26</f>
        <v>4.41</v>
      </c>
      <c r="X182" s="1190"/>
      <c r="Y182" s="1036"/>
      <c r="Z182" s="1042" t="s">
        <v>2044</v>
      </c>
      <c r="AA182" s="1033">
        <f>Möblierungsschablone!$E$26</f>
        <v>5.6999999999999993</v>
      </c>
      <c r="AB182" s="1200"/>
      <c r="AC182" s="1033"/>
      <c r="AD182" s="1200"/>
      <c r="AE182" s="1033"/>
      <c r="AG182" s="1436"/>
      <c r="AH182" s="1200"/>
      <c r="AI182" s="1033"/>
      <c r="AJ182" s="1200"/>
      <c r="AK182" s="1036"/>
      <c r="AL182" s="1200" t="s">
        <v>2045</v>
      </c>
      <c r="AM182" s="1033">
        <f>Möblierungsschablone!$C$26</f>
        <v>4.41</v>
      </c>
      <c r="AN182" s="1200"/>
      <c r="AO182" s="1036"/>
      <c r="AP182" s="1200" t="s">
        <v>2044</v>
      </c>
      <c r="AQ182" s="1033">
        <f>Möblierungsschablone!$E$26</f>
        <v>5.6999999999999993</v>
      </c>
      <c r="AR182" s="1200"/>
      <c r="AS182" s="1033"/>
      <c r="AT182" s="1200"/>
      <c r="AU182" s="1033"/>
      <c r="AW182" s="1404"/>
      <c r="AX182" s="1200"/>
      <c r="AY182" s="1033"/>
      <c r="AZ182" s="1200"/>
      <c r="BA182" s="1036"/>
      <c r="BB182" s="1200" t="s">
        <v>2045</v>
      </c>
      <c r="BC182" s="1033">
        <f>Möblierungsschablone!$C$26</f>
        <v>4.41</v>
      </c>
      <c r="BD182" s="1200"/>
      <c r="BE182" s="1036"/>
      <c r="BF182" s="1200" t="s">
        <v>2044</v>
      </c>
      <c r="BG182" s="1033">
        <f>Möblierungsschablone!$E$26</f>
        <v>5.6999999999999993</v>
      </c>
      <c r="BH182" s="1200"/>
      <c r="BI182" s="1033"/>
      <c r="BJ182" s="1200" t="s">
        <v>2043</v>
      </c>
      <c r="BK182" s="1033">
        <f>Möblierungsschablone!$G$31</f>
        <v>11.129999999999999</v>
      </c>
      <c r="BM182" s="1436"/>
      <c r="BN182" s="1200"/>
      <c r="BO182" s="1033"/>
      <c r="BP182" s="1200"/>
      <c r="BQ182" s="1036"/>
      <c r="BR182" s="1200" t="s">
        <v>2045</v>
      </c>
      <c r="BS182" s="1033">
        <f>Möblierungsschablone!$C$26</f>
        <v>4.41</v>
      </c>
      <c r="BT182" s="1200"/>
      <c r="BU182" s="1036"/>
      <c r="BV182" s="1200" t="s">
        <v>2044</v>
      </c>
      <c r="BW182" s="1033">
        <f>Möblierungsschablone!$E$26</f>
        <v>5.6999999999999993</v>
      </c>
      <c r="BX182" s="1200"/>
      <c r="BY182" s="1033"/>
      <c r="BZ182" s="1200" t="s">
        <v>2043</v>
      </c>
      <c r="CA182" s="1033">
        <f>Möblierungsschablone!$G$31</f>
        <v>11.129999999999999</v>
      </c>
      <c r="CC182" s="1436"/>
      <c r="CD182" s="1200"/>
      <c r="CE182" s="1033"/>
      <c r="CF182" s="1200"/>
      <c r="CG182" s="1036"/>
      <c r="CH182" s="1200" t="s">
        <v>2045</v>
      </c>
      <c r="CI182" s="1033">
        <f>Möblierungsschablone!$C$26</f>
        <v>4.41</v>
      </c>
      <c r="CJ182" s="1200" t="s">
        <v>2044</v>
      </c>
      <c r="CK182" s="1033">
        <f>Möblierungsschablone!$E$26</f>
        <v>5.6999999999999993</v>
      </c>
      <c r="CL182" s="1200" t="s">
        <v>2044</v>
      </c>
      <c r="CM182" s="1033">
        <f>Möblierungsschablone!$E$26</f>
        <v>5.6999999999999993</v>
      </c>
      <c r="CN182" s="1200"/>
      <c r="CO182" s="1033"/>
      <c r="CP182" s="1200" t="s">
        <v>2043</v>
      </c>
      <c r="CQ182" s="1033">
        <f>Möblierungsschablone!$G$31</f>
        <v>11.129999999999999</v>
      </c>
      <c r="CS182" s="701"/>
      <c r="CT182" s="1040"/>
      <c r="CU182" s="1039"/>
      <c r="CV182" s="1040"/>
      <c r="CW182" s="1152"/>
      <c r="CX182" s="701"/>
      <c r="CY182" s="1152"/>
      <c r="CZ182" s="701"/>
      <c r="DA182" s="1152"/>
      <c r="DB182" s="701"/>
      <c r="DC182" s="1039"/>
      <c r="DD182" s="701"/>
      <c r="DE182" s="1039"/>
      <c r="DF182" s="701"/>
      <c r="DG182" s="1039"/>
    </row>
    <row r="183" spans="1:111" ht="15.75" customHeight="1">
      <c r="A183" s="1436"/>
      <c r="B183" s="1404"/>
      <c r="C183" s="1034">
        <f>SUM(C180:C182)</f>
        <v>7.17</v>
      </c>
      <c r="D183" s="1404"/>
      <c r="E183" s="1034">
        <f>SUM(E180:E182)</f>
        <v>10.8</v>
      </c>
      <c r="F183" s="1438"/>
      <c r="G183" s="1034">
        <f>SUM(G180:G182)</f>
        <v>22.38</v>
      </c>
      <c r="H183" s="1404"/>
      <c r="I183" s="1034">
        <f>SUM(I180:I182)</f>
        <v>25.14</v>
      </c>
      <c r="J183" s="1438"/>
      <c r="K183" s="1034">
        <f>SUM(K180:K182)</f>
        <v>38.010000000000005</v>
      </c>
      <c r="L183" s="1404"/>
      <c r="M183" s="1034">
        <f>SUM(M180:M182)</f>
        <v>39.480000000000004</v>
      </c>
      <c r="N183" s="1404"/>
      <c r="O183" s="1034">
        <f>SUM(O180:O182)</f>
        <v>46.650000000000006</v>
      </c>
      <c r="Q183" s="1436"/>
      <c r="R183" s="1201" t="s">
        <v>2036</v>
      </c>
      <c r="S183" s="1034">
        <f>SUM(S180:S182)</f>
        <v>7.17</v>
      </c>
      <c r="T183" s="1201" t="s">
        <v>2036</v>
      </c>
      <c r="U183" s="1034">
        <f>SUM(U180:U182)</f>
        <v>10.8</v>
      </c>
      <c r="V183" s="1201" t="s">
        <v>2036</v>
      </c>
      <c r="W183" s="1034">
        <f>SUM(W180:W182)</f>
        <v>22.38</v>
      </c>
      <c r="X183" s="1201" t="s">
        <v>2036</v>
      </c>
      <c r="Y183" s="1034">
        <f>SUM(Y180:Y182)</f>
        <v>25.14</v>
      </c>
      <c r="Z183" s="1201" t="s">
        <v>2036</v>
      </c>
      <c r="AA183" s="1034">
        <f>SUM(AA180:AA182)</f>
        <v>38.010000000000005</v>
      </c>
      <c r="AB183" s="1201" t="s">
        <v>2036</v>
      </c>
      <c r="AC183" s="1034">
        <f>SUM(AC180:AC182)</f>
        <v>39.480000000000004</v>
      </c>
      <c r="AD183" s="1201" t="s">
        <v>2036</v>
      </c>
      <c r="AE183" s="1034">
        <f>SUM(AE180:AE182)</f>
        <v>46.650000000000006</v>
      </c>
      <c r="AG183" s="1436"/>
      <c r="AH183" s="1201" t="s">
        <v>2036</v>
      </c>
      <c r="AI183" s="1034">
        <f>SUM(AI180:AI182)</f>
        <v>7.17</v>
      </c>
      <c r="AJ183" s="1201" t="s">
        <v>2036</v>
      </c>
      <c r="AK183" s="1034">
        <f>SUM(AK180:AK182)</f>
        <v>10.8</v>
      </c>
      <c r="AL183" s="1201" t="s">
        <v>2036</v>
      </c>
      <c r="AM183" s="1034">
        <f>SUM(AM180:AM182)</f>
        <v>22.38</v>
      </c>
      <c r="AN183" s="1201" t="s">
        <v>2036</v>
      </c>
      <c r="AO183" s="1034">
        <f>SUM(AO180:AO182)</f>
        <v>25.14</v>
      </c>
      <c r="AP183" s="1201" t="s">
        <v>2036</v>
      </c>
      <c r="AQ183" s="1034">
        <f>SUM(AQ180:AQ182)</f>
        <v>38.010000000000005</v>
      </c>
      <c r="AR183" s="1201" t="s">
        <v>2036</v>
      </c>
      <c r="AS183" s="1034">
        <f>SUM(AS180:AS182)</f>
        <v>39.480000000000004</v>
      </c>
      <c r="AT183" s="1201" t="s">
        <v>2036</v>
      </c>
      <c r="AU183" s="1034">
        <f>SUM(AU180:AU182)</f>
        <v>46.650000000000006</v>
      </c>
      <c r="AW183" s="1404"/>
      <c r="AX183" s="1201" t="s">
        <v>2036</v>
      </c>
      <c r="AY183" s="1034">
        <f>SUM(AY180:AY182)</f>
        <v>7.17</v>
      </c>
      <c r="AZ183" s="1201" t="s">
        <v>2036</v>
      </c>
      <c r="BA183" s="1034">
        <f>SUM(BA180:BA182)</f>
        <v>10.8</v>
      </c>
      <c r="BB183" s="1201" t="s">
        <v>2036</v>
      </c>
      <c r="BC183" s="1034">
        <f>SUM(BC180:BC182)</f>
        <v>22.38</v>
      </c>
      <c r="BD183" s="1201" t="s">
        <v>2036</v>
      </c>
      <c r="BE183" s="1034">
        <f>SUM(BE180:BE182)</f>
        <v>25.14</v>
      </c>
      <c r="BF183" s="1201" t="s">
        <v>2036</v>
      </c>
      <c r="BG183" s="1034">
        <f>SUM(BG180:BG182)</f>
        <v>38.010000000000005</v>
      </c>
      <c r="BH183" s="1201" t="s">
        <v>2036</v>
      </c>
      <c r="BI183" s="1034">
        <f>SUM(BI180:BI182)</f>
        <v>39.480000000000004</v>
      </c>
      <c r="BJ183" s="1201" t="s">
        <v>2036</v>
      </c>
      <c r="BK183" s="1034">
        <f>SUM(BK180:BK182)</f>
        <v>57.78</v>
      </c>
      <c r="BM183" s="1436"/>
      <c r="BN183" s="1201" t="s">
        <v>2036</v>
      </c>
      <c r="BO183" s="1034">
        <f>SUM(BO180:BO182)</f>
        <v>7.17</v>
      </c>
      <c r="BP183" s="1201" t="s">
        <v>2036</v>
      </c>
      <c r="BQ183" s="1034">
        <f>SUM(BQ180:BQ182)</f>
        <v>10.8</v>
      </c>
      <c r="BR183" s="1201" t="s">
        <v>2036</v>
      </c>
      <c r="BS183" s="1034">
        <f>SUM(BS180:BS182)</f>
        <v>22.38</v>
      </c>
      <c r="BT183" s="1201" t="s">
        <v>2036</v>
      </c>
      <c r="BU183" s="1034">
        <f>SUM(BU180:BU182)</f>
        <v>25.14</v>
      </c>
      <c r="BV183" s="1201" t="s">
        <v>2036</v>
      </c>
      <c r="BW183" s="1034">
        <f>SUM(BW180:BW182)</f>
        <v>38.010000000000005</v>
      </c>
      <c r="BX183" s="1201" t="s">
        <v>2036</v>
      </c>
      <c r="BY183" s="1034">
        <f>SUM(BY180:BY182)</f>
        <v>39.480000000000004</v>
      </c>
      <c r="BZ183" s="1201" t="s">
        <v>2036</v>
      </c>
      <c r="CA183" s="1034">
        <f>SUM(CA180:CA182)</f>
        <v>57.78</v>
      </c>
      <c r="CC183" s="1436"/>
      <c r="CD183" s="1201" t="s">
        <v>2036</v>
      </c>
      <c r="CE183" s="1034">
        <f>SUM(CE180:CE182)</f>
        <v>7.17</v>
      </c>
      <c r="CF183" s="1201" t="s">
        <v>2036</v>
      </c>
      <c r="CG183" s="1034">
        <f>SUM(CG180:CG182)</f>
        <v>10.8</v>
      </c>
      <c r="CH183" s="1201" t="s">
        <v>2036</v>
      </c>
      <c r="CI183" s="1034">
        <f>SUM(CI180:CI182)</f>
        <v>22.38</v>
      </c>
      <c r="CJ183" s="1201" t="s">
        <v>2036</v>
      </c>
      <c r="CK183" s="1034">
        <f>SUM(CK180:CK182)</f>
        <v>30.84</v>
      </c>
      <c r="CL183" s="1201" t="s">
        <v>2036</v>
      </c>
      <c r="CM183" s="1034">
        <f>SUM(CM180:CM182)</f>
        <v>38.010000000000005</v>
      </c>
      <c r="CN183" s="1201" t="s">
        <v>2036</v>
      </c>
      <c r="CO183" s="1034">
        <f>SUM(CO180:CO182)</f>
        <v>39.480000000000004</v>
      </c>
      <c r="CP183" s="1201" t="s">
        <v>2036</v>
      </c>
      <c r="CQ183" s="1034">
        <f>SUM(CQ180:CQ182)</f>
        <v>57.78</v>
      </c>
      <c r="CS183" s="701"/>
      <c r="CT183" s="1040"/>
      <c r="CU183" s="1193"/>
      <c r="CV183" s="1040"/>
      <c r="CW183" s="1193"/>
      <c r="CX183" s="701"/>
      <c r="CY183" s="1193"/>
      <c r="CZ183" s="701"/>
      <c r="DA183" s="1193"/>
      <c r="DB183" s="701"/>
      <c r="DC183" s="1193"/>
      <c r="DD183" s="701"/>
      <c r="DE183" s="1193"/>
      <c r="DF183" s="701"/>
      <c r="DG183" s="1193"/>
    </row>
    <row r="184" spans="1:111" ht="15.75" customHeight="1">
      <c r="A184" s="1436"/>
      <c r="B184" s="1404"/>
      <c r="C184" s="1032">
        <v>1</v>
      </c>
      <c r="D184" s="1404"/>
      <c r="E184" s="1032">
        <v>1</v>
      </c>
      <c r="F184" s="1438"/>
      <c r="G184" s="1032">
        <v>2</v>
      </c>
      <c r="H184" s="1404"/>
      <c r="I184" s="1032">
        <v>2</v>
      </c>
      <c r="J184" s="1438"/>
      <c r="K184" s="1032">
        <v>3</v>
      </c>
      <c r="L184" s="1404"/>
      <c r="M184" s="1032">
        <v>3</v>
      </c>
      <c r="N184" s="1404"/>
      <c r="O184" s="1032">
        <v>4</v>
      </c>
      <c r="Q184" s="1436"/>
      <c r="R184" s="1200" t="s">
        <v>1247</v>
      </c>
      <c r="S184" s="1032">
        <v>1</v>
      </c>
      <c r="T184" s="1200" t="s">
        <v>1247</v>
      </c>
      <c r="U184" s="1032">
        <v>1</v>
      </c>
      <c r="V184" s="1200" t="s">
        <v>1247</v>
      </c>
      <c r="W184" s="1032">
        <v>2</v>
      </c>
      <c r="X184" s="1200" t="s">
        <v>1247</v>
      </c>
      <c r="Y184" s="1032">
        <v>2</v>
      </c>
      <c r="Z184" s="1200" t="s">
        <v>1247</v>
      </c>
      <c r="AA184" s="1032">
        <v>3</v>
      </c>
      <c r="AB184" s="1200" t="s">
        <v>1247</v>
      </c>
      <c r="AC184" s="1032">
        <v>3</v>
      </c>
      <c r="AD184" s="1200" t="s">
        <v>1247</v>
      </c>
      <c r="AE184" s="1032">
        <v>4</v>
      </c>
      <c r="AG184" s="1436"/>
      <c r="AH184" s="1200" t="s">
        <v>1247</v>
      </c>
      <c r="AI184" s="1032">
        <v>1</v>
      </c>
      <c r="AJ184" s="1200" t="s">
        <v>1247</v>
      </c>
      <c r="AK184" s="1032">
        <v>1</v>
      </c>
      <c r="AL184" s="1200" t="s">
        <v>1247</v>
      </c>
      <c r="AM184" s="1032">
        <v>2</v>
      </c>
      <c r="AN184" s="1200" t="s">
        <v>1247</v>
      </c>
      <c r="AO184" s="1032">
        <v>2</v>
      </c>
      <c r="AP184" s="1200" t="s">
        <v>1247</v>
      </c>
      <c r="AQ184" s="1032">
        <v>3</v>
      </c>
      <c r="AR184" s="1200" t="s">
        <v>1247</v>
      </c>
      <c r="AS184" s="1032">
        <v>3</v>
      </c>
      <c r="AT184" s="1200" t="s">
        <v>1247</v>
      </c>
      <c r="AU184" s="1032">
        <v>4</v>
      </c>
      <c r="AW184" s="1404"/>
      <c r="AX184" s="1200" t="s">
        <v>1247</v>
      </c>
      <c r="AY184" s="1032">
        <v>1</v>
      </c>
      <c r="AZ184" s="1200" t="s">
        <v>1247</v>
      </c>
      <c r="BA184" s="1032">
        <v>1</v>
      </c>
      <c r="BB184" s="1200" t="s">
        <v>1247</v>
      </c>
      <c r="BC184" s="1032">
        <v>2</v>
      </c>
      <c r="BD184" s="1200" t="s">
        <v>1247</v>
      </c>
      <c r="BE184" s="1032">
        <v>2</v>
      </c>
      <c r="BF184" s="1200" t="s">
        <v>1247</v>
      </c>
      <c r="BG184" s="1032">
        <v>3</v>
      </c>
      <c r="BH184" s="1200" t="s">
        <v>1247</v>
      </c>
      <c r="BI184" s="1032">
        <v>3</v>
      </c>
      <c r="BJ184" s="1200" t="s">
        <v>1247</v>
      </c>
      <c r="BK184" s="1032">
        <v>4</v>
      </c>
      <c r="BM184" s="1436"/>
      <c r="BN184" s="1200" t="s">
        <v>1247</v>
      </c>
      <c r="BO184" s="1032">
        <v>1</v>
      </c>
      <c r="BP184" s="1200" t="s">
        <v>1247</v>
      </c>
      <c r="BQ184" s="1032">
        <v>1</v>
      </c>
      <c r="BR184" s="1200" t="s">
        <v>1247</v>
      </c>
      <c r="BS184" s="1032">
        <v>2</v>
      </c>
      <c r="BT184" s="1200" t="s">
        <v>1247</v>
      </c>
      <c r="BU184" s="1032">
        <v>2</v>
      </c>
      <c r="BV184" s="1200" t="s">
        <v>1247</v>
      </c>
      <c r="BW184" s="1032">
        <v>3</v>
      </c>
      <c r="BX184" s="1200" t="s">
        <v>1247</v>
      </c>
      <c r="BY184" s="1032">
        <v>3</v>
      </c>
      <c r="BZ184" s="1200" t="s">
        <v>1247</v>
      </c>
      <c r="CA184" s="1032">
        <v>4</v>
      </c>
      <c r="CC184" s="1436"/>
      <c r="CD184" s="1200" t="s">
        <v>1247</v>
      </c>
      <c r="CE184" s="1032">
        <v>1</v>
      </c>
      <c r="CF184" s="1200" t="s">
        <v>1247</v>
      </c>
      <c r="CG184" s="1032">
        <v>1</v>
      </c>
      <c r="CH184" s="1200" t="s">
        <v>1247</v>
      </c>
      <c r="CI184" s="1032">
        <v>2</v>
      </c>
      <c r="CJ184" s="1200" t="s">
        <v>1247</v>
      </c>
      <c r="CK184" s="1032">
        <v>2</v>
      </c>
      <c r="CL184" s="1200" t="s">
        <v>1247</v>
      </c>
      <c r="CM184" s="1032">
        <v>3</v>
      </c>
      <c r="CN184" s="1200" t="s">
        <v>1247</v>
      </c>
      <c r="CO184" s="1032">
        <v>3</v>
      </c>
      <c r="CP184" s="1200" t="s">
        <v>1247</v>
      </c>
      <c r="CQ184" s="1032">
        <v>4</v>
      </c>
      <c r="CS184" s="701"/>
      <c r="CT184" s="1040"/>
      <c r="CU184" s="763"/>
      <c r="CV184" s="1040"/>
      <c r="CW184" s="763"/>
      <c r="CX184" s="701"/>
      <c r="CY184" s="763"/>
      <c r="CZ184" s="701"/>
      <c r="DA184" s="763"/>
      <c r="DB184" s="701"/>
      <c r="DC184" s="763"/>
      <c r="DD184" s="701"/>
      <c r="DE184" s="763"/>
      <c r="DF184" s="701"/>
      <c r="DG184" s="763"/>
    </row>
    <row r="185" spans="1:111" ht="124" customHeight="1">
      <c r="A185" s="1436"/>
      <c r="B185" s="1404"/>
      <c r="C185" s="1030">
        <f>C183/(C184*C178)</f>
        <v>0.49653739612188369</v>
      </c>
      <c r="D185" s="1404"/>
      <c r="E185" s="1030">
        <f>E183/(E184*C178)</f>
        <v>0.74792243767313027</v>
      </c>
      <c r="F185" s="1438"/>
      <c r="G185" s="1426">
        <f>G183/(G184*C178)</f>
        <v>0.77493074792243766</v>
      </c>
      <c r="H185" s="1404"/>
      <c r="I185" s="1030">
        <f>I183/(I184*C178)</f>
        <v>0.87049861495844882</v>
      </c>
      <c r="J185" s="1438"/>
      <c r="K185" s="1426">
        <f>K183/(K184*C178)</f>
        <v>0.87742382271468156</v>
      </c>
      <c r="L185" s="1404"/>
      <c r="M185" s="1030">
        <f>M183/(M184*C178)</f>
        <v>0.91135734072022168</v>
      </c>
      <c r="N185" s="1404"/>
      <c r="O185" s="1030">
        <f>O183/(O184*C178)</f>
        <v>0.80765235457063722</v>
      </c>
      <c r="Q185" s="1436"/>
      <c r="R185" s="1202"/>
      <c r="S185" s="1030">
        <f>S183/(S184*S178)</f>
        <v>0.43880048959608325</v>
      </c>
      <c r="T185" s="1202"/>
      <c r="U185" s="1030">
        <f>U183/(U184*S178)</f>
        <v>0.66095471236230119</v>
      </c>
      <c r="V185" s="1433"/>
      <c r="W185" s="1426">
        <f>W183/(W184*S178)</f>
        <v>0.68482252141982858</v>
      </c>
      <c r="X185" s="1202"/>
      <c r="Y185" s="1030">
        <f>Y183/(Y184*S178)</f>
        <v>0.76927784577723379</v>
      </c>
      <c r="Z185" s="1433"/>
      <c r="AA185" s="1426">
        <f>AA183/(AA184*S178)</f>
        <v>0.77539779681762566</v>
      </c>
      <c r="AB185" s="1202"/>
      <c r="AC185" s="1030">
        <f>AC183/(AC184*S178)</f>
        <v>0.80538555691554481</v>
      </c>
      <c r="AD185" s="1202"/>
      <c r="AE185" s="1030">
        <f>AE183/(AE184*S178)</f>
        <v>0.71373929008567938</v>
      </c>
      <c r="AG185" s="1436"/>
      <c r="AH185" s="1202"/>
      <c r="AI185" s="1030">
        <f>AI183/(AI184*AI178)</f>
        <v>0.39309210526315791</v>
      </c>
      <c r="AJ185" s="1202"/>
      <c r="AK185" s="1030">
        <f>AK183/(AK184*AI178)</f>
        <v>0.5921052631578948</v>
      </c>
      <c r="AL185" s="1433"/>
      <c r="AM185" s="1426">
        <f>AM183/(AM184*AI178)</f>
        <v>0.61348684210526316</v>
      </c>
      <c r="AN185" s="1202"/>
      <c r="AO185" s="1030">
        <f>AO183/(AO184*AI178)</f>
        <v>0.68914473684210531</v>
      </c>
      <c r="AP185" s="1433"/>
      <c r="AQ185" s="1426">
        <f>AQ183/(AQ184*AI178)</f>
        <v>0.69462719298245623</v>
      </c>
      <c r="AR185" s="1202"/>
      <c r="AS185" s="1030">
        <f>AS183/(AS184*AI178)</f>
        <v>0.72149122807017552</v>
      </c>
      <c r="AT185" s="1212"/>
      <c r="AU185" s="1030">
        <f>AU183/(AU184*AI178)</f>
        <v>0.63939144736842124</v>
      </c>
      <c r="AW185" s="1404"/>
      <c r="AX185" s="1202"/>
      <c r="AY185" s="1030">
        <f>AY183/(AY184*AY178)</f>
        <v>0.36996904024767802</v>
      </c>
      <c r="AZ185" s="1202"/>
      <c r="BA185" s="1030">
        <f>BA183/(BA184*AY178)</f>
        <v>0.55727554179566574</v>
      </c>
      <c r="BB185" s="1433"/>
      <c r="BC185" s="1426">
        <f>BC183/(BC184*AY178)</f>
        <v>0.57739938080495357</v>
      </c>
      <c r="BD185" s="1202"/>
      <c r="BE185" s="1030">
        <f>BE183/(BE184*AY178)</f>
        <v>0.64860681114551089</v>
      </c>
      <c r="BF185" s="1433"/>
      <c r="BG185" s="1426">
        <f>BG183/(BG184*AY178)</f>
        <v>0.65376676986584115</v>
      </c>
      <c r="BH185" s="1202"/>
      <c r="BI185" s="1030">
        <f>BI183/(BI184*AY178)</f>
        <v>0.67905056759545934</v>
      </c>
      <c r="BJ185" s="1433"/>
      <c r="BK185" s="1426">
        <f>BK183/(BK184*AY178)</f>
        <v>0.74535603715170284</v>
      </c>
      <c r="BM185" s="1436"/>
      <c r="BN185" s="1202"/>
      <c r="BO185" s="1030">
        <f>BO183/(BO184*BO178)</f>
        <v>0.34306220095693785</v>
      </c>
      <c r="BP185" s="1202"/>
      <c r="BQ185" s="1030">
        <f>BQ183/(BQ184*BO178)</f>
        <v>0.51674641148325362</v>
      </c>
      <c r="BR185" s="1433"/>
      <c r="BS185" s="1426">
        <f>BS183/(BS184*BO178)</f>
        <v>0.53540669856459333</v>
      </c>
      <c r="BT185" s="1202"/>
      <c r="BU185" s="1030">
        <f>BU183/(BU184*BO178)</f>
        <v>0.60143540669856466</v>
      </c>
      <c r="BV185" s="1433"/>
      <c r="BW185" s="1426">
        <f>BW183/(BW184*BO178)</f>
        <v>0.60622009569377999</v>
      </c>
      <c r="BX185" s="1202"/>
      <c r="BY185" s="1030">
        <f>BY183/(BY184*BO178)</f>
        <v>0.62966507177033504</v>
      </c>
      <c r="BZ185" s="1433"/>
      <c r="CA185" s="1426">
        <f>CA183/(CA184*BO178)</f>
        <v>0.69114832535885173</v>
      </c>
      <c r="CC185" s="1436"/>
      <c r="CD185" s="1202"/>
      <c r="CE185" s="1030">
        <f>CE183/(CE184*CE178)</f>
        <v>0.32531760435571688</v>
      </c>
      <c r="CF185" s="1202"/>
      <c r="CG185" s="1030">
        <f>CG183/(CG184*CE178)</f>
        <v>0.49001814882032674</v>
      </c>
      <c r="CH185" s="1433"/>
      <c r="CI185" s="1426">
        <f>CI183/(CI184*CE178)</f>
        <v>0.50771324863883849</v>
      </c>
      <c r="CJ185" s="1433"/>
      <c r="CK185" s="1426">
        <f>CK183/(CK184*CE178)</f>
        <v>0.69963702359346647</v>
      </c>
      <c r="CL185" s="1433"/>
      <c r="CM185" s="1426">
        <f>CM183/(CM184*CE178)</f>
        <v>0.57486388384754994</v>
      </c>
      <c r="CN185" s="1202"/>
      <c r="CO185" s="1030">
        <f>CO183/(CO184*CE178)</f>
        <v>0.5970961887477314</v>
      </c>
      <c r="CP185" s="1433"/>
      <c r="CQ185" s="1426">
        <f>CQ183/(CQ184*CE178)</f>
        <v>0.65539927404718701</v>
      </c>
      <c r="CS185" s="701"/>
      <c r="CT185" s="1040"/>
      <c r="CU185" s="1146"/>
      <c r="CV185" s="1040"/>
      <c r="CW185" s="1146"/>
      <c r="CX185" s="701"/>
      <c r="CY185" s="1146"/>
      <c r="CZ185" s="701"/>
      <c r="DA185" s="1146"/>
      <c r="DB185" s="701"/>
      <c r="DC185" s="1146"/>
      <c r="DD185" s="701"/>
      <c r="DE185" s="1146"/>
      <c r="DF185" s="701"/>
      <c r="DG185" s="1146"/>
    </row>
    <row r="186" spans="1:111" ht="15.75" customHeight="1">
      <c r="A186" s="1435" t="s">
        <v>1365</v>
      </c>
      <c r="B186" s="1404"/>
      <c r="C186" s="1036"/>
      <c r="D186" s="1404"/>
      <c r="E186" s="1036"/>
      <c r="F186" s="1438"/>
      <c r="G186" s="1427"/>
      <c r="H186" s="1404"/>
      <c r="I186" s="1033">
        <f>Möblierungsschablone!$E$26</f>
        <v>5.6999999999999993</v>
      </c>
      <c r="J186" s="1438"/>
      <c r="K186" s="1427"/>
      <c r="L186" s="1404"/>
      <c r="M186" s="1033">
        <f>Möblierungsschablone!$G$31</f>
        <v>11.129999999999999</v>
      </c>
      <c r="N186" s="1404"/>
      <c r="O186" s="1033">
        <f>Möblierungsschablone!$G$31</f>
        <v>11.129999999999999</v>
      </c>
      <c r="Q186" s="1435" t="s">
        <v>1365</v>
      </c>
      <c r="R186" s="1404"/>
      <c r="S186" s="1036"/>
      <c r="T186" s="1404"/>
      <c r="U186" s="1036"/>
      <c r="V186" s="1433"/>
      <c r="W186" s="1427"/>
      <c r="X186" s="1199" t="s">
        <v>2044</v>
      </c>
      <c r="Y186" s="1033">
        <f>Möblierungsschablone!$E$26</f>
        <v>5.6999999999999993</v>
      </c>
      <c r="Z186" s="1433"/>
      <c r="AA186" s="1427"/>
      <c r="AB186" s="1199" t="s">
        <v>2043</v>
      </c>
      <c r="AC186" s="1033">
        <f>Möblierungsschablone!$G$31</f>
        <v>11.129999999999999</v>
      </c>
      <c r="AD186" s="1199" t="s">
        <v>2043</v>
      </c>
      <c r="AE186" s="1033">
        <f>Möblierungsschablone!$G$31</f>
        <v>11.129999999999999</v>
      </c>
      <c r="AG186" s="1435" t="s">
        <v>1365</v>
      </c>
      <c r="AH186" s="1404"/>
      <c r="AI186" s="1036"/>
      <c r="AJ186" s="1404"/>
      <c r="AK186" s="1036"/>
      <c r="AL186" s="1433"/>
      <c r="AM186" s="1427"/>
      <c r="AN186" s="1199" t="s">
        <v>2044</v>
      </c>
      <c r="AO186" s="1033">
        <f>Möblierungsschablone!$E$26</f>
        <v>5.6999999999999993</v>
      </c>
      <c r="AP186" s="1433"/>
      <c r="AQ186" s="1427"/>
      <c r="AR186" s="1199" t="s">
        <v>2043</v>
      </c>
      <c r="AS186" s="1033">
        <f>Möblierungsschablone!$G$31</f>
        <v>11.129999999999999</v>
      </c>
      <c r="AT186" s="1199" t="s">
        <v>2043</v>
      </c>
      <c r="AU186" s="1033">
        <f>Möblierungsschablone!$G$31</f>
        <v>11.129999999999999</v>
      </c>
      <c r="AW186" s="1403" t="s">
        <v>1365</v>
      </c>
      <c r="AX186" s="1404"/>
      <c r="AY186" s="1036"/>
      <c r="AZ186" s="1404"/>
      <c r="BA186" s="1036"/>
      <c r="BB186" s="1433"/>
      <c r="BC186" s="1427"/>
      <c r="BD186" s="1199" t="s">
        <v>2044</v>
      </c>
      <c r="BE186" s="1033">
        <f>Möblierungsschablone!$E$26</f>
        <v>5.6999999999999993</v>
      </c>
      <c r="BF186" s="1433"/>
      <c r="BG186" s="1427"/>
      <c r="BH186" s="1199" t="s">
        <v>2043</v>
      </c>
      <c r="BI186" s="1033">
        <f>Möblierungsschablone!$G$31</f>
        <v>11.129999999999999</v>
      </c>
      <c r="BJ186" s="1433"/>
      <c r="BK186" s="1427"/>
      <c r="BM186" s="1435" t="s">
        <v>1365</v>
      </c>
      <c r="BN186" s="1404"/>
      <c r="BO186" s="1036"/>
      <c r="BP186" s="1404"/>
      <c r="BQ186" s="1036"/>
      <c r="BR186" s="1433"/>
      <c r="BS186" s="1427"/>
      <c r="BT186" s="1199" t="s">
        <v>2044</v>
      </c>
      <c r="BU186" s="1033">
        <f>Möblierungsschablone!$E$26</f>
        <v>5.6999999999999993</v>
      </c>
      <c r="BV186" s="1433"/>
      <c r="BW186" s="1427"/>
      <c r="BX186" s="1199" t="s">
        <v>2043</v>
      </c>
      <c r="BY186" s="1033">
        <f>Möblierungsschablone!$G$31</f>
        <v>11.129999999999999</v>
      </c>
      <c r="BZ186" s="1433"/>
      <c r="CA186" s="1427"/>
      <c r="CC186" s="1435" t="s">
        <v>1365</v>
      </c>
      <c r="CD186" s="1404"/>
      <c r="CE186" s="1036"/>
      <c r="CF186" s="1404"/>
      <c r="CG186" s="1036"/>
      <c r="CH186" s="1433"/>
      <c r="CI186" s="1427"/>
      <c r="CJ186" s="1433"/>
      <c r="CK186" s="1427"/>
      <c r="CL186" s="1433"/>
      <c r="CM186" s="1427"/>
      <c r="CN186" s="1199" t="s">
        <v>2043</v>
      </c>
      <c r="CO186" s="1033">
        <f>Möblierungsschablone!$G$31</f>
        <v>11.129999999999999</v>
      </c>
      <c r="CP186" s="1433"/>
      <c r="CQ186" s="1427"/>
      <c r="CS186" s="1154"/>
      <c r="CT186" s="701"/>
      <c r="CU186" s="1152"/>
      <c r="CV186" s="701"/>
      <c r="CW186" s="1152"/>
      <c r="CX186" s="701"/>
      <c r="CY186" s="1039"/>
      <c r="CZ186" s="701"/>
      <c r="DA186" s="1039"/>
      <c r="DB186" s="701"/>
      <c r="DC186" s="1039"/>
      <c r="DD186" s="701"/>
      <c r="DE186" s="1039"/>
      <c r="DF186" s="701"/>
      <c r="DG186" s="1039"/>
    </row>
    <row r="187" spans="1:111" ht="15.75" customHeight="1">
      <c r="A187" s="1436"/>
      <c r="B187" s="1404"/>
      <c r="C187" s="1036"/>
      <c r="D187" s="1404"/>
      <c r="E187" s="1036"/>
      <c r="F187" s="1438"/>
      <c r="G187" s="1427"/>
      <c r="H187" s="1404"/>
      <c r="I187" s="1036"/>
      <c r="J187" s="1438"/>
      <c r="K187" s="1427"/>
      <c r="L187" s="1404"/>
      <c r="M187" s="1036"/>
      <c r="N187" s="1404"/>
      <c r="O187" s="1036"/>
      <c r="Q187" s="1436"/>
      <c r="R187" s="1404"/>
      <c r="S187" s="1036"/>
      <c r="T187" s="1404"/>
      <c r="U187" s="1036"/>
      <c r="V187" s="1433"/>
      <c r="W187" s="1427"/>
      <c r="X187" s="1200"/>
      <c r="Y187" s="1036"/>
      <c r="Z187" s="1433"/>
      <c r="AA187" s="1427"/>
      <c r="AB187" s="1200"/>
      <c r="AC187" s="1036"/>
      <c r="AD187" s="1200"/>
      <c r="AE187" s="1036"/>
      <c r="AG187" s="1436"/>
      <c r="AH187" s="1404"/>
      <c r="AI187" s="1036"/>
      <c r="AJ187" s="1404"/>
      <c r="AK187" s="1036"/>
      <c r="AL187" s="1433"/>
      <c r="AM187" s="1427"/>
      <c r="AN187" s="1200"/>
      <c r="AO187" s="1036"/>
      <c r="AP187" s="1433"/>
      <c r="AQ187" s="1427"/>
      <c r="AR187" s="1200"/>
      <c r="AS187" s="1036"/>
      <c r="AT187" s="1200"/>
      <c r="AU187" s="1036"/>
      <c r="AW187" s="1404"/>
      <c r="AX187" s="1404"/>
      <c r="AY187" s="1036"/>
      <c r="AZ187" s="1404"/>
      <c r="BA187" s="1036"/>
      <c r="BB187" s="1433"/>
      <c r="BC187" s="1427"/>
      <c r="BD187" s="1200"/>
      <c r="BE187" s="1036"/>
      <c r="BF187" s="1433"/>
      <c r="BG187" s="1427"/>
      <c r="BH187" s="1200"/>
      <c r="BI187" s="1036"/>
      <c r="BJ187" s="1433"/>
      <c r="BK187" s="1427"/>
      <c r="BM187" s="1436"/>
      <c r="BN187" s="1404"/>
      <c r="BO187" s="1036"/>
      <c r="BP187" s="1404"/>
      <c r="BQ187" s="1036"/>
      <c r="BR187" s="1433"/>
      <c r="BS187" s="1427"/>
      <c r="BT187" s="1200"/>
      <c r="BU187" s="1036"/>
      <c r="BV187" s="1433"/>
      <c r="BW187" s="1427"/>
      <c r="BX187" s="1200"/>
      <c r="BY187" s="1036"/>
      <c r="BZ187" s="1433"/>
      <c r="CA187" s="1427"/>
      <c r="CC187" s="1436"/>
      <c r="CD187" s="1404"/>
      <c r="CE187" s="1036"/>
      <c r="CF187" s="1404"/>
      <c r="CG187" s="1036"/>
      <c r="CH187" s="1433"/>
      <c r="CI187" s="1427"/>
      <c r="CJ187" s="1433"/>
      <c r="CK187" s="1427"/>
      <c r="CL187" s="1433"/>
      <c r="CM187" s="1427"/>
      <c r="CN187" s="1200"/>
      <c r="CO187" s="1036"/>
      <c r="CP187" s="1433"/>
      <c r="CQ187" s="1427"/>
      <c r="CS187" s="701"/>
      <c r="CT187" s="701"/>
      <c r="CU187" s="1152"/>
      <c r="CV187" s="701"/>
      <c r="CW187" s="1152"/>
      <c r="CX187" s="701"/>
      <c r="CY187" s="1152"/>
      <c r="CZ187" s="701"/>
      <c r="DA187" s="1152"/>
      <c r="DB187" s="701"/>
      <c r="DC187" s="1152"/>
      <c r="DD187" s="701"/>
      <c r="DE187" s="1152"/>
      <c r="DF187" s="701"/>
      <c r="DG187" s="1152"/>
    </row>
    <row r="188" spans="1:111" ht="15.75" customHeight="1">
      <c r="A188" s="1436"/>
      <c r="B188" s="1404"/>
      <c r="C188" s="1036"/>
      <c r="D188" s="1404"/>
      <c r="E188" s="1036"/>
      <c r="F188" s="1438"/>
      <c r="G188" s="1427"/>
      <c r="H188" s="1404"/>
      <c r="I188" s="1034">
        <f>SUM(I186:I187)</f>
        <v>5.6999999999999993</v>
      </c>
      <c r="J188" s="1438"/>
      <c r="K188" s="1427"/>
      <c r="L188" s="1404"/>
      <c r="M188" s="1034">
        <f>SUM(M186:M187)</f>
        <v>11.129999999999999</v>
      </c>
      <c r="N188" s="1404"/>
      <c r="O188" s="1034">
        <f>SUM(O186:O187)</f>
        <v>11.129999999999999</v>
      </c>
      <c r="Q188" s="1436"/>
      <c r="R188" s="1404"/>
      <c r="S188" s="1036"/>
      <c r="T188" s="1404"/>
      <c r="U188" s="1036"/>
      <c r="V188" s="1433"/>
      <c r="W188" s="1427"/>
      <c r="X188" s="1201" t="s">
        <v>2036</v>
      </c>
      <c r="Y188" s="1034">
        <f>SUM(Y186:Y187)</f>
        <v>5.6999999999999993</v>
      </c>
      <c r="Z188" s="1433"/>
      <c r="AA188" s="1427"/>
      <c r="AB188" s="1201" t="s">
        <v>2036</v>
      </c>
      <c r="AC188" s="1034">
        <f>SUM(AC186:AC187)</f>
        <v>11.129999999999999</v>
      </c>
      <c r="AD188" s="1201" t="s">
        <v>2036</v>
      </c>
      <c r="AE188" s="1034">
        <f>SUM(AE186:AE187)</f>
        <v>11.129999999999999</v>
      </c>
      <c r="AG188" s="1436"/>
      <c r="AH188" s="1404"/>
      <c r="AI188" s="1036"/>
      <c r="AJ188" s="1404"/>
      <c r="AK188" s="1036"/>
      <c r="AL188" s="1433"/>
      <c r="AM188" s="1427"/>
      <c r="AN188" s="1201" t="s">
        <v>2036</v>
      </c>
      <c r="AO188" s="1034">
        <f>SUM(AO186:AO187)</f>
        <v>5.6999999999999993</v>
      </c>
      <c r="AP188" s="1433"/>
      <c r="AQ188" s="1427"/>
      <c r="AR188" s="1201" t="s">
        <v>2036</v>
      </c>
      <c r="AS188" s="1034">
        <f>SUM(AS186:AS187)</f>
        <v>11.129999999999999</v>
      </c>
      <c r="AT188" s="1201" t="s">
        <v>2036</v>
      </c>
      <c r="AU188" s="1034">
        <f>SUM(AU186:AU187)</f>
        <v>11.129999999999999</v>
      </c>
      <c r="AW188" s="1404"/>
      <c r="AX188" s="1404"/>
      <c r="AY188" s="1036"/>
      <c r="AZ188" s="1404"/>
      <c r="BA188" s="1036"/>
      <c r="BB188" s="1433"/>
      <c r="BC188" s="1427"/>
      <c r="BD188" s="1201" t="s">
        <v>2036</v>
      </c>
      <c r="BE188" s="1034">
        <f>SUM(BE186:BE187)</f>
        <v>5.6999999999999993</v>
      </c>
      <c r="BF188" s="1433"/>
      <c r="BG188" s="1427"/>
      <c r="BH188" s="1201" t="s">
        <v>2036</v>
      </c>
      <c r="BI188" s="1034">
        <f>SUM(BI186:BI187)</f>
        <v>11.129999999999999</v>
      </c>
      <c r="BJ188" s="1433"/>
      <c r="BK188" s="1427"/>
      <c r="BM188" s="1436"/>
      <c r="BN188" s="1404"/>
      <c r="BO188" s="1036"/>
      <c r="BP188" s="1404"/>
      <c r="BQ188" s="1036"/>
      <c r="BR188" s="1433"/>
      <c r="BS188" s="1427"/>
      <c r="BT188" s="1201" t="s">
        <v>2036</v>
      </c>
      <c r="BU188" s="1034">
        <f>SUM(BU186:BU187)</f>
        <v>5.6999999999999993</v>
      </c>
      <c r="BV188" s="1433"/>
      <c r="BW188" s="1427"/>
      <c r="BX188" s="1201" t="s">
        <v>2036</v>
      </c>
      <c r="BY188" s="1034">
        <f>SUM(BY186:BY187)</f>
        <v>11.129999999999999</v>
      </c>
      <c r="BZ188" s="1433"/>
      <c r="CA188" s="1427"/>
      <c r="CC188" s="1436"/>
      <c r="CD188" s="1404"/>
      <c r="CE188" s="1036"/>
      <c r="CF188" s="1404"/>
      <c r="CG188" s="1036"/>
      <c r="CH188" s="1433"/>
      <c r="CI188" s="1427"/>
      <c r="CJ188" s="1433"/>
      <c r="CK188" s="1427"/>
      <c r="CL188" s="1433"/>
      <c r="CM188" s="1427"/>
      <c r="CN188" s="1201" t="s">
        <v>2036</v>
      </c>
      <c r="CO188" s="1034">
        <f>SUM(CO186:CO187)</f>
        <v>11.129999999999999</v>
      </c>
      <c r="CP188" s="1433"/>
      <c r="CQ188" s="1427"/>
      <c r="CS188" s="701"/>
      <c r="CT188" s="701"/>
      <c r="CU188" s="1152"/>
      <c r="CV188" s="701"/>
      <c r="CW188" s="1152"/>
      <c r="CX188" s="701"/>
      <c r="CY188" s="1193"/>
      <c r="CZ188" s="701"/>
      <c r="DA188" s="1193"/>
      <c r="DB188" s="701"/>
      <c r="DC188" s="1193"/>
      <c r="DD188" s="701"/>
      <c r="DE188" s="1193"/>
      <c r="DF188" s="701"/>
      <c r="DG188" s="1193"/>
    </row>
    <row r="189" spans="1:111" ht="15.75" customHeight="1">
      <c r="A189" s="1436"/>
      <c r="B189" s="1404"/>
      <c r="C189" s="1036"/>
      <c r="D189" s="1404"/>
      <c r="E189" s="1036"/>
      <c r="F189" s="1438"/>
      <c r="G189" s="1427"/>
      <c r="H189" s="1404"/>
      <c r="I189" s="1032">
        <v>1</v>
      </c>
      <c r="J189" s="1438"/>
      <c r="K189" s="1427"/>
      <c r="L189" s="1404"/>
      <c r="M189" s="1032">
        <v>1</v>
      </c>
      <c r="N189" s="1404"/>
      <c r="O189" s="1032">
        <v>1</v>
      </c>
      <c r="Q189" s="1436"/>
      <c r="R189" s="1404"/>
      <c r="S189" s="1036"/>
      <c r="T189" s="1404"/>
      <c r="U189" s="1036"/>
      <c r="V189" s="1433"/>
      <c r="W189" s="1427"/>
      <c r="X189" s="1200" t="s">
        <v>1247</v>
      </c>
      <c r="Y189" s="1032">
        <v>1</v>
      </c>
      <c r="Z189" s="1433"/>
      <c r="AA189" s="1427"/>
      <c r="AB189" s="1200" t="s">
        <v>1247</v>
      </c>
      <c r="AC189" s="1032">
        <v>1</v>
      </c>
      <c r="AD189" s="1200" t="s">
        <v>1247</v>
      </c>
      <c r="AE189" s="1032">
        <v>1</v>
      </c>
      <c r="AG189" s="1436"/>
      <c r="AH189" s="1404"/>
      <c r="AI189" s="1036"/>
      <c r="AJ189" s="1404"/>
      <c r="AK189" s="1036"/>
      <c r="AL189" s="1433"/>
      <c r="AM189" s="1427"/>
      <c r="AN189" s="1200" t="s">
        <v>1247</v>
      </c>
      <c r="AO189" s="1032">
        <v>1</v>
      </c>
      <c r="AP189" s="1433"/>
      <c r="AQ189" s="1427"/>
      <c r="AR189" s="1200" t="s">
        <v>1247</v>
      </c>
      <c r="AS189" s="1032">
        <v>1</v>
      </c>
      <c r="AT189" s="1200" t="s">
        <v>1247</v>
      </c>
      <c r="AU189" s="1032">
        <v>1</v>
      </c>
      <c r="AW189" s="1404"/>
      <c r="AX189" s="1404"/>
      <c r="AY189" s="1036"/>
      <c r="AZ189" s="1404"/>
      <c r="BA189" s="1036"/>
      <c r="BB189" s="1433"/>
      <c r="BC189" s="1427"/>
      <c r="BD189" s="1200" t="s">
        <v>1247</v>
      </c>
      <c r="BE189" s="1032">
        <v>1</v>
      </c>
      <c r="BF189" s="1433"/>
      <c r="BG189" s="1427"/>
      <c r="BH189" s="1200" t="s">
        <v>1247</v>
      </c>
      <c r="BI189" s="1032">
        <v>1</v>
      </c>
      <c r="BJ189" s="1433"/>
      <c r="BK189" s="1427"/>
      <c r="BM189" s="1436"/>
      <c r="BN189" s="1404"/>
      <c r="BO189" s="1036"/>
      <c r="BP189" s="1404"/>
      <c r="BQ189" s="1036"/>
      <c r="BR189" s="1433"/>
      <c r="BS189" s="1427"/>
      <c r="BT189" s="1200" t="s">
        <v>1247</v>
      </c>
      <c r="BU189" s="1032">
        <v>1</v>
      </c>
      <c r="BV189" s="1433"/>
      <c r="BW189" s="1427"/>
      <c r="BX189" s="1200" t="s">
        <v>1247</v>
      </c>
      <c r="BY189" s="1032">
        <v>1</v>
      </c>
      <c r="BZ189" s="1433"/>
      <c r="CA189" s="1427"/>
      <c r="CC189" s="1436"/>
      <c r="CD189" s="1404"/>
      <c r="CE189" s="1036"/>
      <c r="CF189" s="1404"/>
      <c r="CG189" s="1036"/>
      <c r="CH189" s="1433"/>
      <c r="CI189" s="1427"/>
      <c r="CJ189" s="1433"/>
      <c r="CK189" s="1427"/>
      <c r="CL189" s="1433"/>
      <c r="CM189" s="1427"/>
      <c r="CN189" s="1200" t="s">
        <v>1247</v>
      </c>
      <c r="CO189" s="1032">
        <v>1</v>
      </c>
      <c r="CP189" s="1433"/>
      <c r="CQ189" s="1427"/>
      <c r="CS189" s="701"/>
      <c r="CT189" s="701"/>
      <c r="CU189" s="1152"/>
      <c r="CV189" s="701"/>
      <c r="CW189" s="1152"/>
      <c r="CX189" s="701"/>
      <c r="CY189" s="763"/>
      <c r="CZ189" s="701"/>
      <c r="DA189" s="763"/>
      <c r="DB189" s="701"/>
      <c r="DC189" s="763"/>
      <c r="DD189" s="701"/>
      <c r="DE189" s="763"/>
      <c r="DF189" s="701"/>
      <c r="DG189" s="763"/>
    </row>
    <row r="190" spans="1:111" ht="19.5" customHeight="1">
      <c r="A190" s="1436"/>
      <c r="B190" s="1404"/>
      <c r="C190" s="1035" t="s">
        <v>1181</v>
      </c>
      <c r="D190" s="1404"/>
      <c r="E190" s="1035" t="s">
        <v>1181</v>
      </c>
      <c r="F190" s="1439"/>
      <c r="G190" s="1428"/>
      <c r="H190" s="1404"/>
      <c r="I190" s="1030">
        <f>I188/(I189*C178)</f>
        <v>0.39473684210526311</v>
      </c>
      <c r="J190" s="1439"/>
      <c r="K190" s="1428"/>
      <c r="L190" s="1404"/>
      <c r="M190" s="1030">
        <f>M188/(M189*C178)</f>
        <v>0.77077562326869797</v>
      </c>
      <c r="N190" s="1404"/>
      <c r="O190" s="1030">
        <f>O188/(O189*C178)</f>
        <v>0.77077562326869797</v>
      </c>
      <c r="Q190" s="1436"/>
      <c r="R190" s="1404"/>
      <c r="S190" s="1035" t="s">
        <v>1181</v>
      </c>
      <c r="T190" s="1404"/>
      <c r="U190" s="1035" t="s">
        <v>1181</v>
      </c>
      <c r="V190" s="1434"/>
      <c r="W190" s="1428"/>
      <c r="X190" s="1202"/>
      <c r="Y190" s="1030">
        <f>Y188/(Y189*S178)</f>
        <v>0.34883720930232553</v>
      </c>
      <c r="Z190" s="1434"/>
      <c r="AA190" s="1428"/>
      <c r="AB190" s="1202"/>
      <c r="AC190" s="1030">
        <f>AC188/(AC189*S178)</f>
        <v>0.68115055079559361</v>
      </c>
      <c r="AD190" s="1202"/>
      <c r="AE190" s="1030">
        <f>AE188/(AE189*S178)</f>
        <v>0.68115055079559361</v>
      </c>
      <c r="AG190" s="1436"/>
      <c r="AH190" s="1404"/>
      <c r="AI190" s="1035" t="s">
        <v>1181</v>
      </c>
      <c r="AJ190" s="1404"/>
      <c r="AK190" s="1035" t="s">
        <v>1181</v>
      </c>
      <c r="AL190" s="1434"/>
      <c r="AM190" s="1428"/>
      <c r="AN190" s="1202"/>
      <c r="AO190" s="1030">
        <f>AO188/(AO189*AI178)</f>
        <v>0.3125</v>
      </c>
      <c r="AP190" s="1434"/>
      <c r="AQ190" s="1428"/>
      <c r="AR190" s="1202"/>
      <c r="AS190" s="1030">
        <f>AS188/(AS189*AI178)</f>
        <v>0.61019736842105265</v>
      </c>
      <c r="AT190" s="1202"/>
      <c r="AU190" s="1030">
        <f>AU188/(AU189*AI178)</f>
        <v>0.61019736842105265</v>
      </c>
      <c r="AW190" s="1404"/>
      <c r="AX190" s="1404"/>
      <c r="AY190" s="1035" t="s">
        <v>1181</v>
      </c>
      <c r="AZ190" s="1404"/>
      <c r="BA190" s="1035" t="s">
        <v>1181</v>
      </c>
      <c r="BB190" s="1434"/>
      <c r="BC190" s="1428"/>
      <c r="BD190" s="1202"/>
      <c r="BE190" s="1030">
        <f>BE188/(BE189*AY178)</f>
        <v>0.29411764705882348</v>
      </c>
      <c r="BF190" s="1434"/>
      <c r="BG190" s="1428"/>
      <c r="BH190" s="1202"/>
      <c r="BI190" s="1030">
        <f>BI188/(BI189*AY178)</f>
        <v>0.57430340557275539</v>
      </c>
      <c r="BJ190" s="1434"/>
      <c r="BK190" s="1428"/>
      <c r="BM190" s="1436"/>
      <c r="BN190" s="1404"/>
      <c r="BO190" s="1035" t="s">
        <v>1181</v>
      </c>
      <c r="BP190" s="1404"/>
      <c r="BQ190" s="1035" t="s">
        <v>1181</v>
      </c>
      <c r="BR190" s="1434"/>
      <c r="BS190" s="1428"/>
      <c r="BT190" s="1202"/>
      <c r="BU190" s="1030">
        <f>BU188/(BU189*BO178)</f>
        <v>0.27272727272727271</v>
      </c>
      <c r="BV190" s="1434"/>
      <c r="BW190" s="1428"/>
      <c r="BX190" s="1202"/>
      <c r="BY190" s="1030">
        <f>BY188/(BY189*BO178)</f>
        <v>0.53253588516746408</v>
      </c>
      <c r="BZ190" s="1434"/>
      <c r="CA190" s="1428"/>
      <c r="CC190" s="1436"/>
      <c r="CD190" s="1404"/>
      <c r="CE190" s="1035" t="s">
        <v>1181</v>
      </c>
      <c r="CF190" s="1404"/>
      <c r="CG190" s="1035" t="s">
        <v>1181</v>
      </c>
      <c r="CH190" s="1434"/>
      <c r="CI190" s="1428"/>
      <c r="CJ190" s="1434"/>
      <c r="CK190" s="1428"/>
      <c r="CL190" s="1434"/>
      <c r="CM190" s="1428"/>
      <c r="CN190" s="1202"/>
      <c r="CO190" s="1030">
        <f>CO188/(CO189*CE178)</f>
        <v>0.5049909255898366</v>
      </c>
      <c r="CP190" s="1434"/>
      <c r="CQ190" s="1428"/>
      <c r="CS190" s="701"/>
      <c r="CT190" s="701"/>
      <c r="CU190" s="1210"/>
      <c r="CV190" s="701"/>
      <c r="CW190" s="1210"/>
      <c r="CX190" s="701"/>
      <c r="CY190" s="1146"/>
      <c r="CZ190" s="701"/>
      <c r="DA190" s="1146"/>
      <c r="DB190" s="701"/>
      <c r="DC190" s="1146"/>
      <c r="DD190" s="701"/>
      <c r="DE190" s="1146"/>
      <c r="DF190" s="701"/>
      <c r="DG190" s="1146"/>
    </row>
    <row r="191" spans="1:111" ht="15.75" customHeight="1">
      <c r="A191" s="1435" t="s">
        <v>1366</v>
      </c>
      <c r="B191" s="1414"/>
      <c r="C191" s="1033">
        <f>Möblierungsschablone!$C$41</f>
        <v>2.5649999999999999</v>
      </c>
      <c r="D191" s="1414"/>
      <c r="E191" s="1033">
        <f>Möblierungsschablone!$E$41</f>
        <v>2.5649999999999999</v>
      </c>
      <c r="F191" s="1414"/>
      <c r="G191" s="1033">
        <f>Möblierungsschablone!$G$36</f>
        <v>3.5999999999999996</v>
      </c>
      <c r="H191" s="1404"/>
      <c r="I191" s="1033">
        <f>Möblierungsschablone!$I$36</f>
        <v>4.32</v>
      </c>
      <c r="J191" s="1404"/>
      <c r="K191" s="1033">
        <f>Möblierungsschablone!$K$36</f>
        <v>5.04</v>
      </c>
      <c r="L191" s="1404"/>
      <c r="M191" s="1033">
        <f>Möblierungsschablone!$M$36</f>
        <v>5.76</v>
      </c>
      <c r="N191" s="1404"/>
      <c r="O191" s="1033">
        <f>Möblierungsschablone!$O$36</f>
        <v>6.48</v>
      </c>
      <c r="Q191" s="1435" t="s">
        <v>1366</v>
      </c>
      <c r="R191" s="1199" t="s">
        <v>2042</v>
      </c>
      <c r="S191" s="1033">
        <f>Möblierungsschablone!$C$41</f>
        <v>2.5649999999999999</v>
      </c>
      <c r="T191" s="1199" t="s">
        <v>2042</v>
      </c>
      <c r="U191" s="1033">
        <f>Möblierungsschablone!$E$41</f>
        <v>2.5649999999999999</v>
      </c>
      <c r="V191" s="1199" t="s">
        <v>2042</v>
      </c>
      <c r="W191" s="1033">
        <f>Möblierungsschablone!$G$36</f>
        <v>3.5999999999999996</v>
      </c>
      <c r="X191" s="1199" t="s">
        <v>2042</v>
      </c>
      <c r="Y191" s="1033">
        <f>Möblierungsschablone!$I$36</f>
        <v>4.32</v>
      </c>
      <c r="Z191" s="1414"/>
      <c r="AA191" s="1033">
        <f>Möblierungsschablone!$K$36</f>
        <v>5.04</v>
      </c>
      <c r="AB191" s="1414"/>
      <c r="AC191" s="1033">
        <f>Möblierungsschablone!$M$36</f>
        <v>5.76</v>
      </c>
      <c r="AD191" s="1414"/>
      <c r="AE191" s="1033">
        <f>Möblierungsschablone!$O$36</f>
        <v>6.48</v>
      </c>
      <c r="AG191" s="1435" t="s">
        <v>1366</v>
      </c>
      <c r="AH191" s="1199" t="s">
        <v>2042</v>
      </c>
      <c r="AI191" s="1033">
        <f>Möblierungsschablone!$C$41</f>
        <v>2.5649999999999999</v>
      </c>
      <c r="AJ191" s="1199" t="s">
        <v>2042</v>
      </c>
      <c r="AK191" s="1033">
        <f>Möblierungsschablone!$E$41</f>
        <v>2.5649999999999999</v>
      </c>
      <c r="AL191" s="1199" t="s">
        <v>2042</v>
      </c>
      <c r="AM191" s="1033">
        <f>Möblierungsschablone!$G$36</f>
        <v>3.5999999999999996</v>
      </c>
      <c r="AN191" s="1199" t="s">
        <v>2042</v>
      </c>
      <c r="AO191" s="1033">
        <f>Möblierungsschablone!$I$36</f>
        <v>4.32</v>
      </c>
      <c r="AP191" s="1199" t="s">
        <v>2042</v>
      </c>
      <c r="AQ191" s="1033">
        <f>Möblierungsschablone!$K$36</f>
        <v>5.04</v>
      </c>
      <c r="AR191" s="1199" t="s">
        <v>2042</v>
      </c>
      <c r="AS191" s="1033">
        <f>Möblierungsschablone!$M$36</f>
        <v>5.76</v>
      </c>
      <c r="AT191" s="1199" t="s">
        <v>2042</v>
      </c>
      <c r="AU191" s="1033">
        <f>Möblierungsschablone!$O$36</f>
        <v>6.48</v>
      </c>
      <c r="AW191" s="1403" t="s">
        <v>1366</v>
      </c>
      <c r="AX191" s="1199" t="s">
        <v>2042</v>
      </c>
      <c r="AY191" s="1033">
        <f>Möblierungsschablone!$C$41</f>
        <v>2.5649999999999999</v>
      </c>
      <c r="AZ191" s="1199" t="s">
        <v>2042</v>
      </c>
      <c r="BA191" s="1033">
        <f>Möblierungsschablone!$E$41</f>
        <v>2.5649999999999999</v>
      </c>
      <c r="BB191" s="1199" t="s">
        <v>2042</v>
      </c>
      <c r="BC191" s="1033">
        <f>Möblierungsschablone!$G$36</f>
        <v>3.5999999999999996</v>
      </c>
      <c r="BD191" s="1199" t="s">
        <v>2042</v>
      </c>
      <c r="BE191" s="1033">
        <f>Möblierungsschablone!$I$36</f>
        <v>4.32</v>
      </c>
      <c r="BF191" s="1199" t="s">
        <v>2042</v>
      </c>
      <c r="BG191" s="1033">
        <f>Möblierungsschablone!$K$36</f>
        <v>5.04</v>
      </c>
      <c r="BH191" s="1199" t="s">
        <v>2042</v>
      </c>
      <c r="BI191" s="1033">
        <f>Möblierungsschablone!$M$36</f>
        <v>5.76</v>
      </c>
      <c r="BJ191" s="1199" t="s">
        <v>2042</v>
      </c>
      <c r="BK191" s="1033">
        <f>Möblierungsschablone!$O$36</f>
        <v>6.48</v>
      </c>
      <c r="BM191" s="1435" t="s">
        <v>1366</v>
      </c>
      <c r="BN191" s="1199" t="s">
        <v>2042</v>
      </c>
      <c r="BO191" s="1033">
        <f>Möblierungsschablone!$C$41</f>
        <v>2.5649999999999999</v>
      </c>
      <c r="BP191" s="1199" t="s">
        <v>2042</v>
      </c>
      <c r="BQ191" s="1033">
        <f>Möblierungsschablone!$E$41</f>
        <v>2.5649999999999999</v>
      </c>
      <c r="BR191" s="1199" t="s">
        <v>2042</v>
      </c>
      <c r="BS191" s="1033">
        <f>Möblierungsschablone!$G$36</f>
        <v>3.5999999999999996</v>
      </c>
      <c r="BT191" s="1199" t="s">
        <v>2042</v>
      </c>
      <c r="BU191" s="1033">
        <f>Möblierungsschablone!$I$36</f>
        <v>4.32</v>
      </c>
      <c r="BV191" s="1199" t="s">
        <v>2042</v>
      </c>
      <c r="BW191" s="1033">
        <f>Möblierungsschablone!$K$36</f>
        <v>5.04</v>
      </c>
      <c r="BX191" s="1199" t="s">
        <v>2042</v>
      </c>
      <c r="BY191" s="1033">
        <f>Möblierungsschablone!$M$36</f>
        <v>5.76</v>
      </c>
      <c r="BZ191" s="1199" t="s">
        <v>2042</v>
      </c>
      <c r="CA191" s="1033">
        <f>Möblierungsschablone!$O$36</f>
        <v>6.48</v>
      </c>
      <c r="CC191" s="1435" t="s">
        <v>1366</v>
      </c>
      <c r="CD191" s="1199" t="s">
        <v>2042</v>
      </c>
      <c r="CE191" s="1033">
        <f>Möblierungsschablone!$C$41</f>
        <v>2.5649999999999999</v>
      </c>
      <c r="CF191" s="1199" t="s">
        <v>2042</v>
      </c>
      <c r="CG191" s="1033">
        <f>Möblierungsschablone!$E$41</f>
        <v>2.5649999999999999</v>
      </c>
      <c r="CH191" s="1199" t="s">
        <v>2042</v>
      </c>
      <c r="CI191" s="1033">
        <f>Möblierungsschablone!$G$36</f>
        <v>3.5999999999999996</v>
      </c>
      <c r="CJ191" s="1199" t="s">
        <v>2042</v>
      </c>
      <c r="CK191" s="1033">
        <f>Möblierungsschablone!$I$36</f>
        <v>4.32</v>
      </c>
      <c r="CL191" s="1199" t="s">
        <v>2042</v>
      </c>
      <c r="CM191" s="1033">
        <f>Möblierungsschablone!$K$36</f>
        <v>5.04</v>
      </c>
      <c r="CN191" s="1199" t="s">
        <v>2042</v>
      </c>
      <c r="CO191" s="1033">
        <f>Möblierungsschablone!$M$36</f>
        <v>5.76</v>
      </c>
      <c r="CP191" s="1199" t="s">
        <v>2042</v>
      </c>
      <c r="CQ191" s="1033">
        <f>Möblierungsschablone!$O$36</f>
        <v>6.48</v>
      </c>
      <c r="CS191" s="1154"/>
      <c r="CT191" s="701"/>
      <c r="CU191" s="1152"/>
      <c r="CV191" s="701"/>
      <c r="CW191" s="1152"/>
      <c r="CX191" s="701"/>
      <c r="CY191" s="1152"/>
      <c r="CZ191" s="701"/>
      <c r="DA191" s="1152"/>
      <c r="DB191" s="701"/>
      <c r="DC191" s="1152"/>
      <c r="DD191" s="701"/>
      <c r="DE191" s="1152"/>
      <c r="DF191" s="701"/>
      <c r="DG191" s="1152"/>
    </row>
    <row r="192" spans="1:111" ht="15.75" customHeight="1">
      <c r="A192" s="1436"/>
      <c r="B192" s="1415"/>
      <c r="C192" s="1033">
        <f>Möblierungsschablone!$C$46</f>
        <v>2.7</v>
      </c>
      <c r="D192" s="1415"/>
      <c r="E192" s="1033">
        <f>Möblierungsschablone!$E$46</f>
        <v>3.5999999999999996</v>
      </c>
      <c r="F192" s="1415"/>
      <c r="G192" s="1033">
        <f>Möblierungsschablone!$G$51</f>
        <v>4.41</v>
      </c>
      <c r="H192" s="1404"/>
      <c r="I192" s="1033"/>
      <c r="J192" s="1404"/>
      <c r="K192" s="1033"/>
      <c r="L192" s="1404"/>
      <c r="M192" s="1033"/>
      <c r="N192" s="1404"/>
      <c r="O192" s="1033"/>
      <c r="Q192" s="1436"/>
      <c r="R192" s="1200" t="s">
        <v>1367</v>
      </c>
      <c r="S192" s="1033">
        <f>Möblierungsschablone!$C$46</f>
        <v>2.7</v>
      </c>
      <c r="T192" s="1200" t="s">
        <v>1367</v>
      </c>
      <c r="U192" s="1033">
        <f>Möblierungsschablone!$E$46</f>
        <v>3.5999999999999996</v>
      </c>
      <c r="V192" s="1200" t="s">
        <v>1367</v>
      </c>
      <c r="W192" s="1033">
        <f>Möblierungsschablone!$G$49</f>
        <v>4.5</v>
      </c>
      <c r="X192" s="1200" t="s">
        <v>1367</v>
      </c>
      <c r="Y192" s="1033">
        <f>Möblierungsschablone!$I$46</f>
        <v>5.76</v>
      </c>
      <c r="Z192" s="1415"/>
      <c r="AA192" s="1033"/>
      <c r="AB192" s="1415"/>
      <c r="AC192" s="1033"/>
      <c r="AD192" s="1415"/>
      <c r="AE192" s="1033"/>
      <c r="AG192" s="1436"/>
      <c r="AH192" s="1200" t="s">
        <v>1367</v>
      </c>
      <c r="AI192" s="1033">
        <f>Möblierungsschablone!$C$46</f>
        <v>2.7</v>
      </c>
      <c r="AJ192" s="1200" t="s">
        <v>1367</v>
      </c>
      <c r="AK192" s="1033">
        <f>Möblierungsschablone!$E$46</f>
        <v>3.5999999999999996</v>
      </c>
      <c r="AL192" s="1200" t="s">
        <v>1367</v>
      </c>
      <c r="AM192" s="1033">
        <f>Möblierungsschablone!$G$49</f>
        <v>4.5</v>
      </c>
      <c r="AN192" s="1200" t="s">
        <v>1367</v>
      </c>
      <c r="AO192" s="1033">
        <f>Möblierungsschablone!$I$46</f>
        <v>5.76</v>
      </c>
      <c r="AP192" s="1200" t="s">
        <v>1367</v>
      </c>
      <c r="AQ192" s="1033">
        <f>Möblierungsschablone!$K$46</f>
        <v>7.1999999999999993</v>
      </c>
      <c r="AR192" s="1200" t="s">
        <v>1367</v>
      </c>
      <c r="AS192" s="1033">
        <f>Möblierungsschablone!$M$51</f>
        <v>8.82</v>
      </c>
      <c r="AT192" s="1200" t="s">
        <v>1367</v>
      </c>
      <c r="AU192" s="1033">
        <f>Möblierungsschablone!$O$51</f>
        <v>8.82</v>
      </c>
      <c r="AW192" s="1404"/>
      <c r="AX192" s="1200" t="s">
        <v>1367</v>
      </c>
      <c r="AY192" s="1033">
        <f>Möblierungsschablone!$C$46</f>
        <v>2.7</v>
      </c>
      <c r="AZ192" s="1200" t="s">
        <v>1367</v>
      </c>
      <c r="BA192" s="1033">
        <f>Möblierungsschablone!$E$46</f>
        <v>3.5999999999999996</v>
      </c>
      <c r="BB192" s="1200" t="s">
        <v>1367</v>
      </c>
      <c r="BC192" s="1033">
        <f>Möblierungsschablone!$G$49</f>
        <v>4.5</v>
      </c>
      <c r="BD192" s="1200" t="s">
        <v>1367</v>
      </c>
      <c r="BE192" s="1033">
        <f>Möblierungsschablone!$I$46</f>
        <v>5.76</v>
      </c>
      <c r="BF192" s="1200" t="s">
        <v>1367</v>
      </c>
      <c r="BG192" s="1033">
        <f>Möblierungsschablone!$K$46</f>
        <v>7.1999999999999993</v>
      </c>
      <c r="BH192" s="1200" t="s">
        <v>1367</v>
      </c>
      <c r="BI192" s="1033">
        <f>Möblierungsschablone!$M$51</f>
        <v>8.82</v>
      </c>
      <c r="BJ192" s="1200" t="s">
        <v>1367</v>
      </c>
      <c r="BK192" s="1033">
        <f>Möblierungsschablone!$O$51</f>
        <v>8.82</v>
      </c>
      <c r="BM192" s="1436"/>
      <c r="BN192" s="1200" t="s">
        <v>1367</v>
      </c>
      <c r="BO192" s="1033">
        <f>Möblierungsschablone!$C$46</f>
        <v>2.7</v>
      </c>
      <c r="BP192" s="1200" t="s">
        <v>1367</v>
      </c>
      <c r="BQ192" s="1033">
        <f>Möblierungsschablone!$E$46</f>
        <v>3.5999999999999996</v>
      </c>
      <c r="BR192" s="1200" t="s">
        <v>1367</v>
      </c>
      <c r="BS192" s="1033">
        <f>Möblierungsschablone!$G$49</f>
        <v>4.5</v>
      </c>
      <c r="BT192" s="1200" t="s">
        <v>1367</v>
      </c>
      <c r="BU192" s="1033">
        <f>Möblierungsschablone!$I$46</f>
        <v>5.76</v>
      </c>
      <c r="BV192" s="1200" t="s">
        <v>1367</v>
      </c>
      <c r="BW192" s="1033">
        <f>Möblierungsschablone!$K$46</f>
        <v>7.1999999999999993</v>
      </c>
      <c r="BX192" s="1200" t="s">
        <v>1367</v>
      </c>
      <c r="BY192" s="1033">
        <f>Möblierungsschablone!$M$51</f>
        <v>8.82</v>
      </c>
      <c r="BZ192" s="1200" t="s">
        <v>1367</v>
      </c>
      <c r="CA192" s="1033">
        <f>Möblierungsschablone!$O$51</f>
        <v>8.82</v>
      </c>
      <c r="CC192" s="1436"/>
      <c r="CD192" s="1200" t="s">
        <v>1367</v>
      </c>
      <c r="CE192" s="1033">
        <f>Möblierungsschablone!$C$46</f>
        <v>2.7</v>
      </c>
      <c r="CF192" s="1200" t="s">
        <v>1367</v>
      </c>
      <c r="CG192" s="1033">
        <f>Möblierungsschablone!$E$46</f>
        <v>3.5999999999999996</v>
      </c>
      <c r="CH192" s="1200" t="s">
        <v>1367</v>
      </c>
      <c r="CI192" s="1033">
        <f>Möblierungsschablone!$G$49</f>
        <v>4.5</v>
      </c>
      <c r="CJ192" s="1200" t="s">
        <v>1367</v>
      </c>
      <c r="CK192" s="1033">
        <f>Möblierungsschablone!$I$46</f>
        <v>5.76</v>
      </c>
      <c r="CL192" s="1200" t="s">
        <v>1367</v>
      </c>
      <c r="CM192" s="1033">
        <f>Möblierungsschablone!$K$46</f>
        <v>7.1999999999999993</v>
      </c>
      <c r="CN192" s="1200" t="s">
        <v>1367</v>
      </c>
      <c r="CO192" s="1033">
        <f>Möblierungsschablone!$M$51</f>
        <v>8.82</v>
      </c>
      <c r="CP192" s="1200" t="s">
        <v>1367</v>
      </c>
      <c r="CQ192" s="1033">
        <f>Möblierungsschablone!$O$51</f>
        <v>8.82</v>
      </c>
      <c r="CS192" s="701"/>
      <c r="CT192" s="701"/>
      <c r="CU192" s="1152"/>
      <c r="CV192" s="701"/>
      <c r="CW192" s="1152"/>
      <c r="CX192" s="701"/>
      <c r="CY192" s="1152"/>
      <c r="CZ192" s="701"/>
      <c r="DA192" s="1152"/>
      <c r="DB192" s="701"/>
      <c r="DC192" s="1152"/>
      <c r="DD192" s="701"/>
      <c r="DE192" s="1152"/>
      <c r="DF192" s="701"/>
      <c r="DG192" s="1152"/>
    </row>
    <row r="193" spans="1:111" ht="15.75" customHeight="1">
      <c r="A193" s="1436"/>
      <c r="B193" s="1415"/>
      <c r="C193" s="1034"/>
      <c r="D193" s="1415"/>
      <c r="E193" s="1034"/>
      <c r="F193" s="1415"/>
      <c r="G193" s="1036"/>
      <c r="H193" s="1404"/>
      <c r="I193" s="1034">
        <f>SUM(I191:I192)</f>
        <v>4.32</v>
      </c>
      <c r="J193" s="1404"/>
      <c r="K193" s="1034">
        <f>SUM(K191:K192)</f>
        <v>5.04</v>
      </c>
      <c r="L193" s="1404"/>
      <c r="M193" s="1034">
        <f>SUM(M191:M192)</f>
        <v>5.76</v>
      </c>
      <c r="N193" s="1404"/>
      <c r="O193" s="1034">
        <f>SUM(O191:O192)</f>
        <v>6.48</v>
      </c>
      <c r="Q193" s="1436"/>
      <c r="R193" s="1200" t="s">
        <v>2041</v>
      </c>
      <c r="S193" s="1033">
        <f>Möblierungsschablone!$C$56</f>
        <v>5.76</v>
      </c>
      <c r="T193" s="1200" t="s">
        <v>2041</v>
      </c>
      <c r="U193" s="1033">
        <f>Möblierungsschablone!$E$56</f>
        <v>5.76</v>
      </c>
      <c r="V193" s="1200"/>
      <c r="W193" s="1033">
        <f>Möblierungsschablone!$G$56</f>
        <v>5.76</v>
      </c>
      <c r="X193" s="1200"/>
      <c r="Y193" s="1036"/>
      <c r="Z193" s="1415"/>
      <c r="AA193" s="1034">
        <f>SUM(AA191:AA192)</f>
        <v>5.04</v>
      </c>
      <c r="AB193" s="1415"/>
      <c r="AC193" s="1034">
        <f>SUM(AC191:AC192)</f>
        <v>5.76</v>
      </c>
      <c r="AD193" s="1415"/>
      <c r="AE193" s="1034">
        <f>SUM(AE191:AE192)</f>
        <v>6.48</v>
      </c>
      <c r="AG193" s="1436"/>
      <c r="AH193" s="1200" t="s">
        <v>2041</v>
      </c>
      <c r="AI193" s="1033">
        <f>Möblierungsschablone!$C$56</f>
        <v>5.76</v>
      </c>
      <c r="AJ193" s="1200" t="s">
        <v>2041</v>
      </c>
      <c r="AK193" s="1033">
        <f>Möblierungsschablone!$E$56</f>
        <v>5.76</v>
      </c>
      <c r="AL193" s="1200" t="s">
        <v>2041</v>
      </c>
      <c r="AM193" s="1033">
        <f>Möblierungsschablone!$G$56</f>
        <v>5.76</v>
      </c>
      <c r="AN193" s="1200"/>
      <c r="AO193" s="1036"/>
      <c r="AP193" s="1200"/>
      <c r="AQ193" s="1036"/>
      <c r="AR193" s="1200"/>
      <c r="AS193" s="1036"/>
      <c r="AT193" s="1200"/>
      <c r="AU193" s="1036"/>
      <c r="AW193" s="1404"/>
      <c r="AX193" s="1200" t="s">
        <v>2041</v>
      </c>
      <c r="AY193" s="1033">
        <f>Möblierungsschablone!$C$56</f>
        <v>5.76</v>
      </c>
      <c r="AZ193" s="1200" t="s">
        <v>2041</v>
      </c>
      <c r="BA193" s="1033">
        <f>Möblierungsschablone!$E$56</f>
        <v>5.76</v>
      </c>
      <c r="BB193" s="1200" t="s">
        <v>2041</v>
      </c>
      <c r="BC193" s="1033">
        <f>Möblierungsschablone!$G$56</f>
        <v>5.76</v>
      </c>
      <c r="BD193" s="1200"/>
      <c r="BE193" s="1036"/>
      <c r="BF193" s="1200"/>
      <c r="BG193" s="1036"/>
      <c r="BH193" s="1200"/>
      <c r="BI193" s="1036"/>
      <c r="BJ193" s="1200"/>
      <c r="BK193" s="1036"/>
      <c r="BM193" s="1436"/>
      <c r="BN193" s="1200" t="s">
        <v>2041</v>
      </c>
      <c r="BO193" s="1033">
        <f>Möblierungsschablone!$C$56</f>
        <v>5.76</v>
      </c>
      <c r="BP193" s="1200" t="s">
        <v>2041</v>
      </c>
      <c r="BQ193" s="1033">
        <f>Möblierungsschablone!$E$56</f>
        <v>5.76</v>
      </c>
      <c r="BR193" s="1200" t="s">
        <v>2041</v>
      </c>
      <c r="BS193" s="1033">
        <f>Möblierungsschablone!$G$56</f>
        <v>5.76</v>
      </c>
      <c r="BT193" s="1200"/>
      <c r="BU193" s="1036"/>
      <c r="BV193" s="1200"/>
      <c r="BW193" s="1036"/>
      <c r="BX193" s="1200"/>
      <c r="BY193" s="1036"/>
      <c r="BZ193" s="1200"/>
      <c r="CA193" s="1036"/>
      <c r="CC193" s="1436"/>
      <c r="CD193" s="1200" t="s">
        <v>2041</v>
      </c>
      <c r="CE193" s="1033">
        <f>Möblierungsschablone!$C$56</f>
        <v>5.76</v>
      </c>
      <c r="CF193" s="1200" t="s">
        <v>2041</v>
      </c>
      <c r="CG193" s="1033">
        <f>Möblierungsschablone!$E$56</f>
        <v>5.76</v>
      </c>
      <c r="CH193" s="1200" t="s">
        <v>2041</v>
      </c>
      <c r="CI193" s="1033">
        <f>Möblierungsschablone!$G$56</f>
        <v>5.76</v>
      </c>
      <c r="CJ193" s="1200"/>
      <c r="CK193" s="1036"/>
      <c r="CL193" s="1200"/>
      <c r="CM193" s="1036"/>
      <c r="CN193" s="1200"/>
      <c r="CO193" s="1036"/>
      <c r="CP193" s="1200"/>
      <c r="CQ193" s="1036"/>
      <c r="CS193" s="701"/>
      <c r="CT193" s="701"/>
      <c r="CU193" s="1152"/>
      <c r="CV193" s="701"/>
      <c r="CW193" s="1152"/>
      <c r="CX193" s="701"/>
      <c r="CY193" s="1152"/>
      <c r="CZ193" s="701"/>
      <c r="DA193" s="1152"/>
      <c r="DB193" s="701"/>
      <c r="DC193" s="1152"/>
      <c r="DD193" s="701"/>
      <c r="DE193" s="1152"/>
      <c r="DF193" s="701"/>
      <c r="DG193" s="1152"/>
    </row>
    <row r="194" spans="1:111" ht="15.75" customHeight="1">
      <c r="A194" s="1436"/>
      <c r="B194" s="1415"/>
      <c r="C194" s="1034">
        <f>SUM(C191:C193)</f>
        <v>5.2650000000000006</v>
      </c>
      <c r="D194" s="1415"/>
      <c r="E194" s="1034">
        <f>SUM(E191:E193)</f>
        <v>6.1649999999999991</v>
      </c>
      <c r="F194" s="1415"/>
      <c r="G194" s="1034">
        <f>SUM(G191:G193)</f>
        <v>8.01</v>
      </c>
      <c r="H194" s="1404"/>
      <c r="I194" s="1032">
        <v>1</v>
      </c>
      <c r="J194" s="1404"/>
      <c r="K194" s="1032">
        <v>1</v>
      </c>
      <c r="L194" s="1404"/>
      <c r="M194" s="1032">
        <v>1</v>
      </c>
      <c r="N194" s="1404"/>
      <c r="O194" s="1032">
        <v>1</v>
      </c>
      <c r="Q194" s="1436"/>
      <c r="R194" s="1201" t="s">
        <v>2036</v>
      </c>
      <c r="S194" s="1034">
        <f>SUM(S191:S193)</f>
        <v>11.025</v>
      </c>
      <c r="T194" s="1201" t="s">
        <v>2036</v>
      </c>
      <c r="U194" s="1034">
        <f>SUM(U191:U193)</f>
        <v>11.924999999999999</v>
      </c>
      <c r="V194" s="1201" t="s">
        <v>2036</v>
      </c>
      <c r="W194" s="1034">
        <f>SUM(W191:W193)</f>
        <v>13.86</v>
      </c>
      <c r="X194" s="1201" t="s">
        <v>2036</v>
      </c>
      <c r="Y194" s="1034">
        <f>SUM(Y191:Y193)</f>
        <v>10.08</v>
      </c>
      <c r="Z194" s="1415"/>
      <c r="AA194" s="1032">
        <v>1</v>
      </c>
      <c r="AB194" s="1415"/>
      <c r="AC194" s="1032">
        <v>1</v>
      </c>
      <c r="AD194" s="1415"/>
      <c r="AE194" s="1032">
        <v>1</v>
      </c>
      <c r="AG194" s="1436"/>
      <c r="AH194" s="1201" t="s">
        <v>2036</v>
      </c>
      <c r="AI194" s="1034">
        <f>SUM(AI191:AI193)</f>
        <v>11.025</v>
      </c>
      <c r="AJ194" s="1201" t="s">
        <v>2036</v>
      </c>
      <c r="AK194" s="1034">
        <f>SUM(AK191:AK193)</f>
        <v>11.924999999999999</v>
      </c>
      <c r="AL194" s="1201" t="s">
        <v>2036</v>
      </c>
      <c r="AM194" s="1034">
        <f>SUM(AM191:AM193)</f>
        <v>13.86</v>
      </c>
      <c r="AN194" s="1201" t="s">
        <v>2036</v>
      </c>
      <c r="AO194" s="1034">
        <f>SUM(AO191:AO193)</f>
        <v>10.08</v>
      </c>
      <c r="AP194" s="1201" t="s">
        <v>2036</v>
      </c>
      <c r="AQ194" s="1034">
        <f>SUM(AQ191:AQ193)</f>
        <v>12.239999999999998</v>
      </c>
      <c r="AR194" s="1201" t="s">
        <v>2036</v>
      </c>
      <c r="AS194" s="1034">
        <f>SUM(AS191:AS193)</f>
        <v>14.58</v>
      </c>
      <c r="AT194" s="1201" t="s">
        <v>2036</v>
      </c>
      <c r="AU194" s="1034">
        <f>SUM(AU191:AU193)</f>
        <v>15.3</v>
      </c>
      <c r="AW194" s="1404"/>
      <c r="AX194" s="1201" t="s">
        <v>2036</v>
      </c>
      <c r="AY194" s="1034">
        <f>SUM(AY191:AY193)</f>
        <v>11.025</v>
      </c>
      <c r="AZ194" s="1201" t="s">
        <v>2036</v>
      </c>
      <c r="BA194" s="1034">
        <f>SUM(BA191:BA193)</f>
        <v>11.924999999999999</v>
      </c>
      <c r="BB194" s="1201" t="s">
        <v>2036</v>
      </c>
      <c r="BC194" s="1034">
        <f>SUM(BC191:BC193)</f>
        <v>13.86</v>
      </c>
      <c r="BD194" s="1201" t="s">
        <v>2036</v>
      </c>
      <c r="BE194" s="1034">
        <f>SUM(BE191:BE193)</f>
        <v>10.08</v>
      </c>
      <c r="BF194" s="1201" t="s">
        <v>2036</v>
      </c>
      <c r="BG194" s="1034">
        <f>SUM(BG191:BG193)</f>
        <v>12.239999999999998</v>
      </c>
      <c r="BH194" s="1201" t="s">
        <v>2036</v>
      </c>
      <c r="BI194" s="1034">
        <f>SUM(BI191:BI193)</f>
        <v>14.58</v>
      </c>
      <c r="BJ194" s="1201" t="s">
        <v>2036</v>
      </c>
      <c r="BK194" s="1034">
        <f>SUM(BK191:BK193)</f>
        <v>15.3</v>
      </c>
      <c r="BM194" s="1436"/>
      <c r="BN194" s="1201" t="s">
        <v>2036</v>
      </c>
      <c r="BO194" s="1034">
        <f>SUM(BO191:BO193)</f>
        <v>11.025</v>
      </c>
      <c r="BP194" s="1201" t="s">
        <v>2036</v>
      </c>
      <c r="BQ194" s="1034">
        <f>SUM(BQ191:BQ193)</f>
        <v>11.924999999999999</v>
      </c>
      <c r="BR194" s="1201" t="s">
        <v>2036</v>
      </c>
      <c r="BS194" s="1034">
        <f>SUM(BS191:BS193)</f>
        <v>13.86</v>
      </c>
      <c r="BT194" s="1201" t="s">
        <v>2036</v>
      </c>
      <c r="BU194" s="1034">
        <f>SUM(BU191:BU193)</f>
        <v>10.08</v>
      </c>
      <c r="BV194" s="1201" t="s">
        <v>2036</v>
      </c>
      <c r="BW194" s="1034">
        <f>SUM(BW191:BW193)</f>
        <v>12.239999999999998</v>
      </c>
      <c r="BX194" s="1201" t="s">
        <v>2036</v>
      </c>
      <c r="BY194" s="1034">
        <f>SUM(BY191:BY193)</f>
        <v>14.58</v>
      </c>
      <c r="BZ194" s="1201" t="s">
        <v>2036</v>
      </c>
      <c r="CA194" s="1034">
        <f>SUM(CA191:CA193)</f>
        <v>15.3</v>
      </c>
      <c r="CC194" s="1436"/>
      <c r="CD194" s="1201" t="s">
        <v>2036</v>
      </c>
      <c r="CE194" s="1034">
        <f>SUM(CE191:CE193)</f>
        <v>11.025</v>
      </c>
      <c r="CF194" s="1201" t="s">
        <v>2036</v>
      </c>
      <c r="CG194" s="1034">
        <f>SUM(CG191:CG193)</f>
        <v>11.924999999999999</v>
      </c>
      <c r="CH194" s="1201" t="s">
        <v>2036</v>
      </c>
      <c r="CI194" s="1034">
        <f>SUM(CI191:CI193)</f>
        <v>13.86</v>
      </c>
      <c r="CJ194" s="1201" t="s">
        <v>2036</v>
      </c>
      <c r="CK194" s="1034">
        <f>SUM(CK191:CK193)</f>
        <v>10.08</v>
      </c>
      <c r="CL194" s="1201" t="s">
        <v>2036</v>
      </c>
      <c r="CM194" s="1034">
        <f>SUM(CM191:CM193)</f>
        <v>12.239999999999998</v>
      </c>
      <c r="CN194" s="1201" t="s">
        <v>2036</v>
      </c>
      <c r="CO194" s="1034">
        <f>SUM(CO191:CO193)</f>
        <v>14.58</v>
      </c>
      <c r="CP194" s="1201" t="s">
        <v>2036</v>
      </c>
      <c r="CQ194" s="1034">
        <f>SUM(CQ191:CQ193)</f>
        <v>15.3</v>
      </c>
      <c r="CS194" s="701"/>
      <c r="CT194" s="701"/>
      <c r="CU194" s="1210"/>
      <c r="CV194" s="701"/>
      <c r="CW194" s="1210"/>
      <c r="CX194" s="701"/>
      <c r="CY194" s="1210"/>
      <c r="CZ194" s="701"/>
      <c r="DA194" s="1210"/>
      <c r="DB194" s="701"/>
      <c r="DC194" s="1210"/>
      <c r="DD194" s="701"/>
      <c r="DE194" s="1210"/>
      <c r="DF194" s="701"/>
      <c r="DG194" s="1210"/>
    </row>
    <row r="195" spans="1:111" ht="15.75" customHeight="1">
      <c r="A195" s="1436"/>
      <c r="B195" s="1415"/>
      <c r="C195" s="1032">
        <v>1</v>
      </c>
      <c r="D195" s="1415"/>
      <c r="E195" s="1032">
        <v>1</v>
      </c>
      <c r="F195" s="1415"/>
      <c r="G195" s="1032">
        <v>1</v>
      </c>
      <c r="H195" s="1404"/>
      <c r="I195" s="1030">
        <f>I193/(I194*C178)</f>
        <v>0.29916897506925211</v>
      </c>
      <c r="J195" s="1404"/>
      <c r="K195" s="1030">
        <f>K193/(K194*C178)</f>
        <v>0.34903047091412742</v>
      </c>
      <c r="L195" s="1404"/>
      <c r="M195" s="1030">
        <f>M193/(M194*C178)</f>
        <v>0.39889196675900279</v>
      </c>
      <c r="N195" s="1404"/>
      <c r="O195" s="1030">
        <f>O193/(O194*C178)</f>
        <v>0.44875346260387816</v>
      </c>
      <c r="Q195" s="1436"/>
      <c r="R195" s="1200" t="s">
        <v>1247</v>
      </c>
      <c r="S195" s="1032">
        <v>1</v>
      </c>
      <c r="T195" s="1200" t="s">
        <v>1247</v>
      </c>
      <c r="U195" s="1032">
        <v>1</v>
      </c>
      <c r="V195" s="1200" t="s">
        <v>1247</v>
      </c>
      <c r="W195" s="1032">
        <v>1</v>
      </c>
      <c r="X195" s="1200" t="s">
        <v>1247</v>
      </c>
      <c r="Y195" s="1032">
        <v>1</v>
      </c>
      <c r="Z195" s="1416"/>
      <c r="AA195" s="1030">
        <f>AA193/(AA194*S178)</f>
        <v>0.30844553243574052</v>
      </c>
      <c r="AB195" s="1416"/>
      <c r="AC195" s="1030">
        <f>AC193/(AC194*S178)</f>
        <v>0.35250917992656056</v>
      </c>
      <c r="AD195" s="1416"/>
      <c r="AE195" s="1030">
        <f>AE193/(AE194*S178)</f>
        <v>0.3965728274173807</v>
      </c>
      <c r="AG195" s="1436"/>
      <c r="AH195" s="1200" t="s">
        <v>1247</v>
      </c>
      <c r="AI195" s="1032">
        <v>1</v>
      </c>
      <c r="AJ195" s="1200" t="s">
        <v>1247</v>
      </c>
      <c r="AK195" s="1032">
        <v>1</v>
      </c>
      <c r="AL195" s="1200" t="s">
        <v>1247</v>
      </c>
      <c r="AM195" s="1032">
        <v>1</v>
      </c>
      <c r="AN195" s="1200" t="s">
        <v>1247</v>
      </c>
      <c r="AO195" s="1032">
        <v>1</v>
      </c>
      <c r="AP195" s="1200" t="s">
        <v>1247</v>
      </c>
      <c r="AQ195" s="1032">
        <v>1</v>
      </c>
      <c r="AR195" s="1200" t="s">
        <v>1247</v>
      </c>
      <c r="AS195" s="1032">
        <v>1</v>
      </c>
      <c r="AT195" s="1200" t="s">
        <v>1247</v>
      </c>
      <c r="AU195" s="1032">
        <v>1</v>
      </c>
      <c r="AW195" s="1404"/>
      <c r="AX195" s="1200" t="s">
        <v>1247</v>
      </c>
      <c r="AY195" s="1032">
        <v>1</v>
      </c>
      <c r="AZ195" s="1200" t="s">
        <v>1247</v>
      </c>
      <c r="BA195" s="1032">
        <v>1</v>
      </c>
      <c r="BB195" s="1200" t="s">
        <v>1247</v>
      </c>
      <c r="BC195" s="1032">
        <v>1</v>
      </c>
      <c r="BD195" s="1200" t="s">
        <v>1247</v>
      </c>
      <c r="BE195" s="1032">
        <v>1</v>
      </c>
      <c r="BF195" s="1200" t="s">
        <v>1247</v>
      </c>
      <c r="BG195" s="1032">
        <v>1</v>
      </c>
      <c r="BH195" s="1200" t="s">
        <v>1247</v>
      </c>
      <c r="BI195" s="1032">
        <v>1</v>
      </c>
      <c r="BJ195" s="1200" t="s">
        <v>1247</v>
      </c>
      <c r="BK195" s="1032">
        <v>1</v>
      </c>
      <c r="BM195" s="1436"/>
      <c r="BN195" s="1200" t="s">
        <v>1247</v>
      </c>
      <c r="BO195" s="1032">
        <v>1</v>
      </c>
      <c r="BP195" s="1200" t="s">
        <v>1247</v>
      </c>
      <c r="BQ195" s="1032">
        <v>1</v>
      </c>
      <c r="BR195" s="1200" t="s">
        <v>1247</v>
      </c>
      <c r="BS195" s="1032">
        <v>1</v>
      </c>
      <c r="BT195" s="1200" t="s">
        <v>1247</v>
      </c>
      <c r="BU195" s="1032">
        <v>1</v>
      </c>
      <c r="BV195" s="1200" t="s">
        <v>1247</v>
      </c>
      <c r="BW195" s="1032">
        <v>1</v>
      </c>
      <c r="BX195" s="1200" t="s">
        <v>1247</v>
      </c>
      <c r="BY195" s="1032">
        <v>1</v>
      </c>
      <c r="BZ195" s="1200" t="s">
        <v>1247</v>
      </c>
      <c r="CA195" s="1032">
        <v>1</v>
      </c>
      <c r="CC195" s="1436"/>
      <c r="CD195" s="1200" t="s">
        <v>1247</v>
      </c>
      <c r="CE195" s="1032">
        <v>1</v>
      </c>
      <c r="CF195" s="1200" t="s">
        <v>1247</v>
      </c>
      <c r="CG195" s="1032">
        <v>1</v>
      </c>
      <c r="CH195" s="1200" t="s">
        <v>1247</v>
      </c>
      <c r="CI195" s="1032">
        <v>1</v>
      </c>
      <c r="CJ195" s="1200" t="s">
        <v>1247</v>
      </c>
      <c r="CK195" s="1032">
        <v>1</v>
      </c>
      <c r="CL195" s="1200" t="s">
        <v>1247</v>
      </c>
      <c r="CM195" s="1032">
        <v>1</v>
      </c>
      <c r="CN195" s="1200" t="s">
        <v>1247</v>
      </c>
      <c r="CO195" s="1032">
        <v>1</v>
      </c>
      <c r="CP195" s="1200" t="s">
        <v>1247</v>
      </c>
      <c r="CQ195" s="1032">
        <v>1</v>
      </c>
      <c r="CS195" s="701"/>
      <c r="CT195" s="701"/>
      <c r="CU195" s="1211"/>
      <c r="CV195" s="701"/>
      <c r="CW195" s="1211"/>
      <c r="CX195" s="701"/>
      <c r="CY195" s="1211"/>
      <c r="CZ195" s="701"/>
      <c r="DA195" s="1211"/>
      <c r="DB195" s="701"/>
      <c r="DC195" s="1211"/>
      <c r="DD195" s="701"/>
      <c r="DE195" s="1211"/>
      <c r="DF195" s="701"/>
      <c r="DG195" s="1211"/>
    </row>
    <row r="196" spans="1:111" ht="15.75" customHeight="1">
      <c r="A196" s="1435" t="s">
        <v>1367</v>
      </c>
      <c r="B196" s="1415"/>
      <c r="C196" s="1426">
        <f>C194/(C195*C178)</f>
        <v>0.36461218836565101</v>
      </c>
      <c r="D196" s="1415"/>
      <c r="E196" s="1426">
        <f>E194/(E195*C178)</f>
        <v>0.4269390581717451</v>
      </c>
      <c r="F196" s="1415"/>
      <c r="G196" s="1426">
        <f>G194/(G195*C178)</f>
        <v>0.5547091412742382</v>
      </c>
      <c r="H196" s="1404"/>
      <c r="I196" s="1033">
        <f>Möblierungsschablone!$I$46</f>
        <v>5.76</v>
      </c>
      <c r="J196" s="1404"/>
      <c r="K196" s="1033">
        <f>Möblierungsschablone!$K$46</f>
        <v>7.1999999999999993</v>
      </c>
      <c r="L196" s="1404"/>
      <c r="M196" s="1033">
        <f>Möblierungsschablone!$M$51</f>
        <v>8.82</v>
      </c>
      <c r="N196" s="1404"/>
      <c r="O196" s="1033">
        <f>Möblierungsschablone!$O$51</f>
        <v>8.82</v>
      </c>
      <c r="Q196" s="1435" t="s">
        <v>1367</v>
      </c>
      <c r="R196" s="1433"/>
      <c r="S196" s="1426">
        <f>S194/(S195*S178)</f>
        <v>0.67472460220318242</v>
      </c>
      <c r="T196" s="1433"/>
      <c r="U196" s="1426">
        <f>U194/(U195*S178)</f>
        <v>0.72980416156670735</v>
      </c>
      <c r="V196" s="1433"/>
      <c r="W196" s="1426">
        <f>W194/(W195*S178)</f>
        <v>0.84822521419828634</v>
      </c>
      <c r="X196" s="1433"/>
      <c r="Y196" s="1426">
        <f>Y194/(Y195*S178)</f>
        <v>0.61689106487148104</v>
      </c>
      <c r="Z196" s="1414"/>
      <c r="AA196" s="1033">
        <f>Möblierungsschablone!$K$46</f>
        <v>7.1999999999999993</v>
      </c>
      <c r="AB196" s="1414"/>
      <c r="AC196" s="1033">
        <f>Möblierungsschablone!$M$51</f>
        <v>8.82</v>
      </c>
      <c r="AD196" s="1414"/>
      <c r="AE196" s="1033">
        <f>Möblierungsschablone!$O$51</f>
        <v>8.82</v>
      </c>
      <c r="AG196" s="1435" t="s">
        <v>1367</v>
      </c>
      <c r="AH196" s="1433"/>
      <c r="AI196" s="1426">
        <f>AI194/(AI195*AI178)</f>
        <v>0.60444078947368429</v>
      </c>
      <c r="AJ196" s="1433"/>
      <c r="AK196" s="1426">
        <f>AK194/(AK195*AI178)</f>
        <v>0.65378289473684215</v>
      </c>
      <c r="AL196" s="1433"/>
      <c r="AM196" s="1426">
        <f>AM194/(AM195*AI178)</f>
        <v>0.75986842105263164</v>
      </c>
      <c r="AN196" s="1433"/>
      <c r="AO196" s="1426">
        <f>AO194/(AO195*AI178)</f>
        <v>0.55263157894736847</v>
      </c>
      <c r="AP196" s="1433"/>
      <c r="AQ196" s="1426">
        <f>AQ194/(AQ195*AI178)</f>
        <v>0.67105263157894735</v>
      </c>
      <c r="AR196" s="1433"/>
      <c r="AS196" s="1426">
        <f>AS194/(AS195*AI178)</f>
        <v>0.79934210526315796</v>
      </c>
      <c r="AT196" s="1433"/>
      <c r="AU196" s="1426">
        <f>AU194/(AU195*AI178)</f>
        <v>0.83881578947368429</v>
      </c>
      <c r="AW196" s="1403" t="s">
        <v>1367</v>
      </c>
      <c r="AX196" s="1433"/>
      <c r="AY196" s="1426">
        <f>AY194/(AY195*AY178)</f>
        <v>0.56888544891640869</v>
      </c>
      <c r="AZ196" s="1433"/>
      <c r="BA196" s="1426">
        <f>BA194/(BA195*AY178)</f>
        <v>0.6153250773993808</v>
      </c>
      <c r="BB196" s="1433"/>
      <c r="BC196" s="1426">
        <f>BC194/(BC195*AY178)</f>
        <v>0.71517027863777094</v>
      </c>
      <c r="BD196" s="1433"/>
      <c r="BE196" s="1426">
        <f>BE194/(BE195*AY178)</f>
        <v>0.52012383900928794</v>
      </c>
      <c r="BF196" s="1433"/>
      <c r="BG196" s="1426">
        <f>BG194/(BG195*AY178)</f>
        <v>0.63157894736842102</v>
      </c>
      <c r="BH196" s="1433"/>
      <c r="BI196" s="1426">
        <f>BI194/(BI195*AY178)</f>
        <v>0.75232198142414863</v>
      </c>
      <c r="BJ196" s="1433"/>
      <c r="BK196" s="1426">
        <f>BK194/(BK195*AY178)</f>
        <v>0.78947368421052644</v>
      </c>
      <c r="BM196" s="1435" t="s">
        <v>1367</v>
      </c>
      <c r="BN196" s="1433"/>
      <c r="BO196" s="1426">
        <f>BO194/(BO195*BO178)</f>
        <v>0.52751196172248804</v>
      </c>
      <c r="BP196" s="1433"/>
      <c r="BQ196" s="1426">
        <f>BQ194/(BQ195*BO178)</f>
        <v>0.57057416267942584</v>
      </c>
      <c r="BR196" s="1433"/>
      <c r="BS196" s="1426">
        <f>BS194/(BS195*BO178)</f>
        <v>0.66315789473684217</v>
      </c>
      <c r="BT196" s="1433"/>
      <c r="BU196" s="1426">
        <f>BU194/(BU195*BO178)</f>
        <v>0.48229665071770339</v>
      </c>
      <c r="BV196" s="1433"/>
      <c r="BW196" s="1426">
        <f>BW194/(BW195*BO178)</f>
        <v>0.58564593301435408</v>
      </c>
      <c r="BX196" s="1433"/>
      <c r="BY196" s="1426">
        <f>BY194/(BY195*BO178)</f>
        <v>0.69760765550239234</v>
      </c>
      <c r="BZ196" s="1433"/>
      <c r="CA196" s="1426">
        <f>CA194/(CA195*BO178)</f>
        <v>0.73205741626794263</v>
      </c>
      <c r="CC196" s="1435" t="s">
        <v>1367</v>
      </c>
      <c r="CD196" s="1433"/>
      <c r="CE196" s="1426">
        <f>CE194/(CE195*CE178)</f>
        <v>0.50022686025408347</v>
      </c>
      <c r="CF196" s="1433"/>
      <c r="CG196" s="1426">
        <f>CG194/(CG195*CE178)</f>
        <v>0.54106170598911063</v>
      </c>
      <c r="CH196" s="1433"/>
      <c r="CI196" s="1426">
        <f>CI194/(CI195*CE178)</f>
        <v>0.62885662431941924</v>
      </c>
      <c r="CJ196" s="1433"/>
      <c r="CK196" s="1426">
        <f>CK194/(CK195*CE178)</f>
        <v>0.4573502722323049</v>
      </c>
      <c r="CL196" s="1433"/>
      <c r="CM196" s="1426">
        <f>CM194/(CM195*CE178)</f>
        <v>0.55535390199637014</v>
      </c>
      <c r="CN196" s="1433"/>
      <c r="CO196" s="1426">
        <f>CO194/(CO195*CE178)</f>
        <v>0.66152450090744108</v>
      </c>
      <c r="CP196" s="1433"/>
      <c r="CQ196" s="1426">
        <f>CQ194/(CQ195*CE178)</f>
        <v>0.69419237749546281</v>
      </c>
      <c r="CS196" s="1154"/>
      <c r="CT196" s="701"/>
      <c r="CU196" s="1152"/>
      <c r="CV196" s="701"/>
      <c r="CW196" s="1152"/>
      <c r="CX196" s="701"/>
      <c r="CY196" s="1152"/>
      <c r="CZ196" s="701"/>
      <c r="DA196" s="1152"/>
      <c r="DB196" s="701"/>
      <c r="DC196" s="1152"/>
      <c r="DD196" s="701"/>
      <c r="DE196" s="1152"/>
      <c r="DF196" s="701"/>
      <c r="DG196" s="1152"/>
    </row>
    <row r="197" spans="1:111" ht="15.75" customHeight="1">
      <c r="A197" s="1436"/>
      <c r="B197" s="1415"/>
      <c r="C197" s="1427"/>
      <c r="D197" s="1415"/>
      <c r="E197" s="1427"/>
      <c r="F197" s="1415"/>
      <c r="G197" s="1427"/>
      <c r="H197" s="1404"/>
      <c r="I197" s="1033"/>
      <c r="J197" s="1404"/>
      <c r="K197" s="1033"/>
      <c r="L197" s="1404"/>
      <c r="M197" s="1033"/>
      <c r="N197" s="1404"/>
      <c r="O197" s="1033"/>
      <c r="Q197" s="1436"/>
      <c r="R197" s="1433"/>
      <c r="S197" s="1427"/>
      <c r="T197" s="1433"/>
      <c r="U197" s="1427"/>
      <c r="V197" s="1433"/>
      <c r="W197" s="1427"/>
      <c r="X197" s="1433"/>
      <c r="Y197" s="1427"/>
      <c r="Z197" s="1415"/>
      <c r="AA197" s="1033"/>
      <c r="AB197" s="1415"/>
      <c r="AC197" s="1033"/>
      <c r="AD197" s="1415"/>
      <c r="AE197" s="1033"/>
      <c r="AG197" s="1436"/>
      <c r="AH197" s="1433"/>
      <c r="AI197" s="1427"/>
      <c r="AJ197" s="1433"/>
      <c r="AK197" s="1427"/>
      <c r="AL197" s="1433"/>
      <c r="AM197" s="1427"/>
      <c r="AN197" s="1433"/>
      <c r="AO197" s="1427"/>
      <c r="AP197" s="1433"/>
      <c r="AQ197" s="1427"/>
      <c r="AR197" s="1433"/>
      <c r="AS197" s="1427"/>
      <c r="AT197" s="1433"/>
      <c r="AU197" s="1427"/>
      <c r="AW197" s="1404"/>
      <c r="AX197" s="1433"/>
      <c r="AY197" s="1427"/>
      <c r="AZ197" s="1433"/>
      <c r="BA197" s="1427"/>
      <c r="BB197" s="1433"/>
      <c r="BC197" s="1427"/>
      <c r="BD197" s="1433"/>
      <c r="BE197" s="1427"/>
      <c r="BF197" s="1433"/>
      <c r="BG197" s="1427"/>
      <c r="BH197" s="1433"/>
      <c r="BI197" s="1427"/>
      <c r="BJ197" s="1433"/>
      <c r="BK197" s="1427"/>
      <c r="BM197" s="1436"/>
      <c r="BN197" s="1433"/>
      <c r="BO197" s="1427"/>
      <c r="BP197" s="1433"/>
      <c r="BQ197" s="1427"/>
      <c r="BR197" s="1433"/>
      <c r="BS197" s="1427"/>
      <c r="BT197" s="1433"/>
      <c r="BU197" s="1427"/>
      <c r="BV197" s="1433"/>
      <c r="BW197" s="1427"/>
      <c r="BX197" s="1433"/>
      <c r="BY197" s="1427"/>
      <c r="BZ197" s="1433"/>
      <c r="CA197" s="1427"/>
      <c r="CC197" s="1436"/>
      <c r="CD197" s="1433"/>
      <c r="CE197" s="1427"/>
      <c r="CF197" s="1433"/>
      <c r="CG197" s="1427"/>
      <c r="CH197" s="1433"/>
      <c r="CI197" s="1427"/>
      <c r="CJ197" s="1433"/>
      <c r="CK197" s="1427"/>
      <c r="CL197" s="1433"/>
      <c r="CM197" s="1427"/>
      <c r="CN197" s="1433"/>
      <c r="CO197" s="1427"/>
      <c r="CP197" s="1433"/>
      <c r="CQ197" s="1427"/>
      <c r="CS197" s="701"/>
      <c r="CT197" s="701"/>
      <c r="CU197" s="1152"/>
      <c r="CV197" s="701"/>
      <c r="CW197" s="1152"/>
      <c r="CX197" s="701"/>
      <c r="CY197" s="1152"/>
      <c r="CZ197" s="701"/>
      <c r="DA197" s="1152"/>
      <c r="DB197" s="701"/>
      <c r="DC197" s="1152"/>
      <c r="DD197" s="701"/>
      <c r="DE197" s="1152"/>
      <c r="DF197" s="701"/>
      <c r="DG197" s="1152"/>
    </row>
    <row r="198" spans="1:111" ht="15.75" customHeight="1">
      <c r="A198" s="1436"/>
      <c r="B198" s="1415"/>
      <c r="C198" s="1427"/>
      <c r="D198" s="1415"/>
      <c r="E198" s="1427"/>
      <c r="F198" s="1415"/>
      <c r="G198" s="1427"/>
      <c r="H198" s="1404"/>
      <c r="I198" s="1034">
        <f>SUM(I196:I197)</f>
        <v>5.76</v>
      </c>
      <c r="J198" s="1404"/>
      <c r="K198" s="1034">
        <f>SUM(K196:K197)</f>
        <v>7.1999999999999993</v>
      </c>
      <c r="L198" s="1404"/>
      <c r="M198" s="1034">
        <f>SUM(M196:M197)</f>
        <v>8.82</v>
      </c>
      <c r="N198" s="1404"/>
      <c r="O198" s="1034">
        <f>SUM(O196:O197)</f>
        <v>8.82</v>
      </c>
      <c r="Q198" s="1436"/>
      <c r="R198" s="1433"/>
      <c r="S198" s="1427"/>
      <c r="T198" s="1433"/>
      <c r="U198" s="1427"/>
      <c r="V198" s="1433"/>
      <c r="W198" s="1427"/>
      <c r="X198" s="1433"/>
      <c r="Y198" s="1427"/>
      <c r="Z198" s="1415"/>
      <c r="AA198" s="1034">
        <f>SUM(AA196:AA197)</f>
        <v>7.1999999999999993</v>
      </c>
      <c r="AB198" s="1415"/>
      <c r="AC198" s="1034">
        <f>SUM(AC196:AC197)</f>
        <v>8.82</v>
      </c>
      <c r="AD198" s="1415"/>
      <c r="AE198" s="1034">
        <f>SUM(AE196:AE197)</f>
        <v>8.82</v>
      </c>
      <c r="AG198" s="1436"/>
      <c r="AH198" s="1433"/>
      <c r="AI198" s="1427"/>
      <c r="AJ198" s="1433"/>
      <c r="AK198" s="1427"/>
      <c r="AL198" s="1433"/>
      <c r="AM198" s="1427"/>
      <c r="AN198" s="1433"/>
      <c r="AO198" s="1427"/>
      <c r="AP198" s="1433"/>
      <c r="AQ198" s="1427"/>
      <c r="AR198" s="1433"/>
      <c r="AS198" s="1427"/>
      <c r="AT198" s="1433"/>
      <c r="AU198" s="1427"/>
      <c r="AW198" s="1404"/>
      <c r="AX198" s="1433"/>
      <c r="AY198" s="1427"/>
      <c r="AZ198" s="1433"/>
      <c r="BA198" s="1427"/>
      <c r="BB198" s="1433"/>
      <c r="BC198" s="1427"/>
      <c r="BD198" s="1433"/>
      <c r="BE198" s="1427"/>
      <c r="BF198" s="1433"/>
      <c r="BG198" s="1427"/>
      <c r="BH198" s="1433"/>
      <c r="BI198" s="1427"/>
      <c r="BJ198" s="1433"/>
      <c r="BK198" s="1427"/>
      <c r="BM198" s="1436"/>
      <c r="BN198" s="1433"/>
      <c r="BO198" s="1427"/>
      <c r="BP198" s="1433"/>
      <c r="BQ198" s="1427"/>
      <c r="BR198" s="1433"/>
      <c r="BS198" s="1427"/>
      <c r="BT198" s="1433"/>
      <c r="BU198" s="1427"/>
      <c r="BV198" s="1433"/>
      <c r="BW198" s="1427"/>
      <c r="BX198" s="1433"/>
      <c r="BY198" s="1427"/>
      <c r="BZ198" s="1433"/>
      <c r="CA198" s="1427"/>
      <c r="CC198" s="1436"/>
      <c r="CD198" s="1433"/>
      <c r="CE198" s="1427"/>
      <c r="CF198" s="1433"/>
      <c r="CG198" s="1427"/>
      <c r="CH198" s="1433"/>
      <c r="CI198" s="1427"/>
      <c r="CJ198" s="1433"/>
      <c r="CK198" s="1427"/>
      <c r="CL198" s="1433"/>
      <c r="CM198" s="1427"/>
      <c r="CN198" s="1433"/>
      <c r="CO198" s="1427"/>
      <c r="CP198" s="1433"/>
      <c r="CQ198" s="1427"/>
      <c r="CS198" s="701"/>
      <c r="CT198" s="701"/>
      <c r="CU198" s="1152"/>
      <c r="CV198" s="701"/>
      <c r="CW198" s="1152"/>
      <c r="CX198" s="701"/>
      <c r="CY198" s="1152"/>
      <c r="CZ198" s="701"/>
      <c r="DA198" s="1152"/>
      <c r="DB198" s="701"/>
      <c r="DC198" s="1152"/>
      <c r="DD198" s="701"/>
      <c r="DE198" s="1152"/>
      <c r="DF198" s="701"/>
      <c r="DG198" s="1152"/>
    </row>
    <row r="199" spans="1:111" ht="15.75" customHeight="1">
      <c r="A199" s="1436"/>
      <c r="B199" s="1415"/>
      <c r="C199" s="1427"/>
      <c r="D199" s="1415"/>
      <c r="E199" s="1427"/>
      <c r="F199" s="1415"/>
      <c r="G199" s="1427"/>
      <c r="H199" s="1404"/>
      <c r="I199" s="1032">
        <v>1</v>
      </c>
      <c r="J199" s="1404"/>
      <c r="K199" s="1032">
        <v>1</v>
      </c>
      <c r="L199" s="1404"/>
      <c r="M199" s="1032">
        <v>1</v>
      </c>
      <c r="N199" s="1404"/>
      <c r="O199" s="1032">
        <v>1</v>
      </c>
      <c r="Q199" s="1436"/>
      <c r="R199" s="1433"/>
      <c r="S199" s="1427"/>
      <c r="T199" s="1433"/>
      <c r="U199" s="1427"/>
      <c r="V199" s="1433"/>
      <c r="W199" s="1427"/>
      <c r="X199" s="1433"/>
      <c r="Y199" s="1427"/>
      <c r="Z199" s="1415"/>
      <c r="AA199" s="1032">
        <v>1</v>
      </c>
      <c r="AB199" s="1415"/>
      <c r="AC199" s="1032">
        <v>1</v>
      </c>
      <c r="AD199" s="1415"/>
      <c r="AE199" s="1032">
        <v>1</v>
      </c>
      <c r="AG199" s="1436"/>
      <c r="AH199" s="1433"/>
      <c r="AI199" s="1427"/>
      <c r="AJ199" s="1433"/>
      <c r="AK199" s="1427"/>
      <c r="AL199" s="1433"/>
      <c r="AM199" s="1427"/>
      <c r="AN199" s="1433"/>
      <c r="AO199" s="1427"/>
      <c r="AP199" s="1433"/>
      <c r="AQ199" s="1427"/>
      <c r="AR199" s="1433"/>
      <c r="AS199" s="1427"/>
      <c r="AT199" s="1433"/>
      <c r="AU199" s="1427"/>
      <c r="AW199" s="1404"/>
      <c r="AX199" s="1433"/>
      <c r="AY199" s="1427"/>
      <c r="AZ199" s="1433"/>
      <c r="BA199" s="1427"/>
      <c r="BB199" s="1433"/>
      <c r="BC199" s="1427"/>
      <c r="BD199" s="1433"/>
      <c r="BE199" s="1427"/>
      <c r="BF199" s="1433"/>
      <c r="BG199" s="1427"/>
      <c r="BH199" s="1433"/>
      <c r="BI199" s="1427"/>
      <c r="BJ199" s="1433"/>
      <c r="BK199" s="1427"/>
      <c r="BM199" s="1436"/>
      <c r="BN199" s="1433"/>
      <c r="BO199" s="1427"/>
      <c r="BP199" s="1433"/>
      <c r="BQ199" s="1427"/>
      <c r="BR199" s="1433"/>
      <c r="BS199" s="1427"/>
      <c r="BT199" s="1433"/>
      <c r="BU199" s="1427"/>
      <c r="BV199" s="1433"/>
      <c r="BW199" s="1427"/>
      <c r="BX199" s="1433"/>
      <c r="BY199" s="1427"/>
      <c r="BZ199" s="1433"/>
      <c r="CA199" s="1427"/>
      <c r="CC199" s="1436"/>
      <c r="CD199" s="1433"/>
      <c r="CE199" s="1427"/>
      <c r="CF199" s="1433"/>
      <c r="CG199" s="1427"/>
      <c r="CH199" s="1433"/>
      <c r="CI199" s="1427"/>
      <c r="CJ199" s="1433"/>
      <c r="CK199" s="1427"/>
      <c r="CL199" s="1433"/>
      <c r="CM199" s="1427"/>
      <c r="CN199" s="1433"/>
      <c r="CO199" s="1427"/>
      <c r="CP199" s="1433"/>
      <c r="CQ199" s="1427"/>
      <c r="CS199" s="701"/>
      <c r="CT199" s="701"/>
      <c r="CU199" s="1210"/>
      <c r="CV199" s="701"/>
      <c r="CW199" s="1210"/>
      <c r="CX199" s="701"/>
      <c r="CY199" s="1210"/>
      <c r="CZ199" s="701"/>
      <c r="DA199" s="1210"/>
      <c r="DB199" s="701"/>
      <c r="DC199" s="1210"/>
      <c r="DD199" s="701"/>
      <c r="DE199" s="1210"/>
      <c r="DF199" s="701"/>
      <c r="DG199" s="1210"/>
    </row>
    <row r="200" spans="1:111" ht="15.75" customHeight="1">
      <c r="A200" s="1436"/>
      <c r="B200" s="1416"/>
      <c r="C200" s="1428"/>
      <c r="D200" s="1416"/>
      <c r="E200" s="1428"/>
      <c r="F200" s="1416"/>
      <c r="G200" s="1428"/>
      <c r="H200" s="1404"/>
      <c r="I200" s="1030">
        <f>I198/(I199*C178)</f>
        <v>0.39889196675900279</v>
      </c>
      <c r="J200" s="1404"/>
      <c r="K200" s="1030">
        <f>K198/(K199*C178)</f>
        <v>0.49861495844875342</v>
      </c>
      <c r="L200" s="1404"/>
      <c r="M200" s="1030">
        <f>M198/(M199*C178)</f>
        <v>0.61080332409972304</v>
      </c>
      <c r="N200" s="1404"/>
      <c r="O200" s="1030">
        <f>O198/(O199*C178)</f>
        <v>0.61080332409972304</v>
      </c>
      <c r="Q200" s="1436"/>
      <c r="R200" s="1433"/>
      <c r="S200" s="1427"/>
      <c r="T200" s="1433"/>
      <c r="U200" s="1427"/>
      <c r="V200" s="1434"/>
      <c r="W200" s="1428"/>
      <c r="X200" s="1434"/>
      <c r="Y200" s="1428"/>
      <c r="Z200" s="1416"/>
      <c r="AA200" s="1030">
        <f>AA198/(AA199*S178)</f>
        <v>0.44063647490820068</v>
      </c>
      <c r="AB200" s="1416"/>
      <c r="AC200" s="1030">
        <f>AC198/(AC199*S178)</f>
        <v>0.53977968176254587</v>
      </c>
      <c r="AD200" s="1416"/>
      <c r="AE200" s="1030">
        <f>AE198/(AE199*S178)</f>
        <v>0.53977968176254587</v>
      </c>
      <c r="AG200" s="1436"/>
      <c r="AH200" s="1433"/>
      <c r="AI200" s="1427"/>
      <c r="AJ200" s="1433"/>
      <c r="AK200" s="1427"/>
      <c r="AL200" s="1433"/>
      <c r="AM200" s="1427"/>
      <c r="AN200" s="1434"/>
      <c r="AO200" s="1428"/>
      <c r="AP200" s="1434"/>
      <c r="AQ200" s="1428"/>
      <c r="AR200" s="1434"/>
      <c r="AS200" s="1428"/>
      <c r="AT200" s="1434"/>
      <c r="AU200" s="1428"/>
      <c r="AW200" s="1404"/>
      <c r="AX200" s="1433"/>
      <c r="AY200" s="1427"/>
      <c r="AZ200" s="1433"/>
      <c r="BA200" s="1427"/>
      <c r="BB200" s="1433"/>
      <c r="BC200" s="1427"/>
      <c r="BD200" s="1434"/>
      <c r="BE200" s="1428"/>
      <c r="BF200" s="1434"/>
      <c r="BG200" s="1428"/>
      <c r="BH200" s="1434"/>
      <c r="BI200" s="1428"/>
      <c r="BJ200" s="1434"/>
      <c r="BK200" s="1428"/>
      <c r="BM200" s="1436"/>
      <c r="BN200" s="1433"/>
      <c r="BO200" s="1427"/>
      <c r="BP200" s="1433"/>
      <c r="BQ200" s="1427"/>
      <c r="BR200" s="1433"/>
      <c r="BS200" s="1427"/>
      <c r="BT200" s="1434"/>
      <c r="BU200" s="1428"/>
      <c r="BV200" s="1434"/>
      <c r="BW200" s="1428"/>
      <c r="BX200" s="1434"/>
      <c r="BY200" s="1428"/>
      <c r="BZ200" s="1434"/>
      <c r="CA200" s="1428"/>
      <c r="CC200" s="1436"/>
      <c r="CD200" s="1433"/>
      <c r="CE200" s="1427"/>
      <c r="CF200" s="1433"/>
      <c r="CG200" s="1427"/>
      <c r="CH200" s="1433"/>
      <c r="CI200" s="1427"/>
      <c r="CJ200" s="1434"/>
      <c r="CK200" s="1428"/>
      <c r="CL200" s="1434"/>
      <c r="CM200" s="1428"/>
      <c r="CN200" s="1434"/>
      <c r="CO200" s="1428"/>
      <c r="CP200" s="1434"/>
      <c r="CQ200" s="1428"/>
      <c r="CS200" s="701"/>
      <c r="CT200" s="701"/>
      <c r="CU200" s="1211"/>
      <c r="CV200" s="701"/>
      <c r="CW200" s="1211"/>
      <c r="CX200" s="701"/>
      <c r="CY200" s="1211"/>
      <c r="CZ200" s="701"/>
      <c r="DA200" s="1211"/>
      <c r="DB200" s="701"/>
      <c r="DC200" s="1211"/>
      <c r="DD200" s="701"/>
      <c r="DE200" s="1211"/>
      <c r="DF200" s="701"/>
      <c r="DG200" s="1211"/>
    </row>
    <row r="201" spans="1:111" ht="15.75" customHeight="1">
      <c r="A201" s="1435" t="s">
        <v>1368</v>
      </c>
      <c r="B201" s="1404"/>
      <c r="C201" s="1033">
        <f>Möblierungsschablone!$C$56</f>
        <v>5.76</v>
      </c>
      <c r="D201" s="1404"/>
      <c r="E201" s="1033">
        <f>Möblierungsschablone!$E$56</f>
        <v>5.76</v>
      </c>
      <c r="F201" s="1404"/>
      <c r="G201" s="1033">
        <f>Möblierungsschablone!$G$56</f>
        <v>5.76</v>
      </c>
      <c r="H201" s="1404"/>
      <c r="I201" s="1033">
        <f>Möblierungsschablone!$I$56</f>
        <v>5.76</v>
      </c>
      <c r="J201" s="1404"/>
      <c r="K201" s="1033">
        <f>Möblierungsschablone!$K$61</f>
        <v>7.34</v>
      </c>
      <c r="L201" s="1404"/>
      <c r="M201" s="1033">
        <f>Möblierungsschablone!$M$61</f>
        <v>9.18</v>
      </c>
      <c r="N201" s="1404"/>
      <c r="O201" s="1033">
        <f>Möblierungsschablone!$O$61</f>
        <v>9.4199999999999982</v>
      </c>
      <c r="Q201" s="1435" t="s">
        <v>1368</v>
      </c>
      <c r="R201" s="1433"/>
      <c r="S201" s="1427"/>
      <c r="T201" s="1433"/>
      <c r="U201" s="1427"/>
      <c r="V201" s="1208" t="s">
        <v>2177</v>
      </c>
      <c r="W201" s="1045">
        <f>Möblierungsschablone!$G$56</f>
        <v>5.76</v>
      </c>
      <c r="X201" s="1448"/>
      <c r="Y201" s="1033">
        <f>Möblierungsschablone!$I$56</f>
        <v>5.76</v>
      </c>
      <c r="Z201" s="1448"/>
      <c r="AA201" s="1033">
        <f>Möblierungsschablone!$K$61</f>
        <v>7.34</v>
      </c>
      <c r="AB201" s="1448"/>
      <c r="AC201" s="1033">
        <f>Möblierungsschablone!$M$61</f>
        <v>9.18</v>
      </c>
      <c r="AD201" s="1448"/>
      <c r="AE201" s="1033">
        <f>Möblierungsschablone!$O$61</f>
        <v>9.4199999999999982</v>
      </c>
      <c r="AG201" s="1435" t="s">
        <v>1368</v>
      </c>
      <c r="AH201" s="1433"/>
      <c r="AI201" s="1427"/>
      <c r="AJ201" s="1433"/>
      <c r="AK201" s="1427"/>
      <c r="AL201" s="1433"/>
      <c r="AM201" s="1427"/>
      <c r="AN201" s="1203" t="s">
        <v>2177</v>
      </c>
      <c r="AO201" s="1045">
        <f>Möblierungsschablone!$K$61</f>
        <v>7.34</v>
      </c>
      <c r="AP201" s="1203" t="s">
        <v>2177</v>
      </c>
      <c r="AQ201" s="1045">
        <f>Möblierungsschablone!$K$61</f>
        <v>7.34</v>
      </c>
      <c r="AR201" s="1404"/>
      <c r="AS201" s="1033">
        <f>Möblierungsschablone!$M$61</f>
        <v>9.18</v>
      </c>
      <c r="AT201" s="1404"/>
      <c r="AU201" s="1033">
        <f>Möblierungsschablone!$O$61</f>
        <v>9.4199999999999982</v>
      </c>
      <c r="AW201" s="1403" t="s">
        <v>1368</v>
      </c>
      <c r="AX201" s="1433"/>
      <c r="AY201" s="1427"/>
      <c r="AZ201" s="1433"/>
      <c r="BA201" s="1427"/>
      <c r="BB201" s="1433"/>
      <c r="BC201" s="1427"/>
      <c r="BD201" s="1203" t="s">
        <v>2177</v>
      </c>
      <c r="BE201" s="1045">
        <f>Möblierungsschablone!$K$61</f>
        <v>7.34</v>
      </c>
      <c r="BF201" s="1203" t="s">
        <v>2177</v>
      </c>
      <c r="BG201" s="1045">
        <f>Möblierungsschablone!$K$61</f>
        <v>7.34</v>
      </c>
      <c r="BH201" s="1404"/>
      <c r="BI201" s="1033">
        <f>Möblierungsschablone!$M$61</f>
        <v>9.18</v>
      </c>
      <c r="BJ201" s="1404"/>
      <c r="BK201" s="1033">
        <f>Möblierungsschablone!$O$61</f>
        <v>9.4199999999999982</v>
      </c>
      <c r="BM201" s="1435" t="s">
        <v>1368</v>
      </c>
      <c r="BN201" s="1433"/>
      <c r="BO201" s="1427"/>
      <c r="BP201" s="1433"/>
      <c r="BQ201" s="1427"/>
      <c r="BR201" s="1433"/>
      <c r="BS201" s="1427"/>
      <c r="BT201" s="1203" t="s">
        <v>2177</v>
      </c>
      <c r="BU201" s="1045">
        <f>Möblierungsschablone!$K$61</f>
        <v>7.34</v>
      </c>
      <c r="BV201" s="1203" t="s">
        <v>2177</v>
      </c>
      <c r="BW201" s="1045">
        <f>Möblierungsschablone!$K$61</f>
        <v>7.34</v>
      </c>
      <c r="BX201" s="1199" t="s">
        <v>2177</v>
      </c>
      <c r="BY201" s="1033">
        <f>Möblierungsschablone!$M$61</f>
        <v>9.18</v>
      </c>
      <c r="BZ201" s="1404"/>
      <c r="CA201" s="1033">
        <f>Möblierungsschablone!$O$61</f>
        <v>9.4199999999999982</v>
      </c>
      <c r="CC201" s="1435" t="s">
        <v>1368</v>
      </c>
      <c r="CD201" s="1433"/>
      <c r="CE201" s="1427"/>
      <c r="CF201" s="1433"/>
      <c r="CG201" s="1427"/>
      <c r="CH201" s="1433"/>
      <c r="CI201" s="1427"/>
      <c r="CJ201" s="1199" t="s">
        <v>2177</v>
      </c>
      <c r="CK201" s="1033">
        <f>Möblierungsschablone!$I$56</f>
        <v>5.76</v>
      </c>
      <c r="CL201" s="1199" t="s">
        <v>2177</v>
      </c>
      <c r="CM201" s="1033">
        <f>Möblierungsschablone!$K$61</f>
        <v>7.34</v>
      </c>
      <c r="CN201" s="1199" t="s">
        <v>2177</v>
      </c>
      <c r="CO201" s="1033">
        <f>Möblierungsschablone!$M$61</f>
        <v>9.18</v>
      </c>
      <c r="CP201" s="1404"/>
      <c r="CQ201" s="1033">
        <f>Möblierungsschablone!$O$61</f>
        <v>9.4199999999999982</v>
      </c>
      <c r="CS201" s="1154"/>
      <c r="CT201" s="701"/>
      <c r="CU201" s="1152"/>
      <c r="CV201" s="701"/>
      <c r="CW201" s="1152"/>
      <c r="CX201" s="701"/>
      <c r="CY201" s="1152"/>
      <c r="CZ201" s="701"/>
      <c r="DA201" s="1039"/>
      <c r="DB201" s="701"/>
      <c r="DC201" s="1039"/>
      <c r="DD201" s="701"/>
      <c r="DE201" s="1039"/>
      <c r="DF201" s="701"/>
      <c r="DG201" s="1039"/>
    </row>
    <row r="202" spans="1:111" ht="15.75" customHeight="1">
      <c r="A202" s="1436"/>
      <c r="B202" s="1404"/>
      <c r="C202" s="1033"/>
      <c r="D202" s="1404"/>
      <c r="E202" s="1033"/>
      <c r="F202" s="1404"/>
      <c r="G202" s="1033"/>
      <c r="H202" s="1404"/>
      <c r="I202" s="1033"/>
      <c r="J202" s="1404"/>
      <c r="K202" s="1033"/>
      <c r="L202" s="1404"/>
      <c r="M202" s="1033"/>
      <c r="N202" s="1404"/>
      <c r="O202" s="1033"/>
      <c r="Q202" s="1436"/>
      <c r="R202" s="1433"/>
      <c r="S202" s="1427"/>
      <c r="T202" s="1433"/>
      <c r="U202" s="1427"/>
      <c r="V202" s="1200" t="s">
        <v>2039</v>
      </c>
      <c r="W202" s="1045">
        <f>Möblierungsschablone!$C$66</f>
        <v>4.08</v>
      </c>
      <c r="X202" s="1449"/>
      <c r="Y202" s="1033"/>
      <c r="Z202" s="1449"/>
      <c r="AA202" s="1033"/>
      <c r="AB202" s="1449"/>
      <c r="AC202" s="1033"/>
      <c r="AD202" s="1449"/>
      <c r="AE202" s="1033"/>
      <c r="AG202" s="1436"/>
      <c r="AH202" s="1433"/>
      <c r="AI202" s="1427"/>
      <c r="AJ202" s="1433"/>
      <c r="AK202" s="1427"/>
      <c r="AL202" s="1433"/>
      <c r="AM202" s="1427"/>
      <c r="AN202" s="1200" t="s">
        <v>2040</v>
      </c>
      <c r="AO202" s="1045">
        <f>2*Möblierungsschablone!$C$66</f>
        <v>8.16</v>
      </c>
      <c r="AP202" s="1200" t="s">
        <v>2040</v>
      </c>
      <c r="AQ202" s="1045">
        <f>2*Möblierungsschablone!$C$66</f>
        <v>8.16</v>
      </c>
      <c r="AR202" s="1404"/>
      <c r="AS202" s="1033"/>
      <c r="AT202" s="1404"/>
      <c r="AU202" s="1033"/>
      <c r="AW202" s="1404"/>
      <c r="AX202" s="1433"/>
      <c r="AY202" s="1427"/>
      <c r="AZ202" s="1433"/>
      <c r="BA202" s="1427"/>
      <c r="BB202" s="1433"/>
      <c r="BC202" s="1427"/>
      <c r="BD202" s="1200" t="s">
        <v>2040</v>
      </c>
      <c r="BE202" s="1045">
        <f>2*Möblierungsschablone!$C$66</f>
        <v>8.16</v>
      </c>
      <c r="BF202" s="1200" t="s">
        <v>2040</v>
      </c>
      <c r="BG202" s="1045">
        <f>2*Möblierungsschablone!$C$66</f>
        <v>8.16</v>
      </c>
      <c r="BH202" s="1404"/>
      <c r="BI202" s="1033"/>
      <c r="BJ202" s="1404"/>
      <c r="BK202" s="1033"/>
      <c r="BM202" s="1436"/>
      <c r="BN202" s="1433"/>
      <c r="BO202" s="1427"/>
      <c r="BP202" s="1433"/>
      <c r="BQ202" s="1427"/>
      <c r="BR202" s="1433"/>
      <c r="BS202" s="1427"/>
      <c r="BT202" s="1200" t="s">
        <v>2040</v>
      </c>
      <c r="BU202" s="1045">
        <f>2*Möblierungsschablone!$C$66</f>
        <v>8.16</v>
      </c>
      <c r="BV202" s="1200" t="s">
        <v>2040</v>
      </c>
      <c r="BW202" s="1045">
        <f>2*Möblierungsschablone!$C$66</f>
        <v>8.16</v>
      </c>
      <c r="BX202" s="1200" t="s">
        <v>2039</v>
      </c>
      <c r="BY202" s="1033">
        <f>Möblierungsschablone!$C$66</f>
        <v>4.08</v>
      </c>
      <c r="BZ202" s="1404"/>
      <c r="CA202" s="1033"/>
      <c r="CC202" s="1436"/>
      <c r="CD202" s="1433"/>
      <c r="CE202" s="1427"/>
      <c r="CF202" s="1433"/>
      <c r="CG202" s="1427"/>
      <c r="CH202" s="1433"/>
      <c r="CI202" s="1427"/>
      <c r="CJ202" s="1200" t="s">
        <v>2040</v>
      </c>
      <c r="CK202" s="1033">
        <f>2*Möblierungsschablone!$C$66</f>
        <v>8.16</v>
      </c>
      <c r="CL202" s="1200" t="s">
        <v>2040</v>
      </c>
      <c r="CM202" s="1033">
        <f>2*Möblierungsschablone!$C$66</f>
        <v>8.16</v>
      </c>
      <c r="CN202" s="1200" t="s">
        <v>2039</v>
      </c>
      <c r="CO202" s="1033">
        <f>Möblierungsschablone!$C$66</f>
        <v>4.08</v>
      </c>
      <c r="CP202" s="1404"/>
      <c r="CQ202" s="1033"/>
      <c r="CS202" s="701"/>
      <c r="CT202" s="701"/>
      <c r="CU202" s="1152"/>
      <c r="CV202" s="701"/>
      <c r="CW202" s="1152"/>
      <c r="CX202" s="701"/>
      <c r="CY202" s="1152"/>
      <c r="CZ202" s="701"/>
      <c r="DA202" s="1039"/>
      <c r="DB202" s="701"/>
      <c r="DC202" s="1039"/>
      <c r="DD202" s="701"/>
      <c r="DE202" s="1039"/>
      <c r="DF202" s="701"/>
      <c r="DG202" s="1039"/>
    </row>
    <row r="203" spans="1:111" ht="15.75" customHeight="1">
      <c r="A203" s="1436"/>
      <c r="B203" s="1404"/>
      <c r="C203" s="1034">
        <f>SUM(C201:C202)</f>
        <v>5.76</v>
      </c>
      <c r="D203" s="1404"/>
      <c r="E203" s="1034">
        <f>SUM(E201:E202)</f>
        <v>5.76</v>
      </c>
      <c r="F203" s="1404"/>
      <c r="G203" s="1034">
        <f>SUM(G201:G202)</f>
        <v>5.76</v>
      </c>
      <c r="H203" s="1404"/>
      <c r="I203" s="1034">
        <f>SUM(I201:I202)</f>
        <v>5.76</v>
      </c>
      <c r="J203" s="1404"/>
      <c r="K203" s="1034">
        <f>SUM(K201:K202)</f>
        <v>7.34</v>
      </c>
      <c r="L203" s="1404"/>
      <c r="M203" s="1034">
        <f>SUM(M201:M202)</f>
        <v>9.18</v>
      </c>
      <c r="N203" s="1404"/>
      <c r="O203" s="1034">
        <f>SUM(O201:O202)</f>
        <v>9.4199999999999982</v>
      </c>
      <c r="Q203" s="1436"/>
      <c r="R203" s="1433"/>
      <c r="S203" s="1427"/>
      <c r="T203" s="1433"/>
      <c r="U203" s="1427"/>
      <c r="V203" s="1200" t="s">
        <v>2037</v>
      </c>
      <c r="W203" s="1045">
        <f>Möblierungsschablone!$I$66</f>
        <v>1.4400000000000002</v>
      </c>
      <c r="X203" s="1449"/>
      <c r="Y203" s="1034">
        <f>SUM(Y201:Y202)</f>
        <v>5.76</v>
      </c>
      <c r="Z203" s="1449"/>
      <c r="AA203" s="1034">
        <f>SUM(AA201:AA202)</f>
        <v>7.34</v>
      </c>
      <c r="AB203" s="1449"/>
      <c r="AC203" s="1034">
        <f>SUM(AC201:AC202)</f>
        <v>9.18</v>
      </c>
      <c r="AD203" s="1449"/>
      <c r="AE203" s="1034">
        <f>SUM(AE201:AE202)</f>
        <v>9.4199999999999982</v>
      </c>
      <c r="AG203" s="1436"/>
      <c r="AH203" s="1433"/>
      <c r="AI203" s="1427"/>
      <c r="AJ203" s="1433"/>
      <c r="AK203" s="1427"/>
      <c r="AL203" s="1433"/>
      <c r="AM203" s="1427"/>
      <c r="AN203" s="1213"/>
      <c r="AO203" s="1045"/>
      <c r="AP203" s="1213"/>
      <c r="AQ203" s="1045"/>
      <c r="AR203" s="1404"/>
      <c r="AS203" s="1034">
        <f>SUM(AS201:AS202)</f>
        <v>9.18</v>
      </c>
      <c r="AT203" s="1404"/>
      <c r="AU203" s="1034">
        <f>SUM(AU201:AU202)</f>
        <v>9.4199999999999982</v>
      </c>
      <c r="AW203" s="1404"/>
      <c r="AX203" s="1433"/>
      <c r="AY203" s="1427"/>
      <c r="AZ203" s="1433"/>
      <c r="BA203" s="1427"/>
      <c r="BB203" s="1433"/>
      <c r="BC203" s="1427"/>
      <c r="BD203" s="1213"/>
      <c r="BE203" s="1045"/>
      <c r="BF203" s="1213"/>
      <c r="BG203" s="1045"/>
      <c r="BH203" s="1404"/>
      <c r="BI203" s="1034">
        <f>SUM(BI201:BI202)</f>
        <v>9.18</v>
      </c>
      <c r="BJ203" s="1404"/>
      <c r="BK203" s="1034">
        <f>SUM(BK201:BK202)</f>
        <v>9.4199999999999982</v>
      </c>
      <c r="BM203" s="1436"/>
      <c r="BN203" s="1433"/>
      <c r="BO203" s="1427"/>
      <c r="BP203" s="1433"/>
      <c r="BQ203" s="1427"/>
      <c r="BR203" s="1433"/>
      <c r="BS203" s="1427"/>
      <c r="BT203" s="1213"/>
      <c r="BU203" s="1045"/>
      <c r="BV203" s="1213"/>
      <c r="BW203" s="1045"/>
      <c r="BX203" s="1200" t="s">
        <v>2038</v>
      </c>
      <c r="BY203" s="1033">
        <f>Möblierungsschablone!$G$66</f>
        <v>4.5</v>
      </c>
      <c r="BZ203" s="1404"/>
      <c r="CA203" s="1034">
        <f>SUM(CA201:CA202)</f>
        <v>9.4199999999999982</v>
      </c>
      <c r="CC203" s="1436"/>
      <c r="CD203" s="1433"/>
      <c r="CE203" s="1427"/>
      <c r="CF203" s="1433"/>
      <c r="CG203" s="1427"/>
      <c r="CH203" s="1433"/>
      <c r="CI203" s="1427"/>
      <c r="CJ203" s="1201" t="s">
        <v>2036</v>
      </c>
      <c r="CK203" s="1034">
        <f>SUM(CK201:CK202)</f>
        <v>13.92</v>
      </c>
      <c r="CL203" s="1201" t="s">
        <v>2036</v>
      </c>
      <c r="CM203" s="1034">
        <f>SUM(CM201:CM202)</f>
        <v>15.5</v>
      </c>
      <c r="CN203" s="1200" t="s">
        <v>2038</v>
      </c>
      <c r="CO203" s="1033">
        <f>Möblierungsschablone!$G$66</f>
        <v>4.5</v>
      </c>
      <c r="CP203" s="1404"/>
      <c r="CQ203" s="1034">
        <f>SUM(CQ201:CQ202)</f>
        <v>9.4199999999999982</v>
      </c>
      <c r="CS203" s="701"/>
      <c r="CT203" s="701"/>
      <c r="CU203" s="1152"/>
      <c r="CV203" s="701"/>
      <c r="CW203" s="1152"/>
      <c r="CX203" s="701"/>
      <c r="CY203" s="1152"/>
      <c r="CZ203" s="701"/>
      <c r="DA203" s="1193"/>
      <c r="DB203" s="701"/>
      <c r="DC203" s="1193"/>
      <c r="DD203" s="701"/>
      <c r="DE203" s="1193"/>
      <c r="DF203" s="701"/>
      <c r="DG203" s="1193"/>
    </row>
    <row r="204" spans="1:111" ht="15.75" customHeight="1">
      <c r="A204" s="1436"/>
      <c r="B204" s="1404"/>
      <c r="C204" s="1032">
        <v>1</v>
      </c>
      <c r="D204" s="1404"/>
      <c r="E204" s="1032">
        <v>1</v>
      </c>
      <c r="F204" s="1404"/>
      <c r="G204" s="1032">
        <v>1</v>
      </c>
      <c r="H204" s="1404"/>
      <c r="I204" s="1032">
        <v>1</v>
      </c>
      <c r="J204" s="1404"/>
      <c r="K204" s="1032">
        <v>1</v>
      </c>
      <c r="L204" s="1404"/>
      <c r="M204" s="1032">
        <v>1</v>
      </c>
      <c r="N204" s="1404"/>
      <c r="O204" s="1032">
        <v>1</v>
      </c>
      <c r="Q204" s="1436"/>
      <c r="R204" s="1433"/>
      <c r="S204" s="1427"/>
      <c r="T204" s="1433"/>
      <c r="U204" s="1427"/>
      <c r="V204" s="1201" t="s">
        <v>2036</v>
      </c>
      <c r="W204" s="1209">
        <f>SUM(W201:W203)</f>
        <v>11.28</v>
      </c>
      <c r="X204" s="1449"/>
      <c r="Y204" s="1032">
        <v>1</v>
      </c>
      <c r="Z204" s="1449"/>
      <c r="AA204" s="1032">
        <v>1</v>
      </c>
      <c r="AB204" s="1449"/>
      <c r="AC204" s="1032">
        <v>1</v>
      </c>
      <c r="AD204" s="1449"/>
      <c r="AE204" s="1032">
        <v>1</v>
      </c>
      <c r="AG204" s="1436"/>
      <c r="AH204" s="1433"/>
      <c r="AI204" s="1427"/>
      <c r="AJ204" s="1433"/>
      <c r="AK204" s="1427"/>
      <c r="AL204" s="1433"/>
      <c r="AM204" s="1427"/>
      <c r="AN204" s="1213"/>
      <c r="AO204" s="1045"/>
      <c r="AP204" s="1213"/>
      <c r="AQ204" s="1045"/>
      <c r="AR204" s="1404"/>
      <c r="AS204" s="1032">
        <v>1</v>
      </c>
      <c r="AT204" s="1404"/>
      <c r="AU204" s="1032">
        <v>1</v>
      </c>
      <c r="AW204" s="1404"/>
      <c r="AX204" s="1433"/>
      <c r="AY204" s="1427"/>
      <c r="AZ204" s="1433"/>
      <c r="BA204" s="1427"/>
      <c r="BB204" s="1433"/>
      <c r="BC204" s="1427"/>
      <c r="BD204" s="1213"/>
      <c r="BE204" s="1045"/>
      <c r="BF204" s="1213"/>
      <c r="BG204" s="1045"/>
      <c r="BH204" s="1404"/>
      <c r="BI204" s="1032">
        <v>1</v>
      </c>
      <c r="BJ204" s="1404"/>
      <c r="BK204" s="1032">
        <v>1</v>
      </c>
      <c r="BM204" s="1436"/>
      <c r="BN204" s="1433"/>
      <c r="BO204" s="1427"/>
      <c r="BP204" s="1433"/>
      <c r="BQ204" s="1427"/>
      <c r="BR204" s="1433"/>
      <c r="BS204" s="1427"/>
      <c r="BT204" s="1213"/>
      <c r="BU204" s="1045"/>
      <c r="BV204" s="1213"/>
      <c r="BW204" s="1045"/>
      <c r="BX204" s="1201" t="s">
        <v>2036</v>
      </c>
      <c r="BY204" s="1034">
        <f>SUM(BY201:BY203)</f>
        <v>17.759999999999998</v>
      </c>
      <c r="BZ204" s="1404"/>
      <c r="CA204" s="1032">
        <v>1</v>
      </c>
      <c r="CC204" s="1436"/>
      <c r="CD204" s="1433"/>
      <c r="CE204" s="1427"/>
      <c r="CF204" s="1433"/>
      <c r="CG204" s="1427"/>
      <c r="CH204" s="1433"/>
      <c r="CI204" s="1427"/>
      <c r="CJ204" s="1200" t="s">
        <v>1247</v>
      </c>
      <c r="CK204" s="1032">
        <v>1</v>
      </c>
      <c r="CL204" s="1200" t="s">
        <v>1247</v>
      </c>
      <c r="CM204" s="1032">
        <v>1</v>
      </c>
      <c r="CN204" s="1201" t="s">
        <v>2036</v>
      </c>
      <c r="CO204" s="1034">
        <f>SUM(CO201:CO203)</f>
        <v>17.759999999999998</v>
      </c>
      <c r="CP204" s="1404"/>
      <c r="CQ204" s="1032">
        <v>1</v>
      </c>
      <c r="CS204" s="701"/>
      <c r="CT204" s="701"/>
      <c r="CU204" s="1210"/>
      <c r="CV204" s="701"/>
      <c r="CW204" s="1210"/>
      <c r="CX204" s="701"/>
      <c r="CY204" s="1210"/>
      <c r="CZ204" s="701"/>
      <c r="DA204" s="763"/>
      <c r="DB204" s="701"/>
      <c r="DC204" s="763"/>
      <c r="DD204" s="701"/>
      <c r="DE204" s="763"/>
      <c r="DF204" s="701"/>
      <c r="DG204" s="763"/>
    </row>
    <row r="205" spans="1:111" ht="39" customHeight="1">
      <c r="A205" s="1436"/>
      <c r="B205" s="1404"/>
      <c r="C205" s="1030">
        <f>C203/(C204*C178)</f>
        <v>0.39889196675900279</v>
      </c>
      <c r="D205" s="1404"/>
      <c r="E205" s="1030">
        <f>E203/(E204*C178)</f>
        <v>0.39889196675900279</v>
      </c>
      <c r="F205" s="1404"/>
      <c r="G205" s="1030">
        <f>G203/(G204*C178)</f>
        <v>0.39889196675900279</v>
      </c>
      <c r="H205" s="1404"/>
      <c r="I205" s="1030">
        <f>I203/(I204*C178)</f>
        <v>0.39889196675900279</v>
      </c>
      <c r="J205" s="1404"/>
      <c r="K205" s="1030">
        <f>K203/(K204*C178)</f>
        <v>0.50831024930747926</v>
      </c>
      <c r="L205" s="1404"/>
      <c r="M205" s="1030">
        <f>M203/(M204*C178)</f>
        <v>0.6357340720221607</v>
      </c>
      <c r="N205" s="1404"/>
      <c r="O205" s="1030">
        <f>O203/(O204*C178)</f>
        <v>0.65235457063711899</v>
      </c>
      <c r="Q205" s="1436"/>
      <c r="R205" s="1434"/>
      <c r="S205" s="1428"/>
      <c r="T205" s="1434"/>
      <c r="U205" s="1428"/>
      <c r="V205" s="1200" t="s">
        <v>1247</v>
      </c>
      <c r="W205" s="1043">
        <v>1</v>
      </c>
      <c r="X205" s="1450"/>
      <c r="Y205" s="1030">
        <f>Y203/(Y204*S178)</f>
        <v>0.35250917992656056</v>
      </c>
      <c r="Z205" s="1450"/>
      <c r="AA205" s="1030">
        <f>AA203/(AA204*S178)</f>
        <v>0.44920440636474906</v>
      </c>
      <c r="AB205" s="1450"/>
      <c r="AC205" s="1030">
        <f>AC203/(AC204*S178)</f>
        <v>0.56181150550795589</v>
      </c>
      <c r="AD205" s="1450"/>
      <c r="AE205" s="1030">
        <f>AE203/(AE204*S178)</f>
        <v>0.57649938800489586</v>
      </c>
      <c r="AG205" s="1436"/>
      <c r="AH205" s="1434"/>
      <c r="AI205" s="1428"/>
      <c r="AJ205" s="1434"/>
      <c r="AK205" s="1428"/>
      <c r="AL205" s="1434"/>
      <c r="AM205" s="1428"/>
      <c r="AN205" s="1201" t="s">
        <v>2036</v>
      </c>
      <c r="AO205" s="1044">
        <f>SUM(AO201:AO202)</f>
        <v>15.5</v>
      </c>
      <c r="AP205" s="1201" t="s">
        <v>2036</v>
      </c>
      <c r="AQ205" s="1044">
        <f>SUM(AQ201:AQ202)</f>
        <v>15.5</v>
      </c>
      <c r="AR205" s="1404"/>
      <c r="AS205" s="1030">
        <f>AS203/(AS204*AI178)</f>
        <v>0.50328947368421051</v>
      </c>
      <c r="AT205" s="1404"/>
      <c r="AU205" s="1030">
        <f>AU203/(AU204*AI178)</f>
        <v>0.51644736842105254</v>
      </c>
      <c r="AW205" s="1404"/>
      <c r="AX205" s="1434"/>
      <c r="AY205" s="1428"/>
      <c r="AZ205" s="1434"/>
      <c r="BA205" s="1428"/>
      <c r="BB205" s="1434"/>
      <c r="BC205" s="1428"/>
      <c r="BD205" s="1201" t="s">
        <v>2036</v>
      </c>
      <c r="BE205" s="1044">
        <f>SUM(BE201:BE202)</f>
        <v>15.5</v>
      </c>
      <c r="BF205" s="1201" t="s">
        <v>2036</v>
      </c>
      <c r="BG205" s="1044">
        <f>SUM(BG201:BG202)</f>
        <v>15.5</v>
      </c>
      <c r="BH205" s="1404"/>
      <c r="BI205" s="1030">
        <f>BI203/(BI204*AY178)</f>
        <v>0.47368421052631582</v>
      </c>
      <c r="BJ205" s="1404"/>
      <c r="BK205" s="1030">
        <f>BK203/(BK204*AY178)</f>
        <v>0.48606811145510831</v>
      </c>
      <c r="BM205" s="1436"/>
      <c r="BN205" s="1434"/>
      <c r="BO205" s="1428"/>
      <c r="BP205" s="1434"/>
      <c r="BQ205" s="1428"/>
      <c r="BR205" s="1434"/>
      <c r="BS205" s="1428"/>
      <c r="BT205" s="1201" t="s">
        <v>2036</v>
      </c>
      <c r="BU205" s="1044">
        <f>SUM(BU201:BU202)</f>
        <v>15.5</v>
      </c>
      <c r="BV205" s="1201" t="s">
        <v>2036</v>
      </c>
      <c r="BW205" s="1044">
        <f>SUM(BW201:BW202)</f>
        <v>15.5</v>
      </c>
      <c r="BX205" s="1200" t="s">
        <v>1247</v>
      </c>
      <c r="BY205" s="1032">
        <v>1</v>
      </c>
      <c r="BZ205" s="1404"/>
      <c r="CA205" s="1030">
        <f>CA203/(CA204*BO178)</f>
        <v>0.45071770334928224</v>
      </c>
      <c r="CC205" s="1436"/>
      <c r="CD205" s="1434"/>
      <c r="CE205" s="1428"/>
      <c r="CF205" s="1434"/>
      <c r="CG205" s="1428"/>
      <c r="CH205" s="1434"/>
      <c r="CI205" s="1428"/>
      <c r="CJ205" s="1433"/>
      <c r="CK205" s="1426">
        <f>CK203/(CK204*CE178)</f>
        <v>0.63157894736842113</v>
      </c>
      <c r="CL205" s="1433"/>
      <c r="CM205" s="1426">
        <f>CM203/(CM204*CE178)</f>
        <v>0.70326678765880224</v>
      </c>
      <c r="CN205" s="1200" t="s">
        <v>1247</v>
      </c>
      <c r="CO205" s="1032">
        <v>1</v>
      </c>
      <c r="CP205" s="1404"/>
      <c r="CQ205" s="1030">
        <f>CQ203/(CQ204*CE178)</f>
        <v>0.42740471869328489</v>
      </c>
      <c r="CS205" s="701"/>
      <c r="CT205" s="701"/>
      <c r="CU205" s="1211"/>
      <c r="CV205" s="701"/>
      <c r="CW205" s="1211"/>
      <c r="CX205" s="701"/>
      <c r="CY205" s="1211"/>
      <c r="CZ205" s="701"/>
      <c r="DA205" s="1146"/>
      <c r="DB205" s="701"/>
      <c r="DC205" s="1146"/>
      <c r="DD205" s="701"/>
      <c r="DE205" s="1146"/>
      <c r="DF205" s="701"/>
      <c r="DG205" s="1146"/>
    </row>
    <row r="206" spans="1:111" ht="15.75" customHeight="1">
      <c r="A206" s="1435" t="s">
        <v>1369</v>
      </c>
      <c r="B206" s="1404"/>
      <c r="C206" s="1033">
        <f>Möblierungsschablone!$C$66</f>
        <v>4.08</v>
      </c>
      <c r="D206" s="1404"/>
      <c r="E206" s="1033">
        <f>Möblierungsschablone!$C$66</f>
        <v>4.08</v>
      </c>
      <c r="F206" s="1404"/>
      <c r="G206" s="1033">
        <f>Möblierungsschablone!$C$66</f>
        <v>4.08</v>
      </c>
      <c r="H206" s="1404"/>
      <c r="I206" s="1033">
        <f>2*Möblierungsschablone!$C$66</f>
        <v>8.16</v>
      </c>
      <c r="J206" s="1404"/>
      <c r="K206" s="1033">
        <f>2*Möblierungsschablone!$C$66</f>
        <v>8.16</v>
      </c>
      <c r="L206" s="1404"/>
      <c r="M206" s="1033">
        <f>Möblierungsschablone!$C$66</f>
        <v>4.08</v>
      </c>
      <c r="N206" s="1404"/>
      <c r="O206" s="1033">
        <f>Möblierungsschablone!$C$66</f>
        <v>4.08</v>
      </c>
      <c r="Q206" s="1435" t="s">
        <v>1369</v>
      </c>
      <c r="R206" s="1199" t="s">
        <v>2039</v>
      </c>
      <c r="S206" s="1033">
        <f>Möblierungsschablone!$C$66</f>
        <v>4.08</v>
      </c>
      <c r="T206" s="1199" t="s">
        <v>2039</v>
      </c>
      <c r="U206" s="1033">
        <f>Möblierungsschablone!$C$66</f>
        <v>4.08</v>
      </c>
      <c r="V206" s="1443"/>
      <c r="W206" s="1445">
        <f>W204/(W205*S178)</f>
        <v>0.69033047735618114</v>
      </c>
      <c r="X206" s="1199" t="s">
        <v>2040</v>
      </c>
      <c r="Y206" s="1033">
        <f>2*Möblierungsschablone!$C$66</f>
        <v>8.16</v>
      </c>
      <c r="Z206" s="1199" t="s">
        <v>2040</v>
      </c>
      <c r="AA206" s="1033">
        <f>2*Möblierungsschablone!$C$66</f>
        <v>8.16</v>
      </c>
      <c r="AB206" s="1199" t="s">
        <v>2039</v>
      </c>
      <c r="AC206" s="1033">
        <f>Möblierungsschablone!$C$66</f>
        <v>4.08</v>
      </c>
      <c r="AD206" s="1199" t="s">
        <v>2039</v>
      </c>
      <c r="AE206" s="1033">
        <f>Möblierungsschablone!$C$66</f>
        <v>4.08</v>
      </c>
      <c r="AG206" s="1435" t="s">
        <v>1369</v>
      </c>
      <c r="AH206" s="1199" t="s">
        <v>2039</v>
      </c>
      <c r="AI206" s="1033">
        <f>Möblierungsschablone!$C$66</f>
        <v>4.08</v>
      </c>
      <c r="AJ206" s="1199" t="s">
        <v>2039</v>
      </c>
      <c r="AK206" s="1033">
        <f>Möblierungsschablone!$C$66</f>
        <v>4.08</v>
      </c>
      <c r="AL206" s="1199" t="s">
        <v>2039</v>
      </c>
      <c r="AM206" s="1033">
        <f>Möblierungsschablone!$C$66</f>
        <v>4.08</v>
      </c>
      <c r="AN206" s="1200" t="s">
        <v>1247</v>
      </c>
      <c r="AO206" s="1043">
        <v>1</v>
      </c>
      <c r="AP206" s="1200" t="s">
        <v>1247</v>
      </c>
      <c r="AQ206" s="1043">
        <v>1</v>
      </c>
      <c r="AR206" s="1199" t="s">
        <v>2039</v>
      </c>
      <c r="AS206" s="1033">
        <f>Möblierungsschablone!$C$66</f>
        <v>4.08</v>
      </c>
      <c r="AT206" s="1199" t="s">
        <v>2039</v>
      </c>
      <c r="AU206" s="1033">
        <f>Möblierungsschablone!$C$66</f>
        <v>4.08</v>
      </c>
      <c r="AW206" s="1403" t="s">
        <v>1369</v>
      </c>
      <c r="AX206" s="1199" t="s">
        <v>2039</v>
      </c>
      <c r="AY206" s="1033">
        <f>Möblierungsschablone!$C$66</f>
        <v>4.08</v>
      </c>
      <c r="AZ206" s="1199" t="s">
        <v>2039</v>
      </c>
      <c r="BA206" s="1033">
        <f>Möblierungsschablone!$C$66</f>
        <v>4.08</v>
      </c>
      <c r="BB206" s="1199" t="s">
        <v>2039</v>
      </c>
      <c r="BC206" s="1033">
        <f>Möblierungsschablone!$C$66</f>
        <v>4.08</v>
      </c>
      <c r="BD206" s="1200" t="s">
        <v>1247</v>
      </c>
      <c r="BE206" s="1043">
        <v>1</v>
      </c>
      <c r="BF206" s="1200" t="s">
        <v>1247</v>
      </c>
      <c r="BG206" s="1043">
        <v>1</v>
      </c>
      <c r="BH206" s="1199" t="s">
        <v>2039</v>
      </c>
      <c r="BI206" s="1033">
        <f>Möblierungsschablone!$C$66</f>
        <v>4.08</v>
      </c>
      <c r="BJ206" s="1199" t="s">
        <v>2039</v>
      </c>
      <c r="BK206" s="1033">
        <f>Möblierungsschablone!$C$66</f>
        <v>4.08</v>
      </c>
      <c r="BM206" s="1435" t="s">
        <v>1369</v>
      </c>
      <c r="BN206" s="1199" t="s">
        <v>2039</v>
      </c>
      <c r="BO206" s="1033">
        <f>Möblierungsschablone!$C$66</f>
        <v>4.08</v>
      </c>
      <c r="BP206" s="1199" t="s">
        <v>2039</v>
      </c>
      <c r="BQ206" s="1033">
        <f>Möblierungsschablone!$C$66</f>
        <v>4.08</v>
      </c>
      <c r="BR206" s="1199" t="s">
        <v>2039</v>
      </c>
      <c r="BS206" s="1033">
        <f>Möblierungsschablone!$C$66</f>
        <v>4.08</v>
      </c>
      <c r="BT206" s="1200" t="s">
        <v>1247</v>
      </c>
      <c r="BU206" s="1043">
        <v>1</v>
      </c>
      <c r="BV206" s="1200" t="s">
        <v>1247</v>
      </c>
      <c r="BW206" s="1043">
        <v>1</v>
      </c>
      <c r="BX206" s="1433"/>
      <c r="BY206" s="1426">
        <f>BY204/(BY205*BO178)</f>
        <v>0.84976076555023916</v>
      </c>
      <c r="BZ206" s="1199" t="s">
        <v>2039</v>
      </c>
      <c r="CA206" s="1033">
        <f>Möblierungsschablone!$C$66</f>
        <v>4.08</v>
      </c>
      <c r="CC206" s="1435" t="s">
        <v>1369</v>
      </c>
      <c r="CD206" s="1199" t="s">
        <v>2039</v>
      </c>
      <c r="CE206" s="1033">
        <f>Möblierungsschablone!$C$66</f>
        <v>4.08</v>
      </c>
      <c r="CF206" s="1199" t="s">
        <v>2039</v>
      </c>
      <c r="CG206" s="1033">
        <f>Möblierungsschablone!$C$66</f>
        <v>4.08</v>
      </c>
      <c r="CH206" s="1199" t="s">
        <v>2039</v>
      </c>
      <c r="CI206" s="1033">
        <f>Möblierungsschablone!$C$66</f>
        <v>4.08</v>
      </c>
      <c r="CJ206" s="1433"/>
      <c r="CK206" s="1427"/>
      <c r="CL206" s="1433"/>
      <c r="CM206" s="1427"/>
      <c r="CN206" s="1433"/>
      <c r="CO206" s="1426">
        <f>CO204/(CO205*CE178)</f>
        <v>0.80580762250453719</v>
      </c>
      <c r="CP206" s="1199" t="s">
        <v>2039</v>
      </c>
      <c r="CQ206" s="1033">
        <f>Möblierungsschablone!$C$66</f>
        <v>4.08</v>
      </c>
      <c r="CS206" s="1154"/>
      <c r="CT206" s="701"/>
      <c r="CU206" s="1039"/>
      <c r="CV206" s="701"/>
      <c r="CW206" s="1039"/>
      <c r="CX206" s="701"/>
      <c r="CY206" s="1039"/>
      <c r="CZ206" s="701"/>
      <c r="DA206" s="1039"/>
      <c r="DB206" s="701"/>
      <c r="DC206" s="1039"/>
      <c r="DD206" s="701"/>
      <c r="DE206" s="1039"/>
      <c r="DF206" s="701"/>
      <c r="DG206" s="1039"/>
    </row>
    <row r="207" spans="1:111" ht="15.75" customHeight="1">
      <c r="A207" s="1436"/>
      <c r="B207" s="1404"/>
      <c r="C207" s="1033"/>
      <c r="D207" s="1404"/>
      <c r="E207" s="1033"/>
      <c r="F207" s="1404"/>
      <c r="G207" s="1033">
        <f>Möblierungsschablone!$I$66</f>
        <v>1.4400000000000002</v>
      </c>
      <c r="H207" s="1404"/>
      <c r="I207" s="1033"/>
      <c r="J207" s="1404"/>
      <c r="K207" s="1033"/>
      <c r="L207" s="1404"/>
      <c r="M207" s="1033">
        <f>Möblierungsschablone!$G$66</f>
        <v>4.5</v>
      </c>
      <c r="N207" s="1404"/>
      <c r="O207" s="1033">
        <f>Möblierungsschablone!$G$66</f>
        <v>4.5</v>
      </c>
      <c r="Q207" s="1436"/>
      <c r="R207" s="1200"/>
      <c r="S207" s="1033"/>
      <c r="T207" s="1200"/>
      <c r="U207" s="1033"/>
      <c r="V207" s="1443"/>
      <c r="W207" s="1446"/>
      <c r="X207" s="1200"/>
      <c r="Y207" s="1033"/>
      <c r="Z207" s="1200"/>
      <c r="AA207" s="1033"/>
      <c r="AB207" s="1200" t="s">
        <v>2038</v>
      </c>
      <c r="AC207" s="1033">
        <f>Möblierungsschablone!$G$66</f>
        <v>4.5</v>
      </c>
      <c r="AD207" s="1200" t="s">
        <v>2038</v>
      </c>
      <c r="AE207" s="1033">
        <f>Möblierungsschablone!$G$66</f>
        <v>4.5</v>
      </c>
      <c r="AG207" s="1436"/>
      <c r="AH207" s="1200"/>
      <c r="AI207" s="1033"/>
      <c r="AJ207" s="1200"/>
      <c r="AK207" s="1033"/>
      <c r="AL207" s="1200" t="s">
        <v>2037</v>
      </c>
      <c r="AM207" s="1033">
        <f>Möblierungsschablone!$I$66</f>
        <v>1.4400000000000002</v>
      </c>
      <c r="AN207" s="1214"/>
      <c r="AO207" s="1426">
        <f>AO205/(AO206*AI178)</f>
        <v>0.84978070175438603</v>
      </c>
      <c r="AP207" s="1214"/>
      <c r="AQ207" s="1426">
        <f>AQ205/(AQ206*AI178)</f>
        <v>0.84978070175438603</v>
      </c>
      <c r="AR207" s="1200" t="s">
        <v>2038</v>
      </c>
      <c r="AS207" s="1033">
        <f>Möblierungsschablone!$G$66</f>
        <v>4.5</v>
      </c>
      <c r="AT207" s="1200" t="s">
        <v>2038</v>
      </c>
      <c r="AU207" s="1033">
        <f>Möblierungsschablone!$G$66</f>
        <v>4.5</v>
      </c>
      <c r="AW207" s="1404"/>
      <c r="AX207" s="1200"/>
      <c r="AY207" s="1033"/>
      <c r="AZ207" s="1200"/>
      <c r="BA207" s="1033"/>
      <c r="BB207" s="1200" t="s">
        <v>2037</v>
      </c>
      <c r="BC207" s="1033">
        <f>Möblierungsschablone!$I$66</f>
        <v>1.4400000000000002</v>
      </c>
      <c r="BD207" s="1214"/>
      <c r="BE207" s="1426">
        <f>BE205/(BE206*AY178)</f>
        <v>0.79979360165118685</v>
      </c>
      <c r="BF207" s="1214"/>
      <c r="BG207" s="1426">
        <f>BG205/(BG206*AY178)</f>
        <v>0.79979360165118685</v>
      </c>
      <c r="BH207" s="1200" t="s">
        <v>2038</v>
      </c>
      <c r="BI207" s="1033">
        <f>Möblierungsschablone!$G$66</f>
        <v>4.5</v>
      </c>
      <c r="BJ207" s="1200" t="s">
        <v>2038</v>
      </c>
      <c r="BK207" s="1033">
        <f>Möblierungsschablone!$G$66</f>
        <v>4.5</v>
      </c>
      <c r="BM207" s="1436"/>
      <c r="BN207" s="1200"/>
      <c r="BO207" s="1033"/>
      <c r="BP207" s="1200"/>
      <c r="BQ207" s="1033"/>
      <c r="BR207" s="1200" t="s">
        <v>2037</v>
      </c>
      <c r="BS207" s="1033">
        <f>Möblierungsschablone!$I$66</f>
        <v>1.4400000000000002</v>
      </c>
      <c r="BT207" s="1214"/>
      <c r="BU207" s="1426">
        <f>BU205/(BU206*BO178)</f>
        <v>0.7416267942583733</v>
      </c>
      <c r="BV207" s="1214"/>
      <c r="BW207" s="1426">
        <f>BW205/(BW206*BO178)</f>
        <v>0.7416267942583733</v>
      </c>
      <c r="BX207" s="1433"/>
      <c r="BY207" s="1427"/>
      <c r="BZ207" s="1200" t="s">
        <v>2038</v>
      </c>
      <c r="CA207" s="1033">
        <f>Möblierungsschablone!$G$66</f>
        <v>4.5</v>
      </c>
      <c r="CC207" s="1436"/>
      <c r="CD207" s="1200"/>
      <c r="CE207" s="1033"/>
      <c r="CF207" s="1200"/>
      <c r="CG207" s="1033"/>
      <c r="CH207" s="1200" t="s">
        <v>2037</v>
      </c>
      <c r="CI207" s="1033">
        <f>Möblierungsschablone!$I$66</f>
        <v>1.4400000000000002</v>
      </c>
      <c r="CJ207" s="1433"/>
      <c r="CK207" s="1427"/>
      <c r="CL207" s="1433"/>
      <c r="CM207" s="1427"/>
      <c r="CN207" s="1433"/>
      <c r="CO207" s="1427"/>
      <c r="CP207" s="1200" t="s">
        <v>2038</v>
      </c>
      <c r="CQ207" s="1033">
        <f>Möblierungsschablone!$G$66</f>
        <v>4.5</v>
      </c>
      <c r="CS207" s="701"/>
      <c r="CT207" s="701"/>
      <c r="CU207" s="1039"/>
      <c r="CV207" s="701"/>
      <c r="CW207" s="1039"/>
      <c r="CX207" s="701"/>
      <c r="CY207" s="1039"/>
      <c r="CZ207" s="701"/>
      <c r="DA207" s="1039"/>
      <c r="DB207" s="701"/>
      <c r="DC207" s="1039"/>
      <c r="DD207" s="701"/>
      <c r="DE207" s="1039"/>
      <c r="DF207" s="701"/>
      <c r="DG207" s="1039"/>
    </row>
    <row r="208" spans="1:111" ht="15.75" customHeight="1">
      <c r="A208" s="1436"/>
      <c r="B208" s="1404"/>
      <c r="C208" s="1033"/>
      <c r="D208" s="1404"/>
      <c r="E208" s="1033"/>
      <c r="F208" s="1404"/>
      <c r="G208" s="1033"/>
      <c r="H208" s="1404"/>
      <c r="I208" s="1033"/>
      <c r="J208" s="1404"/>
      <c r="K208" s="1033"/>
      <c r="L208" s="1404"/>
      <c r="M208" s="1033"/>
      <c r="N208" s="1404"/>
      <c r="O208" s="1033">
        <f>Möblierungsschablone!$I$66</f>
        <v>1.4400000000000002</v>
      </c>
      <c r="Q208" s="1436"/>
      <c r="R208" s="1200"/>
      <c r="S208" s="1033"/>
      <c r="T208" s="1200"/>
      <c r="U208" s="1033"/>
      <c r="V208" s="1443"/>
      <c r="W208" s="1446"/>
      <c r="X208" s="1200"/>
      <c r="Y208" s="1033"/>
      <c r="Z208" s="1200"/>
      <c r="AA208" s="1033"/>
      <c r="AB208" s="1200"/>
      <c r="AC208" s="1033"/>
      <c r="AD208" s="1200" t="s">
        <v>2037</v>
      </c>
      <c r="AE208" s="1033">
        <f>Möblierungsschablone!$I$66</f>
        <v>1.4400000000000002</v>
      </c>
      <c r="AG208" s="1436"/>
      <c r="AH208" s="1200"/>
      <c r="AI208" s="1033"/>
      <c r="AJ208" s="1200"/>
      <c r="AK208" s="1033"/>
      <c r="AL208" s="1200"/>
      <c r="AM208" s="1033"/>
      <c r="AN208" s="1214"/>
      <c r="AO208" s="1427"/>
      <c r="AP208" s="1214"/>
      <c r="AQ208" s="1427"/>
      <c r="AR208" s="1200"/>
      <c r="AS208" s="1033"/>
      <c r="AT208" s="1200" t="s">
        <v>2037</v>
      </c>
      <c r="AU208" s="1033">
        <f>Möblierungsschablone!$I$66</f>
        <v>1.4400000000000002</v>
      </c>
      <c r="AW208" s="1404"/>
      <c r="AX208" s="1200"/>
      <c r="AY208" s="1033"/>
      <c r="AZ208" s="1200"/>
      <c r="BA208" s="1033"/>
      <c r="BB208" s="1200"/>
      <c r="BC208" s="1033"/>
      <c r="BD208" s="1214"/>
      <c r="BE208" s="1427"/>
      <c r="BF208" s="1214"/>
      <c r="BG208" s="1427"/>
      <c r="BH208" s="1200"/>
      <c r="BI208" s="1033"/>
      <c r="BJ208" s="1200" t="s">
        <v>2037</v>
      </c>
      <c r="BK208" s="1033">
        <f>Möblierungsschablone!$I$66</f>
        <v>1.4400000000000002</v>
      </c>
      <c r="BM208" s="1436"/>
      <c r="BN208" s="1200"/>
      <c r="BO208" s="1033"/>
      <c r="BP208" s="1200"/>
      <c r="BQ208" s="1033"/>
      <c r="BR208" s="1200"/>
      <c r="BS208" s="1033"/>
      <c r="BT208" s="1214"/>
      <c r="BU208" s="1427"/>
      <c r="BV208" s="1214"/>
      <c r="BW208" s="1427"/>
      <c r="BX208" s="1433"/>
      <c r="BY208" s="1427"/>
      <c r="BZ208" s="1200" t="s">
        <v>2037</v>
      </c>
      <c r="CA208" s="1033">
        <f>Möblierungsschablone!$I$66</f>
        <v>1.4400000000000002</v>
      </c>
      <c r="CC208" s="1436"/>
      <c r="CD208" s="1200"/>
      <c r="CE208" s="1033"/>
      <c r="CF208" s="1200"/>
      <c r="CG208" s="1033"/>
      <c r="CH208" s="1200"/>
      <c r="CI208" s="1033"/>
      <c r="CJ208" s="1433"/>
      <c r="CK208" s="1427"/>
      <c r="CL208" s="1433"/>
      <c r="CM208" s="1427"/>
      <c r="CN208" s="1433"/>
      <c r="CO208" s="1427"/>
      <c r="CP208" s="1200" t="s">
        <v>2037</v>
      </c>
      <c r="CQ208" s="1033">
        <f>Möblierungsschablone!$I$66</f>
        <v>1.4400000000000002</v>
      </c>
      <c r="CS208" s="701"/>
      <c r="CT208" s="701"/>
      <c r="CU208" s="1039"/>
      <c r="CV208" s="701"/>
      <c r="CW208" s="1039"/>
      <c r="CX208" s="701"/>
      <c r="CY208" s="1039"/>
      <c r="CZ208" s="701"/>
      <c r="DA208" s="1039"/>
      <c r="DB208" s="701"/>
      <c r="DC208" s="1039"/>
      <c r="DD208" s="701"/>
      <c r="DE208" s="1039"/>
      <c r="DF208" s="701"/>
      <c r="DG208" s="1039"/>
    </row>
    <row r="209" spans="1:111" ht="15.75" customHeight="1">
      <c r="A209" s="1436"/>
      <c r="B209" s="1404"/>
      <c r="C209" s="1034">
        <f>SUM(C206:C207)</f>
        <v>4.08</v>
      </c>
      <c r="D209" s="1404"/>
      <c r="E209" s="1034">
        <f>SUM(E206:E207)</f>
        <v>4.08</v>
      </c>
      <c r="F209" s="1404"/>
      <c r="G209" s="1034">
        <f>SUM(G206:G207)</f>
        <v>5.5200000000000005</v>
      </c>
      <c r="H209" s="1404"/>
      <c r="I209" s="1034">
        <f>SUM(I206:I207)</f>
        <v>8.16</v>
      </c>
      <c r="J209" s="1404"/>
      <c r="K209" s="1034">
        <f>SUM(K206:K207)</f>
        <v>8.16</v>
      </c>
      <c r="L209" s="1404"/>
      <c r="M209" s="1034">
        <f>SUM(M206:M207)</f>
        <v>8.58</v>
      </c>
      <c r="N209" s="1404"/>
      <c r="O209" s="1034">
        <f>SUM(O206:O208)</f>
        <v>10.02</v>
      </c>
      <c r="Q209" s="1436"/>
      <c r="R209" s="1201" t="s">
        <v>2036</v>
      </c>
      <c r="S209" s="1034">
        <f>SUM(S206:S207)</f>
        <v>4.08</v>
      </c>
      <c r="T209" s="1201" t="s">
        <v>2036</v>
      </c>
      <c r="U209" s="1034">
        <f>SUM(U206:U207)</f>
        <v>4.08</v>
      </c>
      <c r="V209" s="1443"/>
      <c r="W209" s="1446"/>
      <c r="X209" s="1201" t="s">
        <v>2036</v>
      </c>
      <c r="Y209" s="1034">
        <f>SUM(Y206:Y207)</f>
        <v>8.16</v>
      </c>
      <c r="Z209" s="1201" t="s">
        <v>2036</v>
      </c>
      <c r="AA209" s="1034">
        <f>SUM(AA206:AA207)</f>
        <v>8.16</v>
      </c>
      <c r="AB209" s="1201" t="s">
        <v>2036</v>
      </c>
      <c r="AC209" s="1034">
        <f>SUM(AC206:AC207)</f>
        <v>8.58</v>
      </c>
      <c r="AD209" s="1201" t="s">
        <v>2036</v>
      </c>
      <c r="AE209" s="1034">
        <f>SUM(AE206:AE208)</f>
        <v>10.02</v>
      </c>
      <c r="AG209" s="1436"/>
      <c r="AH209" s="1201" t="s">
        <v>2036</v>
      </c>
      <c r="AI209" s="1034">
        <f>SUM(AI206:AI207)</f>
        <v>4.08</v>
      </c>
      <c r="AJ209" s="1201" t="s">
        <v>2036</v>
      </c>
      <c r="AK209" s="1034">
        <f>SUM(AK206:AK207)</f>
        <v>4.08</v>
      </c>
      <c r="AL209" s="1201" t="s">
        <v>2036</v>
      </c>
      <c r="AM209" s="1034">
        <f>SUM(AM206:AM207)</f>
        <v>5.5200000000000005</v>
      </c>
      <c r="AN209" s="1214"/>
      <c r="AO209" s="1427"/>
      <c r="AP209" s="1214"/>
      <c r="AQ209" s="1427"/>
      <c r="AR209" s="1201" t="s">
        <v>2036</v>
      </c>
      <c r="AS209" s="1034">
        <f>SUM(AS206:AS207)</f>
        <v>8.58</v>
      </c>
      <c r="AT209" s="1201" t="s">
        <v>2036</v>
      </c>
      <c r="AU209" s="1034">
        <f>SUM(AU206:AU208)</f>
        <v>10.02</v>
      </c>
      <c r="AW209" s="1404"/>
      <c r="AX209" s="1201" t="s">
        <v>2036</v>
      </c>
      <c r="AY209" s="1034">
        <f>SUM(AY206:AY207)</f>
        <v>4.08</v>
      </c>
      <c r="AZ209" s="1201" t="s">
        <v>2036</v>
      </c>
      <c r="BA209" s="1034">
        <f>SUM(BA206:BA207)</f>
        <v>4.08</v>
      </c>
      <c r="BB209" s="1201" t="s">
        <v>2036</v>
      </c>
      <c r="BC209" s="1034">
        <f>SUM(BC206:BC207)</f>
        <v>5.5200000000000005</v>
      </c>
      <c r="BD209" s="1214"/>
      <c r="BE209" s="1427"/>
      <c r="BF209" s="1214"/>
      <c r="BG209" s="1427"/>
      <c r="BH209" s="1201" t="s">
        <v>2036</v>
      </c>
      <c r="BI209" s="1034">
        <f>SUM(BI206:BI207)</f>
        <v>8.58</v>
      </c>
      <c r="BJ209" s="1201" t="s">
        <v>2036</v>
      </c>
      <c r="BK209" s="1034">
        <f>SUM(BK206:BK208)</f>
        <v>10.02</v>
      </c>
      <c r="BM209" s="1436"/>
      <c r="BN209" s="1201" t="s">
        <v>2036</v>
      </c>
      <c r="BO209" s="1034">
        <f>SUM(BO206:BO207)</f>
        <v>4.08</v>
      </c>
      <c r="BP209" s="1201" t="s">
        <v>2036</v>
      </c>
      <c r="BQ209" s="1034">
        <f>SUM(BQ206:BQ207)</f>
        <v>4.08</v>
      </c>
      <c r="BR209" s="1201" t="s">
        <v>2036</v>
      </c>
      <c r="BS209" s="1034">
        <f>SUM(BS206:BS207)</f>
        <v>5.5200000000000005</v>
      </c>
      <c r="BT209" s="1214"/>
      <c r="BU209" s="1427"/>
      <c r="BV209" s="1214"/>
      <c r="BW209" s="1427"/>
      <c r="BX209" s="1433"/>
      <c r="BY209" s="1427"/>
      <c r="BZ209" s="1201" t="s">
        <v>2036</v>
      </c>
      <c r="CA209" s="1034">
        <f>SUM(CA206:CA208)</f>
        <v>10.02</v>
      </c>
      <c r="CC209" s="1436"/>
      <c r="CD209" s="1201" t="s">
        <v>2036</v>
      </c>
      <c r="CE209" s="1034">
        <f>SUM(CE206:CE207)</f>
        <v>4.08</v>
      </c>
      <c r="CF209" s="1201" t="s">
        <v>2036</v>
      </c>
      <c r="CG209" s="1034">
        <f>SUM(CG206:CG207)</f>
        <v>4.08</v>
      </c>
      <c r="CH209" s="1201" t="s">
        <v>2036</v>
      </c>
      <c r="CI209" s="1034">
        <f>SUM(CI206:CI207)</f>
        <v>5.5200000000000005</v>
      </c>
      <c r="CJ209" s="1433"/>
      <c r="CK209" s="1427"/>
      <c r="CL209" s="1433"/>
      <c r="CM209" s="1427"/>
      <c r="CN209" s="1433"/>
      <c r="CO209" s="1427"/>
      <c r="CP209" s="1201" t="s">
        <v>2036</v>
      </c>
      <c r="CQ209" s="1034">
        <f>SUM(CQ206:CQ208)</f>
        <v>10.02</v>
      </c>
      <c r="CS209" s="701"/>
      <c r="CT209" s="701"/>
      <c r="CU209" s="1193"/>
      <c r="CV209" s="701"/>
      <c r="CW209" s="1193"/>
      <c r="CX209" s="701"/>
      <c r="CY209" s="1193"/>
      <c r="CZ209" s="701"/>
      <c r="DA209" s="1193"/>
      <c r="DB209" s="701"/>
      <c r="DC209" s="1193"/>
      <c r="DD209" s="701"/>
      <c r="DE209" s="1193"/>
      <c r="DF209" s="701"/>
      <c r="DG209" s="1193"/>
    </row>
    <row r="210" spans="1:111" ht="15.75" customHeight="1">
      <c r="A210" s="1436"/>
      <c r="B210" s="1404"/>
      <c r="C210" s="1032">
        <v>1</v>
      </c>
      <c r="D210" s="1404"/>
      <c r="E210" s="1032">
        <v>1</v>
      </c>
      <c r="F210" s="1404"/>
      <c r="G210" s="1032">
        <v>1</v>
      </c>
      <c r="H210" s="1404"/>
      <c r="I210" s="1032">
        <v>1</v>
      </c>
      <c r="J210" s="1404"/>
      <c r="K210" s="1032">
        <v>1</v>
      </c>
      <c r="L210" s="1404"/>
      <c r="M210" s="1032">
        <v>1</v>
      </c>
      <c r="N210" s="1404"/>
      <c r="O210" s="1032">
        <v>1</v>
      </c>
      <c r="Q210" s="1436"/>
      <c r="R210" s="1200" t="s">
        <v>1247</v>
      </c>
      <c r="S210" s="1032">
        <v>1</v>
      </c>
      <c r="T210" s="1200" t="s">
        <v>1247</v>
      </c>
      <c r="U210" s="1032">
        <v>1</v>
      </c>
      <c r="V210" s="1443"/>
      <c r="W210" s="1446"/>
      <c r="X210" s="1200" t="s">
        <v>1247</v>
      </c>
      <c r="Y210" s="1032">
        <v>1</v>
      </c>
      <c r="Z210" s="1200" t="s">
        <v>1247</v>
      </c>
      <c r="AA210" s="1032">
        <v>1</v>
      </c>
      <c r="AB210" s="1200" t="s">
        <v>1247</v>
      </c>
      <c r="AC210" s="1032">
        <v>1</v>
      </c>
      <c r="AD210" s="1200" t="s">
        <v>1247</v>
      </c>
      <c r="AE210" s="1032">
        <v>1</v>
      </c>
      <c r="AG210" s="1436"/>
      <c r="AH210" s="1200" t="s">
        <v>1247</v>
      </c>
      <c r="AI210" s="1032">
        <v>1</v>
      </c>
      <c r="AJ210" s="1200" t="s">
        <v>1247</v>
      </c>
      <c r="AK210" s="1032">
        <v>1</v>
      </c>
      <c r="AL210" s="1200" t="s">
        <v>1247</v>
      </c>
      <c r="AM210" s="1032">
        <v>1</v>
      </c>
      <c r="AN210" s="1214"/>
      <c r="AO210" s="1427"/>
      <c r="AP210" s="1214"/>
      <c r="AQ210" s="1427"/>
      <c r="AR210" s="1200" t="s">
        <v>1247</v>
      </c>
      <c r="AS210" s="1032">
        <v>1</v>
      </c>
      <c r="AT210" s="1200" t="s">
        <v>1247</v>
      </c>
      <c r="AU210" s="1032">
        <v>1</v>
      </c>
      <c r="AW210" s="1404"/>
      <c r="AX210" s="1200" t="s">
        <v>1247</v>
      </c>
      <c r="AY210" s="1032">
        <v>1</v>
      </c>
      <c r="AZ210" s="1200" t="s">
        <v>1247</v>
      </c>
      <c r="BA210" s="1032">
        <v>1</v>
      </c>
      <c r="BB210" s="1200" t="s">
        <v>1247</v>
      </c>
      <c r="BC210" s="1032">
        <v>1</v>
      </c>
      <c r="BD210" s="1214"/>
      <c r="BE210" s="1427"/>
      <c r="BF210" s="1214"/>
      <c r="BG210" s="1427"/>
      <c r="BH210" s="1200" t="s">
        <v>1247</v>
      </c>
      <c r="BI210" s="1032">
        <v>1</v>
      </c>
      <c r="BJ210" s="1200" t="s">
        <v>1247</v>
      </c>
      <c r="BK210" s="1032">
        <v>1</v>
      </c>
      <c r="BM210" s="1436"/>
      <c r="BN210" s="1200" t="s">
        <v>1247</v>
      </c>
      <c r="BO210" s="1032">
        <v>1</v>
      </c>
      <c r="BP210" s="1200" t="s">
        <v>1247</v>
      </c>
      <c r="BQ210" s="1032">
        <v>1</v>
      </c>
      <c r="BR210" s="1200" t="s">
        <v>1247</v>
      </c>
      <c r="BS210" s="1032">
        <v>1</v>
      </c>
      <c r="BT210" s="1214"/>
      <c r="BU210" s="1427"/>
      <c r="BV210" s="1214"/>
      <c r="BW210" s="1427"/>
      <c r="BX210" s="1433"/>
      <c r="BY210" s="1427"/>
      <c r="BZ210" s="1200" t="s">
        <v>1247</v>
      </c>
      <c r="CA210" s="1032">
        <v>1</v>
      </c>
      <c r="CC210" s="1436"/>
      <c r="CD210" s="1200" t="s">
        <v>1247</v>
      </c>
      <c r="CE210" s="1032">
        <v>1</v>
      </c>
      <c r="CF210" s="1200" t="s">
        <v>1247</v>
      </c>
      <c r="CG210" s="1032">
        <v>1</v>
      </c>
      <c r="CH210" s="1200" t="s">
        <v>1247</v>
      </c>
      <c r="CI210" s="1032">
        <v>1</v>
      </c>
      <c r="CJ210" s="1433"/>
      <c r="CK210" s="1427"/>
      <c r="CL210" s="1433"/>
      <c r="CM210" s="1427"/>
      <c r="CN210" s="1433"/>
      <c r="CO210" s="1427"/>
      <c r="CP210" s="1200" t="s">
        <v>1247</v>
      </c>
      <c r="CQ210" s="1032">
        <v>1</v>
      </c>
      <c r="CS210" s="701"/>
      <c r="CT210" s="701"/>
      <c r="CU210" s="763"/>
      <c r="CV210" s="701"/>
      <c r="CW210" s="763"/>
      <c r="CX210" s="701"/>
      <c r="CY210" s="763"/>
      <c r="CZ210" s="701"/>
      <c r="DA210" s="763"/>
      <c r="DB210" s="701"/>
      <c r="DC210" s="763"/>
      <c r="DD210" s="701"/>
      <c r="DE210" s="763"/>
      <c r="DF210" s="701"/>
      <c r="DG210" s="763"/>
    </row>
    <row r="211" spans="1:111" ht="63.75" customHeight="1">
      <c r="A211" s="1436"/>
      <c r="B211" s="1404"/>
      <c r="C211" s="1030">
        <f>C209/(C210*C178)</f>
        <v>0.28254847645429365</v>
      </c>
      <c r="D211" s="1404"/>
      <c r="E211" s="1030">
        <f>E209/(E210*C178)</f>
        <v>0.28254847645429365</v>
      </c>
      <c r="F211" s="1404"/>
      <c r="G211" s="1030">
        <f>G209/(G210*C178)</f>
        <v>0.38227146814404439</v>
      </c>
      <c r="H211" s="1404"/>
      <c r="I211" s="1030">
        <f>I209/(I210*C178)</f>
        <v>0.5650969529085873</v>
      </c>
      <c r="J211" s="1404"/>
      <c r="K211" s="1030">
        <f>K209/(K210*C178)</f>
        <v>0.5650969529085873</v>
      </c>
      <c r="L211" s="1404"/>
      <c r="M211" s="1030">
        <f>M209/(M210*C178)</f>
        <v>0.59418282548476453</v>
      </c>
      <c r="N211" s="1404"/>
      <c r="O211" s="1030">
        <f>O209/(O210*C178)</f>
        <v>0.69390581717451527</v>
      </c>
      <c r="Q211" s="1436"/>
      <c r="R211" s="1202"/>
      <c r="S211" s="1030">
        <f>S209/(S210*S178)</f>
        <v>0.24969400244798043</v>
      </c>
      <c r="T211" s="1202"/>
      <c r="U211" s="1030">
        <f>U209/(U210*S178)</f>
        <v>0.24969400244798043</v>
      </c>
      <c r="V211" s="1444"/>
      <c r="W211" s="1447"/>
      <c r="X211" s="1202"/>
      <c r="Y211" s="1030">
        <f>Y209/(Y210*S178)</f>
        <v>0.49938800489596086</v>
      </c>
      <c r="Z211" s="1202"/>
      <c r="AA211" s="1030">
        <f>AA209/(AA210*S178)</f>
        <v>0.49938800489596086</v>
      </c>
      <c r="AB211" s="1202"/>
      <c r="AC211" s="1030">
        <f>AC209/(AC210*S178)</f>
        <v>0.5250917992656059</v>
      </c>
      <c r="AD211" s="1202"/>
      <c r="AE211" s="1030">
        <f>AE209/(AE210*S178)</f>
        <v>0.61321909424724597</v>
      </c>
      <c r="AG211" s="1436"/>
      <c r="AH211" s="1202"/>
      <c r="AI211" s="1030">
        <f>AI209/(AI210*AI178)</f>
        <v>0.22368421052631582</v>
      </c>
      <c r="AJ211" s="1202"/>
      <c r="AK211" s="1030">
        <f>AK209/(AK210*AI178)</f>
        <v>0.22368421052631582</v>
      </c>
      <c r="AL211" s="1202"/>
      <c r="AM211" s="1030">
        <f>AM209/(AM210*AI178)</f>
        <v>0.30263157894736847</v>
      </c>
      <c r="AN211" s="1204"/>
      <c r="AO211" s="1428"/>
      <c r="AP211" s="1204"/>
      <c r="AQ211" s="1428"/>
      <c r="AR211" s="1202"/>
      <c r="AS211" s="1030">
        <f>AS209/(AS210*AI178)</f>
        <v>0.47039473684210531</v>
      </c>
      <c r="AT211" s="1202"/>
      <c r="AU211" s="1030">
        <f>AU209/(AU210*AI178)</f>
        <v>0.54934210526315796</v>
      </c>
      <c r="AW211" s="1404"/>
      <c r="AX211" s="1202"/>
      <c r="AY211" s="1030">
        <f>AY209/(AY210*AY178)</f>
        <v>0.2105263157894737</v>
      </c>
      <c r="AZ211" s="1202"/>
      <c r="BA211" s="1030">
        <f>BA209/(BA210*AY178)</f>
        <v>0.2105263157894737</v>
      </c>
      <c r="BB211" s="1202"/>
      <c r="BC211" s="1030">
        <f>BC209/(BC210*AY178)</f>
        <v>0.28482972136222912</v>
      </c>
      <c r="BD211" s="1204"/>
      <c r="BE211" s="1428"/>
      <c r="BF211" s="1204"/>
      <c r="BG211" s="1428"/>
      <c r="BH211" s="1202"/>
      <c r="BI211" s="1030">
        <f>BI209/(BI210*AY178)</f>
        <v>0.44272445820433437</v>
      </c>
      <c r="BJ211" s="1202"/>
      <c r="BK211" s="1030">
        <f>BK209/(BK210*AY178)</f>
        <v>0.51702786377708976</v>
      </c>
      <c r="BM211" s="1436"/>
      <c r="BN211" s="1202"/>
      <c r="BO211" s="1030">
        <f>BO209/(BO210*BO178)</f>
        <v>0.1952153110047847</v>
      </c>
      <c r="BP211" s="1202"/>
      <c r="BQ211" s="1030">
        <f>BQ209/(BQ210*BO178)</f>
        <v>0.1952153110047847</v>
      </c>
      <c r="BR211" s="1202"/>
      <c r="BS211" s="1030">
        <f>BS209/(BS210*BO178)</f>
        <v>0.26411483253588519</v>
      </c>
      <c r="BT211" s="1204"/>
      <c r="BU211" s="1428"/>
      <c r="BV211" s="1204"/>
      <c r="BW211" s="1428"/>
      <c r="BX211" s="1434"/>
      <c r="BY211" s="1428"/>
      <c r="BZ211" s="1202"/>
      <c r="CA211" s="1030">
        <f>CA209/(CA210*BO178)</f>
        <v>0.4794258373205742</v>
      </c>
      <c r="CC211" s="1436"/>
      <c r="CD211" s="1202"/>
      <c r="CE211" s="1030">
        <f>CE209/(CE210*CE178)</f>
        <v>0.18511796733212343</v>
      </c>
      <c r="CF211" s="1202"/>
      <c r="CG211" s="1030">
        <f>CG209/(CG210*CE178)</f>
        <v>0.18511796733212343</v>
      </c>
      <c r="CH211" s="1202"/>
      <c r="CI211" s="1030">
        <f>CI209/(CI210*CE178)</f>
        <v>0.250453720508167</v>
      </c>
      <c r="CJ211" s="1434"/>
      <c r="CK211" s="1428"/>
      <c r="CL211" s="1434"/>
      <c r="CM211" s="1428"/>
      <c r="CN211" s="1434"/>
      <c r="CO211" s="1428"/>
      <c r="CP211" s="1202"/>
      <c r="CQ211" s="1030">
        <f>CQ209/(CQ210*CE178)</f>
        <v>0.45462794918330307</v>
      </c>
      <c r="CS211" s="701"/>
      <c r="CT211" s="701"/>
      <c r="CU211" s="1146"/>
      <c r="CV211" s="701"/>
      <c r="CW211" s="1146"/>
      <c r="CX211" s="701"/>
      <c r="CY211" s="1146"/>
      <c r="CZ211" s="701"/>
      <c r="DA211" s="1146"/>
      <c r="DB211" s="701"/>
      <c r="DC211" s="1146"/>
      <c r="DD211" s="701"/>
      <c r="DE211" s="1146"/>
      <c r="DF211" s="701"/>
      <c r="DG211" s="1146"/>
    </row>
    <row r="212" spans="1:111" ht="15.75" customHeight="1">
      <c r="A212" s="1429" t="s">
        <v>1472</v>
      </c>
      <c r="B212" s="1414"/>
      <c r="C212" s="1033"/>
      <c r="D212" s="1414"/>
      <c r="E212" s="1033"/>
      <c r="F212" s="1414"/>
      <c r="G212" s="1032"/>
      <c r="H212" s="1414"/>
      <c r="I212" s="1032"/>
      <c r="J212" s="1414"/>
      <c r="K212" s="1032"/>
      <c r="L212" s="1414"/>
      <c r="M212" s="1032"/>
      <c r="N212" s="1203" t="s">
        <v>2035</v>
      </c>
      <c r="O212" s="1032">
        <v>1</v>
      </c>
      <c r="Q212" s="1429" t="s">
        <v>1472</v>
      </c>
      <c r="R212" s="1414"/>
      <c r="S212" s="1033"/>
      <c r="T212" s="1414"/>
      <c r="U212" s="1033"/>
      <c r="V212" s="1203"/>
      <c r="W212" s="1032"/>
      <c r="X212" s="1203"/>
      <c r="Y212" s="1032"/>
      <c r="Z212" s="1203"/>
      <c r="AA212" s="1032"/>
      <c r="AB212" s="1203"/>
      <c r="AC212" s="1032"/>
      <c r="AD212" s="1203" t="s">
        <v>2035</v>
      </c>
      <c r="AE212" s="1032">
        <v>1</v>
      </c>
      <c r="AG212" s="1429" t="s">
        <v>1472</v>
      </c>
      <c r="AH212" s="1414"/>
      <c r="AI212" s="1033"/>
      <c r="AJ212" s="1414"/>
      <c r="AK212" s="1033"/>
      <c r="AL212" s="1203"/>
      <c r="AM212" s="1032"/>
      <c r="AN212" s="1203"/>
      <c r="AO212" s="1032"/>
      <c r="AP212" s="1203"/>
      <c r="AQ212" s="1032"/>
      <c r="AR212" s="1203"/>
      <c r="AS212" s="1032"/>
      <c r="AT212" s="1203"/>
      <c r="AU212" s="1032"/>
      <c r="AW212" s="1431" t="s">
        <v>1472</v>
      </c>
      <c r="AX212" s="1414"/>
      <c r="AY212" s="1033"/>
      <c r="AZ212" s="1414"/>
      <c r="BA212" s="1033"/>
      <c r="BB212" s="1203"/>
      <c r="BC212" s="1032"/>
      <c r="BD212" s="1203"/>
      <c r="BE212" s="1032"/>
      <c r="BF212" s="1203"/>
      <c r="BG212" s="1032"/>
      <c r="BH212" s="1203"/>
      <c r="BI212" s="1032"/>
      <c r="BJ212" s="1203"/>
      <c r="BK212" s="1032"/>
      <c r="BM212" s="1429" t="s">
        <v>1472</v>
      </c>
      <c r="BN212" s="1414"/>
      <c r="BO212" s="1033"/>
      <c r="BP212" s="1414"/>
      <c r="BQ212" s="1033"/>
      <c r="BR212" s="1203"/>
      <c r="BS212" s="1032"/>
      <c r="BT212" s="1203"/>
      <c r="BU212" s="1032"/>
      <c r="BV212" s="1203"/>
      <c r="BW212" s="1032"/>
      <c r="BX212" s="1203"/>
      <c r="BY212" s="1032"/>
      <c r="BZ212" s="1203"/>
      <c r="CA212" s="1032"/>
      <c r="CC212" s="1429" t="s">
        <v>1472</v>
      </c>
      <c r="CD212" s="1414"/>
      <c r="CE212" s="1033"/>
      <c r="CF212" s="1414"/>
      <c r="CG212" s="1033"/>
      <c r="CH212" s="1203"/>
      <c r="CI212" s="1032"/>
      <c r="CJ212" s="1203"/>
      <c r="CK212" s="1032"/>
      <c r="CL212" s="1203"/>
      <c r="CM212" s="1032"/>
      <c r="CN212" s="1203"/>
      <c r="CO212" s="1032"/>
      <c r="CP212" s="1203"/>
      <c r="CQ212" s="1032"/>
      <c r="CS212" s="1154"/>
      <c r="CT212" s="701"/>
      <c r="CU212" s="1039"/>
      <c r="CV212" s="701"/>
      <c r="CW212" s="1039"/>
      <c r="CX212" s="701"/>
      <c r="CY212" s="763"/>
      <c r="CZ212" s="701"/>
      <c r="DA212" s="763"/>
      <c r="DB212" s="701"/>
      <c r="DC212" s="763"/>
      <c r="DD212" s="701"/>
      <c r="DE212" s="763"/>
      <c r="DF212" s="701"/>
      <c r="DG212" s="763"/>
    </row>
    <row r="213" spans="1:111" ht="48.75" customHeight="1">
      <c r="A213" s="1430"/>
      <c r="B213" s="1416"/>
      <c r="C213" s="1031" t="s">
        <v>1181</v>
      </c>
      <c r="D213" s="1416"/>
      <c r="E213" s="1031" t="s">
        <v>1181</v>
      </c>
      <c r="F213" s="1416"/>
      <c r="G213" s="1030"/>
      <c r="H213" s="1416"/>
      <c r="I213" s="1030"/>
      <c r="J213" s="1416"/>
      <c r="K213" s="1030"/>
      <c r="L213" s="1416"/>
      <c r="M213" s="1030"/>
      <c r="N213" s="1204"/>
      <c r="O213" s="1030">
        <v>1</v>
      </c>
      <c r="Q213" s="1430"/>
      <c r="R213" s="1416"/>
      <c r="S213" s="1031"/>
      <c r="T213" s="1416"/>
      <c r="U213" s="1031"/>
      <c r="V213" s="1204"/>
      <c r="W213" s="1030"/>
      <c r="X213" s="1204"/>
      <c r="Y213" s="1030"/>
      <c r="Z213" s="1204"/>
      <c r="AA213" s="1030"/>
      <c r="AB213" s="1204"/>
      <c r="AC213" s="1030"/>
      <c r="AD213" s="1204"/>
      <c r="AE213" s="1030">
        <v>1</v>
      </c>
      <c r="AG213" s="1430"/>
      <c r="AH213" s="1416"/>
      <c r="AI213" s="1031"/>
      <c r="AJ213" s="1416"/>
      <c r="AK213" s="1031"/>
      <c r="AL213" s="1204"/>
      <c r="AM213" s="1030"/>
      <c r="AN213" s="1204"/>
      <c r="AO213" s="1030"/>
      <c r="AP213" s="1204"/>
      <c r="AQ213" s="1030"/>
      <c r="AR213" s="1204"/>
      <c r="AS213" s="1030"/>
      <c r="AT213" s="1204"/>
      <c r="AU213" s="1030"/>
      <c r="AW213" s="1432"/>
      <c r="AX213" s="1416"/>
      <c r="AY213" s="1031"/>
      <c r="AZ213" s="1416"/>
      <c r="BA213" s="1031"/>
      <c r="BB213" s="1204"/>
      <c r="BC213" s="1030"/>
      <c r="BD213" s="1204"/>
      <c r="BE213" s="1030"/>
      <c r="BF213" s="1204"/>
      <c r="BG213" s="1030"/>
      <c r="BH213" s="1204"/>
      <c r="BI213" s="1030"/>
      <c r="BJ213" s="1204"/>
      <c r="BK213" s="1030"/>
      <c r="BM213" s="1430"/>
      <c r="BN213" s="1416"/>
      <c r="BO213" s="1031"/>
      <c r="BP213" s="1416"/>
      <c r="BQ213" s="1031"/>
      <c r="BR213" s="1204"/>
      <c r="BS213" s="1030"/>
      <c r="BT213" s="1204"/>
      <c r="BU213" s="1030"/>
      <c r="BV213" s="1204"/>
      <c r="BW213" s="1030"/>
      <c r="BX213" s="1204"/>
      <c r="BY213" s="1030"/>
      <c r="BZ213" s="1204"/>
      <c r="CA213" s="1030"/>
      <c r="CC213" s="1430"/>
      <c r="CD213" s="1416"/>
      <c r="CE213" s="1031"/>
      <c r="CF213" s="1416"/>
      <c r="CG213" s="1031"/>
      <c r="CH213" s="1204"/>
      <c r="CI213" s="1030"/>
      <c r="CJ213" s="1204"/>
      <c r="CK213" s="1030"/>
      <c r="CL213" s="1204"/>
      <c r="CM213" s="1030"/>
      <c r="CN213" s="1204"/>
      <c r="CO213" s="1030"/>
      <c r="CP213" s="1204"/>
      <c r="CQ213" s="1030"/>
      <c r="CS213" s="1154"/>
      <c r="CT213" s="701"/>
      <c r="CU213" s="1195"/>
      <c r="CV213" s="701"/>
      <c r="CW213" s="1195"/>
      <c r="CX213" s="701"/>
      <c r="CY213" s="1146"/>
      <c r="CZ213" s="701"/>
      <c r="DA213" s="1146"/>
      <c r="DB213" s="701"/>
      <c r="DC213" s="1146"/>
      <c r="DD213" s="701"/>
      <c r="DE213" s="1146"/>
      <c r="DF213" s="701"/>
      <c r="DG213" s="1146"/>
    </row>
    <row r="214" spans="1:111" ht="15.75" customHeight="1">
      <c r="A214" s="1028" t="s">
        <v>1370</v>
      </c>
      <c r="B214" s="1028"/>
      <c r="C214" s="1029">
        <f>C212+C210+C204+C195+C184</f>
        <v>4</v>
      </c>
      <c r="D214" s="1028"/>
      <c r="E214" s="1029">
        <f>E212+E210+E204+E195+E184</f>
        <v>4</v>
      </c>
      <c r="F214" s="1027"/>
      <c r="G214" s="1029">
        <f>G212+G210+G204+G195+G184</f>
        <v>5</v>
      </c>
      <c r="H214" s="1027"/>
      <c r="I214" s="1029">
        <f>I212+I210+I204+I199+I194+I189+I184</f>
        <v>7</v>
      </c>
      <c r="J214" s="1027"/>
      <c r="K214" s="1029">
        <f>K212+K210+K204+K199+K194+K184</f>
        <v>7</v>
      </c>
      <c r="L214" s="1027"/>
      <c r="M214" s="1029">
        <f>M212+M210+M204+M199+M194+M189+M184</f>
        <v>8</v>
      </c>
      <c r="N214" s="1027"/>
      <c r="O214" s="1029">
        <f>O212+O210+O204+O199+O189+O184</f>
        <v>9</v>
      </c>
      <c r="Q214" s="1028" t="s">
        <v>1370</v>
      </c>
      <c r="R214" s="1028"/>
      <c r="S214" s="1029">
        <f>S212+S210+S195+S184</f>
        <v>3</v>
      </c>
      <c r="T214" s="1028"/>
      <c r="U214" s="1029">
        <f>U212+U210+U195+U184</f>
        <v>3</v>
      </c>
      <c r="V214" s="1027"/>
      <c r="W214" s="1029">
        <f>W212+W205+W195+W184</f>
        <v>4</v>
      </c>
      <c r="X214" s="1027"/>
      <c r="Y214" s="1029">
        <f>Y212+Y210+Y204+Y195+Y189+Y184</f>
        <v>6</v>
      </c>
      <c r="Z214" s="1027"/>
      <c r="AA214" s="1029">
        <f>AA212+AA210+AA204+AA199+AA194+AA184</f>
        <v>7</v>
      </c>
      <c r="AB214" s="1027"/>
      <c r="AC214" s="1029">
        <f>AC212+AC210+AC204+AC199+AC194+AC189+AC184</f>
        <v>8</v>
      </c>
      <c r="AD214" s="1027"/>
      <c r="AE214" s="1029">
        <f>AE212+AE210+AE204+AE199+AE194+AE189+AE184</f>
        <v>10</v>
      </c>
      <c r="AG214" s="1028" t="s">
        <v>1370</v>
      </c>
      <c r="AH214" s="1028"/>
      <c r="AI214" s="1029">
        <f>AI212+AI210+AI195+AI184</f>
        <v>3</v>
      </c>
      <c r="AJ214" s="1028"/>
      <c r="AK214" s="1029">
        <f>AK212+AK210+AK195+AK184</f>
        <v>3</v>
      </c>
      <c r="AL214" s="1027"/>
      <c r="AM214" s="1029">
        <f>AM212+AM210+AM195+AM184</f>
        <v>4</v>
      </c>
      <c r="AN214" s="1027"/>
      <c r="AO214" s="1029">
        <f>AO206+AO195+AO189+AO184</f>
        <v>5</v>
      </c>
      <c r="AP214" s="1027"/>
      <c r="AQ214" s="1029">
        <f>AQ206+AQ184+AQ195</f>
        <v>5</v>
      </c>
      <c r="AR214" s="1027"/>
      <c r="AS214" s="1029">
        <f>AS212+AS210+AS204+AS195+AS189+AS184</f>
        <v>7</v>
      </c>
      <c r="AT214" s="1027"/>
      <c r="AU214" s="1029">
        <f>AU212+AU210+AU204+AU195+AU189+AU184</f>
        <v>8</v>
      </c>
      <c r="AW214" s="1028" t="s">
        <v>1370</v>
      </c>
      <c r="AX214" s="1028"/>
      <c r="AY214" s="1029">
        <f>AY212+AY210+AY195+AY184</f>
        <v>3</v>
      </c>
      <c r="AZ214" s="1028"/>
      <c r="BA214" s="1029">
        <f>BA212+BA210+BA195+BA184</f>
        <v>3</v>
      </c>
      <c r="BB214" s="1027"/>
      <c r="BC214" s="1029">
        <f>BC212+BC210+BC195+BC184</f>
        <v>4</v>
      </c>
      <c r="BD214" s="1027"/>
      <c r="BE214" s="1029">
        <f>BE206+BE195+BE189+BE184</f>
        <v>5</v>
      </c>
      <c r="BF214" s="1027"/>
      <c r="BG214" s="1029">
        <f>BG206+BG195+BG184</f>
        <v>5</v>
      </c>
      <c r="BH214" s="1027"/>
      <c r="BI214" s="1029">
        <f>BI212+BI210+BI204+BI195+BI189+BI184</f>
        <v>7</v>
      </c>
      <c r="BJ214" s="1027"/>
      <c r="BK214" s="1029">
        <f>BK212+BK210+BK204+BK195+BK184</f>
        <v>7</v>
      </c>
      <c r="BM214" s="1028" t="s">
        <v>1370</v>
      </c>
      <c r="BN214" s="1028"/>
      <c r="BO214" s="1029">
        <f>BO212+BO210+BO195+BO184</f>
        <v>3</v>
      </c>
      <c r="BP214" s="1028"/>
      <c r="BQ214" s="1029">
        <f>BQ212+BQ210+BQ195+BQ184</f>
        <v>3</v>
      </c>
      <c r="BR214" s="1027"/>
      <c r="BS214" s="1029">
        <f>BS212+BS210+BS195+BS184</f>
        <v>4</v>
      </c>
      <c r="BT214" s="1027"/>
      <c r="BU214" s="1029">
        <f>BU206+BU195+BU189+BU184</f>
        <v>5</v>
      </c>
      <c r="BV214" s="1027"/>
      <c r="BW214" s="1029">
        <f>BW20+BW195+BW184+BW206</f>
        <v>5</v>
      </c>
      <c r="BX214" s="1027"/>
      <c r="BY214" s="1029">
        <f>BY205+BY195+BY189+BY184</f>
        <v>6</v>
      </c>
      <c r="BZ214" s="1027"/>
      <c r="CA214" s="1029">
        <f>CA212+CA210+CA204+CA195+CA184</f>
        <v>7</v>
      </c>
      <c r="CC214" s="1028" t="s">
        <v>1370</v>
      </c>
      <c r="CD214" s="1028"/>
      <c r="CE214" s="1029">
        <f>CE212+CE210+CE195+CE184</f>
        <v>3</v>
      </c>
      <c r="CF214" s="1028"/>
      <c r="CG214" s="1029">
        <f>CG212+CG210+CG195+CG184</f>
        <v>3</v>
      </c>
      <c r="CH214" s="1027"/>
      <c r="CI214" s="1029">
        <f>CI212+CI210+CI195+CI184</f>
        <v>4</v>
      </c>
      <c r="CJ214" s="1027"/>
      <c r="CK214" s="1029">
        <f>CK212+CK204+CK195+CK184</f>
        <v>4</v>
      </c>
      <c r="CL214" s="1027"/>
      <c r="CM214" s="1029">
        <f>CM212+CM204+CM195+CM184</f>
        <v>5</v>
      </c>
      <c r="CN214" s="1027"/>
      <c r="CO214" s="1029">
        <f>CO205+CO195+CO189+CO184</f>
        <v>6</v>
      </c>
      <c r="CP214" s="1027"/>
      <c r="CQ214" s="1029">
        <f>CQ212+CQ210+CQ204+CQ195+CQ184</f>
        <v>7</v>
      </c>
      <c r="CU214" s="1196"/>
      <c r="CW214" s="1196"/>
      <c r="CX214" s="1197"/>
      <c r="CY214" s="1196"/>
      <c r="CZ214" s="1197"/>
      <c r="DA214" s="1196"/>
      <c r="DB214" s="1197"/>
      <c r="DC214" s="1196"/>
      <c r="DD214" s="1197"/>
      <c r="DE214" s="1196"/>
      <c r="DF214" s="1197"/>
      <c r="DG214" s="1196"/>
    </row>
    <row r="215" spans="1:111" ht="15.75" customHeight="1">
      <c r="A215" s="1028" t="s">
        <v>1473</v>
      </c>
      <c r="B215" s="1028"/>
      <c r="C215" s="1026">
        <f>C178*C214/1</f>
        <v>57.76</v>
      </c>
      <c r="D215" s="1028"/>
      <c r="E215" s="1026">
        <f>C178*E214/2</f>
        <v>28.88</v>
      </c>
      <c r="F215" s="1027"/>
      <c r="G215" s="1026">
        <f>C178*G214/3</f>
        <v>24.066666666666666</v>
      </c>
      <c r="H215" s="1027"/>
      <c r="I215" s="1026">
        <f>C178*I214/4</f>
        <v>25.27</v>
      </c>
      <c r="J215" s="1027"/>
      <c r="K215" s="1026">
        <f>C178*K214/5</f>
        <v>20.216000000000001</v>
      </c>
      <c r="L215" s="1027"/>
      <c r="M215" s="1026">
        <f>C178*M214/5</f>
        <v>23.103999999999999</v>
      </c>
      <c r="N215" s="1027"/>
      <c r="O215" s="1026">
        <f>C178*O214/5</f>
        <v>25.992000000000001</v>
      </c>
      <c r="Q215" s="1028" t="s">
        <v>1473</v>
      </c>
      <c r="R215" s="1028"/>
      <c r="S215" s="1026">
        <f>S178*S214/1</f>
        <v>49.019999999999996</v>
      </c>
      <c r="T215" s="1028"/>
      <c r="U215" s="1026">
        <f>S178*U214/2</f>
        <v>24.509999999999998</v>
      </c>
      <c r="V215" s="1027"/>
      <c r="W215" s="1026">
        <f>S178*W214/3</f>
        <v>21.786666666666665</v>
      </c>
      <c r="X215" s="1027"/>
      <c r="Y215" s="1026">
        <f>S178*Y214/4</f>
        <v>24.509999999999998</v>
      </c>
      <c r="Z215" s="1027"/>
      <c r="AA215" s="1026">
        <f>S178*AA214/5</f>
        <v>22.875999999999998</v>
      </c>
      <c r="AB215" s="1027"/>
      <c r="AC215" s="1026">
        <f>S178*AC214/5</f>
        <v>26.143999999999998</v>
      </c>
      <c r="AD215" s="1027"/>
      <c r="AE215" s="1026">
        <f>S178*AE214/5</f>
        <v>32.68</v>
      </c>
      <c r="AG215" s="1028" t="s">
        <v>1473</v>
      </c>
      <c r="AH215" s="1028"/>
      <c r="AI215" s="1026">
        <f>AI178*AI214/1</f>
        <v>54.72</v>
      </c>
      <c r="AJ215" s="1028"/>
      <c r="AK215" s="1026">
        <f>AI178*AK214/2</f>
        <v>27.36</v>
      </c>
      <c r="AL215" s="1027"/>
      <c r="AM215" s="1026">
        <f>AI178*AM214/3</f>
        <v>24.319999999999997</v>
      </c>
      <c r="AN215" s="1027"/>
      <c r="AO215" s="1026">
        <f>AI178*AO214/4</f>
        <v>22.799999999999997</v>
      </c>
      <c r="AP215" s="1027"/>
      <c r="AQ215" s="1026">
        <f>AI178*AQ214/5</f>
        <v>18.239999999999998</v>
      </c>
      <c r="AR215" s="1027"/>
      <c r="AS215" s="1026">
        <f>AI178*AS214/5</f>
        <v>25.535999999999998</v>
      </c>
      <c r="AT215" s="1027"/>
      <c r="AU215" s="1026">
        <f>AI178*AU214/5</f>
        <v>29.183999999999997</v>
      </c>
      <c r="AW215" s="1028" t="s">
        <v>1473</v>
      </c>
      <c r="AX215" s="1028"/>
      <c r="AY215" s="1026">
        <f>AY178*AY214/1</f>
        <v>58.14</v>
      </c>
      <c r="AZ215" s="1028"/>
      <c r="BA215" s="1026">
        <f>AY178*BA214/2</f>
        <v>29.07</v>
      </c>
      <c r="BB215" s="1027"/>
      <c r="BC215" s="1026">
        <f>AY178*BC214/3</f>
        <v>25.84</v>
      </c>
      <c r="BD215" s="1027"/>
      <c r="BE215" s="1026">
        <f>AY178*BE214/4</f>
        <v>24.224999999999998</v>
      </c>
      <c r="BF215" s="1027"/>
      <c r="BG215" s="1026">
        <f>AY178*BG214/5</f>
        <v>19.38</v>
      </c>
      <c r="BH215" s="1027"/>
      <c r="BI215" s="1026">
        <f>AY178*BI214/5</f>
        <v>27.131999999999998</v>
      </c>
      <c r="BJ215" s="1027"/>
      <c r="BK215" s="1026">
        <f>AY178*BK214/5</f>
        <v>27.131999999999998</v>
      </c>
      <c r="BM215" s="1028" t="s">
        <v>1473</v>
      </c>
      <c r="BN215" s="1028"/>
      <c r="BO215" s="1026">
        <f>BO178*BO214/1</f>
        <v>62.699999999999996</v>
      </c>
      <c r="BP215" s="1028"/>
      <c r="BQ215" s="1026">
        <f>BO178*BQ214/2</f>
        <v>31.349999999999998</v>
      </c>
      <c r="BR215" s="1027"/>
      <c r="BS215" s="1026">
        <f>BO178*BS214/3</f>
        <v>27.866666666666664</v>
      </c>
      <c r="BT215" s="1027"/>
      <c r="BU215" s="1026">
        <f>BO178*BU214/4</f>
        <v>26.125</v>
      </c>
      <c r="BV215" s="1027"/>
      <c r="BW215" s="1026">
        <f>BO178*BW214/5</f>
        <v>20.9</v>
      </c>
      <c r="BX215" s="1027"/>
      <c r="BY215" s="1026">
        <f>BO178*BY214/5</f>
        <v>25.08</v>
      </c>
      <c r="BZ215" s="1027"/>
      <c r="CA215" s="1026">
        <f>BO178*CA214/5</f>
        <v>29.259999999999998</v>
      </c>
      <c r="CC215" s="1028" t="s">
        <v>1473</v>
      </c>
      <c r="CD215" s="1028"/>
      <c r="CE215" s="1026">
        <f>CE178*CE214/1</f>
        <v>66.12</v>
      </c>
      <c r="CF215" s="1028"/>
      <c r="CG215" s="1026">
        <f>CE178*CG214/2</f>
        <v>33.06</v>
      </c>
      <c r="CH215" s="1027"/>
      <c r="CI215" s="1026">
        <f>CE178*CI214/3</f>
        <v>29.386666666666667</v>
      </c>
      <c r="CJ215" s="1027"/>
      <c r="CK215" s="1026">
        <f>CE178*CK214/4</f>
        <v>22.04</v>
      </c>
      <c r="CL215" s="1027"/>
      <c r="CM215" s="1026">
        <f>CE178*CM214/5</f>
        <v>22.04</v>
      </c>
      <c r="CN215" s="1027"/>
      <c r="CO215" s="1026">
        <f>CE178*CO214/5</f>
        <v>26.448</v>
      </c>
      <c r="CP215" s="1027"/>
      <c r="CQ215" s="1026">
        <f>CE178*CQ214/5</f>
        <v>30.856000000000002</v>
      </c>
      <c r="CU215" s="1198"/>
      <c r="CW215" s="1198"/>
      <c r="CX215" s="1197"/>
      <c r="CY215" s="1198"/>
      <c r="CZ215" s="1197"/>
      <c r="DA215" s="1198"/>
      <c r="DB215" s="1197"/>
      <c r="DC215" s="1198"/>
      <c r="DD215" s="1197"/>
      <c r="DE215" s="1198"/>
      <c r="DF215" s="1197"/>
      <c r="DG215" s="1198"/>
    </row>
    <row r="216" spans="1:111" ht="15.75" customHeight="1">
      <c r="C216" s="1205">
        <f>C209+C203+C194+C183</f>
        <v>22.274999999999999</v>
      </c>
      <c r="D216" s="1206">
        <f>E209+E194+E183+E203</f>
        <v>26.805</v>
      </c>
      <c r="E216" s="1206">
        <f>G203+G194+G183+G209</f>
        <v>41.67</v>
      </c>
      <c r="F216" s="1207">
        <f>I209+I203+I193+I188+I183+I198</f>
        <v>54.839999999999996</v>
      </c>
      <c r="G216" s="1207">
        <f>K209+K203+K193+K183+K198</f>
        <v>65.75</v>
      </c>
      <c r="H216" s="1207">
        <f>M209+M203+M198+M193+M188+M183</f>
        <v>82.95</v>
      </c>
      <c r="I216" s="1207">
        <f>O209+O203+O198+O193+O188+O183+C178</f>
        <v>106.96</v>
      </c>
      <c r="S216" s="1205">
        <f>S209+S194+S183</f>
        <v>22.274999999999999</v>
      </c>
      <c r="T216" s="1206">
        <f>U209+U194+U183</f>
        <v>26.805</v>
      </c>
      <c r="U216" s="1206">
        <f>W194+W183+W204</f>
        <v>47.519999999999996</v>
      </c>
      <c r="V216" s="1207">
        <f>Y209+Y203+Y194+Y188+Y183</f>
        <v>54.84</v>
      </c>
      <c r="W216" s="1207">
        <f>AA209+AA203+AA193+AA183+AA198</f>
        <v>65.75</v>
      </c>
      <c r="X216" s="1207">
        <f>AC209+AC203+AC198+AC193+AC188+AC183</f>
        <v>82.95</v>
      </c>
      <c r="Y216" s="1207">
        <f>AE209+AE203+AE198+AE193+AE188+AE183+S178</f>
        <v>108.86</v>
      </c>
      <c r="AI216" s="1205">
        <f>AI209+AI194+AI183</f>
        <v>22.274999999999999</v>
      </c>
      <c r="AJ216" s="1206">
        <f>AK209+AK194+AK183</f>
        <v>26.805</v>
      </c>
      <c r="AK216" s="1206">
        <f>AM209+AM194+AM183</f>
        <v>41.76</v>
      </c>
      <c r="AL216" s="1207">
        <f>AO205+AO194+AO188+AO183</f>
        <v>56.42</v>
      </c>
      <c r="AM216" s="1207">
        <f>AQ205+AQ194+AQ183</f>
        <v>65.75</v>
      </c>
      <c r="AN216" s="1207">
        <f>AS209+AS203+AS194+AS188+AS183</f>
        <v>82.95</v>
      </c>
      <c r="AO216" s="1207">
        <f>AU209+AU203+AU194+AU188+AU183</f>
        <v>92.52</v>
      </c>
      <c r="AY216" s="1205">
        <f>AY209+AY194+AY183</f>
        <v>22.274999999999999</v>
      </c>
      <c r="AZ216" s="1206">
        <f>BA209+BA194+BA183</f>
        <v>26.805</v>
      </c>
      <c r="BA216" s="1206">
        <f>BC194+BC183+BC209</f>
        <v>41.76</v>
      </c>
      <c r="BB216" s="1207">
        <f>BE205+BE194+BE188+BE183</f>
        <v>56.42</v>
      </c>
      <c r="BC216" s="1207">
        <f>BG205+BG194+BG183</f>
        <v>65.75</v>
      </c>
      <c r="BD216" s="1207">
        <f>BI209+BI203+BI194+BI188+BI183</f>
        <v>82.95</v>
      </c>
      <c r="BE216" s="1207">
        <f>BK209+BK203+BK183+BK194</f>
        <v>92.52</v>
      </c>
      <c r="BO216" s="1205">
        <f>BO209+BO194+BO183</f>
        <v>22.274999999999999</v>
      </c>
      <c r="BP216" s="1206">
        <f>BQ209+BQ194+BQ183</f>
        <v>26.805</v>
      </c>
      <c r="BQ216" s="1206">
        <f>BS194+BS183+BS209</f>
        <v>41.76</v>
      </c>
      <c r="BR216" s="1207">
        <f>BU205+BU194+BU188+BU183</f>
        <v>56.42</v>
      </c>
      <c r="BS216" s="1207">
        <f>BW205+BW194+BW183</f>
        <v>65.75</v>
      </c>
      <c r="BT216" s="1207">
        <f>BY204+BY194+BY188+BY183</f>
        <v>82.95</v>
      </c>
      <c r="BU216" s="1207">
        <f>CA209+CA203+CA194+CA183</f>
        <v>92.52</v>
      </c>
      <c r="CE216" s="1205">
        <f>CE209+CE194+CE183</f>
        <v>22.274999999999999</v>
      </c>
      <c r="CF216" s="1206">
        <f>CG209+CG194+CG183</f>
        <v>26.805</v>
      </c>
      <c r="CG216" s="1206">
        <f>CI194+CI183+CI209</f>
        <v>41.76</v>
      </c>
      <c r="CH216" s="1207">
        <f>CK203+CK194+CK183</f>
        <v>54.84</v>
      </c>
      <c r="CI216" s="1207">
        <f>CM203+CM194+CM183</f>
        <v>65.75</v>
      </c>
      <c r="CJ216" s="1207">
        <f>CO204+CO194+CO188+CO183</f>
        <v>82.95</v>
      </c>
      <c r="CK216" s="1207">
        <f>CQ209+CQ203+CQ194+CQ183</f>
        <v>92.52</v>
      </c>
    </row>
    <row r="218" spans="1:111" ht="15.75" customHeight="1">
      <c r="A218" s="1041" t="s">
        <v>2052</v>
      </c>
      <c r="B218" s="1041">
        <v>4.5</v>
      </c>
      <c r="C218" s="1041">
        <v>4.5</v>
      </c>
      <c r="D218" s="1441"/>
      <c r="E218" s="931"/>
      <c r="F218" s="931"/>
      <c r="G218" s="931"/>
      <c r="H218" s="931"/>
      <c r="I218" s="931"/>
      <c r="J218" s="931"/>
      <c r="K218" s="931"/>
      <c r="L218" s="931"/>
      <c r="M218" s="931"/>
      <c r="N218" s="931"/>
      <c r="O218" s="931"/>
      <c r="Q218" s="1041" t="s">
        <v>2052</v>
      </c>
      <c r="R218" s="1041">
        <v>4.5</v>
      </c>
      <c r="S218" s="1041">
        <v>5</v>
      </c>
      <c r="T218" s="1441"/>
      <c r="U218" s="931"/>
      <c r="V218" s="931"/>
      <c r="W218" s="931"/>
      <c r="X218" s="931"/>
      <c r="Y218" s="931"/>
      <c r="Z218" s="931"/>
      <c r="AA218" s="931"/>
      <c r="AB218" s="931"/>
      <c r="AC218" s="931"/>
      <c r="AD218" s="931"/>
      <c r="AE218" s="931"/>
      <c r="AG218" s="1041" t="s">
        <v>2052</v>
      </c>
      <c r="AH218" s="1041">
        <v>4.5</v>
      </c>
      <c r="AI218" s="1041">
        <v>5.3</v>
      </c>
      <c r="AJ218" s="1441"/>
      <c r="AK218" s="931"/>
      <c r="AL218" s="931"/>
      <c r="AM218" s="931"/>
      <c r="AN218" s="931"/>
      <c r="AO218" s="931"/>
      <c r="AP218" s="931"/>
      <c r="AQ218" s="931"/>
      <c r="AR218" s="931"/>
      <c r="AS218" s="931"/>
      <c r="AT218" s="931"/>
      <c r="AU218" s="931"/>
      <c r="AW218" s="1041" t="s">
        <v>2052</v>
      </c>
      <c r="AX218" s="1041">
        <v>4.5</v>
      </c>
      <c r="AY218" s="1041">
        <v>5.7</v>
      </c>
      <c r="AZ218" s="1441"/>
      <c r="BA218" s="931"/>
      <c r="BB218" s="931"/>
      <c r="BC218" s="931"/>
      <c r="BD218" s="931"/>
      <c r="BE218" s="931"/>
      <c r="BF218" s="931"/>
      <c r="BG218" s="931"/>
      <c r="BH218" s="931"/>
      <c r="BI218" s="931"/>
      <c r="BJ218" s="931"/>
      <c r="BK218" s="931"/>
      <c r="BM218" s="1041" t="s">
        <v>2052</v>
      </c>
      <c r="BN218" s="1041">
        <v>4.5</v>
      </c>
      <c r="BO218" s="1041">
        <v>6</v>
      </c>
      <c r="BP218" s="1441"/>
      <c r="BQ218" s="931"/>
      <c r="BR218" s="931"/>
      <c r="BS218" s="931"/>
      <c r="BT218" s="931"/>
      <c r="BU218" s="931"/>
      <c r="BV218" s="931"/>
      <c r="BW218" s="931"/>
      <c r="BX218" s="931"/>
      <c r="BY218" s="931"/>
      <c r="BZ218" s="931"/>
      <c r="CA218" s="931"/>
      <c r="CC218" s="1041"/>
      <c r="CD218" s="1041"/>
      <c r="CE218" s="1041"/>
      <c r="CF218" s="1041"/>
      <c r="CG218" s="931"/>
      <c r="CH218" s="931"/>
      <c r="CI218" s="931"/>
      <c r="CJ218" s="931"/>
      <c r="CK218" s="931"/>
      <c r="CL218" s="931"/>
      <c r="CM218" s="931"/>
      <c r="CN218" s="931"/>
      <c r="CO218" s="931"/>
      <c r="CP218" s="931"/>
      <c r="CQ218" s="931"/>
    </row>
    <row r="219" spans="1:111" ht="15.75" customHeight="1">
      <c r="A219" s="1038" t="s">
        <v>1354</v>
      </c>
      <c r="B219" s="1038">
        <f>B218-0.2</f>
        <v>4.3</v>
      </c>
      <c r="C219" s="1038">
        <f>C218-0.2</f>
        <v>4.3</v>
      </c>
      <c r="D219" s="1442"/>
      <c r="E219" s="1038"/>
      <c r="F219" s="1038"/>
      <c r="G219" s="1038"/>
      <c r="H219" s="1038"/>
      <c r="I219" s="1038"/>
      <c r="J219" s="1038"/>
      <c r="K219" s="1038"/>
      <c r="L219" s="1038"/>
      <c r="M219" s="1038"/>
      <c r="N219" s="1038"/>
      <c r="O219" s="1038"/>
      <c r="Q219" s="1038" t="s">
        <v>1354</v>
      </c>
      <c r="R219" s="1038">
        <f>R218-0.2</f>
        <v>4.3</v>
      </c>
      <c r="S219" s="1038">
        <f>S218-0.2</f>
        <v>4.8</v>
      </c>
      <c r="T219" s="1442"/>
      <c r="U219" s="1038"/>
      <c r="V219" s="1038"/>
      <c r="W219" s="1038"/>
      <c r="X219" s="1038"/>
      <c r="Y219" s="1038"/>
      <c r="Z219" s="1038"/>
      <c r="AA219" s="1038"/>
      <c r="AB219" s="1038"/>
      <c r="AC219" s="1038"/>
      <c r="AD219" s="1038"/>
      <c r="AE219" s="1038"/>
      <c r="AG219" s="1038" t="s">
        <v>1354</v>
      </c>
      <c r="AH219" s="1038">
        <f>AH218-0.2</f>
        <v>4.3</v>
      </c>
      <c r="AI219" s="1038">
        <f>AI218-0.2</f>
        <v>5.0999999999999996</v>
      </c>
      <c r="AJ219" s="1442"/>
      <c r="AK219" s="1038"/>
      <c r="AL219" s="1038"/>
      <c r="AM219" s="1038"/>
      <c r="AN219" s="1038"/>
      <c r="AO219" s="1038"/>
      <c r="AP219" s="1038"/>
      <c r="AQ219" s="1038"/>
      <c r="AR219" s="1038"/>
      <c r="AS219" s="1038"/>
      <c r="AT219" s="1038"/>
      <c r="AU219" s="1038"/>
      <c r="AW219" s="1038" t="s">
        <v>1354</v>
      </c>
      <c r="AX219" s="1038">
        <f>AX218-0.2</f>
        <v>4.3</v>
      </c>
      <c r="AY219" s="1038">
        <f>AY218-0.2</f>
        <v>5.5</v>
      </c>
      <c r="AZ219" s="1442"/>
      <c r="BA219" s="1038"/>
      <c r="BB219" s="1038"/>
      <c r="BC219" s="1038"/>
      <c r="BD219" s="1038"/>
      <c r="BE219" s="1038"/>
      <c r="BF219" s="1038"/>
      <c r="BG219" s="1038"/>
      <c r="BH219" s="1038"/>
      <c r="BI219" s="1038"/>
      <c r="BJ219" s="1038"/>
      <c r="BK219" s="1038"/>
      <c r="BM219" s="1038" t="s">
        <v>1354</v>
      </c>
      <c r="BN219" s="1038">
        <f>BN218-0.2</f>
        <v>4.3</v>
      </c>
      <c r="BO219" s="1038">
        <f>BO218-0.2</f>
        <v>5.8</v>
      </c>
      <c r="BP219" s="1442"/>
      <c r="BQ219" s="1038"/>
      <c r="BR219" s="1038"/>
      <c r="BS219" s="1038"/>
      <c r="BT219" s="1038"/>
      <c r="BU219" s="1038"/>
      <c r="BV219" s="1038"/>
      <c r="BW219" s="1038"/>
      <c r="BX219" s="1038"/>
      <c r="BY219" s="1038"/>
      <c r="BZ219" s="1038"/>
      <c r="CA219" s="1038"/>
      <c r="CC219" s="1038"/>
      <c r="CD219" s="1038"/>
      <c r="CE219" s="1038"/>
      <c r="CF219" s="701"/>
      <c r="CG219" s="1038"/>
      <c r="CH219" s="1038"/>
      <c r="CI219" s="1038"/>
      <c r="CJ219" s="1038"/>
      <c r="CK219" s="1038"/>
      <c r="CL219" s="1038"/>
      <c r="CM219" s="1038"/>
      <c r="CN219" s="1038"/>
      <c r="CO219" s="1038"/>
      <c r="CP219" s="1038"/>
      <c r="CQ219" s="1038"/>
    </row>
    <row r="220" spans="1:111" ht="15.75" customHeight="1">
      <c r="A220" s="1040" t="s">
        <v>1471</v>
      </c>
      <c r="B220" s="1040"/>
      <c r="C220" s="1039">
        <f>B218*C218</f>
        <v>20.25</v>
      </c>
      <c r="D220" s="1442"/>
      <c r="E220" s="1038"/>
      <c r="F220" s="1038"/>
      <c r="G220" s="1038"/>
      <c r="H220" s="1038"/>
      <c r="I220" s="1038"/>
      <c r="J220" s="1038"/>
      <c r="K220" s="1038"/>
      <c r="L220" s="1038"/>
      <c r="M220" s="1038"/>
      <c r="N220" s="1038"/>
      <c r="O220" s="1038"/>
      <c r="Q220" s="1040" t="s">
        <v>1471</v>
      </c>
      <c r="R220" s="1040"/>
      <c r="S220" s="1039">
        <f>R218*S218</f>
        <v>22.5</v>
      </c>
      <c r="T220" s="1442"/>
      <c r="U220" s="1038"/>
      <c r="V220" s="1038"/>
      <c r="W220" s="1038"/>
      <c r="X220" s="1038"/>
      <c r="Y220" s="1038"/>
      <c r="Z220" s="1038"/>
      <c r="AA220" s="1038"/>
      <c r="AB220" s="1038"/>
      <c r="AC220" s="1038"/>
      <c r="AD220" s="1038"/>
      <c r="AE220" s="1038"/>
      <c r="AG220" s="1040" t="s">
        <v>1471</v>
      </c>
      <c r="AH220" s="1040"/>
      <c r="AI220" s="1039">
        <f>AH218*AI218</f>
        <v>23.849999999999998</v>
      </c>
      <c r="AJ220" s="1442"/>
      <c r="AK220" s="1038"/>
      <c r="AL220" s="1038"/>
      <c r="AM220" s="1038"/>
      <c r="AN220" s="1038"/>
      <c r="AO220" s="1038"/>
      <c r="AP220" s="1038"/>
      <c r="AQ220" s="1038"/>
      <c r="AR220" s="1038"/>
      <c r="AS220" s="1038"/>
      <c r="AT220" s="1038"/>
      <c r="AU220" s="1038"/>
      <c r="AW220" s="1040" t="s">
        <v>1471</v>
      </c>
      <c r="AX220" s="1040"/>
      <c r="AY220" s="1039">
        <f>AX218*AY218</f>
        <v>25.650000000000002</v>
      </c>
      <c r="AZ220" s="1442"/>
      <c r="BA220" s="1038"/>
      <c r="BB220" s="1038"/>
      <c r="BC220" s="1038"/>
      <c r="BD220" s="1038"/>
      <c r="BE220" s="1038"/>
      <c r="BF220" s="1038"/>
      <c r="BG220" s="1038"/>
      <c r="BH220" s="1038"/>
      <c r="BI220" s="1038"/>
      <c r="BJ220" s="1038"/>
      <c r="BK220" s="1038"/>
      <c r="BM220" s="1040" t="s">
        <v>1471</v>
      </c>
      <c r="BN220" s="1040"/>
      <c r="BO220" s="1039">
        <f>BN218*BO218</f>
        <v>27</v>
      </c>
      <c r="BP220" s="1442"/>
      <c r="BQ220" s="1038"/>
      <c r="BR220" s="1038"/>
      <c r="BS220" s="1038"/>
      <c r="BT220" s="1038"/>
      <c r="BU220" s="1038"/>
      <c r="BV220" s="1038"/>
      <c r="BW220" s="1038"/>
      <c r="BX220" s="1038"/>
      <c r="BY220" s="1038"/>
      <c r="BZ220" s="1038"/>
      <c r="CA220" s="1038"/>
      <c r="CC220" s="1040"/>
      <c r="CD220" s="1040"/>
      <c r="CE220" s="1039"/>
      <c r="CF220" s="701"/>
      <c r="CG220" s="1038"/>
      <c r="CH220" s="1038"/>
      <c r="CI220" s="1038"/>
      <c r="CJ220" s="1038"/>
      <c r="CK220" s="1038"/>
      <c r="CL220" s="1038"/>
      <c r="CM220" s="1038"/>
      <c r="CN220" s="1038"/>
      <c r="CO220" s="1038"/>
      <c r="CP220" s="1038"/>
      <c r="CQ220" s="1038"/>
    </row>
    <row r="221" spans="1:111" ht="15.75" customHeight="1">
      <c r="A221" s="1040" t="s">
        <v>1355</v>
      </c>
      <c r="B221" s="1040"/>
      <c r="C221" s="1039">
        <f>C219*C219</f>
        <v>18.489999999999998</v>
      </c>
      <c r="D221" s="1442"/>
      <c r="E221" s="1038"/>
      <c r="F221" s="1038"/>
      <c r="G221" s="1038"/>
      <c r="H221" s="1038"/>
      <c r="I221" s="1038"/>
      <c r="J221" s="1038"/>
      <c r="K221" s="1038"/>
      <c r="L221" s="1038"/>
      <c r="M221" s="1038"/>
      <c r="N221" s="1038"/>
      <c r="O221" s="1038"/>
      <c r="Q221" s="1040" t="s">
        <v>1355</v>
      </c>
      <c r="R221" s="1040"/>
      <c r="S221" s="1039">
        <f>R219*S219</f>
        <v>20.639999999999997</v>
      </c>
      <c r="T221" s="1442"/>
      <c r="U221" s="1038"/>
      <c r="V221" s="1038"/>
      <c r="W221" s="1038"/>
      <c r="X221" s="1038"/>
      <c r="Y221" s="1038"/>
      <c r="Z221" s="1038"/>
      <c r="AA221" s="1038"/>
      <c r="AB221" s="1038"/>
      <c r="AC221" s="1038"/>
      <c r="AD221" s="1038"/>
      <c r="AE221" s="1038"/>
      <c r="AG221" s="1040" t="s">
        <v>1355</v>
      </c>
      <c r="AH221" s="1040"/>
      <c r="AI221" s="1039">
        <f>AH219*AI219</f>
        <v>21.929999999999996</v>
      </c>
      <c r="AJ221" s="1442"/>
      <c r="AK221" s="1038"/>
      <c r="AL221" s="1038"/>
      <c r="AM221" s="1038"/>
      <c r="AN221" s="1038"/>
      <c r="AO221" s="1038"/>
      <c r="AP221" s="1038"/>
      <c r="AQ221" s="1038"/>
      <c r="AR221" s="1038"/>
      <c r="AS221" s="1038"/>
      <c r="AT221" s="1038"/>
      <c r="AU221" s="1038"/>
      <c r="AW221" s="1040" t="s">
        <v>1355</v>
      </c>
      <c r="AX221" s="1040"/>
      <c r="AY221" s="1039">
        <f>AX219*AY219</f>
        <v>23.65</v>
      </c>
      <c r="AZ221" s="1442"/>
      <c r="BA221" s="1038"/>
      <c r="BB221" s="1038"/>
      <c r="BC221" s="1038"/>
      <c r="BD221" s="1038"/>
      <c r="BE221" s="1038"/>
      <c r="BF221" s="1038"/>
      <c r="BG221" s="1038"/>
      <c r="BH221" s="1038"/>
      <c r="BI221" s="1038"/>
      <c r="BJ221" s="1038"/>
      <c r="BK221" s="1038"/>
      <c r="BM221" s="1040" t="s">
        <v>1355</v>
      </c>
      <c r="BN221" s="1040"/>
      <c r="BO221" s="1039">
        <f>BN219*BO219</f>
        <v>24.939999999999998</v>
      </c>
      <c r="BP221" s="1442"/>
      <c r="BQ221" s="1038"/>
      <c r="BR221" s="1038"/>
      <c r="BS221" s="1038"/>
      <c r="BT221" s="1038"/>
      <c r="BU221" s="1038"/>
      <c r="BV221" s="1038"/>
      <c r="BW221" s="1038"/>
      <c r="BX221" s="1038"/>
      <c r="BY221" s="1038"/>
      <c r="BZ221" s="1038"/>
      <c r="CA221" s="1038"/>
      <c r="CC221" s="1040"/>
      <c r="CD221" s="1040"/>
      <c r="CE221" s="1039"/>
      <c r="CF221" s="701"/>
      <c r="CG221" s="1038"/>
      <c r="CH221" s="1038"/>
      <c r="CI221" s="1038"/>
      <c r="CJ221" s="1038"/>
      <c r="CK221" s="1038"/>
      <c r="CL221" s="1038"/>
      <c r="CM221" s="1038"/>
      <c r="CN221" s="1038"/>
      <c r="CO221" s="1038"/>
      <c r="CP221" s="1038"/>
      <c r="CQ221" s="1038"/>
    </row>
    <row r="222" spans="1:111" ht="15.75" customHeight="1">
      <c r="A222" s="1037" t="s">
        <v>1356</v>
      </c>
      <c r="B222" s="1405" t="s">
        <v>1357</v>
      </c>
      <c r="C222" s="1406"/>
      <c r="D222" s="1405" t="s">
        <v>1358</v>
      </c>
      <c r="E222" s="1406"/>
      <c r="F222" s="1405" t="s">
        <v>1359</v>
      </c>
      <c r="G222" s="1406"/>
      <c r="H222" s="1405" t="s">
        <v>1360</v>
      </c>
      <c r="I222" s="1406"/>
      <c r="J222" s="1405" t="s">
        <v>1361</v>
      </c>
      <c r="K222" s="1406"/>
      <c r="L222" s="1405" t="s">
        <v>1362</v>
      </c>
      <c r="M222" s="1406"/>
      <c r="N222" s="1409" t="s">
        <v>1363</v>
      </c>
      <c r="O222" s="1406"/>
      <c r="Q222" s="1037" t="s">
        <v>1356</v>
      </c>
      <c r="R222" s="1405" t="s">
        <v>1357</v>
      </c>
      <c r="S222" s="1406"/>
      <c r="T222" s="1405" t="s">
        <v>1358</v>
      </c>
      <c r="U222" s="1406"/>
      <c r="V222" s="1405" t="s">
        <v>1359</v>
      </c>
      <c r="W222" s="1406"/>
      <c r="X222" s="1405" t="s">
        <v>1360</v>
      </c>
      <c r="Y222" s="1406"/>
      <c r="Z222" s="1405" t="s">
        <v>1361</v>
      </c>
      <c r="AA222" s="1406"/>
      <c r="AB222" s="1405" t="s">
        <v>1362</v>
      </c>
      <c r="AC222" s="1406"/>
      <c r="AD222" s="1409" t="s">
        <v>1363</v>
      </c>
      <c r="AE222" s="1406"/>
      <c r="AG222" s="1037" t="s">
        <v>1356</v>
      </c>
      <c r="AH222" s="1405" t="s">
        <v>1357</v>
      </c>
      <c r="AI222" s="1406"/>
      <c r="AJ222" s="1405" t="s">
        <v>1358</v>
      </c>
      <c r="AK222" s="1406"/>
      <c r="AL222" s="1405" t="s">
        <v>1359</v>
      </c>
      <c r="AM222" s="1406"/>
      <c r="AN222" s="1405" t="s">
        <v>1360</v>
      </c>
      <c r="AO222" s="1406"/>
      <c r="AP222" s="1405" t="s">
        <v>1361</v>
      </c>
      <c r="AQ222" s="1406"/>
      <c r="AR222" s="1405" t="s">
        <v>1362</v>
      </c>
      <c r="AS222" s="1406"/>
      <c r="AT222" s="1409" t="s">
        <v>1363</v>
      </c>
      <c r="AU222" s="1406"/>
      <c r="AW222" s="1037" t="s">
        <v>1356</v>
      </c>
      <c r="AX222" s="1405" t="s">
        <v>1357</v>
      </c>
      <c r="AY222" s="1406"/>
      <c r="AZ222" s="1405" t="s">
        <v>1358</v>
      </c>
      <c r="BA222" s="1406"/>
      <c r="BB222" s="1405" t="s">
        <v>1359</v>
      </c>
      <c r="BC222" s="1406"/>
      <c r="BD222" s="1405" t="s">
        <v>1360</v>
      </c>
      <c r="BE222" s="1406"/>
      <c r="BF222" s="1405" t="s">
        <v>1361</v>
      </c>
      <c r="BG222" s="1406"/>
      <c r="BH222" s="1405" t="s">
        <v>1362</v>
      </c>
      <c r="BI222" s="1406"/>
      <c r="BJ222" s="1409" t="s">
        <v>1363</v>
      </c>
      <c r="BK222" s="1406"/>
      <c r="BM222" s="1037" t="s">
        <v>1356</v>
      </c>
      <c r="BN222" s="1405" t="s">
        <v>1357</v>
      </c>
      <c r="BO222" s="1406"/>
      <c r="BP222" s="1405" t="s">
        <v>1358</v>
      </c>
      <c r="BQ222" s="1406"/>
      <c r="BR222" s="1405" t="s">
        <v>1359</v>
      </c>
      <c r="BS222" s="1406"/>
      <c r="BT222" s="1405" t="s">
        <v>1360</v>
      </c>
      <c r="BU222" s="1406"/>
      <c r="BV222" s="1405" t="s">
        <v>1361</v>
      </c>
      <c r="BW222" s="1406"/>
      <c r="BX222" s="1405" t="s">
        <v>1362</v>
      </c>
      <c r="BY222" s="1406"/>
      <c r="BZ222" s="1409" t="s">
        <v>1363</v>
      </c>
      <c r="CA222" s="1406"/>
      <c r="CC222" s="1040"/>
      <c r="CD222" s="1040"/>
      <c r="CE222" s="701"/>
      <c r="CF222" s="1040"/>
      <c r="CG222" s="701"/>
      <c r="CH222" s="1040"/>
      <c r="CI222" s="701"/>
      <c r="CJ222" s="1040"/>
      <c r="CK222" s="701"/>
      <c r="CL222" s="1040"/>
      <c r="CM222" s="701"/>
      <c r="CN222" s="1040"/>
      <c r="CO222" s="701"/>
      <c r="CP222" s="1166"/>
      <c r="CQ222" s="701"/>
    </row>
    <row r="223" spans="1:111" ht="15.75" customHeight="1">
      <c r="A223" s="1435" t="s">
        <v>1364</v>
      </c>
      <c r="B223" s="1440"/>
      <c r="C223" s="1033">
        <f>Möblierungsschablone!$C$21</f>
        <v>7.17</v>
      </c>
      <c r="D223" s="1440"/>
      <c r="E223" s="1033">
        <f>Möblierungsschablone!$G$21</f>
        <v>10.8</v>
      </c>
      <c r="F223" s="1437"/>
      <c r="G223" s="1033">
        <f>Möblierungsschablone!$C$21</f>
        <v>7.17</v>
      </c>
      <c r="H223" s="1440"/>
      <c r="I223" s="1033">
        <f>2*Möblierungsschablone!$C$21</f>
        <v>14.34</v>
      </c>
      <c r="J223" s="1437"/>
      <c r="K223" s="1033">
        <f>3*Möblierungsschablone!$C$21</f>
        <v>21.509999999999998</v>
      </c>
      <c r="L223" s="1440"/>
      <c r="M223" s="1033">
        <f>4*Möblierungsschablone!$C$21</f>
        <v>28.68</v>
      </c>
      <c r="N223" s="1440"/>
      <c r="O223" s="1033">
        <f>5*Möblierungsschablone!$C$21</f>
        <v>35.85</v>
      </c>
      <c r="Q223" s="1435" t="s">
        <v>1364</v>
      </c>
      <c r="R223" s="1199" t="s">
        <v>2051</v>
      </c>
      <c r="S223" s="1033">
        <f>Möblierungsschablone!$C$21</f>
        <v>7.17</v>
      </c>
      <c r="T223" s="1200" t="s">
        <v>2046</v>
      </c>
      <c r="U223" s="1033">
        <f>Möblierungsschablone!$G$21</f>
        <v>10.8</v>
      </c>
      <c r="V223" s="1199" t="s">
        <v>2051</v>
      </c>
      <c r="W223" s="1033">
        <f>Möblierungsschablone!$C$21</f>
        <v>7.17</v>
      </c>
      <c r="X223" s="1199" t="s">
        <v>2050</v>
      </c>
      <c r="Y223" s="1033">
        <f>2*Möblierungsschablone!$C$21</f>
        <v>14.34</v>
      </c>
      <c r="Z223" s="1199" t="s">
        <v>2049</v>
      </c>
      <c r="AA223" s="1033">
        <f>3*Möblierungsschablone!$C$21</f>
        <v>21.509999999999998</v>
      </c>
      <c r="AB223" s="1199" t="s">
        <v>2048</v>
      </c>
      <c r="AC223" s="1033">
        <f>4*Möblierungsschablone!$C$21</f>
        <v>28.68</v>
      </c>
      <c r="AD223" s="1199" t="s">
        <v>2047</v>
      </c>
      <c r="AE223" s="1033">
        <f>5*Möblierungsschablone!$C$21</f>
        <v>35.85</v>
      </c>
      <c r="AG223" s="1435" t="s">
        <v>1364</v>
      </c>
      <c r="AH223" s="1199" t="s">
        <v>2051</v>
      </c>
      <c r="AI223" s="1033">
        <f>Möblierungsschablone!$C$21</f>
        <v>7.17</v>
      </c>
      <c r="AJ223" s="1200" t="s">
        <v>2046</v>
      </c>
      <c r="AK223" s="1033">
        <f>Möblierungsschablone!$G$21</f>
        <v>10.8</v>
      </c>
      <c r="AL223" s="1199" t="s">
        <v>2051</v>
      </c>
      <c r="AM223" s="1033">
        <f>Möblierungsschablone!$C$21</f>
        <v>7.17</v>
      </c>
      <c r="AN223" s="1199" t="s">
        <v>2050</v>
      </c>
      <c r="AO223" s="1033">
        <f>2*Möblierungsschablone!$C$21</f>
        <v>14.34</v>
      </c>
      <c r="AP223" s="1199" t="s">
        <v>2049</v>
      </c>
      <c r="AQ223" s="1033">
        <f>3*Möblierungsschablone!$C$21</f>
        <v>21.509999999999998</v>
      </c>
      <c r="AR223" s="1199" t="s">
        <v>2048</v>
      </c>
      <c r="AS223" s="1033">
        <f>4*Möblierungsschablone!$C$21</f>
        <v>28.68</v>
      </c>
      <c r="AT223" s="1199" t="s">
        <v>2047</v>
      </c>
      <c r="AU223" s="1033">
        <f>5*Möblierungsschablone!$C$21</f>
        <v>35.85</v>
      </c>
      <c r="AW223" s="1403" t="s">
        <v>1364</v>
      </c>
      <c r="AX223" s="1199" t="s">
        <v>2051</v>
      </c>
      <c r="AY223" s="1033">
        <f>Möblierungsschablone!$C$21</f>
        <v>7.17</v>
      </c>
      <c r="AZ223" s="1200" t="s">
        <v>2046</v>
      </c>
      <c r="BA223" s="1033">
        <f>Möblierungsschablone!$G$21</f>
        <v>10.8</v>
      </c>
      <c r="BB223" s="1199" t="s">
        <v>2051</v>
      </c>
      <c r="BC223" s="1033">
        <f>Möblierungsschablone!$C$21</f>
        <v>7.17</v>
      </c>
      <c r="BD223" s="1199" t="s">
        <v>2050</v>
      </c>
      <c r="BE223" s="1033">
        <f>2*Möblierungsschablone!$C$21</f>
        <v>14.34</v>
      </c>
      <c r="BF223" s="1199" t="s">
        <v>2049</v>
      </c>
      <c r="BG223" s="1033">
        <f>3*Möblierungsschablone!$C$21</f>
        <v>21.509999999999998</v>
      </c>
      <c r="BH223" s="1199" t="s">
        <v>2048</v>
      </c>
      <c r="BI223" s="1033">
        <f>4*Möblierungsschablone!$C$21</f>
        <v>28.68</v>
      </c>
      <c r="BJ223" s="1199" t="s">
        <v>2047</v>
      </c>
      <c r="BK223" s="1033">
        <f>5*Möblierungsschablone!$C$21</f>
        <v>35.85</v>
      </c>
      <c r="BM223" s="1435" t="s">
        <v>1364</v>
      </c>
      <c r="BN223" s="1199" t="s">
        <v>2051</v>
      </c>
      <c r="BO223" s="1033">
        <f>Möblierungsschablone!$C$21</f>
        <v>7.17</v>
      </c>
      <c r="BP223" s="1200" t="s">
        <v>2046</v>
      </c>
      <c r="BQ223" s="1033">
        <f>Möblierungsschablone!$G$21</f>
        <v>10.8</v>
      </c>
      <c r="BR223" s="1199" t="s">
        <v>2051</v>
      </c>
      <c r="BS223" s="1033">
        <f>Möblierungsschablone!$C$21</f>
        <v>7.17</v>
      </c>
      <c r="BT223" s="1199" t="s">
        <v>2050</v>
      </c>
      <c r="BU223" s="1033">
        <f>2*Möblierungsschablone!$C$21</f>
        <v>14.34</v>
      </c>
      <c r="BV223" s="1199" t="s">
        <v>2049</v>
      </c>
      <c r="BW223" s="1033">
        <f>3*Möblierungsschablone!$C$21</f>
        <v>21.509999999999998</v>
      </c>
      <c r="BX223" s="1199" t="s">
        <v>2048</v>
      </c>
      <c r="BY223" s="1033">
        <f>4*Möblierungsschablone!$C$21</f>
        <v>28.68</v>
      </c>
      <c r="BZ223" s="1199" t="s">
        <v>2047</v>
      </c>
      <c r="CA223" s="1033">
        <f>5*Möblierungsschablone!$C$21</f>
        <v>35.85</v>
      </c>
      <c r="CC223" s="1154"/>
      <c r="CD223" s="1040"/>
      <c r="CE223" s="1039"/>
      <c r="CF223" s="1040"/>
      <c r="CG223" s="1039"/>
      <c r="CH223" s="1040"/>
      <c r="CI223" s="1039"/>
      <c r="CJ223" s="1040"/>
      <c r="CK223" s="1039"/>
      <c r="CL223" s="1040"/>
      <c r="CM223" s="1039"/>
      <c r="CN223" s="1040"/>
      <c r="CO223" s="1039"/>
      <c r="CP223" s="1040"/>
      <c r="CQ223" s="1039"/>
    </row>
    <row r="224" spans="1:111" ht="15.75" customHeight="1">
      <c r="A224" s="1435"/>
      <c r="B224" s="1440"/>
      <c r="C224" s="1033"/>
      <c r="D224" s="1440"/>
      <c r="E224" s="1036"/>
      <c r="F224" s="1438"/>
      <c r="G224" s="1033">
        <f>Möblierungsschablone!$G$21</f>
        <v>10.8</v>
      </c>
      <c r="H224" s="1440"/>
      <c r="I224" s="1033">
        <f>Möblierungsschablone!$G$21</f>
        <v>10.8</v>
      </c>
      <c r="J224" s="1438"/>
      <c r="K224" s="1033">
        <f>Möblierungsschablone!$G$21</f>
        <v>10.8</v>
      </c>
      <c r="L224" s="1440"/>
      <c r="M224" s="1033">
        <f>Möblierungsschablone!$G$21</f>
        <v>10.8</v>
      </c>
      <c r="N224" s="1440"/>
      <c r="O224" s="1033">
        <f>Möblierungsschablone!$G$21</f>
        <v>10.8</v>
      </c>
      <c r="Q224" s="1435"/>
      <c r="R224" s="1200"/>
      <c r="S224" s="1033"/>
      <c r="T224" s="1200"/>
      <c r="U224" s="1036"/>
      <c r="V224" s="1200" t="s">
        <v>2046</v>
      </c>
      <c r="W224" s="1033">
        <f>Möblierungsschablone!$G$21</f>
        <v>10.8</v>
      </c>
      <c r="X224" s="1200" t="s">
        <v>2046</v>
      </c>
      <c r="Y224" s="1033">
        <f>Möblierungsschablone!$G$21</f>
        <v>10.8</v>
      </c>
      <c r="Z224" s="1200" t="s">
        <v>2046</v>
      </c>
      <c r="AA224" s="1033">
        <f>Möblierungsschablone!$G$21</f>
        <v>10.8</v>
      </c>
      <c r="AB224" s="1200" t="s">
        <v>2046</v>
      </c>
      <c r="AC224" s="1033">
        <f>Möblierungsschablone!$G$21</f>
        <v>10.8</v>
      </c>
      <c r="AD224" s="1200" t="s">
        <v>2046</v>
      </c>
      <c r="AE224" s="1033">
        <f>Möblierungsschablone!$G$21</f>
        <v>10.8</v>
      </c>
      <c r="AG224" s="1435"/>
      <c r="AH224" s="1200"/>
      <c r="AI224" s="1033"/>
      <c r="AJ224" s="1200"/>
      <c r="AK224" s="1036"/>
      <c r="AL224" s="1200" t="s">
        <v>2046</v>
      </c>
      <c r="AM224" s="1033">
        <f>Möblierungsschablone!$G$21</f>
        <v>10.8</v>
      </c>
      <c r="AN224" s="1200" t="s">
        <v>2046</v>
      </c>
      <c r="AO224" s="1033">
        <f>Möblierungsschablone!$G$21</f>
        <v>10.8</v>
      </c>
      <c r="AP224" s="1200" t="s">
        <v>2046</v>
      </c>
      <c r="AQ224" s="1033">
        <f>Möblierungsschablone!$G$21</f>
        <v>10.8</v>
      </c>
      <c r="AR224" s="1200" t="s">
        <v>2046</v>
      </c>
      <c r="AS224" s="1033">
        <f>Möblierungsschablone!$G$21</f>
        <v>10.8</v>
      </c>
      <c r="AT224" s="1200" t="s">
        <v>2046</v>
      </c>
      <c r="AU224" s="1033">
        <f>Möblierungsschablone!$G$21</f>
        <v>10.8</v>
      </c>
      <c r="AW224" s="1403"/>
      <c r="AX224" s="1200"/>
      <c r="AY224" s="1033"/>
      <c r="AZ224" s="1200"/>
      <c r="BA224" s="1036"/>
      <c r="BB224" s="1200" t="s">
        <v>2046</v>
      </c>
      <c r="BC224" s="1033">
        <f>Möblierungsschablone!$G$21</f>
        <v>10.8</v>
      </c>
      <c r="BD224" s="1200" t="s">
        <v>2046</v>
      </c>
      <c r="BE224" s="1033">
        <f>Möblierungsschablone!$G$21</f>
        <v>10.8</v>
      </c>
      <c r="BF224" s="1200" t="s">
        <v>2046</v>
      </c>
      <c r="BG224" s="1033">
        <f>Möblierungsschablone!$G$21</f>
        <v>10.8</v>
      </c>
      <c r="BH224" s="1200" t="s">
        <v>2046</v>
      </c>
      <c r="BI224" s="1033">
        <f>Möblierungsschablone!$G$21</f>
        <v>10.8</v>
      </c>
      <c r="BJ224" s="1200" t="s">
        <v>2046</v>
      </c>
      <c r="BK224" s="1033">
        <f>Möblierungsschablone!$G$21</f>
        <v>10.8</v>
      </c>
      <c r="BM224" s="1435"/>
      <c r="BN224" s="1200"/>
      <c r="BO224" s="1033"/>
      <c r="BP224" s="1200"/>
      <c r="BQ224" s="1036"/>
      <c r="BR224" s="1200" t="s">
        <v>2046</v>
      </c>
      <c r="BS224" s="1033">
        <f>Möblierungsschablone!$G$21</f>
        <v>10.8</v>
      </c>
      <c r="BT224" s="1200" t="s">
        <v>2046</v>
      </c>
      <c r="BU224" s="1033">
        <f>Möblierungsschablone!$G$21</f>
        <v>10.8</v>
      </c>
      <c r="BV224" s="1200" t="s">
        <v>2046</v>
      </c>
      <c r="BW224" s="1033">
        <f>Möblierungsschablone!$G$21</f>
        <v>10.8</v>
      </c>
      <c r="BX224" s="1200" t="s">
        <v>2046</v>
      </c>
      <c r="BY224" s="1033">
        <f>Möblierungsschablone!$G$21</f>
        <v>10.8</v>
      </c>
      <c r="BZ224" s="1200" t="s">
        <v>2046</v>
      </c>
      <c r="CA224" s="1033">
        <f>Möblierungsschablone!$G$21</f>
        <v>10.8</v>
      </c>
      <c r="CC224" s="1154"/>
      <c r="CD224" s="1040"/>
      <c r="CE224" s="1039"/>
      <c r="CF224" s="1040"/>
      <c r="CG224" s="1152"/>
      <c r="CH224" s="1040"/>
      <c r="CI224" s="1039"/>
      <c r="CJ224" s="1040"/>
      <c r="CK224" s="1039"/>
      <c r="CL224" s="1040"/>
      <c r="CM224" s="1039"/>
      <c r="CN224" s="1040"/>
      <c r="CO224" s="1039"/>
      <c r="CP224" s="1040"/>
      <c r="CQ224" s="1039"/>
    </row>
    <row r="225" spans="1:95" ht="15.75" customHeight="1">
      <c r="A225" s="1436"/>
      <c r="B225" s="1404"/>
      <c r="C225" s="1033"/>
      <c r="D225" s="1404"/>
      <c r="E225" s="1036"/>
      <c r="F225" s="1438"/>
      <c r="G225" s="1033">
        <f>Möblierungsschablone!$C$26</f>
        <v>4.41</v>
      </c>
      <c r="H225" s="1404"/>
      <c r="I225" s="1036"/>
      <c r="J225" s="1438"/>
      <c r="K225" s="1033">
        <f>Möblierungsschablone!$E$26</f>
        <v>5.6999999999999993</v>
      </c>
      <c r="L225" s="1404"/>
      <c r="M225" s="1033"/>
      <c r="N225" s="1404"/>
      <c r="O225" s="1033">
        <f>Möblierungsschablone!$G$31</f>
        <v>11.129999999999999</v>
      </c>
      <c r="Q225" s="1436"/>
      <c r="R225" s="1200"/>
      <c r="S225" s="1033"/>
      <c r="T225" s="1200"/>
      <c r="U225" s="1036"/>
      <c r="V225" s="1200" t="s">
        <v>2045</v>
      </c>
      <c r="W225" s="1033">
        <f>Möblierungsschablone!$C$26</f>
        <v>4.41</v>
      </c>
      <c r="X225" s="1200"/>
      <c r="Y225" s="1036"/>
      <c r="Z225" s="1200" t="s">
        <v>2044</v>
      </c>
      <c r="AA225" s="1033">
        <f>Möblierungsschablone!$E$26</f>
        <v>5.6999999999999993</v>
      </c>
      <c r="AB225" s="1200"/>
      <c r="AC225" s="1033"/>
      <c r="AD225" s="1200"/>
      <c r="AE225" s="1033"/>
      <c r="AG225" s="1436"/>
      <c r="AH225" s="1200"/>
      <c r="AI225" s="1033"/>
      <c r="AJ225" s="1200"/>
      <c r="AK225" s="1036"/>
      <c r="AL225" s="1200" t="s">
        <v>2045</v>
      </c>
      <c r="AM225" s="1033">
        <f>Möblierungsschablone!$C$26</f>
        <v>4.41</v>
      </c>
      <c r="AN225" s="1200"/>
      <c r="AO225" s="1036"/>
      <c r="AP225" s="1200" t="s">
        <v>2044</v>
      </c>
      <c r="AQ225" s="1033">
        <f>Möblierungsschablone!$E$26</f>
        <v>5.6999999999999993</v>
      </c>
      <c r="AR225" s="1200"/>
      <c r="AS225" s="1033"/>
      <c r="AT225" s="1200" t="s">
        <v>2043</v>
      </c>
      <c r="AU225" s="1033">
        <f>Möblierungsschablone!$G$31</f>
        <v>11.129999999999999</v>
      </c>
      <c r="AW225" s="1404"/>
      <c r="AX225" s="1200"/>
      <c r="AY225" s="1033"/>
      <c r="AZ225" s="1200"/>
      <c r="BA225" s="1036"/>
      <c r="BB225" s="1200" t="s">
        <v>2045</v>
      </c>
      <c r="BC225" s="1033">
        <f>Möblierungsschablone!$C$26</f>
        <v>4.41</v>
      </c>
      <c r="BD225" s="1200"/>
      <c r="BE225" s="1036"/>
      <c r="BF225" s="1200" t="s">
        <v>2044</v>
      </c>
      <c r="BG225" s="1033">
        <f>Möblierungsschablone!$E$26</f>
        <v>5.6999999999999993</v>
      </c>
      <c r="BH225" s="1200"/>
      <c r="BI225" s="1033"/>
      <c r="BJ225" s="1200" t="s">
        <v>2043</v>
      </c>
      <c r="BK225" s="1033">
        <f>Möblierungsschablone!$G$31</f>
        <v>11.129999999999999</v>
      </c>
      <c r="BM225" s="1436"/>
      <c r="BN225" s="1200"/>
      <c r="BO225" s="1033"/>
      <c r="BP225" s="1200"/>
      <c r="BQ225" s="1036"/>
      <c r="BR225" s="1200" t="s">
        <v>2045</v>
      </c>
      <c r="BS225" s="1033">
        <f>Möblierungsschablone!$C$26</f>
        <v>4.41</v>
      </c>
      <c r="BT225" s="1200" t="s">
        <v>2044</v>
      </c>
      <c r="BU225" s="1033">
        <f>Möblierungsschablone!$E$26</f>
        <v>5.6999999999999993</v>
      </c>
      <c r="BV225" s="1200" t="s">
        <v>2044</v>
      </c>
      <c r="BW225" s="1033">
        <f>Möblierungsschablone!$E$26</f>
        <v>5.6999999999999993</v>
      </c>
      <c r="BX225" s="1200"/>
      <c r="BY225" s="1033"/>
      <c r="BZ225" s="1200" t="s">
        <v>2043</v>
      </c>
      <c r="CA225" s="1033">
        <f>Möblierungsschablone!$G$31</f>
        <v>11.129999999999999</v>
      </c>
      <c r="CC225" s="701"/>
      <c r="CD225" s="1040"/>
      <c r="CE225" s="1039"/>
      <c r="CF225" s="1040"/>
      <c r="CG225" s="1152"/>
      <c r="CH225" s="701"/>
      <c r="CI225" s="1152"/>
      <c r="CJ225" s="701"/>
      <c r="CK225" s="1152"/>
      <c r="CL225" s="701"/>
      <c r="CM225" s="1039"/>
      <c r="CN225" s="701"/>
      <c r="CO225" s="1039"/>
      <c r="CP225" s="701"/>
      <c r="CQ225" s="1039"/>
    </row>
    <row r="226" spans="1:95" ht="15.75" customHeight="1">
      <c r="A226" s="1436"/>
      <c r="B226" s="1404"/>
      <c r="C226" s="1034">
        <f>SUM(C223:C225)</f>
        <v>7.17</v>
      </c>
      <c r="D226" s="1404"/>
      <c r="E226" s="1034">
        <f>SUM(E223:E225)</f>
        <v>10.8</v>
      </c>
      <c r="F226" s="1438"/>
      <c r="G226" s="1034">
        <f>SUM(G223:G225)</f>
        <v>22.38</v>
      </c>
      <c r="H226" s="1404"/>
      <c r="I226" s="1034">
        <f>SUM(I223:I225)</f>
        <v>25.14</v>
      </c>
      <c r="J226" s="1438"/>
      <c r="K226" s="1034">
        <f>SUM(K223:K225)</f>
        <v>38.010000000000005</v>
      </c>
      <c r="L226" s="1404"/>
      <c r="M226" s="1034">
        <f>SUM(M223:M225)</f>
        <v>39.480000000000004</v>
      </c>
      <c r="N226" s="1404"/>
      <c r="O226" s="1034">
        <f>SUM(O223:O225)</f>
        <v>57.78</v>
      </c>
      <c r="Q226" s="1436"/>
      <c r="R226" s="1201" t="s">
        <v>2036</v>
      </c>
      <c r="S226" s="1034">
        <f>SUM(S223:S225)</f>
        <v>7.17</v>
      </c>
      <c r="T226" s="1201" t="s">
        <v>2036</v>
      </c>
      <c r="U226" s="1034">
        <f>SUM(U223:U225)</f>
        <v>10.8</v>
      </c>
      <c r="V226" s="1201" t="s">
        <v>2036</v>
      </c>
      <c r="W226" s="1034">
        <f>SUM(W223:W225)</f>
        <v>22.38</v>
      </c>
      <c r="X226" s="1201" t="s">
        <v>2036</v>
      </c>
      <c r="Y226" s="1034">
        <f>SUM(Y223:Y225)</f>
        <v>25.14</v>
      </c>
      <c r="Z226" s="1201" t="s">
        <v>2036</v>
      </c>
      <c r="AA226" s="1034">
        <f>SUM(AA223:AA225)</f>
        <v>38.010000000000005</v>
      </c>
      <c r="AB226" s="1201" t="s">
        <v>2036</v>
      </c>
      <c r="AC226" s="1034">
        <f>SUM(AC223:AC225)</f>
        <v>39.480000000000004</v>
      </c>
      <c r="AD226" s="1201" t="s">
        <v>2036</v>
      </c>
      <c r="AE226" s="1034">
        <f>SUM(AE223:AE225)</f>
        <v>46.650000000000006</v>
      </c>
      <c r="AG226" s="1436"/>
      <c r="AH226" s="1201" t="s">
        <v>2036</v>
      </c>
      <c r="AI226" s="1034">
        <f>SUM(AI223:AI225)</f>
        <v>7.17</v>
      </c>
      <c r="AJ226" s="1201" t="s">
        <v>2036</v>
      </c>
      <c r="AK226" s="1034">
        <f>SUM(AK223:AK225)</f>
        <v>10.8</v>
      </c>
      <c r="AL226" s="1201" t="s">
        <v>2036</v>
      </c>
      <c r="AM226" s="1034">
        <f>SUM(AM223:AM225)</f>
        <v>22.38</v>
      </c>
      <c r="AN226" s="1201" t="s">
        <v>2036</v>
      </c>
      <c r="AO226" s="1034">
        <f>SUM(AO223:AO225)</f>
        <v>25.14</v>
      </c>
      <c r="AP226" s="1201" t="s">
        <v>2036</v>
      </c>
      <c r="AQ226" s="1034">
        <f>SUM(AQ223:AQ225)</f>
        <v>38.010000000000005</v>
      </c>
      <c r="AR226" s="1201" t="s">
        <v>2036</v>
      </c>
      <c r="AS226" s="1034">
        <f>SUM(AS223:AS225)</f>
        <v>39.480000000000004</v>
      </c>
      <c r="AT226" s="1201" t="s">
        <v>2036</v>
      </c>
      <c r="AU226" s="1034">
        <f>SUM(AU223:AU225)</f>
        <v>57.78</v>
      </c>
      <c r="AW226" s="1404"/>
      <c r="AX226" s="1201" t="s">
        <v>2036</v>
      </c>
      <c r="AY226" s="1034">
        <f>SUM(AY223:AY225)</f>
        <v>7.17</v>
      </c>
      <c r="AZ226" s="1201" t="s">
        <v>2036</v>
      </c>
      <c r="BA226" s="1034">
        <f>SUM(BA223:BA225)</f>
        <v>10.8</v>
      </c>
      <c r="BB226" s="1201" t="s">
        <v>2036</v>
      </c>
      <c r="BC226" s="1034">
        <f>SUM(BC223:BC225)</f>
        <v>22.38</v>
      </c>
      <c r="BD226" s="1201" t="s">
        <v>2036</v>
      </c>
      <c r="BE226" s="1034">
        <f>SUM(BE223:BE225)</f>
        <v>25.14</v>
      </c>
      <c r="BF226" s="1201" t="s">
        <v>2036</v>
      </c>
      <c r="BG226" s="1034">
        <f>SUM(BG223:BG225)</f>
        <v>38.010000000000005</v>
      </c>
      <c r="BH226" s="1201" t="s">
        <v>2036</v>
      </c>
      <c r="BI226" s="1034">
        <f>SUM(BI223:BI225)</f>
        <v>39.480000000000004</v>
      </c>
      <c r="BJ226" s="1201" t="s">
        <v>2036</v>
      </c>
      <c r="BK226" s="1034">
        <f>SUM(BK223:BK225)</f>
        <v>57.78</v>
      </c>
      <c r="BM226" s="1436"/>
      <c r="BN226" s="1201" t="s">
        <v>2036</v>
      </c>
      <c r="BO226" s="1034">
        <f>SUM(BO223:BO225)</f>
        <v>7.17</v>
      </c>
      <c r="BP226" s="1201" t="s">
        <v>2036</v>
      </c>
      <c r="BQ226" s="1034">
        <f>SUM(BQ223:BQ225)</f>
        <v>10.8</v>
      </c>
      <c r="BR226" s="1201" t="s">
        <v>2036</v>
      </c>
      <c r="BS226" s="1034">
        <f>SUM(BS223:BS225)</f>
        <v>22.38</v>
      </c>
      <c r="BT226" s="1201" t="s">
        <v>2036</v>
      </c>
      <c r="BU226" s="1034">
        <f>SUM(BU223:BU225)</f>
        <v>30.84</v>
      </c>
      <c r="BV226" s="1201" t="s">
        <v>2036</v>
      </c>
      <c r="BW226" s="1034">
        <f>SUM(BW223:BW225)</f>
        <v>38.010000000000005</v>
      </c>
      <c r="BX226" s="1201" t="s">
        <v>2036</v>
      </c>
      <c r="BY226" s="1034">
        <f>SUM(BY223:BY225)</f>
        <v>39.480000000000004</v>
      </c>
      <c r="BZ226" s="1201" t="s">
        <v>2036</v>
      </c>
      <c r="CA226" s="1034">
        <f>SUM(CA223:CA225)</f>
        <v>57.78</v>
      </c>
      <c r="CC226" s="701"/>
      <c r="CD226" s="1040"/>
      <c r="CE226" s="1193"/>
      <c r="CF226" s="1040"/>
      <c r="CG226" s="1193"/>
      <c r="CH226" s="701"/>
      <c r="CI226" s="1193"/>
      <c r="CJ226" s="701"/>
      <c r="CK226" s="1193"/>
      <c r="CL226" s="701"/>
      <c r="CM226" s="1193"/>
      <c r="CN226" s="701"/>
      <c r="CO226" s="1193"/>
      <c r="CP226" s="701"/>
      <c r="CQ226" s="1193"/>
    </row>
    <row r="227" spans="1:95" ht="15.75" customHeight="1">
      <c r="A227" s="1436"/>
      <c r="B227" s="1404"/>
      <c r="C227" s="1032">
        <v>1</v>
      </c>
      <c r="D227" s="1404"/>
      <c r="E227" s="1032">
        <v>1</v>
      </c>
      <c r="F227" s="1438"/>
      <c r="G227" s="1032">
        <v>2</v>
      </c>
      <c r="H227" s="1404"/>
      <c r="I227" s="1032">
        <v>2</v>
      </c>
      <c r="J227" s="1438"/>
      <c r="K227" s="1032">
        <v>3</v>
      </c>
      <c r="L227" s="1404"/>
      <c r="M227" s="1032">
        <v>3</v>
      </c>
      <c r="N227" s="1404"/>
      <c r="O227" s="1032">
        <v>4</v>
      </c>
      <c r="Q227" s="1436"/>
      <c r="R227" s="1200" t="s">
        <v>1247</v>
      </c>
      <c r="S227" s="1032">
        <v>1</v>
      </c>
      <c r="T227" s="1200" t="s">
        <v>1247</v>
      </c>
      <c r="U227" s="1032">
        <v>1</v>
      </c>
      <c r="V227" s="1200" t="s">
        <v>1247</v>
      </c>
      <c r="W227" s="1032">
        <v>2</v>
      </c>
      <c r="X227" s="1200" t="s">
        <v>1247</v>
      </c>
      <c r="Y227" s="1032">
        <v>2</v>
      </c>
      <c r="Z227" s="1200" t="s">
        <v>1247</v>
      </c>
      <c r="AA227" s="1032">
        <v>3</v>
      </c>
      <c r="AB227" s="1200" t="s">
        <v>1247</v>
      </c>
      <c r="AC227" s="1032">
        <v>3</v>
      </c>
      <c r="AD227" s="1200" t="s">
        <v>1247</v>
      </c>
      <c r="AE227" s="1032">
        <v>4</v>
      </c>
      <c r="AG227" s="1436"/>
      <c r="AH227" s="1200" t="s">
        <v>1247</v>
      </c>
      <c r="AI227" s="1032">
        <v>1</v>
      </c>
      <c r="AJ227" s="1200" t="s">
        <v>1247</v>
      </c>
      <c r="AK227" s="1032">
        <v>1</v>
      </c>
      <c r="AL227" s="1200" t="s">
        <v>1247</v>
      </c>
      <c r="AM227" s="1032">
        <v>2</v>
      </c>
      <c r="AN227" s="1200" t="s">
        <v>1247</v>
      </c>
      <c r="AO227" s="1032">
        <v>2</v>
      </c>
      <c r="AP227" s="1200" t="s">
        <v>1247</v>
      </c>
      <c r="AQ227" s="1032">
        <v>3</v>
      </c>
      <c r="AR227" s="1200" t="s">
        <v>1247</v>
      </c>
      <c r="AS227" s="1032">
        <v>3</v>
      </c>
      <c r="AT227" s="1200" t="s">
        <v>1247</v>
      </c>
      <c r="AU227" s="1032">
        <v>4</v>
      </c>
      <c r="AW227" s="1404"/>
      <c r="AX227" s="1200" t="s">
        <v>1247</v>
      </c>
      <c r="AY227" s="1032">
        <v>1</v>
      </c>
      <c r="AZ227" s="1200" t="s">
        <v>1247</v>
      </c>
      <c r="BA227" s="1032">
        <v>1</v>
      </c>
      <c r="BB227" s="1200" t="s">
        <v>1247</v>
      </c>
      <c r="BC227" s="1032">
        <v>2</v>
      </c>
      <c r="BD227" s="1200" t="s">
        <v>1247</v>
      </c>
      <c r="BE227" s="1032">
        <v>2</v>
      </c>
      <c r="BF227" s="1200" t="s">
        <v>1247</v>
      </c>
      <c r="BG227" s="1032">
        <v>3</v>
      </c>
      <c r="BH227" s="1200" t="s">
        <v>1247</v>
      </c>
      <c r="BI227" s="1032">
        <v>3</v>
      </c>
      <c r="BJ227" s="1200" t="s">
        <v>1247</v>
      </c>
      <c r="BK227" s="1032">
        <v>4</v>
      </c>
      <c r="BM227" s="1436"/>
      <c r="BN227" s="1200" t="s">
        <v>1247</v>
      </c>
      <c r="BO227" s="1032">
        <v>1</v>
      </c>
      <c r="BP227" s="1200" t="s">
        <v>1247</v>
      </c>
      <c r="BQ227" s="1032">
        <v>1</v>
      </c>
      <c r="BR227" s="1200" t="s">
        <v>1247</v>
      </c>
      <c r="BS227" s="1032">
        <v>2</v>
      </c>
      <c r="BT227" s="1200" t="s">
        <v>1247</v>
      </c>
      <c r="BU227" s="1032">
        <v>2</v>
      </c>
      <c r="BV227" s="1200" t="s">
        <v>1247</v>
      </c>
      <c r="BW227" s="1032">
        <v>3</v>
      </c>
      <c r="BX227" s="1200" t="s">
        <v>1247</v>
      </c>
      <c r="BY227" s="1032">
        <v>3</v>
      </c>
      <c r="BZ227" s="1200" t="s">
        <v>1247</v>
      </c>
      <c r="CA227" s="1032">
        <v>4</v>
      </c>
      <c r="CC227" s="701"/>
      <c r="CD227" s="1040"/>
      <c r="CE227" s="763"/>
      <c r="CF227" s="1040"/>
      <c r="CG227" s="763"/>
      <c r="CH227" s="701"/>
      <c r="CI227" s="763"/>
      <c r="CJ227" s="701"/>
      <c r="CK227" s="763"/>
      <c r="CL227" s="701"/>
      <c r="CM227" s="763"/>
      <c r="CN227" s="701"/>
      <c r="CO227" s="763"/>
      <c r="CP227" s="701"/>
      <c r="CQ227" s="763"/>
    </row>
    <row r="228" spans="1:95" ht="73.5" customHeight="1">
      <c r="A228" s="1436"/>
      <c r="B228" s="1404"/>
      <c r="C228" s="1030">
        <f>C226/(C227*C221)</f>
        <v>0.38777717685235263</v>
      </c>
      <c r="D228" s="1404"/>
      <c r="E228" s="1030">
        <f>E226/(E227*C221)</f>
        <v>0.58409951325040577</v>
      </c>
      <c r="F228" s="1438"/>
      <c r="G228" s="1426">
        <f>G226/(G227*C221)</f>
        <v>0.60519199567333692</v>
      </c>
      <c r="H228" s="1404"/>
      <c r="I228" s="1030">
        <f>I226/(I227*C221)</f>
        <v>0.67982693347755552</v>
      </c>
      <c r="J228" s="1438"/>
      <c r="K228" s="1426">
        <f>K226/(K227*C221)</f>
        <v>0.68523526230394816</v>
      </c>
      <c r="L228" s="1404"/>
      <c r="M228" s="1030">
        <f>M226/(M227*C221)</f>
        <v>0.71173607355327217</v>
      </c>
      <c r="N228" s="1404"/>
      <c r="O228" s="1215">
        <f>O226/(O227*C221)</f>
        <v>0.78123309897241755</v>
      </c>
      <c r="Q228" s="1436"/>
      <c r="R228" s="1202"/>
      <c r="S228" s="1030">
        <f>S226/(S227*S221)</f>
        <v>0.34738372093023262</v>
      </c>
      <c r="T228" s="1202"/>
      <c r="U228" s="1030">
        <f>U226/(U227*S221)</f>
        <v>0.52325581395348852</v>
      </c>
      <c r="V228" s="1433"/>
      <c r="W228" s="1426">
        <f>W226/(W227*S221)</f>
        <v>0.54215116279069775</v>
      </c>
      <c r="X228" s="1202"/>
      <c r="Y228" s="1030">
        <f>Y226/(Y227*S221)</f>
        <v>0.60901162790697683</v>
      </c>
      <c r="Z228" s="1433"/>
      <c r="AA228" s="1426">
        <f>AA226/(AA227*S221)</f>
        <v>0.61385658914728702</v>
      </c>
      <c r="AB228" s="1202"/>
      <c r="AC228" s="1030">
        <f>AC226/(AC227*S221)</f>
        <v>0.63759689922480645</v>
      </c>
      <c r="AD228" s="1202"/>
      <c r="AE228" s="1030">
        <f>AE226/(AE227*S221)</f>
        <v>0.56504360465116299</v>
      </c>
      <c r="AG228" s="1436"/>
      <c r="AH228" s="1202"/>
      <c r="AI228" s="1030">
        <f>AI226/(AI227*AI221)</f>
        <v>0.32694938440492483</v>
      </c>
      <c r="AJ228" s="1202"/>
      <c r="AK228" s="1030">
        <f>AK226/(AK227*AI221)</f>
        <v>0.49247606019151857</v>
      </c>
      <c r="AL228" s="1433"/>
      <c r="AM228" s="1426">
        <f>AM226/(AM227*AI221)</f>
        <v>0.51025991792065672</v>
      </c>
      <c r="AN228" s="1202"/>
      <c r="AO228" s="1030">
        <f>AO226/(AO227*AI221)</f>
        <v>0.57318741450068411</v>
      </c>
      <c r="AP228" s="1433"/>
      <c r="AQ228" s="1426">
        <f>AQ226/(AQ227*AI221)</f>
        <v>0.57774737802097598</v>
      </c>
      <c r="AR228" s="1202"/>
      <c r="AS228" s="1030">
        <f>AS226/(AS227*AI221)</f>
        <v>0.60009119927040599</v>
      </c>
      <c r="AT228" s="1433"/>
      <c r="AU228" s="1426">
        <f>AU226/(AU227*AI221)</f>
        <v>0.65868673050615612</v>
      </c>
      <c r="AW228" s="1404"/>
      <c r="AX228" s="1202"/>
      <c r="AY228" s="1030">
        <f>AY226/(AY227*AY221)</f>
        <v>0.30317124735729389</v>
      </c>
      <c r="AZ228" s="1202"/>
      <c r="BA228" s="1030">
        <f>BA226/(BA227*AY221)</f>
        <v>0.45665961945031719</v>
      </c>
      <c r="BB228" s="1433"/>
      <c r="BC228" s="1426">
        <f>BC226/(BC227*AY221)</f>
        <v>0.47315010570824523</v>
      </c>
      <c r="BD228" s="1202"/>
      <c r="BE228" s="1030">
        <f>BE226/(BE227*AY221)</f>
        <v>0.53150105708245243</v>
      </c>
      <c r="BF228" s="1433"/>
      <c r="BG228" s="1426">
        <f>BG226/(BG227*AY221)</f>
        <v>0.53572938689217775</v>
      </c>
      <c r="BH228" s="1202"/>
      <c r="BI228" s="1030">
        <f>BI226/(BI227*AY221)</f>
        <v>0.556448202959831</v>
      </c>
      <c r="BJ228" s="1433"/>
      <c r="BK228" s="1426">
        <f>BK226/(BK227*AY221)</f>
        <v>0.61078224101479917</v>
      </c>
      <c r="BM228" s="1436"/>
      <c r="BN228" s="1202"/>
      <c r="BO228" s="1030">
        <f>BO226/(BO227*BO221)</f>
        <v>0.28748997594226144</v>
      </c>
      <c r="BP228" s="1202"/>
      <c r="BQ228" s="1030">
        <f>BQ226/(BQ227*BO221)</f>
        <v>0.43303929430633525</v>
      </c>
      <c r="BR228" s="1433"/>
      <c r="BS228" s="1426">
        <f>BS226/(BS227*BO221)</f>
        <v>0.44867682437850842</v>
      </c>
      <c r="BT228" s="1433"/>
      <c r="BU228" s="1426">
        <f>BU226/(BU227*BO221)</f>
        <v>0.61828388131515644</v>
      </c>
      <c r="BV228" s="1433"/>
      <c r="BW228" s="1426">
        <f>BW226/(BW227*BO221)</f>
        <v>0.50801924619085814</v>
      </c>
      <c r="BX228" s="1202"/>
      <c r="BY228" s="1030">
        <f>BY226/(BY227*BO221)</f>
        <v>0.52766639935846038</v>
      </c>
      <c r="BZ228" s="1433"/>
      <c r="CA228" s="1426">
        <f>CA226/(CA227*BO221)</f>
        <v>0.57919005613472341</v>
      </c>
      <c r="CC228" s="701"/>
      <c r="CD228" s="1040"/>
      <c r="CE228" s="1146"/>
      <c r="CF228" s="1040"/>
      <c r="CG228" s="1146"/>
      <c r="CH228" s="701"/>
      <c r="CI228" s="1146"/>
      <c r="CJ228" s="701"/>
      <c r="CK228" s="1146"/>
      <c r="CL228" s="701"/>
      <c r="CM228" s="1146"/>
      <c r="CN228" s="701"/>
      <c r="CO228" s="1146"/>
      <c r="CP228" s="701"/>
      <c r="CQ228" s="1146"/>
    </row>
    <row r="229" spans="1:95" ht="15.75" customHeight="1">
      <c r="A229" s="1435" t="s">
        <v>1365</v>
      </c>
      <c r="B229" s="1404"/>
      <c r="C229" s="1036"/>
      <c r="D229" s="1404"/>
      <c r="E229" s="1036"/>
      <c r="F229" s="1438"/>
      <c r="G229" s="1427"/>
      <c r="H229" s="1404"/>
      <c r="I229" s="1033">
        <f>Möblierungsschablone!$E$26</f>
        <v>5.6999999999999993</v>
      </c>
      <c r="J229" s="1438"/>
      <c r="K229" s="1427"/>
      <c r="L229" s="1404"/>
      <c r="M229" s="1033">
        <f>Möblierungsschablone!$G$31</f>
        <v>11.129999999999999</v>
      </c>
      <c r="N229" s="1404"/>
      <c r="O229" s="1033">
        <f>Möblierungsschablone!$G$31</f>
        <v>11.129999999999999</v>
      </c>
      <c r="Q229" s="1435" t="s">
        <v>1365</v>
      </c>
      <c r="R229" s="1404"/>
      <c r="S229" s="1036"/>
      <c r="T229" s="1404"/>
      <c r="U229" s="1036"/>
      <c r="V229" s="1433"/>
      <c r="W229" s="1427"/>
      <c r="X229" s="1199" t="s">
        <v>2044</v>
      </c>
      <c r="Y229" s="1033">
        <f>Möblierungsschablone!$E$26</f>
        <v>5.6999999999999993</v>
      </c>
      <c r="Z229" s="1433"/>
      <c r="AA229" s="1427"/>
      <c r="AB229" s="1199" t="s">
        <v>2043</v>
      </c>
      <c r="AC229" s="1033">
        <f>Möblierungsschablone!$G$31</f>
        <v>11.129999999999999</v>
      </c>
      <c r="AD229" s="1199" t="s">
        <v>2043</v>
      </c>
      <c r="AE229" s="1033">
        <f>Möblierungsschablone!$G$31</f>
        <v>11.129999999999999</v>
      </c>
      <c r="AG229" s="1435" t="s">
        <v>1365</v>
      </c>
      <c r="AH229" s="1404"/>
      <c r="AI229" s="1036"/>
      <c r="AJ229" s="1404"/>
      <c r="AK229" s="1036"/>
      <c r="AL229" s="1433"/>
      <c r="AM229" s="1427"/>
      <c r="AN229" s="1199" t="s">
        <v>2044</v>
      </c>
      <c r="AO229" s="1033">
        <f>Möblierungsschablone!$E$26</f>
        <v>5.6999999999999993</v>
      </c>
      <c r="AP229" s="1433"/>
      <c r="AQ229" s="1427"/>
      <c r="AR229" s="1199" t="s">
        <v>2043</v>
      </c>
      <c r="AS229" s="1033">
        <f>Möblierungsschablone!$G$31</f>
        <v>11.129999999999999</v>
      </c>
      <c r="AT229" s="1433"/>
      <c r="AU229" s="1427"/>
      <c r="AW229" s="1403" t="s">
        <v>1365</v>
      </c>
      <c r="AX229" s="1404"/>
      <c r="AY229" s="1036"/>
      <c r="AZ229" s="1404"/>
      <c r="BA229" s="1036"/>
      <c r="BB229" s="1433"/>
      <c r="BC229" s="1427"/>
      <c r="BD229" s="1199" t="s">
        <v>2044</v>
      </c>
      <c r="BE229" s="1033">
        <f>Möblierungsschablone!$E$26</f>
        <v>5.6999999999999993</v>
      </c>
      <c r="BF229" s="1433"/>
      <c r="BG229" s="1427"/>
      <c r="BH229" s="1199" t="s">
        <v>2043</v>
      </c>
      <c r="BI229" s="1033">
        <f>Möblierungsschablone!$G$31</f>
        <v>11.129999999999999</v>
      </c>
      <c r="BJ229" s="1433"/>
      <c r="BK229" s="1427"/>
      <c r="BM229" s="1435" t="s">
        <v>1365</v>
      </c>
      <c r="BN229" s="1404"/>
      <c r="BO229" s="1036"/>
      <c r="BP229" s="1404"/>
      <c r="BQ229" s="1036"/>
      <c r="BR229" s="1433"/>
      <c r="BS229" s="1427"/>
      <c r="BT229" s="1433"/>
      <c r="BU229" s="1427"/>
      <c r="BV229" s="1433"/>
      <c r="BW229" s="1427"/>
      <c r="BX229" s="1199" t="s">
        <v>2043</v>
      </c>
      <c r="BY229" s="1033">
        <f>Möblierungsschablone!$G$31</f>
        <v>11.129999999999999</v>
      </c>
      <c r="BZ229" s="1433"/>
      <c r="CA229" s="1427"/>
      <c r="CC229" s="1154"/>
      <c r="CD229" s="701"/>
      <c r="CE229" s="1152"/>
      <c r="CF229" s="701"/>
      <c r="CG229" s="1152"/>
      <c r="CH229" s="701"/>
      <c r="CI229" s="1039"/>
      <c r="CJ229" s="701"/>
      <c r="CK229" s="1039"/>
      <c r="CL229" s="701"/>
      <c r="CM229" s="1039"/>
      <c r="CN229" s="701"/>
      <c r="CO229" s="1039"/>
      <c r="CP229" s="701"/>
      <c r="CQ229" s="1039"/>
    </row>
    <row r="230" spans="1:95" ht="15.75" customHeight="1">
      <c r="A230" s="1436"/>
      <c r="B230" s="1404"/>
      <c r="C230" s="1036"/>
      <c r="D230" s="1404"/>
      <c r="E230" s="1036"/>
      <c r="F230" s="1438"/>
      <c r="G230" s="1427"/>
      <c r="H230" s="1404"/>
      <c r="I230" s="1036"/>
      <c r="J230" s="1438"/>
      <c r="K230" s="1427"/>
      <c r="L230" s="1404"/>
      <c r="M230" s="1036"/>
      <c r="N230" s="1404"/>
      <c r="O230" s="1036"/>
      <c r="Q230" s="1436"/>
      <c r="R230" s="1404"/>
      <c r="S230" s="1036"/>
      <c r="T230" s="1404"/>
      <c r="U230" s="1036"/>
      <c r="V230" s="1433"/>
      <c r="W230" s="1427"/>
      <c r="X230" s="1200"/>
      <c r="Y230" s="1036"/>
      <c r="Z230" s="1433"/>
      <c r="AA230" s="1427"/>
      <c r="AB230" s="1200"/>
      <c r="AC230" s="1036"/>
      <c r="AD230" s="1200"/>
      <c r="AE230" s="1036"/>
      <c r="AG230" s="1436"/>
      <c r="AH230" s="1404"/>
      <c r="AI230" s="1036"/>
      <c r="AJ230" s="1404"/>
      <c r="AK230" s="1036"/>
      <c r="AL230" s="1433"/>
      <c r="AM230" s="1427"/>
      <c r="AN230" s="1200"/>
      <c r="AO230" s="1036"/>
      <c r="AP230" s="1433"/>
      <c r="AQ230" s="1427"/>
      <c r="AR230" s="1200"/>
      <c r="AS230" s="1036"/>
      <c r="AT230" s="1433"/>
      <c r="AU230" s="1427"/>
      <c r="AW230" s="1404"/>
      <c r="AX230" s="1404"/>
      <c r="AY230" s="1036"/>
      <c r="AZ230" s="1404"/>
      <c r="BA230" s="1036"/>
      <c r="BB230" s="1433"/>
      <c r="BC230" s="1427"/>
      <c r="BD230" s="1200"/>
      <c r="BE230" s="1036"/>
      <c r="BF230" s="1433"/>
      <c r="BG230" s="1427"/>
      <c r="BH230" s="1200"/>
      <c r="BI230" s="1036"/>
      <c r="BJ230" s="1433"/>
      <c r="BK230" s="1427"/>
      <c r="BM230" s="1436"/>
      <c r="BN230" s="1404"/>
      <c r="BO230" s="1036"/>
      <c r="BP230" s="1404"/>
      <c r="BQ230" s="1036"/>
      <c r="BR230" s="1433"/>
      <c r="BS230" s="1427"/>
      <c r="BT230" s="1433"/>
      <c r="BU230" s="1427"/>
      <c r="BV230" s="1433"/>
      <c r="BW230" s="1427"/>
      <c r="BX230" s="1200"/>
      <c r="BY230" s="1036"/>
      <c r="BZ230" s="1433"/>
      <c r="CA230" s="1427"/>
      <c r="CC230" s="701"/>
      <c r="CD230" s="701"/>
      <c r="CE230" s="1152"/>
      <c r="CF230" s="701"/>
      <c r="CG230" s="1152"/>
      <c r="CH230" s="701"/>
      <c r="CI230" s="1152"/>
      <c r="CJ230" s="701"/>
      <c r="CK230" s="1152"/>
      <c r="CL230" s="701"/>
      <c r="CM230" s="1152"/>
      <c r="CN230" s="701"/>
      <c r="CO230" s="1152"/>
      <c r="CP230" s="701"/>
      <c r="CQ230" s="1152"/>
    </row>
    <row r="231" spans="1:95" ht="15.75" customHeight="1">
      <c r="A231" s="1436"/>
      <c r="B231" s="1404"/>
      <c r="C231" s="1036"/>
      <c r="D231" s="1404"/>
      <c r="E231" s="1036"/>
      <c r="F231" s="1438"/>
      <c r="G231" s="1427"/>
      <c r="H231" s="1404"/>
      <c r="I231" s="1034">
        <f>SUM(I229:I230)</f>
        <v>5.6999999999999993</v>
      </c>
      <c r="J231" s="1438"/>
      <c r="K231" s="1427"/>
      <c r="L231" s="1404"/>
      <c r="M231" s="1034">
        <f>SUM(M229:M230)</f>
        <v>11.129999999999999</v>
      </c>
      <c r="N231" s="1404"/>
      <c r="O231" s="1034">
        <f>SUM(O229:O230)</f>
        <v>11.129999999999999</v>
      </c>
      <c r="Q231" s="1436"/>
      <c r="R231" s="1404"/>
      <c r="S231" s="1036"/>
      <c r="T231" s="1404"/>
      <c r="U231" s="1036"/>
      <c r="V231" s="1433"/>
      <c r="W231" s="1427"/>
      <c r="X231" s="1201" t="s">
        <v>2036</v>
      </c>
      <c r="Y231" s="1034">
        <f>SUM(Y229:Y230)</f>
        <v>5.6999999999999993</v>
      </c>
      <c r="Z231" s="1433"/>
      <c r="AA231" s="1427"/>
      <c r="AB231" s="1201" t="s">
        <v>2036</v>
      </c>
      <c r="AC231" s="1034">
        <f>SUM(AC229:AC230)</f>
        <v>11.129999999999999</v>
      </c>
      <c r="AD231" s="1201" t="s">
        <v>2036</v>
      </c>
      <c r="AE231" s="1034">
        <f>SUM(AE229:AE230)</f>
        <v>11.129999999999999</v>
      </c>
      <c r="AG231" s="1436"/>
      <c r="AH231" s="1404"/>
      <c r="AI231" s="1036"/>
      <c r="AJ231" s="1404"/>
      <c r="AK231" s="1036"/>
      <c r="AL231" s="1433"/>
      <c r="AM231" s="1427"/>
      <c r="AN231" s="1201" t="s">
        <v>2036</v>
      </c>
      <c r="AO231" s="1034">
        <f>SUM(AO229:AO230)</f>
        <v>5.6999999999999993</v>
      </c>
      <c r="AP231" s="1433"/>
      <c r="AQ231" s="1427"/>
      <c r="AR231" s="1201" t="s">
        <v>2036</v>
      </c>
      <c r="AS231" s="1034">
        <f>SUM(AS229:AS230)</f>
        <v>11.129999999999999</v>
      </c>
      <c r="AT231" s="1433"/>
      <c r="AU231" s="1427"/>
      <c r="AW231" s="1404"/>
      <c r="AX231" s="1404"/>
      <c r="AY231" s="1036"/>
      <c r="AZ231" s="1404"/>
      <c r="BA231" s="1036"/>
      <c r="BB231" s="1433"/>
      <c r="BC231" s="1427"/>
      <c r="BD231" s="1201" t="s">
        <v>2036</v>
      </c>
      <c r="BE231" s="1034">
        <f>SUM(BE229:BE230)</f>
        <v>5.6999999999999993</v>
      </c>
      <c r="BF231" s="1433"/>
      <c r="BG231" s="1427"/>
      <c r="BH231" s="1201" t="s">
        <v>2036</v>
      </c>
      <c r="BI231" s="1034">
        <f>SUM(BI229:BI230)</f>
        <v>11.129999999999999</v>
      </c>
      <c r="BJ231" s="1433"/>
      <c r="BK231" s="1427"/>
      <c r="BM231" s="1436"/>
      <c r="BN231" s="1404"/>
      <c r="BO231" s="1036"/>
      <c r="BP231" s="1404"/>
      <c r="BQ231" s="1036"/>
      <c r="BR231" s="1433"/>
      <c r="BS231" s="1427"/>
      <c r="BT231" s="1433"/>
      <c r="BU231" s="1427"/>
      <c r="BV231" s="1433"/>
      <c r="BW231" s="1427"/>
      <c r="BX231" s="1201" t="s">
        <v>2036</v>
      </c>
      <c r="BY231" s="1034">
        <f>SUM(BY229:BY230)</f>
        <v>11.129999999999999</v>
      </c>
      <c r="BZ231" s="1433"/>
      <c r="CA231" s="1427"/>
      <c r="CC231" s="701"/>
      <c r="CD231" s="701"/>
      <c r="CE231" s="1152"/>
      <c r="CF231" s="701"/>
      <c r="CG231" s="1152"/>
      <c r="CH231" s="701"/>
      <c r="CI231" s="1193"/>
      <c r="CJ231" s="701"/>
      <c r="CK231" s="1193"/>
      <c r="CL231" s="701"/>
      <c r="CM231" s="1193"/>
      <c r="CN231" s="701"/>
      <c r="CO231" s="1193"/>
      <c r="CP231" s="701"/>
      <c r="CQ231" s="1193"/>
    </row>
    <row r="232" spans="1:95" ht="15.75" customHeight="1">
      <c r="A232" s="1436"/>
      <c r="B232" s="1404"/>
      <c r="C232" s="1036"/>
      <c r="D232" s="1404"/>
      <c r="E232" s="1036"/>
      <c r="F232" s="1438"/>
      <c r="G232" s="1427"/>
      <c r="H232" s="1404"/>
      <c r="I232" s="1032">
        <v>1</v>
      </c>
      <c r="J232" s="1438"/>
      <c r="K232" s="1427"/>
      <c r="L232" s="1404"/>
      <c r="M232" s="1032">
        <v>1</v>
      </c>
      <c r="N232" s="1404"/>
      <c r="O232" s="1032">
        <v>1</v>
      </c>
      <c r="Q232" s="1436"/>
      <c r="R232" s="1404"/>
      <c r="S232" s="1036"/>
      <c r="T232" s="1404"/>
      <c r="U232" s="1036"/>
      <c r="V232" s="1433"/>
      <c r="W232" s="1427"/>
      <c r="X232" s="1200" t="s">
        <v>1247</v>
      </c>
      <c r="Y232" s="1032">
        <v>1</v>
      </c>
      <c r="Z232" s="1433"/>
      <c r="AA232" s="1427"/>
      <c r="AB232" s="1200" t="s">
        <v>1247</v>
      </c>
      <c r="AC232" s="1032">
        <v>1</v>
      </c>
      <c r="AD232" s="1200" t="s">
        <v>1247</v>
      </c>
      <c r="AE232" s="1032">
        <v>1</v>
      </c>
      <c r="AG232" s="1436"/>
      <c r="AH232" s="1404"/>
      <c r="AI232" s="1036"/>
      <c r="AJ232" s="1404"/>
      <c r="AK232" s="1036"/>
      <c r="AL232" s="1433"/>
      <c r="AM232" s="1427"/>
      <c r="AN232" s="1200" t="s">
        <v>1247</v>
      </c>
      <c r="AO232" s="1032">
        <v>1</v>
      </c>
      <c r="AP232" s="1433"/>
      <c r="AQ232" s="1427"/>
      <c r="AR232" s="1200" t="s">
        <v>1247</v>
      </c>
      <c r="AS232" s="1032">
        <v>1</v>
      </c>
      <c r="AT232" s="1433"/>
      <c r="AU232" s="1427"/>
      <c r="AW232" s="1404"/>
      <c r="AX232" s="1404"/>
      <c r="AY232" s="1036"/>
      <c r="AZ232" s="1404"/>
      <c r="BA232" s="1036"/>
      <c r="BB232" s="1433"/>
      <c r="BC232" s="1427"/>
      <c r="BD232" s="1200" t="s">
        <v>1247</v>
      </c>
      <c r="BE232" s="1032">
        <v>1</v>
      </c>
      <c r="BF232" s="1433"/>
      <c r="BG232" s="1427"/>
      <c r="BH232" s="1200" t="s">
        <v>1247</v>
      </c>
      <c r="BI232" s="1032">
        <v>1</v>
      </c>
      <c r="BJ232" s="1433"/>
      <c r="BK232" s="1427"/>
      <c r="BM232" s="1436"/>
      <c r="BN232" s="1404"/>
      <c r="BO232" s="1036"/>
      <c r="BP232" s="1404"/>
      <c r="BQ232" s="1036"/>
      <c r="BR232" s="1433"/>
      <c r="BS232" s="1427"/>
      <c r="BT232" s="1433"/>
      <c r="BU232" s="1427"/>
      <c r="BV232" s="1433"/>
      <c r="BW232" s="1427"/>
      <c r="BX232" s="1200" t="s">
        <v>1247</v>
      </c>
      <c r="BY232" s="1032">
        <v>1</v>
      </c>
      <c r="BZ232" s="1433"/>
      <c r="CA232" s="1427"/>
      <c r="CC232" s="701"/>
      <c r="CD232" s="701"/>
      <c r="CE232" s="1152"/>
      <c r="CF232" s="701"/>
      <c r="CG232" s="1152"/>
      <c r="CH232" s="701"/>
      <c r="CI232" s="763"/>
      <c r="CJ232" s="701"/>
      <c r="CK232" s="763"/>
      <c r="CL232" s="701"/>
      <c r="CM232" s="763"/>
      <c r="CN232" s="701"/>
      <c r="CO232" s="763"/>
      <c r="CP232" s="701"/>
      <c r="CQ232" s="763"/>
    </row>
    <row r="233" spans="1:95" ht="16.5" customHeight="1">
      <c r="A233" s="1436"/>
      <c r="B233" s="1404"/>
      <c r="C233" s="1035" t="s">
        <v>1181</v>
      </c>
      <c r="D233" s="1404"/>
      <c r="E233" s="1035" t="s">
        <v>1181</v>
      </c>
      <c r="F233" s="1439"/>
      <c r="G233" s="1428"/>
      <c r="H233" s="1404"/>
      <c r="I233" s="1030">
        <f>I231/(I232*C221)</f>
        <v>0.30827474310438074</v>
      </c>
      <c r="J233" s="1439"/>
      <c r="K233" s="1428"/>
      <c r="L233" s="1404"/>
      <c r="M233" s="1030">
        <f>M231/(M232*C221)</f>
        <v>0.60194699837750132</v>
      </c>
      <c r="N233" s="1404"/>
      <c r="O233" s="1030">
        <f>O231/(O232*C221)</f>
        <v>0.60194699837750132</v>
      </c>
      <c r="Q233" s="1436"/>
      <c r="R233" s="1404"/>
      <c r="S233" s="1035" t="s">
        <v>1181</v>
      </c>
      <c r="T233" s="1404"/>
      <c r="U233" s="1035" t="s">
        <v>1181</v>
      </c>
      <c r="V233" s="1434"/>
      <c r="W233" s="1428"/>
      <c r="X233" s="1202"/>
      <c r="Y233" s="1030">
        <f>Y231/(Y232*S221)</f>
        <v>0.27616279069767441</v>
      </c>
      <c r="Z233" s="1434"/>
      <c r="AA233" s="1428"/>
      <c r="AB233" s="1202"/>
      <c r="AC233" s="1030">
        <f>AC231/(AC232*S221)</f>
        <v>0.5392441860465117</v>
      </c>
      <c r="AD233" s="1202"/>
      <c r="AE233" s="1030">
        <f>AE231/(AE232*S221)</f>
        <v>0.5392441860465117</v>
      </c>
      <c r="AG233" s="1436"/>
      <c r="AH233" s="1404"/>
      <c r="AI233" s="1035" t="s">
        <v>1181</v>
      </c>
      <c r="AJ233" s="1404"/>
      <c r="AK233" s="1035" t="s">
        <v>1181</v>
      </c>
      <c r="AL233" s="1434"/>
      <c r="AM233" s="1428"/>
      <c r="AN233" s="1202"/>
      <c r="AO233" s="1030">
        <f>AO231/(AO232*AI221)</f>
        <v>0.25991792065663477</v>
      </c>
      <c r="AP233" s="1434"/>
      <c r="AQ233" s="1428"/>
      <c r="AR233" s="1202"/>
      <c r="AS233" s="1030">
        <f>AS231/(AS232*AI221)</f>
        <v>0.50752393980848154</v>
      </c>
      <c r="AT233" s="1434"/>
      <c r="AU233" s="1428"/>
      <c r="AW233" s="1404"/>
      <c r="AX233" s="1404"/>
      <c r="AY233" s="1035" t="s">
        <v>1181</v>
      </c>
      <c r="AZ233" s="1404"/>
      <c r="BA233" s="1035" t="s">
        <v>1181</v>
      </c>
      <c r="BB233" s="1434"/>
      <c r="BC233" s="1428"/>
      <c r="BD233" s="1202"/>
      <c r="BE233" s="1030">
        <f>BE231/(BE232*AY221)</f>
        <v>0.24101479915433402</v>
      </c>
      <c r="BF233" s="1434"/>
      <c r="BG233" s="1428"/>
      <c r="BH233" s="1202"/>
      <c r="BI233" s="1030">
        <f>BI231/(BI232*AY221)</f>
        <v>0.47061310782241011</v>
      </c>
      <c r="BJ233" s="1434"/>
      <c r="BK233" s="1428"/>
      <c r="BM233" s="1436"/>
      <c r="BN233" s="1404"/>
      <c r="BO233" s="1035" t="s">
        <v>1181</v>
      </c>
      <c r="BP233" s="1404"/>
      <c r="BQ233" s="1035" t="s">
        <v>1181</v>
      </c>
      <c r="BR233" s="1434"/>
      <c r="BS233" s="1428"/>
      <c r="BT233" s="1434"/>
      <c r="BU233" s="1428"/>
      <c r="BV233" s="1434"/>
      <c r="BW233" s="1428"/>
      <c r="BX233" s="1202"/>
      <c r="BY233" s="1030">
        <f>BY231/(BY232*BO221)</f>
        <v>0.44627105052125099</v>
      </c>
      <c r="BZ233" s="1434"/>
      <c r="CA233" s="1428"/>
      <c r="CC233" s="701"/>
      <c r="CD233" s="701"/>
      <c r="CE233" s="1210"/>
      <c r="CF233" s="701"/>
      <c r="CG233" s="1210"/>
      <c r="CH233" s="701"/>
      <c r="CI233" s="1146"/>
      <c r="CJ233" s="701"/>
      <c r="CK233" s="1146"/>
      <c r="CL233" s="701"/>
      <c r="CM233" s="1146"/>
      <c r="CN233" s="701"/>
      <c r="CO233" s="1146"/>
      <c r="CP233" s="701"/>
      <c r="CQ233" s="1146"/>
    </row>
    <row r="234" spans="1:95" ht="15.75" customHeight="1">
      <c r="A234" s="1435" t="s">
        <v>1366</v>
      </c>
      <c r="B234" s="1414"/>
      <c r="C234" s="1033">
        <f>Möblierungsschablone!$C$41</f>
        <v>2.5649999999999999</v>
      </c>
      <c r="D234" s="1414"/>
      <c r="E234" s="1033">
        <f>Möblierungsschablone!$E$41</f>
        <v>2.5649999999999999</v>
      </c>
      <c r="F234" s="1414"/>
      <c r="G234" s="1033">
        <f>Möblierungsschablone!$G$36</f>
        <v>3.5999999999999996</v>
      </c>
      <c r="H234" s="1414"/>
      <c r="I234" s="1033">
        <f>Möblierungsschablone!$I$36</f>
        <v>4.32</v>
      </c>
      <c r="J234" s="1404"/>
      <c r="K234" s="1033">
        <f>Möblierungsschablone!$K$36</f>
        <v>5.04</v>
      </c>
      <c r="L234" s="1404"/>
      <c r="M234" s="1033">
        <f>Möblierungsschablone!$M$36</f>
        <v>5.76</v>
      </c>
      <c r="N234" s="1404"/>
      <c r="O234" s="1033">
        <f>Möblierungsschablone!$O$36</f>
        <v>6.48</v>
      </c>
      <c r="Q234" s="1435" t="s">
        <v>1366</v>
      </c>
      <c r="R234" s="1199" t="s">
        <v>2042</v>
      </c>
      <c r="S234" s="1033">
        <f>Möblierungsschablone!$C$41</f>
        <v>2.5649999999999999</v>
      </c>
      <c r="T234" s="1199" t="s">
        <v>2042</v>
      </c>
      <c r="U234" s="1033">
        <f>Möblierungsschablone!$E$41</f>
        <v>2.5649999999999999</v>
      </c>
      <c r="V234" s="1199" t="s">
        <v>2042</v>
      </c>
      <c r="W234" s="1033">
        <f>Möblierungsschablone!$G$36</f>
        <v>3.5999999999999996</v>
      </c>
      <c r="X234" s="1199" t="s">
        <v>2042</v>
      </c>
      <c r="Y234" s="1033">
        <f>Möblierungsschablone!$I$36</f>
        <v>4.32</v>
      </c>
      <c r="Z234" s="1199" t="s">
        <v>2042</v>
      </c>
      <c r="AA234" s="1033">
        <f>Möblierungsschablone!$K$36</f>
        <v>5.04</v>
      </c>
      <c r="AB234" s="1199" t="s">
        <v>2042</v>
      </c>
      <c r="AC234" s="1033">
        <f>Möblierungsschablone!$M$36</f>
        <v>5.76</v>
      </c>
      <c r="AD234" s="1199" t="s">
        <v>2042</v>
      </c>
      <c r="AE234" s="1033">
        <f>Möblierungsschablone!$O$36</f>
        <v>6.48</v>
      </c>
      <c r="AG234" s="1435" t="s">
        <v>1366</v>
      </c>
      <c r="AH234" s="1133" t="s">
        <v>2042</v>
      </c>
      <c r="AI234" s="1136">
        <f>Möblierungsschablone!$C$41</f>
        <v>2.5649999999999999</v>
      </c>
      <c r="AJ234" s="1133" t="s">
        <v>2042</v>
      </c>
      <c r="AK234" s="1033">
        <f>Möblierungsschablone!$E$41</f>
        <v>2.5649999999999999</v>
      </c>
      <c r="AL234" s="1199" t="s">
        <v>2042</v>
      </c>
      <c r="AM234" s="1033">
        <f>Möblierungsschablone!$G$36</f>
        <v>3.5999999999999996</v>
      </c>
      <c r="AN234" s="1199" t="s">
        <v>2042</v>
      </c>
      <c r="AO234" s="1033">
        <f>Möblierungsschablone!$I$36</f>
        <v>4.32</v>
      </c>
      <c r="AP234" s="1199" t="s">
        <v>2042</v>
      </c>
      <c r="AQ234" s="1033">
        <f>Möblierungsschablone!$K$36</f>
        <v>5.04</v>
      </c>
      <c r="AR234" s="1199" t="s">
        <v>2042</v>
      </c>
      <c r="AS234" s="1033">
        <f>Möblierungsschablone!$M$36</f>
        <v>5.76</v>
      </c>
      <c r="AT234" s="1199" t="s">
        <v>2042</v>
      </c>
      <c r="AU234" s="1033">
        <f>Möblierungsschablone!$O$36</f>
        <v>6.48</v>
      </c>
      <c r="AW234" s="1403" t="s">
        <v>1366</v>
      </c>
      <c r="AX234" s="1133" t="s">
        <v>2042</v>
      </c>
      <c r="AY234" s="1136">
        <f>Möblierungsschablone!$C$41</f>
        <v>2.5649999999999999</v>
      </c>
      <c r="AZ234" s="1133" t="s">
        <v>2042</v>
      </c>
      <c r="BA234" s="1033">
        <f>Möblierungsschablone!$E$41</f>
        <v>2.5649999999999999</v>
      </c>
      <c r="BB234" s="1199" t="s">
        <v>2042</v>
      </c>
      <c r="BC234" s="1033">
        <f>Möblierungsschablone!$G$36</f>
        <v>3.5999999999999996</v>
      </c>
      <c r="BD234" s="1199" t="s">
        <v>2042</v>
      </c>
      <c r="BE234" s="1033">
        <f>Möblierungsschablone!$I$36</f>
        <v>4.32</v>
      </c>
      <c r="BF234" s="1199" t="s">
        <v>2042</v>
      </c>
      <c r="BG234" s="1033">
        <f>Möblierungsschablone!$K$36</f>
        <v>5.04</v>
      </c>
      <c r="BH234" s="1199" t="s">
        <v>2042</v>
      </c>
      <c r="BI234" s="1033">
        <f>Möblierungsschablone!$M$36</f>
        <v>5.76</v>
      </c>
      <c r="BJ234" s="1199" t="s">
        <v>2042</v>
      </c>
      <c r="BK234" s="1033">
        <f>Möblierungsschablone!$O$36</f>
        <v>6.48</v>
      </c>
      <c r="BM234" s="1435" t="s">
        <v>1366</v>
      </c>
      <c r="BN234" s="1133" t="s">
        <v>2042</v>
      </c>
      <c r="BO234" s="1136">
        <f>Möblierungsschablone!$C$41</f>
        <v>2.5649999999999999</v>
      </c>
      <c r="BP234" s="1133" t="s">
        <v>2042</v>
      </c>
      <c r="BQ234" s="1033">
        <f>Möblierungsschablone!$E$41</f>
        <v>2.5649999999999999</v>
      </c>
      <c r="BR234" s="1133" t="s">
        <v>2042</v>
      </c>
      <c r="BS234" s="1033">
        <f>Möblierungsschablone!$G$36</f>
        <v>3.5999999999999996</v>
      </c>
      <c r="BT234" s="1199" t="s">
        <v>2042</v>
      </c>
      <c r="BU234" s="1033">
        <f>Möblierungsschablone!$I$36</f>
        <v>4.32</v>
      </c>
      <c r="BV234" s="1199" t="s">
        <v>2042</v>
      </c>
      <c r="BW234" s="1033">
        <f>Möblierungsschablone!$K$36</f>
        <v>5.04</v>
      </c>
      <c r="BX234" s="1199" t="s">
        <v>2042</v>
      </c>
      <c r="BY234" s="1033">
        <f>Möblierungsschablone!$M$36</f>
        <v>5.76</v>
      </c>
      <c r="BZ234" s="1199" t="s">
        <v>2042</v>
      </c>
      <c r="CA234" s="1033">
        <f>Möblierungsschablone!$O$36</f>
        <v>6.48</v>
      </c>
      <c r="CC234" s="1154"/>
      <c r="CD234" s="701"/>
      <c r="CE234" s="1152"/>
      <c r="CF234" s="701"/>
      <c r="CG234" s="1152"/>
      <c r="CH234" s="701"/>
      <c r="CI234" s="1152"/>
      <c r="CJ234" s="701"/>
      <c r="CK234" s="1152"/>
      <c r="CL234" s="701"/>
      <c r="CM234" s="1152"/>
      <c r="CN234" s="701"/>
      <c r="CO234" s="1152"/>
      <c r="CP234" s="701"/>
      <c r="CQ234" s="1152"/>
    </row>
    <row r="235" spans="1:95" ht="15.75" customHeight="1">
      <c r="A235" s="1436"/>
      <c r="B235" s="1415"/>
      <c r="C235" s="1033">
        <f>Möblierungsschablone!$C$46</f>
        <v>2.7</v>
      </c>
      <c r="D235" s="1415"/>
      <c r="E235" s="1033">
        <f>Möblierungsschablone!$E$46</f>
        <v>3.5999999999999996</v>
      </c>
      <c r="F235" s="1415"/>
      <c r="G235" s="1033">
        <f>Möblierungsschablone!$G$51</f>
        <v>4.41</v>
      </c>
      <c r="H235" s="1415"/>
      <c r="I235" s="1033">
        <f>Möblierungsschablone!$I$46</f>
        <v>5.76</v>
      </c>
      <c r="J235" s="1404"/>
      <c r="K235" s="1033"/>
      <c r="L235" s="1404"/>
      <c r="M235" s="1033"/>
      <c r="N235" s="1404"/>
      <c r="O235" s="1033"/>
      <c r="Q235" s="1436"/>
      <c r="R235" s="1200" t="s">
        <v>1367</v>
      </c>
      <c r="S235" s="1033">
        <f>Möblierungsschablone!$C$46</f>
        <v>2.7</v>
      </c>
      <c r="T235" s="1200" t="s">
        <v>1367</v>
      </c>
      <c r="U235" s="1033">
        <f>Möblierungsschablone!$E$46</f>
        <v>3.5999999999999996</v>
      </c>
      <c r="V235" s="1200" t="s">
        <v>1367</v>
      </c>
      <c r="W235" s="1033">
        <f>Möblierungsschablone!$G$49</f>
        <v>4.5</v>
      </c>
      <c r="X235" s="1200" t="s">
        <v>1367</v>
      </c>
      <c r="Y235" s="1033">
        <f>Möblierungsschablone!$I$46</f>
        <v>5.76</v>
      </c>
      <c r="Z235" s="1200" t="s">
        <v>1367</v>
      </c>
      <c r="AA235" s="1033">
        <f>Möblierungsschablone!$K$46</f>
        <v>7.1999999999999993</v>
      </c>
      <c r="AB235" s="1200" t="s">
        <v>1367</v>
      </c>
      <c r="AC235" s="1033">
        <f>Möblierungsschablone!$M$51</f>
        <v>8.82</v>
      </c>
      <c r="AD235" s="1200" t="s">
        <v>1367</v>
      </c>
      <c r="AE235" s="1033">
        <f>Möblierungsschablone!$O$51</f>
        <v>8.82</v>
      </c>
      <c r="AG235" s="1436"/>
      <c r="AH235" s="1134" t="s">
        <v>1367</v>
      </c>
      <c r="AI235" s="1136">
        <f>Möblierungsschablone!$C$46</f>
        <v>2.7</v>
      </c>
      <c r="AJ235" s="1134" t="s">
        <v>1367</v>
      </c>
      <c r="AK235" s="1033">
        <f>Möblierungsschablone!$E$46</f>
        <v>3.5999999999999996</v>
      </c>
      <c r="AL235" s="1200" t="s">
        <v>1367</v>
      </c>
      <c r="AM235" s="1033">
        <f>Möblierungsschablone!$G$49</f>
        <v>4.5</v>
      </c>
      <c r="AN235" s="1200" t="s">
        <v>1367</v>
      </c>
      <c r="AO235" s="1033">
        <f>Möblierungsschablone!$I$46</f>
        <v>5.76</v>
      </c>
      <c r="AP235" s="1200" t="s">
        <v>1367</v>
      </c>
      <c r="AQ235" s="1033">
        <f>Möblierungsschablone!$K$46</f>
        <v>7.1999999999999993</v>
      </c>
      <c r="AR235" s="1200" t="s">
        <v>1367</v>
      </c>
      <c r="AS235" s="1033">
        <f>Möblierungsschablone!$M$51</f>
        <v>8.82</v>
      </c>
      <c r="AT235" s="1200" t="s">
        <v>1367</v>
      </c>
      <c r="AU235" s="1033">
        <f>Möblierungsschablone!$O$51</f>
        <v>8.82</v>
      </c>
      <c r="AW235" s="1404"/>
      <c r="AX235" s="1134" t="s">
        <v>1367</v>
      </c>
      <c r="AY235" s="1136">
        <f>Möblierungsschablone!$C$46</f>
        <v>2.7</v>
      </c>
      <c r="AZ235" s="1134" t="s">
        <v>1367</v>
      </c>
      <c r="BA235" s="1033">
        <f>Möblierungsschablone!$E$46</f>
        <v>3.5999999999999996</v>
      </c>
      <c r="BB235" s="1200" t="s">
        <v>1367</v>
      </c>
      <c r="BC235" s="1033">
        <f>Möblierungsschablone!$G$49</f>
        <v>4.5</v>
      </c>
      <c r="BD235" s="1200" t="s">
        <v>1367</v>
      </c>
      <c r="BE235" s="1033">
        <f>Möblierungsschablone!$I$46</f>
        <v>5.76</v>
      </c>
      <c r="BF235" s="1200" t="s">
        <v>1367</v>
      </c>
      <c r="BG235" s="1033">
        <f>Möblierungsschablone!$K$46</f>
        <v>7.1999999999999993</v>
      </c>
      <c r="BH235" s="1200" t="s">
        <v>1367</v>
      </c>
      <c r="BI235" s="1033">
        <f>Möblierungsschablone!$M$51</f>
        <v>8.82</v>
      </c>
      <c r="BJ235" s="1200" t="s">
        <v>1367</v>
      </c>
      <c r="BK235" s="1033">
        <f>Möblierungsschablone!$O$51</f>
        <v>8.82</v>
      </c>
      <c r="BM235" s="1436"/>
      <c r="BN235" s="1134" t="s">
        <v>1367</v>
      </c>
      <c r="BO235" s="1136">
        <f>Möblierungsschablone!$C$46</f>
        <v>2.7</v>
      </c>
      <c r="BP235" s="1134" t="s">
        <v>1367</v>
      </c>
      <c r="BQ235" s="1033">
        <f>Möblierungsschablone!$E$46</f>
        <v>3.5999999999999996</v>
      </c>
      <c r="BR235" s="1134" t="s">
        <v>1367</v>
      </c>
      <c r="BS235" s="1033">
        <f>Möblierungsschablone!$G$49</f>
        <v>4.5</v>
      </c>
      <c r="BT235" s="1200" t="s">
        <v>1367</v>
      </c>
      <c r="BU235" s="1033">
        <f>Möblierungsschablone!$I$46</f>
        <v>5.76</v>
      </c>
      <c r="BV235" s="1200" t="s">
        <v>1367</v>
      </c>
      <c r="BW235" s="1033">
        <f>Möblierungsschablone!$K$46</f>
        <v>7.1999999999999993</v>
      </c>
      <c r="BX235" s="1200" t="s">
        <v>1367</v>
      </c>
      <c r="BY235" s="1033">
        <f>Möblierungsschablone!$M$51</f>
        <v>8.82</v>
      </c>
      <c r="BZ235" s="1200" t="s">
        <v>1367</v>
      </c>
      <c r="CA235" s="1033">
        <f>Möblierungsschablone!$O$51</f>
        <v>8.82</v>
      </c>
      <c r="CC235" s="701"/>
      <c r="CD235" s="701"/>
      <c r="CE235" s="1152"/>
      <c r="CF235" s="701"/>
      <c r="CG235" s="1152"/>
      <c r="CH235" s="701"/>
      <c r="CI235" s="1152"/>
      <c r="CJ235" s="701"/>
      <c r="CK235" s="1152"/>
      <c r="CL235" s="701"/>
      <c r="CM235" s="1152"/>
      <c r="CN235" s="701"/>
      <c r="CO235" s="1152"/>
      <c r="CP235" s="701"/>
      <c r="CQ235" s="1152"/>
    </row>
    <row r="236" spans="1:95" ht="15.75" customHeight="1">
      <c r="A236" s="1436"/>
      <c r="B236" s="1415"/>
      <c r="C236" s="1033">
        <f>Möblierungsschablone!$C$56</f>
        <v>5.76</v>
      </c>
      <c r="D236" s="1415"/>
      <c r="E236" s="1033">
        <f>Möblierungsschablone!$E$56</f>
        <v>5.76</v>
      </c>
      <c r="F236" s="1415"/>
      <c r="G236" s="1033">
        <f>Möblierungsschablone!$G$56</f>
        <v>5.76</v>
      </c>
      <c r="H236" s="1415"/>
      <c r="I236" s="1036"/>
      <c r="J236" s="1404"/>
      <c r="K236" s="1034">
        <f>SUM(K234:K235)</f>
        <v>5.04</v>
      </c>
      <c r="L236" s="1404"/>
      <c r="M236" s="1034">
        <f>SUM(M234:M235)</f>
        <v>5.76</v>
      </c>
      <c r="N236" s="1404"/>
      <c r="O236" s="1034">
        <f>SUM(O234:O235)</f>
        <v>6.48</v>
      </c>
      <c r="Q236" s="1436"/>
      <c r="R236" s="1200" t="s">
        <v>2041</v>
      </c>
      <c r="S236" s="1033">
        <f>Möblierungsschablone!$C$56</f>
        <v>5.76</v>
      </c>
      <c r="T236" s="1200" t="s">
        <v>2041</v>
      </c>
      <c r="U236" s="1033">
        <f>Möblierungsschablone!$E$56</f>
        <v>5.76</v>
      </c>
      <c r="V236" s="1200" t="s">
        <v>2041</v>
      </c>
      <c r="W236" s="1033">
        <f>Möblierungsschablone!$G$56</f>
        <v>5.76</v>
      </c>
      <c r="X236" s="1200" t="s">
        <v>2041</v>
      </c>
      <c r="Y236" s="1033">
        <f>Möblierungsschablone!$I$56</f>
        <v>5.76</v>
      </c>
      <c r="Z236" s="1200"/>
      <c r="AA236" s="1036"/>
      <c r="AB236" s="1200"/>
      <c r="AC236" s="1036"/>
      <c r="AD236" s="1200"/>
      <c r="AE236" s="1036"/>
      <c r="AG236" s="1436"/>
      <c r="AH236" s="1134" t="s">
        <v>2041</v>
      </c>
      <c r="AI236" s="1136">
        <f>Möblierungsschablone!$C$56</f>
        <v>5.76</v>
      </c>
      <c r="AJ236" s="1134" t="s">
        <v>2041</v>
      </c>
      <c r="AK236" s="1033">
        <f>Möblierungsschablone!$E$56</f>
        <v>5.76</v>
      </c>
      <c r="AL236" s="1200" t="s">
        <v>2041</v>
      </c>
      <c r="AM236" s="1033">
        <f>Möblierungsschablone!$G$56</f>
        <v>5.76</v>
      </c>
      <c r="AN236" s="1200" t="s">
        <v>2041</v>
      </c>
      <c r="AO236" s="1033">
        <f>Möblierungsschablone!$I$56</f>
        <v>5.76</v>
      </c>
      <c r="AP236" s="1200"/>
      <c r="AQ236" s="1036"/>
      <c r="AR236" s="1200"/>
      <c r="AS236" s="1036"/>
      <c r="AT236" s="1200"/>
      <c r="AU236" s="1036"/>
      <c r="AW236" s="1404"/>
      <c r="AX236" s="1134" t="s">
        <v>2041</v>
      </c>
      <c r="AY236" s="1136">
        <f>Möblierungsschablone!$C$56</f>
        <v>5.76</v>
      </c>
      <c r="AZ236" s="1134" t="s">
        <v>2041</v>
      </c>
      <c r="BA236" s="1033">
        <f>Möblierungsschablone!$E$56</f>
        <v>5.76</v>
      </c>
      <c r="BB236" s="1200" t="s">
        <v>2041</v>
      </c>
      <c r="BC236" s="1033">
        <f>Möblierungsschablone!$G$56</f>
        <v>5.76</v>
      </c>
      <c r="BD236" s="1200" t="s">
        <v>2041</v>
      </c>
      <c r="BE236" s="1033">
        <f>Möblierungsschablone!$I$56</f>
        <v>5.76</v>
      </c>
      <c r="BF236" s="1200"/>
      <c r="BG236" s="1036"/>
      <c r="BH236" s="1200"/>
      <c r="BI236" s="1036"/>
      <c r="BJ236" s="1200"/>
      <c r="BK236" s="1036"/>
      <c r="BM236" s="1436"/>
      <c r="BN236" s="1134" t="s">
        <v>2041</v>
      </c>
      <c r="BO236" s="1136">
        <f>Möblierungsschablone!$C$56</f>
        <v>5.76</v>
      </c>
      <c r="BP236" s="1134" t="s">
        <v>2041</v>
      </c>
      <c r="BQ236" s="1033">
        <f>Möblierungsschablone!$E$56</f>
        <v>5.76</v>
      </c>
      <c r="BR236" s="1134" t="s">
        <v>2041</v>
      </c>
      <c r="BS236" s="1033">
        <f>Möblierungsschablone!$G$56</f>
        <v>5.76</v>
      </c>
      <c r="BT236" s="1200" t="s">
        <v>2041</v>
      </c>
      <c r="BU236" s="1033">
        <f>Möblierungsschablone!$I$56</f>
        <v>5.76</v>
      </c>
      <c r="BV236" s="1200"/>
      <c r="BW236" s="1036"/>
      <c r="BX236" s="1200"/>
      <c r="BY236" s="1036"/>
      <c r="BZ236" s="1200"/>
      <c r="CA236" s="1036"/>
      <c r="CC236" s="701"/>
      <c r="CD236" s="701"/>
      <c r="CE236" s="1152"/>
      <c r="CF236" s="701"/>
      <c r="CG236" s="1152"/>
      <c r="CH236" s="701"/>
      <c r="CI236" s="1152"/>
      <c r="CJ236" s="701"/>
      <c r="CK236" s="1152"/>
      <c r="CL236" s="701"/>
      <c r="CM236" s="1152"/>
      <c r="CN236" s="701"/>
      <c r="CO236" s="1152"/>
      <c r="CP236" s="701"/>
      <c r="CQ236" s="1152"/>
    </row>
    <row r="237" spans="1:95" ht="15.75" customHeight="1">
      <c r="A237" s="1436"/>
      <c r="B237" s="1415"/>
      <c r="C237" s="1034">
        <f>SUM(C234:C236)</f>
        <v>11.025</v>
      </c>
      <c r="D237" s="1415"/>
      <c r="E237" s="1034">
        <f>SUM(E234:E236)</f>
        <v>11.924999999999999</v>
      </c>
      <c r="F237" s="1415"/>
      <c r="G237" s="1034">
        <f>SUM(G234:G236)</f>
        <v>13.77</v>
      </c>
      <c r="H237" s="1415"/>
      <c r="I237" s="1034">
        <f>SUM(I234:I236)</f>
        <v>10.08</v>
      </c>
      <c r="J237" s="1404"/>
      <c r="K237" s="1032">
        <v>1</v>
      </c>
      <c r="L237" s="1404"/>
      <c r="M237" s="1032">
        <v>1</v>
      </c>
      <c r="N237" s="1404"/>
      <c r="O237" s="1032">
        <v>1</v>
      </c>
      <c r="Q237" s="1436"/>
      <c r="R237" s="1201" t="s">
        <v>2036</v>
      </c>
      <c r="S237" s="1034">
        <f>SUM(S234:S236)</f>
        <v>11.025</v>
      </c>
      <c r="T237" s="1201" t="s">
        <v>2036</v>
      </c>
      <c r="U237" s="1034">
        <f>SUM(U234:U236)</f>
        <v>11.924999999999999</v>
      </c>
      <c r="V237" s="1201" t="s">
        <v>2036</v>
      </c>
      <c r="W237" s="1034">
        <f>SUM(W234:W236)</f>
        <v>13.86</v>
      </c>
      <c r="X237" s="1201" t="s">
        <v>2036</v>
      </c>
      <c r="Y237" s="1034">
        <f>SUM(Y234:Y236)</f>
        <v>15.84</v>
      </c>
      <c r="Z237" s="1201" t="s">
        <v>2036</v>
      </c>
      <c r="AA237" s="1034">
        <f>SUM(AA234:AA236)</f>
        <v>12.239999999999998</v>
      </c>
      <c r="AB237" s="1201" t="s">
        <v>2036</v>
      </c>
      <c r="AC237" s="1034">
        <f>SUM(AC234:AC236)</f>
        <v>14.58</v>
      </c>
      <c r="AD237" s="1201" t="s">
        <v>2036</v>
      </c>
      <c r="AE237" s="1034">
        <f>SUM(AE234:AE236)</f>
        <v>15.3</v>
      </c>
      <c r="AG237" s="1436"/>
      <c r="AH237" s="1134" t="s">
        <v>2039</v>
      </c>
      <c r="AI237" s="1136">
        <f>Möblierungsschablone!$C$66</f>
        <v>4.08</v>
      </c>
      <c r="AJ237" s="1134" t="s">
        <v>2039</v>
      </c>
      <c r="AK237" s="1136">
        <f>Möblierungsschablone!$C$66</f>
        <v>4.08</v>
      </c>
      <c r="AL237" s="1201" t="s">
        <v>2036</v>
      </c>
      <c r="AM237" s="1034">
        <f>SUM(AM234:AM236)</f>
        <v>13.86</v>
      </c>
      <c r="AN237" s="1201" t="s">
        <v>2036</v>
      </c>
      <c r="AO237" s="1034">
        <f>SUM(AO234:AO236)</f>
        <v>15.84</v>
      </c>
      <c r="AP237" s="1201" t="s">
        <v>2036</v>
      </c>
      <c r="AQ237" s="1034">
        <f>SUM(AQ234:AQ236)</f>
        <v>12.239999999999998</v>
      </c>
      <c r="AR237" s="1201" t="s">
        <v>2036</v>
      </c>
      <c r="AS237" s="1034">
        <f>SUM(AS234:AS236)</f>
        <v>14.58</v>
      </c>
      <c r="AT237" s="1201" t="s">
        <v>2036</v>
      </c>
      <c r="AU237" s="1034">
        <f>SUM(AU234:AU236)</f>
        <v>15.3</v>
      </c>
      <c r="AW237" s="1404"/>
      <c r="AX237" s="1134" t="s">
        <v>2039</v>
      </c>
      <c r="AY237" s="1136">
        <f>Möblierungsschablone!$C$66</f>
        <v>4.08</v>
      </c>
      <c r="AZ237" s="1134" t="s">
        <v>2039</v>
      </c>
      <c r="BA237" s="1136">
        <f>Möblierungsschablone!$C$66</f>
        <v>4.08</v>
      </c>
      <c r="BB237" s="1201" t="s">
        <v>2036</v>
      </c>
      <c r="BC237" s="1034">
        <f>SUM(BC234:BC236)</f>
        <v>13.86</v>
      </c>
      <c r="BD237" s="1201" t="s">
        <v>2036</v>
      </c>
      <c r="BE237" s="1034">
        <f>SUM(BE234:BE236)</f>
        <v>15.84</v>
      </c>
      <c r="BF237" s="1201" t="s">
        <v>2036</v>
      </c>
      <c r="BG237" s="1034">
        <f>SUM(BG234:BG236)</f>
        <v>12.239999999999998</v>
      </c>
      <c r="BH237" s="1201" t="s">
        <v>2036</v>
      </c>
      <c r="BI237" s="1034">
        <f>SUM(BI234:BI236)</f>
        <v>14.58</v>
      </c>
      <c r="BJ237" s="1201" t="s">
        <v>2036</v>
      </c>
      <c r="BK237" s="1034">
        <f>SUM(BK234:BK236)</f>
        <v>15.3</v>
      </c>
      <c r="BM237" s="1436"/>
      <c r="BN237" s="1134" t="s">
        <v>2039</v>
      </c>
      <c r="BO237" s="1136">
        <f>Möblierungsschablone!$C$66</f>
        <v>4.08</v>
      </c>
      <c r="BP237" s="1134" t="s">
        <v>2039</v>
      </c>
      <c r="BQ237" s="1136">
        <f>Möblierungsschablone!$C$66</f>
        <v>4.08</v>
      </c>
      <c r="BR237" s="1134" t="s">
        <v>2039</v>
      </c>
      <c r="BS237" s="1033">
        <f>Möblierungsschablone!$C$66</f>
        <v>4.08</v>
      </c>
      <c r="BT237" s="1201" t="s">
        <v>2036</v>
      </c>
      <c r="BU237" s="1034">
        <f>SUM(BU234:BU236)</f>
        <v>15.84</v>
      </c>
      <c r="BV237" s="1201" t="s">
        <v>2036</v>
      </c>
      <c r="BW237" s="1034">
        <f>SUM(BW234:BW236)</f>
        <v>12.239999999999998</v>
      </c>
      <c r="BX237" s="1201" t="s">
        <v>2036</v>
      </c>
      <c r="BY237" s="1034">
        <f>SUM(BY234:BY236)</f>
        <v>14.58</v>
      </c>
      <c r="BZ237" s="1201" t="s">
        <v>2036</v>
      </c>
      <c r="CA237" s="1034">
        <f>SUM(CA234:CA236)</f>
        <v>15.3</v>
      </c>
      <c r="CC237" s="701"/>
      <c r="CD237" s="701"/>
      <c r="CE237" s="1210"/>
      <c r="CF237" s="701"/>
      <c r="CG237" s="1210"/>
      <c r="CH237" s="701"/>
      <c r="CI237" s="1210"/>
      <c r="CJ237" s="701"/>
      <c r="CK237" s="1210"/>
      <c r="CL237" s="701"/>
      <c r="CM237" s="1210"/>
      <c r="CN237" s="701"/>
      <c r="CO237" s="1210"/>
      <c r="CP237" s="701"/>
      <c r="CQ237" s="1210"/>
    </row>
    <row r="238" spans="1:95" ht="15.75" customHeight="1">
      <c r="A238" s="1436"/>
      <c r="B238" s="1415"/>
      <c r="C238" s="1032">
        <v>1</v>
      </c>
      <c r="D238" s="1415"/>
      <c r="E238" s="1032">
        <v>1</v>
      </c>
      <c r="F238" s="1415"/>
      <c r="G238" s="1032">
        <v>1</v>
      </c>
      <c r="H238" s="1415"/>
      <c r="I238" s="1032">
        <v>1</v>
      </c>
      <c r="J238" s="1404"/>
      <c r="K238" s="1030">
        <f>K236/(K237*C221)</f>
        <v>0.27257977285018931</v>
      </c>
      <c r="L238" s="1404"/>
      <c r="M238" s="1030">
        <f>M236/(M237*C221)</f>
        <v>0.31151974040021635</v>
      </c>
      <c r="N238" s="1404"/>
      <c r="O238" s="1030">
        <f>O236/(O237*C221)</f>
        <v>0.35045970795024345</v>
      </c>
      <c r="Q238" s="1436"/>
      <c r="R238" s="1200" t="s">
        <v>1247</v>
      </c>
      <c r="S238" s="1032">
        <v>1</v>
      </c>
      <c r="T238" s="1200" t="s">
        <v>1247</v>
      </c>
      <c r="U238" s="1032">
        <v>1</v>
      </c>
      <c r="V238" s="1200" t="s">
        <v>1247</v>
      </c>
      <c r="W238" s="1032">
        <v>1</v>
      </c>
      <c r="X238" s="1200" t="s">
        <v>1247</v>
      </c>
      <c r="Y238" s="1032">
        <v>1</v>
      </c>
      <c r="Z238" s="1200" t="s">
        <v>1247</v>
      </c>
      <c r="AA238" s="1032">
        <v>1</v>
      </c>
      <c r="AB238" s="1200" t="s">
        <v>1247</v>
      </c>
      <c r="AC238" s="1032">
        <v>1</v>
      </c>
      <c r="AD238" s="1200" t="s">
        <v>1247</v>
      </c>
      <c r="AE238" s="1032">
        <v>1</v>
      </c>
      <c r="AG238" s="1436"/>
      <c r="AI238" s="1028"/>
      <c r="AK238" s="1028"/>
      <c r="AL238" s="1200" t="s">
        <v>1247</v>
      </c>
      <c r="AM238" s="1032">
        <v>1</v>
      </c>
      <c r="AN238" s="1200" t="s">
        <v>1247</v>
      </c>
      <c r="AO238" s="1032">
        <v>1</v>
      </c>
      <c r="AP238" s="1200" t="s">
        <v>1247</v>
      </c>
      <c r="AQ238" s="1032">
        <v>1</v>
      </c>
      <c r="AR238" s="1200" t="s">
        <v>1247</v>
      </c>
      <c r="AS238" s="1032">
        <v>1</v>
      </c>
      <c r="AT238" s="1200" t="s">
        <v>1247</v>
      </c>
      <c r="AU238" s="1032">
        <v>1</v>
      </c>
      <c r="AW238" s="1404"/>
      <c r="AY238" s="1028"/>
      <c r="BA238" s="1028"/>
      <c r="BB238" s="1200" t="s">
        <v>1247</v>
      </c>
      <c r="BC238" s="1032">
        <v>1</v>
      </c>
      <c r="BD238" s="1200" t="s">
        <v>1247</v>
      </c>
      <c r="BE238" s="1032">
        <v>1</v>
      </c>
      <c r="BF238" s="1200" t="s">
        <v>1247</v>
      </c>
      <c r="BG238" s="1032">
        <v>1</v>
      </c>
      <c r="BH238" s="1200" t="s">
        <v>1247</v>
      </c>
      <c r="BI238" s="1032">
        <v>1</v>
      </c>
      <c r="BJ238" s="1200" t="s">
        <v>1247</v>
      </c>
      <c r="BK238" s="1032">
        <v>1</v>
      </c>
      <c r="BM238" s="1436"/>
      <c r="BO238" s="1028"/>
      <c r="BQ238" s="1028"/>
      <c r="BR238" s="1200" t="s">
        <v>2037</v>
      </c>
      <c r="BS238" s="1033">
        <f>Möblierungsschablone!$I$66</f>
        <v>1.4400000000000002</v>
      </c>
      <c r="BT238" s="1200" t="s">
        <v>1247</v>
      </c>
      <c r="BU238" s="1032">
        <v>1</v>
      </c>
      <c r="BV238" s="1200" t="s">
        <v>1247</v>
      </c>
      <c r="BW238" s="1032">
        <v>1</v>
      </c>
      <c r="BX238" s="1200" t="s">
        <v>1247</v>
      </c>
      <c r="BY238" s="1032">
        <v>1</v>
      </c>
      <c r="BZ238" s="1200" t="s">
        <v>1247</v>
      </c>
      <c r="CA238" s="1032">
        <v>1</v>
      </c>
      <c r="CC238" s="701"/>
      <c r="CD238" s="701"/>
      <c r="CE238" s="1211"/>
      <c r="CF238" s="701"/>
      <c r="CG238" s="1211"/>
      <c r="CH238" s="701"/>
      <c r="CI238" s="1211"/>
      <c r="CJ238" s="701"/>
      <c r="CK238" s="1211"/>
      <c r="CL238" s="701"/>
      <c r="CM238" s="1211"/>
      <c r="CN238" s="701"/>
      <c r="CO238" s="1211"/>
      <c r="CP238" s="701"/>
      <c r="CQ238" s="1211"/>
    </row>
    <row r="239" spans="1:95" ht="15.75" customHeight="1">
      <c r="A239" s="1435" t="s">
        <v>1367</v>
      </c>
      <c r="B239" s="1415"/>
      <c r="C239" s="1426">
        <f>C237/(C238*C221)</f>
        <v>0.59626825310978915</v>
      </c>
      <c r="D239" s="1415"/>
      <c r="E239" s="1426">
        <f>E237/(E238*C221)</f>
        <v>0.6449432125473229</v>
      </c>
      <c r="F239" s="1415"/>
      <c r="G239" s="1426">
        <f>G237/(G238*C221)</f>
        <v>0.74472687939426718</v>
      </c>
      <c r="H239" s="1415"/>
      <c r="I239" s="1426">
        <f>I237/(I238*C221)</f>
        <v>0.54515954570037861</v>
      </c>
      <c r="J239" s="1404"/>
      <c r="K239" s="1033">
        <f>Möblierungsschablone!$K$46</f>
        <v>7.1999999999999993</v>
      </c>
      <c r="L239" s="1404"/>
      <c r="M239" s="1033">
        <f>Möblierungsschablone!$M$51</f>
        <v>8.82</v>
      </c>
      <c r="N239" s="1404"/>
      <c r="O239" s="1033">
        <f>Möblierungsschablone!$O$51</f>
        <v>8.82</v>
      </c>
      <c r="Q239" s="1435" t="s">
        <v>1367</v>
      </c>
      <c r="R239" s="1433"/>
      <c r="S239" s="1426">
        <f>S237/(S238*S221)</f>
        <v>0.53415697674418616</v>
      </c>
      <c r="T239" s="1433"/>
      <c r="U239" s="1426">
        <f>U237/(U238*S221)</f>
        <v>0.57776162790697683</v>
      </c>
      <c r="V239" s="1433"/>
      <c r="W239" s="1426">
        <f>W237/(W238*S221)</f>
        <v>0.67151162790697683</v>
      </c>
      <c r="X239" s="1433"/>
      <c r="Y239" s="1426">
        <f>Y237/(Y238*S221)</f>
        <v>0.76744186046511642</v>
      </c>
      <c r="Z239" s="1433"/>
      <c r="AA239" s="1426">
        <f>AA237/(AA238*S221)</f>
        <v>0.59302325581395354</v>
      </c>
      <c r="AB239" s="1433"/>
      <c r="AC239" s="1426">
        <f>AC237/(AC238*S221)</f>
        <v>0.70639534883720945</v>
      </c>
      <c r="AD239" s="1433"/>
      <c r="AE239" s="1426">
        <f>AE237/(AE238*S221)</f>
        <v>0.74127906976744196</v>
      </c>
      <c r="AG239" s="1435" t="s">
        <v>1367</v>
      </c>
      <c r="AH239" s="1135" t="s">
        <v>2036</v>
      </c>
      <c r="AI239" s="1137">
        <f>SUM(AI234:AI237)</f>
        <v>15.105</v>
      </c>
      <c r="AJ239" s="1135" t="s">
        <v>2036</v>
      </c>
      <c r="AK239" s="1137">
        <f>SUM(AK234:AK237)</f>
        <v>16.004999999999999</v>
      </c>
      <c r="AL239" s="1433"/>
      <c r="AM239" s="1426">
        <f>AM237/(AM238*AI221)</f>
        <v>0.63201094391244883</v>
      </c>
      <c r="AN239" s="1433"/>
      <c r="AO239" s="1426">
        <f>AO237/(AO238*AI221)</f>
        <v>0.72229822161422719</v>
      </c>
      <c r="AP239" s="1433"/>
      <c r="AQ239" s="1426">
        <f>AQ237/(AQ238*AI221)</f>
        <v>0.55813953488372092</v>
      </c>
      <c r="AR239" s="1433"/>
      <c r="AS239" s="1426">
        <f>AS237/(AS238*AI221)</f>
        <v>0.66484268125855006</v>
      </c>
      <c r="AT239" s="1433"/>
      <c r="AU239" s="1426">
        <f>AU237/(AU238*AI221)</f>
        <v>0.69767441860465129</v>
      </c>
      <c r="AW239" s="1403" t="s">
        <v>1367</v>
      </c>
      <c r="AX239" s="1135" t="s">
        <v>2036</v>
      </c>
      <c r="AY239" s="1137">
        <f>SUM(AY234:AY237)</f>
        <v>15.105</v>
      </c>
      <c r="AZ239" s="1135" t="s">
        <v>2036</v>
      </c>
      <c r="BA239" s="1137">
        <f>SUM(BA234:BA237)</f>
        <v>16.004999999999999</v>
      </c>
      <c r="BB239" s="1433"/>
      <c r="BC239" s="1426">
        <f>BC237/(BC238*AY221)</f>
        <v>0.586046511627907</v>
      </c>
      <c r="BD239" s="1433"/>
      <c r="BE239" s="1426">
        <f>BE237/(BE238*AY221)</f>
        <v>0.66976744186046511</v>
      </c>
      <c r="BF239" s="1433"/>
      <c r="BG239" s="1426">
        <f>BG237/(BG238*AY221)</f>
        <v>0.51754756871035934</v>
      </c>
      <c r="BH239" s="1433"/>
      <c r="BI239" s="1426">
        <f>BI237/(BI238*AY221)</f>
        <v>0.61649048625792813</v>
      </c>
      <c r="BJ239" s="1433"/>
      <c r="BK239" s="1426">
        <f>BK237/(BK238*AY221)</f>
        <v>0.64693446088794937</v>
      </c>
      <c r="BM239" s="1435" t="s">
        <v>1367</v>
      </c>
      <c r="BN239" s="1135" t="s">
        <v>2036</v>
      </c>
      <c r="BO239" s="1137">
        <f>SUM(BO234:BO237)</f>
        <v>15.105</v>
      </c>
      <c r="BP239" s="1135" t="s">
        <v>2036</v>
      </c>
      <c r="BQ239" s="1137">
        <f>SUM(BQ234:BQ237)</f>
        <v>16.004999999999999</v>
      </c>
      <c r="BR239" s="1135" t="s">
        <v>2036</v>
      </c>
      <c r="BS239" s="1034">
        <f>SUM(BS234:BS238)</f>
        <v>19.38</v>
      </c>
      <c r="BT239" s="1433"/>
      <c r="BU239" s="1426">
        <f>BU237/(BU238*BO221)</f>
        <v>0.6351242983159584</v>
      </c>
      <c r="BV239" s="1433"/>
      <c r="BW239" s="1426">
        <f>BW237/(BW238*BO221)</f>
        <v>0.49077786688051322</v>
      </c>
      <c r="BX239" s="1433"/>
      <c r="BY239" s="1426">
        <f>BY237/(BY238*BO221)</f>
        <v>0.58460304731355262</v>
      </c>
      <c r="BZ239" s="1433"/>
      <c r="CA239" s="1426">
        <f>CA237/(CA238*BO221)</f>
        <v>0.61347233360064157</v>
      </c>
      <c r="CC239" s="1154"/>
      <c r="CD239" s="701"/>
      <c r="CE239" s="1152"/>
      <c r="CF239" s="701"/>
      <c r="CG239" s="1152"/>
      <c r="CH239" s="701"/>
      <c r="CI239" s="1152"/>
      <c r="CJ239" s="701"/>
      <c r="CK239" s="1152"/>
      <c r="CL239" s="701"/>
      <c r="CM239" s="1152"/>
      <c r="CN239" s="701"/>
      <c r="CO239" s="1152"/>
      <c r="CP239" s="701"/>
      <c r="CQ239" s="1152"/>
    </row>
    <row r="240" spans="1:95" ht="15.75" customHeight="1">
      <c r="A240" s="1436"/>
      <c r="B240" s="1415"/>
      <c r="C240" s="1427"/>
      <c r="D240" s="1415"/>
      <c r="E240" s="1427"/>
      <c r="F240" s="1415"/>
      <c r="G240" s="1427"/>
      <c r="H240" s="1415"/>
      <c r="I240" s="1427"/>
      <c r="J240" s="1404"/>
      <c r="K240" s="1033"/>
      <c r="L240" s="1404"/>
      <c r="M240" s="1033"/>
      <c r="N240" s="1404"/>
      <c r="O240" s="1033"/>
      <c r="Q240" s="1436"/>
      <c r="R240" s="1433"/>
      <c r="S240" s="1427"/>
      <c r="T240" s="1433"/>
      <c r="U240" s="1427"/>
      <c r="V240" s="1433"/>
      <c r="W240" s="1427"/>
      <c r="X240" s="1433"/>
      <c r="Y240" s="1427"/>
      <c r="Z240" s="1433"/>
      <c r="AA240" s="1427"/>
      <c r="AB240" s="1433"/>
      <c r="AC240" s="1427"/>
      <c r="AD240" s="1433"/>
      <c r="AE240" s="1427"/>
      <c r="AG240" s="1436"/>
      <c r="AH240" s="1134" t="s">
        <v>1247</v>
      </c>
      <c r="AI240" s="1138">
        <v>1</v>
      </c>
      <c r="AJ240" s="1134" t="s">
        <v>1247</v>
      </c>
      <c r="AK240" s="1138">
        <v>1</v>
      </c>
      <c r="AL240" s="1433"/>
      <c r="AM240" s="1427"/>
      <c r="AN240" s="1433"/>
      <c r="AO240" s="1427"/>
      <c r="AP240" s="1433"/>
      <c r="AQ240" s="1427"/>
      <c r="AR240" s="1433"/>
      <c r="AS240" s="1427"/>
      <c r="AT240" s="1433"/>
      <c r="AU240" s="1427"/>
      <c r="AW240" s="1404"/>
      <c r="AX240" s="1134" t="s">
        <v>1247</v>
      </c>
      <c r="AY240" s="1138">
        <v>1</v>
      </c>
      <c r="AZ240" s="1134" t="s">
        <v>1247</v>
      </c>
      <c r="BA240" s="1138">
        <v>1</v>
      </c>
      <c r="BB240" s="1433"/>
      <c r="BC240" s="1427"/>
      <c r="BD240" s="1433"/>
      <c r="BE240" s="1427"/>
      <c r="BF240" s="1433"/>
      <c r="BG240" s="1427"/>
      <c r="BH240" s="1433"/>
      <c r="BI240" s="1427"/>
      <c r="BJ240" s="1433"/>
      <c r="BK240" s="1427"/>
      <c r="BM240" s="1436"/>
      <c r="BN240" s="1134" t="s">
        <v>1247</v>
      </c>
      <c r="BO240" s="1138">
        <v>1</v>
      </c>
      <c r="BP240" s="1134" t="s">
        <v>1247</v>
      </c>
      <c r="BQ240" s="1138">
        <v>1</v>
      </c>
      <c r="BR240" s="1134" t="s">
        <v>1247</v>
      </c>
      <c r="BS240" s="1032">
        <v>1</v>
      </c>
      <c r="BT240" s="1433"/>
      <c r="BU240" s="1427"/>
      <c r="BV240" s="1433"/>
      <c r="BW240" s="1427"/>
      <c r="BX240" s="1433"/>
      <c r="BY240" s="1427"/>
      <c r="BZ240" s="1433"/>
      <c r="CA240" s="1427"/>
      <c r="CC240" s="701"/>
      <c r="CD240" s="701"/>
      <c r="CE240" s="1152"/>
      <c r="CF240" s="701"/>
      <c r="CG240" s="1152"/>
      <c r="CH240" s="701"/>
      <c r="CI240" s="1152"/>
      <c r="CJ240" s="701"/>
      <c r="CK240" s="1152"/>
      <c r="CL240" s="701"/>
      <c r="CM240" s="1152"/>
      <c r="CN240" s="701"/>
      <c r="CO240" s="1152"/>
      <c r="CP240" s="701"/>
      <c r="CQ240" s="1152"/>
    </row>
    <row r="241" spans="1:95" ht="15.75" customHeight="1">
      <c r="A241" s="1436"/>
      <c r="B241" s="1415"/>
      <c r="C241" s="1427"/>
      <c r="D241" s="1415"/>
      <c r="E241" s="1427"/>
      <c r="F241" s="1415"/>
      <c r="G241" s="1427"/>
      <c r="H241" s="1415"/>
      <c r="I241" s="1427"/>
      <c r="J241" s="1404"/>
      <c r="K241" s="1034">
        <f>SUM(K239:K240)</f>
        <v>7.1999999999999993</v>
      </c>
      <c r="L241" s="1404"/>
      <c r="M241" s="1034">
        <f>SUM(M239:M240)</f>
        <v>8.82</v>
      </c>
      <c r="N241" s="1404"/>
      <c r="O241" s="1034">
        <f>SUM(O239:O240)</f>
        <v>8.82</v>
      </c>
      <c r="Q241" s="1436"/>
      <c r="R241" s="1433"/>
      <c r="S241" s="1427"/>
      <c r="T241" s="1433"/>
      <c r="U241" s="1427"/>
      <c r="V241" s="1433"/>
      <c r="W241" s="1427"/>
      <c r="X241" s="1433"/>
      <c r="Y241" s="1427"/>
      <c r="Z241" s="1433"/>
      <c r="AA241" s="1427"/>
      <c r="AB241" s="1433"/>
      <c r="AC241" s="1427"/>
      <c r="AD241" s="1433"/>
      <c r="AE241" s="1427"/>
      <c r="AG241" s="1436"/>
      <c r="AH241" s="1200"/>
      <c r="AI241" s="1426">
        <f>AI239/(AI240*AI221)</f>
        <v>0.68878248974008227</v>
      </c>
      <c r="AJ241" s="1200"/>
      <c r="AK241" s="1426">
        <f>AK239/(AK240*AI221)</f>
        <v>0.72982216142270873</v>
      </c>
      <c r="AL241" s="1433"/>
      <c r="AM241" s="1427"/>
      <c r="AN241" s="1433"/>
      <c r="AO241" s="1427"/>
      <c r="AP241" s="1433"/>
      <c r="AQ241" s="1427"/>
      <c r="AR241" s="1433"/>
      <c r="AS241" s="1427"/>
      <c r="AT241" s="1433"/>
      <c r="AU241" s="1427"/>
      <c r="AW241" s="1404"/>
      <c r="AX241" s="1200"/>
      <c r="AY241" s="1426">
        <f>AY239/(AY240*AY221)</f>
        <v>0.63868921775898524</v>
      </c>
      <c r="AZ241" s="1200"/>
      <c r="BA241" s="1426">
        <f>BA239/(BA240*AY221)</f>
        <v>0.67674418604651165</v>
      </c>
      <c r="BB241" s="1433"/>
      <c r="BC241" s="1427"/>
      <c r="BD241" s="1433"/>
      <c r="BE241" s="1427"/>
      <c r="BF241" s="1433"/>
      <c r="BG241" s="1427"/>
      <c r="BH241" s="1433"/>
      <c r="BI241" s="1427"/>
      <c r="BJ241" s="1433"/>
      <c r="BK241" s="1427"/>
      <c r="BM241" s="1436"/>
      <c r="BN241" s="1200"/>
      <c r="BO241" s="1426">
        <f>BO239/(BO240*BO221)</f>
        <v>0.60565356856455499</v>
      </c>
      <c r="BP241" s="1200"/>
      <c r="BQ241" s="1426">
        <f>BQ239/(BQ240*BO221)</f>
        <v>0.64174017642341619</v>
      </c>
      <c r="BR241" s="1200"/>
      <c r="BS241" s="1426">
        <f>BS239/(BS240*BO221)</f>
        <v>0.77706495589414604</v>
      </c>
      <c r="BT241" s="1433"/>
      <c r="BU241" s="1427"/>
      <c r="BV241" s="1433"/>
      <c r="BW241" s="1427"/>
      <c r="BX241" s="1433"/>
      <c r="BY241" s="1427"/>
      <c r="BZ241" s="1433"/>
      <c r="CA241" s="1427"/>
      <c r="CC241" s="701"/>
      <c r="CD241" s="701"/>
      <c r="CE241" s="1152"/>
      <c r="CF241" s="701"/>
      <c r="CG241" s="1152"/>
      <c r="CH241" s="701"/>
      <c r="CI241" s="1152"/>
      <c r="CJ241" s="701"/>
      <c r="CK241" s="1152"/>
      <c r="CL241" s="701"/>
      <c r="CM241" s="1152"/>
      <c r="CN241" s="701"/>
      <c r="CO241" s="1152"/>
      <c r="CP241" s="701"/>
      <c r="CQ241" s="1152"/>
    </row>
    <row r="242" spans="1:95" ht="15.75" customHeight="1">
      <c r="A242" s="1436"/>
      <c r="B242" s="1415"/>
      <c r="C242" s="1427"/>
      <c r="D242" s="1415"/>
      <c r="E242" s="1427"/>
      <c r="F242" s="1415"/>
      <c r="G242" s="1427"/>
      <c r="H242" s="1415"/>
      <c r="I242" s="1427"/>
      <c r="J242" s="1404"/>
      <c r="K242" s="1032">
        <v>1</v>
      </c>
      <c r="L242" s="1404"/>
      <c r="M242" s="1032">
        <v>1</v>
      </c>
      <c r="N242" s="1404"/>
      <c r="O242" s="1032">
        <v>1</v>
      </c>
      <c r="Q242" s="1436"/>
      <c r="R242" s="1433"/>
      <c r="S242" s="1427"/>
      <c r="T242" s="1433"/>
      <c r="U242" s="1427"/>
      <c r="V242" s="1433"/>
      <c r="W242" s="1427"/>
      <c r="X242" s="1433"/>
      <c r="Y242" s="1427"/>
      <c r="Z242" s="1433"/>
      <c r="AA242" s="1427"/>
      <c r="AB242" s="1433"/>
      <c r="AC242" s="1427"/>
      <c r="AD242" s="1433"/>
      <c r="AE242" s="1427"/>
      <c r="AG242" s="1436"/>
      <c r="AH242" s="1200"/>
      <c r="AI242" s="1427"/>
      <c r="AJ242" s="1200"/>
      <c r="AK242" s="1427"/>
      <c r="AL242" s="1433"/>
      <c r="AM242" s="1427"/>
      <c r="AN242" s="1433"/>
      <c r="AO242" s="1427"/>
      <c r="AP242" s="1433"/>
      <c r="AQ242" s="1427"/>
      <c r="AR242" s="1433"/>
      <c r="AS242" s="1427"/>
      <c r="AT242" s="1433"/>
      <c r="AU242" s="1427"/>
      <c r="AW242" s="1404"/>
      <c r="AX242" s="1200"/>
      <c r="AY242" s="1427"/>
      <c r="AZ242" s="1200"/>
      <c r="BA242" s="1427"/>
      <c r="BB242" s="1433"/>
      <c r="BC242" s="1427"/>
      <c r="BD242" s="1433"/>
      <c r="BE242" s="1427"/>
      <c r="BF242" s="1433"/>
      <c r="BG242" s="1427"/>
      <c r="BH242" s="1433"/>
      <c r="BI242" s="1427"/>
      <c r="BJ242" s="1433"/>
      <c r="BK242" s="1427"/>
      <c r="BM242" s="1436"/>
      <c r="BN242" s="1200"/>
      <c r="BO242" s="1427"/>
      <c r="BP242" s="1200"/>
      <c r="BQ242" s="1427"/>
      <c r="BR242" s="1200"/>
      <c r="BS242" s="1427"/>
      <c r="BT242" s="1433"/>
      <c r="BU242" s="1427"/>
      <c r="BV242" s="1433"/>
      <c r="BW242" s="1427"/>
      <c r="BX242" s="1433"/>
      <c r="BY242" s="1427"/>
      <c r="BZ242" s="1433"/>
      <c r="CA242" s="1427"/>
      <c r="CC242" s="701"/>
      <c r="CD242" s="701"/>
      <c r="CE242" s="1210"/>
      <c r="CF242" s="701"/>
      <c r="CG242" s="1210"/>
      <c r="CH242" s="701"/>
      <c r="CI242" s="1210"/>
      <c r="CJ242" s="701"/>
      <c r="CK242" s="1210"/>
      <c r="CL242" s="701"/>
      <c r="CM242" s="1210"/>
      <c r="CN242" s="701"/>
      <c r="CO242" s="1210"/>
      <c r="CP242" s="701"/>
      <c r="CQ242" s="1210"/>
    </row>
    <row r="243" spans="1:95" ht="15.75" customHeight="1">
      <c r="A243" s="1436"/>
      <c r="B243" s="1415"/>
      <c r="C243" s="1427"/>
      <c r="D243" s="1415"/>
      <c r="E243" s="1427"/>
      <c r="F243" s="1415"/>
      <c r="G243" s="1427"/>
      <c r="H243" s="1416"/>
      <c r="I243" s="1428"/>
      <c r="J243" s="1404"/>
      <c r="K243" s="1030">
        <f>K241/(K242*C221)</f>
        <v>0.38939967550027044</v>
      </c>
      <c r="L243" s="1404"/>
      <c r="M243" s="1030">
        <f>M241/(M242*C221)</f>
        <v>0.47701460248783134</v>
      </c>
      <c r="N243" s="1404"/>
      <c r="O243" s="1030">
        <f>O241/(O242*C221)</f>
        <v>0.47701460248783134</v>
      </c>
      <c r="Q243" s="1436"/>
      <c r="R243" s="1433"/>
      <c r="S243" s="1427"/>
      <c r="T243" s="1433"/>
      <c r="U243" s="1427" t="str">
        <f>IF(U242=0,"-")</f>
        <v>-</v>
      </c>
      <c r="V243" s="1433"/>
      <c r="W243" s="1427" t="str">
        <f>IF(W242=0,"-")</f>
        <v>-</v>
      </c>
      <c r="X243" s="1433"/>
      <c r="Y243" s="1427" t="str">
        <f>IF(Y242=0,"-")</f>
        <v>-</v>
      </c>
      <c r="Z243" s="1434"/>
      <c r="AA243" s="1428" t="str">
        <f>IF(AA242=0,"-")</f>
        <v>-</v>
      </c>
      <c r="AB243" s="1434"/>
      <c r="AC243" s="1428"/>
      <c r="AD243" s="1434"/>
      <c r="AE243" s="1428"/>
      <c r="AG243" s="1436"/>
      <c r="AH243" s="1200"/>
      <c r="AI243" s="1427"/>
      <c r="AJ243" s="1200"/>
      <c r="AK243" s="1427"/>
      <c r="AL243" s="1433"/>
      <c r="AM243" s="1427" t="str">
        <f>IF(AM242=0,"-")</f>
        <v>-</v>
      </c>
      <c r="AN243" s="1433"/>
      <c r="AO243" s="1427" t="str">
        <f>IF(AO242=0,"-")</f>
        <v>-</v>
      </c>
      <c r="AP243" s="1434"/>
      <c r="AQ243" s="1428" t="str">
        <f>IF(AQ242=0,"-")</f>
        <v>-</v>
      </c>
      <c r="AR243" s="1434"/>
      <c r="AS243" s="1428" t="str">
        <f>IF(AS242=0,"-")</f>
        <v>-</v>
      </c>
      <c r="AT243" s="1434"/>
      <c r="AU243" s="1428" t="str">
        <f>IF(AU242=0,"-")</f>
        <v>-</v>
      </c>
      <c r="AW243" s="1404"/>
      <c r="AX243" s="1200"/>
      <c r="AY243" s="1427"/>
      <c r="AZ243" s="1200"/>
      <c r="BA243" s="1427"/>
      <c r="BB243" s="1433"/>
      <c r="BC243" s="1427"/>
      <c r="BD243" s="1433"/>
      <c r="BE243" s="1427"/>
      <c r="BF243" s="1434"/>
      <c r="BG243" s="1428"/>
      <c r="BH243" s="1434"/>
      <c r="BI243" s="1428"/>
      <c r="BJ243" s="1434"/>
      <c r="BK243" s="1428"/>
      <c r="BM243" s="1436"/>
      <c r="BN243" s="1200"/>
      <c r="BO243" s="1427"/>
      <c r="BP243" s="1200"/>
      <c r="BQ243" s="1427"/>
      <c r="BR243" s="1200"/>
      <c r="BS243" s="1427"/>
      <c r="BT243" s="1433"/>
      <c r="BU243" s="1427"/>
      <c r="BV243" s="1434"/>
      <c r="BW243" s="1428"/>
      <c r="BX243" s="1434"/>
      <c r="BY243" s="1428"/>
      <c r="BZ243" s="1434"/>
      <c r="CA243" s="1428"/>
      <c r="CC243" s="701"/>
      <c r="CD243" s="701"/>
      <c r="CE243" s="1211"/>
      <c r="CF243" s="701"/>
      <c r="CG243" s="1211"/>
      <c r="CH243" s="701"/>
      <c r="CI243" s="1211"/>
      <c r="CJ243" s="701"/>
      <c r="CK243" s="1211"/>
      <c r="CL243" s="701"/>
      <c r="CM243" s="1211"/>
      <c r="CN243" s="701"/>
      <c r="CO243" s="1211"/>
      <c r="CP243" s="701"/>
      <c r="CQ243" s="1211"/>
    </row>
    <row r="244" spans="1:95" ht="15.75" customHeight="1">
      <c r="A244" s="1435" t="s">
        <v>1368</v>
      </c>
      <c r="B244" s="1415"/>
      <c r="C244" s="1427"/>
      <c r="D244" s="1415"/>
      <c r="E244" s="1427"/>
      <c r="F244" s="1415"/>
      <c r="G244" s="1427"/>
      <c r="H244" s="1404"/>
      <c r="I244" s="1033">
        <f>Möblierungsschablone!$I$56</f>
        <v>5.76</v>
      </c>
      <c r="J244" s="1404"/>
      <c r="K244" s="1033">
        <f>Möblierungsschablone!$K$61</f>
        <v>7.34</v>
      </c>
      <c r="L244" s="1404"/>
      <c r="M244" s="1033">
        <f>Möblierungsschablone!$M$61</f>
        <v>9.18</v>
      </c>
      <c r="N244" s="1404"/>
      <c r="O244" s="1033">
        <f>Möblierungsschablone!$O$61</f>
        <v>9.4199999999999982</v>
      </c>
      <c r="Q244" s="1435" t="s">
        <v>1368</v>
      </c>
      <c r="R244" s="1433"/>
      <c r="S244" s="1427"/>
      <c r="T244" s="1433"/>
      <c r="U244" s="1427"/>
      <c r="V244" s="1433"/>
      <c r="W244" s="1427"/>
      <c r="X244" s="1433"/>
      <c r="Y244" s="1427"/>
      <c r="Z244" s="1203" t="s">
        <v>2177</v>
      </c>
      <c r="AA244" s="1045">
        <f>Möblierungsschablone!$K$61</f>
        <v>7.34</v>
      </c>
      <c r="AB244" s="1203" t="s">
        <v>2177</v>
      </c>
      <c r="AC244" s="1033">
        <f>Möblierungsschablone!$M$61</f>
        <v>9.18</v>
      </c>
      <c r="AD244" s="1404"/>
      <c r="AE244" s="1033">
        <f>Möblierungsschablone!$O$61</f>
        <v>9.4199999999999982</v>
      </c>
      <c r="AG244" s="1435" t="s">
        <v>1368</v>
      </c>
      <c r="AH244" s="1200"/>
      <c r="AI244" s="1427"/>
      <c r="AJ244" s="1200"/>
      <c r="AK244" s="1427"/>
      <c r="AL244" s="1433"/>
      <c r="AM244" s="1427"/>
      <c r="AN244" s="1433"/>
      <c r="AO244" s="1427"/>
      <c r="AP244" s="1203" t="s">
        <v>2177</v>
      </c>
      <c r="AQ244" s="1045">
        <f>Möblierungsschablone!$K$61</f>
        <v>7.34</v>
      </c>
      <c r="AR244" s="1203" t="s">
        <v>2177</v>
      </c>
      <c r="AS244" s="1033">
        <f>Möblierungsschablone!$M$61</f>
        <v>9.18</v>
      </c>
      <c r="AT244" s="1404"/>
      <c r="AU244" s="1033">
        <f>Möblierungsschablone!$O$61</f>
        <v>9.4199999999999982</v>
      </c>
      <c r="AW244" s="1403" t="s">
        <v>1368</v>
      </c>
      <c r="AX244" s="1200"/>
      <c r="AY244" s="1427"/>
      <c r="AZ244" s="1200"/>
      <c r="BA244" s="1427"/>
      <c r="BB244" s="1433"/>
      <c r="BC244" s="1427"/>
      <c r="BD244" s="1433"/>
      <c r="BE244" s="1427"/>
      <c r="BF244" s="1203" t="s">
        <v>2177</v>
      </c>
      <c r="BG244" s="1045">
        <f>Möblierungsschablone!$K$61</f>
        <v>7.34</v>
      </c>
      <c r="BH244" s="1203" t="s">
        <v>2177</v>
      </c>
      <c r="BI244" s="1033">
        <f>Möblierungsschablone!$M$61</f>
        <v>9.18</v>
      </c>
      <c r="BJ244" s="1404"/>
      <c r="BK244" s="1033">
        <f>Möblierungsschablone!$O$61</f>
        <v>9.4199999999999982</v>
      </c>
      <c r="BM244" s="1435" t="s">
        <v>1368</v>
      </c>
      <c r="BN244" s="1200"/>
      <c r="BO244" s="1427"/>
      <c r="BP244" s="1200"/>
      <c r="BQ244" s="1427"/>
      <c r="BR244" s="1200"/>
      <c r="BS244" s="1427"/>
      <c r="BT244" s="1433"/>
      <c r="BU244" s="1427"/>
      <c r="BV244" s="1199" t="s">
        <v>2177</v>
      </c>
      <c r="BW244" s="1033">
        <f>Möblierungsschablone!$K$61</f>
        <v>7.34</v>
      </c>
      <c r="BX244" s="1199" t="s">
        <v>2177</v>
      </c>
      <c r="BY244" s="1033">
        <f>Möblierungsschablone!$M$61</f>
        <v>9.18</v>
      </c>
      <c r="BZ244" s="1199" t="s">
        <v>2177</v>
      </c>
      <c r="CA244" s="1033">
        <f>Möblierungsschablone!$O$61</f>
        <v>9.4199999999999982</v>
      </c>
      <c r="CC244" s="1154"/>
      <c r="CD244" s="701"/>
      <c r="CE244" s="1152"/>
      <c r="CF244" s="701"/>
      <c r="CG244" s="1152"/>
      <c r="CH244" s="701"/>
      <c r="CI244" s="1152"/>
      <c r="CJ244" s="701"/>
      <c r="CK244" s="1152"/>
      <c r="CL244" s="701"/>
      <c r="CM244" s="1039"/>
      <c r="CN244" s="701"/>
      <c r="CO244" s="1039"/>
      <c r="CP244" s="701"/>
      <c r="CQ244" s="1039"/>
    </row>
    <row r="245" spans="1:95" ht="15.75" customHeight="1">
      <c r="A245" s="1436"/>
      <c r="B245" s="1415"/>
      <c r="C245" s="1427"/>
      <c r="D245" s="1415"/>
      <c r="E245" s="1427"/>
      <c r="F245" s="1415"/>
      <c r="G245" s="1427"/>
      <c r="H245" s="1404"/>
      <c r="I245" s="1033"/>
      <c r="J245" s="1404"/>
      <c r="K245" s="1033"/>
      <c r="L245" s="1404"/>
      <c r="M245" s="1033"/>
      <c r="N245" s="1404"/>
      <c r="O245" s="1033"/>
      <c r="Q245" s="1436"/>
      <c r="R245" s="1433"/>
      <c r="S245" s="1427"/>
      <c r="T245" s="1433"/>
      <c r="U245" s="1427"/>
      <c r="V245" s="1433"/>
      <c r="W245" s="1427"/>
      <c r="X245" s="1433"/>
      <c r="Y245" s="1427"/>
      <c r="Z245" s="1200" t="s">
        <v>2040</v>
      </c>
      <c r="AA245" s="1045">
        <f>2*Möblierungsschablone!$C$66</f>
        <v>8.16</v>
      </c>
      <c r="AB245" s="1200" t="s">
        <v>2039</v>
      </c>
      <c r="AC245" s="1033">
        <f>Möblierungsschablone!$C$66</f>
        <v>4.08</v>
      </c>
      <c r="AD245" s="1404"/>
      <c r="AE245" s="1033"/>
      <c r="AG245" s="1436"/>
      <c r="AH245" s="1200"/>
      <c r="AI245" s="1427"/>
      <c r="AJ245" s="1200"/>
      <c r="AK245" s="1427"/>
      <c r="AL245" s="1433"/>
      <c r="AM245" s="1427"/>
      <c r="AN245" s="1433"/>
      <c r="AO245" s="1427"/>
      <c r="AP245" s="1200" t="s">
        <v>2040</v>
      </c>
      <c r="AQ245" s="1045">
        <f>2*Möblierungsschablone!$C$66</f>
        <v>8.16</v>
      </c>
      <c r="AR245" s="1200" t="s">
        <v>2039</v>
      </c>
      <c r="AS245" s="1033">
        <f>Möblierungsschablone!$C$66</f>
        <v>4.08</v>
      </c>
      <c r="AT245" s="1404"/>
      <c r="AU245" s="1033"/>
      <c r="AW245" s="1404"/>
      <c r="AX245" s="1200"/>
      <c r="AY245" s="1427"/>
      <c r="AZ245" s="1200"/>
      <c r="BA245" s="1427"/>
      <c r="BB245" s="1433"/>
      <c r="BC245" s="1427"/>
      <c r="BD245" s="1433"/>
      <c r="BE245" s="1427"/>
      <c r="BF245" s="1200" t="s">
        <v>2040</v>
      </c>
      <c r="BG245" s="1045">
        <f>2*Möblierungsschablone!$C$66</f>
        <v>8.16</v>
      </c>
      <c r="BH245" s="1200" t="s">
        <v>2039</v>
      </c>
      <c r="BI245" s="1033">
        <f>Möblierungsschablone!$C$66</f>
        <v>4.08</v>
      </c>
      <c r="BJ245" s="1404"/>
      <c r="BK245" s="1033"/>
      <c r="BM245" s="1436"/>
      <c r="BN245" s="1200"/>
      <c r="BO245" s="1427"/>
      <c r="BP245" s="1200"/>
      <c r="BQ245" s="1427"/>
      <c r="BR245" s="1200"/>
      <c r="BS245" s="1427"/>
      <c r="BT245" s="1433"/>
      <c r="BU245" s="1427"/>
      <c r="BV245" s="1200" t="s">
        <v>2040</v>
      </c>
      <c r="BW245" s="1033">
        <f>2*Möblierungsschablone!$C$66</f>
        <v>8.16</v>
      </c>
      <c r="BX245" s="1200" t="s">
        <v>2039</v>
      </c>
      <c r="BY245" s="1033">
        <f>Möblierungsschablone!$C$66</f>
        <v>4.08</v>
      </c>
      <c r="BZ245" s="1200" t="s">
        <v>2039</v>
      </c>
      <c r="CA245" s="1033">
        <f>Möblierungsschablone!$C$66</f>
        <v>4.08</v>
      </c>
      <c r="CC245" s="701"/>
      <c r="CD245" s="701"/>
      <c r="CE245" s="1152"/>
      <c r="CF245" s="701"/>
      <c r="CG245" s="1152"/>
      <c r="CH245" s="701"/>
      <c r="CI245" s="1152"/>
      <c r="CJ245" s="701"/>
      <c r="CK245" s="1152"/>
      <c r="CL245" s="701"/>
      <c r="CM245" s="1039"/>
      <c r="CN245" s="701"/>
      <c r="CO245" s="1039"/>
      <c r="CP245" s="701"/>
      <c r="CQ245" s="1039"/>
    </row>
    <row r="246" spans="1:95" ht="15.75" customHeight="1">
      <c r="A246" s="1436"/>
      <c r="B246" s="1415"/>
      <c r="C246" s="1427"/>
      <c r="D246" s="1415"/>
      <c r="E246" s="1427"/>
      <c r="F246" s="1415"/>
      <c r="G246" s="1427"/>
      <c r="H246" s="1404"/>
      <c r="I246" s="1034">
        <f>SUM(I244:I245)</f>
        <v>5.76</v>
      </c>
      <c r="J246" s="1404"/>
      <c r="K246" s="1034">
        <f>SUM(K244:K245)</f>
        <v>7.34</v>
      </c>
      <c r="L246" s="1404"/>
      <c r="M246" s="1034">
        <f>SUM(M244:M245)</f>
        <v>9.18</v>
      </c>
      <c r="N246" s="1404"/>
      <c r="O246" s="1034">
        <f>SUM(O244:O245)</f>
        <v>9.4199999999999982</v>
      </c>
      <c r="Q246" s="1436"/>
      <c r="R246" s="1433"/>
      <c r="S246" s="1427"/>
      <c r="T246" s="1433"/>
      <c r="U246" s="1427"/>
      <c r="V246" s="1433"/>
      <c r="W246" s="1427"/>
      <c r="X246" s="1433"/>
      <c r="Y246" s="1427"/>
      <c r="Z246" s="1213"/>
      <c r="AA246" s="1045"/>
      <c r="AB246" s="1200" t="s">
        <v>2038</v>
      </c>
      <c r="AC246" s="1033">
        <f>Möblierungsschablone!$G$66</f>
        <v>4.5</v>
      </c>
      <c r="AD246" s="1404"/>
      <c r="AE246" s="1034">
        <f>SUM(AE244:AE245)</f>
        <v>9.4199999999999982</v>
      </c>
      <c r="AG246" s="1436"/>
      <c r="AH246" s="1200"/>
      <c r="AI246" s="1427"/>
      <c r="AJ246" s="1200"/>
      <c r="AK246" s="1427"/>
      <c r="AL246" s="1433"/>
      <c r="AM246" s="1427"/>
      <c r="AN246" s="1433"/>
      <c r="AO246" s="1427"/>
      <c r="AP246" s="1213"/>
      <c r="AQ246" s="1045"/>
      <c r="AR246" s="1200" t="s">
        <v>2038</v>
      </c>
      <c r="AS246" s="1033">
        <f>Möblierungsschablone!$G$66</f>
        <v>4.5</v>
      </c>
      <c r="AT246" s="1404"/>
      <c r="AU246" s="1034">
        <f>SUM(AU244:AU245)</f>
        <v>9.4199999999999982</v>
      </c>
      <c r="AW246" s="1404"/>
      <c r="AX246" s="1200"/>
      <c r="AY246" s="1427"/>
      <c r="AZ246" s="1200"/>
      <c r="BA246" s="1427"/>
      <c r="BB246" s="1433"/>
      <c r="BC246" s="1427"/>
      <c r="BD246" s="1433"/>
      <c r="BE246" s="1427"/>
      <c r="BF246" s="1213"/>
      <c r="BG246" s="1045"/>
      <c r="BH246" s="1200" t="s">
        <v>2038</v>
      </c>
      <c r="BI246" s="1033">
        <f>Möblierungsschablone!$G$66</f>
        <v>4.5</v>
      </c>
      <c r="BJ246" s="1404"/>
      <c r="BK246" s="1034">
        <f>SUM(BK244:BK245)</f>
        <v>9.4199999999999982</v>
      </c>
      <c r="BM246" s="1436"/>
      <c r="BN246" s="1200"/>
      <c r="BO246" s="1427"/>
      <c r="BP246" s="1200"/>
      <c r="BQ246" s="1427"/>
      <c r="BR246" s="1200"/>
      <c r="BS246" s="1427"/>
      <c r="BT246" s="1433"/>
      <c r="BU246" s="1427"/>
      <c r="BV246" s="1201" t="s">
        <v>2036</v>
      </c>
      <c r="BW246" s="1034">
        <f>SUM(BW244:BW245)</f>
        <v>15.5</v>
      </c>
      <c r="BX246" s="1200" t="s">
        <v>2038</v>
      </c>
      <c r="BY246" s="1033">
        <f>Möblierungsschablone!$G$66</f>
        <v>4.5</v>
      </c>
      <c r="BZ246" s="1200" t="s">
        <v>2038</v>
      </c>
      <c r="CA246" s="1033">
        <f>Möblierungsschablone!$G$66</f>
        <v>4.5</v>
      </c>
      <c r="CC246" s="701"/>
      <c r="CD246" s="701"/>
      <c r="CE246" s="1152"/>
      <c r="CF246" s="701"/>
      <c r="CG246" s="1152"/>
      <c r="CH246" s="701"/>
      <c r="CI246" s="1152"/>
      <c r="CJ246" s="701"/>
      <c r="CK246" s="1152"/>
      <c r="CL246" s="701"/>
      <c r="CM246" s="1193"/>
      <c r="CN246" s="701"/>
      <c r="CO246" s="1193"/>
      <c r="CP246" s="701"/>
      <c r="CQ246" s="1193"/>
    </row>
    <row r="247" spans="1:95" ht="15.75" customHeight="1">
      <c r="A247" s="1436"/>
      <c r="B247" s="1415"/>
      <c r="C247" s="1427"/>
      <c r="D247" s="1415"/>
      <c r="E247" s="1427"/>
      <c r="F247" s="1415"/>
      <c r="G247" s="1427"/>
      <c r="H247" s="1404"/>
      <c r="I247" s="1032">
        <v>1</v>
      </c>
      <c r="J247" s="1404"/>
      <c r="K247" s="1032">
        <v>1</v>
      </c>
      <c r="L247" s="1404"/>
      <c r="M247" s="1032">
        <v>1</v>
      </c>
      <c r="N247" s="1404"/>
      <c r="O247" s="1032">
        <v>1</v>
      </c>
      <c r="Q247" s="1436"/>
      <c r="R247" s="1433"/>
      <c r="S247" s="1427"/>
      <c r="T247" s="1433"/>
      <c r="U247" s="1427"/>
      <c r="V247" s="1433"/>
      <c r="W247" s="1427"/>
      <c r="X247" s="1433"/>
      <c r="Y247" s="1427"/>
      <c r="Z247" s="1213"/>
      <c r="AA247" s="1045"/>
      <c r="AC247" s="1032"/>
      <c r="AD247" s="1404"/>
      <c r="AE247" s="1032">
        <v>1</v>
      </c>
      <c r="AG247" s="1436"/>
      <c r="AH247" s="1200"/>
      <c r="AI247" s="1427"/>
      <c r="AJ247" s="1200"/>
      <c r="AK247" s="1427"/>
      <c r="AL247" s="1433"/>
      <c r="AM247" s="1427"/>
      <c r="AN247" s="1433"/>
      <c r="AO247" s="1427"/>
      <c r="AP247" s="1213"/>
      <c r="AQ247" s="1045"/>
      <c r="AS247" s="1032"/>
      <c r="AT247" s="1404"/>
      <c r="AU247" s="1032">
        <v>1</v>
      </c>
      <c r="AW247" s="1404"/>
      <c r="AX247" s="1200"/>
      <c r="AY247" s="1427"/>
      <c r="AZ247" s="1200"/>
      <c r="BA247" s="1427"/>
      <c r="BB247" s="1433"/>
      <c r="BC247" s="1427"/>
      <c r="BD247" s="1433"/>
      <c r="BE247" s="1427"/>
      <c r="BF247" s="1213"/>
      <c r="BG247" s="1045"/>
      <c r="BI247" s="1032"/>
      <c r="BJ247" s="1404"/>
      <c r="BK247" s="1032">
        <v>1</v>
      </c>
      <c r="BM247" s="1436"/>
      <c r="BN247" s="1200"/>
      <c r="BO247" s="1427"/>
      <c r="BP247" s="1200"/>
      <c r="BQ247" s="1427"/>
      <c r="BR247" s="1200"/>
      <c r="BS247" s="1427"/>
      <c r="BT247" s="1433"/>
      <c r="BU247" s="1427"/>
      <c r="BV247" s="1200" t="s">
        <v>1247</v>
      </c>
      <c r="BW247" s="1032">
        <v>1</v>
      </c>
      <c r="BX247" s="1201" t="s">
        <v>2036</v>
      </c>
      <c r="BY247" s="1034">
        <f>SUM(BY244:BY246)</f>
        <v>17.759999999999998</v>
      </c>
      <c r="BZ247" s="1200" t="s">
        <v>2037</v>
      </c>
      <c r="CA247" s="1033">
        <f>Möblierungsschablone!$I$66</f>
        <v>1.4400000000000002</v>
      </c>
      <c r="CC247" s="701"/>
      <c r="CD247" s="701"/>
      <c r="CE247" s="1210"/>
      <c r="CF247" s="701"/>
      <c r="CG247" s="1210"/>
      <c r="CH247" s="701"/>
      <c r="CI247" s="1210"/>
      <c r="CJ247" s="701"/>
      <c r="CK247" s="1210"/>
      <c r="CL247" s="701"/>
      <c r="CM247" s="763"/>
      <c r="CN247" s="701"/>
      <c r="CO247" s="763"/>
      <c r="CP247" s="701"/>
      <c r="CQ247" s="763"/>
    </row>
    <row r="248" spans="1:95" ht="27.75" customHeight="1">
      <c r="A248" s="1436"/>
      <c r="B248" s="1416"/>
      <c r="C248" s="1428"/>
      <c r="D248" s="1416"/>
      <c r="E248" s="1428"/>
      <c r="F248" s="1416"/>
      <c r="G248" s="1428"/>
      <c r="H248" s="1404"/>
      <c r="I248" s="1030">
        <f>I246/(I247*C221)</f>
        <v>0.31151974040021635</v>
      </c>
      <c r="J248" s="1404"/>
      <c r="K248" s="1030">
        <f>K246/(K247*C221)</f>
        <v>0.39697133585722016</v>
      </c>
      <c r="L248" s="1404"/>
      <c r="M248" s="1030">
        <f>M246/(M247*C221)</f>
        <v>0.49648458626284481</v>
      </c>
      <c r="N248" s="1404"/>
      <c r="O248" s="1030">
        <f>O246/(O247*C221)</f>
        <v>0.50946457544618706</v>
      </c>
      <c r="Q248" s="1436"/>
      <c r="R248" s="1434"/>
      <c r="S248" s="1428"/>
      <c r="T248" s="1434"/>
      <c r="U248" s="1428" t="str">
        <f>IF(U247=0,"-")</f>
        <v>-</v>
      </c>
      <c r="V248" s="1434"/>
      <c r="W248" s="1428" t="str">
        <f>IF(W247=0,"-")</f>
        <v>-</v>
      </c>
      <c r="X248" s="1434"/>
      <c r="Y248" s="1428" t="str">
        <f>IF(Y247=0,"-")</f>
        <v>-</v>
      </c>
      <c r="Z248" s="1201" t="s">
        <v>2036</v>
      </c>
      <c r="AA248" s="1044">
        <f>SUM(AA244:AA245)</f>
        <v>15.5</v>
      </c>
      <c r="AB248" s="1201" t="s">
        <v>2036</v>
      </c>
      <c r="AC248" s="1044">
        <f>SUM(AC244:AC246)</f>
        <v>17.759999999999998</v>
      </c>
      <c r="AD248" s="1404"/>
      <c r="AE248" s="1030">
        <f>AE246/(AE247*S221)</f>
        <v>0.45639534883720928</v>
      </c>
      <c r="AG248" s="1436"/>
      <c r="AH248" s="1200"/>
      <c r="AI248" s="1427"/>
      <c r="AJ248" s="1200"/>
      <c r="AK248" s="1427"/>
      <c r="AL248" s="1434"/>
      <c r="AM248" s="1428" t="str">
        <f>IF(AM247=0,"-")</f>
        <v>-</v>
      </c>
      <c r="AN248" s="1434"/>
      <c r="AO248" s="1428" t="str">
        <f>IF(AO247=0,"-")</f>
        <v>-</v>
      </c>
      <c r="AP248" s="1201" t="s">
        <v>2036</v>
      </c>
      <c r="AQ248" s="1044">
        <f>SUM(AQ244:AQ245)</f>
        <v>15.5</v>
      </c>
      <c r="AR248" s="1201" t="s">
        <v>2036</v>
      </c>
      <c r="AS248" s="1044">
        <f>SUM(AS244:AS246)</f>
        <v>17.759999999999998</v>
      </c>
      <c r="AT248" s="1404"/>
      <c r="AU248" s="1030">
        <f>AU246/(AU247*AI221)</f>
        <v>0.42954856361149107</v>
      </c>
      <c r="AW248" s="1404"/>
      <c r="AX248" s="1200"/>
      <c r="AY248" s="1427"/>
      <c r="AZ248" s="1200"/>
      <c r="BA248" s="1427"/>
      <c r="BB248" s="1434"/>
      <c r="BC248" s="1428"/>
      <c r="BD248" s="1434"/>
      <c r="BE248" s="1428"/>
      <c r="BF248" s="1201" t="s">
        <v>2036</v>
      </c>
      <c r="BG248" s="1044">
        <f>SUM(BG244:BG245)</f>
        <v>15.5</v>
      </c>
      <c r="BH248" s="1201" t="s">
        <v>2036</v>
      </c>
      <c r="BI248" s="1044">
        <f>SUM(BI244:BI246)</f>
        <v>17.759999999999998</v>
      </c>
      <c r="BJ248" s="1404"/>
      <c r="BK248" s="1030">
        <f>BK246/(BK247*AY221)</f>
        <v>0.39830866807610987</v>
      </c>
      <c r="BM248" s="1436"/>
      <c r="BN248" s="1200"/>
      <c r="BO248" s="1427"/>
      <c r="BP248" s="1200"/>
      <c r="BQ248" s="1427"/>
      <c r="BR248" s="1200"/>
      <c r="BS248" s="1427"/>
      <c r="BT248" s="1434"/>
      <c r="BU248" s="1428"/>
      <c r="BV248" s="1433"/>
      <c r="BW248" s="1426">
        <f>BW246/(BW247*BO221)</f>
        <v>0.6214915797914996</v>
      </c>
      <c r="BX248" s="1200" t="s">
        <v>1247</v>
      </c>
      <c r="BY248" s="1032">
        <v>1</v>
      </c>
      <c r="BZ248" s="1201" t="s">
        <v>2036</v>
      </c>
      <c r="CA248" s="1034">
        <f>SUM(CA244:CA247)</f>
        <v>19.440000000000001</v>
      </c>
      <c r="CC248" s="701"/>
      <c r="CD248" s="701"/>
      <c r="CE248" s="1211"/>
      <c r="CF248" s="701"/>
      <c r="CG248" s="1211"/>
      <c r="CH248" s="701"/>
      <c r="CI248" s="1211"/>
      <c r="CJ248" s="701"/>
      <c r="CK248" s="1211"/>
      <c r="CL248" s="701"/>
      <c r="CM248" s="1146"/>
      <c r="CN248" s="701"/>
      <c r="CO248" s="1146"/>
      <c r="CP248" s="701"/>
      <c r="CQ248" s="1146"/>
    </row>
    <row r="249" spans="1:95" ht="15.75" customHeight="1">
      <c r="A249" s="1435" t="s">
        <v>1369</v>
      </c>
      <c r="B249" s="1404"/>
      <c r="C249" s="1033">
        <f>Möblierungsschablone!$C$66</f>
        <v>4.08</v>
      </c>
      <c r="D249" s="1404"/>
      <c r="E249" s="1033">
        <f>Möblierungsschablone!$C$66</f>
        <v>4.08</v>
      </c>
      <c r="F249" s="1404"/>
      <c r="G249" s="1033">
        <f>Möblierungsschablone!$C$66</f>
        <v>4.08</v>
      </c>
      <c r="H249" s="1404"/>
      <c r="I249" s="1033">
        <f>2*Möblierungsschablone!$C$66</f>
        <v>8.16</v>
      </c>
      <c r="J249" s="1404"/>
      <c r="K249" s="1033">
        <f>2*Möblierungsschablone!$C$66</f>
        <v>8.16</v>
      </c>
      <c r="L249" s="1404"/>
      <c r="M249" s="1033">
        <f>Möblierungsschablone!$C$66</f>
        <v>4.08</v>
      </c>
      <c r="N249" s="1404"/>
      <c r="O249" s="1033">
        <f>Möblierungsschablone!$C$66</f>
        <v>4.08</v>
      </c>
      <c r="Q249" s="1435" t="s">
        <v>1369</v>
      </c>
      <c r="R249" s="1199" t="s">
        <v>2039</v>
      </c>
      <c r="S249" s="1033">
        <f>Möblierungsschablone!$C$66</f>
        <v>4.08</v>
      </c>
      <c r="T249" s="1199" t="s">
        <v>2039</v>
      </c>
      <c r="U249" s="1033">
        <f>Möblierungsschablone!$C$66</f>
        <v>4.08</v>
      </c>
      <c r="V249" s="1199" t="s">
        <v>2039</v>
      </c>
      <c r="W249" s="1033">
        <f>Möblierungsschablone!$C$66</f>
        <v>4.08</v>
      </c>
      <c r="X249" s="1199" t="s">
        <v>2040</v>
      </c>
      <c r="Y249" s="1033">
        <f>2*Möblierungsschablone!$C$66</f>
        <v>8.16</v>
      </c>
      <c r="Z249" s="1200" t="s">
        <v>1247</v>
      </c>
      <c r="AA249" s="1043">
        <v>1</v>
      </c>
      <c r="AB249" s="1200" t="s">
        <v>1247</v>
      </c>
      <c r="AC249" s="1043">
        <v>1</v>
      </c>
      <c r="AD249" s="1199" t="s">
        <v>2039</v>
      </c>
      <c r="AE249" s="1033">
        <f>Möblierungsschablone!$C$66</f>
        <v>4.08</v>
      </c>
      <c r="AG249" s="1435" t="s">
        <v>1369</v>
      </c>
      <c r="AH249" s="1200"/>
      <c r="AI249" s="1427"/>
      <c r="AJ249" s="1200"/>
      <c r="AK249" s="1427"/>
      <c r="AL249" s="1199" t="s">
        <v>2039</v>
      </c>
      <c r="AM249" s="1033">
        <f>Möblierungsschablone!$C$66</f>
        <v>4.08</v>
      </c>
      <c r="AN249" s="1199" t="s">
        <v>2040</v>
      </c>
      <c r="AO249" s="1033">
        <f>2*Möblierungsschablone!$C$66</f>
        <v>8.16</v>
      </c>
      <c r="AP249" s="1200" t="s">
        <v>1247</v>
      </c>
      <c r="AQ249" s="1043">
        <v>1</v>
      </c>
      <c r="AR249" s="1200" t="s">
        <v>1247</v>
      </c>
      <c r="AS249" s="1043">
        <v>1</v>
      </c>
      <c r="AT249" s="1199" t="s">
        <v>2039</v>
      </c>
      <c r="AU249" s="1033">
        <f>Möblierungsschablone!$C$66</f>
        <v>4.08</v>
      </c>
      <c r="AW249" s="1403" t="s">
        <v>1369</v>
      </c>
      <c r="AX249" s="1200"/>
      <c r="AY249" s="1427"/>
      <c r="AZ249" s="1200"/>
      <c r="BA249" s="1427"/>
      <c r="BB249" s="1199" t="s">
        <v>2039</v>
      </c>
      <c r="BC249" s="1033">
        <f>Möblierungsschablone!$C$66</f>
        <v>4.08</v>
      </c>
      <c r="BD249" s="1199" t="s">
        <v>2040</v>
      </c>
      <c r="BE249" s="1033">
        <f>2*Möblierungsschablone!$C$66</f>
        <v>8.16</v>
      </c>
      <c r="BF249" s="1200" t="s">
        <v>1247</v>
      </c>
      <c r="BG249" s="1043">
        <v>1</v>
      </c>
      <c r="BH249" s="1200" t="s">
        <v>1247</v>
      </c>
      <c r="BI249" s="1043">
        <v>1</v>
      </c>
      <c r="BJ249" s="1199" t="s">
        <v>2039</v>
      </c>
      <c r="BK249" s="1033">
        <f>Möblierungsschablone!$C$66</f>
        <v>4.08</v>
      </c>
      <c r="BM249" s="1435" t="s">
        <v>1369</v>
      </c>
      <c r="BN249" s="1200"/>
      <c r="BO249" s="1427"/>
      <c r="BP249" s="1200"/>
      <c r="BQ249" s="1427"/>
      <c r="BR249" s="1200"/>
      <c r="BS249" s="1427"/>
      <c r="BT249" s="1199" t="s">
        <v>2040</v>
      </c>
      <c r="BU249" s="1033">
        <f>2*Möblierungsschablone!$C$66</f>
        <v>8.16</v>
      </c>
      <c r="BV249" s="1433"/>
      <c r="BW249" s="1427"/>
      <c r="BX249" s="1433"/>
      <c r="BY249" s="1426">
        <f>BY247/(BY248*BO221)</f>
        <v>0.71210906174819566</v>
      </c>
      <c r="BZ249" s="1200" t="s">
        <v>1247</v>
      </c>
      <c r="CA249" s="1032">
        <v>1</v>
      </c>
      <c r="CC249" s="1154"/>
      <c r="CD249" s="701"/>
      <c r="CE249" s="1039"/>
      <c r="CF249" s="701"/>
      <c r="CG249" s="1039"/>
      <c r="CH249" s="701"/>
      <c r="CI249" s="1039"/>
      <c r="CJ249" s="701"/>
      <c r="CK249" s="1039"/>
      <c r="CL249" s="701"/>
      <c r="CM249" s="1039"/>
      <c r="CN249" s="701"/>
      <c r="CO249" s="1039"/>
      <c r="CP249" s="701"/>
      <c r="CQ249" s="1039"/>
    </row>
    <row r="250" spans="1:95" ht="15.75" customHeight="1">
      <c r="A250" s="1436"/>
      <c r="B250" s="1404"/>
      <c r="C250" s="1033"/>
      <c r="D250" s="1404"/>
      <c r="E250" s="1033"/>
      <c r="F250" s="1404"/>
      <c r="G250" s="1033">
        <f>Möblierungsschablone!$I$66</f>
        <v>1.4400000000000002</v>
      </c>
      <c r="H250" s="1404"/>
      <c r="I250" s="1033"/>
      <c r="J250" s="1404"/>
      <c r="K250" s="1033"/>
      <c r="L250" s="1404"/>
      <c r="M250" s="1033">
        <f>Möblierungsschablone!$G$66</f>
        <v>4.5</v>
      </c>
      <c r="N250" s="1404"/>
      <c r="O250" s="1033">
        <f>Möblierungsschablone!$G$66</f>
        <v>4.5</v>
      </c>
      <c r="Q250" s="1436"/>
      <c r="R250" s="1200"/>
      <c r="S250" s="1033"/>
      <c r="T250" s="1200"/>
      <c r="U250" s="1033"/>
      <c r="V250" s="1200" t="s">
        <v>2037</v>
      </c>
      <c r="W250" s="1033">
        <f>Möblierungsschablone!$I$66</f>
        <v>1.4400000000000002</v>
      </c>
      <c r="X250" s="1200"/>
      <c r="Y250" s="1033"/>
      <c r="Z250" s="1214"/>
      <c r="AA250" s="1426">
        <f>AA248/(AA249*S221)</f>
        <v>0.75096899224806213</v>
      </c>
      <c r="AB250" s="1214"/>
      <c r="AC250" s="1426">
        <f>AC248/(AC249*S221)</f>
        <v>0.86046511627906974</v>
      </c>
      <c r="AD250" s="1200" t="s">
        <v>2038</v>
      </c>
      <c r="AE250" s="1033">
        <f>Möblierungsschablone!$G$66</f>
        <v>4.5</v>
      </c>
      <c r="AG250" s="1436"/>
      <c r="AH250" s="1200"/>
      <c r="AI250" s="1427"/>
      <c r="AJ250" s="1200"/>
      <c r="AK250" s="1427"/>
      <c r="AL250" s="1200" t="s">
        <v>2037</v>
      </c>
      <c r="AM250" s="1033">
        <f>Möblierungsschablone!$I$66</f>
        <v>1.4400000000000002</v>
      </c>
      <c r="AN250" s="1200"/>
      <c r="AO250" s="1033"/>
      <c r="AP250" s="1214"/>
      <c r="AQ250" s="1426">
        <f>AQ248/(AQ249*AI221)</f>
        <v>0.70679434564523491</v>
      </c>
      <c r="AR250" s="1214"/>
      <c r="AS250" s="1426">
        <f>AS248/(AS249*AI221)</f>
        <v>0.80984952120383047</v>
      </c>
      <c r="AT250" s="1200" t="s">
        <v>2038</v>
      </c>
      <c r="AU250" s="1033">
        <f>Möblierungsschablone!$G$66</f>
        <v>4.5</v>
      </c>
      <c r="AW250" s="1404"/>
      <c r="AX250" s="1200"/>
      <c r="AY250" s="1427"/>
      <c r="AZ250" s="1200"/>
      <c r="BA250" s="1427"/>
      <c r="BB250" s="1200" t="s">
        <v>2037</v>
      </c>
      <c r="BC250" s="1033">
        <f>Möblierungsschablone!$I$66</f>
        <v>1.4400000000000002</v>
      </c>
      <c r="BD250" s="1200"/>
      <c r="BE250" s="1033"/>
      <c r="BF250" s="1214"/>
      <c r="BG250" s="1426">
        <f>BG248/(BG249*AY221)</f>
        <v>0.65539112050739967</v>
      </c>
      <c r="BH250" s="1214"/>
      <c r="BI250" s="1426">
        <f>BI248/(BI249*AY221)</f>
        <v>0.75095137420718816</v>
      </c>
      <c r="BJ250" s="1200" t="s">
        <v>2038</v>
      </c>
      <c r="BK250" s="1033">
        <f>Möblierungsschablone!$G$66</f>
        <v>4.5</v>
      </c>
      <c r="BM250" s="1436"/>
      <c r="BN250" s="1200"/>
      <c r="BO250" s="1427"/>
      <c r="BP250" s="1200"/>
      <c r="BQ250" s="1427"/>
      <c r="BR250" s="1200"/>
      <c r="BS250" s="1427"/>
      <c r="BT250" s="1200"/>
      <c r="BU250" s="1033"/>
      <c r="BV250" s="1433"/>
      <c r="BW250" s="1427"/>
      <c r="BX250" s="1433"/>
      <c r="BY250" s="1427"/>
      <c r="BZ250" s="1200"/>
      <c r="CA250" s="1426">
        <f>CA248/(CA249*BO221)</f>
        <v>0.77947072975140352</v>
      </c>
      <c r="CC250" s="701"/>
      <c r="CD250" s="701"/>
      <c r="CE250" s="1039"/>
      <c r="CF250" s="701"/>
      <c r="CG250" s="1039"/>
      <c r="CH250" s="701"/>
      <c r="CI250" s="1039"/>
      <c r="CJ250" s="701"/>
      <c r="CK250" s="1039"/>
      <c r="CL250" s="701"/>
      <c r="CM250" s="1039"/>
      <c r="CN250" s="701"/>
      <c r="CO250" s="1039"/>
      <c r="CP250" s="701"/>
      <c r="CQ250" s="1039"/>
    </row>
    <row r="251" spans="1:95" ht="15.75" customHeight="1">
      <c r="A251" s="1436"/>
      <c r="B251" s="1404"/>
      <c r="C251" s="1033"/>
      <c r="D251" s="1404"/>
      <c r="E251" s="1033"/>
      <c r="F251" s="1404"/>
      <c r="G251" s="1033"/>
      <c r="H251" s="1404"/>
      <c r="I251" s="1033"/>
      <c r="J251" s="1404"/>
      <c r="K251" s="1033"/>
      <c r="L251" s="1404"/>
      <c r="M251" s="1033"/>
      <c r="N251" s="1404"/>
      <c r="O251" s="1033">
        <f>Möblierungsschablone!$I$66</f>
        <v>1.4400000000000002</v>
      </c>
      <c r="Q251" s="1436"/>
      <c r="R251" s="1200"/>
      <c r="S251" s="1033"/>
      <c r="T251" s="1200"/>
      <c r="U251" s="1033"/>
      <c r="V251" s="1200"/>
      <c r="W251" s="1033"/>
      <c r="X251" s="1200"/>
      <c r="Y251" s="1033"/>
      <c r="Z251" s="1214"/>
      <c r="AA251" s="1427"/>
      <c r="AB251" s="1214"/>
      <c r="AC251" s="1427"/>
      <c r="AD251" s="1200" t="s">
        <v>2037</v>
      </c>
      <c r="AE251" s="1033">
        <f>Möblierungsschablone!$I$66</f>
        <v>1.4400000000000002</v>
      </c>
      <c r="AG251" s="1436"/>
      <c r="AH251" s="1200"/>
      <c r="AI251" s="1427"/>
      <c r="AJ251" s="1200"/>
      <c r="AK251" s="1427"/>
      <c r="AL251" s="1200"/>
      <c r="AM251" s="1033"/>
      <c r="AN251" s="1200"/>
      <c r="AO251" s="1033"/>
      <c r="AP251" s="1214"/>
      <c r="AQ251" s="1427"/>
      <c r="AR251" s="1214"/>
      <c r="AS251" s="1427"/>
      <c r="AT251" s="1200" t="s">
        <v>2037</v>
      </c>
      <c r="AU251" s="1033">
        <f>Möblierungsschablone!$I$66</f>
        <v>1.4400000000000002</v>
      </c>
      <c r="AW251" s="1404"/>
      <c r="AX251" s="1200"/>
      <c r="AY251" s="1427"/>
      <c r="AZ251" s="1200"/>
      <c r="BA251" s="1427"/>
      <c r="BB251" s="1200"/>
      <c r="BC251" s="1033"/>
      <c r="BD251" s="1200"/>
      <c r="BE251" s="1033"/>
      <c r="BF251" s="1214"/>
      <c r="BG251" s="1427"/>
      <c r="BH251" s="1214"/>
      <c r="BI251" s="1427"/>
      <c r="BJ251" s="1200" t="s">
        <v>2037</v>
      </c>
      <c r="BK251" s="1033">
        <f>Möblierungsschablone!$I$66</f>
        <v>1.4400000000000002</v>
      </c>
      <c r="BM251" s="1436"/>
      <c r="BN251" s="1200"/>
      <c r="BO251" s="1427"/>
      <c r="BP251" s="1200"/>
      <c r="BQ251" s="1427"/>
      <c r="BR251" s="1200"/>
      <c r="BS251" s="1427"/>
      <c r="BT251" s="1200"/>
      <c r="BU251" s="1033"/>
      <c r="BV251" s="1433"/>
      <c r="BW251" s="1427"/>
      <c r="BX251" s="1433"/>
      <c r="BY251" s="1427"/>
      <c r="BZ251" s="1200"/>
      <c r="CA251" s="1427"/>
      <c r="CC251" s="701"/>
      <c r="CD251" s="701"/>
      <c r="CE251" s="1039"/>
      <c r="CF251" s="701"/>
      <c r="CG251" s="1039"/>
      <c r="CH251" s="701"/>
      <c r="CI251" s="1039"/>
      <c r="CJ251" s="701"/>
      <c r="CK251" s="1039"/>
      <c r="CL251" s="701"/>
      <c r="CM251" s="1039"/>
      <c r="CN251" s="701"/>
      <c r="CO251" s="1039"/>
      <c r="CP251" s="701"/>
      <c r="CQ251" s="1039"/>
    </row>
    <row r="252" spans="1:95" ht="15.75" customHeight="1">
      <c r="A252" s="1436"/>
      <c r="B252" s="1404"/>
      <c r="C252" s="1034">
        <f>SUM(C249:C250)</f>
        <v>4.08</v>
      </c>
      <c r="D252" s="1404"/>
      <c r="E252" s="1034">
        <f>SUM(E249:E250)</f>
        <v>4.08</v>
      </c>
      <c r="F252" s="1404"/>
      <c r="G252" s="1034">
        <f>SUM(G249:G250)</f>
        <v>5.5200000000000005</v>
      </c>
      <c r="H252" s="1404"/>
      <c r="I252" s="1034">
        <f>SUM(I249:I250)</f>
        <v>8.16</v>
      </c>
      <c r="J252" s="1404"/>
      <c r="K252" s="1034">
        <f>SUM(K249:K250)</f>
        <v>8.16</v>
      </c>
      <c r="L252" s="1404"/>
      <c r="M252" s="1034">
        <f>SUM(M249:M250)</f>
        <v>8.58</v>
      </c>
      <c r="N252" s="1404"/>
      <c r="O252" s="1034">
        <f>SUM(O249:O251)</f>
        <v>10.02</v>
      </c>
      <c r="Q252" s="1436"/>
      <c r="R252" s="1201" t="s">
        <v>2036</v>
      </c>
      <c r="S252" s="1034">
        <f>SUM(S249:S250)</f>
        <v>4.08</v>
      </c>
      <c r="T252" s="1201" t="s">
        <v>2036</v>
      </c>
      <c r="U252" s="1034">
        <f>SUM(U249:U250)</f>
        <v>4.08</v>
      </c>
      <c r="V252" s="1201" t="s">
        <v>2036</v>
      </c>
      <c r="W252" s="1034">
        <f>SUM(W249:W250)</f>
        <v>5.5200000000000005</v>
      </c>
      <c r="X252" s="1201" t="s">
        <v>2036</v>
      </c>
      <c r="Y252" s="1034">
        <f>SUM(Y249:Y250)</f>
        <v>8.16</v>
      </c>
      <c r="Z252" s="1214"/>
      <c r="AA252" s="1427"/>
      <c r="AB252" s="1214"/>
      <c r="AC252" s="1427"/>
      <c r="AD252" s="1201" t="s">
        <v>2036</v>
      </c>
      <c r="AE252" s="1034">
        <f>SUM(AE249:AE251)</f>
        <v>10.02</v>
      </c>
      <c r="AG252" s="1436"/>
      <c r="AH252" s="1200"/>
      <c r="AI252" s="1427"/>
      <c r="AJ252" s="1200"/>
      <c r="AK252" s="1427"/>
      <c r="AL252" s="1201" t="s">
        <v>2036</v>
      </c>
      <c r="AM252" s="1034">
        <f>SUM(AM249:AM250)</f>
        <v>5.5200000000000005</v>
      </c>
      <c r="AN252" s="1201" t="s">
        <v>2036</v>
      </c>
      <c r="AO252" s="1034">
        <f>SUM(AO249:AO250)</f>
        <v>8.16</v>
      </c>
      <c r="AP252" s="1214"/>
      <c r="AQ252" s="1427"/>
      <c r="AR252" s="1214"/>
      <c r="AS252" s="1427"/>
      <c r="AT252" s="1201" t="s">
        <v>2036</v>
      </c>
      <c r="AU252" s="1034">
        <f>SUM(AU249:AU251)</f>
        <v>10.02</v>
      </c>
      <c r="AW252" s="1404"/>
      <c r="AX252" s="1200"/>
      <c r="AY252" s="1427"/>
      <c r="AZ252" s="1200"/>
      <c r="BA252" s="1427"/>
      <c r="BB252" s="1201" t="s">
        <v>2036</v>
      </c>
      <c r="BC252" s="1034">
        <f>SUM(BC249:BC250)</f>
        <v>5.5200000000000005</v>
      </c>
      <c r="BD252" s="1201" t="s">
        <v>2036</v>
      </c>
      <c r="BE252" s="1034">
        <f>SUM(BE249:BE250)</f>
        <v>8.16</v>
      </c>
      <c r="BF252" s="1214"/>
      <c r="BG252" s="1427"/>
      <c r="BH252" s="1214"/>
      <c r="BI252" s="1427"/>
      <c r="BJ252" s="1201" t="s">
        <v>2036</v>
      </c>
      <c r="BK252" s="1034">
        <f>SUM(BK249:BK251)</f>
        <v>10.02</v>
      </c>
      <c r="BM252" s="1436"/>
      <c r="BN252" s="1200"/>
      <c r="BO252" s="1427"/>
      <c r="BP252" s="1200"/>
      <c r="BQ252" s="1427"/>
      <c r="BR252" s="1200"/>
      <c r="BS252" s="1427"/>
      <c r="BT252" s="1201" t="s">
        <v>2036</v>
      </c>
      <c r="BU252" s="1034">
        <f>SUM(BU249:BU250)</f>
        <v>8.16</v>
      </c>
      <c r="BV252" s="1433"/>
      <c r="BW252" s="1427"/>
      <c r="BX252" s="1433"/>
      <c r="BY252" s="1427"/>
      <c r="BZ252" s="1201"/>
      <c r="CA252" s="1427"/>
      <c r="CC252" s="701"/>
      <c r="CD252" s="701"/>
      <c r="CE252" s="1193"/>
      <c r="CF252" s="701"/>
      <c r="CG252" s="1193"/>
      <c r="CH252" s="701"/>
      <c r="CI252" s="1193"/>
      <c r="CJ252" s="701"/>
      <c r="CK252" s="1193"/>
      <c r="CL252" s="701"/>
      <c r="CM252" s="1193"/>
      <c r="CN252" s="701"/>
      <c r="CO252" s="1193"/>
      <c r="CP252" s="701"/>
      <c r="CQ252" s="1193"/>
    </row>
    <row r="253" spans="1:95" ht="15.75" customHeight="1">
      <c r="A253" s="1436"/>
      <c r="B253" s="1404"/>
      <c r="C253" s="1032">
        <v>1</v>
      </c>
      <c r="D253" s="1404"/>
      <c r="E253" s="1032">
        <v>1</v>
      </c>
      <c r="F253" s="1404"/>
      <c r="G253" s="1032">
        <v>1</v>
      </c>
      <c r="H253" s="1404"/>
      <c r="I253" s="1032">
        <v>1</v>
      </c>
      <c r="J253" s="1404"/>
      <c r="K253" s="1032">
        <v>1</v>
      </c>
      <c r="L253" s="1404"/>
      <c r="M253" s="1032">
        <v>1</v>
      </c>
      <c r="N253" s="1404"/>
      <c r="O253" s="1032">
        <v>1</v>
      </c>
      <c r="Q253" s="1436"/>
      <c r="R253" s="1200" t="s">
        <v>1247</v>
      </c>
      <c r="S253" s="1032">
        <v>1</v>
      </c>
      <c r="T253" s="1200" t="s">
        <v>1247</v>
      </c>
      <c r="U253" s="1032">
        <v>1</v>
      </c>
      <c r="V253" s="1200" t="s">
        <v>1247</v>
      </c>
      <c r="W253" s="1032">
        <v>1</v>
      </c>
      <c r="X253" s="1200" t="s">
        <v>1247</v>
      </c>
      <c r="Y253" s="1032">
        <v>1</v>
      </c>
      <c r="Z253" s="1214"/>
      <c r="AA253" s="1427"/>
      <c r="AB253" s="1214"/>
      <c r="AC253" s="1427"/>
      <c r="AD253" s="1200" t="s">
        <v>1247</v>
      </c>
      <c r="AE253" s="1032">
        <v>1</v>
      </c>
      <c r="AG253" s="1436"/>
      <c r="AH253" s="1200"/>
      <c r="AI253" s="1427"/>
      <c r="AJ253" s="1200"/>
      <c r="AK253" s="1427"/>
      <c r="AL253" s="1200" t="s">
        <v>1247</v>
      </c>
      <c r="AM253" s="1032">
        <v>1</v>
      </c>
      <c r="AN253" s="1200" t="s">
        <v>1247</v>
      </c>
      <c r="AO253" s="1032">
        <v>1</v>
      </c>
      <c r="AP253" s="1214"/>
      <c r="AQ253" s="1427"/>
      <c r="AR253" s="1214"/>
      <c r="AS253" s="1427"/>
      <c r="AT253" s="1200" t="s">
        <v>1247</v>
      </c>
      <c r="AU253" s="1032">
        <v>1</v>
      </c>
      <c r="AW253" s="1404"/>
      <c r="AX253" s="1200"/>
      <c r="AY253" s="1427"/>
      <c r="AZ253" s="1200"/>
      <c r="BA253" s="1427"/>
      <c r="BB253" s="1200" t="s">
        <v>1247</v>
      </c>
      <c r="BC253" s="1032">
        <v>1</v>
      </c>
      <c r="BD253" s="1200" t="s">
        <v>1247</v>
      </c>
      <c r="BE253" s="1032">
        <v>1</v>
      </c>
      <c r="BF253" s="1214"/>
      <c r="BG253" s="1427"/>
      <c r="BH253" s="1214"/>
      <c r="BI253" s="1427"/>
      <c r="BJ253" s="1200" t="s">
        <v>1247</v>
      </c>
      <c r="BK253" s="1032">
        <v>1</v>
      </c>
      <c r="BM253" s="1436"/>
      <c r="BN253" s="1200"/>
      <c r="BO253" s="1427"/>
      <c r="BP253" s="1200"/>
      <c r="BQ253" s="1427"/>
      <c r="BR253" s="1200"/>
      <c r="BS253" s="1427"/>
      <c r="BT253" s="1200" t="s">
        <v>1247</v>
      </c>
      <c r="BU253" s="1032">
        <v>1</v>
      </c>
      <c r="BV253" s="1433"/>
      <c r="BW253" s="1427"/>
      <c r="BX253" s="1433"/>
      <c r="BY253" s="1427"/>
      <c r="BZ253" s="1200"/>
      <c r="CA253" s="1427"/>
      <c r="CC253" s="701"/>
      <c r="CD253" s="701"/>
      <c r="CE253" s="763"/>
      <c r="CF253" s="701"/>
      <c r="CG253" s="763"/>
      <c r="CH253" s="701"/>
      <c r="CI253" s="763"/>
      <c r="CJ253" s="701"/>
      <c r="CK253" s="763"/>
      <c r="CL253" s="701"/>
      <c r="CM253" s="763"/>
      <c r="CN253" s="701"/>
      <c r="CO253" s="763"/>
      <c r="CP253" s="701"/>
      <c r="CQ253" s="763"/>
    </row>
    <row r="254" spans="1:95" ht="72" customHeight="1">
      <c r="A254" s="1436"/>
      <c r="B254" s="1404"/>
      <c r="C254" s="1030">
        <f>C252/(C253*C221)</f>
        <v>0.22065981611681992</v>
      </c>
      <c r="D254" s="1404"/>
      <c r="E254" s="1030">
        <f>E252/(E253*C221)</f>
        <v>0.22065981611681992</v>
      </c>
      <c r="F254" s="1404"/>
      <c r="G254" s="1030">
        <f>G252/(G253*C221)</f>
        <v>0.29853975121687404</v>
      </c>
      <c r="H254" s="1404"/>
      <c r="I254" s="1030">
        <f>I252/(I253*C221)</f>
        <v>0.44131963223363985</v>
      </c>
      <c r="J254" s="1404"/>
      <c r="K254" s="1030">
        <f>K252/(K253*C221)</f>
        <v>0.44131963223363985</v>
      </c>
      <c r="L254" s="1404"/>
      <c r="M254" s="1030">
        <f>M252/(M253*C221)</f>
        <v>0.46403461330448897</v>
      </c>
      <c r="N254" s="1404"/>
      <c r="O254" s="1030">
        <f>O252/(O253*C221)</f>
        <v>0.54191454840454301</v>
      </c>
      <c r="Q254" s="1436"/>
      <c r="R254" s="1202"/>
      <c r="S254" s="1030">
        <f>S252/(S253*S221)</f>
        <v>0.19767441860465121</v>
      </c>
      <c r="T254" s="1202"/>
      <c r="U254" s="1030">
        <f>U252/(U253*S221)</f>
        <v>0.19767441860465121</v>
      </c>
      <c r="V254" s="1202"/>
      <c r="W254" s="1030">
        <f>W252/(W253*S221)</f>
        <v>0.26744186046511637</v>
      </c>
      <c r="X254" s="1202"/>
      <c r="Y254" s="1030">
        <f>Y252/(Y253*S221)</f>
        <v>0.39534883720930242</v>
      </c>
      <c r="Z254" s="1204"/>
      <c r="AA254" s="1428"/>
      <c r="AB254" s="1204"/>
      <c r="AC254" s="1428"/>
      <c r="AD254" s="1202"/>
      <c r="AE254" s="1030">
        <f>AE252/(AE253*S221)</f>
        <v>0.4854651162790698</v>
      </c>
      <c r="AG254" s="1436"/>
      <c r="AH254" s="1202"/>
      <c r="AI254" s="1428"/>
      <c r="AJ254" s="1202"/>
      <c r="AK254" s="1428"/>
      <c r="AL254" s="1202"/>
      <c r="AM254" s="1030">
        <f>AM252/(AM253*AI221)</f>
        <v>0.25170998632010949</v>
      </c>
      <c r="AN254" s="1202"/>
      <c r="AO254" s="1030">
        <f>AO252/(AO253*AI221)</f>
        <v>0.372093023255814</v>
      </c>
      <c r="AP254" s="1204"/>
      <c r="AQ254" s="1428"/>
      <c r="AR254" s="1204"/>
      <c r="AS254" s="1428"/>
      <c r="AT254" s="1202"/>
      <c r="AU254" s="1030">
        <f>AU252/(AU253*AI221)</f>
        <v>0.45690834473324221</v>
      </c>
      <c r="AW254" s="1404"/>
      <c r="AX254" s="1202"/>
      <c r="AY254" s="1428"/>
      <c r="AZ254" s="1202"/>
      <c r="BA254" s="1428"/>
      <c r="BB254" s="1202"/>
      <c r="BC254" s="1030">
        <f>BC252/(BC253*AY221)</f>
        <v>0.23340380549682879</v>
      </c>
      <c r="BD254" s="1202"/>
      <c r="BE254" s="1030">
        <f>BE252/(BE253*AY221)</f>
        <v>0.34503171247357295</v>
      </c>
      <c r="BF254" s="1204"/>
      <c r="BG254" s="1428"/>
      <c r="BH254" s="1204"/>
      <c r="BI254" s="1428"/>
      <c r="BJ254" s="1202"/>
      <c r="BK254" s="1030">
        <f>BK252/(BK253*AY221)</f>
        <v>0.42367864693446089</v>
      </c>
      <c r="BM254" s="1436"/>
      <c r="BN254" s="1202"/>
      <c r="BO254" s="1428"/>
      <c r="BP254" s="1202"/>
      <c r="BQ254" s="1428"/>
      <c r="BR254" s="1202"/>
      <c r="BS254" s="1428"/>
      <c r="BT254" s="1202"/>
      <c r="BU254" s="1030">
        <f>BU252/(BU253*BO221)</f>
        <v>0.32718524458700887</v>
      </c>
      <c r="BV254" s="1434"/>
      <c r="BW254" s="1428"/>
      <c r="BX254" s="1434"/>
      <c r="BY254" s="1428"/>
      <c r="BZ254" s="1202"/>
      <c r="CA254" s="1428"/>
      <c r="CC254" s="701"/>
      <c r="CD254" s="701"/>
      <c r="CE254" s="1146"/>
      <c r="CF254" s="701"/>
      <c r="CG254" s="1146"/>
      <c r="CH254" s="701"/>
      <c r="CI254" s="1146"/>
      <c r="CJ254" s="701"/>
      <c r="CK254" s="1146"/>
      <c r="CL254" s="701"/>
      <c r="CM254" s="1146"/>
      <c r="CN254" s="701"/>
      <c r="CO254" s="1146"/>
      <c r="CP254" s="701"/>
      <c r="CQ254" s="1146"/>
    </row>
    <row r="255" spans="1:95" ht="15.75" customHeight="1">
      <c r="A255" s="1429" t="s">
        <v>1472</v>
      </c>
      <c r="B255" s="1414"/>
      <c r="C255" s="1033"/>
      <c r="D255" s="1414"/>
      <c r="E255" s="1033"/>
      <c r="F255" s="1414"/>
      <c r="G255" s="1032"/>
      <c r="H255" s="1414"/>
      <c r="I255" s="1032"/>
      <c r="J255" s="1414"/>
      <c r="K255" s="1032"/>
      <c r="L255" s="1414"/>
      <c r="M255" s="1032"/>
      <c r="N255" s="1203" t="s">
        <v>2035</v>
      </c>
      <c r="O255" s="1032">
        <v>1</v>
      </c>
      <c r="Q255" s="1429" t="s">
        <v>1472</v>
      </c>
      <c r="R255" s="1414"/>
      <c r="S255" s="1033"/>
      <c r="T255" s="1414"/>
      <c r="U255" s="1033"/>
      <c r="V255" s="1203"/>
      <c r="W255" s="1032"/>
      <c r="X255" s="1203"/>
      <c r="Y255" s="1032"/>
      <c r="Z255" s="1203"/>
      <c r="AA255" s="1032"/>
      <c r="AB255" s="1203"/>
      <c r="AC255" s="1032"/>
      <c r="AD255" s="1203"/>
      <c r="AE255" s="1032"/>
      <c r="AG255" s="1429" t="s">
        <v>1472</v>
      </c>
      <c r="AH255" s="1414"/>
      <c r="AI255" s="1033"/>
      <c r="AJ255" s="1414"/>
      <c r="AK255" s="1033"/>
      <c r="AL255" s="1203"/>
      <c r="AM255" s="1032"/>
      <c r="AN255" s="1203"/>
      <c r="AO255" s="1032"/>
      <c r="AP255" s="1203"/>
      <c r="AQ255" s="1032"/>
      <c r="AR255" s="1203"/>
      <c r="AS255" s="1032"/>
      <c r="AT255" s="1203"/>
      <c r="AU255" s="1032"/>
      <c r="AW255" s="1431" t="s">
        <v>1472</v>
      </c>
      <c r="AX255" s="1414"/>
      <c r="AY255" s="1033"/>
      <c r="AZ255" s="1414"/>
      <c r="BA255" s="1033"/>
      <c r="BB255" s="1203"/>
      <c r="BC255" s="1032"/>
      <c r="BD255" s="1203"/>
      <c r="BE255" s="1032"/>
      <c r="BF255" s="1203"/>
      <c r="BG255" s="1032"/>
      <c r="BH255" s="1203"/>
      <c r="BI255" s="1032"/>
      <c r="BJ255" s="1203"/>
      <c r="BK255" s="1032"/>
      <c r="BM255" s="1429" t="s">
        <v>1472</v>
      </c>
      <c r="BN255" s="1414"/>
      <c r="BO255" s="1033"/>
      <c r="BP255" s="1414"/>
      <c r="BQ255" s="1033"/>
      <c r="BR255" s="1203"/>
      <c r="BS255" s="1032"/>
      <c r="BT255" s="1203"/>
      <c r="BU255" s="1032"/>
      <c r="BV255" s="1203"/>
      <c r="BW255" s="1032"/>
      <c r="BX255" s="1203"/>
      <c r="BY255" s="1032"/>
      <c r="BZ255" s="1203"/>
      <c r="CA255" s="1032"/>
      <c r="CC255" s="1154"/>
      <c r="CD255" s="701"/>
      <c r="CE255" s="1039"/>
      <c r="CF255" s="701"/>
      <c r="CG255" s="1039"/>
      <c r="CH255" s="701"/>
      <c r="CI255" s="763"/>
      <c r="CJ255" s="701"/>
      <c r="CK255" s="763"/>
      <c r="CL255" s="701"/>
      <c r="CM255" s="763"/>
      <c r="CN255" s="701"/>
      <c r="CO255" s="763"/>
      <c r="CP255" s="701"/>
      <c r="CQ255" s="763"/>
    </row>
    <row r="256" spans="1:95" ht="48.75" customHeight="1">
      <c r="A256" s="1430"/>
      <c r="B256" s="1416"/>
      <c r="C256" s="1031"/>
      <c r="D256" s="1416"/>
      <c r="E256" s="1031"/>
      <c r="F256" s="1416"/>
      <c r="G256" s="1030"/>
      <c r="H256" s="1416"/>
      <c r="I256" s="1030"/>
      <c r="J256" s="1416"/>
      <c r="K256" s="1030"/>
      <c r="L256" s="1416"/>
      <c r="M256" s="1030"/>
      <c r="N256" s="1204"/>
      <c r="O256" s="1030">
        <v>1</v>
      </c>
      <c r="Q256" s="1430"/>
      <c r="R256" s="1416"/>
      <c r="S256" s="1031"/>
      <c r="T256" s="1416"/>
      <c r="U256" s="1031"/>
      <c r="V256" s="1204"/>
      <c r="W256" s="1030"/>
      <c r="X256" s="1204"/>
      <c r="Y256" s="1030"/>
      <c r="Z256" s="1204"/>
      <c r="AA256" s="1030"/>
      <c r="AB256" s="1204"/>
      <c r="AC256" s="1030"/>
      <c r="AD256" s="1204"/>
      <c r="AE256" s="1030"/>
      <c r="AG256" s="1430"/>
      <c r="AH256" s="1416"/>
      <c r="AI256" s="1031"/>
      <c r="AJ256" s="1416"/>
      <c r="AK256" s="1031"/>
      <c r="AL256" s="1204"/>
      <c r="AM256" s="1030"/>
      <c r="AN256" s="1204"/>
      <c r="AO256" s="1030"/>
      <c r="AP256" s="1204"/>
      <c r="AQ256" s="1030"/>
      <c r="AR256" s="1204"/>
      <c r="AS256" s="1030"/>
      <c r="AT256" s="1204"/>
      <c r="AU256" s="1030"/>
      <c r="AW256" s="1432"/>
      <c r="AX256" s="1416"/>
      <c r="AY256" s="1031"/>
      <c r="AZ256" s="1416"/>
      <c r="BA256" s="1031"/>
      <c r="BB256" s="1204"/>
      <c r="BC256" s="1030"/>
      <c r="BD256" s="1204"/>
      <c r="BE256" s="1030"/>
      <c r="BF256" s="1204"/>
      <c r="BG256" s="1030"/>
      <c r="BH256" s="1204"/>
      <c r="BI256" s="1030"/>
      <c r="BJ256" s="1204"/>
      <c r="BK256" s="1030"/>
      <c r="BM256" s="1430"/>
      <c r="BN256" s="1416"/>
      <c r="BO256" s="1031"/>
      <c r="BP256" s="1416"/>
      <c r="BQ256" s="1031"/>
      <c r="BR256" s="1204"/>
      <c r="BS256" s="1030"/>
      <c r="BT256" s="1204"/>
      <c r="BU256" s="1030"/>
      <c r="BV256" s="1204"/>
      <c r="BW256" s="1030"/>
      <c r="BX256" s="1204"/>
      <c r="BY256" s="1030"/>
      <c r="BZ256" s="1204"/>
      <c r="CA256" s="1030"/>
      <c r="CC256" s="1154"/>
      <c r="CD256" s="701"/>
      <c r="CE256" s="1195"/>
      <c r="CF256" s="701"/>
      <c r="CG256" s="1195"/>
      <c r="CH256" s="701"/>
      <c r="CI256" s="1146"/>
      <c r="CJ256" s="701"/>
      <c r="CK256" s="1146"/>
      <c r="CL256" s="701"/>
      <c r="CM256" s="1146"/>
      <c r="CN256" s="701"/>
      <c r="CO256" s="1146"/>
      <c r="CP256" s="701"/>
      <c r="CQ256" s="1146"/>
    </row>
    <row r="257" spans="1:95" ht="15.75" customHeight="1">
      <c r="A257" s="1028" t="s">
        <v>1370</v>
      </c>
      <c r="B257" s="1028"/>
      <c r="C257" s="1029">
        <f>C253+C238+C227</f>
        <v>3</v>
      </c>
      <c r="D257" s="1028"/>
      <c r="E257" s="1029">
        <f>E255+E253+E238+E227</f>
        <v>3</v>
      </c>
      <c r="F257" s="1027"/>
      <c r="G257" s="1029">
        <f>G255+G253+G238+G227</f>
        <v>4</v>
      </c>
      <c r="H257" s="1027"/>
      <c r="I257" s="1029">
        <f>I255+I253+I247+I238+I232+I227</f>
        <v>6</v>
      </c>
      <c r="J257" s="1027"/>
      <c r="K257" s="1029">
        <f>K255+K253+K247+K242+K237+K227</f>
        <v>7</v>
      </c>
      <c r="L257" s="1027"/>
      <c r="M257" s="1029">
        <f>M255+M253+M247+M242+M237+M232+M227</f>
        <v>8</v>
      </c>
      <c r="N257" s="1027"/>
      <c r="O257" s="1029">
        <f>O255+O253+O247+O242+O237+O232+O227</f>
        <v>10</v>
      </c>
      <c r="Q257" s="1028" t="s">
        <v>1370</v>
      </c>
      <c r="R257" s="1028"/>
      <c r="S257" s="1029">
        <f>S255+S253+S238+S227</f>
        <v>3</v>
      </c>
      <c r="T257" s="1028"/>
      <c r="U257" s="1029">
        <f>U255+U253+U238+U227</f>
        <v>3</v>
      </c>
      <c r="V257" s="1027"/>
      <c r="W257" s="1029">
        <f>W255+W253+W238+W227</f>
        <v>4</v>
      </c>
      <c r="X257" s="1027"/>
      <c r="Y257" s="1029">
        <f>Y255+Y253+Y238+Y232+Y227</f>
        <v>5</v>
      </c>
      <c r="Z257" s="1027"/>
      <c r="AA257" s="1029">
        <f>AA255+AA253+AA249+AA238+AA227</f>
        <v>5</v>
      </c>
      <c r="AB257" s="1027"/>
      <c r="AC257" s="1029">
        <f>AC249+AC238+AC232+AC227</f>
        <v>6</v>
      </c>
      <c r="AD257" s="1027"/>
      <c r="AE257" s="1029">
        <f>AE255+AE253+AE247+AE238+AE232+AE227</f>
        <v>8</v>
      </c>
      <c r="AG257" s="1028" t="s">
        <v>1370</v>
      </c>
      <c r="AH257" s="1028"/>
      <c r="AI257" s="1029">
        <f>AI255+AI240+AI227</f>
        <v>2</v>
      </c>
      <c r="AJ257" s="1028"/>
      <c r="AK257" s="1029">
        <f>AK240+AK227</f>
        <v>2</v>
      </c>
      <c r="AL257" s="1027"/>
      <c r="AM257" s="1029">
        <f>AM255+AM253+AM238+AM227</f>
        <v>4</v>
      </c>
      <c r="AN257" s="1027"/>
      <c r="AO257" s="1029">
        <f>AO255+AO253+AO238+AO232+AO227</f>
        <v>5</v>
      </c>
      <c r="AP257" s="1027"/>
      <c r="AQ257" s="1029">
        <f>AQ249+AQ238+AQ227</f>
        <v>5</v>
      </c>
      <c r="AR257" s="1027"/>
      <c r="AS257" s="1029">
        <f>AS249+AS238+AS232+AS227</f>
        <v>6</v>
      </c>
      <c r="AT257" s="1027"/>
      <c r="AU257" s="1029">
        <f>AU255+AU253+AU247+AU238+AU227</f>
        <v>7</v>
      </c>
      <c r="AW257" s="1028" t="s">
        <v>1370</v>
      </c>
      <c r="AX257" s="1028"/>
      <c r="AY257" s="1029">
        <f>AY240+AY227</f>
        <v>2</v>
      </c>
      <c r="AZ257" s="1028"/>
      <c r="BA257" s="1029">
        <f>BA240+BA227</f>
        <v>2</v>
      </c>
      <c r="BB257" s="1027"/>
      <c r="BC257" s="1029">
        <f>BC255+BC253+BC238+BC227</f>
        <v>4</v>
      </c>
      <c r="BD257" s="1027"/>
      <c r="BE257" s="1029">
        <f>BE255+BE253+BE238+BE232+BE227</f>
        <v>5</v>
      </c>
      <c r="BF257" s="1027"/>
      <c r="BG257" s="1029">
        <f>BG249+BG238+BG227</f>
        <v>5</v>
      </c>
      <c r="BH257" s="1027"/>
      <c r="BI257" s="1029">
        <f>BI249+BI238+BI232+BI227</f>
        <v>6</v>
      </c>
      <c r="BJ257" s="1027"/>
      <c r="BK257" s="1029">
        <f>BK255+BK253+BK247+BK238+BK227</f>
        <v>7</v>
      </c>
      <c r="BM257" s="1028" t="s">
        <v>1370</v>
      </c>
      <c r="BN257" s="1028"/>
      <c r="BO257" s="1029">
        <f>BO255+BO240+BO227</f>
        <v>2</v>
      </c>
      <c r="BP257" s="1028"/>
      <c r="BQ257" s="1029">
        <f>BQ255+BQ240+BQ227</f>
        <v>2</v>
      </c>
      <c r="BR257" s="1027"/>
      <c r="BS257" s="1029">
        <f>BS255+BS240+BS227</f>
        <v>3</v>
      </c>
      <c r="BT257" s="1027"/>
      <c r="BU257" s="1029">
        <f>BU255+BU253+BU238+BU227</f>
        <v>4</v>
      </c>
      <c r="BV257" s="1027"/>
      <c r="BW257" s="1029">
        <f>BW255+BW247+BW238+BW227</f>
        <v>5</v>
      </c>
      <c r="BX257" s="1027"/>
      <c r="BY257" s="1029">
        <f>BY255+BY248+BY238+BY232+BY227</f>
        <v>6</v>
      </c>
      <c r="BZ257" s="1027"/>
      <c r="CA257" s="1029">
        <f>CA249+CA238+CA227</f>
        <v>6</v>
      </c>
      <c r="CE257" s="1196"/>
      <c r="CG257" s="1196"/>
      <c r="CH257" s="1197"/>
      <c r="CI257" s="1196"/>
      <c r="CJ257" s="1197"/>
      <c r="CK257" s="1196"/>
      <c r="CL257" s="1197"/>
      <c r="CM257" s="1196"/>
      <c r="CN257" s="1197"/>
      <c r="CO257" s="1196"/>
      <c r="CP257" s="1197"/>
      <c r="CQ257" s="1196"/>
    </row>
    <row r="258" spans="1:95" ht="15.75" customHeight="1">
      <c r="A258" s="1028" t="s">
        <v>1473</v>
      </c>
      <c r="B258" s="1028"/>
      <c r="C258" s="1026">
        <f>C221*C257/1</f>
        <v>55.47</v>
      </c>
      <c r="D258" s="1028"/>
      <c r="E258" s="1026">
        <f>C221*E257/2</f>
        <v>27.734999999999999</v>
      </c>
      <c r="F258" s="1027"/>
      <c r="G258" s="1026">
        <f>C221*G257/3</f>
        <v>24.653333333333332</v>
      </c>
      <c r="H258" s="1027"/>
      <c r="I258" s="1026">
        <f>C221*I257/4</f>
        <v>27.734999999999999</v>
      </c>
      <c r="J258" s="1027"/>
      <c r="K258" s="1026">
        <f>C221*K257/5</f>
        <v>25.885999999999996</v>
      </c>
      <c r="L258" s="1027"/>
      <c r="M258" s="1026">
        <f>C221*M257/5</f>
        <v>29.583999999999996</v>
      </c>
      <c r="N258" s="1027"/>
      <c r="O258" s="1026">
        <f>C221*O257/5</f>
        <v>36.979999999999997</v>
      </c>
      <c r="Q258" s="1028" t="s">
        <v>1473</v>
      </c>
      <c r="R258" s="1028"/>
      <c r="S258" s="1026">
        <f>S221*S257/1</f>
        <v>61.919999999999987</v>
      </c>
      <c r="T258" s="1028"/>
      <c r="U258" s="1026">
        <f>S221*U257/2</f>
        <v>30.959999999999994</v>
      </c>
      <c r="V258" s="1027"/>
      <c r="W258" s="1026">
        <f>S221*W257/3</f>
        <v>27.519999999999996</v>
      </c>
      <c r="X258" s="1027"/>
      <c r="Y258" s="1026">
        <f>S221*Y257/4</f>
        <v>25.799999999999997</v>
      </c>
      <c r="Z258" s="1027"/>
      <c r="AA258" s="1026">
        <f>S221*AA257/5</f>
        <v>20.639999999999997</v>
      </c>
      <c r="AB258" s="1027"/>
      <c r="AC258" s="1026">
        <f>S221*AC257/5</f>
        <v>24.767999999999994</v>
      </c>
      <c r="AD258" s="1027"/>
      <c r="AE258" s="1026">
        <f>S221*AE257/5</f>
        <v>33.023999999999994</v>
      </c>
      <c r="AG258" s="1028" t="s">
        <v>1473</v>
      </c>
      <c r="AH258" s="1028"/>
      <c r="AI258" s="1026">
        <f>AI221*AI257/1</f>
        <v>43.859999999999992</v>
      </c>
      <c r="AJ258" s="1028"/>
      <c r="AK258" s="1026">
        <f>AI221*AK257/2</f>
        <v>21.929999999999996</v>
      </c>
      <c r="AL258" s="1027"/>
      <c r="AM258" s="1026">
        <f>AI221*AM257/3</f>
        <v>29.239999999999995</v>
      </c>
      <c r="AN258" s="1027"/>
      <c r="AO258" s="1026">
        <f>AI221*AO257/4</f>
        <v>27.412499999999994</v>
      </c>
      <c r="AP258" s="1027"/>
      <c r="AQ258" s="1026">
        <f>AI221*AQ257/5</f>
        <v>21.929999999999996</v>
      </c>
      <c r="AR258" s="1027"/>
      <c r="AS258" s="1026">
        <f>AI221*AS257/5</f>
        <v>26.315999999999995</v>
      </c>
      <c r="AT258" s="1027"/>
      <c r="AU258" s="1026">
        <f>AI221*AU257/5</f>
        <v>30.701999999999991</v>
      </c>
      <c r="AW258" s="1028" t="s">
        <v>1473</v>
      </c>
      <c r="AX258" s="1028"/>
      <c r="AY258" s="1026">
        <f>AY221*AY257/1</f>
        <v>47.3</v>
      </c>
      <c r="AZ258" s="1028"/>
      <c r="BA258" s="1026">
        <f>AY221*BA257/2</f>
        <v>23.65</v>
      </c>
      <c r="BB258" s="1027"/>
      <c r="BC258" s="1026">
        <f>AY221*BC257/3</f>
        <v>31.533333333333331</v>
      </c>
      <c r="BD258" s="1027"/>
      <c r="BE258" s="1026">
        <f>AY221*BE257/4</f>
        <v>29.5625</v>
      </c>
      <c r="BF258" s="1027"/>
      <c r="BG258" s="1026">
        <f>AY221*BG257/5</f>
        <v>23.65</v>
      </c>
      <c r="BH258" s="1027"/>
      <c r="BI258" s="1026">
        <f>AY221*BI257/5</f>
        <v>28.379999999999995</v>
      </c>
      <c r="BJ258" s="1027"/>
      <c r="BK258" s="1026">
        <f>AY221*BK257/5</f>
        <v>33.11</v>
      </c>
      <c r="BM258" s="1028" t="s">
        <v>1473</v>
      </c>
      <c r="BN258" s="1028"/>
      <c r="BO258" s="1026">
        <f>(BO221*BO257)/1</f>
        <v>49.879999999999995</v>
      </c>
      <c r="BP258" s="1028"/>
      <c r="BQ258" s="1026">
        <f>BO221*BQ257/2</f>
        <v>24.939999999999998</v>
      </c>
      <c r="BR258" s="1027"/>
      <c r="BS258" s="1026">
        <f>BO221*BS257/3</f>
        <v>24.939999999999998</v>
      </c>
      <c r="BT258" s="1027"/>
      <c r="BU258" s="1026">
        <f>BO221*BU257/4</f>
        <v>24.939999999999998</v>
      </c>
      <c r="BV258" s="1027"/>
      <c r="BW258" s="1026">
        <f>BO221*BW257/5</f>
        <v>24.939999999999998</v>
      </c>
      <c r="BX258" s="1027"/>
      <c r="BY258" s="1026">
        <f>BO221*BY257/5</f>
        <v>29.927999999999997</v>
      </c>
      <c r="BZ258" s="1027"/>
      <c r="CA258" s="1026">
        <f>BO221*CA257/5</f>
        <v>29.927999999999997</v>
      </c>
      <c r="CE258" s="1198"/>
      <c r="CG258" s="1198"/>
      <c r="CH258" s="1197"/>
      <c r="CI258" s="1198"/>
      <c r="CJ258" s="1197"/>
      <c r="CK258" s="1198"/>
      <c r="CL258" s="1197"/>
      <c r="CM258" s="1198"/>
      <c r="CN258" s="1197"/>
      <c r="CO258" s="1198"/>
      <c r="CP258" s="1197"/>
      <c r="CQ258" s="1198"/>
    </row>
    <row r="259" spans="1:95" ht="15.75" customHeight="1">
      <c r="C259" s="1205">
        <f>C252+C237+C226</f>
        <v>22.274999999999999</v>
      </c>
      <c r="D259" s="1206">
        <f>E252+E237+E226</f>
        <v>26.805</v>
      </c>
      <c r="E259" s="1206">
        <f>G237+G226+G252</f>
        <v>41.67</v>
      </c>
      <c r="F259" s="1207">
        <f>I252+I246+I237+I231+I226</f>
        <v>54.84</v>
      </c>
      <c r="G259" s="1207">
        <f>K252+K246+K236+K226+K241</f>
        <v>65.75</v>
      </c>
      <c r="H259" s="1207">
        <f>M252+M246+M241+M236+M231+M226</f>
        <v>82.95</v>
      </c>
      <c r="I259" s="1207">
        <f>O252+O246+O241+O236+O231+O226+C221</f>
        <v>122.13999999999999</v>
      </c>
      <c r="S259" s="1205">
        <f>S252+S237+S226</f>
        <v>22.274999999999999</v>
      </c>
      <c r="T259" s="1206">
        <f>U252+U237+U226</f>
        <v>26.805</v>
      </c>
      <c r="U259" s="1206">
        <f>W237+W226+W252</f>
        <v>41.76</v>
      </c>
      <c r="V259" s="1207">
        <f>Y252+Y237+Y231+Y226</f>
        <v>54.84</v>
      </c>
      <c r="W259" s="1207">
        <f>AA248+AA237+AA226</f>
        <v>65.75</v>
      </c>
      <c r="X259" s="1207">
        <f>AC248+AC237+AC231+AC226</f>
        <v>82.95</v>
      </c>
      <c r="Y259" s="1207">
        <f>AE252+AE246+AE237+AE231+AE226</f>
        <v>92.52</v>
      </c>
      <c r="AI259" s="1205">
        <f>AI239+AI226</f>
        <v>22.274999999999999</v>
      </c>
      <c r="AJ259" s="1206">
        <f>AK239+AK226</f>
        <v>26.805</v>
      </c>
      <c r="AK259" s="1206">
        <f>AM237+AM226+AM252</f>
        <v>41.76</v>
      </c>
      <c r="AL259" s="1207">
        <f>AO252+AO237+AO231+AO226</f>
        <v>54.84</v>
      </c>
      <c r="AM259" s="1207">
        <f>AQ248+AQ237+AQ226</f>
        <v>65.75</v>
      </c>
      <c r="AN259" s="1207">
        <f>AS248+AS237+AS231+AS226</f>
        <v>82.95</v>
      </c>
      <c r="AO259" s="1207">
        <f>AU252+AU246+AU237+AU226</f>
        <v>92.52</v>
      </c>
      <c r="AY259" s="1205">
        <f>AY239+AY226</f>
        <v>22.274999999999999</v>
      </c>
      <c r="AZ259" s="1206">
        <f>BA239+BA226</f>
        <v>26.805</v>
      </c>
      <c r="BA259" s="1206">
        <f>BC237+BC226+BC252</f>
        <v>41.76</v>
      </c>
      <c r="BB259" s="1207">
        <f>BE252+BE237+BE231+BE226</f>
        <v>54.84</v>
      </c>
      <c r="BC259" s="1207">
        <f>BG248+BG237+BG226</f>
        <v>65.75</v>
      </c>
      <c r="BD259" s="1207">
        <f>BI248+BI237+BI231+BI226</f>
        <v>82.95</v>
      </c>
      <c r="BE259" s="1207">
        <f>BK252+BK246+BK237+BK226</f>
        <v>92.52</v>
      </c>
      <c r="BO259" s="1205">
        <f>BO239+BO226</f>
        <v>22.274999999999999</v>
      </c>
      <c r="BP259" s="1206">
        <f>BQ239+BQ226</f>
        <v>26.805</v>
      </c>
      <c r="BQ259" s="1206">
        <f>BS239+BS226</f>
        <v>41.76</v>
      </c>
      <c r="BR259" s="1207">
        <f>BU252+BU237+BU226</f>
        <v>54.84</v>
      </c>
      <c r="BS259" s="1207">
        <f>BW246+BW237+BW226</f>
        <v>65.75</v>
      </c>
      <c r="BT259" s="1207">
        <f>BY247+BY237+BY231+BY226</f>
        <v>82.95</v>
      </c>
      <c r="BU259" s="1207">
        <f>CA248+CA237+CA226</f>
        <v>92.52000000000001</v>
      </c>
    </row>
  </sheetData>
  <sheetProtection algorithmName="SHA-512" hashValue="ASU3P5FOrZlkw/Uzit4N7ZWisveFvn1ixLiIc+vruianRhVszVEg4/mKkLYt7OsZBxNUTddC+/l+hjh8OffJoQ==" saltValue="R85nt/n6tf2EBxS5aBPMIw==" spinCount="100000" sheet="1" objects="1" scenarios="1"/>
  <mergeCells count="1935">
    <mergeCell ref="AX7:AY7"/>
    <mergeCell ref="AZ7:BA7"/>
    <mergeCell ref="Z7:AA7"/>
    <mergeCell ref="AB7:AC7"/>
    <mergeCell ref="AD7:AE7"/>
    <mergeCell ref="AH7:AI7"/>
    <mergeCell ref="AJ7:AK7"/>
    <mergeCell ref="AL7:AM7"/>
    <mergeCell ref="L7:M7"/>
    <mergeCell ref="N7:O7"/>
    <mergeCell ref="R7:S7"/>
    <mergeCell ref="T7:U7"/>
    <mergeCell ref="V7:W7"/>
    <mergeCell ref="X7:Y7"/>
    <mergeCell ref="D3:D6"/>
    <mergeCell ref="B7:C7"/>
    <mergeCell ref="D7:E7"/>
    <mergeCell ref="F7:G7"/>
    <mergeCell ref="H7:I7"/>
    <mergeCell ref="J7:K7"/>
    <mergeCell ref="EL7:EM7"/>
    <mergeCell ref="A8:A13"/>
    <mergeCell ref="B8:B13"/>
    <mergeCell ref="D8:D13"/>
    <mergeCell ref="F8:F13"/>
    <mergeCell ref="H8:H13"/>
    <mergeCell ref="J8:J13"/>
    <mergeCell ref="DR7:DS7"/>
    <mergeCell ref="DT7:DU7"/>
    <mergeCell ref="DV7:DW7"/>
    <mergeCell ref="DZ7:EA7"/>
    <mergeCell ref="EB7:EC7"/>
    <mergeCell ref="ED7:EE7"/>
    <mergeCell ref="DD7:DE7"/>
    <mergeCell ref="DF7:DG7"/>
    <mergeCell ref="DJ7:DK7"/>
    <mergeCell ref="DL7:DM7"/>
    <mergeCell ref="DN7:DO7"/>
    <mergeCell ref="DP7:DQ7"/>
    <mergeCell ref="CP7:CQ7"/>
    <mergeCell ref="CT7:CU7"/>
    <mergeCell ref="CV7:CW7"/>
    <mergeCell ref="CX7:CY7"/>
    <mergeCell ref="CZ7:DA7"/>
    <mergeCell ref="DB7:DC7"/>
    <mergeCell ref="CD7:CE7"/>
    <mergeCell ref="CF7:CG7"/>
    <mergeCell ref="CH7:CI7"/>
    <mergeCell ref="CJ7:CK7"/>
    <mergeCell ref="CL7:CM7"/>
    <mergeCell ref="CN7:CO7"/>
    <mergeCell ref="BP7:BQ7"/>
    <mergeCell ref="DI8:DI13"/>
    <mergeCell ref="DY8:DY13"/>
    <mergeCell ref="A14:A18"/>
    <mergeCell ref="B14:B18"/>
    <mergeCell ref="D14:D18"/>
    <mergeCell ref="F14:F18"/>
    <mergeCell ref="H14:H18"/>
    <mergeCell ref="J14:J18"/>
    <mergeCell ref="L8:L13"/>
    <mergeCell ref="N8:N13"/>
    <mergeCell ref="Q8:Q13"/>
    <mergeCell ref="AG8:AG13"/>
    <mergeCell ref="AW8:AW13"/>
    <mergeCell ref="BM8:BM13"/>
    <mergeCell ref="EF7:EG7"/>
    <mergeCell ref="EH7:EI7"/>
    <mergeCell ref="EJ7:EK7"/>
    <mergeCell ref="BR7:BS7"/>
    <mergeCell ref="BT7:BU7"/>
    <mergeCell ref="BV7:BW7"/>
    <mergeCell ref="BX7:BY7"/>
    <mergeCell ref="BZ7:CA7"/>
    <mergeCell ref="BB7:BC7"/>
    <mergeCell ref="BD7:BE7"/>
    <mergeCell ref="BF7:BG7"/>
    <mergeCell ref="BH7:BI7"/>
    <mergeCell ref="BJ7:BK7"/>
    <mergeCell ref="BN7:BO7"/>
    <mergeCell ref="AN7:AO7"/>
    <mergeCell ref="AP7:AQ7"/>
    <mergeCell ref="AR7:AS7"/>
    <mergeCell ref="AT7:AU7"/>
    <mergeCell ref="CC14:CC18"/>
    <mergeCell ref="CD14:CD18"/>
    <mergeCell ref="CF14:CF18"/>
    <mergeCell ref="CS14:CS18"/>
    <mergeCell ref="AH14:AH18"/>
    <mergeCell ref="AJ14:AJ18"/>
    <mergeCell ref="AW14:AW18"/>
    <mergeCell ref="AX14:AX18"/>
    <mergeCell ref="AZ14:AZ18"/>
    <mergeCell ref="BM14:BM18"/>
    <mergeCell ref="L14:L18"/>
    <mergeCell ref="N14:N18"/>
    <mergeCell ref="Q14:Q18"/>
    <mergeCell ref="R14:R18"/>
    <mergeCell ref="T14:T18"/>
    <mergeCell ref="AG14:AG18"/>
    <mergeCell ref="CC8:CC13"/>
    <mergeCell ref="CS8:CS13"/>
    <mergeCell ref="BF19:BF23"/>
    <mergeCell ref="BH19:BH23"/>
    <mergeCell ref="AB19:AB23"/>
    <mergeCell ref="AD19:AD23"/>
    <mergeCell ref="AG19:AG23"/>
    <mergeCell ref="AL19:AL23"/>
    <mergeCell ref="AN19:AN23"/>
    <mergeCell ref="AP19:AP23"/>
    <mergeCell ref="Q19:Q23"/>
    <mergeCell ref="R19:R23"/>
    <mergeCell ref="T19:T23"/>
    <mergeCell ref="V19:V23"/>
    <mergeCell ref="X19:X23"/>
    <mergeCell ref="Z19:Z23"/>
    <mergeCell ref="DZ14:DZ18"/>
    <mergeCell ref="EB14:EB18"/>
    <mergeCell ref="A19:A23"/>
    <mergeCell ref="B19:B23"/>
    <mergeCell ref="D19:D23"/>
    <mergeCell ref="F19:F23"/>
    <mergeCell ref="H19:H23"/>
    <mergeCell ref="J19:J23"/>
    <mergeCell ref="L19:L23"/>
    <mergeCell ref="N19:N23"/>
    <mergeCell ref="CT14:CT18"/>
    <mergeCell ref="CV14:CV18"/>
    <mergeCell ref="DI14:DI18"/>
    <mergeCell ref="DJ14:DJ18"/>
    <mergeCell ref="DL14:DL18"/>
    <mergeCell ref="DY14:DY18"/>
    <mergeCell ref="BN14:BN18"/>
    <mergeCell ref="BP14:BP18"/>
    <mergeCell ref="EJ19:EJ23"/>
    <mergeCell ref="EL19:EL23"/>
    <mergeCell ref="A24:A28"/>
    <mergeCell ref="B24:B28"/>
    <mergeCell ref="D24:D28"/>
    <mergeCell ref="F24:F28"/>
    <mergeCell ref="H24:H28"/>
    <mergeCell ref="J24:J28"/>
    <mergeCell ref="L24:L28"/>
    <mergeCell ref="N24:N28"/>
    <mergeCell ref="DD19:DD23"/>
    <mergeCell ref="DF19:DF23"/>
    <mergeCell ref="DI19:DI23"/>
    <mergeCell ref="DT19:DT23"/>
    <mergeCell ref="DV19:DV23"/>
    <mergeCell ref="DY19:DY23"/>
    <mergeCell ref="CC19:CC23"/>
    <mergeCell ref="CL19:CL23"/>
    <mergeCell ref="CN19:CN23"/>
    <mergeCell ref="CP19:CP23"/>
    <mergeCell ref="CS19:CS23"/>
    <mergeCell ref="DB19:DB23"/>
    <mergeCell ref="BJ19:BJ23"/>
    <mergeCell ref="BM19:BM23"/>
    <mergeCell ref="BT19:BT23"/>
    <mergeCell ref="BV19:BV23"/>
    <mergeCell ref="BX19:BX23"/>
    <mergeCell ref="BZ19:BZ23"/>
    <mergeCell ref="AR19:AR23"/>
    <mergeCell ref="AT19:AT23"/>
    <mergeCell ref="AW19:AW23"/>
    <mergeCell ref="BD19:BD23"/>
    <mergeCell ref="AK24:AK28"/>
    <mergeCell ref="AL24:AL28"/>
    <mergeCell ref="AN24:AN28"/>
    <mergeCell ref="AP24:AP28"/>
    <mergeCell ref="AR24:AR28"/>
    <mergeCell ref="AT24:AT28"/>
    <mergeCell ref="AB24:AB28"/>
    <mergeCell ref="AD24:AD28"/>
    <mergeCell ref="AG24:AG28"/>
    <mergeCell ref="AH24:AH28"/>
    <mergeCell ref="AI24:AI28"/>
    <mergeCell ref="AJ24:AJ28"/>
    <mergeCell ref="Q24:Q28"/>
    <mergeCell ref="R24:R28"/>
    <mergeCell ref="T24:T28"/>
    <mergeCell ref="V24:V28"/>
    <mergeCell ref="X24:X28"/>
    <mergeCell ref="Z24:Z28"/>
    <mergeCell ref="BN24:BN28"/>
    <mergeCell ref="BO24:BO28"/>
    <mergeCell ref="BP24:BP28"/>
    <mergeCell ref="BQ24:BQ28"/>
    <mergeCell ref="BR24:BR28"/>
    <mergeCell ref="BS24:BS28"/>
    <mergeCell ref="BC24:BC28"/>
    <mergeCell ref="BD24:BD28"/>
    <mergeCell ref="BF24:BF28"/>
    <mergeCell ref="BH24:BH28"/>
    <mergeCell ref="BJ24:BJ28"/>
    <mergeCell ref="BM24:BM28"/>
    <mergeCell ref="AW24:AW28"/>
    <mergeCell ref="AX24:AX28"/>
    <mergeCell ref="AY24:AY28"/>
    <mergeCell ref="AZ24:AZ28"/>
    <mergeCell ref="BA24:BA28"/>
    <mergeCell ref="BB24:BB28"/>
    <mergeCell ref="CK24:CK28"/>
    <mergeCell ref="CL24:CL28"/>
    <mergeCell ref="CN24:CN28"/>
    <mergeCell ref="CP24:CP28"/>
    <mergeCell ref="CS24:CS28"/>
    <mergeCell ref="CT24:CT28"/>
    <mergeCell ref="CE24:CE28"/>
    <mergeCell ref="CF24:CF28"/>
    <mergeCell ref="CG24:CG28"/>
    <mergeCell ref="CH24:CH28"/>
    <mergeCell ref="CI24:CI28"/>
    <mergeCell ref="CJ24:CJ28"/>
    <mergeCell ref="BT24:BT28"/>
    <mergeCell ref="BV24:BV28"/>
    <mergeCell ref="BX24:BX28"/>
    <mergeCell ref="BZ24:BZ28"/>
    <mergeCell ref="CC24:CC28"/>
    <mergeCell ref="CD24:CD28"/>
    <mergeCell ref="DP24:DP28"/>
    <mergeCell ref="DN29:DN33"/>
    <mergeCell ref="DP29:DP33"/>
    <mergeCell ref="DA24:DA28"/>
    <mergeCell ref="DB24:DB28"/>
    <mergeCell ref="DD24:DD28"/>
    <mergeCell ref="DF24:DF28"/>
    <mergeCell ref="DI24:DI28"/>
    <mergeCell ref="DJ24:DJ33"/>
    <mergeCell ref="DD29:DD33"/>
    <mergeCell ref="DF29:DF33"/>
    <mergeCell ref="DI29:DI33"/>
    <mergeCell ref="CU24:CU28"/>
    <mergeCell ref="CV24:CV28"/>
    <mergeCell ref="CW24:CW28"/>
    <mergeCell ref="CX24:CX28"/>
    <mergeCell ref="CY24:CY28"/>
    <mergeCell ref="CZ24:CZ28"/>
    <mergeCell ref="A29:A33"/>
    <mergeCell ref="B29:B33"/>
    <mergeCell ref="D29:D33"/>
    <mergeCell ref="F29:F33"/>
    <mergeCell ref="H29:H33"/>
    <mergeCell ref="J29:J33"/>
    <mergeCell ref="EF24:EF28"/>
    <mergeCell ref="EG24:EG28"/>
    <mergeCell ref="EH24:EH28"/>
    <mergeCell ref="EI24:EI28"/>
    <mergeCell ref="EJ24:EJ28"/>
    <mergeCell ref="EL24:EL28"/>
    <mergeCell ref="DZ24:DZ33"/>
    <mergeCell ref="EA24:EA33"/>
    <mergeCell ref="EB24:EB33"/>
    <mergeCell ref="EC24:EC33"/>
    <mergeCell ref="ED24:ED28"/>
    <mergeCell ref="EE24:EE28"/>
    <mergeCell ref="DQ24:DQ28"/>
    <mergeCell ref="DR24:DR28"/>
    <mergeCell ref="DS24:DS28"/>
    <mergeCell ref="DT24:DT28"/>
    <mergeCell ref="DV24:DV28"/>
    <mergeCell ref="DY24:DY28"/>
    <mergeCell ref="EH29:EH33"/>
    <mergeCell ref="EJ29:EJ33"/>
    <mergeCell ref="EL29:EL33"/>
    <mergeCell ref="DK24:DK33"/>
    <mergeCell ref="DL24:DL33"/>
    <mergeCell ref="DM24:DM33"/>
    <mergeCell ref="DN24:DN28"/>
    <mergeCell ref="DO24:DO28"/>
    <mergeCell ref="AJ29:AJ33"/>
    <mergeCell ref="AL29:AL33"/>
    <mergeCell ref="AN29:AN33"/>
    <mergeCell ref="AP29:AP33"/>
    <mergeCell ref="AR29:AR33"/>
    <mergeCell ref="AT29:AT33"/>
    <mergeCell ref="X29:X33"/>
    <mergeCell ref="Z29:Z33"/>
    <mergeCell ref="AB29:AB33"/>
    <mergeCell ref="AD29:AD33"/>
    <mergeCell ref="AG29:AG33"/>
    <mergeCell ref="AH29:AH33"/>
    <mergeCell ref="L29:L33"/>
    <mergeCell ref="N29:N33"/>
    <mergeCell ref="Q29:Q33"/>
    <mergeCell ref="R29:R33"/>
    <mergeCell ref="T29:T33"/>
    <mergeCell ref="V29:V33"/>
    <mergeCell ref="BT29:BT33"/>
    <mergeCell ref="BV29:BV33"/>
    <mergeCell ref="BX29:BX33"/>
    <mergeCell ref="BZ29:BZ33"/>
    <mergeCell ref="CC29:CC33"/>
    <mergeCell ref="CD29:CD33"/>
    <mergeCell ref="BH29:BH33"/>
    <mergeCell ref="BJ29:BJ33"/>
    <mergeCell ref="BM29:BM33"/>
    <mergeCell ref="BN29:BN33"/>
    <mergeCell ref="BP29:BP33"/>
    <mergeCell ref="BR29:BR33"/>
    <mergeCell ref="AW29:AW33"/>
    <mergeCell ref="AX29:AX33"/>
    <mergeCell ref="AZ29:AZ33"/>
    <mergeCell ref="BB29:BB33"/>
    <mergeCell ref="BD29:BD33"/>
    <mergeCell ref="BF29:BF33"/>
    <mergeCell ref="DR29:DR33"/>
    <mergeCell ref="DT29:DT33"/>
    <mergeCell ref="DV29:DV33"/>
    <mergeCell ref="DY29:DY33"/>
    <mergeCell ref="ED29:ED33"/>
    <mergeCell ref="EF29:EF33"/>
    <mergeCell ref="CS29:CS33"/>
    <mergeCell ref="CT29:CT33"/>
    <mergeCell ref="CV29:CV33"/>
    <mergeCell ref="CX29:CX33"/>
    <mergeCell ref="CZ29:CZ33"/>
    <mergeCell ref="DB29:DB33"/>
    <mergeCell ref="CF29:CF33"/>
    <mergeCell ref="CH29:CH33"/>
    <mergeCell ref="CJ29:CJ33"/>
    <mergeCell ref="CL29:CL33"/>
    <mergeCell ref="CN29:CN33"/>
    <mergeCell ref="CP29:CP33"/>
    <mergeCell ref="T40:T41"/>
    <mergeCell ref="AG40:AG41"/>
    <mergeCell ref="AH40:AH41"/>
    <mergeCell ref="AJ40:AJ41"/>
    <mergeCell ref="AW40:AW41"/>
    <mergeCell ref="AX40:AX41"/>
    <mergeCell ref="CD34:CD39"/>
    <mergeCell ref="CF34:CF39"/>
    <mergeCell ref="CS34:CS39"/>
    <mergeCell ref="DI34:DI39"/>
    <mergeCell ref="DY34:DY39"/>
    <mergeCell ref="A40:A41"/>
    <mergeCell ref="B40:B41"/>
    <mergeCell ref="D40:D41"/>
    <mergeCell ref="Q40:Q41"/>
    <mergeCell ref="R40:R41"/>
    <mergeCell ref="N34:N39"/>
    <mergeCell ref="Q34:Q39"/>
    <mergeCell ref="AG34:AG39"/>
    <mergeCell ref="AW34:AW39"/>
    <mergeCell ref="BM34:BM39"/>
    <mergeCell ref="CC34:CC39"/>
    <mergeCell ref="A34:A39"/>
    <mergeCell ref="B34:B39"/>
    <mergeCell ref="D34:D39"/>
    <mergeCell ref="F34:F39"/>
    <mergeCell ref="H34:H39"/>
    <mergeCell ref="J34:J39"/>
    <mergeCell ref="L34:L39"/>
    <mergeCell ref="CV46:CV49"/>
    <mergeCell ref="DL46:DL49"/>
    <mergeCell ref="EB46:EB49"/>
    <mergeCell ref="B50:C50"/>
    <mergeCell ref="D50:E50"/>
    <mergeCell ref="F50:G50"/>
    <mergeCell ref="H50:I50"/>
    <mergeCell ref="J50:K50"/>
    <mergeCell ref="L50:M50"/>
    <mergeCell ref="N50:O50"/>
    <mergeCell ref="DL40:DL41"/>
    <mergeCell ref="DY40:DY41"/>
    <mergeCell ref="DZ40:DZ41"/>
    <mergeCell ref="EB40:EB41"/>
    <mergeCell ref="D46:D49"/>
    <mergeCell ref="T46:T49"/>
    <mergeCell ref="AJ46:AJ49"/>
    <mergeCell ref="AZ46:AZ49"/>
    <mergeCell ref="BP46:BP49"/>
    <mergeCell ref="CF46:CF49"/>
    <mergeCell ref="CF40:CF41"/>
    <mergeCell ref="CS40:CS41"/>
    <mergeCell ref="CT40:CT41"/>
    <mergeCell ref="CV40:CV41"/>
    <mergeCell ref="DI40:DI41"/>
    <mergeCell ref="DJ40:DJ41"/>
    <mergeCell ref="AZ40:AZ41"/>
    <mergeCell ref="BM40:BM41"/>
    <mergeCell ref="BN40:BN41"/>
    <mergeCell ref="BP40:BP41"/>
    <mergeCell ref="CC40:CC41"/>
    <mergeCell ref="CD40:CD41"/>
    <mergeCell ref="AR50:AS50"/>
    <mergeCell ref="AT50:AU50"/>
    <mergeCell ref="AX50:AY50"/>
    <mergeCell ref="AZ50:BA50"/>
    <mergeCell ref="BB50:BC50"/>
    <mergeCell ref="BD50:BE50"/>
    <mergeCell ref="AD50:AE50"/>
    <mergeCell ref="AH50:AI50"/>
    <mergeCell ref="AJ50:AK50"/>
    <mergeCell ref="AL50:AM50"/>
    <mergeCell ref="AN50:AO50"/>
    <mergeCell ref="AP50:AQ50"/>
    <mergeCell ref="R50:S50"/>
    <mergeCell ref="T50:U50"/>
    <mergeCell ref="V50:W50"/>
    <mergeCell ref="X50:Y50"/>
    <mergeCell ref="Z50:AA50"/>
    <mergeCell ref="AB50:AC50"/>
    <mergeCell ref="CZ50:DA50"/>
    <mergeCell ref="DB50:DC50"/>
    <mergeCell ref="DD50:DE50"/>
    <mergeCell ref="DF50:DG50"/>
    <mergeCell ref="CH50:CI50"/>
    <mergeCell ref="CJ50:CK50"/>
    <mergeCell ref="CL50:CM50"/>
    <mergeCell ref="CN50:CO50"/>
    <mergeCell ref="CP50:CQ50"/>
    <mergeCell ref="CT50:CU50"/>
    <mergeCell ref="BT50:BU50"/>
    <mergeCell ref="BV50:BW50"/>
    <mergeCell ref="BX50:BY50"/>
    <mergeCell ref="BZ50:CA50"/>
    <mergeCell ref="CD50:CE50"/>
    <mergeCell ref="CF50:CG50"/>
    <mergeCell ref="BF50:BG50"/>
    <mergeCell ref="BH50:BI50"/>
    <mergeCell ref="BJ50:BK50"/>
    <mergeCell ref="BN50:BO50"/>
    <mergeCell ref="BP50:BQ50"/>
    <mergeCell ref="BR50:BS50"/>
    <mergeCell ref="BM51:BM56"/>
    <mergeCell ref="CC51:CC56"/>
    <mergeCell ref="Q51:Q56"/>
    <mergeCell ref="AG51:AG56"/>
    <mergeCell ref="AW51:AW56"/>
    <mergeCell ref="AX51:AX56"/>
    <mergeCell ref="AZ51:AZ56"/>
    <mergeCell ref="BB51:BB56"/>
    <mergeCell ref="EJ50:EK50"/>
    <mergeCell ref="EL50:EM50"/>
    <mergeCell ref="A51:A56"/>
    <mergeCell ref="B51:B56"/>
    <mergeCell ref="D51:D56"/>
    <mergeCell ref="F51:F56"/>
    <mergeCell ref="H51:H56"/>
    <mergeCell ref="J51:J56"/>
    <mergeCell ref="L51:L56"/>
    <mergeCell ref="N51:N56"/>
    <mergeCell ref="DV50:DW50"/>
    <mergeCell ref="DZ50:EA50"/>
    <mergeCell ref="EB50:EC50"/>
    <mergeCell ref="ED50:EE50"/>
    <mergeCell ref="EF50:EG50"/>
    <mergeCell ref="EH50:EI50"/>
    <mergeCell ref="DJ50:DK50"/>
    <mergeCell ref="DL50:DM50"/>
    <mergeCell ref="DN50:DO50"/>
    <mergeCell ref="DP50:DQ50"/>
    <mergeCell ref="DR50:DS50"/>
    <mergeCell ref="DT50:DU50"/>
    <mergeCell ref="CV50:CW50"/>
    <mergeCell ref="CX50:CY50"/>
    <mergeCell ref="BD57:BD61"/>
    <mergeCell ref="BF57:BF61"/>
    <mergeCell ref="Q57:Q61"/>
    <mergeCell ref="R57:R61"/>
    <mergeCell ref="T57:T61"/>
    <mergeCell ref="AG57:AG61"/>
    <mergeCell ref="AH57:AH61"/>
    <mergeCell ref="AJ57:AJ61"/>
    <mergeCell ref="ED56:ED61"/>
    <mergeCell ref="EE56:EE61"/>
    <mergeCell ref="A57:A61"/>
    <mergeCell ref="B57:B61"/>
    <mergeCell ref="D57:D61"/>
    <mergeCell ref="F57:F61"/>
    <mergeCell ref="H57:H61"/>
    <mergeCell ref="J57:J61"/>
    <mergeCell ref="L57:L61"/>
    <mergeCell ref="N57:N61"/>
    <mergeCell ref="CS51:CS56"/>
    <mergeCell ref="DI51:DI56"/>
    <mergeCell ref="DY51:DY56"/>
    <mergeCell ref="CH56:CH61"/>
    <mergeCell ref="CI56:CI61"/>
    <mergeCell ref="CX56:CX61"/>
    <mergeCell ref="CY56:CY61"/>
    <mergeCell ref="DN56:DN61"/>
    <mergeCell ref="DO56:DO61"/>
    <mergeCell ref="DJ57:DJ61"/>
    <mergeCell ref="BD51:BD56"/>
    <mergeCell ref="BF51:BF56"/>
    <mergeCell ref="BH51:BH56"/>
    <mergeCell ref="BJ51:BJ56"/>
    <mergeCell ref="L62:L66"/>
    <mergeCell ref="N62:N66"/>
    <mergeCell ref="Q62:Q66"/>
    <mergeCell ref="V62:V66"/>
    <mergeCell ref="X62:X66"/>
    <mergeCell ref="Z62:Z66"/>
    <mergeCell ref="DL57:DL61"/>
    <mergeCell ref="DY57:DY61"/>
    <mergeCell ref="DZ57:DZ61"/>
    <mergeCell ref="EB57:EB61"/>
    <mergeCell ref="A62:A66"/>
    <mergeCell ref="B62:B66"/>
    <mergeCell ref="D62:D66"/>
    <mergeCell ref="F62:F66"/>
    <mergeCell ref="H62:H66"/>
    <mergeCell ref="J62:J66"/>
    <mergeCell ref="CD57:CD61"/>
    <mergeCell ref="CF57:CF61"/>
    <mergeCell ref="CS57:CS61"/>
    <mergeCell ref="CT57:CT61"/>
    <mergeCell ref="CV57:CV61"/>
    <mergeCell ref="DI57:DI61"/>
    <mergeCell ref="BH57:BH61"/>
    <mergeCell ref="BJ57:BJ61"/>
    <mergeCell ref="BM57:BM61"/>
    <mergeCell ref="BN57:BN61"/>
    <mergeCell ref="BP57:BP61"/>
    <mergeCell ref="CC57:CC61"/>
    <mergeCell ref="AW57:AW61"/>
    <mergeCell ref="AX57:AX61"/>
    <mergeCell ref="AZ57:AZ61"/>
    <mergeCell ref="BB57:BB61"/>
    <mergeCell ref="CS62:CS66"/>
    <mergeCell ref="BF62:BF66"/>
    <mergeCell ref="BH62:BH66"/>
    <mergeCell ref="BJ62:BJ66"/>
    <mergeCell ref="BM62:BM66"/>
    <mergeCell ref="BV62:BV66"/>
    <mergeCell ref="BX62:BX66"/>
    <mergeCell ref="AT62:AT66"/>
    <mergeCell ref="AW62:AW66"/>
    <mergeCell ref="AX62:AX71"/>
    <mergeCell ref="AZ62:AZ71"/>
    <mergeCell ref="BB62:BB71"/>
    <mergeCell ref="BD62:BD66"/>
    <mergeCell ref="BC67:BC71"/>
    <mergeCell ref="BD67:BD71"/>
    <mergeCell ref="AB62:AB66"/>
    <mergeCell ref="AD62:AD66"/>
    <mergeCell ref="AG62:AG66"/>
    <mergeCell ref="AN62:AN66"/>
    <mergeCell ref="AP62:AP66"/>
    <mergeCell ref="AR62:AR66"/>
    <mergeCell ref="BF67:BF71"/>
    <mergeCell ref="BH67:BH71"/>
    <mergeCell ref="BJ67:BJ71"/>
    <mergeCell ref="BM67:BM71"/>
    <mergeCell ref="BN67:BN71"/>
    <mergeCell ref="BO67:BO71"/>
    <mergeCell ref="AP67:AP71"/>
    <mergeCell ref="AR67:AR71"/>
    <mergeCell ref="AT67:AT71"/>
    <mergeCell ref="AW67:AW71"/>
    <mergeCell ref="AY67:AY71"/>
    <mergeCell ref="X67:X71"/>
    <mergeCell ref="Z67:Z71"/>
    <mergeCell ref="AB67:AB71"/>
    <mergeCell ref="AD67:AD71"/>
    <mergeCell ref="AG67:AG71"/>
    <mergeCell ref="AH67:AH71"/>
    <mergeCell ref="Q67:Q71"/>
    <mergeCell ref="R67:R71"/>
    <mergeCell ref="S67:S71"/>
    <mergeCell ref="T67:T71"/>
    <mergeCell ref="U67:U71"/>
    <mergeCell ref="V67:V71"/>
    <mergeCell ref="EJ62:EJ66"/>
    <mergeCell ref="EL62:EL66"/>
    <mergeCell ref="A67:A71"/>
    <mergeCell ref="B67:B71"/>
    <mergeCell ref="D67:D71"/>
    <mergeCell ref="F67:F71"/>
    <mergeCell ref="H67:H71"/>
    <mergeCell ref="J67:J71"/>
    <mergeCell ref="L67:L71"/>
    <mergeCell ref="N67:N71"/>
    <mergeCell ref="DD62:DD66"/>
    <mergeCell ref="DF62:DF66"/>
    <mergeCell ref="DI62:DI66"/>
    <mergeCell ref="DT62:DT66"/>
    <mergeCell ref="DV62:DV66"/>
    <mergeCell ref="DY62:DY66"/>
    <mergeCell ref="BZ62:BZ66"/>
    <mergeCell ref="CC62:CC66"/>
    <mergeCell ref="CN62:CN66"/>
    <mergeCell ref="CP62:CP66"/>
    <mergeCell ref="BA67:BA71"/>
    <mergeCell ref="AI67:AI71"/>
    <mergeCell ref="AJ67:AJ71"/>
    <mergeCell ref="AK67:AK71"/>
    <mergeCell ref="AL67:AL71"/>
    <mergeCell ref="AM67:AM71"/>
    <mergeCell ref="AN67:AN71"/>
    <mergeCell ref="CE67:CE71"/>
    <mergeCell ref="CF67:CF71"/>
    <mergeCell ref="CG67:CG71"/>
    <mergeCell ref="CH67:CH71"/>
    <mergeCell ref="CI67:CI71"/>
    <mergeCell ref="CJ67:CJ71"/>
    <mergeCell ref="BV67:BV71"/>
    <mergeCell ref="BX67:BX71"/>
    <mergeCell ref="BZ67:BZ71"/>
    <mergeCell ref="CC67:CC71"/>
    <mergeCell ref="CD67:CD71"/>
    <mergeCell ref="BP67:BP71"/>
    <mergeCell ref="BQ67:BQ71"/>
    <mergeCell ref="BR67:BR71"/>
    <mergeCell ref="BS67:BS71"/>
    <mergeCell ref="BT67:BT71"/>
    <mergeCell ref="BU67:BU71"/>
    <mergeCell ref="DL67:DL76"/>
    <mergeCell ref="DM67:DM76"/>
    <mergeCell ref="DN67:DN71"/>
    <mergeCell ref="CZ67:CZ71"/>
    <mergeCell ref="DA67:DA71"/>
    <mergeCell ref="DB67:DB71"/>
    <mergeCell ref="DC67:DC71"/>
    <mergeCell ref="DD67:DD71"/>
    <mergeCell ref="DF67:DF71"/>
    <mergeCell ref="CT67:CT76"/>
    <mergeCell ref="CU67:CU76"/>
    <mergeCell ref="CV67:CV76"/>
    <mergeCell ref="CW67:CW76"/>
    <mergeCell ref="CX67:CX71"/>
    <mergeCell ref="CY67:CY71"/>
    <mergeCell ref="CK67:CK71"/>
    <mergeCell ref="CL67:CL71"/>
    <mergeCell ref="CM67:CM71"/>
    <mergeCell ref="CN67:CN71"/>
    <mergeCell ref="CP67:CP71"/>
    <mergeCell ref="CS67:CS71"/>
    <mergeCell ref="EJ67:EJ71"/>
    <mergeCell ref="EL67:EL71"/>
    <mergeCell ref="A72:A76"/>
    <mergeCell ref="B72:B76"/>
    <mergeCell ref="D72:D76"/>
    <mergeCell ref="F72:F76"/>
    <mergeCell ref="H72:H76"/>
    <mergeCell ref="J72:J76"/>
    <mergeCell ref="L72:L76"/>
    <mergeCell ref="N72:N76"/>
    <mergeCell ref="ED67:ED71"/>
    <mergeCell ref="EE67:EE71"/>
    <mergeCell ref="EF67:EF71"/>
    <mergeCell ref="EG67:EG71"/>
    <mergeCell ref="EH67:EH71"/>
    <mergeCell ref="EI67:EI71"/>
    <mergeCell ref="DV67:DV71"/>
    <mergeCell ref="DY67:DY71"/>
    <mergeCell ref="DZ67:DZ76"/>
    <mergeCell ref="EA67:EA76"/>
    <mergeCell ref="EB67:EB76"/>
    <mergeCell ref="EC67:EC76"/>
    <mergeCell ref="DY72:DY76"/>
    <mergeCell ref="DO67:DO71"/>
    <mergeCell ref="DP67:DP71"/>
    <mergeCell ref="DQ67:DQ71"/>
    <mergeCell ref="DR67:DR71"/>
    <mergeCell ref="DS67:DS71"/>
    <mergeCell ref="DT67:DT71"/>
    <mergeCell ref="DI67:DI71"/>
    <mergeCell ref="DJ67:DJ76"/>
    <mergeCell ref="DK67:DK76"/>
    <mergeCell ref="BD72:BD76"/>
    <mergeCell ref="BF72:BF76"/>
    <mergeCell ref="BH72:BH76"/>
    <mergeCell ref="BJ72:BJ76"/>
    <mergeCell ref="AN72:AN76"/>
    <mergeCell ref="AP72:AP76"/>
    <mergeCell ref="AR72:AR76"/>
    <mergeCell ref="AT72:AT76"/>
    <mergeCell ref="AW72:AW76"/>
    <mergeCell ref="AX72:AX76"/>
    <mergeCell ref="AB72:AB76"/>
    <mergeCell ref="AD72:AD76"/>
    <mergeCell ref="AG72:AG76"/>
    <mergeCell ref="AH72:AH76"/>
    <mergeCell ref="AJ72:AJ76"/>
    <mergeCell ref="AL72:AL76"/>
    <mergeCell ref="Q72:Q76"/>
    <mergeCell ref="R72:R76"/>
    <mergeCell ref="T72:T76"/>
    <mergeCell ref="V72:V76"/>
    <mergeCell ref="X72:X76"/>
    <mergeCell ref="Z72:Z76"/>
    <mergeCell ref="EH72:EH76"/>
    <mergeCell ref="EJ72:EJ76"/>
    <mergeCell ref="EL72:EL76"/>
    <mergeCell ref="EF76:EF82"/>
    <mergeCell ref="EG76:EG82"/>
    <mergeCell ref="A77:A82"/>
    <mergeCell ref="B77:B82"/>
    <mergeCell ref="D77:D82"/>
    <mergeCell ref="F77:F82"/>
    <mergeCell ref="H77:H82"/>
    <mergeCell ref="DF72:DF76"/>
    <mergeCell ref="DI72:DI76"/>
    <mergeCell ref="DP72:DP76"/>
    <mergeCell ref="DR72:DR76"/>
    <mergeCell ref="DT72:DT76"/>
    <mergeCell ref="DV72:DV76"/>
    <mergeCell ref="CN72:CN76"/>
    <mergeCell ref="CP72:CP76"/>
    <mergeCell ref="CS72:CS76"/>
    <mergeCell ref="CZ72:CZ76"/>
    <mergeCell ref="DB72:DB76"/>
    <mergeCell ref="DD72:DD76"/>
    <mergeCell ref="BZ72:BZ76"/>
    <mergeCell ref="CC72:CC76"/>
    <mergeCell ref="CJ72:CJ76"/>
    <mergeCell ref="CL72:CL76"/>
    <mergeCell ref="BM72:BM76"/>
    <mergeCell ref="BT72:BT76"/>
    <mergeCell ref="BV72:BV76"/>
    <mergeCell ref="BX72:BX76"/>
    <mergeCell ref="AZ72:AZ76"/>
    <mergeCell ref="BB72:BB76"/>
    <mergeCell ref="EE77:EE82"/>
    <mergeCell ref="A83:A84"/>
    <mergeCell ref="B83:B84"/>
    <mergeCell ref="D83:D84"/>
    <mergeCell ref="Q83:Q84"/>
    <mergeCell ref="R83:R84"/>
    <mergeCell ref="T83:T84"/>
    <mergeCell ref="AG83:AG84"/>
    <mergeCell ref="AH83:AH84"/>
    <mergeCell ref="AJ83:AJ84"/>
    <mergeCell ref="CI77:CI82"/>
    <mergeCell ref="CS77:CS82"/>
    <mergeCell ref="CY77:CY82"/>
    <mergeCell ref="DI77:DI82"/>
    <mergeCell ref="DO77:DO82"/>
    <mergeCell ref="DY77:DY82"/>
    <mergeCell ref="BJ77:BJ82"/>
    <mergeCell ref="BM77:BM82"/>
    <mergeCell ref="BS77:BS82"/>
    <mergeCell ref="CC77:CC82"/>
    <mergeCell ref="AX77:AX82"/>
    <mergeCell ref="AZ77:AZ82"/>
    <mergeCell ref="BB77:BB82"/>
    <mergeCell ref="BD77:BD82"/>
    <mergeCell ref="BF77:BF82"/>
    <mergeCell ref="BH77:BH82"/>
    <mergeCell ref="J77:J82"/>
    <mergeCell ref="L77:L82"/>
    <mergeCell ref="N77:N82"/>
    <mergeCell ref="Q77:Q82"/>
    <mergeCell ref="AG77:AG82"/>
    <mergeCell ref="AW77:AW82"/>
    <mergeCell ref="EB83:EB84"/>
    <mergeCell ref="D89:D92"/>
    <mergeCell ref="T89:T92"/>
    <mergeCell ref="AJ89:AJ92"/>
    <mergeCell ref="AZ89:AZ92"/>
    <mergeCell ref="BP89:BP92"/>
    <mergeCell ref="CF89:CF92"/>
    <mergeCell ref="CV89:CV92"/>
    <mergeCell ref="DL89:DL92"/>
    <mergeCell ref="CV83:CV84"/>
    <mergeCell ref="DI83:DI84"/>
    <mergeCell ref="DJ83:DJ84"/>
    <mergeCell ref="DL83:DL84"/>
    <mergeCell ref="DY83:DY84"/>
    <mergeCell ref="DZ83:DZ84"/>
    <mergeCell ref="BP83:BP84"/>
    <mergeCell ref="CC83:CC84"/>
    <mergeCell ref="CD83:CD84"/>
    <mergeCell ref="CF83:CF84"/>
    <mergeCell ref="CS83:CS84"/>
    <mergeCell ref="CT83:CT84"/>
    <mergeCell ref="AW83:AW84"/>
    <mergeCell ref="AX83:AX84"/>
    <mergeCell ref="AZ83:AZ84"/>
    <mergeCell ref="BB83:BB84"/>
    <mergeCell ref="BM83:BM84"/>
    <mergeCell ref="BN83:BN84"/>
    <mergeCell ref="AB93:AC93"/>
    <mergeCell ref="AD93:AE93"/>
    <mergeCell ref="AH93:AI93"/>
    <mergeCell ref="AJ93:AK93"/>
    <mergeCell ref="AL93:AM93"/>
    <mergeCell ref="AN93:AO93"/>
    <mergeCell ref="N93:O93"/>
    <mergeCell ref="R93:S93"/>
    <mergeCell ref="T93:U93"/>
    <mergeCell ref="V93:W93"/>
    <mergeCell ref="X93:Y93"/>
    <mergeCell ref="Z93:AA93"/>
    <mergeCell ref="B93:C93"/>
    <mergeCell ref="D93:E93"/>
    <mergeCell ref="F93:G93"/>
    <mergeCell ref="H93:I93"/>
    <mergeCell ref="J93:K93"/>
    <mergeCell ref="L93:M93"/>
    <mergeCell ref="BT93:BU93"/>
    <mergeCell ref="BV93:BW93"/>
    <mergeCell ref="BX93:BY93"/>
    <mergeCell ref="BZ93:CA93"/>
    <mergeCell ref="CD93:CE93"/>
    <mergeCell ref="BD93:BE93"/>
    <mergeCell ref="BF93:BG93"/>
    <mergeCell ref="BH93:BI93"/>
    <mergeCell ref="BJ93:BK93"/>
    <mergeCell ref="BN93:BO93"/>
    <mergeCell ref="BP93:BQ93"/>
    <mergeCell ref="AP93:AQ93"/>
    <mergeCell ref="AR93:AS93"/>
    <mergeCell ref="AT93:AU93"/>
    <mergeCell ref="AX93:AY93"/>
    <mergeCell ref="AZ93:BA93"/>
    <mergeCell ref="BB93:BC93"/>
    <mergeCell ref="A105:A109"/>
    <mergeCell ref="F105:F109"/>
    <mergeCell ref="H105:H109"/>
    <mergeCell ref="DT93:DU93"/>
    <mergeCell ref="DV93:DW93"/>
    <mergeCell ref="A94:A99"/>
    <mergeCell ref="B94:B99"/>
    <mergeCell ref="D94:D99"/>
    <mergeCell ref="F94:F99"/>
    <mergeCell ref="H94:H99"/>
    <mergeCell ref="J94:J99"/>
    <mergeCell ref="L94:L99"/>
    <mergeCell ref="N94:N99"/>
    <mergeCell ref="DF93:DG93"/>
    <mergeCell ref="DJ93:DK93"/>
    <mergeCell ref="DL93:DM93"/>
    <mergeCell ref="DN93:DO93"/>
    <mergeCell ref="DP93:DQ93"/>
    <mergeCell ref="DR93:DS93"/>
    <mergeCell ref="CT93:CU93"/>
    <mergeCell ref="CV93:CW93"/>
    <mergeCell ref="CX93:CY93"/>
    <mergeCell ref="CZ93:DA93"/>
    <mergeCell ref="DB93:DC93"/>
    <mergeCell ref="DD93:DE93"/>
    <mergeCell ref="CF93:CG93"/>
    <mergeCell ref="CH93:CI93"/>
    <mergeCell ref="CJ93:CK93"/>
    <mergeCell ref="CL93:CM93"/>
    <mergeCell ref="CN93:CO93"/>
    <mergeCell ref="CP93:CQ93"/>
    <mergeCell ref="BR93:BS93"/>
    <mergeCell ref="DN99:DN104"/>
    <mergeCell ref="DO99:DO104"/>
    <mergeCell ref="A100:A104"/>
    <mergeCell ref="B100:B104"/>
    <mergeCell ref="D100:D104"/>
    <mergeCell ref="F100:F104"/>
    <mergeCell ref="H100:H104"/>
    <mergeCell ref="J100:J104"/>
    <mergeCell ref="L100:L104"/>
    <mergeCell ref="N100:N104"/>
    <mergeCell ref="DI94:DI99"/>
    <mergeCell ref="BR99:BR104"/>
    <mergeCell ref="BS99:BS104"/>
    <mergeCell ref="CH99:CH104"/>
    <mergeCell ref="CI99:CI104"/>
    <mergeCell ref="CX99:CX104"/>
    <mergeCell ref="CY99:CY104"/>
    <mergeCell ref="CC100:CC104"/>
    <mergeCell ref="CD100:CD104"/>
    <mergeCell ref="CF100:CF104"/>
    <mergeCell ref="Q94:Q99"/>
    <mergeCell ref="AG94:AG99"/>
    <mergeCell ref="AW94:AW99"/>
    <mergeCell ref="BM94:BM99"/>
    <mergeCell ref="CC94:CC99"/>
    <mergeCell ref="CS94:CS99"/>
    <mergeCell ref="CV100:CV104"/>
    <mergeCell ref="DI100:DI104"/>
    <mergeCell ref="DJ100:DJ104"/>
    <mergeCell ref="DL100:DL104"/>
    <mergeCell ref="AW100:AW104"/>
    <mergeCell ref="AX100:AX104"/>
    <mergeCell ref="AZ100:AZ104"/>
    <mergeCell ref="BM100:BM104"/>
    <mergeCell ref="BN100:BN104"/>
    <mergeCell ref="BP100:BP104"/>
    <mergeCell ref="Q100:Q104"/>
    <mergeCell ref="R100:R104"/>
    <mergeCell ref="T100:T104"/>
    <mergeCell ref="AG100:AG104"/>
    <mergeCell ref="AH100:AH104"/>
    <mergeCell ref="AJ100:AJ104"/>
    <mergeCell ref="U110:U114"/>
    <mergeCell ref="V110:V114"/>
    <mergeCell ref="W110:W114"/>
    <mergeCell ref="X110:X114"/>
    <mergeCell ref="Z110:Z114"/>
    <mergeCell ref="AB110:AB114"/>
    <mergeCell ref="BV110:BV114"/>
    <mergeCell ref="BX110:BX114"/>
    <mergeCell ref="BZ110:BZ114"/>
    <mergeCell ref="BM110:BM114"/>
    <mergeCell ref="Q110:Q114"/>
    <mergeCell ref="R110:R114"/>
    <mergeCell ref="AB105:AB109"/>
    <mergeCell ref="AD105:AD109"/>
    <mergeCell ref="AG105:AG109"/>
    <mergeCell ref="AN105:AN109"/>
    <mergeCell ref="AP105:AP109"/>
    <mergeCell ref="AR105:AR109"/>
    <mergeCell ref="AT105:AT109"/>
    <mergeCell ref="L105:L109"/>
    <mergeCell ref="N105:N109"/>
    <mergeCell ref="Q105:Q109"/>
    <mergeCell ref="X105:X109"/>
    <mergeCell ref="Z105:Z109"/>
    <mergeCell ref="BF105:BF109"/>
    <mergeCell ref="BH105:BH109"/>
    <mergeCell ref="BJ105:BJ109"/>
    <mergeCell ref="BM105:BM109"/>
    <mergeCell ref="BV105:BV109"/>
    <mergeCell ref="B105:B114"/>
    <mergeCell ref="D105:D114"/>
    <mergeCell ref="J105:J109"/>
    <mergeCell ref="J110:J114"/>
    <mergeCell ref="CS100:CS104"/>
    <mergeCell ref="CT100:CT104"/>
    <mergeCell ref="L110:L114"/>
    <mergeCell ref="N110:N114"/>
    <mergeCell ref="DD105:DD109"/>
    <mergeCell ref="DF105:DF109"/>
    <mergeCell ref="DI105:DI109"/>
    <mergeCell ref="DT105:DT109"/>
    <mergeCell ref="DV105:DV109"/>
    <mergeCell ref="AW110:AW114"/>
    <mergeCell ref="AX110:AX114"/>
    <mergeCell ref="AY110:AY114"/>
    <mergeCell ref="AZ110:AZ114"/>
    <mergeCell ref="BA110:BA114"/>
    <mergeCell ref="BB110:BB114"/>
    <mergeCell ref="AL110:AL114"/>
    <mergeCell ref="AM110:AM114"/>
    <mergeCell ref="AN110:AN114"/>
    <mergeCell ref="AP110:AP114"/>
    <mergeCell ref="AR110:AR114"/>
    <mergeCell ref="AT110:AT114"/>
    <mergeCell ref="BX105:BX109"/>
    <mergeCell ref="BZ105:BZ109"/>
    <mergeCell ref="CC105:CC109"/>
    <mergeCell ref="CN105:CN109"/>
    <mergeCell ref="CP105:CP109"/>
    <mergeCell ref="CS105:CS109"/>
    <mergeCell ref="AW105:AW109"/>
    <mergeCell ref="DJ110:DJ119"/>
    <mergeCell ref="DK110:DK119"/>
    <mergeCell ref="DL110:DL119"/>
    <mergeCell ref="DD115:DD119"/>
    <mergeCell ref="DF115:DF119"/>
    <mergeCell ref="DI115:DI119"/>
    <mergeCell ref="CX110:CX114"/>
    <mergeCell ref="CY110:CY114"/>
    <mergeCell ref="CZ110:CZ114"/>
    <mergeCell ref="DA110:DA114"/>
    <mergeCell ref="DB110:DB114"/>
    <mergeCell ref="DC110:DC114"/>
    <mergeCell ref="A115:A119"/>
    <mergeCell ref="B115:B119"/>
    <mergeCell ref="D115:D119"/>
    <mergeCell ref="F115:F119"/>
    <mergeCell ref="H115:H119"/>
    <mergeCell ref="J115:J119"/>
    <mergeCell ref="L115:L119"/>
    <mergeCell ref="S110:S114"/>
    <mergeCell ref="T110:T114"/>
    <mergeCell ref="AD110:AD114"/>
    <mergeCell ref="AG110:AG114"/>
    <mergeCell ref="AH110:AH114"/>
    <mergeCell ref="AI110:AI114"/>
    <mergeCell ref="AJ110:AJ114"/>
    <mergeCell ref="AK110:AK114"/>
    <mergeCell ref="A110:A114"/>
    <mergeCell ref="C110:C114"/>
    <mergeCell ref="E110:E114"/>
    <mergeCell ref="F110:F114"/>
    <mergeCell ref="H110:H114"/>
    <mergeCell ref="Z115:Z119"/>
    <mergeCell ref="AB115:AB119"/>
    <mergeCell ref="AD115:AD119"/>
    <mergeCell ref="AG115:AG119"/>
    <mergeCell ref="AH115:AH119"/>
    <mergeCell ref="AJ115:AJ119"/>
    <mergeCell ref="N115:N119"/>
    <mergeCell ref="Q115:Q119"/>
    <mergeCell ref="R115:R119"/>
    <mergeCell ref="T115:T119"/>
    <mergeCell ref="V115:V119"/>
    <mergeCell ref="X115:X119"/>
    <mergeCell ref="DM110:DM119"/>
    <mergeCell ref="DN110:DN114"/>
    <mergeCell ref="DO110:DO114"/>
    <mergeCell ref="DP110:DP114"/>
    <mergeCell ref="BN110:BN119"/>
    <mergeCell ref="BO110:BO119"/>
    <mergeCell ref="BP110:BP119"/>
    <mergeCell ref="BQ110:BQ119"/>
    <mergeCell ref="BR110:BR114"/>
    <mergeCell ref="BM115:BM119"/>
    <mergeCell ref="BC110:BC114"/>
    <mergeCell ref="BD110:BD114"/>
    <mergeCell ref="BE110:BE114"/>
    <mergeCell ref="BF110:BF114"/>
    <mergeCell ref="BH110:BH114"/>
    <mergeCell ref="BJ110:BJ114"/>
    <mergeCell ref="BS110:BS114"/>
    <mergeCell ref="BT110:BT114"/>
    <mergeCell ref="BU110:BU114"/>
    <mergeCell ref="DD110:DD114"/>
    <mergeCell ref="DS110:DS114"/>
    <mergeCell ref="DT110:DT114"/>
    <mergeCell ref="DV110:DV114"/>
    <mergeCell ref="CU110:CU119"/>
    <mergeCell ref="CV110:CV119"/>
    <mergeCell ref="CW110:CW119"/>
    <mergeCell ref="CI110:CI114"/>
    <mergeCell ref="CJ110:CJ114"/>
    <mergeCell ref="CK110:CK114"/>
    <mergeCell ref="CL110:CL114"/>
    <mergeCell ref="CM110:CM114"/>
    <mergeCell ref="CN110:CN114"/>
    <mergeCell ref="CC110:CC114"/>
    <mergeCell ref="CD110:CD119"/>
    <mergeCell ref="CE110:CE119"/>
    <mergeCell ref="CF110:CF119"/>
    <mergeCell ref="CG110:CG119"/>
    <mergeCell ref="CH110:CH114"/>
    <mergeCell ref="DT115:DT119"/>
    <mergeCell ref="DV115:DV119"/>
    <mergeCell ref="DP119:DP125"/>
    <mergeCell ref="DQ119:DQ125"/>
    <mergeCell ref="DI120:DI125"/>
    <mergeCell ref="DO120:DO125"/>
    <mergeCell ref="CP110:CP114"/>
    <mergeCell ref="CS110:CS114"/>
    <mergeCell ref="CT110:CT119"/>
    <mergeCell ref="DQ110:DQ114"/>
    <mergeCell ref="DR110:DR114"/>
    <mergeCell ref="DR115:DR119"/>
    <mergeCell ref="DF110:DF114"/>
    <mergeCell ref="DI110:DI114"/>
    <mergeCell ref="CL115:CL119"/>
    <mergeCell ref="CN115:CN119"/>
    <mergeCell ref="CP115:CP119"/>
    <mergeCell ref="CS115:CS119"/>
    <mergeCell ref="CZ115:CZ119"/>
    <mergeCell ref="DB115:DB119"/>
    <mergeCell ref="BT115:BT119"/>
    <mergeCell ref="BV115:BV119"/>
    <mergeCell ref="BX115:BX119"/>
    <mergeCell ref="BZ115:BZ119"/>
    <mergeCell ref="CC115:CC119"/>
    <mergeCell ref="CJ115:CJ119"/>
    <mergeCell ref="BD115:BD119"/>
    <mergeCell ref="BF115:BF119"/>
    <mergeCell ref="BH115:BH119"/>
    <mergeCell ref="BJ115:BJ119"/>
    <mergeCell ref="AL115:AL119"/>
    <mergeCell ref="AN115:AN119"/>
    <mergeCell ref="AP115:AP119"/>
    <mergeCell ref="AR115:AR119"/>
    <mergeCell ref="AT115:AT119"/>
    <mergeCell ref="AW115:AW119"/>
    <mergeCell ref="A126:A127"/>
    <mergeCell ref="B126:B127"/>
    <mergeCell ref="D126:D127"/>
    <mergeCell ref="Q126:Q127"/>
    <mergeCell ref="R126:R127"/>
    <mergeCell ref="T126:T127"/>
    <mergeCell ref="AG126:AG127"/>
    <mergeCell ref="AH126:AH127"/>
    <mergeCell ref="BM120:BM125"/>
    <mergeCell ref="BS120:BS125"/>
    <mergeCell ref="CC120:CC125"/>
    <mergeCell ref="CI120:CI125"/>
    <mergeCell ref="CS120:CS125"/>
    <mergeCell ref="CY120:CY125"/>
    <mergeCell ref="L120:L125"/>
    <mergeCell ref="N120:N125"/>
    <mergeCell ref="Q120:Q125"/>
    <mergeCell ref="AG120:AG125"/>
    <mergeCell ref="AW120:AW125"/>
    <mergeCell ref="BC120:BC125"/>
    <mergeCell ref="A120:A125"/>
    <mergeCell ref="B120:B125"/>
    <mergeCell ref="D120:D125"/>
    <mergeCell ref="F120:F125"/>
    <mergeCell ref="H120:H125"/>
    <mergeCell ref="J120:J125"/>
    <mergeCell ref="BA120:BA125"/>
    <mergeCell ref="AY120:AY125"/>
    <mergeCell ref="CV132:CV135"/>
    <mergeCell ref="B136:C136"/>
    <mergeCell ref="D136:E136"/>
    <mergeCell ref="F136:G136"/>
    <mergeCell ref="H136:I136"/>
    <mergeCell ref="J136:K136"/>
    <mergeCell ref="L136:M136"/>
    <mergeCell ref="N136:O136"/>
    <mergeCell ref="R136:S136"/>
    <mergeCell ref="T136:U136"/>
    <mergeCell ref="CV126:CV127"/>
    <mergeCell ref="DI126:DI127"/>
    <mergeCell ref="DJ126:DJ127"/>
    <mergeCell ref="DL126:DL127"/>
    <mergeCell ref="D132:D135"/>
    <mergeCell ref="T132:T135"/>
    <mergeCell ref="AJ132:AJ135"/>
    <mergeCell ref="AZ132:AZ135"/>
    <mergeCell ref="BP132:BP135"/>
    <mergeCell ref="CF132:CF135"/>
    <mergeCell ref="BP126:BP127"/>
    <mergeCell ref="CC126:CC127"/>
    <mergeCell ref="CD126:CD127"/>
    <mergeCell ref="CF126:CF127"/>
    <mergeCell ref="CS126:CS127"/>
    <mergeCell ref="CT126:CT127"/>
    <mergeCell ref="AJ126:AJ127"/>
    <mergeCell ref="AW126:AW127"/>
    <mergeCell ref="AX126:AX127"/>
    <mergeCell ref="AZ126:AZ127"/>
    <mergeCell ref="BM126:BM127"/>
    <mergeCell ref="BN126:BN127"/>
    <mergeCell ref="BP136:BQ136"/>
    <mergeCell ref="BR136:BS136"/>
    <mergeCell ref="BT136:BU136"/>
    <mergeCell ref="BV136:BW136"/>
    <mergeCell ref="AX136:AY136"/>
    <mergeCell ref="AZ136:BA136"/>
    <mergeCell ref="BB136:BC136"/>
    <mergeCell ref="BD136:BE136"/>
    <mergeCell ref="BF136:BG136"/>
    <mergeCell ref="BH136:BI136"/>
    <mergeCell ref="AJ136:AK136"/>
    <mergeCell ref="AL136:AM136"/>
    <mergeCell ref="AN136:AO136"/>
    <mergeCell ref="AP136:AQ136"/>
    <mergeCell ref="AR136:AS136"/>
    <mergeCell ref="AT136:AU136"/>
    <mergeCell ref="V136:W136"/>
    <mergeCell ref="X136:Y136"/>
    <mergeCell ref="Z136:AA136"/>
    <mergeCell ref="AB136:AC136"/>
    <mergeCell ref="AD136:AE136"/>
    <mergeCell ref="AH136:AI136"/>
    <mergeCell ref="BX137:BX142"/>
    <mergeCell ref="BX143:BX147"/>
    <mergeCell ref="L137:L142"/>
    <mergeCell ref="N137:N142"/>
    <mergeCell ref="Q137:Q142"/>
    <mergeCell ref="AG137:AG142"/>
    <mergeCell ref="AW137:AW142"/>
    <mergeCell ref="BM137:BM142"/>
    <mergeCell ref="CZ136:DA136"/>
    <mergeCell ref="DB136:DC136"/>
    <mergeCell ref="DD136:DE136"/>
    <mergeCell ref="DF136:DG136"/>
    <mergeCell ref="A137:A142"/>
    <mergeCell ref="B137:B142"/>
    <mergeCell ref="D137:D142"/>
    <mergeCell ref="F137:F142"/>
    <mergeCell ref="H137:H142"/>
    <mergeCell ref="J137:J142"/>
    <mergeCell ref="CL136:CM136"/>
    <mergeCell ref="CN136:CO136"/>
    <mergeCell ref="CP136:CQ136"/>
    <mergeCell ref="CT136:CU136"/>
    <mergeCell ref="CV136:CW136"/>
    <mergeCell ref="CX136:CY136"/>
    <mergeCell ref="BX136:BY136"/>
    <mergeCell ref="BZ136:CA136"/>
    <mergeCell ref="CD136:CE136"/>
    <mergeCell ref="CF136:CG136"/>
    <mergeCell ref="CH136:CI136"/>
    <mergeCell ref="CJ136:CK136"/>
    <mergeCell ref="BJ136:BK136"/>
    <mergeCell ref="BN136:BO136"/>
    <mergeCell ref="DC142:DC147"/>
    <mergeCell ref="A143:A147"/>
    <mergeCell ref="B143:B147"/>
    <mergeCell ref="D143:D147"/>
    <mergeCell ref="F143:F147"/>
    <mergeCell ref="H143:H147"/>
    <mergeCell ref="J143:J147"/>
    <mergeCell ref="L143:L147"/>
    <mergeCell ref="N143:N147"/>
    <mergeCell ref="Q143:Q147"/>
    <mergeCell ref="CI142:CI147"/>
    <mergeCell ref="CL142:CL147"/>
    <mergeCell ref="CM142:CM147"/>
    <mergeCell ref="CX142:CX147"/>
    <mergeCell ref="CY142:CY147"/>
    <mergeCell ref="DB142:DB147"/>
    <mergeCell ref="CV143:CV147"/>
    <mergeCell ref="BZ137:BZ142"/>
    <mergeCell ref="CC137:CC142"/>
    <mergeCell ref="CS137:CS142"/>
    <mergeCell ref="BB142:BB147"/>
    <mergeCell ref="BC142:BC147"/>
    <mergeCell ref="BF142:BF147"/>
    <mergeCell ref="BG142:BG147"/>
    <mergeCell ref="BS142:BS147"/>
    <mergeCell ref="BW142:BW147"/>
    <mergeCell ref="CH142:CH147"/>
    <mergeCell ref="BN137:BN142"/>
    <mergeCell ref="BP137:BP142"/>
    <mergeCell ref="BR137:BR147"/>
    <mergeCell ref="BT137:BT142"/>
    <mergeCell ref="BV137:BV147"/>
    <mergeCell ref="CC143:CC147"/>
    <mergeCell ref="CD143:CD147"/>
    <mergeCell ref="CF143:CF147"/>
    <mergeCell ref="CS143:CS147"/>
    <mergeCell ref="CT143:CT147"/>
    <mergeCell ref="AX143:AX147"/>
    <mergeCell ref="AZ143:AZ147"/>
    <mergeCell ref="BM143:BM147"/>
    <mergeCell ref="BN143:BN147"/>
    <mergeCell ref="BP143:BP147"/>
    <mergeCell ref="BT143:BT147"/>
    <mergeCell ref="R143:R147"/>
    <mergeCell ref="T143:T147"/>
    <mergeCell ref="AG143:AG147"/>
    <mergeCell ref="AH143:AH147"/>
    <mergeCell ref="AJ143:AJ147"/>
    <mergeCell ref="AW143:AW147"/>
    <mergeCell ref="L148:L152"/>
    <mergeCell ref="N148:N152"/>
    <mergeCell ref="Q148:Q152"/>
    <mergeCell ref="X148:X152"/>
    <mergeCell ref="Z148:Z152"/>
    <mergeCell ref="AB148:AB152"/>
    <mergeCell ref="A148:A152"/>
    <mergeCell ref="B148:B157"/>
    <mergeCell ref="D148:D157"/>
    <mergeCell ref="F148:F157"/>
    <mergeCell ref="H148:H152"/>
    <mergeCell ref="J148:J152"/>
    <mergeCell ref="A153:A157"/>
    <mergeCell ref="C153:C157"/>
    <mergeCell ref="E153:E157"/>
    <mergeCell ref="G153:G157"/>
    <mergeCell ref="BZ143:BZ147"/>
    <mergeCell ref="Z153:Z157"/>
    <mergeCell ref="AB153:AB157"/>
    <mergeCell ref="S153:S157"/>
    <mergeCell ref="T153:T157"/>
    <mergeCell ref="U153:U157"/>
    <mergeCell ref="V153:V157"/>
    <mergeCell ref="W153:W157"/>
    <mergeCell ref="X153:X157"/>
    <mergeCell ref="H153:H157"/>
    <mergeCell ref="J153:J157"/>
    <mergeCell ref="L153:L157"/>
    <mergeCell ref="N153:N157"/>
    <mergeCell ref="Q153:Q157"/>
    <mergeCell ref="R153:R157"/>
    <mergeCell ref="AW153:AW157"/>
    <mergeCell ref="BM148:BM152"/>
    <mergeCell ref="BN148:BN162"/>
    <mergeCell ref="BP148:BP162"/>
    <mergeCell ref="BR148:BR162"/>
    <mergeCell ref="BQ153:BQ162"/>
    <mergeCell ref="CC153:CC157"/>
    <mergeCell ref="CD153:CD162"/>
    <mergeCell ref="CE153:CE162"/>
    <mergeCell ref="BT158:BT162"/>
    <mergeCell ref="BV158:BV162"/>
    <mergeCell ref="BX158:BX162"/>
    <mergeCell ref="BZ158:BZ162"/>
    <mergeCell ref="AD148:AD152"/>
    <mergeCell ref="AG148:AG152"/>
    <mergeCell ref="AP148:AP152"/>
    <mergeCell ref="AR148:AR152"/>
    <mergeCell ref="AT148:AT152"/>
    <mergeCell ref="AW148:AW152"/>
    <mergeCell ref="AD153:AD157"/>
    <mergeCell ref="AG153:AG157"/>
    <mergeCell ref="AH153:AH157"/>
    <mergeCell ref="AI153:AI157"/>
    <mergeCell ref="AZ153:AZ162"/>
    <mergeCell ref="BA153:BA162"/>
    <mergeCell ref="BB153:BB162"/>
    <mergeCell ref="BC153:BC162"/>
    <mergeCell ref="BD153:BD157"/>
    <mergeCell ref="BE153:BE157"/>
    <mergeCell ref="BD158:BD162"/>
    <mergeCell ref="AP153:AP157"/>
    <mergeCell ref="AR153:AR157"/>
    <mergeCell ref="AT153:AT157"/>
    <mergeCell ref="DD158:DD162"/>
    <mergeCell ref="DF158:DF162"/>
    <mergeCell ref="CZ162:CZ168"/>
    <mergeCell ref="BF153:BF157"/>
    <mergeCell ref="BG153:BG157"/>
    <mergeCell ref="BH153:BH157"/>
    <mergeCell ref="BJ153:BJ157"/>
    <mergeCell ref="BM153:BM157"/>
    <mergeCell ref="BO153:BO162"/>
    <mergeCell ref="BF158:BF162"/>
    <mergeCell ref="BH158:BH162"/>
    <mergeCell ref="BJ158:BJ162"/>
    <mergeCell ref="BM158:BM162"/>
    <mergeCell ref="BT148:BT157"/>
    <mergeCell ref="BV148:BV157"/>
    <mergeCell ref="CC148:CC152"/>
    <mergeCell ref="BS153:BS162"/>
    <mergeCell ref="DC153:DC157"/>
    <mergeCell ref="DD153:DD157"/>
    <mergeCell ref="DE153:DE157"/>
    <mergeCell ref="DA162:DA168"/>
    <mergeCell ref="BZ153:BZ157"/>
    <mergeCell ref="BX153:BX157"/>
    <mergeCell ref="BZ148:BZ152"/>
    <mergeCell ref="BX148:BX152"/>
    <mergeCell ref="CS148:CS152"/>
    <mergeCell ref="CF153:CF162"/>
    <mergeCell ref="CG153:CG162"/>
    <mergeCell ref="CH153:CH162"/>
    <mergeCell ref="CI153:CI162"/>
    <mergeCell ref="BH148:BH152"/>
    <mergeCell ref="BJ148:BJ152"/>
    <mergeCell ref="BZ163:BZ168"/>
    <mergeCell ref="CC163:CC168"/>
    <mergeCell ref="CS163:CS168"/>
    <mergeCell ref="R158:R162"/>
    <mergeCell ref="DF153:DF157"/>
    <mergeCell ref="DG153:DG157"/>
    <mergeCell ref="A158:A162"/>
    <mergeCell ref="B158:B162"/>
    <mergeCell ref="D158:D162"/>
    <mergeCell ref="F158:F162"/>
    <mergeCell ref="H158:H162"/>
    <mergeCell ref="CW153:CW162"/>
    <mergeCell ref="CX153:CX162"/>
    <mergeCell ref="CY153:CY162"/>
    <mergeCell ref="CZ153:CZ157"/>
    <mergeCell ref="DA153:DA157"/>
    <mergeCell ref="DB153:DB157"/>
    <mergeCell ref="DB158:DB162"/>
    <mergeCell ref="CP153:CP157"/>
    <mergeCell ref="CQ153:CQ157"/>
    <mergeCell ref="CS153:CS157"/>
    <mergeCell ref="CT153:CT162"/>
    <mergeCell ref="CU153:CU162"/>
    <mergeCell ref="CV153:CV162"/>
    <mergeCell ref="CJ153:CJ157"/>
    <mergeCell ref="CK153:CK157"/>
    <mergeCell ref="CL153:CL157"/>
    <mergeCell ref="CM153:CM157"/>
    <mergeCell ref="CN153:CN157"/>
    <mergeCell ref="AX153:AX162"/>
    <mergeCell ref="CO153:CO157"/>
    <mergeCell ref="AO153:AO157"/>
    <mergeCell ref="CC158:CC162"/>
    <mergeCell ref="CJ158:CJ162"/>
    <mergeCell ref="CL158:CL162"/>
    <mergeCell ref="CN158:CN162"/>
    <mergeCell ref="CP158:CP162"/>
    <mergeCell ref="CS158:CS162"/>
    <mergeCell ref="AH158:AH162"/>
    <mergeCell ref="AJ158:AJ162"/>
    <mergeCell ref="AL158:AL162"/>
    <mergeCell ref="AN158:AN162"/>
    <mergeCell ref="AP158:AP162"/>
    <mergeCell ref="AR158:AR162"/>
    <mergeCell ref="V158:V162"/>
    <mergeCell ref="X158:X162"/>
    <mergeCell ref="Z158:Z162"/>
    <mergeCell ref="AB158:AB162"/>
    <mergeCell ref="AD158:AD162"/>
    <mergeCell ref="AG158:AG162"/>
    <mergeCell ref="AY153:AY162"/>
    <mergeCell ref="AT158:AT162"/>
    <mergeCell ref="AW158:AW162"/>
    <mergeCell ref="AJ153:AJ157"/>
    <mergeCell ref="AK153:AK157"/>
    <mergeCell ref="AL153:AL157"/>
    <mergeCell ref="AM153:AM157"/>
    <mergeCell ref="AN153:AN157"/>
    <mergeCell ref="A169:A170"/>
    <mergeCell ref="B169:B170"/>
    <mergeCell ref="D169:D170"/>
    <mergeCell ref="Q169:Q170"/>
    <mergeCell ref="R169:R170"/>
    <mergeCell ref="T169:T170"/>
    <mergeCell ref="AG169:AG170"/>
    <mergeCell ref="BN163:BN168"/>
    <mergeCell ref="BP163:BP168"/>
    <mergeCell ref="BR163:BR168"/>
    <mergeCell ref="BT163:BT168"/>
    <mergeCell ref="BV163:BV168"/>
    <mergeCell ref="BX163:BX168"/>
    <mergeCell ref="L163:L168"/>
    <mergeCell ref="N163:N168"/>
    <mergeCell ref="Q163:Q168"/>
    <mergeCell ref="AG163:AG168"/>
    <mergeCell ref="AW163:AW168"/>
    <mergeCell ref="BM163:BM168"/>
    <mergeCell ref="A163:A168"/>
    <mergeCell ref="B163:B168"/>
    <mergeCell ref="D163:D168"/>
    <mergeCell ref="F163:F168"/>
    <mergeCell ref="H163:H168"/>
    <mergeCell ref="J163:J168"/>
    <mergeCell ref="CV169:CV170"/>
    <mergeCell ref="D175:D178"/>
    <mergeCell ref="T175:T178"/>
    <mergeCell ref="AJ175:AJ178"/>
    <mergeCell ref="AZ175:AZ178"/>
    <mergeCell ref="BP175:BP178"/>
    <mergeCell ref="CF175:CF178"/>
    <mergeCell ref="BN169:BN170"/>
    <mergeCell ref="BP169:BP170"/>
    <mergeCell ref="CC169:CC170"/>
    <mergeCell ref="CD169:CD170"/>
    <mergeCell ref="CF169:CF170"/>
    <mergeCell ref="CS169:CS170"/>
    <mergeCell ref="AH169:AH170"/>
    <mergeCell ref="AJ169:AJ170"/>
    <mergeCell ref="AW169:AW170"/>
    <mergeCell ref="AX169:AX170"/>
    <mergeCell ref="AZ169:AZ170"/>
    <mergeCell ref="BM169:BM170"/>
    <mergeCell ref="CT169:CT170"/>
    <mergeCell ref="T158:T162"/>
    <mergeCell ref="BW153:BW157"/>
    <mergeCell ref="AH179:AI179"/>
    <mergeCell ref="AJ179:AK179"/>
    <mergeCell ref="AL179:AM179"/>
    <mergeCell ref="AN179:AO179"/>
    <mergeCell ref="N179:O179"/>
    <mergeCell ref="R179:S179"/>
    <mergeCell ref="T179:U179"/>
    <mergeCell ref="V179:W179"/>
    <mergeCell ref="X179:Y179"/>
    <mergeCell ref="Z179:AA179"/>
    <mergeCell ref="B179:C179"/>
    <mergeCell ref="D179:E179"/>
    <mergeCell ref="F179:G179"/>
    <mergeCell ref="H179:I179"/>
    <mergeCell ref="J179:K179"/>
    <mergeCell ref="L179:M179"/>
    <mergeCell ref="J158:J162"/>
    <mergeCell ref="L158:L162"/>
    <mergeCell ref="N158:N162"/>
    <mergeCell ref="Q158:Q162"/>
    <mergeCell ref="BU153:BU157"/>
    <mergeCell ref="A180:A185"/>
    <mergeCell ref="B180:B185"/>
    <mergeCell ref="D180:D185"/>
    <mergeCell ref="F180:F190"/>
    <mergeCell ref="H180:H185"/>
    <mergeCell ref="J180:J190"/>
    <mergeCell ref="CF179:CG179"/>
    <mergeCell ref="CH179:CI179"/>
    <mergeCell ref="CJ179:CK179"/>
    <mergeCell ref="CL179:CM179"/>
    <mergeCell ref="CN179:CO179"/>
    <mergeCell ref="CP179:CQ179"/>
    <mergeCell ref="BR179:BS179"/>
    <mergeCell ref="BT179:BU179"/>
    <mergeCell ref="BV179:BW179"/>
    <mergeCell ref="BX179:BY179"/>
    <mergeCell ref="BZ179:CA179"/>
    <mergeCell ref="CD179:CE179"/>
    <mergeCell ref="BD179:BE179"/>
    <mergeCell ref="BF179:BG179"/>
    <mergeCell ref="BH179:BI179"/>
    <mergeCell ref="BJ179:BK179"/>
    <mergeCell ref="BN179:BO179"/>
    <mergeCell ref="BP179:BQ179"/>
    <mergeCell ref="AP179:AQ179"/>
    <mergeCell ref="AR179:AS179"/>
    <mergeCell ref="AT179:AU179"/>
    <mergeCell ref="AX179:AY179"/>
    <mergeCell ref="AZ179:BA179"/>
    <mergeCell ref="BB179:BC179"/>
    <mergeCell ref="AB179:AC179"/>
    <mergeCell ref="AD179:AE179"/>
    <mergeCell ref="A186:A190"/>
    <mergeCell ref="B186:B190"/>
    <mergeCell ref="D186:D190"/>
    <mergeCell ref="H186:H190"/>
    <mergeCell ref="L186:L190"/>
    <mergeCell ref="BW185:BW190"/>
    <mergeCell ref="BZ185:BZ190"/>
    <mergeCell ref="CA185:CA190"/>
    <mergeCell ref="CH185:CH190"/>
    <mergeCell ref="CI185:CI190"/>
    <mergeCell ref="CJ185:CJ190"/>
    <mergeCell ref="CC186:CC190"/>
    <mergeCell ref="CD186:CD190"/>
    <mergeCell ref="CF186:CF190"/>
    <mergeCell ref="BG185:BG190"/>
    <mergeCell ref="BJ185:BJ190"/>
    <mergeCell ref="BK185:BK190"/>
    <mergeCell ref="BR185:BR190"/>
    <mergeCell ref="BS185:BS190"/>
    <mergeCell ref="BV185:BV190"/>
    <mergeCell ref="BP186:BP190"/>
    <mergeCell ref="CC180:CC185"/>
    <mergeCell ref="G185:G190"/>
    <mergeCell ref="K185:K190"/>
    <mergeCell ref="V185:V190"/>
    <mergeCell ref="W185:W190"/>
    <mergeCell ref="Z185:Z190"/>
    <mergeCell ref="AA185:AA190"/>
    <mergeCell ref="AL185:AL190"/>
    <mergeCell ref="AM185:AM190"/>
    <mergeCell ref="AP185:AP190"/>
    <mergeCell ref="L180:L185"/>
    <mergeCell ref="AJ186:AJ190"/>
    <mergeCell ref="AW186:AW190"/>
    <mergeCell ref="AX186:AX190"/>
    <mergeCell ref="AZ186:AZ190"/>
    <mergeCell ref="BM186:BM190"/>
    <mergeCell ref="BN186:BN190"/>
    <mergeCell ref="N186:N190"/>
    <mergeCell ref="Q186:Q190"/>
    <mergeCell ref="R186:R190"/>
    <mergeCell ref="T186:T190"/>
    <mergeCell ref="AG186:AG190"/>
    <mergeCell ref="AH186:AH190"/>
    <mergeCell ref="CK185:CK190"/>
    <mergeCell ref="CL185:CL190"/>
    <mergeCell ref="CM185:CM190"/>
    <mergeCell ref="CP185:CP190"/>
    <mergeCell ref="CQ185:CQ190"/>
    <mergeCell ref="N180:N185"/>
    <mergeCell ref="Q180:Q185"/>
    <mergeCell ref="AG180:AG185"/>
    <mergeCell ref="AW180:AW185"/>
    <mergeCell ref="BM180:BM185"/>
    <mergeCell ref="AQ185:AQ190"/>
    <mergeCell ref="BB185:BB190"/>
    <mergeCell ref="BC185:BC190"/>
    <mergeCell ref="BF185:BF190"/>
    <mergeCell ref="Z196:Z200"/>
    <mergeCell ref="X201:X205"/>
    <mergeCell ref="Z201:Z205"/>
    <mergeCell ref="L196:L200"/>
    <mergeCell ref="N196:N200"/>
    <mergeCell ref="Q196:Q200"/>
    <mergeCell ref="R196:R205"/>
    <mergeCell ref="S196:S205"/>
    <mergeCell ref="T196:T205"/>
    <mergeCell ref="Q201:Q205"/>
    <mergeCell ref="AG191:AG195"/>
    <mergeCell ref="AW191:AW195"/>
    <mergeCell ref="BM191:BM195"/>
    <mergeCell ref="CC191:CC195"/>
    <mergeCell ref="A196:A200"/>
    <mergeCell ref="C196:C200"/>
    <mergeCell ref="E196:E200"/>
    <mergeCell ref="G196:G200"/>
    <mergeCell ref="H196:H200"/>
    <mergeCell ref="J196:J200"/>
    <mergeCell ref="L191:L195"/>
    <mergeCell ref="N191:N195"/>
    <mergeCell ref="Q191:Q195"/>
    <mergeCell ref="Z191:Z195"/>
    <mergeCell ref="AB191:AB195"/>
    <mergeCell ref="AD191:AD195"/>
    <mergeCell ref="A191:A195"/>
    <mergeCell ref="B191:B200"/>
    <mergeCell ref="D191:D200"/>
    <mergeCell ref="F191:F200"/>
    <mergeCell ref="H191:H195"/>
    <mergeCell ref="J191:J195"/>
    <mergeCell ref="AQ196:AQ200"/>
    <mergeCell ref="AR196:AR200"/>
    <mergeCell ref="AS196:AS200"/>
    <mergeCell ref="AT196:AT200"/>
    <mergeCell ref="AU196:AU200"/>
    <mergeCell ref="AW196:AW200"/>
    <mergeCell ref="AK196:AK205"/>
    <mergeCell ref="AL196:AL205"/>
    <mergeCell ref="AM196:AM205"/>
    <mergeCell ref="AN196:AN200"/>
    <mergeCell ref="AO196:AO200"/>
    <mergeCell ref="AP196:AP200"/>
    <mergeCell ref="AB196:AB200"/>
    <mergeCell ref="AD196:AD200"/>
    <mergeCell ref="AG196:AG200"/>
    <mergeCell ref="AH196:AH205"/>
    <mergeCell ref="AI196:AI205"/>
    <mergeCell ref="AJ196:AJ205"/>
    <mergeCell ref="AB201:AB205"/>
    <mergeCell ref="AD201:AD205"/>
    <mergeCell ref="AG201:AG205"/>
    <mergeCell ref="BU196:BU200"/>
    <mergeCell ref="BV196:BV200"/>
    <mergeCell ref="BJ196:BJ200"/>
    <mergeCell ref="BK196:BK200"/>
    <mergeCell ref="BM196:BM200"/>
    <mergeCell ref="BN196:BN205"/>
    <mergeCell ref="BO196:BO205"/>
    <mergeCell ref="BP196:BP205"/>
    <mergeCell ref="BD196:BD200"/>
    <mergeCell ref="BE196:BE200"/>
    <mergeCell ref="BF196:BF200"/>
    <mergeCell ref="BG196:BG200"/>
    <mergeCell ref="BH196:BH200"/>
    <mergeCell ref="BI196:BI200"/>
    <mergeCell ref="AX196:AX205"/>
    <mergeCell ref="AY196:AY205"/>
    <mergeCell ref="AZ196:AZ205"/>
    <mergeCell ref="BA196:BA205"/>
    <mergeCell ref="BB196:BB205"/>
    <mergeCell ref="BC196:BC205"/>
    <mergeCell ref="CP196:CP200"/>
    <mergeCell ref="CQ196:CQ200"/>
    <mergeCell ref="A201:A205"/>
    <mergeCell ref="B201:B205"/>
    <mergeCell ref="D201:D205"/>
    <mergeCell ref="F201:F205"/>
    <mergeCell ref="H201:H205"/>
    <mergeCell ref="J201:J205"/>
    <mergeCell ref="L201:L205"/>
    <mergeCell ref="N201:N205"/>
    <mergeCell ref="CJ196:CJ200"/>
    <mergeCell ref="CK196:CK200"/>
    <mergeCell ref="CL196:CL200"/>
    <mergeCell ref="CM196:CM200"/>
    <mergeCell ref="CN196:CN200"/>
    <mergeCell ref="CO196:CO200"/>
    <mergeCell ref="CD196:CD205"/>
    <mergeCell ref="CE196:CE205"/>
    <mergeCell ref="CF196:CF205"/>
    <mergeCell ref="CG196:CG205"/>
    <mergeCell ref="CH196:CH205"/>
    <mergeCell ref="CI196:CI205"/>
    <mergeCell ref="BW196:BW200"/>
    <mergeCell ref="BX196:BX200"/>
    <mergeCell ref="BY196:BY200"/>
    <mergeCell ref="BZ196:BZ200"/>
    <mergeCell ref="CA196:CA200"/>
    <mergeCell ref="CC196:CC200"/>
    <mergeCell ref="BQ196:BQ205"/>
    <mergeCell ref="BR196:BR205"/>
    <mergeCell ref="BS196:BS205"/>
    <mergeCell ref="BT196:BT200"/>
    <mergeCell ref="CN206:CN211"/>
    <mergeCell ref="L206:L211"/>
    <mergeCell ref="N206:N211"/>
    <mergeCell ref="Q206:Q211"/>
    <mergeCell ref="V206:V211"/>
    <mergeCell ref="W206:W211"/>
    <mergeCell ref="AG206:AG211"/>
    <mergeCell ref="A206:A211"/>
    <mergeCell ref="B206:B211"/>
    <mergeCell ref="D206:D211"/>
    <mergeCell ref="F206:F211"/>
    <mergeCell ref="H206:H211"/>
    <mergeCell ref="J206:J211"/>
    <mergeCell ref="BZ201:BZ205"/>
    <mergeCell ref="CC201:CC205"/>
    <mergeCell ref="CP201:CP205"/>
    <mergeCell ref="CJ205:CJ211"/>
    <mergeCell ref="CK205:CK211"/>
    <mergeCell ref="CL205:CL211"/>
    <mergeCell ref="CM205:CM211"/>
    <mergeCell ref="CO206:CO211"/>
    <mergeCell ref="AR201:AR205"/>
    <mergeCell ref="AT201:AT205"/>
    <mergeCell ref="AW201:AW205"/>
    <mergeCell ref="BH201:BH205"/>
    <mergeCell ref="BJ201:BJ205"/>
    <mergeCell ref="BM201:BM205"/>
    <mergeCell ref="U196:U205"/>
    <mergeCell ref="V196:V200"/>
    <mergeCell ref="W196:W200"/>
    <mergeCell ref="X196:X200"/>
    <mergeCell ref="Y196:Y200"/>
    <mergeCell ref="A212:A213"/>
    <mergeCell ref="B212:B213"/>
    <mergeCell ref="D212:D213"/>
    <mergeCell ref="F212:F213"/>
    <mergeCell ref="H212:H213"/>
    <mergeCell ref="J212:J213"/>
    <mergeCell ref="AO207:AO211"/>
    <mergeCell ref="AQ207:AQ211"/>
    <mergeCell ref="BE207:BE211"/>
    <mergeCell ref="BG207:BG211"/>
    <mergeCell ref="BU207:BU211"/>
    <mergeCell ref="BW207:BW211"/>
    <mergeCell ref="AW206:AW211"/>
    <mergeCell ref="BM206:BM211"/>
    <mergeCell ref="BX206:BX211"/>
    <mergeCell ref="BY206:BY211"/>
    <mergeCell ref="CC206:CC211"/>
    <mergeCell ref="BP212:BP213"/>
    <mergeCell ref="CC212:CC213"/>
    <mergeCell ref="CD212:CD213"/>
    <mergeCell ref="CF212:CF213"/>
    <mergeCell ref="D218:D221"/>
    <mergeCell ref="T218:T221"/>
    <mergeCell ref="AJ218:AJ221"/>
    <mergeCell ref="AZ218:AZ221"/>
    <mergeCell ref="BP218:BP221"/>
    <mergeCell ref="AJ212:AJ213"/>
    <mergeCell ref="AW212:AW213"/>
    <mergeCell ref="AX212:AX213"/>
    <mergeCell ref="AZ212:AZ213"/>
    <mergeCell ref="BM212:BM213"/>
    <mergeCell ref="BN212:BN213"/>
    <mergeCell ref="L212:L213"/>
    <mergeCell ref="Q212:Q213"/>
    <mergeCell ref="R212:R213"/>
    <mergeCell ref="T212:T213"/>
    <mergeCell ref="AG212:AG213"/>
    <mergeCell ref="AH212:AH213"/>
    <mergeCell ref="AB222:AC222"/>
    <mergeCell ref="AD222:AE222"/>
    <mergeCell ref="AH222:AI222"/>
    <mergeCell ref="AJ222:AK222"/>
    <mergeCell ref="AL222:AM222"/>
    <mergeCell ref="AN222:AO222"/>
    <mergeCell ref="N222:O222"/>
    <mergeCell ref="R222:S222"/>
    <mergeCell ref="T222:U222"/>
    <mergeCell ref="V222:W222"/>
    <mergeCell ref="X222:Y222"/>
    <mergeCell ref="Z222:AA222"/>
    <mergeCell ref="B222:C222"/>
    <mergeCell ref="D222:E222"/>
    <mergeCell ref="F222:G222"/>
    <mergeCell ref="H222:I222"/>
    <mergeCell ref="J222:K222"/>
    <mergeCell ref="L222:M222"/>
    <mergeCell ref="J223:J233"/>
    <mergeCell ref="L223:L228"/>
    <mergeCell ref="N223:N228"/>
    <mergeCell ref="Q223:Q228"/>
    <mergeCell ref="AG223:AG228"/>
    <mergeCell ref="AW223:AW228"/>
    <mergeCell ref="AQ228:AQ233"/>
    <mergeCell ref="AT228:AT233"/>
    <mergeCell ref="AU228:AU233"/>
    <mergeCell ref="T229:T233"/>
    <mergeCell ref="BR222:BS222"/>
    <mergeCell ref="BT222:BU222"/>
    <mergeCell ref="BV222:BW222"/>
    <mergeCell ref="BX222:BY222"/>
    <mergeCell ref="BZ222:CA222"/>
    <mergeCell ref="A223:A228"/>
    <mergeCell ref="B223:B228"/>
    <mergeCell ref="D223:D228"/>
    <mergeCell ref="F223:F233"/>
    <mergeCell ref="H223:H228"/>
    <mergeCell ref="BD222:BE222"/>
    <mergeCell ref="BF222:BG222"/>
    <mergeCell ref="BH222:BI222"/>
    <mergeCell ref="BJ222:BK222"/>
    <mergeCell ref="BN222:BO222"/>
    <mergeCell ref="BP222:BQ222"/>
    <mergeCell ref="AP222:AQ222"/>
    <mergeCell ref="AR222:AS222"/>
    <mergeCell ref="AT222:AU222"/>
    <mergeCell ref="AX222:AY222"/>
    <mergeCell ref="AZ222:BA222"/>
    <mergeCell ref="BB222:BC222"/>
    <mergeCell ref="BN229:BN233"/>
    <mergeCell ref="BP229:BP233"/>
    <mergeCell ref="A234:A238"/>
    <mergeCell ref="B234:B248"/>
    <mergeCell ref="D234:D248"/>
    <mergeCell ref="F234:F248"/>
    <mergeCell ref="H234:H243"/>
    <mergeCell ref="J234:J238"/>
    <mergeCell ref="L234:L238"/>
    <mergeCell ref="AG229:AG233"/>
    <mergeCell ref="AH229:AH233"/>
    <mergeCell ref="AJ229:AJ233"/>
    <mergeCell ref="AW229:AW233"/>
    <mergeCell ref="AX229:AX233"/>
    <mergeCell ref="AZ229:AZ233"/>
    <mergeCell ref="BZ228:BZ233"/>
    <mergeCell ref="CA228:CA233"/>
    <mergeCell ref="A229:A233"/>
    <mergeCell ref="B229:B233"/>
    <mergeCell ref="D229:D233"/>
    <mergeCell ref="H229:H233"/>
    <mergeCell ref="L229:L233"/>
    <mergeCell ref="N229:N233"/>
    <mergeCell ref="Q229:Q233"/>
    <mergeCell ref="R229:R233"/>
    <mergeCell ref="BR228:BR233"/>
    <mergeCell ref="BS228:BS233"/>
    <mergeCell ref="BT228:BT233"/>
    <mergeCell ref="BU228:BU233"/>
    <mergeCell ref="BV228:BV233"/>
    <mergeCell ref="BW228:BW233"/>
    <mergeCell ref="BB228:BB233"/>
    <mergeCell ref="J239:J243"/>
    <mergeCell ref="L239:L243"/>
    <mergeCell ref="N239:N243"/>
    <mergeCell ref="Q239:Q243"/>
    <mergeCell ref="R239:R248"/>
    <mergeCell ref="S239:S248"/>
    <mergeCell ref="N234:N238"/>
    <mergeCell ref="Q234:Q238"/>
    <mergeCell ref="AG234:AG238"/>
    <mergeCell ref="AW234:AW238"/>
    <mergeCell ref="BM234:BM238"/>
    <mergeCell ref="A239:A243"/>
    <mergeCell ref="C239:C248"/>
    <mergeCell ref="E239:E248"/>
    <mergeCell ref="G239:G248"/>
    <mergeCell ref="I239:I243"/>
    <mergeCell ref="BM229:BM233"/>
    <mergeCell ref="BC228:BC233"/>
    <mergeCell ref="BF228:BF233"/>
    <mergeCell ref="BG228:BG233"/>
    <mergeCell ref="BJ228:BJ233"/>
    <mergeCell ref="BK228:BK233"/>
    <mergeCell ref="BM223:BM228"/>
    <mergeCell ref="G228:G233"/>
    <mergeCell ref="K228:K233"/>
    <mergeCell ref="V228:V233"/>
    <mergeCell ref="W228:W233"/>
    <mergeCell ref="Z228:Z233"/>
    <mergeCell ref="AA228:AA233"/>
    <mergeCell ref="AL228:AL233"/>
    <mergeCell ref="AM228:AM233"/>
    <mergeCell ref="AP228:AP233"/>
    <mergeCell ref="AU239:AU243"/>
    <mergeCell ref="AW239:AW243"/>
    <mergeCell ref="AG239:AG243"/>
    <mergeCell ref="AL239:AL248"/>
    <mergeCell ref="AM239:AM248"/>
    <mergeCell ref="AN239:AN248"/>
    <mergeCell ref="AO239:AO248"/>
    <mergeCell ref="AP239:AP243"/>
    <mergeCell ref="Z239:Z243"/>
    <mergeCell ref="AA239:AA243"/>
    <mergeCell ref="AB239:AB243"/>
    <mergeCell ref="AC239:AC243"/>
    <mergeCell ref="AD239:AD243"/>
    <mergeCell ref="AE239:AE243"/>
    <mergeCell ref="T239:T248"/>
    <mergeCell ref="U239:U248"/>
    <mergeCell ref="V239:V248"/>
    <mergeCell ref="W239:W248"/>
    <mergeCell ref="X239:X248"/>
    <mergeCell ref="Y239:Y248"/>
    <mergeCell ref="CA239:CA243"/>
    <mergeCell ref="AI241:AI254"/>
    <mergeCell ref="AK241:AK254"/>
    <mergeCell ref="AY241:AY254"/>
    <mergeCell ref="BA241:BA254"/>
    <mergeCell ref="BO241:BO254"/>
    <mergeCell ref="BQ241:BQ254"/>
    <mergeCell ref="BS241:BS254"/>
    <mergeCell ref="BV248:BV254"/>
    <mergeCell ref="BW248:BW254"/>
    <mergeCell ref="BU239:BU248"/>
    <mergeCell ref="BV239:BV243"/>
    <mergeCell ref="BW239:BW243"/>
    <mergeCell ref="BX239:BX243"/>
    <mergeCell ref="BY239:BY243"/>
    <mergeCell ref="BZ239:BZ243"/>
    <mergeCell ref="BH239:BH243"/>
    <mergeCell ref="BI239:BI243"/>
    <mergeCell ref="BJ239:BJ243"/>
    <mergeCell ref="BK239:BK243"/>
    <mergeCell ref="BM239:BM243"/>
    <mergeCell ref="BT239:BT248"/>
    <mergeCell ref="BB239:BB248"/>
    <mergeCell ref="BC239:BC248"/>
    <mergeCell ref="BD239:BD248"/>
    <mergeCell ref="BE239:BE248"/>
    <mergeCell ref="BF239:BF243"/>
    <mergeCell ref="BG239:BG243"/>
    <mergeCell ref="AQ239:AQ243"/>
    <mergeCell ref="AR239:AR243"/>
    <mergeCell ref="AS239:AS243"/>
    <mergeCell ref="AT239:AT243"/>
    <mergeCell ref="L249:L254"/>
    <mergeCell ref="N249:N254"/>
    <mergeCell ref="Q249:Q254"/>
    <mergeCell ref="AG249:AG254"/>
    <mergeCell ref="AW249:AW254"/>
    <mergeCell ref="BM249:BM254"/>
    <mergeCell ref="A249:A254"/>
    <mergeCell ref="B249:B254"/>
    <mergeCell ref="D249:D254"/>
    <mergeCell ref="F249:F254"/>
    <mergeCell ref="H249:H254"/>
    <mergeCell ref="J249:J254"/>
    <mergeCell ref="AD244:AD248"/>
    <mergeCell ref="AG244:AG248"/>
    <mergeCell ref="AT244:AT248"/>
    <mergeCell ref="AW244:AW248"/>
    <mergeCell ref="BJ244:BJ248"/>
    <mergeCell ref="BM244:BM248"/>
    <mergeCell ref="A244:A248"/>
    <mergeCell ref="H244:H248"/>
    <mergeCell ref="J244:J248"/>
    <mergeCell ref="L244:L248"/>
    <mergeCell ref="N244:N248"/>
    <mergeCell ref="Q244:Q248"/>
    <mergeCell ref="BO77:BO82"/>
    <mergeCell ref="BQ77:BQ82"/>
    <mergeCell ref="CE77:CE82"/>
    <mergeCell ref="CG77:CG82"/>
    <mergeCell ref="AZ255:AZ256"/>
    <mergeCell ref="BM255:BM256"/>
    <mergeCell ref="BN255:BN256"/>
    <mergeCell ref="BP255:BP256"/>
    <mergeCell ref="T255:T256"/>
    <mergeCell ref="AG255:AG256"/>
    <mergeCell ref="AH255:AH256"/>
    <mergeCell ref="AJ255:AJ256"/>
    <mergeCell ref="AW255:AW256"/>
    <mergeCell ref="AX255:AX256"/>
    <mergeCell ref="CA250:CA254"/>
    <mergeCell ref="A255:A256"/>
    <mergeCell ref="B255:B256"/>
    <mergeCell ref="D255:D256"/>
    <mergeCell ref="F255:F256"/>
    <mergeCell ref="H255:H256"/>
    <mergeCell ref="J255:J256"/>
    <mergeCell ref="L255:L256"/>
    <mergeCell ref="Q255:Q256"/>
    <mergeCell ref="R255:R256"/>
    <mergeCell ref="BX249:BX254"/>
    <mergeCell ref="BY249:BY254"/>
    <mergeCell ref="AA250:AA254"/>
    <mergeCell ref="AC250:AC254"/>
    <mergeCell ref="AQ250:AQ254"/>
    <mergeCell ref="AS250:AS254"/>
    <mergeCell ref="BG250:BG254"/>
    <mergeCell ref="BI250:BI254"/>
  </mergeCells>
  <conditionalFormatting sqref="C13 C39 K18 E13 G13 I13 K13 I18 G18 C23 E23 G23 I23 K23 C28 E28 G28 I28 K28 C33 E33 G33 I33 K33 E39 G39 I39 K39">
    <cfRule type="colorScale" priority="8262">
      <colorScale>
        <cfvo type="min"/>
        <cfvo type="percentile" val="50"/>
        <cfvo type="max"/>
        <color rgb="FFF8696B"/>
        <color rgb="FFFFEB84"/>
        <color rgb="FF63BE7B"/>
      </colorScale>
    </cfRule>
  </conditionalFormatting>
  <conditionalFormatting sqref="K33">
    <cfRule type="colorScale" priority="8261">
      <colorScale>
        <cfvo type="min"/>
        <cfvo type="percentile" val="50"/>
        <cfvo type="max"/>
        <color rgb="FFF8696B"/>
        <color rgb="FFFFEB84"/>
        <color rgb="FF63BE7B"/>
      </colorScale>
    </cfRule>
  </conditionalFormatting>
  <conditionalFormatting sqref="C13 E13 G13 I13 K13">
    <cfRule type="colorScale" priority="8260">
      <colorScale>
        <cfvo type="min"/>
        <cfvo type="percentile" val="50"/>
        <cfvo type="max"/>
        <color rgb="FFF8696B"/>
        <color rgb="FFFFEB84"/>
        <color rgb="FF63BE7B"/>
      </colorScale>
    </cfRule>
  </conditionalFormatting>
  <conditionalFormatting sqref="K18">
    <cfRule type="colorScale" priority="8259">
      <colorScale>
        <cfvo type="min"/>
        <cfvo type="percentile" val="50"/>
        <cfvo type="max"/>
        <color rgb="FFF8696B"/>
        <color rgb="FFFFEB84"/>
        <color rgb="FF63BE7B"/>
      </colorScale>
    </cfRule>
  </conditionalFormatting>
  <conditionalFormatting sqref="C13 C39 K18 E13 G13 I13 K13 I18 G18 C23 E23 G23 I23 K23 C28 E28 G28 I28 K28 C33 E33 G33 I33 K33 E39 G39 I39 K39">
    <cfRule type="colorScale" priority="8258">
      <colorScale>
        <cfvo type="min"/>
        <cfvo type="percentile" val="50"/>
        <cfvo type="max"/>
        <color rgb="FF63BE7B"/>
        <color rgb="FFFFEB84"/>
        <color rgb="FFF8696B"/>
      </colorScale>
    </cfRule>
  </conditionalFormatting>
  <conditionalFormatting sqref="C39 C13 K18 E13 G13 I13 K13 I18 G18 C23 E23 G23 I23 K23 C28 E28 G28 I28 K28 C33 E33 G33 I33 K33 E39 G39 I39 K39">
    <cfRule type="colorScale" priority="8255">
      <colorScale>
        <cfvo type="min"/>
        <cfvo type="max"/>
        <color rgb="FFFCFCFF"/>
        <color rgb="FFF8696B"/>
      </colorScale>
    </cfRule>
    <cfRule type="colorScale" priority="8257">
      <colorScale>
        <cfvo type="min"/>
        <cfvo type="percentile" val="50"/>
        <cfvo type="max"/>
        <color rgb="FF63BE7B"/>
        <color rgb="FFFFEB84"/>
        <color rgb="FFF8696B"/>
      </colorScale>
    </cfRule>
  </conditionalFormatting>
  <conditionalFormatting sqref="C13 C39 K18 E13 G13 I13 K13 I18 G18 C23 E23 G23 I23 K23 C28 E28 G28 I28 K28 C33 E33 G33 I33 K33 E39 G39 I39 K39">
    <cfRule type="colorScale" priority="8256">
      <colorScale>
        <cfvo type="min"/>
        <cfvo type="max"/>
        <color rgb="FFF8696B"/>
        <color rgb="FFFCFCFF"/>
      </colorScale>
    </cfRule>
  </conditionalFormatting>
  <conditionalFormatting sqref="G41">
    <cfRule type="colorScale" priority="8254">
      <colorScale>
        <cfvo type="min"/>
        <cfvo type="percentile" val="50"/>
        <cfvo type="max"/>
        <color rgb="FFF8696B"/>
        <color rgb="FFFFEB84"/>
        <color rgb="FF63BE7B"/>
      </colorScale>
    </cfRule>
  </conditionalFormatting>
  <conditionalFormatting sqref="G41">
    <cfRule type="colorScale" priority="8253">
      <colorScale>
        <cfvo type="min"/>
        <cfvo type="percentile" val="50"/>
        <cfvo type="max"/>
        <color rgb="FFF8696B"/>
        <color rgb="FFFFEB84"/>
        <color rgb="FF63BE7B"/>
      </colorScale>
    </cfRule>
  </conditionalFormatting>
  <conditionalFormatting sqref="G41">
    <cfRule type="colorScale" priority="8252">
      <colorScale>
        <cfvo type="min"/>
        <cfvo type="percentile" val="50"/>
        <cfvo type="max"/>
        <color rgb="FFF8696B"/>
        <color rgb="FFFFEB84"/>
        <color rgb="FF63BE7B"/>
      </colorScale>
    </cfRule>
  </conditionalFormatting>
  <conditionalFormatting sqref="G41">
    <cfRule type="colorScale" priority="8251">
      <colorScale>
        <cfvo type="min"/>
        <cfvo type="percentile" val="50"/>
        <cfvo type="max"/>
        <color rgb="FF63BE7B"/>
        <color rgb="FFFFEB84"/>
        <color rgb="FFF8696B"/>
      </colorScale>
    </cfRule>
  </conditionalFormatting>
  <conditionalFormatting sqref="G41">
    <cfRule type="colorScale" priority="8248">
      <colorScale>
        <cfvo type="min"/>
        <cfvo type="max"/>
        <color rgb="FFFCFCFF"/>
        <color rgb="FFF8696B"/>
      </colorScale>
    </cfRule>
    <cfRule type="colorScale" priority="8250">
      <colorScale>
        <cfvo type="min"/>
        <cfvo type="percentile" val="50"/>
        <cfvo type="max"/>
        <color rgb="FF63BE7B"/>
        <color rgb="FFFFEB84"/>
        <color rgb="FFF8696B"/>
      </colorScale>
    </cfRule>
  </conditionalFormatting>
  <conditionalFormatting sqref="G41">
    <cfRule type="colorScale" priority="8249">
      <colorScale>
        <cfvo type="min"/>
        <cfvo type="max"/>
        <color rgb="FFF8696B"/>
        <color rgb="FFFCFCFF"/>
      </colorScale>
    </cfRule>
  </conditionalFormatting>
  <conditionalFormatting sqref="I41">
    <cfRule type="colorScale" priority="8247">
      <colorScale>
        <cfvo type="min"/>
        <cfvo type="percentile" val="50"/>
        <cfvo type="max"/>
        <color rgb="FFF8696B"/>
        <color rgb="FFFFEB84"/>
        <color rgb="FF63BE7B"/>
      </colorScale>
    </cfRule>
  </conditionalFormatting>
  <conditionalFormatting sqref="I41">
    <cfRule type="colorScale" priority="8246">
      <colorScale>
        <cfvo type="min"/>
        <cfvo type="percentile" val="50"/>
        <cfvo type="max"/>
        <color rgb="FFF8696B"/>
        <color rgb="FFFFEB84"/>
        <color rgb="FF63BE7B"/>
      </colorScale>
    </cfRule>
  </conditionalFormatting>
  <conditionalFormatting sqref="I41">
    <cfRule type="colorScale" priority="8245">
      <colorScale>
        <cfvo type="min"/>
        <cfvo type="percentile" val="50"/>
        <cfvo type="max"/>
        <color rgb="FFF8696B"/>
        <color rgb="FFFFEB84"/>
        <color rgb="FF63BE7B"/>
      </colorScale>
    </cfRule>
  </conditionalFormatting>
  <conditionalFormatting sqref="I41">
    <cfRule type="colorScale" priority="8244">
      <colorScale>
        <cfvo type="min"/>
        <cfvo type="percentile" val="50"/>
        <cfvo type="max"/>
        <color rgb="FF63BE7B"/>
        <color rgb="FFFFEB84"/>
        <color rgb="FFF8696B"/>
      </colorScale>
    </cfRule>
  </conditionalFormatting>
  <conditionalFormatting sqref="I41">
    <cfRule type="colorScale" priority="8241">
      <colorScale>
        <cfvo type="min"/>
        <cfvo type="max"/>
        <color rgb="FFFCFCFF"/>
        <color rgb="FFF8696B"/>
      </colorScale>
    </cfRule>
    <cfRule type="colorScale" priority="8243">
      <colorScale>
        <cfvo type="min"/>
        <cfvo type="percentile" val="50"/>
        <cfvo type="max"/>
        <color rgb="FF63BE7B"/>
        <color rgb="FFFFEB84"/>
        <color rgb="FFF8696B"/>
      </colorScale>
    </cfRule>
  </conditionalFormatting>
  <conditionalFormatting sqref="I41">
    <cfRule type="colorScale" priority="8242">
      <colorScale>
        <cfvo type="min"/>
        <cfvo type="max"/>
        <color rgb="FFF8696B"/>
        <color rgb="FFFCFCFF"/>
      </colorScale>
    </cfRule>
  </conditionalFormatting>
  <conditionalFormatting sqref="K41">
    <cfRule type="colorScale" priority="8240">
      <colorScale>
        <cfvo type="min"/>
        <cfvo type="percentile" val="50"/>
        <cfvo type="max"/>
        <color rgb="FFF8696B"/>
        <color rgb="FFFFEB84"/>
        <color rgb="FF63BE7B"/>
      </colorScale>
    </cfRule>
  </conditionalFormatting>
  <conditionalFormatting sqref="K41">
    <cfRule type="colorScale" priority="8239">
      <colorScale>
        <cfvo type="min"/>
        <cfvo type="percentile" val="50"/>
        <cfvo type="max"/>
        <color rgb="FFF8696B"/>
        <color rgb="FFFFEB84"/>
        <color rgb="FF63BE7B"/>
      </colorScale>
    </cfRule>
  </conditionalFormatting>
  <conditionalFormatting sqref="K41">
    <cfRule type="colorScale" priority="8238">
      <colorScale>
        <cfvo type="min"/>
        <cfvo type="percentile" val="50"/>
        <cfvo type="max"/>
        <color rgb="FFF8696B"/>
        <color rgb="FFFFEB84"/>
        <color rgb="FF63BE7B"/>
      </colorScale>
    </cfRule>
  </conditionalFormatting>
  <conditionalFormatting sqref="K41">
    <cfRule type="colorScale" priority="8237">
      <colorScale>
        <cfvo type="min"/>
        <cfvo type="percentile" val="50"/>
        <cfvo type="max"/>
        <color rgb="FF63BE7B"/>
        <color rgb="FFFFEB84"/>
        <color rgb="FFF8696B"/>
      </colorScale>
    </cfRule>
  </conditionalFormatting>
  <conditionalFormatting sqref="K41">
    <cfRule type="colorScale" priority="8234">
      <colorScale>
        <cfvo type="min"/>
        <cfvo type="max"/>
        <color rgb="FFFCFCFF"/>
        <color rgb="FFF8696B"/>
      </colorScale>
    </cfRule>
    <cfRule type="colorScale" priority="8236">
      <colorScale>
        <cfvo type="min"/>
        <cfvo type="percentile" val="50"/>
        <cfvo type="max"/>
        <color rgb="FF63BE7B"/>
        <color rgb="FFFFEB84"/>
        <color rgb="FFF8696B"/>
      </colorScale>
    </cfRule>
  </conditionalFormatting>
  <conditionalFormatting sqref="K41">
    <cfRule type="colorScale" priority="8235">
      <colorScale>
        <cfvo type="min"/>
        <cfvo type="max"/>
        <color rgb="FFF8696B"/>
        <color rgb="FFFCFCFF"/>
      </colorScale>
    </cfRule>
  </conditionalFormatting>
  <conditionalFormatting sqref="C23">
    <cfRule type="colorScale" priority="8233">
      <colorScale>
        <cfvo type="min"/>
        <cfvo type="percentile" val="50"/>
        <cfvo type="max"/>
        <color rgb="FFF8696B"/>
        <color rgb="FFFFEB84"/>
        <color rgb="FF63BE7B"/>
      </colorScale>
    </cfRule>
  </conditionalFormatting>
  <conditionalFormatting sqref="E23">
    <cfRule type="colorScale" priority="8232">
      <colorScale>
        <cfvo type="min"/>
        <cfvo type="percentile" val="50"/>
        <cfvo type="max"/>
        <color rgb="FFF8696B"/>
        <color rgb="FFFFEB84"/>
        <color rgb="FF63BE7B"/>
      </colorScale>
    </cfRule>
  </conditionalFormatting>
  <conditionalFormatting sqref="G23">
    <cfRule type="colorScale" priority="8231">
      <colorScale>
        <cfvo type="min"/>
        <cfvo type="percentile" val="50"/>
        <cfvo type="max"/>
        <color rgb="FFF8696B"/>
        <color rgb="FFFFEB84"/>
        <color rgb="FF63BE7B"/>
      </colorScale>
    </cfRule>
  </conditionalFormatting>
  <conditionalFormatting sqref="I23">
    <cfRule type="colorScale" priority="8230">
      <colorScale>
        <cfvo type="min"/>
        <cfvo type="percentile" val="50"/>
        <cfvo type="max"/>
        <color rgb="FFF8696B"/>
        <color rgb="FFFFEB84"/>
        <color rgb="FF63BE7B"/>
      </colorScale>
    </cfRule>
  </conditionalFormatting>
  <conditionalFormatting sqref="K23">
    <cfRule type="colorScale" priority="8229">
      <colorScale>
        <cfvo type="min"/>
        <cfvo type="percentile" val="50"/>
        <cfvo type="max"/>
        <color rgb="FFF8696B"/>
        <color rgb="FFFFEB84"/>
        <color rgb="FF63BE7B"/>
      </colorScale>
    </cfRule>
  </conditionalFormatting>
  <conditionalFormatting sqref="C28">
    <cfRule type="colorScale" priority="8228">
      <colorScale>
        <cfvo type="min"/>
        <cfvo type="percentile" val="50"/>
        <cfvo type="max"/>
        <color rgb="FFF8696B"/>
        <color rgb="FFFFEB84"/>
        <color rgb="FF63BE7B"/>
      </colorScale>
    </cfRule>
  </conditionalFormatting>
  <conditionalFormatting sqref="E28">
    <cfRule type="colorScale" priority="8227">
      <colorScale>
        <cfvo type="min"/>
        <cfvo type="percentile" val="50"/>
        <cfvo type="max"/>
        <color rgb="FFF8696B"/>
        <color rgb="FFFFEB84"/>
        <color rgb="FF63BE7B"/>
      </colorScale>
    </cfRule>
  </conditionalFormatting>
  <conditionalFormatting sqref="G28">
    <cfRule type="colorScale" priority="8226">
      <colorScale>
        <cfvo type="min"/>
        <cfvo type="percentile" val="50"/>
        <cfvo type="max"/>
        <color rgb="FFF8696B"/>
        <color rgb="FFFFEB84"/>
        <color rgb="FF63BE7B"/>
      </colorScale>
    </cfRule>
  </conditionalFormatting>
  <conditionalFormatting sqref="I28">
    <cfRule type="colorScale" priority="8225">
      <colorScale>
        <cfvo type="min"/>
        <cfvo type="percentile" val="50"/>
        <cfvo type="max"/>
        <color rgb="FFF8696B"/>
        <color rgb="FFFFEB84"/>
        <color rgb="FF63BE7B"/>
      </colorScale>
    </cfRule>
  </conditionalFormatting>
  <conditionalFormatting sqref="K28">
    <cfRule type="colorScale" priority="8224">
      <colorScale>
        <cfvo type="min"/>
        <cfvo type="percentile" val="50"/>
        <cfvo type="max"/>
        <color rgb="FFF8696B"/>
        <color rgb="FFFFEB84"/>
        <color rgb="FF63BE7B"/>
      </colorScale>
    </cfRule>
  </conditionalFormatting>
  <conditionalFormatting sqref="C33">
    <cfRule type="colorScale" priority="8223">
      <colorScale>
        <cfvo type="min"/>
        <cfvo type="percentile" val="50"/>
        <cfvo type="max"/>
        <color rgb="FFF8696B"/>
        <color rgb="FFFFEB84"/>
        <color rgb="FF63BE7B"/>
      </colorScale>
    </cfRule>
  </conditionalFormatting>
  <conditionalFormatting sqref="E33">
    <cfRule type="colorScale" priority="8222">
      <colorScale>
        <cfvo type="min"/>
        <cfvo type="percentile" val="50"/>
        <cfvo type="max"/>
        <color rgb="FFF8696B"/>
        <color rgb="FFFFEB84"/>
        <color rgb="FF63BE7B"/>
      </colorScale>
    </cfRule>
  </conditionalFormatting>
  <conditionalFormatting sqref="G33">
    <cfRule type="colorScale" priority="8221">
      <colorScale>
        <cfvo type="min"/>
        <cfvo type="percentile" val="50"/>
        <cfvo type="max"/>
        <color rgb="FFF8696B"/>
        <color rgb="FFFFEB84"/>
        <color rgb="FF63BE7B"/>
      </colorScale>
    </cfRule>
  </conditionalFormatting>
  <conditionalFormatting sqref="I33">
    <cfRule type="colorScale" priority="8220">
      <colorScale>
        <cfvo type="min"/>
        <cfvo type="percentile" val="50"/>
        <cfvo type="max"/>
        <color rgb="FFF8696B"/>
        <color rgb="FFFFEB84"/>
        <color rgb="FF63BE7B"/>
      </colorScale>
    </cfRule>
  </conditionalFormatting>
  <conditionalFormatting sqref="K33">
    <cfRule type="colorScale" priority="8219">
      <colorScale>
        <cfvo type="min"/>
        <cfvo type="percentile" val="50"/>
        <cfvo type="max"/>
        <color rgb="FFF8696B"/>
        <color rgb="FFFFEB84"/>
        <color rgb="FF63BE7B"/>
      </colorScale>
    </cfRule>
  </conditionalFormatting>
  <conditionalFormatting sqref="C39">
    <cfRule type="colorScale" priority="8218">
      <colorScale>
        <cfvo type="min"/>
        <cfvo type="percentile" val="50"/>
        <cfvo type="max"/>
        <color rgb="FFF8696B"/>
        <color rgb="FFFFEB84"/>
        <color rgb="FF63BE7B"/>
      </colorScale>
    </cfRule>
  </conditionalFormatting>
  <conditionalFormatting sqref="E39">
    <cfRule type="colorScale" priority="8217">
      <colorScale>
        <cfvo type="min"/>
        <cfvo type="percentile" val="50"/>
        <cfvo type="max"/>
        <color rgb="FFF8696B"/>
        <color rgb="FFFFEB84"/>
        <color rgb="FF63BE7B"/>
      </colorScale>
    </cfRule>
  </conditionalFormatting>
  <conditionalFormatting sqref="G39">
    <cfRule type="colorScale" priority="8216">
      <colorScale>
        <cfvo type="min"/>
        <cfvo type="percentile" val="50"/>
        <cfvo type="max"/>
        <color rgb="FFF8696B"/>
        <color rgb="FFFFEB84"/>
        <color rgb="FF63BE7B"/>
      </colorScale>
    </cfRule>
  </conditionalFormatting>
  <conditionalFormatting sqref="I39">
    <cfRule type="colorScale" priority="8215">
      <colorScale>
        <cfvo type="min"/>
        <cfvo type="percentile" val="50"/>
        <cfvo type="max"/>
        <color rgb="FFF8696B"/>
        <color rgb="FFFFEB84"/>
        <color rgb="FF63BE7B"/>
      </colorScale>
    </cfRule>
  </conditionalFormatting>
  <conditionalFormatting sqref="K39">
    <cfRule type="colorScale" priority="8214">
      <colorScale>
        <cfvo type="min"/>
        <cfvo type="percentile" val="50"/>
        <cfvo type="max"/>
        <color rgb="FFF8696B"/>
        <color rgb="FFFFEB84"/>
        <color rgb="FF63BE7B"/>
      </colorScale>
    </cfRule>
  </conditionalFormatting>
  <conditionalFormatting sqref="E13 C39 C13 G13 I13 K13 K18 I18 G18 C23 E23 G23 I23 K23 E18 C18 C28 E28 G28 I28 K28 K33 I33 G33 E33 C33 E39 K39 I39 G39 G41 I41 K41">
    <cfRule type="colorScale" priority="8213">
      <colorScale>
        <cfvo type="min"/>
        <cfvo type="max"/>
        <color rgb="FFFCFCFF"/>
        <color rgb="FFF8696B"/>
      </colorScale>
    </cfRule>
  </conditionalFormatting>
  <conditionalFormatting sqref="C56 C82 E56 C66 E66 C71 E71 C76 E76 E82">
    <cfRule type="colorScale" priority="8212">
      <colorScale>
        <cfvo type="min"/>
        <cfvo type="percentile" val="50"/>
        <cfvo type="max"/>
        <color rgb="FFF8696B"/>
        <color rgb="FFFFEB84"/>
        <color rgb="FF63BE7B"/>
      </colorScale>
    </cfRule>
  </conditionalFormatting>
  <conditionalFormatting sqref="C56 E56">
    <cfRule type="colorScale" priority="8211">
      <colorScale>
        <cfvo type="min"/>
        <cfvo type="percentile" val="50"/>
        <cfvo type="max"/>
        <color rgb="FFF8696B"/>
        <color rgb="FFFFEB84"/>
        <color rgb="FF63BE7B"/>
      </colorScale>
    </cfRule>
  </conditionalFormatting>
  <conditionalFormatting sqref="C56 C82 E56 C66 E66 C71 E71 C76 E76 E82">
    <cfRule type="colorScale" priority="8210">
      <colorScale>
        <cfvo type="min"/>
        <cfvo type="percentile" val="50"/>
        <cfvo type="max"/>
        <color rgb="FF63BE7B"/>
        <color rgb="FFFFEB84"/>
        <color rgb="FFF8696B"/>
      </colorScale>
    </cfRule>
  </conditionalFormatting>
  <conditionalFormatting sqref="C82 C56 E56 C66 E66 C71 E71 C76 E76 E82">
    <cfRule type="colorScale" priority="8207">
      <colorScale>
        <cfvo type="min"/>
        <cfvo type="max"/>
        <color rgb="FFFCFCFF"/>
        <color rgb="FFF8696B"/>
      </colorScale>
    </cfRule>
    <cfRule type="colorScale" priority="8209">
      <colorScale>
        <cfvo type="min"/>
        <cfvo type="percentile" val="50"/>
        <cfvo type="max"/>
        <color rgb="FF63BE7B"/>
        <color rgb="FFFFEB84"/>
        <color rgb="FFF8696B"/>
      </colorScale>
    </cfRule>
  </conditionalFormatting>
  <conditionalFormatting sqref="C56 C82 E56 C66 E66 C71 E71 C76 E76 E82">
    <cfRule type="colorScale" priority="8208">
      <colorScale>
        <cfvo type="min"/>
        <cfvo type="max"/>
        <color rgb="FFF8696B"/>
        <color rgb="FFFCFCFF"/>
      </colorScale>
    </cfRule>
  </conditionalFormatting>
  <conditionalFormatting sqref="G84">
    <cfRule type="colorScale" priority="8206">
      <colorScale>
        <cfvo type="min"/>
        <cfvo type="percentile" val="50"/>
        <cfvo type="max"/>
        <color rgb="FFF8696B"/>
        <color rgb="FFFFEB84"/>
        <color rgb="FF63BE7B"/>
      </colorScale>
    </cfRule>
  </conditionalFormatting>
  <conditionalFormatting sqref="G84">
    <cfRule type="colorScale" priority="8205">
      <colorScale>
        <cfvo type="min"/>
        <cfvo type="percentile" val="50"/>
        <cfvo type="max"/>
        <color rgb="FFF8696B"/>
        <color rgb="FFFFEB84"/>
        <color rgb="FF63BE7B"/>
      </colorScale>
    </cfRule>
  </conditionalFormatting>
  <conditionalFormatting sqref="G84">
    <cfRule type="colorScale" priority="8204">
      <colorScale>
        <cfvo type="min"/>
        <cfvo type="percentile" val="50"/>
        <cfvo type="max"/>
        <color rgb="FFF8696B"/>
        <color rgb="FFFFEB84"/>
        <color rgb="FF63BE7B"/>
      </colorScale>
    </cfRule>
  </conditionalFormatting>
  <conditionalFormatting sqref="G84">
    <cfRule type="colorScale" priority="8203">
      <colorScale>
        <cfvo type="min"/>
        <cfvo type="percentile" val="50"/>
        <cfvo type="max"/>
        <color rgb="FF63BE7B"/>
        <color rgb="FFFFEB84"/>
        <color rgb="FFF8696B"/>
      </colorScale>
    </cfRule>
  </conditionalFormatting>
  <conditionalFormatting sqref="G84">
    <cfRule type="colorScale" priority="8200">
      <colorScale>
        <cfvo type="min"/>
        <cfvo type="max"/>
        <color rgb="FFFCFCFF"/>
        <color rgb="FFF8696B"/>
      </colorScale>
    </cfRule>
    <cfRule type="colorScale" priority="8202">
      <colorScale>
        <cfvo type="min"/>
        <cfvo type="percentile" val="50"/>
        <cfvo type="max"/>
        <color rgb="FF63BE7B"/>
        <color rgb="FFFFEB84"/>
        <color rgb="FFF8696B"/>
      </colorScale>
    </cfRule>
  </conditionalFormatting>
  <conditionalFormatting sqref="G84">
    <cfRule type="colorScale" priority="8201">
      <colorScale>
        <cfvo type="min"/>
        <cfvo type="max"/>
        <color rgb="FFF8696B"/>
        <color rgb="FFFCFCFF"/>
      </colorScale>
    </cfRule>
  </conditionalFormatting>
  <conditionalFormatting sqref="I84">
    <cfRule type="colorScale" priority="8199">
      <colorScale>
        <cfvo type="min"/>
        <cfvo type="percentile" val="50"/>
        <cfvo type="max"/>
        <color rgb="FFF8696B"/>
        <color rgb="FFFFEB84"/>
        <color rgb="FF63BE7B"/>
      </colorScale>
    </cfRule>
  </conditionalFormatting>
  <conditionalFormatting sqref="I84">
    <cfRule type="colorScale" priority="8198">
      <colorScale>
        <cfvo type="min"/>
        <cfvo type="percentile" val="50"/>
        <cfvo type="max"/>
        <color rgb="FFF8696B"/>
        <color rgb="FFFFEB84"/>
        <color rgb="FF63BE7B"/>
      </colorScale>
    </cfRule>
  </conditionalFormatting>
  <conditionalFormatting sqref="I84">
    <cfRule type="colorScale" priority="8197">
      <colorScale>
        <cfvo type="min"/>
        <cfvo type="percentile" val="50"/>
        <cfvo type="max"/>
        <color rgb="FFF8696B"/>
        <color rgb="FFFFEB84"/>
        <color rgb="FF63BE7B"/>
      </colorScale>
    </cfRule>
  </conditionalFormatting>
  <conditionalFormatting sqref="I84">
    <cfRule type="colorScale" priority="8196">
      <colorScale>
        <cfvo type="min"/>
        <cfvo type="percentile" val="50"/>
        <cfvo type="max"/>
        <color rgb="FF63BE7B"/>
        <color rgb="FFFFEB84"/>
        <color rgb="FFF8696B"/>
      </colorScale>
    </cfRule>
  </conditionalFormatting>
  <conditionalFormatting sqref="I84">
    <cfRule type="colorScale" priority="8193">
      <colorScale>
        <cfvo type="min"/>
        <cfvo type="max"/>
        <color rgb="FFFCFCFF"/>
        <color rgb="FFF8696B"/>
      </colorScale>
    </cfRule>
    <cfRule type="colorScale" priority="8195">
      <colorScale>
        <cfvo type="min"/>
        <cfvo type="percentile" val="50"/>
        <cfvo type="max"/>
        <color rgb="FF63BE7B"/>
        <color rgb="FFFFEB84"/>
        <color rgb="FFF8696B"/>
      </colorScale>
    </cfRule>
  </conditionalFormatting>
  <conditionalFormatting sqref="I84">
    <cfRule type="colorScale" priority="8194">
      <colorScale>
        <cfvo type="min"/>
        <cfvo type="max"/>
        <color rgb="FFF8696B"/>
        <color rgb="FFFCFCFF"/>
      </colorScale>
    </cfRule>
  </conditionalFormatting>
  <conditionalFormatting sqref="K84">
    <cfRule type="colorScale" priority="8192">
      <colorScale>
        <cfvo type="min"/>
        <cfvo type="percentile" val="50"/>
        <cfvo type="max"/>
        <color rgb="FFF8696B"/>
        <color rgb="FFFFEB84"/>
        <color rgb="FF63BE7B"/>
      </colorScale>
    </cfRule>
  </conditionalFormatting>
  <conditionalFormatting sqref="K84">
    <cfRule type="colorScale" priority="8191">
      <colorScale>
        <cfvo type="min"/>
        <cfvo type="percentile" val="50"/>
        <cfvo type="max"/>
        <color rgb="FFF8696B"/>
        <color rgb="FFFFEB84"/>
        <color rgb="FF63BE7B"/>
      </colorScale>
    </cfRule>
  </conditionalFormatting>
  <conditionalFormatting sqref="K84">
    <cfRule type="colorScale" priority="8190">
      <colorScale>
        <cfvo type="min"/>
        <cfvo type="percentile" val="50"/>
        <cfvo type="max"/>
        <color rgb="FFF8696B"/>
        <color rgb="FFFFEB84"/>
        <color rgb="FF63BE7B"/>
      </colorScale>
    </cfRule>
  </conditionalFormatting>
  <conditionalFormatting sqref="K84">
    <cfRule type="colorScale" priority="8189">
      <colorScale>
        <cfvo type="min"/>
        <cfvo type="percentile" val="50"/>
        <cfvo type="max"/>
        <color rgb="FF63BE7B"/>
        <color rgb="FFFFEB84"/>
        <color rgb="FFF8696B"/>
      </colorScale>
    </cfRule>
  </conditionalFormatting>
  <conditionalFormatting sqref="K84">
    <cfRule type="colorScale" priority="8186">
      <colorScale>
        <cfvo type="min"/>
        <cfvo type="max"/>
        <color rgb="FFFCFCFF"/>
        <color rgb="FFF8696B"/>
      </colorScale>
    </cfRule>
    <cfRule type="colorScale" priority="8188">
      <colorScale>
        <cfvo type="min"/>
        <cfvo type="percentile" val="50"/>
        <cfvo type="max"/>
        <color rgb="FF63BE7B"/>
        <color rgb="FFFFEB84"/>
        <color rgb="FFF8696B"/>
      </colorScale>
    </cfRule>
  </conditionalFormatting>
  <conditionalFormatting sqref="K84">
    <cfRule type="colorScale" priority="8187">
      <colorScale>
        <cfvo type="min"/>
        <cfvo type="max"/>
        <color rgb="FFF8696B"/>
        <color rgb="FFFCFCFF"/>
      </colorScale>
    </cfRule>
  </conditionalFormatting>
  <conditionalFormatting sqref="C66">
    <cfRule type="colorScale" priority="8185">
      <colorScale>
        <cfvo type="min"/>
        <cfvo type="percentile" val="50"/>
        <cfvo type="max"/>
        <color rgb="FFF8696B"/>
        <color rgb="FFFFEB84"/>
        <color rgb="FF63BE7B"/>
      </colorScale>
    </cfRule>
  </conditionalFormatting>
  <conditionalFormatting sqref="E66">
    <cfRule type="colorScale" priority="8184">
      <colorScale>
        <cfvo type="min"/>
        <cfvo type="percentile" val="50"/>
        <cfvo type="max"/>
        <color rgb="FFF8696B"/>
        <color rgb="FFFFEB84"/>
        <color rgb="FF63BE7B"/>
      </colorScale>
    </cfRule>
  </conditionalFormatting>
  <conditionalFormatting sqref="C71">
    <cfRule type="colorScale" priority="8183">
      <colorScale>
        <cfvo type="min"/>
        <cfvo type="percentile" val="50"/>
        <cfvo type="max"/>
        <color rgb="FFF8696B"/>
        <color rgb="FFFFEB84"/>
        <color rgb="FF63BE7B"/>
      </colorScale>
    </cfRule>
  </conditionalFormatting>
  <conditionalFormatting sqref="E71">
    <cfRule type="colorScale" priority="8182">
      <colorScale>
        <cfvo type="min"/>
        <cfvo type="percentile" val="50"/>
        <cfvo type="max"/>
        <color rgb="FFF8696B"/>
        <color rgb="FFFFEB84"/>
        <color rgb="FF63BE7B"/>
      </colorScale>
    </cfRule>
  </conditionalFormatting>
  <conditionalFormatting sqref="C76">
    <cfRule type="colorScale" priority="8181">
      <colorScale>
        <cfvo type="min"/>
        <cfvo type="percentile" val="50"/>
        <cfvo type="max"/>
        <color rgb="FFF8696B"/>
        <color rgb="FFFFEB84"/>
        <color rgb="FF63BE7B"/>
      </colorScale>
    </cfRule>
  </conditionalFormatting>
  <conditionalFormatting sqref="E76">
    <cfRule type="colorScale" priority="8180">
      <colorScale>
        <cfvo type="min"/>
        <cfvo type="percentile" val="50"/>
        <cfvo type="max"/>
        <color rgb="FFF8696B"/>
        <color rgb="FFFFEB84"/>
        <color rgb="FF63BE7B"/>
      </colorScale>
    </cfRule>
  </conditionalFormatting>
  <conditionalFormatting sqref="C82">
    <cfRule type="colorScale" priority="8179">
      <colorScale>
        <cfvo type="min"/>
        <cfvo type="percentile" val="50"/>
        <cfvo type="max"/>
        <color rgb="FFF8696B"/>
        <color rgb="FFFFEB84"/>
        <color rgb="FF63BE7B"/>
      </colorScale>
    </cfRule>
  </conditionalFormatting>
  <conditionalFormatting sqref="E82">
    <cfRule type="colorScale" priority="8178">
      <colorScale>
        <cfvo type="min"/>
        <cfvo type="percentile" val="50"/>
        <cfvo type="max"/>
        <color rgb="FFF8696B"/>
        <color rgb="FFFFEB84"/>
        <color rgb="FF63BE7B"/>
      </colorScale>
    </cfRule>
  </conditionalFormatting>
  <conditionalFormatting sqref="C56 C82 E56 C66 E66 E61 C61 C71 E71 E76 C76 E82 G84 I84 K84">
    <cfRule type="colorScale" priority="8177">
      <colorScale>
        <cfvo type="min"/>
        <cfvo type="max"/>
        <color rgb="FFFCFCFF"/>
        <color rgb="FFF8696B"/>
      </colorScale>
    </cfRule>
  </conditionalFormatting>
  <conditionalFormatting sqref="M84">
    <cfRule type="colorScale" priority="8176">
      <colorScale>
        <cfvo type="min"/>
        <cfvo type="percentile" val="50"/>
        <cfvo type="max"/>
        <color rgb="FFF8696B"/>
        <color rgb="FFFFEB84"/>
        <color rgb="FF63BE7B"/>
      </colorScale>
    </cfRule>
  </conditionalFormatting>
  <conditionalFormatting sqref="M84">
    <cfRule type="colorScale" priority="8175">
      <colorScale>
        <cfvo type="min"/>
        <cfvo type="percentile" val="50"/>
        <cfvo type="max"/>
        <color rgb="FFF8696B"/>
        <color rgb="FFFFEB84"/>
        <color rgb="FF63BE7B"/>
      </colorScale>
    </cfRule>
  </conditionalFormatting>
  <conditionalFormatting sqref="M84">
    <cfRule type="colorScale" priority="8174">
      <colorScale>
        <cfvo type="min"/>
        <cfvo type="percentile" val="50"/>
        <cfvo type="max"/>
        <color rgb="FFF8696B"/>
        <color rgb="FFFFEB84"/>
        <color rgb="FF63BE7B"/>
      </colorScale>
    </cfRule>
  </conditionalFormatting>
  <conditionalFormatting sqref="M84">
    <cfRule type="colorScale" priority="8173">
      <colorScale>
        <cfvo type="min"/>
        <cfvo type="percentile" val="50"/>
        <cfvo type="max"/>
        <color rgb="FF63BE7B"/>
        <color rgb="FFFFEB84"/>
        <color rgb="FFF8696B"/>
      </colorScale>
    </cfRule>
  </conditionalFormatting>
  <conditionalFormatting sqref="M84">
    <cfRule type="colorScale" priority="8170">
      <colorScale>
        <cfvo type="min"/>
        <cfvo type="max"/>
        <color rgb="FFFCFCFF"/>
        <color rgb="FFF8696B"/>
      </colorScale>
    </cfRule>
    <cfRule type="colorScale" priority="8172">
      <colorScale>
        <cfvo type="min"/>
        <cfvo type="percentile" val="50"/>
        <cfvo type="max"/>
        <color rgb="FF63BE7B"/>
        <color rgb="FFFFEB84"/>
        <color rgb="FFF8696B"/>
      </colorScale>
    </cfRule>
  </conditionalFormatting>
  <conditionalFormatting sqref="M84">
    <cfRule type="colorScale" priority="8171">
      <colorScale>
        <cfvo type="min"/>
        <cfvo type="max"/>
        <color rgb="FFF8696B"/>
        <color rgb="FFFCFCFF"/>
      </colorScale>
    </cfRule>
  </conditionalFormatting>
  <conditionalFormatting sqref="M84">
    <cfRule type="colorScale" priority="8169">
      <colorScale>
        <cfvo type="min"/>
        <cfvo type="max"/>
        <color rgb="FFFCFCFF"/>
        <color rgb="FFF8696B"/>
      </colorScale>
    </cfRule>
  </conditionalFormatting>
  <conditionalFormatting sqref="O84">
    <cfRule type="colorScale" priority="8168">
      <colorScale>
        <cfvo type="min"/>
        <cfvo type="percentile" val="50"/>
        <cfvo type="max"/>
        <color rgb="FFF8696B"/>
        <color rgb="FFFFEB84"/>
        <color rgb="FF63BE7B"/>
      </colorScale>
    </cfRule>
  </conditionalFormatting>
  <conditionalFormatting sqref="O84">
    <cfRule type="colorScale" priority="8167">
      <colorScale>
        <cfvo type="min"/>
        <cfvo type="percentile" val="50"/>
        <cfvo type="max"/>
        <color rgb="FFF8696B"/>
        <color rgb="FFFFEB84"/>
        <color rgb="FF63BE7B"/>
      </colorScale>
    </cfRule>
  </conditionalFormatting>
  <conditionalFormatting sqref="O84">
    <cfRule type="colorScale" priority="8166">
      <colorScale>
        <cfvo type="min"/>
        <cfvo type="percentile" val="50"/>
        <cfvo type="max"/>
        <color rgb="FFF8696B"/>
        <color rgb="FFFFEB84"/>
        <color rgb="FF63BE7B"/>
      </colorScale>
    </cfRule>
  </conditionalFormatting>
  <conditionalFormatting sqref="O84">
    <cfRule type="colorScale" priority="8165">
      <colorScale>
        <cfvo type="min"/>
        <cfvo type="percentile" val="50"/>
        <cfvo type="max"/>
        <color rgb="FF63BE7B"/>
        <color rgb="FFFFEB84"/>
        <color rgb="FFF8696B"/>
      </colorScale>
    </cfRule>
  </conditionalFormatting>
  <conditionalFormatting sqref="O84">
    <cfRule type="colorScale" priority="8162">
      <colorScale>
        <cfvo type="min"/>
        <cfvo type="max"/>
        <color rgb="FFFCFCFF"/>
        <color rgb="FFF8696B"/>
      </colorScale>
    </cfRule>
    <cfRule type="colorScale" priority="8164">
      <colorScale>
        <cfvo type="min"/>
        <cfvo type="percentile" val="50"/>
        <cfvo type="max"/>
        <color rgb="FF63BE7B"/>
        <color rgb="FFFFEB84"/>
        <color rgb="FFF8696B"/>
      </colorScale>
    </cfRule>
  </conditionalFormatting>
  <conditionalFormatting sqref="O84">
    <cfRule type="colorScale" priority="8163">
      <colorScale>
        <cfvo type="min"/>
        <cfvo type="max"/>
        <color rgb="FFF8696B"/>
        <color rgb="FFFCFCFF"/>
      </colorScale>
    </cfRule>
  </conditionalFormatting>
  <conditionalFormatting sqref="O84">
    <cfRule type="colorScale" priority="8161">
      <colorScale>
        <cfvo type="min"/>
        <cfvo type="max"/>
        <color rgb="FFFCFCFF"/>
        <color rgb="FFF8696B"/>
      </colorScale>
    </cfRule>
  </conditionalFormatting>
  <conditionalFormatting sqref="C99 C125 E99 G99 I99 K99 G109 I109 K109 G114 I114 K114 C119 E119 G119 I119 K119 E125 G125 I125 K125">
    <cfRule type="colorScale" priority="8160">
      <colorScale>
        <cfvo type="min"/>
        <cfvo type="percentile" val="50"/>
        <cfvo type="max"/>
        <color rgb="FFF8696B"/>
        <color rgb="FFFFEB84"/>
        <color rgb="FF63BE7B"/>
      </colorScale>
    </cfRule>
  </conditionalFormatting>
  <conditionalFormatting sqref="K119">
    <cfRule type="colorScale" priority="8159">
      <colorScale>
        <cfvo type="min"/>
        <cfvo type="percentile" val="50"/>
        <cfvo type="max"/>
        <color rgb="FFF8696B"/>
        <color rgb="FFFFEB84"/>
        <color rgb="FF63BE7B"/>
      </colorScale>
    </cfRule>
  </conditionalFormatting>
  <conditionalFormatting sqref="E99 C99 G99 I99 K99">
    <cfRule type="colorScale" priority="8158">
      <colorScale>
        <cfvo type="min"/>
        <cfvo type="percentile" val="50"/>
        <cfvo type="max"/>
        <color rgb="FFF8696B"/>
        <color rgb="FFFFEB84"/>
        <color rgb="FF63BE7B"/>
      </colorScale>
    </cfRule>
  </conditionalFormatting>
  <conditionalFormatting sqref="C99 C125 E99 G99 I99 K99 G109 I109 K109 G114 I114 K114 C119 E119 G119 I119 K119 E125 G125 I125 K125">
    <cfRule type="colorScale" priority="8157">
      <colorScale>
        <cfvo type="min"/>
        <cfvo type="percentile" val="50"/>
        <cfvo type="max"/>
        <color rgb="FF63BE7B"/>
        <color rgb="FFFFEB84"/>
        <color rgb="FFF8696B"/>
      </colorScale>
    </cfRule>
  </conditionalFormatting>
  <conditionalFormatting sqref="C125 C99 E99 G99 I99 K99 G109 I109 K109 G114 I114 K114 C119 E119 G119 I119 K119 E125 G125 I125 K125">
    <cfRule type="colorScale" priority="8154">
      <colorScale>
        <cfvo type="min"/>
        <cfvo type="max"/>
        <color rgb="FFFCFCFF"/>
        <color rgb="FFF8696B"/>
      </colorScale>
    </cfRule>
    <cfRule type="colorScale" priority="8156">
      <colorScale>
        <cfvo type="min"/>
        <cfvo type="percentile" val="50"/>
        <cfvo type="max"/>
        <color rgb="FF63BE7B"/>
        <color rgb="FFFFEB84"/>
        <color rgb="FFF8696B"/>
      </colorScale>
    </cfRule>
  </conditionalFormatting>
  <conditionalFormatting sqref="E99 C125 C99 G99 I99 K99 G109 I109 K109 G114 I114 K114 C119 E119 G119 I119 K119 E125 G125 I125 K125">
    <cfRule type="colorScale" priority="8155">
      <colorScale>
        <cfvo type="min"/>
        <cfvo type="max"/>
        <color rgb="FFF8696B"/>
        <color rgb="FFFCFCFF"/>
      </colorScale>
    </cfRule>
  </conditionalFormatting>
  <conditionalFormatting sqref="G127">
    <cfRule type="colorScale" priority="8153">
      <colorScale>
        <cfvo type="min"/>
        <cfvo type="percentile" val="50"/>
        <cfvo type="max"/>
        <color rgb="FFF8696B"/>
        <color rgb="FFFFEB84"/>
        <color rgb="FF63BE7B"/>
      </colorScale>
    </cfRule>
  </conditionalFormatting>
  <conditionalFormatting sqref="G127">
    <cfRule type="colorScale" priority="8152">
      <colorScale>
        <cfvo type="min"/>
        <cfvo type="percentile" val="50"/>
        <cfvo type="max"/>
        <color rgb="FFF8696B"/>
        <color rgb="FFFFEB84"/>
        <color rgb="FF63BE7B"/>
      </colorScale>
    </cfRule>
  </conditionalFormatting>
  <conditionalFormatting sqref="G127">
    <cfRule type="colorScale" priority="8151">
      <colorScale>
        <cfvo type="min"/>
        <cfvo type="percentile" val="50"/>
        <cfvo type="max"/>
        <color rgb="FFF8696B"/>
        <color rgb="FFFFEB84"/>
        <color rgb="FF63BE7B"/>
      </colorScale>
    </cfRule>
  </conditionalFormatting>
  <conditionalFormatting sqref="G127">
    <cfRule type="colorScale" priority="8150">
      <colorScale>
        <cfvo type="min"/>
        <cfvo type="percentile" val="50"/>
        <cfvo type="max"/>
        <color rgb="FF63BE7B"/>
        <color rgb="FFFFEB84"/>
        <color rgb="FFF8696B"/>
      </colorScale>
    </cfRule>
  </conditionalFormatting>
  <conditionalFormatting sqref="G127">
    <cfRule type="colorScale" priority="8147">
      <colorScale>
        <cfvo type="min"/>
        <cfvo type="max"/>
        <color rgb="FFFCFCFF"/>
        <color rgb="FFF8696B"/>
      </colorScale>
    </cfRule>
    <cfRule type="colorScale" priority="8149">
      <colorScale>
        <cfvo type="min"/>
        <cfvo type="percentile" val="50"/>
        <cfvo type="max"/>
        <color rgb="FF63BE7B"/>
        <color rgb="FFFFEB84"/>
        <color rgb="FFF8696B"/>
      </colorScale>
    </cfRule>
  </conditionalFormatting>
  <conditionalFormatting sqref="G127">
    <cfRule type="colorScale" priority="8148">
      <colorScale>
        <cfvo type="min"/>
        <cfvo type="max"/>
        <color rgb="FFF8696B"/>
        <color rgb="FFFCFCFF"/>
      </colorScale>
    </cfRule>
  </conditionalFormatting>
  <conditionalFormatting sqref="I127">
    <cfRule type="colorScale" priority="8146">
      <colorScale>
        <cfvo type="min"/>
        <cfvo type="percentile" val="50"/>
        <cfvo type="max"/>
        <color rgb="FFF8696B"/>
        <color rgb="FFFFEB84"/>
        <color rgb="FF63BE7B"/>
      </colorScale>
    </cfRule>
  </conditionalFormatting>
  <conditionalFormatting sqref="I127">
    <cfRule type="colorScale" priority="8145">
      <colorScale>
        <cfvo type="min"/>
        <cfvo type="percentile" val="50"/>
        <cfvo type="max"/>
        <color rgb="FFF8696B"/>
        <color rgb="FFFFEB84"/>
        <color rgb="FF63BE7B"/>
      </colorScale>
    </cfRule>
  </conditionalFormatting>
  <conditionalFormatting sqref="I127">
    <cfRule type="colorScale" priority="8144">
      <colorScale>
        <cfvo type="min"/>
        <cfvo type="percentile" val="50"/>
        <cfvo type="max"/>
        <color rgb="FFF8696B"/>
        <color rgb="FFFFEB84"/>
        <color rgb="FF63BE7B"/>
      </colorScale>
    </cfRule>
  </conditionalFormatting>
  <conditionalFormatting sqref="I127">
    <cfRule type="colorScale" priority="8143">
      <colorScale>
        <cfvo type="min"/>
        <cfvo type="percentile" val="50"/>
        <cfvo type="max"/>
        <color rgb="FF63BE7B"/>
        <color rgb="FFFFEB84"/>
        <color rgb="FFF8696B"/>
      </colorScale>
    </cfRule>
  </conditionalFormatting>
  <conditionalFormatting sqref="I127">
    <cfRule type="colorScale" priority="8140">
      <colorScale>
        <cfvo type="min"/>
        <cfvo type="max"/>
        <color rgb="FFFCFCFF"/>
        <color rgb="FFF8696B"/>
      </colorScale>
    </cfRule>
    <cfRule type="colorScale" priority="8142">
      <colorScale>
        <cfvo type="min"/>
        <cfvo type="percentile" val="50"/>
        <cfvo type="max"/>
        <color rgb="FF63BE7B"/>
        <color rgb="FFFFEB84"/>
        <color rgb="FFF8696B"/>
      </colorScale>
    </cfRule>
  </conditionalFormatting>
  <conditionalFormatting sqref="I127">
    <cfRule type="colorScale" priority="8141">
      <colorScale>
        <cfvo type="min"/>
        <cfvo type="max"/>
        <color rgb="FFF8696B"/>
        <color rgb="FFFCFCFF"/>
      </colorScale>
    </cfRule>
  </conditionalFormatting>
  <conditionalFormatting sqref="K127">
    <cfRule type="colorScale" priority="8139">
      <colorScale>
        <cfvo type="min"/>
        <cfvo type="percentile" val="50"/>
        <cfvo type="max"/>
        <color rgb="FFF8696B"/>
        <color rgb="FFFFEB84"/>
        <color rgb="FF63BE7B"/>
      </colorScale>
    </cfRule>
  </conditionalFormatting>
  <conditionalFormatting sqref="K127">
    <cfRule type="colorScale" priority="8138">
      <colorScale>
        <cfvo type="min"/>
        <cfvo type="percentile" val="50"/>
        <cfvo type="max"/>
        <color rgb="FFF8696B"/>
        <color rgb="FFFFEB84"/>
        <color rgb="FF63BE7B"/>
      </colorScale>
    </cfRule>
  </conditionalFormatting>
  <conditionalFormatting sqref="K127">
    <cfRule type="colorScale" priority="8137">
      <colorScale>
        <cfvo type="min"/>
        <cfvo type="percentile" val="50"/>
        <cfvo type="max"/>
        <color rgb="FFF8696B"/>
        <color rgb="FFFFEB84"/>
        <color rgb="FF63BE7B"/>
      </colorScale>
    </cfRule>
  </conditionalFormatting>
  <conditionalFormatting sqref="K127">
    <cfRule type="colorScale" priority="8136">
      <colorScale>
        <cfvo type="min"/>
        <cfvo type="percentile" val="50"/>
        <cfvo type="max"/>
        <color rgb="FF63BE7B"/>
        <color rgb="FFFFEB84"/>
        <color rgb="FFF8696B"/>
      </colorScale>
    </cfRule>
  </conditionalFormatting>
  <conditionalFormatting sqref="K127">
    <cfRule type="colorScale" priority="8133">
      <colorScale>
        <cfvo type="min"/>
        <cfvo type="max"/>
        <color rgb="FFFCFCFF"/>
        <color rgb="FFF8696B"/>
      </colorScale>
    </cfRule>
    <cfRule type="colorScale" priority="8135">
      <colorScale>
        <cfvo type="min"/>
        <cfvo type="percentile" val="50"/>
        <cfvo type="max"/>
        <color rgb="FF63BE7B"/>
        <color rgb="FFFFEB84"/>
        <color rgb="FFF8696B"/>
      </colorScale>
    </cfRule>
  </conditionalFormatting>
  <conditionalFormatting sqref="K127">
    <cfRule type="colorScale" priority="8134">
      <colorScale>
        <cfvo type="min"/>
        <cfvo type="max"/>
        <color rgb="FFF8696B"/>
        <color rgb="FFFCFCFF"/>
      </colorScale>
    </cfRule>
  </conditionalFormatting>
  <conditionalFormatting sqref="G109">
    <cfRule type="colorScale" priority="8132">
      <colorScale>
        <cfvo type="min"/>
        <cfvo type="percentile" val="50"/>
        <cfvo type="max"/>
        <color rgb="FFF8696B"/>
        <color rgb="FFFFEB84"/>
        <color rgb="FF63BE7B"/>
      </colorScale>
    </cfRule>
  </conditionalFormatting>
  <conditionalFormatting sqref="I109">
    <cfRule type="colorScale" priority="8131">
      <colorScale>
        <cfvo type="min"/>
        <cfvo type="percentile" val="50"/>
        <cfvo type="max"/>
        <color rgb="FFF8696B"/>
        <color rgb="FFFFEB84"/>
        <color rgb="FF63BE7B"/>
      </colorScale>
    </cfRule>
  </conditionalFormatting>
  <conditionalFormatting sqref="K109">
    <cfRule type="colorScale" priority="8130">
      <colorScale>
        <cfvo type="min"/>
        <cfvo type="percentile" val="50"/>
        <cfvo type="max"/>
        <color rgb="FFF8696B"/>
        <color rgb="FFFFEB84"/>
        <color rgb="FF63BE7B"/>
      </colorScale>
    </cfRule>
  </conditionalFormatting>
  <conditionalFormatting sqref="G114">
    <cfRule type="colorScale" priority="8129">
      <colorScale>
        <cfvo type="min"/>
        <cfvo type="percentile" val="50"/>
        <cfvo type="max"/>
        <color rgb="FFF8696B"/>
        <color rgb="FFFFEB84"/>
        <color rgb="FF63BE7B"/>
      </colorScale>
    </cfRule>
  </conditionalFormatting>
  <conditionalFormatting sqref="I114">
    <cfRule type="colorScale" priority="8128">
      <colorScale>
        <cfvo type="min"/>
        <cfvo type="percentile" val="50"/>
        <cfvo type="max"/>
        <color rgb="FFF8696B"/>
        <color rgb="FFFFEB84"/>
        <color rgb="FF63BE7B"/>
      </colorScale>
    </cfRule>
  </conditionalFormatting>
  <conditionalFormatting sqref="K114">
    <cfRule type="colorScale" priority="8127">
      <colorScale>
        <cfvo type="min"/>
        <cfvo type="percentile" val="50"/>
        <cfvo type="max"/>
        <color rgb="FFF8696B"/>
        <color rgb="FFFFEB84"/>
        <color rgb="FF63BE7B"/>
      </colorScale>
    </cfRule>
  </conditionalFormatting>
  <conditionalFormatting sqref="C119">
    <cfRule type="colorScale" priority="8126">
      <colorScale>
        <cfvo type="min"/>
        <cfvo type="percentile" val="50"/>
        <cfvo type="max"/>
        <color rgb="FFF8696B"/>
        <color rgb="FFFFEB84"/>
        <color rgb="FF63BE7B"/>
      </colorScale>
    </cfRule>
  </conditionalFormatting>
  <conditionalFormatting sqref="E119">
    <cfRule type="colorScale" priority="8125">
      <colorScale>
        <cfvo type="min"/>
        <cfvo type="percentile" val="50"/>
        <cfvo type="max"/>
        <color rgb="FFF8696B"/>
        <color rgb="FFFFEB84"/>
        <color rgb="FF63BE7B"/>
      </colorScale>
    </cfRule>
  </conditionalFormatting>
  <conditionalFormatting sqref="G119">
    <cfRule type="colorScale" priority="8124">
      <colorScale>
        <cfvo type="min"/>
        <cfvo type="percentile" val="50"/>
        <cfvo type="max"/>
        <color rgb="FFF8696B"/>
        <color rgb="FFFFEB84"/>
        <color rgb="FF63BE7B"/>
      </colorScale>
    </cfRule>
  </conditionalFormatting>
  <conditionalFormatting sqref="I119">
    <cfRule type="colorScale" priority="8123">
      <colorScale>
        <cfvo type="min"/>
        <cfvo type="percentile" val="50"/>
        <cfvo type="max"/>
        <color rgb="FFF8696B"/>
        <color rgb="FFFFEB84"/>
        <color rgb="FF63BE7B"/>
      </colorScale>
    </cfRule>
  </conditionalFormatting>
  <conditionalFormatting sqref="K119">
    <cfRule type="colorScale" priority="8122">
      <colorScale>
        <cfvo type="min"/>
        <cfvo type="percentile" val="50"/>
        <cfvo type="max"/>
        <color rgb="FFF8696B"/>
        <color rgb="FFFFEB84"/>
        <color rgb="FF63BE7B"/>
      </colorScale>
    </cfRule>
  </conditionalFormatting>
  <conditionalFormatting sqref="C125">
    <cfRule type="colorScale" priority="8121">
      <colorScale>
        <cfvo type="min"/>
        <cfvo type="percentile" val="50"/>
        <cfvo type="max"/>
        <color rgb="FFF8696B"/>
        <color rgb="FFFFEB84"/>
        <color rgb="FF63BE7B"/>
      </colorScale>
    </cfRule>
  </conditionalFormatting>
  <conditionalFormatting sqref="E125">
    <cfRule type="colorScale" priority="8120">
      <colorScale>
        <cfvo type="min"/>
        <cfvo type="percentile" val="50"/>
        <cfvo type="max"/>
        <color rgb="FFF8696B"/>
        <color rgb="FFFFEB84"/>
        <color rgb="FF63BE7B"/>
      </colorScale>
    </cfRule>
  </conditionalFormatting>
  <conditionalFormatting sqref="G125">
    <cfRule type="colorScale" priority="8119">
      <colorScale>
        <cfvo type="min"/>
        <cfvo type="percentile" val="50"/>
        <cfvo type="max"/>
        <color rgb="FFF8696B"/>
        <color rgb="FFFFEB84"/>
        <color rgb="FF63BE7B"/>
      </colorScale>
    </cfRule>
  </conditionalFormatting>
  <conditionalFormatting sqref="I125">
    <cfRule type="colorScale" priority="8118">
      <colorScale>
        <cfvo type="min"/>
        <cfvo type="percentile" val="50"/>
        <cfvo type="max"/>
        <color rgb="FFF8696B"/>
        <color rgb="FFFFEB84"/>
        <color rgb="FF63BE7B"/>
      </colorScale>
    </cfRule>
  </conditionalFormatting>
  <conditionalFormatting sqref="K125">
    <cfRule type="colorScale" priority="8117">
      <colorScale>
        <cfvo type="min"/>
        <cfvo type="percentile" val="50"/>
        <cfvo type="max"/>
        <color rgb="FFF8696B"/>
        <color rgb="FFFFEB84"/>
        <color rgb="FF63BE7B"/>
      </colorScale>
    </cfRule>
  </conditionalFormatting>
  <conditionalFormatting sqref="C99 C125 E99 G99 I99 K99 G109 I109 K109 E104 C104 G114 I114 K114 K119 I119 G119 E119 C119 E125 K125 I125 G125 G127 I127 K127">
    <cfRule type="colorScale" priority="8116">
      <colorScale>
        <cfvo type="min"/>
        <cfvo type="max"/>
        <color rgb="FFFCFCFF"/>
        <color rgb="FFF8696B"/>
      </colorScale>
    </cfRule>
  </conditionalFormatting>
  <conditionalFormatting sqref="M99 M125 M109 M114 M119">
    <cfRule type="colorScale" priority="8115">
      <colorScale>
        <cfvo type="min"/>
        <cfvo type="percentile" val="50"/>
        <cfvo type="max"/>
        <color rgb="FFF8696B"/>
        <color rgb="FFFFEB84"/>
        <color rgb="FF63BE7B"/>
      </colorScale>
    </cfRule>
  </conditionalFormatting>
  <conditionalFormatting sqref="M119">
    <cfRule type="colorScale" priority="8114">
      <colorScale>
        <cfvo type="min"/>
        <cfvo type="percentile" val="50"/>
        <cfvo type="max"/>
        <color rgb="FFF8696B"/>
        <color rgb="FFFFEB84"/>
        <color rgb="FF63BE7B"/>
      </colorScale>
    </cfRule>
  </conditionalFormatting>
  <conditionalFormatting sqref="M99">
    <cfRule type="colorScale" priority="8113">
      <colorScale>
        <cfvo type="min"/>
        <cfvo type="percentile" val="50"/>
        <cfvo type="max"/>
        <color rgb="FFF8696B"/>
        <color rgb="FFFFEB84"/>
        <color rgb="FF63BE7B"/>
      </colorScale>
    </cfRule>
  </conditionalFormatting>
  <conditionalFormatting sqref="M99 M125 M109 M114 M119">
    <cfRule type="colorScale" priority="8112">
      <colorScale>
        <cfvo type="min"/>
        <cfvo type="percentile" val="50"/>
        <cfvo type="max"/>
        <color rgb="FF63BE7B"/>
        <color rgb="FFFFEB84"/>
        <color rgb="FFF8696B"/>
      </colorScale>
    </cfRule>
  </conditionalFormatting>
  <conditionalFormatting sqref="M125 M99 M109 M114 M119">
    <cfRule type="colorScale" priority="8109">
      <colorScale>
        <cfvo type="min"/>
        <cfvo type="max"/>
        <color rgb="FFFCFCFF"/>
        <color rgb="FFF8696B"/>
      </colorScale>
    </cfRule>
    <cfRule type="colorScale" priority="8111">
      <colorScale>
        <cfvo type="min"/>
        <cfvo type="percentile" val="50"/>
        <cfvo type="max"/>
        <color rgb="FF63BE7B"/>
        <color rgb="FFFFEB84"/>
        <color rgb="FFF8696B"/>
      </colorScale>
    </cfRule>
  </conditionalFormatting>
  <conditionalFormatting sqref="M125 M109 M99 M114 M119">
    <cfRule type="colorScale" priority="8110">
      <colorScale>
        <cfvo type="min"/>
        <cfvo type="max"/>
        <color rgb="FFF8696B"/>
        <color rgb="FFFCFCFF"/>
      </colorScale>
    </cfRule>
  </conditionalFormatting>
  <conditionalFormatting sqref="M127">
    <cfRule type="colorScale" priority="8108">
      <colorScale>
        <cfvo type="min"/>
        <cfvo type="percentile" val="50"/>
        <cfvo type="max"/>
        <color rgb="FFF8696B"/>
        <color rgb="FFFFEB84"/>
        <color rgb="FF63BE7B"/>
      </colorScale>
    </cfRule>
  </conditionalFormatting>
  <conditionalFormatting sqref="M127">
    <cfRule type="colorScale" priority="8107">
      <colorScale>
        <cfvo type="min"/>
        <cfvo type="percentile" val="50"/>
        <cfvo type="max"/>
        <color rgb="FFF8696B"/>
        <color rgb="FFFFEB84"/>
        <color rgb="FF63BE7B"/>
      </colorScale>
    </cfRule>
  </conditionalFormatting>
  <conditionalFormatting sqref="M127">
    <cfRule type="colorScale" priority="8106">
      <colorScale>
        <cfvo type="min"/>
        <cfvo type="percentile" val="50"/>
        <cfvo type="max"/>
        <color rgb="FFF8696B"/>
        <color rgb="FFFFEB84"/>
        <color rgb="FF63BE7B"/>
      </colorScale>
    </cfRule>
  </conditionalFormatting>
  <conditionalFormatting sqref="M127">
    <cfRule type="colorScale" priority="8105">
      <colorScale>
        <cfvo type="min"/>
        <cfvo type="percentile" val="50"/>
        <cfvo type="max"/>
        <color rgb="FF63BE7B"/>
        <color rgb="FFFFEB84"/>
        <color rgb="FFF8696B"/>
      </colorScale>
    </cfRule>
  </conditionalFormatting>
  <conditionalFormatting sqref="M127">
    <cfRule type="colorScale" priority="8102">
      <colorScale>
        <cfvo type="min"/>
        <cfvo type="max"/>
        <color rgb="FFFCFCFF"/>
        <color rgb="FFF8696B"/>
      </colorScale>
    </cfRule>
    <cfRule type="colorScale" priority="8104">
      <colorScale>
        <cfvo type="min"/>
        <cfvo type="percentile" val="50"/>
        <cfvo type="max"/>
        <color rgb="FF63BE7B"/>
        <color rgb="FFFFEB84"/>
        <color rgb="FFF8696B"/>
      </colorScale>
    </cfRule>
  </conditionalFormatting>
  <conditionalFormatting sqref="M127">
    <cfRule type="colorScale" priority="8103">
      <colorScale>
        <cfvo type="min"/>
        <cfvo type="max"/>
        <color rgb="FFF8696B"/>
        <color rgb="FFFCFCFF"/>
      </colorScale>
    </cfRule>
  </conditionalFormatting>
  <conditionalFormatting sqref="M109">
    <cfRule type="colorScale" priority="8101">
      <colorScale>
        <cfvo type="min"/>
        <cfvo type="percentile" val="50"/>
        <cfvo type="max"/>
        <color rgb="FFF8696B"/>
        <color rgb="FFFFEB84"/>
        <color rgb="FF63BE7B"/>
      </colorScale>
    </cfRule>
  </conditionalFormatting>
  <conditionalFormatting sqref="M114">
    <cfRule type="colorScale" priority="8100">
      <colorScale>
        <cfvo type="min"/>
        <cfvo type="percentile" val="50"/>
        <cfvo type="max"/>
        <color rgb="FFF8696B"/>
        <color rgb="FFFFEB84"/>
        <color rgb="FF63BE7B"/>
      </colorScale>
    </cfRule>
  </conditionalFormatting>
  <conditionalFormatting sqref="M119">
    <cfRule type="colorScale" priority="8099">
      <colorScale>
        <cfvo type="min"/>
        <cfvo type="percentile" val="50"/>
        <cfvo type="max"/>
        <color rgb="FFF8696B"/>
        <color rgb="FFFFEB84"/>
        <color rgb="FF63BE7B"/>
      </colorScale>
    </cfRule>
  </conditionalFormatting>
  <conditionalFormatting sqref="M125">
    <cfRule type="colorScale" priority="8098">
      <colorScale>
        <cfvo type="min"/>
        <cfvo type="percentile" val="50"/>
        <cfvo type="max"/>
        <color rgb="FFF8696B"/>
        <color rgb="FFFFEB84"/>
        <color rgb="FF63BE7B"/>
      </colorScale>
    </cfRule>
  </conditionalFormatting>
  <conditionalFormatting sqref="M125 M109 M99 M114 M119 M127">
    <cfRule type="colorScale" priority="8097">
      <colorScale>
        <cfvo type="min"/>
        <cfvo type="max"/>
        <color rgb="FFFCFCFF"/>
        <color rgb="FFF8696B"/>
      </colorScale>
    </cfRule>
  </conditionalFormatting>
  <conditionalFormatting sqref="O99 O125 O109 O114 O119">
    <cfRule type="colorScale" priority="8096">
      <colorScale>
        <cfvo type="min"/>
        <cfvo type="percentile" val="50"/>
        <cfvo type="max"/>
        <color rgb="FFF8696B"/>
        <color rgb="FFFFEB84"/>
        <color rgb="FF63BE7B"/>
      </colorScale>
    </cfRule>
  </conditionalFormatting>
  <conditionalFormatting sqref="O119">
    <cfRule type="colorScale" priority="8095">
      <colorScale>
        <cfvo type="min"/>
        <cfvo type="percentile" val="50"/>
        <cfvo type="max"/>
        <color rgb="FFF8696B"/>
        <color rgb="FFFFEB84"/>
        <color rgb="FF63BE7B"/>
      </colorScale>
    </cfRule>
  </conditionalFormatting>
  <conditionalFormatting sqref="O99">
    <cfRule type="colorScale" priority="8094">
      <colorScale>
        <cfvo type="min"/>
        <cfvo type="percentile" val="50"/>
        <cfvo type="max"/>
        <color rgb="FFF8696B"/>
        <color rgb="FFFFEB84"/>
        <color rgb="FF63BE7B"/>
      </colorScale>
    </cfRule>
  </conditionalFormatting>
  <conditionalFormatting sqref="O99 O125 O109 O114 O119">
    <cfRule type="colorScale" priority="8093">
      <colorScale>
        <cfvo type="min"/>
        <cfvo type="percentile" val="50"/>
        <cfvo type="max"/>
        <color rgb="FF63BE7B"/>
        <color rgb="FFFFEB84"/>
        <color rgb="FFF8696B"/>
      </colorScale>
    </cfRule>
  </conditionalFormatting>
  <conditionalFormatting sqref="O125 O99 O109 O114 O119">
    <cfRule type="colorScale" priority="8090">
      <colorScale>
        <cfvo type="min"/>
        <cfvo type="max"/>
        <color rgb="FFFCFCFF"/>
        <color rgb="FFF8696B"/>
      </colorScale>
    </cfRule>
    <cfRule type="colorScale" priority="8092">
      <colorScale>
        <cfvo type="min"/>
        <cfvo type="percentile" val="50"/>
        <cfvo type="max"/>
        <color rgb="FF63BE7B"/>
        <color rgb="FFFFEB84"/>
        <color rgb="FFF8696B"/>
      </colorScale>
    </cfRule>
  </conditionalFormatting>
  <conditionalFormatting sqref="O99 O125 O109 O114 O119">
    <cfRule type="colorScale" priority="8091">
      <colorScale>
        <cfvo type="min"/>
        <cfvo type="max"/>
        <color rgb="FFF8696B"/>
        <color rgb="FFFCFCFF"/>
      </colorScale>
    </cfRule>
  </conditionalFormatting>
  <conditionalFormatting sqref="O127">
    <cfRule type="colorScale" priority="8089">
      <colorScale>
        <cfvo type="min"/>
        <cfvo type="percentile" val="50"/>
        <cfvo type="max"/>
        <color rgb="FFF8696B"/>
        <color rgb="FFFFEB84"/>
        <color rgb="FF63BE7B"/>
      </colorScale>
    </cfRule>
  </conditionalFormatting>
  <conditionalFormatting sqref="O127">
    <cfRule type="colorScale" priority="8088">
      <colorScale>
        <cfvo type="min"/>
        <cfvo type="percentile" val="50"/>
        <cfvo type="max"/>
        <color rgb="FFF8696B"/>
        <color rgb="FFFFEB84"/>
        <color rgb="FF63BE7B"/>
      </colorScale>
    </cfRule>
  </conditionalFormatting>
  <conditionalFormatting sqref="O127">
    <cfRule type="colorScale" priority="8087">
      <colorScale>
        <cfvo type="min"/>
        <cfvo type="percentile" val="50"/>
        <cfvo type="max"/>
        <color rgb="FFF8696B"/>
        <color rgb="FFFFEB84"/>
        <color rgb="FF63BE7B"/>
      </colorScale>
    </cfRule>
  </conditionalFormatting>
  <conditionalFormatting sqref="O127">
    <cfRule type="colorScale" priority="8086">
      <colorScale>
        <cfvo type="min"/>
        <cfvo type="percentile" val="50"/>
        <cfvo type="max"/>
        <color rgb="FF63BE7B"/>
        <color rgb="FFFFEB84"/>
        <color rgb="FFF8696B"/>
      </colorScale>
    </cfRule>
  </conditionalFormatting>
  <conditionalFormatting sqref="O127">
    <cfRule type="colorScale" priority="8083">
      <colorScale>
        <cfvo type="min"/>
        <cfvo type="max"/>
        <color rgb="FFFCFCFF"/>
        <color rgb="FFF8696B"/>
      </colorScale>
    </cfRule>
    <cfRule type="colorScale" priority="8085">
      <colorScale>
        <cfvo type="min"/>
        <cfvo type="percentile" val="50"/>
        <cfvo type="max"/>
        <color rgb="FF63BE7B"/>
        <color rgb="FFFFEB84"/>
        <color rgb="FFF8696B"/>
      </colorScale>
    </cfRule>
  </conditionalFormatting>
  <conditionalFormatting sqref="O127">
    <cfRule type="colorScale" priority="8084">
      <colorScale>
        <cfvo type="min"/>
        <cfvo type="max"/>
        <color rgb="FFF8696B"/>
        <color rgb="FFFCFCFF"/>
      </colorScale>
    </cfRule>
  </conditionalFormatting>
  <conditionalFormatting sqref="O109">
    <cfRule type="colorScale" priority="8082">
      <colorScale>
        <cfvo type="min"/>
        <cfvo type="percentile" val="50"/>
        <cfvo type="max"/>
        <color rgb="FFF8696B"/>
        <color rgb="FFFFEB84"/>
        <color rgb="FF63BE7B"/>
      </colorScale>
    </cfRule>
  </conditionalFormatting>
  <conditionalFormatting sqref="O114">
    <cfRule type="colorScale" priority="8081">
      <colorScale>
        <cfvo type="min"/>
        <cfvo type="percentile" val="50"/>
        <cfvo type="max"/>
        <color rgb="FFF8696B"/>
        <color rgb="FFFFEB84"/>
        <color rgb="FF63BE7B"/>
      </colorScale>
    </cfRule>
  </conditionalFormatting>
  <conditionalFormatting sqref="O119">
    <cfRule type="colorScale" priority="8080">
      <colorScale>
        <cfvo type="min"/>
        <cfvo type="percentile" val="50"/>
        <cfvo type="max"/>
        <color rgb="FFF8696B"/>
        <color rgb="FFFFEB84"/>
        <color rgb="FF63BE7B"/>
      </colorScale>
    </cfRule>
  </conditionalFormatting>
  <conditionalFormatting sqref="O125">
    <cfRule type="colorScale" priority="8079">
      <colorScale>
        <cfvo type="min"/>
        <cfvo type="percentile" val="50"/>
        <cfvo type="max"/>
        <color rgb="FFF8696B"/>
        <color rgb="FFFFEB84"/>
        <color rgb="FF63BE7B"/>
      </colorScale>
    </cfRule>
  </conditionalFormatting>
  <conditionalFormatting sqref="O99 O125 O109 O114 O119 O127">
    <cfRule type="colorScale" priority="8078">
      <colorScale>
        <cfvo type="min"/>
        <cfvo type="max"/>
        <color rgb="FFFCFCFF"/>
        <color rgb="FFF8696B"/>
      </colorScale>
    </cfRule>
  </conditionalFormatting>
  <conditionalFormatting sqref="C168 K152 I152 I157 K157 C162 E162 G162 I162 K162 E168 G168 I168 K168">
    <cfRule type="colorScale" priority="8077">
      <colorScale>
        <cfvo type="min"/>
        <cfvo type="percentile" val="50"/>
        <cfvo type="max"/>
        <color rgb="FFF8696B"/>
        <color rgb="FFFFEB84"/>
        <color rgb="FF63BE7B"/>
      </colorScale>
    </cfRule>
  </conditionalFormatting>
  <conditionalFormatting sqref="K162">
    <cfRule type="colorScale" priority="8076">
      <colorScale>
        <cfvo type="min"/>
        <cfvo type="percentile" val="50"/>
        <cfvo type="max"/>
        <color rgb="FFF8696B"/>
        <color rgb="FFFFEB84"/>
        <color rgb="FF63BE7B"/>
      </colorScale>
    </cfRule>
  </conditionalFormatting>
  <conditionalFormatting sqref="C168 K152 I152 I157 K157 C162 E162 G162 I162 K162 E168 G168 I168 K168">
    <cfRule type="colorScale" priority="8075">
      <colorScale>
        <cfvo type="min"/>
        <cfvo type="percentile" val="50"/>
        <cfvo type="max"/>
        <color rgb="FF63BE7B"/>
        <color rgb="FFFFEB84"/>
        <color rgb="FFF8696B"/>
      </colorScale>
    </cfRule>
  </conditionalFormatting>
  <conditionalFormatting sqref="C168 I152 K152 I157 K157 C162 E162 G162 I162 K162 E168 G168 I168 K168">
    <cfRule type="colorScale" priority="8072">
      <colorScale>
        <cfvo type="min"/>
        <cfvo type="max"/>
        <color rgb="FFFCFCFF"/>
        <color rgb="FFF8696B"/>
      </colorScale>
    </cfRule>
    <cfRule type="colorScale" priority="8074">
      <colorScale>
        <cfvo type="min"/>
        <cfvo type="percentile" val="50"/>
        <cfvo type="max"/>
        <color rgb="FF63BE7B"/>
        <color rgb="FFFFEB84"/>
        <color rgb="FFF8696B"/>
      </colorScale>
    </cfRule>
  </conditionalFormatting>
  <conditionalFormatting sqref="C168 K152 I152 I157 K157 C162 E162 G162 I162 K162 E168 G168 I168 K168">
    <cfRule type="colorScale" priority="8073">
      <colorScale>
        <cfvo type="min"/>
        <cfvo type="max"/>
        <color rgb="FFF8696B"/>
        <color rgb="FFFCFCFF"/>
      </colorScale>
    </cfRule>
  </conditionalFormatting>
  <conditionalFormatting sqref="G170">
    <cfRule type="colorScale" priority="8071">
      <colorScale>
        <cfvo type="min"/>
        <cfvo type="percentile" val="50"/>
        <cfvo type="max"/>
        <color rgb="FFF8696B"/>
        <color rgb="FFFFEB84"/>
        <color rgb="FF63BE7B"/>
      </colorScale>
    </cfRule>
  </conditionalFormatting>
  <conditionalFormatting sqref="G170">
    <cfRule type="colorScale" priority="8070">
      <colorScale>
        <cfvo type="min"/>
        <cfvo type="percentile" val="50"/>
        <cfvo type="max"/>
        <color rgb="FFF8696B"/>
        <color rgb="FFFFEB84"/>
        <color rgb="FF63BE7B"/>
      </colorScale>
    </cfRule>
  </conditionalFormatting>
  <conditionalFormatting sqref="G170">
    <cfRule type="colorScale" priority="8069">
      <colorScale>
        <cfvo type="min"/>
        <cfvo type="percentile" val="50"/>
        <cfvo type="max"/>
        <color rgb="FFF8696B"/>
        <color rgb="FFFFEB84"/>
        <color rgb="FF63BE7B"/>
      </colorScale>
    </cfRule>
  </conditionalFormatting>
  <conditionalFormatting sqref="G170">
    <cfRule type="colorScale" priority="8068">
      <colorScale>
        <cfvo type="min"/>
        <cfvo type="percentile" val="50"/>
        <cfvo type="max"/>
        <color rgb="FF63BE7B"/>
        <color rgb="FFFFEB84"/>
        <color rgb="FFF8696B"/>
      </colorScale>
    </cfRule>
  </conditionalFormatting>
  <conditionalFormatting sqref="G170">
    <cfRule type="colorScale" priority="8065">
      <colorScale>
        <cfvo type="min"/>
        <cfvo type="max"/>
        <color rgb="FFFCFCFF"/>
        <color rgb="FFF8696B"/>
      </colorScale>
    </cfRule>
    <cfRule type="colorScale" priority="8067">
      <colorScale>
        <cfvo type="min"/>
        <cfvo type="percentile" val="50"/>
        <cfvo type="max"/>
        <color rgb="FF63BE7B"/>
        <color rgb="FFFFEB84"/>
        <color rgb="FFF8696B"/>
      </colorScale>
    </cfRule>
  </conditionalFormatting>
  <conditionalFormatting sqref="G170">
    <cfRule type="colorScale" priority="8066">
      <colorScale>
        <cfvo type="min"/>
        <cfvo type="max"/>
        <color rgb="FFF8696B"/>
        <color rgb="FFFCFCFF"/>
      </colorScale>
    </cfRule>
  </conditionalFormatting>
  <conditionalFormatting sqref="I170">
    <cfRule type="colorScale" priority="8064">
      <colorScale>
        <cfvo type="min"/>
        <cfvo type="percentile" val="50"/>
        <cfvo type="max"/>
        <color rgb="FFF8696B"/>
        <color rgb="FFFFEB84"/>
        <color rgb="FF63BE7B"/>
      </colorScale>
    </cfRule>
  </conditionalFormatting>
  <conditionalFormatting sqref="I170">
    <cfRule type="colorScale" priority="8063">
      <colorScale>
        <cfvo type="min"/>
        <cfvo type="percentile" val="50"/>
        <cfvo type="max"/>
        <color rgb="FFF8696B"/>
        <color rgb="FFFFEB84"/>
        <color rgb="FF63BE7B"/>
      </colorScale>
    </cfRule>
  </conditionalFormatting>
  <conditionalFormatting sqref="I170">
    <cfRule type="colorScale" priority="8062">
      <colorScale>
        <cfvo type="min"/>
        <cfvo type="percentile" val="50"/>
        <cfvo type="max"/>
        <color rgb="FFF8696B"/>
        <color rgb="FFFFEB84"/>
        <color rgb="FF63BE7B"/>
      </colorScale>
    </cfRule>
  </conditionalFormatting>
  <conditionalFormatting sqref="I170">
    <cfRule type="colorScale" priority="8061">
      <colorScale>
        <cfvo type="min"/>
        <cfvo type="percentile" val="50"/>
        <cfvo type="max"/>
        <color rgb="FF63BE7B"/>
        <color rgb="FFFFEB84"/>
        <color rgb="FFF8696B"/>
      </colorScale>
    </cfRule>
  </conditionalFormatting>
  <conditionalFormatting sqref="I170">
    <cfRule type="colorScale" priority="8058">
      <colorScale>
        <cfvo type="min"/>
        <cfvo type="max"/>
        <color rgb="FFFCFCFF"/>
        <color rgb="FFF8696B"/>
      </colorScale>
    </cfRule>
    <cfRule type="colorScale" priority="8060">
      <colorScale>
        <cfvo type="min"/>
        <cfvo type="percentile" val="50"/>
        <cfvo type="max"/>
        <color rgb="FF63BE7B"/>
        <color rgb="FFFFEB84"/>
        <color rgb="FFF8696B"/>
      </colorScale>
    </cfRule>
  </conditionalFormatting>
  <conditionalFormatting sqref="I170">
    <cfRule type="colorScale" priority="8059">
      <colorScale>
        <cfvo type="min"/>
        <cfvo type="max"/>
        <color rgb="FFF8696B"/>
        <color rgb="FFFCFCFF"/>
      </colorScale>
    </cfRule>
  </conditionalFormatting>
  <conditionalFormatting sqref="K170">
    <cfRule type="colorScale" priority="8057">
      <colorScale>
        <cfvo type="min"/>
        <cfvo type="percentile" val="50"/>
        <cfvo type="max"/>
        <color rgb="FFF8696B"/>
        <color rgb="FFFFEB84"/>
        <color rgb="FF63BE7B"/>
      </colorScale>
    </cfRule>
  </conditionalFormatting>
  <conditionalFormatting sqref="K170">
    <cfRule type="colorScale" priority="8056">
      <colorScale>
        <cfvo type="min"/>
        <cfvo type="percentile" val="50"/>
        <cfvo type="max"/>
        <color rgb="FFF8696B"/>
        <color rgb="FFFFEB84"/>
        <color rgb="FF63BE7B"/>
      </colorScale>
    </cfRule>
  </conditionalFormatting>
  <conditionalFormatting sqref="K170">
    <cfRule type="colorScale" priority="8055">
      <colorScale>
        <cfvo type="min"/>
        <cfvo type="percentile" val="50"/>
        <cfvo type="max"/>
        <color rgb="FFF8696B"/>
        <color rgb="FFFFEB84"/>
        <color rgb="FF63BE7B"/>
      </colorScale>
    </cfRule>
  </conditionalFormatting>
  <conditionalFormatting sqref="K170">
    <cfRule type="colorScale" priority="8054">
      <colorScale>
        <cfvo type="min"/>
        <cfvo type="percentile" val="50"/>
        <cfvo type="max"/>
        <color rgb="FF63BE7B"/>
        <color rgb="FFFFEB84"/>
        <color rgb="FFF8696B"/>
      </colorScale>
    </cfRule>
  </conditionalFormatting>
  <conditionalFormatting sqref="K170">
    <cfRule type="colorScale" priority="8051">
      <colorScale>
        <cfvo type="min"/>
        <cfvo type="max"/>
        <color rgb="FFFCFCFF"/>
        <color rgb="FFF8696B"/>
      </colorScale>
    </cfRule>
    <cfRule type="colorScale" priority="8053">
      <colorScale>
        <cfvo type="min"/>
        <cfvo type="percentile" val="50"/>
        <cfvo type="max"/>
        <color rgb="FF63BE7B"/>
        <color rgb="FFFFEB84"/>
        <color rgb="FFF8696B"/>
      </colorScale>
    </cfRule>
  </conditionalFormatting>
  <conditionalFormatting sqref="K170">
    <cfRule type="colorScale" priority="8052">
      <colorScale>
        <cfvo type="min"/>
        <cfvo type="max"/>
        <color rgb="FFF8696B"/>
        <color rgb="FFFCFCFF"/>
      </colorScale>
    </cfRule>
  </conditionalFormatting>
  <conditionalFormatting sqref="I152">
    <cfRule type="colorScale" priority="8050">
      <colorScale>
        <cfvo type="min"/>
        <cfvo type="percentile" val="50"/>
        <cfvo type="max"/>
        <color rgb="FFF8696B"/>
        <color rgb="FFFFEB84"/>
        <color rgb="FF63BE7B"/>
      </colorScale>
    </cfRule>
  </conditionalFormatting>
  <conditionalFormatting sqref="K152">
    <cfRule type="colorScale" priority="8049">
      <colorScale>
        <cfvo type="min"/>
        <cfvo type="percentile" val="50"/>
        <cfvo type="max"/>
        <color rgb="FFF8696B"/>
        <color rgb="FFFFEB84"/>
        <color rgb="FF63BE7B"/>
      </colorScale>
    </cfRule>
  </conditionalFormatting>
  <conditionalFormatting sqref="I157">
    <cfRule type="colorScale" priority="8048">
      <colorScale>
        <cfvo type="min"/>
        <cfvo type="percentile" val="50"/>
        <cfvo type="max"/>
        <color rgb="FFF8696B"/>
        <color rgb="FFFFEB84"/>
        <color rgb="FF63BE7B"/>
      </colorScale>
    </cfRule>
  </conditionalFormatting>
  <conditionalFormatting sqref="K157">
    <cfRule type="colorScale" priority="8047">
      <colorScale>
        <cfvo type="min"/>
        <cfvo type="percentile" val="50"/>
        <cfvo type="max"/>
        <color rgb="FFF8696B"/>
        <color rgb="FFFFEB84"/>
        <color rgb="FF63BE7B"/>
      </colorScale>
    </cfRule>
  </conditionalFormatting>
  <conditionalFormatting sqref="C162">
    <cfRule type="colorScale" priority="8046">
      <colorScale>
        <cfvo type="min"/>
        <cfvo type="percentile" val="50"/>
        <cfvo type="max"/>
        <color rgb="FFF8696B"/>
        <color rgb="FFFFEB84"/>
        <color rgb="FF63BE7B"/>
      </colorScale>
    </cfRule>
  </conditionalFormatting>
  <conditionalFormatting sqref="E162">
    <cfRule type="colorScale" priority="8045">
      <colorScale>
        <cfvo type="min"/>
        <cfvo type="percentile" val="50"/>
        <cfvo type="max"/>
        <color rgb="FFF8696B"/>
        <color rgb="FFFFEB84"/>
        <color rgb="FF63BE7B"/>
      </colorScale>
    </cfRule>
  </conditionalFormatting>
  <conditionalFormatting sqref="G162">
    <cfRule type="colorScale" priority="8044">
      <colorScale>
        <cfvo type="min"/>
        <cfvo type="percentile" val="50"/>
        <cfvo type="max"/>
        <color rgb="FFF8696B"/>
        <color rgb="FFFFEB84"/>
        <color rgb="FF63BE7B"/>
      </colorScale>
    </cfRule>
  </conditionalFormatting>
  <conditionalFormatting sqref="I162">
    <cfRule type="colorScale" priority="8043">
      <colorScale>
        <cfvo type="min"/>
        <cfvo type="percentile" val="50"/>
        <cfvo type="max"/>
        <color rgb="FFF8696B"/>
        <color rgb="FFFFEB84"/>
        <color rgb="FF63BE7B"/>
      </colorScale>
    </cfRule>
  </conditionalFormatting>
  <conditionalFormatting sqref="K162">
    <cfRule type="colorScale" priority="8042">
      <colorScale>
        <cfvo type="min"/>
        <cfvo type="percentile" val="50"/>
        <cfvo type="max"/>
        <color rgb="FFF8696B"/>
        <color rgb="FFFFEB84"/>
        <color rgb="FF63BE7B"/>
      </colorScale>
    </cfRule>
  </conditionalFormatting>
  <conditionalFormatting sqref="C168">
    <cfRule type="colorScale" priority="8041">
      <colorScale>
        <cfvo type="min"/>
        <cfvo type="percentile" val="50"/>
        <cfvo type="max"/>
        <color rgb="FFF8696B"/>
        <color rgb="FFFFEB84"/>
        <color rgb="FF63BE7B"/>
      </colorScale>
    </cfRule>
  </conditionalFormatting>
  <conditionalFormatting sqref="E168">
    <cfRule type="colorScale" priority="8040">
      <colorScale>
        <cfvo type="min"/>
        <cfvo type="percentile" val="50"/>
        <cfvo type="max"/>
        <color rgb="FFF8696B"/>
        <color rgb="FFFFEB84"/>
        <color rgb="FF63BE7B"/>
      </colorScale>
    </cfRule>
  </conditionalFormatting>
  <conditionalFormatting sqref="G168">
    <cfRule type="colorScale" priority="8039">
      <colorScale>
        <cfvo type="min"/>
        <cfvo type="percentile" val="50"/>
        <cfvo type="max"/>
        <color rgb="FFF8696B"/>
        <color rgb="FFFFEB84"/>
        <color rgb="FF63BE7B"/>
      </colorScale>
    </cfRule>
  </conditionalFormatting>
  <conditionalFormatting sqref="I168">
    <cfRule type="colorScale" priority="8038">
      <colorScale>
        <cfvo type="min"/>
        <cfvo type="percentile" val="50"/>
        <cfvo type="max"/>
        <color rgb="FFF8696B"/>
        <color rgb="FFFFEB84"/>
        <color rgb="FF63BE7B"/>
      </colorScale>
    </cfRule>
  </conditionalFormatting>
  <conditionalFormatting sqref="K168">
    <cfRule type="colorScale" priority="8037">
      <colorScale>
        <cfvo type="min"/>
        <cfvo type="percentile" val="50"/>
        <cfvo type="max"/>
        <color rgb="FFF8696B"/>
        <color rgb="FFFFEB84"/>
        <color rgb="FF63BE7B"/>
      </colorScale>
    </cfRule>
  </conditionalFormatting>
  <conditionalFormatting sqref="C168 I152 K152 E147 C147 I157 K157 K162 I162 G162 E162 C162 E168 K168 I168 G168 G170 I170 K170">
    <cfRule type="colorScale" priority="8036">
      <colorScale>
        <cfvo type="min"/>
        <cfvo type="max"/>
        <color rgb="FFFCFCFF"/>
        <color rgb="FFF8696B"/>
      </colorScale>
    </cfRule>
  </conditionalFormatting>
  <conditionalFormatting sqref="M157 M168 M152 M162">
    <cfRule type="colorScale" priority="8035">
      <colorScale>
        <cfvo type="min"/>
        <cfvo type="percentile" val="50"/>
        <cfvo type="max"/>
        <color rgb="FFF8696B"/>
        <color rgb="FFFFEB84"/>
        <color rgb="FF63BE7B"/>
      </colorScale>
    </cfRule>
  </conditionalFormatting>
  <conditionalFormatting sqref="M162">
    <cfRule type="colorScale" priority="8034">
      <colorScale>
        <cfvo type="min"/>
        <cfvo type="percentile" val="50"/>
        <cfvo type="max"/>
        <color rgb="FFF8696B"/>
        <color rgb="FFFFEB84"/>
        <color rgb="FF63BE7B"/>
      </colorScale>
    </cfRule>
  </conditionalFormatting>
  <conditionalFormatting sqref="M157 M168 M152 M162">
    <cfRule type="colorScale" priority="8033">
      <colorScale>
        <cfvo type="min"/>
        <cfvo type="percentile" val="50"/>
        <cfvo type="max"/>
        <color rgb="FF63BE7B"/>
        <color rgb="FFFFEB84"/>
        <color rgb="FFF8696B"/>
      </colorScale>
    </cfRule>
  </conditionalFormatting>
  <conditionalFormatting sqref="M168 M152 M157 M162">
    <cfRule type="colorScale" priority="8030">
      <colorScale>
        <cfvo type="min"/>
        <cfvo type="max"/>
        <color rgb="FFFCFCFF"/>
        <color rgb="FFF8696B"/>
      </colorScale>
    </cfRule>
    <cfRule type="colorScale" priority="8032">
      <colorScale>
        <cfvo type="min"/>
        <cfvo type="percentile" val="50"/>
        <cfvo type="max"/>
        <color rgb="FF63BE7B"/>
        <color rgb="FFFFEB84"/>
        <color rgb="FFF8696B"/>
      </colorScale>
    </cfRule>
  </conditionalFormatting>
  <conditionalFormatting sqref="M157 M168 M152 M162">
    <cfRule type="colorScale" priority="8031">
      <colorScale>
        <cfvo type="min"/>
        <cfvo type="max"/>
        <color rgb="FFF8696B"/>
        <color rgb="FFFCFCFF"/>
      </colorScale>
    </cfRule>
  </conditionalFormatting>
  <conditionalFormatting sqref="M170">
    <cfRule type="colorScale" priority="8029">
      <colorScale>
        <cfvo type="min"/>
        <cfvo type="percentile" val="50"/>
        <cfvo type="max"/>
        <color rgb="FFF8696B"/>
        <color rgb="FFFFEB84"/>
        <color rgb="FF63BE7B"/>
      </colorScale>
    </cfRule>
  </conditionalFormatting>
  <conditionalFormatting sqref="M170">
    <cfRule type="colorScale" priority="8028">
      <colorScale>
        <cfvo type="min"/>
        <cfvo type="percentile" val="50"/>
        <cfvo type="max"/>
        <color rgb="FFF8696B"/>
        <color rgb="FFFFEB84"/>
        <color rgb="FF63BE7B"/>
      </colorScale>
    </cfRule>
  </conditionalFormatting>
  <conditionalFormatting sqref="M170">
    <cfRule type="colorScale" priority="8027">
      <colorScale>
        <cfvo type="min"/>
        <cfvo type="percentile" val="50"/>
        <cfvo type="max"/>
        <color rgb="FFF8696B"/>
        <color rgb="FFFFEB84"/>
        <color rgb="FF63BE7B"/>
      </colorScale>
    </cfRule>
  </conditionalFormatting>
  <conditionalFormatting sqref="M170">
    <cfRule type="colorScale" priority="8026">
      <colorScale>
        <cfvo type="min"/>
        <cfvo type="percentile" val="50"/>
        <cfvo type="max"/>
        <color rgb="FF63BE7B"/>
        <color rgb="FFFFEB84"/>
        <color rgb="FFF8696B"/>
      </colorScale>
    </cfRule>
  </conditionalFormatting>
  <conditionalFormatting sqref="M170">
    <cfRule type="colorScale" priority="8023">
      <colorScale>
        <cfvo type="min"/>
        <cfvo type="max"/>
        <color rgb="FFFCFCFF"/>
        <color rgb="FFF8696B"/>
      </colorScale>
    </cfRule>
    <cfRule type="colorScale" priority="8025">
      <colorScale>
        <cfvo type="min"/>
        <cfvo type="percentile" val="50"/>
        <cfvo type="max"/>
        <color rgb="FF63BE7B"/>
        <color rgb="FFFFEB84"/>
        <color rgb="FFF8696B"/>
      </colorScale>
    </cfRule>
  </conditionalFormatting>
  <conditionalFormatting sqref="M170">
    <cfRule type="colorScale" priority="8024">
      <colorScale>
        <cfvo type="min"/>
        <cfvo type="max"/>
        <color rgb="FFF8696B"/>
        <color rgb="FFFCFCFF"/>
      </colorScale>
    </cfRule>
  </conditionalFormatting>
  <conditionalFormatting sqref="M152">
    <cfRule type="colorScale" priority="8022">
      <colorScale>
        <cfvo type="min"/>
        <cfvo type="percentile" val="50"/>
        <cfvo type="max"/>
        <color rgb="FFF8696B"/>
        <color rgb="FFFFEB84"/>
        <color rgb="FF63BE7B"/>
      </colorScale>
    </cfRule>
  </conditionalFormatting>
  <conditionalFormatting sqref="M157">
    <cfRule type="colorScale" priority="8021">
      <colorScale>
        <cfvo type="min"/>
        <cfvo type="percentile" val="50"/>
        <cfvo type="max"/>
        <color rgb="FFF8696B"/>
        <color rgb="FFFFEB84"/>
        <color rgb="FF63BE7B"/>
      </colorScale>
    </cfRule>
  </conditionalFormatting>
  <conditionalFormatting sqref="M162">
    <cfRule type="colorScale" priority="8020">
      <colorScale>
        <cfvo type="min"/>
        <cfvo type="percentile" val="50"/>
        <cfvo type="max"/>
        <color rgb="FFF8696B"/>
        <color rgb="FFFFEB84"/>
        <color rgb="FF63BE7B"/>
      </colorScale>
    </cfRule>
  </conditionalFormatting>
  <conditionalFormatting sqref="M168">
    <cfRule type="colorScale" priority="8019">
      <colorScale>
        <cfvo type="min"/>
        <cfvo type="percentile" val="50"/>
        <cfvo type="max"/>
        <color rgb="FFF8696B"/>
        <color rgb="FFFFEB84"/>
        <color rgb="FF63BE7B"/>
      </colorScale>
    </cfRule>
  </conditionalFormatting>
  <conditionalFormatting sqref="M157 M168 M152 M162 M170">
    <cfRule type="colorScale" priority="8018">
      <colorScale>
        <cfvo type="min"/>
        <cfvo type="max"/>
        <color rgb="FFFCFCFF"/>
        <color rgb="FFF8696B"/>
      </colorScale>
    </cfRule>
  </conditionalFormatting>
  <conditionalFormatting sqref="O168 O152 O157 O162">
    <cfRule type="colorScale" priority="8017">
      <colorScale>
        <cfvo type="min"/>
        <cfvo type="percentile" val="50"/>
        <cfvo type="max"/>
        <color rgb="FFF8696B"/>
        <color rgb="FFFFEB84"/>
        <color rgb="FF63BE7B"/>
      </colorScale>
    </cfRule>
  </conditionalFormatting>
  <conditionalFormatting sqref="O162">
    <cfRule type="colorScale" priority="8016">
      <colorScale>
        <cfvo type="min"/>
        <cfvo type="percentile" val="50"/>
        <cfvo type="max"/>
        <color rgb="FFF8696B"/>
        <color rgb="FFFFEB84"/>
        <color rgb="FF63BE7B"/>
      </colorScale>
    </cfRule>
  </conditionalFormatting>
  <conditionalFormatting sqref="O168 O152 O157 O162">
    <cfRule type="colorScale" priority="8015">
      <colorScale>
        <cfvo type="min"/>
        <cfvo type="percentile" val="50"/>
        <cfvo type="max"/>
        <color rgb="FF63BE7B"/>
        <color rgb="FFFFEB84"/>
        <color rgb="FFF8696B"/>
      </colorScale>
    </cfRule>
  </conditionalFormatting>
  <conditionalFormatting sqref="O168 O152 O157 O162">
    <cfRule type="colorScale" priority="8012">
      <colorScale>
        <cfvo type="min"/>
        <cfvo type="max"/>
        <color rgb="FFFCFCFF"/>
        <color rgb="FFF8696B"/>
      </colorScale>
    </cfRule>
    <cfRule type="colorScale" priority="8014">
      <colorScale>
        <cfvo type="min"/>
        <cfvo type="percentile" val="50"/>
        <cfvo type="max"/>
        <color rgb="FF63BE7B"/>
        <color rgb="FFFFEB84"/>
        <color rgb="FFF8696B"/>
      </colorScale>
    </cfRule>
  </conditionalFormatting>
  <conditionalFormatting sqref="O168 O152 O157 O162">
    <cfRule type="colorScale" priority="8013">
      <colorScale>
        <cfvo type="min"/>
        <cfvo type="max"/>
        <color rgb="FFF8696B"/>
        <color rgb="FFFCFCFF"/>
      </colorScale>
    </cfRule>
  </conditionalFormatting>
  <conditionalFormatting sqref="O170">
    <cfRule type="colorScale" priority="8011">
      <colorScale>
        <cfvo type="min"/>
        <cfvo type="percentile" val="50"/>
        <cfvo type="max"/>
        <color rgb="FFF8696B"/>
        <color rgb="FFFFEB84"/>
        <color rgb="FF63BE7B"/>
      </colorScale>
    </cfRule>
  </conditionalFormatting>
  <conditionalFormatting sqref="O170">
    <cfRule type="colorScale" priority="8010">
      <colorScale>
        <cfvo type="min"/>
        <cfvo type="percentile" val="50"/>
        <cfvo type="max"/>
        <color rgb="FFF8696B"/>
        <color rgb="FFFFEB84"/>
        <color rgb="FF63BE7B"/>
      </colorScale>
    </cfRule>
  </conditionalFormatting>
  <conditionalFormatting sqref="O170">
    <cfRule type="colorScale" priority="8009">
      <colorScale>
        <cfvo type="min"/>
        <cfvo type="percentile" val="50"/>
        <cfvo type="max"/>
        <color rgb="FFF8696B"/>
        <color rgb="FFFFEB84"/>
        <color rgb="FF63BE7B"/>
      </colorScale>
    </cfRule>
  </conditionalFormatting>
  <conditionalFormatting sqref="O170">
    <cfRule type="colorScale" priority="8008">
      <colorScale>
        <cfvo type="min"/>
        <cfvo type="percentile" val="50"/>
        <cfvo type="max"/>
        <color rgb="FF63BE7B"/>
        <color rgb="FFFFEB84"/>
        <color rgb="FFF8696B"/>
      </colorScale>
    </cfRule>
  </conditionalFormatting>
  <conditionalFormatting sqref="O170">
    <cfRule type="colorScale" priority="8005">
      <colorScale>
        <cfvo type="min"/>
        <cfvo type="max"/>
        <color rgb="FFFCFCFF"/>
        <color rgb="FFF8696B"/>
      </colorScale>
    </cfRule>
    <cfRule type="colorScale" priority="8007">
      <colorScale>
        <cfvo type="min"/>
        <cfvo type="percentile" val="50"/>
        <cfvo type="max"/>
        <color rgb="FF63BE7B"/>
        <color rgb="FFFFEB84"/>
        <color rgb="FFF8696B"/>
      </colorScale>
    </cfRule>
  </conditionalFormatting>
  <conditionalFormatting sqref="O170">
    <cfRule type="colorScale" priority="8006">
      <colorScale>
        <cfvo type="min"/>
        <cfvo type="max"/>
        <color rgb="FFF8696B"/>
        <color rgb="FFFCFCFF"/>
      </colorScale>
    </cfRule>
  </conditionalFormatting>
  <conditionalFormatting sqref="O152">
    <cfRule type="colorScale" priority="8004">
      <colorScale>
        <cfvo type="min"/>
        <cfvo type="percentile" val="50"/>
        <cfvo type="max"/>
        <color rgb="FFF8696B"/>
        <color rgb="FFFFEB84"/>
        <color rgb="FF63BE7B"/>
      </colorScale>
    </cfRule>
  </conditionalFormatting>
  <conditionalFormatting sqref="O157">
    <cfRule type="colorScale" priority="8003">
      <colorScale>
        <cfvo type="min"/>
        <cfvo type="percentile" val="50"/>
        <cfvo type="max"/>
        <color rgb="FFF8696B"/>
        <color rgb="FFFFEB84"/>
        <color rgb="FF63BE7B"/>
      </colorScale>
    </cfRule>
  </conditionalFormatting>
  <conditionalFormatting sqref="O162">
    <cfRule type="colorScale" priority="8002">
      <colorScale>
        <cfvo type="min"/>
        <cfvo type="percentile" val="50"/>
        <cfvo type="max"/>
        <color rgb="FFF8696B"/>
        <color rgb="FFFFEB84"/>
        <color rgb="FF63BE7B"/>
      </colorScale>
    </cfRule>
  </conditionalFormatting>
  <conditionalFormatting sqref="O168">
    <cfRule type="colorScale" priority="8001">
      <colorScale>
        <cfvo type="min"/>
        <cfvo type="percentile" val="50"/>
        <cfvo type="max"/>
        <color rgb="FFF8696B"/>
        <color rgb="FFFFEB84"/>
        <color rgb="FF63BE7B"/>
      </colorScale>
    </cfRule>
  </conditionalFormatting>
  <conditionalFormatting sqref="O168 O152 O157 O162 O170">
    <cfRule type="colorScale" priority="8000">
      <colorScale>
        <cfvo type="min"/>
        <cfvo type="max"/>
        <color rgb="FFFCFCFF"/>
        <color rgb="FFF8696B"/>
      </colorScale>
    </cfRule>
  </conditionalFormatting>
  <conditionalFormatting sqref="C185 C211 E185 G185 I185 I195 K195 I200 K200 C205 E205 G205 I205 K205 E211 G211 I211 K211">
    <cfRule type="colorScale" priority="7999">
      <colorScale>
        <cfvo type="min"/>
        <cfvo type="percentile" val="50"/>
        <cfvo type="max"/>
        <color rgb="FFF8696B"/>
        <color rgb="FFFFEB84"/>
        <color rgb="FF63BE7B"/>
      </colorScale>
    </cfRule>
  </conditionalFormatting>
  <conditionalFormatting sqref="K205">
    <cfRule type="colorScale" priority="7998">
      <colorScale>
        <cfvo type="min"/>
        <cfvo type="percentile" val="50"/>
        <cfvo type="max"/>
        <color rgb="FFF8696B"/>
        <color rgb="FFFFEB84"/>
        <color rgb="FF63BE7B"/>
      </colorScale>
    </cfRule>
  </conditionalFormatting>
  <conditionalFormatting sqref="E185 C185 G185 I185">
    <cfRule type="colorScale" priority="7997">
      <colorScale>
        <cfvo type="min"/>
        <cfvo type="percentile" val="50"/>
        <cfvo type="max"/>
        <color rgb="FFF8696B"/>
        <color rgb="FFFFEB84"/>
        <color rgb="FF63BE7B"/>
      </colorScale>
    </cfRule>
  </conditionalFormatting>
  <conditionalFormatting sqref="C185 C211 E185 G185 I185 I195 K195 I200 K200 C205 E205 G205 I205 K205 E211 G211 I211 K211">
    <cfRule type="colorScale" priority="7996">
      <colorScale>
        <cfvo type="min"/>
        <cfvo type="percentile" val="50"/>
        <cfvo type="max"/>
        <color rgb="FF63BE7B"/>
        <color rgb="FFFFEB84"/>
        <color rgb="FFF8696B"/>
      </colorScale>
    </cfRule>
  </conditionalFormatting>
  <conditionalFormatting sqref="C211 C185 E185 G185 I185 I195 K195 I200 K200 C205 E205 G205 I205 K205 E211 G211 I211 K211">
    <cfRule type="colorScale" priority="7993">
      <colorScale>
        <cfvo type="min"/>
        <cfvo type="max"/>
        <color rgb="FFFCFCFF"/>
        <color rgb="FFF8696B"/>
      </colorScale>
    </cfRule>
    <cfRule type="colorScale" priority="7995">
      <colorScale>
        <cfvo type="min"/>
        <cfvo type="percentile" val="50"/>
        <cfvo type="max"/>
        <color rgb="FF63BE7B"/>
        <color rgb="FFFFEB84"/>
        <color rgb="FFF8696B"/>
      </colorScale>
    </cfRule>
  </conditionalFormatting>
  <conditionalFormatting sqref="C185 C211 E185 G185 I185 I195 K195 I200 K200 C205 E205 G205 I205 K205 E211 G211 I211 K211">
    <cfRule type="colorScale" priority="7994">
      <colorScale>
        <cfvo type="min"/>
        <cfvo type="max"/>
        <color rgb="FFF8696B"/>
        <color rgb="FFFCFCFF"/>
      </colorScale>
    </cfRule>
  </conditionalFormatting>
  <conditionalFormatting sqref="G213">
    <cfRule type="colorScale" priority="7992">
      <colorScale>
        <cfvo type="min"/>
        <cfvo type="percentile" val="50"/>
        <cfvo type="max"/>
        <color rgb="FFF8696B"/>
        <color rgb="FFFFEB84"/>
        <color rgb="FF63BE7B"/>
      </colorScale>
    </cfRule>
  </conditionalFormatting>
  <conditionalFormatting sqref="G213">
    <cfRule type="colorScale" priority="7991">
      <colorScale>
        <cfvo type="min"/>
        <cfvo type="percentile" val="50"/>
        <cfvo type="max"/>
        <color rgb="FFF8696B"/>
        <color rgb="FFFFEB84"/>
        <color rgb="FF63BE7B"/>
      </colorScale>
    </cfRule>
  </conditionalFormatting>
  <conditionalFormatting sqref="G213">
    <cfRule type="colorScale" priority="7990">
      <colorScale>
        <cfvo type="min"/>
        <cfvo type="percentile" val="50"/>
        <cfvo type="max"/>
        <color rgb="FFF8696B"/>
        <color rgb="FFFFEB84"/>
        <color rgb="FF63BE7B"/>
      </colorScale>
    </cfRule>
  </conditionalFormatting>
  <conditionalFormatting sqref="G213">
    <cfRule type="colorScale" priority="7989">
      <colorScale>
        <cfvo type="min"/>
        <cfvo type="percentile" val="50"/>
        <cfvo type="max"/>
        <color rgb="FF63BE7B"/>
        <color rgb="FFFFEB84"/>
        <color rgb="FFF8696B"/>
      </colorScale>
    </cfRule>
  </conditionalFormatting>
  <conditionalFormatting sqref="G213">
    <cfRule type="colorScale" priority="7986">
      <colorScale>
        <cfvo type="min"/>
        <cfvo type="max"/>
        <color rgb="FFFCFCFF"/>
        <color rgb="FFF8696B"/>
      </colorScale>
    </cfRule>
    <cfRule type="colorScale" priority="7988">
      <colorScale>
        <cfvo type="min"/>
        <cfvo type="percentile" val="50"/>
        <cfvo type="max"/>
        <color rgb="FF63BE7B"/>
        <color rgb="FFFFEB84"/>
        <color rgb="FFF8696B"/>
      </colorScale>
    </cfRule>
  </conditionalFormatting>
  <conditionalFormatting sqref="G213">
    <cfRule type="colorScale" priority="7987">
      <colorScale>
        <cfvo type="min"/>
        <cfvo type="max"/>
        <color rgb="FFF8696B"/>
        <color rgb="FFFCFCFF"/>
      </colorScale>
    </cfRule>
  </conditionalFormatting>
  <conditionalFormatting sqref="I213">
    <cfRule type="colorScale" priority="7985">
      <colorScale>
        <cfvo type="min"/>
        <cfvo type="percentile" val="50"/>
        <cfvo type="max"/>
        <color rgb="FFF8696B"/>
        <color rgb="FFFFEB84"/>
        <color rgb="FF63BE7B"/>
      </colorScale>
    </cfRule>
  </conditionalFormatting>
  <conditionalFormatting sqref="I213">
    <cfRule type="colorScale" priority="7984">
      <colorScale>
        <cfvo type="min"/>
        <cfvo type="percentile" val="50"/>
        <cfvo type="max"/>
        <color rgb="FFF8696B"/>
        <color rgb="FFFFEB84"/>
        <color rgb="FF63BE7B"/>
      </colorScale>
    </cfRule>
  </conditionalFormatting>
  <conditionalFormatting sqref="I213">
    <cfRule type="colorScale" priority="7983">
      <colorScale>
        <cfvo type="min"/>
        <cfvo type="percentile" val="50"/>
        <cfvo type="max"/>
        <color rgb="FFF8696B"/>
        <color rgb="FFFFEB84"/>
        <color rgb="FF63BE7B"/>
      </colorScale>
    </cfRule>
  </conditionalFormatting>
  <conditionalFormatting sqref="I213">
    <cfRule type="colorScale" priority="7982">
      <colorScale>
        <cfvo type="min"/>
        <cfvo type="percentile" val="50"/>
        <cfvo type="max"/>
        <color rgb="FF63BE7B"/>
        <color rgb="FFFFEB84"/>
        <color rgb="FFF8696B"/>
      </colorScale>
    </cfRule>
  </conditionalFormatting>
  <conditionalFormatting sqref="I213">
    <cfRule type="colorScale" priority="7979">
      <colorScale>
        <cfvo type="min"/>
        <cfvo type="max"/>
        <color rgb="FFFCFCFF"/>
        <color rgb="FFF8696B"/>
      </colorScale>
    </cfRule>
    <cfRule type="colorScale" priority="7981">
      <colorScale>
        <cfvo type="min"/>
        <cfvo type="percentile" val="50"/>
        <cfvo type="max"/>
        <color rgb="FF63BE7B"/>
        <color rgb="FFFFEB84"/>
        <color rgb="FFF8696B"/>
      </colorScale>
    </cfRule>
  </conditionalFormatting>
  <conditionalFormatting sqref="I213">
    <cfRule type="colorScale" priority="7980">
      <colorScale>
        <cfvo type="min"/>
        <cfvo type="max"/>
        <color rgb="FFF8696B"/>
        <color rgb="FFFCFCFF"/>
      </colorScale>
    </cfRule>
  </conditionalFormatting>
  <conditionalFormatting sqref="K213">
    <cfRule type="colorScale" priority="7978">
      <colorScale>
        <cfvo type="min"/>
        <cfvo type="percentile" val="50"/>
        <cfvo type="max"/>
        <color rgb="FFF8696B"/>
        <color rgb="FFFFEB84"/>
        <color rgb="FF63BE7B"/>
      </colorScale>
    </cfRule>
  </conditionalFormatting>
  <conditionalFormatting sqref="K213">
    <cfRule type="colorScale" priority="7977">
      <colorScale>
        <cfvo type="min"/>
        <cfvo type="percentile" val="50"/>
        <cfvo type="max"/>
        <color rgb="FFF8696B"/>
        <color rgb="FFFFEB84"/>
        <color rgb="FF63BE7B"/>
      </colorScale>
    </cfRule>
  </conditionalFormatting>
  <conditionalFormatting sqref="K213">
    <cfRule type="colorScale" priority="7976">
      <colorScale>
        <cfvo type="min"/>
        <cfvo type="percentile" val="50"/>
        <cfvo type="max"/>
        <color rgb="FFF8696B"/>
        <color rgb="FFFFEB84"/>
        <color rgb="FF63BE7B"/>
      </colorScale>
    </cfRule>
  </conditionalFormatting>
  <conditionalFormatting sqref="K213">
    <cfRule type="colorScale" priority="7975">
      <colorScale>
        <cfvo type="min"/>
        <cfvo type="percentile" val="50"/>
        <cfvo type="max"/>
        <color rgb="FF63BE7B"/>
        <color rgb="FFFFEB84"/>
        <color rgb="FFF8696B"/>
      </colorScale>
    </cfRule>
  </conditionalFormatting>
  <conditionalFormatting sqref="K213">
    <cfRule type="colorScale" priority="7972">
      <colorScale>
        <cfvo type="min"/>
        <cfvo type="max"/>
        <color rgb="FFFCFCFF"/>
        <color rgb="FFF8696B"/>
      </colorScale>
    </cfRule>
    <cfRule type="colorScale" priority="7974">
      <colorScale>
        <cfvo type="min"/>
        <cfvo type="percentile" val="50"/>
        <cfvo type="max"/>
        <color rgb="FF63BE7B"/>
        <color rgb="FFFFEB84"/>
        <color rgb="FFF8696B"/>
      </colorScale>
    </cfRule>
  </conditionalFormatting>
  <conditionalFormatting sqref="K213">
    <cfRule type="colorScale" priority="7973">
      <colorScale>
        <cfvo type="min"/>
        <cfvo type="max"/>
        <color rgb="FFF8696B"/>
        <color rgb="FFFCFCFF"/>
      </colorScale>
    </cfRule>
  </conditionalFormatting>
  <conditionalFormatting sqref="I195">
    <cfRule type="colorScale" priority="7971">
      <colorScale>
        <cfvo type="min"/>
        <cfvo type="percentile" val="50"/>
        <cfvo type="max"/>
        <color rgb="FFF8696B"/>
        <color rgb="FFFFEB84"/>
        <color rgb="FF63BE7B"/>
      </colorScale>
    </cfRule>
  </conditionalFormatting>
  <conditionalFormatting sqref="K195">
    <cfRule type="colorScale" priority="7970">
      <colorScale>
        <cfvo type="min"/>
        <cfvo type="percentile" val="50"/>
        <cfvo type="max"/>
        <color rgb="FFF8696B"/>
        <color rgb="FFFFEB84"/>
        <color rgb="FF63BE7B"/>
      </colorScale>
    </cfRule>
  </conditionalFormatting>
  <conditionalFormatting sqref="I200">
    <cfRule type="colorScale" priority="7969">
      <colorScale>
        <cfvo type="min"/>
        <cfvo type="percentile" val="50"/>
        <cfvo type="max"/>
        <color rgb="FFF8696B"/>
        <color rgb="FFFFEB84"/>
        <color rgb="FF63BE7B"/>
      </colorScale>
    </cfRule>
  </conditionalFormatting>
  <conditionalFormatting sqref="K200">
    <cfRule type="colorScale" priority="7968">
      <colorScale>
        <cfvo type="min"/>
        <cfvo type="percentile" val="50"/>
        <cfvo type="max"/>
        <color rgb="FFF8696B"/>
        <color rgb="FFFFEB84"/>
        <color rgb="FF63BE7B"/>
      </colorScale>
    </cfRule>
  </conditionalFormatting>
  <conditionalFormatting sqref="C205">
    <cfRule type="colorScale" priority="7967">
      <colorScale>
        <cfvo type="min"/>
        <cfvo type="percentile" val="50"/>
        <cfvo type="max"/>
        <color rgb="FFF8696B"/>
        <color rgb="FFFFEB84"/>
        <color rgb="FF63BE7B"/>
      </colorScale>
    </cfRule>
  </conditionalFormatting>
  <conditionalFormatting sqref="E205">
    <cfRule type="colorScale" priority="7966">
      <colorScale>
        <cfvo type="min"/>
        <cfvo type="percentile" val="50"/>
        <cfvo type="max"/>
        <color rgb="FFF8696B"/>
        <color rgb="FFFFEB84"/>
        <color rgb="FF63BE7B"/>
      </colorScale>
    </cfRule>
  </conditionalFormatting>
  <conditionalFormatting sqref="G205">
    <cfRule type="colorScale" priority="7965">
      <colorScale>
        <cfvo type="min"/>
        <cfvo type="percentile" val="50"/>
        <cfvo type="max"/>
        <color rgb="FFF8696B"/>
        <color rgb="FFFFEB84"/>
        <color rgb="FF63BE7B"/>
      </colorScale>
    </cfRule>
  </conditionalFormatting>
  <conditionalFormatting sqref="I205">
    <cfRule type="colorScale" priority="7964">
      <colorScale>
        <cfvo type="min"/>
        <cfvo type="percentile" val="50"/>
        <cfvo type="max"/>
        <color rgb="FFF8696B"/>
        <color rgb="FFFFEB84"/>
        <color rgb="FF63BE7B"/>
      </colorScale>
    </cfRule>
  </conditionalFormatting>
  <conditionalFormatting sqref="K205">
    <cfRule type="colorScale" priority="7963">
      <colorScale>
        <cfvo type="min"/>
        <cfvo type="percentile" val="50"/>
        <cfvo type="max"/>
        <color rgb="FFF8696B"/>
        <color rgb="FFFFEB84"/>
        <color rgb="FF63BE7B"/>
      </colorScale>
    </cfRule>
  </conditionalFormatting>
  <conditionalFormatting sqref="C211">
    <cfRule type="colorScale" priority="7962">
      <colorScale>
        <cfvo type="min"/>
        <cfvo type="percentile" val="50"/>
        <cfvo type="max"/>
        <color rgb="FFF8696B"/>
        <color rgb="FFFFEB84"/>
        <color rgb="FF63BE7B"/>
      </colorScale>
    </cfRule>
  </conditionalFormatting>
  <conditionalFormatting sqref="E211">
    <cfRule type="colorScale" priority="7961">
      <colorScale>
        <cfvo type="min"/>
        <cfvo type="percentile" val="50"/>
        <cfvo type="max"/>
        <color rgb="FFF8696B"/>
        <color rgb="FFFFEB84"/>
        <color rgb="FF63BE7B"/>
      </colorScale>
    </cfRule>
  </conditionalFormatting>
  <conditionalFormatting sqref="G211">
    <cfRule type="colorScale" priority="7960">
      <colorScale>
        <cfvo type="min"/>
        <cfvo type="percentile" val="50"/>
        <cfvo type="max"/>
        <color rgb="FFF8696B"/>
        <color rgb="FFFFEB84"/>
        <color rgb="FF63BE7B"/>
      </colorScale>
    </cfRule>
  </conditionalFormatting>
  <conditionalFormatting sqref="I211">
    <cfRule type="colorScale" priority="7959">
      <colorScale>
        <cfvo type="min"/>
        <cfvo type="percentile" val="50"/>
        <cfvo type="max"/>
        <color rgb="FFF8696B"/>
        <color rgb="FFFFEB84"/>
        <color rgb="FF63BE7B"/>
      </colorScale>
    </cfRule>
  </conditionalFormatting>
  <conditionalFormatting sqref="K211">
    <cfRule type="colorScale" priority="7958">
      <colorScale>
        <cfvo type="min"/>
        <cfvo type="percentile" val="50"/>
        <cfvo type="max"/>
        <color rgb="FFF8696B"/>
        <color rgb="FFFFEB84"/>
        <color rgb="FF63BE7B"/>
      </colorScale>
    </cfRule>
  </conditionalFormatting>
  <conditionalFormatting sqref="E185 C211 C185 G185 I185 I195 K195 E190 C190 I200 K200 K205 I205 G205 E205 C205 E211 K211 I211 G211 G213 I213 K213">
    <cfRule type="colorScale" priority="7957">
      <colorScale>
        <cfvo type="min"/>
        <cfvo type="max"/>
        <color rgb="FFFCFCFF"/>
        <color rgb="FFF8696B"/>
      </colorScale>
    </cfRule>
  </conditionalFormatting>
  <conditionalFormatting sqref="M200 M211 M195 M205">
    <cfRule type="colorScale" priority="7956">
      <colorScale>
        <cfvo type="min"/>
        <cfvo type="percentile" val="50"/>
        <cfvo type="max"/>
        <color rgb="FFF8696B"/>
        <color rgb="FFFFEB84"/>
        <color rgb="FF63BE7B"/>
      </colorScale>
    </cfRule>
  </conditionalFormatting>
  <conditionalFormatting sqref="M205">
    <cfRule type="colorScale" priority="7955">
      <colorScale>
        <cfvo type="min"/>
        <cfvo type="percentile" val="50"/>
        <cfvo type="max"/>
        <color rgb="FFF8696B"/>
        <color rgb="FFFFEB84"/>
        <color rgb="FF63BE7B"/>
      </colorScale>
    </cfRule>
  </conditionalFormatting>
  <conditionalFormatting sqref="M200 M211 M195 M205">
    <cfRule type="colorScale" priority="7954">
      <colorScale>
        <cfvo type="min"/>
        <cfvo type="percentile" val="50"/>
        <cfvo type="max"/>
        <color rgb="FF63BE7B"/>
        <color rgb="FFFFEB84"/>
        <color rgb="FFF8696B"/>
      </colorScale>
    </cfRule>
  </conditionalFormatting>
  <conditionalFormatting sqref="M211 M195 M200 M205">
    <cfRule type="colorScale" priority="7951">
      <colorScale>
        <cfvo type="min"/>
        <cfvo type="max"/>
        <color rgb="FFFCFCFF"/>
        <color rgb="FFF8696B"/>
      </colorScale>
    </cfRule>
    <cfRule type="colorScale" priority="7953">
      <colorScale>
        <cfvo type="min"/>
        <cfvo type="percentile" val="50"/>
        <cfvo type="max"/>
        <color rgb="FF63BE7B"/>
        <color rgb="FFFFEB84"/>
        <color rgb="FFF8696B"/>
      </colorScale>
    </cfRule>
  </conditionalFormatting>
  <conditionalFormatting sqref="M200 M211 M195 M205">
    <cfRule type="colorScale" priority="7952">
      <colorScale>
        <cfvo type="min"/>
        <cfvo type="max"/>
        <color rgb="FFF8696B"/>
        <color rgb="FFFCFCFF"/>
      </colorScale>
    </cfRule>
  </conditionalFormatting>
  <conditionalFormatting sqref="M213">
    <cfRule type="colorScale" priority="7950">
      <colorScale>
        <cfvo type="min"/>
        <cfvo type="percentile" val="50"/>
        <cfvo type="max"/>
        <color rgb="FFF8696B"/>
        <color rgb="FFFFEB84"/>
        <color rgb="FF63BE7B"/>
      </colorScale>
    </cfRule>
  </conditionalFormatting>
  <conditionalFormatting sqref="M213">
    <cfRule type="colorScale" priority="7949">
      <colorScale>
        <cfvo type="min"/>
        <cfvo type="percentile" val="50"/>
        <cfvo type="max"/>
        <color rgb="FFF8696B"/>
        <color rgb="FFFFEB84"/>
        <color rgb="FF63BE7B"/>
      </colorScale>
    </cfRule>
  </conditionalFormatting>
  <conditionalFormatting sqref="M213">
    <cfRule type="colorScale" priority="7948">
      <colorScale>
        <cfvo type="min"/>
        <cfvo type="percentile" val="50"/>
        <cfvo type="max"/>
        <color rgb="FFF8696B"/>
        <color rgb="FFFFEB84"/>
        <color rgb="FF63BE7B"/>
      </colorScale>
    </cfRule>
  </conditionalFormatting>
  <conditionalFormatting sqref="M213">
    <cfRule type="colorScale" priority="7947">
      <colorScale>
        <cfvo type="min"/>
        <cfvo type="percentile" val="50"/>
        <cfvo type="max"/>
        <color rgb="FF63BE7B"/>
        <color rgb="FFFFEB84"/>
        <color rgb="FFF8696B"/>
      </colorScale>
    </cfRule>
  </conditionalFormatting>
  <conditionalFormatting sqref="M213">
    <cfRule type="colorScale" priority="7944">
      <colorScale>
        <cfvo type="min"/>
        <cfvo type="max"/>
        <color rgb="FFFCFCFF"/>
        <color rgb="FFF8696B"/>
      </colorScale>
    </cfRule>
    <cfRule type="colorScale" priority="7946">
      <colorScale>
        <cfvo type="min"/>
        <cfvo type="percentile" val="50"/>
        <cfvo type="max"/>
        <color rgb="FF63BE7B"/>
        <color rgb="FFFFEB84"/>
        <color rgb="FFF8696B"/>
      </colorScale>
    </cfRule>
  </conditionalFormatting>
  <conditionalFormatting sqref="M213">
    <cfRule type="colorScale" priority="7945">
      <colorScale>
        <cfvo type="min"/>
        <cfvo type="max"/>
        <color rgb="FFF8696B"/>
        <color rgb="FFFCFCFF"/>
      </colorScale>
    </cfRule>
  </conditionalFormatting>
  <conditionalFormatting sqref="M195">
    <cfRule type="colorScale" priority="7943">
      <colorScale>
        <cfvo type="min"/>
        <cfvo type="percentile" val="50"/>
        <cfvo type="max"/>
        <color rgb="FFF8696B"/>
        <color rgb="FFFFEB84"/>
        <color rgb="FF63BE7B"/>
      </colorScale>
    </cfRule>
  </conditionalFormatting>
  <conditionalFormatting sqref="M200">
    <cfRule type="colorScale" priority="7942">
      <colorScale>
        <cfvo type="min"/>
        <cfvo type="percentile" val="50"/>
        <cfvo type="max"/>
        <color rgb="FFF8696B"/>
        <color rgb="FFFFEB84"/>
        <color rgb="FF63BE7B"/>
      </colorScale>
    </cfRule>
  </conditionalFormatting>
  <conditionalFormatting sqref="M205">
    <cfRule type="colorScale" priority="7941">
      <colorScale>
        <cfvo type="min"/>
        <cfvo type="percentile" val="50"/>
        <cfvo type="max"/>
        <color rgb="FFF8696B"/>
        <color rgb="FFFFEB84"/>
        <color rgb="FF63BE7B"/>
      </colorScale>
    </cfRule>
  </conditionalFormatting>
  <conditionalFormatting sqref="M211">
    <cfRule type="colorScale" priority="7940">
      <colorScale>
        <cfvo type="min"/>
        <cfvo type="percentile" val="50"/>
        <cfvo type="max"/>
        <color rgb="FFF8696B"/>
        <color rgb="FFFFEB84"/>
        <color rgb="FF63BE7B"/>
      </colorScale>
    </cfRule>
  </conditionalFormatting>
  <conditionalFormatting sqref="M200 M211 M195 M205 M213">
    <cfRule type="colorScale" priority="7939">
      <colorScale>
        <cfvo type="min"/>
        <cfvo type="max"/>
        <color rgb="FFFCFCFF"/>
        <color rgb="FFF8696B"/>
      </colorScale>
    </cfRule>
  </conditionalFormatting>
  <conditionalFormatting sqref="O200 O211 O195 O205">
    <cfRule type="colorScale" priority="7938">
      <colorScale>
        <cfvo type="min"/>
        <cfvo type="percentile" val="50"/>
        <cfvo type="max"/>
        <color rgb="FFF8696B"/>
        <color rgb="FFFFEB84"/>
        <color rgb="FF63BE7B"/>
      </colorScale>
    </cfRule>
  </conditionalFormatting>
  <conditionalFormatting sqref="O205">
    <cfRule type="colorScale" priority="7937">
      <colorScale>
        <cfvo type="min"/>
        <cfvo type="percentile" val="50"/>
        <cfvo type="max"/>
        <color rgb="FFF8696B"/>
        <color rgb="FFFFEB84"/>
        <color rgb="FF63BE7B"/>
      </colorScale>
    </cfRule>
  </conditionalFormatting>
  <conditionalFormatting sqref="O200 O211 O195 O205">
    <cfRule type="colorScale" priority="7936">
      <colorScale>
        <cfvo type="min"/>
        <cfvo type="percentile" val="50"/>
        <cfvo type="max"/>
        <color rgb="FF63BE7B"/>
        <color rgb="FFFFEB84"/>
        <color rgb="FFF8696B"/>
      </colorScale>
    </cfRule>
  </conditionalFormatting>
  <conditionalFormatting sqref="O211 O195 O200 O205">
    <cfRule type="colorScale" priority="7933">
      <colorScale>
        <cfvo type="min"/>
        <cfvo type="max"/>
        <color rgb="FFFCFCFF"/>
        <color rgb="FFF8696B"/>
      </colorScale>
    </cfRule>
    <cfRule type="colorScale" priority="7935">
      <colorScale>
        <cfvo type="min"/>
        <cfvo type="percentile" val="50"/>
        <cfvo type="max"/>
        <color rgb="FF63BE7B"/>
        <color rgb="FFFFEB84"/>
        <color rgb="FFF8696B"/>
      </colorScale>
    </cfRule>
  </conditionalFormatting>
  <conditionalFormatting sqref="O200 O211 O195 O205">
    <cfRule type="colorScale" priority="7934">
      <colorScale>
        <cfvo type="min"/>
        <cfvo type="max"/>
        <color rgb="FFF8696B"/>
        <color rgb="FFFCFCFF"/>
      </colorScale>
    </cfRule>
  </conditionalFormatting>
  <conditionalFormatting sqref="O213">
    <cfRule type="colorScale" priority="7932">
      <colorScale>
        <cfvo type="min"/>
        <cfvo type="percentile" val="50"/>
        <cfvo type="max"/>
        <color rgb="FFF8696B"/>
        <color rgb="FFFFEB84"/>
        <color rgb="FF63BE7B"/>
      </colorScale>
    </cfRule>
  </conditionalFormatting>
  <conditionalFormatting sqref="O213">
    <cfRule type="colorScale" priority="7931">
      <colorScale>
        <cfvo type="min"/>
        <cfvo type="percentile" val="50"/>
        <cfvo type="max"/>
        <color rgb="FFF8696B"/>
        <color rgb="FFFFEB84"/>
        <color rgb="FF63BE7B"/>
      </colorScale>
    </cfRule>
  </conditionalFormatting>
  <conditionalFormatting sqref="O213">
    <cfRule type="colorScale" priority="7930">
      <colorScale>
        <cfvo type="min"/>
        <cfvo type="percentile" val="50"/>
        <cfvo type="max"/>
        <color rgb="FFF8696B"/>
        <color rgb="FFFFEB84"/>
        <color rgb="FF63BE7B"/>
      </colorScale>
    </cfRule>
  </conditionalFormatting>
  <conditionalFormatting sqref="O213">
    <cfRule type="colorScale" priority="7929">
      <colorScale>
        <cfvo type="min"/>
        <cfvo type="percentile" val="50"/>
        <cfvo type="max"/>
        <color rgb="FF63BE7B"/>
        <color rgb="FFFFEB84"/>
        <color rgb="FFF8696B"/>
      </colorScale>
    </cfRule>
  </conditionalFormatting>
  <conditionalFormatting sqref="O213">
    <cfRule type="colorScale" priority="7926">
      <colorScale>
        <cfvo type="min"/>
        <cfvo type="max"/>
        <color rgb="FFFCFCFF"/>
        <color rgb="FFF8696B"/>
      </colorScale>
    </cfRule>
    <cfRule type="colorScale" priority="7928">
      <colorScale>
        <cfvo type="min"/>
        <cfvo type="percentile" val="50"/>
        <cfvo type="max"/>
        <color rgb="FF63BE7B"/>
        <color rgb="FFFFEB84"/>
        <color rgb="FFF8696B"/>
      </colorScale>
    </cfRule>
  </conditionalFormatting>
  <conditionalFormatting sqref="O213">
    <cfRule type="colorScale" priority="7927">
      <colorScale>
        <cfvo type="min"/>
        <cfvo type="max"/>
        <color rgb="FFF8696B"/>
        <color rgb="FFFCFCFF"/>
      </colorScale>
    </cfRule>
  </conditionalFormatting>
  <conditionalFormatting sqref="O195">
    <cfRule type="colorScale" priority="7925">
      <colorScale>
        <cfvo type="min"/>
        <cfvo type="percentile" val="50"/>
        <cfvo type="max"/>
        <color rgb="FFF8696B"/>
        <color rgb="FFFFEB84"/>
        <color rgb="FF63BE7B"/>
      </colorScale>
    </cfRule>
  </conditionalFormatting>
  <conditionalFormatting sqref="O200">
    <cfRule type="colorScale" priority="7924">
      <colorScale>
        <cfvo type="min"/>
        <cfvo type="percentile" val="50"/>
        <cfvo type="max"/>
        <color rgb="FFF8696B"/>
        <color rgb="FFFFEB84"/>
        <color rgb="FF63BE7B"/>
      </colorScale>
    </cfRule>
  </conditionalFormatting>
  <conditionalFormatting sqref="O205">
    <cfRule type="colorScale" priority="7923">
      <colorScale>
        <cfvo type="min"/>
        <cfvo type="percentile" val="50"/>
        <cfvo type="max"/>
        <color rgb="FFF8696B"/>
        <color rgb="FFFFEB84"/>
        <color rgb="FF63BE7B"/>
      </colorScale>
    </cfRule>
  </conditionalFormatting>
  <conditionalFormatting sqref="O211">
    <cfRule type="colorScale" priority="7922">
      <colorScale>
        <cfvo type="min"/>
        <cfvo type="percentile" val="50"/>
        <cfvo type="max"/>
        <color rgb="FFF8696B"/>
        <color rgb="FFFFEB84"/>
        <color rgb="FF63BE7B"/>
      </colorScale>
    </cfRule>
  </conditionalFormatting>
  <conditionalFormatting sqref="O200 O211 O195 O205 O213">
    <cfRule type="colorScale" priority="7921">
      <colorScale>
        <cfvo type="min"/>
        <cfvo type="max"/>
        <color rgb="FFFCFCFF"/>
        <color rgb="FFF8696B"/>
      </colorScale>
    </cfRule>
  </conditionalFormatting>
  <conditionalFormatting sqref="K185">
    <cfRule type="colorScale" priority="7920">
      <colorScale>
        <cfvo type="min"/>
        <cfvo type="percentile" val="50"/>
        <cfvo type="max"/>
        <color rgb="FFF8696B"/>
        <color rgb="FFFFEB84"/>
        <color rgb="FF63BE7B"/>
      </colorScale>
    </cfRule>
  </conditionalFormatting>
  <conditionalFormatting sqref="K185">
    <cfRule type="colorScale" priority="7919">
      <colorScale>
        <cfvo type="min"/>
        <cfvo type="percentile" val="50"/>
        <cfvo type="max"/>
        <color rgb="FFF8696B"/>
        <color rgb="FFFFEB84"/>
        <color rgb="FF63BE7B"/>
      </colorScale>
    </cfRule>
  </conditionalFormatting>
  <conditionalFormatting sqref="K185">
    <cfRule type="colorScale" priority="7918">
      <colorScale>
        <cfvo type="min"/>
        <cfvo type="percentile" val="50"/>
        <cfvo type="max"/>
        <color rgb="FF63BE7B"/>
        <color rgb="FFFFEB84"/>
        <color rgb="FFF8696B"/>
      </colorScale>
    </cfRule>
  </conditionalFormatting>
  <conditionalFormatting sqref="K185">
    <cfRule type="colorScale" priority="7915">
      <colorScale>
        <cfvo type="min"/>
        <cfvo type="max"/>
        <color rgb="FFFCFCFF"/>
        <color rgb="FFF8696B"/>
      </colorScale>
    </cfRule>
    <cfRule type="colorScale" priority="7917">
      <colorScale>
        <cfvo type="min"/>
        <cfvo type="percentile" val="50"/>
        <cfvo type="max"/>
        <color rgb="FF63BE7B"/>
        <color rgb="FFFFEB84"/>
        <color rgb="FFF8696B"/>
      </colorScale>
    </cfRule>
  </conditionalFormatting>
  <conditionalFormatting sqref="K185">
    <cfRule type="colorScale" priority="7916">
      <colorScale>
        <cfvo type="min"/>
        <cfvo type="max"/>
        <color rgb="FFF8696B"/>
        <color rgb="FFFCFCFF"/>
      </colorScale>
    </cfRule>
  </conditionalFormatting>
  <conditionalFormatting sqref="K185">
    <cfRule type="colorScale" priority="7914">
      <colorScale>
        <cfvo type="min"/>
        <cfvo type="max"/>
        <color rgb="FFFCFCFF"/>
        <color rgb="FFF8696B"/>
      </colorScale>
    </cfRule>
  </conditionalFormatting>
  <conditionalFormatting sqref="M185">
    <cfRule type="colorScale" priority="7913">
      <colorScale>
        <cfvo type="min"/>
        <cfvo type="percentile" val="50"/>
        <cfvo type="max"/>
        <color rgb="FFF8696B"/>
        <color rgb="FFFFEB84"/>
        <color rgb="FF63BE7B"/>
      </colorScale>
    </cfRule>
  </conditionalFormatting>
  <conditionalFormatting sqref="M185">
    <cfRule type="colorScale" priority="7912">
      <colorScale>
        <cfvo type="min"/>
        <cfvo type="percentile" val="50"/>
        <cfvo type="max"/>
        <color rgb="FFF8696B"/>
        <color rgb="FFFFEB84"/>
        <color rgb="FF63BE7B"/>
      </colorScale>
    </cfRule>
  </conditionalFormatting>
  <conditionalFormatting sqref="M185">
    <cfRule type="colorScale" priority="7911">
      <colorScale>
        <cfvo type="min"/>
        <cfvo type="percentile" val="50"/>
        <cfvo type="max"/>
        <color rgb="FF63BE7B"/>
        <color rgb="FFFFEB84"/>
        <color rgb="FFF8696B"/>
      </colorScale>
    </cfRule>
  </conditionalFormatting>
  <conditionalFormatting sqref="M185">
    <cfRule type="colorScale" priority="7908">
      <colorScale>
        <cfvo type="min"/>
        <cfvo type="max"/>
        <color rgb="FFFCFCFF"/>
        <color rgb="FFF8696B"/>
      </colorScale>
    </cfRule>
    <cfRule type="colorScale" priority="7910">
      <colorScale>
        <cfvo type="min"/>
        <cfvo type="percentile" val="50"/>
        <cfvo type="max"/>
        <color rgb="FF63BE7B"/>
        <color rgb="FFFFEB84"/>
        <color rgb="FFF8696B"/>
      </colorScale>
    </cfRule>
  </conditionalFormatting>
  <conditionalFormatting sqref="M185">
    <cfRule type="colorScale" priority="7909">
      <colorScale>
        <cfvo type="min"/>
        <cfvo type="max"/>
        <color rgb="FFF8696B"/>
        <color rgb="FFFCFCFF"/>
      </colorScale>
    </cfRule>
  </conditionalFormatting>
  <conditionalFormatting sqref="M185">
    <cfRule type="colorScale" priority="7907">
      <colorScale>
        <cfvo type="min"/>
        <cfvo type="max"/>
        <color rgb="FFFCFCFF"/>
        <color rgb="FFF8696B"/>
      </colorScale>
    </cfRule>
  </conditionalFormatting>
  <conditionalFormatting sqref="O185">
    <cfRule type="colorScale" priority="7906">
      <colorScale>
        <cfvo type="min"/>
        <cfvo type="percentile" val="50"/>
        <cfvo type="max"/>
        <color rgb="FFF8696B"/>
        <color rgb="FFFFEB84"/>
        <color rgb="FF63BE7B"/>
      </colorScale>
    </cfRule>
  </conditionalFormatting>
  <conditionalFormatting sqref="O185">
    <cfRule type="colorScale" priority="7905">
      <colorScale>
        <cfvo type="min"/>
        <cfvo type="percentile" val="50"/>
        <cfvo type="max"/>
        <color rgb="FFF8696B"/>
        <color rgb="FFFFEB84"/>
        <color rgb="FF63BE7B"/>
      </colorScale>
    </cfRule>
  </conditionalFormatting>
  <conditionalFormatting sqref="O185">
    <cfRule type="colorScale" priority="7904">
      <colorScale>
        <cfvo type="min"/>
        <cfvo type="percentile" val="50"/>
        <cfvo type="max"/>
        <color rgb="FF63BE7B"/>
        <color rgb="FFFFEB84"/>
        <color rgb="FFF8696B"/>
      </colorScale>
    </cfRule>
  </conditionalFormatting>
  <conditionalFormatting sqref="O185">
    <cfRule type="colorScale" priority="7901">
      <colorScale>
        <cfvo type="min"/>
        <cfvo type="max"/>
        <color rgb="FFFCFCFF"/>
        <color rgb="FFF8696B"/>
      </colorScale>
    </cfRule>
    <cfRule type="colorScale" priority="7903">
      <colorScale>
        <cfvo type="min"/>
        <cfvo type="percentile" val="50"/>
        <cfvo type="max"/>
        <color rgb="FF63BE7B"/>
        <color rgb="FFFFEB84"/>
        <color rgb="FFF8696B"/>
      </colorScale>
    </cfRule>
  </conditionalFormatting>
  <conditionalFormatting sqref="O185">
    <cfRule type="colorScale" priority="7902">
      <colorScale>
        <cfvo type="min"/>
        <cfvo type="max"/>
        <color rgb="FFF8696B"/>
        <color rgb="FFFCFCFF"/>
      </colorScale>
    </cfRule>
  </conditionalFormatting>
  <conditionalFormatting sqref="O185">
    <cfRule type="colorScale" priority="7900">
      <colorScale>
        <cfvo type="min"/>
        <cfvo type="max"/>
        <color rgb="FFFCFCFF"/>
        <color rgb="FFF8696B"/>
      </colorScale>
    </cfRule>
  </conditionalFormatting>
  <conditionalFormatting sqref="C228 C254 E228 G228 I228 K238 K243 I248 K248 E254 G254 I254 K254">
    <cfRule type="colorScale" priority="7899">
      <colorScale>
        <cfvo type="min"/>
        <cfvo type="percentile" val="50"/>
        <cfvo type="max"/>
        <color rgb="FFF8696B"/>
        <color rgb="FFFFEB84"/>
        <color rgb="FF63BE7B"/>
      </colorScale>
    </cfRule>
  </conditionalFormatting>
  <conditionalFormatting sqref="K248">
    <cfRule type="colorScale" priority="7898">
      <colorScale>
        <cfvo type="min"/>
        <cfvo type="percentile" val="50"/>
        <cfvo type="max"/>
        <color rgb="FFF8696B"/>
        <color rgb="FFFFEB84"/>
        <color rgb="FF63BE7B"/>
      </colorScale>
    </cfRule>
  </conditionalFormatting>
  <conditionalFormatting sqref="C228 E228 G228 I228">
    <cfRule type="colorScale" priority="7897">
      <colorScale>
        <cfvo type="min"/>
        <cfvo type="percentile" val="50"/>
        <cfvo type="max"/>
        <color rgb="FFF8696B"/>
        <color rgb="FFFFEB84"/>
        <color rgb="FF63BE7B"/>
      </colorScale>
    </cfRule>
  </conditionalFormatting>
  <conditionalFormatting sqref="E228 C254 C228 G228 I228 K238 K243 I248 K248 E254 G254 I254 K254">
    <cfRule type="colorScale" priority="7896">
      <colorScale>
        <cfvo type="min"/>
        <cfvo type="percentile" val="50"/>
        <cfvo type="max"/>
        <color rgb="FF63BE7B"/>
        <color rgb="FFFFEB84"/>
        <color rgb="FFF8696B"/>
      </colorScale>
    </cfRule>
  </conditionalFormatting>
  <conditionalFormatting sqref="C254 C228 E228 G228 I228 K238 K243 I248 K248 E254 G254 I254 K254">
    <cfRule type="colorScale" priority="7893">
      <colorScale>
        <cfvo type="min"/>
        <cfvo type="max"/>
        <color rgb="FFFCFCFF"/>
        <color rgb="FFF8696B"/>
      </colorScale>
    </cfRule>
    <cfRule type="colorScale" priority="7895">
      <colorScale>
        <cfvo type="min"/>
        <cfvo type="percentile" val="50"/>
        <cfvo type="max"/>
        <color rgb="FF63BE7B"/>
        <color rgb="FFFFEB84"/>
        <color rgb="FFF8696B"/>
      </colorScale>
    </cfRule>
  </conditionalFormatting>
  <conditionalFormatting sqref="C228 C254 E228 G228 I228 K238 K243 I248 K248 E254 G254 I254 K254">
    <cfRule type="colorScale" priority="7894">
      <colorScale>
        <cfvo type="min"/>
        <cfvo type="max"/>
        <color rgb="FFF8696B"/>
        <color rgb="FFFCFCFF"/>
      </colorScale>
    </cfRule>
  </conditionalFormatting>
  <conditionalFormatting sqref="G256">
    <cfRule type="colorScale" priority="7892">
      <colorScale>
        <cfvo type="min"/>
        <cfvo type="percentile" val="50"/>
        <cfvo type="max"/>
        <color rgb="FFF8696B"/>
        <color rgb="FFFFEB84"/>
        <color rgb="FF63BE7B"/>
      </colorScale>
    </cfRule>
  </conditionalFormatting>
  <conditionalFormatting sqref="G256">
    <cfRule type="colorScale" priority="7891">
      <colorScale>
        <cfvo type="min"/>
        <cfvo type="percentile" val="50"/>
        <cfvo type="max"/>
        <color rgb="FFF8696B"/>
        <color rgb="FFFFEB84"/>
        <color rgb="FF63BE7B"/>
      </colorScale>
    </cfRule>
  </conditionalFormatting>
  <conditionalFormatting sqref="G256">
    <cfRule type="colorScale" priority="7890">
      <colorScale>
        <cfvo type="min"/>
        <cfvo type="percentile" val="50"/>
        <cfvo type="max"/>
        <color rgb="FFF8696B"/>
        <color rgb="FFFFEB84"/>
        <color rgb="FF63BE7B"/>
      </colorScale>
    </cfRule>
  </conditionalFormatting>
  <conditionalFormatting sqref="G256">
    <cfRule type="colorScale" priority="7889">
      <colorScale>
        <cfvo type="min"/>
        <cfvo type="percentile" val="50"/>
        <cfvo type="max"/>
        <color rgb="FF63BE7B"/>
        <color rgb="FFFFEB84"/>
        <color rgb="FFF8696B"/>
      </colorScale>
    </cfRule>
  </conditionalFormatting>
  <conditionalFormatting sqref="G256">
    <cfRule type="colorScale" priority="7886">
      <colorScale>
        <cfvo type="min"/>
        <cfvo type="max"/>
        <color rgb="FFFCFCFF"/>
        <color rgb="FFF8696B"/>
      </colorScale>
    </cfRule>
    <cfRule type="colorScale" priority="7888">
      <colorScale>
        <cfvo type="min"/>
        <cfvo type="percentile" val="50"/>
        <cfvo type="max"/>
        <color rgb="FF63BE7B"/>
        <color rgb="FFFFEB84"/>
        <color rgb="FFF8696B"/>
      </colorScale>
    </cfRule>
  </conditionalFormatting>
  <conditionalFormatting sqref="G256">
    <cfRule type="colorScale" priority="7887">
      <colorScale>
        <cfvo type="min"/>
        <cfvo type="max"/>
        <color rgb="FFF8696B"/>
        <color rgb="FFFCFCFF"/>
      </colorScale>
    </cfRule>
  </conditionalFormatting>
  <conditionalFormatting sqref="I256">
    <cfRule type="colorScale" priority="7885">
      <colorScale>
        <cfvo type="min"/>
        <cfvo type="percentile" val="50"/>
        <cfvo type="max"/>
        <color rgb="FFF8696B"/>
        <color rgb="FFFFEB84"/>
        <color rgb="FF63BE7B"/>
      </colorScale>
    </cfRule>
  </conditionalFormatting>
  <conditionalFormatting sqref="I256">
    <cfRule type="colorScale" priority="7884">
      <colorScale>
        <cfvo type="min"/>
        <cfvo type="percentile" val="50"/>
        <cfvo type="max"/>
        <color rgb="FFF8696B"/>
        <color rgb="FFFFEB84"/>
        <color rgb="FF63BE7B"/>
      </colorScale>
    </cfRule>
  </conditionalFormatting>
  <conditionalFormatting sqref="I256">
    <cfRule type="colorScale" priority="7883">
      <colorScale>
        <cfvo type="min"/>
        <cfvo type="percentile" val="50"/>
        <cfvo type="max"/>
        <color rgb="FFF8696B"/>
        <color rgb="FFFFEB84"/>
        <color rgb="FF63BE7B"/>
      </colorScale>
    </cfRule>
  </conditionalFormatting>
  <conditionalFormatting sqref="I256">
    <cfRule type="colorScale" priority="7882">
      <colorScale>
        <cfvo type="min"/>
        <cfvo type="percentile" val="50"/>
        <cfvo type="max"/>
        <color rgb="FF63BE7B"/>
        <color rgb="FFFFEB84"/>
        <color rgb="FFF8696B"/>
      </colorScale>
    </cfRule>
  </conditionalFormatting>
  <conditionalFormatting sqref="I256">
    <cfRule type="colorScale" priority="7879">
      <colorScale>
        <cfvo type="min"/>
        <cfvo type="max"/>
        <color rgb="FFFCFCFF"/>
        <color rgb="FFF8696B"/>
      </colorScale>
    </cfRule>
    <cfRule type="colorScale" priority="7881">
      <colorScale>
        <cfvo type="min"/>
        <cfvo type="percentile" val="50"/>
        <cfvo type="max"/>
        <color rgb="FF63BE7B"/>
        <color rgb="FFFFEB84"/>
        <color rgb="FFF8696B"/>
      </colorScale>
    </cfRule>
  </conditionalFormatting>
  <conditionalFormatting sqref="I256">
    <cfRule type="colorScale" priority="7880">
      <colorScale>
        <cfvo type="min"/>
        <cfvo type="max"/>
        <color rgb="FFF8696B"/>
        <color rgb="FFFCFCFF"/>
      </colorScale>
    </cfRule>
  </conditionalFormatting>
  <conditionalFormatting sqref="K256">
    <cfRule type="colorScale" priority="7878">
      <colorScale>
        <cfvo type="min"/>
        <cfvo type="percentile" val="50"/>
        <cfvo type="max"/>
        <color rgb="FFF8696B"/>
        <color rgb="FFFFEB84"/>
        <color rgb="FF63BE7B"/>
      </colorScale>
    </cfRule>
  </conditionalFormatting>
  <conditionalFormatting sqref="K256">
    <cfRule type="colorScale" priority="7877">
      <colorScale>
        <cfvo type="min"/>
        <cfvo type="percentile" val="50"/>
        <cfvo type="max"/>
        <color rgb="FFF8696B"/>
        <color rgb="FFFFEB84"/>
        <color rgb="FF63BE7B"/>
      </colorScale>
    </cfRule>
  </conditionalFormatting>
  <conditionalFormatting sqref="K256">
    <cfRule type="colorScale" priority="7876">
      <colorScale>
        <cfvo type="min"/>
        <cfvo type="percentile" val="50"/>
        <cfvo type="max"/>
        <color rgb="FFF8696B"/>
        <color rgb="FFFFEB84"/>
        <color rgb="FF63BE7B"/>
      </colorScale>
    </cfRule>
  </conditionalFormatting>
  <conditionalFormatting sqref="K256">
    <cfRule type="colorScale" priority="7875">
      <colorScale>
        <cfvo type="min"/>
        <cfvo type="percentile" val="50"/>
        <cfvo type="max"/>
        <color rgb="FF63BE7B"/>
        <color rgb="FFFFEB84"/>
        <color rgb="FFF8696B"/>
      </colorScale>
    </cfRule>
  </conditionalFormatting>
  <conditionalFormatting sqref="K256">
    <cfRule type="colorScale" priority="7872">
      <colorScale>
        <cfvo type="min"/>
        <cfvo type="max"/>
        <color rgb="FFFCFCFF"/>
        <color rgb="FFF8696B"/>
      </colorScale>
    </cfRule>
    <cfRule type="colorScale" priority="7874">
      <colorScale>
        <cfvo type="min"/>
        <cfvo type="percentile" val="50"/>
        <cfvo type="max"/>
        <color rgb="FF63BE7B"/>
        <color rgb="FFFFEB84"/>
        <color rgb="FFF8696B"/>
      </colorScale>
    </cfRule>
  </conditionalFormatting>
  <conditionalFormatting sqref="K256">
    <cfRule type="colorScale" priority="7873">
      <colorScale>
        <cfvo type="min"/>
        <cfvo type="max"/>
        <color rgb="FFF8696B"/>
        <color rgb="FFFCFCFF"/>
      </colorScale>
    </cfRule>
  </conditionalFormatting>
  <conditionalFormatting sqref="K238">
    <cfRule type="colorScale" priority="7871">
      <colorScale>
        <cfvo type="min"/>
        <cfvo type="percentile" val="50"/>
        <cfvo type="max"/>
        <color rgb="FFF8696B"/>
        <color rgb="FFFFEB84"/>
        <color rgb="FF63BE7B"/>
      </colorScale>
    </cfRule>
  </conditionalFormatting>
  <conditionalFormatting sqref="K243">
    <cfRule type="colorScale" priority="7870">
      <colorScale>
        <cfvo type="min"/>
        <cfvo type="percentile" val="50"/>
        <cfvo type="max"/>
        <color rgb="FFF8696B"/>
        <color rgb="FFFFEB84"/>
        <color rgb="FF63BE7B"/>
      </colorScale>
    </cfRule>
  </conditionalFormatting>
  <conditionalFormatting sqref="I248">
    <cfRule type="colorScale" priority="7869">
      <colorScale>
        <cfvo type="min"/>
        <cfvo type="percentile" val="50"/>
        <cfvo type="max"/>
        <color rgb="FFF8696B"/>
        <color rgb="FFFFEB84"/>
        <color rgb="FF63BE7B"/>
      </colorScale>
    </cfRule>
  </conditionalFormatting>
  <conditionalFormatting sqref="K248">
    <cfRule type="colorScale" priority="7868">
      <colorScale>
        <cfvo type="min"/>
        <cfvo type="percentile" val="50"/>
        <cfvo type="max"/>
        <color rgb="FFF8696B"/>
        <color rgb="FFFFEB84"/>
        <color rgb="FF63BE7B"/>
      </colorScale>
    </cfRule>
  </conditionalFormatting>
  <conditionalFormatting sqref="C254">
    <cfRule type="colorScale" priority="7867">
      <colorScale>
        <cfvo type="min"/>
        <cfvo type="percentile" val="50"/>
        <cfvo type="max"/>
        <color rgb="FFF8696B"/>
        <color rgb="FFFFEB84"/>
        <color rgb="FF63BE7B"/>
      </colorScale>
    </cfRule>
  </conditionalFormatting>
  <conditionalFormatting sqref="E254">
    <cfRule type="colorScale" priority="7866">
      <colorScale>
        <cfvo type="min"/>
        <cfvo type="percentile" val="50"/>
        <cfvo type="max"/>
        <color rgb="FFF8696B"/>
        <color rgb="FFFFEB84"/>
        <color rgb="FF63BE7B"/>
      </colorScale>
    </cfRule>
  </conditionalFormatting>
  <conditionalFormatting sqref="G254">
    <cfRule type="colorScale" priority="7865">
      <colorScale>
        <cfvo type="min"/>
        <cfvo type="percentile" val="50"/>
        <cfvo type="max"/>
        <color rgb="FFF8696B"/>
        <color rgb="FFFFEB84"/>
        <color rgb="FF63BE7B"/>
      </colorScale>
    </cfRule>
  </conditionalFormatting>
  <conditionalFormatting sqref="I254">
    <cfRule type="colorScale" priority="7864">
      <colorScale>
        <cfvo type="min"/>
        <cfvo type="percentile" val="50"/>
        <cfvo type="max"/>
        <color rgb="FFF8696B"/>
        <color rgb="FFFFEB84"/>
        <color rgb="FF63BE7B"/>
      </colorScale>
    </cfRule>
  </conditionalFormatting>
  <conditionalFormatting sqref="K254">
    <cfRule type="colorScale" priority="7863">
      <colorScale>
        <cfvo type="min"/>
        <cfvo type="percentile" val="50"/>
        <cfvo type="max"/>
        <color rgb="FFF8696B"/>
        <color rgb="FFFFEB84"/>
        <color rgb="FF63BE7B"/>
      </colorScale>
    </cfRule>
  </conditionalFormatting>
  <conditionalFormatting sqref="C228 C254 E228 G228 I228 K238 E233 C233 K243 K248 I248 E254 K254 I254 G254 G256 I256 K256">
    <cfRule type="colorScale" priority="7862">
      <colorScale>
        <cfvo type="min"/>
        <cfvo type="max"/>
        <color rgb="FFFCFCFF"/>
        <color rgb="FFF8696B"/>
      </colorScale>
    </cfRule>
  </conditionalFormatting>
  <conditionalFormatting sqref="M238 M254 M243 M248">
    <cfRule type="colorScale" priority="7861">
      <colorScale>
        <cfvo type="min"/>
        <cfvo type="percentile" val="50"/>
        <cfvo type="max"/>
        <color rgb="FFF8696B"/>
        <color rgb="FFFFEB84"/>
        <color rgb="FF63BE7B"/>
      </colorScale>
    </cfRule>
  </conditionalFormatting>
  <conditionalFormatting sqref="M248">
    <cfRule type="colorScale" priority="7860">
      <colorScale>
        <cfvo type="min"/>
        <cfvo type="percentile" val="50"/>
        <cfvo type="max"/>
        <color rgb="FFF8696B"/>
        <color rgb="FFFFEB84"/>
        <color rgb="FF63BE7B"/>
      </colorScale>
    </cfRule>
  </conditionalFormatting>
  <conditionalFormatting sqref="M238 M254 M243 M248">
    <cfRule type="colorScale" priority="7859">
      <colorScale>
        <cfvo type="min"/>
        <cfvo type="percentile" val="50"/>
        <cfvo type="max"/>
        <color rgb="FF63BE7B"/>
        <color rgb="FFFFEB84"/>
        <color rgb="FFF8696B"/>
      </colorScale>
    </cfRule>
  </conditionalFormatting>
  <conditionalFormatting sqref="M254 M238 M243 M248">
    <cfRule type="colorScale" priority="7856">
      <colorScale>
        <cfvo type="min"/>
        <cfvo type="max"/>
        <color rgb="FFFCFCFF"/>
        <color rgb="FFF8696B"/>
      </colorScale>
    </cfRule>
    <cfRule type="colorScale" priority="7858">
      <colorScale>
        <cfvo type="min"/>
        <cfvo type="percentile" val="50"/>
        <cfvo type="max"/>
        <color rgb="FF63BE7B"/>
        <color rgb="FFFFEB84"/>
        <color rgb="FFF8696B"/>
      </colorScale>
    </cfRule>
  </conditionalFormatting>
  <conditionalFormatting sqref="M238 M254 M243 M248">
    <cfRule type="colorScale" priority="7857">
      <colorScale>
        <cfvo type="min"/>
        <cfvo type="max"/>
        <color rgb="FFF8696B"/>
        <color rgb="FFFCFCFF"/>
      </colorScale>
    </cfRule>
  </conditionalFormatting>
  <conditionalFormatting sqref="M256">
    <cfRule type="colorScale" priority="7855">
      <colorScale>
        <cfvo type="min"/>
        <cfvo type="percentile" val="50"/>
        <cfvo type="max"/>
        <color rgb="FFF8696B"/>
        <color rgb="FFFFEB84"/>
        <color rgb="FF63BE7B"/>
      </colorScale>
    </cfRule>
  </conditionalFormatting>
  <conditionalFormatting sqref="M256">
    <cfRule type="colorScale" priority="7854">
      <colorScale>
        <cfvo type="min"/>
        <cfvo type="percentile" val="50"/>
        <cfvo type="max"/>
        <color rgb="FFF8696B"/>
        <color rgb="FFFFEB84"/>
        <color rgb="FF63BE7B"/>
      </colorScale>
    </cfRule>
  </conditionalFormatting>
  <conditionalFormatting sqref="M256">
    <cfRule type="colorScale" priority="7853">
      <colorScale>
        <cfvo type="min"/>
        <cfvo type="percentile" val="50"/>
        <cfvo type="max"/>
        <color rgb="FFF8696B"/>
        <color rgb="FFFFEB84"/>
        <color rgb="FF63BE7B"/>
      </colorScale>
    </cfRule>
  </conditionalFormatting>
  <conditionalFormatting sqref="M256">
    <cfRule type="colorScale" priority="7852">
      <colorScale>
        <cfvo type="min"/>
        <cfvo type="percentile" val="50"/>
        <cfvo type="max"/>
        <color rgb="FF63BE7B"/>
        <color rgb="FFFFEB84"/>
        <color rgb="FFF8696B"/>
      </colorScale>
    </cfRule>
  </conditionalFormatting>
  <conditionalFormatting sqref="M256">
    <cfRule type="colorScale" priority="7849">
      <colorScale>
        <cfvo type="min"/>
        <cfvo type="max"/>
        <color rgb="FFFCFCFF"/>
        <color rgb="FFF8696B"/>
      </colorScale>
    </cfRule>
    <cfRule type="colorScale" priority="7851">
      <colorScale>
        <cfvo type="min"/>
        <cfvo type="percentile" val="50"/>
        <cfvo type="max"/>
        <color rgb="FF63BE7B"/>
        <color rgb="FFFFEB84"/>
        <color rgb="FFF8696B"/>
      </colorScale>
    </cfRule>
  </conditionalFormatting>
  <conditionalFormatting sqref="M256">
    <cfRule type="colorScale" priority="7850">
      <colorScale>
        <cfvo type="min"/>
        <cfvo type="max"/>
        <color rgb="FFF8696B"/>
        <color rgb="FFFCFCFF"/>
      </colorScale>
    </cfRule>
  </conditionalFormatting>
  <conditionalFormatting sqref="M238">
    <cfRule type="colorScale" priority="7848">
      <colorScale>
        <cfvo type="min"/>
        <cfvo type="percentile" val="50"/>
        <cfvo type="max"/>
        <color rgb="FFF8696B"/>
        <color rgb="FFFFEB84"/>
        <color rgb="FF63BE7B"/>
      </colorScale>
    </cfRule>
  </conditionalFormatting>
  <conditionalFormatting sqref="M243">
    <cfRule type="colorScale" priority="7847">
      <colorScale>
        <cfvo type="min"/>
        <cfvo type="percentile" val="50"/>
        <cfvo type="max"/>
        <color rgb="FFF8696B"/>
        <color rgb="FFFFEB84"/>
        <color rgb="FF63BE7B"/>
      </colorScale>
    </cfRule>
  </conditionalFormatting>
  <conditionalFormatting sqref="M248">
    <cfRule type="colorScale" priority="7846">
      <colorScale>
        <cfvo type="min"/>
        <cfvo type="percentile" val="50"/>
        <cfvo type="max"/>
        <color rgb="FFF8696B"/>
        <color rgb="FFFFEB84"/>
        <color rgb="FF63BE7B"/>
      </colorScale>
    </cfRule>
  </conditionalFormatting>
  <conditionalFormatting sqref="M254">
    <cfRule type="colorScale" priority="7845">
      <colorScale>
        <cfvo type="min"/>
        <cfvo type="percentile" val="50"/>
        <cfvo type="max"/>
        <color rgb="FFF8696B"/>
        <color rgb="FFFFEB84"/>
        <color rgb="FF63BE7B"/>
      </colorScale>
    </cfRule>
  </conditionalFormatting>
  <conditionalFormatting sqref="M238 M254 M243 M248 M256">
    <cfRule type="colorScale" priority="7844">
      <colorScale>
        <cfvo type="min"/>
        <cfvo type="max"/>
        <color rgb="FFFCFCFF"/>
        <color rgb="FFF8696B"/>
      </colorScale>
    </cfRule>
  </conditionalFormatting>
  <conditionalFormatting sqref="O238 O254 O243 O248">
    <cfRule type="colorScale" priority="7843">
      <colorScale>
        <cfvo type="min"/>
        <cfvo type="percentile" val="50"/>
        <cfvo type="max"/>
        <color rgb="FFF8696B"/>
        <color rgb="FFFFEB84"/>
        <color rgb="FF63BE7B"/>
      </colorScale>
    </cfRule>
  </conditionalFormatting>
  <conditionalFormatting sqref="O248">
    <cfRule type="colorScale" priority="7842">
      <colorScale>
        <cfvo type="min"/>
        <cfvo type="percentile" val="50"/>
        <cfvo type="max"/>
        <color rgb="FFF8696B"/>
        <color rgb="FFFFEB84"/>
        <color rgb="FF63BE7B"/>
      </colorScale>
    </cfRule>
  </conditionalFormatting>
  <conditionalFormatting sqref="O238 O254 O243 O248">
    <cfRule type="colorScale" priority="7841">
      <colorScale>
        <cfvo type="min"/>
        <cfvo type="percentile" val="50"/>
        <cfvo type="max"/>
        <color rgb="FF63BE7B"/>
        <color rgb="FFFFEB84"/>
        <color rgb="FFF8696B"/>
      </colorScale>
    </cfRule>
  </conditionalFormatting>
  <conditionalFormatting sqref="O254 O238 O243 O248">
    <cfRule type="colorScale" priority="7838">
      <colorScale>
        <cfvo type="min"/>
        <cfvo type="max"/>
        <color rgb="FFFCFCFF"/>
        <color rgb="FFF8696B"/>
      </colorScale>
    </cfRule>
    <cfRule type="colorScale" priority="7840">
      <colorScale>
        <cfvo type="min"/>
        <cfvo type="percentile" val="50"/>
        <cfvo type="max"/>
        <color rgb="FF63BE7B"/>
        <color rgb="FFFFEB84"/>
        <color rgb="FFF8696B"/>
      </colorScale>
    </cfRule>
  </conditionalFormatting>
  <conditionalFormatting sqref="O238 O254 O243 O248">
    <cfRule type="colorScale" priority="7839">
      <colorScale>
        <cfvo type="min"/>
        <cfvo type="max"/>
        <color rgb="FFF8696B"/>
        <color rgb="FFFCFCFF"/>
      </colorScale>
    </cfRule>
  </conditionalFormatting>
  <conditionalFormatting sqref="O256">
    <cfRule type="colorScale" priority="7837">
      <colorScale>
        <cfvo type="min"/>
        <cfvo type="percentile" val="50"/>
        <cfvo type="max"/>
        <color rgb="FFF8696B"/>
        <color rgb="FFFFEB84"/>
        <color rgb="FF63BE7B"/>
      </colorScale>
    </cfRule>
  </conditionalFormatting>
  <conditionalFormatting sqref="O256">
    <cfRule type="colorScale" priority="7836">
      <colorScale>
        <cfvo type="min"/>
        <cfvo type="percentile" val="50"/>
        <cfvo type="max"/>
        <color rgb="FFF8696B"/>
        <color rgb="FFFFEB84"/>
        <color rgb="FF63BE7B"/>
      </colorScale>
    </cfRule>
  </conditionalFormatting>
  <conditionalFormatting sqref="O256">
    <cfRule type="colorScale" priority="7835">
      <colorScale>
        <cfvo type="min"/>
        <cfvo type="percentile" val="50"/>
        <cfvo type="max"/>
        <color rgb="FFF8696B"/>
        <color rgb="FFFFEB84"/>
        <color rgb="FF63BE7B"/>
      </colorScale>
    </cfRule>
  </conditionalFormatting>
  <conditionalFormatting sqref="O256">
    <cfRule type="colorScale" priority="7834">
      <colorScale>
        <cfvo type="min"/>
        <cfvo type="percentile" val="50"/>
        <cfvo type="max"/>
        <color rgb="FF63BE7B"/>
        <color rgb="FFFFEB84"/>
        <color rgb="FFF8696B"/>
      </colorScale>
    </cfRule>
  </conditionalFormatting>
  <conditionalFormatting sqref="O256">
    <cfRule type="colorScale" priority="7831">
      <colorScale>
        <cfvo type="min"/>
        <cfvo type="max"/>
        <color rgb="FFFCFCFF"/>
        <color rgb="FFF8696B"/>
      </colorScale>
    </cfRule>
    <cfRule type="colorScale" priority="7833">
      <colorScale>
        <cfvo type="min"/>
        <cfvo type="percentile" val="50"/>
        <cfvo type="max"/>
        <color rgb="FF63BE7B"/>
        <color rgb="FFFFEB84"/>
        <color rgb="FFF8696B"/>
      </colorScale>
    </cfRule>
  </conditionalFormatting>
  <conditionalFormatting sqref="O256">
    <cfRule type="colorScale" priority="7832">
      <colorScale>
        <cfvo type="min"/>
        <cfvo type="max"/>
        <color rgb="FFF8696B"/>
        <color rgb="FFFCFCFF"/>
      </colorScale>
    </cfRule>
  </conditionalFormatting>
  <conditionalFormatting sqref="O238">
    <cfRule type="colorScale" priority="7830">
      <colorScale>
        <cfvo type="min"/>
        <cfvo type="percentile" val="50"/>
        <cfvo type="max"/>
        <color rgb="FFF8696B"/>
        <color rgb="FFFFEB84"/>
        <color rgb="FF63BE7B"/>
      </colorScale>
    </cfRule>
  </conditionalFormatting>
  <conditionalFormatting sqref="O243">
    <cfRule type="colorScale" priority="7829">
      <colorScale>
        <cfvo type="min"/>
        <cfvo type="percentile" val="50"/>
        <cfvo type="max"/>
        <color rgb="FFF8696B"/>
        <color rgb="FFFFEB84"/>
        <color rgb="FF63BE7B"/>
      </colorScale>
    </cfRule>
  </conditionalFormatting>
  <conditionalFormatting sqref="O248">
    <cfRule type="colorScale" priority="7828">
      <colorScale>
        <cfvo type="min"/>
        <cfvo type="percentile" val="50"/>
        <cfvo type="max"/>
        <color rgb="FFF8696B"/>
        <color rgb="FFFFEB84"/>
        <color rgb="FF63BE7B"/>
      </colorScale>
    </cfRule>
  </conditionalFormatting>
  <conditionalFormatting sqref="O254">
    <cfRule type="colorScale" priority="7827">
      <colorScale>
        <cfvo type="min"/>
        <cfvo type="percentile" val="50"/>
        <cfvo type="max"/>
        <color rgb="FFF8696B"/>
        <color rgb="FFFFEB84"/>
        <color rgb="FF63BE7B"/>
      </colorScale>
    </cfRule>
  </conditionalFormatting>
  <conditionalFormatting sqref="O238 O254 O243 O248 O256">
    <cfRule type="colorScale" priority="7826">
      <colorScale>
        <cfvo type="min"/>
        <cfvo type="max"/>
        <color rgb="FFFCFCFF"/>
        <color rgb="FFF8696B"/>
      </colorScale>
    </cfRule>
  </conditionalFormatting>
  <conditionalFormatting sqref="K228">
    <cfRule type="colorScale" priority="7825">
      <colorScale>
        <cfvo type="min"/>
        <cfvo type="percentile" val="50"/>
        <cfvo type="max"/>
        <color rgb="FFF8696B"/>
        <color rgb="FFFFEB84"/>
        <color rgb="FF63BE7B"/>
      </colorScale>
    </cfRule>
  </conditionalFormatting>
  <conditionalFormatting sqref="K228">
    <cfRule type="colorScale" priority="7824">
      <colorScale>
        <cfvo type="min"/>
        <cfvo type="percentile" val="50"/>
        <cfvo type="max"/>
        <color rgb="FFF8696B"/>
        <color rgb="FFFFEB84"/>
        <color rgb="FF63BE7B"/>
      </colorScale>
    </cfRule>
  </conditionalFormatting>
  <conditionalFormatting sqref="K228">
    <cfRule type="colorScale" priority="7823">
      <colorScale>
        <cfvo type="min"/>
        <cfvo type="percentile" val="50"/>
        <cfvo type="max"/>
        <color rgb="FF63BE7B"/>
        <color rgb="FFFFEB84"/>
        <color rgb="FFF8696B"/>
      </colorScale>
    </cfRule>
  </conditionalFormatting>
  <conditionalFormatting sqref="K228">
    <cfRule type="colorScale" priority="7820">
      <colorScale>
        <cfvo type="min"/>
        <cfvo type="max"/>
        <color rgb="FFFCFCFF"/>
        <color rgb="FFF8696B"/>
      </colorScale>
    </cfRule>
    <cfRule type="colorScale" priority="7822">
      <colorScale>
        <cfvo type="min"/>
        <cfvo type="percentile" val="50"/>
        <cfvo type="max"/>
        <color rgb="FF63BE7B"/>
        <color rgb="FFFFEB84"/>
        <color rgb="FFF8696B"/>
      </colorScale>
    </cfRule>
  </conditionalFormatting>
  <conditionalFormatting sqref="K228">
    <cfRule type="colorScale" priority="7821">
      <colorScale>
        <cfvo type="min"/>
        <cfvo type="max"/>
        <color rgb="FFF8696B"/>
        <color rgb="FFFCFCFF"/>
      </colorScale>
    </cfRule>
  </conditionalFormatting>
  <conditionalFormatting sqref="K228">
    <cfRule type="colorScale" priority="7819">
      <colorScale>
        <cfvo type="min"/>
        <cfvo type="max"/>
        <color rgb="FFFCFCFF"/>
        <color rgb="FFF8696B"/>
      </colorScale>
    </cfRule>
  </conditionalFormatting>
  <conditionalFormatting sqref="M228">
    <cfRule type="colorScale" priority="7818">
      <colorScale>
        <cfvo type="min"/>
        <cfvo type="percentile" val="50"/>
        <cfvo type="max"/>
        <color rgb="FFF8696B"/>
        <color rgb="FFFFEB84"/>
        <color rgb="FF63BE7B"/>
      </colorScale>
    </cfRule>
  </conditionalFormatting>
  <conditionalFormatting sqref="M228">
    <cfRule type="colorScale" priority="7817">
      <colorScale>
        <cfvo type="min"/>
        <cfvo type="percentile" val="50"/>
        <cfvo type="max"/>
        <color rgb="FFF8696B"/>
        <color rgb="FFFFEB84"/>
        <color rgb="FF63BE7B"/>
      </colorScale>
    </cfRule>
  </conditionalFormatting>
  <conditionalFormatting sqref="M228">
    <cfRule type="colorScale" priority="7816">
      <colorScale>
        <cfvo type="min"/>
        <cfvo type="percentile" val="50"/>
        <cfvo type="max"/>
        <color rgb="FF63BE7B"/>
        <color rgb="FFFFEB84"/>
        <color rgb="FFF8696B"/>
      </colorScale>
    </cfRule>
  </conditionalFormatting>
  <conditionalFormatting sqref="M228">
    <cfRule type="colorScale" priority="7813">
      <colorScale>
        <cfvo type="min"/>
        <cfvo type="max"/>
        <color rgb="FFFCFCFF"/>
        <color rgb="FFF8696B"/>
      </colorScale>
    </cfRule>
    <cfRule type="colorScale" priority="7815">
      <colorScale>
        <cfvo type="min"/>
        <cfvo type="percentile" val="50"/>
        <cfvo type="max"/>
        <color rgb="FF63BE7B"/>
        <color rgb="FFFFEB84"/>
        <color rgb="FFF8696B"/>
      </colorScale>
    </cfRule>
  </conditionalFormatting>
  <conditionalFormatting sqref="M228">
    <cfRule type="colorScale" priority="7814">
      <colorScale>
        <cfvo type="min"/>
        <cfvo type="max"/>
        <color rgb="FFF8696B"/>
        <color rgb="FFFCFCFF"/>
      </colorScale>
    </cfRule>
  </conditionalFormatting>
  <conditionalFormatting sqref="M228">
    <cfRule type="colorScale" priority="7812">
      <colorScale>
        <cfvo type="min"/>
        <cfvo type="max"/>
        <color rgb="FFFCFCFF"/>
        <color rgb="FFF8696B"/>
      </colorScale>
    </cfRule>
  </conditionalFormatting>
  <conditionalFormatting sqref="O228">
    <cfRule type="colorScale" priority="7811">
      <colorScale>
        <cfvo type="min"/>
        <cfvo type="percentile" val="50"/>
        <cfvo type="max"/>
        <color rgb="FFF8696B"/>
        <color rgb="FFFFEB84"/>
        <color rgb="FF63BE7B"/>
      </colorScale>
    </cfRule>
  </conditionalFormatting>
  <conditionalFormatting sqref="O228">
    <cfRule type="colorScale" priority="7810">
      <colorScale>
        <cfvo type="min"/>
        <cfvo type="percentile" val="50"/>
        <cfvo type="max"/>
        <color rgb="FFF8696B"/>
        <color rgb="FFFFEB84"/>
        <color rgb="FF63BE7B"/>
      </colorScale>
    </cfRule>
  </conditionalFormatting>
  <conditionalFormatting sqref="O228">
    <cfRule type="colorScale" priority="7809">
      <colorScale>
        <cfvo type="min"/>
        <cfvo type="percentile" val="50"/>
        <cfvo type="max"/>
        <color rgb="FF63BE7B"/>
        <color rgb="FFFFEB84"/>
        <color rgb="FFF8696B"/>
      </colorScale>
    </cfRule>
  </conditionalFormatting>
  <conditionalFormatting sqref="O228">
    <cfRule type="colorScale" priority="7806">
      <colorScale>
        <cfvo type="min"/>
        <cfvo type="max"/>
        <color rgb="FFFCFCFF"/>
        <color rgb="FFF8696B"/>
      </colorScale>
    </cfRule>
    <cfRule type="colorScale" priority="7808">
      <colorScale>
        <cfvo type="min"/>
        <cfvo type="percentile" val="50"/>
        <cfvo type="max"/>
        <color rgb="FF63BE7B"/>
        <color rgb="FFFFEB84"/>
        <color rgb="FFF8696B"/>
      </colorScale>
    </cfRule>
  </conditionalFormatting>
  <conditionalFormatting sqref="O228">
    <cfRule type="colorScale" priority="7807">
      <colorScale>
        <cfvo type="min"/>
        <cfvo type="max"/>
        <color rgb="FFF8696B"/>
        <color rgb="FFFCFCFF"/>
      </colorScale>
    </cfRule>
  </conditionalFormatting>
  <conditionalFormatting sqref="O228">
    <cfRule type="colorScale" priority="7805">
      <colorScale>
        <cfvo type="min"/>
        <cfvo type="max"/>
        <color rgb="FFFCFCFF"/>
        <color rgb="FFF8696B"/>
      </colorScale>
    </cfRule>
  </conditionalFormatting>
  <conditionalFormatting sqref="S13 S39 U13 W13 Y13 AA13 S23 U23 W23 Y23 AA23 S28 U28 W28 Y28 AA28 S33 U33 W33 Y33 AA33 U39 W39 Y39 AA39">
    <cfRule type="colorScale" priority="7804">
      <colorScale>
        <cfvo type="min"/>
        <cfvo type="percentile" val="50"/>
        <cfvo type="max"/>
        <color rgb="FFF8696B"/>
        <color rgb="FFFFEB84"/>
        <color rgb="FF63BE7B"/>
      </colorScale>
    </cfRule>
  </conditionalFormatting>
  <conditionalFormatting sqref="AA33">
    <cfRule type="colorScale" priority="7803">
      <colorScale>
        <cfvo type="min"/>
        <cfvo type="percentile" val="50"/>
        <cfvo type="max"/>
        <color rgb="FFF8696B"/>
        <color rgb="FFFFEB84"/>
        <color rgb="FF63BE7B"/>
      </colorScale>
    </cfRule>
  </conditionalFormatting>
  <conditionalFormatting sqref="S13 U13 W13 Y13 AA13">
    <cfRule type="colorScale" priority="7802">
      <colorScale>
        <cfvo type="min"/>
        <cfvo type="percentile" val="50"/>
        <cfvo type="max"/>
        <color rgb="FFF8696B"/>
        <color rgb="FFFFEB84"/>
        <color rgb="FF63BE7B"/>
      </colorScale>
    </cfRule>
  </conditionalFormatting>
  <conditionalFormatting sqref="S13 S39 U13 W13 Y13 AA13 S23 U23 W23 Y23 AA23 S28 U28 W28 Y28 AA28 S33 U33 W33 Y33 AA33 U39 W39 Y39 AA39">
    <cfRule type="colorScale" priority="7801">
      <colorScale>
        <cfvo type="min"/>
        <cfvo type="percentile" val="50"/>
        <cfvo type="max"/>
        <color rgb="FF63BE7B"/>
        <color rgb="FFFFEB84"/>
        <color rgb="FFF8696B"/>
      </colorScale>
    </cfRule>
  </conditionalFormatting>
  <conditionalFormatting sqref="S39 S13 U13 W13 Y13 AA13 S23 U23 W23 Y23 AA23 S28 U28 W28 Y28 AA28 S33 U33 W33 Y33 AA33 U39 W39 Y39 AA39">
    <cfRule type="colorScale" priority="7798">
      <colorScale>
        <cfvo type="min"/>
        <cfvo type="max"/>
        <color rgb="FFFCFCFF"/>
        <color rgb="FFF8696B"/>
      </colorScale>
    </cfRule>
    <cfRule type="colorScale" priority="7800">
      <colorScale>
        <cfvo type="min"/>
        <cfvo type="percentile" val="50"/>
        <cfvo type="max"/>
        <color rgb="FF63BE7B"/>
        <color rgb="FFFFEB84"/>
        <color rgb="FFF8696B"/>
      </colorScale>
    </cfRule>
  </conditionalFormatting>
  <conditionalFormatting sqref="S13 S39 U13 W13 Y13 AA13 S23 U23 W23 Y23 AA23 S28 U28 W28 Y28 AA28 S33 U33 W33 Y33 AA33 U39 W39 Y39 AA39">
    <cfRule type="colorScale" priority="7799">
      <colorScale>
        <cfvo type="min"/>
        <cfvo type="max"/>
        <color rgb="FFF8696B"/>
        <color rgb="FFFCFCFF"/>
      </colorScale>
    </cfRule>
  </conditionalFormatting>
  <conditionalFormatting sqref="W41">
    <cfRule type="colorScale" priority="7797">
      <colorScale>
        <cfvo type="min"/>
        <cfvo type="percentile" val="50"/>
        <cfvo type="max"/>
        <color rgb="FFF8696B"/>
        <color rgb="FFFFEB84"/>
        <color rgb="FF63BE7B"/>
      </colorScale>
    </cfRule>
  </conditionalFormatting>
  <conditionalFormatting sqref="W41">
    <cfRule type="colorScale" priority="7796">
      <colorScale>
        <cfvo type="min"/>
        <cfvo type="percentile" val="50"/>
        <cfvo type="max"/>
        <color rgb="FFF8696B"/>
        <color rgb="FFFFEB84"/>
        <color rgb="FF63BE7B"/>
      </colorScale>
    </cfRule>
  </conditionalFormatting>
  <conditionalFormatting sqref="W41">
    <cfRule type="colorScale" priority="7795">
      <colorScale>
        <cfvo type="min"/>
        <cfvo type="percentile" val="50"/>
        <cfvo type="max"/>
        <color rgb="FFF8696B"/>
        <color rgb="FFFFEB84"/>
        <color rgb="FF63BE7B"/>
      </colorScale>
    </cfRule>
  </conditionalFormatting>
  <conditionalFormatting sqref="W41">
    <cfRule type="colorScale" priority="7794">
      <colorScale>
        <cfvo type="min"/>
        <cfvo type="percentile" val="50"/>
        <cfvo type="max"/>
        <color rgb="FF63BE7B"/>
        <color rgb="FFFFEB84"/>
        <color rgb="FFF8696B"/>
      </colorScale>
    </cfRule>
  </conditionalFormatting>
  <conditionalFormatting sqref="W41">
    <cfRule type="colorScale" priority="7791">
      <colorScale>
        <cfvo type="min"/>
        <cfvo type="max"/>
        <color rgb="FFFCFCFF"/>
        <color rgb="FFF8696B"/>
      </colorScale>
    </cfRule>
    <cfRule type="colorScale" priority="7793">
      <colorScale>
        <cfvo type="min"/>
        <cfvo type="percentile" val="50"/>
        <cfvo type="max"/>
        <color rgb="FF63BE7B"/>
        <color rgb="FFFFEB84"/>
        <color rgb="FFF8696B"/>
      </colorScale>
    </cfRule>
  </conditionalFormatting>
  <conditionalFormatting sqref="W41">
    <cfRule type="colorScale" priority="7792">
      <colorScale>
        <cfvo type="min"/>
        <cfvo type="max"/>
        <color rgb="FFF8696B"/>
        <color rgb="FFFCFCFF"/>
      </colorScale>
    </cfRule>
  </conditionalFormatting>
  <conditionalFormatting sqref="Y41">
    <cfRule type="colorScale" priority="7790">
      <colorScale>
        <cfvo type="min"/>
        <cfvo type="percentile" val="50"/>
        <cfvo type="max"/>
        <color rgb="FFF8696B"/>
        <color rgb="FFFFEB84"/>
        <color rgb="FF63BE7B"/>
      </colorScale>
    </cfRule>
  </conditionalFormatting>
  <conditionalFormatting sqref="Y41">
    <cfRule type="colorScale" priority="7789">
      <colorScale>
        <cfvo type="min"/>
        <cfvo type="percentile" val="50"/>
        <cfvo type="max"/>
        <color rgb="FFF8696B"/>
        <color rgb="FFFFEB84"/>
        <color rgb="FF63BE7B"/>
      </colorScale>
    </cfRule>
  </conditionalFormatting>
  <conditionalFormatting sqref="Y41">
    <cfRule type="colorScale" priority="7788">
      <colorScale>
        <cfvo type="min"/>
        <cfvo type="percentile" val="50"/>
        <cfvo type="max"/>
        <color rgb="FFF8696B"/>
        <color rgb="FFFFEB84"/>
        <color rgb="FF63BE7B"/>
      </colorScale>
    </cfRule>
  </conditionalFormatting>
  <conditionalFormatting sqref="Y41">
    <cfRule type="colorScale" priority="7787">
      <colorScale>
        <cfvo type="min"/>
        <cfvo type="percentile" val="50"/>
        <cfvo type="max"/>
        <color rgb="FF63BE7B"/>
        <color rgb="FFFFEB84"/>
        <color rgb="FFF8696B"/>
      </colorScale>
    </cfRule>
  </conditionalFormatting>
  <conditionalFormatting sqref="Y41">
    <cfRule type="colorScale" priority="7784">
      <colorScale>
        <cfvo type="min"/>
        <cfvo type="max"/>
        <color rgb="FFFCFCFF"/>
        <color rgb="FFF8696B"/>
      </colorScale>
    </cfRule>
    <cfRule type="colorScale" priority="7786">
      <colorScale>
        <cfvo type="min"/>
        <cfvo type="percentile" val="50"/>
        <cfvo type="max"/>
        <color rgb="FF63BE7B"/>
        <color rgb="FFFFEB84"/>
        <color rgb="FFF8696B"/>
      </colorScale>
    </cfRule>
  </conditionalFormatting>
  <conditionalFormatting sqref="Y41">
    <cfRule type="colorScale" priority="7785">
      <colorScale>
        <cfvo type="min"/>
        <cfvo type="max"/>
        <color rgb="FFF8696B"/>
        <color rgb="FFFCFCFF"/>
      </colorScale>
    </cfRule>
  </conditionalFormatting>
  <conditionalFormatting sqref="AA41">
    <cfRule type="colorScale" priority="7783">
      <colorScale>
        <cfvo type="min"/>
        <cfvo type="percentile" val="50"/>
        <cfvo type="max"/>
        <color rgb="FFF8696B"/>
        <color rgb="FFFFEB84"/>
        <color rgb="FF63BE7B"/>
      </colorScale>
    </cfRule>
  </conditionalFormatting>
  <conditionalFormatting sqref="AA41">
    <cfRule type="colorScale" priority="7782">
      <colorScale>
        <cfvo type="min"/>
        <cfvo type="percentile" val="50"/>
        <cfvo type="max"/>
        <color rgb="FFF8696B"/>
        <color rgb="FFFFEB84"/>
        <color rgb="FF63BE7B"/>
      </colorScale>
    </cfRule>
  </conditionalFormatting>
  <conditionalFormatting sqref="AA41">
    <cfRule type="colorScale" priority="7781">
      <colorScale>
        <cfvo type="min"/>
        <cfvo type="percentile" val="50"/>
        <cfvo type="max"/>
        <color rgb="FFF8696B"/>
        <color rgb="FFFFEB84"/>
        <color rgb="FF63BE7B"/>
      </colorScale>
    </cfRule>
  </conditionalFormatting>
  <conditionalFormatting sqref="AA41">
    <cfRule type="colorScale" priority="7780">
      <colorScale>
        <cfvo type="min"/>
        <cfvo type="percentile" val="50"/>
        <cfvo type="max"/>
        <color rgb="FF63BE7B"/>
        <color rgb="FFFFEB84"/>
        <color rgb="FFF8696B"/>
      </colorScale>
    </cfRule>
  </conditionalFormatting>
  <conditionalFormatting sqref="AA41">
    <cfRule type="colorScale" priority="7777">
      <colorScale>
        <cfvo type="min"/>
        <cfvo type="max"/>
        <color rgb="FFFCFCFF"/>
        <color rgb="FFF8696B"/>
      </colorScale>
    </cfRule>
    <cfRule type="colorScale" priority="7779">
      <colorScale>
        <cfvo type="min"/>
        <cfvo type="percentile" val="50"/>
        <cfvo type="max"/>
        <color rgb="FF63BE7B"/>
        <color rgb="FFFFEB84"/>
        <color rgb="FFF8696B"/>
      </colorScale>
    </cfRule>
  </conditionalFormatting>
  <conditionalFormatting sqref="AA41">
    <cfRule type="colorScale" priority="7778">
      <colorScale>
        <cfvo type="min"/>
        <cfvo type="max"/>
        <color rgb="FFF8696B"/>
        <color rgb="FFFCFCFF"/>
      </colorScale>
    </cfRule>
  </conditionalFormatting>
  <conditionalFormatting sqref="S23">
    <cfRule type="colorScale" priority="7776">
      <colorScale>
        <cfvo type="min"/>
        <cfvo type="percentile" val="50"/>
        <cfvo type="max"/>
        <color rgb="FFF8696B"/>
        <color rgb="FFFFEB84"/>
        <color rgb="FF63BE7B"/>
      </colorScale>
    </cfRule>
  </conditionalFormatting>
  <conditionalFormatting sqref="U23">
    <cfRule type="colorScale" priority="7775">
      <colorScale>
        <cfvo type="min"/>
        <cfvo type="percentile" val="50"/>
        <cfvo type="max"/>
        <color rgb="FFF8696B"/>
        <color rgb="FFFFEB84"/>
        <color rgb="FF63BE7B"/>
      </colorScale>
    </cfRule>
  </conditionalFormatting>
  <conditionalFormatting sqref="W23">
    <cfRule type="colorScale" priority="7774">
      <colorScale>
        <cfvo type="min"/>
        <cfvo type="percentile" val="50"/>
        <cfvo type="max"/>
        <color rgb="FFF8696B"/>
        <color rgb="FFFFEB84"/>
        <color rgb="FF63BE7B"/>
      </colorScale>
    </cfRule>
  </conditionalFormatting>
  <conditionalFormatting sqref="Y23">
    <cfRule type="colorScale" priority="7773">
      <colorScale>
        <cfvo type="min"/>
        <cfvo type="percentile" val="50"/>
        <cfvo type="max"/>
        <color rgb="FFF8696B"/>
        <color rgb="FFFFEB84"/>
        <color rgb="FF63BE7B"/>
      </colorScale>
    </cfRule>
  </conditionalFormatting>
  <conditionalFormatting sqref="AA23">
    <cfRule type="colorScale" priority="7772">
      <colorScale>
        <cfvo type="min"/>
        <cfvo type="percentile" val="50"/>
        <cfvo type="max"/>
        <color rgb="FFF8696B"/>
        <color rgb="FFFFEB84"/>
        <color rgb="FF63BE7B"/>
      </colorScale>
    </cfRule>
  </conditionalFormatting>
  <conditionalFormatting sqref="S28">
    <cfRule type="colorScale" priority="7771">
      <colorScale>
        <cfvo type="min"/>
        <cfvo type="percentile" val="50"/>
        <cfvo type="max"/>
        <color rgb="FFF8696B"/>
        <color rgb="FFFFEB84"/>
        <color rgb="FF63BE7B"/>
      </colorScale>
    </cfRule>
  </conditionalFormatting>
  <conditionalFormatting sqref="U28">
    <cfRule type="colorScale" priority="7770">
      <colorScale>
        <cfvo type="min"/>
        <cfvo type="percentile" val="50"/>
        <cfvo type="max"/>
        <color rgb="FFF8696B"/>
        <color rgb="FFFFEB84"/>
        <color rgb="FF63BE7B"/>
      </colorScale>
    </cfRule>
  </conditionalFormatting>
  <conditionalFormatting sqref="W28">
    <cfRule type="colorScale" priority="7769">
      <colorScale>
        <cfvo type="min"/>
        <cfvo type="percentile" val="50"/>
        <cfvo type="max"/>
        <color rgb="FFF8696B"/>
        <color rgb="FFFFEB84"/>
        <color rgb="FF63BE7B"/>
      </colorScale>
    </cfRule>
  </conditionalFormatting>
  <conditionalFormatting sqref="Y28">
    <cfRule type="colorScale" priority="7768">
      <colorScale>
        <cfvo type="min"/>
        <cfvo type="percentile" val="50"/>
        <cfvo type="max"/>
        <color rgb="FFF8696B"/>
        <color rgb="FFFFEB84"/>
        <color rgb="FF63BE7B"/>
      </colorScale>
    </cfRule>
  </conditionalFormatting>
  <conditionalFormatting sqref="AA28">
    <cfRule type="colorScale" priority="7767">
      <colorScale>
        <cfvo type="min"/>
        <cfvo type="percentile" val="50"/>
        <cfvo type="max"/>
        <color rgb="FFF8696B"/>
        <color rgb="FFFFEB84"/>
        <color rgb="FF63BE7B"/>
      </colorScale>
    </cfRule>
  </conditionalFormatting>
  <conditionalFormatting sqref="S33">
    <cfRule type="colorScale" priority="7766">
      <colorScale>
        <cfvo type="min"/>
        <cfvo type="percentile" val="50"/>
        <cfvo type="max"/>
        <color rgb="FFF8696B"/>
        <color rgb="FFFFEB84"/>
        <color rgb="FF63BE7B"/>
      </colorScale>
    </cfRule>
  </conditionalFormatting>
  <conditionalFormatting sqref="U33">
    <cfRule type="colorScale" priority="7765">
      <colorScale>
        <cfvo type="min"/>
        <cfvo type="percentile" val="50"/>
        <cfvo type="max"/>
        <color rgb="FFF8696B"/>
        <color rgb="FFFFEB84"/>
        <color rgb="FF63BE7B"/>
      </colorScale>
    </cfRule>
  </conditionalFormatting>
  <conditionalFormatting sqref="W33">
    <cfRule type="colorScale" priority="7764">
      <colorScale>
        <cfvo type="min"/>
        <cfvo type="percentile" val="50"/>
        <cfvo type="max"/>
        <color rgb="FFF8696B"/>
        <color rgb="FFFFEB84"/>
        <color rgb="FF63BE7B"/>
      </colorScale>
    </cfRule>
  </conditionalFormatting>
  <conditionalFormatting sqref="Y33">
    <cfRule type="colorScale" priority="7763">
      <colorScale>
        <cfvo type="min"/>
        <cfvo type="percentile" val="50"/>
        <cfvo type="max"/>
        <color rgb="FFF8696B"/>
        <color rgb="FFFFEB84"/>
        <color rgb="FF63BE7B"/>
      </colorScale>
    </cfRule>
  </conditionalFormatting>
  <conditionalFormatting sqref="AA33">
    <cfRule type="colorScale" priority="7762">
      <colorScale>
        <cfvo type="min"/>
        <cfvo type="percentile" val="50"/>
        <cfvo type="max"/>
        <color rgb="FFF8696B"/>
        <color rgb="FFFFEB84"/>
        <color rgb="FF63BE7B"/>
      </colorScale>
    </cfRule>
  </conditionalFormatting>
  <conditionalFormatting sqref="S39">
    <cfRule type="colorScale" priority="7761">
      <colorScale>
        <cfvo type="min"/>
        <cfvo type="percentile" val="50"/>
        <cfvo type="max"/>
        <color rgb="FFF8696B"/>
        <color rgb="FFFFEB84"/>
        <color rgb="FF63BE7B"/>
      </colorScale>
    </cfRule>
  </conditionalFormatting>
  <conditionalFormatting sqref="U39">
    <cfRule type="colorScale" priority="7760">
      <colorScale>
        <cfvo type="min"/>
        <cfvo type="percentile" val="50"/>
        <cfvo type="max"/>
        <color rgb="FFF8696B"/>
        <color rgb="FFFFEB84"/>
        <color rgb="FF63BE7B"/>
      </colorScale>
    </cfRule>
  </conditionalFormatting>
  <conditionalFormatting sqref="W39">
    <cfRule type="colorScale" priority="7759">
      <colorScale>
        <cfvo type="min"/>
        <cfvo type="percentile" val="50"/>
        <cfvo type="max"/>
        <color rgb="FFF8696B"/>
        <color rgb="FFFFEB84"/>
        <color rgb="FF63BE7B"/>
      </colorScale>
    </cfRule>
  </conditionalFormatting>
  <conditionalFormatting sqref="Y39">
    <cfRule type="colorScale" priority="7758">
      <colorScale>
        <cfvo type="min"/>
        <cfvo type="percentile" val="50"/>
        <cfvo type="max"/>
        <color rgb="FFF8696B"/>
        <color rgb="FFFFEB84"/>
        <color rgb="FF63BE7B"/>
      </colorScale>
    </cfRule>
  </conditionalFormatting>
  <conditionalFormatting sqref="AA39">
    <cfRule type="colorScale" priority="7757">
      <colorScale>
        <cfvo type="min"/>
        <cfvo type="percentile" val="50"/>
        <cfvo type="max"/>
        <color rgb="FFF8696B"/>
        <color rgb="FFFFEB84"/>
        <color rgb="FF63BE7B"/>
      </colorScale>
    </cfRule>
  </conditionalFormatting>
  <conditionalFormatting sqref="S13 S39 U13 W13 Y13 AA13 S23 U23 W23 Y23 AA23 U18 S18 S28 U28 W28 Y28 AA28 AA33 Y33 W33 U33 S33 U39 AA39 Y39 W39 W41 Y41 AA41">
    <cfRule type="colorScale" priority="7756">
      <colorScale>
        <cfvo type="min"/>
        <cfvo type="max"/>
        <color rgb="FFFCFCFF"/>
        <color rgb="FFF8696B"/>
      </colorScale>
    </cfRule>
  </conditionalFormatting>
  <conditionalFormatting sqref="AC13">
    <cfRule type="colorScale" priority="7755">
      <colorScale>
        <cfvo type="min"/>
        <cfvo type="percentile" val="50"/>
        <cfvo type="max"/>
        <color rgb="FFF8696B"/>
        <color rgb="FFFFEB84"/>
        <color rgb="FF63BE7B"/>
      </colorScale>
    </cfRule>
  </conditionalFormatting>
  <conditionalFormatting sqref="AC13">
    <cfRule type="colorScale" priority="7754">
      <colorScale>
        <cfvo type="min"/>
        <cfvo type="percentile" val="50"/>
        <cfvo type="max"/>
        <color rgb="FFF8696B"/>
        <color rgb="FFFFEB84"/>
        <color rgb="FF63BE7B"/>
      </colorScale>
    </cfRule>
  </conditionalFormatting>
  <conditionalFormatting sqref="AC13">
    <cfRule type="colorScale" priority="7753">
      <colorScale>
        <cfvo type="min"/>
        <cfvo type="percentile" val="50"/>
        <cfvo type="max"/>
        <color rgb="FF63BE7B"/>
        <color rgb="FFFFEB84"/>
        <color rgb="FFF8696B"/>
      </colorScale>
    </cfRule>
  </conditionalFormatting>
  <conditionalFormatting sqref="AC13">
    <cfRule type="colorScale" priority="7750">
      <colorScale>
        <cfvo type="min"/>
        <cfvo type="max"/>
        <color rgb="FFFCFCFF"/>
        <color rgb="FFF8696B"/>
      </colorScale>
    </cfRule>
    <cfRule type="colorScale" priority="7752">
      <colorScale>
        <cfvo type="min"/>
        <cfvo type="percentile" val="50"/>
        <cfvo type="max"/>
        <color rgb="FF63BE7B"/>
        <color rgb="FFFFEB84"/>
        <color rgb="FFF8696B"/>
      </colorScale>
    </cfRule>
  </conditionalFormatting>
  <conditionalFormatting sqref="AC13">
    <cfRule type="colorScale" priority="7751">
      <colorScale>
        <cfvo type="min"/>
        <cfvo type="max"/>
        <color rgb="FFF8696B"/>
        <color rgb="FFFCFCFF"/>
      </colorScale>
    </cfRule>
  </conditionalFormatting>
  <conditionalFormatting sqref="AC13">
    <cfRule type="colorScale" priority="7749">
      <colorScale>
        <cfvo type="min"/>
        <cfvo type="max"/>
        <color rgb="FFFCFCFF"/>
        <color rgb="FFF8696B"/>
      </colorScale>
    </cfRule>
  </conditionalFormatting>
  <conditionalFormatting sqref="AE13">
    <cfRule type="colorScale" priority="7748">
      <colorScale>
        <cfvo type="min"/>
        <cfvo type="percentile" val="50"/>
        <cfvo type="max"/>
        <color rgb="FFF8696B"/>
        <color rgb="FFFFEB84"/>
        <color rgb="FF63BE7B"/>
      </colorScale>
    </cfRule>
  </conditionalFormatting>
  <conditionalFormatting sqref="AE13">
    <cfRule type="colorScale" priority="7747">
      <colorScale>
        <cfvo type="min"/>
        <cfvo type="percentile" val="50"/>
        <cfvo type="max"/>
        <color rgb="FFF8696B"/>
        <color rgb="FFFFEB84"/>
        <color rgb="FF63BE7B"/>
      </colorScale>
    </cfRule>
  </conditionalFormatting>
  <conditionalFormatting sqref="AE13">
    <cfRule type="colorScale" priority="7746">
      <colorScale>
        <cfvo type="min"/>
        <cfvo type="percentile" val="50"/>
        <cfvo type="max"/>
        <color rgb="FF63BE7B"/>
        <color rgb="FFFFEB84"/>
        <color rgb="FFF8696B"/>
      </colorScale>
    </cfRule>
  </conditionalFormatting>
  <conditionalFormatting sqref="AE13">
    <cfRule type="colorScale" priority="7743">
      <colorScale>
        <cfvo type="min"/>
        <cfvo type="max"/>
        <color rgb="FFFCFCFF"/>
        <color rgb="FFF8696B"/>
      </colorScale>
    </cfRule>
    <cfRule type="colorScale" priority="7745">
      <colorScale>
        <cfvo type="min"/>
        <cfvo type="percentile" val="50"/>
        <cfvo type="max"/>
        <color rgb="FF63BE7B"/>
        <color rgb="FFFFEB84"/>
        <color rgb="FFF8696B"/>
      </colorScale>
    </cfRule>
  </conditionalFormatting>
  <conditionalFormatting sqref="AE13">
    <cfRule type="colorScale" priority="7744">
      <colorScale>
        <cfvo type="min"/>
        <cfvo type="max"/>
        <color rgb="FFF8696B"/>
        <color rgb="FFFCFCFF"/>
      </colorScale>
    </cfRule>
  </conditionalFormatting>
  <conditionalFormatting sqref="AE13">
    <cfRule type="colorScale" priority="7742">
      <colorScale>
        <cfvo type="min"/>
        <cfvo type="max"/>
        <color rgb="FFFCFCFF"/>
        <color rgb="FFF8696B"/>
      </colorScale>
    </cfRule>
  </conditionalFormatting>
  <conditionalFormatting sqref="AC23 AC39 AC28 AC33">
    <cfRule type="colorScale" priority="7741">
      <colorScale>
        <cfvo type="min"/>
        <cfvo type="percentile" val="50"/>
        <cfvo type="max"/>
        <color rgb="FFF8696B"/>
        <color rgb="FFFFEB84"/>
        <color rgb="FF63BE7B"/>
      </colorScale>
    </cfRule>
  </conditionalFormatting>
  <conditionalFormatting sqref="AC33">
    <cfRule type="colorScale" priority="7740">
      <colorScale>
        <cfvo type="min"/>
        <cfvo type="percentile" val="50"/>
        <cfvo type="max"/>
        <color rgb="FFF8696B"/>
        <color rgb="FFFFEB84"/>
        <color rgb="FF63BE7B"/>
      </colorScale>
    </cfRule>
  </conditionalFormatting>
  <conditionalFormatting sqref="AC23 AC39 AC28 AC33">
    <cfRule type="colorScale" priority="7739">
      <colorScale>
        <cfvo type="min"/>
        <cfvo type="percentile" val="50"/>
        <cfvo type="max"/>
        <color rgb="FF63BE7B"/>
        <color rgb="FFFFEB84"/>
        <color rgb="FFF8696B"/>
      </colorScale>
    </cfRule>
  </conditionalFormatting>
  <conditionalFormatting sqref="AC39 AC23 AC28 AC33">
    <cfRule type="colorScale" priority="7736">
      <colorScale>
        <cfvo type="min"/>
        <cfvo type="max"/>
        <color rgb="FFFCFCFF"/>
        <color rgb="FFF8696B"/>
      </colorScale>
    </cfRule>
    <cfRule type="colorScale" priority="7738">
      <colorScale>
        <cfvo type="min"/>
        <cfvo type="percentile" val="50"/>
        <cfvo type="max"/>
        <color rgb="FF63BE7B"/>
        <color rgb="FFFFEB84"/>
        <color rgb="FFF8696B"/>
      </colorScale>
    </cfRule>
  </conditionalFormatting>
  <conditionalFormatting sqref="AC23 AC39 AC28 AC33">
    <cfRule type="colorScale" priority="7737">
      <colorScale>
        <cfvo type="min"/>
        <cfvo type="max"/>
        <color rgb="FFF8696B"/>
        <color rgb="FFFCFCFF"/>
      </colorScale>
    </cfRule>
  </conditionalFormatting>
  <conditionalFormatting sqref="AC41">
    <cfRule type="colorScale" priority="7735">
      <colorScale>
        <cfvo type="min"/>
        <cfvo type="percentile" val="50"/>
        <cfvo type="max"/>
        <color rgb="FFF8696B"/>
        <color rgb="FFFFEB84"/>
        <color rgb="FF63BE7B"/>
      </colorScale>
    </cfRule>
  </conditionalFormatting>
  <conditionalFormatting sqref="AC41">
    <cfRule type="colorScale" priority="7734">
      <colorScale>
        <cfvo type="min"/>
        <cfvo type="percentile" val="50"/>
        <cfvo type="max"/>
        <color rgb="FFF8696B"/>
        <color rgb="FFFFEB84"/>
        <color rgb="FF63BE7B"/>
      </colorScale>
    </cfRule>
  </conditionalFormatting>
  <conditionalFormatting sqref="AC41">
    <cfRule type="colorScale" priority="7733">
      <colorScale>
        <cfvo type="min"/>
        <cfvo type="percentile" val="50"/>
        <cfvo type="max"/>
        <color rgb="FFF8696B"/>
        <color rgb="FFFFEB84"/>
        <color rgb="FF63BE7B"/>
      </colorScale>
    </cfRule>
  </conditionalFormatting>
  <conditionalFormatting sqref="AC41">
    <cfRule type="colorScale" priority="7732">
      <colorScale>
        <cfvo type="min"/>
        <cfvo type="percentile" val="50"/>
        <cfvo type="max"/>
        <color rgb="FF63BE7B"/>
        <color rgb="FFFFEB84"/>
        <color rgb="FFF8696B"/>
      </colorScale>
    </cfRule>
  </conditionalFormatting>
  <conditionalFormatting sqref="AC41">
    <cfRule type="colorScale" priority="7729">
      <colorScale>
        <cfvo type="min"/>
        <cfvo type="max"/>
        <color rgb="FFFCFCFF"/>
        <color rgb="FFF8696B"/>
      </colorScale>
    </cfRule>
    <cfRule type="colorScale" priority="7731">
      <colorScale>
        <cfvo type="min"/>
        <cfvo type="percentile" val="50"/>
        <cfvo type="max"/>
        <color rgb="FF63BE7B"/>
        <color rgb="FFFFEB84"/>
        <color rgb="FFF8696B"/>
      </colorScale>
    </cfRule>
  </conditionalFormatting>
  <conditionalFormatting sqref="AC41">
    <cfRule type="colorScale" priority="7730">
      <colorScale>
        <cfvo type="min"/>
        <cfvo type="max"/>
        <color rgb="FFF8696B"/>
        <color rgb="FFFCFCFF"/>
      </colorScale>
    </cfRule>
  </conditionalFormatting>
  <conditionalFormatting sqref="AC23">
    <cfRule type="colorScale" priority="7728">
      <colorScale>
        <cfvo type="min"/>
        <cfvo type="percentile" val="50"/>
        <cfvo type="max"/>
        <color rgb="FFF8696B"/>
        <color rgb="FFFFEB84"/>
        <color rgb="FF63BE7B"/>
      </colorScale>
    </cfRule>
  </conditionalFormatting>
  <conditionalFormatting sqref="AC28">
    <cfRule type="colorScale" priority="7727">
      <colorScale>
        <cfvo type="min"/>
        <cfvo type="percentile" val="50"/>
        <cfvo type="max"/>
        <color rgb="FFF8696B"/>
        <color rgb="FFFFEB84"/>
        <color rgb="FF63BE7B"/>
      </colorScale>
    </cfRule>
  </conditionalFormatting>
  <conditionalFormatting sqref="AC33">
    <cfRule type="colorScale" priority="7726">
      <colorScale>
        <cfvo type="min"/>
        <cfvo type="percentile" val="50"/>
        <cfvo type="max"/>
        <color rgb="FFF8696B"/>
        <color rgb="FFFFEB84"/>
        <color rgb="FF63BE7B"/>
      </colorScale>
    </cfRule>
  </conditionalFormatting>
  <conditionalFormatting sqref="AC39">
    <cfRule type="colorScale" priority="7725">
      <colorScale>
        <cfvo type="min"/>
        <cfvo type="percentile" val="50"/>
        <cfvo type="max"/>
        <color rgb="FFF8696B"/>
        <color rgb="FFFFEB84"/>
        <color rgb="FF63BE7B"/>
      </colorScale>
    </cfRule>
  </conditionalFormatting>
  <conditionalFormatting sqref="AC23 AC39 AC28 AC33 AC41">
    <cfRule type="colorScale" priority="7724">
      <colorScale>
        <cfvo type="min"/>
        <cfvo type="max"/>
        <color rgb="FFFCFCFF"/>
        <color rgb="FFF8696B"/>
      </colorScale>
    </cfRule>
  </conditionalFormatting>
  <conditionalFormatting sqref="AE23 AE39 AE28 AE33">
    <cfRule type="colorScale" priority="7723">
      <colorScale>
        <cfvo type="min"/>
        <cfvo type="percentile" val="50"/>
        <cfvo type="max"/>
        <color rgb="FFF8696B"/>
        <color rgb="FFFFEB84"/>
        <color rgb="FF63BE7B"/>
      </colorScale>
    </cfRule>
  </conditionalFormatting>
  <conditionalFormatting sqref="AE33">
    <cfRule type="colorScale" priority="7722">
      <colorScale>
        <cfvo type="min"/>
        <cfvo type="percentile" val="50"/>
        <cfvo type="max"/>
        <color rgb="FFF8696B"/>
        <color rgb="FFFFEB84"/>
        <color rgb="FF63BE7B"/>
      </colorScale>
    </cfRule>
  </conditionalFormatting>
  <conditionalFormatting sqref="AE23 AE39 AE28 AE33">
    <cfRule type="colorScale" priority="7721">
      <colorScale>
        <cfvo type="min"/>
        <cfvo type="percentile" val="50"/>
        <cfvo type="max"/>
        <color rgb="FF63BE7B"/>
        <color rgb="FFFFEB84"/>
        <color rgb="FFF8696B"/>
      </colorScale>
    </cfRule>
  </conditionalFormatting>
  <conditionalFormatting sqref="AE39 AE23 AE28 AE33">
    <cfRule type="colorScale" priority="7718">
      <colorScale>
        <cfvo type="min"/>
        <cfvo type="max"/>
        <color rgb="FFFCFCFF"/>
        <color rgb="FFF8696B"/>
      </colorScale>
    </cfRule>
    <cfRule type="colorScale" priority="7720">
      <colorScale>
        <cfvo type="min"/>
        <cfvo type="percentile" val="50"/>
        <cfvo type="max"/>
        <color rgb="FF63BE7B"/>
        <color rgb="FFFFEB84"/>
        <color rgb="FFF8696B"/>
      </colorScale>
    </cfRule>
  </conditionalFormatting>
  <conditionalFormatting sqref="AE23 AE39 AE28 AE33">
    <cfRule type="colorScale" priority="7719">
      <colorScale>
        <cfvo type="min"/>
        <cfvo type="max"/>
        <color rgb="FFF8696B"/>
        <color rgb="FFFCFCFF"/>
      </colorScale>
    </cfRule>
  </conditionalFormatting>
  <conditionalFormatting sqref="AE41">
    <cfRule type="colorScale" priority="7717">
      <colorScale>
        <cfvo type="min"/>
        <cfvo type="percentile" val="50"/>
        <cfvo type="max"/>
        <color rgb="FFF8696B"/>
        <color rgb="FFFFEB84"/>
        <color rgb="FF63BE7B"/>
      </colorScale>
    </cfRule>
  </conditionalFormatting>
  <conditionalFormatting sqref="AE41">
    <cfRule type="colorScale" priority="7716">
      <colorScale>
        <cfvo type="min"/>
        <cfvo type="percentile" val="50"/>
        <cfvo type="max"/>
        <color rgb="FFF8696B"/>
        <color rgb="FFFFEB84"/>
        <color rgb="FF63BE7B"/>
      </colorScale>
    </cfRule>
  </conditionalFormatting>
  <conditionalFormatting sqref="AE41">
    <cfRule type="colorScale" priority="7715">
      <colorScale>
        <cfvo type="min"/>
        <cfvo type="percentile" val="50"/>
        <cfvo type="max"/>
        <color rgb="FFF8696B"/>
        <color rgb="FFFFEB84"/>
        <color rgb="FF63BE7B"/>
      </colorScale>
    </cfRule>
  </conditionalFormatting>
  <conditionalFormatting sqref="AE41">
    <cfRule type="colorScale" priority="7714">
      <colorScale>
        <cfvo type="min"/>
        <cfvo type="percentile" val="50"/>
        <cfvo type="max"/>
        <color rgb="FF63BE7B"/>
        <color rgb="FFFFEB84"/>
        <color rgb="FFF8696B"/>
      </colorScale>
    </cfRule>
  </conditionalFormatting>
  <conditionalFormatting sqref="AE41">
    <cfRule type="colorScale" priority="7711">
      <colorScale>
        <cfvo type="min"/>
        <cfvo type="max"/>
        <color rgb="FFFCFCFF"/>
        <color rgb="FFF8696B"/>
      </colorScale>
    </cfRule>
    <cfRule type="colorScale" priority="7713">
      <colorScale>
        <cfvo type="min"/>
        <cfvo type="percentile" val="50"/>
        <cfvo type="max"/>
        <color rgb="FF63BE7B"/>
        <color rgb="FFFFEB84"/>
        <color rgb="FFF8696B"/>
      </colorScale>
    </cfRule>
  </conditionalFormatting>
  <conditionalFormatting sqref="AE41">
    <cfRule type="colorScale" priority="7712">
      <colorScale>
        <cfvo type="min"/>
        <cfvo type="max"/>
        <color rgb="FFF8696B"/>
        <color rgb="FFFCFCFF"/>
      </colorScale>
    </cfRule>
  </conditionalFormatting>
  <conditionalFormatting sqref="AE23">
    <cfRule type="colorScale" priority="7710">
      <colorScale>
        <cfvo type="min"/>
        <cfvo type="percentile" val="50"/>
        <cfvo type="max"/>
        <color rgb="FFF8696B"/>
        <color rgb="FFFFEB84"/>
        <color rgb="FF63BE7B"/>
      </colorScale>
    </cfRule>
  </conditionalFormatting>
  <conditionalFormatting sqref="AE28">
    <cfRule type="colorScale" priority="7709">
      <colorScale>
        <cfvo type="min"/>
        <cfvo type="percentile" val="50"/>
        <cfvo type="max"/>
        <color rgb="FFF8696B"/>
        <color rgb="FFFFEB84"/>
        <color rgb="FF63BE7B"/>
      </colorScale>
    </cfRule>
  </conditionalFormatting>
  <conditionalFormatting sqref="AE33">
    <cfRule type="colorScale" priority="7708">
      <colorScale>
        <cfvo type="min"/>
        <cfvo type="percentile" val="50"/>
        <cfvo type="max"/>
        <color rgb="FFF8696B"/>
        <color rgb="FFFFEB84"/>
        <color rgb="FF63BE7B"/>
      </colorScale>
    </cfRule>
  </conditionalFormatting>
  <conditionalFormatting sqref="AE39">
    <cfRule type="colorScale" priority="7707">
      <colorScale>
        <cfvo type="min"/>
        <cfvo type="percentile" val="50"/>
        <cfvo type="max"/>
        <color rgb="FFF8696B"/>
        <color rgb="FFFFEB84"/>
        <color rgb="FF63BE7B"/>
      </colorScale>
    </cfRule>
  </conditionalFormatting>
  <conditionalFormatting sqref="AE23 AE39 AE28 AE33 AE41">
    <cfRule type="colorScale" priority="7706">
      <colorScale>
        <cfvo type="min"/>
        <cfvo type="max"/>
        <color rgb="FFFCFCFF"/>
        <color rgb="FFF8696B"/>
      </colorScale>
    </cfRule>
  </conditionalFormatting>
  <conditionalFormatting sqref="S56 S82 U56 W56 Y56 AA56 W66 Y66 AA66 W71 Y71 AA71 S76 U76 W76 Y76 AA76 U82 W82 Y82 AA82">
    <cfRule type="colorScale" priority="7705">
      <colorScale>
        <cfvo type="min"/>
        <cfvo type="percentile" val="50"/>
        <cfvo type="max"/>
        <color rgb="FFF8696B"/>
        <color rgb="FFFFEB84"/>
        <color rgb="FF63BE7B"/>
      </colorScale>
    </cfRule>
  </conditionalFormatting>
  <conditionalFormatting sqref="AA76">
    <cfRule type="colorScale" priority="7704">
      <colorScale>
        <cfvo type="min"/>
        <cfvo type="percentile" val="50"/>
        <cfvo type="max"/>
        <color rgb="FFF8696B"/>
        <color rgb="FFFFEB84"/>
        <color rgb="FF63BE7B"/>
      </colorScale>
    </cfRule>
  </conditionalFormatting>
  <conditionalFormatting sqref="U56 S56 W56 Y56 AA56">
    <cfRule type="colorScale" priority="7703">
      <colorScale>
        <cfvo type="min"/>
        <cfvo type="percentile" val="50"/>
        <cfvo type="max"/>
        <color rgb="FFF8696B"/>
        <color rgb="FFFFEB84"/>
        <color rgb="FF63BE7B"/>
      </colorScale>
    </cfRule>
  </conditionalFormatting>
  <conditionalFormatting sqref="S56 S82 U56 W56 Y56 AA56 W66 Y66 AA66 W71 Y71 AA71 S76 U76 W76 Y76 AA76 U82 W82 Y82 AA82">
    <cfRule type="colorScale" priority="7702">
      <colorScale>
        <cfvo type="min"/>
        <cfvo type="percentile" val="50"/>
        <cfvo type="max"/>
        <color rgb="FF63BE7B"/>
        <color rgb="FFFFEB84"/>
        <color rgb="FFF8696B"/>
      </colorScale>
    </cfRule>
  </conditionalFormatting>
  <conditionalFormatting sqref="S82 S56 U56 W56 Y56 AA56 W66 Y66 AA66 W71 Y71 AA71 S76 U76 W76 Y76 AA76 U82 W82 Y82 AA82">
    <cfRule type="colorScale" priority="7699">
      <colorScale>
        <cfvo type="min"/>
        <cfvo type="max"/>
        <color rgb="FFFCFCFF"/>
        <color rgb="FFF8696B"/>
      </colorScale>
    </cfRule>
    <cfRule type="colorScale" priority="7701">
      <colorScale>
        <cfvo type="min"/>
        <cfvo type="percentile" val="50"/>
        <cfvo type="max"/>
        <color rgb="FF63BE7B"/>
        <color rgb="FFFFEB84"/>
        <color rgb="FFF8696B"/>
      </colorScale>
    </cfRule>
  </conditionalFormatting>
  <conditionalFormatting sqref="S56 S82 U56 W56 Y56 AA56 W66 Y66 AA66 W71 Y71 AA71 S76 U76 W76 Y76 AA76 U82 W82 Y82 AA82">
    <cfRule type="colorScale" priority="7700">
      <colorScale>
        <cfvo type="min"/>
        <cfvo type="max"/>
        <color rgb="FFF8696B"/>
        <color rgb="FFFCFCFF"/>
      </colorScale>
    </cfRule>
  </conditionalFormatting>
  <conditionalFormatting sqref="W84">
    <cfRule type="colorScale" priority="7698">
      <colorScale>
        <cfvo type="min"/>
        <cfvo type="percentile" val="50"/>
        <cfvo type="max"/>
        <color rgb="FFF8696B"/>
        <color rgb="FFFFEB84"/>
        <color rgb="FF63BE7B"/>
      </colorScale>
    </cfRule>
  </conditionalFormatting>
  <conditionalFormatting sqref="W84">
    <cfRule type="colorScale" priority="7697">
      <colorScale>
        <cfvo type="min"/>
        <cfvo type="percentile" val="50"/>
        <cfvo type="max"/>
        <color rgb="FFF8696B"/>
        <color rgb="FFFFEB84"/>
        <color rgb="FF63BE7B"/>
      </colorScale>
    </cfRule>
  </conditionalFormatting>
  <conditionalFormatting sqref="W84">
    <cfRule type="colorScale" priority="7696">
      <colorScale>
        <cfvo type="min"/>
        <cfvo type="percentile" val="50"/>
        <cfvo type="max"/>
        <color rgb="FFF8696B"/>
        <color rgb="FFFFEB84"/>
        <color rgb="FF63BE7B"/>
      </colorScale>
    </cfRule>
  </conditionalFormatting>
  <conditionalFormatting sqref="W84">
    <cfRule type="colorScale" priority="7695">
      <colorScale>
        <cfvo type="min"/>
        <cfvo type="percentile" val="50"/>
        <cfvo type="max"/>
        <color rgb="FF63BE7B"/>
        <color rgb="FFFFEB84"/>
        <color rgb="FFF8696B"/>
      </colorScale>
    </cfRule>
  </conditionalFormatting>
  <conditionalFormatting sqref="W84">
    <cfRule type="colorScale" priority="7692">
      <colorScale>
        <cfvo type="min"/>
        <cfvo type="max"/>
        <color rgb="FFFCFCFF"/>
        <color rgb="FFF8696B"/>
      </colorScale>
    </cfRule>
    <cfRule type="colorScale" priority="7694">
      <colorScale>
        <cfvo type="min"/>
        <cfvo type="percentile" val="50"/>
        <cfvo type="max"/>
        <color rgb="FF63BE7B"/>
        <color rgb="FFFFEB84"/>
        <color rgb="FFF8696B"/>
      </colorScale>
    </cfRule>
  </conditionalFormatting>
  <conditionalFormatting sqref="W84">
    <cfRule type="colorScale" priority="7693">
      <colorScale>
        <cfvo type="min"/>
        <cfvo type="max"/>
        <color rgb="FFF8696B"/>
        <color rgb="FFFCFCFF"/>
      </colorScale>
    </cfRule>
  </conditionalFormatting>
  <conditionalFormatting sqref="Y84">
    <cfRule type="colorScale" priority="7691">
      <colorScale>
        <cfvo type="min"/>
        <cfvo type="percentile" val="50"/>
        <cfvo type="max"/>
        <color rgb="FFF8696B"/>
        <color rgb="FFFFEB84"/>
        <color rgb="FF63BE7B"/>
      </colorScale>
    </cfRule>
  </conditionalFormatting>
  <conditionalFormatting sqref="Y84">
    <cfRule type="colorScale" priority="7690">
      <colorScale>
        <cfvo type="min"/>
        <cfvo type="percentile" val="50"/>
        <cfvo type="max"/>
        <color rgb="FFF8696B"/>
        <color rgb="FFFFEB84"/>
        <color rgb="FF63BE7B"/>
      </colorScale>
    </cfRule>
  </conditionalFormatting>
  <conditionalFormatting sqref="Y84">
    <cfRule type="colorScale" priority="7689">
      <colorScale>
        <cfvo type="min"/>
        <cfvo type="percentile" val="50"/>
        <cfvo type="max"/>
        <color rgb="FFF8696B"/>
        <color rgb="FFFFEB84"/>
        <color rgb="FF63BE7B"/>
      </colorScale>
    </cfRule>
  </conditionalFormatting>
  <conditionalFormatting sqref="Y84">
    <cfRule type="colorScale" priority="7688">
      <colorScale>
        <cfvo type="min"/>
        <cfvo type="percentile" val="50"/>
        <cfvo type="max"/>
        <color rgb="FF63BE7B"/>
        <color rgb="FFFFEB84"/>
        <color rgb="FFF8696B"/>
      </colorScale>
    </cfRule>
  </conditionalFormatting>
  <conditionalFormatting sqref="Y84">
    <cfRule type="colorScale" priority="7685">
      <colorScale>
        <cfvo type="min"/>
        <cfvo type="max"/>
        <color rgb="FFFCFCFF"/>
        <color rgb="FFF8696B"/>
      </colorScale>
    </cfRule>
    <cfRule type="colorScale" priority="7687">
      <colorScale>
        <cfvo type="min"/>
        <cfvo type="percentile" val="50"/>
        <cfvo type="max"/>
        <color rgb="FF63BE7B"/>
        <color rgb="FFFFEB84"/>
        <color rgb="FFF8696B"/>
      </colorScale>
    </cfRule>
  </conditionalFormatting>
  <conditionalFormatting sqref="Y84">
    <cfRule type="colorScale" priority="7686">
      <colorScale>
        <cfvo type="min"/>
        <cfvo type="max"/>
        <color rgb="FFF8696B"/>
        <color rgb="FFFCFCFF"/>
      </colorScale>
    </cfRule>
  </conditionalFormatting>
  <conditionalFormatting sqref="AA84">
    <cfRule type="colorScale" priority="7684">
      <colorScale>
        <cfvo type="min"/>
        <cfvo type="percentile" val="50"/>
        <cfvo type="max"/>
        <color rgb="FFF8696B"/>
        <color rgb="FFFFEB84"/>
        <color rgb="FF63BE7B"/>
      </colorScale>
    </cfRule>
  </conditionalFormatting>
  <conditionalFormatting sqref="AA84">
    <cfRule type="colorScale" priority="7683">
      <colorScale>
        <cfvo type="min"/>
        <cfvo type="percentile" val="50"/>
        <cfvo type="max"/>
        <color rgb="FFF8696B"/>
        <color rgb="FFFFEB84"/>
        <color rgb="FF63BE7B"/>
      </colorScale>
    </cfRule>
  </conditionalFormatting>
  <conditionalFormatting sqref="AA84">
    <cfRule type="colorScale" priority="7682">
      <colorScale>
        <cfvo type="min"/>
        <cfvo type="percentile" val="50"/>
        <cfvo type="max"/>
        <color rgb="FFF8696B"/>
        <color rgb="FFFFEB84"/>
        <color rgb="FF63BE7B"/>
      </colorScale>
    </cfRule>
  </conditionalFormatting>
  <conditionalFormatting sqref="AA84">
    <cfRule type="colorScale" priority="7681">
      <colorScale>
        <cfvo type="min"/>
        <cfvo type="percentile" val="50"/>
        <cfvo type="max"/>
        <color rgb="FF63BE7B"/>
        <color rgb="FFFFEB84"/>
        <color rgb="FFF8696B"/>
      </colorScale>
    </cfRule>
  </conditionalFormatting>
  <conditionalFormatting sqref="AA84">
    <cfRule type="colorScale" priority="7678">
      <colorScale>
        <cfvo type="min"/>
        <cfvo type="max"/>
        <color rgb="FFFCFCFF"/>
        <color rgb="FFF8696B"/>
      </colorScale>
    </cfRule>
    <cfRule type="colorScale" priority="7680">
      <colorScale>
        <cfvo type="min"/>
        <cfvo type="percentile" val="50"/>
        <cfvo type="max"/>
        <color rgb="FF63BE7B"/>
        <color rgb="FFFFEB84"/>
        <color rgb="FFF8696B"/>
      </colorScale>
    </cfRule>
  </conditionalFormatting>
  <conditionalFormatting sqref="AA84">
    <cfRule type="colorScale" priority="7679">
      <colorScale>
        <cfvo type="min"/>
        <cfvo type="max"/>
        <color rgb="FFF8696B"/>
        <color rgb="FFFCFCFF"/>
      </colorScale>
    </cfRule>
  </conditionalFormatting>
  <conditionalFormatting sqref="W66">
    <cfRule type="colorScale" priority="7677">
      <colorScale>
        <cfvo type="min"/>
        <cfvo type="percentile" val="50"/>
        <cfvo type="max"/>
        <color rgb="FFF8696B"/>
        <color rgb="FFFFEB84"/>
        <color rgb="FF63BE7B"/>
      </colorScale>
    </cfRule>
  </conditionalFormatting>
  <conditionalFormatting sqref="Y66">
    <cfRule type="colorScale" priority="7676">
      <colorScale>
        <cfvo type="min"/>
        <cfvo type="percentile" val="50"/>
        <cfvo type="max"/>
        <color rgb="FFF8696B"/>
        <color rgb="FFFFEB84"/>
        <color rgb="FF63BE7B"/>
      </colorScale>
    </cfRule>
  </conditionalFormatting>
  <conditionalFormatting sqref="AA66">
    <cfRule type="colorScale" priority="7675">
      <colorScale>
        <cfvo type="min"/>
        <cfvo type="percentile" val="50"/>
        <cfvo type="max"/>
        <color rgb="FFF8696B"/>
        <color rgb="FFFFEB84"/>
        <color rgb="FF63BE7B"/>
      </colorScale>
    </cfRule>
  </conditionalFormatting>
  <conditionalFormatting sqref="W71">
    <cfRule type="colorScale" priority="7674">
      <colorScale>
        <cfvo type="min"/>
        <cfvo type="percentile" val="50"/>
        <cfvo type="max"/>
        <color rgb="FFF8696B"/>
        <color rgb="FFFFEB84"/>
        <color rgb="FF63BE7B"/>
      </colorScale>
    </cfRule>
  </conditionalFormatting>
  <conditionalFormatting sqref="Y71">
    <cfRule type="colorScale" priority="7673">
      <colorScale>
        <cfvo type="min"/>
        <cfvo type="percentile" val="50"/>
        <cfvo type="max"/>
        <color rgb="FFF8696B"/>
        <color rgb="FFFFEB84"/>
        <color rgb="FF63BE7B"/>
      </colorScale>
    </cfRule>
  </conditionalFormatting>
  <conditionalFormatting sqref="AA71">
    <cfRule type="colorScale" priority="7672">
      <colorScale>
        <cfvo type="min"/>
        <cfvo type="percentile" val="50"/>
        <cfvo type="max"/>
        <color rgb="FFF8696B"/>
        <color rgb="FFFFEB84"/>
        <color rgb="FF63BE7B"/>
      </colorScale>
    </cfRule>
  </conditionalFormatting>
  <conditionalFormatting sqref="S76">
    <cfRule type="colorScale" priority="7671">
      <colorScale>
        <cfvo type="min"/>
        <cfvo type="percentile" val="50"/>
        <cfvo type="max"/>
        <color rgb="FFF8696B"/>
        <color rgb="FFFFEB84"/>
        <color rgb="FF63BE7B"/>
      </colorScale>
    </cfRule>
  </conditionalFormatting>
  <conditionalFormatting sqref="U76">
    <cfRule type="colorScale" priority="7670">
      <colorScale>
        <cfvo type="min"/>
        <cfvo type="percentile" val="50"/>
        <cfvo type="max"/>
        <color rgb="FFF8696B"/>
        <color rgb="FFFFEB84"/>
        <color rgb="FF63BE7B"/>
      </colorScale>
    </cfRule>
  </conditionalFormatting>
  <conditionalFormatting sqref="W76">
    <cfRule type="colorScale" priority="7669">
      <colorScale>
        <cfvo type="min"/>
        <cfvo type="percentile" val="50"/>
        <cfvo type="max"/>
        <color rgb="FFF8696B"/>
        <color rgb="FFFFEB84"/>
        <color rgb="FF63BE7B"/>
      </colorScale>
    </cfRule>
  </conditionalFormatting>
  <conditionalFormatting sqref="Y76">
    <cfRule type="colorScale" priority="7668">
      <colorScale>
        <cfvo type="min"/>
        <cfvo type="percentile" val="50"/>
        <cfvo type="max"/>
        <color rgb="FFF8696B"/>
        <color rgb="FFFFEB84"/>
        <color rgb="FF63BE7B"/>
      </colorScale>
    </cfRule>
  </conditionalFormatting>
  <conditionalFormatting sqref="AA76">
    <cfRule type="colorScale" priority="7667">
      <colorScale>
        <cfvo type="min"/>
        <cfvo type="percentile" val="50"/>
        <cfvo type="max"/>
        <color rgb="FFF8696B"/>
        <color rgb="FFFFEB84"/>
        <color rgb="FF63BE7B"/>
      </colorScale>
    </cfRule>
  </conditionalFormatting>
  <conditionalFormatting sqref="S82">
    <cfRule type="colorScale" priority="7666">
      <colorScale>
        <cfvo type="min"/>
        <cfvo type="percentile" val="50"/>
        <cfvo type="max"/>
        <color rgb="FFF8696B"/>
        <color rgb="FFFFEB84"/>
        <color rgb="FF63BE7B"/>
      </colorScale>
    </cfRule>
  </conditionalFormatting>
  <conditionalFormatting sqref="U82">
    <cfRule type="colorScale" priority="7665">
      <colorScale>
        <cfvo type="min"/>
        <cfvo type="percentile" val="50"/>
        <cfvo type="max"/>
        <color rgb="FFF8696B"/>
        <color rgb="FFFFEB84"/>
        <color rgb="FF63BE7B"/>
      </colorScale>
    </cfRule>
  </conditionalFormatting>
  <conditionalFormatting sqref="W82">
    <cfRule type="colorScale" priority="7664">
      <colorScale>
        <cfvo type="min"/>
        <cfvo type="percentile" val="50"/>
        <cfvo type="max"/>
        <color rgb="FFF8696B"/>
        <color rgb="FFFFEB84"/>
        <color rgb="FF63BE7B"/>
      </colorScale>
    </cfRule>
  </conditionalFormatting>
  <conditionalFormatting sqref="Y82">
    <cfRule type="colorScale" priority="7663">
      <colorScale>
        <cfvo type="min"/>
        <cfvo type="percentile" val="50"/>
        <cfvo type="max"/>
        <color rgb="FFF8696B"/>
        <color rgb="FFFFEB84"/>
        <color rgb="FF63BE7B"/>
      </colorScale>
    </cfRule>
  </conditionalFormatting>
  <conditionalFormatting sqref="AA82">
    <cfRule type="colorScale" priority="7662">
      <colorScale>
        <cfvo type="min"/>
        <cfvo type="percentile" val="50"/>
        <cfvo type="max"/>
        <color rgb="FFF8696B"/>
        <color rgb="FFFFEB84"/>
        <color rgb="FF63BE7B"/>
      </colorScale>
    </cfRule>
  </conditionalFormatting>
  <conditionalFormatting sqref="S56 S82 U56 W56 Y56 AA56 W66 Y66 AA66 U61 S61 W71 Y71 AA71 AA76 Y76 W76 U76 S76 U82 AA82 Y82 W82 W84 Y84 AA84">
    <cfRule type="colorScale" priority="7661">
      <colorScale>
        <cfvo type="min"/>
        <cfvo type="max"/>
        <color rgb="FFFCFCFF"/>
        <color rgb="FFF8696B"/>
      </colorScale>
    </cfRule>
  </conditionalFormatting>
  <conditionalFormatting sqref="AC66 AC82 AC56 AC71 AC76">
    <cfRule type="colorScale" priority="7660">
      <colorScale>
        <cfvo type="min"/>
        <cfvo type="percentile" val="50"/>
        <cfvo type="max"/>
        <color rgb="FFF8696B"/>
        <color rgb="FFFFEB84"/>
        <color rgb="FF63BE7B"/>
      </colorScale>
    </cfRule>
  </conditionalFormatting>
  <conditionalFormatting sqref="AC76">
    <cfRule type="colorScale" priority="7659">
      <colorScale>
        <cfvo type="min"/>
        <cfvo type="percentile" val="50"/>
        <cfvo type="max"/>
        <color rgb="FFF8696B"/>
        <color rgb="FFFFEB84"/>
        <color rgb="FF63BE7B"/>
      </colorScale>
    </cfRule>
  </conditionalFormatting>
  <conditionalFormatting sqref="AC56">
    <cfRule type="colorScale" priority="7658">
      <colorScale>
        <cfvo type="min"/>
        <cfvo type="percentile" val="50"/>
        <cfvo type="max"/>
        <color rgb="FFF8696B"/>
        <color rgb="FFFFEB84"/>
        <color rgb="FF63BE7B"/>
      </colorScale>
    </cfRule>
  </conditionalFormatting>
  <conditionalFormatting sqref="AC66 AC82 AC56 AC71 AC76">
    <cfRule type="colorScale" priority="7657">
      <colorScale>
        <cfvo type="min"/>
        <cfvo type="percentile" val="50"/>
        <cfvo type="max"/>
        <color rgb="FF63BE7B"/>
        <color rgb="FFFFEB84"/>
        <color rgb="FFF8696B"/>
      </colorScale>
    </cfRule>
  </conditionalFormatting>
  <conditionalFormatting sqref="AC82 AC56 AC66 AC71 AC76">
    <cfRule type="colorScale" priority="7654">
      <colorScale>
        <cfvo type="min"/>
        <cfvo type="max"/>
        <color rgb="FFFCFCFF"/>
        <color rgb="FFF8696B"/>
      </colorScale>
    </cfRule>
    <cfRule type="colorScale" priority="7656">
      <colorScale>
        <cfvo type="min"/>
        <cfvo type="percentile" val="50"/>
        <cfvo type="max"/>
        <color rgb="FF63BE7B"/>
        <color rgb="FFFFEB84"/>
        <color rgb="FFF8696B"/>
      </colorScale>
    </cfRule>
  </conditionalFormatting>
  <conditionalFormatting sqref="AC66 AC82 AC56 AC71 AC76">
    <cfRule type="colorScale" priority="7655">
      <colorScale>
        <cfvo type="min"/>
        <cfvo type="max"/>
        <color rgb="FFF8696B"/>
        <color rgb="FFFCFCFF"/>
      </colorScale>
    </cfRule>
  </conditionalFormatting>
  <conditionalFormatting sqref="AC84">
    <cfRule type="colorScale" priority="7653">
      <colorScale>
        <cfvo type="min"/>
        <cfvo type="percentile" val="50"/>
        <cfvo type="max"/>
        <color rgb="FFF8696B"/>
        <color rgb="FFFFEB84"/>
        <color rgb="FF63BE7B"/>
      </colorScale>
    </cfRule>
  </conditionalFormatting>
  <conditionalFormatting sqref="AC84">
    <cfRule type="colorScale" priority="7652">
      <colorScale>
        <cfvo type="min"/>
        <cfvo type="percentile" val="50"/>
        <cfvo type="max"/>
        <color rgb="FFF8696B"/>
        <color rgb="FFFFEB84"/>
        <color rgb="FF63BE7B"/>
      </colorScale>
    </cfRule>
  </conditionalFormatting>
  <conditionalFormatting sqref="AC84">
    <cfRule type="colorScale" priority="7651">
      <colorScale>
        <cfvo type="min"/>
        <cfvo type="percentile" val="50"/>
        <cfvo type="max"/>
        <color rgb="FFF8696B"/>
        <color rgb="FFFFEB84"/>
        <color rgb="FF63BE7B"/>
      </colorScale>
    </cfRule>
  </conditionalFormatting>
  <conditionalFormatting sqref="AC84">
    <cfRule type="colorScale" priority="7650">
      <colorScale>
        <cfvo type="min"/>
        <cfvo type="percentile" val="50"/>
        <cfvo type="max"/>
        <color rgb="FF63BE7B"/>
        <color rgb="FFFFEB84"/>
        <color rgb="FFF8696B"/>
      </colorScale>
    </cfRule>
  </conditionalFormatting>
  <conditionalFormatting sqref="AC84">
    <cfRule type="colorScale" priority="7647">
      <colorScale>
        <cfvo type="min"/>
        <cfvo type="max"/>
        <color rgb="FFFCFCFF"/>
        <color rgb="FFF8696B"/>
      </colorScale>
    </cfRule>
    <cfRule type="colorScale" priority="7649">
      <colorScale>
        <cfvo type="min"/>
        <cfvo type="percentile" val="50"/>
        <cfvo type="max"/>
        <color rgb="FF63BE7B"/>
        <color rgb="FFFFEB84"/>
        <color rgb="FFF8696B"/>
      </colorScale>
    </cfRule>
  </conditionalFormatting>
  <conditionalFormatting sqref="AC84">
    <cfRule type="colorScale" priority="7648">
      <colorScale>
        <cfvo type="min"/>
        <cfvo type="max"/>
        <color rgb="FFF8696B"/>
        <color rgb="FFFCFCFF"/>
      </colorScale>
    </cfRule>
  </conditionalFormatting>
  <conditionalFormatting sqref="AC66">
    <cfRule type="colorScale" priority="7646">
      <colorScale>
        <cfvo type="min"/>
        <cfvo type="percentile" val="50"/>
        <cfvo type="max"/>
        <color rgb="FFF8696B"/>
        <color rgb="FFFFEB84"/>
        <color rgb="FF63BE7B"/>
      </colorScale>
    </cfRule>
  </conditionalFormatting>
  <conditionalFormatting sqref="AC71">
    <cfRule type="colorScale" priority="7645">
      <colorScale>
        <cfvo type="min"/>
        <cfvo type="percentile" val="50"/>
        <cfvo type="max"/>
        <color rgb="FFF8696B"/>
        <color rgb="FFFFEB84"/>
        <color rgb="FF63BE7B"/>
      </colorScale>
    </cfRule>
  </conditionalFormatting>
  <conditionalFormatting sqref="AC76">
    <cfRule type="colorScale" priority="7644">
      <colorScale>
        <cfvo type="min"/>
        <cfvo type="percentile" val="50"/>
        <cfvo type="max"/>
        <color rgb="FFF8696B"/>
        <color rgb="FFFFEB84"/>
        <color rgb="FF63BE7B"/>
      </colorScale>
    </cfRule>
  </conditionalFormatting>
  <conditionalFormatting sqref="AC82">
    <cfRule type="colorScale" priority="7643">
      <colorScale>
        <cfvo type="min"/>
        <cfvo type="percentile" val="50"/>
        <cfvo type="max"/>
        <color rgb="FFF8696B"/>
        <color rgb="FFFFEB84"/>
        <color rgb="FF63BE7B"/>
      </colorScale>
    </cfRule>
  </conditionalFormatting>
  <conditionalFormatting sqref="AC66 AC82 AC56 AC71 AC76 AC84">
    <cfRule type="colorScale" priority="7642">
      <colorScale>
        <cfvo type="min"/>
        <cfvo type="max"/>
        <color rgb="FFFCFCFF"/>
        <color rgb="FFF8696B"/>
      </colorScale>
    </cfRule>
  </conditionalFormatting>
  <conditionalFormatting sqref="AE82 AE66 AE56 AE71 AE76">
    <cfRule type="colorScale" priority="7641">
      <colorScale>
        <cfvo type="min"/>
        <cfvo type="percentile" val="50"/>
        <cfvo type="max"/>
        <color rgb="FFF8696B"/>
        <color rgb="FFFFEB84"/>
        <color rgb="FF63BE7B"/>
      </colorScale>
    </cfRule>
  </conditionalFormatting>
  <conditionalFormatting sqref="AE76">
    <cfRule type="colorScale" priority="7640">
      <colorScale>
        <cfvo type="min"/>
        <cfvo type="percentile" val="50"/>
        <cfvo type="max"/>
        <color rgb="FFF8696B"/>
        <color rgb="FFFFEB84"/>
        <color rgb="FF63BE7B"/>
      </colorScale>
    </cfRule>
  </conditionalFormatting>
  <conditionalFormatting sqref="AE56">
    <cfRule type="colorScale" priority="7639">
      <colorScale>
        <cfvo type="min"/>
        <cfvo type="percentile" val="50"/>
        <cfvo type="max"/>
        <color rgb="FFF8696B"/>
        <color rgb="FFFFEB84"/>
        <color rgb="FF63BE7B"/>
      </colorScale>
    </cfRule>
  </conditionalFormatting>
  <conditionalFormatting sqref="AE82 AE66 AE56 AE71 AE76">
    <cfRule type="colorScale" priority="7638">
      <colorScale>
        <cfvo type="min"/>
        <cfvo type="percentile" val="50"/>
        <cfvo type="max"/>
        <color rgb="FF63BE7B"/>
        <color rgb="FFFFEB84"/>
        <color rgb="FFF8696B"/>
      </colorScale>
    </cfRule>
  </conditionalFormatting>
  <conditionalFormatting sqref="AE82 AE56 AE66 AE71 AE76">
    <cfRule type="colorScale" priority="7635">
      <colorScale>
        <cfvo type="min"/>
        <cfvo type="max"/>
        <color rgb="FFFCFCFF"/>
        <color rgb="FFF8696B"/>
      </colorScale>
    </cfRule>
    <cfRule type="colorScale" priority="7637">
      <colorScale>
        <cfvo type="min"/>
        <cfvo type="percentile" val="50"/>
        <cfvo type="max"/>
        <color rgb="FF63BE7B"/>
        <color rgb="FFFFEB84"/>
        <color rgb="FFF8696B"/>
      </colorScale>
    </cfRule>
  </conditionalFormatting>
  <conditionalFormatting sqref="AE82 AE66 AE56 AE71 AE76">
    <cfRule type="colorScale" priority="7636">
      <colorScale>
        <cfvo type="min"/>
        <cfvo type="max"/>
        <color rgb="FFF8696B"/>
        <color rgb="FFFCFCFF"/>
      </colorScale>
    </cfRule>
  </conditionalFormatting>
  <conditionalFormatting sqref="AE84">
    <cfRule type="colorScale" priority="7634">
      <colorScale>
        <cfvo type="min"/>
        <cfvo type="percentile" val="50"/>
        <cfvo type="max"/>
        <color rgb="FFF8696B"/>
        <color rgb="FFFFEB84"/>
        <color rgb="FF63BE7B"/>
      </colorScale>
    </cfRule>
  </conditionalFormatting>
  <conditionalFormatting sqref="AE84">
    <cfRule type="colorScale" priority="7633">
      <colorScale>
        <cfvo type="min"/>
        <cfvo type="percentile" val="50"/>
        <cfvo type="max"/>
        <color rgb="FFF8696B"/>
        <color rgb="FFFFEB84"/>
        <color rgb="FF63BE7B"/>
      </colorScale>
    </cfRule>
  </conditionalFormatting>
  <conditionalFormatting sqref="AE84">
    <cfRule type="colorScale" priority="7632">
      <colorScale>
        <cfvo type="min"/>
        <cfvo type="percentile" val="50"/>
        <cfvo type="max"/>
        <color rgb="FFF8696B"/>
        <color rgb="FFFFEB84"/>
        <color rgb="FF63BE7B"/>
      </colorScale>
    </cfRule>
  </conditionalFormatting>
  <conditionalFormatting sqref="AE84">
    <cfRule type="colorScale" priority="7631">
      <colorScale>
        <cfvo type="min"/>
        <cfvo type="percentile" val="50"/>
        <cfvo type="max"/>
        <color rgb="FF63BE7B"/>
        <color rgb="FFFFEB84"/>
        <color rgb="FFF8696B"/>
      </colorScale>
    </cfRule>
  </conditionalFormatting>
  <conditionalFormatting sqref="AE84">
    <cfRule type="colorScale" priority="7628">
      <colorScale>
        <cfvo type="min"/>
        <cfvo type="max"/>
        <color rgb="FFFCFCFF"/>
        <color rgb="FFF8696B"/>
      </colorScale>
    </cfRule>
    <cfRule type="colorScale" priority="7630">
      <colorScale>
        <cfvo type="min"/>
        <cfvo type="percentile" val="50"/>
        <cfvo type="max"/>
        <color rgb="FF63BE7B"/>
        <color rgb="FFFFEB84"/>
        <color rgb="FFF8696B"/>
      </colorScale>
    </cfRule>
  </conditionalFormatting>
  <conditionalFormatting sqref="AE84">
    <cfRule type="colorScale" priority="7629">
      <colorScale>
        <cfvo type="min"/>
        <cfvo type="max"/>
        <color rgb="FFF8696B"/>
        <color rgb="FFFCFCFF"/>
      </colorScale>
    </cfRule>
  </conditionalFormatting>
  <conditionalFormatting sqref="AE66">
    <cfRule type="colorScale" priority="7627">
      <colorScale>
        <cfvo type="min"/>
        <cfvo type="percentile" val="50"/>
        <cfvo type="max"/>
        <color rgb="FFF8696B"/>
        <color rgb="FFFFEB84"/>
        <color rgb="FF63BE7B"/>
      </colorScale>
    </cfRule>
  </conditionalFormatting>
  <conditionalFormatting sqref="AE71">
    <cfRule type="colorScale" priority="7626">
      <colorScale>
        <cfvo type="min"/>
        <cfvo type="percentile" val="50"/>
        <cfvo type="max"/>
        <color rgb="FFF8696B"/>
        <color rgb="FFFFEB84"/>
        <color rgb="FF63BE7B"/>
      </colorScale>
    </cfRule>
  </conditionalFormatting>
  <conditionalFormatting sqref="AE76">
    <cfRule type="colorScale" priority="7625">
      <colorScale>
        <cfvo type="min"/>
        <cfvo type="percentile" val="50"/>
        <cfvo type="max"/>
        <color rgb="FFF8696B"/>
        <color rgb="FFFFEB84"/>
        <color rgb="FF63BE7B"/>
      </colorScale>
    </cfRule>
  </conditionalFormatting>
  <conditionalFormatting sqref="AE82">
    <cfRule type="colorScale" priority="7624">
      <colorScale>
        <cfvo type="min"/>
        <cfvo type="percentile" val="50"/>
        <cfvo type="max"/>
        <color rgb="FFF8696B"/>
        <color rgb="FFFFEB84"/>
        <color rgb="FF63BE7B"/>
      </colorScale>
    </cfRule>
  </conditionalFormatting>
  <conditionalFormatting sqref="AE82 AE66 AE56 AE71 AE76 AE84">
    <cfRule type="colorScale" priority="7623">
      <colorScale>
        <cfvo type="min"/>
        <cfvo type="max"/>
        <color rgb="FFFCFCFF"/>
        <color rgb="FFF8696B"/>
      </colorScale>
    </cfRule>
  </conditionalFormatting>
  <conditionalFormatting sqref="AA109 S125 Y109 Y114 AA114 S119 U119 W119 Y119 AA119 U125 W125 Y125 AA125">
    <cfRule type="colorScale" priority="7622">
      <colorScale>
        <cfvo type="min"/>
        <cfvo type="percentile" val="50"/>
        <cfvo type="max"/>
        <color rgb="FFF8696B"/>
        <color rgb="FFFFEB84"/>
        <color rgb="FF63BE7B"/>
      </colorScale>
    </cfRule>
  </conditionalFormatting>
  <conditionalFormatting sqref="AA119">
    <cfRule type="colorScale" priority="7621">
      <colorScale>
        <cfvo type="min"/>
        <cfvo type="percentile" val="50"/>
        <cfvo type="max"/>
        <color rgb="FFF8696B"/>
        <color rgb="FFFFEB84"/>
        <color rgb="FF63BE7B"/>
      </colorScale>
    </cfRule>
  </conditionalFormatting>
  <conditionalFormatting sqref="AA109 S125 Y109 Y114 AA114 S119 U119 W119 Y119 AA119 U125 W125 Y125 AA125">
    <cfRule type="colorScale" priority="7620">
      <colorScale>
        <cfvo type="min"/>
        <cfvo type="percentile" val="50"/>
        <cfvo type="max"/>
        <color rgb="FF63BE7B"/>
        <color rgb="FFFFEB84"/>
        <color rgb="FFF8696B"/>
      </colorScale>
    </cfRule>
  </conditionalFormatting>
  <conditionalFormatting sqref="S125 Y109 AA109 Y114 AA114 S119 U119 W119 Y119 AA119 U125 W125 Y125 AA125">
    <cfRule type="colorScale" priority="7617">
      <colorScale>
        <cfvo type="min"/>
        <cfvo type="max"/>
        <color rgb="FFFCFCFF"/>
        <color rgb="FFF8696B"/>
      </colorScale>
    </cfRule>
    <cfRule type="colorScale" priority="7619">
      <colorScale>
        <cfvo type="min"/>
        <cfvo type="percentile" val="50"/>
        <cfvo type="max"/>
        <color rgb="FF63BE7B"/>
        <color rgb="FFFFEB84"/>
        <color rgb="FFF8696B"/>
      </colorScale>
    </cfRule>
  </conditionalFormatting>
  <conditionalFormatting sqref="AA109 S125 Y109 Y114 AA114 S119 U119 W119 Y119 AA119 U125 W125 Y125 AA125">
    <cfRule type="colorScale" priority="7618">
      <colorScale>
        <cfvo type="min"/>
        <cfvo type="max"/>
        <color rgb="FFF8696B"/>
        <color rgb="FFFCFCFF"/>
      </colorScale>
    </cfRule>
  </conditionalFormatting>
  <conditionalFormatting sqref="W127">
    <cfRule type="colorScale" priority="7616">
      <colorScale>
        <cfvo type="min"/>
        <cfvo type="percentile" val="50"/>
        <cfvo type="max"/>
        <color rgb="FFF8696B"/>
        <color rgb="FFFFEB84"/>
        <color rgb="FF63BE7B"/>
      </colorScale>
    </cfRule>
  </conditionalFormatting>
  <conditionalFormatting sqref="W127">
    <cfRule type="colorScale" priority="7615">
      <colorScale>
        <cfvo type="min"/>
        <cfvo type="percentile" val="50"/>
        <cfvo type="max"/>
        <color rgb="FFF8696B"/>
        <color rgb="FFFFEB84"/>
        <color rgb="FF63BE7B"/>
      </colorScale>
    </cfRule>
  </conditionalFormatting>
  <conditionalFormatting sqref="W127">
    <cfRule type="colorScale" priority="7614">
      <colorScale>
        <cfvo type="min"/>
        <cfvo type="percentile" val="50"/>
        <cfvo type="max"/>
        <color rgb="FFF8696B"/>
        <color rgb="FFFFEB84"/>
        <color rgb="FF63BE7B"/>
      </colorScale>
    </cfRule>
  </conditionalFormatting>
  <conditionalFormatting sqref="W127">
    <cfRule type="colorScale" priority="7613">
      <colorScale>
        <cfvo type="min"/>
        <cfvo type="percentile" val="50"/>
        <cfvo type="max"/>
        <color rgb="FF63BE7B"/>
        <color rgb="FFFFEB84"/>
        <color rgb="FFF8696B"/>
      </colorScale>
    </cfRule>
  </conditionalFormatting>
  <conditionalFormatting sqref="W127">
    <cfRule type="colorScale" priority="7610">
      <colorScale>
        <cfvo type="min"/>
        <cfvo type="max"/>
        <color rgb="FFFCFCFF"/>
        <color rgb="FFF8696B"/>
      </colorScale>
    </cfRule>
    <cfRule type="colorScale" priority="7612">
      <colorScale>
        <cfvo type="min"/>
        <cfvo type="percentile" val="50"/>
        <cfvo type="max"/>
        <color rgb="FF63BE7B"/>
        <color rgb="FFFFEB84"/>
        <color rgb="FFF8696B"/>
      </colorScale>
    </cfRule>
  </conditionalFormatting>
  <conditionalFormatting sqref="W127">
    <cfRule type="colorScale" priority="7611">
      <colorScale>
        <cfvo type="min"/>
        <cfvo type="max"/>
        <color rgb="FFF8696B"/>
        <color rgb="FFFCFCFF"/>
      </colorScale>
    </cfRule>
  </conditionalFormatting>
  <conditionalFormatting sqref="Y127">
    <cfRule type="colorScale" priority="7609">
      <colorScale>
        <cfvo type="min"/>
        <cfvo type="percentile" val="50"/>
        <cfvo type="max"/>
        <color rgb="FFF8696B"/>
        <color rgb="FFFFEB84"/>
        <color rgb="FF63BE7B"/>
      </colorScale>
    </cfRule>
  </conditionalFormatting>
  <conditionalFormatting sqref="Y127">
    <cfRule type="colorScale" priority="7608">
      <colorScale>
        <cfvo type="min"/>
        <cfvo type="percentile" val="50"/>
        <cfvo type="max"/>
        <color rgb="FFF8696B"/>
        <color rgb="FFFFEB84"/>
        <color rgb="FF63BE7B"/>
      </colorScale>
    </cfRule>
  </conditionalFormatting>
  <conditionalFormatting sqref="Y127">
    <cfRule type="colorScale" priority="7607">
      <colorScale>
        <cfvo type="min"/>
        <cfvo type="percentile" val="50"/>
        <cfvo type="max"/>
        <color rgb="FFF8696B"/>
        <color rgb="FFFFEB84"/>
        <color rgb="FF63BE7B"/>
      </colorScale>
    </cfRule>
  </conditionalFormatting>
  <conditionalFormatting sqref="Y127">
    <cfRule type="colorScale" priority="7606">
      <colorScale>
        <cfvo type="min"/>
        <cfvo type="percentile" val="50"/>
        <cfvo type="max"/>
        <color rgb="FF63BE7B"/>
        <color rgb="FFFFEB84"/>
        <color rgb="FFF8696B"/>
      </colorScale>
    </cfRule>
  </conditionalFormatting>
  <conditionalFormatting sqref="Y127">
    <cfRule type="colorScale" priority="7603">
      <colorScale>
        <cfvo type="min"/>
        <cfvo type="max"/>
        <color rgb="FFFCFCFF"/>
        <color rgb="FFF8696B"/>
      </colorScale>
    </cfRule>
    <cfRule type="colorScale" priority="7605">
      <colorScale>
        <cfvo type="min"/>
        <cfvo type="percentile" val="50"/>
        <cfvo type="max"/>
        <color rgb="FF63BE7B"/>
        <color rgb="FFFFEB84"/>
        <color rgb="FFF8696B"/>
      </colorScale>
    </cfRule>
  </conditionalFormatting>
  <conditionalFormatting sqref="Y127">
    <cfRule type="colorScale" priority="7604">
      <colorScale>
        <cfvo type="min"/>
        <cfvo type="max"/>
        <color rgb="FFF8696B"/>
        <color rgb="FFFCFCFF"/>
      </colorScale>
    </cfRule>
  </conditionalFormatting>
  <conditionalFormatting sqref="AA127">
    <cfRule type="colorScale" priority="7602">
      <colorScale>
        <cfvo type="min"/>
        <cfvo type="percentile" val="50"/>
        <cfvo type="max"/>
        <color rgb="FFF8696B"/>
        <color rgb="FFFFEB84"/>
        <color rgb="FF63BE7B"/>
      </colorScale>
    </cfRule>
  </conditionalFormatting>
  <conditionalFormatting sqref="AA127">
    <cfRule type="colorScale" priority="7601">
      <colorScale>
        <cfvo type="min"/>
        <cfvo type="percentile" val="50"/>
        <cfvo type="max"/>
        <color rgb="FFF8696B"/>
        <color rgb="FFFFEB84"/>
        <color rgb="FF63BE7B"/>
      </colorScale>
    </cfRule>
  </conditionalFormatting>
  <conditionalFormatting sqref="AA127">
    <cfRule type="colorScale" priority="7600">
      <colorScale>
        <cfvo type="min"/>
        <cfvo type="percentile" val="50"/>
        <cfvo type="max"/>
        <color rgb="FFF8696B"/>
        <color rgb="FFFFEB84"/>
        <color rgb="FF63BE7B"/>
      </colorScale>
    </cfRule>
  </conditionalFormatting>
  <conditionalFormatting sqref="AA127">
    <cfRule type="colorScale" priority="7599">
      <colorScale>
        <cfvo type="min"/>
        <cfvo type="percentile" val="50"/>
        <cfvo type="max"/>
        <color rgb="FF63BE7B"/>
        <color rgb="FFFFEB84"/>
        <color rgb="FFF8696B"/>
      </colorScale>
    </cfRule>
  </conditionalFormatting>
  <conditionalFormatting sqref="AA127">
    <cfRule type="colorScale" priority="7596">
      <colorScale>
        <cfvo type="min"/>
        <cfvo type="max"/>
        <color rgb="FFFCFCFF"/>
        <color rgb="FFF8696B"/>
      </colorScale>
    </cfRule>
    <cfRule type="colorScale" priority="7598">
      <colorScale>
        <cfvo type="min"/>
        <cfvo type="percentile" val="50"/>
        <cfvo type="max"/>
        <color rgb="FF63BE7B"/>
        <color rgb="FFFFEB84"/>
        <color rgb="FFF8696B"/>
      </colorScale>
    </cfRule>
  </conditionalFormatting>
  <conditionalFormatting sqref="AA127">
    <cfRule type="colorScale" priority="7597">
      <colorScale>
        <cfvo type="min"/>
        <cfvo type="max"/>
        <color rgb="FFF8696B"/>
        <color rgb="FFFCFCFF"/>
      </colorScale>
    </cfRule>
  </conditionalFormatting>
  <conditionalFormatting sqref="Y109">
    <cfRule type="colorScale" priority="7595">
      <colorScale>
        <cfvo type="min"/>
        <cfvo type="percentile" val="50"/>
        <cfvo type="max"/>
        <color rgb="FFF8696B"/>
        <color rgb="FFFFEB84"/>
        <color rgb="FF63BE7B"/>
      </colorScale>
    </cfRule>
  </conditionalFormatting>
  <conditionalFormatting sqref="AA109">
    <cfRule type="colorScale" priority="7594">
      <colorScale>
        <cfvo type="min"/>
        <cfvo type="percentile" val="50"/>
        <cfvo type="max"/>
        <color rgb="FFF8696B"/>
        <color rgb="FFFFEB84"/>
        <color rgb="FF63BE7B"/>
      </colorScale>
    </cfRule>
  </conditionalFormatting>
  <conditionalFormatting sqref="Y114">
    <cfRule type="colorScale" priority="7593">
      <colorScale>
        <cfvo type="min"/>
        <cfvo type="percentile" val="50"/>
        <cfvo type="max"/>
        <color rgb="FFF8696B"/>
        <color rgb="FFFFEB84"/>
        <color rgb="FF63BE7B"/>
      </colorScale>
    </cfRule>
  </conditionalFormatting>
  <conditionalFormatting sqref="AA114">
    <cfRule type="colorScale" priority="7592">
      <colorScale>
        <cfvo type="min"/>
        <cfvo type="percentile" val="50"/>
        <cfvo type="max"/>
        <color rgb="FFF8696B"/>
        <color rgb="FFFFEB84"/>
        <color rgb="FF63BE7B"/>
      </colorScale>
    </cfRule>
  </conditionalFormatting>
  <conditionalFormatting sqref="S119">
    <cfRule type="colorScale" priority="7591">
      <colorScale>
        <cfvo type="min"/>
        <cfvo type="percentile" val="50"/>
        <cfvo type="max"/>
        <color rgb="FFF8696B"/>
        <color rgb="FFFFEB84"/>
        <color rgb="FF63BE7B"/>
      </colorScale>
    </cfRule>
  </conditionalFormatting>
  <conditionalFormatting sqref="U119">
    <cfRule type="colorScale" priority="7590">
      <colorScale>
        <cfvo type="min"/>
        <cfvo type="percentile" val="50"/>
        <cfvo type="max"/>
        <color rgb="FFF8696B"/>
        <color rgb="FFFFEB84"/>
        <color rgb="FF63BE7B"/>
      </colorScale>
    </cfRule>
  </conditionalFormatting>
  <conditionalFormatting sqref="W119">
    <cfRule type="colorScale" priority="7589">
      <colorScale>
        <cfvo type="min"/>
        <cfvo type="percentile" val="50"/>
        <cfvo type="max"/>
        <color rgb="FFF8696B"/>
        <color rgb="FFFFEB84"/>
        <color rgb="FF63BE7B"/>
      </colorScale>
    </cfRule>
  </conditionalFormatting>
  <conditionalFormatting sqref="Y119">
    <cfRule type="colorScale" priority="7588">
      <colorScale>
        <cfvo type="min"/>
        <cfvo type="percentile" val="50"/>
        <cfvo type="max"/>
        <color rgb="FFF8696B"/>
        <color rgb="FFFFEB84"/>
        <color rgb="FF63BE7B"/>
      </colorScale>
    </cfRule>
  </conditionalFormatting>
  <conditionalFormatting sqref="AA119">
    <cfRule type="colorScale" priority="7587">
      <colorScale>
        <cfvo type="min"/>
        <cfvo type="percentile" val="50"/>
        <cfvo type="max"/>
        <color rgb="FFF8696B"/>
        <color rgb="FFFFEB84"/>
        <color rgb="FF63BE7B"/>
      </colorScale>
    </cfRule>
  </conditionalFormatting>
  <conditionalFormatting sqref="S125">
    <cfRule type="colorScale" priority="7586">
      <colorScale>
        <cfvo type="min"/>
        <cfvo type="percentile" val="50"/>
        <cfvo type="max"/>
        <color rgb="FFF8696B"/>
        <color rgb="FFFFEB84"/>
        <color rgb="FF63BE7B"/>
      </colorScale>
    </cfRule>
  </conditionalFormatting>
  <conditionalFormatting sqref="U125">
    <cfRule type="colorScale" priority="7585">
      <colorScale>
        <cfvo type="min"/>
        <cfvo type="percentile" val="50"/>
        <cfvo type="max"/>
        <color rgb="FFF8696B"/>
        <color rgb="FFFFEB84"/>
        <color rgb="FF63BE7B"/>
      </colorScale>
    </cfRule>
  </conditionalFormatting>
  <conditionalFormatting sqref="W125">
    <cfRule type="colorScale" priority="7584">
      <colorScale>
        <cfvo type="min"/>
        <cfvo type="percentile" val="50"/>
        <cfvo type="max"/>
        <color rgb="FFF8696B"/>
        <color rgb="FFFFEB84"/>
        <color rgb="FF63BE7B"/>
      </colorScale>
    </cfRule>
  </conditionalFormatting>
  <conditionalFormatting sqref="Y125">
    <cfRule type="colorScale" priority="7583">
      <colorScale>
        <cfvo type="min"/>
        <cfvo type="percentile" val="50"/>
        <cfvo type="max"/>
        <color rgb="FFF8696B"/>
        <color rgb="FFFFEB84"/>
        <color rgb="FF63BE7B"/>
      </colorScale>
    </cfRule>
  </conditionalFormatting>
  <conditionalFormatting sqref="AA125">
    <cfRule type="colorScale" priority="7582">
      <colorScale>
        <cfvo type="min"/>
        <cfvo type="percentile" val="50"/>
        <cfvo type="max"/>
        <color rgb="FFF8696B"/>
        <color rgb="FFFFEB84"/>
        <color rgb="FF63BE7B"/>
      </colorScale>
    </cfRule>
  </conditionalFormatting>
  <conditionalFormatting sqref="AA109 S125 Y109 U104 S104 Y114 AA114 AA119 Y119 W119 U119 S119 U125 AA125 Y125 W125 W127 Y127 AA127">
    <cfRule type="colorScale" priority="7581">
      <colorScale>
        <cfvo type="min"/>
        <cfvo type="max"/>
        <color rgb="FFFCFCFF"/>
        <color rgb="FFF8696B"/>
      </colorScale>
    </cfRule>
  </conditionalFormatting>
  <conditionalFormatting sqref="AC125 AC109 AC114 AC119">
    <cfRule type="colorScale" priority="7580">
      <colorScale>
        <cfvo type="min"/>
        <cfvo type="percentile" val="50"/>
        <cfvo type="max"/>
        <color rgb="FFF8696B"/>
        <color rgb="FFFFEB84"/>
        <color rgb="FF63BE7B"/>
      </colorScale>
    </cfRule>
  </conditionalFormatting>
  <conditionalFormatting sqref="AC119">
    <cfRule type="colorScale" priority="7579">
      <colorScale>
        <cfvo type="min"/>
        <cfvo type="percentile" val="50"/>
        <cfvo type="max"/>
        <color rgb="FFF8696B"/>
        <color rgb="FFFFEB84"/>
        <color rgb="FF63BE7B"/>
      </colorScale>
    </cfRule>
  </conditionalFormatting>
  <conditionalFormatting sqref="AC125 AC109 AC114 AC119">
    <cfRule type="colorScale" priority="7578">
      <colorScale>
        <cfvo type="min"/>
        <cfvo type="percentile" val="50"/>
        <cfvo type="max"/>
        <color rgb="FF63BE7B"/>
        <color rgb="FFFFEB84"/>
        <color rgb="FFF8696B"/>
      </colorScale>
    </cfRule>
  </conditionalFormatting>
  <conditionalFormatting sqref="AC125 AC109 AC114 AC119">
    <cfRule type="colorScale" priority="7575">
      <colorScale>
        <cfvo type="min"/>
        <cfvo type="max"/>
        <color rgb="FFFCFCFF"/>
        <color rgb="FFF8696B"/>
      </colorScale>
    </cfRule>
    <cfRule type="colorScale" priority="7577">
      <colorScale>
        <cfvo type="min"/>
        <cfvo type="percentile" val="50"/>
        <cfvo type="max"/>
        <color rgb="FF63BE7B"/>
        <color rgb="FFFFEB84"/>
        <color rgb="FFF8696B"/>
      </colorScale>
    </cfRule>
  </conditionalFormatting>
  <conditionalFormatting sqref="AC125 AC109 AC114 AC119">
    <cfRule type="colorScale" priority="7576">
      <colorScale>
        <cfvo type="min"/>
        <cfvo type="max"/>
        <color rgb="FFF8696B"/>
        <color rgb="FFFCFCFF"/>
      </colorScale>
    </cfRule>
  </conditionalFormatting>
  <conditionalFormatting sqref="AC127">
    <cfRule type="colorScale" priority="7574">
      <colorScale>
        <cfvo type="min"/>
        <cfvo type="percentile" val="50"/>
        <cfvo type="max"/>
        <color rgb="FFF8696B"/>
        <color rgb="FFFFEB84"/>
        <color rgb="FF63BE7B"/>
      </colorScale>
    </cfRule>
  </conditionalFormatting>
  <conditionalFormatting sqref="AC127">
    <cfRule type="colorScale" priority="7573">
      <colorScale>
        <cfvo type="min"/>
        <cfvo type="percentile" val="50"/>
        <cfvo type="max"/>
        <color rgb="FFF8696B"/>
        <color rgb="FFFFEB84"/>
        <color rgb="FF63BE7B"/>
      </colorScale>
    </cfRule>
  </conditionalFormatting>
  <conditionalFormatting sqref="AC127">
    <cfRule type="colorScale" priority="7572">
      <colorScale>
        <cfvo type="min"/>
        <cfvo type="percentile" val="50"/>
        <cfvo type="max"/>
        <color rgb="FFF8696B"/>
        <color rgb="FFFFEB84"/>
        <color rgb="FF63BE7B"/>
      </colorScale>
    </cfRule>
  </conditionalFormatting>
  <conditionalFormatting sqref="AC127">
    <cfRule type="colorScale" priority="7571">
      <colorScale>
        <cfvo type="min"/>
        <cfvo type="percentile" val="50"/>
        <cfvo type="max"/>
        <color rgb="FF63BE7B"/>
        <color rgb="FFFFEB84"/>
        <color rgb="FFF8696B"/>
      </colorScale>
    </cfRule>
  </conditionalFormatting>
  <conditionalFormatting sqref="AC127">
    <cfRule type="colorScale" priority="7568">
      <colorScale>
        <cfvo type="min"/>
        <cfvo type="max"/>
        <color rgb="FFFCFCFF"/>
        <color rgb="FFF8696B"/>
      </colorScale>
    </cfRule>
    <cfRule type="colorScale" priority="7570">
      <colorScale>
        <cfvo type="min"/>
        <cfvo type="percentile" val="50"/>
        <cfvo type="max"/>
        <color rgb="FF63BE7B"/>
        <color rgb="FFFFEB84"/>
        <color rgb="FFF8696B"/>
      </colorScale>
    </cfRule>
  </conditionalFormatting>
  <conditionalFormatting sqref="AC127">
    <cfRule type="colorScale" priority="7569">
      <colorScale>
        <cfvo type="min"/>
        <cfvo type="max"/>
        <color rgb="FFF8696B"/>
        <color rgb="FFFCFCFF"/>
      </colorScale>
    </cfRule>
  </conditionalFormatting>
  <conditionalFormatting sqref="AC109">
    <cfRule type="colorScale" priority="7567">
      <colorScale>
        <cfvo type="min"/>
        <cfvo type="percentile" val="50"/>
        <cfvo type="max"/>
        <color rgb="FFF8696B"/>
        <color rgb="FFFFEB84"/>
        <color rgb="FF63BE7B"/>
      </colorScale>
    </cfRule>
  </conditionalFormatting>
  <conditionalFormatting sqref="AC114">
    <cfRule type="colorScale" priority="7566">
      <colorScale>
        <cfvo type="min"/>
        <cfvo type="percentile" val="50"/>
        <cfvo type="max"/>
        <color rgb="FFF8696B"/>
        <color rgb="FFFFEB84"/>
        <color rgb="FF63BE7B"/>
      </colorScale>
    </cfRule>
  </conditionalFormatting>
  <conditionalFormatting sqref="AC119">
    <cfRule type="colorScale" priority="7565">
      <colorScale>
        <cfvo type="min"/>
        <cfvo type="percentile" val="50"/>
        <cfvo type="max"/>
        <color rgb="FFF8696B"/>
        <color rgb="FFFFEB84"/>
        <color rgb="FF63BE7B"/>
      </colorScale>
    </cfRule>
  </conditionalFormatting>
  <conditionalFormatting sqref="AC125">
    <cfRule type="colorScale" priority="7564">
      <colorScale>
        <cfvo type="min"/>
        <cfvo type="percentile" val="50"/>
        <cfvo type="max"/>
        <color rgb="FFF8696B"/>
        <color rgb="FFFFEB84"/>
        <color rgb="FF63BE7B"/>
      </colorScale>
    </cfRule>
  </conditionalFormatting>
  <conditionalFormatting sqref="AC125 AC109 AC114 AC119 AC127">
    <cfRule type="colorScale" priority="7563">
      <colorScale>
        <cfvo type="min"/>
        <cfvo type="max"/>
        <color rgb="FFFCFCFF"/>
        <color rgb="FFF8696B"/>
      </colorScale>
    </cfRule>
  </conditionalFormatting>
  <conditionalFormatting sqref="AE125 AE109 AE114 AE119">
    <cfRule type="colorScale" priority="7562">
      <colorScale>
        <cfvo type="min"/>
        <cfvo type="percentile" val="50"/>
        <cfvo type="max"/>
        <color rgb="FFF8696B"/>
        <color rgb="FFFFEB84"/>
        <color rgb="FF63BE7B"/>
      </colorScale>
    </cfRule>
  </conditionalFormatting>
  <conditionalFormatting sqref="AE119">
    <cfRule type="colorScale" priority="7561">
      <colorScale>
        <cfvo type="min"/>
        <cfvo type="percentile" val="50"/>
        <cfvo type="max"/>
        <color rgb="FFF8696B"/>
        <color rgb="FFFFEB84"/>
        <color rgb="FF63BE7B"/>
      </colorScale>
    </cfRule>
  </conditionalFormatting>
  <conditionalFormatting sqref="AE125 AE109 AE114 AE119">
    <cfRule type="colorScale" priority="7560">
      <colorScale>
        <cfvo type="min"/>
        <cfvo type="percentile" val="50"/>
        <cfvo type="max"/>
        <color rgb="FF63BE7B"/>
        <color rgb="FFFFEB84"/>
        <color rgb="FFF8696B"/>
      </colorScale>
    </cfRule>
  </conditionalFormatting>
  <conditionalFormatting sqref="AE125 AE109 AE114 AE119">
    <cfRule type="colorScale" priority="7557">
      <colorScale>
        <cfvo type="min"/>
        <cfvo type="max"/>
        <color rgb="FFFCFCFF"/>
        <color rgb="FFF8696B"/>
      </colorScale>
    </cfRule>
    <cfRule type="colorScale" priority="7559">
      <colorScale>
        <cfvo type="min"/>
        <cfvo type="percentile" val="50"/>
        <cfvo type="max"/>
        <color rgb="FF63BE7B"/>
        <color rgb="FFFFEB84"/>
        <color rgb="FFF8696B"/>
      </colorScale>
    </cfRule>
  </conditionalFormatting>
  <conditionalFormatting sqref="AE125 AE109 AE114 AE119">
    <cfRule type="colorScale" priority="7558">
      <colorScale>
        <cfvo type="min"/>
        <cfvo type="max"/>
        <color rgb="FFF8696B"/>
        <color rgb="FFFCFCFF"/>
      </colorScale>
    </cfRule>
  </conditionalFormatting>
  <conditionalFormatting sqref="AE127">
    <cfRule type="colorScale" priority="7556">
      <colorScale>
        <cfvo type="min"/>
        <cfvo type="percentile" val="50"/>
        <cfvo type="max"/>
        <color rgb="FFF8696B"/>
        <color rgb="FFFFEB84"/>
        <color rgb="FF63BE7B"/>
      </colorScale>
    </cfRule>
  </conditionalFormatting>
  <conditionalFormatting sqref="AE127">
    <cfRule type="colorScale" priority="7555">
      <colorScale>
        <cfvo type="min"/>
        <cfvo type="percentile" val="50"/>
        <cfvo type="max"/>
        <color rgb="FFF8696B"/>
        <color rgb="FFFFEB84"/>
        <color rgb="FF63BE7B"/>
      </colorScale>
    </cfRule>
  </conditionalFormatting>
  <conditionalFormatting sqref="AE127">
    <cfRule type="colorScale" priority="7554">
      <colorScale>
        <cfvo type="min"/>
        <cfvo type="percentile" val="50"/>
        <cfvo type="max"/>
        <color rgb="FFF8696B"/>
        <color rgb="FFFFEB84"/>
        <color rgb="FF63BE7B"/>
      </colorScale>
    </cfRule>
  </conditionalFormatting>
  <conditionalFormatting sqref="AE127">
    <cfRule type="colorScale" priority="7553">
      <colorScale>
        <cfvo type="min"/>
        <cfvo type="percentile" val="50"/>
        <cfvo type="max"/>
        <color rgb="FF63BE7B"/>
        <color rgb="FFFFEB84"/>
        <color rgb="FFF8696B"/>
      </colorScale>
    </cfRule>
  </conditionalFormatting>
  <conditionalFormatting sqref="AE127">
    <cfRule type="colorScale" priority="7550">
      <colorScale>
        <cfvo type="min"/>
        <cfvo type="max"/>
        <color rgb="FFFCFCFF"/>
        <color rgb="FFF8696B"/>
      </colorScale>
    </cfRule>
    <cfRule type="colorScale" priority="7552">
      <colorScale>
        <cfvo type="min"/>
        <cfvo type="percentile" val="50"/>
        <cfvo type="max"/>
        <color rgb="FF63BE7B"/>
        <color rgb="FFFFEB84"/>
        <color rgb="FFF8696B"/>
      </colorScale>
    </cfRule>
  </conditionalFormatting>
  <conditionalFormatting sqref="AE127">
    <cfRule type="colorScale" priority="7551">
      <colorScale>
        <cfvo type="min"/>
        <cfvo type="max"/>
        <color rgb="FFF8696B"/>
        <color rgb="FFFCFCFF"/>
      </colorScale>
    </cfRule>
  </conditionalFormatting>
  <conditionalFormatting sqref="AE109">
    <cfRule type="colorScale" priority="7549">
      <colorScale>
        <cfvo type="min"/>
        <cfvo type="percentile" val="50"/>
        <cfvo type="max"/>
        <color rgb="FFF8696B"/>
        <color rgb="FFFFEB84"/>
        <color rgb="FF63BE7B"/>
      </colorScale>
    </cfRule>
  </conditionalFormatting>
  <conditionalFormatting sqref="AE114">
    <cfRule type="colorScale" priority="7548">
      <colorScale>
        <cfvo type="min"/>
        <cfvo type="percentile" val="50"/>
        <cfvo type="max"/>
        <color rgb="FFF8696B"/>
        <color rgb="FFFFEB84"/>
        <color rgb="FF63BE7B"/>
      </colorScale>
    </cfRule>
  </conditionalFormatting>
  <conditionalFormatting sqref="AE119">
    <cfRule type="colorScale" priority="7547">
      <colorScale>
        <cfvo type="min"/>
        <cfvo type="percentile" val="50"/>
        <cfvo type="max"/>
        <color rgb="FFF8696B"/>
        <color rgb="FFFFEB84"/>
        <color rgb="FF63BE7B"/>
      </colorScale>
    </cfRule>
  </conditionalFormatting>
  <conditionalFormatting sqref="AE125">
    <cfRule type="colorScale" priority="7546">
      <colorScale>
        <cfvo type="min"/>
        <cfvo type="percentile" val="50"/>
        <cfvo type="max"/>
        <color rgb="FFF8696B"/>
        <color rgb="FFFFEB84"/>
        <color rgb="FF63BE7B"/>
      </colorScale>
    </cfRule>
  </conditionalFormatting>
  <conditionalFormatting sqref="AE125 AE109 AE114 AE119 AE127">
    <cfRule type="colorScale" priority="7545">
      <colorScale>
        <cfvo type="min"/>
        <cfvo type="max"/>
        <color rgb="FFFCFCFF"/>
        <color rgb="FFF8696B"/>
      </colorScale>
    </cfRule>
  </conditionalFormatting>
  <conditionalFormatting sqref="Y152 S168 AA152 Y157 AA157 S162 U162 W162 Y162 AA162 U168 W168 Y168 AA168">
    <cfRule type="colorScale" priority="7544">
      <colorScale>
        <cfvo type="min"/>
        <cfvo type="percentile" val="50"/>
        <cfvo type="max"/>
        <color rgb="FFF8696B"/>
        <color rgb="FFFFEB84"/>
        <color rgb="FF63BE7B"/>
      </colorScale>
    </cfRule>
  </conditionalFormatting>
  <conditionalFormatting sqref="AA162">
    <cfRule type="colorScale" priority="7543">
      <colorScale>
        <cfvo type="min"/>
        <cfvo type="percentile" val="50"/>
        <cfvo type="max"/>
        <color rgb="FFF8696B"/>
        <color rgb="FFFFEB84"/>
        <color rgb="FF63BE7B"/>
      </colorScale>
    </cfRule>
  </conditionalFormatting>
  <conditionalFormatting sqref="AA152 S168 Y152 Y157 AA157 S162 U162 W162 Y162 AA162 U168 W168 Y168 AA168">
    <cfRule type="colorScale" priority="7542">
      <colorScale>
        <cfvo type="min"/>
        <cfvo type="percentile" val="50"/>
        <cfvo type="max"/>
        <color rgb="FF63BE7B"/>
        <color rgb="FFFFEB84"/>
        <color rgb="FFF8696B"/>
      </colorScale>
    </cfRule>
  </conditionalFormatting>
  <conditionalFormatting sqref="S168 Y152 AA152 Y157 AA157 S162 U162 W162 Y162 AA162 U168 W168 Y168 AA168">
    <cfRule type="colorScale" priority="7539">
      <colorScale>
        <cfvo type="min"/>
        <cfvo type="max"/>
        <color rgb="FFFCFCFF"/>
        <color rgb="FFF8696B"/>
      </colorScale>
    </cfRule>
    <cfRule type="colorScale" priority="7541">
      <colorScale>
        <cfvo type="min"/>
        <cfvo type="percentile" val="50"/>
        <cfvo type="max"/>
        <color rgb="FF63BE7B"/>
        <color rgb="FFFFEB84"/>
        <color rgb="FFF8696B"/>
      </colorScale>
    </cfRule>
  </conditionalFormatting>
  <conditionalFormatting sqref="Y152 S168 AA152 Y157 AA157 S162 U162 W162 Y162 AA162 U168 W168 Y168 AA168">
    <cfRule type="colorScale" priority="7540">
      <colorScale>
        <cfvo type="min"/>
        <cfvo type="max"/>
        <color rgb="FFF8696B"/>
        <color rgb="FFFCFCFF"/>
      </colorScale>
    </cfRule>
  </conditionalFormatting>
  <conditionalFormatting sqref="W170">
    <cfRule type="colorScale" priority="7538">
      <colorScale>
        <cfvo type="min"/>
        <cfvo type="percentile" val="50"/>
        <cfvo type="max"/>
        <color rgb="FFF8696B"/>
        <color rgb="FFFFEB84"/>
        <color rgb="FF63BE7B"/>
      </colorScale>
    </cfRule>
  </conditionalFormatting>
  <conditionalFormatting sqref="W170">
    <cfRule type="colorScale" priority="7537">
      <colorScale>
        <cfvo type="min"/>
        <cfvo type="percentile" val="50"/>
        <cfvo type="max"/>
        <color rgb="FFF8696B"/>
        <color rgb="FFFFEB84"/>
        <color rgb="FF63BE7B"/>
      </colorScale>
    </cfRule>
  </conditionalFormatting>
  <conditionalFormatting sqref="W170">
    <cfRule type="colorScale" priority="7536">
      <colorScale>
        <cfvo type="min"/>
        <cfvo type="percentile" val="50"/>
        <cfvo type="max"/>
        <color rgb="FFF8696B"/>
        <color rgb="FFFFEB84"/>
        <color rgb="FF63BE7B"/>
      </colorScale>
    </cfRule>
  </conditionalFormatting>
  <conditionalFormatting sqref="W170">
    <cfRule type="colorScale" priority="7535">
      <colorScale>
        <cfvo type="min"/>
        <cfvo type="percentile" val="50"/>
        <cfvo type="max"/>
        <color rgb="FF63BE7B"/>
        <color rgb="FFFFEB84"/>
        <color rgb="FFF8696B"/>
      </colorScale>
    </cfRule>
  </conditionalFormatting>
  <conditionalFormatting sqref="W170">
    <cfRule type="colorScale" priority="7532">
      <colorScale>
        <cfvo type="min"/>
        <cfvo type="max"/>
        <color rgb="FFFCFCFF"/>
        <color rgb="FFF8696B"/>
      </colorScale>
    </cfRule>
    <cfRule type="colorScale" priority="7534">
      <colorScale>
        <cfvo type="min"/>
        <cfvo type="percentile" val="50"/>
        <cfvo type="max"/>
        <color rgb="FF63BE7B"/>
        <color rgb="FFFFEB84"/>
        <color rgb="FFF8696B"/>
      </colorScale>
    </cfRule>
  </conditionalFormatting>
  <conditionalFormatting sqref="W170">
    <cfRule type="colorScale" priority="7533">
      <colorScale>
        <cfvo type="min"/>
        <cfvo type="max"/>
        <color rgb="FFF8696B"/>
        <color rgb="FFFCFCFF"/>
      </colorScale>
    </cfRule>
  </conditionalFormatting>
  <conditionalFormatting sqref="Y170">
    <cfRule type="colorScale" priority="7531">
      <colorScale>
        <cfvo type="min"/>
        <cfvo type="percentile" val="50"/>
        <cfvo type="max"/>
        <color rgb="FFF8696B"/>
        <color rgb="FFFFEB84"/>
        <color rgb="FF63BE7B"/>
      </colorScale>
    </cfRule>
  </conditionalFormatting>
  <conditionalFormatting sqref="Y170">
    <cfRule type="colorScale" priority="7530">
      <colorScale>
        <cfvo type="min"/>
        <cfvo type="percentile" val="50"/>
        <cfvo type="max"/>
        <color rgb="FFF8696B"/>
        <color rgb="FFFFEB84"/>
        <color rgb="FF63BE7B"/>
      </colorScale>
    </cfRule>
  </conditionalFormatting>
  <conditionalFormatting sqref="Y170">
    <cfRule type="colorScale" priority="7529">
      <colorScale>
        <cfvo type="min"/>
        <cfvo type="percentile" val="50"/>
        <cfvo type="max"/>
        <color rgb="FFF8696B"/>
        <color rgb="FFFFEB84"/>
        <color rgb="FF63BE7B"/>
      </colorScale>
    </cfRule>
  </conditionalFormatting>
  <conditionalFormatting sqref="Y170">
    <cfRule type="colorScale" priority="7528">
      <colorScale>
        <cfvo type="min"/>
        <cfvo type="percentile" val="50"/>
        <cfvo type="max"/>
        <color rgb="FF63BE7B"/>
        <color rgb="FFFFEB84"/>
        <color rgb="FFF8696B"/>
      </colorScale>
    </cfRule>
  </conditionalFormatting>
  <conditionalFormatting sqref="Y170">
    <cfRule type="colorScale" priority="7525">
      <colorScale>
        <cfvo type="min"/>
        <cfvo type="max"/>
        <color rgb="FFFCFCFF"/>
        <color rgb="FFF8696B"/>
      </colorScale>
    </cfRule>
    <cfRule type="colorScale" priority="7527">
      <colorScale>
        <cfvo type="min"/>
        <cfvo type="percentile" val="50"/>
        <cfvo type="max"/>
        <color rgb="FF63BE7B"/>
        <color rgb="FFFFEB84"/>
        <color rgb="FFF8696B"/>
      </colorScale>
    </cfRule>
  </conditionalFormatting>
  <conditionalFormatting sqref="Y170">
    <cfRule type="colorScale" priority="7526">
      <colorScale>
        <cfvo type="min"/>
        <cfvo type="max"/>
        <color rgb="FFF8696B"/>
        <color rgb="FFFCFCFF"/>
      </colorScale>
    </cfRule>
  </conditionalFormatting>
  <conditionalFormatting sqref="AA170">
    <cfRule type="colorScale" priority="7524">
      <colorScale>
        <cfvo type="min"/>
        <cfvo type="percentile" val="50"/>
        <cfvo type="max"/>
        <color rgb="FFF8696B"/>
        <color rgb="FFFFEB84"/>
        <color rgb="FF63BE7B"/>
      </colorScale>
    </cfRule>
  </conditionalFormatting>
  <conditionalFormatting sqref="AA170">
    <cfRule type="colorScale" priority="7523">
      <colorScale>
        <cfvo type="min"/>
        <cfvo type="percentile" val="50"/>
        <cfvo type="max"/>
        <color rgb="FFF8696B"/>
        <color rgb="FFFFEB84"/>
        <color rgb="FF63BE7B"/>
      </colorScale>
    </cfRule>
  </conditionalFormatting>
  <conditionalFormatting sqref="AA170">
    <cfRule type="colorScale" priority="7522">
      <colorScale>
        <cfvo type="min"/>
        <cfvo type="percentile" val="50"/>
        <cfvo type="max"/>
        <color rgb="FFF8696B"/>
        <color rgb="FFFFEB84"/>
        <color rgb="FF63BE7B"/>
      </colorScale>
    </cfRule>
  </conditionalFormatting>
  <conditionalFormatting sqref="AA170">
    <cfRule type="colorScale" priority="7521">
      <colorScale>
        <cfvo type="min"/>
        <cfvo type="percentile" val="50"/>
        <cfvo type="max"/>
        <color rgb="FF63BE7B"/>
        <color rgb="FFFFEB84"/>
        <color rgb="FFF8696B"/>
      </colorScale>
    </cfRule>
  </conditionalFormatting>
  <conditionalFormatting sqref="AA170">
    <cfRule type="colorScale" priority="7518">
      <colorScale>
        <cfvo type="min"/>
        <cfvo type="max"/>
        <color rgb="FFFCFCFF"/>
        <color rgb="FFF8696B"/>
      </colorScale>
    </cfRule>
    <cfRule type="colorScale" priority="7520">
      <colorScale>
        <cfvo type="min"/>
        <cfvo type="percentile" val="50"/>
        <cfvo type="max"/>
        <color rgb="FF63BE7B"/>
        <color rgb="FFFFEB84"/>
        <color rgb="FFF8696B"/>
      </colorScale>
    </cfRule>
  </conditionalFormatting>
  <conditionalFormatting sqref="AA170">
    <cfRule type="colorScale" priority="7519">
      <colorScale>
        <cfvo type="min"/>
        <cfvo type="max"/>
        <color rgb="FFF8696B"/>
        <color rgb="FFFCFCFF"/>
      </colorScale>
    </cfRule>
  </conditionalFormatting>
  <conditionalFormatting sqref="Y152">
    <cfRule type="colorScale" priority="7517">
      <colorScale>
        <cfvo type="min"/>
        <cfvo type="percentile" val="50"/>
        <cfvo type="max"/>
        <color rgb="FFF8696B"/>
        <color rgb="FFFFEB84"/>
        <color rgb="FF63BE7B"/>
      </colorScale>
    </cfRule>
  </conditionalFormatting>
  <conditionalFormatting sqref="AA152">
    <cfRule type="colorScale" priority="7516">
      <colorScale>
        <cfvo type="min"/>
        <cfvo type="percentile" val="50"/>
        <cfvo type="max"/>
        <color rgb="FFF8696B"/>
        <color rgb="FFFFEB84"/>
        <color rgb="FF63BE7B"/>
      </colorScale>
    </cfRule>
  </conditionalFormatting>
  <conditionalFormatting sqref="Y157">
    <cfRule type="colorScale" priority="7515">
      <colorScale>
        <cfvo type="min"/>
        <cfvo type="percentile" val="50"/>
        <cfvo type="max"/>
        <color rgb="FFF8696B"/>
        <color rgb="FFFFEB84"/>
        <color rgb="FF63BE7B"/>
      </colorScale>
    </cfRule>
  </conditionalFormatting>
  <conditionalFormatting sqref="AA157">
    <cfRule type="colorScale" priority="7514">
      <colorScale>
        <cfvo type="min"/>
        <cfvo type="percentile" val="50"/>
        <cfvo type="max"/>
        <color rgb="FFF8696B"/>
        <color rgb="FFFFEB84"/>
        <color rgb="FF63BE7B"/>
      </colorScale>
    </cfRule>
  </conditionalFormatting>
  <conditionalFormatting sqref="S162">
    <cfRule type="colorScale" priority="7513">
      <colorScale>
        <cfvo type="min"/>
        <cfvo type="percentile" val="50"/>
        <cfvo type="max"/>
        <color rgb="FFF8696B"/>
        <color rgb="FFFFEB84"/>
        <color rgb="FF63BE7B"/>
      </colorScale>
    </cfRule>
  </conditionalFormatting>
  <conditionalFormatting sqref="U162">
    <cfRule type="colorScale" priority="7512">
      <colorScale>
        <cfvo type="min"/>
        <cfvo type="percentile" val="50"/>
        <cfvo type="max"/>
        <color rgb="FFF8696B"/>
        <color rgb="FFFFEB84"/>
        <color rgb="FF63BE7B"/>
      </colorScale>
    </cfRule>
  </conditionalFormatting>
  <conditionalFormatting sqref="W162">
    <cfRule type="colorScale" priority="7511">
      <colorScale>
        <cfvo type="min"/>
        <cfvo type="percentile" val="50"/>
        <cfvo type="max"/>
        <color rgb="FFF8696B"/>
        <color rgb="FFFFEB84"/>
        <color rgb="FF63BE7B"/>
      </colorScale>
    </cfRule>
  </conditionalFormatting>
  <conditionalFormatting sqref="Y162">
    <cfRule type="colorScale" priority="7510">
      <colorScale>
        <cfvo type="min"/>
        <cfvo type="percentile" val="50"/>
        <cfvo type="max"/>
        <color rgb="FFF8696B"/>
        <color rgb="FFFFEB84"/>
        <color rgb="FF63BE7B"/>
      </colorScale>
    </cfRule>
  </conditionalFormatting>
  <conditionalFormatting sqref="AA162">
    <cfRule type="colorScale" priority="7509">
      <colorScale>
        <cfvo type="min"/>
        <cfvo type="percentile" val="50"/>
        <cfvo type="max"/>
        <color rgb="FFF8696B"/>
        <color rgb="FFFFEB84"/>
        <color rgb="FF63BE7B"/>
      </colorScale>
    </cfRule>
  </conditionalFormatting>
  <conditionalFormatting sqref="S168">
    <cfRule type="colorScale" priority="7508">
      <colorScale>
        <cfvo type="min"/>
        <cfvo type="percentile" val="50"/>
        <cfvo type="max"/>
        <color rgb="FFF8696B"/>
        <color rgb="FFFFEB84"/>
        <color rgb="FF63BE7B"/>
      </colorScale>
    </cfRule>
  </conditionalFormatting>
  <conditionalFormatting sqref="U168">
    <cfRule type="colorScale" priority="7507">
      <colorScale>
        <cfvo type="min"/>
        <cfvo type="percentile" val="50"/>
        <cfvo type="max"/>
        <color rgb="FFF8696B"/>
        <color rgb="FFFFEB84"/>
        <color rgb="FF63BE7B"/>
      </colorScale>
    </cfRule>
  </conditionalFormatting>
  <conditionalFormatting sqref="W168">
    <cfRule type="colorScale" priority="7506">
      <colorScale>
        <cfvo type="min"/>
        <cfvo type="percentile" val="50"/>
        <cfvo type="max"/>
        <color rgb="FFF8696B"/>
        <color rgb="FFFFEB84"/>
        <color rgb="FF63BE7B"/>
      </colorScale>
    </cfRule>
  </conditionalFormatting>
  <conditionalFormatting sqref="Y168">
    <cfRule type="colorScale" priority="7505">
      <colorScale>
        <cfvo type="min"/>
        <cfvo type="percentile" val="50"/>
        <cfvo type="max"/>
        <color rgb="FFF8696B"/>
        <color rgb="FFFFEB84"/>
        <color rgb="FF63BE7B"/>
      </colorScale>
    </cfRule>
  </conditionalFormatting>
  <conditionalFormatting sqref="AA168">
    <cfRule type="colorScale" priority="7504">
      <colorScale>
        <cfvo type="min"/>
        <cfvo type="percentile" val="50"/>
        <cfvo type="max"/>
        <color rgb="FFF8696B"/>
        <color rgb="FFFFEB84"/>
        <color rgb="FF63BE7B"/>
      </colorScale>
    </cfRule>
  </conditionalFormatting>
  <conditionalFormatting sqref="AA152 S168 Y152 U147 S147 Y157 AA157 AA162 Y162 W162 U162 S162 U168 AA168 Y168 W168 W170 Y170 AA170">
    <cfRule type="colorScale" priority="7503">
      <colorScale>
        <cfvo type="min"/>
        <cfvo type="max"/>
        <color rgb="FFFCFCFF"/>
        <color rgb="FFF8696B"/>
      </colorScale>
    </cfRule>
  </conditionalFormatting>
  <conditionalFormatting sqref="AC157 AC168 AC152 AC162">
    <cfRule type="colorScale" priority="7502">
      <colorScale>
        <cfvo type="min"/>
        <cfvo type="percentile" val="50"/>
        <cfvo type="max"/>
        <color rgb="FFF8696B"/>
        <color rgb="FFFFEB84"/>
        <color rgb="FF63BE7B"/>
      </colorScale>
    </cfRule>
  </conditionalFormatting>
  <conditionalFormatting sqref="AC162">
    <cfRule type="colorScale" priority="7501">
      <colorScale>
        <cfvo type="min"/>
        <cfvo type="percentile" val="50"/>
        <cfvo type="max"/>
        <color rgb="FFF8696B"/>
        <color rgb="FFFFEB84"/>
        <color rgb="FF63BE7B"/>
      </colorScale>
    </cfRule>
  </conditionalFormatting>
  <conditionalFormatting sqref="AC152 AC168 AC157 AC162">
    <cfRule type="colorScale" priority="7500">
      <colorScale>
        <cfvo type="min"/>
        <cfvo type="percentile" val="50"/>
        <cfvo type="max"/>
        <color rgb="FF63BE7B"/>
        <color rgb="FFFFEB84"/>
        <color rgb="FFF8696B"/>
      </colorScale>
    </cfRule>
  </conditionalFormatting>
  <conditionalFormatting sqref="AC168 AC152 AC157 AC162">
    <cfRule type="colorScale" priority="7497">
      <colorScale>
        <cfvo type="min"/>
        <cfvo type="max"/>
        <color rgb="FFFCFCFF"/>
        <color rgb="FFF8696B"/>
      </colorScale>
    </cfRule>
    <cfRule type="colorScale" priority="7499">
      <colorScale>
        <cfvo type="min"/>
        <cfvo type="percentile" val="50"/>
        <cfvo type="max"/>
        <color rgb="FF63BE7B"/>
        <color rgb="FFFFEB84"/>
        <color rgb="FFF8696B"/>
      </colorScale>
    </cfRule>
  </conditionalFormatting>
  <conditionalFormatting sqref="AC157 AC168 AC152 AC162">
    <cfRule type="colorScale" priority="7498">
      <colorScale>
        <cfvo type="min"/>
        <cfvo type="max"/>
        <color rgb="FFF8696B"/>
        <color rgb="FFFCFCFF"/>
      </colorScale>
    </cfRule>
  </conditionalFormatting>
  <conditionalFormatting sqref="AC170">
    <cfRule type="colorScale" priority="7496">
      <colorScale>
        <cfvo type="min"/>
        <cfvo type="percentile" val="50"/>
        <cfvo type="max"/>
        <color rgb="FFF8696B"/>
        <color rgb="FFFFEB84"/>
        <color rgb="FF63BE7B"/>
      </colorScale>
    </cfRule>
  </conditionalFormatting>
  <conditionalFormatting sqref="AC170">
    <cfRule type="colorScale" priority="7495">
      <colorScale>
        <cfvo type="min"/>
        <cfvo type="percentile" val="50"/>
        <cfvo type="max"/>
        <color rgb="FFF8696B"/>
        <color rgb="FFFFEB84"/>
        <color rgb="FF63BE7B"/>
      </colorScale>
    </cfRule>
  </conditionalFormatting>
  <conditionalFormatting sqref="AC170">
    <cfRule type="colorScale" priority="7494">
      <colorScale>
        <cfvo type="min"/>
        <cfvo type="percentile" val="50"/>
        <cfvo type="max"/>
        <color rgb="FFF8696B"/>
        <color rgb="FFFFEB84"/>
        <color rgb="FF63BE7B"/>
      </colorScale>
    </cfRule>
  </conditionalFormatting>
  <conditionalFormatting sqref="AC170">
    <cfRule type="colorScale" priority="7493">
      <colorScale>
        <cfvo type="min"/>
        <cfvo type="percentile" val="50"/>
        <cfvo type="max"/>
        <color rgb="FF63BE7B"/>
        <color rgb="FFFFEB84"/>
        <color rgb="FFF8696B"/>
      </colorScale>
    </cfRule>
  </conditionalFormatting>
  <conditionalFormatting sqref="AC170">
    <cfRule type="colorScale" priority="7490">
      <colorScale>
        <cfvo type="min"/>
        <cfvo type="max"/>
        <color rgb="FFFCFCFF"/>
        <color rgb="FFF8696B"/>
      </colorScale>
    </cfRule>
    <cfRule type="colorScale" priority="7492">
      <colorScale>
        <cfvo type="min"/>
        <cfvo type="percentile" val="50"/>
        <cfvo type="max"/>
        <color rgb="FF63BE7B"/>
        <color rgb="FFFFEB84"/>
        <color rgb="FFF8696B"/>
      </colorScale>
    </cfRule>
  </conditionalFormatting>
  <conditionalFormatting sqref="AC170">
    <cfRule type="colorScale" priority="7491">
      <colorScale>
        <cfvo type="min"/>
        <cfvo type="max"/>
        <color rgb="FFF8696B"/>
        <color rgb="FFFCFCFF"/>
      </colorScale>
    </cfRule>
  </conditionalFormatting>
  <conditionalFormatting sqref="AC152">
    <cfRule type="colorScale" priority="7489">
      <colorScale>
        <cfvo type="min"/>
        <cfvo type="percentile" val="50"/>
        <cfvo type="max"/>
        <color rgb="FFF8696B"/>
        <color rgb="FFFFEB84"/>
        <color rgb="FF63BE7B"/>
      </colorScale>
    </cfRule>
  </conditionalFormatting>
  <conditionalFormatting sqref="AC157">
    <cfRule type="colorScale" priority="7488">
      <colorScale>
        <cfvo type="min"/>
        <cfvo type="percentile" val="50"/>
        <cfvo type="max"/>
        <color rgb="FFF8696B"/>
        <color rgb="FFFFEB84"/>
        <color rgb="FF63BE7B"/>
      </colorScale>
    </cfRule>
  </conditionalFormatting>
  <conditionalFormatting sqref="AC162">
    <cfRule type="colorScale" priority="7487">
      <colorScale>
        <cfvo type="min"/>
        <cfvo type="percentile" val="50"/>
        <cfvo type="max"/>
        <color rgb="FFF8696B"/>
        <color rgb="FFFFEB84"/>
        <color rgb="FF63BE7B"/>
      </colorScale>
    </cfRule>
  </conditionalFormatting>
  <conditionalFormatting sqref="AC168">
    <cfRule type="colorScale" priority="7486">
      <colorScale>
        <cfvo type="min"/>
        <cfvo type="percentile" val="50"/>
        <cfvo type="max"/>
        <color rgb="FFF8696B"/>
        <color rgb="FFFFEB84"/>
        <color rgb="FF63BE7B"/>
      </colorScale>
    </cfRule>
  </conditionalFormatting>
  <conditionalFormatting sqref="AC152 AC168 AC157 AC162 AC170">
    <cfRule type="colorScale" priority="7485">
      <colorScale>
        <cfvo type="min"/>
        <cfvo type="max"/>
        <color rgb="FFFCFCFF"/>
        <color rgb="FFF8696B"/>
      </colorScale>
    </cfRule>
  </conditionalFormatting>
  <conditionalFormatting sqref="AE152 AE168 AE157 AE162">
    <cfRule type="colorScale" priority="7484">
      <colorScale>
        <cfvo type="min"/>
        <cfvo type="percentile" val="50"/>
        <cfvo type="max"/>
        <color rgb="FFF8696B"/>
        <color rgb="FFFFEB84"/>
        <color rgb="FF63BE7B"/>
      </colorScale>
    </cfRule>
  </conditionalFormatting>
  <conditionalFormatting sqref="AE162">
    <cfRule type="colorScale" priority="7483">
      <colorScale>
        <cfvo type="min"/>
        <cfvo type="percentile" val="50"/>
        <cfvo type="max"/>
        <color rgb="FFF8696B"/>
        <color rgb="FFFFEB84"/>
        <color rgb="FF63BE7B"/>
      </colorScale>
    </cfRule>
  </conditionalFormatting>
  <conditionalFormatting sqref="AE157 AE168 AE152 AE162">
    <cfRule type="colorScale" priority="7482">
      <colorScale>
        <cfvo type="min"/>
        <cfvo type="percentile" val="50"/>
        <cfvo type="max"/>
        <color rgb="FF63BE7B"/>
        <color rgb="FFFFEB84"/>
        <color rgb="FFF8696B"/>
      </colorScale>
    </cfRule>
  </conditionalFormatting>
  <conditionalFormatting sqref="AE168 AE152 AE157 AE162">
    <cfRule type="colorScale" priority="7479">
      <colorScale>
        <cfvo type="min"/>
        <cfvo type="max"/>
        <color rgb="FFFCFCFF"/>
        <color rgb="FFF8696B"/>
      </colorScale>
    </cfRule>
    <cfRule type="colorScale" priority="7481">
      <colorScale>
        <cfvo type="min"/>
        <cfvo type="percentile" val="50"/>
        <cfvo type="max"/>
        <color rgb="FF63BE7B"/>
        <color rgb="FFFFEB84"/>
        <color rgb="FFF8696B"/>
      </colorScale>
    </cfRule>
  </conditionalFormatting>
  <conditionalFormatting sqref="AE152 AE168 AE157 AE162">
    <cfRule type="colorScale" priority="7480">
      <colorScale>
        <cfvo type="min"/>
        <cfvo type="max"/>
        <color rgb="FFF8696B"/>
        <color rgb="FFFCFCFF"/>
      </colorScale>
    </cfRule>
  </conditionalFormatting>
  <conditionalFormatting sqref="AE170">
    <cfRule type="colorScale" priority="7478">
      <colorScale>
        <cfvo type="min"/>
        <cfvo type="percentile" val="50"/>
        <cfvo type="max"/>
        <color rgb="FFF8696B"/>
        <color rgb="FFFFEB84"/>
        <color rgb="FF63BE7B"/>
      </colorScale>
    </cfRule>
  </conditionalFormatting>
  <conditionalFormatting sqref="AE170">
    <cfRule type="colorScale" priority="7477">
      <colorScale>
        <cfvo type="min"/>
        <cfvo type="percentile" val="50"/>
        <cfvo type="max"/>
        <color rgb="FFF8696B"/>
        <color rgb="FFFFEB84"/>
        <color rgb="FF63BE7B"/>
      </colorScale>
    </cfRule>
  </conditionalFormatting>
  <conditionalFormatting sqref="AE170">
    <cfRule type="colorScale" priority="7476">
      <colorScale>
        <cfvo type="min"/>
        <cfvo type="percentile" val="50"/>
        <cfvo type="max"/>
        <color rgb="FFF8696B"/>
        <color rgb="FFFFEB84"/>
        <color rgb="FF63BE7B"/>
      </colorScale>
    </cfRule>
  </conditionalFormatting>
  <conditionalFormatting sqref="AE170">
    <cfRule type="colorScale" priority="7475">
      <colorScale>
        <cfvo type="min"/>
        <cfvo type="percentile" val="50"/>
        <cfvo type="max"/>
        <color rgb="FF63BE7B"/>
        <color rgb="FFFFEB84"/>
        <color rgb="FFF8696B"/>
      </colorScale>
    </cfRule>
  </conditionalFormatting>
  <conditionalFormatting sqref="AE170">
    <cfRule type="colorScale" priority="7472">
      <colorScale>
        <cfvo type="min"/>
        <cfvo type="max"/>
        <color rgb="FFFCFCFF"/>
        <color rgb="FFF8696B"/>
      </colorScale>
    </cfRule>
    <cfRule type="colorScale" priority="7474">
      <colorScale>
        <cfvo type="min"/>
        <cfvo type="percentile" val="50"/>
        <cfvo type="max"/>
        <color rgb="FF63BE7B"/>
        <color rgb="FFFFEB84"/>
        <color rgb="FFF8696B"/>
      </colorScale>
    </cfRule>
  </conditionalFormatting>
  <conditionalFormatting sqref="AE170">
    <cfRule type="colorScale" priority="7473">
      <colorScale>
        <cfvo type="min"/>
        <cfvo type="max"/>
        <color rgb="FFF8696B"/>
        <color rgb="FFFCFCFF"/>
      </colorScale>
    </cfRule>
  </conditionalFormatting>
  <conditionalFormatting sqref="AE152">
    <cfRule type="colorScale" priority="7471">
      <colorScale>
        <cfvo type="min"/>
        <cfvo type="percentile" val="50"/>
        <cfvo type="max"/>
        <color rgb="FFF8696B"/>
        <color rgb="FFFFEB84"/>
        <color rgb="FF63BE7B"/>
      </colorScale>
    </cfRule>
  </conditionalFormatting>
  <conditionalFormatting sqref="AE157">
    <cfRule type="colorScale" priority="7470">
      <colorScale>
        <cfvo type="min"/>
        <cfvo type="percentile" val="50"/>
        <cfvo type="max"/>
        <color rgb="FFF8696B"/>
        <color rgb="FFFFEB84"/>
        <color rgb="FF63BE7B"/>
      </colorScale>
    </cfRule>
  </conditionalFormatting>
  <conditionalFormatting sqref="AE162">
    <cfRule type="colorScale" priority="7469">
      <colorScale>
        <cfvo type="min"/>
        <cfvo type="percentile" val="50"/>
        <cfvo type="max"/>
        <color rgb="FFF8696B"/>
        <color rgb="FFFFEB84"/>
        <color rgb="FF63BE7B"/>
      </colorScale>
    </cfRule>
  </conditionalFormatting>
  <conditionalFormatting sqref="AE168">
    <cfRule type="colorScale" priority="7468">
      <colorScale>
        <cfvo type="min"/>
        <cfvo type="percentile" val="50"/>
        <cfvo type="max"/>
        <color rgb="FFF8696B"/>
        <color rgb="FFFFEB84"/>
        <color rgb="FF63BE7B"/>
      </colorScale>
    </cfRule>
  </conditionalFormatting>
  <conditionalFormatting sqref="AE152 AE168 AE157 AE162 AE170">
    <cfRule type="colorScale" priority="7467">
      <colorScale>
        <cfvo type="min"/>
        <cfvo type="max"/>
        <color rgb="FFFCFCFF"/>
        <color rgb="FFF8696B"/>
      </colorScale>
    </cfRule>
  </conditionalFormatting>
  <conditionalFormatting sqref="S185 S211 U185 W185 Y185 AA195 AA200 Y205 AA205 U211 Y211 AA211">
    <cfRule type="colorScale" priority="7466">
      <colorScale>
        <cfvo type="min"/>
        <cfvo type="percentile" val="50"/>
        <cfvo type="max"/>
        <color rgb="FFF8696B"/>
        <color rgb="FFFFEB84"/>
        <color rgb="FF63BE7B"/>
      </colorScale>
    </cfRule>
  </conditionalFormatting>
  <conditionalFormatting sqref="AA205">
    <cfRule type="colorScale" priority="7465">
      <colorScale>
        <cfvo type="min"/>
        <cfvo type="percentile" val="50"/>
        <cfvo type="max"/>
        <color rgb="FFF8696B"/>
        <color rgb="FFFFEB84"/>
        <color rgb="FF63BE7B"/>
      </colorScale>
    </cfRule>
  </conditionalFormatting>
  <conditionalFormatting sqref="U185 S185 W185 Y185">
    <cfRule type="colorScale" priority="7464">
      <colorScale>
        <cfvo type="min"/>
        <cfvo type="percentile" val="50"/>
        <cfvo type="max"/>
        <color rgb="FFF8696B"/>
        <color rgb="FFFFEB84"/>
        <color rgb="FF63BE7B"/>
      </colorScale>
    </cfRule>
  </conditionalFormatting>
  <conditionalFormatting sqref="S185 S211 U185 W185 Y185 AA195 AA200 Y205 AA205 U211 Y211 AA211">
    <cfRule type="colorScale" priority="7463">
      <colorScale>
        <cfvo type="min"/>
        <cfvo type="percentile" val="50"/>
        <cfvo type="max"/>
        <color rgb="FF63BE7B"/>
        <color rgb="FFFFEB84"/>
        <color rgb="FFF8696B"/>
      </colorScale>
    </cfRule>
  </conditionalFormatting>
  <conditionalFormatting sqref="S211 S185 U185 W185 Y185 AA195 AA200 Y205 AA205 U211 Y211 AA211">
    <cfRule type="colorScale" priority="7460">
      <colorScale>
        <cfvo type="min"/>
        <cfvo type="max"/>
        <color rgb="FFFCFCFF"/>
        <color rgb="FFF8696B"/>
      </colorScale>
    </cfRule>
    <cfRule type="colorScale" priority="7462">
      <colorScale>
        <cfvo type="min"/>
        <cfvo type="percentile" val="50"/>
        <cfvo type="max"/>
        <color rgb="FF63BE7B"/>
        <color rgb="FFFFEB84"/>
        <color rgb="FFF8696B"/>
      </colorScale>
    </cfRule>
  </conditionalFormatting>
  <conditionalFormatting sqref="S185 S211 U185 W185 Y185 AA195 AA200 Y205 AA205 U211 Y211 AA211">
    <cfRule type="colorScale" priority="7461">
      <colorScale>
        <cfvo type="min"/>
        <cfvo type="max"/>
        <color rgb="FFF8696B"/>
        <color rgb="FFFCFCFF"/>
      </colorScale>
    </cfRule>
  </conditionalFormatting>
  <conditionalFormatting sqref="W213">
    <cfRule type="colorScale" priority="7459">
      <colorScale>
        <cfvo type="min"/>
        <cfvo type="percentile" val="50"/>
        <cfvo type="max"/>
        <color rgb="FFF8696B"/>
        <color rgb="FFFFEB84"/>
        <color rgb="FF63BE7B"/>
      </colorScale>
    </cfRule>
  </conditionalFormatting>
  <conditionalFormatting sqref="W213">
    <cfRule type="colorScale" priority="7458">
      <colorScale>
        <cfvo type="min"/>
        <cfvo type="percentile" val="50"/>
        <cfvo type="max"/>
        <color rgb="FFF8696B"/>
        <color rgb="FFFFEB84"/>
        <color rgb="FF63BE7B"/>
      </colorScale>
    </cfRule>
  </conditionalFormatting>
  <conditionalFormatting sqref="W213">
    <cfRule type="colorScale" priority="7457">
      <colorScale>
        <cfvo type="min"/>
        <cfvo type="percentile" val="50"/>
        <cfvo type="max"/>
        <color rgb="FFF8696B"/>
        <color rgb="FFFFEB84"/>
        <color rgb="FF63BE7B"/>
      </colorScale>
    </cfRule>
  </conditionalFormatting>
  <conditionalFormatting sqref="W213">
    <cfRule type="colorScale" priority="7456">
      <colorScale>
        <cfvo type="min"/>
        <cfvo type="percentile" val="50"/>
        <cfvo type="max"/>
        <color rgb="FF63BE7B"/>
        <color rgb="FFFFEB84"/>
        <color rgb="FFF8696B"/>
      </colorScale>
    </cfRule>
  </conditionalFormatting>
  <conditionalFormatting sqref="W213">
    <cfRule type="colorScale" priority="7453">
      <colorScale>
        <cfvo type="min"/>
        <cfvo type="max"/>
        <color rgb="FFFCFCFF"/>
        <color rgb="FFF8696B"/>
      </colorScale>
    </cfRule>
    <cfRule type="colorScale" priority="7455">
      <colorScale>
        <cfvo type="min"/>
        <cfvo type="percentile" val="50"/>
        <cfvo type="max"/>
        <color rgb="FF63BE7B"/>
        <color rgb="FFFFEB84"/>
        <color rgb="FFF8696B"/>
      </colorScale>
    </cfRule>
  </conditionalFormatting>
  <conditionalFormatting sqref="W213">
    <cfRule type="colorScale" priority="7454">
      <colorScale>
        <cfvo type="min"/>
        <cfvo type="max"/>
        <color rgb="FFF8696B"/>
        <color rgb="FFFCFCFF"/>
      </colorScale>
    </cfRule>
  </conditionalFormatting>
  <conditionalFormatting sqref="Y213">
    <cfRule type="colorScale" priority="7452">
      <colorScale>
        <cfvo type="min"/>
        <cfvo type="percentile" val="50"/>
        <cfvo type="max"/>
        <color rgb="FFF8696B"/>
        <color rgb="FFFFEB84"/>
        <color rgb="FF63BE7B"/>
      </colorScale>
    </cfRule>
  </conditionalFormatting>
  <conditionalFormatting sqref="Y213">
    <cfRule type="colorScale" priority="7451">
      <colorScale>
        <cfvo type="min"/>
        <cfvo type="percentile" val="50"/>
        <cfvo type="max"/>
        <color rgb="FFF8696B"/>
        <color rgb="FFFFEB84"/>
        <color rgb="FF63BE7B"/>
      </colorScale>
    </cfRule>
  </conditionalFormatting>
  <conditionalFormatting sqref="Y213">
    <cfRule type="colorScale" priority="7450">
      <colorScale>
        <cfvo type="min"/>
        <cfvo type="percentile" val="50"/>
        <cfvo type="max"/>
        <color rgb="FFF8696B"/>
        <color rgb="FFFFEB84"/>
        <color rgb="FF63BE7B"/>
      </colorScale>
    </cfRule>
  </conditionalFormatting>
  <conditionalFormatting sqref="Y213">
    <cfRule type="colorScale" priority="7449">
      <colorScale>
        <cfvo type="min"/>
        <cfvo type="percentile" val="50"/>
        <cfvo type="max"/>
        <color rgb="FF63BE7B"/>
        <color rgb="FFFFEB84"/>
        <color rgb="FFF8696B"/>
      </colorScale>
    </cfRule>
  </conditionalFormatting>
  <conditionalFormatting sqref="Y213">
    <cfRule type="colorScale" priority="7446">
      <colorScale>
        <cfvo type="min"/>
        <cfvo type="max"/>
        <color rgb="FFFCFCFF"/>
        <color rgb="FFF8696B"/>
      </colorScale>
    </cfRule>
    <cfRule type="colorScale" priority="7448">
      <colorScale>
        <cfvo type="min"/>
        <cfvo type="percentile" val="50"/>
        <cfvo type="max"/>
        <color rgb="FF63BE7B"/>
        <color rgb="FFFFEB84"/>
        <color rgb="FFF8696B"/>
      </colorScale>
    </cfRule>
  </conditionalFormatting>
  <conditionalFormatting sqref="Y213">
    <cfRule type="colorScale" priority="7447">
      <colorScale>
        <cfvo type="min"/>
        <cfvo type="max"/>
        <color rgb="FFF8696B"/>
        <color rgb="FFFCFCFF"/>
      </colorScale>
    </cfRule>
  </conditionalFormatting>
  <conditionalFormatting sqref="AA213">
    <cfRule type="colorScale" priority="7445">
      <colorScale>
        <cfvo type="min"/>
        <cfvo type="percentile" val="50"/>
        <cfvo type="max"/>
        <color rgb="FFF8696B"/>
        <color rgb="FFFFEB84"/>
        <color rgb="FF63BE7B"/>
      </colorScale>
    </cfRule>
  </conditionalFormatting>
  <conditionalFormatting sqref="AA213">
    <cfRule type="colorScale" priority="7444">
      <colorScale>
        <cfvo type="min"/>
        <cfvo type="percentile" val="50"/>
        <cfvo type="max"/>
        <color rgb="FFF8696B"/>
        <color rgb="FFFFEB84"/>
        <color rgb="FF63BE7B"/>
      </colorScale>
    </cfRule>
  </conditionalFormatting>
  <conditionalFormatting sqref="AA213">
    <cfRule type="colorScale" priority="7443">
      <colorScale>
        <cfvo type="min"/>
        <cfvo type="percentile" val="50"/>
        <cfvo type="max"/>
        <color rgb="FFF8696B"/>
        <color rgb="FFFFEB84"/>
        <color rgb="FF63BE7B"/>
      </colorScale>
    </cfRule>
  </conditionalFormatting>
  <conditionalFormatting sqref="AA213">
    <cfRule type="colorScale" priority="7442">
      <colorScale>
        <cfvo type="min"/>
        <cfvo type="percentile" val="50"/>
        <cfvo type="max"/>
        <color rgb="FF63BE7B"/>
        <color rgb="FFFFEB84"/>
        <color rgb="FFF8696B"/>
      </colorScale>
    </cfRule>
  </conditionalFormatting>
  <conditionalFormatting sqref="AA213">
    <cfRule type="colorScale" priority="7439">
      <colorScale>
        <cfvo type="min"/>
        <cfvo type="max"/>
        <color rgb="FFFCFCFF"/>
        <color rgb="FFF8696B"/>
      </colorScale>
    </cfRule>
    <cfRule type="colorScale" priority="7441">
      <colorScale>
        <cfvo type="min"/>
        <cfvo type="percentile" val="50"/>
        <cfvo type="max"/>
        <color rgb="FF63BE7B"/>
        <color rgb="FFFFEB84"/>
        <color rgb="FFF8696B"/>
      </colorScale>
    </cfRule>
  </conditionalFormatting>
  <conditionalFormatting sqref="AA213">
    <cfRule type="colorScale" priority="7440">
      <colorScale>
        <cfvo type="min"/>
        <cfvo type="max"/>
        <color rgb="FFF8696B"/>
        <color rgb="FFFCFCFF"/>
      </colorScale>
    </cfRule>
  </conditionalFormatting>
  <conditionalFormatting sqref="AA195">
    <cfRule type="colorScale" priority="7438">
      <colorScale>
        <cfvo type="min"/>
        <cfvo type="percentile" val="50"/>
        <cfvo type="max"/>
        <color rgb="FFF8696B"/>
        <color rgb="FFFFEB84"/>
        <color rgb="FF63BE7B"/>
      </colorScale>
    </cfRule>
  </conditionalFormatting>
  <conditionalFormatting sqref="AA200">
    <cfRule type="colorScale" priority="7437">
      <colorScale>
        <cfvo type="min"/>
        <cfvo type="percentile" val="50"/>
        <cfvo type="max"/>
        <color rgb="FFF8696B"/>
        <color rgb="FFFFEB84"/>
        <color rgb="FF63BE7B"/>
      </colorScale>
    </cfRule>
  </conditionalFormatting>
  <conditionalFormatting sqref="Y205">
    <cfRule type="colorScale" priority="7436">
      <colorScale>
        <cfvo type="min"/>
        <cfvo type="percentile" val="50"/>
        <cfvo type="max"/>
        <color rgb="FFF8696B"/>
        <color rgb="FFFFEB84"/>
        <color rgb="FF63BE7B"/>
      </colorScale>
    </cfRule>
  </conditionalFormatting>
  <conditionalFormatting sqref="AA205">
    <cfRule type="colorScale" priority="7435">
      <colorScale>
        <cfvo type="min"/>
        <cfvo type="percentile" val="50"/>
        <cfvo type="max"/>
        <color rgb="FFF8696B"/>
        <color rgb="FFFFEB84"/>
        <color rgb="FF63BE7B"/>
      </colorScale>
    </cfRule>
  </conditionalFormatting>
  <conditionalFormatting sqref="S211">
    <cfRule type="colorScale" priority="7434">
      <colorScale>
        <cfvo type="min"/>
        <cfvo type="percentile" val="50"/>
        <cfvo type="max"/>
        <color rgb="FFF8696B"/>
        <color rgb="FFFFEB84"/>
        <color rgb="FF63BE7B"/>
      </colorScale>
    </cfRule>
  </conditionalFormatting>
  <conditionalFormatting sqref="U211">
    <cfRule type="colorScale" priority="7433">
      <colorScale>
        <cfvo type="min"/>
        <cfvo type="percentile" val="50"/>
        <cfvo type="max"/>
        <color rgb="FFF8696B"/>
        <color rgb="FFFFEB84"/>
        <color rgb="FF63BE7B"/>
      </colorScale>
    </cfRule>
  </conditionalFormatting>
  <conditionalFormatting sqref="Y211">
    <cfRule type="colorScale" priority="7432">
      <colorScale>
        <cfvo type="min"/>
        <cfvo type="percentile" val="50"/>
        <cfvo type="max"/>
        <color rgb="FFF8696B"/>
        <color rgb="FFFFEB84"/>
        <color rgb="FF63BE7B"/>
      </colorScale>
    </cfRule>
  </conditionalFormatting>
  <conditionalFormatting sqref="AA211">
    <cfRule type="colorScale" priority="7431">
      <colorScale>
        <cfvo type="min"/>
        <cfvo type="percentile" val="50"/>
        <cfvo type="max"/>
        <color rgb="FFF8696B"/>
        <color rgb="FFFFEB84"/>
        <color rgb="FF63BE7B"/>
      </colorScale>
    </cfRule>
  </conditionalFormatting>
  <conditionalFormatting sqref="S185 S211 U185 W185 Y185 AA195 U190 S190 AA200 AA205 Y205 U211 AA211 Y211 W213 Y213 AA213">
    <cfRule type="colorScale" priority="7430">
      <colorScale>
        <cfvo type="min"/>
        <cfvo type="max"/>
        <color rgb="FFFCFCFF"/>
        <color rgb="FFF8696B"/>
      </colorScale>
    </cfRule>
  </conditionalFormatting>
  <conditionalFormatting sqref="AC200 AC211 AC195 AC205">
    <cfRule type="colorScale" priority="7429">
      <colorScale>
        <cfvo type="min"/>
        <cfvo type="percentile" val="50"/>
        <cfvo type="max"/>
        <color rgb="FFF8696B"/>
        <color rgb="FFFFEB84"/>
        <color rgb="FF63BE7B"/>
      </colorScale>
    </cfRule>
  </conditionalFormatting>
  <conditionalFormatting sqref="AC205">
    <cfRule type="colorScale" priority="7428">
      <colorScale>
        <cfvo type="min"/>
        <cfvo type="percentile" val="50"/>
        <cfvo type="max"/>
        <color rgb="FFF8696B"/>
        <color rgb="FFFFEB84"/>
        <color rgb="FF63BE7B"/>
      </colorScale>
    </cfRule>
  </conditionalFormatting>
  <conditionalFormatting sqref="AC200 AC211 AC195 AC205">
    <cfRule type="colorScale" priority="7427">
      <colorScale>
        <cfvo type="min"/>
        <cfvo type="percentile" val="50"/>
        <cfvo type="max"/>
        <color rgb="FF63BE7B"/>
        <color rgb="FFFFEB84"/>
        <color rgb="FFF8696B"/>
      </colorScale>
    </cfRule>
  </conditionalFormatting>
  <conditionalFormatting sqref="AC211 AC195 AC200 AC205">
    <cfRule type="colorScale" priority="7424">
      <colorScale>
        <cfvo type="min"/>
        <cfvo type="max"/>
        <color rgb="FFFCFCFF"/>
        <color rgb="FFF8696B"/>
      </colorScale>
    </cfRule>
    <cfRule type="colorScale" priority="7426">
      <colorScale>
        <cfvo type="min"/>
        <cfvo type="percentile" val="50"/>
        <cfvo type="max"/>
        <color rgb="FF63BE7B"/>
        <color rgb="FFFFEB84"/>
        <color rgb="FFF8696B"/>
      </colorScale>
    </cfRule>
  </conditionalFormatting>
  <conditionalFormatting sqref="AC200 AC211 AC195 AC205">
    <cfRule type="colorScale" priority="7425">
      <colorScale>
        <cfvo type="min"/>
        <cfvo type="max"/>
        <color rgb="FFF8696B"/>
        <color rgb="FFFCFCFF"/>
      </colorScale>
    </cfRule>
  </conditionalFormatting>
  <conditionalFormatting sqref="AC213">
    <cfRule type="colorScale" priority="7423">
      <colorScale>
        <cfvo type="min"/>
        <cfvo type="percentile" val="50"/>
        <cfvo type="max"/>
        <color rgb="FFF8696B"/>
        <color rgb="FFFFEB84"/>
        <color rgb="FF63BE7B"/>
      </colorScale>
    </cfRule>
  </conditionalFormatting>
  <conditionalFormatting sqref="AC213">
    <cfRule type="colorScale" priority="7422">
      <colorScale>
        <cfvo type="min"/>
        <cfvo type="percentile" val="50"/>
        <cfvo type="max"/>
        <color rgb="FFF8696B"/>
        <color rgb="FFFFEB84"/>
        <color rgb="FF63BE7B"/>
      </colorScale>
    </cfRule>
  </conditionalFormatting>
  <conditionalFormatting sqref="AC213">
    <cfRule type="colorScale" priority="7421">
      <colorScale>
        <cfvo type="min"/>
        <cfvo type="percentile" val="50"/>
        <cfvo type="max"/>
        <color rgb="FFF8696B"/>
        <color rgb="FFFFEB84"/>
        <color rgb="FF63BE7B"/>
      </colorScale>
    </cfRule>
  </conditionalFormatting>
  <conditionalFormatting sqref="AC213">
    <cfRule type="colorScale" priority="7420">
      <colorScale>
        <cfvo type="min"/>
        <cfvo type="percentile" val="50"/>
        <cfvo type="max"/>
        <color rgb="FF63BE7B"/>
        <color rgb="FFFFEB84"/>
        <color rgb="FFF8696B"/>
      </colorScale>
    </cfRule>
  </conditionalFormatting>
  <conditionalFormatting sqref="AC213">
    <cfRule type="colorScale" priority="7417">
      <colorScale>
        <cfvo type="min"/>
        <cfvo type="max"/>
        <color rgb="FFFCFCFF"/>
        <color rgb="FFF8696B"/>
      </colorScale>
    </cfRule>
    <cfRule type="colorScale" priority="7419">
      <colorScale>
        <cfvo type="min"/>
        <cfvo type="percentile" val="50"/>
        <cfvo type="max"/>
        <color rgb="FF63BE7B"/>
        <color rgb="FFFFEB84"/>
        <color rgb="FFF8696B"/>
      </colorScale>
    </cfRule>
  </conditionalFormatting>
  <conditionalFormatting sqref="AC213">
    <cfRule type="colorScale" priority="7418">
      <colorScale>
        <cfvo type="min"/>
        <cfvo type="max"/>
        <color rgb="FFF8696B"/>
        <color rgb="FFFCFCFF"/>
      </colorScale>
    </cfRule>
  </conditionalFormatting>
  <conditionalFormatting sqref="AC195">
    <cfRule type="colorScale" priority="7416">
      <colorScale>
        <cfvo type="min"/>
        <cfvo type="percentile" val="50"/>
        <cfvo type="max"/>
        <color rgb="FFF8696B"/>
        <color rgb="FFFFEB84"/>
        <color rgb="FF63BE7B"/>
      </colorScale>
    </cfRule>
  </conditionalFormatting>
  <conditionalFormatting sqref="AC200">
    <cfRule type="colorScale" priority="7415">
      <colorScale>
        <cfvo type="min"/>
        <cfvo type="percentile" val="50"/>
        <cfvo type="max"/>
        <color rgb="FFF8696B"/>
        <color rgb="FFFFEB84"/>
        <color rgb="FF63BE7B"/>
      </colorScale>
    </cfRule>
  </conditionalFormatting>
  <conditionalFormatting sqref="AC205">
    <cfRule type="colorScale" priority="7414">
      <colorScale>
        <cfvo type="min"/>
        <cfvo type="percentile" val="50"/>
        <cfvo type="max"/>
        <color rgb="FFF8696B"/>
        <color rgb="FFFFEB84"/>
        <color rgb="FF63BE7B"/>
      </colorScale>
    </cfRule>
  </conditionalFormatting>
  <conditionalFormatting sqref="AC211">
    <cfRule type="colorScale" priority="7413">
      <colorScale>
        <cfvo type="min"/>
        <cfvo type="percentile" val="50"/>
        <cfvo type="max"/>
        <color rgb="FFF8696B"/>
        <color rgb="FFFFEB84"/>
        <color rgb="FF63BE7B"/>
      </colorScale>
    </cfRule>
  </conditionalFormatting>
  <conditionalFormatting sqref="AC200 AC211 AC195 AC205 AC213">
    <cfRule type="colorScale" priority="7412">
      <colorScale>
        <cfvo type="min"/>
        <cfvo type="max"/>
        <color rgb="FFFCFCFF"/>
        <color rgb="FFF8696B"/>
      </colorScale>
    </cfRule>
  </conditionalFormatting>
  <conditionalFormatting sqref="AE200 AE211 AE195 AE205">
    <cfRule type="colorScale" priority="7411">
      <colorScale>
        <cfvo type="min"/>
        <cfvo type="percentile" val="50"/>
        <cfvo type="max"/>
        <color rgb="FFF8696B"/>
        <color rgb="FFFFEB84"/>
        <color rgb="FF63BE7B"/>
      </colorScale>
    </cfRule>
  </conditionalFormatting>
  <conditionalFormatting sqref="AE205">
    <cfRule type="colorScale" priority="7410">
      <colorScale>
        <cfvo type="min"/>
        <cfvo type="percentile" val="50"/>
        <cfvo type="max"/>
        <color rgb="FFF8696B"/>
        <color rgb="FFFFEB84"/>
        <color rgb="FF63BE7B"/>
      </colorScale>
    </cfRule>
  </conditionalFormatting>
  <conditionalFormatting sqref="AE200 AE211 AE195 AE205">
    <cfRule type="colorScale" priority="7409">
      <colorScale>
        <cfvo type="min"/>
        <cfvo type="percentile" val="50"/>
        <cfvo type="max"/>
        <color rgb="FF63BE7B"/>
        <color rgb="FFFFEB84"/>
        <color rgb="FFF8696B"/>
      </colorScale>
    </cfRule>
  </conditionalFormatting>
  <conditionalFormatting sqref="AE211 AE195 AE200 AE205">
    <cfRule type="colorScale" priority="7406">
      <colorScale>
        <cfvo type="min"/>
        <cfvo type="max"/>
        <color rgb="FFFCFCFF"/>
        <color rgb="FFF8696B"/>
      </colorScale>
    </cfRule>
    <cfRule type="colorScale" priority="7408">
      <colorScale>
        <cfvo type="min"/>
        <cfvo type="percentile" val="50"/>
        <cfvo type="max"/>
        <color rgb="FF63BE7B"/>
        <color rgb="FFFFEB84"/>
        <color rgb="FFF8696B"/>
      </colorScale>
    </cfRule>
  </conditionalFormatting>
  <conditionalFormatting sqref="AE200 AE211 AE195 AE205">
    <cfRule type="colorScale" priority="7407">
      <colorScale>
        <cfvo type="min"/>
        <cfvo type="max"/>
        <color rgb="FFF8696B"/>
        <color rgb="FFFCFCFF"/>
      </colorScale>
    </cfRule>
  </conditionalFormatting>
  <conditionalFormatting sqref="AE213">
    <cfRule type="colorScale" priority="7405">
      <colorScale>
        <cfvo type="min"/>
        <cfvo type="percentile" val="50"/>
        <cfvo type="max"/>
        <color rgb="FFF8696B"/>
        <color rgb="FFFFEB84"/>
        <color rgb="FF63BE7B"/>
      </colorScale>
    </cfRule>
  </conditionalFormatting>
  <conditionalFormatting sqref="AE213">
    <cfRule type="colorScale" priority="7404">
      <colorScale>
        <cfvo type="min"/>
        <cfvo type="percentile" val="50"/>
        <cfvo type="max"/>
        <color rgb="FFF8696B"/>
        <color rgb="FFFFEB84"/>
        <color rgb="FF63BE7B"/>
      </colorScale>
    </cfRule>
  </conditionalFormatting>
  <conditionalFormatting sqref="AE213">
    <cfRule type="colorScale" priority="7403">
      <colorScale>
        <cfvo type="min"/>
        <cfvo type="percentile" val="50"/>
        <cfvo type="max"/>
        <color rgb="FFF8696B"/>
        <color rgb="FFFFEB84"/>
        <color rgb="FF63BE7B"/>
      </colorScale>
    </cfRule>
  </conditionalFormatting>
  <conditionalFormatting sqref="AE213">
    <cfRule type="colorScale" priority="7402">
      <colorScale>
        <cfvo type="min"/>
        <cfvo type="percentile" val="50"/>
        <cfvo type="max"/>
        <color rgb="FF63BE7B"/>
        <color rgb="FFFFEB84"/>
        <color rgb="FFF8696B"/>
      </colorScale>
    </cfRule>
  </conditionalFormatting>
  <conditionalFormatting sqref="AE213">
    <cfRule type="colorScale" priority="7399">
      <colorScale>
        <cfvo type="min"/>
        <cfvo type="max"/>
        <color rgb="FFFCFCFF"/>
        <color rgb="FFF8696B"/>
      </colorScale>
    </cfRule>
    <cfRule type="colorScale" priority="7401">
      <colorScale>
        <cfvo type="min"/>
        <cfvo type="percentile" val="50"/>
        <cfvo type="max"/>
        <color rgb="FF63BE7B"/>
        <color rgb="FFFFEB84"/>
        <color rgb="FFF8696B"/>
      </colorScale>
    </cfRule>
  </conditionalFormatting>
  <conditionalFormatting sqref="AE213">
    <cfRule type="colorScale" priority="7400">
      <colorScale>
        <cfvo type="min"/>
        <cfvo type="max"/>
        <color rgb="FFF8696B"/>
        <color rgb="FFFCFCFF"/>
      </colorScale>
    </cfRule>
  </conditionalFormatting>
  <conditionalFormatting sqref="AE195">
    <cfRule type="colorScale" priority="7398">
      <colorScale>
        <cfvo type="min"/>
        <cfvo type="percentile" val="50"/>
        <cfvo type="max"/>
        <color rgb="FFF8696B"/>
        <color rgb="FFFFEB84"/>
        <color rgb="FF63BE7B"/>
      </colorScale>
    </cfRule>
  </conditionalFormatting>
  <conditionalFormatting sqref="AE200">
    <cfRule type="colorScale" priority="7397">
      <colorScale>
        <cfvo type="min"/>
        <cfvo type="percentile" val="50"/>
        <cfvo type="max"/>
        <color rgb="FFF8696B"/>
        <color rgb="FFFFEB84"/>
        <color rgb="FF63BE7B"/>
      </colorScale>
    </cfRule>
  </conditionalFormatting>
  <conditionalFormatting sqref="AE205">
    <cfRule type="colorScale" priority="7396">
      <colorScale>
        <cfvo type="min"/>
        <cfvo type="percentile" val="50"/>
        <cfvo type="max"/>
        <color rgb="FFF8696B"/>
        <color rgb="FFFFEB84"/>
        <color rgb="FF63BE7B"/>
      </colorScale>
    </cfRule>
  </conditionalFormatting>
  <conditionalFormatting sqref="AE211">
    <cfRule type="colorScale" priority="7395">
      <colorScale>
        <cfvo type="min"/>
        <cfvo type="percentile" val="50"/>
        <cfvo type="max"/>
        <color rgb="FFF8696B"/>
        <color rgb="FFFFEB84"/>
        <color rgb="FF63BE7B"/>
      </colorScale>
    </cfRule>
  </conditionalFormatting>
  <conditionalFormatting sqref="AE200 AE211 AE195 AE205 AE213">
    <cfRule type="colorScale" priority="7394">
      <colorScale>
        <cfvo type="min"/>
        <cfvo type="max"/>
        <color rgb="FFFCFCFF"/>
        <color rgb="FFF8696B"/>
      </colorScale>
    </cfRule>
  </conditionalFormatting>
  <conditionalFormatting sqref="AA185">
    <cfRule type="colorScale" priority="7393">
      <colorScale>
        <cfvo type="min"/>
        <cfvo type="percentile" val="50"/>
        <cfvo type="max"/>
        <color rgb="FFF8696B"/>
        <color rgb="FFFFEB84"/>
        <color rgb="FF63BE7B"/>
      </colorScale>
    </cfRule>
  </conditionalFormatting>
  <conditionalFormatting sqref="AA185">
    <cfRule type="colorScale" priority="7392">
      <colorScale>
        <cfvo type="min"/>
        <cfvo type="percentile" val="50"/>
        <cfvo type="max"/>
        <color rgb="FFF8696B"/>
        <color rgb="FFFFEB84"/>
        <color rgb="FF63BE7B"/>
      </colorScale>
    </cfRule>
  </conditionalFormatting>
  <conditionalFormatting sqref="AA185">
    <cfRule type="colorScale" priority="7391">
      <colorScale>
        <cfvo type="min"/>
        <cfvo type="percentile" val="50"/>
        <cfvo type="max"/>
        <color rgb="FF63BE7B"/>
        <color rgb="FFFFEB84"/>
        <color rgb="FFF8696B"/>
      </colorScale>
    </cfRule>
  </conditionalFormatting>
  <conditionalFormatting sqref="AA185">
    <cfRule type="colorScale" priority="7388">
      <colorScale>
        <cfvo type="min"/>
        <cfvo type="max"/>
        <color rgb="FFFCFCFF"/>
        <color rgb="FFF8696B"/>
      </colorScale>
    </cfRule>
    <cfRule type="colorScale" priority="7390">
      <colorScale>
        <cfvo type="min"/>
        <cfvo type="percentile" val="50"/>
        <cfvo type="max"/>
        <color rgb="FF63BE7B"/>
        <color rgb="FFFFEB84"/>
        <color rgb="FFF8696B"/>
      </colorScale>
    </cfRule>
  </conditionalFormatting>
  <conditionalFormatting sqref="AA185">
    <cfRule type="colorScale" priority="7389">
      <colorScale>
        <cfvo type="min"/>
        <cfvo type="max"/>
        <color rgb="FFF8696B"/>
        <color rgb="FFFCFCFF"/>
      </colorScale>
    </cfRule>
  </conditionalFormatting>
  <conditionalFormatting sqref="AA185">
    <cfRule type="colorScale" priority="7387">
      <colorScale>
        <cfvo type="min"/>
        <cfvo type="max"/>
        <color rgb="FFFCFCFF"/>
        <color rgb="FFF8696B"/>
      </colorScale>
    </cfRule>
  </conditionalFormatting>
  <conditionalFormatting sqref="AC185">
    <cfRule type="colorScale" priority="7386">
      <colorScale>
        <cfvo type="min"/>
        <cfvo type="percentile" val="50"/>
        <cfvo type="max"/>
        <color rgb="FFF8696B"/>
        <color rgb="FFFFEB84"/>
        <color rgb="FF63BE7B"/>
      </colorScale>
    </cfRule>
  </conditionalFormatting>
  <conditionalFormatting sqref="AC185">
    <cfRule type="colorScale" priority="7385">
      <colorScale>
        <cfvo type="min"/>
        <cfvo type="percentile" val="50"/>
        <cfvo type="max"/>
        <color rgb="FFF8696B"/>
        <color rgb="FFFFEB84"/>
        <color rgb="FF63BE7B"/>
      </colorScale>
    </cfRule>
  </conditionalFormatting>
  <conditionalFormatting sqref="AC185">
    <cfRule type="colorScale" priority="7384">
      <colorScale>
        <cfvo type="min"/>
        <cfvo type="percentile" val="50"/>
        <cfvo type="max"/>
        <color rgb="FF63BE7B"/>
        <color rgb="FFFFEB84"/>
        <color rgb="FFF8696B"/>
      </colorScale>
    </cfRule>
  </conditionalFormatting>
  <conditionalFormatting sqref="AC185">
    <cfRule type="colorScale" priority="7381">
      <colorScale>
        <cfvo type="min"/>
        <cfvo type="max"/>
        <color rgb="FFFCFCFF"/>
        <color rgb="FFF8696B"/>
      </colorScale>
    </cfRule>
    <cfRule type="colorScale" priority="7383">
      <colorScale>
        <cfvo type="min"/>
        <cfvo type="percentile" val="50"/>
        <cfvo type="max"/>
        <color rgb="FF63BE7B"/>
        <color rgb="FFFFEB84"/>
        <color rgb="FFF8696B"/>
      </colorScale>
    </cfRule>
  </conditionalFormatting>
  <conditionalFormatting sqref="AC185">
    <cfRule type="colorScale" priority="7382">
      <colorScale>
        <cfvo type="min"/>
        <cfvo type="max"/>
        <color rgb="FFF8696B"/>
        <color rgb="FFFCFCFF"/>
      </colorScale>
    </cfRule>
  </conditionalFormatting>
  <conditionalFormatting sqref="AC185">
    <cfRule type="colorScale" priority="7380">
      <colorScale>
        <cfvo type="min"/>
        <cfvo type="max"/>
        <color rgb="FFFCFCFF"/>
        <color rgb="FFF8696B"/>
      </colorScale>
    </cfRule>
  </conditionalFormatting>
  <conditionalFormatting sqref="AE185">
    <cfRule type="colorScale" priority="7379">
      <colorScale>
        <cfvo type="min"/>
        <cfvo type="percentile" val="50"/>
        <cfvo type="max"/>
        <color rgb="FFF8696B"/>
        <color rgb="FFFFEB84"/>
        <color rgb="FF63BE7B"/>
      </colorScale>
    </cfRule>
  </conditionalFormatting>
  <conditionalFormatting sqref="AE185">
    <cfRule type="colorScale" priority="7378">
      <colorScale>
        <cfvo type="min"/>
        <cfvo type="percentile" val="50"/>
        <cfvo type="max"/>
        <color rgb="FFF8696B"/>
        <color rgb="FFFFEB84"/>
        <color rgb="FF63BE7B"/>
      </colorScale>
    </cfRule>
  </conditionalFormatting>
  <conditionalFormatting sqref="AE185">
    <cfRule type="colorScale" priority="7377">
      <colorScale>
        <cfvo type="min"/>
        <cfvo type="percentile" val="50"/>
        <cfvo type="max"/>
        <color rgb="FF63BE7B"/>
        <color rgb="FFFFEB84"/>
        <color rgb="FFF8696B"/>
      </colorScale>
    </cfRule>
  </conditionalFormatting>
  <conditionalFormatting sqref="AE185">
    <cfRule type="colorScale" priority="7374">
      <colorScale>
        <cfvo type="min"/>
        <cfvo type="max"/>
        <color rgb="FFFCFCFF"/>
        <color rgb="FFF8696B"/>
      </colorScale>
    </cfRule>
    <cfRule type="colorScale" priority="7376">
      <colorScale>
        <cfvo type="min"/>
        <cfvo type="percentile" val="50"/>
        <cfvo type="max"/>
        <color rgb="FF63BE7B"/>
        <color rgb="FFFFEB84"/>
        <color rgb="FFF8696B"/>
      </colorScale>
    </cfRule>
  </conditionalFormatting>
  <conditionalFormatting sqref="AE185">
    <cfRule type="colorScale" priority="7375">
      <colorScale>
        <cfvo type="min"/>
        <cfvo type="max"/>
        <color rgb="FFF8696B"/>
        <color rgb="FFFCFCFF"/>
      </colorScale>
    </cfRule>
  </conditionalFormatting>
  <conditionalFormatting sqref="AE185">
    <cfRule type="colorScale" priority="7373">
      <colorScale>
        <cfvo type="min"/>
        <cfvo type="max"/>
        <color rgb="FFFCFCFF"/>
        <color rgb="FFF8696B"/>
      </colorScale>
    </cfRule>
  </conditionalFormatting>
  <conditionalFormatting sqref="S228 AA250 S254 U228 W228 Y228 U254 W254 Y254">
    <cfRule type="colorScale" priority="7372">
      <colorScale>
        <cfvo type="min"/>
        <cfvo type="percentile" val="50"/>
        <cfvo type="max"/>
        <color rgb="FFF8696B"/>
        <color rgb="FFFFEB84"/>
        <color rgb="FF63BE7B"/>
      </colorScale>
    </cfRule>
  </conditionalFormatting>
  <conditionalFormatting sqref="AA250">
    <cfRule type="colorScale" priority="7371">
      <colorScale>
        <cfvo type="min"/>
        <cfvo type="percentile" val="50"/>
        <cfvo type="max"/>
        <color rgb="FFF8696B"/>
        <color rgb="FFFFEB84"/>
        <color rgb="FF63BE7B"/>
      </colorScale>
    </cfRule>
  </conditionalFormatting>
  <conditionalFormatting sqref="S228 U228 W228 Y228">
    <cfRule type="colorScale" priority="7370">
      <colorScale>
        <cfvo type="min"/>
        <cfvo type="percentile" val="50"/>
        <cfvo type="max"/>
        <color rgb="FFF8696B"/>
        <color rgb="FFFFEB84"/>
        <color rgb="FF63BE7B"/>
      </colorScale>
    </cfRule>
  </conditionalFormatting>
  <conditionalFormatting sqref="S228 AA250 S254 U228 W228 Y228 U254 W254 Y254">
    <cfRule type="colorScale" priority="7369">
      <colorScale>
        <cfvo type="min"/>
        <cfvo type="percentile" val="50"/>
        <cfvo type="max"/>
        <color rgb="FF63BE7B"/>
        <color rgb="FFFFEB84"/>
        <color rgb="FFF8696B"/>
      </colorScale>
    </cfRule>
  </conditionalFormatting>
  <conditionalFormatting sqref="AA250 S254 S228 U228 W228 Y228 U254 W254 Y254">
    <cfRule type="colorScale" priority="7366">
      <colorScale>
        <cfvo type="min"/>
        <cfvo type="max"/>
        <color rgb="FFFCFCFF"/>
        <color rgb="FFF8696B"/>
      </colorScale>
    </cfRule>
    <cfRule type="colorScale" priority="7368">
      <colorScale>
        <cfvo type="min"/>
        <cfvo type="percentile" val="50"/>
        <cfvo type="max"/>
        <color rgb="FF63BE7B"/>
        <color rgb="FFFFEB84"/>
        <color rgb="FFF8696B"/>
      </colorScale>
    </cfRule>
  </conditionalFormatting>
  <conditionalFormatting sqref="S228 AA250 S254 U228 W228 Y228 U254 W254 Y254">
    <cfRule type="colorScale" priority="7367">
      <colorScale>
        <cfvo type="min"/>
        <cfvo type="max"/>
        <color rgb="FFF8696B"/>
        <color rgb="FFFCFCFF"/>
      </colorScale>
    </cfRule>
  </conditionalFormatting>
  <conditionalFormatting sqref="W256">
    <cfRule type="colorScale" priority="7365">
      <colorScale>
        <cfvo type="min"/>
        <cfvo type="percentile" val="50"/>
        <cfvo type="max"/>
        <color rgb="FFF8696B"/>
        <color rgb="FFFFEB84"/>
        <color rgb="FF63BE7B"/>
      </colorScale>
    </cfRule>
  </conditionalFormatting>
  <conditionalFormatting sqref="W256">
    <cfRule type="colorScale" priority="7364">
      <colorScale>
        <cfvo type="min"/>
        <cfvo type="percentile" val="50"/>
        <cfvo type="max"/>
        <color rgb="FFF8696B"/>
        <color rgb="FFFFEB84"/>
        <color rgb="FF63BE7B"/>
      </colorScale>
    </cfRule>
  </conditionalFormatting>
  <conditionalFormatting sqref="W256">
    <cfRule type="colorScale" priority="7363">
      <colorScale>
        <cfvo type="min"/>
        <cfvo type="percentile" val="50"/>
        <cfvo type="max"/>
        <color rgb="FFF8696B"/>
        <color rgb="FFFFEB84"/>
        <color rgb="FF63BE7B"/>
      </colorScale>
    </cfRule>
  </conditionalFormatting>
  <conditionalFormatting sqref="W256">
    <cfRule type="colorScale" priority="7362">
      <colorScale>
        <cfvo type="min"/>
        <cfvo type="percentile" val="50"/>
        <cfvo type="max"/>
        <color rgb="FF63BE7B"/>
        <color rgb="FFFFEB84"/>
        <color rgb="FFF8696B"/>
      </colorScale>
    </cfRule>
  </conditionalFormatting>
  <conditionalFormatting sqref="W256">
    <cfRule type="colorScale" priority="7359">
      <colorScale>
        <cfvo type="min"/>
        <cfvo type="max"/>
        <color rgb="FFFCFCFF"/>
        <color rgb="FFF8696B"/>
      </colorScale>
    </cfRule>
    <cfRule type="colorScale" priority="7361">
      <colorScale>
        <cfvo type="min"/>
        <cfvo type="percentile" val="50"/>
        <cfvo type="max"/>
        <color rgb="FF63BE7B"/>
        <color rgb="FFFFEB84"/>
        <color rgb="FFF8696B"/>
      </colorScale>
    </cfRule>
  </conditionalFormatting>
  <conditionalFormatting sqref="W256">
    <cfRule type="colorScale" priority="7360">
      <colorScale>
        <cfvo type="min"/>
        <cfvo type="max"/>
        <color rgb="FFF8696B"/>
        <color rgb="FFFCFCFF"/>
      </colorScale>
    </cfRule>
  </conditionalFormatting>
  <conditionalFormatting sqref="Y256">
    <cfRule type="colorScale" priority="7358">
      <colorScale>
        <cfvo type="min"/>
        <cfvo type="percentile" val="50"/>
        <cfvo type="max"/>
        <color rgb="FFF8696B"/>
        <color rgb="FFFFEB84"/>
        <color rgb="FF63BE7B"/>
      </colorScale>
    </cfRule>
  </conditionalFormatting>
  <conditionalFormatting sqref="Y256">
    <cfRule type="colorScale" priority="7357">
      <colorScale>
        <cfvo type="min"/>
        <cfvo type="percentile" val="50"/>
        <cfvo type="max"/>
        <color rgb="FFF8696B"/>
        <color rgb="FFFFEB84"/>
        <color rgb="FF63BE7B"/>
      </colorScale>
    </cfRule>
  </conditionalFormatting>
  <conditionalFormatting sqref="Y256">
    <cfRule type="colorScale" priority="7356">
      <colorScale>
        <cfvo type="min"/>
        <cfvo type="percentile" val="50"/>
        <cfvo type="max"/>
        <color rgb="FFF8696B"/>
        <color rgb="FFFFEB84"/>
        <color rgb="FF63BE7B"/>
      </colorScale>
    </cfRule>
  </conditionalFormatting>
  <conditionalFormatting sqref="Y256">
    <cfRule type="colorScale" priority="7355">
      <colorScale>
        <cfvo type="min"/>
        <cfvo type="percentile" val="50"/>
        <cfvo type="max"/>
        <color rgb="FF63BE7B"/>
        <color rgb="FFFFEB84"/>
        <color rgb="FFF8696B"/>
      </colorScale>
    </cfRule>
  </conditionalFormatting>
  <conditionalFormatting sqref="Y256">
    <cfRule type="colorScale" priority="7352">
      <colorScale>
        <cfvo type="min"/>
        <cfvo type="max"/>
        <color rgb="FFFCFCFF"/>
        <color rgb="FFF8696B"/>
      </colorScale>
    </cfRule>
    <cfRule type="colorScale" priority="7354">
      <colorScale>
        <cfvo type="min"/>
        <cfvo type="percentile" val="50"/>
        <cfvo type="max"/>
        <color rgb="FF63BE7B"/>
        <color rgb="FFFFEB84"/>
        <color rgb="FFF8696B"/>
      </colorScale>
    </cfRule>
  </conditionalFormatting>
  <conditionalFormatting sqref="Y256">
    <cfRule type="colorScale" priority="7353">
      <colorScale>
        <cfvo type="min"/>
        <cfvo type="max"/>
        <color rgb="FFF8696B"/>
        <color rgb="FFFCFCFF"/>
      </colorScale>
    </cfRule>
  </conditionalFormatting>
  <conditionalFormatting sqref="AA256">
    <cfRule type="colorScale" priority="7351">
      <colorScale>
        <cfvo type="min"/>
        <cfvo type="percentile" val="50"/>
        <cfvo type="max"/>
        <color rgb="FFF8696B"/>
        <color rgb="FFFFEB84"/>
        <color rgb="FF63BE7B"/>
      </colorScale>
    </cfRule>
  </conditionalFormatting>
  <conditionalFormatting sqref="AA256">
    <cfRule type="colorScale" priority="7350">
      <colorScale>
        <cfvo type="min"/>
        <cfvo type="percentile" val="50"/>
        <cfvo type="max"/>
        <color rgb="FFF8696B"/>
        <color rgb="FFFFEB84"/>
        <color rgb="FF63BE7B"/>
      </colorScale>
    </cfRule>
  </conditionalFormatting>
  <conditionalFormatting sqref="AA256">
    <cfRule type="colorScale" priority="7349">
      <colorScale>
        <cfvo type="min"/>
        <cfvo type="percentile" val="50"/>
        <cfvo type="max"/>
        <color rgb="FFF8696B"/>
        <color rgb="FFFFEB84"/>
        <color rgb="FF63BE7B"/>
      </colorScale>
    </cfRule>
  </conditionalFormatting>
  <conditionalFormatting sqref="AA256">
    <cfRule type="colorScale" priority="7348">
      <colorScale>
        <cfvo type="min"/>
        <cfvo type="percentile" val="50"/>
        <cfvo type="max"/>
        <color rgb="FF63BE7B"/>
        <color rgb="FFFFEB84"/>
        <color rgb="FFF8696B"/>
      </colorScale>
    </cfRule>
  </conditionalFormatting>
  <conditionalFormatting sqref="AA256">
    <cfRule type="colorScale" priority="7345">
      <colorScale>
        <cfvo type="min"/>
        <cfvo type="max"/>
        <color rgb="FFFCFCFF"/>
        <color rgb="FFF8696B"/>
      </colorScale>
    </cfRule>
    <cfRule type="colorScale" priority="7347">
      <colorScale>
        <cfvo type="min"/>
        <cfvo type="percentile" val="50"/>
        <cfvo type="max"/>
        <color rgb="FF63BE7B"/>
        <color rgb="FFFFEB84"/>
        <color rgb="FFF8696B"/>
      </colorScale>
    </cfRule>
  </conditionalFormatting>
  <conditionalFormatting sqref="AA256">
    <cfRule type="colorScale" priority="7346">
      <colorScale>
        <cfvo type="min"/>
        <cfvo type="max"/>
        <color rgb="FFF8696B"/>
        <color rgb="FFFCFCFF"/>
      </colorScale>
    </cfRule>
  </conditionalFormatting>
  <conditionalFormatting sqref="AA250">
    <cfRule type="colorScale" priority="7344">
      <colorScale>
        <cfvo type="min"/>
        <cfvo type="percentile" val="50"/>
        <cfvo type="max"/>
        <color rgb="FFF8696B"/>
        <color rgb="FFFFEB84"/>
        <color rgb="FF63BE7B"/>
      </colorScale>
    </cfRule>
  </conditionalFormatting>
  <conditionalFormatting sqref="S254">
    <cfRule type="colorScale" priority="7343">
      <colorScale>
        <cfvo type="min"/>
        <cfvo type="percentile" val="50"/>
        <cfvo type="max"/>
        <color rgb="FFF8696B"/>
        <color rgb="FFFFEB84"/>
        <color rgb="FF63BE7B"/>
      </colorScale>
    </cfRule>
  </conditionalFormatting>
  <conditionalFormatting sqref="U254">
    <cfRule type="colorScale" priority="7342">
      <colorScale>
        <cfvo type="min"/>
        <cfvo type="percentile" val="50"/>
        <cfvo type="max"/>
        <color rgb="FFF8696B"/>
        <color rgb="FFFFEB84"/>
        <color rgb="FF63BE7B"/>
      </colorScale>
    </cfRule>
  </conditionalFormatting>
  <conditionalFormatting sqref="W254">
    <cfRule type="colorScale" priority="7341">
      <colorScale>
        <cfvo type="min"/>
        <cfvo type="percentile" val="50"/>
        <cfvo type="max"/>
        <color rgb="FFF8696B"/>
        <color rgb="FFFFEB84"/>
        <color rgb="FF63BE7B"/>
      </colorScale>
    </cfRule>
  </conditionalFormatting>
  <conditionalFormatting sqref="Y254">
    <cfRule type="colorScale" priority="7340">
      <colorScale>
        <cfvo type="min"/>
        <cfvo type="percentile" val="50"/>
        <cfvo type="max"/>
        <color rgb="FFF8696B"/>
        <color rgb="FFFFEB84"/>
        <color rgb="FF63BE7B"/>
      </colorScale>
    </cfRule>
  </conditionalFormatting>
  <conditionalFormatting sqref="S228 AA250 S254 U228 W228 Y228 U233 S233 U254 Y254 W254 W256 Y256 AA256">
    <cfRule type="colorScale" priority="7339">
      <colorScale>
        <cfvo type="min"/>
        <cfvo type="max"/>
        <color rgb="FFFCFCFF"/>
        <color rgb="FFF8696B"/>
      </colorScale>
    </cfRule>
  </conditionalFormatting>
  <conditionalFormatting sqref="AC256">
    <cfRule type="colorScale" priority="7338">
      <colorScale>
        <cfvo type="min"/>
        <cfvo type="percentile" val="50"/>
        <cfvo type="max"/>
        <color rgb="FFF8696B"/>
        <color rgb="FFFFEB84"/>
        <color rgb="FF63BE7B"/>
      </colorScale>
    </cfRule>
  </conditionalFormatting>
  <conditionalFormatting sqref="AC256">
    <cfRule type="colorScale" priority="7337">
      <colorScale>
        <cfvo type="min"/>
        <cfvo type="percentile" val="50"/>
        <cfvo type="max"/>
        <color rgb="FFF8696B"/>
        <color rgb="FFFFEB84"/>
        <color rgb="FF63BE7B"/>
      </colorScale>
    </cfRule>
  </conditionalFormatting>
  <conditionalFormatting sqref="AC256">
    <cfRule type="colorScale" priority="7336">
      <colorScale>
        <cfvo type="min"/>
        <cfvo type="percentile" val="50"/>
        <cfvo type="max"/>
        <color rgb="FFF8696B"/>
        <color rgb="FFFFEB84"/>
        <color rgb="FF63BE7B"/>
      </colorScale>
    </cfRule>
  </conditionalFormatting>
  <conditionalFormatting sqref="AC256">
    <cfRule type="colorScale" priority="7335">
      <colorScale>
        <cfvo type="min"/>
        <cfvo type="percentile" val="50"/>
        <cfvo type="max"/>
        <color rgb="FF63BE7B"/>
        <color rgb="FFFFEB84"/>
        <color rgb="FFF8696B"/>
      </colorScale>
    </cfRule>
  </conditionalFormatting>
  <conditionalFormatting sqref="AC256">
    <cfRule type="colorScale" priority="7332">
      <colorScale>
        <cfvo type="min"/>
        <cfvo type="max"/>
        <color rgb="FFFCFCFF"/>
        <color rgb="FFF8696B"/>
      </colorScale>
    </cfRule>
    <cfRule type="colorScale" priority="7334">
      <colorScale>
        <cfvo type="min"/>
        <cfvo type="percentile" val="50"/>
        <cfvo type="max"/>
        <color rgb="FF63BE7B"/>
        <color rgb="FFFFEB84"/>
        <color rgb="FFF8696B"/>
      </colorScale>
    </cfRule>
  </conditionalFormatting>
  <conditionalFormatting sqref="AC256">
    <cfRule type="colorScale" priority="7333">
      <colorScale>
        <cfvo type="min"/>
        <cfvo type="max"/>
        <color rgb="FFF8696B"/>
        <color rgb="FFFCFCFF"/>
      </colorScale>
    </cfRule>
  </conditionalFormatting>
  <conditionalFormatting sqref="AC256">
    <cfRule type="colorScale" priority="7331">
      <colorScale>
        <cfvo type="min"/>
        <cfvo type="max"/>
        <color rgb="FFFCFCFF"/>
        <color rgb="FFF8696B"/>
      </colorScale>
    </cfRule>
  </conditionalFormatting>
  <conditionalFormatting sqref="AE248 AE254">
    <cfRule type="colorScale" priority="7330">
      <colorScale>
        <cfvo type="min"/>
        <cfvo type="percentile" val="50"/>
        <cfvo type="max"/>
        <color rgb="FFF8696B"/>
        <color rgb="FFFFEB84"/>
        <color rgb="FF63BE7B"/>
      </colorScale>
    </cfRule>
  </conditionalFormatting>
  <conditionalFormatting sqref="AE248">
    <cfRule type="colorScale" priority="7329">
      <colorScale>
        <cfvo type="min"/>
        <cfvo type="percentile" val="50"/>
        <cfvo type="max"/>
        <color rgb="FFF8696B"/>
        <color rgb="FFFFEB84"/>
        <color rgb="FF63BE7B"/>
      </colorScale>
    </cfRule>
  </conditionalFormatting>
  <conditionalFormatting sqref="AE248 AE254">
    <cfRule type="colorScale" priority="7328">
      <colorScale>
        <cfvo type="min"/>
        <cfvo type="percentile" val="50"/>
        <cfvo type="max"/>
        <color rgb="FF63BE7B"/>
        <color rgb="FFFFEB84"/>
        <color rgb="FFF8696B"/>
      </colorScale>
    </cfRule>
  </conditionalFormatting>
  <conditionalFormatting sqref="AE254 AE248">
    <cfRule type="colorScale" priority="7325">
      <colorScale>
        <cfvo type="min"/>
        <cfvo type="max"/>
        <color rgb="FFFCFCFF"/>
        <color rgb="FFF8696B"/>
      </colorScale>
    </cfRule>
    <cfRule type="colorScale" priority="7327">
      <colorScale>
        <cfvo type="min"/>
        <cfvo type="percentile" val="50"/>
        <cfvo type="max"/>
        <color rgb="FF63BE7B"/>
        <color rgb="FFFFEB84"/>
        <color rgb="FFF8696B"/>
      </colorScale>
    </cfRule>
  </conditionalFormatting>
  <conditionalFormatting sqref="AE248 AE254">
    <cfRule type="colorScale" priority="7326">
      <colorScale>
        <cfvo type="min"/>
        <cfvo type="max"/>
        <color rgb="FFF8696B"/>
        <color rgb="FFFCFCFF"/>
      </colorScale>
    </cfRule>
  </conditionalFormatting>
  <conditionalFormatting sqref="AE256">
    <cfRule type="colorScale" priority="7324">
      <colorScale>
        <cfvo type="min"/>
        <cfvo type="percentile" val="50"/>
        <cfvo type="max"/>
        <color rgb="FFF8696B"/>
        <color rgb="FFFFEB84"/>
        <color rgb="FF63BE7B"/>
      </colorScale>
    </cfRule>
  </conditionalFormatting>
  <conditionalFormatting sqref="AE256">
    <cfRule type="colorScale" priority="7323">
      <colorScale>
        <cfvo type="min"/>
        <cfvo type="percentile" val="50"/>
        <cfvo type="max"/>
        <color rgb="FFF8696B"/>
        <color rgb="FFFFEB84"/>
        <color rgb="FF63BE7B"/>
      </colorScale>
    </cfRule>
  </conditionalFormatting>
  <conditionalFormatting sqref="AE256">
    <cfRule type="colorScale" priority="7322">
      <colorScale>
        <cfvo type="min"/>
        <cfvo type="percentile" val="50"/>
        <cfvo type="max"/>
        <color rgb="FFF8696B"/>
        <color rgb="FFFFEB84"/>
        <color rgb="FF63BE7B"/>
      </colorScale>
    </cfRule>
  </conditionalFormatting>
  <conditionalFormatting sqref="AE256">
    <cfRule type="colorScale" priority="7321">
      <colorScale>
        <cfvo type="min"/>
        <cfvo type="percentile" val="50"/>
        <cfvo type="max"/>
        <color rgb="FF63BE7B"/>
        <color rgb="FFFFEB84"/>
        <color rgb="FFF8696B"/>
      </colorScale>
    </cfRule>
  </conditionalFormatting>
  <conditionalFormatting sqref="AE256">
    <cfRule type="colorScale" priority="7318">
      <colorScale>
        <cfvo type="min"/>
        <cfvo type="max"/>
        <color rgb="FFFCFCFF"/>
        <color rgb="FFF8696B"/>
      </colorScale>
    </cfRule>
    <cfRule type="colorScale" priority="7320">
      <colorScale>
        <cfvo type="min"/>
        <cfvo type="percentile" val="50"/>
        <cfvo type="max"/>
        <color rgb="FF63BE7B"/>
        <color rgb="FFFFEB84"/>
        <color rgb="FFF8696B"/>
      </colorScale>
    </cfRule>
  </conditionalFormatting>
  <conditionalFormatting sqref="AE256">
    <cfRule type="colorScale" priority="7319">
      <colorScale>
        <cfvo type="min"/>
        <cfvo type="max"/>
        <color rgb="FFF8696B"/>
        <color rgb="FFFCFCFF"/>
      </colorScale>
    </cfRule>
  </conditionalFormatting>
  <conditionalFormatting sqref="AE248">
    <cfRule type="colorScale" priority="7317">
      <colorScale>
        <cfvo type="min"/>
        <cfvo type="percentile" val="50"/>
        <cfvo type="max"/>
        <color rgb="FFF8696B"/>
        <color rgb="FFFFEB84"/>
        <color rgb="FF63BE7B"/>
      </colorScale>
    </cfRule>
  </conditionalFormatting>
  <conditionalFormatting sqref="AE254">
    <cfRule type="colorScale" priority="7316">
      <colorScale>
        <cfvo type="min"/>
        <cfvo type="percentile" val="50"/>
        <cfvo type="max"/>
        <color rgb="FFF8696B"/>
        <color rgb="FFFFEB84"/>
        <color rgb="FF63BE7B"/>
      </colorScale>
    </cfRule>
  </conditionalFormatting>
  <conditionalFormatting sqref="AE248 AE254 AE256">
    <cfRule type="colorScale" priority="7315">
      <colorScale>
        <cfvo type="min"/>
        <cfvo type="max"/>
        <color rgb="FFFCFCFF"/>
        <color rgb="FFF8696B"/>
      </colorScale>
    </cfRule>
  </conditionalFormatting>
  <conditionalFormatting sqref="AA228">
    <cfRule type="colorScale" priority="7314">
      <colorScale>
        <cfvo type="min"/>
        <cfvo type="percentile" val="50"/>
        <cfvo type="max"/>
        <color rgb="FFF8696B"/>
        <color rgb="FFFFEB84"/>
        <color rgb="FF63BE7B"/>
      </colorScale>
    </cfRule>
  </conditionalFormatting>
  <conditionalFormatting sqref="AA228">
    <cfRule type="colorScale" priority="7313">
      <colorScale>
        <cfvo type="min"/>
        <cfvo type="percentile" val="50"/>
        <cfvo type="max"/>
        <color rgb="FFF8696B"/>
        <color rgb="FFFFEB84"/>
        <color rgb="FF63BE7B"/>
      </colorScale>
    </cfRule>
  </conditionalFormatting>
  <conditionalFormatting sqref="AA228">
    <cfRule type="colorScale" priority="7312">
      <colorScale>
        <cfvo type="min"/>
        <cfvo type="percentile" val="50"/>
        <cfvo type="max"/>
        <color rgb="FF63BE7B"/>
        <color rgb="FFFFEB84"/>
        <color rgb="FFF8696B"/>
      </colorScale>
    </cfRule>
  </conditionalFormatting>
  <conditionalFormatting sqref="AA228">
    <cfRule type="colorScale" priority="7309">
      <colorScale>
        <cfvo type="min"/>
        <cfvo type="max"/>
        <color rgb="FFFCFCFF"/>
        <color rgb="FFF8696B"/>
      </colorScale>
    </cfRule>
    <cfRule type="colorScale" priority="7311">
      <colorScale>
        <cfvo type="min"/>
        <cfvo type="percentile" val="50"/>
        <cfvo type="max"/>
        <color rgb="FF63BE7B"/>
        <color rgb="FFFFEB84"/>
        <color rgb="FFF8696B"/>
      </colorScale>
    </cfRule>
  </conditionalFormatting>
  <conditionalFormatting sqref="AA228">
    <cfRule type="colorScale" priority="7310">
      <colorScale>
        <cfvo type="min"/>
        <cfvo type="max"/>
        <color rgb="FFF8696B"/>
        <color rgb="FFFCFCFF"/>
      </colorScale>
    </cfRule>
  </conditionalFormatting>
  <conditionalFormatting sqref="AA228">
    <cfRule type="colorScale" priority="7308">
      <colorScale>
        <cfvo type="min"/>
        <cfvo type="max"/>
        <color rgb="FFFCFCFF"/>
        <color rgb="FFF8696B"/>
      </colorScale>
    </cfRule>
  </conditionalFormatting>
  <conditionalFormatting sqref="AC228">
    <cfRule type="colorScale" priority="7307">
      <colorScale>
        <cfvo type="min"/>
        <cfvo type="percentile" val="50"/>
        <cfvo type="max"/>
        <color rgb="FFF8696B"/>
        <color rgb="FFFFEB84"/>
        <color rgb="FF63BE7B"/>
      </colorScale>
    </cfRule>
  </conditionalFormatting>
  <conditionalFormatting sqref="AC228">
    <cfRule type="colorScale" priority="7306">
      <colorScale>
        <cfvo type="min"/>
        <cfvo type="percentile" val="50"/>
        <cfvo type="max"/>
        <color rgb="FFF8696B"/>
        <color rgb="FFFFEB84"/>
        <color rgb="FF63BE7B"/>
      </colorScale>
    </cfRule>
  </conditionalFormatting>
  <conditionalFormatting sqref="AC228">
    <cfRule type="colorScale" priority="7305">
      <colorScale>
        <cfvo type="min"/>
        <cfvo type="percentile" val="50"/>
        <cfvo type="max"/>
        <color rgb="FF63BE7B"/>
        <color rgb="FFFFEB84"/>
        <color rgb="FFF8696B"/>
      </colorScale>
    </cfRule>
  </conditionalFormatting>
  <conditionalFormatting sqref="AC228">
    <cfRule type="colorScale" priority="7302">
      <colorScale>
        <cfvo type="min"/>
        <cfvo type="max"/>
        <color rgb="FFFCFCFF"/>
        <color rgb="FFF8696B"/>
      </colorScale>
    </cfRule>
    <cfRule type="colorScale" priority="7304">
      <colorScale>
        <cfvo type="min"/>
        <cfvo type="percentile" val="50"/>
        <cfvo type="max"/>
        <color rgb="FF63BE7B"/>
        <color rgb="FFFFEB84"/>
        <color rgb="FFF8696B"/>
      </colorScale>
    </cfRule>
  </conditionalFormatting>
  <conditionalFormatting sqref="AC228">
    <cfRule type="colorScale" priority="7303">
      <colorScale>
        <cfvo type="min"/>
        <cfvo type="max"/>
        <color rgb="FFF8696B"/>
        <color rgb="FFFCFCFF"/>
      </colorScale>
    </cfRule>
  </conditionalFormatting>
  <conditionalFormatting sqref="AC228">
    <cfRule type="colorScale" priority="7301">
      <colorScale>
        <cfvo type="min"/>
        <cfvo type="max"/>
        <color rgb="FFFCFCFF"/>
        <color rgb="FFF8696B"/>
      </colorScale>
    </cfRule>
  </conditionalFormatting>
  <conditionalFormatting sqref="AE228">
    <cfRule type="colorScale" priority="7300">
      <colorScale>
        <cfvo type="min"/>
        <cfvo type="percentile" val="50"/>
        <cfvo type="max"/>
        <color rgb="FFF8696B"/>
        <color rgb="FFFFEB84"/>
        <color rgb="FF63BE7B"/>
      </colorScale>
    </cfRule>
  </conditionalFormatting>
  <conditionalFormatting sqref="AE228">
    <cfRule type="colorScale" priority="7299">
      <colorScale>
        <cfvo type="min"/>
        <cfvo type="percentile" val="50"/>
        <cfvo type="max"/>
        <color rgb="FFF8696B"/>
        <color rgb="FFFFEB84"/>
        <color rgb="FF63BE7B"/>
      </colorScale>
    </cfRule>
  </conditionalFormatting>
  <conditionalFormatting sqref="AE228">
    <cfRule type="colorScale" priority="7298">
      <colorScale>
        <cfvo type="min"/>
        <cfvo type="percentile" val="50"/>
        <cfvo type="max"/>
        <color rgb="FF63BE7B"/>
        <color rgb="FFFFEB84"/>
        <color rgb="FFF8696B"/>
      </colorScale>
    </cfRule>
  </conditionalFormatting>
  <conditionalFormatting sqref="AE228">
    <cfRule type="colorScale" priority="7295">
      <colorScale>
        <cfvo type="min"/>
        <cfvo type="max"/>
        <color rgb="FFFCFCFF"/>
        <color rgb="FFF8696B"/>
      </colorScale>
    </cfRule>
    <cfRule type="colorScale" priority="7297">
      <colorScale>
        <cfvo type="min"/>
        <cfvo type="percentile" val="50"/>
        <cfvo type="max"/>
        <color rgb="FF63BE7B"/>
        <color rgb="FFFFEB84"/>
        <color rgb="FFF8696B"/>
      </colorScale>
    </cfRule>
  </conditionalFormatting>
  <conditionalFormatting sqref="AE228">
    <cfRule type="colorScale" priority="7296">
      <colorScale>
        <cfvo type="min"/>
        <cfvo type="max"/>
        <color rgb="FFF8696B"/>
        <color rgb="FFFCFCFF"/>
      </colorScale>
    </cfRule>
  </conditionalFormatting>
  <conditionalFormatting sqref="AE228">
    <cfRule type="colorScale" priority="7294">
      <colorScale>
        <cfvo type="min"/>
        <cfvo type="max"/>
        <color rgb="FFFCFCFF"/>
        <color rgb="FFF8696B"/>
      </colorScale>
    </cfRule>
  </conditionalFormatting>
  <conditionalFormatting sqref="K104 I104 G104">
    <cfRule type="colorScale" priority="7293">
      <colorScale>
        <cfvo type="min"/>
        <cfvo type="percentile" val="50"/>
        <cfvo type="max"/>
        <color rgb="FFF8696B"/>
        <color rgb="FFFFEB84"/>
        <color rgb="FF63BE7B"/>
      </colorScale>
    </cfRule>
  </conditionalFormatting>
  <conditionalFormatting sqref="K104">
    <cfRule type="colorScale" priority="7292">
      <colorScale>
        <cfvo type="min"/>
        <cfvo type="percentile" val="50"/>
        <cfvo type="max"/>
        <color rgb="FFF8696B"/>
        <color rgb="FFFFEB84"/>
        <color rgb="FF63BE7B"/>
      </colorScale>
    </cfRule>
  </conditionalFormatting>
  <conditionalFormatting sqref="K104 I104 G104">
    <cfRule type="colorScale" priority="7291">
      <colorScale>
        <cfvo type="min"/>
        <cfvo type="percentile" val="50"/>
        <cfvo type="max"/>
        <color rgb="FF63BE7B"/>
        <color rgb="FFFFEB84"/>
        <color rgb="FFF8696B"/>
      </colorScale>
    </cfRule>
  </conditionalFormatting>
  <conditionalFormatting sqref="K104 I104 G104">
    <cfRule type="colorScale" priority="7288">
      <colorScale>
        <cfvo type="min"/>
        <cfvo type="max"/>
        <color rgb="FFFCFCFF"/>
        <color rgb="FFF8696B"/>
      </colorScale>
    </cfRule>
    <cfRule type="colorScale" priority="7290">
      <colorScale>
        <cfvo type="min"/>
        <cfvo type="percentile" val="50"/>
        <cfvo type="max"/>
        <color rgb="FF63BE7B"/>
        <color rgb="FFFFEB84"/>
        <color rgb="FFF8696B"/>
      </colorScale>
    </cfRule>
  </conditionalFormatting>
  <conditionalFormatting sqref="K104 I104 G104">
    <cfRule type="colorScale" priority="7289">
      <colorScale>
        <cfvo type="min"/>
        <cfvo type="max"/>
        <color rgb="FFF8696B"/>
        <color rgb="FFFCFCFF"/>
      </colorScale>
    </cfRule>
  </conditionalFormatting>
  <conditionalFormatting sqref="K104 I104 G104">
    <cfRule type="colorScale" priority="7287">
      <colorScale>
        <cfvo type="min"/>
        <cfvo type="max"/>
        <color rgb="FFFCFCFF"/>
        <color rgb="FFF8696B"/>
      </colorScale>
    </cfRule>
  </conditionalFormatting>
  <conditionalFormatting sqref="M104">
    <cfRule type="colorScale" priority="7286">
      <colorScale>
        <cfvo type="min"/>
        <cfvo type="percentile" val="50"/>
        <cfvo type="max"/>
        <color rgb="FFF8696B"/>
        <color rgb="FFFFEB84"/>
        <color rgb="FF63BE7B"/>
      </colorScale>
    </cfRule>
  </conditionalFormatting>
  <conditionalFormatting sqref="M104">
    <cfRule type="colorScale" priority="7285">
      <colorScale>
        <cfvo type="min"/>
        <cfvo type="percentile" val="50"/>
        <cfvo type="max"/>
        <color rgb="FFF8696B"/>
        <color rgb="FFFFEB84"/>
        <color rgb="FF63BE7B"/>
      </colorScale>
    </cfRule>
  </conditionalFormatting>
  <conditionalFormatting sqref="M104">
    <cfRule type="colorScale" priority="7284">
      <colorScale>
        <cfvo type="min"/>
        <cfvo type="percentile" val="50"/>
        <cfvo type="max"/>
        <color rgb="FF63BE7B"/>
        <color rgb="FFFFEB84"/>
        <color rgb="FFF8696B"/>
      </colorScale>
    </cfRule>
  </conditionalFormatting>
  <conditionalFormatting sqref="M104">
    <cfRule type="colorScale" priority="7281">
      <colorScale>
        <cfvo type="min"/>
        <cfvo type="max"/>
        <color rgb="FFFCFCFF"/>
        <color rgb="FFF8696B"/>
      </colorScale>
    </cfRule>
    <cfRule type="colorScale" priority="7283">
      <colorScale>
        <cfvo type="min"/>
        <cfvo type="percentile" val="50"/>
        <cfvo type="max"/>
        <color rgb="FF63BE7B"/>
        <color rgb="FFFFEB84"/>
        <color rgb="FFF8696B"/>
      </colorScale>
    </cfRule>
  </conditionalFormatting>
  <conditionalFormatting sqref="M104">
    <cfRule type="colorScale" priority="7282">
      <colorScale>
        <cfvo type="min"/>
        <cfvo type="max"/>
        <color rgb="FFF8696B"/>
        <color rgb="FFFCFCFF"/>
      </colorScale>
    </cfRule>
  </conditionalFormatting>
  <conditionalFormatting sqref="M104">
    <cfRule type="colorScale" priority="7280">
      <colorScale>
        <cfvo type="min"/>
        <cfvo type="max"/>
        <color rgb="FFFCFCFF"/>
        <color rgb="FFF8696B"/>
      </colorScale>
    </cfRule>
  </conditionalFormatting>
  <conditionalFormatting sqref="O104">
    <cfRule type="colorScale" priority="7279">
      <colorScale>
        <cfvo type="min"/>
        <cfvo type="percentile" val="50"/>
        <cfvo type="max"/>
        <color rgb="FFF8696B"/>
        <color rgb="FFFFEB84"/>
        <color rgb="FF63BE7B"/>
      </colorScale>
    </cfRule>
  </conditionalFormatting>
  <conditionalFormatting sqref="O104">
    <cfRule type="colorScale" priority="7278">
      <colorScale>
        <cfvo type="min"/>
        <cfvo type="percentile" val="50"/>
        <cfvo type="max"/>
        <color rgb="FFF8696B"/>
        <color rgb="FFFFEB84"/>
        <color rgb="FF63BE7B"/>
      </colorScale>
    </cfRule>
  </conditionalFormatting>
  <conditionalFormatting sqref="O104">
    <cfRule type="colorScale" priority="7277">
      <colorScale>
        <cfvo type="min"/>
        <cfvo type="percentile" val="50"/>
        <cfvo type="max"/>
        <color rgb="FF63BE7B"/>
        <color rgb="FFFFEB84"/>
        <color rgb="FFF8696B"/>
      </colorScale>
    </cfRule>
  </conditionalFormatting>
  <conditionalFormatting sqref="O104">
    <cfRule type="colorScale" priority="7274">
      <colorScale>
        <cfvo type="min"/>
        <cfvo type="max"/>
        <color rgb="FFFCFCFF"/>
        <color rgb="FFF8696B"/>
      </colorScale>
    </cfRule>
    <cfRule type="colorScale" priority="7276">
      <colorScale>
        <cfvo type="min"/>
        <cfvo type="percentile" val="50"/>
        <cfvo type="max"/>
        <color rgb="FF63BE7B"/>
        <color rgb="FFFFEB84"/>
        <color rgb="FFF8696B"/>
      </colorScale>
    </cfRule>
  </conditionalFormatting>
  <conditionalFormatting sqref="O104">
    <cfRule type="colorScale" priority="7275">
      <colorScale>
        <cfvo type="min"/>
        <cfvo type="max"/>
        <color rgb="FFF8696B"/>
        <color rgb="FFFCFCFF"/>
      </colorScale>
    </cfRule>
  </conditionalFormatting>
  <conditionalFormatting sqref="O104">
    <cfRule type="colorScale" priority="7273">
      <colorScale>
        <cfvo type="min"/>
        <cfvo type="max"/>
        <color rgb="FFFCFCFF"/>
        <color rgb="FFF8696B"/>
      </colorScale>
    </cfRule>
  </conditionalFormatting>
  <conditionalFormatting sqref="I147 K147 G147">
    <cfRule type="colorScale" priority="7272">
      <colorScale>
        <cfvo type="min"/>
        <cfvo type="percentile" val="50"/>
        <cfvo type="max"/>
        <color rgb="FFF8696B"/>
        <color rgb="FFFFEB84"/>
        <color rgb="FF63BE7B"/>
      </colorScale>
    </cfRule>
  </conditionalFormatting>
  <conditionalFormatting sqref="K147">
    <cfRule type="colorScale" priority="7271">
      <colorScale>
        <cfvo type="min"/>
        <cfvo type="percentile" val="50"/>
        <cfvo type="max"/>
        <color rgb="FFF8696B"/>
        <color rgb="FFFFEB84"/>
        <color rgb="FF63BE7B"/>
      </colorScale>
    </cfRule>
  </conditionalFormatting>
  <conditionalFormatting sqref="K147 I147 G147">
    <cfRule type="colorScale" priority="7270">
      <colorScale>
        <cfvo type="min"/>
        <cfvo type="percentile" val="50"/>
        <cfvo type="max"/>
        <color rgb="FF63BE7B"/>
        <color rgb="FFFFEB84"/>
        <color rgb="FFF8696B"/>
      </colorScale>
    </cfRule>
  </conditionalFormatting>
  <conditionalFormatting sqref="K147 I147 G147">
    <cfRule type="colorScale" priority="7267">
      <colorScale>
        <cfvo type="min"/>
        <cfvo type="max"/>
        <color rgb="FFFCFCFF"/>
        <color rgb="FFF8696B"/>
      </colorScale>
    </cfRule>
    <cfRule type="colorScale" priority="7269">
      <colorScale>
        <cfvo type="min"/>
        <cfvo type="percentile" val="50"/>
        <cfvo type="max"/>
        <color rgb="FF63BE7B"/>
        <color rgb="FFFFEB84"/>
        <color rgb="FFF8696B"/>
      </colorScale>
    </cfRule>
  </conditionalFormatting>
  <conditionalFormatting sqref="K147 I147 G147">
    <cfRule type="colorScale" priority="7268">
      <colorScale>
        <cfvo type="min"/>
        <cfvo type="max"/>
        <color rgb="FFF8696B"/>
        <color rgb="FFFCFCFF"/>
      </colorScale>
    </cfRule>
  </conditionalFormatting>
  <conditionalFormatting sqref="K147 I147 G147">
    <cfRule type="colorScale" priority="7266">
      <colorScale>
        <cfvo type="min"/>
        <cfvo type="max"/>
        <color rgb="FFFCFCFF"/>
        <color rgb="FFF8696B"/>
      </colorScale>
    </cfRule>
  </conditionalFormatting>
  <conditionalFormatting sqref="M147">
    <cfRule type="colorScale" priority="7265">
      <colorScale>
        <cfvo type="min"/>
        <cfvo type="percentile" val="50"/>
        <cfvo type="max"/>
        <color rgb="FFF8696B"/>
        <color rgb="FFFFEB84"/>
        <color rgb="FF63BE7B"/>
      </colorScale>
    </cfRule>
  </conditionalFormatting>
  <conditionalFormatting sqref="M147">
    <cfRule type="colorScale" priority="7264">
      <colorScale>
        <cfvo type="min"/>
        <cfvo type="percentile" val="50"/>
        <cfvo type="max"/>
        <color rgb="FFF8696B"/>
        <color rgb="FFFFEB84"/>
        <color rgb="FF63BE7B"/>
      </colorScale>
    </cfRule>
  </conditionalFormatting>
  <conditionalFormatting sqref="M147">
    <cfRule type="colorScale" priority="7263">
      <colorScale>
        <cfvo type="min"/>
        <cfvo type="percentile" val="50"/>
        <cfvo type="max"/>
        <color rgb="FF63BE7B"/>
        <color rgb="FFFFEB84"/>
        <color rgb="FFF8696B"/>
      </colorScale>
    </cfRule>
  </conditionalFormatting>
  <conditionalFormatting sqref="M147">
    <cfRule type="colorScale" priority="7260">
      <colorScale>
        <cfvo type="min"/>
        <cfvo type="max"/>
        <color rgb="FFFCFCFF"/>
        <color rgb="FFF8696B"/>
      </colorScale>
    </cfRule>
    <cfRule type="colorScale" priority="7262">
      <colorScale>
        <cfvo type="min"/>
        <cfvo type="percentile" val="50"/>
        <cfvo type="max"/>
        <color rgb="FF63BE7B"/>
        <color rgb="FFFFEB84"/>
        <color rgb="FFF8696B"/>
      </colorScale>
    </cfRule>
  </conditionalFormatting>
  <conditionalFormatting sqref="M147">
    <cfRule type="colorScale" priority="7261">
      <colorScale>
        <cfvo type="min"/>
        <cfvo type="max"/>
        <color rgb="FFF8696B"/>
        <color rgb="FFFCFCFF"/>
      </colorScale>
    </cfRule>
  </conditionalFormatting>
  <conditionalFormatting sqref="M147">
    <cfRule type="colorScale" priority="7259">
      <colorScale>
        <cfvo type="min"/>
        <cfvo type="max"/>
        <color rgb="FFFCFCFF"/>
        <color rgb="FFF8696B"/>
      </colorScale>
    </cfRule>
  </conditionalFormatting>
  <conditionalFormatting sqref="O147">
    <cfRule type="colorScale" priority="7258">
      <colorScale>
        <cfvo type="min"/>
        <cfvo type="percentile" val="50"/>
        <cfvo type="max"/>
        <color rgb="FFF8696B"/>
        <color rgb="FFFFEB84"/>
        <color rgb="FF63BE7B"/>
      </colorScale>
    </cfRule>
  </conditionalFormatting>
  <conditionalFormatting sqref="O147">
    <cfRule type="colorScale" priority="7257">
      <colorScale>
        <cfvo type="min"/>
        <cfvo type="percentile" val="50"/>
        <cfvo type="max"/>
        <color rgb="FFF8696B"/>
        <color rgb="FFFFEB84"/>
        <color rgb="FF63BE7B"/>
      </colorScale>
    </cfRule>
  </conditionalFormatting>
  <conditionalFormatting sqref="O147">
    <cfRule type="colorScale" priority="7256">
      <colorScale>
        <cfvo type="min"/>
        <cfvo type="percentile" val="50"/>
        <cfvo type="max"/>
        <color rgb="FF63BE7B"/>
        <color rgb="FFFFEB84"/>
        <color rgb="FFF8696B"/>
      </colorScale>
    </cfRule>
  </conditionalFormatting>
  <conditionalFormatting sqref="O147">
    <cfRule type="colorScale" priority="7253">
      <colorScale>
        <cfvo type="min"/>
        <cfvo type="max"/>
        <color rgb="FFFCFCFF"/>
        <color rgb="FFF8696B"/>
      </colorScale>
    </cfRule>
    <cfRule type="colorScale" priority="7255">
      <colorScale>
        <cfvo type="min"/>
        <cfvo type="percentile" val="50"/>
        <cfvo type="max"/>
        <color rgb="FF63BE7B"/>
        <color rgb="FFFFEB84"/>
        <color rgb="FFF8696B"/>
      </colorScale>
    </cfRule>
  </conditionalFormatting>
  <conditionalFormatting sqref="O147">
    <cfRule type="colorScale" priority="7254">
      <colorScale>
        <cfvo type="min"/>
        <cfvo type="max"/>
        <color rgb="FFF8696B"/>
        <color rgb="FFFCFCFF"/>
      </colorScale>
    </cfRule>
  </conditionalFormatting>
  <conditionalFormatting sqref="O147">
    <cfRule type="colorScale" priority="7252">
      <colorScale>
        <cfvo type="min"/>
        <cfvo type="max"/>
        <color rgb="FFFCFCFF"/>
        <color rgb="FFF8696B"/>
      </colorScale>
    </cfRule>
  </conditionalFormatting>
  <conditionalFormatting sqref="I190">
    <cfRule type="colorScale" priority="7251">
      <colorScale>
        <cfvo type="min"/>
        <cfvo type="percentile" val="50"/>
        <cfvo type="max"/>
        <color rgb="FFF8696B"/>
        <color rgb="FFFFEB84"/>
        <color rgb="FF63BE7B"/>
      </colorScale>
    </cfRule>
  </conditionalFormatting>
  <conditionalFormatting sqref="I190">
    <cfRule type="colorScale" priority="7250">
      <colorScale>
        <cfvo type="min"/>
        <cfvo type="percentile" val="50"/>
        <cfvo type="max"/>
        <color rgb="FF63BE7B"/>
        <color rgb="FFFFEB84"/>
        <color rgb="FFF8696B"/>
      </colorScale>
    </cfRule>
  </conditionalFormatting>
  <conditionalFormatting sqref="I190">
    <cfRule type="colorScale" priority="7247">
      <colorScale>
        <cfvo type="min"/>
        <cfvo type="max"/>
        <color rgb="FFFCFCFF"/>
        <color rgb="FFF8696B"/>
      </colorScale>
    </cfRule>
    <cfRule type="colorScale" priority="7249">
      <colorScale>
        <cfvo type="min"/>
        <cfvo type="percentile" val="50"/>
        <cfvo type="max"/>
        <color rgb="FF63BE7B"/>
        <color rgb="FFFFEB84"/>
        <color rgb="FFF8696B"/>
      </colorScale>
    </cfRule>
  </conditionalFormatting>
  <conditionalFormatting sqref="I190">
    <cfRule type="colorScale" priority="7248">
      <colorScale>
        <cfvo type="min"/>
        <cfvo type="max"/>
        <color rgb="FFF8696B"/>
        <color rgb="FFFCFCFF"/>
      </colorScale>
    </cfRule>
  </conditionalFormatting>
  <conditionalFormatting sqref="I190">
    <cfRule type="colorScale" priority="7246">
      <colorScale>
        <cfvo type="min"/>
        <cfvo type="max"/>
        <color rgb="FFFCFCFF"/>
        <color rgb="FFF8696B"/>
      </colorScale>
    </cfRule>
  </conditionalFormatting>
  <conditionalFormatting sqref="M190">
    <cfRule type="colorScale" priority="7245">
      <colorScale>
        <cfvo type="min"/>
        <cfvo type="percentile" val="50"/>
        <cfvo type="max"/>
        <color rgb="FFF8696B"/>
        <color rgb="FFFFEB84"/>
        <color rgb="FF63BE7B"/>
      </colorScale>
    </cfRule>
  </conditionalFormatting>
  <conditionalFormatting sqref="M190">
    <cfRule type="colorScale" priority="7244">
      <colorScale>
        <cfvo type="min"/>
        <cfvo type="percentile" val="50"/>
        <cfvo type="max"/>
        <color rgb="FFF8696B"/>
        <color rgb="FFFFEB84"/>
        <color rgb="FF63BE7B"/>
      </colorScale>
    </cfRule>
  </conditionalFormatting>
  <conditionalFormatting sqref="M190">
    <cfRule type="colorScale" priority="7243">
      <colorScale>
        <cfvo type="min"/>
        <cfvo type="percentile" val="50"/>
        <cfvo type="max"/>
        <color rgb="FF63BE7B"/>
        <color rgb="FFFFEB84"/>
        <color rgb="FFF8696B"/>
      </colorScale>
    </cfRule>
  </conditionalFormatting>
  <conditionalFormatting sqref="M190">
    <cfRule type="colorScale" priority="7240">
      <colorScale>
        <cfvo type="min"/>
        <cfvo type="max"/>
        <color rgb="FFFCFCFF"/>
        <color rgb="FFF8696B"/>
      </colorScale>
    </cfRule>
    <cfRule type="colorScale" priority="7242">
      <colorScale>
        <cfvo type="min"/>
        <cfvo type="percentile" val="50"/>
        <cfvo type="max"/>
        <color rgb="FF63BE7B"/>
        <color rgb="FFFFEB84"/>
        <color rgb="FFF8696B"/>
      </colorScale>
    </cfRule>
  </conditionalFormatting>
  <conditionalFormatting sqref="M190">
    <cfRule type="colorScale" priority="7241">
      <colorScale>
        <cfvo type="min"/>
        <cfvo type="max"/>
        <color rgb="FFF8696B"/>
        <color rgb="FFFCFCFF"/>
      </colorScale>
    </cfRule>
  </conditionalFormatting>
  <conditionalFormatting sqref="M190">
    <cfRule type="colorScale" priority="7239">
      <colorScale>
        <cfvo type="min"/>
        <cfvo type="max"/>
        <color rgb="FFFCFCFF"/>
        <color rgb="FFF8696B"/>
      </colorScale>
    </cfRule>
  </conditionalFormatting>
  <conditionalFormatting sqref="O190">
    <cfRule type="colorScale" priority="7238">
      <colorScale>
        <cfvo type="min"/>
        <cfvo type="percentile" val="50"/>
        <cfvo type="max"/>
        <color rgb="FFF8696B"/>
        <color rgb="FFFFEB84"/>
        <color rgb="FF63BE7B"/>
      </colorScale>
    </cfRule>
  </conditionalFormatting>
  <conditionalFormatting sqref="O190">
    <cfRule type="colorScale" priority="7237">
      <colorScale>
        <cfvo type="min"/>
        <cfvo type="percentile" val="50"/>
        <cfvo type="max"/>
        <color rgb="FFF8696B"/>
        <color rgb="FFFFEB84"/>
        <color rgb="FF63BE7B"/>
      </colorScale>
    </cfRule>
  </conditionalFormatting>
  <conditionalFormatting sqref="O190">
    <cfRule type="colorScale" priority="7236">
      <colorScale>
        <cfvo type="min"/>
        <cfvo type="percentile" val="50"/>
        <cfvo type="max"/>
        <color rgb="FF63BE7B"/>
        <color rgb="FFFFEB84"/>
        <color rgb="FFF8696B"/>
      </colorScale>
    </cfRule>
  </conditionalFormatting>
  <conditionalFormatting sqref="O190">
    <cfRule type="colorScale" priority="7233">
      <colorScale>
        <cfvo type="min"/>
        <cfvo type="max"/>
        <color rgb="FFFCFCFF"/>
        <color rgb="FFF8696B"/>
      </colorScale>
    </cfRule>
    <cfRule type="colorScale" priority="7235">
      <colorScale>
        <cfvo type="min"/>
        <cfvo type="percentile" val="50"/>
        <cfvo type="max"/>
        <color rgb="FF63BE7B"/>
        <color rgb="FFFFEB84"/>
        <color rgb="FFF8696B"/>
      </colorScale>
    </cfRule>
  </conditionalFormatting>
  <conditionalFormatting sqref="O190">
    <cfRule type="colorScale" priority="7234">
      <colorScale>
        <cfvo type="min"/>
        <cfvo type="max"/>
        <color rgb="FFF8696B"/>
        <color rgb="FFFCFCFF"/>
      </colorScale>
    </cfRule>
  </conditionalFormatting>
  <conditionalFormatting sqref="O190">
    <cfRule type="colorScale" priority="7232">
      <colorScale>
        <cfvo type="min"/>
        <cfvo type="max"/>
        <color rgb="FFFCFCFF"/>
        <color rgb="FFF8696B"/>
      </colorScale>
    </cfRule>
  </conditionalFormatting>
  <conditionalFormatting sqref="I233">
    <cfRule type="colorScale" priority="7231">
      <colorScale>
        <cfvo type="min"/>
        <cfvo type="percentile" val="50"/>
        <cfvo type="max"/>
        <color rgb="FFF8696B"/>
        <color rgb="FFFFEB84"/>
        <color rgb="FF63BE7B"/>
      </colorScale>
    </cfRule>
  </conditionalFormatting>
  <conditionalFormatting sqref="I233">
    <cfRule type="colorScale" priority="7230">
      <colorScale>
        <cfvo type="min"/>
        <cfvo type="percentile" val="50"/>
        <cfvo type="max"/>
        <color rgb="FF63BE7B"/>
        <color rgb="FFFFEB84"/>
        <color rgb="FFF8696B"/>
      </colorScale>
    </cfRule>
  </conditionalFormatting>
  <conditionalFormatting sqref="I233">
    <cfRule type="colorScale" priority="7227">
      <colorScale>
        <cfvo type="min"/>
        <cfvo type="max"/>
        <color rgb="FFFCFCFF"/>
        <color rgb="FFF8696B"/>
      </colorScale>
    </cfRule>
    <cfRule type="colorScale" priority="7229">
      <colorScale>
        <cfvo type="min"/>
        <cfvo type="percentile" val="50"/>
        <cfvo type="max"/>
        <color rgb="FF63BE7B"/>
        <color rgb="FFFFEB84"/>
        <color rgb="FFF8696B"/>
      </colorScale>
    </cfRule>
  </conditionalFormatting>
  <conditionalFormatting sqref="I233">
    <cfRule type="colorScale" priority="7228">
      <colorScale>
        <cfvo type="min"/>
        <cfvo type="max"/>
        <color rgb="FFF8696B"/>
        <color rgb="FFFCFCFF"/>
      </colorScale>
    </cfRule>
  </conditionalFormatting>
  <conditionalFormatting sqref="I233">
    <cfRule type="colorScale" priority="7226">
      <colorScale>
        <cfvo type="min"/>
        <cfvo type="max"/>
        <color rgb="FFFCFCFF"/>
        <color rgb="FFF8696B"/>
      </colorScale>
    </cfRule>
  </conditionalFormatting>
  <conditionalFormatting sqref="M233">
    <cfRule type="colorScale" priority="7225">
      <colorScale>
        <cfvo type="min"/>
        <cfvo type="percentile" val="50"/>
        <cfvo type="max"/>
        <color rgb="FFF8696B"/>
        <color rgb="FFFFEB84"/>
        <color rgb="FF63BE7B"/>
      </colorScale>
    </cfRule>
  </conditionalFormatting>
  <conditionalFormatting sqref="M233">
    <cfRule type="colorScale" priority="7224">
      <colorScale>
        <cfvo type="min"/>
        <cfvo type="percentile" val="50"/>
        <cfvo type="max"/>
        <color rgb="FFF8696B"/>
        <color rgb="FFFFEB84"/>
        <color rgb="FF63BE7B"/>
      </colorScale>
    </cfRule>
  </conditionalFormatting>
  <conditionalFormatting sqref="M233">
    <cfRule type="colorScale" priority="7223">
      <colorScale>
        <cfvo type="min"/>
        <cfvo type="percentile" val="50"/>
        <cfvo type="max"/>
        <color rgb="FF63BE7B"/>
        <color rgb="FFFFEB84"/>
        <color rgb="FFF8696B"/>
      </colorScale>
    </cfRule>
  </conditionalFormatting>
  <conditionalFormatting sqref="M233">
    <cfRule type="colorScale" priority="7220">
      <colorScale>
        <cfvo type="min"/>
        <cfvo type="max"/>
        <color rgb="FFFCFCFF"/>
        <color rgb="FFF8696B"/>
      </colorScale>
    </cfRule>
    <cfRule type="colorScale" priority="7222">
      <colorScale>
        <cfvo type="min"/>
        <cfvo type="percentile" val="50"/>
        <cfvo type="max"/>
        <color rgb="FF63BE7B"/>
        <color rgb="FFFFEB84"/>
        <color rgb="FFF8696B"/>
      </colorScale>
    </cfRule>
  </conditionalFormatting>
  <conditionalFormatting sqref="M233">
    <cfRule type="colorScale" priority="7221">
      <colorScale>
        <cfvo type="min"/>
        <cfvo type="max"/>
        <color rgb="FFF8696B"/>
        <color rgb="FFFCFCFF"/>
      </colorScale>
    </cfRule>
  </conditionalFormatting>
  <conditionalFormatting sqref="M233">
    <cfRule type="colorScale" priority="7219">
      <colorScale>
        <cfvo type="min"/>
        <cfvo type="max"/>
        <color rgb="FFFCFCFF"/>
        <color rgb="FFF8696B"/>
      </colorScale>
    </cfRule>
  </conditionalFormatting>
  <conditionalFormatting sqref="W147">
    <cfRule type="colorScale" priority="7218">
      <colorScale>
        <cfvo type="min"/>
        <cfvo type="percentile" val="50"/>
        <cfvo type="max"/>
        <color rgb="FFF8696B"/>
        <color rgb="FFFFEB84"/>
        <color rgb="FF63BE7B"/>
      </colorScale>
    </cfRule>
  </conditionalFormatting>
  <conditionalFormatting sqref="W147">
    <cfRule type="colorScale" priority="7217">
      <colorScale>
        <cfvo type="min"/>
        <cfvo type="percentile" val="50"/>
        <cfvo type="max"/>
        <color rgb="FF63BE7B"/>
        <color rgb="FFFFEB84"/>
        <color rgb="FFF8696B"/>
      </colorScale>
    </cfRule>
  </conditionalFormatting>
  <conditionalFormatting sqref="W147">
    <cfRule type="colorScale" priority="7214">
      <colorScale>
        <cfvo type="min"/>
        <cfvo type="max"/>
        <color rgb="FFFCFCFF"/>
        <color rgb="FFF8696B"/>
      </colorScale>
    </cfRule>
    <cfRule type="colorScale" priority="7216">
      <colorScale>
        <cfvo type="min"/>
        <cfvo type="percentile" val="50"/>
        <cfvo type="max"/>
        <color rgb="FF63BE7B"/>
        <color rgb="FFFFEB84"/>
        <color rgb="FFF8696B"/>
      </colorScale>
    </cfRule>
  </conditionalFormatting>
  <conditionalFormatting sqref="W147">
    <cfRule type="colorScale" priority="7215">
      <colorScale>
        <cfvo type="min"/>
        <cfvo type="max"/>
        <color rgb="FFF8696B"/>
        <color rgb="FFFCFCFF"/>
      </colorScale>
    </cfRule>
  </conditionalFormatting>
  <conditionalFormatting sqref="W147">
    <cfRule type="colorScale" priority="7213">
      <colorScale>
        <cfvo type="min"/>
        <cfvo type="max"/>
        <color rgb="FFFCFCFF"/>
        <color rgb="FFF8696B"/>
      </colorScale>
    </cfRule>
  </conditionalFormatting>
  <conditionalFormatting sqref="W104">
    <cfRule type="colorScale" priority="7212">
      <colorScale>
        <cfvo type="min"/>
        <cfvo type="percentile" val="50"/>
        <cfvo type="max"/>
        <color rgb="FFF8696B"/>
        <color rgb="FFFFEB84"/>
        <color rgb="FF63BE7B"/>
      </colorScale>
    </cfRule>
  </conditionalFormatting>
  <conditionalFormatting sqref="W104">
    <cfRule type="colorScale" priority="7211">
      <colorScale>
        <cfvo type="min"/>
        <cfvo type="percentile" val="50"/>
        <cfvo type="max"/>
        <color rgb="FF63BE7B"/>
        <color rgb="FFFFEB84"/>
        <color rgb="FFF8696B"/>
      </colorScale>
    </cfRule>
  </conditionalFormatting>
  <conditionalFormatting sqref="W104">
    <cfRule type="colorScale" priority="7208">
      <colorScale>
        <cfvo type="min"/>
        <cfvo type="max"/>
        <color rgb="FFFCFCFF"/>
        <color rgb="FFF8696B"/>
      </colorScale>
    </cfRule>
    <cfRule type="colorScale" priority="7210">
      <colorScale>
        <cfvo type="min"/>
        <cfvo type="percentile" val="50"/>
        <cfvo type="max"/>
        <color rgb="FF63BE7B"/>
        <color rgb="FFFFEB84"/>
        <color rgb="FFF8696B"/>
      </colorScale>
    </cfRule>
  </conditionalFormatting>
  <conditionalFormatting sqref="W104">
    <cfRule type="colorScale" priority="7209">
      <colorScale>
        <cfvo type="min"/>
        <cfvo type="max"/>
        <color rgb="FFF8696B"/>
        <color rgb="FFFCFCFF"/>
      </colorScale>
    </cfRule>
  </conditionalFormatting>
  <conditionalFormatting sqref="W104">
    <cfRule type="colorScale" priority="7207">
      <colorScale>
        <cfvo type="min"/>
        <cfvo type="max"/>
        <color rgb="FFFCFCFF"/>
        <color rgb="FFF8696B"/>
      </colorScale>
    </cfRule>
  </conditionalFormatting>
  <conditionalFormatting sqref="W61">
    <cfRule type="colorScale" priority="7206">
      <colorScale>
        <cfvo type="min"/>
        <cfvo type="percentile" val="50"/>
        <cfvo type="max"/>
        <color rgb="FFF8696B"/>
        <color rgb="FFFFEB84"/>
        <color rgb="FF63BE7B"/>
      </colorScale>
    </cfRule>
  </conditionalFormatting>
  <conditionalFormatting sqref="W61">
    <cfRule type="colorScale" priority="7205">
      <colorScale>
        <cfvo type="min"/>
        <cfvo type="percentile" val="50"/>
        <cfvo type="max"/>
        <color rgb="FF63BE7B"/>
        <color rgb="FFFFEB84"/>
        <color rgb="FFF8696B"/>
      </colorScale>
    </cfRule>
  </conditionalFormatting>
  <conditionalFormatting sqref="W61">
    <cfRule type="colorScale" priority="7202">
      <colorScale>
        <cfvo type="min"/>
        <cfvo type="max"/>
        <color rgb="FFFCFCFF"/>
        <color rgb="FFF8696B"/>
      </colorScale>
    </cfRule>
    <cfRule type="colorScale" priority="7204">
      <colorScale>
        <cfvo type="min"/>
        <cfvo type="percentile" val="50"/>
        <cfvo type="max"/>
        <color rgb="FF63BE7B"/>
        <color rgb="FFFFEB84"/>
        <color rgb="FFF8696B"/>
      </colorScale>
    </cfRule>
  </conditionalFormatting>
  <conditionalFormatting sqref="W61">
    <cfRule type="colorScale" priority="7203">
      <colorScale>
        <cfvo type="min"/>
        <cfvo type="max"/>
        <color rgb="FFF8696B"/>
        <color rgb="FFFCFCFF"/>
      </colorScale>
    </cfRule>
  </conditionalFormatting>
  <conditionalFormatting sqref="W61">
    <cfRule type="colorScale" priority="7201">
      <colorScale>
        <cfvo type="min"/>
        <cfvo type="max"/>
        <color rgb="FFFCFCFF"/>
        <color rgb="FFF8696B"/>
      </colorScale>
    </cfRule>
  </conditionalFormatting>
  <conditionalFormatting sqref="W18">
    <cfRule type="colorScale" priority="7200">
      <colorScale>
        <cfvo type="min"/>
        <cfvo type="percentile" val="50"/>
        <cfvo type="max"/>
        <color rgb="FFF8696B"/>
        <color rgb="FFFFEB84"/>
        <color rgb="FF63BE7B"/>
      </colorScale>
    </cfRule>
  </conditionalFormatting>
  <conditionalFormatting sqref="W18">
    <cfRule type="colorScale" priority="7199">
      <colorScale>
        <cfvo type="min"/>
        <cfvo type="percentile" val="50"/>
        <cfvo type="max"/>
        <color rgb="FF63BE7B"/>
        <color rgb="FFFFEB84"/>
        <color rgb="FFF8696B"/>
      </colorScale>
    </cfRule>
  </conditionalFormatting>
  <conditionalFormatting sqref="W18">
    <cfRule type="colorScale" priority="7196">
      <colorScale>
        <cfvo type="min"/>
        <cfvo type="max"/>
        <color rgb="FFFCFCFF"/>
        <color rgb="FFF8696B"/>
      </colorScale>
    </cfRule>
    <cfRule type="colorScale" priority="7198">
      <colorScale>
        <cfvo type="min"/>
        <cfvo type="percentile" val="50"/>
        <cfvo type="max"/>
        <color rgb="FF63BE7B"/>
        <color rgb="FFFFEB84"/>
        <color rgb="FFF8696B"/>
      </colorScale>
    </cfRule>
  </conditionalFormatting>
  <conditionalFormatting sqref="W18">
    <cfRule type="colorScale" priority="7197">
      <colorScale>
        <cfvo type="min"/>
        <cfvo type="max"/>
        <color rgb="FFF8696B"/>
        <color rgb="FFFCFCFF"/>
      </colorScale>
    </cfRule>
  </conditionalFormatting>
  <conditionalFormatting sqref="W18">
    <cfRule type="colorScale" priority="7195">
      <colorScale>
        <cfvo type="min"/>
        <cfvo type="max"/>
        <color rgb="FFFCFCFF"/>
        <color rgb="FFF8696B"/>
      </colorScale>
    </cfRule>
  </conditionalFormatting>
  <conditionalFormatting sqref="Y18">
    <cfRule type="colorScale" priority="7194">
      <colorScale>
        <cfvo type="min"/>
        <cfvo type="percentile" val="50"/>
        <cfvo type="max"/>
        <color rgb="FFF8696B"/>
        <color rgb="FFFFEB84"/>
        <color rgb="FF63BE7B"/>
      </colorScale>
    </cfRule>
  </conditionalFormatting>
  <conditionalFormatting sqref="Y18">
    <cfRule type="colorScale" priority="7193">
      <colorScale>
        <cfvo type="min"/>
        <cfvo type="percentile" val="50"/>
        <cfvo type="max"/>
        <color rgb="FF63BE7B"/>
        <color rgb="FFFFEB84"/>
        <color rgb="FFF8696B"/>
      </colorScale>
    </cfRule>
  </conditionalFormatting>
  <conditionalFormatting sqref="Y18">
    <cfRule type="colorScale" priority="7190">
      <colorScale>
        <cfvo type="min"/>
        <cfvo type="max"/>
        <color rgb="FFFCFCFF"/>
        <color rgb="FFF8696B"/>
      </colorScale>
    </cfRule>
    <cfRule type="colorScale" priority="7192">
      <colorScale>
        <cfvo type="min"/>
        <cfvo type="percentile" val="50"/>
        <cfvo type="max"/>
        <color rgb="FF63BE7B"/>
        <color rgb="FFFFEB84"/>
        <color rgb="FFF8696B"/>
      </colorScale>
    </cfRule>
  </conditionalFormatting>
  <conditionalFormatting sqref="Y18">
    <cfRule type="colorScale" priority="7191">
      <colorScale>
        <cfvo type="min"/>
        <cfvo type="max"/>
        <color rgb="FFF8696B"/>
        <color rgb="FFFCFCFF"/>
      </colorScale>
    </cfRule>
  </conditionalFormatting>
  <conditionalFormatting sqref="Y18">
    <cfRule type="colorScale" priority="7189">
      <colorScale>
        <cfvo type="min"/>
        <cfvo type="max"/>
        <color rgb="FFFCFCFF"/>
        <color rgb="FFF8696B"/>
      </colorScale>
    </cfRule>
  </conditionalFormatting>
  <conditionalFormatting sqref="Y61">
    <cfRule type="colorScale" priority="7188">
      <colorScale>
        <cfvo type="min"/>
        <cfvo type="percentile" val="50"/>
        <cfvo type="max"/>
        <color rgb="FFF8696B"/>
        <color rgb="FFFFEB84"/>
        <color rgb="FF63BE7B"/>
      </colorScale>
    </cfRule>
  </conditionalFormatting>
  <conditionalFormatting sqref="Y61">
    <cfRule type="colorScale" priority="7187">
      <colorScale>
        <cfvo type="min"/>
        <cfvo type="percentile" val="50"/>
        <cfvo type="max"/>
        <color rgb="FF63BE7B"/>
        <color rgb="FFFFEB84"/>
        <color rgb="FFF8696B"/>
      </colorScale>
    </cfRule>
  </conditionalFormatting>
  <conditionalFormatting sqref="Y61">
    <cfRule type="colorScale" priority="7184">
      <colorScale>
        <cfvo type="min"/>
        <cfvo type="max"/>
        <color rgb="FFFCFCFF"/>
        <color rgb="FFF8696B"/>
      </colorScale>
    </cfRule>
    <cfRule type="colorScale" priority="7186">
      <colorScale>
        <cfvo type="min"/>
        <cfvo type="percentile" val="50"/>
        <cfvo type="max"/>
        <color rgb="FF63BE7B"/>
        <color rgb="FFFFEB84"/>
        <color rgb="FFF8696B"/>
      </colorScale>
    </cfRule>
  </conditionalFormatting>
  <conditionalFormatting sqref="Y61">
    <cfRule type="colorScale" priority="7185">
      <colorScale>
        <cfvo type="min"/>
        <cfvo type="max"/>
        <color rgb="FFF8696B"/>
        <color rgb="FFFCFCFF"/>
      </colorScale>
    </cfRule>
  </conditionalFormatting>
  <conditionalFormatting sqref="Y61">
    <cfRule type="colorScale" priority="7183">
      <colorScale>
        <cfvo type="min"/>
        <cfvo type="max"/>
        <color rgb="FFFCFCFF"/>
        <color rgb="FFF8696B"/>
      </colorScale>
    </cfRule>
  </conditionalFormatting>
  <conditionalFormatting sqref="Y104">
    <cfRule type="colorScale" priority="7182">
      <colorScale>
        <cfvo type="min"/>
        <cfvo type="percentile" val="50"/>
        <cfvo type="max"/>
        <color rgb="FFF8696B"/>
        <color rgb="FFFFEB84"/>
        <color rgb="FF63BE7B"/>
      </colorScale>
    </cfRule>
  </conditionalFormatting>
  <conditionalFormatting sqref="Y104">
    <cfRule type="colorScale" priority="7181">
      <colorScale>
        <cfvo type="min"/>
        <cfvo type="percentile" val="50"/>
        <cfvo type="max"/>
        <color rgb="FF63BE7B"/>
        <color rgb="FFFFEB84"/>
        <color rgb="FFF8696B"/>
      </colorScale>
    </cfRule>
  </conditionalFormatting>
  <conditionalFormatting sqref="Y104">
    <cfRule type="colorScale" priority="7178">
      <colorScale>
        <cfvo type="min"/>
        <cfvo type="max"/>
        <color rgb="FFFCFCFF"/>
        <color rgb="FFF8696B"/>
      </colorScale>
    </cfRule>
    <cfRule type="colorScale" priority="7180">
      <colorScale>
        <cfvo type="min"/>
        <cfvo type="percentile" val="50"/>
        <cfvo type="max"/>
        <color rgb="FF63BE7B"/>
        <color rgb="FFFFEB84"/>
        <color rgb="FFF8696B"/>
      </colorScale>
    </cfRule>
  </conditionalFormatting>
  <conditionalFormatting sqref="Y104">
    <cfRule type="colorScale" priority="7179">
      <colorScale>
        <cfvo type="min"/>
        <cfvo type="max"/>
        <color rgb="FFF8696B"/>
        <color rgb="FFFCFCFF"/>
      </colorScale>
    </cfRule>
  </conditionalFormatting>
  <conditionalFormatting sqref="Y104">
    <cfRule type="colorScale" priority="7177">
      <colorScale>
        <cfvo type="min"/>
        <cfvo type="max"/>
        <color rgb="FFFCFCFF"/>
        <color rgb="FFF8696B"/>
      </colorScale>
    </cfRule>
  </conditionalFormatting>
  <conditionalFormatting sqref="Y147">
    <cfRule type="colorScale" priority="7176">
      <colorScale>
        <cfvo type="min"/>
        <cfvo type="percentile" val="50"/>
        <cfvo type="max"/>
        <color rgb="FFF8696B"/>
        <color rgb="FFFFEB84"/>
        <color rgb="FF63BE7B"/>
      </colorScale>
    </cfRule>
  </conditionalFormatting>
  <conditionalFormatting sqref="Y147">
    <cfRule type="colorScale" priority="7175">
      <colorScale>
        <cfvo type="min"/>
        <cfvo type="percentile" val="50"/>
        <cfvo type="max"/>
        <color rgb="FF63BE7B"/>
        <color rgb="FFFFEB84"/>
        <color rgb="FFF8696B"/>
      </colorScale>
    </cfRule>
  </conditionalFormatting>
  <conditionalFormatting sqref="Y147">
    <cfRule type="colorScale" priority="7172">
      <colorScale>
        <cfvo type="min"/>
        <cfvo type="max"/>
        <color rgb="FFFCFCFF"/>
        <color rgb="FFF8696B"/>
      </colorScale>
    </cfRule>
    <cfRule type="colorScale" priority="7174">
      <colorScale>
        <cfvo type="min"/>
        <cfvo type="percentile" val="50"/>
        <cfvo type="max"/>
        <color rgb="FF63BE7B"/>
        <color rgb="FFFFEB84"/>
        <color rgb="FFF8696B"/>
      </colorScale>
    </cfRule>
  </conditionalFormatting>
  <conditionalFormatting sqref="Y147">
    <cfRule type="colorScale" priority="7173">
      <colorScale>
        <cfvo type="min"/>
        <cfvo type="max"/>
        <color rgb="FFF8696B"/>
        <color rgb="FFFCFCFF"/>
      </colorScale>
    </cfRule>
  </conditionalFormatting>
  <conditionalFormatting sqref="Y147">
    <cfRule type="colorScale" priority="7171">
      <colorScale>
        <cfvo type="min"/>
        <cfvo type="max"/>
        <color rgb="FFFCFCFF"/>
        <color rgb="FFF8696B"/>
      </colorScale>
    </cfRule>
  </conditionalFormatting>
  <conditionalFormatting sqref="AA18">
    <cfRule type="colorScale" priority="7170">
      <colorScale>
        <cfvo type="min"/>
        <cfvo type="percentile" val="50"/>
        <cfvo type="max"/>
        <color rgb="FFF8696B"/>
        <color rgb="FFFFEB84"/>
        <color rgb="FF63BE7B"/>
      </colorScale>
    </cfRule>
  </conditionalFormatting>
  <conditionalFormatting sqref="AA18">
    <cfRule type="colorScale" priority="7169">
      <colorScale>
        <cfvo type="min"/>
        <cfvo type="percentile" val="50"/>
        <cfvo type="max"/>
        <color rgb="FFF8696B"/>
        <color rgb="FFFFEB84"/>
        <color rgb="FF63BE7B"/>
      </colorScale>
    </cfRule>
  </conditionalFormatting>
  <conditionalFormatting sqref="AA18">
    <cfRule type="colorScale" priority="7168">
      <colorScale>
        <cfvo type="min"/>
        <cfvo type="percentile" val="50"/>
        <cfvo type="max"/>
        <color rgb="FF63BE7B"/>
        <color rgb="FFFFEB84"/>
        <color rgb="FFF8696B"/>
      </colorScale>
    </cfRule>
  </conditionalFormatting>
  <conditionalFormatting sqref="AA18">
    <cfRule type="colorScale" priority="7165">
      <colorScale>
        <cfvo type="min"/>
        <cfvo type="max"/>
        <color rgb="FFFCFCFF"/>
        <color rgb="FFF8696B"/>
      </colorScale>
    </cfRule>
    <cfRule type="colorScale" priority="7167">
      <colorScale>
        <cfvo type="min"/>
        <cfvo type="percentile" val="50"/>
        <cfvo type="max"/>
        <color rgb="FF63BE7B"/>
        <color rgb="FFFFEB84"/>
        <color rgb="FFF8696B"/>
      </colorScale>
    </cfRule>
  </conditionalFormatting>
  <conditionalFormatting sqref="AA18">
    <cfRule type="colorScale" priority="7166">
      <colorScale>
        <cfvo type="min"/>
        <cfvo type="max"/>
        <color rgb="FFF8696B"/>
        <color rgb="FFFCFCFF"/>
      </colorScale>
    </cfRule>
  </conditionalFormatting>
  <conditionalFormatting sqref="AA18">
    <cfRule type="colorScale" priority="7164">
      <colorScale>
        <cfvo type="min"/>
        <cfvo type="max"/>
        <color rgb="FFFCFCFF"/>
        <color rgb="FFF8696B"/>
      </colorScale>
    </cfRule>
  </conditionalFormatting>
  <conditionalFormatting sqref="AA61">
    <cfRule type="colorScale" priority="7163">
      <colorScale>
        <cfvo type="min"/>
        <cfvo type="percentile" val="50"/>
        <cfvo type="max"/>
        <color rgb="FFF8696B"/>
        <color rgb="FFFFEB84"/>
        <color rgb="FF63BE7B"/>
      </colorScale>
    </cfRule>
  </conditionalFormatting>
  <conditionalFormatting sqref="AA61">
    <cfRule type="colorScale" priority="7162">
      <colorScale>
        <cfvo type="min"/>
        <cfvo type="percentile" val="50"/>
        <cfvo type="max"/>
        <color rgb="FFF8696B"/>
        <color rgb="FFFFEB84"/>
        <color rgb="FF63BE7B"/>
      </colorScale>
    </cfRule>
  </conditionalFormatting>
  <conditionalFormatting sqref="AA61">
    <cfRule type="colorScale" priority="7161">
      <colorScale>
        <cfvo type="min"/>
        <cfvo type="percentile" val="50"/>
        <cfvo type="max"/>
        <color rgb="FF63BE7B"/>
        <color rgb="FFFFEB84"/>
        <color rgb="FFF8696B"/>
      </colorScale>
    </cfRule>
  </conditionalFormatting>
  <conditionalFormatting sqref="AA61">
    <cfRule type="colorScale" priority="7158">
      <colorScale>
        <cfvo type="min"/>
        <cfvo type="max"/>
        <color rgb="FFFCFCFF"/>
        <color rgb="FFF8696B"/>
      </colorScale>
    </cfRule>
    <cfRule type="colorScale" priority="7160">
      <colorScale>
        <cfvo type="min"/>
        <cfvo type="percentile" val="50"/>
        <cfvo type="max"/>
        <color rgb="FF63BE7B"/>
        <color rgb="FFFFEB84"/>
        <color rgb="FFF8696B"/>
      </colorScale>
    </cfRule>
  </conditionalFormatting>
  <conditionalFormatting sqref="AA61">
    <cfRule type="colorScale" priority="7159">
      <colorScale>
        <cfvo type="min"/>
        <cfvo type="max"/>
        <color rgb="FFF8696B"/>
        <color rgb="FFFCFCFF"/>
      </colorScale>
    </cfRule>
  </conditionalFormatting>
  <conditionalFormatting sqref="AA61">
    <cfRule type="colorScale" priority="7157">
      <colorScale>
        <cfvo type="min"/>
        <cfvo type="max"/>
        <color rgb="FFFCFCFF"/>
        <color rgb="FFF8696B"/>
      </colorScale>
    </cfRule>
  </conditionalFormatting>
  <conditionalFormatting sqref="AA104">
    <cfRule type="colorScale" priority="7156">
      <colorScale>
        <cfvo type="min"/>
        <cfvo type="percentile" val="50"/>
        <cfvo type="max"/>
        <color rgb="FFF8696B"/>
        <color rgb="FFFFEB84"/>
        <color rgb="FF63BE7B"/>
      </colorScale>
    </cfRule>
  </conditionalFormatting>
  <conditionalFormatting sqref="AA104">
    <cfRule type="colorScale" priority="7155">
      <colorScale>
        <cfvo type="min"/>
        <cfvo type="percentile" val="50"/>
        <cfvo type="max"/>
        <color rgb="FFF8696B"/>
        <color rgb="FFFFEB84"/>
        <color rgb="FF63BE7B"/>
      </colorScale>
    </cfRule>
  </conditionalFormatting>
  <conditionalFormatting sqref="AA104">
    <cfRule type="colorScale" priority="7154">
      <colorScale>
        <cfvo type="min"/>
        <cfvo type="percentile" val="50"/>
        <cfvo type="max"/>
        <color rgb="FF63BE7B"/>
        <color rgb="FFFFEB84"/>
        <color rgb="FFF8696B"/>
      </colorScale>
    </cfRule>
  </conditionalFormatting>
  <conditionalFormatting sqref="AA104">
    <cfRule type="colorScale" priority="7151">
      <colorScale>
        <cfvo type="min"/>
        <cfvo type="max"/>
        <color rgb="FFFCFCFF"/>
        <color rgb="FFF8696B"/>
      </colorScale>
    </cfRule>
    <cfRule type="colorScale" priority="7153">
      <colorScale>
        <cfvo type="min"/>
        <cfvo type="percentile" val="50"/>
        <cfvo type="max"/>
        <color rgb="FF63BE7B"/>
        <color rgb="FFFFEB84"/>
        <color rgb="FFF8696B"/>
      </colorScale>
    </cfRule>
  </conditionalFormatting>
  <conditionalFormatting sqref="AA104">
    <cfRule type="colorScale" priority="7152">
      <colorScale>
        <cfvo type="min"/>
        <cfvo type="max"/>
        <color rgb="FFF8696B"/>
        <color rgb="FFFCFCFF"/>
      </colorScale>
    </cfRule>
  </conditionalFormatting>
  <conditionalFormatting sqref="AA104">
    <cfRule type="colorScale" priority="7150">
      <colorScale>
        <cfvo type="min"/>
        <cfvo type="max"/>
        <color rgb="FFFCFCFF"/>
        <color rgb="FFF8696B"/>
      </colorScale>
    </cfRule>
  </conditionalFormatting>
  <conditionalFormatting sqref="AA147">
    <cfRule type="colorScale" priority="7149">
      <colorScale>
        <cfvo type="min"/>
        <cfvo type="percentile" val="50"/>
        <cfvo type="max"/>
        <color rgb="FFF8696B"/>
        <color rgb="FFFFEB84"/>
        <color rgb="FF63BE7B"/>
      </colorScale>
    </cfRule>
  </conditionalFormatting>
  <conditionalFormatting sqref="AA147">
    <cfRule type="colorScale" priority="7148">
      <colorScale>
        <cfvo type="min"/>
        <cfvo type="percentile" val="50"/>
        <cfvo type="max"/>
        <color rgb="FFF8696B"/>
        <color rgb="FFFFEB84"/>
        <color rgb="FF63BE7B"/>
      </colorScale>
    </cfRule>
  </conditionalFormatting>
  <conditionalFormatting sqref="AA147">
    <cfRule type="colorScale" priority="7147">
      <colorScale>
        <cfvo type="min"/>
        <cfvo type="percentile" val="50"/>
        <cfvo type="max"/>
        <color rgb="FF63BE7B"/>
        <color rgb="FFFFEB84"/>
        <color rgb="FFF8696B"/>
      </colorScale>
    </cfRule>
  </conditionalFormatting>
  <conditionalFormatting sqref="AA147">
    <cfRule type="colorScale" priority="7144">
      <colorScale>
        <cfvo type="min"/>
        <cfvo type="max"/>
        <color rgb="FFFCFCFF"/>
        <color rgb="FFF8696B"/>
      </colorScale>
    </cfRule>
    <cfRule type="colorScale" priority="7146">
      <colorScale>
        <cfvo type="min"/>
        <cfvo type="percentile" val="50"/>
        <cfvo type="max"/>
        <color rgb="FF63BE7B"/>
        <color rgb="FFFFEB84"/>
        <color rgb="FFF8696B"/>
      </colorScale>
    </cfRule>
  </conditionalFormatting>
  <conditionalFormatting sqref="AA147">
    <cfRule type="colorScale" priority="7145">
      <colorScale>
        <cfvo type="min"/>
        <cfvo type="max"/>
        <color rgb="FFF8696B"/>
        <color rgb="FFFCFCFF"/>
      </colorScale>
    </cfRule>
  </conditionalFormatting>
  <conditionalFormatting sqref="AA147">
    <cfRule type="colorScale" priority="7143">
      <colorScale>
        <cfvo type="min"/>
        <cfvo type="max"/>
        <color rgb="FFFCFCFF"/>
        <color rgb="FFF8696B"/>
      </colorScale>
    </cfRule>
  </conditionalFormatting>
  <conditionalFormatting sqref="Y233">
    <cfRule type="colorScale" priority="7142">
      <colorScale>
        <cfvo type="min"/>
        <cfvo type="percentile" val="50"/>
        <cfvo type="max"/>
        <color rgb="FFF8696B"/>
        <color rgb="FFFFEB84"/>
        <color rgb="FF63BE7B"/>
      </colorScale>
    </cfRule>
  </conditionalFormatting>
  <conditionalFormatting sqref="Y233">
    <cfRule type="colorScale" priority="7141">
      <colorScale>
        <cfvo type="min"/>
        <cfvo type="percentile" val="50"/>
        <cfvo type="max"/>
        <color rgb="FF63BE7B"/>
        <color rgb="FFFFEB84"/>
        <color rgb="FFF8696B"/>
      </colorScale>
    </cfRule>
  </conditionalFormatting>
  <conditionalFormatting sqref="Y233">
    <cfRule type="colorScale" priority="7138">
      <colorScale>
        <cfvo type="min"/>
        <cfvo type="max"/>
        <color rgb="FFFCFCFF"/>
        <color rgb="FFF8696B"/>
      </colorScale>
    </cfRule>
    <cfRule type="colorScale" priority="7140">
      <colorScale>
        <cfvo type="min"/>
        <cfvo type="percentile" val="50"/>
        <cfvo type="max"/>
        <color rgb="FF63BE7B"/>
        <color rgb="FFFFEB84"/>
        <color rgb="FFF8696B"/>
      </colorScale>
    </cfRule>
  </conditionalFormatting>
  <conditionalFormatting sqref="Y233">
    <cfRule type="colorScale" priority="7139">
      <colorScale>
        <cfvo type="min"/>
        <cfvo type="max"/>
        <color rgb="FFF8696B"/>
        <color rgb="FFFCFCFF"/>
      </colorScale>
    </cfRule>
  </conditionalFormatting>
  <conditionalFormatting sqref="Y233">
    <cfRule type="colorScale" priority="7137">
      <colorScale>
        <cfvo type="min"/>
        <cfvo type="max"/>
        <color rgb="FFFCFCFF"/>
        <color rgb="FFF8696B"/>
      </colorScale>
    </cfRule>
  </conditionalFormatting>
  <conditionalFormatting sqref="Y190">
    <cfRule type="colorScale" priority="7136">
      <colorScale>
        <cfvo type="min"/>
        <cfvo type="percentile" val="50"/>
        <cfvo type="max"/>
        <color rgb="FFF8696B"/>
        <color rgb="FFFFEB84"/>
        <color rgb="FF63BE7B"/>
      </colorScale>
    </cfRule>
  </conditionalFormatting>
  <conditionalFormatting sqref="Y190">
    <cfRule type="colorScale" priority="7135">
      <colorScale>
        <cfvo type="min"/>
        <cfvo type="percentile" val="50"/>
        <cfvo type="max"/>
        <color rgb="FF63BE7B"/>
        <color rgb="FFFFEB84"/>
        <color rgb="FFF8696B"/>
      </colorScale>
    </cfRule>
  </conditionalFormatting>
  <conditionalFormatting sqref="Y190">
    <cfRule type="colorScale" priority="7132">
      <colorScale>
        <cfvo type="min"/>
        <cfvo type="max"/>
        <color rgb="FFFCFCFF"/>
        <color rgb="FFF8696B"/>
      </colorScale>
    </cfRule>
    <cfRule type="colorScale" priority="7134">
      <colorScale>
        <cfvo type="min"/>
        <cfvo type="percentile" val="50"/>
        <cfvo type="max"/>
        <color rgb="FF63BE7B"/>
        <color rgb="FFFFEB84"/>
        <color rgb="FFF8696B"/>
      </colorScale>
    </cfRule>
  </conditionalFormatting>
  <conditionalFormatting sqref="Y190">
    <cfRule type="colorScale" priority="7133">
      <colorScale>
        <cfvo type="min"/>
        <cfvo type="max"/>
        <color rgb="FFF8696B"/>
        <color rgb="FFFCFCFF"/>
      </colorScale>
    </cfRule>
  </conditionalFormatting>
  <conditionalFormatting sqref="Y190">
    <cfRule type="colorScale" priority="7131">
      <colorScale>
        <cfvo type="min"/>
        <cfvo type="max"/>
        <color rgb="FFFCFCFF"/>
        <color rgb="FFF8696B"/>
      </colorScale>
    </cfRule>
  </conditionalFormatting>
  <conditionalFormatting sqref="AC18">
    <cfRule type="colorScale" priority="7130">
      <colorScale>
        <cfvo type="min"/>
        <cfvo type="percentile" val="50"/>
        <cfvo type="max"/>
        <color rgb="FFF8696B"/>
        <color rgb="FFFFEB84"/>
        <color rgb="FF63BE7B"/>
      </colorScale>
    </cfRule>
  </conditionalFormatting>
  <conditionalFormatting sqref="AC18">
    <cfRule type="colorScale" priority="7129">
      <colorScale>
        <cfvo type="min"/>
        <cfvo type="percentile" val="50"/>
        <cfvo type="max"/>
        <color rgb="FFF8696B"/>
        <color rgb="FFFFEB84"/>
        <color rgb="FF63BE7B"/>
      </colorScale>
    </cfRule>
  </conditionalFormatting>
  <conditionalFormatting sqref="AC18">
    <cfRule type="colorScale" priority="7128">
      <colorScale>
        <cfvo type="min"/>
        <cfvo type="percentile" val="50"/>
        <cfvo type="max"/>
        <color rgb="FF63BE7B"/>
        <color rgb="FFFFEB84"/>
        <color rgb="FFF8696B"/>
      </colorScale>
    </cfRule>
  </conditionalFormatting>
  <conditionalFormatting sqref="AC18">
    <cfRule type="colorScale" priority="7125">
      <colorScale>
        <cfvo type="min"/>
        <cfvo type="max"/>
        <color rgb="FFFCFCFF"/>
        <color rgb="FFF8696B"/>
      </colorScale>
    </cfRule>
    <cfRule type="colorScale" priority="7127">
      <colorScale>
        <cfvo type="min"/>
        <cfvo type="percentile" val="50"/>
        <cfvo type="max"/>
        <color rgb="FF63BE7B"/>
        <color rgb="FFFFEB84"/>
        <color rgb="FFF8696B"/>
      </colorScale>
    </cfRule>
  </conditionalFormatting>
  <conditionalFormatting sqref="AC18">
    <cfRule type="colorScale" priority="7126">
      <colorScale>
        <cfvo type="min"/>
        <cfvo type="max"/>
        <color rgb="FFF8696B"/>
        <color rgb="FFFCFCFF"/>
      </colorScale>
    </cfRule>
  </conditionalFormatting>
  <conditionalFormatting sqref="AC18">
    <cfRule type="colorScale" priority="7124">
      <colorScale>
        <cfvo type="min"/>
        <cfvo type="max"/>
        <color rgb="FFFCFCFF"/>
        <color rgb="FFF8696B"/>
      </colorScale>
    </cfRule>
  </conditionalFormatting>
  <conditionalFormatting sqref="AC61">
    <cfRule type="colorScale" priority="7123">
      <colorScale>
        <cfvo type="min"/>
        <cfvo type="percentile" val="50"/>
        <cfvo type="max"/>
        <color rgb="FFF8696B"/>
        <color rgb="FFFFEB84"/>
        <color rgb="FF63BE7B"/>
      </colorScale>
    </cfRule>
  </conditionalFormatting>
  <conditionalFormatting sqref="AC61">
    <cfRule type="colorScale" priority="7122">
      <colorScale>
        <cfvo type="min"/>
        <cfvo type="percentile" val="50"/>
        <cfvo type="max"/>
        <color rgb="FFF8696B"/>
        <color rgb="FFFFEB84"/>
        <color rgb="FF63BE7B"/>
      </colorScale>
    </cfRule>
  </conditionalFormatting>
  <conditionalFormatting sqref="AC61">
    <cfRule type="colorScale" priority="7121">
      <colorScale>
        <cfvo type="min"/>
        <cfvo type="percentile" val="50"/>
        <cfvo type="max"/>
        <color rgb="FF63BE7B"/>
        <color rgb="FFFFEB84"/>
        <color rgb="FFF8696B"/>
      </colorScale>
    </cfRule>
  </conditionalFormatting>
  <conditionalFormatting sqref="AC61">
    <cfRule type="colorScale" priority="7118">
      <colorScale>
        <cfvo type="min"/>
        <cfvo type="max"/>
        <color rgb="FFFCFCFF"/>
        <color rgb="FFF8696B"/>
      </colorScale>
    </cfRule>
    <cfRule type="colorScale" priority="7120">
      <colorScale>
        <cfvo type="min"/>
        <cfvo type="percentile" val="50"/>
        <cfvo type="max"/>
        <color rgb="FF63BE7B"/>
        <color rgb="FFFFEB84"/>
        <color rgb="FFF8696B"/>
      </colorScale>
    </cfRule>
  </conditionalFormatting>
  <conditionalFormatting sqref="AC61">
    <cfRule type="colorScale" priority="7119">
      <colorScale>
        <cfvo type="min"/>
        <cfvo type="max"/>
        <color rgb="FFF8696B"/>
        <color rgb="FFFCFCFF"/>
      </colorScale>
    </cfRule>
  </conditionalFormatting>
  <conditionalFormatting sqref="AC61">
    <cfRule type="colorScale" priority="7117">
      <colorScale>
        <cfvo type="min"/>
        <cfvo type="max"/>
        <color rgb="FFFCFCFF"/>
        <color rgb="FFF8696B"/>
      </colorScale>
    </cfRule>
  </conditionalFormatting>
  <conditionalFormatting sqref="AC104">
    <cfRule type="colorScale" priority="7116">
      <colorScale>
        <cfvo type="min"/>
        <cfvo type="percentile" val="50"/>
        <cfvo type="max"/>
        <color rgb="FFF8696B"/>
        <color rgb="FFFFEB84"/>
        <color rgb="FF63BE7B"/>
      </colorScale>
    </cfRule>
  </conditionalFormatting>
  <conditionalFormatting sqref="AC104">
    <cfRule type="colorScale" priority="7115">
      <colorScale>
        <cfvo type="min"/>
        <cfvo type="percentile" val="50"/>
        <cfvo type="max"/>
        <color rgb="FFF8696B"/>
        <color rgb="FFFFEB84"/>
        <color rgb="FF63BE7B"/>
      </colorScale>
    </cfRule>
  </conditionalFormatting>
  <conditionalFormatting sqref="AC104">
    <cfRule type="colorScale" priority="7114">
      <colorScale>
        <cfvo type="min"/>
        <cfvo type="percentile" val="50"/>
        <cfvo type="max"/>
        <color rgb="FF63BE7B"/>
        <color rgb="FFFFEB84"/>
        <color rgb="FFF8696B"/>
      </colorScale>
    </cfRule>
  </conditionalFormatting>
  <conditionalFormatting sqref="AC104">
    <cfRule type="colorScale" priority="7111">
      <colorScale>
        <cfvo type="min"/>
        <cfvo type="max"/>
        <color rgb="FFFCFCFF"/>
        <color rgb="FFF8696B"/>
      </colorScale>
    </cfRule>
    <cfRule type="colorScale" priority="7113">
      <colorScale>
        <cfvo type="min"/>
        <cfvo type="percentile" val="50"/>
        <cfvo type="max"/>
        <color rgb="FF63BE7B"/>
        <color rgb="FFFFEB84"/>
        <color rgb="FFF8696B"/>
      </colorScale>
    </cfRule>
  </conditionalFormatting>
  <conditionalFormatting sqref="AC104">
    <cfRule type="colorScale" priority="7112">
      <colorScale>
        <cfvo type="min"/>
        <cfvo type="max"/>
        <color rgb="FFF8696B"/>
        <color rgb="FFFCFCFF"/>
      </colorScale>
    </cfRule>
  </conditionalFormatting>
  <conditionalFormatting sqref="AC104">
    <cfRule type="colorScale" priority="7110">
      <colorScale>
        <cfvo type="min"/>
        <cfvo type="max"/>
        <color rgb="FFFCFCFF"/>
        <color rgb="FFF8696B"/>
      </colorScale>
    </cfRule>
  </conditionalFormatting>
  <conditionalFormatting sqref="AC147">
    <cfRule type="colorScale" priority="7109">
      <colorScale>
        <cfvo type="min"/>
        <cfvo type="percentile" val="50"/>
        <cfvo type="max"/>
        <color rgb="FFF8696B"/>
        <color rgb="FFFFEB84"/>
        <color rgb="FF63BE7B"/>
      </colorScale>
    </cfRule>
  </conditionalFormatting>
  <conditionalFormatting sqref="AC147">
    <cfRule type="colorScale" priority="7108">
      <colorScale>
        <cfvo type="min"/>
        <cfvo type="percentile" val="50"/>
        <cfvo type="max"/>
        <color rgb="FFF8696B"/>
        <color rgb="FFFFEB84"/>
        <color rgb="FF63BE7B"/>
      </colorScale>
    </cfRule>
  </conditionalFormatting>
  <conditionalFormatting sqref="AC147">
    <cfRule type="colorScale" priority="7107">
      <colorScale>
        <cfvo type="min"/>
        <cfvo type="percentile" val="50"/>
        <cfvo type="max"/>
        <color rgb="FF63BE7B"/>
        <color rgb="FFFFEB84"/>
        <color rgb="FFF8696B"/>
      </colorScale>
    </cfRule>
  </conditionalFormatting>
  <conditionalFormatting sqref="AC147">
    <cfRule type="colorScale" priority="7104">
      <colorScale>
        <cfvo type="min"/>
        <cfvo type="max"/>
        <color rgb="FFFCFCFF"/>
        <color rgb="FFF8696B"/>
      </colorScale>
    </cfRule>
    <cfRule type="colorScale" priority="7106">
      <colorScale>
        <cfvo type="min"/>
        <cfvo type="percentile" val="50"/>
        <cfvo type="max"/>
        <color rgb="FF63BE7B"/>
        <color rgb="FFFFEB84"/>
        <color rgb="FFF8696B"/>
      </colorScale>
    </cfRule>
  </conditionalFormatting>
  <conditionalFormatting sqref="AC147">
    <cfRule type="colorScale" priority="7105">
      <colorScale>
        <cfvo type="min"/>
        <cfvo type="max"/>
        <color rgb="FFF8696B"/>
        <color rgb="FFFCFCFF"/>
      </colorScale>
    </cfRule>
  </conditionalFormatting>
  <conditionalFormatting sqref="AC147">
    <cfRule type="colorScale" priority="7103">
      <colorScale>
        <cfvo type="min"/>
        <cfvo type="max"/>
        <color rgb="FFFCFCFF"/>
        <color rgb="FFF8696B"/>
      </colorScale>
    </cfRule>
  </conditionalFormatting>
  <conditionalFormatting sqref="AC190">
    <cfRule type="colorScale" priority="7102">
      <colorScale>
        <cfvo type="min"/>
        <cfvo type="percentile" val="50"/>
        <cfvo type="max"/>
        <color rgb="FFF8696B"/>
        <color rgb="FFFFEB84"/>
        <color rgb="FF63BE7B"/>
      </colorScale>
    </cfRule>
  </conditionalFormatting>
  <conditionalFormatting sqref="AC190">
    <cfRule type="colorScale" priority="7101">
      <colorScale>
        <cfvo type="min"/>
        <cfvo type="percentile" val="50"/>
        <cfvo type="max"/>
        <color rgb="FFF8696B"/>
        <color rgb="FFFFEB84"/>
        <color rgb="FF63BE7B"/>
      </colorScale>
    </cfRule>
  </conditionalFormatting>
  <conditionalFormatting sqref="AC190">
    <cfRule type="colorScale" priority="7100">
      <colorScale>
        <cfvo type="min"/>
        <cfvo type="percentile" val="50"/>
        <cfvo type="max"/>
        <color rgb="FF63BE7B"/>
        <color rgb="FFFFEB84"/>
        <color rgb="FFF8696B"/>
      </colorScale>
    </cfRule>
  </conditionalFormatting>
  <conditionalFormatting sqref="AC190">
    <cfRule type="colorScale" priority="7097">
      <colorScale>
        <cfvo type="min"/>
        <cfvo type="max"/>
        <color rgb="FFFCFCFF"/>
        <color rgb="FFF8696B"/>
      </colorScale>
    </cfRule>
    <cfRule type="colorScale" priority="7099">
      <colorScale>
        <cfvo type="min"/>
        <cfvo type="percentile" val="50"/>
        <cfvo type="max"/>
        <color rgb="FF63BE7B"/>
        <color rgb="FFFFEB84"/>
        <color rgb="FFF8696B"/>
      </colorScale>
    </cfRule>
  </conditionalFormatting>
  <conditionalFormatting sqref="AC190">
    <cfRule type="colorScale" priority="7098">
      <colorScale>
        <cfvo type="min"/>
        <cfvo type="max"/>
        <color rgb="FFF8696B"/>
        <color rgb="FFFCFCFF"/>
      </colorScale>
    </cfRule>
  </conditionalFormatting>
  <conditionalFormatting sqref="AC190">
    <cfRule type="colorScale" priority="7096">
      <colorScale>
        <cfvo type="min"/>
        <cfvo type="max"/>
        <color rgb="FFFCFCFF"/>
        <color rgb="FFF8696B"/>
      </colorScale>
    </cfRule>
  </conditionalFormatting>
  <conditionalFormatting sqref="AC233">
    <cfRule type="colorScale" priority="7095">
      <colorScale>
        <cfvo type="min"/>
        <cfvo type="percentile" val="50"/>
        <cfvo type="max"/>
        <color rgb="FFF8696B"/>
        <color rgb="FFFFEB84"/>
        <color rgb="FF63BE7B"/>
      </colorScale>
    </cfRule>
  </conditionalFormatting>
  <conditionalFormatting sqref="AC233">
    <cfRule type="colorScale" priority="7094">
      <colorScale>
        <cfvo type="min"/>
        <cfvo type="percentile" val="50"/>
        <cfvo type="max"/>
        <color rgb="FFF8696B"/>
        <color rgb="FFFFEB84"/>
        <color rgb="FF63BE7B"/>
      </colorScale>
    </cfRule>
  </conditionalFormatting>
  <conditionalFormatting sqref="AC233">
    <cfRule type="colorScale" priority="7093">
      <colorScale>
        <cfvo type="min"/>
        <cfvo type="percentile" val="50"/>
        <cfvo type="max"/>
        <color rgb="FF63BE7B"/>
        <color rgb="FFFFEB84"/>
        <color rgb="FFF8696B"/>
      </colorScale>
    </cfRule>
  </conditionalFormatting>
  <conditionalFormatting sqref="AC233">
    <cfRule type="colorScale" priority="7090">
      <colorScale>
        <cfvo type="min"/>
        <cfvo type="max"/>
        <color rgb="FFFCFCFF"/>
        <color rgb="FFF8696B"/>
      </colorScale>
    </cfRule>
    <cfRule type="colorScale" priority="7092">
      <colorScale>
        <cfvo type="min"/>
        <cfvo type="percentile" val="50"/>
        <cfvo type="max"/>
        <color rgb="FF63BE7B"/>
        <color rgb="FFFFEB84"/>
        <color rgb="FFF8696B"/>
      </colorScale>
    </cfRule>
  </conditionalFormatting>
  <conditionalFormatting sqref="AC233">
    <cfRule type="colorScale" priority="7091">
      <colorScale>
        <cfvo type="min"/>
        <cfvo type="max"/>
        <color rgb="FFF8696B"/>
        <color rgb="FFFCFCFF"/>
      </colorScale>
    </cfRule>
  </conditionalFormatting>
  <conditionalFormatting sqref="AC233">
    <cfRule type="colorScale" priority="7089">
      <colorScale>
        <cfvo type="min"/>
        <cfvo type="max"/>
        <color rgb="FFFCFCFF"/>
        <color rgb="FFF8696B"/>
      </colorScale>
    </cfRule>
  </conditionalFormatting>
  <conditionalFormatting sqref="AE233">
    <cfRule type="colorScale" priority="7088">
      <colorScale>
        <cfvo type="min"/>
        <cfvo type="percentile" val="50"/>
        <cfvo type="max"/>
        <color rgb="FFF8696B"/>
        <color rgb="FFFFEB84"/>
        <color rgb="FF63BE7B"/>
      </colorScale>
    </cfRule>
  </conditionalFormatting>
  <conditionalFormatting sqref="AE233">
    <cfRule type="colorScale" priority="7087">
      <colorScale>
        <cfvo type="min"/>
        <cfvo type="percentile" val="50"/>
        <cfvo type="max"/>
        <color rgb="FFF8696B"/>
        <color rgb="FFFFEB84"/>
        <color rgb="FF63BE7B"/>
      </colorScale>
    </cfRule>
  </conditionalFormatting>
  <conditionalFormatting sqref="AE233">
    <cfRule type="colorScale" priority="7086">
      <colorScale>
        <cfvo type="min"/>
        <cfvo type="percentile" val="50"/>
        <cfvo type="max"/>
        <color rgb="FF63BE7B"/>
        <color rgb="FFFFEB84"/>
        <color rgb="FFF8696B"/>
      </colorScale>
    </cfRule>
  </conditionalFormatting>
  <conditionalFormatting sqref="AE233">
    <cfRule type="colorScale" priority="7083">
      <colorScale>
        <cfvo type="min"/>
        <cfvo type="max"/>
        <color rgb="FFFCFCFF"/>
        <color rgb="FFF8696B"/>
      </colorScale>
    </cfRule>
    <cfRule type="colorScale" priority="7085">
      <colorScale>
        <cfvo type="min"/>
        <cfvo type="percentile" val="50"/>
        <cfvo type="max"/>
        <color rgb="FF63BE7B"/>
        <color rgb="FFFFEB84"/>
        <color rgb="FFF8696B"/>
      </colorScale>
    </cfRule>
  </conditionalFormatting>
  <conditionalFormatting sqref="AE233">
    <cfRule type="colorScale" priority="7084">
      <colorScale>
        <cfvo type="min"/>
        <cfvo type="max"/>
        <color rgb="FFF8696B"/>
        <color rgb="FFFCFCFF"/>
      </colorScale>
    </cfRule>
  </conditionalFormatting>
  <conditionalFormatting sqref="AE233">
    <cfRule type="colorScale" priority="7082">
      <colorScale>
        <cfvo type="min"/>
        <cfvo type="max"/>
        <color rgb="FFFCFCFF"/>
        <color rgb="FFF8696B"/>
      </colorScale>
    </cfRule>
  </conditionalFormatting>
  <conditionalFormatting sqref="AE190">
    <cfRule type="colorScale" priority="7081">
      <colorScale>
        <cfvo type="min"/>
        <cfvo type="percentile" val="50"/>
        <cfvo type="max"/>
        <color rgb="FFF8696B"/>
        <color rgb="FFFFEB84"/>
        <color rgb="FF63BE7B"/>
      </colorScale>
    </cfRule>
  </conditionalFormatting>
  <conditionalFormatting sqref="AE190">
    <cfRule type="colorScale" priority="7080">
      <colorScale>
        <cfvo type="min"/>
        <cfvo type="percentile" val="50"/>
        <cfvo type="max"/>
        <color rgb="FFF8696B"/>
        <color rgb="FFFFEB84"/>
        <color rgb="FF63BE7B"/>
      </colorScale>
    </cfRule>
  </conditionalFormatting>
  <conditionalFormatting sqref="AE190">
    <cfRule type="colorScale" priority="7079">
      <colorScale>
        <cfvo type="min"/>
        <cfvo type="percentile" val="50"/>
        <cfvo type="max"/>
        <color rgb="FF63BE7B"/>
        <color rgb="FFFFEB84"/>
        <color rgb="FFF8696B"/>
      </colorScale>
    </cfRule>
  </conditionalFormatting>
  <conditionalFormatting sqref="AE190">
    <cfRule type="colorScale" priority="7076">
      <colorScale>
        <cfvo type="min"/>
        <cfvo type="max"/>
        <color rgb="FFFCFCFF"/>
        <color rgb="FFF8696B"/>
      </colorScale>
    </cfRule>
    <cfRule type="colorScale" priority="7078">
      <colorScale>
        <cfvo type="min"/>
        <cfvo type="percentile" val="50"/>
        <cfvo type="max"/>
        <color rgb="FF63BE7B"/>
        <color rgb="FFFFEB84"/>
        <color rgb="FFF8696B"/>
      </colorScale>
    </cfRule>
  </conditionalFormatting>
  <conditionalFormatting sqref="AE190">
    <cfRule type="colorScale" priority="7077">
      <colorScale>
        <cfvo type="min"/>
        <cfvo type="max"/>
        <color rgb="FFF8696B"/>
        <color rgb="FFFCFCFF"/>
      </colorScale>
    </cfRule>
  </conditionalFormatting>
  <conditionalFormatting sqref="AE190">
    <cfRule type="colorScale" priority="7075">
      <colorScale>
        <cfvo type="min"/>
        <cfvo type="max"/>
        <color rgb="FFFCFCFF"/>
        <color rgb="FFF8696B"/>
      </colorScale>
    </cfRule>
  </conditionalFormatting>
  <conditionalFormatting sqref="AE147">
    <cfRule type="colorScale" priority="7074">
      <colorScale>
        <cfvo type="min"/>
        <cfvo type="percentile" val="50"/>
        <cfvo type="max"/>
        <color rgb="FFF8696B"/>
        <color rgb="FFFFEB84"/>
        <color rgb="FF63BE7B"/>
      </colorScale>
    </cfRule>
  </conditionalFormatting>
  <conditionalFormatting sqref="AE147">
    <cfRule type="colorScale" priority="7073">
      <colorScale>
        <cfvo type="min"/>
        <cfvo type="percentile" val="50"/>
        <cfvo type="max"/>
        <color rgb="FFF8696B"/>
        <color rgb="FFFFEB84"/>
        <color rgb="FF63BE7B"/>
      </colorScale>
    </cfRule>
  </conditionalFormatting>
  <conditionalFormatting sqref="AE147">
    <cfRule type="colorScale" priority="7072">
      <colorScale>
        <cfvo type="min"/>
        <cfvo type="percentile" val="50"/>
        <cfvo type="max"/>
        <color rgb="FF63BE7B"/>
        <color rgb="FFFFEB84"/>
        <color rgb="FFF8696B"/>
      </colorScale>
    </cfRule>
  </conditionalFormatting>
  <conditionalFormatting sqref="AE147">
    <cfRule type="colorScale" priority="7069">
      <colorScale>
        <cfvo type="min"/>
        <cfvo type="max"/>
        <color rgb="FFFCFCFF"/>
        <color rgb="FFF8696B"/>
      </colorScale>
    </cfRule>
    <cfRule type="colorScale" priority="7071">
      <colorScale>
        <cfvo type="min"/>
        <cfvo type="percentile" val="50"/>
        <cfvo type="max"/>
        <color rgb="FF63BE7B"/>
        <color rgb="FFFFEB84"/>
        <color rgb="FFF8696B"/>
      </colorScale>
    </cfRule>
  </conditionalFormatting>
  <conditionalFormatting sqref="AE147">
    <cfRule type="colorScale" priority="7070">
      <colorScale>
        <cfvo type="min"/>
        <cfvo type="max"/>
        <color rgb="FFF8696B"/>
        <color rgb="FFFCFCFF"/>
      </colorScale>
    </cfRule>
  </conditionalFormatting>
  <conditionalFormatting sqref="AE147">
    <cfRule type="colorScale" priority="7068">
      <colorScale>
        <cfvo type="min"/>
        <cfvo type="max"/>
        <color rgb="FFFCFCFF"/>
        <color rgb="FFF8696B"/>
      </colorScale>
    </cfRule>
  </conditionalFormatting>
  <conditionalFormatting sqref="AE104">
    <cfRule type="colorScale" priority="7067">
      <colorScale>
        <cfvo type="min"/>
        <cfvo type="percentile" val="50"/>
        <cfvo type="max"/>
        <color rgb="FFF8696B"/>
        <color rgb="FFFFEB84"/>
        <color rgb="FF63BE7B"/>
      </colorScale>
    </cfRule>
  </conditionalFormatting>
  <conditionalFormatting sqref="AE104">
    <cfRule type="colorScale" priority="7066">
      <colorScale>
        <cfvo type="min"/>
        <cfvo type="percentile" val="50"/>
        <cfvo type="max"/>
        <color rgb="FFF8696B"/>
        <color rgb="FFFFEB84"/>
        <color rgb="FF63BE7B"/>
      </colorScale>
    </cfRule>
  </conditionalFormatting>
  <conditionalFormatting sqref="AE104">
    <cfRule type="colorScale" priority="7065">
      <colorScale>
        <cfvo type="min"/>
        <cfvo type="percentile" val="50"/>
        <cfvo type="max"/>
        <color rgb="FF63BE7B"/>
        <color rgb="FFFFEB84"/>
        <color rgb="FFF8696B"/>
      </colorScale>
    </cfRule>
  </conditionalFormatting>
  <conditionalFormatting sqref="AE104">
    <cfRule type="colorScale" priority="7062">
      <colorScale>
        <cfvo type="min"/>
        <cfvo type="max"/>
        <color rgb="FFFCFCFF"/>
        <color rgb="FFF8696B"/>
      </colorScale>
    </cfRule>
    <cfRule type="colorScale" priority="7064">
      <colorScale>
        <cfvo type="min"/>
        <cfvo type="percentile" val="50"/>
        <cfvo type="max"/>
        <color rgb="FF63BE7B"/>
        <color rgb="FFFFEB84"/>
        <color rgb="FFF8696B"/>
      </colorScale>
    </cfRule>
  </conditionalFormatting>
  <conditionalFormatting sqref="AE104">
    <cfRule type="colorScale" priority="7063">
      <colorScale>
        <cfvo type="min"/>
        <cfvo type="max"/>
        <color rgb="FFF8696B"/>
        <color rgb="FFFCFCFF"/>
      </colorScale>
    </cfRule>
  </conditionalFormatting>
  <conditionalFormatting sqref="AE104">
    <cfRule type="colorScale" priority="7061">
      <colorScale>
        <cfvo type="min"/>
        <cfvo type="max"/>
        <color rgb="FFFCFCFF"/>
        <color rgb="FFF8696B"/>
      </colorScale>
    </cfRule>
  </conditionalFormatting>
  <conditionalFormatting sqref="AE61">
    <cfRule type="colorScale" priority="7060">
      <colorScale>
        <cfvo type="min"/>
        <cfvo type="percentile" val="50"/>
        <cfvo type="max"/>
        <color rgb="FFF8696B"/>
        <color rgb="FFFFEB84"/>
        <color rgb="FF63BE7B"/>
      </colorScale>
    </cfRule>
  </conditionalFormatting>
  <conditionalFormatting sqref="AE61">
    <cfRule type="colorScale" priority="7059">
      <colorScale>
        <cfvo type="min"/>
        <cfvo type="percentile" val="50"/>
        <cfvo type="max"/>
        <color rgb="FFF8696B"/>
        <color rgb="FFFFEB84"/>
        <color rgb="FF63BE7B"/>
      </colorScale>
    </cfRule>
  </conditionalFormatting>
  <conditionalFormatting sqref="AE61">
    <cfRule type="colorScale" priority="7058">
      <colorScale>
        <cfvo type="min"/>
        <cfvo type="percentile" val="50"/>
        <cfvo type="max"/>
        <color rgb="FF63BE7B"/>
        <color rgb="FFFFEB84"/>
        <color rgb="FFF8696B"/>
      </colorScale>
    </cfRule>
  </conditionalFormatting>
  <conditionalFormatting sqref="AE61">
    <cfRule type="colorScale" priority="7055">
      <colorScale>
        <cfvo type="min"/>
        <cfvo type="max"/>
        <color rgb="FFFCFCFF"/>
        <color rgb="FFF8696B"/>
      </colorScale>
    </cfRule>
    <cfRule type="colorScale" priority="7057">
      <colorScale>
        <cfvo type="min"/>
        <cfvo type="percentile" val="50"/>
        <cfvo type="max"/>
        <color rgb="FF63BE7B"/>
        <color rgb="FFFFEB84"/>
        <color rgb="FFF8696B"/>
      </colorScale>
    </cfRule>
  </conditionalFormatting>
  <conditionalFormatting sqref="AE61">
    <cfRule type="colorScale" priority="7056">
      <colorScale>
        <cfvo type="min"/>
        <cfvo type="max"/>
        <color rgb="FFF8696B"/>
        <color rgb="FFFCFCFF"/>
      </colorScale>
    </cfRule>
  </conditionalFormatting>
  <conditionalFormatting sqref="AE61">
    <cfRule type="colorScale" priority="7054">
      <colorScale>
        <cfvo type="min"/>
        <cfvo type="max"/>
        <color rgb="FFFCFCFF"/>
        <color rgb="FFF8696B"/>
      </colorScale>
    </cfRule>
  </conditionalFormatting>
  <conditionalFormatting sqref="AE18">
    <cfRule type="colorScale" priority="7053">
      <colorScale>
        <cfvo type="min"/>
        <cfvo type="percentile" val="50"/>
        <cfvo type="max"/>
        <color rgb="FFF8696B"/>
        <color rgb="FFFFEB84"/>
        <color rgb="FF63BE7B"/>
      </colorScale>
    </cfRule>
  </conditionalFormatting>
  <conditionalFormatting sqref="AE18">
    <cfRule type="colorScale" priority="7052">
      <colorScale>
        <cfvo type="min"/>
        <cfvo type="percentile" val="50"/>
        <cfvo type="max"/>
        <color rgb="FFF8696B"/>
        <color rgb="FFFFEB84"/>
        <color rgb="FF63BE7B"/>
      </colorScale>
    </cfRule>
  </conditionalFormatting>
  <conditionalFormatting sqref="AE18">
    <cfRule type="colorScale" priority="7051">
      <colorScale>
        <cfvo type="min"/>
        <cfvo type="percentile" val="50"/>
        <cfvo type="max"/>
        <color rgb="FF63BE7B"/>
        <color rgb="FFFFEB84"/>
        <color rgb="FFF8696B"/>
      </colorScale>
    </cfRule>
  </conditionalFormatting>
  <conditionalFormatting sqref="AE18">
    <cfRule type="colorScale" priority="7048">
      <colorScale>
        <cfvo type="min"/>
        <cfvo type="max"/>
        <color rgb="FFFCFCFF"/>
        <color rgb="FFF8696B"/>
      </colorScale>
    </cfRule>
    <cfRule type="colorScale" priority="7050">
      <colorScale>
        <cfvo type="min"/>
        <cfvo type="percentile" val="50"/>
        <cfvo type="max"/>
        <color rgb="FF63BE7B"/>
        <color rgb="FFFFEB84"/>
        <color rgb="FFF8696B"/>
      </colorScale>
    </cfRule>
  </conditionalFormatting>
  <conditionalFormatting sqref="AE18">
    <cfRule type="colorScale" priority="7049">
      <colorScale>
        <cfvo type="min"/>
        <cfvo type="max"/>
        <color rgb="FFF8696B"/>
        <color rgb="FFFCFCFF"/>
      </colorScale>
    </cfRule>
  </conditionalFormatting>
  <conditionalFormatting sqref="AE18">
    <cfRule type="colorScale" priority="7047">
      <colorScale>
        <cfvo type="min"/>
        <cfvo type="max"/>
        <color rgb="FFFCFCFF"/>
        <color rgb="FFF8696B"/>
      </colorScale>
    </cfRule>
  </conditionalFormatting>
  <conditionalFormatting sqref="AI13 AI39 AK13 AM13 AO13 AQ13 AM23 AO23 AQ23 AM28 AO28 AQ28 AI33 AK33 AM33 AO33 AQ33 AK39 AM39 AO39 AQ39">
    <cfRule type="colorScale" priority="7046">
      <colorScale>
        <cfvo type="min"/>
        <cfvo type="percentile" val="50"/>
        <cfvo type="max"/>
        <color rgb="FFF8696B"/>
        <color rgb="FFFFEB84"/>
        <color rgb="FF63BE7B"/>
      </colorScale>
    </cfRule>
  </conditionalFormatting>
  <conditionalFormatting sqref="AQ33">
    <cfRule type="colorScale" priority="7045">
      <colorScale>
        <cfvo type="min"/>
        <cfvo type="percentile" val="50"/>
        <cfvo type="max"/>
        <color rgb="FFF8696B"/>
        <color rgb="FFFFEB84"/>
        <color rgb="FF63BE7B"/>
      </colorScale>
    </cfRule>
  </conditionalFormatting>
  <conditionalFormatting sqref="AI13 AK13 AM13 AO13 AQ13">
    <cfRule type="colorScale" priority="7044">
      <colorScale>
        <cfvo type="min"/>
        <cfvo type="percentile" val="50"/>
        <cfvo type="max"/>
        <color rgb="FFF8696B"/>
        <color rgb="FFFFEB84"/>
        <color rgb="FF63BE7B"/>
      </colorScale>
    </cfRule>
  </conditionalFormatting>
  <conditionalFormatting sqref="AI13 AI39 AK13 AM13 AO13 AQ13 AM23 AO23 AQ23 AM28 AO28 AQ28 AI33 AK33 AM33 AO33 AQ33 AK39 AM39 AO39 AQ39">
    <cfRule type="colorScale" priority="7043">
      <colorScale>
        <cfvo type="min"/>
        <cfvo type="percentile" val="50"/>
        <cfvo type="max"/>
        <color rgb="FF63BE7B"/>
        <color rgb="FFFFEB84"/>
        <color rgb="FFF8696B"/>
      </colorScale>
    </cfRule>
  </conditionalFormatting>
  <conditionalFormatting sqref="AI39 AI13 AK13 AM13 AO13 AQ13 AM23 AO23 AQ23 AM28 AO28 AQ28 AI33 AK33 AM33 AO33 AQ33 AK39 AM39 AO39 AQ39">
    <cfRule type="colorScale" priority="7040">
      <colorScale>
        <cfvo type="min"/>
        <cfvo type="max"/>
        <color rgb="FFFCFCFF"/>
        <color rgb="FFF8696B"/>
      </colorScale>
    </cfRule>
    <cfRule type="colorScale" priority="7042">
      <colorScale>
        <cfvo type="min"/>
        <cfvo type="percentile" val="50"/>
        <cfvo type="max"/>
        <color rgb="FF63BE7B"/>
        <color rgb="FFFFEB84"/>
        <color rgb="FFF8696B"/>
      </colorScale>
    </cfRule>
  </conditionalFormatting>
  <conditionalFormatting sqref="AK13 AI39 AI13 AM13 AO13 AQ13 AM23 AO23 AQ23 AM28 AO28 AQ28 AI33 AK33 AM33 AO33 AQ33 AK39 AM39 AO39 AQ39">
    <cfRule type="colorScale" priority="7041">
      <colorScale>
        <cfvo type="min"/>
        <cfvo type="max"/>
        <color rgb="FFF8696B"/>
        <color rgb="FFFCFCFF"/>
      </colorScale>
    </cfRule>
  </conditionalFormatting>
  <conditionalFormatting sqref="AM41">
    <cfRule type="colorScale" priority="7039">
      <colorScale>
        <cfvo type="min"/>
        <cfvo type="percentile" val="50"/>
        <cfvo type="max"/>
        <color rgb="FFF8696B"/>
        <color rgb="FFFFEB84"/>
        <color rgb="FF63BE7B"/>
      </colorScale>
    </cfRule>
  </conditionalFormatting>
  <conditionalFormatting sqref="AM41">
    <cfRule type="colorScale" priority="7038">
      <colorScale>
        <cfvo type="min"/>
        <cfvo type="percentile" val="50"/>
        <cfvo type="max"/>
        <color rgb="FFF8696B"/>
        <color rgb="FFFFEB84"/>
        <color rgb="FF63BE7B"/>
      </colorScale>
    </cfRule>
  </conditionalFormatting>
  <conditionalFormatting sqref="AM41">
    <cfRule type="colorScale" priority="7037">
      <colorScale>
        <cfvo type="min"/>
        <cfvo type="percentile" val="50"/>
        <cfvo type="max"/>
        <color rgb="FFF8696B"/>
        <color rgb="FFFFEB84"/>
        <color rgb="FF63BE7B"/>
      </colorScale>
    </cfRule>
  </conditionalFormatting>
  <conditionalFormatting sqref="AM41">
    <cfRule type="colorScale" priority="7036">
      <colorScale>
        <cfvo type="min"/>
        <cfvo type="percentile" val="50"/>
        <cfvo type="max"/>
        <color rgb="FF63BE7B"/>
        <color rgb="FFFFEB84"/>
        <color rgb="FFF8696B"/>
      </colorScale>
    </cfRule>
  </conditionalFormatting>
  <conditionalFormatting sqref="AM41">
    <cfRule type="colorScale" priority="7033">
      <colorScale>
        <cfvo type="min"/>
        <cfvo type="max"/>
        <color rgb="FFFCFCFF"/>
        <color rgb="FFF8696B"/>
      </colorScale>
    </cfRule>
    <cfRule type="colorScale" priority="7035">
      <colorScale>
        <cfvo type="min"/>
        <cfvo type="percentile" val="50"/>
        <cfvo type="max"/>
        <color rgb="FF63BE7B"/>
        <color rgb="FFFFEB84"/>
        <color rgb="FFF8696B"/>
      </colorScale>
    </cfRule>
  </conditionalFormatting>
  <conditionalFormatting sqref="AM41">
    <cfRule type="colorScale" priority="7034">
      <colorScale>
        <cfvo type="min"/>
        <cfvo type="max"/>
        <color rgb="FFF8696B"/>
        <color rgb="FFFCFCFF"/>
      </colorScale>
    </cfRule>
  </conditionalFormatting>
  <conditionalFormatting sqref="AO41">
    <cfRule type="colorScale" priority="7032">
      <colorScale>
        <cfvo type="min"/>
        <cfvo type="percentile" val="50"/>
        <cfvo type="max"/>
        <color rgb="FFF8696B"/>
        <color rgb="FFFFEB84"/>
        <color rgb="FF63BE7B"/>
      </colorScale>
    </cfRule>
  </conditionalFormatting>
  <conditionalFormatting sqref="AO41">
    <cfRule type="colorScale" priority="7031">
      <colorScale>
        <cfvo type="min"/>
        <cfvo type="percentile" val="50"/>
        <cfvo type="max"/>
        <color rgb="FFF8696B"/>
        <color rgb="FFFFEB84"/>
        <color rgb="FF63BE7B"/>
      </colorScale>
    </cfRule>
  </conditionalFormatting>
  <conditionalFormatting sqref="AO41">
    <cfRule type="colorScale" priority="7030">
      <colorScale>
        <cfvo type="min"/>
        <cfvo type="percentile" val="50"/>
        <cfvo type="max"/>
        <color rgb="FFF8696B"/>
        <color rgb="FFFFEB84"/>
        <color rgb="FF63BE7B"/>
      </colorScale>
    </cfRule>
  </conditionalFormatting>
  <conditionalFormatting sqref="AO41">
    <cfRule type="colorScale" priority="7029">
      <colorScale>
        <cfvo type="min"/>
        <cfvo type="percentile" val="50"/>
        <cfvo type="max"/>
        <color rgb="FF63BE7B"/>
        <color rgb="FFFFEB84"/>
        <color rgb="FFF8696B"/>
      </colorScale>
    </cfRule>
  </conditionalFormatting>
  <conditionalFormatting sqref="AO41">
    <cfRule type="colorScale" priority="7026">
      <colorScale>
        <cfvo type="min"/>
        <cfvo type="max"/>
        <color rgb="FFFCFCFF"/>
        <color rgb="FFF8696B"/>
      </colorScale>
    </cfRule>
    <cfRule type="colorScale" priority="7028">
      <colorScale>
        <cfvo type="min"/>
        <cfvo type="percentile" val="50"/>
        <cfvo type="max"/>
        <color rgb="FF63BE7B"/>
        <color rgb="FFFFEB84"/>
        <color rgb="FFF8696B"/>
      </colorScale>
    </cfRule>
  </conditionalFormatting>
  <conditionalFormatting sqref="AO41">
    <cfRule type="colorScale" priority="7027">
      <colorScale>
        <cfvo type="min"/>
        <cfvo type="max"/>
        <color rgb="FFF8696B"/>
        <color rgb="FFFCFCFF"/>
      </colorScale>
    </cfRule>
  </conditionalFormatting>
  <conditionalFormatting sqref="AQ41">
    <cfRule type="colorScale" priority="7025">
      <colorScale>
        <cfvo type="min"/>
        <cfvo type="percentile" val="50"/>
        <cfvo type="max"/>
        <color rgb="FFF8696B"/>
        <color rgb="FFFFEB84"/>
        <color rgb="FF63BE7B"/>
      </colorScale>
    </cfRule>
  </conditionalFormatting>
  <conditionalFormatting sqref="AQ41">
    <cfRule type="colorScale" priority="7024">
      <colorScale>
        <cfvo type="min"/>
        <cfvo type="percentile" val="50"/>
        <cfvo type="max"/>
        <color rgb="FFF8696B"/>
        <color rgb="FFFFEB84"/>
        <color rgb="FF63BE7B"/>
      </colorScale>
    </cfRule>
  </conditionalFormatting>
  <conditionalFormatting sqref="AQ41">
    <cfRule type="colorScale" priority="7023">
      <colorScale>
        <cfvo type="min"/>
        <cfvo type="percentile" val="50"/>
        <cfvo type="max"/>
        <color rgb="FFF8696B"/>
        <color rgb="FFFFEB84"/>
        <color rgb="FF63BE7B"/>
      </colorScale>
    </cfRule>
  </conditionalFormatting>
  <conditionalFormatting sqref="AQ41">
    <cfRule type="colorScale" priority="7022">
      <colorScale>
        <cfvo type="min"/>
        <cfvo type="percentile" val="50"/>
        <cfvo type="max"/>
        <color rgb="FF63BE7B"/>
        <color rgb="FFFFEB84"/>
        <color rgb="FFF8696B"/>
      </colorScale>
    </cfRule>
  </conditionalFormatting>
  <conditionalFormatting sqref="AQ41">
    <cfRule type="colorScale" priority="7019">
      <colorScale>
        <cfvo type="min"/>
        <cfvo type="max"/>
        <color rgb="FFFCFCFF"/>
        <color rgb="FFF8696B"/>
      </colorScale>
    </cfRule>
    <cfRule type="colorScale" priority="7021">
      <colorScale>
        <cfvo type="min"/>
        <cfvo type="percentile" val="50"/>
        <cfvo type="max"/>
        <color rgb="FF63BE7B"/>
        <color rgb="FFFFEB84"/>
        <color rgb="FFF8696B"/>
      </colorScale>
    </cfRule>
  </conditionalFormatting>
  <conditionalFormatting sqref="AQ41">
    <cfRule type="colorScale" priority="7020">
      <colorScale>
        <cfvo type="min"/>
        <cfvo type="max"/>
        <color rgb="FFF8696B"/>
        <color rgb="FFFCFCFF"/>
      </colorScale>
    </cfRule>
  </conditionalFormatting>
  <conditionalFormatting sqref="AM23">
    <cfRule type="colorScale" priority="7018">
      <colorScale>
        <cfvo type="min"/>
        <cfvo type="percentile" val="50"/>
        <cfvo type="max"/>
        <color rgb="FFF8696B"/>
        <color rgb="FFFFEB84"/>
        <color rgb="FF63BE7B"/>
      </colorScale>
    </cfRule>
  </conditionalFormatting>
  <conditionalFormatting sqref="AO23">
    <cfRule type="colorScale" priority="7017">
      <colorScale>
        <cfvo type="min"/>
        <cfvo type="percentile" val="50"/>
        <cfvo type="max"/>
        <color rgb="FFF8696B"/>
        <color rgb="FFFFEB84"/>
        <color rgb="FF63BE7B"/>
      </colorScale>
    </cfRule>
  </conditionalFormatting>
  <conditionalFormatting sqref="AQ23">
    <cfRule type="colorScale" priority="7016">
      <colorScale>
        <cfvo type="min"/>
        <cfvo type="percentile" val="50"/>
        <cfvo type="max"/>
        <color rgb="FFF8696B"/>
        <color rgb="FFFFEB84"/>
        <color rgb="FF63BE7B"/>
      </colorScale>
    </cfRule>
  </conditionalFormatting>
  <conditionalFormatting sqref="AM28">
    <cfRule type="colorScale" priority="7015">
      <colorScale>
        <cfvo type="min"/>
        <cfvo type="percentile" val="50"/>
        <cfvo type="max"/>
        <color rgb="FFF8696B"/>
        <color rgb="FFFFEB84"/>
        <color rgb="FF63BE7B"/>
      </colorScale>
    </cfRule>
  </conditionalFormatting>
  <conditionalFormatting sqref="AO28">
    <cfRule type="colorScale" priority="7014">
      <colorScale>
        <cfvo type="min"/>
        <cfvo type="percentile" val="50"/>
        <cfvo type="max"/>
        <color rgb="FFF8696B"/>
        <color rgb="FFFFEB84"/>
        <color rgb="FF63BE7B"/>
      </colorScale>
    </cfRule>
  </conditionalFormatting>
  <conditionalFormatting sqref="AQ28">
    <cfRule type="colorScale" priority="7013">
      <colorScale>
        <cfvo type="min"/>
        <cfvo type="percentile" val="50"/>
        <cfvo type="max"/>
        <color rgb="FFF8696B"/>
        <color rgb="FFFFEB84"/>
        <color rgb="FF63BE7B"/>
      </colorScale>
    </cfRule>
  </conditionalFormatting>
  <conditionalFormatting sqref="AI33">
    <cfRule type="colorScale" priority="7012">
      <colorScale>
        <cfvo type="min"/>
        <cfvo type="percentile" val="50"/>
        <cfvo type="max"/>
        <color rgb="FFF8696B"/>
        <color rgb="FFFFEB84"/>
        <color rgb="FF63BE7B"/>
      </colorScale>
    </cfRule>
  </conditionalFormatting>
  <conditionalFormatting sqref="AK33">
    <cfRule type="colorScale" priority="7011">
      <colorScale>
        <cfvo type="min"/>
        <cfvo type="percentile" val="50"/>
        <cfvo type="max"/>
        <color rgb="FFF8696B"/>
        <color rgb="FFFFEB84"/>
        <color rgb="FF63BE7B"/>
      </colorScale>
    </cfRule>
  </conditionalFormatting>
  <conditionalFormatting sqref="AM33">
    <cfRule type="colorScale" priority="7010">
      <colorScale>
        <cfvo type="min"/>
        <cfvo type="percentile" val="50"/>
        <cfvo type="max"/>
        <color rgb="FFF8696B"/>
        <color rgb="FFFFEB84"/>
        <color rgb="FF63BE7B"/>
      </colorScale>
    </cfRule>
  </conditionalFormatting>
  <conditionalFormatting sqref="AO33">
    <cfRule type="colorScale" priority="7009">
      <colorScale>
        <cfvo type="min"/>
        <cfvo type="percentile" val="50"/>
        <cfvo type="max"/>
        <color rgb="FFF8696B"/>
        <color rgb="FFFFEB84"/>
        <color rgb="FF63BE7B"/>
      </colorScale>
    </cfRule>
  </conditionalFormatting>
  <conditionalFormatting sqref="AQ33">
    <cfRule type="colorScale" priority="7008">
      <colorScale>
        <cfvo type="min"/>
        <cfvo type="percentile" val="50"/>
        <cfvo type="max"/>
        <color rgb="FFF8696B"/>
        <color rgb="FFFFEB84"/>
        <color rgb="FF63BE7B"/>
      </colorScale>
    </cfRule>
  </conditionalFormatting>
  <conditionalFormatting sqref="AI39">
    <cfRule type="colorScale" priority="7007">
      <colorScale>
        <cfvo type="min"/>
        <cfvo type="percentile" val="50"/>
        <cfvo type="max"/>
        <color rgb="FFF8696B"/>
        <color rgb="FFFFEB84"/>
        <color rgb="FF63BE7B"/>
      </colorScale>
    </cfRule>
  </conditionalFormatting>
  <conditionalFormatting sqref="AK39">
    <cfRule type="colorScale" priority="7006">
      <colorScale>
        <cfvo type="min"/>
        <cfvo type="percentile" val="50"/>
        <cfvo type="max"/>
        <color rgb="FFF8696B"/>
        <color rgb="FFFFEB84"/>
        <color rgb="FF63BE7B"/>
      </colorScale>
    </cfRule>
  </conditionalFormatting>
  <conditionalFormatting sqref="AM39">
    <cfRule type="colorScale" priority="7005">
      <colorScale>
        <cfvo type="min"/>
        <cfvo type="percentile" val="50"/>
        <cfvo type="max"/>
        <color rgb="FFF8696B"/>
        <color rgb="FFFFEB84"/>
        <color rgb="FF63BE7B"/>
      </colorScale>
    </cfRule>
  </conditionalFormatting>
  <conditionalFormatting sqref="AO39">
    <cfRule type="colorScale" priority="7004">
      <colorScale>
        <cfvo type="min"/>
        <cfvo type="percentile" val="50"/>
        <cfvo type="max"/>
        <color rgb="FFF8696B"/>
        <color rgb="FFFFEB84"/>
        <color rgb="FF63BE7B"/>
      </colorScale>
    </cfRule>
  </conditionalFormatting>
  <conditionalFormatting sqref="AQ39">
    <cfRule type="colorScale" priority="7003">
      <colorScale>
        <cfvo type="min"/>
        <cfvo type="percentile" val="50"/>
        <cfvo type="max"/>
        <color rgb="FFF8696B"/>
        <color rgb="FFFFEB84"/>
        <color rgb="FF63BE7B"/>
      </colorScale>
    </cfRule>
  </conditionalFormatting>
  <conditionalFormatting sqref="AI13 AI39 AK13 AM13 AO13 AQ13 AM23 AO23 AQ23 AK18 AI18 AM28 AO28 AQ28 AQ33 AO33 AM33 AK33 AI33 AK39 AQ39 AO39 AM39 AM41 AO41 AQ41">
    <cfRule type="colorScale" priority="7002">
      <colorScale>
        <cfvo type="min"/>
        <cfvo type="max"/>
        <color rgb="FFFCFCFF"/>
        <color rgb="FFF8696B"/>
      </colorScale>
    </cfRule>
  </conditionalFormatting>
  <conditionalFormatting sqref="AS13">
    <cfRule type="colorScale" priority="7001">
      <colorScale>
        <cfvo type="min"/>
        <cfvo type="percentile" val="50"/>
        <cfvo type="max"/>
        <color rgb="FFF8696B"/>
        <color rgb="FFFFEB84"/>
        <color rgb="FF63BE7B"/>
      </colorScale>
    </cfRule>
  </conditionalFormatting>
  <conditionalFormatting sqref="AS13">
    <cfRule type="colorScale" priority="7000">
      <colorScale>
        <cfvo type="min"/>
        <cfvo type="percentile" val="50"/>
        <cfvo type="max"/>
        <color rgb="FFF8696B"/>
        <color rgb="FFFFEB84"/>
        <color rgb="FF63BE7B"/>
      </colorScale>
    </cfRule>
  </conditionalFormatting>
  <conditionalFormatting sqref="AS13">
    <cfRule type="colorScale" priority="6999">
      <colorScale>
        <cfvo type="min"/>
        <cfvo type="percentile" val="50"/>
        <cfvo type="max"/>
        <color rgb="FF63BE7B"/>
        <color rgb="FFFFEB84"/>
        <color rgb="FFF8696B"/>
      </colorScale>
    </cfRule>
  </conditionalFormatting>
  <conditionalFormatting sqref="AS13">
    <cfRule type="colorScale" priority="6996">
      <colorScale>
        <cfvo type="min"/>
        <cfvo type="max"/>
        <color rgb="FFFCFCFF"/>
        <color rgb="FFF8696B"/>
      </colorScale>
    </cfRule>
    <cfRule type="colorScale" priority="6998">
      <colorScale>
        <cfvo type="min"/>
        <cfvo type="percentile" val="50"/>
        <cfvo type="max"/>
        <color rgb="FF63BE7B"/>
        <color rgb="FFFFEB84"/>
        <color rgb="FFF8696B"/>
      </colorScale>
    </cfRule>
  </conditionalFormatting>
  <conditionalFormatting sqref="AS13">
    <cfRule type="colorScale" priority="6997">
      <colorScale>
        <cfvo type="min"/>
        <cfvo type="max"/>
        <color rgb="FFF8696B"/>
        <color rgb="FFFCFCFF"/>
      </colorScale>
    </cfRule>
  </conditionalFormatting>
  <conditionalFormatting sqref="AS13">
    <cfRule type="colorScale" priority="6995">
      <colorScale>
        <cfvo type="min"/>
        <cfvo type="max"/>
        <color rgb="FFFCFCFF"/>
        <color rgb="FFF8696B"/>
      </colorScale>
    </cfRule>
  </conditionalFormatting>
  <conditionalFormatting sqref="AU13">
    <cfRule type="colorScale" priority="6994">
      <colorScale>
        <cfvo type="min"/>
        <cfvo type="percentile" val="50"/>
        <cfvo type="max"/>
        <color rgb="FFF8696B"/>
        <color rgb="FFFFEB84"/>
        <color rgb="FF63BE7B"/>
      </colorScale>
    </cfRule>
  </conditionalFormatting>
  <conditionalFormatting sqref="AU13">
    <cfRule type="colorScale" priority="6993">
      <colorScale>
        <cfvo type="min"/>
        <cfvo type="percentile" val="50"/>
        <cfvo type="max"/>
        <color rgb="FFF8696B"/>
        <color rgb="FFFFEB84"/>
        <color rgb="FF63BE7B"/>
      </colorScale>
    </cfRule>
  </conditionalFormatting>
  <conditionalFormatting sqref="AU13">
    <cfRule type="colorScale" priority="6992">
      <colorScale>
        <cfvo type="min"/>
        <cfvo type="percentile" val="50"/>
        <cfvo type="max"/>
        <color rgb="FF63BE7B"/>
        <color rgb="FFFFEB84"/>
        <color rgb="FFF8696B"/>
      </colorScale>
    </cfRule>
  </conditionalFormatting>
  <conditionalFormatting sqref="AU13">
    <cfRule type="colorScale" priority="6989">
      <colorScale>
        <cfvo type="min"/>
        <cfvo type="max"/>
        <color rgb="FFFCFCFF"/>
        <color rgb="FFF8696B"/>
      </colorScale>
    </cfRule>
    <cfRule type="colorScale" priority="6991">
      <colorScale>
        <cfvo type="min"/>
        <cfvo type="percentile" val="50"/>
        <cfvo type="max"/>
        <color rgb="FF63BE7B"/>
        <color rgb="FFFFEB84"/>
        <color rgb="FFF8696B"/>
      </colorScale>
    </cfRule>
  </conditionalFormatting>
  <conditionalFormatting sqref="AU13">
    <cfRule type="colorScale" priority="6990">
      <colorScale>
        <cfvo type="min"/>
        <cfvo type="max"/>
        <color rgb="FFF8696B"/>
        <color rgb="FFFCFCFF"/>
      </colorScale>
    </cfRule>
  </conditionalFormatting>
  <conditionalFormatting sqref="AU13">
    <cfRule type="colorScale" priority="6988">
      <colorScale>
        <cfvo type="min"/>
        <cfvo type="max"/>
        <color rgb="FFFCFCFF"/>
        <color rgb="FFF8696B"/>
      </colorScale>
    </cfRule>
  </conditionalFormatting>
  <conditionalFormatting sqref="AS23 AS39 AS28 AS33">
    <cfRule type="colorScale" priority="6987">
      <colorScale>
        <cfvo type="min"/>
        <cfvo type="percentile" val="50"/>
        <cfvo type="max"/>
        <color rgb="FFF8696B"/>
        <color rgb="FFFFEB84"/>
        <color rgb="FF63BE7B"/>
      </colorScale>
    </cfRule>
  </conditionalFormatting>
  <conditionalFormatting sqref="AS33">
    <cfRule type="colorScale" priority="6986">
      <colorScale>
        <cfvo type="min"/>
        <cfvo type="percentile" val="50"/>
        <cfvo type="max"/>
        <color rgb="FFF8696B"/>
        <color rgb="FFFFEB84"/>
        <color rgb="FF63BE7B"/>
      </colorScale>
    </cfRule>
  </conditionalFormatting>
  <conditionalFormatting sqref="AS23 AS39 AS28 AS33">
    <cfRule type="colorScale" priority="6985">
      <colorScale>
        <cfvo type="min"/>
        <cfvo type="percentile" val="50"/>
        <cfvo type="max"/>
        <color rgb="FF63BE7B"/>
        <color rgb="FFFFEB84"/>
        <color rgb="FFF8696B"/>
      </colorScale>
    </cfRule>
  </conditionalFormatting>
  <conditionalFormatting sqref="AS39 AS23 AS28 AS33">
    <cfRule type="colorScale" priority="6982">
      <colorScale>
        <cfvo type="min"/>
        <cfvo type="max"/>
        <color rgb="FFFCFCFF"/>
        <color rgb="FFF8696B"/>
      </colorScale>
    </cfRule>
    <cfRule type="colorScale" priority="6984">
      <colorScale>
        <cfvo type="min"/>
        <cfvo type="percentile" val="50"/>
        <cfvo type="max"/>
        <color rgb="FF63BE7B"/>
        <color rgb="FFFFEB84"/>
        <color rgb="FFF8696B"/>
      </colorScale>
    </cfRule>
  </conditionalFormatting>
  <conditionalFormatting sqref="AS23 AS39 AS28 AS33">
    <cfRule type="colorScale" priority="6983">
      <colorScale>
        <cfvo type="min"/>
        <cfvo type="max"/>
        <color rgb="FFF8696B"/>
        <color rgb="FFFCFCFF"/>
      </colorScale>
    </cfRule>
  </conditionalFormatting>
  <conditionalFormatting sqref="AS41">
    <cfRule type="colorScale" priority="6981">
      <colorScale>
        <cfvo type="min"/>
        <cfvo type="percentile" val="50"/>
        <cfvo type="max"/>
        <color rgb="FFF8696B"/>
        <color rgb="FFFFEB84"/>
        <color rgb="FF63BE7B"/>
      </colorScale>
    </cfRule>
  </conditionalFormatting>
  <conditionalFormatting sqref="AS41">
    <cfRule type="colorScale" priority="6980">
      <colorScale>
        <cfvo type="min"/>
        <cfvo type="percentile" val="50"/>
        <cfvo type="max"/>
        <color rgb="FFF8696B"/>
        <color rgb="FFFFEB84"/>
        <color rgb="FF63BE7B"/>
      </colorScale>
    </cfRule>
  </conditionalFormatting>
  <conditionalFormatting sqref="AS41">
    <cfRule type="colorScale" priority="6979">
      <colorScale>
        <cfvo type="min"/>
        <cfvo type="percentile" val="50"/>
        <cfvo type="max"/>
        <color rgb="FFF8696B"/>
        <color rgb="FFFFEB84"/>
        <color rgb="FF63BE7B"/>
      </colorScale>
    </cfRule>
  </conditionalFormatting>
  <conditionalFormatting sqref="AS41">
    <cfRule type="colorScale" priority="6978">
      <colorScale>
        <cfvo type="min"/>
        <cfvo type="percentile" val="50"/>
        <cfvo type="max"/>
        <color rgb="FF63BE7B"/>
        <color rgb="FFFFEB84"/>
        <color rgb="FFF8696B"/>
      </colorScale>
    </cfRule>
  </conditionalFormatting>
  <conditionalFormatting sqref="AS41">
    <cfRule type="colorScale" priority="6975">
      <colorScale>
        <cfvo type="min"/>
        <cfvo type="max"/>
        <color rgb="FFFCFCFF"/>
        <color rgb="FFF8696B"/>
      </colorScale>
    </cfRule>
    <cfRule type="colorScale" priority="6977">
      <colorScale>
        <cfvo type="min"/>
        <cfvo type="percentile" val="50"/>
        <cfvo type="max"/>
        <color rgb="FF63BE7B"/>
        <color rgb="FFFFEB84"/>
        <color rgb="FFF8696B"/>
      </colorScale>
    </cfRule>
  </conditionalFormatting>
  <conditionalFormatting sqref="AS41">
    <cfRule type="colorScale" priority="6976">
      <colorScale>
        <cfvo type="min"/>
        <cfvo type="max"/>
        <color rgb="FFF8696B"/>
        <color rgb="FFFCFCFF"/>
      </colorScale>
    </cfRule>
  </conditionalFormatting>
  <conditionalFormatting sqref="AS23">
    <cfRule type="colorScale" priority="6974">
      <colorScale>
        <cfvo type="min"/>
        <cfvo type="percentile" val="50"/>
        <cfvo type="max"/>
        <color rgb="FFF8696B"/>
        <color rgb="FFFFEB84"/>
        <color rgb="FF63BE7B"/>
      </colorScale>
    </cfRule>
  </conditionalFormatting>
  <conditionalFormatting sqref="AS28">
    <cfRule type="colorScale" priority="6973">
      <colorScale>
        <cfvo type="min"/>
        <cfvo type="percentile" val="50"/>
        <cfvo type="max"/>
        <color rgb="FFF8696B"/>
        <color rgb="FFFFEB84"/>
        <color rgb="FF63BE7B"/>
      </colorScale>
    </cfRule>
  </conditionalFormatting>
  <conditionalFormatting sqref="AS33">
    <cfRule type="colorScale" priority="6972">
      <colorScale>
        <cfvo type="min"/>
        <cfvo type="percentile" val="50"/>
        <cfvo type="max"/>
        <color rgb="FFF8696B"/>
        <color rgb="FFFFEB84"/>
        <color rgb="FF63BE7B"/>
      </colorScale>
    </cfRule>
  </conditionalFormatting>
  <conditionalFormatting sqref="AS39">
    <cfRule type="colorScale" priority="6971">
      <colorScale>
        <cfvo type="min"/>
        <cfvo type="percentile" val="50"/>
        <cfvo type="max"/>
        <color rgb="FFF8696B"/>
        <color rgb="FFFFEB84"/>
        <color rgb="FF63BE7B"/>
      </colorScale>
    </cfRule>
  </conditionalFormatting>
  <conditionalFormatting sqref="AS23 AS39 AS28 AS33 AS41">
    <cfRule type="colorScale" priority="6970">
      <colorScale>
        <cfvo type="min"/>
        <cfvo type="max"/>
        <color rgb="FFFCFCFF"/>
        <color rgb="FFF8696B"/>
      </colorScale>
    </cfRule>
  </conditionalFormatting>
  <conditionalFormatting sqref="AU23 AU39 AU28 AU33">
    <cfRule type="colorScale" priority="6969">
      <colorScale>
        <cfvo type="min"/>
        <cfvo type="percentile" val="50"/>
        <cfvo type="max"/>
        <color rgb="FFF8696B"/>
        <color rgb="FFFFEB84"/>
        <color rgb="FF63BE7B"/>
      </colorScale>
    </cfRule>
  </conditionalFormatting>
  <conditionalFormatting sqref="AU33">
    <cfRule type="colorScale" priority="6968">
      <colorScale>
        <cfvo type="min"/>
        <cfvo type="percentile" val="50"/>
        <cfvo type="max"/>
        <color rgb="FFF8696B"/>
        <color rgb="FFFFEB84"/>
        <color rgb="FF63BE7B"/>
      </colorScale>
    </cfRule>
  </conditionalFormatting>
  <conditionalFormatting sqref="AU23 AU39 AU28 AU33">
    <cfRule type="colorScale" priority="6967">
      <colorScale>
        <cfvo type="min"/>
        <cfvo type="percentile" val="50"/>
        <cfvo type="max"/>
        <color rgb="FF63BE7B"/>
        <color rgb="FFFFEB84"/>
        <color rgb="FFF8696B"/>
      </colorScale>
    </cfRule>
  </conditionalFormatting>
  <conditionalFormatting sqref="AU39 AU23 AU28 AU33">
    <cfRule type="colorScale" priority="6964">
      <colorScale>
        <cfvo type="min"/>
        <cfvo type="max"/>
        <color rgb="FFFCFCFF"/>
        <color rgb="FFF8696B"/>
      </colorScale>
    </cfRule>
    <cfRule type="colorScale" priority="6966">
      <colorScale>
        <cfvo type="min"/>
        <cfvo type="percentile" val="50"/>
        <cfvo type="max"/>
        <color rgb="FF63BE7B"/>
        <color rgb="FFFFEB84"/>
        <color rgb="FFF8696B"/>
      </colorScale>
    </cfRule>
  </conditionalFormatting>
  <conditionalFormatting sqref="AU23 AU39 AU28 AU33">
    <cfRule type="colorScale" priority="6965">
      <colorScale>
        <cfvo type="min"/>
        <cfvo type="max"/>
        <color rgb="FFF8696B"/>
        <color rgb="FFFCFCFF"/>
      </colorScale>
    </cfRule>
  </conditionalFormatting>
  <conditionalFormatting sqref="AU41">
    <cfRule type="colorScale" priority="6963">
      <colorScale>
        <cfvo type="min"/>
        <cfvo type="percentile" val="50"/>
        <cfvo type="max"/>
        <color rgb="FFF8696B"/>
        <color rgb="FFFFEB84"/>
        <color rgb="FF63BE7B"/>
      </colorScale>
    </cfRule>
  </conditionalFormatting>
  <conditionalFormatting sqref="AU41">
    <cfRule type="colorScale" priority="6962">
      <colorScale>
        <cfvo type="min"/>
        <cfvo type="percentile" val="50"/>
        <cfvo type="max"/>
        <color rgb="FFF8696B"/>
        <color rgb="FFFFEB84"/>
        <color rgb="FF63BE7B"/>
      </colorScale>
    </cfRule>
  </conditionalFormatting>
  <conditionalFormatting sqref="AU41">
    <cfRule type="colorScale" priority="6961">
      <colorScale>
        <cfvo type="min"/>
        <cfvo type="percentile" val="50"/>
        <cfvo type="max"/>
        <color rgb="FFF8696B"/>
        <color rgb="FFFFEB84"/>
        <color rgb="FF63BE7B"/>
      </colorScale>
    </cfRule>
  </conditionalFormatting>
  <conditionalFormatting sqref="AU41">
    <cfRule type="colorScale" priority="6960">
      <colorScale>
        <cfvo type="min"/>
        <cfvo type="percentile" val="50"/>
        <cfvo type="max"/>
        <color rgb="FF63BE7B"/>
        <color rgb="FFFFEB84"/>
        <color rgb="FFF8696B"/>
      </colorScale>
    </cfRule>
  </conditionalFormatting>
  <conditionalFormatting sqref="AU41">
    <cfRule type="colorScale" priority="6957">
      <colorScale>
        <cfvo type="min"/>
        <cfvo type="max"/>
        <color rgb="FFFCFCFF"/>
        <color rgb="FFF8696B"/>
      </colorScale>
    </cfRule>
    <cfRule type="colorScale" priority="6959">
      <colorScale>
        <cfvo type="min"/>
        <cfvo type="percentile" val="50"/>
        <cfvo type="max"/>
        <color rgb="FF63BE7B"/>
        <color rgb="FFFFEB84"/>
        <color rgb="FFF8696B"/>
      </colorScale>
    </cfRule>
  </conditionalFormatting>
  <conditionalFormatting sqref="AU41">
    <cfRule type="colorScale" priority="6958">
      <colorScale>
        <cfvo type="min"/>
        <cfvo type="max"/>
        <color rgb="FFF8696B"/>
        <color rgb="FFFCFCFF"/>
      </colorScale>
    </cfRule>
  </conditionalFormatting>
  <conditionalFormatting sqref="AU23">
    <cfRule type="colorScale" priority="6956">
      <colorScale>
        <cfvo type="min"/>
        <cfvo type="percentile" val="50"/>
        <cfvo type="max"/>
        <color rgb="FFF8696B"/>
        <color rgb="FFFFEB84"/>
        <color rgb="FF63BE7B"/>
      </colorScale>
    </cfRule>
  </conditionalFormatting>
  <conditionalFormatting sqref="AU28">
    <cfRule type="colorScale" priority="6955">
      <colorScale>
        <cfvo type="min"/>
        <cfvo type="percentile" val="50"/>
        <cfvo type="max"/>
        <color rgb="FFF8696B"/>
        <color rgb="FFFFEB84"/>
        <color rgb="FF63BE7B"/>
      </colorScale>
    </cfRule>
  </conditionalFormatting>
  <conditionalFormatting sqref="AU33">
    <cfRule type="colorScale" priority="6954">
      <colorScale>
        <cfvo type="min"/>
        <cfvo type="percentile" val="50"/>
        <cfvo type="max"/>
        <color rgb="FFF8696B"/>
        <color rgb="FFFFEB84"/>
        <color rgb="FF63BE7B"/>
      </colorScale>
    </cfRule>
  </conditionalFormatting>
  <conditionalFormatting sqref="AU39">
    <cfRule type="colorScale" priority="6953">
      <colorScale>
        <cfvo type="min"/>
        <cfvo type="percentile" val="50"/>
        <cfvo type="max"/>
        <color rgb="FFF8696B"/>
        <color rgb="FFFFEB84"/>
        <color rgb="FF63BE7B"/>
      </colorScale>
    </cfRule>
  </conditionalFormatting>
  <conditionalFormatting sqref="AU23 AU39 AU28 AU33 AU41">
    <cfRule type="colorScale" priority="6952">
      <colorScale>
        <cfvo type="min"/>
        <cfvo type="max"/>
        <color rgb="FFFCFCFF"/>
        <color rgb="FFF8696B"/>
      </colorScale>
    </cfRule>
  </conditionalFormatting>
  <conditionalFormatting sqref="AQ82">
    <cfRule type="colorScale" priority="6951">
      <colorScale>
        <cfvo type="min"/>
        <cfvo type="percentile" val="50"/>
        <cfvo type="max"/>
        <color rgb="FFF8696B"/>
        <color rgb="FFFFEB84"/>
        <color rgb="FF63BE7B"/>
      </colorScale>
    </cfRule>
  </conditionalFormatting>
  <conditionalFormatting sqref="AQ82">
    <cfRule type="colorScale" priority="6950">
      <colorScale>
        <cfvo type="min"/>
        <cfvo type="percentile" val="50"/>
        <cfvo type="max"/>
        <color rgb="FF63BE7B"/>
        <color rgb="FFFFEB84"/>
        <color rgb="FFF8696B"/>
      </colorScale>
    </cfRule>
  </conditionalFormatting>
  <conditionalFormatting sqref="AQ82">
    <cfRule type="colorScale" priority="6947">
      <colorScale>
        <cfvo type="min"/>
        <cfvo type="max"/>
        <color rgb="FFFCFCFF"/>
        <color rgb="FFF8696B"/>
      </colorScale>
    </cfRule>
    <cfRule type="colorScale" priority="6949">
      <colorScale>
        <cfvo type="min"/>
        <cfvo type="percentile" val="50"/>
        <cfvo type="max"/>
        <color rgb="FF63BE7B"/>
        <color rgb="FFFFEB84"/>
        <color rgb="FFF8696B"/>
      </colorScale>
    </cfRule>
  </conditionalFormatting>
  <conditionalFormatting sqref="AQ82">
    <cfRule type="colorScale" priority="6948">
      <colorScale>
        <cfvo type="min"/>
        <cfvo type="max"/>
        <color rgb="FFF8696B"/>
        <color rgb="FFFCFCFF"/>
      </colorScale>
    </cfRule>
  </conditionalFormatting>
  <conditionalFormatting sqref="AM84">
    <cfRule type="colorScale" priority="6946">
      <colorScale>
        <cfvo type="min"/>
        <cfvo type="percentile" val="50"/>
        <cfvo type="max"/>
        <color rgb="FFF8696B"/>
        <color rgb="FFFFEB84"/>
        <color rgb="FF63BE7B"/>
      </colorScale>
    </cfRule>
  </conditionalFormatting>
  <conditionalFormatting sqref="AM84">
    <cfRule type="colorScale" priority="6945">
      <colorScale>
        <cfvo type="min"/>
        <cfvo type="percentile" val="50"/>
        <cfvo type="max"/>
        <color rgb="FFF8696B"/>
        <color rgb="FFFFEB84"/>
        <color rgb="FF63BE7B"/>
      </colorScale>
    </cfRule>
  </conditionalFormatting>
  <conditionalFormatting sqref="AM84">
    <cfRule type="colorScale" priority="6944">
      <colorScale>
        <cfvo type="min"/>
        <cfvo type="percentile" val="50"/>
        <cfvo type="max"/>
        <color rgb="FFF8696B"/>
        <color rgb="FFFFEB84"/>
        <color rgb="FF63BE7B"/>
      </colorScale>
    </cfRule>
  </conditionalFormatting>
  <conditionalFormatting sqref="AM84">
    <cfRule type="colorScale" priority="6943">
      <colorScale>
        <cfvo type="min"/>
        <cfvo type="percentile" val="50"/>
        <cfvo type="max"/>
        <color rgb="FF63BE7B"/>
        <color rgb="FFFFEB84"/>
        <color rgb="FFF8696B"/>
      </colorScale>
    </cfRule>
  </conditionalFormatting>
  <conditionalFormatting sqref="AM84">
    <cfRule type="colorScale" priority="6940">
      <colorScale>
        <cfvo type="min"/>
        <cfvo type="max"/>
        <color rgb="FFFCFCFF"/>
        <color rgb="FFF8696B"/>
      </colorScale>
    </cfRule>
    <cfRule type="colorScale" priority="6942">
      <colorScale>
        <cfvo type="min"/>
        <cfvo type="percentile" val="50"/>
        <cfvo type="max"/>
        <color rgb="FF63BE7B"/>
        <color rgb="FFFFEB84"/>
        <color rgb="FFF8696B"/>
      </colorScale>
    </cfRule>
  </conditionalFormatting>
  <conditionalFormatting sqref="AM84">
    <cfRule type="colorScale" priority="6941">
      <colorScale>
        <cfvo type="min"/>
        <cfvo type="max"/>
        <color rgb="FFF8696B"/>
        <color rgb="FFFCFCFF"/>
      </colorScale>
    </cfRule>
  </conditionalFormatting>
  <conditionalFormatting sqref="AO84">
    <cfRule type="colorScale" priority="6939">
      <colorScale>
        <cfvo type="min"/>
        <cfvo type="percentile" val="50"/>
        <cfvo type="max"/>
        <color rgb="FFF8696B"/>
        <color rgb="FFFFEB84"/>
        <color rgb="FF63BE7B"/>
      </colorScale>
    </cfRule>
  </conditionalFormatting>
  <conditionalFormatting sqref="AO84">
    <cfRule type="colorScale" priority="6938">
      <colorScale>
        <cfvo type="min"/>
        <cfvo type="percentile" val="50"/>
        <cfvo type="max"/>
        <color rgb="FFF8696B"/>
        <color rgb="FFFFEB84"/>
        <color rgb="FF63BE7B"/>
      </colorScale>
    </cfRule>
  </conditionalFormatting>
  <conditionalFormatting sqref="AO84">
    <cfRule type="colorScale" priority="6937">
      <colorScale>
        <cfvo type="min"/>
        <cfvo type="percentile" val="50"/>
        <cfvo type="max"/>
        <color rgb="FFF8696B"/>
        <color rgb="FFFFEB84"/>
        <color rgb="FF63BE7B"/>
      </colorScale>
    </cfRule>
  </conditionalFormatting>
  <conditionalFormatting sqref="AO84">
    <cfRule type="colorScale" priority="6936">
      <colorScale>
        <cfvo type="min"/>
        <cfvo type="percentile" val="50"/>
        <cfvo type="max"/>
        <color rgb="FF63BE7B"/>
        <color rgb="FFFFEB84"/>
        <color rgb="FFF8696B"/>
      </colorScale>
    </cfRule>
  </conditionalFormatting>
  <conditionalFormatting sqref="AO84">
    <cfRule type="colorScale" priority="6933">
      <colorScale>
        <cfvo type="min"/>
        <cfvo type="max"/>
        <color rgb="FFFCFCFF"/>
        <color rgb="FFF8696B"/>
      </colorScale>
    </cfRule>
    <cfRule type="colorScale" priority="6935">
      <colorScale>
        <cfvo type="min"/>
        <cfvo type="percentile" val="50"/>
        <cfvo type="max"/>
        <color rgb="FF63BE7B"/>
        <color rgb="FFFFEB84"/>
        <color rgb="FFF8696B"/>
      </colorScale>
    </cfRule>
  </conditionalFormatting>
  <conditionalFormatting sqref="AO84">
    <cfRule type="colorScale" priority="6934">
      <colorScale>
        <cfvo type="min"/>
        <cfvo type="max"/>
        <color rgb="FFF8696B"/>
        <color rgb="FFFCFCFF"/>
      </colorScale>
    </cfRule>
  </conditionalFormatting>
  <conditionalFormatting sqref="AQ84">
    <cfRule type="colorScale" priority="6932">
      <colorScale>
        <cfvo type="min"/>
        <cfvo type="percentile" val="50"/>
        <cfvo type="max"/>
        <color rgb="FFF8696B"/>
        <color rgb="FFFFEB84"/>
        <color rgb="FF63BE7B"/>
      </colorScale>
    </cfRule>
  </conditionalFormatting>
  <conditionalFormatting sqref="AQ84">
    <cfRule type="colorScale" priority="6931">
      <colorScale>
        <cfvo type="min"/>
        <cfvo type="percentile" val="50"/>
        <cfvo type="max"/>
        <color rgb="FFF8696B"/>
        <color rgb="FFFFEB84"/>
        <color rgb="FF63BE7B"/>
      </colorScale>
    </cfRule>
  </conditionalFormatting>
  <conditionalFormatting sqref="AQ84">
    <cfRule type="colorScale" priority="6930">
      <colorScale>
        <cfvo type="min"/>
        <cfvo type="percentile" val="50"/>
        <cfvo type="max"/>
        <color rgb="FFF8696B"/>
        <color rgb="FFFFEB84"/>
        <color rgb="FF63BE7B"/>
      </colorScale>
    </cfRule>
  </conditionalFormatting>
  <conditionalFormatting sqref="AQ84">
    <cfRule type="colorScale" priority="6929">
      <colorScale>
        <cfvo type="min"/>
        <cfvo type="percentile" val="50"/>
        <cfvo type="max"/>
        <color rgb="FF63BE7B"/>
        <color rgb="FFFFEB84"/>
        <color rgb="FFF8696B"/>
      </colorScale>
    </cfRule>
  </conditionalFormatting>
  <conditionalFormatting sqref="AQ84">
    <cfRule type="colorScale" priority="6926">
      <colorScale>
        <cfvo type="min"/>
        <cfvo type="max"/>
        <color rgb="FFFCFCFF"/>
        <color rgb="FFF8696B"/>
      </colorScale>
    </cfRule>
    <cfRule type="colorScale" priority="6928">
      <colorScale>
        <cfvo type="min"/>
        <cfvo type="percentile" val="50"/>
        <cfvo type="max"/>
        <color rgb="FF63BE7B"/>
        <color rgb="FFFFEB84"/>
        <color rgb="FFF8696B"/>
      </colorScale>
    </cfRule>
  </conditionalFormatting>
  <conditionalFormatting sqref="AQ84">
    <cfRule type="colorScale" priority="6927">
      <colorScale>
        <cfvo type="min"/>
        <cfvo type="max"/>
        <color rgb="FFF8696B"/>
        <color rgb="FFFCFCFF"/>
      </colorScale>
    </cfRule>
  </conditionalFormatting>
  <conditionalFormatting sqref="AQ82">
    <cfRule type="colorScale" priority="6925">
      <colorScale>
        <cfvo type="min"/>
        <cfvo type="percentile" val="50"/>
        <cfvo type="max"/>
        <color rgb="FFF8696B"/>
        <color rgb="FFFFEB84"/>
        <color rgb="FF63BE7B"/>
      </colorScale>
    </cfRule>
  </conditionalFormatting>
  <conditionalFormatting sqref="AM84 AQ82 AO84 AQ84">
    <cfRule type="colorScale" priority="6924">
      <colorScale>
        <cfvo type="min"/>
        <cfvo type="max"/>
        <color rgb="FFFCFCFF"/>
        <color rgb="FFF8696B"/>
      </colorScale>
    </cfRule>
  </conditionalFormatting>
  <conditionalFormatting sqref="AS82">
    <cfRule type="colorScale" priority="6923">
      <colorScale>
        <cfvo type="min"/>
        <cfvo type="percentile" val="50"/>
        <cfvo type="max"/>
        <color rgb="FFF8696B"/>
        <color rgb="FFFFEB84"/>
        <color rgb="FF63BE7B"/>
      </colorScale>
    </cfRule>
  </conditionalFormatting>
  <conditionalFormatting sqref="AS82">
    <cfRule type="colorScale" priority="6922">
      <colorScale>
        <cfvo type="min"/>
        <cfvo type="percentile" val="50"/>
        <cfvo type="max"/>
        <color rgb="FF63BE7B"/>
        <color rgb="FFFFEB84"/>
        <color rgb="FFF8696B"/>
      </colorScale>
    </cfRule>
  </conditionalFormatting>
  <conditionalFormatting sqref="AS82">
    <cfRule type="colorScale" priority="6919">
      <colorScale>
        <cfvo type="min"/>
        <cfvo type="max"/>
        <color rgb="FFFCFCFF"/>
        <color rgb="FFF8696B"/>
      </colorScale>
    </cfRule>
    <cfRule type="colorScale" priority="6921">
      <colorScale>
        <cfvo type="min"/>
        <cfvo type="percentile" val="50"/>
        <cfvo type="max"/>
        <color rgb="FF63BE7B"/>
        <color rgb="FFFFEB84"/>
        <color rgb="FFF8696B"/>
      </colorScale>
    </cfRule>
  </conditionalFormatting>
  <conditionalFormatting sqref="AS82">
    <cfRule type="colorScale" priority="6920">
      <colorScale>
        <cfvo type="min"/>
        <cfvo type="max"/>
        <color rgb="FFF8696B"/>
        <color rgb="FFFCFCFF"/>
      </colorScale>
    </cfRule>
  </conditionalFormatting>
  <conditionalFormatting sqref="AS84">
    <cfRule type="colorScale" priority="6918">
      <colorScale>
        <cfvo type="min"/>
        <cfvo type="percentile" val="50"/>
        <cfvo type="max"/>
        <color rgb="FFF8696B"/>
        <color rgb="FFFFEB84"/>
        <color rgb="FF63BE7B"/>
      </colorScale>
    </cfRule>
  </conditionalFormatting>
  <conditionalFormatting sqref="AS84">
    <cfRule type="colorScale" priority="6917">
      <colorScale>
        <cfvo type="min"/>
        <cfvo type="percentile" val="50"/>
        <cfvo type="max"/>
        <color rgb="FFF8696B"/>
        <color rgb="FFFFEB84"/>
        <color rgb="FF63BE7B"/>
      </colorScale>
    </cfRule>
  </conditionalFormatting>
  <conditionalFormatting sqref="AS84">
    <cfRule type="colorScale" priority="6916">
      <colorScale>
        <cfvo type="min"/>
        <cfvo type="percentile" val="50"/>
        <cfvo type="max"/>
        <color rgb="FFF8696B"/>
        <color rgb="FFFFEB84"/>
        <color rgb="FF63BE7B"/>
      </colorScale>
    </cfRule>
  </conditionalFormatting>
  <conditionalFormatting sqref="AS84">
    <cfRule type="colorScale" priority="6915">
      <colorScale>
        <cfvo type="min"/>
        <cfvo type="percentile" val="50"/>
        <cfvo type="max"/>
        <color rgb="FF63BE7B"/>
        <color rgb="FFFFEB84"/>
        <color rgb="FFF8696B"/>
      </colorScale>
    </cfRule>
  </conditionalFormatting>
  <conditionalFormatting sqref="AS84">
    <cfRule type="colorScale" priority="6912">
      <colorScale>
        <cfvo type="min"/>
        <cfvo type="max"/>
        <color rgb="FFFCFCFF"/>
        <color rgb="FFF8696B"/>
      </colorScale>
    </cfRule>
    <cfRule type="colorScale" priority="6914">
      <colorScale>
        <cfvo type="min"/>
        <cfvo type="percentile" val="50"/>
        <cfvo type="max"/>
        <color rgb="FF63BE7B"/>
        <color rgb="FFFFEB84"/>
        <color rgb="FFF8696B"/>
      </colorScale>
    </cfRule>
  </conditionalFormatting>
  <conditionalFormatting sqref="AS84">
    <cfRule type="colorScale" priority="6913">
      <colorScale>
        <cfvo type="min"/>
        <cfvo type="max"/>
        <color rgb="FFF8696B"/>
        <color rgb="FFFCFCFF"/>
      </colorScale>
    </cfRule>
  </conditionalFormatting>
  <conditionalFormatting sqref="AS82">
    <cfRule type="colorScale" priority="6911">
      <colorScale>
        <cfvo type="min"/>
        <cfvo type="percentile" val="50"/>
        <cfvo type="max"/>
        <color rgb="FFF8696B"/>
        <color rgb="FFFFEB84"/>
        <color rgb="FF63BE7B"/>
      </colorScale>
    </cfRule>
  </conditionalFormatting>
  <conditionalFormatting sqref="AS84 AS82">
    <cfRule type="colorScale" priority="6910">
      <colorScale>
        <cfvo type="min"/>
        <cfvo type="max"/>
        <color rgb="FFFCFCFF"/>
        <color rgb="FFF8696B"/>
      </colorScale>
    </cfRule>
  </conditionalFormatting>
  <conditionalFormatting sqref="AU84">
    <cfRule type="colorScale" priority="6909">
      <colorScale>
        <cfvo type="min"/>
        <cfvo type="percentile" val="50"/>
        <cfvo type="max"/>
        <color rgb="FFF8696B"/>
        <color rgb="FFFFEB84"/>
        <color rgb="FF63BE7B"/>
      </colorScale>
    </cfRule>
  </conditionalFormatting>
  <conditionalFormatting sqref="AU84">
    <cfRule type="colorScale" priority="6908">
      <colorScale>
        <cfvo type="min"/>
        <cfvo type="percentile" val="50"/>
        <cfvo type="max"/>
        <color rgb="FFF8696B"/>
        <color rgb="FFFFEB84"/>
        <color rgb="FF63BE7B"/>
      </colorScale>
    </cfRule>
  </conditionalFormatting>
  <conditionalFormatting sqref="AU84">
    <cfRule type="colorScale" priority="6907">
      <colorScale>
        <cfvo type="min"/>
        <cfvo type="percentile" val="50"/>
        <cfvo type="max"/>
        <color rgb="FFF8696B"/>
        <color rgb="FFFFEB84"/>
        <color rgb="FF63BE7B"/>
      </colorScale>
    </cfRule>
  </conditionalFormatting>
  <conditionalFormatting sqref="AU84">
    <cfRule type="colorScale" priority="6906">
      <colorScale>
        <cfvo type="min"/>
        <cfvo type="percentile" val="50"/>
        <cfvo type="max"/>
        <color rgb="FF63BE7B"/>
        <color rgb="FFFFEB84"/>
        <color rgb="FFF8696B"/>
      </colorScale>
    </cfRule>
  </conditionalFormatting>
  <conditionalFormatting sqref="AU84">
    <cfRule type="colorScale" priority="6903">
      <colorScale>
        <cfvo type="min"/>
        <cfvo type="max"/>
        <color rgb="FFFCFCFF"/>
        <color rgb="FFF8696B"/>
      </colorScale>
    </cfRule>
    <cfRule type="colorScale" priority="6905">
      <colorScale>
        <cfvo type="min"/>
        <cfvo type="percentile" val="50"/>
        <cfvo type="max"/>
        <color rgb="FF63BE7B"/>
        <color rgb="FFFFEB84"/>
        <color rgb="FFF8696B"/>
      </colorScale>
    </cfRule>
  </conditionalFormatting>
  <conditionalFormatting sqref="AU84">
    <cfRule type="colorScale" priority="6904">
      <colorScale>
        <cfvo type="min"/>
        <cfvo type="max"/>
        <color rgb="FFF8696B"/>
        <color rgb="FFFCFCFF"/>
      </colorScale>
    </cfRule>
  </conditionalFormatting>
  <conditionalFormatting sqref="AU84">
    <cfRule type="colorScale" priority="6902">
      <colorScale>
        <cfvo type="min"/>
        <cfvo type="max"/>
        <color rgb="FFFCFCFF"/>
        <color rgb="FFF8696B"/>
      </colorScale>
    </cfRule>
  </conditionalFormatting>
  <conditionalFormatting sqref="AI125 AO109 AQ109 AO114 AQ114 AI119 AK119 AM119 AO119 AQ119 AK125 AM125 AO125 AQ125">
    <cfRule type="colorScale" priority="6901">
      <colorScale>
        <cfvo type="min"/>
        <cfvo type="percentile" val="50"/>
        <cfvo type="max"/>
        <color rgb="FFF8696B"/>
        <color rgb="FFFFEB84"/>
        <color rgb="FF63BE7B"/>
      </colorScale>
    </cfRule>
  </conditionalFormatting>
  <conditionalFormatting sqref="AQ119">
    <cfRule type="colorScale" priority="6900">
      <colorScale>
        <cfvo type="min"/>
        <cfvo type="percentile" val="50"/>
        <cfvo type="max"/>
        <color rgb="FFF8696B"/>
        <color rgb="FFFFEB84"/>
        <color rgb="FF63BE7B"/>
      </colorScale>
    </cfRule>
  </conditionalFormatting>
  <conditionalFormatting sqref="AI125 AO109 AQ109 AO114 AQ114 AI119 AK119 AM119 AO119 AQ119 AK125 AM125 AO125 AQ125">
    <cfRule type="colorScale" priority="6899">
      <colorScale>
        <cfvo type="min"/>
        <cfvo type="percentile" val="50"/>
        <cfvo type="max"/>
        <color rgb="FF63BE7B"/>
        <color rgb="FFFFEB84"/>
        <color rgb="FFF8696B"/>
      </colorScale>
    </cfRule>
  </conditionalFormatting>
  <conditionalFormatting sqref="AI125 AO109 AQ109 AO114 AQ114 AI119 AK119 AM119 AO119 AQ119 AK125 AM125 AO125 AQ125">
    <cfRule type="colorScale" priority="6896">
      <colorScale>
        <cfvo type="min"/>
        <cfvo type="max"/>
        <color rgb="FFFCFCFF"/>
        <color rgb="FFF8696B"/>
      </colorScale>
    </cfRule>
    <cfRule type="colorScale" priority="6898">
      <colorScale>
        <cfvo type="min"/>
        <cfvo type="percentile" val="50"/>
        <cfvo type="max"/>
        <color rgb="FF63BE7B"/>
        <color rgb="FFFFEB84"/>
        <color rgb="FFF8696B"/>
      </colorScale>
    </cfRule>
  </conditionalFormatting>
  <conditionalFormatting sqref="AI125 AO109 AQ109 AO114 AQ114 AI119 AK119 AM119 AO119 AQ119 AK125 AM125 AO125 AQ125">
    <cfRule type="colorScale" priority="6897">
      <colorScale>
        <cfvo type="min"/>
        <cfvo type="max"/>
        <color rgb="FFF8696B"/>
        <color rgb="FFFCFCFF"/>
      </colorScale>
    </cfRule>
  </conditionalFormatting>
  <conditionalFormatting sqref="AM127">
    <cfRule type="colorScale" priority="6895">
      <colorScale>
        <cfvo type="min"/>
        <cfvo type="percentile" val="50"/>
        <cfvo type="max"/>
        <color rgb="FFF8696B"/>
        <color rgb="FFFFEB84"/>
        <color rgb="FF63BE7B"/>
      </colorScale>
    </cfRule>
  </conditionalFormatting>
  <conditionalFormatting sqref="AM127">
    <cfRule type="colorScale" priority="6894">
      <colorScale>
        <cfvo type="min"/>
        <cfvo type="percentile" val="50"/>
        <cfvo type="max"/>
        <color rgb="FFF8696B"/>
        <color rgb="FFFFEB84"/>
        <color rgb="FF63BE7B"/>
      </colorScale>
    </cfRule>
  </conditionalFormatting>
  <conditionalFormatting sqref="AM127">
    <cfRule type="colorScale" priority="6893">
      <colorScale>
        <cfvo type="min"/>
        <cfvo type="percentile" val="50"/>
        <cfvo type="max"/>
        <color rgb="FFF8696B"/>
        <color rgb="FFFFEB84"/>
        <color rgb="FF63BE7B"/>
      </colorScale>
    </cfRule>
  </conditionalFormatting>
  <conditionalFormatting sqref="AM127">
    <cfRule type="colorScale" priority="6892">
      <colorScale>
        <cfvo type="min"/>
        <cfvo type="percentile" val="50"/>
        <cfvo type="max"/>
        <color rgb="FF63BE7B"/>
        <color rgb="FFFFEB84"/>
        <color rgb="FFF8696B"/>
      </colorScale>
    </cfRule>
  </conditionalFormatting>
  <conditionalFormatting sqref="AM127">
    <cfRule type="colorScale" priority="6889">
      <colorScale>
        <cfvo type="min"/>
        <cfvo type="max"/>
        <color rgb="FFFCFCFF"/>
        <color rgb="FFF8696B"/>
      </colorScale>
    </cfRule>
    <cfRule type="colorScale" priority="6891">
      <colorScale>
        <cfvo type="min"/>
        <cfvo type="percentile" val="50"/>
        <cfvo type="max"/>
        <color rgb="FF63BE7B"/>
        <color rgb="FFFFEB84"/>
        <color rgb="FFF8696B"/>
      </colorScale>
    </cfRule>
  </conditionalFormatting>
  <conditionalFormatting sqref="AM127">
    <cfRule type="colorScale" priority="6890">
      <colorScale>
        <cfvo type="min"/>
        <cfvo type="max"/>
        <color rgb="FFF8696B"/>
        <color rgb="FFFCFCFF"/>
      </colorScale>
    </cfRule>
  </conditionalFormatting>
  <conditionalFormatting sqref="AO127">
    <cfRule type="colorScale" priority="6888">
      <colorScale>
        <cfvo type="min"/>
        <cfvo type="percentile" val="50"/>
        <cfvo type="max"/>
        <color rgb="FFF8696B"/>
        <color rgb="FFFFEB84"/>
        <color rgb="FF63BE7B"/>
      </colorScale>
    </cfRule>
  </conditionalFormatting>
  <conditionalFormatting sqref="AO127">
    <cfRule type="colorScale" priority="6887">
      <colorScale>
        <cfvo type="min"/>
        <cfvo type="percentile" val="50"/>
        <cfvo type="max"/>
        <color rgb="FFF8696B"/>
        <color rgb="FFFFEB84"/>
        <color rgb="FF63BE7B"/>
      </colorScale>
    </cfRule>
  </conditionalFormatting>
  <conditionalFormatting sqref="AO127">
    <cfRule type="colorScale" priority="6886">
      <colorScale>
        <cfvo type="min"/>
        <cfvo type="percentile" val="50"/>
        <cfvo type="max"/>
        <color rgb="FFF8696B"/>
        <color rgb="FFFFEB84"/>
        <color rgb="FF63BE7B"/>
      </colorScale>
    </cfRule>
  </conditionalFormatting>
  <conditionalFormatting sqref="AO127">
    <cfRule type="colorScale" priority="6885">
      <colorScale>
        <cfvo type="min"/>
        <cfvo type="percentile" val="50"/>
        <cfvo type="max"/>
        <color rgb="FF63BE7B"/>
        <color rgb="FFFFEB84"/>
        <color rgb="FFF8696B"/>
      </colorScale>
    </cfRule>
  </conditionalFormatting>
  <conditionalFormatting sqref="AO127">
    <cfRule type="colorScale" priority="6882">
      <colorScale>
        <cfvo type="min"/>
        <cfvo type="max"/>
        <color rgb="FFFCFCFF"/>
        <color rgb="FFF8696B"/>
      </colorScale>
    </cfRule>
    <cfRule type="colorScale" priority="6884">
      <colorScale>
        <cfvo type="min"/>
        <cfvo type="percentile" val="50"/>
        <cfvo type="max"/>
        <color rgb="FF63BE7B"/>
        <color rgb="FFFFEB84"/>
        <color rgb="FFF8696B"/>
      </colorScale>
    </cfRule>
  </conditionalFormatting>
  <conditionalFormatting sqref="AO127">
    <cfRule type="colorScale" priority="6883">
      <colorScale>
        <cfvo type="min"/>
        <cfvo type="max"/>
        <color rgb="FFF8696B"/>
        <color rgb="FFFCFCFF"/>
      </colorScale>
    </cfRule>
  </conditionalFormatting>
  <conditionalFormatting sqref="AQ127">
    <cfRule type="colorScale" priority="6881">
      <colorScale>
        <cfvo type="min"/>
        <cfvo type="percentile" val="50"/>
        <cfvo type="max"/>
        <color rgb="FFF8696B"/>
        <color rgb="FFFFEB84"/>
        <color rgb="FF63BE7B"/>
      </colorScale>
    </cfRule>
  </conditionalFormatting>
  <conditionalFormatting sqref="AQ127">
    <cfRule type="colorScale" priority="6880">
      <colorScale>
        <cfvo type="min"/>
        <cfvo type="percentile" val="50"/>
        <cfvo type="max"/>
        <color rgb="FFF8696B"/>
        <color rgb="FFFFEB84"/>
        <color rgb="FF63BE7B"/>
      </colorScale>
    </cfRule>
  </conditionalFormatting>
  <conditionalFormatting sqref="AQ127">
    <cfRule type="colorScale" priority="6879">
      <colorScale>
        <cfvo type="min"/>
        <cfvo type="percentile" val="50"/>
        <cfvo type="max"/>
        <color rgb="FFF8696B"/>
        <color rgb="FFFFEB84"/>
        <color rgb="FF63BE7B"/>
      </colorScale>
    </cfRule>
  </conditionalFormatting>
  <conditionalFormatting sqref="AQ127">
    <cfRule type="colorScale" priority="6878">
      <colorScale>
        <cfvo type="min"/>
        <cfvo type="percentile" val="50"/>
        <cfvo type="max"/>
        <color rgb="FF63BE7B"/>
        <color rgb="FFFFEB84"/>
        <color rgb="FFF8696B"/>
      </colorScale>
    </cfRule>
  </conditionalFormatting>
  <conditionalFormatting sqref="AQ127">
    <cfRule type="colorScale" priority="6875">
      <colorScale>
        <cfvo type="min"/>
        <cfvo type="max"/>
        <color rgb="FFFCFCFF"/>
        <color rgb="FFF8696B"/>
      </colorScale>
    </cfRule>
    <cfRule type="colorScale" priority="6877">
      <colorScale>
        <cfvo type="min"/>
        <cfvo type="percentile" val="50"/>
        <cfvo type="max"/>
        <color rgb="FF63BE7B"/>
        <color rgb="FFFFEB84"/>
        <color rgb="FFF8696B"/>
      </colorScale>
    </cfRule>
  </conditionalFormatting>
  <conditionalFormatting sqref="AQ127">
    <cfRule type="colorScale" priority="6876">
      <colorScale>
        <cfvo type="min"/>
        <cfvo type="max"/>
        <color rgb="FFF8696B"/>
        <color rgb="FFFCFCFF"/>
      </colorScale>
    </cfRule>
  </conditionalFormatting>
  <conditionalFormatting sqref="AO109">
    <cfRule type="colorScale" priority="6874">
      <colorScale>
        <cfvo type="min"/>
        <cfvo type="percentile" val="50"/>
        <cfvo type="max"/>
        <color rgb="FFF8696B"/>
        <color rgb="FFFFEB84"/>
        <color rgb="FF63BE7B"/>
      </colorScale>
    </cfRule>
  </conditionalFormatting>
  <conditionalFormatting sqref="AQ109">
    <cfRule type="colorScale" priority="6873">
      <colorScale>
        <cfvo type="min"/>
        <cfvo type="percentile" val="50"/>
        <cfvo type="max"/>
        <color rgb="FFF8696B"/>
        <color rgb="FFFFEB84"/>
        <color rgb="FF63BE7B"/>
      </colorScale>
    </cfRule>
  </conditionalFormatting>
  <conditionalFormatting sqref="AO114">
    <cfRule type="colorScale" priority="6872">
      <colorScale>
        <cfvo type="min"/>
        <cfvo type="percentile" val="50"/>
        <cfvo type="max"/>
        <color rgb="FFF8696B"/>
        <color rgb="FFFFEB84"/>
        <color rgb="FF63BE7B"/>
      </colorScale>
    </cfRule>
  </conditionalFormatting>
  <conditionalFormatting sqref="AQ114">
    <cfRule type="colorScale" priority="6871">
      <colorScale>
        <cfvo type="min"/>
        <cfvo type="percentile" val="50"/>
        <cfvo type="max"/>
        <color rgb="FFF8696B"/>
        <color rgb="FFFFEB84"/>
        <color rgb="FF63BE7B"/>
      </colorScale>
    </cfRule>
  </conditionalFormatting>
  <conditionalFormatting sqref="AI119">
    <cfRule type="colorScale" priority="6870">
      <colorScale>
        <cfvo type="min"/>
        <cfvo type="percentile" val="50"/>
        <cfvo type="max"/>
        <color rgb="FFF8696B"/>
        <color rgb="FFFFEB84"/>
        <color rgb="FF63BE7B"/>
      </colorScale>
    </cfRule>
  </conditionalFormatting>
  <conditionalFormatting sqref="AK119">
    <cfRule type="colorScale" priority="6869">
      <colorScale>
        <cfvo type="min"/>
        <cfvo type="percentile" val="50"/>
        <cfvo type="max"/>
        <color rgb="FFF8696B"/>
        <color rgb="FFFFEB84"/>
        <color rgb="FF63BE7B"/>
      </colorScale>
    </cfRule>
  </conditionalFormatting>
  <conditionalFormatting sqref="AM119">
    <cfRule type="colorScale" priority="6868">
      <colorScale>
        <cfvo type="min"/>
        <cfvo type="percentile" val="50"/>
        <cfvo type="max"/>
        <color rgb="FFF8696B"/>
        <color rgb="FFFFEB84"/>
        <color rgb="FF63BE7B"/>
      </colorScale>
    </cfRule>
  </conditionalFormatting>
  <conditionalFormatting sqref="AO119">
    <cfRule type="colorScale" priority="6867">
      <colorScale>
        <cfvo type="min"/>
        <cfvo type="percentile" val="50"/>
        <cfvo type="max"/>
        <color rgb="FFF8696B"/>
        <color rgb="FFFFEB84"/>
        <color rgb="FF63BE7B"/>
      </colorScale>
    </cfRule>
  </conditionalFormatting>
  <conditionalFormatting sqref="AQ119">
    <cfRule type="colorScale" priority="6866">
      <colorScale>
        <cfvo type="min"/>
        <cfvo type="percentile" val="50"/>
        <cfvo type="max"/>
        <color rgb="FFF8696B"/>
        <color rgb="FFFFEB84"/>
        <color rgb="FF63BE7B"/>
      </colorScale>
    </cfRule>
  </conditionalFormatting>
  <conditionalFormatting sqref="AI125">
    <cfRule type="colorScale" priority="6865">
      <colorScale>
        <cfvo type="min"/>
        <cfvo type="percentile" val="50"/>
        <cfvo type="max"/>
        <color rgb="FFF8696B"/>
        <color rgb="FFFFEB84"/>
        <color rgb="FF63BE7B"/>
      </colorScale>
    </cfRule>
  </conditionalFormatting>
  <conditionalFormatting sqref="AK125">
    <cfRule type="colorScale" priority="6864">
      <colorScale>
        <cfvo type="min"/>
        <cfvo type="percentile" val="50"/>
        <cfvo type="max"/>
        <color rgb="FFF8696B"/>
        <color rgb="FFFFEB84"/>
        <color rgb="FF63BE7B"/>
      </colorScale>
    </cfRule>
  </conditionalFormatting>
  <conditionalFormatting sqref="AM125">
    <cfRule type="colorScale" priority="6863">
      <colorScale>
        <cfvo type="min"/>
        <cfvo type="percentile" val="50"/>
        <cfvo type="max"/>
        <color rgb="FFF8696B"/>
        <color rgb="FFFFEB84"/>
        <color rgb="FF63BE7B"/>
      </colorScale>
    </cfRule>
  </conditionalFormatting>
  <conditionalFormatting sqref="AO125">
    <cfRule type="colorScale" priority="6862">
      <colorScale>
        <cfvo type="min"/>
        <cfvo type="percentile" val="50"/>
        <cfvo type="max"/>
        <color rgb="FFF8696B"/>
        <color rgb="FFFFEB84"/>
        <color rgb="FF63BE7B"/>
      </colorScale>
    </cfRule>
  </conditionalFormatting>
  <conditionalFormatting sqref="AQ125">
    <cfRule type="colorScale" priority="6861">
      <colorScale>
        <cfvo type="min"/>
        <cfvo type="percentile" val="50"/>
        <cfvo type="max"/>
        <color rgb="FFF8696B"/>
        <color rgb="FFFFEB84"/>
        <color rgb="FF63BE7B"/>
      </colorScale>
    </cfRule>
  </conditionalFormatting>
  <conditionalFormatting sqref="AI125 AO109 AQ109 AK104 AI104 AO114 AQ114 AQ119 AO119 AM119 AK119 AI119 AK125 AQ125 AO125 AM125 AM127 AO127 AQ127">
    <cfRule type="colorScale" priority="6860">
      <colorScale>
        <cfvo type="min"/>
        <cfvo type="max"/>
        <color rgb="FFFCFCFF"/>
        <color rgb="FFF8696B"/>
      </colorScale>
    </cfRule>
  </conditionalFormatting>
  <conditionalFormatting sqref="AS109 AS125 AS114 AS119">
    <cfRule type="colorScale" priority="6859">
      <colorScale>
        <cfvo type="min"/>
        <cfvo type="percentile" val="50"/>
        <cfvo type="max"/>
        <color rgb="FFF8696B"/>
        <color rgb="FFFFEB84"/>
        <color rgb="FF63BE7B"/>
      </colorScale>
    </cfRule>
  </conditionalFormatting>
  <conditionalFormatting sqref="AS119">
    <cfRule type="colorScale" priority="6858">
      <colorScale>
        <cfvo type="min"/>
        <cfvo type="percentile" val="50"/>
        <cfvo type="max"/>
        <color rgb="FFF8696B"/>
        <color rgb="FFFFEB84"/>
        <color rgb="FF63BE7B"/>
      </colorScale>
    </cfRule>
  </conditionalFormatting>
  <conditionalFormatting sqref="AS125 AS109 AS114 AS119">
    <cfRule type="colorScale" priority="6857">
      <colorScale>
        <cfvo type="min"/>
        <cfvo type="percentile" val="50"/>
        <cfvo type="max"/>
        <color rgb="FF63BE7B"/>
        <color rgb="FFFFEB84"/>
        <color rgb="FFF8696B"/>
      </colorScale>
    </cfRule>
  </conditionalFormatting>
  <conditionalFormatting sqref="AS125 AS109 AS114 AS119">
    <cfRule type="colorScale" priority="6854">
      <colorScale>
        <cfvo type="min"/>
        <cfvo type="max"/>
        <color rgb="FFFCFCFF"/>
        <color rgb="FFF8696B"/>
      </colorScale>
    </cfRule>
    <cfRule type="colorScale" priority="6856">
      <colorScale>
        <cfvo type="min"/>
        <cfvo type="percentile" val="50"/>
        <cfvo type="max"/>
        <color rgb="FF63BE7B"/>
        <color rgb="FFFFEB84"/>
        <color rgb="FFF8696B"/>
      </colorScale>
    </cfRule>
  </conditionalFormatting>
  <conditionalFormatting sqref="AS109 AS125 AS114 AS119">
    <cfRule type="colorScale" priority="6855">
      <colorScale>
        <cfvo type="min"/>
        <cfvo type="max"/>
        <color rgb="FFF8696B"/>
        <color rgb="FFFCFCFF"/>
      </colorScale>
    </cfRule>
  </conditionalFormatting>
  <conditionalFormatting sqref="AS127">
    <cfRule type="colorScale" priority="6853">
      <colorScale>
        <cfvo type="min"/>
        <cfvo type="percentile" val="50"/>
        <cfvo type="max"/>
        <color rgb="FFF8696B"/>
        <color rgb="FFFFEB84"/>
        <color rgb="FF63BE7B"/>
      </colorScale>
    </cfRule>
  </conditionalFormatting>
  <conditionalFormatting sqref="AS127">
    <cfRule type="colorScale" priority="6852">
      <colorScale>
        <cfvo type="min"/>
        <cfvo type="percentile" val="50"/>
        <cfvo type="max"/>
        <color rgb="FFF8696B"/>
        <color rgb="FFFFEB84"/>
        <color rgb="FF63BE7B"/>
      </colorScale>
    </cfRule>
  </conditionalFormatting>
  <conditionalFormatting sqref="AS127">
    <cfRule type="colorScale" priority="6851">
      <colorScale>
        <cfvo type="min"/>
        <cfvo type="percentile" val="50"/>
        <cfvo type="max"/>
        <color rgb="FFF8696B"/>
        <color rgb="FFFFEB84"/>
        <color rgb="FF63BE7B"/>
      </colorScale>
    </cfRule>
  </conditionalFormatting>
  <conditionalFormatting sqref="AS127">
    <cfRule type="colorScale" priority="6850">
      <colorScale>
        <cfvo type="min"/>
        <cfvo type="percentile" val="50"/>
        <cfvo type="max"/>
        <color rgb="FF63BE7B"/>
        <color rgb="FFFFEB84"/>
        <color rgb="FFF8696B"/>
      </colorScale>
    </cfRule>
  </conditionalFormatting>
  <conditionalFormatting sqref="AS127">
    <cfRule type="colorScale" priority="6847">
      <colorScale>
        <cfvo type="min"/>
        <cfvo type="max"/>
        <color rgb="FFFCFCFF"/>
        <color rgb="FFF8696B"/>
      </colorScale>
    </cfRule>
    <cfRule type="colorScale" priority="6849">
      <colorScale>
        <cfvo type="min"/>
        <cfvo type="percentile" val="50"/>
        <cfvo type="max"/>
        <color rgb="FF63BE7B"/>
        <color rgb="FFFFEB84"/>
        <color rgb="FFF8696B"/>
      </colorScale>
    </cfRule>
  </conditionalFormatting>
  <conditionalFormatting sqref="AS127">
    <cfRule type="colorScale" priority="6848">
      <colorScale>
        <cfvo type="min"/>
        <cfvo type="max"/>
        <color rgb="FFF8696B"/>
        <color rgb="FFFCFCFF"/>
      </colorScale>
    </cfRule>
  </conditionalFormatting>
  <conditionalFormatting sqref="AS109">
    <cfRule type="colorScale" priority="6846">
      <colorScale>
        <cfvo type="min"/>
        <cfvo type="percentile" val="50"/>
        <cfvo type="max"/>
        <color rgb="FFF8696B"/>
        <color rgb="FFFFEB84"/>
        <color rgb="FF63BE7B"/>
      </colorScale>
    </cfRule>
  </conditionalFormatting>
  <conditionalFormatting sqref="AS114">
    <cfRule type="colorScale" priority="6845">
      <colorScale>
        <cfvo type="min"/>
        <cfvo type="percentile" val="50"/>
        <cfvo type="max"/>
        <color rgb="FFF8696B"/>
        <color rgb="FFFFEB84"/>
        <color rgb="FF63BE7B"/>
      </colorScale>
    </cfRule>
  </conditionalFormatting>
  <conditionalFormatting sqref="AS119">
    <cfRule type="colorScale" priority="6844">
      <colorScale>
        <cfvo type="min"/>
        <cfvo type="percentile" val="50"/>
        <cfvo type="max"/>
        <color rgb="FFF8696B"/>
        <color rgb="FFFFEB84"/>
        <color rgb="FF63BE7B"/>
      </colorScale>
    </cfRule>
  </conditionalFormatting>
  <conditionalFormatting sqref="AS125">
    <cfRule type="colorScale" priority="6843">
      <colorScale>
        <cfvo type="min"/>
        <cfvo type="percentile" val="50"/>
        <cfvo type="max"/>
        <color rgb="FFF8696B"/>
        <color rgb="FFFFEB84"/>
        <color rgb="FF63BE7B"/>
      </colorScale>
    </cfRule>
  </conditionalFormatting>
  <conditionalFormatting sqref="AS125 AS109 AS114 AS119 AS127">
    <cfRule type="colorScale" priority="6842">
      <colorScale>
        <cfvo type="min"/>
        <cfvo type="max"/>
        <color rgb="FFFCFCFF"/>
        <color rgb="FFF8696B"/>
      </colorScale>
    </cfRule>
  </conditionalFormatting>
  <conditionalFormatting sqref="AU109 AU125 AU114 AU119">
    <cfRule type="colorScale" priority="6841">
      <colorScale>
        <cfvo type="min"/>
        <cfvo type="percentile" val="50"/>
        <cfvo type="max"/>
        <color rgb="FFF8696B"/>
        <color rgb="FFFFEB84"/>
        <color rgb="FF63BE7B"/>
      </colorScale>
    </cfRule>
  </conditionalFormatting>
  <conditionalFormatting sqref="AU119">
    <cfRule type="colorScale" priority="6840">
      <colorScale>
        <cfvo type="min"/>
        <cfvo type="percentile" val="50"/>
        <cfvo type="max"/>
        <color rgb="FFF8696B"/>
        <color rgb="FFFFEB84"/>
        <color rgb="FF63BE7B"/>
      </colorScale>
    </cfRule>
  </conditionalFormatting>
  <conditionalFormatting sqref="AU109 AU125 AU114 AU119">
    <cfRule type="colorScale" priority="6839">
      <colorScale>
        <cfvo type="min"/>
        <cfvo type="percentile" val="50"/>
        <cfvo type="max"/>
        <color rgb="FF63BE7B"/>
        <color rgb="FFFFEB84"/>
        <color rgb="FFF8696B"/>
      </colorScale>
    </cfRule>
  </conditionalFormatting>
  <conditionalFormatting sqref="AU125 AU109 AU114 AU119">
    <cfRule type="colorScale" priority="6836">
      <colorScale>
        <cfvo type="min"/>
        <cfvo type="max"/>
        <color rgb="FFFCFCFF"/>
        <color rgb="FFF8696B"/>
      </colorScale>
    </cfRule>
    <cfRule type="colorScale" priority="6838">
      <colorScale>
        <cfvo type="min"/>
        <cfvo type="percentile" val="50"/>
        <cfvo type="max"/>
        <color rgb="FF63BE7B"/>
        <color rgb="FFFFEB84"/>
        <color rgb="FFF8696B"/>
      </colorScale>
    </cfRule>
  </conditionalFormatting>
  <conditionalFormatting sqref="AU109 AU125 AU114 AU119">
    <cfRule type="colorScale" priority="6837">
      <colorScale>
        <cfvo type="min"/>
        <cfvo type="max"/>
        <color rgb="FFF8696B"/>
        <color rgb="FFFCFCFF"/>
      </colorScale>
    </cfRule>
  </conditionalFormatting>
  <conditionalFormatting sqref="AU127">
    <cfRule type="colorScale" priority="6835">
      <colorScale>
        <cfvo type="min"/>
        <cfvo type="percentile" val="50"/>
        <cfvo type="max"/>
        <color rgb="FFF8696B"/>
        <color rgb="FFFFEB84"/>
        <color rgb="FF63BE7B"/>
      </colorScale>
    </cfRule>
  </conditionalFormatting>
  <conditionalFormatting sqref="AU127">
    <cfRule type="colorScale" priority="6834">
      <colorScale>
        <cfvo type="min"/>
        <cfvo type="percentile" val="50"/>
        <cfvo type="max"/>
        <color rgb="FFF8696B"/>
        <color rgb="FFFFEB84"/>
        <color rgb="FF63BE7B"/>
      </colorScale>
    </cfRule>
  </conditionalFormatting>
  <conditionalFormatting sqref="AU127">
    <cfRule type="colorScale" priority="6833">
      <colorScale>
        <cfvo type="min"/>
        <cfvo type="percentile" val="50"/>
        <cfvo type="max"/>
        <color rgb="FFF8696B"/>
        <color rgb="FFFFEB84"/>
        <color rgb="FF63BE7B"/>
      </colorScale>
    </cfRule>
  </conditionalFormatting>
  <conditionalFormatting sqref="AU127">
    <cfRule type="colorScale" priority="6832">
      <colorScale>
        <cfvo type="min"/>
        <cfvo type="percentile" val="50"/>
        <cfvo type="max"/>
        <color rgb="FF63BE7B"/>
        <color rgb="FFFFEB84"/>
        <color rgb="FFF8696B"/>
      </colorScale>
    </cfRule>
  </conditionalFormatting>
  <conditionalFormatting sqref="AU127">
    <cfRule type="colorScale" priority="6829">
      <colorScale>
        <cfvo type="min"/>
        <cfvo type="max"/>
        <color rgb="FFFCFCFF"/>
        <color rgb="FFF8696B"/>
      </colorScale>
    </cfRule>
    <cfRule type="colorScale" priority="6831">
      <colorScale>
        <cfvo type="min"/>
        <cfvo type="percentile" val="50"/>
        <cfvo type="max"/>
        <color rgb="FF63BE7B"/>
        <color rgb="FFFFEB84"/>
        <color rgb="FFF8696B"/>
      </colorScale>
    </cfRule>
  </conditionalFormatting>
  <conditionalFormatting sqref="AU127">
    <cfRule type="colorScale" priority="6830">
      <colorScale>
        <cfvo type="min"/>
        <cfvo type="max"/>
        <color rgb="FFF8696B"/>
        <color rgb="FFFCFCFF"/>
      </colorScale>
    </cfRule>
  </conditionalFormatting>
  <conditionalFormatting sqref="AU109">
    <cfRule type="colorScale" priority="6828">
      <colorScale>
        <cfvo type="min"/>
        <cfvo type="percentile" val="50"/>
        <cfvo type="max"/>
        <color rgb="FFF8696B"/>
        <color rgb="FFFFEB84"/>
        <color rgb="FF63BE7B"/>
      </colorScale>
    </cfRule>
  </conditionalFormatting>
  <conditionalFormatting sqref="AU114">
    <cfRule type="colorScale" priority="6827">
      <colorScale>
        <cfvo type="min"/>
        <cfvo type="percentile" val="50"/>
        <cfvo type="max"/>
        <color rgb="FFF8696B"/>
        <color rgb="FFFFEB84"/>
        <color rgb="FF63BE7B"/>
      </colorScale>
    </cfRule>
  </conditionalFormatting>
  <conditionalFormatting sqref="AU119">
    <cfRule type="colorScale" priority="6826">
      <colorScale>
        <cfvo type="min"/>
        <cfvo type="percentile" val="50"/>
        <cfvo type="max"/>
        <color rgb="FFF8696B"/>
        <color rgb="FFFFEB84"/>
        <color rgb="FF63BE7B"/>
      </colorScale>
    </cfRule>
  </conditionalFormatting>
  <conditionalFormatting sqref="AU125">
    <cfRule type="colorScale" priority="6825">
      <colorScale>
        <cfvo type="min"/>
        <cfvo type="percentile" val="50"/>
        <cfvo type="max"/>
        <color rgb="FFF8696B"/>
        <color rgb="FFFFEB84"/>
        <color rgb="FF63BE7B"/>
      </colorScale>
    </cfRule>
  </conditionalFormatting>
  <conditionalFormatting sqref="AU109 AU125 AU114 AU119 AU127">
    <cfRule type="colorScale" priority="6824">
      <colorScale>
        <cfvo type="min"/>
        <cfvo type="max"/>
        <color rgb="FFFCFCFF"/>
        <color rgb="FFF8696B"/>
      </colorScale>
    </cfRule>
  </conditionalFormatting>
  <conditionalFormatting sqref="AI142 AI168 AK142 AM142 AO142 AQ142 AQ152 AQ157 AI162 AK162 AM162 AO162 AQ162 AK168 AM168 AO168 AQ168">
    <cfRule type="colorScale" priority="6823">
      <colorScale>
        <cfvo type="min"/>
        <cfvo type="percentile" val="50"/>
        <cfvo type="max"/>
        <color rgb="FFF8696B"/>
        <color rgb="FFFFEB84"/>
        <color rgb="FF63BE7B"/>
      </colorScale>
    </cfRule>
  </conditionalFormatting>
  <conditionalFormatting sqref="AQ162">
    <cfRule type="colorScale" priority="6822">
      <colorScale>
        <cfvo type="min"/>
        <cfvo type="percentile" val="50"/>
        <cfvo type="max"/>
        <color rgb="FFF8696B"/>
        <color rgb="FFFFEB84"/>
        <color rgb="FF63BE7B"/>
      </colorScale>
    </cfRule>
  </conditionalFormatting>
  <conditionalFormatting sqref="AI142 AK142 AM142 AO142 AQ142">
    <cfRule type="colorScale" priority="6821">
      <colorScale>
        <cfvo type="min"/>
        <cfvo type="percentile" val="50"/>
        <cfvo type="max"/>
        <color rgb="FFF8696B"/>
        <color rgb="FFFFEB84"/>
        <color rgb="FF63BE7B"/>
      </colorScale>
    </cfRule>
  </conditionalFormatting>
  <conditionalFormatting sqref="AI142 AI168 AK142 AM142 AO142 AQ142 AQ152 AQ157 AI162 AK162 AM162 AO162 AQ162 AK168 AM168 AO168 AQ168">
    <cfRule type="colorScale" priority="6820">
      <colorScale>
        <cfvo type="min"/>
        <cfvo type="percentile" val="50"/>
        <cfvo type="max"/>
        <color rgb="FF63BE7B"/>
        <color rgb="FFFFEB84"/>
        <color rgb="FFF8696B"/>
      </colorScale>
    </cfRule>
  </conditionalFormatting>
  <conditionalFormatting sqref="AI168 AI142 AK142 AM142 AO142 AQ142 AQ152 AQ157 AI162 AK162 AM162 AO162 AQ162 AK168 AM168 AO168 AQ168">
    <cfRule type="colorScale" priority="6817">
      <colorScale>
        <cfvo type="min"/>
        <cfvo type="max"/>
        <color rgb="FFFCFCFF"/>
        <color rgb="FFF8696B"/>
      </colorScale>
    </cfRule>
    <cfRule type="colorScale" priority="6819">
      <colorScale>
        <cfvo type="min"/>
        <cfvo type="percentile" val="50"/>
        <cfvo type="max"/>
        <color rgb="FF63BE7B"/>
        <color rgb="FFFFEB84"/>
        <color rgb="FFF8696B"/>
      </colorScale>
    </cfRule>
  </conditionalFormatting>
  <conditionalFormatting sqref="AI142 AI168 AK142 AM142 AO142 AQ142 AQ152 AQ157 AI162 AK162 AM162 AO162 AQ162 AK168 AM168 AO168 AQ168">
    <cfRule type="colorScale" priority="6818">
      <colorScale>
        <cfvo type="min"/>
        <cfvo type="max"/>
        <color rgb="FFF8696B"/>
        <color rgb="FFFCFCFF"/>
      </colorScale>
    </cfRule>
  </conditionalFormatting>
  <conditionalFormatting sqref="AM170">
    <cfRule type="colorScale" priority="6816">
      <colorScale>
        <cfvo type="min"/>
        <cfvo type="percentile" val="50"/>
        <cfvo type="max"/>
        <color rgb="FFF8696B"/>
        <color rgb="FFFFEB84"/>
        <color rgb="FF63BE7B"/>
      </colorScale>
    </cfRule>
  </conditionalFormatting>
  <conditionalFormatting sqref="AM170">
    <cfRule type="colorScale" priority="6815">
      <colorScale>
        <cfvo type="min"/>
        <cfvo type="percentile" val="50"/>
        <cfvo type="max"/>
        <color rgb="FFF8696B"/>
        <color rgb="FFFFEB84"/>
        <color rgb="FF63BE7B"/>
      </colorScale>
    </cfRule>
  </conditionalFormatting>
  <conditionalFormatting sqref="AM170">
    <cfRule type="colorScale" priority="6814">
      <colorScale>
        <cfvo type="min"/>
        <cfvo type="percentile" val="50"/>
        <cfvo type="max"/>
        <color rgb="FFF8696B"/>
        <color rgb="FFFFEB84"/>
        <color rgb="FF63BE7B"/>
      </colorScale>
    </cfRule>
  </conditionalFormatting>
  <conditionalFormatting sqref="AM170">
    <cfRule type="colorScale" priority="6813">
      <colorScale>
        <cfvo type="min"/>
        <cfvo type="percentile" val="50"/>
        <cfvo type="max"/>
        <color rgb="FF63BE7B"/>
        <color rgb="FFFFEB84"/>
        <color rgb="FFF8696B"/>
      </colorScale>
    </cfRule>
  </conditionalFormatting>
  <conditionalFormatting sqref="AM170">
    <cfRule type="colorScale" priority="6810">
      <colorScale>
        <cfvo type="min"/>
        <cfvo type="max"/>
        <color rgb="FFFCFCFF"/>
        <color rgb="FFF8696B"/>
      </colorScale>
    </cfRule>
    <cfRule type="colorScale" priority="6812">
      <colorScale>
        <cfvo type="min"/>
        <cfvo type="percentile" val="50"/>
        <cfvo type="max"/>
        <color rgb="FF63BE7B"/>
        <color rgb="FFFFEB84"/>
        <color rgb="FFF8696B"/>
      </colorScale>
    </cfRule>
  </conditionalFormatting>
  <conditionalFormatting sqref="AM170">
    <cfRule type="colorScale" priority="6811">
      <colorScale>
        <cfvo type="min"/>
        <cfvo type="max"/>
        <color rgb="FFF8696B"/>
        <color rgb="FFFCFCFF"/>
      </colorScale>
    </cfRule>
  </conditionalFormatting>
  <conditionalFormatting sqref="AO170">
    <cfRule type="colorScale" priority="6809">
      <colorScale>
        <cfvo type="min"/>
        <cfvo type="percentile" val="50"/>
        <cfvo type="max"/>
        <color rgb="FFF8696B"/>
        <color rgb="FFFFEB84"/>
        <color rgb="FF63BE7B"/>
      </colorScale>
    </cfRule>
  </conditionalFormatting>
  <conditionalFormatting sqref="AO170">
    <cfRule type="colorScale" priority="6808">
      <colorScale>
        <cfvo type="min"/>
        <cfvo type="percentile" val="50"/>
        <cfvo type="max"/>
        <color rgb="FFF8696B"/>
        <color rgb="FFFFEB84"/>
        <color rgb="FF63BE7B"/>
      </colorScale>
    </cfRule>
  </conditionalFormatting>
  <conditionalFormatting sqref="AO170">
    <cfRule type="colorScale" priority="6807">
      <colorScale>
        <cfvo type="min"/>
        <cfvo type="percentile" val="50"/>
        <cfvo type="max"/>
        <color rgb="FFF8696B"/>
        <color rgb="FFFFEB84"/>
        <color rgb="FF63BE7B"/>
      </colorScale>
    </cfRule>
  </conditionalFormatting>
  <conditionalFormatting sqref="AO170">
    <cfRule type="colorScale" priority="6806">
      <colorScale>
        <cfvo type="min"/>
        <cfvo type="percentile" val="50"/>
        <cfvo type="max"/>
        <color rgb="FF63BE7B"/>
        <color rgb="FFFFEB84"/>
        <color rgb="FFF8696B"/>
      </colorScale>
    </cfRule>
  </conditionalFormatting>
  <conditionalFormatting sqref="AO170">
    <cfRule type="colorScale" priority="6803">
      <colorScale>
        <cfvo type="min"/>
        <cfvo type="max"/>
        <color rgb="FFFCFCFF"/>
        <color rgb="FFF8696B"/>
      </colorScale>
    </cfRule>
    <cfRule type="colorScale" priority="6805">
      <colorScale>
        <cfvo type="min"/>
        <cfvo type="percentile" val="50"/>
        <cfvo type="max"/>
        <color rgb="FF63BE7B"/>
        <color rgb="FFFFEB84"/>
        <color rgb="FFF8696B"/>
      </colorScale>
    </cfRule>
  </conditionalFormatting>
  <conditionalFormatting sqref="AO170">
    <cfRule type="colorScale" priority="6804">
      <colorScale>
        <cfvo type="min"/>
        <cfvo type="max"/>
        <color rgb="FFF8696B"/>
        <color rgb="FFFCFCFF"/>
      </colorScale>
    </cfRule>
  </conditionalFormatting>
  <conditionalFormatting sqref="AQ170">
    <cfRule type="colorScale" priority="6802">
      <colorScale>
        <cfvo type="min"/>
        <cfvo type="percentile" val="50"/>
        <cfvo type="max"/>
        <color rgb="FFF8696B"/>
        <color rgb="FFFFEB84"/>
        <color rgb="FF63BE7B"/>
      </colorScale>
    </cfRule>
  </conditionalFormatting>
  <conditionalFormatting sqref="AQ170">
    <cfRule type="colorScale" priority="6801">
      <colorScale>
        <cfvo type="min"/>
        <cfvo type="percentile" val="50"/>
        <cfvo type="max"/>
        <color rgb="FFF8696B"/>
        <color rgb="FFFFEB84"/>
        <color rgb="FF63BE7B"/>
      </colorScale>
    </cfRule>
  </conditionalFormatting>
  <conditionalFormatting sqref="AQ170">
    <cfRule type="colorScale" priority="6800">
      <colorScale>
        <cfvo type="min"/>
        <cfvo type="percentile" val="50"/>
        <cfvo type="max"/>
        <color rgb="FFF8696B"/>
        <color rgb="FFFFEB84"/>
        <color rgb="FF63BE7B"/>
      </colorScale>
    </cfRule>
  </conditionalFormatting>
  <conditionalFormatting sqref="AQ170">
    <cfRule type="colorScale" priority="6799">
      <colorScale>
        <cfvo type="min"/>
        <cfvo type="percentile" val="50"/>
        <cfvo type="max"/>
        <color rgb="FF63BE7B"/>
        <color rgb="FFFFEB84"/>
        <color rgb="FFF8696B"/>
      </colorScale>
    </cfRule>
  </conditionalFormatting>
  <conditionalFormatting sqref="AQ170">
    <cfRule type="colorScale" priority="6796">
      <colorScale>
        <cfvo type="min"/>
        <cfvo type="max"/>
        <color rgb="FFFCFCFF"/>
        <color rgb="FFF8696B"/>
      </colorScale>
    </cfRule>
    <cfRule type="colorScale" priority="6798">
      <colorScale>
        <cfvo type="min"/>
        <cfvo type="percentile" val="50"/>
        <cfvo type="max"/>
        <color rgb="FF63BE7B"/>
        <color rgb="FFFFEB84"/>
        <color rgb="FFF8696B"/>
      </colorScale>
    </cfRule>
  </conditionalFormatting>
  <conditionalFormatting sqref="AQ170">
    <cfRule type="colorScale" priority="6797">
      <colorScale>
        <cfvo type="min"/>
        <cfvo type="max"/>
        <color rgb="FFF8696B"/>
        <color rgb="FFFCFCFF"/>
      </colorScale>
    </cfRule>
  </conditionalFormatting>
  <conditionalFormatting sqref="AQ152">
    <cfRule type="colorScale" priority="6795">
      <colorScale>
        <cfvo type="min"/>
        <cfvo type="percentile" val="50"/>
        <cfvo type="max"/>
        <color rgb="FFF8696B"/>
        <color rgb="FFFFEB84"/>
        <color rgb="FF63BE7B"/>
      </colorScale>
    </cfRule>
  </conditionalFormatting>
  <conditionalFormatting sqref="AQ157">
    <cfRule type="colorScale" priority="6794">
      <colorScale>
        <cfvo type="min"/>
        <cfvo type="percentile" val="50"/>
        <cfvo type="max"/>
        <color rgb="FFF8696B"/>
        <color rgb="FFFFEB84"/>
        <color rgb="FF63BE7B"/>
      </colorScale>
    </cfRule>
  </conditionalFormatting>
  <conditionalFormatting sqref="AI162">
    <cfRule type="colorScale" priority="6793">
      <colorScale>
        <cfvo type="min"/>
        <cfvo type="percentile" val="50"/>
        <cfvo type="max"/>
        <color rgb="FFF8696B"/>
        <color rgb="FFFFEB84"/>
        <color rgb="FF63BE7B"/>
      </colorScale>
    </cfRule>
  </conditionalFormatting>
  <conditionalFormatting sqref="AK162">
    <cfRule type="colorScale" priority="6792">
      <colorScale>
        <cfvo type="min"/>
        <cfvo type="percentile" val="50"/>
        <cfvo type="max"/>
        <color rgb="FFF8696B"/>
        <color rgb="FFFFEB84"/>
        <color rgb="FF63BE7B"/>
      </colorScale>
    </cfRule>
  </conditionalFormatting>
  <conditionalFormatting sqref="AM162">
    <cfRule type="colorScale" priority="6791">
      <colorScale>
        <cfvo type="min"/>
        <cfvo type="percentile" val="50"/>
        <cfvo type="max"/>
        <color rgb="FFF8696B"/>
        <color rgb="FFFFEB84"/>
        <color rgb="FF63BE7B"/>
      </colorScale>
    </cfRule>
  </conditionalFormatting>
  <conditionalFormatting sqref="AO162">
    <cfRule type="colorScale" priority="6790">
      <colorScale>
        <cfvo type="min"/>
        <cfvo type="percentile" val="50"/>
        <cfvo type="max"/>
        <color rgb="FFF8696B"/>
        <color rgb="FFFFEB84"/>
        <color rgb="FF63BE7B"/>
      </colorScale>
    </cfRule>
  </conditionalFormatting>
  <conditionalFormatting sqref="AQ162">
    <cfRule type="colorScale" priority="6789">
      <colorScale>
        <cfvo type="min"/>
        <cfvo type="percentile" val="50"/>
        <cfvo type="max"/>
        <color rgb="FFF8696B"/>
        <color rgb="FFFFEB84"/>
        <color rgb="FF63BE7B"/>
      </colorScale>
    </cfRule>
  </conditionalFormatting>
  <conditionalFormatting sqref="AI168">
    <cfRule type="colorScale" priority="6788">
      <colorScale>
        <cfvo type="min"/>
        <cfvo type="percentile" val="50"/>
        <cfvo type="max"/>
        <color rgb="FFF8696B"/>
        <color rgb="FFFFEB84"/>
        <color rgb="FF63BE7B"/>
      </colorScale>
    </cfRule>
  </conditionalFormatting>
  <conditionalFormatting sqref="AK168">
    <cfRule type="colorScale" priority="6787">
      <colorScale>
        <cfvo type="min"/>
        <cfvo type="percentile" val="50"/>
        <cfvo type="max"/>
        <color rgb="FFF8696B"/>
        <color rgb="FFFFEB84"/>
        <color rgb="FF63BE7B"/>
      </colorScale>
    </cfRule>
  </conditionalFormatting>
  <conditionalFormatting sqref="AM168">
    <cfRule type="colorScale" priority="6786">
      <colorScale>
        <cfvo type="min"/>
        <cfvo type="percentile" val="50"/>
        <cfvo type="max"/>
        <color rgb="FFF8696B"/>
        <color rgb="FFFFEB84"/>
        <color rgb="FF63BE7B"/>
      </colorScale>
    </cfRule>
  </conditionalFormatting>
  <conditionalFormatting sqref="AO168">
    <cfRule type="colorScale" priority="6785">
      <colorScale>
        <cfvo type="min"/>
        <cfvo type="percentile" val="50"/>
        <cfvo type="max"/>
        <color rgb="FFF8696B"/>
        <color rgb="FFFFEB84"/>
        <color rgb="FF63BE7B"/>
      </colorScale>
    </cfRule>
  </conditionalFormatting>
  <conditionalFormatting sqref="AQ168">
    <cfRule type="colorScale" priority="6784">
      <colorScale>
        <cfvo type="min"/>
        <cfvo type="percentile" val="50"/>
        <cfvo type="max"/>
        <color rgb="FFF8696B"/>
        <color rgb="FFFFEB84"/>
        <color rgb="FF63BE7B"/>
      </colorScale>
    </cfRule>
  </conditionalFormatting>
  <conditionalFormatting sqref="AI142 AI168 AK142 AM142 AO142 AQ142 AQ152 AK147 AI147 AQ157 AQ162 AO162 AM162 AK162 AI162 AK168 AQ168 AO168 AM168 AM170 AO170 AQ170">
    <cfRule type="colorScale" priority="6783">
      <colorScale>
        <cfvo type="min"/>
        <cfvo type="max"/>
        <color rgb="FFFCFCFF"/>
        <color rgb="FFF8696B"/>
      </colorScale>
    </cfRule>
  </conditionalFormatting>
  <conditionalFormatting sqref="AS142 AS168 AS152 AS157 AS162">
    <cfRule type="colorScale" priority="6782">
      <colorScale>
        <cfvo type="min"/>
        <cfvo type="percentile" val="50"/>
        <cfvo type="max"/>
        <color rgb="FFF8696B"/>
        <color rgb="FFFFEB84"/>
        <color rgb="FF63BE7B"/>
      </colorScale>
    </cfRule>
  </conditionalFormatting>
  <conditionalFormatting sqref="AS162">
    <cfRule type="colorScale" priority="6781">
      <colorScale>
        <cfvo type="min"/>
        <cfvo type="percentile" val="50"/>
        <cfvo type="max"/>
        <color rgb="FFF8696B"/>
        <color rgb="FFFFEB84"/>
        <color rgb="FF63BE7B"/>
      </colorScale>
    </cfRule>
  </conditionalFormatting>
  <conditionalFormatting sqref="AS142">
    <cfRule type="colorScale" priority="6780">
      <colorScale>
        <cfvo type="min"/>
        <cfvo type="percentile" val="50"/>
        <cfvo type="max"/>
        <color rgb="FFF8696B"/>
        <color rgb="FFFFEB84"/>
        <color rgb="FF63BE7B"/>
      </colorScale>
    </cfRule>
  </conditionalFormatting>
  <conditionalFormatting sqref="AS142 AS168 AS152 AS157 AS162">
    <cfRule type="colorScale" priority="6779">
      <colorScale>
        <cfvo type="min"/>
        <cfvo type="percentile" val="50"/>
        <cfvo type="max"/>
        <color rgb="FF63BE7B"/>
        <color rgb="FFFFEB84"/>
        <color rgb="FFF8696B"/>
      </colorScale>
    </cfRule>
  </conditionalFormatting>
  <conditionalFormatting sqref="AS168 AS142 AS152 AS157 AS162">
    <cfRule type="colorScale" priority="6776">
      <colorScale>
        <cfvo type="min"/>
        <cfvo type="max"/>
        <color rgb="FFFCFCFF"/>
        <color rgb="FFF8696B"/>
      </colorScale>
    </cfRule>
    <cfRule type="colorScale" priority="6778">
      <colorScale>
        <cfvo type="min"/>
        <cfvo type="percentile" val="50"/>
        <cfvo type="max"/>
        <color rgb="FF63BE7B"/>
        <color rgb="FFFFEB84"/>
        <color rgb="FFF8696B"/>
      </colorScale>
    </cfRule>
  </conditionalFormatting>
  <conditionalFormatting sqref="AS142 AS168 AS152 AS157 AS162">
    <cfRule type="colorScale" priority="6777">
      <colorScale>
        <cfvo type="min"/>
        <cfvo type="max"/>
        <color rgb="FFF8696B"/>
        <color rgb="FFFCFCFF"/>
      </colorScale>
    </cfRule>
  </conditionalFormatting>
  <conditionalFormatting sqref="AS170">
    <cfRule type="colorScale" priority="6775">
      <colorScale>
        <cfvo type="min"/>
        <cfvo type="percentile" val="50"/>
        <cfvo type="max"/>
        <color rgb="FFF8696B"/>
        <color rgb="FFFFEB84"/>
        <color rgb="FF63BE7B"/>
      </colorScale>
    </cfRule>
  </conditionalFormatting>
  <conditionalFormatting sqref="AS170">
    <cfRule type="colorScale" priority="6774">
      <colorScale>
        <cfvo type="min"/>
        <cfvo type="percentile" val="50"/>
        <cfvo type="max"/>
        <color rgb="FFF8696B"/>
        <color rgb="FFFFEB84"/>
        <color rgb="FF63BE7B"/>
      </colorScale>
    </cfRule>
  </conditionalFormatting>
  <conditionalFormatting sqref="AS170">
    <cfRule type="colorScale" priority="6773">
      <colorScale>
        <cfvo type="min"/>
        <cfvo type="percentile" val="50"/>
        <cfvo type="max"/>
        <color rgb="FFF8696B"/>
        <color rgb="FFFFEB84"/>
        <color rgb="FF63BE7B"/>
      </colorScale>
    </cfRule>
  </conditionalFormatting>
  <conditionalFormatting sqref="AS170">
    <cfRule type="colorScale" priority="6772">
      <colorScale>
        <cfvo type="min"/>
        <cfvo type="percentile" val="50"/>
        <cfvo type="max"/>
        <color rgb="FF63BE7B"/>
        <color rgb="FFFFEB84"/>
        <color rgb="FFF8696B"/>
      </colorScale>
    </cfRule>
  </conditionalFormatting>
  <conditionalFormatting sqref="AS170">
    <cfRule type="colorScale" priority="6769">
      <colorScale>
        <cfvo type="min"/>
        <cfvo type="max"/>
        <color rgb="FFFCFCFF"/>
        <color rgb="FFF8696B"/>
      </colorScale>
    </cfRule>
    <cfRule type="colorScale" priority="6771">
      <colorScale>
        <cfvo type="min"/>
        <cfvo type="percentile" val="50"/>
        <cfvo type="max"/>
        <color rgb="FF63BE7B"/>
        <color rgb="FFFFEB84"/>
        <color rgb="FFF8696B"/>
      </colorScale>
    </cfRule>
  </conditionalFormatting>
  <conditionalFormatting sqref="AS170">
    <cfRule type="colorScale" priority="6770">
      <colorScale>
        <cfvo type="min"/>
        <cfvo type="max"/>
        <color rgb="FFF8696B"/>
        <color rgb="FFFCFCFF"/>
      </colorScale>
    </cfRule>
  </conditionalFormatting>
  <conditionalFormatting sqref="AS152">
    <cfRule type="colorScale" priority="6768">
      <colorScale>
        <cfvo type="min"/>
        <cfvo type="percentile" val="50"/>
        <cfvo type="max"/>
        <color rgb="FFF8696B"/>
        <color rgb="FFFFEB84"/>
        <color rgb="FF63BE7B"/>
      </colorScale>
    </cfRule>
  </conditionalFormatting>
  <conditionalFormatting sqref="AS157">
    <cfRule type="colorScale" priority="6767">
      <colorScale>
        <cfvo type="min"/>
        <cfvo type="percentile" val="50"/>
        <cfvo type="max"/>
        <color rgb="FFF8696B"/>
        <color rgb="FFFFEB84"/>
        <color rgb="FF63BE7B"/>
      </colorScale>
    </cfRule>
  </conditionalFormatting>
  <conditionalFormatting sqref="AS162">
    <cfRule type="colorScale" priority="6766">
      <colorScale>
        <cfvo type="min"/>
        <cfvo type="percentile" val="50"/>
        <cfvo type="max"/>
        <color rgb="FFF8696B"/>
        <color rgb="FFFFEB84"/>
        <color rgb="FF63BE7B"/>
      </colorScale>
    </cfRule>
  </conditionalFormatting>
  <conditionalFormatting sqref="AS168">
    <cfRule type="colorScale" priority="6765">
      <colorScale>
        <cfvo type="min"/>
        <cfvo type="percentile" val="50"/>
        <cfvo type="max"/>
        <color rgb="FFF8696B"/>
        <color rgb="FFFFEB84"/>
        <color rgb="FF63BE7B"/>
      </colorScale>
    </cfRule>
  </conditionalFormatting>
  <conditionalFormatting sqref="AS152 AS168 AS142 AS157 AS162 AS170">
    <cfRule type="colorScale" priority="6764">
      <colorScale>
        <cfvo type="min"/>
        <cfvo type="max"/>
        <color rgb="FFFCFCFF"/>
        <color rgb="FFF8696B"/>
      </colorScale>
    </cfRule>
  </conditionalFormatting>
  <conditionalFormatting sqref="AU142 AU168 AU152 AU157 AU162">
    <cfRule type="colorScale" priority="6763">
      <colorScale>
        <cfvo type="min"/>
        <cfvo type="percentile" val="50"/>
        <cfvo type="max"/>
        <color rgb="FFF8696B"/>
        <color rgb="FFFFEB84"/>
        <color rgb="FF63BE7B"/>
      </colorScale>
    </cfRule>
  </conditionalFormatting>
  <conditionalFormatting sqref="AU162">
    <cfRule type="colorScale" priority="6762">
      <colorScale>
        <cfvo type="min"/>
        <cfvo type="percentile" val="50"/>
        <cfvo type="max"/>
        <color rgb="FFF8696B"/>
        <color rgb="FFFFEB84"/>
        <color rgb="FF63BE7B"/>
      </colorScale>
    </cfRule>
  </conditionalFormatting>
  <conditionalFormatting sqref="AU142">
    <cfRule type="colorScale" priority="6761">
      <colorScale>
        <cfvo type="min"/>
        <cfvo type="percentile" val="50"/>
        <cfvo type="max"/>
        <color rgb="FFF8696B"/>
        <color rgb="FFFFEB84"/>
        <color rgb="FF63BE7B"/>
      </colorScale>
    </cfRule>
  </conditionalFormatting>
  <conditionalFormatting sqref="AU142 AU168 AU152 AU157 AU162">
    <cfRule type="colorScale" priority="6760">
      <colorScale>
        <cfvo type="min"/>
        <cfvo type="percentile" val="50"/>
        <cfvo type="max"/>
        <color rgb="FF63BE7B"/>
        <color rgb="FFFFEB84"/>
        <color rgb="FFF8696B"/>
      </colorScale>
    </cfRule>
  </conditionalFormatting>
  <conditionalFormatting sqref="AU168 AU142 AU152 AU157 AU162">
    <cfRule type="colorScale" priority="6757">
      <colorScale>
        <cfvo type="min"/>
        <cfvo type="max"/>
        <color rgb="FFFCFCFF"/>
        <color rgb="FFF8696B"/>
      </colorScale>
    </cfRule>
    <cfRule type="colorScale" priority="6759">
      <colorScale>
        <cfvo type="min"/>
        <cfvo type="percentile" val="50"/>
        <cfvo type="max"/>
        <color rgb="FF63BE7B"/>
        <color rgb="FFFFEB84"/>
        <color rgb="FFF8696B"/>
      </colorScale>
    </cfRule>
  </conditionalFormatting>
  <conditionalFormatting sqref="AU142 AU168 AU152 AU157 AU162">
    <cfRule type="colorScale" priority="6758">
      <colorScale>
        <cfvo type="min"/>
        <cfvo type="max"/>
        <color rgb="FFF8696B"/>
        <color rgb="FFFCFCFF"/>
      </colorScale>
    </cfRule>
  </conditionalFormatting>
  <conditionalFormatting sqref="AU170">
    <cfRule type="colorScale" priority="6756">
      <colorScale>
        <cfvo type="min"/>
        <cfvo type="percentile" val="50"/>
        <cfvo type="max"/>
        <color rgb="FFF8696B"/>
        <color rgb="FFFFEB84"/>
        <color rgb="FF63BE7B"/>
      </colorScale>
    </cfRule>
  </conditionalFormatting>
  <conditionalFormatting sqref="AU170">
    <cfRule type="colorScale" priority="6755">
      <colorScale>
        <cfvo type="min"/>
        <cfvo type="percentile" val="50"/>
        <cfvo type="max"/>
        <color rgb="FFF8696B"/>
        <color rgb="FFFFEB84"/>
        <color rgb="FF63BE7B"/>
      </colorScale>
    </cfRule>
  </conditionalFormatting>
  <conditionalFormatting sqref="AU170">
    <cfRule type="colorScale" priority="6754">
      <colorScale>
        <cfvo type="min"/>
        <cfvo type="percentile" val="50"/>
        <cfvo type="max"/>
        <color rgb="FFF8696B"/>
        <color rgb="FFFFEB84"/>
        <color rgb="FF63BE7B"/>
      </colorScale>
    </cfRule>
  </conditionalFormatting>
  <conditionalFormatting sqref="AU170">
    <cfRule type="colorScale" priority="6753">
      <colorScale>
        <cfvo type="min"/>
        <cfvo type="percentile" val="50"/>
        <cfvo type="max"/>
        <color rgb="FF63BE7B"/>
        <color rgb="FFFFEB84"/>
        <color rgb="FFF8696B"/>
      </colorScale>
    </cfRule>
  </conditionalFormatting>
  <conditionalFormatting sqref="AU170">
    <cfRule type="colorScale" priority="6750">
      <colorScale>
        <cfvo type="min"/>
        <cfvo type="max"/>
        <color rgb="FFFCFCFF"/>
        <color rgb="FFF8696B"/>
      </colorScale>
    </cfRule>
    <cfRule type="colorScale" priority="6752">
      <colorScale>
        <cfvo type="min"/>
        <cfvo type="percentile" val="50"/>
        <cfvo type="max"/>
        <color rgb="FF63BE7B"/>
        <color rgb="FFFFEB84"/>
        <color rgb="FFF8696B"/>
      </colorScale>
    </cfRule>
  </conditionalFormatting>
  <conditionalFormatting sqref="AU170">
    <cfRule type="colorScale" priority="6751">
      <colorScale>
        <cfvo type="min"/>
        <cfvo type="max"/>
        <color rgb="FFF8696B"/>
        <color rgb="FFFCFCFF"/>
      </colorScale>
    </cfRule>
  </conditionalFormatting>
  <conditionalFormatting sqref="AU152">
    <cfRule type="colorScale" priority="6749">
      <colorScale>
        <cfvo type="min"/>
        <cfvo type="percentile" val="50"/>
        <cfvo type="max"/>
        <color rgb="FFF8696B"/>
        <color rgb="FFFFEB84"/>
        <color rgb="FF63BE7B"/>
      </colorScale>
    </cfRule>
  </conditionalFormatting>
  <conditionalFormatting sqref="AU157">
    <cfRule type="colorScale" priority="6748">
      <colorScale>
        <cfvo type="min"/>
        <cfvo type="percentile" val="50"/>
        <cfvo type="max"/>
        <color rgb="FFF8696B"/>
        <color rgb="FFFFEB84"/>
        <color rgb="FF63BE7B"/>
      </colorScale>
    </cfRule>
  </conditionalFormatting>
  <conditionalFormatting sqref="AU162">
    <cfRule type="colorScale" priority="6747">
      <colorScale>
        <cfvo type="min"/>
        <cfvo type="percentile" val="50"/>
        <cfvo type="max"/>
        <color rgb="FFF8696B"/>
        <color rgb="FFFFEB84"/>
        <color rgb="FF63BE7B"/>
      </colorScale>
    </cfRule>
  </conditionalFormatting>
  <conditionalFormatting sqref="AU168">
    <cfRule type="colorScale" priority="6746">
      <colorScale>
        <cfvo type="min"/>
        <cfvo type="percentile" val="50"/>
        <cfvo type="max"/>
        <color rgb="FFF8696B"/>
        <color rgb="FFFFEB84"/>
        <color rgb="FF63BE7B"/>
      </colorScale>
    </cfRule>
  </conditionalFormatting>
  <conditionalFormatting sqref="AU142 AU168 AU152 AU157 AU162 AU170">
    <cfRule type="colorScale" priority="6745">
      <colorScale>
        <cfvo type="min"/>
        <cfvo type="max"/>
        <color rgb="FFFCFCFF"/>
        <color rgb="FFF8696B"/>
      </colorScale>
    </cfRule>
  </conditionalFormatting>
  <conditionalFormatting sqref="AI185 AI211 AK185 AM185 AO185 AK211 AM211">
    <cfRule type="colorScale" priority="6744">
      <colorScale>
        <cfvo type="min"/>
        <cfvo type="percentile" val="50"/>
        <cfvo type="max"/>
        <color rgb="FFF8696B"/>
        <color rgb="FFFFEB84"/>
        <color rgb="FF63BE7B"/>
      </colorScale>
    </cfRule>
  </conditionalFormatting>
  <conditionalFormatting sqref="AI185 AK185 AM185 AO185">
    <cfRule type="colorScale" priority="6743">
      <colorScale>
        <cfvo type="min"/>
        <cfvo type="percentile" val="50"/>
        <cfvo type="max"/>
        <color rgb="FFF8696B"/>
        <color rgb="FFFFEB84"/>
        <color rgb="FF63BE7B"/>
      </colorScale>
    </cfRule>
  </conditionalFormatting>
  <conditionalFormatting sqref="AI185 AI211 AK185 AM185 AO185 AK211 AM211">
    <cfRule type="colorScale" priority="6742">
      <colorScale>
        <cfvo type="min"/>
        <cfvo type="percentile" val="50"/>
        <cfvo type="max"/>
        <color rgb="FF63BE7B"/>
        <color rgb="FFFFEB84"/>
        <color rgb="FFF8696B"/>
      </colorScale>
    </cfRule>
  </conditionalFormatting>
  <conditionalFormatting sqref="AI211 AI185 AK185 AM185 AO185 AK211 AM211">
    <cfRule type="colorScale" priority="6739">
      <colorScale>
        <cfvo type="min"/>
        <cfvo type="max"/>
        <color rgb="FFFCFCFF"/>
        <color rgb="FFF8696B"/>
      </colorScale>
    </cfRule>
    <cfRule type="colorScale" priority="6741">
      <colorScale>
        <cfvo type="min"/>
        <cfvo type="percentile" val="50"/>
        <cfvo type="max"/>
        <color rgb="FF63BE7B"/>
        <color rgb="FFFFEB84"/>
        <color rgb="FFF8696B"/>
      </colorScale>
    </cfRule>
  </conditionalFormatting>
  <conditionalFormatting sqref="AI185 AI211 AK185 AM185 AO185 AK211 AM211">
    <cfRule type="colorScale" priority="6740">
      <colorScale>
        <cfvo type="min"/>
        <cfvo type="max"/>
        <color rgb="FFF8696B"/>
        <color rgb="FFFCFCFF"/>
      </colorScale>
    </cfRule>
  </conditionalFormatting>
  <conditionalFormatting sqref="AM213">
    <cfRule type="colorScale" priority="6738">
      <colorScale>
        <cfvo type="min"/>
        <cfvo type="percentile" val="50"/>
        <cfvo type="max"/>
        <color rgb="FFF8696B"/>
        <color rgb="FFFFEB84"/>
        <color rgb="FF63BE7B"/>
      </colorScale>
    </cfRule>
  </conditionalFormatting>
  <conditionalFormatting sqref="AM213">
    <cfRule type="colorScale" priority="6737">
      <colorScale>
        <cfvo type="min"/>
        <cfvo type="percentile" val="50"/>
        <cfvo type="max"/>
        <color rgb="FFF8696B"/>
        <color rgb="FFFFEB84"/>
        <color rgb="FF63BE7B"/>
      </colorScale>
    </cfRule>
  </conditionalFormatting>
  <conditionalFormatting sqref="AM213">
    <cfRule type="colorScale" priority="6736">
      <colorScale>
        <cfvo type="min"/>
        <cfvo type="percentile" val="50"/>
        <cfvo type="max"/>
        <color rgb="FFF8696B"/>
        <color rgb="FFFFEB84"/>
        <color rgb="FF63BE7B"/>
      </colorScale>
    </cfRule>
  </conditionalFormatting>
  <conditionalFormatting sqref="AM213">
    <cfRule type="colorScale" priority="6735">
      <colorScale>
        <cfvo type="min"/>
        <cfvo type="percentile" val="50"/>
        <cfvo type="max"/>
        <color rgb="FF63BE7B"/>
        <color rgb="FFFFEB84"/>
        <color rgb="FFF8696B"/>
      </colorScale>
    </cfRule>
  </conditionalFormatting>
  <conditionalFormatting sqref="AM213">
    <cfRule type="colorScale" priority="6732">
      <colorScale>
        <cfvo type="min"/>
        <cfvo type="max"/>
        <color rgb="FFFCFCFF"/>
        <color rgb="FFF8696B"/>
      </colorScale>
    </cfRule>
    <cfRule type="colorScale" priority="6734">
      <colorScale>
        <cfvo type="min"/>
        <cfvo type="percentile" val="50"/>
        <cfvo type="max"/>
        <color rgb="FF63BE7B"/>
        <color rgb="FFFFEB84"/>
        <color rgb="FFF8696B"/>
      </colorScale>
    </cfRule>
  </conditionalFormatting>
  <conditionalFormatting sqref="AM213">
    <cfRule type="colorScale" priority="6733">
      <colorScale>
        <cfvo type="min"/>
        <cfvo type="max"/>
        <color rgb="FFF8696B"/>
        <color rgb="FFFCFCFF"/>
      </colorScale>
    </cfRule>
  </conditionalFormatting>
  <conditionalFormatting sqref="AO213">
    <cfRule type="colorScale" priority="6731">
      <colorScale>
        <cfvo type="min"/>
        <cfvo type="percentile" val="50"/>
        <cfvo type="max"/>
        <color rgb="FFF8696B"/>
        <color rgb="FFFFEB84"/>
        <color rgb="FF63BE7B"/>
      </colorScale>
    </cfRule>
  </conditionalFormatting>
  <conditionalFormatting sqref="AO213">
    <cfRule type="colorScale" priority="6730">
      <colorScale>
        <cfvo type="min"/>
        <cfvo type="percentile" val="50"/>
        <cfvo type="max"/>
        <color rgb="FFF8696B"/>
        <color rgb="FFFFEB84"/>
        <color rgb="FF63BE7B"/>
      </colorScale>
    </cfRule>
  </conditionalFormatting>
  <conditionalFormatting sqref="AO213">
    <cfRule type="colorScale" priority="6729">
      <colorScale>
        <cfvo type="min"/>
        <cfvo type="percentile" val="50"/>
        <cfvo type="max"/>
        <color rgb="FFF8696B"/>
        <color rgb="FFFFEB84"/>
        <color rgb="FF63BE7B"/>
      </colorScale>
    </cfRule>
  </conditionalFormatting>
  <conditionalFormatting sqref="AO213">
    <cfRule type="colorScale" priority="6728">
      <colorScale>
        <cfvo type="min"/>
        <cfvo type="percentile" val="50"/>
        <cfvo type="max"/>
        <color rgb="FF63BE7B"/>
        <color rgb="FFFFEB84"/>
        <color rgb="FFF8696B"/>
      </colorScale>
    </cfRule>
  </conditionalFormatting>
  <conditionalFormatting sqref="AO213">
    <cfRule type="colorScale" priority="6725">
      <colorScale>
        <cfvo type="min"/>
        <cfvo type="max"/>
        <color rgb="FFFCFCFF"/>
        <color rgb="FFF8696B"/>
      </colorScale>
    </cfRule>
    <cfRule type="colorScale" priority="6727">
      <colorScale>
        <cfvo type="min"/>
        <cfvo type="percentile" val="50"/>
        <cfvo type="max"/>
        <color rgb="FF63BE7B"/>
        <color rgb="FFFFEB84"/>
        <color rgb="FFF8696B"/>
      </colorScale>
    </cfRule>
  </conditionalFormatting>
  <conditionalFormatting sqref="AO213">
    <cfRule type="colorScale" priority="6726">
      <colorScale>
        <cfvo type="min"/>
        <cfvo type="max"/>
        <color rgb="FFF8696B"/>
        <color rgb="FFFCFCFF"/>
      </colorScale>
    </cfRule>
  </conditionalFormatting>
  <conditionalFormatting sqref="AQ213">
    <cfRule type="colorScale" priority="6724">
      <colorScale>
        <cfvo type="min"/>
        <cfvo type="percentile" val="50"/>
        <cfvo type="max"/>
        <color rgb="FFF8696B"/>
        <color rgb="FFFFEB84"/>
        <color rgb="FF63BE7B"/>
      </colorScale>
    </cfRule>
  </conditionalFormatting>
  <conditionalFormatting sqref="AQ213">
    <cfRule type="colorScale" priority="6723">
      <colorScale>
        <cfvo type="min"/>
        <cfvo type="percentile" val="50"/>
        <cfvo type="max"/>
        <color rgb="FFF8696B"/>
        <color rgb="FFFFEB84"/>
        <color rgb="FF63BE7B"/>
      </colorScale>
    </cfRule>
  </conditionalFormatting>
  <conditionalFormatting sqref="AQ213">
    <cfRule type="colorScale" priority="6722">
      <colorScale>
        <cfvo type="min"/>
        <cfvo type="percentile" val="50"/>
        <cfvo type="max"/>
        <color rgb="FFF8696B"/>
        <color rgb="FFFFEB84"/>
        <color rgb="FF63BE7B"/>
      </colorScale>
    </cfRule>
  </conditionalFormatting>
  <conditionalFormatting sqref="AQ213">
    <cfRule type="colorScale" priority="6721">
      <colorScale>
        <cfvo type="min"/>
        <cfvo type="percentile" val="50"/>
        <cfvo type="max"/>
        <color rgb="FF63BE7B"/>
        <color rgb="FFFFEB84"/>
        <color rgb="FFF8696B"/>
      </colorScale>
    </cfRule>
  </conditionalFormatting>
  <conditionalFormatting sqref="AQ213">
    <cfRule type="colorScale" priority="6718">
      <colorScale>
        <cfvo type="min"/>
        <cfvo type="max"/>
        <color rgb="FFFCFCFF"/>
        <color rgb="FFF8696B"/>
      </colorScale>
    </cfRule>
    <cfRule type="colorScale" priority="6720">
      <colorScale>
        <cfvo type="min"/>
        <cfvo type="percentile" val="50"/>
        <cfvo type="max"/>
        <color rgb="FF63BE7B"/>
        <color rgb="FFFFEB84"/>
        <color rgb="FFF8696B"/>
      </colorScale>
    </cfRule>
  </conditionalFormatting>
  <conditionalFormatting sqref="AQ213">
    <cfRule type="colorScale" priority="6719">
      <colorScale>
        <cfvo type="min"/>
        <cfvo type="max"/>
        <color rgb="FFF8696B"/>
        <color rgb="FFFCFCFF"/>
      </colorScale>
    </cfRule>
  </conditionalFormatting>
  <conditionalFormatting sqref="AI211">
    <cfRule type="colorScale" priority="6717">
      <colorScale>
        <cfvo type="min"/>
        <cfvo type="percentile" val="50"/>
        <cfvo type="max"/>
        <color rgb="FFF8696B"/>
        <color rgb="FFFFEB84"/>
        <color rgb="FF63BE7B"/>
      </colorScale>
    </cfRule>
  </conditionalFormatting>
  <conditionalFormatting sqref="AK211">
    <cfRule type="colorScale" priority="6716">
      <colorScale>
        <cfvo type="min"/>
        <cfvo type="percentile" val="50"/>
        <cfvo type="max"/>
        <color rgb="FFF8696B"/>
        <color rgb="FFFFEB84"/>
        <color rgb="FF63BE7B"/>
      </colorScale>
    </cfRule>
  </conditionalFormatting>
  <conditionalFormatting sqref="AM211">
    <cfRule type="colorScale" priority="6715">
      <colorScale>
        <cfvo type="min"/>
        <cfvo type="percentile" val="50"/>
        <cfvo type="max"/>
        <color rgb="FFF8696B"/>
        <color rgb="FFFFEB84"/>
        <color rgb="FF63BE7B"/>
      </colorScale>
    </cfRule>
  </conditionalFormatting>
  <conditionalFormatting sqref="AI185 AI211 AK185 AM185 AO185 AK190 AI190 AK211 AM211 AM213 AO213 AQ213">
    <cfRule type="colorScale" priority="6714">
      <colorScale>
        <cfvo type="min"/>
        <cfvo type="max"/>
        <color rgb="FFFCFCFF"/>
        <color rgb="FFF8696B"/>
      </colorScale>
    </cfRule>
  </conditionalFormatting>
  <conditionalFormatting sqref="AS211 AS205">
    <cfRule type="colorScale" priority="6713">
      <colorScale>
        <cfvo type="min"/>
        <cfvo type="percentile" val="50"/>
        <cfvo type="max"/>
        <color rgb="FFF8696B"/>
        <color rgb="FFFFEB84"/>
        <color rgb="FF63BE7B"/>
      </colorScale>
    </cfRule>
  </conditionalFormatting>
  <conditionalFormatting sqref="AS205">
    <cfRule type="colorScale" priority="6712">
      <colorScale>
        <cfvo type="min"/>
        <cfvo type="percentile" val="50"/>
        <cfvo type="max"/>
        <color rgb="FFF8696B"/>
        <color rgb="FFFFEB84"/>
        <color rgb="FF63BE7B"/>
      </colorScale>
    </cfRule>
  </conditionalFormatting>
  <conditionalFormatting sqref="AS211 AS205">
    <cfRule type="colorScale" priority="6711">
      <colorScale>
        <cfvo type="min"/>
        <cfvo type="percentile" val="50"/>
        <cfvo type="max"/>
        <color rgb="FF63BE7B"/>
        <color rgb="FFFFEB84"/>
        <color rgb="FFF8696B"/>
      </colorScale>
    </cfRule>
  </conditionalFormatting>
  <conditionalFormatting sqref="AS211 AS205">
    <cfRule type="colorScale" priority="6708">
      <colorScale>
        <cfvo type="min"/>
        <cfvo type="max"/>
        <color rgb="FFFCFCFF"/>
        <color rgb="FFF8696B"/>
      </colorScale>
    </cfRule>
    <cfRule type="colorScale" priority="6710">
      <colorScale>
        <cfvo type="min"/>
        <cfvo type="percentile" val="50"/>
        <cfvo type="max"/>
        <color rgb="FF63BE7B"/>
        <color rgb="FFFFEB84"/>
        <color rgb="FFF8696B"/>
      </colorScale>
    </cfRule>
  </conditionalFormatting>
  <conditionalFormatting sqref="AS211 AS205">
    <cfRule type="colorScale" priority="6709">
      <colorScale>
        <cfvo type="min"/>
        <cfvo type="max"/>
        <color rgb="FFF8696B"/>
        <color rgb="FFFCFCFF"/>
      </colorScale>
    </cfRule>
  </conditionalFormatting>
  <conditionalFormatting sqref="AS213">
    <cfRule type="colorScale" priority="6707">
      <colorScale>
        <cfvo type="min"/>
        <cfvo type="percentile" val="50"/>
        <cfvo type="max"/>
        <color rgb="FFF8696B"/>
        <color rgb="FFFFEB84"/>
        <color rgb="FF63BE7B"/>
      </colorScale>
    </cfRule>
  </conditionalFormatting>
  <conditionalFormatting sqref="AS213">
    <cfRule type="colorScale" priority="6706">
      <colorScale>
        <cfvo type="min"/>
        <cfvo type="percentile" val="50"/>
        <cfvo type="max"/>
        <color rgb="FFF8696B"/>
        <color rgb="FFFFEB84"/>
        <color rgb="FF63BE7B"/>
      </colorScale>
    </cfRule>
  </conditionalFormatting>
  <conditionalFormatting sqref="AS213">
    <cfRule type="colorScale" priority="6705">
      <colorScale>
        <cfvo type="min"/>
        <cfvo type="percentile" val="50"/>
        <cfvo type="max"/>
        <color rgb="FFF8696B"/>
        <color rgb="FFFFEB84"/>
        <color rgb="FF63BE7B"/>
      </colorScale>
    </cfRule>
  </conditionalFormatting>
  <conditionalFormatting sqref="AS213">
    <cfRule type="colorScale" priority="6704">
      <colorScale>
        <cfvo type="min"/>
        <cfvo type="percentile" val="50"/>
        <cfvo type="max"/>
        <color rgb="FF63BE7B"/>
        <color rgb="FFFFEB84"/>
        <color rgb="FFF8696B"/>
      </colorScale>
    </cfRule>
  </conditionalFormatting>
  <conditionalFormatting sqref="AS213">
    <cfRule type="colorScale" priority="6701">
      <colorScale>
        <cfvo type="min"/>
        <cfvo type="max"/>
        <color rgb="FFFCFCFF"/>
        <color rgb="FFF8696B"/>
      </colorScale>
    </cfRule>
    <cfRule type="colorScale" priority="6703">
      <colorScale>
        <cfvo type="min"/>
        <cfvo type="percentile" val="50"/>
        <cfvo type="max"/>
        <color rgb="FF63BE7B"/>
        <color rgb="FFFFEB84"/>
        <color rgb="FFF8696B"/>
      </colorScale>
    </cfRule>
  </conditionalFormatting>
  <conditionalFormatting sqref="AS213">
    <cfRule type="colorScale" priority="6702">
      <colorScale>
        <cfvo type="min"/>
        <cfvo type="max"/>
        <color rgb="FFF8696B"/>
        <color rgb="FFFCFCFF"/>
      </colorScale>
    </cfRule>
  </conditionalFormatting>
  <conditionalFormatting sqref="AS205">
    <cfRule type="colorScale" priority="6700">
      <colorScale>
        <cfvo type="min"/>
        <cfvo type="percentile" val="50"/>
        <cfvo type="max"/>
        <color rgb="FFF8696B"/>
        <color rgb="FFFFEB84"/>
        <color rgb="FF63BE7B"/>
      </colorScale>
    </cfRule>
  </conditionalFormatting>
  <conditionalFormatting sqref="AS211">
    <cfRule type="colorScale" priority="6699">
      <colorScale>
        <cfvo type="min"/>
        <cfvo type="percentile" val="50"/>
        <cfvo type="max"/>
        <color rgb="FFF8696B"/>
        <color rgb="FFFFEB84"/>
        <color rgb="FF63BE7B"/>
      </colorScale>
    </cfRule>
  </conditionalFormatting>
  <conditionalFormatting sqref="AS211 AS205 AS213">
    <cfRule type="colorScale" priority="6698">
      <colorScale>
        <cfvo type="min"/>
        <cfvo type="max"/>
        <color rgb="FFFCFCFF"/>
        <color rgb="FFF8696B"/>
      </colorScale>
    </cfRule>
  </conditionalFormatting>
  <conditionalFormatting sqref="AU211 AU205">
    <cfRule type="colorScale" priority="6697">
      <colorScale>
        <cfvo type="min"/>
        <cfvo type="percentile" val="50"/>
        <cfvo type="max"/>
        <color rgb="FFF8696B"/>
        <color rgb="FFFFEB84"/>
        <color rgb="FF63BE7B"/>
      </colorScale>
    </cfRule>
  </conditionalFormatting>
  <conditionalFormatting sqref="AU205">
    <cfRule type="colorScale" priority="6696">
      <colorScale>
        <cfvo type="min"/>
        <cfvo type="percentile" val="50"/>
        <cfvo type="max"/>
        <color rgb="FFF8696B"/>
        <color rgb="FFFFEB84"/>
        <color rgb="FF63BE7B"/>
      </colorScale>
    </cfRule>
  </conditionalFormatting>
  <conditionalFormatting sqref="AU211 AU205">
    <cfRule type="colorScale" priority="6695">
      <colorScale>
        <cfvo type="min"/>
        <cfvo type="percentile" val="50"/>
        <cfvo type="max"/>
        <color rgb="FF63BE7B"/>
        <color rgb="FFFFEB84"/>
        <color rgb="FFF8696B"/>
      </colorScale>
    </cfRule>
  </conditionalFormatting>
  <conditionalFormatting sqref="AU211 AU205">
    <cfRule type="colorScale" priority="6692">
      <colorScale>
        <cfvo type="min"/>
        <cfvo type="max"/>
        <color rgb="FFFCFCFF"/>
        <color rgb="FFF8696B"/>
      </colorScale>
    </cfRule>
    <cfRule type="colorScale" priority="6694">
      <colorScale>
        <cfvo type="min"/>
        <cfvo type="percentile" val="50"/>
        <cfvo type="max"/>
        <color rgb="FF63BE7B"/>
        <color rgb="FFFFEB84"/>
        <color rgb="FFF8696B"/>
      </colorScale>
    </cfRule>
  </conditionalFormatting>
  <conditionalFormatting sqref="AU211 AU205">
    <cfRule type="colorScale" priority="6693">
      <colorScale>
        <cfvo type="min"/>
        <cfvo type="max"/>
        <color rgb="FFF8696B"/>
        <color rgb="FFFCFCFF"/>
      </colorScale>
    </cfRule>
  </conditionalFormatting>
  <conditionalFormatting sqref="AU213">
    <cfRule type="colorScale" priority="6691">
      <colorScale>
        <cfvo type="min"/>
        <cfvo type="percentile" val="50"/>
        <cfvo type="max"/>
        <color rgb="FFF8696B"/>
        <color rgb="FFFFEB84"/>
        <color rgb="FF63BE7B"/>
      </colorScale>
    </cfRule>
  </conditionalFormatting>
  <conditionalFormatting sqref="AU213">
    <cfRule type="colorScale" priority="6690">
      <colorScale>
        <cfvo type="min"/>
        <cfvo type="percentile" val="50"/>
        <cfvo type="max"/>
        <color rgb="FFF8696B"/>
        <color rgb="FFFFEB84"/>
        <color rgb="FF63BE7B"/>
      </colorScale>
    </cfRule>
  </conditionalFormatting>
  <conditionalFormatting sqref="AU213">
    <cfRule type="colorScale" priority="6689">
      <colorScale>
        <cfvo type="min"/>
        <cfvo type="percentile" val="50"/>
        <cfvo type="max"/>
        <color rgb="FFF8696B"/>
        <color rgb="FFFFEB84"/>
        <color rgb="FF63BE7B"/>
      </colorScale>
    </cfRule>
  </conditionalFormatting>
  <conditionalFormatting sqref="AU213">
    <cfRule type="colorScale" priority="6688">
      <colorScale>
        <cfvo type="min"/>
        <cfvo type="percentile" val="50"/>
        <cfvo type="max"/>
        <color rgb="FF63BE7B"/>
        <color rgb="FFFFEB84"/>
        <color rgb="FFF8696B"/>
      </colorScale>
    </cfRule>
  </conditionalFormatting>
  <conditionalFormatting sqref="AU213">
    <cfRule type="colorScale" priority="6685">
      <colorScale>
        <cfvo type="min"/>
        <cfvo type="max"/>
        <color rgb="FFFCFCFF"/>
        <color rgb="FFF8696B"/>
      </colorScale>
    </cfRule>
    <cfRule type="colorScale" priority="6687">
      <colorScale>
        <cfvo type="min"/>
        <cfvo type="percentile" val="50"/>
        <cfvo type="max"/>
        <color rgb="FF63BE7B"/>
        <color rgb="FFFFEB84"/>
        <color rgb="FFF8696B"/>
      </colorScale>
    </cfRule>
  </conditionalFormatting>
  <conditionalFormatting sqref="AU213">
    <cfRule type="colorScale" priority="6686">
      <colorScale>
        <cfvo type="min"/>
        <cfvo type="max"/>
        <color rgb="FFF8696B"/>
        <color rgb="FFFCFCFF"/>
      </colorScale>
    </cfRule>
  </conditionalFormatting>
  <conditionalFormatting sqref="AU205">
    <cfRule type="colorScale" priority="6684">
      <colorScale>
        <cfvo type="min"/>
        <cfvo type="percentile" val="50"/>
        <cfvo type="max"/>
        <color rgb="FFF8696B"/>
        <color rgb="FFFFEB84"/>
        <color rgb="FF63BE7B"/>
      </colorScale>
    </cfRule>
  </conditionalFormatting>
  <conditionalFormatting sqref="AU211">
    <cfRule type="colorScale" priority="6683">
      <colorScale>
        <cfvo type="min"/>
        <cfvo type="percentile" val="50"/>
        <cfvo type="max"/>
        <color rgb="FFF8696B"/>
        <color rgb="FFFFEB84"/>
        <color rgb="FF63BE7B"/>
      </colorScale>
    </cfRule>
  </conditionalFormatting>
  <conditionalFormatting sqref="AU211 AU205 AU213">
    <cfRule type="colorScale" priority="6682">
      <colorScale>
        <cfvo type="min"/>
        <cfvo type="max"/>
        <color rgb="FFFCFCFF"/>
        <color rgb="FFF8696B"/>
      </colorScale>
    </cfRule>
  </conditionalFormatting>
  <conditionalFormatting sqref="AQ185">
    <cfRule type="colorScale" priority="6681">
      <colorScale>
        <cfvo type="min"/>
        <cfvo type="percentile" val="50"/>
        <cfvo type="max"/>
        <color rgb="FFF8696B"/>
        <color rgb="FFFFEB84"/>
        <color rgb="FF63BE7B"/>
      </colorScale>
    </cfRule>
  </conditionalFormatting>
  <conditionalFormatting sqref="AQ185">
    <cfRule type="colorScale" priority="6680">
      <colorScale>
        <cfvo type="min"/>
        <cfvo type="percentile" val="50"/>
        <cfvo type="max"/>
        <color rgb="FFF8696B"/>
        <color rgb="FFFFEB84"/>
        <color rgb="FF63BE7B"/>
      </colorScale>
    </cfRule>
  </conditionalFormatting>
  <conditionalFormatting sqref="AQ185">
    <cfRule type="colorScale" priority="6679">
      <colorScale>
        <cfvo type="min"/>
        <cfvo type="percentile" val="50"/>
        <cfvo type="max"/>
        <color rgb="FF63BE7B"/>
        <color rgb="FFFFEB84"/>
        <color rgb="FFF8696B"/>
      </colorScale>
    </cfRule>
  </conditionalFormatting>
  <conditionalFormatting sqref="AQ185">
    <cfRule type="colorScale" priority="6676">
      <colorScale>
        <cfvo type="min"/>
        <cfvo type="max"/>
        <color rgb="FFFCFCFF"/>
        <color rgb="FFF8696B"/>
      </colorScale>
    </cfRule>
    <cfRule type="colorScale" priority="6678">
      <colorScale>
        <cfvo type="min"/>
        <cfvo type="percentile" val="50"/>
        <cfvo type="max"/>
        <color rgb="FF63BE7B"/>
        <color rgb="FFFFEB84"/>
        <color rgb="FFF8696B"/>
      </colorScale>
    </cfRule>
  </conditionalFormatting>
  <conditionalFormatting sqref="AQ185">
    <cfRule type="colorScale" priority="6677">
      <colorScale>
        <cfvo type="min"/>
        <cfvo type="max"/>
        <color rgb="FFF8696B"/>
        <color rgb="FFFCFCFF"/>
      </colorScale>
    </cfRule>
  </conditionalFormatting>
  <conditionalFormatting sqref="AQ185">
    <cfRule type="colorScale" priority="6675">
      <colorScale>
        <cfvo type="min"/>
        <cfvo type="max"/>
        <color rgb="FFFCFCFF"/>
        <color rgb="FFF8696B"/>
      </colorScale>
    </cfRule>
  </conditionalFormatting>
  <conditionalFormatting sqref="AS185">
    <cfRule type="colorScale" priority="6674">
      <colorScale>
        <cfvo type="min"/>
        <cfvo type="percentile" val="50"/>
        <cfvo type="max"/>
        <color rgb="FFF8696B"/>
        <color rgb="FFFFEB84"/>
        <color rgb="FF63BE7B"/>
      </colorScale>
    </cfRule>
  </conditionalFormatting>
  <conditionalFormatting sqref="AS185">
    <cfRule type="colorScale" priority="6673">
      <colorScale>
        <cfvo type="min"/>
        <cfvo type="percentile" val="50"/>
        <cfvo type="max"/>
        <color rgb="FFF8696B"/>
        <color rgb="FFFFEB84"/>
        <color rgb="FF63BE7B"/>
      </colorScale>
    </cfRule>
  </conditionalFormatting>
  <conditionalFormatting sqref="AS185">
    <cfRule type="colorScale" priority="6672">
      <colorScale>
        <cfvo type="min"/>
        <cfvo type="percentile" val="50"/>
        <cfvo type="max"/>
        <color rgb="FF63BE7B"/>
        <color rgb="FFFFEB84"/>
        <color rgb="FFF8696B"/>
      </colorScale>
    </cfRule>
  </conditionalFormatting>
  <conditionalFormatting sqref="AS185">
    <cfRule type="colorScale" priority="6669">
      <colorScale>
        <cfvo type="min"/>
        <cfvo type="max"/>
        <color rgb="FFFCFCFF"/>
        <color rgb="FFF8696B"/>
      </colorScale>
    </cfRule>
    <cfRule type="colorScale" priority="6671">
      <colorScale>
        <cfvo type="min"/>
        <cfvo type="percentile" val="50"/>
        <cfvo type="max"/>
        <color rgb="FF63BE7B"/>
        <color rgb="FFFFEB84"/>
        <color rgb="FFF8696B"/>
      </colorScale>
    </cfRule>
  </conditionalFormatting>
  <conditionalFormatting sqref="AS185">
    <cfRule type="colorScale" priority="6670">
      <colorScale>
        <cfvo type="min"/>
        <cfvo type="max"/>
        <color rgb="FFF8696B"/>
        <color rgb="FFFCFCFF"/>
      </colorScale>
    </cfRule>
  </conditionalFormatting>
  <conditionalFormatting sqref="AS185">
    <cfRule type="colorScale" priority="6668">
      <colorScale>
        <cfvo type="min"/>
        <cfvo type="max"/>
        <color rgb="FFFCFCFF"/>
        <color rgb="FFF8696B"/>
      </colorScale>
    </cfRule>
  </conditionalFormatting>
  <conditionalFormatting sqref="AU185">
    <cfRule type="colorScale" priority="6667">
      <colorScale>
        <cfvo type="min"/>
        <cfvo type="percentile" val="50"/>
        <cfvo type="max"/>
        <color rgb="FFF8696B"/>
        <color rgb="FFFFEB84"/>
        <color rgb="FF63BE7B"/>
      </colorScale>
    </cfRule>
  </conditionalFormatting>
  <conditionalFormatting sqref="AU185">
    <cfRule type="colorScale" priority="6666">
      <colorScale>
        <cfvo type="min"/>
        <cfvo type="percentile" val="50"/>
        <cfvo type="max"/>
        <color rgb="FFF8696B"/>
        <color rgb="FFFFEB84"/>
        <color rgb="FF63BE7B"/>
      </colorScale>
    </cfRule>
  </conditionalFormatting>
  <conditionalFormatting sqref="AU185">
    <cfRule type="colorScale" priority="6665">
      <colorScale>
        <cfvo type="min"/>
        <cfvo type="percentile" val="50"/>
        <cfvo type="max"/>
        <color rgb="FF63BE7B"/>
        <color rgb="FFFFEB84"/>
        <color rgb="FFF8696B"/>
      </colorScale>
    </cfRule>
  </conditionalFormatting>
  <conditionalFormatting sqref="AU185">
    <cfRule type="colorScale" priority="6662">
      <colorScale>
        <cfvo type="min"/>
        <cfvo type="max"/>
        <color rgb="FFFCFCFF"/>
        <color rgb="FFF8696B"/>
      </colorScale>
    </cfRule>
    <cfRule type="colorScale" priority="6664">
      <colorScale>
        <cfvo type="min"/>
        <cfvo type="percentile" val="50"/>
        <cfvo type="max"/>
        <color rgb="FF63BE7B"/>
        <color rgb="FFFFEB84"/>
        <color rgb="FFF8696B"/>
      </colorScale>
    </cfRule>
  </conditionalFormatting>
  <conditionalFormatting sqref="AU185">
    <cfRule type="colorScale" priority="6663">
      <colorScale>
        <cfvo type="min"/>
        <cfvo type="max"/>
        <color rgb="FFF8696B"/>
        <color rgb="FFFCFCFF"/>
      </colorScale>
    </cfRule>
  </conditionalFormatting>
  <conditionalFormatting sqref="AU185">
    <cfRule type="colorScale" priority="6661">
      <colorScale>
        <cfvo type="min"/>
        <cfvo type="max"/>
        <color rgb="FFFCFCFF"/>
        <color rgb="FFF8696B"/>
      </colorScale>
    </cfRule>
  </conditionalFormatting>
  <conditionalFormatting sqref="AK228 AI228 AM228 AO228 AM254 AO254">
    <cfRule type="colorScale" priority="6660">
      <colorScale>
        <cfvo type="min"/>
        <cfvo type="percentile" val="50"/>
        <cfvo type="max"/>
        <color rgb="FFF8696B"/>
        <color rgb="FFFFEB84"/>
        <color rgb="FF63BE7B"/>
      </colorScale>
    </cfRule>
  </conditionalFormatting>
  <conditionalFormatting sqref="AK228 AI228 AM228 AO228">
    <cfRule type="colorScale" priority="6659">
      <colorScale>
        <cfvo type="min"/>
        <cfvo type="percentile" val="50"/>
        <cfvo type="max"/>
        <color rgb="FFF8696B"/>
        <color rgb="FFFFEB84"/>
        <color rgb="FF63BE7B"/>
      </colorScale>
    </cfRule>
  </conditionalFormatting>
  <conditionalFormatting sqref="AK228 AI228 AM228 AO228 AM254 AO254">
    <cfRule type="colorScale" priority="6658">
      <colorScale>
        <cfvo type="min"/>
        <cfvo type="percentile" val="50"/>
        <cfvo type="max"/>
        <color rgb="FF63BE7B"/>
        <color rgb="FFFFEB84"/>
        <color rgb="FFF8696B"/>
      </colorScale>
    </cfRule>
  </conditionalFormatting>
  <conditionalFormatting sqref="AI228 AK228 AM228 AO228 AM254 AO254">
    <cfRule type="colorScale" priority="6655">
      <colorScale>
        <cfvo type="min"/>
        <cfvo type="max"/>
        <color rgb="FFFCFCFF"/>
        <color rgb="FFF8696B"/>
      </colorScale>
    </cfRule>
    <cfRule type="colorScale" priority="6657">
      <colorScale>
        <cfvo type="min"/>
        <cfvo type="percentile" val="50"/>
        <cfvo type="max"/>
        <color rgb="FF63BE7B"/>
        <color rgb="FFFFEB84"/>
        <color rgb="FFF8696B"/>
      </colorScale>
    </cfRule>
  </conditionalFormatting>
  <conditionalFormatting sqref="AK228 AI228 AM228 AO228 AM254 AO254">
    <cfRule type="colorScale" priority="6656">
      <colorScale>
        <cfvo type="min"/>
        <cfvo type="max"/>
        <color rgb="FFF8696B"/>
        <color rgb="FFFCFCFF"/>
      </colorScale>
    </cfRule>
  </conditionalFormatting>
  <conditionalFormatting sqref="AM256">
    <cfRule type="colorScale" priority="6654">
      <colorScale>
        <cfvo type="min"/>
        <cfvo type="percentile" val="50"/>
        <cfvo type="max"/>
        <color rgb="FFF8696B"/>
        <color rgb="FFFFEB84"/>
        <color rgb="FF63BE7B"/>
      </colorScale>
    </cfRule>
  </conditionalFormatting>
  <conditionalFormatting sqref="AM256">
    <cfRule type="colorScale" priority="6653">
      <colorScale>
        <cfvo type="min"/>
        <cfvo type="percentile" val="50"/>
        <cfvo type="max"/>
        <color rgb="FFF8696B"/>
        <color rgb="FFFFEB84"/>
        <color rgb="FF63BE7B"/>
      </colorScale>
    </cfRule>
  </conditionalFormatting>
  <conditionalFormatting sqref="AM256">
    <cfRule type="colorScale" priority="6652">
      <colorScale>
        <cfvo type="min"/>
        <cfvo type="percentile" val="50"/>
        <cfvo type="max"/>
        <color rgb="FFF8696B"/>
        <color rgb="FFFFEB84"/>
        <color rgb="FF63BE7B"/>
      </colorScale>
    </cfRule>
  </conditionalFormatting>
  <conditionalFormatting sqref="AM256">
    <cfRule type="colorScale" priority="6651">
      <colorScale>
        <cfvo type="min"/>
        <cfvo type="percentile" val="50"/>
        <cfvo type="max"/>
        <color rgb="FF63BE7B"/>
        <color rgb="FFFFEB84"/>
        <color rgb="FFF8696B"/>
      </colorScale>
    </cfRule>
  </conditionalFormatting>
  <conditionalFormatting sqref="AM256">
    <cfRule type="colorScale" priority="6648">
      <colorScale>
        <cfvo type="min"/>
        <cfvo type="max"/>
        <color rgb="FFFCFCFF"/>
        <color rgb="FFF8696B"/>
      </colorScale>
    </cfRule>
    <cfRule type="colorScale" priority="6650">
      <colorScale>
        <cfvo type="min"/>
        <cfvo type="percentile" val="50"/>
        <cfvo type="max"/>
        <color rgb="FF63BE7B"/>
        <color rgb="FFFFEB84"/>
        <color rgb="FFF8696B"/>
      </colorScale>
    </cfRule>
  </conditionalFormatting>
  <conditionalFormatting sqref="AM256">
    <cfRule type="colorScale" priority="6649">
      <colorScale>
        <cfvo type="min"/>
        <cfvo type="max"/>
        <color rgb="FFF8696B"/>
        <color rgb="FFFCFCFF"/>
      </colorScale>
    </cfRule>
  </conditionalFormatting>
  <conditionalFormatting sqref="AO256">
    <cfRule type="colorScale" priority="6647">
      <colorScale>
        <cfvo type="min"/>
        <cfvo type="percentile" val="50"/>
        <cfvo type="max"/>
        <color rgb="FFF8696B"/>
        <color rgb="FFFFEB84"/>
        <color rgb="FF63BE7B"/>
      </colorScale>
    </cfRule>
  </conditionalFormatting>
  <conditionalFormatting sqref="AO256">
    <cfRule type="colorScale" priority="6646">
      <colorScale>
        <cfvo type="min"/>
        <cfvo type="percentile" val="50"/>
        <cfvo type="max"/>
        <color rgb="FFF8696B"/>
        <color rgb="FFFFEB84"/>
        <color rgb="FF63BE7B"/>
      </colorScale>
    </cfRule>
  </conditionalFormatting>
  <conditionalFormatting sqref="AO256">
    <cfRule type="colorScale" priority="6645">
      <colorScale>
        <cfvo type="min"/>
        <cfvo type="percentile" val="50"/>
        <cfvo type="max"/>
        <color rgb="FFF8696B"/>
        <color rgb="FFFFEB84"/>
        <color rgb="FF63BE7B"/>
      </colorScale>
    </cfRule>
  </conditionalFormatting>
  <conditionalFormatting sqref="AO256">
    <cfRule type="colorScale" priority="6644">
      <colorScale>
        <cfvo type="min"/>
        <cfvo type="percentile" val="50"/>
        <cfvo type="max"/>
        <color rgb="FF63BE7B"/>
        <color rgb="FFFFEB84"/>
        <color rgb="FFF8696B"/>
      </colorScale>
    </cfRule>
  </conditionalFormatting>
  <conditionalFormatting sqref="AO256">
    <cfRule type="colorScale" priority="6641">
      <colorScale>
        <cfvo type="min"/>
        <cfvo type="max"/>
        <color rgb="FFFCFCFF"/>
        <color rgb="FFF8696B"/>
      </colorScale>
    </cfRule>
    <cfRule type="colorScale" priority="6643">
      <colorScale>
        <cfvo type="min"/>
        <cfvo type="percentile" val="50"/>
        <cfvo type="max"/>
        <color rgb="FF63BE7B"/>
        <color rgb="FFFFEB84"/>
        <color rgb="FFF8696B"/>
      </colorScale>
    </cfRule>
  </conditionalFormatting>
  <conditionalFormatting sqref="AO256">
    <cfRule type="colorScale" priority="6642">
      <colorScale>
        <cfvo type="min"/>
        <cfvo type="max"/>
        <color rgb="FFF8696B"/>
        <color rgb="FFFCFCFF"/>
      </colorScale>
    </cfRule>
  </conditionalFormatting>
  <conditionalFormatting sqref="AQ256">
    <cfRule type="colorScale" priority="6640">
      <colorScale>
        <cfvo type="min"/>
        <cfvo type="percentile" val="50"/>
        <cfvo type="max"/>
        <color rgb="FFF8696B"/>
        <color rgb="FFFFEB84"/>
        <color rgb="FF63BE7B"/>
      </colorScale>
    </cfRule>
  </conditionalFormatting>
  <conditionalFormatting sqref="AQ256">
    <cfRule type="colorScale" priority="6639">
      <colorScale>
        <cfvo type="min"/>
        <cfvo type="percentile" val="50"/>
        <cfvo type="max"/>
        <color rgb="FFF8696B"/>
        <color rgb="FFFFEB84"/>
        <color rgb="FF63BE7B"/>
      </colorScale>
    </cfRule>
  </conditionalFormatting>
  <conditionalFormatting sqref="AQ256">
    <cfRule type="colorScale" priority="6638">
      <colorScale>
        <cfvo type="min"/>
        <cfvo type="percentile" val="50"/>
        <cfvo type="max"/>
        <color rgb="FFF8696B"/>
        <color rgb="FFFFEB84"/>
        <color rgb="FF63BE7B"/>
      </colorScale>
    </cfRule>
  </conditionalFormatting>
  <conditionalFormatting sqref="AQ256">
    <cfRule type="colorScale" priority="6637">
      <colorScale>
        <cfvo type="min"/>
        <cfvo type="percentile" val="50"/>
        <cfvo type="max"/>
        <color rgb="FF63BE7B"/>
        <color rgb="FFFFEB84"/>
        <color rgb="FFF8696B"/>
      </colorScale>
    </cfRule>
  </conditionalFormatting>
  <conditionalFormatting sqref="AQ256">
    <cfRule type="colorScale" priority="6634">
      <colorScale>
        <cfvo type="min"/>
        <cfvo type="max"/>
        <color rgb="FFFCFCFF"/>
        <color rgb="FFF8696B"/>
      </colorScale>
    </cfRule>
    <cfRule type="colorScale" priority="6636">
      <colorScale>
        <cfvo type="min"/>
        <cfvo type="percentile" val="50"/>
        <cfvo type="max"/>
        <color rgb="FF63BE7B"/>
        <color rgb="FFFFEB84"/>
        <color rgb="FFF8696B"/>
      </colorScale>
    </cfRule>
  </conditionalFormatting>
  <conditionalFormatting sqref="AQ256">
    <cfRule type="colorScale" priority="6635">
      <colorScale>
        <cfvo type="min"/>
        <cfvo type="max"/>
        <color rgb="FFF8696B"/>
        <color rgb="FFFCFCFF"/>
      </colorScale>
    </cfRule>
  </conditionalFormatting>
  <conditionalFormatting sqref="AM254">
    <cfRule type="colorScale" priority="6633">
      <colorScale>
        <cfvo type="min"/>
        <cfvo type="percentile" val="50"/>
        <cfvo type="max"/>
        <color rgb="FFF8696B"/>
        <color rgb="FFFFEB84"/>
        <color rgb="FF63BE7B"/>
      </colorScale>
    </cfRule>
  </conditionalFormatting>
  <conditionalFormatting sqref="AO254">
    <cfRule type="colorScale" priority="6632">
      <colorScale>
        <cfvo type="min"/>
        <cfvo type="percentile" val="50"/>
        <cfvo type="max"/>
        <color rgb="FFF8696B"/>
        <color rgb="FFFFEB84"/>
        <color rgb="FF63BE7B"/>
      </colorScale>
    </cfRule>
  </conditionalFormatting>
  <conditionalFormatting sqref="AK228 AI228 AM228 AO228 AK233 AI233 AO254 AM254 AM256 AO256 AQ256">
    <cfRule type="colorScale" priority="6631">
      <colorScale>
        <cfvo type="min"/>
        <cfvo type="max"/>
        <color rgb="FFFCFCFF"/>
        <color rgb="FFF8696B"/>
      </colorScale>
    </cfRule>
  </conditionalFormatting>
  <conditionalFormatting sqref="AS256">
    <cfRule type="colorScale" priority="6630">
      <colorScale>
        <cfvo type="min"/>
        <cfvo type="percentile" val="50"/>
        <cfvo type="max"/>
        <color rgb="FFF8696B"/>
        <color rgb="FFFFEB84"/>
        <color rgb="FF63BE7B"/>
      </colorScale>
    </cfRule>
  </conditionalFormatting>
  <conditionalFormatting sqref="AS256">
    <cfRule type="colorScale" priority="6629">
      <colorScale>
        <cfvo type="min"/>
        <cfvo type="percentile" val="50"/>
        <cfvo type="max"/>
        <color rgb="FFF8696B"/>
        <color rgb="FFFFEB84"/>
        <color rgb="FF63BE7B"/>
      </colorScale>
    </cfRule>
  </conditionalFormatting>
  <conditionalFormatting sqref="AS256">
    <cfRule type="colorScale" priority="6628">
      <colorScale>
        <cfvo type="min"/>
        <cfvo type="percentile" val="50"/>
        <cfvo type="max"/>
        <color rgb="FFF8696B"/>
        <color rgb="FFFFEB84"/>
        <color rgb="FF63BE7B"/>
      </colorScale>
    </cfRule>
  </conditionalFormatting>
  <conditionalFormatting sqref="AS256">
    <cfRule type="colorScale" priority="6627">
      <colorScale>
        <cfvo type="min"/>
        <cfvo type="percentile" val="50"/>
        <cfvo type="max"/>
        <color rgb="FF63BE7B"/>
        <color rgb="FFFFEB84"/>
        <color rgb="FFF8696B"/>
      </colorScale>
    </cfRule>
  </conditionalFormatting>
  <conditionalFormatting sqref="AS256">
    <cfRule type="colorScale" priority="6624">
      <colorScale>
        <cfvo type="min"/>
        <cfvo type="max"/>
        <color rgb="FFFCFCFF"/>
        <color rgb="FFF8696B"/>
      </colorScale>
    </cfRule>
    <cfRule type="colorScale" priority="6626">
      <colorScale>
        <cfvo type="min"/>
        <cfvo type="percentile" val="50"/>
        <cfvo type="max"/>
        <color rgb="FF63BE7B"/>
        <color rgb="FFFFEB84"/>
        <color rgb="FFF8696B"/>
      </colorScale>
    </cfRule>
  </conditionalFormatting>
  <conditionalFormatting sqref="AS256">
    <cfRule type="colorScale" priority="6625">
      <colorScale>
        <cfvo type="min"/>
        <cfvo type="max"/>
        <color rgb="FFF8696B"/>
        <color rgb="FFFCFCFF"/>
      </colorScale>
    </cfRule>
  </conditionalFormatting>
  <conditionalFormatting sqref="AS256">
    <cfRule type="colorScale" priority="6623">
      <colorScale>
        <cfvo type="min"/>
        <cfvo type="max"/>
        <color rgb="FFFCFCFF"/>
        <color rgb="FFF8696B"/>
      </colorScale>
    </cfRule>
  </conditionalFormatting>
  <conditionalFormatting sqref="AU248 AU254">
    <cfRule type="colorScale" priority="6622">
      <colorScale>
        <cfvo type="min"/>
        <cfvo type="percentile" val="50"/>
        <cfvo type="max"/>
        <color rgb="FFF8696B"/>
        <color rgb="FFFFEB84"/>
        <color rgb="FF63BE7B"/>
      </colorScale>
    </cfRule>
  </conditionalFormatting>
  <conditionalFormatting sqref="AU248">
    <cfRule type="colorScale" priority="6621">
      <colorScale>
        <cfvo type="min"/>
        <cfvo type="percentile" val="50"/>
        <cfvo type="max"/>
        <color rgb="FFF8696B"/>
        <color rgb="FFFFEB84"/>
        <color rgb="FF63BE7B"/>
      </colorScale>
    </cfRule>
  </conditionalFormatting>
  <conditionalFormatting sqref="AU248 AU254">
    <cfRule type="colorScale" priority="6620">
      <colorScale>
        <cfvo type="min"/>
        <cfvo type="percentile" val="50"/>
        <cfvo type="max"/>
        <color rgb="FF63BE7B"/>
        <color rgb="FFFFEB84"/>
        <color rgb="FFF8696B"/>
      </colorScale>
    </cfRule>
  </conditionalFormatting>
  <conditionalFormatting sqref="AU254 AU248">
    <cfRule type="colorScale" priority="6617">
      <colorScale>
        <cfvo type="min"/>
        <cfvo type="max"/>
        <color rgb="FFFCFCFF"/>
        <color rgb="FFF8696B"/>
      </colorScale>
    </cfRule>
    <cfRule type="colorScale" priority="6619">
      <colorScale>
        <cfvo type="min"/>
        <cfvo type="percentile" val="50"/>
        <cfvo type="max"/>
        <color rgb="FF63BE7B"/>
        <color rgb="FFFFEB84"/>
        <color rgb="FFF8696B"/>
      </colorScale>
    </cfRule>
  </conditionalFormatting>
  <conditionalFormatting sqref="AU248 AU254">
    <cfRule type="colorScale" priority="6618">
      <colorScale>
        <cfvo type="min"/>
        <cfvo type="max"/>
        <color rgb="FFF8696B"/>
        <color rgb="FFFCFCFF"/>
      </colorScale>
    </cfRule>
  </conditionalFormatting>
  <conditionalFormatting sqref="AU256">
    <cfRule type="colorScale" priority="6616">
      <colorScale>
        <cfvo type="min"/>
        <cfvo type="percentile" val="50"/>
        <cfvo type="max"/>
        <color rgb="FFF8696B"/>
        <color rgb="FFFFEB84"/>
        <color rgb="FF63BE7B"/>
      </colorScale>
    </cfRule>
  </conditionalFormatting>
  <conditionalFormatting sqref="AU256">
    <cfRule type="colorScale" priority="6615">
      <colorScale>
        <cfvo type="min"/>
        <cfvo type="percentile" val="50"/>
        <cfvo type="max"/>
        <color rgb="FFF8696B"/>
        <color rgb="FFFFEB84"/>
        <color rgb="FF63BE7B"/>
      </colorScale>
    </cfRule>
  </conditionalFormatting>
  <conditionalFormatting sqref="AU256">
    <cfRule type="colorScale" priority="6614">
      <colorScale>
        <cfvo type="min"/>
        <cfvo type="percentile" val="50"/>
        <cfvo type="max"/>
        <color rgb="FFF8696B"/>
        <color rgb="FFFFEB84"/>
        <color rgb="FF63BE7B"/>
      </colorScale>
    </cfRule>
  </conditionalFormatting>
  <conditionalFormatting sqref="AU256">
    <cfRule type="colorScale" priority="6613">
      <colorScale>
        <cfvo type="min"/>
        <cfvo type="percentile" val="50"/>
        <cfvo type="max"/>
        <color rgb="FF63BE7B"/>
        <color rgb="FFFFEB84"/>
        <color rgb="FFF8696B"/>
      </colorScale>
    </cfRule>
  </conditionalFormatting>
  <conditionalFormatting sqref="AU256">
    <cfRule type="colorScale" priority="6610">
      <colorScale>
        <cfvo type="min"/>
        <cfvo type="max"/>
        <color rgb="FFFCFCFF"/>
        <color rgb="FFF8696B"/>
      </colorScale>
    </cfRule>
    <cfRule type="colorScale" priority="6612">
      <colorScale>
        <cfvo type="min"/>
        <cfvo type="percentile" val="50"/>
        <cfvo type="max"/>
        <color rgb="FF63BE7B"/>
        <color rgb="FFFFEB84"/>
        <color rgb="FFF8696B"/>
      </colorScale>
    </cfRule>
  </conditionalFormatting>
  <conditionalFormatting sqref="AU256">
    <cfRule type="colorScale" priority="6611">
      <colorScale>
        <cfvo type="min"/>
        <cfvo type="max"/>
        <color rgb="FFF8696B"/>
        <color rgb="FFFCFCFF"/>
      </colorScale>
    </cfRule>
  </conditionalFormatting>
  <conditionalFormatting sqref="AU248">
    <cfRule type="colorScale" priority="6609">
      <colorScale>
        <cfvo type="min"/>
        <cfvo type="percentile" val="50"/>
        <cfvo type="max"/>
        <color rgb="FFF8696B"/>
        <color rgb="FFFFEB84"/>
        <color rgb="FF63BE7B"/>
      </colorScale>
    </cfRule>
  </conditionalFormatting>
  <conditionalFormatting sqref="AU254">
    <cfRule type="colorScale" priority="6608">
      <colorScale>
        <cfvo type="min"/>
        <cfvo type="percentile" val="50"/>
        <cfvo type="max"/>
        <color rgb="FFF8696B"/>
        <color rgb="FFFFEB84"/>
        <color rgb="FF63BE7B"/>
      </colorScale>
    </cfRule>
  </conditionalFormatting>
  <conditionalFormatting sqref="AU248 AU254 AU256">
    <cfRule type="colorScale" priority="6607">
      <colorScale>
        <cfvo type="min"/>
        <cfvo type="max"/>
        <color rgb="FFFCFCFF"/>
        <color rgb="FFF8696B"/>
      </colorScale>
    </cfRule>
  </conditionalFormatting>
  <conditionalFormatting sqref="AQ228">
    <cfRule type="colorScale" priority="6606">
      <colorScale>
        <cfvo type="min"/>
        <cfvo type="percentile" val="50"/>
        <cfvo type="max"/>
        <color rgb="FFF8696B"/>
        <color rgb="FFFFEB84"/>
        <color rgb="FF63BE7B"/>
      </colorScale>
    </cfRule>
  </conditionalFormatting>
  <conditionalFormatting sqref="AQ228">
    <cfRule type="colorScale" priority="6605">
      <colorScale>
        <cfvo type="min"/>
        <cfvo type="percentile" val="50"/>
        <cfvo type="max"/>
        <color rgb="FFF8696B"/>
        <color rgb="FFFFEB84"/>
        <color rgb="FF63BE7B"/>
      </colorScale>
    </cfRule>
  </conditionalFormatting>
  <conditionalFormatting sqref="AQ228">
    <cfRule type="colorScale" priority="6604">
      <colorScale>
        <cfvo type="min"/>
        <cfvo type="percentile" val="50"/>
        <cfvo type="max"/>
        <color rgb="FF63BE7B"/>
        <color rgb="FFFFEB84"/>
        <color rgb="FFF8696B"/>
      </colorScale>
    </cfRule>
  </conditionalFormatting>
  <conditionalFormatting sqref="AQ228">
    <cfRule type="colorScale" priority="6601">
      <colorScale>
        <cfvo type="min"/>
        <cfvo type="max"/>
        <color rgb="FFFCFCFF"/>
        <color rgb="FFF8696B"/>
      </colorScale>
    </cfRule>
    <cfRule type="colorScale" priority="6603">
      <colorScale>
        <cfvo type="min"/>
        <cfvo type="percentile" val="50"/>
        <cfvo type="max"/>
        <color rgb="FF63BE7B"/>
        <color rgb="FFFFEB84"/>
        <color rgb="FFF8696B"/>
      </colorScale>
    </cfRule>
  </conditionalFormatting>
  <conditionalFormatting sqref="AQ228">
    <cfRule type="colorScale" priority="6602">
      <colorScale>
        <cfvo type="min"/>
        <cfvo type="max"/>
        <color rgb="FFF8696B"/>
        <color rgb="FFFCFCFF"/>
      </colorScale>
    </cfRule>
  </conditionalFormatting>
  <conditionalFormatting sqref="AQ228">
    <cfRule type="colorScale" priority="6600">
      <colorScale>
        <cfvo type="min"/>
        <cfvo type="max"/>
        <color rgb="FFFCFCFF"/>
        <color rgb="FFF8696B"/>
      </colorScale>
    </cfRule>
  </conditionalFormatting>
  <conditionalFormatting sqref="AS228">
    <cfRule type="colorScale" priority="6599">
      <colorScale>
        <cfvo type="min"/>
        <cfvo type="percentile" val="50"/>
        <cfvo type="max"/>
        <color rgb="FFF8696B"/>
        <color rgb="FFFFEB84"/>
        <color rgb="FF63BE7B"/>
      </colorScale>
    </cfRule>
  </conditionalFormatting>
  <conditionalFormatting sqref="AS228">
    <cfRule type="colorScale" priority="6598">
      <colorScale>
        <cfvo type="min"/>
        <cfvo type="percentile" val="50"/>
        <cfvo type="max"/>
        <color rgb="FFF8696B"/>
        <color rgb="FFFFEB84"/>
        <color rgb="FF63BE7B"/>
      </colorScale>
    </cfRule>
  </conditionalFormatting>
  <conditionalFormatting sqref="AS228">
    <cfRule type="colorScale" priority="6597">
      <colorScale>
        <cfvo type="min"/>
        <cfvo type="percentile" val="50"/>
        <cfvo type="max"/>
        <color rgb="FF63BE7B"/>
        <color rgb="FFFFEB84"/>
        <color rgb="FFF8696B"/>
      </colorScale>
    </cfRule>
  </conditionalFormatting>
  <conditionalFormatting sqref="AS228">
    <cfRule type="colorScale" priority="6594">
      <colorScale>
        <cfvo type="min"/>
        <cfvo type="max"/>
        <color rgb="FFFCFCFF"/>
        <color rgb="FFF8696B"/>
      </colorScale>
    </cfRule>
    <cfRule type="colorScale" priority="6596">
      <colorScale>
        <cfvo type="min"/>
        <cfvo type="percentile" val="50"/>
        <cfvo type="max"/>
        <color rgb="FF63BE7B"/>
        <color rgb="FFFFEB84"/>
        <color rgb="FFF8696B"/>
      </colorScale>
    </cfRule>
  </conditionalFormatting>
  <conditionalFormatting sqref="AS228">
    <cfRule type="colorScale" priority="6595">
      <colorScale>
        <cfvo type="min"/>
        <cfvo type="max"/>
        <color rgb="FFF8696B"/>
        <color rgb="FFFCFCFF"/>
      </colorScale>
    </cfRule>
  </conditionalFormatting>
  <conditionalFormatting sqref="AS228">
    <cfRule type="colorScale" priority="6593">
      <colorScale>
        <cfvo type="min"/>
        <cfvo type="max"/>
        <color rgb="FFFCFCFF"/>
        <color rgb="FFF8696B"/>
      </colorScale>
    </cfRule>
  </conditionalFormatting>
  <conditionalFormatting sqref="AU228">
    <cfRule type="colorScale" priority="6592">
      <colorScale>
        <cfvo type="min"/>
        <cfvo type="percentile" val="50"/>
        <cfvo type="max"/>
        <color rgb="FFF8696B"/>
        <color rgb="FFFFEB84"/>
        <color rgb="FF63BE7B"/>
      </colorScale>
    </cfRule>
  </conditionalFormatting>
  <conditionalFormatting sqref="AU228">
    <cfRule type="colorScale" priority="6591">
      <colorScale>
        <cfvo type="min"/>
        <cfvo type="percentile" val="50"/>
        <cfvo type="max"/>
        <color rgb="FFF8696B"/>
        <color rgb="FFFFEB84"/>
        <color rgb="FF63BE7B"/>
      </colorScale>
    </cfRule>
  </conditionalFormatting>
  <conditionalFormatting sqref="AU228">
    <cfRule type="colorScale" priority="6590">
      <colorScale>
        <cfvo type="min"/>
        <cfvo type="percentile" val="50"/>
        <cfvo type="max"/>
        <color rgb="FF63BE7B"/>
        <color rgb="FFFFEB84"/>
        <color rgb="FFF8696B"/>
      </colorScale>
    </cfRule>
  </conditionalFormatting>
  <conditionalFormatting sqref="AU228">
    <cfRule type="colorScale" priority="6587">
      <colorScale>
        <cfvo type="min"/>
        <cfvo type="max"/>
        <color rgb="FFFCFCFF"/>
        <color rgb="FFF8696B"/>
      </colorScale>
    </cfRule>
    <cfRule type="colorScale" priority="6589">
      <colorScale>
        <cfvo type="min"/>
        <cfvo type="percentile" val="50"/>
        <cfvo type="max"/>
        <color rgb="FF63BE7B"/>
        <color rgb="FFFFEB84"/>
        <color rgb="FFF8696B"/>
      </colorScale>
    </cfRule>
  </conditionalFormatting>
  <conditionalFormatting sqref="AU228">
    <cfRule type="colorScale" priority="6588">
      <colorScale>
        <cfvo type="min"/>
        <cfvo type="max"/>
        <color rgb="FFF8696B"/>
        <color rgb="FFFCFCFF"/>
      </colorScale>
    </cfRule>
  </conditionalFormatting>
  <conditionalFormatting sqref="AU228">
    <cfRule type="colorScale" priority="6586">
      <colorScale>
        <cfvo type="min"/>
        <cfvo type="max"/>
        <color rgb="FFFCFCFF"/>
        <color rgb="FFF8696B"/>
      </colorScale>
    </cfRule>
  </conditionalFormatting>
  <conditionalFormatting sqref="AM147">
    <cfRule type="colorScale" priority="6585">
      <colorScale>
        <cfvo type="min"/>
        <cfvo type="percentile" val="50"/>
        <cfvo type="max"/>
        <color rgb="FFF8696B"/>
        <color rgb="FFFFEB84"/>
        <color rgb="FF63BE7B"/>
      </colorScale>
    </cfRule>
  </conditionalFormatting>
  <conditionalFormatting sqref="AM147">
    <cfRule type="colorScale" priority="6584">
      <colorScale>
        <cfvo type="min"/>
        <cfvo type="percentile" val="50"/>
        <cfvo type="max"/>
        <color rgb="FF63BE7B"/>
        <color rgb="FFFFEB84"/>
        <color rgb="FFF8696B"/>
      </colorScale>
    </cfRule>
  </conditionalFormatting>
  <conditionalFormatting sqref="AM147">
    <cfRule type="colorScale" priority="6581">
      <colorScale>
        <cfvo type="min"/>
        <cfvo type="max"/>
        <color rgb="FFFCFCFF"/>
        <color rgb="FFF8696B"/>
      </colorScale>
    </cfRule>
    <cfRule type="colorScale" priority="6583">
      <colorScale>
        <cfvo type="min"/>
        <cfvo type="percentile" val="50"/>
        <cfvo type="max"/>
        <color rgb="FF63BE7B"/>
        <color rgb="FFFFEB84"/>
        <color rgb="FFF8696B"/>
      </colorScale>
    </cfRule>
  </conditionalFormatting>
  <conditionalFormatting sqref="AM147">
    <cfRule type="colorScale" priority="6582">
      <colorScale>
        <cfvo type="min"/>
        <cfvo type="max"/>
        <color rgb="FFF8696B"/>
        <color rgb="FFFCFCFF"/>
      </colorScale>
    </cfRule>
  </conditionalFormatting>
  <conditionalFormatting sqref="AM147">
    <cfRule type="colorScale" priority="6580">
      <colorScale>
        <cfvo type="min"/>
        <cfvo type="max"/>
        <color rgb="FFFCFCFF"/>
        <color rgb="FFF8696B"/>
      </colorScale>
    </cfRule>
  </conditionalFormatting>
  <conditionalFormatting sqref="AM104">
    <cfRule type="colorScale" priority="6579">
      <colorScale>
        <cfvo type="min"/>
        <cfvo type="percentile" val="50"/>
        <cfvo type="max"/>
        <color rgb="FFF8696B"/>
        <color rgb="FFFFEB84"/>
        <color rgb="FF63BE7B"/>
      </colorScale>
    </cfRule>
  </conditionalFormatting>
  <conditionalFormatting sqref="AM104">
    <cfRule type="colorScale" priority="6578">
      <colorScale>
        <cfvo type="min"/>
        <cfvo type="percentile" val="50"/>
        <cfvo type="max"/>
        <color rgb="FF63BE7B"/>
        <color rgb="FFFFEB84"/>
        <color rgb="FFF8696B"/>
      </colorScale>
    </cfRule>
  </conditionalFormatting>
  <conditionalFormatting sqref="AM104">
    <cfRule type="colorScale" priority="6575">
      <colorScale>
        <cfvo type="min"/>
        <cfvo type="max"/>
        <color rgb="FFFCFCFF"/>
        <color rgb="FFF8696B"/>
      </colorScale>
    </cfRule>
    <cfRule type="colorScale" priority="6577">
      <colorScale>
        <cfvo type="min"/>
        <cfvo type="percentile" val="50"/>
        <cfvo type="max"/>
        <color rgb="FF63BE7B"/>
        <color rgb="FFFFEB84"/>
        <color rgb="FFF8696B"/>
      </colorScale>
    </cfRule>
  </conditionalFormatting>
  <conditionalFormatting sqref="AM104">
    <cfRule type="colorScale" priority="6576">
      <colorScale>
        <cfvo type="min"/>
        <cfvo type="max"/>
        <color rgb="FFF8696B"/>
        <color rgb="FFFCFCFF"/>
      </colorScale>
    </cfRule>
  </conditionalFormatting>
  <conditionalFormatting sqref="AM104">
    <cfRule type="colorScale" priority="6574">
      <colorScale>
        <cfvo type="min"/>
        <cfvo type="max"/>
        <color rgb="FFFCFCFF"/>
        <color rgb="FFF8696B"/>
      </colorScale>
    </cfRule>
  </conditionalFormatting>
  <conditionalFormatting sqref="AM18">
    <cfRule type="colorScale" priority="6573">
      <colorScale>
        <cfvo type="min"/>
        <cfvo type="percentile" val="50"/>
        <cfvo type="max"/>
        <color rgb="FFF8696B"/>
        <color rgb="FFFFEB84"/>
        <color rgb="FF63BE7B"/>
      </colorScale>
    </cfRule>
  </conditionalFormatting>
  <conditionalFormatting sqref="AM18">
    <cfRule type="colorScale" priority="6572">
      <colorScale>
        <cfvo type="min"/>
        <cfvo type="percentile" val="50"/>
        <cfvo type="max"/>
        <color rgb="FF63BE7B"/>
        <color rgb="FFFFEB84"/>
        <color rgb="FFF8696B"/>
      </colorScale>
    </cfRule>
  </conditionalFormatting>
  <conditionalFormatting sqref="AM18">
    <cfRule type="colorScale" priority="6569">
      <colorScale>
        <cfvo type="min"/>
        <cfvo type="max"/>
        <color rgb="FFFCFCFF"/>
        <color rgb="FFF8696B"/>
      </colorScale>
    </cfRule>
    <cfRule type="colorScale" priority="6571">
      <colorScale>
        <cfvo type="min"/>
        <cfvo type="percentile" val="50"/>
        <cfvo type="max"/>
        <color rgb="FF63BE7B"/>
        <color rgb="FFFFEB84"/>
        <color rgb="FFF8696B"/>
      </colorScale>
    </cfRule>
  </conditionalFormatting>
  <conditionalFormatting sqref="AM18">
    <cfRule type="colorScale" priority="6570">
      <colorScale>
        <cfvo type="min"/>
        <cfvo type="max"/>
        <color rgb="FFF8696B"/>
        <color rgb="FFFCFCFF"/>
      </colorScale>
    </cfRule>
  </conditionalFormatting>
  <conditionalFormatting sqref="AM18">
    <cfRule type="colorScale" priority="6568">
      <colorScale>
        <cfvo type="min"/>
        <cfvo type="max"/>
        <color rgb="FFFCFCFF"/>
        <color rgb="FFF8696B"/>
      </colorScale>
    </cfRule>
  </conditionalFormatting>
  <conditionalFormatting sqref="AO18">
    <cfRule type="colorScale" priority="6567">
      <colorScale>
        <cfvo type="min"/>
        <cfvo type="percentile" val="50"/>
        <cfvo type="max"/>
        <color rgb="FFF8696B"/>
        <color rgb="FFFFEB84"/>
        <color rgb="FF63BE7B"/>
      </colorScale>
    </cfRule>
  </conditionalFormatting>
  <conditionalFormatting sqref="AO18">
    <cfRule type="colorScale" priority="6566">
      <colorScale>
        <cfvo type="min"/>
        <cfvo type="percentile" val="50"/>
        <cfvo type="max"/>
        <color rgb="FF63BE7B"/>
        <color rgb="FFFFEB84"/>
        <color rgb="FFF8696B"/>
      </colorScale>
    </cfRule>
  </conditionalFormatting>
  <conditionalFormatting sqref="AO18">
    <cfRule type="colorScale" priority="6563">
      <colorScale>
        <cfvo type="min"/>
        <cfvo type="max"/>
        <color rgb="FFFCFCFF"/>
        <color rgb="FFF8696B"/>
      </colorScale>
    </cfRule>
    <cfRule type="colorScale" priority="6565">
      <colorScale>
        <cfvo type="min"/>
        <cfvo type="percentile" val="50"/>
        <cfvo type="max"/>
        <color rgb="FF63BE7B"/>
        <color rgb="FFFFEB84"/>
        <color rgb="FFF8696B"/>
      </colorScale>
    </cfRule>
  </conditionalFormatting>
  <conditionalFormatting sqref="AO18">
    <cfRule type="colorScale" priority="6564">
      <colorScale>
        <cfvo type="min"/>
        <cfvo type="max"/>
        <color rgb="FFF8696B"/>
        <color rgb="FFFCFCFF"/>
      </colorScale>
    </cfRule>
  </conditionalFormatting>
  <conditionalFormatting sqref="AO18">
    <cfRule type="colorScale" priority="6562">
      <colorScale>
        <cfvo type="min"/>
        <cfvo type="max"/>
        <color rgb="FFFCFCFF"/>
        <color rgb="FFF8696B"/>
      </colorScale>
    </cfRule>
  </conditionalFormatting>
  <conditionalFormatting sqref="AO104">
    <cfRule type="colorScale" priority="6561">
      <colorScale>
        <cfvo type="min"/>
        <cfvo type="percentile" val="50"/>
        <cfvo type="max"/>
        <color rgb="FFF8696B"/>
        <color rgb="FFFFEB84"/>
        <color rgb="FF63BE7B"/>
      </colorScale>
    </cfRule>
  </conditionalFormatting>
  <conditionalFormatting sqref="AO104">
    <cfRule type="colorScale" priority="6560">
      <colorScale>
        <cfvo type="min"/>
        <cfvo type="percentile" val="50"/>
        <cfvo type="max"/>
        <color rgb="FF63BE7B"/>
        <color rgb="FFFFEB84"/>
        <color rgb="FFF8696B"/>
      </colorScale>
    </cfRule>
  </conditionalFormatting>
  <conditionalFormatting sqref="AO104">
    <cfRule type="colorScale" priority="6557">
      <colorScale>
        <cfvo type="min"/>
        <cfvo type="max"/>
        <color rgb="FFFCFCFF"/>
        <color rgb="FFF8696B"/>
      </colorScale>
    </cfRule>
    <cfRule type="colorScale" priority="6559">
      <colorScale>
        <cfvo type="min"/>
        <cfvo type="percentile" val="50"/>
        <cfvo type="max"/>
        <color rgb="FF63BE7B"/>
        <color rgb="FFFFEB84"/>
        <color rgb="FFF8696B"/>
      </colorScale>
    </cfRule>
  </conditionalFormatting>
  <conditionalFormatting sqref="AO104">
    <cfRule type="colorScale" priority="6558">
      <colorScale>
        <cfvo type="min"/>
        <cfvo type="max"/>
        <color rgb="FFF8696B"/>
        <color rgb="FFFCFCFF"/>
      </colorScale>
    </cfRule>
  </conditionalFormatting>
  <conditionalFormatting sqref="AO104">
    <cfRule type="colorScale" priority="6556">
      <colorScale>
        <cfvo type="min"/>
        <cfvo type="max"/>
        <color rgb="FFFCFCFF"/>
        <color rgb="FFF8696B"/>
      </colorScale>
    </cfRule>
  </conditionalFormatting>
  <conditionalFormatting sqref="AO147">
    <cfRule type="colorScale" priority="6555">
      <colorScale>
        <cfvo type="min"/>
        <cfvo type="percentile" val="50"/>
        <cfvo type="max"/>
        <color rgb="FFF8696B"/>
        <color rgb="FFFFEB84"/>
        <color rgb="FF63BE7B"/>
      </colorScale>
    </cfRule>
  </conditionalFormatting>
  <conditionalFormatting sqref="AO147">
    <cfRule type="colorScale" priority="6554">
      <colorScale>
        <cfvo type="min"/>
        <cfvo type="percentile" val="50"/>
        <cfvo type="max"/>
        <color rgb="FF63BE7B"/>
        <color rgb="FFFFEB84"/>
        <color rgb="FFF8696B"/>
      </colorScale>
    </cfRule>
  </conditionalFormatting>
  <conditionalFormatting sqref="AO147">
    <cfRule type="colorScale" priority="6551">
      <colorScale>
        <cfvo type="min"/>
        <cfvo type="max"/>
        <color rgb="FFFCFCFF"/>
        <color rgb="FFF8696B"/>
      </colorScale>
    </cfRule>
    <cfRule type="colorScale" priority="6553">
      <colorScale>
        <cfvo type="min"/>
        <cfvo type="percentile" val="50"/>
        <cfvo type="max"/>
        <color rgb="FF63BE7B"/>
        <color rgb="FFFFEB84"/>
        <color rgb="FFF8696B"/>
      </colorScale>
    </cfRule>
  </conditionalFormatting>
  <conditionalFormatting sqref="AO147">
    <cfRule type="colorScale" priority="6552">
      <colorScale>
        <cfvo type="min"/>
        <cfvo type="max"/>
        <color rgb="FFF8696B"/>
        <color rgb="FFFCFCFF"/>
      </colorScale>
    </cfRule>
  </conditionalFormatting>
  <conditionalFormatting sqref="AO147">
    <cfRule type="colorScale" priority="6550">
      <colorScale>
        <cfvo type="min"/>
        <cfvo type="max"/>
        <color rgb="FFFCFCFF"/>
        <color rgb="FFF8696B"/>
      </colorScale>
    </cfRule>
  </conditionalFormatting>
  <conditionalFormatting sqref="AQ18">
    <cfRule type="colorScale" priority="6549">
      <colorScale>
        <cfvo type="min"/>
        <cfvo type="percentile" val="50"/>
        <cfvo type="max"/>
        <color rgb="FFF8696B"/>
        <color rgb="FFFFEB84"/>
        <color rgb="FF63BE7B"/>
      </colorScale>
    </cfRule>
  </conditionalFormatting>
  <conditionalFormatting sqref="AQ18">
    <cfRule type="colorScale" priority="6548">
      <colorScale>
        <cfvo type="min"/>
        <cfvo type="percentile" val="50"/>
        <cfvo type="max"/>
        <color rgb="FFF8696B"/>
        <color rgb="FFFFEB84"/>
        <color rgb="FF63BE7B"/>
      </colorScale>
    </cfRule>
  </conditionalFormatting>
  <conditionalFormatting sqref="AQ18">
    <cfRule type="colorScale" priority="6547">
      <colorScale>
        <cfvo type="min"/>
        <cfvo type="percentile" val="50"/>
        <cfvo type="max"/>
        <color rgb="FF63BE7B"/>
        <color rgb="FFFFEB84"/>
        <color rgb="FFF8696B"/>
      </colorScale>
    </cfRule>
  </conditionalFormatting>
  <conditionalFormatting sqref="AQ18">
    <cfRule type="colorScale" priority="6544">
      <colorScale>
        <cfvo type="min"/>
        <cfvo type="max"/>
        <color rgb="FFFCFCFF"/>
        <color rgb="FFF8696B"/>
      </colorScale>
    </cfRule>
    <cfRule type="colorScale" priority="6546">
      <colorScale>
        <cfvo type="min"/>
        <cfvo type="percentile" val="50"/>
        <cfvo type="max"/>
        <color rgb="FF63BE7B"/>
        <color rgb="FFFFEB84"/>
        <color rgb="FFF8696B"/>
      </colorScale>
    </cfRule>
  </conditionalFormatting>
  <conditionalFormatting sqref="AQ18">
    <cfRule type="colorScale" priority="6545">
      <colorScale>
        <cfvo type="min"/>
        <cfvo type="max"/>
        <color rgb="FFF8696B"/>
        <color rgb="FFFCFCFF"/>
      </colorScale>
    </cfRule>
  </conditionalFormatting>
  <conditionalFormatting sqref="AQ18">
    <cfRule type="colorScale" priority="6543">
      <colorScale>
        <cfvo type="min"/>
        <cfvo type="max"/>
        <color rgb="FFFCFCFF"/>
        <color rgb="FFF8696B"/>
      </colorScale>
    </cfRule>
  </conditionalFormatting>
  <conditionalFormatting sqref="AQ104">
    <cfRule type="colorScale" priority="6542">
      <colorScale>
        <cfvo type="min"/>
        <cfvo type="percentile" val="50"/>
        <cfvo type="max"/>
        <color rgb="FFF8696B"/>
        <color rgb="FFFFEB84"/>
        <color rgb="FF63BE7B"/>
      </colorScale>
    </cfRule>
  </conditionalFormatting>
  <conditionalFormatting sqref="AQ104">
    <cfRule type="colorScale" priority="6541">
      <colorScale>
        <cfvo type="min"/>
        <cfvo type="percentile" val="50"/>
        <cfvo type="max"/>
        <color rgb="FFF8696B"/>
        <color rgb="FFFFEB84"/>
        <color rgb="FF63BE7B"/>
      </colorScale>
    </cfRule>
  </conditionalFormatting>
  <conditionalFormatting sqref="AQ104">
    <cfRule type="colorScale" priority="6540">
      <colorScale>
        <cfvo type="min"/>
        <cfvo type="percentile" val="50"/>
        <cfvo type="max"/>
        <color rgb="FF63BE7B"/>
        <color rgb="FFFFEB84"/>
        <color rgb="FFF8696B"/>
      </colorScale>
    </cfRule>
  </conditionalFormatting>
  <conditionalFormatting sqref="AQ104">
    <cfRule type="colorScale" priority="6537">
      <colorScale>
        <cfvo type="min"/>
        <cfvo type="max"/>
        <color rgb="FFFCFCFF"/>
        <color rgb="FFF8696B"/>
      </colorScale>
    </cfRule>
    <cfRule type="colorScale" priority="6539">
      <colorScale>
        <cfvo type="min"/>
        <cfvo type="percentile" val="50"/>
        <cfvo type="max"/>
        <color rgb="FF63BE7B"/>
        <color rgb="FFFFEB84"/>
        <color rgb="FFF8696B"/>
      </colorScale>
    </cfRule>
  </conditionalFormatting>
  <conditionalFormatting sqref="AQ104">
    <cfRule type="colorScale" priority="6538">
      <colorScale>
        <cfvo type="min"/>
        <cfvo type="max"/>
        <color rgb="FFF8696B"/>
        <color rgb="FFFCFCFF"/>
      </colorScale>
    </cfRule>
  </conditionalFormatting>
  <conditionalFormatting sqref="AQ104">
    <cfRule type="colorScale" priority="6536">
      <colorScale>
        <cfvo type="min"/>
        <cfvo type="max"/>
        <color rgb="FFFCFCFF"/>
        <color rgb="FFF8696B"/>
      </colorScale>
    </cfRule>
  </conditionalFormatting>
  <conditionalFormatting sqref="AQ147">
    <cfRule type="colorScale" priority="6535">
      <colorScale>
        <cfvo type="min"/>
        <cfvo type="percentile" val="50"/>
        <cfvo type="max"/>
        <color rgb="FFF8696B"/>
        <color rgb="FFFFEB84"/>
        <color rgb="FF63BE7B"/>
      </colorScale>
    </cfRule>
  </conditionalFormatting>
  <conditionalFormatting sqref="AQ147">
    <cfRule type="colorScale" priority="6534">
      <colorScale>
        <cfvo type="min"/>
        <cfvo type="percentile" val="50"/>
        <cfvo type="max"/>
        <color rgb="FFF8696B"/>
        <color rgb="FFFFEB84"/>
        <color rgb="FF63BE7B"/>
      </colorScale>
    </cfRule>
  </conditionalFormatting>
  <conditionalFormatting sqref="AQ147">
    <cfRule type="colorScale" priority="6533">
      <colorScale>
        <cfvo type="min"/>
        <cfvo type="percentile" val="50"/>
        <cfvo type="max"/>
        <color rgb="FF63BE7B"/>
        <color rgb="FFFFEB84"/>
        <color rgb="FFF8696B"/>
      </colorScale>
    </cfRule>
  </conditionalFormatting>
  <conditionalFormatting sqref="AQ147">
    <cfRule type="colorScale" priority="6530">
      <colorScale>
        <cfvo type="min"/>
        <cfvo type="max"/>
        <color rgb="FFFCFCFF"/>
        <color rgb="FFF8696B"/>
      </colorScale>
    </cfRule>
    <cfRule type="colorScale" priority="6532">
      <colorScale>
        <cfvo type="min"/>
        <cfvo type="percentile" val="50"/>
        <cfvo type="max"/>
        <color rgb="FF63BE7B"/>
        <color rgb="FFFFEB84"/>
        <color rgb="FFF8696B"/>
      </colorScale>
    </cfRule>
  </conditionalFormatting>
  <conditionalFormatting sqref="AQ147">
    <cfRule type="colorScale" priority="6531">
      <colorScale>
        <cfvo type="min"/>
        <cfvo type="max"/>
        <color rgb="FFF8696B"/>
        <color rgb="FFFCFCFF"/>
      </colorScale>
    </cfRule>
  </conditionalFormatting>
  <conditionalFormatting sqref="AQ147">
    <cfRule type="colorScale" priority="6529">
      <colorScale>
        <cfvo type="min"/>
        <cfvo type="max"/>
        <color rgb="FFFCFCFF"/>
        <color rgb="FFF8696B"/>
      </colorScale>
    </cfRule>
  </conditionalFormatting>
  <conditionalFormatting sqref="AO233">
    <cfRule type="colorScale" priority="6528">
      <colorScale>
        <cfvo type="min"/>
        <cfvo type="percentile" val="50"/>
        <cfvo type="max"/>
        <color rgb="FFF8696B"/>
        <color rgb="FFFFEB84"/>
        <color rgb="FF63BE7B"/>
      </colorScale>
    </cfRule>
  </conditionalFormatting>
  <conditionalFormatting sqref="AO233">
    <cfRule type="colorScale" priority="6527">
      <colorScale>
        <cfvo type="min"/>
        <cfvo type="percentile" val="50"/>
        <cfvo type="max"/>
        <color rgb="FF63BE7B"/>
        <color rgb="FFFFEB84"/>
        <color rgb="FFF8696B"/>
      </colorScale>
    </cfRule>
  </conditionalFormatting>
  <conditionalFormatting sqref="AO233">
    <cfRule type="colorScale" priority="6524">
      <colorScale>
        <cfvo type="min"/>
        <cfvo type="max"/>
        <color rgb="FFFCFCFF"/>
        <color rgb="FFF8696B"/>
      </colorScale>
    </cfRule>
    <cfRule type="colorScale" priority="6526">
      <colorScale>
        <cfvo type="min"/>
        <cfvo type="percentile" val="50"/>
        <cfvo type="max"/>
        <color rgb="FF63BE7B"/>
        <color rgb="FFFFEB84"/>
        <color rgb="FFF8696B"/>
      </colorScale>
    </cfRule>
  </conditionalFormatting>
  <conditionalFormatting sqref="AO233">
    <cfRule type="colorScale" priority="6525">
      <colorScale>
        <cfvo type="min"/>
        <cfvo type="max"/>
        <color rgb="FFF8696B"/>
        <color rgb="FFFCFCFF"/>
      </colorScale>
    </cfRule>
  </conditionalFormatting>
  <conditionalFormatting sqref="AO233">
    <cfRule type="colorScale" priority="6523">
      <colorScale>
        <cfvo type="min"/>
        <cfvo type="max"/>
        <color rgb="FFFCFCFF"/>
        <color rgb="FFF8696B"/>
      </colorScale>
    </cfRule>
  </conditionalFormatting>
  <conditionalFormatting sqref="AO190">
    <cfRule type="colorScale" priority="6522">
      <colorScale>
        <cfvo type="min"/>
        <cfvo type="percentile" val="50"/>
        <cfvo type="max"/>
        <color rgb="FFF8696B"/>
        <color rgb="FFFFEB84"/>
        <color rgb="FF63BE7B"/>
      </colorScale>
    </cfRule>
  </conditionalFormatting>
  <conditionalFormatting sqref="AO190">
    <cfRule type="colorScale" priority="6521">
      <colorScale>
        <cfvo type="min"/>
        <cfvo type="percentile" val="50"/>
        <cfvo type="max"/>
        <color rgb="FF63BE7B"/>
        <color rgb="FFFFEB84"/>
        <color rgb="FFF8696B"/>
      </colorScale>
    </cfRule>
  </conditionalFormatting>
  <conditionalFormatting sqref="AO190">
    <cfRule type="colorScale" priority="6518">
      <colorScale>
        <cfvo type="min"/>
        <cfvo type="max"/>
        <color rgb="FFFCFCFF"/>
        <color rgb="FFF8696B"/>
      </colorScale>
    </cfRule>
    <cfRule type="colorScale" priority="6520">
      <colorScale>
        <cfvo type="min"/>
        <cfvo type="percentile" val="50"/>
        <cfvo type="max"/>
        <color rgb="FF63BE7B"/>
        <color rgb="FFFFEB84"/>
        <color rgb="FFF8696B"/>
      </colorScale>
    </cfRule>
  </conditionalFormatting>
  <conditionalFormatting sqref="AO190">
    <cfRule type="colorScale" priority="6519">
      <colorScale>
        <cfvo type="min"/>
        <cfvo type="max"/>
        <color rgb="FFF8696B"/>
        <color rgb="FFFCFCFF"/>
      </colorScale>
    </cfRule>
  </conditionalFormatting>
  <conditionalFormatting sqref="AO190">
    <cfRule type="colorScale" priority="6517">
      <colorScale>
        <cfvo type="min"/>
        <cfvo type="max"/>
        <color rgb="FFFCFCFF"/>
        <color rgb="FFF8696B"/>
      </colorScale>
    </cfRule>
  </conditionalFormatting>
  <conditionalFormatting sqref="AS18">
    <cfRule type="colorScale" priority="6516">
      <colorScale>
        <cfvo type="min"/>
        <cfvo type="percentile" val="50"/>
        <cfvo type="max"/>
        <color rgb="FFF8696B"/>
        <color rgb="FFFFEB84"/>
        <color rgb="FF63BE7B"/>
      </colorScale>
    </cfRule>
  </conditionalFormatting>
  <conditionalFormatting sqref="AS18">
    <cfRule type="colorScale" priority="6515">
      <colorScale>
        <cfvo type="min"/>
        <cfvo type="percentile" val="50"/>
        <cfvo type="max"/>
        <color rgb="FFF8696B"/>
        <color rgb="FFFFEB84"/>
        <color rgb="FF63BE7B"/>
      </colorScale>
    </cfRule>
  </conditionalFormatting>
  <conditionalFormatting sqref="AS18">
    <cfRule type="colorScale" priority="6514">
      <colorScale>
        <cfvo type="min"/>
        <cfvo type="percentile" val="50"/>
        <cfvo type="max"/>
        <color rgb="FF63BE7B"/>
        <color rgb="FFFFEB84"/>
        <color rgb="FFF8696B"/>
      </colorScale>
    </cfRule>
  </conditionalFormatting>
  <conditionalFormatting sqref="AS18">
    <cfRule type="colorScale" priority="6511">
      <colorScale>
        <cfvo type="min"/>
        <cfvo type="max"/>
        <color rgb="FFFCFCFF"/>
        <color rgb="FFF8696B"/>
      </colorScale>
    </cfRule>
    <cfRule type="colorScale" priority="6513">
      <colorScale>
        <cfvo type="min"/>
        <cfvo type="percentile" val="50"/>
        <cfvo type="max"/>
        <color rgb="FF63BE7B"/>
        <color rgb="FFFFEB84"/>
        <color rgb="FFF8696B"/>
      </colorScale>
    </cfRule>
  </conditionalFormatting>
  <conditionalFormatting sqref="AS18">
    <cfRule type="colorScale" priority="6512">
      <colorScale>
        <cfvo type="min"/>
        <cfvo type="max"/>
        <color rgb="FFF8696B"/>
        <color rgb="FFFCFCFF"/>
      </colorScale>
    </cfRule>
  </conditionalFormatting>
  <conditionalFormatting sqref="AS18">
    <cfRule type="colorScale" priority="6510">
      <colorScale>
        <cfvo type="min"/>
        <cfvo type="max"/>
        <color rgb="FFFCFCFF"/>
        <color rgb="FFF8696B"/>
      </colorScale>
    </cfRule>
  </conditionalFormatting>
  <conditionalFormatting sqref="AS104">
    <cfRule type="colorScale" priority="6509">
      <colorScale>
        <cfvo type="min"/>
        <cfvo type="percentile" val="50"/>
        <cfvo type="max"/>
        <color rgb="FFF8696B"/>
        <color rgb="FFFFEB84"/>
        <color rgb="FF63BE7B"/>
      </colorScale>
    </cfRule>
  </conditionalFormatting>
  <conditionalFormatting sqref="AS104">
    <cfRule type="colorScale" priority="6508">
      <colorScale>
        <cfvo type="min"/>
        <cfvo type="percentile" val="50"/>
        <cfvo type="max"/>
        <color rgb="FFF8696B"/>
        <color rgb="FFFFEB84"/>
        <color rgb="FF63BE7B"/>
      </colorScale>
    </cfRule>
  </conditionalFormatting>
  <conditionalFormatting sqref="AS104">
    <cfRule type="colorScale" priority="6507">
      <colorScale>
        <cfvo type="min"/>
        <cfvo type="percentile" val="50"/>
        <cfvo type="max"/>
        <color rgb="FF63BE7B"/>
        <color rgb="FFFFEB84"/>
        <color rgb="FFF8696B"/>
      </colorScale>
    </cfRule>
  </conditionalFormatting>
  <conditionalFormatting sqref="AS104">
    <cfRule type="colorScale" priority="6504">
      <colorScale>
        <cfvo type="min"/>
        <cfvo type="max"/>
        <color rgb="FFFCFCFF"/>
        <color rgb="FFF8696B"/>
      </colorScale>
    </cfRule>
    <cfRule type="colorScale" priority="6506">
      <colorScale>
        <cfvo type="min"/>
        <cfvo type="percentile" val="50"/>
        <cfvo type="max"/>
        <color rgb="FF63BE7B"/>
        <color rgb="FFFFEB84"/>
        <color rgb="FFF8696B"/>
      </colorScale>
    </cfRule>
  </conditionalFormatting>
  <conditionalFormatting sqref="AS104">
    <cfRule type="colorScale" priority="6505">
      <colorScale>
        <cfvo type="min"/>
        <cfvo type="max"/>
        <color rgb="FFF8696B"/>
        <color rgb="FFFCFCFF"/>
      </colorScale>
    </cfRule>
  </conditionalFormatting>
  <conditionalFormatting sqref="AS104">
    <cfRule type="colorScale" priority="6503">
      <colorScale>
        <cfvo type="min"/>
        <cfvo type="max"/>
        <color rgb="FFFCFCFF"/>
        <color rgb="FFF8696B"/>
      </colorScale>
    </cfRule>
  </conditionalFormatting>
  <conditionalFormatting sqref="AS147">
    <cfRule type="colorScale" priority="6502">
      <colorScale>
        <cfvo type="min"/>
        <cfvo type="percentile" val="50"/>
        <cfvo type="max"/>
        <color rgb="FFF8696B"/>
        <color rgb="FFFFEB84"/>
        <color rgb="FF63BE7B"/>
      </colorScale>
    </cfRule>
  </conditionalFormatting>
  <conditionalFormatting sqref="AS147">
    <cfRule type="colorScale" priority="6501">
      <colorScale>
        <cfvo type="min"/>
        <cfvo type="percentile" val="50"/>
        <cfvo type="max"/>
        <color rgb="FFF8696B"/>
        <color rgb="FFFFEB84"/>
        <color rgb="FF63BE7B"/>
      </colorScale>
    </cfRule>
  </conditionalFormatting>
  <conditionalFormatting sqref="AS147">
    <cfRule type="colorScale" priority="6500">
      <colorScale>
        <cfvo type="min"/>
        <cfvo type="percentile" val="50"/>
        <cfvo type="max"/>
        <color rgb="FF63BE7B"/>
        <color rgb="FFFFEB84"/>
        <color rgb="FFF8696B"/>
      </colorScale>
    </cfRule>
  </conditionalFormatting>
  <conditionalFormatting sqref="AS147">
    <cfRule type="colorScale" priority="6497">
      <colorScale>
        <cfvo type="min"/>
        <cfvo type="max"/>
        <color rgb="FFFCFCFF"/>
        <color rgb="FFF8696B"/>
      </colorScale>
    </cfRule>
    <cfRule type="colorScale" priority="6499">
      <colorScale>
        <cfvo type="min"/>
        <cfvo type="percentile" val="50"/>
        <cfvo type="max"/>
        <color rgb="FF63BE7B"/>
        <color rgb="FFFFEB84"/>
        <color rgb="FFF8696B"/>
      </colorScale>
    </cfRule>
  </conditionalFormatting>
  <conditionalFormatting sqref="AS147">
    <cfRule type="colorScale" priority="6498">
      <colorScale>
        <cfvo type="min"/>
        <cfvo type="max"/>
        <color rgb="FFF8696B"/>
        <color rgb="FFFCFCFF"/>
      </colorScale>
    </cfRule>
  </conditionalFormatting>
  <conditionalFormatting sqref="AS147">
    <cfRule type="colorScale" priority="6496">
      <colorScale>
        <cfvo type="min"/>
        <cfvo type="max"/>
        <color rgb="FFFCFCFF"/>
        <color rgb="FFF8696B"/>
      </colorScale>
    </cfRule>
  </conditionalFormatting>
  <conditionalFormatting sqref="AS190">
    <cfRule type="colorScale" priority="6495">
      <colorScale>
        <cfvo type="min"/>
        <cfvo type="percentile" val="50"/>
        <cfvo type="max"/>
        <color rgb="FFF8696B"/>
        <color rgb="FFFFEB84"/>
        <color rgb="FF63BE7B"/>
      </colorScale>
    </cfRule>
  </conditionalFormatting>
  <conditionalFormatting sqref="AS190">
    <cfRule type="colorScale" priority="6494">
      <colorScale>
        <cfvo type="min"/>
        <cfvo type="percentile" val="50"/>
        <cfvo type="max"/>
        <color rgb="FFF8696B"/>
        <color rgb="FFFFEB84"/>
        <color rgb="FF63BE7B"/>
      </colorScale>
    </cfRule>
  </conditionalFormatting>
  <conditionalFormatting sqref="AS190">
    <cfRule type="colorScale" priority="6493">
      <colorScale>
        <cfvo type="min"/>
        <cfvo type="percentile" val="50"/>
        <cfvo type="max"/>
        <color rgb="FF63BE7B"/>
        <color rgb="FFFFEB84"/>
        <color rgb="FFF8696B"/>
      </colorScale>
    </cfRule>
  </conditionalFormatting>
  <conditionalFormatting sqref="AS190">
    <cfRule type="colorScale" priority="6490">
      <colorScale>
        <cfvo type="min"/>
        <cfvo type="max"/>
        <color rgb="FFFCFCFF"/>
        <color rgb="FFF8696B"/>
      </colorScale>
    </cfRule>
    <cfRule type="colorScale" priority="6492">
      <colorScale>
        <cfvo type="min"/>
        <cfvo type="percentile" val="50"/>
        <cfvo type="max"/>
        <color rgb="FF63BE7B"/>
        <color rgb="FFFFEB84"/>
        <color rgb="FFF8696B"/>
      </colorScale>
    </cfRule>
  </conditionalFormatting>
  <conditionalFormatting sqref="AS190">
    <cfRule type="colorScale" priority="6491">
      <colorScale>
        <cfvo type="min"/>
        <cfvo type="max"/>
        <color rgb="FFF8696B"/>
        <color rgb="FFFCFCFF"/>
      </colorScale>
    </cfRule>
  </conditionalFormatting>
  <conditionalFormatting sqref="AS190">
    <cfRule type="colorScale" priority="6489">
      <colorScale>
        <cfvo type="min"/>
        <cfvo type="max"/>
        <color rgb="FFFCFCFF"/>
        <color rgb="FFF8696B"/>
      </colorScale>
    </cfRule>
  </conditionalFormatting>
  <conditionalFormatting sqref="AS233">
    <cfRule type="colorScale" priority="6488">
      <colorScale>
        <cfvo type="min"/>
        <cfvo type="percentile" val="50"/>
        <cfvo type="max"/>
        <color rgb="FFF8696B"/>
        <color rgb="FFFFEB84"/>
        <color rgb="FF63BE7B"/>
      </colorScale>
    </cfRule>
  </conditionalFormatting>
  <conditionalFormatting sqref="AS233">
    <cfRule type="colorScale" priority="6487">
      <colorScale>
        <cfvo type="min"/>
        <cfvo type="percentile" val="50"/>
        <cfvo type="max"/>
        <color rgb="FFF8696B"/>
        <color rgb="FFFFEB84"/>
        <color rgb="FF63BE7B"/>
      </colorScale>
    </cfRule>
  </conditionalFormatting>
  <conditionalFormatting sqref="AS233">
    <cfRule type="colorScale" priority="6486">
      <colorScale>
        <cfvo type="min"/>
        <cfvo type="percentile" val="50"/>
        <cfvo type="max"/>
        <color rgb="FF63BE7B"/>
        <color rgb="FFFFEB84"/>
        <color rgb="FFF8696B"/>
      </colorScale>
    </cfRule>
  </conditionalFormatting>
  <conditionalFormatting sqref="AS233">
    <cfRule type="colorScale" priority="6483">
      <colorScale>
        <cfvo type="min"/>
        <cfvo type="max"/>
        <color rgb="FFFCFCFF"/>
        <color rgb="FFF8696B"/>
      </colorScale>
    </cfRule>
    <cfRule type="colorScale" priority="6485">
      <colorScale>
        <cfvo type="min"/>
        <cfvo type="percentile" val="50"/>
        <cfvo type="max"/>
        <color rgb="FF63BE7B"/>
        <color rgb="FFFFEB84"/>
        <color rgb="FFF8696B"/>
      </colorScale>
    </cfRule>
  </conditionalFormatting>
  <conditionalFormatting sqref="AS233">
    <cfRule type="colorScale" priority="6484">
      <colorScale>
        <cfvo type="min"/>
        <cfvo type="max"/>
        <color rgb="FFF8696B"/>
        <color rgb="FFFCFCFF"/>
      </colorScale>
    </cfRule>
  </conditionalFormatting>
  <conditionalFormatting sqref="AS233">
    <cfRule type="colorScale" priority="6482">
      <colorScale>
        <cfvo type="min"/>
        <cfvo type="max"/>
        <color rgb="FFFCFCFF"/>
        <color rgb="FFF8696B"/>
      </colorScale>
    </cfRule>
  </conditionalFormatting>
  <conditionalFormatting sqref="AU190">
    <cfRule type="colorScale" priority="6481">
      <colorScale>
        <cfvo type="min"/>
        <cfvo type="percentile" val="50"/>
        <cfvo type="max"/>
        <color rgb="FFF8696B"/>
        <color rgb="FFFFEB84"/>
        <color rgb="FF63BE7B"/>
      </colorScale>
    </cfRule>
  </conditionalFormatting>
  <conditionalFormatting sqref="AU190">
    <cfRule type="colorScale" priority="6480">
      <colorScale>
        <cfvo type="min"/>
        <cfvo type="percentile" val="50"/>
        <cfvo type="max"/>
        <color rgb="FFF8696B"/>
        <color rgb="FFFFEB84"/>
        <color rgb="FF63BE7B"/>
      </colorScale>
    </cfRule>
  </conditionalFormatting>
  <conditionalFormatting sqref="AU190">
    <cfRule type="colorScale" priority="6479">
      <colorScale>
        <cfvo type="min"/>
        <cfvo type="percentile" val="50"/>
        <cfvo type="max"/>
        <color rgb="FF63BE7B"/>
        <color rgb="FFFFEB84"/>
        <color rgb="FFF8696B"/>
      </colorScale>
    </cfRule>
  </conditionalFormatting>
  <conditionalFormatting sqref="AU190">
    <cfRule type="colorScale" priority="6476">
      <colorScale>
        <cfvo type="min"/>
        <cfvo type="max"/>
        <color rgb="FFFCFCFF"/>
        <color rgb="FFF8696B"/>
      </colorScale>
    </cfRule>
    <cfRule type="colorScale" priority="6478">
      <colorScale>
        <cfvo type="min"/>
        <cfvo type="percentile" val="50"/>
        <cfvo type="max"/>
        <color rgb="FF63BE7B"/>
        <color rgb="FFFFEB84"/>
        <color rgb="FFF8696B"/>
      </colorScale>
    </cfRule>
  </conditionalFormatting>
  <conditionalFormatting sqref="AU190">
    <cfRule type="colorScale" priority="6477">
      <colorScale>
        <cfvo type="min"/>
        <cfvo type="max"/>
        <color rgb="FFF8696B"/>
        <color rgb="FFFCFCFF"/>
      </colorScale>
    </cfRule>
  </conditionalFormatting>
  <conditionalFormatting sqref="AU190">
    <cfRule type="colorScale" priority="6475">
      <colorScale>
        <cfvo type="min"/>
        <cfvo type="max"/>
        <color rgb="FFFCFCFF"/>
        <color rgb="FFF8696B"/>
      </colorScale>
    </cfRule>
  </conditionalFormatting>
  <conditionalFormatting sqref="AU147">
    <cfRule type="colorScale" priority="6474">
      <colorScale>
        <cfvo type="min"/>
        <cfvo type="percentile" val="50"/>
        <cfvo type="max"/>
        <color rgb="FFF8696B"/>
        <color rgb="FFFFEB84"/>
        <color rgb="FF63BE7B"/>
      </colorScale>
    </cfRule>
  </conditionalFormatting>
  <conditionalFormatting sqref="AU147">
    <cfRule type="colorScale" priority="6473">
      <colorScale>
        <cfvo type="min"/>
        <cfvo type="percentile" val="50"/>
        <cfvo type="max"/>
        <color rgb="FFF8696B"/>
        <color rgb="FFFFEB84"/>
        <color rgb="FF63BE7B"/>
      </colorScale>
    </cfRule>
  </conditionalFormatting>
  <conditionalFormatting sqref="AU147">
    <cfRule type="colorScale" priority="6472">
      <colorScale>
        <cfvo type="min"/>
        <cfvo type="percentile" val="50"/>
        <cfvo type="max"/>
        <color rgb="FF63BE7B"/>
        <color rgb="FFFFEB84"/>
        <color rgb="FFF8696B"/>
      </colorScale>
    </cfRule>
  </conditionalFormatting>
  <conditionalFormatting sqref="AU147">
    <cfRule type="colorScale" priority="6469">
      <colorScale>
        <cfvo type="min"/>
        <cfvo type="max"/>
        <color rgb="FFFCFCFF"/>
        <color rgb="FFF8696B"/>
      </colorScale>
    </cfRule>
    <cfRule type="colorScale" priority="6471">
      <colorScale>
        <cfvo type="min"/>
        <cfvo type="percentile" val="50"/>
        <cfvo type="max"/>
        <color rgb="FF63BE7B"/>
        <color rgb="FFFFEB84"/>
        <color rgb="FFF8696B"/>
      </colorScale>
    </cfRule>
  </conditionalFormatting>
  <conditionalFormatting sqref="AU147">
    <cfRule type="colorScale" priority="6470">
      <colorScale>
        <cfvo type="min"/>
        <cfvo type="max"/>
        <color rgb="FFF8696B"/>
        <color rgb="FFFCFCFF"/>
      </colorScale>
    </cfRule>
  </conditionalFormatting>
  <conditionalFormatting sqref="AU147">
    <cfRule type="colorScale" priority="6468">
      <colorScale>
        <cfvo type="min"/>
        <cfvo type="max"/>
        <color rgb="FFFCFCFF"/>
        <color rgb="FFF8696B"/>
      </colorScale>
    </cfRule>
  </conditionalFormatting>
  <conditionalFormatting sqref="AU104">
    <cfRule type="colorScale" priority="6467">
      <colorScale>
        <cfvo type="min"/>
        <cfvo type="percentile" val="50"/>
        <cfvo type="max"/>
        <color rgb="FFF8696B"/>
        <color rgb="FFFFEB84"/>
        <color rgb="FF63BE7B"/>
      </colorScale>
    </cfRule>
  </conditionalFormatting>
  <conditionalFormatting sqref="AU104">
    <cfRule type="colorScale" priority="6466">
      <colorScale>
        <cfvo type="min"/>
        <cfvo type="percentile" val="50"/>
        <cfvo type="max"/>
        <color rgb="FFF8696B"/>
        <color rgb="FFFFEB84"/>
        <color rgb="FF63BE7B"/>
      </colorScale>
    </cfRule>
  </conditionalFormatting>
  <conditionalFormatting sqref="AU104">
    <cfRule type="colorScale" priority="6465">
      <colorScale>
        <cfvo type="min"/>
        <cfvo type="percentile" val="50"/>
        <cfvo type="max"/>
        <color rgb="FF63BE7B"/>
        <color rgb="FFFFEB84"/>
        <color rgb="FFF8696B"/>
      </colorScale>
    </cfRule>
  </conditionalFormatting>
  <conditionalFormatting sqref="AU104">
    <cfRule type="colorScale" priority="6462">
      <colorScale>
        <cfvo type="min"/>
        <cfvo type="max"/>
        <color rgb="FFFCFCFF"/>
        <color rgb="FFF8696B"/>
      </colorScale>
    </cfRule>
    <cfRule type="colorScale" priority="6464">
      <colorScale>
        <cfvo type="min"/>
        <cfvo type="percentile" val="50"/>
        <cfvo type="max"/>
        <color rgb="FF63BE7B"/>
        <color rgb="FFFFEB84"/>
        <color rgb="FFF8696B"/>
      </colorScale>
    </cfRule>
  </conditionalFormatting>
  <conditionalFormatting sqref="AU104">
    <cfRule type="colorScale" priority="6463">
      <colorScale>
        <cfvo type="min"/>
        <cfvo type="max"/>
        <color rgb="FFF8696B"/>
        <color rgb="FFFCFCFF"/>
      </colorScale>
    </cfRule>
  </conditionalFormatting>
  <conditionalFormatting sqref="AU104">
    <cfRule type="colorScale" priority="6461">
      <colorScale>
        <cfvo type="min"/>
        <cfvo type="max"/>
        <color rgb="FFFCFCFF"/>
        <color rgb="FFF8696B"/>
      </colorScale>
    </cfRule>
  </conditionalFormatting>
  <conditionalFormatting sqref="AU18">
    <cfRule type="colorScale" priority="6460">
      <colorScale>
        <cfvo type="min"/>
        <cfvo type="percentile" val="50"/>
        <cfvo type="max"/>
        <color rgb="FFF8696B"/>
        <color rgb="FFFFEB84"/>
        <color rgb="FF63BE7B"/>
      </colorScale>
    </cfRule>
  </conditionalFormatting>
  <conditionalFormatting sqref="AU18">
    <cfRule type="colorScale" priority="6459">
      <colorScale>
        <cfvo type="min"/>
        <cfvo type="percentile" val="50"/>
        <cfvo type="max"/>
        <color rgb="FFF8696B"/>
        <color rgb="FFFFEB84"/>
        <color rgb="FF63BE7B"/>
      </colorScale>
    </cfRule>
  </conditionalFormatting>
  <conditionalFormatting sqref="AU18">
    <cfRule type="colorScale" priority="6458">
      <colorScale>
        <cfvo type="min"/>
        <cfvo type="percentile" val="50"/>
        <cfvo type="max"/>
        <color rgb="FF63BE7B"/>
        <color rgb="FFFFEB84"/>
        <color rgb="FFF8696B"/>
      </colorScale>
    </cfRule>
  </conditionalFormatting>
  <conditionalFormatting sqref="AU18">
    <cfRule type="colorScale" priority="6455">
      <colorScale>
        <cfvo type="min"/>
        <cfvo type="max"/>
        <color rgb="FFFCFCFF"/>
        <color rgb="FFF8696B"/>
      </colorScale>
    </cfRule>
    <cfRule type="colorScale" priority="6457">
      <colorScale>
        <cfvo type="min"/>
        <cfvo type="percentile" val="50"/>
        <cfvo type="max"/>
        <color rgb="FF63BE7B"/>
        <color rgb="FFFFEB84"/>
        <color rgb="FFF8696B"/>
      </colorScale>
    </cfRule>
  </conditionalFormatting>
  <conditionalFormatting sqref="AU18">
    <cfRule type="colorScale" priority="6456">
      <colorScale>
        <cfvo type="min"/>
        <cfvo type="max"/>
        <color rgb="FFF8696B"/>
        <color rgb="FFFCFCFF"/>
      </colorScale>
    </cfRule>
  </conditionalFormatting>
  <conditionalFormatting sqref="AU18">
    <cfRule type="colorScale" priority="6454">
      <colorScale>
        <cfvo type="min"/>
        <cfvo type="max"/>
        <color rgb="FFFCFCFF"/>
        <color rgb="FFF8696B"/>
      </colorScale>
    </cfRule>
  </conditionalFormatting>
  <conditionalFormatting sqref="S99 U99 W99 Y99 AA99">
    <cfRule type="colorScale" priority="6453">
      <colorScale>
        <cfvo type="min"/>
        <cfvo type="percentile" val="50"/>
        <cfvo type="max"/>
        <color rgb="FFF8696B"/>
        <color rgb="FFFFEB84"/>
        <color rgb="FF63BE7B"/>
      </colorScale>
    </cfRule>
  </conditionalFormatting>
  <conditionalFormatting sqref="S99">
    <cfRule type="colorScale" priority="6452">
      <colorScale>
        <cfvo type="min"/>
        <cfvo type="percentile" val="50"/>
        <cfvo type="max"/>
        <color rgb="FFF8696B"/>
        <color rgb="FFFFEB84"/>
        <color rgb="FF63BE7B"/>
      </colorScale>
    </cfRule>
  </conditionalFormatting>
  <conditionalFormatting sqref="S99 U99 W99 Y99 AA99">
    <cfRule type="colorScale" priority="6451">
      <colorScale>
        <cfvo type="min"/>
        <cfvo type="percentile" val="50"/>
        <cfvo type="max"/>
        <color rgb="FF63BE7B"/>
        <color rgb="FFFFEB84"/>
        <color rgb="FFF8696B"/>
      </colorScale>
    </cfRule>
  </conditionalFormatting>
  <conditionalFormatting sqref="S99 U99 W99 Y99 AA99">
    <cfRule type="colorScale" priority="6448">
      <colorScale>
        <cfvo type="min"/>
        <cfvo type="max"/>
        <color rgb="FFFCFCFF"/>
        <color rgb="FFF8696B"/>
      </colorScale>
    </cfRule>
    <cfRule type="colorScale" priority="6450">
      <colorScale>
        <cfvo type="min"/>
        <cfvo type="percentile" val="50"/>
        <cfvo type="max"/>
        <color rgb="FF63BE7B"/>
        <color rgb="FFFFEB84"/>
        <color rgb="FFF8696B"/>
      </colorScale>
    </cfRule>
  </conditionalFormatting>
  <conditionalFormatting sqref="S99 U99 W99 Y99 AA99">
    <cfRule type="colorScale" priority="6449">
      <colorScale>
        <cfvo type="min"/>
        <cfvo type="max"/>
        <color rgb="FFF8696B"/>
        <color rgb="FFFCFCFF"/>
      </colorScale>
    </cfRule>
  </conditionalFormatting>
  <conditionalFormatting sqref="S99 U99 W99 Y99 AA99">
    <cfRule type="colorScale" priority="6447">
      <colorScale>
        <cfvo type="min"/>
        <cfvo type="max"/>
        <color rgb="FFFCFCFF"/>
        <color rgb="FFF8696B"/>
      </colorScale>
    </cfRule>
  </conditionalFormatting>
  <conditionalFormatting sqref="AC99">
    <cfRule type="colorScale" priority="6446">
      <colorScale>
        <cfvo type="min"/>
        <cfvo type="percentile" val="50"/>
        <cfvo type="max"/>
        <color rgb="FFF8696B"/>
        <color rgb="FFFFEB84"/>
        <color rgb="FF63BE7B"/>
      </colorScale>
    </cfRule>
  </conditionalFormatting>
  <conditionalFormatting sqref="AC99">
    <cfRule type="colorScale" priority="6445">
      <colorScale>
        <cfvo type="min"/>
        <cfvo type="percentile" val="50"/>
        <cfvo type="max"/>
        <color rgb="FFF8696B"/>
        <color rgb="FFFFEB84"/>
        <color rgb="FF63BE7B"/>
      </colorScale>
    </cfRule>
  </conditionalFormatting>
  <conditionalFormatting sqref="AC99">
    <cfRule type="colorScale" priority="6444">
      <colorScale>
        <cfvo type="min"/>
        <cfvo type="percentile" val="50"/>
        <cfvo type="max"/>
        <color rgb="FF63BE7B"/>
        <color rgb="FFFFEB84"/>
        <color rgb="FFF8696B"/>
      </colorScale>
    </cfRule>
  </conditionalFormatting>
  <conditionalFormatting sqref="AC99">
    <cfRule type="colorScale" priority="6441">
      <colorScale>
        <cfvo type="min"/>
        <cfvo type="max"/>
        <color rgb="FFFCFCFF"/>
        <color rgb="FFF8696B"/>
      </colorScale>
    </cfRule>
    <cfRule type="colorScale" priority="6443">
      <colorScale>
        <cfvo type="min"/>
        <cfvo type="percentile" val="50"/>
        <cfvo type="max"/>
        <color rgb="FF63BE7B"/>
        <color rgb="FFFFEB84"/>
        <color rgb="FFF8696B"/>
      </colorScale>
    </cfRule>
  </conditionalFormatting>
  <conditionalFormatting sqref="AC99">
    <cfRule type="colorScale" priority="6442">
      <colorScale>
        <cfvo type="min"/>
        <cfvo type="max"/>
        <color rgb="FFF8696B"/>
        <color rgb="FFFCFCFF"/>
      </colorScale>
    </cfRule>
  </conditionalFormatting>
  <conditionalFormatting sqref="AC99">
    <cfRule type="colorScale" priority="6440">
      <colorScale>
        <cfvo type="min"/>
        <cfvo type="max"/>
        <color rgb="FFFCFCFF"/>
        <color rgb="FFF8696B"/>
      </colorScale>
    </cfRule>
  </conditionalFormatting>
  <conditionalFormatting sqref="AE99">
    <cfRule type="colorScale" priority="6439">
      <colorScale>
        <cfvo type="min"/>
        <cfvo type="percentile" val="50"/>
        <cfvo type="max"/>
        <color rgb="FFF8696B"/>
        <color rgb="FFFFEB84"/>
        <color rgb="FF63BE7B"/>
      </colorScale>
    </cfRule>
  </conditionalFormatting>
  <conditionalFormatting sqref="AE99">
    <cfRule type="colorScale" priority="6438">
      <colorScale>
        <cfvo type="min"/>
        <cfvo type="percentile" val="50"/>
        <cfvo type="max"/>
        <color rgb="FFF8696B"/>
        <color rgb="FFFFEB84"/>
        <color rgb="FF63BE7B"/>
      </colorScale>
    </cfRule>
  </conditionalFormatting>
  <conditionalFormatting sqref="AE99">
    <cfRule type="colorScale" priority="6437">
      <colorScale>
        <cfvo type="min"/>
        <cfvo type="percentile" val="50"/>
        <cfvo type="max"/>
        <color rgb="FF63BE7B"/>
        <color rgb="FFFFEB84"/>
        <color rgb="FFF8696B"/>
      </colorScale>
    </cfRule>
  </conditionalFormatting>
  <conditionalFormatting sqref="AE99">
    <cfRule type="colorScale" priority="6434">
      <colorScale>
        <cfvo type="min"/>
        <cfvo type="max"/>
        <color rgb="FFFCFCFF"/>
        <color rgb="FFF8696B"/>
      </colorScale>
    </cfRule>
    <cfRule type="colorScale" priority="6436">
      <colorScale>
        <cfvo type="min"/>
        <cfvo type="percentile" val="50"/>
        <cfvo type="max"/>
        <color rgb="FF63BE7B"/>
        <color rgb="FFFFEB84"/>
        <color rgb="FFF8696B"/>
      </colorScale>
    </cfRule>
  </conditionalFormatting>
  <conditionalFormatting sqref="AE99">
    <cfRule type="colorScale" priority="6435">
      <colorScale>
        <cfvo type="min"/>
        <cfvo type="max"/>
        <color rgb="FFF8696B"/>
        <color rgb="FFFCFCFF"/>
      </colorScale>
    </cfRule>
  </conditionalFormatting>
  <conditionalFormatting sqref="AE99">
    <cfRule type="colorScale" priority="6433">
      <colorScale>
        <cfvo type="min"/>
        <cfvo type="max"/>
        <color rgb="FFFCFCFF"/>
        <color rgb="FFF8696B"/>
      </colorScale>
    </cfRule>
  </conditionalFormatting>
  <conditionalFormatting sqref="S142 U142 W142 Y142 AA142">
    <cfRule type="colorScale" priority="6432">
      <colorScale>
        <cfvo type="min"/>
        <cfvo type="percentile" val="50"/>
        <cfvo type="max"/>
        <color rgb="FFF8696B"/>
        <color rgb="FFFFEB84"/>
        <color rgb="FF63BE7B"/>
      </colorScale>
    </cfRule>
  </conditionalFormatting>
  <conditionalFormatting sqref="S142">
    <cfRule type="colorScale" priority="6431">
      <colorScale>
        <cfvo type="min"/>
        <cfvo type="percentile" val="50"/>
        <cfvo type="max"/>
        <color rgb="FFF8696B"/>
        <color rgb="FFFFEB84"/>
        <color rgb="FF63BE7B"/>
      </colorScale>
    </cfRule>
  </conditionalFormatting>
  <conditionalFormatting sqref="S142 U142 W142 Y142 AA142">
    <cfRule type="colorScale" priority="6430">
      <colorScale>
        <cfvo type="min"/>
        <cfvo type="percentile" val="50"/>
        <cfvo type="max"/>
        <color rgb="FF63BE7B"/>
        <color rgb="FFFFEB84"/>
        <color rgb="FFF8696B"/>
      </colorScale>
    </cfRule>
  </conditionalFormatting>
  <conditionalFormatting sqref="S142 U142 W142 Y142 AA142">
    <cfRule type="colorScale" priority="6427">
      <colorScale>
        <cfvo type="min"/>
        <cfvo type="max"/>
        <color rgb="FFFCFCFF"/>
        <color rgb="FFF8696B"/>
      </colorScale>
    </cfRule>
    <cfRule type="colorScale" priority="6429">
      <colorScale>
        <cfvo type="min"/>
        <cfvo type="percentile" val="50"/>
        <cfvo type="max"/>
        <color rgb="FF63BE7B"/>
        <color rgb="FFFFEB84"/>
        <color rgb="FFF8696B"/>
      </colorScale>
    </cfRule>
  </conditionalFormatting>
  <conditionalFormatting sqref="S142 U142 W142 Y142 AA142">
    <cfRule type="colorScale" priority="6428">
      <colorScale>
        <cfvo type="min"/>
        <cfvo type="max"/>
        <color rgb="FFF8696B"/>
        <color rgb="FFFCFCFF"/>
      </colorScale>
    </cfRule>
  </conditionalFormatting>
  <conditionalFormatting sqref="S142 U142 W142 Y142 AA142">
    <cfRule type="colorScale" priority="6426">
      <colorScale>
        <cfvo type="min"/>
        <cfvo type="max"/>
        <color rgb="FFFCFCFF"/>
        <color rgb="FFF8696B"/>
      </colorScale>
    </cfRule>
  </conditionalFormatting>
  <conditionalFormatting sqref="AC142">
    <cfRule type="colorScale" priority="6425">
      <colorScale>
        <cfvo type="min"/>
        <cfvo type="percentile" val="50"/>
        <cfvo type="max"/>
        <color rgb="FFF8696B"/>
        <color rgb="FFFFEB84"/>
        <color rgb="FF63BE7B"/>
      </colorScale>
    </cfRule>
  </conditionalFormatting>
  <conditionalFormatting sqref="AC142">
    <cfRule type="colorScale" priority="6424">
      <colorScale>
        <cfvo type="min"/>
        <cfvo type="percentile" val="50"/>
        <cfvo type="max"/>
        <color rgb="FFF8696B"/>
        <color rgb="FFFFEB84"/>
        <color rgb="FF63BE7B"/>
      </colorScale>
    </cfRule>
  </conditionalFormatting>
  <conditionalFormatting sqref="AC142">
    <cfRule type="colorScale" priority="6423">
      <colorScale>
        <cfvo type="min"/>
        <cfvo type="percentile" val="50"/>
        <cfvo type="max"/>
        <color rgb="FF63BE7B"/>
        <color rgb="FFFFEB84"/>
        <color rgb="FFF8696B"/>
      </colorScale>
    </cfRule>
  </conditionalFormatting>
  <conditionalFormatting sqref="AC142">
    <cfRule type="colorScale" priority="6420">
      <colorScale>
        <cfvo type="min"/>
        <cfvo type="max"/>
        <color rgb="FFFCFCFF"/>
        <color rgb="FFF8696B"/>
      </colorScale>
    </cfRule>
    <cfRule type="colorScale" priority="6422">
      <colorScale>
        <cfvo type="min"/>
        <cfvo type="percentile" val="50"/>
        <cfvo type="max"/>
        <color rgb="FF63BE7B"/>
        <color rgb="FFFFEB84"/>
        <color rgb="FFF8696B"/>
      </colorScale>
    </cfRule>
  </conditionalFormatting>
  <conditionalFormatting sqref="AC142">
    <cfRule type="colorScale" priority="6421">
      <colorScale>
        <cfvo type="min"/>
        <cfvo type="max"/>
        <color rgb="FFF8696B"/>
        <color rgb="FFFCFCFF"/>
      </colorScale>
    </cfRule>
  </conditionalFormatting>
  <conditionalFormatting sqref="AC142">
    <cfRule type="colorScale" priority="6419">
      <colorScale>
        <cfvo type="min"/>
        <cfvo type="max"/>
        <color rgb="FFFCFCFF"/>
        <color rgb="FFF8696B"/>
      </colorScale>
    </cfRule>
  </conditionalFormatting>
  <conditionalFormatting sqref="AE142">
    <cfRule type="colorScale" priority="6418">
      <colorScale>
        <cfvo type="min"/>
        <cfvo type="percentile" val="50"/>
        <cfvo type="max"/>
        <color rgb="FFF8696B"/>
        <color rgb="FFFFEB84"/>
        <color rgb="FF63BE7B"/>
      </colorScale>
    </cfRule>
  </conditionalFormatting>
  <conditionalFormatting sqref="AE142">
    <cfRule type="colorScale" priority="6417">
      <colorScale>
        <cfvo type="min"/>
        <cfvo type="percentile" val="50"/>
        <cfvo type="max"/>
        <color rgb="FFF8696B"/>
        <color rgb="FFFFEB84"/>
        <color rgb="FF63BE7B"/>
      </colorScale>
    </cfRule>
  </conditionalFormatting>
  <conditionalFormatting sqref="AE142">
    <cfRule type="colorScale" priority="6416">
      <colorScale>
        <cfvo type="min"/>
        <cfvo type="percentile" val="50"/>
        <cfvo type="max"/>
        <color rgb="FF63BE7B"/>
        <color rgb="FFFFEB84"/>
        <color rgb="FFF8696B"/>
      </colorScale>
    </cfRule>
  </conditionalFormatting>
  <conditionalFormatting sqref="AE142">
    <cfRule type="colorScale" priority="6413">
      <colorScale>
        <cfvo type="min"/>
        <cfvo type="max"/>
        <color rgb="FFFCFCFF"/>
        <color rgb="FFF8696B"/>
      </colorScale>
    </cfRule>
    <cfRule type="colorScale" priority="6415">
      <colorScale>
        <cfvo type="min"/>
        <cfvo type="percentile" val="50"/>
        <cfvo type="max"/>
        <color rgb="FF63BE7B"/>
        <color rgb="FFFFEB84"/>
        <color rgb="FFF8696B"/>
      </colorScale>
    </cfRule>
  </conditionalFormatting>
  <conditionalFormatting sqref="AE142">
    <cfRule type="colorScale" priority="6414">
      <colorScale>
        <cfvo type="min"/>
        <cfvo type="max"/>
        <color rgb="FFF8696B"/>
        <color rgb="FFFCFCFF"/>
      </colorScale>
    </cfRule>
  </conditionalFormatting>
  <conditionalFormatting sqref="AE142">
    <cfRule type="colorScale" priority="6412">
      <colorScale>
        <cfvo type="min"/>
        <cfvo type="max"/>
        <color rgb="FFFCFCFF"/>
        <color rgb="FFF8696B"/>
      </colorScale>
    </cfRule>
  </conditionalFormatting>
  <conditionalFormatting sqref="E142 C142 G142 I142 K142">
    <cfRule type="colorScale" priority="6411">
      <colorScale>
        <cfvo type="min"/>
        <cfvo type="percentile" val="50"/>
        <cfvo type="max"/>
        <color rgb="FFF8696B"/>
        <color rgb="FFFFEB84"/>
        <color rgb="FF63BE7B"/>
      </colorScale>
    </cfRule>
  </conditionalFormatting>
  <conditionalFormatting sqref="C142">
    <cfRule type="colorScale" priority="6410">
      <colorScale>
        <cfvo type="min"/>
        <cfvo type="percentile" val="50"/>
        <cfvo type="max"/>
        <color rgb="FFF8696B"/>
        <color rgb="FFFFEB84"/>
        <color rgb="FF63BE7B"/>
      </colorScale>
    </cfRule>
  </conditionalFormatting>
  <conditionalFormatting sqref="C142 E142 G142 I142 K142">
    <cfRule type="colorScale" priority="6409">
      <colorScale>
        <cfvo type="min"/>
        <cfvo type="percentile" val="50"/>
        <cfvo type="max"/>
        <color rgb="FF63BE7B"/>
        <color rgb="FFFFEB84"/>
        <color rgb="FFF8696B"/>
      </colorScale>
    </cfRule>
  </conditionalFormatting>
  <conditionalFormatting sqref="C142 E142 G142 I142 K142">
    <cfRule type="colorScale" priority="6406">
      <colorScale>
        <cfvo type="min"/>
        <cfvo type="max"/>
        <color rgb="FFFCFCFF"/>
        <color rgb="FFF8696B"/>
      </colorScale>
    </cfRule>
    <cfRule type="colorScale" priority="6408">
      <colorScale>
        <cfvo type="min"/>
        <cfvo type="percentile" val="50"/>
        <cfvo type="max"/>
        <color rgb="FF63BE7B"/>
        <color rgb="FFFFEB84"/>
        <color rgb="FFF8696B"/>
      </colorScale>
    </cfRule>
  </conditionalFormatting>
  <conditionalFormatting sqref="C142 E142 G142 I142 K142">
    <cfRule type="colorScale" priority="6407">
      <colorScale>
        <cfvo type="min"/>
        <cfvo type="max"/>
        <color rgb="FFF8696B"/>
        <color rgb="FFFCFCFF"/>
      </colorScale>
    </cfRule>
  </conditionalFormatting>
  <conditionalFormatting sqref="C142 E142 G142 I142 K142">
    <cfRule type="colorScale" priority="6405">
      <colorScale>
        <cfvo type="min"/>
        <cfvo type="max"/>
        <color rgb="FFFCFCFF"/>
        <color rgb="FFF8696B"/>
      </colorScale>
    </cfRule>
  </conditionalFormatting>
  <conditionalFormatting sqref="M142">
    <cfRule type="colorScale" priority="6404">
      <colorScale>
        <cfvo type="min"/>
        <cfvo type="percentile" val="50"/>
        <cfvo type="max"/>
        <color rgb="FFF8696B"/>
        <color rgb="FFFFEB84"/>
        <color rgb="FF63BE7B"/>
      </colorScale>
    </cfRule>
  </conditionalFormatting>
  <conditionalFormatting sqref="M142">
    <cfRule type="colorScale" priority="6403">
      <colorScale>
        <cfvo type="min"/>
        <cfvo type="percentile" val="50"/>
        <cfvo type="max"/>
        <color rgb="FFF8696B"/>
        <color rgb="FFFFEB84"/>
        <color rgb="FF63BE7B"/>
      </colorScale>
    </cfRule>
  </conditionalFormatting>
  <conditionalFormatting sqref="M142">
    <cfRule type="colorScale" priority="6402">
      <colorScale>
        <cfvo type="min"/>
        <cfvo type="percentile" val="50"/>
        <cfvo type="max"/>
        <color rgb="FF63BE7B"/>
        <color rgb="FFFFEB84"/>
        <color rgb="FFF8696B"/>
      </colorScale>
    </cfRule>
  </conditionalFormatting>
  <conditionalFormatting sqref="M142">
    <cfRule type="colorScale" priority="6399">
      <colorScale>
        <cfvo type="min"/>
        <cfvo type="max"/>
        <color rgb="FFFCFCFF"/>
        <color rgb="FFF8696B"/>
      </colorScale>
    </cfRule>
    <cfRule type="colorScale" priority="6401">
      <colorScale>
        <cfvo type="min"/>
        <cfvo type="percentile" val="50"/>
        <cfvo type="max"/>
        <color rgb="FF63BE7B"/>
        <color rgb="FFFFEB84"/>
        <color rgb="FFF8696B"/>
      </colorScale>
    </cfRule>
  </conditionalFormatting>
  <conditionalFormatting sqref="M142">
    <cfRule type="colorScale" priority="6400">
      <colorScale>
        <cfvo type="min"/>
        <cfvo type="max"/>
        <color rgb="FFF8696B"/>
        <color rgb="FFFCFCFF"/>
      </colorScale>
    </cfRule>
  </conditionalFormatting>
  <conditionalFormatting sqref="M142">
    <cfRule type="colorScale" priority="6398">
      <colorScale>
        <cfvo type="min"/>
        <cfvo type="max"/>
        <color rgb="FFFCFCFF"/>
        <color rgb="FFF8696B"/>
      </colorScale>
    </cfRule>
  </conditionalFormatting>
  <conditionalFormatting sqref="O142">
    <cfRule type="colorScale" priority="6397">
      <colorScale>
        <cfvo type="min"/>
        <cfvo type="percentile" val="50"/>
        <cfvo type="max"/>
        <color rgb="FFF8696B"/>
        <color rgb="FFFFEB84"/>
        <color rgb="FF63BE7B"/>
      </colorScale>
    </cfRule>
  </conditionalFormatting>
  <conditionalFormatting sqref="O142">
    <cfRule type="colorScale" priority="6396">
      <colorScale>
        <cfvo type="min"/>
        <cfvo type="percentile" val="50"/>
        <cfvo type="max"/>
        <color rgb="FFF8696B"/>
        <color rgb="FFFFEB84"/>
        <color rgb="FF63BE7B"/>
      </colorScale>
    </cfRule>
  </conditionalFormatting>
  <conditionalFormatting sqref="O142">
    <cfRule type="colorScale" priority="6395">
      <colorScale>
        <cfvo type="min"/>
        <cfvo type="percentile" val="50"/>
        <cfvo type="max"/>
        <color rgb="FF63BE7B"/>
        <color rgb="FFFFEB84"/>
        <color rgb="FFF8696B"/>
      </colorScale>
    </cfRule>
  </conditionalFormatting>
  <conditionalFormatting sqref="O142">
    <cfRule type="colorScale" priority="6392">
      <colorScale>
        <cfvo type="min"/>
        <cfvo type="max"/>
        <color rgb="FFFCFCFF"/>
        <color rgb="FFF8696B"/>
      </colorScale>
    </cfRule>
    <cfRule type="colorScale" priority="6394">
      <colorScale>
        <cfvo type="min"/>
        <cfvo type="percentile" val="50"/>
        <cfvo type="max"/>
        <color rgb="FF63BE7B"/>
        <color rgb="FFFFEB84"/>
        <color rgb="FFF8696B"/>
      </colorScale>
    </cfRule>
  </conditionalFormatting>
  <conditionalFormatting sqref="O142">
    <cfRule type="colorScale" priority="6393">
      <colorScale>
        <cfvo type="min"/>
        <cfvo type="max"/>
        <color rgb="FFF8696B"/>
        <color rgb="FFFCFCFF"/>
      </colorScale>
    </cfRule>
  </conditionalFormatting>
  <conditionalFormatting sqref="O142">
    <cfRule type="colorScale" priority="6391">
      <colorScale>
        <cfvo type="min"/>
        <cfvo type="max"/>
        <color rgb="FFFCFCFF"/>
        <color rgb="FFF8696B"/>
      </colorScale>
    </cfRule>
  </conditionalFormatting>
  <conditionalFormatting sqref="AI99 AK99 AM99 AO99 AQ99">
    <cfRule type="colorScale" priority="6390">
      <colorScale>
        <cfvo type="min"/>
        <cfvo type="percentile" val="50"/>
        <cfvo type="max"/>
        <color rgb="FFF8696B"/>
        <color rgb="FFFFEB84"/>
        <color rgb="FF63BE7B"/>
      </colorScale>
    </cfRule>
  </conditionalFormatting>
  <conditionalFormatting sqref="AI99">
    <cfRule type="colorScale" priority="6389">
      <colorScale>
        <cfvo type="min"/>
        <cfvo type="percentile" val="50"/>
        <cfvo type="max"/>
        <color rgb="FFF8696B"/>
        <color rgb="FFFFEB84"/>
        <color rgb="FF63BE7B"/>
      </colorScale>
    </cfRule>
  </conditionalFormatting>
  <conditionalFormatting sqref="AI99 AK99 AM99 AO99 AQ99">
    <cfRule type="colorScale" priority="6388">
      <colorScale>
        <cfvo type="min"/>
        <cfvo type="percentile" val="50"/>
        <cfvo type="max"/>
        <color rgb="FF63BE7B"/>
        <color rgb="FFFFEB84"/>
        <color rgb="FFF8696B"/>
      </colorScale>
    </cfRule>
  </conditionalFormatting>
  <conditionalFormatting sqref="AI99 AK99 AM99 AO99 AQ99">
    <cfRule type="colorScale" priority="6385">
      <colorScale>
        <cfvo type="min"/>
        <cfvo type="max"/>
        <color rgb="FFFCFCFF"/>
        <color rgb="FFF8696B"/>
      </colorScale>
    </cfRule>
    <cfRule type="colorScale" priority="6387">
      <colorScale>
        <cfvo type="min"/>
        <cfvo type="percentile" val="50"/>
        <cfvo type="max"/>
        <color rgb="FF63BE7B"/>
        <color rgb="FFFFEB84"/>
        <color rgb="FFF8696B"/>
      </colorScale>
    </cfRule>
  </conditionalFormatting>
  <conditionalFormatting sqref="AI99 AK99 AM99 AO99 AQ99">
    <cfRule type="colorScale" priority="6386">
      <colorScale>
        <cfvo type="min"/>
        <cfvo type="max"/>
        <color rgb="FFF8696B"/>
        <color rgb="FFFCFCFF"/>
      </colorScale>
    </cfRule>
  </conditionalFormatting>
  <conditionalFormatting sqref="AI99 AK99 AM99 AO99 AQ99">
    <cfRule type="colorScale" priority="6384">
      <colorScale>
        <cfvo type="min"/>
        <cfvo type="max"/>
        <color rgb="FFFCFCFF"/>
        <color rgb="FFF8696B"/>
      </colorScale>
    </cfRule>
  </conditionalFormatting>
  <conditionalFormatting sqref="AS99">
    <cfRule type="colorScale" priority="6383">
      <colorScale>
        <cfvo type="min"/>
        <cfvo type="percentile" val="50"/>
        <cfvo type="max"/>
        <color rgb="FFF8696B"/>
        <color rgb="FFFFEB84"/>
        <color rgb="FF63BE7B"/>
      </colorScale>
    </cfRule>
  </conditionalFormatting>
  <conditionalFormatting sqref="AS99">
    <cfRule type="colorScale" priority="6382">
      <colorScale>
        <cfvo type="min"/>
        <cfvo type="percentile" val="50"/>
        <cfvo type="max"/>
        <color rgb="FFF8696B"/>
        <color rgb="FFFFEB84"/>
        <color rgb="FF63BE7B"/>
      </colorScale>
    </cfRule>
  </conditionalFormatting>
  <conditionalFormatting sqref="AS99">
    <cfRule type="colorScale" priority="6381">
      <colorScale>
        <cfvo type="min"/>
        <cfvo type="percentile" val="50"/>
        <cfvo type="max"/>
        <color rgb="FF63BE7B"/>
        <color rgb="FFFFEB84"/>
        <color rgb="FFF8696B"/>
      </colorScale>
    </cfRule>
  </conditionalFormatting>
  <conditionalFormatting sqref="AS99">
    <cfRule type="colorScale" priority="6378">
      <colorScale>
        <cfvo type="min"/>
        <cfvo type="max"/>
        <color rgb="FFFCFCFF"/>
        <color rgb="FFF8696B"/>
      </colorScale>
    </cfRule>
    <cfRule type="colorScale" priority="6380">
      <colorScale>
        <cfvo type="min"/>
        <cfvo type="percentile" val="50"/>
        <cfvo type="max"/>
        <color rgb="FF63BE7B"/>
        <color rgb="FFFFEB84"/>
        <color rgb="FFF8696B"/>
      </colorScale>
    </cfRule>
  </conditionalFormatting>
  <conditionalFormatting sqref="AS99">
    <cfRule type="colorScale" priority="6379">
      <colorScale>
        <cfvo type="min"/>
        <cfvo type="max"/>
        <color rgb="FFF8696B"/>
        <color rgb="FFFCFCFF"/>
      </colorScale>
    </cfRule>
  </conditionalFormatting>
  <conditionalFormatting sqref="AS99">
    <cfRule type="colorScale" priority="6377">
      <colorScale>
        <cfvo type="min"/>
        <cfvo type="max"/>
        <color rgb="FFFCFCFF"/>
        <color rgb="FFF8696B"/>
      </colorScale>
    </cfRule>
  </conditionalFormatting>
  <conditionalFormatting sqref="AU99">
    <cfRule type="colorScale" priority="6376">
      <colorScale>
        <cfvo type="min"/>
        <cfvo type="percentile" val="50"/>
        <cfvo type="max"/>
        <color rgb="FFF8696B"/>
        <color rgb="FFFFEB84"/>
        <color rgb="FF63BE7B"/>
      </colorScale>
    </cfRule>
  </conditionalFormatting>
  <conditionalFormatting sqref="AU99">
    <cfRule type="colorScale" priority="6375">
      <colorScale>
        <cfvo type="min"/>
        <cfvo type="percentile" val="50"/>
        <cfvo type="max"/>
        <color rgb="FFF8696B"/>
        <color rgb="FFFFEB84"/>
        <color rgb="FF63BE7B"/>
      </colorScale>
    </cfRule>
  </conditionalFormatting>
  <conditionalFormatting sqref="AU99">
    <cfRule type="colorScale" priority="6374">
      <colorScale>
        <cfvo type="min"/>
        <cfvo type="percentile" val="50"/>
        <cfvo type="max"/>
        <color rgb="FF63BE7B"/>
        <color rgb="FFFFEB84"/>
        <color rgb="FFF8696B"/>
      </colorScale>
    </cfRule>
  </conditionalFormatting>
  <conditionalFormatting sqref="AU99">
    <cfRule type="colorScale" priority="6371">
      <colorScale>
        <cfvo type="min"/>
        <cfvo type="max"/>
        <color rgb="FFFCFCFF"/>
        <color rgb="FFF8696B"/>
      </colorScale>
    </cfRule>
    <cfRule type="colorScale" priority="6373">
      <colorScale>
        <cfvo type="min"/>
        <cfvo type="percentile" val="50"/>
        <cfvo type="max"/>
        <color rgb="FF63BE7B"/>
        <color rgb="FFFFEB84"/>
        <color rgb="FFF8696B"/>
      </colorScale>
    </cfRule>
  </conditionalFormatting>
  <conditionalFormatting sqref="AU99">
    <cfRule type="colorScale" priority="6372">
      <colorScale>
        <cfvo type="min"/>
        <cfvo type="max"/>
        <color rgb="FFF8696B"/>
        <color rgb="FFFCFCFF"/>
      </colorScale>
    </cfRule>
  </conditionalFormatting>
  <conditionalFormatting sqref="AU99">
    <cfRule type="colorScale" priority="6370">
      <colorScale>
        <cfvo type="min"/>
        <cfvo type="max"/>
        <color rgb="FFFCFCFF"/>
        <color rgb="FFF8696B"/>
      </colorScale>
    </cfRule>
  </conditionalFormatting>
  <conditionalFormatting sqref="AY13 AY39 BA13 BC13 BE13 BG13 BE23 BG23 BE28 BG28 AY33 BA33 BC33 BE33 BG33 BA39 BC39 BE39 BG39">
    <cfRule type="colorScale" priority="6369">
      <colorScale>
        <cfvo type="min"/>
        <cfvo type="percentile" val="50"/>
        <cfvo type="max"/>
        <color rgb="FFF8696B"/>
        <color rgb="FFFFEB84"/>
        <color rgb="FF63BE7B"/>
      </colorScale>
    </cfRule>
  </conditionalFormatting>
  <conditionalFormatting sqref="BG33">
    <cfRule type="colorScale" priority="6368">
      <colorScale>
        <cfvo type="min"/>
        <cfvo type="percentile" val="50"/>
        <cfvo type="max"/>
        <color rgb="FFF8696B"/>
        <color rgb="FFFFEB84"/>
        <color rgb="FF63BE7B"/>
      </colorScale>
    </cfRule>
  </conditionalFormatting>
  <conditionalFormatting sqref="AY13 BA13 BC13 BE13 BG13">
    <cfRule type="colorScale" priority="6367">
      <colorScale>
        <cfvo type="min"/>
        <cfvo type="percentile" val="50"/>
        <cfvo type="max"/>
        <color rgb="FFF8696B"/>
        <color rgb="FFFFEB84"/>
        <color rgb="FF63BE7B"/>
      </colorScale>
    </cfRule>
  </conditionalFormatting>
  <conditionalFormatting sqref="AY13 AY39 BA13 BC13 BE13 BG13 BE23 BG23 BE28 BG28 AY33 BA33 BC33 BE33 BG33 BA39 BC39 BE39 BG39">
    <cfRule type="colorScale" priority="6366">
      <colorScale>
        <cfvo type="min"/>
        <cfvo type="percentile" val="50"/>
        <cfvo type="max"/>
        <color rgb="FF63BE7B"/>
        <color rgb="FFFFEB84"/>
        <color rgb="FFF8696B"/>
      </colorScale>
    </cfRule>
  </conditionalFormatting>
  <conditionalFormatting sqref="AY39 AY13 BA13 BC13 BE13 BG13 BE23 BG23 BE28 BG28 AY33 BA33 BC33 BE33 BG33 BA39 BC39 BE39 BG39">
    <cfRule type="colorScale" priority="6363">
      <colorScale>
        <cfvo type="min"/>
        <cfvo type="max"/>
        <color rgb="FFFCFCFF"/>
        <color rgb="FFF8696B"/>
      </colorScale>
    </cfRule>
    <cfRule type="colorScale" priority="6365">
      <colorScale>
        <cfvo type="min"/>
        <cfvo type="percentile" val="50"/>
        <cfvo type="max"/>
        <color rgb="FF63BE7B"/>
        <color rgb="FFFFEB84"/>
        <color rgb="FFF8696B"/>
      </colorScale>
    </cfRule>
  </conditionalFormatting>
  <conditionalFormatting sqref="BA13 AY39 AY13 BC13 BE13 BG13 BE23 BG23 BE28 BG28 AY33 BA33 BC33 BE33 BG33 BA39 BC39 BE39 BG39">
    <cfRule type="colorScale" priority="6364">
      <colorScale>
        <cfvo type="min"/>
        <cfvo type="max"/>
        <color rgb="FFF8696B"/>
        <color rgb="FFFCFCFF"/>
      </colorScale>
    </cfRule>
  </conditionalFormatting>
  <conditionalFormatting sqref="BC41">
    <cfRule type="colorScale" priority="6362">
      <colorScale>
        <cfvo type="min"/>
        <cfvo type="percentile" val="50"/>
        <cfvo type="max"/>
        <color rgb="FFF8696B"/>
        <color rgb="FFFFEB84"/>
        <color rgb="FF63BE7B"/>
      </colorScale>
    </cfRule>
  </conditionalFormatting>
  <conditionalFormatting sqref="BC41">
    <cfRule type="colorScale" priority="6361">
      <colorScale>
        <cfvo type="min"/>
        <cfvo type="percentile" val="50"/>
        <cfvo type="max"/>
        <color rgb="FFF8696B"/>
        <color rgb="FFFFEB84"/>
        <color rgb="FF63BE7B"/>
      </colorScale>
    </cfRule>
  </conditionalFormatting>
  <conditionalFormatting sqref="BC41">
    <cfRule type="colorScale" priority="6360">
      <colorScale>
        <cfvo type="min"/>
        <cfvo type="percentile" val="50"/>
        <cfvo type="max"/>
        <color rgb="FFF8696B"/>
        <color rgb="FFFFEB84"/>
        <color rgb="FF63BE7B"/>
      </colorScale>
    </cfRule>
  </conditionalFormatting>
  <conditionalFormatting sqref="BC41">
    <cfRule type="colorScale" priority="6359">
      <colorScale>
        <cfvo type="min"/>
        <cfvo type="percentile" val="50"/>
        <cfvo type="max"/>
        <color rgb="FF63BE7B"/>
        <color rgb="FFFFEB84"/>
        <color rgb="FFF8696B"/>
      </colorScale>
    </cfRule>
  </conditionalFormatting>
  <conditionalFormatting sqref="BC41">
    <cfRule type="colorScale" priority="6356">
      <colorScale>
        <cfvo type="min"/>
        <cfvo type="max"/>
        <color rgb="FFFCFCFF"/>
        <color rgb="FFF8696B"/>
      </colorScale>
    </cfRule>
    <cfRule type="colorScale" priority="6358">
      <colorScale>
        <cfvo type="min"/>
        <cfvo type="percentile" val="50"/>
        <cfvo type="max"/>
        <color rgb="FF63BE7B"/>
        <color rgb="FFFFEB84"/>
        <color rgb="FFF8696B"/>
      </colorScale>
    </cfRule>
  </conditionalFormatting>
  <conditionalFormatting sqref="BC41">
    <cfRule type="colorScale" priority="6357">
      <colorScale>
        <cfvo type="min"/>
        <cfvo type="max"/>
        <color rgb="FFF8696B"/>
        <color rgb="FFFCFCFF"/>
      </colorScale>
    </cfRule>
  </conditionalFormatting>
  <conditionalFormatting sqref="BE41">
    <cfRule type="colorScale" priority="6355">
      <colorScale>
        <cfvo type="min"/>
        <cfvo type="percentile" val="50"/>
        <cfvo type="max"/>
        <color rgb="FFF8696B"/>
        <color rgb="FFFFEB84"/>
        <color rgb="FF63BE7B"/>
      </colorScale>
    </cfRule>
  </conditionalFormatting>
  <conditionalFormatting sqref="BE41">
    <cfRule type="colorScale" priority="6354">
      <colorScale>
        <cfvo type="min"/>
        <cfvo type="percentile" val="50"/>
        <cfvo type="max"/>
        <color rgb="FFF8696B"/>
        <color rgb="FFFFEB84"/>
        <color rgb="FF63BE7B"/>
      </colorScale>
    </cfRule>
  </conditionalFormatting>
  <conditionalFormatting sqref="BE41">
    <cfRule type="colorScale" priority="6353">
      <colorScale>
        <cfvo type="min"/>
        <cfvo type="percentile" val="50"/>
        <cfvo type="max"/>
        <color rgb="FFF8696B"/>
        <color rgb="FFFFEB84"/>
        <color rgb="FF63BE7B"/>
      </colorScale>
    </cfRule>
  </conditionalFormatting>
  <conditionalFormatting sqref="BE41">
    <cfRule type="colorScale" priority="6352">
      <colorScale>
        <cfvo type="min"/>
        <cfvo type="percentile" val="50"/>
        <cfvo type="max"/>
        <color rgb="FF63BE7B"/>
        <color rgb="FFFFEB84"/>
        <color rgb="FFF8696B"/>
      </colorScale>
    </cfRule>
  </conditionalFormatting>
  <conditionalFormatting sqref="BE41">
    <cfRule type="colorScale" priority="6349">
      <colorScale>
        <cfvo type="min"/>
        <cfvo type="max"/>
        <color rgb="FFFCFCFF"/>
        <color rgb="FFF8696B"/>
      </colorScale>
    </cfRule>
    <cfRule type="colorScale" priority="6351">
      <colorScale>
        <cfvo type="min"/>
        <cfvo type="percentile" val="50"/>
        <cfvo type="max"/>
        <color rgb="FF63BE7B"/>
        <color rgb="FFFFEB84"/>
        <color rgb="FFF8696B"/>
      </colorScale>
    </cfRule>
  </conditionalFormatting>
  <conditionalFormatting sqref="BE41">
    <cfRule type="colorScale" priority="6350">
      <colorScale>
        <cfvo type="min"/>
        <cfvo type="max"/>
        <color rgb="FFF8696B"/>
        <color rgb="FFFCFCFF"/>
      </colorScale>
    </cfRule>
  </conditionalFormatting>
  <conditionalFormatting sqref="BG41">
    <cfRule type="colorScale" priority="6348">
      <colorScale>
        <cfvo type="min"/>
        <cfvo type="percentile" val="50"/>
        <cfvo type="max"/>
        <color rgb="FFF8696B"/>
        <color rgb="FFFFEB84"/>
        <color rgb="FF63BE7B"/>
      </colorScale>
    </cfRule>
  </conditionalFormatting>
  <conditionalFormatting sqref="BG41">
    <cfRule type="colorScale" priority="6347">
      <colorScale>
        <cfvo type="min"/>
        <cfvo type="percentile" val="50"/>
        <cfvo type="max"/>
        <color rgb="FFF8696B"/>
        <color rgb="FFFFEB84"/>
        <color rgb="FF63BE7B"/>
      </colorScale>
    </cfRule>
  </conditionalFormatting>
  <conditionalFormatting sqref="BG41">
    <cfRule type="colorScale" priority="6346">
      <colorScale>
        <cfvo type="min"/>
        <cfvo type="percentile" val="50"/>
        <cfvo type="max"/>
        <color rgb="FFF8696B"/>
        <color rgb="FFFFEB84"/>
        <color rgb="FF63BE7B"/>
      </colorScale>
    </cfRule>
  </conditionalFormatting>
  <conditionalFormatting sqref="BG41">
    <cfRule type="colorScale" priority="6345">
      <colorScale>
        <cfvo type="min"/>
        <cfvo type="percentile" val="50"/>
        <cfvo type="max"/>
        <color rgb="FF63BE7B"/>
        <color rgb="FFFFEB84"/>
        <color rgb="FFF8696B"/>
      </colorScale>
    </cfRule>
  </conditionalFormatting>
  <conditionalFormatting sqref="BG41">
    <cfRule type="colorScale" priority="6342">
      <colorScale>
        <cfvo type="min"/>
        <cfvo type="max"/>
        <color rgb="FFFCFCFF"/>
        <color rgb="FFF8696B"/>
      </colorScale>
    </cfRule>
    <cfRule type="colorScale" priority="6344">
      <colorScale>
        <cfvo type="min"/>
        <cfvo type="percentile" val="50"/>
        <cfvo type="max"/>
        <color rgb="FF63BE7B"/>
        <color rgb="FFFFEB84"/>
        <color rgb="FFF8696B"/>
      </colorScale>
    </cfRule>
  </conditionalFormatting>
  <conditionalFormatting sqref="BG41">
    <cfRule type="colorScale" priority="6343">
      <colorScale>
        <cfvo type="min"/>
        <cfvo type="max"/>
        <color rgb="FFF8696B"/>
        <color rgb="FFFCFCFF"/>
      </colorScale>
    </cfRule>
  </conditionalFormatting>
  <conditionalFormatting sqref="BE23">
    <cfRule type="colorScale" priority="6341">
      <colorScale>
        <cfvo type="min"/>
        <cfvo type="percentile" val="50"/>
        <cfvo type="max"/>
        <color rgb="FFF8696B"/>
        <color rgb="FFFFEB84"/>
        <color rgb="FF63BE7B"/>
      </colorScale>
    </cfRule>
  </conditionalFormatting>
  <conditionalFormatting sqref="BG23">
    <cfRule type="colorScale" priority="6340">
      <colorScale>
        <cfvo type="min"/>
        <cfvo type="percentile" val="50"/>
        <cfvo type="max"/>
        <color rgb="FFF8696B"/>
        <color rgb="FFFFEB84"/>
        <color rgb="FF63BE7B"/>
      </colorScale>
    </cfRule>
  </conditionalFormatting>
  <conditionalFormatting sqref="BE28">
    <cfRule type="colorScale" priority="6339">
      <colorScale>
        <cfvo type="min"/>
        <cfvo type="percentile" val="50"/>
        <cfvo type="max"/>
        <color rgb="FFF8696B"/>
        <color rgb="FFFFEB84"/>
        <color rgb="FF63BE7B"/>
      </colorScale>
    </cfRule>
  </conditionalFormatting>
  <conditionalFormatting sqref="BG28">
    <cfRule type="colorScale" priority="6338">
      <colorScale>
        <cfvo type="min"/>
        <cfvo type="percentile" val="50"/>
        <cfvo type="max"/>
        <color rgb="FFF8696B"/>
        <color rgb="FFFFEB84"/>
        <color rgb="FF63BE7B"/>
      </colorScale>
    </cfRule>
  </conditionalFormatting>
  <conditionalFormatting sqref="AY33">
    <cfRule type="colorScale" priority="6337">
      <colorScale>
        <cfvo type="min"/>
        <cfvo type="percentile" val="50"/>
        <cfvo type="max"/>
        <color rgb="FFF8696B"/>
        <color rgb="FFFFEB84"/>
        <color rgb="FF63BE7B"/>
      </colorScale>
    </cfRule>
  </conditionalFormatting>
  <conditionalFormatting sqref="BA33">
    <cfRule type="colorScale" priority="6336">
      <colorScale>
        <cfvo type="min"/>
        <cfvo type="percentile" val="50"/>
        <cfvo type="max"/>
        <color rgb="FFF8696B"/>
        <color rgb="FFFFEB84"/>
        <color rgb="FF63BE7B"/>
      </colorScale>
    </cfRule>
  </conditionalFormatting>
  <conditionalFormatting sqref="BC33">
    <cfRule type="colorScale" priority="6335">
      <colorScale>
        <cfvo type="min"/>
        <cfvo type="percentile" val="50"/>
        <cfvo type="max"/>
        <color rgb="FFF8696B"/>
        <color rgb="FFFFEB84"/>
        <color rgb="FF63BE7B"/>
      </colorScale>
    </cfRule>
  </conditionalFormatting>
  <conditionalFormatting sqref="BE33">
    <cfRule type="colorScale" priority="6334">
      <colorScale>
        <cfvo type="min"/>
        <cfvo type="percentile" val="50"/>
        <cfvo type="max"/>
        <color rgb="FFF8696B"/>
        <color rgb="FFFFEB84"/>
        <color rgb="FF63BE7B"/>
      </colorScale>
    </cfRule>
  </conditionalFormatting>
  <conditionalFormatting sqref="BG33">
    <cfRule type="colorScale" priority="6333">
      <colorScale>
        <cfvo type="min"/>
        <cfvo type="percentile" val="50"/>
        <cfvo type="max"/>
        <color rgb="FFF8696B"/>
        <color rgb="FFFFEB84"/>
        <color rgb="FF63BE7B"/>
      </colorScale>
    </cfRule>
  </conditionalFormatting>
  <conditionalFormatting sqref="AY39">
    <cfRule type="colorScale" priority="6332">
      <colorScale>
        <cfvo type="min"/>
        <cfvo type="percentile" val="50"/>
        <cfvo type="max"/>
        <color rgb="FFF8696B"/>
        <color rgb="FFFFEB84"/>
        <color rgb="FF63BE7B"/>
      </colorScale>
    </cfRule>
  </conditionalFormatting>
  <conditionalFormatting sqref="BA39">
    <cfRule type="colorScale" priority="6331">
      <colorScale>
        <cfvo type="min"/>
        <cfvo type="percentile" val="50"/>
        <cfvo type="max"/>
        <color rgb="FFF8696B"/>
        <color rgb="FFFFEB84"/>
        <color rgb="FF63BE7B"/>
      </colorScale>
    </cfRule>
  </conditionalFormatting>
  <conditionalFormatting sqref="BC39">
    <cfRule type="colorScale" priority="6330">
      <colorScale>
        <cfvo type="min"/>
        <cfvo type="percentile" val="50"/>
        <cfvo type="max"/>
        <color rgb="FFF8696B"/>
        <color rgb="FFFFEB84"/>
        <color rgb="FF63BE7B"/>
      </colorScale>
    </cfRule>
  </conditionalFormatting>
  <conditionalFormatting sqref="BE39">
    <cfRule type="colorScale" priority="6329">
      <colorScale>
        <cfvo type="min"/>
        <cfvo type="percentile" val="50"/>
        <cfvo type="max"/>
        <color rgb="FFF8696B"/>
        <color rgb="FFFFEB84"/>
        <color rgb="FF63BE7B"/>
      </colorScale>
    </cfRule>
  </conditionalFormatting>
  <conditionalFormatting sqref="BG39">
    <cfRule type="colorScale" priority="6328">
      <colorScale>
        <cfvo type="min"/>
        <cfvo type="percentile" val="50"/>
        <cfvo type="max"/>
        <color rgb="FFF8696B"/>
        <color rgb="FFFFEB84"/>
        <color rgb="FF63BE7B"/>
      </colorScale>
    </cfRule>
  </conditionalFormatting>
  <conditionalFormatting sqref="AY13 AY39 BA13 BC13 BE13 BG13 BE23 BG23 BA18 AY18 BE28 BG28 BG33 BE33 BC33 BA33 AY33 BA39 BG39 BE39 BC39 BC41 BE41 BG41">
    <cfRule type="colorScale" priority="6327">
      <colorScale>
        <cfvo type="min"/>
        <cfvo type="max"/>
        <color rgb="FFFCFCFF"/>
        <color rgb="FFF8696B"/>
      </colorScale>
    </cfRule>
  </conditionalFormatting>
  <conditionalFormatting sqref="BI13">
    <cfRule type="colorScale" priority="6326">
      <colorScale>
        <cfvo type="min"/>
        <cfvo type="percentile" val="50"/>
        <cfvo type="max"/>
        <color rgb="FFF8696B"/>
        <color rgb="FFFFEB84"/>
        <color rgb="FF63BE7B"/>
      </colorScale>
    </cfRule>
  </conditionalFormatting>
  <conditionalFormatting sqref="BI13">
    <cfRule type="colorScale" priority="6325">
      <colorScale>
        <cfvo type="min"/>
        <cfvo type="percentile" val="50"/>
        <cfvo type="max"/>
        <color rgb="FFF8696B"/>
        <color rgb="FFFFEB84"/>
        <color rgb="FF63BE7B"/>
      </colorScale>
    </cfRule>
  </conditionalFormatting>
  <conditionalFormatting sqref="BI13">
    <cfRule type="colorScale" priority="6324">
      <colorScale>
        <cfvo type="min"/>
        <cfvo type="percentile" val="50"/>
        <cfvo type="max"/>
        <color rgb="FF63BE7B"/>
        <color rgb="FFFFEB84"/>
        <color rgb="FFF8696B"/>
      </colorScale>
    </cfRule>
  </conditionalFormatting>
  <conditionalFormatting sqref="BI13">
    <cfRule type="colorScale" priority="6321">
      <colorScale>
        <cfvo type="min"/>
        <cfvo type="max"/>
        <color rgb="FFFCFCFF"/>
        <color rgb="FFF8696B"/>
      </colorScale>
    </cfRule>
    <cfRule type="colorScale" priority="6323">
      <colorScale>
        <cfvo type="min"/>
        <cfvo type="percentile" val="50"/>
        <cfvo type="max"/>
        <color rgb="FF63BE7B"/>
        <color rgb="FFFFEB84"/>
        <color rgb="FFF8696B"/>
      </colorScale>
    </cfRule>
  </conditionalFormatting>
  <conditionalFormatting sqref="BI13">
    <cfRule type="colorScale" priority="6322">
      <colorScale>
        <cfvo type="min"/>
        <cfvo type="max"/>
        <color rgb="FFF8696B"/>
        <color rgb="FFFCFCFF"/>
      </colorScale>
    </cfRule>
  </conditionalFormatting>
  <conditionalFormatting sqref="BI13">
    <cfRule type="colorScale" priority="6320">
      <colorScale>
        <cfvo type="min"/>
        <cfvo type="max"/>
        <color rgb="FFFCFCFF"/>
        <color rgb="FFF8696B"/>
      </colorScale>
    </cfRule>
  </conditionalFormatting>
  <conditionalFormatting sqref="BK13">
    <cfRule type="colorScale" priority="6319">
      <colorScale>
        <cfvo type="min"/>
        <cfvo type="percentile" val="50"/>
        <cfvo type="max"/>
        <color rgb="FFF8696B"/>
        <color rgb="FFFFEB84"/>
        <color rgb="FF63BE7B"/>
      </colorScale>
    </cfRule>
  </conditionalFormatting>
  <conditionalFormatting sqref="BK13">
    <cfRule type="colorScale" priority="6318">
      <colorScale>
        <cfvo type="min"/>
        <cfvo type="percentile" val="50"/>
        <cfvo type="max"/>
        <color rgb="FFF8696B"/>
        <color rgb="FFFFEB84"/>
        <color rgb="FF63BE7B"/>
      </colorScale>
    </cfRule>
  </conditionalFormatting>
  <conditionalFormatting sqref="BK13">
    <cfRule type="colorScale" priority="6317">
      <colorScale>
        <cfvo type="min"/>
        <cfvo type="percentile" val="50"/>
        <cfvo type="max"/>
        <color rgb="FF63BE7B"/>
        <color rgb="FFFFEB84"/>
        <color rgb="FFF8696B"/>
      </colorScale>
    </cfRule>
  </conditionalFormatting>
  <conditionalFormatting sqref="BK13">
    <cfRule type="colorScale" priority="6314">
      <colorScale>
        <cfvo type="min"/>
        <cfvo type="max"/>
        <color rgb="FFFCFCFF"/>
        <color rgb="FFF8696B"/>
      </colorScale>
    </cfRule>
    <cfRule type="colorScale" priority="6316">
      <colorScale>
        <cfvo type="min"/>
        <cfvo type="percentile" val="50"/>
        <cfvo type="max"/>
        <color rgb="FF63BE7B"/>
        <color rgb="FFFFEB84"/>
        <color rgb="FFF8696B"/>
      </colorScale>
    </cfRule>
  </conditionalFormatting>
  <conditionalFormatting sqref="BK13">
    <cfRule type="colorScale" priority="6315">
      <colorScale>
        <cfvo type="min"/>
        <cfvo type="max"/>
        <color rgb="FFF8696B"/>
        <color rgb="FFFCFCFF"/>
      </colorScale>
    </cfRule>
  </conditionalFormatting>
  <conditionalFormatting sqref="BK13">
    <cfRule type="colorScale" priority="6313">
      <colorScale>
        <cfvo type="min"/>
        <cfvo type="max"/>
        <color rgb="FFFCFCFF"/>
        <color rgb="FFF8696B"/>
      </colorScale>
    </cfRule>
  </conditionalFormatting>
  <conditionalFormatting sqref="BI23 BI39 BI28 BI33">
    <cfRule type="colorScale" priority="6312">
      <colorScale>
        <cfvo type="min"/>
        <cfvo type="percentile" val="50"/>
        <cfvo type="max"/>
        <color rgb="FFF8696B"/>
        <color rgb="FFFFEB84"/>
        <color rgb="FF63BE7B"/>
      </colorScale>
    </cfRule>
  </conditionalFormatting>
  <conditionalFormatting sqref="BI33">
    <cfRule type="colorScale" priority="6311">
      <colorScale>
        <cfvo type="min"/>
        <cfvo type="percentile" val="50"/>
        <cfvo type="max"/>
        <color rgb="FFF8696B"/>
        <color rgb="FFFFEB84"/>
        <color rgb="FF63BE7B"/>
      </colorScale>
    </cfRule>
  </conditionalFormatting>
  <conditionalFormatting sqref="BI28 BI39 BI23 BI33">
    <cfRule type="colorScale" priority="6310">
      <colorScale>
        <cfvo type="min"/>
        <cfvo type="percentile" val="50"/>
        <cfvo type="max"/>
        <color rgb="FF63BE7B"/>
        <color rgb="FFFFEB84"/>
        <color rgb="FFF8696B"/>
      </colorScale>
    </cfRule>
  </conditionalFormatting>
  <conditionalFormatting sqref="BI39 BI23 BI28 BI33">
    <cfRule type="colorScale" priority="6307">
      <colorScale>
        <cfvo type="min"/>
        <cfvo type="max"/>
        <color rgb="FFFCFCFF"/>
        <color rgb="FFF8696B"/>
      </colorScale>
    </cfRule>
    <cfRule type="colorScale" priority="6309">
      <colorScale>
        <cfvo type="min"/>
        <cfvo type="percentile" val="50"/>
        <cfvo type="max"/>
        <color rgb="FF63BE7B"/>
        <color rgb="FFFFEB84"/>
        <color rgb="FFF8696B"/>
      </colorScale>
    </cfRule>
  </conditionalFormatting>
  <conditionalFormatting sqref="BI28 BI39 BI23 BI33">
    <cfRule type="colorScale" priority="6308">
      <colorScale>
        <cfvo type="min"/>
        <cfvo type="max"/>
        <color rgb="FFF8696B"/>
        <color rgb="FFFCFCFF"/>
      </colorScale>
    </cfRule>
  </conditionalFormatting>
  <conditionalFormatting sqref="BI41">
    <cfRule type="colorScale" priority="6306">
      <colorScale>
        <cfvo type="min"/>
        <cfvo type="percentile" val="50"/>
        <cfvo type="max"/>
        <color rgb="FFF8696B"/>
        <color rgb="FFFFEB84"/>
        <color rgb="FF63BE7B"/>
      </colorScale>
    </cfRule>
  </conditionalFormatting>
  <conditionalFormatting sqref="BI41">
    <cfRule type="colorScale" priority="6305">
      <colorScale>
        <cfvo type="min"/>
        <cfvo type="percentile" val="50"/>
        <cfvo type="max"/>
        <color rgb="FFF8696B"/>
        <color rgb="FFFFEB84"/>
        <color rgb="FF63BE7B"/>
      </colorScale>
    </cfRule>
  </conditionalFormatting>
  <conditionalFormatting sqref="BI41">
    <cfRule type="colorScale" priority="6304">
      <colorScale>
        <cfvo type="min"/>
        <cfvo type="percentile" val="50"/>
        <cfvo type="max"/>
        <color rgb="FFF8696B"/>
        <color rgb="FFFFEB84"/>
        <color rgb="FF63BE7B"/>
      </colorScale>
    </cfRule>
  </conditionalFormatting>
  <conditionalFormatting sqref="BI41">
    <cfRule type="colorScale" priority="6303">
      <colorScale>
        <cfvo type="min"/>
        <cfvo type="percentile" val="50"/>
        <cfvo type="max"/>
        <color rgb="FF63BE7B"/>
        <color rgb="FFFFEB84"/>
        <color rgb="FFF8696B"/>
      </colorScale>
    </cfRule>
  </conditionalFormatting>
  <conditionalFormatting sqref="BI41">
    <cfRule type="colorScale" priority="6300">
      <colorScale>
        <cfvo type="min"/>
        <cfvo type="max"/>
        <color rgb="FFFCFCFF"/>
        <color rgb="FFF8696B"/>
      </colorScale>
    </cfRule>
    <cfRule type="colorScale" priority="6302">
      <colorScale>
        <cfvo type="min"/>
        <cfvo type="percentile" val="50"/>
        <cfvo type="max"/>
        <color rgb="FF63BE7B"/>
        <color rgb="FFFFEB84"/>
        <color rgb="FFF8696B"/>
      </colorScale>
    </cfRule>
  </conditionalFormatting>
  <conditionalFormatting sqref="BI41">
    <cfRule type="colorScale" priority="6301">
      <colorScale>
        <cfvo type="min"/>
        <cfvo type="max"/>
        <color rgb="FFF8696B"/>
        <color rgb="FFFCFCFF"/>
      </colorScale>
    </cfRule>
  </conditionalFormatting>
  <conditionalFormatting sqref="BI23">
    <cfRule type="colorScale" priority="6299">
      <colorScale>
        <cfvo type="min"/>
        <cfvo type="percentile" val="50"/>
        <cfvo type="max"/>
        <color rgb="FFF8696B"/>
        <color rgb="FFFFEB84"/>
        <color rgb="FF63BE7B"/>
      </colorScale>
    </cfRule>
  </conditionalFormatting>
  <conditionalFormatting sqref="BI28">
    <cfRule type="colorScale" priority="6298">
      <colorScale>
        <cfvo type="min"/>
        <cfvo type="percentile" val="50"/>
        <cfvo type="max"/>
        <color rgb="FFF8696B"/>
        <color rgb="FFFFEB84"/>
        <color rgb="FF63BE7B"/>
      </colorScale>
    </cfRule>
  </conditionalFormatting>
  <conditionalFormatting sqref="BI33">
    <cfRule type="colorScale" priority="6297">
      <colorScale>
        <cfvo type="min"/>
        <cfvo type="percentile" val="50"/>
        <cfvo type="max"/>
        <color rgb="FFF8696B"/>
        <color rgb="FFFFEB84"/>
        <color rgb="FF63BE7B"/>
      </colorScale>
    </cfRule>
  </conditionalFormatting>
  <conditionalFormatting sqref="BI39">
    <cfRule type="colorScale" priority="6296">
      <colorScale>
        <cfvo type="min"/>
        <cfvo type="percentile" val="50"/>
        <cfvo type="max"/>
        <color rgb="FFF8696B"/>
        <color rgb="FFFFEB84"/>
        <color rgb="FF63BE7B"/>
      </colorScale>
    </cfRule>
  </conditionalFormatting>
  <conditionalFormatting sqref="BI28 BI39 BI23 BI33 BI41">
    <cfRule type="colorScale" priority="6295">
      <colorScale>
        <cfvo type="min"/>
        <cfvo type="max"/>
        <color rgb="FFFCFCFF"/>
        <color rgb="FFF8696B"/>
      </colorScale>
    </cfRule>
  </conditionalFormatting>
  <conditionalFormatting sqref="BK23 BK39 BK28 BK33">
    <cfRule type="colorScale" priority="6294">
      <colorScale>
        <cfvo type="min"/>
        <cfvo type="percentile" val="50"/>
        <cfvo type="max"/>
        <color rgb="FFF8696B"/>
        <color rgb="FFFFEB84"/>
        <color rgb="FF63BE7B"/>
      </colorScale>
    </cfRule>
  </conditionalFormatting>
  <conditionalFormatting sqref="BK33">
    <cfRule type="colorScale" priority="6293">
      <colorScale>
        <cfvo type="min"/>
        <cfvo type="percentile" val="50"/>
        <cfvo type="max"/>
        <color rgb="FFF8696B"/>
        <color rgb="FFFFEB84"/>
        <color rgb="FF63BE7B"/>
      </colorScale>
    </cfRule>
  </conditionalFormatting>
  <conditionalFormatting sqref="BK28 BK39 BK23 BK33">
    <cfRule type="colorScale" priority="6292">
      <colorScale>
        <cfvo type="min"/>
        <cfvo type="percentile" val="50"/>
        <cfvo type="max"/>
        <color rgb="FF63BE7B"/>
        <color rgb="FFFFEB84"/>
        <color rgb="FFF8696B"/>
      </colorScale>
    </cfRule>
  </conditionalFormatting>
  <conditionalFormatting sqref="BK39 BK23 BK28 BK33">
    <cfRule type="colorScale" priority="6289">
      <colorScale>
        <cfvo type="min"/>
        <cfvo type="max"/>
        <color rgb="FFFCFCFF"/>
        <color rgb="FFF8696B"/>
      </colorScale>
    </cfRule>
    <cfRule type="colorScale" priority="6291">
      <colorScale>
        <cfvo type="min"/>
        <cfvo type="percentile" val="50"/>
        <cfvo type="max"/>
        <color rgb="FF63BE7B"/>
        <color rgb="FFFFEB84"/>
        <color rgb="FFF8696B"/>
      </colorScale>
    </cfRule>
  </conditionalFormatting>
  <conditionalFormatting sqref="BK28 BK39 BK23 BK33">
    <cfRule type="colorScale" priority="6290">
      <colorScale>
        <cfvo type="min"/>
        <cfvo type="max"/>
        <color rgb="FFF8696B"/>
        <color rgb="FFFCFCFF"/>
      </colorScale>
    </cfRule>
  </conditionalFormatting>
  <conditionalFormatting sqref="BK41">
    <cfRule type="colorScale" priority="6288">
      <colorScale>
        <cfvo type="min"/>
        <cfvo type="percentile" val="50"/>
        <cfvo type="max"/>
        <color rgb="FFF8696B"/>
        <color rgb="FFFFEB84"/>
        <color rgb="FF63BE7B"/>
      </colorScale>
    </cfRule>
  </conditionalFormatting>
  <conditionalFormatting sqref="BK41">
    <cfRule type="colorScale" priority="6287">
      <colorScale>
        <cfvo type="min"/>
        <cfvo type="percentile" val="50"/>
        <cfvo type="max"/>
        <color rgb="FFF8696B"/>
        <color rgb="FFFFEB84"/>
        <color rgb="FF63BE7B"/>
      </colorScale>
    </cfRule>
  </conditionalFormatting>
  <conditionalFormatting sqref="BK41">
    <cfRule type="colorScale" priority="6286">
      <colorScale>
        <cfvo type="min"/>
        <cfvo type="percentile" val="50"/>
        <cfvo type="max"/>
        <color rgb="FFF8696B"/>
        <color rgb="FFFFEB84"/>
        <color rgb="FF63BE7B"/>
      </colorScale>
    </cfRule>
  </conditionalFormatting>
  <conditionalFormatting sqref="BK41">
    <cfRule type="colorScale" priority="6285">
      <colorScale>
        <cfvo type="min"/>
        <cfvo type="percentile" val="50"/>
        <cfvo type="max"/>
        <color rgb="FF63BE7B"/>
        <color rgb="FFFFEB84"/>
        <color rgb="FFF8696B"/>
      </colorScale>
    </cfRule>
  </conditionalFormatting>
  <conditionalFormatting sqref="BK41">
    <cfRule type="colorScale" priority="6282">
      <colorScale>
        <cfvo type="min"/>
        <cfvo type="max"/>
        <color rgb="FFFCFCFF"/>
        <color rgb="FFF8696B"/>
      </colorScale>
    </cfRule>
    <cfRule type="colorScale" priority="6284">
      <colorScale>
        <cfvo type="min"/>
        <cfvo type="percentile" val="50"/>
        <cfvo type="max"/>
        <color rgb="FF63BE7B"/>
        <color rgb="FFFFEB84"/>
        <color rgb="FFF8696B"/>
      </colorScale>
    </cfRule>
  </conditionalFormatting>
  <conditionalFormatting sqref="BK41">
    <cfRule type="colorScale" priority="6283">
      <colorScale>
        <cfvo type="min"/>
        <cfvo type="max"/>
        <color rgb="FFF8696B"/>
        <color rgb="FFFCFCFF"/>
      </colorScale>
    </cfRule>
  </conditionalFormatting>
  <conditionalFormatting sqref="BK23">
    <cfRule type="colorScale" priority="6281">
      <colorScale>
        <cfvo type="min"/>
        <cfvo type="percentile" val="50"/>
        <cfvo type="max"/>
        <color rgb="FFF8696B"/>
        <color rgb="FFFFEB84"/>
        <color rgb="FF63BE7B"/>
      </colorScale>
    </cfRule>
  </conditionalFormatting>
  <conditionalFormatting sqref="BK28">
    <cfRule type="colorScale" priority="6280">
      <colorScale>
        <cfvo type="min"/>
        <cfvo type="percentile" val="50"/>
        <cfvo type="max"/>
        <color rgb="FFF8696B"/>
        <color rgb="FFFFEB84"/>
        <color rgb="FF63BE7B"/>
      </colorScale>
    </cfRule>
  </conditionalFormatting>
  <conditionalFormatting sqref="BK33">
    <cfRule type="colorScale" priority="6279">
      <colorScale>
        <cfvo type="min"/>
        <cfvo type="percentile" val="50"/>
        <cfvo type="max"/>
        <color rgb="FFF8696B"/>
        <color rgb="FFFFEB84"/>
        <color rgb="FF63BE7B"/>
      </colorScale>
    </cfRule>
  </conditionalFormatting>
  <conditionalFormatting sqref="BK39">
    <cfRule type="colorScale" priority="6278">
      <colorScale>
        <cfvo type="min"/>
        <cfvo type="percentile" val="50"/>
        <cfvo type="max"/>
        <color rgb="FFF8696B"/>
        <color rgb="FFFFEB84"/>
        <color rgb="FF63BE7B"/>
      </colorScale>
    </cfRule>
  </conditionalFormatting>
  <conditionalFormatting sqref="BK28 BK39 BK23 BK33 BK41">
    <cfRule type="colorScale" priority="6277">
      <colorScale>
        <cfvo type="min"/>
        <cfvo type="max"/>
        <color rgb="FFFCFCFF"/>
        <color rgb="FFF8696B"/>
      </colorScale>
    </cfRule>
  </conditionalFormatting>
  <conditionalFormatting sqref="AY82 AY56 BA56 BC56 BE56 BG56 BE66 BG66 BE71 BG71 AY76 BA76 BC76 BE76 BG76 BA82 BC82 BE82 BG82">
    <cfRule type="colorScale" priority="6276">
      <colorScale>
        <cfvo type="min"/>
        <cfvo type="percentile" val="50"/>
        <cfvo type="max"/>
        <color rgb="FFF8696B"/>
        <color rgb="FFFFEB84"/>
        <color rgb="FF63BE7B"/>
      </colorScale>
    </cfRule>
  </conditionalFormatting>
  <conditionalFormatting sqref="BG76">
    <cfRule type="colorScale" priority="6275">
      <colorScale>
        <cfvo type="min"/>
        <cfvo type="percentile" val="50"/>
        <cfvo type="max"/>
        <color rgb="FFF8696B"/>
        <color rgb="FFFFEB84"/>
        <color rgb="FF63BE7B"/>
      </colorScale>
    </cfRule>
  </conditionalFormatting>
  <conditionalFormatting sqref="BA56 AY56 BC56 BE56 BG56">
    <cfRule type="colorScale" priority="6274">
      <colorScale>
        <cfvo type="min"/>
        <cfvo type="percentile" val="50"/>
        <cfvo type="max"/>
        <color rgb="FFF8696B"/>
        <color rgb="FFFFEB84"/>
        <color rgb="FF63BE7B"/>
      </colorScale>
    </cfRule>
  </conditionalFormatting>
  <conditionalFormatting sqref="AY82 AY56 BA56 BC56 BE56 BG56 BE66 BG66 BE71 BG71 AY76 BA76 BC76 BE76 BG76 BA82 BC82 BE82 BG82">
    <cfRule type="colorScale" priority="6273">
      <colorScale>
        <cfvo type="min"/>
        <cfvo type="percentile" val="50"/>
        <cfvo type="max"/>
        <color rgb="FF63BE7B"/>
        <color rgb="FFFFEB84"/>
        <color rgb="FFF8696B"/>
      </colorScale>
    </cfRule>
  </conditionalFormatting>
  <conditionalFormatting sqref="AY82 AY56 BA56 BC56 BE56 BG56 BE66 BG66 BE71 BG71 AY76 BA76 BC76 BE76 BG76 BA82 BC82 BE82 BG82">
    <cfRule type="colorScale" priority="6270">
      <colorScale>
        <cfvo type="min"/>
        <cfvo type="max"/>
        <color rgb="FFFCFCFF"/>
        <color rgb="FFF8696B"/>
      </colorScale>
    </cfRule>
    <cfRule type="colorScale" priority="6272">
      <colorScale>
        <cfvo type="min"/>
        <cfvo type="percentile" val="50"/>
        <cfvo type="max"/>
        <color rgb="FF63BE7B"/>
        <color rgb="FFFFEB84"/>
        <color rgb="FFF8696B"/>
      </colorScale>
    </cfRule>
  </conditionalFormatting>
  <conditionalFormatting sqref="AY82 BA56 AY56 BC56 BE56 BG56 BE66 BG66 BE71 BG71 AY76 BA76 BC76 BE76 BG76 BA82 BC82 BE82 BG82">
    <cfRule type="colorScale" priority="6271">
      <colorScale>
        <cfvo type="min"/>
        <cfvo type="max"/>
        <color rgb="FFF8696B"/>
        <color rgb="FFFCFCFF"/>
      </colorScale>
    </cfRule>
  </conditionalFormatting>
  <conditionalFormatting sqref="BC84">
    <cfRule type="colorScale" priority="6269">
      <colorScale>
        <cfvo type="min"/>
        <cfvo type="percentile" val="50"/>
        <cfvo type="max"/>
        <color rgb="FFF8696B"/>
        <color rgb="FFFFEB84"/>
        <color rgb="FF63BE7B"/>
      </colorScale>
    </cfRule>
  </conditionalFormatting>
  <conditionalFormatting sqref="BC84">
    <cfRule type="colorScale" priority="6268">
      <colorScale>
        <cfvo type="min"/>
        <cfvo type="percentile" val="50"/>
        <cfvo type="max"/>
        <color rgb="FFF8696B"/>
        <color rgb="FFFFEB84"/>
        <color rgb="FF63BE7B"/>
      </colorScale>
    </cfRule>
  </conditionalFormatting>
  <conditionalFormatting sqref="BC84">
    <cfRule type="colorScale" priority="6267">
      <colorScale>
        <cfvo type="min"/>
        <cfvo type="percentile" val="50"/>
        <cfvo type="max"/>
        <color rgb="FFF8696B"/>
        <color rgb="FFFFEB84"/>
        <color rgb="FF63BE7B"/>
      </colorScale>
    </cfRule>
  </conditionalFormatting>
  <conditionalFormatting sqref="BC84">
    <cfRule type="colorScale" priority="6266">
      <colorScale>
        <cfvo type="min"/>
        <cfvo type="percentile" val="50"/>
        <cfvo type="max"/>
        <color rgb="FF63BE7B"/>
        <color rgb="FFFFEB84"/>
        <color rgb="FFF8696B"/>
      </colorScale>
    </cfRule>
  </conditionalFormatting>
  <conditionalFormatting sqref="BC84">
    <cfRule type="colorScale" priority="6263">
      <colorScale>
        <cfvo type="min"/>
        <cfvo type="max"/>
        <color rgb="FFFCFCFF"/>
        <color rgb="FFF8696B"/>
      </colorScale>
    </cfRule>
    <cfRule type="colorScale" priority="6265">
      <colorScale>
        <cfvo type="min"/>
        <cfvo type="percentile" val="50"/>
        <cfvo type="max"/>
        <color rgb="FF63BE7B"/>
        <color rgb="FFFFEB84"/>
        <color rgb="FFF8696B"/>
      </colorScale>
    </cfRule>
  </conditionalFormatting>
  <conditionalFormatting sqref="BC84">
    <cfRule type="colorScale" priority="6264">
      <colorScale>
        <cfvo type="min"/>
        <cfvo type="max"/>
        <color rgb="FFF8696B"/>
        <color rgb="FFFCFCFF"/>
      </colorScale>
    </cfRule>
  </conditionalFormatting>
  <conditionalFormatting sqref="BE84">
    <cfRule type="colorScale" priority="6262">
      <colorScale>
        <cfvo type="min"/>
        <cfvo type="percentile" val="50"/>
        <cfvo type="max"/>
        <color rgb="FFF8696B"/>
        <color rgb="FFFFEB84"/>
        <color rgb="FF63BE7B"/>
      </colorScale>
    </cfRule>
  </conditionalFormatting>
  <conditionalFormatting sqref="BE84">
    <cfRule type="colorScale" priority="6261">
      <colorScale>
        <cfvo type="min"/>
        <cfvo type="percentile" val="50"/>
        <cfvo type="max"/>
        <color rgb="FFF8696B"/>
        <color rgb="FFFFEB84"/>
        <color rgb="FF63BE7B"/>
      </colorScale>
    </cfRule>
  </conditionalFormatting>
  <conditionalFormatting sqref="BE84">
    <cfRule type="colorScale" priority="6260">
      <colorScale>
        <cfvo type="min"/>
        <cfvo type="percentile" val="50"/>
        <cfvo type="max"/>
        <color rgb="FFF8696B"/>
        <color rgb="FFFFEB84"/>
        <color rgb="FF63BE7B"/>
      </colorScale>
    </cfRule>
  </conditionalFormatting>
  <conditionalFormatting sqref="BE84">
    <cfRule type="colorScale" priority="6259">
      <colorScale>
        <cfvo type="min"/>
        <cfvo type="percentile" val="50"/>
        <cfvo type="max"/>
        <color rgb="FF63BE7B"/>
        <color rgb="FFFFEB84"/>
        <color rgb="FFF8696B"/>
      </colorScale>
    </cfRule>
  </conditionalFormatting>
  <conditionalFormatting sqref="BE84">
    <cfRule type="colorScale" priority="6256">
      <colorScale>
        <cfvo type="min"/>
        <cfvo type="max"/>
        <color rgb="FFFCFCFF"/>
        <color rgb="FFF8696B"/>
      </colorScale>
    </cfRule>
    <cfRule type="colorScale" priority="6258">
      <colorScale>
        <cfvo type="min"/>
        <cfvo type="percentile" val="50"/>
        <cfvo type="max"/>
        <color rgb="FF63BE7B"/>
        <color rgb="FFFFEB84"/>
        <color rgb="FFF8696B"/>
      </colorScale>
    </cfRule>
  </conditionalFormatting>
  <conditionalFormatting sqref="BE84">
    <cfRule type="colorScale" priority="6257">
      <colorScale>
        <cfvo type="min"/>
        <cfvo type="max"/>
        <color rgb="FFF8696B"/>
        <color rgb="FFFCFCFF"/>
      </colorScale>
    </cfRule>
  </conditionalFormatting>
  <conditionalFormatting sqref="BG84">
    <cfRule type="colorScale" priority="6255">
      <colorScale>
        <cfvo type="min"/>
        <cfvo type="percentile" val="50"/>
        <cfvo type="max"/>
        <color rgb="FFF8696B"/>
        <color rgb="FFFFEB84"/>
        <color rgb="FF63BE7B"/>
      </colorScale>
    </cfRule>
  </conditionalFormatting>
  <conditionalFormatting sqref="BG84">
    <cfRule type="colorScale" priority="6254">
      <colorScale>
        <cfvo type="min"/>
        <cfvo type="percentile" val="50"/>
        <cfvo type="max"/>
        <color rgb="FFF8696B"/>
        <color rgb="FFFFEB84"/>
        <color rgb="FF63BE7B"/>
      </colorScale>
    </cfRule>
  </conditionalFormatting>
  <conditionalFormatting sqref="BG84">
    <cfRule type="colorScale" priority="6253">
      <colorScale>
        <cfvo type="min"/>
        <cfvo type="percentile" val="50"/>
        <cfvo type="max"/>
        <color rgb="FFF8696B"/>
        <color rgb="FFFFEB84"/>
        <color rgb="FF63BE7B"/>
      </colorScale>
    </cfRule>
  </conditionalFormatting>
  <conditionalFormatting sqref="BG84">
    <cfRule type="colorScale" priority="6252">
      <colorScale>
        <cfvo type="min"/>
        <cfvo type="percentile" val="50"/>
        <cfvo type="max"/>
        <color rgb="FF63BE7B"/>
        <color rgb="FFFFEB84"/>
        <color rgb="FFF8696B"/>
      </colorScale>
    </cfRule>
  </conditionalFormatting>
  <conditionalFormatting sqref="BG84">
    <cfRule type="colorScale" priority="6249">
      <colorScale>
        <cfvo type="min"/>
        <cfvo type="max"/>
        <color rgb="FFFCFCFF"/>
        <color rgb="FFF8696B"/>
      </colorScale>
    </cfRule>
    <cfRule type="colorScale" priority="6251">
      <colorScale>
        <cfvo type="min"/>
        <cfvo type="percentile" val="50"/>
        <cfvo type="max"/>
        <color rgb="FF63BE7B"/>
        <color rgb="FFFFEB84"/>
        <color rgb="FFF8696B"/>
      </colorScale>
    </cfRule>
  </conditionalFormatting>
  <conditionalFormatting sqref="BG84">
    <cfRule type="colorScale" priority="6250">
      <colorScale>
        <cfvo type="min"/>
        <cfvo type="max"/>
        <color rgb="FFF8696B"/>
        <color rgb="FFFCFCFF"/>
      </colorScale>
    </cfRule>
  </conditionalFormatting>
  <conditionalFormatting sqref="BE66">
    <cfRule type="colorScale" priority="6248">
      <colorScale>
        <cfvo type="min"/>
        <cfvo type="percentile" val="50"/>
        <cfvo type="max"/>
        <color rgb="FFF8696B"/>
        <color rgb="FFFFEB84"/>
        <color rgb="FF63BE7B"/>
      </colorScale>
    </cfRule>
  </conditionalFormatting>
  <conditionalFormatting sqref="BG66">
    <cfRule type="colorScale" priority="6247">
      <colorScale>
        <cfvo type="min"/>
        <cfvo type="percentile" val="50"/>
        <cfvo type="max"/>
        <color rgb="FFF8696B"/>
        <color rgb="FFFFEB84"/>
        <color rgb="FF63BE7B"/>
      </colorScale>
    </cfRule>
  </conditionalFormatting>
  <conditionalFormatting sqref="BE71">
    <cfRule type="colorScale" priority="6246">
      <colorScale>
        <cfvo type="min"/>
        <cfvo type="percentile" val="50"/>
        <cfvo type="max"/>
        <color rgb="FFF8696B"/>
        <color rgb="FFFFEB84"/>
        <color rgb="FF63BE7B"/>
      </colorScale>
    </cfRule>
  </conditionalFormatting>
  <conditionalFormatting sqref="BG71">
    <cfRule type="colorScale" priority="6245">
      <colorScale>
        <cfvo type="min"/>
        <cfvo type="percentile" val="50"/>
        <cfvo type="max"/>
        <color rgb="FFF8696B"/>
        <color rgb="FFFFEB84"/>
        <color rgb="FF63BE7B"/>
      </colorScale>
    </cfRule>
  </conditionalFormatting>
  <conditionalFormatting sqref="AY76">
    <cfRule type="colorScale" priority="6244">
      <colorScale>
        <cfvo type="min"/>
        <cfvo type="percentile" val="50"/>
        <cfvo type="max"/>
        <color rgb="FFF8696B"/>
        <color rgb="FFFFEB84"/>
        <color rgb="FF63BE7B"/>
      </colorScale>
    </cfRule>
  </conditionalFormatting>
  <conditionalFormatting sqref="BA76">
    <cfRule type="colorScale" priority="6243">
      <colorScale>
        <cfvo type="min"/>
        <cfvo type="percentile" val="50"/>
        <cfvo type="max"/>
        <color rgb="FFF8696B"/>
        <color rgb="FFFFEB84"/>
        <color rgb="FF63BE7B"/>
      </colorScale>
    </cfRule>
  </conditionalFormatting>
  <conditionalFormatting sqref="BC76">
    <cfRule type="colorScale" priority="6242">
      <colorScale>
        <cfvo type="min"/>
        <cfvo type="percentile" val="50"/>
        <cfvo type="max"/>
        <color rgb="FFF8696B"/>
        <color rgb="FFFFEB84"/>
        <color rgb="FF63BE7B"/>
      </colorScale>
    </cfRule>
  </conditionalFormatting>
  <conditionalFormatting sqref="BE76">
    <cfRule type="colorScale" priority="6241">
      <colorScale>
        <cfvo type="min"/>
        <cfvo type="percentile" val="50"/>
        <cfvo type="max"/>
        <color rgb="FFF8696B"/>
        <color rgb="FFFFEB84"/>
        <color rgb="FF63BE7B"/>
      </colorScale>
    </cfRule>
  </conditionalFormatting>
  <conditionalFormatting sqref="BG76">
    <cfRule type="colorScale" priority="6240">
      <colorScale>
        <cfvo type="min"/>
        <cfvo type="percentile" val="50"/>
        <cfvo type="max"/>
        <color rgb="FFF8696B"/>
        <color rgb="FFFFEB84"/>
        <color rgb="FF63BE7B"/>
      </colorScale>
    </cfRule>
  </conditionalFormatting>
  <conditionalFormatting sqref="AY82">
    <cfRule type="colorScale" priority="6239">
      <colorScale>
        <cfvo type="min"/>
        <cfvo type="percentile" val="50"/>
        <cfvo type="max"/>
        <color rgb="FFF8696B"/>
        <color rgb="FFFFEB84"/>
        <color rgb="FF63BE7B"/>
      </colorScale>
    </cfRule>
  </conditionalFormatting>
  <conditionalFormatting sqref="BA82">
    <cfRule type="colorScale" priority="6238">
      <colorScale>
        <cfvo type="min"/>
        <cfvo type="percentile" val="50"/>
        <cfvo type="max"/>
        <color rgb="FFF8696B"/>
        <color rgb="FFFFEB84"/>
        <color rgb="FF63BE7B"/>
      </colorScale>
    </cfRule>
  </conditionalFormatting>
  <conditionalFormatting sqref="BC82">
    <cfRule type="colorScale" priority="6237">
      <colorScale>
        <cfvo type="min"/>
        <cfvo type="percentile" val="50"/>
        <cfvo type="max"/>
        <color rgb="FFF8696B"/>
        <color rgb="FFFFEB84"/>
        <color rgb="FF63BE7B"/>
      </colorScale>
    </cfRule>
  </conditionalFormatting>
  <conditionalFormatting sqref="BE82">
    <cfRule type="colorScale" priority="6236">
      <colorScale>
        <cfvo type="min"/>
        <cfvo type="percentile" val="50"/>
        <cfvo type="max"/>
        <color rgb="FFF8696B"/>
        <color rgb="FFFFEB84"/>
        <color rgb="FF63BE7B"/>
      </colorScale>
    </cfRule>
  </conditionalFormatting>
  <conditionalFormatting sqref="BG82">
    <cfRule type="colorScale" priority="6235">
      <colorScale>
        <cfvo type="min"/>
        <cfvo type="percentile" val="50"/>
        <cfvo type="max"/>
        <color rgb="FFF8696B"/>
        <color rgb="FFFFEB84"/>
        <color rgb="FF63BE7B"/>
      </colorScale>
    </cfRule>
  </conditionalFormatting>
  <conditionalFormatting sqref="AY82 BA56 AY56 BC56 BE56 BG56 BE66 BG66 BA61 AY61 BE71 BG71 BG76 BE76 BC76 BA76 AY76 BA82 BG82 BE82 BC82 BC84 BE84 BG84">
    <cfRule type="colorScale" priority="6234">
      <colorScale>
        <cfvo type="min"/>
        <cfvo type="max"/>
        <color rgb="FFFCFCFF"/>
        <color rgb="FFF8696B"/>
      </colorScale>
    </cfRule>
  </conditionalFormatting>
  <conditionalFormatting sqref="BI82 BI56 BI66 BI71 BI76">
    <cfRule type="colorScale" priority="6233">
      <colorScale>
        <cfvo type="min"/>
        <cfvo type="percentile" val="50"/>
        <cfvo type="max"/>
        <color rgb="FFF8696B"/>
        <color rgb="FFFFEB84"/>
        <color rgb="FF63BE7B"/>
      </colorScale>
    </cfRule>
  </conditionalFormatting>
  <conditionalFormatting sqref="BI76">
    <cfRule type="colorScale" priority="6232">
      <colorScale>
        <cfvo type="min"/>
        <cfvo type="percentile" val="50"/>
        <cfvo type="max"/>
        <color rgb="FFF8696B"/>
        <color rgb="FFFFEB84"/>
        <color rgb="FF63BE7B"/>
      </colorScale>
    </cfRule>
  </conditionalFormatting>
  <conditionalFormatting sqref="BI56">
    <cfRule type="colorScale" priority="6231">
      <colorScale>
        <cfvo type="min"/>
        <cfvo type="percentile" val="50"/>
        <cfvo type="max"/>
        <color rgb="FFF8696B"/>
        <color rgb="FFFFEB84"/>
        <color rgb="FF63BE7B"/>
      </colorScale>
    </cfRule>
  </conditionalFormatting>
  <conditionalFormatting sqref="BI66 BI82 BI56 BI71 BI76">
    <cfRule type="colorScale" priority="6230">
      <colorScale>
        <cfvo type="min"/>
        <cfvo type="percentile" val="50"/>
        <cfvo type="max"/>
        <color rgb="FF63BE7B"/>
        <color rgb="FFFFEB84"/>
        <color rgb="FFF8696B"/>
      </colorScale>
    </cfRule>
  </conditionalFormatting>
  <conditionalFormatting sqref="BI82 BI56 BI66 BI71 BI76">
    <cfRule type="colorScale" priority="6227">
      <colorScale>
        <cfvo type="min"/>
        <cfvo type="max"/>
        <color rgb="FFFCFCFF"/>
        <color rgb="FFF8696B"/>
      </colorScale>
    </cfRule>
    <cfRule type="colorScale" priority="6229">
      <colorScale>
        <cfvo type="min"/>
        <cfvo type="percentile" val="50"/>
        <cfvo type="max"/>
        <color rgb="FF63BE7B"/>
        <color rgb="FFFFEB84"/>
        <color rgb="FFF8696B"/>
      </colorScale>
    </cfRule>
  </conditionalFormatting>
  <conditionalFormatting sqref="BI82 BI66 BI56 BI71 BI76">
    <cfRule type="colorScale" priority="6228">
      <colorScale>
        <cfvo type="min"/>
        <cfvo type="max"/>
        <color rgb="FFF8696B"/>
        <color rgb="FFFCFCFF"/>
      </colorScale>
    </cfRule>
  </conditionalFormatting>
  <conditionalFormatting sqref="BI84">
    <cfRule type="colorScale" priority="6226">
      <colorScale>
        <cfvo type="min"/>
        <cfvo type="percentile" val="50"/>
        <cfvo type="max"/>
        <color rgb="FFF8696B"/>
        <color rgb="FFFFEB84"/>
        <color rgb="FF63BE7B"/>
      </colorScale>
    </cfRule>
  </conditionalFormatting>
  <conditionalFormatting sqref="BI84">
    <cfRule type="colorScale" priority="6225">
      <colorScale>
        <cfvo type="min"/>
        <cfvo type="percentile" val="50"/>
        <cfvo type="max"/>
        <color rgb="FFF8696B"/>
        <color rgb="FFFFEB84"/>
        <color rgb="FF63BE7B"/>
      </colorScale>
    </cfRule>
  </conditionalFormatting>
  <conditionalFormatting sqref="BI84">
    <cfRule type="colorScale" priority="6224">
      <colorScale>
        <cfvo type="min"/>
        <cfvo type="percentile" val="50"/>
        <cfvo type="max"/>
        <color rgb="FFF8696B"/>
        <color rgb="FFFFEB84"/>
        <color rgb="FF63BE7B"/>
      </colorScale>
    </cfRule>
  </conditionalFormatting>
  <conditionalFormatting sqref="BI84">
    <cfRule type="colorScale" priority="6223">
      <colorScale>
        <cfvo type="min"/>
        <cfvo type="percentile" val="50"/>
        <cfvo type="max"/>
        <color rgb="FF63BE7B"/>
        <color rgb="FFFFEB84"/>
        <color rgb="FFF8696B"/>
      </colorScale>
    </cfRule>
  </conditionalFormatting>
  <conditionalFormatting sqref="BI84">
    <cfRule type="colorScale" priority="6220">
      <colorScale>
        <cfvo type="min"/>
        <cfvo type="max"/>
        <color rgb="FFFCFCFF"/>
        <color rgb="FFF8696B"/>
      </colorScale>
    </cfRule>
    <cfRule type="colorScale" priority="6222">
      <colorScale>
        <cfvo type="min"/>
        <cfvo type="percentile" val="50"/>
        <cfvo type="max"/>
        <color rgb="FF63BE7B"/>
        <color rgb="FFFFEB84"/>
        <color rgb="FFF8696B"/>
      </colorScale>
    </cfRule>
  </conditionalFormatting>
  <conditionalFormatting sqref="BI84">
    <cfRule type="colorScale" priority="6221">
      <colorScale>
        <cfvo type="min"/>
        <cfvo type="max"/>
        <color rgb="FFF8696B"/>
        <color rgb="FFFCFCFF"/>
      </colorScale>
    </cfRule>
  </conditionalFormatting>
  <conditionalFormatting sqref="BI66">
    <cfRule type="colorScale" priority="6219">
      <colorScale>
        <cfvo type="min"/>
        <cfvo type="percentile" val="50"/>
        <cfvo type="max"/>
        <color rgb="FFF8696B"/>
        <color rgb="FFFFEB84"/>
        <color rgb="FF63BE7B"/>
      </colorScale>
    </cfRule>
  </conditionalFormatting>
  <conditionalFormatting sqref="BI71">
    <cfRule type="colorScale" priority="6218">
      <colorScale>
        <cfvo type="min"/>
        <cfvo type="percentile" val="50"/>
        <cfvo type="max"/>
        <color rgb="FFF8696B"/>
        <color rgb="FFFFEB84"/>
        <color rgb="FF63BE7B"/>
      </colorScale>
    </cfRule>
  </conditionalFormatting>
  <conditionalFormatting sqref="BI76">
    <cfRule type="colorScale" priority="6217">
      <colorScale>
        <cfvo type="min"/>
        <cfvo type="percentile" val="50"/>
        <cfvo type="max"/>
        <color rgb="FFF8696B"/>
        <color rgb="FFFFEB84"/>
        <color rgb="FF63BE7B"/>
      </colorScale>
    </cfRule>
  </conditionalFormatting>
  <conditionalFormatting sqref="BI82">
    <cfRule type="colorScale" priority="6216">
      <colorScale>
        <cfvo type="min"/>
        <cfvo type="percentile" val="50"/>
        <cfvo type="max"/>
        <color rgb="FFF8696B"/>
        <color rgb="FFFFEB84"/>
        <color rgb="FF63BE7B"/>
      </colorScale>
    </cfRule>
  </conditionalFormatting>
  <conditionalFormatting sqref="BI66 BI82 BI56 BI71 BI76 BI84">
    <cfRule type="colorScale" priority="6215">
      <colorScale>
        <cfvo type="min"/>
        <cfvo type="max"/>
        <color rgb="FFFCFCFF"/>
        <color rgb="FFF8696B"/>
      </colorScale>
    </cfRule>
  </conditionalFormatting>
  <conditionalFormatting sqref="BK82 BK56 BK66 BK71 BK76">
    <cfRule type="colorScale" priority="6214">
      <colorScale>
        <cfvo type="min"/>
        <cfvo type="percentile" val="50"/>
        <cfvo type="max"/>
        <color rgb="FFF8696B"/>
        <color rgb="FFFFEB84"/>
        <color rgb="FF63BE7B"/>
      </colorScale>
    </cfRule>
  </conditionalFormatting>
  <conditionalFormatting sqref="BK76">
    <cfRule type="colorScale" priority="6213">
      <colorScale>
        <cfvo type="min"/>
        <cfvo type="percentile" val="50"/>
        <cfvo type="max"/>
        <color rgb="FFF8696B"/>
        <color rgb="FFFFEB84"/>
        <color rgb="FF63BE7B"/>
      </colorScale>
    </cfRule>
  </conditionalFormatting>
  <conditionalFormatting sqref="BK56">
    <cfRule type="colorScale" priority="6212">
      <colorScale>
        <cfvo type="min"/>
        <cfvo type="percentile" val="50"/>
        <cfvo type="max"/>
        <color rgb="FFF8696B"/>
        <color rgb="FFFFEB84"/>
        <color rgb="FF63BE7B"/>
      </colorScale>
    </cfRule>
  </conditionalFormatting>
  <conditionalFormatting sqref="BK82 BK56 BK66 BK71 BK76">
    <cfRule type="colorScale" priority="6211">
      <colorScale>
        <cfvo type="min"/>
        <cfvo type="percentile" val="50"/>
        <cfvo type="max"/>
        <color rgb="FF63BE7B"/>
        <color rgb="FFFFEB84"/>
        <color rgb="FFF8696B"/>
      </colorScale>
    </cfRule>
  </conditionalFormatting>
  <conditionalFormatting sqref="BK82 BK56 BK66 BK71 BK76">
    <cfRule type="colorScale" priority="6208">
      <colorScale>
        <cfvo type="min"/>
        <cfvo type="max"/>
        <color rgb="FFFCFCFF"/>
        <color rgb="FFF8696B"/>
      </colorScale>
    </cfRule>
    <cfRule type="colorScale" priority="6210">
      <colorScale>
        <cfvo type="min"/>
        <cfvo type="percentile" val="50"/>
        <cfvo type="max"/>
        <color rgb="FF63BE7B"/>
        <color rgb="FFFFEB84"/>
        <color rgb="FFF8696B"/>
      </colorScale>
    </cfRule>
  </conditionalFormatting>
  <conditionalFormatting sqref="BK66 BK82 BK56 BK71 BK76">
    <cfRule type="colorScale" priority="6209">
      <colorScale>
        <cfvo type="min"/>
        <cfvo type="max"/>
        <color rgb="FFF8696B"/>
        <color rgb="FFFCFCFF"/>
      </colorScale>
    </cfRule>
  </conditionalFormatting>
  <conditionalFormatting sqref="BK84">
    <cfRule type="colorScale" priority="6207">
      <colorScale>
        <cfvo type="min"/>
        <cfvo type="percentile" val="50"/>
        <cfvo type="max"/>
        <color rgb="FFF8696B"/>
        <color rgb="FFFFEB84"/>
        <color rgb="FF63BE7B"/>
      </colorScale>
    </cfRule>
  </conditionalFormatting>
  <conditionalFormatting sqref="BK84">
    <cfRule type="colorScale" priority="6206">
      <colorScale>
        <cfvo type="min"/>
        <cfvo type="percentile" val="50"/>
        <cfvo type="max"/>
        <color rgb="FFF8696B"/>
        <color rgb="FFFFEB84"/>
        <color rgb="FF63BE7B"/>
      </colorScale>
    </cfRule>
  </conditionalFormatting>
  <conditionalFormatting sqref="BK84">
    <cfRule type="colorScale" priority="6205">
      <colorScale>
        <cfvo type="min"/>
        <cfvo type="percentile" val="50"/>
        <cfvo type="max"/>
        <color rgb="FFF8696B"/>
        <color rgb="FFFFEB84"/>
        <color rgb="FF63BE7B"/>
      </colorScale>
    </cfRule>
  </conditionalFormatting>
  <conditionalFormatting sqref="BK84">
    <cfRule type="colorScale" priority="6204">
      <colorScale>
        <cfvo type="min"/>
        <cfvo type="percentile" val="50"/>
        <cfvo type="max"/>
        <color rgb="FF63BE7B"/>
        <color rgb="FFFFEB84"/>
        <color rgb="FFF8696B"/>
      </colorScale>
    </cfRule>
  </conditionalFormatting>
  <conditionalFormatting sqref="BK84">
    <cfRule type="colorScale" priority="6201">
      <colorScale>
        <cfvo type="min"/>
        <cfvo type="max"/>
        <color rgb="FFFCFCFF"/>
        <color rgb="FFF8696B"/>
      </colorScale>
    </cfRule>
    <cfRule type="colorScale" priority="6203">
      <colorScale>
        <cfvo type="min"/>
        <cfvo type="percentile" val="50"/>
        <cfvo type="max"/>
        <color rgb="FF63BE7B"/>
        <color rgb="FFFFEB84"/>
        <color rgb="FFF8696B"/>
      </colorScale>
    </cfRule>
  </conditionalFormatting>
  <conditionalFormatting sqref="BK84">
    <cfRule type="colorScale" priority="6202">
      <colorScale>
        <cfvo type="min"/>
        <cfvo type="max"/>
        <color rgb="FFF8696B"/>
        <color rgb="FFFCFCFF"/>
      </colorScale>
    </cfRule>
  </conditionalFormatting>
  <conditionalFormatting sqref="BK66">
    <cfRule type="colorScale" priority="6200">
      <colorScale>
        <cfvo type="min"/>
        <cfvo type="percentile" val="50"/>
        <cfvo type="max"/>
        <color rgb="FFF8696B"/>
        <color rgb="FFFFEB84"/>
        <color rgb="FF63BE7B"/>
      </colorScale>
    </cfRule>
  </conditionalFormatting>
  <conditionalFormatting sqref="BK71">
    <cfRule type="colorScale" priority="6199">
      <colorScale>
        <cfvo type="min"/>
        <cfvo type="percentile" val="50"/>
        <cfvo type="max"/>
        <color rgb="FFF8696B"/>
        <color rgb="FFFFEB84"/>
        <color rgb="FF63BE7B"/>
      </colorScale>
    </cfRule>
  </conditionalFormatting>
  <conditionalFormatting sqref="BK76">
    <cfRule type="colorScale" priority="6198">
      <colorScale>
        <cfvo type="min"/>
        <cfvo type="percentile" val="50"/>
        <cfvo type="max"/>
        <color rgb="FFF8696B"/>
        <color rgb="FFFFEB84"/>
        <color rgb="FF63BE7B"/>
      </colorScale>
    </cfRule>
  </conditionalFormatting>
  <conditionalFormatting sqref="BK82">
    <cfRule type="colorScale" priority="6197">
      <colorScale>
        <cfvo type="min"/>
        <cfvo type="percentile" val="50"/>
        <cfvo type="max"/>
        <color rgb="FFF8696B"/>
        <color rgb="FFFFEB84"/>
        <color rgb="FF63BE7B"/>
      </colorScale>
    </cfRule>
  </conditionalFormatting>
  <conditionalFormatting sqref="BK82 BK56 BK66 BK71 BK76 BK84">
    <cfRule type="colorScale" priority="6196">
      <colorScale>
        <cfvo type="min"/>
        <cfvo type="max"/>
        <color rgb="FFFCFCFF"/>
        <color rgb="FFF8696B"/>
      </colorScale>
    </cfRule>
  </conditionalFormatting>
  <conditionalFormatting sqref="BG109 BG114 BE119 BG119 BE125 BG125">
    <cfRule type="colorScale" priority="6195">
      <colorScale>
        <cfvo type="min"/>
        <cfvo type="percentile" val="50"/>
        <cfvo type="max"/>
        <color rgb="FFF8696B"/>
        <color rgb="FFFFEB84"/>
        <color rgb="FF63BE7B"/>
      </colorScale>
    </cfRule>
  </conditionalFormatting>
  <conditionalFormatting sqref="BG119">
    <cfRule type="colorScale" priority="6194">
      <colorScale>
        <cfvo type="min"/>
        <cfvo type="percentile" val="50"/>
        <cfvo type="max"/>
        <color rgb="FFF8696B"/>
        <color rgb="FFFFEB84"/>
        <color rgb="FF63BE7B"/>
      </colorScale>
    </cfRule>
  </conditionalFormatting>
  <conditionalFormatting sqref="BG109 BG114 BE119 BG119 BE125 BG125">
    <cfRule type="colorScale" priority="6193">
      <colorScale>
        <cfvo type="min"/>
        <cfvo type="percentile" val="50"/>
        <cfvo type="max"/>
        <color rgb="FF63BE7B"/>
        <color rgb="FFFFEB84"/>
        <color rgb="FFF8696B"/>
      </colorScale>
    </cfRule>
  </conditionalFormatting>
  <conditionalFormatting sqref="BG109 BG114 BE119 BG119 BE125 BG125">
    <cfRule type="colorScale" priority="6190">
      <colorScale>
        <cfvo type="min"/>
        <cfvo type="max"/>
        <color rgb="FFFCFCFF"/>
        <color rgb="FFF8696B"/>
      </colorScale>
    </cfRule>
    <cfRule type="colorScale" priority="6192">
      <colorScale>
        <cfvo type="min"/>
        <cfvo type="percentile" val="50"/>
        <cfvo type="max"/>
        <color rgb="FF63BE7B"/>
        <color rgb="FFFFEB84"/>
        <color rgb="FFF8696B"/>
      </colorScale>
    </cfRule>
  </conditionalFormatting>
  <conditionalFormatting sqref="BG109 BG114 BE119 BG119 BE125 BG125">
    <cfRule type="colorScale" priority="6191">
      <colorScale>
        <cfvo type="min"/>
        <cfvo type="max"/>
        <color rgb="FFF8696B"/>
        <color rgb="FFFCFCFF"/>
      </colorScale>
    </cfRule>
  </conditionalFormatting>
  <conditionalFormatting sqref="BC127">
    <cfRule type="colorScale" priority="6189">
      <colorScale>
        <cfvo type="min"/>
        <cfvo type="percentile" val="50"/>
        <cfvo type="max"/>
        <color rgb="FFF8696B"/>
        <color rgb="FFFFEB84"/>
        <color rgb="FF63BE7B"/>
      </colorScale>
    </cfRule>
  </conditionalFormatting>
  <conditionalFormatting sqref="BC127">
    <cfRule type="colorScale" priority="6188">
      <colorScale>
        <cfvo type="min"/>
        <cfvo type="percentile" val="50"/>
        <cfvo type="max"/>
        <color rgb="FFF8696B"/>
        <color rgb="FFFFEB84"/>
        <color rgb="FF63BE7B"/>
      </colorScale>
    </cfRule>
  </conditionalFormatting>
  <conditionalFormatting sqref="BC127">
    <cfRule type="colorScale" priority="6187">
      <colorScale>
        <cfvo type="min"/>
        <cfvo type="percentile" val="50"/>
        <cfvo type="max"/>
        <color rgb="FFF8696B"/>
        <color rgb="FFFFEB84"/>
        <color rgb="FF63BE7B"/>
      </colorScale>
    </cfRule>
  </conditionalFormatting>
  <conditionalFormatting sqref="BC127">
    <cfRule type="colorScale" priority="6186">
      <colorScale>
        <cfvo type="min"/>
        <cfvo type="percentile" val="50"/>
        <cfvo type="max"/>
        <color rgb="FF63BE7B"/>
        <color rgb="FFFFEB84"/>
        <color rgb="FFF8696B"/>
      </colorScale>
    </cfRule>
  </conditionalFormatting>
  <conditionalFormatting sqref="BC127">
    <cfRule type="colorScale" priority="6183">
      <colorScale>
        <cfvo type="min"/>
        <cfvo type="max"/>
        <color rgb="FFFCFCFF"/>
        <color rgb="FFF8696B"/>
      </colorScale>
    </cfRule>
    <cfRule type="colorScale" priority="6185">
      <colorScale>
        <cfvo type="min"/>
        <cfvo type="percentile" val="50"/>
        <cfvo type="max"/>
        <color rgb="FF63BE7B"/>
        <color rgb="FFFFEB84"/>
        <color rgb="FFF8696B"/>
      </colorScale>
    </cfRule>
  </conditionalFormatting>
  <conditionalFormatting sqref="BC127">
    <cfRule type="colorScale" priority="6184">
      <colorScale>
        <cfvo type="min"/>
        <cfvo type="max"/>
        <color rgb="FFF8696B"/>
        <color rgb="FFFCFCFF"/>
      </colorScale>
    </cfRule>
  </conditionalFormatting>
  <conditionalFormatting sqref="BE127">
    <cfRule type="colorScale" priority="6182">
      <colorScale>
        <cfvo type="min"/>
        <cfvo type="percentile" val="50"/>
        <cfvo type="max"/>
        <color rgb="FFF8696B"/>
        <color rgb="FFFFEB84"/>
        <color rgb="FF63BE7B"/>
      </colorScale>
    </cfRule>
  </conditionalFormatting>
  <conditionalFormatting sqref="BE127">
    <cfRule type="colorScale" priority="6181">
      <colorScale>
        <cfvo type="min"/>
        <cfvo type="percentile" val="50"/>
        <cfvo type="max"/>
        <color rgb="FFF8696B"/>
        <color rgb="FFFFEB84"/>
        <color rgb="FF63BE7B"/>
      </colorScale>
    </cfRule>
  </conditionalFormatting>
  <conditionalFormatting sqref="BE127">
    <cfRule type="colorScale" priority="6180">
      <colorScale>
        <cfvo type="min"/>
        <cfvo type="percentile" val="50"/>
        <cfvo type="max"/>
        <color rgb="FFF8696B"/>
        <color rgb="FFFFEB84"/>
        <color rgb="FF63BE7B"/>
      </colorScale>
    </cfRule>
  </conditionalFormatting>
  <conditionalFormatting sqref="BE127">
    <cfRule type="colorScale" priority="6179">
      <colorScale>
        <cfvo type="min"/>
        <cfvo type="percentile" val="50"/>
        <cfvo type="max"/>
        <color rgb="FF63BE7B"/>
        <color rgb="FFFFEB84"/>
        <color rgb="FFF8696B"/>
      </colorScale>
    </cfRule>
  </conditionalFormatting>
  <conditionalFormatting sqref="BE127">
    <cfRule type="colorScale" priority="6176">
      <colorScale>
        <cfvo type="min"/>
        <cfvo type="max"/>
        <color rgb="FFFCFCFF"/>
        <color rgb="FFF8696B"/>
      </colorScale>
    </cfRule>
    <cfRule type="colorScale" priority="6178">
      <colorScale>
        <cfvo type="min"/>
        <cfvo type="percentile" val="50"/>
        <cfvo type="max"/>
        <color rgb="FF63BE7B"/>
        <color rgb="FFFFEB84"/>
        <color rgb="FFF8696B"/>
      </colorScale>
    </cfRule>
  </conditionalFormatting>
  <conditionalFormatting sqref="BE127">
    <cfRule type="colorScale" priority="6177">
      <colorScale>
        <cfvo type="min"/>
        <cfvo type="max"/>
        <color rgb="FFF8696B"/>
        <color rgb="FFFCFCFF"/>
      </colorScale>
    </cfRule>
  </conditionalFormatting>
  <conditionalFormatting sqref="BG127">
    <cfRule type="colorScale" priority="6175">
      <colorScale>
        <cfvo type="min"/>
        <cfvo type="percentile" val="50"/>
        <cfvo type="max"/>
        <color rgb="FFF8696B"/>
        <color rgb="FFFFEB84"/>
        <color rgb="FF63BE7B"/>
      </colorScale>
    </cfRule>
  </conditionalFormatting>
  <conditionalFormatting sqref="BG127">
    <cfRule type="colorScale" priority="6174">
      <colorScale>
        <cfvo type="min"/>
        <cfvo type="percentile" val="50"/>
        <cfvo type="max"/>
        <color rgb="FFF8696B"/>
        <color rgb="FFFFEB84"/>
        <color rgb="FF63BE7B"/>
      </colorScale>
    </cfRule>
  </conditionalFormatting>
  <conditionalFormatting sqref="BG127">
    <cfRule type="colorScale" priority="6173">
      <colorScale>
        <cfvo type="min"/>
        <cfvo type="percentile" val="50"/>
        <cfvo type="max"/>
        <color rgb="FFF8696B"/>
        <color rgb="FFFFEB84"/>
        <color rgb="FF63BE7B"/>
      </colorScale>
    </cfRule>
  </conditionalFormatting>
  <conditionalFormatting sqref="BG127">
    <cfRule type="colorScale" priority="6172">
      <colorScale>
        <cfvo type="min"/>
        <cfvo type="percentile" val="50"/>
        <cfvo type="max"/>
        <color rgb="FF63BE7B"/>
        <color rgb="FFFFEB84"/>
        <color rgb="FFF8696B"/>
      </colorScale>
    </cfRule>
  </conditionalFormatting>
  <conditionalFormatting sqref="BG127">
    <cfRule type="colorScale" priority="6169">
      <colorScale>
        <cfvo type="min"/>
        <cfvo type="max"/>
        <color rgb="FFFCFCFF"/>
        <color rgb="FFF8696B"/>
      </colorScale>
    </cfRule>
    <cfRule type="colorScale" priority="6171">
      <colorScale>
        <cfvo type="min"/>
        <cfvo type="percentile" val="50"/>
        <cfvo type="max"/>
        <color rgb="FF63BE7B"/>
        <color rgb="FFFFEB84"/>
        <color rgb="FFF8696B"/>
      </colorScale>
    </cfRule>
  </conditionalFormatting>
  <conditionalFormatting sqref="BG127">
    <cfRule type="colorScale" priority="6170">
      <colorScale>
        <cfvo type="min"/>
        <cfvo type="max"/>
        <color rgb="FFF8696B"/>
        <color rgb="FFFCFCFF"/>
      </colorScale>
    </cfRule>
  </conditionalFormatting>
  <conditionalFormatting sqref="BG109">
    <cfRule type="colorScale" priority="6168">
      <colorScale>
        <cfvo type="min"/>
        <cfvo type="percentile" val="50"/>
        <cfvo type="max"/>
        <color rgb="FFF8696B"/>
        <color rgb="FFFFEB84"/>
        <color rgb="FF63BE7B"/>
      </colorScale>
    </cfRule>
  </conditionalFormatting>
  <conditionalFormatting sqref="BG114">
    <cfRule type="colorScale" priority="6167">
      <colorScale>
        <cfvo type="min"/>
        <cfvo type="percentile" val="50"/>
        <cfvo type="max"/>
        <color rgb="FFF8696B"/>
        <color rgb="FFFFEB84"/>
        <color rgb="FF63BE7B"/>
      </colorScale>
    </cfRule>
  </conditionalFormatting>
  <conditionalFormatting sqref="BE119">
    <cfRule type="colorScale" priority="6164">
      <colorScale>
        <cfvo type="min"/>
        <cfvo type="percentile" val="50"/>
        <cfvo type="max"/>
        <color rgb="FFF8696B"/>
        <color rgb="FFFFEB84"/>
        <color rgb="FF63BE7B"/>
      </colorScale>
    </cfRule>
  </conditionalFormatting>
  <conditionalFormatting sqref="BG119">
    <cfRule type="colorScale" priority="6163">
      <colorScale>
        <cfvo type="min"/>
        <cfvo type="percentile" val="50"/>
        <cfvo type="max"/>
        <color rgb="FFF8696B"/>
        <color rgb="FFFFEB84"/>
        <color rgb="FF63BE7B"/>
      </colorScale>
    </cfRule>
  </conditionalFormatting>
  <conditionalFormatting sqref="BE125">
    <cfRule type="colorScale" priority="6160">
      <colorScale>
        <cfvo type="min"/>
        <cfvo type="percentile" val="50"/>
        <cfvo type="max"/>
        <color rgb="FFF8696B"/>
        <color rgb="FFFFEB84"/>
        <color rgb="FF63BE7B"/>
      </colorScale>
    </cfRule>
  </conditionalFormatting>
  <conditionalFormatting sqref="BG125">
    <cfRule type="colorScale" priority="6159">
      <colorScale>
        <cfvo type="min"/>
        <cfvo type="percentile" val="50"/>
        <cfvo type="max"/>
        <color rgb="FFF8696B"/>
        <color rgb="FFFFEB84"/>
        <color rgb="FF63BE7B"/>
      </colorScale>
    </cfRule>
  </conditionalFormatting>
  <conditionalFormatting sqref="BA104 BG109 AY104 BG114 BG119 BE119 BG125 BE125 BC127 BE127 BG127">
    <cfRule type="colorScale" priority="6158">
      <colorScale>
        <cfvo type="min"/>
        <cfvo type="max"/>
        <color rgb="FFFCFCFF"/>
        <color rgb="FFF8696B"/>
      </colorScale>
    </cfRule>
  </conditionalFormatting>
  <conditionalFormatting sqref="BI125 BI114 BI109 BI119">
    <cfRule type="colorScale" priority="6157">
      <colorScale>
        <cfvo type="min"/>
        <cfvo type="percentile" val="50"/>
        <cfvo type="max"/>
        <color rgb="FFF8696B"/>
        <color rgb="FFFFEB84"/>
        <color rgb="FF63BE7B"/>
      </colorScale>
    </cfRule>
  </conditionalFormatting>
  <conditionalFormatting sqref="BI119">
    <cfRule type="colorScale" priority="6156">
      <colorScale>
        <cfvo type="min"/>
        <cfvo type="percentile" val="50"/>
        <cfvo type="max"/>
        <color rgb="FFF8696B"/>
        <color rgb="FFFFEB84"/>
        <color rgb="FF63BE7B"/>
      </colorScale>
    </cfRule>
  </conditionalFormatting>
  <conditionalFormatting sqref="BI125 BI109 BI114 BI119">
    <cfRule type="colorScale" priority="6155">
      <colorScale>
        <cfvo type="min"/>
        <cfvo type="percentile" val="50"/>
        <cfvo type="max"/>
        <color rgb="FF63BE7B"/>
        <color rgb="FFFFEB84"/>
        <color rgb="FFF8696B"/>
      </colorScale>
    </cfRule>
  </conditionalFormatting>
  <conditionalFormatting sqref="BI125 BI109 BI114 BI119">
    <cfRule type="colorScale" priority="6152">
      <colorScale>
        <cfvo type="min"/>
        <cfvo type="max"/>
        <color rgb="FFFCFCFF"/>
        <color rgb="FFF8696B"/>
      </colorScale>
    </cfRule>
    <cfRule type="colorScale" priority="6154">
      <colorScale>
        <cfvo type="min"/>
        <cfvo type="percentile" val="50"/>
        <cfvo type="max"/>
        <color rgb="FF63BE7B"/>
        <color rgb="FFFFEB84"/>
        <color rgb="FFF8696B"/>
      </colorScale>
    </cfRule>
  </conditionalFormatting>
  <conditionalFormatting sqref="BI125 BI114 BI109 BI119">
    <cfRule type="colorScale" priority="6153">
      <colorScale>
        <cfvo type="min"/>
        <cfvo type="max"/>
        <color rgb="FFF8696B"/>
        <color rgb="FFFCFCFF"/>
      </colorScale>
    </cfRule>
  </conditionalFormatting>
  <conditionalFormatting sqref="BI127">
    <cfRule type="colorScale" priority="6151">
      <colorScale>
        <cfvo type="min"/>
        <cfvo type="percentile" val="50"/>
        <cfvo type="max"/>
        <color rgb="FFF8696B"/>
        <color rgb="FFFFEB84"/>
        <color rgb="FF63BE7B"/>
      </colorScale>
    </cfRule>
  </conditionalFormatting>
  <conditionalFormatting sqref="BI127">
    <cfRule type="colorScale" priority="6150">
      <colorScale>
        <cfvo type="min"/>
        <cfvo type="percentile" val="50"/>
        <cfvo type="max"/>
        <color rgb="FFF8696B"/>
        <color rgb="FFFFEB84"/>
        <color rgb="FF63BE7B"/>
      </colorScale>
    </cfRule>
  </conditionalFormatting>
  <conditionalFormatting sqref="BI127">
    <cfRule type="colorScale" priority="6149">
      <colorScale>
        <cfvo type="min"/>
        <cfvo type="percentile" val="50"/>
        <cfvo type="max"/>
        <color rgb="FFF8696B"/>
        <color rgb="FFFFEB84"/>
        <color rgb="FF63BE7B"/>
      </colorScale>
    </cfRule>
  </conditionalFormatting>
  <conditionalFormatting sqref="BI127">
    <cfRule type="colorScale" priority="6148">
      <colorScale>
        <cfvo type="min"/>
        <cfvo type="percentile" val="50"/>
        <cfvo type="max"/>
        <color rgb="FF63BE7B"/>
        <color rgb="FFFFEB84"/>
        <color rgb="FFF8696B"/>
      </colorScale>
    </cfRule>
  </conditionalFormatting>
  <conditionalFormatting sqref="BI127">
    <cfRule type="colorScale" priority="6145">
      <colorScale>
        <cfvo type="min"/>
        <cfvo type="max"/>
        <color rgb="FFFCFCFF"/>
        <color rgb="FFF8696B"/>
      </colorScale>
    </cfRule>
    <cfRule type="colorScale" priority="6147">
      <colorScale>
        <cfvo type="min"/>
        <cfvo type="percentile" val="50"/>
        <cfvo type="max"/>
        <color rgb="FF63BE7B"/>
        <color rgb="FFFFEB84"/>
        <color rgb="FFF8696B"/>
      </colorScale>
    </cfRule>
  </conditionalFormatting>
  <conditionalFormatting sqref="BI127">
    <cfRule type="colorScale" priority="6146">
      <colorScale>
        <cfvo type="min"/>
        <cfvo type="max"/>
        <color rgb="FFF8696B"/>
        <color rgb="FFFCFCFF"/>
      </colorScale>
    </cfRule>
  </conditionalFormatting>
  <conditionalFormatting sqref="BI109">
    <cfRule type="colorScale" priority="6144">
      <colorScale>
        <cfvo type="min"/>
        <cfvo type="percentile" val="50"/>
        <cfvo type="max"/>
        <color rgb="FFF8696B"/>
        <color rgb="FFFFEB84"/>
        <color rgb="FF63BE7B"/>
      </colorScale>
    </cfRule>
  </conditionalFormatting>
  <conditionalFormatting sqref="BI114">
    <cfRule type="colorScale" priority="6143">
      <colorScale>
        <cfvo type="min"/>
        <cfvo type="percentile" val="50"/>
        <cfvo type="max"/>
        <color rgb="FFF8696B"/>
        <color rgb="FFFFEB84"/>
        <color rgb="FF63BE7B"/>
      </colorScale>
    </cfRule>
  </conditionalFormatting>
  <conditionalFormatting sqref="BI119">
    <cfRule type="colorScale" priority="6142">
      <colorScale>
        <cfvo type="min"/>
        <cfvo type="percentile" val="50"/>
        <cfvo type="max"/>
        <color rgb="FFF8696B"/>
        <color rgb="FFFFEB84"/>
        <color rgb="FF63BE7B"/>
      </colorScale>
    </cfRule>
  </conditionalFormatting>
  <conditionalFormatting sqref="BI125">
    <cfRule type="colorScale" priority="6141">
      <colorScale>
        <cfvo type="min"/>
        <cfvo type="percentile" val="50"/>
        <cfvo type="max"/>
        <color rgb="FFF8696B"/>
        <color rgb="FFFFEB84"/>
        <color rgb="FF63BE7B"/>
      </colorScale>
    </cfRule>
  </conditionalFormatting>
  <conditionalFormatting sqref="BI125 BI114 BI109 BI119 BI127">
    <cfRule type="colorScale" priority="6140">
      <colorScale>
        <cfvo type="min"/>
        <cfvo type="max"/>
        <color rgb="FFFCFCFF"/>
        <color rgb="FFF8696B"/>
      </colorScale>
    </cfRule>
  </conditionalFormatting>
  <conditionalFormatting sqref="BK125 BK109 BK114 BK119">
    <cfRule type="colorScale" priority="6139">
      <colorScale>
        <cfvo type="min"/>
        <cfvo type="percentile" val="50"/>
        <cfvo type="max"/>
        <color rgb="FFF8696B"/>
        <color rgb="FFFFEB84"/>
        <color rgb="FF63BE7B"/>
      </colorScale>
    </cfRule>
  </conditionalFormatting>
  <conditionalFormatting sqref="BK119">
    <cfRule type="colorScale" priority="6138">
      <colorScale>
        <cfvo type="min"/>
        <cfvo type="percentile" val="50"/>
        <cfvo type="max"/>
        <color rgb="FFF8696B"/>
        <color rgb="FFFFEB84"/>
        <color rgb="FF63BE7B"/>
      </colorScale>
    </cfRule>
  </conditionalFormatting>
  <conditionalFormatting sqref="BK125 BK109 BK114 BK119">
    <cfRule type="colorScale" priority="6137">
      <colorScale>
        <cfvo type="min"/>
        <cfvo type="percentile" val="50"/>
        <cfvo type="max"/>
        <color rgb="FF63BE7B"/>
        <color rgb="FFFFEB84"/>
        <color rgb="FFF8696B"/>
      </colorScale>
    </cfRule>
  </conditionalFormatting>
  <conditionalFormatting sqref="BK125 BK109 BK114 BK119">
    <cfRule type="colorScale" priority="6134">
      <colorScale>
        <cfvo type="min"/>
        <cfvo type="max"/>
        <color rgb="FFFCFCFF"/>
        <color rgb="FFF8696B"/>
      </colorScale>
    </cfRule>
    <cfRule type="colorScale" priority="6136">
      <colorScale>
        <cfvo type="min"/>
        <cfvo type="percentile" val="50"/>
        <cfvo type="max"/>
        <color rgb="FF63BE7B"/>
        <color rgb="FFFFEB84"/>
        <color rgb="FFF8696B"/>
      </colorScale>
    </cfRule>
  </conditionalFormatting>
  <conditionalFormatting sqref="BK125 BK109 BK114 BK119">
    <cfRule type="colorScale" priority="6135">
      <colorScale>
        <cfvo type="min"/>
        <cfvo type="max"/>
        <color rgb="FFF8696B"/>
        <color rgb="FFFCFCFF"/>
      </colorScale>
    </cfRule>
  </conditionalFormatting>
  <conditionalFormatting sqref="BK127">
    <cfRule type="colorScale" priority="6133">
      <colorScale>
        <cfvo type="min"/>
        <cfvo type="percentile" val="50"/>
        <cfvo type="max"/>
        <color rgb="FFF8696B"/>
        <color rgb="FFFFEB84"/>
        <color rgb="FF63BE7B"/>
      </colorScale>
    </cfRule>
  </conditionalFormatting>
  <conditionalFormatting sqref="BK127">
    <cfRule type="colorScale" priority="6132">
      <colorScale>
        <cfvo type="min"/>
        <cfvo type="percentile" val="50"/>
        <cfvo type="max"/>
        <color rgb="FFF8696B"/>
        <color rgb="FFFFEB84"/>
        <color rgb="FF63BE7B"/>
      </colorScale>
    </cfRule>
  </conditionalFormatting>
  <conditionalFormatting sqref="BK127">
    <cfRule type="colorScale" priority="6131">
      <colorScale>
        <cfvo type="min"/>
        <cfvo type="percentile" val="50"/>
        <cfvo type="max"/>
        <color rgb="FFF8696B"/>
        <color rgb="FFFFEB84"/>
        <color rgb="FF63BE7B"/>
      </colorScale>
    </cfRule>
  </conditionalFormatting>
  <conditionalFormatting sqref="BK127">
    <cfRule type="colorScale" priority="6130">
      <colorScale>
        <cfvo type="min"/>
        <cfvo type="percentile" val="50"/>
        <cfvo type="max"/>
        <color rgb="FF63BE7B"/>
        <color rgb="FFFFEB84"/>
        <color rgb="FFF8696B"/>
      </colorScale>
    </cfRule>
  </conditionalFormatting>
  <conditionalFormatting sqref="BK127">
    <cfRule type="colorScale" priority="6127">
      <colorScale>
        <cfvo type="min"/>
        <cfvo type="max"/>
        <color rgb="FFFCFCFF"/>
        <color rgb="FFF8696B"/>
      </colorScale>
    </cfRule>
    <cfRule type="colorScale" priority="6129">
      <colorScale>
        <cfvo type="min"/>
        <cfvo type="percentile" val="50"/>
        <cfvo type="max"/>
        <color rgb="FF63BE7B"/>
        <color rgb="FFFFEB84"/>
        <color rgb="FFF8696B"/>
      </colorScale>
    </cfRule>
  </conditionalFormatting>
  <conditionalFormatting sqref="BK127">
    <cfRule type="colorScale" priority="6128">
      <colorScale>
        <cfvo type="min"/>
        <cfvo type="max"/>
        <color rgb="FFF8696B"/>
        <color rgb="FFFCFCFF"/>
      </colorScale>
    </cfRule>
  </conditionalFormatting>
  <conditionalFormatting sqref="BK109">
    <cfRule type="colorScale" priority="6126">
      <colorScale>
        <cfvo type="min"/>
        <cfvo type="percentile" val="50"/>
        <cfvo type="max"/>
        <color rgb="FFF8696B"/>
        <color rgb="FFFFEB84"/>
        <color rgb="FF63BE7B"/>
      </colorScale>
    </cfRule>
  </conditionalFormatting>
  <conditionalFormatting sqref="BK114">
    <cfRule type="colorScale" priority="6125">
      <colorScale>
        <cfvo type="min"/>
        <cfvo type="percentile" val="50"/>
        <cfvo type="max"/>
        <color rgb="FFF8696B"/>
        <color rgb="FFFFEB84"/>
        <color rgb="FF63BE7B"/>
      </colorScale>
    </cfRule>
  </conditionalFormatting>
  <conditionalFormatting sqref="BK119">
    <cfRule type="colorScale" priority="6124">
      <colorScale>
        <cfvo type="min"/>
        <cfvo type="percentile" val="50"/>
        <cfvo type="max"/>
        <color rgb="FFF8696B"/>
        <color rgb="FFFFEB84"/>
        <color rgb="FF63BE7B"/>
      </colorScale>
    </cfRule>
  </conditionalFormatting>
  <conditionalFormatting sqref="BK125">
    <cfRule type="colorScale" priority="6123">
      <colorScale>
        <cfvo type="min"/>
        <cfvo type="percentile" val="50"/>
        <cfvo type="max"/>
        <color rgb="FFF8696B"/>
        <color rgb="FFFFEB84"/>
        <color rgb="FF63BE7B"/>
      </colorScale>
    </cfRule>
  </conditionalFormatting>
  <conditionalFormatting sqref="BK109 BK125 BK114 BK119 BK127">
    <cfRule type="colorScale" priority="6122">
      <colorScale>
        <cfvo type="min"/>
        <cfvo type="max"/>
        <color rgb="FFFCFCFF"/>
        <color rgb="FFF8696B"/>
      </colorScale>
    </cfRule>
  </conditionalFormatting>
  <conditionalFormatting sqref="AY142 AY168 BA142 BC142 BE142 BG142 BE162 BG162 BA168 BC168 BE168 BG168">
    <cfRule type="colorScale" priority="6121">
      <colorScale>
        <cfvo type="min"/>
        <cfvo type="percentile" val="50"/>
        <cfvo type="max"/>
        <color rgb="FFF8696B"/>
        <color rgb="FFFFEB84"/>
        <color rgb="FF63BE7B"/>
      </colorScale>
    </cfRule>
  </conditionalFormatting>
  <conditionalFormatting sqref="BG162">
    <cfRule type="colorScale" priority="6120">
      <colorScale>
        <cfvo type="min"/>
        <cfvo type="percentile" val="50"/>
        <cfvo type="max"/>
        <color rgb="FFF8696B"/>
        <color rgb="FFFFEB84"/>
        <color rgb="FF63BE7B"/>
      </colorScale>
    </cfRule>
  </conditionalFormatting>
  <conditionalFormatting sqref="AY142 BA142 BC142 BE142 BG142">
    <cfRule type="colorScale" priority="6119">
      <colorScale>
        <cfvo type="min"/>
        <cfvo type="percentile" val="50"/>
        <cfvo type="max"/>
        <color rgb="FFF8696B"/>
        <color rgb="FFFFEB84"/>
        <color rgb="FF63BE7B"/>
      </colorScale>
    </cfRule>
  </conditionalFormatting>
  <conditionalFormatting sqref="AY142 AY168 BA142 BC142 BE142 BG142 BE162 BG162 BA168 BC168 BE168 BG168">
    <cfRule type="colorScale" priority="6118">
      <colorScale>
        <cfvo type="min"/>
        <cfvo type="percentile" val="50"/>
        <cfvo type="max"/>
        <color rgb="FF63BE7B"/>
        <color rgb="FFFFEB84"/>
        <color rgb="FFF8696B"/>
      </colorScale>
    </cfRule>
  </conditionalFormatting>
  <conditionalFormatting sqref="AY168 AY142 BA142 BC142 BE142 BG142 BE162 BG162 BA168 BC168 BE168 BG168">
    <cfRule type="colorScale" priority="6115">
      <colorScale>
        <cfvo type="min"/>
        <cfvo type="max"/>
        <color rgb="FFFCFCFF"/>
        <color rgb="FFF8696B"/>
      </colorScale>
    </cfRule>
    <cfRule type="colorScale" priority="6117">
      <colorScale>
        <cfvo type="min"/>
        <cfvo type="percentile" val="50"/>
        <cfvo type="max"/>
        <color rgb="FF63BE7B"/>
        <color rgb="FFFFEB84"/>
        <color rgb="FFF8696B"/>
      </colorScale>
    </cfRule>
  </conditionalFormatting>
  <conditionalFormatting sqref="AY142 AY168 BA142 BC142 BE142 BG142 BE162 BG162 BA168 BC168 BE168 BG168">
    <cfRule type="colorScale" priority="6116">
      <colorScale>
        <cfvo type="min"/>
        <cfvo type="max"/>
        <color rgb="FFF8696B"/>
        <color rgb="FFFCFCFF"/>
      </colorScale>
    </cfRule>
  </conditionalFormatting>
  <conditionalFormatting sqref="BC170">
    <cfRule type="colorScale" priority="6114">
      <colorScale>
        <cfvo type="min"/>
        <cfvo type="percentile" val="50"/>
        <cfvo type="max"/>
        <color rgb="FFF8696B"/>
        <color rgb="FFFFEB84"/>
        <color rgb="FF63BE7B"/>
      </colorScale>
    </cfRule>
  </conditionalFormatting>
  <conditionalFormatting sqref="BC170">
    <cfRule type="colorScale" priority="6113">
      <colorScale>
        <cfvo type="min"/>
        <cfvo type="percentile" val="50"/>
        <cfvo type="max"/>
        <color rgb="FFF8696B"/>
        <color rgb="FFFFEB84"/>
        <color rgb="FF63BE7B"/>
      </colorScale>
    </cfRule>
  </conditionalFormatting>
  <conditionalFormatting sqref="BC170">
    <cfRule type="colorScale" priority="6112">
      <colorScale>
        <cfvo type="min"/>
        <cfvo type="percentile" val="50"/>
        <cfvo type="max"/>
        <color rgb="FFF8696B"/>
        <color rgb="FFFFEB84"/>
        <color rgb="FF63BE7B"/>
      </colorScale>
    </cfRule>
  </conditionalFormatting>
  <conditionalFormatting sqref="BC170">
    <cfRule type="colorScale" priority="6111">
      <colorScale>
        <cfvo type="min"/>
        <cfvo type="percentile" val="50"/>
        <cfvo type="max"/>
        <color rgb="FF63BE7B"/>
        <color rgb="FFFFEB84"/>
        <color rgb="FFF8696B"/>
      </colorScale>
    </cfRule>
  </conditionalFormatting>
  <conditionalFormatting sqref="BC170">
    <cfRule type="colorScale" priority="6108">
      <colorScale>
        <cfvo type="min"/>
        <cfvo type="max"/>
        <color rgb="FFFCFCFF"/>
        <color rgb="FFF8696B"/>
      </colorScale>
    </cfRule>
    <cfRule type="colorScale" priority="6110">
      <colorScale>
        <cfvo type="min"/>
        <cfvo type="percentile" val="50"/>
        <cfvo type="max"/>
        <color rgb="FF63BE7B"/>
        <color rgb="FFFFEB84"/>
        <color rgb="FFF8696B"/>
      </colorScale>
    </cfRule>
  </conditionalFormatting>
  <conditionalFormatting sqref="BC170">
    <cfRule type="colorScale" priority="6109">
      <colorScale>
        <cfvo type="min"/>
        <cfvo type="max"/>
        <color rgb="FFF8696B"/>
        <color rgb="FFFCFCFF"/>
      </colorScale>
    </cfRule>
  </conditionalFormatting>
  <conditionalFormatting sqref="BE170">
    <cfRule type="colorScale" priority="6107">
      <colorScale>
        <cfvo type="min"/>
        <cfvo type="percentile" val="50"/>
        <cfvo type="max"/>
        <color rgb="FFF8696B"/>
        <color rgb="FFFFEB84"/>
        <color rgb="FF63BE7B"/>
      </colorScale>
    </cfRule>
  </conditionalFormatting>
  <conditionalFormatting sqref="BE170">
    <cfRule type="colorScale" priority="6106">
      <colorScale>
        <cfvo type="min"/>
        <cfvo type="percentile" val="50"/>
        <cfvo type="max"/>
        <color rgb="FFF8696B"/>
        <color rgb="FFFFEB84"/>
        <color rgb="FF63BE7B"/>
      </colorScale>
    </cfRule>
  </conditionalFormatting>
  <conditionalFormatting sqref="BE170">
    <cfRule type="colorScale" priority="6105">
      <colorScale>
        <cfvo type="min"/>
        <cfvo type="percentile" val="50"/>
        <cfvo type="max"/>
        <color rgb="FFF8696B"/>
        <color rgb="FFFFEB84"/>
        <color rgb="FF63BE7B"/>
      </colorScale>
    </cfRule>
  </conditionalFormatting>
  <conditionalFormatting sqref="BE170">
    <cfRule type="colorScale" priority="6104">
      <colorScale>
        <cfvo type="min"/>
        <cfvo type="percentile" val="50"/>
        <cfvo type="max"/>
        <color rgb="FF63BE7B"/>
        <color rgb="FFFFEB84"/>
        <color rgb="FFF8696B"/>
      </colorScale>
    </cfRule>
  </conditionalFormatting>
  <conditionalFormatting sqref="BE170">
    <cfRule type="colorScale" priority="6101">
      <colorScale>
        <cfvo type="min"/>
        <cfvo type="max"/>
        <color rgb="FFFCFCFF"/>
        <color rgb="FFF8696B"/>
      </colorScale>
    </cfRule>
    <cfRule type="colorScale" priority="6103">
      <colorScale>
        <cfvo type="min"/>
        <cfvo type="percentile" val="50"/>
        <cfvo type="max"/>
        <color rgb="FF63BE7B"/>
        <color rgb="FFFFEB84"/>
        <color rgb="FFF8696B"/>
      </colorScale>
    </cfRule>
  </conditionalFormatting>
  <conditionalFormatting sqref="BE170">
    <cfRule type="colorScale" priority="6102">
      <colorScale>
        <cfvo type="min"/>
        <cfvo type="max"/>
        <color rgb="FFF8696B"/>
        <color rgb="FFFCFCFF"/>
      </colorScale>
    </cfRule>
  </conditionalFormatting>
  <conditionalFormatting sqref="BG170">
    <cfRule type="colorScale" priority="6100">
      <colorScale>
        <cfvo type="min"/>
        <cfvo type="percentile" val="50"/>
        <cfvo type="max"/>
        <color rgb="FFF8696B"/>
        <color rgb="FFFFEB84"/>
        <color rgb="FF63BE7B"/>
      </colorScale>
    </cfRule>
  </conditionalFormatting>
  <conditionalFormatting sqref="BG170">
    <cfRule type="colorScale" priority="6099">
      <colorScale>
        <cfvo type="min"/>
        <cfvo type="percentile" val="50"/>
        <cfvo type="max"/>
        <color rgb="FFF8696B"/>
        <color rgb="FFFFEB84"/>
        <color rgb="FF63BE7B"/>
      </colorScale>
    </cfRule>
  </conditionalFormatting>
  <conditionalFormatting sqref="BG170">
    <cfRule type="colorScale" priority="6098">
      <colorScale>
        <cfvo type="min"/>
        <cfvo type="percentile" val="50"/>
        <cfvo type="max"/>
        <color rgb="FFF8696B"/>
        <color rgb="FFFFEB84"/>
        <color rgb="FF63BE7B"/>
      </colorScale>
    </cfRule>
  </conditionalFormatting>
  <conditionalFormatting sqref="BG170">
    <cfRule type="colorScale" priority="6097">
      <colorScale>
        <cfvo type="min"/>
        <cfvo type="percentile" val="50"/>
        <cfvo type="max"/>
        <color rgb="FF63BE7B"/>
        <color rgb="FFFFEB84"/>
        <color rgb="FFF8696B"/>
      </colorScale>
    </cfRule>
  </conditionalFormatting>
  <conditionalFormatting sqref="BG170">
    <cfRule type="colorScale" priority="6094">
      <colorScale>
        <cfvo type="min"/>
        <cfvo type="max"/>
        <color rgb="FFFCFCFF"/>
        <color rgb="FFF8696B"/>
      </colorScale>
    </cfRule>
    <cfRule type="colorScale" priority="6096">
      <colorScale>
        <cfvo type="min"/>
        <cfvo type="percentile" val="50"/>
        <cfvo type="max"/>
        <color rgb="FF63BE7B"/>
        <color rgb="FFFFEB84"/>
        <color rgb="FFF8696B"/>
      </colorScale>
    </cfRule>
  </conditionalFormatting>
  <conditionalFormatting sqref="BG170">
    <cfRule type="colorScale" priority="6095">
      <colorScale>
        <cfvo type="min"/>
        <cfvo type="max"/>
        <color rgb="FFF8696B"/>
        <color rgb="FFFCFCFF"/>
      </colorScale>
    </cfRule>
  </conditionalFormatting>
  <conditionalFormatting sqref="BE162">
    <cfRule type="colorScale" priority="6093">
      <colorScale>
        <cfvo type="min"/>
        <cfvo type="percentile" val="50"/>
        <cfvo type="max"/>
        <color rgb="FFF8696B"/>
        <color rgb="FFFFEB84"/>
        <color rgb="FF63BE7B"/>
      </colorScale>
    </cfRule>
  </conditionalFormatting>
  <conditionalFormatting sqref="BG162">
    <cfRule type="colorScale" priority="6092">
      <colorScale>
        <cfvo type="min"/>
        <cfvo type="percentile" val="50"/>
        <cfvo type="max"/>
        <color rgb="FFF8696B"/>
        <color rgb="FFFFEB84"/>
        <color rgb="FF63BE7B"/>
      </colorScale>
    </cfRule>
  </conditionalFormatting>
  <conditionalFormatting sqref="AY168">
    <cfRule type="colorScale" priority="6091">
      <colorScale>
        <cfvo type="min"/>
        <cfvo type="percentile" val="50"/>
        <cfvo type="max"/>
        <color rgb="FFF8696B"/>
        <color rgb="FFFFEB84"/>
        <color rgb="FF63BE7B"/>
      </colorScale>
    </cfRule>
  </conditionalFormatting>
  <conditionalFormatting sqref="BA168">
    <cfRule type="colorScale" priority="6090">
      <colorScale>
        <cfvo type="min"/>
        <cfvo type="percentile" val="50"/>
        <cfvo type="max"/>
        <color rgb="FFF8696B"/>
        <color rgb="FFFFEB84"/>
        <color rgb="FF63BE7B"/>
      </colorScale>
    </cfRule>
  </conditionalFormatting>
  <conditionalFormatting sqref="BC168">
    <cfRule type="colorScale" priority="6089">
      <colorScale>
        <cfvo type="min"/>
        <cfvo type="percentile" val="50"/>
        <cfvo type="max"/>
        <color rgb="FFF8696B"/>
        <color rgb="FFFFEB84"/>
        <color rgb="FF63BE7B"/>
      </colorScale>
    </cfRule>
  </conditionalFormatting>
  <conditionalFormatting sqref="BE168">
    <cfRule type="colorScale" priority="6088">
      <colorScale>
        <cfvo type="min"/>
        <cfvo type="percentile" val="50"/>
        <cfvo type="max"/>
        <color rgb="FFF8696B"/>
        <color rgb="FFFFEB84"/>
        <color rgb="FF63BE7B"/>
      </colorScale>
    </cfRule>
  </conditionalFormatting>
  <conditionalFormatting sqref="BG168">
    <cfRule type="colorScale" priority="6087">
      <colorScale>
        <cfvo type="min"/>
        <cfvo type="percentile" val="50"/>
        <cfvo type="max"/>
        <color rgb="FFF8696B"/>
        <color rgb="FFFFEB84"/>
        <color rgb="FF63BE7B"/>
      </colorScale>
    </cfRule>
  </conditionalFormatting>
  <conditionalFormatting sqref="AY142 AY168 BA142 BC142 BE142 BG142 BA147 AY147 BG162 BE162 BA168 BG168 BE168 BC168 BC170 BE170 BG170">
    <cfRule type="colorScale" priority="6086">
      <colorScale>
        <cfvo type="min"/>
        <cfvo type="max"/>
        <color rgb="FFFCFCFF"/>
        <color rgb="FFF8696B"/>
      </colorScale>
    </cfRule>
  </conditionalFormatting>
  <conditionalFormatting sqref="BI152 BI168 BI142 BI157 BI162">
    <cfRule type="colorScale" priority="6085">
      <colorScale>
        <cfvo type="min"/>
        <cfvo type="percentile" val="50"/>
        <cfvo type="max"/>
        <color rgb="FFF8696B"/>
        <color rgb="FFFFEB84"/>
        <color rgb="FF63BE7B"/>
      </colorScale>
    </cfRule>
  </conditionalFormatting>
  <conditionalFormatting sqref="BI162">
    <cfRule type="colorScale" priority="6084">
      <colorScale>
        <cfvo type="min"/>
        <cfvo type="percentile" val="50"/>
        <cfvo type="max"/>
        <color rgb="FFF8696B"/>
        <color rgb="FFFFEB84"/>
        <color rgb="FF63BE7B"/>
      </colorScale>
    </cfRule>
  </conditionalFormatting>
  <conditionalFormatting sqref="BI142">
    <cfRule type="colorScale" priority="6083">
      <colorScale>
        <cfvo type="min"/>
        <cfvo type="percentile" val="50"/>
        <cfvo type="max"/>
        <color rgb="FFF8696B"/>
        <color rgb="FFFFEB84"/>
        <color rgb="FF63BE7B"/>
      </colorScale>
    </cfRule>
  </conditionalFormatting>
  <conditionalFormatting sqref="BI152 BI168 BI142 BI157 BI162">
    <cfRule type="colorScale" priority="6082">
      <colorScale>
        <cfvo type="min"/>
        <cfvo type="percentile" val="50"/>
        <cfvo type="max"/>
        <color rgb="FF63BE7B"/>
        <color rgb="FFFFEB84"/>
        <color rgb="FFF8696B"/>
      </colorScale>
    </cfRule>
  </conditionalFormatting>
  <conditionalFormatting sqref="BI168 BI142 BI152 BI157 BI162">
    <cfRule type="colorScale" priority="6079">
      <colorScale>
        <cfvo type="min"/>
        <cfvo type="max"/>
        <color rgb="FFFCFCFF"/>
        <color rgb="FFF8696B"/>
      </colorScale>
    </cfRule>
    <cfRule type="colorScale" priority="6081">
      <colorScale>
        <cfvo type="min"/>
        <cfvo type="percentile" val="50"/>
        <cfvo type="max"/>
        <color rgb="FF63BE7B"/>
        <color rgb="FFFFEB84"/>
        <color rgb="FFF8696B"/>
      </colorScale>
    </cfRule>
  </conditionalFormatting>
  <conditionalFormatting sqref="BI152 BI168 BI142 BI157 BI162">
    <cfRule type="colorScale" priority="6080">
      <colorScale>
        <cfvo type="min"/>
        <cfvo type="max"/>
        <color rgb="FFF8696B"/>
        <color rgb="FFFCFCFF"/>
      </colorScale>
    </cfRule>
  </conditionalFormatting>
  <conditionalFormatting sqref="BI170">
    <cfRule type="colorScale" priority="6078">
      <colorScale>
        <cfvo type="min"/>
        <cfvo type="percentile" val="50"/>
        <cfvo type="max"/>
        <color rgb="FFF8696B"/>
        <color rgb="FFFFEB84"/>
        <color rgb="FF63BE7B"/>
      </colorScale>
    </cfRule>
  </conditionalFormatting>
  <conditionalFormatting sqref="BI170">
    <cfRule type="colorScale" priority="6077">
      <colorScale>
        <cfvo type="min"/>
        <cfvo type="percentile" val="50"/>
        <cfvo type="max"/>
        <color rgb="FFF8696B"/>
        <color rgb="FFFFEB84"/>
        <color rgb="FF63BE7B"/>
      </colorScale>
    </cfRule>
  </conditionalFormatting>
  <conditionalFormatting sqref="BI170">
    <cfRule type="colorScale" priority="6076">
      <colorScale>
        <cfvo type="min"/>
        <cfvo type="percentile" val="50"/>
        <cfvo type="max"/>
        <color rgb="FFF8696B"/>
        <color rgb="FFFFEB84"/>
        <color rgb="FF63BE7B"/>
      </colorScale>
    </cfRule>
  </conditionalFormatting>
  <conditionalFormatting sqref="BI170">
    <cfRule type="colorScale" priority="6075">
      <colorScale>
        <cfvo type="min"/>
        <cfvo type="percentile" val="50"/>
        <cfvo type="max"/>
        <color rgb="FF63BE7B"/>
        <color rgb="FFFFEB84"/>
        <color rgb="FFF8696B"/>
      </colorScale>
    </cfRule>
  </conditionalFormatting>
  <conditionalFormatting sqref="BI170">
    <cfRule type="colorScale" priority="6072">
      <colorScale>
        <cfvo type="min"/>
        <cfvo type="max"/>
        <color rgb="FFFCFCFF"/>
        <color rgb="FFF8696B"/>
      </colorScale>
    </cfRule>
    <cfRule type="colorScale" priority="6074">
      <colorScale>
        <cfvo type="min"/>
        <cfvo type="percentile" val="50"/>
        <cfvo type="max"/>
        <color rgb="FF63BE7B"/>
        <color rgb="FFFFEB84"/>
        <color rgb="FFF8696B"/>
      </colorScale>
    </cfRule>
  </conditionalFormatting>
  <conditionalFormatting sqref="BI170">
    <cfRule type="colorScale" priority="6073">
      <colorScale>
        <cfvo type="min"/>
        <cfvo type="max"/>
        <color rgb="FFF8696B"/>
        <color rgb="FFFCFCFF"/>
      </colorScale>
    </cfRule>
  </conditionalFormatting>
  <conditionalFormatting sqref="BI152">
    <cfRule type="colorScale" priority="6071">
      <colorScale>
        <cfvo type="min"/>
        <cfvo type="percentile" val="50"/>
        <cfvo type="max"/>
        <color rgb="FFF8696B"/>
        <color rgb="FFFFEB84"/>
        <color rgb="FF63BE7B"/>
      </colorScale>
    </cfRule>
  </conditionalFormatting>
  <conditionalFormatting sqref="BI157">
    <cfRule type="colorScale" priority="6070">
      <colorScale>
        <cfvo type="min"/>
        <cfvo type="percentile" val="50"/>
        <cfvo type="max"/>
        <color rgb="FFF8696B"/>
        <color rgb="FFFFEB84"/>
        <color rgb="FF63BE7B"/>
      </colorScale>
    </cfRule>
  </conditionalFormatting>
  <conditionalFormatting sqref="BI162">
    <cfRule type="colorScale" priority="6069">
      <colorScale>
        <cfvo type="min"/>
        <cfvo type="percentile" val="50"/>
        <cfvo type="max"/>
        <color rgb="FFF8696B"/>
        <color rgb="FFFFEB84"/>
        <color rgb="FF63BE7B"/>
      </colorScale>
    </cfRule>
  </conditionalFormatting>
  <conditionalFormatting sqref="BI168">
    <cfRule type="colorScale" priority="6068">
      <colorScale>
        <cfvo type="min"/>
        <cfvo type="percentile" val="50"/>
        <cfvo type="max"/>
        <color rgb="FFF8696B"/>
        <color rgb="FFFFEB84"/>
        <color rgb="FF63BE7B"/>
      </colorScale>
    </cfRule>
  </conditionalFormatting>
  <conditionalFormatting sqref="BI152 BI168 BI142 BI157 BI162 BI170">
    <cfRule type="colorScale" priority="6067">
      <colorScale>
        <cfvo type="min"/>
        <cfvo type="max"/>
        <color rgb="FFFCFCFF"/>
        <color rgb="FFF8696B"/>
      </colorScale>
    </cfRule>
  </conditionalFormatting>
  <conditionalFormatting sqref="BK142 BK168 BK152 BK157 BK162">
    <cfRule type="colorScale" priority="6066">
      <colorScale>
        <cfvo type="min"/>
        <cfvo type="percentile" val="50"/>
        <cfvo type="max"/>
        <color rgb="FFF8696B"/>
        <color rgb="FFFFEB84"/>
        <color rgb="FF63BE7B"/>
      </colorScale>
    </cfRule>
  </conditionalFormatting>
  <conditionalFormatting sqref="BK162">
    <cfRule type="colorScale" priority="6065">
      <colorScale>
        <cfvo type="min"/>
        <cfvo type="percentile" val="50"/>
        <cfvo type="max"/>
        <color rgb="FFF8696B"/>
        <color rgb="FFFFEB84"/>
        <color rgb="FF63BE7B"/>
      </colorScale>
    </cfRule>
  </conditionalFormatting>
  <conditionalFormatting sqref="BK142">
    <cfRule type="colorScale" priority="6064">
      <colorScale>
        <cfvo type="min"/>
        <cfvo type="percentile" val="50"/>
        <cfvo type="max"/>
        <color rgb="FFF8696B"/>
        <color rgb="FFFFEB84"/>
        <color rgb="FF63BE7B"/>
      </colorScale>
    </cfRule>
  </conditionalFormatting>
  <conditionalFormatting sqref="BK152 BK168 BK142 BK157 BK162">
    <cfRule type="colorScale" priority="6063">
      <colorScale>
        <cfvo type="min"/>
        <cfvo type="percentile" val="50"/>
        <cfvo type="max"/>
        <color rgb="FF63BE7B"/>
        <color rgb="FFFFEB84"/>
        <color rgb="FFF8696B"/>
      </colorScale>
    </cfRule>
  </conditionalFormatting>
  <conditionalFormatting sqref="BK168 BK142 BK152 BK157 BK162">
    <cfRule type="colorScale" priority="6060">
      <colorScale>
        <cfvo type="min"/>
        <cfvo type="max"/>
        <color rgb="FFFCFCFF"/>
        <color rgb="FFF8696B"/>
      </colorScale>
    </cfRule>
    <cfRule type="colorScale" priority="6062">
      <colorScale>
        <cfvo type="min"/>
        <cfvo type="percentile" val="50"/>
        <cfvo type="max"/>
        <color rgb="FF63BE7B"/>
        <color rgb="FFFFEB84"/>
        <color rgb="FFF8696B"/>
      </colorScale>
    </cfRule>
  </conditionalFormatting>
  <conditionalFormatting sqref="BK142 BK168 BK152 BK157 BK162">
    <cfRule type="colorScale" priority="6061">
      <colorScale>
        <cfvo type="min"/>
        <cfvo type="max"/>
        <color rgb="FFF8696B"/>
        <color rgb="FFFCFCFF"/>
      </colorScale>
    </cfRule>
  </conditionalFormatting>
  <conditionalFormatting sqref="BK170">
    <cfRule type="colorScale" priority="6059">
      <colorScale>
        <cfvo type="min"/>
        <cfvo type="percentile" val="50"/>
        <cfvo type="max"/>
        <color rgb="FFF8696B"/>
        <color rgb="FFFFEB84"/>
        <color rgb="FF63BE7B"/>
      </colorScale>
    </cfRule>
  </conditionalFormatting>
  <conditionalFormatting sqref="BK170">
    <cfRule type="colorScale" priority="6058">
      <colorScale>
        <cfvo type="min"/>
        <cfvo type="percentile" val="50"/>
        <cfvo type="max"/>
        <color rgb="FFF8696B"/>
        <color rgb="FFFFEB84"/>
        <color rgb="FF63BE7B"/>
      </colorScale>
    </cfRule>
  </conditionalFormatting>
  <conditionalFormatting sqref="BK170">
    <cfRule type="colorScale" priority="6057">
      <colorScale>
        <cfvo type="min"/>
        <cfvo type="percentile" val="50"/>
        <cfvo type="max"/>
        <color rgb="FFF8696B"/>
        <color rgb="FFFFEB84"/>
        <color rgb="FF63BE7B"/>
      </colorScale>
    </cfRule>
  </conditionalFormatting>
  <conditionalFormatting sqref="BK170">
    <cfRule type="colorScale" priority="6056">
      <colorScale>
        <cfvo type="min"/>
        <cfvo type="percentile" val="50"/>
        <cfvo type="max"/>
        <color rgb="FF63BE7B"/>
        <color rgb="FFFFEB84"/>
        <color rgb="FFF8696B"/>
      </colorScale>
    </cfRule>
  </conditionalFormatting>
  <conditionalFormatting sqref="BK170">
    <cfRule type="colorScale" priority="6053">
      <colorScale>
        <cfvo type="min"/>
        <cfvo type="max"/>
        <color rgb="FFFCFCFF"/>
        <color rgb="FFF8696B"/>
      </colorScale>
    </cfRule>
    <cfRule type="colorScale" priority="6055">
      <colorScale>
        <cfvo type="min"/>
        <cfvo type="percentile" val="50"/>
        <cfvo type="max"/>
        <color rgb="FF63BE7B"/>
        <color rgb="FFFFEB84"/>
        <color rgb="FFF8696B"/>
      </colorScale>
    </cfRule>
  </conditionalFormatting>
  <conditionalFormatting sqref="BK170">
    <cfRule type="colorScale" priority="6054">
      <colorScale>
        <cfvo type="min"/>
        <cfvo type="max"/>
        <color rgb="FFF8696B"/>
        <color rgb="FFFCFCFF"/>
      </colorScale>
    </cfRule>
  </conditionalFormatting>
  <conditionalFormatting sqref="BK152">
    <cfRule type="colorScale" priority="6052">
      <colorScale>
        <cfvo type="min"/>
        <cfvo type="percentile" val="50"/>
        <cfvo type="max"/>
        <color rgb="FFF8696B"/>
        <color rgb="FFFFEB84"/>
        <color rgb="FF63BE7B"/>
      </colorScale>
    </cfRule>
  </conditionalFormatting>
  <conditionalFormatting sqref="BK157">
    <cfRule type="colorScale" priority="6051">
      <colorScale>
        <cfvo type="min"/>
        <cfvo type="percentile" val="50"/>
        <cfvo type="max"/>
        <color rgb="FFF8696B"/>
        <color rgb="FFFFEB84"/>
        <color rgb="FF63BE7B"/>
      </colorScale>
    </cfRule>
  </conditionalFormatting>
  <conditionalFormatting sqref="BK162">
    <cfRule type="colorScale" priority="6050">
      <colorScale>
        <cfvo type="min"/>
        <cfvo type="percentile" val="50"/>
        <cfvo type="max"/>
        <color rgb="FFF8696B"/>
        <color rgb="FFFFEB84"/>
        <color rgb="FF63BE7B"/>
      </colorScale>
    </cfRule>
  </conditionalFormatting>
  <conditionalFormatting sqref="BK168">
    <cfRule type="colorScale" priority="6049">
      <colorScale>
        <cfvo type="min"/>
        <cfvo type="percentile" val="50"/>
        <cfvo type="max"/>
        <color rgb="FFF8696B"/>
        <color rgb="FFFFEB84"/>
        <color rgb="FF63BE7B"/>
      </colorScale>
    </cfRule>
  </conditionalFormatting>
  <conditionalFormatting sqref="BK142 BK168 BK152 BK157 BK162 BK170">
    <cfRule type="colorScale" priority="6048">
      <colorScale>
        <cfvo type="min"/>
        <cfvo type="max"/>
        <color rgb="FFFCFCFF"/>
        <color rgb="FFF8696B"/>
      </colorScale>
    </cfRule>
  </conditionalFormatting>
  <conditionalFormatting sqref="AY185 AY211 BA185 BC185 BE185 BA211 BC211">
    <cfRule type="colorScale" priority="6047">
      <colorScale>
        <cfvo type="min"/>
        <cfvo type="percentile" val="50"/>
        <cfvo type="max"/>
        <color rgb="FFF8696B"/>
        <color rgb="FFFFEB84"/>
        <color rgb="FF63BE7B"/>
      </colorScale>
    </cfRule>
  </conditionalFormatting>
  <conditionalFormatting sqref="AY185 BA185 BC185 BE185">
    <cfRule type="colorScale" priority="6046">
      <colorScale>
        <cfvo type="min"/>
        <cfvo type="percentile" val="50"/>
        <cfvo type="max"/>
        <color rgb="FFF8696B"/>
        <color rgb="FFFFEB84"/>
        <color rgb="FF63BE7B"/>
      </colorScale>
    </cfRule>
  </conditionalFormatting>
  <conditionalFormatting sqref="AY185 AY211 BA185 BC185 BE185 BA211 BC211">
    <cfRule type="colorScale" priority="6045">
      <colorScale>
        <cfvo type="min"/>
        <cfvo type="percentile" val="50"/>
        <cfvo type="max"/>
        <color rgb="FF63BE7B"/>
        <color rgb="FFFFEB84"/>
        <color rgb="FFF8696B"/>
      </colorScale>
    </cfRule>
  </conditionalFormatting>
  <conditionalFormatting sqref="AY211 AY185 BA185 BC185 BE185 BA211 BC211">
    <cfRule type="colorScale" priority="6042">
      <colorScale>
        <cfvo type="min"/>
        <cfvo type="max"/>
        <color rgb="FFFCFCFF"/>
        <color rgb="FFF8696B"/>
      </colorScale>
    </cfRule>
    <cfRule type="colorScale" priority="6044">
      <colorScale>
        <cfvo type="min"/>
        <cfvo type="percentile" val="50"/>
        <cfvo type="max"/>
        <color rgb="FF63BE7B"/>
        <color rgb="FFFFEB84"/>
        <color rgb="FFF8696B"/>
      </colorScale>
    </cfRule>
  </conditionalFormatting>
  <conditionalFormatting sqref="AY185 AY211 BA185 BC185 BE185 BA211 BC211">
    <cfRule type="colorScale" priority="6043">
      <colorScale>
        <cfvo type="min"/>
        <cfvo type="max"/>
        <color rgb="FFF8696B"/>
        <color rgb="FFFCFCFF"/>
      </colorScale>
    </cfRule>
  </conditionalFormatting>
  <conditionalFormatting sqref="BC213">
    <cfRule type="colorScale" priority="6041">
      <colorScale>
        <cfvo type="min"/>
        <cfvo type="percentile" val="50"/>
        <cfvo type="max"/>
        <color rgb="FFF8696B"/>
        <color rgb="FFFFEB84"/>
        <color rgb="FF63BE7B"/>
      </colorScale>
    </cfRule>
  </conditionalFormatting>
  <conditionalFormatting sqref="BC213">
    <cfRule type="colorScale" priority="6040">
      <colorScale>
        <cfvo type="min"/>
        <cfvo type="percentile" val="50"/>
        <cfvo type="max"/>
        <color rgb="FFF8696B"/>
        <color rgb="FFFFEB84"/>
        <color rgb="FF63BE7B"/>
      </colorScale>
    </cfRule>
  </conditionalFormatting>
  <conditionalFormatting sqref="BC213">
    <cfRule type="colorScale" priority="6039">
      <colorScale>
        <cfvo type="min"/>
        <cfvo type="percentile" val="50"/>
        <cfvo type="max"/>
        <color rgb="FFF8696B"/>
        <color rgb="FFFFEB84"/>
        <color rgb="FF63BE7B"/>
      </colorScale>
    </cfRule>
  </conditionalFormatting>
  <conditionalFormatting sqref="BC213">
    <cfRule type="colorScale" priority="6038">
      <colorScale>
        <cfvo type="min"/>
        <cfvo type="percentile" val="50"/>
        <cfvo type="max"/>
        <color rgb="FF63BE7B"/>
        <color rgb="FFFFEB84"/>
        <color rgb="FFF8696B"/>
      </colorScale>
    </cfRule>
  </conditionalFormatting>
  <conditionalFormatting sqref="BC213">
    <cfRule type="colorScale" priority="6035">
      <colorScale>
        <cfvo type="min"/>
        <cfvo type="max"/>
        <color rgb="FFFCFCFF"/>
        <color rgb="FFF8696B"/>
      </colorScale>
    </cfRule>
    <cfRule type="colorScale" priority="6037">
      <colorScale>
        <cfvo type="min"/>
        <cfvo type="percentile" val="50"/>
        <cfvo type="max"/>
        <color rgb="FF63BE7B"/>
        <color rgb="FFFFEB84"/>
        <color rgb="FFF8696B"/>
      </colorScale>
    </cfRule>
  </conditionalFormatting>
  <conditionalFormatting sqref="BC213">
    <cfRule type="colorScale" priority="6036">
      <colorScale>
        <cfvo type="min"/>
        <cfvo type="max"/>
        <color rgb="FFF8696B"/>
        <color rgb="FFFCFCFF"/>
      </colorScale>
    </cfRule>
  </conditionalFormatting>
  <conditionalFormatting sqref="BE213">
    <cfRule type="colorScale" priority="6034">
      <colorScale>
        <cfvo type="min"/>
        <cfvo type="percentile" val="50"/>
        <cfvo type="max"/>
        <color rgb="FFF8696B"/>
        <color rgb="FFFFEB84"/>
        <color rgb="FF63BE7B"/>
      </colorScale>
    </cfRule>
  </conditionalFormatting>
  <conditionalFormatting sqref="BE213">
    <cfRule type="colorScale" priority="6033">
      <colorScale>
        <cfvo type="min"/>
        <cfvo type="percentile" val="50"/>
        <cfvo type="max"/>
        <color rgb="FFF8696B"/>
        <color rgb="FFFFEB84"/>
        <color rgb="FF63BE7B"/>
      </colorScale>
    </cfRule>
  </conditionalFormatting>
  <conditionalFormatting sqref="BE213">
    <cfRule type="colorScale" priority="6032">
      <colorScale>
        <cfvo type="min"/>
        <cfvo type="percentile" val="50"/>
        <cfvo type="max"/>
        <color rgb="FFF8696B"/>
        <color rgb="FFFFEB84"/>
        <color rgb="FF63BE7B"/>
      </colorScale>
    </cfRule>
  </conditionalFormatting>
  <conditionalFormatting sqref="BE213">
    <cfRule type="colorScale" priority="6031">
      <colorScale>
        <cfvo type="min"/>
        <cfvo type="percentile" val="50"/>
        <cfvo type="max"/>
        <color rgb="FF63BE7B"/>
        <color rgb="FFFFEB84"/>
        <color rgb="FFF8696B"/>
      </colorScale>
    </cfRule>
  </conditionalFormatting>
  <conditionalFormatting sqref="BE213">
    <cfRule type="colorScale" priority="6028">
      <colorScale>
        <cfvo type="min"/>
        <cfvo type="max"/>
        <color rgb="FFFCFCFF"/>
        <color rgb="FFF8696B"/>
      </colorScale>
    </cfRule>
    <cfRule type="colorScale" priority="6030">
      <colorScale>
        <cfvo type="min"/>
        <cfvo type="percentile" val="50"/>
        <cfvo type="max"/>
        <color rgb="FF63BE7B"/>
        <color rgb="FFFFEB84"/>
        <color rgb="FFF8696B"/>
      </colorScale>
    </cfRule>
  </conditionalFormatting>
  <conditionalFormatting sqref="BE213">
    <cfRule type="colorScale" priority="6029">
      <colorScale>
        <cfvo type="min"/>
        <cfvo type="max"/>
        <color rgb="FFF8696B"/>
        <color rgb="FFFCFCFF"/>
      </colorScale>
    </cfRule>
  </conditionalFormatting>
  <conditionalFormatting sqref="BG213">
    <cfRule type="colorScale" priority="6027">
      <colorScale>
        <cfvo type="min"/>
        <cfvo type="percentile" val="50"/>
        <cfvo type="max"/>
        <color rgb="FFF8696B"/>
        <color rgb="FFFFEB84"/>
        <color rgb="FF63BE7B"/>
      </colorScale>
    </cfRule>
  </conditionalFormatting>
  <conditionalFormatting sqref="BG213">
    <cfRule type="colorScale" priority="6026">
      <colorScale>
        <cfvo type="min"/>
        <cfvo type="percentile" val="50"/>
        <cfvo type="max"/>
        <color rgb="FFF8696B"/>
        <color rgb="FFFFEB84"/>
        <color rgb="FF63BE7B"/>
      </colorScale>
    </cfRule>
  </conditionalFormatting>
  <conditionalFormatting sqref="BG213">
    <cfRule type="colorScale" priority="6025">
      <colorScale>
        <cfvo type="min"/>
        <cfvo type="percentile" val="50"/>
        <cfvo type="max"/>
        <color rgb="FFF8696B"/>
        <color rgb="FFFFEB84"/>
        <color rgb="FF63BE7B"/>
      </colorScale>
    </cfRule>
  </conditionalFormatting>
  <conditionalFormatting sqref="BG213">
    <cfRule type="colorScale" priority="6024">
      <colorScale>
        <cfvo type="min"/>
        <cfvo type="percentile" val="50"/>
        <cfvo type="max"/>
        <color rgb="FF63BE7B"/>
        <color rgb="FFFFEB84"/>
        <color rgb="FFF8696B"/>
      </colorScale>
    </cfRule>
  </conditionalFormatting>
  <conditionalFormatting sqref="BG213">
    <cfRule type="colorScale" priority="6021">
      <colorScale>
        <cfvo type="min"/>
        <cfvo type="max"/>
        <color rgb="FFFCFCFF"/>
        <color rgb="FFF8696B"/>
      </colorScale>
    </cfRule>
    <cfRule type="colorScale" priority="6023">
      <colorScale>
        <cfvo type="min"/>
        <cfvo type="percentile" val="50"/>
        <cfvo type="max"/>
        <color rgb="FF63BE7B"/>
        <color rgb="FFFFEB84"/>
        <color rgb="FFF8696B"/>
      </colorScale>
    </cfRule>
  </conditionalFormatting>
  <conditionalFormatting sqref="BG213">
    <cfRule type="colorScale" priority="6022">
      <colorScale>
        <cfvo type="min"/>
        <cfvo type="max"/>
        <color rgb="FFF8696B"/>
        <color rgb="FFFCFCFF"/>
      </colorScale>
    </cfRule>
  </conditionalFormatting>
  <conditionalFormatting sqref="AY211">
    <cfRule type="colorScale" priority="6020">
      <colorScale>
        <cfvo type="min"/>
        <cfvo type="percentile" val="50"/>
        <cfvo type="max"/>
        <color rgb="FFF8696B"/>
        <color rgb="FFFFEB84"/>
        <color rgb="FF63BE7B"/>
      </colorScale>
    </cfRule>
  </conditionalFormatting>
  <conditionalFormatting sqref="BA211">
    <cfRule type="colorScale" priority="6019">
      <colorScale>
        <cfvo type="min"/>
        <cfvo type="percentile" val="50"/>
        <cfvo type="max"/>
        <color rgb="FFF8696B"/>
        <color rgb="FFFFEB84"/>
        <color rgb="FF63BE7B"/>
      </colorScale>
    </cfRule>
  </conditionalFormatting>
  <conditionalFormatting sqref="BC211">
    <cfRule type="colorScale" priority="6018">
      <colorScale>
        <cfvo type="min"/>
        <cfvo type="percentile" val="50"/>
        <cfvo type="max"/>
        <color rgb="FFF8696B"/>
        <color rgb="FFFFEB84"/>
        <color rgb="FF63BE7B"/>
      </colorScale>
    </cfRule>
  </conditionalFormatting>
  <conditionalFormatting sqref="AY185 AY211 BA185 BC185 BE185 BA190 AY190 BA211 BC211 BC213 BE213 BG213">
    <cfRule type="colorScale" priority="6017">
      <colorScale>
        <cfvo type="min"/>
        <cfvo type="max"/>
        <color rgb="FFFCFCFF"/>
        <color rgb="FFF8696B"/>
      </colorScale>
    </cfRule>
  </conditionalFormatting>
  <conditionalFormatting sqref="BI211 BI205">
    <cfRule type="colorScale" priority="6016">
      <colorScale>
        <cfvo type="min"/>
        <cfvo type="percentile" val="50"/>
        <cfvo type="max"/>
        <color rgb="FFF8696B"/>
        <color rgb="FFFFEB84"/>
        <color rgb="FF63BE7B"/>
      </colorScale>
    </cfRule>
  </conditionalFormatting>
  <conditionalFormatting sqref="BI205">
    <cfRule type="colorScale" priority="6015">
      <colorScale>
        <cfvo type="min"/>
        <cfvo type="percentile" val="50"/>
        <cfvo type="max"/>
        <color rgb="FFF8696B"/>
        <color rgb="FFFFEB84"/>
        <color rgb="FF63BE7B"/>
      </colorScale>
    </cfRule>
  </conditionalFormatting>
  <conditionalFormatting sqref="BI211 BI205">
    <cfRule type="colorScale" priority="6014">
      <colorScale>
        <cfvo type="min"/>
        <cfvo type="percentile" val="50"/>
        <cfvo type="max"/>
        <color rgb="FF63BE7B"/>
        <color rgb="FFFFEB84"/>
        <color rgb="FFF8696B"/>
      </colorScale>
    </cfRule>
  </conditionalFormatting>
  <conditionalFormatting sqref="BI211 BI205">
    <cfRule type="colorScale" priority="6011">
      <colorScale>
        <cfvo type="min"/>
        <cfvo type="max"/>
        <color rgb="FFFCFCFF"/>
        <color rgb="FFF8696B"/>
      </colorScale>
    </cfRule>
    <cfRule type="colorScale" priority="6013">
      <colorScale>
        <cfvo type="min"/>
        <cfvo type="percentile" val="50"/>
        <cfvo type="max"/>
        <color rgb="FF63BE7B"/>
        <color rgb="FFFFEB84"/>
        <color rgb="FFF8696B"/>
      </colorScale>
    </cfRule>
  </conditionalFormatting>
  <conditionalFormatting sqref="BI211 BI205">
    <cfRule type="colorScale" priority="6012">
      <colorScale>
        <cfvo type="min"/>
        <cfvo type="max"/>
        <color rgb="FFF8696B"/>
        <color rgb="FFFCFCFF"/>
      </colorScale>
    </cfRule>
  </conditionalFormatting>
  <conditionalFormatting sqref="BI213">
    <cfRule type="colorScale" priority="6010">
      <colorScale>
        <cfvo type="min"/>
        <cfvo type="percentile" val="50"/>
        <cfvo type="max"/>
        <color rgb="FFF8696B"/>
        <color rgb="FFFFEB84"/>
        <color rgb="FF63BE7B"/>
      </colorScale>
    </cfRule>
  </conditionalFormatting>
  <conditionalFormatting sqref="BI213">
    <cfRule type="colorScale" priority="6009">
      <colorScale>
        <cfvo type="min"/>
        <cfvo type="percentile" val="50"/>
        <cfvo type="max"/>
        <color rgb="FFF8696B"/>
        <color rgb="FFFFEB84"/>
        <color rgb="FF63BE7B"/>
      </colorScale>
    </cfRule>
  </conditionalFormatting>
  <conditionalFormatting sqref="BI213">
    <cfRule type="colorScale" priority="6008">
      <colorScale>
        <cfvo type="min"/>
        <cfvo type="percentile" val="50"/>
        <cfvo type="max"/>
        <color rgb="FFF8696B"/>
        <color rgb="FFFFEB84"/>
        <color rgb="FF63BE7B"/>
      </colorScale>
    </cfRule>
  </conditionalFormatting>
  <conditionalFormatting sqref="BI213">
    <cfRule type="colorScale" priority="6007">
      <colorScale>
        <cfvo type="min"/>
        <cfvo type="percentile" val="50"/>
        <cfvo type="max"/>
        <color rgb="FF63BE7B"/>
        <color rgb="FFFFEB84"/>
        <color rgb="FFF8696B"/>
      </colorScale>
    </cfRule>
  </conditionalFormatting>
  <conditionalFormatting sqref="BI213">
    <cfRule type="colorScale" priority="6004">
      <colorScale>
        <cfvo type="min"/>
        <cfvo type="max"/>
        <color rgb="FFFCFCFF"/>
        <color rgb="FFF8696B"/>
      </colorScale>
    </cfRule>
    <cfRule type="colorScale" priority="6006">
      <colorScale>
        <cfvo type="min"/>
        <cfvo type="percentile" val="50"/>
        <cfvo type="max"/>
        <color rgb="FF63BE7B"/>
        <color rgb="FFFFEB84"/>
        <color rgb="FFF8696B"/>
      </colorScale>
    </cfRule>
  </conditionalFormatting>
  <conditionalFormatting sqref="BI213">
    <cfRule type="colorScale" priority="6005">
      <colorScale>
        <cfvo type="min"/>
        <cfvo type="max"/>
        <color rgb="FFF8696B"/>
        <color rgb="FFFCFCFF"/>
      </colorScale>
    </cfRule>
  </conditionalFormatting>
  <conditionalFormatting sqref="BI205">
    <cfRule type="colorScale" priority="6003">
      <colorScale>
        <cfvo type="min"/>
        <cfvo type="percentile" val="50"/>
        <cfvo type="max"/>
        <color rgb="FFF8696B"/>
        <color rgb="FFFFEB84"/>
        <color rgb="FF63BE7B"/>
      </colorScale>
    </cfRule>
  </conditionalFormatting>
  <conditionalFormatting sqref="BI211">
    <cfRule type="colorScale" priority="6002">
      <colorScale>
        <cfvo type="min"/>
        <cfvo type="percentile" val="50"/>
        <cfvo type="max"/>
        <color rgb="FFF8696B"/>
        <color rgb="FFFFEB84"/>
        <color rgb="FF63BE7B"/>
      </colorScale>
    </cfRule>
  </conditionalFormatting>
  <conditionalFormatting sqref="BI211 BI205 BI213">
    <cfRule type="colorScale" priority="6001">
      <colorScale>
        <cfvo type="min"/>
        <cfvo type="max"/>
        <color rgb="FFFCFCFF"/>
        <color rgb="FFF8696B"/>
      </colorScale>
    </cfRule>
  </conditionalFormatting>
  <conditionalFormatting sqref="BK211 BK205">
    <cfRule type="colorScale" priority="6000">
      <colorScale>
        <cfvo type="min"/>
        <cfvo type="percentile" val="50"/>
        <cfvo type="max"/>
        <color rgb="FFF8696B"/>
        <color rgb="FFFFEB84"/>
        <color rgb="FF63BE7B"/>
      </colorScale>
    </cfRule>
  </conditionalFormatting>
  <conditionalFormatting sqref="BK205">
    <cfRule type="colorScale" priority="5999">
      <colorScale>
        <cfvo type="min"/>
        <cfvo type="percentile" val="50"/>
        <cfvo type="max"/>
        <color rgb="FFF8696B"/>
        <color rgb="FFFFEB84"/>
        <color rgb="FF63BE7B"/>
      </colorScale>
    </cfRule>
  </conditionalFormatting>
  <conditionalFormatting sqref="BK211 BK205">
    <cfRule type="colorScale" priority="5998">
      <colorScale>
        <cfvo type="min"/>
        <cfvo type="percentile" val="50"/>
        <cfvo type="max"/>
        <color rgb="FF63BE7B"/>
        <color rgb="FFFFEB84"/>
        <color rgb="FFF8696B"/>
      </colorScale>
    </cfRule>
  </conditionalFormatting>
  <conditionalFormatting sqref="BK211 BK205">
    <cfRule type="colorScale" priority="5995">
      <colorScale>
        <cfvo type="min"/>
        <cfvo type="max"/>
        <color rgb="FFFCFCFF"/>
        <color rgb="FFF8696B"/>
      </colorScale>
    </cfRule>
    <cfRule type="colorScale" priority="5997">
      <colorScale>
        <cfvo type="min"/>
        <cfvo type="percentile" val="50"/>
        <cfvo type="max"/>
        <color rgb="FF63BE7B"/>
        <color rgb="FFFFEB84"/>
        <color rgb="FFF8696B"/>
      </colorScale>
    </cfRule>
  </conditionalFormatting>
  <conditionalFormatting sqref="BK211 BK205">
    <cfRule type="colorScale" priority="5996">
      <colorScale>
        <cfvo type="min"/>
        <cfvo type="max"/>
        <color rgb="FFF8696B"/>
        <color rgb="FFFCFCFF"/>
      </colorScale>
    </cfRule>
  </conditionalFormatting>
  <conditionalFormatting sqref="BK213">
    <cfRule type="colorScale" priority="5994">
      <colorScale>
        <cfvo type="min"/>
        <cfvo type="percentile" val="50"/>
        <cfvo type="max"/>
        <color rgb="FFF8696B"/>
        <color rgb="FFFFEB84"/>
        <color rgb="FF63BE7B"/>
      </colorScale>
    </cfRule>
  </conditionalFormatting>
  <conditionalFormatting sqref="BK213">
    <cfRule type="colorScale" priority="5993">
      <colorScale>
        <cfvo type="min"/>
        <cfvo type="percentile" val="50"/>
        <cfvo type="max"/>
        <color rgb="FFF8696B"/>
        <color rgb="FFFFEB84"/>
        <color rgb="FF63BE7B"/>
      </colorScale>
    </cfRule>
  </conditionalFormatting>
  <conditionalFormatting sqref="BK213">
    <cfRule type="colorScale" priority="5992">
      <colorScale>
        <cfvo type="min"/>
        <cfvo type="percentile" val="50"/>
        <cfvo type="max"/>
        <color rgb="FFF8696B"/>
        <color rgb="FFFFEB84"/>
        <color rgb="FF63BE7B"/>
      </colorScale>
    </cfRule>
  </conditionalFormatting>
  <conditionalFormatting sqref="BK213">
    <cfRule type="colorScale" priority="5991">
      <colorScale>
        <cfvo type="min"/>
        <cfvo type="percentile" val="50"/>
        <cfvo type="max"/>
        <color rgb="FF63BE7B"/>
        <color rgb="FFFFEB84"/>
        <color rgb="FFF8696B"/>
      </colorScale>
    </cfRule>
  </conditionalFormatting>
  <conditionalFormatting sqref="BK213">
    <cfRule type="colorScale" priority="5988">
      <colorScale>
        <cfvo type="min"/>
        <cfvo type="max"/>
        <color rgb="FFFCFCFF"/>
        <color rgb="FFF8696B"/>
      </colorScale>
    </cfRule>
    <cfRule type="colorScale" priority="5990">
      <colorScale>
        <cfvo type="min"/>
        <cfvo type="percentile" val="50"/>
        <cfvo type="max"/>
        <color rgb="FF63BE7B"/>
        <color rgb="FFFFEB84"/>
        <color rgb="FFF8696B"/>
      </colorScale>
    </cfRule>
  </conditionalFormatting>
  <conditionalFormatting sqref="BK213">
    <cfRule type="colorScale" priority="5989">
      <colorScale>
        <cfvo type="min"/>
        <cfvo type="max"/>
        <color rgb="FFF8696B"/>
        <color rgb="FFFCFCFF"/>
      </colorScale>
    </cfRule>
  </conditionalFormatting>
  <conditionalFormatting sqref="BK205">
    <cfRule type="colorScale" priority="5987">
      <colorScale>
        <cfvo type="min"/>
        <cfvo type="percentile" val="50"/>
        <cfvo type="max"/>
        <color rgb="FFF8696B"/>
        <color rgb="FFFFEB84"/>
        <color rgb="FF63BE7B"/>
      </colorScale>
    </cfRule>
  </conditionalFormatting>
  <conditionalFormatting sqref="BK211">
    <cfRule type="colorScale" priority="5986">
      <colorScale>
        <cfvo type="min"/>
        <cfvo type="percentile" val="50"/>
        <cfvo type="max"/>
        <color rgb="FFF8696B"/>
        <color rgb="FFFFEB84"/>
        <color rgb="FF63BE7B"/>
      </colorScale>
    </cfRule>
  </conditionalFormatting>
  <conditionalFormatting sqref="BK211 BK205 BK213">
    <cfRule type="colorScale" priority="5985">
      <colorScale>
        <cfvo type="min"/>
        <cfvo type="max"/>
        <color rgb="FFFCFCFF"/>
        <color rgb="FFF8696B"/>
      </colorScale>
    </cfRule>
  </conditionalFormatting>
  <conditionalFormatting sqref="BG185">
    <cfRule type="colorScale" priority="5984">
      <colorScale>
        <cfvo type="min"/>
        <cfvo type="percentile" val="50"/>
        <cfvo type="max"/>
        <color rgb="FFF8696B"/>
        <color rgb="FFFFEB84"/>
        <color rgb="FF63BE7B"/>
      </colorScale>
    </cfRule>
  </conditionalFormatting>
  <conditionalFormatting sqref="BG185">
    <cfRule type="colorScale" priority="5983">
      <colorScale>
        <cfvo type="min"/>
        <cfvo type="percentile" val="50"/>
        <cfvo type="max"/>
        <color rgb="FFF8696B"/>
        <color rgb="FFFFEB84"/>
        <color rgb="FF63BE7B"/>
      </colorScale>
    </cfRule>
  </conditionalFormatting>
  <conditionalFormatting sqref="BG185">
    <cfRule type="colorScale" priority="5982">
      <colorScale>
        <cfvo type="min"/>
        <cfvo type="percentile" val="50"/>
        <cfvo type="max"/>
        <color rgb="FF63BE7B"/>
        <color rgb="FFFFEB84"/>
        <color rgb="FFF8696B"/>
      </colorScale>
    </cfRule>
  </conditionalFormatting>
  <conditionalFormatting sqref="BG185">
    <cfRule type="colorScale" priority="5979">
      <colorScale>
        <cfvo type="min"/>
        <cfvo type="max"/>
        <color rgb="FFFCFCFF"/>
        <color rgb="FFF8696B"/>
      </colorScale>
    </cfRule>
    <cfRule type="colorScale" priority="5981">
      <colorScale>
        <cfvo type="min"/>
        <cfvo type="percentile" val="50"/>
        <cfvo type="max"/>
        <color rgb="FF63BE7B"/>
        <color rgb="FFFFEB84"/>
        <color rgb="FFF8696B"/>
      </colorScale>
    </cfRule>
  </conditionalFormatting>
  <conditionalFormatting sqref="BG185">
    <cfRule type="colorScale" priority="5980">
      <colorScale>
        <cfvo type="min"/>
        <cfvo type="max"/>
        <color rgb="FFF8696B"/>
        <color rgb="FFFCFCFF"/>
      </colorScale>
    </cfRule>
  </conditionalFormatting>
  <conditionalFormatting sqref="BG185">
    <cfRule type="colorScale" priority="5978">
      <colorScale>
        <cfvo type="min"/>
        <cfvo type="max"/>
        <color rgb="FFFCFCFF"/>
        <color rgb="FFF8696B"/>
      </colorScale>
    </cfRule>
  </conditionalFormatting>
  <conditionalFormatting sqref="BI185">
    <cfRule type="colorScale" priority="5977">
      <colorScale>
        <cfvo type="min"/>
        <cfvo type="percentile" val="50"/>
        <cfvo type="max"/>
        <color rgb="FFF8696B"/>
        <color rgb="FFFFEB84"/>
        <color rgb="FF63BE7B"/>
      </colorScale>
    </cfRule>
  </conditionalFormatting>
  <conditionalFormatting sqref="BI185">
    <cfRule type="colorScale" priority="5976">
      <colorScale>
        <cfvo type="min"/>
        <cfvo type="percentile" val="50"/>
        <cfvo type="max"/>
        <color rgb="FFF8696B"/>
        <color rgb="FFFFEB84"/>
        <color rgb="FF63BE7B"/>
      </colorScale>
    </cfRule>
  </conditionalFormatting>
  <conditionalFormatting sqref="BI185">
    <cfRule type="colorScale" priority="5975">
      <colorScale>
        <cfvo type="min"/>
        <cfvo type="percentile" val="50"/>
        <cfvo type="max"/>
        <color rgb="FF63BE7B"/>
        <color rgb="FFFFEB84"/>
        <color rgb="FFF8696B"/>
      </colorScale>
    </cfRule>
  </conditionalFormatting>
  <conditionalFormatting sqref="BI185">
    <cfRule type="colorScale" priority="5972">
      <colorScale>
        <cfvo type="min"/>
        <cfvo type="max"/>
        <color rgb="FFFCFCFF"/>
        <color rgb="FFF8696B"/>
      </colorScale>
    </cfRule>
    <cfRule type="colorScale" priority="5974">
      <colorScale>
        <cfvo type="min"/>
        <cfvo type="percentile" val="50"/>
        <cfvo type="max"/>
        <color rgb="FF63BE7B"/>
        <color rgb="FFFFEB84"/>
        <color rgb="FFF8696B"/>
      </colorScale>
    </cfRule>
  </conditionalFormatting>
  <conditionalFormatting sqref="BI185">
    <cfRule type="colorScale" priority="5973">
      <colorScale>
        <cfvo type="min"/>
        <cfvo type="max"/>
        <color rgb="FFF8696B"/>
        <color rgb="FFFCFCFF"/>
      </colorScale>
    </cfRule>
  </conditionalFormatting>
  <conditionalFormatting sqref="BI185">
    <cfRule type="colorScale" priority="5971">
      <colorScale>
        <cfvo type="min"/>
        <cfvo type="max"/>
        <color rgb="FFFCFCFF"/>
        <color rgb="FFF8696B"/>
      </colorScale>
    </cfRule>
  </conditionalFormatting>
  <conditionalFormatting sqref="BK185">
    <cfRule type="colorScale" priority="5970">
      <colorScale>
        <cfvo type="min"/>
        <cfvo type="percentile" val="50"/>
        <cfvo type="max"/>
        <color rgb="FFF8696B"/>
        <color rgb="FFFFEB84"/>
        <color rgb="FF63BE7B"/>
      </colorScale>
    </cfRule>
  </conditionalFormatting>
  <conditionalFormatting sqref="BK185">
    <cfRule type="colorScale" priority="5969">
      <colorScale>
        <cfvo type="min"/>
        <cfvo type="percentile" val="50"/>
        <cfvo type="max"/>
        <color rgb="FFF8696B"/>
        <color rgb="FFFFEB84"/>
        <color rgb="FF63BE7B"/>
      </colorScale>
    </cfRule>
  </conditionalFormatting>
  <conditionalFormatting sqref="BK185">
    <cfRule type="colorScale" priority="5968">
      <colorScale>
        <cfvo type="min"/>
        <cfvo type="percentile" val="50"/>
        <cfvo type="max"/>
        <color rgb="FF63BE7B"/>
        <color rgb="FFFFEB84"/>
        <color rgb="FFF8696B"/>
      </colorScale>
    </cfRule>
  </conditionalFormatting>
  <conditionalFormatting sqref="BK185">
    <cfRule type="colorScale" priority="5965">
      <colorScale>
        <cfvo type="min"/>
        <cfvo type="max"/>
        <color rgb="FFFCFCFF"/>
        <color rgb="FFF8696B"/>
      </colorScale>
    </cfRule>
    <cfRule type="colorScale" priority="5967">
      <colorScale>
        <cfvo type="min"/>
        <cfvo type="percentile" val="50"/>
        <cfvo type="max"/>
        <color rgb="FF63BE7B"/>
        <color rgb="FFFFEB84"/>
        <color rgb="FFF8696B"/>
      </colorScale>
    </cfRule>
  </conditionalFormatting>
  <conditionalFormatting sqref="BK185">
    <cfRule type="colorScale" priority="5966">
      <colorScale>
        <cfvo type="min"/>
        <cfvo type="max"/>
        <color rgb="FFF8696B"/>
        <color rgb="FFFCFCFF"/>
      </colorScale>
    </cfRule>
  </conditionalFormatting>
  <conditionalFormatting sqref="BK185">
    <cfRule type="colorScale" priority="5964">
      <colorScale>
        <cfvo type="min"/>
        <cfvo type="max"/>
        <color rgb="FFFCFCFF"/>
        <color rgb="FFF8696B"/>
      </colorScale>
    </cfRule>
  </conditionalFormatting>
  <conditionalFormatting sqref="AY228 BA228 BC228 BE228 BC254 BE254">
    <cfRule type="colorScale" priority="5963">
      <colorScale>
        <cfvo type="min"/>
        <cfvo type="percentile" val="50"/>
        <cfvo type="max"/>
        <color rgb="FFF8696B"/>
        <color rgb="FFFFEB84"/>
        <color rgb="FF63BE7B"/>
      </colorScale>
    </cfRule>
  </conditionalFormatting>
  <conditionalFormatting sqref="AY228 BA228 BC228 BE228">
    <cfRule type="colorScale" priority="5962">
      <colorScale>
        <cfvo type="min"/>
        <cfvo type="percentile" val="50"/>
        <cfvo type="max"/>
        <color rgb="FFF8696B"/>
        <color rgb="FFFFEB84"/>
        <color rgb="FF63BE7B"/>
      </colorScale>
    </cfRule>
  </conditionalFormatting>
  <conditionalFormatting sqref="AY228 BA228 BC228 BE228 BC254 BE254">
    <cfRule type="colorScale" priority="5961">
      <colorScale>
        <cfvo type="min"/>
        <cfvo type="percentile" val="50"/>
        <cfvo type="max"/>
        <color rgb="FF63BE7B"/>
        <color rgb="FFFFEB84"/>
        <color rgb="FFF8696B"/>
      </colorScale>
    </cfRule>
  </conditionalFormatting>
  <conditionalFormatting sqref="AY228 BA228 BC228 BE228 BC254 BE254">
    <cfRule type="colorScale" priority="5958">
      <colorScale>
        <cfvo type="min"/>
        <cfvo type="max"/>
        <color rgb="FFFCFCFF"/>
        <color rgb="FFF8696B"/>
      </colorScale>
    </cfRule>
    <cfRule type="colorScale" priority="5960">
      <colorScale>
        <cfvo type="min"/>
        <cfvo type="percentile" val="50"/>
        <cfvo type="max"/>
        <color rgb="FF63BE7B"/>
        <color rgb="FFFFEB84"/>
        <color rgb="FFF8696B"/>
      </colorScale>
    </cfRule>
  </conditionalFormatting>
  <conditionalFormatting sqref="AY228 BA228 BC228 BE228 BC254 BE254">
    <cfRule type="colorScale" priority="5959">
      <colorScale>
        <cfvo type="min"/>
        <cfvo type="max"/>
        <color rgb="FFF8696B"/>
        <color rgb="FFFCFCFF"/>
      </colorScale>
    </cfRule>
  </conditionalFormatting>
  <conditionalFormatting sqref="BC256">
    <cfRule type="colorScale" priority="5957">
      <colorScale>
        <cfvo type="min"/>
        <cfvo type="percentile" val="50"/>
        <cfvo type="max"/>
        <color rgb="FFF8696B"/>
        <color rgb="FFFFEB84"/>
        <color rgb="FF63BE7B"/>
      </colorScale>
    </cfRule>
  </conditionalFormatting>
  <conditionalFormatting sqref="BC256">
    <cfRule type="colorScale" priority="5956">
      <colorScale>
        <cfvo type="min"/>
        <cfvo type="percentile" val="50"/>
        <cfvo type="max"/>
        <color rgb="FFF8696B"/>
        <color rgb="FFFFEB84"/>
        <color rgb="FF63BE7B"/>
      </colorScale>
    </cfRule>
  </conditionalFormatting>
  <conditionalFormatting sqref="BC256">
    <cfRule type="colorScale" priority="5955">
      <colorScale>
        <cfvo type="min"/>
        <cfvo type="percentile" val="50"/>
        <cfvo type="max"/>
        <color rgb="FFF8696B"/>
        <color rgb="FFFFEB84"/>
        <color rgb="FF63BE7B"/>
      </colorScale>
    </cfRule>
  </conditionalFormatting>
  <conditionalFormatting sqref="BC256">
    <cfRule type="colorScale" priority="5954">
      <colorScale>
        <cfvo type="min"/>
        <cfvo type="percentile" val="50"/>
        <cfvo type="max"/>
        <color rgb="FF63BE7B"/>
        <color rgb="FFFFEB84"/>
        <color rgb="FFF8696B"/>
      </colorScale>
    </cfRule>
  </conditionalFormatting>
  <conditionalFormatting sqref="BC256">
    <cfRule type="colorScale" priority="5951">
      <colorScale>
        <cfvo type="min"/>
        <cfvo type="max"/>
        <color rgb="FFFCFCFF"/>
        <color rgb="FFF8696B"/>
      </colorScale>
    </cfRule>
    <cfRule type="colorScale" priority="5953">
      <colorScale>
        <cfvo type="min"/>
        <cfvo type="percentile" val="50"/>
        <cfvo type="max"/>
        <color rgb="FF63BE7B"/>
        <color rgb="FFFFEB84"/>
        <color rgb="FFF8696B"/>
      </colorScale>
    </cfRule>
  </conditionalFormatting>
  <conditionalFormatting sqref="BC256">
    <cfRule type="colorScale" priority="5952">
      <colorScale>
        <cfvo type="min"/>
        <cfvo type="max"/>
        <color rgb="FFF8696B"/>
        <color rgb="FFFCFCFF"/>
      </colorScale>
    </cfRule>
  </conditionalFormatting>
  <conditionalFormatting sqref="BE256">
    <cfRule type="colorScale" priority="5950">
      <colorScale>
        <cfvo type="min"/>
        <cfvo type="percentile" val="50"/>
        <cfvo type="max"/>
        <color rgb="FFF8696B"/>
        <color rgb="FFFFEB84"/>
        <color rgb="FF63BE7B"/>
      </colorScale>
    </cfRule>
  </conditionalFormatting>
  <conditionalFormatting sqref="BE256">
    <cfRule type="colorScale" priority="5949">
      <colorScale>
        <cfvo type="min"/>
        <cfvo type="percentile" val="50"/>
        <cfvo type="max"/>
        <color rgb="FFF8696B"/>
        <color rgb="FFFFEB84"/>
        <color rgb="FF63BE7B"/>
      </colorScale>
    </cfRule>
  </conditionalFormatting>
  <conditionalFormatting sqref="BE256">
    <cfRule type="colorScale" priority="5948">
      <colorScale>
        <cfvo type="min"/>
        <cfvo type="percentile" val="50"/>
        <cfvo type="max"/>
        <color rgb="FFF8696B"/>
        <color rgb="FFFFEB84"/>
        <color rgb="FF63BE7B"/>
      </colorScale>
    </cfRule>
  </conditionalFormatting>
  <conditionalFormatting sqref="BE256">
    <cfRule type="colorScale" priority="5947">
      <colorScale>
        <cfvo type="min"/>
        <cfvo type="percentile" val="50"/>
        <cfvo type="max"/>
        <color rgb="FF63BE7B"/>
        <color rgb="FFFFEB84"/>
        <color rgb="FFF8696B"/>
      </colorScale>
    </cfRule>
  </conditionalFormatting>
  <conditionalFormatting sqref="BE256">
    <cfRule type="colorScale" priority="5944">
      <colorScale>
        <cfvo type="min"/>
        <cfvo type="max"/>
        <color rgb="FFFCFCFF"/>
        <color rgb="FFF8696B"/>
      </colorScale>
    </cfRule>
    <cfRule type="colorScale" priority="5946">
      <colorScale>
        <cfvo type="min"/>
        <cfvo type="percentile" val="50"/>
        <cfvo type="max"/>
        <color rgb="FF63BE7B"/>
        <color rgb="FFFFEB84"/>
        <color rgb="FFF8696B"/>
      </colorScale>
    </cfRule>
  </conditionalFormatting>
  <conditionalFormatting sqref="BE256">
    <cfRule type="colorScale" priority="5945">
      <colorScale>
        <cfvo type="min"/>
        <cfvo type="max"/>
        <color rgb="FFF8696B"/>
        <color rgb="FFFCFCFF"/>
      </colorScale>
    </cfRule>
  </conditionalFormatting>
  <conditionalFormatting sqref="BG256">
    <cfRule type="colorScale" priority="5943">
      <colorScale>
        <cfvo type="min"/>
        <cfvo type="percentile" val="50"/>
        <cfvo type="max"/>
        <color rgb="FFF8696B"/>
        <color rgb="FFFFEB84"/>
        <color rgb="FF63BE7B"/>
      </colorScale>
    </cfRule>
  </conditionalFormatting>
  <conditionalFormatting sqref="BG256">
    <cfRule type="colorScale" priority="5942">
      <colorScale>
        <cfvo type="min"/>
        <cfvo type="percentile" val="50"/>
        <cfvo type="max"/>
        <color rgb="FFF8696B"/>
        <color rgb="FFFFEB84"/>
        <color rgb="FF63BE7B"/>
      </colorScale>
    </cfRule>
  </conditionalFormatting>
  <conditionalFormatting sqref="BG256">
    <cfRule type="colorScale" priority="5941">
      <colorScale>
        <cfvo type="min"/>
        <cfvo type="percentile" val="50"/>
        <cfvo type="max"/>
        <color rgb="FFF8696B"/>
        <color rgb="FFFFEB84"/>
        <color rgb="FF63BE7B"/>
      </colorScale>
    </cfRule>
  </conditionalFormatting>
  <conditionalFormatting sqref="BG256">
    <cfRule type="colorScale" priority="5940">
      <colorScale>
        <cfvo type="min"/>
        <cfvo type="percentile" val="50"/>
        <cfvo type="max"/>
        <color rgb="FF63BE7B"/>
        <color rgb="FFFFEB84"/>
        <color rgb="FFF8696B"/>
      </colorScale>
    </cfRule>
  </conditionalFormatting>
  <conditionalFormatting sqref="BG256">
    <cfRule type="colorScale" priority="5937">
      <colorScale>
        <cfvo type="min"/>
        <cfvo type="max"/>
        <color rgb="FFFCFCFF"/>
        <color rgb="FFF8696B"/>
      </colorScale>
    </cfRule>
    <cfRule type="colorScale" priority="5939">
      <colorScale>
        <cfvo type="min"/>
        <cfvo type="percentile" val="50"/>
        <cfvo type="max"/>
        <color rgb="FF63BE7B"/>
        <color rgb="FFFFEB84"/>
        <color rgb="FFF8696B"/>
      </colorScale>
    </cfRule>
  </conditionalFormatting>
  <conditionalFormatting sqref="BG256">
    <cfRule type="colorScale" priority="5938">
      <colorScale>
        <cfvo type="min"/>
        <cfvo type="max"/>
        <color rgb="FFF8696B"/>
        <color rgb="FFFCFCFF"/>
      </colorScale>
    </cfRule>
  </conditionalFormatting>
  <conditionalFormatting sqref="BC254">
    <cfRule type="colorScale" priority="5936">
      <colorScale>
        <cfvo type="min"/>
        <cfvo type="percentile" val="50"/>
        <cfvo type="max"/>
        <color rgb="FFF8696B"/>
        <color rgb="FFFFEB84"/>
        <color rgb="FF63BE7B"/>
      </colorScale>
    </cfRule>
  </conditionalFormatting>
  <conditionalFormatting sqref="BE254">
    <cfRule type="colorScale" priority="5935">
      <colorScale>
        <cfvo type="min"/>
        <cfvo type="percentile" val="50"/>
        <cfvo type="max"/>
        <color rgb="FFF8696B"/>
        <color rgb="FFFFEB84"/>
        <color rgb="FF63BE7B"/>
      </colorScale>
    </cfRule>
  </conditionalFormatting>
  <conditionalFormatting sqref="AY228 BA228 BC228 BE228 BA233 AY233 BE254 BC254 BC256 BE256 BG256">
    <cfRule type="colorScale" priority="5934">
      <colorScale>
        <cfvo type="min"/>
        <cfvo type="max"/>
        <color rgb="FFFCFCFF"/>
        <color rgb="FFF8696B"/>
      </colorScale>
    </cfRule>
  </conditionalFormatting>
  <conditionalFormatting sqref="BI256">
    <cfRule type="colorScale" priority="5933">
      <colorScale>
        <cfvo type="min"/>
        <cfvo type="percentile" val="50"/>
        <cfvo type="max"/>
        <color rgb="FFF8696B"/>
        <color rgb="FFFFEB84"/>
        <color rgb="FF63BE7B"/>
      </colorScale>
    </cfRule>
  </conditionalFormatting>
  <conditionalFormatting sqref="BI256">
    <cfRule type="colorScale" priority="5932">
      <colorScale>
        <cfvo type="min"/>
        <cfvo type="percentile" val="50"/>
        <cfvo type="max"/>
        <color rgb="FFF8696B"/>
        <color rgb="FFFFEB84"/>
        <color rgb="FF63BE7B"/>
      </colorScale>
    </cfRule>
  </conditionalFormatting>
  <conditionalFormatting sqref="BI256">
    <cfRule type="colorScale" priority="5931">
      <colorScale>
        <cfvo type="min"/>
        <cfvo type="percentile" val="50"/>
        <cfvo type="max"/>
        <color rgb="FFF8696B"/>
        <color rgb="FFFFEB84"/>
        <color rgb="FF63BE7B"/>
      </colorScale>
    </cfRule>
  </conditionalFormatting>
  <conditionalFormatting sqref="BI256">
    <cfRule type="colorScale" priority="5930">
      <colorScale>
        <cfvo type="min"/>
        <cfvo type="percentile" val="50"/>
        <cfvo type="max"/>
        <color rgb="FF63BE7B"/>
        <color rgb="FFFFEB84"/>
        <color rgb="FFF8696B"/>
      </colorScale>
    </cfRule>
  </conditionalFormatting>
  <conditionalFormatting sqref="BI256">
    <cfRule type="colorScale" priority="5927">
      <colorScale>
        <cfvo type="min"/>
        <cfvo type="max"/>
        <color rgb="FFFCFCFF"/>
        <color rgb="FFF8696B"/>
      </colorScale>
    </cfRule>
    <cfRule type="colorScale" priority="5929">
      <colorScale>
        <cfvo type="min"/>
        <cfvo type="percentile" val="50"/>
        <cfvo type="max"/>
        <color rgb="FF63BE7B"/>
        <color rgb="FFFFEB84"/>
        <color rgb="FFF8696B"/>
      </colorScale>
    </cfRule>
  </conditionalFormatting>
  <conditionalFormatting sqref="BI256">
    <cfRule type="colorScale" priority="5928">
      <colorScale>
        <cfvo type="min"/>
        <cfvo type="max"/>
        <color rgb="FFF8696B"/>
        <color rgb="FFFCFCFF"/>
      </colorScale>
    </cfRule>
  </conditionalFormatting>
  <conditionalFormatting sqref="BI256">
    <cfRule type="colorScale" priority="5926">
      <colorScale>
        <cfvo type="min"/>
        <cfvo type="max"/>
        <color rgb="FFFCFCFF"/>
        <color rgb="FFF8696B"/>
      </colorScale>
    </cfRule>
  </conditionalFormatting>
  <conditionalFormatting sqref="BK248 BK254">
    <cfRule type="colorScale" priority="5925">
      <colorScale>
        <cfvo type="min"/>
        <cfvo type="percentile" val="50"/>
        <cfvo type="max"/>
        <color rgb="FFF8696B"/>
        <color rgb="FFFFEB84"/>
        <color rgb="FF63BE7B"/>
      </colorScale>
    </cfRule>
  </conditionalFormatting>
  <conditionalFormatting sqref="BK248">
    <cfRule type="colorScale" priority="5924">
      <colorScale>
        <cfvo type="min"/>
        <cfvo type="percentile" val="50"/>
        <cfvo type="max"/>
        <color rgb="FFF8696B"/>
        <color rgb="FFFFEB84"/>
        <color rgb="FF63BE7B"/>
      </colorScale>
    </cfRule>
  </conditionalFormatting>
  <conditionalFormatting sqref="BK248 BK254">
    <cfRule type="colorScale" priority="5923">
      <colorScale>
        <cfvo type="min"/>
        <cfvo type="percentile" val="50"/>
        <cfvo type="max"/>
        <color rgb="FF63BE7B"/>
        <color rgb="FFFFEB84"/>
        <color rgb="FFF8696B"/>
      </colorScale>
    </cfRule>
  </conditionalFormatting>
  <conditionalFormatting sqref="BK254 BK248">
    <cfRule type="colorScale" priority="5920">
      <colorScale>
        <cfvo type="min"/>
        <cfvo type="max"/>
        <color rgb="FFFCFCFF"/>
        <color rgb="FFF8696B"/>
      </colorScale>
    </cfRule>
    <cfRule type="colorScale" priority="5922">
      <colorScale>
        <cfvo type="min"/>
        <cfvo type="percentile" val="50"/>
        <cfvo type="max"/>
        <color rgb="FF63BE7B"/>
        <color rgb="FFFFEB84"/>
        <color rgb="FFF8696B"/>
      </colorScale>
    </cfRule>
  </conditionalFormatting>
  <conditionalFormatting sqref="BK248 BK254">
    <cfRule type="colorScale" priority="5921">
      <colorScale>
        <cfvo type="min"/>
        <cfvo type="max"/>
        <color rgb="FFF8696B"/>
        <color rgb="FFFCFCFF"/>
      </colorScale>
    </cfRule>
  </conditionalFormatting>
  <conditionalFormatting sqref="BK256">
    <cfRule type="colorScale" priority="5919">
      <colorScale>
        <cfvo type="min"/>
        <cfvo type="percentile" val="50"/>
        <cfvo type="max"/>
        <color rgb="FFF8696B"/>
        <color rgb="FFFFEB84"/>
        <color rgb="FF63BE7B"/>
      </colorScale>
    </cfRule>
  </conditionalFormatting>
  <conditionalFormatting sqref="BK256">
    <cfRule type="colorScale" priority="5918">
      <colorScale>
        <cfvo type="min"/>
        <cfvo type="percentile" val="50"/>
        <cfvo type="max"/>
        <color rgb="FFF8696B"/>
        <color rgb="FFFFEB84"/>
        <color rgb="FF63BE7B"/>
      </colorScale>
    </cfRule>
  </conditionalFormatting>
  <conditionalFormatting sqref="BK256">
    <cfRule type="colorScale" priority="5917">
      <colorScale>
        <cfvo type="min"/>
        <cfvo type="percentile" val="50"/>
        <cfvo type="max"/>
        <color rgb="FFF8696B"/>
        <color rgb="FFFFEB84"/>
        <color rgb="FF63BE7B"/>
      </colorScale>
    </cfRule>
  </conditionalFormatting>
  <conditionalFormatting sqref="BK256">
    <cfRule type="colorScale" priority="5916">
      <colorScale>
        <cfvo type="min"/>
        <cfvo type="percentile" val="50"/>
        <cfvo type="max"/>
        <color rgb="FF63BE7B"/>
        <color rgb="FFFFEB84"/>
        <color rgb="FFF8696B"/>
      </colorScale>
    </cfRule>
  </conditionalFormatting>
  <conditionalFormatting sqref="BK256">
    <cfRule type="colorScale" priority="5913">
      <colorScale>
        <cfvo type="min"/>
        <cfvo type="max"/>
        <color rgb="FFFCFCFF"/>
        <color rgb="FFF8696B"/>
      </colorScale>
    </cfRule>
    <cfRule type="colorScale" priority="5915">
      <colorScale>
        <cfvo type="min"/>
        <cfvo type="percentile" val="50"/>
        <cfvo type="max"/>
        <color rgb="FF63BE7B"/>
        <color rgb="FFFFEB84"/>
        <color rgb="FFF8696B"/>
      </colorScale>
    </cfRule>
  </conditionalFormatting>
  <conditionalFormatting sqref="BK256">
    <cfRule type="colorScale" priority="5914">
      <colorScale>
        <cfvo type="min"/>
        <cfvo type="max"/>
        <color rgb="FFF8696B"/>
        <color rgb="FFFCFCFF"/>
      </colorScale>
    </cfRule>
  </conditionalFormatting>
  <conditionalFormatting sqref="BK248">
    <cfRule type="colorScale" priority="5912">
      <colorScale>
        <cfvo type="min"/>
        <cfvo type="percentile" val="50"/>
        <cfvo type="max"/>
        <color rgb="FFF8696B"/>
        <color rgb="FFFFEB84"/>
        <color rgb="FF63BE7B"/>
      </colorScale>
    </cfRule>
  </conditionalFormatting>
  <conditionalFormatting sqref="BK254">
    <cfRule type="colorScale" priority="5911">
      <colorScale>
        <cfvo type="min"/>
        <cfvo type="percentile" val="50"/>
        <cfvo type="max"/>
        <color rgb="FFF8696B"/>
        <color rgb="FFFFEB84"/>
        <color rgb="FF63BE7B"/>
      </colorScale>
    </cfRule>
  </conditionalFormatting>
  <conditionalFormatting sqref="BK248 BK254 BK256">
    <cfRule type="colorScale" priority="5910">
      <colorScale>
        <cfvo type="min"/>
        <cfvo type="max"/>
        <color rgb="FFFCFCFF"/>
        <color rgb="FFF8696B"/>
      </colorScale>
    </cfRule>
  </conditionalFormatting>
  <conditionalFormatting sqref="BG228">
    <cfRule type="colorScale" priority="5909">
      <colorScale>
        <cfvo type="min"/>
        <cfvo type="percentile" val="50"/>
        <cfvo type="max"/>
        <color rgb="FFF8696B"/>
        <color rgb="FFFFEB84"/>
        <color rgb="FF63BE7B"/>
      </colorScale>
    </cfRule>
  </conditionalFormatting>
  <conditionalFormatting sqref="BG228">
    <cfRule type="colorScale" priority="5908">
      <colorScale>
        <cfvo type="min"/>
        <cfvo type="percentile" val="50"/>
        <cfvo type="max"/>
        <color rgb="FFF8696B"/>
        <color rgb="FFFFEB84"/>
        <color rgb="FF63BE7B"/>
      </colorScale>
    </cfRule>
  </conditionalFormatting>
  <conditionalFormatting sqref="BG228">
    <cfRule type="colorScale" priority="5907">
      <colorScale>
        <cfvo type="min"/>
        <cfvo type="percentile" val="50"/>
        <cfvo type="max"/>
        <color rgb="FF63BE7B"/>
        <color rgb="FFFFEB84"/>
        <color rgb="FFF8696B"/>
      </colorScale>
    </cfRule>
  </conditionalFormatting>
  <conditionalFormatting sqref="BG228">
    <cfRule type="colorScale" priority="5904">
      <colorScale>
        <cfvo type="min"/>
        <cfvo type="max"/>
        <color rgb="FFFCFCFF"/>
        <color rgb="FFF8696B"/>
      </colorScale>
    </cfRule>
    <cfRule type="colorScale" priority="5906">
      <colorScale>
        <cfvo type="min"/>
        <cfvo type="percentile" val="50"/>
        <cfvo type="max"/>
        <color rgb="FF63BE7B"/>
        <color rgb="FFFFEB84"/>
        <color rgb="FFF8696B"/>
      </colorScale>
    </cfRule>
  </conditionalFormatting>
  <conditionalFormatting sqref="BG228">
    <cfRule type="colorScale" priority="5905">
      <colorScale>
        <cfvo type="min"/>
        <cfvo type="max"/>
        <color rgb="FFF8696B"/>
        <color rgb="FFFCFCFF"/>
      </colorScale>
    </cfRule>
  </conditionalFormatting>
  <conditionalFormatting sqref="BG228">
    <cfRule type="colorScale" priority="5903">
      <colorScale>
        <cfvo type="min"/>
        <cfvo type="max"/>
        <color rgb="FFFCFCFF"/>
        <color rgb="FFF8696B"/>
      </colorScale>
    </cfRule>
  </conditionalFormatting>
  <conditionalFormatting sqref="BI228">
    <cfRule type="colorScale" priority="5902">
      <colorScale>
        <cfvo type="min"/>
        <cfvo type="percentile" val="50"/>
        <cfvo type="max"/>
        <color rgb="FFF8696B"/>
        <color rgb="FFFFEB84"/>
        <color rgb="FF63BE7B"/>
      </colorScale>
    </cfRule>
  </conditionalFormatting>
  <conditionalFormatting sqref="BI228">
    <cfRule type="colorScale" priority="5901">
      <colorScale>
        <cfvo type="min"/>
        <cfvo type="percentile" val="50"/>
        <cfvo type="max"/>
        <color rgb="FFF8696B"/>
        <color rgb="FFFFEB84"/>
        <color rgb="FF63BE7B"/>
      </colorScale>
    </cfRule>
  </conditionalFormatting>
  <conditionalFormatting sqref="BI228">
    <cfRule type="colorScale" priority="5900">
      <colorScale>
        <cfvo type="min"/>
        <cfvo type="percentile" val="50"/>
        <cfvo type="max"/>
        <color rgb="FF63BE7B"/>
        <color rgb="FFFFEB84"/>
        <color rgb="FFF8696B"/>
      </colorScale>
    </cfRule>
  </conditionalFormatting>
  <conditionalFormatting sqref="BI228">
    <cfRule type="colorScale" priority="5897">
      <colorScale>
        <cfvo type="min"/>
        <cfvo type="max"/>
        <color rgb="FFFCFCFF"/>
        <color rgb="FFF8696B"/>
      </colorScale>
    </cfRule>
    <cfRule type="colorScale" priority="5899">
      <colorScale>
        <cfvo type="min"/>
        <cfvo type="percentile" val="50"/>
        <cfvo type="max"/>
        <color rgb="FF63BE7B"/>
        <color rgb="FFFFEB84"/>
        <color rgb="FFF8696B"/>
      </colorScale>
    </cfRule>
  </conditionalFormatting>
  <conditionalFormatting sqref="BI228">
    <cfRule type="colorScale" priority="5898">
      <colorScale>
        <cfvo type="min"/>
        <cfvo type="max"/>
        <color rgb="FFF8696B"/>
        <color rgb="FFFCFCFF"/>
      </colorScale>
    </cfRule>
  </conditionalFormatting>
  <conditionalFormatting sqref="BI228">
    <cfRule type="colorScale" priority="5896">
      <colorScale>
        <cfvo type="min"/>
        <cfvo type="max"/>
        <color rgb="FFFCFCFF"/>
        <color rgb="FFF8696B"/>
      </colorScale>
    </cfRule>
  </conditionalFormatting>
  <conditionalFormatting sqref="BK228">
    <cfRule type="colorScale" priority="5895">
      <colorScale>
        <cfvo type="min"/>
        <cfvo type="percentile" val="50"/>
        <cfvo type="max"/>
        <color rgb="FFF8696B"/>
        <color rgb="FFFFEB84"/>
        <color rgb="FF63BE7B"/>
      </colorScale>
    </cfRule>
  </conditionalFormatting>
  <conditionalFormatting sqref="BK228">
    <cfRule type="colorScale" priority="5894">
      <colorScale>
        <cfvo type="min"/>
        <cfvo type="percentile" val="50"/>
        <cfvo type="max"/>
        <color rgb="FFF8696B"/>
        <color rgb="FFFFEB84"/>
        <color rgb="FF63BE7B"/>
      </colorScale>
    </cfRule>
  </conditionalFormatting>
  <conditionalFormatting sqref="BK228">
    <cfRule type="colorScale" priority="5893">
      <colorScale>
        <cfvo type="min"/>
        <cfvo type="percentile" val="50"/>
        <cfvo type="max"/>
        <color rgb="FF63BE7B"/>
        <color rgb="FFFFEB84"/>
        <color rgb="FFF8696B"/>
      </colorScale>
    </cfRule>
  </conditionalFormatting>
  <conditionalFormatting sqref="BK228">
    <cfRule type="colorScale" priority="5890">
      <colorScale>
        <cfvo type="min"/>
        <cfvo type="max"/>
        <color rgb="FFFCFCFF"/>
        <color rgb="FFF8696B"/>
      </colorScale>
    </cfRule>
    <cfRule type="colorScale" priority="5892">
      <colorScale>
        <cfvo type="min"/>
        <cfvo type="percentile" val="50"/>
        <cfvo type="max"/>
        <color rgb="FF63BE7B"/>
        <color rgb="FFFFEB84"/>
        <color rgb="FFF8696B"/>
      </colorScale>
    </cfRule>
  </conditionalFormatting>
  <conditionalFormatting sqref="BK228">
    <cfRule type="colorScale" priority="5891">
      <colorScale>
        <cfvo type="min"/>
        <cfvo type="max"/>
        <color rgb="FFF8696B"/>
        <color rgb="FFFCFCFF"/>
      </colorScale>
    </cfRule>
  </conditionalFormatting>
  <conditionalFormatting sqref="BK228">
    <cfRule type="colorScale" priority="5889">
      <colorScale>
        <cfvo type="min"/>
        <cfvo type="max"/>
        <color rgb="FFFCFCFF"/>
        <color rgb="FFF8696B"/>
      </colorScale>
    </cfRule>
  </conditionalFormatting>
  <conditionalFormatting sqref="BC104">
    <cfRule type="colorScale" priority="5888">
      <colorScale>
        <cfvo type="min"/>
        <cfvo type="percentile" val="50"/>
        <cfvo type="max"/>
        <color rgb="FFF8696B"/>
        <color rgb="FFFFEB84"/>
        <color rgb="FF63BE7B"/>
      </colorScale>
    </cfRule>
  </conditionalFormatting>
  <conditionalFormatting sqref="BC104">
    <cfRule type="colorScale" priority="5887">
      <colorScale>
        <cfvo type="min"/>
        <cfvo type="percentile" val="50"/>
        <cfvo type="max"/>
        <color rgb="FF63BE7B"/>
        <color rgb="FFFFEB84"/>
        <color rgb="FFF8696B"/>
      </colorScale>
    </cfRule>
  </conditionalFormatting>
  <conditionalFormatting sqref="BC104">
    <cfRule type="colorScale" priority="5884">
      <colorScale>
        <cfvo type="min"/>
        <cfvo type="max"/>
        <color rgb="FFFCFCFF"/>
        <color rgb="FFF8696B"/>
      </colorScale>
    </cfRule>
    <cfRule type="colorScale" priority="5886">
      <colorScale>
        <cfvo type="min"/>
        <cfvo type="percentile" val="50"/>
        <cfvo type="max"/>
        <color rgb="FF63BE7B"/>
        <color rgb="FFFFEB84"/>
        <color rgb="FFF8696B"/>
      </colorScale>
    </cfRule>
  </conditionalFormatting>
  <conditionalFormatting sqref="BC104">
    <cfRule type="colorScale" priority="5885">
      <colorScale>
        <cfvo type="min"/>
        <cfvo type="max"/>
        <color rgb="FFF8696B"/>
        <color rgb="FFFCFCFF"/>
      </colorScale>
    </cfRule>
  </conditionalFormatting>
  <conditionalFormatting sqref="BC104">
    <cfRule type="colorScale" priority="5883">
      <colorScale>
        <cfvo type="min"/>
        <cfvo type="max"/>
        <color rgb="FFFCFCFF"/>
        <color rgb="FFF8696B"/>
      </colorScale>
    </cfRule>
  </conditionalFormatting>
  <conditionalFormatting sqref="BC61">
    <cfRule type="colorScale" priority="5882">
      <colorScale>
        <cfvo type="min"/>
        <cfvo type="percentile" val="50"/>
        <cfvo type="max"/>
        <color rgb="FFF8696B"/>
        <color rgb="FFFFEB84"/>
        <color rgb="FF63BE7B"/>
      </colorScale>
    </cfRule>
  </conditionalFormatting>
  <conditionalFormatting sqref="BC61">
    <cfRule type="colorScale" priority="5881">
      <colorScale>
        <cfvo type="min"/>
        <cfvo type="percentile" val="50"/>
        <cfvo type="max"/>
        <color rgb="FF63BE7B"/>
        <color rgb="FFFFEB84"/>
        <color rgb="FFF8696B"/>
      </colorScale>
    </cfRule>
  </conditionalFormatting>
  <conditionalFormatting sqref="BC61">
    <cfRule type="colorScale" priority="5878">
      <colorScale>
        <cfvo type="min"/>
        <cfvo type="max"/>
        <color rgb="FFFCFCFF"/>
        <color rgb="FFF8696B"/>
      </colorScale>
    </cfRule>
    <cfRule type="colorScale" priority="5880">
      <colorScale>
        <cfvo type="min"/>
        <cfvo type="percentile" val="50"/>
        <cfvo type="max"/>
        <color rgb="FF63BE7B"/>
        <color rgb="FFFFEB84"/>
        <color rgb="FFF8696B"/>
      </colorScale>
    </cfRule>
  </conditionalFormatting>
  <conditionalFormatting sqref="BC61">
    <cfRule type="colorScale" priority="5879">
      <colorScale>
        <cfvo type="min"/>
        <cfvo type="max"/>
        <color rgb="FFF8696B"/>
        <color rgb="FFFCFCFF"/>
      </colorScale>
    </cfRule>
  </conditionalFormatting>
  <conditionalFormatting sqref="BC61">
    <cfRule type="colorScale" priority="5877">
      <colorScale>
        <cfvo type="min"/>
        <cfvo type="max"/>
        <color rgb="FFFCFCFF"/>
        <color rgb="FFF8696B"/>
      </colorScale>
    </cfRule>
  </conditionalFormatting>
  <conditionalFormatting sqref="BC18">
    <cfRule type="colorScale" priority="5876">
      <colorScale>
        <cfvo type="min"/>
        <cfvo type="percentile" val="50"/>
        <cfvo type="max"/>
        <color rgb="FFF8696B"/>
        <color rgb="FFFFEB84"/>
        <color rgb="FF63BE7B"/>
      </colorScale>
    </cfRule>
  </conditionalFormatting>
  <conditionalFormatting sqref="BC18">
    <cfRule type="colorScale" priority="5875">
      <colorScale>
        <cfvo type="min"/>
        <cfvo type="percentile" val="50"/>
        <cfvo type="max"/>
        <color rgb="FF63BE7B"/>
        <color rgb="FFFFEB84"/>
        <color rgb="FFF8696B"/>
      </colorScale>
    </cfRule>
  </conditionalFormatting>
  <conditionalFormatting sqref="BC18">
    <cfRule type="colorScale" priority="5872">
      <colorScale>
        <cfvo type="min"/>
        <cfvo type="max"/>
        <color rgb="FFFCFCFF"/>
        <color rgb="FFF8696B"/>
      </colorScale>
    </cfRule>
    <cfRule type="colorScale" priority="5874">
      <colorScale>
        <cfvo type="min"/>
        <cfvo type="percentile" val="50"/>
        <cfvo type="max"/>
        <color rgb="FF63BE7B"/>
        <color rgb="FFFFEB84"/>
        <color rgb="FFF8696B"/>
      </colorScale>
    </cfRule>
  </conditionalFormatting>
  <conditionalFormatting sqref="BC18">
    <cfRule type="colorScale" priority="5873">
      <colorScale>
        <cfvo type="min"/>
        <cfvo type="max"/>
        <color rgb="FFF8696B"/>
        <color rgb="FFFCFCFF"/>
      </colorScale>
    </cfRule>
  </conditionalFormatting>
  <conditionalFormatting sqref="BC18">
    <cfRule type="colorScale" priority="5871">
      <colorScale>
        <cfvo type="min"/>
        <cfvo type="max"/>
        <color rgb="FFFCFCFF"/>
        <color rgb="FFF8696B"/>
      </colorScale>
    </cfRule>
  </conditionalFormatting>
  <conditionalFormatting sqref="BE18">
    <cfRule type="colorScale" priority="5870">
      <colorScale>
        <cfvo type="min"/>
        <cfvo type="percentile" val="50"/>
        <cfvo type="max"/>
        <color rgb="FFF8696B"/>
        <color rgb="FFFFEB84"/>
        <color rgb="FF63BE7B"/>
      </colorScale>
    </cfRule>
  </conditionalFormatting>
  <conditionalFormatting sqref="BE18">
    <cfRule type="colorScale" priority="5869">
      <colorScale>
        <cfvo type="min"/>
        <cfvo type="percentile" val="50"/>
        <cfvo type="max"/>
        <color rgb="FF63BE7B"/>
        <color rgb="FFFFEB84"/>
        <color rgb="FFF8696B"/>
      </colorScale>
    </cfRule>
  </conditionalFormatting>
  <conditionalFormatting sqref="BE18">
    <cfRule type="colorScale" priority="5866">
      <colorScale>
        <cfvo type="min"/>
        <cfvo type="max"/>
        <color rgb="FFFCFCFF"/>
        <color rgb="FFF8696B"/>
      </colorScale>
    </cfRule>
    <cfRule type="colorScale" priority="5868">
      <colorScale>
        <cfvo type="min"/>
        <cfvo type="percentile" val="50"/>
        <cfvo type="max"/>
        <color rgb="FF63BE7B"/>
        <color rgb="FFFFEB84"/>
        <color rgb="FFF8696B"/>
      </colorScale>
    </cfRule>
  </conditionalFormatting>
  <conditionalFormatting sqref="BE18">
    <cfRule type="colorScale" priority="5867">
      <colorScale>
        <cfvo type="min"/>
        <cfvo type="max"/>
        <color rgb="FFF8696B"/>
        <color rgb="FFFCFCFF"/>
      </colorScale>
    </cfRule>
  </conditionalFormatting>
  <conditionalFormatting sqref="BE18">
    <cfRule type="colorScale" priority="5865">
      <colorScale>
        <cfvo type="min"/>
        <cfvo type="max"/>
        <color rgb="FFFCFCFF"/>
        <color rgb="FFF8696B"/>
      </colorScale>
    </cfRule>
  </conditionalFormatting>
  <conditionalFormatting sqref="BE61">
    <cfRule type="colorScale" priority="5864">
      <colorScale>
        <cfvo type="min"/>
        <cfvo type="percentile" val="50"/>
        <cfvo type="max"/>
        <color rgb="FFF8696B"/>
        <color rgb="FFFFEB84"/>
        <color rgb="FF63BE7B"/>
      </colorScale>
    </cfRule>
  </conditionalFormatting>
  <conditionalFormatting sqref="BE61">
    <cfRule type="colorScale" priority="5863">
      <colorScale>
        <cfvo type="min"/>
        <cfvo type="percentile" val="50"/>
        <cfvo type="max"/>
        <color rgb="FF63BE7B"/>
        <color rgb="FFFFEB84"/>
        <color rgb="FFF8696B"/>
      </colorScale>
    </cfRule>
  </conditionalFormatting>
  <conditionalFormatting sqref="BE61">
    <cfRule type="colorScale" priority="5860">
      <colorScale>
        <cfvo type="min"/>
        <cfvo type="max"/>
        <color rgb="FFFCFCFF"/>
        <color rgb="FFF8696B"/>
      </colorScale>
    </cfRule>
    <cfRule type="colorScale" priority="5862">
      <colorScale>
        <cfvo type="min"/>
        <cfvo type="percentile" val="50"/>
        <cfvo type="max"/>
        <color rgb="FF63BE7B"/>
        <color rgb="FFFFEB84"/>
        <color rgb="FFF8696B"/>
      </colorScale>
    </cfRule>
  </conditionalFormatting>
  <conditionalFormatting sqref="BE61">
    <cfRule type="colorScale" priority="5861">
      <colorScale>
        <cfvo type="min"/>
        <cfvo type="max"/>
        <color rgb="FFF8696B"/>
        <color rgb="FFFCFCFF"/>
      </colorScale>
    </cfRule>
  </conditionalFormatting>
  <conditionalFormatting sqref="BE61">
    <cfRule type="colorScale" priority="5859">
      <colorScale>
        <cfvo type="min"/>
        <cfvo type="max"/>
        <color rgb="FFFCFCFF"/>
        <color rgb="FFF8696B"/>
      </colorScale>
    </cfRule>
  </conditionalFormatting>
  <conditionalFormatting sqref="BE104">
    <cfRule type="colorScale" priority="5858">
      <colorScale>
        <cfvo type="min"/>
        <cfvo type="percentile" val="50"/>
        <cfvo type="max"/>
        <color rgb="FFF8696B"/>
        <color rgb="FFFFEB84"/>
        <color rgb="FF63BE7B"/>
      </colorScale>
    </cfRule>
  </conditionalFormatting>
  <conditionalFormatting sqref="BE104">
    <cfRule type="colorScale" priority="5857">
      <colorScale>
        <cfvo type="min"/>
        <cfvo type="percentile" val="50"/>
        <cfvo type="max"/>
        <color rgb="FF63BE7B"/>
        <color rgb="FFFFEB84"/>
        <color rgb="FFF8696B"/>
      </colorScale>
    </cfRule>
  </conditionalFormatting>
  <conditionalFormatting sqref="BE104">
    <cfRule type="colorScale" priority="5854">
      <colorScale>
        <cfvo type="min"/>
        <cfvo type="max"/>
        <color rgb="FFFCFCFF"/>
        <color rgb="FFF8696B"/>
      </colorScale>
    </cfRule>
    <cfRule type="colorScale" priority="5856">
      <colorScale>
        <cfvo type="min"/>
        <cfvo type="percentile" val="50"/>
        <cfvo type="max"/>
        <color rgb="FF63BE7B"/>
        <color rgb="FFFFEB84"/>
        <color rgb="FFF8696B"/>
      </colorScale>
    </cfRule>
  </conditionalFormatting>
  <conditionalFormatting sqref="BE104">
    <cfRule type="colorScale" priority="5855">
      <colorScale>
        <cfvo type="min"/>
        <cfvo type="max"/>
        <color rgb="FFF8696B"/>
        <color rgb="FFFCFCFF"/>
      </colorScale>
    </cfRule>
  </conditionalFormatting>
  <conditionalFormatting sqref="BE104">
    <cfRule type="colorScale" priority="5853">
      <colorScale>
        <cfvo type="min"/>
        <cfvo type="max"/>
        <color rgb="FFFCFCFF"/>
        <color rgb="FFF8696B"/>
      </colorScale>
    </cfRule>
  </conditionalFormatting>
  <conditionalFormatting sqref="BE147">
    <cfRule type="colorScale" priority="5852">
      <colorScale>
        <cfvo type="min"/>
        <cfvo type="percentile" val="50"/>
        <cfvo type="max"/>
        <color rgb="FFF8696B"/>
        <color rgb="FFFFEB84"/>
        <color rgb="FF63BE7B"/>
      </colorScale>
    </cfRule>
  </conditionalFormatting>
  <conditionalFormatting sqref="BE147">
    <cfRule type="colorScale" priority="5851">
      <colorScale>
        <cfvo type="min"/>
        <cfvo type="percentile" val="50"/>
        <cfvo type="max"/>
        <color rgb="FF63BE7B"/>
        <color rgb="FFFFEB84"/>
        <color rgb="FFF8696B"/>
      </colorScale>
    </cfRule>
  </conditionalFormatting>
  <conditionalFormatting sqref="BE147">
    <cfRule type="colorScale" priority="5848">
      <colorScale>
        <cfvo type="min"/>
        <cfvo type="max"/>
        <color rgb="FFFCFCFF"/>
        <color rgb="FFF8696B"/>
      </colorScale>
    </cfRule>
    <cfRule type="colorScale" priority="5850">
      <colorScale>
        <cfvo type="min"/>
        <cfvo type="percentile" val="50"/>
        <cfvo type="max"/>
        <color rgb="FF63BE7B"/>
        <color rgb="FFFFEB84"/>
        <color rgb="FFF8696B"/>
      </colorScale>
    </cfRule>
  </conditionalFormatting>
  <conditionalFormatting sqref="BE147">
    <cfRule type="colorScale" priority="5849">
      <colorScale>
        <cfvo type="min"/>
        <cfvo type="max"/>
        <color rgb="FFF8696B"/>
        <color rgb="FFFCFCFF"/>
      </colorScale>
    </cfRule>
  </conditionalFormatting>
  <conditionalFormatting sqref="BE147">
    <cfRule type="colorScale" priority="5847">
      <colorScale>
        <cfvo type="min"/>
        <cfvo type="max"/>
        <color rgb="FFFCFCFF"/>
        <color rgb="FFF8696B"/>
      </colorScale>
    </cfRule>
  </conditionalFormatting>
  <conditionalFormatting sqref="BG18">
    <cfRule type="colorScale" priority="5846">
      <colorScale>
        <cfvo type="min"/>
        <cfvo type="percentile" val="50"/>
        <cfvo type="max"/>
        <color rgb="FFF8696B"/>
        <color rgb="FFFFEB84"/>
        <color rgb="FF63BE7B"/>
      </colorScale>
    </cfRule>
  </conditionalFormatting>
  <conditionalFormatting sqref="BG18">
    <cfRule type="colorScale" priority="5845">
      <colorScale>
        <cfvo type="min"/>
        <cfvo type="percentile" val="50"/>
        <cfvo type="max"/>
        <color rgb="FFF8696B"/>
        <color rgb="FFFFEB84"/>
        <color rgb="FF63BE7B"/>
      </colorScale>
    </cfRule>
  </conditionalFormatting>
  <conditionalFormatting sqref="BG18">
    <cfRule type="colorScale" priority="5844">
      <colorScale>
        <cfvo type="min"/>
        <cfvo type="percentile" val="50"/>
        <cfvo type="max"/>
        <color rgb="FF63BE7B"/>
        <color rgb="FFFFEB84"/>
        <color rgb="FFF8696B"/>
      </colorScale>
    </cfRule>
  </conditionalFormatting>
  <conditionalFormatting sqref="BG18">
    <cfRule type="colorScale" priority="5841">
      <colorScale>
        <cfvo type="min"/>
        <cfvo type="max"/>
        <color rgb="FFFCFCFF"/>
        <color rgb="FFF8696B"/>
      </colorScale>
    </cfRule>
    <cfRule type="colorScale" priority="5843">
      <colorScale>
        <cfvo type="min"/>
        <cfvo type="percentile" val="50"/>
        <cfvo type="max"/>
        <color rgb="FF63BE7B"/>
        <color rgb="FFFFEB84"/>
        <color rgb="FFF8696B"/>
      </colorScale>
    </cfRule>
  </conditionalFormatting>
  <conditionalFormatting sqref="BG18">
    <cfRule type="colorScale" priority="5842">
      <colorScale>
        <cfvo type="min"/>
        <cfvo type="max"/>
        <color rgb="FFF8696B"/>
        <color rgb="FFFCFCFF"/>
      </colorScale>
    </cfRule>
  </conditionalFormatting>
  <conditionalFormatting sqref="BG18">
    <cfRule type="colorScale" priority="5840">
      <colorScale>
        <cfvo type="min"/>
        <cfvo type="max"/>
        <color rgb="FFFCFCFF"/>
        <color rgb="FFF8696B"/>
      </colorScale>
    </cfRule>
  </conditionalFormatting>
  <conditionalFormatting sqref="BG61">
    <cfRule type="colorScale" priority="5839">
      <colorScale>
        <cfvo type="min"/>
        <cfvo type="percentile" val="50"/>
        <cfvo type="max"/>
        <color rgb="FFF8696B"/>
        <color rgb="FFFFEB84"/>
        <color rgb="FF63BE7B"/>
      </colorScale>
    </cfRule>
  </conditionalFormatting>
  <conditionalFormatting sqref="BG61">
    <cfRule type="colorScale" priority="5838">
      <colorScale>
        <cfvo type="min"/>
        <cfvo type="percentile" val="50"/>
        <cfvo type="max"/>
        <color rgb="FFF8696B"/>
        <color rgb="FFFFEB84"/>
        <color rgb="FF63BE7B"/>
      </colorScale>
    </cfRule>
  </conditionalFormatting>
  <conditionalFormatting sqref="BG61">
    <cfRule type="colorScale" priority="5837">
      <colorScale>
        <cfvo type="min"/>
        <cfvo type="percentile" val="50"/>
        <cfvo type="max"/>
        <color rgb="FF63BE7B"/>
        <color rgb="FFFFEB84"/>
        <color rgb="FFF8696B"/>
      </colorScale>
    </cfRule>
  </conditionalFormatting>
  <conditionalFormatting sqref="BG61">
    <cfRule type="colorScale" priority="5834">
      <colorScale>
        <cfvo type="min"/>
        <cfvo type="max"/>
        <color rgb="FFFCFCFF"/>
        <color rgb="FFF8696B"/>
      </colorScale>
    </cfRule>
    <cfRule type="colorScale" priority="5836">
      <colorScale>
        <cfvo type="min"/>
        <cfvo type="percentile" val="50"/>
        <cfvo type="max"/>
        <color rgb="FF63BE7B"/>
        <color rgb="FFFFEB84"/>
        <color rgb="FFF8696B"/>
      </colorScale>
    </cfRule>
  </conditionalFormatting>
  <conditionalFormatting sqref="BG61">
    <cfRule type="colorScale" priority="5835">
      <colorScale>
        <cfvo type="min"/>
        <cfvo type="max"/>
        <color rgb="FFF8696B"/>
        <color rgb="FFFCFCFF"/>
      </colorScale>
    </cfRule>
  </conditionalFormatting>
  <conditionalFormatting sqref="BG61">
    <cfRule type="colorScale" priority="5833">
      <colorScale>
        <cfvo type="min"/>
        <cfvo type="max"/>
        <color rgb="FFFCFCFF"/>
        <color rgb="FFF8696B"/>
      </colorScale>
    </cfRule>
  </conditionalFormatting>
  <conditionalFormatting sqref="BG104">
    <cfRule type="colorScale" priority="5832">
      <colorScale>
        <cfvo type="min"/>
        <cfvo type="percentile" val="50"/>
        <cfvo type="max"/>
        <color rgb="FFF8696B"/>
        <color rgb="FFFFEB84"/>
        <color rgb="FF63BE7B"/>
      </colorScale>
    </cfRule>
  </conditionalFormatting>
  <conditionalFormatting sqref="BG104">
    <cfRule type="colorScale" priority="5831">
      <colorScale>
        <cfvo type="min"/>
        <cfvo type="percentile" val="50"/>
        <cfvo type="max"/>
        <color rgb="FFF8696B"/>
        <color rgb="FFFFEB84"/>
        <color rgb="FF63BE7B"/>
      </colorScale>
    </cfRule>
  </conditionalFormatting>
  <conditionalFormatting sqref="BG104">
    <cfRule type="colorScale" priority="5830">
      <colorScale>
        <cfvo type="min"/>
        <cfvo type="percentile" val="50"/>
        <cfvo type="max"/>
        <color rgb="FF63BE7B"/>
        <color rgb="FFFFEB84"/>
        <color rgb="FFF8696B"/>
      </colorScale>
    </cfRule>
  </conditionalFormatting>
  <conditionalFormatting sqref="BG104">
    <cfRule type="colorScale" priority="5827">
      <colorScale>
        <cfvo type="min"/>
        <cfvo type="max"/>
        <color rgb="FFFCFCFF"/>
        <color rgb="FFF8696B"/>
      </colorScale>
    </cfRule>
    <cfRule type="colorScale" priority="5829">
      <colorScale>
        <cfvo type="min"/>
        <cfvo type="percentile" val="50"/>
        <cfvo type="max"/>
        <color rgb="FF63BE7B"/>
        <color rgb="FFFFEB84"/>
        <color rgb="FFF8696B"/>
      </colorScale>
    </cfRule>
  </conditionalFormatting>
  <conditionalFormatting sqref="BG104">
    <cfRule type="colorScale" priority="5828">
      <colorScale>
        <cfvo type="min"/>
        <cfvo type="max"/>
        <color rgb="FFF8696B"/>
        <color rgb="FFFCFCFF"/>
      </colorScale>
    </cfRule>
  </conditionalFormatting>
  <conditionalFormatting sqref="BG104">
    <cfRule type="colorScale" priority="5826">
      <colorScale>
        <cfvo type="min"/>
        <cfvo type="max"/>
        <color rgb="FFFCFCFF"/>
        <color rgb="FFF8696B"/>
      </colorScale>
    </cfRule>
  </conditionalFormatting>
  <conditionalFormatting sqref="BE233">
    <cfRule type="colorScale" priority="5825">
      <colorScale>
        <cfvo type="min"/>
        <cfvo type="percentile" val="50"/>
        <cfvo type="max"/>
        <color rgb="FFF8696B"/>
        <color rgb="FFFFEB84"/>
        <color rgb="FF63BE7B"/>
      </colorScale>
    </cfRule>
  </conditionalFormatting>
  <conditionalFormatting sqref="BE233">
    <cfRule type="colorScale" priority="5824">
      <colorScale>
        <cfvo type="min"/>
        <cfvo type="percentile" val="50"/>
        <cfvo type="max"/>
        <color rgb="FF63BE7B"/>
        <color rgb="FFFFEB84"/>
        <color rgb="FFF8696B"/>
      </colorScale>
    </cfRule>
  </conditionalFormatting>
  <conditionalFormatting sqref="BE233">
    <cfRule type="colorScale" priority="5821">
      <colorScale>
        <cfvo type="min"/>
        <cfvo type="max"/>
        <color rgb="FFFCFCFF"/>
        <color rgb="FFF8696B"/>
      </colorScale>
    </cfRule>
    <cfRule type="colorScale" priority="5823">
      <colorScale>
        <cfvo type="min"/>
        <cfvo type="percentile" val="50"/>
        <cfvo type="max"/>
        <color rgb="FF63BE7B"/>
        <color rgb="FFFFEB84"/>
        <color rgb="FFF8696B"/>
      </colorScale>
    </cfRule>
  </conditionalFormatting>
  <conditionalFormatting sqref="BE233">
    <cfRule type="colorScale" priority="5822">
      <colorScale>
        <cfvo type="min"/>
        <cfvo type="max"/>
        <color rgb="FFF8696B"/>
        <color rgb="FFFCFCFF"/>
      </colorScale>
    </cfRule>
  </conditionalFormatting>
  <conditionalFormatting sqref="BE233">
    <cfRule type="colorScale" priority="5820">
      <colorScale>
        <cfvo type="min"/>
        <cfvo type="max"/>
        <color rgb="FFFCFCFF"/>
        <color rgb="FFF8696B"/>
      </colorScale>
    </cfRule>
  </conditionalFormatting>
  <conditionalFormatting sqref="BE190">
    <cfRule type="colorScale" priority="5819">
      <colorScale>
        <cfvo type="min"/>
        <cfvo type="percentile" val="50"/>
        <cfvo type="max"/>
        <color rgb="FFF8696B"/>
        <color rgb="FFFFEB84"/>
        <color rgb="FF63BE7B"/>
      </colorScale>
    </cfRule>
  </conditionalFormatting>
  <conditionalFormatting sqref="BE190">
    <cfRule type="colorScale" priority="5818">
      <colorScale>
        <cfvo type="min"/>
        <cfvo type="percentile" val="50"/>
        <cfvo type="max"/>
        <color rgb="FF63BE7B"/>
        <color rgb="FFFFEB84"/>
        <color rgb="FFF8696B"/>
      </colorScale>
    </cfRule>
  </conditionalFormatting>
  <conditionalFormatting sqref="BE190">
    <cfRule type="colorScale" priority="5815">
      <colorScale>
        <cfvo type="min"/>
        <cfvo type="max"/>
        <color rgb="FFFCFCFF"/>
        <color rgb="FFF8696B"/>
      </colorScale>
    </cfRule>
    <cfRule type="colorScale" priority="5817">
      <colorScale>
        <cfvo type="min"/>
        <cfvo type="percentile" val="50"/>
        <cfvo type="max"/>
        <color rgb="FF63BE7B"/>
        <color rgb="FFFFEB84"/>
        <color rgb="FFF8696B"/>
      </colorScale>
    </cfRule>
  </conditionalFormatting>
  <conditionalFormatting sqref="BE190">
    <cfRule type="colorScale" priority="5816">
      <colorScale>
        <cfvo type="min"/>
        <cfvo type="max"/>
        <color rgb="FFF8696B"/>
        <color rgb="FFFCFCFF"/>
      </colorScale>
    </cfRule>
  </conditionalFormatting>
  <conditionalFormatting sqref="BE190">
    <cfRule type="colorScale" priority="5814">
      <colorScale>
        <cfvo type="min"/>
        <cfvo type="max"/>
        <color rgb="FFFCFCFF"/>
        <color rgb="FFF8696B"/>
      </colorScale>
    </cfRule>
  </conditionalFormatting>
  <conditionalFormatting sqref="BI18">
    <cfRule type="colorScale" priority="5813">
      <colorScale>
        <cfvo type="min"/>
        <cfvo type="percentile" val="50"/>
        <cfvo type="max"/>
        <color rgb="FFF8696B"/>
        <color rgb="FFFFEB84"/>
        <color rgb="FF63BE7B"/>
      </colorScale>
    </cfRule>
  </conditionalFormatting>
  <conditionalFormatting sqref="BI18">
    <cfRule type="colorScale" priority="5812">
      <colorScale>
        <cfvo type="min"/>
        <cfvo type="percentile" val="50"/>
        <cfvo type="max"/>
        <color rgb="FFF8696B"/>
        <color rgb="FFFFEB84"/>
        <color rgb="FF63BE7B"/>
      </colorScale>
    </cfRule>
  </conditionalFormatting>
  <conditionalFormatting sqref="BI18">
    <cfRule type="colorScale" priority="5811">
      <colorScale>
        <cfvo type="min"/>
        <cfvo type="percentile" val="50"/>
        <cfvo type="max"/>
        <color rgb="FF63BE7B"/>
        <color rgb="FFFFEB84"/>
        <color rgb="FFF8696B"/>
      </colorScale>
    </cfRule>
  </conditionalFormatting>
  <conditionalFormatting sqref="BI18">
    <cfRule type="colorScale" priority="5808">
      <colorScale>
        <cfvo type="min"/>
        <cfvo type="max"/>
        <color rgb="FFFCFCFF"/>
        <color rgb="FFF8696B"/>
      </colorScale>
    </cfRule>
    <cfRule type="colorScale" priority="5810">
      <colorScale>
        <cfvo type="min"/>
        <cfvo type="percentile" val="50"/>
        <cfvo type="max"/>
        <color rgb="FF63BE7B"/>
        <color rgb="FFFFEB84"/>
        <color rgb="FFF8696B"/>
      </colorScale>
    </cfRule>
  </conditionalFormatting>
  <conditionalFormatting sqref="BI18">
    <cfRule type="colorScale" priority="5809">
      <colorScale>
        <cfvo type="min"/>
        <cfvo type="max"/>
        <color rgb="FFF8696B"/>
        <color rgb="FFFCFCFF"/>
      </colorScale>
    </cfRule>
  </conditionalFormatting>
  <conditionalFormatting sqref="BI18">
    <cfRule type="colorScale" priority="5807">
      <colorScale>
        <cfvo type="min"/>
        <cfvo type="max"/>
        <color rgb="FFFCFCFF"/>
        <color rgb="FFF8696B"/>
      </colorScale>
    </cfRule>
  </conditionalFormatting>
  <conditionalFormatting sqref="BI61">
    <cfRule type="colorScale" priority="5806">
      <colorScale>
        <cfvo type="min"/>
        <cfvo type="percentile" val="50"/>
        <cfvo type="max"/>
        <color rgb="FFF8696B"/>
        <color rgb="FFFFEB84"/>
        <color rgb="FF63BE7B"/>
      </colorScale>
    </cfRule>
  </conditionalFormatting>
  <conditionalFormatting sqref="BI61">
    <cfRule type="colorScale" priority="5805">
      <colorScale>
        <cfvo type="min"/>
        <cfvo type="percentile" val="50"/>
        <cfvo type="max"/>
        <color rgb="FFF8696B"/>
        <color rgb="FFFFEB84"/>
        <color rgb="FF63BE7B"/>
      </colorScale>
    </cfRule>
  </conditionalFormatting>
  <conditionalFormatting sqref="BI61">
    <cfRule type="colorScale" priority="5804">
      <colorScale>
        <cfvo type="min"/>
        <cfvo type="percentile" val="50"/>
        <cfvo type="max"/>
        <color rgb="FF63BE7B"/>
        <color rgb="FFFFEB84"/>
        <color rgb="FFF8696B"/>
      </colorScale>
    </cfRule>
  </conditionalFormatting>
  <conditionalFormatting sqref="BI61">
    <cfRule type="colorScale" priority="5801">
      <colorScale>
        <cfvo type="min"/>
        <cfvo type="max"/>
        <color rgb="FFFCFCFF"/>
        <color rgb="FFF8696B"/>
      </colorScale>
    </cfRule>
    <cfRule type="colorScale" priority="5803">
      <colorScale>
        <cfvo type="min"/>
        <cfvo type="percentile" val="50"/>
        <cfvo type="max"/>
        <color rgb="FF63BE7B"/>
        <color rgb="FFFFEB84"/>
        <color rgb="FFF8696B"/>
      </colorScale>
    </cfRule>
  </conditionalFormatting>
  <conditionalFormatting sqref="BI61">
    <cfRule type="colorScale" priority="5802">
      <colorScale>
        <cfvo type="min"/>
        <cfvo type="max"/>
        <color rgb="FFF8696B"/>
        <color rgb="FFFCFCFF"/>
      </colorScale>
    </cfRule>
  </conditionalFormatting>
  <conditionalFormatting sqref="BI61">
    <cfRule type="colorScale" priority="5800">
      <colorScale>
        <cfvo type="min"/>
        <cfvo type="max"/>
        <color rgb="FFFCFCFF"/>
        <color rgb="FFF8696B"/>
      </colorScale>
    </cfRule>
  </conditionalFormatting>
  <conditionalFormatting sqref="BI104">
    <cfRule type="colorScale" priority="5799">
      <colorScale>
        <cfvo type="min"/>
        <cfvo type="percentile" val="50"/>
        <cfvo type="max"/>
        <color rgb="FFF8696B"/>
        <color rgb="FFFFEB84"/>
        <color rgb="FF63BE7B"/>
      </colorScale>
    </cfRule>
  </conditionalFormatting>
  <conditionalFormatting sqref="BI104">
    <cfRule type="colorScale" priority="5798">
      <colorScale>
        <cfvo type="min"/>
        <cfvo type="percentile" val="50"/>
        <cfvo type="max"/>
        <color rgb="FFF8696B"/>
        <color rgb="FFFFEB84"/>
        <color rgb="FF63BE7B"/>
      </colorScale>
    </cfRule>
  </conditionalFormatting>
  <conditionalFormatting sqref="BI104">
    <cfRule type="colorScale" priority="5797">
      <colorScale>
        <cfvo type="min"/>
        <cfvo type="percentile" val="50"/>
        <cfvo type="max"/>
        <color rgb="FF63BE7B"/>
        <color rgb="FFFFEB84"/>
        <color rgb="FFF8696B"/>
      </colorScale>
    </cfRule>
  </conditionalFormatting>
  <conditionalFormatting sqref="BI104">
    <cfRule type="colorScale" priority="5794">
      <colorScale>
        <cfvo type="min"/>
        <cfvo type="max"/>
        <color rgb="FFFCFCFF"/>
        <color rgb="FFF8696B"/>
      </colorScale>
    </cfRule>
    <cfRule type="colorScale" priority="5796">
      <colorScale>
        <cfvo type="min"/>
        <cfvo type="percentile" val="50"/>
        <cfvo type="max"/>
        <color rgb="FF63BE7B"/>
        <color rgb="FFFFEB84"/>
        <color rgb="FFF8696B"/>
      </colorScale>
    </cfRule>
  </conditionalFormatting>
  <conditionalFormatting sqref="BI104">
    <cfRule type="colorScale" priority="5795">
      <colorScale>
        <cfvo type="min"/>
        <cfvo type="max"/>
        <color rgb="FFF8696B"/>
        <color rgb="FFFCFCFF"/>
      </colorScale>
    </cfRule>
  </conditionalFormatting>
  <conditionalFormatting sqref="BI104">
    <cfRule type="colorScale" priority="5793">
      <colorScale>
        <cfvo type="min"/>
        <cfvo type="max"/>
        <color rgb="FFFCFCFF"/>
        <color rgb="FFF8696B"/>
      </colorScale>
    </cfRule>
  </conditionalFormatting>
  <conditionalFormatting sqref="BI147">
    <cfRule type="colorScale" priority="5792">
      <colorScale>
        <cfvo type="min"/>
        <cfvo type="percentile" val="50"/>
        <cfvo type="max"/>
        <color rgb="FFF8696B"/>
        <color rgb="FFFFEB84"/>
        <color rgb="FF63BE7B"/>
      </colorScale>
    </cfRule>
  </conditionalFormatting>
  <conditionalFormatting sqref="BI147">
    <cfRule type="colorScale" priority="5791">
      <colorScale>
        <cfvo type="min"/>
        <cfvo type="percentile" val="50"/>
        <cfvo type="max"/>
        <color rgb="FFF8696B"/>
        <color rgb="FFFFEB84"/>
        <color rgb="FF63BE7B"/>
      </colorScale>
    </cfRule>
  </conditionalFormatting>
  <conditionalFormatting sqref="BI147">
    <cfRule type="colorScale" priority="5790">
      <colorScale>
        <cfvo type="min"/>
        <cfvo type="percentile" val="50"/>
        <cfvo type="max"/>
        <color rgb="FF63BE7B"/>
        <color rgb="FFFFEB84"/>
        <color rgb="FFF8696B"/>
      </colorScale>
    </cfRule>
  </conditionalFormatting>
  <conditionalFormatting sqref="BI147">
    <cfRule type="colorScale" priority="5787">
      <colorScale>
        <cfvo type="min"/>
        <cfvo type="max"/>
        <color rgb="FFFCFCFF"/>
        <color rgb="FFF8696B"/>
      </colorScale>
    </cfRule>
    <cfRule type="colorScale" priority="5789">
      <colorScale>
        <cfvo type="min"/>
        <cfvo type="percentile" val="50"/>
        <cfvo type="max"/>
        <color rgb="FF63BE7B"/>
        <color rgb="FFFFEB84"/>
        <color rgb="FFF8696B"/>
      </colorScale>
    </cfRule>
  </conditionalFormatting>
  <conditionalFormatting sqref="BI147">
    <cfRule type="colorScale" priority="5788">
      <colorScale>
        <cfvo type="min"/>
        <cfvo type="max"/>
        <color rgb="FFF8696B"/>
        <color rgb="FFFCFCFF"/>
      </colorScale>
    </cfRule>
  </conditionalFormatting>
  <conditionalFormatting sqref="BI147">
    <cfRule type="colorScale" priority="5786">
      <colorScale>
        <cfvo type="min"/>
        <cfvo type="max"/>
        <color rgb="FFFCFCFF"/>
        <color rgb="FFF8696B"/>
      </colorScale>
    </cfRule>
  </conditionalFormatting>
  <conditionalFormatting sqref="BI190">
    <cfRule type="colorScale" priority="5785">
      <colorScale>
        <cfvo type="min"/>
        <cfvo type="percentile" val="50"/>
        <cfvo type="max"/>
        <color rgb="FFF8696B"/>
        <color rgb="FFFFEB84"/>
        <color rgb="FF63BE7B"/>
      </colorScale>
    </cfRule>
  </conditionalFormatting>
  <conditionalFormatting sqref="BI190">
    <cfRule type="colorScale" priority="5784">
      <colorScale>
        <cfvo type="min"/>
        <cfvo type="percentile" val="50"/>
        <cfvo type="max"/>
        <color rgb="FFF8696B"/>
        <color rgb="FFFFEB84"/>
        <color rgb="FF63BE7B"/>
      </colorScale>
    </cfRule>
  </conditionalFormatting>
  <conditionalFormatting sqref="BI190">
    <cfRule type="colorScale" priority="5783">
      <colorScale>
        <cfvo type="min"/>
        <cfvo type="percentile" val="50"/>
        <cfvo type="max"/>
        <color rgb="FF63BE7B"/>
        <color rgb="FFFFEB84"/>
        <color rgb="FFF8696B"/>
      </colorScale>
    </cfRule>
  </conditionalFormatting>
  <conditionalFormatting sqref="BI190">
    <cfRule type="colorScale" priority="5780">
      <colorScale>
        <cfvo type="min"/>
        <cfvo type="max"/>
        <color rgb="FFFCFCFF"/>
        <color rgb="FFF8696B"/>
      </colorScale>
    </cfRule>
    <cfRule type="colorScale" priority="5782">
      <colorScale>
        <cfvo type="min"/>
        <cfvo type="percentile" val="50"/>
        <cfvo type="max"/>
        <color rgb="FF63BE7B"/>
        <color rgb="FFFFEB84"/>
        <color rgb="FFF8696B"/>
      </colorScale>
    </cfRule>
  </conditionalFormatting>
  <conditionalFormatting sqref="BI190">
    <cfRule type="colorScale" priority="5781">
      <colorScale>
        <cfvo type="min"/>
        <cfvo type="max"/>
        <color rgb="FFF8696B"/>
        <color rgb="FFFCFCFF"/>
      </colorScale>
    </cfRule>
  </conditionalFormatting>
  <conditionalFormatting sqref="BI190">
    <cfRule type="colorScale" priority="5779">
      <colorScale>
        <cfvo type="min"/>
        <cfvo type="max"/>
        <color rgb="FFFCFCFF"/>
        <color rgb="FFF8696B"/>
      </colorScale>
    </cfRule>
  </conditionalFormatting>
  <conditionalFormatting sqref="BI233">
    <cfRule type="colorScale" priority="5778">
      <colorScale>
        <cfvo type="min"/>
        <cfvo type="percentile" val="50"/>
        <cfvo type="max"/>
        <color rgb="FFF8696B"/>
        <color rgb="FFFFEB84"/>
        <color rgb="FF63BE7B"/>
      </colorScale>
    </cfRule>
  </conditionalFormatting>
  <conditionalFormatting sqref="BI233">
    <cfRule type="colorScale" priority="5777">
      <colorScale>
        <cfvo type="min"/>
        <cfvo type="percentile" val="50"/>
        <cfvo type="max"/>
        <color rgb="FFF8696B"/>
        <color rgb="FFFFEB84"/>
        <color rgb="FF63BE7B"/>
      </colorScale>
    </cfRule>
  </conditionalFormatting>
  <conditionalFormatting sqref="BI233">
    <cfRule type="colorScale" priority="5776">
      <colorScale>
        <cfvo type="min"/>
        <cfvo type="percentile" val="50"/>
        <cfvo type="max"/>
        <color rgb="FF63BE7B"/>
        <color rgb="FFFFEB84"/>
        <color rgb="FFF8696B"/>
      </colorScale>
    </cfRule>
  </conditionalFormatting>
  <conditionalFormatting sqref="BI233">
    <cfRule type="colorScale" priority="5773">
      <colorScale>
        <cfvo type="min"/>
        <cfvo type="max"/>
        <color rgb="FFFCFCFF"/>
        <color rgb="FFF8696B"/>
      </colorScale>
    </cfRule>
    <cfRule type="colorScale" priority="5775">
      <colorScale>
        <cfvo type="min"/>
        <cfvo type="percentile" val="50"/>
        <cfvo type="max"/>
        <color rgb="FF63BE7B"/>
        <color rgb="FFFFEB84"/>
        <color rgb="FFF8696B"/>
      </colorScale>
    </cfRule>
  </conditionalFormatting>
  <conditionalFormatting sqref="BI233">
    <cfRule type="colorScale" priority="5774">
      <colorScale>
        <cfvo type="min"/>
        <cfvo type="max"/>
        <color rgb="FFF8696B"/>
        <color rgb="FFFCFCFF"/>
      </colorScale>
    </cfRule>
  </conditionalFormatting>
  <conditionalFormatting sqref="BI233">
    <cfRule type="colorScale" priority="5772">
      <colorScale>
        <cfvo type="min"/>
        <cfvo type="max"/>
        <color rgb="FFFCFCFF"/>
        <color rgb="FFF8696B"/>
      </colorScale>
    </cfRule>
  </conditionalFormatting>
  <conditionalFormatting sqref="BK147">
    <cfRule type="colorScale" priority="5771">
      <colorScale>
        <cfvo type="min"/>
        <cfvo type="percentile" val="50"/>
        <cfvo type="max"/>
        <color rgb="FFF8696B"/>
        <color rgb="FFFFEB84"/>
        <color rgb="FF63BE7B"/>
      </colorScale>
    </cfRule>
  </conditionalFormatting>
  <conditionalFormatting sqref="BK147">
    <cfRule type="colorScale" priority="5770">
      <colorScale>
        <cfvo type="min"/>
        <cfvo type="percentile" val="50"/>
        <cfvo type="max"/>
        <color rgb="FFF8696B"/>
        <color rgb="FFFFEB84"/>
        <color rgb="FF63BE7B"/>
      </colorScale>
    </cfRule>
  </conditionalFormatting>
  <conditionalFormatting sqref="BK147">
    <cfRule type="colorScale" priority="5769">
      <colorScale>
        <cfvo type="min"/>
        <cfvo type="percentile" val="50"/>
        <cfvo type="max"/>
        <color rgb="FF63BE7B"/>
        <color rgb="FFFFEB84"/>
        <color rgb="FFF8696B"/>
      </colorScale>
    </cfRule>
  </conditionalFormatting>
  <conditionalFormatting sqref="BK147">
    <cfRule type="colorScale" priority="5766">
      <colorScale>
        <cfvo type="min"/>
        <cfvo type="max"/>
        <color rgb="FFFCFCFF"/>
        <color rgb="FFF8696B"/>
      </colorScale>
    </cfRule>
    <cfRule type="colorScale" priority="5768">
      <colorScale>
        <cfvo type="min"/>
        <cfvo type="percentile" val="50"/>
        <cfvo type="max"/>
        <color rgb="FF63BE7B"/>
        <color rgb="FFFFEB84"/>
        <color rgb="FFF8696B"/>
      </colorScale>
    </cfRule>
  </conditionalFormatting>
  <conditionalFormatting sqref="BK147">
    <cfRule type="colorScale" priority="5767">
      <colorScale>
        <cfvo type="min"/>
        <cfvo type="max"/>
        <color rgb="FFF8696B"/>
        <color rgb="FFFCFCFF"/>
      </colorScale>
    </cfRule>
  </conditionalFormatting>
  <conditionalFormatting sqref="BK147">
    <cfRule type="colorScale" priority="5765">
      <colorScale>
        <cfvo type="min"/>
        <cfvo type="max"/>
        <color rgb="FFFCFCFF"/>
        <color rgb="FFF8696B"/>
      </colorScale>
    </cfRule>
  </conditionalFormatting>
  <conditionalFormatting sqref="BK104">
    <cfRule type="colorScale" priority="5764">
      <colorScale>
        <cfvo type="min"/>
        <cfvo type="percentile" val="50"/>
        <cfvo type="max"/>
        <color rgb="FFF8696B"/>
        <color rgb="FFFFEB84"/>
        <color rgb="FF63BE7B"/>
      </colorScale>
    </cfRule>
  </conditionalFormatting>
  <conditionalFormatting sqref="BK104">
    <cfRule type="colorScale" priority="5763">
      <colorScale>
        <cfvo type="min"/>
        <cfvo type="percentile" val="50"/>
        <cfvo type="max"/>
        <color rgb="FFF8696B"/>
        <color rgb="FFFFEB84"/>
        <color rgb="FF63BE7B"/>
      </colorScale>
    </cfRule>
  </conditionalFormatting>
  <conditionalFormatting sqref="BK104">
    <cfRule type="colorScale" priority="5762">
      <colorScale>
        <cfvo type="min"/>
        <cfvo type="percentile" val="50"/>
        <cfvo type="max"/>
        <color rgb="FF63BE7B"/>
        <color rgb="FFFFEB84"/>
        <color rgb="FFF8696B"/>
      </colorScale>
    </cfRule>
  </conditionalFormatting>
  <conditionalFormatting sqref="BK104">
    <cfRule type="colorScale" priority="5759">
      <colorScale>
        <cfvo type="min"/>
        <cfvo type="max"/>
        <color rgb="FFFCFCFF"/>
        <color rgb="FFF8696B"/>
      </colorScale>
    </cfRule>
    <cfRule type="colorScale" priority="5761">
      <colorScale>
        <cfvo type="min"/>
        <cfvo type="percentile" val="50"/>
        <cfvo type="max"/>
        <color rgb="FF63BE7B"/>
        <color rgb="FFFFEB84"/>
        <color rgb="FFF8696B"/>
      </colorScale>
    </cfRule>
  </conditionalFormatting>
  <conditionalFormatting sqref="BK104">
    <cfRule type="colorScale" priority="5760">
      <colorScale>
        <cfvo type="min"/>
        <cfvo type="max"/>
        <color rgb="FFF8696B"/>
        <color rgb="FFFCFCFF"/>
      </colorScale>
    </cfRule>
  </conditionalFormatting>
  <conditionalFormatting sqref="BK104">
    <cfRule type="colorScale" priority="5758">
      <colorScale>
        <cfvo type="min"/>
        <cfvo type="max"/>
        <color rgb="FFFCFCFF"/>
        <color rgb="FFF8696B"/>
      </colorScale>
    </cfRule>
  </conditionalFormatting>
  <conditionalFormatting sqref="BK61">
    <cfRule type="colorScale" priority="5757">
      <colorScale>
        <cfvo type="min"/>
        <cfvo type="percentile" val="50"/>
        <cfvo type="max"/>
        <color rgb="FFF8696B"/>
        <color rgb="FFFFEB84"/>
        <color rgb="FF63BE7B"/>
      </colorScale>
    </cfRule>
  </conditionalFormatting>
  <conditionalFormatting sqref="BK61">
    <cfRule type="colorScale" priority="5756">
      <colorScale>
        <cfvo type="min"/>
        <cfvo type="percentile" val="50"/>
        <cfvo type="max"/>
        <color rgb="FFF8696B"/>
        <color rgb="FFFFEB84"/>
        <color rgb="FF63BE7B"/>
      </colorScale>
    </cfRule>
  </conditionalFormatting>
  <conditionalFormatting sqref="BK61">
    <cfRule type="colorScale" priority="5755">
      <colorScale>
        <cfvo type="min"/>
        <cfvo type="percentile" val="50"/>
        <cfvo type="max"/>
        <color rgb="FF63BE7B"/>
        <color rgb="FFFFEB84"/>
        <color rgb="FFF8696B"/>
      </colorScale>
    </cfRule>
  </conditionalFormatting>
  <conditionalFormatting sqref="BK61">
    <cfRule type="colorScale" priority="5752">
      <colorScale>
        <cfvo type="min"/>
        <cfvo type="max"/>
        <color rgb="FFFCFCFF"/>
        <color rgb="FFF8696B"/>
      </colorScale>
    </cfRule>
    <cfRule type="colorScale" priority="5754">
      <colorScale>
        <cfvo type="min"/>
        <cfvo type="percentile" val="50"/>
        <cfvo type="max"/>
        <color rgb="FF63BE7B"/>
        <color rgb="FFFFEB84"/>
        <color rgb="FFF8696B"/>
      </colorScale>
    </cfRule>
  </conditionalFormatting>
  <conditionalFormatting sqref="BK61">
    <cfRule type="colorScale" priority="5753">
      <colorScale>
        <cfvo type="min"/>
        <cfvo type="max"/>
        <color rgb="FFF8696B"/>
        <color rgb="FFFCFCFF"/>
      </colorScale>
    </cfRule>
  </conditionalFormatting>
  <conditionalFormatting sqref="BK61">
    <cfRule type="colorScale" priority="5751">
      <colorScale>
        <cfvo type="min"/>
        <cfvo type="max"/>
        <color rgb="FFFCFCFF"/>
        <color rgb="FFF8696B"/>
      </colorScale>
    </cfRule>
  </conditionalFormatting>
  <conditionalFormatting sqref="BK18">
    <cfRule type="colorScale" priority="5750">
      <colorScale>
        <cfvo type="min"/>
        <cfvo type="percentile" val="50"/>
        <cfvo type="max"/>
        <color rgb="FFF8696B"/>
        <color rgb="FFFFEB84"/>
        <color rgb="FF63BE7B"/>
      </colorScale>
    </cfRule>
  </conditionalFormatting>
  <conditionalFormatting sqref="BK18">
    <cfRule type="colorScale" priority="5749">
      <colorScale>
        <cfvo type="min"/>
        <cfvo type="percentile" val="50"/>
        <cfvo type="max"/>
        <color rgb="FFF8696B"/>
        <color rgb="FFFFEB84"/>
        <color rgb="FF63BE7B"/>
      </colorScale>
    </cfRule>
  </conditionalFormatting>
  <conditionalFormatting sqref="BK18">
    <cfRule type="colorScale" priority="5748">
      <colorScale>
        <cfvo type="min"/>
        <cfvo type="percentile" val="50"/>
        <cfvo type="max"/>
        <color rgb="FF63BE7B"/>
        <color rgb="FFFFEB84"/>
        <color rgb="FFF8696B"/>
      </colorScale>
    </cfRule>
  </conditionalFormatting>
  <conditionalFormatting sqref="BK18">
    <cfRule type="colorScale" priority="5745">
      <colorScale>
        <cfvo type="min"/>
        <cfvo type="max"/>
        <color rgb="FFFCFCFF"/>
        <color rgb="FFF8696B"/>
      </colorScale>
    </cfRule>
    <cfRule type="colorScale" priority="5747">
      <colorScale>
        <cfvo type="min"/>
        <cfvo type="percentile" val="50"/>
        <cfvo type="max"/>
        <color rgb="FF63BE7B"/>
        <color rgb="FFFFEB84"/>
        <color rgb="FFF8696B"/>
      </colorScale>
    </cfRule>
  </conditionalFormatting>
  <conditionalFormatting sqref="BK18">
    <cfRule type="colorScale" priority="5746">
      <colorScale>
        <cfvo type="min"/>
        <cfvo type="max"/>
        <color rgb="FFF8696B"/>
        <color rgb="FFFCFCFF"/>
      </colorScale>
    </cfRule>
  </conditionalFormatting>
  <conditionalFormatting sqref="BK18">
    <cfRule type="colorScale" priority="5744">
      <colorScale>
        <cfvo type="min"/>
        <cfvo type="max"/>
        <color rgb="FFFCFCFF"/>
        <color rgb="FFF8696B"/>
      </colorScale>
    </cfRule>
  </conditionalFormatting>
  <conditionalFormatting sqref="AY99 BA99 BC99 BE99 BG99">
    <cfRule type="colorScale" priority="5743">
      <colorScale>
        <cfvo type="min"/>
        <cfvo type="percentile" val="50"/>
        <cfvo type="max"/>
        <color rgb="FFF8696B"/>
        <color rgb="FFFFEB84"/>
        <color rgb="FF63BE7B"/>
      </colorScale>
    </cfRule>
  </conditionalFormatting>
  <conditionalFormatting sqref="AY99">
    <cfRule type="colorScale" priority="5742">
      <colorScale>
        <cfvo type="min"/>
        <cfvo type="percentile" val="50"/>
        <cfvo type="max"/>
        <color rgb="FFF8696B"/>
        <color rgb="FFFFEB84"/>
        <color rgb="FF63BE7B"/>
      </colorScale>
    </cfRule>
  </conditionalFormatting>
  <conditionalFormatting sqref="AY99 BA99 BC99 BE99 BG99">
    <cfRule type="colorScale" priority="5741">
      <colorScale>
        <cfvo type="min"/>
        <cfvo type="percentile" val="50"/>
        <cfvo type="max"/>
        <color rgb="FF63BE7B"/>
        <color rgb="FFFFEB84"/>
        <color rgb="FFF8696B"/>
      </colorScale>
    </cfRule>
  </conditionalFormatting>
  <conditionalFormatting sqref="AY99 BA99 BC99 BE99 BG99">
    <cfRule type="colorScale" priority="5738">
      <colorScale>
        <cfvo type="min"/>
        <cfvo type="max"/>
        <color rgb="FFFCFCFF"/>
        <color rgb="FFF8696B"/>
      </colorScale>
    </cfRule>
    <cfRule type="colorScale" priority="5740">
      <colorScale>
        <cfvo type="min"/>
        <cfvo type="percentile" val="50"/>
        <cfvo type="max"/>
        <color rgb="FF63BE7B"/>
        <color rgb="FFFFEB84"/>
        <color rgb="FFF8696B"/>
      </colorScale>
    </cfRule>
  </conditionalFormatting>
  <conditionalFormatting sqref="AY99 BA99 BC99 BE99 BG99">
    <cfRule type="colorScale" priority="5739">
      <colorScale>
        <cfvo type="min"/>
        <cfvo type="max"/>
        <color rgb="FFF8696B"/>
        <color rgb="FFFCFCFF"/>
      </colorScale>
    </cfRule>
  </conditionalFormatting>
  <conditionalFormatting sqref="BA99 AY99 BC99 BE99 BG99">
    <cfRule type="colorScale" priority="5737">
      <colorScale>
        <cfvo type="min"/>
        <cfvo type="max"/>
        <color rgb="FFFCFCFF"/>
        <color rgb="FFF8696B"/>
      </colorScale>
    </cfRule>
  </conditionalFormatting>
  <conditionalFormatting sqref="BI99">
    <cfRule type="colorScale" priority="5736">
      <colorScale>
        <cfvo type="min"/>
        <cfvo type="percentile" val="50"/>
        <cfvo type="max"/>
        <color rgb="FFF8696B"/>
        <color rgb="FFFFEB84"/>
        <color rgb="FF63BE7B"/>
      </colorScale>
    </cfRule>
  </conditionalFormatting>
  <conditionalFormatting sqref="BI99">
    <cfRule type="colorScale" priority="5735">
      <colorScale>
        <cfvo type="min"/>
        <cfvo type="percentile" val="50"/>
        <cfvo type="max"/>
        <color rgb="FFF8696B"/>
        <color rgb="FFFFEB84"/>
        <color rgb="FF63BE7B"/>
      </colorScale>
    </cfRule>
  </conditionalFormatting>
  <conditionalFormatting sqref="BI99">
    <cfRule type="colorScale" priority="5734">
      <colorScale>
        <cfvo type="min"/>
        <cfvo type="percentile" val="50"/>
        <cfvo type="max"/>
        <color rgb="FF63BE7B"/>
        <color rgb="FFFFEB84"/>
        <color rgb="FFF8696B"/>
      </colorScale>
    </cfRule>
  </conditionalFormatting>
  <conditionalFormatting sqref="BI99">
    <cfRule type="colorScale" priority="5731">
      <colorScale>
        <cfvo type="min"/>
        <cfvo type="max"/>
        <color rgb="FFFCFCFF"/>
        <color rgb="FFF8696B"/>
      </colorScale>
    </cfRule>
    <cfRule type="colorScale" priority="5733">
      <colorScale>
        <cfvo type="min"/>
        <cfvo type="percentile" val="50"/>
        <cfvo type="max"/>
        <color rgb="FF63BE7B"/>
        <color rgb="FFFFEB84"/>
        <color rgb="FFF8696B"/>
      </colorScale>
    </cfRule>
  </conditionalFormatting>
  <conditionalFormatting sqref="BI99">
    <cfRule type="colorScale" priority="5732">
      <colorScale>
        <cfvo type="min"/>
        <cfvo type="max"/>
        <color rgb="FFF8696B"/>
        <color rgb="FFFCFCFF"/>
      </colorScale>
    </cfRule>
  </conditionalFormatting>
  <conditionalFormatting sqref="BI99">
    <cfRule type="colorScale" priority="5730">
      <colorScale>
        <cfvo type="min"/>
        <cfvo type="max"/>
        <color rgb="FFFCFCFF"/>
        <color rgb="FFF8696B"/>
      </colorScale>
    </cfRule>
  </conditionalFormatting>
  <conditionalFormatting sqref="BK99">
    <cfRule type="colorScale" priority="5729">
      <colorScale>
        <cfvo type="min"/>
        <cfvo type="percentile" val="50"/>
        <cfvo type="max"/>
        <color rgb="FFF8696B"/>
        <color rgb="FFFFEB84"/>
        <color rgb="FF63BE7B"/>
      </colorScale>
    </cfRule>
  </conditionalFormatting>
  <conditionalFormatting sqref="BK99">
    <cfRule type="colorScale" priority="5728">
      <colorScale>
        <cfvo type="min"/>
        <cfvo type="percentile" val="50"/>
        <cfvo type="max"/>
        <color rgb="FFF8696B"/>
        <color rgb="FFFFEB84"/>
        <color rgb="FF63BE7B"/>
      </colorScale>
    </cfRule>
  </conditionalFormatting>
  <conditionalFormatting sqref="BK99">
    <cfRule type="colorScale" priority="5727">
      <colorScale>
        <cfvo type="min"/>
        <cfvo type="percentile" val="50"/>
        <cfvo type="max"/>
        <color rgb="FF63BE7B"/>
        <color rgb="FFFFEB84"/>
        <color rgb="FFF8696B"/>
      </colorScale>
    </cfRule>
  </conditionalFormatting>
  <conditionalFormatting sqref="BK99">
    <cfRule type="colorScale" priority="5724">
      <colorScale>
        <cfvo type="min"/>
        <cfvo type="max"/>
        <color rgb="FFFCFCFF"/>
        <color rgb="FFF8696B"/>
      </colorScale>
    </cfRule>
    <cfRule type="colorScale" priority="5726">
      <colorScale>
        <cfvo type="min"/>
        <cfvo type="percentile" val="50"/>
        <cfvo type="max"/>
        <color rgb="FF63BE7B"/>
        <color rgb="FFFFEB84"/>
        <color rgb="FFF8696B"/>
      </colorScale>
    </cfRule>
  </conditionalFormatting>
  <conditionalFormatting sqref="BK99">
    <cfRule type="colorScale" priority="5725">
      <colorScale>
        <cfvo type="min"/>
        <cfvo type="max"/>
        <color rgb="FFF8696B"/>
        <color rgb="FFFCFCFF"/>
      </colorScale>
    </cfRule>
  </conditionalFormatting>
  <conditionalFormatting sqref="BK99">
    <cfRule type="colorScale" priority="5723">
      <colorScale>
        <cfvo type="min"/>
        <cfvo type="max"/>
        <color rgb="FFFCFCFF"/>
        <color rgb="FFF8696B"/>
      </colorScale>
    </cfRule>
  </conditionalFormatting>
  <conditionalFormatting sqref="W206">
    <cfRule type="colorScale" priority="5722">
      <colorScale>
        <cfvo type="min"/>
        <cfvo type="percentile" val="50"/>
        <cfvo type="max"/>
        <color rgb="FFF8696B"/>
        <color rgb="FFFFEB84"/>
        <color rgb="FF63BE7B"/>
      </colorScale>
    </cfRule>
  </conditionalFormatting>
  <conditionalFormatting sqref="W206">
    <cfRule type="colorScale" priority="5721">
      <colorScale>
        <cfvo type="min"/>
        <cfvo type="percentile" val="50"/>
        <cfvo type="max"/>
        <color rgb="FF63BE7B"/>
        <color rgb="FFFFEB84"/>
        <color rgb="FFF8696B"/>
      </colorScale>
    </cfRule>
  </conditionalFormatting>
  <conditionalFormatting sqref="W206">
    <cfRule type="colorScale" priority="5718">
      <colorScale>
        <cfvo type="min"/>
        <cfvo type="max"/>
        <color rgb="FFFCFCFF"/>
        <color rgb="FFF8696B"/>
      </colorScale>
    </cfRule>
    <cfRule type="colorScale" priority="5720">
      <colorScale>
        <cfvo type="min"/>
        <cfvo type="percentile" val="50"/>
        <cfvo type="max"/>
        <color rgb="FF63BE7B"/>
        <color rgb="FFFFEB84"/>
        <color rgb="FFF8696B"/>
      </colorScale>
    </cfRule>
  </conditionalFormatting>
  <conditionalFormatting sqref="W206">
    <cfRule type="colorScale" priority="5719">
      <colorScale>
        <cfvo type="min"/>
        <cfvo type="max"/>
        <color rgb="FFF8696B"/>
        <color rgb="FFFCFCFF"/>
      </colorScale>
    </cfRule>
  </conditionalFormatting>
  <conditionalFormatting sqref="W206">
    <cfRule type="colorScale" priority="5717">
      <colorScale>
        <cfvo type="min"/>
        <cfvo type="percentile" val="50"/>
        <cfvo type="max"/>
        <color rgb="FFF8696B"/>
        <color rgb="FFFFEB84"/>
        <color rgb="FF63BE7B"/>
      </colorScale>
    </cfRule>
  </conditionalFormatting>
  <conditionalFormatting sqref="W206">
    <cfRule type="colorScale" priority="5716">
      <colorScale>
        <cfvo type="min"/>
        <cfvo type="max"/>
        <color rgb="FFFCFCFF"/>
        <color rgb="FFF8696B"/>
      </colorScale>
    </cfRule>
  </conditionalFormatting>
  <conditionalFormatting sqref="BW109 BO125 BW114 BU119 BW119 BQ125 BU125 BW125">
    <cfRule type="colorScale" priority="5715">
      <colorScale>
        <cfvo type="min"/>
        <cfvo type="percentile" val="50"/>
        <cfvo type="max"/>
        <color rgb="FFF8696B"/>
        <color rgb="FFFFEB84"/>
        <color rgb="FF63BE7B"/>
      </colorScale>
    </cfRule>
  </conditionalFormatting>
  <conditionalFormatting sqref="BW119">
    <cfRule type="colorScale" priority="5714">
      <colorScale>
        <cfvo type="min"/>
        <cfvo type="percentile" val="50"/>
        <cfvo type="max"/>
        <color rgb="FFF8696B"/>
        <color rgb="FFFFEB84"/>
        <color rgb="FF63BE7B"/>
      </colorScale>
    </cfRule>
  </conditionalFormatting>
  <conditionalFormatting sqref="BW109 BO125 BW114 BU119 BW119 BQ125 BU125 BW125">
    <cfRule type="colorScale" priority="5713">
      <colorScale>
        <cfvo type="min"/>
        <cfvo type="percentile" val="50"/>
        <cfvo type="max"/>
        <color rgb="FF63BE7B"/>
        <color rgb="FFFFEB84"/>
        <color rgb="FFF8696B"/>
      </colorScale>
    </cfRule>
  </conditionalFormatting>
  <conditionalFormatting sqref="BO125 BW109 BW114 BU119 BW119 BQ125 BU125 BW125">
    <cfRule type="colorScale" priority="5710">
      <colorScale>
        <cfvo type="min"/>
        <cfvo type="max"/>
        <color rgb="FFFCFCFF"/>
        <color rgb="FFF8696B"/>
      </colorScale>
    </cfRule>
    <cfRule type="colorScale" priority="5712">
      <colorScale>
        <cfvo type="min"/>
        <cfvo type="percentile" val="50"/>
        <cfvo type="max"/>
        <color rgb="FF63BE7B"/>
        <color rgb="FFFFEB84"/>
        <color rgb="FFF8696B"/>
      </colorScale>
    </cfRule>
  </conditionalFormatting>
  <conditionalFormatting sqref="BW109 BO125 BW114 BU119 BW119 BQ125 BU125 BW125">
    <cfRule type="colorScale" priority="5711">
      <colorScale>
        <cfvo type="min"/>
        <cfvo type="max"/>
        <color rgb="FFF8696B"/>
        <color rgb="FFFCFCFF"/>
      </colorScale>
    </cfRule>
  </conditionalFormatting>
  <conditionalFormatting sqref="BS127">
    <cfRule type="colorScale" priority="5709">
      <colorScale>
        <cfvo type="min"/>
        <cfvo type="percentile" val="50"/>
        <cfvo type="max"/>
        <color rgb="FFF8696B"/>
        <color rgb="FFFFEB84"/>
        <color rgb="FF63BE7B"/>
      </colorScale>
    </cfRule>
  </conditionalFormatting>
  <conditionalFormatting sqref="BS127">
    <cfRule type="colorScale" priority="5708">
      <colorScale>
        <cfvo type="min"/>
        <cfvo type="percentile" val="50"/>
        <cfvo type="max"/>
        <color rgb="FFF8696B"/>
        <color rgb="FFFFEB84"/>
        <color rgb="FF63BE7B"/>
      </colorScale>
    </cfRule>
  </conditionalFormatting>
  <conditionalFormatting sqref="BS127">
    <cfRule type="colorScale" priority="5707">
      <colorScale>
        <cfvo type="min"/>
        <cfvo type="percentile" val="50"/>
        <cfvo type="max"/>
        <color rgb="FFF8696B"/>
        <color rgb="FFFFEB84"/>
        <color rgb="FF63BE7B"/>
      </colorScale>
    </cfRule>
  </conditionalFormatting>
  <conditionalFormatting sqref="BS127">
    <cfRule type="colorScale" priority="5706">
      <colorScale>
        <cfvo type="min"/>
        <cfvo type="percentile" val="50"/>
        <cfvo type="max"/>
        <color rgb="FF63BE7B"/>
        <color rgb="FFFFEB84"/>
        <color rgb="FFF8696B"/>
      </colorScale>
    </cfRule>
  </conditionalFormatting>
  <conditionalFormatting sqref="BS127">
    <cfRule type="colorScale" priority="5703">
      <colorScale>
        <cfvo type="min"/>
        <cfvo type="max"/>
        <color rgb="FFFCFCFF"/>
        <color rgb="FFF8696B"/>
      </colorScale>
    </cfRule>
    <cfRule type="colorScale" priority="5705">
      <colorScale>
        <cfvo type="min"/>
        <cfvo type="percentile" val="50"/>
        <cfvo type="max"/>
        <color rgb="FF63BE7B"/>
        <color rgb="FFFFEB84"/>
        <color rgb="FFF8696B"/>
      </colorScale>
    </cfRule>
  </conditionalFormatting>
  <conditionalFormatting sqref="BS127">
    <cfRule type="colorScale" priority="5704">
      <colorScale>
        <cfvo type="min"/>
        <cfvo type="max"/>
        <color rgb="FFF8696B"/>
        <color rgb="FFFCFCFF"/>
      </colorScale>
    </cfRule>
  </conditionalFormatting>
  <conditionalFormatting sqref="BU127">
    <cfRule type="colorScale" priority="5702">
      <colorScale>
        <cfvo type="min"/>
        <cfvo type="percentile" val="50"/>
        <cfvo type="max"/>
        <color rgb="FFF8696B"/>
        <color rgb="FFFFEB84"/>
        <color rgb="FF63BE7B"/>
      </colorScale>
    </cfRule>
  </conditionalFormatting>
  <conditionalFormatting sqref="BU127">
    <cfRule type="colorScale" priority="5701">
      <colorScale>
        <cfvo type="min"/>
        <cfvo type="percentile" val="50"/>
        <cfvo type="max"/>
        <color rgb="FFF8696B"/>
        <color rgb="FFFFEB84"/>
        <color rgb="FF63BE7B"/>
      </colorScale>
    </cfRule>
  </conditionalFormatting>
  <conditionalFormatting sqref="BU127">
    <cfRule type="colorScale" priority="5700">
      <colorScale>
        <cfvo type="min"/>
        <cfvo type="percentile" val="50"/>
        <cfvo type="max"/>
        <color rgb="FFF8696B"/>
        <color rgb="FFFFEB84"/>
        <color rgb="FF63BE7B"/>
      </colorScale>
    </cfRule>
  </conditionalFormatting>
  <conditionalFormatting sqref="BU127">
    <cfRule type="colorScale" priority="5699">
      <colorScale>
        <cfvo type="min"/>
        <cfvo type="percentile" val="50"/>
        <cfvo type="max"/>
        <color rgb="FF63BE7B"/>
        <color rgb="FFFFEB84"/>
        <color rgb="FFF8696B"/>
      </colorScale>
    </cfRule>
  </conditionalFormatting>
  <conditionalFormatting sqref="BU127">
    <cfRule type="colorScale" priority="5696">
      <colorScale>
        <cfvo type="min"/>
        <cfvo type="max"/>
        <color rgb="FFFCFCFF"/>
        <color rgb="FFF8696B"/>
      </colorScale>
    </cfRule>
    <cfRule type="colorScale" priority="5698">
      <colorScale>
        <cfvo type="min"/>
        <cfvo type="percentile" val="50"/>
        <cfvo type="max"/>
        <color rgb="FF63BE7B"/>
        <color rgb="FFFFEB84"/>
        <color rgb="FFF8696B"/>
      </colorScale>
    </cfRule>
  </conditionalFormatting>
  <conditionalFormatting sqref="BU127">
    <cfRule type="colorScale" priority="5697">
      <colorScale>
        <cfvo type="min"/>
        <cfvo type="max"/>
        <color rgb="FFF8696B"/>
        <color rgb="FFFCFCFF"/>
      </colorScale>
    </cfRule>
  </conditionalFormatting>
  <conditionalFormatting sqref="BW127">
    <cfRule type="colorScale" priority="5695">
      <colorScale>
        <cfvo type="min"/>
        <cfvo type="percentile" val="50"/>
        <cfvo type="max"/>
        <color rgb="FFF8696B"/>
        <color rgb="FFFFEB84"/>
        <color rgb="FF63BE7B"/>
      </colorScale>
    </cfRule>
  </conditionalFormatting>
  <conditionalFormatting sqref="BW127">
    <cfRule type="colorScale" priority="5694">
      <colorScale>
        <cfvo type="min"/>
        <cfvo type="percentile" val="50"/>
        <cfvo type="max"/>
        <color rgb="FFF8696B"/>
        <color rgb="FFFFEB84"/>
        <color rgb="FF63BE7B"/>
      </colorScale>
    </cfRule>
  </conditionalFormatting>
  <conditionalFormatting sqref="BW127">
    <cfRule type="colorScale" priority="5693">
      <colorScale>
        <cfvo type="min"/>
        <cfvo type="percentile" val="50"/>
        <cfvo type="max"/>
        <color rgb="FFF8696B"/>
        <color rgb="FFFFEB84"/>
        <color rgb="FF63BE7B"/>
      </colorScale>
    </cfRule>
  </conditionalFormatting>
  <conditionalFormatting sqref="BW127">
    <cfRule type="colorScale" priority="5692">
      <colorScale>
        <cfvo type="min"/>
        <cfvo type="percentile" val="50"/>
        <cfvo type="max"/>
        <color rgb="FF63BE7B"/>
        <color rgb="FFFFEB84"/>
        <color rgb="FFF8696B"/>
      </colorScale>
    </cfRule>
  </conditionalFormatting>
  <conditionalFormatting sqref="BW127">
    <cfRule type="colorScale" priority="5689">
      <colorScale>
        <cfvo type="min"/>
        <cfvo type="max"/>
        <color rgb="FFFCFCFF"/>
        <color rgb="FFF8696B"/>
      </colorScale>
    </cfRule>
    <cfRule type="colorScale" priority="5691">
      <colorScale>
        <cfvo type="min"/>
        <cfvo type="percentile" val="50"/>
        <cfvo type="max"/>
        <color rgb="FF63BE7B"/>
        <color rgb="FFFFEB84"/>
        <color rgb="FFF8696B"/>
      </colorScale>
    </cfRule>
  </conditionalFormatting>
  <conditionalFormatting sqref="BW127">
    <cfRule type="colorScale" priority="5690">
      <colorScale>
        <cfvo type="min"/>
        <cfvo type="max"/>
        <color rgb="FFF8696B"/>
        <color rgb="FFFCFCFF"/>
      </colorScale>
    </cfRule>
  </conditionalFormatting>
  <conditionalFormatting sqref="BW109">
    <cfRule type="colorScale" priority="5688">
      <colorScale>
        <cfvo type="min"/>
        <cfvo type="percentile" val="50"/>
        <cfvo type="max"/>
        <color rgb="FFF8696B"/>
        <color rgb="FFFFEB84"/>
        <color rgb="FF63BE7B"/>
      </colorScale>
    </cfRule>
  </conditionalFormatting>
  <conditionalFormatting sqref="BW114">
    <cfRule type="colorScale" priority="5687">
      <colorScale>
        <cfvo type="min"/>
        <cfvo type="percentile" val="50"/>
        <cfvo type="max"/>
        <color rgb="FFF8696B"/>
        <color rgb="FFFFEB84"/>
        <color rgb="FF63BE7B"/>
      </colorScale>
    </cfRule>
  </conditionalFormatting>
  <conditionalFormatting sqref="BU119">
    <cfRule type="colorScale" priority="5686">
      <colorScale>
        <cfvo type="min"/>
        <cfvo type="percentile" val="50"/>
        <cfvo type="max"/>
        <color rgb="FFF8696B"/>
        <color rgb="FFFFEB84"/>
        <color rgb="FF63BE7B"/>
      </colorScale>
    </cfRule>
  </conditionalFormatting>
  <conditionalFormatting sqref="BW119">
    <cfRule type="colorScale" priority="5685">
      <colorScale>
        <cfvo type="min"/>
        <cfvo type="percentile" val="50"/>
        <cfvo type="max"/>
        <color rgb="FFF8696B"/>
        <color rgb="FFFFEB84"/>
        <color rgb="FF63BE7B"/>
      </colorScale>
    </cfRule>
  </conditionalFormatting>
  <conditionalFormatting sqref="BO125">
    <cfRule type="colorScale" priority="5684">
      <colorScale>
        <cfvo type="min"/>
        <cfvo type="percentile" val="50"/>
        <cfvo type="max"/>
        <color rgb="FFF8696B"/>
        <color rgb="FFFFEB84"/>
        <color rgb="FF63BE7B"/>
      </colorScale>
    </cfRule>
  </conditionalFormatting>
  <conditionalFormatting sqref="BQ125">
    <cfRule type="colorScale" priority="5683">
      <colorScale>
        <cfvo type="min"/>
        <cfvo type="percentile" val="50"/>
        <cfvo type="max"/>
        <color rgb="FFF8696B"/>
        <color rgb="FFFFEB84"/>
        <color rgb="FF63BE7B"/>
      </colorScale>
    </cfRule>
  </conditionalFormatting>
  <conditionalFormatting sqref="BU125">
    <cfRule type="colorScale" priority="5682">
      <colorScale>
        <cfvo type="min"/>
        <cfvo type="percentile" val="50"/>
        <cfvo type="max"/>
        <color rgb="FFF8696B"/>
        <color rgb="FFFFEB84"/>
        <color rgb="FF63BE7B"/>
      </colorScale>
    </cfRule>
  </conditionalFormatting>
  <conditionalFormatting sqref="BW125">
    <cfRule type="colorScale" priority="5681">
      <colorScale>
        <cfvo type="min"/>
        <cfvo type="percentile" val="50"/>
        <cfvo type="max"/>
        <color rgb="FFF8696B"/>
        <color rgb="FFFFEB84"/>
        <color rgb="FF63BE7B"/>
      </colorScale>
    </cfRule>
  </conditionalFormatting>
  <conditionalFormatting sqref="BQ104 BO125 BW109 BO104 BW114 BW119 BU119 BQ125 BW125 BU125 BS127 BU127 BW127">
    <cfRule type="colorScale" priority="5680">
      <colorScale>
        <cfvo type="min"/>
        <cfvo type="max"/>
        <color rgb="FFFCFCFF"/>
        <color rgb="FFF8696B"/>
      </colorScale>
    </cfRule>
  </conditionalFormatting>
  <conditionalFormatting sqref="BY125 BY109 BY114 BY119">
    <cfRule type="colorScale" priority="5679">
      <colorScale>
        <cfvo type="min"/>
        <cfvo type="percentile" val="50"/>
        <cfvo type="max"/>
        <color rgb="FFF8696B"/>
        <color rgb="FFFFEB84"/>
        <color rgb="FF63BE7B"/>
      </colorScale>
    </cfRule>
  </conditionalFormatting>
  <conditionalFormatting sqref="BY119">
    <cfRule type="colorScale" priority="5678">
      <colorScale>
        <cfvo type="min"/>
        <cfvo type="percentile" val="50"/>
        <cfvo type="max"/>
        <color rgb="FFF8696B"/>
        <color rgb="FFFFEB84"/>
        <color rgb="FF63BE7B"/>
      </colorScale>
    </cfRule>
  </conditionalFormatting>
  <conditionalFormatting sqref="BY109 BY125 BY114 BY119">
    <cfRule type="colorScale" priority="5677">
      <colorScale>
        <cfvo type="min"/>
        <cfvo type="percentile" val="50"/>
        <cfvo type="max"/>
        <color rgb="FF63BE7B"/>
        <color rgb="FFFFEB84"/>
        <color rgb="FFF8696B"/>
      </colorScale>
    </cfRule>
  </conditionalFormatting>
  <conditionalFormatting sqref="BY125 BY109 BY114 BY119">
    <cfRule type="colorScale" priority="5674">
      <colorScale>
        <cfvo type="min"/>
        <cfvo type="max"/>
        <color rgb="FFFCFCFF"/>
        <color rgb="FFF8696B"/>
      </colorScale>
    </cfRule>
    <cfRule type="colorScale" priority="5676">
      <colorScale>
        <cfvo type="min"/>
        <cfvo type="percentile" val="50"/>
        <cfvo type="max"/>
        <color rgb="FF63BE7B"/>
        <color rgb="FFFFEB84"/>
        <color rgb="FFF8696B"/>
      </colorScale>
    </cfRule>
  </conditionalFormatting>
  <conditionalFormatting sqref="BY109 BY125 BY114 BY119">
    <cfRule type="colorScale" priority="5675">
      <colorScale>
        <cfvo type="min"/>
        <cfvo type="max"/>
        <color rgb="FFF8696B"/>
        <color rgb="FFFCFCFF"/>
      </colorScale>
    </cfRule>
  </conditionalFormatting>
  <conditionalFormatting sqref="BY127">
    <cfRule type="colorScale" priority="5673">
      <colorScale>
        <cfvo type="min"/>
        <cfvo type="percentile" val="50"/>
        <cfvo type="max"/>
        <color rgb="FFF8696B"/>
        <color rgb="FFFFEB84"/>
        <color rgb="FF63BE7B"/>
      </colorScale>
    </cfRule>
  </conditionalFormatting>
  <conditionalFormatting sqref="BY127">
    <cfRule type="colorScale" priority="5672">
      <colorScale>
        <cfvo type="min"/>
        <cfvo type="percentile" val="50"/>
        <cfvo type="max"/>
        <color rgb="FFF8696B"/>
        <color rgb="FFFFEB84"/>
        <color rgb="FF63BE7B"/>
      </colorScale>
    </cfRule>
  </conditionalFormatting>
  <conditionalFormatting sqref="BY127">
    <cfRule type="colorScale" priority="5671">
      <colorScale>
        <cfvo type="min"/>
        <cfvo type="percentile" val="50"/>
        <cfvo type="max"/>
        <color rgb="FFF8696B"/>
        <color rgb="FFFFEB84"/>
        <color rgb="FF63BE7B"/>
      </colorScale>
    </cfRule>
  </conditionalFormatting>
  <conditionalFormatting sqref="BY127">
    <cfRule type="colorScale" priority="5670">
      <colorScale>
        <cfvo type="min"/>
        <cfvo type="percentile" val="50"/>
        <cfvo type="max"/>
        <color rgb="FF63BE7B"/>
        <color rgb="FFFFEB84"/>
        <color rgb="FFF8696B"/>
      </colorScale>
    </cfRule>
  </conditionalFormatting>
  <conditionalFormatting sqref="BY127">
    <cfRule type="colorScale" priority="5667">
      <colorScale>
        <cfvo type="min"/>
        <cfvo type="max"/>
        <color rgb="FFFCFCFF"/>
        <color rgb="FFF8696B"/>
      </colorScale>
    </cfRule>
    <cfRule type="colorScale" priority="5669">
      <colorScale>
        <cfvo type="min"/>
        <cfvo type="percentile" val="50"/>
        <cfvo type="max"/>
        <color rgb="FF63BE7B"/>
        <color rgb="FFFFEB84"/>
        <color rgb="FFF8696B"/>
      </colorScale>
    </cfRule>
  </conditionalFormatting>
  <conditionalFormatting sqref="BY127">
    <cfRule type="colorScale" priority="5668">
      <colorScale>
        <cfvo type="min"/>
        <cfvo type="max"/>
        <color rgb="FFF8696B"/>
        <color rgb="FFFCFCFF"/>
      </colorScale>
    </cfRule>
  </conditionalFormatting>
  <conditionalFormatting sqref="BY109">
    <cfRule type="colorScale" priority="5666">
      <colorScale>
        <cfvo type="min"/>
        <cfvo type="percentile" val="50"/>
        <cfvo type="max"/>
        <color rgb="FFF8696B"/>
        <color rgb="FFFFEB84"/>
        <color rgb="FF63BE7B"/>
      </colorScale>
    </cfRule>
  </conditionalFormatting>
  <conditionalFormatting sqref="BY114">
    <cfRule type="colorScale" priority="5665">
      <colorScale>
        <cfvo type="min"/>
        <cfvo type="percentile" val="50"/>
        <cfvo type="max"/>
        <color rgb="FFF8696B"/>
        <color rgb="FFFFEB84"/>
        <color rgb="FF63BE7B"/>
      </colorScale>
    </cfRule>
  </conditionalFormatting>
  <conditionalFormatting sqref="BY119">
    <cfRule type="colorScale" priority="5664">
      <colorScale>
        <cfvo type="min"/>
        <cfvo type="percentile" val="50"/>
        <cfvo type="max"/>
        <color rgb="FFF8696B"/>
        <color rgb="FFFFEB84"/>
        <color rgb="FF63BE7B"/>
      </colorScale>
    </cfRule>
  </conditionalFormatting>
  <conditionalFormatting sqref="BY125">
    <cfRule type="colorScale" priority="5663">
      <colorScale>
        <cfvo type="min"/>
        <cfvo type="percentile" val="50"/>
        <cfvo type="max"/>
        <color rgb="FFF8696B"/>
        <color rgb="FFFFEB84"/>
        <color rgb="FF63BE7B"/>
      </colorScale>
    </cfRule>
  </conditionalFormatting>
  <conditionalFormatting sqref="BY125 BY109 BY114 BY119 BY127">
    <cfRule type="colorScale" priority="5662">
      <colorScale>
        <cfvo type="min"/>
        <cfvo type="max"/>
        <color rgb="FFFCFCFF"/>
        <color rgb="FFF8696B"/>
      </colorScale>
    </cfRule>
  </conditionalFormatting>
  <conditionalFormatting sqref="CA125 CA109 CA114 CA119">
    <cfRule type="colorScale" priority="5661">
      <colorScale>
        <cfvo type="min"/>
        <cfvo type="percentile" val="50"/>
        <cfvo type="max"/>
        <color rgb="FFF8696B"/>
        <color rgb="FFFFEB84"/>
        <color rgb="FF63BE7B"/>
      </colorScale>
    </cfRule>
  </conditionalFormatting>
  <conditionalFormatting sqref="CA119">
    <cfRule type="colorScale" priority="5660">
      <colorScale>
        <cfvo type="min"/>
        <cfvo type="percentile" val="50"/>
        <cfvo type="max"/>
        <color rgb="FFF8696B"/>
        <color rgb="FFFFEB84"/>
        <color rgb="FF63BE7B"/>
      </colorScale>
    </cfRule>
  </conditionalFormatting>
  <conditionalFormatting sqref="CA109 CA125 CA114 CA119">
    <cfRule type="colorScale" priority="5659">
      <colorScale>
        <cfvo type="min"/>
        <cfvo type="percentile" val="50"/>
        <cfvo type="max"/>
        <color rgb="FF63BE7B"/>
        <color rgb="FFFFEB84"/>
        <color rgb="FFF8696B"/>
      </colorScale>
    </cfRule>
  </conditionalFormatting>
  <conditionalFormatting sqref="CA125 CA109 CA114 CA119">
    <cfRule type="colorScale" priority="5656">
      <colorScale>
        <cfvo type="min"/>
        <cfvo type="max"/>
        <color rgb="FFFCFCFF"/>
        <color rgb="FFF8696B"/>
      </colorScale>
    </cfRule>
    <cfRule type="colorScale" priority="5658">
      <colorScale>
        <cfvo type="min"/>
        <cfvo type="percentile" val="50"/>
        <cfvo type="max"/>
        <color rgb="FF63BE7B"/>
        <color rgb="FFFFEB84"/>
        <color rgb="FFF8696B"/>
      </colorScale>
    </cfRule>
  </conditionalFormatting>
  <conditionalFormatting sqref="CA109 CA125 CA114 CA119">
    <cfRule type="colorScale" priority="5657">
      <colorScale>
        <cfvo type="min"/>
        <cfvo type="max"/>
        <color rgb="FFF8696B"/>
        <color rgb="FFFCFCFF"/>
      </colorScale>
    </cfRule>
  </conditionalFormatting>
  <conditionalFormatting sqref="CA127">
    <cfRule type="colorScale" priority="5655">
      <colorScale>
        <cfvo type="min"/>
        <cfvo type="percentile" val="50"/>
        <cfvo type="max"/>
        <color rgb="FFF8696B"/>
        <color rgb="FFFFEB84"/>
        <color rgb="FF63BE7B"/>
      </colorScale>
    </cfRule>
  </conditionalFormatting>
  <conditionalFormatting sqref="CA127">
    <cfRule type="colorScale" priority="5654">
      <colorScale>
        <cfvo type="min"/>
        <cfvo type="percentile" val="50"/>
        <cfvo type="max"/>
        <color rgb="FFF8696B"/>
        <color rgb="FFFFEB84"/>
        <color rgb="FF63BE7B"/>
      </colorScale>
    </cfRule>
  </conditionalFormatting>
  <conditionalFormatting sqref="CA127">
    <cfRule type="colorScale" priority="5653">
      <colorScale>
        <cfvo type="min"/>
        <cfvo type="percentile" val="50"/>
        <cfvo type="max"/>
        <color rgb="FFF8696B"/>
        <color rgb="FFFFEB84"/>
        <color rgb="FF63BE7B"/>
      </colorScale>
    </cfRule>
  </conditionalFormatting>
  <conditionalFormatting sqref="CA127">
    <cfRule type="colorScale" priority="5652">
      <colorScale>
        <cfvo type="min"/>
        <cfvo type="percentile" val="50"/>
        <cfvo type="max"/>
        <color rgb="FF63BE7B"/>
        <color rgb="FFFFEB84"/>
        <color rgb="FFF8696B"/>
      </colorScale>
    </cfRule>
  </conditionalFormatting>
  <conditionalFormatting sqref="CA127">
    <cfRule type="colorScale" priority="5649">
      <colorScale>
        <cfvo type="min"/>
        <cfvo type="max"/>
        <color rgb="FFFCFCFF"/>
        <color rgb="FFF8696B"/>
      </colorScale>
    </cfRule>
    <cfRule type="colorScale" priority="5651">
      <colorScale>
        <cfvo type="min"/>
        <cfvo type="percentile" val="50"/>
        <cfvo type="max"/>
        <color rgb="FF63BE7B"/>
        <color rgb="FFFFEB84"/>
        <color rgb="FFF8696B"/>
      </colorScale>
    </cfRule>
  </conditionalFormatting>
  <conditionalFormatting sqref="CA127">
    <cfRule type="colorScale" priority="5650">
      <colorScale>
        <cfvo type="min"/>
        <cfvo type="max"/>
        <color rgb="FFF8696B"/>
        <color rgb="FFFCFCFF"/>
      </colorScale>
    </cfRule>
  </conditionalFormatting>
  <conditionalFormatting sqref="CA109">
    <cfRule type="colorScale" priority="5648">
      <colorScale>
        <cfvo type="min"/>
        <cfvo type="percentile" val="50"/>
        <cfvo type="max"/>
        <color rgb="FFF8696B"/>
        <color rgb="FFFFEB84"/>
        <color rgb="FF63BE7B"/>
      </colorScale>
    </cfRule>
  </conditionalFormatting>
  <conditionalFormatting sqref="CA114">
    <cfRule type="colorScale" priority="5647">
      <colorScale>
        <cfvo type="min"/>
        <cfvo type="percentile" val="50"/>
        <cfvo type="max"/>
        <color rgb="FFF8696B"/>
        <color rgb="FFFFEB84"/>
        <color rgb="FF63BE7B"/>
      </colorScale>
    </cfRule>
  </conditionalFormatting>
  <conditionalFormatting sqref="CA119">
    <cfRule type="colorScale" priority="5646">
      <colorScale>
        <cfvo type="min"/>
        <cfvo type="percentile" val="50"/>
        <cfvo type="max"/>
        <color rgb="FFF8696B"/>
        <color rgb="FFFFEB84"/>
        <color rgb="FF63BE7B"/>
      </colorScale>
    </cfRule>
  </conditionalFormatting>
  <conditionalFormatting sqref="CA125">
    <cfRule type="colorScale" priority="5645">
      <colorScale>
        <cfvo type="min"/>
        <cfvo type="percentile" val="50"/>
        <cfvo type="max"/>
        <color rgb="FFF8696B"/>
        <color rgb="FFFFEB84"/>
        <color rgb="FF63BE7B"/>
      </colorScale>
    </cfRule>
  </conditionalFormatting>
  <conditionalFormatting sqref="CA109 CA125 CA114 CA119 CA127">
    <cfRule type="colorScale" priority="5644">
      <colorScale>
        <cfvo type="min"/>
        <cfvo type="max"/>
        <color rgb="FFFCFCFF"/>
        <color rgb="FFF8696B"/>
      </colorScale>
    </cfRule>
  </conditionalFormatting>
  <conditionalFormatting sqref="BU162 BO168 BW162 BQ168 BS168 BU168 BW168">
    <cfRule type="colorScale" priority="5643">
      <colorScale>
        <cfvo type="min"/>
        <cfvo type="percentile" val="50"/>
        <cfvo type="max"/>
        <color rgb="FFF8696B"/>
        <color rgb="FFFFEB84"/>
        <color rgb="FF63BE7B"/>
      </colorScale>
    </cfRule>
  </conditionalFormatting>
  <conditionalFormatting sqref="BW162">
    <cfRule type="colorScale" priority="5642">
      <colorScale>
        <cfvo type="min"/>
        <cfvo type="percentile" val="50"/>
        <cfvo type="max"/>
        <color rgb="FFF8696B"/>
        <color rgb="FFFFEB84"/>
        <color rgb="FF63BE7B"/>
      </colorScale>
    </cfRule>
  </conditionalFormatting>
  <conditionalFormatting sqref="BU162 BO168 BW162 BQ168 BS168 BU168 BW168">
    <cfRule type="colorScale" priority="5641">
      <colorScale>
        <cfvo type="min"/>
        <cfvo type="percentile" val="50"/>
        <cfvo type="max"/>
        <color rgb="FF63BE7B"/>
        <color rgb="FFFFEB84"/>
        <color rgb="FFF8696B"/>
      </colorScale>
    </cfRule>
  </conditionalFormatting>
  <conditionalFormatting sqref="BO168 BU162 BW162 BQ168 BS168 BU168 BW168">
    <cfRule type="colorScale" priority="5638">
      <colorScale>
        <cfvo type="min"/>
        <cfvo type="max"/>
        <color rgb="FFFCFCFF"/>
        <color rgb="FFF8696B"/>
      </colorScale>
    </cfRule>
    <cfRule type="colorScale" priority="5640">
      <colorScale>
        <cfvo type="min"/>
        <cfvo type="percentile" val="50"/>
        <cfvo type="max"/>
        <color rgb="FF63BE7B"/>
        <color rgb="FFFFEB84"/>
        <color rgb="FFF8696B"/>
      </colorScale>
    </cfRule>
  </conditionalFormatting>
  <conditionalFormatting sqref="BU162 BO168 BW162 BQ168 BS168 BU168 BW168">
    <cfRule type="colorScale" priority="5639">
      <colorScale>
        <cfvo type="min"/>
        <cfvo type="max"/>
        <color rgb="FFF8696B"/>
        <color rgb="FFFCFCFF"/>
      </colorScale>
    </cfRule>
  </conditionalFormatting>
  <conditionalFormatting sqref="BS170">
    <cfRule type="colorScale" priority="5637">
      <colorScale>
        <cfvo type="min"/>
        <cfvo type="percentile" val="50"/>
        <cfvo type="max"/>
        <color rgb="FFF8696B"/>
        <color rgb="FFFFEB84"/>
        <color rgb="FF63BE7B"/>
      </colorScale>
    </cfRule>
  </conditionalFormatting>
  <conditionalFormatting sqref="BS170">
    <cfRule type="colorScale" priority="5636">
      <colorScale>
        <cfvo type="min"/>
        <cfvo type="percentile" val="50"/>
        <cfvo type="max"/>
        <color rgb="FFF8696B"/>
        <color rgb="FFFFEB84"/>
        <color rgb="FF63BE7B"/>
      </colorScale>
    </cfRule>
  </conditionalFormatting>
  <conditionalFormatting sqref="BS170">
    <cfRule type="colorScale" priority="5635">
      <colorScale>
        <cfvo type="min"/>
        <cfvo type="percentile" val="50"/>
        <cfvo type="max"/>
        <color rgb="FFF8696B"/>
        <color rgb="FFFFEB84"/>
        <color rgb="FF63BE7B"/>
      </colorScale>
    </cfRule>
  </conditionalFormatting>
  <conditionalFormatting sqref="BS170">
    <cfRule type="colorScale" priority="5634">
      <colorScale>
        <cfvo type="min"/>
        <cfvo type="percentile" val="50"/>
        <cfvo type="max"/>
        <color rgb="FF63BE7B"/>
        <color rgb="FFFFEB84"/>
        <color rgb="FFF8696B"/>
      </colorScale>
    </cfRule>
  </conditionalFormatting>
  <conditionalFormatting sqref="BS170">
    <cfRule type="colorScale" priority="5631">
      <colorScale>
        <cfvo type="min"/>
        <cfvo type="max"/>
        <color rgb="FFFCFCFF"/>
        <color rgb="FFF8696B"/>
      </colorScale>
    </cfRule>
    <cfRule type="colorScale" priority="5633">
      <colorScale>
        <cfvo type="min"/>
        <cfvo type="percentile" val="50"/>
        <cfvo type="max"/>
        <color rgb="FF63BE7B"/>
        <color rgb="FFFFEB84"/>
        <color rgb="FFF8696B"/>
      </colorScale>
    </cfRule>
  </conditionalFormatting>
  <conditionalFormatting sqref="BS170">
    <cfRule type="colorScale" priority="5632">
      <colorScale>
        <cfvo type="min"/>
        <cfvo type="max"/>
        <color rgb="FFF8696B"/>
        <color rgb="FFFCFCFF"/>
      </colorScale>
    </cfRule>
  </conditionalFormatting>
  <conditionalFormatting sqref="BU170">
    <cfRule type="colorScale" priority="5630">
      <colorScale>
        <cfvo type="min"/>
        <cfvo type="percentile" val="50"/>
        <cfvo type="max"/>
        <color rgb="FFF8696B"/>
        <color rgb="FFFFEB84"/>
        <color rgb="FF63BE7B"/>
      </colorScale>
    </cfRule>
  </conditionalFormatting>
  <conditionalFormatting sqref="BU170">
    <cfRule type="colorScale" priority="5629">
      <colorScale>
        <cfvo type="min"/>
        <cfvo type="percentile" val="50"/>
        <cfvo type="max"/>
        <color rgb="FFF8696B"/>
        <color rgb="FFFFEB84"/>
        <color rgb="FF63BE7B"/>
      </colorScale>
    </cfRule>
  </conditionalFormatting>
  <conditionalFormatting sqref="BU170">
    <cfRule type="colorScale" priority="5628">
      <colorScale>
        <cfvo type="min"/>
        <cfvo type="percentile" val="50"/>
        <cfvo type="max"/>
        <color rgb="FFF8696B"/>
        <color rgb="FFFFEB84"/>
        <color rgb="FF63BE7B"/>
      </colorScale>
    </cfRule>
  </conditionalFormatting>
  <conditionalFormatting sqref="BU170">
    <cfRule type="colorScale" priority="5627">
      <colorScale>
        <cfvo type="min"/>
        <cfvo type="percentile" val="50"/>
        <cfvo type="max"/>
        <color rgb="FF63BE7B"/>
        <color rgb="FFFFEB84"/>
        <color rgb="FFF8696B"/>
      </colorScale>
    </cfRule>
  </conditionalFormatting>
  <conditionalFormatting sqref="BU170">
    <cfRule type="colorScale" priority="5624">
      <colorScale>
        <cfvo type="min"/>
        <cfvo type="max"/>
        <color rgb="FFFCFCFF"/>
        <color rgb="FFF8696B"/>
      </colorScale>
    </cfRule>
    <cfRule type="colorScale" priority="5626">
      <colorScale>
        <cfvo type="min"/>
        <cfvo type="percentile" val="50"/>
        <cfvo type="max"/>
        <color rgb="FF63BE7B"/>
        <color rgb="FFFFEB84"/>
        <color rgb="FFF8696B"/>
      </colorScale>
    </cfRule>
  </conditionalFormatting>
  <conditionalFormatting sqref="BU170">
    <cfRule type="colorScale" priority="5625">
      <colorScale>
        <cfvo type="min"/>
        <cfvo type="max"/>
        <color rgb="FFF8696B"/>
        <color rgb="FFFCFCFF"/>
      </colorScale>
    </cfRule>
  </conditionalFormatting>
  <conditionalFormatting sqref="BW170">
    <cfRule type="colorScale" priority="5623">
      <colorScale>
        <cfvo type="min"/>
        <cfvo type="percentile" val="50"/>
        <cfvo type="max"/>
        <color rgb="FFF8696B"/>
        <color rgb="FFFFEB84"/>
        <color rgb="FF63BE7B"/>
      </colorScale>
    </cfRule>
  </conditionalFormatting>
  <conditionalFormatting sqref="BW170">
    <cfRule type="colorScale" priority="5622">
      <colorScale>
        <cfvo type="min"/>
        <cfvo type="percentile" val="50"/>
        <cfvo type="max"/>
        <color rgb="FFF8696B"/>
        <color rgb="FFFFEB84"/>
        <color rgb="FF63BE7B"/>
      </colorScale>
    </cfRule>
  </conditionalFormatting>
  <conditionalFormatting sqref="BW170">
    <cfRule type="colorScale" priority="5621">
      <colorScale>
        <cfvo type="min"/>
        <cfvo type="percentile" val="50"/>
        <cfvo type="max"/>
        <color rgb="FFF8696B"/>
        <color rgb="FFFFEB84"/>
        <color rgb="FF63BE7B"/>
      </colorScale>
    </cfRule>
  </conditionalFormatting>
  <conditionalFormatting sqref="BW170">
    <cfRule type="colorScale" priority="5620">
      <colorScale>
        <cfvo type="min"/>
        <cfvo type="percentile" val="50"/>
        <cfvo type="max"/>
        <color rgb="FF63BE7B"/>
        <color rgb="FFFFEB84"/>
        <color rgb="FFF8696B"/>
      </colorScale>
    </cfRule>
  </conditionalFormatting>
  <conditionalFormatting sqref="BW170">
    <cfRule type="colorScale" priority="5617">
      <colorScale>
        <cfvo type="min"/>
        <cfvo type="max"/>
        <color rgb="FFFCFCFF"/>
        <color rgb="FFF8696B"/>
      </colorScale>
    </cfRule>
    <cfRule type="colorScale" priority="5619">
      <colorScale>
        <cfvo type="min"/>
        <cfvo type="percentile" val="50"/>
        <cfvo type="max"/>
        <color rgb="FF63BE7B"/>
        <color rgb="FFFFEB84"/>
        <color rgb="FFF8696B"/>
      </colorScale>
    </cfRule>
  </conditionalFormatting>
  <conditionalFormatting sqref="BW170">
    <cfRule type="colorScale" priority="5618">
      <colorScale>
        <cfvo type="min"/>
        <cfvo type="max"/>
        <color rgb="FFF8696B"/>
        <color rgb="FFFCFCFF"/>
      </colorScale>
    </cfRule>
  </conditionalFormatting>
  <conditionalFormatting sqref="BU162">
    <cfRule type="colorScale" priority="5616">
      <colorScale>
        <cfvo type="min"/>
        <cfvo type="percentile" val="50"/>
        <cfvo type="max"/>
        <color rgb="FFF8696B"/>
        <color rgb="FFFFEB84"/>
        <color rgb="FF63BE7B"/>
      </colorScale>
    </cfRule>
  </conditionalFormatting>
  <conditionalFormatting sqref="BW162">
    <cfRule type="colorScale" priority="5615">
      <colorScale>
        <cfvo type="min"/>
        <cfvo type="percentile" val="50"/>
        <cfvo type="max"/>
        <color rgb="FFF8696B"/>
        <color rgb="FFFFEB84"/>
        <color rgb="FF63BE7B"/>
      </colorScale>
    </cfRule>
  </conditionalFormatting>
  <conditionalFormatting sqref="BO168">
    <cfRule type="colorScale" priority="5614">
      <colorScale>
        <cfvo type="min"/>
        <cfvo type="percentile" val="50"/>
        <cfvo type="max"/>
        <color rgb="FFF8696B"/>
        <color rgb="FFFFEB84"/>
        <color rgb="FF63BE7B"/>
      </colorScale>
    </cfRule>
  </conditionalFormatting>
  <conditionalFormatting sqref="BQ168">
    <cfRule type="colorScale" priority="5613">
      <colorScale>
        <cfvo type="min"/>
        <cfvo type="percentile" val="50"/>
        <cfvo type="max"/>
        <color rgb="FFF8696B"/>
        <color rgb="FFFFEB84"/>
        <color rgb="FF63BE7B"/>
      </colorScale>
    </cfRule>
  </conditionalFormatting>
  <conditionalFormatting sqref="BS168">
    <cfRule type="colorScale" priority="5612">
      <colorScale>
        <cfvo type="min"/>
        <cfvo type="percentile" val="50"/>
        <cfvo type="max"/>
        <color rgb="FFF8696B"/>
        <color rgb="FFFFEB84"/>
        <color rgb="FF63BE7B"/>
      </colorScale>
    </cfRule>
  </conditionalFormatting>
  <conditionalFormatting sqref="BU168">
    <cfRule type="colorScale" priority="5611">
      <colorScale>
        <cfvo type="min"/>
        <cfvo type="percentile" val="50"/>
        <cfvo type="max"/>
        <color rgb="FFF8696B"/>
        <color rgb="FFFFEB84"/>
        <color rgb="FF63BE7B"/>
      </colorScale>
    </cfRule>
  </conditionalFormatting>
  <conditionalFormatting sqref="BW168">
    <cfRule type="colorScale" priority="5610">
      <colorScale>
        <cfvo type="min"/>
        <cfvo type="percentile" val="50"/>
        <cfvo type="max"/>
        <color rgb="FFF8696B"/>
        <color rgb="FFFFEB84"/>
        <color rgb="FF63BE7B"/>
      </colorScale>
    </cfRule>
  </conditionalFormatting>
  <conditionalFormatting sqref="BO147 BO168 BQ147 BW162 BU162 BQ168 BW168 BU168 BS168 BS170 BU170 BW170">
    <cfRule type="colorScale" priority="5609">
      <colorScale>
        <cfvo type="min"/>
        <cfvo type="max"/>
        <color rgb="FFFCFCFF"/>
        <color rgb="FFF8696B"/>
      </colorScale>
    </cfRule>
  </conditionalFormatting>
  <conditionalFormatting sqref="BY168 BY157 BY152 BY162">
    <cfRule type="colorScale" priority="5608">
      <colorScale>
        <cfvo type="min"/>
        <cfvo type="percentile" val="50"/>
        <cfvo type="max"/>
        <color rgb="FFF8696B"/>
        <color rgb="FFFFEB84"/>
        <color rgb="FF63BE7B"/>
      </colorScale>
    </cfRule>
  </conditionalFormatting>
  <conditionalFormatting sqref="BY162">
    <cfRule type="colorScale" priority="5607">
      <colorScale>
        <cfvo type="min"/>
        <cfvo type="percentile" val="50"/>
        <cfvo type="max"/>
        <color rgb="FFF8696B"/>
        <color rgb="FFFFEB84"/>
        <color rgb="FF63BE7B"/>
      </colorScale>
    </cfRule>
  </conditionalFormatting>
  <conditionalFormatting sqref="BY168 BY157 BY152 BY162">
    <cfRule type="colorScale" priority="5606">
      <colorScale>
        <cfvo type="min"/>
        <cfvo type="percentile" val="50"/>
        <cfvo type="max"/>
        <color rgb="FF63BE7B"/>
        <color rgb="FFFFEB84"/>
        <color rgb="FFF8696B"/>
      </colorScale>
    </cfRule>
  </conditionalFormatting>
  <conditionalFormatting sqref="BY168 BY152 BY157 BY162">
    <cfRule type="colorScale" priority="5603">
      <colorScale>
        <cfvo type="min"/>
        <cfvo type="max"/>
        <color rgb="FFFCFCFF"/>
        <color rgb="FFF8696B"/>
      </colorScale>
    </cfRule>
    <cfRule type="colorScale" priority="5605">
      <colorScale>
        <cfvo type="min"/>
        <cfvo type="percentile" val="50"/>
        <cfvo type="max"/>
        <color rgb="FF63BE7B"/>
        <color rgb="FFFFEB84"/>
        <color rgb="FFF8696B"/>
      </colorScale>
    </cfRule>
  </conditionalFormatting>
  <conditionalFormatting sqref="BY168 BY157 BY152 BY162">
    <cfRule type="colorScale" priority="5604">
      <colorScale>
        <cfvo type="min"/>
        <cfvo type="max"/>
        <color rgb="FFF8696B"/>
        <color rgb="FFFCFCFF"/>
      </colorScale>
    </cfRule>
  </conditionalFormatting>
  <conditionalFormatting sqref="BY170">
    <cfRule type="colorScale" priority="5602">
      <colorScale>
        <cfvo type="min"/>
        <cfvo type="percentile" val="50"/>
        <cfvo type="max"/>
        <color rgb="FFF8696B"/>
        <color rgb="FFFFEB84"/>
        <color rgb="FF63BE7B"/>
      </colorScale>
    </cfRule>
  </conditionalFormatting>
  <conditionalFormatting sqref="BY170">
    <cfRule type="colorScale" priority="5601">
      <colorScale>
        <cfvo type="min"/>
        <cfvo type="percentile" val="50"/>
        <cfvo type="max"/>
        <color rgb="FFF8696B"/>
        <color rgb="FFFFEB84"/>
        <color rgb="FF63BE7B"/>
      </colorScale>
    </cfRule>
  </conditionalFormatting>
  <conditionalFormatting sqref="BY170">
    <cfRule type="colorScale" priority="5600">
      <colorScale>
        <cfvo type="min"/>
        <cfvo type="percentile" val="50"/>
        <cfvo type="max"/>
        <color rgb="FFF8696B"/>
        <color rgb="FFFFEB84"/>
        <color rgb="FF63BE7B"/>
      </colorScale>
    </cfRule>
  </conditionalFormatting>
  <conditionalFormatting sqref="BY170">
    <cfRule type="colorScale" priority="5599">
      <colorScale>
        <cfvo type="min"/>
        <cfvo type="percentile" val="50"/>
        <cfvo type="max"/>
        <color rgb="FF63BE7B"/>
        <color rgb="FFFFEB84"/>
        <color rgb="FFF8696B"/>
      </colorScale>
    </cfRule>
  </conditionalFormatting>
  <conditionalFormatting sqref="BY170">
    <cfRule type="colorScale" priority="5596">
      <colorScale>
        <cfvo type="min"/>
        <cfvo type="max"/>
        <color rgb="FFFCFCFF"/>
        <color rgb="FFF8696B"/>
      </colorScale>
    </cfRule>
    <cfRule type="colorScale" priority="5598">
      <colorScale>
        <cfvo type="min"/>
        <cfvo type="percentile" val="50"/>
        <cfvo type="max"/>
        <color rgb="FF63BE7B"/>
        <color rgb="FFFFEB84"/>
        <color rgb="FFF8696B"/>
      </colorScale>
    </cfRule>
  </conditionalFormatting>
  <conditionalFormatting sqref="BY170">
    <cfRule type="colorScale" priority="5597">
      <colorScale>
        <cfvo type="min"/>
        <cfvo type="max"/>
        <color rgb="FFF8696B"/>
        <color rgb="FFFCFCFF"/>
      </colorScale>
    </cfRule>
  </conditionalFormatting>
  <conditionalFormatting sqref="BY152">
    <cfRule type="colorScale" priority="5595">
      <colorScale>
        <cfvo type="min"/>
        <cfvo type="percentile" val="50"/>
        <cfvo type="max"/>
        <color rgb="FFF8696B"/>
        <color rgb="FFFFEB84"/>
        <color rgb="FF63BE7B"/>
      </colorScale>
    </cfRule>
  </conditionalFormatting>
  <conditionalFormatting sqref="BY157">
    <cfRule type="colorScale" priority="5594">
      <colorScale>
        <cfvo type="min"/>
        <cfvo type="percentile" val="50"/>
        <cfvo type="max"/>
        <color rgb="FFF8696B"/>
        <color rgb="FFFFEB84"/>
        <color rgb="FF63BE7B"/>
      </colorScale>
    </cfRule>
  </conditionalFormatting>
  <conditionalFormatting sqref="BY162">
    <cfRule type="colorScale" priority="5593">
      <colorScale>
        <cfvo type="min"/>
        <cfvo type="percentile" val="50"/>
        <cfvo type="max"/>
        <color rgb="FFF8696B"/>
        <color rgb="FFFFEB84"/>
        <color rgb="FF63BE7B"/>
      </colorScale>
    </cfRule>
  </conditionalFormatting>
  <conditionalFormatting sqref="BY168">
    <cfRule type="colorScale" priority="5592">
      <colorScale>
        <cfvo type="min"/>
        <cfvo type="percentile" val="50"/>
        <cfvo type="max"/>
        <color rgb="FFF8696B"/>
        <color rgb="FFFFEB84"/>
        <color rgb="FF63BE7B"/>
      </colorScale>
    </cfRule>
  </conditionalFormatting>
  <conditionalFormatting sqref="BY168 BY157 BY152 BY162 BY170">
    <cfRule type="colorScale" priority="5591">
      <colorScale>
        <cfvo type="min"/>
        <cfvo type="max"/>
        <color rgb="FFFCFCFF"/>
        <color rgb="FFF8696B"/>
      </colorScale>
    </cfRule>
  </conditionalFormatting>
  <conditionalFormatting sqref="CA168 CA157 CA152 CA162">
    <cfRule type="colorScale" priority="5590">
      <colorScale>
        <cfvo type="min"/>
        <cfvo type="percentile" val="50"/>
        <cfvo type="max"/>
        <color rgb="FFF8696B"/>
        <color rgb="FFFFEB84"/>
        <color rgb="FF63BE7B"/>
      </colorScale>
    </cfRule>
  </conditionalFormatting>
  <conditionalFormatting sqref="CA162">
    <cfRule type="colorScale" priority="5589">
      <colorScale>
        <cfvo type="min"/>
        <cfvo type="percentile" val="50"/>
        <cfvo type="max"/>
        <color rgb="FFF8696B"/>
        <color rgb="FFFFEB84"/>
        <color rgb="FF63BE7B"/>
      </colorScale>
    </cfRule>
  </conditionalFormatting>
  <conditionalFormatting sqref="CA168 CA157 CA152 CA162">
    <cfRule type="colorScale" priority="5588">
      <colorScale>
        <cfvo type="min"/>
        <cfvo type="percentile" val="50"/>
        <cfvo type="max"/>
        <color rgb="FF63BE7B"/>
        <color rgb="FFFFEB84"/>
        <color rgb="FFF8696B"/>
      </colorScale>
    </cfRule>
  </conditionalFormatting>
  <conditionalFormatting sqref="CA168 CA152 CA157 CA162">
    <cfRule type="colorScale" priority="5585">
      <colorScale>
        <cfvo type="min"/>
        <cfvo type="max"/>
        <color rgb="FFFCFCFF"/>
        <color rgb="FFF8696B"/>
      </colorScale>
    </cfRule>
    <cfRule type="colorScale" priority="5587">
      <colorScale>
        <cfvo type="min"/>
        <cfvo type="percentile" val="50"/>
        <cfvo type="max"/>
        <color rgb="FF63BE7B"/>
        <color rgb="FFFFEB84"/>
        <color rgb="FFF8696B"/>
      </colorScale>
    </cfRule>
  </conditionalFormatting>
  <conditionalFormatting sqref="CA168 CA157 CA152 CA162">
    <cfRule type="colorScale" priority="5586">
      <colorScale>
        <cfvo type="min"/>
        <cfvo type="max"/>
        <color rgb="FFF8696B"/>
        <color rgb="FFFCFCFF"/>
      </colorScale>
    </cfRule>
  </conditionalFormatting>
  <conditionalFormatting sqref="CA170">
    <cfRule type="colorScale" priority="5584">
      <colorScale>
        <cfvo type="min"/>
        <cfvo type="percentile" val="50"/>
        <cfvo type="max"/>
        <color rgb="FFF8696B"/>
        <color rgb="FFFFEB84"/>
        <color rgb="FF63BE7B"/>
      </colorScale>
    </cfRule>
  </conditionalFormatting>
  <conditionalFormatting sqref="CA170">
    <cfRule type="colorScale" priority="5583">
      <colorScale>
        <cfvo type="min"/>
        <cfvo type="percentile" val="50"/>
        <cfvo type="max"/>
        <color rgb="FFF8696B"/>
        <color rgb="FFFFEB84"/>
        <color rgb="FF63BE7B"/>
      </colorScale>
    </cfRule>
  </conditionalFormatting>
  <conditionalFormatting sqref="CA170">
    <cfRule type="colorScale" priority="5582">
      <colorScale>
        <cfvo type="min"/>
        <cfvo type="percentile" val="50"/>
        <cfvo type="max"/>
        <color rgb="FFF8696B"/>
        <color rgb="FFFFEB84"/>
        <color rgb="FF63BE7B"/>
      </colorScale>
    </cfRule>
  </conditionalFormatting>
  <conditionalFormatting sqref="CA170">
    <cfRule type="colorScale" priority="5581">
      <colorScale>
        <cfvo type="min"/>
        <cfvo type="percentile" val="50"/>
        <cfvo type="max"/>
        <color rgb="FF63BE7B"/>
        <color rgb="FFFFEB84"/>
        <color rgb="FFF8696B"/>
      </colorScale>
    </cfRule>
  </conditionalFormatting>
  <conditionalFormatting sqref="CA170">
    <cfRule type="colorScale" priority="5578">
      <colorScale>
        <cfvo type="min"/>
        <cfvo type="max"/>
        <color rgb="FFFCFCFF"/>
        <color rgb="FFF8696B"/>
      </colorScale>
    </cfRule>
    <cfRule type="colorScale" priority="5580">
      <colorScale>
        <cfvo type="min"/>
        <cfvo type="percentile" val="50"/>
        <cfvo type="max"/>
        <color rgb="FF63BE7B"/>
        <color rgb="FFFFEB84"/>
        <color rgb="FFF8696B"/>
      </colorScale>
    </cfRule>
  </conditionalFormatting>
  <conditionalFormatting sqref="CA170">
    <cfRule type="colorScale" priority="5579">
      <colorScale>
        <cfvo type="min"/>
        <cfvo type="max"/>
        <color rgb="FFF8696B"/>
        <color rgb="FFFCFCFF"/>
      </colorScale>
    </cfRule>
  </conditionalFormatting>
  <conditionalFormatting sqref="CA152">
    <cfRule type="colorScale" priority="5577">
      <colorScale>
        <cfvo type="min"/>
        <cfvo type="percentile" val="50"/>
        <cfvo type="max"/>
        <color rgb="FFF8696B"/>
        <color rgb="FFFFEB84"/>
        <color rgb="FF63BE7B"/>
      </colorScale>
    </cfRule>
  </conditionalFormatting>
  <conditionalFormatting sqref="CA157">
    <cfRule type="colorScale" priority="5576">
      <colorScale>
        <cfvo type="min"/>
        <cfvo type="percentile" val="50"/>
        <cfvo type="max"/>
        <color rgb="FFF8696B"/>
        <color rgb="FFFFEB84"/>
        <color rgb="FF63BE7B"/>
      </colorScale>
    </cfRule>
  </conditionalFormatting>
  <conditionalFormatting sqref="CA162">
    <cfRule type="colorScale" priority="5575">
      <colorScale>
        <cfvo type="min"/>
        <cfvo type="percentile" val="50"/>
        <cfvo type="max"/>
        <color rgb="FFF8696B"/>
        <color rgb="FFFFEB84"/>
        <color rgb="FF63BE7B"/>
      </colorScale>
    </cfRule>
  </conditionalFormatting>
  <conditionalFormatting sqref="CA168">
    <cfRule type="colorScale" priority="5574">
      <colorScale>
        <cfvo type="min"/>
        <cfvo type="percentile" val="50"/>
        <cfvo type="max"/>
        <color rgb="FFF8696B"/>
        <color rgb="FFFFEB84"/>
        <color rgb="FF63BE7B"/>
      </colorScale>
    </cfRule>
  </conditionalFormatting>
  <conditionalFormatting sqref="CA168 CA157 CA152 CA162 CA170">
    <cfRule type="colorScale" priority="5573">
      <colorScale>
        <cfvo type="min"/>
        <cfvo type="max"/>
        <color rgb="FFFCFCFF"/>
        <color rgb="FFF8696B"/>
      </colorScale>
    </cfRule>
  </conditionalFormatting>
  <conditionalFormatting sqref="BO185 BO211 BQ185 BS185 BU185 BQ211 BS211">
    <cfRule type="colorScale" priority="5572">
      <colorScale>
        <cfvo type="min"/>
        <cfvo type="percentile" val="50"/>
        <cfvo type="max"/>
        <color rgb="FFF8696B"/>
        <color rgb="FFFFEB84"/>
        <color rgb="FF63BE7B"/>
      </colorScale>
    </cfRule>
  </conditionalFormatting>
  <conditionalFormatting sqref="BO185 BQ185 BS185 BU185">
    <cfRule type="colorScale" priority="5571">
      <colorScale>
        <cfvo type="min"/>
        <cfvo type="percentile" val="50"/>
        <cfvo type="max"/>
        <color rgb="FFF8696B"/>
        <color rgb="FFFFEB84"/>
        <color rgb="FF63BE7B"/>
      </colorScale>
    </cfRule>
  </conditionalFormatting>
  <conditionalFormatting sqref="BO185 BO211 BQ185 BS185 BU185 BQ211 BS211">
    <cfRule type="colorScale" priority="5570">
      <colorScale>
        <cfvo type="min"/>
        <cfvo type="percentile" val="50"/>
        <cfvo type="max"/>
        <color rgb="FF63BE7B"/>
        <color rgb="FFFFEB84"/>
        <color rgb="FFF8696B"/>
      </colorScale>
    </cfRule>
  </conditionalFormatting>
  <conditionalFormatting sqref="BO211 BO185 BQ185 BS185 BU185 BQ211 BS211">
    <cfRule type="colorScale" priority="5567">
      <colorScale>
        <cfvo type="min"/>
        <cfvo type="max"/>
        <color rgb="FFFCFCFF"/>
        <color rgb="FFF8696B"/>
      </colorScale>
    </cfRule>
    <cfRule type="colorScale" priority="5569">
      <colorScale>
        <cfvo type="min"/>
        <cfvo type="percentile" val="50"/>
        <cfvo type="max"/>
        <color rgb="FF63BE7B"/>
        <color rgb="FFFFEB84"/>
        <color rgb="FFF8696B"/>
      </colorScale>
    </cfRule>
  </conditionalFormatting>
  <conditionalFormatting sqref="BO185 BO211 BQ185 BS185 BU185 BQ211 BS211">
    <cfRule type="colorScale" priority="5568">
      <colorScale>
        <cfvo type="min"/>
        <cfvo type="max"/>
        <color rgb="FFF8696B"/>
        <color rgb="FFFCFCFF"/>
      </colorScale>
    </cfRule>
  </conditionalFormatting>
  <conditionalFormatting sqref="BS213">
    <cfRule type="colorScale" priority="5566">
      <colorScale>
        <cfvo type="min"/>
        <cfvo type="percentile" val="50"/>
        <cfvo type="max"/>
        <color rgb="FFF8696B"/>
        <color rgb="FFFFEB84"/>
        <color rgb="FF63BE7B"/>
      </colorScale>
    </cfRule>
  </conditionalFormatting>
  <conditionalFormatting sqref="BS213">
    <cfRule type="colorScale" priority="5565">
      <colorScale>
        <cfvo type="min"/>
        <cfvo type="percentile" val="50"/>
        <cfvo type="max"/>
        <color rgb="FFF8696B"/>
        <color rgb="FFFFEB84"/>
        <color rgb="FF63BE7B"/>
      </colorScale>
    </cfRule>
  </conditionalFormatting>
  <conditionalFormatting sqref="BS213">
    <cfRule type="colorScale" priority="5564">
      <colorScale>
        <cfvo type="min"/>
        <cfvo type="percentile" val="50"/>
        <cfvo type="max"/>
        <color rgb="FFF8696B"/>
        <color rgb="FFFFEB84"/>
        <color rgb="FF63BE7B"/>
      </colorScale>
    </cfRule>
  </conditionalFormatting>
  <conditionalFormatting sqref="BS213">
    <cfRule type="colorScale" priority="5563">
      <colorScale>
        <cfvo type="min"/>
        <cfvo type="percentile" val="50"/>
        <cfvo type="max"/>
        <color rgb="FF63BE7B"/>
        <color rgb="FFFFEB84"/>
        <color rgb="FFF8696B"/>
      </colorScale>
    </cfRule>
  </conditionalFormatting>
  <conditionalFormatting sqref="BS213">
    <cfRule type="colorScale" priority="5560">
      <colorScale>
        <cfvo type="min"/>
        <cfvo type="max"/>
        <color rgb="FFFCFCFF"/>
        <color rgb="FFF8696B"/>
      </colorScale>
    </cfRule>
    <cfRule type="colorScale" priority="5562">
      <colorScale>
        <cfvo type="min"/>
        <cfvo type="percentile" val="50"/>
        <cfvo type="max"/>
        <color rgb="FF63BE7B"/>
        <color rgb="FFFFEB84"/>
        <color rgb="FFF8696B"/>
      </colorScale>
    </cfRule>
  </conditionalFormatting>
  <conditionalFormatting sqref="BS213">
    <cfRule type="colorScale" priority="5561">
      <colorScale>
        <cfvo type="min"/>
        <cfvo type="max"/>
        <color rgb="FFF8696B"/>
        <color rgb="FFFCFCFF"/>
      </colorScale>
    </cfRule>
  </conditionalFormatting>
  <conditionalFormatting sqref="BU213">
    <cfRule type="colorScale" priority="5559">
      <colorScale>
        <cfvo type="min"/>
        <cfvo type="percentile" val="50"/>
        <cfvo type="max"/>
        <color rgb="FFF8696B"/>
        <color rgb="FFFFEB84"/>
        <color rgb="FF63BE7B"/>
      </colorScale>
    </cfRule>
  </conditionalFormatting>
  <conditionalFormatting sqref="BU213">
    <cfRule type="colorScale" priority="5558">
      <colorScale>
        <cfvo type="min"/>
        <cfvo type="percentile" val="50"/>
        <cfvo type="max"/>
        <color rgb="FFF8696B"/>
        <color rgb="FFFFEB84"/>
        <color rgb="FF63BE7B"/>
      </colorScale>
    </cfRule>
  </conditionalFormatting>
  <conditionalFormatting sqref="BU213">
    <cfRule type="colorScale" priority="5557">
      <colorScale>
        <cfvo type="min"/>
        <cfvo type="percentile" val="50"/>
        <cfvo type="max"/>
        <color rgb="FFF8696B"/>
        <color rgb="FFFFEB84"/>
        <color rgb="FF63BE7B"/>
      </colorScale>
    </cfRule>
  </conditionalFormatting>
  <conditionalFormatting sqref="BU213">
    <cfRule type="colorScale" priority="5556">
      <colorScale>
        <cfvo type="min"/>
        <cfvo type="percentile" val="50"/>
        <cfvo type="max"/>
        <color rgb="FF63BE7B"/>
        <color rgb="FFFFEB84"/>
        <color rgb="FFF8696B"/>
      </colorScale>
    </cfRule>
  </conditionalFormatting>
  <conditionalFormatting sqref="BU213">
    <cfRule type="colorScale" priority="5553">
      <colorScale>
        <cfvo type="min"/>
        <cfvo type="max"/>
        <color rgb="FFFCFCFF"/>
        <color rgb="FFF8696B"/>
      </colorScale>
    </cfRule>
    <cfRule type="colorScale" priority="5555">
      <colorScale>
        <cfvo type="min"/>
        <cfvo type="percentile" val="50"/>
        <cfvo type="max"/>
        <color rgb="FF63BE7B"/>
        <color rgb="FFFFEB84"/>
        <color rgb="FFF8696B"/>
      </colorScale>
    </cfRule>
  </conditionalFormatting>
  <conditionalFormatting sqref="BU213">
    <cfRule type="colorScale" priority="5554">
      <colorScale>
        <cfvo type="min"/>
        <cfvo type="max"/>
        <color rgb="FFF8696B"/>
        <color rgb="FFFCFCFF"/>
      </colorScale>
    </cfRule>
  </conditionalFormatting>
  <conditionalFormatting sqref="BW213">
    <cfRule type="colorScale" priority="5552">
      <colorScale>
        <cfvo type="min"/>
        <cfvo type="percentile" val="50"/>
        <cfvo type="max"/>
        <color rgb="FFF8696B"/>
        <color rgb="FFFFEB84"/>
        <color rgb="FF63BE7B"/>
      </colorScale>
    </cfRule>
  </conditionalFormatting>
  <conditionalFormatting sqref="BW213">
    <cfRule type="colorScale" priority="5551">
      <colorScale>
        <cfvo type="min"/>
        <cfvo type="percentile" val="50"/>
        <cfvo type="max"/>
        <color rgb="FFF8696B"/>
        <color rgb="FFFFEB84"/>
        <color rgb="FF63BE7B"/>
      </colorScale>
    </cfRule>
  </conditionalFormatting>
  <conditionalFormatting sqref="BW213">
    <cfRule type="colorScale" priority="5550">
      <colorScale>
        <cfvo type="min"/>
        <cfvo type="percentile" val="50"/>
        <cfvo type="max"/>
        <color rgb="FFF8696B"/>
        <color rgb="FFFFEB84"/>
        <color rgb="FF63BE7B"/>
      </colorScale>
    </cfRule>
  </conditionalFormatting>
  <conditionalFormatting sqref="BW213">
    <cfRule type="colorScale" priority="5549">
      <colorScale>
        <cfvo type="min"/>
        <cfvo type="percentile" val="50"/>
        <cfvo type="max"/>
        <color rgb="FF63BE7B"/>
        <color rgb="FFFFEB84"/>
        <color rgb="FFF8696B"/>
      </colorScale>
    </cfRule>
  </conditionalFormatting>
  <conditionalFormatting sqref="BW213">
    <cfRule type="colorScale" priority="5546">
      <colorScale>
        <cfvo type="min"/>
        <cfvo type="max"/>
        <color rgb="FFFCFCFF"/>
        <color rgb="FFF8696B"/>
      </colorScale>
    </cfRule>
    <cfRule type="colorScale" priority="5548">
      <colorScale>
        <cfvo type="min"/>
        <cfvo type="percentile" val="50"/>
        <cfvo type="max"/>
        <color rgb="FF63BE7B"/>
        <color rgb="FFFFEB84"/>
        <color rgb="FFF8696B"/>
      </colorScale>
    </cfRule>
  </conditionalFormatting>
  <conditionalFormatting sqref="BW213">
    <cfRule type="colorScale" priority="5547">
      <colorScale>
        <cfvo type="min"/>
        <cfvo type="max"/>
        <color rgb="FFF8696B"/>
        <color rgb="FFFCFCFF"/>
      </colorScale>
    </cfRule>
  </conditionalFormatting>
  <conditionalFormatting sqref="BO211">
    <cfRule type="colorScale" priority="5545">
      <colorScale>
        <cfvo type="min"/>
        <cfvo type="percentile" val="50"/>
        <cfvo type="max"/>
        <color rgb="FFF8696B"/>
        <color rgb="FFFFEB84"/>
        <color rgb="FF63BE7B"/>
      </colorScale>
    </cfRule>
  </conditionalFormatting>
  <conditionalFormatting sqref="BQ211">
    <cfRule type="colorScale" priority="5544">
      <colorScale>
        <cfvo type="min"/>
        <cfvo type="percentile" val="50"/>
        <cfvo type="max"/>
        <color rgb="FFF8696B"/>
        <color rgb="FFFFEB84"/>
        <color rgb="FF63BE7B"/>
      </colorScale>
    </cfRule>
  </conditionalFormatting>
  <conditionalFormatting sqref="BS211">
    <cfRule type="colorScale" priority="5543">
      <colorScale>
        <cfvo type="min"/>
        <cfvo type="percentile" val="50"/>
        <cfvo type="max"/>
        <color rgb="FFF8696B"/>
        <color rgb="FFFFEB84"/>
        <color rgb="FF63BE7B"/>
      </colorScale>
    </cfRule>
  </conditionalFormatting>
  <conditionalFormatting sqref="BO185 BO211 BQ185 BS185 BU185 BQ190 BO190 BQ211 BS211 BS213 BU213 BW213">
    <cfRule type="colorScale" priority="5542">
      <colorScale>
        <cfvo type="min"/>
        <cfvo type="max"/>
        <color rgb="FFFCFCFF"/>
        <color rgb="FFF8696B"/>
      </colorScale>
    </cfRule>
  </conditionalFormatting>
  <conditionalFormatting sqref="BY213">
    <cfRule type="colorScale" priority="5541">
      <colorScale>
        <cfvo type="min"/>
        <cfvo type="percentile" val="50"/>
        <cfvo type="max"/>
        <color rgb="FFF8696B"/>
        <color rgb="FFFFEB84"/>
        <color rgb="FF63BE7B"/>
      </colorScale>
    </cfRule>
  </conditionalFormatting>
  <conditionalFormatting sqref="BY213">
    <cfRule type="colorScale" priority="5540">
      <colorScale>
        <cfvo type="min"/>
        <cfvo type="percentile" val="50"/>
        <cfvo type="max"/>
        <color rgb="FFF8696B"/>
        <color rgb="FFFFEB84"/>
        <color rgb="FF63BE7B"/>
      </colorScale>
    </cfRule>
  </conditionalFormatting>
  <conditionalFormatting sqref="BY213">
    <cfRule type="colorScale" priority="5539">
      <colorScale>
        <cfvo type="min"/>
        <cfvo type="percentile" val="50"/>
        <cfvo type="max"/>
        <color rgb="FFF8696B"/>
        <color rgb="FFFFEB84"/>
        <color rgb="FF63BE7B"/>
      </colorScale>
    </cfRule>
  </conditionalFormatting>
  <conditionalFormatting sqref="BY213">
    <cfRule type="colorScale" priority="5538">
      <colorScale>
        <cfvo type="min"/>
        <cfvo type="percentile" val="50"/>
        <cfvo type="max"/>
        <color rgb="FF63BE7B"/>
        <color rgb="FFFFEB84"/>
        <color rgb="FFF8696B"/>
      </colorScale>
    </cfRule>
  </conditionalFormatting>
  <conditionalFormatting sqref="BY213">
    <cfRule type="colorScale" priority="5535">
      <colorScale>
        <cfvo type="min"/>
        <cfvo type="max"/>
        <color rgb="FFFCFCFF"/>
        <color rgb="FFF8696B"/>
      </colorScale>
    </cfRule>
    <cfRule type="colorScale" priority="5537">
      <colorScale>
        <cfvo type="min"/>
        <cfvo type="percentile" val="50"/>
        <cfvo type="max"/>
        <color rgb="FF63BE7B"/>
        <color rgb="FFFFEB84"/>
        <color rgb="FFF8696B"/>
      </colorScale>
    </cfRule>
  </conditionalFormatting>
  <conditionalFormatting sqref="BY213">
    <cfRule type="colorScale" priority="5536">
      <colorScale>
        <cfvo type="min"/>
        <cfvo type="max"/>
        <color rgb="FFF8696B"/>
        <color rgb="FFFCFCFF"/>
      </colorScale>
    </cfRule>
  </conditionalFormatting>
  <conditionalFormatting sqref="BY213">
    <cfRule type="colorScale" priority="5534">
      <colorScale>
        <cfvo type="min"/>
        <cfvo type="max"/>
        <color rgb="FFFCFCFF"/>
        <color rgb="FFF8696B"/>
      </colorScale>
    </cfRule>
  </conditionalFormatting>
  <conditionalFormatting sqref="CA211 CA205">
    <cfRule type="colorScale" priority="5533">
      <colorScale>
        <cfvo type="min"/>
        <cfvo type="percentile" val="50"/>
        <cfvo type="max"/>
        <color rgb="FFF8696B"/>
        <color rgb="FFFFEB84"/>
        <color rgb="FF63BE7B"/>
      </colorScale>
    </cfRule>
  </conditionalFormatting>
  <conditionalFormatting sqref="CA205">
    <cfRule type="colorScale" priority="5532">
      <colorScale>
        <cfvo type="min"/>
        <cfvo type="percentile" val="50"/>
        <cfvo type="max"/>
        <color rgb="FFF8696B"/>
        <color rgb="FFFFEB84"/>
        <color rgb="FF63BE7B"/>
      </colorScale>
    </cfRule>
  </conditionalFormatting>
  <conditionalFormatting sqref="CA211 CA205">
    <cfRule type="colorScale" priority="5531">
      <colorScale>
        <cfvo type="min"/>
        <cfvo type="percentile" val="50"/>
        <cfvo type="max"/>
        <color rgb="FF63BE7B"/>
        <color rgb="FFFFEB84"/>
        <color rgb="FFF8696B"/>
      </colorScale>
    </cfRule>
  </conditionalFormatting>
  <conditionalFormatting sqref="CA211 CA205">
    <cfRule type="colorScale" priority="5528">
      <colorScale>
        <cfvo type="min"/>
        <cfvo type="max"/>
        <color rgb="FFFCFCFF"/>
        <color rgb="FFF8696B"/>
      </colorScale>
    </cfRule>
    <cfRule type="colorScale" priority="5530">
      <colorScale>
        <cfvo type="min"/>
        <cfvo type="percentile" val="50"/>
        <cfvo type="max"/>
        <color rgb="FF63BE7B"/>
        <color rgb="FFFFEB84"/>
        <color rgb="FFF8696B"/>
      </colorScale>
    </cfRule>
  </conditionalFormatting>
  <conditionalFormatting sqref="CA211 CA205">
    <cfRule type="colorScale" priority="5529">
      <colorScale>
        <cfvo type="min"/>
        <cfvo type="max"/>
        <color rgb="FFF8696B"/>
        <color rgb="FFFCFCFF"/>
      </colorScale>
    </cfRule>
  </conditionalFormatting>
  <conditionalFormatting sqref="CA213">
    <cfRule type="colorScale" priority="5527">
      <colorScale>
        <cfvo type="min"/>
        <cfvo type="percentile" val="50"/>
        <cfvo type="max"/>
        <color rgb="FFF8696B"/>
        <color rgb="FFFFEB84"/>
        <color rgb="FF63BE7B"/>
      </colorScale>
    </cfRule>
  </conditionalFormatting>
  <conditionalFormatting sqref="CA213">
    <cfRule type="colorScale" priority="5526">
      <colorScale>
        <cfvo type="min"/>
        <cfvo type="percentile" val="50"/>
        <cfvo type="max"/>
        <color rgb="FFF8696B"/>
        <color rgb="FFFFEB84"/>
        <color rgb="FF63BE7B"/>
      </colorScale>
    </cfRule>
  </conditionalFormatting>
  <conditionalFormatting sqref="CA213">
    <cfRule type="colorScale" priority="5525">
      <colorScale>
        <cfvo type="min"/>
        <cfvo type="percentile" val="50"/>
        <cfvo type="max"/>
        <color rgb="FFF8696B"/>
        <color rgb="FFFFEB84"/>
        <color rgb="FF63BE7B"/>
      </colorScale>
    </cfRule>
  </conditionalFormatting>
  <conditionalFormatting sqref="CA213">
    <cfRule type="colorScale" priority="5524">
      <colorScale>
        <cfvo type="min"/>
        <cfvo type="percentile" val="50"/>
        <cfvo type="max"/>
        <color rgb="FF63BE7B"/>
        <color rgb="FFFFEB84"/>
        <color rgb="FFF8696B"/>
      </colorScale>
    </cfRule>
  </conditionalFormatting>
  <conditionalFormatting sqref="CA213">
    <cfRule type="colorScale" priority="5521">
      <colorScale>
        <cfvo type="min"/>
        <cfvo type="max"/>
        <color rgb="FFFCFCFF"/>
        <color rgb="FFF8696B"/>
      </colorScale>
    </cfRule>
    <cfRule type="colorScale" priority="5523">
      <colorScale>
        <cfvo type="min"/>
        <cfvo type="percentile" val="50"/>
        <cfvo type="max"/>
        <color rgb="FF63BE7B"/>
        <color rgb="FFFFEB84"/>
        <color rgb="FFF8696B"/>
      </colorScale>
    </cfRule>
  </conditionalFormatting>
  <conditionalFormatting sqref="CA213">
    <cfRule type="colorScale" priority="5522">
      <colorScale>
        <cfvo type="min"/>
        <cfvo type="max"/>
        <color rgb="FFF8696B"/>
        <color rgb="FFFCFCFF"/>
      </colorScale>
    </cfRule>
  </conditionalFormatting>
  <conditionalFormatting sqref="CA205">
    <cfRule type="colorScale" priority="5520">
      <colorScale>
        <cfvo type="min"/>
        <cfvo type="percentile" val="50"/>
        <cfvo type="max"/>
        <color rgb="FFF8696B"/>
        <color rgb="FFFFEB84"/>
        <color rgb="FF63BE7B"/>
      </colorScale>
    </cfRule>
  </conditionalFormatting>
  <conditionalFormatting sqref="CA211">
    <cfRule type="colorScale" priority="5519">
      <colorScale>
        <cfvo type="min"/>
        <cfvo type="percentile" val="50"/>
        <cfvo type="max"/>
        <color rgb="FFF8696B"/>
        <color rgb="FFFFEB84"/>
        <color rgb="FF63BE7B"/>
      </colorScale>
    </cfRule>
  </conditionalFormatting>
  <conditionalFormatting sqref="CA211 CA205 CA213">
    <cfRule type="colorScale" priority="5518">
      <colorScale>
        <cfvo type="min"/>
        <cfvo type="max"/>
        <color rgb="FFFCFCFF"/>
        <color rgb="FFF8696B"/>
      </colorScale>
    </cfRule>
  </conditionalFormatting>
  <conditionalFormatting sqref="BW185">
    <cfRule type="colorScale" priority="5517">
      <colorScale>
        <cfvo type="min"/>
        <cfvo type="percentile" val="50"/>
        <cfvo type="max"/>
        <color rgb="FFF8696B"/>
        <color rgb="FFFFEB84"/>
        <color rgb="FF63BE7B"/>
      </colorScale>
    </cfRule>
  </conditionalFormatting>
  <conditionalFormatting sqref="BW185">
    <cfRule type="colorScale" priority="5516">
      <colorScale>
        <cfvo type="min"/>
        <cfvo type="percentile" val="50"/>
        <cfvo type="max"/>
        <color rgb="FFF8696B"/>
        <color rgb="FFFFEB84"/>
        <color rgb="FF63BE7B"/>
      </colorScale>
    </cfRule>
  </conditionalFormatting>
  <conditionalFormatting sqref="BW185">
    <cfRule type="colorScale" priority="5515">
      <colorScale>
        <cfvo type="min"/>
        <cfvo type="percentile" val="50"/>
        <cfvo type="max"/>
        <color rgb="FF63BE7B"/>
        <color rgb="FFFFEB84"/>
        <color rgb="FFF8696B"/>
      </colorScale>
    </cfRule>
  </conditionalFormatting>
  <conditionalFormatting sqref="BW185">
    <cfRule type="colorScale" priority="5512">
      <colorScale>
        <cfvo type="min"/>
        <cfvo type="max"/>
        <color rgb="FFFCFCFF"/>
        <color rgb="FFF8696B"/>
      </colorScale>
    </cfRule>
    <cfRule type="colorScale" priority="5514">
      <colorScale>
        <cfvo type="min"/>
        <cfvo type="percentile" val="50"/>
        <cfvo type="max"/>
        <color rgb="FF63BE7B"/>
        <color rgb="FFFFEB84"/>
        <color rgb="FFF8696B"/>
      </colorScale>
    </cfRule>
  </conditionalFormatting>
  <conditionalFormatting sqref="BW185">
    <cfRule type="colorScale" priority="5513">
      <colorScale>
        <cfvo type="min"/>
        <cfvo type="max"/>
        <color rgb="FFF8696B"/>
        <color rgb="FFFCFCFF"/>
      </colorScale>
    </cfRule>
  </conditionalFormatting>
  <conditionalFormatting sqref="BW185">
    <cfRule type="colorScale" priority="5511">
      <colorScale>
        <cfvo type="min"/>
        <cfvo type="max"/>
        <color rgb="FFFCFCFF"/>
        <color rgb="FFF8696B"/>
      </colorScale>
    </cfRule>
  </conditionalFormatting>
  <conditionalFormatting sqref="BY185">
    <cfRule type="colorScale" priority="5510">
      <colorScale>
        <cfvo type="min"/>
        <cfvo type="percentile" val="50"/>
        <cfvo type="max"/>
        <color rgb="FFF8696B"/>
        <color rgb="FFFFEB84"/>
        <color rgb="FF63BE7B"/>
      </colorScale>
    </cfRule>
  </conditionalFormatting>
  <conditionalFormatting sqref="BY185">
    <cfRule type="colorScale" priority="5509">
      <colorScale>
        <cfvo type="min"/>
        <cfvo type="percentile" val="50"/>
        <cfvo type="max"/>
        <color rgb="FFF8696B"/>
        <color rgb="FFFFEB84"/>
        <color rgb="FF63BE7B"/>
      </colorScale>
    </cfRule>
  </conditionalFormatting>
  <conditionalFormatting sqref="BY185">
    <cfRule type="colorScale" priority="5508">
      <colorScale>
        <cfvo type="min"/>
        <cfvo type="percentile" val="50"/>
        <cfvo type="max"/>
        <color rgb="FF63BE7B"/>
        <color rgb="FFFFEB84"/>
        <color rgb="FFF8696B"/>
      </colorScale>
    </cfRule>
  </conditionalFormatting>
  <conditionalFormatting sqref="BY185">
    <cfRule type="colorScale" priority="5505">
      <colorScale>
        <cfvo type="min"/>
        <cfvo type="max"/>
        <color rgb="FFFCFCFF"/>
        <color rgb="FFF8696B"/>
      </colorScale>
    </cfRule>
    <cfRule type="colorScale" priority="5507">
      <colorScale>
        <cfvo type="min"/>
        <cfvo type="percentile" val="50"/>
        <cfvo type="max"/>
        <color rgb="FF63BE7B"/>
        <color rgb="FFFFEB84"/>
        <color rgb="FFF8696B"/>
      </colorScale>
    </cfRule>
  </conditionalFormatting>
  <conditionalFormatting sqref="BY185">
    <cfRule type="colorScale" priority="5506">
      <colorScale>
        <cfvo type="min"/>
        <cfvo type="max"/>
        <color rgb="FFF8696B"/>
        <color rgb="FFFCFCFF"/>
      </colorScale>
    </cfRule>
  </conditionalFormatting>
  <conditionalFormatting sqref="BY185">
    <cfRule type="colorScale" priority="5504">
      <colorScale>
        <cfvo type="min"/>
        <cfvo type="max"/>
        <color rgb="FFFCFCFF"/>
        <color rgb="FFF8696B"/>
      </colorScale>
    </cfRule>
  </conditionalFormatting>
  <conditionalFormatting sqref="CA185">
    <cfRule type="colorScale" priority="5503">
      <colorScale>
        <cfvo type="min"/>
        <cfvo type="percentile" val="50"/>
        <cfvo type="max"/>
        <color rgb="FFF8696B"/>
        <color rgb="FFFFEB84"/>
        <color rgb="FF63BE7B"/>
      </colorScale>
    </cfRule>
  </conditionalFormatting>
  <conditionalFormatting sqref="CA185">
    <cfRule type="colorScale" priority="5502">
      <colorScale>
        <cfvo type="min"/>
        <cfvo type="percentile" val="50"/>
        <cfvo type="max"/>
        <color rgb="FFF8696B"/>
        <color rgb="FFFFEB84"/>
        <color rgb="FF63BE7B"/>
      </colorScale>
    </cfRule>
  </conditionalFormatting>
  <conditionalFormatting sqref="CA185">
    <cfRule type="colorScale" priority="5501">
      <colorScale>
        <cfvo type="min"/>
        <cfvo type="percentile" val="50"/>
        <cfvo type="max"/>
        <color rgb="FF63BE7B"/>
        <color rgb="FFFFEB84"/>
        <color rgb="FFF8696B"/>
      </colorScale>
    </cfRule>
  </conditionalFormatting>
  <conditionalFormatting sqref="CA185">
    <cfRule type="colorScale" priority="5498">
      <colorScale>
        <cfvo type="min"/>
        <cfvo type="max"/>
        <color rgb="FFFCFCFF"/>
        <color rgb="FFF8696B"/>
      </colorScale>
    </cfRule>
    <cfRule type="colorScale" priority="5500">
      <colorScale>
        <cfvo type="min"/>
        <cfvo type="percentile" val="50"/>
        <cfvo type="max"/>
        <color rgb="FF63BE7B"/>
        <color rgb="FFFFEB84"/>
        <color rgb="FFF8696B"/>
      </colorScale>
    </cfRule>
  </conditionalFormatting>
  <conditionalFormatting sqref="CA185">
    <cfRule type="colorScale" priority="5499">
      <colorScale>
        <cfvo type="min"/>
        <cfvo type="max"/>
        <color rgb="FFF8696B"/>
        <color rgb="FFFCFCFF"/>
      </colorScale>
    </cfRule>
  </conditionalFormatting>
  <conditionalFormatting sqref="CA185">
    <cfRule type="colorScale" priority="5497">
      <colorScale>
        <cfvo type="min"/>
        <cfvo type="max"/>
        <color rgb="FFFCFCFF"/>
        <color rgb="FFF8696B"/>
      </colorScale>
    </cfRule>
  </conditionalFormatting>
  <conditionalFormatting sqref="BQ228 BO228 BS228 BU228 BW248 BU254">
    <cfRule type="colorScale" priority="5496">
      <colorScale>
        <cfvo type="min"/>
        <cfvo type="percentile" val="50"/>
        <cfvo type="max"/>
        <color rgb="FFF8696B"/>
        <color rgb="FFFFEB84"/>
        <color rgb="FF63BE7B"/>
      </colorScale>
    </cfRule>
  </conditionalFormatting>
  <conditionalFormatting sqref="BW248">
    <cfRule type="colorScale" priority="5495">
      <colorScale>
        <cfvo type="min"/>
        <cfvo type="percentile" val="50"/>
        <cfvo type="max"/>
        <color rgb="FFF8696B"/>
        <color rgb="FFFFEB84"/>
        <color rgb="FF63BE7B"/>
      </colorScale>
    </cfRule>
  </conditionalFormatting>
  <conditionalFormatting sqref="BQ228 BO228 BS228 BU228">
    <cfRule type="colorScale" priority="5494">
      <colorScale>
        <cfvo type="min"/>
        <cfvo type="percentile" val="50"/>
        <cfvo type="max"/>
        <color rgb="FFF8696B"/>
        <color rgb="FFFFEB84"/>
        <color rgb="FF63BE7B"/>
      </colorScale>
    </cfRule>
  </conditionalFormatting>
  <conditionalFormatting sqref="BQ228 BO228 BS228 BU228 BW248 BU254">
    <cfRule type="colorScale" priority="5493">
      <colorScale>
        <cfvo type="min"/>
        <cfvo type="percentile" val="50"/>
        <cfvo type="max"/>
        <color rgb="FF63BE7B"/>
        <color rgb="FFFFEB84"/>
        <color rgb="FFF8696B"/>
      </colorScale>
    </cfRule>
  </conditionalFormatting>
  <conditionalFormatting sqref="BO228 BQ228 BS228 BU228 BW248 BU254">
    <cfRule type="colorScale" priority="5490">
      <colorScale>
        <cfvo type="min"/>
        <cfvo type="max"/>
        <color rgb="FFFCFCFF"/>
        <color rgb="FFF8696B"/>
      </colorScale>
    </cfRule>
    <cfRule type="colorScale" priority="5492">
      <colorScale>
        <cfvo type="min"/>
        <cfvo type="percentile" val="50"/>
        <cfvo type="max"/>
        <color rgb="FF63BE7B"/>
        <color rgb="FFFFEB84"/>
        <color rgb="FFF8696B"/>
      </colorScale>
    </cfRule>
  </conditionalFormatting>
  <conditionalFormatting sqref="BQ228 BO228 BS228 BU228 BW248 BU254">
    <cfRule type="colorScale" priority="5491">
      <colorScale>
        <cfvo type="min"/>
        <cfvo type="max"/>
        <color rgb="FFF8696B"/>
        <color rgb="FFFCFCFF"/>
      </colorScale>
    </cfRule>
  </conditionalFormatting>
  <conditionalFormatting sqref="BS256">
    <cfRule type="colorScale" priority="5489">
      <colorScale>
        <cfvo type="min"/>
        <cfvo type="percentile" val="50"/>
        <cfvo type="max"/>
        <color rgb="FFF8696B"/>
        <color rgb="FFFFEB84"/>
        <color rgb="FF63BE7B"/>
      </colorScale>
    </cfRule>
  </conditionalFormatting>
  <conditionalFormatting sqref="BS256">
    <cfRule type="colorScale" priority="5488">
      <colorScale>
        <cfvo type="min"/>
        <cfvo type="percentile" val="50"/>
        <cfvo type="max"/>
        <color rgb="FFF8696B"/>
        <color rgb="FFFFEB84"/>
        <color rgb="FF63BE7B"/>
      </colorScale>
    </cfRule>
  </conditionalFormatting>
  <conditionalFormatting sqref="BS256">
    <cfRule type="colorScale" priority="5487">
      <colorScale>
        <cfvo type="min"/>
        <cfvo type="percentile" val="50"/>
        <cfvo type="max"/>
        <color rgb="FFF8696B"/>
        <color rgb="FFFFEB84"/>
        <color rgb="FF63BE7B"/>
      </colorScale>
    </cfRule>
  </conditionalFormatting>
  <conditionalFormatting sqref="BS256">
    <cfRule type="colorScale" priority="5486">
      <colorScale>
        <cfvo type="min"/>
        <cfvo type="percentile" val="50"/>
        <cfvo type="max"/>
        <color rgb="FF63BE7B"/>
        <color rgb="FFFFEB84"/>
        <color rgb="FFF8696B"/>
      </colorScale>
    </cfRule>
  </conditionalFormatting>
  <conditionalFormatting sqref="BS256">
    <cfRule type="colorScale" priority="5483">
      <colorScale>
        <cfvo type="min"/>
        <cfvo type="max"/>
        <color rgb="FFFCFCFF"/>
        <color rgb="FFF8696B"/>
      </colorScale>
    </cfRule>
    <cfRule type="colorScale" priority="5485">
      <colorScale>
        <cfvo type="min"/>
        <cfvo type="percentile" val="50"/>
        <cfvo type="max"/>
        <color rgb="FF63BE7B"/>
        <color rgb="FFFFEB84"/>
        <color rgb="FFF8696B"/>
      </colorScale>
    </cfRule>
  </conditionalFormatting>
  <conditionalFormatting sqref="BS256">
    <cfRule type="colorScale" priority="5484">
      <colorScale>
        <cfvo type="min"/>
        <cfvo type="max"/>
        <color rgb="FFF8696B"/>
        <color rgb="FFFCFCFF"/>
      </colorScale>
    </cfRule>
  </conditionalFormatting>
  <conditionalFormatting sqref="BU256">
    <cfRule type="colorScale" priority="5482">
      <colorScale>
        <cfvo type="min"/>
        <cfvo type="percentile" val="50"/>
        <cfvo type="max"/>
        <color rgb="FFF8696B"/>
        <color rgb="FFFFEB84"/>
        <color rgb="FF63BE7B"/>
      </colorScale>
    </cfRule>
  </conditionalFormatting>
  <conditionalFormatting sqref="BU256">
    <cfRule type="colorScale" priority="5481">
      <colorScale>
        <cfvo type="min"/>
        <cfvo type="percentile" val="50"/>
        <cfvo type="max"/>
        <color rgb="FFF8696B"/>
        <color rgb="FFFFEB84"/>
        <color rgb="FF63BE7B"/>
      </colorScale>
    </cfRule>
  </conditionalFormatting>
  <conditionalFormatting sqref="BU256">
    <cfRule type="colorScale" priority="5480">
      <colorScale>
        <cfvo type="min"/>
        <cfvo type="percentile" val="50"/>
        <cfvo type="max"/>
        <color rgb="FFF8696B"/>
        <color rgb="FFFFEB84"/>
        <color rgb="FF63BE7B"/>
      </colorScale>
    </cfRule>
  </conditionalFormatting>
  <conditionalFormatting sqref="BU256">
    <cfRule type="colorScale" priority="5479">
      <colorScale>
        <cfvo type="min"/>
        <cfvo type="percentile" val="50"/>
        <cfvo type="max"/>
        <color rgb="FF63BE7B"/>
        <color rgb="FFFFEB84"/>
        <color rgb="FFF8696B"/>
      </colorScale>
    </cfRule>
  </conditionalFormatting>
  <conditionalFormatting sqref="BU256">
    <cfRule type="colorScale" priority="5476">
      <colorScale>
        <cfvo type="min"/>
        <cfvo type="max"/>
        <color rgb="FFFCFCFF"/>
        <color rgb="FFF8696B"/>
      </colorScale>
    </cfRule>
    <cfRule type="colorScale" priority="5478">
      <colorScale>
        <cfvo type="min"/>
        <cfvo type="percentile" val="50"/>
        <cfvo type="max"/>
        <color rgb="FF63BE7B"/>
        <color rgb="FFFFEB84"/>
        <color rgb="FFF8696B"/>
      </colorScale>
    </cfRule>
  </conditionalFormatting>
  <conditionalFormatting sqref="BU256">
    <cfRule type="colorScale" priority="5477">
      <colorScale>
        <cfvo type="min"/>
        <cfvo type="max"/>
        <color rgb="FFF8696B"/>
        <color rgb="FFFCFCFF"/>
      </colorScale>
    </cfRule>
  </conditionalFormatting>
  <conditionalFormatting sqref="BW256">
    <cfRule type="colorScale" priority="5475">
      <colorScale>
        <cfvo type="min"/>
        <cfvo type="percentile" val="50"/>
        <cfvo type="max"/>
        <color rgb="FFF8696B"/>
        <color rgb="FFFFEB84"/>
        <color rgb="FF63BE7B"/>
      </colorScale>
    </cfRule>
  </conditionalFormatting>
  <conditionalFormatting sqref="BW256">
    <cfRule type="colorScale" priority="5474">
      <colorScale>
        <cfvo type="min"/>
        <cfvo type="percentile" val="50"/>
        <cfvo type="max"/>
        <color rgb="FFF8696B"/>
        <color rgb="FFFFEB84"/>
        <color rgb="FF63BE7B"/>
      </colorScale>
    </cfRule>
  </conditionalFormatting>
  <conditionalFormatting sqref="BW256">
    <cfRule type="colorScale" priority="5473">
      <colorScale>
        <cfvo type="min"/>
        <cfvo type="percentile" val="50"/>
        <cfvo type="max"/>
        <color rgb="FFF8696B"/>
        <color rgb="FFFFEB84"/>
        <color rgb="FF63BE7B"/>
      </colorScale>
    </cfRule>
  </conditionalFormatting>
  <conditionalFormatting sqref="BW256">
    <cfRule type="colorScale" priority="5472">
      <colorScale>
        <cfvo type="min"/>
        <cfvo type="percentile" val="50"/>
        <cfvo type="max"/>
        <color rgb="FF63BE7B"/>
        <color rgb="FFFFEB84"/>
        <color rgb="FFF8696B"/>
      </colorScale>
    </cfRule>
  </conditionalFormatting>
  <conditionalFormatting sqref="BW256">
    <cfRule type="colorScale" priority="5469">
      <colorScale>
        <cfvo type="min"/>
        <cfvo type="max"/>
        <color rgb="FFFCFCFF"/>
        <color rgb="FFF8696B"/>
      </colorScale>
    </cfRule>
    <cfRule type="colorScale" priority="5471">
      <colorScale>
        <cfvo type="min"/>
        <cfvo type="percentile" val="50"/>
        <cfvo type="max"/>
        <color rgb="FF63BE7B"/>
        <color rgb="FFFFEB84"/>
        <color rgb="FFF8696B"/>
      </colorScale>
    </cfRule>
  </conditionalFormatting>
  <conditionalFormatting sqref="BW256">
    <cfRule type="colorScale" priority="5470">
      <colorScale>
        <cfvo type="min"/>
        <cfvo type="max"/>
        <color rgb="FFF8696B"/>
        <color rgb="FFFCFCFF"/>
      </colorScale>
    </cfRule>
  </conditionalFormatting>
  <conditionalFormatting sqref="BW248">
    <cfRule type="colorScale" priority="5468">
      <colorScale>
        <cfvo type="min"/>
        <cfvo type="percentile" val="50"/>
        <cfvo type="max"/>
        <color rgb="FFF8696B"/>
        <color rgb="FFFFEB84"/>
        <color rgb="FF63BE7B"/>
      </colorScale>
    </cfRule>
  </conditionalFormatting>
  <conditionalFormatting sqref="BU254">
    <cfRule type="colorScale" priority="5467">
      <colorScale>
        <cfvo type="min"/>
        <cfvo type="percentile" val="50"/>
        <cfvo type="max"/>
        <color rgb="FFF8696B"/>
        <color rgb="FFFFEB84"/>
        <color rgb="FF63BE7B"/>
      </colorScale>
    </cfRule>
  </conditionalFormatting>
  <conditionalFormatting sqref="BQ228 BO228 BS228 BU228 BQ233 BO233 BW248 BU254 BS256 BU256 BW256">
    <cfRule type="colorScale" priority="5466">
      <colorScale>
        <cfvo type="min"/>
        <cfvo type="max"/>
        <color rgb="FFFCFCFF"/>
        <color rgb="FFF8696B"/>
      </colorScale>
    </cfRule>
  </conditionalFormatting>
  <conditionalFormatting sqref="BY249">
    <cfRule type="colorScale" priority="5465">
      <colorScale>
        <cfvo type="min"/>
        <cfvo type="percentile" val="50"/>
        <cfvo type="max"/>
        <color rgb="FFF8696B"/>
        <color rgb="FFFFEB84"/>
        <color rgb="FF63BE7B"/>
      </colorScale>
    </cfRule>
  </conditionalFormatting>
  <conditionalFormatting sqref="BY249">
    <cfRule type="colorScale" priority="5464">
      <colorScale>
        <cfvo type="min"/>
        <cfvo type="percentile" val="50"/>
        <cfvo type="max"/>
        <color rgb="FFF8696B"/>
        <color rgb="FFFFEB84"/>
        <color rgb="FF63BE7B"/>
      </colorScale>
    </cfRule>
  </conditionalFormatting>
  <conditionalFormatting sqref="BY249">
    <cfRule type="colorScale" priority="5463">
      <colorScale>
        <cfvo type="min"/>
        <cfvo type="percentile" val="50"/>
        <cfvo type="max"/>
        <color rgb="FF63BE7B"/>
        <color rgb="FFFFEB84"/>
        <color rgb="FFF8696B"/>
      </colorScale>
    </cfRule>
  </conditionalFormatting>
  <conditionalFormatting sqref="BY249">
    <cfRule type="colorScale" priority="5460">
      <colorScale>
        <cfvo type="min"/>
        <cfvo type="max"/>
        <color rgb="FFFCFCFF"/>
        <color rgb="FFF8696B"/>
      </colorScale>
    </cfRule>
    <cfRule type="colorScale" priority="5462">
      <colorScale>
        <cfvo type="min"/>
        <cfvo type="percentile" val="50"/>
        <cfvo type="max"/>
        <color rgb="FF63BE7B"/>
        <color rgb="FFFFEB84"/>
        <color rgb="FFF8696B"/>
      </colorScale>
    </cfRule>
  </conditionalFormatting>
  <conditionalFormatting sqref="BY249">
    <cfRule type="colorScale" priority="5461">
      <colorScale>
        <cfvo type="min"/>
        <cfvo type="max"/>
        <color rgb="FFF8696B"/>
        <color rgb="FFFCFCFF"/>
      </colorScale>
    </cfRule>
  </conditionalFormatting>
  <conditionalFormatting sqref="BY256">
    <cfRule type="colorScale" priority="5459">
      <colorScale>
        <cfvo type="min"/>
        <cfvo type="percentile" val="50"/>
        <cfvo type="max"/>
        <color rgb="FFF8696B"/>
        <color rgb="FFFFEB84"/>
        <color rgb="FF63BE7B"/>
      </colorScale>
    </cfRule>
  </conditionalFormatting>
  <conditionalFormatting sqref="BY256">
    <cfRule type="colorScale" priority="5458">
      <colorScale>
        <cfvo type="min"/>
        <cfvo type="percentile" val="50"/>
        <cfvo type="max"/>
        <color rgb="FFF8696B"/>
        <color rgb="FFFFEB84"/>
        <color rgb="FF63BE7B"/>
      </colorScale>
    </cfRule>
  </conditionalFormatting>
  <conditionalFormatting sqref="BY256">
    <cfRule type="colorScale" priority="5457">
      <colorScale>
        <cfvo type="min"/>
        <cfvo type="percentile" val="50"/>
        <cfvo type="max"/>
        <color rgb="FFF8696B"/>
        <color rgb="FFFFEB84"/>
        <color rgb="FF63BE7B"/>
      </colorScale>
    </cfRule>
  </conditionalFormatting>
  <conditionalFormatting sqref="BY256">
    <cfRule type="colorScale" priority="5456">
      <colorScale>
        <cfvo type="min"/>
        <cfvo type="percentile" val="50"/>
        <cfvo type="max"/>
        <color rgb="FF63BE7B"/>
        <color rgb="FFFFEB84"/>
        <color rgb="FFF8696B"/>
      </colorScale>
    </cfRule>
  </conditionalFormatting>
  <conditionalFormatting sqref="BY256">
    <cfRule type="colorScale" priority="5453">
      <colorScale>
        <cfvo type="min"/>
        <cfvo type="max"/>
        <color rgb="FFFCFCFF"/>
        <color rgb="FFF8696B"/>
      </colorScale>
    </cfRule>
    <cfRule type="colorScale" priority="5455">
      <colorScale>
        <cfvo type="min"/>
        <cfvo type="percentile" val="50"/>
        <cfvo type="max"/>
        <color rgb="FF63BE7B"/>
        <color rgb="FFFFEB84"/>
        <color rgb="FFF8696B"/>
      </colorScale>
    </cfRule>
  </conditionalFormatting>
  <conditionalFormatting sqref="BY256">
    <cfRule type="colorScale" priority="5454">
      <colorScale>
        <cfvo type="min"/>
        <cfvo type="max"/>
        <color rgb="FFF8696B"/>
        <color rgb="FFFCFCFF"/>
      </colorScale>
    </cfRule>
  </conditionalFormatting>
  <conditionalFormatting sqref="BY249">
    <cfRule type="colorScale" priority="5452">
      <colorScale>
        <cfvo type="min"/>
        <cfvo type="percentile" val="50"/>
        <cfvo type="max"/>
        <color rgb="FFF8696B"/>
        <color rgb="FFFFEB84"/>
        <color rgb="FF63BE7B"/>
      </colorScale>
    </cfRule>
  </conditionalFormatting>
  <conditionalFormatting sqref="BY249 BY256">
    <cfRule type="colorScale" priority="5451">
      <colorScale>
        <cfvo type="min"/>
        <cfvo type="max"/>
        <color rgb="FFFCFCFF"/>
        <color rgb="FFF8696B"/>
      </colorScale>
    </cfRule>
  </conditionalFormatting>
  <conditionalFormatting sqref="CA250">
    <cfRule type="colorScale" priority="5450">
      <colorScale>
        <cfvo type="min"/>
        <cfvo type="percentile" val="50"/>
        <cfvo type="max"/>
        <color rgb="FFF8696B"/>
        <color rgb="FFFFEB84"/>
        <color rgb="FF63BE7B"/>
      </colorScale>
    </cfRule>
  </conditionalFormatting>
  <conditionalFormatting sqref="CA250">
    <cfRule type="colorScale" priority="5449">
      <colorScale>
        <cfvo type="min"/>
        <cfvo type="percentile" val="50"/>
        <cfvo type="max"/>
        <color rgb="FFF8696B"/>
        <color rgb="FFFFEB84"/>
        <color rgb="FF63BE7B"/>
      </colorScale>
    </cfRule>
  </conditionalFormatting>
  <conditionalFormatting sqref="CA250">
    <cfRule type="colorScale" priority="5448">
      <colorScale>
        <cfvo type="min"/>
        <cfvo type="percentile" val="50"/>
        <cfvo type="max"/>
        <color rgb="FF63BE7B"/>
        <color rgb="FFFFEB84"/>
        <color rgb="FFF8696B"/>
      </colorScale>
    </cfRule>
  </conditionalFormatting>
  <conditionalFormatting sqref="CA250">
    <cfRule type="colorScale" priority="5445">
      <colorScale>
        <cfvo type="min"/>
        <cfvo type="max"/>
        <color rgb="FFFCFCFF"/>
        <color rgb="FFF8696B"/>
      </colorScale>
    </cfRule>
    <cfRule type="colorScale" priority="5447">
      <colorScale>
        <cfvo type="min"/>
        <cfvo type="percentile" val="50"/>
        <cfvo type="max"/>
        <color rgb="FF63BE7B"/>
        <color rgb="FFFFEB84"/>
        <color rgb="FFF8696B"/>
      </colorScale>
    </cfRule>
  </conditionalFormatting>
  <conditionalFormatting sqref="CA250">
    <cfRule type="colorScale" priority="5446">
      <colorScale>
        <cfvo type="min"/>
        <cfvo type="max"/>
        <color rgb="FFF8696B"/>
        <color rgb="FFFCFCFF"/>
      </colorScale>
    </cfRule>
  </conditionalFormatting>
  <conditionalFormatting sqref="CA256">
    <cfRule type="colorScale" priority="5444">
      <colorScale>
        <cfvo type="min"/>
        <cfvo type="percentile" val="50"/>
        <cfvo type="max"/>
        <color rgb="FFF8696B"/>
        <color rgb="FFFFEB84"/>
        <color rgb="FF63BE7B"/>
      </colorScale>
    </cfRule>
  </conditionalFormatting>
  <conditionalFormatting sqref="CA256">
    <cfRule type="colorScale" priority="5443">
      <colorScale>
        <cfvo type="min"/>
        <cfvo type="percentile" val="50"/>
        <cfvo type="max"/>
        <color rgb="FFF8696B"/>
        <color rgb="FFFFEB84"/>
        <color rgb="FF63BE7B"/>
      </colorScale>
    </cfRule>
  </conditionalFormatting>
  <conditionalFormatting sqref="CA256">
    <cfRule type="colorScale" priority="5442">
      <colorScale>
        <cfvo type="min"/>
        <cfvo type="percentile" val="50"/>
        <cfvo type="max"/>
        <color rgb="FFF8696B"/>
        <color rgb="FFFFEB84"/>
        <color rgb="FF63BE7B"/>
      </colorScale>
    </cfRule>
  </conditionalFormatting>
  <conditionalFormatting sqref="CA256">
    <cfRule type="colorScale" priority="5441">
      <colorScale>
        <cfvo type="min"/>
        <cfvo type="percentile" val="50"/>
        <cfvo type="max"/>
        <color rgb="FF63BE7B"/>
        <color rgb="FFFFEB84"/>
        <color rgb="FFF8696B"/>
      </colorScale>
    </cfRule>
  </conditionalFormatting>
  <conditionalFormatting sqref="CA256">
    <cfRule type="colorScale" priority="5438">
      <colorScale>
        <cfvo type="min"/>
        <cfvo type="max"/>
        <color rgb="FFFCFCFF"/>
        <color rgb="FFF8696B"/>
      </colorScale>
    </cfRule>
    <cfRule type="colorScale" priority="5440">
      <colorScale>
        <cfvo type="min"/>
        <cfvo type="percentile" val="50"/>
        <cfvo type="max"/>
        <color rgb="FF63BE7B"/>
        <color rgb="FFFFEB84"/>
        <color rgb="FFF8696B"/>
      </colorScale>
    </cfRule>
  </conditionalFormatting>
  <conditionalFormatting sqref="CA256">
    <cfRule type="colorScale" priority="5439">
      <colorScale>
        <cfvo type="min"/>
        <cfvo type="max"/>
        <color rgb="FFF8696B"/>
        <color rgb="FFFCFCFF"/>
      </colorScale>
    </cfRule>
  </conditionalFormatting>
  <conditionalFormatting sqref="CA250">
    <cfRule type="colorScale" priority="5437">
      <colorScale>
        <cfvo type="min"/>
        <cfvo type="percentile" val="50"/>
        <cfvo type="max"/>
        <color rgb="FFF8696B"/>
        <color rgb="FFFFEB84"/>
        <color rgb="FF63BE7B"/>
      </colorScale>
    </cfRule>
  </conditionalFormatting>
  <conditionalFormatting sqref="CA250 CA256">
    <cfRule type="colorScale" priority="5436">
      <colorScale>
        <cfvo type="min"/>
        <cfvo type="max"/>
        <color rgb="FFFCFCFF"/>
        <color rgb="FFF8696B"/>
      </colorScale>
    </cfRule>
  </conditionalFormatting>
  <conditionalFormatting sqref="BW228">
    <cfRule type="colorScale" priority="5435">
      <colorScale>
        <cfvo type="min"/>
        <cfvo type="percentile" val="50"/>
        <cfvo type="max"/>
        <color rgb="FFF8696B"/>
        <color rgb="FFFFEB84"/>
        <color rgb="FF63BE7B"/>
      </colorScale>
    </cfRule>
  </conditionalFormatting>
  <conditionalFormatting sqref="BW228">
    <cfRule type="colorScale" priority="5434">
      <colorScale>
        <cfvo type="min"/>
        <cfvo type="percentile" val="50"/>
        <cfvo type="max"/>
        <color rgb="FFF8696B"/>
        <color rgb="FFFFEB84"/>
        <color rgb="FF63BE7B"/>
      </colorScale>
    </cfRule>
  </conditionalFormatting>
  <conditionalFormatting sqref="BW228">
    <cfRule type="colorScale" priority="5433">
      <colorScale>
        <cfvo type="min"/>
        <cfvo type="percentile" val="50"/>
        <cfvo type="max"/>
        <color rgb="FF63BE7B"/>
        <color rgb="FFFFEB84"/>
        <color rgb="FFF8696B"/>
      </colorScale>
    </cfRule>
  </conditionalFormatting>
  <conditionalFormatting sqref="BW228">
    <cfRule type="colorScale" priority="5430">
      <colorScale>
        <cfvo type="min"/>
        <cfvo type="max"/>
        <color rgb="FFFCFCFF"/>
        <color rgb="FFF8696B"/>
      </colorScale>
    </cfRule>
    <cfRule type="colorScale" priority="5432">
      <colorScale>
        <cfvo type="min"/>
        <cfvo type="percentile" val="50"/>
        <cfvo type="max"/>
        <color rgb="FF63BE7B"/>
        <color rgb="FFFFEB84"/>
        <color rgb="FFF8696B"/>
      </colorScale>
    </cfRule>
  </conditionalFormatting>
  <conditionalFormatting sqref="BW228">
    <cfRule type="colorScale" priority="5431">
      <colorScale>
        <cfvo type="min"/>
        <cfvo type="max"/>
        <color rgb="FFF8696B"/>
        <color rgb="FFFCFCFF"/>
      </colorScale>
    </cfRule>
  </conditionalFormatting>
  <conditionalFormatting sqref="BW228">
    <cfRule type="colorScale" priority="5429">
      <colorScale>
        <cfvo type="min"/>
        <cfvo type="max"/>
        <color rgb="FFFCFCFF"/>
        <color rgb="FFF8696B"/>
      </colorScale>
    </cfRule>
  </conditionalFormatting>
  <conditionalFormatting sqref="BY228">
    <cfRule type="colorScale" priority="5428">
      <colorScale>
        <cfvo type="min"/>
        <cfvo type="percentile" val="50"/>
        <cfvo type="max"/>
        <color rgb="FFF8696B"/>
        <color rgb="FFFFEB84"/>
        <color rgb="FF63BE7B"/>
      </colorScale>
    </cfRule>
  </conditionalFormatting>
  <conditionalFormatting sqref="BY228">
    <cfRule type="colorScale" priority="5427">
      <colorScale>
        <cfvo type="min"/>
        <cfvo type="percentile" val="50"/>
        <cfvo type="max"/>
        <color rgb="FFF8696B"/>
        <color rgb="FFFFEB84"/>
        <color rgb="FF63BE7B"/>
      </colorScale>
    </cfRule>
  </conditionalFormatting>
  <conditionalFormatting sqref="BY228">
    <cfRule type="colorScale" priority="5426">
      <colorScale>
        <cfvo type="min"/>
        <cfvo type="percentile" val="50"/>
        <cfvo type="max"/>
        <color rgb="FF63BE7B"/>
        <color rgb="FFFFEB84"/>
        <color rgb="FFF8696B"/>
      </colorScale>
    </cfRule>
  </conditionalFormatting>
  <conditionalFormatting sqref="BY228">
    <cfRule type="colorScale" priority="5423">
      <colorScale>
        <cfvo type="min"/>
        <cfvo type="max"/>
        <color rgb="FFFCFCFF"/>
        <color rgb="FFF8696B"/>
      </colorScale>
    </cfRule>
    <cfRule type="colorScale" priority="5425">
      <colorScale>
        <cfvo type="min"/>
        <cfvo type="percentile" val="50"/>
        <cfvo type="max"/>
        <color rgb="FF63BE7B"/>
        <color rgb="FFFFEB84"/>
        <color rgb="FFF8696B"/>
      </colorScale>
    </cfRule>
  </conditionalFormatting>
  <conditionalFormatting sqref="BY228">
    <cfRule type="colorScale" priority="5424">
      <colorScale>
        <cfvo type="min"/>
        <cfvo type="max"/>
        <color rgb="FFF8696B"/>
        <color rgb="FFFCFCFF"/>
      </colorScale>
    </cfRule>
  </conditionalFormatting>
  <conditionalFormatting sqref="BY228">
    <cfRule type="colorScale" priority="5422">
      <colorScale>
        <cfvo type="min"/>
        <cfvo type="max"/>
        <color rgb="FFFCFCFF"/>
        <color rgb="FFF8696B"/>
      </colorScale>
    </cfRule>
  </conditionalFormatting>
  <conditionalFormatting sqref="CA228">
    <cfRule type="colorScale" priority="5421">
      <colorScale>
        <cfvo type="min"/>
        <cfvo type="percentile" val="50"/>
        <cfvo type="max"/>
        <color rgb="FFF8696B"/>
        <color rgb="FFFFEB84"/>
        <color rgb="FF63BE7B"/>
      </colorScale>
    </cfRule>
  </conditionalFormatting>
  <conditionalFormatting sqref="CA228">
    <cfRule type="colorScale" priority="5420">
      <colorScale>
        <cfvo type="min"/>
        <cfvo type="percentile" val="50"/>
        <cfvo type="max"/>
        <color rgb="FFF8696B"/>
        <color rgb="FFFFEB84"/>
        <color rgb="FF63BE7B"/>
      </colorScale>
    </cfRule>
  </conditionalFormatting>
  <conditionalFormatting sqref="CA228">
    <cfRule type="colorScale" priority="5419">
      <colorScale>
        <cfvo type="min"/>
        <cfvo type="percentile" val="50"/>
        <cfvo type="max"/>
        <color rgb="FF63BE7B"/>
        <color rgb="FFFFEB84"/>
        <color rgb="FFF8696B"/>
      </colorScale>
    </cfRule>
  </conditionalFormatting>
  <conditionalFormatting sqref="CA228">
    <cfRule type="colorScale" priority="5416">
      <colorScale>
        <cfvo type="min"/>
        <cfvo type="max"/>
        <color rgb="FFFCFCFF"/>
        <color rgb="FFF8696B"/>
      </colorScale>
    </cfRule>
    <cfRule type="colorScale" priority="5418">
      <colorScale>
        <cfvo type="min"/>
        <cfvo type="percentile" val="50"/>
        <cfvo type="max"/>
        <color rgb="FF63BE7B"/>
        <color rgb="FFFFEB84"/>
        <color rgb="FFF8696B"/>
      </colorScale>
    </cfRule>
  </conditionalFormatting>
  <conditionalFormatting sqref="CA228">
    <cfRule type="colorScale" priority="5417">
      <colorScale>
        <cfvo type="min"/>
        <cfvo type="max"/>
        <color rgb="FFF8696B"/>
        <color rgb="FFFCFCFF"/>
      </colorScale>
    </cfRule>
  </conditionalFormatting>
  <conditionalFormatting sqref="CA228">
    <cfRule type="colorScale" priority="5415">
      <colorScale>
        <cfvo type="min"/>
        <cfvo type="max"/>
        <color rgb="FFFCFCFF"/>
        <color rgb="FFF8696B"/>
      </colorScale>
    </cfRule>
  </conditionalFormatting>
  <conditionalFormatting sqref="BU104">
    <cfRule type="colorScale" priority="5414">
      <colorScale>
        <cfvo type="min"/>
        <cfvo type="percentile" val="50"/>
        <cfvo type="max"/>
        <color rgb="FFF8696B"/>
        <color rgb="FFFFEB84"/>
        <color rgb="FF63BE7B"/>
      </colorScale>
    </cfRule>
  </conditionalFormatting>
  <conditionalFormatting sqref="BU104">
    <cfRule type="colorScale" priority="5413">
      <colorScale>
        <cfvo type="min"/>
        <cfvo type="percentile" val="50"/>
        <cfvo type="max"/>
        <color rgb="FF63BE7B"/>
        <color rgb="FFFFEB84"/>
        <color rgb="FFF8696B"/>
      </colorScale>
    </cfRule>
  </conditionalFormatting>
  <conditionalFormatting sqref="BU104">
    <cfRule type="colorScale" priority="5410">
      <colorScale>
        <cfvo type="min"/>
        <cfvo type="max"/>
        <color rgb="FFFCFCFF"/>
        <color rgb="FFF8696B"/>
      </colorScale>
    </cfRule>
    <cfRule type="colorScale" priority="5412">
      <colorScale>
        <cfvo type="min"/>
        <cfvo type="percentile" val="50"/>
        <cfvo type="max"/>
        <color rgb="FF63BE7B"/>
        <color rgb="FFFFEB84"/>
        <color rgb="FFF8696B"/>
      </colorScale>
    </cfRule>
  </conditionalFormatting>
  <conditionalFormatting sqref="BU104">
    <cfRule type="colorScale" priority="5411">
      <colorScale>
        <cfvo type="min"/>
        <cfvo type="max"/>
        <color rgb="FFF8696B"/>
        <color rgb="FFFCFCFF"/>
      </colorScale>
    </cfRule>
  </conditionalFormatting>
  <conditionalFormatting sqref="BU104">
    <cfRule type="colorScale" priority="5409">
      <colorScale>
        <cfvo type="min"/>
        <cfvo type="max"/>
        <color rgb="FFFCFCFF"/>
        <color rgb="FFF8696B"/>
      </colorScale>
    </cfRule>
  </conditionalFormatting>
  <conditionalFormatting sqref="BU147">
    <cfRule type="colorScale" priority="5408">
      <colorScale>
        <cfvo type="min"/>
        <cfvo type="percentile" val="50"/>
        <cfvo type="max"/>
        <color rgb="FFF8696B"/>
        <color rgb="FFFFEB84"/>
        <color rgb="FF63BE7B"/>
      </colorScale>
    </cfRule>
  </conditionalFormatting>
  <conditionalFormatting sqref="BU147">
    <cfRule type="colorScale" priority="5407">
      <colorScale>
        <cfvo type="min"/>
        <cfvo type="percentile" val="50"/>
        <cfvo type="max"/>
        <color rgb="FF63BE7B"/>
        <color rgb="FFFFEB84"/>
        <color rgb="FFF8696B"/>
      </colorScale>
    </cfRule>
  </conditionalFormatting>
  <conditionalFormatting sqref="BU147">
    <cfRule type="colorScale" priority="5404">
      <colorScale>
        <cfvo type="min"/>
        <cfvo type="max"/>
        <color rgb="FFFCFCFF"/>
        <color rgb="FFF8696B"/>
      </colorScale>
    </cfRule>
    <cfRule type="colorScale" priority="5406">
      <colorScale>
        <cfvo type="min"/>
        <cfvo type="percentile" val="50"/>
        <cfvo type="max"/>
        <color rgb="FF63BE7B"/>
        <color rgb="FFFFEB84"/>
        <color rgb="FFF8696B"/>
      </colorScale>
    </cfRule>
  </conditionalFormatting>
  <conditionalFormatting sqref="BU147">
    <cfRule type="colorScale" priority="5405">
      <colorScale>
        <cfvo type="min"/>
        <cfvo type="max"/>
        <color rgb="FFF8696B"/>
        <color rgb="FFFCFCFF"/>
      </colorScale>
    </cfRule>
  </conditionalFormatting>
  <conditionalFormatting sqref="BU147">
    <cfRule type="colorScale" priority="5403">
      <colorScale>
        <cfvo type="min"/>
        <cfvo type="max"/>
        <color rgb="FFFCFCFF"/>
        <color rgb="FFF8696B"/>
      </colorScale>
    </cfRule>
  </conditionalFormatting>
  <conditionalFormatting sqref="BW104">
    <cfRule type="colorScale" priority="5402">
      <colorScale>
        <cfvo type="min"/>
        <cfvo type="percentile" val="50"/>
        <cfvo type="max"/>
        <color rgb="FFF8696B"/>
        <color rgb="FFFFEB84"/>
        <color rgb="FF63BE7B"/>
      </colorScale>
    </cfRule>
  </conditionalFormatting>
  <conditionalFormatting sqref="BW104">
    <cfRule type="colorScale" priority="5401">
      <colorScale>
        <cfvo type="min"/>
        <cfvo type="percentile" val="50"/>
        <cfvo type="max"/>
        <color rgb="FFF8696B"/>
        <color rgb="FFFFEB84"/>
        <color rgb="FF63BE7B"/>
      </colorScale>
    </cfRule>
  </conditionalFormatting>
  <conditionalFormatting sqref="BW104">
    <cfRule type="colorScale" priority="5400">
      <colorScale>
        <cfvo type="min"/>
        <cfvo type="percentile" val="50"/>
        <cfvo type="max"/>
        <color rgb="FF63BE7B"/>
        <color rgb="FFFFEB84"/>
        <color rgb="FFF8696B"/>
      </colorScale>
    </cfRule>
  </conditionalFormatting>
  <conditionalFormatting sqref="BW104">
    <cfRule type="colorScale" priority="5397">
      <colorScale>
        <cfvo type="min"/>
        <cfvo type="max"/>
        <color rgb="FFFCFCFF"/>
        <color rgb="FFF8696B"/>
      </colorScale>
    </cfRule>
    <cfRule type="colorScale" priority="5399">
      <colorScale>
        <cfvo type="min"/>
        <cfvo type="percentile" val="50"/>
        <cfvo type="max"/>
        <color rgb="FF63BE7B"/>
        <color rgb="FFFFEB84"/>
        <color rgb="FFF8696B"/>
      </colorScale>
    </cfRule>
  </conditionalFormatting>
  <conditionalFormatting sqref="BW104">
    <cfRule type="colorScale" priority="5398">
      <colorScale>
        <cfvo type="min"/>
        <cfvo type="max"/>
        <color rgb="FFF8696B"/>
        <color rgb="FFFCFCFF"/>
      </colorScale>
    </cfRule>
  </conditionalFormatting>
  <conditionalFormatting sqref="BW104">
    <cfRule type="colorScale" priority="5396">
      <colorScale>
        <cfvo type="min"/>
        <cfvo type="max"/>
        <color rgb="FFFCFCFF"/>
        <color rgb="FFF8696B"/>
      </colorScale>
    </cfRule>
  </conditionalFormatting>
  <conditionalFormatting sqref="BU190">
    <cfRule type="colorScale" priority="5395">
      <colorScale>
        <cfvo type="min"/>
        <cfvo type="percentile" val="50"/>
        <cfvo type="max"/>
        <color rgb="FFF8696B"/>
        <color rgb="FFFFEB84"/>
        <color rgb="FF63BE7B"/>
      </colorScale>
    </cfRule>
  </conditionalFormatting>
  <conditionalFormatting sqref="BU190">
    <cfRule type="colorScale" priority="5394">
      <colorScale>
        <cfvo type="min"/>
        <cfvo type="percentile" val="50"/>
        <cfvo type="max"/>
        <color rgb="FF63BE7B"/>
        <color rgb="FFFFEB84"/>
        <color rgb="FFF8696B"/>
      </colorScale>
    </cfRule>
  </conditionalFormatting>
  <conditionalFormatting sqref="BU190">
    <cfRule type="colorScale" priority="5391">
      <colorScale>
        <cfvo type="min"/>
        <cfvo type="max"/>
        <color rgb="FFFCFCFF"/>
        <color rgb="FFF8696B"/>
      </colorScale>
    </cfRule>
    <cfRule type="colorScale" priority="5393">
      <colorScale>
        <cfvo type="min"/>
        <cfvo type="percentile" val="50"/>
        <cfvo type="max"/>
        <color rgb="FF63BE7B"/>
        <color rgb="FFFFEB84"/>
        <color rgb="FFF8696B"/>
      </colorScale>
    </cfRule>
  </conditionalFormatting>
  <conditionalFormatting sqref="BU190">
    <cfRule type="colorScale" priority="5392">
      <colorScale>
        <cfvo type="min"/>
        <cfvo type="max"/>
        <color rgb="FFF8696B"/>
        <color rgb="FFFCFCFF"/>
      </colorScale>
    </cfRule>
  </conditionalFormatting>
  <conditionalFormatting sqref="BU190">
    <cfRule type="colorScale" priority="5390">
      <colorScale>
        <cfvo type="min"/>
        <cfvo type="max"/>
        <color rgb="FFFCFCFF"/>
        <color rgb="FFF8696B"/>
      </colorScale>
    </cfRule>
  </conditionalFormatting>
  <conditionalFormatting sqref="BY104">
    <cfRule type="colorScale" priority="5389">
      <colorScale>
        <cfvo type="min"/>
        <cfvo type="percentile" val="50"/>
        <cfvo type="max"/>
        <color rgb="FFF8696B"/>
        <color rgb="FFFFEB84"/>
        <color rgb="FF63BE7B"/>
      </colorScale>
    </cfRule>
  </conditionalFormatting>
  <conditionalFormatting sqref="BY104">
    <cfRule type="colorScale" priority="5388">
      <colorScale>
        <cfvo type="min"/>
        <cfvo type="percentile" val="50"/>
        <cfvo type="max"/>
        <color rgb="FFF8696B"/>
        <color rgb="FFFFEB84"/>
        <color rgb="FF63BE7B"/>
      </colorScale>
    </cfRule>
  </conditionalFormatting>
  <conditionalFormatting sqref="BY104">
    <cfRule type="colorScale" priority="5387">
      <colorScale>
        <cfvo type="min"/>
        <cfvo type="percentile" val="50"/>
        <cfvo type="max"/>
        <color rgb="FF63BE7B"/>
        <color rgb="FFFFEB84"/>
        <color rgb="FFF8696B"/>
      </colorScale>
    </cfRule>
  </conditionalFormatting>
  <conditionalFormatting sqref="BY104">
    <cfRule type="colorScale" priority="5384">
      <colorScale>
        <cfvo type="min"/>
        <cfvo type="max"/>
        <color rgb="FFFCFCFF"/>
        <color rgb="FFF8696B"/>
      </colorScale>
    </cfRule>
    <cfRule type="colorScale" priority="5386">
      <colorScale>
        <cfvo type="min"/>
        <cfvo type="percentile" val="50"/>
        <cfvo type="max"/>
        <color rgb="FF63BE7B"/>
        <color rgb="FFFFEB84"/>
        <color rgb="FFF8696B"/>
      </colorScale>
    </cfRule>
  </conditionalFormatting>
  <conditionalFormatting sqref="BY104">
    <cfRule type="colorScale" priority="5385">
      <colorScale>
        <cfvo type="min"/>
        <cfvo type="max"/>
        <color rgb="FFF8696B"/>
        <color rgb="FFFCFCFF"/>
      </colorScale>
    </cfRule>
  </conditionalFormatting>
  <conditionalFormatting sqref="BY104">
    <cfRule type="colorScale" priority="5383">
      <colorScale>
        <cfvo type="min"/>
        <cfvo type="max"/>
        <color rgb="FFFCFCFF"/>
        <color rgb="FFF8696B"/>
      </colorScale>
    </cfRule>
  </conditionalFormatting>
  <conditionalFormatting sqref="BY147">
    <cfRule type="colorScale" priority="5382">
      <colorScale>
        <cfvo type="min"/>
        <cfvo type="percentile" val="50"/>
        <cfvo type="max"/>
        <color rgb="FFF8696B"/>
        <color rgb="FFFFEB84"/>
        <color rgb="FF63BE7B"/>
      </colorScale>
    </cfRule>
  </conditionalFormatting>
  <conditionalFormatting sqref="BY147">
    <cfRule type="colorScale" priority="5381">
      <colorScale>
        <cfvo type="min"/>
        <cfvo type="percentile" val="50"/>
        <cfvo type="max"/>
        <color rgb="FFF8696B"/>
        <color rgb="FFFFEB84"/>
        <color rgb="FF63BE7B"/>
      </colorScale>
    </cfRule>
  </conditionalFormatting>
  <conditionalFormatting sqref="BY147">
    <cfRule type="colorScale" priority="5380">
      <colorScale>
        <cfvo type="min"/>
        <cfvo type="percentile" val="50"/>
        <cfvo type="max"/>
        <color rgb="FF63BE7B"/>
        <color rgb="FFFFEB84"/>
        <color rgb="FFF8696B"/>
      </colorScale>
    </cfRule>
  </conditionalFormatting>
  <conditionalFormatting sqref="BY147">
    <cfRule type="colorScale" priority="5377">
      <colorScale>
        <cfvo type="min"/>
        <cfvo type="max"/>
        <color rgb="FFFCFCFF"/>
        <color rgb="FFF8696B"/>
      </colorScale>
    </cfRule>
    <cfRule type="colorScale" priority="5379">
      <colorScale>
        <cfvo type="min"/>
        <cfvo type="percentile" val="50"/>
        <cfvo type="max"/>
        <color rgb="FF63BE7B"/>
        <color rgb="FFFFEB84"/>
        <color rgb="FFF8696B"/>
      </colorScale>
    </cfRule>
  </conditionalFormatting>
  <conditionalFormatting sqref="BY147">
    <cfRule type="colorScale" priority="5378">
      <colorScale>
        <cfvo type="min"/>
        <cfvo type="max"/>
        <color rgb="FFF8696B"/>
        <color rgb="FFFCFCFF"/>
      </colorScale>
    </cfRule>
  </conditionalFormatting>
  <conditionalFormatting sqref="BY147">
    <cfRule type="colorScale" priority="5376">
      <colorScale>
        <cfvo type="min"/>
        <cfvo type="max"/>
        <color rgb="FFFCFCFF"/>
        <color rgb="FFF8696B"/>
      </colorScale>
    </cfRule>
  </conditionalFormatting>
  <conditionalFormatting sqref="BY190">
    <cfRule type="colorScale" priority="5375">
      <colorScale>
        <cfvo type="min"/>
        <cfvo type="percentile" val="50"/>
        <cfvo type="max"/>
        <color rgb="FFF8696B"/>
        <color rgb="FFFFEB84"/>
        <color rgb="FF63BE7B"/>
      </colorScale>
    </cfRule>
  </conditionalFormatting>
  <conditionalFormatting sqref="BY190">
    <cfRule type="colorScale" priority="5374">
      <colorScale>
        <cfvo type="min"/>
        <cfvo type="percentile" val="50"/>
        <cfvo type="max"/>
        <color rgb="FFF8696B"/>
        <color rgb="FFFFEB84"/>
        <color rgb="FF63BE7B"/>
      </colorScale>
    </cfRule>
  </conditionalFormatting>
  <conditionalFormatting sqref="BY190">
    <cfRule type="colorScale" priority="5373">
      <colorScale>
        <cfvo type="min"/>
        <cfvo type="percentile" val="50"/>
        <cfvo type="max"/>
        <color rgb="FF63BE7B"/>
        <color rgb="FFFFEB84"/>
        <color rgb="FFF8696B"/>
      </colorScale>
    </cfRule>
  </conditionalFormatting>
  <conditionalFormatting sqref="BY190">
    <cfRule type="colorScale" priority="5370">
      <colorScale>
        <cfvo type="min"/>
        <cfvo type="max"/>
        <color rgb="FFFCFCFF"/>
        <color rgb="FFF8696B"/>
      </colorScale>
    </cfRule>
    <cfRule type="colorScale" priority="5372">
      <colorScale>
        <cfvo type="min"/>
        <cfvo type="percentile" val="50"/>
        <cfvo type="max"/>
        <color rgb="FF63BE7B"/>
        <color rgb="FFFFEB84"/>
        <color rgb="FFF8696B"/>
      </colorScale>
    </cfRule>
  </conditionalFormatting>
  <conditionalFormatting sqref="BY190">
    <cfRule type="colorScale" priority="5371">
      <colorScale>
        <cfvo type="min"/>
        <cfvo type="max"/>
        <color rgb="FFF8696B"/>
        <color rgb="FFFCFCFF"/>
      </colorScale>
    </cfRule>
  </conditionalFormatting>
  <conditionalFormatting sqref="BY190">
    <cfRule type="colorScale" priority="5369">
      <colorScale>
        <cfvo type="min"/>
        <cfvo type="max"/>
        <color rgb="FFFCFCFF"/>
        <color rgb="FFF8696B"/>
      </colorScale>
    </cfRule>
  </conditionalFormatting>
  <conditionalFormatting sqref="BY233">
    <cfRule type="colorScale" priority="5368">
      <colorScale>
        <cfvo type="min"/>
        <cfvo type="percentile" val="50"/>
        <cfvo type="max"/>
        <color rgb="FFF8696B"/>
        <color rgb="FFFFEB84"/>
        <color rgb="FF63BE7B"/>
      </colorScale>
    </cfRule>
  </conditionalFormatting>
  <conditionalFormatting sqref="BY233">
    <cfRule type="colorScale" priority="5367">
      <colorScale>
        <cfvo type="min"/>
        <cfvo type="percentile" val="50"/>
        <cfvo type="max"/>
        <color rgb="FFF8696B"/>
        <color rgb="FFFFEB84"/>
        <color rgb="FF63BE7B"/>
      </colorScale>
    </cfRule>
  </conditionalFormatting>
  <conditionalFormatting sqref="BY233">
    <cfRule type="colorScale" priority="5366">
      <colorScale>
        <cfvo type="min"/>
        <cfvo type="percentile" val="50"/>
        <cfvo type="max"/>
        <color rgb="FF63BE7B"/>
        <color rgb="FFFFEB84"/>
        <color rgb="FFF8696B"/>
      </colorScale>
    </cfRule>
  </conditionalFormatting>
  <conditionalFormatting sqref="BY233">
    <cfRule type="colorScale" priority="5363">
      <colorScale>
        <cfvo type="min"/>
        <cfvo type="max"/>
        <color rgb="FFFCFCFF"/>
        <color rgb="FFF8696B"/>
      </colorScale>
    </cfRule>
    <cfRule type="colorScale" priority="5365">
      <colorScale>
        <cfvo type="min"/>
        <cfvo type="percentile" val="50"/>
        <cfvo type="max"/>
        <color rgb="FF63BE7B"/>
        <color rgb="FFFFEB84"/>
        <color rgb="FFF8696B"/>
      </colorScale>
    </cfRule>
  </conditionalFormatting>
  <conditionalFormatting sqref="BY233">
    <cfRule type="colorScale" priority="5364">
      <colorScale>
        <cfvo type="min"/>
        <cfvo type="max"/>
        <color rgb="FFF8696B"/>
        <color rgb="FFFCFCFF"/>
      </colorScale>
    </cfRule>
  </conditionalFormatting>
  <conditionalFormatting sqref="BY233">
    <cfRule type="colorScale" priority="5362">
      <colorScale>
        <cfvo type="min"/>
        <cfvo type="max"/>
        <color rgb="FFFCFCFF"/>
        <color rgb="FFF8696B"/>
      </colorScale>
    </cfRule>
  </conditionalFormatting>
  <conditionalFormatting sqref="CA147">
    <cfRule type="colorScale" priority="5361">
      <colorScale>
        <cfvo type="min"/>
        <cfvo type="percentile" val="50"/>
        <cfvo type="max"/>
        <color rgb="FFF8696B"/>
        <color rgb="FFFFEB84"/>
        <color rgb="FF63BE7B"/>
      </colorScale>
    </cfRule>
  </conditionalFormatting>
  <conditionalFormatting sqref="CA147">
    <cfRule type="colorScale" priority="5360">
      <colorScale>
        <cfvo type="min"/>
        <cfvo type="percentile" val="50"/>
        <cfvo type="max"/>
        <color rgb="FFF8696B"/>
        <color rgb="FFFFEB84"/>
        <color rgb="FF63BE7B"/>
      </colorScale>
    </cfRule>
  </conditionalFormatting>
  <conditionalFormatting sqref="CA147">
    <cfRule type="colorScale" priority="5359">
      <colorScale>
        <cfvo type="min"/>
        <cfvo type="percentile" val="50"/>
        <cfvo type="max"/>
        <color rgb="FF63BE7B"/>
        <color rgb="FFFFEB84"/>
        <color rgb="FFF8696B"/>
      </colorScale>
    </cfRule>
  </conditionalFormatting>
  <conditionalFormatting sqref="CA147">
    <cfRule type="colorScale" priority="5356">
      <colorScale>
        <cfvo type="min"/>
        <cfvo type="max"/>
        <color rgb="FFFCFCFF"/>
        <color rgb="FFF8696B"/>
      </colorScale>
    </cfRule>
    <cfRule type="colorScale" priority="5358">
      <colorScale>
        <cfvo type="min"/>
        <cfvo type="percentile" val="50"/>
        <cfvo type="max"/>
        <color rgb="FF63BE7B"/>
        <color rgb="FFFFEB84"/>
        <color rgb="FFF8696B"/>
      </colorScale>
    </cfRule>
  </conditionalFormatting>
  <conditionalFormatting sqref="CA147">
    <cfRule type="colorScale" priority="5357">
      <colorScale>
        <cfvo type="min"/>
        <cfvo type="max"/>
        <color rgb="FFF8696B"/>
        <color rgb="FFFCFCFF"/>
      </colorScale>
    </cfRule>
  </conditionalFormatting>
  <conditionalFormatting sqref="CA147">
    <cfRule type="colorScale" priority="5355">
      <colorScale>
        <cfvo type="min"/>
        <cfvo type="max"/>
        <color rgb="FFFCFCFF"/>
        <color rgb="FFF8696B"/>
      </colorScale>
    </cfRule>
  </conditionalFormatting>
  <conditionalFormatting sqref="CA104">
    <cfRule type="colorScale" priority="5354">
      <colorScale>
        <cfvo type="min"/>
        <cfvo type="percentile" val="50"/>
        <cfvo type="max"/>
        <color rgb="FFF8696B"/>
        <color rgb="FFFFEB84"/>
        <color rgb="FF63BE7B"/>
      </colorScale>
    </cfRule>
  </conditionalFormatting>
  <conditionalFormatting sqref="CA104">
    <cfRule type="colorScale" priority="5353">
      <colorScale>
        <cfvo type="min"/>
        <cfvo type="percentile" val="50"/>
        <cfvo type="max"/>
        <color rgb="FFF8696B"/>
        <color rgb="FFFFEB84"/>
        <color rgb="FF63BE7B"/>
      </colorScale>
    </cfRule>
  </conditionalFormatting>
  <conditionalFormatting sqref="CA104">
    <cfRule type="colorScale" priority="5352">
      <colorScale>
        <cfvo type="min"/>
        <cfvo type="percentile" val="50"/>
        <cfvo type="max"/>
        <color rgb="FF63BE7B"/>
        <color rgb="FFFFEB84"/>
        <color rgb="FFF8696B"/>
      </colorScale>
    </cfRule>
  </conditionalFormatting>
  <conditionalFormatting sqref="CA104">
    <cfRule type="colorScale" priority="5349">
      <colorScale>
        <cfvo type="min"/>
        <cfvo type="max"/>
        <color rgb="FFFCFCFF"/>
        <color rgb="FFF8696B"/>
      </colorScale>
    </cfRule>
    <cfRule type="colorScale" priority="5351">
      <colorScale>
        <cfvo type="min"/>
        <cfvo type="percentile" val="50"/>
        <cfvo type="max"/>
        <color rgb="FF63BE7B"/>
        <color rgb="FFFFEB84"/>
        <color rgb="FFF8696B"/>
      </colorScale>
    </cfRule>
  </conditionalFormatting>
  <conditionalFormatting sqref="CA104">
    <cfRule type="colorScale" priority="5350">
      <colorScale>
        <cfvo type="min"/>
        <cfvo type="max"/>
        <color rgb="FFF8696B"/>
        <color rgb="FFFCFCFF"/>
      </colorScale>
    </cfRule>
  </conditionalFormatting>
  <conditionalFormatting sqref="CA104">
    <cfRule type="colorScale" priority="5348">
      <colorScale>
        <cfvo type="min"/>
        <cfvo type="max"/>
        <color rgb="FFFCFCFF"/>
        <color rgb="FFF8696B"/>
      </colorScale>
    </cfRule>
  </conditionalFormatting>
  <conditionalFormatting sqref="BO99 BQ99 BS99 BU99 BW99">
    <cfRule type="colorScale" priority="5347">
      <colorScale>
        <cfvo type="min"/>
        <cfvo type="percentile" val="50"/>
        <cfvo type="max"/>
        <color rgb="FFF8696B"/>
        <color rgb="FFFFEB84"/>
        <color rgb="FF63BE7B"/>
      </colorScale>
    </cfRule>
  </conditionalFormatting>
  <conditionalFormatting sqref="BO99">
    <cfRule type="colorScale" priority="5346">
      <colorScale>
        <cfvo type="min"/>
        <cfvo type="percentile" val="50"/>
        <cfvo type="max"/>
        <color rgb="FFF8696B"/>
        <color rgb="FFFFEB84"/>
        <color rgb="FF63BE7B"/>
      </colorScale>
    </cfRule>
  </conditionalFormatting>
  <conditionalFormatting sqref="BO99 BQ99 BS99 BU99 BW99">
    <cfRule type="colorScale" priority="5345">
      <colorScale>
        <cfvo type="min"/>
        <cfvo type="percentile" val="50"/>
        <cfvo type="max"/>
        <color rgb="FF63BE7B"/>
        <color rgb="FFFFEB84"/>
        <color rgb="FFF8696B"/>
      </colorScale>
    </cfRule>
  </conditionalFormatting>
  <conditionalFormatting sqref="BO99 BQ99 BS99 BU99 BW99">
    <cfRule type="colorScale" priority="5342">
      <colorScale>
        <cfvo type="min"/>
        <cfvo type="max"/>
        <color rgb="FFFCFCFF"/>
        <color rgb="FFF8696B"/>
      </colorScale>
    </cfRule>
    <cfRule type="colorScale" priority="5344">
      <colorScale>
        <cfvo type="min"/>
        <cfvo type="percentile" val="50"/>
        <cfvo type="max"/>
        <color rgb="FF63BE7B"/>
        <color rgb="FFFFEB84"/>
        <color rgb="FFF8696B"/>
      </colorScale>
    </cfRule>
  </conditionalFormatting>
  <conditionalFormatting sqref="BO99 BQ99 BS99 BU99 BW99">
    <cfRule type="colorScale" priority="5343">
      <colorScale>
        <cfvo type="min"/>
        <cfvo type="max"/>
        <color rgb="FFF8696B"/>
        <color rgb="FFFCFCFF"/>
      </colorScale>
    </cfRule>
  </conditionalFormatting>
  <conditionalFormatting sqref="BO99 BQ99 BS99 BU99 BW99">
    <cfRule type="colorScale" priority="5341">
      <colorScale>
        <cfvo type="min"/>
        <cfvo type="max"/>
        <color rgb="FFFCFCFF"/>
        <color rgb="FFF8696B"/>
      </colorScale>
    </cfRule>
  </conditionalFormatting>
  <conditionalFormatting sqref="BY99">
    <cfRule type="colorScale" priority="5340">
      <colorScale>
        <cfvo type="min"/>
        <cfvo type="percentile" val="50"/>
        <cfvo type="max"/>
        <color rgb="FFF8696B"/>
        <color rgb="FFFFEB84"/>
        <color rgb="FF63BE7B"/>
      </colorScale>
    </cfRule>
  </conditionalFormatting>
  <conditionalFormatting sqref="BY99">
    <cfRule type="colorScale" priority="5339">
      <colorScale>
        <cfvo type="min"/>
        <cfvo type="percentile" val="50"/>
        <cfvo type="max"/>
        <color rgb="FFF8696B"/>
        <color rgb="FFFFEB84"/>
        <color rgb="FF63BE7B"/>
      </colorScale>
    </cfRule>
  </conditionalFormatting>
  <conditionalFormatting sqref="BY99">
    <cfRule type="colorScale" priority="5338">
      <colorScale>
        <cfvo type="min"/>
        <cfvo type="percentile" val="50"/>
        <cfvo type="max"/>
        <color rgb="FF63BE7B"/>
        <color rgb="FFFFEB84"/>
        <color rgb="FFF8696B"/>
      </colorScale>
    </cfRule>
  </conditionalFormatting>
  <conditionalFormatting sqref="BY99">
    <cfRule type="colorScale" priority="5335">
      <colorScale>
        <cfvo type="min"/>
        <cfvo type="max"/>
        <color rgb="FFFCFCFF"/>
        <color rgb="FFF8696B"/>
      </colorScale>
    </cfRule>
    <cfRule type="colorScale" priority="5337">
      <colorScale>
        <cfvo type="min"/>
        <cfvo type="percentile" val="50"/>
        <cfvo type="max"/>
        <color rgb="FF63BE7B"/>
        <color rgb="FFFFEB84"/>
        <color rgb="FFF8696B"/>
      </colorScale>
    </cfRule>
  </conditionalFormatting>
  <conditionalFormatting sqref="BY99">
    <cfRule type="colorScale" priority="5336">
      <colorScale>
        <cfvo type="min"/>
        <cfvo type="max"/>
        <color rgb="FFF8696B"/>
        <color rgb="FFFCFCFF"/>
      </colorScale>
    </cfRule>
  </conditionalFormatting>
  <conditionalFormatting sqref="BY99">
    <cfRule type="colorScale" priority="5334">
      <colorScale>
        <cfvo type="min"/>
        <cfvo type="max"/>
        <color rgb="FFFCFCFF"/>
        <color rgb="FFF8696B"/>
      </colorScale>
    </cfRule>
  </conditionalFormatting>
  <conditionalFormatting sqref="CA99">
    <cfRule type="colorScale" priority="5333">
      <colorScale>
        <cfvo type="min"/>
        <cfvo type="percentile" val="50"/>
        <cfvo type="max"/>
        <color rgb="FFF8696B"/>
        <color rgb="FFFFEB84"/>
        <color rgb="FF63BE7B"/>
      </colorScale>
    </cfRule>
  </conditionalFormatting>
  <conditionalFormatting sqref="CA99">
    <cfRule type="colorScale" priority="5332">
      <colorScale>
        <cfvo type="min"/>
        <cfvo type="percentile" val="50"/>
        <cfvo type="max"/>
        <color rgb="FFF8696B"/>
        <color rgb="FFFFEB84"/>
        <color rgb="FF63BE7B"/>
      </colorScale>
    </cfRule>
  </conditionalFormatting>
  <conditionalFormatting sqref="CA99">
    <cfRule type="colorScale" priority="5331">
      <colorScale>
        <cfvo type="min"/>
        <cfvo type="percentile" val="50"/>
        <cfvo type="max"/>
        <color rgb="FF63BE7B"/>
        <color rgb="FFFFEB84"/>
        <color rgb="FFF8696B"/>
      </colorScale>
    </cfRule>
  </conditionalFormatting>
  <conditionalFormatting sqref="CA99">
    <cfRule type="colorScale" priority="5328">
      <colorScale>
        <cfvo type="min"/>
        <cfvo type="max"/>
        <color rgb="FFFCFCFF"/>
        <color rgb="FFF8696B"/>
      </colorScale>
    </cfRule>
    <cfRule type="colorScale" priority="5330">
      <colorScale>
        <cfvo type="min"/>
        <cfvo type="percentile" val="50"/>
        <cfvo type="max"/>
        <color rgb="FF63BE7B"/>
        <color rgb="FFFFEB84"/>
        <color rgb="FFF8696B"/>
      </colorScale>
    </cfRule>
  </conditionalFormatting>
  <conditionalFormatting sqref="CA99">
    <cfRule type="colorScale" priority="5329">
      <colorScale>
        <cfvo type="min"/>
        <cfvo type="max"/>
        <color rgb="FFF8696B"/>
        <color rgb="FFFCFCFF"/>
      </colorScale>
    </cfRule>
  </conditionalFormatting>
  <conditionalFormatting sqref="CA99">
    <cfRule type="colorScale" priority="5327">
      <colorScale>
        <cfvo type="min"/>
        <cfvo type="max"/>
        <color rgb="FFFCFCFF"/>
        <color rgb="FFF8696B"/>
      </colorScale>
    </cfRule>
  </conditionalFormatting>
  <conditionalFormatting sqref="BO142 BQ142 BS142 BU142">
    <cfRule type="colorScale" priority="5326">
      <colorScale>
        <cfvo type="min"/>
        <cfvo type="percentile" val="50"/>
        <cfvo type="max"/>
        <color rgb="FFF8696B"/>
        <color rgb="FFFFEB84"/>
        <color rgb="FF63BE7B"/>
      </colorScale>
    </cfRule>
  </conditionalFormatting>
  <conditionalFormatting sqref="BO142">
    <cfRule type="colorScale" priority="5325">
      <colorScale>
        <cfvo type="min"/>
        <cfvo type="percentile" val="50"/>
        <cfvo type="max"/>
        <color rgb="FFF8696B"/>
        <color rgb="FFFFEB84"/>
        <color rgb="FF63BE7B"/>
      </colorScale>
    </cfRule>
  </conditionalFormatting>
  <conditionalFormatting sqref="BO142 BQ142 BS142 BU142">
    <cfRule type="colorScale" priority="5324">
      <colorScale>
        <cfvo type="min"/>
        <cfvo type="percentile" val="50"/>
        <cfvo type="max"/>
        <color rgb="FF63BE7B"/>
        <color rgb="FFFFEB84"/>
        <color rgb="FFF8696B"/>
      </colorScale>
    </cfRule>
  </conditionalFormatting>
  <conditionalFormatting sqref="BO142 BQ142 BS142 BU142">
    <cfRule type="colorScale" priority="5321">
      <colorScale>
        <cfvo type="min"/>
        <cfvo type="max"/>
        <color rgb="FFFCFCFF"/>
        <color rgb="FFF8696B"/>
      </colorScale>
    </cfRule>
    <cfRule type="colorScale" priority="5323">
      <colorScale>
        <cfvo type="min"/>
        <cfvo type="percentile" val="50"/>
        <cfvo type="max"/>
        <color rgb="FF63BE7B"/>
        <color rgb="FFFFEB84"/>
        <color rgb="FFF8696B"/>
      </colorScale>
    </cfRule>
  </conditionalFormatting>
  <conditionalFormatting sqref="BO142 BQ142 BS142 BU142">
    <cfRule type="colorScale" priority="5322">
      <colorScale>
        <cfvo type="min"/>
        <cfvo type="max"/>
        <color rgb="FFF8696B"/>
        <color rgb="FFFCFCFF"/>
      </colorScale>
    </cfRule>
  </conditionalFormatting>
  <conditionalFormatting sqref="BO142 BQ142 BS142 BU142">
    <cfRule type="colorScale" priority="5320">
      <colorScale>
        <cfvo type="min"/>
        <cfvo type="max"/>
        <color rgb="FFFCFCFF"/>
        <color rgb="FFF8696B"/>
      </colorScale>
    </cfRule>
  </conditionalFormatting>
  <conditionalFormatting sqref="BW142">
    <cfRule type="colorScale" priority="5319">
      <colorScale>
        <cfvo type="min"/>
        <cfvo type="percentile" val="50"/>
        <cfvo type="max"/>
        <color rgb="FFF8696B"/>
        <color rgb="FFFFEB84"/>
        <color rgb="FF63BE7B"/>
      </colorScale>
    </cfRule>
  </conditionalFormatting>
  <conditionalFormatting sqref="BW142">
    <cfRule type="colorScale" priority="5318">
      <colorScale>
        <cfvo type="min"/>
        <cfvo type="percentile" val="50"/>
        <cfvo type="max"/>
        <color rgb="FFF8696B"/>
        <color rgb="FFFFEB84"/>
        <color rgb="FF63BE7B"/>
      </colorScale>
    </cfRule>
  </conditionalFormatting>
  <conditionalFormatting sqref="BW142">
    <cfRule type="colorScale" priority="5317">
      <colorScale>
        <cfvo type="min"/>
        <cfvo type="percentile" val="50"/>
        <cfvo type="max"/>
        <color rgb="FF63BE7B"/>
        <color rgb="FFFFEB84"/>
        <color rgb="FFF8696B"/>
      </colorScale>
    </cfRule>
  </conditionalFormatting>
  <conditionalFormatting sqref="BW142">
    <cfRule type="colorScale" priority="5314">
      <colorScale>
        <cfvo type="min"/>
        <cfvo type="max"/>
        <color rgb="FFFCFCFF"/>
        <color rgb="FFF8696B"/>
      </colorScale>
    </cfRule>
    <cfRule type="colorScale" priority="5316">
      <colorScale>
        <cfvo type="min"/>
        <cfvo type="percentile" val="50"/>
        <cfvo type="max"/>
        <color rgb="FF63BE7B"/>
        <color rgb="FFFFEB84"/>
        <color rgb="FFF8696B"/>
      </colorScale>
    </cfRule>
  </conditionalFormatting>
  <conditionalFormatting sqref="BW142">
    <cfRule type="colorScale" priority="5315">
      <colorScale>
        <cfvo type="min"/>
        <cfvo type="max"/>
        <color rgb="FFF8696B"/>
        <color rgb="FFFCFCFF"/>
      </colorScale>
    </cfRule>
  </conditionalFormatting>
  <conditionalFormatting sqref="BW142">
    <cfRule type="colorScale" priority="5313">
      <colorScale>
        <cfvo type="min"/>
        <cfvo type="max"/>
        <color rgb="FFFCFCFF"/>
        <color rgb="FFF8696B"/>
      </colorScale>
    </cfRule>
  </conditionalFormatting>
  <conditionalFormatting sqref="BY142">
    <cfRule type="colorScale" priority="5312">
      <colorScale>
        <cfvo type="min"/>
        <cfvo type="percentile" val="50"/>
        <cfvo type="max"/>
        <color rgb="FFF8696B"/>
        <color rgb="FFFFEB84"/>
        <color rgb="FF63BE7B"/>
      </colorScale>
    </cfRule>
  </conditionalFormatting>
  <conditionalFormatting sqref="BY142">
    <cfRule type="colorScale" priority="5311">
      <colorScale>
        <cfvo type="min"/>
        <cfvo type="percentile" val="50"/>
        <cfvo type="max"/>
        <color rgb="FFF8696B"/>
        <color rgb="FFFFEB84"/>
        <color rgb="FF63BE7B"/>
      </colorScale>
    </cfRule>
  </conditionalFormatting>
  <conditionalFormatting sqref="BY142">
    <cfRule type="colorScale" priority="5310">
      <colorScale>
        <cfvo type="min"/>
        <cfvo type="percentile" val="50"/>
        <cfvo type="max"/>
        <color rgb="FF63BE7B"/>
        <color rgb="FFFFEB84"/>
        <color rgb="FFF8696B"/>
      </colorScale>
    </cfRule>
  </conditionalFormatting>
  <conditionalFormatting sqref="BY142">
    <cfRule type="colorScale" priority="5307">
      <colorScale>
        <cfvo type="min"/>
        <cfvo type="max"/>
        <color rgb="FFFCFCFF"/>
        <color rgb="FFF8696B"/>
      </colorScale>
    </cfRule>
    <cfRule type="colorScale" priority="5309">
      <colorScale>
        <cfvo type="min"/>
        <cfvo type="percentile" val="50"/>
        <cfvo type="max"/>
        <color rgb="FF63BE7B"/>
        <color rgb="FFFFEB84"/>
        <color rgb="FFF8696B"/>
      </colorScale>
    </cfRule>
  </conditionalFormatting>
  <conditionalFormatting sqref="BY142">
    <cfRule type="colorScale" priority="5308">
      <colorScale>
        <cfvo type="min"/>
        <cfvo type="max"/>
        <color rgb="FFF8696B"/>
        <color rgb="FFFCFCFF"/>
      </colorScale>
    </cfRule>
  </conditionalFormatting>
  <conditionalFormatting sqref="BY142">
    <cfRule type="colorScale" priority="5306">
      <colorScale>
        <cfvo type="min"/>
        <cfvo type="max"/>
        <color rgb="FFFCFCFF"/>
        <color rgb="FFF8696B"/>
      </colorScale>
    </cfRule>
  </conditionalFormatting>
  <conditionalFormatting sqref="CA142">
    <cfRule type="colorScale" priority="5305">
      <colorScale>
        <cfvo type="min"/>
        <cfvo type="percentile" val="50"/>
        <cfvo type="max"/>
        <color rgb="FFF8696B"/>
        <color rgb="FFFFEB84"/>
        <color rgb="FF63BE7B"/>
      </colorScale>
    </cfRule>
  </conditionalFormatting>
  <conditionalFormatting sqref="CA142">
    <cfRule type="colorScale" priority="5304">
      <colorScale>
        <cfvo type="min"/>
        <cfvo type="percentile" val="50"/>
        <cfvo type="max"/>
        <color rgb="FFF8696B"/>
        <color rgb="FFFFEB84"/>
        <color rgb="FF63BE7B"/>
      </colorScale>
    </cfRule>
  </conditionalFormatting>
  <conditionalFormatting sqref="CA142">
    <cfRule type="colorScale" priority="5303">
      <colorScale>
        <cfvo type="min"/>
        <cfvo type="percentile" val="50"/>
        <cfvo type="max"/>
        <color rgb="FF63BE7B"/>
        <color rgb="FFFFEB84"/>
        <color rgb="FFF8696B"/>
      </colorScale>
    </cfRule>
  </conditionalFormatting>
  <conditionalFormatting sqref="CA142">
    <cfRule type="colorScale" priority="5300">
      <colorScale>
        <cfvo type="min"/>
        <cfvo type="max"/>
        <color rgb="FFFCFCFF"/>
        <color rgb="FFF8696B"/>
      </colorScale>
    </cfRule>
    <cfRule type="colorScale" priority="5302">
      <colorScale>
        <cfvo type="min"/>
        <cfvo type="percentile" val="50"/>
        <cfvo type="max"/>
        <color rgb="FF63BE7B"/>
        <color rgb="FFFFEB84"/>
        <color rgb="FFF8696B"/>
      </colorScale>
    </cfRule>
  </conditionalFormatting>
  <conditionalFormatting sqref="CA142">
    <cfRule type="colorScale" priority="5301">
      <colorScale>
        <cfvo type="min"/>
        <cfvo type="max"/>
        <color rgb="FFF8696B"/>
        <color rgb="FFFCFCFF"/>
      </colorScale>
    </cfRule>
  </conditionalFormatting>
  <conditionalFormatting sqref="CA142">
    <cfRule type="colorScale" priority="5299">
      <colorScale>
        <cfvo type="min"/>
        <cfvo type="max"/>
        <color rgb="FFFCFCFF"/>
        <color rgb="FFF8696B"/>
      </colorScale>
    </cfRule>
  </conditionalFormatting>
  <conditionalFormatting sqref="CE228 CE254 CG228 CI228 CK228 CM248 CG254 CI254 CK254 CM254">
    <cfRule type="colorScale" priority="5290">
      <colorScale>
        <cfvo type="min"/>
        <cfvo type="percentile" val="50"/>
        <cfvo type="max"/>
        <color rgb="FFF8696B"/>
        <color rgb="FFFFEB84"/>
        <color rgb="FF63BE7B"/>
      </colorScale>
    </cfRule>
  </conditionalFormatting>
  <conditionalFormatting sqref="CM248">
    <cfRule type="colorScale" priority="5289">
      <colorScale>
        <cfvo type="min"/>
        <cfvo type="percentile" val="50"/>
        <cfvo type="max"/>
        <color rgb="FFF8696B"/>
        <color rgb="FFFFEB84"/>
        <color rgb="FF63BE7B"/>
      </colorScale>
    </cfRule>
  </conditionalFormatting>
  <conditionalFormatting sqref="CE228 CG228 CI228 CK228">
    <cfRule type="colorScale" priority="5288">
      <colorScale>
        <cfvo type="min"/>
        <cfvo type="percentile" val="50"/>
        <cfvo type="max"/>
        <color rgb="FFF8696B"/>
        <color rgb="FFFFEB84"/>
        <color rgb="FF63BE7B"/>
      </colorScale>
    </cfRule>
  </conditionalFormatting>
  <conditionalFormatting sqref="CE228 CE254 CG228 CI228 CK228 CM248 CG254 CI254 CK254 CM254">
    <cfRule type="colorScale" priority="5287">
      <colorScale>
        <cfvo type="min"/>
        <cfvo type="percentile" val="50"/>
        <cfvo type="max"/>
        <color rgb="FF63BE7B"/>
        <color rgb="FFFFEB84"/>
        <color rgb="FFF8696B"/>
      </colorScale>
    </cfRule>
  </conditionalFormatting>
  <conditionalFormatting sqref="CE254 CE228 CG228 CI228 CK228 CM248 CG254 CI254 CK254 CM254">
    <cfRule type="colorScale" priority="5284">
      <colorScale>
        <cfvo type="min"/>
        <cfvo type="max"/>
        <color rgb="FFFCFCFF"/>
        <color rgb="FFF8696B"/>
      </colorScale>
    </cfRule>
    <cfRule type="colorScale" priority="5286">
      <colorScale>
        <cfvo type="min"/>
        <cfvo type="percentile" val="50"/>
        <cfvo type="max"/>
        <color rgb="FF63BE7B"/>
        <color rgb="FFFFEB84"/>
        <color rgb="FFF8696B"/>
      </colorScale>
    </cfRule>
  </conditionalFormatting>
  <conditionalFormatting sqref="CE228 CE254 CG228 CI228 CK228 CM248 CG254 CI254 CK254 CM254">
    <cfRule type="colorScale" priority="5285">
      <colorScale>
        <cfvo type="min"/>
        <cfvo type="max"/>
        <color rgb="FFF8696B"/>
        <color rgb="FFFCFCFF"/>
      </colorScale>
    </cfRule>
  </conditionalFormatting>
  <conditionalFormatting sqref="CI256">
    <cfRule type="colorScale" priority="5283">
      <colorScale>
        <cfvo type="min"/>
        <cfvo type="percentile" val="50"/>
        <cfvo type="max"/>
        <color rgb="FFF8696B"/>
        <color rgb="FFFFEB84"/>
        <color rgb="FF63BE7B"/>
      </colorScale>
    </cfRule>
  </conditionalFormatting>
  <conditionalFormatting sqref="CI256">
    <cfRule type="colorScale" priority="5282">
      <colorScale>
        <cfvo type="min"/>
        <cfvo type="percentile" val="50"/>
        <cfvo type="max"/>
        <color rgb="FFF8696B"/>
        <color rgb="FFFFEB84"/>
        <color rgb="FF63BE7B"/>
      </colorScale>
    </cfRule>
  </conditionalFormatting>
  <conditionalFormatting sqref="CI256">
    <cfRule type="colorScale" priority="5281">
      <colorScale>
        <cfvo type="min"/>
        <cfvo type="percentile" val="50"/>
        <cfvo type="max"/>
        <color rgb="FFF8696B"/>
        <color rgb="FFFFEB84"/>
        <color rgb="FF63BE7B"/>
      </colorScale>
    </cfRule>
  </conditionalFormatting>
  <conditionalFormatting sqref="CI256">
    <cfRule type="colorScale" priority="5280">
      <colorScale>
        <cfvo type="min"/>
        <cfvo type="percentile" val="50"/>
        <cfvo type="max"/>
        <color rgb="FF63BE7B"/>
        <color rgb="FFFFEB84"/>
        <color rgb="FFF8696B"/>
      </colorScale>
    </cfRule>
  </conditionalFormatting>
  <conditionalFormatting sqref="CI256">
    <cfRule type="colorScale" priority="5277">
      <colorScale>
        <cfvo type="min"/>
        <cfvo type="max"/>
        <color rgb="FFFCFCFF"/>
        <color rgb="FFF8696B"/>
      </colorScale>
    </cfRule>
    <cfRule type="colorScale" priority="5279">
      <colorScale>
        <cfvo type="min"/>
        <cfvo type="percentile" val="50"/>
        <cfvo type="max"/>
        <color rgb="FF63BE7B"/>
        <color rgb="FFFFEB84"/>
        <color rgb="FFF8696B"/>
      </colorScale>
    </cfRule>
  </conditionalFormatting>
  <conditionalFormatting sqref="CI256">
    <cfRule type="colorScale" priority="5278">
      <colorScale>
        <cfvo type="min"/>
        <cfvo type="max"/>
        <color rgb="FFF8696B"/>
        <color rgb="FFFCFCFF"/>
      </colorScale>
    </cfRule>
  </conditionalFormatting>
  <conditionalFormatting sqref="CK256">
    <cfRule type="colorScale" priority="5276">
      <colorScale>
        <cfvo type="min"/>
        <cfvo type="percentile" val="50"/>
        <cfvo type="max"/>
        <color rgb="FFF8696B"/>
        <color rgb="FFFFEB84"/>
        <color rgb="FF63BE7B"/>
      </colorScale>
    </cfRule>
  </conditionalFormatting>
  <conditionalFormatting sqref="CK256">
    <cfRule type="colorScale" priority="5275">
      <colorScale>
        <cfvo type="min"/>
        <cfvo type="percentile" val="50"/>
        <cfvo type="max"/>
        <color rgb="FFF8696B"/>
        <color rgb="FFFFEB84"/>
        <color rgb="FF63BE7B"/>
      </colorScale>
    </cfRule>
  </conditionalFormatting>
  <conditionalFormatting sqref="CK256">
    <cfRule type="colorScale" priority="5274">
      <colorScale>
        <cfvo type="min"/>
        <cfvo type="percentile" val="50"/>
        <cfvo type="max"/>
        <color rgb="FFF8696B"/>
        <color rgb="FFFFEB84"/>
        <color rgb="FF63BE7B"/>
      </colorScale>
    </cfRule>
  </conditionalFormatting>
  <conditionalFormatting sqref="CK256">
    <cfRule type="colorScale" priority="5273">
      <colorScale>
        <cfvo type="min"/>
        <cfvo type="percentile" val="50"/>
        <cfvo type="max"/>
        <color rgb="FF63BE7B"/>
        <color rgb="FFFFEB84"/>
        <color rgb="FFF8696B"/>
      </colorScale>
    </cfRule>
  </conditionalFormatting>
  <conditionalFormatting sqref="CK256">
    <cfRule type="colorScale" priority="5270">
      <colorScale>
        <cfvo type="min"/>
        <cfvo type="max"/>
        <color rgb="FFFCFCFF"/>
        <color rgb="FFF8696B"/>
      </colorScale>
    </cfRule>
    <cfRule type="colorScale" priority="5272">
      <colorScale>
        <cfvo type="min"/>
        <cfvo type="percentile" val="50"/>
        <cfvo type="max"/>
        <color rgb="FF63BE7B"/>
        <color rgb="FFFFEB84"/>
        <color rgb="FFF8696B"/>
      </colorScale>
    </cfRule>
  </conditionalFormatting>
  <conditionalFormatting sqref="CK256">
    <cfRule type="colorScale" priority="5271">
      <colorScale>
        <cfvo type="min"/>
        <cfvo type="max"/>
        <color rgb="FFF8696B"/>
        <color rgb="FFFCFCFF"/>
      </colorScale>
    </cfRule>
  </conditionalFormatting>
  <conditionalFormatting sqref="CM256">
    <cfRule type="colorScale" priority="5269">
      <colorScale>
        <cfvo type="min"/>
        <cfvo type="percentile" val="50"/>
        <cfvo type="max"/>
        <color rgb="FFF8696B"/>
        <color rgb="FFFFEB84"/>
        <color rgb="FF63BE7B"/>
      </colorScale>
    </cfRule>
  </conditionalFormatting>
  <conditionalFormatting sqref="CM256">
    <cfRule type="colorScale" priority="5268">
      <colorScale>
        <cfvo type="min"/>
        <cfvo type="percentile" val="50"/>
        <cfvo type="max"/>
        <color rgb="FFF8696B"/>
        <color rgb="FFFFEB84"/>
        <color rgb="FF63BE7B"/>
      </colorScale>
    </cfRule>
  </conditionalFormatting>
  <conditionalFormatting sqref="CM256">
    <cfRule type="colorScale" priority="5267">
      <colorScale>
        <cfvo type="min"/>
        <cfvo type="percentile" val="50"/>
        <cfvo type="max"/>
        <color rgb="FFF8696B"/>
        <color rgb="FFFFEB84"/>
        <color rgb="FF63BE7B"/>
      </colorScale>
    </cfRule>
  </conditionalFormatting>
  <conditionalFormatting sqref="CM256">
    <cfRule type="colorScale" priority="5266">
      <colorScale>
        <cfvo type="min"/>
        <cfvo type="percentile" val="50"/>
        <cfvo type="max"/>
        <color rgb="FF63BE7B"/>
        <color rgb="FFFFEB84"/>
        <color rgb="FFF8696B"/>
      </colorScale>
    </cfRule>
  </conditionalFormatting>
  <conditionalFormatting sqref="CM256">
    <cfRule type="colorScale" priority="5263">
      <colorScale>
        <cfvo type="min"/>
        <cfvo type="max"/>
        <color rgb="FFFCFCFF"/>
        <color rgb="FFF8696B"/>
      </colorScale>
    </cfRule>
    <cfRule type="colorScale" priority="5265">
      <colorScale>
        <cfvo type="min"/>
        <cfvo type="percentile" val="50"/>
        <cfvo type="max"/>
        <color rgb="FF63BE7B"/>
        <color rgb="FFFFEB84"/>
        <color rgb="FFF8696B"/>
      </colorScale>
    </cfRule>
  </conditionalFormatting>
  <conditionalFormatting sqref="CM256">
    <cfRule type="colorScale" priority="5264">
      <colorScale>
        <cfvo type="min"/>
        <cfvo type="max"/>
        <color rgb="FFF8696B"/>
        <color rgb="FFFCFCFF"/>
      </colorScale>
    </cfRule>
  </conditionalFormatting>
  <conditionalFormatting sqref="CM248">
    <cfRule type="colorScale" priority="5262">
      <colorScale>
        <cfvo type="min"/>
        <cfvo type="percentile" val="50"/>
        <cfvo type="max"/>
        <color rgb="FFF8696B"/>
        <color rgb="FFFFEB84"/>
        <color rgb="FF63BE7B"/>
      </colorScale>
    </cfRule>
  </conditionalFormatting>
  <conditionalFormatting sqref="CE254">
    <cfRule type="colorScale" priority="5261">
      <colorScale>
        <cfvo type="min"/>
        <cfvo type="percentile" val="50"/>
        <cfvo type="max"/>
        <color rgb="FFF8696B"/>
        <color rgb="FFFFEB84"/>
        <color rgb="FF63BE7B"/>
      </colorScale>
    </cfRule>
  </conditionalFormatting>
  <conditionalFormatting sqref="CG254">
    <cfRule type="colorScale" priority="5260">
      <colorScale>
        <cfvo type="min"/>
        <cfvo type="percentile" val="50"/>
        <cfvo type="max"/>
        <color rgb="FFF8696B"/>
        <color rgb="FFFFEB84"/>
        <color rgb="FF63BE7B"/>
      </colorScale>
    </cfRule>
  </conditionalFormatting>
  <conditionalFormatting sqref="CI254">
    <cfRule type="colorScale" priority="5259">
      <colorScale>
        <cfvo type="min"/>
        <cfvo type="percentile" val="50"/>
        <cfvo type="max"/>
        <color rgb="FFF8696B"/>
        <color rgb="FFFFEB84"/>
        <color rgb="FF63BE7B"/>
      </colorScale>
    </cfRule>
  </conditionalFormatting>
  <conditionalFormatting sqref="CK254">
    <cfRule type="colorScale" priority="5258">
      <colorScale>
        <cfvo type="min"/>
        <cfvo type="percentile" val="50"/>
        <cfvo type="max"/>
        <color rgb="FFF8696B"/>
        <color rgb="FFFFEB84"/>
        <color rgb="FF63BE7B"/>
      </colorScale>
    </cfRule>
  </conditionalFormatting>
  <conditionalFormatting sqref="CM254">
    <cfRule type="colorScale" priority="5257">
      <colorScale>
        <cfvo type="min"/>
        <cfvo type="percentile" val="50"/>
        <cfvo type="max"/>
        <color rgb="FFF8696B"/>
        <color rgb="FFFFEB84"/>
        <color rgb="FF63BE7B"/>
      </colorScale>
    </cfRule>
  </conditionalFormatting>
  <conditionalFormatting sqref="CE228 CE254 CG228 CI228 CK228 CG233 CE233 CM248 CG254 CM254 CK254 CI254 CI256 CK256 CM256">
    <cfRule type="colorScale" priority="5256">
      <colorScale>
        <cfvo type="min"/>
        <cfvo type="max"/>
        <color rgb="FFFCFCFF"/>
        <color rgb="FFF8696B"/>
      </colorScale>
    </cfRule>
  </conditionalFormatting>
  <conditionalFormatting sqref="CO248 CO254">
    <cfRule type="colorScale" priority="5255">
      <colorScale>
        <cfvo type="min"/>
        <cfvo type="percentile" val="50"/>
        <cfvo type="max"/>
        <color rgb="FFF8696B"/>
        <color rgb="FFFFEB84"/>
        <color rgb="FF63BE7B"/>
      </colorScale>
    </cfRule>
  </conditionalFormatting>
  <conditionalFormatting sqref="CO248">
    <cfRule type="colorScale" priority="5254">
      <colorScale>
        <cfvo type="min"/>
        <cfvo type="percentile" val="50"/>
        <cfvo type="max"/>
        <color rgb="FFF8696B"/>
        <color rgb="FFFFEB84"/>
        <color rgb="FF63BE7B"/>
      </colorScale>
    </cfRule>
  </conditionalFormatting>
  <conditionalFormatting sqref="CO248 CO254">
    <cfRule type="colorScale" priority="5253">
      <colorScale>
        <cfvo type="min"/>
        <cfvo type="percentile" val="50"/>
        <cfvo type="max"/>
        <color rgb="FF63BE7B"/>
        <color rgb="FFFFEB84"/>
        <color rgb="FFF8696B"/>
      </colorScale>
    </cfRule>
  </conditionalFormatting>
  <conditionalFormatting sqref="CO254 CO248">
    <cfRule type="colorScale" priority="5250">
      <colorScale>
        <cfvo type="min"/>
        <cfvo type="max"/>
        <color rgb="FFFCFCFF"/>
        <color rgb="FFF8696B"/>
      </colorScale>
    </cfRule>
    <cfRule type="colorScale" priority="5252">
      <colorScale>
        <cfvo type="min"/>
        <cfvo type="percentile" val="50"/>
        <cfvo type="max"/>
        <color rgb="FF63BE7B"/>
        <color rgb="FFFFEB84"/>
        <color rgb="FFF8696B"/>
      </colorScale>
    </cfRule>
  </conditionalFormatting>
  <conditionalFormatting sqref="CO248 CO254">
    <cfRule type="colorScale" priority="5251">
      <colorScale>
        <cfvo type="min"/>
        <cfvo type="max"/>
        <color rgb="FFF8696B"/>
        <color rgb="FFFCFCFF"/>
      </colorScale>
    </cfRule>
  </conditionalFormatting>
  <conditionalFormatting sqref="CO256">
    <cfRule type="colorScale" priority="5249">
      <colorScale>
        <cfvo type="min"/>
        <cfvo type="percentile" val="50"/>
        <cfvo type="max"/>
        <color rgb="FFF8696B"/>
        <color rgb="FFFFEB84"/>
        <color rgb="FF63BE7B"/>
      </colorScale>
    </cfRule>
  </conditionalFormatting>
  <conditionalFormatting sqref="CO256">
    <cfRule type="colorScale" priority="5248">
      <colorScale>
        <cfvo type="min"/>
        <cfvo type="percentile" val="50"/>
        <cfvo type="max"/>
        <color rgb="FFF8696B"/>
        <color rgb="FFFFEB84"/>
        <color rgb="FF63BE7B"/>
      </colorScale>
    </cfRule>
  </conditionalFormatting>
  <conditionalFormatting sqref="CO256">
    <cfRule type="colorScale" priority="5247">
      <colorScale>
        <cfvo type="min"/>
        <cfvo type="percentile" val="50"/>
        <cfvo type="max"/>
        <color rgb="FFF8696B"/>
        <color rgb="FFFFEB84"/>
        <color rgb="FF63BE7B"/>
      </colorScale>
    </cfRule>
  </conditionalFormatting>
  <conditionalFormatting sqref="CO256">
    <cfRule type="colorScale" priority="5246">
      <colorScale>
        <cfvo type="min"/>
        <cfvo type="percentile" val="50"/>
        <cfvo type="max"/>
        <color rgb="FF63BE7B"/>
        <color rgb="FFFFEB84"/>
        <color rgb="FFF8696B"/>
      </colorScale>
    </cfRule>
  </conditionalFormatting>
  <conditionalFormatting sqref="CO256">
    <cfRule type="colorScale" priority="5243">
      <colorScale>
        <cfvo type="min"/>
        <cfvo type="max"/>
        <color rgb="FFFCFCFF"/>
        <color rgb="FFF8696B"/>
      </colorScale>
    </cfRule>
    <cfRule type="colorScale" priority="5245">
      <colorScale>
        <cfvo type="min"/>
        <cfvo type="percentile" val="50"/>
        <cfvo type="max"/>
        <color rgb="FF63BE7B"/>
        <color rgb="FFFFEB84"/>
        <color rgb="FFF8696B"/>
      </colorScale>
    </cfRule>
  </conditionalFormatting>
  <conditionalFormatting sqref="CO256">
    <cfRule type="colorScale" priority="5244">
      <colorScale>
        <cfvo type="min"/>
        <cfvo type="max"/>
        <color rgb="FFF8696B"/>
        <color rgb="FFFCFCFF"/>
      </colorScale>
    </cfRule>
  </conditionalFormatting>
  <conditionalFormatting sqref="CO248">
    <cfRule type="colorScale" priority="5242">
      <colorScale>
        <cfvo type="min"/>
        <cfvo type="percentile" val="50"/>
        <cfvo type="max"/>
        <color rgb="FFF8696B"/>
        <color rgb="FFFFEB84"/>
        <color rgb="FF63BE7B"/>
      </colorScale>
    </cfRule>
  </conditionalFormatting>
  <conditionalFormatting sqref="CO254">
    <cfRule type="colorScale" priority="5241">
      <colorScale>
        <cfvo type="min"/>
        <cfvo type="percentile" val="50"/>
        <cfvo type="max"/>
        <color rgb="FFF8696B"/>
        <color rgb="FFFFEB84"/>
        <color rgb="FF63BE7B"/>
      </colorScale>
    </cfRule>
  </conditionalFormatting>
  <conditionalFormatting sqref="CO248 CO254 CO256">
    <cfRule type="colorScale" priority="5240">
      <colorScale>
        <cfvo type="min"/>
        <cfvo type="max"/>
        <color rgb="FFFCFCFF"/>
        <color rgb="FFF8696B"/>
      </colorScale>
    </cfRule>
  </conditionalFormatting>
  <conditionalFormatting sqref="CQ248 CQ254">
    <cfRule type="colorScale" priority="5239">
      <colorScale>
        <cfvo type="min"/>
        <cfvo type="percentile" val="50"/>
        <cfvo type="max"/>
        <color rgb="FFF8696B"/>
        <color rgb="FFFFEB84"/>
        <color rgb="FF63BE7B"/>
      </colorScale>
    </cfRule>
  </conditionalFormatting>
  <conditionalFormatting sqref="CQ248">
    <cfRule type="colorScale" priority="5238">
      <colorScale>
        <cfvo type="min"/>
        <cfvo type="percentile" val="50"/>
        <cfvo type="max"/>
        <color rgb="FFF8696B"/>
        <color rgb="FFFFEB84"/>
        <color rgb="FF63BE7B"/>
      </colorScale>
    </cfRule>
  </conditionalFormatting>
  <conditionalFormatting sqref="CQ248 CQ254">
    <cfRule type="colorScale" priority="5237">
      <colorScale>
        <cfvo type="min"/>
        <cfvo type="percentile" val="50"/>
        <cfvo type="max"/>
        <color rgb="FF63BE7B"/>
        <color rgb="FFFFEB84"/>
        <color rgb="FFF8696B"/>
      </colorScale>
    </cfRule>
  </conditionalFormatting>
  <conditionalFormatting sqref="CQ254 CQ248">
    <cfRule type="colorScale" priority="5234">
      <colorScale>
        <cfvo type="min"/>
        <cfvo type="max"/>
        <color rgb="FFFCFCFF"/>
        <color rgb="FFF8696B"/>
      </colorScale>
    </cfRule>
    <cfRule type="colorScale" priority="5236">
      <colorScale>
        <cfvo type="min"/>
        <cfvo type="percentile" val="50"/>
        <cfvo type="max"/>
        <color rgb="FF63BE7B"/>
        <color rgb="FFFFEB84"/>
        <color rgb="FFF8696B"/>
      </colorScale>
    </cfRule>
  </conditionalFormatting>
  <conditionalFormatting sqref="CQ248 CQ254">
    <cfRule type="colorScale" priority="5235">
      <colorScale>
        <cfvo type="min"/>
        <cfvo type="max"/>
        <color rgb="FFF8696B"/>
        <color rgb="FFFCFCFF"/>
      </colorScale>
    </cfRule>
  </conditionalFormatting>
  <conditionalFormatting sqref="CQ256">
    <cfRule type="colorScale" priority="5233">
      <colorScale>
        <cfvo type="min"/>
        <cfvo type="percentile" val="50"/>
        <cfvo type="max"/>
        <color rgb="FFF8696B"/>
        <color rgb="FFFFEB84"/>
        <color rgb="FF63BE7B"/>
      </colorScale>
    </cfRule>
  </conditionalFormatting>
  <conditionalFormatting sqref="CQ256">
    <cfRule type="colorScale" priority="5232">
      <colorScale>
        <cfvo type="min"/>
        <cfvo type="percentile" val="50"/>
        <cfvo type="max"/>
        <color rgb="FFF8696B"/>
        <color rgb="FFFFEB84"/>
        <color rgb="FF63BE7B"/>
      </colorScale>
    </cfRule>
  </conditionalFormatting>
  <conditionalFormatting sqref="CQ256">
    <cfRule type="colorScale" priority="5231">
      <colorScale>
        <cfvo type="min"/>
        <cfvo type="percentile" val="50"/>
        <cfvo type="max"/>
        <color rgb="FFF8696B"/>
        <color rgb="FFFFEB84"/>
        <color rgb="FF63BE7B"/>
      </colorScale>
    </cfRule>
  </conditionalFormatting>
  <conditionalFormatting sqref="CQ256">
    <cfRule type="colorScale" priority="5230">
      <colorScale>
        <cfvo type="min"/>
        <cfvo type="percentile" val="50"/>
        <cfvo type="max"/>
        <color rgb="FF63BE7B"/>
        <color rgb="FFFFEB84"/>
        <color rgb="FFF8696B"/>
      </colorScale>
    </cfRule>
  </conditionalFormatting>
  <conditionalFormatting sqref="CQ256">
    <cfRule type="colorScale" priority="5227">
      <colorScale>
        <cfvo type="min"/>
        <cfvo type="max"/>
        <color rgb="FFFCFCFF"/>
        <color rgb="FFF8696B"/>
      </colorScale>
    </cfRule>
    <cfRule type="colorScale" priority="5229">
      <colorScale>
        <cfvo type="min"/>
        <cfvo type="percentile" val="50"/>
        <cfvo type="max"/>
        <color rgb="FF63BE7B"/>
        <color rgb="FFFFEB84"/>
        <color rgb="FFF8696B"/>
      </colorScale>
    </cfRule>
  </conditionalFormatting>
  <conditionalFormatting sqref="CQ256">
    <cfRule type="colorScale" priority="5228">
      <colorScale>
        <cfvo type="min"/>
        <cfvo type="max"/>
        <color rgb="FFF8696B"/>
        <color rgb="FFFCFCFF"/>
      </colorScale>
    </cfRule>
  </conditionalFormatting>
  <conditionalFormatting sqref="CQ248">
    <cfRule type="colorScale" priority="5226">
      <colorScale>
        <cfvo type="min"/>
        <cfvo type="percentile" val="50"/>
        <cfvo type="max"/>
        <color rgb="FFF8696B"/>
        <color rgb="FFFFEB84"/>
        <color rgb="FF63BE7B"/>
      </colorScale>
    </cfRule>
  </conditionalFormatting>
  <conditionalFormatting sqref="CQ254">
    <cfRule type="colorScale" priority="5225">
      <colorScale>
        <cfvo type="min"/>
        <cfvo type="percentile" val="50"/>
        <cfvo type="max"/>
        <color rgb="FFF8696B"/>
        <color rgb="FFFFEB84"/>
        <color rgb="FF63BE7B"/>
      </colorScale>
    </cfRule>
  </conditionalFormatting>
  <conditionalFormatting sqref="CQ248 CQ254 CQ256">
    <cfRule type="colorScale" priority="5224">
      <colorScale>
        <cfvo type="min"/>
        <cfvo type="max"/>
        <color rgb="FFFCFCFF"/>
        <color rgb="FFF8696B"/>
      </colorScale>
    </cfRule>
  </conditionalFormatting>
  <conditionalFormatting sqref="CE238">
    <cfRule type="colorScale" priority="5223">
      <colorScale>
        <cfvo type="min"/>
        <cfvo type="percentile" val="50"/>
        <cfvo type="max"/>
        <color rgb="FFF8696B"/>
        <color rgb="FFFFEB84"/>
        <color rgb="FF63BE7B"/>
      </colorScale>
    </cfRule>
  </conditionalFormatting>
  <conditionalFormatting sqref="CE238">
    <cfRule type="colorScale" priority="5222">
      <colorScale>
        <cfvo type="min"/>
        <cfvo type="percentile" val="50"/>
        <cfvo type="max"/>
        <color rgb="FF63BE7B"/>
        <color rgb="FFFFEB84"/>
        <color rgb="FFF8696B"/>
      </colorScale>
    </cfRule>
  </conditionalFormatting>
  <conditionalFormatting sqref="CE238">
    <cfRule type="colorScale" priority="5219">
      <colorScale>
        <cfvo type="min"/>
        <cfvo type="max"/>
        <color rgb="FFFCFCFF"/>
        <color rgb="FFF8696B"/>
      </colorScale>
    </cfRule>
    <cfRule type="colorScale" priority="5221">
      <colorScale>
        <cfvo type="min"/>
        <cfvo type="percentile" val="50"/>
        <cfvo type="max"/>
        <color rgb="FF63BE7B"/>
        <color rgb="FFFFEB84"/>
        <color rgb="FFF8696B"/>
      </colorScale>
    </cfRule>
  </conditionalFormatting>
  <conditionalFormatting sqref="CE238">
    <cfRule type="colorScale" priority="5220">
      <colorScale>
        <cfvo type="min"/>
        <cfvo type="max"/>
        <color rgb="FFF8696B"/>
        <color rgb="FFFCFCFF"/>
      </colorScale>
    </cfRule>
  </conditionalFormatting>
  <conditionalFormatting sqref="CE238">
    <cfRule type="colorScale" priority="5218">
      <colorScale>
        <cfvo type="min"/>
        <cfvo type="percentile" val="50"/>
        <cfvo type="max"/>
        <color rgb="FFF8696B"/>
        <color rgb="FFFFEB84"/>
        <color rgb="FF63BE7B"/>
      </colorScale>
    </cfRule>
  </conditionalFormatting>
  <conditionalFormatting sqref="CE238">
    <cfRule type="colorScale" priority="5217">
      <colorScale>
        <cfvo type="min"/>
        <cfvo type="max"/>
        <color rgb="FFFCFCFF"/>
        <color rgb="FFF8696B"/>
      </colorScale>
    </cfRule>
  </conditionalFormatting>
  <conditionalFormatting sqref="CE243">
    <cfRule type="colorScale" priority="5216">
      <colorScale>
        <cfvo type="min"/>
        <cfvo type="percentile" val="50"/>
        <cfvo type="max"/>
        <color rgb="FFF8696B"/>
        <color rgb="FFFFEB84"/>
        <color rgb="FF63BE7B"/>
      </colorScale>
    </cfRule>
  </conditionalFormatting>
  <conditionalFormatting sqref="CE243">
    <cfRule type="colorScale" priority="5215">
      <colorScale>
        <cfvo type="min"/>
        <cfvo type="percentile" val="50"/>
        <cfvo type="max"/>
        <color rgb="FF63BE7B"/>
        <color rgb="FFFFEB84"/>
        <color rgb="FFF8696B"/>
      </colorScale>
    </cfRule>
  </conditionalFormatting>
  <conditionalFormatting sqref="CE243">
    <cfRule type="colorScale" priority="5212">
      <colorScale>
        <cfvo type="min"/>
        <cfvo type="max"/>
        <color rgb="FFFCFCFF"/>
        <color rgb="FFF8696B"/>
      </colorScale>
    </cfRule>
    <cfRule type="colorScale" priority="5214">
      <colorScale>
        <cfvo type="min"/>
        <cfvo type="percentile" val="50"/>
        <cfvo type="max"/>
        <color rgb="FF63BE7B"/>
        <color rgb="FFFFEB84"/>
        <color rgb="FFF8696B"/>
      </colorScale>
    </cfRule>
  </conditionalFormatting>
  <conditionalFormatting sqref="CE243">
    <cfRule type="colorScale" priority="5213">
      <colorScale>
        <cfvo type="min"/>
        <cfvo type="max"/>
        <color rgb="FFF8696B"/>
        <color rgb="FFFCFCFF"/>
      </colorScale>
    </cfRule>
  </conditionalFormatting>
  <conditionalFormatting sqref="CE243">
    <cfRule type="colorScale" priority="5211">
      <colorScale>
        <cfvo type="min"/>
        <cfvo type="percentile" val="50"/>
        <cfvo type="max"/>
        <color rgb="FFF8696B"/>
        <color rgb="FFFFEB84"/>
        <color rgb="FF63BE7B"/>
      </colorScale>
    </cfRule>
  </conditionalFormatting>
  <conditionalFormatting sqref="CE243">
    <cfRule type="colorScale" priority="5210">
      <colorScale>
        <cfvo type="min"/>
        <cfvo type="max"/>
        <color rgb="FFFCFCFF"/>
        <color rgb="FFF8696B"/>
      </colorScale>
    </cfRule>
  </conditionalFormatting>
  <conditionalFormatting sqref="CG238">
    <cfRule type="colorScale" priority="5209">
      <colorScale>
        <cfvo type="min"/>
        <cfvo type="percentile" val="50"/>
        <cfvo type="max"/>
        <color rgb="FFF8696B"/>
        <color rgb="FFFFEB84"/>
        <color rgb="FF63BE7B"/>
      </colorScale>
    </cfRule>
  </conditionalFormatting>
  <conditionalFormatting sqref="CG238">
    <cfRule type="colorScale" priority="5208">
      <colorScale>
        <cfvo type="min"/>
        <cfvo type="percentile" val="50"/>
        <cfvo type="max"/>
        <color rgb="FF63BE7B"/>
        <color rgb="FFFFEB84"/>
        <color rgb="FFF8696B"/>
      </colorScale>
    </cfRule>
  </conditionalFormatting>
  <conditionalFormatting sqref="CG238">
    <cfRule type="colorScale" priority="5205">
      <colorScale>
        <cfvo type="min"/>
        <cfvo type="max"/>
        <color rgb="FFFCFCFF"/>
        <color rgb="FFF8696B"/>
      </colorScale>
    </cfRule>
    <cfRule type="colorScale" priority="5207">
      <colorScale>
        <cfvo type="min"/>
        <cfvo type="percentile" val="50"/>
        <cfvo type="max"/>
        <color rgb="FF63BE7B"/>
        <color rgb="FFFFEB84"/>
        <color rgb="FFF8696B"/>
      </colorScale>
    </cfRule>
  </conditionalFormatting>
  <conditionalFormatting sqref="CG238">
    <cfRule type="colorScale" priority="5206">
      <colorScale>
        <cfvo type="min"/>
        <cfvo type="max"/>
        <color rgb="FFF8696B"/>
        <color rgb="FFFCFCFF"/>
      </colorScale>
    </cfRule>
  </conditionalFormatting>
  <conditionalFormatting sqref="CG238">
    <cfRule type="colorScale" priority="5204">
      <colorScale>
        <cfvo type="min"/>
        <cfvo type="percentile" val="50"/>
        <cfvo type="max"/>
        <color rgb="FFF8696B"/>
        <color rgb="FFFFEB84"/>
        <color rgb="FF63BE7B"/>
      </colorScale>
    </cfRule>
  </conditionalFormatting>
  <conditionalFormatting sqref="CG238">
    <cfRule type="colorScale" priority="5203">
      <colorScale>
        <cfvo type="min"/>
        <cfvo type="max"/>
        <color rgb="FFFCFCFF"/>
        <color rgb="FFF8696B"/>
      </colorScale>
    </cfRule>
  </conditionalFormatting>
  <conditionalFormatting sqref="CG243">
    <cfRule type="colorScale" priority="5202">
      <colorScale>
        <cfvo type="min"/>
        <cfvo type="percentile" val="50"/>
        <cfvo type="max"/>
        <color rgb="FFF8696B"/>
        <color rgb="FFFFEB84"/>
        <color rgb="FF63BE7B"/>
      </colorScale>
    </cfRule>
  </conditionalFormatting>
  <conditionalFormatting sqref="CG243">
    <cfRule type="colorScale" priority="5201">
      <colorScale>
        <cfvo type="min"/>
        <cfvo type="percentile" val="50"/>
        <cfvo type="max"/>
        <color rgb="FF63BE7B"/>
        <color rgb="FFFFEB84"/>
        <color rgb="FFF8696B"/>
      </colorScale>
    </cfRule>
  </conditionalFormatting>
  <conditionalFormatting sqref="CG243">
    <cfRule type="colorScale" priority="5198">
      <colorScale>
        <cfvo type="min"/>
        <cfvo type="max"/>
        <color rgb="FFFCFCFF"/>
        <color rgb="FFF8696B"/>
      </colorScale>
    </cfRule>
    <cfRule type="colorScale" priority="5200">
      <colorScale>
        <cfvo type="min"/>
        <cfvo type="percentile" val="50"/>
        <cfvo type="max"/>
        <color rgb="FF63BE7B"/>
        <color rgb="FFFFEB84"/>
        <color rgb="FFF8696B"/>
      </colorScale>
    </cfRule>
  </conditionalFormatting>
  <conditionalFormatting sqref="CG243">
    <cfRule type="colorScale" priority="5199">
      <colorScale>
        <cfvo type="min"/>
        <cfvo type="max"/>
        <color rgb="FFF8696B"/>
        <color rgb="FFFCFCFF"/>
      </colorScale>
    </cfRule>
  </conditionalFormatting>
  <conditionalFormatting sqref="CG243">
    <cfRule type="colorScale" priority="5197">
      <colorScale>
        <cfvo type="min"/>
        <cfvo type="percentile" val="50"/>
        <cfvo type="max"/>
        <color rgb="FFF8696B"/>
        <color rgb="FFFFEB84"/>
        <color rgb="FF63BE7B"/>
      </colorScale>
    </cfRule>
  </conditionalFormatting>
  <conditionalFormatting sqref="CG243">
    <cfRule type="colorScale" priority="5196">
      <colorScale>
        <cfvo type="min"/>
        <cfvo type="max"/>
        <color rgb="FFFCFCFF"/>
        <color rgb="FFF8696B"/>
      </colorScale>
    </cfRule>
  </conditionalFormatting>
  <conditionalFormatting sqref="CI238">
    <cfRule type="colorScale" priority="5195">
      <colorScale>
        <cfvo type="min"/>
        <cfvo type="percentile" val="50"/>
        <cfvo type="max"/>
        <color rgb="FFF8696B"/>
        <color rgb="FFFFEB84"/>
        <color rgb="FF63BE7B"/>
      </colorScale>
    </cfRule>
  </conditionalFormatting>
  <conditionalFormatting sqref="CI238">
    <cfRule type="colorScale" priority="5194">
      <colorScale>
        <cfvo type="min"/>
        <cfvo type="percentile" val="50"/>
        <cfvo type="max"/>
        <color rgb="FF63BE7B"/>
        <color rgb="FFFFEB84"/>
        <color rgb="FFF8696B"/>
      </colorScale>
    </cfRule>
  </conditionalFormatting>
  <conditionalFormatting sqref="CI238">
    <cfRule type="colorScale" priority="5191">
      <colorScale>
        <cfvo type="min"/>
        <cfvo type="max"/>
        <color rgb="FFFCFCFF"/>
        <color rgb="FFF8696B"/>
      </colorScale>
    </cfRule>
    <cfRule type="colorScale" priority="5193">
      <colorScale>
        <cfvo type="min"/>
        <cfvo type="percentile" val="50"/>
        <cfvo type="max"/>
        <color rgb="FF63BE7B"/>
        <color rgb="FFFFEB84"/>
        <color rgb="FFF8696B"/>
      </colorScale>
    </cfRule>
  </conditionalFormatting>
  <conditionalFormatting sqref="CI238">
    <cfRule type="colorScale" priority="5192">
      <colorScale>
        <cfvo type="min"/>
        <cfvo type="max"/>
        <color rgb="FFF8696B"/>
        <color rgb="FFFCFCFF"/>
      </colorScale>
    </cfRule>
  </conditionalFormatting>
  <conditionalFormatting sqref="CI238">
    <cfRule type="colorScale" priority="5190">
      <colorScale>
        <cfvo type="min"/>
        <cfvo type="percentile" val="50"/>
        <cfvo type="max"/>
        <color rgb="FFF8696B"/>
        <color rgb="FFFFEB84"/>
        <color rgb="FF63BE7B"/>
      </colorScale>
    </cfRule>
  </conditionalFormatting>
  <conditionalFormatting sqref="CI238">
    <cfRule type="colorScale" priority="5189">
      <colorScale>
        <cfvo type="min"/>
        <cfvo type="max"/>
        <color rgb="FFFCFCFF"/>
        <color rgb="FFF8696B"/>
      </colorScale>
    </cfRule>
  </conditionalFormatting>
  <conditionalFormatting sqref="CI243">
    <cfRule type="colorScale" priority="5188">
      <colorScale>
        <cfvo type="min"/>
        <cfvo type="percentile" val="50"/>
        <cfvo type="max"/>
        <color rgb="FFF8696B"/>
        <color rgb="FFFFEB84"/>
        <color rgb="FF63BE7B"/>
      </colorScale>
    </cfRule>
  </conditionalFormatting>
  <conditionalFormatting sqref="CI243">
    <cfRule type="colorScale" priority="5187">
      <colorScale>
        <cfvo type="min"/>
        <cfvo type="percentile" val="50"/>
        <cfvo type="max"/>
        <color rgb="FF63BE7B"/>
        <color rgb="FFFFEB84"/>
        <color rgb="FFF8696B"/>
      </colorScale>
    </cfRule>
  </conditionalFormatting>
  <conditionalFormatting sqref="CI243">
    <cfRule type="colorScale" priority="5184">
      <colorScale>
        <cfvo type="min"/>
        <cfvo type="max"/>
        <color rgb="FFFCFCFF"/>
        <color rgb="FFF8696B"/>
      </colorScale>
    </cfRule>
    <cfRule type="colorScale" priority="5186">
      <colorScale>
        <cfvo type="min"/>
        <cfvo type="percentile" val="50"/>
        <cfvo type="max"/>
        <color rgb="FF63BE7B"/>
        <color rgb="FFFFEB84"/>
        <color rgb="FFF8696B"/>
      </colorScale>
    </cfRule>
  </conditionalFormatting>
  <conditionalFormatting sqref="CI243">
    <cfRule type="colorScale" priority="5185">
      <colorScale>
        <cfvo type="min"/>
        <cfvo type="max"/>
        <color rgb="FFF8696B"/>
        <color rgb="FFFCFCFF"/>
      </colorScale>
    </cfRule>
  </conditionalFormatting>
  <conditionalFormatting sqref="CI243">
    <cfRule type="colorScale" priority="5183">
      <colorScale>
        <cfvo type="min"/>
        <cfvo type="percentile" val="50"/>
        <cfvo type="max"/>
        <color rgb="FFF8696B"/>
        <color rgb="FFFFEB84"/>
        <color rgb="FF63BE7B"/>
      </colorScale>
    </cfRule>
  </conditionalFormatting>
  <conditionalFormatting sqref="CI243">
    <cfRule type="colorScale" priority="5182">
      <colorScale>
        <cfvo type="min"/>
        <cfvo type="max"/>
        <color rgb="FFFCFCFF"/>
        <color rgb="FFF8696B"/>
      </colorScale>
    </cfRule>
  </conditionalFormatting>
  <conditionalFormatting sqref="CM228">
    <cfRule type="colorScale" priority="5181">
      <colorScale>
        <cfvo type="min"/>
        <cfvo type="percentile" val="50"/>
        <cfvo type="max"/>
        <color rgb="FFF8696B"/>
        <color rgb="FFFFEB84"/>
        <color rgb="FF63BE7B"/>
      </colorScale>
    </cfRule>
  </conditionalFormatting>
  <conditionalFormatting sqref="CM228">
    <cfRule type="colorScale" priority="5180">
      <colorScale>
        <cfvo type="min"/>
        <cfvo type="percentile" val="50"/>
        <cfvo type="max"/>
        <color rgb="FFF8696B"/>
        <color rgb="FFFFEB84"/>
        <color rgb="FF63BE7B"/>
      </colorScale>
    </cfRule>
  </conditionalFormatting>
  <conditionalFormatting sqref="CM228">
    <cfRule type="colorScale" priority="5179">
      <colorScale>
        <cfvo type="min"/>
        <cfvo type="percentile" val="50"/>
        <cfvo type="max"/>
        <color rgb="FF63BE7B"/>
        <color rgb="FFFFEB84"/>
        <color rgb="FFF8696B"/>
      </colorScale>
    </cfRule>
  </conditionalFormatting>
  <conditionalFormatting sqref="CM228">
    <cfRule type="colorScale" priority="5176">
      <colorScale>
        <cfvo type="min"/>
        <cfvo type="max"/>
        <color rgb="FFFCFCFF"/>
        <color rgb="FFF8696B"/>
      </colorScale>
    </cfRule>
    <cfRule type="colorScale" priority="5178">
      <colorScale>
        <cfvo type="min"/>
        <cfvo type="percentile" val="50"/>
        <cfvo type="max"/>
        <color rgb="FF63BE7B"/>
        <color rgb="FFFFEB84"/>
        <color rgb="FFF8696B"/>
      </colorScale>
    </cfRule>
  </conditionalFormatting>
  <conditionalFormatting sqref="CM228">
    <cfRule type="colorScale" priority="5177">
      <colorScale>
        <cfvo type="min"/>
        <cfvo type="max"/>
        <color rgb="FFF8696B"/>
        <color rgb="FFFCFCFF"/>
      </colorScale>
    </cfRule>
  </conditionalFormatting>
  <conditionalFormatting sqref="CM228">
    <cfRule type="colorScale" priority="5175">
      <colorScale>
        <cfvo type="min"/>
        <cfvo type="max"/>
        <color rgb="FFFCFCFF"/>
        <color rgb="FFF8696B"/>
      </colorScale>
    </cfRule>
  </conditionalFormatting>
  <conditionalFormatting sqref="CO228">
    <cfRule type="colorScale" priority="5174">
      <colorScale>
        <cfvo type="min"/>
        <cfvo type="percentile" val="50"/>
        <cfvo type="max"/>
        <color rgb="FFF8696B"/>
        <color rgb="FFFFEB84"/>
        <color rgb="FF63BE7B"/>
      </colorScale>
    </cfRule>
  </conditionalFormatting>
  <conditionalFormatting sqref="CO228">
    <cfRule type="colorScale" priority="5173">
      <colorScale>
        <cfvo type="min"/>
        <cfvo type="percentile" val="50"/>
        <cfvo type="max"/>
        <color rgb="FFF8696B"/>
        <color rgb="FFFFEB84"/>
        <color rgb="FF63BE7B"/>
      </colorScale>
    </cfRule>
  </conditionalFormatting>
  <conditionalFormatting sqref="CO228">
    <cfRule type="colorScale" priority="5172">
      <colorScale>
        <cfvo type="min"/>
        <cfvo type="percentile" val="50"/>
        <cfvo type="max"/>
        <color rgb="FF63BE7B"/>
        <color rgb="FFFFEB84"/>
        <color rgb="FFF8696B"/>
      </colorScale>
    </cfRule>
  </conditionalFormatting>
  <conditionalFormatting sqref="CO228">
    <cfRule type="colorScale" priority="5169">
      <colorScale>
        <cfvo type="min"/>
        <cfvo type="max"/>
        <color rgb="FFFCFCFF"/>
        <color rgb="FFF8696B"/>
      </colorScale>
    </cfRule>
    <cfRule type="colorScale" priority="5171">
      <colorScale>
        <cfvo type="min"/>
        <cfvo type="percentile" val="50"/>
        <cfvo type="max"/>
        <color rgb="FF63BE7B"/>
        <color rgb="FFFFEB84"/>
        <color rgb="FFF8696B"/>
      </colorScale>
    </cfRule>
  </conditionalFormatting>
  <conditionalFormatting sqref="CO228">
    <cfRule type="colorScale" priority="5170">
      <colorScale>
        <cfvo type="min"/>
        <cfvo type="max"/>
        <color rgb="FFF8696B"/>
        <color rgb="FFFCFCFF"/>
      </colorScale>
    </cfRule>
  </conditionalFormatting>
  <conditionalFormatting sqref="CO228">
    <cfRule type="colorScale" priority="5168">
      <colorScale>
        <cfvo type="min"/>
        <cfvo type="max"/>
        <color rgb="FFFCFCFF"/>
        <color rgb="FFF8696B"/>
      </colorScale>
    </cfRule>
  </conditionalFormatting>
  <conditionalFormatting sqref="CQ228">
    <cfRule type="colorScale" priority="5167">
      <colorScale>
        <cfvo type="min"/>
        <cfvo type="percentile" val="50"/>
        <cfvo type="max"/>
        <color rgb="FFF8696B"/>
        <color rgb="FFFFEB84"/>
        <color rgb="FF63BE7B"/>
      </colorScale>
    </cfRule>
  </conditionalFormatting>
  <conditionalFormatting sqref="CQ228">
    <cfRule type="colorScale" priority="5166">
      <colorScale>
        <cfvo type="min"/>
        <cfvo type="percentile" val="50"/>
        <cfvo type="max"/>
        <color rgb="FFF8696B"/>
        <color rgb="FFFFEB84"/>
        <color rgb="FF63BE7B"/>
      </colorScale>
    </cfRule>
  </conditionalFormatting>
  <conditionalFormatting sqref="CQ228">
    <cfRule type="colorScale" priority="5165">
      <colorScale>
        <cfvo type="min"/>
        <cfvo type="percentile" val="50"/>
        <cfvo type="max"/>
        <color rgb="FF63BE7B"/>
        <color rgb="FFFFEB84"/>
        <color rgb="FFF8696B"/>
      </colorScale>
    </cfRule>
  </conditionalFormatting>
  <conditionalFormatting sqref="CQ228">
    <cfRule type="colorScale" priority="5162">
      <colorScale>
        <cfvo type="min"/>
        <cfvo type="max"/>
        <color rgb="FFFCFCFF"/>
        <color rgb="FFF8696B"/>
      </colorScale>
    </cfRule>
    <cfRule type="colorScale" priority="5164">
      <colorScale>
        <cfvo type="min"/>
        <cfvo type="percentile" val="50"/>
        <cfvo type="max"/>
        <color rgb="FF63BE7B"/>
        <color rgb="FFFFEB84"/>
        <color rgb="FFF8696B"/>
      </colorScale>
    </cfRule>
  </conditionalFormatting>
  <conditionalFormatting sqref="CQ228">
    <cfRule type="colorScale" priority="5163">
      <colorScale>
        <cfvo type="min"/>
        <cfvo type="max"/>
        <color rgb="FFF8696B"/>
        <color rgb="FFFCFCFF"/>
      </colorScale>
    </cfRule>
  </conditionalFormatting>
  <conditionalFormatting sqref="CQ228">
    <cfRule type="colorScale" priority="5161">
      <colorScale>
        <cfvo type="min"/>
        <cfvo type="max"/>
        <color rgb="FFFCFCFF"/>
        <color rgb="FFF8696B"/>
      </colorScale>
    </cfRule>
  </conditionalFormatting>
  <conditionalFormatting sqref="CE248">
    <cfRule type="colorScale" priority="5160">
      <colorScale>
        <cfvo type="min"/>
        <cfvo type="percentile" val="50"/>
        <cfvo type="max"/>
        <color rgb="FFF8696B"/>
        <color rgb="FFFFEB84"/>
        <color rgb="FF63BE7B"/>
      </colorScale>
    </cfRule>
  </conditionalFormatting>
  <conditionalFormatting sqref="CE248">
    <cfRule type="colorScale" priority="5159">
      <colorScale>
        <cfvo type="min"/>
        <cfvo type="percentile" val="50"/>
        <cfvo type="max"/>
        <color rgb="FF63BE7B"/>
        <color rgb="FFFFEB84"/>
        <color rgb="FFF8696B"/>
      </colorScale>
    </cfRule>
  </conditionalFormatting>
  <conditionalFormatting sqref="CE248">
    <cfRule type="colorScale" priority="5156">
      <colorScale>
        <cfvo type="min"/>
        <cfvo type="max"/>
        <color rgb="FFFCFCFF"/>
        <color rgb="FFF8696B"/>
      </colorScale>
    </cfRule>
    <cfRule type="colorScale" priority="5158">
      <colorScale>
        <cfvo type="min"/>
        <cfvo type="percentile" val="50"/>
        <cfvo type="max"/>
        <color rgb="FF63BE7B"/>
        <color rgb="FFFFEB84"/>
        <color rgb="FFF8696B"/>
      </colorScale>
    </cfRule>
  </conditionalFormatting>
  <conditionalFormatting sqref="CE248">
    <cfRule type="colorScale" priority="5157">
      <colorScale>
        <cfvo type="min"/>
        <cfvo type="max"/>
        <color rgb="FFF8696B"/>
        <color rgb="FFFCFCFF"/>
      </colorScale>
    </cfRule>
  </conditionalFormatting>
  <conditionalFormatting sqref="CE248">
    <cfRule type="colorScale" priority="5155">
      <colorScale>
        <cfvo type="min"/>
        <cfvo type="percentile" val="50"/>
        <cfvo type="max"/>
        <color rgb="FFF8696B"/>
        <color rgb="FFFFEB84"/>
        <color rgb="FF63BE7B"/>
      </colorScale>
    </cfRule>
  </conditionalFormatting>
  <conditionalFormatting sqref="CE248">
    <cfRule type="colorScale" priority="5154">
      <colorScale>
        <cfvo type="min"/>
        <cfvo type="max"/>
        <color rgb="FFFCFCFF"/>
        <color rgb="FFF8696B"/>
      </colorScale>
    </cfRule>
  </conditionalFormatting>
  <conditionalFormatting sqref="CG248">
    <cfRule type="colorScale" priority="5153">
      <colorScale>
        <cfvo type="min"/>
        <cfvo type="percentile" val="50"/>
        <cfvo type="max"/>
        <color rgb="FFF8696B"/>
        <color rgb="FFFFEB84"/>
        <color rgb="FF63BE7B"/>
      </colorScale>
    </cfRule>
  </conditionalFormatting>
  <conditionalFormatting sqref="CG248">
    <cfRule type="colorScale" priority="5152">
      <colorScale>
        <cfvo type="min"/>
        <cfvo type="percentile" val="50"/>
        <cfvo type="max"/>
        <color rgb="FF63BE7B"/>
        <color rgb="FFFFEB84"/>
        <color rgb="FFF8696B"/>
      </colorScale>
    </cfRule>
  </conditionalFormatting>
  <conditionalFormatting sqref="CG248">
    <cfRule type="colorScale" priority="5149">
      <colorScale>
        <cfvo type="min"/>
        <cfvo type="max"/>
        <color rgb="FFFCFCFF"/>
        <color rgb="FFF8696B"/>
      </colorScale>
    </cfRule>
    <cfRule type="colorScale" priority="5151">
      <colorScale>
        <cfvo type="min"/>
        <cfvo type="percentile" val="50"/>
        <cfvo type="max"/>
        <color rgb="FF63BE7B"/>
        <color rgb="FFFFEB84"/>
        <color rgb="FFF8696B"/>
      </colorScale>
    </cfRule>
  </conditionalFormatting>
  <conditionalFormatting sqref="CG248">
    <cfRule type="colorScale" priority="5150">
      <colorScale>
        <cfvo type="min"/>
        <cfvo type="max"/>
        <color rgb="FFF8696B"/>
        <color rgb="FFFCFCFF"/>
      </colorScale>
    </cfRule>
  </conditionalFormatting>
  <conditionalFormatting sqref="CG248">
    <cfRule type="colorScale" priority="5148">
      <colorScale>
        <cfvo type="min"/>
        <cfvo type="percentile" val="50"/>
        <cfvo type="max"/>
        <color rgb="FFF8696B"/>
        <color rgb="FFFFEB84"/>
        <color rgb="FF63BE7B"/>
      </colorScale>
    </cfRule>
  </conditionalFormatting>
  <conditionalFormatting sqref="CG248">
    <cfRule type="colorScale" priority="5147">
      <colorScale>
        <cfvo type="min"/>
        <cfvo type="max"/>
        <color rgb="FFFCFCFF"/>
        <color rgb="FFF8696B"/>
      </colorScale>
    </cfRule>
  </conditionalFormatting>
  <conditionalFormatting sqref="CI233">
    <cfRule type="colorScale" priority="5146">
      <colorScale>
        <cfvo type="min"/>
        <cfvo type="percentile" val="50"/>
        <cfvo type="max"/>
        <color rgb="FFF8696B"/>
        <color rgb="FFFFEB84"/>
        <color rgb="FF63BE7B"/>
      </colorScale>
    </cfRule>
  </conditionalFormatting>
  <conditionalFormatting sqref="CI233">
    <cfRule type="colorScale" priority="5145">
      <colorScale>
        <cfvo type="min"/>
        <cfvo type="percentile" val="50"/>
        <cfvo type="max"/>
        <color rgb="FF63BE7B"/>
        <color rgb="FFFFEB84"/>
        <color rgb="FFF8696B"/>
      </colorScale>
    </cfRule>
  </conditionalFormatting>
  <conditionalFormatting sqref="CI233">
    <cfRule type="colorScale" priority="5142">
      <colorScale>
        <cfvo type="min"/>
        <cfvo type="max"/>
        <color rgb="FFFCFCFF"/>
        <color rgb="FFF8696B"/>
      </colorScale>
    </cfRule>
    <cfRule type="colorScale" priority="5144">
      <colorScale>
        <cfvo type="min"/>
        <cfvo type="percentile" val="50"/>
        <cfvo type="max"/>
        <color rgb="FF63BE7B"/>
        <color rgb="FFFFEB84"/>
        <color rgb="FFF8696B"/>
      </colorScale>
    </cfRule>
  </conditionalFormatting>
  <conditionalFormatting sqref="CI233">
    <cfRule type="colorScale" priority="5143">
      <colorScale>
        <cfvo type="min"/>
        <cfvo type="max"/>
        <color rgb="FFF8696B"/>
        <color rgb="FFFCFCFF"/>
      </colorScale>
    </cfRule>
  </conditionalFormatting>
  <conditionalFormatting sqref="CI233">
    <cfRule type="colorScale" priority="5141">
      <colorScale>
        <cfvo type="min"/>
        <cfvo type="max"/>
        <color rgb="FFFCFCFF"/>
        <color rgb="FFF8696B"/>
      </colorScale>
    </cfRule>
  </conditionalFormatting>
  <conditionalFormatting sqref="CM233">
    <cfRule type="colorScale" priority="5140">
      <colorScale>
        <cfvo type="min"/>
        <cfvo type="percentile" val="50"/>
        <cfvo type="max"/>
        <color rgb="FFF8696B"/>
        <color rgb="FFFFEB84"/>
        <color rgb="FF63BE7B"/>
      </colorScale>
    </cfRule>
  </conditionalFormatting>
  <conditionalFormatting sqref="CM233">
    <cfRule type="colorScale" priority="5139">
      <colorScale>
        <cfvo type="min"/>
        <cfvo type="percentile" val="50"/>
        <cfvo type="max"/>
        <color rgb="FFF8696B"/>
        <color rgb="FFFFEB84"/>
        <color rgb="FF63BE7B"/>
      </colorScale>
    </cfRule>
  </conditionalFormatting>
  <conditionalFormatting sqref="CM233">
    <cfRule type="colorScale" priority="5138">
      <colorScale>
        <cfvo type="min"/>
        <cfvo type="percentile" val="50"/>
        <cfvo type="max"/>
        <color rgb="FF63BE7B"/>
        <color rgb="FFFFEB84"/>
        <color rgb="FFF8696B"/>
      </colorScale>
    </cfRule>
  </conditionalFormatting>
  <conditionalFormatting sqref="CM233">
    <cfRule type="colorScale" priority="5135">
      <colorScale>
        <cfvo type="min"/>
        <cfvo type="max"/>
        <color rgb="FFFCFCFF"/>
        <color rgb="FFF8696B"/>
      </colorScale>
    </cfRule>
    <cfRule type="colorScale" priority="5137">
      <colorScale>
        <cfvo type="min"/>
        <cfvo type="percentile" val="50"/>
        <cfvo type="max"/>
        <color rgb="FF63BE7B"/>
        <color rgb="FFFFEB84"/>
        <color rgb="FFF8696B"/>
      </colorScale>
    </cfRule>
  </conditionalFormatting>
  <conditionalFormatting sqref="CM233">
    <cfRule type="colorScale" priority="5136">
      <colorScale>
        <cfvo type="min"/>
        <cfvo type="max"/>
        <color rgb="FFF8696B"/>
        <color rgb="FFFCFCFF"/>
      </colorScale>
    </cfRule>
  </conditionalFormatting>
  <conditionalFormatting sqref="CM233">
    <cfRule type="colorScale" priority="5134">
      <colorScale>
        <cfvo type="min"/>
        <cfvo type="max"/>
        <color rgb="FFFCFCFF"/>
        <color rgb="FFF8696B"/>
      </colorScale>
    </cfRule>
  </conditionalFormatting>
  <conditionalFormatting sqref="CK233">
    <cfRule type="colorScale" priority="5133">
      <colorScale>
        <cfvo type="min"/>
        <cfvo type="percentile" val="50"/>
        <cfvo type="max"/>
        <color rgb="FFF8696B"/>
        <color rgb="FFFFEB84"/>
        <color rgb="FF63BE7B"/>
      </colorScale>
    </cfRule>
  </conditionalFormatting>
  <conditionalFormatting sqref="CK233">
    <cfRule type="colorScale" priority="5132">
      <colorScale>
        <cfvo type="min"/>
        <cfvo type="percentile" val="50"/>
        <cfvo type="max"/>
        <color rgb="FF63BE7B"/>
        <color rgb="FFFFEB84"/>
        <color rgb="FFF8696B"/>
      </colorScale>
    </cfRule>
  </conditionalFormatting>
  <conditionalFormatting sqref="CK233">
    <cfRule type="colorScale" priority="5129">
      <colorScale>
        <cfvo type="min"/>
        <cfvo type="max"/>
        <color rgb="FFFCFCFF"/>
        <color rgb="FFF8696B"/>
      </colorScale>
    </cfRule>
    <cfRule type="colorScale" priority="5131">
      <colorScale>
        <cfvo type="min"/>
        <cfvo type="percentile" val="50"/>
        <cfvo type="max"/>
        <color rgb="FF63BE7B"/>
        <color rgb="FFFFEB84"/>
        <color rgb="FFF8696B"/>
      </colorScale>
    </cfRule>
  </conditionalFormatting>
  <conditionalFormatting sqref="CK233">
    <cfRule type="colorScale" priority="5130">
      <colorScale>
        <cfvo type="min"/>
        <cfvo type="max"/>
        <color rgb="FFF8696B"/>
        <color rgb="FFFCFCFF"/>
      </colorScale>
    </cfRule>
  </conditionalFormatting>
  <conditionalFormatting sqref="CK233">
    <cfRule type="colorScale" priority="5128">
      <colorScale>
        <cfvo type="min"/>
        <cfvo type="max"/>
        <color rgb="FFFCFCFF"/>
        <color rgb="FFF8696B"/>
      </colorScale>
    </cfRule>
  </conditionalFormatting>
  <conditionalFormatting sqref="CO233">
    <cfRule type="colorScale" priority="5127">
      <colorScale>
        <cfvo type="min"/>
        <cfvo type="percentile" val="50"/>
        <cfvo type="max"/>
        <color rgb="FFF8696B"/>
        <color rgb="FFFFEB84"/>
        <color rgb="FF63BE7B"/>
      </colorScale>
    </cfRule>
  </conditionalFormatting>
  <conditionalFormatting sqref="CO233">
    <cfRule type="colorScale" priority="5126">
      <colorScale>
        <cfvo type="min"/>
        <cfvo type="percentile" val="50"/>
        <cfvo type="max"/>
        <color rgb="FFF8696B"/>
        <color rgb="FFFFEB84"/>
        <color rgb="FF63BE7B"/>
      </colorScale>
    </cfRule>
  </conditionalFormatting>
  <conditionalFormatting sqref="CO233">
    <cfRule type="colorScale" priority="5125">
      <colorScale>
        <cfvo type="min"/>
        <cfvo type="percentile" val="50"/>
        <cfvo type="max"/>
        <color rgb="FF63BE7B"/>
        <color rgb="FFFFEB84"/>
        <color rgb="FFF8696B"/>
      </colorScale>
    </cfRule>
  </conditionalFormatting>
  <conditionalFormatting sqref="CO233">
    <cfRule type="colorScale" priority="5122">
      <colorScale>
        <cfvo type="min"/>
        <cfvo type="max"/>
        <color rgb="FFFCFCFF"/>
        <color rgb="FFF8696B"/>
      </colorScale>
    </cfRule>
    <cfRule type="colorScale" priority="5124">
      <colorScale>
        <cfvo type="min"/>
        <cfvo type="percentile" val="50"/>
        <cfvo type="max"/>
        <color rgb="FF63BE7B"/>
        <color rgb="FFFFEB84"/>
        <color rgb="FFF8696B"/>
      </colorScale>
    </cfRule>
  </conditionalFormatting>
  <conditionalFormatting sqref="CO233">
    <cfRule type="colorScale" priority="5123">
      <colorScale>
        <cfvo type="min"/>
        <cfvo type="max"/>
        <color rgb="FFF8696B"/>
        <color rgb="FFFCFCFF"/>
      </colorScale>
    </cfRule>
  </conditionalFormatting>
  <conditionalFormatting sqref="CO233">
    <cfRule type="colorScale" priority="5121">
      <colorScale>
        <cfvo type="min"/>
        <cfvo type="max"/>
        <color rgb="FFFCFCFF"/>
        <color rgb="FFF8696B"/>
      </colorScale>
    </cfRule>
  </conditionalFormatting>
  <conditionalFormatting sqref="CQ233">
    <cfRule type="colorScale" priority="5120">
      <colorScale>
        <cfvo type="min"/>
        <cfvo type="percentile" val="50"/>
        <cfvo type="max"/>
        <color rgb="FFF8696B"/>
        <color rgb="FFFFEB84"/>
        <color rgb="FF63BE7B"/>
      </colorScale>
    </cfRule>
  </conditionalFormatting>
  <conditionalFormatting sqref="CQ233">
    <cfRule type="colorScale" priority="5119">
      <colorScale>
        <cfvo type="min"/>
        <cfvo type="percentile" val="50"/>
        <cfvo type="max"/>
        <color rgb="FFF8696B"/>
        <color rgb="FFFFEB84"/>
        <color rgb="FF63BE7B"/>
      </colorScale>
    </cfRule>
  </conditionalFormatting>
  <conditionalFormatting sqref="CQ233">
    <cfRule type="colorScale" priority="5118">
      <colorScale>
        <cfvo type="min"/>
        <cfvo type="percentile" val="50"/>
        <cfvo type="max"/>
        <color rgb="FF63BE7B"/>
        <color rgb="FFFFEB84"/>
        <color rgb="FFF8696B"/>
      </colorScale>
    </cfRule>
  </conditionalFormatting>
  <conditionalFormatting sqref="CQ233">
    <cfRule type="colorScale" priority="5115">
      <colorScale>
        <cfvo type="min"/>
        <cfvo type="max"/>
        <color rgb="FFFCFCFF"/>
        <color rgb="FFF8696B"/>
      </colorScale>
    </cfRule>
    <cfRule type="colorScale" priority="5117">
      <colorScale>
        <cfvo type="min"/>
        <cfvo type="percentile" val="50"/>
        <cfvo type="max"/>
        <color rgb="FF63BE7B"/>
        <color rgb="FFFFEB84"/>
        <color rgb="FFF8696B"/>
      </colorScale>
    </cfRule>
  </conditionalFormatting>
  <conditionalFormatting sqref="CQ233">
    <cfRule type="colorScale" priority="5116">
      <colorScale>
        <cfvo type="min"/>
        <cfvo type="max"/>
        <color rgb="FFF8696B"/>
        <color rgb="FFFCFCFF"/>
      </colorScale>
    </cfRule>
  </conditionalFormatting>
  <conditionalFormatting sqref="CQ233">
    <cfRule type="colorScale" priority="5114">
      <colorScale>
        <cfvo type="min"/>
        <cfvo type="max"/>
        <color rgb="FFFCFCFF"/>
        <color rgb="FFF8696B"/>
      </colorScale>
    </cfRule>
  </conditionalFormatting>
  <conditionalFormatting sqref="CQ147">
    <cfRule type="colorScale" priority="5113">
      <colorScale>
        <cfvo type="min"/>
        <cfvo type="percentile" val="50"/>
        <cfvo type="max"/>
        <color rgb="FFF8696B"/>
        <color rgb="FFFFEB84"/>
        <color rgb="FF63BE7B"/>
      </colorScale>
    </cfRule>
  </conditionalFormatting>
  <conditionalFormatting sqref="CQ147">
    <cfRule type="colorScale" priority="5112">
      <colorScale>
        <cfvo type="min"/>
        <cfvo type="percentile" val="50"/>
        <cfvo type="max"/>
        <color rgb="FFF8696B"/>
        <color rgb="FFFFEB84"/>
        <color rgb="FF63BE7B"/>
      </colorScale>
    </cfRule>
  </conditionalFormatting>
  <conditionalFormatting sqref="CQ147">
    <cfRule type="colorScale" priority="5111">
      <colorScale>
        <cfvo type="min"/>
        <cfvo type="percentile" val="50"/>
        <cfvo type="max"/>
        <color rgb="FF63BE7B"/>
        <color rgb="FFFFEB84"/>
        <color rgb="FFF8696B"/>
      </colorScale>
    </cfRule>
  </conditionalFormatting>
  <conditionalFormatting sqref="CQ147">
    <cfRule type="colorScale" priority="5108">
      <colorScale>
        <cfvo type="min"/>
        <cfvo type="max"/>
        <color rgb="FFFCFCFF"/>
        <color rgb="FFF8696B"/>
      </colorScale>
    </cfRule>
    <cfRule type="colorScale" priority="5110">
      <colorScale>
        <cfvo type="min"/>
        <cfvo type="percentile" val="50"/>
        <cfvo type="max"/>
        <color rgb="FF63BE7B"/>
        <color rgb="FFFFEB84"/>
        <color rgb="FFF8696B"/>
      </colorScale>
    </cfRule>
  </conditionalFormatting>
  <conditionalFormatting sqref="CQ147">
    <cfRule type="colorScale" priority="5109">
      <colorScale>
        <cfvo type="min"/>
        <cfvo type="max"/>
        <color rgb="FFF8696B"/>
        <color rgb="FFFCFCFF"/>
      </colorScale>
    </cfRule>
  </conditionalFormatting>
  <conditionalFormatting sqref="CQ147">
    <cfRule type="colorScale" priority="5107">
      <colorScale>
        <cfvo type="min"/>
        <cfvo type="max"/>
        <color rgb="FFFCFCFF"/>
        <color rgb="FFF8696B"/>
      </colorScale>
    </cfRule>
  </conditionalFormatting>
  <conditionalFormatting sqref="CI248">
    <cfRule type="colorScale" priority="5106">
      <colorScale>
        <cfvo type="min"/>
        <cfvo type="percentile" val="50"/>
        <cfvo type="max"/>
        <color rgb="FFF8696B"/>
        <color rgb="FFFFEB84"/>
        <color rgb="FF63BE7B"/>
      </colorScale>
    </cfRule>
  </conditionalFormatting>
  <conditionalFormatting sqref="CI248">
    <cfRule type="colorScale" priority="5105">
      <colorScale>
        <cfvo type="min"/>
        <cfvo type="percentile" val="50"/>
        <cfvo type="max"/>
        <color rgb="FF63BE7B"/>
        <color rgb="FFFFEB84"/>
        <color rgb="FFF8696B"/>
      </colorScale>
    </cfRule>
  </conditionalFormatting>
  <conditionalFormatting sqref="CI248">
    <cfRule type="colorScale" priority="5102">
      <colorScale>
        <cfvo type="min"/>
        <cfvo type="max"/>
        <color rgb="FFFCFCFF"/>
        <color rgb="FFF8696B"/>
      </colorScale>
    </cfRule>
    <cfRule type="colorScale" priority="5104">
      <colorScale>
        <cfvo type="min"/>
        <cfvo type="percentile" val="50"/>
        <cfvo type="max"/>
        <color rgb="FF63BE7B"/>
        <color rgb="FFFFEB84"/>
        <color rgb="FFF8696B"/>
      </colorScale>
    </cfRule>
  </conditionalFormatting>
  <conditionalFormatting sqref="CI248">
    <cfRule type="colorScale" priority="5103">
      <colorScale>
        <cfvo type="min"/>
        <cfvo type="max"/>
        <color rgb="FFF8696B"/>
        <color rgb="FFFCFCFF"/>
      </colorScale>
    </cfRule>
  </conditionalFormatting>
  <conditionalFormatting sqref="CI248">
    <cfRule type="colorScale" priority="5101">
      <colorScale>
        <cfvo type="min"/>
        <cfvo type="percentile" val="50"/>
        <cfvo type="max"/>
        <color rgb="FFF8696B"/>
        <color rgb="FFFFEB84"/>
        <color rgb="FF63BE7B"/>
      </colorScale>
    </cfRule>
  </conditionalFormatting>
  <conditionalFormatting sqref="CI248">
    <cfRule type="colorScale" priority="5100">
      <colorScale>
        <cfvo type="min"/>
        <cfvo type="max"/>
        <color rgb="FFFCFCFF"/>
        <color rgb="FFF8696B"/>
      </colorScale>
    </cfRule>
  </conditionalFormatting>
  <conditionalFormatting sqref="CK238">
    <cfRule type="colorScale" priority="5099">
      <colorScale>
        <cfvo type="min"/>
        <cfvo type="percentile" val="50"/>
        <cfvo type="max"/>
        <color rgb="FFF8696B"/>
        <color rgb="FFFFEB84"/>
        <color rgb="FF63BE7B"/>
      </colorScale>
    </cfRule>
  </conditionalFormatting>
  <conditionalFormatting sqref="CK238">
    <cfRule type="colorScale" priority="5098">
      <colorScale>
        <cfvo type="min"/>
        <cfvo type="percentile" val="50"/>
        <cfvo type="max"/>
        <color rgb="FF63BE7B"/>
        <color rgb="FFFFEB84"/>
        <color rgb="FFF8696B"/>
      </colorScale>
    </cfRule>
  </conditionalFormatting>
  <conditionalFormatting sqref="CK238">
    <cfRule type="colorScale" priority="5095">
      <colorScale>
        <cfvo type="min"/>
        <cfvo type="max"/>
        <color rgb="FFFCFCFF"/>
        <color rgb="FFF8696B"/>
      </colorScale>
    </cfRule>
    <cfRule type="colorScale" priority="5097">
      <colorScale>
        <cfvo type="min"/>
        <cfvo type="percentile" val="50"/>
        <cfvo type="max"/>
        <color rgb="FF63BE7B"/>
        <color rgb="FFFFEB84"/>
        <color rgb="FFF8696B"/>
      </colorScale>
    </cfRule>
  </conditionalFormatting>
  <conditionalFormatting sqref="CK238">
    <cfRule type="colorScale" priority="5096">
      <colorScale>
        <cfvo type="min"/>
        <cfvo type="max"/>
        <color rgb="FFF8696B"/>
        <color rgb="FFFCFCFF"/>
      </colorScale>
    </cfRule>
  </conditionalFormatting>
  <conditionalFormatting sqref="CK238">
    <cfRule type="colorScale" priority="5094">
      <colorScale>
        <cfvo type="min"/>
        <cfvo type="percentile" val="50"/>
        <cfvo type="max"/>
        <color rgb="FFF8696B"/>
        <color rgb="FFFFEB84"/>
        <color rgb="FF63BE7B"/>
      </colorScale>
    </cfRule>
  </conditionalFormatting>
  <conditionalFormatting sqref="CK238">
    <cfRule type="colorScale" priority="5093">
      <colorScale>
        <cfvo type="min"/>
        <cfvo type="max"/>
        <color rgb="FFFCFCFF"/>
        <color rgb="FFF8696B"/>
      </colorScale>
    </cfRule>
  </conditionalFormatting>
  <conditionalFormatting sqref="CK243">
    <cfRule type="colorScale" priority="5092">
      <colorScale>
        <cfvo type="min"/>
        <cfvo type="percentile" val="50"/>
        <cfvo type="max"/>
        <color rgb="FFF8696B"/>
        <color rgb="FFFFEB84"/>
        <color rgb="FF63BE7B"/>
      </colorScale>
    </cfRule>
  </conditionalFormatting>
  <conditionalFormatting sqref="CK243">
    <cfRule type="colorScale" priority="5091">
      <colorScale>
        <cfvo type="min"/>
        <cfvo type="percentile" val="50"/>
        <cfvo type="max"/>
        <color rgb="FF63BE7B"/>
        <color rgb="FFFFEB84"/>
        <color rgb="FFF8696B"/>
      </colorScale>
    </cfRule>
  </conditionalFormatting>
  <conditionalFormatting sqref="CK243">
    <cfRule type="colorScale" priority="5088">
      <colorScale>
        <cfvo type="min"/>
        <cfvo type="max"/>
        <color rgb="FFFCFCFF"/>
        <color rgb="FFF8696B"/>
      </colorScale>
    </cfRule>
    <cfRule type="colorScale" priority="5090">
      <colorScale>
        <cfvo type="min"/>
        <cfvo type="percentile" val="50"/>
        <cfvo type="max"/>
        <color rgb="FF63BE7B"/>
        <color rgb="FFFFEB84"/>
        <color rgb="FFF8696B"/>
      </colorScale>
    </cfRule>
  </conditionalFormatting>
  <conditionalFormatting sqref="CK243">
    <cfRule type="colorScale" priority="5089">
      <colorScale>
        <cfvo type="min"/>
        <cfvo type="max"/>
        <color rgb="FFF8696B"/>
        <color rgb="FFFCFCFF"/>
      </colorScale>
    </cfRule>
  </conditionalFormatting>
  <conditionalFormatting sqref="CK243">
    <cfRule type="colorScale" priority="5087">
      <colorScale>
        <cfvo type="min"/>
        <cfvo type="percentile" val="50"/>
        <cfvo type="max"/>
        <color rgb="FFF8696B"/>
        <color rgb="FFFFEB84"/>
        <color rgb="FF63BE7B"/>
      </colorScale>
    </cfRule>
  </conditionalFormatting>
  <conditionalFormatting sqref="CK243">
    <cfRule type="colorScale" priority="5086">
      <colorScale>
        <cfvo type="min"/>
        <cfvo type="max"/>
        <color rgb="FFFCFCFF"/>
        <color rgb="FFF8696B"/>
      </colorScale>
    </cfRule>
  </conditionalFormatting>
  <conditionalFormatting sqref="CK248">
    <cfRule type="colorScale" priority="5085">
      <colorScale>
        <cfvo type="min"/>
        <cfvo type="percentile" val="50"/>
        <cfvo type="max"/>
        <color rgb="FFF8696B"/>
        <color rgb="FFFFEB84"/>
        <color rgb="FF63BE7B"/>
      </colorScale>
    </cfRule>
  </conditionalFormatting>
  <conditionalFormatting sqref="CK248">
    <cfRule type="colorScale" priority="5084">
      <colorScale>
        <cfvo type="min"/>
        <cfvo type="percentile" val="50"/>
        <cfvo type="max"/>
        <color rgb="FF63BE7B"/>
        <color rgb="FFFFEB84"/>
        <color rgb="FFF8696B"/>
      </colorScale>
    </cfRule>
  </conditionalFormatting>
  <conditionalFormatting sqref="CK248">
    <cfRule type="colorScale" priority="5081">
      <colorScale>
        <cfvo type="min"/>
        <cfvo type="max"/>
        <color rgb="FFFCFCFF"/>
        <color rgb="FFF8696B"/>
      </colorScale>
    </cfRule>
    <cfRule type="colorScale" priority="5083">
      <colorScale>
        <cfvo type="min"/>
        <cfvo type="percentile" val="50"/>
        <cfvo type="max"/>
        <color rgb="FF63BE7B"/>
        <color rgb="FFFFEB84"/>
        <color rgb="FFF8696B"/>
      </colorScale>
    </cfRule>
  </conditionalFormatting>
  <conditionalFormatting sqref="CK248">
    <cfRule type="colorScale" priority="5082">
      <colorScale>
        <cfvo type="min"/>
        <cfvo type="max"/>
        <color rgb="FFF8696B"/>
        <color rgb="FFFCFCFF"/>
      </colorScale>
    </cfRule>
  </conditionalFormatting>
  <conditionalFormatting sqref="CK248">
    <cfRule type="colorScale" priority="5080">
      <colorScale>
        <cfvo type="min"/>
        <cfvo type="percentile" val="50"/>
        <cfvo type="max"/>
        <color rgb="FFF8696B"/>
        <color rgb="FFFFEB84"/>
        <color rgb="FF63BE7B"/>
      </colorScale>
    </cfRule>
  </conditionalFormatting>
  <conditionalFormatting sqref="CK248">
    <cfRule type="colorScale" priority="5079">
      <colorScale>
        <cfvo type="min"/>
        <cfvo type="max"/>
        <color rgb="FFFCFCFF"/>
        <color rgb="FFF8696B"/>
      </colorScale>
    </cfRule>
  </conditionalFormatting>
  <conditionalFormatting sqref="CM238">
    <cfRule type="colorScale" priority="5078">
      <colorScale>
        <cfvo type="min"/>
        <cfvo type="percentile" val="50"/>
        <cfvo type="max"/>
        <color rgb="FFF8696B"/>
        <color rgb="FFFFEB84"/>
        <color rgb="FF63BE7B"/>
      </colorScale>
    </cfRule>
  </conditionalFormatting>
  <conditionalFormatting sqref="CM238">
    <cfRule type="colorScale" priority="5077">
      <colorScale>
        <cfvo type="min"/>
        <cfvo type="percentile" val="50"/>
        <cfvo type="max"/>
        <color rgb="FF63BE7B"/>
        <color rgb="FFFFEB84"/>
        <color rgb="FFF8696B"/>
      </colorScale>
    </cfRule>
  </conditionalFormatting>
  <conditionalFormatting sqref="CM238">
    <cfRule type="colorScale" priority="5074">
      <colorScale>
        <cfvo type="min"/>
        <cfvo type="max"/>
        <color rgb="FFFCFCFF"/>
        <color rgb="FFF8696B"/>
      </colorScale>
    </cfRule>
    <cfRule type="colorScale" priority="5076">
      <colorScale>
        <cfvo type="min"/>
        <cfvo type="percentile" val="50"/>
        <cfvo type="max"/>
        <color rgb="FF63BE7B"/>
        <color rgb="FFFFEB84"/>
        <color rgb="FFF8696B"/>
      </colorScale>
    </cfRule>
  </conditionalFormatting>
  <conditionalFormatting sqref="CM238">
    <cfRule type="colorScale" priority="5075">
      <colorScale>
        <cfvo type="min"/>
        <cfvo type="max"/>
        <color rgb="FFF8696B"/>
        <color rgb="FFFCFCFF"/>
      </colorScale>
    </cfRule>
  </conditionalFormatting>
  <conditionalFormatting sqref="CM238">
    <cfRule type="colorScale" priority="5073">
      <colorScale>
        <cfvo type="min"/>
        <cfvo type="percentile" val="50"/>
        <cfvo type="max"/>
        <color rgb="FFF8696B"/>
        <color rgb="FFFFEB84"/>
        <color rgb="FF63BE7B"/>
      </colorScale>
    </cfRule>
  </conditionalFormatting>
  <conditionalFormatting sqref="CM238">
    <cfRule type="colorScale" priority="5072">
      <colorScale>
        <cfvo type="min"/>
        <cfvo type="max"/>
        <color rgb="FFFCFCFF"/>
        <color rgb="FFF8696B"/>
      </colorScale>
    </cfRule>
  </conditionalFormatting>
  <conditionalFormatting sqref="CM243">
    <cfRule type="colorScale" priority="5071">
      <colorScale>
        <cfvo type="min"/>
        <cfvo type="percentile" val="50"/>
        <cfvo type="max"/>
        <color rgb="FFF8696B"/>
        <color rgb="FFFFEB84"/>
        <color rgb="FF63BE7B"/>
      </colorScale>
    </cfRule>
  </conditionalFormatting>
  <conditionalFormatting sqref="CM243">
    <cfRule type="colorScale" priority="5070">
      <colorScale>
        <cfvo type="min"/>
        <cfvo type="percentile" val="50"/>
        <cfvo type="max"/>
        <color rgb="FF63BE7B"/>
        <color rgb="FFFFEB84"/>
        <color rgb="FFF8696B"/>
      </colorScale>
    </cfRule>
  </conditionalFormatting>
  <conditionalFormatting sqref="CM243">
    <cfRule type="colorScale" priority="5067">
      <colorScale>
        <cfvo type="min"/>
        <cfvo type="max"/>
        <color rgb="FFFCFCFF"/>
        <color rgb="FFF8696B"/>
      </colorScale>
    </cfRule>
    <cfRule type="colorScale" priority="5069">
      <colorScale>
        <cfvo type="min"/>
        <cfvo type="percentile" val="50"/>
        <cfvo type="max"/>
        <color rgb="FF63BE7B"/>
        <color rgb="FFFFEB84"/>
        <color rgb="FFF8696B"/>
      </colorScale>
    </cfRule>
  </conditionalFormatting>
  <conditionalFormatting sqref="CM243">
    <cfRule type="colorScale" priority="5068">
      <colorScale>
        <cfvo type="min"/>
        <cfvo type="max"/>
        <color rgb="FFF8696B"/>
        <color rgb="FFFCFCFF"/>
      </colorScale>
    </cfRule>
  </conditionalFormatting>
  <conditionalFormatting sqref="CM243">
    <cfRule type="colorScale" priority="5066">
      <colorScale>
        <cfvo type="min"/>
        <cfvo type="percentile" val="50"/>
        <cfvo type="max"/>
        <color rgb="FFF8696B"/>
        <color rgb="FFFFEB84"/>
        <color rgb="FF63BE7B"/>
      </colorScale>
    </cfRule>
  </conditionalFormatting>
  <conditionalFormatting sqref="CM243">
    <cfRule type="colorScale" priority="5065">
      <colorScale>
        <cfvo type="min"/>
        <cfvo type="max"/>
        <color rgb="FFFCFCFF"/>
        <color rgb="FFF8696B"/>
      </colorScale>
    </cfRule>
  </conditionalFormatting>
  <conditionalFormatting sqref="CO238">
    <cfRule type="colorScale" priority="5064">
      <colorScale>
        <cfvo type="min"/>
        <cfvo type="percentile" val="50"/>
        <cfvo type="max"/>
        <color rgb="FFF8696B"/>
        <color rgb="FFFFEB84"/>
        <color rgb="FF63BE7B"/>
      </colorScale>
    </cfRule>
  </conditionalFormatting>
  <conditionalFormatting sqref="CO238">
    <cfRule type="colorScale" priority="5063">
      <colorScale>
        <cfvo type="min"/>
        <cfvo type="percentile" val="50"/>
        <cfvo type="max"/>
        <color rgb="FF63BE7B"/>
        <color rgb="FFFFEB84"/>
        <color rgb="FFF8696B"/>
      </colorScale>
    </cfRule>
  </conditionalFormatting>
  <conditionalFormatting sqref="CO238">
    <cfRule type="colorScale" priority="5060">
      <colorScale>
        <cfvo type="min"/>
        <cfvo type="max"/>
        <color rgb="FFFCFCFF"/>
        <color rgb="FFF8696B"/>
      </colorScale>
    </cfRule>
    <cfRule type="colorScale" priority="5062">
      <colorScale>
        <cfvo type="min"/>
        <cfvo type="percentile" val="50"/>
        <cfvo type="max"/>
        <color rgb="FF63BE7B"/>
        <color rgb="FFFFEB84"/>
        <color rgb="FFF8696B"/>
      </colorScale>
    </cfRule>
  </conditionalFormatting>
  <conditionalFormatting sqref="CO238">
    <cfRule type="colorScale" priority="5061">
      <colorScale>
        <cfvo type="min"/>
        <cfvo type="max"/>
        <color rgb="FFF8696B"/>
        <color rgb="FFFCFCFF"/>
      </colorScale>
    </cfRule>
  </conditionalFormatting>
  <conditionalFormatting sqref="CO238">
    <cfRule type="colorScale" priority="5059">
      <colorScale>
        <cfvo type="min"/>
        <cfvo type="percentile" val="50"/>
        <cfvo type="max"/>
        <color rgb="FFF8696B"/>
        <color rgb="FFFFEB84"/>
        <color rgb="FF63BE7B"/>
      </colorScale>
    </cfRule>
  </conditionalFormatting>
  <conditionalFormatting sqref="CO238">
    <cfRule type="colorScale" priority="5058">
      <colorScale>
        <cfvo type="min"/>
        <cfvo type="max"/>
        <color rgb="FFFCFCFF"/>
        <color rgb="FFF8696B"/>
      </colorScale>
    </cfRule>
  </conditionalFormatting>
  <conditionalFormatting sqref="CO243">
    <cfRule type="colorScale" priority="5057">
      <colorScale>
        <cfvo type="min"/>
        <cfvo type="percentile" val="50"/>
        <cfvo type="max"/>
        <color rgb="FFF8696B"/>
        <color rgb="FFFFEB84"/>
        <color rgb="FF63BE7B"/>
      </colorScale>
    </cfRule>
  </conditionalFormatting>
  <conditionalFormatting sqref="CO243">
    <cfRule type="colorScale" priority="5056">
      <colorScale>
        <cfvo type="min"/>
        <cfvo type="percentile" val="50"/>
        <cfvo type="max"/>
        <color rgb="FF63BE7B"/>
        <color rgb="FFFFEB84"/>
        <color rgb="FFF8696B"/>
      </colorScale>
    </cfRule>
  </conditionalFormatting>
  <conditionalFormatting sqref="CO243">
    <cfRule type="colorScale" priority="5053">
      <colorScale>
        <cfvo type="min"/>
        <cfvo type="max"/>
        <color rgb="FFFCFCFF"/>
        <color rgb="FFF8696B"/>
      </colorScale>
    </cfRule>
    <cfRule type="colorScale" priority="5055">
      <colorScale>
        <cfvo type="min"/>
        <cfvo type="percentile" val="50"/>
        <cfvo type="max"/>
        <color rgb="FF63BE7B"/>
        <color rgb="FFFFEB84"/>
        <color rgb="FFF8696B"/>
      </colorScale>
    </cfRule>
  </conditionalFormatting>
  <conditionalFormatting sqref="CO243">
    <cfRule type="colorScale" priority="5054">
      <colorScale>
        <cfvo type="min"/>
        <cfvo type="max"/>
        <color rgb="FFF8696B"/>
        <color rgb="FFFCFCFF"/>
      </colorScale>
    </cfRule>
  </conditionalFormatting>
  <conditionalFormatting sqref="CO243">
    <cfRule type="colorScale" priority="5052">
      <colorScale>
        <cfvo type="min"/>
        <cfvo type="percentile" val="50"/>
        <cfvo type="max"/>
        <color rgb="FFF8696B"/>
        <color rgb="FFFFEB84"/>
        <color rgb="FF63BE7B"/>
      </colorScale>
    </cfRule>
  </conditionalFormatting>
  <conditionalFormatting sqref="CO243">
    <cfRule type="colorScale" priority="5051">
      <colorScale>
        <cfvo type="min"/>
        <cfvo type="max"/>
        <color rgb="FFFCFCFF"/>
        <color rgb="FFF8696B"/>
      </colorScale>
    </cfRule>
  </conditionalFormatting>
  <conditionalFormatting sqref="CQ238">
    <cfRule type="colorScale" priority="5050">
      <colorScale>
        <cfvo type="min"/>
        <cfvo type="percentile" val="50"/>
        <cfvo type="max"/>
        <color rgb="FFF8696B"/>
        <color rgb="FFFFEB84"/>
        <color rgb="FF63BE7B"/>
      </colorScale>
    </cfRule>
  </conditionalFormatting>
  <conditionalFormatting sqref="CQ238">
    <cfRule type="colorScale" priority="5049">
      <colorScale>
        <cfvo type="min"/>
        <cfvo type="percentile" val="50"/>
        <cfvo type="max"/>
        <color rgb="FF63BE7B"/>
        <color rgb="FFFFEB84"/>
        <color rgb="FFF8696B"/>
      </colorScale>
    </cfRule>
  </conditionalFormatting>
  <conditionalFormatting sqref="CQ238">
    <cfRule type="colorScale" priority="5046">
      <colorScale>
        <cfvo type="min"/>
        <cfvo type="max"/>
        <color rgb="FFFCFCFF"/>
        <color rgb="FFF8696B"/>
      </colorScale>
    </cfRule>
    <cfRule type="colorScale" priority="5048">
      <colorScale>
        <cfvo type="min"/>
        <cfvo type="percentile" val="50"/>
        <cfvo type="max"/>
        <color rgb="FF63BE7B"/>
        <color rgb="FFFFEB84"/>
        <color rgb="FFF8696B"/>
      </colorScale>
    </cfRule>
  </conditionalFormatting>
  <conditionalFormatting sqref="CQ238">
    <cfRule type="colorScale" priority="5047">
      <colorScale>
        <cfvo type="min"/>
        <cfvo type="max"/>
        <color rgb="FFF8696B"/>
        <color rgb="FFFCFCFF"/>
      </colorScale>
    </cfRule>
  </conditionalFormatting>
  <conditionalFormatting sqref="CQ238">
    <cfRule type="colorScale" priority="5045">
      <colorScale>
        <cfvo type="min"/>
        <cfvo type="percentile" val="50"/>
        <cfvo type="max"/>
        <color rgb="FFF8696B"/>
        <color rgb="FFFFEB84"/>
        <color rgb="FF63BE7B"/>
      </colorScale>
    </cfRule>
  </conditionalFormatting>
  <conditionalFormatting sqref="CQ238">
    <cfRule type="colorScale" priority="5044">
      <colorScale>
        <cfvo type="min"/>
        <cfvo type="max"/>
        <color rgb="FFFCFCFF"/>
        <color rgb="FFF8696B"/>
      </colorScale>
    </cfRule>
  </conditionalFormatting>
  <conditionalFormatting sqref="CQ243">
    <cfRule type="colorScale" priority="5043">
      <colorScale>
        <cfvo type="min"/>
        <cfvo type="percentile" val="50"/>
        <cfvo type="max"/>
        <color rgb="FFF8696B"/>
        <color rgb="FFFFEB84"/>
        <color rgb="FF63BE7B"/>
      </colorScale>
    </cfRule>
  </conditionalFormatting>
  <conditionalFormatting sqref="CQ243">
    <cfRule type="colorScale" priority="5042">
      <colorScale>
        <cfvo type="min"/>
        <cfvo type="percentile" val="50"/>
        <cfvo type="max"/>
        <color rgb="FF63BE7B"/>
        <color rgb="FFFFEB84"/>
        <color rgb="FFF8696B"/>
      </colorScale>
    </cfRule>
  </conditionalFormatting>
  <conditionalFormatting sqref="CQ243">
    <cfRule type="colorScale" priority="5039">
      <colorScale>
        <cfvo type="min"/>
        <cfvo type="max"/>
        <color rgb="FFFCFCFF"/>
        <color rgb="FFF8696B"/>
      </colorScale>
    </cfRule>
    <cfRule type="colorScale" priority="5041">
      <colorScale>
        <cfvo type="min"/>
        <cfvo type="percentile" val="50"/>
        <cfvo type="max"/>
        <color rgb="FF63BE7B"/>
        <color rgb="FFFFEB84"/>
        <color rgb="FFF8696B"/>
      </colorScale>
    </cfRule>
  </conditionalFormatting>
  <conditionalFormatting sqref="CQ243">
    <cfRule type="colorScale" priority="5040">
      <colorScale>
        <cfvo type="min"/>
        <cfvo type="max"/>
        <color rgb="FFF8696B"/>
        <color rgb="FFFCFCFF"/>
      </colorScale>
    </cfRule>
  </conditionalFormatting>
  <conditionalFormatting sqref="CQ243">
    <cfRule type="colorScale" priority="5038">
      <colorScale>
        <cfvo type="min"/>
        <cfvo type="percentile" val="50"/>
        <cfvo type="max"/>
        <color rgb="FFF8696B"/>
        <color rgb="FFFFEB84"/>
        <color rgb="FF63BE7B"/>
      </colorScale>
    </cfRule>
  </conditionalFormatting>
  <conditionalFormatting sqref="CQ243">
    <cfRule type="colorScale" priority="5037">
      <colorScale>
        <cfvo type="min"/>
        <cfvo type="max"/>
        <color rgb="FFFCFCFF"/>
        <color rgb="FFF8696B"/>
      </colorScale>
    </cfRule>
  </conditionalFormatting>
  <conditionalFormatting sqref="CQ142">
    <cfRule type="colorScale" priority="5036">
      <colorScale>
        <cfvo type="min"/>
        <cfvo type="percentile" val="50"/>
        <cfvo type="max"/>
        <color rgb="FFF8696B"/>
        <color rgb="FFFFEB84"/>
        <color rgb="FF63BE7B"/>
      </colorScale>
    </cfRule>
  </conditionalFormatting>
  <conditionalFormatting sqref="CQ142">
    <cfRule type="colorScale" priority="5035">
      <colorScale>
        <cfvo type="min"/>
        <cfvo type="percentile" val="50"/>
        <cfvo type="max"/>
        <color rgb="FFF8696B"/>
        <color rgb="FFFFEB84"/>
        <color rgb="FF63BE7B"/>
      </colorScale>
    </cfRule>
  </conditionalFormatting>
  <conditionalFormatting sqref="CQ142">
    <cfRule type="colorScale" priority="5034">
      <colorScale>
        <cfvo type="min"/>
        <cfvo type="percentile" val="50"/>
        <cfvo type="max"/>
        <color rgb="FF63BE7B"/>
        <color rgb="FFFFEB84"/>
        <color rgb="FFF8696B"/>
      </colorScale>
    </cfRule>
  </conditionalFormatting>
  <conditionalFormatting sqref="CQ142">
    <cfRule type="colorScale" priority="5031">
      <colorScale>
        <cfvo type="min"/>
        <cfvo type="max"/>
        <color rgb="FFFCFCFF"/>
        <color rgb="FFF8696B"/>
      </colorScale>
    </cfRule>
    <cfRule type="colorScale" priority="5033">
      <colorScale>
        <cfvo type="min"/>
        <cfvo type="percentile" val="50"/>
        <cfvo type="max"/>
        <color rgb="FF63BE7B"/>
        <color rgb="FFFFEB84"/>
        <color rgb="FFF8696B"/>
      </colorScale>
    </cfRule>
  </conditionalFormatting>
  <conditionalFormatting sqref="CQ142">
    <cfRule type="colorScale" priority="5032">
      <colorScale>
        <cfvo type="min"/>
        <cfvo type="max"/>
        <color rgb="FFF8696B"/>
        <color rgb="FFFCFCFF"/>
      </colorScale>
    </cfRule>
  </conditionalFormatting>
  <conditionalFormatting sqref="CQ142">
    <cfRule type="colorScale" priority="5030">
      <colorScale>
        <cfvo type="min"/>
        <cfvo type="max"/>
        <color rgb="FFFCFCFF"/>
        <color rgb="FFF8696B"/>
      </colorScale>
    </cfRule>
  </conditionalFormatting>
  <conditionalFormatting sqref="CU185 CU211 CW185 CY185 DA185 DA205 DC205 CW211 CY211 DA211 DC211">
    <cfRule type="colorScale" priority="5029">
      <colorScale>
        <cfvo type="min"/>
        <cfvo type="percentile" val="50"/>
        <cfvo type="max"/>
        <color rgb="FFF8696B"/>
        <color rgb="FFFFEB84"/>
        <color rgb="FF63BE7B"/>
      </colorScale>
    </cfRule>
  </conditionalFormatting>
  <conditionalFormatting sqref="DC205">
    <cfRule type="colorScale" priority="5028">
      <colorScale>
        <cfvo type="min"/>
        <cfvo type="percentile" val="50"/>
        <cfvo type="max"/>
        <color rgb="FFF8696B"/>
        <color rgb="FFFFEB84"/>
        <color rgb="FF63BE7B"/>
      </colorScale>
    </cfRule>
  </conditionalFormatting>
  <conditionalFormatting sqref="CU185 CW185 CY185 DA185">
    <cfRule type="colorScale" priority="5027">
      <colorScale>
        <cfvo type="min"/>
        <cfvo type="percentile" val="50"/>
        <cfvo type="max"/>
        <color rgb="FFF8696B"/>
        <color rgb="FFFFEB84"/>
        <color rgb="FF63BE7B"/>
      </colorScale>
    </cfRule>
  </conditionalFormatting>
  <conditionalFormatting sqref="CU185 CU211 CW185 CY185 DA185 DA205 DC205 CW211 CY211 DA211 DC211">
    <cfRule type="colorScale" priority="5026">
      <colorScale>
        <cfvo type="min"/>
        <cfvo type="percentile" val="50"/>
        <cfvo type="max"/>
        <color rgb="FF63BE7B"/>
        <color rgb="FFFFEB84"/>
        <color rgb="FFF8696B"/>
      </colorScale>
    </cfRule>
  </conditionalFormatting>
  <conditionalFormatting sqref="CU211 CU185 CW185 CY185 DA185 DA205 DC205 CW211 CY211 DA211 DC211">
    <cfRule type="colorScale" priority="5023">
      <colorScale>
        <cfvo type="min"/>
        <cfvo type="max"/>
        <color rgb="FFFCFCFF"/>
        <color rgb="FFF8696B"/>
      </colorScale>
    </cfRule>
    <cfRule type="colorScale" priority="5025">
      <colorScale>
        <cfvo type="min"/>
        <cfvo type="percentile" val="50"/>
        <cfvo type="max"/>
        <color rgb="FF63BE7B"/>
        <color rgb="FFFFEB84"/>
        <color rgb="FFF8696B"/>
      </colorScale>
    </cfRule>
  </conditionalFormatting>
  <conditionalFormatting sqref="CU185 CU211 CW185 CY185 DA185 DA205 DC205 CW211 CY211 DA211 DC211">
    <cfRule type="colorScale" priority="5024">
      <colorScale>
        <cfvo type="min"/>
        <cfvo type="max"/>
        <color rgb="FFF8696B"/>
        <color rgb="FFFCFCFF"/>
      </colorScale>
    </cfRule>
  </conditionalFormatting>
  <conditionalFormatting sqref="CY213">
    <cfRule type="colorScale" priority="5022">
      <colorScale>
        <cfvo type="min"/>
        <cfvo type="percentile" val="50"/>
        <cfvo type="max"/>
        <color rgb="FFF8696B"/>
        <color rgb="FFFFEB84"/>
        <color rgb="FF63BE7B"/>
      </colorScale>
    </cfRule>
  </conditionalFormatting>
  <conditionalFormatting sqref="CY213">
    <cfRule type="colorScale" priority="5021">
      <colorScale>
        <cfvo type="min"/>
        <cfvo type="percentile" val="50"/>
        <cfvo type="max"/>
        <color rgb="FFF8696B"/>
        <color rgb="FFFFEB84"/>
        <color rgb="FF63BE7B"/>
      </colorScale>
    </cfRule>
  </conditionalFormatting>
  <conditionalFormatting sqref="CY213">
    <cfRule type="colorScale" priority="5020">
      <colorScale>
        <cfvo type="min"/>
        <cfvo type="percentile" val="50"/>
        <cfvo type="max"/>
        <color rgb="FFF8696B"/>
        <color rgb="FFFFEB84"/>
        <color rgb="FF63BE7B"/>
      </colorScale>
    </cfRule>
  </conditionalFormatting>
  <conditionalFormatting sqref="CY213">
    <cfRule type="colorScale" priority="5019">
      <colorScale>
        <cfvo type="min"/>
        <cfvo type="percentile" val="50"/>
        <cfvo type="max"/>
        <color rgb="FF63BE7B"/>
        <color rgb="FFFFEB84"/>
        <color rgb="FFF8696B"/>
      </colorScale>
    </cfRule>
  </conditionalFormatting>
  <conditionalFormatting sqref="CY213">
    <cfRule type="colorScale" priority="5016">
      <colorScale>
        <cfvo type="min"/>
        <cfvo type="max"/>
        <color rgb="FFFCFCFF"/>
        <color rgb="FFF8696B"/>
      </colorScale>
    </cfRule>
    <cfRule type="colorScale" priority="5018">
      <colorScale>
        <cfvo type="min"/>
        <cfvo type="percentile" val="50"/>
        <cfvo type="max"/>
        <color rgb="FF63BE7B"/>
        <color rgb="FFFFEB84"/>
        <color rgb="FFF8696B"/>
      </colorScale>
    </cfRule>
  </conditionalFormatting>
  <conditionalFormatting sqref="CY213">
    <cfRule type="colorScale" priority="5017">
      <colorScale>
        <cfvo type="min"/>
        <cfvo type="max"/>
        <color rgb="FFF8696B"/>
        <color rgb="FFFCFCFF"/>
      </colorScale>
    </cfRule>
  </conditionalFormatting>
  <conditionalFormatting sqref="DA213">
    <cfRule type="colorScale" priority="5015">
      <colorScale>
        <cfvo type="min"/>
        <cfvo type="percentile" val="50"/>
        <cfvo type="max"/>
        <color rgb="FFF8696B"/>
        <color rgb="FFFFEB84"/>
        <color rgb="FF63BE7B"/>
      </colorScale>
    </cfRule>
  </conditionalFormatting>
  <conditionalFormatting sqref="DA213">
    <cfRule type="colorScale" priority="5014">
      <colorScale>
        <cfvo type="min"/>
        <cfvo type="percentile" val="50"/>
        <cfvo type="max"/>
        <color rgb="FFF8696B"/>
        <color rgb="FFFFEB84"/>
        <color rgb="FF63BE7B"/>
      </colorScale>
    </cfRule>
  </conditionalFormatting>
  <conditionalFormatting sqref="DA213">
    <cfRule type="colorScale" priority="5013">
      <colorScale>
        <cfvo type="min"/>
        <cfvo type="percentile" val="50"/>
        <cfvo type="max"/>
        <color rgb="FFF8696B"/>
        <color rgb="FFFFEB84"/>
        <color rgb="FF63BE7B"/>
      </colorScale>
    </cfRule>
  </conditionalFormatting>
  <conditionalFormatting sqref="DA213">
    <cfRule type="colorScale" priority="5012">
      <colorScale>
        <cfvo type="min"/>
        <cfvo type="percentile" val="50"/>
        <cfvo type="max"/>
        <color rgb="FF63BE7B"/>
        <color rgb="FFFFEB84"/>
        <color rgb="FFF8696B"/>
      </colorScale>
    </cfRule>
  </conditionalFormatting>
  <conditionalFormatting sqref="DA213">
    <cfRule type="colorScale" priority="5009">
      <colorScale>
        <cfvo type="min"/>
        <cfvo type="max"/>
        <color rgb="FFFCFCFF"/>
        <color rgb="FFF8696B"/>
      </colorScale>
    </cfRule>
    <cfRule type="colorScale" priority="5011">
      <colorScale>
        <cfvo type="min"/>
        <cfvo type="percentile" val="50"/>
        <cfvo type="max"/>
        <color rgb="FF63BE7B"/>
        <color rgb="FFFFEB84"/>
        <color rgb="FFF8696B"/>
      </colorScale>
    </cfRule>
  </conditionalFormatting>
  <conditionalFormatting sqref="DA213">
    <cfRule type="colorScale" priority="5010">
      <colorScale>
        <cfvo type="min"/>
        <cfvo type="max"/>
        <color rgb="FFF8696B"/>
        <color rgb="FFFCFCFF"/>
      </colorScale>
    </cfRule>
  </conditionalFormatting>
  <conditionalFormatting sqref="DC213">
    <cfRule type="colorScale" priority="5008">
      <colorScale>
        <cfvo type="min"/>
        <cfvo type="percentile" val="50"/>
        <cfvo type="max"/>
        <color rgb="FFF8696B"/>
        <color rgb="FFFFEB84"/>
        <color rgb="FF63BE7B"/>
      </colorScale>
    </cfRule>
  </conditionalFormatting>
  <conditionalFormatting sqref="DC213">
    <cfRule type="colorScale" priority="5007">
      <colorScale>
        <cfvo type="min"/>
        <cfvo type="percentile" val="50"/>
        <cfvo type="max"/>
        <color rgb="FFF8696B"/>
        <color rgb="FFFFEB84"/>
        <color rgb="FF63BE7B"/>
      </colorScale>
    </cfRule>
  </conditionalFormatting>
  <conditionalFormatting sqref="DC213">
    <cfRule type="colorScale" priority="5006">
      <colorScale>
        <cfvo type="min"/>
        <cfvo type="percentile" val="50"/>
        <cfvo type="max"/>
        <color rgb="FFF8696B"/>
        <color rgb="FFFFEB84"/>
        <color rgb="FF63BE7B"/>
      </colorScale>
    </cfRule>
  </conditionalFormatting>
  <conditionalFormatting sqref="DC213">
    <cfRule type="colorScale" priority="5005">
      <colorScale>
        <cfvo type="min"/>
        <cfvo type="percentile" val="50"/>
        <cfvo type="max"/>
        <color rgb="FF63BE7B"/>
        <color rgb="FFFFEB84"/>
        <color rgb="FFF8696B"/>
      </colorScale>
    </cfRule>
  </conditionalFormatting>
  <conditionalFormatting sqref="DC213">
    <cfRule type="colorScale" priority="5002">
      <colorScale>
        <cfvo type="min"/>
        <cfvo type="max"/>
        <color rgb="FFFCFCFF"/>
        <color rgb="FFF8696B"/>
      </colorScale>
    </cfRule>
    <cfRule type="colorScale" priority="5004">
      <colorScale>
        <cfvo type="min"/>
        <cfvo type="percentile" val="50"/>
        <cfvo type="max"/>
        <color rgb="FF63BE7B"/>
        <color rgb="FFFFEB84"/>
        <color rgb="FFF8696B"/>
      </colorScale>
    </cfRule>
  </conditionalFormatting>
  <conditionalFormatting sqref="DC213">
    <cfRule type="colorScale" priority="5003">
      <colorScale>
        <cfvo type="min"/>
        <cfvo type="max"/>
        <color rgb="FFF8696B"/>
        <color rgb="FFFCFCFF"/>
      </colorScale>
    </cfRule>
  </conditionalFormatting>
  <conditionalFormatting sqref="DA205">
    <cfRule type="colorScale" priority="5001">
      <colorScale>
        <cfvo type="min"/>
        <cfvo type="percentile" val="50"/>
        <cfvo type="max"/>
        <color rgb="FFF8696B"/>
        <color rgb="FFFFEB84"/>
        <color rgb="FF63BE7B"/>
      </colorScale>
    </cfRule>
  </conditionalFormatting>
  <conditionalFormatting sqref="DC205">
    <cfRule type="colorScale" priority="5000">
      <colorScale>
        <cfvo type="min"/>
        <cfvo type="percentile" val="50"/>
        <cfvo type="max"/>
        <color rgb="FFF8696B"/>
        <color rgb="FFFFEB84"/>
        <color rgb="FF63BE7B"/>
      </colorScale>
    </cfRule>
  </conditionalFormatting>
  <conditionalFormatting sqref="CU211">
    <cfRule type="colorScale" priority="4999">
      <colorScale>
        <cfvo type="min"/>
        <cfvo type="percentile" val="50"/>
        <cfvo type="max"/>
        <color rgb="FFF8696B"/>
        <color rgb="FFFFEB84"/>
        <color rgb="FF63BE7B"/>
      </colorScale>
    </cfRule>
  </conditionalFormatting>
  <conditionalFormatting sqref="CW211">
    <cfRule type="colorScale" priority="4998">
      <colorScale>
        <cfvo type="min"/>
        <cfvo type="percentile" val="50"/>
        <cfvo type="max"/>
        <color rgb="FFF8696B"/>
        <color rgb="FFFFEB84"/>
        <color rgb="FF63BE7B"/>
      </colorScale>
    </cfRule>
  </conditionalFormatting>
  <conditionalFormatting sqref="CY211">
    <cfRule type="colorScale" priority="4997">
      <colorScale>
        <cfvo type="min"/>
        <cfvo type="percentile" val="50"/>
        <cfvo type="max"/>
        <color rgb="FFF8696B"/>
        <color rgb="FFFFEB84"/>
        <color rgb="FF63BE7B"/>
      </colorScale>
    </cfRule>
  </conditionalFormatting>
  <conditionalFormatting sqref="DA211">
    <cfRule type="colorScale" priority="4996">
      <colorScale>
        <cfvo type="min"/>
        <cfvo type="percentile" val="50"/>
        <cfvo type="max"/>
        <color rgb="FFF8696B"/>
        <color rgb="FFFFEB84"/>
        <color rgb="FF63BE7B"/>
      </colorScale>
    </cfRule>
  </conditionalFormatting>
  <conditionalFormatting sqref="DC211">
    <cfRule type="colorScale" priority="4995">
      <colorScale>
        <cfvo type="min"/>
        <cfvo type="percentile" val="50"/>
        <cfvo type="max"/>
        <color rgb="FFF8696B"/>
        <color rgb="FFFFEB84"/>
        <color rgb="FF63BE7B"/>
      </colorScale>
    </cfRule>
  </conditionalFormatting>
  <conditionalFormatting sqref="CU185 CU211 CW185 CY185 DA185 CW190 CU190 DC205 DA205 CW211 DC211 DA211 CY211 CY213 DA213 DC213">
    <cfRule type="colorScale" priority="4994">
      <colorScale>
        <cfvo type="min"/>
        <cfvo type="max"/>
        <color rgb="FFFCFCFF"/>
        <color rgb="FFF8696B"/>
      </colorScale>
    </cfRule>
  </conditionalFormatting>
  <conditionalFormatting sqref="DE211 DE205">
    <cfRule type="colorScale" priority="4993">
      <colorScale>
        <cfvo type="min"/>
        <cfvo type="percentile" val="50"/>
        <cfvo type="max"/>
        <color rgb="FFF8696B"/>
        <color rgb="FFFFEB84"/>
        <color rgb="FF63BE7B"/>
      </colorScale>
    </cfRule>
  </conditionalFormatting>
  <conditionalFormatting sqref="DE205">
    <cfRule type="colorScale" priority="4992">
      <colorScale>
        <cfvo type="min"/>
        <cfvo type="percentile" val="50"/>
        <cfvo type="max"/>
        <color rgb="FFF8696B"/>
        <color rgb="FFFFEB84"/>
        <color rgb="FF63BE7B"/>
      </colorScale>
    </cfRule>
  </conditionalFormatting>
  <conditionalFormatting sqref="DE211 DE205">
    <cfRule type="colorScale" priority="4991">
      <colorScale>
        <cfvo type="min"/>
        <cfvo type="percentile" val="50"/>
        <cfvo type="max"/>
        <color rgb="FF63BE7B"/>
        <color rgb="FFFFEB84"/>
        <color rgb="FFF8696B"/>
      </colorScale>
    </cfRule>
  </conditionalFormatting>
  <conditionalFormatting sqref="DE211 DE205">
    <cfRule type="colorScale" priority="4988">
      <colorScale>
        <cfvo type="min"/>
        <cfvo type="max"/>
        <color rgb="FFFCFCFF"/>
        <color rgb="FFF8696B"/>
      </colorScale>
    </cfRule>
    <cfRule type="colorScale" priority="4990">
      <colorScale>
        <cfvo type="min"/>
        <cfvo type="percentile" val="50"/>
        <cfvo type="max"/>
        <color rgb="FF63BE7B"/>
        <color rgb="FFFFEB84"/>
        <color rgb="FFF8696B"/>
      </colorScale>
    </cfRule>
  </conditionalFormatting>
  <conditionalFormatting sqref="DE211 DE205">
    <cfRule type="colorScale" priority="4989">
      <colorScale>
        <cfvo type="min"/>
        <cfvo type="max"/>
        <color rgb="FFF8696B"/>
        <color rgb="FFFCFCFF"/>
      </colorScale>
    </cfRule>
  </conditionalFormatting>
  <conditionalFormatting sqref="DE213">
    <cfRule type="colorScale" priority="4987">
      <colorScale>
        <cfvo type="min"/>
        <cfvo type="percentile" val="50"/>
        <cfvo type="max"/>
        <color rgb="FFF8696B"/>
        <color rgb="FFFFEB84"/>
        <color rgb="FF63BE7B"/>
      </colorScale>
    </cfRule>
  </conditionalFormatting>
  <conditionalFormatting sqref="DE213">
    <cfRule type="colorScale" priority="4986">
      <colorScale>
        <cfvo type="min"/>
        <cfvo type="percentile" val="50"/>
        <cfvo type="max"/>
        <color rgb="FFF8696B"/>
        <color rgb="FFFFEB84"/>
        <color rgb="FF63BE7B"/>
      </colorScale>
    </cfRule>
  </conditionalFormatting>
  <conditionalFormatting sqref="DE213">
    <cfRule type="colorScale" priority="4985">
      <colorScale>
        <cfvo type="min"/>
        <cfvo type="percentile" val="50"/>
        <cfvo type="max"/>
        <color rgb="FFF8696B"/>
        <color rgb="FFFFEB84"/>
        <color rgb="FF63BE7B"/>
      </colorScale>
    </cfRule>
  </conditionalFormatting>
  <conditionalFormatting sqref="DE213">
    <cfRule type="colorScale" priority="4984">
      <colorScale>
        <cfvo type="min"/>
        <cfvo type="percentile" val="50"/>
        <cfvo type="max"/>
        <color rgb="FF63BE7B"/>
        <color rgb="FFFFEB84"/>
        <color rgb="FFF8696B"/>
      </colorScale>
    </cfRule>
  </conditionalFormatting>
  <conditionalFormatting sqref="DE213">
    <cfRule type="colorScale" priority="4981">
      <colorScale>
        <cfvo type="min"/>
        <cfvo type="max"/>
        <color rgb="FFFCFCFF"/>
        <color rgb="FFF8696B"/>
      </colorScale>
    </cfRule>
    <cfRule type="colorScale" priority="4983">
      <colorScale>
        <cfvo type="min"/>
        <cfvo type="percentile" val="50"/>
        <cfvo type="max"/>
        <color rgb="FF63BE7B"/>
        <color rgb="FFFFEB84"/>
        <color rgb="FFF8696B"/>
      </colorScale>
    </cfRule>
  </conditionalFormatting>
  <conditionalFormatting sqref="DE213">
    <cfRule type="colorScale" priority="4982">
      <colorScale>
        <cfvo type="min"/>
        <cfvo type="max"/>
        <color rgb="FFF8696B"/>
        <color rgb="FFFCFCFF"/>
      </colorScale>
    </cfRule>
  </conditionalFormatting>
  <conditionalFormatting sqref="DE205">
    <cfRule type="colorScale" priority="4980">
      <colorScale>
        <cfvo type="min"/>
        <cfvo type="percentile" val="50"/>
        <cfvo type="max"/>
        <color rgb="FFF8696B"/>
        <color rgb="FFFFEB84"/>
        <color rgb="FF63BE7B"/>
      </colorScale>
    </cfRule>
  </conditionalFormatting>
  <conditionalFormatting sqref="DE211">
    <cfRule type="colorScale" priority="4979">
      <colorScale>
        <cfvo type="min"/>
        <cfvo type="percentile" val="50"/>
        <cfvo type="max"/>
        <color rgb="FFF8696B"/>
        <color rgb="FFFFEB84"/>
        <color rgb="FF63BE7B"/>
      </colorScale>
    </cfRule>
  </conditionalFormatting>
  <conditionalFormatting sqref="DE211 DE205 DE213">
    <cfRule type="colorScale" priority="4978">
      <colorScale>
        <cfvo type="min"/>
        <cfvo type="max"/>
        <color rgb="FFFCFCFF"/>
        <color rgb="FFF8696B"/>
      </colorScale>
    </cfRule>
  </conditionalFormatting>
  <conditionalFormatting sqref="DG211 DG205">
    <cfRule type="colorScale" priority="4977">
      <colorScale>
        <cfvo type="min"/>
        <cfvo type="percentile" val="50"/>
        <cfvo type="max"/>
        <color rgb="FFF8696B"/>
        <color rgb="FFFFEB84"/>
        <color rgb="FF63BE7B"/>
      </colorScale>
    </cfRule>
  </conditionalFormatting>
  <conditionalFormatting sqref="DG205">
    <cfRule type="colorScale" priority="4976">
      <colorScale>
        <cfvo type="min"/>
        <cfvo type="percentile" val="50"/>
        <cfvo type="max"/>
        <color rgb="FFF8696B"/>
        <color rgb="FFFFEB84"/>
        <color rgb="FF63BE7B"/>
      </colorScale>
    </cfRule>
  </conditionalFormatting>
  <conditionalFormatting sqref="DG211 DG205">
    <cfRule type="colorScale" priority="4975">
      <colorScale>
        <cfvo type="min"/>
        <cfvo type="percentile" val="50"/>
        <cfvo type="max"/>
        <color rgb="FF63BE7B"/>
        <color rgb="FFFFEB84"/>
        <color rgb="FFF8696B"/>
      </colorScale>
    </cfRule>
  </conditionalFormatting>
  <conditionalFormatting sqref="DG211 DG205">
    <cfRule type="colorScale" priority="4972">
      <colorScale>
        <cfvo type="min"/>
        <cfvo type="max"/>
        <color rgb="FFFCFCFF"/>
        <color rgb="FFF8696B"/>
      </colorScale>
    </cfRule>
    <cfRule type="colorScale" priority="4974">
      <colorScale>
        <cfvo type="min"/>
        <cfvo type="percentile" val="50"/>
        <cfvo type="max"/>
        <color rgb="FF63BE7B"/>
        <color rgb="FFFFEB84"/>
        <color rgb="FFF8696B"/>
      </colorScale>
    </cfRule>
  </conditionalFormatting>
  <conditionalFormatting sqref="DG211 DG205">
    <cfRule type="colorScale" priority="4973">
      <colorScale>
        <cfvo type="min"/>
        <cfvo type="max"/>
        <color rgb="FFF8696B"/>
        <color rgb="FFFCFCFF"/>
      </colorScale>
    </cfRule>
  </conditionalFormatting>
  <conditionalFormatting sqref="DG213">
    <cfRule type="colorScale" priority="4971">
      <colorScale>
        <cfvo type="min"/>
        <cfvo type="percentile" val="50"/>
        <cfvo type="max"/>
        <color rgb="FFF8696B"/>
        <color rgb="FFFFEB84"/>
        <color rgb="FF63BE7B"/>
      </colorScale>
    </cfRule>
  </conditionalFormatting>
  <conditionalFormatting sqref="DG213">
    <cfRule type="colorScale" priority="4970">
      <colorScale>
        <cfvo type="min"/>
        <cfvo type="percentile" val="50"/>
        <cfvo type="max"/>
        <color rgb="FFF8696B"/>
        <color rgb="FFFFEB84"/>
        <color rgb="FF63BE7B"/>
      </colorScale>
    </cfRule>
  </conditionalFormatting>
  <conditionalFormatting sqref="DG213">
    <cfRule type="colorScale" priority="4969">
      <colorScale>
        <cfvo type="min"/>
        <cfvo type="percentile" val="50"/>
        <cfvo type="max"/>
        <color rgb="FFF8696B"/>
        <color rgb="FFFFEB84"/>
        <color rgb="FF63BE7B"/>
      </colorScale>
    </cfRule>
  </conditionalFormatting>
  <conditionalFormatting sqref="DG213">
    <cfRule type="colorScale" priority="4968">
      <colorScale>
        <cfvo type="min"/>
        <cfvo type="percentile" val="50"/>
        <cfvo type="max"/>
        <color rgb="FF63BE7B"/>
        <color rgb="FFFFEB84"/>
        <color rgb="FFF8696B"/>
      </colorScale>
    </cfRule>
  </conditionalFormatting>
  <conditionalFormatting sqref="DG213">
    <cfRule type="colorScale" priority="4965">
      <colorScale>
        <cfvo type="min"/>
        <cfvo type="max"/>
        <color rgb="FFFCFCFF"/>
        <color rgb="FFF8696B"/>
      </colorScale>
    </cfRule>
    <cfRule type="colorScale" priority="4967">
      <colorScale>
        <cfvo type="min"/>
        <cfvo type="percentile" val="50"/>
        <cfvo type="max"/>
        <color rgb="FF63BE7B"/>
        <color rgb="FFFFEB84"/>
        <color rgb="FFF8696B"/>
      </colorScale>
    </cfRule>
  </conditionalFormatting>
  <conditionalFormatting sqref="DG213">
    <cfRule type="colorScale" priority="4966">
      <colorScale>
        <cfvo type="min"/>
        <cfvo type="max"/>
        <color rgb="FFF8696B"/>
        <color rgb="FFFCFCFF"/>
      </colorScale>
    </cfRule>
  </conditionalFormatting>
  <conditionalFormatting sqref="DG205">
    <cfRule type="colorScale" priority="4964">
      <colorScale>
        <cfvo type="min"/>
        <cfvo type="percentile" val="50"/>
        <cfvo type="max"/>
        <color rgb="FFF8696B"/>
        <color rgb="FFFFEB84"/>
        <color rgb="FF63BE7B"/>
      </colorScale>
    </cfRule>
  </conditionalFormatting>
  <conditionalFormatting sqref="DG211">
    <cfRule type="colorScale" priority="4963">
      <colorScale>
        <cfvo type="min"/>
        <cfvo type="percentile" val="50"/>
        <cfvo type="max"/>
        <color rgb="FFF8696B"/>
        <color rgb="FFFFEB84"/>
        <color rgb="FF63BE7B"/>
      </colorScale>
    </cfRule>
  </conditionalFormatting>
  <conditionalFormatting sqref="DG211 DG205 DG213">
    <cfRule type="colorScale" priority="4962">
      <colorScale>
        <cfvo type="min"/>
        <cfvo type="max"/>
        <color rgb="FFFCFCFF"/>
        <color rgb="FFF8696B"/>
      </colorScale>
    </cfRule>
  </conditionalFormatting>
  <conditionalFormatting sqref="CU195">
    <cfRule type="colorScale" priority="4961">
      <colorScale>
        <cfvo type="min"/>
        <cfvo type="percentile" val="50"/>
        <cfvo type="max"/>
        <color rgb="FFF8696B"/>
        <color rgb="FFFFEB84"/>
        <color rgb="FF63BE7B"/>
      </colorScale>
    </cfRule>
  </conditionalFormatting>
  <conditionalFormatting sqref="CU195">
    <cfRule type="colorScale" priority="4960">
      <colorScale>
        <cfvo type="min"/>
        <cfvo type="percentile" val="50"/>
        <cfvo type="max"/>
        <color rgb="FF63BE7B"/>
        <color rgb="FFFFEB84"/>
        <color rgb="FFF8696B"/>
      </colorScale>
    </cfRule>
  </conditionalFormatting>
  <conditionalFormatting sqref="CU195">
    <cfRule type="colorScale" priority="4957">
      <colorScale>
        <cfvo type="min"/>
        <cfvo type="max"/>
        <color rgb="FFFCFCFF"/>
        <color rgb="FFF8696B"/>
      </colorScale>
    </cfRule>
    <cfRule type="colorScale" priority="4959">
      <colorScale>
        <cfvo type="min"/>
        <cfvo type="percentile" val="50"/>
        <cfvo type="max"/>
        <color rgb="FF63BE7B"/>
        <color rgb="FFFFEB84"/>
        <color rgb="FFF8696B"/>
      </colorScale>
    </cfRule>
  </conditionalFormatting>
  <conditionalFormatting sqref="CU195">
    <cfRule type="colorScale" priority="4958">
      <colorScale>
        <cfvo type="min"/>
        <cfvo type="max"/>
        <color rgb="FFF8696B"/>
        <color rgb="FFFCFCFF"/>
      </colorScale>
    </cfRule>
  </conditionalFormatting>
  <conditionalFormatting sqref="CU195">
    <cfRule type="colorScale" priority="4956">
      <colorScale>
        <cfvo type="min"/>
        <cfvo type="percentile" val="50"/>
        <cfvo type="max"/>
        <color rgb="FFF8696B"/>
        <color rgb="FFFFEB84"/>
        <color rgb="FF63BE7B"/>
      </colorScale>
    </cfRule>
  </conditionalFormatting>
  <conditionalFormatting sqref="CU195">
    <cfRule type="colorScale" priority="4955">
      <colorScale>
        <cfvo type="min"/>
        <cfvo type="max"/>
        <color rgb="FFFCFCFF"/>
        <color rgb="FFF8696B"/>
      </colorScale>
    </cfRule>
  </conditionalFormatting>
  <conditionalFormatting sqref="CU200">
    <cfRule type="colorScale" priority="4954">
      <colorScale>
        <cfvo type="min"/>
        <cfvo type="percentile" val="50"/>
        <cfvo type="max"/>
        <color rgb="FFF8696B"/>
        <color rgb="FFFFEB84"/>
        <color rgb="FF63BE7B"/>
      </colorScale>
    </cfRule>
  </conditionalFormatting>
  <conditionalFormatting sqref="CU200">
    <cfRule type="colorScale" priority="4953">
      <colorScale>
        <cfvo type="min"/>
        <cfvo type="percentile" val="50"/>
        <cfvo type="max"/>
        <color rgb="FF63BE7B"/>
        <color rgb="FFFFEB84"/>
        <color rgb="FFF8696B"/>
      </colorScale>
    </cfRule>
  </conditionalFormatting>
  <conditionalFormatting sqref="CU200">
    <cfRule type="colorScale" priority="4950">
      <colorScale>
        <cfvo type="min"/>
        <cfvo type="max"/>
        <color rgb="FFFCFCFF"/>
        <color rgb="FFF8696B"/>
      </colorScale>
    </cfRule>
    <cfRule type="colorScale" priority="4952">
      <colorScale>
        <cfvo type="min"/>
        <cfvo type="percentile" val="50"/>
        <cfvo type="max"/>
        <color rgb="FF63BE7B"/>
        <color rgb="FFFFEB84"/>
        <color rgb="FFF8696B"/>
      </colorScale>
    </cfRule>
  </conditionalFormatting>
  <conditionalFormatting sqref="CU200">
    <cfRule type="colorScale" priority="4951">
      <colorScale>
        <cfvo type="min"/>
        <cfvo type="max"/>
        <color rgb="FFF8696B"/>
        <color rgb="FFFCFCFF"/>
      </colorScale>
    </cfRule>
  </conditionalFormatting>
  <conditionalFormatting sqref="CU200">
    <cfRule type="colorScale" priority="4949">
      <colorScale>
        <cfvo type="min"/>
        <cfvo type="percentile" val="50"/>
        <cfvo type="max"/>
        <color rgb="FFF8696B"/>
        <color rgb="FFFFEB84"/>
        <color rgb="FF63BE7B"/>
      </colorScale>
    </cfRule>
  </conditionalFormatting>
  <conditionalFormatting sqref="CU200">
    <cfRule type="colorScale" priority="4948">
      <colorScale>
        <cfvo type="min"/>
        <cfvo type="max"/>
        <color rgb="FFFCFCFF"/>
        <color rgb="FFF8696B"/>
      </colorScale>
    </cfRule>
  </conditionalFormatting>
  <conditionalFormatting sqref="CW195">
    <cfRule type="colorScale" priority="4947">
      <colorScale>
        <cfvo type="min"/>
        <cfvo type="percentile" val="50"/>
        <cfvo type="max"/>
        <color rgb="FFF8696B"/>
        <color rgb="FFFFEB84"/>
        <color rgb="FF63BE7B"/>
      </colorScale>
    </cfRule>
  </conditionalFormatting>
  <conditionalFormatting sqref="CW195">
    <cfRule type="colorScale" priority="4946">
      <colorScale>
        <cfvo type="min"/>
        <cfvo type="percentile" val="50"/>
        <cfvo type="max"/>
        <color rgb="FF63BE7B"/>
        <color rgb="FFFFEB84"/>
        <color rgb="FFF8696B"/>
      </colorScale>
    </cfRule>
  </conditionalFormatting>
  <conditionalFormatting sqref="CW195">
    <cfRule type="colorScale" priority="4943">
      <colorScale>
        <cfvo type="min"/>
        <cfvo type="max"/>
        <color rgb="FFFCFCFF"/>
        <color rgb="FFF8696B"/>
      </colorScale>
    </cfRule>
    <cfRule type="colorScale" priority="4945">
      <colorScale>
        <cfvo type="min"/>
        <cfvo type="percentile" val="50"/>
        <cfvo type="max"/>
        <color rgb="FF63BE7B"/>
        <color rgb="FFFFEB84"/>
        <color rgb="FFF8696B"/>
      </colorScale>
    </cfRule>
  </conditionalFormatting>
  <conditionalFormatting sqref="CW195">
    <cfRule type="colorScale" priority="4944">
      <colorScale>
        <cfvo type="min"/>
        <cfvo type="max"/>
        <color rgb="FFF8696B"/>
        <color rgb="FFFCFCFF"/>
      </colorScale>
    </cfRule>
  </conditionalFormatting>
  <conditionalFormatting sqref="CW195">
    <cfRule type="colorScale" priority="4942">
      <colorScale>
        <cfvo type="min"/>
        <cfvo type="percentile" val="50"/>
        <cfvo type="max"/>
        <color rgb="FFF8696B"/>
        <color rgb="FFFFEB84"/>
        <color rgb="FF63BE7B"/>
      </colorScale>
    </cfRule>
  </conditionalFormatting>
  <conditionalFormatting sqref="CW195">
    <cfRule type="colorScale" priority="4941">
      <colorScale>
        <cfvo type="min"/>
        <cfvo type="max"/>
        <color rgb="FFFCFCFF"/>
        <color rgb="FFF8696B"/>
      </colorScale>
    </cfRule>
  </conditionalFormatting>
  <conditionalFormatting sqref="CW200">
    <cfRule type="colorScale" priority="4940">
      <colorScale>
        <cfvo type="min"/>
        <cfvo type="percentile" val="50"/>
        <cfvo type="max"/>
        <color rgb="FFF8696B"/>
        <color rgb="FFFFEB84"/>
        <color rgb="FF63BE7B"/>
      </colorScale>
    </cfRule>
  </conditionalFormatting>
  <conditionalFormatting sqref="CW200">
    <cfRule type="colorScale" priority="4939">
      <colorScale>
        <cfvo type="min"/>
        <cfvo type="percentile" val="50"/>
        <cfvo type="max"/>
        <color rgb="FF63BE7B"/>
        <color rgb="FFFFEB84"/>
        <color rgb="FFF8696B"/>
      </colorScale>
    </cfRule>
  </conditionalFormatting>
  <conditionalFormatting sqref="CW200">
    <cfRule type="colorScale" priority="4936">
      <colorScale>
        <cfvo type="min"/>
        <cfvo type="max"/>
        <color rgb="FFFCFCFF"/>
        <color rgb="FFF8696B"/>
      </colorScale>
    </cfRule>
    <cfRule type="colorScale" priority="4938">
      <colorScale>
        <cfvo type="min"/>
        <cfvo type="percentile" val="50"/>
        <cfvo type="max"/>
        <color rgb="FF63BE7B"/>
        <color rgb="FFFFEB84"/>
        <color rgb="FFF8696B"/>
      </colorScale>
    </cfRule>
  </conditionalFormatting>
  <conditionalFormatting sqref="CW200">
    <cfRule type="colorScale" priority="4937">
      <colorScale>
        <cfvo type="min"/>
        <cfvo type="max"/>
        <color rgb="FFF8696B"/>
        <color rgb="FFFCFCFF"/>
      </colorScale>
    </cfRule>
  </conditionalFormatting>
  <conditionalFormatting sqref="CW200">
    <cfRule type="colorScale" priority="4935">
      <colorScale>
        <cfvo type="min"/>
        <cfvo type="percentile" val="50"/>
        <cfvo type="max"/>
        <color rgb="FFF8696B"/>
        <color rgb="FFFFEB84"/>
        <color rgb="FF63BE7B"/>
      </colorScale>
    </cfRule>
  </conditionalFormatting>
  <conditionalFormatting sqref="CW200">
    <cfRule type="colorScale" priority="4934">
      <colorScale>
        <cfvo type="min"/>
        <cfvo type="max"/>
        <color rgb="FFFCFCFF"/>
        <color rgb="FFF8696B"/>
      </colorScale>
    </cfRule>
  </conditionalFormatting>
  <conditionalFormatting sqref="CY195">
    <cfRule type="colorScale" priority="4933">
      <colorScale>
        <cfvo type="min"/>
        <cfvo type="percentile" val="50"/>
        <cfvo type="max"/>
        <color rgb="FFF8696B"/>
        <color rgb="FFFFEB84"/>
        <color rgb="FF63BE7B"/>
      </colorScale>
    </cfRule>
  </conditionalFormatting>
  <conditionalFormatting sqref="CY195">
    <cfRule type="colorScale" priority="4932">
      <colorScale>
        <cfvo type="min"/>
        <cfvo type="percentile" val="50"/>
        <cfvo type="max"/>
        <color rgb="FF63BE7B"/>
        <color rgb="FFFFEB84"/>
        <color rgb="FFF8696B"/>
      </colorScale>
    </cfRule>
  </conditionalFormatting>
  <conditionalFormatting sqref="CY195">
    <cfRule type="colorScale" priority="4929">
      <colorScale>
        <cfvo type="min"/>
        <cfvo type="max"/>
        <color rgb="FFFCFCFF"/>
        <color rgb="FFF8696B"/>
      </colorScale>
    </cfRule>
    <cfRule type="colorScale" priority="4931">
      <colorScale>
        <cfvo type="min"/>
        <cfvo type="percentile" val="50"/>
        <cfvo type="max"/>
        <color rgb="FF63BE7B"/>
        <color rgb="FFFFEB84"/>
        <color rgb="FFF8696B"/>
      </colorScale>
    </cfRule>
  </conditionalFormatting>
  <conditionalFormatting sqref="CY195">
    <cfRule type="colorScale" priority="4930">
      <colorScale>
        <cfvo type="min"/>
        <cfvo type="max"/>
        <color rgb="FFF8696B"/>
        <color rgb="FFFCFCFF"/>
      </colorScale>
    </cfRule>
  </conditionalFormatting>
  <conditionalFormatting sqref="CY195">
    <cfRule type="colorScale" priority="4928">
      <colorScale>
        <cfvo type="min"/>
        <cfvo type="percentile" val="50"/>
        <cfvo type="max"/>
        <color rgb="FFF8696B"/>
        <color rgb="FFFFEB84"/>
        <color rgb="FF63BE7B"/>
      </colorScale>
    </cfRule>
  </conditionalFormatting>
  <conditionalFormatting sqref="CY195">
    <cfRule type="colorScale" priority="4927">
      <colorScale>
        <cfvo type="min"/>
        <cfvo type="max"/>
        <color rgb="FFFCFCFF"/>
        <color rgb="FFF8696B"/>
      </colorScale>
    </cfRule>
  </conditionalFormatting>
  <conditionalFormatting sqref="CY200">
    <cfRule type="colorScale" priority="4926">
      <colorScale>
        <cfvo type="min"/>
        <cfvo type="percentile" val="50"/>
        <cfvo type="max"/>
        <color rgb="FFF8696B"/>
        <color rgb="FFFFEB84"/>
        <color rgb="FF63BE7B"/>
      </colorScale>
    </cfRule>
  </conditionalFormatting>
  <conditionalFormatting sqref="CY200">
    <cfRule type="colorScale" priority="4925">
      <colorScale>
        <cfvo type="min"/>
        <cfvo type="percentile" val="50"/>
        <cfvo type="max"/>
        <color rgb="FF63BE7B"/>
        <color rgb="FFFFEB84"/>
        <color rgb="FFF8696B"/>
      </colorScale>
    </cfRule>
  </conditionalFormatting>
  <conditionalFormatting sqref="CY200">
    <cfRule type="colorScale" priority="4922">
      <colorScale>
        <cfvo type="min"/>
        <cfvo type="max"/>
        <color rgb="FFFCFCFF"/>
        <color rgb="FFF8696B"/>
      </colorScale>
    </cfRule>
    <cfRule type="colorScale" priority="4924">
      <colorScale>
        <cfvo type="min"/>
        <cfvo type="percentile" val="50"/>
        <cfvo type="max"/>
        <color rgb="FF63BE7B"/>
        <color rgb="FFFFEB84"/>
        <color rgb="FFF8696B"/>
      </colorScale>
    </cfRule>
  </conditionalFormatting>
  <conditionalFormatting sqref="CY200">
    <cfRule type="colorScale" priority="4923">
      <colorScale>
        <cfvo type="min"/>
        <cfvo type="max"/>
        <color rgb="FFF8696B"/>
        <color rgb="FFFCFCFF"/>
      </colorScale>
    </cfRule>
  </conditionalFormatting>
  <conditionalFormatting sqref="CY200">
    <cfRule type="colorScale" priority="4921">
      <colorScale>
        <cfvo type="min"/>
        <cfvo type="percentile" val="50"/>
        <cfvo type="max"/>
        <color rgb="FFF8696B"/>
        <color rgb="FFFFEB84"/>
        <color rgb="FF63BE7B"/>
      </colorScale>
    </cfRule>
  </conditionalFormatting>
  <conditionalFormatting sqref="CY200">
    <cfRule type="colorScale" priority="4920">
      <colorScale>
        <cfvo type="min"/>
        <cfvo type="max"/>
        <color rgb="FFFCFCFF"/>
        <color rgb="FFF8696B"/>
      </colorScale>
    </cfRule>
  </conditionalFormatting>
  <conditionalFormatting sqref="DC185">
    <cfRule type="colorScale" priority="4919">
      <colorScale>
        <cfvo type="min"/>
        <cfvo type="percentile" val="50"/>
        <cfvo type="max"/>
        <color rgb="FFF8696B"/>
        <color rgb="FFFFEB84"/>
        <color rgb="FF63BE7B"/>
      </colorScale>
    </cfRule>
  </conditionalFormatting>
  <conditionalFormatting sqref="DC185">
    <cfRule type="colorScale" priority="4918">
      <colorScale>
        <cfvo type="min"/>
        <cfvo type="percentile" val="50"/>
        <cfvo type="max"/>
        <color rgb="FFF8696B"/>
        <color rgb="FFFFEB84"/>
        <color rgb="FF63BE7B"/>
      </colorScale>
    </cfRule>
  </conditionalFormatting>
  <conditionalFormatting sqref="DC185">
    <cfRule type="colorScale" priority="4917">
      <colorScale>
        <cfvo type="min"/>
        <cfvo type="percentile" val="50"/>
        <cfvo type="max"/>
        <color rgb="FF63BE7B"/>
        <color rgb="FFFFEB84"/>
        <color rgb="FFF8696B"/>
      </colorScale>
    </cfRule>
  </conditionalFormatting>
  <conditionalFormatting sqref="DC185">
    <cfRule type="colorScale" priority="4914">
      <colorScale>
        <cfvo type="min"/>
        <cfvo type="max"/>
        <color rgb="FFFCFCFF"/>
        <color rgb="FFF8696B"/>
      </colorScale>
    </cfRule>
    <cfRule type="colorScale" priority="4916">
      <colorScale>
        <cfvo type="min"/>
        <cfvo type="percentile" val="50"/>
        <cfvo type="max"/>
        <color rgb="FF63BE7B"/>
        <color rgb="FFFFEB84"/>
        <color rgb="FFF8696B"/>
      </colorScale>
    </cfRule>
  </conditionalFormatting>
  <conditionalFormatting sqref="DC185">
    <cfRule type="colorScale" priority="4915">
      <colorScale>
        <cfvo type="min"/>
        <cfvo type="max"/>
        <color rgb="FFF8696B"/>
        <color rgb="FFFCFCFF"/>
      </colorScale>
    </cfRule>
  </conditionalFormatting>
  <conditionalFormatting sqref="DC185">
    <cfRule type="colorScale" priority="4913">
      <colorScale>
        <cfvo type="min"/>
        <cfvo type="max"/>
        <color rgb="FFFCFCFF"/>
        <color rgb="FFF8696B"/>
      </colorScale>
    </cfRule>
  </conditionalFormatting>
  <conditionalFormatting sqref="DE185">
    <cfRule type="colorScale" priority="4912">
      <colorScale>
        <cfvo type="min"/>
        <cfvo type="percentile" val="50"/>
        <cfvo type="max"/>
        <color rgb="FFF8696B"/>
        <color rgb="FFFFEB84"/>
        <color rgb="FF63BE7B"/>
      </colorScale>
    </cfRule>
  </conditionalFormatting>
  <conditionalFormatting sqref="DE185">
    <cfRule type="colorScale" priority="4911">
      <colorScale>
        <cfvo type="min"/>
        <cfvo type="percentile" val="50"/>
        <cfvo type="max"/>
        <color rgb="FFF8696B"/>
        <color rgb="FFFFEB84"/>
        <color rgb="FF63BE7B"/>
      </colorScale>
    </cfRule>
  </conditionalFormatting>
  <conditionalFormatting sqref="DE185">
    <cfRule type="colorScale" priority="4910">
      <colorScale>
        <cfvo type="min"/>
        <cfvo type="percentile" val="50"/>
        <cfvo type="max"/>
        <color rgb="FF63BE7B"/>
        <color rgb="FFFFEB84"/>
        <color rgb="FFF8696B"/>
      </colorScale>
    </cfRule>
  </conditionalFormatting>
  <conditionalFormatting sqref="DE185">
    <cfRule type="colorScale" priority="4907">
      <colorScale>
        <cfvo type="min"/>
        <cfvo type="max"/>
        <color rgb="FFFCFCFF"/>
        <color rgb="FFF8696B"/>
      </colorScale>
    </cfRule>
    <cfRule type="colorScale" priority="4909">
      <colorScale>
        <cfvo type="min"/>
        <cfvo type="percentile" val="50"/>
        <cfvo type="max"/>
        <color rgb="FF63BE7B"/>
        <color rgb="FFFFEB84"/>
        <color rgb="FFF8696B"/>
      </colorScale>
    </cfRule>
  </conditionalFormatting>
  <conditionalFormatting sqref="DE185">
    <cfRule type="colorScale" priority="4908">
      <colorScale>
        <cfvo type="min"/>
        <cfvo type="max"/>
        <color rgb="FFF8696B"/>
        <color rgb="FFFCFCFF"/>
      </colorScale>
    </cfRule>
  </conditionalFormatting>
  <conditionalFormatting sqref="DE185">
    <cfRule type="colorScale" priority="4906">
      <colorScale>
        <cfvo type="min"/>
        <cfvo type="max"/>
        <color rgb="FFFCFCFF"/>
        <color rgb="FFF8696B"/>
      </colorScale>
    </cfRule>
  </conditionalFormatting>
  <conditionalFormatting sqref="DG185">
    <cfRule type="colorScale" priority="4905">
      <colorScale>
        <cfvo type="min"/>
        <cfvo type="percentile" val="50"/>
        <cfvo type="max"/>
        <color rgb="FFF8696B"/>
        <color rgb="FFFFEB84"/>
        <color rgb="FF63BE7B"/>
      </colorScale>
    </cfRule>
  </conditionalFormatting>
  <conditionalFormatting sqref="DG185">
    <cfRule type="colorScale" priority="4904">
      <colorScale>
        <cfvo type="min"/>
        <cfvo type="percentile" val="50"/>
        <cfvo type="max"/>
        <color rgb="FFF8696B"/>
        <color rgb="FFFFEB84"/>
        <color rgb="FF63BE7B"/>
      </colorScale>
    </cfRule>
  </conditionalFormatting>
  <conditionalFormatting sqref="DG185">
    <cfRule type="colorScale" priority="4903">
      <colorScale>
        <cfvo type="min"/>
        <cfvo type="percentile" val="50"/>
        <cfvo type="max"/>
        <color rgb="FF63BE7B"/>
        <color rgb="FFFFEB84"/>
        <color rgb="FFF8696B"/>
      </colorScale>
    </cfRule>
  </conditionalFormatting>
  <conditionalFormatting sqref="DG185">
    <cfRule type="colorScale" priority="4900">
      <colorScale>
        <cfvo type="min"/>
        <cfvo type="max"/>
        <color rgb="FFFCFCFF"/>
        <color rgb="FFF8696B"/>
      </colorScale>
    </cfRule>
    <cfRule type="colorScale" priority="4902">
      <colorScale>
        <cfvo type="min"/>
        <cfvo type="percentile" val="50"/>
        <cfvo type="max"/>
        <color rgb="FF63BE7B"/>
        <color rgb="FFFFEB84"/>
        <color rgb="FFF8696B"/>
      </colorScale>
    </cfRule>
  </conditionalFormatting>
  <conditionalFormatting sqref="DG185">
    <cfRule type="colorScale" priority="4901">
      <colorScale>
        <cfvo type="min"/>
        <cfvo type="max"/>
        <color rgb="FFF8696B"/>
        <color rgb="FFFCFCFF"/>
      </colorScale>
    </cfRule>
  </conditionalFormatting>
  <conditionalFormatting sqref="DG185">
    <cfRule type="colorScale" priority="4899">
      <colorScale>
        <cfvo type="min"/>
        <cfvo type="max"/>
        <color rgb="FFFCFCFF"/>
        <color rgb="FFF8696B"/>
      </colorScale>
    </cfRule>
  </conditionalFormatting>
  <conditionalFormatting sqref="CY190">
    <cfRule type="colorScale" priority="4898">
      <colorScale>
        <cfvo type="min"/>
        <cfvo type="percentile" val="50"/>
        <cfvo type="max"/>
        <color rgb="FFF8696B"/>
        <color rgb="FFFFEB84"/>
        <color rgb="FF63BE7B"/>
      </colorScale>
    </cfRule>
  </conditionalFormatting>
  <conditionalFormatting sqref="CY190">
    <cfRule type="colorScale" priority="4897">
      <colorScale>
        <cfvo type="min"/>
        <cfvo type="percentile" val="50"/>
        <cfvo type="max"/>
        <color rgb="FF63BE7B"/>
        <color rgb="FFFFEB84"/>
        <color rgb="FFF8696B"/>
      </colorScale>
    </cfRule>
  </conditionalFormatting>
  <conditionalFormatting sqref="CY190">
    <cfRule type="colorScale" priority="4894">
      <colorScale>
        <cfvo type="min"/>
        <cfvo type="max"/>
        <color rgb="FFFCFCFF"/>
        <color rgb="FFF8696B"/>
      </colorScale>
    </cfRule>
    <cfRule type="colorScale" priority="4896">
      <colorScale>
        <cfvo type="min"/>
        <cfvo type="percentile" val="50"/>
        <cfvo type="max"/>
        <color rgb="FF63BE7B"/>
        <color rgb="FFFFEB84"/>
        <color rgb="FFF8696B"/>
      </colorScale>
    </cfRule>
  </conditionalFormatting>
  <conditionalFormatting sqref="CY190">
    <cfRule type="colorScale" priority="4895">
      <colorScale>
        <cfvo type="min"/>
        <cfvo type="max"/>
        <color rgb="FFF8696B"/>
        <color rgb="FFFCFCFF"/>
      </colorScale>
    </cfRule>
  </conditionalFormatting>
  <conditionalFormatting sqref="CY190">
    <cfRule type="colorScale" priority="4893">
      <colorScale>
        <cfvo type="min"/>
        <cfvo type="max"/>
        <color rgb="FFFCFCFF"/>
        <color rgb="FFF8696B"/>
      </colorScale>
    </cfRule>
  </conditionalFormatting>
  <conditionalFormatting sqref="DC190">
    <cfRule type="colorScale" priority="4892">
      <colorScale>
        <cfvo type="min"/>
        <cfvo type="percentile" val="50"/>
        <cfvo type="max"/>
        <color rgb="FFF8696B"/>
        <color rgb="FFFFEB84"/>
        <color rgb="FF63BE7B"/>
      </colorScale>
    </cfRule>
  </conditionalFormatting>
  <conditionalFormatting sqref="DC190">
    <cfRule type="colorScale" priority="4891">
      <colorScale>
        <cfvo type="min"/>
        <cfvo type="percentile" val="50"/>
        <cfvo type="max"/>
        <color rgb="FFF8696B"/>
        <color rgb="FFFFEB84"/>
        <color rgb="FF63BE7B"/>
      </colorScale>
    </cfRule>
  </conditionalFormatting>
  <conditionalFormatting sqref="DC190">
    <cfRule type="colorScale" priority="4890">
      <colorScale>
        <cfvo type="min"/>
        <cfvo type="percentile" val="50"/>
        <cfvo type="max"/>
        <color rgb="FF63BE7B"/>
        <color rgb="FFFFEB84"/>
        <color rgb="FFF8696B"/>
      </colorScale>
    </cfRule>
  </conditionalFormatting>
  <conditionalFormatting sqref="DC190">
    <cfRule type="colorScale" priority="4887">
      <colorScale>
        <cfvo type="min"/>
        <cfvo type="max"/>
        <color rgb="FFFCFCFF"/>
        <color rgb="FFF8696B"/>
      </colorScale>
    </cfRule>
    <cfRule type="colorScale" priority="4889">
      <colorScale>
        <cfvo type="min"/>
        <cfvo type="percentile" val="50"/>
        <cfvo type="max"/>
        <color rgb="FF63BE7B"/>
        <color rgb="FFFFEB84"/>
        <color rgb="FFF8696B"/>
      </colorScale>
    </cfRule>
  </conditionalFormatting>
  <conditionalFormatting sqref="DC190">
    <cfRule type="colorScale" priority="4888">
      <colorScale>
        <cfvo type="min"/>
        <cfvo type="max"/>
        <color rgb="FFF8696B"/>
        <color rgb="FFFCFCFF"/>
      </colorScale>
    </cfRule>
  </conditionalFormatting>
  <conditionalFormatting sqref="DC190">
    <cfRule type="colorScale" priority="4886">
      <colorScale>
        <cfvo type="min"/>
        <cfvo type="max"/>
        <color rgb="FFFCFCFF"/>
        <color rgb="FFF8696B"/>
      </colorScale>
    </cfRule>
  </conditionalFormatting>
  <conditionalFormatting sqref="DA190">
    <cfRule type="colorScale" priority="4885">
      <colorScale>
        <cfvo type="min"/>
        <cfvo type="percentile" val="50"/>
        <cfvo type="max"/>
        <color rgb="FFF8696B"/>
        <color rgb="FFFFEB84"/>
        <color rgb="FF63BE7B"/>
      </colorScale>
    </cfRule>
  </conditionalFormatting>
  <conditionalFormatting sqref="DA190">
    <cfRule type="colorScale" priority="4884">
      <colorScale>
        <cfvo type="min"/>
        <cfvo type="percentile" val="50"/>
        <cfvo type="max"/>
        <color rgb="FF63BE7B"/>
        <color rgb="FFFFEB84"/>
        <color rgb="FFF8696B"/>
      </colorScale>
    </cfRule>
  </conditionalFormatting>
  <conditionalFormatting sqref="DA190">
    <cfRule type="colorScale" priority="4881">
      <colorScale>
        <cfvo type="min"/>
        <cfvo type="max"/>
        <color rgb="FFFCFCFF"/>
        <color rgb="FFF8696B"/>
      </colorScale>
    </cfRule>
    <cfRule type="colorScale" priority="4883">
      <colorScale>
        <cfvo type="min"/>
        <cfvo type="percentile" val="50"/>
        <cfvo type="max"/>
        <color rgb="FF63BE7B"/>
        <color rgb="FFFFEB84"/>
        <color rgb="FFF8696B"/>
      </colorScale>
    </cfRule>
  </conditionalFormatting>
  <conditionalFormatting sqref="DA190">
    <cfRule type="colorScale" priority="4882">
      <colorScale>
        <cfvo type="min"/>
        <cfvo type="max"/>
        <color rgb="FFF8696B"/>
        <color rgb="FFFCFCFF"/>
      </colorScale>
    </cfRule>
  </conditionalFormatting>
  <conditionalFormatting sqref="DA190">
    <cfRule type="colorScale" priority="4880">
      <colorScale>
        <cfvo type="min"/>
        <cfvo type="max"/>
        <color rgb="FFFCFCFF"/>
        <color rgb="FFF8696B"/>
      </colorScale>
    </cfRule>
  </conditionalFormatting>
  <conditionalFormatting sqref="DE190">
    <cfRule type="colorScale" priority="4879">
      <colorScale>
        <cfvo type="min"/>
        <cfvo type="percentile" val="50"/>
        <cfvo type="max"/>
        <color rgb="FFF8696B"/>
        <color rgb="FFFFEB84"/>
        <color rgb="FF63BE7B"/>
      </colorScale>
    </cfRule>
  </conditionalFormatting>
  <conditionalFormatting sqref="DE190">
    <cfRule type="colorScale" priority="4878">
      <colorScale>
        <cfvo type="min"/>
        <cfvo type="percentile" val="50"/>
        <cfvo type="max"/>
        <color rgb="FFF8696B"/>
        <color rgb="FFFFEB84"/>
        <color rgb="FF63BE7B"/>
      </colorScale>
    </cfRule>
  </conditionalFormatting>
  <conditionalFormatting sqref="DE190">
    <cfRule type="colorScale" priority="4877">
      <colorScale>
        <cfvo type="min"/>
        <cfvo type="percentile" val="50"/>
        <cfvo type="max"/>
        <color rgb="FF63BE7B"/>
        <color rgb="FFFFEB84"/>
        <color rgb="FFF8696B"/>
      </colorScale>
    </cfRule>
  </conditionalFormatting>
  <conditionalFormatting sqref="DE190">
    <cfRule type="colorScale" priority="4874">
      <colorScale>
        <cfvo type="min"/>
        <cfvo type="max"/>
        <color rgb="FFFCFCFF"/>
        <color rgb="FFF8696B"/>
      </colorScale>
    </cfRule>
    <cfRule type="colorScale" priority="4876">
      <colorScale>
        <cfvo type="min"/>
        <cfvo type="percentile" val="50"/>
        <cfvo type="max"/>
        <color rgb="FF63BE7B"/>
        <color rgb="FFFFEB84"/>
        <color rgb="FFF8696B"/>
      </colorScale>
    </cfRule>
  </conditionalFormatting>
  <conditionalFormatting sqref="DE190">
    <cfRule type="colorScale" priority="4875">
      <colorScale>
        <cfvo type="min"/>
        <cfvo type="max"/>
        <color rgb="FFF8696B"/>
        <color rgb="FFFCFCFF"/>
      </colorScale>
    </cfRule>
  </conditionalFormatting>
  <conditionalFormatting sqref="DE190">
    <cfRule type="colorScale" priority="4873">
      <colorScale>
        <cfvo type="min"/>
        <cfvo type="max"/>
        <color rgb="FFFCFCFF"/>
        <color rgb="FFF8696B"/>
      </colorScale>
    </cfRule>
  </conditionalFormatting>
  <conditionalFormatting sqref="DG190">
    <cfRule type="colorScale" priority="4872">
      <colorScale>
        <cfvo type="min"/>
        <cfvo type="percentile" val="50"/>
        <cfvo type="max"/>
        <color rgb="FFF8696B"/>
        <color rgb="FFFFEB84"/>
        <color rgb="FF63BE7B"/>
      </colorScale>
    </cfRule>
  </conditionalFormatting>
  <conditionalFormatting sqref="DG190">
    <cfRule type="colorScale" priority="4871">
      <colorScale>
        <cfvo type="min"/>
        <cfvo type="percentile" val="50"/>
        <cfvo type="max"/>
        <color rgb="FFF8696B"/>
        <color rgb="FFFFEB84"/>
        <color rgb="FF63BE7B"/>
      </colorScale>
    </cfRule>
  </conditionalFormatting>
  <conditionalFormatting sqref="DG190">
    <cfRule type="colorScale" priority="4870">
      <colorScale>
        <cfvo type="min"/>
        <cfvo type="percentile" val="50"/>
        <cfvo type="max"/>
        <color rgb="FF63BE7B"/>
        <color rgb="FFFFEB84"/>
        <color rgb="FFF8696B"/>
      </colorScale>
    </cfRule>
  </conditionalFormatting>
  <conditionalFormatting sqref="DG190">
    <cfRule type="colorScale" priority="4867">
      <colorScale>
        <cfvo type="min"/>
        <cfvo type="max"/>
        <color rgb="FFFCFCFF"/>
        <color rgb="FFF8696B"/>
      </colorScale>
    </cfRule>
    <cfRule type="colorScale" priority="4869">
      <colorScale>
        <cfvo type="min"/>
        <cfvo type="percentile" val="50"/>
        <cfvo type="max"/>
        <color rgb="FF63BE7B"/>
        <color rgb="FFFFEB84"/>
        <color rgb="FFF8696B"/>
      </colorScale>
    </cfRule>
  </conditionalFormatting>
  <conditionalFormatting sqref="DG190">
    <cfRule type="colorScale" priority="4868">
      <colorScale>
        <cfvo type="min"/>
        <cfvo type="max"/>
        <color rgb="FFF8696B"/>
        <color rgb="FFFCFCFF"/>
      </colorScale>
    </cfRule>
  </conditionalFormatting>
  <conditionalFormatting sqref="DG190">
    <cfRule type="colorScale" priority="4866">
      <colorScale>
        <cfvo type="min"/>
        <cfvo type="max"/>
        <color rgb="FFFCFCFF"/>
        <color rgb="FFF8696B"/>
      </colorScale>
    </cfRule>
  </conditionalFormatting>
  <conditionalFormatting sqref="DA195">
    <cfRule type="colorScale" priority="4865">
      <colorScale>
        <cfvo type="min"/>
        <cfvo type="percentile" val="50"/>
        <cfvo type="max"/>
        <color rgb="FFF8696B"/>
        <color rgb="FFFFEB84"/>
        <color rgb="FF63BE7B"/>
      </colorScale>
    </cfRule>
  </conditionalFormatting>
  <conditionalFormatting sqref="DA195">
    <cfRule type="colorScale" priority="4864">
      <colorScale>
        <cfvo type="min"/>
        <cfvo type="percentile" val="50"/>
        <cfvo type="max"/>
        <color rgb="FF63BE7B"/>
        <color rgb="FFFFEB84"/>
        <color rgb="FFF8696B"/>
      </colorScale>
    </cfRule>
  </conditionalFormatting>
  <conditionalFormatting sqref="DA195">
    <cfRule type="colorScale" priority="4861">
      <colorScale>
        <cfvo type="min"/>
        <cfvo type="max"/>
        <color rgb="FFFCFCFF"/>
        <color rgb="FFF8696B"/>
      </colorScale>
    </cfRule>
    <cfRule type="colorScale" priority="4863">
      <colorScale>
        <cfvo type="min"/>
        <cfvo type="percentile" val="50"/>
        <cfvo type="max"/>
        <color rgb="FF63BE7B"/>
        <color rgb="FFFFEB84"/>
        <color rgb="FFF8696B"/>
      </colorScale>
    </cfRule>
  </conditionalFormatting>
  <conditionalFormatting sqref="DA195">
    <cfRule type="colorScale" priority="4862">
      <colorScale>
        <cfvo type="min"/>
        <cfvo type="max"/>
        <color rgb="FFF8696B"/>
        <color rgb="FFFCFCFF"/>
      </colorScale>
    </cfRule>
  </conditionalFormatting>
  <conditionalFormatting sqref="DA195">
    <cfRule type="colorScale" priority="4860">
      <colorScale>
        <cfvo type="min"/>
        <cfvo type="percentile" val="50"/>
        <cfvo type="max"/>
        <color rgb="FFF8696B"/>
        <color rgb="FFFFEB84"/>
        <color rgb="FF63BE7B"/>
      </colorScale>
    </cfRule>
  </conditionalFormatting>
  <conditionalFormatting sqref="DA195">
    <cfRule type="colorScale" priority="4859">
      <colorScale>
        <cfvo type="min"/>
        <cfvo type="max"/>
        <color rgb="FFFCFCFF"/>
        <color rgb="FFF8696B"/>
      </colorScale>
    </cfRule>
  </conditionalFormatting>
  <conditionalFormatting sqref="DA200">
    <cfRule type="colorScale" priority="4858">
      <colorScale>
        <cfvo type="min"/>
        <cfvo type="percentile" val="50"/>
        <cfvo type="max"/>
        <color rgb="FFF8696B"/>
        <color rgb="FFFFEB84"/>
        <color rgb="FF63BE7B"/>
      </colorScale>
    </cfRule>
  </conditionalFormatting>
  <conditionalFormatting sqref="DA200">
    <cfRule type="colorScale" priority="4857">
      <colorScale>
        <cfvo type="min"/>
        <cfvo type="percentile" val="50"/>
        <cfvo type="max"/>
        <color rgb="FF63BE7B"/>
        <color rgb="FFFFEB84"/>
        <color rgb="FFF8696B"/>
      </colorScale>
    </cfRule>
  </conditionalFormatting>
  <conditionalFormatting sqref="DA200">
    <cfRule type="colorScale" priority="4854">
      <colorScale>
        <cfvo type="min"/>
        <cfvo type="max"/>
        <color rgb="FFFCFCFF"/>
        <color rgb="FFF8696B"/>
      </colorScale>
    </cfRule>
    <cfRule type="colorScale" priority="4856">
      <colorScale>
        <cfvo type="min"/>
        <cfvo type="percentile" val="50"/>
        <cfvo type="max"/>
        <color rgb="FF63BE7B"/>
        <color rgb="FFFFEB84"/>
        <color rgb="FFF8696B"/>
      </colorScale>
    </cfRule>
  </conditionalFormatting>
  <conditionalFormatting sqref="DA200">
    <cfRule type="colorScale" priority="4855">
      <colorScale>
        <cfvo type="min"/>
        <cfvo type="max"/>
        <color rgb="FFF8696B"/>
        <color rgb="FFFCFCFF"/>
      </colorScale>
    </cfRule>
  </conditionalFormatting>
  <conditionalFormatting sqref="DA200">
    <cfRule type="colorScale" priority="4853">
      <colorScale>
        <cfvo type="min"/>
        <cfvo type="percentile" val="50"/>
        <cfvo type="max"/>
        <color rgb="FFF8696B"/>
        <color rgb="FFFFEB84"/>
        <color rgb="FF63BE7B"/>
      </colorScale>
    </cfRule>
  </conditionalFormatting>
  <conditionalFormatting sqref="DA200">
    <cfRule type="colorScale" priority="4852">
      <colorScale>
        <cfvo type="min"/>
        <cfvo type="max"/>
        <color rgb="FFFCFCFF"/>
        <color rgb="FFF8696B"/>
      </colorScale>
    </cfRule>
  </conditionalFormatting>
  <conditionalFormatting sqref="CU205">
    <cfRule type="colorScale" priority="4851">
      <colorScale>
        <cfvo type="min"/>
        <cfvo type="percentile" val="50"/>
        <cfvo type="max"/>
        <color rgb="FFF8696B"/>
        <color rgb="FFFFEB84"/>
        <color rgb="FF63BE7B"/>
      </colorScale>
    </cfRule>
  </conditionalFormatting>
  <conditionalFormatting sqref="CU205">
    <cfRule type="colorScale" priority="4850">
      <colorScale>
        <cfvo type="min"/>
        <cfvo type="percentile" val="50"/>
        <cfvo type="max"/>
        <color rgb="FF63BE7B"/>
        <color rgb="FFFFEB84"/>
        <color rgb="FFF8696B"/>
      </colorScale>
    </cfRule>
  </conditionalFormatting>
  <conditionalFormatting sqref="CU205">
    <cfRule type="colorScale" priority="4847">
      <colorScale>
        <cfvo type="min"/>
        <cfvo type="max"/>
        <color rgb="FFFCFCFF"/>
        <color rgb="FFF8696B"/>
      </colorScale>
    </cfRule>
    <cfRule type="colorScale" priority="4849">
      <colorScale>
        <cfvo type="min"/>
        <cfvo type="percentile" val="50"/>
        <cfvo type="max"/>
        <color rgb="FF63BE7B"/>
        <color rgb="FFFFEB84"/>
        <color rgb="FFF8696B"/>
      </colorScale>
    </cfRule>
  </conditionalFormatting>
  <conditionalFormatting sqref="CU205">
    <cfRule type="colorScale" priority="4848">
      <colorScale>
        <cfvo type="min"/>
        <cfvo type="max"/>
        <color rgb="FFF8696B"/>
        <color rgb="FFFCFCFF"/>
      </colorScale>
    </cfRule>
  </conditionalFormatting>
  <conditionalFormatting sqref="CU205">
    <cfRule type="colorScale" priority="4846">
      <colorScale>
        <cfvo type="min"/>
        <cfvo type="percentile" val="50"/>
        <cfvo type="max"/>
        <color rgb="FFF8696B"/>
        <color rgb="FFFFEB84"/>
        <color rgb="FF63BE7B"/>
      </colorScale>
    </cfRule>
  </conditionalFormatting>
  <conditionalFormatting sqref="CU205">
    <cfRule type="colorScale" priority="4845">
      <colorScale>
        <cfvo type="min"/>
        <cfvo type="max"/>
        <color rgb="FFFCFCFF"/>
        <color rgb="FFF8696B"/>
      </colorScale>
    </cfRule>
  </conditionalFormatting>
  <conditionalFormatting sqref="CW205">
    <cfRule type="colorScale" priority="4844">
      <colorScale>
        <cfvo type="min"/>
        <cfvo type="percentile" val="50"/>
        <cfvo type="max"/>
        <color rgb="FFF8696B"/>
        <color rgb="FFFFEB84"/>
        <color rgb="FF63BE7B"/>
      </colorScale>
    </cfRule>
  </conditionalFormatting>
  <conditionalFormatting sqref="CW205">
    <cfRule type="colorScale" priority="4843">
      <colorScale>
        <cfvo type="min"/>
        <cfvo type="percentile" val="50"/>
        <cfvo type="max"/>
        <color rgb="FF63BE7B"/>
        <color rgb="FFFFEB84"/>
        <color rgb="FFF8696B"/>
      </colorScale>
    </cfRule>
  </conditionalFormatting>
  <conditionalFormatting sqref="CW205">
    <cfRule type="colorScale" priority="4840">
      <colorScale>
        <cfvo type="min"/>
        <cfvo type="max"/>
        <color rgb="FFFCFCFF"/>
        <color rgb="FFF8696B"/>
      </colorScale>
    </cfRule>
    <cfRule type="colorScale" priority="4842">
      <colorScale>
        <cfvo type="min"/>
        <cfvo type="percentile" val="50"/>
        <cfvo type="max"/>
        <color rgb="FF63BE7B"/>
        <color rgb="FFFFEB84"/>
        <color rgb="FFF8696B"/>
      </colorScale>
    </cfRule>
  </conditionalFormatting>
  <conditionalFormatting sqref="CW205">
    <cfRule type="colorScale" priority="4841">
      <colorScale>
        <cfvo type="min"/>
        <cfvo type="max"/>
        <color rgb="FFF8696B"/>
        <color rgb="FFFCFCFF"/>
      </colorScale>
    </cfRule>
  </conditionalFormatting>
  <conditionalFormatting sqref="CW205">
    <cfRule type="colorScale" priority="4839">
      <colorScale>
        <cfvo type="min"/>
        <cfvo type="percentile" val="50"/>
        <cfvo type="max"/>
        <color rgb="FFF8696B"/>
        <color rgb="FFFFEB84"/>
        <color rgb="FF63BE7B"/>
      </colorScale>
    </cfRule>
  </conditionalFormatting>
  <conditionalFormatting sqref="CW205">
    <cfRule type="colorScale" priority="4838">
      <colorScale>
        <cfvo type="min"/>
        <cfvo type="max"/>
        <color rgb="FFFCFCFF"/>
        <color rgb="FFF8696B"/>
      </colorScale>
    </cfRule>
  </conditionalFormatting>
  <conditionalFormatting sqref="DC195">
    <cfRule type="colorScale" priority="4837">
      <colorScale>
        <cfvo type="min"/>
        <cfvo type="percentile" val="50"/>
        <cfvo type="max"/>
        <color rgb="FFF8696B"/>
        <color rgb="FFFFEB84"/>
        <color rgb="FF63BE7B"/>
      </colorScale>
    </cfRule>
  </conditionalFormatting>
  <conditionalFormatting sqref="DC195">
    <cfRule type="colorScale" priority="4836">
      <colorScale>
        <cfvo type="min"/>
        <cfvo type="percentile" val="50"/>
        <cfvo type="max"/>
        <color rgb="FF63BE7B"/>
        <color rgb="FFFFEB84"/>
        <color rgb="FFF8696B"/>
      </colorScale>
    </cfRule>
  </conditionalFormatting>
  <conditionalFormatting sqref="DC195">
    <cfRule type="colorScale" priority="4833">
      <colorScale>
        <cfvo type="min"/>
        <cfvo type="max"/>
        <color rgb="FFFCFCFF"/>
        <color rgb="FFF8696B"/>
      </colorScale>
    </cfRule>
    <cfRule type="colorScale" priority="4835">
      <colorScale>
        <cfvo type="min"/>
        <cfvo type="percentile" val="50"/>
        <cfvo type="max"/>
        <color rgb="FF63BE7B"/>
        <color rgb="FFFFEB84"/>
        <color rgb="FFF8696B"/>
      </colorScale>
    </cfRule>
  </conditionalFormatting>
  <conditionalFormatting sqref="DC195">
    <cfRule type="colorScale" priority="4834">
      <colorScale>
        <cfvo type="min"/>
        <cfvo type="max"/>
        <color rgb="FFF8696B"/>
        <color rgb="FFFCFCFF"/>
      </colorScale>
    </cfRule>
  </conditionalFormatting>
  <conditionalFormatting sqref="DC195">
    <cfRule type="colorScale" priority="4832">
      <colorScale>
        <cfvo type="min"/>
        <cfvo type="percentile" val="50"/>
        <cfvo type="max"/>
        <color rgb="FFF8696B"/>
        <color rgb="FFFFEB84"/>
        <color rgb="FF63BE7B"/>
      </colorScale>
    </cfRule>
  </conditionalFormatting>
  <conditionalFormatting sqref="DC195">
    <cfRule type="colorScale" priority="4831">
      <colorScale>
        <cfvo type="min"/>
        <cfvo type="max"/>
        <color rgb="FFFCFCFF"/>
        <color rgb="FFF8696B"/>
      </colorScale>
    </cfRule>
  </conditionalFormatting>
  <conditionalFormatting sqref="DC200">
    <cfRule type="colorScale" priority="4830">
      <colorScale>
        <cfvo type="min"/>
        <cfvo type="percentile" val="50"/>
        <cfvo type="max"/>
        <color rgb="FFF8696B"/>
        <color rgb="FFFFEB84"/>
        <color rgb="FF63BE7B"/>
      </colorScale>
    </cfRule>
  </conditionalFormatting>
  <conditionalFormatting sqref="DC200">
    <cfRule type="colorScale" priority="4829">
      <colorScale>
        <cfvo type="min"/>
        <cfvo type="percentile" val="50"/>
        <cfvo type="max"/>
        <color rgb="FF63BE7B"/>
        <color rgb="FFFFEB84"/>
        <color rgb="FFF8696B"/>
      </colorScale>
    </cfRule>
  </conditionalFormatting>
  <conditionalFormatting sqref="DC200">
    <cfRule type="colorScale" priority="4826">
      <colorScale>
        <cfvo type="min"/>
        <cfvo type="max"/>
        <color rgb="FFFCFCFF"/>
        <color rgb="FFF8696B"/>
      </colorScale>
    </cfRule>
    <cfRule type="colorScale" priority="4828">
      <colorScale>
        <cfvo type="min"/>
        <cfvo type="percentile" val="50"/>
        <cfvo type="max"/>
        <color rgb="FF63BE7B"/>
        <color rgb="FFFFEB84"/>
        <color rgb="FFF8696B"/>
      </colorScale>
    </cfRule>
  </conditionalFormatting>
  <conditionalFormatting sqref="DC200">
    <cfRule type="colorScale" priority="4827">
      <colorScale>
        <cfvo type="min"/>
        <cfvo type="max"/>
        <color rgb="FFF8696B"/>
        <color rgb="FFFCFCFF"/>
      </colorScale>
    </cfRule>
  </conditionalFormatting>
  <conditionalFormatting sqref="DC200">
    <cfRule type="colorScale" priority="4825">
      <colorScale>
        <cfvo type="min"/>
        <cfvo type="percentile" val="50"/>
        <cfvo type="max"/>
        <color rgb="FFF8696B"/>
        <color rgb="FFFFEB84"/>
        <color rgb="FF63BE7B"/>
      </colorScale>
    </cfRule>
  </conditionalFormatting>
  <conditionalFormatting sqref="DC200">
    <cfRule type="colorScale" priority="4824">
      <colorScale>
        <cfvo type="min"/>
        <cfvo type="max"/>
        <color rgb="FFFCFCFF"/>
        <color rgb="FFF8696B"/>
      </colorScale>
    </cfRule>
  </conditionalFormatting>
  <conditionalFormatting sqref="DE195">
    <cfRule type="colorScale" priority="4823">
      <colorScale>
        <cfvo type="min"/>
        <cfvo type="percentile" val="50"/>
        <cfvo type="max"/>
        <color rgb="FFF8696B"/>
        <color rgb="FFFFEB84"/>
        <color rgb="FF63BE7B"/>
      </colorScale>
    </cfRule>
  </conditionalFormatting>
  <conditionalFormatting sqref="DE195">
    <cfRule type="colorScale" priority="4822">
      <colorScale>
        <cfvo type="min"/>
        <cfvo type="percentile" val="50"/>
        <cfvo type="max"/>
        <color rgb="FF63BE7B"/>
        <color rgb="FFFFEB84"/>
        <color rgb="FFF8696B"/>
      </colorScale>
    </cfRule>
  </conditionalFormatting>
  <conditionalFormatting sqref="DE195">
    <cfRule type="colorScale" priority="4819">
      <colorScale>
        <cfvo type="min"/>
        <cfvo type="max"/>
        <color rgb="FFFCFCFF"/>
        <color rgb="FFF8696B"/>
      </colorScale>
    </cfRule>
    <cfRule type="colorScale" priority="4821">
      <colorScale>
        <cfvo type="min"/>
        <cfvo type="percentile" val="50"/>
        <cfvo type="max"/>
        <color rgb="FF63BE7B"/>
        <color rgb="FFFFEB84"/>
        <color rgb="FFF8696B"/>
      </colorScale>
    </cfRule>
  </conditionalFormatting>
  <conditionalFormatting sqref="DE195">
    <cfRule type="colorScale" priority="4820">
      <colorScale>
        <cfvo type="min"/>
        <cfvo type="max"/>
        <color rgb="FFF8696B"/>
        <color rgb="FFFCFCFF"/>
      </colorScale>
    </cfRule>
  </conditionalFormatting>
  <conditionalFormatting sqref="DE195">
    <cfRule type="colorScale" priority="4818">
      <colorScale>
        <cfvo type="min"/>
        <cfvo type="percentile" val="50"/>
        <cfvo type="max"/>
        <color rgb="FFF8696B"/>
        <color rgb="FFFFEB84"/>
        <color rgb="FF63BE7B"/>
      </colorScale>
    </cfRule>
  </conditionalFormatting>
  <conditionalFormatting sqref="DE195">
    <cfRule type="colorScale" priority="4817">
      <colorScale>
        <cfvo type="min"/>
        <cfvo type="max"/>
        <color rgb="FFFCFCFF"/>
        <color rgb="FFF8696B"/>
      </colorScale>
    </cfRule>
  </conditionalFormatting>
  <conditionalFormatting sqref="DE200">
    <cfRule type="colorScale" priority="4816">
      <colorScale>
        <cfvo type="min"/>
        <cfvo type="percentile" val="50"/>
        <cfvo type="max"/>
        <color rgb="FFF8696B"/>
        <color rgb="FFFFEB84"/>
        <color rgb="FF63BE7B"/>
      </colorScale>
    </cfRule>
  </conditionalFormatting>
  <conditionalFormatting sqref="DE200">
    <cfRule type="colorScale" priority="4815">
      <colorScale>
        <cfvo type="min"/>
        <cfvo type="percentile" val="50"/>
        <cfvo type="max"/>
        <color rgb="FF63BE7B"/>
        <color rgb="FFFFEB84"/>
        <color rgb="FFF8696B"/>
      </colorScale>
    </cfRule>
  </conditionalFormatting>
  <conditionalFormatting sqref="DE200">
    <cfRule type="colorScale" priority="4812">
      <colorScale>
        <cfvo type="min"/>
        <cfvo type="max"/>
        <color rgb="FFFCFCFF"/>
        <color rgb="FFF8696B"/>
      </colorScale>
    </cfRule>
    <cfRule type="colorScale" priority="4814">
      <colorScale>
        <cfvo type="min"/>
        <cfvo type="percentile" val="50"/>
        <cfvo type="max"/>
        <color rgb="FF63BE7B"/>
        <color rgb="FFFFEB84"/>
        <color rgb="FFF8696B"/>
      </colorScale>
    </cfRule>
  </conditionalFormatting>
  <conditionalFormatting sqref="DE200">
    <cfRule type="colorScale" priority="4813">
      <colorScale>
        <cfvo type="min"/>
        <cfvo type="max"/>
        <color rgb="FFF8696B"/>
        <color rgb="FFFCFCFF"/>
      </colorScale>
    </cfRule>
  </conditionalFormatting>
  <conditionalFormatting sqref="DE200">
    <cfRule type="colorScale" priority="4811">
      <colorScale>
        <cfvo type="min"/>
        <cfvo type="percentile" val="50"/>
        <cfvo type="max"/>
        <color rgb="FFF8696B"/>
        <color rgb="FFFFEB84"/>
        <color rgb="FF63BE7B"/>
      </colorScale>
    </cfRule>
  </conditionalFormatting>
  <conditionalFormatting sqref="DE200">
    <cfRule type="colorScale" priority="4810">
      <colorScale>
        <cfvo type="min"/>
        <cfvo type="max"/>
        <color rgb="FFFCFCFF"/>
        <color rgb="FFF8696B"/>
      </colorScale>
    </cfRule>
  </conditionalFormatting>
  <conditionalFormatting sqref="DG195">
    <cfRule type="colorScale" priority="4809">
      <colorScale>
        <cfvo type="min"/>
        <cfvo type="percentile" val="50"/>
        <cfvo type="max"/>
        <color rgb="FFF8696B"/>
        <color rgb="FFFFEB84"/>
        <color rgb="FF63BE7B"/>
      </colorScale>
    </cfRule>
  </conditionalFormatting>
  <conditionalFormatting sqref="DG195">
    <cfRule type="colorScale" priority="4808">
      <colorScale>
        <cfvo type="min"/>
        <cfvo type="percentile" val="50"/>
        <cfvo type="max"/>
        <color rgb="FF63BE7B"/>
        <color rgb="FFFFEB84"/>
        <color rgb="FFF8696B"/>
      </colorScale>
    </cfRule>
  </conditionalFormatting>
  <conditionalFormatting sqref="DG195">
    <cfRule type="colorScale" priority="4805">
      <colorScale>
        <cfvo type="min"/>
        <cfvo type="max"/>
        <color rgb="FFFCFCFF"/>
        <color rgb="FFF8696B"/>
      </colorScale>
    </cfRule>
    <cfRule type="colorScale" priority="4807">
      <colorScale>
        <cfvo type="min"/>
        <cfvo type="percentile" val="50"/>
        <cfvo type="max"/>
        <color rgb="FF63BE7B"/>
        <color rgb="FFFFEB84"/>
        <color rgb="FFF8696B"/>
      </colorScale>
    </cfRule>
  </conditionalFormatting>
  <conditionalFormatting sqref="DG195">
    <cfRule type="colorScale" priority="4806">
      <colorScale>
        <cfvo type="min"/>
        <cfvo type="max"/>
        <color rgb="FFF8696B"/>
        <color rgb="FFFCFCFF"/>
      </colorScale>
    </cfRule>
  </conditionalFormatting>
  <conditionalFormatting sqref="DG195">
    <cfRule type="colorScale" priority="4804">
      <colorScale>
        <cfvo type="min"/>
        <cfvo type="percentile" val="50"/>
        <cfvo type="max"/>
        <color rgb="FFF8696B"/>
        <color rgb="FFFFEB84"/>
        <color rgb="FF63BE7B"/>
      </colorScale>
    </cfRule>
  </conditionalFormatting>
  <conditionalFormatting sqref="DG195">
    <cfRule type="colorScale" priority="4803">
      <colorScale>
        <cfvo type="min"/>
        <cfvo type="max"/>
        <color rgb="FFFCFCFF"/>
        <color rgb="FFF8696B"/>
      </colorScale>
    </cfRule>
  </conditionalFormatting>
  <conditionalFormatting sqref="DG200">
    <cfRule type="colorScale" priority="4802">
      <colorScale>
        <cfvo type="min"/>
        <cfvo type="percentile" val="50"/>
        <cfvo type="max"/>
        <color rgb="FFF8696B"/>
        <color rgb="FFFFEB84"/>
        <color rgb="FF63BE7B"/>
      </colorScale>
    </cfRule>
  </conditionalFormatting>
  <conditionalFormatting sqref="DG200">
    <cfRule type="colorScale" priority="4801">
      <colorScale>
        <cfvo type="min"/>
        <cfvo type="percentile" val="50"/>
        <cfvo type="max"/>
        <color rgb="FF63BE7B"/>
        <color rgb="FFFFEB84"/>
        <color rgb="FFF8696B"/>
      </colorScale>
    </cfRule>
  </conditionalFormatting>
  <conditionalFormatting sqref="DG200">
    <cfRule type="colorScale" priority="4798">
      <colorScale>
        <cfvo type="min"/>
        <cfvo type="max"/>
        <color rgb="FFFCFCFF"/>
        <color rgb="FFF8696B"/>
      </colorScale>
    </cfRule>
    <cfRule type="colorScale" priority="4800">
      <colorScale>
        <cfvo type="min"/>
        <cfvo type="percentile" val="50"/>
        <cfvo type="max"/>
        <color rgb="FF63BE7B"/>
        <color rgb="FFFFEB84"/>
        <color rgb="FFF8696B"/>
      </colorScale>
    </cfRule>
  </conditionalFormatting>
  <conditionalFormatting sqref="DG200">
    <cfRule type="colorScale" priority="4799">
      <colorScale>
        <cfvo type="min"/>
        <cfvo type="max"/>
        <color rgb="FFF8696B"/>
        <color rgb="FFFCFCFF"/>
      </colorScale>
    </cfRule>
  </conditionalFormatting>
  <conditionalFormatting sqref="DG200">
    <cfRule type="colorScale" priority="4797">
      <colorScale>
        <cfvo type="min"/>
        <cfvo type="percentile" val="50"/>
        <cfvo type="max"/>
        <color rgb="FFF8696B"/>
        <color rgb="FFFFEB84"/>
        <color rgb="FF63BE7B"/>
      </colorScale>
    </cfRule>
  </conditionalFormatting>
  <conditionalFormatting sqref="DG200">
    <cfRule type="colorScale" priority="4796">
      <colorScale>
        <cfvo type="min"/>
        <cfvo type="max"/>
        <color rgb="FFFCFCFF"/>
        <color rgb="FFF8696B"/>
      </colorScale>
    </cfRule>
  </conditionalFormatting>
  <conditionalFormatting sqref="CY205">
    <cfRule type="colorScale" priority="4795">
      <colorScale>
        <cfvo type="min"/>
        <cfvo type="percentile" val="50"/>
        <cfvo type="max"/>
        <color rgb="FFF8696B"/>
        <color rgb="FFFFEB84"/>
        <color rgb="FF63BE7B"/>
      </colorScale>
    </cfRule>
  </conditionalFormatting>
  <conditionalFormatting sqref="CY205">
    <cfRule type="colorScale" priority="4794">
      <colorScale>
        <cfvo type="min"/>
        <cfvo type="percentile" val="50"/>
        <cfvo type="max"/>
        <color rgb="FF63BE7B"/>
        <color rgb="FFFFEB84"/>
        <color rgb="FFF8696B"/>
      </colorScale>
    </cfRule>
  </conditionalFormatting>
  <conditionalFormatting sqref="CY205">
    <cfRule type="colorScale" priority="4791">
      <colorScale>
        <cfvo type="min"/>
        <cfvo type="max"/>
        <color rgb="FFFCFCFF"/>
        <color rgb="FFF8696B"/>
      </colorScale>
    </cfRule>
    <cfRule type="colorScale" priority="4793">
      <colorScale>
        <cfvo type="min"/>
        <cfvo type="percentile" val="50"/>
        <cfvo type="max"/>
        <color rgb="FF63BE7B"/>
        <color rgb="FFFFEB84"/>
        <color rgb="FFF8696B"/>
      </colorScale>
    </cfRule>
  </conditionalFormatting>
  <conditionalFormatting sqref="CY205">
    <cfRule type="colorScale" priority="4792">
      <colorScale>
        <cfvo type="min"/>
        <cfvo type="max"/>
        <color rgb="FFF8696B"/>
        <color rgb="FFFCFCFF"/>
      </colorScale>
    </cfRule>
  </conditionalFormatting>
  <conditionalFormatting sqref="CY205">
    <cfRule type="colorScale" priority="4790">
      <colorScale>
        <cfvo type="min"/>
        <cfvo type="percentile" val="50"/>
        <cfvo type="max"/>
        <color rgb="FFF8696B"/>
        <color rgb="FFFFEB84"/>
        <color rgb="FF63BE7B"/>
      </colorScale>
    </cfRule>
  </conditionalFormatting>
  <conditionalFormatting sqref="CY205">
    <cfRule type="colorScale" priority="4789">
      <colorScale>
        <cfvo type="min"/>
        <cfvo type="max"/>
        <color rgb="FFFCFCFF"/>
        <color rgb="FFF8696B"/>
      </colorScale>
    </cfRule>
  </conditionalFormatting>
  <conditionalFormatting sqref="DQ162 DK168 DS162 DM168 DO168 DQ168 DS168">
    <cfRule type="colorScale" priority="4788">
      <colorScale>
        <cfvo type="min"/>
        <cfvo type="percentile" val="50"/>
        <cfvo type="max"/>
        <color rgb="FFF8696B"/>
        <color rgb="FFFFEB84"/>
        <color rgb="FF63BE7B"/>
      </colorScale>
    </cfRule>
  </conditionalFormatting>
  <conditionalFormatting sqref="DS162">
    <cfRule type="colorScale" priority="4787">
      <colorScale>
        <cfvo type="min"/>
        <cfvo type="percentile" val="50"/>
        <cfvo type="max"/>
        <color rgb="FFF8696B"/>
        <color rgb="FFFFEB84"/>
        <color rgb="FF63BE7B"/>
      </colorScale>
    </cfRule>
  </conditionalFormatting>
  <conditionalFormatting sqref="DQ162 DK168 DS162 DM168 DO168 DQ168 DS168">
    <cfRule type="colorScale" priority="4786">
      <colorScale>
        <cfvo type="min"/>
        <cfvo type="percentile" val="50"/>
        <cfvo type="max"/>
        <color rgb="FF63BE7B"/>
        <color rgb="FFFFEB84"/>
        <color rgb="FFF8696B"/>
      </colorScale>
    </cfRule>
  </conditionalFormatting>
  <conditionalFormatting sqref="DK168 DQ162 DS162 DM168 DO168 DQ168 DS168">
    <cfRule type="colorScale" priority="4783">
      <colorScale>
        <cfvo type="min"/>
        <cfvo type="max"/>
        <color rgb="FFFCFCFF"/>
        <color rgb="FFF8696B"/>
      </colorScale>
    </cfRule>
    <cfRule type="colorScale" priority="4785">
      <colorScale>
        <cfvo type="min"/>
        <cfvo type="percentile" val="50"/>
        <cfvo type="max"/>
        <color rgb="FF63BE7B"/>
        <color rgb="FFFFEB84"/>
        <color rgb="FFF8696B"/>
      </colorScale>
    </cfRule>
  </conditionalFormatting>
  <conditionalFormatting sqref="DQ162 DK168 DS162 DM168 DO168 DQ168 DS168">
    <cfRule type="colorScale" priority="4784">
      <colorScale>
        <cfvo type="min"/>
        <cfvo type="max"/>
        <color rgb="FFF8696B"/>
        <color rgb="FFFCFCFF"/>
      </colorScale>
    </cfRule>
  </conditionalFormatting>
  <conditionalFormatting sqref="DO170">
    <cfRule type="colorScale" priority="4782">
      <colorScale>
        <cfvo type="min"/>
        <cfvo type="percentile" val="50"/>
        <cfvo type="max"/>
        <color rgb="FFF8696B"/>
        <color rgb="FFFFEB84"/>
        <color rgb="FF63BE7B"/>
      </colorScale>
    </cfRule>
  </conditionalFormatting>
  <conditionalFormatting sqref="DO170">
    <cfRule type="colorScale" priority="4781">
      <colorScale>
        <cfvo type="min"/>
        <cfvo type="percentile" val="50"/>
        <cfvo type="max"/>
        <color rgb="FFF8696B"/>
        <color rgb="FFFFEB84"/>
        <color rgb="FF63BE7B"/>
      </colorScale>
    </cfRule>
  </conditionalFormatting>
  <conditionalFormatting sqref="DO170">
    <cfRule type="colorScale" priority="4780">
      <colorScale>
        <cfvo type="min"/>
        <cfvo type="percentile" val="50"/>
        <cfvo type="max"/>
        <color rgb="FFF8696B"/>
        <color rgb="FFFFEB84"/>
        <color rgb="FF63BE7B"/>
      </colorScale>
    </cfRule>
  </conditionalFormatting>
  <conditionalFormatting sqref="DO170">
    <cfRule type="colorScale" priority="4779">
      <colorScale>
        <cfvo type="min"/>
        <cfvo type="percentile" val="50"/>
        <cfvo type="max"/>
        <color rgb="FF63BE7B"/>
        <color rgb="FFFFEB84"/>
        <color rgb="FFF8696B"/>
      </colorScale>
    </cfRule>
  </conditionalFormatting>
  <conditionalFormatting sqref="DO170">
    <cfRule type="colorScale" priority="4776">
      <colorScale>
        <cfvo type="min"/>
        <cfvo type="max"/>
        <color rgb="FFFCFCFF"/>
        <color rgb="FFF8696B"/>
      </colorScale>
    </cfRule>
    <cfRule type="colorScale" priority="4778">
      <colorScale>
        <cfvo type="min"/>
        <cfvo type="percentile" val="50"/>
        <cfvo type="max"/>
        <color rgb="FF63BE7B"/>
        <color rgb="FFFFEB84"/>
        <color rgb="FFF8696B"/>
      </colorScale>
    </cfRule>
  </conditionalFormatting>
  <conditionalFormatting sqref="DO170">
    <cfRule type="colorScale" priority="4777">
      <colorScale>
        <cfvo type="min"/>
        <cfvo type="max"/>
        <color rgb="FFF8696B"/>
        <color rgb="FFFCFCFF"/>
      </colorScale>
    </cfRule>
  </conditionalFormatting>
  <conditionalFormatting sqref="DQ170">
    <cfRule type="colorScale" priority="4775">
      <colorScale>
        <cfvo type="min"/>
        <cfvo type="percentile" val="50"/>
        <cfvo type="max"/>
        <color rgb="FFF8696B"/>
        <color rgb="FFFFEB84"/>
        <color rgb="FF63BE7B"/>
      </colorScale>
    </cfRule>
  </conditionalFormatting>
  <conditionalFormatting sqref="DQ170">
    <cfRule type="colorScale" priority="4774">
      <colorScale>
        <cfvo type="min"/>
        <cfvo type="percentile" val="50"/>
        <cfvo type="max"/>
        <color rgb="FFF8696B"/>
        <color rgb="FFFFEB84"/>
        <color rgb="FF63BE7B"/>
      </colorScale>
    </cfRule>
  </conditionalFormatting>
  <conditionalFormatting sqref="DQ170">
    <cfRule type="colorScale" priority="4773">
      <colorScale>
        <cfvo type="min"/>
        <cfvo type="percentile" val="50"/>
        <cfvo type="max"/>
        <color rgb="FFF8696B"/>
        <color rgb="FFFFEB84"/>
        <color rgb="FF63BE7B"/>
      </colorScale>
    </cfRule>
  </conditionalFormatting>
  <conditionalFormatting sqref="DQ170">
    <cfRule type="colorScale" priority="4772">
      <colorScale>
        <cfvo type="min"/>
        <cfvo type="percentile" val="50"/>
        <cfvo type="max"/>
        <color rgb="FF63BE7B"/>
        <color rgb="FFFFEB84"/>
        <color rgb="FFF8696B"/>
      </colorScale>
    </cfRule>
  </conditionalFormatting>
  <conditionalFormatting sqref="DQ170">
    <cfRule type="colorScale" priority="4769">
      <colorScale>
        <cfvo type="min"/>
        <cfvo type="max"/>
        <color rgb="FFFCFCFF"/>
        <color rgb="FFF8696B"/>
      </colorScale>
    </cfRule>
    <cfRule type="colorScale" priority="4771">
      <colorScale>
        <cfvo type="min"/>
        <cfvo type="percentile" val="50"/>
        <cfvo type="max"/>
        <color rgb="FF63BE7B"/>
        <color rgb="FFFFEB84"/>
        <color rgb="FFF8696B"/>
      </colorScale>
    </cfRule>
  </conditionalFormatting>
  <conditionalFormatting sqref="DQ170">
    <cfRule type="colorScale" priority="4770">
      <colorScale>
        <cfvo type="min"/>
        <cfvo type="max"/>
        <color rgb="FFF8696B"/>
        <color rgb="FFFCFCFF"/>
      </colorScale>
    </cfRule>
  </conditionalFormatting>
  <conditionalFormatting sqref="DS170">
    <cfRule type="colorScale" priority="4768">
      <colorScale>
        <cfvo type="min"/>
        <cfvo type="percentile" val="50"/>
        <cfvo type="max"/>
        <color rgb="FFF8696B"/>
        <color rgb="FFFFEB84"/>
        <color rgb="FF63BE7B"/>
      </colorScale>
    </cfRule>
  </conditionalFormatting>
  <conditionalFormatting sqref="DS170">
    <cfRule type="colorScale" priority="4767">
      <colorScale>
        <cfvo type="min"/>
        <cfvo type="percentile" val="50"/>
        <cfvo type="max"/>
        <color rgb="FFF8696B"/>
        <color rgb="FFFFEB84"/>
        <color rgb="FF63BE7B"/>
      </colorScale>
    </cfRule>
  </conditionalFormatting>
  <conditionalFormatting sqref="DS170">
    <cfRule type="colorScale" priority="4766">
      <colorScale>
        <cfvo type="min"/>
        <cfvo type="percentile" val="50"/>
        <cfvo type="max"/>
        <color rgb="FFF8696B"/>
        <color rgb="FFFFEB84"/>
        <color rgb="FF63BE7B"/>
      </colorScale>
    </cfRule>
  </conditionalFormatting>
  <conditionalFormatting sqref="DS170">
    <cfRule type="colorScale" priority="4765">
      <colorScale>
        <cfvo type="min"/>
        <cfvo type="percentile" val="50"/>
        <cfvo type="max"/>
        <color rgb="FF63BE7B"/>
        <color rgb="FFFFEB84"/>
        <color rgb="FFF8696B"/>
      </colorScale>
    </cfRule>
  </conditionalFormatting>
  <conditionalFormatting sqref="DS170">
    <cfRule type="colorScale" priority="4762">
      <colorScale>
        <cfvo type="min"/>
        <cfvo type="max"/>
        <color rgb="FFFCFCFF"/>
        <color rgb="FFF8696B"/>
      </colorScale>
    </cfRule>
    <cfRule type="colorScale" priority="4764">
      <colorScale>
        <cfvo type="min"/>
        <cfvo type="percentile" val="50"/>
        <cfvo type="max"/>
        <color rgb="FF63BE7B"/>
        <color rgb="FFFFEB84"/>
        <color rgb="FFF8696B"/>
      </colorScale>
    </cfRule>
  </conditionalFormatting>
  <conditionalFormatting sqref="DS170">
    <cfRule type="colorScale" priority="4763">
      <colorScale>
        <cfvo type="min"/>
        <cfvo type="max"/>
        <color rgb="FFF8696B"/>
        <color rgb="FFFCFCFF"/>
      </colorScale>
    </cfRule>
  </conditionalFormatting>
  <conditionalFormatting sqref="DQ162">
    <cfRule type="colorScale" priority="4761">
      <colorScale>
        <cfvo type="min"/>
        <cfvo type="percentile" val="50"/>
        <cfvo type="max"/>
        <color rgb="FFF8696B"/>
        <color rgb="FFFFEB84"/>
        <color rgb="FF63BE7B"/>
      </colorScale>
    </cfRule>
  </conditionalFormatting>
  <conditionalFormatting sqref="DS162">
    <cfRule type="colorScale" priority="4760">
      <colorScale>
        <cfvo type="min"/>
        <cfvo type="percentile" val="50"/>
        <cfvo type="max"/>
        <color rgb="FFF8696B"/>
        <color rgb="FFFFEB84"/>
        <color rgb="FF63BE7B"/>
      </colorScale>
    </cfRule>
  </conditionalFormatting>
  <conditionalFormatting sqref="DK168">
    <cfRule type="colorScale" priority="4759">
      <colorScale>
        <cfvo type="min"/>
        <cfvo type="percentile" val="50"/>
        <cfvo type="max"/>
        <color rgb="FFF8696B"/>
        <color rgb="FFFFEB84"/>
        <color rgb="FF63BE7B"/>
      </colorScale>
    </cfRule>
  </conditionalFormatting>
  <conditionalFormatting sqref="DM168">
    <cfRule type="colorScale" priority="4758">
      <colorScale>
        <cfvo type="min"/>
        <cfvo type="percentile" val="50"/>
        <cfvo type="max"/>
        <color rgb="FFF8696B"/>
        <color rgb="FFFFEB84"/>
        <color rgb="FF63BE7B"/>
      </colorScale>
    </cfRule>
  </conditionalFormatting>
  <conditionalFormatting sqref="DO168">
    <cfRule type="colorScale" priority="4757">
      <colorScale>
        <cfvo type="min"/>
        <cfvo type="percentile" val="50"/>
        <cfvo type="max"/>
        <color rgb="FFF8696B"/>
        <color rgb="FFFFEB84"/>
        <color rgb="FF63BE7B"/>
      </colorScale>
    </cfRule>
  </conditionalFormatting>
  <conditionalFormatting sqref="DQ168">
    <cfRule type="colorScale" priority="4756">
      <colorScale>
        <cfvo type="min"/>
        <cfvo type="percentile" val="50"/>
        <cfvo type="max"/>
        <color rgb="FFF8696B"/>
        <color rgb="FFFFEB84"/>
        <color rgb="FF63BE7B"/>
      </colorScale>
    </cfRule>
  </conditionalFormatting>
  <conditionalFormatting sqref="DS168">
    <cfRule type="colorScale" priority="4755">
      <colorScale>
        <cfvo type="min"/>
        <cfvo type="percentile" val="50"/>
        <cfvo type="max"/>
        <color rgb="FFF8696B"/>
        <color rgb="FFFFEB84"/>
        <color rgb="FF63BE7B"/>
      </colorScale>
    </cfRule>
  </conditionalFormatting>
  <conditionalFormatting sqref="DK168 DK147 DM147 DS162 DQ162 DM168 DS168 DQ168 DO168 DO170 DQ170 DS170">
    <cfRule type="colorScale" priority="4754">
      <colorScale>
        <cfvo type="min"/>
        <cfvo type="max"/>
        <color rgb="FFFCFCFF"/>
        <color rgb="FFF8696B"/>
      </colorScale>
    </cfRule>
  </conditionalFormatting>
  <conditionalFormatting sqref="DU162 DU168">
    <cfRule type="colorScale" priority="4753">
      <colorScale>
        <cfvo type="min"/>
        <cfvo type="percentile" val="50"/>
        <cfvo type="max"/>
        <color rgb="FFF8696B"/>
        <color rgb="FFFFEB84"/>
        <color rgb="FF63BE7B"/>
      </colorScale>
    </cfRule>
  </conditionalFormatting>
  <conditionalFormatting sqref="DU162">
    <cfRule type="colorScale" priority="4752">
      <colorScale>
        <cfvo type="min"/>
        <cfvo type="percentile" val="50"/>
        <cfvo type="max"/>
        <color rgb="FFF8696B"/>
        <color rgb="FFFFEB84"/>
        <color rgb="FF63BE7B"/>
      </colorScale>
    </cfRule>
  </conditionalFormatting>
  <conditionalFormatting sqref="DU162 DU168">
    <cfRule type="colorScale" priority="4751">
      <colorScale>
        <cfvo type="min"/>
        <cfvo type="percentile" val="50"/>
        <cfvo type="max"/>
        <color rgb="FF63BE7B"/>
        <color rgb="FFFFEB84"/>
        <color rgb="FFF8696B"/>
      </colorScale>
    </cfRule>
  </conditionalFormatting>
  <conditionalFormatting sqref="DU168 DU162">
    <cfRule type="colorScale" priority="4748">
      <colorScale>
        <cfvo type="min"/>
        <cfvo type="max"/>
        <color rgb="FFFCFCFF"/>
        <color rgb="FFF8696B"/>
      </colorScale>
    </cfRule>
    <cfRule type="colorScale" priority="4750">
      <colorScale>
        <cfvo type="min"/>
        <cfvo type="percentile" val="50"/>
        <cfvo type="max"/>
        <color rgb="FF63BE7B"/>
        <color rgb="FFFFEB84"/>
        <color rgb="FFF8696B"/>
      </colorScale>
    </cfRule>
  </conditionalFormatting>
  <conditionalFormatting sqref="DU162 DU168">
    <cfRule type="colorScale" priority="4749">
      <colorScale>
        <cfvo type="min"/>
        <cfvo type="max"/>
        <color rgb="FFF8696B"/>
        <color rgb="FFFCFCFF"/>
      </colorScale>
    </cfRule>
  </conditionalFormatting>
  <conditionalFormatting sqref="DU170">
    <cfRule type="colorScale" priority="4747">
      <colorScale>
        <cfvo type="min"/>
        <cfvo type="percentile" val="50"/>
        <cfvo type="max"/>
        <color rgb="FFF8696B"/>
        <color rgb="FFFFEB84"/>
        <color rgb="FF63BE7B"/>
      </colorScale>
    </cfRule>
  </conditionalFormatting>
  <conditionalFormatting sqref="DU170">
    <cfRule type="colorScale" priority="4746">
      <colorScale>
        <cfvo type="min"/>
        <cfvo type="percentile" val="50"/>
        <cfvo type="max"/>
        <color rgb="FFF8696B"/>
        <color rgb="FFFFEB84"/>
        <color rgb="FF63BE7B"/>
      </colorScale>
    </cfRule>
  </conditionalFormatting>
  <conditionalFormatting sqref="DU170">
    <cfRule type="colorScale" priority="4745">
      <colorScale>
        <cfvo type="min"/>
        <cfvo type="percentile" val="50"/>
        <cfvo type="max"/>
        <color rgb="FFF8696B"/>
        <color rgb="FFFFEB84"/>
        <color rgb="FF63BE7B"/>
      </colorScale>
    </cfRule>
  </conditionalFormatting>
  <conditionalFormatting sqref="DU170">
    <cfRule type="colorScale" priority="4744">
      <colorScale>
        <cfvo type="min"/>
        <cfvo type="percentile" val="50"/>
        <cfvo type="max"/>
        <color rgb="FF63BE7B"/>
        <color rgb="FFFFEB84"/>
        <color rgb="FFF8696B"/>
      </colorScale>
    </cfRule>
  </conditionalFormatting>
  <conditionalFormatting sqref="DU170">
    <cfRule type="colorScale" priority="4741">
      <colorScale>
        <cfvo type="min"/>
        <cfvo type="max"/>
        <color rgb="FFFCFCFF"/>
        <color rgb="FFF8696B"/>
      </colorScale>
    </cfRule>
    <cfRule type="colorScale" priority="4743">
      <colorScale>
        <cfvo type="min"/>
        <cfvo type="percentile" val="50"/>
        <cfvo type="max"/>
        <color rgb="FF63BE7B"/>
        <color rgb="FFFFEB84"/>
        <color rgb="FFF8696B"/>
      </colorScale>
    </cfRule>
  </conditionalFormatting>
  <conditionalFormatting sqref="DU170">
    <cfRule type="colorScale" priority="4742">
      <colorScale>
        <cfvo type="min"/>
        <cfvo type="max"/>
        <color rgb="FFF8696B"/>
        <color rgb="FFFCFCFF"/>
      </colorScale>
    </cfRule>
  </conditionalFormatting>
  <conditionalFormatting sqref="DU162">
    <cfRule type="colorScale" priority="4740">
      <colorScale>
        <cfvo type="min"/>
        <cfvo type="percentile" val="50"/>
        <cfvo type="max"/>
        <color rgb="FFF8696B"/>
        <color rgb="FFFFEB84"/>
        <color rgb="FF63BE7B"/>
      </colorScale>
    </cfRule>
  </conditionalFormatting>
  <conditionalFormatting sqref="DU168">
    <cfRule type="colorScale" priority="4739">
      <colorScale>
        <cfvo type="min"/>
        <cfvo type="percentile" val="50"/>
        <cfvo type="max"/>
        <color rgb="FFF8696B"/>
        <color rgb="FFFFEB84"/>
        <color rgb="FF63BE7B"/>
      </colorScale>
    </cfRule>
  </conditionalFormatting>
  <conditionalFormatting sqref="DU162 DU168 DU170">
    <cfRule type="colorScale" priority="4738">
      <colorScale>
        <cfvo type="min"/>
        <cfvo type="max"/>
        <color rgb="FFFCFCFF"/>
        <color rgb="FFF8696B"/>
      </colorScale>
    </cfRule>
  </conditionalFormatting>
  <conditionalFormatting sqref="DW162 DW168">
    <cfRule type="colorScale" priority="4737">
      <colorScale>
        <cfvo type="min"/>
        <cfvo type="percentile" val="50"/>
        <cfvo type="max"/>
        <color rgb="FFF8696B"/>
        <color rgb="FFFFEB84"/>
        <color rgb="FF63BE7B"/>
      </colorScale>
    </cfRule>
  </conditionalFormatting>
  <conditionalFormatting sqref="DW162">
    <cfRule type="colorScale" priority="4736">
      <colorScale>
        <cfvo type="min"/>
        <cfvo type="percentile" val="50"/>
        <cfvo type="max"/>
        <color rgb="FFF8696B"/>
        <color rgb="FFFFEB84"/>
        <color rgb="FF63BE7B"/>
      </colorScale>
    </cfRule>
  </conditionalFormatting>
  <conditionalFormatting sqref="DW162 DW168">
    <cfRule type="colorScale" priority="4735">
      <colorScale>
        <cfvo type="min"/>
        <cfvo type="percentile" val="50"/>
        <cfvo type="max"/>
        <color rgb="FF63BE7B"/>
        <color rgb="FFFFEB84"/>
        <color rgb="FFF8696B"/>
      </colorScale>
    </cfRule>
  </conditionalFormatting>
  <conditionalFormatting sqref="DW168 DW162">
    <cfRule type="colorScale" priority="4732">
      <colorScale>
        <cfvo type="min"/>
        <cfvo type="max"/>
        <color rgb="FFFCFCFF"/>
        <color rgb="FFF8696B"/>
      </colorScale>
    </cfRule>
    <cfRule type="colorScale" priority="4734">
      <colorScale>
        <cfvo type="min"/>
        <cfvo type="percentile" val="50"/>
        <cfvo type="max"/>
        <color rgb="FF63BE7B"/>
        <color rgb="FFFFEB84"/>
        <color rgb="FFF8696B"/>
      </colorScale>
    </cfRule>
  </conditionalFormatting>
  <conditionalFormatting sqref="DW162 DW168">
    <cfRule type="colorScale" priority="4733">
      <colorScale>
        <cfvo type="min"/>
        <cfvo type="max"/>
        <color rgb="FFF8696B"/>
        <color rgb="FFFCFCFF"/>
      </colorScale>
    </cfRule>
  </conditionalFormatting>
  <conditionalFormatting sqref="DW170">
    <cfRule type="colorScale" priority="4731">
      <colorScale>
        <cfvo type="min"/>
        <cfvo type="percentile" val="50"/>
        <cfvo type="max"/>
        <color rgb="FFF8696B"/>
        <color rgb="FFFFEB84"/>
        <color rgb="FF63BE7B"/>
      </colorScale>
    </cfRule>
  </conditionalFormatting>
  <conditionalFormatting sqref="DW170">
    <cfRule type="colorScale" priority="4730">
      <colorScale>
        <cfvo type="min"/>
        <cfvo type="percentile" val="50"/>
        <cfvo type="max"/>
        <color rgb="FFF8696B"/>
        <color rgb="FFFFEB84"/>
        <color rgb="FF63BE7B"/>
      </colorScale>
    </cfRule>
  </conditionalFormatting>
  <conditionalFormatting sqref="DW170">
    <cfRule type="colorScale" priority="4729">
      <colorScale>
        <cfvo type="min"/>
        <cfvo type="percentile" val="50"/>
        <cfvo type="max"/>
        <color rgb="FFF8696B"/>
        <color rgb="FFFFEB84"/>
        <color rgb="FF63BE7B"/>
      </colorScale>
    </cfRule>
  </conditionalFormatting>
  <conditionalFormatting sqref="DW170">
    <cfRule type="colorScale" priority="4728">
      <colorScale>
        <cfvo type="min"/>
        <cfvo type="percentile" val="50"/>
        <cfvo type="max"/>
        <color rgb="FF63BE7B"/>
        <color rgb="FFFFEB84"/>
        <color rgb="FFF8696B"/>
      </colorScale>
    </cfRule>
  </conditionalFormatting>
  <conditionalFormatting sqref="DW170">
    <cfRule type="colorScale" priority="4725">
      <colorScale>
        <cfvo type="min"/>
        <cfvo type="max"/>
        <color rgb="FFFCFCFF"/>
        <color rgb="FFF8696B"/>
      </colorScale>
    </cfRule>
    <cfRule type="colorScale" priority="4727">
      <colorScale>
        <cfvo type="min"/>
        <cfvo type="percentile" val="50"/>
        <cfvo type="max"/>
        <color rgb="FF63BE7B"/>
        <color rgb="FFFFEB84"/>
        <color rgb="FFF8696B"/>
      </colorScale>
    </cfRule>
  </conditionalFormatting>
  <conditionalFormatting sqref="DW170">
    <cfRule type="colorScale" priority="4726">
      <colorScale>
        <cfvo type="min"/>
        <cfvo type="max"/>
        <color rgb="FFF8696B"/>
        <color rgb="FFFCFCFF"/>
      </colorScale>
    </cfRule>
  </conditionalFormatting>
  <conditionalFormatting sqref="DW162">
    <cfRule type="colorScale" priority="4724">
      <colorScale>
        <cfvo type="min"/>
        <cfvo type="percentile" val="50"/>
        <cfvo type="max"/>
        <color rgb="FFF8696B"/>
        <color rgb="FFFFEB84"/>
        <color rgb="FF63BE7B"/>
      </colorScale>
    </cfRule>
  </conditionalFormatting>
  <conditionalFormatting sqref="DW168">
    <cfRule type="colorScale" priority="4723">
      <colorScale>
        <cfvo type="min"/>
        <cfvo type="percentile" val="50"/>
        <cfvo type="max"/>
        <color rgb="FFF8696B"/>
        <color rgb="FFFFEB84"/>
        <color rgb="FF63BE7B"/>
      </colorScale>
    </cfRule>
  </conditionalFormatting>
  <conditionalFormatting sqref="DW162 DW168 DW170">
    <cfRule type="colorScale" priority="4722">
      <colorScale>
        <cfvo type="min"/>
        <cfvo type="max"/>
        <color rgb="FFFCFCFF"/>
        <color rgb="FFF8696B"/>
      </colorScale>
    </cfRule>
  </conditionalFormatting>
  <conditionalFormatting sqref="DK152">
    <cfRule type="colorScale" priority="4721">
      <colorScale>
        <cfvo type="min"/>
        <cfvo type="percentile" val="50"/>
        <cfvo type="max"/>
        <color rgb="FFF8696B"/>
        <color rgb="FFFFEB84"/>
        <color rgb="FF63BE7B"/>
      </colorScale>
    </cfRule>
  </conditionalFormatting>
  <conditionalFormatting sqref="DK152">
    <cfRule type="colorScale" priority="4720">
      <colorScale>
        <cfvo type="min"/>
        <cfvo type="percentile" val="50"/>
        <cfvo type="max"/>
        <color rgb="FF63BE7B"/>
        <color rgb="FFFFEB84"/>
        <color rgb="FFF8696B"/>
      </colorScale>
    </cfRule>
  </conditionalFormatting>
  <conditionalFormatting sqref="DK152">
    <cfRule type="colorScale" priority="4717">
      <colorScale>
        <cfvo type="min"/>
        <cfvo type="max"/>
        <color rgb="FFFCFCFF"/>
        <color rgb="FFF8696B"/>
      </colorScale>
    </cfRule>
    <cfRule type="colorScale" priority="4719">
      <colorScale>
        <cfvo type="min"/>
        <cfvo type="percentile" val="50"/>
        <cfvo type="max"/>
        <color rgb="FF63BE7B"/>
        <color rgb="FFFFEB84"/>
        <color rgb="FFF8696B"/>
      </colorScale>
    </cfRule>
  </conditionalFormatting>
  <conditionalFormatting sqref="DK152">
    <cfRule type="colorScale" priority="4718">
      <colorScale>
        <cfvo type="min"/>
        <cfvo type="max"/>
        <color rgb="FFF8696B"/>
        <color rgb="FFFCFCFF"/>
      </colorScale>
    </cfRule>
  </conditionalFormatting>
  <conditionalFormatting sqref="DK152">
    <cfRule type="colorScale" priority="4716">
      <colorScale>
        <cfvo type="min"/>
        <cfvo type="percentile" val="50"/>
        <cfvo type="max"/>
        <color rgb="FFF8696B"/>
        <color rgb="FFFFEB84"/>
        <color rgb="FF63BE7B"/>
      </colorScale>
    </cfRule>
  </conditionalFormatting>
  <conditionalFormatting sqref="DK152">
    <cfRule type="colorScale" priority="4715">
      <colorScale>
        <cfvo type="min"/>
        <cfvo type="max"/>
        <color rgb="FFFCFCFF"/>
        <color rgb="FFF8696B"/>
      </colorScale>
    </cfRule>
  </conditionalFormatting>
  <conditionalFormatting sqref="DK157">
    <cfRule type="colorScale" priority="4714">
      <colorScale>
        <cfvo type="min"/>
        <cfvo type="percentile" val="50"/>
        <cfvo type="max"/>
        <color rgb="FFF8696B"/>
        <color rgb="FFFFEB84"/>
        <color rgb="FF63BE7B"/>
      </colorScale>
    </cfRule>
  </conditionalFormatting>
  <conditionalFormatting sqref="DK157">
    <cfRule type="colorScale" priority="4713">
      <colorScale>
        <cfvo type="min"/>
        <cfvo type="percentile" val="50"/>
        <cfvo type="max"/>
        <color rgb="FF63BE7B"/>
        <color rgb="FFFFEB84"/>
        <color rgb="FFF8696B"/>
      </colorScale>
    </cfRule>
  </conditionalFormatting>
  <conditionalFormatting sqref="DK157">
    <cfRule type="colorScale" priority="4710">
      <colorScale>
        <cfvo type="min"/>
        <cfvo type="max"/>
        <color rgb="FFFCFCFF"/>
        <color rgb="FFF8696B"/>
      </colorScale>
    </cfRule>
    <cfRule type="colorScale" priority="4712">
      <colorScale>
        <cfvo type="min"/>
        <cfvo type="percentile" val="50"/>
        <cfvo type="max"/>
        <color rgb="FF63BE7B"/>
        <color rgb="FFFFEB84"/>
        <color rgb="FFF8696B"/>
      </colorScale>
    </cfRule>
  </conditionalFormatting>
  <conditionalFormatting sqref="DK157">
    <cfRule type="colorScale" priority="4711">
      <colorScale>
        <cfvo type="min"/>
        <cfvo type="max"/>
        <color rgb="FFF8696B"/>
        <color rgb="FFFCFCFF"/>
      </colorScale>
    </cfRule>
  </conditionalFormatting>
  <conditionalFormatting sqref="DK157">
    <cfRule type="colorScale" priority="4709">
      <colorScale>
        <cfvo type="min"/>
        <cfvo type="percentile" val="50"/>
        <cfvo type="max"/>
        <color rgb="FFF8696B"/>
        <color rgb="FFFFEB84"/>
        <color rgb="FF63BE7B"/>
      </colorScale>
    </cfRule>
  </conditionalFormatting>
  <conditionalFormatting sqref="DK157">
    <cfRule type="colorScale" priority="4708">
      <colorScale>
        <cfvo type="min"/>
        <cfvo type="max"/>
        <color rgb="FFFCFCFF"/>
        <color rgb="FFF8696B"/>
      </colorScale>
    </cfRule>
  </conditionalFormatting>
  <conditionalFormatting sqref="DM152">
    <cfRule type="colorScale" priority="4707">
      <colorScale>
        <cfvo type="min"/>
        <cfvo type="percentile" val="50"/>
        <cfvo type="max"/>
        <color rgb="FFF8696B"/>
        <color rgb="FFFFEB84"/>
        <color rgb="FF63BE7B"/>
      </colorScale>
    </cfRule>
  </conditionalFormatting>
  <conditionalFormatting sqref="DM152">
    <cfRule type="colorScale" priority="4706">
      <colorScale>
        <cfvo type="min"/>
        <cfvo type="percentile" val="50"/>
        <cfvo type="max"/>
        <color rgb="FF63BE7B"/>
        <color rgb="FFFFEB84"/>
        <color rgb="FFF8696B"/>
      </colorScale>
    </cfRule>
  </conditionalFormatting>
  <conditionalFormatting sqref="DM152">
    <cfRule type="colorScale" priority="4703">
      <colorScale>
        <cfvo type="min"/>
        <cfvo type="max"/>
        <color rgb="FFFCFCFF"/>
        <color rgb="FFF8696B"/>
      </colorScale>
    </cfRule>
    <cfRule type="colorScale" priority="4705">
      <colorScale>
        <cfvo type="min"/>
        <cfvo type="percentile" val="50"/>
        <cfvo type="max"/>
        <color rgb="FF63BE7B"/>
        <color rgb="FFFFEB84"/>
        <color rgb="FFF8696B"/>
      </colorScale>
    </cfRule>
  </conditionalFormatting>
  <conditionalFormatting sqref="DM152">
    <cfRule type="colorScale" priority="4704">
      <colorScale>
        <cfvo type="min"/>
        <cfvo type="max"/>
        <color rgb="FFF8696B"/>
        <color rgb="FFFCFCFF"/>
      </colorScale>
    </cfRule>
  </conditionalFormatting>
  <conditionalFormatting sqref="DM152">
    <cfRule type="colorScale" priority="4702">
      <colorScale>
        <cfvo type="min"/>
        <cfvo type="percentile" val="50"/>
        <cfvo type="max"/>
        <color rgb="FFF8696B"/>
        <color rgb="FFFFEB84"/>
        <color rgb="FF63BE7B"/>
      </colorScale>
    </cfRule>
  </conditionalFormatting>
  <conditionalFormatting sqref="DM152">
    <cfRule type="colorScale" priority="4701">
      <colorScale>
        <cfvo type="min"/>
        <cfvo type="max"/>
        <color rgb="FFFCFCFF"/>
        <color rgb="FFF8696B"/>
      </colorScale>
    </cfRule>
  </conditionalFormatting>
  <conditionalFormatting sqref="DM157">
    <cfRule type="colorScale" priority="4700">
      <colorScale>
        <cfvo type="min"/>
        <cfvo type="percentile" val="50"/>
        <cfvo type="max"/>
        <color rgb="FFF8696B"/>
        <color rgb="FFFFEB84"/>
        <color rgb="FF63BE7B"/>
      </colorScale>
    </cfRule>
  </conditionalFormatting>
  <conditionalFormatting sqref="DM157">
    <cfRule type="colorScale" priority="4699">
      <colorScale>
        <cfvo type="min"/>
        <cfvo type="percentile" val="50"/>
        <cfvo type="max"/>
        <color rgb="FF63BE7B"/>
        <color rgb="FFFFEB84"/>
        <color rgb="FFF8696B"/>
      </colorScale>
    </cfRule>
  </conditionalFormatting>
  <conditionalFormatting sqref="DM157">
    <cfRule type="colorScale" priority="4696">
      <colorScale>
        <cfvo type="min"/>
        <cfvo type="max"/>
        <color rgb="FFFCFCFF"/>
        <color rgb="FFF8696B"/>
      </colorScale>
    </cfRule>
    <cfRule type="colorScale" priority="4698">
      <colorScale>
        <cfvo type="min"/>
        <cfvo type="percentile" val="50"/>
        <cfvo type="max"/>
        <color rgb="FF63BE7B"/>
        <color rgb="FFFFEB84"/>
        <color rgb="FFF8696B"/>
      </colorScale>
    </cfRule>
  </conditionalFormatting>
  <conditionalFormatting sqref="DM157">
    <cfRule type="colorScale" priority="4697">
      <colorScale>
        <cfvo type="min"/>
        <cfvo type="max"/>
        <color rgb="FFF8696B"/>
        <color rgb="FFFCFCFF"/>
      </colorScale>
    </cfRule>
  </conditionalFormatting>
  <conditionalFormatting sqref="DM157">
    <cfRule type="colorScale" priority="4695">
      <colorScale>
        <cfvo type="min"/>
        <cfvo type="percentile" val="50"/>
        <cfvo type="max"/>
        <color rgb="FFF8696B"/>
        <color rgb="FFFFEB84"/>
        <color rgb="FF63BE7B"/>
      </colorScale>
    </cfRule>
  </conditionalFormatting>
  <conditionalFormatting sqref="DM157">
    <cfRule type="colorScale" priority="4694">
      <colorScale>
        <cfvo type="min"/>
        <cfvo type="max"/>
        <color rgb="FFFCFCFF"/>
        <color rgb="FFF8696B"/>
      </colorScale>
    </cfRule>
  </conditionalFormatting>
  <conditionalFormatting sqref="DO152">
    <cfRule type="colorScale" priority="4693">
      <colorScale>
        <cfvo type="min"/>
        <cfvo type="percentile" val="50"/>
        <cfvo type="max"/>
        <color rgb="FFF8696B"/>
        <color rgb="FFFFEB84"/>
        <color rgb="FF63BE7B"/>
      </colorScale>
    </cfRule>
  </conditionalFormatting>
  <conditionalFormatting sqref="DO152">
    <cfRule type="colorScale" priority="4692">
      <colorScale>
        <cfvo type="min"/>
        <cfvo type="percentile" val="50"/>
        <cfvo type="max"/>
        <color rgb="FF63BE7B"/>
        <color rgb="FFFFEB84"/>
        <color rgb="FFF8696B"/>
      </colorScale>
    </cfRule>
  </conditionalFormatting>
  <conditionalFormatting sqref="DO152">
    <cfRule type="colorScale" priority="4689">
      <colorScale>
        <cfvo type="min"/>
        <cfvo type="max"/>
        <color rgb="FFFCFCFF"/>
        <color rgb="FFF8696B"/>
      </colorScale>
    </cfRule>
    <cfRule type="colorScale" priority="4691">
      <colorScale>
        <cfvo type="min"/>
        <cfvo type="percentile" val="50"/>
        <cfvo type="max"/>
        <color rgb="FF63BE7B"/>
        <color rgb="FFFFEB84"/>
        <color rgb="FFF8696B"/>
      </colorScale>
    </cfRule>
  </conditionalFormatting>
  <conditionalFormatting sqref="DO152">
    <cfRule type="colorScale" priority="4690">
      <colorScale>
        <cfvo type="min"/>
        <cfvo type="max"/>
        <color rgb="FFF8696B"/>
        <color rgb="FFFCFCFF"/>
      </colorScale>
    </cfRule>
  </conditionalFormatting>
  <conditionalFormatting sqref="DO152">
    <cfRule type="colorScale" priority="4688">
      <colorScale>
        <cfvo type="min"/>
        <cfvo type="percentile" val="50"/>
        <cfvo type="max"/>
        <color rgb="FFF8696B"/>
        <color rgb="FFFFEB84"/>
        <color rgb="FF63BE7B"/>
      </colorScale>
    </cfRule>
  </conditionalFormatting>
  <conditionalFormatting sqref="DO152">
    <cfRule type="colorScale" priority="4687">
      <colorScale>
        <cfvo type="min"/>
        <cfvo type="max"/>
        <color rgb="FFFCFCFF"/>
        <color rgb="FFF8696B"/>
      </colorScale>
    </cfRule>
  </conditionalFormatting>
  <conditionalFormatting sqref="DO157">
    <cfRule type="colorScale" priority="4686">
      <colorScale>
        <cfvo type="min"/>
        <cfvo type="percentile" val="50"/>
        <cfvo type="max"/>
        <color rgb="FFF8696B"/>
        <color rgb="FFFFEB84"/>
        <color rgb="FF63BE7B"/>
      </colorScale>
    </cfRule>
  </conditionalFormatting>
  <conditionalFormatting sqref="DO157">
    <cfRule type="colorScale" priority="4685">
      <colorScale>
        <cfvo type="min"/>
        <cfvo type="percentile" val="50"/>
        <cfvo type="max"/>
        <color rgb="FF63BE7B"/>
        <color rgb="FFFFEB84"/>
        <color rgb="FFF8696B"/>
      </colorScale>
    </cfRule>
  </conditionalFormatting>
  <conditionalFormatting sqref="DO157">
    <cfRule type="colorScale" priority="4682">
      <colorScale>
        <cfvo type="min"/>
        <cfvo type="max"/>
        <color rgb="FFFCFCFF"/>
        <color rgb="FFF8696B"/>
      </colorScale>
    </cfRule>
    <cfRule type="colorScale" priority="4684">
      <colorScale>
        <cfvo type="min"/>
        <cfvo type="percentile" val="50"/>
        <cfvo type="max"/>
        <color rgb="FF63BE7B"/>
        <color rgb="FFFFEB84"/>
        <color rgb="FFF8696B"/>
      </colorScale>
    </cfRule>
  </conditionalFormatting>
  <conditionalFormatting sqref="DO157">
    <cfRule type="colorScale" priority="4683">
      <colorScale>
        <cfvo type="min"/>
        <cfvo type="max"/>
        <color rgb="FFF8696B"/>
        <color rgb="FFFCFCFF"/>
      </colorScale>
    </cfRule>
  </conditionalFormatting>
  <conditionalFormatting sqref="DO157">
    <cfRule type="colorScale" priority="4681">
      <colorScale>
        <cfvo type="min"/>
        <cfvo type="percentile" val="50"/>
        <cfvo type="max"/>
        <color rgb="FFF8696B"/>
        <color rgb="FFFFEB84"/>
        <color rgb="FF63BE7B"/>
      </colorScale>
    </cfRule>
  </conditionalFormatting>
  <conditionalFormatting sqref="DO157">
    <cfRule type="colorScale" priority="4680">
      <colorScale>
        <cfvo type="min"/>
        <cfvo type="max"/>
        <color rgb="FFFCFCFF"/>
        <color rgb="FFF8696B"/>
      </colorScale>
    </cfRule>
  </conditionalFormatting>
  <conditionalFormatting sqref="DO147">
    <cfRule type="colorScale" priority="4679">
      <colorScale>
        <cfvo type="min"/>
        <cfvo type="percentile" val="50"/>
        <cfvo type="max"/>
        <color rgb="FFF8696B"/>
        <color rgb="FFFFEB84"/>
        <color rgb="FF63BE7B"/>
      </colorScale>
    </cfRule>
  </conditionalFormatting>
  <conditionalFormatting sqref="DO147">
    <cfRule type="colorScale" priority="4678">
      <colorScale>
        <cfvo type="min"/>
        <cfvo type="percentile" val="50"/>
        <cfvo type="max"/>
        <color rgb="FF63BE7B"/>
        <color rgb="FFFFEB84"/>
        <color rgb="FFF8696B"/>
      </colorScale>
    </cfRule>
  </conditionalFormatting>
  <conditionalFormatting sqref="DO147">
    <cfRule type="colorScale" priority="4675">
      <colorScale>
        <cfvo type="min"/>
        <cfvo type="max"/>
        <color rgb="FFFCFCFF"/>
        <color rgb="FFF8696B"/>
      </colorScale>
    </cfRule>
    <cfRule type="colorScale" priority="4677">
      <colorScale>
        <cfvo type="min"/>
        <cfvo type="percentile" val="50"/>
        <cfvo type="max"/>
        <color rgb="FF63BE7B"/>
        <color rgb="FFFFEB84"/>
        <color rgb="FFF8696B"/>
      </colorScale>
    </cfRule>
  </conditionalFormatting>
  <conditionalFormatting sqref="DO147">
    <cfRule type="colorScale" priority="4676">
      <colorScale>
        <cfvo type="min"/>
        <cfvo type="max"/>
        <color rgb="FFF8696B"/>
        <color rgb="FFFCFCFF"/>
      </colorScale>
    </cfRule>
  </conditionalFormatting>
  <conditionalFormatting sqref="DO147">
    <cfRule type="colorScale" priority="4674">
      <colorScale>
        <cfvo type="min"/>
        <cfvo type="max"/>
        <color rgb="FFFCFCFF"/>
        <color rgb="FFF8696B"/>
      </colorScale>
    </cfRule>
  </conditionalFormatting>
  <conditionalFormatting sqref="DQ147">
    <cfRule type="colorScale" priority="4673">
      <colorScale>
        <cfvo type="min"/>
        <cfvo type="percentile" val="50"/>
        <cfvo type="max"/>
        <color rgb="FFF8696B"/>
        <color rgb="FFFFEB84"/>
        <color rgb="FF63BE7B"/>
      </colorScale>
    </cfRule>
  </conditionalFormatting>
  <conditionalFormatting sqref="DQ147">
    <cfRule type="colorScale" priority="4672">
      <colorScale>
        <cfvo type="min"/>
        <cfvo type="percentile" val="50"/>
        <cfvo type="max"/>
        <color rgb="FF63BE7B"/>
        <color rgb="FFFFEB84"/>
        <color rgb="FFF8696B"/>
      </colorScale>
    </cfRule>
  </conditionalFormatting>
  <conditionalFormatting sqref="DQ147">
    <cfRule type="colorScale" priority="4669">
      <colorScale>
        <cfvo type="min"/>
        <cfvo type="max"/>
        <color rgb="FFFCFCFF"/>
        <color rgb="FFF8696B"/>
      </colorScale>
    </cfRule>
    <cfRule type="colorScale" priority="4671">
      <colorScale>
        <cfvo type="min"/>
        <cfvo type="percentile" val="50"/>
        <cfvo type="max"/>
        <color rgb="FF63BE7B"/>
        <color rgb="FFFFEB84"/>
        <color rgb="FFF8696B"/>
      </colorScale>
    </cfRule>
  </conditionalFormatting>
  <conditionalFormatting sqref="DQ147">
    <cfRule type="colorScale" priority="4670">
      <colorScale>
        <cfvo type="min"/>
        <cfvo type="max"/>
        <color rgb="FFF8696B"/>
        <color rgb="FFFCFCFF"/>
      </colorScale>
    </cfRule>
  </conditionalFormatting>
  <conditionalFormatting sqref="DQ147">
    <cfRule type="colorScale" priority="4668">
      <colorScale>
        <cfvo type="min"/>
        <cfvo type="max"/>
        <color rgb="FFFCFCFF"/>
        <color rgb="FFF8696B"/>
      </colorScale>
    </cfRule>
  </conditionalFormatting>
  <conditionalFormatting sqref="DS147">
    <cfRule type="colorScale" priority="4667">
      <colorScale>
        <cfvo type="min"/>
        <cfvo type="percentile" val="50"/>
        <cfvo type="max"/>
        <color rgb="FFF8696B"/>
        <color rgb="FFFFEB84"/>
        <color rgb="FF63BE7B"/>
      </colorScale>
    </cfRule>
  </conditionalFormatting>
  <conditionalFormatting sqref="DS147">
    <cfRule type="colorScale" priority="4666">
      <colorScale>
        <cfvo type="min"/>
        <cfvo type="percentile" val="50"/>
        <cfvo type="max"/>
        <color rgb="FFF8696B"/>
        <color rgb="FFFFEB84"/>
        <color rgb="FF63BE7B"/>
      </colorScale>
    </cfRule>
  </conditionalFormatting>
  <conditionalFormatting sqref="DS147">
    <cfRule type="colorScale" priority="4665">
      <colorScale>
        <cfvo type="min"/>
        <cfvo type="percentile" val="50"/>
        <cfvo type="max"/>
        <color rgb="FF63BE7B"/>
        <color rgb="FFFFEB84"/>
        <color rgb="FFF8696B"/>
      </colorScale>
    </cfRule>
  </conditionalFormatting>
  <conditionalFormatting sqref="DS147">
    <cfRule type="colorScale" priority="4662">
      <colorScale>
        <cfvo type="min"/>
        <cfvo type="max"/>
        <color rgb="FFFCFCFF"/>
        <color rgb="FFF8696B"/>
      </colorScale>
    </cfRule>
    <cfRule type="colorScale" priority="4664">
      <colorScale>
        <cfvo type="min"/>
        <cfvo type="percentile" val="50"/>
        <cfvo type="max"/>
        <color rgb="FF63BE7B"/>
        <color rgb="FFFFEB84"/>
        <color rgb="FFF8696B"/>
      </colorScale>
    </cfRule>
  </conditionalFormatting>
  <conditionalFormatting sqref="DS147">
    <cfRule type="colorScale" priority="4663">
      <colorScale>
        <cfvo type="min"/>
        <cfvo type="max"/>
        <color rgb="FFF8696B"/>
        <color rgb="FFFCFCFF"/>
      </colorScale>
    </cfRule>
  </conditionalFormatting>
  <conditionalFormatting sqref="DS147">
    <cfRule type="colorScale" priority="4661">
      <colorScale>
        <cfvo type="min"/>
        <cfvo type="max"/>
        <color rgb="FFFCFCFF"/>
        <color rgb="FFF8696B"/>
      </colorScale>
    </cfRule>
  </conditionalFormatting>
  <conditionalFormatting sqref="DU147">
    <cfRule type="colorScale" priority="4660">
      <colorScale>
        <cfvo type="min"/>
        <cfvo type="percentile" val="50"/>
        <cfvo type="max"/>
        <color rgb="FFF8696B"/>
        <color rgb="FFFFEB84"/>
        <color rgb="FF63BE7B"/>
      </colorScale>
    </cfRule>
  </conditionalFormatting>
  <conditionalFormatting sqref="DU147">
    <cfRule type="colorScale" priority="4659">
      <colorScale>
        <cfvo type="min"/>
        <cfvo type="percentile" val="50"/>
        <cfvo type="max"/>
        <color rgb="FFF8696B"/>
        <color rgb="FFFFEB84"/>
        <color rgb="FF63BE7B"/>
      </colorScale>
    </cfRule>
  </conditionalFormatting>
  <conditionalFormatting sqref="DU147">
    <cfRule type="colorScale" priority="4658">
      <colorScale>
        <cfvo type="min"/>
        <cfvo type="percentile" val="50"/>
        <cfvo type="max"/>
        <color rgb="FF63BE7B"/>
        <color rgb="FFFFEB84"/>
        <color rgb="FFF8696B"/>
      </colorScale>
    </cfRule>
  </conditionalFormatting>
  <conditionalFormatting sqref="DU147">
    <cfRule type="colorScale" priority="4655">
      <colorScale>
        <cfvo type="min"/>
        <cfvo type="max"/>
        <color rgb="FFFCFCFF"/>
        <color rgb="FFF8696B"/>
      </colorScale>
    </cfRule>
    <cfRule type="colorScale" priority="4657">
      <colorScale>
        <cfvo type="min"/>
        <cfvo type="percentile" val="50"/>
        <cfvo type="max"/>
        <color rgb="FF63BE7B"/>
        <color rgb="FFFFEB84"/>
        <color rgb="FFF8696B"/>
      </colorScale>
    </cfRule>
  </conditionalFormatting>
  <conditionalFormatting sqref="DU147">
    <cfRule type="colorScale" priority="4656">
      <colorScale>
        <cfvo type="min"/>
        <cfvo type="max"/>
        <color rgb="FFF8696B"/>
        <color rgb="FFFCFCFF"/>
      </colorScale>
    </cfRule>
  </conditionalFormatting>
  <conditionalFormatting sqref="DU147">
    <cfRule type="colorScale" priority="4654">
      <colorScale>
        <cfvo type="min"/>
        <cfvo type="max"/>
        <color rgb="FFFCFCFF"/>
        <color rgb="FFF8696B"/>
      </colorScale>
    </cfRule>
  </conditionalFormatting>
  <conditionalFormatting sqref="DW147">
    <cfRule type="colorScale" priority="4653">
      <colorScale>
        <cfvo type="min"/>
        <cfvo type="percentile" val="50"/>
        <cfvo type="max"/>
        <color rgb="FFF8696B"/>
        <color rgb="FFFFEB84"/>
        <color rgb="FF63BE7B"/>
      </colorScale>
    </cfRule>
  </conditionalFormatting>
  <conditionalFormatting sqref="DW147">
    <cfRule type="colorScale" priority="4652">
      <colorScale>
        <cfvo type="min"/>
        <cfvo type="percentile" val="50"/>
        <cfvo type="max"/>
        <color rgb="FFF8696B"/>
        <color rgb="FFFFEB84"/>
        <color rgb="FF63BE7B"/>
      </colorScale>
    </cfRule>
  </conditionalFormatting>
  <conditionalFormatting sqref="DW147">
    <cfRule type="colorScale" priority="4651">
      <colorScale>
        <cfvo type="min"/>
        <cfvo type="percentile" val="50"/>
        <cfvo type="max"/>
        <color rgb="FF63BE7B"/>
        <color rgb="FFFFEB84"/>
        <color rgb="FFF8696B"/>
      </colorScale>
    </cfRule>
  </conditionalFormatting>
  <conditionalFormatting sqref="DW147">
    <cfRule type="colorScale" priority="4648">
      <colorScale>
        <cfvo type="min"/>
        <cfvo type="max"/>
        <color rgb="FFFCFCFF"/>
        <color rgb="FFF8696B"/>
      </colorScale>
    </cfRule>
    <cfRule type="colorScale" priority="4650">
      <colorScale>
        <cfvo type="min"/>
        <cfvo type="percentile" val="50"/>
        <cfvo type="max"/>
        <color rgb="FF63BE7B"/>
        <color rgb="FFFFEB84"/>
        <color rgb="FFF8696B"/>
      </colorScale>
    </cfRule>
  </conditionalFormatting>
  <conditionalFormatting sqref="DW147">
    <cfRule type="colorScale" priority="4649">
      <colorScale>
        <cfvo type="min"/>
        <cfvo type="max"/>
        <color rgb="FFF8696B"/>
        <color rgb="FFFCFCFF"/>
      </colorScale>
    </cfRule>
  </conditionalFormatting>
  <conditionalFormatting sqref="DW147">
    <cfRule type="colorScale" priority="4647">
      <colorScale>
        <cfvo type="min"/>
        <cfvo type="max"/>
        <color rgb="FFFCFCFF"/>
        <color rgb="FFF8696B"/>
      </colorScale>
    </cfRule>
  </conditionalFormatting>
  <conditionalFormatting sqref="DQ152">
    <cfRule type="colorScale" priority="4646">
      <colorScale>
        <cfvo type="min"/>
        <cfvo type="percentile" val="50"/>
        <cfvo type="max"/>
        <color rgb="FFF8696B"/>
        <color rgb="FFFFEB84"/>
        <color rgb="FF63BE7B"/>
      </colorScale>
    </cfRule>
  </conditionalFormatting>
  <conditionalFormatting sqref="DQ152">
    <cfRule type="colorScale" priority="4645">
      <colorScale>
        <cfvo type="min"/>
        <cfvo type="percentile" val="50"/>
        <cfvo type="max"/>
        <color rgb="FF63BE7B"/>
        <color rgb="FFFFEB84"/>
        <color rgb="FFF8696B"/>
      </colorScale>
    </cfRule>
  </conditionalFormatting>
  <conditionalFormatting sqref="DQ152">
    <cfRule type="colorScale" priority="4642">
      <colorScale>
        <cfvo type="min"/>
        <cfvo type="max"/>
        <color rgb="FFFCFCFF"/>
        <color rgb="FFF8696B"/>
      </colorScale>
    </cfRule>
    <cfRule type="colorScale" priority="4644">
      <colorScale>
        <cfvo type="min"/>
        <cfvo type="percentile" val="50"/>
        <cfvo type="max"/>
        <color rgb="FF63BE7B"/>
        <color rgb="FFFFEB84"/>
        <color rgb="FFF8696B"/>
      </colorScale>
    </cfRule>
  </conditionalFormatting>
  <conditionalFormatting sqref="DQ152">
    <cfRule type="colorScale" priority="4643">
      <colorScale>
        <cfvo type="min"/>
        <cfvo type="max"/>
        <color rgb="FFF8696B"/>
        <color rgb="FFFCFCFF"/>
      </colorScale>
    </cfRule>
  </conditionalFormatting>
  <conditionalFormatting sqref="DQ152">
    <cfRule type="colorScale" priority="4641">
      <colorScale>
        <cfvo type="min"/>
        <cfvo type="percentile" val="50"/>
        <cfvo type="max"/>
        <color rgb="FFF8696B"/>
        <color rgb="FFFFEB84"/>
        <color rgb="FF63BE7B"/>
      </colorScale>
    </cfRule>
  </conditionalFormatting>
  <conditionalFormatting sqref="DQ152">
    <cfRule type="colorScale" priority="4640">
      <colorScale>
        <cfvo type="min"/>
        <cfvo type="max"/>
        <color rgb="FFFCFCFF"/>
        <color rgb="FFF8696B"/>
      </colorScale>
    </cfRule>
  </conditionalFormatting>
  <conditionalFormatting sqref="DQ157">
    <cfRule type="colorScale" priority="4639">
      <colorScale>
        <cfvo type="min"/>
        <cfvo type="percentile" val="50"/>
        <cfvo type="max"/>
        <color rgb="FFF8696B"/>
        <color rgb="FFFFEB84"/>
        <color rgb="FF63BE7B"/>
      </colorScale>
    </cfRule>
  </conditionalFormatting>
  <conditionalFormatting sqref="DQ157">
    <cfRule type="colorScale" priority="4638">
      <colorScale>
        <cfvo type="min"/>
        <cfvo type="percentile" val="50"/>
        <cfvo type="max"/>
        <color rgb="FF63BE7B"/>
        <color rgb="FFFFEB84"/>
        <color rgb="FFF8696B"/>
      </colorScale>
    </cfRule>
  </conditionalFormatting>
  <conditionalFormatting sqref="DQ157">
    <cfRule type="colorScale" priority="4635">
      <colorScale>
        <cfvo type="min"/>
        <cfvo type="max"/>
        <color rgb="FFFCFCFF"/>
        <color rgb="FFF8696B"/>
      </colorScale>
    </cfRule>
    <cfRule type="colorScale" priority="4637">
      <colorScale>
        <cfvo type="min"/>
        <cfvo type="percentile" val="50"/>
        <cfvo type="max"/>
        <color rgb="FF63BE7B"/>
        <color rgb="FFFFEB84"/>
        <color rgb="FFF8696B"/>
      </colorScale>
    </cfRule>
  </conditionalFormatting>
  <conditionalFormatting sqref="DQ157">
    <cfRule type="colorScale" priority="4636">
      <colorScale>
        <cfvo type="min"/>
        <cfvo type="max"/>
        <color rgb="FFF8696B"/>
        <color rgb="FFFCFCFF"/>
      </colorScale>
    </cfRule>
  </conditionalFormatting>
  <conditionalFormatting sqref="DQ157">
    <cfRule type="colorScale" priority="4634">
      <colorScale>
        <cfvo type="min"/>
        <cfvo type="percentile" val="50"/>
        <cfvo type="max"/>
        <color rgb="FFF8696B"/>
        <color rgb="FFFFEB84"/>
        <color rgb="FF63BE7B"/>
      </colorScale>
    </cfRule>
  </conditionalFormatting>
  <conditionalFormatting sqref="DQ157">
    <cfRule type="colorScale" priority="4633">
      <colorScale>
        <cfvo type="min"/>
        <cfvo type="max"/>
        <color rgb="FFFCFCFF"/>
        <color rgb="FFF8696B"/>
      </colorScale>
    </cfRule>
  </conditionalFormatting>
  <conditionalFormatting sqref="DS152">
    <cfRule type="colorScale" priority="4632">
      <colorScale>
        <cfvo type="min"/>
        <cfvo type="percentile" val="50"/>
        <cfvo type="max"/>
        <color rgb="FFF8696B"/>
        <color rgb="FFFFEB84"/>
        <color rgb="FF63BE7B"/>
      </colorScale>
    </cfRule>
  </conditionalFormatting>
  <conditionalFormatting sqref="DS152">
    <cfRule type="colorScale" priority="4631">
      <colorScale>
        <cfvo type="min"/>
        <cfvo type="percentile" val="50"/>
        <cfvo type="max"/>
        <color rgb="FF63BE7B"/>
        <color rgb="FFFFEB84"/>
        <color rgb="FFF8696B"/>
      </colorScale>
    </cfRule>
  </conditionalFormatting>
  <conditionalFormatting sqref="DS152">
    <cfRule type="colorScale" priority="4628">
      <colorScale>
        <cfvo type="min"/>
        <cfvo type="max"/>
        <color rgb="FFFCFCFF"/>
        <color rgb="FFF8696B"/>
      </colorScale>
    </cfRule>
    <cfRule type="colorScale" priority="4630">
      <colorScale>
        <cfvo type="min"/>
        <cfvo type="percentile" val="50"/>
        <cfvo type="max"/>
        <color rgb="FF63BE7B"/>
        <color rgb="FFFFEB84"/>
        <color rgb="FFF8696B"/>
      </colorScale>
    </cfRule>
  </conditionalFormatting>
  <conditionalFormatting sqref="DS152">
    <cfRule type="colorScale" priority="4629">
      <colorScale>
        <cfvo type="min"/>
        <cfvo type="max"/>
        <color rgb="FFF8696B"/>
        <color rgb="FFFCFCFF"/>
      </colorScale>
    </cfRule>
  </conditionalFormatting>
  <conditionalFormatting sqref="DS152">
    <cfRule type="colorScale" priority="4627">
      <colorScale>
        <cfvo type="min"/>
        <cfvo type="percentile" val="50"/>
        <cfvo type="max"/>
        <color rgb="FFF8696B"/>
        <color rgb="FFFFEB84"/>
        <color rgb="FF63BE7B"/>
      </colorScale>
    </cfRule>
  </conditionalFormatting>
  <conditionalFormatting sqref="DS152">
    <cfRule type="colorScale" priority="4626">
      <colorScale>
        <cfvo type="min"/>
        <cfvo type="max"/>
        <color rgb="FFFCFCFF"/>
        <color rgb="FFF8696B"/>
      </colorScale>
    </cfRule>
  </conditionalFormatting>
  <conditionalFormatting sqref="DS157">
    <cfRule type="colorScale" priority="4625">
      <colorScale>
        <cfvo type="min"/>
        <cfvo type="percentile" val="50"/>
        <cfvo type="max"/>
        <color rgb="FFF8696B"/>
        <color rgb="FFFFEB84"/>
        <color rgb="FF63BE7B"/>
      </colorScale>
    </cfRule>
  </conditionalFormatting>
  <conditionalFormatting sqref="DS157">
    <cfRule type="colorScale" priority="4624">
      <colorScale>
        <cfvo type="min"/>
        <cfvo type="percentile" val="50"/>
        <cfvo type="max"/>
        <color rgb="FF63BE7B"/>
        <color rgb="FFFFEB84"/>
        <color rgb="FFF8696B"/>
      </colorScale>
    </cfRule>
  </conditionalFormatting>
  <conditionalFormatting sqref="DS157">
    <cfRule type="colorScale" priority="4621">
      <colorScale>
        <cfvo type="min"/>
        <cfvo type="max"/>
        <color rgb="FFFCFCFF"/>
        <color rgb="FFF8696B"/>
      </colorScale>
    </cfRule>
    <cfRule type="colorScale" priority="4623">
      <colorScale>
        <cfvo type="min"/>
        <cfvo type="percentile" val="50"/>
        <cfvo type="max"/>
        <color rgb="FF63BE7B"/>
        <color rgb="FFFFEB84"/>
        <color rgb="FFF8696B"/>
      </colorScale>
    </cfRule>
  </conditionalFormatting>
  <conditionalFormatting sqref="DS157">
    <cfRule type="colorScale" priority="4622">
      <colorScale>
        <cfvo type="min"/>
        <cfvo type="max"/>
        <color rgb="FFF8696B"/>
        <color rgb="FFFCFCFF"/>
      </colorScale>
    </cfRule>
  </conditionalFormatting>
  <conditionalFormatting sqref="DS157">
    <cfRule type="colorScale" priority="4620">
      <colorScale>
        <cfvo type="min"/>
        <cfvo type="percentile" val="50"/>
        <cfvo type="max"/>
        <color rgb="FFF8696B"/>
        <color rgb="FFFFEB84"/>
        <color rgb="FF63BE7B"/>
      </colorScale>
    </cfRule>
  </conditionalFormatting>
  <conditionalFormatting sqref="DS157">
    <cfRule type="colorScale" priority="4619">
      <colorScale>
        <cfvo type="min"/>
        <cfvo type="max"/>
        <color rgb="FFFCFCFF"/>
        <color rgb="FFF8696B"/>
      </colorScale>
    </cfRule>
  </conditionalFormatting>
  <conditionalFormatting sqref="DK142 DM142 DO142 DQ142">
    <cfRule type="colorScale" priority="4618">
      <colorScale>
        <cfvo type="min"/>
        <cfvo type="percentile" val="50"/>
        <cfvo type="max"/>
        <color rgb="FFF8696B"/>
        <color rgb="FFFFEB84"/>
        <color rgb="FF63BE7B"/>
      </colorScale>
    </cfRule>
  </conditionalFormatting>
  <conditionalFormatting sqref="DM142">
    <cfRule type="colorScale" priority="4617">
      <colorScale>
        <cfvo type="min"/>
        <cfvo type="percentile" val="50"/>
        <cfvo type="max"/>
        <color rgb="FFF8696B"/>
        <color rgb="FFFFEB84"/>
        <color rgb="FF63BE7B"/>
      </colorScale>
    </cfRule>
  </conditionalFormatting>
  <conditionalFormatting sqref="DK142 DM142 DO142 DQ142">
    <cfRule type="colorScale" priority="4616">
      <colorScale>
        <cfvo type="min"/>
        <cfvo type="percentile" val="50"/>
        <cfvo type="max"/>
        <color rgb="FF63BE7B"/>
        <color rgb="FFFFEB84"/>
        <color rgb="FFF8696B"/>
      </colorScale>
    </cfRule>
  </conditionalFormatting>
  <conditionalFormatting sqref="DK142 DM142 DO142 DQ142">
    <cfRule type="colorScale" priority="4613">
      <colorScale>
        <cfvo type="min"/>
        <cfvo type="max"/>
        <color rgb="FFFCFCFF"/>
        <color rgb="FFF8696B"/>
      </colorScale>
    </cfRule>
    <cfRule type="colorScale" priority="4615">
      <colorScale>
        <cfvo type="min"/>
        <cfvo type="percentile" val="50"/>
        <cfvo type="max"/>
        <color rgb="FF63BE7B"/>
        <color rgb="FFFFEB84"/>
        <color rgb="FFF8696B"/>
      </colorScale>
    </cfRule>
  </conditionalFormatting>
  <conditionalFormatting sqref="DK142 DM142 DO142 DQ142">
    <cfRule type="colorScale" priority="4614">
      <colorScale>
        <cfvo type="min"/>
        <cfvo type="max"/>
        <color rgb="FFF8696B"/>
        <color rgb="FFFCFCFF"/>
      </colorScale>
    </cfRule>
  </conditionalFormatting>
  <conditionalFormatting sqref="DK142 DM142 DO142 DQ142">
    <cfRule type="colorScale" priority="4612">
      <colorScale>
        <cfvo type="min"/>
        <cfvo type="max"/>
        <color rgb="FFFCFCFF"/>
        <color rgb="FFF8696B"/>
      </colorScale>
    </cfRule>
  </conditionalFormatting>
  <conditionalFormatting sqref="DS142">
    <cfRule type="colorScale" priority="4611">
      <colorScale>
        <cfvo type="min"/>
        <cfvo type="percentile" val="50"/>
        <cfvo type="max"/>
        <color rgb="FFF8696B"/>
        <color rgb="FFFFEB84"/>
        <color rgb="FF63BE7B"/>
      </colorScale>
    </cfRule>
  </conditionalFormatting>
  <conditionalFormatting sqref="DS142">
    <cfRule type="colorScale" priority="4610">
      <colorScale>
        <cfvo type="min"/>
        <cfvo type="percentile" val="50"/>
        <cfvo type="max"/>
        <color rgb="FFF8696B"/>
        <color rgb="FFFFEB84"/>
        <color rgb="FF63BE7B"/>
      </colorScale>
    </cfRule>
  </conditionalFormatting>
  <conditionalFormatting sqref="DS142">
    <cfRule type="colorScale" priority="4609">
      <colorScale>
        <cfvo type="min"/>
        <cfvo type="percentile" val="50"/>
        <cfvo type="max"/>
        <color rgb="FF63BE7B"/>
        <color rgb="FFFFEB84"/>
        <color rgb="FFF8696B"/>
      </colorScale>
    </cfRule>
  </conditionalFormatting>
  <conditionalFormatting sqref="DS142">
    <cfRule type="colorScale" priority="4606">
      <colorScale>
        <cfvo type="min"/>
        <cfvo type="max"/>
        <color rgb="FFFCFCFF"/>
        <color rgb="FFF8696B"/>
      </colorScale>
    </cfRule>
    <cfRule type="colorScale" priority="4608">
      <colorScale>
        <cfvo type="min"/>
        <cfvo type="percentile" val="50"/>
        <cfvo type="max"/>
        <color rgb="FF63BE7B"/>
        <color rgb="FFFFEB84"/>
        <color rgb="FFF8696B"/>
      </colorScale>
    </cfRule>
  </conditionalFormatting>
  <conditionalFormatting sqref="DS142">
    <cfRule type="colorScale" priority="4607">
      <colorScale>
        <cfvo type="min"/>
        <cfvo type="max"/>
        <color rgb="FFF8696B"/>
        <color rgb="FFFCFCFF"/>
      </colorScale>
    </cfRule>
  </conditionalFormatting>
  <conditionalFormatting sqref="DS142">
    <cfRule type="colorScale" priority="4605">
      <colorScale>
        <cfvo type="min"/>
        <cfvo type="max"/>
        <color rgb="FFFCFCFF"/>
        <color rgb="FFF8696B"/>
      </colorScale>
    </cfRule>
  </conditionalFormatting>
  <conditionalFormatting sqref="DU142">
    <cfRule type="colorScale" priority="4604">
      <colorScale>
        <cfvo type="min"/>
        <cfvo type="percentile" val="50"/>
        <cfvo type="max"/>
        <color rgb="FFF8696B"/>
        <color rgb="FFFFEB84"/>
        <color rgb="FF63BE7B"/>
      </colorScale>
    </cfRule>
  </conditionalFormatting>
  <conditionalFormatting sqref="DU142">
    <cfRule type="colorScale" priority="4603">
      <colorScale>
        <cfvo type="min"/>
        <cfvo type="percentile" val="50"/>
        <cfvo type="max"/>
        <color rgb="FFF8696B"/>
        <color rgb="FFFFEB84"/>
        <color rgb="FF63BE7B"/>
      </colorScale>
    </cfRule>
  </conditionalFormatting>
  <conditionalFormatting sqref="DU142">
    <cfRule type="colorScale" priority="4602">
      <colorScale>
        <cfvo type="min"/>
        <cfvo type="percentile" val="50"/>
        <cfvo type="max"/>
        <color rgb="FF63BE7B"/>
        <color rgb="FFFFEB84"/>
        <color rgb="FFF8696B"/>
      </colorScale>
    </cfRule>
  </conditionalFormatting>
  <conditionalFormatting sqref="DU142">
    <cfRule type="colorScale" priority="4599">
      <colorScale>
        <cfvo type="min"/>
        <cfvo type="max"/>
        <color rgb="FFFCFCFF"/>
        <color rgb="FFF8696B"/>
      </colorScale>
    </cfRule>
    <cfRule type="colorScale" priority="4601">
      <colorScale>
        <cfvo type="min"/>
        <cfvo type="percentile" val="50"/>
        <cfvo type="max"/>
        <color rgb="FF63BE7B"/>
        <color rgb="FFFFEB84"/>
        <color rgb="FFF8696B"/>
      </colorScale>
    </cfRule>
  </conditionalFormatting>
  <conditionalFormatting sqref="DU142">
    <cfRule type="colorScale" priority="4600">
      <colorScale>
        <cfvo type="min"/>
        <cfvo type="max"/>
        <color rgb="FFF8696B"/>
        <color rgb="FFFCFCFF"/>
      </colorScale>
    </cfRule>
  </conditionalFormatting>
  <conditionalFormatting sqref="DU142">
    <cfRule type="colorScale" priority="4598">
      <colorScale>
        <cfvo type="min"/>
        <cfvo type="max"/>
        <color rgb="FFFCFCFF"/>
        <color rgb="FFF8696B"/>
      </colorScale>
    </cfRule>
  </conditionalFormatting>
  <conditionalFormatting sqref="DW142">
    <cfRule type="colorScale" priority="4597">
      <colorScale>
        <cfvo type="min"/>
        <cfvo type="percentile" val="50"/>
        <cfvo type="max"/>
        <color rgb="FFF8696B"/>
        <color rgb="FFFFEB84"/>
        <color rgb="FF63BE7B"/>
      </colorScale>
    </cfRule>
  </conditionalFormatting>
  <conditionalFormatting sqref="DW142">
    <cfRule type="colorScale" priority="4596">
      <colorScale>
        <cfvo type="min"/>
        <cfvo type="percentile" val="50"/>
        <cfvo type="max"/>
        <color rgb="FFF8696B"/>
        <color rgb="FFFFEB84"/>
        <color rgb="FF63BE7B"/>
      </colorScale>
    </cfRule>
  </conditionalFormatting>
  <conditionalFormatting sqref="DW142">
    <cfRule type="colorScale" priority="4595">
      <colorScale>
        <cfvo type="min"/>
        <cfvo type="percentile" val="50"/>
        <cfvo type="max"/>
        <color rgb="FF63BE7B"/>
        <color rgb="FFFFEB84"/>
        <color rgb="FFF8696B"/>
      </colorScale>
    </cfRule>
  </conditionalFormatting>
  <conditionalFormatting sqref="DW142">
    <cfRule type="colorScale" priority="4592">
      <colorScale>
        <cfvo type="min"/>
        <cfvo type="max"/>
        <color rgb="FFFCFCFF"/>
        <color rgb="FFF8696B"/>
      </colorScale>
    </cfRule>
    <cfRule type="colorScale" priority="4594">
      <colorScale>
        <cfvo type="min"/>
        <cfvo type="percentile" val="50"/>
        <cfvo type="max"/>
        <color rgb="FF63BE7B"/>
        <color rgb="FFFFEB84"/>
        <color rgb="FFF8696B"/>
      </colorScale>
    </cfRule>
  </conditionalFormatting>
  <conditionalFormatting sqref="DW142">
    <cfRule type="colorScale" priority="4593">
      <colorScale>
        <cfvo type="min"/>
        <cfvo type="max"/>
        <color rgb="FFF8696B"/>
        <color rgb="FFFCFCFF"/>
      </colorScale>
    </cfRule>
  </conditionalFormatting>
  <conditionalFormatting sqref="DW142">
    <cfRule type="colorScale" priority="4591">
      <colorScale>
        <cfvo type="min"/>
        <cfvo type="max"/>
        <color rgb="FFFCFCFF"/>
        <color rgb="FFF8696B"/>
      </colorScale>
    </cfRule>
  </conditionalFormatting>
  <conditionalFormatting sqref="DU152">
    <cfRule type="colorScale" priority="4590">
      <colorScale>
        <cfvo type="min"/>
        <cfvo type="percentile" val="50"/>
        <cfvo type="max"/>
        <color rgb="FFF8696B"/>
        <color rgb="FFFFEB84"/>
        <color rgb="FF63BE7B"/>
      </colorScale>
    </cfRule>
  </conditionalFormatting>
  <conditionalFormatting sqref="DU152">
    <cfRule type="colorScale" priority="4589">
      <colorScale>
        <cfvo type="min"/>
        <cfvo type="percentile" val="50"/>
        <cfvo type="max"/>
        <color rgb="FF63BE7B"/>
        <color rgb="FFFFEB84"/>
        <color rgb="FFF8696B"/>
      </colorScale>
    </cfRule>
  </conditionalFormatting>
  <conditionalFormatting sqref="DU152">
    <cfRule type="colorScale" priority="4586">
      <colorScale>
        <cfvo type="min"/>
        <cfvo type="max"/>
        <color rgb="FFFCFCFF"/>
        <color rgb="FFF8696B"/>
      </colorScale>
    </cfRule>
    <cfRule type="colorScale" priority="4588">
      <colorScale>
        <cfvo type="min"/>
        <cfvo type="percentile" val="50"/>
        <cfvo type="max"/>
        <color rgb="FF63BE7B"/>
        <color rgb="FFFFEB84"/>
        <color rgb="FFF8696B"/>
      </colorScale>
    </cfRule>
  </conditionalFormatting>
  <conditionalFormatting sqref="DU152">
    <cfRule type="colorScale" priority="4587">
      <colorScale>
        <cfvo type="min"/>
        <cfvo type="max"/>
        <color rgb="FFF8696B"/>
        <color rgb="FFFCFCFF"/>
      </colorScale>
    </cfRule>
  </conditionalFormatting>
  <conditionalFormatting sqref="DU152">
    <cfRule type="colorScale" priority="4585">
      <colorScale>
        <cfvo type="min"/>
        <cfvo type="percentile" val="50"/>
        <cfvo type="max"/>
        <color rgb="FFF8696B"/>
        <color rgb="FFFFEB84"/>
        <color rgb="FF63BE7B"/>
      </colorScale>
    </cfRule>
  </conditionalFormatting>
  <conditionalFormatting sqref="DU152">
    <cfRule type="colorScale" priority="4584">
      <colorScale>
        <cfvo type="min"/>
        <cfvo type="max"/>
        <color rgb="FFFCFCFF"/>
        <color rgb="FFF8696B"/>
      </colorScale>
    </cfRule>
  </conditionalFormatting>
  <conditionalFormatting sqref="DU157">
    <cfRule type="colorScale" priority="4583">
      <colorScale>
        <cfvo type="min"/>
        <cfvo type="percentile" val="50"/>
        <cfvo type="max"/>
        <color rgb="FFF8696B"/>
        <color rgb="FFFFEB84"/>
        <color rgb="FF63BE7B"/>
      </colorScale>
    </cfRule>
  </conditionalFormatting>
  <conditionalFormatting sqref="DU157">
    <cfRule type="colorScale" priority="4582">
      <colorScale>
        <cfvo type="min"/>
        <cfvo type="percentile" val="50"/>
        <cfvo type="max"/>
        <color rgb="FF63BE7B"/>
        <color rgb="FFFFEB84"/>
        <color rgb="FFF8696B"/>
      </colorScale>
    </cfRule>
  </conditionalFormatting>
  <conditionalFormatting sqref="DU157">
    <cfRule type="colorScale" priority="4579">
      <colorScale>
        <cfvo type="min"/>
        <cfvo type="max"/>
        <color rgb="FFFCFCFF"/>
        <color rgb="FFF8696B"/>
      </colorScale>
    </cfRule>
    <cfRule type="colorScale" priority="4581">
      <colorScale>
        <cfvo type="min"/>
        <cfvo type="percentile" val="50"/>
        <cfvo type="max"/>
        <color rgb="FF63BE7B"/>
        <color rgb="FFFFEB84"/>
        <color rgb="FFF8696B"/>
      </colorScale>
    </cfRule>
  </conditionalFormatting>
  <conditionalFormatting sqref="DU157">
    <cfRule type="colorScale" priority="4580">
      <colorScale>
        <cfvo type="min"/>
        <cfvo type="max"/>
        <color rgb="FFF8696B"/>
        <color rgb="FFFCFCFF"/>
      </colorScale>
    </cfRule>
  </conditionalFormatting>
  <conditionalFormatting sqref="DU157">
    <cfRule type="colorScale" priority="4578">
      <colorScale>
        <cfvo type="min"/>
        <cfvo type="percentile" val="50"/>
        <cfvo type="max"/>
        <color rgb="FFF8696B"/>
        <color rgb="FFFFEB84"/>
        <color rgb="FF63BE7B"/>
      </colorScale>
    </cfRule>
  </conditionalFormatting>
  <conditionalFormatting sqref="DU157">
    <cfRule type="colorScale" priority="4577">
      <colorScale>
        <cfvo type="min"/>
        <cfvo type="max"/>
        <color rgb="FFFCFCFF"/>
        <color rgb="FFF8696B"/>
      </colorScale>
    </cfRule>
  </conditionalFormatting>
  <conditionalFormatting sqref="DW152">
    <cfRule type="colorScale" priority="4576">
      <colorScale>
        <cfvo type="min"/>
        <cfvo type="percentile" val="50"/>
        <cfvo type="max"/>
        <color rgb="FFF8696B"/>
        <color rgb="FFFFEB84"/>
        <color rgb="FF63BE7B"/>
      </colorScale>
    </cfRule>
  </conditionalFormatting>
  <conditionalFormatting sqref="DW152">
    <cfRule type="colorScale" priority="4575">
      <colorScale>
        <cfvo type="min"/>
        <cfvo type="percentile" val="50"/>
        <cfvo type="max"/>
        <color rgb="FF63BE7B"/>
        <color rgb="FFFFEB84"/>
        <color rgb="FFF8696B"/>
      </colorScale>
    </cfRule>
  </conditionalFormatting>
  <conditionalFormatting sqref="DW152">
    <cfRule type="colorScale" priority="4572">
      <colorScale>
        <cfvo type="min"/>
        <cfvo type="max"/>
        <color rgb="FFFCFCFF"/>
        <color rgb="FFF8696B"/>
      </colorScale>
    </cfRule>
    <cfRule type="colorScale" priority="4574">
      <colorScale>
        <cfvo type="min"/>
        <cfvo type="percentile" val="50"/>
        <cfvo type="max"/>
        <color rgb="FF63BE7B"/>
        <color rgb="FFFFEB84"/>
        <color rgb="FFF8696B"/>
      </colorScale>
    </cfRule>
  </conditionalFormatting>
  <conditionalFormatting sqref="DW152">
    <cfRule type="colorScale" priority="4573">
      <colorScale>
        <cfvo type="min"/>
        <cfvo type="max"/>
        <color rgb="FFF8696B"/>
        <color rgb="FFFCFCFF"/>
      </colorScale>
    </cfRule>
  </conditionalFormatting>
  <conditionalFormatting sqref="DW152">
    <cfRule type="colorScale" priority="4571">
      <colorScale>
        <cfvo type="min"/>
        <cfvo type="percentile" val="50"/>
        <cfvo type="max"/>
        <color rgb="FFF8696B"/>
        <color rgb="FFFFEB84"/>
        <color rgb="FF63BE7B"/>
      </colorScale>
    </cfRule>
  </conditionalFormatting>
  <conditionalFormatting sqref="DW152">
    <cfRule type="colorScale" priority="4570">
      <colorScale>
        <cfvo type="min"/>
        <cfvo type="max"/>
        <color rgb="FFFCFCFF"/>
        <color rgb="FFF8696B"/>
      </colorScale>
    </cfRule>
  </conditionalFormatting>
  <conditionalFormatting sqref="DW157">
    <cfRule type="colorScale" priority="4569">
      <colorScale>
        <cfvo type="min"/>
        <cfvo type="percentile" val="50"/>
        <cfvo type="max"/>
        <color rgb="FFF8696B"/>
        <color rgb="FFFFEB84"/>
        <color rgb="FF63BE7B"/>
      </colorScale>
    </cfRule>
  </conditionalFormatting>
  <conditionalFormatting sqref="DW157">
    <cfRule type="colorScale" priority="4568">
      <colorScale>
        <cfvo type="min"/>
        <cfvo type="percentile" val="50"/>
        <cfvo type="max"/>
        <color rgb="FF63BE7B"/>
        <color rgb="FFFFEB84"/>
        <color rgb="FFF8696B"/>
      </colorScale>
    </cfRule>
  </conditionalFormatting>
  <conditionalFormatting sqref="DW157">
    <cfRule type="colorScale" priority="4565">
      <colorScale>
        <cfvo type="min"/>
        <cfvo type="max"/>
        <color rgb="FFFCFCFF"/>
        <color rgb="FFF8696B"/>
      </colorScale>
    </cfRule>
    <cfRule type="colorScale" priority="4567">
      <colorScale>
        <cfvo type="min"/>
        <cfvo type="percentile" val="50"/>
        <cfvo type="max"/>
        <color rgb="FF63BE7B"/>
        <color rgb="FFFFEB84"/>
        <color rgb="FFF8696B"/>
      </colorScale>
    </cfRule>
  </conditionalFormatting>
  <conditionalFormatting sqref="DW157">
    <cfRule type="colorScale" priority="4566">
      <colorScale>
        <cfvo type="min"/>
        <cfvo type="max"/>
        <color rgb="FFF8696B"/>
        <color rgb="FFFCFCFF"/>
      </colorScale>
    </cfRule>
  </conditionalFormatting>
  <conditionalFormatting sqref="DW157">
    <cfRule type="colorScale" priority="4564">
      <colorScale>
        <cfvo type="min"/>
        <cfvo type="percentile" val="50"/>
        <cfvo type="max"/>
        <color rgb="FFF8696B"/>
        <color rgb="FFFFEB84"/>
        <color rgb="FF63BE7B"/>
      </colorScale>
    </cfRule>
  </conditionalFormatting>
  <conditionalFormatting sqref="DW157">
    <cfRule type="colorScale" priority="4563">
      <colorScale>
        <cfvo type="min"/>
        <cfvo type="max"/>
        <color rgb="FFFCFCFF"/>
        <color rgb="FFF8696B"/>
      </colorScale>
    </cfRule>
  </conditionalFormatting>
  <conditionalFormatting sqref="DK162">
    <cfRule type="colorScale" priority="4562">
      <colorScale>
        <cfvo type="min"/>
        <cfvo type="percentile" val="50"/>
        <cfvo type="max"/>
        <color rgb="FFF8696B"/>
        <color rgb="FFFFEB84"/>
        <color rgb="FF63BE7B"/>
      </colorScale>
    </cfRule>
  </conditionalFormatting>
  <conditionalFormatting sqref="DK162">
    <cfRule type="colorScale" priority="4561">
      <colorScale>
        <cfvo type="min"/>
        <cfvo type="percentile" val="50"/>
        <cfvo type="max"/>
        <color rgb="FF63BE7B"/>
        <color rgb="FFFFEB84"/>
        <color rgb="FFF8696B"/>
      </colorScale>
    </cfRule>
  </conditionalFormatting>
  <conditionalFormatting sqref="DK162">
    <cfRule type="colorScale" priority="4558">
      <colorScale>
        <cfvo type="min"/>
        <cfvo type="max"/>
        <color rgb="FFFCFCFF"/>
        <color rgb="FFF8696B"/>
      </colorScale>
    </cfRule>
    <cfRule type="colorScale" priority="4560">
      <colorScale>
        <cfvo type="min"/>
        <cfvo type="percentile" val="50"/>
        <cfvo type="max"/>
        <color rgb="FF63BE7B"/>
        <color rgb="FFFFEB84"/>
        <color rgb="FFF8696B"/>
      </colorScale>
    </cfRule>
  </conditionalFormatting>
  <conditionalFormatting sqref="DK162">
    <cfRule type="colorScale" priority="4559">
      <colorScale>
        <cfvo type="min"/>
        <cfvo type="max"/>
        <color rgb="FFF8696B"/>
        <color rgb="FFFCFCFF"/>
      </colorScale>
    </cfRule>
  </conditionalFormatting>
  <conditionalFormatting sqref="DK162">
    <cfRule type="colorScale" priority="4557">
      <colorScale>
        <cfvo type="min"/>
        <cfvo type="percentile" val="50"/>
        <cfvo type="max"/>
        <color rgb="FFF8696B"/>
        <color rgb="FFFFEB84"/>
        <color rgb="FF63BE7B"/>
      </colorScale>
    </cfRule>
  </conditionalFormatting>
  <conditionalFormatting sqref="DK162">
    <cfRule type="colorScale" priority="4556">
      <colorScale>
        <cfvo type="min"/>
        <cfvo type="max"/>
        <color rgb="FFFCFCFF"/>
        <color rgb="FFF8696B"/>
      </colorScale>
    </cfRule>
  </conditionalFormatting>
  <conditionalFormatting sqref="DM162">
    <cfRule type="colorScale" priority="4555">
      <colorScale>
        <cfvo type="min"/>
        <cfvo type="percentile" val="50"/>
        <cfvo type="max"/>
        <color rgb="FFF8696B"/>
        <color rgb="FFFFEB84"/>
        <color rgb="FF63BE7B"/>
      </colorScale>
    </cfRule>
  </conditionalFormatting>
  <conditionalFormatting sqref="DM162">
    <cfRule type="colorScale" priority="4554">
      <colorScale>
        <cfvo type="min"/>
        <cfvo type="percentile" val="50"/>
        <cfvo type="max"/>
        <color rgb="FF63BE7B"/>
        <color rgb="FFFFEB84"/>
        <color rgb="FFF8696B"/>
      </colorScale>
    </cfRule>
  </conditionalFormatting>
  <conditionalFormatting sqref="DM162">
    <cfRule type="colorScale" priority="4551">
      <colorScale>
        <cfvo type="min"/>
        <cfvo type="max"/>
        <color rgb="FFFCFCFF"/>
        <color rgb="FFF8696B"/>
      </colorScale>
    </cfRule>
    <cfRule type="colorScale" priority="4553">
      <colorScale>
        <cfvo type="min"/>
        <cfvo type="percentile" val="50"/>
        <cfvo type="max"/>
        <color rgb="FF63BE7B"/>
        <color rgb="FFFFEB84"/>
        <color rgb="FFF8696B"/>
      </colorScale>
    </cfRule>
  </conditionalFormatting>
  <conditionalFormatting sqref="DM162">
    <cfRule type="colorScale" priority="4552">
      <colorScale>
        <cfvo type="min"/>
        <cfvo type="max"/>
        <color rgb="FFF8696B"/>
        <color rgb="FFFCFCFF"/>
      </colorScale>
    </cfRule>
  </conditionalFormatting>
  <conditionalFormatting sqref="DM162">
    <cfRule type="colorScale" priority="4550">
      <colorScale>
        <cfvo type="min"/>
        <cfvo type="percentile" val="50"/>
        <cfvo type="max"/>
        <color rgb="FFF8696B"/>
        <color rgb="FFFFEB84"/>
        <color rgb="FF63BE7B"/>
      </colorScale>
    </cfRule>
  </conditionalFormatting>
  <conditionalFormatting sqref="DM162">
    <cfRule type="colorScale" priority="4549">
      <colorScale>
        <cfvo type="min"/>
        <cfvo type="max"/>
        <color rgb="FFFCFCFF"/>
        <color rgb="FFF8696B"/>
      </colorScale>
    </cfRule>
  </conditionalFormatting>
  <conditionalFormatting sqref="DO162">
    <cfRule type="colorScale" priority="4548">
      <colorScale>
        <cfvo type="min"/>
        <cfvo type="percentile" val="50"/>
        <cfvo type="max"/>
        <color rgb="FFF8696B"/>
        <color rgb="FFFFEB84"/>
        <color rgb="FF63BE7B"/>
      </colorScale>
    </cfRule>
  </conditionalFormatting>
  <conditionalFormatting sqref="DO162">
    <cfRule type="colorScale" priority="4547">
      <colorScale>
        <cfvo type="min"/>
        <cfvo type="percentile" val="50"/>
        <cfvo type="max"/>
        <color rgb="FF63BE7B"/>
        <color rgb="FFFFEB84"/>
        <color rgb="FFF8696B"/>
      </colorScale>
    </cfRule>
  </conditionalFormatting>
  <conditionalFormatting sqref="DO162">
    <cfRule type="colorScale" priority="4544">
      <colorScale>
        <cfvo type="min"/>
        <cfvo type="max"/>
        <color rgb="FFFCFCFF"/>
        <color rgb="FFF8696B"/>
      </colorScale>
    </cfRule>
    <cfRule type="colorScale" priority="4546">
      <colorScale>
        <cfvo type="min"/>
        <cfvo type="percentile" val="50"/>
        <cfvo type="max"/>
        <color rgb="FF63BE7B"/>
        <color rgb="FFFFEB84"/>
        <color rgb="FFF8696B"/>
      </colorScale>
    </cfRule>
  </conditionalFormatting>
  <conditionalFormatting sqref="DO162">
    <cfRule type="colorScale" priority="4545">
      <colorScale>
        <cfvo type="min"/>
        <cfvo type="max"/>
        <color rgb="FFF8696B"/>
        <color rgb="FFFCFCFF"/>
      </colorScale>
    </cfRule>
  </conditionalFormatting>
  <conditionalFormatting sqref="DO162">
    <cfRule type="colorScale" priority="4543">
      <colorScale>
        <cfvo type="min"/>
        <cfvo type="percentile" val="50"/>
        <cfvo type="max"/>
        <color rgb="FFF8696B"/>
        <color rgb="FFFFEB84"/>
        <color rgb="FF63BE7B"/>
      </colorScale>
    </cfRule>
  </conditionalFormatting>
  <conditionalFormatting sqref="DO162">
    <cfRule type="colorScale" priority="4542">
      <colorScale>
        <cfvo type="min"/>
        <cfvo type="max"/>
        <color rgb="FFFCFCFF"/>
        <color rgb="FFF8696B"/>
      </colorScale>
    </cfRule>
  </conditionalFormatting>
  <conditionalFormatting sqref="EG119 EA125 EE119 EI119 EC125 EE125 EG125 EI125">
    <cfRule type="colorScale" priority="4541">
      <colorScale>
        <cfvo type="min"/>
        <cfvo type="percentile" val="50"/>
        <cfvo type="max"/>
        <color rgb="FFF8696B"/>
        <color rgb="FFFFEB84"/>
        <color rgb="FF63BE7B"/>
      </colorScale>
    </cfRule>
  </conditionalFormatting>
  <conditionalFormatting sqref="EI119">
    <cfRule type="colorScale" priority="4540">
      <colorScale>
        <cfvo type="min"/>
        <cfvo type="percentile" val="50"/>
        <cfvo type="max"/>
        <color rgb="FFF8696B"/>
        <color rgb="FFFFEB84"/>
        <color rgb="FF63BE7B"/>
      </colorScale>
    </cfRule>
  </conditionalFormatting>
  <conditionalFormatting sqref="EG119 EA125 EE119 EI119 EC125 EE125 EG125 EI125">
    <cfRule type="colorScale" priority="4539">
      <colorScale>
        <cfvo type="min"/>
        <cfvo type="percentile" val="50"/>
        <cfvo type="max"/>
        <color rgb="FF63BE7B"/>
        <color rgb="FFFFEB84"/>
        <color rgb="FFF8696B"/>
      </colorScale>
    </cfRule>
  </conditionalFormatting>
  <conditionalFormatting sqref="EA125 EE119 EG119 EI119 EC125 EE125 EG125 EI125">
    <cfRule type="colorScale" priority="4536">
      <colorScale>
        <cfvo type="min"/>
        <cfvo type="max"/>
        <color rgb="FFFCFCFF"/>
        <color rgb="FFF8696B"/>
      </colorScale>
    </cfRule>
    <cfRule type="colorScale" priority="4538">
      <colorScale>
        <cfvo type="min"/>
        <cfvo type="percentile" val="50"/>
        <cfvo type="max"/>
        <color rgb="FF63BE7B"/>
        <color rgb="FFFFEB84"/>
        <color rgb="FFF8696B"/>
      </colorScale>
    </cfRule>
  </conditionalFormatting>
  <conditionalFormatting sqref="EG119 EA125 EE119 EI119 EC125 EE125 EG125 EI125">
    <cfRule type="colorScale" priority="4537">
      <colorScale>
        <cfvo type="min"/>
        <cfvo type="max"/>
        <color rgb="FFF8696B"/>
        <color rgb="FFFCFCFF"/>
      </colorScale>
    </cfRule>
  </conditionalFormatting>
  <conditionalFormatting sqref="EE127">
    <cfRule type="colorScale" priority="4535">
      <colorScale>
        <cfvo type="min"/>
        <cfvo type="percentile" val="50"/>
        <cfvo type="max"/>
        <color rgb="FFF8696B"/>
        <color rgb="FFFFEB84"/>
        <color rgb="FF63BE7B"/>
      </colorScale>
    </cfRule>
  </conditionalFormatting>
  <conditionalFormatting sqref="EE127">
    <cfRule type="colorScale" priority="4534">
      <colorScale>
        <cfvo type="min"/>
        <cfvo type="percentile" val="50"/>
        <cfvo type="max"/>
        <color rgb="FFF8696B"/>
        <color rgb="FFFFEB84"/>
        <color rgb="FF63BE7B"/>
      </colorScale>
    </cfRule>
  </conditionalFormatting>
  <conditionalFormatting sqref="EE127">
    <cfRule type="colorScale" priority="4533">
      <colorScale>
        <cfvo type="min"/>
        <cfvo type="percentile" val="50"/>
        <cfvo type="max"/>
        <color rgb="FFF8696B"/>
        <color rgb="FFFFEB84"/>
        <color rgb="FF63BE7B"/>
      </colorScale>
    </cfRule>
  </conditionalFormatting>
  <conditionalFormatting sqref="EE127">
    <cfRule type="colorScale" priority="4532">
      <colorScale>
        <cfvo type="min"/>
        <cfvo type="percentile" val="50"/>
        <cfvo type="max"/>
        <color rgb="FF63BE7B"/>
        <color rgb="FFFFEB84"/>
        <color rgb="FFF8696B"/>
      </colorScale>
    </cfRule>
  </conditionalFormatting>
  <conditionalFormatting sqref="EE127">
    <cfRule type="colorScale" priority="4529">
      <colorScale>
        <cfvo type="min"/>
        <cfvo type="max"/>
        <color rgb="FFFCFCFF"/>
        <color rgb="FFF8696B"/>
      </colorScale>
    </cfRule>
    <cfRule type="colorScale" priority="4531">
      <colorScale>
        <cfvo type="min"/>
        <cfvo type="percentile" val="50"/>
        <cfvo type="max"/>
        <color rgb="FF63BE7B"/>
        <color rgb="FFFFEB84"/>
        <color rgb="FFF8696B"/>
      </colorScale>
    </cfRule>
  </conditionalFormatting>
  <conditionalFormatting sqref="EE127">
    <cfRule type="colorScale" priority="4530">
      <colorScale>
        <cfvo type="min"/>
        <cfvo type="max"/>
        <color rgb="FFF8696B"/>
        <color rgb="FFFCFCFF"/>
      </colorScale>
    </cfRule>
  </conditionalFormatting>
  <conditionalFormatting sqref="EG127">
    <cfRule type="colorScale" priority="4528">
      <colorScale>
        <cfvo type="min"/>
        <cfvo type="percentile" val="50"/>
        <cfvo type="max"/>
        <color rgb="FFF8696B"/>
        <color rgb="FFFFEB84"/>
        <color rgb="FF63BE7B"/>
      </colorScale>
    </cfRule>
  </conditionalFormatting>
  <conditionalFormatting sqref="EG127">
    <cfRule type="colorScale" priority="4527">
      <colorScale>
        <cfvo type="min"/>
        <cfvo type="percentile" val="50"/>
        <cfvo type="max"/>
        <color rgb="FFF8696B"/>
        <color rgb="FFFFEB84"/>
        <color rgb="FF63BE7B"/>
      </colorScale>
    </cfRule>
  </conditionalFormatting>
  <conditionalFormatting sqref="EG127">
    <cfRule type="colorScale" priority="4526">
      <colorScale>
        <cfvo type="min"/>
        <cfvo type="percentile" val="50"/>
        <cfvo type="max"/>
        <color rgb="FFF8696B"/>
        <color rgb="FFFFEB84"/>
        <color rgb="FF63BE7B"/>
      </colorScale>
    </cfRule>
  </conditionalFormatting>
  <conditionalFormatting sqref="EG127">
    <cfRule type="colorScale" priority="4525">
      <colorScale>
        <cfvo type="min"/>
        <cfvo type="percentile" val="50"/>
        <cfvo type="max"/>
        <color rgb="FF63BE7B"/>
        <color rgb="FFFFEB84"/>
        <color rgb="FFF8696B"/>
      </colorScale>
    </cfRule>
  </conditionalFormatting>
  <conditionalFormatting sqref="EG127">
    <cfRule type="colorScale" priority="4522">
      <colorScale>
        <cfvo type="min"/>
        <cfvo type="max"/>
        <color rgb="FFFCFCFF"/>
        <color rgb="FFF8696B"/>
      </colorScale>
    </cfRule>
    <cfRule type="colorScale" priority="4524">
      <colorScale>
        <cfvo type="min"/>
        <cfvo type="percentile" val="50"/>
        <cfvo type="max"/>
        <color rgb="FF63BE7B"/>
        <color rgb="FFFFEB84"/>
        <color rgb="FFF8696B"/>
      </colorScale>
    </cfRule>
  </conditionalFormatting>
  <conditionalFormatting sqref="EG127">
    <cfRule type="colorScale" priority="4523">
      <colorScale>
        <cfvo type="min"/>
        <cfvo type="max"/>
        <color rgb="FFF8696B"/>
        <color rgb="FFFCFCFF"/>
      </colorScale>
    </cfRule>
  </conditionalFormatting>
  <conditionalFormatting sqref="EI127">
    <cfRule type="colorScale" priority="4521">
      <colorScale>
        <cfvo type="min"/>
        <cfvo type="percentile" val="50"/>
        <cfvo type="max"/>
        <color rgb="FFF8696B"/>
        <color rgb="FFFFEB84"/>
        <color rgb="FF63BE7B"/>
      </colorScale>
    </cfRule>
  </conditionalFormatting>
  <conditionalFormatting sqref="EI127">
    <cfRule type="colorScale" priority="4520">
      <colorScale>
        <cfvo type="min"/>
        <cfvo type="percentile" val="50"/>
        <cfvo type="max"/>
        <color rgb="FFF8696B"/>
        <color rgb="FFFFEB84"/>
        <color rgb="FF63BE7B"/>
      </colorScale>
    </cfRule>
  </conditionalFormatting>
  <conditionalFormatting sqref="EI127">
    <cfRule type="colorScale" priority="4519">
      <colorScale>
        <cfvo type="min"/>
        <cfvo type="percentile" val="50"/>
        <cfvo type="max"/>
        <color rgb="FFF8696B"/>
        <color rgb="FFFFEB84"/>
        <color rgb="FF63BE7B"/>
      </colorScale>
    </cfRule>
  </conditionalFormatting>
  <conditionalFormatting sqref="EI127">
    <cfRule type="colorScale" priority="4518">
      <colorScale>
        <cfvo type="min"/>
        <cfvo type="percentile" val="50"/>
        <cfvo type="max"/>
        <color rgb="FF63BE7B"/>
        <color rgb="FFFFEB84"/>
        <color rgb="FFF8696B"/>
      </colorScale>
    </cfRule>
  </conditionalFormatting>
  <conditionalFormatting sqref="EI127">
    <cfRule type="colorScale" priority="4515">
      <colorScale>
        <cfvo type="min"/>
        <cfvo type="max"/>
        <color rgb="FFFCFCFF"/>
        <color rgb="FFF8696B"/>
      </colorScale>
    </cfRule>
    <cfRule type="colorScale" priority="4517">
      <colorScale>
        <cfvo type="min"/>
        <cfvo type="percentile" val="50"/>
        <cfvo type="max"/>
        <color rgb="FF63BE7B"/>
        <color rgb="FFFFEB84"/>
        <color rgb="FFF8696B"/>
      </colorScale>
    </cfRule>
  </conditionalFormatting>
  <conditionalFormatting sqref="EI127">
    <cfRule type="colorScale" priority="4516">
      <colorScale>
        <cfvo type="min"/>
        <cfvo type="max"/>
        <color rgb="FFF8696B"/>
        <color rgb="FFFCFCFF"/>
      </colorScale>
    </cfRule>
  </conditionalFormatting>
  <conditionalFormatting sqref="EE119">
    <cfRule type="colorScale" priority="4514">
      <colorScale>
        <cfvo type="min"/>
        <cfvo type="percentile" val="50"/>
        <cfvo type="max"/>
        <color rgb="FFF8696B"/>
        <color rgb="FFFFEB84"/>
        <color rgb="FF63BE7B"/>
      </colorScale>
    </cfRule>
  </conditionalFormatting>
  <conditionalFormatting sqref="EG119">
    <cfRule type="colorScale" priority="4513">
      <colorScale>
        <cfvo type="min"/>
        <cfvo type="percentile" val="50"/>
        <cfvo type="max"/>
        <color rgb="FFF8696B"/>
        <color rgb="FFFFEB84"/>
        <color rgb="FF63BE7B"/>
      </colorScale>
    </cfRule>
  </conditionalFormatting>
  <conditionalFormatting sqref="EI119">
    <cfRule type="colorScale" priority="4512">
      <colorScale>
        <cfvo type="min"/>
        <cfvo type="percentile" val="50"/>
        <cfvo type="max"/>
        <color rgb="FFF8696B"/>
        <color rgb="FFFFEB84"/>
        <color rgb="FF63BE7B"/>
      </colorScale>
    </cfRule>
  </conditionalFormatting>
  <conditionalFormatting sqref="EA125">
    <cfRule type="colorScale" priority="4511">
      <colorScale>
        <cfvo type="min"/>
        <cfvo type="percentile" val="50"/>
        <cfvo type="max"/>
        <color rgb="FFF8696B"/>
        <color rgb="FFFFEB84"/>
        <color rgb="FF63BE7B"/>
      </colorScale>
    </cfRule>
  </conditionalFormatting>
  <conditionalFormatting sqref="EC125">
    <cfRule type="colorScale" priority="4510">
      <colorScale>
        <cfvo type="min"/>
        <cfvo type="percentile" val="50"/>
        <cfvo type="max"/>
        <color rgb="FFF8696B"/>
        <color rgb="FFFFEB84"/>
        <color rgb="FF63BE7B"/>
      </colorScale>
    </cfRule>
  </conditionalFormatting>
  <conditionalFormatting sqref="EE125">
    <cfRule type="colorScale" priority="4509">
      <colorScale>
        <cfvo type="min"/>
        <cfvo type="percentile" val="50"/>
        <cfvo type="max"/>
        <color rgb="FFF8696B"/>
        <color rgb="FFFFEB84"/>
        <color rgb="FF63BE7B"/>
      </colorScale>
    </cfRule>
  </conditionalFormatting>
  <conditionalFormatting sqref="EG125">
    <cfRule type="colorScale" priority="4508">
      <colorScale>
        <cfvo type="min"/>
        <cfvo type="percentile" val="50"/>
        <cfvo type="max"/>
        <color rgb="FFF8696B"/>
        <color rgb="FFFFEB84"/>
        <color rgb="FF63BE7B"/>
      </colorScale>
    </cfRule>
  </conditionalFormatting>
  <conditionalFormatting sqref="EI125">
    <cfRule type="colorScale" priority="4507">
      <colorScale>
        <cfvo type="min"/>
        <cfvo type="percentile" val="50"/>
        <cfvo type="max"/>
        <color rgb="FFF8696B"/>
        <color rgb="FFFFEB84"/>
        <color rgb="FF63BE7B"/>
      </colorScale>
    </cfRule>
  </conditionalFormatting>
  <conditionalFormatting sqref="EA125 EC104 EA104 EI119 EG119 EE119 EC125 EI125 EG125 EE125 EE127 EG127 EI127">
    <cfRule type="colorScale" priority="4506">
      <colorScale>
        <cfvo type="min"/>
        <cfvo type="max"/>
        <color rgb="FFFCFCFF"/>
        <color rgb="FFF8696B"/>
      </colorScale>
    </cfRule>
  </conditionalFormatting>
  <conditionalFormatting sqref="EK125 EK109 EK114 EK119">
    <cfRule type="colorScale" priority="4505">
      <colorScale>
        <cfvo type="min"/>
        <cfvo type="percentile" val="50"/>
        <cfvo type="max"/>
        <color rgb="FFF8696B"/>
        <color rgb="FFFFEB84"/>
        <color rgb="FF63BE7B"/>
      </colorScale>
    </cfRule>
  </conditionalFormatting>
  <conditionalFormatting sqref="EK119">
    <cfRule type="colorScale" priority="4504">
      <colorScale>
        <cfvo type="min"/>
        <cfvo type="percentile" val="50"/>
        <cfvo type="max"/>
        <color rgb="FFF8696B"/>
        <color rgb="FFFFEB84"/>
        <color rgb="FF63BE7B"/>
      </colorScale>
    </cfRule>
  </conditionalFormatting>
  <conditionalFormatting sqref="EK125 EK109 EK114 EK119">
    <cfRule type="colorScale" priority="4503">
      <colorScale>
        <cfvo type="min"/>
        <cfvo type="percentile" val="50"/>
        <cfvo type="max"/>
        <color rgb="FF63BE7B"/>
        <color rgb="FFFFEB84"/>
        <color rgb="FFF8696B"/>
      </colorScale>
    </cfRule>
  </conditionalFormatting>
  <conditionalFormatting sqref="EK125 EK109 EK114 EK119">
    <cfRule type="colorScale" priority="4500">
      <colorScale>
        <cfvo type="min"/>
        <cfvo type="max"/>
        <color rgb="FFFCFCFF"/>
        <color rgb="FFF8696B"/>
      </colorScale>
    </cfRule>
    <cfRule type="colorScale" priority="4502">
      <colorScale>
        <cfvo type="min"/>
        <cfvo type="percentile" val="50"/>
        <cfvo type="max"/>
        <color rgb="FF63BE7B"/>
        <color rgb="FFFFEB84"/>
        <color rgb="FFF8696B"/>
      </colorScale>
    </cfRule>
  </conditionalFormatting>
  <conditionalFormatting sqref="EK125 EK109 EK114 EK119">
    <cfRule type="colorScale" priority="4501">
      <colorScale>
        <cfvo type="min"/>
        <cfvo type="max"/>
        <color rgb="FFF8696B"/>
        <color rgb="FFFCFCFF"/>
      </colorScale>
    </cfRule>
  </conditionalFormatting>
  <conditionalFormatting sqref="EK127">
    <cfRule type="colorScale" priority="4499">
      <colorScale>
        <cfvo type="min"/>
        <cfvo type="percentile" val="50"/>
        <cfvo type="max"/>
        <color rgb="FFF8696B"/>
        <color rgb="FFFFEB84"/>
        <color rgb="FF63BE7B"/>
      </colorScale>
    </cfRule>
  </conditionalFormatting>
  <conditionalFormatting sqref="EK127">
    <cfRule type="colorScale" priority="4498">
      <colorScale>
        <cfvo type="min"/>
        <cfvo type="percentile" val="50"/>
        <cfvo type="max"/>
        <color rgb="FFF8696B"/>
        <color rgb="FFFFEB84"/>
        <color rgb="FF63BE7B"/>
      </colorScale>
    </cfRule>
  </conditionalFormatting>
  <conditionalFormatting sqref="EK127">
    <cfRule type="colorScale" priority="4497">
      <colorScale>
        <cfvo type="min"/>
        <cfvo type="percentile" val="50"/>
        <cfvo type="max"/>
        <color rgb="FFF8696B"/>
        <color rgb="FFFFEB84"/>
        <color rgb="FF63BE7B"/>
      </colorScale>
    </cfRule>
  </conditionalFormatting>
  <conditionalFormatting sqref="EK127">
    <cfRule type="colorScale" priority="4496">
      <colorScale>
        <cfvo type="min"/>
        <cfvo type="percentile" val="50"/>
        <cfvo type="max"/>
        <color rgb="FF63BE7B"/>
        <color rgb="FFFFEB84"/>
        <color rgb="FFF8696B"/>
      </colorScale>
    </cfRule>
  </conditionalFormatting>
  <conditionalFormatting sqref="EK127">
    <cfRule type="colorScale" priority="4493">
      <colorScale>
        <cfvo type="min"/>
        <cfvo type="max"/>
        <color rgb="FFFCFCFF"/>
        <color rgb="FFF8696B"/>
      </colorScale>
    </cfRule>
    <cfRule type="colorScale" priority="4495">
      <colorScale>
        <cfvo type="min"/>
        <cfvo type="percentile" val="50"/>
        <cfvo type="max"/>
        <color rgb="FF63BE7B"/>
        <color rgb="FFFFEB84"/>
        <color rgb="FFF8696B"/>
      </colorScale>
    </cfRule>
  </conditionalFormatting>
  <conditionalFormatting sqref="EK127">
    <cfRule type="colorScale" priority="4494">
      <colorScale>
        <cfvo type="min"/>
        <cfvo type="max"/>
        <color rgb="FFF8696B"/>
        <color rgb="FFFCFCFF"/>
      </colorScale>
    </cfRule>
  </conditionalFormatting>
  <conditionalFormatting sqref="EK109">
    <cfRule type="colorScale" priority="4492">
      <colorScale>
        <cfvo type="min"/>
        <cfvo type="percentile" val="50"/>
        <cfvo type="max"/>
        <color rgb="FFF8696B"/>
        <color rgb="FFFFEB84"/>
        <color rgb="FF63BE7B"/>
      </colorScale>
    </cfRule>
  </conditionalFormatting>
  <conditionalFormatting sqref="EK114">
    <cfRule type="colorScale" priority="4491">
      <colorScale>
        <cfvo type="min"/>
        <cfvo type="percentile" val="50"/>
        <cfvo type="max"/>
        <color rgb="FFF8696B"/>
        <color rgb="FFFFEB84"/>
        <color rgb="FF63BE7B"/>
      </colorScale>
    </cfRule>
  </conditionalFormatting>
  <conditionalFormatting sqref="EK119">
    <cfRule type="colorScale" priority="4490">
      <colorScale>
        <cfvo type="min"/>
        <cfvo type="percentile" val="50"/>
        <cfvo type="max"/>
        <color rgb="FFF8696B"/>
        <color rgb="FFFFEB84"/>
        <color rgb="FF63BE7B"/>
      </colorScale>
    </cfRule>
  </conditionalFormatting>
  <conditionalFormatting sqref="EK125">
    <cfRule type="colorScale" priority="4489">
      <colorScale>
        <cfvo type="min"/>
        <cfvo type="percentile" val="50"/>
        <cfvo type="max"/>
        <color rgb="FFF8696B"/>
        <color rgb="FFFFEB84"/>
        <color rgb="FF63BE7B"/>
      </colorScale>
    </cfRule>
  </conditionalFormatting>
  <conditionalFormatting sqref="EK125 EK109 EK114 EK119 EK127">
    <cfRule type="colorScale" priority="4488">
      <colorScale>
        <cfvo type="min"/>
        <cfvo type="max"/>
        <color rgb="FFFCFCFF"/>
        <color rgb="FFF8696B"/>
      </colorScale>
    </cfRule>
  </conditionalFormatting>
  <conditionalFormatting sqref="EM125 EM109 EM114 EM119">
    <cfRule type="colorScale" priority="4487">
      <colorScale>
        <cfvo type="min"/>
        <cfvo type="percentile" val="50"/>
        <cfvo type="max"/>
        <color rgb="FFF8696B"/>
        <color rgb="FFFFEB84"/>
        <color rgb="FF63BE7B"/>
      </colorScale>
    </cfRule>
  </conditionalFormatting>
  <conditionalFormatting sqref="EM119">
    <cfRule type="colorScale" priority="4486">
      <colorScale>
        <cfvo type="min"/>
        <cfvo type="percentile" val="50"/>
        <cfvo type="max"/>
        <color rgb="FFF8696B"/>
        <color rgb="FFFFEB84"/>
        <color rgb="FF63BE7B"/>
      </colorScale>
    </cfRule>
  </conditionalFormatting>
  <conditionalFormatting sqref="EM125 EM109 EM114 EM119">
    <cfRule type="colorScale" priority="4485">
      <colorScale>
        <cfvo type="min"/>
        <cfvo type="percentile" val="50"/>
        <cfvo type="max"/>
        <color rgb="FF63BE7B"/>
        <color rgb="FFFFEB84"/>
        <color rgb="FFF8696B"/>
      </colorScale>
    </cfRule>
  </conditionalFormatting>
  <conditionalFormatting sqref="EM125 EM109 EM114 EM119">
    <cfRule type="colorScale" priority="4482">
      <colorScale>
        <cfvo type="min"/>
        <cfvo type="max"/>
        <color rgb="FFFCFCFF"/>
        <color rgb="FFF8696B"/>
      </colorScale>
    </cfRule>
    <cfRule type="colorScale" priority="4484">
      <colorScale>
        <cfvo type="min"/>
        <cfvo type="percentile" val="50"/>
        <cfvo type="max"/>
        <color rgb="FF63BE7B"/>
        <color rgb="FFFFEB84"/>
        <color rgb="FFF8696B"/>
      </colorScale>
    </cfRule>
  </conditionalFormatting>
  <conditionalFormatting sqref="EM125 EM114 EM109 EM119">
    <cfRule type="colorScale" priority="4483">
      <colorScale>
        <cfvo type="min"/>
        <cfvo type="max"/>
        <color rgb="FFF8696B"/>
        <color rgb="FFFCFCFF"/>
      </colorScale>
    </cfRule>
  </conditionalFormatting>
  <conditionalFormatting sqref="EM127">
    <cfRule type="colorScale" priority="4481">
      <colorScale>
        <cfvo type="min"/>
        <cfvo type="percentile" val="50"/>
        <cfvo type="max"/>
        <color rgb="FFF8696B"/>
        <color rgb="FFFFEB84"/>
        <color rgb="FF63BE7B"/>
      </colorScale>
    </cfRule>
  </conditionalFormatting>
  <conditionalFormatting sqref="EM127">
    <cfRule type="colorScale" priority="4480">
      <colorScale>
        <cfvo type="min"/>
        <cfvo type="percentile" val="50"/>
        <cfvo type="max"/>
        <color rgb="FFF8696B"/>
        <color rgb="FFFFEB84"/>
        <color rgb="FF63BE7B"/>
      </colorScale>
    </cfRule>
  </conditionalFormatting>
  <conditionalFormatting sqref="EM127">
    <cfRule type="colorScale" priority="4479">
      <colorScale>
        <cfvo type="min"/>
        <cfvo type="percentile" val="50"/>
        <cfvo type="max"/>
        <color rgb="FFF8696B"/>
        <color rgb="FFFFEB84"/>
        <color rgb="FF63BE7B"/>
      </colorScale>
    </cfRule>
  </conditionalFormatting>
  <conditionalFormatting sqref="EM127">
    <cfRule type="colorScale" priority="4478">
      <colorScale>
        <cfvo type="min"/>
        <cfvo type="percentile" val="50"/>
        <cfvo type="max"/>
        <color rgb="FF63BE7B"/>
        <color rgb="FFFFEB84"/>
        <color rgb="FFF8696B"/>
      </colorScale>
    </cfRule>
  </conditionalFormatting>
  <conditionalFormatting sqref="EM127">
    <cfRule type="colorScale" priority="4475">
      <colorScale>
        <cfvo type="min"/>
        <cfvo type="max"/>
        <color rgb="FFFCFCFF"/>
        <color rgb="FFF8696B"/>
      </colorScale>
    </cfRule>
    <cfRule type="colorScale" priority="4477">
      <colorScale>
        <cfvo type="min"/>
        <cfvo type="percentile" val="50"/>
        <cfvo type="max"/>
        <color rgb="FF63BE7B"/>
        <color rgb="FFFFEB84"/>
        <color rgb="FFF8696B"/>
      </colorScale>
    </cfRule>
  </conditionalFormatting>
  <conditionalFormatting sqref="EM127">
    <cfRule type="colorScale" priority="4476">
      <colorScale>
        <cfvo type="min"/>
        <cfvo type="max"/>
        <color rgb="FFF8696B"/>
        <color rgb="FFFCFCFF"/>
      </colorScale>
    </cfRule>
  </conditionalFormatting>
  <conditionalFormatting sqref="EM109">
    <cfRule type="colorScale" priority="4474">
      <colorScale>
        <cfvo type="min"/>
        <cfvo type="percentile" val="50"/>
        <cfvo type="max"/>
        <color rgb="FFF8696B"/>
        <color rgb="FFFFEB84"/>
        <color rgb="FF63BE7B"/>
      </colorScale>
    </cfRule>
  </conditionalFormatting>
  <conditionalFormatting sqref="EM114">
    <cfRule type="colorScale" priority="4473">
      <colorScale>
        <cfvo type="min"/>
        <cfvo type="percentile" val="50"/>
        <cfvo type="max"/>
        <color rgb="FFF8696B"/>
        <color rgb="FFFFEB84"/>
        <color rgb="FF63BE7B"/>
      </colorScale>
    </cfRule>
  </conditionalFormatting>
  <conditionalFormatting sqref="EM119">
    <cfRule type="colorScale" priority="4472">
      <colorScale>
        <cfvo type="min"/>
        <cfvo type="percentile" val="50"/>
        <cfvo type="max"/>
        <color rgb="FFF8696B"/>
        <color rgb="FFFFEB84"/>
        <color rgb="FF63BE7B"/>
      </colorScale>
    </cfRule>
  </conditionalFormatting>
  <conditionalFormatting sqref="EM125">
    <cfRule type="colorScale" priority="4471">
      <colorScale>
        <cfvo type="min"/>
        <cfvo type="percentile" val="50"/>
        <cfvo type="max"/>
        <color rgb="FFF8696B"/>
        <color rgb="FFFFEB84"/>
        <color rgb="FF63BE7B"/>
      </colorScale>
    </cfRule>
  </conditionalFormatting>
  <conditionalFormatting sqref="EM125 EM109 EM114 EM119 EM127">
    <cfRule type="colorScale" priority="4470">
      <colorScale>
        <cfvo type="min"/>
        <cfvo type="max"/>
        <color rgb="FFFCFCFF"/>
        <color rgb="FFF8696B"/>
      </colorScale>
    </cfRule>
  </conditionalFormatting>
  <conditionalFormatting sqref="EA109">
    <cfRule type="colorScale" priority="4469">
      <colorScale>
        <cfvo type="min"/>
        <cfvo type="percentile" val="50"/>
        <cfvo type="max"/>
        <color rgb="FFF8696B"/>
        <color rgb="FFFFEB84"/>
        <color rgb="FF63BE7B"/>
      </colorScale>
    </cfRule>
  </conditionalFormatting>
  <conditionalFormatting sqref="EA109">
    <cfRule type="colorScale" priority="4468">
      <colorScale>
        <cfvo type="min"/>
        <cfvo type="percentile" val="50"/>
        <cfvo type="max"/>
        <color rgb="FF63BE7B"/>
        <color rgb="FFFFEB84"/>
        <color rgb="FFF8696B"/>
      </colorScale>
    </cfRule>
  </conditionalFormatting>
  <conditionalFormatting sqref="EA109">
    <cfRule type="colorScale" priority="4465">
      <colorScale>
        <cfvo type="min"/>
        <cfvo type="max"/>
        <color rgb="FFFCFCFF"/>
        <color rgb="FFF8696B"/>
      </colorScale>
    </cfRule>
    <cfRule type="colorScale" priority="4467">
      <colorScale>
        <cfvo type="min"/>
        <cfvo type="percentile" val="50"/>
        <cfvo type="max"/>
        <color rgb="FF63BE7B"/>
        <color rgb="FFFFEB84"/>
        <color rgb="FFF8696B"/>
      </colorScale>
    </cfRule>
  </conditionalFormatting>
  <conditionalFormatting sqref="EA109">
    <cfRule type="colorScale" priority="4466">
      <colorScale>
        <cfvo type="min"/>
        <cfvo type="max"/>
        <color rgb="FFF8696B"/>
        <color rgb="FFFCFCFF"/>
      </colorScale>
    </cfRule>
  </conditionalFormatting>
  <conditionalFormatting sqref="EA109">
    <cfRule type="colorScale" priority="4464">
      <colorScale>
        <cfvo type="min"/>
        <cfvo type="percentile" val="50"/>
        <cfvo type="max"/>
        <color rgb="FFF8696B"/>
        <color rgb="FFFFEB84"/>
        <color rgb="FF63BE7B"/>
      </colorScale>
    </cfRule>
  </conditionalFormatting>
  <conditionalFormatting sqref="EA109">
    <cfRule type="colorScale" priority="4463">
      <colorScale>
        <cfvo type="min"/>
        <cfvo type="max"/>
        <color rgb="FFFCFCFF"/>
        <color rgb="FFF8696B"/>
      </colorScale>
    </cfRule>
  </conditionalFormatting>
  <conditionalFormatting sqref="EA114">
    <cfRule type="colorScale" priority="4462">
      <colorScale>
        <cfvo type="min"/>
        <cfvo type="percentile" val="50"/>
        <cfvo type="max"/>
        <color rgb="FFF8696B"/>
        <color rgb="FFFFEB84"/>
        <color rgb="FF63BE7B"/>
      </colorScale>
    </cfRule>
  </conditionalFormatting>
  <conditionalFormatting sqref="EA114">
    <cfRule type="colorScale" priority="4461">
      <colorScale>
        <cfvo type="min"/>
        <cfvo type="percentile" val="50"/>
        <cfvo type="max"/>
        <color rgb="FF63BE7B"/>
        <color rgb="FFFFEB84"/>
        <color rgb="FFF8696B"/>
      </colorScale>
    </cfRule>
  </conditionalFormatting>
  <conditionalFormatting sqref="EA114">
    <cfRule type="colorScale" priority="4458">
      <colorScale>
        <cfvo type="min"/>
        <cfvo type="max"/>
        <color rgb="FFFCFCFF"/>
        <color rgb="FFF8696B"/>
      </colorScale>
    </cfRule>
    <cfRule type="colorScale" priority="4460">
      <colorScale>
        <cfvo type="min"/>
        <cfvo type="percentile" val="50"/>
        <cfvo type="max"/>
        <color rgb="FF63BE7B"/>
        <color rgb="FFFFEB84"/>
        <color rgb="FFF8696B"/>
      </colorScale>
    </cfRule>
  </conditionalFormatting>
  <conditionalFormatting sqref="EA114">
    <cfRule type="colorScale" priority="4459">
      <colorScale>
        <cfvo type="min"/>
        <cfvo type="max"/>
        <color rgb="FFF8696B"/>
        <color rgb="FFFCFCFF"/>
      </colorScale>
    </cfRule>
  </conditionalFormatting>
  <conditionalFormatting sqref="EA114">
    <cfRule type="colorScale" priority="4457">
      <colorScale>
        <cfvo type="min"/>
        <cfvo type="percentile" val="50"/>
        <cfvo type="max"/>
        <color rgb="FFF8696B"/>
        <color rgb="FFFFEB84"/>
        <color rgb="FF63BE7B"/>
      </colorScale>
    </cfRule>
  </conditionalFormatting>
  <conditionalFormatting sqref="EA114">
    <cfRule type="colorScale" priority="4456">
      <colorScale>
        <cfvo type="min"/>
        <cfvo type="max"/>
        <color rgb="FFFCFCFF"/>
        <color rgb="FFF8696B"/>
      </colorScale>
    </cfRule>
  </conditionalFormatting>
  <conditionalFormatting sqref="EC109">
    <cfRule type="colorScale" priority="4455">
      <colorScale>
        <cfvo type="min"/>
        <cfvo type="percentile" val="50"/>
        <cfvo type="max"/>
        <color rgb="FFF8696B"/>
        <color rgb="FFFFEB84"/>
        <color rgb="FF63BE7B"/>
      </colorScale>
    </cfRule>
  </conditionalFormatting>
  <conditionalFormatting sqref="EC109">
    <cfRule type="colorScale" priority="4454">
      <colorScale>
        <cfvo type="min"/>
        <cfvo type="percentile" val="50"/>
        <cfvo type="max"/>
        <color rgb="FF63BE7B"/>
        <color rgb="FFFFEB84"/>
        <color rgb="FFF8696B"/>
      </colorScale>
    </cfRule>
  </conditionalFormatting>
  <conditionalFormatting sqref="EC109">
    <cfRule type="colorScale" priority="4451">
      <colorScale>
        <cfvo type="min"/>
        <cfvo type="max"/>
        <color rgb="FFFCFCFF"/>
        <color rgb="FFF8696B"/>
      </colorScale>
    </cfRule>
    <cfRule type="colorScale" priority="4453">
      <colorScale>
        <cfvo type="min"/>
        <cfvo type="percentile" val="50"/>
        <cfvo type="max"/>
        <color rgb="FF63BE7B"/>
        <color rgb="FFFFEB84"/>
        <color rgb="FFF8696B"/>
      </colorScale>
    </cfRule>
  </conditionalFormatting>
  <conditionalFormatting sqref="EC109">
    <cfRule type="colorScale" priority="4452">
      <colorScale>
        <cfvo type="min"/>
        <cfvo type="max"/>
        <color rgb="FFF8696B"/>
        <color rgb="FFFCFCFF"/>
      </colorScale>
    </cfRule>
  </conditionalFormatting>
  <conditionalFormatting sqref="EC109">
    <cfRule type="colorScale" priority="4450">
      <colorScale>
        <cfvo type="min"/>
        <cfvo type="percentile" val="50"/>
        <cfvo type="max"/>
        <color rgb="FFF8696B"/>
        <color rgb="FFFFEB84"/>
        <color rgb="FF63BE7B"/>
      </colorScale>
    </cfRule>
  </conditionalFormatting>
  <conditionalFormatting sqref="EC109">
    <cfRule type="colorScale" priority="4449">
      <colorScale>
        <cfvo type="min"/>
        <cfvo type="max"/>
        <color rgb="FFFCFCFF"/>
        <color rgb="FFF8696B"/>
      </colorScale>
    </cfRule>
  </conditionalFormatting>
  <conditionalFormatting sqref="EC114">
    <cfRule type="colorScale" priority="4448">
      <colorScale>
        <cfvo type="min"/>
        <cfvo type="percentile" val="50"/>
        <cfvo type="max"/>
        <color rgb="FFF8696B"/>
        <color rgb="FFFFEB84"/>
        <color rgb="FF63BE7B"/>
      </colorScale>
    </cfRule>
  </conditionalFormatting>
  <conditionalFormatting sqref="EC114">
    <cfRule type="colorScale" priority="4447">
      <colorScale>
        <cfvo type="min"/>
        <cfvo type="percentile" val="50"/>
        <cfvo type="max"/>
        <color rgb="FF63BE7B"/>
        <color rgb="FFFFEB84"/>
        <color rgb="FFF8696B"/>
      </colorScale>
    </cfRule>
  </conditionalFormatting>
  <conditionalFormatting sqref="EC114">
    <cfRule type="colorScale" priority="4444">
      <colorScale>
        <cfvo type="min"/>
        <cfvo type="max"/>
        <color rgb="FFFCFCFF"/>
        <color rgb="FFF8696B"/>
      </colorScale>
    </cfRule>
    <cfRule type="colorScale" priority="4446">
      <colorScale>
        <cfvo type="min"/>
        <cfvo type="percentile" val="50"/>
        <cfvo type="max"/>
        <color rgb="FF63BE7B"/>
        <color rgb="FFFFEB84"/>
        <color rgb="FFF8696B"/>
      </colorScale>
    </cfRule>
  </conditionalFormatting>
  <conditionalFormatting sqref="EC114">
    <cfRule type="colorScale" priority="4445">
      <colorScale>
        <cfvo type="min"/>
        <cfvo type="max"/>
        <color rgb="FFF8696B"/>
        <color rgb="FFFCFCFF"/>
      </colorScale>
    </cfRule>
  </conditionalFormatting>
  <conditionalFormatting sqref="EC114">
    <cfRule type="colorScale" priority="4443">
      <colorScale>
        <cfvo type="min"/>
        <cfvo type="percentile" val="50"/>
        <cfvo type="max"/>
        <color rgb="FFF8696B"/>
        <color rgb="FFFFEB84"/>
        <color rgb="FF63BE7B"/>
      </colorScale>
    </cfRule>
  </conditionalFormatting>
  <conditionalFormatting sqref="EC114">
    <cfRule type="colorScale" priority="4442">
      <colorScale>
        <cfvo type="min"/>
        <cfvo type="max"/>
        <color rgb="FFFCFCFF"/>
        <color rgb="FFF8696B"/>
      </colorScale>
    </cfRule>
  </conditionalFormatting>
  <conditionalFormatting sqref="EE104">
    <cfRule type="colorScale" priority="4441">
      <colorScale>
        <cfvo type="min"/>
        <cfvo type="percentile" val="50"/>
        <cfvo type="max"/>
        <color rgb="FFF8696B"/>
        <color rgb="FFFFEB84"/>
        <color rgb="FF63BE7B"/>
      </colorScale>
    </cfRule>
  </conditionalFormatting>
  <conditionalFormatting sqref="EE104">
    <cfRule type="colorScale" priority="4440">
      <colorScale>
        <cfvo type="min"/>
        <cfvo type="percentile" val="50"/>
        <cfvo type="max"/>
        <color rgb="FF63BE7B"/>
        <color rgb="FFFFEB84"/>
        <color rgb="FFF8696B"/>
      </colorScale>
    </cfRule>
  </conditionalFormatting>
  <conditionalFormatting sqref="EE104">
    <cfRule type="colorScale" priority="4437">
      <colorScale>
        <cfvo type="min"/>
        <cfvo type="max"/>
        <color rgb="FFFCFCFF"/>
        <color rgb="FFF8696B"/>
      </colorScale>
    </cfRule>
    <cfRule type="colorScale" priority="4439">
      <colorScale>
        <cfvo type="min"/>
        <cfvo type="percentile" val="50"/>
        <cfvo type="max"/>
        <color rgb="FF63BE7B"/>
        <color rgb="FFFFEB84"/>
        <color rgb="FFF8696B"/>
      </colorScale>
    </cfRule>
  </conditionalFormatting>
  <conditionalFormatting sqref="EE104">
    <cfRule type="colorScale" priority="4438">
      <colorScale>
        <cfvo type="min"/>
        <cfvo type="max"/>
        <color rgb="FFF8696B"/>
        <color rgb="FFFCFCFF"/>
      </colorScale>
    </cfRule>
  </conditionalFormatting>
  <conditionalFormatting sqref="EE104">
    <cfRule type="colorScale" priority="4436">
      <colorScale>
        <cfvo type="min"/>
        <cfvo type="max"/>
        <color rgb="FFFCFCFF"/>
        <color rgb="FFF8696B"/>
      </colorScale>
    </cfRule>
  </conditionalFormatting>
  <conditionalFormatting sqref="EG104">
    <cfRule type="colorScale" priority="4435">
      <colorScale>
        <cfvo type="min"/>
        <cfvo type="percentile" val="50"/>
        <cfvo type="max"/>
        <color rgb="FFF8696B"/>
        <color rgb="FFFFEB84"/>
        <color rgb="FF63BE7B"/>
      </colorScale>
    </cfRule>
  </conditionalFormatting>
  <conditionalFormatting sqref="EG104">
    <cfRule type="colorScale" priority="4434">
      <colorScale>
        <cfvo type="min"/>
        <cfvo type="percentile" val="50"/>
        <cfvo type="max"/>
        <color rgb="FF63BE7B"/>
        <color rgb="FFFFEB84"/>
        <color rgb="FFF8696B"/>
      </colorScale>
    </cfRule>
  </conditionalFormatting>
  <conditionalFormatting sqref="EG104">
    <cfRule type="colorScale" priority="4431">
      <colorScale>
        <cfvo type="min"/>
        <cfvo type="max"/>
        <color rgb="FFFCFCFF"/>
        <color rgb="FFF8696B"/>
      </colorScale>
    </cfRule>
    <cfRule type="colorScale" priority="4433">
      <colorScale>
        <cfvo type="min"/>
        <cfvo type="percentile" val="50"/>
        <cfvo type="max"/>
        <color rgb="FF63BE7B"/>
        <color rgb="FFFFEB84"/>
        <color rgb="FFF8696B"/>
      </colorScale>
    </cfRule>
  </conditionalFormatting>
  <conditionalFormatting sqref="EG104">
    <cfRule type="colorScale" priority="4432">
      <colorScale>
        <cfvo type="min"/>
        <cfvo type="max"/>
        <color rgb="FFF8696B"/>
        <color rgb="FFFCFCFF"/>
      </colorScale>
    </cfRule>
  </conditionalFormatting>
  <conditionalFormatting sqref="EG104">
    <cfRule type="colorScale" priority="4430">
      <colorScale>
        <cfvo type="min"/>
        <cfvo type="max"/>
        <color rgb="FFFCFCFF"/>
        <color rgb="FFF8696B"/>
      </colorScale>
    </cfRule>
  </conditionalFormatting>
  <conditionalFormatting sqref="EI104">
    <cfRule type="colorScale" priority="4429">
      <colorScale>
        <cfvo type="min"/>
        <cfvo type="percentile" val="50"/>
        <cfvo type="max"/>
        <color rgb="FFF8696B"/>
        <color rgb="FFFFEB84"/>
        <color rgb="FF63BE7B"/>
      </colorScale>
    </cfRule>
  </conditionalFormatting>
  <conditionalFormatting sqref="EI104">
    <cfRule type="colorScale" priority="4428">
      <colorScale>
        <cfvo type="min"/>
        <cfvo type="percentile" val="50"/>
        <cfvo type="max"/>
        <color rgb="FFF8696B"/>
        <color rgb="FFFFEB84"/>
        <color rgb="FF63BE7B"/>
      </colorScale>
    </cfRule>
  </conditionalFormatting>
  <conditionalFormatting sqref="EI104">
    <cfRule type="colorScale" priority="4427">
      <colorScale>
        <cfvo type="min"/>
        <cfvo type="percentile" val="50"/>
        <cfvo type="max"/>
        <color rgb="FF63BE7B"/>
        <color rgb="FFFFEB84"/>
        <color rgb="FFF8696B"/>
      </colorScale>
    </cfRule>
  </conditionalFormatting>
  <conditionalFormatting sqref="EI104">
    <cfRule type="colorScale" priority="4424">
      <colorScale>
        <cfvo type="min"/>
        <cfvo type="max"/>
        <color rgb="FFFCFCFF"/>
        <color rgb="FFF8696B"/>
      </colorScale>
    </cfRule>
    <cfRule type="colorScale" priority="4426">
      <colorScale>
        <cfvo type="min"/>
        <cfvo type="percentile" val="50"/>
        <cfvo type="max"/>
        <color rgb="FF63BE7B"/>
        <color rgb="FFFFEB84"/>
        <color rgb="FFF8696B"/>
      </colorScale>
    </cfRule>
  </conditionalFormatting>
  <conditionalFormatting sqref="EI104">
    <cfRule type="colorScale" priority="4425">
      <colorScale>
        <cfvo type="min"/>
        <cfvo type="max"/>
        <color rgb="FFF8696B"/>
        <color rgb="FFFCFCFF"/>
      </colorScale>
    </cfRule>
  </conditionalFormatting>
  <conditionalFormatting sqref="EI104">
    <cfRule type="colorScale" priority="4423">
      <colorScale>
        <cfvo type="min"/>
        <cfvo type="max"/>
        <color rgb="FFFCFCFF"/>
        <color rgb="FFF8696B"/>
      </colorScale>
    </cfRule>
  </conditionalFormatting>
  <conditionalFormatting sqref="EK104">
    <cfRule type="colorScale" priority="4422">
      <colorScale>
        <cfvo type="min"/>
        <cfvo type="percentile" val="50"/>
        <cfvo type="max"/>
        <color rgb="FFF8696B"/>
        <color rgb="FFFFEB84"/>
        <color rgb="FF63BE7B"/>
      </colorScale>
    </cfRule>
  </conditionalFormatting>
  <conditionalFormatting sqref="EK104">
    <cfRule type="colorScale" priority="4421">
      <colorScale>
        <cfvo type="min"/>
        <cfvo type="percentile" val="50"/>
        <cfvo type="max"/>
        <color rgb="FFF8696B"/>
        <color rgb="FFFFEB84"/>
        <color rgb="FF63BE7B"/>
      </colorScale>
    </cfRule>
  </conditionalFormatting>
  <conditionalFormatting sqref="EK104">
    <cfRule type="colorScale" priority="4420">
      <colorScale>
        <cfvo type="min"/>
        <cfvo type="percentile" val="50"/>
        <cfvo type="max"/>
        <color rgb="FF63BE7B"/>
        <color rgb="FFFFEB84"/>
        <color rgb="FFF8696B"/>
      </colorScale>
    </cfRule>
  </conditionalFormatting>
  <conditionalFormatting sqref="EK104">
    <cfRule type="colorScale" priority="4417">
      <colorScale>
        <cfvo type="min"/>
        <cfvo type="max"/>
        <color rgb="FFFCFCFF"/>
        <color rgb="FFF8696B"/>
      </colorScale>
    </cfRule>
    <cfRule type="colorScale" priority="4419">
      <colorScale>
        <cfvo type="min"/>
        <cfvo type="percentile" val="50"/>
        <cfvo type="max"/>
        <color rgb="FF63BE7B"/>
        <color rgb="FFFFEB84"/>
        <color rgb="FFF8696B"/>
      </colorScale>
    </cfRule>
  </conditionalFormatting>
  <conditionalFormatting sqref="EK104">
    <cfRule type="colorScale" priority="4418">
      <colorScale>
        <cfvo type="min"/>
        <cfvo type="max"/>
        <color rgb="FFF8696B"/>
        <color rgb="FFFCFCFF"/>
      </colorScale>
    </cfRule>
  </conditionalFormatting>
  <conditionalFormatting sqref="EK104">
    <cfRule type="colorScale" priority="4416">
      <colorScale>
        <cfvo type="min"/>
        <cfvo type="max"/>
        <color rgb="FFFCFCFF"/>
        <color rgb="FFF8696B"/>
      </colorScale>
    </cfRule>
  </conditionalFormatting>
  <conditionalFormatting sqref="EM104">
    <cfRule type="colorScale" priority="4415">
      <colorScale>
        <cfvo type="min"/>
        <cfvo type="percentile" val="50"/>
        <cfvo type="max"/>
        <color rgb="FFF8696B"/>
        <color rgb="FFFFEB84"/>
        <color rgb="FF63BE7B"/>
      </colorScale>
    </cfRule>
  </conditionalFormatting>
  <conditionalFormatting sqref="EM104">
    <cfRule type="colorScale" priority="4414">
      <colorScale>
        <cfvo type="min"/>
        <cfvo type="percentile" val="50"/>
        <cfvo type="max"/>
        <color rgb="FFF8696B"/>
        <color rgb="FFFFEB84"/>
        <color rgb="FF63BE7B"/>
      </colorScale>
    </cfRule>
  </conditionalFormatting>
  <conditionalFormatting sqref="EM104">
    <cfRule type="colorScale" priority="4413">
      <colorScale>
        <cfvo type="min"/>
        <cfvo type="percentile" val="50"/>
        <cfvo type="max"/>
        <color rgb="FF63BE7B"/>
        <color rgb="FFFFEB84"/>
        <color rgb="FFF8696B"/>
      </colorScale>
    </cfRule>
  </conditionalFormatting>
  <conditionalFormatting sqref="EM104">
    <cfRule type="colorScale" priority="4410">
      <colorScale>
        <cfvo type="min"/>
        <cfvo type="max"/>
        <color rgb="FFFCFCFF"/>
        <color rgb="FFF8696B"/>
      </colorScale>
    </cfRule>
    <cfRule type="colorScale" priority="4412">
      <colorScale>
        <cfvo type="min"/>
        <cfvo type="percentile" val="50"/>
        <cfvo type="max"/>
        <color rgb="FF63BE7B"/>
        <color rgb="FFFFEB84"/>
        <color rgb="FFF8696B"/>
      </colorScale>
    </cfRule>
  </conditionalFormatting>
  <conditionalFormatting sqref="EM104">
    <cfRule type="colorScale" priority="4411">
      <colorScale>
        <cfvo type="min"/>
        <cfvo type="max"/>
        <color rgb="FFF8696B"/>
        <color rgb="FFFCFCFF"/>
      </colorScale>
    </cfRule>
  </conditionalFormatting>
  <conditionalFormatting sqref="EM104">
    <cfRule type="colorScale" priority="4409">
      <colorScale>
        <cfvo type="min"/>
        <cfvo type="max"/>
        <color rgb="FFFCFCFF"/>
        <color rgb="FFF8696B"/>
      </colorScale>
    </cfRule>
  </conditionalFormatting>
  <conditionalFormatting sqref="EE109">
    <cfRule type="colorScale" priority="4408">
      <colorScale>
        <cfvo type="min"/>
        <cfvo type="percentile" val="50"/>
        <cfvo type="max"/>
        <color rgb="FFF8696B"/>
        <color rgb="FFFFEB84"/>
        <color rgb="FF63BE7B"/>
      </colorScale>
    </cfRule>
  </conditionalFormatting>
  <conditionalFormatting sqref="EE109">
    <cfRule type="colorScale" priority="4407">
      <colorScale>
        <cfvo type="min"/>
        <cfvo type="percentile" val="50"/>
        <cfvo type="max"/>
        <color rgb="FF63BE7B"/>
        <color rgb="FFFFEB84"/>
        <color rgb="FFF8696B"/>
      </colorScale>
    </cfRule>
  </conditionalFormatting>
  <conditionalFormatting sqref="EE109">
    <cfRule type="colorScale" priority="4404">
      <colorScale>
        <cfvo type="min"/>
        <cfvo type="max"/>
        <color rgb="FFFCFCFF"/>
        <color rgb="FFF8696B"/>
      </colorScale>
    </cfRule>
    <cfRule type="colorScale" priority="4406">
      <colorScale>
        <cfvo type="min"/>
        <cfvo type="percentile" val="50"/>
        <cfvo type="max"/>
        <color rgb="FF63BE7B"/>
        <color rgb="FFFFEB84"/>
        <color rgb="FFF8696B"/>
      </colorScale>
    </cfRule>
  </conditionalFormatting>
  <conditionalFormatting sqref="EE109">
    <cfRule type="colorScale" priority="4405">
      <colorScale>
        <cfvo type="min"/>
        <cfvo type="max"/>
        <color rgb="FFF8696B"/>
        <color rgb="FFFCFCFF"/>
      </colorScale>
    </cfRule>
  </conditionalFormatting>
  <conditionalFormatting sqref="EE109">
    <cfRule type="colorScale" priority="4403">
      <colorScale>
        <cfvo type="min"/>
        <cfvo type="percentile" val="50"/>
        <cfvo type="max"/>
        <color rgb="FFF8696B"/>
        <color rgb="FFFFEB84"/>
        <color rgb="FF63BE7B"/>
      </colorScale>
    </cfRule>
  </conditionalFormatting>
  <conditionalFormatting sqref="EE109">
    <cfRule type="colorScale" priority="4402">
      <colorScale>
        <cfvo type="min"/>
        <cfvo type="max"/>
        <color rgb="FFFCFCFF"/>
        <color rgb="FFF8696B"/>
      </colorScale>
    </cfRule>
  </conditionalFormatting>
  <conditionalFormatting sqref="EE114">
    <cfRule type="colorScale" priority="4401">
      <colorScale>
        <cfvo type="min"/>
        <cfvo type="percentile" val="50"/>
        <cfvo type="max"/>
        <color rgb="FFF8696B"/>
        <color rgb="FFFFEB84"/>
        <color rgb="FF63BE7B"/>
      </colorScale>
    </cfRule>
  </conditionalFormatting>
  <conditionalFormatting sqref="EE114">
    <cfRule type="colorScale" priority="4400">
      <colorScale>
        <cfvo type="min"/>
        <cfvo type="percentile" val="50"/>
        <cfvo type="max"/>
        <color rgb="FF63BE7B"/>
        <color rgb="FFFFEB84"/>
        <color rgb="FFF8696B"/>
      </colorScale>
    </cfRule>
  </conditionalFormatting>
  <conditionalFormatting sqref="EE114">
    <cfRule type="colorScale" priority="4397">
      <colorScale>
        <cfvo type="min"/>
        <cfvo type="max"/>
        <color rgb="FFFCFCFF"/>
        <color rgb="FFF8696B"/>
      </colorScale>
    </cfRule>
    <cfRule type="colorScale" priority="4399">
      <colorScale>
        <cfvo type="min"/>
        <cfvo type="percentile" val="50"/>
        <cfvo type="max"/>
        <color rgb="FF63BE7B"/>
        <color rgb="FFFFEB84"/>
        <color rgb="FFF8696B"/>
      </colorScale>
    </cfRule>
  </conditionalFormatting>
  <conditionalFormatting sqref="EE114">
    <cfRule type="colorScale" priority="4398">
      <colorScale>
        <cfvo type="min"/>
        <cfvo type="max"/>
        <color rgb="FFF8696B"/>
        <color rgb="FFFCFCFF"/>
      </colorScale>
    </cfRule>
  </conditionalFormatting>
  <conditionalFormatting sqref="EE114">
    <cfRule type="colorScale" priority="4396">
      <colorScale>
        <cfvo type="min"/>
        <cfvo type="percentile" val="50"/>
        <cfvo type="max"/>
        <color rgb="FFF8696B"/>
        <color rgb="FFFFEB84"/>
        <color rgb="FF63BE7B"/>
      </colorScale>
    </cfRule>
  </conditionalFormatting>
  <conditionalFormatting sqref="EE114">
    <cfRule type="colorScale" priority="4395">
      <colorScale>
        <cfvo type="min"/>
        <cfvo type="max"/>
        <color rgb="FFFCFCFF"/>
        <color rgb="FFF8696B"/>
      </colorScale>
    </cfRule>
  </conditionalFormatting>
  <conditionalFormatting sqref="EA99 EC99 EE99 EG99 EI99">
    <cfRule type="colorScale" priority="4394">
      <colorScale>
        <cfvo type="min"/>
        <cfvo type="percentile" val="50"/>
        <cfvo type="max"/>
        <color rgb="FFF8696B"/>
        <color rgb="FFFFEB84"/>
        <color rgb="FF63BE7B"/>
      </colorScale>
    </cfRule>
  </conditionalFormatting>
  <conditionalFormatting sqref="EC99">
    <cfRule type="colorScale" priority="4393">
      <colorScale>
        <cfvo type="min"/>
        <cfvo type="percentile" val="50"/>
        <cfvo type="max"/>
        <color rgb="FFF8696B"/>
        <color rgb="FFFFEB84"/>
        <color rgb="FF63BE7B"/>
      </colorScale>
    </cfRule>
  </conditionalFormatting>
  <conditionalFormatting sqref="EA99 EC99 EE99 EG99 EI99">
    <cfRule type="colorScale" priority="4392">
      <colorScale>
        <cfvo type="min"/>
        <cfvo type="percentile" val="50"/>
        <cfvo type="max"/>
        <color rgb="FF63BE7B"/>
        <color rgb="FFFFEB84"/>
        <color rgb="FFF8696B"/>
      </colorScale>
    </cfRule>
  </conditionalFormatting>
  <conditionalFormatting sqref="EA99 EC99 EE99 EG99 EI99">
    <cfRule type="colorScale" priority="4389">
      <colorScale>
        <cfvo type="min"/>
        <cfvo type="max"/>
        <color rgb="FFFCFCFF"/>
        <color rgb="FFF8696B"/>
      </colorScale>
    </cfRule>
    <cfRule type="colorScale" priority="4391">
      <colorScale>
        <cfvo type="min"/>
        <cfvo type="percentile" val="50"/>
        <cfvo type="max"/>
        <color rgb="FF63BE7B"/>
        <color rgb="FFFFEB84"/>
        <color rgb="FFF8696B"/>
      </colorScale>
    </cfRule>
  </conditionalFormatting>
  <conditionalFormatting sqref="EA99 EC99 EE99 EG99 EI99">
    <cfRule type="colorScale" priority="4390">
      <colorScale>
        <cfvo type="min"/>
        <cfvo type="max"/>
        <color rgb="FFF8696B"/>
        <color rgb="FFFCFCFF"/>
      </colorScale>
    </cfRule>
  </conditionalFormatting>
  <conditionalFormatting sqref="EA99 EC99 EE99 EG99 EI99">
    <cfRule type="colorScale" priority="4388">
      <colorScale>
        <cfvo type="min"/>
        <cfvo type="max"/>
        <color rgb="FFFCFCFF"/>
        <color rgb="FFF8696B"/>
      </colorScale>
    </cfRule>
  </conditionalFormatting>
  <conditionalFormatting sqref="EK99">
    <cfRule type="colorScale" priority="4387">
      <colorScale>
        <cfvo type="min"/>
        <cfvo type="percentile" val="50"/>
        <cfvo type="max"/>
        <color rgb="FFF8696B"/>
        <color rgb="FFFFEB84"/>
        <color rgb="FF63BE7B"/>
      </colorScale>
    </cfRule>
  </conditionalFormatting>
  <conditionalFormatting sqref="EK99">
    <cfRule type="colorScale" priority="4386">
      <colorScale>
        <cfvo type="min"/>
        <cfvo type="percentile" val="50"/>
        <cfvo type="max"/>
        <color rgb="FFF8696B"/>
        <color rgb="FFFFEB84"/>
        <color rgb="FF63BE7B"/>
      </colorScale>
    </cfRule>
  </conditionalFormatting>
  <conditionalFormatting sqref="EK99">
    <cfRule type="colorScale" priority="4385">
      <colorScale>
        <cfvo type="min"/>
        <cfvo type="percentile" val="50"/>
        <cfvo type="max"/>
        <color rgb="FF63BE7B"/>
        <color rgb="FFFFEB84"/>
        <color rgb="FFF8696B"/>
      </colorScale>
    </cfRule>
  </conditionalFormatting>
  <conditionalFormatting sqref="EK99">
    <cfRule type="colorScale" priority="4382">
      <colorScale>
        <cfvo type="min"/>
        <cfvo type="max"/>
        <color rgb="FFFCFCFF"/>
        <color rgb="FFF8696B"/>
      </colorScale>
    </cfRule>
    <cfRule type="colorScale" priority="4384">
      <colorScale>
        <cfvo type="min"/>
        <cfvo type="percentile" val="50"/>
        <cfvo type="max"/>
        <color rgb="FF63BE7B"/>
        <color rgb="FFFFEB84"/>
        <color rgb="FFF8696B"/>
      </colorScale>
    </cfRule>
  </conditionalFormatting>
  <conditionalFormatting sqref="EK99">
    <cfRule type="colorScale" priority="4383">
      <colorScale>
        <cfvo type="min"/>
        <cfvo type="max"/>
        <color rgb="FFF8696B"/>
        <color rgb="FFFCFCFF"/>
      </colorScale>
    </cfRule>
  </conditionalFormatting>
  <conditionalFormatting sqref="EK99">
    <cfRule type="colorScale" priority="4381">
      <colorScale>
        <cfvo type="min"/>
        <cfvo type="max"/>
        <color rgb="FFFCFCFF"/>
        <color rgb="FFF8696B"/>
      </colorScale>
    </cfRule>
  </conditionalFormatting>
  <conditionalFormatting sqref="EM99">
    <cfRule type="colorScale" priority="4380">
      <colorScale>
        <cfvo type="min"/>
        <cfvo type="percentile" val="50"/>
        <cfvo type="max"/>
        <color rgb="FFF8696B"/>
        <color rgb="FFFFEB84"/>
        <color rgb="FF63BE7B"/>
      </colorScale>
    </cfRule>
  </conditionalFormatting>
  <conditionalFormatting sqref="EM99">
    <cfRule type="colorScale" priority="4379">
      <colorScale>
        <cfvo type="min"/>
        <cfvo type="percentile" val="50"/>
        <cfvo type="max"/>
        <color rgb="FFF8696B"/>
        <color rgb="FFFFEB84"/>
        <color rgb="FF63BE7B"/>
      </colorScale>
    </cfRule>
  </conditionalFormatting>
  <conditionalFormatting sqref="EM99">
    <cfRule type="colorScale" priority="4378">
      <colorScale>
        <cfvo type="min"/>
        <cfvo type="percentile" val="50"/>
        <cfvo type="max"/>
        <color rgb="FF63BE7B"/>
        <color rgb="FFFFEB84"/>
        <color rgb="FFF8696B"/>
      </colorScale>
    </cfRule>
  </conditionalFormatting>
  <conditionalFormatting sqref="EM99">
    <cfRule type="colorScale" priority="4375">
      <colorScale>
        <cfvo type="min"/>
        <cfvo type="max"/>
        <color rgb="FFFCFCFF"/>
        <color rgb="FFF8696B"/>
      </colorScale>
    </cfRule>
    <cfRule type="colorScale" priority="4377">
      <colorScale>
        <cfvo type="min"/>
        <cfvo type="percentile" val="50"/>
        <cfvo type="max"/>
        <color rgb="FF63BE7B"/>
        <color rgb="FFFFEB84"/>
        <color rgb="FFF8696B"/>
      </colorScale>
    </cfRule>
  </conditionalFormatting>
  <conditionalFormatting sqref="EM99">
    <cfRule type="colorScale" priority="4376">
      <colorScale>
        <cfvo type="min"/>
        <cfvo type="max"/>
        <color rgb="FFF8696B"/>
        <color rgb="FFFCFCFF"/>
      </colorScale>
    </cfRule>
  </conditionalFormatting>
  <conditionalFormatting sqref="EM99">
    <cfRule type="colorScale" priority="4374">
      <colorScale>
        <cfvo type="min"/>
        <cfvo type="max"/>
        <color rgb="FFFCFCFF"/>
        <color rgb="FFF8696B"/>
      </colorScale>
    </cfRule>
  </conditionalFormatting>
  <conditionalFormatting sqref="EG109">
    <cfRule type="colorScale" priority="4373">
      <colorScale>
        <cfvo type="min"/>
        <cfvo type="percentile" val="50"/>
        <cfvo type="max"/>
        <color rgb="FFF8696B"/>
        <color rgb="FFFFEB84"/>
        <color rgb="FF63BE7B"/>
      </colorScale>
    </cfRule>
  </conditionalFormatting>
  <conditionalFormatting sqref="EG109">
    <cfRule type="colorScale" priority="4372">
      <colorScale>
        <cfvo type="min"/>
        <cfvo type="percentile" val="50"/>
        <cfvo type="max"/>
        <color rgb="FF63BE7B"/>
        <color rgb="FFFFEB84"/>
        <color rgb="FFF8696B"/>
      </colorScale>
    </cfRule>
  </conditionalFormatting>
  <conditionalFormatting sqref="EG109">
    <cfRule type="colorScale" priority="4369">
      <colorScale>
        <cfvo type="min"/>
        <cfvo type="max"/>
        <color rgb="FFFCFCFF"/>
        <color rgb="FFF8696B"/>
      </colorScale>
    </cfRule>
    <cfRule type="colorScale" priority="4371">
      <colorScale>
        <cfvo type="min"/>
        <cfvo type="percentile" val="50"/>
        <cfvo type="max"/>
        <color rgb="FF63BE7B"/>
        <color rgb="FFFFEB84"/>
        <color rgb="FFF8696B"/>
      </colorScale>
    </cfRule>
  </conditionalFormatting>
  <conditionalFormatting sqref="EG109">
    <cfRule type="colorScale" priority="4370">
      <colorScale>
        <cfvo type="min"/>
        <cfvo type="max"/>
        <color rgb="FFF8696B"/>
        <color rgb="FFFCFCFF"/>
      </colorScale>
    </cfRule>
  </conditionalFormatting>
  <conditionalFormatting sqref="EG109">
    <cfRule type="colorScale" priority="4368">
      <colorScale>
        <cfvo type="min"/>
        <cfvo type="percentile" val="50"/>
        <cfvo type="max"/>
        <color rgb="FFF8696B"/>
        <color rgb="FFFFEB84"/>
        <color rgb="FF63BE7B"/>
      </colorScale>
    </cfRule>
  </conditionalFormatting>
  <conditionalFormatting sqref="EG109">
    <cfRule type="colorScale" priority="4367">
      <colorScale>
        <cfvo type="min"/>
        <cfvo type="max"/>
        <color rgb="FFFCFCFF"/>
        <color rgb="FFF8696B"/>
      </colorScale>
    </cfRule>
  </conditionalFormatting>
  <conditionalFormatting sqref="EG114">
    <cfRule type="colorScale" priority="4366">
      <colorScale>
        <cfvo type="min"/>
        <cfvo type="percentile" val="50"/>
        <cfvo type="max"/>
        <color rgb="FFF8696B"/>
        <color rgb="FFFFEB84"/>
        <color rgb="FF63BE7B"/>
      </colorScale>
    </cfRule>
  </conditionalFormatting>
  <conditionalFormatting sqref="EG114">
    <cfRule type="colorScale" priority="4365">
      <colorScale>
        <cfvo type="min"/>
        <cfvo type="percentile" val="50"/>
        <cfvo type="max"/>
        <color rgb="FF63BE7B"/>
        <color rgb="FFFFEB84"/>
        <color rgb="FFF8696B"/>
      </colorScale>
    </cfRule>
  </conditionalFormatting>
  <conditionalFormatting sqref="EG114">
    <cfRule type="colorScale" priority="4362">
      <colorScale>
        <cfvo type="min"/>
        <cfvo type="max"/>
        <color rgb="FFFCFCFF"/>
        <color rgb="FFF8696B"/>
      </colorScale>
    </cfRule>
    <cfRule type="colorScale" priority="4364">
      <colorScale>
        <cfvo type="min"/>
        <cfvo type="percentile" val="50"/>
        <cfvo type="max"/>
        <color rgb="FF63BE7B"/>
        <color rgb="FFFFEB84"/>
        <color rgb="FFF8696B"/>
      </colorScale>
    </cfRule>
  </conditionalFormatting>
  <conditionalFormatting sqref="EG114">
    <cfRule type="colorScale" priority="4363">
      <colorScale>
        <cfvo type="min"/>
        <cfvo type="max"/>
        <color rgb="FFF8696B"/>
        <color rgb="FFFCFCFF"/>
      </colorScale>
    </cfRule>
  </conditionalFormatting>
  <conditionalFormatting sqref="EG114">
    <cfRule type="colorScale" priority="4361">
      <colorScale>
        <cfvo type="min"/>
        <cfvo type="percentile" val="50"/>
        <cfvo type="max"/>
        <color rgb="FFF8696B"/>
        <color rgb="FFFFEB84"/>
        <color rgb="FF63BE7B"/>
      </colorScale>
    </cfRule>
  </conditionalFormatting>
  <conditionalFormatting sqref="EG114">
    <cfRule type="colorScale" priority="4360">
      <colorScale>
        <cfvo type="min"/>
        <cfvo type="max"/>
        <color rgb="FFFCFCFF"/>
        <color rgb="FFF8696B"/>
      </colorScale>
    </cfRule>
  </conditionalFormatting>
  <conditionalFormatting sqref="EA119">
    <cfRule type="colorScale" priority="4359">
      <colorScale>
        <cfvo type="min"/>
        <cfvo type="percentile" val="50"/>
        <cfvo type="max"/>
        <color rgb="FFF8696B"/>
        <color rgb="FFFFEB84"/>
        <color rgb="FF63BE7B"/>
      </colorScale>
    </cfRule>
  </conditionalFormatting>
  <conditionalFormatting sqref="EA119">
    <cfRule type="colorScale" priority="4358">
      <colorScale>
        <cfvo type="min"/>
        <cfvo type="percentile" val="50"/>
        <cfvo type="max"/>
        <color rgb="FF63BE7B"/>
        <color rgb="FFFFEB84"/>
        <color rgb="FFF8696B"/>
      </colorScale>
    </cfRule>
  </conditionalFormatting>
  <conditionalFormatting sqref="EA119">
    <cfRule type="colorScale" priority="4355">
      <colorScale>
        <cfvo type="min"/>
        <cfvo type="max"/>
        <color rgb="FFFCFCFF"/>
        <color rgb="FFF8696B"/>
      </colorScale>
    </cfRule>
    <cfRule type="colorScale" priority="4357">
      <colorScale>
        <cfvo type="min"/>
        <cfvo type="percentile" val="50"/>
        <cfvo type="max"/>
        <color rgb="FF63BE7B"/>
        <color rgb="FFFFEB84"/>
        <color rgb="FFF8696B"/>
      </colorScale>
    </cfRule>
  </conditionalFormatting>
  <conditionalFormatting sqref="EA119">
    <cfRule type="colorScale" priority="4356">
      <colorScale>
        <cfvo type="min"/>
        <cfvo type="max"/>
        <color rgb="FFF8696B"/>
        <color rgb="FFFCFCFF"/>
      </colorScale>
    </cfRule>
  </conditionalFormatting>
  <conditionalFormatting sqref="EA119">
    <cfRule type="colorScale" priority="4354">
      <colorScale>
        <cfvo type="min"/>
        <cfvo type="percentile" val="50"/>
        <cfvo type="max"/>
        <color rgb="FFF8696B"/>
        <color rgb="FFFFEB84"/>
        <color rgb="FF63BE7B"/>
      </colorScale>
    </cfRule>
  </conditionalFormatting>
  <conditionalFormatting sqref="EA119">
    <cfRule type="colorScale" priority="4353">
      <colorScale>
        <cfvo type="min"/>
        <cfvo type="max"/>
        <color rgb="FFFCFCFF"/>
        <color rgb="FFF8696B"/>
      </colorScale>
    </cfRule>
  </conditionalFormatting>
  <conditionalFormatting sqref="EC119">
    <cfRule type="colorScale" priority="4352">
      <colorScale>
        <cfvo type="min"/>
        <cfvo type="percentile" val="50"/>
        <cfvo type="max"/>
        <color rgb="FFF8696B"/>
        <color rgb="FFFFEB84"/>
        <color rgb="FF63BE7B"/>
      </colorScale>
    </cfRule>
  </conditionalFormatting>
  <conditionalFormatting sqref="EC119">
    <cfRule type="colorScale" priority="4351">
      <colorScale>
        <cfvo type="min"/>
        <cfvo type="percentile" val="50"/>
        <cfvo type="max"/>
        <color rgb="FF63BE7B"/>
        <color rgb="FFFFEB84"/>
        <color rgb="FFF8696B"/>
      </colorScale>
    </cfRule>
  </conditionalFormatting>
  <conditionalFormatting sqref="EC119">
    <cfRule type="colorScale" priority="4348">
      <colorScale>
        <cfvo type="min"/>
        <cfvo type="max"/>
        <color rgb="FFFCFCFF"/>
        <color rgb="FFF8696B"/>
      </colorScale>
    </cfRule>
    <cfRule type="colorScale" priority="4350">
      <colorScale>
        <cfvo type="min"/>
        <cfvo type="percentile" val="50"/>
        <cfvo type="max"/>
        <color rgb="FF63BE7B"/>
        <color rgb="FFFFEB84"/>
        <color rgb="FFF8696B"/>
      </colorScale>
    </cfRule>
  </conditionalFormatting>
  <conditionalFormatting sqref="EC119">
    <cfRule type="colorScale" priority="4349">
      <colorScale>
        <cfvo type="min"/>
        <cfvo type="max"/>
        <color rgb="FFF8696B"/>
        <color rgb="FFFCFCFF"/>
      </colorScale>
    </cfRule>
  </conditionalFormatting>
  <conditionalFormatting sqref="EC119">
    <cfRule type="colorScale" priority="4347">
      <colorScale>
        <cfvo type="min"/>
        <cfvo type="percentile" val="50"/>
        <cfvo type="max"/>
        <color rgb="FFF8696B"/>
        <color rgb="FFFFEB84"/>
        <color rgb="FF63BE7B"/>
      </colorScale>
    </cfRule>
  </conditionalFormatting>
  <conditionalFormatting sqref="EC119">
    <cfRule type="colorScale" priority="4346">
      <colorScale>
        <cfvo type="min"/>
        <cfvo type="max"/>
        <color rgb="FFFCFCFF"/>
        <color rgb="FFF8696B"/>
      </colorScale>
    </cfRule>
  </conditionalFormatting>
  <conditionalFormatting sqref="EI109">
    <cfRule type="colorScale" priority="4345">
      <colorScale>
        <cfvo type="min"/>
        <cfvo type="percentile" val="50"/>
        <cfvo type="max"/>
        <color rgb="FFF8696B"/>
        <color rgb="FFFFEB84"/>
        <color rgb="FF63BE7B"/>
      </colorScale>
    </cfRule>
  </conditionalFormatting>
  <conditionalFormatting sqref="EI109">
    <cfRule type="colorScale" priority="4344">
      <colorScale>
        <cfvo type="min"/>
        <cfvo type="percentile" val="50"/>
        <cfvo type="max"/>
        <color rgb="FF63BE7B"/>
        <color rgb="FFFFEB84"/>
        <color rgb="FFF8696B"/>
      </colorScale>
    </cfRule>
  </conditionalFormatting>
  <conditionalFormatting sqref="EI109">
    <cfRule type="colorScale" priority="4341">
      <colorScale>
        <cfvo type="min"/>
        <cfvo type="max"/>
        <color rgb="FFFCFCFF"/>
        <color rgb="FFF8696B"/>
      </colorScale>
    </cfRule>
    <cfRule type="colorScale" priority="4343">
      <colorScale>
        <cfvo type="min"/>
        <cfvo type="percentile" val="50"/>
        <cfvo type="max"/>
        <color rgb="FF63BE7B"/>
        <color rgb="FFFFEB84"/>
        <color rgb="FFF8696B"/>
      </colorScale>
    </cfRule>
  </conditionalFormatting>
  <conditionalFormatting sqref="EI109">
    <cfRule type="colorScale" priority="4342">
      <colorScale>
        <cfvo type="min"/>
        <cfvo type="max"/>
        <color rgb="FFF8696B"/>
        <color rgb="FFFCFCFF"/>
      </colorScale>
    </cfRule>
  </conditionalFormatting>
  <conditionalFormatting sqref="EI109">
    <cfRule type="colorScale" priority="4340">
      <colorScale>
        <cfvo type="min"/>
        <cfvo type="percentile" val="50"/>
        <cfvo type="max"/>
        <color rgb="FFF8696B"/>
        <color rgb="FFFFEB84"/>
        <color rgb="FF63BE7B"/>
      </colorScale>
    </cfRule>
  </conditionalFormatting>
  <conditionalFormatting sqref="EI109">
    <cfRule type="colorScale" priority="4339">
      <colorScale>
        <cfvo type="min"/>
        <cfvo type="max"/>
        <color rgb="FFFCFCFF"/>
        <color rgb="FFF8696B"/>
      </colorScale>
    </cfRule>
  </conditionalFormatting>
  <conditionalFormatting sqref="EI114">
    <cfRule type="colorScale" priority="4338">
      <colorScale>
        <cfvo type="min"/>
        <cfvo type="percentile" val="50"/>
        <cfvo type="max"/>
        <color rgb="FFF8696B"/>
        <color rgb="FFFFEB84"/>
        <color rgb="FF63BE7B"/>
      </colorScale>
    </cfRule>
  </conditionalFormatting>
  <conditionalFormatting sqref="EI114">
    <cfRule type="colorScale" priority="4337">
      <colorScale>
        <cfvo type="min"/>
        <cfvo type="percentile" val="50"/>
        <cfvo type="max"/>
        <color rgb="FF63BE7B"/>
        <color rgb="FFFFEB84"/>
        <color rgb="FFF8696B"/>
      </colorScale>
    </cfRule>
  </conditionalFormatting>
  <conditionalFormatting sqref="EI114">
    <cfRule type="colorScale" priority="4334">
      <colorScale>
        <cfvo type="min"/>
        <cfvo type="max"/>
        <color rgb="FFFCFCFF"/>
        <color rgb="FFF8696B"/>
      </colorScale>
    </cfRule>
    <cfRule type="colorScale" priority="4336">
      <colorScale>
        <cfvo type="min"/>
        <cfvo type="percentile" val="50"/>
        <cfvo type="max"/>
        <color rgb="FF63BE7B"/>
        <color rgb="FFFFEB84"/>
        <color rgb="FFF8696B"/>
      </colorScale>
    </cfRule>
  </conditionalFormatting>
  <conditionalFormatting sqref="EI114">
    <cfRule type="colorScale" priority="4335">
      <colorScale>
        <cfvo type="min"/>
        <cfvo type="max"/>
        <color rgb="FFF8696B"/>
        <color rgb="FFFCFCFF"/>
      </colorScale>
    </cfRule>
  </conditionalFormatting>
  <conditionalFormatting sqref="EI114">
    <cfRule type="colorScale" priority="4333">
      <colorScale>
        <cfvo type="min"/>
        <cfvo type="percentile" val="50"/>
        <cfvo type="max"/>
        <color rgb="FFF8696B"/>
        <color rgb="FFFFEB84"/>
        <color rgb="FF63BE7B"/>
      </colorScale>
    </cfRule>
  </conditionalFormatting>
  <conditionalFormatting sqref="EI114">
    <cfRule type="colorScale" priority="4332">
      <colorScale>
        <cfvo type="min"/>
        <cfvo type="max"/>
        <color rgb="FFFCFCFF"/>
        <color rgb="FFF8696B"/>
      </colorScale>
    </cfRule>
  </conditionalFormatting>
  <conditionalFormatting sqref="C110">
    <cfRule type="colorScale" priority="4331">
      <colorScale>
        <cfvo type="min"/>
        <cfvo type="percentile" val="50"/>
        <cfvo type="max"/>
        <color rgb="FFF8696B"/>
        <color rgb="FFFFEB84"/>
        <color rgb="FF63BE7B"/>
      </colorScale>
    </cfRule>
  </conditionalFormatting>
  <conditionalFormatting sqref="C110">
    <cfRule type="colorScale" priority="4330">
      <colorScale>
        <cfvo type="min"/>
        <cfvo type="percentile" val="50"/>
        <cfvo type="max"/>
        <color rgb="FF63BE7B"/>
        <color rgb="FFFFEB84"/>
        <color rgb="FFF8696B"/>
      </colorScale>
    </cfRule>
  </conditionalFormatting>
  <conditionalFormatting sqref="C110">
    <cfRule type="colorScale" priority="4327">
      <colorScale>
        <cfvo type="min"/>
        <cfvo type="max"/>
        <color rgb="FFFCFCFF"/>
        <color rgb="FFF8696B"/>
      </colorScale>
    </cfRule>
    <cfRule type="colorScale" priority="4329">
      <colorScale>
        <cfvo type="min"/>
        <cfvo type="percentile" val="50"/>
        <cfvo type="max"/>
        <color rgb="FF63BE7B"/>
        <color rgb="FFFFEB84"/>
        <color rgb="FFF8696B"/>
      </colorScale>
    </cfRule>
  </conditionalFormatting>
  <conditionalFormatting sqref="C110">
    <cfRule type="colorScale" priority="4328">
      <colorScale>
        <cfvo type="min"/>
        <cfvo type="max"/>
        <color rgb="FFF8696B"/>
        <color rgb="FFFCFCFF"/>
      </colorScale>
    </cfRule>
  </conditionalFormatting>
  <conditionalFormatting sqref="C110">
    <cfRule type="colorScale" priority="4326">
      <colorScale>
        <cfvo type="min"/>
        <cfvo type="percentile" val="50"/>
        <cfvo type="max"/>
        <color rgb="FFF8696B"/>
        <color rgb="FFFFEB84"/>
        <color rgb="FF63BE7B"/>
      </colorScale>
    </cfRule>
  </conditionalFormatting>
  <conditionalFormatting sqref="C110">
    <cfRule type="colorScale" priority="4325">
      <colorScale>
        <cfvo type="min"/>
        <cfvo type="max"/>
        <color rgb="FFFCFCFF"/>
        <color rgb="FFF8696B"/>
      </colorScale>
    </cfRule>
  </conditionalFormatting>
  <conditionalFormatting sqref="E110">
    <cfRule type="colorScale" priority="4324">
      <colorScale>
        <cfvo type="min"/>
        <cfvo type="percentile" val="50"/>
        <cfvo type="max"/>
        <color rgb="FFF8696B"/>
        <color rgb="FFFFEB84"/>
        <color rgb="FF63BE7B"/>
      </colorScale>
    </cfRule>
  </conditionalFormatting>
  <conditionalFormatting sqref="E110">
    <cfRule type="colorScale" priority="4323">
      <colorScale>
        <cfvo type="min"/>
        <cfvo type="percentile" val="50"/>
        <cfvo type="max"/>
        <color rgb="FF63BE7B"/>
        <color rgb="FFFFEB84"/>
        <color rgb="FFF8696B"/>
      </colorScale>
    </cfRule>
  </conditionalFormatting>
  <conditionalFormatting sqref="E110">
    <cfRule type="colorScale" priority="4320">
      <colorScale>
        <cfvo type="min"/>
        <cfvo type="max"/>
        <color rgb="FFFCFCFF"/>
        <color rgb="FFF8696B"/>
      </colorScale>
    </cfRule>
    <cfRule type="colorScale" priority="4322">
      <colorScale>
        <cfvo type="min"/>
        <cfvo type="percentile" val="50"/>
        <cfvo type="max"/>
        <color rgb="FF63BE7B"/>
        <color rgb="FFFFEB84"/>
        <color rgb="FFF8696B"/>
      </colorScale>
    </cfRule>
  </conditionalFormatting>
  <conditionalFormatting sqref="E110">
    <cfRule type="colorScale" priority="4321">
      <colorScale>
        <cfvo type="min"/>
        <cfvo type="max"/>
        <color rgb="FFF8696B"/>
        <color rgb="FFFCFCFF"/>
      </colorScale>
    </cfRule>
  </conditionalFormatting>
  <conditionalFormatting sqref="E110">
    <cfRule type="colorScale" priority="4319">
      <colorScale>
        <cfvo type="min"/>
        <cfvo type="percentile" val="50"/>
        <cfvo type="max"/>
        <color rgb="FFF8696B"/>
        <color rgb="FFFFEB84"/>
        <color rgb="FF63BE7B"/>
      </colorScale>
    </cfRule>
  </conditionalFormatting>
  <conditionalFormatting sqref="E110">
    <cfRule type="colorScale" priority="4318">
      <colorScale>
        <cfvo type="min"/>
        <cfvo type="max"/>
        <color rgb="FFFCFCFF"/>
        <color rgb="FFF8696B"/>
      </colorScale>
    </cfRule>
  </conditionalFormatting>
  <conditionalFormatting sqref="C153">
    <cfRule type="colorScale" priority="4317">
      <colorScale>
        <cfvo type="min"/>
        <cfvo type="percentile" val="50"/>
        <cfvo type="max"/>
        <color rgb="FFF8696B"/>
        <color rgb="FFFFEB84"/>
        <color rgb="FF63BE7B"/>
      </colorScale>
    </cfRule>
  </conditionalFormatting>
  <conditionalFormatting sqref="C153">
    <cfRule type="colorScale" priority="4316">
      <colorScale>
        <cfvo type="min"/>
        <cfvo type="percentile" val="50"/>
        <cfvo type="max"/>
        <color rgb="FF63BE7B"/>
        <color rgb="FFFFEB84"/>
        <color rgb="FFF8696B"/>
      </colorScale>
    </cfRule>
  </conditionalFormatting>
  <conditionalFormatting sqref="C153">
    <cfRule type="colorScale" priority="4313">
      <colorScale>
        <cfvo type="min"/>
        <cfvo type="max"/>
        <color rgb="FFFCFCFF"/>
        <color rgb="FFF8696B"/>
      </colorScale>
    </cfRule>
    <cfRule type="colorScale" priority="4315">
      <colorScale>
        <cfvo type="min"/>
        <cfvo type="percentile" val="50"/>
        <cfvo type="max"/>
        <color rgb="FF63BE7B"/>
        <color rgb="FFFFEB84"/>
        <color rgb="FFF8696B"/>
      </colorScale>
    </cfRule>
  </conditionalFormatting>
  <conditionalFormatting sqref="C153">
    <cfRule type="colorScale" priority="4314">
      <colorScale>
        <cfvo type="min"/>
        <cfvo type="max"/>
        <color rgb="FFF8696B"/>
        <color rgb="FFFCFCFF"/>
      </colorScale>
    </cfRule>
  </conditionalFormatting>
  <conditionalFormatting sqref="C153">
    <cfRule type="colorScale" priority="4312">
      <colorScale>
        <cfvo type="min"/>
        <cfvo type="percentile" val="50"/>
        <cfvo type="max"/>
        <color rgb="FFF8696B"/>
        <color rgb="FFFFEB84"/>
        <color rgb="FF63BE7B"/>
      </colorScale>
    </cfRule>
  </conditionalFormatting>
  <conditionalFormatting sqref="C153">
    <cfRule type="colorScale" priority="4311">
      <colorScale>
        <cfvo type="min"/>
        <cfvo type="max"/>
        <color rgb="FFFCFCFF"/>
        <color rgb="FFF8696B"/>
      </colorScale>
    </cfRule>
  </conditionalFormatting>
  <conditionalFormatting sqref="G153">
    <cfRule type="colorScale" priority="4310">
      <colorScale>
        <cfvo type="min"/>
        <cfvo type="percentile" val="50"/>
        <cfvo type="max"/>
        <color rgb="FFF8696B"/>
        <color rgb="FFFFEB84"/>
        <color rgb="FF63BE7B"/>
      </colorScale>
    </cfRule>
  </conditionalFormatting>
  <conditionalFormatting sqref="G153">
    <cfRule type="colorScale" priority="4309">
      <colorScale>
        <cfvo type="min"/>
        <cfvo type="percentile" val="50"/>
        <cfvo type="max"/>
        <color rgb="FF63BE7B"/>
        <color rgb="FFFFEB84"/>
        <color rgb="FFF8696B"/>
      </colorScale>
    </cfRule>
  </conditionalFormatting>
  <conditionalFormatting sqref="G153">
    <cfRule type="colorScale" priority="4306">
      <colorScale>
        <cfvo type="min"/>
        <cfvo type="max"/>
        <color rgb="FFFCFCFF"/>
        <color rgb="FFF8696B"/>
      </colorScale>
    </cfRule>
    <cfRule type="colorScale" priority="4308">
      <colorScale>
        <cfvo type="min"/>
        <cfvo type="percentile" val="50"/>
        <cfvo type="max"/>
        <color rgb="FF63BE7B"/>
        <color rgb="FFFFEB84"/>
        <color rgb="FFF8696B"/>
      </colorScale>
    </cfRule>
  </conditionalFormatting>
  <conditionalFormatting sqref="G153">
    <cfRule type="colorScale" priority="4307">
      <colorScale>
        <cfvo type="min"/>
        <cfvo type="max"/>
        <color rgb="FFF8696B"/>
        <color rgb="FFFCFCFF"/>
      </colorScale>
    </cfRule>
  </conditionalFormatting>
  <conditionalFormatting sqref="G153">
    <cfRule type="colorScale" priority="4305">
      <colorScale>
        <cfvo type="min"/>
        <cfvo type="percentile" val="50"/>
        <cfvo type="max"/>
        <color rgb="FFF8696B"/>
        <color rgb="FFFFEB84"/>
        <color rgb="FF63BE7B"/>
      </colorScale>
    </cfRule>
  </conditionalFormatting>
  <conditionalFormatting sqref="G153">
    <cfRule type="colorScale" priority="4304">
      <colorScale>
        <cfvo type="min"/>
        <cfvo type="max"/>
        <color rgb="FFFCFCFF"/>
        <color rgb="FFF8696B"/>
      </colorScale>
    </cfRule>
  </conditionalFormatting>
  <conditionalFormatting sqref="E153">
    <cfRule type="colorScale" priority="4303">
      <colorScale>
        <cfvo type="min"/>
        <cfvo type="percentile" val="50"/>
        <cfvo type="max"/>
        <color rgb="FFF8696B"/>
        <color rgb="FFFFEB84"/>
        <color rgb="FF63BE7B"/>
      </colorScale>
    </cfRule>
  </conditionalFormatting>
  <conditionalFormatting sqref="E153">
    <cfRule type="colorScale" priority="4302">
      <colorScale>
        <cfvo type="min"/>
        <cfvo type="percentile" val="50"/>
        <cfvo type="max"/>
        <color rgb="FF63BE7B"/>
        <color rgb="FFFFEB84"/>
        <color rgb="FFF8696B"/>
      </colorScale>
    </cfRule>
  </conditionalFormatting>
  <conditionalFormatting sqref="E153">
    <cfRule type="colorScale" priority="4299">
      <colorScale>
        <cfvo type="min"/>
        <cfvo type="max"/>
        <color rgb="FFFCFCFF"/>
        <color rgb="FFF8696B"/>
      </colorScale>
    </cfRule>
    <cfRule type="colorScale" priority="4301">
      <colorScale>
        <cfvo type="min"/>
        <cfvo type="percentile" val="50"/>
        <cfvo type="max"/>
        <color rgb="FF63BE7B"/>
        <color rgb="FFFFEB84"/>
        <color rgb="FFF8696B"/>
      </colorScale>
    </cfRule>
  </conditionalFormatting>
  <conditionalFormatting sqref="E153">
    <cfRule type="colorScale" priority="4300">
      <colorScale>
        <cfvo type="min"/>
        <cfvo type="max"/>
        <color rgb="FFF8696B"/>
        <color rgb="FFFCFCFF"/>
      </colorScale>
    </cfRule>
  </conditionalFormatting>
  <conditionalFormatting sqref="E153">
    <cfRule type="colorScale" priority="4298">
      <colorScale>
        <cfvo type="min"/>
        <cfvo type="percentile" val="50"/>
        <cfvo type="max"/>
        <color rgb="FFF8696B"/>
        <color rgb="FFFFEB84"/>
        <color rgb="FF63BE7B"/>
      </colorScale>
    </cfRule>
  </conditionalFormatting>
  <conditionalFormatting sqref="E153">
    <cfRule type="colorScale" priority="4297">
      <colorScale>
        <cfvo type="min"/>
        <cfvo type="max"/>
        <color rgb="FFFCFCFF"/>
        <color rgb="FFF8696B"/>
      </colorScale>
    </cfRule>
  </conditionalFormatting>
  <conditionalFormatting sqref="C196">
    <cfRule type="colorScale" priority="4296">
      <colorScale>
        <cfvo type="min"/>
        <cfvo type="percentile" val="50"/>
        <cfvo type="max"/>
        <color rgb="FFF8696B"/>
        <color rgb="FFFFEB84"/>
        <color rgb="FF63BE7B"/>
      </colorScale>
    </cfRule>
  </conditionalFormatting>
  <conditionalFormatting sqref="C196">
    <cfRule type="colorScale" priority="4295">
      <colorScale>
        <cfvo type="min"/>
        <cfvo type="percentile" val="50"/>
        <cfvo type="max"/>
        <color rgb="FF63BE7B"/>
        <color rgb="FFFFEB84"/>
        <color rgb="FFF8696B"/>
      </colorScale>
    </cfRule>
  </conditionalFormatting>
  <conditionalFormatting sqref="C196">
    <cfRule type="colorScale" priority="4292">
      <colorScale>
        <cfvo type="min"/>
        <cfvo type="max"/>
        <color rgb="FFFCFCFF"/>
        <color rgb="FFF8696B"/>
      </colorScale>
    </cfRule>
    <cfRule type="colorScale" priority="4294">
      <colorScale>
        <cfvo type="min"/>
        <cfvo type="percentile" val="50"/>
        <cfvo type="max"/>
        <color rgb="FF63BE7B"/>
        <color rgb="FFFFEB84"/>
        <color rgb="FFF8696B"/>
      </colorScale>
    </cfRule>
  </conditionalFormatting>
  <conditionalFormatting sqref="C196">
    <cfRule type="colorScale" priority="4293">
      <colorScale>
        <cfvo type="min"/>
        <cfvo type="max"/>
        <color rgb="FFF8696B"/>
        <color rgb="FFFCFCFF"/>
      </colorScale>
    </cfRule>
  </conditionalFormatting>
  <conditionalFormatting sqref="C196">
    <cfRule type="colorScale" priority="4291">
      <colorScale>
        <cfvo type="min"/>
        <cfvo type="percentile" val="50"/>
        <cfvo type="max"/>
        <color rgb="FFF8696B"/>
        <color rgb="FFFFEB84"/>
        <color rgb="FF63BE7B"/>
      </colorScale>
    </cfRule>
  </conditionalFormatting>
  <conditionalFormatting sqref="C196">
    <cfRule type="colorScale" priority="4290">
      <colorScale>
        <cfvo type="min"/>
        <cfvo type="max"/>
        <color rgb="FFFCFCFF"/>
        <color rgb="FFF8696B"/>
      </colorScale>
    </cfRule>
  </conditionalFormatting>
  <conditionalFormatting sqref="E196">
    <cfRule type="colorScale" priority="4289">
      <colorScale>
        <cfvo type="min"/>
        <cfvo type="percentile" val="50"/>
        <cfvo type="max"/>
        <color rgb="FFF8696B"/>
        <color rgb="FFFFEB84"/>
        <color rgb="FF63BE7B"/>
      </colorScale>
    </cfRule>
  </conditionalFormatting>
  <conditionalFormatting sqref="E196">
    <cfRule type="colorScale" priority="4288">
      <colorScale>
        <cfvo type="min"/>
        <cfvo type="percentile" val="50"/>
        <cfvo type="max"/>
        <color rgb="FF63BE7B"/>
        <color rgb="FFFFEB84"/>
        <color rgb="FFF8696B"/>
      </colorScale>
    </cfRule>
  </conditionalFormatting>
  <conditionalFormatting sqref="E196">
    <cfRule type="colorScale" priority="4285">
      <colorScale>
        <cfvo type="min"/>
        <cfvo type="max"/>
        <color rgb="FFFCFCFF"/>
        <color rgb="FFF8696B"/>
      </colorScale>
    </cfRule>
    <cfRule type="colorScale" priority="4287">
      <colorScale>
        <cfvo type="min"/>
        <cfvo type="percentile" val="50"/>
        <cfvo type="max"/>
        <color rgb="FF63BE7B"/>
        <color rgb="FFFFEB84"/>
        <color rgb="FFF8696B"/>
      </colorScale>
    </cfRule>
  </conditionalFormatting>
  <conditionalFormatting sqref="E196">
    <cfRule type="colorScale" priority="4286">
      <colorScale>
        <cfvo type="min"/>
        <cfvo type="max"/>
        <color rgb="FFF8696B"/>
        <color rgb="FFFCFCFF"/>
      </colorScale>
    </cfRule>
  </conditionalFormatting>
  <conditionalFormatting sqref="E196">
    <cfRule type="colorScale" priority="4284">
      <colorScale>
        <cfvo type="min"/>
        <cfvo type="percentile" val="50"/>
        <cfvo type="max"/>
        <color rgb="FFF8696B"/>
        <color rgb="FFFFEB84"/>
        <color rgb="FF63BE7B"/>
      </colorScale>
    </cfRule>
  </conditionalFormatting>
  <conditionalFormatting sqref="E196">
    <cfRule type="colorScale" priority="4283">
      <colorScale>
        <cfvo type="min"/>
        <cfvo type="max"/>
        <color rgb="FFFCFCFF"/>
        <color rgb="FFF8696B"/>
      </colorScale>
    </cfRule>
  </conditionalFormatting>
  <conditionalFormatting sqref="G196">
    <cfRule type="colorScale" priority="4282">
      <colorScale>
        <cfvo type="min"/>
        <cfvo type="percentile" val="50"/>
        <cfvo type="max"/>
        <color rgb="FFF8696B"/>
        <color rgb="FFFFEB84"/>
        <color rgb="FF63BE7B"/>
      </colorScale>
    </cfRule>
  </conditionalFormatting>
  <conditionalFormatting sqref="G196">
    <cfRule type="colorScale" priority="4281">
      <colorScale>
        <cfvo type="min"/>
        <cfvo type="percentile" val="50"/>
        <cfvo type="max"/>
        <color rgb="FF63BE7B"/>
        <color rgb="FFFFEB84"/>
        <color rgb="FFF8696B"/>
      </colorScale>
    </cfRule>
  </conditionalFormatting>
  <conditionalFormatting sqref="G196">
    <cfRule type="colorScale" priority="4278">
      <colorScale>
        <cfvo type="min"/>
        <cfvo type="max"/>
        <color rgb="FFFCFCFF"/>
        <color rgb="FFF8696B"/>
      </colorScale>
    </cfRule>
    <cfRule type="colorScale" priority="4280">
      <colorScale>
        <cfvo type="min"/>
        <cfvo type="percentile" val="50"/>
        <cfvo type="max"/>
        <color rgb="FF63BE7B"/>
        <color rgb="FFFFEB84"/>
        <color rgb="FFF8696B"/>
      </colorScale>
    </cfRule>
  </conditionalFormatting>
  <conditionalFormatting sqref="G196">
    <cfRule type="colorScale" priority="4279">
      <colorScale>
        <cfvo type="min"/>
        <cfvo type="max"/>
        <color rgb="FFF8696B"/>
        <color rgb="FFFCFCFF"/>
      </colorScale>
    </cfRule>
  </conditionalFormatting>
  <conditionalFormatting sqref="G196">
    <cfRule type="colorScale" priority="4277">
      <colorScale>
        <cfvo type="min"/>
        <cfvo type="percentile" val="50"/>
        <cfvo type="max"/>
        <color rgb="FFF8696B"/>
        <color rgb="FFFFEB84"/>
        <color rgb="FF63BE7B"/>
      </colorScale>
    </cfRule>
  </conditionalFormatting>
  <conditionalFormatting sqref="G196">
    <cfRule type="colorScale" priority="4276">
      <colorScale>
        <cfvo type="min"/>
        <cfvo type="max"/>
        <color rgb="FFFCFCFF"/>
        <color rgb="FFF8696B"/>
      </colorScale>
    </cfRule>
  </conditionalFormatting>
  <conditionalFormatting sqref="C239">
    <cfRule type="colorScale" priority="4275">
      <colorScale>
        <cfvo type="min"/>
        <cfvo type="percentile" val="50"/>
        <cfvo type="max"/>
        <color rgb="FFF8696B"/>
        <color rgb="FFFFEB84"/>
        <color rgb="FF63BE7B"/>
      </colorScale>
    </cfRule>
  </conditionalFormatting>
  <conditionalFormatting sqref="C239">
    <cfRule type="colorScale" priority="4274">
      <colorScale>
        <cfvo type="min"/>
        <cfvo type="percentile" val="50"/>
        <cfvo type="max"/>
        <color rgb="FF63BE7B"/>
        <color rgb="FFFFEB84"/>
        <color rgb="FFF8696B"/>
      </colorScale>
    </cfRule>
  </conditionalFormatting>
  <conditionalFormatting sqref="C239">
    <cfRule type="colorScale" priority="4271">
      <colorScale>
        <cfvo type="min"/>
        <cfvo type="max"/>
        <color rgb="FFFCFCFF"/>
        <color rgb="FFF8696B"/>
      </colorScale>
    </cfRule>
    <cfRule type="colorScale" priority="4273">
      <colorScale>
        <cfvo type="min"/>
        <cfvo type="percentile" val="50"/>
        <cfvo type="max"/>
        <color rgb="FF63BE7B"/>
        <color rgb="FFFFEB84"/>
        <color rgb="FFF8696B"/>
      </colorScale>
    </cfRule>
  </conditionalFormatting>
  <conditionalFormatting sqref="C239">
    <cfRule type="colorScale" priority="4272">
      <colorScale>
        <cfvo type="min"/>
        <cfvo type="max"/>
        <color rgb="FFF8696B"/>
        <color rgb="FFFCFCFF"/>
      </colorScale>
    </cfRule>
  </conditionalFormatting>
  <conditionalFormatting sqref="C239">
    <cfRule type="colorScale" priority="4270">
      <colorScale>
        <cfvo type="min"/>
        <cfvo type="percentile" val="50"/>
        <cfvo type="max"/>
        <color rgb="FFF8696B"/>
        <color rgb="FFFFEB84"/>
        <color rgb="FF63BE7B"/>
      </colorScale>
    </cfRule>
  </conditionalFormatting>
  <conditionalFormatting sqref="C239">
    <cfRule type="colorScale" priority="4269">
      <colorScale>
        <cfvo type="min"/>
        <cfvo type="max"/>
        <color rgb="FFFCFCFF"/>
        <color rgb="FFF8696B"/>
      </colorScale>
    </cfRule>
  </conditionalFormatting>
  <conditionalFormatting sqref="E239">
    <cfRule type="colorScale" priority="4268">
      <colorScale>
        <cfvo type="min"/>
        <cfvo type="percentile" val="50"/>
        <cfvo type="max"/>
        <color rgb="FFF8696B"/>
        <color rgb="FFFFEB84"/>
        <color rgb="FF63BE7B"/>
      </colorScale>
    </cfRule>
  </conditionalFormatting>
  <conditionalFormatting sqref="E239">
    <cfRule type="colorScale" priority="4267">
      <colorScale>
        <cfvo type="min"/>
        <cfvo type="percentile" val="50"/>
        <cfvo type="max"/>
        <color rgb="FF63BE7B"/>
        <color rgb="FFFFEB84"/>
        <color rgb="FFF8696B"/>
      </colorScale>
    </cfRule>
  </conditionalFormatting>
  <conditionalFormatting sqref="E239">
    <cfRule type="colorScale" priority="4264">
      <colorScale>
        <cfvo type="min"/>
        <cfvo type="max"/>
        <color rgb="FFFCFCFF"/>
        <color rgb="FFF8696B"/>
      </colorScale>
    </cfRule>
    <cfRule type="colorScale" priority="4266">
      <colorScale>
        <cfvo type="min"/>
        <cfvo type="percentile" val="50"/>
        <cfvo type="max"/>
        <color rgb="FF63BE7B"/>
        <color rgb="FFFFEB84"/>
        <color rgb="FFF8696B"/>
      </colorScale>
    </cfRule>
  </conditionalFormatting>
  <conditionalFormatting sqref="E239">
    <cfRule type="colorScale" priority="4265">
      <colorScale>
        <cfvo type="min"/>
        <cfvo type="max"/>
        <color rgb="FFF8696B"/>
        <color rgb="FFFCFCFF"/>
      </colorScale>
    </cfRule>
  </conditionalFormatting>
  <conditionalFormatting sqref="E239">
    <cfRule type="colorScale" priority="4263">
      <colorScale>
        <cfvo type="min"/>
        <cfvo type="percentile" val="50"/>
        <cfvo type="max"/>
        <color rgb="FFF8696B"/>
        <color rgb="FFFFEB84"/>
        <color rgb="FF63BE7B"/>
      </colorScale>
    </cfRule>
  </conditionalFormatting>
  <conditionalFormatting sqref="E239">
    <cfRule type="colorScale" priority="4262">
      <colorScale>
        <cfvo type="min"/>
        <cfvo type="max"/>
        <color rgb="FFFCFCFF"/>
        <color rgb="FFF8696B"/>
      </colorScale>
    </cfRule>
  </conditionalFormatting>
  <conditionalFormatting sqref="G239">
    <cfRule type="colorScale" priority="4261">
      <colorScale>
        <cfvo type="min"/>
        <cfvo type="percentile" val="50"/>
        <cfvo type="max"/>
        <color rgb="FFF8696B"/>
        <color rgb="FFFFEB84"/>
        <color rgb="FF63BE7B"/>
      </colorScale>
    </cfRule>
  </conditionalFormatting>
  <conditionalFormatting sqref="G239">
    <cfRule type="colorScale" priority="4260">
      <colorScale>
        <cfvo type="min"/>
        <cfvo type="percentile" val="50"/>
        <cfvo type="max"/>
        <color rgb="FF63BE7B"/>
        <color rgb="FFFFEB84"/>
        <color rgb="FFF8696B"/>
      </colorScale>
    </cfRule>
  </conditionalFormatting>
  <conditionalFormatting sqref="G239">
    <cfRule type="colorScale" priority="4257">
      <colorScale>
        <cfvo type="min"/>
        <cfvo type="max"/>
        <color rgb="FFFCFCFF"/>
        <color rgb="FFF8696B"/>
      </colorScale>
    </cfRule>
    <cfRule type="colorScale" priority="4259">
      <colorScale>
        <cfvo type="min"/>
        <cfvo type="percentile" val="50"/>
        <cfvo type="max"/>
        <color rgb="FF63BE7B"/>
        <color rgb="FFFFEB84"/>
        <color rgb="FFF8696B"/>
      </colorScale>
    </cfRule>
  </conditionalFormatting>
  <conditionalFormatting sqref="G239">
    <cfRule type="colorScale" priority="4258">
      <colorScale>
        <cfvo type="min"/>
        <cfvo type="max"/>
        <color rgb="FFF8696B"/>
        <color rgb="FFFCFCFF"/>
      </colorScale>
    </cfRule>
  </conditionalFormatting>
  <conditionalFormatting sqref="G239">
    <cfRule type="colorScale" priority="4256">
      <colorScale>
        <cfvo type="min"/>
        <cfvo type="percentile" val="50"/>
        <cfvo type="max"/>
        <color rgb="FFF8696B"/>
        <color rgb="FFFFEB84"/>
        <color rgb="FF63BE7B"/>
      </colorScale>
    </cfRule>
  </conditionalFormatting>
  <conditionalFormatting sqref="G239">
    <cfRule type="colorScale" priority="4255">
      <colorScale>
        <cfvo type="min"/>
        <cfvo type="max"/>
        <color rgb="FFFCFCFF"/>
        <color rgb="FFF8696B"/>
      </colorScale>
    </cfRule>
  </conditionalFormatting>
  <conditionalFormatting sqref="I239">
    <cfRule type="colorScale" priority="4254">
      <colorScale>
        <cfvo type="min"/>
        <cfvo type="percentile" val="50"/>
        <cfvo type="max"/>
        <color rgb="FFF8696B"/>
        <color rgb="FFFFEB84"/>
        <color rgb="FF63BE7B"/>
      </colorScale>
    </cfRule>
  </conditionalFormatting>
  <conditionalFormatting sqref="I239">
    <cfRule type="colorScale" priority="4253">
      <colorScale>
        <cfvo type="min"/>
        <cfvo type="percentile" val="50"/>
        <cfvo type="max"/>
        <color rgb="FF63BE7B"/>
        <color rgb="FFFFEB84"/>
        <color rgb="FFF8696B"/>
      </colorScale>
    </cfRule>
  </conditionalFormatting>
  <conditionalFormatting sqref="I239">
    <cfRule type="colorScale" priority="4250">
      <colorScale>
        <cfvo type="min"/>
        <cfvo type="max"/>
        <color rgb="FFFCFCFF"/>
        <color rgb="FFF8696B"/>
      </colorScale>
    </cfRule>
    <cfRule type="colorScale" priority="4252">
      <colorScale>
        <cfvo type="min"/>
        <cfvo type="percentile" val="50"/>
        <cfvo type="max"/>
        <color rgb="FF63BE7B"/>
        <color rgb="FFFFEB84"/>
        <color rgb="FFF8696B"/>
      </colorScale>
    </cfRule>
  </conditionalFormatting>
  <conditionalFormatting sqref="I239">
    <cfRule type="colorScale" priority="4251">
      <colorScale>
        <cfvo type="min"/>
        <cfvo type="max"/>
        <color rgb="FFF8696B"/>
        <color rgb="FFFCFCFF"/>
      </colorScale>
    </cfRule>
  </conditionalFormatting>
  <conditionalFormatting sqref="I239">
    <cfRule type="colorScale" priority="4249">
      <colorScale>
        <cfvo type="min"/>
        <cfvo type="percentile" val="50"/>
        <cfvo type="max"/>
        <color rgb="FFF8696B"/>
        <color rgb="FFFFEB84"/>
        <color rgb="FF63BE7B"/>
      </colorScale>
    </cfRule>
  </conditionalFormatting>
  <conditionalFormatting sqref="I239">
    <cfRule type="colorScale" priority="4248">
      <colorScale>
        <cfvo type="min"/>
        <cfvo type="max"/>
        <color rgb="FFFCFCFF"/>
        <color rgb="FFF8696B"/>
      </colorScale>
    </cfRule>
  </conditionalFormatting>
  <conditionalFormatting sqref="S67">
    <cfRule type="colorScale" priority="4247">
      <colorScale>
        <cfvo type="min"/>
        <cfvo type="percentile" val="50"/>
        <cfvo type="max"/>
        <color rgb="FFF8696B"/>
        <color rgb="FFFFEB84"/>
        <color rgb="FF63BE7B"/>
      </colorScale>
    </cfRule>
  </conditionalFormatting>
  <conditionalFormatting sqref="S67">
    <cfRule type="colorScale" priority="4246">
      <colorScale>
        <cfvo type="min"/>
        <cfvo type="percentile" val="50"/>
        <cfvo type="max"/>
        <color rgb="FF63BE7B"/>
        <color rgb="FFFFEB84"/>
        <color rgb="FFF8696B"/>
      </colorScale>
    </cfRule>
  </conditionalFormatting>
  <conditionalFormatting sqref="S67">
    <cfRule type="colorScale" priority="4243">
      <colorScale>
        <cfvo type="min"/>
        <cfvo type="max"/>
        <color rgb="FFFCFCFF"/>
        <color rgb="FFF8696B"/>
      </colorScale>
    </cfRule>
    <cfRule type="colorScale" priority="4245">
      <colorScale>
        <cfvo type="min"/>
        <cfvo type="percentile" val="50"/>
        <cfvo type="max"/>
        <color rgb="FF63BE7B"/>
        <color rgb="FFFFEB84"/>
        <color rgb="FFF8696B"/>
      </colorScale>
    </cfRule>
  </conditionalFormatting>
  <conditionalFormatting sqref="S67">
    <cfRule type="colorScale" priority="4244">
      <colorScale>
        <cfvo type="min"/>
        <cfvo type="max"/>
        <color rgb="FFF8696B"/>
        <color rgb="FFFCFCFF"/>
      </colorScale>
    </cfRule>
  </conditionalFormatting>
  <conditionalFormatting sqref="S67">
    <cfRule type="colorScale" priority="4242">
      <colorScale>
        <cfvo type="min"/>
        <cfvo type="percentile" val="50"/>
        <cfvo type="max"/>
        <color rgb="FFF8696B"/>
        <color rgb="FFFFEB84"/>
        <color rgb="FF63BE7B"/>
      </colorScale>
    </cfRule>
  </conditionalFormatting>
  <conditionalFormatting sqref="S67">
    <cfRule type="colorScale" priority="4241">
      <colorScale>
        <cfvo type="min"/>
        <cfvo type="max"/>
        <color rgb="FFFCFCFF"/>
        <color rgb="FFF8696B"/>
      </colorScale>
    </cfRule>
  </conditionalFormatting>
  <conditionalFormatting sqref="U67">
    <cfRule type="colorScale" priority="4240">
      <colorScale>
        <cfvo type="min"/>
        <cfvo type="percentile" val="50"/>
        <cfvo type="max"/>
        <color rgb="FFF8696B"/>
        <color rgb="FFFFEB84"/>
        <color rgb="FF63BE7B"/>
      </colorScale>
    </cfRule>
  </conditionalFormatting>
  <conditionalFormatting sqref="U67">
    <cfRule type="colorScale" priority="4239">
      <colorScale>
        <cfvo type="min"/>
        <cfvo type="percentile" val="50"/>
        <cfvo type="max"/>
        <color rgb="FF63BE7B"/>
        <color rgb="FFFFEB84"/>
        <color rgb="FFF8696B"/>
      </colorScale>
    </cfRule>
  </conditionalFormatting>
  <conditionalFormatting sqref="U67">
    <cfRule type="colorScale" priority="4236">
      <colorScale>
        <cfvo type="min"/>
        <cfvo type="max"/>
        <color rgb="FFFCFCFF"/>
        <color rgb="FFF8696B"/>
      </colorScale>
    </cfRule>
    <cfRule type="colorScale" priority="4238">
      <colorScale>
        <cfvo type="min"/>
        <cfvo type="percentile" val="50"/>
        <cfvo type="max"/>
        <color rgb="FF63BE7B"/>
        <color rgb="FFFFEB84"/>
        <color rgb="FFF8696B"/>
      </colorScale>
    </cfRule>
  </conditionalFormatting>
  <conditionalFormatting sqref="U67">
    <cfRule type="colorScale" priority="4237">
      <colorScale>
        <cfvo type="min"/>
        <cfvo type="max"/>
        <color rgb="FFF8696B"/>
        <color rgb="FFFCFCFF"/>
      </colorScale>
    </cfRule>
  </conditionalFormatting>
  <conditionalFormatting sqref="U67">
    <cfRule type="colorScale" priority="4235">
      <colorScale>
        <cfvo type="min"/>
        <cfvo type="percentile" val="50"/>
        <cfvo type="max"/>
        <color rgb="FFF8696B"/>
        <color rgb="FFFFEB84"/>
        <color rgb="FF63BE7B"/>
      </colorScale>
    </cfRule>
  </conditionalFormatting>
  <conditionalFormatting sqref="U67">
    <cfRule type="colorScale" priority="4234">
      <colorScale>
        <cfvo type="min"/>
        <cfvo type="max"/>
        <color rgb="FFFCFCFF"/>
        <color rgb="FFF8696B"/>
      </colorScale>
    </cfRule>
  </conditionalFormatting>
  <conditionalFormatting sqref="S110">
    <cfRule type="colorScale" priority="4233">
      <colorScale>
        <cfvo type="min"/>
        <cfvo type="percentile" val="50"/>
        <cfvo type="max"/>
        <color rgb="FFF8696B"/>
        <color rgb="FFFFEB84"/>
        <color rgb="FF63BE7B"/>
      </colorScale>
    </cfRule>
  </conditionalFormatting>
  <conditionalFormatting sqref="S110">
    <cfRule type="colorScale" priority="4232">
      <colorScale>
        <cfvo type="min"/>
        <cfvo type="percentile" val="50"/>
        <cfvo type="max"/>
        <color rgb="FF63BE7B"/>
        <color rgb="FFFFEB84"/>
        <color rgb="FFF8696B"/>
      </colorScale>
    </cfRule>
  </conditionalFormatting>
  <conditionalFormatting sqref="S110">
    <cfRule type="colorScale" priority="4229">
      <colorScale>
        <cfvo type="min"/>
        <cfvo type="max"/>
        <color rgb="FFFCFCFF"/>
        <color rgb="FFF8696B"/>
      </colorScale>
    </cfRule>
    <cfRule type="colorScale" priority="4231">
      <colorScale>
        <cfvo type="min"/>
        <cfvo type="percentile" val="50"/>
        <cfvo type="max"/>
        <color rgb="FF63BE7B"/>
        <color rgb="FFFFEB84"/>
        <color rgb="FFF8696B"/>
      </colorScale>
    </cfRule>
  </conditionalFormatting>
  <conditionalFormatting sqref="S110">
    <cfRule type="colorScale" priority="4230">
      <colorScale>
        <cfvo type="min"/>
        <cfvo type="max"/>
        <color rgb="FFF8696B"/>
        <color rgb="FFFCFCFF"/>
      </colorScale>
    </cfRule>
  </conditionalFormatting>
  <conditionalFormatting sqref="S110">
    <cfRule type="colorScale" priority="4228">
      <colorScale>
        <cfvo type="min"/>
        <cfvo type="percentile" val="50"/>
        <cfvo type="max"/>
        <color rgb="FFF8696B"/>
        <color rgb="FFFFEB84"/>
        <color rgb="FF63BE7B"/>
      </colorScale>
    </cfRule>
  </conditionalFormatting>
  <conditionalFormatting sqref="S110">
    <cfRule type="colorScale" priority="4227">
      <colorScale>
        <cfvo type="min"/>
        <cfvo type="max"/>
        <color rgb="FFFCFCFF"/>
        <color rgb="FFF8696B"/>
      </colorScale>
    </cfRule>
  </conditionalFormatting>
  <conditionalFormatting sqref="U110">
    <cfRule type="colorScale" priority="4226">
      <colorScale>
        <cfvo type="min"/>
        <cfvo type="percentile" val="50"/>
        <cfvo type="max"/>
        <color rgb="FFF8696B"/>
        <color rgb="FFFFEB84"/>
        <color rgb="FF63BE7B"/>
      </colorScale>
    </cfRule>
  </conditionalFormatting>
  <conditionalFormatting sqref="U110">
    <cfRule type="colorScale" priority="4225">
      <colorScale>
        <cfvo type="min"/>
        <cfvo type="percentile" val="50"/>
        <cfvo type="max"/>
        <color rgb="FF63BE7B"/>
        <color rgb="FFFFEB84"/>
        <color rgb="FFF8696B"/>
      </colorScale>
    </cfRule>
  </conditionalFormatting>
  <conditionalFormatting sqref="U110">
    <cfRule type="colorScale" priority="4222">
      <colorScale>
        <cfvo type="min"/>
        <cfvo type="max"/>
        <color rgb="FFFCFCFF"/>
        <color rgb="FFF8696B"/>
      </colorScale>
    </cfRule>
    <cfRule type="colorScale" priority="4224">
      <colorScale>
        <cfvo type="min"/>
        <cfvo type="percentile" val="50"/>
        <cfvo type="max"/>
        <color rgb="FF63BE7B"/>
        <color rgb="FFFFEB84"/>
        <color rgb="FFF8696B"/>
      </colorScale>
    </cfRule>
  </conditionalFormatting>
  <conditionalFormatting sqref="U110">
    <cfRule type="colorScale" priority="4223">
      <colorScale>
        <cfvo type="min"/>
        <cfvo type="max"/>
        <color rgb="FFF8696B"/>
        <color rgb="FFFCFCFF"/>
      </colorScale>
    </cfRule>
  </conditionalFormatting>
  <conditionalFormatting sqref="U110">
    <cfRule type="colorScale" priority="4221">
      <colorScale>
        <cfvo type="min"/>
        <cfvo type="percentile" val="50"/>
        <cfvo type="max"/>
        <color rgb="FFF8696B"/>
        <color rgb="FFFFEB84"/>
        <color rgb="FF63BE7B"/>
      </colorScale>
    </cfRule>
  </conditionalFormatting>
  <conditionalFormatting sqref="U110">
    <cfRule type="colorScale" priority="4220">
      <colorScale>
        <cfvo type="min"/>
        <cfvo type="max"/>
        <color rgb="FFFCFCFF"/>
        <color rgb="FFF8696B"/>
      </colorScale>
    </cfRule>
  </conditionalFormatting>
  <conditionalFormatting sqref="W110">
    <cfRule type="colorScale" priority="4219">
      <colorScale>
        <cfvo type="min"/>
        <cfvo type="percentile" val="50"/>
        <cfvo type="max"/>
        <color rgb="FFF8696B"/>
        <color rgb="FFFFEB84"/>
        <color rgb="FF63BE7B"/>
      </colorScale>
    </cfRule>
  </conditionalFormatting>
  <conditionalFormatting sqref="W110">
    <cfRule type="colorScale" priority="4218">
      <colorScale>
        <cfvo type="min"/>
        <cfvo type="percentile" val="50"/>
        <cfvo type="max"/>
        <color rgb="FF63BE7B"/>
        <color rgb="FFFFEB84"/>
        <color rgb="FFF8696B"/>
      </colorScale>
    </cfRule>
  </conditionalFormatting>
  <conditionalFormatting sqref="W110">
    <cfRule type="colorScale" priority="4215">
      <colorScale>
        <cfvo type="min"/>
        <cfvo type="max"/>
        <color rgb="FFFCFCFF"/>
        <color rgb="FFF8696B"/>
      </colorScale>
    </cfRule>
    <cfRule type="colorScale" priority="4217">
      <colorScale>
        <cfvo type="min"/>
        <cfvo type="percentile" val="50"/>
        <cfvo type="max"/>
        <color rgb="FF63BE7B"/>
        <color rgb="FFFFEB84"/>
        <color rgb="FFF8696B"/>
      </colorScale>
    </cfRule>
  </conditionalFormatting>
  <conditionalFormatting sqref="W110">
    <cfRule type="colorScale" priority="4216">
      <colorScale>
        <cfvo type="min"/>
        <cfvo type="max"/>
        <color rgb="FFF8696B"/>
        <color rgb="FFFCFCFF"/>
      </colorScale>
    </cfRule>
  </conditionalFormatting>
  <conditionalFormatting sqref="W110">
    <cfRule type="colorScale" priority="4214">
      <colorScale>
        <cfvo type="min"/>
        <cfvo type="percentile" val="50"/>
        <cfvo type="max"/>
        <color rgb="FFF8696B"/>
        <color rgb="FFFFEB84"/>
        <color rgb="FF63BE7B"/>
      </colorScale>
    </cfRule>
  </conditionalFormatting>
  <conditionalFormatting sqref="W110">
    <cfRule type="colorScale" priority="4213">
      <colorScale>
        <cfvo type="min"/>
        <cfvo type="max"/>
        <color rgb="FFFCFCFF"/>
        <color rgb="FFF8696B"/>
      </colorScale>
    </cfRule>
  </conditionalFormatting>
  <conditionalFormatting sqref="S153">
    <cfRule type="colorScale" priority="4212">
      <colorScale>
        <cfvo type="min"/>
        <cfvo type="percentile" val="50"/>
        <cfvo type="max"/>
        <color rgb="FFF8696B"/>
        <color rgb="FFFFEB84"/>
        <color rgb="FF63BE7B"/>
      </colorScale>
    </cfRule>
  </conditionalFormatting>
  <conditionalFormatting sqref="S153">
    <cfRule type="colorScale" priority="4211">
      <colorScale>
        <cfvo type="min"/>
        <cfvo type="percentile" val="50"/>
        <cfvo type="max"/>
        <color rgb="FF63BE7B"/>
        <color rgb="FFFFEB84"/>
        <color rgb="FFF8696B"/>
      </colorScale>
    </cfRule>
  </conditionalFormatting>
  <conditionalFormatting sqref="S153">
    <cfRule type="colorScale" priority="4208">
      <colorScale>
        <cfvo type="min"/>
        <cfvo type="max"/>
        <color rgb="FFFCFCFF"/>
        <color rgb="FFF8696B"/>
      </colorScale>
    </cfRule>
    <cfRule type="colorScale" priority="4210">
      <colorScale>
        <cfvo type="min"/>
        <cfvo type="percentile" val="50"/>
        <cfvo type="max"/>
        <color rgb="FF63BE7B"/>
        <color rgb="FFFFEB84"/>
        <color rgb="FFF8696B"/>
      </colorScale>
    </cfRule>
  </conditionalFormatting>
  <conditionalFormatting sqref="S153">
    <cfRule type="colorScale" priority="4209">
      <colorScale>
        <cfvo type="min"/>
        <cfvo type="max"/>
        <color rgb="FFF8696B"/>
        <color rgb="FFFCFCFF"/>
      </colorScale>
    </cfRule>
  </conditionalFormatting>
  <conditionalFormatting sqref="S153">
    <cfRule type="colorScale" priority="4207">
      <colorScale>
        <cfvo type="min"/>
        <cfvo type="percentile" val="50"/>
        <cfvo type="max"/>
        <color rgb="FFF8696B"/>
        <color rgb="FFFFEB84"/>
        <color rgb="FF63BE7B"/>
      </colorScale>
    </cfRule>
  </conditionalFormatting>
  <conditionalFormatting sqref="S153">
    <cfRule type="colorScale" priority="4206">
      <colorScale>
        <cfvo type="min"/>
        <cfvo type="max"/>
        <color rgb="FFFCFCFF"/>
        <color rgb="FFF8696B"/>
      </colorScale>
    </cfRule>
  </conditionalFormatting>
  <conditionalFormatting sqref="U153">
    <cfRule type="colorScale" priority="4205">
      <colorScale>
        <cfvo type="min"/>
        <cfvo type="percentile" val="50"/>
        <cfvo type="max"/>
        <color rgb="FFF8696B"/>
        <color rgb="FFFFEB84"/>
        <color rgb="FF63BE7B"/>
      </colorScale>
    </cfRule>
  </conditionalFormatting>
  <conditionalFormatting sqref="U153">
    <cfRule type="colorScale" priority="4204">
      <colorScale>
        <cfvo type="min"/>
        <cfvo type="percentile" val="50"/>
        <cfvo type="max"/>
        <color rgb="FF63BE7B"/>
        <color rgb="FFFFEB84"/>
        <color rgb="FFF8696B"/>
      </colorScale>
    </cfRule>
  </conditionalFormatting>
  <conditionalFormatting sqref="U153">
    <cfRule type="colorScale" priority="4201">
      <colorScale>
        <cfvo type="min"/>
        <cfvo type="max"/>
        <color rgb="FFFCFCFF"/>
        <color rgb="FFF8696B"/>
      </colorScale>
    </cfRule>
    <cfRule type="colorScale" priority="4203">
      <colorScale>
        <cfvo type="min"/>
        <cfvo type="percentile" val="50"/>
        <cfvo type="max"/>
        <color rgb="FF63BE7B"/>
        <color rgb="FFFFEB84"/>
        <color rgb="FFF8696B"/>
      </colorScale>
    </cfRule>
  </conditionalFormatting>
  <conditionalFormatting sqref="U153">
    <cfRule type="colorScale" priority="4202">
      <colorScale>
        <cfvo type="min"/>
        <cfvo type="max"/>
        <color rgb="FFF8696B"/>
        <color rgb="FFFCFCFF"/>
      </colorScale>
    </cfRule>
  </conditionalFormatting>
  <conditionalFormatting sqref="U153">
    <cfRule type="colorScale" priority="4200">
      <colorScale>
        <cfvo type="min"/>
        <cfvo type="percentile" val="50"/>
        <cfvo type="max"/>
        <color rgb="FFF8696B"/>
        <color rgb="FFFFEB84"/>
        <color rgb="FF63BE7B"/>
      </colorScale>
    </cfRule>
  </conditionalFormatting>
  <conditionalFormatting sqref="U153">
    <cfRule type="colorScale" priority="4199">
      <colorScale>
        <cfvo type="min"/>
        <cfvo type="max"/>
        <color rgb="FFFCFCFF"/>
        <color rgb="FFF8696B"/>
      </colorScale>
    </cfRule>
  </conditionalFormatting>
  <conditionalFormatting sqref="W153">
    <cfRule type="colorScale" priority="4198">
      <colorScale>
        <cfvo type="min"/>
        <cfvo type="percentile" val="50"/>
        <cfvo type="max"/>
        <color rgb="FFF8696B"/>
        <color rgb="FFFFEB84"/>
        <color rgb="FF63BE7B"/>
      </colorScale>
    </cfRule>
  </conditionalFormatting>
  <conditionalFormatting sqref="W153">
    <cfRule type="colorScale" priority="4197">
      <colorScale>
        <cfvo type="min"/>
        <cfvo type="percentile" val="50"/>
        <cfvo type="max"/>
        <color rgb="FF63BE7B"/>
        <color rgb="FFFFEB84"/>
        <color rgb="FFF8696B"/>
      </colorScale>
    </cfRule>
  </conditionalFormatting>
  <conditionalFormatting sqref="W153">
    <cfRule type="colorScale" priority="4194">
      <colorScale>
        <cfvo type="min"/>
        <cfvo type="max"/>
        <color rgb="FFFCFCFF"/>
        <color rgb="FFF8696B"/>
      </colorScale>
    </cfRule>
    <cfRule type="colorScale" priority="4196">
      <colorScale>
        <cfvo type="min"/>
        <cfvo type="percentile" val="50"/>
        <cfvo type="max"/>
        <color rgb="FF63BE7B"/>
        <color rgb="FFFFEB84"/>
        <color rgb="FFF8696B"/>
      </colorScale>
    </cfRule>
  </conditionalFormatting>
  <conditionalFormatting sqref="W153">
    <cfRule type="colorScale" priority="4195">
      <colorScale>
        <cfvo type="min"/>
        <cfvo type="max"/>
        <color rgb="FFF8696B"/>
        <color rgb="FFFCFCFF"/>
      </colorScale>
    </cfRule>
  </conditionalFormatting>
  <conditionalFormatting sqref="W153">
    <cfRule type="colorScale" priority="4193">
      <colorScale>
        <cfvo type="min"/>
        <cfvo type="percentile" val="50"/>
        <cfvo type="max"/>
        <color rgb="FFF8696B"/>
        <color rgb="FFFFEB84"/>
        <color rgb="FF63BE7B"/>
      </colorScale>
    </cfRule>
  </conditionalFormatting>
  <conditionalFormatting sqref="W153">
    <cfRule type="colorScale" priority="4192">
      <colorScale>
        <cfvo type="min"/>
        <cfvo type="max"/>
        <color rgb="FFFCFCFF"/>
        <color rgb="FFF8696B"/>
      </colorScale>
    </cfRule>
  </conditionalFormatting>
  <conditionalFormatting sqref="S196">
    <cfRule type="colorScale" priority="4191">
      <colorScale>
        <cfvo type="min"/>
        <cfvo type="percentile" val="50"/>
        <cfvo type="max"/>
        <color rgb="FFF8696B"/>
        <color rgb="FFFFEB84"/>
        <color rgb="FF63BE7B"/>
      </colorScale>
    </cfRule>
  </conditionalFormatting>
  <conditionalFormatting sqref="S196">
    <cfRule type="colorScale" priority="4190">
      <colorScale>
        <cfvo type="min"/>
        <cfvo type="percentile" val="50"/>
        <cfvo type="max"/>
        <color rgb="FF63BE7B"/>
        <color rgb="FFFFEB84"/>
        <color rgb="FFF8696B"/>
      </colorScale>
    </cfRule>
  </conditionalFormatting>
  <conditionalFormatting sqref="S196">
    <cfRule type="colorScale" priority="4187">
      <colorScale>
        <cfvo type="min"/>
        <cfvo type="max"/>
        <color rgb="FFFCFCFF"/>
        <color rgb="FFF8696B"/>
      </colorScale>
    </cfRule>
    <cfRule type="colorScale" priority="4189">
      <colorScale>
        <cfvo type="min"/>
        <cfvo type="percentile" val="50"/>
        <cfvo type="max"/>
        <color rgb="FF63BE7B"/>
        <color rgb="FFFFEB84"/>
        <color rgb="FFF8696B"/>
      </colorScale>
    </cfRule>
  </conditionalFormatting>
  <conditionalFormatting sqref="S196">
    <cfRule type="colorScale" priority="4188">
      <colorScale>
        <cfvo type="min"/>
        <cfvo type="max"/>
        <color rgb="FFF8696B"/>
        <color rgb="FFFCFCFF"/>
      </colorScale>
    </cfRule>
  </conditionalFormatting>
  <conditionalFormatting sqref="S196">
    <cfRule type="colorScale" priority="4186">
      <colorScale>
        <cfvo type="min"/>
        <cfvo type="percentile" val="50"/>
        <cfvo type="max"/>
        <color rgb="FFF8696B"/>
        <color rgb="FFFFEB84"/>
        <color rgb="FF63BE7B"/>
      </colorScale>
    </cfRule>
  </conditionalFormatting>
  <conditionalFormatting sqref="S196">
    <cfRule type="colorScale" priority="4185">
      <colorScale>
        <cfvo type="min"/>
        <cfvo type="max"/>
        <color rgb="FFFCFCFF"/>
        <color rgb="FFF8696B"/>
      </colorScale>
    </cfRule>
  </conditionalFormatting>
  <conditionalFormatting sqref="U196">
    <cfRule type="colorScale" priority="4184">
      <colorScale>
        <cfvo type="min"/>
        <cfvo type="percentile" val="50"/>
        <cfvo type="max"/>
        <color rgb="FFF8696B"/>
        <color rgb="FFFFEB84"/>
        <color rgb="FF63BE7B"/>
      </colorScale>
    </cfRule>
  </conditionalFormatting>
  <conditionalFormatting sqref="U196">
    <cfRule type="colorScale" priority="4183">
      <colorScale>
        <cfvo type="min"/>
        <cfvo type="percentile" val="50"/>
        <cfvo type="max"/>
        <color rgb="FF63BE7B"/>
        <color rgb="FFFFEB84"/>
        <color rgb="FFF8696B"/>
      </colorScale>
    </cfRule>
  </conditionalFormatting>
  <conditionalFormatting sqref="U196">
    <cfRule type="colorScale" priority="4180">
      <colorScale>
        <cfvo type="min"/>
        <cfvo type="max"/>
        <color rgb="FFFCFCFF"/>
        <color rgb="FFF8696B"/>
      </colorScale>
    </cfRule>
    <cfRule type="colorScale" priority="4182">
      <colorScale>
        <cfvo type="min"/>
        <cfvo type="percentile" val="50"/>
        <cfvo type="max"/>
        <color rgb="FF63BE7B"/>
        <color rgb="FFFFEB84"/>
        <color rgb="FFF8696B"/>
      </colorScale>
    </cfRule>
  </conditionalFormatting>
  <conditionalFormatting sqref="U196">
    <cfRule type="colorScale" priority="4181">
      <colorScale>
        <cfvo type="min"/>
        <cfvo type="max"/>
        <color rgb="FFF8696B"/>
        <color rgb="FFFCFCFF"/>
      </colorScale>
    </cfRule>
  </conditionalFormatting>
  <conditionalFormatting sqref="U196">
    <cfRule type="colorScale" priority="4179">
      <colorScale>
        <cfvo type="min"/>
        <cfvo type="percentile" val="50"/>
        <cfvo type="max"/>
        <color rgb="FFF8696B"/>
        <color rgb="FFFFEB84"/>
        <color rgb="FF63BE7B"/>
      </colorScale>
    </cfRule>
  </conditionalFormatting>
  <conditionalFormatting sqref="U196">
    <cfRule type="colorScale" priority="4178">
      <colorScale>
        <cfvo type="min"/>
        <cfvo type="max"/>
        <color rgb="FFFCFCFF"/>
        <color rgb="FFF8696B"/>
      </colorScale>
    </cfRule>
  </conditionalFormatting>
  <conditionalFormatting sqref="W196">
    <cfRule type="colorScale" priority="4177">
      <colorScale>
        <cfvo type="min"/>
        <cfvo type="percentile" val="50"/>
        <cfvo type="max"/>
        <color rgb="FFF8696B"/>
        <color rgb="FFFFEB84"/>
        <color rgb="FF63BE7B"/>
      </colorScale>
    </cfRule>
  </conditionalFormatting>
  <conditionalFormatting sqref="W196">
    <cfRule type="colorScale" priority="4176">
      <colorScale>
        <cfvo type="min"/>
        <cfvo type="percentile" val="50"/>
        <cfvo type="max"/>
        <color rgb="FF63BE7B"/>
        <color rgb="FFFFEB84"/>
        <color rgb="FFF8696B"/>
      </colorScale>
    </cfRule>
  </conditionalFormatting>
  <conditionalFormatting sqref="W196">
    <cfRule type="colorScale" priority="4173">
      <colorScale>
        <cfvo type="min"/>
        <cfvo type="max"/>
        <color rgb="FFFCFCFF"/>
        <color rgb="FFF8696B"/>
      </colorScale>
    </cfRule>
    <cfRule type="colorScale" priority="4175">
      <colorScale>
        <cfvo type="min"/>
        <cfvo type="percentile" val="50"/>
        <cfvo type="max"/>
        <color rgb="FF63BE7B"/>
        <color rgb="FFFFEB84"/>
        <color rgb="FFF8696B"/>
      </colorScale>
    </cfRule>
  </conditionalFormatting>
  <conditionalFormatting sqref="W196">
    <cfRule type="colorScale" priority="4174">
      <colorScale>
        <cfvo type="min"/>
        <cfvo type="max"/>
        <color rgb="FFF8696B"/>
        <color rgb="FFFCFCFF"/>
      </colorScale>
    </cfRule>
  </conditionalFormatting>
  <conditionalFormatting sqref="W196">
    <cfRule type="colorScale" priority="4172">
      <colorScale>
        <cfvo type="min"/>
        <cfvo type="percentile" val="50"/>
        <cfvo type="max"/>
        <color rgb="FFF8696B"/>
        <color rgb="FFFFEB84"/>
        <color rgb="FF63BE7B"/>
      </colorScale>
    </cfRule>
  </conditionalFormatting>
  <conditionalFormatting sqref="W196">
    <cfRule type="colorScale" priority="4171">
      <colorScale>
        <cfvo type="min"/>
        <cfvo type="max"/>
        <color rgb="FFFCFCFF"/>
        <color rgb="FFF8696B"/>
      </colorScale>
    </cfRule>
  </conditionalFormatting>
  <conditionalFormatting sqref="Y196">
    <cfRule type="colorScale" priority="4170">
      <colorScale>
        <cfvo type="min"/>
        <cfvo type="percentile" val="50"/>
        <cfvo type="max"/>
        <color rgb="FFF8696B"/>
        <color rgb="FFFFEB84"/>
        <color rgb="FF63BE7B"/>
      </colorScale>
    </cfRule>
  </conditionalFormatting>
  <conditionalFormatting sqref="Y196">
    <cfRule type="colorScale" priority="4169">
      <colorScale>
        <cfvo type="min"/>
        <cfvo type="percentile" val="50"/>
        <cfvo type="max"/>
        <color rgb="FF63BE7B"/>
        <color rgb="FFFFEB84"/>
        <color rgb="FFF8696B"/>
      </colorScale>
    </cfRule>
  </conditionalFormatting>
  <conditionalFormatting sqref="Y196">
    <cfRule type="colorScale" priority="4166">
      <colorScale>
        <cfvo type="min"/>
        <cfvo type="max"/>
        <color rgb="FFFCFCFF"/>
        <color rgb="FFF8696B"/>
      </colorScale>
    </cfRule>
    <cfRule type="colorScale" priority="4168">
      <colorScale>
        <cfvo type="min"/>
        <cfvo type="percentile" val="50"/>
        <cfvo type="max"/>
        <color rgb="FF63BE7B"/>
        <color rgb="FFFFEB84"/>
        <color rgb="FFF8696B"/>
      </colorScale>
    </cfRule>
  </conditionalFormatting>
  <conditionalFormatting sqref="Y196">
    <cfRule type="colorScale" priority="4167">
      <colorScale>
        <cfvo type="min"/>
        <cfvo type="max"/>
        <color rgb="FFF8696B"/>
        <color rgb="FFFCFCFF"/>
      </colorScale>
    </cfRule>
  </conditionalFormatting>
  <conditionalFormatting sqref="Y196">
    <cfRule type="colorScale" priority="4165">
      <colorScale>
        <cfvo type="min"/>
        <cfvo type="percentile" val="50"/>
        <cfvo type="max"/>
        <color rgb="FFF8696B"/>
        <color rgb="FFFFEB84"/>
        <color rgb="FF63BE7B"/>
      </colorScale>
    </cfRule>
  </conditionalFormatting>
  <conditionalFormatting sqref="Y196">
    <cfRule type="colorScale" priority="4164">
      <colorScale>
        <cfvo type="min"/>
        <cfvo type="max"/>
        <color rgb="FFFCFCFF"/>
        <color rgb="FFF8696B"/>
      </colorScale>
    </cfRule>
  </conditionalFormatting>
  <conditionalFormatting sqref="S239">
    <cfRule type="colorScale" priority="4163">
      <colorScale>
        <cfvo type="min"/>
        <cfvo type="percentile" val="50"/>
        <cfvo type="max"/>
        <color rgb="FFF8696B"/>
        <color rgb="FFFFEB84"/>
        <color rgb="FF63BE7B"/>
      </colorScale>
    </cfRule>
  </conditionalFormatting>
  <conditionalFormatting sqref="S239">
    <cfRule type="colorScale" priority="4162">
      <colorScale>
        <cfvo type="min"/>
        <cfvo type="percentile" val="50"/>
        <cfvo type="max"/>
        <color rgb="FF63BE7B"/>
        <color rgb="FFFFEB84"/>
        <color rgb="FFF8696B"/>
      </colorScale>
    </cfRule>
  </conditionalFormatting>
  <conditionalFormatting sqref="S239">
    <cfRule type="colorScale" priority="4159">
      <colorScale>
        <cfvo type="min"/>
        <cfvo type="max"/>
        <color rgb="FFFCFCFF"/>
        <color rgb="FFF8696B"/>
      </colorScale>
    </cfRule>
    <cfRule type="colorScale" priority="4161">
      <colorScale>
        <cfvo type="min"/>
        <cfvo type="percentile" val="50"/>
        <cfvo type="max"/>
        <color rgb="FF63BE7B"/>
        <color rgb="FFFFEB84"/>
        <color rgb="FFF8696B"/>
      </colorScale>
    </cfRule>
  </conditionalFormatting>
  <conditionalFormatting sqref="S239">
    <cfRule type="colorScale" priority="4160">
      <colorScale>
        <cfvo type="min"/>
        <cfvo type="max"/>
        <color rgb="FFF8696B"/>
        <color rgb="FFFCFCFF"/>
      </colorScale>
    </cfRule>
  </conditionalFormatting>
  <conditionalFormatting sqref="S239">
    <cfRule type="colorScale" priority="4158">
      <colorScale>
        <cfvo type="min"/>
        <cfvo type="percentile" val="50"/>
        <cfvo type="max"/>
        <color rgb="FFF8696B"/>
        <color rgb="FFFFEB84"/>
        <color rgb="FF63BE7B"/>
      </colorScale>
    </cfRule>
  </conditionalFormatting>
  <conditionalFormatting sqref="S239">
    <cfRule type="colorScale" priority="4157">
      <colorScale>
        <cfvo type="min"/>
        <cfvo type="max"/>
        <color rgb="FFFCFCFF"/>
        <color rgb="FFF8696B"/>
      </colorScale>
    </cfRule>
  </conditionalFormatting>
  <conditionalFormatting sqref="AC239">
    <cfRule type="colorScale" priority="4156">
      <colorScale>
        <cfvo type="min"/>
        <cfvo type="percentile" val="50"/>
        <cfvo type="max"/>
        <color rgb="FFF8696B"/>
        <color rgb="FFFFEB84"/>
        <color rgb="FF63BE7B"/>
      </colorScale>
    </cfRule>
  </conditionalFormatting>
  <conditionalFormatting sqref="AC239">
    <cfRule type="colorScale" priority="4155">
      <colorScale>
        <cfvo type="min"/>
        <cfvo type="percentile" val="50"/>
        <cfvo type="max"/>
        <color rgb="FF63BE7B"/>
        <color rgb="FFFFEB84"/>
        <color rgb="FFF8696B"/>
      </colorScale>
    </cfRule>
  </conditionalFormatting>
  <conditionalFormatting sqref="AC239">
    <cfRule type="colorScale" priority="4152">
      <colorScale>
        <cfvo type="min"/>
        <cfvo type="max"/>
        <color rgb="FFFCFCFF"/>
        <color rgb="FFF8696B"/>
      </colorScale>
    </cfRule>
    <cfRule type="colorScale" priority="4154">
      <colorScale>
        <cfvo type="min"/>
        <cfvo type="percentile" val="50"/>
        <cfvo type="max"/>
        <color rgb="FF63BE7B"/>
        <color rgb="FFFFEB84"/>
        <color rgb="FFF8696B"/>
      </colorScale>
    </cfRule>
  </conditionalFormatting>
  <conditionalFormatting sqref="AC239">
    <cfRule type="colorScale" priority="4153">
      <colorScale>
        <cfvo type="min"/>
        <cfvo type="max"/>
        <color rgb="FFF8696B"/>
        <color rgb="FFFCFCFF"/>
      </colorScale>
    </cfRule>
  </conditionalFormatting>
  <conditionalFormatting sqref="AC239">
    <cfRule type="colorScale" priority="4151">
      <colorScale>
        <cfvo type="min"/>
        <cfvo type="percentile" val="50"/>
        <cfvo type="max"/>
        <color rgb="FFF8696B"/>
        <color rgb="FFFFEB84"/>
        <color rgb="FF63BE7B"/>
      </colorScale>
    </cfRule>
  </conditionalFormatting>
  <conditionalFormatting sqref="AC239">
    <cfRule type="colorScale" priority="4150">
      <colorScale>
        <cfvo type="min"/>
        <cfvo type="max"/>
        <color rgb="FFFCFCFF"/>
        <color rgb="FFF8696B"/>
      </colorScale>
    </cfRule>
  </conditionalFormatting>
  <conditionalFormatting sqref="AE239">
    <cfRule type="colorScale" priority="4149">
      <colorScale>
        <cfvo type="min"/>
        <cfvo type="percentile" val="50"/>
        <cfvo type="max"/>
        <color rgb="FFF8696B"/>
        <color rgb="FFFFEB84"/>
        <color rgb="FF63BE7B"/>
      </colorScale>
    </cfRule>
  </conditionalFormatting>
  <conditionalFormatting sqref="AE239">
    <cfRule type="colorScale" priority="4148">
      <colorScale>
        <cfvo type="min"/>
        <cfvo type="percentile" val="50"/>
        <cfvo type="max"/>
        <color rgb="FF63BE7B"/>
        <color rgb="FFFFEB84"/>
        <color rgb="FFF8696B"/>
      </colorScale>
    </cfRule>
  </conditionalFormatting>
  <conditionalFormatting sqref="AE239">
    <cfRule type="colorScale" priority="4145">
      <colorScale>
        <cfvo type="min"/>
        <cfvo type="max"/>
        <color rgb="FFFCFCFF"/>
        <color rgb="FFF8696B"/>
      </colorScale>
    </cfRule>
    <cfRule type="colorScale" priority="4147">
      <colorScale>
        <cfvo type="min"/>
        <cfvo type="percentile" val="50"/>
        <cfvo type="max"/>
        <color rgb="FF63BE7B"/>
        <color rgb="FFFFEB84"/>
        <color rgb="FFF8696B"/>
      </colorScale>
    </cfRule>
  </conditionalFormatting>
  <conditionalFormatting sqref="AE239">
    <cfRule type="colorScale" priority="4146">
      <colorScale>
        <cfvo type="min"/>
        <cfvo type="max"/>
        <color rgb="FFF8696B"/>
        <color rgb="FFFCFCFF"/>
      </colorScale>
    </cfRule>
  </conditionalFormatting>
  <conditionalFormatting sqref="AE239">
    <cfRule type="colorScale" priority="4144">
      <colorScale>
        <cfvo type="min"/>
        <cfvo type="percentile" val="50"/>
        <cfvo type="max"/>
        <color rgb="FFF8696B"/>
        <color rgb="FFFFEB84"/>
        <color rgb="FF63BE7B"/>
      </colorScale>
    </cfRule>
  </conditionalFormatting>
  <conditionalFormatting sqref="AE239">
    <cfRule type="colorScale" priority="4143">
      <colorScale>
        <cfvo type="min"/>
        <cfvo type="max"/>
        <color rgb="FFFCFCFF"/>
        <color rgb="FFF8696B"/>
      </colorScale>
    </cfRule>
  </conditionalFormatting>
  <conditionalFormatting sqref="U239">
    <cfRule type="colorScale" priority="4142">
      <colorScale>
        <cfvo type="min"/>
        <cfvo type="percentile" val="50"/>
        <cfvo type="max"/>
        <color rgb="FFF8696B"/>
        <color rgb="FFFFEB84"/>
        <color rgb="FF63BE7B"/>
      </colorScale>
    </cfRule>
  </conditionalFormatting>
  <conditionalFormatting sqref="U239">
    <cfRule type="colorScale" priority="4141">
      <colorScale>
        <cfvo type="min"/>
        <cfvo type="percentile" val="50"/>
        <cfvo type="max"/>
        <color rgb="FF63BE7B"/>
        <color rgb="FFFFEB84"/>
        <color rgb="FFF8696B"/>
      </colorScale>
    </cfRule>
  </conditionalFormatting>
  <conditionalFormatting sqref="U239">
    <cfRule type="colorScale" priority="4138">
      <colorScale>
        <cfvo type="min"/>
        <cfvo type="max"/>
        <color rgb="FFFCFCFF"/>
        <color rgb="FFF8696B"/>
      </colorScale>
    </cfRule>
    <cfRule type="colorScale" priority="4140">
      <colorScale>
        <cfvo type="min"/>
        <cfvo type="percentile" val="50"/>
        <cfvo type="max"/>
        <color rgb="FF63BE7B"/>
        <color rgb="FFFFEB84"/>
        <color rgb="FFF8696B"/>
      </colorScale>
    </cfRule>
  </conditionalFormatting>
  <conditionalFormatting sqref="U239">
    <cfRule type="colorScale" priority="4139">
      <colorScale>
        <cfvo type="min"/>
        <cfvo type="max"/>
        <color rgb="FFF8696B"/>
        <color rgb="FFFCFCFF"/>
      </colorScale>
    </cfRule>
  </conditionalFormatting>
  <conditionalFormatting sqref="U239">
    <cfRule type="colorScale" priority="4137">
      <colorScale>
        <cfvo type="min"/>
        <cfvo type="percentile" val="50"/>
        <cfvo type="max"/>
        <color rgb="FFF8696B"/>
        <color rgb="FFFFEB84"/>
        <color rgb="FF63BE7B"/>
      </colorScale>
    </cfRule>
  </conditionalFormatting>
  <conditionalFormatting sqref="U239">
    <cfRule type="colorScale" priority="4136">
      <colorScale>
        <cfvo type="min"/>
        <cfvo type="max"/>
        <color rgb="FFFCFCFF"/>
        <color rgb="FFF8696B"/>
      </colorScale>
    </cfRule>
  </conditionalFormatting>
  <conditionalFormatting sqref="W239">
    <cfRule type="colorScale" priority="4135">
      <colorScale>
        <cfvo type="min"/>
        <cfvo type="percentile" val="50"/>
        <cfvo type="max"/>
        <color rgb="FFF8696B"/>
        <color rgb="FFFFEB84"/>
        <color rgb="FF63BE7B"/>
      </colorScale>
    </cfRule>
  </conditionalFormatting>
  <conditionalFormatting sqref="W239">
    <cfRule type="colorScale" priority="4134">
      <colorScale>
        <cfvo type="min"/>
        <cfvo type="percentile" val="50"/>
        <cfvo type="max"/>
        <color rgb="FF63BE7B"/>
        <color rgb="FFFFEB84"/>
        <color rgb="FFF8696B"/>
      </colorScale>
    </cfRule>
  </conditionalFormatting>
  <conditionalFormatting sqref="W239">
    <cfRule type="colorScale" priority="4131">
      <colorScale>
        <cfvo type="min"/>
        <cfvo type="max"/>
        <color rgb="FFFCFCFF"/>
        <color rgb="FFF8696B"/>
      </colorScale>
    </cfRule>
    <cfRule type="colorScale" priority="4133">
      <colorScale>
        <cfvo type="min"/>
        <cfvo type="percentile" val="50"/>
        <cfvo type="max"/>
        <color rgb="FF63BE7B"/>
        <color rgb="FFFFEB84"/>
        <color rgb="FFF8696B"/>
      </colorScale>
    </cfRule>
  </conditionalFormatting>
  <conditionalFormatting sqref="W239">
    <cfRule type="colorScale" priority="4132">
      <colorScale>
        <cfvo type="min"/>
        <cfvo type="max"/>
        <color rgb="FFF8696B"/>
        <color rgb="FFFCFCFF"/>
      </colorScale>
    </cfRule>
  </conditionalFormatting>
  <conditionalFormatting sqref="W239">
    <cfRule type="colorScale" priority="4130">
      <colorScale>
        <cfvo type="min"/>
        <cfvo type="percentile" val="50"/>
        <cfvo type="max"/>
        <color rgb="FFF8696B"/>
        <color rgb="FFFFEB84"/>
        <color rgb="FF63BE7B"/>
      </colorScale>
    </cfRule>
  </conditionalFormatting>
  <conditionalFormatting sqref="W239">
    <cfRule type="colorScale" priority="4129">
      <colorScale>
        <cfvo type="min"/>
        <cfvo type="max"/>
        <color rgb="FFFCFCFF"/>
        <color rgb="FFF8696B"/>
      </colorScale>
    </cfRule>
  </conditionalFormatting>
  <conditionalFormatting sqref="Y239">
    <cfRule type="colorScale" priority="4128">
      <colorScale>
        <cfvo type="min"/>
        <cfvo type="percentile" val="50"/>
        <cfvo type="max"/>
        <color rgb="FFF8696B"/>
        <color rgb="FFFFEB84"/>
        <color rgb="FF63BE7B"/>
      </colorScale>
    </cfRule>
  </conditionalFormatting>
  <conditionalFormatting sqref="Y239">
    <cfRule type="colorScale" priority="4127">
      <colorScale>
        <cfvo type="min"/>
        <cfvo type="percentile" val="50"/>
        <cfvo type="max"/>
        <color rgb="FF63BE7B"/>
        <color rgb="FFFFEB84"/>
        <color rgb="FFF8696B"/>
      </colorScale>
    </cfRule>
  </conditionalFormatting>
  <conditionalFormatting sqref="Y239">
    <cfRule type="colorScale" priority="4124">
      <colorScale>
        <cfvo type="min"/>
        <cfvo type="max"/>
        <color rgb="FFFCFCFF"/>
        <color rgb="FFF8696B"/>
      </colorScale>
    </cfRule>
    <cfRule type="colorScale" priority="4126">
      <colorScale>
        <cfvo type="min"/>
        <cfvo type="percentile" val="50"/>
        <cfvo type="max"/>
        <color rgb="FF63BE7B"/>
        <color rgb="FFFFEB84"/>
        <color rgb="FFF8696B"/>
      </colorScale>
    </cfRule>
  </conditionalFormatting>
  <conditionalFormatting sqref="Y239">
    <cfRule type="colorScale" priority="4125">
      <colorScale>
        <cfvo type="min"/>
        <cfvo type="max"/>
        <color rgb="FFF8696B"/>
        <color rgb="FFFCFCFF"/>
      </colorScale>
    </cfRule>
  </conditionalFormatting>
  <conditionalFormatting sqref="Y239">
    <cfRule type="colorScale" priority="4123">
      <colorScale>
        <cfvo type="min"/>
        <cfvo type="percentile" val="50"/>
        <cfvo type="max"/>
        <color rgb="FFF8696B"/>
        <color rgb="FFFFEB84"/>
        <color rgb="FF63BE7B"/>
      </colorScale>
    </cfRule>
  </conditionalFormatting>
  <conditionalFormatting sqref="Y239">
    <cfRule type="colorScale" priority="4122">
      <colorScale>
        <cfvo type="min"/>
        <cfvo type="max"/>
        <color rgb="FFFCFCFF"/>
        <color rgb="FFF8696B"/>
      </colorScale>
    </cfRule>
  </conditionalFormatting>
  <conditionalFormatting sqref="AA239">
    <cfRule type="colorScale" priority="4121">
      <colorScale>
        <cfvo type="min"/>
        <cfvo type="percentile" val="50"/>
        <cfvo type="max"/>
        <color rgb="FFF8696B"/>
        <color rgb="FFFFEB84"/>
        <color rgb="FF63BE7B"/>
      </colorScale>
    </cfRule>
  </conditionalFormatting>
  <conditionalFormatting sqref="AA239">
    <cfRule type="colorScale" priority="4120">
      <colorScale>
        <cfvo type="min"/>
        <cfvo type="percentile" val="50"/>
        <cfvo type="max"/>
        <color rgb="FF63BE7B"/>
        <color rgb="FFFFEB84"/>
        <color rgb="FFF8696B"/>
      </colorScale>
    </cfRule>
  </conditionalFormatting>
  <conditionalFormatting sqref="AA239">
    <cfRule type="colorScale" priority="4117">
      <colorScale>
        <cfvo type="min"/>
        <cfvo type="max"/>
        <color rgb="FFFCFCFF"/>
        <color rgb="FFF8696B"/>
      </colorScale>
    </cfRule>
    <cfRule type="colorScale" priority="4119">
      <colorScale>
        <cfvo type="min"/>
        <cfvo type="percentile" val="50"/>
        <cfvo type="max"/>
        <color rgb="FF63BE7B"/>
        <color rgb="FFFFEB84"/>
        <color rgb="FFF8696B"/>
      </colorScale>
    </cfRule>
  </conditionalFormatting>
  <conditionalFormatting sqref="AA239">
    <cfRule type="colorScale" priority="4118">
      <colorScale>
        <cfvo type="min"/>
        <cfvo type="max"/>
        <color rgb="FFF8696B"/>
        <color rgb="FFFCFCFF"/>
      </colorScale>
    </cfRule>
  </conditionalFormatting>
  <conditionalFormatting sqref="AA239">
    <cfRule type="colorScale" priority="4116">
      <colorScale>
        <cfvo type="min"/>
        <cfvo type="percentile" val="50"/>
        <cfvo type="max"/>
        <color rgb="FFF8696B"/>
        <color rgb="FFFFEB84"/>
        <color rgb="FF63BE7B"/>
      </colorScale>
    </cfRule>
  </conditionalFormatting>
  <conditionalFormatting sqref="AA239">
    <cfRule type="colorScale" priority="4115">
      <colorScale>
        <cfvo type="min"/>
        <cfvo type="max"/>
        <color rgb="FFFCFCFF"/>
        <color rgb="FFF8696B"/>
      </colorScale>
    </cfRule>
  </conditionalFormatting>
  <conditionalFormatting sqref="AU239">
    <cfRule type="colorScale" priority="4114">
      <colorScale>
        <cfvo type="min"/>
        <cfvo type="percentile" val="50"/>
        <cfvo type="max"/>
        <color rgb="FFF8696B"/>
        <color rgb="FFFFEB84"/>
        <color rgb="FF63BE7B"/>
      </colorScale>
    </cfRule>
  </conditionalFormatting>
  <conditionalFormatting sqref="AU239">
    <cfRule type="colorScale" priority="4113">
      <colorScale>
        <cfvo type="min"/>
        <cfvo type="percentile" val="50"/>
        <cfvo type="max"/>
        <color rgb="FF63BE7B"/>
        <color rgb="FFFFEB84"/>
        <color rgb="FFF8696B"/>
      </colorScale>
    </cfRule>
  </conditionalFormatting>
  <conditionalFormatting sqref="AU239">
    <cfRule type="colorScale" priority="4110">
      <colorScale>
        <cfvo type="min"/>
        <cfvo type="max"/>
        <color rgb="FFFCFCFF"/>
        <color rgb="FFF8696B"/>
      </colorScale>
    </cfRule>
    <cfRule type="colorScale" priority="4112">
      <colorScale>
        <cfvo type="min"/>
        <cfvo type="percentile" val="50"/>
        <cfvo type="max"/>
        <color rgb="FF63BE7B"/>
        <color rgb="FFFFEB84"/>
        <color rgb="FFF8696B"/>
      </colorScale>
    </cfRule>
  </conditionalFormatting>
  <conditionalFormatting sqref="AU239">
    <cfRule type="colorScale" priority="4111">
      <colorScale>
        <cfvo type="min"/>
        <cfvo type="max"/>
        <color rgb="FFF8696B"/>
        <color rgb="FFFCFCFF"/>
      </colorScale>
    </cfRule>
  </conditionalFormatting>
  <conditionalFormatting sqref="AU239">
    <cfRule type="colorScale" priority="4109">
      <colorScale>
        <cfvo type="min"/>
        <cfvo type="percentile" val="50"/>
        <cfvo type="max"/>
        <color rgb="FFF8696B"/>
        <color rgb="FFFFEB84"/>
        <color rgb="FF63BE7B"/>
      </colorScale>
    </cfRule>
  </conditionalFormatting>
  <conditionalFormatting sqref="AU239">
    <cfRule type="colorScale" priority="4108">
      <colorScale>
        <cfvo type="min"/>
        <cfvo type="max"/>
        <color rgb="FFFCFCFF"/>
        <color rgb="FFF8696B"/>
      </colorScale>
    </cfRule>
  </conditionalFormatting>
  <conditionalFormatting sqref="AS239">
    <cfRule type="colorScale" priority="4107">
      <colorScale>
        <cfvo type="min"/>
        <cfvo type="percentile" val="50"/>
        <cfvo type="max"/>
        <color rgb="FFF8696B"/>
        <color rgb="FFFFEB84"/>
        <color rgb="FF63BE7B"/>
      </colorScale>
    </cfRule>
  </conditionalFormatting>
  <conditionalFormatting sqref="AS239">
    <cfRule type="colorScale" priority="4106">
      <colorScale>
        <cfvo type="min"/>
        <cfvo type="percentile" val="50"/>
        <cfvo type="max"/>
        <color rgb="FF63BE7B"/>
        <color rgb="FFFFEB84"/>
        <color rgb="FFF8696B"/>
      </colorScale>
    </cfRule>
  </conditionalFormatting>
  <conditionalFormatting sqref="AS239">
    <cfRule type="colorScale" priority="4103">
      <colorScale>
        <cfvo type="min"/>
        <cfvo type="max"/>
        <color rgb="FFFCFCFF"/>
        <color rgb="FFF8696B"/>
      </colorScale>
    </cfRule>
    <cfRule type="colorScale" priority="4105">
      <colorScale>
        <cfvo type="min"/>
        <cfvo type="percentile" val="50"/>
        <cfvo type="max"/>
        <color rgb="FF63BE7B"/>
        <color rgb="FFFFEB84"/>
        <color rgb="FFF8696B"/>
      </colorScale>
    </cfRule>
  </conditionalFormatting>
  <conditionalFormatting sqref="AS239">
    <cfRule type="colorScale" priority="4104">
      <colorScale>
        <cfvo type="min"/>
        <cfvo type="max"/>
        <color rgb="FFF8696B"/>
        <color rgb="FFFCFCFF"/>
      </colorScale>
    </cfRule>
  </conditionalFormatting>
  <conditionalFormatting sqref="AS239">
    <cfRule type="colorScale" priority="4102">
      <colorScale>
        <cfvo type="min"/>
        <cfvo type="percentile" val="50"/>
        <cfvo type="max"/>
        <color rgb="FFF8696B"/>
        <color rgb="FFFFEB84"/>
        <color rgb="FF63BE7B"/>
      </colorScale>
    </cfRule>
  </conditionalFormatting>
  <conditionalFormatting sqref="AS239">
    <cfRule type="colorScale" priority="4101">
      <colorScale>
        <cfvo type="min"/>
        <cfvo type="max"/>
        <color rgb="FFFCFCFF"/>
        <color rgb="FFF8696B"/>
      </colorScale>
    </cfRule>
  </conditionalFormatting>
  <conditionalFormatting sqref="AQ239">
    <cfRule type="colorScale" priority="4100">
      <colorScale>
        <cfvo type="min"/>
        <cfvo type="percentile" val="50"/>
        <cfvo type="max"/>
        <color rgb="FFF8696B"/>
        <color rgb="FFFFEB84"/>
        <color rgb="FF63BE7B"/>
      </colorScale>
    </cfRule>
  </conditionalFormatting>
  <conditionalFormatting sqref="AQ239">
    <cfRule type="colorScale" priority="4099">
      <colorScale>
        <cfvo type="min"/>
        <cfvo type="percentile" val="50"/>
        <cfvo type="max"/>
        <color rgb="FF63BE7B"/>
        <color rgb="FFFFEB84"/>
        <color rgb="FFF8696B"/>
      </colorScale>
    </cfRule>
  </conditionalFormatting>
  <conditionalFormatting sqref="AQ239">
    <cfRule type="colorScale" priority="4096">
      <colorScale>
        <cfvo type="min"/>
        <cfvo type="max"/>
        <color rgb="FFFCFCFF"/>
        <color rgb="FFF8696B"/>
      </colorScale>
    </cfRule>
    <cfRule type="colorScale" priority="4098">
      <colorScale>
        <cfvo type="min"/>
        <cfvo type="percentile" val="50"/>
        <cfvo type="max"/>
        <color rgb="FF63BE7B"/>
        <color rgb="FFFFEB84"/>
        <color rgb="FFF8696B"/>
      </colorScale>
    </cfRule>
  </conditionalFormatting>
  <conditionalFormatting sqref="AQ239">
    <cfRule type="colorScale" priority="4097">
      <colorScale>
        <cfvo type="min"/>
        <cfvo type="max"/>
        <color rgb="FFF8696B"/>
        <color rgb="FFFCFCFF"/>
      </colorScale>
    </cfRule>
  </conditionalFormatting>
  <conditionalFormatting sqref="AQ239">
    <cfRule type="colorScale" priority="4095">
      <colorScale>
        <cfvo type="min"/>
        <cfvo type="percentile" val="50"/>
        <cfvo type="max"/>
        <color rgb="FFF8696B"/>
        <color rgb="FFFFEB84"/>
        <color rgb="FF63BE7B"/>
      </colorScale>
    </cfRule>
  </conditionalFormatting>
  <conditionalFormatting sqref="AQ239">
    <cfRule type="colorScale" priority="4094">
      <colorScale>
        <cfvo type="min"/>
        <cfvo type="max"/>
        <color rgb="FFFCFCFF"/>
        <color rgb="FFF8696B"/>
      </colorScale>
    </cfRule>
  </conditionalFormatting>
  <conditionalFormatting sqref="AM239">
    <cfRule type="colorScale" priority="4093">
      <colorScale>
        <cfvo type="min"/>
        <cfvo type="percentile" val="50"/>
        <cfvo type="max"/>
        <color rgb="FFF8696B"/>
        <color rgb="FFFFEB84"/>
        <color rgb="FF63BE7B"/>
      </colorScale>
    </cfRule>
  </conditionalFormatting>
  <conditionalFormatting sqref="AM239">
    <cfRule type="colorScale" priority="4092">
      <colorScale>
        <cfvo type="min"/>
        <cfvo type="percentile" val="50"/>
        <cfvo type="max"/>
        <color rgb="FF63BE7B"/>
        <color rgb="FFFFEB84"/>
        <color rgb="FFF8696B"/>
      </colorScale>
    </cfRule>
  </conditionalFormatting>
  <conditionalFormatting sqref="AM239">
    <cfRule type="colorScale" priority="4089">
      <colorScale>
        <cfvo type="min"/>
        <cfvo type="max"/>
        <color rgb="FFFCFCFF"/>
        <color rgb="FFF8696B"/>
      </colorScale>
    </cfRule>
    <cfRule type="colorScale" priority="4091">
      <colorScale>
        <cfvo type="min"/>
        <cfvo type="percentile" val="50"/>
        <cfvo type="max"/>
        <color rgb="FF63BE7B"/>
        <color rgb="FFFFEB84"/>
        <color rgb="FFF8696B"/>
      </colorScale>
    </cfRule>
  </conditionalFormatting>
  <conditionalFormatting sqref="AM239">
    <cfRule type="colorScale" priority="4090">
      <colorScale>
        <cfvo type="min"/>
        <cfvo type="max"/>
        <color rgb="FFF8696B"/>
        <color rgb="FFFCFCFF"/>
      </colorScale>
    </cfRule>
  </conditionalFormatting>
  <conditionalFormatting sqref="AM239">
    <cfRule type="colorScale" priority="4088">
      <colorScale>
        <cfvo type="min"/>
        <cfvo type="percentile" val="50"/>
        <cfvo type="max"/>
        <color rgb="FFF8696B"/>
        <color rgb="FFFFEB84"/>
        <color rgb="FF63BE7B"/>
      </colorScale>
    </cfRule>
  </conditionalFormatting>
  <conditionalFormatting sqref="AM239">
    <cfRule type="colorScale" priority="4087">
      <colorScale>
        <cfvo type="min"/>
        <cfvo type="max"/>
        <color rgb="FFFCFCFF"/>
        <color rgb="FFF8696B"/>
      </colorScale>
    </cfRule>
  </conditionalFormatting>
  <conditionalFormatting sqref="AO239">
    <cfRule type="colorScale" priority="4086">
      <colorScale>
        <cfvo type="min"/>
        <cfvo type="percentile" val="50"/>
        <cfvo type="max"/>
        <color rgb="FFF8696B"/>
        <color rgb="FFFFEB84"/>
        <color rgb="FF63BE7B"/>
      </colorScale>
    </cfRule>
  </conditionalFormatting>
  <conditionalFormatting sqref="AO239">
    <cfRule type="colorScale" priority="4085">
      <colorScale>
        <cfvo type="min"/>
        <cfvo type="percentile" val="50"/>
        <cfvo type="max"/>
        <color rgb="FF63BE7B"/>
        <color rgb="FFFFEB84"/>
        <color rgb="FFF8696B"/>
      </colorScale>
    </cfRule>
  </conditionalFormatting>
  <conditionalFormatting sqref="AO239">
    <cfRule type="colorScale" priority="4082">
      <colorScale>
        <cfvo type="min"/>
        <cfvo type="max"/>
        <color rgb="FFFCFCFF"/>
        <color rgb="FFF8696B"/>
      </colorScale>
    </cfRule>
    <cfRule type="colorScale" priority="4084">
      <colorScale>
        <cfvo type="min"/>
        <cfvo type="percentile" val="50"/>
        <cfvo type="max"/>
        <color rgb="FF63BE7B"/>
        <color rgb="FFFFEB84"/>
        <color rgb="FFF8696B"/>
      </colorScale>
    </cfRule>
  </conditionalFormatting>
  <conditionalFormatting sqref="AO239">
    <cfRule type="colorScale" priority="4083">
      <colorScale>
        <cfvo type="min"/>
        <cfvo type="max"/>
        <color rgb="FFF8696B"/>
        <color rgb="FFFCFCFF"/>
      </colorScale>
    </cfRule>
  </conditionalFormatting>
  <conditionalFormatting sqref="AO239">
    <cfRule type="colorScale" priority="4081">
      <colorScale>
        <cfvo type="min"/>
        <cfvo type="percentile" val="50"/>
        <cfvo type="max"/>
        <color rgb="FFF8696B"/>
        <color rgb="FFFFEB84"/>
        <color rgb="FF63BE7B"/>
      </colorScale>
    </cfRule>
  </conditionalFormatting>
  <conditionalFormatting sqref="AO239">
    <cfRule type="colorScale" priority="4080">
      <colorScale>
        <cfvo type="min"/>
        <cfvo type="max"/>
        <color rgb="FFFCFCFF"/>
        <color rgb="FFF8696B"/>
      </colorScale>
    </cfRule>
  </conditionalFormatting>
  <conditionalFormatting sqref="O233">
    <cfRule type="colorScale" priority="4079">
      <colorScale>
        <cfvo type="min"/>
        <cfvo type="percentile" val="50"/>
        <cfvo type="max"/>
        <color rgb="FFF8696B"/>
        <color rgb="FFFFEB84"/>
        <color rgb="FF63BE7B"/>
      </colorScale>
    </cfRule>
  </conditionalFormatting>
  <conditionalFormatting sqref="O233">
    <cfRule type="colorScale" priority="4078">
      <colorScale>
        <cfvo type="min"/>
        <cfvo type="percentile" val="50"/>
        <cfvo type="max"/>
        <color rgb="FFF8696B"/>
        <color rgb="FFFFEB84"/>
        <color rgb="FF63BE7B"/>
      </colorScale>
    </cfRule>
  </conditionalFormatting>
  <conditionalFormatting sqref="O233">
    <cfRule type="colorScale" priority="4077">
      <colorScale>
        <cfvo type="min"/>
        <cfvo type="percentile" val="50"/>
        <cfvo type="max"/>
        <color rgb="FF63BE7B"/>
        <color rgb="FFFFEB84"/>
        <color rgb="FFF8696B"/>
      </colorScale>
    </cfRule>
  </conditionalFormatting>
  <conditionalFormatting sqref="O233">
    <cfRule type="colorScale" priority="4074">
      <colorScale>
        <cfvo type="min"/>
        <cfvo type="max"/>
        <color rgb="FFFCFCFF"/>
        <color rgb="FFF8696B"/>
      </colorScale>
    </cfRule>
    <cfRule type="colorScale" priority="4076">
      <colorScale>
        <cfvo type="min"/>
        <cfvo type="percentile" val="50"/>
        <cfvo type="max"/>
        <color rgb="FF63BE7B"/>
        <color rgb="FFFFEB84"/>
        <color rgb="FFF8696B"/>
      </colorScale>
    </cfRule>
  </conditionalFormatting>
  <conditionalFormatting sqref="O233">
    <cfRule type="colorScale" priority="4075">
      <colorScale>
        <cfvo type="min"/>
        <cfvo type="max"/>
        <color rgb="FFF8696B"/>
        <color rgb="FFFCFCFF"/>
      </colorScale>
    </cfRule>
  </conditionalFormatting>
  <conditionalFormatting sqref="O233">
    <cfRule type="colorScale" priority="4073">
      <colorScale>
        <cfvo type="min"/>
        <cfvo type="max"/>
        <color rgb="FFFCFCFF"/>
        <color rgb="FFF8696B"/>
      </colorScale>
    </cfRule>
  </conditionalFormatting>
  <conditionalFormatting sqref="AI196">
    <cfRule type="colorScale" priority="4072">
      <colorScale>
        <cfvo type="min"/>
        <cfvo type="percentile" val="50"/>
        <cfvo type="max"/>
        <color rgb="FFF8696B"/>
        <color rgb="FFFFEB84"/>
        <color rgb="FF63BE7B"/>
      </colorScale>
    </cfRule>
  </conditionalFormatting>
  <conditionalFormatting sqref="AI196">
    <cfRule type="colorScale" priority="4071">
      <colorScale>
        <cfvo type="min"/>
        <cfvo type="percentile" val="50"/>
        <cfvo type="max"/>
        <color rgb="FF63BE7B"/>
        <color rgb="FFFFEB84"/>
        <color rgb="FFF8696B"/>
      </colorScale>
    </cfRule>
  </conditionalFormatting>
  <conditionalFormatting sqref="AI196">
    <cfRule type="colorScale" priority="4068">
      <colorScale>
        <cfvo type="min"/>
        <cfvo type="max"/>
        <color rgb="FFFCFCFF"/>
        <color rgb="FFF8696B"/>
      </colorScale>
    </cfRule>
    <cfRule type="colorScale" priority="4070">
      <colorScale>
        <cfvo type="min"/>
        <cfvo type="percentile" val="50"/>
        <cfvo type="max"/>
        <color rgb="FF63BE7B"/>
        <color rgb="FFFFEB84"/>
        <color rgb="FFF8696B"/>
      </colorScale>
    </cfRule>
  </conditionalFormatting>
  <conditionalFormatting sqref="AI196">
    <cfRule type="colorScale" priority="4069">
      <colorScale>
        <cfvo type="min"/>
        <cfvo type="max"/>
        <color rgb="FFF8696B"/>
        <color rgb="FFFCFCFF"/>
      </colorScale>
    </cfRule>
  </conditionalFormatting>
  <conditionalFormatting sqref="AI196">
    <cfRule type="colorScale" priority="4067">
      <colorScale>
        <cfvo type="min"/>
        <cfvo type="percentile" val="50"/>
        <cfvo type="max"/>
        <color rgb="FFF8696B"/>
        <color rgb="FFFFEB84"/>
        <color rgb="FF63BE7B"/>
      </colorScale>
    </cfRule>
  </conditionalFormatting>
  <conditionalFormatting sqref="AI196">
    <cfRule type="colorScale" priority="4066">
      <colorScale>
        <cfvo type="min"/>
        <cfvo type="max"/>
        <color rgb="FFFCFCFF"/>
        <color rgb="FFF8696B"/>
      </colorScale>
    </cfRule>
  </conditionalFormatting>
  <conditionalFormatting sqref="AK196">
    <cfRule type="colorScale" priority="4065">
      <colorScale>
        <cfvo type="min"/>
        <cfvo type="percentile" val="50"/>
        <cfvo type="max"/>
        <color rgb="FFF8696B"/>
        <color rgb="FFFFEB84"/>
        <color rgb="FF63BE7B"/>
      </colorScale>
    </cfRule>
  </conditionalFormatting>
  <conditionalFormatting sqref="AK196">
    <cfRule type="colorScale" priority="4064">
      <colorScale>
        <cfvo type="min"/>
        <cfvo type="percentile" val="50"/>
        <cfvo type="max"/>
        <color rgb="FF63BE7B"/>
        <color rgb="FFFFEB84"/>
        <color rgb="FFF8696B"/>
      </colorScale>
    </cfRule>
  </conditionalFormatting>
  <conditionalFormatting sqref="AK196">
    <cfRule type="colorScale" priority="4061">
      <colorScale>
        <cfvo type="min"/>
        <cfvo type="max"/>
        <color rgb="FFFCFCFF"/>
        <color rgb="FFF8696B"/>
      </colorScale>
    </cfRule>
    <cfRule type="colorScale" priority="4063">
      <colorScale>
        <cfvo type="min"/>
        <cfvo type="percentile" val="50"/>
        <cfvo type="max"/>
        <color rgb="FF63BE7B"/>
        <color rgb="FFFFEB84"/>
        <color rgb="FFF8696B"/>
      </colorScale>
    </cfRule>
  </conditionalFormatting>
  <conditionalFormatting sqref="AK196">
    <cfRule type="colorScale" priority="4062">
      <colorScale>
        <cfvo type="min"/>
        <cfvo type="max"/>
        <color rgb="FFF8696B"/>
        <color rgb="FFFCFCFF"/>
      </colorScale>
    </cfRule>
  </conditionalFormatting>
  <conditionalFormatting sqref="AK196">
    <cfRule type="colorScale" priority="4060">
      <colorScale>
        <cfvo type="min"/>
        <cfvo type="percentile" val="50"/>
        <cfvo type="max"/>
        <color rgb="FFF8696B"/>
        <color rgb="FFFFEB84"/>
        <color rgb="FF63BE7B"/>
      </colorScale>
    </cfRule>
  </conditionalFormatting>
  <conditionalFormatting sqref="AK196">
    <cfRule type="colorScale" priority="4059">
      <colorScale>
        <cfvo type="min"/>
        <cfvo type="max"/>
        <color rgb="FFFCFCFF"/>
        <color rgb="FFF8696B"/>
      </colorScale>
    </cfRule>
  </conditionalFormatting>
  <conditionalFormatting sqref="AM196">
    <cfRule type="colorScale" priority="4058">
      <colorScale>
        <cfvo type="min"/>
        <cfvo type="percentile" val="50"/>
        <cfvo type="max"/>
        <color rgb="FFF8696B"/>
        <color rgb="FFFFEB84"/>
        <color rgb="FF63BE7B"/>
      </colorScale>
    </cfRule>
  </conditionalFormatting>
  <conditionalFormatting sqref="AM196">
    <cfRule type="colorScale" priority="4057">
      <colorScale>
        <cfvo type="min"/>
        <cfvo type="percentile" val="50"/>
        <cfvo type="max"/>
        <color rgb="FF63BE7B"/>
        <color rgb="FFFFEB84"/>
        <color rgb="FFF8696B"/>
      </colorScale>
    </cfRule>
  </conditionalFormatting>
  <conditionalFormatting sqref="AM196">
    <cfRule type="colorScale" priority="4054">
      <colorScale>
        <cfvo type="min"/>
        <cfvo type="max"/>
        <color rgb="FFFCFCFF"/>
        <color rgb="FFF8696B"/>
      </colorScale>
    </cfRule>
    <cfRule type="colorScale" priority="4056">
      <colorScale>
        <cfvo type="min"/>
        <cfvo type="percentile" val="50"/>
        <cfvo type="max"/>
        <color rgb="FF63BE7B"/>
        <color rgb="FFFFEB84"/>
        <color rgb="FFF8696B"/>
      </colorScale>
    </cfRule>
  </conditionalFormatting>
  <conditionalFormatting sqref="AM196">
    <cfRule type="colorScale" priority="4055">
      <colorScale>
        <cfvo type="min"/>
        <cfvo type="max"/>
        <color rgb="FFF8696B"/>
        <color rgb="FFFCFCFF"/>
      </colorScale>
    </cfRule>
  </conditionalFormatting>
  <conditionalFormatting sqref="AM196">
    <cfRule type="colorScale" priority="4053">
      <colorScale>
        <cfvo type="min"/>
        <cfvo type="percentile" val="50"/>
        <cfvo type="max"/>
        <color rgb="FFF8696B"/>
        <color rgb="FFFFEB84"/>
        <color rgb="FF63BE7B"/>
      </colorScale>
    </cfRule>
  </conditionalFormatting>
  <conditionalFormatting sqref="AM196">
    <cfRule type="colorScale" priority="4052">
      <colorScale>
        <cfvo type="min"/>
        <cfvo type="max"/>
        <color rgb="FFFCFCFF"/>
        <color rgb="FFF8696B"/>
      </colorScale>
    </cfRule>
  </conditionalFormatting>
  <conditionalFormatting sqref="AO196">
    <cfRule type="colorScale" priority="4051">
      <colorScale>
        <cfvo type="min"/>
        <cfvo type="percentile" val="50"/>
        <cfvo type="max"/>
        <color rgb="FFF8696B"/>
        <color rgb="FFFFEB84"/>
        <color rgb="FF63BE7B"/>
      </colorScale>
    </cfRule>
  </conditionalFormatting>
  <conditionalFormatting sqref="AO196">
    <cfRule type="colorScale" priority="4050">
      <colorScale>
        <cfvo type="min"/>
        <cfvo type="percentile" val="50"/>
        <cfvo type="max"/>
        <color rgb="FF63BE7B"/>
        <color rgb="FFFFEB84"/>
        <color rgb="FFF8696B"/>
      </colorScale>
    </cfRule>
  </conditionalFormatting>
  <conditionalFormatting sqref="AO196">
    <cfRule type="colorScale" priority="4047">
      <colorScale>
        <cfvo type="min"/>
        <cfvo type="max"/>
        <color rgb="FFFCFCFF"/>
        <color rgb="FFF8696B"/>
      </colorScale>
    </cfRule>
    <cfRule type="colorScale" priority="4049">
      <colorScale>
        <cfvo type="min"/>
        <cfvo type="percentile" val="50"/>
        <cfvo type="max"/>
        <color rgb="FF63BE7B"/>
        <color rgb="FFFFEB84"/>
        <color rgb="FFF8696B"/>
      </colorScale>
    </cfRule>
  </conditionalFormatting>
  <conditionalFormatting sqref="AO196">
    <cfRule type="colorScale" priority="4048">
      <colorScale>
        <cfvo type="min"/>
        <cfvo type="max"/>
        <color rgb="FFF8696B"/>
        <color rgb="FFFCFCFF"/>
      </colorScale>
    </cfRule>
  </conditionalFormatting>
  <conditionalFormatting sqref="AO196">
    <cfRule type="colorScale" priority="4046">
      <colorScale>
        <cfvo type="min"/>
        <cfvo type="percentile" val="50"/>
        <cfvo type="max"/>
        <color rgb="FFF8696B"/>
        <color rgb="FFFFEB84"/>
        <color rgb="FF63BE7B"/>
      </colorScale>
    </cfRule>
  </conditionalFormatting>
  <conditionalFormatting sqref="AO196">
    <cfRule type="colorScale" priority="4045">
      <colorScale>
        <cfvo type="min"/>
        <cfvo type="max"/>
        <color rgb="FFFCFCFF"/>
        <color rgb="FFF8696B"/>
      </colorScale>
    </cfRule>
  </conditionalFormatting>
  <conditionalFormatting sqref="AQ196">
    <cfRule type="colorScale" priority="4044">
      <colorScale>
        <cfvo type="min"/>
        <cfvo type="percentile" val="50"/>
        <cfvo type="max"/>
        <color rgb="FFF8696B"/>
        <color rgb="FFFFEB84"/>
        <color rgb="FF63BE7B"/>
      </colorScale>
    </cfRule>
  </conditionalFormatting>
  <conditionalFormatting sqref="AQ196">
    <cfRule type="colorScale" priority="4043">
      <colorScale>
        <cfvo type="min"/>
        <cfvo type="percentile" val="50"/>
        <cfvo type="max"/>
        <color rgb="FF63BE7B"/>
        <color rgb="FFFFEB84"/>
        <color rgb="FFF8696B"/>
      </colorScale>
    </cfRule>
  </conditionalFormatting>
  <conditionalFormatting sqref="AQ196">
    <cfRule type="colorScale" priority="4040">
      <colorScale>
        <cfvo type="min"/>
        <cfvo type="max"/>
        <color rgb="FFFCFCFF"/>
        <color rgb="FFF8696B"/>
      </colorScale>
    </cfRule>
    <cfRule type="colorScale" priority="4042">
      <colorScale>
        <cfvo type="min"/>
        <cfvo type="percentile" val="50"/>
        <cfvo type="max"/>
        <color rgb="FF63BE7B"/>
        <color rgb="FFFFEB84"/>
        <color rgb="FFF8696B"/>
      </colorScale>
    </cfRule>
  </conditionalFormatting>
  <conditionalFormatting sqref="AQ196">
    <cfRule type="colorScale" priority="4041">
      <colorScale>
        <cfvo type="min"/>
        <cfvo type="max"/>
        <color rgb="FFF8696B"/>
        <color rgb="FFFCFCFF"/>
      </colorScale>
    </cfRule>
  </conditionalFormatting>
  <conditionalFormatting sqref="AQ196">
    <cfRule type="colorScale" priority="4039">
      <colorScale>
        <cfvo type="min"/>
        <cfvo type="percentile" val="50"/>
        <cfvo type="max"/>
        <color rgb="FFF8696B"/>
        <color rgb="FFFFEB84"/>
        <color rgb="FF63BE7B"/>
      </colorScale>
    </cfRule>
  </conditionalFormatting>
  <conditionalFormatting sqref="AQ196">
    <cfRule type="colorScale" priority="4038">
      <colorScale>
        <cfvo type="min"/>
        <cfvo type="max"/>
        <color rgb="FFFCFCFF"/>
        <color rgb="FFF8696B"/>
      </colorScale>
    </cfRule>
  </conditionalFormatting>
  <conditionalFormatting sqref="AS196">
    <cfRule type="colorScale" priority="4037">
      <colorScale>
        <cfvo type="min"/>
        <cfvo type="percentile" val="50"/>
        <cfvo type="max"/>
        <color rgb="FFF8696B"/>
        <color rgb="FFFFEB84"/>
        <color rgb="FF63BE7B"/>
      </colorScale>
    </cfRule>
  </conditionalFormatting>
  <conditionalFormatting sqref="AS196">
    <cfRule type="colorScale" priority="4036">
      <colorScale>
        <cfvo type="min"/>
        <cfvo type="percentile" val="50"/>
        <cfvo type="max"/>
        <color rgb="FF63BE7B"/>
        <color rgb="FFFFEB84"/>
        <color rgb="FFF8696B"/>
      </colorScale>
    </cfRule>
  </conditionalFormatting>
  <conditionalFormatting sqref="AS196">
    <cfRule type="colorScale" priority="4033">
      <colorScale>
        <cfvo type="min"/>
        <cfvo type="max"/>
        <color rgb="FFFCFCFF"/>
        <color rgb="FFF8696B"/>
      </colorScale>
    </cfRule>
    <cfRule type="colorScale" priority="4035">
      <colorScale>
        <cfvo type="min"/>
        <cfvo type="percentile" val="50"/>
        <cfvo type="max"/>
        <color rgb="FF63BE7B"/>
        <color rgb="FFFFEB84"/>
        <color rgb="FFF8696B"/>
      </colorScale>
    </cfRule>
  </conditionalFormatting>
  <conditionalFormatting sqref="AS196">
    <cfRule type="colorScale" priority="4034">
      <colorScale>
        <cfvo type="min"/>
        <cfvo type="max"/>
        <color rgb="FFF8696B"/>
        <color rgb="FFFCFCFF"/>
      </colorScale>
    </cfRule>
  </conditionalFormatting>
  <conditionalFormatting sqref="AS196">
    <cfRule type="colorScale" priority="4032">
      <colorScale>
        <cfvo type="min"/>
        <cfvo type="percentile" val="50"/>
        <cfvo type="max"/>
        <color rgb="FFF8696B"/>
        <color rgb="FFFFEB84"/>
        <color rgb="FF63BE7B"/>
      </colorScale>
    </cfRule>
  </conditionalFormatting>
  <conditionalFormatting sqref="AS196">
    <cfRule type="colorScale" priority="4031">
      <colorScale>
        <cfvo type="min"/>
        <cfvo type="max"/>
        <color rgb="FFFCFCFF"/>
        <color rgb="FFF8696B"/>
      </colorScale>
    </cfRule>
  </conditionalFormatting>
  <conditionalFormatting sqref="AU196">
    <cfRule type="colorScale" priority="4030">
      <colorScale>
        <cfvo type="min"/>
        <cfvo type="percentile" val="50"/>
        <cfvo type="max"/>
        <color rgb="FFF8696B"/>
        <color rgb="FFFFEB84"/>
        <color rgb="FF63BE7B"/>
      </colorScale>
    </cfRule>
  </conditionalFormatting>
  <conditionalFormatting sqref="AU196">
    <cfRule type="colorScale" priority="4029">
      <colorScale>
        <cfvo type="min"/>
        <cfvo type="percentile" val="50"/>
        <cfvo type="max"/>
        <color rgb="FF63BE7B"/>
        <color rgb="FFFFEB84"/>
        <color rgb="FFF8696B"/>
      </colorScale>
    </cfRule>
  </conditionalFormatting>
  <conditionalFormatting sqref="AU196">
    <cfRule type="colorScale" priority="4026">
      <colorScale>
        <cfvo type="min"/>
        <cfvo type="max"/>
        <color rgb="FFFCFCFF"/>
        <color rgb="FFF8696B"/>
      </colorScale>
    </cfRule>
    <cfRule type="colorScale" priority="4028">
      <colorScale>
        <cfvo type="min"/>
        <cfvo type="percentile" val="50"/>
        <cfvo type="max"/>
        <color rgb="FF63BE7B"/>
        <color rgb="FFFFEB84"/>
        <color rgb="FFF8696B"/>
      </colorScale>
    </cfRule>
  </conditionalFormatting>
  <conditionalFormatting sqref="AU196">
    <cfRule type="colorScale" priority="4027">
      <colorScale>
        <cfvo type="min"/>
        <cfvo type="max"/>
        <color rgb="FFF8696B"/>
        <color rgb="FFFCFCFF"/>
      </colorScale>
    </cfRule>
  </conditionalFormatting>
  <conditionalFormatting sqref="AU196">
    <cfRule type="colorScale" priority="4025">
      <colorScale>
        <cfvo type="min"/>
        <cfvo type="percentile" val="50"/>
        <cfvo type="max"/>
        <color rgb="FFF8696B"/>
        <color rgb="FFFFEB84"/>
        <color rgb="FF63BE7B"/>
      </colorScale>
    </cfRule>
  </conditionalFormatting>
  <conditionalFormatting sqref="AU196">
    <cfRule type="colorScale" priority="4024">
      <colorScale>
        <cfvo type="min"/>
        <cfvo type="max"/>
        <color rgb="FFFCFCFF"/>
        <color rgb="FFF8696B"/>
      </colorScale>
    </cfRule>
  </conditionalFormatting>
  <conditionalFormatting sqref="AI153">
    <cfRule type="colorScale" priority="4023">
      <colorScale>
        <cfvo type="min"/>
        <cfvo type="percentile" val="50"/>
        <cfvo type="max"/>
        <color rgb="FFF8696B"/>
        <color rgb="FFFFEB84"/>
        <color rgb="FF63BE7B"/>
      </colorScale>
    </cfRule>
  </conditionalFormatting>
  <conditionalFormatting sqref="AI153">
    <cfRule type="colorScale" priority="4022">
      <colorScale>
        <cfvo type="min"/>
        <cfvo type="percentile" val="50"/>
        <cfvo type="max"/>
        <color rgb="FF63BE7B"/>
        <color rgb="FFFFEB84"/>
        <color rgb="FFF8696B"/>
      </colorScale>
    </cfRule>
  </conditionalFormatting>
  <conditionalFormatting sqref="AI153">
    <cfRule type="colorScale" priority="4019">
      <colorScale>
        <cfvo type="min"/>
        <cfvo type="max"/>
        <color rgb="FFFCFCFF"/>
        <color rgb="FFF8696B"/>
      </colorScale>
    </cfRule>
    <cfRule type="colorScale" priority="4021">
      <colorScale>
        <cfvo type="min"/>
        <cfvo type="percentile" val="50"/>
        <cfvo type="max"/>
        <color rgb="FF63BE7B"/>
        <color rgb="FFFFEB84"/>
        <color rgb="FFF8696B"/>
      </colorScale>
    </cfRule>
  </conditionalFormatting>
  <conditionalFormatting sqref="AI153">
    <cfRule type="colorScale" priority="4020">
      <colorScale>
        <cfvo type="min"/>
        <cfvo type="max"/>
        <color rgb="FFF8696B"/>
        <color rgb="FFFCFCFF"/>
      </colorScale>
    </cfRule>
  </conditionalFormatting>
  <conditionalFormatting sqref="AI153">
    <cfRule type="colorScale" priority="4018">
      <colorScale>
        <cfvo type="min"/>
        <cfvo type="percentile" val="50"/>
        <cfvo type="max"/>
        <color rgb="FFF8696B"/>
        <color rgb="FFFFEB84"/>
        <color rgb="FF63BE7B"/>
      </colorScale>
    </cfRule>
  </conditionalFormatting>
  <conditionalFormatting sqref="AI153">
    <cfRule type="colorScale" priority="4017">
      <colorScale>
        <cfvo type="min"/>
        <cfvo type="max"/>
        <color rgb="FFFCFCFF"/>
        <color rgb="FFF8696B"/>
      </colorScale>
    </cfRule>
  </conditionalFormatting>
  <conditionalFormatting sqref="AK153">
    <cfRule type="colorScale" priority="4016">
      <colorScale>
        <cfvo type="min"/>
        <cfvo type="percentile" val="50"/>
        <cfvo type="max"/>
        <color rgb="FFF8696B"/>
        <color rgb="FFFFEB84"/>
        <color rgb="FF63BE7B"/>
      </colorScale>
    </cfRule>
  </conditionalFormatting>
  <conditionalFormatting sqref="AK153">
    <cfRule type="colorScale" priority="4015">
      <colorScale>
        <cfvo type="min"/>
        <cfvo type="percentile" val="50"/>
        <cfvo type="max"/>
        <color rgb="FF63BE7B"/>
        <color rgb="FFFFEB84"/>
        <color rgb="FFF8696B"/>
      </colorScale>
    </cfRule>
  </conditionalFormatting>
  <conditionalFormatting sqref="AK153">
    <cfRule type="colorScale" priority="4012">
      <colorScale>
        <cfvo type="min"/>
        <cfvo type="max"/>
        <color rgb="FFFCFCFF"/>
        <color rgb="FFF8696B"/>
      </colorScale>
    </cfRule>
    <cfRule type="colorScale" priority="4014">
      <colorScale>
        <cfvo type="min"/>
        <cfvo type="percentile" val="50"/>
        <cfvo type="max"/>
        <color rgb="FF63BE7B"/>
        <color rgb="FFFFEB84"/>
        <color rgb="FFF8696B"/>
      </colorScale>
    </cfRule>
  </conditionalFormatting>
  <conditionalFormatting sqref="AK153">
    <cfRule type="colorScale" priority="4013">
      <colorScale>
        <cfvo type="min"/>
        <cfvo type="max"/>
        <color rgb="FFF8696B"/>
        <color rgb="FFFCFCFF"/>
      </colorScale>
    </cfRule>
  </conditionalFormatting>
  <conditionalFormatting sqref="AK153">
    <cfRule type="colorScale" priority="4011">
      <colorScale>
        <cfvo type="min"/>
        <cfvo type="percentile" val="50"/>
        <cfvo type="max"/>
        <color rgb="FFF8696B"/>
        <color rgb="FFFFEB84"/>
        <color rgb="FF63BE7B"/>
      </colorScale>
    </cfRule>
  </conditionalFormatting>
  <conditionalFormatting sqref="AK153">
    <cfRule type="colorScale" priority="4010">
      <colorScale>
        <cfvo type="min"/>
        <cfvo type="max"/>
        <color rgb="FFFCFCFF"/>
        <color rgb="FFF8696B"/>
      </colorScale>
    </cfRule>
  </conditionalFormatting>
  <conditionalFormatting sqref="AM153">
    <cfRule type="colorScale" priority="4009">
      <colorScale>
        <cfvo type="min"/>
        <cfvo type="percentile" val="50"/>
        <cfvo type="max"/>
        <color rgb="FFF8696B"/>
        <color rgb="FFFFEB84"/>
        <color rgb="FF63BE7B"/>
      </colorScale>
    </cfRule>
  </conditionalFormatting>
  <conditionalFormatting sqref="AM153">
    <cfRule type="colorScale" priority="4008">
      <colorScale>
        <cfvo type="min"/>
        <cfvo type="percentile" val="50"/>
        <cfvo type="max"/>
        <color rgb="FF63BE7B"/>
        <color rgb="FFFFEB84"/>
        <color rgb="FFF8696B"/>
      </colorScale>
    </cfRule>
  </conditionalFormatting>
  <conditionalFormatting sqref="AM153">
    <cfRule type="colorScale" priority="4005">
      <colorScale>
        <cfvo type="min"/>
        <cfvo type="max"/>
        <color rgb="FFFCFCFF"/>
        <color rgb="FFF8696B"/>
      </colorScale>
    </cfRule>
    <cfRule type="colorScale" priority="4007">
      <colorScale>
        <cfvo type="min"/>
        <cfvo type="percentile" val="50"/>
        <cfvo type="max"/>
        <color rgb="FF63BE7B"/>
        <color rgb="FFFFEB84"/>
        <color rgb="FFF8696B"/>
      </colorScale>
    </cfRule>
  </conditionalFormatting>
  <conditionalFormatting sqref="AM153">
    <cfRule type="colorScale" priority="4006">
      <colorScale>
        <cfvo type="min"/>
        <cfvo type="max"/>
        <color rgb="FFF8696B"/>
        <color rgb="FFFCFCFF"/>
      </colorScale>
    </cfRule>
  </conditionalFormatting>
  <conditionalFormatting sqref="AM153">
    <cfRule type="colorScale" priority="4004">
      <colorScale>
        <cfvo type="min"/>
        <cfvo type="percentile" val="50"/>
        <cfvo type="max"/>
        <color rgb="FFF8696B"/>
        <color rgb="FFFFEB84"/>
        <color rgb="FF63BE7B"/>
      </colorScale>
    </cfRule>
  </conditionalFormatting>
  <conditionalFormatting sqref="AM153">
    <cfRule type="colorScale" priority="4003">
      <colorScale>
        <cfvo type="min"/>
        <cfvo type="max"/>
        <color rgb="FFFCFCFF"/>
        <color rgb="FFF8696B"/>
      </colorScale>
    </cfRule>
  </conditionalFormatting>
  <conditionalFormatting sqref="AO153">
    <cfRule type="colorScale" priority="4002">
      <colorScale>
        <cfvo type="min"/>
        <cfvo type="percentile" val="50"/>
        <cfvo type="max"/>
        <color rgb="FFF8696B"/>
        <color rgb="FFFFEB84"/>
        <color rgb="FF63BE7B"/>
      </colorScale>
    </cfRule>
  </conditionalFormatting>
  <conditionalFormatting sqref="AO153">
    <cfRule type="colorScale" priority="4001">
      <colorScale>
        <cfvo type="min"/>
        <cfvo type="percentile" val="50"/>
        <cfvo type="max"/>
        <color rgb="FF63BE7B"/>
        <color rgb="FFFFEB84"/>
        <color rgb="FFF8696B"/>
      </colorScale>
    </cfRule>
  </conditionalFormatting>
  <conditionalFormatting sqref="AO153">
    <cfRule type="colorScale" priority="3998">
      <colorScale>
        <cfvo type="min"/>
        <cfvo type="max"/>
        <color rgb="FFFCFCFF"/>
        <color rgb="FFF8696B"/>
      </colorScale>
    </cfRule>
    <cfRule type="colorScale" priority="4000">
      <colorScale>
        <cfvo type="min"/>
        <cfvo type="percentile" val="50"/>
        <cfvo type="max"/>
        <color rgb="FF63BE7B"/>
        <color rgb="FFFFEB84"/>
        <color rgb="FFF8696B"/>
      </colorScale>
    </cfRule>
  </conditionalFormatting>
  <conditionalFormatting sqref="AO153">
    <cfRule type="colorScale" priority="3999">
      <colorScale>
        <cfvo type="min"/>
        <cfvo type="max"/>
        <color rgb="FFF8696B"/>
        <color rgb="FFFCFCFF"/>
      </colorScale>
    </cfRule>
  </conditionalFormatting>
  <conditionalFormatting sqref="AO153">
    <cfRule type="colorScale" priority="3997">
      <colorScale>
        <cfvo type="min"/>
        <cfvo type="percentile" val="50"/>
        <cfvo type="max"/>
        <color rgb="FFF8696B"/>
        <color rgb="FFFFEB84"/>
        <color rgb="FF63BE7B"/>
      </colorScale>
    </cfRule>
  </conditionalFormatting>
  <conditionalFormatting sqref="AO153">
    <cfRule type="colorScale" priority="3996">
      <colorScale>
        <cfvo type="min"/>
        <cfvo type="max"/>
        <color rgb="FFFCFCFF"/>
        <color rgb="FFF8696B"/>
      </colorScale>
    </cfRule>
  </conditionalFormatting>
  <conditionalFormatting sqref="AI110">
    <cfRule type="colorScale" priority="3995">
      <colorScale>
        <cfvo type="min"/>
        <cfvo type="percentile" val="50"/>
        <cfvo type="max"/>
        <color rgb="FFF8696B"/>
        <color rgb="FFFFEB84"/>
        <color rgb="FF63BE7B"/>
      </colorScale>
    </cfRule>
  </conditionalFormatting>
  <conditionalFormatting sqref="AI110">
    <cfRule type="colorScale" priority="3994">
      <colorScale>
        <cfvo type="min"/>
        <cfvo type="percentile" val="50"/>
        <cfvo type="max"/>
        <color rgb="FF63BE7B"/>
        <color rgb="FFFFEB84"/>
        <color rgb="FFF8696B"/>
      </colorScale>
    </cfRule>
  </conditionalFormatting>
  <conditionalFormatting sqref="AI110">
    <cfRule type="colorScale" priority="3991">
      <colorScale>
        <cfvo type="min"/>
        <cfvo type="max"/>
        <color rgb="FFFCFCFF"/>
        <color rgb="FFF8696B"/>
      </colorScale>
    </cfRule>
    <cfRule type="colorScale" priority="3993">
      <colorScale>
        <cfvo type="min"/>
        <cfvo type="percentile" val="50"/>
        <cfvo type="max"/>
        <color rgb="FF63BE7B"/>
        <color rgb="FFFFEB84"/>
        <color rgb="FFF8696B"/>
      </colorScale>
    </cfRule>
  </conditionalFormatting>
  <conditionalFormatting sqref="AI110">
    <cfRule type="colorScale" priority="3992">
      <colorScale>
        <cfvo type="min"/>
        <cfvo type="max"/>
        <color rgb="FFF8696B"/>
        <color rgb="FFFCFCFF"/>
      </colorScale>
    </cfRule>
  </conditionalFormatting>
  <conditionalFormatting sqref="AI110">
    <cfRule type="colorScale" priority="3990">
      <colorScale>
        <cfvo type="min"/>
        <cfvo type="percentile" val="50"/>
        <cfvo type="max"/>
        <color rgb="FFF8696B"/>
        <color rgb="FFFFEB84"/>
        <color rgb="FF63BE7B"/>
      </colorScale>
    </cfRule>
  </conditionalFormatting>
  <conditionalFormatting sqref="AI110">
    <cfRule type="colorScale" priority="3989">
      <colorScale>
        <cfvo type="min"/>
        <cfvo type="max"/>
        <color rgb="FFFCFCFF"/>
        <color rgb="FFF8696B"/>
      </colorScale>
    </cfRule>
  </conditionalFormatting>
  <conditionalFormatting sqref="AK110">
    <cfRule type="colorScale" priority="3988">
      <colorScale>
        <cfvo type="min"/>
        <cfvo type="percentile" val="50"/>
        <cfvo type="max"/>
        <color rgb="FFF8696B"/>
        <color rgb="FFFFEB84"/>
        <color rgb="FF63BE7B"/>
      </colorScale>
    </cfRule>
  </conditionalFormatting>
  <conditionalFormatting sqref="AK110">
    <cfRule type="colorScale" priority="3987">
      <colorScale>
        <cfvo type="min"/>
        <cfvo type="percentile" val="50"/>
        <cfvo type="max"/>
        <color rgb="FF63BE7B"/>
        <color rgb="FFFFEB84"/>
        <color rgb="FFF8696B"/>
      </colorScale>
    </cfRule>
  </conditionalFormatting>
  <conditionalFormatting sqref="AK110">
    <cfRule type="colorScale" priority="3984">
      <colorScale>
        <cfvo type="min"/>
        <cfvo type="max"/>
        <color rgb="FFFCFCFF"/>
        <color rgb="FFF8696B"/>
      </colorScale>
    </cfRule>
    <cfRule type="colorScale" priority="3986">
      <colorScale>
        <cfvo type="min"/>
        <cfvo type="percentile" val="50"/>
        <cfvo type="max"/>
        <color rgb="FF63BE7B"/>
        <color rgb="FFFFEB84"/>
        <color rgb="FFF8696B"/>
      </colorScale>
    </cfRule>
  </conditionalFormatting>
  <conditionalFormatting sqref="AK110">
    <cfRule type="colorScale" priority="3985">
      <colorScale>
        <cfvo type="min"/>
        <cfvo type="max"/>
        <color rgb="FFF8696B"/>
        <color rgb="FFFCFCFF"/>
      </colorScale>
    </cfRule>
  </conditionalFormatting>
  <conditionalFormatting sqref="AK110">
    <cfRule type="colorScale" priority="3983">
      <colorScale>
        <cfvo type="min"/>
        <cfvo type="percentile" val="50"/>
        <cfvo type="max"/>
        <color rgb="FFF8696B"/>
        <color rgb="FFFFEB84"/>
        <color rgb="FF63BE7B"/>
      </colorScale>
    </cfRule>
  </conditionalFormatting>
  <conditionalFormatting sqref="AK110">
    <cfRule type="colorScale" priority="3982">
      <colorScale>
        <cfvo type="min"/>
        <cfvo type="max"/>
        <color rgb="FFFCFCFF"/>
        <color rgb="FFF8696B"/>
      </colorScale>
    </cfRule>
  </conditionalFormatting>
  <conditionalFormatting sqref="AM110">
    <cfRule type="colorScale" priority="3981">
      <colorScale>
        <cfvo type="min"/>
        <cfvo type="percentile" val="50"/>
        <cfvo type="max"/>
        <color rgb="FFF8696B"/>
        <color rgb="FFFFEB84"/>
        <color rgb="FF63BE7B"/>
      </colorScale>
    </cfRule>
  </conditionalFormatting>
  <conditionalFormatting sqref="AM110">
    <cfRule type="colorScale" priority="3980">
      <colorScale>
        <cfvo type="min"/>
        <cfvo type="percentile" val="50"/>
        <cfvo type="max"/>
        <color rgb="FF63BE7B"/>
        <color rgb="FFFFEB84"/>
        <color rgb="FFF8696B"/>
      </colorScale>
    </cfRule>
  </conditionalFormatting>
  <conditionalFormatting sqref="AM110">
    <cfRule type="colorScale" priority="3977">
      <colorScale>
        <cfvo type="min"/>
        <cfvo type="max"/>
        <color rgb="FFFCFCFF"/>
        <color rgb="FFF8696B"/>
      </colorScale>
    </cfRule>
    <cfRule type="colorScale" priority="3979">
      <colorScale>
        <cfvo type="min"/>
        <cfvo type="percentile" val="50"/>
        <cfvo type="max"/>
        <color rgb="FF63BE7B"/>
        <color rgb="FFFFEB84"/>
        <color rgb="FFF8696B"/>
      </colorScale>
    </cfRule>
  </conditionalFormatting>
  <conditionalFormatting sqref="AM110">
    <cfRule type="colorScale" priority="3978">
      <colorScale>
        <cfvo type="min"/>
        <cfvo type="max"/>
        <color rgb="FFF8696B"/>
        <color rgb="FFFCFCFF"/>
      </colorScale>
    </cfRule>
  </conditionalFormatting>
  <conditionalFormatting sqref="AM110">
    <cfRule type="colorScale" priority="3976">
      <colorScale>
        <cfvo type="min"/>
        <cfvo type="percentile" val="50"/>
        <cfvo type="max"/>
        <color rgb="FFF8696B"/>
        <color rgb="FFFFEB84"/>
        <color rgb="FF63BE7B"/>
      </colorScale>
    </cfRule>
  </conditionalFormatting>
  <conditionalFormatting sqref="AM110">
    <cfRule type="colorScale" priority="3975">
      <colorScale>
        <cfvo type="min"/>
        <cfvo type="max"/>
        <color rgb="FFFCFCFF"/>
        <color rgb="FFF8696B"/>
      </colorScale>
    </cfRule>
  </conditionalFormatting>
  <conditionalFormatting sqref="AI24">
    <cfRule type="colorScale" priority="3974">
      <colorScale>
        <cfvo type="min"/>
        <cfvo type="percentile" val="50"/>
        <cfvo type="max"/>
        <color rgb="FFF8696B"/>
        <color rgb="FFFFEB84"/>
        <color rgb="FF63BE7B"/>
      </colorScale>
    </cfRule>
  </conditionalFormatting>
  <conditionalFormatting sqref="AI24">
    <cfRule type="colorScale" priority="3973">
      <colorScale>
        <cfvo type="min"/>
        <cfvo type="percentile" val="50"/>
        <cfvo type="max"/>
        <color rgb="FF63BE7B"/>
        <color rgb="FFFFEB84"/>
        <color rgb="FFF8696B"/>
      </colorScale>
    </cfRule>
  </conditionalFormatting>
  <conditionalFormatting sqref="AI24">
    <cfRule type="colorScale" priority="3970">
      <colorScale>
        <cfvo type="min"/>
        <cfvo type="max"/>
        <color rgb="FFFCFCFF"/>
        <color rgb="FFF8696B"/>
      </colorScale>
    </cfRule>
    <cfRule type="colorScale" priority="3972">
      <colorScale>
        <cfvo type="min"/>
        <cfvo type="percentile" val="50"/>
        <cfvo type="max"/>
        <color rgb="FF63BE7B"/>
        <color rgb="FFFFEB84"/>
        <color rgb="FFF8696B"/>
      </colorScale>
    </cfRule>
  </conditionalFormatting>
  <conditionalFormatting sqref="AI24">
    <cfRule type="colorScale" priority="3971">
      <colorScale>
        <cfvo type="min"/>
        <cfvo type="max"/>
        <color rgb="FFF8696B"/>
        <color rgb="FFFCFCFF"/>
      </colorScale>
    </cfRule>
  </conditionalFormatting>
  <conditionalFormatting sqref="AI24">
    <cfRule type="colorScale" priority="3969">
      <colorScale>
        <cfvo type="min"/>
        <cfvo type="percentile" val="50"/>
        <cfvo type="max"/>
        <color rgb="FFF8696B"/>
        <color rgb="FFFFEB84"/>
        <color rgb="FF63BE7B"/>
      </colorScale>
    </cfRule>
  </conditionalFormatting>
  <conditionalFormatting sqref="AI24">
    <cfRule type="colorScale" priority="3968">
      <colorScale>
        <cfvo type="min"/>
        <cfvo type="max"/>
        <color rgb="FFFCFCFF"/>
        <color rgb="FFF8696B"/>
      </colorScale>
    </cfRule>
  </conditionalFormatting>
  <conditionalFormatting sqref="AK24">
    <cfRule type="colorScale" priority="3967">
      <colorScale>
        <cfvo type="min"/>
        <cfvo type="percentile" val="50"/>
        <cfvo type="max"/>
        <color rgb="FFF8696B"/>
        <color rgb="FFFFEB84"/>
        <color rgb="FF63BE7B"/>
      </colorScale>
    </cfRule>
  </conditionalFormatting>
  <conditionalFormatting sqref="AK24">
    <cfRule type="colorScale" priority="3966">
      <colorScale>
        <cfvo type="min"/>
        <cfvo type="percentile" val="50"/>
        <cfvo type="max"/>
        <color rgb="FF63BE7B"/>
        <color rgb="FFFFEB84"/>
        <color rgb="FFF8696B"/>
      </colorScale>
    </cfRule>
  </conditionalFormatting>
  <conditionalFormatting sqref="AK24">
    <cfRule type="colorScale" priority="3963">
      <colorScale>
        <cfvo type="min"/>
        <cfvo type="max"/>
        <color rgb="FFFCFCFF"/>
        <color rgb="FFF8696B"/>
      </colorScale>
    </cfRule>
    <cfRule type="colorScale" priority="3965">
      <colorScale>
        <cfvo type="min"/>
        <cfvo type="percentile" val="50"/>
        <cfvo type="max"/>
        <color rgb="FF63BE7B"/>
        <color rgb="FFFFEB84"/>
        <color rgb="FFF8696B"/>
      </colorScale>
    </cfRule>
  </conditionalFormatting>
  <conditionalFormatting sqref="AK24">
    <cfRule type="colorScale" priority="3964">
      <colorScale>
        <cfvo type="min"/>
        <cfvo type="max"/>
        <color rgb="FFF8696B"/>
        <color rgb="FFFCFCFF"/>
      </colorScale>
    </cfRule>
  </conditionalFormatting>
  <conditionalFormatting sqref="AK24">
    <cfRule type="colorScale" priority="3962">
      <colorScale>
        <cfvo type="min"/>
        <cfvo type="percentile" val="50"/>
        <cfvo type="max"/>
        <color rgb="FFF8696B"/>
        <color rgb="FFFFEB84"/>
        <color rgb="FF63BE7B"/>
      </colorScale>
    </cfRule>
  </conditionalFormatting>
  <conditionalFormatting sqref="AK24">
    <cfRule type="colorScale" priority="3961">
      <colorScale>
        <cfvo type="min"/>
        <cfvo type="max"/>
        <color rgb="FFFCFCFF"/>
        <color rgb="FFF8696B"/>
      </colorScale>
    </cfRule>
  </conditionalFormatting>
  <conditionalFormatting sqref="BC239">
    <cfRule type="colorScale" priority="3960">
      <colorScale>
        <cfvo type="min"/>
        <cfvo type="percentile" val="50"/>
        <cfvo type="max"/>
        <color rgb="FFF8696B"/>
        <color rgb="FFFFEB84"/>
        <color rgb="FF63BE7B"/>
      </colorScale>
    </cfRule>
  </conditionalFormatting>
  <conditionalFormatting sqref="BC239">
    <cfRule type="colorScale" priority="3959">
      <colorScale>
        <cfvo type="min"/>
        <cfvo type="percentile" val="50"/>
        <cfvo type="max"/>
        <color rgb="FF63BE7B"/>
        <color rgb="FFFFEB84"/>
        <color rgb="FFF8696B"/>
      </colorScale>
    </cfRule>
  </conditionalFormatting>
  <conditionalFormatting sqref="BC239">
    <cfRule type="colorScale" priority="3956">
      <colorScale>
        <cfvo type="min"/>
        <cfvo type="max"/>
        <color rgb="FFFCFCFF"/>
        <color rgb="FFF8696B"/>
      </colorScale>
    </cfRule>
    <cfRule type="colorScale" priority="3958">
      <colorScale>
        <cfvo type="min"/>
        <cfvo type="percentile" val="50"/>
        <cfvo type="max"/>
        <color rgb="FF63BE7B"/>
        <color rgb="FFFFEB84"/>
        <color rgb="FFF8696B"/>
      </colorScale>
    </cfRule>
  </conditionalFormatting>
  <conditionalFormatting sqref="BC239">
    <cfRule type="colorScale" priority="3957">
      <colorScale>
        <cfvo type="min"/>
        <cfvo type="max"/>
        <color rgb="FFF8696B"/>
        <color rgb="FFFCFCFF"/>
      </colorScale>
    </cfRule>
  </conditionalFormatting>
  <conditionalFormatting sqref="BC239">
    <cfRule type="colorScale" priority="3955">
      <colorScale>
        <cfvo type="min"/>
        <cfvo type="percentile" val="50"/>
        <cfvo type="max"/>
        <color rgb="FFF8696B"/>
        <color rgb="FFFFEB84"/>
        <color rgb="FF63BE7B"/>
      </colorScale>
    </cfRule>
  </conditionalFormatting>
  <conditionalFormatting sqref="BC239">
    <cfRule type="colorScale" priority="3954">
      <colorScale>
        <cfvo type="min"/>
        <cfvo type="max"/>
        <color rgb="FFFCFCFF"/>
        <color rgb="FFF8696B"/>
      </colorScale>
    </cfRule>
  </conditionalFormatting>
  <conditionalFormatting sqref="BE239">
    <cfRule type="colorScale" priority="3953">
      <colorScale>
        <cfvo type="min"/>
        <cfvo type="percentile" val="50"/>
        <cfvo type="max"/>
        <color rgb="FFF8696B"/>
        <color rgb="FFFFEB84"/>
        <color rgb="FF63BE7B"/>
      </colorScale>
    </cfRule>
  </conditionalFormatting>
  <conditionalFormatting sqref="BE239">
    <cfRule type="colorScale" priority="3952">
      <colorScale>
        <cfvo type="min"/>
        <cfvo type="percentile" val="50"/>
        <cfvo type="max"/>
        <color rgb="FF63BE7B"/>
        <color rgb="FFFFEB84"/>
        <color rgb="FFF8696B"/>
      </colorScale>
    </cfRule>
  </conditionalFormatting>
  <conditionalFormatting sqref="BE239">
    <cfRule type="colorScale" priority="3949">
      <colorScale>
        <cfvo type="min"/>
        <cfvo type="max"/>
        <color rgb="FFFCFCFF"/>
        <color rgb="FFF8696B"/>
      </colorScale>
    </cfRule>
    <cfRule type="colorScale" priority="3951">
      <colorScale>
        <cfvo type="min"/>
        <cfvo type="percentile" val="50"/>
        <cfvo type="max"/>
        <color rgb="FF63BE7B"/>
        <color rgb="FFFFEB84"/>
        <color rgb="FFF8696B"/>
      </colorScale>
    </cfRule>
  </conditionalFormatting>
  <conditionalFormatting sqref="BE239">
    <cfRule type="colorScale" priority="3950">
      <colorScale>
        <cfvo type="min"/>
        <cfvo type="max"/>
        <color rgb="FFF8696B"/>
        <color rgb="FFFCFCFF"/>
      </colorScale>
    </cfRule>
  </conditionalFormatting>
  <conditionalFormatting sqref="BE239">
    <cfRule type="colorScale" priority="3948">
      <colorScale>
        <cfvo type="min"/>
        <cfvo type="percentile" val="50"/>
        <cfvo type="max"/>
        <color rgb="FFF8696B"/>
        <color rgb="FFFFEB84"/>
        <color rgb="FF63BE7B"/>
      </colorScale>
    </cfRule>
  </conditionalFormatting>
  <conditionalFormatting sqref="BE239">
    <cfRule type="colorScale" priority="3947">
      <colorScale>
        <cfvo type="min"/>
        <cfvo type="max"/>
        <color rgb="FFFCFCFF"/>
        <color rgb="FFF8696B"/>
      </colorScale>
    </cfRule>
  </conditionalFormatting>
  <conditionalFormatting sqref="BG239">
    <cfRule type="colorScale" priority="3946">
      <colorScale>
        <cfvo type="min"/>
        <cfvo type="percentile" val="50"/>
        <cfvo type="max"/>
        <color rgb="FFF8696B"/>
        <color rgb="FFFFEB84"/>
        <color rgb="FF63BE7B"/>
      </colorScale>
    </cfRule>
  </conditionalFormatting>
  <conditionalFormatting sqref="BG239">
    <cfRule type="colorScale" priority="3945">
      <colorScale>
        <cfvo type="min"/>
        <cfvo type="percentile" val="50"/>
        <cfvo type="max"/>
        <color rgb="FF63BE7B"/>
        <color rgb="FFFFEB84"/>
        <color rgb="FFF8696B"/>
      </colorScale>
    </cfRule>
  </conditionalFormatting>
  <conditionalFormatting sqref="BG239">
    <cfRule type="colorScale" priority="3942">
      <colorScale>
        <cfvo type="min"/>
        <cfvo type="max"/>
        <color rgb="FFFCFCFF"/>
        <color rgb="FFF8696B"/>
      </colorScale>
    </cfRule>
    <cfRule type="colorScale" priority="3944">
      <colorScale>
        <cfvo type="min"/>
        <cfvo type="percentile" val="50"/>
        <cfvo type="max"/>
        <color rgb="FF63BE7B"/>
        <color rgb="FFFFEB84"/>
        <color rgb="FFF8696B"/>
      </colorScale>
    </cfRule>
  </conditionalFormatting>
  <conditionalFormatting sqref="BG239">
    <cfRule type="colorScale" priority="3943">
      <colorScale>
        <cfvo type="min"/>
        <cfvo type="max"/>
        <color rgb="FFF8696B"/>
        <color rgb="FFFCFCFF"/>
      </colorScale>
    </cfRule>
  </conditionalFormatting>
  <conditionalFormatting sqref="BG239">
    <cfRule type="colorScale" priority="3941">
      <colorScale>
        <cfvo type="min"/>
        <cfvo type="percentile" val="50"/>
        <cfvo type="max"/>
        <color rgb="FFF8696B"/>
        <color rgb="FFFFEB84"/>
        <color rgb="FF63BE7B"/>
      </colorScale>
    </cfRule>
  </conditionalFormatting>
  <conditionalFormatting sqref="BG239">
    <cfRule type="colorScale" priority="3940">
      <colorScale>
        <cfvo type="min"/>
        <cfvo type="max"/>
        <color rgb="FFFCFCFF"/>
        <color rgb="FFF8696B"/>
      </colorScale>
    </cfRule>
  </conditionalFormatting>
  <conditionalFormatting sqref="BI239">
    <cfRule type="colorScale" priority="3939">
      <colorScale>
        <cfvo type="min"/>
        <cfvo type="percentile" val="50"/>
        <cfvo type="max"/>
        <color rgb="FFF8696B"/>
        <color rgb="FFFFEB84"/>
        <color rgb="FF63BE7B"/>
      </colorScale>
    </cfRule>
  </conditionalFormatting>
  <conditionalFormatting sqref="BI239">
    <cfRule type="colorScale" priority="3938">
      <colorScale>
        <cfvo type="min"/>
        <cfvo type="percentile" val="50"/>
        <cfvo type="max"/>
        <color rgb="FF63BE7B"/>
        <color rgb="FFFFEB84"/>
        <color rgb="FFF8696B"/>
      </colorScale>
    </cfRule>
  </conditionalFormatting>
  <conditionalFormatting sqref="BI239">
    <cfRule type="colorScale" priority="3935">
      <colorScale>
        <cfvo type="min"/>
        <cfvo type="max"/>
        <color rgb="FFFCFCFF"/>
        <color rgb="FFF8696B"/>
      </colorScale>
    </cfRule>
    <cfRule type="colorScale" priority="3937">
      <colorScale>
        <cfvo type="min"/>
        <cfvo type="percentile" val="50"/>
        <cfvo type="max"/>
        <color rgb="FF63BE7B"/>
        <color rgb="FFFFEB84"/>
        <color rgb="FFF8696B"/>
      </colorScale>
    </cfRule>
  </conditionalFormatting>
  <conditionalFormatting sqref="BI239">
    <cfRule type="colorScale" priority="3936">
      <colorScale>
        <cfvo type="min"/>
        <cfvo type="max"/>
        <color rgb="FFF8696B"/>
        <color rgb="FFFCFCFF"/>
      </colorScale>
    </cfRule>
  </conditionalFormatting>
  <conditionalFormatting sqref="BI239">
    <cfRule type="colorScale" priority="3934">
      <colorScale>
        <cfvo type="min"/>
        <cfvo type="percentile" val="50"/>
        <cfvo type="max"/>
        <color rgb="FFF8696B"/>
        <color rgb="FFFFEB84"/>
        <color rgb="FF63BE7B"/>
      </colorScale>
    </cfRule>
  </conditionalFormatting>
  <conditionalFormatting sqref="BI239">
    <cfRule type="colorScale" priority="3933">
      <colorScale>
        <cfvo type="min"/>
        <cfvo type="max"/>
        <color rgb="FFFCFCFF"/>
        <color rgb="FFF8696B"/>
      </colorScale>
    </cfRule>
  </conditionalFormatting>
  <conditionalFormatting sqref="BK239">
    <cfRule type="colorScale" priority="3932">
      <colorScale>
        <cfvo type="min"/>
        <cfvo type="percentile" val="50"/>
        <cfvo type="max"/>
        <color rgb="FFF8696B"/>
        <color rgb="FFFFEB84"/>
        <color rgb="FF63BE7B"/>
      </colorScale>
    </cfRule>
  </conditionalFormatting>
  <conditionalFormatting sqref="BK239">
    <cfRule type="colorScale" priority="3931">
      <colorScale>
        <cfvo type="min"/>
        <cfvo type="percentile" val="50"/>
        <cfvo type="max"/>
        <color rgb="FF63BE7B"/>
        <color rgb="FFFFEB84"/>
        <color rgb="FFF8696B"/>
      </colorScale>
    </cfRule>
  </conditionalFormatting>
  <conditionalFormatting sqref="BK239">
    <cfRule type="colorScale" priority="3928">
      <colorScale>
        <cfvo type="min"/>
        <cfvo type="max"/>
        <color rgb="FFFCFCFF"/>
        <color rgb="FFF8696B"/>
      </colorScale>
    </cfRule>
    <cfRule type="colorScale" priority="3930">
      <colorScale>
        <cfvo type="min"/>
        <cfvo type="percentile" val="50"/>
        <cfvo type="max"/>
        <color rgb="FF63BE7B"/>
        <color rgb="FFFFEB84"/>
        <color rgb="FFF8696B"/>
      </colorScale>
    </cfRule>
  </conditionalFormatting>
  <conditionalFormatting sqref="BK239">
    <cfRule type="colorScale" priority="3929">
      <colorScale>
        <cfvo type="min"/>
        <cfvo type="max"/>
        <color rgb="FFF8696B"/>
        <color rgb="FFFCFCFF"/>
      </colorScale>
    </cfRule>
  </conditionalFormatting>
  <conditionalFormatting sqref="BK239">
    <cfRule type="colorScale" priority="3927">
      <colorScale>
        <cfvo type="min"/>
        <cfvo type="percentile" val="50"/>
        <cfvo type="max"/>
        <color rgb="FFF8696B"/>
        <color rgb="FFFFEB84"/>
        <color rgb="FF63BE7B"/>
      </colorScale>
    </cfRule>
  </conditionalFormatting>
  <conditionalFormatting sqref="BK239">
    <cfRule type="colorScale" priority="3926">
      <colorScale>
        <cfvo type="min"/>
        <cfvo type="max"/>
        <color rgb="FFFCFCFF"/>
        <color rgb="FFF8696B"/>
      </colorScale>
    </cfRule>
  </conditionalFormatting>
  <conditionalFormatting sqref="AY196">
    <cfRule type="colorScale" priority="3925">
      <colorScale>
        <cfvo type="min"/>
        <cfvo type="percentile" val="50"/>
        <cfvo type="max"/>
        <color rgb="FFF8696B"/>
        <color rgb="FFFFEB84"/>
        <color rgb="FF63BE7B"/>
      </colorScale>
    </cfRule>
  </conditionalFormatting>
  <conditionalFormatting sqref="AY196">
    <cfRule type="colorScale" priority="3924">
      <colorScale>
        <cfvo type="min"/>
        <cfvo type="percentile" val="50"/>
        <cfvo type="max"/>
        <color rgb="FF63BE7B"/>
        <color rgb="FFFFEB84"/>
        <color rgb="FFF8696B"/>
      </colorScale>
    </cfRule>
  </conditionalFormatting>
  <conditionalFormatting sqref="AY196">
    <cfRule type="colorScale" priority="3921">
      <colorScale>
        <cfvo type="min"/>
        <cfvo type="max"/>
        <color rgb="FFFCFCFF"/>
        <color rgb="FFF8696B"/>
      </colorScale>
    </cfRule>
    <cfRule type="colorScale" priority="3923">
      <colorScale>
        <cfvo type="min"/>
        <cfvo type="percentile" val="50"/>
        <cfvo type="max"/>
        <color rgb="FF63BE7B"/>
        <color rgb="FFFFEB84"/>
        <color rgb="FFF8696B"/>
      </colorScale>
    </cfRule>
  </conditionalFormatting>
  <conditionalFormatting sqref="AY196">
    <cfRule type="colorScale" priority="3922">
      <colorScale>
        <cfvo type="min"/>
        <cfvo type="max"/>
        <color rgb="FFF8696B"/>
        <color rgb="FFFCFCFF"/>
      </colorScale>
    </cfRule>
  </conditionalFormatting>
  <conditionalFormatting sqref="AY196">
    <cfRule type="colorScale" priority="3920">
      <colorScale>
        <cfvo type="min"/>
        <cfvo type="percentile" val="50"/>
        <cfvo type="max"/>
        <color rgb="FFF8696B"/>
        <color rgb="FFFFEB84"/>
        <color rgb="FF63BE7B"/>
      </colorScale>
    </cfRule>
  </conditionalFormatting>
  <conditionalFormatting sqref="AY196">
    <cfRule type="colorScale" priority="3919">
      <colorScale>
        <cfvo type="min"/>
        <cfvo type="max"/>
        <color rgb="FFFCFCFF"/>
        <color rgb="FFF8696B"/>
      </colorScale>
    </cfRule>
  </conditionalFormatting>
  <conditionalFormatting sqref="BA196">
    <cfRule type="colorScale" priority="3918">
      <colorScale>
        <cfvo type="min"/>
        <cfvo type="percentile" val="50"/>
        <cfvo type="max"/>
        <color rgb="FFF8696B"/>
        <color rgb="FFFFEB84"/>
        <color rgb="FF63BE7B"/>
      </colorScale>
    </cfRule>
  </conditionalFormatting>
  <conditionalFormatting sqref="BA196">
    <cfRule type="colorScale" priority="3917">
      <colorScale>
        <cfvo type="min"/>
        <cfvo type="percentile" val="50"/>
        <cfvo type="max"/>
        <color rgb="FF63BE7B"/>
        <color rgb="FFFFEB84"/>
        <color rgb="FFF8696B"/>
      </colorScale>
    </cfRule>
  </conditionalFormatting>
  <conditionalFormatting sqref="BA196">
    <cfRule type="colorScale" priority="3914">
      <colorScale>
        <cfvo type="min"/>
        <cfvo type="max"/>
        <color rgb="FFFCFCFF"/>
        <color rgb="FFF8696B"/>
      </colorScale>
    </cfRule>
    <cfRule type="colorScale" priority="3916">
      <colorScale>
        <cfvo type="min"/>
        <cfvo type="percentile" val="50"/>
        <cfvo type="max"/>
        <color rgb="FF63BE7B"/>
        <color rgb="FFFFEB84"/>
        <color rgb="FFF8696B"/>
      </colorScale>
    </cfRule>
  </conditionalFormatting>
  <conditionalFormatting sqref="BA196">
    <cfRule type="colorScale" priority="3915">
      <colorScale>
        <cfvo type="min"/>
        <cfvo type="max"/>
        <color rgb="FFF8696B"/>
        <color rgb="FFFCFCFF"/>
      </colorScale>
    </cfRule>
  </conditionalFormatting>
  <conditionalFormatting sqref="BA196">
    <cfRule type="colorScale" priority="3913">
      <colorScale>
        <cfvo type="min"/>
        <cfvo type="percentile" val="50"/>
        <cfvo type="max"/>
        <color rgb="FFF8696B"/>
        <color rgb="FFFFEB84"/>
        <color rgb="FF63BE7B"/>
      </colorScale>
    </cfRule>
  </conditionalFormatting>
  <conditionalFormatting sqref="BA196">
    <cfRule type="colorScale" priority="3912">
      <colorScale>
        <cfvo type="min"/>
        <cfvo type="max"/>
        <color rgb="FFFCFCFF"/>
        <color rgb="FFF8696B"/>
      </colorScale>
    </cfRule>
  </conditionalFormatting>
  <conditionalFormatting sqref="BC196">
    <cfRule type="colorScale" priority="3911">
      <colorScale>
        <cfvo type="min"/>
        <cfvo type="percentile" val="50"/>
        <cfvo type="max"/>
        <color rgb="FFF8696B"/>
        <color rgb="FFFFEB84"/>
        <color rgb="FF63BE7B"/>
      </colorScale>
    </cfRule>
  </conditionalFormatting>
  <conditionalFormatting sqref="BC196">
    <cfRule type="colorScale" priority="3910">
      <colorScale>
        <cfvo type="min"/>
        <cfvo type="percentile" val="50"/>
        <cfvo type="max"/>
        <color rgb="FF63BE7B"/>
        <color rgb="FFFFEB84"/>
        <color rgb="FFF8696B"/>
      </colorScale>
    </cfRule>
  </conditionalFormatting>
  <conditionalFormatting sqref="BC196">
    <cfRule type="colorScale" priority="3907">
      <colorScale>
        <cfvo type="min"/>
        <cfvo type="max"/>
        <color rgb="FFFCFCFF"/>
        <color rgb="FFF8696B"/>
      </colorScale>
    </cfRule>
    <cfRule type="colorScale" priority="3909">
      <colorScale>
        <cfvo type="min"/>
        <cfvo type="percentile" val="50"/>
        <cfvo type="max"/>
        <color rgb="FF63BE7B"/>
        <color rgb="FFFFEB84"/>
        <color rgb="FFF8696B"/>
      </colorScale>
    </cfRule>
  </conditionalFormatting>
  <conditionalFormatting sqref="BC196">
    <cfRule type="colorScale" priority="3908">
      <colorScale>
        <cfvo type="min"/>
        <cfvo type="max"/>
        <color rgb="FFF8696B"/>
        <color rgb="FFFCFCFF"/>
      </colorScale>
    </cfRule>
  </conditionalFormatting>
  <conditionalFormatting sqref="BC196">
    <cfRule type="colorScale" priority="3906">
      <colorScale>
        <cfvo type="min"/>
        <cfvo type="percentile" val="50"/>
        <cfvo type="max"/>
        <color rgb="FFF8696B"/>
        <color rgb="FFFFEB84"/>
        <color rgb="FF63BE7B"/>
      </colorScale>
    </cfRule>
  </conditionalFormatting>
  <conditionalFormatting sqref="BC196">
    <cfRule type="colorScale" priority="3905">
      <colorScale>
        <cfvo type="min"/>
        <cfvo type="max"/>
        <color rgb="FFFCFCFF"/>
        <color rgb="FFF8696B"/>
      </colorScale>
    </cfRule>
  </conditionalFormatting>
  <conditionalFormatting sqref="BE196">
    <cfRule type="colorScale" priority="3904">
      <colorScale>
        <cfvo type="min"/>
        <cfvo type="percentile" val="50"/>
        <cfvo type="max"/>
        <color rgb="FFF8696B"/>
        <color rgb="FFFFEB84"/>
        <color rgb="FF63BE7B"/>
      </colorScale>
    </cfRule>
  </conditionalFormatting>
  <conditionalFormatting sqref="BE196">
    <cfRule type="colorScale" priority="3903">
      <colorScale>
        <cfvo type="min"/>
        <cfvo type="percentile" val="50"/>
        <cfvo type="max"/>
        <color rgb="FF63BE7B"/>
        <color rgb="FFFFEB84"/>
        <color rgb="FFF8696B"/>
      </colorScale>
    </cfRule>
  </conditionalFormatting>
  <conditionalFormatting sqref="BE196">
    <cfRule type="colorScale" priority="3900">
      <colorScale>
        <cfvo type="min"/>
        <cfvo type="max"/>
        <color rgb="FFFCFCFF"/>
        <color rgb="FFF8696B"/>
      </colorScale>
    </cfRule>
    <cfRule type="colorScale" priority="3902">
      <colorScale>
        <cfvo type="min"/>
        <cfvo type="percentile" val="50"/>
        <cfvo type="max"/>
        <color rgb="FF63BE7B"/>
        <color rgb="FFFFEB84"/>
        <color rgb="FFF8696B"/>
      </colorScale>
    </cfRule>
  </conditionalFormatting>
  <conditionalFormatting sqref="BE196">
    <cfRule type="colorScale" priority="3901">
      <colorScale>
        <cfvo type="min"/>
        <cfvo type="max"/>
        <color rgb="FFF8696B"/>
        <color rgb="FFFCFCFF"/>
      </colorScale>
    </cfRule>
  </conditionalFormatting>
  <conditionalFormatting sqref="BE196">
    <cfRule type="colorScale" priority="3899">
      <colorScale>
        <cfvo type="min"/>
        <cfvo type="percentile" val="50"/>
        <cfvo type="max"/>
        <color rgb="FFF8696B"/>
        <color rgb="FFFFEB84"/>
        <color rgb="FF63BE7B"/>
      </colorScale>
    </cfRule>
  </conditionalFormatting>
  <conditionalFormatting sqref="BE196">
    <cfRule type="colorScale" priority="3898">
      <colorScale>
        <cfvo type="min"/>
        <cfvo type="max"/>
        <color rgb="FFFCFCFF"/>
        <color rgb="FFF8696B"/>
      </colorScale>
    </cfRule>
  </conditionalFormatting>
  <conditionalFormatting sqref="BG196">
    <cfRule type="colorScale" priority="3897">
      <colorScale>
        <cfvo type="min"/>
        <cfvo type="percentile" val="50"/>
        <cfvo type="max"/>
        <color rgb="FFF8696B"/>
        <color rgb="FFFFEB84"/>
        <color rgb="FF63BE7B"/>
      </colorScale>
    </cfRule>
  </conditionalFormatting>
  <conditionalFormatting sqref="BG196">
    <cfRule type="colorScale" priority="3896">
      <colorScale>
        <cfvo type="min"/>
        <cfvo type="percentile" val="50"/>
        <cfvo type="max"/>
        <color rgb="FF63BE7B"/>
        <color rgb="FFFFEB84"/>
        <color rgb="FFF8696B"/>
      </colorScale>
    </cfRule>
  </conditionalFormatting>
  <conditionalFormatting sqref="BG196">
    <cfRule type="colorScale" priority="3893">
      <colorScale>
        <cfvo type="min"/>
        <cfvo type="max"/>
        <color rgb="FFFCFCFF"/>
        <color rgb="FFF8696B"/>
      </colorScale>
    </cfRule>
    <cfRule type="colorScale" priority="3895">
      <colorScale>
        <cfvo type="min"/>
        <cfvo type="percentile" val="50"/>
        <cfvo type="max"/>
        <color rgb="FF63BE7B"/>
        <color rgb="FFFFEB84"/>
        <color rgb="FFF8696B"/>
      </colorScale>
    </cfRule>
  </conditionalFormatting>
  <conditionalFormatting sqref="BG196">
    <cfRule type="colorScale" priority="3894">
      <colorScale>
        <cfvo type="min"/>
        <cfvo type="max"/>
        <color rgb="FFF8696B"/>
        <color rgb="FFFCFCFF"/>
      </colorScale>
    </cfRule>
  </conditionalFormatting>
  <conditionalFormatting sqref="BG196">
    <cfRule type="colorScale" priority="3892">
      <colorScale>
        <cfvo type="min"/>
        <cfvo type="percentile" val="50"/>
        <cfvo type="max"/>
        <color rgb="FFF8696B"/>
        <color rgb="FFFFEB84"/>
        <color rgb="FF63BE7B"/>
      </colorScale>
    </cfRule>
  </conditionalFormatting>
  <conditionalFormatting sqref="BG196">
    <cfRule type="colorScale" priority="3891">
      <colorScale>
        <cfvo type="min"/>
        <cfvo type="max"/>
        <color rgb="FFFCFCFF"/>
        <color rgb="FFF8696B"/>
      </colorScale>
    </cfRule>
  </conditionalFormatting>
  <conditionalFormatting sqref="BI196">
    <cfRule type="colorScale" priority="3890">
      <colorScale>
        <cfvo type="min"/>
        <cfvo type="percentile" val="50"/>
        <cfvo type="max"/>
        <color rgb="FFF8696B"/>
        <color rgb="FFFFEB84"/>
        <color rgb="FF63BE7B"/>
      </colorScale>
    </cfRule>
  </conditionalFormatting>
  <conditionalFormatting sqref="BI196">
    <cfRule type="colorScale" priority="3889">
      <colorScale>
        <cfvo type="min"/>
        <cfvo type="percentile" val="50"/>
        <cfvo type="max"/>
        <color rgb="FF63BE7B"/>
        <color rgb="FFFFEB84"/>
        <color rgb="FFF8696B"/>
      </colorScale>
    </cfRule>
  </conditionalFormatting>
  <conditionalFormatting sqref="BI196">
    <cfRule type="colorScale" priority="3886">
      <colorScale>
        <cfvo type="min"/>
        <cfvo type="max"/>
        <color rgb="FFFCFCFF"/>
        <color rgb="FFF8696B"/>
      </colorScale>
    </cfRule>
    <cfRule type="colorScale" priority="3888">
      <colorScale>
        <cfvo type="min"/>
        <cfvo type="percentile" val="50"/>
        <cfvo type="max"/>
        <color rgb="FF63BE7B"/>
        <color rgb="FFFFEB84"/>
        <color rgb="FFF8696B"/>
      </colorScale>
    </cfRule>
  </conditionalFormatting>
  <conditionalFormatting sqref="BI196">
    <cfRule type="colorScale" priority="3887">
      <colorScale>
        <cfvo type="min"/>
        <cfvo type="max"/>
        <color rgb="FFF8696B"/>
        <color rgb="FFFCFCFF"/>
      </colorScale>
    </cfRule>
  </conditionalFormatting>
  <conditionalFormatting sqref="BI196">
    <cfRule type="colorScale" priority="3885">
      <colorScale>
        <cfvo type="min"/>
        <cfvo type="percentile" val="50"/>
        <cfvo type="max"/>
        <color rgb="FFF8696B"/>
        <color rgb="FFFFEB84"/>
        <color rgb="FF63BE7B"/>
      </colorScale>
    </cfRule>
  </conditionalFormatting>
  <conditionalFormatting sqref="BI196">
    <cfRule type="colorScale" priority="3884">
      <colorScale>
        <cfvo type="min"/>
        <cfvo type="max"/>
        <color rgb="FFFCFCFF"/>
        <color rgb="FFF8696B"/>
      </colorScale>
    </cfRule>
  </conditionalFormatting>
  <conditionalFormatting sqref="BK196">
    <cfRule type="colorScale" priority="3883">
      <colorScale>
        <cfvo type="min"/>
        <cfvo type="percentile" val="50"/>
        <cfvo type="max"/>
        <color rgb="FFF8696B"/>
        <color rgb="FFFFEB84"/>
        <color rgb="FF63BE7B"/>
      </colorScale>
    </cfRule>
  </conditionalFormatting>
  <conditionalFormatting sqref="BK196">
    <cfRule type="colorScale" priority="3882">
      <colorScale>
        <cfvo type="min"/>
        <cfvo type="percentile" val="50"/>
        <cfvo type="max"/>
        <color rgb="FF63BE7B"/>
        <color rgb="FFFFEB84"/>
        <color rgb="FFF8696B"/>
      </colorScale>
    </cfRule>
  </conditionalFormatting>
  <conditionalFormatting sqref="BK196">
    <cfRule type="colorScale" priority="3879">
      <colorScale>
        <cfvo type="min"/>
        <cfvo type="max"/>
        <color rgb="FFFCFCFF"/>
        <color rgb="FFF8696B"/>
      </colorScale>
    </cfRule>
    <cfRule type="colorScale" priority="3881">
      <colorScale>
        <cfvo type="min"/>
        <cfvo type="percentile" val="50"/>
        <cfvo type="max"/>
        <color rgb="FF63BE7B"/>
        <color rgb="FFFFEB84"/>
        <color rgb="FFF8696B"/>
      </colorScale>
    </cfRule>
  </conditionalFormatting>
  <conditionalFormatting sqref="BK196">
    <cfRule type="colorScale" priority="3880">
      <colorScale>
        <cfvo type="min"/>
        <cfvo type="max"/>
        <color rgb="FFF8696B"/>
        <color rgb="FFFCFCFF"/>
      </colorScale>
    </cfRule>
  </conditionalFormatting>
  <conditionalFormatting sqref="BK196">
    <cfRule type="colorScale" priority="3878">
      <colorScale>
        <cfvo type="min"/>
        <cfvo type="percentile" val="50"/>
        <cfvo type="max"/>
        <color rgb="FFF8696B"/>
        <color rgb="FFFFEB84"/>
        <color rgb="FF63BE7B"/>
      </colorScale>
    </cfRule>
  </conditionalFormatting>
  <conditionalFormatting sqref="BK196">
    <cfRule type="colorScale" priority="3877">
      <colorScale>
        <cfvo type="min"/>
        <cfvo type="max"/>
        <color rgb="FFFCFCFF"/>
        <color rgb="FFF8696B"/>
      </colorScale>
    </cfRule>
  </conditionalFormatting>
  <conditionalFormatting sqref="AY153">
    <cfRule type="colorScale" priority="3876">
      <colorScale>
        <cfvo type="min"/>
        <cfvo type="percentile" val="50"/>
        <cfvo type="max"/>
        <color rgb="FFF8696B"/>
        <color rgb="FFFFEB84"/>
        <color rgb="FF63BE7B"/>
      </colorScale>
    </cfRule>
  </conditionalFormatting>
  <conditionalFormatting sqref="AY153">
    <cfRule type="colorScale" priority="3875">
      <colorScale>
        <cfvo type="min"/>
        <cfvo type="percentile" val="50"/>
        <cfvo type="max"/>
        <color rgb="FF63BE7B"/>
        <color rgb="FFFFEB84"/>
        <color rgb="FFF8696B"/>
      </colorScale>
    </cfRule>
  </conditionalFormatting>
  <conditionalFormatting sqref="AY153">
    <cfRule type="colorScale" priority="3872">
      <colorScale>
        <cfvo type="min"/>
        <cfvo type="max"/>
        <color rgb="FFFCFCFF"/>
        <color rgb="FFF8696B"/>
      </colorScale>
    </cfRule>
    <cfRule type="colorScale" priority="3874">
      <colorScale>
        <cfvo type="min"/>
        <cfvo type="percentile" val="50"/>
        <cfvo type="max"/>
        <color rgb="FF63BE7B"/>
        <color rgb="FFFFEB84"/>
        <color rgb="FFF8696B"/>
      </colorScale>
    </cfRule>
  </conditionalFormatting>
  <conditionalFormatting sqref="AY153">
    <cfRule type="colorScale" priority="3873">
      <colorScale>
        <cfvo type="min"/>
        <cfvo type="max"/>
        <color rgb="FFF8696B"/>
        <color rgb="FFFCFCFF"/>
      </colorScale>
    </cfRule>
  </conditionalFormatting>
  <conditionalFormatting sqref="AY153">
    <cfRule type="colorScale" priority="3871">
      <colorScale>
        <cfvo type="min"/>
        <cfvo type="percentile" val="50"/>
        <cfvo type="max"/>
        <color rgb="FFF8696B"/>
        <color rgb="FFFFEB84"/>
        <color rgb="FF63BE7B"/>
      </colorScale>
    </cfRule>
  </conditionalFormatting>
  <conditionalFormatting sqref="AY153">
    <cfRule type="colorScale" priority="3870">
      <colorScale>
        <cfvo type="min"/>
        <cfvo type="max"/>
        <color rgb="FFFCFCFF"/>
        <color rgb="FFF8696B"/>
      </colorScale>
    </cfRule>
  </conditionalFormatting>
  <conditionalFormatting sqref="BA153">
    <cfRule type="colorScale" priority="3869">
      <colorScale>
        <cfvo type="min"/>
        <cfvo type="percentile" val="50"/>
        <cfvo type="max"/>
        <color rgb="FFF8696B"/>
        <color rgb="FFFFEB84"/>
        <color rgb="FF63BE7B"/>
      </colorScale>
    </cfRule>
  </conditionalFormatting>
  <conditionalFormatting sqref="BA153">
    <cfRule type="colorScale" priority="3868">
      <colorScale>
        <cfvo type="min"/>
        <cfvo type="percentile" val="50"/>
        <cfvo type="max"/>
        <color rgb="FF63BE7B"/>
        <color rgb="FFFFEB84"/>
        <color rgb="FFF8696B"/>
      </colorScale>
    </cfRule>
  </conditionalFormatting>
  <conditionalFormatting sqref="BA153">
    <cfRule type="colorScale" priority="3865">
      <colorScale>
        <cfvo type="min"/>
        <cfvo type="max"/>
        <color rgb="FFFCFCFF"/>
        <color rgb="FFF8696B"/>
      </colorScale>
    </cfRule>
    <cfRule type="colorScale" priority="3867">
      <colorScale>
        <cfvo type="min"/>
        <cfvo type="percentile" val="50"/>
        <cfvo type="max"/>
        <color rgb="FF63BE7B"/>
        <color rgb="FFFFEB84"/>
        <color rgb="FFF8696B"/>
      </colorScale>
    </cfRule>
  </conditionalFormatting>
  <conditionalFormatting sqref="BA153">
    <cfRule type="colorScale" priority="3866">
      <colorScale>
        <cfvo type="min"/>
        <cfvo type="max"/>
        <color rgb="FFF8696B"/>
        <color rgb="FFFCFCFF"/>
      </colorScale>
    </cfRule>
  </conditionalFormatting>
  <conditionalFormatting sqref="BA153">
    <cfRule type="colorScale" priority="3864">
      <colorScale>
        <cfvo type="min"/>
        <cfvo type="percentile" val="50"/>
        <cfvo type="max"/>
        <color rgb="FFF8696B"/>
        <color rgb="FFFFEB84"/>
        <color rgb="FF63BE7B"/>
      </colorScale>
    </cfRule>
  </conditionalFormatting>
  <conditionalFormatting sqref="BA153">
    <cfRule type="colorScale" priority="3863">
      <colorScale>
        <cfvo type="min"/>
        <cfvo type="max"/>
        <color rgb="FFFCFCFF"/>
        <color rgb="FFF8696B"/>
      </colorScale>
    </cfRule>
  </conditionalFormatting>
  <conditionalFormatting sqref="BC153">
    <cfRule type="colorScale" priority="3862">
      <colorScale>
        <cfvo type="min"/>
        <cfvo type="percentile" val="50"/>
        <cfvo type="max"/>
        <color rgb="FFF8696B"/>
        <color rgb="FFFFEB84"/>
        <color rgb="FF63BE7B"/>
      </colorScale>
    </cfRule>
  </conditionalFormatting>
  <conditionalFormatting sqref="BC153">
    <cfRule type="colorScale" priority="3861">
      <colorScale>
        <cfvo type="min"/>
        <cfvo type="percentile" val="50"/>
        <cfvo type="max"/>
        <color rgb="FF63BE7B"/>
        <color rgb="FFFFEB84"/>
        <color rgb="FFF8696B"/>
      </colorScale>
    </cfRule>
  </conditionalFormatting>
  <conditionalFormatting sqref="BC153">
    <cfRule type="colorScale" priority="3858">
      <colorScale>
        <cfvo type="min"/>
        <cfvo type="max"/>
        <color rgb="FFFCFCFF"/>
        <color rgb="FFF8696B"/>
      </colorScale>
    </cfRule>
    <cfRule type="colorScale" priority="3860">
      <colorScale>
        <cfvo type="min"/>
        <cfvo type="percentile" val="50"/>
        <cfvo type="max"/>
        <color rgb="FF63BE7B"/>
        <color rgb="FFFFEB84"/>
        <color rgb="FFF8696B"/>
      </colorScale>
    </cfRule>
  </conditionalFormatting>
  <conditionalFormatting sqref="BC153">
    <cfRule type="colorScale" priority="3859">
      <colorScale>
        <cfvo type="min"/>
        <cfvo type="max"/>
        <color rgb="FFF8696B"/>
        <color rgb="FFFCFCFF"/>
      </colorScale>
    </cfRule>
  </conditionalFormatting>
  <conditionalFormatting sqref="BC153">
    <cfRule type="colorScale" priority="3857">
      <colorScale>
        <cfvo type="min"/>
        <cfvo type="percentile" val="50"/>
        <cfvo type="max"/>
        <color rgb="FFF8696B"/>
        <color rgb="FFFFEB84"/>
        <color rgb="FF63BE7B"/>
      </colorScale>
    </cfRule>
  </conditionalFormatting>
  <conditionalFormatting sqref="BC153">
    <cfRule type="colorScale" priority="3856">
      <colorScale>
        <cfvo type="min"/>
        <cfvo type="max"/>
        <color rgb="FFFCFCFF"/>
        <color rgb="FFF8696B"/>
      </colorScale>
    </cfRule>
  </conditionalFormatting>
  <conditionalFormatting sqref="BE153">
    <cfRule type="colorScale" priority="3855">
      <colorScale>
        <cfvo type="min"/>
        <cfvo type="percentile" val="50"/>
        <cfvo type="max"/>
        <color rgb="FFF8696B"/>
        <color rgb="FFFFEB84"/>
        <color rgb="FF63BE7B"/>
      </colorScale>
    </cfRule>
  </conditionalFormatting>
  <conditionalFormatting sqref="BE153">
    <cfRule type="colorScale" priority="3854">
      <colorScale>
        <cfvo type="min"/>
        <cfvo type="percentile" val="50"/>
        <cfvo type="max"/>
        <color rgb="FF63BE7B"/>
        <color rgb="FFFFEB84"/>
        <color rgb="FFF8696B"/>
      </colorScale>
    </cfRule>
  </conditionalFormatting>
  <conditionalFormatting sqref="BE153">
    <cfRule type="colorScale" priority="3851">
      <colorScale>
        <cfvo type="min"/>
        <cfvo type="max"/>
        <color rgb="FFFCFCFF"/>
        <color rgb="FFF8696B"/>
      </colorScale>
    </cfRule>
    <cfRule type="colorScale" priority="3853">
      <colorScale>
        <cfvo type="min"/>
        <cfvo type="percentile" val="50"/>
        <cfvo type="max"/>
        <color rgb="FF63BE7B"/>
        <color rgb="FFFFEB84"/>
        <color rgb="FFF8696B"/>
      </colorScale>
    </cfRule>
  </conditionalFormatting>
  <conditionalFormatting sqref="BE153">
    <cfRule type="colorScale" priority="3852">
      <colorScale>
        <cfvo type="min"/>
        <cfvo type="max"/>
        <color rgb="FFF8696B"/>
        <color rgb="FFFCFCFF"/>
      </colorScale>
    </cfRule>
  </conditionalFormatting>
  <conditionalFormatting sqref="BE153">
    <cfRule type="colorScale" priority="3850">
      <colorScale>
        <cfvo type="min"/>
        <cfvo type="percentile" val="50"/>
        <cfvo type="max"/>
        <color rgb="FFF8696B"/>
        <color rgb="FFFFEB84"/>
        <color rgb="FF63BE7B"/>
      </colorScale>
    </cfRule>
  </conditionalFormatting>
  <conditionalFormatting sqref="BE153">
    <cfRule type="colorScale" priority="3849">
      <colorScale>
        <cfvo type="min"/>
        <cfvo type="max"/>
        <color rgb="FFFCFCFF"/>
        <color rgb="FFF8696B"/>
      </colorScale>
    </cfRule>
  </conditionalFormatting>
  <conditionalFormatting sqref="BG153">
    <cfRule type="colorScale" priority="3848">
      <colorScale>
        <cfvo type="min"/>
        <cfvo type="percentile" val="50"/>
        <cfvo type="max"/>
        <color rgb="FFF8696B"/>
        <color rgb="FFFFEB84"/>
        <color rgb="FF63BE7B"/>
      </colorScale>
    </cfRule>
  </conditionalFormatting>
  <conditionalFormatting sqref="BG153">
    <cfRule type="colorScale" priority="3847">
      <colorScale>
        <cfvo type="min"/>
        <cfvo type="percentile" val="50"/>
        <cfvo type="max"/>
        <color rgb="FF63BE7B"/>
        <color rgb="FFFFEB84"/>
        <color rgb="FFF8696B"/>
      </colorScale>
    </cfRule>
  </conditionalFormatting>
  <conditionalFormatting sqref="BG153">
    <cfRule type="colorScale" priority="3844">
      <colorScale>
        <cfvo type="min"/>
        <cfvo type="max"/>
        <color rgb="FFFCFCFF"/>
        <color rgb="FFF8696B"/>
      </colorScale>
    </cfRule>
    <cfRule type="colorScale" priority="3846">
      <colorScale>
        <cfvo type="min"/>
        <cfvo type="percentile" val="50"/>
        <cfvo type="max"/>
        <color rgb="FF63BE7B"/>
        <color rgb="FFFFEB84"/>
        <color rgb="FFF8696B"/>
      </colorScale>
    </cfRule>
  </conditionalFormatting>
  <conditionalFormatting sqref="BG153">
    <cfRule type="colorScale" priority="3845">
      <colorScale>
        <cfvo type="min"/>
        <cfvo type="max"/>
        <color rgb="FFF8696B"/>
        <color rgb="FFFCFCFF"/>
      </colorScale>
    </cfRule>
  </conditionalFormatting>
  <conditionalFormatting sqref="BG153">
    <cfRule type="colorScale" priority="3843">
      <colorScale>
        <cfvo type="min"/>
        <cfvo type="percentile" val="50"/>
        <cfvo type="max"/>
        <color rgb="FFF8696B"/>
        <color rgb="FFFFEB84"/>
        <color rgb="FF63BE7B"/>
      </colorScale>
    </cfRule>
  </conditionalFormatting>
  <conditionalFormatting sqref="BG153">
    <cfRule type="colorScale" priority="3842">
      <colorScale>
        <cfvo type="min"/>
        <cfvo type="max"/>
        <color rgb="FFFCFCFF"/>
        <color rgb="FFF8696B"/>
      </colorScale>
    </cfRule>
  </conditionalFormatting>
  <conditionalFormatting sqref="AY110">
    <cfRule type="colorScale" priority="3841">
      <colorScale>
        <cfvo type="min"/>
        <cfvo type="percentile" val="50"/>
        <cfvo type="max"/>
        <color rgb="FFF8696B"/>
        <color rgb="FFFFEB84"/>
        <color rgb="FF63BE7B"/>
      </colorScale>
    </cfRule>
  </conditionalFormatting>
  <conditionalFormatting sqref="AY110">
    <cfRule type="colorScale" priority="3840">
      <colorScale>
        <cfvo type="min"/>
        <cfvo type="percentile" val="50"/>
        <cfvo type="max"/>
        <color rgb="FF63BE7B"/>
        <color rgb="FFFFEB84"/>
        <color rgb="FFF8696B"/>
      </colorScale>
    </cfRule>
  </conditionalFormatting>
  <conditionalFormatting sqref="AY110">
    <cfRule type="colorScale" priority="3837">
      <colorScale>
        <cfvo type="min"/>
        <cfvo type="max"/>
        <color rgb="FFFCFCFF"/>
        <color rgb="FFF8696B"/>
      </colorScale>
    </cfRule>
    <cfRule type="colorScale" priority="3839">
      <colorScale>
        <cfvo type="min"/>
        <cfvo type="percentile" val="50"/>
        <cfvo type="max"/>
        <color rgb="FF63BE7B"/>
        <color rgb="FFFFEB84"/>
        <color rgb="FFF8696B"/>
      </colorScale>
    </cfRule>
  </conditionalFormatting>
  <conditionalFormatting sqref="AY110">
    <cfRule type="colorScale" priority="3838">
      <colorScale>
        <cfvo type="min"/>
        <cfvo type="max"/>
        <color rgb="FFF8696B"/>
        <color rgb="FFFCFCFF"/>
      </colorScale>
    </cfRule>
  </conditionalFormatting>
  <conditionalFormatting sqref="AY110">
    <cfRule type="colorScale" priority="3836">
      <colorScale>
        <cfvo type="min"/>
        <cfvo type="percentile" val="50"/>
        <cfvo type="max"/>
        <color rgb="FFF8696B"/>
        <color rgb="FFFFEB84"/>
        <color rgb="FF63BE7B"/>
      </colorScale>
    </cfRule>
  </conditionalFormatting>
  <conditionalFormatting sqref="AY110">
    <cfRule type="colorScale" priority="3835">
      <colorScale>
        <cfvo type="min"/>
        <cfvo type="max"/>
        <color rgb="FFFCFCFF"/>
        <color rgb="FFF8696B"/>
      </colorScale>
    </cfRule>
  </conditionalFormatting>
  <conditionalFormatting sqref="BA110">
    <cfRule type="colorScale" priority="3834">
      <colorScale>
        <cfvo type="min"/>
        <cfvo type="percentile" val="50"/>
        <cfvo type="max"/>
        <color rgb="FFF8696B"/>
        <color rgb="FFFFEB84"/>
        <color rgb="FF63BE7B"/>
      </colorScale>
    </cfRule>
  </conditionalFormatting>
  <conditionalFormatting sqref="BA110">
    <cfRule type="colorScale" priority="3833">
      <colorScale>
        <cfvo type="min"/>
        <cfvo type="percentile" val="50"/>
        <cfvo type="max"/>
        <color rgb="FF63BE7B"/>
        <color rgb="FFFFEB84"/>
        <color rgb="FFF8696B"/>
      </colorScale>
    </cfRule>
  </conditionalFormatting>
  <conditionalFormatting sqref="BA110">
    <cfRule type="colorScale" priority="3830">
      <colorScale>
        <cfvo type="min"/>
        <cfvo type="max"/>
        <color rgb="FFFCFCFF"/>
        <color rgb="FFF8696B"/>
      </colorScale>
    </cfRule>
    <cfRule type="colorScale" priority="3832">
      <colorScale>
        <cfvo type="min"/>
        <cfvo type="percentile" val="50"/>
        <cfvo type="max"/>
        <color rgb="FF63BE7B"/>
        <color rgb="FFFFEB84"/>
        <color rgb="FFF8696B"/>
      </colorScale>
    </cfRule>
  </conditionalFormatting>
  <conditionalFormatting sqref="BA110">
    <cfRule type="colorScale" priority="3831">
      <colorScale>
        <cfvo type="min"/>
        <cfvo type="max"/>
        <color rgb="FFF8696B"/>
        <color rgb="FFFCFCFF"/>
      </colorScale>
    </cfRule>
  </conditionalFormatting>
  <conditionalFormatting sqref="BA110">
    <cfRule type="colorScale" priority="3829">
      <colorScale>
        <cfvo type="min"/>
        <cfvo type="percentile" val="50"/>
        <cfvo type="max"/>
        <color rgb="FFF8696B"/>
        <color rgb="FFFFEB84"/>
        <color rgb="FF63BE7B"/>
      </colorScale>
    </cfRule>
  </conditionalFormatting>
  <conditionalFormatting sqref="BA110">
    <cfRule type="colorScale" priority="3828">
      <colorScale>
        <cfvo type="min"/>
        <cfvo type="max"/>
        <color rgb="FFFCFCFF"/>
        <color rgb="FFF8696B"/>
      </colorScale>
    </cfRule>
  </conditionalFormatting>
  <conditionalFormatting sqref="BC110">
    <cfRule type="colorScale" priority="3827">
      <colorScale>
        <cfvo type="min"/>
        <cfvo type="percentile" val="50"/>
        <cfvo type="max"/>
        <color rgb="FFF8696B"/>
        <color rgb="FFFFEB84"/>
        <color rgb="FF63BE7B"/>
      </colorScale>
    </cfRule>
  </conditionalFormatting>
  <conditionalFormatting sqref="BC110">
    <cfRule type="colorScale" priority="3826">
      <colorScale>
        <cfvo type="min"/>
        <cfvo type="percentile" val="50"/>
        <cfvo type="max"/>
        <color rgb="FF63BE7B"/>
        <color rgb="FFFFEB84"/>
        <color rgb="FFF8696B"/>
      </colorScale>
    </cfRule>
  </conditionalFormatting>
  <conditionalFormatting sqref="BC110">
    <cfRule type="colorScale" priority="3823">
      <colorScale>
        <cfvo type="min"/>
        <cfvo type="max"/>
        <color rgb="FFFCFCFF"/>
        <color rgb="FFF8696B"/>
      </colorScale>
    </cfRule>
    <cfRule type="colorScale" priority="3825">
      <colorScale>
        <cfvo type="min"/>
        <cfvo type="percentile" val="50"/>
        <cfvo type="max"/>
        <color rgb="FF63BE7B"/>
        <color rgb="FFFFEB84"/>
        <color rgb="FFF8696B"/>
      </colorScale>
    </cfRule>
  </conditionalFormatting>
  <conditionalFormatting sqref="BC110">
    <cfRule type="colorScale" priority="3824">
      <colorScale>
        <cfvo type="min"/>
        <cfvo type="max"/>
        <color rgb="FFF8696B"/>
        <color rgb="FFFCFCFF"/>
      </colorScale>
    </cfRule>
  </conditionalFormatting>
  <conditionalFormatting sqref="BC110">
    <cfRule type="colorScale" priority="3822">
      <colorScale>
        <cfvo type="min"/>
        <cfvo type="percentile" val="50"/>
        <cfvo type="max"/>
        <color rgb="FFF8696B"/>
        <color rgb="FFFFEB84"/>
        <color rgb="FF63BE7B"/>
      </colorScale>
    </cfRule>
  </conditionalFormatting>
  <conditionalFormatting sqref="BC110">
    <cfRule type="colorScale" priority="3821">
      <colorScale>
        <cfvo type="min"/>
        <cfvo type="max"/>
        <color rgb="FFFCFCFF"/>
        <color rgb="FFF8696B"/>
      </colorScale>
    </cfRule>
  </conditionalFormatting>
  <conditionalFormatting sqref="BE110">
    <cfRule type="colorScale" priority="3820">
      <colorScale>
        <cfvo type="min"/>
        <cfvo type="percentile" val="50"/>
        <cfvo type="max"/>
        <color rgb="FFF8696B"/>
        <color rgb="FFFFEB84"/>
        <color rgb="FF63BE7B"/>
      </colorScale>
    </cfRule>
  </conditionalFormatting>
  <conditionalFormatting sqref="BE110">
    <cfRule type="colorScale" priority="3819">
      <colorScale>
        <cfvo type="min"/>
        <cfvo type="percentile" val="50"/>
        <cfvo type="max"/>
        <color rgb="FF63BE7B"/>
        <color rgb="FFFFEB84"/>
        <color rgb="FFF8696B"/>
      </colorScale>
    </cfRule>
  </conditionalFormatting>
  <conditionalFormatting sqref="BE110">
    <cfRule type="colorScale" priority="3816">
      <colorScale>
        <cfvo type="min"/>
        <cfvo type="max"/>
        <color rgb="FFFCFCFF"/>
        <color rgb="FFF8696B"/>
      </colorScale>
    </cfRule>
    <cfRule type="colorScale" priority="3818">
      <colorScale>
        <cfvo type="min"/>
        <cfvo type="percentile" val="50"/>
        <cfvo type="max"/>
        <color rgb="FF63BE7B"/>
        <color rgb="FFFFEB84"/>
        <color rgb="FFF8696B"/>
      </colorScale>
    </cfRule>
  </conditionalFormatting>
  <conditionalFormatting sqref="BE110">
    <cfRule type="colorScale" priority="3817">
      <colorScale>
        <cfvo type="min"/>
        <cfvo type="max"/>
        <color rgb="FFF8696B"/>
        <color rgb="FFFCFCFF"/>
      </colorScale>
    </cfRule>
  </conditionalFormatting>
  <conditionalFormatting sqref="BE110">
    <cfRule type="colorScale" priority="3815">
      <colorScale>
        <cfvo type="min"/>
        <cfvo type="percentile" val="50"/>
        <cfvo type="max"/>
        <color rgb="FFF8696B"/>
        <color rgb="FFFFEB84"/>
        <color rgb="FF63BE7B"/>
      </colorScale>
    </cfRule>
  </conditionalFormatting>
  <conditionalFormatting sqref="BE110">
    <cfRule type="colorScale" priority="3814">
      <colorScale>
        <cfvo type="min"/>
        <cfvo type="max"/>
        <color rgb="FFFCFCFF"/>
        <color rgb="FFF8696B"/>
      </colorScale>
    </cfRule>
  </conditionalFormatting>
  <conditionalFormatting sqref="AY67">
    <cfRule type="colorScale" priority="3813">
      <colorScale>
        <cfvo type="min"/>
        <cfvo type="percentile" val="50"/>
        <cfvo type="max"/>
        <color rgb="FFF8696B"/>
        <color rgb="FFFFEB84"/>
        <color rgb="FF63BE7B"/>
      </colorScale>
    </cfRule>
  </conditionalFormatting>
  <conditionalFormatting sqref="AY67">
    <cfRule type="colorScale" priority="3812">
      <colorScale>
        <cfvo type="min"/>
        <cfvo type="percentile" val="50"/>
        <cfvo type="max"/>
        <color rgb="FF63BE7B"/>
        <color rgb="FFFFEB84"/>
        <color rgb="FFF8696B"/>
      </colorScale>
    </cfRule>
  </conditionalFormatting>
  <conditionalFormatting sqref="AY67">
    <cfRule type="colorScale" priority="3809">
      <colorScale>
        <cfvo type="min"/>
        <cfvo type="max"/>
        <color rgb="FFFCFCFF"/>
        <color rgb="FFF8696B"/>
      </colorScale>
    </cfRule>
    <cfRule type="colorScale" priority="3811">
      <colorScale>
        <cfvo type="min"/>
        <cfvo type="percentile" val="50"/>
        <cfvo type="max"/>
        <color rgb="FF63BE7B"/>
        <color rgb="FFFFEB84"/>
        <color rgb="FFF8696B"/>
      </colorScale>
    </cfRule>
  </conditionalFormatting>
  <conditionalFormatting sqref="AY67">
    <cfRule type="colorScale" priority="3810">
      <colorScale>
        <cfvo type="min"/>
        <cfvo type="max"/>
        <color rgb="FFF8696B"/>
        <color rgb="FFFCFCFF"/>
      </colorScale>
    </cfRule>
  </conditionalFormatting>
  <conditionalFormatting sqref="AY67">
    <cfRule type="colorScale" priority="3808">
      <colorScale>
        <cfvo type="min"/>
        <cfvo type="percentile" val="50"/>
        <cfvo type="max"/>
        <color rgb="FFF8696B"/>
        <color rgb="FFFFEB84"/>
        <color rgb="FF63BE7B"/>
      </colorScale>
    </cfRule>
  </conditionalFormatting>
  <conditionalFormatting sqref="AY67">
    <cfRule type="colorScale" priority="3807">
      <colorScale>
        <cfvo type="min"/>
        <cfvo type="max"/>
        <color rgb="FFFCFCFF"/>
        <color rgb="FFF8696B"/>
      </colorScale>
    </cfRule>
  </conditionalFormatting>
  <conditionalFormatting sqref="BA67">
    <cfRule type="colorScale" priority="3806">
      <colorScale>
        <cfvo type="min"/>
        <cfvo type="percentile" val="50"/>
        <cfvo type="max"/>
        <color rgb="FFF8696B"/>
        <color rgb="FFFFEB84"/>
        <color rgb="FF63BE7B"/>
      </colorScale>
    </cfRule>
  </conditionalFormatting>
  <conditionalFormatting sqref="BA67">
    <cfRule type="colorScale" priority="3805">
      <colorScale>
        <cfvo type="min"/>
        <cfvo type="percentile" val="50"/>
        <cfvo type="max"/>
        <color rgb="FF63BE7B"/>
        <color rgb="FFFFEB84"/>
        <color rgb="FFF8696B"/>
      </colorScale>
    </cfRule>
  </conditionalFormatting>
  <conditionalFormatting sqref="BA67">
    <cfRule type="colorScale" priority="3802">
      <colorScale>
        <cfvo type="min"/>
        <cfvo type="max"/>
        <color rgb="FFFCFCFF"/>
        <color rgb="FFF8696B"/>
      </colorScale>
    </cfRule>
    <cfRule type="colorScale" priority="3804">
      <colorScale>
        <cfvo type="min"/>
        <cfvo type="percentile" val="50"/>
        <cfvo type="max"/>
        <color rgb="FF63BE7B"/>
        <color rgb="FFFFEB84"/>
        <color rgb="FFF8696B"/>
      </colorScale>
    </cfRule>
  </conditionalFormatting>
  <conditionalFormatting sqref="BA67">
    <cfRule type="colorScale" priority="3803">
      <colorScale>
        <cfvo type="min"/>
        <cfvo type="max"/>
        <color rgb="FFF8696B"/>
        <color rgb="FFFCFCFF"/>
      </colorScale>
    </cfRule>
  </conditionalFormatting>
  <conditionalFormatting sqref="BA67">
    <cfRule type="colorScale" priority="3801">
      <colorScale>
        <cfvo type="min"/>
        <cfvo type="percentile" val="50"/>
        <cfvo type="max"/>
        <color rgb="FFF8696B"/>
        <color rgb="FFFFEB84"/>
        <color rgb="FF63BE7B"/>
      </colorScale>
    </cfRule>
  </conditionalFormatting>
  <conditionalFormatting sqref="BA67">
    <cfRule type="colorScale" priority="3800">
      <colorScale>
        <cfvo type="min"/>
        <cfvo type="max"/>
        <color rgb="FFFCFCFF"/>
        <color rgb="FFF8696B"/>
      </colorScale>
    </cfRule>
  </conditionalFormatting>
  <conditionalFormatting sqref="BC67">
    <cfRule type="colorScale" priority="3799">
      <colorScale>
        <cfvo type="min"/>
        <cfvo type="percentile" val="50"/>
        <cfvo type="max"/>
        <color rgb="FFF8696B"/>
        <color rgb="FFFFEB84"/>
        <color rgb="FF63BE7B"/>
      </colorScale>
    </cfRule>
  </conditionalFormatting>
  <conditionalFormatting sqref="BC67">
    <cfRule type="colorScale" priority="3798">
      <colorScale>
        <cfvo type="min"/>
        <cfvo type="percentile" val="50"/>
        <cfvo type="max"/>
        <color rgb="FF63BE7B"/>
        <color rgb="FFFFEB84"/>
        <color rgb="FFF8696B"/>
      </colorScale>
    </cfRule>
  </conditionalFormatting>
  <conditionalFormatting sqref="BC67">
    <cfRule type="colorScale" priority="3795">
      <colorScale>
        <cfvo type="min"/>
        <cfvo type="max"/>
        <color rgb="FFFCFCFF"/>
        <color rgb="FFF8696B"/>
      </colorScale>
    </cfRule>
    <cfRule type="colorScale" priority="3797">
      <colorScale>
        <cfvo type="min"/>
        <cfvo type="percentile" val="50"/>
        <cfvo type="max"/>
        <color rgb="FF63BE7B"/>
        <color rgb="FFFFEB84"/>
        <color rgb="FFF8696B"/>
      </colorScale>
    </cfRule>
  </conditionalFormatting>
  <conditionalFormatting sqref="BC67">
    <cfRule type="colorScale" priority="3796">
      <colorScale>
        <cfvo type="min"/>
        <cfvo type="max"/>
        <color rgb="FFF8696B"/>
        <color rgb="FFFCFCFF"/>
      </colorScale>
    </cfRule>
  </conditionalFormatting>
  <conditionalFormatting sqref="BC67">
    <cfRule type="colorScale" priority="3794">
      <colorScale>
        <cfvo type="min"/>
        <cfvo type="percentile" val="50"/>
        <cfvo type="max"/>
        <color rgb="FFF8696B"/>
        <color rgb="FFFFEB84"/>
        <color rgb="FF63BE7B"/>
      </colorScale>
    </cfRule>
  </conditionalFormatting>
  <conditionalFormatting sqref="BC67">
    <cfRule type="colorScale" priority="3793">
      <colorScale>
        <cfvo type="min"/>
        <cfvo type="max"/>
        <color rgb="FFFCFCFF"/>
        <color rgb="FFF8696B"/>
      </colorScale>
    </cfRule>
  </conditionalFormatting>
  <conditionalFormatting sqref="AY24">
    <cfRule type="colorScale" priority="3792">
      <colorScale>
        <cfvo type="min"/>
        <cfvo type="percentile" val="50"/>
        <cfvo type="max"/>
        <color rgb="FFF8696B"/>
        <color rgb="FFFFEB84"/>
        <color rgb="FF63BE7B"/>
      </colorScale>
    </cfRule>
  </conditionalFormatting>
  <conditionalFormatting sqref="AY24">
    <cfRule type="colorScale" priority="3791">
      <colorScale>
        <cfvo type="min"/>
        <cfvo type="percentile" val="50"/>
        <cfvo type="max"/>
        <color rgb="FF63BE7B"/>
        <color rgb="FFFFEB84"/>
        <color rgb="FFF8696B"/>
      </colorScale>
    </cfRule>
  </conditionalFormatting>
  <conditionalFormatting sqref="AY24">
    <cfRule type="colorScale" priority="3788">
      <colorScale>
        <cfvo type="min"/>
        <cfvo type="max"/>
        <color rgb="FFFCFCFF"/>
        <color rgb="FFF8696B"/>
      </colorScale>
    </cfRule>
    <cfRule type="colorScale" priority="3790">
      <colorScale>
        <cfvo type="min"/>
        <cfvo type="percentile" val="50"/>
        <cfvo type="max"/>
        <color rgb="FF63BE7B"/>
        <color rgb="FFFFEB84"/>
        <color rgb="FFF8696B"/>
      </colorScale>
    </cfRule>
  </conditionalFormatting>
  <conditionalFormatting sqref="AY24">
    <cfRule type="colorScale" priority="3789">
      <colorScale>
        <cfvo type="min"/>
        <cfvo type="max"/>
        <color rgb="FFF8696B"/>
        <color rgb="FFFCFCFF"/>
      </colorScale>
    </cfRule>
  </conditionalFormatting>
  <conditionalFormatting sqref="AY24">
    <cfRule type="colorScale" priority="3787">
      <colorScale>
        <cfvo type="min"/>
        <cfvo type="percentile" val="50"/>
        <cfvo type="max"/>
        <color rgb="FFF8696B"/>
        <color rgb="FFFFEB84"/>
        <color rgb="FF63BE7B"/>
      </colorScale>
    </cfRule>
  </conditionalFormatting>
  <conditionalFormatting sqref="AY24">
    <cfRule type="colorScale" priority="3786">
      <colorScale>
        <cfvo type="min"/>
        <cfvo type="max"/>
        <color rgb="FFFCFCFF"/>
        <color rgb="FFF8696B"/>
      </colorScale>
    </cfRule>
  </conditionalFormatting>
  <conditionalFormatting sqref="BA24">
    <cfRule type="colorScale" priority="3785">
      <colorScale>
        <cfvo type="min"/>
        <cfvo type="percentile" val="50"/>
        <cfvo type="max"/>
        <color rgb="FFF8696B"/>
        <color rgb="FFFFEB84"/>
        <color rgb="FF63BE7B"/>
      </colorScale>
    </cfRule>
  </conditionalFormatting>
  <conditionalFormatting sqref="BA24">
    <cfRule type="colorScale" priority="3784">
      <colorScale>
        <cfvo type="min"/>
        <cfvo type="percentile" val="50"/>
        <cfvo type="max"/>
        <color rgb="FF63BE7B"/>
        <color rgb="FFFFEB84"/>
        <color rgb="FFF8696B"/>
      </colorScale>
    </cfRule>
  </conditionalFormatting>
  <conditionalFormatting sqref="BA24">
    <cfRule type="colorScale" priority="3781">
      <colorScale>
        <cfvo type="min"/>
        <cfvo type="max"/>
        <color rgb="FFFCFCFF"/>
        <color rgb="FFF8696B"/>
      </colorScale>
    </cfRule>
    <cfRule type="colorScale" priority="3783">
      <colorScale>
        <cfvo type="min"/>
        <cfvo type="percentile" val="50"/>
        <cfvo type="max"/>
        <color rgb="FF63BE7B"/>
        <color rgb="FFFFEB84"/>
        <color rgb="FFF8696B"/>
      </colorScale>
    </cfRule>
  </conditionalFormatting>
  <conditionalFormatting sqref="BA24">
    <cfRule type="colorScale" priority="3782">
      <colorScale>
        <cfvo type="min"/>
        <cfvo type="max"/>
        <color rgb="FFF8696B"/>
        <color rgb="FFFCFCFF"/>
      </colorScale>
    </cfRule>
  </conditionalFormatting>
  <conditionalFormatting sqref="BA24">
    <cfRule type="colorScale" priority="3780">
      <colorScale>
        <cfvo type="min"/>
        <cfvo type="percentile" val="50"/>
        <cfvo type="max"/>
        <color rgb="FFF8696B"/>
        <color rgb="FFFFEB84"/>
        <color rgb="FF63BE7B"/>
      </colorScale>
    </cfRule>
  </conditionalFormatting>
  <conditionalFormatting sqref="BA24">
    <cfRule type="colorScale" priority="3779">
      <colorScale>
        <cfvo type="min"/>
        <cfvo type="max"/>
        <color rgb="FFFCFCFF"/>
        <color rgb="FFF8696B"/>
      </colorScale>
    </cfRule>
  </conditionalFormatting>
  <conditionalFormatting sqref="BC24">
    <cfRule type="colorScale" priority="3778">
      <colorScale>
        <cfvo type="min"/>
        <cfvo type="percentile" val="50"/>
        <cfvo type="max"/>
        <color rgb="FFF8696B"/>
        <color rgb="FFFFEB84"/>
        <color rgb="FF63BE7B"/>
      </colorScale>
    </cfRule>
  </conditionalFormatting>
  <conditionalFormatting sqref="BC24">
    <cfRule type="colorScale" priority="3777">
      <colorScale>
        <cfvo type="min"/>
        <cfvo type="percentile" val="50"/>
        <cfvo type="max"/>
        <color rgb="FF63BE7B"/>
        <color rgb="FFFFEB84"/>
        <color rgb="FFF8696B"/>
      </colorScale>
    </cfRule>
  </conditionalFormatting>
  <conditionalFormatting sqref="BC24">
    <cfRule type="colorScale" priority="3774">
      <colorScale>
        <cfvo type="min"/>
        <cfvo type="max"/>
        <color rgb="FFFCFCFF"/>
        <color rgb="FFF8696B"/>
      </colorScale>
    </cfRule>
    <cfRule type="colorScale" priority="3776">
      <colorScale>
        <cfvo type="min"/>
        <cfvo type="percentile" val="50"/>
        <cfvo type="max"/>
        <color rgb="FF63BE7B"/>
        <color rgb="FFFFEB84"/>
        <color rgb="FFF8696B"/>
      </colorScale>
    </cfRule>
  </conditionalFormatting>
  <conditionalFormatting sqref="BC24">
    <cfRule type="colorScale" priority="3775">
      <colorScale>
        <cfvo type="min"/>
        <cfvo type="max"/>
        <color rgb="FFF8696B"/>
        <color rgb="FFFCFCFF"/>
      </colorScale>
    </cfRule>
  </conditionalFormatting>
  <conditionalFormatting sqref="BC24">
    <cfRule type="colorScale" priority="3773">
      <colorScale>
        <cfvo type="min"/>
        <cfvo type="percentile" val="50"/>
        <cfvo type="max"/>
        <color rgb="FFF8696B"/>
        <color rgb="FFFFEB84"/>
        <color rgb="FF63BE7B"/>
      </colorScale>
    </cfRule>
  </conditionalFormatting>
  <conditionalFormatting sqref="BC24">
    <cfRule type="colorScale" priority="3772">
      <colorScale>
        <cfvo type="min"/>
        <cfvo type="max"/>
        <color rgb="FFFCFCFF"/>
        <color rgb="FFF8696B"/>
      </colorScale>
    </cfRule>
  </conditionalFormatting>
  <conditionalFormatting sqref="BO241">
    <cfRule type="colorScale" priority="3771">
      <colorScale>
        <cfvo type="min"/>
        <cfvo type="percentile" val="50"/>
        <cfvo type="max"/>
        <color rgb="FFF8696B"/>
        <color rgb="FFFFEB84"/>
        <color rgb="FF63BE7B"/>
      </colorScale>
    </cfRule>
  </conditionalFormatting>
  <conditionalFormatting sqref="BO241">
    <cfRule type="colorScale" priority="3770">
      <colorScale>
        <cfvo type="min"/>
        <cfvo type="percentile" val="50"/>
        <cfvo type="max"/>
        <color rgb="FF63BE7B"/>
        <color rgb="FFFFEB84"/>
        <color rgb="FFF8696B"/>
      </colorScale>
    </cfRule>
  </conditionalFormatting>
  <conditionalFormatting sqref="BO241">
    <cfRule type="colorScale" priority="3767">
      <colorScale>
        <cfvo type="min"/>
        <cfvo type="max"/>
        <color rgb="FFFCFCFF"/>
        <color rgb="FFF8696B"/>
      </colorScale>
    </cfRule>
    <cfRule type="colorScale" priority="3769">
      <colorScale>
        <cfvo type="min"/>
        <cfvo type="percentile" val="50"/>
        <cfvo type="max"/>
        <color rgb="FF63BE7B"/>
        <color rgb="FFFFEB84"/>
        <color rgb="FFF8696B"/>
      </colorScale>
    </cfRule>
  </conditionalFormatting>
  <conditionalFormatting sqref="BO241">
    <cfRule type="colorScale" priority="3768">
      <colorScale>
        <cfvo type="min"/>
        <cfvo type="max"/>
        <color rgb="FFF8696B"/>
        <color rgb="FFFCFCFF"/>
      </colorScale>
    </cfRule>
  </conditionalFormatting>
  <conditionalFormatting sqref="BO241">
    <cfRule type="colorScale" priority="3766">
      <colorScale>
        <cfvo type="min"/>
        <cfvo type="percentile" val="50"/>
        <cfvo type="max"/>
        <color rgb="FFF8696B"/>
        <color rgb="FFFFEB84"/>
        <color rgb="FF63BE7B"/>
      </colorScale>
    </cfRule>
  </conditionalFormatting>
  <conditionalFormatting sqref="BO241">
    <cfRule type="colorScale" priority="3765">
      <colorScale>
        <cfvo type="min"/>
        <cfvo type="max"/>
        <color rgb="FFFCFCFF"/>
        <color rgb="FFF8696B"/>
      </colorScale>
    </cfRule>
  </conditionalFormatting>
  <conditionalFormatting sqref="BS241">
    <cfRule type="colorScale" priority="3764">
      <colorScale>
        <cfvo type="min"/>
        <cfvo type="percentile" val="50"/>
        <cfvo type="max"/>
        <color rgb="FFF8696B"/>
        <color rgb="FFFFEB84"/>
        <color rgb="FF63BE7B"/>
      </colorScale>
    </cfRule>
  </conditionalFormatting>
  <conditionalFormatting sqref="BS241">
    <cfRule type="colorScale" priority="3763">
      <colorScale>
        <cfvo type="min"/>
        <cfvo type="percentile" val="50"/>
        <cfvo type="max"/>
        <color rgb="FF63BE7B"/>
        <color rgb="FFFFEB84"/>
        <color rgb="FFF8696B"/>
      </colorScale>
    </cfRule>
  </conditionalFormatting>
  <conditionalFormatting sqref="BS241">
    <cfRule type="colorScale" priority="3760">
      <colorScale>
        <cfvo type="min"/>
        <cfvo type="max"/>
        <color rgb="FFFCFCFF"/>
        <color rgb="FFF8696B"/>
      </colorScale>
    </cfRule>
    <cfRule type="colorScale" priority="3762">
      <colorScale>
        <cfvo type="min"/>
        <cfvo type="percentile" val="50"/>
        <cfvo type="max"/>
        <color rgb="FF63BE7B"/>
        <color rgb="FFFFEB84"/>
        <color rgb="FFF8696B"/>
      </colorScale>
    </cfRule>
  </conditionalFormatting>
  <conditionalFormatting sqref="BS241">
    <cfRule type="colorScale" priority="3761">
      <colorScale>
        <cfvo type="min"/>
        <cfvo type="max"/>
        <color rgb="FFF8696B"/>
        <color rgb="FFFCFCFF"/>
      </colorScale>
    </cfRule>
  </conditionalFormatting>
  <conditionalFormatting sqref="BS241">
    <cfRule type="colorScale" priority="3759">
      <colorScale>
        <cfvo type="min"/>
        <cfvo type="percentile" val="50"/>
        <cfvo type="max"/>
        <color rgb="FFF8696B"/>
        <color rgb="FFFFEB84"/>
        <color rgb="FF63BE7B"/>
      </colorScale>
    </cfRule>
  </conditionalFormatting>
  <conditionalFormatting sqref="BS241">
    <cfRule type="colorScale" priority="3758">
      <colorScale>
        <cfvo type="min"/>
        <cfvo type="max"/>
        <color rgb="FFFCFCFF"/>
        <color rgb="FFF8696B"/>
      </colorScale>
    </cfRule>
  </conditionalFormatting>
  <conditionalFormatting sqref="BU239">
    <cfRule type="colorScale" priority="3757">
      <colorScale>
        <cfvo type="min"/>
        <cfvo type="percentile" val="50"/>
        <cfvo type="max"/>
        <color rgb="FFF8696B"/>
        <color rgb="FFFFEB84"/>
        <color rgb="FF63BE7B"/>
      </colorScale>
    </cfRule>
  </conditionalFormatting>
  <conditionalFormatting sqref="BU239">
    <cfRule type="colorScale" priority="3756">
      <colorScale>
        <cfvo type="min"/>
        <cfvo type="percentile" val="50"/>
        <cfvo type="max"/>
        <color rgb="FF63BE7B"/>
        <color rgb="FFFFEB84"/>
        <color rgb="FFF8696B"/>
      </colorScale>
    </cfRule>
  </conditionalFormatting>
  <conditionalFormatting sqref="BU239">
    <cfRule type="colorScale" priority="3753">
      <colorScale>
        <cfvo type="min"/>
        <cfvo type="max"/>
        <color rgb="FFFCFCFF"/>
        <color rgb="FFF8696B"/>
      </colorScale>
    </cfRule>
    <cfRule type="colorScale" priority="3755">
      <colorScale>
        <cfvo type="min"/>
        <cfvo type="percentile" val="50"/>
        <cfvo type="max"/>
        <color rgb="FF63BE7B"/>
        <color rgb="FFFFEB84"/>
        <color rgb="FFF8696B"/>
      </colorScale>
    </cfRule>
  </conditionalFormatting>
  <conditionalFormatting sqref="BU239">
    <cfRule type="colorScale" priority="3754">
      <colorScale>
        <cfvo type="min"/>
        <cfvo type="max"/>
        <color rgb="FFF8696B"/>
        <color rgb="FFFCFCFF"/>
      </colorScale>
    </cfRule>
  </conditionalFormatting>
  <conditionalFormatting sqref="BU239">
    <cfRule type="colorScale" priority="3752">
      <colorScale>
        <cfvo type="min"/>
        <cfvo type="percentile" val="50"/>
        <cfvo type="max"/>
        <color rgb="FFF8696B"/>
        <color rgb="FFFFEB84"/>
        <color rgb="FF63BE7B"/>
      </colorScale>
    </cfRule>
  </conditionalFormatting>
  <conditionalFormatting sqref="BU239">
    <cfRule type="colorScale" priority="3751">
      <colorScale>
        <cfvo type="min"/>
        <cfvo type="max"/>
        <color rgb="FFFCFCFF"/>
        <color rgb="FFF8696B"/>
      </colorScale>
    </cfRule>
  </conditionalFormatting>
  <conditionalFormatting sqref="BW239">
    <cfRule type="colorScale" priority="3750">
      <colorScale>
        <cfvo type="min"/>
        <cfvo type="percentile" val="50"/>
        <cfvo type="max"/>
        <color rgb="FFF8696B"/>
        <color rgb="FFFFEB84"/>
        <color rgb="FF63BE7B"/>
      </colorScale>
    </cfRule>
  </conditionalFormatting>
  <conditionalFormatting sqref="BW239">
    <cfRule type="colorScale" priority="3749">
      <colorScale>
        <cfvo type="min"/>
        <cfvo type="percentile" val="50"/>
        <cfvo type="max"/>
        <color rgb="FF63BE7B"/>
        <color rgb="FFFFEB84"/>
        <color rgb="FFF8696B"/>
      </colorScale>
    </cfRule>
  </conditionalFormatting>
  <conditionalFormatting sqref="BW239">
    <cfRule type="colorScale" priority="3746">
      <colorScale>
        <cfvo type="min"/>
        <cfvo type="max"/>
        <color rgb="FFFCFCFF"/>
        <color rgb="FFF8696B"/>
      </colorScale>
    </cfRule>
    <cfRule type="colorScale" priority="3748">
      <colorScale>
        <cfvo type="min"/>
        <cfvo type="percentile" val="50"/>
        <cfvo type="max"/>
        <color rgb="FF63BE7B"/>
        <color rgb="FFFFEB84"/>
        <color rgb="FFF8696B"/>
      </colorScale>
    </cfRule>
  </conditionalFormatting>
  <conditionalFormatting sqref="BW239">
    <cfRule type="colorScale" priority="3747">
      <colorScale>
        <cfvo type="min"/>
        <cfvo type="max"/>
        <color rgb="FFF8696B"/>
        <color rgb="FFFCFCFF"/>
      </colorScale>
    </cfRule>
  </conditionalFormatting>
  <conditionalFormatting sqref="BW239">
    <cfRule type="colorScale" priority="3745">
      <colorScale>
        <cfvo type="min"/>
        <cfvo type="percentile" val="50"/>
        <cfvo type="max"/>
        <color rgb="FFF8696B"/>
        <color rgb="FFFFEB84"/>
        <color rgb="FF63BE7B"/>
      </colorScale>
    </cfRule>
  </conditionalFormatting>
  <conditionalFormatting sqref="BW239">
    <cfRule type="colorScale" priority="3744">
      <colorScale>
        <cfvo type="min"/>
        <cfvo type="max"/>
        <color rgb="FFFCFCFF"/>
        <color rgb="FFF8696B"/>
      </colorScale>
    </cfRule>
  </conditionalFormatting>
  <conditionalFormatting sqref="BY239">
    <cfRule type="colorScale" priority="3743">
      <colorScale>
        <cfvo type="min"/>
        <cfvo type="percentile" val="50"/>
        <cfvo type="max"/>
        <color rgb="FFF8696B"/>
        <color rgb="FFFFEB84"/>
        <color rgb="FF63BE7B"/>
      </colorScale>
    </cfRule>
  </conditionalFormatting>
  <conditionalFormatting sqref="BY239">
    <cfRule type="colorScale" priority="3742">
      <colorScale>
        <cfvo type="min"/>
        <cfvo type="percentile" val="50"/>
        <cfvo type="max"/>
        <color rgb="FF63BE7B"/>
        <color rgb="FFFFEB84"/>
        <color rgb="FFF8696B"/>
      </colorScale>
    </cfRule>
  </conditionalFormatting>
  <conditionalFormatting sqref="BY239">
    <cfRule type="colorScale" priority="3739">
      <colorScale>
        <cfvo type="min"/>
        <cfvo type="max"/>
        <color rgb="FFFCFCFF"/>
        <color rgb="FFF8696B"/>
      </colorScale>
    </cfRule>
    <cfRule type="colorScale" priority="3741">
      <colorScale>
        <cfvo type="min"/>
        <cfvo type="percentile" val="50"/>
        <cfvo type="max"/>
        <color rgb="FF63BE7B"/>
        <color rgb="FFFFEB84"/>
        <color rgb="FFF8696B"/>
      </colorScale>
    </cfRule>
  </conditionalFormatting>
  <conditionalFormatting sqref="BY239">
    <cfRule type="colorScale" priority="3740">
      <colorScale>
        <cfvo type="min"/>
        <cfvo type="max"/>
        <color rgb="FFF8696B"/>
        <color rgb="FFFCFCFF"/>
      </colorScale>
    </cfRule>
  </conditionalFormatting>
  <conditionalFormatting sqref="BY239">
    <cfRule type="colorScale" priority="3738">
      <colorScale>
        <cfvo type="min"/>
        <cfvo type="percentile" val="50"/>
        <cfvo type="max"/>
        <color rgb="FFF8696B"/>
        <color rgb="FFFFEB84"/>
        <color rgb="FF63BE7B"/>
      </colorScale>
    </cfRule>
  </conditionalFormatting>
  <conditionalFormatting sqref="BY239">
    <cfRule type="colorScale" priority="3737">
      <colorScale>
        <cfvo type="min"/>
        <cfvo type="max"/>
        <color rgb="FFFCFCFF"/>
        <color rgb="FFF8696B"/>
      </colorScale>
    </cfRule>
  </conditionalFormatting>
  <conditionalFormatting sqref="CA239">
    <cfRule type="colorScale" priority="3736">
      <colorScale>
        <cfvo type="min"/>
        <cfvo type="percentile" val="50"/>
        <cfvo type="max"/>
        <color rgb="FFF8696B"/>
        <color rgb="FFFFEB84"/>
        <color rgb="FF63BE7B"/>
      </colorScale>
    </cfRule>
  </conditionalFormatting>
  <conditionalFormatting sqref="CA239">
    <cfRule type="colorScale" priority="3735">
      <colorScale>
        <cfvo type="min"/>
        <cfvo type="percentile" val="50"/>
        <cfvo type="max"/>
        <color rgb="FF63BE7B"/>
        <color rgb="FFFFEB84"/>
        <color rgb="FFF8696B"/>
      </colorScale>
    </cfRule>
  </conditionalFormatting>
  <conditionalFormatting sqref="CA239">
    <cfRule type="colorScale" priority="3732">
      <colorScale>
        <cfvo type="min"/>
        <cfvo type="max"/>
        <color rgb="FFFCFCFF"/>
        <color rgb="FFF8696B"/>
      </colorScale>
    </cfRule>
    <cfRule type="colorScale" priority="3734">
      <colorScale>
        <cfvo type="min"/>
        <cfvo type="percentile" val="50"/>
        <cfvo type="max"/>
        <color rgb="FF63BE7B"/>
        <color rgb="FFFFEB84"/>
        <color rgb="FFF8696B"/>
      </colorScale>
    </cfRule>
  </conditionalFormatting>
  <conditionalFormatting sqref="CA239">
    <cfRule type="colorScale" priority="3733">
      <colorScale>
        <cfvo type="min"/>
        <cfvo type="max"/>
        <color rgb="FFF8696B"/>
        <color rgb="FFFCFCFF"/>
      </colorScale>
    </cfRule>
  </conditionalFormatting>
  <conditionalFormatting sqref="CA239">
    <cfRule type="colorScale" priority="3731">
      <colorScale>
        <cfvo type="min"/>
        <cfvo type="percentile" val="50"/>
        <cfvo type="max"/>
        <color rgb="FFF8696B"/>
        <color rgb="FFFFEB84"/>
        <color rgb="FF63BE7B"/>
      </colorScale>
    </cfRule>
  </conditionalFormatting>
  <conditionalFormatting sqref="CA239">
    <cfRule type="colorScale" priority="3730">
      <colorScale>
        <cfvo type="min"/>
        <cfvo type="max"/>
        <color rgb="FFFCFCFF"/>
        <color rgb="FFF8696B"/>
      </colorScale>
    </cfRule>
  </conditionalFormatting>
  <conditionalFormatting sqref="BO196">
    <cfRule type="colorScale" priority="3729">
      <colorScale>
        <cfvo type="min"/>
        <cfvo type="percentile" val="50"/>
        <cfvo type="max"/>
        <color rgb="FFF8696B"/>
        <color rgb="FFFFEB84"/>
        <color rgb="FF63BE7B"/>
      </colorScale>
    </cfRule>
  </conditionalFormatting>
  <conditionalFormatting sqref="BO196">
    <cfRule type="colorScale" priority="3728">
      <colorScale>
        <cfvo type="min"/>
        <cfvo type="percentile" val="50"/>
        <cfvo type="max"/>
        <color rgb="FF63BE7B"/>
        <color rgb="FFFFEB84"/>
        <color rgb="FFF8696B"/>
      </colorScale>
    </cfRule>
  </conditionalFormatting>
  <conditionalFormatting sqref="BO196">
    <cfRule type="colorScale" priority="3725">
      <colorScale>
        <cfvo type="min"/>
        <cfvo type="max"/>
        <color rgb="FFFCFCFF"/>
        <color rgb="FFF8696B"/>
      </colorScale>
    </cfRule>
    <cfRule type="colorScale" priority="3727">
      <colorScale>
        <cfvo type="min"/>
        <cfvo type="percentile" val="50"/>
        <cfvo type="max"/>
        <color rgb="FF63BE7B"/>
        <color rgb="FFFFEB84"/>
        <color rgb="FFF8696B"/>
      </colorScale>
    </cfRule>
  </conditionalFormatting>
  <conditionalFormatting sqref="BO196">
    <cfRule type="colorScale" priority="3726">
      <colorScale>
        <cfvo type="min"/>
        <cfvo type="max"/>
        <color rgb="FFF8696B"/>
        <color rgb="FFFCFCFF"/>
      </colorScale>
    </cfRule>
  </conditionalFormatting>
  <conditionalFormatting sqref="BO196">
    <cfRule type="colorScale" priority="3724">
      <colorScale>
        <cfvo type="min"/>
        <cfvo type="percentile" val="50"/>
        <cfvo type="max"/>
        <color rgb="FFF8696B"/>
        <color rgb="FFFFEB84"/>
        <color rgb="FF63BE7B"/>
      </colorScale>
    </cfRule>
  </conditionalFormatting>
  <conditionalFormatting sqref="BO196">
    <cfRule type="colorScale" priority="3723">
      <colorScale>
        <cfvo type="min"/>
        <cfvo type="max"/>
        <color rgb="FFFCFCFF"/>
        <color rgb="FFF8696B"/>
      </colorScale>
    </cfRule>
  </conditionalFormatting>
  <conditionalFormatting sqref="BQ196">
    <cfRule type="colorScale" priority="3722">
      <colorScale>
        <cfvo type="min"/>
        <cfvo type="percentile" val="50"/>
        <cfvo type="max"/>
        <color rgb="FFF8696B"/>
        <color rgb="FFFFEB84"/>
        <color rgb="FF63BE7B"/>
      </colorScale>
    </cfRule>
  </conditionalFormatting>
  <conditionalFormatting sqref="BQ196">
    <cfRule type="colorScale" priority="3721">
      <colorScale>
        <cfvo type="min"/>
        <cfvo type="percentile" val="50"/>
        <cfvo type="max"/>
        <color rgb="FF63BE7B"/>
        <color rgb="FFFFEB84"/>
        <color rgb="FFF8696B"/>
      </colorScale>
    </cfRule>
  </conditionalFormatting>
  <conditionalFormatting sqref="BQ196">
    <cfRule type="colorScale" priority="3718">
      <colorScale>
        <cfvo type="min"/>
        <cfvo type="max"/>
        <color rgb="FFFCFCFF"/>
        <color rgb="FFF8696B"/>
      </colorScale>
    </cfRule>
    <cfRule type="colorScale" priority="3720">
      <colorScale>
        <cfvo type="min"/>
        <cfvo type="percentile" val="50"/>
        <cfvo type="max"/>
        <color rgb="FF63BE7B"/>
        <color rgb="FFFFEB84"/>
        <color rgb="FFF8696B"/>
      </colorScale>
    </cfRule>
  </conditionalFormatting>
  <conditionalFormatting sqref="BQ196">
    <cfRule type="colorScale" priority="3719">
      <colorScale>
        <cfvo type="min"/>
        <cfvo type="max"/>
        <color rgb="FFF8696B"/>
        <color rgb="FFFCFCFF"/>
      </colorScale>
    </cfRule>
  </conditionalFormatting>
  <conditionalFormatting sqref="BQ196">
    <cfRule type="colorScale" priority="3717">
      <colorScale>
        <cfvo type="min"/>
        <cfvo type="percentile" val="50"/>
        <cfvo type="max"/>
        <color rgb="FFF8696B"/>
        <color rgb="FFFFEB84"/>
        <color rgb="FF63BE7B"/>
      </colorScale>
    </cfRule>
  </conditionalFormatting>
  <conditionalFormatting sqref="BQ196">
    <cfRule type="colorScale" priority="3716">
      <colorScale>
        <cfvo type="min"/>
        <cfvo type="max"/>
        <color rgb="FFFCFCFF"/>
        <color rgb="FFF8696B"/>
      </colorScale>
    </cfRule>
  </conditionalFormatting>
  <conditionalFormatting sqref="BS196">
    <cfRule type="colorScale" priority="3715">
      <colorScale>
        <cfvo type="min"/>
        <cfvo type="percentile" val="50"/>
        <cfvo type="max"/>
        <color rgb="FFF8696B"/>
        <color rgb="FFFFEB84"/>
        <color rgb="FF63BE7B"/>
      </colorScale>
    </cfRule>
  </conditionalFormatting>
  <conditionalFormatting sqref="BS196">
    <cfRule type="colorScale" priority="3714">
      <colorScale>
        <cfvo type="min"/>
        <cfvo type="percentile" val="50"/>
        <cfvo type="max"/>
        <color rgb="FF63BE7B"/>
        <color rgb="FFFFEB84"/>
        <color rgb="FFF8696B"/>
      </colorScale>
    </cfRule>
  </conditionalFormatting>
  <conditionalFormatting sqref="BS196">
    <cfRule type="colorScale" priority="3711">
      <colorScale>
        <cfvo type="min"/>
        <cfvo type="max"/>
        <color rgb="FFFCFCFF"/>
        <color rgb="FFF8696B"/>
      </colorScale>
    </cfRule>
    <cfRule type="colorScale" priority="3713">
      <colorScale>
        <cfvo type="min"/>
        <cfvo type="percentile" val="50"/>
        <cfvo type="max"/>
        <color rgb="FF63BE7B"/>
        <color rgb="FFFFEB84"/>
        <color rgb="FFF8696B"/>
      </colorScale>
    </cfRule>
  </conditionalFormatting>
  <conditionalFormatting sqref="BS196">
    <cfRule type="colorScale" priority="3712">
      <colorScale>
        <cfvo type="min"/>
        <cfvo type="max"/>
        <color rgb="FFF8696B"/>
        <color rgb="FFFCFCFF"/>
      </colorScale>
    </cfRule>
  </conditionalFormatting>
  <conditionalFormatting sqref="BS196">
    <cfRule type="colorScale" priority="3710">
      <colorScale>
        <cfvo type="min"/>
        <cfvo type="percentile" val="50"/>
        <cfvo type="max"/>
        <color rgb="FFF8696B"/>
        <color rgb="FFFFEB84"/>
        <color rgb="FF63BE7B"/>
      </colorScale>
    </cfRule>
  </conditionalFormatting>
  <conditionalFormatting sqref="BS196">
    <cfRule type="colorScale" priority="3709">
      <colorScale>
        <cfvo type="min"/>
        <cfvo type="max"/>
        <color rgb="FFFCFCFF"/>
        <color rgb="FFF8696B"/>
      </colorScale>
    </cfRule>
  </conditionalFormatting>
  <conditionalFormatting sqref="BU196">
    <cfRule type="colorScale" priority="3708">
      <colorScale>
        <cfvo type="min"/>
        <cfvo type="percentile" val="50"/>
        <cfvo type="max"/>
        <color rgb="FFF8696B"/>
        <color rgb="FFFFEB84"/>
        <color rgb="FF63BE7B"/>
      </colorScale>
    </cfRule>
  </conditionalFormatting>
  <conditionalFormatting sqref="BU196">
    <cfRule type="colorScale" priority="3707">
      <colorScale>
        <cfvo type="min"/>
        <cfvo type="percentile" val="50"/>
        <cfvo type="max"/>
        <color rgb="FF63BE7B"/>
        <color rgb="FFFFEB84"/>
        <color rgb="FFF8696B"/>
      </colorScale>
    </cfRule>
  </conditionalFormatting>
  <conditionalFormatting sqref="BU196">
    <cfRule type="colorScale" priority="3704">
      <colorScale>
        <cfvo type="min"/>
        <cfvo type="max"/>
        <color rgb="FFFCFCFF"/>
        <color rgb="FFF8696B"/>
      </colorScale>
    </cfRule>
    <cfRule type="colorScale" priority="3706">
      <colorScale>
        <cfvo type="min"/>
        <cfvo type="percentile" val="50"/>
        <cfvo type="max"/>
        <color rgb="FF63BE7B"/>
        <color rgb="FFFFEB84"/>
        <color rgb="FFF8696B"/>
      </colorScale>
    </cfRule>
  </conditionalFormatting>
  <conditionalFormatting sqref="BU196">
    <cfRule type="colorScale" priority="3705">
      <colorScale>
        <cfvo type="min"/>
        <cfvo type="max"/>
        <color rgb="FFF8696B"/>
        <color rgb="FFFCFCFF"/>
      </colorScale>
    </cfRule>
  </conditionalFormatting>
  <conditionalFormatting sqref="BU196">
    <cfRule type="colorScale" priority="3703">
      <colorScale>
        <cfvo type="min"/>
        <cfvo type="percentile" val="50"/>
        <cfvo type="max"/>
        <color rgb="FFF8696B"/>
        <color rgb="FFFFEB84"/>
        <color rgb="FF63BE7B"/>
      </colorScale>
    </cfRule>
  </conditionalFormatting>
  <conditionalFormatting sqref="BU196">
    <cfRule type="colorScale" priority="3702">
      <colorScale>
        <cfvo type="min"/>
        <cfvo type="max"/>
        <color rgb="FFFCFCFF"/>
        <color rgb="FFF8696B"/>
      </colorScale>
    </cfRule>
  </conditionalFormatting>
  <conditionalFormatting sqref="BW196">
    <cfRule type="colorScale" priority="3701">
      <colorScale>
        <cfvo type="min"/>
        <cfvo type="percentile" val="50"/>
        <cfvo type="max"/>
        <color rgb="FFF8696B"/>
        <color rgb="FFFFEB84"/>
        <color rgb="FF63BE7B"/>
      </colorScale>
    </cfRule>
  </conditionalFormatting>
  <conditionalFormatting sqref="BW196">
    <cfRule type="colorScale" priority="3700">
      <colorScale>
        <cfvo type="min"/>
        <cfvo type="percentile" val="50"/>
        <cfvo type="max"/>
        <color rgb="FF63BE7B"/>
        <color rgb="FFFFEB84"/>
        <color rgb="FFF8696B"/>
      </colorScale>
    </cfRule>
  </conditionalFormatting>
  <conditionalFormatting sqref="BW196">
    <cfRule type="colorScale" priority="3697">
      <colorScale>
        <cfvo type="min"/>
        <cfvo type="max"/>
        <color rgb="FFFCFCFF"/>
        <color rgb="FFF8696B"/>
      </colorScale>
    </cfRule>
    <cfRule type="colorScale" priority="3699">
      <colorScale>
        <cfvo type="min"/>
        <cfvo type="percentile" val="50"/>
        <cfvo type="max"/>
        <color rgb="FF63BE7B"/>
        <color rgb="FFFFEB84"/>
        <color rgb="FFF8696B"/>
      </colorScale>
    </cfRule>
  </conditionalFormatting>
  <conditionalFormatting sqref="BW196">
    <cfRule type="colorScale" priority="3698">
      <colorScale>
        <cfvo type="min"/>
        <cfvo type="max"/>
        <color rgb="FFF8696B"/>
        <color rgb="FFFCFCFF"/>
      </colorScale>
    </cfRule>
  </conditionalFormatting>
  <conditionalFormatting sqref="BW196">
    <cfRule type="colorScale" priority="3696">
      <colorScale>
        <cfvo type="min"/>
        <cfvo type="percentile" val="50"/>
        <cfvo type="max"/>
        <color rgb="FFF8696B"/>
        <color rgb="FFFFEB84"/>
        <color rgb="FF63BE7B"/>
      </colorScale>
    </cfRule>
  </conditionalFormatting>
  <conditionalFormatting sqref="BW196">
    <cfRule type="colorScale" priority="3695">
      <colorScale>
        <cfvo type="min"/>
        <cfvo type="max"/>
        <color rgb="FFFCFCFF"/>
        <color rgb="FFF8696B"/>
      </colorScale>
    </cfRule>
  </conditionalFormatting>
  <conditionalFormatting sqref="BY196">
    <cfRule type="colorScale" priority="3694">
      <colorScale>
        <cfvo type="min"/>
        <cfvo type="percentile" val="50"/>
        <cfvo type="max"/>
        <color rgb="FFF8696B"/>
        <color rgb="FFFFEB84"/>
        <color rgb="FF63BE7B"/>
      </colorScale>
    </cfRule>
  </conditionalFormatting>
  <conditionalFormatting sqref="BY196">
    <cfRule type="colorScale" priority="3693">
      <colorScale>
        <cfvo type="min"/>
        <cfvo type="percentile" val="50"/>
        <cfvo type="max"/>
        <color rgb="FF63BE7B"/>
        <color rgb="FFFFEB84"/>
        <color rgb="FFF8696B"/>
      </colorScale>
    </cfRule>
  </conditionalFormatting>
  <conditionalFormatting sqref="BY196">
    <cfRule type="colorScale" priority="3690">
      <colorScale>
        <cfvo type="min"/>
        <cfvo type="max"/>
        <color rgb="FFFCFCFF"/>
        <color rgb="FFF8696B"/>
      </colorScale>
    </cfRule>
    <cfRule type="colorScale" priority="3692">
      <colorScale>
        <cfvo type="min"/>
        <cfvo type="percentile" val="50"/>
        <cfvo type="max"/>
        <color rgb="FF63BE7B"/>
        <color rgb="FFFFEB84"/>
        <color rgb="FFF8696B"/>
      </colorScale>
    </cfRule>
  </conditionalFormatting>
  <conditionalFormatting sqref="BY196">
    <cfRule type="colorScale" priority="3691">
      <colorScale>
        <cfvo type="min"/>
        <cfvo type="max"/>
        <color rgb="FFF8696B"/>
        <color rgb="FFFCFCFF"/>
      </colorScale>
    </cfRule>
  </conditionalFormatting>
  <conditionalFormatting sqref="BY196">
    <cfRule type="colorScale" priority="3689">
      <colorScale>
        <cfvo type="min"/>
        <cfvo type="percentile" val="50"/>
        <cfvo type="max"/>
        <color rgb="FFF8696B"/>
        <color rgb="FFFFEB84"/>
        <color rgb="FF63BE7B"/>
      </colorScale>
    </cfRule>
  </conditionalFormatting>
  <conditionalFormatting sqref="BY196">
    <cfRule type="colorScale" priority="3688">
      <colorScale>
        <cfvo type="min"/>
        <cfvo type="max"/>
        <color rgb="FFFCFCFF"/>
        <color rgb="FFF8696B"/>
      </colorScale>
    </cfRule>
  </conditionalFormatting>
  <conditionalFormatting sqref="CA196">
    <cfRule type="colorScale" priority="3687">
      <colorScale>
        <cfvo type="min"/>
        <cfvo type="percentile" val="50"/>
        <cfvo type="max"/>
        <color rgb="FFF8696B"/>
        <color rgb="FFFFEB84"/>
        <color rgb="FF63BE7B"/>
      </colorScale>
    </cfRule>
  </conditionalFormatting>
  <conditionalFormatting sqref="CA196">
    <cfRule type="colorScale" priority="3686">
      <colorScale>
        <cfvo type="min"/>
        <cfvo type="percentile" val="50"/>
        <cfvo type="max"/>
        <color rgb="FF63BE7B"/>
        <color rgb="FFFFEB84"/>
        <color rgb="FFF8696B"/>
      </colorScale>
    </cfRule>
  </conditionalFormatting>
  <conditionalFormatting sqref="CA196">
    <cfRule type="colorScale" priority="3683">
      <colorScale>
        <cfvo type="min"/>
        <cfvo type="max"/>
        <color rgb="FFFCFCFF"/>
        <color rgb="FFF8696B"/>
      </colorScale>
    </cfRule>
    <cfRule type="colorScale" priority="3685">
      <colorScale>
        <cfvo type="min"/>
        <cfvo type="percentile" val="50"/>
        <cfvo type="max"/>
        <color rgb="FF63BE7B"/>
        <color rgb="FFFFEB84"/>
        <color rgb="FFF8696B"/>
      </colorScale>
    </cfRule>
  </conditionalFormatting>
  <conditionalFormatting sqref="CA196">
    <cfRule type="colorScale" priority="3684">
      <colorScale>
        <cfvo type="min"/>
        <cfvo type="max"/>
        <color rgb="FFF8696B"/>
        <color rgb="FFFCFCFF"/>
      </colorScale>
    </cfRule>
  </conditionalFormatting>
  <conditionalFormatting sqref="CA196">
    <cfRule type="colorScale" priority="3682">
      <colorScale>
        <cfvo type="min"/>
        <cfvo type="percentile" val="50"/>
        <cfvo type="max"/>
        <color rgb="FFF8696B"/>
        <color rgb="FFFFEB84"/>
        <color rgb="FF63BE7B"/>
      </colorScale>
    </cfRule>
  </conditionalFormatting>
  <conditionalFormatting sqref="CA196">
    <cfRule type="colorScale" priority="3681">
      <colorScale>
        <cfvo type="min"/>
        <cfvo type="max"/>
        <color rgb="FFFCFCFF"/>
        <color rgb="FFF8696B"/>
      </colorScale>
    </cfRule>
  </conditionalFormatting>
  <conditionalFormatting sqref="BO153">
    <cfRule type="colorScale" priority="3680">
      <colorScale>
        <cfvo type="min"/>
        <cfvo type="percentile" val="50"/>
        <cfvo type="max"/>
        <color rgb="FFF8696B"/>
        <color rgb="FFFFEB84"/>
        <color rgb="FF63BE7B"/>
      </colorScale>
    </cfRule>
  </conditionalFormatting>
  <conditionalFormatting sqref="BO153">
    <cfRule type="colorScale" priority="3679">
      <colorScale>
        <cfvo type="min"/>
        <cfvo type="percentile" val="50"/>
        <cfvo type="max"/>
        <color rgb="FF63BE7B"/>
        <color rgb="FFFFEB84"/>
        <color rgb="FFF8696B"/>
      </colorScale>
    </cfRule>
  </conditionalFormatting>
  <conditionalFormatting sqref="BO153">
    <cfRule type="colorScale" priority="3676">
      <colorScale>
        <cfvo type="min"/>
        <cfvo type="max"/>
        <color rgb="FFFCFCFF"/>
        <color rgb="FFF8696B"/>
      </colorScale>
    </cfRule>
    <cfRule type="colorScale" priority="3678">
      <colorScale>
        <cfvo type="min"/>
        <cfvo type="percentile" val="50"/>
        <cfvo type="max"/>
        <color rgb="FF63BE7B"/>
        <color rgb="FFFFEB84"/>
        <color rgb="FFF8696B"/>
      </colorScale>
    </cfRule>
  </conditionalFormatting>
  <conditionalFormatting sqref="BO153">
    <cfRule type="colorScale" priority="3677">
      <colorScale>
        <cfvo type="min"/>
        <cfvo type="max"/>
        <color rgb="FFF8696B"/>
        <color rgb="FFFCFCFF"/>
      </colorScale>
    </cfRule>
  </conditionalFormatting>
  <conditionalFormatting sqref="BO153">
    <cfRule type="colorScale" priority="3675">
      <colorScale>
        <cfvo type="min"/>
        <cfvo type="percentile" val="50"/>
        <cfvo type="max"/>
        <color rgb="FFF8696B"/>
        <color rgb="FFFFEB84"/>
        <color rgb="FF63BE7B"/>
      </colorScale>
    </cfRule>
  </conditionalFormatting>
  <conditionalFormatting sqref="BO153">
    <cfRule type="colorScale" priority="3674">
      <colorScale>
        <cfvo type="min"/>
        <cfvo type="max"/>
        <color rgb="FFFCFCFF"/>
        <color rgb="FFF8696B"/>
      </colorScale>
    </cfRule>
  </conditionalFormatting>
  <conditionalFormatting sqref="BQ153">
    <cfRule type="colorScale" priority="3673">
      <colorScale>
        <cfvo type="min"/>
        <cfvo type="percentile" val="50"/>
        <cfvo type="max"/>
        <color rgb="FFF8696B"/>
        <color rgb="FFFFEB84"/>
        <color rgb="FF63BE7B"/>
      </colorScale>
    </cfRule>
  </conditionalFormatting>
  <conditionalFormatting sqref="BQ153">
    <cfRule type="colorScale" priority="3672">
      <colorScale>
        <cfvo type="min"/>
        <cfvo type="percentile" val="50"/>
        <cfvo type="max"/>
        <color rgb="FF63BE7B"/>
        <color rgb="FFFFEB84"/>
        <color rgb="FFF8696B"/>
      </colorScale>
    </cfRule>
  </conditionalFormatting>
  <conditionalFormatting sqref="BQ153">
    <cfRule type="colorScale" priority="3669">
      <colorScale>
        <cfvo type="min"/>
        <cfvo type="max"/>
        <color rgb="FFFCFCFF"/>
        <color rgb="FFF8696B"/>
      </colorScale>
    </cfRule>
    <cfRule type="colorScale" priority="3671">
      <colorScale>
        <cfvo type="min"/>
        <cfvo type="percentile" val="50"/>
        <cfvo type="max"/>
        <color rgb="FF63BE7B"/>
        <color rgb="FFFFEB84"/>
        <color rgb="FFF8696B"/>
      </colorScale>
    </cfRule>
  </conditionalFormatting>
  <conditionalFormatting sqref="BQ153">
    <cfRule type="colorScale" priority="3670">
      <colorScale>
        <cfvo type="min"/>
        <cfvo type="max"/>
        <color rgb="FFF8696B"/>
        <color rgb="FFFCFCFF"/>
      </colorScale>
    </cfRule>
  </conditionalFormatting>
  <conditionalFormatting sqref="BQ153">
    <cfRule type="colorScale" priority="3668">
      <colorScale>
        <cfvo type="min"/>
        <cfvo type="percentile" val="50"/>
        <cfvo type="max"/>
        <color rgb="FFF8696B"/>
        <color rgb="FFFFEB84"/>
        <color rgb="FF63BE7B"/>
      </colorScale>
    </cfRule>
  </conditionalFormatting>
  <conditionalFormatting sqref="BQ153">
    <cfRule type="colorScale" priority="3667">
      <colorScale>
        <cfvo type="min"/>
        <cfvo type="max"/>
        <color rgb="FFFCFCFF"/>
        <color rgb="FFF8696B"/>
      </colorScale>
    </cfRule>
  </conditionalFormatting>
  <conditionalFormatting sqref="BS153">
    <cfRule type="colorScale" priority="3666">
      <colorScale>
        <cfvo type="min"/>
        <cfvo type="percentile" val="50"/>
        <cfvo type="max"/>
        <color rgb="FFF8696B"/>
        <color rgb="FFFFEB84"/>
        <color rgb="FF63BE7B"/>
      </colorScale>
    </cfRule>
  </conditionalFormatting>
  <conditionalFormatting sqref="BS153">
    <cfRule type="colorScale" priority="3665">
      <colorScale>
        <cfvo type="min"/>
        <cfvo type="percentile" val="50"/>
        <cfvo type="max"/>
        <color rgb="FF63BE7B"/>
        <color rgb="FFFFEB84"/>
        <color rgb="FFF8696B"/>
      </colorScale>
    </cfRule>
  </conditionalFormatting>
  <conditionalFormatting sqref="BS153">
    <cfRule type="colorScale" priority="3662">
      <colorScale>
        <cfvo type="min"/>
        <cfvo type="max"/>
        <color rgb="FFFCFCFF"/>
        <color rgb="FFF8696B"/>
      </colorScale>
    </cfRule>
    <cfRule type="colorScale" priority="3664">
      <colorScale>
        <cfvo type="min"/>
        <cfvo type="percentile" val="50"/>
        <cfvo type="max"/>
        <color rgb="FF63BE7B"/>
        <color rgb="FFFFEB84"/>
        <color rgb="FFF8696B"/>
      </colorScale>
    </cfRule>
  </conditionalFormatting>
  <conditionalFormatting sqref="BS153">
    <cfRule type="colorScale" priority="3663">
      <colorScale>
        <cfvo type="min"/>
        <cfvo type="max"/>
        <color rgb="FFF8696B"/>
        <color rgb="FFFCFCFF"/>
      </colorScale>
    </cfRule>
  </conditionalFormatting>
  <conditionalFormatting sqref="BS153">
    <cfRule type="colorScale" priority="3661">
      <colorScale>
        <cfvo type="min"/>
        <cfvo type="percentile" val="50"/>
        <cfvo type="max"/>
        <color rgb="FFF8696B"/>
        <color rgb="FFFFEB84"/>
        <color rgb="FF63BE7B"/>
      </colorScale>
    </cfRule>
  </conditionalFormatting>
  <conditionalFormatting sqref="BS153">
    <cfRule type="colorScale" priority="3660">
      <colorScale>
        <cfvo type="min"/>
        <cfvo type="max"/>
        <color rgb="FFFCFCFF"/>
        <color rgb="FFF8696B"/>
      </colorScale>
    </cfRule>
  </conditionalFormatting>
  <conditionalFormatting sqref="BU153">
    <cfRule type="colorScale" priority="3659">
      <colorScale>
        <cfvo type="min"/>
        <cfvo type="percentile" val="50"/>
        <cfvo type="max"/>
        <color rgb="FFF8696B"/>
        <color rgb="FFFFEB84"/>
        <color rgb="FF63BE7B"/>
      </colorScale>
    </cfRule>
  </conditionalFormatting>
  <conditionalFormatting sqref="BU153">
    <cfRule type="colorScale" priority="3658">
      <colorScale>
        <cfvo type="min"/>
        <cfvo type="percentile" val="50"/>
        <cfvo type="max"/>
        <color rgb="FF63BE7B"/>
        <color rgb="FFFFEB84"/>
        <color rgb="FFF8696B"/>
      </colorScale>
    </cfRule>
  </conditionalFormatting>
  <conditionalFormatting sqref="BU153">
    <cfRule type="colorScale" priority="3655">
      <colorScale>
        <cfvo type="min"/>
        <cfvo type="max"/>
        <color rgb="FFFCFCFF"/>
        <color rgb="FFF8696B"/>
      </colorScale>
    </cfRule>
    <cfRule type="colorScale" priority="3657">
      <colorScale>
        <cfvo type="min"/>
        <cfvo type="percentile" val="50"/>
        <cfvo type="max"/>
        <color rgb="FF63BE7B"/>
        <color rgb="FFFFEB84"/>
        <color rgb="FFF8696B"/>
      </colorScale>
    </cfRule>
  </conditionalFormatting>
  <conditionalFormatting sqref="BU153">
    <cfRule type="colorScale" priority="3656">
      <colorScale>
        <cfvo type="min"/>
        <cfvo type="max"/>
        <color rgb="FFF8696B"/>
        <color rgb="FFFCFCFF"/>
      </colorScale>
    </cfRule>
  </conditionalFormatting>
  <conditionalFormatting sqref="BU153">
    <cfRule type="colorScale" priority="3654">
      <colorScale>
        <cfvo type="min"/>
        <cfvo type="percentile" val="50"/>
        <cfvo type="max"/>
        <color rgb="FFF8696B"/>
        <color rgb="FFFFEB84"/>
        <color rgb="FF63BE7B"/>
      </colorScale>
    </cfRule>
  </conditionalFormatting>
  <conditionalFormatting sqref="BU153">
    <cfRule type="colorScale" priority="3653">
      <colorScale>
        <cfvo type="min"/>
        <cfvo type="max"/>
        <color rgb="FFFCFCFF"/>
        <color rgb="FFF8696B"/>
      </colorScale>
    </cfRule>
  </conditionalFormatting>
  <conditionalFormatting sqref="BW153">
    <cfRule type="colorScale" priority="3652">
      <colorScale>
        <cfvo type="min"/>
        <cfvo type="percentile" val="50"/>
        <cfvo type="max"/>
        <color rgb="FFF8696B"/>
        <color rgb="FFFFEB84"/>
        <color rgb="FF63BE7B"/>
      </colorScale>
    </cfRule>
  </conditionalFormatting>
  <conditionalFormatting sqref="BW153">
    <cfRule type="colorScale" priority="3651">
      <colorScale>
        <cfvo type="min"/>
        <cfvo type="percentile" val="50"/>
        <cfvo type="max"/>
        <color rgb="FF63BE7B"/>
        <color rgb="FFFFEB84"/>
        <color rgb="FFF8696B"/>
      </colorScale>
    </cfRule>
  </conditionalFormatting>
  <conditionalFormatting sqref="BW153">
    <cfRule type="colorScale" priority="3648">
      <colorScale>
        <cfvo type="min"/>
        <cfvo type="max"/>
        <color rgb="FFFCFCFF"/>
        <color rgb="FFF8696B"/>
      </colorScale>
    </cfRule>
    <cfRule type="colorScale" priority="3650">
      <colorScale>
        <cfvo type="min"/>
        <cfvo type="percentile" val="50"/>
        <cfvo type="max"/>
        <color rgb="FF63BE7B"/>
        <color rgb="FFFFEB84"/>
        <color rgb="FFF8696B"/>
      </colorScale>
    </cfRule>
  </conditionalFormatting>
  <conditionalFormatting sqref="BW153">
    <cfRule type="colorScale" priority="3649">
      <colorScale>
        <cfvo type="min"/>
        <cfvo type="max"/>
        <color rgb="FFF8696B"/>
        <color rgb="FFFCFCFF"/>
      </colorScale>
    </cfRule>
  </conditionalFormatting>
  <conditionalFormatting sqref="BW153">
    <cfRule type="colorScale" priority="3647">
      <colorScale>
        <cfvo type="min"/>
        <cfvo type="percentile" val="50"/>
        <cfvo type="max"/>
        <color rgb="FFF8696B"/>
        <color rgb="FFFFEB84"/>
        <color rgb="FF63BE7B"/>
      </colorScale>
    </cfRule>
  </conditionalFormatting>
  <conditionalFormatting sqref="BW153">
    <cfRule type="colorScale" priority="3646">
      <colorScale>
        <cfvo type="min"/>
        <cfvo type="max"/>
        <color rgb="FFFCFCFF"/>
        <color rgb="FFF8696B"/>
      </colorScale>
    </cfRule>
  </conditionalFormatting>
  <conditionalFormatting sqref="BO110">
    <cfRule type="colorScale" priority="3645">
      <colorScale>
        <cfvo type="min"/>
        <cfvo type="percentile" val="50"/>
        <cfvo type="max"/>
        <color rgb="FFF8696B"/>
        <color rgb="FFFFEB84"/>
        <color rgb="FF63BE7B"/>
      </colorScale>
    </cfRule>
  </conditionalFormatting>
  <conditionalFormatting sqref="BO110">
    <cfRule type="colorScale" priority="3644">
      <colorScale>
        <cfvo type="min"/>
        <cfvo type="percentile" val="50"/>
        <cfvo type="max"/>
        <color rgb="FF63BE7B"/>
        <color rgb="FFFFEB84"/>
        <color rgb="FFF8696B"/>
      </colorScale>
    </cfRule>
  </conditionalFormatting>
  <conditionalFormatting sqref="BO110">
    <cfRule type="colorScale" priority="3641">
      <colorScale>
        <cfvo type="min"/>
        <cfvo type="max"/>
        <color rgb="FFFCFCFF"/>
        <color rgb="FFF8696B"/>
      </colorScale>
    </cfRule>
    <cfRule type="colorScale" priority="3643">
      <colorScale>
        <cfvo type="min"/>
        <cfvo type="percentile" val="50"/>
        <cfvo type="max"/>
        <color rgb="FF63BE7B"/>
        <color rgb="FFFFEB84"/>
        <color rgb="FFF8696B"/>
      </colorScale>
    </cfRule>
  </conditionalFormatting>
  <conditionalFormatting sqref="BO110">
    <cfRule type="colorScale" priority="3642">
      <colorScale>
        <cfvo type="min"/>
        <cfvo type="max"/>
        <color rgb="FFF8696B"/>
        <color rgb="FFFCFCFF"/>
      </colorScale>
    </cfRule>
  </conditionalFormatting>
  <conditionalFormatting sqref="BO110">
    <cfRule type="colorScale" priority="3640">
      <colorScale>
        <cfvo type="min"/>
        <cfvo type="percentile" val="50"/>
        <cfvo type="max"/>
        <color rgb="FFF8696B"/>
        <color rgb="FFFFEB84"/>
        <color rgb="FF63BE7B"/>
      </colorScale>
    </cfRule>
  </conditionalFormatting>
  <conditionalFormatting sqref="BO110">
    <cfRule type="colorScale" priority="3639">
      <colorScale>
        <cfvo type="min"/>
        <cfvo type="max"/>
        <color rgb="FFFCFCFF"/>
        <color rgb="FFF8696B"/>
      </colorScale>
    </cfRule>
  </conditionalFormatting>
  <conditionalFormatting sqref="BQ110">
    <cfRule type="colorScale" priority="3638">
      <colorScale>
        <cfvo type="min"/>
        <cfvo type="percentile" val="50"/>
        <cfvo type="max"/>
        <color rgb="FFF8696B"/>
        <color rgb="FFFFEB84"/>
        <color rgb="FF63BE7B"/>
      </colorScale>
    </cfRule>
  </conditionalFormatting>
  <conditionalFormatting sqref="BQ110">
    <cfRule type="colorScale" priority="3637">
      <colorScale>
        <cfvo type="min"/>
        <cfvo type="percentile" val="50"/>
        <cfvo type="max"/>
        <color rgb="FF63BE7B"/>
        <color rgb="FFFFEB84"/>
        <color rgb="FFF8696B"/>
      </colorScale>
    </cfRule>
  </conditionalFormatting>
  <conditionalFormatting sqref="BQ110">
    <cfRule type="colorScale" priority="3634">
      <colorScale>
        <cfvo type="min"/>
        <cfvo type="max"/>
        <color rgb="FFFCFCFF"/>
        <color rgb="FFF8696B"/>
      </colorScale>
    </cfRule>
    <cfRule type="colorScale" priority="3636">
      <colorScale>
        <cfvo type="min"/>
        <cfvo type="percentile" val="50"/>
        <cfvo type="max"/>
        <color rgb="FF63BE7B"/>
        <color rgb="FFFFEB84"/>
        <color rgb="FFF8696B"/>
      </colorScale>
    </cfRule>
  </conditionalFormatting>
  <conditionalFormatting sqref="BQ110">
    <cfRule type="colorScale" priority="3635">
      <colorScale>
        <cfvo type="min"/>
        <cfvo type="max"/>
        <color rgb="FFF8696B"/>
        <color rgb="FFFCFCFF"/>
      </colorScale>
    </cfRule>
  </conditionalFormatting>
  <conditionalFormatting sqref="BQ110">
    <cfRule type="colorScale" priority="3633">
      <colorScale>
        <cfvo type="min"/>
        <cfvo type="percentile" val="50"/>
        <cfvo type="max"/>
        <color rgb="FFF8696B"/>
        <color rgb="FFFFEB84"/>
        <color rgb="FF63BE7B"/>
      </colorScale>
    </cfRule>
  </conditionalFormatting>
  <conditionalFormatting sqref="BQ110">
    <cfRule type="colorScale" priority="3632">
      <colorScale>
        <cfvo type="min"/>
        <cfvo type="max"/>
        <color rgb="FFFCFCFF"/>
        <color rgb="FFF8696B"/>
      </colorScale>
    </cfRule>
  </conditionalFormatting>
  <conditionalFormatting sqref="BS110">
    <cfRule type="colorScale" priority="3631">
      <colorScale>
        <cfvo type="min"/>
        <cfvo type="percentile" val="50"/>
        <cfvo type="max"/>
        <color rgb="FFF8696B"/>
        <color rgb="FFFFEB84"/>
        <color rgb="FF63BE7B"/>
      </colorScale>
    </cfRule>
  </conditionalFormatting>
  <conditionalFormatting sqref="BS110">
    <cfRule type="colorScale" priority="3630">
      <colorScale>
        <cfvo type="min"/>
        <cfvo type="percentile" val="50"/>
        <cfvo type="max"/>
        <color rgb="FF63BE7B"/>
        <color rgb="FFFFEB84"/>
        <color rgb="FFF8696B"/>
      </colorScale>
    </cfRule>
  </conditionalFormatting>
  <conditionalFormatting sqref="BS110">
    <cfRule type="colorScale" priority="3627">
      <colorScale>
        <cfvo type="min"/>
        <cfvo type="max"/>
        <color rgb="FFFCFCFF"/>
        <color rgb="FFF8696B"/>
      </colorScale>
    </cfRule>
    <cfRule type="colorScale" priority="3629">
      <colorScale>
        <cfvo type="min"/>
        <cfvo type="percentile" val="50"/>
        <cfvo type="max"/>
        <color rgb="FF63BE7B"/>
        <color rgb="FFFFEB84"/>
        <color rgb="FFF8696B"/>
      </colorScale>
    </cfRule>
  </conditionalFormatting>
  <conditionalFormatting sqref="BS110">
    <cfRule type="colorScale" priority="3628">
      <colorScale>
        <cfvo type="min"/>
        <cfvo type="max"/>
        <color rgb="FFF8696B"/>
        <color rgb="FFFCFCFF"/>
      </colorScale>
    </cfRule>
  </conditionalFormatting>
  <conditionalFormatting sqref="BS110">
    <cfRule type="colorScale" priority="3626">
      <colorScale>
        <cfvo type="min"/>
        <cfvo type="percentile" val="50"/>
        <cfvo type="max"/>
        <color rgb="FFF8696B"/>
        <color rgb="FFFFEB84"/>
        <color rgb="FF63BE7B"/>
      </colorScale>
    </cfRule>
  </conditionalFormatting>
  <conditionalFormatting sqref="BS110">
    <cfRule type="colorScale" priority="3625">
      <colorScale>
        <cfvo type="min"/>
        <cfvo type="max"/>
        <color rgb="FFFCFCFF"/>
        <color rgb="FFF8696B"/>
      </colorScale>
    </cfRule>
  </conditionalFormatting>
  <conditionalFormatting sqref="BU110">
    <cfRule type="colorScale" priority="3624">
      <colorScale>
        <cfvo type="min"/>
        <cfvo type="percentile" val="50"/>
        <cfvo type="max"/>
        <color rgb="FFF8696B"/>
        <color rgb="FFFFEB84"/>
        <color rgb="FF63BE7B"/>
      </colorScale>
    </cfRule>
  </conditionalFormatting>
  <conditionalFormatting sqref="BU110">
    <cfRule type="colorScale" priority="3623">
      <colorScale>
        <cfvo type="min"/>
        <cfvo type="percentile" val="50"/>
        <cfvo type="max"/>
        <color rgb="FF63BE7B"/>
        <color rgb="FFFFEB84"/>
        <color rgb="FFF8696B"/>
      </colorScale>
    </cfRule>
  </conditionalFormatting>
  <conditionalFormatting sqref="BU110">
    <cfRule type="colorScale" priority="3620">
      <colorScale>
        <cfvo type="min"/>
        <cfvo type="max"/>
        <color rgb="FFFCFCFF"/>
        <color rgb="FFF8696B"/>
      </colorScale>
    </cfRule>
    <cfRule type="colorScale" priority="3622">
      <colorScale>
        <cfvo type="min"/>
        <cfvo type="percentile" val="50"/>
        <cfvo type="max"/>
        <color rgb="FF63BE7B"/>
        <color rgb="FFFFEB84"/>
        <color rgb="FFF8696B"/>
      </colorScale>
    </cfRule>
  </conditionalFormatting>
  <conditionalFormatting sqref="BU110">
    <cfRule type="colorScale" priority="3621">
      <colorScale>
        <cfvo type="min"/>
        <cfvo type="max"/>
        <color rgb="FFF8696B"/>
        <color rgb="FFFCFCFF"/>
      </colorScale>
    </cfRule>
  </conditionalFormatting>
  <conditionalFormatting sqref="BU110">
    <cfRule type="colorScale" priority="3619">
      <colorScale>
        <cfvo type="min"/>
        <cfvo type="percentile" val="50"/>
        <cfvo type="max"/>
        <color rgb="FFF8696B"/>
        <color rgb="FFFFEB84"/>
        <color rgb="FF63BE7B"/>
      </colorScale>
    </cfRule>
  </conditionalFormatting>
  <conditionalFormatting sqref="BU110">
    <cfRule type="colorScale" priority="3618">
      <colorScale>
        <cfvo type="min"/>
        <cfvo type="max"/>
        <color rgb="FFFCFCFF"/>
        <color rgb="FFF8696B"/>
      </colorScale>
    </cfRule>
  </conditionalFormatting>
  <conditionalFormatting sqref="BS84">
    <cfRule type="colorScale" priority="3617">
      <colorScale>
        <cfvo type="min"/>
        <cfvo type="percentile" val="50"/>
        <cfvo type="max"/>
        <color rgb="FFF8696B"/>
        <color rgb="FFFFEB84"/>
        <color rgb="FF63BE7B"/>
      </colorScale>
    </cfRule>
  </conditionalFormatting>
  <conditionalFormatting sqref="BS84">
    <cfRule type="colorScale" priority="3616">
      <colorScale>
        <cfvo type="min"/>
        <cfvo type="percentile" val="50"/>
        <cfvo type="max"/>
        <color rgb="FFF8696B"/>
        <color rgb="FFFFEB84"/>
        <color rgb="FF63BE7B"/>
      </colorScale>
    </cfRule>
  </conditionalFormatting>
  <conditionalFormatting sqref="BS84">
    <cfRule type="colorScale" priority="3615">
      <colorScale>
        <cfvo type="min"/>
        <cfvo type="percentile" val="50"/>
        <cfvo type="max"/>
        <color rgb="FFF8696B"/>
        <color rgb="FFFFEB84"/>
        <color rgb="FF63BE7B"/>
      </colorScale>
    </cfRule>
  </conditionalFormatting>
  <conditionalFormatting sqref="BS84">
    <cfRule type="colorScale" priority="3614">
      <colorScale>
        <cfvo type="min"/>
        <cfvo type="percentile" val="50"/>
        <cfvo type="max"/>
        <color rgb="FF63BE7B"/>
        <color rgb="FFFFEB84"/>
        <color rgb="FFF8696B"/>
      </colorScale>
    </cfRule>
  </conditionalFormatting>
  <conditionalFormatting sqref="BS84">
    <cfRule type="colorScale" priority="3611">
      <colorScale>
        <cfvo type="min"/>
        <cfvo type="max"/>
        <color rgb="FFFCFCFF"/>
        <color rgb="FFF8696B"/>
      </colorScale>
    </cfRule>
    <cfRule type="colorScale" priority="3613">
      <colorScale>
        <cfvo type="min"/>
        <cfvo type="percentile" val="50"/>
        <cfvo type="max"/>
        <color rgb="FF63BE7B"/>
        <color rgb="FFFFEB84"/>
        <color rgb="FFF8696B"/>
      </colorScale>
    </cfRule>
  </conditionalFormatting>
  <conditionalFormatting sqref="BS84">
    <cfRule type="colorScale" priority="3612">
      <colorScale>
        <cfvo type="min"/>
        <cfvo type="max"/>
        <color rgb="FFF8696B"/>
        <color rgb="FFFCFCFF"/>
      </colorScale>
    </cfRule>
  </conditionalFormatting>
  <conditionalFormatting sqref="BU84">
    <cfRule type="colorScale" priority="3610">
      <colorScale>
        <cfvo type="min"/>
        <cfvo type="percentile" val="50"/>
        <cfvo type="max"/>
        <color rgb="FFF8696B"/>
        <color rgb="FFFFEB84"/>
        <color rgb="FF63BE7B"/>
      </colorScale>
    </cfRule>
  </conditionalFormatting>
  <conditionalFormatting sqref="BU84">
    <cfRule type="colorScale" priority="3609">
      <colorScale>
        <cfvo type="min"/>
        <cfvo type="percentile" val="50"/>
        <cfvo type="max"/>
        <color rgb="FFF8696B"/>
        <color rgb="FFFFEB84"/>
        <color rgb="FF63BE7B"/>
      </colorScale>
    </cfRule>
  </conditionalFormatting>
  <conditionalFormatting sqref="BU84">
    <cfRule type="colorScale" priority="3608">
      <colorScale>
        <cfvo type="min"/>
        <cfvo type="percentile" val="50"/>
        <cfvo type="max"/>
        <color rgb="FFF8696B"/>
        <color rgb="FFFFEB84"/>
        <color rgb="FF63BE7B"/>
      </colorScale>
    </cfRule>
  </conditionalFormatting>
  <conditionalFormatting sqref="BU84">
    <cfRule type="colorScale" priority="3607">
      <colorScale>
        <cfvo type="min"/>
        <cfvo type="percentile" val="50"/>
        <cfvo type="max"/>
        <color rgb="FF63BE7B"/>
        <color rgb="FFFFEB84"/>
        <color rgb="FFF8696B"/>
      </colorScale>
    </cfRule>
  </conditionalFormatting>
  <conditionalFormatting sqref="BU84">
    <cfRule type="colorScale" priority="3604">
      <colorScale>
        <cfvo type="min"/>
        <cfvo type="max"/>
        <color rgb="FFFCFCFF"/>
        <color rgb="FFF8696B"/>
      </colorScale>
    </cfRule>
    <cfRule type="colorScale" priority="3606">
      <colorScale>
        <cfvo type="min"/>
        <cfvo type="percentile" val="50"/>
        <cfvo type="max"/>
        <color rgb="FF63BE7B"/>
        <color rgb="FFFFEB84"/>
        <color rgb="FFF8696B"/>
      </colorScale>
    </cfRule>
  </conditionalFormatting>
  <conditionalFormatting sqref="BU84">
    <cfRule type="colorScale" priority="3605">
      <colorScale>
        <cfvo type="min"/>
        <cfvo type="max"/>
        <color rgb="FFF8696B"/>
        <color rgb="FFFCFCFF"/>
      </colorScale>
    </cfRule>
  </conditionalFormatting>
  <conditionalFormatting sqref="BW84">
    <cfRule type="colorScale" priority="3603">
      <colorScale>
        <cfvo type="min"/>
        <cfvo type="percentile" val="50"/>
        <cfvo type="max"/>
        <color rgb="FFF8696B"/>
        <color rgb="FFFFEB84"/>
        <color rgb="FF63BE7B"/>
      </colorScale>
    </cfRule>
  </conditionalFormatting>
  <conditionalFormatting sqref="BW84">
    <cfRule type="colorScale" priority="3602">
      <colorScale>
        <cfvo type="min"/>
        <cfvo type="percentile" val="50"/>
        <cfvo type="max"/>
        <color rgb="FFF8696B"/>
        <color rgb="FFFFEB84"/>
        <color rgb="FF63BE7B"/>
      </colorScale>
    </cfRule>
  </conditionalFormatting>
  <conditionalFormatting sqref="BW84">
    <cfRule type="colorScale" priority="3601">
      <colorScale>
        <cfvo type="min"/>
        <cfvo type="percentile" val="50"/>
        <cfvo type="max"/>
        <color rgb="FFF8696B"/>
        <color rgb="FFFFEB84"/>
        <color rgb="FF63BE7B"/>
      </colorScale>
    </cfRule>
  </conditionalFormatting>
  <conditionalFormatting sqref="BW84">
    <cfRule type="colorScale" priority="3600">
      <colorScale>
        <cfvo type="min"/>
        <cfvo type="percentile" val="50"/>
        <cfvo type="max"/>
        <color rgb="FF63BE7B"/>
        <color rgb="FFFFEB84"/>
        <color rgb="FFF8696B"/>
      </colorScale>
    </cfRule>
  </conditionalFormatting>
  <conditionalFormatting sqref="BW84">
    <cfRule type="colorScale" priority="3597">
      <colorScale>
        <cfvo type="min"/>
        <cfvo type="max"/>
        <color rgb="FFFCFCFF"/>
        <color rgb="FFF8696B"/>
      </colorScale>
    </cfRule>
    <cfRule type="colorScale" priority="3599">
      <colorScale>
        <cfvo type="min"/>
        <cfvo type="percentile" val="50"/>
        <cfvo type="max"/>
        <color rgb="FF63BE7B"/>
        <color rgb="FFFFEB84"/>
        <color rgb="FFF8696B"/>
      </colorScale>
    </cfRule>
  </conditionalFormatting>
  <conditionalFormatting sqref="BW84">
    <cfRule type="colorScale" priority="3598">
      <colorScale>
        <cfvo type="min"/>
        <cfvo type="max"/>
        <color rgb="FFF8696B"/>
        <color rgb="FFFCFCFF"/>
      </colorScale>
    </cfRule>
  </conditionalFormatting>
  <conditionalFormatting sqref="BS84 BU84 BW84">
    <cfRule type="colorScale" priority="3596">
      <colorScale>
        <cfvo type="min"/>
        <cfvo type="max"/>
        <color rgb="FFFCFCFF"/>
        <color rgb="FFF8696B"/>
      </colorScale>
    </cfRule>
  </conditionalFormatting>
  <conditionalFormatting sqref="BY84">
    <cfRule type="colorScale" priority="3595">
      <colorScale>
        <cfvo type="min"/>
        <cfvo type="percentile" val="50"/>
        <cfvo type="max"/>
        <color rgb="FFF8696B"/>
        <color rgb="FFFFEB84"/>
        <color rgb="FF63BE7B"/>
      </colorScale>
    </cfRule>
  </conditionalFormatting>
  <conditionalFormatting sqref="BY84">
    <cfRule type="colorScale" priority="3594">
      <colorScale>
        <cfvo type="min"/>
        <cfvo type="percentile" val="50"/>
        <cfvo type="max"/>
        <color rgb="FFF8696B"/>
        <color rgb="FFFFEB84"/>
        <color rgb="FF63BE7B"/>
      </colorScale>
    </cfRule>
  </conditionalFormatting>
  <conditionalFormatting sqref="BY84">
    <cfRule type="colorScale" priority="3593">
      <colorScale>
        <cfvo type="min"/>
        <cfvo type="percentile" val="50"/>
        <cfvo type="max"/>
        <color rgb="FFF8696B"/>
        <color rgb="FFFFEB84"/>
        <color rgb="FF63BE7B"/>
      </colorScale>
    </cfRule>
  </conditionalFormatting>
  <conditionalFormatting sqref="BY84">
    <cfRule type="colorScale" priority="3592">
      <colorScale>
        <cfvo type="min"/>
        <cfvo type="percentile" val="50"/>
        <cfvo type="max"/>
        <color rgb="FF63BE7B"/>
        <color rgb="FFFFEB84"/>
        <color rgb="FFF8696B"/>
      </colorScale>
    </cfRule>
  </conditionalFormatting>
  <conditionalFormatting sqref="BY84">
    <cfRule type="colorScale" priority="3589">
      <colorScale>
        <cfvo type="min"/>
        <cfvo type="max"/>
        <color rgb="FFFCFCFF"/>
        <color rgb="FFF8696B"/>
      </colorScale>
    </cfRule>
    <cfRule type="colorScale" priority="3591">
      <colorScale>
        <cfvo type="min"/>
        <cfvo type="percentile" val="50"/>
        <cfvo type="max"/>
        <color rgb="FF63BE7B"/>
        <color rgb="FFFFEB84"/>
        <color rgb="FFF8696B"/>
      </colorScale>
    </cfRule>
  </conditionalFormatting>
  <conditionalFormatting sqref="BY84">
    <cfRule type="colorScale" priority="3590">
      <colorScale>
        <cfvo type="min"/>
        <cfvo type="max"/>
        <color rgb="FFF8696B"/>
        <color rgb="FFFCFCFF"/>
      </colorScale>
    </cfRule>
  </conditionalFormatting>
  <conditionalFormatting sqref="BY84">
    <cfRule type="colorScale" priority="3588">
      <colorScale>
        <cfvo type="min"/>
        <cfvo type="max"/>
        <color rgb="FFFCFCFF"/>
        <color rgb="FFF8696B"/>
      </colorScale>
    </cfRule>
  </conditionalFormatting>
  <conditionalFormatting sqref="CA84">
    <cfRule type="colorScale" priority="3587">
      <colorScale>
        <cfvo type="min"/>
        <cfvo type="percentile" val="50"/>
        <cfvo type="max"/>
        <color rgb="FFF8696B"/>
        <color rgb="FFFFEB84"/>
        <color rgb="FF63BE7B"/>
      </colorScale>
    </cfRule>
  </conditionalFormatting>
  <conditionalFormatting sqref="CA84">
    <cfRule type="colorScale" priority="3586">
      <colorScale>
        <cfvo type="min"/>
        <cfvo type="percentile" val="50"/>
        <cfvo type="max"/>
        <color rgb="FFF8696B"/>
        <color rgb="FFFFEB84"/>
        <color rgb="FF63BE7B"/>
      </colorScale>
    </cfRule>
  </conditionalFormatting>
  <conditionalFormatting sqref="CA84">
    <cfRule type="colorScale" priority="3585">
      <colorScale>
        <cfvo type="min"/>
        <cfvo type="percentile" val="50"/>
        <cfvo type="max"/>
        <color rgb="FFF8696B"/>
        <color rgb="FFFFEB84"/>
        <color rgb="FF63BE7B"/>
      </colorScale>
    </cfRule>
  </conditionalFormatting>
  <conditionalFormatting sqref="CA84">
    <cfRule type="colorScale" priority="3584">
      <colorScale>
        <cfvo type="min"/>
        <cfvo type="percentile" val="50"/>
        <cfvo type="max"/>
        <color rgb="FF63BE7B"/>
        <color rgb="FFFFEB84"/>
        <color rgb="FFF8696B"/>
      </colorScale>
    </cfRule>
  </conditionalFormatting>
  <conditionalFormatting sqref="CA84">
    <cfRule type="colorScale" priority="3581">
      <colorScale>
        <cfvo type="min"/>
        <cfvo type="max"/>
        <color rgb="FFFCFCFF"/>
        <color rgb="FFF8696B"/>
      </colorScale>
    </cfRule>
    <cfRule type="colorScale" priority="3583">
      <colorScale>
        <cfvo type="min"/>
        <cfvo type="percentile" val="50"/>
        <cfvo type="max"/>
        <color rgb="FF63BE7B"/>
        <color rgb="FFFFEB84"/>
        <color rgb="FFF8696B"/>
      </colorScale>
    </cfRule>
  </conditionalFormatting>
  <conditionalFormatting sqref="CA84">
    <cfRule type="colorScale" priority="3582">
      <colorScale>
        <cfvo type="min"/>
        <cfvo type="max"/>
        <color rgb="FFF8696B"/>
        <color rgb="FFFCFCFF"/>
      </colorScale>
    </cfRule>
  </conditionalFormatting>
  <conditionalFormatting sqref="CA84">
    <cfRule type="colorScale" priority="3580">
      <colorScale>
        <cfvo type="min"/>
        <cfvo type="max"/>
        <color rgb="FFFCFCFF"/>
        <color rgb="FFF8696B"/>
      </colorScale>
    </cfRule>
  </conditionalFormatting>
  <conditionalFormatting sqref="BS61">
    <cfRule type="colorScale" priority="3579">
      <colorScale>
        <cfvo type="min"/>
        <cfvo type="percentile" val="50"/>
        <cfvo type="max"/>
        <color rgb="FFF8696B"/>
        <color rgb="FFFFEB84"/>
        <color rgb="FF63BE7B"/>
      </colorScale>
    </cfRule>
  </conditionalFormatting>
  <conditionalFormatting sqref="BS61">
    <cfRule type="colorScale" priority="3578">
      <colorScale>
        <cfvo type="min"/>
        <cfvo type="percentile" val="50"/>
        <cfvo type="max"/>
        <color rgb="FF63BE7B"/>
        <color rgb="FFFFEB84"/>
        <color rgb="FFF8696B"/>
      </colorScale>
    </cfRule>
  </conditionalFormatting>
  <conditionalFormatting sqref="BS61">
    <cfRule type="colorScale" priority="3575">
      <colorScale>
        <cfvo type="min"/>
        <cfvo type="max"/>
        <color rgb="FFFCFCFF"/>
        <color rgb="FFF8696B"/>
      </colorScale>
    </cfRule>
    <cfRule type="colorScale" priority="3577">
      <colorScale>
        <cfvo type="min"/>
        <cfvo type="percentile" val="50"/>
        <cfvo type="max"/>
        <color rgb="FF63BE7B"/>
        <color rgb="FFFFEB84"/>
        <color rgb="FFF8696B"/>
      </colorScale>
    </cfRule>
  </conditionalFormatting>
  <conditionalFormatting sqref="BS61">
    <cfRule type="colorScale" priority="3576">
      <colorScale>
        <cfvo type="min"/>
        <cfvo type="max"/>
        <color rgb="FFF8696B"/>
        <color rgb="FFFCFCFF"/>
      </colorScale>
    </cfRule>
  </conditionalFormatting>
  <conditionalFormatting sqref="BS61">
    <cfRule type="colorScale" priority="3574">
      <colorScale>
        <cfvo type="min"/>
        <cfvo type="max"/>
        <color rgb="FFFCFCFF"/>
        <color rgb="FFF8696B"/>
      </colorScale>
    </cfRule>
  </conditionalFormatting>
  <conditionalFormatting sqref="BS56">
    <cfRule type="colorScale" priority="3573">
      <colorScale>
        <cfvo type="min"/>
        <cfvo type="percentile" val="50"/>
        <cfvo type="max"/>
        <color rgb="FFF8696B"/>
        <color rgb="FFFFEB84"/>
        <color rgb="FF63BE7B"/>
      </colorScale>
    </cfRule>
  </conditionalFormatting>
  <conditionalFormatting sqref="BS56">
    <cfRule type="colorScale" priority="3572">
      <colorScale>
        <cfvo type="min"/>
        <cfvo type="percentile" val="50"/>
        <cfvo type="max"/>
        <color rgb="FFF8696B"/>
        <color rgb="FFFFEB84"/>
        <color rgb="FF63BE7B"/>
      </colorScale>
    </cfRule>
  </conditionalFormatting>
  <conditionalFormatting sqref="BS56">
    <cfRule type="colorScale" priority="3571">
      <colorScale>
        <cfvo type="min"/>
        <cfvo type="percentile" val="50"/>
        <cfvo type="max"/>
        <color rgb="FF63BE7B"/>
        <color rgb="FFFFEB84"/>
        <color rgb="FFF8696B"/>
      </colorScale>
    </cfRule>
  </conditionalFormatting>
  <conditionalFormatting sqref="BS56">
    <cfRule type="colorScale" priority="3568">
      <colorScale>
        <cfvo type="min"/>
        <cfvo type="max"/>
        <color rgb="FFFCFCFF"/>
        <color rgb="FFF8696B"/>
      </colorScale>
    </cfRule>
    <cfRule type="colorScale" priority="3570">
      <colorScale>
        <cfvo type="min"/>
        <cfvo type="percentile" val="50"/>
        <cfvo type="max"/>
        <color rgb="FF63BE7B"/>
        <color rgb="FFFFEB84"/>
        <color rgb="FFF8696B"/>
      </colorScale>
    </cfRule>
  </conditionalFormatting>
  <conditionalFormatting sqref="BS56">
    <cfRule type="colorScale" priority="3569">
      <colorScale>
        <cfvo type="min"/>
        <cfvo type="max"/>
        <color rgb="FFF8696B"/>
        <color rgb="FFFCFCFF"/>
      </colorScale>
    </cfRule>
  </conditionalFormatting>
  <conditionalFormatting sqref="BS56">
    <cfRule type="colorScale" priority="3567">
      <colorScale>
        <cfvo type="min"/>
        <cfvo type="max"/>
        <color rgb="FFFCFCFF"/>
        <color rgb="FFF8696B"/>
      </colorScale>
    </cfRule>
  </conditionalFormatting>
  <conditionalFormatting sqref="BS33 BS39">
    <cfRule type="colorScale" priority="3566">
      <colorScale>
        <cfvo type="min"/>
        <cfvo type="percentile" val="50"/>
        <cfvo type="max"/>
        <color rgb="FFF8696B"/>
        <color rgb="FFFFEB84"/>
        <color rgb="FF63BE7B"/>
      </colorScale>
    </cfRule>
  </conditionalFormatting>
  <conditionalFormatting sqref="BS33 BS39">
    <cfRule type="colorScale" priority="3565">
      <colorScale>
        <cfvo type="min"/>
        <cfvo type="percentile" val="50"/>
        <cfvo type="max"/>
        <color rgb="FF63BE7B"/>
        <color rgb="FFFFEB84"/>
        <color rgb="FFF8696B"/>
      </colorScale>
    </cfRule>
  </conditionalFormatting>
  <conditionalFormatting sqref="BS39 BS33">
    <cfRule type="colorScale" priority="3562">
      <colorScale>
        <cfvo type="min"/>
        <cfvo type="max"/>
        <color rgb="FFFCFCFF"/>
        <color rgb="FFF8696B"/>
      </colorScale>
    </cfRule>
    <cfRule type="colorScale" priority="3564">
      <colorScale>
        <cfvo type="min"/>
        <cfvo type="percentile" val="50"/>
        <cfvo type="max"/>
        <color rgb="FF63BE7B"/>
        <color rgb="FFFFEB84"/>
        <color rgb="FFF8696B"/>
      </colorScale>
    </cfRule>
  </conditionalFormatting>
  <conditionalFormatting sqref="BS33 BS39">
    <cfRule type="colorScale" priority="3563">
      <colorScale>
        <cfvo type="min"/>
        <cfvo type="max"/>
        <color rgb="FFF8696B"/>
        <color rgb="FFFCFCFF"/>
      </colorScale>
    </cfRule>
  </conditionalFormatting>
  <conditionalFormatting sqref="BS41">
    <cfRule type="colorScale" priority="3561">
      <colorScale>
        <cfvo type="min"/>
        <cfvo type="percentile" val="50"/>
        <cfvo type="max"/>
        <color rgb="FFF8696B"/>
        <color rgb="FFFFEB84"/>
        <color rgb="FF63BE7B"/>
      </colorScale>
    </cfRule>
  </conditionalFormatting>
  <conditionalFormatting sqref="BS41">
    <cfRule type="colorScale" priority="3560">
      <colorScale>
        <cfvo type="min"/>
        <cfvo type="percentile" val="50"/>
        <cfvo type="max"/>
        <color rgb="FFF8696B"/>
        <color rgb="FFFFEB84"/>
        <color rgb="FF63BE7B"/>
      </colorScale>
    </cfRule>
  </conditionalFormatting>
  <conditionalFormatting sqref="BS41">
    <cfRule type="colorScale" priority="3559">
      <colorScale>
        <cfvo type="min"/>
        <cfvo type="percentile" val="50"/>
        <cfvo type="max"/>
        <color rgb="FFF8696B"/>
        <color rgb="FFFFEB84"/>
        <color rgb="FF63BE7B"/>
      </colorScale>
    </cfRule>
  </conditionalFormatting>
  <conditionalFormatting sqref="BS41">
    <cfRule type="colorScale" priority="3558">
      <colorScale>
        <cfvo type="min"/>
        <cfvo type="percentile" val="50"/>
        <cfvo type="max"/>
        <color rgb="FF63BE7B"/>
        <color rgb="FFFFEB84"/>
        <color rgb="FFF8696B"/>
      </colorScale>
    </cfRule>
  </conditionalFormatting>
  <conditionalFormatting sqref="BS41">
    <cfRule type="colorScale" priority="3555">
      <colorScale>
        <cfvo type="min"/>
        <cfvo type="max"/>
        <color rgb="FFFCFCFF"/>
        <color rgb="FFF8696B"/>
      </colorScale>
    </cfRule>
    <cfRule type="colorScale" priority="3557">
      <colorScale>
        <cfvo type="min"/>
        <cfvo type="percentile" val="50"/>
        <cfvo type="max"/>
        <color rgb="FF63BE7B"/>
        <color rgb="FFFFEB84"/>
        <color rgb="FFF8696B"/>
      </colorScale>
    </cfRule>
  </conditionalFormatting>
  <conditionalFormatting sqref="BS41">
    <cfRule type="colorScale" priority="3556">
      <colorScale>
        <cfvo type="min"/>
        <cfvo type="max"/>
        <color rgb="FFF8696B"/>
        <color rgb="FFFCFCFF"/>
      </colorScale>
    </cfRule>
  </conditionalFormatting>
  <conditionalFormatting sqref="BS33">
    <cfRule type="colorScale" priority="3554">
      <colorScale>
        <cfvo type="min"/>
        <cfvo type="percentile" val="50"/>
        <cfvo type="max"/>
        <color rgb="FFF8696B"/>
        <color rgb="FFFFEB84"/>
        <color rgb="FF63BE7B"/>
      </colorScale>
    </cfRule>
  </conditionalFormatting>
  <conditionalFormatting sqref="BS39">
    <cfRule type="colorScale" priority="3553">
      <colorScale>
        <cfvo type="min"/>
        <cfvo type="percentile" val="50"/>
        <cfvo type="max"/>
        <color rgb="FFF8696B"/>
        <color rgb="FFFFEB84"/>
        <color rgb="FF63BE7B"/>
      </colorScale>
    </cfRule>
  </conditionalFormatting>
  <conditionalFormatting sqref="BS33 BS39 BS41">
    <cfRule type="colorScale" priority="3552">
      <colorScale>
        <cfvo type="min"/>
        <cfvo type="max"/>
        <color rgb="FFFCFCFF"/>
        <color rgb="FFF8696B"/>
      </colorScale>
    </cfRule>
  </conditionalFormatting>
  <conditionalFormatting sqref="BS18">
    <cfRule type="colorScale" priority="3551">
      <colorScale>
        <cfvo type="min"/>
        <cfvo type="percentile" val="50"/>
        <cfvo type="max"/>
        <color rgb="FFF8696B"/>
        <color rgb="FFFFEB84"/>
        <color rgb="FF63BE7B"/>
      </colorScale>
    </cfRule>
  </conditionalFormatting>
  <conditionalFormatting sqref="BS18">
    <cfRule type="colorScale" priority="3550">
      <colorScale>
        <cfvo type="min"/>
        <cfvo type="percentile" val="50"/>
        <cfvo type="max"/>
        <color rgb="FF63BE7B"/>
        <color rgb="FFFFEB84"/>
        <color rgb="FFF8696B"/>
      </colorScale>
    </cfRule>
  </conditionalFormatting>
  <conditionalFormatting sqref="BS18">
    <cfRule type="colorScale" priority="3547">
      <colorScale>
        <cfvo type="min"/>
        <cfvo type="max"/>
        <color rgb="FFFCFCFF"/>
        <color rgb="FFF8696B"/>
      </colorScale>
    </cfRule>
    <cfRule type="colorScale" priority="3549">
      <colorScale>
        <cfvo type="min"/>
        <cfvo type="percentile" val="50"/>
        <cfvo type="max"/>
        <color rgb="FF63BE7B"/>
        <color rgb="FFFFEB84"/>
        <color rgb="FFF8696B"/>
      </colorScale>
    </cfRule>
  </conditionalFormatting>
  <conditionalFormatting sqref="BS18">
    <cfRule type="colorScale" priority="3548">
      <colorScale>
        <cfvo type="min"/>
        <cfvo type="max"/>
        <color rgb="FFF8696B"/>
        <color rgb="FFFCFCFF"/>
      </colorScale>
    </cfRule>
  </conditionalFormatting>
  <conditionalFormatting sqref="BS18">
    <cfRule type="colorScale" priority="3546">
      <colorScale>
        <cfvo type="min"/>
        <cfvo type="max"/>
        <color rgb="FFFCFCFF"/>
        <color rgb="FFF8696B"/>
      </colorScale>
    </cfRule>
  </conditionalFormatting>
  <conditionalFormatting sqref="BS13">
    <cfRule type="colorScale" priority="3545">
      <colorScale>
        <cfvo type="min"/>
        <cfvo type="percentile" val="50"/>
        <cfvo type="max"/>
        <color rgb="FFF8696B"/>
        <color rgb="FFFFEB84"/>
        <color rgb="FF63BE7B"/>
      </colorScale>
    </cfRule>
  </conditionalFormatting>
  <conditionalFormatting sqref="BS13">
    <cfRule type="colorScale" priority="3544">
      <colorScale>
        <cfvo type="min"/>
        <cfvo type="percentile" val="50"/>
        <cfvo type="max"/>
        <color rgb="FFF8696B"/>
        <color rgb="FFFFEB84"/>
        <color rgb="FF63BE7B"/>
      </colorScale>
    </cfRule>
  </conditionalFormatting>
  <conditionalFormatting sqref="BS13">
    <cfRule type="colorScale" priority="3543">
      <colorScale>
        <cfvo type="min"/>
        <cfvo type="percentile" val="50"/>
        <cfvo type="max"/>
        <color rgb="FF63BE7B"/>
        <color rgb="FFFFEB84"/>
        <color rgb="FFF8696B"/>
      </colorScale>
    </cfRule>
  </conditionalFormatting>
  <conditionalFormatting sqref="BS13">
    <cfRule type="colorScale" priority="3540">
      <colorScale>
        <cfvo type="min"/>
        <cfvo type="max"/>
        <color rgb="FFFCFCFF"/>
        <color rgb="FFF8696B"/>
      </colorScale>
    </cfRule>
    <cfRule type="colorScale" priority="3542">
      <colorScale>
        <cfvo type="min"/>
        <cfvo type="percentile" val="50"/>
        <cfvo type="max"/>
        <color rgb="FF63BE7B"/>
        <color rgb="FFFFEB84"/>
        <color rgb="FFF8696B"/>
      </colorScale>
    </cfRule>
  </conditionalFormatting>
  <conditionalFormatting sqref="BS13">
    <cfRule type="colorScale" priority="3541">
      <colorScale>
        <cfvo type="min"/>
        <cfvo type="max"/>
        <color rgb="FFF8696B"/>
        <color rgb="FFFCFCFF"/>
      </colorScale>
    </cfRule>
  </conditionalFormatting>
  <conditionalFormatting sqref="BS13">
    <cfRule type="colorScale" priority="3539">
      <colorScale>
        <cfvo type="min"/>
        <cfvo type="max"/>
        <color rgb="FFFCFCFF"/>
        <color rgb="FFF8696B"/>
      </colorScale>
    </cfRule>
  </conditionalFormatting>
  <conditionalFormatting sqref="BS24">
    <cfRule type="colorScale" priority="3538">
      <colorScale>
        <cfvo type="min"/>
        <cfvo type="percentile" val="50"/>
        <cfvo type="max"/>
        <color rgb="FFF8696B"/>
        <color rgb="FFFFEB84"/>
        <color rgb="FF63BE7B"/>
      </colorScale>
    </cfRule>
  </conditionalFormatting>
  <conditionalFormatting sqref="BS24">
    <cfRule type="colorScale" priority="3537">
      <colorScale>
        <cfvo type="min"/>
        <cfvo type="percentile" val="50"/>
        <cfvo type="max"/>
        <color rgb="FF63BE7B"/>
        <color rgb="FFFFEB84"/>
        <color rgb="FFF8696B"/>
      </colorScale>
    </cfRule>
  </conditionalFormatting>
  <conditionalFormatting sqref="BS24">
    <cfRule type="colorScale" priority="3534">
      <colorScale>
        <cfvo type="min"/>
        <cfvo type="max"/>
        <color rgb="FFFCFCFF"/>
        <color rgb="FFF8696B"/>
      </colorScale>
    </cfRule>
    <cfRule type="colorScale" priority="3536">
      <colorScale>
        <cfvo type="min"/>
        <cfvo type="percentile" val="50"/>
        <cfvo type="max"/>
        <color rgb="FF63BE7B"/>
        <color rgb="FFFFEB84"/>
        <color rgb="FFF8696B"/>
      </colorScale>
    </cfRule>
  </conditionalFormatting>
  <conditionalFormatting sqref="BS24">
    <cfRule type="colorScale" priority="3535">
      <colorScale>
        <cfvo type="min"/>
        <cfvo type="max"/>
        <color rgb="FFF8696B"/>
        <color rgb="FFFCFCFF"/>
      </colorScale>
    </cfRule>
  </conditionalFormatting>
  <conditionalFormatting sqref="BS24">
    <cfRule type="colorScale" priority="3533">
      <colorScale>
        <cfvo type="min"/>
        <cfvo type="percentile" val="50"/>
        <cfvo type="max"/>
        <color rgb="FFF8696B"/>
        <color rgb="FFFFEB84"/>
        <color rgb="FF63BE7B"/>
      </colorScale>
    </cfRule>
  </conditionalFormatting>
  <conditionalFormatting sqref="BS24">
    <cfRule type="colorScale" priority="3532">
      <colorScale>
        <cfvo type="min"/>
        <cfvo type="max"/>
        <color rgb="FFFCFCFF"/>
        <color rgb="FFF8696B"/>
      </colorScale>
    </cfRule>
  </conditionalFormatting>
  <conditionalFormatting sqref="BO33 BO39 BQ33 BQ39">
    <cfRule type="colorScale" priority="3531">
      <colorScale>
        <cfvo type="min"/>
        <cfvo type="percentile" val="50"/>
        <cfvo type="max"/>
        <color rgb="FFF8696B"/>
        <color rgb="FFFFEB84"/>
        <color rgb="FF63BE7B"/>
      </colorScale>
    </cfRule>
  </conditionalFormatting>
  <conditionalFormatting sqref="BO33 BO39 BQ33 BQ39">
    <cfRule type="colorScale" priority="3530">
      <colorScale>
        <cfvo type="min"/>
        <cfvo type="percentile" val="50"/>
        <cfvo type="max"/>
        <color rgb="FF63BE7B"/>
        <color rgb="FFFFEB84"/>
        <color rgb="FFF8696B"/>
      </colorScale>
    </cfRule>
  </conditionalFormatting>
  <conditionalFormatting sqref="BO39 BO33 BQ33 BQ39">
    <cfRule type="colorScale" priority="3527">
      <colorScale>
        <cfvo type="min"/>
        <cfvo type="max"/>
        <color rgb="FFFCFCFF"/>
        <color rgb="FFF8696B"/>
      </colorScale>
    </cfRule>
    <cfRule type="colorScale" priority="3529">
      <colorScale>
        <cfvo type="min"/>
        <cfvo type="percentile" val="50"/>
        <cfvo type="max"/>
        <color rgb="FF63BE7B"/>
        <color rgb="FFFFEB84"/>
        <color rgb="FFF8696B"/>
      </colorScale>
    </cfRule>
  </conditionalFormatting>
  <conditionalFormatting sqref="BO33 BO39 BQ33 BQ39">
    <cfRule type="colorScale" priority="3528">
      <colorScale>
        <cfvo type="min"/>
        <cfvo type="max"/>
        <color rgb="FFF8696B"/>
        <color rgb="FFFCFCFF"/>
      </colorScale>
    </cfRule>
  </conditionalFormatting>
  <conditionalFormatting sqref="BO33">
    <cfRule type="colorScale" priority="3526">
      <colorScale>
        <cfvo type="min"/>
        <cfvo type="percentile" val="50"/>
        <cfvo type="max"/>
        <color rgb="FFF8696B"/>
        <color rgb="FFFFEB84"/>
        <color rgb="FF63BE7B"/>
      </colorScale>
    </cfRule>
  </conditionalFormatting>
  <conditionalFormatting sqref="BQ33">
    <cfRule type="colorScale" priority="3525">
      <colorScale>
        <cfvo type="min"/>
        <cfvo type="percentile" val="50"/>
        <cfvo type="max"/>
        <color rgb="FFF8696B"/>
        <color rgb="FFFFEB84"/>
        <color rgb="FF63BE7B"/>
      </colorScale>
    </cfRule>
  </conditionalFormatting>
  <conditionalFormatting sqref="BO39">
    <cfRule type="colorScale" priority="3524">
      <colorScale>
        <cfvo type="min"/>
        <cfvo type="percentile" val="50"/>
        <cfvo type="max"/>
        <color rgb="FFF8696B"/>
        <color rgb="FFFFEB84"/>
        <color rgb="FF63BE7B"/>
      </colorScale>
    </cfRule>
  </conditionalFormatting>
  <conditionalFormatting sqref="BQ39">
    <cfRule type="colorScale" priority="3523">
      <colorScale>
        <cfvo type="min"/>
        <cfvo type="percentile" val="50"/>
        <cfvo type="max"/>
        <color rgb="FFF8696B"/>
        <color rgb="FFFFEB84"/>
        <color rgb="FF63BE7B"/>
      </colorScale>
    </cfRule>
  </conditionalFormatting>
  <conditionalFormatting sqref="BO18 BO39 BQ18 BQ33 BO33 BQ39">
    <cfRule type="colorScale" priority="3522">
      <colorScale>
        <cfvo type="min"/>
        <cfvo type="max"/>
        <color rgb="FFFCFCFF"/>
        <color rgb="FFF8696B"/>
      </colorScale>
    </cfRule>
  </conditionalFormatting>
  <conditionalFormatting sqref="BO13 BQ13">
    <cfRule type="colorScale" priority="3521">
      <colorScale>
        <cfvo type="min"/>
        <cfvo type="percentile" val="50"/>
        <cfvo type="max"/>
        <color rgb="FFF8696B"/>
        <color rgb="FFFFEB84"/>
        <color rgb="FF63BE7B"/>
      </colorScale>
    </cfRule>
  </conditionalFormatting>
  <conditionalFormatting sqref="BO13 BQ13">
    <cfRule type="colorScale" priority="3520">
      <colorScale>
        <cfvo type="min"/>
        <cfvo type="percentile" val="50"/>
        <cfvo type="max"/>
        <color rgb="FFF8696B"/>
        <color rgb="FFFFEB84"/>
        <color rgb="FF63BE7B"/>
      </colorScale>
    </cfRule>
  </conditionalFormatting>
  <conditionalFormatting sqref="BO13 BQ13">
    <cfRule type="colorScale" priority="3519">
      <colorScale>
        <cfvo type="min"/>
        <cfvo type="percentile" val="50"/>
        <cfvo type="max"/>
        <color rgb="FF63BE7B"/>
        <color rgb="FFFFEB84"/>
        <color rgb="FFF8696B"/>
      </colorScale>
    </cfRule>
  </conditionalFormatting>
  <conditionalFormatting sqref="BO13 BQ13">
    <cfRule type="colorScale" priority="3516">
      <colorScale>
        <cfvo type="min"/>
        <cfvo type="max"/>
        <color rgb="FFFCFCFF"/>
        <color rgb="FFF8696B"/>
      </colorScale>
    </cfRule>
    <cfRule type="colorScale" priority="3518">
      <colorScale>
        <cfvo type="min"/>
        <cfvo type="percentile" val="50"/>
        <cfvo type="max"/>
        <color rgb="FF63BE7B"/>
        <color rgb="FFFFEB84"/>
        <color rgb="FFF8696B"/>
      </colorScale>
    </cfRule>
  </conditionalFormatting>
  <conditionalFormatting sqref="BO13 BQ13">
    <cfRule type="colorScale" priority="3517">
      <colorScale>
        <cfvo type="min"/>
        <cfvo type="max"/>
        <color rgb="FFF8696B"/>
        <color rgb="FFFCFCFF"/>
      </colorScale>
    </cfRule>
  </conditionalFormatting>
  <conditionalFormatting sqref="BO13 BQ13">
    <cfRule type="colorScale" priority="3515">
      <colorScale>
        <cfvo type="min"/>
        <cfvo type="max"/>
        <color rgb="FFFCFCFF"/>
        <color rgb="FFF8696B"/>
      </colorScale>
    </cfRule>
  </conditionalFormatting>
  <conditionalFormatting sqref="BO24">
    <cfRule type="colorScale" priority="3514">
      <colorScale>
        <cfvo type="min"/>
        <cfvo type="percentile" val="50"/>
        <cfvo type="max"/>
        <color rgb="FFF8696B"/>
        <color rgb="FFFFEB84"/>
        <color rgb="FF63BE7B"/>
      </colorScale>
    </cfRule>
  </conditionalFormatting>
  <conditionalFormatting sqref="BO24">
    <cfRule type="colorScale" priority="3513">
      <colorScale>
        <cfvo type="min"/>
        <cfvo type="percentile" val="50"/>
        <cfvo type="max"/>
        <color rgb="FF63BE7B"/>
        <color rgb="FFFFEB84"/>
        <color rgb="FFF8696B"/>
      </colorScale>
    </cfRule>
  </conditionalFormatting>
  <conditionalFormatting sqref="BO24">
    <cfRule type="colorScale" priority="3510">
      <colorScale>
        <cfvo type="min"/>
        <cfvo type="max"/>
        <color rgb="FFFCFCFF"/>
        <color rgb="FFF8696B"/>
      </colorScale>
    </cfRule>
    <cfRule type="colorScale" priority="3512">
      <colorScale>
        <cfvo type="min"/>
        <cfvo type="percentile" val="50"/>
        <cfvo type="max"/>
        <color rgb="FF63BE7B"/>
        <color rgb="FFFFEB84"/>
        <color rgb="FFF8696B"/>
      </colorScale>
    </cfRule>
  </conditionalFormatting>
  <conditionalFormatting sqref="BO24">
    <cfRule type="colorScale" priority="3511">
      <colorScale>
        <cfvo type="min"/>
        <cfvo type="max"/>
        <color rgb="FFF8696B"/>
        <color rgb="FFFCFCFF"/>
      </colorScale>
    </cfRule>
  </conditionalFormatting>
  <conditionalFormatting sqref="BO24">
    <cfRule type="colorScale" priority="3509">
      <colorScale>
        <cfvo type="min"/>
        <cfvo type="percentile" val="50"/>
        <cfvo type="max"/>
        <color rgb="FFF8696B"/>
        <color rgb="FFFFEB84"/>
        <color rgb="FF63BE7B"/>
      </colorScale>
    </cfRule>
  </conditionalFormatting>
  <conditionalFormatting sqref="BO24">
    <cfRule type="colorScale" priority="3508">
      <colorScale>
        <cfvo type="min"/>
        <cfvo type="max"/>
        <color rgb="FFFCFCFF"/>
        <color rgb="FFF8696B"/>
      </colorScale>
    </cfRule>
  </conditionalFormatting>
  <conditionalFormatting sqref="BQ24">
    <cfRule type="colorScale" priority="3507">
      <colorScale>
        <cfvo type="min"/>
        <cfvo type="percentile" val="50"/>
        <cfvo type="max"/>
        <color rgb="FFF8696B"/>
        <color rgb="FFFFEB84"/>
        <color rgb="FF63BE7B"/>
      </colorScale>
    </cfRule>
  </conditionalFormatting>
  <conditionalFormatting sqref="BQ24">
    <cfRule type="colorScale" priority="3506">
      <colorScale>
        <cfvo type="min"/>
        <cfvo type="percentile" val="50"/>
        <cfvo type="max"/>
        <color rgb="FF63BE7B"/>
        <color rgb="FFFFEB84"/>
        <color rgb="FFF8696B"/>
      </colorScale>
    </cfRule>
  </conditionalFormatting>
  <conditionalFormatting sqref="BQ24">
    <cfRule type="colorScale" priority="3503">
      <colorScale>
        <cfvo type="min"/>
        <cfvo type="max"/>
        <color rgb="FFFCFCFF"/>
        <color rgb="FFF8696B"/>
      </colorScale>
    </cfRule>
    <cfRule type="colorScale" priority="3505">
      <colorScale>
        <cfvo type="min"/>
        <cfvo type="percentile" val="50"/>
        <cfvo type="max"/>
        <color rgb="FF63BE7B"/>
        <color rgb="FFFFEB84"/>
        <color rgb="FFF8696B"/>
      </colorScale>
    </cfRule>
  </conditionalFormatting>
  <conditionalFormatting sqref="BQ24">
    <cfRule type="colorScale" priority="3504">
      <colorScale>
        <cfvo type="min"/>
        <cfvo type="max"/>
        <color rgb="FFF8696B"/>
        <color rgb="FFFCFCFF"/>
      </colorScale>
    </cfRule>
  </conditionalFormatting>
  <conditionalFormatting sqref="BQ24">
    <cfRule type="colorScale" priority="3502">
      <colorScale>
        <cfvo type="min"/>
        <cfvo type="percentile" val="50"/>
        <cfvo type="max"/>
        <color rgb="FFF8696B"/>
        <color rgb="FFFFEB84"/>
        <color rgb="FF63BE7B"/>
      </colorScale>
    </cfRule>
  </conditionalFormatting>
  <conditionalFormatting sqref="BQ24">
    <cfRule type="colorScale" priority="3501">
      <colorScale>
        <cfvo type="min"/>
        <cfvo type="max"/>
        <color rgb="FFFCFCFF"/>
        <color rgb="FFF8696B"/>
      </colorScale>
    </cfRule>
  </conditionalFormatting>
  <conditionalFormatting sqref="BW23 BW39 BW28 BW33">
    <cfRule type="colorScale" priority="3500">
      <colorScale>
        <cfvo type="min"/>
        <cfvo type="percentile" val="50"/>
        <cfvo type="max"/>
        <color rgb="FFF8696B"/>
        <color rgb="FFFFEB84"/>
        <color rgb="FF63BE7B"/>
      </colorScale>
    </cfRule>
  </conditionalFormatting>
  <conditionalFormatting sqref="BW33">
    <cfRule type="colorScale" priority="3499">
      <colorScale>
        <cfvo type="min"/>
        <cfvo type="percentile" val="50"/>
        <cfvo type="max"/>
        <color rgb="FFF8696B"/>
        <color rgb="FFFFEB84"/>
        <color rgb="FF63BE7B"/>
      </colorScale>
    </cfRule>
  </conditionalFormatting>
  <conditionalFormatting sqref="BW39 BW28 BW23 BW33">
    <cfRule type="colorScale" priority="3498">
      <colorScale>
        <cfvo type="min"/>
        <cfvo type="percentile" val="50"/>
        <cfvo type="max"/>
        <color rgb="FF63BE7B"/>
        <color rgb="FFFFEB84"/>
        <color rgb="FFF8696B"/>
      </colorScale>
    </cfRule>
  </conditionalFormatting>
  <conditionalFormatting sqref="BW39 BW23 BW28 BW33">
    <cfRule type="colorScale" priority="3495">
      <colorScale>
        <cfvo type="min"/>
        <cfvo type="max"/>
        <color rgb="FFFCFCFF"/>
        <color rgb="FFF8696B"/>
      </colorScale>
    </cfRule>
    <cfRule type="colorScale" priority="3497">
      <colorScale>
        <cfvo type="min"/>
        <cfvo type="percentile" val="50"/>
        <cfvo type="max"/>
        <color rgb="FF63BE7B"/>
        <color rgb="FFFFEB84"/>
        <color rgb="FFF8696B"/>
      </colorScale>
    </cfRule>
  </conditionalFormatting>
  <conditionalFormatting sqref="BW39 BW23 BW28 BW33">
    <cfRule type="colorScale" priority="3496">
      <colorScale>
        <cfvo type="min"/>
        <cfvo type="max"/>
        <color rgb="FFF8696B"/>
        <color rgb="FFFCFCFF"/>
      </colorScale>
    </cfRule>
  </conditionalFormatting>
  <conditionalFormatting sqref="BW41">
    <cfRule type="colorScale" priority="3494">
      <colorScale>
        <cfvo type="min"/>
        <cfvo type="percentile" val="50"/>
        <cfvo type="max"/>
        <color rgb="FFF8696B"/>
        <color rgb="FFFFEB84"/>
        <color rgb="FF63BE7B"/>
      </colorScale>
    </cfRule>
  </conditionalFormatting>
  <conditionalFormatting sqref="BW41">
    <cfRule type="colorScale" priority="3493">
      <colorScale>
        <cfvo type="min"/>
        <cfvo type="percentile" val="50"/>
        <cfvo type="max"/>
        <color rgb="FFF8696B"/>
        <color rgb="FFFFEB84"/>
        <color rgb="FF63BE7B"/>
      </colorScale>
    </cfRule>
  </conditionalFormatting>
  <conditionalFormatting sqref="BW41">
    <cfRule type="colorScale" priority="3492">
      <colorScale>
        <cfvo type="min"/>
        <cfvo type="percentile" val="50"/>
        <cfvo type="max"/>
        <color rgb="FFF8696B"/>
        <color rgb="FFFFEB84"/>
        <color rgb="FF63BE7B"/>
      </colorScale>
    </cfRule>
  </conditionalFormatting>
  <conditionalFormatting sqref="BW41">
    <cfRule type="colorScale" priority="3491">
      <colorScale>
        <cfvo type="min"/>
        <cfvo type="percentile" val="50"/>
        <cfvo type="max"/>
        <color rgb="FF63BE7B"/>
        <color rgb="FFFFEB84"/>
        <color rgb="FFF8696B"/>
      </colorScale>
    </cfRule>
  </conditionalFormatting>
  <conditionalFormatting sqref="BW41">
    <cfRule type="colorScale" priority="3488">
      <colorScale>
        <cfvo type="min"/>
        <cfvo type="max"/>
        <color rgb="FFFCFCFF"/>
        <color rgb="FFF8696B"/>
      </colorScale>
    </cfRule>
    <cfRule type="colorScale" priority="3490">
      <colorScale>
        <cfvo type="min"/>
        <cfvo type="percentile" val="50"/>
        <cfvo type="max"/>
        <color rgb="FF63BE7B"/>
        <color rgb="FFFFEB84"/>
        <color rgb="FFF8696B"/>
      </colorScale>
    </cfRule>
  </conditionalFormatting>
  <conditionalFormatting sqref="BW41">
    <cfRule type="colorScale" priority="3489">
      <colorScale>
        <cfvo type="min"/>
        <cfvo type="max"/>
        <color rgb="FFF8696B"/>
        <color rgb="FFFCFCFF"/>
      </colorScale>
    </cfRule>
  </conditionalFormatting>
  <conditionalFormatting sqref="BW23">
    <cfRule type="colorScale" priority="3487">
      <colorScale>
        <cfvo type="min"/>
        <cfvo type="percentile" val="50"/>
        <cfvo type="max"/>
        <color rgb="FFF8696B"/>
        <color rgb="FFFFEB84"/>
        <color rgb="FF63BE7B"/>
      </colorScale>
    </cfRule>
  </conditionalFormatting>
  <conditionalFormatting sqref="BW28">
    <cfRule type="colorScale" priority="3486">
      <colorScale>
        <cfvo type="min"/>
        <cfvo type="percentile" val="50"/>
        <cfvo type="max"/>
        <color rgb="FFF8696B"/>
        <color rgb="FFFFEB84"/>
        <color rgb="FF63BE7B"/>
      </colorScale>
    </cfRule>
  </conditionalFormatting>
  <conditionalFormatting sqref="BW33">
    <cfRule type="colorScale" priority="3485">
      <colorScale>
        <cfvo type="min"/>
        <cfvo type="percentile" val="50"/>
        <cfvo type="max"/>
        <color rgb="FFF8696B"/>
        <color rgb="FFFFEB84"/>
        <color rgb="FF63BE7B"/>
      </colorScale>
    </cfRule>
  </conditionalFormatting>
  <conditionalFormatting sqref="BW39">
    <cfRule type="colorScale" priority="3484">
      <colorScale>
        <cfvo type="min"/>
        <cfvo type="percentile" val="50"/>
        <cfvo type="max"/>
        <color rgb="FFF8696B"/>
        <color rgb="FFFFEB84"/>
        <color rgb="FF63BE7B"/>
      </colorScale>
    </cfRule>
  </conditionalFormatting>
  <conditionalFormatting sqref="BW23 BW39 BW28 BW33 BW41">
    <cfRule type="colorScale" priority="3483">
      <colorScale>
        <cfvo type="min"/>
        <cfvo type="max"/>
        <color rgb="FFFCFCFF"/>
        <color rgb="FFF8696B"/>
      </colorScale>
    </cfRule>
  </conditionalFormatting>
  <conditionalFormatting sqref="BY23 BY39 BY28 BY33">
    <cfRule type="colorScale" priority="3482">
      <colorScale>
        <cfvo type="min"/>
        <cfvo type="percentile" val="50"/>
        <cfvo type="max"/>
        <color rgb="FFF8696B"/>
        <color rgb="FFFFEB84"/>
        <color rgb="FF63BE7B"/>
      </colorScale>
    </cfRule>
  </conditionalFormatting>
  <conditionalFormatting sqref="BY33">
    <cfRule type="colorScale" priority="3481">
      <colorScale>
        <cfvo type="min"/>
        <cfvo type="percentile" val="50"/>
        <cfvo type="max"/>
        <color rgb="FFF8696B"/>
        <color rgb="FFFFEB84"/>
        <color rgb="FF63BE7B"/>
      </colorScale>
    </cfRule>
  </conditionalFormatting>
  <conditionalFormatting sqref="BY23 BY39 BY28 BY33">
    <cfRule type="colorScale" priority="3480">
      <colorScale>
        <cfvo type="min"/>
        <cfvo type="percentile" val="50"/>
        <cfvo type="max"/>
        <color rgb="FF63BE7B"/>
        <color rgb="FFFFEB84"/>
        <color rgb="FFF8696B"/>
      </colorScale>
    </cfRule>
  </conditionalFormatting>
  <conditionalFormatting sqref="BY39 BY23 BY28 BY33">
    <cfRule type="colorScale" priority="3477">
      <colorScale>
        <cfvo type="min"/>
        <cfvo type="max"/>
        <color rgb="FFFCFCFF"/>
        <color rgb="FFF8696B"/>
      </colorScale>
    </cfRule>
    <cfRule type="colorScale" priority="3479">
      <colorScale>
        <cfvo type="min"/>
        <cfvo type="percentile" val="50"/>
        <cfvo type="max"/>
        <color rgb="FF63BE7B"/>
        <color rgb="FFFFEB84"/>
        <color rgb="FFF8696B"/>
      </colorScale>
    </cfRule>
  </conditionalFormatting>
  <conditionalFormatting sqref="BY23 BY39 BY28 BY33">
    <cfRule type="colorScale" priority="3478">
      <colorScale>
        <cfvo type="min"/>
        <cfvo type="max"/>
        <color rgb="FFF8696B"/>
        <color rgb="FFFCFCFF"/>
      </colorScale>
    </cfRule>
  </conditionalFormatting>
  <conditionalFormatting sqref="BY41">
    <cfRule type="colorScale" priority="3476">
      <colorScale>
        <cfvo type="min"/>
        <cfvo type="percentile" val="50"/>
        <cfvo type="max"/>
        <color rgb="FFF8696B"/>
        <color rgb="FFFFEB84"/>
        <color rgb="FF63BE7B"/>
      </colorScale>
    </cfRule>
  </conditionalFormatting>
  <conditionalFormatting sqref="BY41">
    <cfRule type="colorScale" priority="3475">
      <colorScale>
        <cfvo type="min"/>
        <cfvo type="percentile" val="50"/>
        <cfvo type="max"/>
        <color rgb="FFF8696B"/>
        <color rgb="FFFFEB84"/>
        <color rgb="FF63BE7B"/>
      </colorScale>
    </cfRule>
  </conditionalFormatting>
  <conditionalFormatting sqref="BY41">
    <cfRule type="colorScale" priority="3474">
      <colorScale>
        <cfvo type="min"/>
        <cfvo type="percentile" val="50"/>
        <cfvo type="max"/>
        <color rgb="FFF8696B"/>
        <color rgb="FFFFEB84"/>
        <color rgb="FF63BE7B"/>
      </colorScale>
    </cfRule>
  </conditionalFormatting>
  <conditionalFormatting sqref="BY41">
    <cfRule type="colorScale" priority="3473">
      <colorScale>
        <cfvo type="min"/>
        <cfvo type="percentile" val="50"/>
        <cfvo type="max"/>
        <color rgb="FF63BE7B"/>
        <color rgb="FFFFEB84"/>
        <color rgb="FFF8696B"/>
      </colorScale>
    </cfRule>
  </conditionalFormatting>
  <conditionalFormatting sqref="BY41">
    <cfRule type="colorScale" priority="3470">
      <colorScale>
        <cfvo type="min"/>
        <cfvo type="max"/>
        <color rgb="FFFCFCFF"/>
        <color rgb="FFF8696B"/>
      </colorScale>
    </cfRule>
    <cfRule type="colorScale" priority="3472">
      <colorScale>
        <cfvo type="min"/>
        <cfvo type="percentile" val="50"/>
        <cfvo type="max"/>
        <color rgb="FF63BE7B"/>
        <color rgb="FFFFEB84"/>
        <color rgb="FFF8696B"/>
      </colorScale>
    </cfRule>
  </conditionalFormatting>
  <conditionalFormatting sqref="BY41">
    <cfRule type="colorScale" priority="3471">
      <colorScale>
        <cfvo type="min"/>
        <cfvo type="max"/>
        <color rgb="FFF8696B"/>
        <color rgb="FFFCFCFF"/>
      </colorScale>
    </cfRule>
  </conditionalFormatting>
  <conditionalFormatting sqref="BY23">
    <cfRule type="colorScale" priority="3469">
      <colorScale>
        <cfvo type="min"/>
        <cfvo type="percentile" val="50"/>
        <cfvo type="max"/>
        <color rgb="FFF8696B"/>
        <color rgb="FFFFEB84"/>
        <color rgb="FF63BE7B"/>
      </colorScale>
    </cfRule>
  </conditionalFormatting>
  <conditionalFormatting sqref="BY28">
    <cfRule type="colorScale" priority="3468">
      <colorScale>
        <cfvo type="min"/>
        <cfvo type="percentile" val="50"/>
        <cfvo type="max"/>
        <color rgb="FFF8696B"/>
        <color rgb="FFFFEB84"/>
        <color rgb="FF63BE7B"/>
      </colorScale>
    </cfRule>
  </conditionalFormatting>
  <conditionalFormatting sqref="BY33">
    <cfRule type="colorScale" priority="3467">
      <colorScale>
        <cfvo type="min"/>
        <cfvo type="percentile" val="50"/>
        <cfvo type="max"/>
        <color rgb="FFF8696B"/>
        <color rgb="FFFFEB84"/>
        <color rgb="FF63BE7B"/>
      </colorScale>
    </cfRule>
  </conditionalFormatting>
  <conditionalFormatting sqref="BY39">
    <cfRule type="colorScale" priority="3466">
      <colorScale>
        <cfvo type="min"/>
        <cfvo type="percentile" val="50"/>
        <cfvo type="max"/>
        <color rgb="FFF8696B"/>
        <color rgb="FFFFEB84"/>
        <color rgb="FF63BE7B"/>
      </colorScale>
    </cfRule>
  </conditionalFormatting>
  <conditionalFormatting sqref="BY23 BY39 BY28 BY33 BY41">
    <cfRule type="colorScale" priority="3465">
      <colorScale>
        <cfvo type="min"/>
        <cfvo type="max"/>
        <color rgb="FFFCFCFF"/>
        <color rgb="FFF8696B"/>
      </colorScale>
    </cfRule>
  </conditionalFormatting>
  <conditionalFormatting sqref="CA23 CA39 CA28 CA33">
    <cfRule type="colorScale" priority="3464">
      <colorScale>
        <cfvo type="min"/>
        <cfvo type="percentile" val="50"/>
        <cfvo type="max"/>
        <color rgb="FFF8696B"/>
        <color rgb="FFFFEB84"/>
        <color rgb="FF63BE7B"/>
      </colorScale>
    </cfRule>
  </conditionalFormatting>
  <conditionalFormatting sqref="CA33">
    <cfRule type="colorScale" priority="3463">
      <colorScale>
        <cfvo type="min"/>
        <cfvo type="percentile" val="50"/>
        <cfvo type="max"/>
        <color rgb="FFF8696B"/>
        <color rgb="FFFFEB84"/>
        <color rgb="FF63BE7B"/>
      </colorScale>
    </cfRule>
  </conditionalFormatting>
  <conditionalFormatting sqref="CA23 CA39 CA28 CA33">
    <cfRule type="colorScale" priority="3462">
      <colorScale>
        <cfvo type="min"/>
        <cfvo type="percentile" val="50"/>
        <cfvo type="max"/>
        <color rgb="FF63BE7B"/>
        <color rgb="FFFFEB84"/>
        <color rgb="FFF8696B"/>
      </colorScale>
    </cfRule>
  </conditionalFormatting>
  <conditionalFormatting sqref="CA39 CA23 CA28 CA33">
    <cfRule type="colorScale" priority="3459">
      <colorScale>
        <cfvo type="min"/>
        <cfvo type="max"/>
        <color rgb="FFFCFCFF"/>
        <color rgb="FFF8696B"/>
      </colorScale>
    </cfRule>
    <cfRule type="colorScale" priority="3461">
      <colorScale>
        <cfvo type="min"/>
        <cfvo type="percentile" val="50"/>
        <cfvo type="max"/>
        <color rgb="FF63BE7B"/>
        <color rgb="FFFFEB84"/>
        <color rgb="FFF8696B"/>
      </colorScale>
    </cfRule>
  </conditionalFormatting>
  <conditionalFormatting sqref="CA23 CA39 CA28 CA33">
    <cfRule type="colorScale" priority="3460">
      <colorScale>
        <cfvo type="min"/>
        <cfvo type="max"/>
        <color rgb="FFF8696B"/>
        <color rgb="FFFCFCFF"/>
      </colorScale>
    </cfRule>
  </conditionalFormatting>
  <conditionalFormatting sqref="CA41">
    <cfRule type="colorScale" priority="3458">
      <colorScale>
        <cfvo type="min"/>
        <cfvo type="percentile" val="50"/>
        <cfvo type="max"/>
        <color rgb="FFF8696B"/>
        <color rgb="FFFFEB84"/>
        <color rgb="FF63BE7B"/>
      </colorScale>
    </cfRule>
  </conditionalFormatting>
  <conditionalFormatting sqref="CA41">
    <cfRule type="colorScale" priority="3457">
      <colorScale>
        <cfvo type="min"/>
        <cfvo type="percentile" val="50"/>
        <cfvo type="max"/>
        <color rgb="FFF8696B"/>
        <color rgb="FFFFEB84"/>
        <color rgb="FF63BE7B"/>
      </colorScale>
    </cfRule>
  </conditionalFormatting>
  <conditionalFormatting sqref="CA41">
    <cfRule type="colorScale" priority="3456">
      <colorScale>
        <cfvo type="min"/>
        <cfvo type="percentile" val="50"/>
        <cfvo type="max"/>
        <color rgb="FFF8696B"/>
        <color rgb="FFFFEB84"/>
        <color rgb="FF63BE7B"/>
      </colorScale>
    </cfRule>
  </conditionalFormatting>
  <conditionalFormatting sqref="CA41">
    <cfRule type="colorScale" priority="3455">
      <colorScale>
        <cfvo type="min"/>
        <cfvo type="percentile" val="50"/>
        <cfvo type="max"/>
        <color rgb="FF63BE7B"/>
        <color rgb="FFFFEB84"/>
        <color rgb="FFF8696B"/>
      </colorScale>
    </cfRule>
  </conditionalFormatting>
  <conditionalFormatting sqref="CA41">
    <cfRule type="colorScale" priority="3452">
      <colorScale>
        <cfvo type="min"/>
        <cfvo type="max"/>
        <color rgb="FFFCFCFF"/>
        <color rgb="FFF8696B"/>
      </colorScale>
    </cfRule>
    <cfRule type="colorScale" priority="3454">
      <colorScale>
        <cfvo type="min"/>
        <cfvo type="percentile" val="50"/>
        <cfvo type="max"/>
        <color rgb="FF63BE7B"/>
        <color rgb="FFFFEB84"/>
        <color rgb="FFF8696B"/>
      </colorScale>
    </cfRule>
  </conditionalFormatting>
  <conditionalFormatting sqref="CA41">
    <cfRule type="colorScale" priority="3453">
      <colorScale>
        <cfvo type="min"/>
        <cfvo type="max"/>
        <color rgb="FFF8696B"/>
        <color rgb="FFFCFCFF"/>
      </colorScale>
    </cfRule>
  </conditionalFormatting>
  <conditionalFormatting sqref="CA23">
    <cfRule type="colorScale" priority="3451">
      <colorScale>
        <cfvo type="min"/>
        <cfvo type="percentile" val="50"/>
        <cfvo type="max"/>
        <color rgb="FFF8696B"/>
        <color rgb="FFFFEB84"/>
        <color rgb="FF63BE7B"/>
      </colorScale>
    </cfRule>
  </conditionalFormatting>
  <conditionalFormatting sqref="CA28">
    <cfRule type="colorScale" priority="3450">
      <colorScale>
        <cfvo type="min"/>
        <cfvo type="percentile" val="50"/>
        <cfvo type="max"/>
        <color rgb="FFF8696B"/>
        <color rgb="FFFFEB84"/>
        <color rgb="FF63BE7B"/>
      </colorScale>
    </cfRule>
  </conditionalFormatting>
  <conditionalFormatting sqref="CA33">
    <cfRule type="colorScale" priority="3449">
      <colorScale>
        <cfvo type="min"/>
        <cfvo type="percentile" val="50"/>
        <cfvo type="max"/>
        <color rgb="FFF8696B"/>
        <color rgb="FFFFEB84"/>
        <color rgb="FF63BE7B"/>
      </colorScale>
    </cfRule>
  </conditionalFormatting>
  <conditionalFormatting sqref="CA39">
    <cfRule type="colorScale" priority="3448">
      <colorScale>
        <cfvo type="min"/>
        <cfvo type="percentile" val="50"/>
        <cfvo type="max"/>
        <color rgb="FFF8696B"/>
        <color rgb="FFFFEB84"/>
        <color rgb="FF63BE7B"/>
      </colorScale>
    </cfRule>
  </conditionalFormatting>
  <conditionalFormatting sqref="CA23 CA39 CA28 CA33 CA41">
    <cfRule type="colorScale" priority="3447">
      <colorScale>
        <cfvo type="min"/>
        <cfvo type="max"/>
        <color rgb="FFFCFCFF"/>
        <color rgb="FFF8696B"/>
      </colorScale>
    </cfRule>
  </conditionalFormatting>
  <conditionalFormatting sqref="BW18">
    <cfRule type="colorScale" priority="3446">
      <colorScale>
        <cfvo type="min"/>
        <cfvo type="percentile" val="50"/>
        <cfvo type="max"/>
        <color rgb="FFF8696B"/>
        <color rgb="FFFFEB84"/>
        <color rgb="FF63BE7B"/>
      </colorScale>
    </cfRule>
  </conditionalFormatting>
  <conditionalFormatting sqref="BW18">
    <cfRule type="colorScale" priority="3445">
      <colorScale>
        <cfvo type="min"/>
        <cfvo type="percentile" val="50"/>
        <cfvo type="max"/>
        <color rgb="FFF8696B"/>
        <color rgb="FFFFEB84"/>
        <color rgb="FF63BE7B"/>
      </colorScale>
    </cfRule>
  </conditionalFormatting>
  <conditionalFormatting sqref="BW18">
    <cfRule type="colorScale" priority="3444">
      <colorScale>
        <cfvo type="min"/>
        <cfvo type="percentile" val="50"/>
        <cfvo type="max"/>
        <color rgb="FF63BE7B"/>
        <color rgb="FFFFEB84"/>
        <color rgb="FFF8696B"/>
      </colorScale>
    </cfRule>
  </conditionalFormatting>
  <conditionalFormatting sqref="BW18">
    <cfRule type="colorScale" priority="3441">
      <colorScale>
        <cfvo type="min"/>
        <cfvo type="max"/>
        <color rgb="FFFCFCFF"/>
        <color rgb="FFF8696B"/>
      </colorScale>
    </cfRule>
    <cfRule type="colorScale" priority="3443">
      <colorScale>
        <cfvo type="min"/>
        <cfvo type="percentile" val="50"/>
        <cfvo type="max"/>
        <color rgb="FF63BE7B"/>
        <color rgb="FFFFEB84"/>
        <color rgb="FFF8696B"/>
      </colorScale>
    </cfRule>
  </conditionalFormatting>
  <conditionalFormatting sqref="BW18">
    <cfRule type="colorScale" priority="3442">
      <colorScale>
        <cfvo type="min"/>
        <cfvo type="max"/>
        <color rgb="FFF8696B"/>
        <color rgb="FFFCFCFF"/>
      </colorScale>
    </cfRule>
  </conditionalFormatting>
  <conditionalFormatting sqref="BW18">
    <cfRule type="colorScale" priority="3440">
      <colorScale>
        <cfvo type="min"/>
        <cfvo type="max"/>
        <color rgb="FFFCFCFF"/>
        <color rgb="FFF8696B"/>
      </colorScale>
    </cfRule>
  </conditionalFormatting>
  <conditionalFormatting sqref="BY18">
    <cfRule type="colorScale" priority="3439">
      <colorScale>
        <cfvo type="min"/>
        <cfvo type="percentile" val="50"/>
        <cfvo type="max"/>
        <color rgb="FFF8696B"/>
        <color rgb="FFFFEB84"/>
        <color rgb="FF63BE7B"/>
      </colorScale>
    </cfRule>
  </conditionalFormatting>
  <conditionalFormatting sqref="BY18">
    <cfRule type="colorScale" priority="3438">
      <colorScale>
        <cfvo type="min"/>
        <cfvo type="percentile" val="50"/>
        <cfvo type="max"/>
        <color rgb="FFF8696B"/>
        <color rgb="FFFFEB84"/>
        <color rgb="FF63BE7B"/>
      </colorScale>
    </cfRule>
  </conditionalFormatting>
  <conditionalFormatting sqref="BY18">
    <cfRule type="colorScale" priority="3437">
      <colorScale>
        <cfvo type="min"/>
        <cfvo type="percentile" val="50"/>
        <cfvo type="max"/>
        <color rgb="FF63BE7B"/>
        <color rgb="FFFFEB84"/>
        <color rgb="FFF8696B"/>
      </colorScale>
    </cfRule>
  </conditionalFormatting>
  <conditionalFormatting sqref="BY18">
    <cfRule type="colorScale" priority="3434">
      <colorScale>
        <cfvo type="min"/>
        <cfvo type="max"/>
        <color rgb="FFFCFCFF"/>
        <color rgb="FFF8696B"/>
      </colorScale>
    </cfRule>
    <cfRule type="colorScale" priority="3436">
      <colorScale>
        <cfvo type="min"/>
        <cfvo type="percentile" val="50"/>
        <cfvo type="max"/>
        <color rgb="FF63BE7B"/>
        <color rgb="FFFFEB84"/>
        <color rgb="FFF8696B"/>
      </colorScale>
    </cfRule>
  </conditionalFormatting>
  <conditionalFormatting sqref="BY18">
    <cfRule type="colorScale" priority="3435">
      <colorScale>
        <cfvo type="min"/>
        <cfvo type="max"/>
        <color rgb="FFF8696B"/>
        <color rgb="FFFCFCFF"/>
      </colorScale>
    </cfRule>
  </conditionalFormatting>
  <conditionalFormatting sqref="BY18">
    <cfRule type="colorScale" priority="3433">
      <colorScale>
        <cfvo type="min"/>
        <cfvo type="max"/>
        <color rgb="FFFCFCFF"/>
        <color rgb="FFF8696B"/>
      </colorScale>
    </cfRule>
  </conditionalFormatting>
  <conditionalFormatting sqref="CA18">
    <cfRule type="colorScale" priority="3432">
      <colorScale>
        <cfvo type="min"/>
        <cfvo type="percentile" val="50"/>
        <cfvo type="max"/>
        <color rgb="FFF8696B"/>
        <color rgb="FFFFEB84"/>
        <color rgb="FF63BE7B"/>
      </colorScale>
    </cfRule>
  </conditionalFormatting>
  <conditionalFormatting sqref="CA18">
    <cfRule type="colorScale" priority="3431">
      <colorScale>
        <cfvo type="min"/>
        <cfvo type="percentile" val="50"/>
        <cfvo type="max"/>
        <color rgb="FFF8696B"/>
        <color rgb="FFFFEB84"/>
        <color rgb="FF63BE7B"/>
      </colorScale>
    </cfRule>
  </conditionalFormatting>
  <conditionalFormatting sqref="CA18">
    <cfRule type="colorScale" priority="3430">
      <colorScale>
        <cfvo type="min"/>
        <cfvo type="percentile" val="50"/>
        <cfvo type="max"/>
        <color rgb="FF63BE7B"/>
        <color rgb="FFFFEB84"/>
        <color rgb="FFF8696B"/>
      </colorScale>
    </cfRule>
  </conditionalFormatting>
  <conditionalFormatting sqref="CA18">
    <cfRule type="colorScale" priority="3427">
      <colorScale>
        <cfvo type="min"/>
        <cfvo type="max"/>
        <color rgb="FFFCFCFF"/>
        <color rgb="FFF8696B"/>
      </colorScale>
    </cfRule>
    <cfRule type="colorScale" priority="3429">
      <colorScale>
        <cfvo type="min"/>
        <cfvo type="percentile" val="50"/>
        <cfvo type="max"/>
        <color rgb="FF63BE7B"/>
        <color rgb="FFFFEB84"/>
        <color rgb="FFF8696B"/>
      </colorScale>
    </cfRule>
  </conditionalFormatting>
  <conditionalFormatting sqref="CA18">
    <cfRule type="colorScale" priority="3428">
      <colorScale>
        <cfvo type="min"/>
        <cfvo type="max"/>
        <color rgb="FFF8696B"/>
        <color rgb="FFFCFCFF"/>
      </colorScale>
    </cfRule>
  </conditionalFormatting>
  <conditionalFormatting sqref="CA18">
    <cfRule type="colorScale" priority="3426">
      <colorScale>
        <cfvo type="min"/>
        <cfvo type="max"/>
        <color rgb="FFFCFCFF"/>
        <color rgb="FFF8696B"/>
      </colorScale>
    </cfRule>
  </conditionalFormatting>
  <conditionalFormatting sqref="BW13">
    <cfRule type="colorScale" priority="3425">
      <colorScale>
        <cfvo type="min"/>
        <cfvo type="percentile" val="50"/>
        <cfvo type="max"/>
        <color rgb="FFF8696B"/>
        <color rgb="FFFFEB84"/>
        <color rgb="FF63BE7B"/>
      </colorScale>
    </cfRule>
  </conditionalFormatting>
  <conditionalFormatting sqref="BW13">
    <cfRule type="colorScale" priority="3424">
      <colorScale>
        <cfvo type="min"/>
        <cfvo type="percentile" val="50"/>
        <cfvo type="max"/>
        <color rgb="FFF8696B"/>
        <color rgb="FFFFEB84"/>
        <color rgb="FF63BE7B"/>
      </colorScale>
    </cfRule>
  </conditionalFormatting>
  <conditionalFormatting sqref="BW13">
    <cfRule type="colorScale" priority="3423">
      <colorScale>
        <cfvo type="min"/>
        <cfvo type="percentile" val="50"/>
        <cfvo type="max"/>
        <color rgb="FF63BE7B"/>
        <color rgb="FFFFEB84"/>
        <color rgb="FFF8696B"/>
      </colorScale>
    </cfRule>
  </conditionalFormatting>
  <conditionalFormatting sqref="BW13">
    <cfRule type="colorScale" priority="3420">
      <colorScale>
        <cfvo type="min"/>
        <cfvo type="max"/>
        <color rgb="FFFCFCFF"/>
        <color rgb="FFF8696B"/>
      </colorScale>
    </cfRule>
    <cfRule type="colorScale" priority="3422">
      <colorScale>
        <cfvo type="min"/>
        <cfvo type="percentile" val="50"/>
        <cfvo type="max"/>
        <color rgb="FF63BE7B"/>
        <color rgb="FFFFEB84"/>
        <color rgb="FFF8696B"/>
      </colorScale>
    </cfRule>
  </conditionalFormatting>
  <conditionalFormatting sqref="BW13">
    <cfRule type="colorScale" priority="3421">
      <colorScale>
        <cfvo type="min"/>
        <cfvo type="max"/>
        <color rgb="FFF8696B"/>
        <color rgb="FFFCFCFF"/>
      </colorScale>
    </cfRule>
  </conditionalFormatting>
  <conditionalFormatting sqref="BW13">
    <cfRule type="colorScale" priority="3419">
      <colorScale>
        <cfvo type="min"/>
        <cfvo type="max"/>
        <color rgb="FFFCFCFF"/>
        <color rgb="FFF8696B"/>
      </colorScale>
    </cfRule>
  </conditionalFormatting>
  <conditionalFormatting sqref="BY13">
    <cfRule type="colorScale" priority="3418">
      <colorScale>
        <cfvo type="min"/>
        <cfvo type="percentile" val="50"/>
        <cfvo type="max"/>
        <color rgb="FFF8696B"/>
        <color rgb="FFFFEB84"/>
        <color rgb="FF63BE7B"/>
      </colorScale>
    </cfRule>
  </conditionalFormatting>
  <conditionalFormatting sqref="BY13">
    <cfRule type="colorScale" priority="3417">
      <colorScale>
        <cfvo type="min"/>
        <cfvo type="percentile" val="50"/>
        <cfvo type="max"/>
        <color rgb="FFF8696B"/>
        <color rgb="FFFFEB84"/>
        <color rgb="FF63BE7B"/>
      </colorScale>
    </cfRule>
  </conditionalFormatting>
  <conditionalFormatting sqref="BY13">
    <cfRule type="colorScale" priority="3416">
      <colorScale>
        <cfvo type="min"/>
        <cfvo type="percentile" val="50"/>
        <cfvo type="max"/>
        <color rgb="FF63BE7B"/>
        <color rgb="FFFFEB84"/>
        <color rgb="FFF8696B"/>
      </colorScale>
    </cfRule>
  </conditionalFormatting>
  <conditionalFormatting sqref="BY13">
    <cfRule type="colorScale" priority="3413">
      <colorScale>
        <cfvo type="min"/>
        <cfvo type="max"/>
        <color rgb="FFFCFCFF"/>
        <color rgb="FFF8696B"/>
      </colorScale>
    </cfRule>
    <cfRule type="colorScale" priority="3415">
      <colorScale>
        <cfvo type="min"/>
        <cfvo type="percentile" val="50"/>
        <cfvo type="max"/>
        <color rgb="FF63BE7B"/>
        <color rgb="FFFFEB84"/>
        <color rgb="FFF8696B"/>
      </colorScale>
    </cfRule>
  </conditionalFormatting>
  <conditionalFormatting sqref="BY13">
    <cfRule type="colorScale" priority="3414">
      <colorScale>
        <cfvo type="min"/>
        <cfvo type="max"/>
        <color rgb="FFF8696B"/>
        <color rgb="FFFCFCFF"/>
      </colorScale>
    </cfRule>
  </conditionalFormatting>
  <conditionalFormatting sqref="BY13">
    <cfRule type="colorScale" priority="3412">
      <colorScale>
        <cfvo type="min"/>
        <cfvo type="max"/>
        <color rgb="FFFCFCFF"/>
        <color rgb="FFF8696B"/>
      </colorScale>
    </cfRule>
  </conditionalFormatting>
  <conditionalFormatting sqref="CA13">
    <cfRule type="colorScale" priority="3411">
      <colorScale>
        <cfvo type="min"/>
        <cfvo type="percentile" val="50"/>
        <cfvo type="max"/>
        <color rgb="FFF8696B"/>
        <color rgb="FFFFEB84"/>
        <color rgb="FF63BE7B"/>
      </colorScale>
    </cfRule>
  </conditionalFormatting>
  <conditionalFormatting sqref="CA13">
    <cfRule type="colorScale" priority="3410">
      <colorScale>
        <cfvo type="min"/>
        <cfvo type="percentile" val="50"/>
        <cfvo type="max"/>
        <color rgb="FFF8696B"/>
        <color rgb="FFFFEB84"/>
        <color rgb="FF63BE7B"/>
      </colorScale>
    </cfRule>
  </conditionalFormatting>
  <conditionalFormatting sqref="CA13">
    <cfRule type="colorScale" priority="3409">
      <colorScale>
        <cfvo type="min"/>
        <cfvo type="percentile" val="50"/>
        <cfvo type="max"/>
        <color rgb="FF63BE7B"/>
        <color rgb="FFFFEB84"/>
        <color rgb="FFF8696B"/>
      </colorScale>
    </cfRule>
  </conditionalFormatting>
  <conditionalFormatting sqref="CA13">
    <cfRule type="colorScale" priority="3406">
      <colorScale>
        <cfvo type="min"/>
        <cfvo type="max"/>
        <color rgb="FFFCFCFF"/>
        <color rgb="FFF8696B"/>
      </colorScale>
    </cfRule>
    <cfRule type="colorScale" priority="3408">
      <colorScale>
        <cfvo type="min"/>
        <cfvo type="percentile" val="50"/>
        <cfvo type="max"/>
        <color rgb="FF63BE7B"/>
        <color rgb="FFFFEB84"/>
        <color rgb="FFF8696B"/>
      </colorScale>
    </cfRule>
  </conditionalFormatting>
  <conditionalFormatting sqref="CA13">
    <cfRule type="colorScale" priority="3407">
      <colorScale>
        <cfvo type="min"/>
        <cfvo type="max"/>
        <color rgb="FFF8696B"/>
        <color rgb="FFFCFCFF"/>
      </colorScale>
    </cfRule>
  </conditionalFormatting>
  <conditionalFormatting sqref="CA13">
    <cfRule type="colorScale" priority="3405">
      <colorScale>
        <cfvo type="min"/>
        <cfvo type="max"/>
        <color rgb="FFFCFCFF"/>
        <color rgb="FFF8696B"/>
      </colorScale>
    </cfRule>
  </conditionalFormatting>
  <conditionalFormatting sqref="BU13 BU39 BU23 BU28 BU33">
    <cfRule type="colorScale" priority="3404">
      <colorScale>
        <cfvo type="min"/>
        <cfvo type="percentile" val="50"/>
        <cfvo type="max"/>
        <color rgb="FFF8696B"/>
        <color rgb="FFFFEB84"/>
        <color rgb="FF63BE7B"/>
      </colorScale>
    </cfRule>
  </conditionalFormatting>
  <conditionalFormatting sqref="BU13">
    <cfRule type="colorScale" priority="3403">
      <colorScale>
        <cfvo type="min"/>
        <cfvo type="percentile" val="50"/>
        <cfvo type="max"/>
        <color rgb="FFF8696B"/>
        <color rgb="FFFFEB84"/>
        <color rgb="FF63BE7B"/>
      </colorScale>
    </cfRule>
  </conditionalFormatting>
  <conditionalFormatting sqref="BU13 BU39 BU23 BU28 BU33">
    <cfRule type="colorScale" priority="3402">
      <colorScale>
        <cfvo type="min"/>
        <cfvo type="percentile" val="50"/>
        <cfvo type="max"/>
        <color rgb="FF63BE7B"/>
        <color rgb="FFFFEB84"/>
        <color rgb="FFF8696B"/>
      </colorScale>
    </cfRule>
  </conditionalFormatting>
  <conditionalFormatting sqref="BU39 BU13 BU23 BU28 BU33">
    <cfRule type="colorScale" priority="3399">
      <colorScale>
        <cfvo type="min"/>
        <cfvo type="max"/>
        <color rgb="FFFCFCFF"/>
        <color rgb="FFF8696B"/>
      </colorScale>
    </cfRule>
    <cfRule type="colorScale" priority="3401">
      <colorScale>
        <cfvo type="min"/>
        <cfvo type="percentile" val="50"/>
        <cfvo type="max"/>
        <color rgb="FF63BE7B"/>
        <color rgb="FFFFEB84"/>
        <color rgb="FFF8696B"/>
      </colorScale>
    </cfRule>
  </conditionalFormatting>
  <conditionalFormatting sqref="BU13 BU39 BU23 BU28 BU33">
    <cfRule type="colorScale" priority="3400">
      <colorScale>
        <cfvo type="min"/>
        <cfvo type="max"/>
        <color rgb="FFF8696B"/>
        <color rgb="FFFCFCFF"/>
      </colorScale>
    </cfRule>
  </conditionalFormatting>
  <conditionalFormatting sqref="BU41">
    <cfRule type="colorScale" priority="3398">
      <colorScale>
        <cfvo type="min"/>
        <cfvo type="percentile" val="50"/>
        <cfvo type="max"/>
        <color rgb="FFF8696B"/>
        <color rgb="FFFFEB84"/>
        <color rgb="FF63BE7B"/>
      </colorScale>
    </cfRule>
  </conditionalFormatting>
  <conditionalFormatting sqref="BU41">
    <cfRule type="colorScale" priority="3397">
      <colorScale>
        <cfvo type="min"/>
        <cfvo type="percentile" val="50"/>
        <cfvo type="max"/>
        <color rgb="FFF8696B"/>
        <color rgb="FFFFEB84"/>
        <color rgb="FF63BE7B"/>
      </colorScale>
    </cfRule>
  </conditionalFormatting>
  <conditionalFormatting sqref="BU41">
    <cfRule type="colorScale" priority="3396">
      <colorScale>
        <cfvo type="min"/>
        <cfvo type="percentile" val="50"/>
        <cfvo type="max"/>
        <color rgb="FFF8696B"/>
        <color rgb="FFFFEB84"/>
        <color rgb="FF63BE7B"/>
      </colorScale>
    </cfRule>
  </conditionalFormatting>
  <conditionalFormatting sqref="BU41">
    <cfRule type="colorScale" priority="3395">
      <colorScale>
        <cfvo type="min"/>
        <cfvo type="percentile" val="50"/>
        <cfvo type="max"/>
        <color rgb="FF63BE7B"/>
        <color rgb="FFFFEB84"/>
        <color rgb="FFF8696B"/>
      </colorScale>
    </cfRule>
  </conditionalFormatting>
  <conditionalFormatting sqref="BU41">
    <cfRule type="colorScale" priority="3392">
      <colorScale>
        <cfvo type="min"/>
        <cfvo type="max"/>
        <color rgb="FFFCFCFF"/>
        <color rgb="FFF8696B"/>
      </colorScale>
    </cfRule>
    <cfRule type="colorScale" priority="3394">
      <colorScale>
        <cfvo type="min"/>
        <cfvo type="percentile" val="50"/>
        <cfvo type="max"/>
        <color rgb="FF63BE7B"/>
        <color rgb="FFFFEB84"/>
        <color rgb="FFF8696B"/>
      </colorScale>
    </cfRule>
  </conditionalFormatting>
  <conditionalFormatting sqref="BU41">
    <cfRule type="colorScale" priority="3393">
      <colorScale>
        <cfvo type="min"/>
        <cfvo type="max"/>
        <color rgb="FFF8696B"/>
        <color rgb="FFFCFCFF"/>
      </colorScale>
    </cfRule>
  </conditionalFormatting>
  <conditionalFormatting sqref="BU23">
    <cfRule type="colorScale" priority="3391">
      <colorScale>
        <cfvo type="min"/>
        <cfvo type="percentile" val="50"/>
        <cfvo type="max"/>
        <color rgb="FFF8696B"/>
        <color rgb="FFFFEB84"/>
        <color rgb="FF63BE7B"/>
      </colorScale>
    </cfRule>
  </conditionalFormatting>
  <conditionalFormatting sqref="BU28">
    <cfRule type="colorScale" priority="3390">
      <colorScale>
        <cfvo type="min"/>
        <cfvo type="percentile" val="50"/>
        <cfvo type="max"/>
        <color rgb="FFF8696B"/>
        <color rgb="FFFFEB84"/>
        <color rgb="FF63BE7B"/>
      </colorScale>
    </cfRule>
  </conditionalFormatting>
  <conditionalFormatting sqref="BU33">
    <cfRule type="colorScale" priority="3389">
      <colorScale>
        <cfvo type="min"/>
        <cfvo type="percentile" val="50"/>
        <cfvo type="max"/>
        <color rgb="FFF8696B"/>
        <color rgb="FFFFEB84"/>
        <color rgb="FF63BE7B"/>
      </colorScale>
    </cfRule>
  </conditionalFormatting>
  <conditionalFormatting sqref="BU39">
    <cfRule type="colorScale" priority="3388">
      <colorScale>
        <cfvo type="min"/>
        <cfvo type="percentile" val="50"/>
        <cfvo type="max"/>
        <color rgb="FFF8696B"/>
        <color rgb="FFFFEB84"/>
        <color rgb="FF63BE7B"/>
      </colorScale>
    </cfRule>
  </conditionalFormatting>
  <conditionalFormatting sqref="BU13 BU39 BU23 BU28 BU33 BU41">
    <cfRule type="colorScale" priority="3387">
      <colorScale>
        <cfvo type="min"/>
        <cfvo type="max"/>
        <color rgb="FFFCFCFF"/>
        <color rgb="FFF8696B"/>
      </colorScale>
    </cfRule>
  </conditionalFormatting>
  <conditionalFormatting sqref="BU18">
    <cfRule type="colorScale" priority="3386">
      <colorScale>
        <cfvo type="min"/>
        <cfvo type="percentile" val="50"/>
        <cfvo type="max"/>
        <color rgb="FFF8696B"/>
        <color rgb="FFFFEB84"/>
        <color rgb="FF63BE7B"/>
      </colorScale>
    </cfRule>
  </conditionalFormatting>
  <conditionalFormatting sqref="BU18">
    <cfRule type="colorScale" priority="3385">
      <colorScale>
        <cfvo type="min"/>
        <cfvo type="percentile" val="50"/>
        <cfvo type="max"/>
        <color rgb="FF63BE7B"/>
        <color rgb="FFFFEB84"/>
        <color rgb="FFF8696B"/>
      </colorScale>
    </cfRule>
  </conditionalFormatting>
  <conditionalFormatting sqref="BU18">
    <cfRule type="colorScale" priority="3382">
      <colorScale>
        <cfvo type="min"/>
        <cfvo type="max"/>
        <color rgb="FFFCFCFF"/>
        <color rgb="FFF8696B"/>
      </colorScale>
    </cfRule>
    <cfRule type="colorScale" priority="3384">
      <colorScale>
        <cfvo type="min"/>
        <cfvo type="percentile" val="50"/>
        <cfvo type="max"/>
        <color rgb="FF63BE7B"/>
        <color rgb="FFFFEB84"/>
        <color rgb="FFF8696B"/>
      </colorScale>
    </cfRule>
  </conditionalFormatting>
  <conditionalFormatting sqref="BU18">
    <cfRule type="colorScale" priority="3383">
      <colorScale>
        <cfvo type="min"/>
        <cfvo type="max"/>
        <color rgb="FFF8696B"/>
        <color rgb="FFFCFCFF"/>
      </colorScale>
    </cfRule>
  </conditionalFormatting>
  <conditionalFormatting sqref="BU18">
    <cfRule type="colorScale" priority="3381">
      <colorScale>
        <cfvo type="min"/>
        <cfvo type="max"/>
        <color rgb="FFFCFCFF"/>
        <color rgb="FFF8696B"/>
      </colorScale>
    </cfRule>
  </conditionalFormatting>
  <conditionalFormatting sqref="BO13 CA39 BQ13 BS13 BU13 BW13 BY13 CA13 CA18 BY18 BW18 BU18 BS18 BS24:BS28 BQ24:BQ28 BO24:BO28 BO33 BQ33 BS33 BU28 BU23 BW23 BW28 BY23 CA23 CA28 BY28 BU33 BW33 BY33 CA33 CA41 BY39 BY41 BW39 BW41 BU39 BU41 BS39 BS41 BQ39 BO39">
    <cfRule type="colorScale" priority="3380">
      <colorScale>
        <cfvo type="min"/>
        <cfvo type="max"/>
        <color rgb="FFFCFCFF"/>
        <color rgb="FFF8696B"/>
      </colorScale>
    </cfRule>
  </conditionalFormatting>
  <conditionalFormatting sqref="BS61 BS56 CA84 BY84 BW84 BU84 BS84">
    <cfRule type="colorScale" priority="3379">
      <colorScale>
        <cfvo type="min"/>
        <cfvo type="max"/>
        <color rgb="FFFCFCFF"/>
        <color rgb="FFF8696B"/>
      </colorScale>
    </cfRule>
  </conditionalFormatting>
  <conditionalFormatting sqref="CE185 CE211 CG185 CI185 CK185 CG211 CI211">
    <cfRule type="colorScale" priority="3378">
      <colorScale>
        <cfvo type="min"/>
        <cfvo type="percentile" val="50"/>
        <cfvo type="max"/>
        <color rgb="FFF8696B"/>
        <color rgb="FFFFEB84"/>
        <color rgb="FF63BE7B"/>
      </colorScale>
    </cfRule>
  </conditionalFormatting>
  <conditionalFormatting sqref="CE185 CG185 CI185 CK185">
    <cfRule type="colorScale" priority="3377">
      <colorScale>
        <cfvo type="min"/>
        <cfvo type="percentile" val="50"/>
        <cfvo type="max"/>
        <color rgb="FFF8696B"/>
        <color rgb="FFFFEB84"/>
        <color rgb="FF63BE7B"/>
      </colorScale>
    </cfRule>
  </conditionalFormatting>
  <conditionalFormatting sqref="CG185 CE211 CE185 CI185 CK185 CG211 CI211">
    <cfRule type="colorScale" priority="3376">
      <colorScale>
        <cfvo type="min"/>
        <cfvo type="percentile" val="50"/>
        <cfvo type="max"/>
        <color rgb="FF63BE7B"/>
        <color rgb="FFFFEB84"/>
        <color rgb="FFF8696B"/>
      </colorScale>
    </cfRule>
  </conditionalFormatting>
  <conditionalFormatting sqref="CE211 CE185 CG185 CI185 CK185 CG211 CI211">
    <cfRule type="colorScale" priority="3373">
      <colorScale>
        <cfvo type="min"/>
        <cfvo type="max"/>
        <color rgb="FFFCFCFF"/>
        <color rgb="FFF8696B"/>
      </colorScale>
    </cfRule>
    <cfRule type="colorScale" priority="3375">
      <colorScale>
        <cfvo type="min"/>
        <cfvo type="percentile" val="50"/>
        <cfvo type="max"/>
        <color rgb="FF63BE7B"/>
        <color rgb="FFFFEB84"/>
        <color rgb="FFF8696B"/>
      </colorScale>
    </cfRule>
  </conditionalFormatting>
  <conditionalFormatting sqref="CG185 CE211 CE185 CI185 CK185 CG211 CI211">
    <cfRule type="colorScale" priority="3374">
      <colorScale>
        <cfvo type="min"/>
        <cfvo type="max"/>
        <color rgb="FFF8696B"/>
        <color rgb="FFFCFCFF"/>
      </colorScale>
    </cfRule>
  </conditionalFormatting>
  <conditionalFormatting sqref="CI213">
    <cfRule type="colorScale" priority="3372">
      <colorScale>
        <cfvo type="min"/>
        <cfvo type="percentile" val="50"/>
        <cfvo type="max"/>
        <color rgb="FFF8696B"/>
        <color rgb="FFFFEB84"/>
        <color rgb="FF63BE7B"/>
      </colorScale>
    </cfRule>
  </conditionalFormatting>
  <conditionalFormatting sqref="CI213">
    <cfRule type="colorScale" priority="3371">
      <colorScale>
        <cfvo type="min"/>
        <cfvo type="percentile" val="50"/>
        <cfvo type="max"/>
        <color rgb="FFF8696B"/>
        <color rgb="FFFFEB84"/>
        <color rgb="FF63BE7B"/>
      </colorScale>
    </cfRule>
  </conditionalFormatting>
  <conditionalFormatting sqref="CI213">
    <cfRule type="colorScale" priority="3370">
      <colorScale>
        <cfvo type="min"/>
        <cfvo type="percentile" val="50"/>
        <cfvo type="max"/>
        <color rgb="FFF8696B"/>
        <color rgb="FFFFEB84"/>
        <color rgb="FF63BE7B"/>
      </colorScale>
    </cfRule>
  </conditionalFormatting>
  <conditionalFormatting sqref="CI213">
    <cfRule type="colorScale" priority="3369">
      <colorScale>
        <cfvo type="min"/>
        <cfvo type="percentile" val="50"/>
        <cfvo type="max"/>
        <color rgb="FF63BE7B"/>
        <color rgb="FFFFEB84"/>
        <color rgb="FFF8696B"/>
      </colorScale>
    </cfRule>
  </conditionalFormatting>
  <conditionalFormatting sqref="CI213">
    <cfRule type="colorScale" priority="3366">
      <colorScale>
        <cfvo type="min"/>
        <cfvo type="max"/>
        <color rgb="FFFCFCFF"/>
        <color rgb="FFF8696B"/>
      </colorScale>
    </cfRule>
    <cfRule type="colorScale" priority="3368">
      <colorScale>
        <cfvo type="min"/>
        <cfvo type="percentile" val="50"/>
        <cfvo type="max"/>
        <color rgb="FF63BE7B"/>
        <color rgb="FFFFEB84"/>
        <color rgb="FFF8696B"/>
      </colorScale>
    </cfRule>
  </conditionalFormatting>
  <conditionalFormatting sqref="CI213">
    <cfRule type="colorScale" priority="3367">
      <colorScale>
        <cfvo type="min"/>
        <cfvo type="max"/>
        <color rgb="FFF8696B"/>
        <color rgb="FFFCFCFF"/>
      </colorScale>
    </cfRule>
  </conditionalFormatting>
  <conditionalFormatting sqref="CK213">
    <cfRule type="colorScale" priority="3365">
      <colorScale>
        <cfvo type="min"/>
        <cfvo type="percentile" val="50"/>
        <cfvo type="max"/>
        <color rgb="FFF8696B"/>
        <color rgb="FFFFEB84"/>
        <color rgb="FF63BE7B"/>
      </colorScale>
    </cfRule>
  </conditionalFormatting>
  <conditionalFormatting sqref="CK213">
    <cfRule type="colorScale" priority="3364">
      <colorScale>
        <cfvo type="min"/>
        <cfvo type="percentile" val="50"/>
        <cfvo type="max"/>
        <color rgb="FFF8696B"/>
        <color rgb="FFFFEB84"/>
        <color rgb="FF63BE7B"/>
      </colorScale>
    </cfRule>
  </conditionalFormatting>
  <conditionalFormatting sqref="CK213">
    <cfRule type="colorScale" priority="3363">
      <colorScale>
        <cfvo type="min"/>
        <cfvo type="percentile" val="50"/>
        <cfvo type="max"/>
        <color rgb="FFF8696B"/>
        <color rgb="FFFFEB84"/>
        <color rgb="FF63BE7B"/>
      </colorScale>
    </cfRule>
  </conditionalFormatting>
  <conditionalFormatting sqref="CK213">
    <cfRule type="colorScale" priority="3362">
      <colorScale>
        <cfvo type="min"/>
        <cfvo type="percentile" val="50"/>
        <cfvo type="max"/>
        <color rgb="FF63BE7B"/>
        <color rgb="FFFFEB84"/>
        <color rgb="FFF8696B"/>
      </colorScale>
    </cfRule>
  </conditionalFormatting>
  <conditionalFormatting sqref="CK213">
    <cfRule type="colorScale" priority="3359">
      <colorScale>
        <cfvo type="min"/>
        <cfvo type="max"/>
        <color rgb="FFFCFCFF"/>
        <color rgb="FFF8696B"/>
      </colorScale>
    </cfRule>
    <cfRule type="colorScale" priority="3361">
      <colorScale>
        <cfvo type="min"/>
        <cfvo type="percentile" val="50"/>
        <cfvo type="max"/>
        <color rgb="FF63BE7B"/>
        <color rgb="FFFFEB84"/>
        <color rgb="FFF8696B"/>
      </colorScale>
    </cfRule>
  </conditionalFormatting>
  <conditionalFormatting sqref="CK213">
    <cfRule type="colorScale" priority="3360">
      <colorScale>
        <cfvo type="min"/>
        <cfvo type="max"/>
        <color rgb="FFF8696B"/>
        <color rgb="FFFCFCFF"/>
      </colorScale>
    </cfRule>
  </conditionalFormatting>
  <conditionalFormatting sqref="CM213">
    <cfRule type="colorScale" priority="3358">
      <colorScale>
        <cfvo type="min"/>
        <cfvo type="percentile" val="50"/>
        <cfvo type="max"/>
        <color rgb="FFF8696B"/>
        <color rgb="FFFFEB84"/>
        <color rgb="FF63BE7B"/>
      </colorScale>
    </cfRule>
  </conditionalFormatting>
  <conditionalFormatting sqref="CM213">
    <cfRule type="colorScale" priority="3357">
      <colorScale>
        <cfvo type="min"/>
        <cfvo type="percentile" val="50"/>
        <cfvo type="max"/>
        <color rgb="FFF8696B"/>
        <color rgb="FFFFEB84"/>
        <color rgb="FF63BE7B"/>
      </colorScale>
    </cfRule>
  </conditionalFormatting>
  <conditionalFormatting sqref="CM213">
    <cfRule type="colorScale" priority="3356">
      <colorScale>
        <cfvo type="min"/>
        <cfvo type="percentile" val="50"/>
        <cfvo type="max"/>
        <color rgb="FFF8696B"/>
        <color rgb="FFFFEB84"/>
        <color rgb="FF63BE7B"/>
      </colorScale>
    </cfRule>
  </conditionalFormatting>
  <conditionalFormatting sqref="CM213">
    <cfRule type="colorScale" priority="3355">
      <colorScale>
        <cfvo type="min"/>
        <cfvo type="percentile" val="50"/>
        <cfvo type="max"/>
        <color rgb="FF63BE7B"/>
        <color rgb="FFFFEB84"/>
        <color rgb="FFF8696B"/>
      </colorScale>
    </cfRule>
  </conditionalFormatting>
  <conditionalFormatting sqref="CM213">
    <cfRule type="colorScale" priority="3352">
      <colorScale>
        <cfvo type="min"/>
        <cfvo type="max"/>
        <color rgb="FFFCFCFF"/>
        <color rgb="FFF8696B"/>
      </colorScale>
    </cfRule>
    <cfRule type="colorScale" priority="3354">
      <colorScale>
        <cfvo type="min"/>
        <cfvo type="percentile" val="50"/>
        <cfvo type="max"/>
        <color rgb="FF63BE7B"/>
        <color rgb="FFFFEB84"/>
        <color rgb="FFF8696B"/>
      </colorScale>
    </cfRule>
  </conditionalFormatting>
  <conditionalFormatting sqref="CM213">
    <cfRule type="colorScale" priority="3353">
      <colorScale>
        <cfvo type="min"/>
        <cfvo type="max"/>
        <color rgb="FFF8696B"/>
        <color rgb="FFFCFCFF"/>
      </colorScale>
    </cfRule>
  </conditionalFormatting>
  <conditionalFormatting sqref="CE211">
    <cfRule type="colorScale" priority="3351">
      <colorScale>
        <cfvo type="min"/>
        <cfvo type="percentile" val="50"/>
        <cfvo type="max"/>
        <color rgb="FFF8696B"/>
        <color rgb="FFFFEB84"/>
        <color rgb="FF63BE7B"/>
      </colorScale>
    </cfRule>
  </conditionalFormatting>
  <conditionalFormatting sqref="CG211">
    <cfRule type="colorScale" priority="3350">
      <colorScale>
        <cfvo type="min"/>
        <cfvo type="percentile" val="50"/>
        <cfvo type="max"/>
        <color rgb="FFF8696B"/>
        <color rgb="FFFFEB84"/>
        <color rgb="FF63BE7B"/>
      </colorScale>
    </cfRule>
  </conditionalFormatting>
  <conditionalFormatting sqref="CI211">
    <cfRule type="colorScale" priority="3349">
      <colorScale>
        <cfvo type="min"/>
        <cfvo type="percentile" val="50"/>
        <cfvo type="max"/>
        <color rgb="FFF8696B"/>
        <color rgb="FFFFEB84"/>
        <color rgb="FF63BE7B"/>
      </colorScale>
    </cfRule>
  </conditionalFormatting>
  <conditionalFormatting sqref="CG185 CE211 CE185 CI185 CK185 CG190 CE190 CG211 CI211 CI213 CK213 CM213">
    <cfRule type="colorScale" priority="3348">
      <colorScale>
        <cfvo type="min"/>
        <cfvo type="max"/>
        <color rgb="FFFCFCFF"/>
        <color rgb="FFF8696B"/>
      </colorScale>
    </cfRule>
  </conditionalFormatting>
  <conditionalFormatting sqref="CO213">
    <cfRule type="colorScale" priority="3347">
      <colorScale>
        <cfvo type="min"/>
        <cfvo type="percentile" val="50"/>
        <cfvo type="max"/>
        <color rgb="FFF8696B"/>
        <color rgb="FFFFEB84"/>
        <color rgb="FF63BE7B"/>
      </colorScale>
    </cfRule>
  </conditionalFormatting>
  <conditionalFormatting sqref="CO213">
    <cfRule type="colorScale" priority="3346">
      <colorScale>
        <cfvo type="min"/>
        <cfvo type="percentile" val="50"/>
        <cfvo type="max"/>
        <color rgb="FFF8696B"/>
        <color rgb="FFFFEB84"/>
        <color rgb="FF63BE7B"/>
      </colorScale>
    </cfRule>
  </conditionalFormatting>
  <conditionalFormatting sqref="CO213">
    <cfRule type="colorScale" priority="3345">
      <colorScale>
        <cfvo type="min"/>
        <cfvo type="percentile" val="50"/>
        <cfvo type="max"/>
        <color rgb="FFF8696B"/>
        <color rgb="FFFFEB84"/>
        <color rgb="FF63BE7B"/>
      </colorScale>
    </cfRule>
  </conditionalFormatting>
  <conditionalFormatting sqref="CO213">
    <cfRule type="colorScale" priority="3344">
      <colorScale>
        <cfvo type="min"/>
        <cfvo type="percentile" val="50"/>
        <cfvo type="max"/>
        <color rgb="FF63BE7B"/>
        <color rgb="FFFFEB84"/>
        <color rgb="FFF8696B"/>
      </colorScale>
    </cfRule>
  </conditionalFormatting>
  <conditionalFormatting sqref="CO213">
    <cfRule type="colorScale" priority="3341">
      <colorScale>
        <cfvo type="min"/>
        <cfvo type="max"/>
        <color rgb="FFFCFCFF"/>
        <color rgb="FFF8696B"/>
      </colorScale>
    </cfRule>
    <cfRule type="colorScale" priority="3343">
      <colorScale>
        <cfvo type="min"/>
        <cfvo type="percentile" val="50"/>
        <cfvo type="max"/>
        <color rgb="FF63BE7B"/>
        <color rgb="FFFFEB84"/>
        <color rgb="FFF8696B"/>
      </colorScale>
    </cfRule>
  </conditionalFormatting>
  <conditionalFormatting sqref="CO213">
    <cfRule type="colorScale" priority="3342">
      <colorScale>
        <cfvo type="min"/>
        <cfvo type="max"/>
        <color rgb="FFF8696B"/>
        <color rgb="FFFCFCFF"/>
      </colorScale>
    </cfRule>
  </conditionalFormatting>
  <conditionalFormatting sqref="CO213">
    <cfRule type="colorScale" priority="3340">
      <colorScale>
        <cfvo type="min"/>
        <cfvo type="max"/>
        <color rgb="FFFCFCFF"/>
        <color rgb="FFF8696B"/>
      </colorScale>
    </cfRule>
  </conditionalFormatting>
  <conditionalFormatting sqref="CQ205 CQ211">
    <cfRule type="colorScale" priority="3339">
      <colorScale>
        <cfvo type="min"/>
        <cfvo type="percentile" val="50"/>
        <cfvo type="max"/>
        <color rgb="FFF8696B"/>
        <color rgb="FFFFEB84"/>
        <color rgb="FF63BE7B"/>
      </colorScale>
    </cfRule>
  </conditionalFormatting>
  <conditionalFormatting sqref="CQ205">
    <cfRule type="colorScale" priority="3338">
      <colorScale>
        <cfvo type="min"/>
        <cfvo type="percentile" val="50"/>
        <cfvo type="max"/>
        <color rgb="FFF8696B"/>
        <color rgb="FFFFEB84"/>
        <color rgb="FF63BE7B"/>
      </colorScale>
    </cfRule>
  </conditionalFormatting>
  <conditionalFormatting sqref="CQ205 CQ211">
    <cfRule type="colorScale" priority="3337">
      <colorScale>
        <cfvo type="min"/>
        <cfvo type="percentile" val="50"/>
        <cfvo type="max"/>
        <color rgb="FF63BE7B"/>
        <color rgb="FFFFEB84"/>
        <color rgb="FFF8696B"/>
      </colorScale>
    </cfRule>
  </conditionalFormatting>
  <conditionalFormatting sqref="CQ211 CQ205">
    <cfRule type="colorScale" priority="3334">
      <colorScale>
        <cfvo type="min"/>
        <cfvo type="max"/>
        <color rgb="FFFCFCFF"/>
        <color rgb="FFF8696B"/>
      </colorScale>
    </cfRule>
    <cfRule type="colorScale" priority="3336">
      <colorScale>
        <cfvo type="min"/>
        <cfvo type="percentile" val="50"/>
        <cfvo type="max"/>
        <color rgb="FF63BE7B"/>
        <color rgb="FFFFEB84"/>
        <color rgb="FFF8696B"/>
      </colorScale>
    </cfRule>
  </conditionalFormatting>
  <conditionalFormatting sqref="CQ205 CQ211">
    <cfRule type="colorScale" priority="3335">
      <colorScale>
        <cfvo type="min"/>
        <cfvo type="max"/>
        <color rgb="FFF8696B"/>
        <color rgb="FFFCFCFF"/>
      </colorScale>
    </cfRule>
  </conditionalFormatting>
  <conditionalFormatting sqref="CQ213">
    <cfRule type="colorScale" priority="3333">
      <colorScale>
        <cfvo type="min"/>
        <cfvo type="percentile" val="50"/>
        <cfvo type="max"/>
        <color rgb="FFF8696B"/>
        <color rgb="FFFFEB84"/>
        <color rgb="FF63BE7B"/>
      </colorScale>
    </cfRule>
  </conditionalFormatting>
  <conditionalFormatting sqref="CQ213">
    <cfRule type="colorScale" priority="3332">
      <colorScale>
        <cfvo type="min"/>
        <cfvo type="percentile" val="50"/>
        <cfvo type="max"/>
        <color rgb="FFF8696B"/>
        <color rgb="FFFFEB84"/>
        <color rgb="FF63BE7B"/>
      </colorScale>
    </cfRule>
  </conditionalFormatting>
  <conditionalFormatting sqref="CQ213">
    <cfRule type="colorScale" priority="3331">
      <colorScale>
        <cfvo type="min"/>
        <cfvo type="percentile" val="50"/>
        <cfvo type="max"/>
        <color rgb="FFF8696B"/>
        <color rgb="FFFFEB84"/>
        <color rgb="FF63BE7B"/>
      </colorScale>
    </cfRule>
  </conditionalFormatting>
  <conditionalFormatting sqref="CQ213">
    <cfRule type="colorScale" priority="3330">
      <colorScale>
        <cfvo type="min"/>
        <cfvo type="percentile" val="50"/>
        <cfvo type="max"/>
        <color rgb="FF63BE7B"/>
        <color rgb="FFFFEB84"/>
        <color rgb="FFF8696B"/>
      </colorScale>
    </cfRule>
  </conditionalFormatting>
  <conditionalFormatting sqref="CQ213">
    <cfRule type="colorScale" priority="3327">
      <colorScale>
        <cfvo type="min"/>
        <cfvo type="max"/>
        <color rgb="FFFCFCFF"/>
        <color rgb="FFF8696B"/>
      </colorScale>
    </cfRule>
    <cfRule type="colorScale" priority="3329">
      <colorScale>
        <cfvo type="min"/>
        <cfvo type="percentile" val="50"/>
        <cfvo type="max"/>
        <color rgb="FF63BE7B"/>
        <color rgb="FFFFEB84"/>
        <color rgb="FFF8696B"/>
      </colorScale>
    </cfRule>
  </conditionalFormatting>
  <conditionalFormatting sqref="CQ213">
    <cfRule type="colorScale" priority="3328">
      <colorScale>
        <cfvo type="min"/>
        <cfvo type="max"/>
        <color rgb="FFF8696B"/>
        <color rgb="FFFCFCFF"/>
      </colorScale>
    </cfRule>
  </conditionalFormatting>
  <conditionalFormatting sqref="CQ205">
    <cfRule type="colorScale" priority="3326">
      <colorScale>
        <cfvo type="min"/>
        <cfvo type="percentile" val="50"/>
        <cfvo type="max"/>
        <color rgb="FFF8696B"/>
        <color rgb="FFFFEB84"/>
        <color rgb="FF63BE7B"/>
      </colorScale>
    </cfRule>
  </conditionalFormatting>
  <conditionalFormatting sqref="CQ211">
    <cfRule type="colorScale" priority="3325">
      <colorScale>
        <cfvo type="min"/>
        <cfvo type="percentile" val="50"/>
        <cfvo type="max"/>
        <color rgb="FFF8696B"/>
        <color rgb="FFFFEB84"/>
        <color rgb="FF63BE7B"/>
      </colorScale>
    </cfRule>
  </conditionalFormatting>
  <conditionalFormatting sqref="CQ205 CQ211 CQ213">
    <cfRule type="colorScale" priority="3324">
      <colorScale>
        <cfvo type="min"/>
        <cfvo type="max"/>
        <color rgb="FFFCFCFF"/>
        <color rgb="FFF8696B"/>
      </colorScale>
    </cfRule>
  </conditionalFormatting>
  <conditionalFormatting sqref="CM185">
    <cfRule type="colorScale" priority="3323">
      <colorScale>
        <cfvo type="min"/>
        <cfvo type="percentile" val="50"/>
        <cfvo type="max"/>
        <color rgb="FFF8696B"/>
        <color rgb="FFFFEB84"/>
        <color rgb="FF63BE7B"/>
      </colorScale>
    </cfRule>
  </conditionalFormatting>
  <conditionalFormatting sqref="CM185">
    <cfRule type="colorScale" priority="3322">
      <colorScale>
        <cfvo type="min"/>
        <cfvo type="percentile" val="50"/>
        <cfvo type="max"/>
        <color rgb="FFF8696B"/>
        <color rgb="FFFFEB84"/>
        <color rgb="FF63BE7B"/>
      </colorScale>
    </cfRule>
  </conditionalFormatting>
  <conditionalFormatting sqref="CM185">
    <cfRule type="colorScale" priority="3321">
      <colorScale>
        <cfvo type="min"/>
        <cfvo type="percentile" val="50"/>
        <cfvo type="max"/>
        <color rgb="FF63BE7B"/>
        <color rgb="FFFFEB84"/>
        <color rgb="FFF8696B"/>
      </colorScale>
    </cfRule>
  </conditionalFormatting>
  <conditionalFormatting sqref="CM185">
    <cfRule type="colorScale" priority="3318">
      <colorScale>
        <cfvo type="min"/>
        <cfvo type="max"/>
        <color rgb="FFFCFCFF"/>
        <color rgb="FFF8696B"/>
      </colorScale>
    </cfRule>
    <cfRule type="colorScale" priority="3320">
      <colorScale>
        <cfvo type="min"/>
        <cfvo type="percentile" val="50"/>
        <cfvo type="max"/>
        <color rgb="FF63BE7B"/>
        <color rgb="FFFFEB84"/>
        <color rgb="FFF8696B"/>
      </colorScale>
    </cfRule>
  </conditionalFormatting>
  <conditionalFormatting sqref="CM185">
    <cfRule type="colorScale" priority="3319">
      <colorScale>
        <cfvo type="min"/>
        <cfvo type="max"/>
        <color rgb="FFF8696B"/>
        <color rgb="FFFCFCFF"/>
      </colorScale>
    </cfRule>
  </conditionalFormatting>
  <conditionalFormatting sqref="CM185">
    <cfRule type="colorScale" priority="3317">
      <colorScale>
        <cfvo type="min"/>
        <cfvo type="max"/>
        <color rgb="FFFCFCFF"/>
        <color rgb="FFF8696B"/>
      </colorScale>
    </cfRule>
  </conditionalFormatting>
  <conditionalFormatting sqref="CO185">
    <cfRule type="colorScale" priority="3316">
      <colorScale>
        <cfvo type="min"/>
        <cfvo type="percentile" val="50"/>
        <cfvo type="max"/>
        <color rgb="FFF8696B"/>
        <color rgb="FFFFEB84"/>
        <color rgb="FF63BE7B"/>
      </colorScale>
    </cfRule>
  </conditionalFormatting>
  <conditionalFormatting sqref="CO185">
    <cfRule type="colorScale" priority="3315">
      <colorScale>
        <cfvo type="min"/>
        <cfvo type="percentile" val="50"/>
        <cfvo type="max"/>
        <color rgb="FFF8696B"/>
        <color rgb="FFFFEB84"/>
        <color rgb="FF63BE7B"/>
      </colorScale>
    </cfRule>
  </conditionalFormatting>
  <conditionalFormatting sqref="CO185">
    <cfRule type="colorScale" priority="3314">
      <colorScale>
        <cfvo type="min"/>
        <cfvo type="percentile" val="50"/>
        <cfvo type="max"/>
        <color rgb="FF63BE7B"/>
        <color rgb="FFFFEB84"/>
        <color rgb="FFF8696B"/>
      </colorScale>
    </cfRule>
  </conditionalFormatting>
  <conditionalFormatting sqref="CO185">
    <cfRule type="colorScale" priority="3311">
      <colorScale>
        <cfvo type="min"/>
        <cfvo type="max"/>
        <color rgb="FFFCFCFF"/>
        <color rgb="FFF8696B"/>
      </colorScale>
    </cfRule>
    <cfRule type="colorScale" priority="3313">
      <colorScale>
        <cfvo type="min"/>
        <cfvo type="percentile" val="50"/>
        <cfvo type="max"/>
        <color rgb="FF63BE7B"/>
        <color rgb="FFFFEB84"/>
        <color rgb="FFF8696B"/>
      </colorScale>
    </cfRule>
  </conditionalFormatting>
  <conditionalFormatting sqref="CO185">
    <cfRule type="colorScale" priority="3312">
      <colorScale>
        <cfvo type="min"/>
        <cfvo type="max"/>
        <color rgb="FFF8696B"/>
        <color rgb="FFFCFCFF"/>
      </colorScale>
    </cfRule>
  </conditionalFormatting>
  <conditionalFormatting sqref="CO185">
    <cfRule type="colorScale" priority="3310">
      <colorScale>
        <cfvo type="min"/>
        <cfvo type="max"/>
        <color rgb="FFFCFCFF"/>
        <color rgb="FFF8696B"/>
      </colorScale>
    </cfRule>
  </conditionalFormatting>
  <conditionalFormatting sqref="CQ185">
    <cfRule type="colorScale" priority="3309">
      <colorScale>
        <cfvo type="min"/>
        <cfvo type="percentile" val="50"/>
        <cfvo type="max"/>
        <color rgb="FFF8696B"/>
        <color rgb="FFFFEB84"/>
        <color rgb="FF63BE7B"/>
      </colorScale>
    </cfRule>
  </conditionalFormatting>
  <conditionalFormatting sqref="CQ185">
    <cfRule type="colorScale" priority="3308">
      <colorScale>
        <cfvo type="min"/>
        <cfvo type="percentile" val="50"/>
        <cfvo type="max"/>
        <color rgb="FFF8696B"/>
        <color rgb="FFFFEB84"/>
        <color rgb="FF63BE7B"/>
      </colorScale>
    </cfRule>
  </conditionalFormatting>
  <conditionalFormatting sqref="CQ185">
    <cfRule type="colorScale" priority="3307">
      <colorScale>
        <cfvo type="min"/>
        <cfvo type="percentile" val="50"/>
        <cfvo type="max"/>
        <color rgb="FF63BE7B"/>
        <color rgb="FFFFEB84"/>
        <color rgb="FFF8696B"/>
      </colorScale>
    </cfRule>
  </conditionalFormatting>
  <conditionalFormatting sqref="CQ185">
    <cfRule type="colorScale" priority="3304">
      <colorScale>
        <cfvo type="min"/>
        <cfvo type="max"/>
        <color rgb="FFFCFCFF"/>
        <color rgb="FFF8696B"/>
      </colorScale>
    </cfRule>
    <cfRule type="colorScale" priority="3306">
      <colorScale>
        <cfvo type="min"/>
        <cfvo type="percentile" val="50"/>
        <cfvo type="max"/>
        <color rgb="FF63BE7B"/>
        <color rgb="FFFFEB84"/>
        <color rgb="FFF8696B"/>
      </colorScale>
    </cfRule>
  </conditionalFormatting>
  <conditionalFormatting sqref="CQ185">
    <cfRule type="colorScale" priority="3305">
      <colorScale>
        <cfvo type="min"/>
        <cfvo type="max"/>
        <color rgb="FFF8696B"/>
        <color rgb="FFFCFCFF"/>
      </colorScale>
    </cfRule>
  </conditionalFormatting>
  <conditionalFormatting sqref="CQ185">
    <cfRule type="colorScale" priority="3303">
      <colorScale>
        <cfvo type="min"/>
        <cfvo type="max"/>
        <color rgb="FFFCFCFF"/>
        <color rgb="FFF8696B"/>
      </colorScale>
    </cfRule>
  </conditionalFormatting>
  <conditionalFormatting sqref="CO190">
    <cfRule type="colorScale" priority="3302">
      <colorScale>
        <cfvo type="min"/>
        <cfvo type="percentile" val="50"/>
        <cfvo type="max"/>
        <color rgb="FFF8696B"/>
        <color rgb="FFFFEB84"/>
        <color rgb="FF63BE7B"/>
      </colorScale>
    </cfRule>
  </conditionalFormatting>
  <conditionalFormatting sqref="CO190">
    <cfRule type="colorScale" priority="3301">
      <colorScale>
        <cfvo type="min"/>
        <cfvo type="percentile" val="50"/>
        <cfvo type="max"/>
        <color rgb="FFF8696B"/>
        <color rgb="FFFFEB84"/>
        <color rgb="FF63BE7B"/>
      </colorScale>
    </cfRule>
  </conditionalFormatting>
  <conditionalFormatting sqref="CO190">
    <cfRule type="colorScale" priority="3300">
      <colorScale>
        <cfvo type="min"/>
        <cfvo type="percentile" val="50"/>
        <cfvo type="max"/>
        <color rgb="FF63BE7B"/>
        <color rgb="FFFFEB84"/>
        <color rgb="FFF8696B"/>
      </colorScale>
    </cfRule>
  </conditionalFormatting>
  <conditionalFormatting sqref="CO190">
    <cfRule type="colorScale" priority="3297">
      <colorScale>
        <cfvo type="min"/>
        <cfvo type="max"/>
        <color rgb="FFFCFCFF"/>
        <color rgb="FFF8696B"/>
      </colorScale>
    </cfRule>
    <cfRule type="colorScale" priority="3299">
      <colorScale>
        <cfvo type="min"/>
        <cfvo type="percentile" val="50"/>
        <cfvo type="max"/>
        <color rgb="FF63BE7B"/>
        <color rgb="FFFFEB84"/>
        <color rgb="FFF8696B"/>
      </colorScale>
    </cfRule>
  </conditionalFormatting>
  <conditionalFormatting sqref="CO190">
    <cfRule type="colorScale" priority="3298">
      <colorScale>
        <cfvo type="min"/>
        <cfvo type="max"/>
        <color rgb="FFF8696B"/>
        <color rgb="FFFCFCFF"/>
      </colorScale>
    </cfRule>
  </conditionalFormatting>
  <conditionalFormatting sqref="CO190">
    <cfRule type="colorScale" priority="3296">
      <colorScale>
        <cfvo type="min"/>
        <cfvo type="max"/>
        <color rgb="FFFCFCFF"/>
        <color rgb="FFF8696B"/>
      </colorScale>
    </cfRule>
  </conditionalFormatting>
  <conditionalFormatting sqref="CE196">
    <cfRule type="colorScale" priority="3295">
      <colorScale>
        <cfvo type="min"/>
        <cfvo type="percentile" val="50"/>
        <cfvo type="max"/>
        <color rgb="FFF8696B"/>
        <color rgb="FFFFEB84"/>
        <color rgb="FF63BE7B"/>
      </colorScale>
    </cfRule>
  </conditionalFormatting>
  <conditionalFormatting sqref="CE196">
    <cfRule type="colorScale" priority="3294">
      <colorScale>
        <cfvo type="min"/>
        <cfvo type="percentile" val="50"/>
        <cfvo type="max"/>
        <color rgb="FF63BE7B"/>
        <color rgb="FFFFEB84"/>
        <color rgb="FFF8696B"/>
      </colorScale>
    </cfRule>
  </conditionalFormatting>
  <conditionalFormatting sqref="CE196">
    <cfRule type="colorScale" priority="3291">
      <colorScale>
        <cfvo type="min"/>
        <cfvo type="max"/>
        <color rgb="FFFCFCFF"/>
        <color rgb="FFF8696B"/>
      </colorScale>
    </cfRule>
    <cfRule type="colorScale" priority="3293">
      <colorScale>
        <cfvo type="min"/>
        <cfvo type="percentile" val="50"/>
        <cfvo type="max"/>
        <color rgb="FF63BE7B"/>
        <color rgb="FFFFEB84"/>
        <color rgb="FFF8696B"/>
      </colorScale>
    </cfRule>
  </conditionalFormatting>
  <conditionalFormatting sqref="CE196">
    <cfRule type="colorScale" priority="3292">
      <colorScale>
        <cfvo type="min"/>
        <cfvo type="max"/>
        <color rgb="FFF8696B"/>
        <color rgb="FFFCFCFF"/>
      </colorScale>
    </cfRule>
  </conditionalFormatting>
  <conditionalFormatting sqref="CE196">
    <cfRule type="colorScale" priority="3290">
      <colorScale>
        <cfvo type="min"/>
        <cfvo type="percentile" val="50"/>
        <cfvo type="max"/>
        <color rgb="FFF8696B"/>
        <color rgb="FFFFEB84"/>
        <color rgb="FF63BE7B"/>
      </colorScale>
    </cfRule>
  </conditionalFormatting>
  <conditionalFormatting sqref="CE196">
    <cfRule type="colorScale" priority="3289">
      <colorScale>
        <cfvo type="min"/>
        <cfvo type="max"/>
        <color rgb="FFFCFCFF"/>
        <color rgb="FFF8696B"/>
      </colorScale>
    </cfRule>
  </conditionalFormatting>
  <conditionalFormatting sqref="CG196">
    <cfRule type="colorScale" priority="3288">
      <colorScale>
        <cfvo type="min"/>
        <cfvo type="percentile" val="50"/>
        <cfvo type="max"/>
        <color rgb="FFF8696B"/>
        <color rgb="FFFFEB84"/>
        <color rgb="FF63BE7B"/>
      </colorScale>
    </cfRule>
  </conditionalFormatting>
  <conditionalFormatting sqref="CG196">
    <cfRule type="colorScale" priority="3287">
      <colorScale>
        <cfvo type="min"/>
        <cfvo type="percentile" val="50"/>
        <cfvo type="max"/>
        <color rgb="FF63BE7B"/>
        <color rgb="FFFFEB84"/>
        <color rgb="FFF8696B"/>
      </colorScale>
    </cfRule>
  </conditionalFormatting>
  <conditionalFormatting sqref="CG196">
    <cfRule type="colorScale" priority="3284">
      <colorScale>
        <cfvo type="min"/>
        <cfvo type="max"/>
        <color rgb="FFFCFCFF"/>
        <color rgb="FFF8696B"/>
      </colorScale>
    </cfRule>
    <cfRule type="colorScale" priority="3286">
      <colorScale>
        <cfvo type="min"/>
        <cfvo type="percentile" val="50"/>
        <cfvo type="max"/>
        <color rgb="FF63BE7B"/>
        <color rgb="FFFFEB84"/>
        <color rgb="FFF8696B"/>
      </colorScale>
    </cfRule>
  </conditionalFormatting>
  <conditionalFormatting sqref="CG196">
    <cfRule type="colorScale" priority="3285">
      <colorScale>
        <cfvo type="min"/>
        <cfvo type="max"/>
        <color rgb="FFF8696B"/>
        <color rgb="FFFCFCFF"/>
      </colorScale>
    </cfRule>
  </conditionalFormatting>
  <conditionalFormatting sqref="CG196">
    <cfRule type="colorScale" priority="3283">
      <colorScale>
        <cfvo type="min"/>
        <cfvo type="percentile" val="50"/>
        <cfvo type="max"/>
        <color rgb="FFF8696B"/>
        <color rgb="FFFFEB84"/>
        <color rgb="FF63BE7B"/>
      </colorScale>
    </cfRule>
  </conditionalFormatting>
  <conditionalFormatting sqref="CG196">
    <cfRule type="colorScale" priority="3282">
      <colorScale>
        <cfvo type="min"/>
        <cfvo type="max"/>
        <color rgb="FFFCFCFF"/>
        <color rgb="FFF8696B"/>
      </colorScale>
    </cfRule>
  </conditionalFormatting>
  <conditionalFormatting sqref="CI196">
    <cfRule type="colorScale" priority="3281">
      <colorScale>
        <cfvo type="min"/>
        <cfvo type="percentile" val="50"/>
        <cfvo type="max"/>
        <color rgb="FFF8696B"/>
        <color rgb="FFFFEB84"/>
        <color rgb="FF63BE7B"/>
      </colorScale>
    </cfRule>
  </conditionalFormatting>
  <conditionalFormatting sqref="CI196">
    <cfRule type="colorScale" priority="3280">
      <colorScale>
        <cfvo type="min"/>
        <cfvo type="percentile" val="50"/>
        <cfvo type="max"/>
        <color rgb="FF63BE7B"/>
        <color rgb="FFFFEB84"/>
        <color rgb="FFF8696B"/>
      </colorScale>
    </cfRule>
  </conditionalFormatting>
  <conditionalFormatting sqref="CI196">
    <cfRule type="colorScale" priority="3277">
      <colorScale>
        <cfvo type="min"/>
        <cfvo type="max"/>
        <color rgb="FFFCFCFF"/>
        <color rgb="FFF8696B"/>
      </colorScale>
    </cfRule>
    <cfRule type="colorScale" priority="3279">
      <colorScale>
        <cfvo type="min"/>
        <cfvo type="percentile" val="50"/>
        <cfvo type="max"/>
        <color rgb="FF63BE7B"/>
        <color rgb="FFFFEB84"/>
        <color rgb="FFF8696B"/>
      </colorScale>
    </cfRule>
  </conditionalFormatting>
  <conditionalFormatting sqref="CI196">
    <cfRule type="colorScale" priority="3278">
      <colorScale>
        <cfvo type="min"/>
        <cfvo type="max"/>
        <color rgb="FFF8696B"/>
        <color rgb="FFFCFCFF"/>
      </colorScale>
    </cfRule>
  </conditionalFormatting>
  <conditionalFormatting sqref="CI196">
    <cfRule type="colorScale" priority="3276">
      <colorScale>
        <cfvo type="min"/>
        <cfvo type="percentile" val="50"/>
        <cfvo type="max"/>
        <color rgb="FFF8696B"/>
        <color rgb="FFFFEB84"/>
        <color rgb="FF63BE7B"/>
      </colorScale>
    </cfRule>
  </conditionalFormatting>
  <conditionalFormatting sqref="CI196">
    <cfRule type="colorScale" priority="3275">
      <colorScale>
        <cfvo type="min"/>
        <cfvo type="max"/>
        <color rgb="FFFCFCFF"/>
        <color rgb="FFF8696B"/>
      </colorScale>
    </cfRule>
  </conditionalFormatting>
  <conditionalFormatting sqref="CK196">
    <cfRule type="colorScale" priority="3274">
      <colorScale>
        <cfvo type="min"/>
        <cfvo type="percentile" val="50"/>
        <cfvo type="max"/>
        <color rgb="FFF8696B"/>
        <color rgb="FFFFEB84"/>
        <color rgb="FF63BE7B"/>
      </colorScale>
    </cfRule>
  </conditionalFormatting>
  <conditionalFormatting sqref="CK196">
    <cfRule type="colorScale" priority="3273">
      <colorScale>
        <cfvo type="min"/>
        <cfvo type="percentile" val="50"/>
        <cfvo type="max"/>
        <color rgb="FF63BE7B"/>
        <color rgb="FFFFEB84"/>
        <color rgb="FFF8696B"/>
      </colorScale>
    </cfRule>
  </conditionalFormatting>
  <conditionalFormatting sqref="CK196">
    <cfRule type="colorScale" priority="3270">
      <colorScale>
        <cfvo type="min"/>
        <cfvo type="max"/>
        <color rgb="FFFCFCFF"/>
        <color rgb="FFF8696B"/>
      </colorScale>
    </cfRule>
    <cfRule type="colorScale" priority="3272">
      <colorScale>
        <cfvo type="min"/>
        <cfvo type="percentile" val="50"/>
        <cfvo type="max"/>
        <color rgb="FF63BE7B"/>
        <color rgb="FFFFEB84"/>
        <color rgb="FFF8696B"/>
      </colorScale>
    </cfRule>
  </conditionalFormatting>
  <conditionalFormatting sqref="CK196">
    <cfRule type="colorScale" priority="3271">
      <colorScale>
        <cfvo type="min"/>
        <cfvo type="max"/>
        <color rgb="FFF8696B"/>
        <color rgb="FFFCFCFF"/>
      </colorScale>
    </cfRule>
  </conditionalFormatting>
  <conditionalFormatting sqref="CK196">
    <cfRule type="colorScale" priority="3269">
      <colorScale>
        <cfvo type="min"/>
        <cfvo type="percentile" val="50"/>
        <cfvo type="max"/>
        <color rgb="FFF8696B"/>
        <color rgb="FFFFEB84"/>
        <color rgb="FF63BE7B"/>
      </colorScale>
    </cfRule>
  </conditionalFormatting>
  <conditionalFormatting sqref="CK196">
    <cfRule type="colorScale" priority="3268">
      <colorScale>
        <cfvo type="min"/>
        <cfvo type="max"/>
        <color rgb="FFFCFCFF"/>
        <color rgb="FFF8696B"/>
      </colorScale>
    </cfRule>
  </conditionalFormatting>
  <conditionalFormatting sqref="CM196">
    <cfRule type="colorScale" priority="3267">
      <colorScale>
        <cfvo type="min"/>
        <cfvo type="percentile" val="50"/>
        <cfvo type="max"/>
        <color rgb="FFF8696B"/>
        <color rgb="FFFFEB84"/>
        <color rgb="FF63BE7B"/>
      </colorScale>
    </cfRule>
  </conditionalFormatting>
  <conditionalFormatting sqref="CM196">
    <cfRule type="colorScale" priority="3266">
      <colorScale>
        <cfvo type="min"/>
        <cfvo type="percentile" val="50"/>
        <cfvo type="max"/>
        <color rgb="FF63BE7B"/>
        <color rgb="FFFFEB84"/>
        <color rgb="FFF8696B"/>
      </colorScale>
    </cfRule>
  </conditionalFormatting>
  <conditionalFormatting sqref="CM196">
    <cfRule type="colorScale" priority="3263">
      <colorScale>
        <cfvo type="min"/>
        <cfvo type="max"/>
        <color rgb="FFFCFCFF"/>
        <color rgb="FFF8696B"/>
      </colorScale>
    </cfRule>
    <cfRule type="colorScale" priority="3265">
      <colorScale>
        <cfvo type="min"/>
        <cfvo type="percentile" val="50"/>
        <cfvo type="max"/>
        <color rgb="FF63BE7B"/>
        <color rgb="FFFFEB84"/>
        <color rgb="FFF8696B"/>
      </colorScale>
    </cfRule>
  </conditionalFormatting>
  <conditionalFormatting sqref="CM196">
    <cfRule type="colorScale" priority="3264">
      <colorScale>
        <cfvo type="min"/>
        <cfvo type="max"/>
        <color rgb="FFF8696B"/>
        <color rgb="FFFCFCFF"/>
      </colorScale>
    </cfRule>
  </conditionalFormatting>
  <conditionalFormatting sqref="CM196">
    <cfRule type="colorScale" priority="3262">
      <colorScale>
        <cfvo type="min"/>
        <cfvo type="percentile" val="50"/>
        <cfvo type="max"/>
        <color rgb="FFF8696B"/>
        <color rgb="FFFFEB84"/>
        <color rgb="FF63BE7B"/>
      </colorScale>
    </cfRule>
  </conditionalFormatting>
  <conditionalFormatting sqref="CM196">
    <cfRule type="colorScale" priority="3261">
      <colorScale>
        <cfvo type="min"/>
        <cfvo type="max"/>
        <color rgb="FFFCFCFF"/>
        <color rgb="FFF8696B"/>
      </colorScale>
    </cfRule>
  </conditionalFormatting>
  <conditionalFormatting sqref="CO196">
    <cfRule type="colorScale" priority="3260">
      <colorScale>
        <cfvo type="min"/>
        <cfvo type="percentile" val="50"/>
        <cfvo type="max"/>
        <color rgb="FFF8696B"/>
        <color rgb="FFFFEB84"/>
        <color rgb="FF63BE7B"/>
      </colorScale>
    </cfRule>
  </conditionalFormatting>
  <conditionalFormatting sqref="CO196">
    <cfRule type="colorScale" priority="3259">
      <colorScale>
        <cfvo type="min"/>
        <cfvo type="percentile" val="50"/>
        <cfvo type="max"/>
        <color rgb="FF63BE7B"/>
        <color rgb="FFFFEB84"/>
        <color rgb="FFF8696B"/>
      </colorScale>
    </cfRule>
  </conditionalFormatting>
  <conditionalFormatting sqref="CO196">
    <cfRule type="colorScale" priority="3256">
      <colorScale>
        <cfvo type="min"/>
        <cfvo type="max"/>
        <color rgb="FFFCFCFF"/>
        <color rgb="FFF8696B"/>
      </colorScale>
    </cfRule>
    <cfRule type="colorScale" priority="3258">
      <colorScale>
        <cfvo type="min"/>
        <cfvo type="percentile" val="50"/>
        <cfvo type="max"/>
        <color rgb="FF63BE7B"/>
        <color rgb="FFFFEB84"/>
        <color rgb="FFF8696B"/>
      </colorScale>
    </cfRule>
  </conditionalFormatting>
  <conditionalFormatting sqref="CO196">
    <cfRule type="colorScale" priority="3257">
      <colorScale>
        <cfvo type="min"/>
        <cfvo type="max"/>
        <color rgb="FFF8696B"/>
        <color rgb="FFFCFCFF"/>
      </colorScale>
    </cfRule>
  </conditionalFormatting>
  <conditionalFormatting sqref="CO196">
    <cfRule type="colorScale" priority="3255">
      <colorScale>
        <cfvo type="min"/>
        <cfvo type="percentile" val="50"/>
        <cfvo type="max"/>
        <color rgb="FFF8696B"/>
        <color rgb="FFFFEB84"/>
        <color rgb="FF63BE7B"/>
      </colorScale>
    </cfRule>
  </conditionalFormatting>
  <conditionalFormatting sqref="CO196">
    <cfRule type="colorScale" priority="3254">
      <colorScale>
        <cfvo type="min"/>
        <cfvo type="max"/>
        <color rgb="FFFCFCFF"/>
        <color rgb="FFF8696B"/>
      </colorScale>
    </cfRule>
  </conditionalFormatting>
  <conditionalFormatting sqref="CQ196">
    <cfRule type="colorScale" priority="3253">
      <colorScale>
        <cfvo type="min"/>
        <cfvo type="percentile" val="50"/>
        <cfvo type="max"/>
        <color rgb="FFF8696B"/>
        <color rgb="FFFFEB84"/>
        <color rgb="FF63BE7B"/>
      </colorScale>
    </cfRule>
  </conditionalFormatting>
  <conditionalFormatting sqref="CQ196">
    <cfRule type="colorScale" priority="3252">
      <colorScale>
        <cfvo type="min"/>
        <cfvo type="percentile" val="50"/>
        <cfvo type="max"/>
        <color rgb="FF63BE7B"/>
        <color rgb="FFFFEB84"/>
        <color rgb="FFF8696B"/>
      </colorScale>
    </cfRule>
  </conditionalFormatting>
  <conditionalFormatting sqref="CQ196">
    <cfRule type="colorScale" priority="3249">
      <colorScale>
        <cfvo type="min"/>
        <cfvo type="max"/>
        <color rgb="FFFCFCFF"/>
        <color rgb="FFF8696B"/>
      </colorScale>
    </cfRule>
    <cfRule type="colorScale" priority="3251">
      <colorScale>
        <cfvo type="min"/>
        <cfvo type="percentile" val="50"/>
        <cfvo type="max"/>
        <color rgb="FF63BE7B"/>
        <color rgb="FFFFEB84"/>
        <color rgb="FFF8696B"/>
      </colorScale>
    </cfRule>
  </conditionalFormatting>
  <conditionalFormatting sqref="CQ196">
    <cfRule type="colorScale" priority="3250">
      <colorScale>
        <cfvo type="min"/>
        <cfvo type="max"/>
        <color rgb="FFF8696B"/>
        <color rgb="FFFCFCFF"/>
      </colorScale>
    </cfRule>
  </conditionalFormatting>
  <conditionalFormatting sqref="CQ196">
    <cfRule type="colorScale" priority="3248">
      <colorScale>
        <cfvo type="min"/>
        <cfvo type="percentile" val="50"/>
        <cfvo type="max"/>
        <color rgb="FFF8696B"/>
        <color rgb="FFFFEB84"/>
        <color rgb="FF63BE7B"/>
      </colorScale>
    </cfRule>
  </conditionalFormatting>
  <conditionalFormatting sqref="CQ196">
    <cfRule type="colorScale" priority="3247">
      <colorScale>
        <cfvo type="min"/>
        <cfvo type="max"/>
        <color rgb="FFFCFCFF"/>
        <color rgb="FFF8696B"/>
      </colorScale>
    </cfRule>
  </conditionalFormatting>
  <conditionalFormatting sqref="CE125 CK119 CM119 CG125 CK125 CM125">
    <cfRule type="colorScale" priority="3246">
      <colorScale>
        <cfvo type="min"/>
        <cfvo type="percentile" val="50"/>
        <cfvo type="max"/>
        <color rgb="FFF8696B"/>
        <color rgb="FFFFEB84"/>
        <color rgb="FF63BE7B"/>
      </colorScale>
    </cfRule>
  </conditionalFormatting>
  <conditionalFormatting sqref="CM119">
    <cfRule type="colorScale" priority="3245">
      <colorScale>
        <cfvo type="min"/>
        <cfvo type="percentile" val="50"/>
        <cfvo type="max"/>
        <color rgb="FFF8696B"/>
        <color rgb="FFFFEB84"/>
        <color rgb="FF63BE7B"/>
      </colorScale>
    </cfRule>
  </conditionalFormatting>
  <conditionalFormatting sqref="CE125 CK119 CM119 CG125 CK125 CM125">
    <cfRule type="colorScale" priority="3244">
      <colorScale>
        <cfvo type="min"/>
        <cfvo type="percentile" val="50"/>
        <cfvo type="max"/>
        <color rgb="FF63BE7B"/>
        <color rgb="FFFFEB84"/>
        <color rgb="FFF8696B"/>
      </colorScale>
    </cfRule>
  </conditionalFormatting>
  <conditionalFormatting sqref="CE125 CK119 CM119 CG125 CK125 CM125">
    <cfRule type="colorScale" priority="3241">
      <colorScale>
        <cfvo type="min"/>
        <cfvo type="max"/>
        <color rgb="FFFCFCFF"/>
        <color rgb="FFF8696B"/>
      </colorScale>
    </cfRule>
    <cfRule type="colorScale" priority="3243">
      <colorScale>
        <cfvo type="min"/>
        <cfvo type="percentile" val="50"/>
        <cfvo type="max"/>
        <color rgb="FF63BE7B"/>
        <color rgb="FFFFEB84"/>
        <color rgb="FFF8696B"/>
      </colorScale>
    </cfRule>
  </conditionalFormatting>
  <conditionalFormatting sqref="CE125 CK119 CM119 CG125 CK125 CM125">
    <cfRule type="colorScale" priority="3242">
      <colorScale>
        <cfvo type="min"/>
        <cfvo type="max"/>
        <color rgb="FFF8696B"/>
        <color rgb="FFFCFCFF"/>
      </colorScale>
    </cfRule>
  </conditionalFormatting>
  <conditionalFormatting sqref="CI127">
    <cfRule type="colorScale" priority="3240">
      <colorScale>
        <cfvo type="min"/>
        <cfvo type="percentile" val="50"/>
        <cfvo type="max"/>
        <color rgb="FFF8696B"/>
        <color rgb="FFFFEB84"/>
        <color rgb="FF63BE7B"/>
      </colorScale>
    </cfRule>
  </conditionalFormatting>
  <conditionalFormatting sqref="CI127">
    <cfRule type="colorScale" priority="3239">
      <colorScale>
        <cfvo type="min"/>
        <cfvo type="percentile" val="50"/>
        <cfvo type="max"/>
        <color rgb="FFF8696B"/>
        <color rgb="FFFFEB84"/>
        <color rgb="FF63BE7B"/>
      </colorScale>
    </cfRule>
  </conditionalFormatting>
  <conditionalFormatting sqref="CI127">
    <cfRule type="colorScale" priority="3238">
      <colorScale>
        <cfvo type="min"/>
        <cfvo type="percentile" val="50"/>
        <cfvo type="max"/>
        <color rgb="FFF8696B"/>
        <color rgb="FFFFEB84"/>
        <color rgb="FF63BE7B"/>
      </colorScale>
    </cfRule>
  </conditionalFormatting>
  <conditionalFormatting sqref="CI127">
    <cfRule type="colorScale" priority="3237">
      <colorScale>
        <cfvo type="min"/>
        <cfvo type="percentile" val="50"/>
        <cfvo type="max"/>
        <color rgb="FF63BE7B"/>
        <color rgb="FFFFEB84"/>
        <color rgb="FFF8696B"/>
      </colorScale>
    </cfRule>
  </conditionalFormatting>
  <conditionalFormatting sqref="CI127">
    <cfRule type="colorScale" priority="3234">
      <colorScale>
        <cfvo type="min"/>
        <cfvo type="max"/>
        <color rgb="FFFCFCFF"/>
        <color rgb="FFF8696B"/>
      </colorScale>
    </cfRule>
    <cfRule type="colorScale" priority="3236">
      <colorScale>
        <cfvo type="min"/>
        <cfvo type="percentile" val="50"/>
        <cfvo type="max"/>
        <color rgb="FF63BE7B"/>
        <color rgb="FFFFEB84"/>
        <color rgb="FFF8696B"/>
      </colorScale>
    </cfRule>
  </conditionalFormatting>
  <conditionalFormatting sqref="CI127">
    <cfRule type="colorScale" priority="3235">
      <colorScale>
        <cfvo type="min"/>
        <cfvo type="max"/>
        <color rgb="FFF8696B"/>
        <color rgb="FFFCFCFF"/>
      </colorScale>
    </cfRule>
  </conditionalFormatting>
  <conditionalFormatting sqref="CK127">
    <cfRule type="colorScale" priority="3233">
      <colorScale>
        <cfvo type="min"/>
        <cfvo type="percentile" val="50"/>
        <cfvo type="max"/>
        <color rgb="FFF8696B"/>
        <color rgb="FFFFEB84"/>
        <color rgb="FF63BE7B"/>
      </colorScale>
    </cfRule>
  </conditionalFormatting>
  <conditionalFormatting sqref="CK127">
    <cfRule type="colorScale" priority="3232">
      <colorScale>
        <cfvo type="min"/>
        <cfvo type="percentile" val="50"/>
        <cfvo type="max"/>
        <color rgb="FFF8696B"/>
        <color rgb="FFFFEB84"/>
        <color rgb="FF63BE7B"/>
      </colorScale>
    </cfRule>
  </conditionalFormatting>
  <conditionalFormatting sqref="CK127">
    <cfRule type="colorScale" priority="3231">
      <colorScale>
        <cfvo type="min"/>
        <cfvo type="percentile" val="50"/>
        <cfvo type="max"/>
        <color rgb="FFF8696B"/>
        <color rgb="FFFFEB84"/>
        <color rgb="FF63BE7B"/>
      </colorScale>
    </cfRule>
  </conditionalFormatting>
  <conditionalFormatting sqref="CK127">
    <cfRule type="colorScale" priority="3230">
      <colorScale>
        <cfvo type="min"/>
        <cfvo type="percentile" val="50"/>
        <cfvo type="max"/>
        <color rgb="FF63BE7B"/>
        <color rgb="FFFFEB84"/>
        <color rgb="FFF8696B"/>
      </colorScale>
    </cfRule>
  </conditionalFormatting>
  <conditionalFormatting sqref="CK127">
    <cfRule type="colorScale" priority="3227">
      <colorScale>
        <cfvo type="min"/>
        <cfvo type="max"/>
        <color rgb="FFFCFCFF"/>
        <color rgb="FFF8696B"/>
      </colorScale>
    </cfRule>
    <cfRule type="colorScale" priority="3229">
      <colorScale>
        <cfvo type="min"/>
        <cfvo type="percentile" val="50"/>
        <cfvo type="max"/>
        <color rgb="FF63BE7B"/>
        <color rgb="FFFFEB84"/>
        <color rgb="FFF8696B"/>
      </colorScale>
    </cfRule>
  </conditionalFormatting>
  <conditionalFormatting sqref="CK127">
    <cfRule type="colorScale" priority="3228">
      <colorScale>
        <cfvo type="min"/>
        <cfvo type="max"/>
        <color rgb="FFF8696B"/>
        <color rgb="FFFCFCFF"/>
      </colorScale>
    </cfRule>
  </conditionalFormatting>
  <conditionalFormatting sqref="CM127">
    <cfRule type="colorScale" priority="3226">
      <colorScale>
        <cfvo type="min"/>
        <cfvo type="percentile" val="50"/>
        <cfvo type="max"/>
        <color rgb="FFF8696B"/>
        <color rgb="FFFFEB84"/>
        <color rgb="FF63BE7B"/>
      </colorScale>
    </cfRule>
  </conditionalFormatting>
  <conditionalFormatting sqref="CM127">
    <cfRule type="colorScale" priority="3225">
      <colorScale>
        <cfvo type="min"/>
        <cfvo type="percentile" val="50"/>
        <cfvo type="max"/>
        <color rgb="FFF8696B"/>
        <color rgb="FFFFEB84"/>
        <color rgb="FF63BE7B"/>
      </colorScale>
    </cfRule>
  </conditionalFormatting>
  <conditionalFormatting sqref="CM127">
    <cfRule type="colorScale" priority="3224">
      <colorScale>
        <cfvo type="min"/>
        <cfvo type="percentile" val="50"/>
        <cfvo type="max"/>
        <color rgb="FFF8696B"/>
        <color rgb="FFFFEB84"/>
        <color rgb="FF63BE7B"/>
      </colorScale>
    </cfRule>
  </conditionalFormatting>
  <conditionalFormatting sqref="CM127">
    <cfRule type="colorScale" priority="3223">
      <colorScale>
        <cfvo type="min"/>
        <cfvo type="percentile" val="50"/>
        <cfvo type="max"/>
        <color rgb="FF63BE7B"/>
        <color rgb="FFFFEB84"/>
        <color rgb="FFF8696B"/>
      </colorScale>
    </cfRule>
  </conditionalFormatting>
  <conditionalFormatting sqref="CM127">
    <cfRule type="colorScale" priority="3220">
      <colorScale>
        <cfvo type="min"/>
        <cfvo type="max"/>
        <color rgb="FFFCFCFF"/>
        <color rgb="FFF8696B"/>
      </colorScale>
    </cfRule>
    <cfRule type="colorScale" priority="3222">
      <colorScale>
        <cfvo type="min"/>
        <cfvo type="percentile" val="50"/>
        <cfvo type="max"/>
        <color rgb="FF63BE7B"/>
        <color rgb="FFFFEB84"/>
        <color rgb="FFF8696B"/>
      </colorScale>
    </cfRule>
  </conditionalFormatting>
  <conditionalFormatting sqref="CM127">
    <cfRule type="colorScale" priority="3221">
      <colorScale>
        <cfvo type="min"/>
        <cfvo type="max"/>
        <color rgb="FFF8696B"/>
        <color rgb="FFFCFCFF"/>
      </colorScale>
    </cfRule>
  </conditionalFormatting>
  <conditionalFormatting sqref="CK119">
    <cfRule type="colorScale" priority="3219">
      <colorScale>
        <cfvo type="min"/>
        <cfvo type="percentile" val="50"/>
        <cfvo type="max"/>
        <color rgb="FFF8696B"/>
        <color rgb="FFFFEB84"/>
        <color rgb="FF63BE7B"/>
      </colorScale>
    </cfRule>
  </conditionalFormatting>
  <conditionalFormatting sqref="CM119">
    <cfRule type="colorScale" priority="3218">
      <colorScale>
        <cfvo type="min"/>
        <cfvo type="percentile" val="50"/>
        <cfvo type="max"/>
        <color rgb="FFF8696B"/>
        <color rgb="FFFFEB84"/>
        <color rgb="FF63BE7B"/>
      </colorScale>
    </cfRule>
  </conditionalFormatting>
  <conditionalFormatting sqref="CE125">
    <cfRule type="colorScale" priority="3217">
      <colorScale>
        <cfvo type="min"/>
        <cfvo type="percentile" val="50"/>
        <cfvo type="max"/>
        <color rgb="FFF8696B"/>
        <color rgb="FFFFEB84"/>
        <color rgb="FF63BE7B"/>
      </colorScale>
    </cfRule>
  </conditionalFormatting>
  <conditionalFormatting sqref="CG125">
    <cfRule type="colorScale" priority="3216">
      <colorScale>
        <cfvo type="min"/>
        <cfvo type="percentile" val="50"/>
        <cfvo type="max"/>
        <color rgb="FFF8696B"/>
        <color rgb="FFFFEB84"/>
        <color rgb="FF63BE7B"/>
      </colorScale>
    </cfRule>
  </conditionalFormatting>
  <conditionalFormatting sqref="CK125">
    <cfRule type="colorScale" priority="3215">
      <colorScale>
        <cfvo type="min"/>
        <cfvo type="percentile" val="50"/>
        <cfvo type="max"/>
        <color rgb="FFF8696B"/>
        <color rgb="FFFFEB84"/>
        <color rgb="FF63BE7B"/>
      </colorScale>
    </cfRule>
  </conditionalFormatting>
  <conditionalFormatting sqref="CM125">
    <cfRule type="colorScale" priority="3214">
      <colorScale>
        <cfvo type="min"/>
        <cfvo type="percentile" val="50"/>
        <cfvo type="max"/>
        <color rgb="FFF8696B"/>
        <color rgb="FFFFEB84"/>
        <color rgb="FF63BE7B"/>
      </colorScale>
    </cfRule>
  </conditionalFormatting>
  <conditionalFormatting sqref="CE125 CE104 CG104 CM119 CK119 CG125 CM125 CK125 CI127 CK127 CM127">
    <cfRule type="colorScale" priority="3213">
      <colorScale>
        <cfvo type="min"/>
        <cfvo type="max"/>
        <color rgb="FFFCFCFF"/>
        <color rgb="FFF8696B"/>
      </colorScale>
    </cfRule>
  </conditionalFormatting>
  <conditionalFormatting sqref="CO114 CO125 CO109 CO119">
    <cfRule type="colorScale" priority="3212">
      <colorScale>
        <cfvo type="min"/>
        <cfvo type="percentile" val="50"/>
        <cfvo type="max"/>
        <color rgb="FFF8696B"/>
        <color rgb="FFFFEB84"/>
        <color rgb="FF63BE7B"/>
      </colorScale>
    </cfRule>
  </conditionalFormatting>
  <conditionalFormatting sqref="CO119">
    <cfRule type="colorScale" priority="3211">
      <colorScale>
        <cfvo type="min"/>
        <cfvo type="percentile" val="50"/>
        <cfvo type="max"/>
        <color rgb="FFF8696B"/>
        <color rgb="FFFFEB84"/>
        <color rgb="FF63BE7B"/>
      </colorScale>
    </cfRule>
  </conditionalFormatting>
  <conditionalFormatting sqref="CO125 CO109 CO114 CO119">
    <cfRule type="colorScale" priority="3210">
      <colorScale>
        <cfvo type="min"/>
        <cfvo type="percentile" val="50"/>
        <cfvo type="max"/>
        <color rgb="FF63BE7B"/>
        <color rgb="FFFFEB84"/>
        <color rgb="FFF8696B"/>
      </colorScale>
    </cfRule>
  </conditionalFormatting>
  <conditionalFormatting sqref="CO125 CO109 CO114 CO119">
    <cfRule type="colorScale" priority="3207">
      <colorScale>
        <cfvo type="min"/>
        <cfvo type="max"/>
        <color rgb="FFFCFCFF"/>
        <color rgb="FFF8696B"/>
      </colorScale>
    </cfRule>
    <cfRule type="colorScale" priority="3209">
      <colorScale>
        <cfvo type="min"/>
        <cfvo type="percentile" val="50"/>
        <cfvo type="max"/>
        <color rgb="FF63BE7B"/>
        <color rgb="FFFFEB84"/>
        <color rgb="FFF8696B"/>
      </colorScale>
    </cfRule>
  </conditionalFormatting>
  <conditionalFormatting sqref="CO114 CO125 CO109 CO119">
    <cfRule type="colorScale" priority="3208">
      <colorScale>
        <cfvo type="min"/>
        <cfvo type="max"/>
        <color rgb="FFF8696B"/>
        <color rgb="FFFCFCFF"/>
      </colorScale>
    </cfRule>
  </conditionalFormatting>
  <conditionalFormatting sqref="CO127">
    <cfRule type="colorScale" priority="3206">
      <colorScale>
        <cfvo type="min"/>
        <cfvo type="percentile" val="50"/>
        <cfvo type="max"/>
        <color rgb="FFF8696B"/>
        <color rgb="FFFFEB84"/>
        <color rgb="FF63BE7B"/>
      </colorScale>
    </cfRule>
  </conditionalFormatting>
  <conditionalFormatting sqref="CO127">
    <cfRule type="colorScale" priority="3205">
      <colorScale>
        <cfvo type="min"/>
        <cfvo type="percentile" val="50"/>
        <cfvo type="max"/>
        <color rgb="FFF8696B"/>
        <color rgb="FFFFEB84"/>
        <color rgb="FF63BE7B"/>
      </colorScale>
    </cfRule>
  </conditionalFormatting>
  <conditionalFormatting sqref="CO127">
    <cfRule type="colorScale" priority="3204">
      <colorScale>
        <cfvo type="min"/>
        <cfvo type="percentile" val="50"/>
        <cfvo type="max"/>
        <color rgb="FFF8696B"/>
        <color rgb="FFFFEB84"/>
        <color rgb="FF63BE7B"/>
      </colorScale>
    </cfRule>
  </conditionalFormatting>
  <conditionalFormatting sqref="CO127">
    <cfRule type="colorScale" priority="3203">
      <colorScale>
        <cfvo type="min"/>
        <cfvo type="percentile" val="50"/>
        <cfvo type="max"/>
        <color rgb="FF63BE7B"/>
        <color rgb="FFFFEB84"/>
        <color rgb="FFF8696B"/>
      </colorScale>
    </cfRule>
  </conditionalFormatting>
  <conditionalFormatting sqref="CO127">
    <cfRule type="colorScale" priority="3200">
      <colorScale>
        <cfvo type="min"/>
        <cfvo type="max"/>
        <color rgb="FFFCFCFF"/>
        <color rgb="FFF8696B"/>
      </colorScale>
    </cfRule>
    <cfRule type="colorScale" priority="3202">
      <colorScale>
        <cfvo type="min"/>
        <cfvo type="percentile" val="50"/>
        <cfvo type="max"/>
        <color rgb="FF63BE7B"/>
        <color rgb="FFFFEB84"/>
        <color rgb="FFF8696B"/>
      </colorScale>
    </cfRule>
  </conditionalFormatting>
  <conditionalFormatting sqref="CO127">
    <cfRule type="colorScale" priority="3201">
      <colorScale>
        <cfvo type="min"/>
        <cfvo type="max"/>
        <color rgb="FFF8696B"/>
        <color rgb="FFFCFCFF"/>
      </colorScale>
    </cfRule>
  </conditionalFormatting>
  <conditionalFormatting sqref="CO109">
    <cfRule type="colorScale" priority="3199">
      <colorScale>
        <cfvo type="min"/>
        <cfvo type="percentile" val="50"/>
        <cfvo type="max"/>
        <color rgb="FFF8696B"/>
        <color rgb="FFFFEB84"/>
        <color rgb="FF63BE7B"/>
      </colorScale>
    </cfRule>
  </conditionalFormatting>
  <conditionalFormatting sqref="CO114">
    <cfRule type="colorScale" priority="3198">
      <colorScale>
        <cfvo type="min"/>
        <cfvo type="percentile" val="50"/>
        <cfvo type="max"/>
        <color rgb="FFF8696B"/>
        <color rgb="FFFFEB84"/>
        <color rgb="FF63BE7B"/>
      </colorScale>
    </cfRule>
  </conditionalFormatting>
  <conditionalFormatting sqref="CO119">
    <cfRule type="colorScale" priority="3197">
      <colorScale>
        <cfvo type="min"/>
        <cfvo type="percentile" val="50"/>
        <cfvo type="max"/>
        <color rgb="FFF8696B"/>
        <color rgb="FFFFEB84"/>
        <color rgb="FF63BE7B"/>
      </colorScale>
    </cfRule>
  </conditionalFormatting>
  <conditionalFormatting sqref="CO125">
    <cfRule type="colorScale" priority="3196">
      <colorScale>
        <cfvo type="min"/>
        <cfvo type="percentile" val="50"/>
        <cfvo type="max"/>
        <color rgb="FFF8696B"/>
        <color rgb="FFFFEB84"/>
        <color rgb="FF63BE7B"/>
      </colorScale>
    </cfRule>
  </conditionalFormatting>
  <conditionalFormatting sqref="CO114 CO125 CO109 CO119 CO127">
    <cfRule type="colorScale" priority="3195">
      <colorScale>
        <cfvo type="min"/>
        <cfvo type="max"/>
        <color rgb="FFFCFCFF"/>
        <color rgb="FFF8696B"/>
      </colorScale>
    </cfRule>
  </conditionalFormatting>
  <conditionalFormatting sqref="CQ109 CQ125 CQ114 CQ119">
    <cfRule type="colorScale" priority="3194">
      <colorScale>
        <cfvo type="min"/>
        <cfvo type="percentile" val="50"/>
        <cfvo type="max"/>
        <color rgb="FFF8696B"/>
        <color rgb="FFFFEB84"/>
        <color rgb="FF63BE7B"/>
      </colorScale>
    </cfRule>
  </conditionalFormatting>
  <conditionalFormatting sqref="CQ119">
    <cfRule type="colorScale" priority="3193">
      <colorScale>
        <cfvo type="min"/>
        <cfvo type="percentile" val="50"/>
        <cfvo type="max"/>
        <color rgb="FFF8696B"/>
        <color rgb="FFFFEB84"/>
        <color rgb="FF63BE7B"/>
      </colorScale>
    </cfRule>
  </conditionalFormatting>
  <conditionalFormatting sqref="CQ125 CQ109 CQ114 CQ119">
    <cfRule type="colorScale" priority="3192">
      <colorScale>
        <cfvo type="min"/>
        <cfvo type="percentile" val="50"/>
        <cfvo type="max"/>
        <color rgb="FF63BE7B"/>
        <color rgb="FFFFEB84"/>
        <color rgb="FFF8696B"/>
      </colorScale>
    </cfRule>
  </conditionalFormatting>
  <conditionalFormatting sqref="CQ125 CQ109 CQ114 CQ119">
    <cfRule type="colorScale" priority="3189">
      <colorScale>
        <cfvo type="min"/>
        <cfvo type="max"/>
        <color rgb="FFFCFCFF"/>
        <color rgb="FFF8696B"/>
      </colorScale>
    </cfRule>
    <cfRule type="colorScale" priority="3191">
      <colorScale>
        <cfvo type="min"/>
        <cfvo type="percentile" val="50"/>
        <cfvo type="max"/>
        <color rgb="FF63BE7B"/>
        <color rgb="FFFFEB84"/>
        <color rgb="FFF8696B"/>
      </colorScale>
    </cfRule>
  </conditionalFormatting>
  <conditionalFormatting sqref="CQ125 CQ109 CQ114 CQ119">
    <cfRule type="colorScale" priority="3190">
      <colorScale>
        <cfvo type="min"/>
        <cfvo type="max"/>
        <color rgb="FFF8696B"/>
        <color rgb="FFFCFCFF"/>
      </colorScale>
    </cfRule>
  </conditionalFormatting>
  <conditionalFormatting sqref="CQ127">
    <cfRule type="colorScale" priority="3188">
      <colorScale>
        <cfvo type="min"/>
        <cfvo type="percentile" val="50"/>
        <cfvo type="max"/>
        <color rgb="FFF8696B"/>
        <color rgb="FFFFEB84"/>
        <color rgb="FF63BE7B"/>
      </colorScale>
    </cfRule>
  </conditionalFormatting>
  <conditionalFormatting sqref="CQ127">
    <cfRule type="colorScale" priority="3187">
      <colorScale>
        <cfvo type="min"/>
        <cfvo type="percentile" val="50"/>
        <cfvo type="max"/>
        <color rgb="FFF8696B"/>
        <color rgb="FFFFEB84"/>
        <color rgb="FF63BE7B"/>
      </colorScale>
    </cfRule>
  </conditionalFormatting>
  <conditionalFormatting sqref="CQ127">
    <cfRule type="colorScale" priority="3186">
      <colorScale>
        <cfvo type="min"/>
        <cfvo type="percentile" val="50"/>
        <cfvo type="max"/>
        <color rgb="FFF8696B"/>
        <color rgb="FFFFEB84"/>
        <color rgb="FF63BE7B"/>
      </colorScale>
    </cfRule>
  </conditionalFormatting>
  <conditionalFormatting sqref="CQ127">
    <cfRule type="colorScale" priority="3185">
      <colorScale>
        <cfvo type="min"/>
        <cfvo type="percentile" val="50"/>
        <cfvo type="max"/>
        <color rgb="FF63BE7B"/>
        <color rgb="FFFFEB84"/>
        <color rgb="FFF8696B"/>
      </colorScale>
    </cfRule>
  </conditionalFormatting>
  <conditionalFormatting sqref="CQ127">
    <cfRule type="colorScale" priority="3182">
      <colorScale>
        <cfvo type="min"/>
        <cfvo type="max"/>
        <color rgb="FFFCFCFF"/>
        <color rgb="FFF8696B"/>
      </colorScale>
    </cfRule>
    <cfRule type="colorScale" priority="3184">
      <colorScale>
        <cfvo type="min"/>
        <cfvo type="percentile" val="50"/>
        <cfvo type="max"/>
        <color rgb="FF63BE7B"/>
        <color rgb="FFFFEB84"/>
        <color rgb="FFF8696B"/>
      </colorScale>
    </cfRule>
  </conditionalFormatting>
  <conditionalFormatting sqref="CQ127">
    <cfRule type="colorScale" priority="3183">
      <colorScale>
        <cfvo type="min"/>
        <cfvo type="max"/>
        <color rgb="FFF8696B"/>
        <color rgb="FFFCFCFF"/>
      </colorScale>
    </cfRule>
  </conditionalFormatting>
  <conditionalFormatting sqref="CQ109">
    <cfRule type="colorScale" priority="3181">
      <colorScale>
        <cfvo type="min"/>
        <cfvo type="percentile" val="50"/>
        <cfvo type="max"/>
        <color rgb="FFF8696B"/>
        <color rgb="FFFFEB84"/>
        <color rgb="FF63BE7B"/>
      </colorScale>
    </cfRule>
  </conditionalFormatting>
  <conditionalFormatting sqref="CQ114">
    <cfRule type="colorScale" priority="3180">
      <colorScale>
        <cfvo type="min"/>
        <cfvo type="percentile" val="50"/>
        <cfvo type="max"/>
        <color rgb="FFF8696B"/>
        <color rgb="FFFFEB84"/>
        <color rgb="FF63BE7B"/>
      </colorScale>
    </cfRule>
  </conditionalFormatting>
  <conditionalFormatting sqref="CQ119">
    <cfRule type="colorScale" priority="3179">
      <colorScale>
        <cfvo type="min"/>
        <cfvo type="percentile" val="50"/>
        <cfvo type="max"/>
        <color rgb="FFF8696B"/>
        <color rgb="FFFFEB84"/>
        <color rgb="FF63BE7B"/>
      </colorScale>
    </cfRule>
  </conditionalFormatting>
  <conditionalFormatting sqref="CQ125">
    <cfRule type="colorScale" priority="3178">
      <colorScale>
        <cfvo type="min"/>
        <cfvo type="percentile" val="50"/>
        <cfvo type="max"/>
        <color rgb="FFF8696B"/>
        <color rgb="FFFFEB84"/>
        <color rgb="FF63BE7B"/>
      </colorScale>
    </cfRule>
  </conditionalFormatting>
  <conditionalFormatting sqref="CQ109 CQ125 CQ114 CQ119 CQ127">
    <cfRule type="colorScale" priority="3177">
      <colorScale>
        <cfvo type="min"/>
        <cfvo type="max"/>
        <color rgb="FFFCFCFF"/>
        <color rgb="FFF8696B"/>
      </colorScale>
    </cfRule>
  </conditionalFormatting>
  <conditionalFormatting sqref="CK104">
    <cfRule type="colorScale" priority="3176">
      <colorScale>
        <cfvo type="min"/>
        <cfvo type="percentile" val="50"/>
        <cfvo type="max"/>
        <color rgb="FFF8696B"/>
        <color rgb="FFFFEB84"/>
        <color rgb="FF63BE7B"/>
      </colorScale>
    </cfRule>
  </conditionalFormatting>
  <conditionalFormatting sqref="CK104">
    <cfRule type="colorScale" priority="3175">
      <colorScale>
        <cfvo type="min"/>
        <cfvo type="percentile" val="50"/>
        <cfvo type="max"/>
        <color rgb="FF63BE7B"/>
        <color rgb="FFFFEB84"/>
        <color rgb="FFF8696B"/>
      </colorScale>
    </cfRule>
  </conditionalFormatting>
  <conditionalFormatting sqref="CK104">
    <cfRule type="colorScale" priority="3172">
      <colorScale>
        <cfvo type="min"/>
        <cfvo type="max"/>
        <color rgb="FFFCFCFF"/>
        <color rgb="FFF8696B"/>
      </colorScale>
    </cfRule>
    <cfRule type="colorScale" priority="3174">
      <colorScale>
        <cfvo type="min"/>
        <cfvo type="percentile" val="50"/>
        <cfvo type="max"/>
        <color rgb="FF63BE7B"/>
        <color rgb="FFFFEB84"/>
        <color rgb="FFF8696B"/>
      </colorScale>
    </cfRule>
  </conditionalFormatting>
  <conditionalFormatting sqref="CK104">
    <cfRule type="colorScale" priority="3173">
      <colorScale>
        <cfvo type="min"/>
        <cfvo type="max"/>
        <color rgb="FFF8696B"/>
        <color rgb="FFFCFCFF"/>
      </colorScale>
    </cfRule>
  </conditionalFormatting>
  <conditionalFormatting sqref="CK104">
    <cfRule type="colorScale" priority="3171">
      <colorScale>
        <cfvo type="min"/>
        <cfvo type="max"/>
        <color rgb="FFFCFCFF"/>
        <color rgb="FFF8696B"/>
      </colorScale>
    </cfRule>
  </conditionalFormatting>
  <conditionalFormatting sqref="CM104">
    <cfRule type="colorScale" priority="3170">
      <colorScale>
        <cfvo type="min"/>
        <cfvo type="percentile" val="50"/>
        <cfvo type="max"/>
        <color rgb="FFF8696B"/>
        <color rgb="FFFFEB84"/>
        <color rgb="FF63BE7B"/>
      </colorScale>
    </cfRule>
  </conditionalFormatting>
  <conditionalFormatting sqref="CM104">
    <cfRule type="colorScale" priority="3169">
      <colorScale>
        <cfvo type="min"/>
        <cfvo type="percentile" val="50"/>
        <cfvo type="max"/>
        <color rgb="FFF8696B"/>
        <color rgb="FFFFEB84"/>
        <color rgb="FF63BE7B"/>
      </colorScale>
    </cfRule>
  </conditionalFormatting>
  <conditionalFormatting sqref="CM104">
    <cfRule type="colorScale" priority="3168">
      <colorScale>
        <cfvo type="min"/>
        <cfvo type="percentile" val="50"/>
        <cfvo type="max"/>
        <color rgb="FF63BE7B"/>
        <color rgb="FFFFEB84"/>
        <color rgb="FFF8696B"/>
      </colorScale>
    </cfRule>
  </conditionalFormatting>
  <conditionalFormatting sqref="CM104">
    <cfRule type="colorScale" priority="3165">
      <colorScale>
        <cfvo type="min"/>
        <cfvo type="max"/>
        <color rgb="FFFCFCFF"/>
        <color rgb="FFF8696B"/>
      </colorScale>
    </cfRule>
    <cfRule type="colorScale" priority="3167">
      <colorScale>
        <cfvo type="min"/>
        <cfvo type="percentile" val="50"/>
        <cfvo type="max"/>
        <color rgb="FF63BE7B"/>
        <color rgb="FFFFEB84"/>
        <color rgb="FFF8696B"/>
      </colorScale>
    </cfRule>
  </conditionalFormatting>
  <conditionalFormatting sqref="CM104">
    <cfRule type="colorScale" priority="3166">
      <colorScale>
        <cfvo type="min"/>
        <cfvo type="max"/>
        <color rgb="FFF8696B"/>
        <color rgb="FFFCFCFF"/>
      </colorScale>
    </cfRule>
  </conditionalFormatting>
  <conditionalFormatting sqref="CM104">
    <cfRule type="colorScale" priority="3164">
      <colorScale>
        <cfvo type="min"/>
        <cfvo type="max"/>
        <color rgb="FFFCFCFF"/>
        <color rgb="FFF8696B"/>
      </colorScale>
    </cfRule>
  </conditionalFormatting>
  <conditionalFormatting sqref="CO104">
    <cfRule type="colorScale" priority="3163">
      <colorScale>
        <cfvo type="min"/>
        <cfvo type="percentile" val="50"/>
        <cfvo type="max"/>
        <color rgb="FFF8696B"/>
        <color rgb="FFFFEB84"/>
        <color rgb="FF63BE7B"/>
      </colorScale>
    </cfRule>
  </conditionalFormatting>
  <conditionalFormatting sqref="CO104">
    <cfRule type="colorScale" priority="3162">
      <colorScale>
        <cfvo type="min"/>
        <cfvo type="percentile" val="50"/>
        <cfvo type="max"/>
        <color rgb="FFF8696B"/>
        <color rgb="FFFFEB84"/>
        <color rgb="FF63BE7B"/>
      </colorScale>
    </cfRule>
  </conditionalFormatting>
  <conditionalFormatting sqref="CO104">
    <cfRule type="colorScale" priority="3161">
      <colorScale>
        <cfvo type="min"/>
        <cfvo type="percentile" val="50"/>
        <cfvo type="max"/>
        <color rgb="FF63BE7B"/>
        <color rgb="FFFFEB84"/>
        <color rgb="FFF8696B"/>
      </colorScale>
    </cfRule>
  </conditionalFormatting>
  <conditionalFormatting sqref="CO104">
    <cfRule type="colorScale" priority="3158">
      <colorScale>
        <cfvo type="min"/>
        <cfvo type="max"/>
        <color rgb="FFFCFCFF"/>
        <color rgb="FFF8696B"/>
      </colorScale>
    </cfRule>
    <cfRule type="colorScale" priority="3160">
      <colorScale>
        <cfvo type="min"/>
        <cfvo type="percentile" val="50"/>
        <cfvo type="max"/>
        <color rgb="FF63BE7B"/>
        <color rgb="FFFFEB84"/>
        <color rgb="FFF8696B"/>
      </colorScale>
    </cfRule>
  </conditionalFormatting>
  <conditionalFormatting sqref="CO104">
    <cfRule type="colorScale" priority="3159">
      <colorScale>
        <cfvo type="min"/>
        <cfvo type="max"/>
        <color rgb="FFF8696B"/>
        <color rgb="FFFCFCFF"/>
      </colorScale>
    </cfRule>
  </conditionalFormatting>
  <conditionalFormatting sqref="CO104">
    <cfRule type="colorScale" priority="3157">
      <colorScale>
        <cfvo type="min"/>
        <cfvo type="max"/>
        <color rgb="FFFCFCFF"/>
        <color rgb="FFF8696B"/>
      </colorScale>
    </cfRule>
  </conditionalFormatting>
  <conditionalFormatting sqref="CQ104">
    <cfRule type="colorScale" priority="3156">
      <colorScale>
        <cfvo type="min"/>
        <cfvo type="percentile" val="50"/>
        <cfvo type="max"/>
        <color rgb="FFF8696B"/>
        <color rgb="FFFFEB84"/>
        <color rgb="FF63BE7B"/>
      </colorScale>
    </cfRule>
  </conditionalFormatting>
  <conditionalFormatting sqref="CQ104">
    <cfRule type="colorScale" priority="3155">
      <colorScale>
        <cfvo type="min"/>
        <cfvo type="percentile" val="50"/>
        <cfvo type="max"/>
        <color rgb="FFF8696B"/>
        <color rgb="FFFFEB84"/>
        <color rgb="FF63BE7B"/>
      </colorScale>
    </cfRule>
  </conditionalFormatting>
  <conditionalFormatting sqref="CQ104">
    <cfRule type="colorScale" priority="3154">
      <colorScale>
        <cfvo type="min"/>
        <cfvo type="percentile" val="50"/>
        <cfvo type="max"/>
        <color rgb="FF63BE7B"/>
        <color rgb="FFFFEB84"/>
        <color rgb="FFF8696B"/>
      </colorScale>
    </cfRule>
  </conditionalFormatting>
  <conditionalFormatting sqref="CQ104">
    <cfRule type="colorScale" priority="3151">
      <colorScale>
        <cfvo type="min"/>
        <cfvo type="max"/>
        <color rgb="FFFCFCFF"/>
        <color rgb="FFF8696B"/>
      </colorScale>
    </cfRule>
    <cfRule type="colorScale" priority="3153">
      <colorScale>
        <cfvo type="min"/>
        <cfvo type="percentile" val="50"/>
        <cfvo type="max"/>
        <color rgb="FF63BE7B"/>
        <color rgb="FFFFEB84"/>
        <color rgb="FFF8696B"/>
      </colorScale>
    </cfRule>
  </conditionalFormatting>
  <conditionalFormatting sqref="CQ104">
    <cfRule type="colorScale" priority="3152">
      <colorScale>
        <cfvo type="min"/>
        <cfvo type="max"/>
        <color rgb="FFF8696B"/>
        <color rgb="FFFCFCFF"/>
      </colorScale>
    </cfRule>
  </conditionalFormatting>
  <conditionalFormatting sqref="CQ104">
    <cfRule type="colorScale" priority="3150">
      <colorScale>
        <cfvo type="min"/>
        <cfvo type="max"/>
        <color rgb="FFFCFCFF"/>
        <color rgb="FFF8696B"/>
      </colorScale>
    </cfRule>
  </conditionalFormatting>
  <conditionalFormatting sqref="CE99 CG99 CI99 CK99 CM99">
    <cfRule type="colorScale" priority="3149">
      <colorScale>
        <cfvo type="min"/>
        <cfvo type="percentile" val="50"/>
        <cfvo type="max"/>
        <color rgb="FFF8696B"/>
        <color rgb="FFFFEB84"/>
        <color rgb="FF63BE7B"/>
      </colorScale>
    </cfRule>
  </conditionalFormatting>
  <conditionalFormatting sqref="CE99">
    <cfRule type="colorScale" priority="3148">
      <colorScale>
        <cfvo type="min"/>
        <cfvo type="percentile" val="50"/>
        <cfvo type="max"/>
        <color rgb="FFF8696B"/>
        <color rgb="FFFFEB84"/>
        <color rgb="FF63BE7B"/>
      </colorScale>
    </cfRule>
  </conditionalFormatting>
  <conditionalFormatting sqref="CE99 CG99 CI99 CK99 CM99">
    <cfRule type="colorScale" priority="3147">
      <colorScale>
        <cfvo type="min"/>
        <cfvo type="percentile" val="50"/>
        <cfvo type="max"/>
        <color rgb="FF63BE7B"/>
        <color rgb="FFFFEB84"/>
        <color rgb="FFF8696B"/>
      </colorScale>
    </cfRule>
  </conditionalFormatting>
  <conditionalFormatting sqref="CE99 CG99 CI99 CK99 CM99">
    <cfRule type="colorScale" priority="3144">
      <colorScale>
        <cfvo type="min"/>
        <cfvo type="max"/>
        <color rgb="FFFCFCFF"/>
        <color rgb="FFF8696B"/>
      </colorScale>
    </cfRule>
    <cfRule type="colorScale" priority="3146">
      <colorScale>
        <cfvo type="min"/>
        <cfvo type="percentile" val="50"/>
        <cfvo type="max"/>
        <color rgb="FF63BE7B"/>
        <color rgb="FFFFEB84"/>
        <color rgb="FFF8696B"/>
      </colorScale>
    </cfRule>
  </conditionalFormatting>
  <conditionalFormatting sqref="CE99 CG99 CI99 CK99 CM99">
    <cfRule type="colorScale" priority="3145">
      <colorScale>
        <cfvo type="min"/>
        <cfvo type="max"/>
        <color rgb="FFF8696B"/>
        <color rgb="FFFCFCFF"/>
      </colorScale>
    </cfRule>
  </conditionalFormatting>
  <conditionalFormatting sqref="CG99 CE99 CI99 CK99 CM99">
    <cfRule type="colorScale" priority="3143">
      <colorScale>
        <cfvo type="min"/>
        <cfvo type="max"/>
        <color rgb="FFFCFCFF"/>
        <color rgb="FFF8696B"/>
      </colorScale>
    </cfRule>
  </conditionalFormatting>
  <conditionalFormatting sqref="CO99">
    <cfRule type="colorScale" priority="3142">
      <colorScale>
        <cfvo type="min"/>
        <cfvo type="percentile" val="50"/>
        <cfvo type="max"/>
        <color rgb="FFF8696B"/>
        <color rgb="FFFFEB84"/>
        <color rgb="FF63BE7B"/>
      </colorScale>
    </cfRule>
  </conditionalFormatting>
  <conditionalFormatting sqref="CO99">
    <cfRule type="colorScale" priority="3141">
      <colorScale>
        <cfvo type="min"/>
        <cfvo type="percentile" val="50"/>
        <cfvo type="max"/>
        <color rgb="FFF8696B"/>
        <color rgb="FFFFEB84"/>
        <color rgb="FF63BE7B"/>
      </colorScale>
    </cfRule>
  </conditionalFormatting>
  <conditionalFormatting sqref="CO99">
    <cfRule type="colorScale" priority="3140">
      <colorScale>
        <cfvo type="min"/>
        <cfvo type="percentile" val="50"/>
        <cfvo type="max"/>
        <color rgb="FF63BE7B"/>
        <color rgb="FFFFEB84"/>
        <color rgb="FFF8696B"/>
      </colorScale>
    </cfRule>
  </conditionalFormatting>
  <conditionalFormatting sqref="CO99">
    <cfRule type="colorScale" priority="3137">
      <colorScale>
        <cfvo type="min"/>
        <cfvo type="max"/>
        <color rgb="FFFCFCFF"/>
        <color rgb="FFF8696B"/>
      </colorScale>
    </cfRule>
    <cfRule type="colorScale" priority="3139">
      <colorScale>
        <cfvo type="min"/>
        <cfvo type="percentile" val="50"/>
        <cfvo type="max"/>
        <color rgb="FF63BE7B"/>
        <color rgb="FFFFEB84"/>
        <color rgb="FFF8696B"/>
      </colorScale>
    </cfRule>
  </conditionalFormatting>
  <conditionalFormatting sqref="CO99">
    <cfRule type="colorScale" priority="3138">
      <colorScale>
        <cfvo type="min"/>
        <cfvo type="max"/>
        <color rgb="FFF8696B"/>
        <color rgb="FFFCFCFF"/>
      </colorScale>
    </cfRule>
  </conditionalFormatting>
  <conditionalFormatting sqref="CO99">
    <cfRule type="colorScale" priority="3136">
      <colorScale>
        <cfvo type="min"/>
        <cfvo type="max"/>
        <color rgb="FFFCFCFF"/>
        <color rgb="FFF8696B"/>
      </colorScale>
    </cfRule>
  </conditionalFormatting>
  <conditionalFormatting sqref="CQ99">
    <cfRule type="colorScale" priority="3135">
      <colorScale>
        <cfvo type="min"/>
        <cfvo type="percentile" val="50"/>
        <cfvo type="max"/>
        <color rgb="FFF8696B"/>
        <color rgb="FFFFEB84"/>
        <color rgb="FF63BE7B"/>
      </colorScale>
    </cfRule>
  </conditionalFormatting>
  <conditionalFormatting sqref="CQ99">
    <cfRule type="colorScale" priority="3134">
      <colorScale>
        <cfvo type="min"/>
        <cfvo type="percentile" val="50"/>
        <cfvo type="max"/>
        <color rgb="FFF8696B"/>
        <color rgb="FFFFEB84"/>
        <color rgb="FF63BE7B"/>
      </colorScale>
    </cfRule>
  </conditionalFormatting>
  <conditionalFormatting sqref="CQ99">
    <cfRule type="colorScale" priority="3133">
      <colorScale>
        <cfvo type="min"/>
        <cfvo type="percentile" val="50"/>
        <cfvo type="max"/>
        <color rgb="FF63BE7B"/>
        <color rgb="FFFFEB84"/>
        <color rgb="FFF8696B"/>
      </colorScale>
    </cfRule>
  </conditionalFormatting>
  <conditionalFormatting sqref="CQ99">
    <cfRule type="colorScale" priority="3130">
      <colorScale>
        <cfvo type="min"/>
        <cfvo type="max"/>
        <color rgb="FFFCFCFF"/>
        <color rgb="FFF8696B"/>
      </colorScale>
    </cfRule>
    <cfRule type="colorScale" priority="3132">
      <colorScale>
        <cfvo type="min"/>
        <cfvo type="percentile" val="50"/>
        <cfvo type="max"/>
        <color rgb="FF63BE7B"/>
        <color rgb="FFFFEB84"/>
        <color rgb="FFF8696B"/>
      </colorScale>
    </cfRule>
  </conditionalFormatting>
  <conditionalFormatting sqref="CQ99">
    <cfRule type="colorScale" priority="3131">
      <colorScale>
        <cfvo type="min"/>
        <cfvo type="max"/>
        <color rgb="FFF8696B"/>
        <color rgb="FFFCFCFF"/>
      </colorScale>
    </cfRule>
  </conditionalFormatting>
  <conditionalFormatting sqref="CQ99">
    <cfRule type="colorScale" priority="3129">
      <colorScale>
        <cfvo type="min"/>
        <cfvo type="max"/>
        <color rgb="FFFCFCFF"/>
        <color rgb="FFF8696B"/>
      </colorScale>
    </cfRule>
  </conditionalFormatting>
  <conditionalFormatting sqref="CE110">
    <cfRule type="colorScale" priority="3128">
      <colorScale>
        <cfvo type="min"/>
        <cfvo type="percentile" val="50"/>
        <cfvo type="max"/>
        <color rgb="FFF8696B"/>
        <color rgb="FFFFEB84"/>
        <color rgb="FF63BE7B"/>
      </colorScale>
    </cfRule>
  </conditionalFormatting>
  <conditionalFormatting sqref="CE110">
    <cfRule type="colorScale" priority="3127">
      <colorScale>
        <cfvo type="min"/>
        <cfvo type="percentile" val="50"/>
        <cfvo type="max"/>
        <color rgb="FF63BE7B"/>
        <color rgb="FFFFEB84"/>
        <color rgb="FFF8696B"/>
      </colorScale>
    </cfRule>
  </conditionalFormatting>
  <conditionalFormatting sqref="CE110">
    <cfRule type="colorScale" priority="3124">
      <colorScale>
        <cfvo type="min"/>
        <cfvo type="max"/>
        <color rgb="FFFCFCFF"/>
        <color rgb="FFF8696B"/>
      </colorScale>
    </cfRule>
    <cfRule type="colorScale" priority="3126">
      <colorScale>
        <cfvo type="min"/>
        <cfvo type="percentile" val="50"/>
        <cfvo type="max"/>
        <color rgb="FF63BE7B"/>
        <color rgb="FFFFEB84"/>
        <color rgb="FFF8696B"/>
      </colorScale>
    </cfRule>
  </conditionalFormatting>
  <conditionalFormatting sqref="CE110">
    <cfRule type="colorScale" priority="3125">
      <colorScale>
        <cfvo type="min"/>
        <cfvo type="max"/>
        <color rgb="FFF8696B"/>
        <color rgb="FFFCFCFF"/>
      </colorScale>
    </cfRule>
  </conditionalFormatting>
  <conditionalFormatting sqref="CE110">
    <cfRule type="colorScale" priority="3123">
      <colorScale>
        <cfvo type="min"/>
        <cfvo type="percentile" val="50"/>
        <cfvo type="max"/>
        <color rgb="FFF8696B"/>
        <color rgb="FFFFEB84"/>
        <color rgb="FF63BE7B"/>
      </colorScale>
    </cfRule>
  </conditionalFormatting>
  <conditionalFormatting sqref="CE110">
    <cfRule type="colorScale" priority="3122">
      <colorScale>
        <cfvo type="min"/>
        <cfvo type="max"/>
        <color rgb="FFFCFCFF"/>
        <color rgb="FFF8696B"/>
      </colorScale>
    </cfRule>
  </conditionalFormatting>
  <conditionalFormatting sqref="CG110">
    <cfRule type="colorScale" priority="3121">
      <colorScale>
        <cfvo type="min"/>
        <cfvo type="percentile" val="50"/>
        <cfvo type="max"/>
        <color rgb="FFF8696B"/>
        <color rgb="FFFFEB84"/>
        <color rgb="FF63BE7B"/>
      </colorScale>
    </cfRule>
  </conditionalFormatting>
  <conditionalFormatting sqref="CG110">
    <cfRule type="colorScale" priority="3120">
      <colorScale>
        <cfvo type="min"/>
        <cfvo type="percentile" val="50"/>
        <cfvo type="max"/>
        <color rgb="FF63BE7B"/>
        <color rgb="FFFFEB84"/>
        <color rgb="FFF8696B"/>
      </colorScale>
    </cfRule>
  </conditionalFormatting>
  <conditionalFormatting sqref="CG110">
    <cfRule type="colorScale" priority="3117">
      <colorScale>
        <cfvo type="min"/>
        <cfvo type="max"/>
        <color rgb="FFFCFCFF"/>
        <color rgb="FFF8696B"/>
      </colorScale>
    </cfRule>
    <cfRule type="colorScale" priority="3119">
      <colorScale>
        <cfvo type="min"/>
        <cfvo type="percentile" val="50"/>
        <cfvo type="max"/>
        <color rgb="FF63BE7B"/>
        <color rgb="FFFFEB84"/>
        <color rgb="FFF8696B"/>
      </colorScale>
    </cfRule>
  </conditionalFormatting>
  <conditionalFormatting sqref="CG110">
    <cfRule type="colorScale" priority="3118">
      <colorScale>
        <cfvo type="min"/>
        <cfvo type="max"/>
        <color rgb="FFF8696B"/>
        <color rgb="FFFCFCFF"/>
      </colorScale>
    </cfRule>
  </conditionalFormatting>
  <conditionalFormatting sqref="CG110">
    <cfRule type="colorScale" priority="3116">
      <colorScale>
        <cfvo type="min"/>
        <cfvo type="percentile" val="50"/>
        <cfvo type="max"/>
        <color rgb="FFF8696B"/>
        <color rgb="FFFFEB84"/>
        <color rgb="FF63BE7B"/>
      </colorScale>
    </cfRule>
  </conditionalFormatting>
  <conditionalFormatting sqref="CG110">
    <cfRule type="colorScale" priority="3115">
      <colorScale>
        <cfvo type="min"/>
        <cfvo type="max"/>
        <color rgb="FFFCFCFF"/>
        <color rgb="FFF8696B"/>
      </colorScale>
    </cfRule>
  </conditionalFormatting>
  <conditionalFormatting sqref="CI110">
    <cfRule type="colorScale" priority="3114">
      <colorScale>
        <cfvo type="min"/>
        <cfvo type="percentile" val="50"/>
        <cfvo type="max"/>
        <color rgb="FFF8696B"/>
        <color rgb="FFFFEB84"/>
        <color rgb="FF63BE7B"/>
      </colorScale>
    </cfRule>
  </conditionalFormatting>
  <conditionalFormatting sqref="CI110">
    <cfRule type="colorScale" priority="3113">
      <colorScale>
        <cfvo type="min"/>
        <cfvo type="percentile" val="50"/>
        <cfvo type="max"/>
        <color rgb="FF63BE7B"/>
        <color rgb="FFFFEB84"/>
        <color rgb="FFF8696B"/>
      </colorScale>
    </cfRule>
  </conditionalFormatting>
  <conditionalFormatting sqref="CI110">
    <cfRule type="colorScale" priority="3110">
      <colorScale>
        <cfvo type="min"/>
        <cfvo type="max"/>
        <color rgb="FFFCFCFF"/>
        <color rgb="FFF8696B"/>
      </colorScale>
    </cfRule>
    <cfRule type="colorScale" priority="3112">
      <colorScale>
        <cfvo type="min"/>
        <cfvo type="percentile" val="50"/>
        <cfvo type="max"/>
        <color rgb="FF63BE7B"/>
        <color rgb="FFFFEB84"/>
        <color rgb="FFF8696B"/>
      </colorScale>
    </cfRule>
  </conditionalFormatting>
  <conditionalFormatting sqref="CI110">
    <cfRule type="colorScale" priority="3111">
      <colorScale>
        <cfvo type="min"/>
        <cfvo type="max"/>
        <color rgb="FFF8696B"/>
        <color rgb="FFFCFCFF"/>
      </colorScale>
    </cfRule>
  </conditionalFormatting>
  <conditionalFormatting sqref="CI110">
    <cfRule type="colorScale" priority="3109">
      <colorScale>
        <cfvo type="min"/>
        <cfvo type="percentile" val="50"/>
        <cfvo type="max"/>
        <color rgb="FFF8696B"/>
        <color rgb="FFFFEB84"/>
        <color rgb="FF63BE7B"/>
      </colorScale>
    </cfRule>
  </conditionalFormatting>
  <conditionalFormatting sqref="CI110">
    <cfRule type="colorScale" priority="3108">
      <colorScale>
        <cfvo type="min"/>
        <cfvo type="max"/>
        <color rgb="FFFCFCFF"/>
        <color rgb="FFF8696B"/>
      </colorScale>
    </cfRule>
  </conditionalFormatting>
  <conditionalFormatting sqref="CK110">
    <cfRule type="colorScale" priority="3107">
      <colorScale>
        <cfvo type="min"/>
        <cfvo type="percentile" val="50"/>
        <cfvo type="max"/>
        <color rgb="FFF8696B"/>
        <color rgb="FFFFEB84"/>
        <color rgb="FF63BE7B"/>
      </colorScale>
    </cfRule>
  </conditionalFormatting>
  <conditionalFormatting sqref="CK110">
    <cfRule type="colorScale" priority="3106">
      <colorScale>
        <cfvo type="min"/>
        <cfvo type="percentile" val="50"/>
        <cfvo type="max"/>
        <color rgb="FF63BE7B"/>
        <color rgb="FFFFEB84"/>
        <color rgb="FFF8696B"/>
      </colorScale>
    </cfRule>
  </conditionalFormatting>
  <conditionalFormatting sqref="CK110">
    <cfRule type="colorScale" priority="3103">
      <colorScale>
        <cfvo type="min"/>
        <cfvo type="max"/>
        <color rgb="FFFCFCFF"/>
        <color rgb="FFF8696B"/>
      </colorScale>
    </cfRule>
    <cfRule type="colorScale" priority="3105">
      <colorScale>
        <cfvo type="min"/>
        <cfvo type="percentile" val="50"/>
        <cfvo type="max"/>
        <color rgb="FF63BE7B"/>
        <color rgb="FFFFEB84"/>
        <color rgb="FFF8696B"/>
      </colorScale>
    </cfRule>
  </conditionalFormatting>
  <conditionalFormatting sqref="CK110">
    <cfRule type="colorScale" priority="3104">
      <colorScale>
        <cfvo type="min"/>
        <cfvo type="max"/>
        <color rgb="FFF8696B"/>
        <color rgb="FFFCFCFF"/>
      </colorScale>
    </cfRule>
  </conditionalFormatting>
  <conditionalFormatting sqref="CK110">
    <cfRule type="colorScale" priority="3102">
      <colorScale>
        <cfvo type="min"/>
        <cfvo type="percentile" val="50"/>
        <cfvo type="max"/>
        <color rgb="FFF8696B"/>
        <color rgb="FFFFEB84"/>
        <color rgb="FF63BE7B"/>
      </colorScale>
    </cfRule>
  </conditionalFormatting>
  <conditionalFormatting sqref="CK110">
    <cfRule type="colorScale" priority="3101">
      <colorScale>
        <cfvo type="min"/>
        <cfvo type="max"/>
        <color rgb="FFFCFCFF"/>
        <color rgb="FFF8696B"/>
      </colorScale>
    </cfRule>
  </conditionalFormatting>
  <conditionalFormatting sqref="CE125 CE99 CG99 CI99:CI104 CK99 CM99 CO99 CQ99 CQ104 CO104 CM104 CK104 CE110:CE119 CG110:CG119 CI110:CI114 CK110:CK114 CK119 CM119 CO119 CO114 CO109 CQ109 CQ114 CQ119 CG125 CI127 CK125 CK127 CM125 CM127 CO125 CO127 CQ125 CQ127">
    <cfRule type="colorScale" priority="3100">
      <colorScale>
        <cfvo type="min"/>
        <cfvo type="max"/>
        <color rgb="FFFCFCFF"/>
        <color rgb="FFF8696B"/>
      </colorScale>
    </cfRule>
  </conditionalFormatting>
  <conditionalFormatting sqref="CE142 CE168 CG142 CI142 CK142 CK162 CM162 CG168 CI168 CK168 CM168">
    <cfRule type="colorScale" priority="3099">
      <colorScale>
        <cfvo type="min"/>
        <cfvo type="percentile" val="50"/>
        <cfvo type="max"/>
        <color rgb="FFF8696B"/>
        <color rgb="FFFFEB84"/>
        <color rgb="FF63BE7B"/>
      </colorScale>
    </cfRule>
  </conditionalFormatting>
  <conditionalFormatting sqref="CM162">
    <cfRule type="colorScale" priority="3098">
      <colorScale>
        <cfvo type="min"/>
        <cfvo type="percentile" val="50"/>
        <cfvo type="max"/>
        <color rgb="FFF8696B"/>
        <color rgb="FFFFEB84"/>
        <color rgb="FF63BE7B"/>
      </colorScale>
    </cfRule>
  </conditionalFormatting>
  <conditionalFormatting sqref="CE142 CG142 CI142 CK142">
    <cfRule type="colorScale" priority="3097">
      <colorScale>
        <cfvo type="min"/>
        <cfvo type="percentile" val="50"/>
        <cfvo type="max"/>
        <color rgb="FFF8696B"/>
        <color rgb="FFFFEB84"/>
        <color rgb="FF63BE7B"/>
      </colorScale>
    </cfRule>
  </conditionalFormatting>
  <conditionalFormatting sqref="CE142 CE168 CG142 CI142 CK142 CK162 CM162 CG168 CI168 CK168 CM168">
    <cfRule type="colorScale" priority="3096">
      <colorScale>
        <cfvo type="min"/>
        <cfvo type="percentile" val="50"/>
        <cfvo type="max"/>
        <color rgb="FF63BE7B"/>
        <color rgb="FFFFEB84"/>
        <color rgb="FFF8696B"/>
      </colorScale>
    </cfRule>
  </conditionalFormatting>
  <conditionalFormatting sqref="CE168 CE142 CG142 CI142 CK142 CK162 CM162 CG168 CI168 CK168 CM168">
    <cfRule type="colorScale" priority="3093">
      <colorScale>
        <cfvo type="min"/>
        <cfvo type="max"/>
        <color rgb="FFFCFCFF"/>
        <color rgb="FFF8696B"/>
      </colorScale>
    </cfRule>
    <cfRule type="colorScale" priority="3095">
      <colorScale>
        <cfvo type="min"/>
        <cfvo type="percentile" val="50"/>
        <cfvo type="max"/>
        <color rgb="FF63BE7B"/>
        <color rgb="FFFFEB84"/>
        <color rgb="FFF8696B"/>
      </colorScale>
    </cfRule>
  </conditionalFormatting>
  <conditionalFormatting sqref="CE142 CE168 CG142 CI142 CK142 CK162 CM162 CG168 CI168 CK168 CM168">
    <cfRule type="colorScale" priority="3094">
      <colorScale>
        <cfvo type="min"/>
        <cfvo type="max"/>
        <color rgb="FFF8696B"/>
        <color rgb="FFFCFCFF"/>
      </colorScale>
    </cfRule>
  </conditionalFormatting>
  <conditionalFormatting sqref="CI170">
    <cfRule type="colorScale" priority="3092">
      <colorScale>
        <cfvo type="min"/>
        <cfvo type="percentile" val="50"/>
        <cfvo type="max"/>
        <color rgb="FFF8696B"/>
        <color rgb="FFFFEB84"/>
        <color rgb="FF63BE7B"/>
      </colorScale>
    </cfRule>
  </conditionalFormatting>
  <conditionalFormatting sqref="CI170">
    <cfRule type="colorScale" priority="3091">
      <colorScale>
        <cfvo type="min"/>
        <cfvo type="percentile" val="50"/>
        <cfvo type="max"/>
        <color rgb="FFF8696B"/>
        <color rgb="FFFFEB84"/>
        <color rgb="FF63BE7B"/>
      </colorScale>
    </cfRule>
  </conditionalFormatting>
  <conditionalFormatting sqref="CI170">
    <cfRule type="colorScale" priority="3090">
      <colorScale>
        <cfvo type="min"/>
        <cfvo type="percentile" val="50"/>
        <cfvo type="max"/>
        <color rgb="FFF8696B"/>
        <color rgb="FFFFEB84"/>
        <color rgb="FF63BE7B"/>
      </colorScale>
    </cfRule>
  </conditionalFormatting>
  <conditionalFormatting sqref="CI170">
    <cfRule type="colorScale" priority="3089">
      <colorScale>
        <cfvo type="min"/>
        <cfvo type="percentile" val="50"/>
        <cfvo type="max"/>
        <color rgb="FF63BE7B"/>
        <color rgb="FFFFEB84"/>
        <color rgb="FFF8696B"/>
      </colorScale>
    </cfRule>
  </conditionalFormatting>
  <conditionalFormatting sqref="CI170">
    <cfRule type="colorScale" priority="3086">
      <colorScale>
        <cfvo type="min"/>
        <cfvo type="max"/>
        <color rgb="FFFCFCFF"/>
        <color rgb="FFF8696B"/>
      </colorScale>
    </cfRule>
    <cfRule type="colorScale" priority="3088">
      <colorScale>
        <cfvo type="min"/>
        <cfvo type="percentile" val="50"/>
        <cfvo type="max"/>
        <color rgb="FF63BE7B"/>
        <color rgb="FFFFEB84"/>
        <color rgb="FFF8696B"/>
      </colorScale>
    </cfRule>
  </conditionalFormatting>
  <conditionalFormatting sqref="CI170">
    <cfRule type="colorScale" priority="3087">
      <colorScale>
        <cfvo type="min"/>
        <cfvo type="max"/>
        <color rgb="FFF8696B"/>
        <color rgb="FFFCFCFF"/>
      </colorScale>
    </cfRule>
  </conditionalFormatting>
  <conditionalFormatting sqref="CK170">
    <cfRule type="colorScale" priority="3085">
      <colorScale>
        <cfvo type="min"/>
        <cfvo type="percentile" val="50"/>
        <cfvo type="max"/>
        <color rgb="FFF8696B"/>
        <color rgb="FFFFEB84"/>
        <color rgb="FF63BE7B"/>
      </colorScale>
    </cfRule>
  </conditionalFormatting>
  <conditionalFormatting sqref="CK170">
    <cfRule type="colorScale" priority="3084">
      <colorScale>
        <cfvo type="min"/>
        <cfvo type="percentile" val="50"/>
        <cfvo type="max"/>
        <color rgb="FFF8696B"/>
        <color rgb="FFFFEB84"/>
        <color rgb="FF63BE7B"/>
      </colorScale>
    </cfRule>
  </conditionalFormatting>
  <conditionalFormatting sqref="CK170">
    <cfRule type="colorScale" priority="3083">
      <colorScale>
        <cfvo type="min"/>
        <cfvo type="percentile" val="50"/>
        <cfvo type="max"/>
        <color rgb="FFF8696B"/>
        <color rgb="FFFFEB84"/>
        <color rgb="FF63BE7B"/>
      </colorScale>
    </cfRule>
  </conditionalFormatting>
  <conditionalFormatting sqref="CK170">
    <cfRule type="colorScale" priority="3082">
      <colorScale>
        <cfvo type="min"/>
        <cfvo type="percentile" val="50"/>
        <cfvo type="max"/>
        <color rgb="FF63BE7B"/>
        <color rgb="FFFFEB84"/>
        <color rgb="FFF8696B"/>
      </colorScale>
    </cfRule>
  </conditionalFormatting>
  <conditionalFormatting sqref="CK170">
    <cfRule type="colorScale" priority="3079">
      <colorScale>
        <cfvo type="min"/>
        <cfvo type="max"/>
        <color rgb="FFFCFCFF"/>
        <color rgb="FFF8696B"/>
      </colorScale>
    </cfRule>
    <cfRule type="colorScale" priority="3081">
      <colorScale>
        <cfvo type="min"/>
        <cfvo type="percentile" val="50"/>
        <cfvo type="max"/>
        <color rgb="FF63BE7B"/>
        <color rgb="FFFFEB84"/>
        <color rgb="FFF8696B"/>
      </colorScale>
    </cfRule>
  </conditionalFormatting>
  <conditionalFormatting sqref="CK170">
    <cfRule type="colorScale" priority="3080">
      <colorScale>
        <cfvo type="min"/>
        <cfvo type="max"/>
        <color rgb="FFF8696B"/>
        <color rgb="FFFCFCFF"/>
      </colorScale>
    </cfRule>
  </conditionalFormatting>
  <conditionalFormatting sqref="CM170">
    <cfRule type="colorScale" priority="3078">
      <colorScale>
        <cfvo type="min"/>
        <cfvo type="percentile" val="50"/>
        <cfvo type="max"/>
        <color rgb="FFF8696B"/>
        <color rgb="FFFFEB84"/>
        <color rgb="FF63BE7B"/>
      </colorScale>
    </cfRule>
  </conditionalFormatting>
  <conditionalFormatting sqref="CM170">
    <cfRule type="colorScale" priority="3077">
      <colorScale>
        <cfvo type="min"/>
        <cfvo type="percentile" val="50"/>
        <cfvo type="max"/>
        <color rgb="FFF8696B"/>
        <color rgb="FFFFEB84"/>
        <color rgb="FF63BE7B"/>
      </colorScale>
    </cfRule>
  </conditionalFormatting>
  <conditionalFormatting sqref="CM170">
    <cfRule type="colorScale" priority="3076">
      <colorScale>
        <cfvo type="min"/>
        <cfvo type="percentile" val="50"/>
        <cfvo type="max"/>
        <color rgb="FFF8696B"/>
        <color rgb="FFFFEB84"/>
        <color rgb="FF63BE7B"/>
      </colorScale>
    </cfRule>
  </conditionalFormatting>
  <conditionalFormatting sqref="CM170">
    <cfRule type="colorScale" priority="3075">
      <colorScale>
        <cfvo type="min"/>
        <cfvo type="percentile" val="50"/>
        <cfvo type="max"/>
        <color rgb="FF63BE7B"/>
        <color rgb="FFFFEB84"/>
        <color rgb="FFF8696B"/>
      </colorScale>
    </cfRule>
  </conditionalFormatting>
  <conditionalFormatting sqref="CM170">
    <cfRule type="colorScale" priority="3072">
      <colorScale>
        <cfvo type="min"/>
        <cfvo type="max"/>
        <color rgb="FFFCFCFF"/>
        <color rgb="FFF8696B"/>
      </colorScale>
    </cfRule>
    <cfRule type="colorScale" priority="3074">
      <colorScale>
        <cfvo type="min"/>
        <cfvo type="percentile" val="50"/>
        <cfvo type="max"/>
        <color rgb="FF63BE7B"/>
        <color rgb="FFFFEB84"/>
        <color rgb="FFF8696B"/>
      </colorScale>
    </cfRule>
  </conditionalFormatting>
  <conditionalFormatting sqref="CM170">
    <cfRule type="colorScale" priority="3073">
      <colorScale>
        <cfvo type="min"/>
        <cfvo type="max"/>
        <color rgb="FFF8696B"/>
        <color rgb="FFFCFCFF"/>
      </colorScale>
    </cfRule>
  </conditionalFormatting>
  <conditionalFormatting sqref="CK162">
    <cfRule type="colorScale" priority="3071">
      <colorScale>
        <cfvo type="min"/>
        <cfvo type="percentile" val="50"/>
        <cfvo type="max"/>
        <color rgb="FFF8696B"/>
        <color rgb="FFFFEB84"/>
        <color rgb="FF63BE7B"/>
      </colorScale>
    </cfRule>
  </conditionalFormatting>
  <conditionalFormatting sqref="CM162">
    <cfRule type="colorScale" priority="3070">
      <colorScale>
        <cfvo type="min"/>
        <cfvo type="percentile" val="50"/>
        <cfvo type="max"/>
        <color rgb="FFF8696B"/>
        <color rgb="FFFFEB84"/>
        <color rgb="FF63BE7B"/>
      </colorScale>
    </cfRule>
  </conditionalFormatting>
  <conditionalFormatting sqref="CE168">
    <cfRule type="colorScale" priority="3069">
      <colorScale>
        <cfvo type="min"/>
        <cfvo type="percentile" val="50"/>
        <cfvo type="max"/>
        <color rgb="FFF8696B"/>
        <color rgb="FFFFEB84"/>
        <color rgb="FF63BE7B"/>
      </colorScale>
    </cfRule>
  </conditionalFormatting>
  <conditionalFormatting sqref="CG168">
    <cfRule type="colorScale" priority="3068">
      <colorScale>
        <cfvo type="min"/>
        <cfvo type="percentile" val="50"/>
        <cfvo type="max"/>
        <color rgb="FFF8696B"/>
        <color rgb="FFFFEB84"/>
        <color rgb="FF63BE7B"/>
      </colorScale>
    </cfRule>
  </conditionalFormatting>
  <conditionalFormatting sqref="CI168">
    <cfRule type="colorScale" priority="3067">
      <colorScale>
        <cfvo type="min"/>
        <cfvo type="percentile" val="50"/>
        <cfvo type="max"/>
        <color rgb="FFF8696B"/>
        <color rgb="FFFFEB84"/>
        <color rgb="FF63BE7B"/>
      </colorScale>
    </cfRule>
  </conditionalFormatting>
  <conditionalFormatting sqref="CK168">
    <cfRule type="colorScale" priority="3066">
      <colorScale>
        <cfvo type="min"/>
        <cfvo type="percentile" val="50"/>
        <cfvo type="max"/>
        <color rgb="FFF8696B"/>
        <color rgb="FFFFEB84"/>
        <color rgb="FF63BE7B"/>
      </colorScale>
    </cfRule>
  </conditionalFormatting>
  <conditionalFormatting sqref="CM168">
    <cfRule type="colorScale" priority="3065">
      <colorScale>
        <cfvo type="min"/>
        <cfvo type="percentile" val="50"/>
        <cfvo type="max"/>
        <color rgb="FFF8696B"/>
        <color rgb="FFFFEB84"/>
        <color rgb="FF63BE7B"/>
      </colorScale>
    </cfRule>
  </conditionalFormatting>
  <conditionalFormatting sqref="CE142 CE168 CG142 CI142 CK142 CG147 CE147 CM162 CK162 CG168 CM168 CK168 CI168 CI170 CK170 CM170">
    <cfRule type="colorScale" priority="3064">
      <colorScale>
        <cfvo type="min"/>
        <cfvo type="max"/>
        <color rgb="FFFCFCFF"/>
        <color rgb="FFF8696B"/>
      </colorScale>
    </cfRule>
  </conditionalFormatting>
  <conditionalFormatting sqref="CO162 CO168">
    <cfRule type="colorScale" priority="3063">
      <colorScale>
        <cfvo type="min"/>
        <cfvo type="percentile" val="50"/>
        <cfvo type="max"/>
        <color rgb="FFF8696B"/>
        <color rgb="FFFFEB84"/>
        <color rgb="FF63BE7B"/>
      </colorScale>
    </cfRule>
  </conditionalFormatting>
  <conditionalFormatting sqref="CO162">
    <cfRule type="colorScale" priority="3062">
      <colorScale>
        <cfvo type="min"/>
        <cfvo type="percentile" val="50"/>
        <cfvo type="max"/>
        <color rgb="FFF8696B"/>
        <color rgb="FFFFEB84"/>
        <color rgb="FF63BE7B"/>
      </colorScale>
    </cfRule>
  </conditionalFormatting>
  <conditionalFormatting sqref="CO162 CO168">
    <cfRule type="colorScale" priority="3061">
      <colorScale>
        <cfvo type="min"/>
        <cfvo type="percentile" val="50"/>
        <cfvo type="max"/>
        <color rgb="FF63BE7B"/>
        <color rgb="FFFFEB84"/>
        <color rgb="FFF8696B"/>
      </colorScale>
    </cfRule>
  </conditionalFormatting>
  <conditionalFormatting sqref="CO168 CO162">
    <cfRule type="colorScale" priority="3058">
      <colorScale>
        <cfvo type="min"/>
        <cfvo type="max"/>
        <color rgb="FFFCFCFF"/>
        <color rgb="FFF8696B"/>
      </colorScale>
    </cfRule>
    <cfRule type="colorScale" priority="3060">
      <colorScale>
        <cfvo type="min"/>
        <cfvo type="percentile" val="50"/>
        <cfvo type="max"/>
        <color rgb="FF63BE7B"/>
        <color rgb="FFFFEB84"/>
        <color rgb="FFF8696B"/>
      </colorScale>
    </cfRule>
  </conditionalFormatting>
  <conditionalFormatting sqref="CO162 CO168">
    <cfRule type="colorScale" priority="3059">
      <colorScale>
        <cfvo type="min"/>
        <cfvo type="max"/>
        <color rgb="FFF8696B"/>
        <color rgb="FFFCFCFF"/>
      </colorScale>
    </cfRule>
  </conditionalFormatting>
  <conditionalFormatting sqref="CO170">
    <cfRule type="colorScale" priority="3057">
      <colorScale>
        <cfvo type="min"/>
        <cfvo type="percentile" val="50"/>
        <cfvo type="max"/>
        <color rgb="FFF8696B"/>
        <color rgb="FFFFEB84"/>
        <color rgb="FF63BE7B"/>
      </colorScale>
    </cfRule>
  </conditionalFormatting>
  <conditionalFormatting sqref="CO170">
    <cfRule type="colorScale" priority="3056">
      <colorScale>
        <cfvo type="min"/>
        <cfvo type="percentile" val="50"/>
        <cfvo type="max"/>
        <color rgb="FFF8696B"/>
        <color rgb="FFFFEB84"/>
        <color rgb="FF63BE7B"/>
      </colorScale>
    </cfRule>
  </conditionalFormatting>
  <conditionalFormatting sqref="CO170">
    <cfRule type="colorScale" priority="3055">
      <colorScale>
        <cfvo type="min"/>
        <cfvo type="percentile" val="50"/>
        <cfvo type="max"/>
        <color rgb="FFF8696B"/>
        <color rgb="FFFFEB84"/>
        <color rgb="FF63BE7B"/>
      </colorScale>
    </cfRule>
  </conditionalFormatting>
  <conditionalFormatting sqref="CO170">
    <cfRule type="colorScale" priority="3054">
      <colorScale>
        <cfvo type="min"/>
        <cfvo type="percentile" val="50"/>
        <cfvo type="max"/>
        <color rgb="FF63BE7B"/>
        <color rgb="FFFFEB84"/>
        <color rgb="FFF8696B"/>
      </colorScale>
    </cfRule>
  </conditionalFormatting>
  <conditionalFormatting sqref="CO170">
    <cfRule type="colorScale" priority="3051">
      <colorScale>
        <cfvo type="min"/>
        <cfvo type="max"/>
        <color rgb="FFFCFCFF"/>
        <color rgb="FFF8696B"/>
      </colorScale>
    </cfRule>
    <cfRule type="colorScale" priority="3053">
      <colorScale>
        <cfvo type="min"/>
        <cfvo type="percentile" val="50"/>
        <cfvo type="max"/>
        <color rgb="FF63BE7B"/>
        <color rgb="FFFFEB84"/>
        <color rgb="FFF8696B"/>
      </colorScale>
    </cfRule>
  </conditionalFormatting>
  <conditionalFormatting sqref="CO170">
    <cfRule type="colorScale" priority="3052">
      <colorScale>
        <cfvo type="min"/>
        <cfvo type="max"/>
        <color rgb="FFF8696B"/>
        <color rgb="FFFCFCFF"/>
      </colorScale>
    </cfRule>
  </conditionalFormatting>
  <conditionalFormatting sqref="CO162">
    <cfRule type="colorScale" priority="3050">
      <colorScale>
        <cfvo type="min"/>
        <cfvo type="percentile" val="50"/>
        <cfvo type="max"/>
        <color rgb="FFF8696B"/>
        <color rgb="FFFFEB84"/>
        <color rgb="FF63BE7B"/>
      </colorScale>
    </cfRule>
  </conditionalFormatting>
  <conditionalFormatting sqref="CO168">
    <cfRule type="colorScale" priority="3049">
      <colorScale>
        <cfvo type="min"/>
        <cfvo type="percentile" val="50"/>
        <cfvo type="max"/>
        <color rgb="FFF8696B"/>
        <color rgb="FFFFEB84"/>
        <color rgb="FF63BE7B"/>
      </colorScale>
    </cfRule>
  </conditionalFormatting>
  <conditionalFormatting sqref="CO162 CO168 CO170">
    <cfRule type="colorScale" priority="3048">
      <colorScale>
        <cfvo type="min"/>
        <cfvo type="max"/>
        <color rgb="FFFCFCFF"/>
        <color rgb="FFF8696B"/>
      </colorScale>
    </cfRule>
  </conditionalFormatting>
  <conditionalFormatting sqref="CM142">
    <cfRule type="colorScale" priority="3047">
      <colorScale>
        <cfvo type="min"/>
        <cfvo type="percentile" val="50"/>
        <cfvo type="max"/>
        <color rgb="FFF8696B"/>
        <color rgb="FFFFEB84"/>
        <color rgb="FF63BE7B"/>
      </colorScale>
    </cfRule>
  </conditionalFormatting>
  <conditionalFormatting sqref="CM142">
    <cfRule type="colorScale" priority="3046">
      <colorScale>
        <cfvo type="min"/>
        <cfvo type="percentile" val="50"/>
        <cfvo type="max"/>
        <color rgb="FFF8696B"/>
        <color rgb="FFFFEB84"/>
        <color rgb="FF63BE7B"/>
      </colorScale>
    </cfRule>
  </conditionalFormatting>
  <conditionalFormatting sqref="CM142">
    <cfRule type="colorScale" priority="3045">
      <colorScale>
        <cfvo type="min"/>
        <cfvo type="percentile" val="50"/>
        <cfvo type="max"/>
        <color rgb="FF63BE7B"/>
        <color rgb="FFFFEB84"/>
        <color rgb="FFF8696B"/>
      </colorScale>
    </cfRule>
  </conditionalFormatting>
  <conditionalFormatting sqref="CM142">
    <cfRule type="colorScale" priority="3042">
      <colorScale>
        <cfvo type="min"/>
        <cfvo type="max"/>
        <color rgb="FFFCFCFF"/>
        <color rgb="FFF8696B"/>
      </colorScale>
    </cfRule>
    <cfRule type="colorScale" priority="3044">
      <colorScale>
        <cfvo type="min"/>
        <cfvo type="percentile" val="50"/>
        <cfvo type="max"/>
        <color rgb="FF63BE7B"/>
        <color rgb="FFFFEB84"/>
        <color rgb="FFF8696B"/>
      </colorScale>
    </cfRule>
  </conditionalFormatting>
  <conditionalFormatting sqref="CM142">
    <cfRule type="colorScale" priority="3043">
      <colorScale>
        <cfvo type="min"/>
        <cfvo type="max"/>
        <color rgb="FFF8696B"/>
        <color rgb="FFFCFCFF"/>
      </colorScale>
    </cfRule>
  </conditionalFormatting>
  <conditionalFormatting sqref="CM142">
    <cfRule type="colorScale" priority="3041">
      <colorScale>
        <cfvo type="min"/>
        <cfvo type="max"/>
        <color rgb="FFFCFCFF"/>
        <color rgb="FFF8696B"/>
      </colorScale>
    </cfRule>
  </conditionalFormatting>
  <conditionalFormatting sqref="CO142">
    <cfRule type="colorScale" priority="3040">
      <colorScale>
        <cfvo type="min"/>
        <cfvo type="percentile" val="50"/>
        <cfvo type="max"/>
        <color rgb="FFF8696B"/>
        <color rgb="FFFFEB84"/>
        <color rgb="FF63BE7B"/>
      </colorScale>
    </cfRule>
  </conditionalFormatting>
  <conditionalFormatting sqref="CO142">
    <cfRule type="colorScale" priority="3039">
      <colorScale>
        <cfvo type="min"/>
        <cfvo type="percentile" val="50"/>
        <cfvo type="max"/>
        <color rgb="FFF8696B"/>
        <color rgb="FFFFEB84"/>
        <color rgb="FF63BE7B"/>
      </colorScale>
    </cfRule>
  </conditionalFormatting>
  <conditionalFormatting sqref="CO142">
    <cfRule type="colorScale" priority="3038">
      <colorScale>
        <cfvo type="min"/>
        <cfvo type="percentile" val="50"/>
        <cfvo type="max"/>
        <color rgb="FF63BE7B"/>
        <color rgb="FFFFEB84"/>
        <color rgb="FFF8696B"/>
      </colorScale>
    </cfRule>
  </conditionalFormatting>
  <conditionalFormatting sqref="CO142">
    <cfRule type="colorScale" priority="3035">
      <colorScale>
        <cfvo type="min"/>
        <cfvo type="max"/>
        <color rgb="FFFCFCFF"/>
        <color rgb="FFF8696B"/>
      </colorScale>
    </cfRule>
    <cfRule type="colorScale" priority="3037">
      <colorScale>
        <cfvo type="min"/>
        <cfvo type="percentile" val="50"/>
        <cfvo type="max"/>
        <color rgb="FF63BE7B"/>
        <color rgb="FFFFEB84"/>
        <color rgb="FFF8696B"/>
      </colorScale>
    </cfRule>
  </conditionalFormatting>
  <conditionalFormatting sqref="CO142">
    <cfRule type="colorScale" priority="3036">
      <colorScale>
        <cfvo type="min"/>
        <cfvo type="max"/>
        <color rgb="FFF8696B"/>
        <color rgb="FFFCFCFF"/>
      </colorScale>
    </cfRule>
  </conditionalFormatting>
  <conditionalFormatting sqref="CO142">
    <cfRule type="colorScale" priority="3034">
      <colorScale>
        <cfvo type="min"/>
        <cfvo type="max"/>
        <color rgb="FFFCFCFF"/>
        <color rgb="FFF8696B"/>
      </colorScale>
    </cfRule>
  </conditionalFormatting>
  <conditionalFormatting sqref="CK147">
    <cfRule type="colorScale" priority="3033">
      <colorScale>
        <cfvo type="min"/>
        <cfvo type="percentile" val="50"/>
        <cfvo type="max"/>
        <color rgb="FFF8696B"/>
        <color rgb="FFFFEB84"/>
        <color rgb="FF63BE7B"/>
      </colorScale>
    </cfRule>
  </conditionalFormatting>
  <conditionalFormatting sqref="CK147">
    <cfRule type="colorScale" priority="3032">
      <colorScale>
        <cfvo type="min"/>
        <cfvo type="percentile" val="50"/>
        <cfvo type="max"/>
        <color rgb="FF63BE7B"/>
        <color rgb="FFFFEB84"/>
        <color rgb="FFF8696B"/>
      </colorScale>
    </cfRule>
  </conditionalFormatting>
  <conditionalFormatting sqref="CK147">
    <cfRule type="colorScale" priority="3029">
      <colorScale>
        <cfvo type="min"/>
        <cfvo type="max"/>
        <color rgb="FFFCFCFF"/>
        <color rgb="FFF8696B"/>
      </colorScale>
    </cfRule>
    <cfRule type="colorScale" priority="3031">
      <colorScale>
        <cfvo type="min"/>
        <cfvo type="percentile" val="50"/>
        <cfvo type="max"/>
        <color rgb="FF63BE7B"/>
        <color rgb="FFFFEB84"/>
        <color rgb="FFF8696B"/>
      </colorScale>
    </cfRule>
  </conditionalFormatting>
  <conditionalFormatting sqref="CK147">
    <cfRule type="colorScale" priority="3030">
      <colorScale>
        <cfvo type="min"/>
        <cfvo type="max"/>
        <color rgb="FFF8696B"/>
        <color rgb="FFFCFCFF"/>
      </colorScale>
    </cfRule>
  </conditionalFormatting>
  <conditionalFormatting sqref="CK147">
    <cfRule type="colorScale" priority="3028">
      <colorScale>
        <cfvo type="min"/>
        <cfvo type="max"/>
        <color rgb="FFFCFCFF"/>
        <color rgb="FFF8696B"/>
      </colorScale>
    </cfRule>
  </conditionalFormatting>
  <conditionalFormatting sqref="CO147">
    <cfRule type="colorScale" priority="3027">
      <colorScale>
        <cfvo type="min"/>
        <cfvo type="percentile" val="50"/>
        <cfvo type="max"/>
        <color rgb="FFF8696B"/>
        <color rgb="FFFFEB84"/>
        <color rgb="FF63BE7B"/>
      </colorScale>
    </cfRule>
  </conditionalFormatting>
  <conditionalFormatting sqref="CO147">
    <cfRule type="colorScale" priority="3026">
      <colorScale>
        <cfvo type="min"/>
        <cfvo type="percentile" val="50"/>
        <cfvo type="max"/>
        <color rgb="FFF8696B"/>
        <color rgb="FFFFEB84"/>
        <color rgb="FF63BE7B"/>
      </colorScale>
    </cfRule>
  </conditionalFormatting>
  <conditionalFormatting sqref="CO147">
    <cfRule type="colorScale" priority="3025">
      <colorScale>
        <cfvo type="min"/>
        <cfvo type="percentile" val="50"/>
        <cfvo type="max"/>
        <color rgb="FF63BE7B"/>
        <color rgb="FFFFEB84"/>
        <color rgb="FFF8696B"/>
      </colorScale>
    </cfRule>
  </conditionalFormatting>
  <conditionalFormatting sqref="CO147">
    <cfRule type="colorScale" priority="3022">
      <colorScale>
        <cfvo type="min"/>
        <cfvo type="max"/>
        <color rgb="FFFCFCFF"/>
        <color rgb="FFF8696B"/>
      </colorScale>
    </cfRule>
    <cfRule type="colorScale" priority="3024">
      <colorScale>
        <cfvo type="min"/>
        <cfvo type="percentile" val="50"/>
        <cfvo type="max"/>
        <color rgb="FF63BE7B"/>
        <color rgb="FFFFEB84"/>
        <color rgb="FFF8696B"/>
      </colorScale>
    </cfRule>
  </conditionalFormatting>
  <conditionalFormatting sqref="CO147">
    <cfRule type="colorScale" priority="3023">
      <colorScale>
        <cfvo type="min"/>
        <cfvo type="max"/>
        <color rgb="FFF8696B"/>
        <color rgb="FFFCFCFF"/>
      </colorScale>
    </cfRule>
  </conditionalFormatting>
  <conditionalFormatting sqref="CO147">
    <cfRule type="colorScale" priority="3021">
      <colorScale>
        <cfvo type="min"/>
        <cfvo type="max"/>
        <color rgb="FFFCFCFF"/>
        <color rgb="FFF8696B"/>
      </colorScale>
    </cfRule>
  </conditionalFormatting>
  <conditionalFormatting sqref="CE153">
    <cfRule type="colorScale" priority="3020">
      <colorScale>
        <cfvo type="min"/>
        <cfvo type="percentile" val="50"/>
        <cfvo type="max"/>
        <color rgb="FFF8696B"/>
        <color rgb="FFFFEB84"/>
        <color rgb="FF63BE7B"/>
      </colorScale>
    </cfRule>
  </conditionalFormatting>
  <conditionalFormatting sqref="CE153">
    <cfRule type="colorScale" priority="3019">
      <colorScale>
        <cfvo type="min"/>
        <cfvo type="percentile" val="50"/>
        <cfvo type="max"/>
        <color rgb="FF63BE7B"/>
        <color rgb="FFFFEB84"/>
        <color rgb="FFF8696B"/>
      </colorScale>
    </cfRule>
  </conditionalFormatting>
  <conditionalFormatting sqref="CE153">
    <cfRule type="colorScale" priority="3016">
      <colorScale>
        <cfvo type="min"/>
        <cfvo type="max"/>
        <color rgb="FFFCFCFF"/>
        <color rgb="FFF8696B"/>
      </colorScale>
    </cfRule>
    <cfRule type="colorScale" priority="3018">
      <colorScale>
        <cfvo type="min"/>
        <cfvo type="percentile" val="50"/>
        <cfvo type="max"/>
        <color rgb="FF63BE7B"/>
        <color rgb="FFFFEB84"/>
        <color rgb="FFF8696B"/>
      </colorScale>
    </cfRule>
  </conditionalFormatting>
  <conditionalFormatting sqref="CE153">
    <cfRule type="colorScale" priority="3017">
      <colorScale>
        <cfvo type="min"/>
        <cfvo type="max"/>
        <color rgb="FFF8696B"/>
        <color rgb="FFFCFCFF"/>
      </colorScale>
    </cfRule>
  </conditionalFormatting>
  <conditionalFormatting sqref="CE153">
    <cfRule type="colorScale" priority="3015">
      <colorScale>
        <cfvo type="min"/>
        <cfvo type="percentile" val="50"/>
        <cfvo type="max"/>
        <color rgb="FFF8696B"/>
        <color rgb="FFFFEB84"/>
        <color rgb="FF63BE7B"/>
      </colorScale>
    </cfRule>
  </conditionalFormatting>
  <conditionalFormatting sqref="CE153">
    <cfRule type="colorScale" priority="3014">
      <colorScale>
        <cfvo type="min"/>
        <cfvo type="max"/>
        <color rgb="FFFCFCFF"/>
        <color rgb="FFF8696B"/>
      </colorScale>
    </cfRule>
  </conditionalFormatting>
  <conditionalFormatting sqref="CG153">
    <cfRule type="colorScale" priority="3013">
      <colorScale>
        <cfvo type="min"/>
        <cfvo type="percentile" val="50"/>
        <cfvo type="max"/>
        <color rgb="FFF8696B"/>
        <color rgb="FFFFEB84"/>
        <color rgb="FF63BE7B"/>
      </colorScale>
    </cfRule>
  </conditionalFormatting>
  <conditionalFormatting sqref="CG153">
    <cfRule type="colorScale" priority="3012">
      <colorScale>
        <cfvo type="min"/>
        <cfvo type="percentile" val="50"/>
        <cfvo type="max"/>
        <color rgb="FF63BE7B"/>
        <color rgb="FFFFEB84"/>
        <color rgb="FFF8696B"/>
      </colorScale>
    </cfRule>
  </conditionalFormatting>
  <conditionalFormatting sqref="CG153">
    <cfRule type="colorScale" priority="3009">
      <colorScale>
        <cfvo type="min"/>
        <cfvo type="max"/>
        <color rgb="FFFCFCFF"/>
        <color rgb="FFF8696B"/>
      </colorScale>
    </cfRule>
    <cfRule type="colorScale" priority="3011">
      <colorScale>
        <cfvo type="min"/>
        <cfvo type="percentile" val="50"/>
        <cfvo type="max"/>
        <color rgb="FF63BE7B"/>
        <color rgb="FFFFEB84"/>
        <color rgb="FFF8696B"/>
      </colorScale>
    </cfRule>
  </conditionalFormatting>
  <conditionalFormatting sqref="CG153">
    <cfRule type="colorScale" priority="3010">
      <colorScale>
        <cfvo type="min"/>
        <cfvo type="max"/>
        <color rgb="FFF8696B"/>
        <color rgb="FFFCFCFF"/>
      </colorScale>
    </cfRule>
  </conditionalFormatting>
  <conditionalFormatting sqref="CG153">
    <cfRule type="colorScale" priority="3008">
      <colorScale>
        <cfvo type="min"/>
        <cfvo type="percentile" val="50"/>
        <cfvo type="max"/>
        <color rgb="FFF8696B"/>
        <color rgb="FFFFEB84"/>
        <color rgb="FF63BE7B"/>
      </colorScale>
    </cfRule>
  </conditionalFormatting>
  <conditionalFormatting sqref="CG153">
    <cfRule type="colorScale" priority="3007">
      <colorScale>
        <cfvo type="min"/>
        <cfvo type="max"/>
        <color rgb="FFFCFCFF"/>
        <color rgb="FFF8696B"/>
      </colorScale>
    </cfRule>
  </conditionalFormatting>
  <conditionalFormatting sqref="CI153">
    <cfRule type="colorScale" priority="3006">
      <colorScale>
        <cfvo type="min"/>
        <cfvo type="percentile" val="50"/>
        <cfvo type="max"/>
        <color rgb="FFF8696B"/>
        <color rgb="FFFFEB84"/>
        <color rgb="FF63BE7B"/>
      </colorScale>
    </cfRule>
  </conditionalFormatting>
  <conditionalFormatting sqref="CI153">
    <cfRule type="colorScale" priority="3005">
      <colorScale>
        <cfvo type="min"/>
        <cfvo type="percentile" val="50"/>
        <cfvo type="max"/>
        <color rgb="FF63BE7B"/>
        <color rgb="FFFFEB84"/>
        <color rgb="FFF8696B"/>
      </colorScale>
    </cfRule>
  </conditionalFormatting>
  <conditionalFormatting sqref="CI153">
    <cfRule type="colorScale" priority="3002">
      <colorScale>
        <cfvo type="min"/>
        <cfvo type="max"/>
        <color rgb="FFFCFCFF"/>
        <color rgb="FFF8696B"/>
      </colorScale>
    </cfRule>
    <cfRule type="colorScale" priority="3004">
      <colorScale>
        <cfvo type="min"/>
        <cfvo type="percentile" val="50"/>
        <cfvo type="max"/>
        <color rgb="FF63BE7B"/>
        <color rgb="FFFFEB84"/>
        <color rgb="FFF8696B"/>
      </colorScale>
    </cfRule>
  </conditionalFormatting>
  <conditionalFormatting sqref="CI153">
    <cfRule type="colorScale" priority="3003">
      <colorScale>
        <cfvo type="min"/>
        <cfvo type="max"/>
        <color rgb="FFF8696B"/>
        <color rgb="FFFCFCFF"/>
      </colorScale>
    </cfRule>
  </conditionalFormatting>
  <conditionalFormatting sqref="CI153">
    <cfRule type="colorScale" priority="3001">
      <colorScale>
        <cfvo type="min"/>
        <cfvo type="percentile" val="50"/>
        <cfvo type="max"/>
        <color rgb="FFF8696B"/>
        <color rgb="FFFFEB84"/>
        <color rgb="FF63BE7B"/>
      </colorScale>
    </cfRule>
  </conditionalFormatting>
  <conditionalFormatting sqref="CI153">
    <cfRule type="colorScale" priority="3000">
      <colorScale>
        <cfvo type="min"/>
        <cfvo type="max"/>
        <color rgb="FFFCFCFF"/>
        <color rgb="FFF8696B"/>
      </colorScale>
    </cfRule>
  </conditionalFormatting>
  <conditionalFormatting sqref="CK153">
    <cfRule type="colorScale" priority="2999">
      <colorScale>
        <cfvo type="min"/>
        <cfvo type="percentile" val="50"/>
        <cfvo type="max"/>
        <color rgb="FFF8696B"/>
        <color rgb="FFFFEB84"/>
        <color rgb="FF63BE7B"/>
      </colorScale>
    </cfRule>
  </conditionalFormatting>
  <conditionalFormatting sqref="CK153">
    <cfRule type="colorScale" priority="2998">
      <colorScale>
        <cfvo type="min"/>
        <cfvo type="percentile" val="50"/>
        <cfvo type="max"/>
        <color rgb="FF63BE7B"/>
        <color rgb="FFFFEB84"/>
        <color rgb="FFF8696B"/>
      </colorScale>
    </cfRule>
  </conditionalFormatting>
  <conditionalFormatting sqref="CK153">
    <cfRule type="colorScale" priority="2995">
      <colorScale>
        <cfvo type="min"/>
        <cfvo type="max"/>
        <color rgb="FFFCFCFF"/>
        <color rgb="FFF8696B"/>
      </colorScale>
    </cfRule>
    <cfRule type="colorScale" priority="2997">
      <colorScale>
        <cfvo type="min"/>
        <cfvo type="percentile" val="50"/>
        <cfvo type="max"/>
        <color rgb="FF63BE7B"/>
        <color rgb="FFFFEB84"/>
        <color rgb="FFF8696B"/>
      </colorScale>
    </cfRule>
  </conditionalFormatting>
  <conditionalFormatting sqref="CK153">
    <cfRule type="colorScale" priority="2996">
      <colorScale>
        <cfvo type="min"/>
        <cfvo type="max"/>
        <color rgb="FFF8696B"/>
        <color rgb="FFFCFCFF"/>
      </colorScale>
    </cfRule>
  </conditionalFormatting>
  <conditionalFormatting sqref="CK153">
    <cfRule type="colorScale" priority="2994">
      <colorScale>
        <cfvo type="min"/>
        <cfvo type="percentile" val="50"/>
        <cfvo type="max"/>
        <color rgb="FFF8696B"/>
        <color rgb="FFFFEB84"/>
        <color rgb="FF63BE7B"/>
      </colorScale>
    </cfRule>
  </conditionalFormatting>
  <conditionalFormatting sqref="CK153">
    <cfRule type="colorScale" priority="2993">
      <colorScale>
        <cfvo type="min"/>
        <cfvo type="max"/>
        <color rgb="FFFCFCFF"/>
        <color rgb="FFF8696B"/>
      </colorScale>
    </cfRule>
  </conditionalFormatting>
  <conditionalFormatting sqref="CM153">
    <cfRule type="colorScale" priority="2992">
      <colorScale>
        <cfvo type="min"/>
        <cfvo type="percentile" val="50"/>
        <cfvo type="max"/>
        <color rgb="FFF8696B"/>
        <color rgb="FFFFEB84"/>
        <color rgb="FF63BE7B"/>
      </colorScale>
    </cfRule>
  </conditionalFormatting>
  <conditionalFormatting sqref="CM153">
    <cfRule type="colorScale" priority="2991">
      <colorScale>
        <cfvo type="min"/>
        <cfvo type="percentile" val="50"/>
        <cfvo type="max"/>
        <color rgb="FF63BE7B"/>
        <color rgb="FFFFEB84"/>
        <color rgb="FFF8696B"/>
      </colorScale>
    </cfRule>
  </conditionalFormatting>
  <conditionalFormatting sqref="CM153">
    <cfRule type="colorScale" priority="2988">
      <colorScale>
        <cfvo type="min"/>
        <cfvo type="max"/>
        <color rgb="FFFCFCFF"/>
        <color rgb="FFF8696B"/>
      </colorScale>
    </cfRule>
    <cfRule type="colorScale" priority="2990">
      <colorScale>
        <cfvo type="min"/>
        <cfvo type="percentile" val="50"/>
        <cfvo type="max"/>
        <color rgb="FF63BE7B"/>
        <color rgb="FFFFEB84"/>
        <color rgb="FFF8696B"/>
      </colorScale>
    </cfRule>
  </conditionalFormatting>
  <conditionalFormatting sqref="CM153">
    <cfRule type="colorScale" priority="2989">
      <colorScale>
        <cfvo type="min"/>
        <cfvo type="max"/>
        <color rgb="FFF8696B"/>
        <color rgb="FFFCFCFF"/>
      </colorScale>
    </cfRule>
  </conditionalFormatting>
  <conditionalFormatting sqref="CM153">
    <cfRule type="colorScale" priority="2987">
      <colorScale>
        <cfvo type="min"/>
        <cfvo type="percentile" val="50"/>
        <cfvo type="max"/>
        <color rgb="FFF8696B"/>
        <color rgb="FFFFEB84"/>
        <color rgb="FF63BE7B"/>
      </colorScale>
    </cfRule>
  </conditionalFormatting>
  <conditionalFormatting sqref="CM153">
    <cfRule type="colorScale" priority="2986">
      <colorScale>
        <cfvo type="min"/>
        <cfvo type="max"/>
        <color rgb="FFFCFCFF"/>
        <color rgb="FFF8696B"/>
      </colorScale>
    </cfRule>
  </conditionalFormatting>
  <conditionalFormatting sqref="CO153">
    <cfRule type="colorScale" priority="2985">
      <colorScale>
        <cfvo type="min"/>
        <cfvo type="percentile" val="50"/>
        <cfvo type="max"/>
        <color rgb="FFF8696B"/>
        <color rgb="FFFFEB84"/>
        <color rgb="FF63BE7B"/>
      </colorScale>
    </cfRule>
  </conditionalFormatting>
  <conditionalFormatting sqref="CO153">
    <cfRule type="colorScale" priority="2984">
      <colorScale>
        <cfvo type="min"/>
        <cfvo type="percentile" val="50"/>
        <cfvo type="max"/>
        <color rgb="FF63BE7B"/>
        <color rgb="FFFFEB84"/>
        <color rgb="FFF8696B"/>
      </colorScale>
    </cfRule>
  </conditionalFormatting>
  <conditionalFormatting sqref="CO153">
    <cfRule type="colorScale" priority="2981">
      <colorScale>
        <cfvo type="min"/>
        <cfvo type="max"/>
        <color rgb="FFFCFCFF"/>
        <color rgb="FFF8696B"/>
      </colorScale>
    </cfRule>
    <cfRule type="colorScale" priority="2983">
      <colorScale>
        <cfvo type="min"/>
        <cfvo type="percentile" val="50"/>
        <cfvo type="max"/>
        <color rgb="FF63BE7B"/>
        <color rgb="FFFFEB84"/>
        <color rgb="FFF8696B"/>
      </colorScale>
    </cfRule>
  </conditionalFormatting>
  <conditionalFormatting sqref="CO153">
    <cfRule type="colorScale" priority="2982">
      <colorScale>
        <cfvo type="min"/>
        <cfvo type="max"/>
        <color rgb="FFF8696B"/>
        <color rgb="FFFCFCFF"/>
      </colorScale>
    </cfRule>
  </conditionalFormatting>
  <conditionalFormatting sqref="CO153">
    <cfRule type="colorScale" priority="2980">
      <colorScale>
        <cfvo type="min"/>
        <cfvo type="percentile" val="50"/>
        <cfvo type="max"/>
        <color rgb="FFF8696B"/>
        <color rgb="FFFFEB84"/>
        <color rgb="FF63BE7B"/>
      </colorScale>
    </cfRule>
  </conditionalFormatting>
  <conditionalFormatting sqref="CO153">
    <cfRule type="colorScale" priority="2979">
      <colorScale>
        <cfvo type="min"/>
        <cfvo type="max"/>
        <color rgb="FFFCFCFF"/>
        <color rgb="FFF8696B"/>
      </colorScale>
    </cfRule>
  </conditionalFormatting>
  <conditionalFormatting sqref="CQ162 CQ168">
    <cfRule type="colorScale" priority="2978">
      <colorScale>
        <cfvo type="min"/>
        <cfvo type="percentile" val="50"/>
        <cfvo type="max"/>
        <color rgb="FFF8696B"/>
        <color rgb="FFFFEB84"/>
        <color rgb="FF63BE7B"/>
      </colorScale>
    </cfRule>
  </conditionalFormatting>
  <conditionalFormatting sqref="CQ162">
    <cfRule type="colorScale" priority="2977">
      <colorScale>
        <cfvo type="min"/>
        <cfvo type="percentile" val="50"/>
        <cfvo type="max"/>
        <color rgb="FFF8696B"/>
        <color rgb="FFFFEB84"/>
        <color rgb="FF63BE7B"/>
      </colorScale>
    </cfRule>
  </conditionalFormatting>
  <conditionalFormatting sqref="CQ162 CQ168">
    <cfRule type="colorScale" priority="2976">
      <colorScale>
        <cfvo type="min"/>
        <cfvo type="percentile" val="50"/>
        <cfvo type="max"/>
        <color rgb="FF63BE7B"/>
        <color rgb="FFFFEB84"/>
        <color rgb="FFF8696B"/>
      </colorScale>
    </cfRule>
  </conditionalFormatting>
  <conditionalFormatting sqref="CQ168 CQ162">
    <cfRule type="colorScale" priority="2973">
      <colorScale>
        <cfvo type="min"/>
        <cfvo type="max"/>
        <color rgb="FFFCFCFF"/>
        <color rgb="FFF8696B"/>
      </colorScale>
    </cfRule>
    <cfRule type="colorScale" priority="2975">
      <colorScale>
        <cfvo type="min"/>
        <cfvo type="percentile" val="50"/>
        <cfvo type="max"/>
        <color rgb="FF63BE7B"/>
        <color rgb="FFFFEB84"/>
        <color rgb="FFF8696B"/>
      </colorScale>
    </cfRule>
  </conditionalFormatting>
  <conditionalFormatting sqref="CQ162 CQ168">
    <cfRule type="colorScale" priority="2974">
      <colorScale>
        <cfvo type="min"/>
        <cfvo type="max"/>
        <color rgb="FFF8696B"/>
        <color rgb="FFFCFCFF"/>
      </colorScale>
    </cfRule>
  </conditionalFormatting>
  <conditionalFormatting sqref="CQ170">
    <cfRule type="colorScale" priority="2972">
      <colorScale>
        <cfvo type="min"/>
        <cfvo type="percentile" val="50"/>
        <cfvo type="max"/>
        <color rgb="FFF8696B"/>
        <color rgb="FFFFEB84"/>
        <color rgb="FF63BE7B"/>
      </colorScale>
    </cfRule>
  </conditionalFormatting>
  <conditionalFormatting sqref="CQ170">
    <cfRule type="colorScale" priority="2971">
      <colorScale>
        <cfvo type="min"/>
        <cfvo type="percentile" val="50"/>
        <cfvo type="max"/>
        <color rgb="FFF8696B"/>
        <color rgb="FFFFEB84"/>
        <color rgb="FF63BE7B"/>
      </colorScale>
    </cfRule>
  </conditionalFormatting>
  <conditionalFormatting sqref="CQ170">
    <cfRule type="colorScale" priority="2970">
      <colorScale>
        <cfvo type="min"/>
        <cfvo type="percentile" val="50"/>
        <cfvo type="max"/>
        <color rgb="FFF8696B"/>
        <color rgb="FFFFEB84"/>
        <color rgb="FF63BE7B"/>
      </colorScale>
    </cfRule>
  </conditionalFormatting>
  <conditionalFormatting sqref="CQ170">
    <cfRule type="colorScale" priority="2969">
      <colorScale>
        <cfvo type="min"/>
        <cfvo type="percentile" val="50"/>
        <cfvo type="max"/>
        <color rgb="FF63BE7B"/>
        <color rgb="FFFFEB84"/>
        <color rgb="FFF8696B"/>
      </colorScale>
    </cfRule>
  </conditionalFormatting>
  <conditionalFormatting sqref="CQ170">
    <cfRule type="colorScale" priority="2966">
      <colorScale>
        <cfvo type="min"/>
        <cfvo type="max"/>
        <color rgb="FFFCFCFF"/>
        <color rgb="FFF8696B"/>
      </colorScale>
    </cfRule>
    <cfRule type="colorScale" priority="2968">
      <colorScale>
        <cfvo type="min"/>
        <cfvo type="percentile" val="50"/>
        <cfvo type="max"/>
        <color rgb="FF63BE7B"/>
        <color rgb="FFFFEB84"/>
        <color rgb="FFF8696B"/>
      </colorScale>
    </cfRule>
  </conditionalFormatting>
  <conditionalFormatting sqref="CQ170">
    <cfRule type="colorScale" priority="2967">
      <colorScale>
        <cfvo type="min"/>
        <cfvo type="max"/>
        <color rgb="FFF8696B"/>
        <color rgb="FFFCFCFF"/>
      </colorScale>
    </cfRule>
  </conditionalFormatting>
  <conditionalFormatting sqref="CQ162">
    <cfRule type="colorScale" priority="2965">
      <colorScale>
        <cfvo type="min"/>
        <cfvo type="percentile" val="50"/>
        <cfvo type="max"/>
        <color rgb="FFF8696B"/>
        <color rgb="FFFFEB84"/>
        <color rgb="FF63BE7B"/>
      </colorScale>
    </cfRule>
  </conditionalFormatting>
  <conditionalFormatting sqref="CQ168">
    <cfRule type="colorScale" priority="2964">
      <colorScale>
        <cfvo type="min"/>
        <cfvo type="percentile" val="50"/>
        <cfvo type="max"/>
        <color rgb="FFF8696B"/>
        <color rgb="FFFFEB84"/>
        <color rgb="FF63BE7B"/>
      </colorScale>
    </cfRule>
  </conditionalFormatting>
  <conditionalFormatting sqref="CQ162 CQ168 CQ170">
    <cfRule type="colorScale" priority="2963">
      <colorScale>
        <cfvo type="min"/>
        <cfvo type="max"/>
        <color rgb="FFFCFCFF"/>
        <color rgb="FFF8696B"/>
      </colorScale>
    </cfRule>
  </conditionalFormatting>
  <conditionalFormatting sqref="CQ153">
    <cfRule type="colorScale" priority="2962">
      <colorScale>
        <cfvo type="min"/>
        <cfvo type="percentile" val="50"/>
        <cfvo type="max"/>
        <color rgb="FFF8696B"/>
        <color rgb="FFFFEB84"/>
        <color rgb="FF63BE7B"/>
      </colorScale>
    </cfRule>
  </conditionalFormatting>
  <conditionalFormatting sqref="CQ153">
    <cfRule type="colorScale" priority="2961">
      <colorScale>
        <cfvo type="min"/>
        <cfvo type="percentile" val="50"/>
        <cfvo type="max"/>
        <color rgb="FF63BE7B"/>
        <color rgb="FFFFEB84"/>
        <color rgb="FFF8696B"/>
      </colorScale>
    </cfRule>
  </conditionalFormatting>
  <conditionalFormatting sqref="CQ153">
    <cfRule type="colorScale" priority="2958">
      <colorScale>
        <cfvo type="min"/>
        <cfvo type="max"/>
        <color rgb="FFFCFCFF"/>
        <color rgb="FFF8696B"/>
      </colorScale>
    </cfRule>
    <cfRule type="colorScale" priority="2960">
      <colorScale>
        <cfvo type="min"/>
        <cfvo type="percentile" val="50"/>
        <cfvo type="max"/>
        <color rgb="FF63BE7B"/>
        <color rgb="FFFFEB84"/>
        <color rgb="FFF8696B"/>
      </colorScale>
    </cfRule>
  </conditionalFormatting>
  <conditionalFormatting sqref="CQ153">
    <cfRule type="colorScale" priority="2959">
      <colorScale>
        <cfvo type="min"/>
        <cfvo type="max"/>
        <color rgb="FFF8696B"/>
        <color rgb="FFFCFCFF"/>
      </colorScale>
    </cfRule>
  </conditionalFormatting>
  <conditionalFormatting sqref="CQ153">
    <cfRule type="colorScale" priority="2957">
      <colorScale>
        <cfvo type="min"/>
        <cfvo type="percentile" val="50"/>
        <cfvo type="max"/>
        <color rgb="FFF8696B"/>
        <color rgb="FFFFEB84"/>
        <color rgb="FF63BE7B"/>
      </colorScale>
    </cfRule>
  </conditionalFormatting>
  <conditionalFormatting sqref="CQ153">
    <cfRule type="colorScale" priority="2956">
      <colorScale>
        <cfvo type="min"/>
        <cfvo type="max"/>
        <color rgb="FFFCFCFF"/>
        <color rgb="FFF8696B"/>
      </colorScale>
    </cfRule>
  </conditionalFormatting>
  <conditionalFormatting sqref="CQ168 CQ170 CO168 CO170 CM168 CM170 CK170 CI168 CI170 CG168 CE168 CE153:CE162 CG153:CG162 CE142 CG142 CI142:CI147 CI153:CI162 CK142 CK147 CK153:CK157 CK162 CK168 CM162 CM153:CM157 CM142:CM147 CO142 CO147 CQ142 CQ147 CQ153:CQ157 CO153:CO157 CO162 CQ162">
    <cfRule type="colorScale" priority="2955">
      <colorScale>
        <cfvo type="min"/>
        <cfvo type="max"/>
        <color rgb="FFFCFCFF"/>
        <color rgb="FFF8696B"/>
      </colorScale>
    </cfRule>
  </conditionalFormatting>
  <conditionalFormatting sqref="CI84">
    <cfRule type="colorScale" priority="2954">
      <colorScale>
        <cfvo type="min"/>
        <cfvo type="percentile" val="50"/>
        <cfvo type="max"/>
        <color rgb="FFF8696B"/>
        <color rgb="FFFFEB84"/>
        <color rgb="FF63BE7B"/>
      </colorScale>
    </cfRule>
  </conditionalFormatting>
  <conditionalFormatting sqref="CI84">
    <cfRule type="colorScale" priority="2953">
      <colorScale>
        <cfvo type="min"/>
        <cfvo type="percentile" val="50"/>
        <cfvo type="max"/>
        <color rgb="FFF8696B"/>
        <color rgb="FFFFEB84"/>
        <color rgb="FF63BE7B"/>
      </colorScale>
    </cfRule>
  </conditionalFormatting>
  <conditionalFormatting sqref="CI84">
    <cfRule type="colorScale" priority="2952">
      <colorScale>
        <cfvo type="min"/>
        <cfvo type="percentile" val="50"/>
        <cfvo type="max"/>
        <color rgb="FFF8696B"/>
        <color rgb="FFFFEB84"/>
        <color rgb="FF63BE7B"/>
      </colorScale>
    </cfRule>
  </conditionalFormatting>
  <conditionalFormatting sqref="CI84">
    <cfRule type="colorScale" priority="2951">
      <colorScale>
        <cfvo type="min"/>
        <cfvo type="percentile" val="50"/>
        <cfvo type="max"/>
        <color rgb="FF63BE7B"/>
        <color rgb="FFFFEB84"/>
        <color rgb="FFF8696B"/>
      </colorScale>
    </cfRule>
  </conditionalFormatting>
  <conditionalFormatting sqref="CI84">
    <cfRule type="colorScale" priority="2948">
      <colorScale>
        <cfvo type="min"/>
        <cfvo type="max"/>
        <color rgb="FFFCFCFF"/>
        <color rgb="FFF8696B"/>
      </colorScale>
    </cfRule>
    <cfRule type="colorScale" priority="2950">
      <colorScale>
        <cfvo type="min"/>
        <cfvo type="percentile" val="50"/>
        <cfvo type="max"/>
        <color rgb="FF63BE7B"/>
        <color rgb="FFFFEB84"/>
        <color rgb="FFF8696B"/>
      </colorScale>
    </cfRule>
  </conditionalFormatting>
  <conditionalFormatting sqref="CI84">
    <cfRule type="colorScale" priority="2949">
      <colorScale>
        <cfvo type="min"/>
        <cfvo type="max"/>
        <color rgb="FFF8696B"/>
        <color rgb="FFFCFCFF"/>
      </colorScale>
    </cfRule>
  </conditionalFormatting>
  <conditionalFormatting sqref="CK84">
    <cfRule type="colorScale" priority="2947">
      <colorScale>
        <cfvo type="min"/>
        <cfvo type="percentile" val="50"/>
        <cfvo type="max"/>
        <color rgb="FFF8696B"/>
        <color rgb="FFFFEB84"/>
        <color rgb="FF63BE7B"/>
      </colorScale>
    </cfRule>
  </conditionalFormatting>
  <conditionalFormatting sqref="CK84">
    <cfRule type="colorScale" priority="2946">
      <colorScale>
        <cfvo type="min"/>
        <cfvo type="percentile" val="50"/>
        <cfvo type="max"/>
        <color rgb="FFF8696B"/>
        <color rgb="FFFFEB84"/>
        <color rgb="FF63BE7B"/>
      </colorScale>
    </cfRule>
  </conditionalFormatting>
  <conditionalFormatting sqref="CK84">
    <cfRule type="colorScale" priority="2945">
      <colorScale>
        <cfvo type="min"/>
        <cfvo type="percentile" val="50"/>
        <cfvo type="max"/>
        <color rgb="FFF8696B"/>
        <color rgb="FFFFEB84"/>
        <color rgb="FF63BE7B"/>
      </colorScale>
    </cfRule>
  </conditionalFormatting>
  <conditionalFormatting sqref="CK84">
    <cfRule type="colorScale" priority="2944">
      <colorScale>
        <cfvo type="min"/>
        <cfvo type="percentile" val="50"/>
        <cfvo type="max"/>
        <color rgb="FF63BE7B"/>
        <color rgb="FFFFEB84"/>
        <color rgb="FFF8696B"/>
      </colorScale>
    </cfRule>
  </conditionalFormatting>
  <conditionalFormatting sqref="CK84">
    <cfRule type="colorScale" priority="2941">
      <colorScale>
        <cfvo type="min"/>
        <cfvo type="max"/>
        <color rgb="FFFCFCFF"/>
        <color rgb="FFF8696B"/>
      </colorScale>
    </cfRule>
    <cfRule type="colorScale" priority="2943">
      <colorScale>
        <cfvo type="min"/>
        <cfvo type="percentile" val="50"/>
        <cfvo type="max"/>
        <color rgb="FF63BE7B"/>
        <color rgb="FFFFEB84"/>
        <color rgb="FFF8696B"/>
      </colorScale>
    </cfRule>
  </conditionalFormatting>
  <conditionalFormatting sqref="CK84">
    <cfRule type="colorScale" priority="2942">
      <colorScale>
        <cfvo type="min"/>
        <cfvo type="max"/>
        <color rgb="FFF8696B"/>
        <color rgb="FFFCFCFF"/>
      </colorScale>
    </cfRule>
  </conditionalFormatting>
  <conditionalFormatting sqref="CM84">
    <cfRule type="colorScale" priority="2940">
      <colorScale>
        <cfvo type="min"/>
        <cfvo type="percentile" val="50"/>
        <cfvo type="max"/>
        <color rgb="FFF8696B"/>
        <color rgb="FFFFEB84"/>
        <color rgb="FF63BE7B"/>
      </colorScale>
    </cfRule>
  </conditionalFormatting>
  <conditionalFormatting sqref="CM84">
    <cfRule type="colorScale" priority="2939">
      <colorScale>
        <cfvo type="min"/>
        <cfvo type="percentile" val="50"/>
        <cfvo type="max"/>
        <color rgb="FFF8696B"/>
        <color rgb="FFFFEB84"/>
        <color rgb="FF63BE7B"/>
      </colorScale>
    </cfRule>
  </conditionalFormatting>
  <conditionalFormatting sqref="CM84">
    <cfRule type="colorScale" priority="2938">
      <colorScale>
        <cfvo type="min"/>
        <cfvo type="percentile" val="50"/>
        <cfvo type="max"/>
        <color rgb="FFF8696B"/>
        <color rgb="FFFFEB84"/>
        <color rgb="FF63BE7B"/>
      </colorScale>
    </cfRule>
  </conditionalFormatting>
  <conditionalFormatting sqref="CM84">
    <cfRule type="colorScale" priority="2937">
      <colorScale>
        <cfvo type="min"/>
        <cfvo type="percentile" val="50"/>
        <cfvo type="max"/>
        <color rgb="FF63BE7B"/>
        <color rgb="FFFFEB84"/>
        <color rgb="FFF8696B"/>
      </colorScale>
    </cfRule>
  </conditionalFormatting>
  <conditionalFormatting sqref="CM84">
    <cfRule type="colorScale" priority="2934">
      <colorScale>
        <cfvo type="min"/>
        <cfvo type="max"/>
        <color rgb="FFFCFCFF"/>
        <color rgb="FFF8696B"/>
      </colorScale>
    </cfRule>
    <cfRule type="colorScale" priority="2936">
      <colorScale>
        <cfvo type="min"/>
        <cfvo type="percentile" val="50"/>
        <cfvo type="max"/>
        <color rgb="FF63BE7B"/>
        <color rgb="FFFFEB84"/>
        <color rgb="FFF8696B"/>
      </colorScale>
    </cfRule>
  </conditionalFormatting>
  <conditionalFormatting sqref="CM84">
    <cfRule type="colorScale" priority="2935">
      <colorScale>
        <cfvo type="min"/>
        <cfvo type="max"/>
        <color rgb="FFF8696B"/>
        <color rgb="FFFCFCFF"/>
      </colorScale>
    </cfRule>
  </conditionalFormatting>
  <conditionalFormatting sqref="CI84 CK84 CM84">
    <cfRule type="colorScale" priority="2933">
      <colorScale>
        <cfvo type="min"/>
        <cfvo type="max"/>
        <color rgb="FFFCFCFF"/>
        <color rgb="FFF8696B"/>
      </colorScale>
    </cfRule>
  </conditionalFormatting>
  <conditionalFormatting sqref="CO84">
    <cfRule type="colorScale" priority="2932">
      <colorScale>
        <cfvo type="min"/>
        <cfvo type="percentile" val="50"/>
        <cfvo type="max"/>
        <color rgb="FFF8696B"/>
        <color rgb="FFFFEB84"/>
        <color rgb="FF63BE7B"/>
      </colorScale>
    </cfRule>
  </conditionalFormatting>
  <conditionalFormatting sqref="CO84">
    <cfRule type="colorScale" priority="2931">
      <colorScale>
        <cfvo type="min"/>
        <cfvo type="percentile" val="50"/>
        <cfvo type="max"/>
        <color rgb="FFF8696B"/>
        <color rgb="FFFFEB84"/>
        <color rgb="FF63BE7B"/>
      </colorScale>
    </cfRule>
  </conditionalFormatting>
  <conditionalFormatting sqref="CO84">
    <cfRule type="colorScale" priority="2930">
      <colorScale>
        <cfvo type="min"/>
        <cfvo type="percentile" val="50"/>
        <cfvo type="max"/>
        <color rgb="FFF8696B"/>
        <color rgb="FFFFEB84"/>
        <color rgb="FF63BE7B"/>
      </colorScale>
    </cfRule>
  </conditionalFormatting>
  <conditionalFormatting sqref="CO84">
    <cfRule type="colorScale" priority="2929">
      <colorScale>
        <cfvo type="min"/>
        <cfvo type="percentile" val="50"/>
        <cfvo type="max"/>
        <color rgb="FF63BE7B"/>
        <color rgb="FFFFEB84"/>
        <color rgb="FFF8696B"/>
      </colorScale>
    </cfRule>
  </conditionalFormatting>
  <conditionalFormatting sqref="CO84">
    <cfRule type="colorScale" priority="2926">
      <colorScale>
        <cfvo type="min"/>
        <cfvo type="max"/>
        <color rgb="FFFCFCFF"/>
        <color rgb="FFF8696B"/>
      </colorScale>
    </cfRule>
    <cfRule type="colorScale" priority="2928">
      <colorScale>
        <cfvo type="min"/>
        <cfvo type="percentile" val="50"/>
        <cfvo type="max"/>
        <color rgb="FF63BE7B"/>
        <color rgb="FFFFEB84"/>
        <color rgb="FFF8696B"/>
      </colorScale>
    </cfRule>
  </conditionalFormatting>
  <conditionalFormatting sqref="CO84">
    <cfRule type="colorScale" priority="2927">
      <colorScale>
        <cfvo type="min"/>
        <cfvo type="max"/>
        <color rgb="FFF8696B"/>
        <color rgb="FFFCFCFF"/>
      </colorScale>
    </cfRule>
  </conditionalFormatting>
  <conditionalFormatting sqref="CO84">
    <cfRule type="colorScale" priority="2925">
      <colorScale>
        <cfvo type="min"/>
        <cfvo type="max"/>
        <color rgb="FFFCFCFF"/>
        <color rgb="FFF8696B"/>
      </colorScale>
    </cfRule>
  </conditionalFormatting>
  <conditionalFormatting sqref="CQ84">
    <cfRule type="colorScale" priority="2924">
      <colorScale>
        <cfvo type="min"/>
        <cfvo type="percentile" val="50"/>
        <cfvo type="max"/>
        <color rgb="FFF8696B"/>
        <color rgb="FFFFEB84"/>
        <color rgb="FF63BE7B"/>
      </colorScale>
    </cfRule>
  </conditionalFormatting>
  <conditionalFormatting sqref="CQ84">
    <cfRule type="colorScale" priority="2923">
      <colorScale>
        <cfvo type="min"/>
        <cfvo type="percentile" val="50"/>
        <cfvo type="max"/>
        <color rgb="FFF8696B"/>
        <color rgb="FFFFEB84"/>
        <color rgb="FF63BE7B"/>
      </colorScale>
    </cfRule>
  </conditionalFormatting>
  <conditionalFormatting sqref="CQ84">
    <cfRule type="colorScale" priority="2922">
      <colorScale>
        <cfvo type="min"/>
        <cfvo type="percentile" val="50"/>
        <cfvo type="max"/>
        <color rgb="FFF8696B"/>
        <color rgb="FFFFEB84"/>
        <color rgb="FF63BE7B"/>
      </colorScale>
    </cfRule>
  </conditionalFormatting>
  <conditionalFormatting sqref="CQ84">
    <cfRule type="colorScale" priority="2921">
      <colorScale>
        <cfvo type="min"/>
        <cfvo type="percentile" val="50"/>
        <cfvo type="max"/>
        <color rgb="FF63BE7B"/>
        <color rgb="FFFFEB84"/>
        <color rgb="FFF8696B"/>
      </colorScale>
    </cfRule>
  </conditionalFormatting>
  <conditionalFormatting sqref="CQ84">
    <cfRule type="colorScale" priority="2918">
      <colorScale>
        <cfvo type="min"/>
        <cfvo type="max"/>
        <color rgb="FFFCFCFF"/>
        <color rgb="FFF8696B"/>
      </colorScale>
    </cfRule>
    <cfRule type="colorScale" priority="2920">
      <colorScale>
        <cfvo type="min"/>
        <cfvo type="percentile" val="50"/>
        <cfvo type="max"/>
        <color rgb="FF63BE7B"/>
        <color rgb="FFFFEB84"/>
        <color rgb="FFF8696B"/>
      </colorScale>
    </cfRule>
  </conditionalFormatting>
  <conditionalFormatting sqref="CQ84">
    <cfRule type="colorScale" priority="2919">
      <colorScale>
        <cfvo type="min"/>
        <cfvo type="max"/>
        <color rgb="FFF8696B"/>
        <color rgb="FFFCFCFF"/>
      </colorScale>
    </cfRule>
  </conditionalFormatting>
  <conditionalFormatting sqref="CQ84">
    <cfRule type="colorScale" priority="2917">
      <colorScale>
        <cfvo type="min"/>
        <cfvo type="max"/>
        <color rgb="FFFCFCFF"/>
        <color rgb="FFF8696B"/>
      </colorScale>
    </cfRule>
  </conditionalFormatting>
  <conditionalFormatting sqref="CI84 CK84 CM84 CO84 CQ84">
    <cfRule type="colorScale" priority="2916">
      <colorScale>
        <cfvo type="min"/>
        <cfvo type="max"/>
        <color rgb="FFFCFCFF"/>
        <color rgb="FFF8696B"/>
      </colorScale>
    </cfRule>
  </conditionalFormatting>
  <conditionalFormatting sqref="CE61 CG61">
    <cfRule type="colorScale" priority="2908">
      <colorScale>
        <cfvo type="min"/>
        <cfvo type="max"/>
        <color rgb="FFFCFCFF"/>
        <color rgb="FFF8696B"/>
      </colorScale>
    </cfRule>
  </conditionalFormatting>
  <conditionalFormatting sqref="CE56 CG56">
    <cfRule type="colorScale" priority="2907">
      <colorScale>
        <cfvo type="min"/>
        <cfvo type="percentile" val="50"/>
        <cfvo type="max"/>
        <color rgb="FFF8696B"/>
        <color rgb="FFFFEB84"/>
        <color rgb="FF63BE7B"/>
      </colorScale>
    </cfRule>
  </conditionalFormatting>
  <conditionalFormatting sqref="CE56">
    <cfRule type="colorScale" priority="2906">
      <colorScale>
        <cfvo type="min"/>
        <cfvo type="percentile" val="50"/>
        <cfvo type="max"/>
        <color rgb="FFF8696B"/>
        <color rgb="FFFFEB84"/>
        <color rgb="FF63BE7B"/>
      </colorScale>
    </cfRule>
  </conditionalFormatting>
  <conditionalFormatting sqref="CE56 CG56">
    <cfRule type="colorScale" priority="2905">
      <colorScale>
        <cfvo type="min"/>
        <cfvo type="percentile" val="50"/>
        <cfvo type="max"/>
        <color rgb="FF63BE7B"/>
        <color rgb="FFFFEB84"/>
        <color rgb="FFF8696B"/>
      </colorScale>
    </cfRule>
  </conditionalFormatting>
  <conditionalFormatting sqref="CE56 CG56">
    <cfRule type="colorScale" priority="2902">
      <colorScale>
        <cfvo type="min"/>
        <cfvo type="max"/>
        <color rgb="FFFCFCFF"/>
        <color rgb="FFF8696B"/>
      </colorScale>
    </cfRule>
    <cfRule type="colorScale" priority="2904">
      <colorScale>
        <cfvo type="min"/>
        <cfvo type="percentile" val="50"/>
        <cfvo type="max"/>
        <color rgb="FF63BE7B"/>
        <color rgb="FFFFEB84"/>
        <color rgb="FFF8696B"/>
      </colorScale>
    </cfRule>
  </conditionalFormatting>
  <conditionalFormatting sqref="CG56 CE56">
    <cfRule type="colorScale" priority="2903">
      <colorScale>
        <cfvo type="min"/>
        <cfvo type="max"/>
        <color rgb="FFF8696B"/>
        <color rgb="FFFCFCFF"/>
      </colorScale>
    </cfRule>
  </conditionalFormatting>
  <conditionalFormatting sqref="CE56 CG56">
    <cfRule type="colorScale" priority="2901">
      <colorScale>
        <cfvo type="min"/>
        <cfvo type="max"/>
        <color rgb="FFFCFCFF"/>
        <color rgb="FFF8696B"/>
      </colorScale>
    </cfRule>
  </conditionalFormatting>
  <conditionalFormatting sqref="CE67">
    <cfRule type="colorScale" priority="2900">
      <colorScale>
        <cfvo type="min"/>
        <cfvo type="percentile" val="50"/>
        <cfvo type="max"/>
        <color rgb="FFF8696B"/>
        <color rgb="FFFFEB84"/>
        <color rgb="FF63BE7B"/>
      </colorScale>
    </cfRule>
  </conditionalFormatting>
  <conditionalFormatting sqref="CE67">
    <cfRule type="colorScale" priority="2899">
      <colorScale>
        <cfvo type="min"/>
        <cfvo type="percentile" val="50"/>
        <cfvo type="max"/>
        <color rgb="FF63BE7B"/>
        <color rgb="FFFFEB84"/>
        <color rgb="FFF8696B"/>
      </colorScale>
    </cfRule>
  </conditionalFormatting>
  <conditionalFormatting sqref="CE67">
    <cfRule type="colorScale" priority="2896">
      <colorScale>
        <cfvo type="min"/>
        <cfvo type="max"/>
        <color rgb="FFFCFCFF"/>
        <color rgb="FFF8696B"/>
      </colorScale>
    </cfRule>
    <cfRule type="colorScale" priority="2898">
      <colorScale>
        <cfvo type="min"/>
        <cfvo type="percentile" val="50"/>
        <cfvo type="max"/>
        <color rgb="FF63BE7B"/>
        <color rgb="FFFFEB84"/>
        <color rgb="FFF8696B"/>
      </colorScale>
    </cfRule>
  </conditionalFormatting>
  <conditionalFormatting sqref="CE67">
    <cfRule type="colorScale" priority="2897">
      <colorScale>
        <cfvo type="min"/>
        <cfvo type="max"/>
        <color rgb="FFF8696B"/>
        <color rgb="FFFCFCFF"/>
      </colorScale>
    </cfRule>
  </conditionalFormatting>
  <conditionalFormatting sqref="CE67">
    <cfRule type="colorScale" priority="2895">
      <colorScale>
        <cfvo type="min"/>
        <cfvo type="percentile" val="50"/>
        <cfvo type="max"/>
        <color rgb="FFF8696B"/>
        <color rgb="FFFFEB84"/>
        <color rgb="FF63BE7B"/>
      </colorScale>
    </cfRule>
  </conditionalFormatting>
  <conditionalFormatting sqref="CE67">
    <cfRule type="colorScale" priority="2894">
      <colorScale>
        <cfvo type="min"/>
        <cfvo type="max"/>
        <color rgb="FFFCFCFF"/>
        <color rgb="FFF8696B"/>
      </colorScale>
    </cfRule>
  </conditionalFormatting>
  <conditionalFormatting sqref="CG67">
    <cfRule type="colorScale" priority="2893">
      <colorScale>
        <cfvo type="min"/>
        <cfvo type="percentile" val="50"/>
        <cfvo type="max"/>
        <color rgb="FFF8696B"/>
        <color rgb="FFFFEB84"/>
        <color rgb="FF63BE7B"/>
      </colorScale>
    </cfRule>
  </conditionalFormatting>
  <conditionalFormatting sqref="CG67">
    <cfRule type="colorScale" priority="2892">
      <colorScale>
        <cfvo type="min"/>
        <cfvo type="percentile" val="50"/>
        <cfvo type="max"/>
        <color rgb="FF63BE7B"/>
        <color rgb="FFFFEB84"/>
        <color rgb="FFF8696B"/>
      </colorScale>
    </cfRule>
  </conditionalFormatting>
  <conditionalFormatting sqref="CG67">
    <cfRule type="colorScale" priority="2889">
      <colorScale>
        <cfvo type="min"/>
        <cfvo type="max"/>
        <color rgb="FFFCFCFF"/>
        <color rgb="FFF8696B"/>
      </colorScale>
    </cfRule>
    <cfRule type="colorScale" priority="2891">
      <colorScale>
        <cfvo type="min"/>
        <cfvo type="percentile" val="50"/>
        <cfvo type="max"/>
        <color rgb="FF63BE7B"/>
        <color rgb="FFFFEB84"/>
        <color rgb="FFF8696B"/>
      </colorScale>
    </cfRule>
  </conditionalFormatting>
  <conditionalFormatting sqref="CG67">
    <cfRule type="colorScale" priority="2890">
      <colorScale>
        <cfvo type="min"/>
        <cfvo type="max"/>
        <color rgb="FFF8696B"/>
        <color rgb="FFFCFCFF"/>
      </colorScale>
    </cfRule>
  </conditionalFormatting>
  <conditionalFormatting sqref="CG67">
    <cfRule type="colorScale" priority="2888">
      <colorScale>
        <cfvo type="min"/>
        <cfvo type="percentile" val="50"/>
        <cfvo type="max"/>
        <color rgb="FFF8696B"/>
        <color rgb="FFFFEB84"/>
        <color rgb="FF63BE7B"/>
      </colorScale>
    </cfRule>
  </conditionalFormatting>
  <conditionalFormatting sqref="CG67">
    <cfRule type="colorScale" priority="2887">
      <colorScale>
        <cfvo type="min"/>
        <cfvo type="max"/>
        <color rgb="FFFCFCFF"/>
        <color rgb="FFF8696B"/>
      </colorScale>
    </cfRule>
  </conditionalFormatting>
  <conditionalFormatting sqref="CE56 CG56 CE67:CE71 CG67:CG71">
    <cfRule type="colorScale" priority="2886">
      <colorScale>
        <cfvo type="min"/>
        <cfvo type="max"/>
        <color rgb="FFFCFCFF"/>
        <color rgb="FFF8696B"/>
      </colorScale>
    </cfRule>
  </conditionalFormatting>
  <conditionalFormatting sqref="CI18">
    <cfRule type="colorScale" priority="2885">
      <colorScale>
        <cfvo type="min"/>
        <cfvo type="percentile" val="50"/>
        <cfvo type="max"/>
        <color rgb="FFF8696B"/>
        <color rgb="FFFFEB84"/>
        <color rgb="FF63BE7B"/>
      </colorScale>
    </cfRule>
  </conditionalFormatting>
  <conditionalFormatting sqref="CI18">
    <cfRule type="colorScale" priority="2884">
      <colorScale>
        <cfvo type="min"/>
        <cfvo type="percentile" val="50"/>
        <cfvo type="max"/>
        <color rgb="FF63BE7B"/>
        <color rgb="FFFFEB84"/>
        <color rgb="FFF8696B"/>
      </colorScale>
    </cfRule>
  </conditionalFormatting>
  <conditionalFormatting sqref="CI18">
    <cfRule type="colorScale" priority="2881">
      <colorScale>
        <cfvo type="min"/>
        <cfvo type="max"/>
        <color rgb="FFFCFCFF"/>
        <color rgb="FFF8696B"/>
      </colorScale>
    </cfRule>
    <cfRule type="colorScale" priority="2883">
      <colorScale>
        <cfvo type="min"/>
        <cfvo type="percentile" val="50"/>
        <cfvo type="max"/>
        <color rgb="FF63BE7B"/>
        <color rgb="FFFFEB84"/>
        <color rgb="FFF8696B"/>
      </colorScale>
    </cfRule>
  </conditionalFormatting>
  <conditionalFormatting sqref="CI18">
    <cfRule type="colorScale" priority="2882">
      <colorScale>
        <cfvo type="min"/>
        <cfvo type="max"/>
        <color rgb="FFF8696B"/>
        <color rgb="FFFCFCFF"/>
      </colorScale>
    </cfRule>
  </conditionalFormatting>
  <conditionalFormatting sqref="CI18">
    <cfRule type="colorScale" priority="2880">
      <colorScale>
        <cfvo type="min"/>
        <cfvo type="max"/>
        <color rgb="FFFCFCFF"/>
        <color rgb="FFF8696B"/>
      </colorScale>
    </cfRule>
  </conditionalFormatting>
  <conditionalFormatting sqref="CI13">
    <cfRule type="colorScale" priority="2879">
      <colorScale>
        <cfvo type="min"/>
        <cfvo type="percentile" val="50"/>
        <cfvo type="max"/>
        <color rgb="FFF8696B"/>
        <color rgb="FFFFEB84"/>
        <color rgb="FF63BE7B"/>
      </colorScale>
    </cfRule>
  </conditionalFormatting>
  <conditionalFormatting sqref="CI13">
    <cfRule type="colorScale" priority="2878">
      <colorScale>
        <cfvo type="min"/>
        <cfvo type="percentile" val="50"/>
        <cfvo type="max"/>
        <color rgb="FFF8696B"/>
        <color rgb="FFFFEB84"/>
        <color rgb="FF63BE7B"/>
      </colorScale>
    </cfRule>
  </conditionalFormatting>
  <conditionalFormatting sqref="CI13">
    <cfRule type="colorScale" priority="2877">
      <colorScale>
        <cfvo type="min"/>
        <cfvo type="percentile" val="50"/>
        <cfvo type="max"/>
        <color rgb="FF63BE7B"/>
        <color rgb="FFFFEB84"/>
        <color rgb="FFF8696B"/>
      </colorScale>
    </cfRule>
  </conditionalFormatting>
  <conditionalFormatting sqref="CI13">
    <cfRule type="colorScale" priority="2874">
      <colorScale>
        <cfvo type="min"/>
        <cfvo type="max"/>
        <color rgb="FFFCFCFF"/>
        <color rgb="FFF8696B"/>
      </colorScale>
    </cfRule>
    <cfRule type="colorScale" priority="2876">
      <colorScale>
        <cfvo type="min"/>
        <cfvo type="percentile" val="50"/>
        <cfvo type="max"/>
        <color rgb="FF63BE7B"/>
        <color rgb="FFFFEB84"/>
        <color rgb="FFF8696B"/>
      </colorScale>
    </cfRule>
  </conditionalFormatting>
  <conditionalFormatting sqref="CI13">
    <cfRule type="colorScale" priority="2875">
      <colorScale>
        <cfvo type="min"/>
        <cfvo type="max"/>
        <color rgb="FFF8696B"/>
        <color rgb="FFFCFCFF"/>
      </colorScale>
    </cfRule>
  </conditionalFormatting>
  <conditionalFormatting sqref="CI13">
    <cfRule type="colorScale" priority="2873">
      <colorScale>
        <cfvo type="min"/>
        <cfvo type="max"/>
        <color rgb="FFFCFCFF"/>
        <color rgb="FFF8696B"/>
      </colorScale>
    </cfRule>
  </conditionalFormatting>
  <conditionalFormatting sqref="CE18 CG18">
    <cfRule type="colorScale" priority="2872">
      <colorScale>
        <cfvo type="min"/>
        <cfvo type="max"/>
        <color rgb="FFFCFCFF"/>
        <color rgb="FFF8696B"/>
      </colorScale>
    </cfRule>
  </conditionalFormatting>
  <conditionalFormatting sqref="CE13 CG13">
    <cfRule type="colorScale" priority="2871">
      <colorScale>
        <cfvo type="min"/>
        <cfvo type="percentile" val="50"/>
        <cfvo type="max"/>
        <color rgb="FFF8696B"/>
        <color rgb="FFFFEB84"/>
        <color rgb="FF63BE7B"/>
      </colorScale>
    </cfRule>
  </conditionalFormatting>
  <conditionalFormatting sqref="CE13 CG13">
    <cfRule type="colorScale" priority="2870">
      <colorScale>
        <cfvo type="min"/>
        <cfvo type="percentile" val="50"/>
        <cfvo type="max"/>
        <color rgb="FFF8696B"/>
        <color rgb="FFFFEB84"/>
        <color rgb="FF63BE7B"/>
      </colorScale>
    </cfRule>
  </conditionalFormatting>
  <conditionalFormatting sqref="CE13 CG13">
    <cfRule type="colorScale" priority="2869">
      <colorScale>
        <cfvo type="min"/>
        <cfvo type="percentile" val="50"/>
        <cfvo type="max"/>
        <color rgb="FF63BE7B"/>
        <color rgb="FFFFEB84"/>
        <color rgb="FFF8696B"/>
      </colorScale>
    </cfRule>
  </conditionalFormatting>
  <conditionalFormatting sqref="CE13 CG13">
    <cfRule type="colorScale" priority="2866">
      <colorScale>
        <cfvo type="min"/>
        <cfvo type="max"/>
        <color rgb="FFFCFCFF"/>
        <color rgb="FFF8696B"/>
      </colorScale>
    </cfRule>
    <cfRule type="colorScale" priority="2868">
      <colorScale>
        <cfvo type="min"/>
        <cfvo type="percentile" val="50"/>
        <cfvo type="max"/>
        <color rgb="FF63BE7B"/>
        <color rgb="FFFFEB84"/>
        <color rgb="FFF8696B"/>
      </colorScale>
    </cfRule>
  </conditionalFormatting>
  <conditionalFormatting sqref="CE13 CG13">
    <cfRule type="colorScale" priority="2867">
      <colorScale>
        <cfvo type="min"/>
        <cfvo type="max"/>
        <color rgb="FFF8696B"/>
        <color rgb="FFFCFCFF"/>
      </colorScale>
    </cfRule>
  </conditionalFormatting>
  <conditionalFormatting sqref="CE13 CG13">
    <cfRule type="colorScale" priority="2865">
      <colorScale>
        <cfvo type="min"/>
        <cfvo type="max"/>
        <color rgb="FFFCFCFF"/>
        <color rgb="FFF8696B"/>
      </colorScale>
    </cfRule>
  </conditionalFormatting>
  <conditionalFormatting sqref="CM18">
    <cfRule type="colorScale" priority="2864">
      <colorScale>
        <cfvo type="min"/>
        <cfvo type="percentile" val="50"/>
        <cfvo type="max"/>
        <color rgb="FFF8696B"/>
        <color rgb="FFFFEB84"/>
        <color rgb="FF63BE7B"/>
      </colorScale>
    </cfRule>
  </conditionalFormatting>
  <conditionalFormatting sqref="CM18">
    <cfRule type="colorScale" priority="2863">
      <colorScale>
        <cfvo type="min"/>
        <cfvo type="percentile" val="50"/>
        <cfvo type="max"/>
        <color rgb="FFF8696B"/>
        <color rgb="FFFFEB84"/>
        <color rgb="FF63BE7B"/>
      </colorScale>
    </cfRule>
  </conditionalFormatting>
  <conditionalFormatting sqref="CM18">
    <cfRule type="colorScale" priority="2862">
      <colorScale>
        <cfvo type="min"/>
        <cfvo type="percentile" val="50"/>
        <cfvo type="max"/>
        <color rgb="FF63BE7B"/>
        <color rgb="FFFFEB84"/>
        <color rgb="FFF8696B"/>
      </colorScale>
    </cfRule>
  </conditionalFormatting>
  <conditionalFormatting sqref="CM18">
    <cfRule type="colorScale" priority="2859">
      <colorScale>
        <cfvo type="min"/>
        <cfvo type="max"/>
        <color rgb="FFFCFCFF"/>
        <color rgb="FFF8696B"/>
      </colorScale>
    </cfRule>
    <cfRule type="colorScale" priority="2861">
      <colorScale>
        <cfvo type="min"/>
        <cfvo type="percentile" val="50"/>
        <cfvo type="max"/>
        <color rgb="FF63BE7B"/>
        <color rgb="FFFFEB84"/>
        <color rgb="FFF8696B"/>
      </colorScale>
    </cfRule>
  </conditionalFormatting>
  <conditionalFormatting sqref="CM18">
    <cfRule type="colorScale" priority="2860">
      <colorScale>
        <cfvo type="min"/>
        <cfvo type="max"/>
        <color rgb="FFF8696B"/>
        <color rgb="FFFCFCFF"/>
      </colorScale>
    </cfRule>
  </conditionalFormatting>
  <conditionalFormatting sqref="CM18">
    <cfRule type="colorScale" priority="2858">
      <colorScale>
        <cfvo type="min"/>
        <cfvo type="max"/>
        <color rgb="FFFCFCFF"/>
        <color rgb="FFF8696B"/>
      </colorScale>
    </cfRule>
  </conditionalFormatting>
  <conditionalFormatting sqref="CO18">
    <cfRule type="colorScale" priority="2857">
      <colorScale>
        <cfvo type="min"/>
        <cfvo type="percentile" val="50"/>
        <cfvo type="max"/>
        <color rgb="FFF8696B"/>
        <color rgb="FFFFEB84"/>
        <color rgb="FF63BE7B"/>
      </colorScale>
    </cfRule>
  </conditionalFormatting>
  <conditionalFormatting sqref="CO18">
    <cfRule type="colorScale" priority="2856">
      <colorScale>
        <cfvo type="min"/>
        <cfvo type="percentile" val="50"/>
        <cfvo type="max"/>
        <color rgb="FFF8696B"/>
        <color rgb="FFFFEB84"/>
        <color rgb="FF63BE7B"/>
      </colorScale>
    </cfRule>
  </conditionalFormatting>
  <conditionalFormatting sqref="CO18">
    <cfRule type="colorScale" priority="2855">
      <colorScale>
        <cfvo type="min"/>
        <cfvo type="percentile" val="50"/>
        <cfvo type="max"/>
        <color rgb="FF63BE7B"/>
        <color rgb="FFFFEB84"/>
        <color rgb="FFF8696B"/>
      </colorScale>
    </cfRule>
  </conditionalFormatting>
  <conditionalFormatting sqref="CO18">
    <cfRule type="colorScale" priority="2852">
      <colorScale>
        <cfvo type="min"/>
        <cfvo type="max"/>
        <color rgb="FFFCFCFF"/>
        <color rgb="FFF8696B"/>
      </colorScale>
    </cfRule>
    <cfRule type="colorScale" priority="2854">
      <colorScale>
        <cfvo type="min"/>
        <cfvo type="percentile" val="50"/>
        <cfvo type="max"/>
        <color rgb="FF63BE7B"/>
        <color rgb="FFFFEB84"/>
        <color rgb="FFF8696B"/>
      </colorScale>
    </cfRule>
  </conditionalFormatting>
  <conditionalFormatting sqref="CO18">
    <cfRule type="colorScale" priority="2853">
      <colorScale>
        <cfvo type="min"/>
        <cfvo type="max"/>
        <color rgb="FFF8696B"/>
        <color rgb="FFFCFCFF"/>
      </colorScale>
    </cfRule>
  </conditionalFormatting>
  <conditionalFormatting sqref="CO18">
    <cfRule type="colorScale" priority="2851">
      <colorScale>
        <cfvo type="min"/>
        <cfvo type="max"/>
        <color rgb="FFFCFCFF"/>
        <color rgb="FFF8696B"/>
      </colorScale>
    </cfRule>
  </conditionalFormatting>
  <conditionalFormatting sqref="CQ18">
    <cfRule type="colorScale" priority="2850">
      <colorScale>
        <cfvo type="min"/>
        <cfvo type="percentile" val="50"/>
        <cfvo type="max"/>
        <color rgb="FFF8696B"/>
        <color rgb="FFFFEB84"/>
        <color rgb="FF63BE7B"/>
      </colorScale>
    </cfRule>
  </conditionalFormatting>
  <conditionalFormatting sqref="CQ18">
    <cfRule type="colorScale" priority="2849">
      <colorScale>
        <cfvo type="min"/>
        <cfvo type="percentile" val="50"/>
        <cfvo type="max"/>
        <color rgb="FFF8696B"/>
        <color rgb="FFFFEB84"/>
        <color rgb="FF63BE7B"/>
      </colorScale>
    </cfRule>
  </conditionalFormatting>
  <conditionalFormatting sqref="CQ18">
    <cfRule type="colorScale" priority="2848">
      <colorScale>
        <cfvo type="min"/>
        <cfvo type="percentile" val="50"/>
        <cfvo type="max"/>
        <color rgb="FF63BE7B"/>
        <color rgb="FFFFEB84"/>
        <color rgb="FFF8696B"/>
      </colorScale>
    </cfRule>
  </conditionalFormatting>
  <conditionalFormatting sqref="CQ18">
    <cfRule type="colorScale" priority="2845">
      <colorScale>
        <cfvo type="min"/>
        <cfvo type="max"/>
        <color rgb="FFFCFCFF"/>
        <color rgb="FFF8696B"/>
      </colorScale>
    </cfRule>
    <cfRule type="colorScale" priority="2847">
      <colorScale>
        <cfvo type="min"/>
        <cfvo type="percentile" val="50"/>
        <cfvo type="max"/>
        <color rgb="FF63BE7B"/>
        <color rgb="FFFFEB84"/>
        <color rgb="FFF8696B"/>
      </colorScale>
    </cfRule>
  </conditionalFormatting>
  <conditionalFormatting sqref="CQ18">
    <cfRule type="colorScale" priority="2846">
      <colorScale>
        <cfvo type="min"/>
        <cfvo type="max"/>
        <color rgb="FFF8696B"/>
        <color rgb="FFFCFCFF"/>
      </colorScale>
    </cfRule>
  </conditionalFormatting>
  <conditionalFormatting sqref="CQ18">
    <cfRule type="colorScale" priority="2844">
      <colorScale>
        <cfvo type="min"/>
        <cfvo type="max"/>
        <color rgb="FFFCFCFF"/>
        <color rgb="FFF8696B"/>
      </colorScale>
    </cfRule>
  </conditionalFormatting>
  <conditionalFormatting sqref="CM13">
    <cfRule type="colorScale" priority="2843">
      <colorScale>
        <cfvo type="min"/>
        <cfvo type="percentile" val="50"/>
        <cfvo type="max"/>
        <color rgb="FFF8696B"/>
        <color rgb="FFFFEB84"/>
        <color rgb="FF63BE7B"/>
      </colorScale>
    </cfRule>
  </conditionalFormatting>
  <conditionalFormatting sqref="CM13">
    <cfRule type="colorScale" priority="2842">
      <colorScale>
        <cfvo type="min"/>
        <cfvo type="percentile" val="50"/>
        <cfvo type="max"/>
        <color rgb="FFF8696B"/>
        <color rgb="FFFFEB84"/>
        <color rgb="FF63BE7B"/>
      </colorScale>
    </cfRule>
  </conditionalFormatting>
  <conditionalFormatting sqref="CM13">
    <cfRule type="colorScale" priority="2841">
      <colorScale>
        <cfvo type="min"/>
        <cfvo type="percentile" val="50"/>
        <cfvo type="max"/>
        <color rgb="FF63BE7B"/>
        <color rgb="FFFFEB84"/>
        <color rgb="FFF8696B"/>
      </colorScale>
    </cfRule>
  </conditionalFormatting>
  <conditionalFormatting sqref="CM13">
    <cfRule type="colorScale" priority="2838">
      <colorScale>
        <cfvo type="min"/>
        <cfvo type="max"/>
        <color rgb="FFFCFCFF"/>
        <color rgb="FFF8696B"/>
      </colorScale>
    </cfRule>
    <cfRule type="colorScale" priority="2840">
      <colorScale>
        <cfvo type="min"/>
        <cfvo type="percentile" val="50"/>
        <cfvo type="max"/>
        <color rgb="FF63BE7B"/>
        <color rgb="FFFFEB84"/>
        <color rgb="FFF8696B"/>
      </colorScale>
    </cfRule>
  </conditionalFormatting>
  <conditionalFormatting sqref="CM13">
    <cfRule type="colorScale" priority="2839">
      <colorScale>
        <cfvo type="min"/>
        <cfvo type="max"/>
        <color rgb="FFF8696B"/>
        <color rgb="FFFCFCFF"/>
      </colorScale>
    </cfRule>
  </conditionalFormatting>
  <conditionalFormatting sqref="CM13">
    <cfRule type="colorScale" priority="2837">
      <colorScale>
        <cfvo type="min"/>
        <cfvo type="max"/>
        <color rgb="FFFCFCFF"/>
        <color rgb="FFF8696B"/>
      </colorScale>
    </cfRule>
  </conditionalFormatting>
  <conditionalFormatting sqref="CO13">
    <cfRule type="colorScale" priority="2836">
      <colorScale>
        <cfvo type="min"/>
        <cfvo type="percentile" val="50"/>
        <cfvo type="max"/>
        <color rgb="FFF8696B"/>
        <color rgb="FFFFEB84"/>
        <color rgb="FF63BE7B"/>
      </colorScale>
    </cfRule>
  </conditionalFormatting>
  <conditionalFormatting sqref="CO13">
    <cfRule type="colorScale" priority="2835">
      <colorScale>
        <cfvo type="min"/>
        <cfvo type="percentile" val="50"/>
        <cfvo type="max"/>
        <color rgb="FFF8696B"/>
        <color rgb="FFFFEB84"/>
        <color rgb="FF63BE7B"/>
      </colorScale>
    </cfRule>
  </conditionalFormatting>
  <conditionalFormatting sqref="CO13">
    <cfRule type="colorScale" priority="2834">
      <colorScale>
        <cfvo type="min"/>
        <cfvo type="percentile" val="50"/>
        <cfvo type="max"/>
        <color rgb="FF63BE7B"/>
        <color rgb="FFFFEB84"/>
        <color rgb="FFF8696B"/>
      </colorScale>
    </cfRule>
  </conditionalFormatting>
  <conditionalFormatting sqref="CO13">
    <cfRule type="colorScale" priority="2831">
      <colorScale>
        <cfvo type="min"/>
        <cfvo type="max"/>
        <color rgb="FFFCFCFF"/>
        <color rgb="FFF8696B"/>
      </colorScale>
    </cfRule>
    <cfRule type="colorScale" priority="2833">
      <colorScale>
        <cfvo type="min"/>
        <cfvo type="percentile" val="50"/>
        <cfvo type="max"/>
        <color rgb="FF63BE7B"/>
        <color rgb="FFFFEB84"/>
        <color rgb="FFF8696B"/>
      </colorScale>
    </cfRule>
  </conditionalFormatting>
  <conditionalFormatting sqref="CO13">
    <cfRule type="colorScale" priority="2832">
      <colorScale>
        <cfvo type="min"/>
        <cfvo type="max"/>
        <color rgb="FFF8696B"/>
        <color rgb="FFFCFCFF"/>
      </colorScale>
    </cfRule>
  </conditionalFormatting>
  <conditionalFormatting sqref="CO13">
    <cfRule type="colorScale" priority="2830">
      <colorScale>
        <cfvo type="min"/>
        <cfvo type="max"/>
        <color rgb="FFFCFCFF"/>
        <color rgb="FFF8696B"/>
      </colorScale>
    </cfRule>
  </conditionalFormatting>
  <conditionalFormatting sqref="CQ13">
    <cfRule type="colorScale" priority="2829">
      <colorScale>
        <cfvo type="min"/>
        <cfvo type="percentile" val="50"/>
        <cfvo type="max"/>
        <color rgb="FFF8696B"/>
        <color rgb="FFFFEB84"/>
        <color rgb="FF63BE7B"/>
      </colorScale>
    </cfRule>
  </conditionalFormatting>
  <conditionalFormatting sqref="CQ13">
    <cfRule type="colorScale" priority="2828">
      <colorScale>
        <cfvo type="min"/>
        <cfvo type="percentile" val="50"/>
        <cfvo type="max"/>
        <color rgb="FFF8696B"/>
        <color rgb="FFFFEB84"/>
        <color rgb="FF63BE7B"/>
      </colorScale>
    </cfRule>
  </conditionalFormatting>
  <conditionalFormatting sqref="CQ13">
    <cfRule type="colorScale" priority="2827">
      <colorScale>
        <cfvo type="min"/>
        <cfvo type="percentile" val="50"/>
        <cfvo type="max"/>
        <color rgb="FF63BE7B"/>
        <color rgb="FFFFEB84"/>
        <color rgb="FFF8696B"/>
      </colorScale>
    </cfRule>
  </conditionalFormatting>
  <conditionalFormatting sqref="CQ13">
    <cfRule type="colorScale" priority="2824">
      <colorScale>
        <cfvo type="min"/>
        <cfvo type="max"/>
        <color rgb="FFFCFCFF"/>
        <color rgb="FFF8696B"/>
      </colorScale>
    </cfRule>
    <cfRule type="colorScale" priority="2826">
      <colorScale>
        <cfvo type="min"/>
        <cfvo type="percentile" val="50"/>
        <cfvo type="max"/>
        <color rgb="FF63BE7B"/>
        <color rgb="FFFFEB84"/>
        <color rgb="FFF8696B"/>
      </colorScale>
    </cfRule>
  </conditionalFormatting>
  <conditionalFormatting sqref="CQ13">
    <cfRule type="colorScale" priority="2825">
      <colorScale>
        <cfvo type="min"/>
        <cfvo type="max"/>
        <color rgb="FFF8696B"/>
        <color rgb="FFFCFCFF"/>
      </colorScale>
    </cfRule>
  </conditionalFormatting>
  <conditionalFormatting sqref="CQ13">
    <cfRule type="colorScale" priority="2823">
      <colorScale>
        <cfvo type="min"/>
        <cfvo type="max"/>
        <color rgb="FFFCFCFF"/>
        <color rgb="FFF8696B"/>
      </colorScale>
    </cfRule>
  </conditionalFormatting>
  <conditionalFormatting sqref="CK13">
    <cfRule type="colorScale" priority="2822">
      <colorScale>
        <cfvo type="min"/>
        <cfvo type="percentile" val="50"/>
        <cfvo type="max"/>
        <color rgb="FFF8696B"/>
        <color rgb="FFFFEB84"/>
        <color rgb="FF63BE7B"/>
      </colorScale>
    </cfRule>
  </conditionalFormatting>
  <conditionalFormatting sqref="CK13">
    <cfRule type="colorScale" priority="2821">
      <colorScale>
        <cfvo type="min"/>
        <cfvo type="percentile" val="50"/>
        <cfvo type="max"/>
        <color rgb="FFF8696B"/>
        <color rgb="FFFFEB84"/>
        <color rgb="FF63BE7B"/>
      </colorScale>
    </cfRule>
  </conditionalFormatting>
  <conditionalFormatting sqref="CK13">
    <cfRule type="colorScale" priority="2820">
      <colorScale>
        <cfvo type="min"/>
        <cfvo type="percentile" val="50"/>
        <cfvo type="max"/>
        <color rgb="FF63BE7B"/>
        <color rgb="FFFFEB84"/>
        <color rgb="FFF8696B"/>
      </colorScale>
    </cfRule>
  </conditionalFormatting>
  <conditionalFormatting sqref="CK13">
    <cfRule type="colorScale" priority="2817">
      <colorScale>
        <cfvo type="min"/>
        <cfvo type="max"/>
        <color rgb="FFFCFCFF"/>
        <color rgb="FFF8696B"/>
      </colorScale>
    </cfRule>
    <cfRule type="colorScale" priority="2819">
      <colorScale>
        <cfvo type="min"/>
        <cfvo type="percentile" val="50"/>
        <cfvo type="max"/>
        <color rgb="FF63BE7B"/>
        <color rgb="FFFFEB84"/>
        <color rgb="FFF8696B"/>
      </colorScale>
    </cfRule>
  </conditionalFormatting>
  <conditionalFormatting sqref="CK13">
    <cfRule type="colorScale" priority="2818">
      <colorScale>
        <cfvo type="min"/>
        <cfvo type="max"/>
        <color rgb="FFF8696B"/>
        <color rgb="FFFCFCFF"/>
      </colorScale>
    </cfRule>
  </conditionalFormatting>
  <conditionalFormatting sqref="CK13">
    <cfRule type="colorScale" priority="2816">
      <colorScale>
        <cfvo type="min"/>
        <cfvo type="max"/>
        <color rgb="FFFCFCFF"/>
        <color rgb="FFF8696B"/>
      </colorScale>
    </cfRule>
  </conditionalFormatting>
  <conditionalFormatting sqref="CK18">
    <cfRule type="colorScale" priority="2815">
      <colorScale>
        <cfvo type="min"/>
        <cfvo type="percentile" val="50"/>
        <cfvo type="max"/>
        <color rgb="FFF8696B"/>
        <color rgb="FFFFEB84"/>
        <color rgb="FF63BE7B"/>
      </colorScale>
    </cfRule>
  </conditionalFormatting>
  <conditionalFormatting sqref="CK18">
    <cfRule type="colorScale" priority="2814">
      <colorScale>
        <cfvo type="min"/>
        <cfvo type="percentile" val="50"/>
        <cfvo type="max"/>
        <color rgb="FF63BE7B"/>
        <color rgb="FFFFEB84"/>
        <color rgb="FFF8696B"/>
      </colorScale>
    </cfRule>
  </conditionalFormatting>
  <conditionalFormatting sqref="CK18">
    <cfRule type="colorScale" priority="2811">
      <colorScale>
        <cfvo type="min"/>
        <cfvo type="max"/>
        <color rgb="FFFCFCFF"/>
        <color rgb="FFF8696B"/>
      </colorScale>
    </cfRule>
    <cfRule type="colorScale" priority="2813">
      <colorScale>
        <cfvo type="min"/>
        <cfvo type="percentile" val="50"/>
        <cfvo type="max"/>
        <color rgb="FF63BE7B"/>
        <color rgb="FFFFEB84"/>
        <color rgb="FFF8696B"/>
      </colorScale>
    </cfRule>
  </conditionalFormatting>
  <conditionalFormatting sqref="CK18">
    <cfRule type="colorScale" priority="2812">
      <colorScale>
        <cfvo type="min"/>
        <cfvo type="max"/>
        <color rgb="FFF8696B"/>
        <color rgb="FFFCFCFF"/>
      </colorScale>
    </cfRule>
  </conditionalFormatting>
  <conditionalFormatting sqref="CK18">
    <cfRule type="colorScale" priority="2810">
      <colorScale>
        <cfvo type="min"/>
        <cfvo type="max"/>
        <color rgb="FFFCFCFF"/>
        <color rgb="FFF8696B"/>
      </colorScale>
    </cfRule>
  </conditionalFormatting>
  <conditionalFormatting sqref="CE13 CG13 CI13 CK13 CM13 CO13 CQ13 CQ18 CO18 CM18 CK18 CI18">
    <cfRule type="colorScale" priority="2809">
      <colorScale>
        <cfvo type="min"/>
        <cfvo type="max"/>
        <color rgb="FFFCFCFF"/>
        <color rgb="FFF8696B"/>
      </colorScale>
    </cfRule>
  </conditionalFormatting>
  <conditionalFormatting sqref="CE39 CG39">
    <cfRule type="colorScale" priority="2808">
      <colorScale>
        <cfvo type="min"/>
        <cfvo type="percentile" val="50"/>
        <cfvo type="max"/>
        <color rgb="FFF8696B"/>
        <color rgb="FFFFEB84"/>
        <color rgb="FF63BE7B"/>
      </colorScale>
    </cfRule>
  </conditionalFormatting>
  <conditionalFormatting sqref="CE39 CG39">
    <cfRule type="colorScale" priority="2807">
      <colorScale>
        <cfvo type="min"/>
        <cfvo type="percentile" val="50"/>
        <cfvo type="max"/>
        <color rgb="FF63BE7B"/>
        <color rgb="FFFFEB84"/>
        <color rgb="FFF8696B"/>
      </colorScale>
    </cfRule>
  </conditionalFormatting>
  <conditionalFormatting sqref="CE39 CG39">
    <cfRule type="colorScale" priority="2804">
      <colorScale>
        <cfvo type="min"/>
        <cfvo type="max"/>
        <color rgb="FFFCFCFF"/>
        <color rgb="FFF8696B"/>
      </colorScale>
    </cfRule>
    <cfRule type="colorScale" priority="2806">
      <colorScale>
        <cfvo type="min"/>
        <cfvo type="percentile" val="50"/>
        <cfvo type="max"/>
        <color rgb="FF63BE7B"/>
        <color rgb="FFFFEB84"/>
        <color rgb="FFF8696B"/>
      </colorScale>
    </cfRule>
  </conditionalFormatting>
  <conditionalFormatting sqref="CE39 CG39">
    <cfRule type="colorScale" priority="2805">
      <colorScale>
        <cfvo type="min"/>
        <cfvo type="max"/>
        <color rgb="FFF8696B"/>
        <color rgb="FFFCFCFF"/>
      </colorScale>
    </cfRule>
  </conditionalFormatting>
  <conditionalFormatting sqref="CE39">
    <cfRule type="colorScale" priority="2803">
      <colorScale>
        <cfvo type="min"/>
        <cfvo type="percentile" val="50"/>
        <cfvo type="max"/>
        <color rgb="FFF8696B"/>
        <color rgb="FFFFEB84"/>
        <color rgb="FF63BE7B"/>
      </colorScale>
    </cfRule>
  </conditionalFormatting>
  <conditionalFormatting sqref="CG39">
    <cfRule type="colorScale" priority="2802">
      <colorScale>
        <cfvo type="min"/>
        <cfvo type="percentile" val="50"/>
        <cfvo type="max"/>
        <color rgb="FFF8696B"/>
        <color rgb="FFFFEB84"/>
        <color rgb="FF63BE7B"/>
      </colorScale>
    </cfRule>
  </conditionalFormatting>
  <conditionalFormatting sqref="CE39 CG39">
    <cfRule type="colorScale" priority="2801">
      <colorScale>
        <cfvo type="min"/>
        <cfvo type="max"/>
        <color rgb="FFFCFCFF"/>
        <color rgb="FFF8696B"/>
      </colorScale>
    </cfRule>
  </conditionalFormatting>
  <conditionalFormatting sqref="CM28 CI39 CM23 CI33 CK33 CM33 CK39 CM39">
    <cfRule type="colorScale" priority="2800">
      <colorScale>
        <cfvo type="min"/>
        <cfvo type="percentile" val="50"/>
        <cfvo type="max"/>
        <color rgb="FFF8696B"/>
        <color rgb="FFFFEB84"/>
        <color rgb="FF63BE7B"/>
      </colorScale>
    </cfRule>
  </conditionalFormatting>
  <conditionalFormatting sqref="CM33">
    <cfRule type="colorScale" priority="2799">
      <colorScale>
        <cfvo type="min"/>
        <cfvo type="percentile" val="50"/>
        <cfvo type="max"/>
        <color rgb="FFF8696B"/>
        <color rgb="FFFFEB84"/>
        <color rgb="FF63BE7B"/>
      </colorScale>
    </cfRule>
  </conditionalFormatting>
  <conditionalFormatting sqref="CM23 CI39 CM28 CI33 CK33 CM33 CK39 CM39">
    <cfRule type="colorScale" priority="2798">
      <colorScale>
        <cfvo type="min"/>
        <cfvo type="percentile" val="50"/>
        <cfvo type="max"/>
        <color rgb="FF63BE7B"/>
        <color rgb="FFFFEB84"/>
        <color rgb="FFF8696B"/>
      </colorScale>
    </cfRule>
  </conditionalFormatting>
  <conditionalFormatting sqref="CI39 CM23 CM28 CI33 CK33 CM33 CK39 CM39">
    <cfRule type="colorScale" priority="2795">
      <colorScale>
        <cfvo type="min"/>
        <cfvo type="max"/>
        <color rgb="FFFCFCFF"/>
        <color rgb="FFF8696B"/>
      </colorScale>
    </cfRule>
    <cfRule type="colorScale" priority="2797">
      <colorScale>
        <cfvo type="min"/>
        <cfvo type="percentile" val="50"/>
        <cfvo type="max"/>
        <color rgb="FF63BE7B"/>
        <color rgb="FFFFEB84"/>
        <color rgb="FFF8696B"/>
      </colorScale>
    </cfRule>
  </conditionalFormatting>
  <conditionalFormatting sqref="CM28 CI39 CM23 CI33 CK33 CM33 CK39 CM39">
    <cfRule type="colorScale" priority="2796">
      <colorScale>
        <cfvo type="min"/>
        <cfvo type="max"/>
        <color rgb="FFF8696B"/>
        <color rgb="FFFCFCFF"/>
      </colorScale>
    </cfRule>
  </conditionalFormatting>
  <conditionalFormatting sqref="CI41">
    <cfRule type="colorScale" priority="2794">
      <colorScale>
        <cfvo type="min"/>
        <cfvo type="percentile" val="50"/>
        <cfvo type="max"/>
        <color rgb="FFF8696B"/>
        <color rgb="FFFFEB84"/>
        <color rgb="FF63BE7B"/>
      </colorScale>
    </cfRule>
  </conditionalFormatting>
  <conditionalFormatting sqref="CI41">
    <cfRule type="colorScale" priority="2793">
      <colorScale>
        <cfvo type="min"/>
        <cfvo type="percentile" val="50"/>
        <cfvo type="max"/>
        <color rgb="FFF8696B"/>
        <color rgb="FFFFEB84"/>
        <color rgb="FF63BE7B"/>
      </colorScale>
    </cfRule>
  </conditionalFormatting>
  <conditionalFormatting sqref="CI41">
    <cfRule type="colorScale" priority="2792">
      <colorScale>
        <cfvo type="min"/>
        <cfvo type="percentile" val="50"/>
        <cfvo type="max"/>
        <color rgb="FFF8696B"/>
        <color rgb="FFFFEB84"/>
        <color rgb="FF63BE7B"/>
      </colorScale>
    </cfRule>
  </conditionalFormatting>
  <conditionalFormatting sqref="CI41">
    <cfRule type="colorScale" priority="2791">
      <colorScale>
        <cfvo type="min"/>
        <cfvo type="percentile" val="50"/>
        <cfvo type="max"/>
        <color rgb="FF63BE7B"/>
        <color rgb="FFFFEB84"/>
        <color rgb="FFF8696B"/>
      </colorScale>
    </cfRule>
  </conditionalFormatting>
  <conditionalFormatting sqref="CI41">
    <cfRule type="colorScale" priority="2788">
      <colorScale>
        <cfvo type="min"/>
        <cfvo type="max"/>
        <color rgb="FFFCFCFF"/>
        <color rgb="FFF8696B"/>
      </colorScale>
    </cfRule>
    <cfRule type="colorScale" priority="2790">
      <colorScale>
        <cfvo type="min"/>
        <cfvo type="percentile" val="50"/>
        <cfvo type="max"/>
        <color rgb="FF63BE7B"/>
        <color rgb="FFFFEB84"/>
        <color rgb="FFF8696B"/>
      </colorScale>
    </cfRule>
  </conditionalFormatting>
  <conditionalFormatting sqref="CI41">
    <cfRule type="colorScale" priority="2789">
      <colorScale>
        <cfvo type="min"/>
        <cfvo type="max"/>
        <color rgb="FFF8696B"/>
        <color rgb="FFFCFCFF"/>
      </colorScale>
    </cfRule>
  </conditionalFormatting>
  <conditionalFormatting sqref="CK41">
    <cfRule type="colorScale" priority="2787">
      <colorScale>
        <cfvo type="min"/>
        <cfvo type="percentile" val="50"/>
        <cfvo type="max"/>
        <color rgb="FFF8696B"/>
        <color rgb="FFFFEB84"/>
        <color rgb="FF63BE7B"/>
      </colorScale>
    </cfRule>
  </conditionalFormatting>
  <conditionalFormatting sqref="CK41">
    <cfRule type="colorScale" priority="2786">
      <colorScale>
        <cfvo type="min"/>
        <cfvo type="percentile" val="50"/>
        <cfvo type="max"/>
        <color rgb="FFF8696B"/>
        <color rgb="FFFFEB84"/>
        <color rgb="FF63BE7B"/>
      </colorScale>
    </cfRule>
  </conditionalFormatting>
  <conditionalFormatting sqref="CK41">
    <cfRule type="colorScale" priority="2785">
      <colorScale>
        <cfvo type="min"/>
        <cfvo type="percentile" val="50"/>
        <cfvo type="max"/>
        <color rgb="FFF8696B"/>
        <color rgb="FFFFEB84"/>
        <color rgb="FF63BE7B"/>
      </colorScale>
    </cfRule>
  </conditionalFormatting>
  <conditionalFormatting sqref="CK41">
    <cfRule type="colorScale" priority="2784">
      <colorScale>
        <cfvo type="min"/>
        <cfvo type="percentile" val="50"/>
        <cfvo type="max"/>
        <color rgb="FF63BE7B"/>
        <color rgb="FFFFEB84"/>
        <color rgb="FFF8696B"/>
      </colorScale>
    </cfRule>
  </conditionalFormatting>
  <conditionalFormatting sqref="CK41">
    <cfRule type="colorScale" priority="2781">
      <colorScale>
        <cfvo type="min"/>
        <cfvo type="max"/>
        <color rgb="FFFCFCFF"/>
        <color rgb="FFF8696B"/>
      </colorScale>
    </cfRule>
    <cfRule type="colorScale" priority="2783">
      <colorScale>
        <cfvo type="min"/>
        <cfvo type="percentile" val="50"/>
        <cfvo type="max"/>
        <color rgb="FF63BE7B"/>
        <color rgb="FFFFEB84"/>
        <color rgb="FFF8696B"/>
      </colorScale>
    </cfRule>
  </conditionalFormatting>
  <conditionalFormatting sqref="CK41">
    <cfRule type="colorScale" priority="2782">
      <colorScale>
        <cfvo type="min"/>
        <cfvo type="max"/>
        <color rgb="FFF8696B"/>
        <color rgb="FFFCFCFF"/>
      </colorScale>
    </cfRule>
  </conditionalFormatting>
  <conditionalFormatting sqref="CM41">
    <cfRule type="colorScale" priority="2780">
      <colorScale>
        <cfvo type="min"/>
        <cfvo type="percentile" val="50"/>
        <cfvo type="max"/>
        <color rgb="FFF8696B"/>
        <color rgb="FFFFEB84"/>
        <color rgb="FF63BE7B"/>
      </colorScale>
    </cfRule>
  </conditionalFormatting>
  <conditionalFormatting sqref="CM41">
    <cfRule type="colorScale" priority="2779">
      <colorScale>
        <cfvo type="min"/>
        <cfvo type="percentile" val="50"/>
        <cfvo type="max"/>
        <color rgb="FFF8696B"/>
        <color rgb="FFFFEB84"/>
        <color rgb="FF63BE7B"/>
      </colorScale>
    </cfRule>
  </conditionalFormatting>
  <conditionalFormatting sqref="CM41">
    <cfRule type="colorScale" priority="2778">
      <colorScale>
        <cfvo type="min"/>
        <cfvo type="percentile" val="50"/>
        <cfvo type="max"/>
        <color rgb="FFF8696B"/>
        <color rgb="FFFFEB84"/>
        <color rgb="FF63BE7B"/>
      </colorScale>
    </cfRule>
  </conditionalFormatting>
  <conditionalFormatting sqref="CM41">
    <cfRule type="colorScale" priority="2777">
      <colorScale>
        <cfvo type="min"/>
        <cfvo type="percentile" val="50"/>
        <cfvo type="max"/>
        <color rgb="FF63BE7B"/>
        <color rgb="FFFFEB84"/>
        <color rgb="FFF8696B"/>
      </colorScale>
    </cfRule>
  </conditionalFormatting>
  <conditionalFormatting sqref="CM41">
    <cfRule type="colorScale" priority="2774">
      <colorScale>
        <cfvo type="min"/>
        <cfvo type="max"/>
        <color rgb="FFFCFCFF"/>
        <color rgb="FFF8696B"/>
      </colorScale>
    </cfRule>
    <cfRule type="colorScale" priority="2776">
      <colorScale>
        <cfvo type="min"/>
        <cfvo type="percentile" val="50"/>
        <cfvo type="max"/>
        <color rgb="FF63BE7B"/>
        <color rgb="FFFFEB84"/>
        <color rgb="FFF8696B"/>
      </colorScale>
    </cfRule>
  </conditionalFormatting>
  <conditionalFormatting sqref="CM41">
    <cfRule type="colorScale" priority="2775">
      <colorScale>
        <cfvo type="min"/>
        <cfvo type="max"/>
        <color rgb="FFF8696B"/>
        <color rgb="FFFCFCFF"/>
      </colorScale>
    </cfRule>
  </conditionalFormatting>
  <conditionalFormatting sqref="CM23">
    <cfRule type="colorScale" priority="2773">
      <colorScale>
        <cfvo type="min"/>
        <cfvo type="percentile" val="50"/>
        <cfvo type="max"/>
        <color rgb="FFF8696B"/>
        <color rgb="FFFFEB84"/>
        <color rgb="FF63BE7B"/>
      </colorScale>
    </cfRule>
  </conditionalFormatting>
  <conditionalFormatting sqref="CM28">
    <cfRule type="colorScale" priority="2772">
      <colorScale>
        <cfvo type="min"/>
        <cfvo type="percentile" val="50"/>
        <cfvo type="max"/>
        <color rgb="FFF8696B"/>
        <color rgb="FFFFEB84"/>
        <color rgb="FF63BE7B"/>
      </colorScale>
    </cfRule>
  </conditionalFormatting>
  <conditionalFormatting sqref="CI33">
    <cfRule type="colorScale" priority="2771">
      <colorScale>
        <cfvo type="min"/>
        <cfvo type="percentile" val="50"/>
        <cfvo type="max"/>
        <color rgb="FFF8696B"/>
        <color rgb="FFFFEB84"/>
        <color rgb="FF63BE7B"/>
      </colorScale>
    </cfRule>
  </conditionalFormatting>
  <conditionalFormatting sqref="CK33">
    <cfRule type="colorScale" priority="2770">
      <colorScale>
        <cfvo type="min"/>
        <cfvo type="percentile" val="50"/>
        <cfvo type="max"/>
        <color rgb="FFF8696B"/>
        <color rgb="FFFFEB84"/>
        <color rgb="FF63BE7B"/>
      </colorScale>
    </cfRule>
  </conditionalFormatting>
  <conditionalFormatting sqref="CM33">
    <cfRule type="colorScale" priority="2769">
      <colorScale>
        <cfvo type="min"/>
        <cfvo type="percentile" val="50"/>
        <cfvo type="max"/>
        <color rgb="FFF8696B"/>
        <color rgb="FFFFEB84"/>
        <color rgb="FF63BE7B"/>
      </colorScale>
    </cfRule>
  </conditionalFormatting>
  <conditionalFormatting sqref="CI39">
    <cfRule type="colorScale" priority="2768">
      <colorScale>
        <cfvo type="min"/>
        <cfvo type="percentile" val="50"/>
        <cfvo type="max"/>
        <color rgb="FFF8696B"/>
        <color rgb="FFFFEB84"/>
        <color rgb="FF63BE7B"/>
      </colorScale>
    </cfRule>
  </conditionalFormatting>
  <conditionalFormatting sqref="CK39">
    <cfRule type="colorScale" priority="2767">
      <colorScale>
        <cfvo type="min"/>
        <cfvo type="percentile" val="50"/>
        <cfvo type="max"/>
        <color rgb="FFF8696B"/>
        <color rgb="FFFFEB84"/>
        <color rgb="FF63BE7B"/>
      </colorScale>
    </cfRule>
  </conditionalFormatting>
  <conditionalFormatting sqref="CM39">
    <cfRule type="colorScale" priority="2766">
      <colorScale>
        <cfvo type="min"/>
        <cfvo type="percentile" val="50"/>
        <cfvo type="max"/>
        <color rgb="FFF8696B"/>
        <color rgb="FFFFEB84"/>
        <color rgb="FF63BE7B"/>
      </colorScale>
    </cfRule>
  </conditionalFormatting>
  <conditionalFormatting sqref="CM28 CM39 CM23 CM33 CK33 CI33 CK39 CI39 CI41 CK41 CM41">
    <cfRule type="colorScale" priority="2765">
      <colorScale>
        <cfvo type="min"/>
        <cfvo type="max"/>
        <color rgb="FFFCFCFF"/>
        <color rgb="FFF8696B"/>
      </colorScale>
    </cfRule>
  </conditionalFormatting>
  <conditionalFormatting sqref="CO28 CO39 CO23 CO33">
    <cfRule type="colorScale" priority="2764">
      <colorScale>
        <cfvo type="min"/>
        <cfvo type="percentile" val="50"/>
        <cfvo type="max"/>
        <color rgb="FFF8696B"/>
        <color rgb="FFFFEB84"/>
        <color rgb="FF63BE7B"/>
      </colorScale>
    </cfRule>
  </conditionalFormatting>
  <conditionalFormatting sqref="CO33">
    <cfRule type="colorScale" priority="2763">
      <colorScale>
        <cfvo type="min"/>
        <cfvo type="percentile" val="50"/>
        <cfvo type="max"/>
        <color rgb="FFF8696B"/>
        <color rgb="FFFFEB84"/>
        <color rgb="FF63BE7B"/>
      </colorScale>
    </cfRule>
  </conditionalFormatting>
  <conditionalFormatting sqref="CO28 CO39 CO23 CO33">
    <cfRule type="colorScale" priority="2762">
      <colorScale>
        <cfvo type="min"/>
        <cfvo type="percentile" val="50"/>
        <cfvo type="max"/>
        <color rgb="FF63BE7B"/>
        <color rgb="FFFFEB84"/>
        <color rgb="FFF8696B"/>
      </colorScale>
    </cfRule>
  </conditionalFormatting>
  <conditionalFormatting sqref="CO39 CO23 CO28 CO33">
    <cfRule type="colorScale" priority="2759">
      <colorScale>
        <cfvo type="min"/>
        <cfvo type="max"/>
        <color rgb="FFFCFCFF"/>
        <color rgb="FFF8696B"/>
      </colorScale>
    </cfRule>
    <cfRule type="colorScale" priority="2761">
      <colorScale>
        <cfvo type="min"/>
        <cfvo type="percentile" val="50"/>
        <cfvo type="max"/>
        <color rgb="FF63BE7B"/>
        <color rgb="FFFFEB84"/>
        <color rgb="FFF8696B"/>
      </colorScale>
    </cfRule>
  </conditionalFormatting>
  <conditionalFormatting sqref="CO28 CO39 CO23 CO33">
    <cfRule type="colorScale" priority="2760">
      <colorScale>
        <cfvo type="min"/>
        <cfvo type="max"/>
        <color rgb="FFF8696B"/>
        <color rgb="FFFCFCFF"/>
      </colorScale>
    </cfRule>
  </conditionalFormatting>
  <conditionalFormatting sqref="CO41">
    <cfRule type="colorScale" priority="2758">
      <colorScale>
        <cfvo type="min"/>
        <cfvo type="percentile" val="50"/>
        <cfvo type="max"/>
        <color rgb="FFF8696B"/>
        <color rgb="FFFFEB84"/>
        <color rgb="FF63BE7B"/>
      </colorScale>
    </cfRule>
  </conditionalFormatting>
  <conditionalFormatting sqref="CO41">
    <cfRule type="colorScale" priority="2757">
      <colorScale>
        <cfvo type="min"/>
        <cfvo type="percentile" val="50"/>
        <cfvo type="max"/>
        <color rgb="FFF8696B"/>
        <color rgb="FFFFEB84"/>
        <color rgb="FF63BE7B"/>
      </colorScale>
    </cfRule>
  </conditionalFormatting>
  <conditionalFormatting sqref="CO41">
    <cfRule type="colorScale" priority="2756">
      <colorScale>
        <cfvo type="min"/>
        <cfvo type="percentile" val="50"/>
        <cfvo type="max"/>
        <color rgb="FFF8696B"/>
        <color rgb="FFFFEB84"/>
        <color rgb="FF63BE7B"/>
      </colorScale>
    </cfRule>
  </conditionalFormatting>
  <conditionalFormatting sqref="CO41">
    <cfRule type="colorScale" priority="2755">
      <colorScale>
        <cfvo type="min"/>
        <cfvo type="percentile" val="50"/>
        <cfvo type="max"/>
        <color rgb="FF63BE7B"/>
        <color rgb="FFFFEB84"/>
        <color rgb="FFF8696B"/>
      </colorScale>
    </cfRule>
  </conditionalFormatting>
  <conditionalFormatting sqref="CO41">
    <cfRule type="colorScale" priority="2752">
      <colorScale>
        <cfvo type="min"/>
        <cfvo type="max"/>
        <color rgb="FFFCFCFF"/>
        <color rgb="FFF8696B"/>
      </colorScale>
    </cfRule>
    <cfRule type="colorScale" priority="2754">
      <colorScale>
        <cfvo type="min"/>
        <cfvo type="percentile" val="50"/>
        <cfvo type="max"/>
        <color rgb="FF63BE7B"/>
        <color rgb="FFFFEB84"/>
        <color rgb="FFF8696B"/>
      </colorScale>
    </cfRule>
  </conditionalFormatting>
  <conditionalFormatting sqref="CO41">
    <cfRule type="colorScale" priority="2753">
      <colorScale>
        <cfvo type="min"/>
        <cfvo type="max"/>
        <color rgb="FFF8696B"/>
        <color rgb="FFFCFCFF"/>
      </colorScale>
    </cfRule>
  </conditionalFormatting>
  <conditionalFormatting sqref="CO23">
    <cfRule type="colorScale" priority="2751">
      <colorScale>
        <cfvo type="min"/>
        <cfvo type="percentile" val="50"/>
        <cfvo type="max"/>
        <color rgb="FFF8696B"/>
        <color rgb="FFFFEB84"/>
        <color rgb="FF63BE7B"/>
      </colorScale>
    </cfRule>
  </conditionalFormatting>
  <conditionalFormatting sqref="CO28">
    <cfRule type="colorScale" priority="2750">
      <colorScale>
        <cfvo type="min"/>
        <cfvo type="percentile" val="50"/>
        <cfvo type="max"/>
        <color rgb="FFF8696B"/>
        <color rgb="FFFFEB84"/>
        <color rgb="FF63BE7B"/>
      </colorScale>
    </cfRule>
  </conditionalFormatting>
  <conditionalFormatting sqref="CO33">
    <cfRule type="colorScale" priority="2749">
      <colorScale>
        <cfvo type="min"/>
        <cfvo type="percentile" val="50"/>
        <cfvo type="max"/>
        <color rgb="FFF8696B"/>
        <color rgb="FFFFEB84"/>
        <color rgb="FF63BE7B"/>
      </colorScale>
    </cfRule>
  </conditionalFormatting>
  <conditionalFormatting sqref="CO39">
    <cfRule type="colorScale" priority="2748">
      <colorScale>
        <cfvo type="min"/>
        <cfvo type="percentile" val="50"/>
        <cfvo type="max"/>
        <color rgb="FFF8696B"/>
        <color rgb="FFFFEB84"/>
        <color rgb="FF63BE7B"/>
      </colorScale>
    </cfRule>
  </conditionalFormatting>
  <conditionalFormatting sqref="CO28 CO39 CO23 CO33 CO41">
    <cfRule type="colorScale" priority="2747">
      <colorScale>
        <cfvo type="min"/>
        <cfvo type="max"/>
        <color rgb="FFFCFCFF"/>
        <color rgb="FFF8696B"/>
      </colorScale>
    </cfRule>
  </conditionalFormatting>
  <conditionalFormatting sqref="CQ28 CQ39 CQ23 CQ33">
    <cfRule type="colorScale" priority="2746">
      <colorScale>
        <cfvo type="min"/>
        <cfvo type="percentile" val="50"/>
        <cfvo type="max"/>
        <color rgb="FFF8696B"/>
        <color rgb="FFFFEB84"/>
        <color rgb="FF63BE7B"/>
      </colorScale>
    </cfRule>
  </conditionalFormatting>
  <conditionalFormatting sqref="CQ33">
    <cfRule type="colorScale" priority="2745">
      <colorScale>
        <cfvo type="min"/>
        <cfvo type="percentile" val="50"/>
        <cfvo type="max"/>
        <color rgb="FFF8696B"/>
        <color rgb="FFFFEB84"/>
        <color rgb="FF63BE7B"/>
      </colorScale>
    </cfRule>
  </conditionalFormatting>
  <conditionalFormatting sqref="CQ39 CQ23 CQ28 CQ33">
    <cfRule type="colorScale" priority="2744">
      <colorScale>
        <cfvo type="min"/>
        <cfvo type="percentile" val="50"/>
        <cfvo type="max"/>
        <color rgb="FF63BE7B"/>
        <color rgb="FFFFEB84"/>
        <color rgb="FFF8696B"/>
      </colorScale>
    </cfRule>
  </conditionalFormatting>
  <conditionalFormatting sqref="CQ39 CQ23 CQ28 CQ33">
    <cfRule type="colorScale" priority="2741">
      <colorScale>
        <cfvo type="min"/>
        <cfvo type="max"/>
        <color rgb="FFFCFCFF"/>
        <color rgb="FFF8696B"/>
      </colorScale>
    </cfRule>
    <cfRule type="colorScale" priority="2743">
      <colorScale>
        <cfvo type="min"/>
        <cfvo type="percentile" val="50"/>
        <cfvo type="max"/>
        <color rgb="FF63BE7B"/>
        <color rgb="FFFFEB84"/>
        <color rgb="FFF8696B"/>
      </colorScale>
    </cfRule>
  </conditionalFormatting>
  <conditionalFormatting sqref="CQ39 CQ23 CQ28 CQ33">
    <cfRule type="colorScale" priority="2742">
      <colorScale>
        <cfvo type="min"/>
        <cfvo type="max"/>
        <color rgb="FFF8696B"/>
        <color rgb="FFFCFCFF"/>
      </colorScale>
    </cfRule>
  </conditionalFormatting>
  <conditionalFormatting sqref="CQ41">
    <cfRule type="colorScale" priority="2740">
      <colorScale>
        <cfvo type="min"/>
        <cfvo type="percentile" val="50"/>
        <cfvo type="max"/>
        <color rgb="FFF8696B"/>
        <color rgb="FFFFEB84"/>
        <color rgb="FF63BE7B"/>
      </colorScale>
    </cfRule>
  </conditionalFormatting>
  <conditionalFormatting sqref="CQ41">
    <cfRule type="colorScale" priority="2739">
      <colorScale>
        <cfvo type="min"/>
        <cfvo type="percentile" val="50"/>
        <cfvo type="max"/>
        <color rgb="FFF8696B"/>
        <color rgb="FFFFEB84"/>
        <color rgb="FF63BE7B"/>
      </colorScale>
    </cfRule>
  </conditionalFormatting>
  <conditionalFormatting sqref="CQ41">
    <cfRule type="colorScale" priority="2738">
      <colorScale>
        <cfvo type="min"/>
        <cfvo type="percentile" val="50"/>
        <cfvo type="max"/>
        <color rgb="FFF8696B"/>
        <color rgb="FFFFEB84"/>
        <color rgb="FF63BE7B"/>
      </colorScale>
    </cfRule>
  </conditionalFormatting>
  <conditionalFormatting sqref="CQ41">
    <cfRule type="colorScale" priority="2737">
      <colorScale>
        <cfvo type="min"/>
        <cfvo type="percentile" val="50"/>
        <cfvo type="max"/>
        <color rgb="FF63BE7B"/>
        <color rgb="FFFFEB84"/>
        <color rgb="FFF8696B"/>
      </colorScale>
    </cfRule>
  </conditionalFormatting>
  <conditionalFormatting sqref="CQ41">
    <cfRule type="colorScale" priority="2734">
      <colorScale>
        <cfvo type="min"/>
        <cfvo type="max"/>
        <color rgb="FFFCFCFF"/>
        <color rgb="FFF8696B"/>
      </colorScale>
    </cfRule>
    <cfRule type="colorScale" priority="2736">
      <colorScale>
        <cfvo type="min"/>
        <cfvo type="percentile" val="50"/>
        <cfvo type="max"/>
        <color rgb="FF63BE7B"/>
        <color rgb="FFFFEB84"/>
        <color rgb="FFF8696B"/>
      </colorScale>
    </cfRule>
  </conditionalFormatting>
  <conditionalFormatting sqref="CQ41">
    <cfRule type="colorScale" priority="2735">
      <colorScale>
        <cfvo type="min"/>
        <cfvo type="max"/>
        <color rgb="FFF8696B"/>
        <color rgb="FFFCFCFF"/>
      </colorScale>
    </cfRule>
  </conditionalFormatting>
  <conditionalFormatting sqref="CQ23">
    <cfRule type="colorScale" priority="2733">
      <colorScale>
        <cfvo type="min"/>
        <cfvo type="percentile" val="50"/>
        <cfvo type="max"/>
        <color rgb="FFF8696B"/>
        <color rgb="FFFFEB84"/>
        <color rgb="FF63BE7B"/>
      </colorScale>
    </cfRule>
  </conditionalFormatting>
  <conditionalFormatting sqref="CQ28">
    <cfRule type="colorScale" priority="2732">
      <colorScale>
        <cfvo type="min"/>
        <cfvo type="percentile" val="50"/>
        <cfvo type="max"/>
        <color rgb="FFF8696B"/>
        <color rgb="FFFFEB84"/>
        <color rgb="FF63BE7B"/>
      </colorScale>
    </cfRule>
  </conditionalFormatting>
  <conditionalFormatting sqref="CQ33">
    <cfRule type="colorScale" priority="2731">
      <colorScale>
        <cfvo type="min"/>
        <cfvo type="percentile" val="50"/>
        <cfvo type="max"/>
        <color rgb="FFF8696B"/>
        <color rgb="FFFFEB84"/>
        <color rgb="FF63BE7B"/>
      </colorScale>
    </cfRule>
  </conditionalFormatting>
  <conditionalFormatting sqref="CQ39">
    <cfRule type="colorScale" priority="2730">
      <colorScale>
        <cfvo type="min"/>
        <cfvo type="percentile" val="50"/>
        <cfvo type="max"/>
        <color rgb="FFF8696B"/>
        <color rgb="FFFFEB84"/>
        <color rgb="FF63BE7B"/>
      </colorScale>
    </cfRule>
  </conditionalFormatting>
  <conditionalFormatting sqref="CQ39 CQ23 CQ28 CQ33 CQ41">
    <cfRule type="colorScale" priority="2729">
      <colorScale>
        <cfvo type="min"/>
        <cfvo type="max"/>
        <color rgb="FFFCFCFF"/>
        <color rgb="FFF8696B"/>
      </colorScale>
    </cfRule>
  </conditionalFormatting>
  <conditionalFormatting sqref="CI24">
    <cfRule type="colorScale" priority="2728">
      <colorScale>
        <cfvo type="min"/>
        <cfvo type="percentile" val="50"/>
        <cfvo type="max"/>
        <color rgb="FFF8696B"/>
        <color rgb="FFFFEB84"/>
        <color rgb="FF63BE7B"/>
      </colorScale>
    </cfRule>
  </conditionalFormatting>
  <conditionalFormatting sqref="CI24">
    <cfRule type="colorScale" priority="2727">
      <colorScale>
        <cfvo type="min"/>
        <cfvo type="percentile" val="50"/>
        <cfvo type="max"/>
        <color rgb="FF63BE7B"/>
        <color rgb="FFFFEB84"/>
        <color rgb="FFF8696B"/>
      </colorScale>
    </cfRule>
  </conditionalFormatting>
  <conditionalFormatting sqref="CI24">
    <cfRule type="colorScale" priority="2724">
      <colorScale>
        <cfvo type="min"/>
        <cfvo type="max"/>
        <color rgb="FFFCFCFF"/>
        <color rgb="FFF8696B"/>
      </colorScale>
    </cfRule>
    <cfRule type="colorScale" priority="2726">
      <colorScale>
        <cfvo type="min"/>
        <cfvo type="percentile" val="50"/>
        <cfvo type="max"/>
        <color rgb="FF63BE7B"/>
        <color rgb="FFFFEB84"/>
        <color rgb="FFF8696B"/>
      </colorScale>
    </cfRule>
  </conditionalFormatting>
  <conditionalFormatting sqref="CI24">
    <cfRule type="colorScale" priority="2725">
      <colorScale>
        <cfvo type="min"/>
        <cfvo type="max"/>
        <color rgb="FFF8696B"/>
        <color rgb="FFFCFCFF"/>
      </colorScale>
    </cfRule>
  </conditionalFormatting>
  <conditionalFormatting sqref="CI24">
    <cfRule type="colorScale" priority="2723">
      <colorScale>
        <cfvo type="min"/>
        <cfvo type="percentile" val="50"/>
        <cfvo type="max"/>
        <color rgb="FFF8696B"/>
        <color rgb="FFFFEB84"/>
        <color rgb="FF63BE7B"/>
      </colorScale>
    </cfRule>
  </conditionalFormatting>
  <conditionalFormatting sqref="CI24">
    <cfRule type="colorScale" priority="2722">
      <colorScale>
        <cfvo type="min"/>
        <cfvo type="max"/>
        <color rgb="FFFCFCFF"/>
        <color rgb="FFF8696B"/>
      </colorScale>
    </cfRule>
  </conditionalFormatting>
  <conditionalFormatting sqref="CK24">
    <cfRule type="colorScale" priority="2721">
      <colorScale>
        <cfvo type="min"/>
        <cfvo type="percentile" val="50"/>
        <cfvo type="max"/>
        <color rgb="FFF8696B"/>
        <color rgb="FFFFEB84"/>
        <color rgb="FF63BE7B"/>
      </colorScale>
    </cfRule>
  </conditionalFormatting>
  <conditionalFormatting sqref="CK24">
    <cfRule type="colorScale" priority="2720">
      <colorScale>
        <cfvo type="min"/>
        <cfvo type="percentile" val="50"/>
        <cfvo type="max"/>
        <color rgb="FF63BE7B"/>
        <color rgb="FFFFEB84"/>
        <color rgb="FFF8696B"/>
      </colorScale>
    </cfRule>
  </conditionalFormatting>
  <conditionalFormatting sqref="CK24">
    <cfRule type="colorScale" priority="2717">
      <colorScale>
        <cfvo type="min"/>
        <cfvo type="max"/>
        <color rgb="FFFCFCFF"/>
        <color rgb="FFF8696B"/>
      </colorScale>
    </cfRule>
    <cfRule type="colorScale" priority="2719">
      <colorScale>
        <cfvo type="min"/>
        <cfvo type="percentile" val="50"/>
        <cfvo type="max"/>
        <color rgb="FF63BE7B"/>
        <color rgb="FFFFEB84"/>
        <color rgb="FFF8696B"/>
      </colorScale>
    </cfRule>
  </conditionalFormatting>
  <conditionalFormatting sqref="CK24">
    <cfRule type="colorScale" priority="2718">
      <colorScale>
        <cfvo type="min"/>
        <cfvo type="max"/>
        <color rgb="FFF8696B"/>
        <color rgb="FFFCFCFF"/>
      </colorScale>
    </cfRule>
  </conditionalFormatting>
  <conditionalFormatting sqref="CK24">
    <cfRule type="colorScale" priority="2716">
      <colorScale>
        <cfvo type="min"/>
        <cfvo type="percentile" val="50"/>
        <cfvo type="max"/>
        <color rgb="FFF8696B"/>
        <color rgb="FFFFEB84"/>
        <color rgb="FF63BE7B"/>
      </colorScale>
    </cfRule>
  </conditionalFormatting>
  <conditionalFormatting sqref="CK24">
    <cfRule type="colorScale" priority="2715">
      <colorScale>
        <cfvo type="min"/>
        <cfvo type="max"/>
        <color rgb="FFFCFCFF"/>
        <color rgb="FFF8696B"/>
      </colorScale>
    </cfRule>
  </conditionalFormatting>
  <conditionalFormatting sqref="CI24:CI28 CI39 CI33 CK24:CK28 CK33 CM23 CM28 CM33 CO33 CO28 CO23 CQ23 CQ28 CQ33 CI41 CK39 CK41 CM39 CM41 CO39 CO41 CQ39 CQ41">
    <cfRule type="colorScale" priority="2714">
      <colorScale>
        <cfvo type="min"/>
        <cfvo type="max"/>
        <color rgb="FFFCFCFF"/>
        <color rgb="FFF8696B"/>
      </colorScale>
    </cfRule>
  </conditionalFormatting>
  <conditionalFormatting sqref="CE33 CG33">
    <cfRule type="colorScale" priority="2713">
      <colorScale>
        <cfvo type="min"/>
        <cfvo type="percentile" val="50"/>
        <cfvo type="max"/>
        <color rgb="FFF8696B"/>
        <color rgb="FFFFEB84"/>
        <color rgb="FF63BE7B"/>
      </colorScale>
    </cfRule>
  </conditionalFormatting>
  <conditionalFormatting sqref="CE33 CG33">
    <cfRule type="colorScale" priority="2712">
      <colorScale>
        <cfvo type="min"/>
        <cfvo type="percentile" val="50"/>
        <cfvo type="max"/>
        <color rgb="FF63BE7B"/>
        <color rgb="FFFFEB84"/>
        <color rgb="FFF8696B"/>
      </colorScale>
    </cfRule>
  </conditionalFormatting>
  <conditionalFormatting sqref="CE33 CG33">
    <cfRule type="colorScale" priority="2709">
      <colorScale>
        <cfvo type="min"/>
        <cfvo type="max"/>
        <color rgb="FFFCFCFF"/>
        <color rgb="FFF8696B"/>
      </colorScale>
    </cfRule>
    <cfRule type="colorScale" priority="2711">
      <colorScale>
        <cfvo type="min"/>
        <cfvo type="percentile" val="50"/>
        <cfvo type="max"/>
        <color rgb="FF63BE7B"/>
        <color rgb="FFFFEB84"/>
        <color rgb="FFF8696B"/>
      </colorScale>
    </cfRule>
  </conditionalFormatting>
  <conditionalFormatting sqref="CE33 CG33">
    <cfRule type="colorScale" priority="2710">
      <colorScale>
        <cfvo type="min"/>
        <cfvo type="max"/>
        <color rgb="FFF8696B"/>
        <color rgb="FFFCFCFF"/>
      </colorScale>
    </cfRule>
  </conditionalFormatting>
  <conditionalFormatting sqref="CE33">
    <cfRule type="colorScale" priority="2708">
      <colorScale>
        <cfvo type="min"/>
        <cfvo type="percentile" val="50"/>
        <cfvo type="max"/>
        <color rgb="FFF8696B"/>
        <color rgb="FFFFEB84"/>
        <color rgb="FF63BE7B"/>
      </colorScale>
    </cfRule>
  </conditionalFormatting>
  <conditionalFormatting sqref="CG33">
    <cfRule type="colorScale" priority="2707">
      <colorScale>
        <cfvo type="min"/>
        <cfvo type="percentile" val="50"/>
        <cfvo type="max"/>
        <color rgb="FFF8696B"/>
        <color rgb="FFFFEB84"/>
        <color rgb="FF63BE7B"/>
      </colorScale>
    </cfRule>
  </conditionalFormatting>
  <conditionalFormatting sqref="CE33 CG33">
    <cfRule type="colorScale" priority="2706">
      <colorScale>
        <cfvo type="min"/>
        <cfvo type="max"/>
        <color rgb="FFFCFCFF"/>
        <color rgb="FFF8696B"/>
      </colorScale>
    </cfRule>
  </conditionalFormatting>
  <conditionalFormatting sqref="CE24">
    <cfRule type="colorScale" priority="2705">
      <colorScale>
        <cfvo type="min"/>
        <cfvo type="percentile" val="50"/>
        <cfvo type="max"/>
        <color rgb="FFF8696B"/>
        <color rgb="FFFFEB84"/>
        <color rgb="FF63BE7B"/>
      </colorScale>
    </cfRule>
  </conditionalFormatting>
  <conditionalFormatting sqref="CE24">
    <cfRule type="colorScale" priority="2704">
      <colorScale>
        <cfvo type="min"/>
        <cfvo type="percentile" val="50"/>
        <cfvo type="max"/>
        <color rgb="FF63BE7B"/>
        <color rgb="FFFFEB84"/>
        <color rgb="FFF8696B"/>
      </colorScale>
    </cfRule>
  </conditionalFormatting>
  <conditionalFormatting sqref="CE24">
    <cfRule type="colorScale" priority="2701">
      <colorScale>
        <cfvo type="min"/>
        <cfvo type="max"/>
        <color rgb="FFFCFCFF"/>
        <color rgb="FFF8696B"/>
      </colorScale>
    </cfRule>
    <cfRule type="colorScale" priority="2703">
      <colorScale>
        <cfvo type="min"/>
        <cfvo type="percentile" val="50"/>
        <cfvo type="max"/>
        <color rgb="FF63BE7B"/>
        <color rgb="FFFFEB84"/>
        <color rgb="FFF8696B"/>
      </colorScale>
    </cfRule>
  </conditionalFormatting>
  <conditionalFormatting sqref="CE24">
    <cfRule type="colorScale" priority="2702">
      <colorScale>
        <cfvo type="min"/>
        <cfvo type="max"/>
        <color rgb="FFF8696B"/>
        <color rgb="FFFCFCFF"/>
      </colorScale>
    </cfRule>
  </conditionalFormatting>
  <conditionalFormatting sqref="CE24">
    <cfRule type="colorScale" priority="2700">
      <colorScale>
        <cfvo type="min"/>
        <cfvo type="percentile" val="50"/>
        <cfvo type="max"/>
        <color rgb="FFF8696B"/>
        <color rgb="FFFFEB84"/>
        <color rgb="FF63BE7B"/>
      </colorScale>
    </cfRule>
  </conditionalFormatting>
  <conditionalFormatting sqref="CE24">
    <cfRule type="colorScale" priority="2699">
      <colorScale>
        <cfvo type="min"/>
        <cfvo type="max"/>
        <color rgb="FFFCFCFF"/>
        <color rgb="FFF8696B"/>
      </colorScale>
    </cfRule>
  </conditionalFormatting>
  <conditionalFormatting sqref="CG24">
    <cfRule type="colorScale" priority="2698">
      <colorScale>
        <cfvo type="min"/>
        <cfvo type="percentile" val="50"/>
        <cfvo type="max"/>
        <color rgb="FFF8696B"/>
        <color rgb="FFFFEB84"/>
        <color rgb="FF63BE7B"/>
      </colorScale>
    </cfRule>
  </conditionalFormatting>
  <conditionalFormatting sqref="CG24">
    <cfRule type="colorScale" priority="2697">
      <colorScale>
        <cfvo type="min"/>
        <cfvo type="percentile" val="50"/>
        <cfvo type="max"/>
        <color rgb="FF63BE7B"/>
        <color rgb="FFFFEB84"/>
        <color rgb="FFF8696B"/>
      </colorScale>
    </cfRule>
  </conditionalFormatting>
  <conditionalFormatting sqref="CG24">
    <cfRule type="colorScale" priority="2694">
      <colorScale>
        <cfvo type="min"/>
        <cfvo type="max"/>
        <color rgb="FFFCFCFF"/>
        <color rgb="FFF8696B"/>
      </colorScale>
    </cfRule>
    <cfRule type="colorScale" priority="2696">
      <colorScale>
        <cfvo type="min"/>
        <cfvo type="percentile" val="50"/>
        <cfvo type="max"/>
        <color rgb="FF63BE7B"/>
        <color rgb="FFFFEB84"/>
        <color rgb="FFF8696B"/>
      </colorScale>
    </cfRule>
  </conditionalFormatting>
  <conditionalFormatting sqref="CG24">
    <cfRule type="colorScale" priority="2695">
      <colorScale>
        <cfvo type="min"/>
        <cfvo type="max"/>
        <color rgb="FFF8696B"/>
        <color rgb="FFFCFCFF"/>
      </colorScale>
    </cfRule>
  </conditionalFormatting>
  <conditionalFormatting sqref="CG24">
    <cfRule type="colorScale" priority="2693">
      <colorScale>
        <cfvo type="min"/>
        <cfvo type="percentile" val="50"/>
        <cfvo type="max"/>
        <color rgb="FFF8696B"/>
        <color rgb="FFFFEB84"/>
        <color rgb="FF63BE7B"/>
      </colorScale>
    </cfRule>
  </conditionalFormatting>
  <conditionalFormatting sqref="CG24">
    <cfRule type="colorScale" priority="2692">
      <colorScale>
        <cfvo type="min"/>
        <cfvo type="max"/>
        <color rgb="FFFCFCFF"/>
        <color rgb="FFF8696B"/>
      </colorScale>
    </cfRule>
  </conditionalFormatting>
  <conditionalFormatting sqref="CE24:CE28 CE33 CG24:CG28 CG33">
    <cfRule type="colorScale" priority="2691">
      <colorScale>
        <cfvo type="min"/>
        <cfvo type="max"/>
        <color rgb="FFFCFCFF"/>
        <color rgb="FFF8696B"/>
      </colorScale>
    </cfRule>
  </conditionalFormatting>
  <conditionalFormatting sqref="CG142 CQ168 CE142 CI142:CI147 CK142 CK147 CM142:CM147 CO142 CO147 CQ142 CQ147 CQ153:CQ157 CQ162 CQ170 CO170 CO168 CO162 CO153:CO157 CM153:CM157 CM162 CM168 CM170 CK170 CK168 CK162 CK153:CK157 CI153:CI162 CG153:CG162 CE153:CE162 CE168 CG168 CI168 CI170">
    <cfRule type="colorScale" priority="2690">
      <colorScale>
        <cfvo type="min"/>
        <cfvo type="max"/>
        <color rgb="FFFCFCFF"/>
        <color rgb="FFF8696B"/>
      </colorScale>
    </cfRule>
  </conditionalFormatting>
  <conditionalFormatting sqref="DG147">
    <cfRule type="colorScale" priority="2689">
      <colorScale>
        <cfvo type="min"/>
        <cfvo type="percentile" val="50"/>
        <cfvo type="max"/>
        <color rgb="FFF8696B"/>
        <color rgb="FFFFEB84"/>
        <color rgb="FF63BE7B"/>
      </colorScale>
    </cfRule>
  </conditionalFormatting>
  <conditionalFormatting sqref="DG147">
    <cfRule type="colorScale" priority="2688">
      <colorScale>
        <cfvo type="min"/>
        <cfvo type="percentile" val="50"/>
        <cfvo type="max"/>
        <color rgb="FFF8696B"/>
        <color rgb="FFFFEB84"/>
        <color rgb="FF63BE7B"/>
      </colorScale>
    </cfRule>
  </conditionalFormatting>
  <conditionalFormatting sqref="DG147">
    <cfRule type="colorScale" priority="2687">
      <colorScale>
        <cfvo type="min"/>
        <cfvo type="percentile" val="50"/>
        <cfvo type="max"/>
        <color rgb="FF63BE7B"/>
        <color rgb="FFFFEB84"/>
        <color rgb="FFF8696B"/>
      </colorScale>
    </cfRule>
  </conditionalFormatting>
  <conditionalFormatting sqref="DG147">
    <cfRule type="colorScale" priority="2684">
      <colorScale>
        <cfvo type="min"/>
        <cfvo type="max"/>
        <color rgb="FFFCFCFF"/>
        <color rgb="FFF8696B"/>
      </colorScale>
    </cfRule>
    <cfRule type="colorScale" priority="2686">
      <colorScale>
        <cfvo type="min"/>
        <cfvo type="percentile" val="50"/>
        <cfvo type="max"/>
        <color rgb="FF63BE7B"/>
        <color rgb="FFFFEB84"/>
        <color rgb="FFF8696B"/>
      </colorScale>
    </cfRule>
  </conditionalFormatting>
  <conditionalFormatting sqref="DG147">
    <cfRule type="colorScale" priority="2685">
      <colorScale>
        <cfvo type="min"/>
        <cfvo type="max"/>
        <color rgb="FFF8696B"/>
        <color rgb="FFFCFCFF"/>
      </colorScale>
    </cfRule>
  </conditionalFormatting>
  <conditionalFormatting sqref="DG147">
    <cfRule type="colorScale" priority="2683">
      <colorScale>
        <cfvo type="min"/>
        <cfvo type="max"/>
        <color rgb="FFFCFCFF"/>
        <color rgb="FFF8696B"/>
      </colorScale>
    </cfRule>
  </conditionalFormatting>
  <conditionalFormatting sqref="DG142">
    <cfRule type="colorScale" priority="2682">
      <colorScale>
        <cfvo type="min"/>
        <cfvo type="percentile" val="50"/>
        <cfvo type="max"/>
        <color rgb="FFF8696B"/>
        <color rgb="FFFFEB84"/>
        <color rgb="FF63BE7B"/>
      </colorScale>
    </cfRule>
  </conditionalFormatting>
  <conditionalFormatting sqref="DG142">
    <cfRule type="colorScale" priority="2681">
      <colorScale>
        <cfvo type="min"/>
        <cfvo type="percentile" val="50"/>
        <cfvo type="max"/>
        <color rgb="FFF8696B"/>
        <color rgb="FFFFEB84"/>
        <color rgb="FF63BE7B"/>
      </colorScale>
    </cfRule>
  </conditionalFormatting>
  <conditionalFormatting sqref="DG142">
    <cfRule type="colorScale" priority="2680">
      <colorScale>
        <cfvo type="min"/>
        <cfvo type="percentile" val="50"/>
        <cfvo type="max"/>
        <color rgb="FF63BE7B"/>
        <color rgb="FFFFEB84"/>
        <color rgb="FFF8696B"/>
      </colorScale>
    </cfRule>
  </conditionalFormatting>
  <conditionalFormatting sqref="DG142">
    <cfRule type="colorScale" priority="2677">
      <colorScale>
        <cfvo type="min"/>
        <cfvo type="max"/>
        <color rgb="FFFCFCFF"/>
        <color rgb="FFF8696B"/>
      </colorScale>
    </cfRule>
    <cfRule type="colorScale" priority="2679">
      <colorScale>
        <cfvo type="min"/>
        <cfvo type="percentile" val="50"/>
        <cfvo type="max"/>
        <color rgb="FF63BE7B"/>
        <color rgb="FFFFEB84"/>
        <color rgb="FFF8696B"/>
      </colorScale>
    </cfRule>
  </conditionalFormatting>
  <conditionalFormatting sqref="DG142">
    <cfRule type="colorScale" priority="2678">
      <colorScale>
        <cfvo type="min"/>
        <cfvo type="max"/>
        <color rgb="FFF8696B"/>
        <color rgb="FFFCFCFF"/>
      </colorScale>
    </cfRule>
  </conditionalFormatting>
  <conditionalFormatting sqref="DG142">
    <cfRule type="colorScale" priority="2676">
      <colorScale>
        <cfvo type="min"/>
        <cfvo type="max"/>
        <color rgb="FFFCFCFF"/>
        <color rgb="FFF8696B"/>
      </colorScale>
    </cfRule>
  </conditionalFormatting>
  <conditionalFormatting sqref="CW142 CU168 CU142 CY142 DA142 DC162 CW168 CY168 DC168">
    <cfRule type="colorScale" priority="2675">
      <colorScale>
        <cfvo type="min"/>
        <cfvo type="percentile" val="50"/>
        <cfvo type="max"/>
        <color rgb="FFF8696B"/>
        <color rgb="FFFFEB84"/>
        <color rgb="FF63BE7B"/>
      </colorScale>
    </cfRule>
  </conditionalFormatting>
  <conditionalFormatting sqref="DC162">
    <cfRule type="colorScale" priority="2674">
      <colorScale>
        <cfvo type="min"/>
        <cfvo type="percentile" val="50"/>
        <cfvo type="max"/>
        <color rgb="FFF8696B"/>
        <color rgb="FFFFEB84"/>
        <color rgb="FF63BE7B"/>
      </colorScale>
    </cfRule>
  </conditionalFormatting>
  <conditionalFormatting sqref="CU142 CW142 CY142 DA142">
    <cfRule type="colorScale" priority="2673">
      <colorScale>
        <cfvo type="min"/>
        <cfvo type="percentile" val="50"/>
        <cfvo type="max"/>
        <color rgb="FFF8696B"/>
        <color rgb="FFFFEB84"/>
        <color rgb="FF63BE7B"/>
      </colorScale>
    </cfRule>
  </conditionalFormatting>
  <conditionalFormatting sqref="CU142 CU168 CW142 CY142 DA142 DC162 CW168 CY168 DC168">
    <cfRule type="colorScale" priority="2672">
      <colorScale>
        <cfvo type="min"/>
        <cfvo type="percentile" val="50"/>
        <cfvo type="max"/>
        <color rgb="FF63BE7B"/>
        <color rgb="FFFFEB84"/>
        <color rgb="FFF8696B"/>
      </colorScale>
    </cfRule>
  </conditionalFormatting>
  <conditionalFormatting sqref="CU168 CU142 CW142 CY142 DA142 DC162 CW168 CY168 DC168">
    <cfRule type="colorScale" priority="2669">
      <colorScale>
        <cfvo type="min"/>
        <cfvo type="max"/>
        <color rgb="FFFCFCFF"/>
        <color rgb="FFF8696B"/>
      </colorScale>
    </cfRule>
    <cfRule type="colorScale" priority="2671">
      <colorScale>
        <cfvo type="min"/>
        <cfvo type="percentile" val="50"/>
        <cfvo type="max"/>
        <color rgb="FF63BE7B"/>
        <color rgb="FFFFEB84"/>
        <color rgb="FFF8696B"/>
      </colorScale>
    </cfRule>
  </conditionalFormatting>
  <conditionalFormatting sqref="CU142 CU168 CW142 CY142 DA142 DC162 CW168 CY168 DC168">
    <cfRule type="colorScale" priority="2670">
      <colorScale>
        <cfvo type="min"/>
        <cfvo type="max"/>
        <color rgb="FFF8696B"/>
        <color rgb="FFFCFCFF"/>
      </colorScale>
    </cfRule>
  </conditionalFormatting>
  <conditionalFormatting sqref="CY170">
    <cfRule type="colorScale" priority="2668">
      <colorScale>
        <cfvo type="min"/>
        <cfvo type="percentile" val="50"/>
        <cfvo type="max"/>
        <color rgb="FFF8696B"/>
        <color rgb="FFFFEB84"/>
        <color rgb="FF63BE7B"/>
      </colorScale>
    </cfRule>
  </conditionalFormatting>
  <conditionalFormatting sqref="CY170">
    <cfRule type="colorScale" priority="2667">
      <colorScale>
        <cfvo type="min"/>
        <cfvo type="percentile" val="50"/>
        <cfvo type="max"/>
        <color rgb="FFF8696B"/>
        <color rgb="FFFFEB84"/>
        <color rgb="FF63BE7B"/>
      </colorScale>
    </cfRule>
  </conditionalFormatting>
  <conditionalFormatting sqref="CY170">
    <cfRule type="colorScale" priority="2666">
      <colorScale>
        <cfvo type="min"/>
        <cfvo type="percentile" val="50"/>
        <cfvo type="max"/>
        <color rgb="FFF8696B"/>
        <color rgb="FFFFEB84"/>
        <color rgb="FF63BE7B"/>
      </colorScale>
    </cfRule>
  </conditionalFormatting>
  <conditionalFormatting sqref="CY170">
    <cfRule type="colorScale" priority="2665">
      <colorScale>
        <cfvo type="min"/>
        <cfvo type="percentile" val="50"/>
        <cfvo type="max"/>
        <color rgb="FF63BE7B"/>
        <color rgb="FFFFEB84"/>
        <color rgb="FFF8696B"/>
      </colorScale>
    </cfRule>
  </conditionalFormatting>
  <conditionalFormatting sqref="CY170">
    <cfRule type="colorScale" priority="2662">
      <colorScale>
        <cfvo type="min"/>
        <cfvo type="max"/>
        <color rgb="FFFCFCFF"/>
        <color rgb="FFF8696B"/>
      </colorScale>
    </cfRule>
    <cfRule type="colorScale" priority="2664">
      <colorScale>
        <cfvo type="min"/>
        <cfvo type="percentile" val="50"/>
        <cfvo type="max"/>
        <color rgb="FF63BE7B"/>
        <color rgb="FFFFEB84"/>
        <color rgb="FFF8696B"/>
      </colorScale>
    </cfRule>
  </conditionalFormatting>
  <conditionalFormatting sqref="CY170">
    <cfRule type="colorScale" priority="2663">
      <colorScale>
        <cfvo type="min"/>
        <cfvo type="max"/>
        <color rgb="FFF8696B"/>
        <color rgb="FFFCFCFF"/>
      </colorScale>
    </cfRule>
  </conditionalFormatting>
  <conditionalFormatting sqref="DA170">
    <cfRule type="colorScale" priority="2661">
      <colorScale>
        <cfvo type="min"/>
        <cfvo type="percentile" val="50"/>
        <cfvo type="max"/>
        <color rgb="FFF8696B"/>
        <color rgb="FFFFEB84"/>
        <color rgb="FF63BE7B"/>
      </colorScale>
    </cfRule>
  </conditionalFormatting>
  <conditionalFormatting sqref="DA170">
    <cfRule type="colorScale" priority="2660">
      <colorScale>
        <cfvo type="min"/>
        <cfvo type="percentile" val="50"/>
        <cfvo type="max"/>
        <color rgb="FFF8696B"/>
        <color rgb="FFFFEB84"/>
        <color rgb="FF63BE7B"/>
      </colorScale>
    </cfRule>
  </conditionalFormatting>
  <conditionalFormatting sqref="DA170">
    <cfRule type="colorScale" priority="2659">
      <colorScale>
        <cfvo type="min"/>
        <cfvo type="percentile" val="50"/>
        <cfvo type="max"/>
        <color rgb="FFF8696B"/>
        <color rgb="FFFFEB84"/>
        <color rgb="FF63BE7B"/>
      </colorScale>
    </cfRule>
  </conditionalFormatting>
  <conditionalFormatting sqref="DA170">
    <cfRule type="colorScale" priority="2658">
      <colorScale>
        <cfvo type="min"/>
        <cfvo type="percentile" val="50"/>
        <cfvo type="max"/>
        <color rgb="FF63BE7B"/>
        <color rgb="FFFFEB84"/>
        <color rgb="FFF8696B"/>
      </colorScale>
    </cfRule>
  </conditionalFormatting>
  <conditionalFormatting sqref="DA170">
    <cfRule type="colorScale" priority="2655">
      <colorScale>
        <cfvo type="min"/>
        <cfvo type="max"/>
        <color rgb="FFFCFCFF"/>
        <color rgb="FFF8696B"/>
      </colorScale>
    </cfRule>
    <cfRule type="colorScale" priority="2657">
      <colorScale>
        <cfvo type="min"/>
        <cfvo type="percentile" val="50"/>
        <cfvo type="max"/>
        <color rgb="FF63BE7B"/>
        <color rgb="FFFFEB84"/>
        <color rgb="FFF8696B"/>
      </colorScale>
    </cfRule>
  </conditionalFormatting>
  <conditionalFormatting sqref="DA170">
    <cfRule type="colorScale" priority="2656">
      <colorScale>
        <cfvo type="min"/>
        <cfvo type="max"/>
        <color rgb="FFF8696B"/>
        <color rgb="FFFCFCFF"/>
      </colorScale>
    </cfRule>
  </conditionalFormatting>
  <conditionalFormatting sqref="DC170">
    <cfRule type="colorScale" priority="2654">
      <colorScale>
        <cfvo type="min"/>
        <cfvo type="percentile" val="50"/>
        <cfvo type="max"/>
        <color rgb="FFF8696B"/>
        <color rgb="FFFFEB84"/>
        <color rgb="FF63BE7B"/>
      </colorScale>
    </cfRule>
  </conditionalFormatting>
  <conditionalFormatting sqref="DC170">
    <cfRule type="colorScale" priority="2653">
      <colorScale>
        <cfvo type="min"/>
        <cfvo type="percentile" val="50"/>
        <cfvo type="max"/>
        <color rgb="FFF8696B"/>
        <color rgb="FFFFEB84"/>
        <color rgb="FF63BE7B"/>
      </colorScale>
    </cfRule>
  </conditionalFormatting>
  <conditionalFormatting sqref="DC170">
    <cfRule type="colorScale" priority="2652">
      <colorScale>
        <cfvo type="min"/>
        <cfvo type="percentile" val="50"/>
        <cfvo type="max"/>
        <color rgb="FFF8696B"/>
        <color rgb="FFFFEB84"/>
        <color rgb="FF63BE7B"/>
      </colorScale>
    </cfRule>
  </conditionalFormatting>
  <conditionalFormatting sqref="DC170">
    <cfRule type="colorScale" priority="2651">
      <colorScale>
        <cfvo type="min"/>
        <cfvo type="percentile" val="50"/>
        <cfvo type="max"/>
        <color rgb="FF63BE7B"/>
        <color rgb="FFFFEB84"/>
        <color rgb="FFF8696B"/>
      </colorScale>
    </cfRule>
  </conditionalFormatting>
  <conditionalFormatting sqref="DC170">
    <cfRule type="colorScale" priority="2648">
      <colorScale>
        <cfvo type="min"/>
        <cfvo type="max"/>
        <color rgb="FFFCFCFF"/>
        <color rgb="FFF8696B"/>
      </colorScale>
    </cfRule>
    <cfRule type="colorScale" priority="2650">
      <colorScale>
        <cfvo type="min"/>
        <cfvo type="percentile" val="50"/>
        <cfvo type="max"/>
        <color rgb="FF63BE7B"/>
        <color rgb="FFFFEB84"/>
        <color rgb="FFF8696B"/>
      </colorScale>
    </cfRule>
  </conditionalFormatting>
  <conditionalFormatting sqref="DC170">
    <cfRule type="colorScale" priority="2649">
      <colorScale>
        <cfvo type="min"/>
        <cfvo type="max"/>
        <color rgb="FFF8696B"/>
        <color rgb="FFFCFCFF"/>
      </colorScale>
    </cfRule>
  </conditionalFormatting>
  <conditionalFormatting sqref="DC162">
    <cfRule type="colorScale" priority="2647">
      <colorScale>
        <cfvo type="min"/>
        <cfvo type="percentile" val="50"/>
        <cfvo type="max"/>
        <color rgb="FFF8696B"/>
        <color rgb="FFFFEB84"/>
        <color rgb="FF63BE7B"/>
      </colorScale>
    </cfRule>
  </conditionalFormatting>
  <conditionalFormatting sqref="CU168">
    <cfRule type="colorScale" priority="2646">
      <colorScale>
        <cfvo type="min"/>
        <cfvo type="percentile" val="50"/>
        <cfvo type="max"/>
        <color rgb="FFF8696B"/>
        <color rgb="FFFFEB84"/>
        <color rgb="FF63BE7B"/>
      </colorScale>
    </cfRule>
  </conditionalFormatting>
  <conditionalFormatting sqref="CW168">
    <cfRule type="colorScale" priority="2645">
      <colorScale>
        <cfvo type="min"/>
        <cfvo type="percentile" val="50"/>
        <cfvo type="max"/>
        <color rgb="FFF8696B"/>
        <color rgb="FFFFEB84"/>
        <color rgb="FF63BE7B"/>
      </colorScale>
    </cfRule>
  </conditionalFormatting>
  <conditionalFormatting sqref="CY168">
    <cfRule type="colorScale" priority="2644">
      <colorScale>
        <cfvo type="min"/>
        <cfvo type="percentile" val="50"/>
        <cfvo type="max"/>
        <color rgb="FFF8696B"/>
        <color rgb="FFFFEB84"/>
        <color rgb="FF63BE7B"/>
      </colorScale>
    </cfRule>
  </conditionalFormatting>
  <conditionalFormatting sqref="DC168">
    <cfRule type="colorScale" priority="2643">
      <colorScale>
        <cfvo type="min"/>
        <cfvo type="percentile" val="50"/>
        <cfvo type="max"/>
        <color rgb="FFF8696B"/>
        <color rgb="FFFFEB84"/>
        <color rgb="FF63BE7B"/>
      </colorScale>
    </cfRule>
  </conditionalFormatting>
  <conditionalFormatting sqref="CU142 CU168 CW142 CY142 DA142 CW147 CU147 DC162 CW168 DC168 CY168 CY170 DA170 DC170">
    <cfRule type="colorScale" priority="2642">
      <colorScale>
        <cfvo type="min"/>
        <cfvo type="max"/>
        <color rgb="FFFCFCFF"/>
        <color rgb="FFF8696B"/>
      </colorScale>
    </cfRule>
  </conditionalFormatting>
  <conditionalFormatting sqref="DE168 DE162">
    <cfRule type="colorScale" priority="2641">
      <colorScale>
        <cfvo type="min"/>
        <cfvo type="percentile" val="50"/>
        <cfvo type="max"/>
        <color rgb="FFF8696B"/>
        <color rgb="FFFFEB84"/>
        <color rgb="FF63BE7B"/>
      </colorScale>
    </cfRule>
  </conditionalFormatting>
  <conditionalFormatting sqref="DE162">
    <cfRule type="colorScale" priority="2640">
      <colorScale>
        <cfvo type="min"/>
        <cfvo type="percentile" val="50"/>
        <cfvo type="max"/>
        <color rgb="FFF8696B"/>
        <color rgb="FFFFEB84"/>
        <color rgb="FF63BE7B"/>
      </colorScale>
    </cfRule>
  </conditionalFormatting>
  <conditionalFormatting sqref="DE168 DE162">
    <cfRule type="colorScale" priority="2639">
      <colorScale>
        <cfvo type="min"/>
        <cfvo type="percentile" val="50"/>
        <cfvo type="max"/>
        <color rgb="FF63BE7B"/>
        <color rgb="FFFFEB84"/>
        <color rgb="FFF8696B"/>
      </colorScale>
    </cfRule>
  </conditionalFormatting>
  <conditionalFormatting sqref="DE168 DE162">
    <cfRule type="colorScale" priority="2636">
      <colorScale>
        <cfvo type="min"/>
        <cfvo type="max"/>
        <color rgb="FFFCFCFF"/>
        <color rgb="FFF8696B"/>
      </colorScale>
    </cfRule>
    <cfRule type="colorScale" priority="2638">
      <colorScale>
        <cfvo type="min"/>
        <cfvo type="percentile" val="50"/>
        <cfvo type="max"/>
        <color rgb="FF63BE7B"/>
        <color rgb="FFFFEB84"/>
        <color rgb="FFF8696B"/>
      </colorScale>
    </cfRule>
  </conditionalFormatting>
  <conditionalFormatting sqref="DE168 DE162">
    <cfRule type="colorScale" priority="2637">
      <colorScale>
        <cfvo type="min"/>
        <cfvo type="max"/>
        <color rgb="FFF8696B"/>
        <color rgb="FFFCFCFF"/>
      </colorScale>
    </cfRule>
  </conditionalFormatting>
  <conditionalFormatting sqref="DE170">
    <cfRule type="colorScale" priority="2635">
      <colorScale>
        <cfvo type="min"/>
        <cfvo type="percentile" val="50"/>
        <cfvo type="max"/>
        <color rgb="FFF8696B"/>
        <color rgb="FFFFEB84"/>
        <color rgb="FF63BE7B"/>
      </colorScale>
    </cfRule>
  </conditionalFormatting>
  <conditionalFormatting sqref="DE170">
    <cfRule type="colorScale" priority="2634">
      <colorScale>
        <cfvo type="min"/>
        <cfvo type="percentile" val="50"/>
        <cfvo type="max"/>
        <color rgb="FFF8696B"/>
        <color rgb="FFFFEB84"/>
        <color rgb="FF63BE7B"/>
      </colorScale>
    </cfRule>
  </conditionalFormatting>
  <conditionalFormatting sqref="DE170">
    <cfRule type="colorScale" priority="2633">
      <colorScale>
        <cfvo type="min"/>
        <cfvo type="percentile" val="50"/>
        <cfvo type="max"/>
        <color rgb="FFF8696B"/>
        <color rgb="FFFFEB84"/>
        <color rgb="FF63BE7B"/>
      </colorScale>
    </cfRule>
  </conditionalFormatting>
  <conditionalFormatting sqref="DE170">
    <cfRule type="colorScale" priority="2632">
      <colorScale>
        <cfvo type="min"/>
        <cfvo type="percentile" val="50"/>
        <cfvo type="max"/>
        <color rgb="FF63BE7B"/>
        <color rgb="FFFFEB84"/>
        <color rgb="FFF8696B"/>
      </colorScale>
    </cfRule>
  </conditionalFormatting>
  <conditionalFormatting sqref="DE170">
    <cfRule type="colorScale" priority="2629">
      <colorScale>
        <cfvo type="min"/>
        <cfvo type="max"/>
        <color rgb="FFFCFCFF"/>
        <color rgb="FFF8696B"/>
      </colorScale>
    </cfRule>
    <cfRule type="colorScale" priority="2631">
      <colorScale>
        <cfvo type="min"/>
        <cfvo type="percentile" val="50"/>
        <cfvo type="max"/>
        <color rgb="FF63BE7B"/>
        <color rgb="FFFFEB84"/>
        <color rgb="FFF8696B"/>
      </colorScale>
    </cfRule>
  </conditionalFormatting>
  <conditionalFormatting sqref="DE170">
    <cfRule type="colorScale" priority="2630">
      <colorScale>
        <cfvo type="min"/>
        <cfvo type="max"/>
        <color rgb="FFF8696B"/>
        <color rgb="FFFCFCFF"/>
      </colorScale>
    </cfRule>
  </conditionalFormatting>
  <conditionalFormatting sqref="DE162">
    <cfRule type="colorScale" priority="2628">
      <colorScale>
        <cfvo type="min"/>
        <cfvo type="percentile" val="50"/>
        <cfvo type="max"/>
        <color rgb="FFF8696B"/>
        <color rgb="FFFFEB84"/>
        <color rgb="FF63BE7B"/>
      </colorScale>
    </cfRule>
  </conditionalFormatting>
  <conditionalFormatting sqref="DE168">
    <cfRule type="colorScale" priority="2627">
      <colorScale>
        <cfvo type="min"/>
        <cfvo type="percentile" val="50"/>
        <cfvo type="max"/>
        <color rgb="FFF8696B"/>
        <color rgb="FFFFEB84"/>
        <color rgb="FF63BE7B"/>
      </colorScale>
    </cfRule>
  </conditionalFormatting>
  <conditionalFormatting sqref="DE168 DE162 DE170">
    <cfRule type="colorScale" priority="2626">
      <colorScale>
        <cfvo type="min"/>
        <cfvo type="max"/>
        <color rgb="FFFCFCFF"/>
        <color rgb="FFF8696B"/>
      </colorScale>
    </cfRule>
  </conditionalFormatting>
  <conditionalFormatting sqref="DC142">
    <cfRule type="colorScale" priority="2625">
      <colorScale>
        <cfvo type="min"/>
        <cfvo type="percentile" val="50"/>
        <cfvo type="max"/>
        <color rgb="FFF8696B"/>
        <color rgb="FFFFEB84"/>
        <color rgb="FF63BE7B"/>
      </colorScale>
    </cfRule>
  </conditionalFormatting>
  <conditionalFormatting sqref="DC142">
    <cfRule type="colorScale" priority="2624">
      <colorScale>
        <cfvo type="min"/>
        <cfvo type="percentile" val="50"/>
        <cfvo type="max"/>
        <color rgb="FFF8696B"/>
        <color rgb="FFFFEB84"/>
        <color rgb="FF63BE7B"/>
      </colorScale>
    </cfRule>
  </conditionalFormatting>
  <conditionalFormatting sqref="DC142">
    <cfRule type="colorScale" priority="2623">
      <colorScale>
        <cfvo type="min"/>
        <cfvo type="percentile" val="50"/>
        <cfvo type="max"/>
        <color rgb="FF63BE7B"/>
        <color rgb="FFFFEB84"/>
        <color rgb="FFF8696B"/>
      </colorScale>
    </cfRule>
  </conditionalFormatting>
  <conditionalFormatting sqref="DC142">
    <cfRule type="colorScale" priority="2620">
      <colorScale>
        <cfvo type="min"/>
        <cfvo type="max"/>
        <color rgb="FFFCFCFF"/>
        <color rgb="FFF8696B"/>
      </colorScale>
    </cfRule>
    <cfRule type="colorScale" priority="2622">
      <colorScale>
        <cfvo type="min"/>
        <cfvo type="percentile" val="50"/>
        <cfvo type="max"/>
        <color rgb="FF63BE7B"/>
        <color rgb="FFFFEB84"/>
        <color rgb="FFF8696B"/>
      </colorScale>
    </cfRule>
  </conditionalFormatting>
  <conditionalFormatting sqref="DC142">
    <cfRule type="colorScale" priority="2621">
      <colorScale>
        <cfvo type="min"/>
        <cfvo type="max"/>
        <color rgb="FFF8696B"/>
        <color rgb="FFFCFCFF"/>
      </colorScale>
    </cfRule>
  </conditionalFormatting>
  <conditionalFormatting sqref="DC142">
    <cfRule type="colorScale" priority="2619">
      <colorScale>
        <cfvo type="min"/>
        <cfvo type="max"/>
        <color rgb="FFFCFCFF"/>
        <color rgb="FFF8696B"/>
      </colorScale>
    </cfRule>
  </conditionalFormatting>
  <conditionalFormatting sqref="DE142">
    <cfRule type="colorScale" priority="2618">
      <colorScale>
        <cfvo type="min"/>
        <cfvo type="percentile" val="50"/>
        <cfvo type="max"/>
        <color rgb="FFF8696B"/>
        <color rgb="FFFFEB84"/>
        <color rgb="FF63BE7B"/>
      </colorScale>
    </cfRule>
  </conditionalFormatting>
  <conditionalFormatting sqref="DE142">
    <cfRule type="colorScale" priority="2617">
      <colorScale>
        <cfvo type="min"/>
        <cfvo type="percentile" val="50"/>
        <cfvo type="max"/>
        <color rgb="FFF8696B"/>
        <color rgb="FFFFEB84"/>
        <color rgb="FF63BE7B"/>
      </colorScale>
    </cfRule>
  </conditionalFormatting>
  <conditionalFormatting sqref="DE142">
    <cfRule type="colorScale" priority="2616">
      <colorScale>
        <cfvo type="min"/>
        <cfvo type="percentile" val="50"/>
        <cfvo type="max"/>
        <color rgb="FF63BE7B"/>
        <color rgb="FFFFEB84"/>
        <color rgb="FFF8696B"/>
      </colorScale>
    </cfRule>
  </conditionalFormatting>
  <conditionalFormatting sqref="DE142">
    <cfRule type="colorScale" priority="2613">
      <colorScale>
        <cfvo type="min"/>
        <cfvo type="max"/>
        <color rgb="FFFCFCFF"/>
        <color rgb="FFF8696B"/>
      </colorScale>
    </cfRule>
    <cfRule type="colorScale" priority="2615">
      <colorScale>
        <cfvo type="min"/>
        <cfvo type="percentile" val="50"/>
        <cfvo type="max"/>
        <color rgb="FF63BE7B"/>
        <color rgb="FFFFEB84"/>
        <color rgb="FFF8696B"/>
      </colorScale>
    </cfRule>
  </conditionalFormatting>
  <conditionalFormatting sqref="DE142">
    <cfRule type="colorScale" priority="2614">
      <colorScale>
        <cfvo type="min"/>
        <cfvo type="max"/>
        <color rgb="FFF8696B"/>
        <color rgb="FFFCFCFF"/>
      </colorScale>
    </cfRule>
  </conditionalFormatting>
  <conditionalFormatting sqref="DE142">
    <cfRule type="colorScale" priority="2612">
      <colorScale>
        <cfvo type="min"/>
        <cfvo type="max"/>
        <color rgb="FFFCFCFF"/>
        <color rgb="FFF8696B"/>
      </colorScale>
    </cfRule>
  </conditionalFormatting>
  <conditionalFormatting sqref="DA147">
    <cfRule type="colorScale" priority="2611">
      <colorScale>
        <cfvo type="min"/>
        <cfvo type="percentile" val="50"/>
        <cfvo type="max"/>
        <color rgb="FFF8696B"/>
        <color rgb="FFFFEB84"/>
        <color rgb="FF63BE7B"/>
      </colorScale>
    </cfRule>
  </conditionalFormatting>
  <conditionalFormatting sqref="DA147">
    <cfRule type="colorScale" priority="2610">
      <colorScale>
        <cfvo type="min"/>
        <cfvo type="percentile" val="50"/>
        <cfvo type="max"/>
        <color rgb="FF63BE7B"/>
        <color rgb="FFFFEB84"/>
        <color rgb="FFF8696B"/>
      </colorScale>
    </cfRule>
  </conditionalFormatting>
  <conditionalFormatting sqref="DA147">
    <cfRule type="colorScale" priority="2607">
      <colorScale>
        <cfvo type="min"/>
        <cfvo type="max"/>
        <color rgb="FFFCFCFF"/>
        <color rgb="FFF8696B"/>
      </colorScale>
    </cfRule>
    <cfRule type="colorScale" priority="2609">
      <colorScale>
        <cfvo type="min"/>
        <cfvo type="percentile" val="50"/>
        <cfvo type="max"/>
        <color rgb="FF63BE7B"/>
        <color rgb="FFFFEB84"/>
        <color rgb="FFF8696B"/>
      </colorScale>
    </cfRule>
  </conditionalFormatting>
  <conditionalFormatting sqref="DA147">
    <cfRule type="colorScale" priority="2608">
      <colorScale>
        <cfvo type="min"/>
        <cfvo type="max"/>
        <color rgb="FFF8696B"/>
        <color rgb="FFFCFCFF"/>
      </colorScale>
    </cfRule>
  </conditionalFormatting>
  <conditionalFormatting sqref="DA147">
    <cfRule type="colorScale" priority="2606">
      <colorScale>
        <cfvo type="min"/>
        <cfvo type="max"/>
        <color rgb="FFFCFCFF"/>
        <color rgb="FFF8696B"/>
      </colorScale>
    </cfRule>
  </conditionalFormatting>
  <conditionalFormatting sqref="DE147">
    <cfRule type="colorScale" priority="2605">
      <colorScale>
        <cfvo type="min"/>
        <cfvo type="percentile" val="50"/>
        <cfvo type="max"/>
        <color rgb="FFF8696B"/>
        <color rgb="FFFFEB84"/>
        <color rgb="FF63BE7B"/>
      </colorScale>
    </cfRule>
  </conditionalFormatting>
  <conditionalFormatting sqref="DE147">
    <cfRule type="colorScale" priority="2604">
      <colorScale>
        <cfvo type="min"/>
        <cfvo type="percentile" val="50"/>
        <cfvo type="max"/>
        <color rgb="FFF8696B"/>
        <color rgb="FFFFEB84"/>
        <color rgb="FF63BE7B"/>
      </colorScale>
    </cfRule>
  </conditionalFormatting>
  <conditionalFormatting sqref="DE147">
    <cfRule type="colorScale" priority="2603">
      <colorScale>
        <cfvo type="min"/>
        <cfvo type="percentile" val="50"/>
        <cfvo type="max"/>
        <color rgb="FF63BE7B"/>
        <color rgb="FFFFEB84"/>
        <color rgb="FFF8696B"/>
      </colorScale>
    </cfRule>
  </conditionalFormatting>
  <conditionalFormatting sqref="DE147">
    <cfRule type="colorScale" priority="2600">
      <colorScale>
        <cfvo type="min"/>
        <cfvo type="max"/>
        <color rgb="FFFCFCFF"/>
        <color rgb="FFF8696B"/>
      </colorScale>
    </cfRule>
    <cfRule type="colorScale" priority="2602">
      <colorScale>
        <cfvo type="min"/>
        <cfvo type="percentile" val="50"/>
        <cfvo type="max"/>
        <color rgb="FF63BE7B"/>
        <color rgb="FFFFEB84"/>
        <color rgb="FFF8696B"/>
      </colorScale>
    </cfRule>
  </conditionalFormatting>
  <conditionalFormatting sqref="DE147">
    <cfRule type="colorScale" priority="2601">
      <colorScale>
        <cfvo type="min"/>
        <cfvo type="max"/>
        <color rgb="FFF8696B"/>
        <color rgb="FFFCFCFF"/>
      </colorScale>
    </cfRule>
  </conditionalFormatting>
  <conditionalFormatting sqref="DE147">
    <cfRule type="colorScale" priority="2599">
      <colorScale>
        <cfvo type="min"/>
        <cfvo type="max"/>
        <color rgb="FFFCFCFF"/>
        <color rgb="FFF8696B"/>
      </colorScale>
    </cfRule>
  </conditionalFormatting>
  <conditionalFormatting sqref="CU153">
    <cfRule type="colorScale" priority="2598">
      <colorScale>
        <cfvo type="min"/>
        <cfvo type="percentile" val="50"/>
        <cfvo type="max"/>
        <color rgb="FFF8696B"/>
        <color rgb="FFFFEB84"/>
        <color rgb="FF63BE7B"/>
      </colorScale>
    </cfRule>
  </conditionalFormatting>
  <conditionalFormatting sqref="CU153">
    <cfRule type="colorScale" priority="2597">
      <colorScale>
        <cfvo type="min"/>
        <cfvo type="percentile" val="50"/>
        <cfvo type="max"/>
        <color rgb="FF63BE7B"/>
        <color rgb="FFFFEB84"/>
        <color rgb="FFF8696B"/>
      </colorScale>
    </cfRule>
  </conditionalFormatting>
  <conditionalFormatting sqref="CU153">
    <cfRule type="colorScale" priority="2594">
      <colorScale>
        <cfvo type="min"/>
        <cfvo type="max"/>
        <color rgb="FFFCFCFF"/>
        <color rgb="FFF8696B"/>
      </colorScale>
    </cfRule>
    <cfRule type="colorScale" priority="2596">
      <colorScale>
        <cfvo type="min"/>
        <cfvo type="percentile" val="50"/>
        <cfvo type="max"/>
        <color rgb="FF63BE7B"/>
        <color rgb="FFFFEB84"/>
        <color rgb="FFF8696B"/>
      </colorScale>
    </cfRule>
  </conditionalFormatting>
  <conditionalFormatting sqref="CU153">
    <cfRule type="colorScale" priority="2595">
      <colorScale>
        <cfvo type="min"/>
        <cfvo type="max"/>
        <color rgb="FFF8696B"/>
        <color rgb="FFFCFCFF"/>
      </colorScale>
    </cfRule>
  </conditionalFormatting>
  <conditionalFormatting sqref="CU153">
    <cfRule type="colorScale" priority="2593">
      <colorScale>
        <cfvo type="min"/>
        <cfvo type="percentile" val="50"/>
        <cfvo type="max"/>
        <color rgb="FFF8696B"/>
        <color rgb="FFFFEB84"/>
        <color rgb="FF63BE7B"/>
      </colorScale>
    </cfRule>
  </conditionalFormatting>
  <conditionalFormatting sqref="CU153">
    <cfRule type="colorScale" priority="2592">
      <colorScale>
        <cfvo type="min"/>
        <cfvo type="max"/>
        <color rgb="FFFCFCFF"/>
        <color rgb="FFF8696B"/>
      </colorScale>
    </cfRule>
  </conditionalFormatting>
  <conditionalFormatting sqref="CW153">
    <cfRule type="colorScale" priority="2591">
      <colorScale>
        <cfvo type="min"/>
        <cfvo type="percentile" val="50"/>
        <cfvo type="max"/>
        <color rgb="FFF8696B"/>
        <color rgb="FFFFEB84"/>
        <color rgb="FF63BE7B"/>
      </colorScale>
    </cfRule>
  </conditionalFormatting>
  <conditionalFormatting sqref="CW153">
    <cfRule type="colorScale" priority="2590">
      <colorScale>
        <cfvo type="min"/>
        <cfvo type="percentile" val="50"/>
        <cfvo type="max"/>
        <color rgb="FF63BE7B"/>
        <color rgb="FFFFEB84"/>
        <color rgb="FFF8696B"/>
      </colorScale>
    </cfRule>
  </conditionalFormatting>
  <conditionalFormatting sqref="CW153">
    <cfRule type="colorScale" priority="2587">
      <colorScale>
        <cfvo type="min"/>
        <cfvo type="max"/>
        <color rgb="FFFCFCFF"/>
        <color rgb="FFF8696B"/>
      </colorScale>
    </cfRule>
    <cfRule type="colorScale" priority="2589">
      <colorScale>
        <cfvo type="min"/>
        <cfvo type="percentile" val="50"/>
        <cfvo type="max"/>
        <color rgb="FF63BE7B"/>
        <color rgb="FFFFEB84"/>
        <color rgb="FFF8696B"/>
      </colorScale>
    </cfRule>
  </conditionalFormatting>
  <conditionalFormatting sqref="CW153">
    <cfRule type="colorScale" priority="2588">
      <colorScale>
        <cfvo type="min"/>
        <cfvo type="max"/>
        <color rgb="FFF8696B"/>
        <color rgb="FFFCFCFF"/>
      </colorScale>
    </cfRule>
  </conditionalFormatting>
  <conditionalFormatting sqref="CW153">
    <cfRule type="colorScale" priority="2586">
      <colorScale>
        <cfvo type="min"/>
        <cfvo type="percentile" val="50"/>
        <cfvo type="max"/>
        <color rgb="FFF8696B"/>
        <color rgb="FFFFEB84"/>
        <color rgb="FF63BE7B"/>
      </colorScale>
    </cfRule>
  </conditionalFormatting>
  <conditionalFormatting sqref="CW153">
    <cfRule type="colorScale" priority="2585">
      <colorScale>
        <cfvo type="min"/>
        <cfvo type="max"/>
        <color rgb="FFFCFCFF"/>
        <color rgb="FFF8696B"/>
      </colorScale>
    </cfRule>
  </conditionalFormatting>
  <conditionalFormatting sqref="CY153">
    <cfRule type="colorScale" priority="2584">
      <colorScale>
        <cfvo type="min"/>
        <cfvo type="percentile" val="50"/>
        <cfvo type="max"/>
        <color rgb="FFF8696B"/>
        <color rgb="FFFFEB84"/>
        <color rgb="FF63BE7B"/>
      </colorScale>
    </cfRule>
  </conditionalFormatting>
  <conditionalFormatting sqref="CY153">
    <cfRule type="colorScale" priority="2583">
      <colorScale>
        <cfvo type="min"/>
        <cfvo type="percentile" val="50"/>
        <cfvo type="max"/>
        <color rgb="FF63BE7B"/>
        <color rgb="FFFFEB84"/>
        <color rgb="FFF8696B"/>
      </colorScale>
    </cfRule>
  </conditionalFormatting>
  <conditionalFormatting sqref="CY153">
    <cfRule type="colorScale" priority="2580">
      <colorScale>
        <cfvo type="min"/>
        <cfvo type="max"/>
        <color rgb="FFFCFCFF"/>
        <color rgb="FFF8696B"/>
      </colorScale>
    </cfRule>
    <cfRule type="colorScale" priority="2582">
      <colorScale>
        <cfvo type="min"/>
        <cfvo type="percentile" val="50"/>
        <cfvo type="max"/>
        <color rgb="FF63BE7B"/>
        <color rgb="FFFFEB84"/>
        <color rgb="FFF8696B"/>
      </colorScale>
    </cfRule>
  </conditionalFormatting>
  <conditionalFormatting sqref="CY153">
    <cfRule type="colorScale" priority="2581">
      <colorScale>
        <cfvo type="min"/>
        <cfvo type="max"/>
        <color rgb="FFF8696B"/>
        <color rgb="FFFCFCFF"/>
      </colorScale>
    </cfRule>
  </conditionalFormatting>
  <conditionalFormatting sqref="CY153">
    <cfRule type="colorScale" priority="2579">
      <colorScale>
        <cfvo type="min"/>
        <cfvo type="percentile" val="50"/>
        <cfvo type="max"/>
        <color rgb="FFF8696B"/>
        <color rgb="FFFFEB84"/>
        <color rgb="FF63BE7B"/>
      </colorScale>
    </cfRule>
  </conditionalFormatting>
  <conditionalFormatting sqref="CY153">
    <cfRule type="colorScale" priority="2578">
      <colorScale>
        <cfvo type="min"/>
        <cfvo type="max"/>
        <color rgb="FFFCFCFF"/>
        <color rgb="FFF8696B"/>
      </colorScale>
    </cfRule>
  </conditionalFormatting>
  <conditionalFormatting sqref="DA153">
    <cfRule type="colorScale" priority="2577">
      <colorScale>
        <cfvo type="min"/>
        <cfvo type="percentile" val="50"/>
        <cfvo type="max"/>
        <color rgb="FFF8696B"/>
        <color rgb="FFFFEB84"/>
        <color rgb="FF63BE7B"/>
      </colorScale>
    </cfRule>
  </conditionalFormatting>
  <conditionalFormatting sqref="DA153">
    <cfRule type="colorScale" priority="2576">
      <colorScale>
        <cfvo type="min"/>
        <cfvo type="percentile" val="50"/>
        <cfvo type="max"/>
        <color rgb="FF63BE7B"/>
        <color rgb="FFFFEB84"/>
        <color rgb="FFF8696B"/>
      </colorScale>
    </cfRule>
  </conditionalFormatting>
  <conditionalFormatting sqref="DA153">
    <cfRule type="colorScale" priority="2573">
      <colorScale>
        <cfvo type="min"/>
        <cfvo type="max"/>
        <color rgb="FFFCFCFF"/>
        <color rgb="FFF8696B"/>
      </colorScale>
    </cfRule>
    <cfRule type="colorScale" priority="2575">
      <colorScale>
        <cfvo type="min"/>
        <cfvo type="percentile" val="50"/>
        <cfvo type="max"/>
        <color rgb="FF63BE7B"/>
        <color rgb="FFFFEB84"/>
        <color rgb="FFF8696B"/>
      </colorScale>
    </cfRule>
  </conditionalFormatting>
  <conditionalFormatting sqref="DA153">
    <cfRule type="colorScale" priority="2574">
      <colorScale>
        <cfvo type="min"/>
        <cfvo type="max"/>
        <color rgb="FFF8696B"/>
        <color rgb="FFFCFCFF"/>
      </colorScale>
    </cfRule>
  </conditionalFormatting>
  <conditionalFormatting sqref="DA153">
    <cfRule type="colorScale" priority="2572">
      <colorScale>
        <cfvo type="min"/>
        <cfvo type="percentile" val="50"/>
        <cfvo type="max"/>
        <color rgb="FFF8696B"/>
        <color rgb="FFFFEB84"/>
        <color rgb="FF63BE7B"/>
      </colorScale>
    </cfRule>
  </conditionalFormatting>
  <conditionalFormatting sqref="DA153">
    <cfRule type="colorScale" priority="2571">
      <colorScale>
        <cfvo type="min"/>
        <cfvo type="max"/>
        <color rgb="FFFCFCFF"/>
        <color rgb="FFF8696B"/>
      </colorScale>
    </cfRule>
  </conditionalFormatting>
  <conditionalFormatting sqref="DC153">
    <cfRule type="colorScale" priority="2570">
      <colorScale>
        <cfvo type="min"/>
        <cfvo type="percentile" val="50"/>
        <cfvo type="max"/>
        <color rgb="FFF8696B"/>
        <color rgb="FFFFEB84"/>
        <color rgb="FF63BE7B"/>
      </colorScale>
    </cfRule>
  </conditionalFormatting>
  <conditionalFormatting sqref="DC153">
    <cfRule type="colorScale" priority="2569">
      <colorScale>
        <cfvo type="min"/>
        <cfvo type="percentile" val="50"/>
        <cfvo type="max"/>
        <color rgb="FF63BE7B"/>
        <color rgb="FFFFEB84"/>
        <color rgb="FFF8696B"/>
      </colorScale>
    </cfRule>
  </conditionalFormatting>
  <conditionalFormatting sqref="DC153">
    <cfRule type="colorScale" priority="2566">
      <colorScale>
        <cfvo type="min"/>
        <cfvo type="max"/>
        <color rgb="FFFCFCFF"/>
        <color rgb="FFF8696B"/>
      </colorScale>
    </cfRule>
    <cfRule type="colorScale" priority="2568">
      <colorScale>
        <cfvo type="min"/>
        <cfvo type="percentile" val="50"/>
        <cfvo type="max"/>
        <color rgb="FF63BE7B"/>
        <color rgb="FFFFEB84"/>
        <color rgb="FFF8696B"/>
      </colorScale>
    </cfRule>
  </conditionalFormatting>
  <conditionalFormatting sqref="DC153">
    <cfRule type="colorScale" priority="2567">
      <colorScale>
        <cfvo type="min"/>
        <cfvo type="max"/>
        <color rgb="FFF8696B"/>
        <color rgb="FFFCFCFF"/>
      </colorScale>
    </cfRule>
  </conditionalFormatting>
  <conditionalFormatting sqref="DC153">
    <cfRule type="colorScale" priority="2565">
      <colorScale>
        <cfvo type="min"/>
        <cfvo type="percentile" val="50"/>
        <cfvo type="max"/>
        <color rgb="FFF8696B"/>
        <color rgb="FFFFEB84"/>
        <color rgb="FF63BE7B"/>
      </colorScale>
    </cfRule>
  </conditionalFormatting>
  <conditionalFormatting sqref="DC153">
    <cfRule type="colorScale" priority="2564">
      <colorScale>
        <cfvo type="min"/>
        <cfvo type="max"/>
        <color rgb="FFFCFCFF"/>
        <color rgb="FFF8696B"/>
      </colorScale>
    </cfRule>
  </conditionalFormatting>
  <conditionalFormatting sqref="DE153">
    <cfRule type="colorScale" priority="2563">
      <colorScale>
        <cfvo type="min"/>
        <cfvo type="percentile" val="50"/>
        <cfvo type="max"/>
        <color rgb="FFF8696B"/>
        <color rgb="FFFFEB84"/>
        <color rgb="FF63BE7B"/>
      </colorScale>
    </cfRule>
  </conditionalFormatting>
  <conditionalFormatting sqref="DE153">
    <cfRule type="colorScale" priority="2562">
      <colorScale>
        <cfvo type="min"/>
        <cfvo type="percentile" val="50"/>
        <cfvo type="max"/>
        <color rgb="FF63BE7B"/>
        <color rgb="FFFFEB84"/>
        <color rgb="FFF8696B"/>
      </colorScale>
    </cfRule>
  </conditionalFormatting>
  <conditionalFormatting sqref="DE153">
    <cfRule type="colorScale" priority="2559">
      <colorScale>
        <cfvo type="min"/>
        <cfvo type="max"/>
        <color rgb="FFFCFCFF"/>
        <color rgb="FFF8696B"/>
      </colorScale>
    </cfRule>
    <cfRule type="colorScale" priority="2561">
      <colorScale>
        <cfvo type="min"/>
        <cfvo type="percentile" val="50"/>
        <cfvo type="max"/>
        <color rgb="FF63BE7B"/>
        <color rgb="FFFFEB84"/>
        <color rgb="FFF8696B"/>
      </colorScale>
    </cfRule>
  </conditionalFormatting>
  <conditionalFormatting sqref="DE153">
    <cfRule type="colorScale" priority="2560">
      <colorScale>
        <cfvo type="min"/>
        <cfvo type="max"/>
        <color rgb="FFF8696B"/>
        <color rgb="FFFCFCFF"/>
      </colorScale>
    </cfRule>
  </conditionalFormatting>
  <conditionalFormatting sqref="DE153">
    <cfRule type="colorScale" priority="2558">
      <colorScale>
        <cfvo type="min"/>
        <cfvo type="percentile" val="50"/>
        <cfvo type="max"/>
        <color rgb="FFF8696B"/>
        <color rgb="FFFFEB84"/>
        <color rgb="FF63BE7B"/>
      </colorScale>
    </cfRule>
  </conditionalFormatting>
  <conditionalFormatting sqref="DE153">
    <cfRule type="colorScale" priority="2557">
      <colorScale>
        <cfvo type="min"/>
        <cfvo type="max"/>
        <color rgb="FFFCFCFF"/>
        <color rgb="FFF8696B"/>
      </colorScale>
    </cfRule>
  </conditionalFormatting>
  <conditionalFormatting sqref="DG162 DG168">
    <cfRule type="colorScale" priority="2556">
      <colorScale>
        <cfvo type="min"/>
        <cfvo type="percentile" val="50"/>
        <cfvo type="max"/>
        <color rgb="FFF8696B"/>
        <color rgb="FFFFEB84"/>
        <color rgb="FF63BE7B"/>
      </colorScale>
    </cfRule>
  </conditionalFormatting>
  <conditionalFormatting sqref="DG162">
    <cfRule type="colorScale" priority="2555">
      <colorScale>
        <cfvo type="min"/>
        <cfvo type="percentile" val="50"/>
        <cfvo type="max"/>
        <color rgb="FFF8696B"/>
        <color rgb="FFFFEB84"/>
        <color rgb="FF63BE7B"/>
      </colorScale>
    </cfRule>
  </conditionalFormatting>
  <conditionalFormatting sqref="DG162 DG168">
    <cfRule type="colorScale" priority="2554">
      <colorScale>
        <cfvo type="min"/>
        <cfvo type="percentile" val="50"/>
        <cfvo type="max"/>
        <color rgb="FF63BE7B"/>
        <color rgb="FFFFEB84"/>
        <color rgb="FFF8696B"/>
      </colorScale>
    </cfRule>
  </conditionalFormatting>
  <conditionalFormatting sqref="DG168 DG162">
    <cfRule type="colorScale" priority="2551">
      <colorScale>
        <cfvo type="min"/>
        <cfvo type="max"/>
        <color rgb="FFFCFCFF"/>
        <color rgb="FFF8696B"/>
      </colorScale>
    </cfRule>
    <cfRule type="colorScale" priority="2553">
      <colorScale>
        <cfvo type="min"/>
        <cfvo type="percentile" val="50"/>
        <cfvo type="max"/>
        <color rgb="FF63BE7B"/>
        <color rgb="FFFFEB84"/>
        <color rgb="FFF8696B"/>
      </colorScale>
    </cfRule>
  </conditionalFormatting>
  <conditionalFormatting sqref="DG162 DG168">
    <cfRule type="colorScale" priority="2552">
      <colorScale>
        <cfvo type="min"/>
        <cfvo type="max"/>
        <color rgb="FFF8696B"/>
        <color rgb="FFFCFCFF"/>
      </colorScale>
    </cfRule>
  </conditionalFormatting>
  <conditionalFormatting sqref="DG170">
    <cfRule type="colorScale" priority="2550">
      <colorScale>
        <cfvo type="min"/>
        <cfvo type="percentile" val="50"/>
        <cfvo type="max"/>
        <color rgb="FFF8696B"/>
        <color rgb="FFFFEB84"/>
        <color rgb="FF63BE7B"/>
      </colorScale>
    </cfRule>
  </conditionalFormatting>
  <conditionalFormatting sqref="DG170">
    <cfRule type="colorScale" priority="2549">
      <colorScale>
        <cfvo type="min"/>
        <cfvo type="percentile" val="50"/>
        <cfvo type="max"/>
        <color rgb="FFF8696B"/>
        <color rgb="FFFFEB84"/>
        <color rgb="FF63BE7B"/>
      </colorScale>
    </cfRule>
  </conditionalFormatting>
  <conditionalFormatting sqref="DG170">
    <cfRule type="colorScale" priority="2548">
      <colorScale>
        <cfvo type="min"/>
        <cfvo type="percentile" val="50"/>
        <cfvo type="max"/>
        <color rgb="FFF8696B"/>
        <color rgb="FFFFEB84"/>
        <color rgb="FF63BE7B"/>
      </colorScale>
    </cfRule>
  </conditionalFormatting>
  <conditionalFormatting sqref="DG170">
    <cfRule type="colorScale" priority="2547">
      <colorScale>
        <cfvo type="min"/>
        <cfvo type="percentile" val="50"/>
        <cfvo type="max"/>
        <color rgb="FF63BE7B"/>
        <color rgb="FFFFEB84"/>
        <color rgb="FFF8696B"/>
      </colorScale>
    </cfRule>
  </conditionalFormatting>
  <conditionalFormatting sqref="DG170">
    <cfRule type="colorScale" priority="2544">
      <colorScale>
        <cfvo type="min"/>
        <cfvo type="max"/>
        <color rgb="FFFCFCFF"/>
        <color rgb="FFF8696B"/>
      </colorScale>
    </cfRule>
    <cfRule type="colorScale" priority="2546">
      <colorScale>
        <cfvo type="min"/>
        <cfvo type="percentile" val="50"/>
        <cfvo type="max"/>
        <color rgb="FF63BE7B"/>
        <color rgb="FFFFEB84"/>
        <color rgb="FFF8696B"/>
      </colorScale>
    </cfRule>
  </conditionalFormatting>
  <conditionalFormatting sqref="DG170">
    <cfRule type="colorScale" priority="2545">
      <colorScale>
        <cfvo type="min"/>
        <cfvo type="max"/>
        <color rgb="FFF8696B"/>
        <color rgb="FFFCFCFF"/>
      </colorScale>
    </cfRule>
  </conditionalFormatting>
  <conditionalFormatting sqref="DG162">
    <cfRule type="colorScale" priority="2543">
      <colorScale>
        <cfvo type="min"/>
        <cfvo type="percentile" val="50"/>
        <cfvo type="max"/>
        <color rgb="FFF8696B"/>
        <color rgb="FFFFEB84"/>
        <color rgb="FF63BE7B"/>
      </colorScale>
    </cfRule>
  </conditionalFormatting>
  <conditionalFormatting sqref="DG168">
    <cfRule type="colorScale" priority="2542">
      <colorScale>
        <cfvo type="min"/>
        <cfvo type="percentile" val="50"/>
        <cfvo type="max"/>
        <color rgb="FFF8696B"/>
        <color rgb="FFFFEB84"/>
        <color rgb="FF63BE7B"/>
      </colorScale>
    </cfRule>
  </conditionalFormatting>
  <conditionalFormatting sqref="DG162 DG168 DG170">
    <cfRule type="colorScale" priority="2541">
      <colorScale>
        <cfvo type="min"/>
        <cfvo type="max"/>
        <color rgb="FFFCFCFF"/>
        <color rgb="FFF8696B"/>
      </colorScale>
    </cfRule>
  </conditionalFormatting>
  <conditionalFormatting sqref="DG153">
    <cfRule type="colorScale" priority="2540">
      <colorScale>
        <cfvo type="min"/>
        <cfvo type="percentile" val="50"/>
        <cfvo type="max"/>
        <color rgb="FFF8696B"/>
        <color rgb="FFFFEB84"/>
        <color rgb="FF63BE7B"/>
      </colorScale>
    </cfRule>
  </conditionalFormatting>
  <conditionalFormatting sqref="DG153">
    <cfRule type="colorScale" priority="2539">
      <colorScale>
        <cfvo type="min"/>
        <cfvo type="percentile" val="50"/>
        <cfvo type="max"/>
        <color rgb="FF63BE7B"/>
        <color rgb="FFFFEB84"/>
        <color rgb="FFF8696B"/>
      </colorScale>
    </cfRule>
  </conditionalFormatting>
  <conditionalFormatting sqref="DG153">
    <cfRule type="colorScale" priority="2536">
      <colorScale>
        <cfvo type="min"/>
        <cfvo type="max"/>
        <color rgb="FFFCFCFF"/>
        <color rgb="FFF8696B"/>
      </colorScale>
    </cfRule>
    <cfRule type="colorScale" priority="2538">
      <colorScale>
        <cfvo type="min"/>
        <cfvo type="percentile" val="50"/>
        <cfvo type="max"/>
        <color rgb="FF63BE7B"/>
        <color rgb="FFFFEB84"/>
        <color rgb="FFF8696B"/>
      </colorScale>
    </cfRule>
  </conditionalFormatting>
  <conditionalFormatting sqref="DG153">
    <cfRule type="colorScale" priority="2537">
      <colorScale>
        <cfvo type="min"/>
        <cfvo type="max"/>
        <color rgb="FFF8696B"/>
        <color rgb="FFFCFCFF"/>
      </colorScale>
    </cfRule>
  </conditionalFormatting>
  <conditionalFormatting sqref="DG153">
    <cfRule type="colorScale" priority="2535">
      <colorScale>
        <cfvo type="min"/>
        <cfvo type="percentile" val="50"/>
        <cfvo type="max"/>
        <color rgb="FFF8696B"/>
        <color rgb="FFFFEB84"/>
        <color rgb="FF63BE7B"/>
      </colorScale>
    </cfRule>
  </conditionalFormatting>
  <conditionalFormatting sqref="DG153">
    <cfRule type="colorScale" priority="2534">
      <colorScale>
        <cfvo type="min"/>
        <cfvo type="max"/>
        <color rgb="FFFCFCFF"/>
        <color rgb="FFF8696B"/>
      </colorScale>
    </cfRule>
  </conditionalFormatting>
  <conditionalFormatting sqref="DG170 DG168 DE168 DE170 DC168 DC170 DA170 CY168 CY170 CW168 CU168 CU153:CU162 CW153:CW162 CU142 CW142 CY142:CY147 CY153:CY162 DA142 DA147 DA153:DA157 DC162 DC153:DC157 DC142:DC147 DE142 DE147 DG142 DG147 DG153:DG157 DE153:DE157 DE162 DG162">
    <cfRule type="colorScale" priority="2533">
      <colorScale>
        <cfvo type="min"/>
        <cfvo type="max"/>
        <color rgb="FFFCFCFF"/>
        <color rgb="FFF8696B"/>
      </colorScale>
    </cfRule>
  </conditionalFormatting>
  <conditionalFormatting sqref="CU142 DG168 CW142 CY142:CY147 DA142 DA147 DC142:DC147 DE142 DE147 DG142 DG147 DG153:DG157 DG162 DG170 DE170 DE168 DE162 DE153:DE157 DC153:DC157 DC162 DC168 DC170 DA170 DA153:DA157 CY153:CY162 CW153:CW162 CU153:CU162 CU168 CW168 CY168 CY170">
    <cfRule type="colorScale" priority="2532">
      <colorScale>
        <cfvo type="min"/>
        <cfvo type="max"/>
        <color rgb="FFFCFCFF"/>
        <color rgb="FFF8696B"/>
      </colorScale>
    </cfRule>
  </conditionalFormatting>
  <conditionalFormatting sqref="CQ125 CE99 CG99 CI99:CI104 CK99 CM99 CO99 CQ99 CQ104 CO104 CM104 CK104 CE110:CE119 CG110:CG119 CI110:CI114 CK110:CK114 CK119 CM119 CO109 CO114 CQ109 CQ114 CQ119 CO119 CQ127 CO125 CO127 CM125 CM127 CK125 CK127 CI127 CG125 CE125">
    <cfRule type="colorScale" priority="2531">
      <colorScale>
        <cfvo type="min"/>
        <cfvo type="max"/>
        <color rgb="FFFCFCFF"/>
        <color rgb="FFF8696B"/>
      </colorScale>
    </cfRule>
  </conditionalFormatting>
  <conditionalFormatting sqref="CU125 DA119 DC119 CW125 DA125 DC125">
    <cfRule type="colorScale" priority="2530">
      <colorScale>
        <cfvo type="min"/>
        <cfvo type="percentile" val="50"/>
        <cfvo type="max"/>
        <color rgb="FFF8696B"/>
        <color rgb="FFFFEB84"/>
        <color rgb="FF63BE7B"/>
      </colorScale>
    </cfRule>
  </conditionalFormatting>
  <conditionalFormatting sqref="DC119">
    <cfRule type="colorScale" priority="2529">
      <colorScale>
        <cfvo type="min"/>
        <cfvo type="percentile" val="50"/>
        <cfvo type="max"/>
        <color rgb="FFF8696B"/>
        <color rgb="FFFFEB84"/>
        <color rgb="FF63BE7B"/>
      </colorScale>
    </cfRule>
  </conditionalFormatting>
  <conditionalFormatting sqref="CU125 DA119 DC119 CW125 DA125 DC125">
    <cfRule type="colorScale" priority="2528">
      <colorScale>
        <cfvo type="min"/>
        <cfvo type="percentile" val="50"/>
        <cfvo type="max"/>
        <color rgb="FF63BE7B"/>
        <color rgb="FFFFEB84"/>
        <color rgb="FFF8696B"/>
      </colorScale>
    </cfRule>
  </conditionalFormatting>
  <conditionalFormatting sqref="CU125 DA119 DC119 CW125 DA125 DC125">
    <cfRule type="colorScale" priority="2525">
      <colorScale>
        <cfvo type="min"/>
        <cfvo type="max"/>
        <color rgb="FFFCFCFF"/>
        <color rgb="FFF8696B"/>
      </colorScale>
    </cfRule>
    <cfRule type="colorScale" priority="2527">
      <colorScale>
        <cfvo type="min"/>
        <cfvo type="percentile" val="50"/>
        <cfvo type="max"/>
        <color rgb="FF63BE7B"/>
        <color rgb="FFFFEB84"/>
        <color rgb="FFF8696B"/>
      </colorScale>
    </cfRule>
  </conditionalFormatting>
  <conditionalFormatting sqref="CU125 DA119 DC119 CW125 DA125 DC125">
    <cfRule type="colorScale" priority="2526">
      <colorScale>
        <cfvo type="min"/>
        <cfvo type="max"/>
        <color rgb="FFF8696B"/>
        <color rgb="FFFCFCFF"/>
      </colorScale>
    </cfRule>
  </conditionalFormatting>
  <conditionalFormatting sqref="CY127">
    <cfRule type="colorScale" priority="2524">
      <colorScale>
        <cfvo type="min"/>
        <cfvo type="percentile" val="50"/>
        <cfvo type="max"/>
        <color rgb="FFF8696B"/>
        <color rgb="FFFFEB84"/>
        <color rgb="FF63BE7B"/>
      </colorScale>
    </cfRule>
  </conditionalFormatting>
  <conditionalFormatting sqref="CY127">
    <cfRule type="colorScale" priority="2523">
      <colorScale>
        <cfvo type="min"/>
        <cfvo type="percentile" val="50"/>
        <cfvo type="max"/>
        <color rgb="FFF8696B"/>
        <color rgb="FFFFEB84"/>
        <color rgb="FF63BE7B"/>
      </colorScale>
    </cfRule>
  </conditionalFormatting>
  <conditionalFormatting sqref="CY127">
    <cfRule type="colorScale" priority="2522">
      <colorScale>
        <cfvo type="min"/>
        <cfvo type="percentile" val="50"/>
        <cfvo type="max"/>
        <color rgb="FFF8696B"/>
        <color rgb="FFFFEB84"/>
        <color rgb="FF63BE7B"/>
      </colorScale>
    </cfRule>
  </conditionalFormatting>
  <conditionalFormatting sqref="CY127">
    <cfRule type="colorScale" priority="2521">
      <colorScale>
        <cfvo type="min"/>
        <cfvo type="percentile" val="50"/>
        <cfvo type="max"/>
        <color rgb="FF63BE7B"/>
        <color rgb="FFFFEB84"/>
        <color rgb="FFF8696B"/>
      </colorScale>
    </cfRule>
  </conditionalFormatting>
  <conditionalFormatting sqref="CY127">
    <cfRule type="colorScale" priority="2518">
      <colorScale>
        <cfvo type="min"/>
        <cfvo type="max"/>
        <color rgb="FFFCFCFF"/>
        <color rgb="FFF8696B"/>
      </colorScale>
    </cfRule>
    <cfRule type="colorScale" priority="2520">
      <colorScale>
        <cfvo type="min"/>
        <cfvo type="percentile" val="50"/>
        <cfvo type="max"/>
        <color rgb="FF63BE7B"/>
        <color rgb="FFFFEB84"/>
        <color rgb="FFF8696B"/>
      </colorScale>
    </cfRule>
  </conditionalFormatting>
  <conditionalFormatting sqref="CY127">
    <cfRule type="colorScale" priority="2519">
      <colorScale>
        <cfvo type="min"/>
        <cfvo type="max"/>
        <color rgb="FFF8696B"/>
        <color rgb="FFFCFCFF"/>
      </colorScale>
    </cfRule>
  </conditionalFormatting>
  <conditionalFormatting sqref="DA127">
    <cfRule type="colorScale" priority="2517">
      <colorScale>
        <cfvo type="min"/>
        <cfvo type="percentile" val="50"/>
        <cfvo type="max"/>
        <color rgb="FFF8696B"/>
        <color rgb="FFFFEB84"/>
        <color rgb="FF63BE7B"/>
      </colorScale>
    </cfRule>
  </conditionalFormatting>
  <conditionalFormatting sqref="DA127">
    <cfRule type="colorScale" priority="2516">
      <colorScale>
        <cfvo type="min"/>
        <cfvo type="percentile" val="50"/>
        <cfvo type="max"/>
        <color rgb="FFF8696B"/>
        <color rgb="FFFFEB84"/>
        <color rgb="FF63BE7B"/>
      </colorScale>
    </cfRule>
  </conditionalFormatting>
  <conditionalFormatting sqref="DA127">
    <cfRule type="colorScale" priority="2515">
      <colorScale>
        <cfvo type="min"/>
        <cfvo type="percentile" val="50"/>
        <cfvo type="max"/>
        <color rgb="FFF8696B"/>
        <color rgb="FFFFEB84"/>
        <color rgb="FF63BE7B"/>
      </colorScale>
    </cfRule>
  </conditionalFormatting>
  <conditionalFormatting sqref="DA127">
    <cfRule type="colorScale" priority="2514">
      <colorScale>
        <cfvo type="min"/>
        <cfvo type="percentile" val="50"/>
        <cfvo type="max"/>
        <color rgb="FF63BE7B"/>
        <color rgb="FFFFEB84"/>
        <color rgb="FFF8696B"/>
      </colorScale>
    </cfRule>
  </conditionalFormatting>
  <conditionalFormatting sqref="DA127">
    <cfRule type="colorScale" priority="2511">
      <colorScale>
        <cfvo type="min"/>
        <cfvo type="max"/>
        <color rgb="FFFCFCFF"/>
        <color rgb="FFF8696B"/>
      </colorScale>
    </cfRule>
    <cfRule type="colorScale" priority="2513">
      <colorScale>
        <cfvo type="min"/>
        <cfvo type="percentile" val="50"/>
        <cfvo type="max"/>
        <color rgb="FF63BE7B"/>
        <color rgb="FFFFEB84"/>
        <color rgb="FFF8696B"/>
      </colorScale>
    </cfRule>
  </conditionalFormatting>
  <conditionalFormatting sqref="DA127">
    <cfRule type="colorScale" priority="2512">
      <colorScale>
        <cfvo type="min"/>
        <cfvo type="max"/>
        <color rgb="FFF8696B"/>
        <color rgb="FFFCFCFF"/>
      </colorScale>
    </cfRule>
  </conditionalFormatting>
  <conditionalFormatting sqref="DC127">
    <cfRule type="colorScale" priority="2510">
      <colorScale>
        <cfvo type="min"/>
        <cfvo type="percentile" val="50"/>
        <cfvo type="max"/>
        <color rgb="FFF8696B"/>
        <color rgb="FFFFEB84"/>
        <color rgb="FF63BE7B"/>
      </colorScale>
    </cfRule>
  </conditionalFormatting>
  <conditionalFormatting sqref="DC127">
    <cfRule type="colorScale" priority="2509">
      <colorScale>
        <cfvo type="min"/>
        <cfvo type="percentile" val="50"/>
        <cfvo type="max"/>
        <color rgb="FFF8696B"/>
        <color rgb="FFFFEB84"/>
        <color rgb="FF63BE7B"/>
      </colorScale>
    </cfRule>
  </conditionalFormatting>
  <conditionalFormatting sqref="DC127">
    <cfRule type="colorScale" priority="2508">
      <colorScale>
        <cfvo type="min"/>
        <cfvo type="percentile" val="50"/>
        <cfvo type="max"/>
        <color rgb="FFF8696B"/>
        <color rgb="FFFFEB84"/>
        <color rgb="FF63BE7B"/>
      </colorScale>
    </cfRule>
  </conditionalFormatting>
  <conditionalFormatting sqref="DC127">
    <cfRule type="colorScale" priority="2507">
      <colorScale>
        <cfvo type="min"/>
        <cfvo type="percentile" val="50"/>
        <cfvo type="max"/>
        <color rgb="FF63BE7B"/>
        <color rgb="FFFFEB84"/>
        <color rgb="FFF8696B"/>
      </colorScale>
    </cfRule>
  </conditionalFormatting>
  <conditionalFormatting sqref="DC127">
    <cfRule type="colorScale" priority="2504">
      <colorScale>
        <cfvo type="min"/>
        <cfvo type="max"/>
        <color rgb="FFFCFCFF"/>
        <color rgb="FFF8696B"/>
      </colorScale>
    </cfRule>
    <cfRule type="colorScale" priority="2506">
      <colorScale>
        <cfvo type="min"/>
        <cfvo type="percentile" val="50"/>
        <cfvo type="max"/>
        <color rgb="FF63BE7B"/>
        <color rgb="FFFFEB84"/>
        <color rgb="FFF8696B"/>
      </colorScale>
    </cfRule>
  </conditionalFormatting>
  <conditionalFormatting sqref="DC127">
    <cfRule type="colorScale" priority="2505">
      <colorScale>
        <cfvo type="min"/>
        <cfvo type="max"/>
        <color rgb="FFF8696B"/>
        <color rgb="FFFCFCFF"/>
      </colorScale>
    </cfRule>
  </conditionalFormatting>
  <conditionalFormatting sqref="DA119">
    <cfRule type="colorScale" priority="2503">
      <colorScale>
        <cfvo type="min"/>
        <cfvo type="percentile" val="50"/>
        <cfvo type="max"/>
        <color rgb="FFF8696B"/>
        <color rgb="FFFFEB84"/>
        <color rgb="FF63BE7B"/>
      </colorScale>
    </cfRule>
  </conditionalFormatting>
  <conditionalFormatting sqref="DC119">
    <cfRule type="colorScale" priority="2502">
      <colorScale>
        <cfvo type="min"/>
        <cfvo type="percentile" val="50"/>
        <cfvo type="max"/>
        <color rgb="FFF8696B"/>
        <color rgb="FFFFEB84"/>
        <color rgb="FF63BE7B"/>
      </colorScale>
    </cfRule>
  </conditionalFormatting>
  <conditionalFormatting sqref="CU125">
    <cfRule type="colorScale" priority="2501">
      <colorScale>
        <cfvo type="min"/>
        <cfvo type="percentile" val="50"/>
        <cfvo type="max"/>
        <color rgb="FFF8696B"/>
        <color rgb="FFFFEB84"/>
        <color rgb="FF63BE7B"/>
      </colorScale>
    </cfRule>
  </conditionalFormatting>
  <conditionalFormatting sqref="CW125">
    <cfRule type="colorScale" priority="2500">
      <colorScale>
        <cfvo type="min"/>
        <cfvo type="percentile" val="50"/>
        <cfvo type="max"/>
        <color rgb="FFF8696B"/>
        <color rgb="FFFFEB84"/>
        <color rgb="FF63BE7B"/>
      </colorScale>
    </cfRule>
  </conditionalFormatting>
  <conditionalFormatting sqref="DA125">
    <cfRule type="colorScale" priority="2499">
      <colorScale>
        <cfvo type="min"/>
        <cfvo type="percentile" val="50"/>
        <cfvo type="max"/>
        <color rgb="FFF8696B"/>
        <color rgb="FFFFEB84"/>
        <color rgb="FF63BE7B"/>
      </colorScale>
    </cfRule>
  </conditionalFormatting>
  <conditionalFormatting sqref="DC125">
    <cfRule type="colorScale" priority="2498">
      <colorScale>
        <cfvo type="min"/>
        <cfvo type="percentile" val="50"/>
        <cfvo type="max"/>
        <color rgb="FFF8696B"/>
        <color rgb="FFFFEB84"/>
        <color rgb="FF63BE7B"/>
      </colorScale>
    </cfRule>
  </conditionalFormatting>
  <conditionalFormatting sqref="CW104 CU125 CU104 DC119 DA119 CW125 DC125 DA125 CY127 DA127 DC127">
    <cfRule type="colorScale" priority="2497">
      <colorScale>
        <cfvo type="min"/>
        <cfvo type="max"/>
        <color rgb="FFFCFCFF"/>
        <color rgb="FFF8696B"/>
      </colorScale>
    </cfRule>
  </conditionalFormatting>
  <conditionalFormatting sqref="DE109 DE125 DE114 DE119">
    <cfRule type="colorScale" priority="2496">
      <colorScale>
        <cfvo type="min"/>
        <cfvo type="percentile" val="50"/>
        <cfvo type="max"/>
        <color rgb="FFF8696B"/>
        <color rgb="FFFFEB84"/>
        <color rgb="FF63BE7B"/>
      </colorScale>
    </cfRule>
  </conditionalFormatting>
  <conditionalFormatting sqref="DE119">
    <cfRule type="colorScale" priority="2495">
      <colorScale>
        <cfvo type="min"/>
        <cfvo type="percentile" val="50"/>
        <cfvo type="max"/>
        <color rgb="FFF8696B"/>
        <color rgb="FFFFEB84"/>
        <color rgb="FF63BE7B"/>
      </colorScale>
    </cfRule>
  </conditionalFormatting>
  <conditionalFormatting sqref="DE109 DE125 DE114 DE119">
    <cfRule type="colorScale" priority="2494">
      <colorScale>
        <cfvo type="min"/>
        <cfvo type="percentile" val="50"/>
        <cfvo type="max"/>
        <color rgb="FF63BE7B"/>
        <color rgb="FFFFEB84"/>
        <color rgb="FFF8696B"/>
      </colorScale>
    </cfRule>
  </conditionalFormatting>
  <conditionalFormatting sqref="DE125 DE109 DE114 DE119">
    <cfRule type="colorScale" priority="2491">
      <colorScale>
        <cfvo type="min"/>
        <cfvo type="max"/>
        <color rgb="FFFCFCFF"/>
        <color rgb="FFF8696B"/>
      </colorScale>
    </cfRule>
    <cfRule type="colorScale" priority="2493">
      <colorScale>
        <cfvo type="min"/>
        <cfvo type="percentile" val="50"/>
        <cfvo type="max"/>
        <color rgb="FF63BE7B"/>
        <color rgb="FFFFEB84"/>
        <color rgb="FFF8696B"/>
      </colorScale>
    </cfRule>
  </conditionalFormatting>
  <conditionalFormatting sqref="DE125 DE109 DE114 DE119">
    <cfRule type="colorScale" priority="2492">
      <colorScale>
        <cfvo type="min"/>
        <cfvo type="max"/>
        <color rgb="FFF8696B"/>
        <color rgb="FFFCFCFF"/>
      </colorScale>
    </cfRule>
  </conditionalFormatting>
  <conditionalFormatting sqref="DE127">
    <cfRule type="colorScale" priority="2490">
      <colorScale>
        <cfvo type="min"/>
        <cfvo type="percentile" val="50"/>
        <cfvo type="max"/>
        <color rgb="FFF8696B"/>
        <color rgb="FFFFEB84"/>
        <color rgb="FF63BE7B"/>
      </colorScale>
    </cfRule>
  </conditionalFormatting>
  <conditionalFormatting sqref="DE127">
    <cfRule type="colorScale" priority="2489">
      <colorScale>
        <cfvo type="min"/>
        <cfvo type="percentile" val="50"/>
        <cfvo type="max"/>
        <color rgb="FFF8696B"/>
        <color rgb="FFFFEB84"/>
        <color rgb="FF63BE7B"/>
      </colorScale>
    </cfRule>
  </conditionalFormatting>
  <conditionalFormatting sqref="DE127">
    <cfRule type="colorScale" priority="2488">
      <colorScale>
        <cfvo type="min"/>
        <cfvo type="percentile" val="50"/>
        <cfvo type="max"/>
        <color rgb="FFF8696B"/>
        <color rgb="FFFFEB84"/>
        <color rgb="FF63BE7B"/>
      </colorScale>
    </cfRule>
  </conditionalFormatting>
  <conditionalFormatting sqref="DE127">
    <cfRule type="colorScale" priority="2487">
      <colorScale>
        <cfvo type="min"/>
        <cfvo type="percentile" val="50"/>
        <cfvo type="max"/>
        <color rgb="FF63BE7B"/>
        <color rgb="FFFFEB84"/>
        <color rgb="FFF8696B"/>
      </colorScale>
    </cfRule>
  </conditionalFormatting>
  <conditionalFormatting sqref="DE127">
    <cfRule type="colorScale" priority="2484">
      <colorScale>
        <cfvo type="min"/>
        <cfvo type="max"/>
        <color rgb="FFFCFCFF"/>
        <color rgb="FFF8696B"/>
      </colorScale>
    </cfRule>
    <cfRule type="colorScale" priority="2486">
      <colorScale>
        <cfvo type="min"/>
        <cfvo type="percentile" val="50"/>
        <cfvo type="max"/>
        <color rgb="FF63BE7B"/>
        <color rgb="FFFFEB84"/>
        <color rgb="FFF8696B"/>
      </colorScale>
    </cfRule>
  </conditionalFormatting>
  <conditionalFormatting sqref="DE127">
    <cfRule type="colorScale" priority="2485">
      <colorScale>
        <cfvo type="min"/>
        <cfvo type="max"/>
        <color rgb="FFF8696B"/>
        <color rgb="FFFCFCFF"/>
      </colorScale>
    </cfRule>
  </conditionalFormatting>
  <conditionalFormatting sqref="DE109">
    <cfRule type="colorScale" priority="2483">
      <colorScale>
        <cfvo type="min"/>
        <cfvo type="percentile" val="50"/>
        <cfvo type="max"/>
        <color rgb="FFF8696B"/>
        <color rgb="FFFFEB84"/>
        <color rgb="FF63BE7B"/>
      </colorScale>
    </cfRule>
  </conditionalFormatting>
  <conditionalFormatting sqref="DE114">
    <cfRule type="colorScale" priority="2482">
      <colorScale>
        <cfvo type="min"/>
        <cfvo type="percentile" val="50"/>
        <cfvo type="max"/>
        <color rgb="FFF8696B"/>
        <color rgb="FFFFEB84"/>
        <color rgb="FF63BE7B"/>
      </colorScale>
    </cfRule>
  </conditionalFormatting>
  <conditionalFormatting sqref="DE119">
    <cfRule type="colorScale" priority="2481">
      <colorScale>
        <cfvo type="min"/>
        <cfvo type="percentile" val="50"/>
        <cfvo type="max"/>
        <color rgb="FFF8696B"/>
        <color rgb="FFFFEB84"/>
        <color rgb="FF63BE7B"/>
      </colorScale>
    </cfRule>
  </conditionalFormatting>
  <conditionalFormatting sqref="DE125">
    <cfRule type="colorScale" priority="2480">
      <colorScale>
        <cfvo type="min"/>
        <cfvo type="percentile" val="50"/>
        <cfvo type="max"/>
        <color rgb="FFF8696B"/>
        <color rgb="FFFFEB84"/>
        <color rgb="FF63BE7B"/>
      </colorScale>
    </cfRule>
  </conditionalFormatting>
  <conditionalFormatting sqref="DE125 DE109 DE114 DE119 DE127">
    <cfRule type="colorScale" priority="2479">
      <colorScale>
        <cfvo type="min"/>
        <cfvo type="max"/>
        <color rgb="FFFCFCFF"/>
        <color rgb="FFF8696B"/>
      </colorScale>
    </cfRule>
  </conditionalFormatting>
  <conditionalFormatting sqref="DG125 DG109 DG114 DG119">
    <cfRule type="colorScale" priority="2478">
      <colorScale>
        <cfvo type="min"/>
        <cfvo type="percentile" val="50"/>
        <cfvo type="max"/>
        <color rgb="FFF8696B"/>
        <color rgb="FFFFEB84"/>
        <color rgb="FF63BE7B"/>
      </colorScale>
    </cfRule>
  </conditionalFormatting>
  <conditionalFormatting sqref="DG119">
    <cfRule type="colorScale" priority="2477">
      <colorScale>
        <cfvo type="min"/>
        <cfvo type="percentile" val="50"/>
        <cfvo type="max"/>
        <color rgb="FFF8696B"/>
        <color rgb="FFFFEB84"/>
        <color rgb="FF63BE7B"/>
      </colorScale>
    </cfRule>
  </conditionalFormatting>
  <conditionalFormatting sqref="DG125 DG109 DG114 DG119">
    <cfRule type="colorScale" priority="2476">
      <colorScale>
        <cfvo type="min"/>
        <cfvo type="percentile" val="50"/>
        <cfvo type="max"/>
        <color rgb="FF63BE7B"/>
        <color rgb="FFFFEB84"/>
        <color rgb="FFF8696B"/>
      </colorScale>
    </cfRule>
  </conditionalFormatting>
  <conditionalFormatting sqref="DG125 DG109 DG114 DG119">
    <cfRule type="colorScale" priority="2473">
      <colorScale>
        <cfvo type="min"/>
        <cfvo type="max"/>
        <color rgb="FFFCFCFF"/>
        <color rgb="FFF8696B"/>
      </colorScale>
    </cfRule>
    <cfRule type="colorScale" priority="2475">
      <colorScale>
        <cfvo type="min"/>
        <cfvo type="percentile" val="50"/>
        <cfvo type="max"/>
        <color rgb="FF63BE7B"/>
        <color rgb="FFFFEB84"/>
        <color rgb="FFF8696B"/>
      </colorScale>
    </cfRule>
  </conditionalFormatting>
  <conditionalFormatting sqref="DG125 DG109 DG114 DG119">
    <cfRule type="colorScale" priority="2474">
      <colorScale>
        <cfvo type="min"/>
        <cfvo type="max"/>
        <color rgb="FFF8696B"/>
        <color rgb="FFFCFCFF"/>
      </colorScale>
    </cfRule>
  </conditionalFormatting>
  <conditionalFormatting sqref="DG127">
    <cfRule type="colorScale" priority="2472">
      <colorScale>
        <cfvo type="min"/>
        <cfvo type="percentile" val="50"/>
        <cfvo type="max"/>
        <color rgb="FFF8696B"/>
        <color rgb="FFFFEB84"/>
        <color rgb="FF63BE7B"/>
      </colorScale>
    </cfRule>
  </conditionalFormatting>
  <conditionalFormatting sqref="DG127">
    <cfRule type="colorScale" priority="2471">
      <colorScale>
        <cfvo type="min"/>
        <cfvo type="percentile" val="50"/>
        <cfvo type="max"/>
        <color rgb="FFF8696B"/>
        <color rgb="FFFFEB84"/>
        <color rgb="FF63BE7B"/>
      </colorScale>
    </cfRule>
  </conditionalFormatting>
  <conditionalFormatting sqref="DG127">
    <cfRule type="colorScale" priority="2470">
      <colorScale>
        <cfvo type="min"/>
        <cfvo type="percentile" val="50"/>
        <cfvo type="max"/>
        <color rgb="FFF8696B"/>
        <color rgb="FFFFEB84"/>
        <color rgb="FF63BE7B"/>
      </colorScale>
    </cfRule>
  </conditionalFormatting>
  <conditionalFormatting sqref="DG127">
    <cfRule type="colorScale" priority="2469">
      <colorScale>
        <cfvo type="min"/>
        <cfvo type="percentile" val="50"/>
        <cfvo type="max"/>
        <color rgb="FF63BE7B"/>
        <color rgb="FFFFEB84"/>
        <color rgb="FFF8696B"/>
      </colorScale>
    </cfRule>
  </conditionalFormatting>
  <conditionalFormatting sqref="DG127">
    <cfRule type="colorScale" priority="2466">
      <colorScale>
        <cfvo type="min"/>
        <cfvo type="max"/>
        <color rgb="FFFCFCFF"/>
        <color rgb="FFF8696B"/>
      </colorScale>
    </cfRule>
    <cfRule type="colorScale" priority="2468">
      <colorScale>
        <cfvo type="min"/>
        <cfvo type="percentile" val="50"/>
        <cfvo type="max"/>
        <color rgb="FF63BE7B"/>
        <color rgb="FFFFEB84"/>
        <color rgb="FFF8696B"/>
      </colorScale>
    </cfRule>
  </conditionalFormatting>
  <conditionalFormatting sqref="DG127">
    <cfRule type="colorScale" priority="2467">
      <colorScale>
        <cfvo type="min"/>
        <cfvo type="max"/>
        <color rgb="FFF8696B"/>
        <color rgb="FFFCFCFF"/>
      </colorScale>
    </cfRule>
  </conditionalFormatting>
  <conditionalFormatting sqref="DG109">
    <cfRule type="colorScale" priority="2465">
      <colorScale>
        <cfvo type="min"/>
        <cfvo type="percentile" val="50"/>
        <cfvo type="max"/>
        <color rgb="FFF8696B"/>
        <color rgb="FFFFEB84"/>
        <color rgb="FF63BE7B"/>
      </colorScale>
    </cfRule>
  </conditionalFormatting>
  <conditionalFormatting sqref="DG114">
    <cfRule type="colorScale" priority="2464">
      <colorScale>
        <cfvo type="min"/>
        <cfvo type="percentile" val="50"/>
        <cfvo type="max"/>
        <color rgb="FFF8696B"/>
        <color rgb="FFFFEB84"/>
        <color rgb="FF63BE7B"/>
      </colorScale>
    </cfRule>
  </conditionalFormatting>
  <conditionalFormatting sqref="DG119">
    <cfRule type="colorScale" priority="2463">
      <colorScale>
        <cfvo type="min"/>
        <cfvo type="percentile" val="50"/>
        <cfvo type="max"/>
        <color rgb="FFF8696B"/>
        <color rgb="FFFFEB84"/>
        <color rgb="FF63BE7B"/>
      </colorScale>
    </cfRule>
  </conditionalFormatting>
  <conditionalFormatting sqref="DG125">
    <cfRule type="colorScale" priority="2462">
      <colorScale>
        <cfvo type="min"/>
        <cfvo type="percentile" val="50"/>
        <cfvo type="max"/>
        <color rgb="FFF8696B"/>
        <color rgb="FFFFEB84"/>
        <color rgb="FF63BE7B"/>
      </colorScale>
    </cfRule>
  </conditionalFormatting>
  <conditionalFormatting sqref="DG125 DG109 DG114 DG119 DG127">
    <cfRule type="colorScale" priority="2461">
      <colorScale>
        <cfvo type="min"/>
        <cfvo type="max"/>
        <color rgb="FFFCFCFF"/>
        <color rgb="FFF8696B"/>
      </colorScale>
    </cfRule>
  </conditionalFormatting>
  <conditionalFormatting sqref="DA104">
    <cfRule type="colorScale" priority="2460">
      <colorScale>
        <cfvo type="min"/>
        <cfvo type="percentile" val="50"/>
        <cfvo type="max"/>
        <color rgb="FFF8696B"/>
        <color rgb="FFFFEB84"/>
        <color rgb="FF63BE7B"/>
      </colorScale>
    </cfRule>
  </conditionalFormatting>
  <conditionalFormatting sqref="DA104">
    <cfRule type="colorScale" priority="2459">
      <colorScale>
        <cfvo type="min"/>
        <cfvo type="percentile" val="50"/>
        <cfvo type="max"/>
        <color rgb="FF63BE7B"/>
        <color rgb="FFFFEB84"/>
        <color rgb="FFF8696B"/>
      </colorScale>
    </cfRule>
  </conditionalFormatting>
  <conditionalFormatting sqref="DA104">
    <cfRule type="colorScale" priority="2456">
      <colorScale>
        <cfvo type="min"/>
        <cfvo type="max"/>
        <color rgb="FFFCFCFF"/>
        <color rgb="FFF8696B"/>
      </colorScale>
    </cfRule>
    <cfRule type="colorScale" priority="2458">
      <colorScale>
        <cfvo type="min"/>
        <cfvo type="percentile" val="50"/>
        <cfvo type="max"/>
        <color rgb="FF63BE7B"/>
        <color rgb="FFFFEB84"/>
        <color rgb="FFF8696B"/>
      </colorScale>
    </cfRule>
  </conditionalFormatting>
  <conditionalFormatting sqref="DA104">
    <cfRule type="colorScale" priority="2457">
      <colorScale>
        <cfvo type="min"/>
        <cfvo type="max"/>
        <color rgb="FFF8696B"/>
        <color rgb="FFFCFCFF"/>
      </colorScale>
    </cfRule>
  </conditionalFormatting>
  <conditionalFormatting sqref="DA104">
    <cfRule type="colorScale" priority="2455">
      <colorScale>
        <cfvo type="min"/>
        <cfvo type="max"/>
        <color rgb="FFFCFCFF"/>
        <color rgb="FFF8696B"/>
      </colorScale>
    </cfRule>
  </conditionalFormatting>
  <conditionalFormatting sqref="DC104">
    <cfRule type="colorScale" priority="2454">
      <colorScale>
        <cfvo type="min"/>
        <cfvo type="percentile" val="50"/>
        <cfvo type="max"/>
        <color rgb="FFF8696B"/>
        <color rgb="FFFFEB84"/>
        <color rgb="FF63BE7B"/>
      </colorScale>
    </cfRule>
  </conditionalFormatting>
  <conditionalFormatting sqref="DC104">
    <cfRule type="colorScale" priority="2453">
      <colorScale>
        <cfvo type="min"/>
        <cfvo type="percentile" val="50"/>
        <cfvo type="max"/>
        <color rgb="FFF8696B"/>
        <color rgb="FFFFEB84"/>
        <color rgb="FF63BE7B"/>
      </colorScale>
    </cfRule>
  </conditionalFormatting>
  <conditionalFormatting sqref="DC104">
    <cfRule type="colorScale" priority="2452">
      <colorScale>
        <cfvo type="min"/>
        <cfvo type="percentile" val="50"/>
        <cfvo type="max"/>
        <color rgb="FF63BE7B"/>
        <color rgb="FFFFEB84"/>
        <color rgb="FFF8696B"/>
      </colorScale>
    </cfRule>
  </conditionalFormatting>
  <conditionalFormatting sqref="DC104">
    <cfRule type="colorScale" priority="2449">
      <colorScale>
        <cfvo type="min"/>
        <cfvo type="max"/>
        <color rgb="FFFCFCFF"/>
        <color rgb="FFF8696B"/>
      </colorScale>
    </cfRule>
    <cfRule type="colorScale" priority="2451">
      <colorScale>
        <cfvo type="min"/>
        <cfvo type="percentile" val="50"/>
        <cfvo type="max"/>
        <color rgb="FF63BE7B"/>
        <color rgb="FFFFEB84"/>
        <color rgb="FFF8696B"/>
      </colorScale>
    </cfRule>
  </conditionalFormatting>
  <conditionalFormatting sqref="DC104">
    <cfRule type="colorScale" priority="2450">
      <colorScale>
        <cfvo type="min"/>
        <cfvo type="max"/>
        <color rgb="FFF8696B"/>
        <color rgb="FFFCFCFF"/>
      </colorScale>
    </cfRule>
  </conditionalFormatting>
  <conditionalFormatting sqref="DC104">
    <cfRule type="colorScale" priority="2448">
      <colorScale>
        <cfvo type="min"/>
        <cfvo type="max"/>
        <color rgb="FFFCFCFF"/>
        <color rgb="FFF8696B"/>
      </colorScale>
    </cfRule>
  </conditionalFormatting>
  <conditionalFormatting sqref="DE104">
    <cfRule type="colorScale" priority="2447">
      <colorScale>
        <cfvo type="min"/>
        <cfvo type="percentile" val="50"/>
        <cfvo type="max"/>
        <color rgb="FFF8696B"/>
        <color rgb="FFFFEB84"/>
        <color rgb="FF63BE7B"/>
      </colorScale>
    </cfRule>
  </conditionalFormatting>
  <conditionalFormatting sqref="DE104">
    <cfRule type="colorScale" priority="2446">
      <colorScale>
        <cfvo type="min"/>
        <cfvo type="percentile" val="50"/>
        <cfvo type="max"/>
        <color rgb="FFF8696B"/>
        <color rgb="FFFFEB84"/>
        <color rgb="FF63BE7B"/>
      </colorScale>
    </cfRule>
  </conditionalFormatting>
  <conditionalFormatting sqref="DE104">
    <cfRule type="colorScale" priority="2445">
      <colorScale>
        <cfvo type="min"/>
        <cfvo type="percentile" val="50"/>
        <cfvo type="max"/>
        <color rgb="FF63BE7B"/>
        <color rgb="FFFFEB84"/>
        <color rgb="FFF8696B"/>
      </colorScale>
    </cfRule>
  </conditionalFormatting>
  <conditionalFormatting sqref="DE104">
    <cfRule type="colorScale" priority="2442">
      <colorScale>
        <cfvo type="min"/>
        <cfvo type="max"/>
        <color rgb="FFFCFCFF"/>
        <color rgb="FFF8696B"/>
      </colorScale>
    </cfRule>
    <cfRule type="colorScale" priority="2444">
      <colorScale>
        <cfvo type="min"/>
        <cfvo type="percentile" val="50"/>
        <cfvo type="max"/>
        <color rgb="FF63BE7B"/>
        <color rgb="FFFFEB84"/>
        <color rgb="FFF8696B"/>
      </colorScale>
    </cfRule>
  </conditionalFormatting>
  <conditionalFormatting sqref="DE104">
    <cfRule type="colorScale" priority="2443">
      <colorScale>
        <cfvo type="min"/>
        <cfvo type="max"/>
        <color rgb="FFF8696B"/>
        <color rgb="FFFCFCFF"/>
      </colorScale>
    </cfRule>
  </conditionalFormatting>
  <conditionalFormatting sqref="DE104">
    <cfRule type="colorScale" priority="2441">
      <colorScale>
        <cfvo type="min"/>
        <cfvo type="max"/>
        <color rgb="FFFCFCFF"/>
        <color rgb="FFF8696B"/>
      </colorScale>
    </cfRule>
  </conditionalFormatting>
  <conditionalFormatting sqref="DG104">
    <cfRule type="colorScale" priority="2440">
      <colorScale>
        <cfvo type="min"/>
        <cfvo type="percentile" val="50"/>
        <cfvo type="max"/>
        <color rgb="FFF8696B"/>
        <color rgb="FFFFEB84"/>
        <color rgb="FF63BE7B"/>
      </colorScale>
    </cfRule>
  </conditionalFormatting>
  <conditionalFormatting sqref="DG104">
    <cfRule type="colorScale" priority="2439">
      <colorScale>
        <cfvo type="min"/>
        <cfvo type="percentile" val="50"/>
        <cfvo type="max"/>
        <color rgb="FFF8696B"/>
        <color rgb="FFFFEB84"/>
        <color rgb="FF63BE7B"/>
      </colorScale>
    </cfRule>
  </conditionalFormatting>
  <conditionalFormatting sqref="DG104">
    <cfRule type="colorScale" priority="2438">
      <colorScale>
        <cfvo type="min"/>
        <cfvo type="percentile" val="50"/>
        <cfvo type="max"/>
        <color rgb="FF63BE7B"/>
        <color rgb="FFFFEB84"/>
        <color rgb="FFF8696B"/>
      </colorScale>
    </cfRule>
  </conditionalFormatting>
  <conditionalFormatting sqref="DG104">
    <cfRule type="colorScale" priority="2435">
      <colorScale>
        <cfvo type="min"/>
        <cfvo type="max"/>
        <color rgb="FFFCFCFF"/>
        <color rgb="FFF8696B"/>
      </colorScale>
    </cfRule>
    <cfRule type="colorScale" priority="2437">
      <colorScale>
        <cfvo type="min"/>
        <cfvo type="percentile" val="50"/>
        <cfvo type="max"/>
        <color rgb="FF63BE7B"/>
        <color rgb="FFFFEB84"/>
        <color rgb="FFF8696B"/>
      </colorScale>
    </cfRule>
  </conditionalFormatting>
  <conditionalFormatting sqref="DG104">
    <cfRule type="colorScale" priority="2436">
      <colorScale>
        <cfvo type="min"/>
        <cfvo type="max"/>
        <color rgb="FFF8696B"/>
        <color rgb="FFFCFCFF"/>
      </colorScale>
    </cfRule>
  </conditionalFormatting>
  <conditionalFormatting sqref="DG104">
    <cfRule type="colorScale" priority="2434">
      <colorScale>
        <cfvo type="min"/>
        <cfvo type="max"/>
        <color rgb="FFFCFCFF"/>
        <color rgb="FFF8696B"/>
      </colorScale>
    </cfRule>
  </conditionalFormatting>
  <conditionalFormatting sqref="CU99 CW99 CY99 DA99 DC99">
    <cfRule type="colorScale" priority="2433">
      <colorScale>
        <cfvo type="min"/>
        <cfvo type="percentile" val="50"/>
        <cfvo type="max"/>
        <color rgb="FFF8696B"/>
        <color rgb="FFFFEB84"/>
        <color rgb="FF63BE7B"/>
      </colorScale>
    </cfRule>
  </conditionalFormatting>
  <conditionalFormatting sqref="CU99">
    <cfRule type="colorScale" priority="2432">
      <colorScale>
        <cfvo type="min"/>
        <cfvo type="percentile" val="50"/>
        <cfvo type="max"/>
        <color rgb="FFF8696B"/>
        <color rgb="FFFFEB84"/>
        <color rgb="FF63BE7B"/>
      </colorScale>
    </cfRule>
  </conditionalFormatting>
  <conditionalFormatting sqref="CU99 CW99 CY99 DA99 DC99">
    <cfRule type="colorScale" priority="2431">
      <colorScale>
        <cfvo type="min"/>
        <cfvo type="percentile" val="50"/>
        <cfvo type="max"/>
        <color rgb="FF63BE7B"/>
        <color rgb="FFFFEB84"/>
        <color rgb="FFF8696B"/>
      </colorScale>
    </cfRule>
  </conditionalFormatting>
  <conditionalFormatting sqref="CU99 CW99 CY99 DA99 DC99">
    <cfRule type="colorScale" priority="2428">
      <colorScale>
        <cfvo type="min"/>
        <cfvo type="max"/>
        <color rgb="FFFCFCFF"/>
        <color rgb="FFF8696B"/>
      </colorScale>
    </cfRule>
    <cfRule type="colorScale" priority="2430">
      <colorScale>
        <cfvo type="min"/>
        <cfvo type="percentile" val="50"/>
        <cfvo type="max"/>
        <color rgb="FF63BE7B"/>
        <color rgb="FFFFEB84"/>
        <color rgb="FFF8696B"/>
      </colorScale>
    </cfRule>
  </conditionalFormatting>
  <conditionalFormatting sqref="CU99 CW99 CY99 DA99 DC99">
    <cfRule type="colorScale" priority="2429">
      <colorScale>
        <cfvo type="min"/>
        <cfvo type="max"/>
        <color rgb="FFF8696B"/>
        <color rgb="FFFCFCFF"/>
      </colorScale>
    </cfRule>
  </conditionalFormatting>
  <conditionalFormatting sqref="CU99 CW99 CY99 DA99 DC99">
    <cfRule type="colorScale" priority="2427">
      <colorScale>
        <cfvo type="min"/>
        <cfvo type="max"/>
        <color rgb="FFFCFCFF"/>
        <color rgb="FFF8696B"/>
      </colorScale>
    </cfRule>
  </conditionalFormatting>
  <conditionalFormatting sqref="DE99">
    <cfRule type="colorScale" priority="2426">
      <colorScale>
        <cfvo type="min"/>
        <cfvo type="percentile" val="50"/>
        <cfvo type="max"/>
        <color rgb="FFF8696B"/>
        <color rgb="FFFFEB84"/>
        <color rgb="FF63BE7B"/>
      </colorScale>
    </cfRule>
  </conditionalFormatting>
  <conditionalFormatting sqref="DE99">
    <cfRule type="colorScale" priority="2425">
      <colorScale>
        <cfvo type="min"/>
        <cfvo type="percentile" val="50"/>
        <cfvo type="max"/>
        <color rgb="FFF8696B"/>
        <color rgb="FFFFEB84"/>
        <color rgb="FF63BE7B"/>
      </colorScale>
    </cfRule>
  </conditionalFormatting>
  <conditionalFormatting sqref="DE99">
    <cfRule type="colorScale" priority="2424">
      <colorScale>
        <cfvo type="min"/>
        <cfvo type="percentile" val="50"/>
        <cfvo type="max"/>
        <color rgb="FF63BE7B"/>
        <color rgb="FFFFEB84"/>
        <color rgb="FFF8696B"/>
      </colorScale>
    </cfRule>
  </conditionalFormatting>
  <conditionalFormatting sqref="DE99">
    <cfRule type="colorScale" priority="2421">
      <colorScale>
        <cfvo type="min"/>
        <cfvo type="max"/>
        <color rgb="FFFCFCFF"/>
        <color rgb="FFF8696B"/>
      </colorScale>
    </cfRule>
    <cfRule type="colorScale" priority="2423">
      <colorScale>
        <cfvo type="min"/>
        <cfvo type="percentile" val="50"/>
        <cfvo type="max"/>
        <color rgb="FF63BE7B"/>
        <color rgb="FFFFEB84"/>
        <color rgb="FFF8696B"/>
      </colorScale>
    </cfRule>
  </conditionalFormatting>
  <conditionalFormatting sqref="DE99">
    <cfRule type="colorScale" priority="2422">
      <colorScale>
        <cfvo type="min"/>
        <cfvo type="max"/>
        <color rgb="FFF8696B"/>
        <color rgb="FFFCFCFF"/>
      </colorScale>
    </cfRule>
  </conditionalFormatting>
  <conditionalFormatting sqref="DE99">
    <cfRule type="colorScale" priority="2420">
      <colorScale>
        <cfvo type="min"/>
        <cfvo type="max"/>
        <color rgb="FFFCFCFF"/>
        <color rgb="FFF8696B"/>
      </colorScale>
    </cfRule>
  </conditionalFormatting>
  <conditionalFormatting sqref="DG99">
    <cfRule type="colorScale" priority="2419">
      <colorScale>
        <cfvo type="min"/>
        <cfvo type="percentile" val="50"/>
        <cfvo type="max"/>
        <color rgb="FFF8696B"/>
        <color rgb="FFFFEB84"/>
        <color rgb="FF63BE7B"/>
      </colorScale>
    </cfRule>
  </conditionalFormatting>
  <conditionalFormatting sqref="DG99">
    <cfRule type="colorScale" priority="2418">
      <colorScale>
        <cfvo type="min"/>
        <cfvo type="percentile" val="50"/>
        <cfvo type="max"/>
        <color rgb="FFF8696B"/>
        <color rgb="FFFFEB84"/>
        <color rgb="FF63BE7B"/>
      </colorScale>
    </cfRule>
  </conditionalFormatting>
  <conditionalFormatting sqref="DG99">
    <cfRule type="colorScale" priority="2417">
      <colorScale>
        <cfvo type="min"/>
        <cfvo type="percentile" val="50"/>
        <cfvo type="max"/>
        <color rgb="FF63BE7B"/>
        <color rgb="FFFFEB84"/>
        <color rgb="FFF8696B"/>
      </colorScale>
    </cfRule>
  </conditionalFormatting>
  <conditionalFormatting sqref="DG99">
    <cfRule type="colorScale" priority="2414">
      <colorScale>
        <cfvo type="min"/>
        <cfvo type="max"/>
        <color rgb="FFFCFCFF"/>
        <color rgb="FFF8696B"/>
      </colorScale>
    </cfRule>
    <cfRule type="colorScale" priority="2416">
      <colorScale>
        <cfvo type="min"/>
        <cfvo type="percentile" val="50"/>
        <cfvo type="max"/>
        <color rgb="FF63BE7B"/>
        <color rgb="FFFFEB84"/>
        <color rgb="FFF8696B"/>
      </colorScale>
    </cfRule>
  </conditionalFormatting>
  <conditionalFormatting sqref="DG99">
    <cfRule type="colorScale" priority="2415">
      <colorScale>
        <cfvo type="min"/>
        <cfvo type="max"/>
        <color rgb="FFF8696B"/>
        <color rgb="FFFCFCFF"/>
      </colorScale>
    </cfRule>
  </conditionalFormatting>
  <conditionalFormatting sqref="DG99">
    <cfRule type="colorScale" priority="2413">
      <colorScale>
        <cfvo type="min"/>
        <cfvo type="max"/>
        <color rgb="FFFCFCFF"/>
        <color rgb="FFF8696B"/>
      </colorScale>
    </cfRule>
  </conditionalFormatting>
  <conditionalFormatting sqref="CU110">
    <cfRule type="colorScale" priority="2412">
      <colorScale>
        <cfvo type="min"/>
        <cfvo type="percentile" val="50"/>
        <cfvo type="max"/>
        <color rgb="FFF8696B"/>
        <color rgb="FFFFEB84"/>
        <color rgb="FF63BE7B"/>
      </colorScale>
    </cfRule>
  </conditionalFormatting>
  <conditionalFormatting sqref="CU110">
    <cfRule type="colorScale" priority="2411">
      <colorScale>
        <cfvo type="min"/>
        <cfvo type="percentile" val="50"/>
        <cfvo type="max"/>
        <color rgb="FF63BE7B"/>
        <color rgb="FFFFEB84"/>
        <color rgb="FFF8696B"/>
      </colorScale>
    </cfRule>
  </conditionalFormatting>
  <conditionalFormatting sqref="CU110">
    <cfRule type="colorScale" priority="2408">
      <colorScale>
        <cfvo type="min"/>
        <cfvo type="max"/>
        <color rgb="FFFCFCFF"/>
        <color rgb="FFF8696B"/>
      </colorScale>
    </cfRule>
    <cfRule type="colorScale" priority="2410">
      <colorScale>
        <cfvo type="min"/>
        <cfvo type="percentile" val="50"/>
        <cfvo type="max"/>
        <color rgb="FF63BE7B"/>
        <color rgb="FFFFEB84"/>
        <color rgb="FFF8696B"/>
      </colorScale>
    </cfRule>
  </conditionalFormatting>
  <conditionalFormatting sqref="CU110">
    <cfRule type="colorScale" priority="2409">
      <colorScale>
        <cfvo type="min"/>
        <cfvo type="max"/>
        <color rgb="FFF8696B"/>
        <color rgb="FFFCFCFF"/>
      </colorScale>
    </cfRule>
  </conditionalFormatting>
  <conditionalFormatting sqref="CU110">
    <cfRule type="colorScale" priority="2407">
      <colorScale>
        <cfvo type="min"/>
        <cfvo type="percentile" val="50"/>
        <cfvo type="max"/>
        <color rgb="FFF8696B"/>
        <color rgb="FFFFEB84"/>
        <color rgb="FF63BE7B"/>
      </colorScale>
    </cfRule>
  </conditionalFormatting>
  <conditionalFormatting sqref="CU110">
    <cfRule type="colorScale" priority="2406">
      <colorScale>
        <cfvo type="min"/>
        <cfvo type="max"/>
        <color rgb="FFFCFCFF"/>
        <color rgb="FFF8696B"/>
      </colorScale>
    </cfRule>
  </conditionalFormatting>
  <conditionalFormatting sqref="CW110">
    <cfRule type="colorScale" priority="2405">
      <colorScale>
        <cfvo type="min"/>
        <cfvo type="percentile" val="50"/>
        <cfvo type="max"/>
        <color rgb="FFF8696B"/>
        <color rgb="FFFFEB84"/>
        <color rgb="FF63BE7B"/>
      </colorScale>
    </cfRule>
  </conditionalFormatting>
  <conditionalFormatting sqref="CW110">
    <cfRule type="colorScale" priority="2404">
      <colorScale>
        <cfvo type="min"/>
        <cfvo type="percentile" val="50"/>
        <cfvo type="max"/>
        <color rgb="FF63BE7B"/>
        <color rgb="FFFFEB84"/>
        <color rgb="FFF8696B"/>
      </colorScale>
    </cfRule>
  </conditionalFormatting>
  <conditionalFormatting sqref="CW110">
    <cfRule type="colorScale" priority="2401">
      <colorScale>
        <cfvo type="min"/>
        <cfvo type="max"/>
        <color rgb="FFFCFCFF"/>
        <color rgb="FFF8696B"/>
      </colorScale>
    </cfRule>
    <cfRule type="colorScale" priority="2403">
      <colorScale>
        <cfvo type="min"/>
        <cfvo type="percentile" val="50"/>
        <cfvo type="max"/>
        <color rgb="FF63BE7B"/>
        <color rgb="FFFFEB84"/>
        <color rgb="FFF8696B"/>
      </colorScale>
    </cfRule>
  </conditionalFormatting>
  <conditionalFormatting sqref="CW110">
    <cfRule type="colorScale" priority="2402">
      <colorScale>
        <cfvo type="min"/>
        <cfvo type="max"/>
        <color rgb="FFF8696B"/>
        <color rgb="FFFCFCFF"/>
      </colorScale>
    </cfRule>
  </conditionalFormatting>
  <conditionalFormatting sqref="CW110">
    <cfRule type="colorScale" priority="2400">
      <colorScale>
        <cfvo type="min"/>
        <cfvo type="percentile" val="50"/>
        <cfvo type="max"/>
        <color rgb="FFF8696B"/>
        <color rgb="FFFFEB84"/>
        <color rgb="FF63BE7B"/>
      </colorScale>
    </cfRule>
  </conditionalFormatting>
  <conditionalFormatting sqref="CW110">
    <cfRule type="colorScale" priority="2399">
      <colorScale>
        <cfvo type="min"/>
        <cfvo type="max"/>
        <color rgb="FFFCFCFF"/>
        <color rgb="FFF8696B"/>
      </colorScale>
    </cfRule>
  </conditionalFormatting>
  <conditionalFormatting sqref="CY110">
    <cfRule type="colorScale" priority="2398">
      <colorScale>
        <cfvo type="min"/>
        <cfvo type="percentile" val="50"/>
        <cfvo type="max"/>
        <color rgb="FFF8696B"/>
        <color rgb="FFFFEB84"/>
        <color rgb="FF63BE7B"/>
      </colorScale>
    </cfRule>
  </conditionalFormatting>
  <conditionalFormatting sqref="CY110">
    <cfRule type="colorScale" priority="2397">
      <colorScale>
        <cfvo type="min"/>
        <cfvo type="percentile" val="50"/>
        <cfvo type="max"/>
        <color rgb="FF63BE7B"/>
        <color rgb="FFFFEB84"/>
        <color rgb="FFF8696B"/>
      </colorScale>
    </cfRule>
  </conditionalFormatting>
  <conditionalFormatting sqref="CY110">
    <cfRule type="colorScale" priority="2394">
      <colorScale>
        <cfvo type="min"/>
        <cfvo type="max"/>
        <color rgb="FFFCFCFF"/>
        <color rgb="FFF8696B"/>
      </colorScale>
    </cfRule>
    <cfRule type="colorScale" priority="2396">
      <colorScale>
        <cfvo type="min"/>
        <cfvo type="percentile" val="50"/>
        <cfvo type="max"/>
        <color rgb="FF63BE7B"/>
        <color rgb="FFFFEB84"/>
        <color rgb="FFF8696B"/>
      </colorScale>
    </cfRule>
  </conditionalFormatting>
  <conditionalFormatting sqref="CY110">
    <cfRule type="colorScale" priority="2395">
      <colorScale>
        <cfvo type="min"/>
        <cfvo type="max"/>
        <color rgb="FFF8696B"/>
        <color rgb="FFFCFCFF"/>
      </colorScale>
    </cfRule>
  </conditionalFormatting>
  <conditionalFormatting sqref="CY110">
    <cfRule type="colorScale" priority="2393">
      <colorScale>
        <cfvo type="min"/>
        <cfvo type="percentile" val="50"/>
        <cfvo type="max"/>
        <color rgb="FFF8696B"/>
        <color rgb="FFFFEB84"/>
        <color rgb="FF63BE7B"/>
      </colorScale>
    </cfRule>
  </conditionalFormatting>
  <conditionalFormatting sqref="CY110">
    <cfRule type="colorScale" priority="2392">
      <colorScale>
        <cfvo type="min"/>
        <cfvo type="max"/>
        <color rgb="FFFCFCFF"/>
        <color rgb="FFF8696B"/>
      </colorScale>
    </cfRule>
  </conditionalFormatting>
  <conditionalFormatting sqref="DA110">
    <cfRule type="colorScale" priority="2391">
      <colorScale>
        <cfvo type="min"/>
        <cfvo type="percentile" val="50"/>
        <cfvo type="max"/>
        <color rgb="FFF8696B"/>
        <color rgb="FFFFEB84"/>
        <color rgb="FF63BE7B"/>
      </colorScale>
    </cfRule>
  </conditionalFormatting>
  <conditionalFormatting sqref="DA110">
    <cfRule type="colorScale" priority="2390">
      <colorScale>
        <cfvo type="min"/>
        <cfvo type="percentile" val="50"/>
        <cfvo type="max"/>
        <color rgb="FF63BE7B"/>
        <color rgb="FFFFEB84"/>
        <color rgb="FFF8696B"/>
      </colorScale>
    </cfRule>
  </conditionalFormatting>
  <conditionalFormatting sqref="DA110">
    <cfRule type="colorScale" priority="2387">
      <colorScale>
        <cfvo type="min"/>
        <cfvo type="max"/>
        <color rgb="FFFCFCFF"/>
        <color rgb="FFF8696B"/>
      </colorScale>
    </cfRule>
    <cfRule type="colorScale" priority="2389">
      <colorScale>
        <cfvo type="min"/>
        <cfvo type="percentile" val="50"/>
        <cfvo type="max"/>
        <color rgb="FF63BE7B"/>
        <color rgb="FFFFEB84"/>
        <color rgb="FFF8696B"/>
      </colorScale>
    </cfRule>
  </conditionalFormatting>
  <conditionalFormatting sqref="DA110">
    <cfRule type="colorScale" priority="2388">
      <colorScale>
        <cfvo type="min"/>
        <cfvo type="max"/>
        <color rgb="FFF8696B"/>
        <color rgb="FFFCFCFF"/>
      </colorScale>
    </cfRule>
  </conditionalFormatting>
  <conditionalFormatting sqref="DA110">
    <cfRule type="colorScale" priority="2386">
      <colorScale>
        <cfvo type="min"/>
        <cfvo type="percentile" val="50"/>
        <cfvo type="max"/>
        <color rgb="FFF8696B"/>
        <color rgb="FFFFEB84"/>
        <color rgb="FF63BE7B"/>
      </colorScale>
    </cfRule>
  </conditionalFormatting>
  <conditionalFormatting sqref="DA110">
    <cfRule type="colorScale" priority="2385">
      <colorScale>
        <cfvo type="min"/>
        <cfvo type="max"/>
        <color rgb="FFFCFCFF"/>
        <color rgb="FFF8696B"/>
      </colorScale>
    </cfRule>
  </conditionalFormatting>
  <conditionalFormatting sqref="CW99 CU125 CU99 CY99:CY104 DA99 DC99 DE99 DG99 DG104 DE104 DC104 DA104 CU110:CU119 CW110:CW119 CY110:CY114 DA110:DA114 DA119 DC119 DE119 DE114 DE109 DG109 DG114 DG119 CW125 CY127 DA125 DA127 DC125 DC127 DE125 DE127 DG125 DG127">
    <cfRule type="colorScale" priority="2384">
      <colorScale>
        <cfvo type="min"/>
        <cfvo type="max"/>
        <color rgb="FFFCFCFF"/>
        <color rgb="FFF8696B"/>
      </colorScale>
    </cfRule>
  </conditionalFormatting>
  <conditionalFormatting sqref="CU99 DG125 CW99 CY99:CY104 DA99 DC99 DE99 DG99 DG104 DE104 DC104 DA104 CU110:CU119 CW110:CW119 CY110:CY114 DA110:DA114 DA119 DC119 DE109 DE114 DG109 DG114 DG119 DE119 DG127 DE125 DE127 DC125 DC127 DA125 DA127 CY127 CW125 CU125">
    <cfRule type="colorScale" priority="2383">
      <colorScale>
        <cfvo type="min"/>
        <cfvo type="max"/>
        <color rgb="FFFCFCFF"/>
        <color rgb="FFF8696B"/>
      </colorScale>
    </cfRule>
  </conditionalFormatting>
  <conditionalFormatting sqref="DC110">
    <cfRule type="colorScale" priority="2382">
      <colorScale>
        <cfvo type="min"/>
        <cfvo type="percentile" val="50"/>
        <cfvo type="max"/>
        <color rgb="FFF8696B"/>
        <color rgb="FFFFEB84"/>
        <color rgb="FF63BE7B"/>
      </colorScale>
    </cfRule>
  </conditionalFormatting>
  <conditionalFormatting sqref="DC110">
    <cfRule type="colorScale" priority="2381">
      <colorScale>
        <cfvo type="min"/>
        <cfvo type="percentile" val="50"/>
        <cfvo type="max"/>
        <color rgb="FF63BE7B"/>
        <color rgb="FFFFEB84"/>
        <color rgb="FFF8696B"/>
      </colorScale>
    </cfRule>
  </conditionalFormatting>
  <conditionalFormatting sqref="DC110">
    <cfRule type="colorScale" priority="2378">
      <colorScale>
        <cfvo type="min"/>
        <cfvo type="max"/>
        <color rgb="FFFCFCFF"/>
        <color rgb="FFF8696B"/>
      </colorScale>
    </cfRule>
    <cfRule type="colorScale" priority="2380">
      <colorScale>
        <cfvo type="min"/>
        <cfvo type="percentile" val="50"/>
        <cfvo type="max"/>
        <color rgb="FF63BE7B"/>
        <color rgb="FFFFEB84"/>
        <color rgb="FFF8696B"/>
      </colorScale>
    </cfRule>
  </conditionalFormatting>
  <conditionalFormatting sqref="DC110">
    <cfRule type="colorScale" priority="2379">
      <colorScale>
        <cfvo type="min"/>
        <cfvo type="max"/>
        <color rgb="FFF8696B"/>
        <color rgb="FFFCFCFF"/>
      </colorScale>
    </cfRule>
  </conditionalFormatting>
  <conditionalFormatting sqref="DC110">
    <cfRule type="colorScale" priority="2377">
      <colorScale>
        <cfvo type="min"/>
        <cfvo type="percentile" val="50"/>
        <cfvo type="max"/>
        <color rgb="FFF8696B"/>
        <color rgb="FFFFEB84"/>
        <color rgb="FF63BE7B"/>
      </colorScale>
    </cfRule>
  </conditionalFormatting>
  <conditionalFormatting sqref="DC110">
    <cfRule type="colorScale" priority="2376">
      <colorScale>
        <cfvo type="min"/>
        <cfvo type="max"/>
        <color rgb="FFFCFCFF"/>
        <color rgb="FFF8696B"/>
      </colorScale>
    </cfRule>
  </conditionalFormatting>
  <conditionalFormatting sqref="DC110:DC114">
    <cfRule type="colorScale" priority="2375">
      <colorScale>
        <cfvo type="min"/>
        <cfvo type="max"/>
        <color rgb="FFFCFCFF"/>
        <color rgb="FFF8696B"/>
      </colorScale>
    </cfRule>
  </conditionalFormatting>
  <conditionalFormatting sqref="DC110:DC114">
    <cfRule type="colorScale" priority="2374">
      <colorScale>
        <cfvo type="min"/>
        <cfvo type="max"/>
        <color rgb="FFFCFCFF"/>
        <color rgb="FFF8696B"/>
      </colorScale>
    </cfRule>
  </conditionalFormatting>
  <conditionalFormatting sqref="CM110">
    <cfRule type="colorScale" priority="2373">
      <colorScale>
        <cfvo type="min"/>
        <cfvo type="percentile" val="50"/>
        <cfvo type="max"/>
        <color rgb="FFF8696B"/>
        <color rgb="FFFFEB84"/>
        <color rgb="FF63BE7B"/>
      </colorScale>
    </cfRule>
  </conditionalFormatting>
  <conditionalFormatting sqref="CM110">
    <cfRule type="colorScale" priority="2372">
      <colorScale>
        <cfvo type="min"/>
        <cfvo type="percentile" val="50"/>
        <cfvo type="max"/>
        <color rgb="FF63BE7B"/>
        <color rgb="FFFFEB84"/>
        <color rgb="FFF8696B"/>
      </colorScale>
    </cfRule>
  </conditionalFormatting>
  <conditionalFormatting sqref="CM110">
    <cfRule type="colorScale" priority="2369">
      <colorScale>
        <cfvo type="min"/>
        <cfvo type="max"/>
        <color rgb="FFFCFCFF"/>
        <color rgb="FFF8696B"/>
      </colorScale>
    </cfRule>
    <cfRule type="colorScale" priority="2371">
      <colorScale>
        <cfvo type="min"/>
        <cfvo type="percentile" val="50"/>
        <cfvo type="max"/>
        <color rgb="FF63BE7B"/>
        <color rgb="FFFFEB84"/>
        <color rgb="FFF8696B"/>
      </colorScale>
    </cfRule>
  </conditionalFormatting>
  <conditionalFormatting sqref="CM110">
    <cfRule type="colorScale" priority="2370">
      <colorScale>
        <cfvo type="min"/>
        <cfvo type="max"/>
        <color rgb="FFF8696B"/>
        <color rgb="FFFCFCFF"/>
      </colorScale>
    </cfRule>
  </conditionalFormatting>
  <conditionalFormatting sqref="CM110">
    <cfRule type="colorScale" priority="2368">
      <colorScale>
        <cfvo type="min"/>
        <cfvo type="percentile" val="50"/>
        <cfvo type="max"/>
        <color rgb="FFF8696B"/>
        <color rgb="FFFFEB84"/>
        <color rgb="FF63BE7B"/>
      </colorScale>
    </cfRule>
  </conditionalFormatting>
  <conditionalFormatting sqref="CM110">
    <cfRule type="colorScale" priority="2367">
      <colorScale>
        <cfvo type="min"/>
        <cfvo type="max"/>
        <color rgb="FFFCFCFF"/>
        <color rgb="FFF8696B"/>
      </colorScale>
    </cfRule>
  </conditionalFormatting>
  <conditionalFormatting sqref="CM110:CM114">
    <cfRule type="colorScale" priority="2366">
      <colorScale>
        <cfvo type="min"/>
        <cfvo type="max"/>
        <color rgb="FFFCFCFF"/>
        <color rgb="FFF8696B"/>
      </colorScale>
    </cfRule>
  </conditionalFormatting>
  <conditionalFormatting sqref="CM110:CM114">
    <cfRule type="colorScale" priority="2365">
      <colorScale>
        <cfvo type="min"/>
        <cfvo type="max"/>
        <color rgb="FFFCFCFF"/>
        <color rgb="FFF8696B"/>
      </colorScale>
    </cfRule>
  </conditionalFormatting>
  <conditionalFormatting sqref="CY84">
    <cfRule type="colorScale" priority="2364">
      <colorScale>
        <cfvo type="min"/>
        <cfvo type="percentile" val="50"/>
        <cfvo type="max"/>
        <color rgb="FFF8696B"/>
        <color rgb="FFFFEB84"/>
        <color rgb="FF63BE7B"/>
      </colorScale>
    </cfRule>
  </conditionalFormatting>
  <conditionalFormatting sqref="CY84">
    <cfRule type="colorScale" priority="2363">
      <colorScale>
        <cfvo type="min"/>
        <cfvo type="percentile" val="50"/>
        <cfvo type="max"/>
        <color rgb="FFF8696B"/>
        <color rgb="FFFFEB84"/>
        <color rgb="FF63BE7B"/>
      </colorScale>
    </cfRule>
  </conditionalFormatting>
  <conditionalFormatting sqref="CY84">
    <cfRule type="colorScale" priority="2362">
      <colorScale>
        <cfvo type="min"/>
        <cfvo type="percentile" val="50"/>
        <cfvo type="max"/>
        <color rgb="FFF8696B"/>
        <color rgb="FFFFEB84"/>
        <color rgb="FF63BE7B"/>
      </colorScale>
    </cfRule>
  </conditionalFormatting>
  <conditionalFormatting sqref="CY84">
    <cfRule type="colorScale" priority="2361">
      <colorScale>
        <cfvo type="min"/>
        <cfvo type="percentile" val="50"/>
        <cfvo type="max"/>
        <color rgb="FF63BE7B"/>
        <color rgb="FFFFEB84"/>
        <color rgb="FFF8696B"/>
      </colorScale>
    </cfRule>
  </conditionalFormatting>
  <conditionalFormatting sqref="CY84">
    <cfRule type="colorScale" priority="2358">
      <colorScale>
        <cfvo type="min"/>
        <cfvo type="max"/>
        <color rgb="FFFCFCFF"/>
        <color rgb="FFF8696B"/>
      </colorScale>
    </cfRule>
    <cfRule type="colorScale" priority="2360">
      <colorScale>
        <cfvo type="min"/>
        <cfvo type="percentile" val="50"/>
        <cfvo type="max"/>
        <color rgb="FF63BE7B"/>
        <color rgb="FFFFEB84"/>
        <color rgb="FFF8696B"/>
      </colorScale>
    </cfRule>
  </conditionalFormatting>
  <conditionalFormatting sqref="CY84">
    <cfRule type="colorScale" priority="2359">
      <colorScale>
        <cfvo type="min"/>
        <cfvo type="max"/>
        <color rgb="FFF8696B"/>
        <color rgb="FFFCFCFF"/>
      </colorScale>
    </cfRule>
  </conditionalFormatting>
  <conditionalFormatting sqref="DA84">
    <cfRule type="colorScale" priority="2357">
      <colorScale>
        <cfvo type="min"/>
        <cfvo type="percentile" val="50"/>
        <cfvo type="max"/>
        <color rgb="FFF8696B"/>
        <color rgb="FFFFEB84"/>
        <color rgb="FF63BE7B"/>
      </colorScale>
    </cfRule>
  </conditionalFormatting>
  <conditionalFormatting sqref="DA84">
    <cfRule type="colorScale" priority="2356">
      <colorScale>
        <cfvo type="min"/>
        <cfvo type="percentile" val="50"/>
        <cfvo type="max"/>
        <color rgb="FFF8696B"/>
        <color rgb="FFFFEB84"/>
        <color rgb="FF63BE7B"/>
      </colorScale>
    </cfRule>
  </conditionalFormatting>
  <conditionalFormatting sqref="DA84">
    <cfRule type="colorScale" priority="2355">
      <colorScale>
        <cfvo type="min"/>
        <cfvo type="percentile" val="50"/>
        <cfvo type="max"/>
        <color rgb="FFF8696B"/>
        <color rgb="FFFFEB84"/>
        <color rgb="FF63BE7B"/>
      </colorScale>
    </cfRule>
  </conditionalFormatting>
  <conditionalFormatting sqref="DA84">
    <cfRule type="colorScale" priority="2354">
      <colorScale>
        <cfvo type="min"/>
        <cfvo type="percentile" val="50"/>
        <cfvo type="max"/>
        <color rgb="FF63BE7B"/>
        <color rgb="FFFFEB84"/>
        <color rgb="FFF8696B"/>
      </colorScale>
    </cfRule>
  </conditionalFormatting>
  <conditionalFormatting sqref="DA84">
    <cfRule type="colorScale" priority="2351">
      <colorScale>
        <cfvo type="min"/>
        <cfvo type="max"/>
        <color rgb="FFFCFCFF"/>
        <color rgb="FFF8696B"/>
      </colorScale>
    </cfRule>
    <cfRule type="colorScale" priority="2353">
      <colorScale>
        <cfvo type="min"/>
        <cfvo type="percentile" val="50"/>
        <cfvo type="max"/>
        <color rgb="FF63BE7B"/>
        <color rgb="FFFFEB84"/>
        <color rgb="FFF8696B"/>
      </colorScale>
    </cfRule>
  </conditionalFormatting>
  <conditionalFormatting sqref="DA84">
    <cfRule type="colorScale" priority="2352">
      <colorScale>
        <cfvo type="min"/>
        <cfvo type="max"/>
        <color rgb="FFF8696B"/>
        <color rgb="FFFCFCFF"/>
      </colorScale>
    </cfRule>
  </conditionalFormatting>
  <conditionalFormatting sqref="CY84 DA84">
    <cfRule type="colorScale" priority="2350">
      <colorScale>
        <cfvo type="min"/>
        <cfvo type="max"/>
        <color rgb="FFFCFCFF"/>
        <color rgb="FFF8696B"/>
      </colorScale>
    </cfRule>
  </conditionalFormatting>
  <conditionalFormatting sqref="CY84 DA84">
    <cfRule type="colorScale" priority="2349">
      <colorScale>
        <cfvo type="min"/>
        <cfvo type="max"/>
        <color rgb="FFFCFCFF"/>
        <color rgb="FFF8696B"/>
      </colorScale>
    </cfRule>
  </conditionalFormatting>
  <conditionalFormatting sqref="DC84">
    <cfRule type="colorScale" priority="2348">
      <colorScale>
        <cfvo type="min"/>
        <cfvo type="percentile" val="50"/>
        <cfvo type="max"/>
        <color rgb="FFF8696B"/>
        <color rgb="FFFFEB84"/>
        <color rgb="FF63BE7B"/>
      </colorScale>
    </cfRule>
  </conditionalFormatting>
  <conditionalFormatting sqref="DC84">
    <cfRule type="colorScale" priority="2347">
      <colorScale>
        <cfvo type="min"/>
        <cfvo type="percentile" val="50"/>
        <cfvo type="max"/>
        <color rgb="FFF8696B"/>
        <color rgb="FFFFEB84"/>
        <color rgb="FF63BE7B"/>
      </colorScale>
    </cfRule>
  </conditionalFormatting>
  <conditionalFormatting sqref="DC84">
    <cfRule type="colorScale" priority="2346">
      <colorScale>
        <cfvo type="min"/>
        <cfvo type="percentile" val="50"/>
        <cfvo type="max"/>
        <color rgb="FFF8696B"/>
        <color rgb="FFFFEB84"/>
        <color rgb="FF63BE7B"/>
      </colorScale>
    </cfRule>
  </conditionalFormatting>
  <conditionalFormatting sqref="DC84">
    <cfRule type="colorScale" priority="2345">
      <colorScale>
        <cfvo type="min"/>
        <cfvo type="percentile" val="50"/>
        <cfvo type="max"/>
        <color rgb="FF63BE7B"/>
        <color rgb="FFFFEB84"/>
        <color rgb="FFF8696B"/>
      </colorScale>
    </cfRule>
  </conditionalFormatting>
  <conditionalFormatting sqref="DC84">
    <cfRule type="colorScale" priority="2342">
      <colorScale>
        <cfvo type="min"/>
        <cfvo type="max"/>
        <color rgb="FFFCFCFF"/>
        <color rgb="FFF8696B"/>
      </colorScale>
    </cfRule>
    <cfRule type="colorScale" priority="2344">
      <colorScale>
        <cfvo type="min"/>
        <cfvo type="percentile" val="50"/>
        <cfvo type="max"/>
        <color rgb="FF63BE7B"/>
        <color rgb="FFFFEB84"/>
        <color rgb="FFF8696B"/>
      </colorScale>
    </cfRule>
  </conditionalFormatting>
  <conditionalFormatting sqref="DC84">
    <cfRule type="colorScale" priority="2343">
      <colorScale>
        <cfvo type="min"/>
        <cfvo type="max"/>
        <color rgb="FFF8696B"/>
        <color rgb="FFFCFCFF"/>
      </colorScale>
    </cfRule>
  </conditionalFormatting>
  <conditionalFormatting sqref="DC84">
    <cfRule type="colorScale" priority="2341">
      <colorScale>
        <cfvo type="min"/>
        <cfvo type="max"/>
        <color rgb="FFFCFCFF"/>
        <color rgb="FFF8696B"/>
      </colorScale>
    </cfRule>
  </conditionalFormatting>
  <conditionalFormatting sqref="DE84">
    <cfRule type="colorScale" priority="2340">
      <colorScale>
        <cfvo type="min"/>
        <cfvo type="percentile" val="50"/>
        <cfvo type="max"/>
        <color rgb="FFF8696B"/>
        <color rgb="FFFFEB84"/>
        <color rgb="FF63BE7B"/>
      </colorScale>
    </cfRule>
  </conditionalFormatting>
  <conditionalFormatting sqref="DE84">
    <cfRule type="colorScale" priority="2339">
      <colorScale>
        <cfvo type="min"/>
        <cfvo type="percentile" val="50"/>
        <cfvo type="max"/>
        <color rgb="FFF8696B"/>
        <color rgb="FFFFEB84"/>
        <color rgb="FF63BE7B"/>
      </colorScale>
    </cfRule>
  </conditionalFormatting>
  <conditionalFormatting sqref="DE84">
    <cfRule type="colorScale" priority="2338">
      <colorScale>
        <cfvo type="min"/>
        <cfvo type="percentile" val="50"/>
        <cfvo type="max"/>
        <color rgb="FFF8696B"/>
        <color rgb="FFFFEB84"/>
        <color rgb="FF63BE7B"/>
      </colorScale>
    </cfRule>
  </conditionalFormatting>
  <conditionalFormatting sqref="DE84">
    <cfRule type="colorScale" priority="2337">
      <colorScale>
        <cfvo type="min"/>
        <cfvo type="percentile" val="50"/>
        <cfvo type="max"/>
        <color rgb="FF63BE7B"/>
        <color rgb="FFFFEB84"/>
        <color rgb="FFF8696B"/>
      </colorScale>
    </cfRule>
  </conditionalFormatting>
  <conditionalFormatting sqref="DE84">
    <cfRule type="colorScale" priority="2334">
      <colorScale>
        <cfvo type="min"/>
        <cfvo type="max"/>
        <color rgb="FFFCFCFF"/>
        <color rgb="FFF8696B"/>
      </colorScale>
    </cfRule>
    <cfRule type="colorScale" priority="2336">
      <colorScale>
        <cfvo type="min"/>
        <cfvo type="percentile" val="50"/>
        <cfvo type="max"/>
        <color rgb="FF63BE7B"/>
        <color rgb="FFFFEB84"/>
        <color rgb="FFF8696B"/>
      </colorScale>
    </cfRule>
  </conditionalFormatting>
  <conditionalFormatting sqref="DE84">
    <cfRule type="colorScale" priority="2335">
      <colorScale>
        <cfvo type="min"/>
        <cfvo type="max"/>
        <color rgb="FFF8696B"/>
        <color rgb="FFFCFCFF"/>
      </colorScale>
    </cfRule>
  </conditionalFormatting>
  <conditionalFormatting sqref="DE84">
    <cfRule type="colorScale" priority="2333">
      <colorScale>
        <cfvo type="min"/>
        <cfvo type="max"/>
        <color rgb="FFFCFCFF"/>
        <color rgb="FFF8696B"/>
      </colorScale>
    </cfRule>
  </conditionalFormatting>
  <conditionalFormatting sqref="DG84">
    <cfRule type="colorScale" priority="2332">
      <colorScale>
        <cfvo type="min"/>
        <cfvo type="percentile" val="50"/>
        <cfvo type="max"/>
        <color rgb="FFF8696B"/>
        <color rgb="FFFFEB84"/>
        <color rgb="FF63BE7B"/>
      </colorScale>
    </cfRule>
  </conditionalFormatting>
  <conditionalFormatting sqref="DG84">
    <cfRule type="colorScale" priority="2331">
      <colorScale>
        <cfvo type="min"/>
        <cfvo type="percentile" val="50"/>
        <cfvo type="max"/>
        <color rgb="FFF8696B"/>
        <color rgb="FFFFEB84"/>
        <color rgb="FF63BE7B"/>
      </colorScale>
    </cfRule>
  </conditionalFormatting>
  <conditionalFormatting sqref="DG84">
    <cfRule type="colorScale" priority="2330">
      <colorScale>
        <cfvo type="min"/>
        <cfvo type="percentile" val="50"/>
        <cfvo type="max"/>
        <color rgb="FFF8696B"/>
        <color rgb="FFFFEB84"/>
        <color rgb="FF63BE7B"/>
      </colorScale>
    </cfRule>
  </conditionalFormatting>
  <conditionalFormatting sqref="DG84">
    <cfRule type="colorScale" priority="2329">
      <colorScale>
        <cfvo type="min"/>
        <cfvo type="percentile" val="50"/>
        <cfvo type="max"/>
        <color rgb="FF63BE7B"/>
        <color rgb="FFFFEB84"/>
        <color rgb="FFF8696B"/>
      </colorScale>
    </cfRule>
  </conditionalFormatting>
  <conditionalFormatting sqref="DG84">
    <cfRule type="colorScale" priority="2326">
      <colorScale>
        <cfvo type="min"/>
        <cfvo type="max"/>
        <color rgb="FFFCFCFF"/>
        <color rgb="FFF8696B"/>
      </colorScale>
    </cfRule>
    <cfRule type="colorScale" priority="2328">
      <colorScale>
        <cfvo type="min"/>
        <cfvo type="percentile" val="50"/>
        <cfvo type="max"/>
        <color rgb="FF63BE7B"/>
        <color rgb="FFFFEB84"/>
        <color rgb="FFF8696B"/>
      </colorScale>
    </cfRule>
  </conditionalFormatting>
  <conditionalFormatting sqref="DG84">
    <cfRule type="colorScale" priority="2327">
      <colorScale>
        <cfvo type="min"/>
        <cfvo type="max"/>
        <color rgb="FFF8696B"/>
        <color rgb="FFFCFCFF"/>
      </colorScale>
    </cfRule>
  </conditionalFormatting>
  <conditionalFormatting sqref="DG84">
    <cfRule type="colorScale" priority="2325">
      <colorScale>
        <cfvo type="min"/>
        <cfvo type="max"/>
        <color rgb="FFFCFCFF"/>
        <color rgb="FFF8696B"/>
      </colorScale>
    </cfRule>
  </conditionalFormatting>
  <conditionalFormatting sqref="DE84 DC84 DG84">
    <cfRule type="colorScale" priority="2324">
      <colorScale>
        <cfvo type="min"/>
        <cfvo type="max"/>
        <color rgb="FFFCFCFF"/>
        <color rgb="FFF8696B"/>
      </colorScale>
    </cfRule>
  </conditionalFormatting>
  <conditionalFormatting sqref="DE84 DG84 DC84">
    <cfRule type="colorScale" priority="2323">
      <colorScale>
        <cfvo type="min"/>
        <cfvo type="max"/>
        <color rgb="FFFCFCFF"/>
        <color rgb="FFF8696B"/>
      </colorScale>
    </cfRule>
  </conditionalFormatting>
  <conditionalFormatting sqref="CO41 CQ41 CM41 CK41 CI41 CE39 CE33 CG33 CG39 CI39 CI33 CK33 CK39 CM39 CM33 CO33 CO39 CQ39 CQ33 CQ13 CQ18 CQ23 CQ28 CO28 CO23 CO18 CO13 CM13 CM18 CM23 CM28 CK24:CK28 CK13 CK18 CI18 CI13 CG13 CE13 CE24:CE28 CG24:CG28 CI24:CI28">
    <cfRule type="colorScale" priority="2322">
      <colorScale>
        <cfvo type="min"/>
        <cfvo type="max"/>
        <color rgb="FFFCFCFF"/>
        <color rgb="FFF8696B"/>
      </colorScale>
    </cfRule>
  </conditionalFormatting>
  <conditionalFormatting sqref="CY18">
    <cfRule type="colorScale" priority="2321">
      <colorScale>
        <cfvo type="min"/>
        <cfvo type="percentile" val="50"/>
        <cfvo type="max"/>
        <color rgb="FFF8696B"/>
        <color rgb="FFFFEB84"/>
        <color rgb="FF63BE7B"/>
      </colorScale>
    </cfRule>
  </conditionalFormatting>
  <conditionalFormatting sqref="CY18">
    <cfRule type="colorScale" priority="2320">
      <colorScale>
        <cfvo type="min"/>
        <cfvo type="percentile" val="50"/>
        <cfvo type="max"/>
        <color rgb="FF63BE7B"/>
        <color rgb="FFFFEB84"/>
        <color rgb="FFF8696B"/>
      </colorScale>
    </cfRule>
  </conditionalFormatting>
  <conditionalFormatting sqref="CY18">
    <cfRule type="colorScale" priority="2317">
      <colorScale>
        <cfvo type="min"/>
        <cfvo type="max"/>
        <color rgb="FFFCFCFF"/>
        <color rgb="FFF8696B"/>
      </colorScale>
    </cfRule>
    <cfRule type="colorScale" priority="2319">
      <colorScale>
        <cfvo type="min"/>
        <cfvo type="percentile" val="50"/>
        <cfvo type="max"/>
        <color rgb="FF63BE7B"/>
        <color rgb="FFFFEB84"/>
        <color rgb="FFF8696B"/>
      </colorScale>
    </cfRule>
  </conditionalFormatting>
  <conditionalFormatting sqref="CY18">
    <cfRule type="colorScale" priority="2318">
      <colorScale>
        <cfvo type="min"/>
        <cfvo type="max"/>
        <color rgb="FFF8696B"/>
        <color rgb="FFFCFCFF"/>
      </colorScale>
    </cfRule>
  </conditionalFormatting>
  <conditionalFormatting sqref="CY18">
    <cfRule type="colorScale" priority="2316">
      <colorScale>
        <cfvo type="min"/>
        <cfvo type="max"/>
        <color rgb="FFFCFCFF"/>
        <color rgb="FFF8696B"/>
      </colorScale>
    </cfRule>
  </conditionalFormatting>
  <conditionalFormatting sqref="CY13">
    <cfRule type="colorScale" priority="2315">
      <colorScale>
        <cfvo type="min"/>
        <cfvo type="percentile" val="50"/>
        <cfvo type="max"/>
        <color rgb="FFF8696B"/>
        <color rgb="FFFFEB84"/>
        <color rgb="FF63BE7B"/>
      </colorScale>
    </cfRule>
  </conditionalFormatting>
  <conditionalFormatting sqref="CY13">
    <cfRule type="colorScale" priority="2314">
      <colorScale>
        <cfvo type="min"/>
        <cfvo type="percentile" val="50"/>
        <cfvo type="max"/>
        <color rgb="FFF8696B"/>
        <color rgb="FFFFEB84"/>
        <color rgb="FF63BE7B"/>
      </colorScale>
    </cfRule>
  </conditionalFormatting>
  <conditionalFormatting sqref="CY13">
    <cfRule type="colorScale" priority="2313">
      <colorScale>
        <cfvo type="min"/>
        <cfvo type="percentile" val="50"/>
        <cfvo type="max"/>
        <color rgb="FF63BE7B"/>
        <color rgb="FFFFEB84"/>
        <color rgb="FFF8696B"/>
      </colorScale>
    </cfRule>
  </conditionalFormatting>
  <conditionalFormatting sqref="CY13">
    <cfRule type="colorScale" priority="2310">
      <colorScale>
        <cfvo type="min"/>
        <cfvo type="max"/>
        <color rgb="FFFCFCFF"/>
        <color rgb="FFF8696B"/>
      </colorScale>
    </cfRule>
    <cfRule type="colorScale" priority="2312">
      <colorScale>
        <cfvo type="min"/>
        <cfvo type="percentile" val="50"/>
        <cfvo type="max"/>
        <color rgb="FF63BE7B"/>
        <color rgb="FFFFEB84"/>
        <color rgb="FFF8696B"/>
      </colorScale>
    </cfRule>
  </conditionalFormatting>
  <conditionalFormatting sqref="CY13">
    <cfRule type="colorScale" priority="2311">
      <colorScale>
        <cfvo type="min"/>
        <cfvo type="max"/>
        <color rgb="FFF8696B"/>
        <color rgb="FFFCFCFF"/>
      </colorScale>
    </cfRule>
  </conditionalFormatting>
  <conditionalFormatting sqref="CY13">
    <cfRule type="colorScale" priority="2309">
      <colorScale>
        <cfvo type="min"/>
        <cfvo type="max"/>
        <color rgb="FFFCFCFF"/>
        <color rgb="FFF8696B"/>
      </colorScale>
    </cfRule>
  </conditionalFormatting>
  <conditionalFormatting sqref="CW18 CU18">
    <cfRule type="colorScale" priority="2308">
      <colorScale>
        <cfvo type="min"/>
        <cfvo type="max"/>
        <color rgb="FFFCFCFF"/>
        <color rgb="FFF8696B"/>
      </colorScale>
    </cfRule>
  </conditionalFormatting>
  <conditionalFormatting sqref="CU13 CW13">
    <cfRule type="colorScale" priority="2307">
      <colorScale>
        <cfvo type="min"/>
        <cfvo type="percentile" val="50"/>
        <cfvo type="max"/>
        <color rgb="FFF8696B"/>
        <color rgb="FFFFEB84"/>
        <color rgb="FF63BE7B"/>
      </colorScale>
    </cfRule>
  </conditionalFormatting>
  <conditionalFormatting sqref="CU13 CW13">
    <cfRule type="colorScale" priority="2306">
      <colorScale>
        <cfvo type="min"/>
        <cfvo type="percentile" val="50"/>
        <cfvo type="max"/>
        <color rgb="FFF8696B"/>
        <color rgb="FFFFEB84"/>
        <color rgb="FF63BE7B"/>
      </colorScale>
    </cfRule>
  </conditionalFormatting>
  <conditionalFormatting sqref="CU13 CW13">
    <cfRule type="colorScale" priority="2305">
      <colorScale>
        <cfvo type="min"/>
        <cfvo type="percentile" val="50"/>
        <cfvo type="max"/>
        <color rgb="FF63BE7B"/>
        <color rgb="FFFFEB84"/>
        <color rgb="FFF8696B"/>
      </colorScale>
    </cfRule>
  </conditionalFormatting>
  <conditionalFormatting sqref="CU13 CW13">
    <cfRule type="colorScale" priority="2302">
      <colorScale>
        <cfvo type="min"/>
        <cfvo type="max"/>
        <color rgb="FFFCFCFF"/>
        <color rgb="FFF8696B"/>
      </colorScale>
    </cfRule>
    <cfRule type="colorScale" priority="2304">
      <colorScale>
        <cfvo type="min"/>
        <cfvo type="percentile" val="50"/>
        <cfvo type="max"/>
        <color rgb="FF63BE7B"/>
        <color rgb="FFFFEB84"/>
        <color rgb="FFF8696B"/>
      </colorScale>
    </cfRule>
  </conditionalFormatting>
  <conditionalFormatting sqref="CU13 CW13">
    <cfRule type="colorScale" priority="2303">
      <colorScale>
        <cfvo type="min"/>
        <cfvo type="max"/>
        <color rgb="FFF8696B"/>
        <color rgb="FFFCFCFF"/>
      </colorScale>
    </cfRule>
  </conditionalFormatting>
  <conditionalFormatting sqref="CU13 CW13">
    <cfRule type="colorScale" priority="2301">
      <colorScale>
        <cfvo type="min"/>
        <cfvo type="max"/>
        <color rgb="FFFCFCFF"/>
        <color rgb="FFF8696B"/>
      </colorScale>
    </cfRule>
  </conditionalFormatting>
  <conditionalFormatting sqref="DC18">
    <cfRule type="colorScale" priority="2300">
      <colorScale>
        <cfvo type="min"/>
        <cfvo type="percentile" val="50"/>
        <cfvo type="max"/>
        <color rgb="FFF8696B"/>
        <color rgb="FFFFEB84"/>
        <color rgb="FF63BE7B"/>
      </colorScale>
    </cfRule>
  </conditionalFormatting>
  <conditionalFormatting sqref="DC18">
    <cfRule type="colorScale" priority="2299">
      <colorScale>
        <cfvo type="min"/>
        <cfvo type="percentile" val="50"/>
        <cfvo type="max"/>
        <color rgb="FFF8696B"/>
        <color rgb="FFFFEB84"/>
        <color rgb="FF63BE7B"/>
      </colorScale>
    </cfRule>
  </conditionalFormatting>
  <conditionalFormatting sqref="DC18">
    <cfRule type="colorScale" priority="2298">
      <colorScale>
        <cfvo type="min"/>
        <cfvo type="percentile" val="50"/>
        <cfvo type="max"/>
        <color rgb="FF63BE7B"/>
        <color rgb="FFFFEB84"/>
        <color rgb="FFF8696B"/>
      </colorScale>
    </cfRule>
  </conditionalFormatting>
  <conditionalFormatting sqref="DC18">
    <cfRule type="colorScale" priority="2295">
      <colorScale>
        <cfvo type="min"/>
        <cfvo type="max"/>
        <color rgb="FFFCFCFF"/>
        <color rgb="FFF8696B"/>
      </colorScale>
    </cfRule>
    <cfRule type="colorScale" priority="2297">
      <colorScale>
        <cfvo type="min"/>
        <cfvo type="percentile" val="50"/>
        <cfvo type="max"/>
        <color rgb="FF63BE7B"/>
        <color rgb="FFFFEB84"/>
        <color rgb="FFF8696B"/>
      </colorScale>
    </cfRule>
  </conditionalFormatting>
  <conditionalFormatting sqref="DC18">
    <cfRule type="colorScale" priority="2296">
      <colorScale>
        <cfvo type="min"/>
        <cfvo type="max"/>
        <color rgb="FFF8696B"/>
        <color rgb="FFFCFCFF"/>
      </colorScale>
    </cfRule>
  </conditionalFormatting>
  <conditionalFormatting sqref="DC18">
    <cfRule type="colorScale" priority="2294">
      <colorScale>
        <cfvo type="min"/>
        <cfvo type="max"/>
        <color rgb="FFFCFCFF"/>
        <color rgb="FFF8696B"/>
      </colorScale>
    </cfRule>
  </conditionalFormatting>
  <conditionalFormatting sqref="DE18">
    <cfRule type="colorScale" priority="2293">
      <colorScale>
        <cfvo type="min"/>
        <cfvo type="percentile" val="50"/>
        <cfvo type="max"/>
        <color rgb="FFF8696B"/>
        <color rgb="FFFFEB84"/>
        <color rgb="FF63BE7B"/>
      </colorScale>
    </cfRule>
  </conditionalFormatting>
  <conditionalFormatting sqref="DE18">
    <cfRule type="colorScale" priority="2292">
      <colorScale>
        <cfvo type="min"/>
        <cfvo type="percentile" val="50"/>
        <cfvo type="max"/>
        <color rgb="FFF8696B"/>
        <color rgb="FFFFEB84"/>
        <color rgb="FF63BE7B"/>
      </colorScale>
    </cfRule>
  </conditionalFormatting>
  <conditionalFormatting sqref="DE18">
    <cfRule type="colorScale" priority="2291">
      <colorScale>
        <cfvo type="min"/>
        <cfvo type="percentile" val="50"/>
        <cfvo type="max"/>
        <color rgb="FF63BE7B"/>
        <color rgb="FFFFEB84"/>
        <color rgb="FFF8696B"/>
      </colorScale>
    </cfRule>
  </conditionalFormatting>
  <conditionalFormatting sqref="DE18">
    <cfRule type="colorScale" priority="2288">
      <colorScale>
        <cfvo type="min"/>
        <cfvo type="max"/>
        <color rgb="FFFCFCFF"/>
        <color rgb="FFF8696B"/>
      </colorScale>
    </cfRule>
    <cfRule type="colorScale" priority="2290">
      <colorScale>
        <cfvo type="min"/>
        <cfvo type="percentile" val="50"/>
        <cfvo type="max"/>
        <color rgb="FF63BE7B"/>
        <color rgb="FFFFEB84"/>
        <color rgb="FFF8696B"/>
      </colorScale>
    </cfRule>
  </conditionalFormatting>
  <conditionalFormatting sqref="DE18">
    <cfRule type="colorScale" priority="2289">
      <colorScale>
        <cfvo type="min"/>
        <cfvo type="max"/>
        <color rgb="FFF8696B"/>
        <color rgb="FFFCFCFF"/>
      </colorScale>
    </cfRule>
  </conditionalFormatting>
  <conditionalFormatting sqref="DE18">
    <cfRule type="colorScale" priority="2287">
      <colorScale>
        <cfvo type="min"/>
        <cfvo type="max"/>
        <color rgb="FFFCFCFF"/>
        <color rgb="FFF8696B"/>
      </colorScale>
    </cfRule>
  </conditionalFormatting>
  <conditionalFormatting sqref="DG18">
    <cfRule type="colorScale" priority="2286">
      <colorScale>
        <cfvo type="min"/>
        <cfvo type="percentile" val="50"/>
        <cfvo type="max"/>
        <color rgb="FFF8696B"/>
        <color rgb="FFFFEB84"/>
        <color rgb="FF63BE7B"/>
      </colorScale>
    </cfRule>
  </conditionalFormatting>
  <conditionalFormatting sqref="DG18">
    <cfRule type="colorScale" priority="2285">
      <colorScale>
        <cfvo type="min"/>
        <cfvo type="percentile" val="50"/>
        <cfvo type="max"/>
        <color rgb="FFF8696B"/>
        <color rgb="FFFFEB84"/>
        <color rgb="FF63BE7B"/>
      </colorScale>
    </cfRule>
  </conditionalFormatting>
  <conditionalFormatting sqref="DG18">
    <cfRule type="colorScale" priority="2284">
      <colorScale>
        <cfvo type="min"/>
        <cfvo type="percentile" val="50"/>
        <cfvo type="max"/>
        <color rgb="FF63BE7B"/>
        <color rgb="FFFFEB84"/>
        <color rgb="FFF8696B"/>
      </colorScale>
    </cfRule>
  </conditionalFormatting>
  <conditionalFormatting sqref="DG18">
    <cfRule type="colorScale" priority="2281">
      <colorScale>
        <cfvo type="min"/>
        <cfvo type="max"/>
        <color rgb="FFFCFCFF"/>
        <color rgb="FFF8696B"/>
      </colorScale>
    </cfRule>
    <cfRule type="colorScale" priority="2283">
      <colorScale>
        <cfvo type="min"/>
        <cfvo type="percentile" val="50"/>
        <cfvo type="max"/>
        <color rgb="FF63BE7B"/>
        <color rgb="FFFFEB84"/>
        <color rgb="FFF8696B"/>
      </colorScale>
    </cfRule>
  </conditionalFormatting>
  <conditionalFormatting sqref="DG18">
    <cfRule type="colorScale" priority="2282">
      <colorScale>
        <cfvo type="min"/>
        <cfvo type="max"/>
        <color rgb="FFF8696B"/>
        <color rgb="FFFCFCFF"/>
      </colorScale>
    </cfRule>
  </conditionalFormatting>
  <conditionalFormatting sqref="DG18">
    <cfRule type="colorScale" priority="2280">
      <colorScale>
        <cfvo type="min"/>
        <cfvo type="max"/>
        <color rgb="FFFCFCFF"/>
        <color rgb="FFF8696B"/>
      </colorScale>
    </cfRule>
  </conditionalFormatting>
  <conditionalFormatting sqref="DC13">
    <cfRule type="colorScale" priority="2279">
      <colorScale>
        <cfvo type="min"/>
        <cfvo type="percentile" val="50"/>
        <cfvo type="max"/>
        <color rgb="FFF8696B"/>
        <color rgb="FFFFEB84"/>
        <color rgb="FF63BE7B"/>
      </colorScale>
    </cfRule>
  </conditionalFormatting>
  <conditionalFormatting sqref="DC13">
    <cfRule type="colorScale" priority="2278">
      <colorScale>
        <cfvo type="min"/>
        <cfvo type="percentile" val="50"/>
        <cfvo type="max"/>
        <color rgb="FFF8696B"/>
        <color rgb="FFFFEB84"/>
        <color rgb="FF63BE7B"/>
      </colorScale>
    </cfRule>
  </conditionalFormatting>
  <conditionalFormatting sqref="DC13">
    <cfRule type="colorScale" priority="2277">
      <colorScale>
        <cfvo type="min"/>
        <cfvo type="percentile" val="50"/>
        <cfvo type="max"/>
        <color rgb="FF63BE7B"/>
        <color rgb="FFFFEB84"/>
        <color rgb="FFF8696B"/>
      </colorScale>
    </cfRule>
  </conditionalFormatting>
  <conditionalFormatting sqref="DC13">
    <cfRule type="colorScale" priority="2274">
      <colorScale>
        <cfvo type="min"/>
        <cfvo type="max"/>
        <color rgb="FFFCFCFF"/>
        <color rgb="FFF8696B"/>
      </colorScale>
    </cfRule>
    <cfRule type="colorScale" priority="2276">
      <colorScale>
        <cfvo type="min"/>
        <cfvo type="percentile" val="50"/>
        <cfvo type="max"/>
        <color rgb="FF63BE7B"/>
        <color rgb="FFFFEB84"/>
        <color rgb="FFF8696B"/>
      </colorScale>
    </cfRule>
  </conditionalFormatting>
  <conditionalFormatting sqref="DC13">
    <cfRule type="colorScale" priority="2275">
      <colorScale>
        <cfvo type="min"/>
        <cfvo type="max"/>
        <color rgb="FFF8696B"/>
        <color rgb="FFFCFCFF"/>
      </colorScale>
    </cfRule>
  </conditionalFormatting>
  <conditionalFormatting sqref="DC13">
    <cfRule type="colorScale" priority="2273">
      <colorScale>
        <cfvo type="min"/>
        <cfvo type="max"/>
        <color rgb="FFFCFCFF"/>
        <color rgb="FFF8696B"/>
      </colorScale>
    </cfRule>
  </conditionalFormatting>
  <conditionalFormatting sqref="DE13">
    <cfRule type="colorScale" priority="2272">
      <colorScale>
        <cfvo type="min"/>
        <cfvo type="percentile" val="50"/>
        <cfvo type="max"/>
        <color rgb="FFF8696B"/>
        <color rgb="FFFFEB84"/>
        <color rgb="FF63BE7B"/>
      </colorScale>
    </cfRule>
  </conditionalFormatting>
  <conditionalFormatting sqref="DE13">
    <cfRule type="colorScale" priority="2271">
      <colorScale>
        <cfvo type="min"/>
        <cfvo type="percentile" val="50"/>
        <cfvo type="max"/>
        <color rgb="FFF8696B"/>
        <color rgb="FFFFEB84"/>
        <color rgb="FF63BE7B"/>
      </colorScale>
    </cfRule>
  </conditionalFormatting>
  <conditionalFormatting sqref="DE13">
    <cfRule type="colorScale" priority="2270">
      <colorScale>
        <cfvo type="min"/>
        <cfvo type="percentile" val="50"/>
        <cfvo type="max"/>
        <color rgb="FF63BE7B"/>
        <color rgb="FFFFEB84"/>
        <color rgb="FFF8696B"/>
      </colorScale>
    </cfRule>
  </conditionalFormatting>
  <conditionalFormatting sqref="DE13">
    <cfRule type="colorScale" priority="2267">
      <colorScale>
        <cfvo type="min"/>
        <cfvo type="max"/>
        <color rgb="FFFCFCFF"/>
        <color rgb="FFF8696B"/>
      </colorScale>
    </cfRule>
    <cfRule type="colorScale" priority="2269">
      <colorScale>
        <cfvo type="min"/>
        <cfvo type="percentile" val="50"/>
        <cfvo type="max"/>
        <color rgb="FF63BE7B"/>
        <color rgb="FFFFEB84"/>
        <color rgb="FFF8696B"/>
      </colorScale>
    </cfRule>
  </conditionalFormatting>
  <conditionalFormatting sqref="DE13">
    <cfRule type="colorScale" priority="2268">
      <colorScale>
        <cfvo type="min"/>
        <cfvo type="max"/>
        <color rgb="FFF8696B"/>
        <color rgb="FFFCFCFF"/>
      </colorScale>
    </cfRule>
  </conditionalFormatting>
  <conditionalFormatting sqref="DE13">
    <cfRule type="colorScale" priority="2266">
      <colorScale>
        <cfvo type="min"/>
        <cfvo type="max"/>
        <color rgb="FFFCFCFF"/>
        <color rgb="FFF8696B"/>
      </colorScale>
    </cfRule>
  </conditionalFormatting>
  <conditionalFormatting sqref="DG13">
    <cfRule type="colorScale" priority="2265">
      <colorScale>
        <cfvo type="min"/>
        <cfvo type="percentile" val="50"/>
        <cfvo type="max"/>
        <color rgb="FFF8696B"/>
        <color rgb="FFFFEB84"/>
        <color rgb="FF63BE7B"/>
      </colorScale>
    </cfRule>
  </conditionalFormatting>
  <conditionalFormatting sqref="DG13">
    <cfRule type="colorScale" priority="2264">
      <colorScale>
        <cfvo type="min"/>
        <cfvo type="percentile" val="50"/>
        <cfvo type="max"/>
        <color rgb="FFF8696B"/>
        <color rgb="FFFFEB84"/>
        <color rgb="FF63BE7B"/>
      </colorScale>
    </cfRule>
  </conditionalFormatting>
  <conditionalFormatting sqref="DG13">
    <cfRule type="colorScale" priority="2263">
      <colorScale>
        <cfvo type="min"/>
        <cfvo type="percentile" val="50"/>
        <cfvo type="max"/>
        <color rgb="FF63BE7B"/>
        <color rgb="FFFFEB84"/>
        <color rgb="FFF8696B"/>
      </colorScale>
    </cfRule>
  </conditionalFormatting>
  <conditionalFormatting sqref="DG13">
    <cfRule type="colorScale" priority="2260">
      <colorScale>
        <cfvo type="min"/>
        <cfvo type="max"/>
        <color rgb="FFFCFCFF"/>
        <color rgb="FFF8696B"/>
      </colorScale>
    </cfRule>
    <cfRule type="colorScale" priority="2262">
      <colorScale>
        <cfvo type="min"/>
        <cfvo type="percentile" val="50"/>
        <cfvo type="max"/>
        <color rgb="FF63BE7B"/>
        <color rgb="FFFFEB84"/>
        <color rgb="FFF8696B"/>
      </colorScale>
    </cfRule>
  </conditionalFormatting>
  <conditionalFormatting sqref="DG13">
    <cfRule type="colorScale" priority="2261">
      <colorScale>
        <cfvo type="min"/>
        <cfvo type="max"/>
        <color rgb="FFF8696B"/>
        <color rgb="FFFCFCFF"/>
      </colorScale>
    </cfRule>
  </conditionalFormatting>
  <conditionalFormatting sqref="DG13">
    <cfRule type="colorScale" priority="2259">
      <colorScale>
        <cfvo type="min"/>
        <cfvo type="max"/>
        <color rgb="FFFCFCFF"/>
        <color rgb="FFF8696B"/>
      </colorScale>
    </cfRule>
  </conditionalFormatting>
  <conditionalFormatting sqref="DA13">
    <cfRule type="colorScale" priority="2258">
      <colorScale>
        <cfvo type="min"/>
        <cfvo type="percentile" val="50"/>
        <cfvo type="max"/>
        <color rgb="FFF8696B"/>
        <color rgb="FFFFEB84"/>
        <color rgb="FF63BE7B"/>
      </colorScale>
    </cfRule>
  </conditionalFormatting>
  <conditionalFormatting sqref="DA13">
    <cfRule type="colorScale" priority="2257">
      <colorScale>
        <cfvo type="min"/>
        <cfvo type="percentile" val="50"/>
        <cfvo type="max"/>
        <color rgb="FFF8696B"/>
        <color rgb="FFFFEB84"/>
        <color rgb="FF63BE7B"/>
      </colorScale>
    </cfRule>
  </conditionalFormatting>
  <conditionalFormatting sqref="DA13">
    <cfRule type="colorScale" priority="2256">
      <colorScale>
        <cfvo type="min"/>
        <cfvo type="percentile" val="50"/>
        <cfvo type="max"/>
        <color rgb="FF63BE7B"/>
        <color rgb="FFFFEB84"/>
        <color rgb="FFF8696B"/>
      </colorScale>
    </cfRule>
  </conditionalFormatting>
  <conditionalFormatting sqref="DA13">
    <cfRule type="colorScale" priority="2253">
      <colorScale>
        <cfvo type="min"/>
        <cfvo type="max"/>
        <color rgb="FFFCFCFF"/>
        <color rgb="FFF8696B"/>
      </colorScale>
    </cfRule>
    <cfRule type="colorScale" priority="2255">
      <colorScale>
        <cfvo type="min"/>
        <cfvo type="percentile" val="50"/>
        <cfvo type="max"/>
        <color rgb="FF63BE7B"/>
        <color rgb="FFFFEB84"/>
        <color rgb="FFF8696B"/>
      </colorScale>
    </cfRule>
  </conditionalFormatting>
  <conditionalFormatting sqref="DA13">
    <cfRule type="colorScale" priority="2254">
      <colorScale>
        <cfvo type="min"/>
        <cfvo type="max"/>
        <color rgb="FFF8696B"/>
        <color rgb="FFFCFCFF"/>
      </colorScale>
    </cfRule>
  </conditionalFormatting>
  <conditionalFormatting sqref="DA13">
    <cfRule type="colorScale" priority="2252">
      <colorScale>
        <cfvo type="min"/>
        <cfvo type="max"/>
        <color rgb="FFFCFCFF"/>
        <color rgb="FFF8696B"/>
      </colorScale>
    </cfRule>
  </conditionalFormatting>
  <conditionalFormatting sqref="DA18">
    <cfRule type="colorScale" priority="2251">
      <colorScale>
        <cfvo type="min"/>
        <cfvo type="percentile" val="50"/>
        <cfvo type="max"/>
        <color rgb="FFF8696B"/>
        <color rgb="FFFFEB84"/>
        <color rgb="FF63BE7B"/>
      </colorScale>
    </cfRule>
  </conditionalFormatting>
  <conditionalFormatting sqref="DA18">
    <cfRule type="colorScale" priority="2250">
      <colorScale>
        <cfvo type="min"/>
        <cfvo type="percentile" val="50"/>
        <cfvo type="max"/>
        <color rgb="FF63BE7B"/>
        <color rgb="FFFFEB84"/>
        <color rgb="FFF8696B"/>
      </colorScale>
    </cfRule>
  </conditionalFormatting>
  <conditionalFormatting sqref="DA18">
    <cfRule type="colorScale" priority="2247">
      <colorScale>
        <cfvo type="min"/>
        <cfvo type="max"/>
        <color rgb="FFFCFCFF"/>
        <color rgb="FFF8696B"/>
      </colorScale>
    </cfRule>
    <cfRule type="colorScale" priority="2249">
      <colorScale>
        <cfvo type="min"/>
        <cfvo type="percentile" val="50"/>
        <cfvo type="max"/>
        <color rgb="FF63BE7B"/>
        <color rgb="FFFFEB84"/>
        <color rgb="FFF8696B"/>
      </colorScale>
    </cfRule>
  </conditionalFormatting>
  <conditionalFormatting sqref="DA18">
    <cfRule type="colorScale" priority="2248">
      <colorScale>
        <cfvo type="min"/>
        <cfvo type="max"/>
        <color rgb="FFF8696B"/>
        <color rgb="FFFCFCFF"/>
      </colorScale>
    </cfRule>
  </conditionalFormatting>
  <conditionalFormatting sqref="DA18">
    <cfRule type="colorScale" priority="2246">
      <colorScale>
        <cfvo type="min"/>
        <cfvo type="max"/>
        <color rgb="FFFCFCFF"/>
        <color rgb="FFF8696B"/>
      </colorScale>
    </cfRule>
  </conditionalFormatting>
  <conditionalFormatting sqref="CU13 CW13 CY13 DA13 DC13 DE13 DG13 DG18 DE18 DC18 DA18 CY18">
    <cfRule type="colorScale" priority="2245">
      <colorScale>
        <cfvo type="min"/>
        <cfvo type="max"/>
        <color rgb="FFFCFCFF"/>
        <color rgb="FFF8696B"/>
      </colorScale>
    </cfRule>
  </conditionalFormatting>
  <conditionalFormatting sqref="CU39 CW39">
    <cfRule type="colorScale" priority="2244">
      <colorScale>
        <cfvo type="min"/>
        <cfvo type="percentile" val="50"/>
        <cfvo type="max"/>
        <color rgb="FFF8696B"/>
        <color rgb="FFFFEB84"/>
        <color rgb="FF63BE7B"/>
      </colorScale>
    </cfRule>
  </conditionalFormatting>
  <conditionalFormatting sqref="CU39 CW39">
    <cfRule type="colorScale" priority="2243">
      <colorScale>
        <cfvo type="min"/>
        <cfvo type="percentile" val="50"/>
        <cfvo type="max"/>
        <color rgb="FF63BE7B"/>
        <color rgb="FFFFEB84"/>
        <color rgb="FFF8696B"/>
      </colorScale>
    </cfRule>
  </conditionalFormatting>
  <conditionalFormatting sqref="CU39 CW39">
    <cfRule type="colorScale" priority="2240">
      <colorScale>
        <cfvo type="min"/>
        <cfvo type="max"/>
        <color rgb="FFFCFCFF"/>
        <color rgb="FFF8696B"/>
      </colorScale>
    </cfRule>
    <cfRule type="colorScale" priority="2242">
      <colorScale>
        <cfvo type="min"/>
        <cfvo type="percentile" val="50"/>
        <cfvo type="max"/>
        <color rgb="FF63BE7B"/>
        <color rgb="FFFFEB84"/>
        <color rgb="FFF8696B"/>
      </colorScale>
    </cfRule>
  </conditionalFormatting>
  <conditionalFormatting sqref="CU39 CW39">
    <cfRule type="colorScale" priority="2241">
      <colorScale>
        <cfvo type="min"/>
        <cfvo type="max"/>
        <color rgb="FFF8696B"/>
        <color rgb="FFFCFCFF"/>
      </colorScale>
    </cfRule>
  </conditionalFormatting>
  <conditionalFormatting sqref="CU39">
    <cfRule type="colorScale" priority="2239">
      <colorScale>
        <cfvo type="min"/>
        <cfvo type="percentile" val="50"/>
        <cfvo type="max"/>
        <color rgb="FFF8696B"/>
        <color rgb="FFFFEB84"/>
        <color rgb="FF63BE7B"/>
      </colorScale>
    </cfRule>
  </conditionalFormatting>
  <conditionalFormatting sqref="CW39">
    <cfRule type="colorScale" priority="2238">
      <colorScale>
        <cfvo type="min"/>
        <cfvo type="percentile" val="50"/>
        <cfvo type="max"/>
        <color rgb="FFF8696B"/>
        <color rgb="FFFFEB84"/>
        <color rgb="FF63BE7B"/>
      </colorScale>
    </cfRule>
  </conditionalFormatting>
  <conditionalFormatting sqref="CU39 CW39">
    <cfRule type="colorScale" priority="2237">
      <colorScale>
        <cfvo type="min"/>
        <cfvo type="max"/>
        <color rgb="FFFCFCFF"/>
        <color rgb="FFF8696B"/>
      </colorScale>
    </cfRule>
  </conditionalFormatting>
  <conditionalFormatting sqref="DC23 CY39 DC28 CY33 DA33 DC33 DA39 DC39">
    <cfRule type="colorScale" priority="2236">
      <colorScale>
        <cfvo type="min"/>
        <cfvo type="percentile" val="50"/>
        <cfvo type="max"/>
        <color rgb="FFF8696B"/>
        <color rgb="FFFFEB84"/>
        <color rgb="FF63BE7B"/>
      </colorScale>
    </cfRule>
  </conditionalFormatting>
  <conditionalFormatting sqref="DC33">
    <cfRule type="colorScale" priority="2235">
      <colorScale>
        <cfvo type="min"/>
        <cfvo type="percentile" val="50"/>
        <cfvo type="max"/>
        <color rgb="FFF8696B"/>
        <color rgb="FFFFEB84"/>
        <color rgb="FF63BE7B"/>
      </colorScale>
    </cfRule>
  </conditionalFormatting>
  <conditionalFormatting sqref="DC28 CY39 DC23 CY33 DA33 DC33 DA39 DC39">
    <cfRule type="colorScale" priority="2234">
      <colorScale>
        <cfvo type="min"/>
        <cfvo type="percentile" val="50"/>
        <cfvo type="max"/>
        <color rgb="FF63BE7B"/>
        <color rgb="FFFFEB84"/>
        <color rgb="FFF8696B"/>
      </colorScale>
    </cfRule>
  </conditionalFormatting>
  <conditionalFormatting sqref="CY39 DC23 DC28 CY33 DA33 DC33 DA39 DC39">
    <cfRule type="colorScale" priority="2231">
      <colorScale>
        <cfvo type="min"/>
        <cfvo type="max"/>
        <color rgb="FFFCFCFF"/>
        <color rgb="FFF8696B"/>
      </colorScale>
    </cfRule>
    <cfRule type="colorScale" priority="2233">
      <colorScale>
        <cfvo type="min"/>
        <cfvo type="percentile" val="50"/>
        <cfvo type="max"/>
        <color rgb="FF63BE7B"/>
        <color rgb="FFFFEB84"/>
        <color rgb="FFF8696B"/>
      </colorScale>
    </cfRule>
  </conditionalFormatting>
  <conditionalFormatting sqref="DC23 CY39 DC28 CY33 DA33 DC33 DA39 DC39">
    <cfRule type="colorScale" priority="2232">
      <colorScale>
        <cfvo type="min"/>
        <cfvo type="max"/>
        <color rgb="FFF8696B"/>
        <color rgb="FFFCFCFF"/>
      </colorScale>
    </cfRule>
  </conditionalFormatting>
  <conditionalFormatting sqref="CY41">
    <cfRule type="colorScale" priority="2230">
      <colorScale>
        <cfvo type="min"/>
        <cfvo type="percentile" val="50"/>
        <cfvo type="max"/>
        <color rgb="FFF8696B"/>
        <color rgb="FFFFEB84"/>
        <color rgb="FF63BE7B"/>
      </colorScale>
    </cfRule>
  </conditionalFormatting>
  <conditionalFormatting sqref="CY41">
    <cfRule type="colorScale" priority="2229">
      <colorScale>
        <cfvo type="min"/>
        <cfvo type="percentile" val="50"/>
        <cfvo type="max"/>
        <color rgb="FFF8696B"/>
        <color rgb="FFFFEB84"/>
        <color rgb="FF63BE7B"/>
      </colorScale>
    </cfRule>
  </conditionalFormatting>
  <conditionalFormatting sqref="CY41">
    <cfRule type="colorScale" priority="2228">
      <colorScale>
        <cfvo type="min"/>
        <cfvo type="percentile" val="50"/>
        <cfvo type="max"/>
        <color rgb="FFF8696B"/>
        <color rgb="FFFFEB84"/>
        <color rgb="FF63BE7B"/>
      </colorScale>
    </cfRule>
  </conditionalFormatting>
  <conditionalFormatting sqref="CY41">
    <cfRule type="colorScale" priority="2227">
      <colorScale>
        <cfvo type="min"/>
        <cfvo type="percentile" val="50"/>
        <cfvo type="max"/>
        <color rgb="FF63BE7B"/>
        <color rgb="FFFFEB84"/>
        <color rgb="FFF8696B"/>
      </colorScale>
    </cfRule>
  </conditionalFormatting>
  <conditionalFormatting sqref="CY41">
    <cfRule type="colorScale" priority="2224">
      <colorScale>
        <cfvo type="min"/>
        <cfvo type="max"/>
        <color rgb="FFFCFCFF"/>
        <color rgb="FFF8696B"/>
      </colorScale>
    </cfRule>
    <cfRule type="colorScale" priority="2226">
      <colorScale>
        <cfvo type="min"/>
        <cfvo type="percentile" val="50"/>
        <cfvo type="max"/>
        <color rgb="FF63BE7B"/>
        <color rgb="FFFFEB84"/>
        <color rgb="FFF8696B"/>
      </colorScale>
    </cfRule>
  </conditionalFormatting>
  <conditionalFormatting sqref="CY41">
    <cfRule type="colorScale" priority="2225">
      <colorScale>
        <cfvo type="min"/>
        <cfvo type="max"/>
        <color rgb="FFF8696B"/>
        <color rgb="FFFCFCFF"/>
      </colorScale>
    </cfRule>
  </conditionalFormatting>
  <conditionalFormatting sqref="DA41">
    <cfRule type="colorScale" priority="2223">
      <colorScale>
        <cfvo type="min"/>
        <cfvo type="percentile" val="50"/>
        <cfvo type="max"/>
        <color rgb="FFF8696B"/>
        <color rgb="FFFFEB84"/>
        <color rgb="FF63BE7B"/>
      </colorScale>
    </cfRule>
  </conditionalFormatting>
  <conditionalFormatting sqref="DA41">
    <cfRule type="colorScale" priority="2222">
      <colorScale>
        <cfvo type="min"/>
        <cfvo type="percentile" val="50"/>
        <cfvo type="max"/>
        <color rgb="FFF8696B"/>
        <color rgb="FFFFEB84"/>
        <color rgb="FF63BE7B"/>
      </colorScale>
    </cfRule>
  </conditionalFormatting>
  <conditionalFormatting sqref="DA41">
    <cfRule type="colorScale" priority="2221">
      <colorScale>
        <cfvo type="min"/>
        <cfvo type="percentile" val="50"/>
        <cfvo type="max"/>
        <color rgb="FFF8696B"/>
        <color rgb="FFFFEB84"/>
        <color rgb="FF63BE7B"/>
      </colorScale>
    </cfRule>
  </conditionalFormatting>
  <conditionalFormatting sqref="DA41">
    <cfRule type="colorScale" priority="2220">
      <colorScale>
        <cfvo type="min"/>
        <cfvo type="percentile" val="50"/>
        <cfvo type="max"/>
        <color rgb="FF63BE7B"/>
        <color rgb="FFFFEB84"/>
        <color rgb="FFF8696B"/>
      </colorScale>
    </cfRule>
  </conditionalFormatting>
  <conditionalFormatting sqref="DA41">
    <cfRule type="colorScale" priority="2217">
      <colorScale>
        <cfvo type="min"/>
        <cfvo type="max"/>
        <color rgb="FFFCFCFF"/>
        <color rgb="FFF8696B"/>
      </colorScale>
    </cfRule>
    <cfRule type="colorScale" priority="2219">
      <colorScale>
        <cfvo type="min"/>
        <cfvo type="percentile" val="50"/>
        <cfvo type="max"/>
        <color rgb="FF63BE7B"/>
        <color rgb="FFFFEB84"/>
        <color rgb="FFF8696B"/>
      </colorScale>
    </cfRule>
  </conditionalFormatting>
  <conditionalFormatting sqref="DA41">
    <cfRule type="colorScale" priority="2218">
      <colorScale>
        <cfvo type="min"/>
        <cfvo type="max"/>
        <color rgb="FFF8696B"/>
        <color rgb="FFFCFCFF"/>
      </colorScale>
    </cfRule>
  </conditionalFormatting>
  <conditionalFormatting sqref="DC41">
    <cfRule type="colorScale" priority="2216">
      <colorScale>
        <cfvo type="min"/>
        <cfvo type="percentile" val="50"/>
        <cfvo type="max"/>
        <color rgb="FFF8696B"/>
        <color rgb="FFFFEB84"/>
        <color rgb="FF63BE7B"/>
      </colorScale>
    </cfRule>
  </conditionalFormatting>
  <conditionalFormatting sqref="DC41">
    <cfRule type="colorScale" priority="2215">
      <colorScale>
        <cfvo type="min"/>
        <cfvo type="percentile" val="50"/>
        <cfvo type="max"/>
        <color rgb="FFF8696B"/>
        <color rgb="FFFFEB84"/>
        <color rgb="FF63BE7B"/>
      </colorScale>
    </cfRule>
  </conditionalFormatting>
  <conditionalFormatting sqref="DC41">
    <cfRule type="colorScale" priority="2214">
      <colorScale>
        <cfvo type="min"/>
        <cfvo type="percentile" val="50"/>
        <cfvo type="max"/>
        <color rgb="FFF8696B"/>
        <color rgb="FFFFEB84"/>
        <color rgb="FF63BE7B"/>
      </colorScale>
    </cfRule>
  </conditionalFormatting>
  <conditionalFormatting sqref="DC41">
    <cfRule type="colorScale" priority="2213">
      <colorScale>
        <cfvo type="min"/>
        <cfvo type="percentile" val="50"/>
        <cfvo type="max"/>
        <color rgb="FF63BE7B"/>
        <color rgb="FFFFEB84"/>
        <color rgb="FFF8696B"/>
      </colorScale>
    </cfRule>
  </conditionalFormatting>
  <conditionalFormatting sqref="DC41">
    <cfRule type="colorScale" priority="2210">
      <colorScale>
        <cfvo type="min"/>
        <cfvo type="max"/>
        <color rgb="FFFCFCFF"/>
        <color rgb="FFF8696B"/>
      </colorScale>
    </cfRule>
    <cfRule type="colorScale" priority="2212">
      <colorScale>
        <cfvo type="min"/>
        <cfvo type="percentile" val="50"/>
        <cfvo type="max"/>
        <color rgb="FF63BE7B"/>
        <color rgb="FFFFEB84"/>
        <color rgb="FFF8696B"/>
      </colorScale>
    </cfRule>
  </conditionalFormatting>
  <conditionalFormatting sqref="DC41">
    <cfRule type="colorScale" priority="2211">
      <colorScale>
        <cfvo type="min"/>
        <cfvo type="max"/>
        <color rgb="FFF8696B"/>
        <color rgb="FFFCFCFF"/>
      </colorScale>
    </cfRule>
  </conditionalFormatting>
  <conditionalFormatting sqref="DC23">
    <cfRule type="colorScale" priority="2209">
      <colorScale>
        <cfvo type="min"/>
        <cfvo type="percentile" val="50"/>
        <cfvo type="max"/>
        <color rgb="FFF8696B"/>
        <color rgb="FFFFEB84"/>
        <color rgb="FF63BE7B"/>
      </colorScale>
    </cfRule>
  </conditionalFormatting>
  <conditionalFormatting sqref="DC28">
    <cfRule type="colorScale" priority="2208">
      <colorScale>
        <cfvo type="min"/>
        <cfvo type="percentile" val="50"/>
        <cfvo type="max"/>
        <color rgb="FFF8696B"/>
        <color rgb="FFFFEB84"/>
        <color rgb="FF63BE7B"/>
      </colorScale>
    </cfRule>
  </conditionalFormatting>
  <conditionalFormatting sqref="CY33">
    <cfRule type="colorScale" priority="2207">
      <colorScale>
        <cfvo type="min"/>
        <cfvo type="percentile" val="50"/>
        <cfvo type="max"/>
        <color rgb="FFF8696B"/>
        <color rgb="FFFFEB84"/>
        <color rgb="FF63BE7B"/>
      </colorScale>
    </cfRule>
  </conditionalFormatting>
  <conditionalFormatting sqref="DA33">
    <cfRule type="colorScale" priority="2206">
      <colorScale>
        <cfvo type="min"/>
        <cfvo type="percentile" val="50"/>
        <cfvo type="max"/>
        <color rgb="FFF8696B"/>
        <color rgb="FFFFEB84"/>
        <color rgb="FF63BE7B"/>
      </colorScale>
    </cfRule>
  </conditionalFormatting>
  <conditionalFormatting sqref="DC33">
    <cfRule type="colorScale" priority="2205">
      <colorScale>
        <cfvo type="min"/>
        <cfvo type="percentile" val="50"/>
        <cfvo type="max"/>
        <color rgb="FFF8696B"/>
        <color rgb="FFFFEB84"/>
        <color rgb="FF63BE7B"/>
      </colorScale>
    </cfRule>
  </conditionalFormatting>
  <conditionalFormatting sqref="CY39">
    <cfRule type="colorScale" priority="2204">
      <colorScale>
        <cfvo type="min"/>
        <cfvo type="percentile" val="50"/>
        <cfvo type="max"/>
        <color rgb="FFF8696B"/>
        <color rgb="FFFFEB84"/>
        <color rgb="FF63BE7B"/>
      </colorScale>
    </cfRule>
  </conditionalFormatting>
  <conditionalFormatting sqref="DA39">
    <cfRule type="colorScale" priority="2203">
      <colorScale>
        <cfvo type="min"/>
        <cfvo type="percentile" val="50"/>
        <cfvo type="max"/>
        <color rgb="FFF8696B"/>
        <color rgb="FFFFEB84"/>
        <color rgb="FF63BE7B"/>
      </colorScale>
    </cfRule>
  </conditionalFormatting>
  <conditionalFormatting sqref="DC39">
    <cfRule type="colorScale" priority="2202">
      <colorScale>
        <cfvo type="min"/>
        <cfvo type="percentile" val="50"/>
        <cfvo type="max"/>
        <color rgb="FFF8696B"/>
        <color rgb="FFFFEB84"/>
        <color rgb="FF63BE7B"/>
      </colorScale>
    </cfRule>
  </conditionalFormatting>
  <conditionalFormatting sqref="DC23 DC39 DC28 DC33 DA33 CY33 DA39 CY39 CY41 DA41 DC41">
    <cfRule type="colorScale" priority="2201">
      <colorScale>
        <cfvo type="min"/>
        <cfvo type="max"/>
        <color rgb="FFFCFCFF"/>
        <color rgb="FFF8696B"/>
      </colorScale>
    </cfRule>
  </conditionalFormatting>
  <conditionalFormatting sqref="DE28 DE39 DE23 DE33">
    <cfRule type="colorScale" priority="2200">
      <colorScale>
        <cfvo type="min"/>
        <cfvo type="percentile" val="50"/>
        <cfvo type="max"/>
        <color rgb="FFF8696B"/>
        <color rgb="FFFFEB84"/>
        <color rgb="FF63BE7B"/>
      </colorScale>
    </cfRule>
  </conditionalFormatting>
  <conditionalFormatting sqref="DE33">
    <cfRule type="colorScale" priority="2199">
      <colorScale>
        <cfvo type="min"/>
        <cfvo type="percentile" val="50"/>
        <cfvo type="max"/>
        <color rgb="FFF8696B"/>
        <color rgb="FFFFEB84"/>
        <color rgb="FF63BE7B"/>
      </colorScale>
    </cfRule>
  </conditionalFormatting>
  <conditionalFormatting sqref="DE28 DE39 DE23 DE33">
    <cfRule type="colorScale" priority="2198">
      <colorScale>
        <cfvo type="min"/>
        <cfvo type="percentile" val="50"/>
        <cfvo type="max"/>
        <color rgb="FF63BE7B"/>
        <color rgb="FFFFEB84"/>
        <color rgb="FFF8696B"/>
      </colorScale>
    </cfRule>
  </conditionalFormatting>
  <conditionalFormatting sqref="DE39 DE23 DE28 DE33">
    <cfRule type="colorScale" priority="2195">
      <colorScale>
        <cfvo type="min"/>
        <cfvo type="max"/>
        <color rgb="FFFCFCFF"/>
        <color rgb="FFF8696B"/>
      </colorScale>
    </cfRule>
    <cfRule type="colorScale" priority="2197">
      <colorScale>
        <cfvo type="min"/>
        <cfvo type="percentile" val="50"/>
        <cfvo type="max"/>
        <color rgb="FF63BE7B"/>
        <color rgb="FFFFEB84"/>
        <color rgb="FFF8696B"/>
      </colorScale>
    </cfRule>
  </conditionalFormatting>
  <conditionalFormatting sqref="DE28 DE39 DE23 DE33">
    <cfRule type="colorScale" priority="2196">
      <colorScale>
        <cfvo type="min"/>
        <cfvo type="max"/>
        <color rgb="FFF8696B"/>
        <color rgb="FFFCFCFF"/>
      </colorScale>
    </cfRule>
  </conditionalFormatting>
  <conditionalFormatting sqref="DE41">
    <cfRule type="colorScale" priority="2194">
      <colorScale>
        <cfvo type="min"/>
        <cfvo type="percentile" val="50"/>
        <cfvo type="max"/>
        <color rgb="FFF8696B"/>
        <color rgb="FFFFEB84"/>
        <color rgb="FF63BE7B"/>
      </colorScale>
    </cfRule>
  </conditionalFormatting>
  <conditionalFormatting sqref="DE41">
    <cfRule type="colorScale" priority="2193">
      <colorScale>
        <cfvo type="min"/>
        <cfvo type="percentile" val="50"/>
        <cfvo type="max"/>
        <color rgb="FFF8696B"/>
        <color rgb="FFFFEB84"/>
        <color rgb="FF63BE7B"/>
      </colorScale>
    </cfRule>
  </conditionalFormatting>
  <conditionalFormatting sqref="DE41">
    <cfRule type="colorScale" priority="2192">
      <colorScale>
        <cfvo type="min"/>
        <cfvo type="percentile" val="50"/>
        <cfvo type="max"/>
        <color rgb="FFF8696B"/>
        <color rgb="FFFFEB84"/>
        <color rgb="FF63BE7B"/>
      </colorScale>
    </cfRule>
  </conditionalFormatting>
  <conditionalFormatting sqref="DE41">
    <cfRule type="colorScale" priority="2191">
      <colorScale>
        <cfvo type="min"/>
        <cfvo type="percentile" val="50"/>
        <cfvo type="max"/>
        <color rgb="FF63BE7B"/>
        <color rgb="FFFFEB84"/>
        <color rgb="FFF8696B"/>
      </colorScale>
    </cfRule>
  </conditionalFormatting>
  <conditionalFormatting sqref="DE41">
    <cfRule type="colorScale" priority="2188">
      <colorScale>
        <cfvo type="min"/>
        <cfvo type="max"/>
        <color rgb="FFFCFCFF"/>
        <color rgb="FFF8696B"/>
      </colorScale>
    </cfRule>
    <cfRule type="colorScale" priority="2190">
      <colorScale>
        <cfvo type="min"/>
        <cfvo type="percentile" val="50"/>
        <cfvo type="max"/>
        <color rgb="FF63BE7B"/>
        <color rgb="FFFFEB84"/>
        <color rgb="FFF8696B"/>
      </colorScale>
    </cfRule>
  </conditionalFormatting>
  <conditionalFormatting sqref="DE41">
    <cfRule type="colorScale" priority="2189">
      <colorScale>
        <cfvo type="min"/>
        <cfvo type="max"/>
        <color rgb="FFF8696B"/>
        <color rgb="FFFCFCFF"/>
      </colorScale>
    </cfRule>
  </conditionalFormatting>
  <conditionalFormatting sqref="DE23">
    <cfRule type="colorScale" priority="2187">
      <colorScale>
        <cfvo type="min"/>
        <cfvo type="percentile" val="50"/>
        <cfvo type="max"/>
        <color rgb="FFF8696B"/>
        <color rgb="FFFFEB84"/>
        <color rgb="FF63BE7B"/>
      </colorScale>
    </cfRule>
  </conditionalFormatting>
  <conditionalFormatting sqref="DE28">
    <cfRule type="colorScale" priority="2186">
      <colorScale>
        <cfvo type="min"/>
        <cfvo type="percentile" val="50"/>
        <cfvo type="max"/>
        <color rgb="FFF8696B"/>
        <color rgb="FFFFEB84"/>
        <color rgb="FF63BE7B"/>
      </colorScale>
    </cfRule>
  </conditionalFormatting>
  <conditionalFormatting sqref="DE33">
    <cfRule type="colorScale" priority="2185">
      <colorScale>
        <cfvo type="min"/>
        <cfvo type="percentile" val="50"/>
        <cfvo type="max"/>
        <color rgb="FFF8696B"/>
        <color rgb="FFFFEB84"/>
        <color rgb="FF63BE7B"/>
      </colorScale>
    </cfRule>
  </conditionalFormatting>
  <conditionalFormatting sqref="DE39">
    <cfRule type="colorScale" priority="2184">
      <colorScale>
        <cfvo type="min"/>
        <cfvo type="percentile" val="50"/>
        <cfvo type="max"/>
        <color rgb="FFF8696B"/>
        <color rgb="FFFFEB84"/>
        <color rgb="FF63BE7B"/>
      </colorScale>
    </cfRule>
  </conditionalFormatting>
  <conditionalFormatting sqref="DE28 DE39 DE23 DE33 DE41">
    <cfRule type="colorScale" priority="2183">
      <colorScale>
        <cfvo type="min"/>
        <cfvo type="max"/>
        <color rgb="FFFCFCFF"/>
        <color rgb="FFF8696B"/>
      </colorScale>
    </cfRule>
  </conditionalFormatting>
  <conditionalFormatting sqref="DG23 DG39 DG28 DG33">
    <cfRule type="colorScale" priority="2182">
      <colorScale>
        <cfvo type="min"/>
        <cfvo type="percentile" val="50"/>
        <cfvo type="max"/>
        <color rgb="FFF8696B"/>
        <color rgb="FFFFEB84"/>
        <color rgb="FF63BE7B"/>
      </colorScale>
    </cfRule>
  </conditionalFormatting>
  <conditionalFormatting sqref="DG33">
    <cfRule type="colorScale" priority="2181">
      <colorScale>
        <cfvo type="min"/>
        <cfvo type="percentile" val="50"/>
        <cfvo type="max"/>
        <color rgb="FFF8696B"/>
        <color rgb="FFFFEB84"/>
        <color rgb="FF63BE7B"/>
      </colorScale>
    </cfRule>
  </conditionalFormatting>
  <conditionalFormatting sqref="DG23 DG39 DG28 DG33">
    <cfRule type="colorScale" priority="2180">
      <colorScale>
        <cfvo type="min"/>
        <cfvo type="percentile" val="50"/>
        <cfvo type="max"/>
        <color rgb="FF63BE7B"/>
        <color rgb="FFFFEB84"/>
        <color rgb="FFF8696B"/>
      </colorScale>
    </cfRule>
  </conditionalFormatting>
  <conditionalFormatting sqref="DG39 DG23 DG28 DG33">
    <cfRule type="colorScale" priority="2177">
      <colorScale>
        <cfvo type="min"/>
        <cfvo type="max"/>
        <color rgb="FFFCFCFF"/>
        <color rgb="FFF8696B"/>
      </colorScale>
    </cfRule>
    <cfRule type="colorScale" priority="2179">
      <colorScale>
        <cfvo type="min"/>
        <cfvo type="percentile" val="50"/>
        <cfvo type="max"/>
        <color rgb="FF63BE7B"/>
        <color rgb="FFFFEB84"/>
        <color rgb="FFF8696B"/>
      </colorScale>
    </cfRule>
  </conditionalFormatting>
  <conditionalFormatting sqref="DG23 DG39 DG28 DG33">
    <cfRule type="colorScale" priority="2178">
      <colorScale>
        <cfvo type="min"/>
        <cfvo type="max"/>
        <color rgb="FFF8696B"/>
        <color rgb="FFFCFCFF"/>
      </colorScale>
    </cfRule>
  </conditionalFormatting>
  <conditionalFormatting sqref="DG41">
    <cfRule type="colorScale" priority="2176">
      <colorScale>
        <cfvo type="min"/>
        <cfvo type="percentile" val="50"/>
        <cfvo type="max"/>
        <color rgb="FFF8696B"/>
        <color rgb="FFFFEB84"/>
        <color rgb="FF63BE7B"/>
      </colorScale>
    </cfRule>
  </conditionalFormatting>
  <conditionalFormatting sqref="DG41">
    <cfRule type="colorScale" priority="2175">
      <colorScale>
        <cfvo type="min"/>
        <cfvo type="percentile" val="50"/>
        <cfvo type="max"/>
        <color rgb="FFF8696B"/>
        <color rgb="FFFFEB84"/>
        <color rgb="FF63BE7B"/>
      </colorScale>
    </cfRule>
  </conditionalFormatting>
  <conditionalFormatting sqref="DG41">
    <cfRule type="colorScale" priority="2174">
      <colorScale>
        <cfvo type="min"/>
        <cfvo type="percentile" val="50"/>
        <cfvo type="max"/>
        <color rgb="FFF8696B"/>
        <color rgb="FFFFEB84"/>
        <color rgb="FF63BE7B"/>
      </colorScale>
    </cfRule>
  </conditionalFormatting>
  <conditionalFormatting sqref="DG41">
    <cfRule type="colorScale" priority="2173">
      <colorScale>
        <cfvo type="min"/>
        <cfvo type="percentile" val="50"/>
        <cfvo type="max"/>
        <color rgb="FF63BE7B"/>
        <color rgb="FFFFEB84"/>
        <color rgb="FFF8696B"/>
      </colorScale>
    </cfRule>
  </conditionalFormatting>
  <conditionalFormatting sqref="DG41">
    <cfRule type="colorScale" priority="2170">
      <colorScale>
        <cfvo type="min"/>
        <cfvo type="max"/>
        <color rgb="FFFCFCFF"/>
        <color rgb="FFF8696B"/>
      </colorScale>
    </cfRule>
    <cfRule type="colorScale" priority="2172">
      <colorScale>
        <cfvo type="min"/>
        <cfvo type="percentile" val="50"/>
        <cfvo type="max"/>
        <color rgb="FF63BE7B"/>
        <color rgb="FFFFEB84"/>
        <color rgb="FFF8696B"/>
      </colorScale>
    </cfRule>
  </conditionalFormatting>
  <conditionalFormatting sqref="DG41">
    <cfRule type="colorScale" priority="2171">
      <colorScale>
        <cfvo type="min"/>
        <cfvo type="max"/>
        <color rgb="FFF8696B"/>
        <color rgb="FFFCFCFF"/>
      </colorScale>
    </cfRule>
  </conditionalFormatting>
  <conditionalFormatting sqref="DG23">
    <cfRule type="colorScale" priority="2169">
      <colorScale>
        <cfvo type="min"/>
        <cfvo type="percentile" val="50"/>
        <cfvo type="max"/>
        <color rgb="FFF8696B"/>
        <color rgb="FFFFEB84"/>
        <color rgb="FF63BE7B"/>
      </colorScale>
    </cfRule>
  </conditionalFormatting>
  <conditionalFormatting sqref="DG28">
    <cfRule type="colorScale" priority="2168">
      <colorScale>
        <cfvo type="min"/>
        <cfvo type="percentile" val="50"/>
        <cfvo type="max"/>
        <color rgb="FFF8696B"/>
        <color rgb="FFFFEB84"/>
        <color rgb="FF63BE7B"/>
      </colorScale>
    </cfRule>
  </conditionalFormatting>
  <conditionalFormatting sqref="DG33">
    <cfRule type="colorScale" priority="2167">
      <colorScale>
        <cfvo type="min"/>
        <cfvo type="percentile" val="50"/>
        <cfvo type="max"/>
        <color rgb="FFF8696B"/>
        <color rgb="FFFFEB84"/>
        <color rgb="FF63BE7B"/>
      </colorScale>
    </cfRule>
  </conditionalFormatting>
  <conditionalFormatting sqref="DG39">
    <cfRule type="colorScale" priority="2166">
      <colorScale>
        <cfvo type="min"/>
        <cfvo type="percentile" val="50"/>
        <cfvo type="max"/>
        <color rgb="FFF8696B"/>
        <color rgb="FFFFEB84"/>
        <color rgb="FF63BE7B"/>
      </colorScale>
    </cfRule>
  </conditionalFormatting>
  <conditionalFormatting sqref="DG23 DG39 DG28 DG33 DG41">
    <cfRule type="colorScale" priority="2165">
      <colorScale>
        <cfvo type="min"/>
        <cfvo type="max"/>
        <color rgb="FFFCFCFF"/>
        <color rgb="FFF8696B"/>
      </colorScale>
    </cfRule>
  </conditionalFormatting>
  <conditionalFormatting sqref="CY24">
    <cfRule type="colorScale" priority="2164">
      <colorScale>
        <cfvo type="min"/>
        <cfvo type="percentile" val="50"/>
        <cfvo type="max"/>
        <color rgb="FFF8696B"/>
        <color rgb="FFFFEB84"/>
        <color rgb="FF63BE7B"/>
      </colorScale>
    </cfRule>
  </conditionalFormatting>
  <conditionalFormatting sqref="CY24">
    <cfRule type="colorScale" priority="2163">
      <colorScale>
        <cfvo type="min"/>
        <cfvo type="percentile" val="50"/>
        <cfvo type="max"/>
        <color rgb="FF63BE7B"/>
        <color rgb="FFFFEB84"/>
        <color rgb="FFF8696B"/>
      </colorScale>
    </cfRule>
  </conditionalFormatting>
  <conditionalFormatting sqref="CY24">
    <cfRule type="colorScale" priority="2160">
      <colorScale>
        <cfvo type="min"/>
        <cfvo type="max"/>
        <color rgb="FFFCFCFF"/>
        <color rgb="FFF8696B"/>
      </colorScale>
    </cfRule>
    <cfRule type="colorScale" priority="2162">
      <colorScale>
        <cfvo type="min"/>
        <cfvo type="percentile" val="50"/>
        <cfvo type="max"/>
        <color rgb="FF63BE7B"/>
        <color rgb="FFFFEB84"/>
        <color rgb="FFF8696B"/>
      </colorScale>
    </cfRule>
  </conditionalFormatting>
  <conditionalFormatting sqref="CY24">
    <cfRule type="colorScale" priority="2161">
      <colorScale>
        <cfvo type="min"/>
        <cfvo type="max"/>
        <color rgb="FFF8696B"/>
        <color rgb="FFFCFCFF"/>
      </colorScale>
    </cfRule>
  </conditionalFormatting>
  <conditionalFormatting sqref="CY24">
    <cfRule type="colorScale" priority="2159">
      <colorScale>
        <cfvo type="min"/>
        <cfvo type="percentile" val="50"/>
        <cfvo type="max"/>
        <color rgb="FFF8696B"/>
        <color rgb="FFFFEB84"/>
        <color rgb="FF63BE7B"/>
      </colorScale>
    </cfRule>
  </conditionalFormatting>
  <conditionalFormatting sqref="CY24">
    <cfRule type="colorScale" priority="2158">
      <colorScale>
        <cfvo type="min"/>
        <cfvo type="max"/>
        <color rgb="FFFCFCFF"/>
        <color rgb="FFF8696B"/>
      </colorScale>
    </cfRule>
  </conditionalFormatting>
  <conditionalFormatting sqref="DA24">
    <cfRule type="colorScale" priority="2157">
      <colorScale>
        <cfvo type="min"/>
        <cfvo type="percentile" val="50"/>
        <cfvo type="max"/>
        <color rgb="FFF8696B"/>
        <color rgb="FFFFEB84"/>
        <color rgb="FF63BE7B"/>
      </colorScale>
    </cfRule>
  </conditionalFormatting>
  <conditionalFormatting sqref="DA24">
    <cfRule type="colorScale" priority="2156">
      <colorScale>
        <cfvo type="min"/>
        <cfvo type="percentile" val="50"/>
        <cfvo type="max"/>
        <color rgb="FF63BE7B"/>
        <color rgb="FFFFEB84"/>
        <color rgb="FFF8696B"/>
      </colorScale>
    </cfRule>
  </conditionalFormatting>
  <conditionalFormatting sqref="DA24">
    <cfRule type="colorScale" priority="2153">
      <colorScale>
        <cfvo type="min"/>
        <cfvo type="max"/>
        <color rgb="FFFCFCFF"/>
        <color rgb="FFF8696B"/>
      </colorScale>
    </cfRule>
    <cfRule type="colorScale" priority="2155">
      <colorScale>
        <cfvo type="min"/>
        <cfvo type="percentile" val="50"/>
        <cfvo type="max"/>
        <color rgb="FF63BE7B"/>
        <color rgb="FFFFEB84"/>
        <color rgb="FFF8696B"/>
      </colorScale>
    </cfRule>
  </conditionalFormatting>
  <conditionalFormatting sqref="DA24">
    <cfRule type="colorScale" priority="2154">
      <colorScale>
        <cfvo type="min"/>
        <cfvo type="max"/>
        <color rgb="FFF8696B"/>
        <color rgb="FFFCFCFF"/>
      </colorScale>
    </cfRule>
  </conditionalFormatting>
  <conditionalFormatting sqref="DA24">
    <cfRule type="colorScale" priority="2152">
      <colorScale>
        <cfvo type="min"/>
        <cfvo type="percentile" val="50"/>
        <cfvo type="max"/>
        <color rgb="FFF8696B"/>
        <color rgb="FFFFEB84"/>
        <color rgb="FF63BE7B"/>
      </colorScale>
    </cfRule>
  </conditionalFormatting>
  <conditionalFormatting sqref="DA24">
    <cfRule type="colorScale" priority="2151">
      <colorScale>
        <cfvo type="min"/>
        <cfvo type="max"/>
        <color rgb="FFFCFCFF"/>
        <color rgb="FFF8696B"/>
      </colorScale>
    </cfRule>
  </conditionalFormatting>
  <conditionalFormatting sqref="CY24:CY28 CY39 CY33 DA24:DA28 DA33 DC23 DC28 DC33 DE33 DE28 DE23 DG23 DG28 DG33 CY41 DA39 DA41 DC39 DC41 DE39 DE41 DG39 DG41">
    <cfRule type="colorScale" priority="2150">
      <colorScale>
        <cfvo type="min"/>
        <cfvo type="max"/>
        <color rgb="FFFCFCFF"/>
        <color rgb="FFF8696B"/>
      </colorScale>
    </cfRule>
  </conditionalFormatting>
  <conditionalFormatting sqref="CU33 CW33">
    <cfRule type="colorScale" priority="2149">
      <colorScale>
        <cfvo type="min"/>
        <cfvo type="percentile" val="50"/>
        <cfvo type="max"/>
        <color rgb="FFF8696B"/>
        <color rgb="FFFFEB84"/>
        <color rgb="FF63BE7B"/>
      </colorScale>
    </cfRule>
  </conditionalFormatting>
  <conditionalFormatting sqref="CU33 CW33">
    <cfRule type="colorScale" priority="2148">
      <colorScale>
        <cfvo type="min"/>
        <cfvo type="percentile" val="50"/>
        <cfvo type="max"/>
        <color rgb="FF63BE7B"/>
        <color rgb="FFFFEB84"/>
        <color rgb="FFF8696B"/>
      </colorScale>
    </cfRule>
  </conditionalFormatting>
  <conditionalFormatting sqref="CU33 CW33">
    <cfRule type="colorScale" priority="2145">
      <colorScale>
        <cfvo type="min"/>
        <cfvo type="max"/>
        <color rgb="FFFCFCFF"/>
        <color rgb="FFF8696B"/>
      </colorScale>
    </cfRule>
    <cfRule type="colorScale" priority="2147">
      <colorScale>
        <cfvo type="min"/>
        <cfvo type="percentile" val="50"/>
        <cfvo type="max"/>
        <color rgb="FF63BE7B"/>
        <color rgb="FFFFEB84"/>
        <color rgb="FFF8696B"/>
      </colorScale>
    </cfRule>
  </conditionalFormatting>
  <conditionalFormatting sqref="CU33 CW33">
    <cfRule type="colorScale" priority="2146">
      <colorScale>
        <cfvo type="min"/>
        <cfvo type="max"/>
        <color rgb="FFF8696B"/>
        <color rgb="FFFCFCFF"/>
      </colorScale>
    </cfRule>
  </conditionalFormatting>
  <conditionalFormatting sqref="CU33">
    <cfRule type="colorScale" priority="2144">
      <colorScale>
        <cfvo type="min"/>
        <cfvo type="percentile" val="50"/>
        <cfvo type="max"/>
        <color rgb="FFF8696B"/>
        <color rgb="FFFFEB84"/>
        <color rgb="FF63BE7B"/>
      </colorScale>
    </cfRule>
  </conditionalFormatting>
  <conditionalFormatting sqref="CW33">
    <cfRule type="colorScale" priority="2143">
      <colorScale>
        <cfvo type="min"/>
        <cfvo type="percentile" val="50"/>
        <cfvo type="max"/>
        <color rgb="FFF8696B"/>
        <color rgb="FFFFEB84"/>
        <color rgb="FF63BE7B"/>
      </colorScale>
    </cfRule>
  </conditionalFormatting>
  <conditionalFormatting sqref="CU33 CW33">
    <cfRule type="colorScale" priority="2142">
      <colorScale>
        <cfvo type="min"/>
        <cfvo type="max"/>
        <color rgb="FFFCFCFF"/>
        <color rgb="FFF8696B"/>
      </colorScale>
    </cfRule>
  </conditionalFormatting>
  <conditionalFormatting sqref="CU24">
    <cfRule type="colorScale" priority="2141">
      <colorScale>
        <cfvo type="min"/>
        <cfvo type="percentile" val="50"/>
        <cfvo type="max"/>
        <color rgb="FFF8696B"/>
        <color rgb="FFFFEB84"/>
        <color rgb="FF63BE7B"/>
      </colorScale>
    </cfRule>
  </conditionalFormatting>
  <conditionalFormatting sqref="CU24">
    <cfRule type="colorScale" priority="2140">
      <colorScale>
        <cfvo type="min"/>
        <cfvo type="percentile" val="50"/>
        <cfvo type="max"/>
        <color rgb="FF63BE7B"/>
        <color rgb="FFFFEB84"/>
        <color rgb="FFF8696B"/>
      </colorScale>
    </cfRule>
  </conditionalFormatting>
  <conditionalFormatting sqref="CU24">
    <cfRule type="colorScale" priority="2137">
      <colorScale>
        <cfvo type="min"/>
        <cfvo type="max"/>
        <color rgb="FFFCFCFF"/>
        <color rgb="FFF8696B"/>
      </colorScale>
    </cfRule>
    <cfRule type="colorScale" priority="2139">
      <colorScale>
        <cfvo type="min"/>
        <cfvo type="percentile" val="50"/>
        <cfvo type="max"/>
        <color rgb="FF63BE7B"/>
        <color rgb="FFFFEB84"/>
        <color rgb="FFF8696B"/>
      </colorScale>
    </cfRule>
  </conditionalFormatting>
  <conditionalFormatting sqref="CU24">
    <cfRule type="colorScale" priority="2138">
      <colorScale>
        <cfvo type="min"/>
        <cfvo type="max"/>
        <color rgb="FFF8696B"/>
        <color rgb="FFFCFCFF"/>
      </colorScale>
    </cfRule>
  </conditionalFormatting>
  <conditionalFormatting sqref="CU24">
    <cfRule type="colorScale" priority="2136">
      <colorScale>
        <cfvo type="min"/>
        <cfvo type="percentile" val="50"/>
        <cfvo type="max"/>
        <color rgb="FFF8696B"/>
        <color rgb="FFFFEB84"/>
        <color rgb="FF63BE7B"/>
      </colorScale>
    </cfRule>
  </conditionalFormatting>
  <conditionalFormatting sqref="CU24">
    <cfRule type="colorScale" priority="2135">
      <colorScale>
        <cfvo type="min"/>
        <cfvo type="max"/>
        <color rgb="FFFCFCFF"/>
        <color rgb="FFF8696B"/>
      </colorScale>
    </cfRule>
  </conditionalFormatting>
  <conditionalFormatting sqref="CW24">
    <cfRule type="colorScale" priority="2134">
      <colorScale>
        <cfvo type="min"/>
        <cfvo type="percentile" val="50"/>
        <cfvo type="max"/>
        <color rgb="FFF8696B"/>
        <color rgb="FFFFEB84"/>
        <color rgb="FF63BE7B"/>
      </colorScale>
    </cfRule>
  </conditionalFormatting>
  <conditionalFormatting sqref="CW24">
    <cfRule type="colorScale" priority="2133">
      <colorScale>
        <cfvo type="min"/>
        <cfvo type="percentile" val="50"/>
        <cfvo type="max"/>
        <color rgb="FF63BE7B"/>
        <color rgb="FFFFEB84"/>
        <color rgb="FFF8696B"/>
      </colorScale>
    </cfRule>
  </conditionalFormatting>
  <conditionalFormatting sqref="CW24">
    <cfRule type="colorScale" priority="2130">
      <colorScale>
        <cfvo type="min"/>
        <cfvo type="max"/>
        <color rgb="FFFCFCFF"/>
        <color rgb="FFF8696B"/>
      </colorScale>
    </cfRule>
    <cfRule type="colorScale" priority="2132">
      <colorScale>
        <cfvo type="min"/>
        <cfvo type="percentile" val="50"/>
        <cfvo type="max"/>
        <color rgb="FF63BE7B"/>
        <color rgb="FFFFEB84"/>
        <color rgb="FFF8696B"/>
      </colorScale>
    </cfRule>
  </conditionalFormatting>
  <conditionalFormatting sqref="CW24">
    <cfRule type="colorScale" priority="2131">
      <colorScale>
        <cfvo type="min"/>
        <cfvo type="max"/>
        <color rgb="FFF8696B"/>
        <color rgb="FFFCFCFF"/>
      </colorScale>
    </cfRule>
  </conditionalFormatting>
  <conditionalFormatting sqref="CW24">
    <cfRule type="colorScale" priority="2129">
      <colorScale>
        <cfvo type="min"/>
        <cfvo type="percentile" val="50"/>
        <cfvo type="max"/>
        <color rgb="FFF8696B"/>
        <color rgb="FFFFEB84"/>
        <color rgb="FF63BE7B"/>
      </colorScale>
    </cfRule>
  </conditionalFormatting>
  <conditionalFormatting sqref="CW24">
    <cfRule type="colorScale" priority="2128">
      <colorScale>
        <cfvo type="min"/>
        <cfvo type="max"/>
        <color rgb="FFFCFCFF"/>
        <color rgb="FFF8696B"/>
      </colorScale>
    </cfRule>
  </conditionalFormatting>
  <conditionalFormatting sqref="CU24:CU28 CU33 CW24:CW28 CW33">
    <cfRule type="colorScale" priority="2127">
      <colorScale>
        <cfvo type="min"/>
        <cfvo type="max"/>
        <color rgb="FFFCFCFF"/>
        <color rgb="FFF8696B"/>
      </colorScale>
    </cfRule>
  </conditionalFormatting>
  <conditionalFormatting sqref="DE41 DG41 DC41 DA41 CY41 CU39 CU33 CW33 CW39 CY39 CY33 DA33 DA39 DC39 DC33 DE33 DE39 DG39 DG33 DG13 DG18 DG23 DG28 DE28 DE23 DE18 DE13 DC13 DC18 DC23 DC28 DA24:DA28 DA13 DA18 CY18 CY13 CW13 CU13 CU24:CU28 CW24:CW28 CY24:CY28">
    <cfRule type="colorScale" priority="2126">
      <colorScale>
        <cfvo type="min"/>
        <cfvo type="max"/>
        <color rgb="FFFCFCFF"/>
        <color rgb="FFF8696B"/>
      </colorScale>
    </cfRule>
  </conditionalFormatting>
  <conditionalFormatting sqref="CU125 CU99 CW99 CY99:CY104 DA99 DC99 DE99 DG99 DG104 DE104 DC104 DA104 CU110:CU119 CW110:CW119 CY110:CY114 DA110:DA114 DA119 DC110:DC114 DC119 DE114 DE109 DG109 DG114 DG119 DE119 CW125 CY127 DA125 DA127 DC125 DC127 DE125 DE127 DG125 DG127">
    <cfRule type="colorScale" priority="2125">
      <colorScale>
        <cfvo type="min"/>
        <cfvo type="max"/>
        <color rgb="FFFCFCFF"/>
        <color rgb="FFF8696B"/>
      </colorScale>
    </cfRule>
  </conditionalFormatting>
  <conditionalFormatting sqref="DK125 DS119 DM125 DS125">
    <cfRule type="colorScale" priority="2124">
      <colorScale>
        <cfvo type="min"/>
        <cfvo type="percentile" val="50"/>
        <cfvo type="max"/>
        <color rgb="FFF8696B"/>
        <color rgb="FFFFEB84"/>
        <color rgb="FF63BE7B"/>
      </colorScale>
    </cfRule>
  </conditionalFormatting>
  <conditionalFormatting sqref="DS119">
    <cfRule type="colorScale" priority="2123">
      <colorScale>
        <cfvo type="min"/>
        <cfvo type="percentile" val="50"/>
        <cfvo type="max"/>
        <color rgb="FFF8696B"/>
        <color rgb="FFFFEB84"/>
        <color rgb="FF63BE7B"/>
      </colorScale>
    </cfRule>
  </conditionalFormatting>
  <conditionalFormatting sqref="DK125 DS119 DM125 DS125">
    <cfRule type="colorScale" priority="2122">
      <colorScale>
        <cfvo type="min"/>
        <cfvo type="percentile" val="50"/>
        <cfvo type="max"/>
        <color rgb="FF63BE7B"/>
        <color rgb="FFFFEB84"/>
        <color rgb="FFF8696B"/>
      </colorScale>
    </cfRule>
  </conditionalFormatting>
  <conditionalFormatting sqref="DK125 DS119 DM125 DS125">
    <cfRule type="colorScale" priority="2119">
      <colorScale>
        <cfvo type="min"/>
        <cfvo type="max"/>
        <color rgb="FFFCFCFF"/>
        <color rgb="FFF8696B"/>
      </colorScale>
    </cfRule>
    <cfRule type="colorScale" priority="2121">
      <colorScale>
        <cfvo type="min"/>
        <cfvo type="percentile" val="50"/>
        <cfvo type="max"/>
        <color rgb="FF63BE7B"/>
        <color rgb="FFFFEB84"/>
        <color rgb="FFF8696B"/>
      </colorScale>
    </cfRule>
  </conditionalFormatting>
  <conditionalFormatting sqref="DK125 DS119 DM125 DS125">
    <cfRule type="colorScale" priority="2120">
      <colorScale>
        <cfvo type="min"/>
        <cfvo type="max"/>
        <color rgb="FFF8696B"/>
        <color rgb="FFFCFCFF"/>
      </colorScale>
    </cfRule>
  </conditionalFormatting>
  <conditionalFormatting sqref="DO127">
    <cfRule type="colorScale" priority="2118">
      <colorScale>
        <cfvo type="min"/>
        <cfvo type="percentile" val="50"/>
        <cfvo type="max"/>
        <color rgb="FFF8696B"/>
        <color rgb="FFFFEB84"/>
        <color rgb="FF63BE7B"/>
      </colorScale>
    </cfRule>
  </conditionalFormatting>
  <conditionalFormatting sqref="DO127">
    <cfRule type="colorScale" priority="2117">
      <colorScale>
        <cfvo type="min"/>
        <cfvo type="percentile" val="50"/>
        <cfvo type="max"/>
        <color rgb="FFF8696B"/>
        <color rgb="FFFFEB84"/>
        <color rgb="FF63BE7B"/>
      </colorScale>
    </cfRule>
  </conditionalFormatting>
  <conditionalFormatting sqref="DO127">
    <cfRule type="colorScale" priority="2116">
      <colorScale>
        <cfvo type="min"/>
        <cfvo type="percentile" val="50"/>
        <cfvo type="max"/>
        <color rgb="FFF8696B"/>
        <color rgb="FFFFEB84"/>
        <color rgb="FF63BE7B"/>
      </colorScale>
    </cfRule>
  </conditionalFormatting>
  <conditionalFormatting sqref="DO127">
    <cfRule type="colorScale" priority="2115">
      <colorScale>
        <cfvo type="min"/>
        <cfvo type="percentile" val="50"/>
        <cfvo type="max"/>
        <color rgb="FF63BE7B"/>
        <color rgb="FFFFEB84"/>
        <color rgb="FFF8696B"/>
      </colorScale>
    </cfRule>
  </conditionalFormatting>
  <conditionalFormatting sqref="DO127">
    <cfRule type="colorScale" priority="2112">
      <colorScale>
        <cfvo type="min"/>
        <cfvo type="max"/>
        <color rgb="FFFCFCFF"/>
        <color rgb="FFF8696B"/>
      </colorScale>
    </cfRule>
    <cfRule type="colorScale" priority="2114">
      <colorScale>
        <cfvo type="min"/>
        <cfvo type="percentile" val="50"/>
        <cfvo type="max"/>
        <color rgb="FF63BE7B"/>
        <color rgb="FFFFEB84"/>
        <color rgb="FFF8696B"/>
      </colorScale>
    </cfRule>
  </conditionalFormatting>
  <conditionalFormatting sqref="DO127">
    <cfRule type="colorScale" priority="2113">
      <colorScale>
        <cfvo type="min"/>
        <cfvo type="max"/>
        <color rgb="FFF8696B"/>
        <color rgb="FFFCFCFF"/>
      </colorScale>
    </cfRule>
  </conditionalFormatting>
  <conditionalFormatting sqref="DQ127">
    <cfRule type="colorScale" priority="2111">
      <colorScale>
        <cfvo type="min"/>
        <cfvo type="percentile" val="50"/>
        <cfvo type="max"/>
        <color rgb="FFF8696B"/>
        <color rgb="FFFFEB84"/>
        <color rgb="FF63BE7B"/>
      </colorScale>
    </cfRule>
  </conditionalFormatting>
  <conditionalFormatting sqref="DQ127">
    <cfRule type="colorScale" priority="2110">
      <colorScale>
        <cfvo type="min"/>
        <cfvo type="percentile" val="50"/>
        <cfvo type="max"/>
        <color rgb="FFF8696B"/>
        <color rgb="FFFFEB84"/>
        <color rgb="FF63BE7B"/>
      </colorScale>
    </cfRule>
  </conditionalFormatting>
  <conditionalFormatting sqref="DQ127">
    <cfRule type="colorScale" priority="2109">
      <colorScale>
        <cfvo type="min"/>
        <cfvo type="percentile" val="50"/>
        <cfvo type="max"/>
        <color rgb="FFF8696B"/>
        <color rgb="FFFFEB84"/>
        <color rgb="FF63BE7B"/>
      </colorScale>
    </cfRule>
  </conditionalFormatting>
  <conditionalFormatting sqref="DQ127">
    <cfRule type="colorScale" priority="2108">
      <colorScale>
        <cfvo type="min"/>
        <cfvo type="percentile" val="50"/>
        <cfvo type="max"/>
        <color rgb="FF63BE7B"/>
        <color rgb="FFFFEB84"/>
        <color rgb="FFF8696B"/>
      </colorScale>
    </cfRule>
  </conditionalFormatting>
  <conditionalFormatting sqref="DQ127">
    <cfRule type="colorScale" priority="2105">
      <colorScale>
        <cfvo type="min"/>
        <cfvo type="max"/>
        <color rgb="FFFCFCFF"/>
        <color rgb="FFF8696B"/>
      </colorScale>
    </cfRule>
    <cfRule type="colorScale" priority="2107">
      <colorScale>
        <cfvo type="min"/>
        <cfvo type="percentile" val="50"/>
        <cfvo type="max"/>
        <color rgb="FF63BE7B"/>
        <color rgb="FFFFEB84"/>
        <color rgb="FFF8696B"/>
      </colorScale>
    </cfRule>
  </conditionalFormatting>
  <conditionalFormatting sqref="DQ127">
    <cfRule type="colorScale" priority="2106">
      <colorScale>
        <cfvo type="min"/>
        <cfvo type="max"/>
        <color rgb="FFF8696B"/>
        <color rgb="FFFCFCFF"/>
      </colorScale>
    </cfRule>
  </conditionalFormatting>
  <conditionalFormatting sqref="DS127">
    <cfRule type="colorScale" priority="2104">
      <colorScale>
        <cfvo type="min"/>
        <cfvo type="percentile" val="50"/>
        <cfvo type="max"/>
        <color rgb="FFF8696B"/>
        <color rgb="FFFFEB84"/>
        <color rgb="FF63BE7B"/>
      </colorScale>
    </cfRule>
  </conditionalFormatting>
  <conditionalFormatting sqref="DS127">
    <cfRule type="colorScale" priority="2103">
      <colorScale>
        <cfvo type="min"/>
        <cfvo type="percentile" val="50"/>
        <cfvo type="max"/>
        <color rgb="FFF8696B"/>
        <color rgb="FFFFEB84"/>
        <color rgb="FF63BE7B"/>
      </colorScale>
    </cfRule>
  </conditionalFormatting>
  <conditionalFormatting sqref="DS127">
    <cfRule type="colorScale" priority="2102">
      <colorScale>
        <cfvo type="min"/>
        <cfvo type="percentile" val="50"/>
        <cfvo type="max"/>
        <color rgb="FFF8696B"/>
        <color rgb="FFFFEB84"/>
        <color rgb="FF63BE7B"/>
      </colorScale>
    </cfRule>
  </conditionalFormatting>
  <conditionalFormatting sqref="DS127">
    <cfRule type="colorScale" priority="2101">
      <colorScale>
        <cfvo type="min"/>
        <cfvo type="percentile" val="50"/>
        <cfvo type="max"/>
        <color rgb="FF63BE7B"/>
        <color rgb="FFFFEB84"/>
        <color rgb="FFF8696B"/>
      </colorScale>
    </cfRule>
  </conditionalFormatting>
  <conditionalFormatting sqref="DS127">
    <cfRule type="colorScale" priority="2098">
      <colorScale>
        <cfvo type="min"/>
        <cfvo type="max"/>
        <color rgb="FFFCFCFF"/>
        <color rgb="FFF8696B"/>
      </colorScale>
    </cfRule>
    <cfRule type="colorScale" priority="2100">
      <colorScale>
        <cfvo type="min"/>
        <cfvo type="percentile" val="50"/>
        <cfvo type="max"/>
        <color rgb="FF63BE7B"/>
        <color rgb="FFFFEB84"/>
        <color rgb="FFF8696B"/>
      </colorScale>
    </cfRule>
  </conditionalFormatting>
  <conditionalFormatting sqref="DS127">
    <cfRule type="colorScale" priority="2099">
      <colorScale>
        <cfvo type="min"/>
        <cfvo type="max"/>
        <color rgb="FFF8696B"/>
        <color rgb="FFFCFCFF"/>
      </colorScale>
    </cfRule>
  </conditionalFormatting>
  <conditionalFormatting sqref="DS119">
    <cfRule type="colorScale" priority="2097">
      <colorScale>
        <cfvo type="min"/>
        <cfvo type="percentile" val="50"/>
        <cfvo type="max"/>
        <color rgb="FFF8696B"/>
        <color rgb="FFFFEB84"/>
        <color rgb="FF63BE7B"/>
      </colorScale>
    </cfRule>
  </conditionalFormatting>
  <conditionalFormatting sqref="DK125">
    <cfRule type="colorScale" priority="2096">
      <colorScale>
        <cfvo type="min"/>
        <cfvo type="percentile" val="50"/>
        <cfvo type="max"/>
        <color rgb="FFF8696B"/>
        <color rgb="FFFFEB84"/>
        <color rgb="FF63BE7B"/>
      </colorScale>
    </cfRule>
  </conditionalFormatting>
  <conditionalFormatting sqref="DM125">
    <cfRule type="colorScale" priority="2095">
      <colorScale>
        <cfvo type="min"/>
        <cfvo type="percentile" val="50"/>
        <cfvo type="max"/>
        <color rgb="FFF8696B"/>
        <color rgb="FFFFEB84"/>
        <color rgb="FF63BE7B"/>
      </colorScale>
    </cfRule>
  </conditionalFormatting>
  <conditionalFormatting sqref="DS125">
    <cfRule type="colorScale" priority="2094">
      <colorScale>
        <cfvo type="min"/>
        <cfvo type="percentile" val="50"/>
        <cfvo type="max"/>
        <color rgb="FFF8696B"/>
        <color rgb="FFFFEB84"/>
        <color rgb="FF63BE7B"/>
      </colorScale>
    </cfRule>
  </conditionalFormatting>
  <conditionalFormatting sqref="DK125 DK104 DM104 DS119 DM125 DS125 DO127 DQ127 DS127">
    <cfRule type="colorScale" priority="2093">
      <colorScale>
        <cfvo type="min"/>
        <cfvo type="max"/>
        <color rgb="FFFCFCFF"/>
        <color rgb="FFF8696B"/>
      </colorScale>
    </cfRule>
  </conditionalFormatting>
  <conditionalFormatting sqref="DU125 DU109 DU114 DU119">
    <cfRule type="colorScale" priority="2092">
      <colorScale>
        <cfvo type="min"/>
        <cfvo type="percentile" val="50"/>
        <cfvo type="max"/>
        <color rgb="FFF8696B"/>
        <color rgb="FFFFEB84"/>
        <color rgb="FF63BE7B"/>
      </colorScale>
    </cfRule>
  </conditionalFormatting>
  <conditionalFormatting sqref="DU119">
    <cfRule type="colorScale" priority="2091">
      <colorScale>
        <cfvo type="min"/>
        <cfvo type="percentile" val="50"/>
        <cfvo type="max"/>
        <color rgb="FFF8696B"/>
        <color rgb="FFFFEB84"/>
        <color rgb="FF63BE7B"/>
      </colorScale>
    </cfRule>
  </conditionalFormatting>
  <conditionalFormatting sqref="DU125 DU109 DU114 DU119">
    <cfRule type="colorScale" priority="2090">
      <colorScale>
        <cfvo type="min"/>
        <cfvo type="percentile" val="50"/>
        <cfvo type="max"/>
        <color rgb="FF63BE7B"/>
        <color rgb="FFFFEB84"/>
        <color rgb="FFF8696B"/>
      </colorScale>
    </cfRule>
  </conditionalFormatting>
  <conditionalFormatting sqref="DU125 DU109 DU114 DU119">
    <cfRule type="colorScale" priority="2087">
      <colorScale>
        <cfvo type="min"/>
        <cfvo type="max"/>
        <color rgb="FFFCFCFF"/>
        <color rgb="FFF8696B"/>
      </colorScale>
    </cfRule>
    <cfRule type="colorScale" priority="2089">
      <colorScale>
        <cfvo type="min"/>
        <cfvo type="percentile" val="50"/>
        <cfvo type="max"/>
        <color rgb="FF63BE7B"/>
        <color rgb="FFFFEB84"/>
        <color rgb="FFF8696B"/>
      </colorScale>
    </cfRule>
  </conditionalFormatting>
  <conditionalFormatting sqref="DU125 DU109 DU114 DU119">
    <cfRule type="colorScale" priority="2088">
      <colorScale>
        <cfvo type="min"/>
        <cfvo type="max"/>
        <color rgb="FFF8696B"/>
        <color rgb="FFFCFCFF"/>
      </colorScale>
    </cfRule>
  </conditionalFormatting>
  <conditionalFormatting sqref="DU127">
    <cfRule type="colorScale" priority="2086">
      <colorScale>
        <cfvo type="min"/>
        <cfvo type="percentile" val="50"/>
        <cfvo type="max"/>
        <color rgb="FFF8696B"/>
        <color rgb="FFFFEB84"/>
        <color rgb="FF63BE7B"/>
      </colorScale>
    </cfRule>
  </conditionalFormatting>
  <conditionalFormatting sqref="DU127">
    <cfRule type="colorScale" priority="2085">
      <colorScale>
        <cfvo type="min"/>
        <cfvo type="percentile" val="50"/>
        <cfvo type="max"/>
        <color rgb="FFF8696B"/>
        <color rgb="FFFFEB84"/>
        <color rgb="FF63BE7B"/>
      </colorScale>
    </cfRule>
  </conditionalFormatting>
  <conditionalFormatting sqref="DU127">
    <cfRule type="colorScale" priority="2084">
      <colorScale>
        <cfvo type="min"/>
        <cfvo type="percentile" val="50"/>
        <cfvo type="max"/>
        <color rgb="FFF8696B"/>
        <color rgb="FFFFEB84"/>
        <color rgb="FF63BE7B"/>
      </colorScale>
    </cfRule>
  </conditionalFormatting>
  <conditionalFormatting sqref="DU127">
    <cfRule type="colorScale" priority="2083">
      <colorScale>
        <cfvo type="min"/>
        <cfvo type="percentile" val="50"/>
        <cfvo type="max"/>
        <color rgb="FF63BE7B"/>
        <color rgb="FFFFEB84"/>
        <color rgb="FFF8696B"/>
      </colorScale>
    </cfRule>
  </conditionalFormatting>
  <conditionalFormatting sqref="DU127">
    <cfRule type="colorScale" priority="2080">
      <colorScale>
        <cfvo type="min"/>
        <cfvo type="max"/>
        <color rgb="FFFCFCFF"/>
        <color rgb="FFF8696B"/>
      </colorScale>
    </cfRule>
    <cfRule type="colorScale" priority="2082">
      <colorScale>
        <cfvo type="min"/>
        <cfvo type="percentile" val="50"/>
        <cfvo type="max"/>
        <color rgb="FF63BE7B"/>
        <color rgb="FFFFEB84"/>
        <color rgb="FFF8696B"/>
      </colorScale>
    </cfRule>
  </conditionalFormatting>
  <conditionalFormatting sqref="DU127">
    <cfRule type="colorScale" priority="2081">
      <colorScale>
        <cfvo type="min"/>
        <cfvo type="max"/>
        <color rgb="FFF8696B"/>
        <color rgb="FFFCFCFF"/>
      </colorScale>
    </cfRule>
  </conditionalFormatting>
  <conditionalFormatting sqref="DU109">
    <cfRule type="colorScale" priority="2079">
      <colorScale>
        <cfvo type="min"/>
        <cfvo type="percentile" val="50"/>
        <cfvo type="max"/>
        <color rgb="FFF8696B"/>
        <color rgb="FFFFEB84"/>
        <color rgb="FF63BE7B"/>
      </colorScale>
    </cfRule>
  </conditionalFormatting>
  <conditionalFormatting sqref="DU114">
    <cfRule type="colorScale" priority="2078">
      <colorScale>
        <cfvo type="min"/>
        <cfvo type="percentile" val="50"/>
        <cfvo type="max"/>
        <color rgb="FFF8696B"/>
        <color rgb="FFFFEB84"/>
        <color rgb="FF63BE7B"/>
      </colorScale>
    </cfRule>
  </conditionalFormatting>
  <conditionalFormatting sqref="DU119">
    <cfRule type="colorScale" priority="2077">
      <colorScale>
        <cfvo type="min"/>
        <cfvo type="percentile" val="50"/>
        <cfvo type="max"/>
        <color rgb="FFF8696B"/>
        <color rgb="FFFFEB84"/>
        <color rgb="FF63BE7B"/>
      </colorScale>
    </cfRule>
  </conditionalFormatting>
  <conditionalFormatting sqref="DU125">
    <cfRule type="colorScale" priority="2076">
      <colorScale>
        <cfvo type="min"/>
        <cfvo type="percentile" val="50"/>
        <cfvo type="max"/>
        <color rgb="FFF8696B"/>
        <color rgb="FFFFEB84"/>
        <color rgb="FF63BE7B"/>
      </colorScale>
    </cfRule>
  </conditionalFormatting>
  <conditionalFormatting sqref="DU125 DU109 DU114 DU119 DU127">
    <cfRule type="colorScale" priority="2075">
      <colorScale>
        <cfvo type="min"/>
        <cfvo type="max"/>
        <color rgb="FFFCFCFF"/>
        <color rgb="FFF8696B"/>
      </colorScale>
    </cfRule>
  </conditionalFormatting>
  <conditionalFormatting sqref="DW125 DW109 DW114 DW119">
    <cfRule type="colorScale" priority="2074">
      <colorScale>
        <cfvo type="min"/>
        <cfvo type="percentile" val="50"/>
        <cfvo type="max"/>
        <color rgb="FFF8696B"/>
        <color rgb="FFFFEB84"/>
        <color rgb="FF63BE7B"/>
      </colorScale>
    </cfRule>
  </conditionalFormatting>
  <conditionalFormatting sqref="DW119">
    <cfRule type="colorScale" priority="2073">
      <colorScale>
        <cfvo type="min"/>
        <cfvo type="percentile" val="50"/>
        <cfvo type="max"/>
        <color rgb="FFF8696B"/>
        <color rgb="FFFFEB84"/>
        <color rgb="FF63BE7B"/>
      </colorScale>
    </cfRule>
  </conditionalFormatting>
  <conditionalFormatting sqref="DW125 DW109 DW114 DW119">
    <cfRule type="colorScale" priority="2072">
      <colorScale>
        <cfvo type="min"/>
        <cfvo type="percentile" val="50"/>
        <cfvo type="max"/>
        <color rgb="FF63BE7B"/>
        <color rgb="FFFFEB84"/>
        <color rgb="FFF8696B"/>
      </colorScale>
    </cfRule>
  </conditionalFormatting>
  <conditionalFormatting sqref="DW125 DW109 DW114 DW119">
    <cfRule type="colorScale" priority="2069">
      <colorScale>
        <cfvo type="min"/>
        <cfvo type="max"/>
        <color rgb="FFFCFCFF"/>
        <color rgb="FFF8696B"/>
      </colorScale>
    </cfRule>
    <cfRule type="colorScale" priority="2071">
      <colorScale>
        <cfvo type="min"/>
        <cfvo type="percentile" val="50"/>
        <cfvo type="max"/>
        <color rgb="FF63BE7B"/>
        <color rgb="FFFFEB84"/>
        <color rgb="FFF8696B"/>
      </colorScale>
    </cfRule>
  </conditionalFormatting>
  <conditionalFormatting sqref="DW125 DW109 DW114 DW119">
    <cfRule type="colorScale" priority="2070">
      <colorScale>
        <cfvo type="min"/>
        <cfvo type="max"/>
        <color rgb="FFF8696B"/>
        <color rgb="FFFCFCFF"/>
      </colorScale>
    </cfRule>
  </conditionalFormatting>
  <conditionalFormatting sqref="DW127">
    <cfRule type="colorScale" priority="2068">
      <colorScale>
        <cfvo type="min"/>
        <cfvo type="percentile" val="50"/>
        <cfvo type="max"/>
        <color rgb="FFF8696B"/>
        <color rgb="FFFFEB84"/>
        <color rgb="FF63BE7B"/>
      </colorScale>
    </cfRule>
  </conditionalFormatting>
  <conditionalFormatting sqref="DW127">
    <cfRule type="colorScale" priority="2067">
      <colorScale>
        <cfvo type="min"/>
        <cfvo type="percentile" val="50"/>
        <cfvo type="max"/>
        <color rgb="FFF8696B"/>
        <color rgb="FFFFEB84"/>
        <color rgb="FF63BE7B"/>
      </colorScale>
    </cfRule>
  </conditionalFormatting>
  <conditionalFormatting sqref="DW127">
    <cfRule type="colorScale" priority="2066">
      <colorScale>
        <cfvo type="min"/>
        <cfvo type="percentile" val="50"/>
        <cfvo type="max"/>
        <color rgb="FFF8696B"/>
        <color rgb="FFFFEB84"/>
        <color rgb="FF63BE7B"/>
      </colorScale>
    </cfRule>
  </conditionalFormatting>
  <conditionalFormatting sqref="DW127">
    <cfRule type="colorScale" priority="2065">
      <colorScale>
        <cfvo type="min"/>
        <cfvo type="percentile" val="50"/>
        <cfvo type="max"/>
        <color rgb="FF63BE7B"/>
        <color rgb="FFFFEB84"/>
        <color rgb="FFF8696B"/>
      </colorScale>
    </cfRule>
  </conditionalFormatting>
  <conditionalFormatting sqref="DW127">
    <cfRule type="colorScale" priority="2062">
      <colorScale>
        <cfvo type="min"/>
        <cfvo type="max"/>
        <color rgb="FFFCFCFF"/>
        <color rgb="FFF8696B"/>
      </colorScale>
    </cfRule>
    <cfRule type="colorScale" priority="2064">
      <colorScale>
        <cfvo type="min"/>
        <cfvo type="percentile" val="50"/>
        <cfvo type="max"/>
        <color rgb="FF63BE7B"/>
        <color rgb="FFFFEB84"/>
        <color rgb="FFF8696B"/>
      </colorScale>
    </cfRule>
  </conditionalFormatting>
  <conditionalFormatting sqref="DW127">
    <cfRule type="colorScale" priority="2063">
      <colorScale>
        <cfvo type="min"/>
        <cfvo type="max"/>
        <color rgb="FFF8696B"/>
        <color rgb="FFFCFCFF"/>
      </colorScale>
    </cfRule>
  </conditionalFormatting>
  <conditionalFormatting sqref="DW109">
    <cfRule type="colorScale" priority="2061">
      <colorScale>
        <cfvo type="min"/>
        <cfvo type="percentile" val="50"/>
        <cfvo type="max"/>
        <color rgb="FFF8696B"/>
        <color rgb="FFFFEB84"/>
        <color rgb="FF63BE7B"/>
      </colorScale>
    </cfRule>
  </conditionalFormatting>
  <conditionalFormatting sqref="DW114">
    <cfRule type="colorScale" priority="2060">
      <colorScale>
        <cfvo type="min"/>
        <cfvo type="percentile" val="50"/>
        <cfvo type="max"/>
        <color rgb="FFF8696B"/>
        <color rgb="FFFFEB84"/>
        <color rgb="FF63BE7B"/>
      </colorScale>
    </cfRule>
  </conditionalFormatting>
  <conditionalFormatting sqref="DW119">
    <cfRule type="colorScale" priority="2059">
      <colorScale>
        <cfvo type="min"/>
        <cfvo type="percentile" val="50"/>
        <cfvo type="max"/>
        <color rgb="FFF8696B"/>
        <color rgb="FFFFEB84"/>
        <color rgb="FF63BE7B"/>
      </colorScale>
    </cfRule>
  </conditionalFormatting>
  <conditionalFormatting sqref="DW125">
    <cfRule type="colorScale" priority="2058">
      <colorScale>
        <cfvo type="min"/>
        <cfvo type="percentile" val="50"/>
        <cfvo type="max"/>
        <color rgb="FFF8696B"/>
        <color rgb="FFFFEB84"/>
        <color rgb="FF63BE7B"/>
      </colorScale>
    </cfRule>
  </conditionalFormatting>
  <conditionalFormatting sqref="DW125 DW109 DW114 DW119 DW127">
    <cfRule type="colorScale" priority="2057">
      <colorScale>
        <cfvo type="min"/>
        <cfvo type="max"/>
        <color rgb="FFFCFCFF"/>
        <color rgb="FFF8696B"/>
      </colorScale>
    </cfRule>
  </conditionalFormatting>
  <conditionalFormatting sqref="DQ104">
    <cfRule type="colorScale" priority="2056">
      <colorScale>
        <cfvo type="min"/>
        <cfvo type="percentile" val="50"/>
        <cfvo type="max"/>
        <color rgb="FFF8696B"/>
        <color rgb="FFFFEB84"/>
        <color rgb="FF63BE7B"/>
      </colorScale>
    </cfRule>
  </conditionalFormatting>
  <conditionalFormatting sqref="DQ104">
    <cfRule type="colorScale" priority="2055">
      <colorScale>
        <cfvo type="min"/>
        <cfvo type="percentile" val="50"/>
        <cfvo type="max"/>
        <color rgb="FF63BE7B"/>
        <color rgb="FFFFEB84"/>
        <color rgb="FFF8696B"/>
      </colorScale>
    </cfRule>
  </conditionalFormatting>
  <conditionalFormatting sqref="DQ104">
    <cfRule type="colorScale" priority="2052">
      <colorScale>
        <cfvo type="min"/>
        <cfvo type="max"/>
        <color rgb="FFFCFCFF"/>
        <color rgb="FFF8696B"/>
      </colorScale>
    </cfRule>
    <cfRule type="colorScale" priority="2054">
      <colorScale>
        <cfvo type="min"/>
        <cfvo type="percentile" val="50"/>
        <cfvo type="max"/>
        <color rgb="FF63BE7B"/>
        <color rgb="FFFFEB84"/>
        <color rgb="FFF8696B"/>
      </colorScale>
    </cfRule>
  </conditionalFormatting>
  <conditionalFormatting sqref="DQ104">
    <cfRule type="colorScale" priority="2053">
      <colorScale>
        <cfvo type="min"/>
        <cfvo type="max"/>
        <color rgb="FFF8696B"/>
        <color rgb="FFFCFCFF"/>
      </colorScale>
    </cfRule>
  </conditionalFormatting>
  <conditionalFormatting sqref="DQ104">
    <cfRule type="colorScale" priority="2051">
      <colorScale>
        <cfvo type="min"/>
        <cfvo type="max"/>
        <color rgb="FFFCFCFF"/>
        <color rgb="FFF8696B"/>
      </colorScale>
    </cfRule>
  </conditionalFormatting>
  <conditionalFormatting sqref="DS104">
    <cfRule type="colorScale" priority="2050">
      <colorScale>
        <cfvo type="min"/>
        <cfvo type="percentile" val="50"/>
        <cfvo type="max"/>
        <color rgb="FFF8696B"/>
        <color rgb="FFFFEB84"/>
        <color rgb="FF63BE7B"/>
      </colorScale>
    </cfRule>
  </conditionalFormatting>
  <conditionalFormatting sqref="DS104">
    <cfRule type="colorScale" priority="2049">
      <colorScale>
        <cfvo type="min"/>
        <cfvo type="percentile" val="50"/>
        <cfvo type="max"/>
        <color rgb="FFF8696B"/>
        <color rgb="FFFFEB84"/>
        <color rgb="FF63BE7B"/>
      </colorScale>
    </cfRule>
  </conditionalFormatting>
  <conditionalFormatting sqref="DS104">
    <cfRule type="colorScale" priority="2048">
      <colorScale>
        <cfvo type="min"/>
        <cfvo type="percentile" val="50"/>
        <cfvo type="max"/>
        <color rgb="FF63BE7B"/>
        <color rgb="FFFFEB84"/>
        <color rgb="FFF8696B"/>
      </colorScale>
    </cfRule>
  </conditionalFormatting>
  <conditionalFormatting sqref="DS104">
    <cfRule type="colorScale" priority="2045">
      <colorScale>
        <cfvo type="min"/>
        <cfvo type="max"/>
        <color rgb="FFFCFCFF"/>
        <color rgb="FFF8696B"/>
      </colorScale>
    </cfRule>
    <cfRule type="colorScale" priority="2047">
      <colorScale>
        <cfvo type="min"/>
        <cfvo type="percentile" val="50"/>
        <cfvo type="max"/>
        <color rgb="FF63BE7B"/>
        <color rgb="FFFFEB84"/>
        <color rgb="FFF8696B"/>
      </colorScale>
    </cfRule>
  </conditionalFormatting>
  <conditionalFormatting sqref="DS104">
    <cfRule type="colorScale" priority="2046">
      <colorScale>
        <cfvo type="min"/>
        <cfvo type="max"/>
        <color rgb="FFF8696B"/>
        <color rgb="FFFCFCFF"/>
      </colorScale>
    </cfRule>
  </conditionalFormatting>
  <conditionalFormatting sqref="DS104">
    <cfRule type="colorScale" priority="2044">
      <colorScale>
        <cfvo type="min"/>
        <cfvo type="max"/>
        <color rgb="FFFCFCFF"/>
        <color rgb="FFF8696B"/>
      </colorScale>
    </cfRule>
  </conditionalFormatting>
  <conditionalFormatting sqref="DU104">
    <cfRule type="colorScale" priority="2043">
      <colorScale>
        <cfvo type="min"/>
        <cfvo type="percentile" val="50"/>
        <cfvo type="max"/>
        <color rgb="FFF8696B"/>
        <color rgb="FFFFEB84"/>
        <color rgb="FF63BE7B"/>
      </colorScale>
    </cfRule>
  </conditionalFormatting>
  <conditionalFormatting sqref="DU104">
    <cfRule type="colorScale" priority="2042">
      <colorScale>
        <cfvo type="min"/>
        <cfvo type="percentile" val="50"/>
        <cfvo type="max"/>
        <color rgb="FFF8696B"/>
        <color rgb="FFFFEB84"/>
        <color rgb="FF63BE7B"/>
      </colorScale>
    </cfRule>
  </conditionalFormatting>
  <conditionalFormatting sqref="DU104">
    <cfRule type="colorScale" priority="2041">
      <colorScale>
        <cfvo type="min"/>
        <cfvo type="percentile" val="50"/>
        <cfvo type="max"/>
        <color rgb="FF63BE7B"/>
        <color rgb="FFFFEB84"/>
        <color rgb="FFF8696B"/>
      </colorScale>
    </cfRule>
  </conditionalFormatting>
  <conditionalFormatting sqref="DU104">
    <cfRule type="colorScale" priority="2038">
      <colorScale>
        <cfvo type="min"/>
        <cfvo type="max"/>
        <color rgb="FFFCFCFF"/>
        <color rgb="FFF8696B"/>
      </colorScale>
    </cfRule>
    <cfRule type="colorScale" priority="2040">
      <colorScale>
        <cfvo type="min"/>
        <cfvo type="percentile" val="50"/>
        <cfvo type="max"/>
        <color rgb="FF63BE7B"/>
        <color rgb="FFFFEB84"/>
        <color rgb="FFF8696B"/>
      </colorScale>
    </cfRule>
  </conditionalFormatting>
  <conditionalFormatting sqref="DU104">
    <cfRule type="colorScale" priority="2039">
      <colorScale>
        <cfvo type="min"/>
        <cfvo type="max"/>
        <color rgb="FFF8696B"/>
        <color rgb="FFFCFCFF"/>
      </colorScale>
    </cfRule>
  </conditionalFormatting>
  <conditionalFormatting sqref="DU104">
    <cfRule type="colorScale" priority="2037">
      <colorScale>
        <cfvo type="min"/>
        <cfvo type="max"/>
        <color rgb="FFFCFCFF"/>
        <color rgb="FFF8696B"/>
      </colorScale>
    </cfRule>
  </conditionalFormatting>
  <conditionalFormatting sqref="DW104">
    <cfRule type="colorScale" priority="2036">
      <colorScale>
        <cfvo type="min"/>
        <cfvo type="percentile" val="50"/>
        <cfvo type="max"/>
        <color rgb="FFF8696B"/>
        <color rgb="FFFFEB84"/>
        <color rgb="FF63BE7B"/>
      </colorScale>
    </cfRule>
  </conditionalFormatting>
  <conditionalFormatting sqref="DW104">
    <cfRule type="colorScale" priority="2035">
      <colorScale>
        <cfvo type="min"/>
        <cfvo type="percentile" val="50"/>
        <cfvo type="max"/>
        <color rgb="FFF8696B"/>
        <color rgb="FFFFEB84"/>
        <color rgb="FF63BE7B"/>
      </colorScale>
    </cfRule>
  </conditionalFormatting>
  <conditionalFormatting sqref="DW104">
    <cfRule type="colorScale" priority="2034">
      <colorScale>
        <cfvo type="min"/>
        <cfvo type="percentile" val="50"/>
        <cfvo type="max"/>
        <color rgb="FF63BE7B"/>
        <color rgb="FFFFEB84"/>
        <color rgb="FFF8696B"/>
      </colorScale>
    </cfRule>
  </conditionalFormatting>
  <conditionalFormatting sqref="DW104">
    <cfRule type="colorScale" priority="2031">
      <colorScale>
        <cfvo type="min"/>
        <cfvo type="max"/>
        <color rgb="FFFCFCFF"/>
        <color rgb="FFF8696B"/>
      </colorScale>
    </cfRule>
    <cfRule type="colorScale" priority="2033">
      <colorScale>
        <cfvo type="min"/>
        <cfvo type="percentile" val="50"/>
        <cfvo type="max"/>
        <color rgb="FF63BE7B"/>
        <color rgb="FFFFEB84"/>
        <color rgb="FFF8696B"/>
      </colorScale>
    </cfRule>
  </conditionalFormatting>
  <conditionalFormatting sqref="DW104">
    <cfRule type="colorScale" priority="2032">
      <colorScale>
        <cfvo type="min"/>
        <cfvo type="max"/>
        <color rgb="FFF8696B"/>
        <color rgb="FFFCFCFF"/>
      </colorScale>
    </cfRule>
  </conditionalFormatting>
  <conditionalFormatting sqref="DW104">
    <cfRule type="colorScale" priority="2030">
      <colorScale>
        <cfvo type="min"/>
        <cfvo type="max"/>
        <color rgb="FFFCFCFF"/>
        <color rgb="FFF8696B"/>
      </colorScale>
    </cfRule>
  </conditionalFormatting>
  <conditionalFormatting sqref="DK99 DM99 DO99 DQ99 DS99">
    <cfRule type="colorScale" priority="2029">
      <colorScale>
        <cfvo type="min"/>
        <cfvo type="percentile" val="50"/>
        <cfvo type="max"/>
        <color rgb="FFF8696B"/>
        <color rgb="FFFFEB84"/>
        <color rgb="FF63BE7B"/>
      </colorScale>
    </cfRule>
  </conditionalFormatting>
  <conditionalFormatting sqref="DK99">
    <cfRule type="colorScale" priority="2028">
      <colorScale>
        <cfvo type="min"/>
        <cfvo type="percentile" val="50"/>
        <cfvo type="max"/>
        <color rgb="FFF8696B"/>
        <color rgb="FFFFEB84"/>
        <color rgb="FF63BE7B"/>
      </colorScale>
    </cfRule>
  </conditionalFormatting>
  <conditionalFormatting sqref="DK99 DM99 DO99 DQ99 DS99">
    <cfRule type="colorScale" priority="2027">
      <colorScale>
        <cfvo type="min"/>
        <cfvo type="percentile" val="50"/>
        <cfvo type="max"/>
        <color rgb="FF63BE7B"/>
        <color rgb="FFFFEB84"/>
        <color rgb="FFF8696B"/>
      </colorScale>
    </cfRule>
  </conditionalFormatting>
  <conditionalFormatting sqref="DK99 DM99 DO99 DQ99 DS99">
    <cfRule type="colorScale" priority="2024">
      <colorScale>
        <cfvo type="min"/>
        <cfvo type="max"/>
        <color rgb="FFFCFCFF"/>
        <color rgb="FFF8696B"/>
      </colorScale>
    </cfRule>
    <cfRule type="colorScale" priority="2026">
      <colorScale>
        <cfvo type="min"/>
        <cfvo type="percentile" val="50"/>
        <cfvo type="max"/>
        <color rgb="FF63BE7B"/>
        <color rgb="FFFFEB84"/>
        <color rgb="FFF8696B"/>
      </colorScale>
    </cfRule>
  </conditionalFormatting>
  <conditionalFormatting sqref="DK99 DM99 DO99 DQ99 DS99">
    <cfRule type="colorScale" priority="2025">
      <colorScale>
        <cfvo type="min"/>
        <cfvo type="max"/>
        <color rgb="FFF8696B"/>
        <color rgb="FFFCFCFF"/>
      </colorScale>
    </cfRule>
  </conditionalFormatting>
  <conditionalFormatting sqref="DK99 DM99 DO99 DQ99 DS99">
    <cfRule type="colorScale" priority="2023">
      <colorScale>
        <cfvo type="min"/>
        <cfvo type="max"/>
        <color rgb="FFFCFCFF"/>
        <color rgb="FFF8696B"/>
      </colorScale>
    </cfRule>
  </conditionalFormatting>
  <conditionalFormatting sqref="DU99">
    <cfRule type="colorScale" priority="2022">
      <colorScale>
        <cfvo type="min"/>
        <cfvo type="percentile" val="50"/>
        <cfvo type="max"/>
        <color rgb="FFF8696B"/>
        <color rgb="FFFFEB84"/>
        <color rgb="FF63BE7B"/>
      </colorScale>
    </cfRule>
  </conditionalFormatting>
  <conditionalFormatting sqref="DU99">
    <cfRule type="colorScale" priority="2021">
      <colorScale>
        <cfvo type="min"/>
        <cfvo type="percentile" val="50"/>
        <cfvo type="max"/>
        <color rgb="FFF8696B"/>
        <color rgb="FFFFEB84"/>
        <color rgb="FF63BE7B"/>
      </colorScale>
    </cfRule>
  </conditionalFormatting>
  <conditionalFormatting sqref="DU99">
    <cfRule type="colorScale" priority="2020">
      <colorScale>
        <cfvo type="min"/>
        <cfvo type="percentile" val="50"/>
        <cfvo type="max"/>
        <color rgb="FF63BE7B"/>
        <color rgb="FFFFEB84"/>
        <color rgb="FFF8696B"/>
      </colorScale>
    </cfRule>
  </conditionalFormatting>
  <conditionalFormatting sqref="DU99">
    <cfRule type="colorScale" priority="2017">
      <colorScale>
        <cfvo type="min"/>
        <cfvo type="max"/>
        <color rgb="FFFCFCFF"/>
        <color rgb="FFF8696B"/>
      </colorScale>
    </cfRule>
    <cfRule type="colorScale" priority="2019">
      <colorScale>
        <cfvo type="min"/>
        <cfvo type="percentile" val="50"/>
        <cfvo type="max"/>
        <color rgb="FF63BE7B"/>
        <color rgb="FFFFEB84"/>
        <color rgb="FFF8696B"/>
      </colorScale>
    </cfRule>
  </conditionalFormatting>
  <conditionalFormatting sqref="DU99">
    <cfRule type="colorScale" priority="2018">
      <colorScale>
        <cfvo type="min"/>
        <cfvo type="max"/>
        <color rgb="FFF8696B"/>
        <color rgb="FFFCFCFF"/>
      </colorScale>
    </cfRule>
  </conditionalFormatting>
  <conditionalFormatting sqref="DU99">
    <cfRule type="colorScale" priority="2016">
      <colorScale>
        <cfvo type="min"/>
        <cfvo type="max"/>
        <color rgb="FFFCFCFF"/>
        <color rgb="FFF8696B"/>
      </colorScale>
    </cfRule>
  </conditionalFormatting>
  <conditionalFormatting sqref="DW99">
    <cfRule type="colorScale" priority="2015">
      <colorScale>
        <cfvo type="min"/>
        <cfvo type="percentile" val="50"/>
        <cfvo type="max"/>
        <color rgb="FFF8696B"/>
        <color rgb="FFFFEB84"/>
        <color rgb="FF63BE7B"/>
      </colorScale>
    </cfRule>
  </conditionalFormatting>
  <conditionalFormatting sqref="DW99">
    <cfRule type="colorScale" priority="2014">
      <colorScale>
        <cfvo type="min"/>
        <cfvo type="percentile" val="50"/>
        <cfvo type="max"/>
        <color rgb="FFF8696B"/>
        <color rgb="FFFFEB84"/>
        <color rgb="FF63BE7B"/>
      </colorScale>
    </cfRule>
  </conditionalFormatting>
  <conditionalFormatting sqref="DW99">
    <cfRule type="colorScale" priority="2013">
      <colorScale>
        <cfvo type="min"/>
        <cfvo type="percentile" val="50"/>
        <cfvo type="max"/>
        <color rgb="FF63BE7B"/>
        <color rgb="FFFFEB84"/>
        <color rgb="FFF8696B"/>
      </colorScale>
    </cfRule>
  </conditionalFormatting>
  <conditionalFormatting sqref="DW99">
    <cfRule type="colorScale" priority="2010">
      <colorScale>
        <cfvo type="min"/>
        <cfvo type="max"/>
        <color rgb="FFFCFCFF"/>
        <color rgb="FFF8696B"/>
      </colorScale>
    </cfRule>
    <cfRule type="colorScale" priority="2012">
      <colorScale>
        <cfvo type="min"/>
        <cfvo type="percentile" val="50"/>
        <cfvo type="max"/>
        <color rgb="FF63BE7B"/>
        <color rgb="FFFFEB84"/>
        <color rgb="FFF8696B"/>
      </colorScale>
    </cfRule>
  </conditionalFormatting>
  <conditionalFormatting sqref="DW99">
    <cfRule type="colorScale" priority="2011">
      <colorScale>
        <cfvo type="min"/>
        <cfvo type="max"/>
        <color rgb="FFF8696B"/>
        <color rgb="FFFCFCFF"/>
      </colorScale>
    </cfRule>
  </conditionalFormatting>
  <conditionalFormatting sqref="DW99">
    <cfRule type="colorScale" priority="2009">
      <colorScale>
        <cfvo type="min"/>
        <cfvo type="max"/>
        <color rgb="FFFCFCFF"/>
        <color rgb="FFF8696B"/>
      </colorScale>
    </cfRule>
  </conditionalFormatting>
  <conditionalFormatting sqref="DK110">
    <cfRule type="colorScale" priority="2008">
      <colorScale>
        <cfvo type="min"/>
        <cfvo type="percentile" val="50"/>
        <cfvo type="max"/>
        <color rgb="FFF8696B"/>
        <color rgb="FFFFEB84"/>
        <color rgb="FF63BE7B"/>
      </colorScale>
    </cfRule>
  </conditionalFormatting>
  <conditionalFormatting sqref="DK110">
    <cfRule type="colorScale" priority="2007">
      <colorScale>
        <cfvo type="min"/>
        <cfvo type="percentile" val="50"/>
        <cfvo type="max"/>
        <color rgb="FF63BE7B"/>
        <color rgb="FFFFEB84"/>
        <color rgb="FFF8696B"/>
      </colorScale>
    </cfRule>
  </conditionalFormatting>
  <conditionalFormatting sqref="DK110">
    <cfRule type="colorScale" priority="2004">
      <colorScale>
        <cfvo type="min"/>
        <cfvo type="max"/>
        <color rgb="FFFCFCFF"/>
        <color rgb="FFF8696B"/>
      </colorScale>
    </cfRule>
    <cfRule type="colorScale" priority="2006">
      <colorScale>
        <cfvo type="min"/>
        <cfvo type="percentile" val="50"/>
        <cfvo type="max"/>
        <color rgb="FF63BE7B"/>
        <color rgb="FFFFEB84"/>
        <color rgb="FFF8696B"/>
      </colorScale>
    </cfRule>
  </conditionalFormatting>
  <conditionalFormatting sqref="DK110">
    <cfRule type="colorScale" priority="2005">
      <colorScale>
        <cfvo type="min"/>
        <cfvo type="max"/>
        <color rgb="FFF8696B"/>
        <color rgb="FFFCFCFF"/>
      </colorScale>
    </cfRule>
  </conditionalFormatting>
  <conditionalFormatting sqref="DK110">
    <cfRule type="colorScale" priority="2003">
      <colorScale>
        <cfvo type="min"/>
        <cfvo type="percentile" val="50"/>
        <cfvo type="max"/>
        <color rgb="FFF8696B"/>
        <color rgb="FFFFEB84"/>
        <color rgb="FF63BE7B"/>
      </colorScale>
    </cfRule>
  </conditionalFormatting>
  <conditionalFormatting sqref="DK110">
    <cfRule type="colorScale" priority="2002">
      <colorScale>
        <cfvo type="min"/>
        <cfvo type="max"/>
        <color rgb="FFFCFCFF"/>
        <color rgb="FFF8696B"/>
      </colorScale>
    </cfRule>
  </conditionalFormatting>
  <conditionalFormatting sqref="DM110">
    <cfRule type="colorScale" priority="2001">
      <colorScale>
        <cfvo type="min"/>
        <cfvo type="percentile" val="50"/>
        <cfvo type="max"/>
        <color rgb="FFF8696B"/>
        <color rgb="FFFFEB84"/>
        <color rgb="FF63BE7B"/>
      </colorScale>
    </cfRule>
  </conditionalFormatting>
  <conditionalFormatting sqref="DM110">
    <cfRule type="colorScale" priority="2000">
      <colorScale>
        <cfvo type="min"/>
        <cfvo type="percentile" val="50"/>
        <cfvo type="max"/>
        <color rgb="FF63BE7B"/>
        <color rgb="FFFFEB84"/>
        <color rgb="FFF8696B"/>
      </colorScale>
    </cfRule>
  </conditionalFormatting>
  <conditionalFormatting sqref="DM110">
    <cfRule type="colorScale" priority="1997">
      <colorScale>
        <cfvo type="min"/>
        <cfvo type="max"/>
        <color rgb="FFFCFCFF"/>
        <color rgb="FFF8696B"/>
      </colorScale>
    </cfRule>
    <cfRule type="colorScale" priority="1999">
      <colorScale>
        <cfvo type="min"/>
        <cfvo type="percentile" val="50"/>
        <cfvo type="max"/>
        <color rgb="FF63BE7B"/>
        <color rgb="FFFFEB84"/>
        <color rgb="FFF8696B"/>
      </colorScale>
    </cfRule>
  </conditionalFormatting>
  <conditionalFormatting sqref="DM110">
    <cfRule type="colorScale" priority="1998">
      <colorScale>
        <cfvo type="min"/>
        <cfvo type="max"/>
        <color rgb="FFF8696B"/>
        <color rgb="FFFCFCFF"/>
      </colorScale>
    </cfRule>
  </conditionalFormatting>
  <conditionalFormatting sqref="DM110">
    <cfRule type="colorScale" priority="1996">
      <colorScale>
        <cfvo type="min"/>
        <cfvo type="percentile" val="50"/>
        <cfvo type="max"/>
        <color rgb="FFF8696B"/>
        <color rgb="FFFFEB84"/>
        <color rgb="FF63BE7B"/>
      </colorScale>
    </cfRule>
  </conditionalFormatting>
  <conditionalFormatting sqref="DM110">
    <cfRule type="colorScale" priority="1995">
      <colorScale>
        <cfvo type="min"/>
        <cfvo type="max"/>
        <color rgb="FFFCFCFF"/>
        <color rgb="FFF8696B"/>
      </colorScale>
    </cfRule>
  </conditionalFormatting>
  <conditionalFormatting sqref="DO110">
    <cfRule type="colorScale" priority="1994">
      <colorScale>
        <cfvo type="min"/>
        <cfvo type="percentile" val="50"/>
        <cfvo type="max"/>
        <color rgb="FFF8696B"/>
        <color rgb="FFFFEB84"/>
        <color rgb="FF63BE7B"/>
      </colorScale>
    </cfRule>
  </conditionalFormatting>
  <conditionalFormatting sqref="DO110">
    <cfRule type="colorScale" priority="1993">
      <colorScale>
        <cfvo type="min"/>
        <cfvo type="percentile" val="50"/>
        <cfvo type="max"/>
        <color rgb="FF63BE7B"/>
        <color rgb="FFFFEB84"/>
        <color rgb="FFF8696B"/>
      </colorScale>
    </cfRule>
  </conditionalFormatting>
  <conditionalFormatting sqref="DO110">
    <cfRule type="colorScale" priority="1990">
      <colorScale>
        <cfvo type="min"/>
        <cfvo type="max"/>
        <color rgb="FFFCFCFF"/>
        <color rgb="FFF8696B"/>
      </colorScale>
    </cfRule>
    <cfRule type="colorScale" priority="1992">
      <colorScale>
        <cfvo type="min"/>
        <cfvo type="percentile" val="50"/>
        <cfvo type="max"/>
        <color rgb="FF63BE7B"/>
        <color rgb="FFFFEB84"/>
        <color rgb="FFF8696B"/>
      </colorScale>
    </cfRule>
  </conditionalFormatting>
  <conditionalFormatting sqref="DO110">
    <cfRule type="colorScale" priority="1991">
      <colorScale>
        <cfvo type="min"/>
        <cfvo type="max"/>
        <color rgb="FFF8696B"/>
        <color rgb="FFFCFCFF"/>
      </colorScale>
    </cfRule>
  </conditionalFormatting>
  <conditionalFormatting sqref="DO110">
    <cfRule type="colorScale" priority="1989">
      <colorScale>
        <cfvo type="min"/>
        <cfvo type="percentile" val="50"/>
        <cfvo type="max"/>
        <color rgb="FFF8696B"/>
        <color rgb="FFFFEB84"/>
        <color rgb="FF63BE7B"/>
      </colorScale>
    </cfRule>
  </conditionalFormatting>
  <conditionalFormatting sqref="DO110">
    <cfRule type="colorScale" priority="1988">
      <colorScale>
        <cfvo type="min"/>
        <cfvo type="max"/>
        <color rgb="FFFCFCFF"/>
        <color rgb="FFF8696B"/>
      </colorScale>
    </cfRule>
  </conditionalFormatting>
  <conditionalFormatting sqref="DQ110">
    <cfRule type="colorScale" priority="1987">
      <colorScale>
        <cfvo type="min"/>
        <cfvo type="percentile" val="50"/>
        <cfvo type="max"/>
        <color rgb="FFF8696B"/>
        <color rgb="FFFFEB84"/>
        <color rgb="FF63BE7B"/>
      </colorScale>
    </cfRule>
  </conditionalFormatting>
  <conditionalFormatting sqref="DQ110">
    <cfRule type="colorScale" priority="1986">
      <colorScale>
        <cfvo type="min"/>
        <cfvo type="percentile" val="50"/>
        <cfvo type="max"/>
        <color rgb="FF63BE7B"/>
        <color rgb="FFFFEB84"/>
        <color rgb="FFF8696B"/>
      </colorScale>
    </cfRule>
  </conditionalFormatting>
  <conditionalFormatting sqref="DQ110">
    <cfRule type="colorScale" priority="1983">
      <colorScale>
        <cfvo type="min"/>
        <cfvo type="max"/>
        <color rgb="FFFCFCFF"/>
        <color rgb="FFF8696B"/>
      </colorScale>
    </cfRule>
    <cfRule type="colorScale" priority="1985">
      <colorScale>
        <cfvo type="min"/>
        <cfvo type="percentile" val="50"/>
        <cfvo type="max"/>
        <color rgb="FF63BE7B"/>
        <color rgb="FFFFEB84"/>
        <color rgb="FFF8696B"/>
      </colorScale>
    </cfRule>
  </conditionalFormatting>
  <conditionalFormatting sqref="DQ110">
    <cfRule type="colorScale" priority="1984">
      <colorScale>
        <cfvo type="min"/>
        <cfvo type="max"/>
        <color rgb="FFF8696B"/>
        <color rgb="FFFCFCFF"/>
      </colorScale>
    </cfRule>
  </conditionalFormatting>
  <conditionalFormatting sqref="DQ110">
    <cfRule type="colorScale" priority="1982">
      <colorScale>
        <cfvo type="min"/>
        <cfvo type="percentile" val="50"/>
        <cfvo type="max"/>
        <color rgb="FFF8696B"/>
        <color rgb="FFFFEB84"/>
        <color rgb="FF63BE7B"/>
      </colorScale>
    </cfRule>
  </conditionalFormatting>
  <conditionalFormatting sqref="DQ110">
    <cfRule type="colorScale" priority="1981">
      <colorScale>
        <cfvo type="min"/>
        <cfvo type="max"/>
        <color rgb="FFFCFCFF"/>
        <color rgb="FFF8696B"/>
      </colorScale>
    </cfRule>
  </conditionalFormatting>
  <conditionalFormatting sqref="DK99 DK125 DM99 DO99:DO104 DQ99 DS99 DU99 DW99 DW104 DU104 DS104 DQ104 DK110:DK119 DM110:DM119 DO110:DO114 DQ110:DQ114 DS119 DU119 DU114 DU109 DW109 DW114 DW119 DM125 DO127 DQ127 DS125 DS127 DU125 DU127 DW125 DW127">
    <cfRule type="colorScale" priority="1980">
      <colorScale>
        <cfvo type="min"/>
        <cfvo type="max"/>
        <color rgb="FFFCFCFF"/>
        <color rgb="FFF8696B"/>
      </colorScale>
    </cfRule>
  </conditionalFormatting>
  <conditionalFormatting sqref="DK99 DW125 DM99 DO99:DO104 DQ99 DS99 DU99 DW99 DW104 DU104 DS104 DQ104 DK110:DK119 DM110:DM119 DO110:DO114 DQ110:DQ114 DS119 DU109 DU114 DW109 DW114 DW119 DU119 DW127 DU125 DU127 DS125 DS127 DQ127 DO127 DM125 DK125">
    <cfRule type="colorScale" priority="1979">
      <colorScale>
        <cfvo type="min"/>
        <cfvo type="max"/>
        <color rgb="FFFCFCFF"/>
        <color rgb="FFF8696B"/>
      </colorScale>
    </cfRule>
  </conditionalFormatting>
  <conditionalFormatting sqref="DS110">
    <cfRule type="colorScale" priority="1978">
      <colorScale>
        <cfvo type="min"/>
        <cfvo type="percentile" val="50"/>
        <cfvo type="max"/>
        <color rgb="FFF8696B"/>
        <color rgb="FFFFEB84"/>
        <color rgb="FF63BE7B"/>
      </colorScale>
    </cfRule>
  </conditionalFormatting>
  <conditionalFormatting sqref="DS110">
    <cfRule type="colorScale" priority="1977">
      <colorScale>
        <cfvo type="min"/>
        <cfvo type="percentile" val="50"/>
        <cfvo type="max"/>
        <color rgb="FF63BE7B"/>
        <color rgb="FFFFEB84"/>
        <color rgb="FFF8696B"/>
      </colorScale>
    </cfRule>
  </conditionalFormatting>
  <conditionalFormatting sqref="DS110">
    <cfRule type="colorScale" priority="1974">
      <colorScale>
        <cfvo type="min"/>
        <cfvo type="max"/>
        <color rgb="FFFCFCFF"/>
        <color rgb="FFF8696B"/>
      </colorScale>
    </cfRule>
    <cfRule type="colorScale" priority="1976">
      <colorScale>
        <cfvo type="min"/>
        <cfvo type="percentile" val="50"/>
        <cfvo type="max"/>
        <color rgb="FF63BE7B"/>
        <color rgb="FFFFEB84"/>
        <color rgb="FFF8696B"/>
      </colorScale>
    </cfRule>
  </conditionalFormatting>
  <conditionalFormatting sqref="DS110">
    <cfRule type="colorScale" priority="1975">
      <colorScale>
        <cfvo type="min"/>
        <cfvo type="max"/>
        <color rgb="FFF8696B"/>
        <color rgb="FFFCFCFF"/>
      </colorScale>
    </cfRule>
  </conditionalFormatting>
  <conditionalFormatting sqref="DS110">
    <cfRule type="colorScale" priority="1973">
      <colorScale>
        <cfvo type="min"/>
        <cfvo type="percentile" val="50"/>
        <cfvo type="max"/>
        <color rgb="FFF8696B"/>
        <color rgb="FFFFEB84"/>
        <color rgb="FF63BE7B"/>
      </colorScale>
    </cfRule>
  </conditionalFormatting>
  <conditionalFormatting sqref="DS110">
    <cfRule type="colorScale" priority="1972">
      <colorScale>
        <cfvo type="min"/>
        <cfvo type="max"/>
        <color rgb="FFFCFCFF"/>
        <color rgb="FFF8696B"/>
      </colorScale>
    </cfRule>
  </conditionalFormatting>
  <conditionalFormatting sqref="DS110:DS114">
    <cfRule type="colorScale" priority="1971">
      <colorScale>
        <cfvo type="min"/>
        <cfvo type="max"/>
        <color rgb="FFFCFCFF"/>
        <color rgb="FFF8696B"/>
      </colorScale>
    </cfRule>
  </conditionalFormatting>
  <conditionalFormatting sqref="DS110:DS114">
    <cfRule type="colorScale" priority="1970">
      <colorScale>
        <cfvo type="min"/>
        <cfvo type="max"/>
        <color rgb="FFFCFCFF"/>
        <color rgb="FFF8696B"/>
      </colorScale>
    </cfRule>
  </conditionalFormatting>
  <conditionalFormatting sqref="DK99 DK125 DM99 DO99:DO104 DQ99 DS99 DU99 DW99 DW104 DU104 DS104 DQ104 DK110:DK119 DM110:DM119 DO110:DO114 DQ110:DQ114 DS110:DS114 DS119 DU114 DU109 DW109 DW114 DW119 DU119 DM125 DO127 DQ127 DS125 DS127 DU125 DU127 DW125 DW127">
    <cfRule type="colorScale" priority="1969">
      <colorScale>
        <cfvo type="min"/>
        <cfvo type="max"/>
        <color rgb="FFFCFCFF"/>
        <color rgb="FFF8696B"/>
      </colorScale>
    </cfRule>
  </conditionalFormatting>
  <conditionalFormatting sqref="CY84 DA84 DC84 DE84 DG84">
    <cfRule type="colorScale" priority="1968">
      <colorScale>
        <cfvo type="min"/>
        <cfvo type="max"/>
        <color rgb="FFFCFCFF"/>
        <color rgb="FFF8696B"/>
      </colorScale>
    </cfRule>
  </conditionalFormatting>
  <conditionalFormatting sqref="DQ76 DQ82">
    <cfRule type="colorScale" priority="1967">
      <colorScale>
        <cfvo type="min"/>
        <cfvo type="percentile" val="50"/>
        <cfvo type="max"/>
        <color rgb="FFF8696B"/>
        <color rgb="FFFFEB84"/>
        <color rgb="FF63BE7B"/>
      </colorScale>
    </cfRule>
  </conditionalFormatting>
  <conditionalFormatting sqref="DQ76 DQ82">
    <cfRule type="colorScale" priority="1966">
      <colorScale>
        <cfvo type="min"/>
        <cfvo type="percentile" val="50"/>
        <cfvo type="max"/>
        <color rgb="FF63BE7B"/>
        <color rgb="FFFFEB84"/>
        <color rgb="FFF8696B"/>
      </colorScale>
    </cfRule>
  </conditionalFormatting>
  <conditionalFormatting sqref="DQ76 DQ82">
    <cfRule type="colorScale" priority="1963">
      <colorScale>
        <cfvo type="min"/>
        <cfvo type="max"/>
        <color rgb="FFFCFCFF"/>
        <color rgb="FFF8696B"/>
      </colorScale>
    </cfRule>
    <cfRule type="colorScale" priority="1965">
      <colorScale>
        <cfvo type="min"/>
        <cfvo type="percentile" val="50"/>
        <cfvo type="max"/>
        <color rgb="FF63BE7B"/>
        <color rgb="FFFFEB84"/>
        <color rgb="FFF8696B"/>
      </colorScale>
    </cfRule>
  </conditionalFormatting>
  <conditionalFormatting sqref="DQ76 DQ82">
    <cfRule type="colorScale" priority="1964">
      <colorScale>
        <cfvo type="min"/>
        <cfvo type="max"/>
        <color rgb="FFF8696B"/>
        <color rgb="FFFCFCFF"/>
      </colorScale>
    </cfRule>
  </conditionalFormatting>
  <conditionalFormatting sqref="DO84">
    <cfRule type="colorScale" priority="1962">
      <colorScale>
        <cfvo type="min"/>
        <cfvo type="percentile" val="50"/>
        <cfvo type="max"/>
        <color rgb="FFF8696B"/>
        <color rgb="FFFFEB84"/>
        <color rgb="FF63BE7B"/>
      </colorScale>
    </cfRule>
  </conditionalFormatting>
  <conditionalFormatting sqref="DO84">
    <cfRule type="colorScale" priority="1961">
      <colorScale>
        <cfvo type="min"/>
        <cfvo type="percentile" val="50"/>
        <cfvo type="max"/>
        <color rgb="FFF8696B"/>
        <color rgb="FFFFEB84"/>
        <color rgb="FF63BE7B"/>
      </colorScale>
    </cfRule>
  </conditionalFormatting>
  <conditionalFormatting sqref="DO84">
    <cfRule type="colorScale" priority="1960">
      <colorScale>
        <cfvo type="min"/>
        <cfvo type="percentile" val="50"/>
        <cfvo type="max"/>
        <color rgb="FFF8696B"/>
        <color rgb="FFFFEB84"/>
        <color rgb="FF63BE7B"/>
      </colorScale>
    </cfRule>
  </conditionalFormatting>
  <conditionalFormatting sqref="DO84">
    <cfRule type="colorScale" priority="1959">
      <colorScale>
        <cfvo type="min"/>
        <cfvo type="percentile" val="50"/>
        <cfvo type="max"/>
        <color rgb="FF63BE7B"/>
        <color rgb="FFFFEB84"/>
        <color rgb="FFF8696B"/>
      </colorScale>
    </cfRule>
  </conditionalFormatting>
  <conditionalFormatting sqref="DO84">
    <cfRule type="colorScale" priority="1956">
      <colorScale>
        <cfvo type="min"/>
        <cfvo type="max"/>
        <color rgb="FFFCFCFF"/>
        <color rgb="FFF8696B"/>
      </colorScale>
    </cfRule>
    <cfRule type="colorScale" priority="1958">
      <colorScale>
        <cfvo type="min"/>
        <cfvo type="percentile" val="50"/>
        <cfvo type="max"/>
        <color rgb="FF63BE7B"/>
        <color rgb="FFFFEB84"/>
        <color rgb="FFF8696B"/>
      </colorScale>
    </cfRule>
  </conditionalFormatting>
  <conditionalFormatting sqref="DO84">
    <cfRule type="colorScale" priority="1957">
      <colorScale>
        <cfvo type="min"/>
        <cfvo type="max"/>
        <color rgb="FFF8696B"/>
        <color rgb="FFFCFCFF"/>
      </colorScale>
    </cfRule>
  </conditionalFormatting>
  <conditionalFormatting sqref="DQ84">
    <cfRule type="colorScale" priority="1955">
      <colorScale>
        <cfvo type="min"/>
        <cfvo type="percentile" val="50"/>
        <cfvo type="max"/>
        <color rgb="FFF8696B"/>
        <color rgb="FFFFEB84"/>
        <color rgb="FF63BE7B"/>
      </colorScale>
    </cfRule>
  </conditionalFormatting>
  <conditionalFormatting sqref="DQ84">
    <cfRule type="colorScale" priority="1954">
      <colorScale>
        <cfvo type="min"/>
        <cfvo type="percentile" val="50"/>
        <cfvo type="max"/>
        <color rgb="FFF8696B"/>
        <color rgb="FFFFEB84"/>
        <color rgb="FF63BE7B"/>
      </colorScale>
    </cfRule>
  </conditionalFormatting>
  <conditionalFormatting sqref="DQ84">
    <cfRule type="colorScale" priority="1953">
      <colorScale>
        <cfvo type="min"/>
        <cfvo type="percentile" val="50"/>
        <cfvo type="max"/>
        <color rgb="FFF8696B"/>
        <color rgb="FFFFEB84"/>
        <color rgb="FF63BE7B"/>
      </colorScale>
    </cfRule>
  </conditionalFormatting>
  <conditionalFormatting sqref="DQ84">
    <cfRule type="colorScale" priority="1952">
      <colorScale>
        <cfvo type="min"/>
        <cfvo type="percentile" val="50"/>
        <cfvo type="max"/>
        <color rgb="FF63BE7B"/>
        <color rgb="FFFFEB84"/>
        <color rgb="FFF8696B"/>
      </colorScale>
    </cfRule>
  </conditionalFormatting>
  <conditionalFormatting sqref="DQ84">
    <cfRule type="colorScale" priority="1949">
      <colorScale>
        <cfvo type="min"/>
        <cfvo type="max"/>
        <color rgb="FFFCFCFF"/>
        <color rgb="FFF8696B"/>
      </colorScale>
    </cfRule>
    <cfRule type="colorScale" priority="1951">
      <colorScale>
        <cfvo type="min"/>
        <cfvo type="percentile" val="50"/>
        <cfvo type="max"/>
        <color rgb="FF63BE7B"/>
        <color rgb="FFFFEB84"/>
        <color rgb="FFF8696B"/>
      </colorScale>
    </cfRule>
  </conditionalFormatting>
  <conditionalFormatting sqref="DQ84">
    <cfRule type="colorScale" priority="1950">
      <colorScale>
        <cfvo type="min"/>
        <cfvo type="max"/>
        <color rgb="FFF8696B"/>
        <color rgb="FFFCFCFF"/>
      </colorScale>
    </cfRule>
  </conditionalFormatting>
  <conditionalFormatting sqref="DQ76">
    <cfRule type="colorScale" priority="1948">
      <colorScale>
        <cfvo type="min"/>
        <cfvo type="percentile" val="50"/>
        <cfvo type="max"/>
        <color rgb="FFF8696B"/>
        <color rgb="FFFFEB84"/>
        <color rgb="FF63BE7B"/>
      </colorScale>
    </cfRule>
  </conditionalFormatting>
  <conditionalFormatting sqref="DQ82">
    <cfRule type="colorScale" priority="1947">
      <colorScale>
        <cfvo type="min"/>
        <cfvo type="percentile" val="50"/>
        <cfvo type="max"/>
        <color rgb="FFF8696B"/>
        <color rgb="FFFFEB84"/>
        <color rgb="FF63BE7B"/>
      </colorScale>
    </cfRule>
  </conditionalFormatting>
  <conditionalFormatting sqref="DQ82 DQ76 DO84 DQ84">
    <cfRule type="colorScale" priority="1946">
      <colorScale>
        <cfvo type="min"/>
        <cfvo type="max"/>
        <color rgb="FFFCFCFF"/>
        <color rgb="FFF8696B"/>
      </colorScale>
    </cfRule>
  </conditionalFormatting>
  <conditionalFormatting sqref="DQ76 DO84 DQ82 DQ84">
    <cfRule type="colorScale" priority="1945">
      <colorScale>
        <cfvo type="min"/>
        <cfvo type="max"/>
        <color rgb="FFFCFCFF"/>
        <color rgb="FFF8696B"/>
      </colorScale>
    </cfRule>
  </conditionalFormatting>
  <conditionalFormatting sqref="DS84">
    <cfRule type="colorScale" priority="1944">
      <colorScale>
        <cfvo type="min"/>
        <cfvo type="percentile" val="50"/>
        <cfvo type="max"/>
        <color rgb="FFF8696B"/>
        <color rgb="FFFFEB84"/>
        <color rgb="FF63BE7B"/>
      </colorScale>
    </cfRule>
  </conditionalFormatting>
  <conditionalFormatting sqref="DS84">
    <cfRule type="colorScale" priority="1943">
      <colorScale>
        <cfvo type="min"/>
        <cfvo type="percentile" val="50"/>
        <cfvo type="max"/>
        <color rgb="FFF8696B"/>
        <color rgb="FFFFEB84"/>
        <color rgb="FF63BE7B"/>
      </colorScale>
    </cfRule>
  </conditionalFormatting>
  <conditionalFormatting sqref="DS84">
    <cfRule type="colorScale" priority="1942">
      <colorScale>
        <cfvo type="min"/>
        <cfvo type="percentile" val="50"/>
        <cfvo type="max"/>
        <color rgb="FFF8696B"/>
        <color rgb="FFFFEB84"/>
        <color rgb="FF63BE7B"/>
      </colorScale>
    </cfRule>
  </conditionalFormatting>
  <conditionalFormatting sqref="DS84">
    <cfRule type="colorScale" priority="1941">
      <colorScale>
        <cfvo type="min"/>
        <cfvo type="percentile" val="50"/>
        <cfvo type="max"/>
        <color rgb="FF63BE7B"/>
        <color rgb="FFFFEB84"/>
        <color rgb="FFF8696B"/>
      </colorScale>
    </cfRule>
  </conditionalFormatting>
  <conditionalFormatting sqref="DS84">
    <cfRule type="colorScale" priority="1938">
      <colorScale>
        <cfvo type="min"/>
        <cfvo type="max"/>
        <color rgb="FFFCFCFF"/>
        <color rgb="FFF8696B"/>
      </colorScale>
    </cfRule>
    <cfRule type="colorScale" priority="1940">
      <colorScale>
        <cfvo type="min"/>
        <cfvo type="percentile" val="50"/>
        <cfvo type="max"/>
        <color rgb="FF63BE7B"/>
        <color rgb="FFFFEB84"/>
        <color rgb="FFF8696B"/>
      </colorScale>
    </cfRule>
  </conditionalFormatting>
  <conditionalFormatting sqref="DS84">
    <cfRule type="colorScale" priority="1939">
      <colorScale>
        <cfvo type="min"/>
        <cfvo type="max"/>
        <color rgb="FFF8696B"/>
        <color rgb="FFFCFCFF"/>
      </colorScale>
    </cfRule>
  </conditionalFormatting>
  <conditionalFormatting sqref="DS84">
    <cfRule type="colorScale" priority="1937">
      <colorScale>
        <cfvo type="min"/>
        <cfvo type="max"/>
        <color rgb="FFFCFCFF"/>
        <color rgb="FFF8696B"/>
      </colorScale>
    </cfRule>
  </conditionalFormatting>
  <conditionalFormatting sqref="DU84">
    <cfRule type="colorScale" priority="1936">
      <colorScale>
        <cfvo type="min"/>
        <cfvo type="percentile" val="50"/>
        <cfvo type="max"/>
        <color rgb="FFF8696B"/>
        <color rgb="FFFFEB84"/>
        <color rgb="FF63BE7B"/>
      </colorScale>
    </cfRule>
  </conditionalFormatting>
  <conditionalFormatting sqref="DU84">
    <cfRule type="colorScale" priority="1935">
      <colorScale>
        <cfvo type="min"/>
        <cfvo type="percentile" val="50"/>
        <cfvo type="max"/>
        <color rgb="FFF8696B"/>
        <color rgb="FFFFEB84"/>
        <color rgb="FF63BE7B"/>
      </colorScale>
    </cfRule>
  </conditionalFormatting>
  <conditionalFormatting sqref="DU84">
    <cfRule type="colorScale" priority="1934">
      <colorScale>
        <cfvo type="min"/>
        <cfvo type="percentile" val="50"/>
        <cfvo type="max"/>
        <color rgb="FFF8696B"/>
        <color rgb="FFFFEB84"/>
        <color rgb="FF63BE7B"/>
      </colorScale>
    </cfRule>
  </conditionalFormatting>
  <conditionalFormatting sqref="DU84">
    <cfRule type="colorScale" priority="1933">
      <colorScale>
        <cfvo type="min"/>
        <cfvo type="percentile" val="50"/>
        <cfvo type="max"/>
        <color rgb="FF63BE7B"/>
        <color rgb="FFFFEB84"/>
        <color rgb="FFF8696B"/>
      </colorScale>
    </cfRule>
  </conditionalFormatting>
  <conditionalFormatting sqref="DU84">
    <cfRule type="colorScale" priority="1930">
      <colorScale>
        <cfvo type="min"/>
        <cfvo type="max"/>
        <color rgb="FFFCFCFF"/>
        <color rgb="FFF8696B"/>
      </colorScale>
    </cfRule>
    <cfRule type="colorScale" priority="1932">
      <colorScale>
        <cfvo type="min"/>
        <cfvo type="percentile" val="50"/>
        <cfvo type="max"/>
        <color rgb="FF63BE7B"/>
        <color rgb="FFFFEB84"/>
        <color rgb="FFF8696B"/>
      </colorScale>
    </cfRule>
  </conditionalFormatting>
  <conditionalFormatting sqref="DU84">
    <cfRule type="colorScale" priority="1931">
      <colorScale>
        <cfvo type="min"/>
        <cfvo type="max"/>
        <color rgb="FFF8696B"/>
        <color rgb="FFFCFCFF"/>
      </colorScale>
    </cfRule>
  </conditionalFormatting>
  <conditionalFormatting sqref="DU84">
    <cfRule type="colorScale" priority="1929">
      <colorScale>
        <cfvo type="min"/>
        <cfvo type="max"/>
        <color rgb="FFFCFCFF"/>
        <color rgb="FFF8696B"/>
      </colorScale>
    </cfRule>
  </conditionalFormatting>
  <conditionalFormatting sqref="DW82 DW66 DW71 DW76">
    <cfRule type="colorScale" priority="1928">
      <colorScale>
        <cfvo type="min"/>
        <cfvo type="percentile" val="50"/>
        <cfvo type="max"/>
        <color rgb="FFF8696B"/>
        <color rgb="FFFFEB84"/>
        <color rgb="FF63BE7B"/>
      </colorScale>
    </cfRule>
  </conditionalFormatting>
  <conditionalFormatting sqref="DW76">
    <cfRule type="colorScale" priority="1927">
      <colorScale>
        <cfvo type="min"/>
        <cfvo type="percentile" val="50"/>
        <cfvo type="max"/>
        <color rgb="FFF8696B"/>
        <color rgb="FFFFEB84"/>
        <color rgb="FF63BE7B"/>
      </colorScale>
    </cfRule>
  </conditionalFormatting>
  <conditionalFormatting sqref="DW82 DW66 DW71 DW76">
    <cfRule type="colorScale" priority="1926">
      <colorScale>
        <cfvo type="min"/>
        <cfvo type="percentile" val="50"/>
        <cfvo type="max"/>
        <color rgb="FF63BE7B"/>
        <color rgb="FFFFEB84"/>
        <color rgb="FFF8696B"/>
      </colorScale>
    </cfRule>
  </conditionalFormatting>
  <conditionalFormatting sqref="DW82 DW66 DW71 DW76">
    <cfRule type="colorScale" priority="1923">
      <colorScale>
        <cfvo type="min"/>
        <cfvo type="max"/>
        <color rgb="FFFCFCFF"/>
        <color rgb="FFF8696B"/>
      </colorScale>
    </cfRule>
    <cfRule type="colorScale" priority="1925">
      <colorScale>
        <cfvo type="min"/>
        <cfvo type="percentile" val="50"/>
        <cfvo type="max"/>
        <color rgb="FF63BE7B"/>
        <color rgb="FFFFEB84"/>
        <color rgb="FFF8696B"/>
      </colorScale>
    </cfRule>
  </conditionalFormatting>
  <conditionalFormatting sqref="DW82 DW71 DW66 DW76">
    <cfRule type="colorScale" priority="1924">
      <colorScale>
        <cfvo type="min"/>
        <cfvo type="max"/>
        <color rgb="FFF8696B"/>
        <color rgb="FFFCFCFF"/>
      </colorScale>
    </cfRule>
  </conditionalFormatting>
  <conditionalFormatting sqref="DW84">
    <cfRule type="colorScale" priority="1922">
      <colorScale>
        <cfvo type="min"/>
        <cfvo type="percentile" val="50"/>
        <cfvo type="max"/>
        <color rgb="FFF8696B"/>
        <color rgb="FFFFEB84"/>
        <color rgb="FF63BE7B"/>
      </colorScale>
    </cfRule>
  </conditionalFormatting>
  <conditionalFormatting sqref="DW84">
    <cfRule type="colorScale" priority="1921">
      <colorScale>
        <cfvo type="min"/>
        <cfvo type="percentile" val="50"/>
        <cfvo type="max"/>
        <color rgb="FFF8696B"/>
        <color rgb="FFFFEB84"/>
        <color rgb="FF63BE7B"/>
      </colorScale>
    </cfRule>
  </conditionalFormatting>
  <conditionalFormatting sqref="DW84">
    <cfRule type="colorScale" priority="1920">
      <colorScale>
        <cfvo type="min"/>
        <cfvo type="percentile" val="50"/>
        <cfvo type="max"/>
        <color rgb="FFF8696B"/>
        <color rgb="FFFFEB84"/>
        <color rgb="FF63BE7B"/>
      </colorScale>
    </cfRule>
  </conditionalFormatting>
  <conditionalFormatting sqref="DW84">
    <cfRule type="colorScale" priority="1919">
      <colorScale>
        <cfvo type="min"/>
        <cfvo type="percentile" val="50"/>
        <cfvo type="max"/>
        <color rgb="FF63BE7B"/>
        <color rgb="FFFFEB84"/>
        <color rgb="FFF8696B"/>
      </colorScale>
    </cfRule>
  </conditionalFormatting>
  <conditionalFormatting sqref="DW84">
    <cfRule type="colorScale" priority="1916">
      <colorScale>
        <cfvo type="min"/>
        <cfvo type="max"/>
        <color rgb="FFFCFCFF"/>
        <color rgb="FFF8696B"/>
      </colorScale>
    </cfRule>
    <cfRule type="colorScale" priority="1918">
      <colorScale>
        <cfvo type="min"/>
        <cfvo type="percentile" val="50"/>
        <cfvo type="max"/>
        <color rgb="FF63BE7B"/>
        <color rgb="FFFFEB84"/>
        <color rgb="FFF8696B"/>
      </colorScale>
    </cfRule>
  </conditionalFormatting>
  <conditionalFormatting sqref="DW84">
    <cfRule type="colorScale" priority="1917">
      <colorScale>
        <cfvo type="min"/>
        <cfvo type="max"/>
        <color rgb="FFF8696B"/>
        <color rgb="FFFCFCFF"/>
      </colorScale>
    </cfRule>
  </conditionalFormatting>
  <conditionalFormatting sqref="DW66">
    <cfRule type="colorScale" priority="1915">
      <colorScale>
        <cfvo type="min"/>
        <cfvo type="percentile" val="50"/>
        <cfvo type="max"/>
        <color rgb="FFF8696B"/>
        <color rgb="FFFFEB84"/>
        <color rgb="FF63BE7B"/>
      </colorScale>
    </cfRule>
  </conditionalFormatting>
  <conditionalFormatting sqref="DW71">
    <cfRule type="colorScale" priority="1914">
      <colorScale>
        <cfvo type="min"/>
        <cfvo type="percentile" val="50"/>
        <cfvo type="max"/>
        <color rgb="FFF8696B"/>
        <color rgb="FFFFEB84"/>
        <color rgb="FF63BE7B"/>
      </colorScale>
    </cfRule>
  </conditionalFormatting>
  <conditionalFormatting sqref="DW76">
    <cfRule type="colorScale" priority="1913">
      <colorScale>
        <cfvo type="min"/>
        <cfvo type="percentile" val="50"/>
        <cfvo type="max"/>
        <color rgb="FFF8696B"/>
        <color rgb="FFFFEB84"/>
        <color rgb="FF63BE7B"/>
      </colorScale>
    </cfRule>
  </conditionalFormatting>
  <conditionalFormatting sqref="DW82">
    <cfRule type="colorScale" priority="1912">
      <colorScale>
        <cfvo type="min"/>
        <cfvo type="percentile" val="50"/>
        <cfvo type="max"/>
        <color rgb="FFF8696B"/>
        <color rgb="FFFFEB84"/>
        <color rgb="FF63BE7B"/>
      </colorScale>
    </cfRule>
  </conditionalFormatting>
  <conditionalFormatting sqref="DW82 DW71 DW66 DW76 DW84">
    <cfRule type="colorScale" priority="1911">
      <colorScale>
        <cfvo type="min"/>
        <cfvo type="max"/>
        <color rgb="FFFCFCFF"/>
        <color rgb="FFF8696B"/>
      </colorScale>
    </cfRule>
  </conditionalFormatting>
  <conditionalFormatting sqref="DW61">
    <cfRule type="colorScale" priority="1910">
      <colorScale>
        <cfvo type="min"/>
        <cfvo type="percentile" val="50"/>
        <cfvo type="max"/>
        <color rgb="FFF8696B"/>
        <color rgb="FFFFEB84"/>
        <color rgb="FF63BE7B"/>
      </colorScale>
    </cfRule>
  </conditionalFormatting>
  <conditionalFormatting sqref="DW61">
    <cfRule type="colorScale" priority="1909">
      <colorScale>
        <cfvo type="min"/>
        <cfvo type="percentile" val="50"/>
        <cfvo type="max"/>
        <color rgb="FFF8696B"/>
        <color rgb="FFFFEB84"/>
        <color rgb="FF63BE7B"/>
      </colorScale>
    </cfRule>
  </conditionalFormatting>
  <conditionalFormatting sqref="DW61">
    <cfRule type="colorScale" priority="1908">
      <colorScale>
        <cfvo type="min"/>
        <cfvo type="percentile" val="50"/>
        <cfvo type="max"/>
        <color rgb="FF63BE7B"/>
        <color rgb="FFFFEB84"/>
        <color rgb="FFF8696B"/>
      </colorScale>
    </cfRule>
  </conditionalFormatting>
  <conditionalFormatting sqref="DW61">
    <cfRule type="colorScale" priority="1905">
      <colorScale>
        <cfvo type="min"/>
        <cfvo type="max"/>
        <color rgb="FFFCFCFF"/>
        <color rgb="FFF8696B"/>
      </colorScale>
    </cfRule>
    <cfRule type="colorScale" priority="1907">
      <colorScale>
        <cfvo type="min"/>
        <cfvo type="percentile" val="50"/>
        <cfvo type="max"/>
        <color rgb="FF63BE7B"/>
        <color rgb="FFFFEB84"/>
        <color rgb="FFF8696B"/>
      </colorScale>
    </cfRule>
  </conditionalFormatting>
  <conditionalFormatting sqref="DW61">
    <cfRule type="colorScale" priority="1906">
      <colorScale>
        <cfvo type="min"/>
        <cfvo type="max"/>
        <color rgb="FFF8696B"/>
        <color rgb="FFFCFCFF"/>
      </colorScale>
    </cfRule>
  </conditionalFormatting>
  <conditionalFormatting sqref="DW61">
    <cfRule type="colorScale" priority="1904">
      <colorScale>
        <cfvo type="min"/>
        <cfvo type="max"/>
        <color rgb="FFFCFCFF"/>
        <color rgb="FFF8696B"/>
      </colorScale>
    </cfRule>
  </conditionalFormatting>
  <conditionalFormatting sqref="DW56">
    <cfRule type="colorScale" priority="1903">
      <colorScale>
        <cfvo type="min"/>
        <cfvo type="percentile" val="50"/>
        <cfvo type="max"/>
        <color rgb="FFF8696B"/>
        <color rgb="FFFFEB84"/>
        <color rgb="FF63BE7B"/>
      </colorScale>
    </cfRule>
  </conditionalFormatting>
  <conditionalFormatting sqref="DW56">
    <cfRule type="colorScale" priority="1902">
      <colorScale>
        <cfvo type="min"/>
        <cfvo type="percentile" val="50"/>
        <cfvo type="max"/>
        <color rgb="FFF8696B"/>
        <color rgb="FFFFEB84"/>
        <color rgb="FF63BE7B"/>
      </colorScale>
    </cfRule>
  </conditionalFormatting>
  <conditionalFormatting sqref="DW56">
    <cfRule type="colorScale" priority="1901">
      <colorScale>
        <cfvo type="min"/>
        <cfvo type="percentile" val="50"/>
        <cfvo type="max"/>
        <color rgb="FF63BE7B"/>
        <color rgb="FFFFEB84"/>
        <color rgb="FFF8696B"/>
      </colorScale>
    </cfRule>
  </conditionalFormatting>
  <conditionalFormatting sqref="DW56">
    <cfRule type="colorScale" priority="1898">
      <colorScale>
        <cfvo type="min"/>
        <cfvo type="max"/>
        <color rgb="FFFCFCFF"/>
        <color rgb="FFF8696B"/>
      </colorScale>
    </cfRule>
    <cfRule type="colorScale" priority="1900">
      <colorScale>
        <cfvo type="min"/>
        <cfvo type="percentile" val="50"/>
        <cfvo type="max"/>
        <color rgb="FF63BE7B"/>
        <color rgb="FFFFEB84"/>
        <color rgb="FFF8696B"/>
      </colorScale>
    </cfRule>
  </conditionalFormatting>
  <conditionalFormatting sqref="DW56">
    <cfRule type="colorScale" priority="1899">
      <colorScale>
        <cfvo type="min"/>
        <cfvo type="max"/>
        <color rgb="FFF8696B"/>
        <color rgb="FFFCFCFF"/>
      </colorScale>
    </cfRule>
  </conditionalFormatting>
  <conditionalFormatting sqref="DW56">
    <cfRule type="colorScale" priority="1897">
      <colorScale>
        <cfvo type="min"/>
        <cfvo type="max"/>
        <color rgb="FFFCFCFF"/>
        <color rgb="FFF8696B"/>
      </colorScale>
    </cfRule>
  </conditionalFormatting>
  <conditionalFormatting sqref="DW61 DW56 DW66 DW71 DW76 DS84 DU84 DW82 DW84">
    <cfRule type="colorScale" priority="1896">
      <colorScale>
        <cfvo type="min"/>
        <cfvo type="max"/>
        <color rgb="FFFCFCFF"/>
        <color rgb="FFF8696B"/>
      </colorScale>
    </cfRule>
  </conditionalFormatting>
  <conditionalFormatting sqref="DW82 DW56 DW61 DW66 DW71 DW76 DW84 DU84 DS84">
    <cfRule type="colorScale" priority="1895">
      <colorScale>
        <cfvo type="min"/>
        <cfvo type="max"/>
        <color rgb="FFFCFCFF"/>
        <color rgb="FFF8696B"/>
      </colorScale>
    </cfRule>
  </conditionalFormatting>
  <conditionalFormatting sqref="DW61 DW56 DW66 DW71 DW76 DQ76 DO84 DQ82 DQ84 DS84 DU84 DW82 DW84">
    <cfRule type="colorScale" priority="1894">
      <colorScale>
        <cfvo type="min"/>
        <cfvo type="max"/>
        <color rgb="FFFCFCFF"/>
        <color rgb="FFF8696B"/>
      </colorScale>
    </cfRule>
  </conditionalFormatting>
  <conditionalFormatting sqref="DO18">
    <cfRule type="colorScale" priority="1893">
      <colorScale>
        <cfvo type="min"/>
        <cfvo type="percentile" val="50"/>
        <cfvo type="max"/>
        <color rgb="FFF8696B"/>
        <color rgb="FFFFEB84"/>
        <color rgb="FF63BE7B"/>
      </colorScale>
    </cfRule>
  </conditionalFormatting>
  <conditionalFormatting sqref="DO18">
    <cfRule type="colorScale" priority="1892">
      <colorScale>
        <cfvo type="min"/>
        <cfvo type="percentile" val="50"/>
        <cfvo type="max"/>
        <color rgb="FF63BE7B"/>
        <color rgb="FFFFEB84"/>
        <color rgb="FFF8696B"/>
      </colorScale>
    </cfRule>
  </conditionalFormatting>
  <conditionalFormatting sqref="DO18">
    <cfRule type="colorScale" priority="1889">
      <colorScale>
        <cfvo type="min"/>
        <cfvo type="max"/>
        <color rgb="FFFCFCFF"/>
        <color rgb="FFF8696B"/>
      </colorScale>
    </cfRule>
    <cfRule type="colorScale" priority="1891">
      <colorScale>
        <cfvo type="min"/>
        <cfvo type="percentile" val="50"/>
        <cfvo type="max"/>
        <color rgb="FF63BE7B"/>
        <color rgb="FFFFEB84"/>
        <color rgb="FFF8696B"/>
      </colorScale>
    </cfRule>
  </conditionalFormatting>
  <conditionalFormatting sqref="DO18">
    <cfRule type="colorScale" priority="1890">
      <colorScale>
        <cfvo type="min"/>
        <cfvo type="max"/>
        <color rgb="FFF8696B"/>
        <color rgb="FFFCFCFF"/>
      </colorScale>
    </cfRule>
  </conditionalFormatting>
  <conditionalFormatting sqref="DO18">
    <cfRule type="colorScale" priority="1888">
      <colorScale>
        <cfvo type="min"/>
        <cfvo type="max"/>
        <color rgb="FFFCFCFF"/>
        <color rgb="FFF8696B"/>
      </colorScale>
    </cfRule>
  </conditionalFormatting>
  <conditionalFormatting sqref="DO13">
    <cfRule type="colorScale" priority="1887">
      <colorScale>
        <cfvo type="min"/>
        <cfvo type="percentile" val="50"/>
        <cfvo type="max"/>
        <color rgb="FFF8696B"/>
        <color rgb="FFFFEB84"/>
        <color rgb="FF63BE7B"/>
      </colorScale>
    </cfRule>
  </conditionalFormatting>
  <conditionalFormatting sqref="DO13">
    <cfRule type="colorScale" priority="1886">
      <colorScale>
        <cfvo type="min"/>
        <cfvo type="percentile" val="50"/>
        <cfvo type="max"/>
        <color rgb="FFF8696B"/>
        <color rgb="FFFFEB84"/>
        <color rgb="FF63BE7B"/>
      </colorScale>
    </cfRule>
  </conditionalFormatting>
  <conditionalFormatting sqref="DO13">
    <cfRule type="colorScale" priority="1885">
      <colorScale>
        <cfvo type="min"/>
        <cfvo type="percentile" val="50"/>
        <cfvo type="max"/>
        <color rgb="FF63BE7B"/>
        <color rgb="FFFFEB84"/>
        <color rgb="FFF8696B"/>
      </colorScale>
    </cfRule>
  </conditionalFormatting>
  <conditionalFormatting sqref="DO13">
    <cfRule type="colorScale" priority="1882">
      <colorScale>
        <cfvo type="min"/>
        <cfvo type="max"/>
        <color rgb="FFFCFCFF"/>
        <color rgb="FFF8696B"/>
      </colorScale>
    </cfRule>
    <cfRule type="colorScale" priority="1884">
      <colorScale>
        <cfvo type="min"/>
        <cfvo type="percentile" val="50"/>
        <cfvo type="max"/>
        <color rgb="FF63BE7B"/>
        <color rgb="FFFFEB84"/>
        <color rgb="FFF8696B"/>
      </colorScale>
    </cfRule>
  </conditionalFormatting>
  <conditionalFormatting sqref="DO13">
    <cfRule type="colorScale" priority="1883">
      <colorScale>
        <cfvo type="min"/>
        <cfvo type="max"/>
        <color rgb="FFF8696B"/>
        <color rgb="FFFCFCFF"/>
      </colorScale>
    </cfRule>
  </conditionalFormatting>
  <conditionalFormatting sqref="DO13">
    <cfRule type="colorScale" priority="1881">
      <colorScale>
        <cfvo type="min"/>
        <cfvo type="max"/>
        <color rgb="FFFCFCFF"/>
        <color rgb="FFF8696B"/>
      </colorScale>
    </cfRule>
  </conditionalFormatting>
  <conditionalFormatting sqref="DK18 DM18">
    <cfRule type="colorScale" priority="1880">
      <colorScale>
        <cfvo type="min"/>
        <cfvo type="max"/>
        <color rgb="FFFCFCFF"/>
        <color rgb="FFF8696B"/>
      </colorScale>
    </cfRule>
  </conditionalFormatting>
  <conditionalFormatting sqref="DK13 DM13">
    <cfRule type="colorScale" priority="1879">
      <colorScale>
        <cfvo type="min"/>
        <cfvo type="percentile" val="50"/>
        <cfvo type="max"/>
        <color rgb="FFF8696B"/>
        <color rgb="FFFFEB84"/>
        <color rgb="FF63BE7B"/>
      </colorScale>
    </cfRule>
  </conditionalFormatting>
  <conditionalFormatting sqref="DK13 DM13">
    <cfRule type="colorScale" priority="1878">
      <colorScale>
        <cfvo type="min"/>
        <cfvo type="percentile" val="50"/>
        <cfvo type="max"/>
        <color rgb="FFF8696B"/>
        <color rgb="FFFFEB84"/>
        <color rgb="FF63BE7B"/>
      </colorScale>
    </cfRule>
  </conditionalFormatting>
  <conditionalFormatting sqref="DK13 DM13">
    <cfRule type="colorScale" priority="1877">
      <colorScale>
        <cfvo type="min"/>
        <cfvo type="percentile" val="50"/>
        <cfvo type="max"/>
        <color rgb="FF63BE7B"/>
        <color rgb="FFFFEB84"/>
        <color rgb="FFF8696B"/>
      </colorScale>
    </cfRule>
  </conditionalFormatting>
  <conditionalFormatting sqref="DK13 DM13">
    <cfRule type="colorScale" priority="1874">
      <colorScale>
        <cfvo type="min"/>
        <cfvo type="max"/>
        <color rgb="FFFCFCFF"/>
        <color rgb="FFF8696B"/>
      </colorScale>
    </cfRule>
    <cfRule type="colorScale" priority="1876">
      <colorScale>
        <cfvo type="min"/>
        <cfvo type="percentile" val="50"/>
        <cfvo type="max"/>
        <color rgb="FF63BE7B"/>
        <color rgb="FFFFEB84"/>
        <color rgb="FFF8696B"/>
      </colorScale>
    </cfRule>
  </conditionalFormatting>
  <conditionalFormatting sqref="DK13 DM13">
    <cfRule type="colorScale" priority="1875">
      <colorScale>
        <cfvo type="min"/>
        <cfvo type="max"/>
        <color rgb="FFF8696B"/>
        <color rgb="FFFCFCFF"/>
      </colorScale>
    </cfRule>
  </conditionalFormatting>
  <conditionalFormatting sqref="DK13 DM13">
    <cfRule type="colorScale" priority="1873">
      <colorScale>
        <cfvo type="min"/>
        <cfvo type="max"/>
        <color rgb="FFFCFCFF"/>
        <color rgb="FFF8696B"/>
      </colorScale>
    </cfRule>
  </conditionalFormatting>
  <conditionalFormatting sqref="DS18">
    <cfRule type="colorScale" priority="1872">
      <colorScale>
        <cfvo type="min"/>
        <cfvo type="percentile" val="50"/>
        <cfvo type="max"/>
        <color rgb="FFF8696B"/>
        <color rgb="FFFFEB84"/>
        <color rgb="FF63BE7B"/>
      </colorScale>
    </cfRule>
  </conditionalFormatting>
  <conditionalFormatting sqref="DS18">
    <cfRule type="colorScale" priority="1871">
      <colorScale>
        <cfvo type="min"/>
        <cfvo type="percentile" val="50"/>
        <cfvo type="max"/>
        <color rgb="FFF8696B"/>
        <color rgb="FFFFEB84"/>
        <color rgb="FF63BE7B"/>
      </colorScale>
    </cfRule>
  </conditionalFormatting>
  <conditionalFormatting sqref="DS18">
    <cfRule type="colorScale" priority="1870">
      <colorScale>
        <cfvo type="min"/>
        <cfvo type="percentile" val="50"/>
        <cfvo type="max"/>
        <color rgb="FF63BE7B"/>
        <color rgb="FFFFEB84"/>
        <color rgb="FFF8696B"/>
      </colorScale>
    </cfRule>
  </conditionalFormatting>
  <conditionalFormatting sqref="DS18">
    <cfRule type="colorScale" priority="1867">
      <colorScale>
        <cfvo type="min"/>
        <cfvo type="max"/>
        <color rgb="FFFCFCFF"/>
        <color rgb="FFF8696B"/>
      </colorScale>
    </cfRule>
    <cfRule type="colorScale" priority="1869">
      <colorScale>
        <cfvo type="min"/>
        <cfvo type="percentile" val="50"/>
        <cfvo type="max"/>
        <color rgb="FF63BE7B"/>
        <color rgb="FFFFEB84"/>
        <color rgb="FFF8696B"/>
      </colorScale>
    </cfRule>
  </conditionalFormatting>
  <conditionalFormatting sqref="DS18">
    <cfRule type="colorScale" priority="1868">
      <colorScale>
        <cfvo type="min"/>
        <cfvo type="max"/>
        <color rgb="FFF8696B"/>
        <color rgb="FFFCFCFF"/>
      </colorScale>
    </cfRule>
  </conditionalFormatting>
  <conditionalFormatting sqref="DS18">
    <cfRule type="colorScale" priority="1866">
      <colorScale>
        <cfvo type="min"/>
        <cfvo type="max"/>
        <color rgb="FFFCFCFF"/>
        <color rgb="FFF8696B"/>
      </colorScale>
    </cfRule>
  </conditionalFormatting>
  <conditionalFormatting sqref="DU18">
    <cfRule type="colorScale" priority="1865">
      <colorScale>
        <cfvo type="min"/>
        <cfvo type="percentile" val="50"/>
        <cfvo type="max"/>
        <color rgb="FFF8696B"/>
        <color rgb="FFFFEB84"/>
        <color rgb="FF63BE7B"/>
      </colorScale>
    </cfRule>
  </conditionalFormatting>
  <conditionalFormatting sqref="DU18">
    <cfRule type="colorScale" priority="1864">
      <colorScale>
        <cfvo type="min"/>
        <cfvo type="percentile" val="50"/>
        <cfvo type="max"/>
        <color rgb="FFF8696B"/>
        <color rgb="FFFFEB84"/>
        <color rgb="FF63BE7B"/>
      </colorScale>
    </cfRule>
  </conditionalFormatting>
  <conditionalFormatting sqref="DU18">
    <cfRule type="colorScale" priority="1863">
      <colorScale>
        <cfvo type="min"/>
        <cfvo type="percentile" val="50"/>
        <cfvo type="max"/>
        <color rgb="FF63BE7B"/>
        <color rgb="FFFFEB84"/>
        <color rgb="FFF8696B"/>
      </colorScale>
    </cfRule>
  </conditionalFormatting>
  <conditionalFormatting sqref="DU18">
    <cfRule type="colorScale" priority="1860">
      <colorScale>
        <cfvo type="min"/>
        <cfvo type="max"/>
        <color rgb="FFFCFCFF"/>
        <color rgb="FFF8696B"/>
      </colorScale>
    </cfRule>
    <cfRule type="colorScale" priority="1862">
      <colorScale>
        <cfvo type="min"/>
        <cfvo type="percentile" val="50"/>
        <cfvo type="max"/>
        <color rgb="FF63BE7B"/>
        <color rgb="FFFFEB84"/>
        <color rgb="FFF8696B"/>
      </colorScale>
    </cfRule>
  </conditionalFormatting>
  <conditionalFormatting sqref="DU18">
    <cfRule type="colorScale" priority="1861">
      <colorScale>
        <cfvo type="min"/>
        <cfvo type="max"/>
        <color rgb="FFF8696B"/>
        <color rgb="FFFCFCFF"/>
      </colorScale>
    </cfRule>
  </conditionalFormatting>
  <conditionalFormatting sqref="DU18">
    <cfRule type="colorScale" priority="1859">
      <colorScale>
        <cfvo type="min"/>
        <cfvo type="max"/>
        <color rgb="FFFCFCFF"/>
        <color rgb="FFF8696B"/>
      </colorScale>
    </cfRule>
  </conditionalFormatting>
  <conditionalFormatting sqref="DW18">
    <cfRule type="colorScale" priority="1858">
      <colorScale>
        <cfvo type="min"/>
        <cfvo type="percentile" val="50"/>
        <cfvo type="max"/>
        <color rgb="FFF8696B"/>
        <color rgb="FFFFEB84"/>
        <color rgb="FF63BE7B"/>
      </colorScale>
    </cfRule>
  </conditionalFormatting>
  <conditionalFormatting sqref="DW18">
    <cfRule type="colorScale" priority="1857">
      <colorScale>
        <cfvo type="min"/>
        <cfvo type="percentile" val="50"/>
        <cfvo type="max"/>
        <color rgb="FFF8696B"/>
        <color rgb="FFFFEB84"/>
        <color rgb="FF63BE7B"/>
      </colorScale>
    </cfRule>
  </conditionalFormatting>
  <conditionalFormatting sqref="DW18">
    <cfRule type="colorScale" priority="1856">
      <colorScale>
        <cfvo type="min"/>
        <cfvo type="percentile" val="50"/>
        <cfvo type="max"/>
        <color rgb="FF63BE7B"/>
        <color rgb="FFFFEB84"/>
        <color rgb="FFF8696B"/>
      </colorScale>
    </cfRule>
  </conditionalFormatting>
  <conditionalFormatting sqref="DW18">
    <cfRule type="colorScale" priority="1853">
      <colorScale>
        <cfvo type="min"/>
        <cfvo type="max"/>
        <color rgb="FFFCFCFF"/>
        <color rgb="FFF8696B"/>
      </colorScale>
    </cfRule>
    <cfRule type="colorScale" priority="1855">
      <colorScale>
        <cfvo type="min"/>
        <cfvo type="percentile" val="50"/>
        <cfvo type="max"/>
        <color rgb="FF63BE7B"/>
        <color rgb="FFFFEB84"/>
        <color rgb="FFF8696B"/>
      </colorScale>
    </cfRule>
  </conditionalFormatting>
  <conditionalFormatting sqref="DW18">
    <cfRule type="colorScale" priority="1854">
      <colorScale>
        <cfvo type="min"/>
        <cfvo type="max"/>
        <color rgb="FFF8696B"/>
        <color rgb="FFFCFCFF"/>
      </colorScale>
    </cfRule>
  </conditionalFormatting>
  <conditionalFormatting sqref="DW18">
    <cfRule type="colorScale" priority="1852">
      <colorScale>
        <cfvo type="min"/>
        <cfvo type="max"/>
        <color rgb="FFFCFCFF"/>
        <color rgb="FFF8696B"/>
      </colorScale>
    </cfRule>
  </conditionalFormatting>
  <conditionalFormatting sqref="DS13">
    <cfRule type="colorScale" priority="1851">
      <colorScale>
        <cfvo type="min"/>
        <cfvo type="percentile" val="50"/>
        <cfvo type="max"/>
        <color rgb="FFF8696B"/>
        <color rgb="FFFFEB84"/>
        <color rgb="FF63BE7B"/>
      </colorScale>
    </cfRule>
  </conditionalFormatting>
  <conditionalFormatting sqref="DS13">
    <cfRule type="colorScale" priority="1850">
      <colorScale>
        <cfvo type="min"/>
        <cfvo type="percentile" val="50"/>
        <cfvo type="max"/>
        <color rgb="FFF8696B"/>
        <color rgb="FFFFEB84"/>
        <color rgb="FF63BE7B"/>
      </colorScale>
    </cfRule>
  </conditionalFormatting>
  <conditionalFormatting sqref="DS13">
    <cfRule type="colorScale" priority="1849">
      <colorScale>
        <cfvo type="min"/>
        <cfvo type="percentile" val="50"/>
        <cfvo type="max"/>
        <color rgb="FF63BE7B"/>
        <color rgb="FFFFEB84"/>
        <color rgb="FFF8696B"/>
      </colorScale>
    </cfRule>
  </conditionalFormatting>
  <conditionalFormatting sqref="DS13">
    <cfRule type="colorScale" priority="1846">
      <colorScale>
        <cfvo type="min"/>
        <cfvo type="max"/>
        <color rgb="FFFCFCFF"/>
        <color rgb="FFF8696B"/>
      </colorScale>
    </cfRule>
    <cfRule type="colorScale" priority="1848">
      <colorScale>
        <cfvo type="min"/>
        <cfvo type="percentile" val="50"/>
        <cfvo type="max"/>
        <color rgb="FF63BE7B"/>
        <color rgb="FFFFEB84"/>
        <color rgb="FFF8696B"/>
      </colorScale>
    </cfRule>
  </conditionalFormatting>
  <conditionalFormatting sqref="DS13">
    <cfRule type="colorScale" priority="1847">
      <colorScale>
        <cfvo type="min"/>
        <cfvo type="max"/>
        <color rgb="FFF8696B"/>
        <color rgb="FFFCFCFF"/>
      </colorScale>
    </cfRule>
  </conditionalFormatting>
  <conditionalFormatting sqref="DS13">
    <cfRule type="colorScale" priority="1845">
      <colorScale>
        <cfvo type="min"/>
        <cfvo type="max"/>
        <color rgb="FFFCFCFF"/>
        <color rgb="FFF8696B"/>
      </colorScale>
    </cfRule>
  </conditionalFormatting>
  <conditionalFormatting sqref="DU13">
    <cfRule type="colorScale" priority="1844">
      <colorScale>
        <cfvo type="min"/>
        <cfvo type="percentile" val="50"/>
        <cfvo type="max"/>
        <color rgb="FFF8696B"/>
        <color rgb="FFFFEB84"/>
        <color rgb="FF63BE7B"/>
      </colorScale>
    </cfRule>
  </conditionalFormatting>
  <conditionalFormatting sqref="DU13">
    <cfRule type="colorScale" priority="1843">
      <colorScale>
        <cfvo type="min"/>
        <cfvo type="percentile" val="50"/>
        <cfvo type="max"/>
        <color rgb="FFF8696B"/>
        <color rgb="FFFFEB84"/>
        <color rgb="FF63BE7B"/>
      </colorScale>
    </cfRule>
  </conditionalFormatting>
  <conditionalFormatting sqref="DU13">
    <cfRule type="colorScale" priority="1842">
      <colorScale>
        <cfvo type="min"/>
        <cfvo type="percentile" val="50"/>
        <cfvo type="max"/>
        <color rgb="FF63BE7B"/>
        <color rgb="FFFFEB84"/>
        <color rgb="FFF8696B"/>
      </colorScale>
    </cfRule>
  </conditionalFormatting>
  <conditionalFormatting sqref="DU13">
    <cfRule type="colorScale" priority="1839">
      <colorScale>
        <cfvo type="min"/>
        <cfvo type="max"/>
        <color rgb="FFFCFCFF"/>
        <color rgb="FFF8696B"/>
      </colorScale>
    </cfRule>
    <cfRule type="colorScale" priority="1841">
      <colorScale>
        <cfvo type="min"/>
        <cfvo type="percentile" val="50"/>
        <cfvo type="max"/>
        <color rgb="FF63BE7B"/>
        <color rgb="FFFFEB84"/>
        <color rgb="FFF8696B"/>
      </colorScale>
    </cfRule>
  </conditionalFormatting>
  <conditionalFormatting sqref="DU13">
    <cfRule type="colorScale" priority="1840">
      <colorScale>
        <cfvo type="min"/>
        <cfvo type="max"/>
        <color rgb="FFF8696B"/>
        <color rgb="FFFCFCFF"/>
      </colorScale>
    </cfRule>
  </conditionalFormatting>
  <conditionalFormatting sqref="DU13">
    <cfRule type="colorScale" priority="1838">
      <colorScale>
        <cfvo type="min"/>
        <cfvo type="max"/>
        <color rgb="FFFCFCFF"/>
        <color rgb="FFF8696B"/>
      </colorScale>
    </cfRule>
  </conditionalFormatting>
  <conditionalFormatting sqref="DW13">
    <cfRule type="colorScale" priority="1837">
      <colorScale>
        <cfvo type="min"/>
        <cfvo type="percentile" val="50"/>
        <cfvo type="max"/>
        <color rgb="FFF8696B"/>
        <color rgb="FFFFEB84"/>
        <color rgb="FF63BE7B"/>
      </colorScale>
    </cfRule>
  </conditionalFormatting>
  <conditionalFormatting sqref="DW13">
    <cfRule type="colorScale" priority="1836">
      <colorScale>
        <cfvo type="min"/>
        <cfvo type="percentile" val="50"/>
        <cfvo type="max"/>
        <color rgb="FFF8696B"/>
        <color rgb="FFFFEB84"/>
        <color rgb="FF63BE7B"/>
      </colorScale>
    </cfRule>
  </conditionalFormatting>
  <conditionalFormatting sqref="DW13">
    <cfRule type="colorScale" priority="1835">
      <colorScale>
        <cfvo type="min"/>
        <cfvo type="percentile" val="50"/>
        <cfvo type="max"/>
        <color rgb="FF63BE7B"/>
        <color rgb="FFFFEB84"/>
        <color rgb="FFF8696B"/>
      </colorScale>
    </cfRule>
  </conditionalFormatting>
  <conditionalFormatting sqref="DW13">
    <cfRule type="colorScale" priority="1832">
      <colorScale>
        <cfvo type="min"/>
        <cfvo type="max"/>
        <color rgb="FFFCFCFF"/>
        <color rgb="FFF8696B"/>
      </colorScale>
    </cfRule>
    <cfRule type="colorScale" priority="1834">
      <colorScale>
        <cfvo type="min"/>
        <cfvo type="percentile" val="50"/>
        <cfvo type="max"/>
        <color rgb="FF63BE7B"/>
        <color rgb="FFFFEB84"/>
        <color rgb="FFF8696B"/>
      </colorScale>
    </cfRule>
  </conditionalFormatting>
  <conditionalFormatting sqref="DW13">
    <cfRule type="colorScale" priority="1833">
      <colorScale>
        <cfvo type="min"/>
        <cfvo type="max"/>
        <color rgb="FFF8696B"/>
        <color rgb="FFFCFCFF"/>
      </colorScale>
    </cfRule>
  </conditionalFormatting>
  <conditionalFormatting sqref="DW13">
    <cfRule type="colorScale" priority="1831">
      <colorScale>
        <cfvo type="min"/>
        <cfvo type="max"/>
        <color rgb="FFFCFCFF"/>
        <color rgb="FFF8696B"/>
      </colorScale>
    </cfRule>
  </conditionalFormatting>
  <conditionalFormatting sqref="DQ13">
    <cfRule type="colorScale" priority="1830">
      <colorScale>
        <cfvo type="min"/>
        <cfvo type="percentile" val="50"/>
        <cfvo type="max"/>
        <color rgb="FFF8696B"/>
        <color rgb="FFFFEB84"/>
        <color rgb="FF63BE7B"/>
      </colorScale>
    </cfRule>
  </conditionalFormatting>
  <conditionalFormatting sqref="DQ13">
    <cfRule type="colorScale" priority="1829">
      <colorScale>
        <cfvo type="min"/>
        <cfvo type="percentile" val="50"/>
        <cfvo type="max"/>
        <color rgb="FFF8696B"/>
        <color rgb="FFFFEB84"/>
        <color rgb="FF63BE7B"/>
      </colorScale>
    </cfRule>
  </conditionalFormatting>
  <conditionalFormatting sqref="DQ13">
    <cfRule type="colorScale" priority="1828">
      <colorScale>
        <cfvo type="min"/>
        <cfvo type="percentile" val="50"/>
        <cfvo type="max"/>
        <color rgb="FF63BE7B"/>
        <color rgb="FFFFEB84"/>
        <color rgb="FFF8696B"/>
      </colorScale>
    </cfRule>
  </conditionalFormatting>
  <conditionalFormatting sqref="DQ13">
    <cfRule type="colorScale" priority="1825">
      <colorScale>
        <cfvo type="min"/>
        <cfvo type="max"/>
        <color rgb="FFFCFCFF"/>
        <color rgb="FFF8696B"/>
      </colorScale>
    </cfRule>
    <cfRule type="colorScale" priority="1827">
      <colorScale>
        <cfvo type="min"/>
        <cfvo type="percentile" val="50"/>
        <cfvo type="max"/>
        <color rgb="FF63BE7B"/>
        <color rgb="FFFFEB84"/>
        <color rgb="FFF8696B"/>
      </colorScale>
    </cfRule>
  </conditionalFormatting>
  <conditionalFormatting sqref="DQ13">
    <cfRule type="colorScale" priority="1826">
      <colorScale>
        <cfvo type="min"/>
        <cfvo type="max"/>
        <color rgb="FFF8696B"/>
        <color rgb="FFFCFCFF"/>
      </colorScale>
    </cfRule>
  </conditionalFormatting>
  <conditionalFormatting sqref="DQ13">
    <cfRule type="colorScale" priority="1824">
      <colorScale>
        <cfvo type="min"/>
        <cfvo type="max"/>
        <color rgb="FFFCFCFF"/>
        <color rgb="FFF8696B"/>
      </colorScale>
    </cfRule>
  </conditionalFormatting>
  <conditionalFormatting sqref="DQ18">
    <cfRule type="colorScale" priority="1823">
      <colorScale>
        <cfvo type="min"/>
        <cfvo type="percentile" val="50"/>
        <cfvo type="max"/>
        <color rgb="FFF8696B"/>
        <color rgb="FFFFEB84"/>
        <color rgb="FF63BE7B"/>
      </colorScale>
    </cfRule>
  </conditionalFormatting>
  <conditionalFormatting sqref="DQ18">
    <cfRule type="colorScale" priority="1822">
      <colorScale>
        <cfvo type="min"/>
        <cfvo type="percentile" val="50"/>
        <cfvo type="max"/>
        <color rgb="FF63BE7B"/>
        <color rgb="FFFFEB84"/>
        <color rgb="FFF8696B"/>
      </colorScale>
    </cfRule>
  </conditionalFormatting>
  <conditionalFormatting sqref="DQ18">
    <cfRule type="colorScale" priority="1819">
      <colorScale>
        <cfvo type="min"/>
        <cfvo type="max"/>
        <color rgb="FFFCFCFF"/>
        <color rgb="FFF8696B"/>
      </colorScale>
    </cfRule>
    <cfRule type="colorScale" priority="1821">
      <colorScale>
        <cfvo type="min"/>
        <cfvo type="percentile" val="50"/>
        <cfvo type="max"/>
        <color rgb="FF63BE7B"/>
        <color rgb="FFFFEB84"/>
        <color rgb="FFF8696B"/>
      </colorScale>
    </cfRule>
  </conditionalFormatting>
  <conditionalFormatting sqref="DQ18">
    <cfRule type="colorScale" priority="1820">
      <colorScale>
        <cfvo type="min"/>
        <cfvo type="max"/>
        <color rgb="FFF8696B"/>
        <color rgb="FFFCFCFF"/>
      </colorScale>
    </cfRule>
  </conditionalFormatting>
  <conditionalFormatting sqref="DQ18">
    <cfRule type="colorScale" priority="1818">
      <colorScale>
        <cfvo type="min"/>
        <cfvo type="max"/>
        <color rgb="FFFCFCFF"/>
        <color rgb="FFF8696B"/>
      </colorScale>
    </cfRule>
  </conditionalFormatting>
  <conditionalFormatting sqref="DK13 DM13 DO13 DQ13 DS13 DU13 DW13 DW18 DU18 DS18 DQ18 DO18">
    <cfRule type="colorScale" priority="1817">
      <colorScale>
        <cfvo type="min"/>
        <cfvo type="max"/>
        <color rgb="FFFCFCFF"/>
        <color rgb="FFF8696B"/>
      </colorScale>
    </cfRule>
  </conditionalFormatting>
  <conditionalFormatting sqref="DW18 DW13 DU18 DU13 DS13 DS18 DQ13 DQ18 DO18 DO13 DM13 DK13">
    <cfRule type="colorScale" priority="1816">
      <colorScale>
        <cfvo type="min"/>
        <cfvo type="max"/>
        <color rgb="FFFCFCFF"/>
        <color rgb="FFF8696B"/>
      </colorScale>
    </cfRule>
  </conditionalFormatting>
  <conditionalFormatting sqref="DK39 DM39">
    <cfRule type="colorScale" priority="1815">
      <colorScale>
        <cfvo type="min"/>
        <cfvo type="percentile" val="50"/>
        <cfvo type="max"/>
        <color rgb="FFF8696B"/>
        <color rgb="FFFFEB84"/>
        <color rgb="FF63BE7B"/>
      </colorScale>
    </cfRule>
  </conditionalFormatting>
  <conditionalFormatting sqref="DK39 DM39">
    <cfRule type="colorScale" priority="1814">
      <colorScale>
        <cfvo type="min"/>
        <cfvo type="percentile" val="50"/>
        <cfvo type="max"/>
        <color rgb="FF63BE7B"/>
        <color rgb="FFFFEB84"/>
        <color rgb="FFF8696B"/>
      </colorScale>
    </cfRule>
  </conditionalFormatting>
  <conditionalFormatting sqref="DK39 DM39">
    <cfRule type="colorScale" priority="1811">
      <colorScale>
        <cfvo type="min"/>
        <cfvo type="max"/>
        <color rgb="FFFCFCFF"/>
        <color rgb="FFF8696B"/>
      </colorScale>
    </cfRule>
    <cfRule type="colorScale" priority="1813">
      <colorScale>
        <cfvo type="min"/>
        <cfvo type="percentile" val="50"/>
        <cfvo type="max"/>
        <color rgb="FF63BE7B"/>
        <color rgb="FFFFEB84"/>
        <color rgb="FFF8696B"/>
      </colorScale>
    </cfRule>
  </conditionalFormatting>
  <conditionalFormatting sqref="DK39 DM39">
    <cfRule type="colorScale" priority="1812">
      <colorScale>
        <cfvo type="min"/>
        <cfvo type="max"/>
        <color rgb="FFF8696B"/>
        <color rgb="FFFCFCFF"/>
      </colorScale>
    </cfRule>
  </conditionalFormatting>
  <conditionalFormatting sqref="DK39">
    <cfRule type="colorScale" priority="1810">
      <colorScale>
        <cfvo type="min"/>
        <cfvo type="percentile" val="50"/>
        <cfvo type="max"/>
        <color rgb="FFF8696B"/>
        <color rgb="FFFFEB84"/>
        <color rgb="FF63BE7B"/>
      </colorScale>
    </cfRule>
  </conditionalFormatting>
  <conditionalFormatting sqref="DM39">
    <cfRule type="colorScale" priority="1809">
      <colorScale>
        <cfvo type="min"/>
        <cfvo type="percentile" val="50"/>
        <cfvo type="max"/>
        <color rgb="FFF8696B"/>
        <color rgb="FFFFEB84"/>
        <color rgb="FF63BE7B"/>
      </colorScale>
    </cfRule>
  </conditionalFormatting>
  <conditionalFormatting sqref="DK39 DM39">
    <cfRule type="colorScale" priority="1808">
      <colorScale>
        <cfvo type="min"/>
        <cfvo type="max"/>
        <color rgb="FFFCFCFF"/>
        <color rgb="FFF8696B"/>
      </colorScale>
    </cfRule>
  </conditionalFormatting>
  <conditionalFormatting sqref="DO39 DQ33 DO33 DQ39">
    <cfRule type="colorScale" priority="1807">
      <colorScale>
        <cfvo type="min"/>
        <cfvo type="percentile" val="50"/>
        <cfvo type="max"/>
        <color rgb="FFF8696B"/>
        <color rgb="FFFFEB84"/>
        <color rgb="FF63BE7B"/>
      </colorScale>
    </cfRule>
  </conditionalFormatting>
  <conditionalFormatting sqref="DO39 DQ33 DO33 DQ39">
    <cfRule type="colorScale" priority="1806">
      <colorScale>
        <cfvo type="min"/>
        <cfvo type="percentile" val="50"/>
        <cfvo type="max"/>
        <color rgb="FF63BE7B"/>
        <color rgb="FFFFEB84"/>
        <color rgb="FFF8696B"/>
      </colorScale>
    </cfRule>
  </conditionalFormatting>
  <conditionalFormatting sqref="DO39 DO33 DQ33 DQ39">
    <cfRule type="colorScale" priority="1803">
      <colorScale>
        <cfvo type="min"/>
        <cfvo type="max"/>
        <color rgb="FFFCFCFF"/>
        <color rgb="FFF8696B"/>
      </colorScale>
    </cfRule>
    <cfRule type="colorScale" priority="1805">
      <colorScale>
        <cfvo type="min"/>
        <cfvo type="percentile" val="50"/>
        <cfvo type="max"/>
        <color rgb="FF63BE7B"/>
        <color rgb="FFFFEB84"/>
        <color rgb="FFF8696B"/>
      </colorScale>
    </cfRule>
  </conditionalFormatting>
  <conditionalFormatting sqref="DO33 DO39 DQ33 DQ39">
    <cfRule type="colorScale" priority="1804">
      <colorScale>
        <cfvo type="min"/>
        <cfvo type="max"/>
        <color rgb="FFF8696B"/>
        <color rgb="FFFCFCFF"/>
      </colorScale>
    </cfRule>
  </conditionalFormatting>
  <conditionalFormatting sqref="DO41">
    <cfRule type="colorScale" priority="1802">
      <colorScale>
        <cfvo type="min"/>
        <cfvo type="percentile" val="50"/>
        <cfvo type="max"/>
        <color rgb="FFF8696B"/>
        <color rgb="FFFFEB84"/>
        <color rgb="FF63BE7B"/>
      </colorScale>
    </cfRule>
  </conditionalFormatting>
  <conditionalFormatting sqref="DO41">
    <cfRule type="colorScale" priority="1801">
      <colorScale>
        <cfvo type="min"/>
        <cfvo type="percentile" val="50"/>
        <cfvo type="max"/>
        <color rgb="FFF8696B"/>
        <color rgb="FFFFEB84"/>
        <color rgb="FF63BE7B"/>
      </colorScale>
    </cfRule>
  </conditionalFormatting>
  <conditionalFormatting sqref="DO41">
    <cfRule type="colorScale" priority="1800">
      <colorScale>
        <cfvo type="min"/>
        <cfvo type="percentile" val="50"/>
        <cfvo type="max"/>
        <color rgb="FFF8696B"/>
        <color rgb="FFFFEB84"/>
        <color rgb="FF63BE7B"/>
      </colorScale>
    </cfRule>
  </conditionalFormatting>
  <conditionalFormatting sqref="DO41">
    <cfRule type="colorScale" priority="1799">
      <colorScale>
        <cfvo type="min"/>
        <cfvo type="percentile" val="50"/>
        <cfvo type="max"/>
        <color rgb="FF63BE7B"/>
        <color rgb="FFFFEB84"/>
        <color rgb="FFF8696B"/>
      </colorScale>
    </cfRule>
  </conditionalFormatting>
  <conditionalFormatting sqref="DO41">
    <cfRule type="colorScale" priority="1796">
      <colorScale>
        <cfvo type="min"/>
        <cfvo type="max"/>
        <color rgb="FFFCFCFF"/>
        <color rgb="FFF8696B"/>
      </colorScale>
    </cfRule>
    <cfRule type="colorScale" priority="1798">
      <colorScale>
        <cfvo type="min"/>
        <cfvo type="percentile" val="50"/>
        <cfvo type="max"/>
        <color rgb="FF63BE7B"/>
        <color rgb="FFFFEB84"/>
        <color rgb="FFF8696B"/>
      </colorScale>
    </cfRule>
  </conditionalFormatting>
  <conditionalFormatting sqref="DO41">
    <cfRule type="colorScale" priority="1797">
      <colorScale>
        <cfvo type="min"/>
        <cfvo type="max"/>
        <color rgb="FFF8696B"/>
        <color rgb="FFFCFCFF"/>
      </colorScale>
    </cfRule>
  </conditionalFormatting>
  <conditionalFormatting sqref="DQ41">
    <cfRule type="colorScale" priority="1795">
      <colorScale>
        <cfvo type="min"/>
        <cfvo type="percentile" val="50"/>
        <cfvo type="max"/>
        <color rgb="FFF8696B"/>
        <color rgb="FFFFEB84"/>
        <color rgb="FF63BE7B"/>
      </colorScale>
    </cfRule>
  </conditionalFormatting>
  <conditionalFormatting sqref="DQ41">
    <cfRule type="colorScale" priority="1794">
      <colorScale>
        <cfvo type="min"/>
        <cfvo type="percentile" val="50"/>
        <cfvo type="max"/>
        <color rgb="FFF8696B"/>
        <color rgb="FFFFEB84"/>
        <color rgb="FF63BE7B"/>
      </colorScale>
    </cfRule>
  </conditionalFormatting>
  <conditionalFormatting sqref="DQ41">
    <cfRule type="colorScale" priority="1793">
      <colorScale>
        <cfvo type="min"/>
        <cfvo type="percentile" val="50"/>
        <cfvo type="max"/>
        <color rgb="FFF8696B"/>
        <color rgb="FFFFEB84"/>
        <color rgb="FF63BE7B"/>
      </colorScale>
    </cfRule>
  </conditionalFormatting>
  <conditionalFormatting sqref="DQ41">
    <cfRule type="colorScale" priority="1792">
      <colorScale>
        <cfvo type="min"/>
        <cfvo type="percentile" val="50"/>
        <cfvo type="max"/>
        <color rgb="FF63BE7B"/>
        <color rgb="FFFFEB84"/>
        <color rgb="FFF8696B"/>
      </colorScale>
    </cfRule>
  </conditionalFormatting>
  <conditionalFormatting sqref="DQ41">
    <cfRule type="colorScale" priority="1789">
      <colorScale>
        <cfvo type="min"/>
        <cfvo type="max"/>
        <color rgb="FFFCFCFF"/>
        <color rgb="FFF8696B"/>
      </colorScale>
    </cfRule>
    <cfRule type="colorScale" priority="1791">
      <colorScale>
        <cfvo type="min"/>
        <cfvo type="percentile" val="50"/>
        <cfvo type="max"/>
        <color rgb="FF63BE7B"/>
        <color rgb="FFFFEB84"/>
        <color rgb="FFF8696B"/>
      </colorScale>
    </cfRule>
  </conditionalFormatting>
  <conditionalFormatting sqref="DQ41">
    <cfRule type="colorScale" priority="1790">
      <colorScale>
        <cfvo type="min"/>
        <cfvo type="max"/>
        <color rgb="FFF8696B"/>
        <color rgb="FFFCFCFF"/>
      </colorScale>
    </cfRule>
  </conditionalFormatting>
  <conditionalFormatting sqref="DO33">
    <cfRule type="colorScale" priority="1788">
      <colorScale>
        <cfvo type="min"/>
        <cfvo type="percentile" val="50"/>
        <cfvo type="max"/>
        <color rgb="FFF8696B"/>
        <color rgb="FFFFEB84"/>
        <color rgb="FF63BE7B"/>
      </colorScale>
    </cfRule>
  </conditionalFormatting>
  <conditionalFormatting sqref="DQ33">
    <cfRule type="colorScale" priority="1787">
      <colorScale>
        <cfvo type="min"/>
        <cfvo type="percentile" val="50"/>
        <cfvo type="max"/>
        <color rgb="FFF8696B"/>
        <color rgb="FFFFEB84"/>
        <color rgb="FF63BE7B"/>
      </colorScale>
    </cfRule>
  </conditionalFormatting>
  <conditionalFormatting sqref="DO39">
    <cfRule type="colorScale" priority="1786">
      <colorScale>
        <cfvo type="min"/>
        <cfvo type="percentile" val="50"/>
        <cfvo type="max"/>
        <color rgb="FFF8696B"/>
        <color rgb="FFFFEB84"/>
        <color rgb="FF63BE7B"/>
      </colorScale>
    </cfRule>
  </conditionalFormatting>
  <conditionalFormatting sqref="DQ39">
    <cfRule type="colorScale" priority="1785">
      <colorScale>
        <cfvo type="min"/>
        <cfvo type="percentile" val="50"/>
        <cfvo type="max"/>
        <color rgb="FFF8696B"/>
        <color rgb="FFFFEB84"/>
        <color rgb="FF63BE7B"/>
      </colorScale>
    </cfRule>
  </conditionalFormatting>
  <conditionalFormatting sqref="DO33 DQ39 DQ33 DO39 DO41 DQ41">
    <cfRule type="colorScale" priority="1784">
      <colorScale>
        <cfvo type="min"/>
        <cfvo type="max"/>
        <color rgb="FFFCFCFF"/>
        <color rgb="FFF8696B"/>
      </colorScale>
    </cfRule>
  </conditionalFormatting>
  <conditionalFormatting sqref="DO24">
    <cfRule type="colorScale" priority="1783">
      <colorScale>
        <cfvo type="min"/>
        <cfvo type="percentile" val="50"/>
        <cfvo type="max"/>
        <color rgb="FFF8696B"/>
        <color rgb="FFFFEB84"/>
        <color rgb="FF63BE7B"/>
      </colorScale>
    </cfRule>
  </conditionalFormatting>
  <conditionalFormatting sqref="DO24">
    <cfRule type="colorScale" priority="1782">
      <colorScale>
        <cfvo type="min"/>
        <cfvo type="percentile" val="50"/>
        <cfvo type="max"/>
        <color rgb="FF63BE7B"/>
        <color rgb="FFFFEB84"/>
        <color rgb="FFF8696B"/>
      </colorScale>
    </cfRule>
  </conditionalFormatting>
  <conditionalFormatting sqref="DO24">
    <cfRule type="colorScale" priority="1779">
      <colorScale>
        <cfvo type="min"/>
        <cfvo type="max"/>
        <color rgb="FFFCFCFF"/>
        <color rgb="FFF8696B"/>
      </colorScale>
    </cfRule>
    <cfRule type="colorScale" priority="1781">
      <colorScale>
        <cfvo type="min"/>
        <cfvo type="percentile" val="50"/>
        <cfvo type="max"/>
        <color rgb="FF63BE7B"/>
        <color rgb="FFFFEB84"/>
        <color rgb="FFF8696B"/>
      </colorScale>
    </cfRule>
  </conditionalFormatting>
  <conditionalFormatting sqref="DO24">
    <cfRule type="colorScale" priority="1780">
      <colorScale>
        <cfvo type="min"/>
        <cfvo type="max"/>
        <color rgb="FFF8696B"/>
        <color rgb="FFFCFCFF"/>
      </colorScale>
    </cfRule>
  </conditionalFormatting>
  <conditionalFormatting sqref="DO24">
    <cfRule type="colorScale" priority="1778">
      <colorScale>
        <cfvo type="min"/>
        <cfvo type="percentile" val="50"/>
        <cfvo type="max"/>
        <color rgb="FFF8696B"/>
        <color rgb="FFFFEB84"/>
        <color rgb="FF63BE7B"/>
      </colorScale>
    </cfRule>
  </conditionalFormatting>
  <conditionalFormatting sqref="DO24">
    <cfRule type="colorScale" priority="1777">
      <colorScale>
        <cfvo type="min"/>
        <cfvo type="max"/>
        <color rgb="FFFCFCFF"/>
        <color rgb="FFF8696B"/>
      </colorScale>
    </cfRule>
  </conditionalFormatting>
  <conditionalFormatting sqref="DQ24">
    <cfRule type="colorScale" priority="1776">
      <colorScale>
        <cfvo type="min"/>
        <cfvo type="percentile" val="50"/>
        <cfvo type="max"/>
        <color rgb="FFF8696B"/>
        <color rgb="FFFFEB84"/>
        <color rgb="FF63BE7B"/>
      </colorScale>
    </cfRule>
  </conditionalFormatting>
  <conditionalFormatting sqref="DQ24">
    <cfRule type="colorScale" priority="1775">
      <colorScale>
        <cfvo type="min"/>
        <cfvo type="percentile" val="50"/>
        <cfvo type="max"/>
        <color rgb="FF63BE7B"/>
        <color rgb="FFFFEB84"/>
        <color rgb="FFF8696B"/>
      </colorScale>
    </cfRule>
  </conditionalFormatting>
  <conditionalFormatting sqref="DQ24">
    <cfRule type="colorScale" priority="1772">
      <colorScale>
        <cfvo type="min"/>
        <cfvo type="max"/>
        <color rgb="FFFCFCFF"/>
        <color rgb="FFF8696B"/>
      </colorScale>
    </cfRule>
    <cfRule type="colorScale" priority="1774">
      <colorScale>
        <cfvo type="min"/>
        <cfvo type="percentile" val="50"/>
        <cfvo type="max"/>
        <color rgb="FF63BE7B"/>
        <color rgb="FFFFEB84"/>
        <color rgb="FFF8696B"/>
      </colorScale>
    </cfRule>
  </conditionalFormatting>
  <conditionalFormatting sqref="DQ24">
    <cfRule type="colorScale" priority="1773">
      <colorScale>
        <cfvo type="min"/>
        <cfvo type="max"/>
        <color rgb="FFF8696B"/>
        <color rgb="FFFCFCFF"/>
      </colorScale>
    </cfRule>
  </conditionalFormatting>
  <conditionalFormatting sqref="DQ24">
    <cfRule type="colorScale" priority="1771">
      <colorScale>
        <cfvo type="min"/>
        <cfvo type="percentile" val="50"/>
        <cfvo type="max"/>
        <color rgb="FFF8696B"/>
        <color rgb="FFFFEB84"/>
        <color rgb="FF63BE7B"/>
      </colorScale>
    </cfRule>
  </conditionalFormatting>
  <conditionalFormatting sqref="DQ24">
    <cfRule type="colorScale" priority="1770">
      <colorScale>
        <cfvo type="min"/>
        <cfvo type="max"/>
        <color rgb="FFFCFCFF"/>
        <color rgb="FFF8696B"/>
      </colorScale>
    </cfRule>
  </conditionalFormatting>
  <conditionalFormatting sqref="DO24:DO28 DO39 DO33 DQ24:DQ28 DQ33 DO41 DQ39 DQ41">
    <cfRule type="colorScale" priority="1769">
      <colorScale>
        <cfvo type="min"/>
        <cfvo type="max"/>
        <color rgb="FFFCFCFF"/>
        <color rgb="FFF8696B"/>
      </colorScale>
    </cfRule>
  </conditionalFormatting>
  <conditionalFormatting sqref="DS39 DS33">
    <cfRule type="colorScale" priority="1768">
      <colorScale>
        <cfvo type="min"/>
        <cfvo type="percentile" val="50"/>
        <cfvo type="max"/>
        <color rgb="FFF8696B"/>
        <color rgb="FFFFEB84"/>
        <color rgb="FF63BE7B"/>
      </colorScale>
    </cfRule>
  </conditionalFormatting>
  <conditionalFormatting sqref="DS33">
    <cfRule type="colorScale" priority="1767">
      <colorScale>
        <cfvo type="min"/>
        <cfvo type="percentile" val="50"/>
        <cfvo type="max"/>
        <color rgb="FFF8696B"/>
        <color rgb="FFFFEB84"/>
        <color rgb="FF63BE7B"/>
      </colorScale>
    </cfRule>
  </conditionalFormatting>
  <conditionalFormatting sqref="DS39 DS33">
    <cfRule type="colorScale" priority="1766">
      <colorScale>
        <cfvo type="min"/>
        <cfvo type="percentile" val="50"/>
        <cfvo type="max"/>
        <color rgb="FF63BE7B"/>
        <color rgb="FFFFEB84"/>
        <color rgb="FFF8696B"/>
      </colorScale>
    </cfRule>
  </conditionalFormatting>
  <conditionalFormatting sqref="DS39 DS33">
    <cfRule type="colorScale" priority="1763">
      <colorScale>
        <cfvo type="min"/>
        <cfvo type="max"/>
        <color rgb="FFFCFCFF"/>
        <color rgb="FFF8696B"/>
      </colorScale>
    </cfRule>
    <cfRule type="colorScale" priority="1765">
      <colorScale>
        <cfvo type="min"/>
        <cfvo type="percentile" val="50"/>
        <cfvo type="max"/>
        <color rgb="FF63BE7B"/>
        <color rgb="FFFFEB84"/>
        <color rgb="FFF8696B"/>
      </colorScale>
    </cfRule>
  </conditionalFormatting>
  <conditionalFormatting sqref="DS39 DS33">
    <cfRule type="colorScale" priority="1764">
      <colorScale>
        <cfvo type="min"/>
        <cfvo type="max"/>
        <color rgb="FFF8696B"/>
        <color rgb="FFFCFCFF"/>
      </colorScale>
    </cfRule>
  </conditionalFormatting>
  <conditionalFormatting sqref="DS41">
    <cfRule type="colorScale" priority="1762">
      <colorScale>
        <cfvo type="min"/>
        <cfvo type="percentile" val="50"/>
        <cfvo type="max"/>
        <color rgb="FFF8696B"/>
        <color rgb="FFFFEB84"/>
        <color rgb="FF63BE7B"/>
      </colorScale>
    </cfRule>
  </conditionalFormatting>
  <conditionalFormatting sqref="DS41">
    <cfRule type="colorScale" priority="1761">
      <colorScale>
        <cfvo type="min"/>
        <cfvo type="percentile" val="50"/>
        <cfvo type="max"/>
        <color rgb="FFF8696B"/>
        <color rgb="FFFFEB84"/>
        <color rgb="FF63BE7B"/>
      </colorScale>
    </cfRule>
  </conditionalFormatting>
  <conditionalFormatting sqref="DS41">
    <cfRule type="colorScale" priority="1760">
      <colorScale>
        <cfvo type="min"/>
        <cfvo type="percentile" val="50"/>
        <cfvo type="max"/>
        <color rgb="FFF8696B"/>
        <color rgb="FFFFEB84"/>
        <color rgb="FF63BE7B"/>
      </colorScale>
    </cfRule>
  </conditionalFormatting>
  <conditionalFormatting sqref="DS41">
    <cfRule type="colorScale" priority="1759">
      <colorScale>
        <cfvo type="min"/>
        <cfvo type="percentile" val="50"/>
        <cfvo type="max"/>
        <color rgb="FF63BE7B"/>
        <color rgb="FFFFEB84"/>
        <color rgb="FFF8696B"/>
      </colorScale>
    </cfRule>
  </conditionalFormatting>
  <conditionalFormatting sqref="DS41">
    <cfRule type="colorScale" priority="1756">
      <colorScale>
        <cfvo type="min"/>
        <cfvo type="max"/>
        <color rgb="FFFCFCFF"/>
        <color rgb="FFF8696B"/>
      </colorScale>
    </cfRule>
    <cfRule type="colorScale" priority="1758">
      <colorScale>
        <cfvo type="min"/>
        <cfvo type="percentile" val="50"/>
        <cfvo type="max"/>
        <color rgb="FF63BE7B"/>
        <color rgb="FFFFEB84"/>
        <color rgb="FFF8696B"/>
      </colorScale>
    </cfRule>
  </conditionalFormatting>
  <conditionalFormatting sqref="DS41">
    <cfRule type="colorScale" priority="1757">
      <colorScale>
        <cfvo type="min"/>
        <cfvo type="max"/>
        <color rgb="FFF8696B"/>
        <color rgb="FFFCFCFF"/>
      </colorScale>
    </cfRule>
  </conditionalFormatting>
  <conditionalFormatting sqref="DS33">
    <cfRule type="colorScale" priority="1755">
      <colorScale>
        <cfvo type="min"/>
        <cfvo type="percentile" val="50"/>
        <cfvo type="max"/>
        <color rgb="FFF8696B"/>
        <color rgb="FFFFEB84"/>
        <color rgb="FF63BE7B"/>
      </colorScale>
    </cfRule>
  </conditionalFormatting>
  <conditionalFormatting sqref="DS39">
    <cfRule type="colorScale" priority="1754">
      <colorScale>
        <cfvo type="min"/>
        <cfvo type="percentile" val="50"/>
        <cfvo type="max"/>
        <color rgb="FFF8696B"/>
        <color rgb="FFFFEB84"/>
        <color rgb="FF63BE7B"/>
      </colorScale>
    </cfRule>
  </conditionalFormatting>
  <conditionalFormatting sqref="DS39 DS33 DS41">
    <cfRule type="colorScale" priority="1753">
      <colorScale>
        <cfvo type="min"/>
        <cfvo type="max"/>
        <color rgb="FFFCFCFF"/>
        <color rgb="FFF8696B"/>
      </colorScale>
    </cfRule>
  </conditionalFormatting>
  <conditionalFormatting sqref="DU28 DU39 DU23 DU33">
    <cfRule type="colorScale" priority="1752">
      <colorScale>
        <cfvo type="min"/>
        <cfvo type="percentile" val="50"/>
        <cfvo type="max"/>
        <color rgb="FFF8696B"/>
        <color rgb="FFFFEB84"/>
        <color rgb="FF63BE7B"/>
      </colorScale>
    </cfRule>
  </conditionalFormatting>
  <conditionalFormatting sqref="DU33">
    <cfRule type="colorScale" priority="1751">
      <colorScale>
        <cfvo type="min"/>
        <cfvo type="percentile" val="50"/>
        <cfvo type="max"/>
        <color rgb="FFF8696B"/>
        <color rgb="FFFFEB84"/>
        <color rgb="FF63BE7B"/>
      </colorScale>
    </cfRule>
  </conditionalFormatting>
  <conditionalFormatting sqref="DU23 DU39 DU28 DU33">
    <cfRule type="colorScale" priority="1750">
      <colorScale>
        <cfvo type="min"/>
        <cfvo type="percentile" val="50"/>
        <cfvo type="max"/>
        <color rgb="FF63BE7B"/>
        <color rgb="FFFFEB84"/>
        <color rgb="FFF8696B"/>
      </colorScale>
    </cfRule>
  </conditionalFormatting>
  <conditionalFormatting sqref="DU39 DU23 DU28 DU33">
    <cfRule type="colorScale" priority="1747">
      <colorScale>
        <cfvo type="min"/>
        <cfvo type="max"/>
        <color rgb="FFFCFCFF"/>
        <color rgb="FFF8696B"/>
      </colorScale>
    </cfRule>
    <cfRule type="colorScale" priority="1749">
      <colorScale>
        <cfvo type="min"/>
        <cfvo type="percentile" val="50"/>
        <cfvo type="max"/>
        <color rgb="FF63BE7B"/>
        <color rgb="FFFFEB84"/>
        <color rgb="FFF8696B"/>
      </colorScale>
    </cfRule>
  </conditionalFormatting>
  <conditionalFormatting sqref="DU23 DU39 DU28 DU33">
    <cfRule type="colorScale" priority="1748">
      <colorScale>
        <cfvo type="min"/>
        <cfvo type="max"/>
        <color rgb="FFF8696B"/>
        <color rgb="FFFCFCFF"/>
      </colorScale>
    </cfRule>
  </conditionalFormatting>
  <conditionalFormatting sqref="DU41">
    <cfRule type="colorScale" priority="1746">
      <colorScale>
        <cfvo type="min"/>
        <cfvo type="percentile" val="50"/>
        <cfvo type="max"/>
        <color rgb="FFF8696B"/>
        <color rgb="FFFFEB84"/>
        <color rgb="FF63BE7B"/>
      </colorScale>
    </cfRule>
  </conditionalFormatting>
  <conditionalFormatting sqref="DU41">
    <cfRule type="colorScale" priority="1745">
      <colorScale>
        <cfvo type="min"/>
        <cfvo type="percentile" val="50"/>
        <cfvo type="max"/>
        <color rgb="FFF8696B"/>
        <color rgb="FFFFEB84"/>
        <color rgb="FF63BE7B"/>
      </colorScale>
    </cfRule>
  </conditionalFormatting>
  <conditionalFormatting sqref="DU41">
    <cfRule type="colorScale" priority="1744">
      <colorScale>
        <cfvo type="min"/>
        <cfvo type="percentile" val="50"/>
        <cfvo type="max"/>
        <color rgb="FFF8696B"/>
        <color rgb="FFFFEB84"/>
        <color rgb="FF63BE7B"/>
      </colorScale>
    </cfRule>
  </conditionalFormatting>
  <conditionalFormatting sqref="DU41">
    <cfRule type="colorScale" priority="1743">
      <colorScale>
        <cfvo type="min"/>
        <cfvo type="percentile" val="50"/>
        <cfvo type="max"/>
        <color rgb="FF63BE7B"/>
        <color rgb="FFFFEB84"/>
        <color rgb="FFF8696B"/>
      </colorScale>
    </cfRule>
  </conditionalFormatting>
  <conditionalFormatting sqref="DU41">
    <cfRule type="colorScale" priority="1740">
      <colorScale>
        <cfvo type="min"/>
        <cfvo type="max"/>
        <color rgb="FFFCFCFF"/>
        <color rgb="FFF8696B"/>
      </colorScale>
    </cfRule>
    <cfRule type="colorScale" priority="1742">
      <colorScale>
        <cfvo type="min"/>
        <cfvo type="percentile" val="50"/>
        <cfvo type="max"/>
        <color rgb="FF63BE7B"/>
        <color rgb="FFFFEB84"/>
        <color rgb="FFF8696B"/>
      </colorScale>
    </cfRule>
  </conditionalFormatting>
  <conditionalFormatting sqref="DU41">
    <cfRule type="colorScale" priority="1741">
      <colorScale>
        <cfvo type="min"/>
        <cfvo type="max"/>
        <color rgb="FFF8696B"/>
        <color rgb="FFFCFCFF"/>
      </colorScale>
    </cfRule>
  </conditionalFormatting>
  <conditionalFormatting sqref="DU23">
    <cfRule type="colorScale" priority="1739">
      <colorScale>
        <cfvo type="min"/>
        <cfvo type="percentile" val="50"/>
        <cfvo type="max"/>
        <color rgb="FFF8696B"/>
        <color rgb="FFFFEB84"/>
        <color rgb="FF63BE7B"/>
      </colorScale>
    </cfRule>
  </conditionalFormatting>
  <conditionalFormatting sqref="DU28">
    <cfRule type="colorScale" priority="1738">
      <colorScale>
        <cfvo type="min"/>
        <cfvo type="percentile" val="50"/>
        <cfvo type="max"/>
        <color rgb="FFF8696B"/>
        <color rgb="FFFFEB84"/>
        <color rgb="FF63BE7B"/>
      </colorScale>
    </cfRule>
  </conditionalFormatting>
  <conditionalFormatting sqref="DU33">
    <cfRule type="colorScale" priority="1737">
      <colorScale>
        <cfvo type="min"/>
        <cfvo type="percentile" val="50"/>
        <cfvo type="max"/>
        <color rgb="FFF8696B"/>
        <color rgb="FFFFEB84"/>
        <color rgb="FF63BE7B"/>
      </colorScale>
    </cfRule>
  </conditionalFormatting>
  <conditionalFormatting sqref="DU39">
    <cfRule type="colorScale" priority="1736">
      <colorScale>
        <cfvo type="min"/>
        <cfvo type="percentile" val="50"/>
        <cfvo type="max"/>
        <color rgb="FFF8696B"/>
        <color rgb="FFFFEB84"/>
        <color rgb="FF63BE7B"/>
      </colorScale>
    </cfRule>
  </conditionalFormatting>
  <conditionalFormatting sqref="DU23 DU39 DU28 DU33 DU41">
    <cfRule type="colorScale" priority="1735">
      <colorScale>
        <cfvo type="min"/>
        <cfvo type="max"/>
        <color rgb="FFFCFCFF"/>
        <color rgb="FFF8696B"/>
      </colorScale>
    </cfRule>
  </conditionalFormatting>
  <conditionalFormatting sqref="DW39 DW28 DW23 DW33">
    <cfRule type="colorScale" priority="1734">
      <colorScale>
        <cfvo type="min"/>
        <cfvo type="percentile" val="50"/>
        <cfvo type="max"/>
        <color rgb="FFF8696B"/>
        <color rgb="FFFFEB84"/>
        <color rgb="FF63BE7B"/>
      </colorScale>
    </cfRule>
  </conditionalFormatting>
  <conditionalFormatting sqref="DW33">
    <cfRule type="colorScale" priority="1733">
      <colorScale>
        <cfvo type="min"/>
        <cfvo type="percentile" val="50"/>
        <cfvo type="max"/>
        <color rgb="FFF8696B"/>
        <color rgb="FFFFEB84"/>
        <color rgb="FF63BE7B"/>
      </colorScale>
    </cfRule>
  </conditionalFormatting>
  <conditionalFormatting sqref="DW23 DW39 DW28 DW33">
    <cfRule type="colorScale" priority="1732">
      <colorScale>
        <cfvo type="min"/>
        <cfvo type="percentile" val="50"/>
        <cfvo type="max"/>
        <color rgb="FF63BE7B"/>
        <color rgb="FFFFEB84"/>
        <color rgb="FFF8696B"/>
      </colorScale>
    </cfRule>
  </conditionalFormatting>
  <conditionalFormatting sqref="DW39 DW23 DW28 DW33">
    <cfRule type="colorScale" priority="1729">
      <colorScale>
        <cfvo type="min"/>
        <cfvo type="max"/>
        <color rgb="FFFCFCFF"/>
        <color rgb="FFF8696B"/>
      </colorScale>
    </cfRule>
    <cfRule type="colorScale" priority="1731">
      <colorScale>
        <cfvo type="min"/>
        <cfvo type="percentile" val="50"/>
        <cfvo type="max"/>
        <color rgb="FF63BE7B"/>
        <color rgb="FFFFEB84"/>
        <color rgb="FFF8696B"/>
      </colorScale>
    </cfRule>
  </conditionalFormatting>
  <conditionalFormatting sqref="DW39 DW28 DW23 DW33">
    <cfRule type="colorScale" priority="1730">
      <colorScale>
        <cfvo type="min"/>
        <cfvo type="max"/>
        <color rgb="FFF8696B"/>
        <color rgb="FFFCFCFF"/>
      </colorScale>
    </cfRule>
  </conditionalFormatting>
  <conditionalFormatting sqref="DW41">
    <cfRule type="colorScale" priority="1728">
      <colorScale>
        <cfvo type="min"/>
        <cfvo type="percentile" val="50"/>
        <cfvo type="max"/>
        <color rgb="FFF8696B"/>
        <color rgb="FFFFEB84"/>
        <color rgb="FF63BE7B"/>
      </colorScale>
    </cfRule>
  </conditionalFormatting>
  <conditionalFormatting sqref="DW41">
    <cfRule type="colorScale" priority="1727">
      <colorScale>
        <cfvo type="min"/>
        <cfvo type="percentile" val="50"/>
        <cfvo type="max"/>
        <color rgb="FFF8696B"/>
        <color rgb="FFFFEB84"/>
        <color rgb="FF63BE7B"/>
      </colorScale>
    </cfRule>
  </conditionalFormatting>
  <conditionalFormatting sqref="DW41">
    <cfRule type="colorScale" priority="1726">
      <colorScale>
        <cfvo type="min"/>
        <cfvo type="percentile" val="50"/>
        <cfvo type="max"/>
        <color rgb="FFF8696B"/>
        <color rgb="FFFFEB84"/>
        <color rgb="FF63BE7B"/>
      </colorScale>
    </cfRule>
  </conditionalFormatting>
  <conditionalFormatting sqref="DW41">
    <cfRule type="colorScale" priority="1725">
      <colorScale>
        <cfvo type="min"/>
        <cfvo type="percentile" val="50"/>
        <cfvo type="max"/>
        <color rgb="FF63BE7B"/>
        <color rgb="FFFFEB84"/>
        <color rgb="FFF8696B"/>
      </colorScale>
    </cfRule>
  </conditionalFormatting>
  <conditionalFormatting sqref="DW41">
    <cfRule type="colorScale" priority="1722">
      <colorScale>
        <cfvo type="min"/>
        <cfvo type="max"/>
        <color rgb="FFFCFCFF"/>
        <color rgb="FFF8696B"/>
      </colorScale>
    </cfRule>
    <cfRule type="colorScale" priority="1724">
      <colorScale>
        <cfvo type="min"/>
        <cfvo type="percentile" val="50"/>
        <cfvo type="max"/>
        <color rgb="FF63BE7B"/>
        <color rgb="FFFFEB84"/>
        <color rgb="FFF8696B"/>
      </colorScale>
    </cfRule>
  </conditionalFormatting>
  <conditionalFormatting sqref="DW41">
    <cfRule type="colorScale" priority="1723">
      <colorScale>
        <cfvo type="min"/>
        <cfvo type="max"/>
        <color rgb="FFF8696B"/>
        <color rgb="FFFCFCFF"/>
      </colorScale>
    </cfRule>
  </conditionalFormatting>
  <conditionalFormatting sqref="DW23">
    <cfRule type="colorScale" priority="1721">
      <colorScale>
        <cfvo type="min"/>
        <cfvo type="percentile" val="50"/>
        <cfvo type="max"/>
        <color rgb="FFF8696B"/>
        <color rgb="FFFFEB84"/>
        <color rgb="FF63BE7B"/>
      </colorScale>
    </cfRule>
  </conditionalFormatting>
  <conditionalFormatting sqref="DW28">
    <cfRule type="colorScale" priority="1720">
      <colorScale>
        <cfvo type="min"/>
        <cfvo type="percentile" val="50"/>
        <cfvo type="max"/>
        <color rgb="FFF8696B"/>
        <color rgb="FFFFEB84"/>
        <color rgb="FF63BE7B"/>
      </colorScale>
    </cfRule>
  </conditionalFormatting>
  <conditionalFormatting sqref="DW33">
    <cfRule type="colorScale" priority="1719">
      <colorScale>
        <cfvo type="min"/>
        <cfvo type="percentile" val="50"/>
        <cfvo type="max"/>
        <color rgb="FFF8696B"/>
        <color rgb="FFFFEB84"/>
        <color rgb="FF63BE7B"/>
      </colorScale>
    </cfRule>
  </conditionalFormatting>
  <conditionalFormatting sqref="DW39">
    <cfRule type="colorScale" priority="1718">
      <colorScale>
        <cfvo type="min"/>
        <cfvo type="percentile" val="50"/>
        <cfvo type="max"/>
        <color rgb="FFF8696B"/>
        <color rgb="FFFFEB84"/>
        <color rgb="FF63BE7B"/>
      </colorScale>
    </cfRule>
  </conditionalFormatting>
  <conditionalFormatting sqref="DW39 DW28 DW23 DW33 DW41">
    <cfRule type="colorScale" priority="1717">
      <colorScale>
        <cfvo type="min"/>
        <cfvo type="max"/>
        <color rgb="FFFCFCFF"/>
        <color rgb="FFF8696B"/>
      </colorScale>
    </cfRule>
  </conditionalFormatting>
  <conditionalFormatting sqref="DS39 DS33 DU33 DU28 DU23 DW23 DW28 DW33 DS41 DU39 DU41 DW39 DW41">
    <cfRule type="colorScale" priority="1716">
      <colorScale>
        <cfvo type="min"/>
        <cfvo type="max"/>
        <color rgb="FFFCFCFF"/>
        <color rgb="FFF8696B"/>
      </colorScale>
    </cfRule>
  </conditionalFormatting>
  <conditionalFormatting sqref="DW39 DS33 DU23 DU28 DW23 DW28 DW33 DU33 DW41 DU39 DU41 DS39 DS41">
    <cfRule type="colorScale" priority="1715">
      <colorScale>
        <cfvo type="min"/>
        <cfvo type="max"/>
        <color rgb="FFFCFCFF"/>
        <color rgb="FFF8696B"/>
      </colorScale>
    </cfRule>
  </conditionalFormatting>
  <conditionalFormatting sqref="DS24">
    <cfRule type="colorScale" priority="1714">
      <colorScale>
        <cfvo type="min"/>
        <cfvo type="percentile" val="50"/>
        <cfvo type="max"/>
        <color rgb="FFF8696B"/>
        <color rgb="FFFFEB84"/>
        <color rgb="FF63BE7B"/>
      </colorScale>
    </cfRule>
  </conditionalFormatting>
  <conditionalFormatting sqref="DS24">
    <cfRule type="colorScale" priority="1713">
      <colorScale>
        <cfvo type="min"/>
        <cfvo type="percentile" val="50"/>
        <cfvo type="max"/>
        <color rgb="FF63BE7B"/>
        <color rgb="FFFFEB84"/>
        <color rgb="FFF8696B"/>
      </colorScale>
    </cfRule>
  </conditionalFormatting>
  <conditionalFormatting sqref="DS24">
    <cfRule type="colorScale" priority="1710">
      <colorScale>
        <cfvo type="min"/>
        <cfvo type="max"/>
        <color rgb="FFFCFCFF"/>
        <color rgb="FFF8696B"/>
      </colorScale>
    </cfRule>
    <cfRule type="colorScale" priority="1712">
      <colorScale>
        <cfvo type="min"/>
        <cfvo type="percentile" val="50"/>
        <cfvo type="max"/>
        <color rgb="FF63BE7B"/>
        <color rgb="FFFFEB84"/>
        <color rgb="FFF8696B"/>
      </colorScale>
    </cfRule>
  </conditionalFormatting>
  <conditionalFormatting sqref="DS24">
    <cfRule type="colorScale" priority="1711">
      <colorScale>
        <cfvo type="min"/>
        <cfvo type="max"/>
        <color rgb="FFF8696B"/>
        <color rgb="FFFCFCFF"/>
      </colorScale>
    </cfRule>
  </conditionalFormatting>
  <conditionalFormatting sqref="DS24">
    <cfRule type="colorScale" priority="1709">
      <colorScale>
        <cfvo type="min"/>
        <cfvo type="percentile" val="50"/>
        <cfvo type="max"/>
        <color rgb="FFF8696B"/>
        <color rgb="FFFFEB84"/>
        <color rgb="FF63BE7B"/>
      </colorScale>
    </cfRule>
  </conditionalFormatting>
  <conditionalFormatting sqref="DS24">
    <cfRule type="colorScale" priority="1708">
      <colorScale>
        <cfvo type="min"/>
        <cfvo type="max"/>
        <color rgb="FFFCFCFF"/>
        <color rgb="FFF8696B"/>
      </colorScale>
    </cfRule>
  </conditionalFormatting>
  <conditionalFormatting sqref="DS24:DS28">
    <cfRule type="colorScale" priority="1707">
      <colorScale>
        <cfvo type="min"/>
        <cfvo type="max"/>
        <color rgb="FFFCFCFF"/>
        <color rgb="FFF8696B"/>
      </colorScale>
    </cfRule>
  </conditionalFormatting>
  <conditionalFormatting sqref="DS24:DS28">
    <cfRule type="colorScale" priority="1706">
      <colorScale>
        <cfvo type="min"/>
        <cfvo type="max"/>
        <color rgb="FFFCFCFF"/>
        <color rgb="FFF8696B"/>
      </colorScale>
    </cfRule>
  </conditionalFormatting>
  <conditionalFormatting sqref="DO24:DO28 DK39 DQ24:DQ28 DS24:DS28 DU28 DU23 DW23 DW28 DW33 DU33 DS33 DQ33 DO33 DM39 DO39 DO41 DQ39 DQ41 DS39 DS41 DU39 DU41 DW39 DW41">
    <cfRule type="colorScale" priority="1705">
      <colorScale>
        <cfvo type="min"/>
        <cfvo type="max"/>
        <color rgb="FFFCFCFF"/>
        <color rgb="FFF8696B"/>
      </colorScale>
    </cfRule>
  </conditionalFormatting>
  <conditionalFormatting sqref="DK13 DK39 DM39 DO39 DO41 DQ39 DQ41 DS39 DS41 DU39 DU41 DW39 DW41 DW33 DU33 DS33 DQ33 DO33 DO24:DO28 DQ24:DQ28 DS24:DS28 DU23 DU28 DW23 DW28 DW18 DW13 DU18 DU13 DS13 DS18 DQ18 DO18 DO13 DM13 DQ13">
    <cfRule type="colorScale" priority="1704">
      <colorScale>
        <cfvo type="min"/>
        <cfvo type="max"/>
        <color rgb="FFFCFCFF"/>
        <color rgb="FFF8696B"/>
      </colorScale>
    </cfRule>
  </conditionalFormatting>
  <conditionalFormatting sqref="DK24">
    <cfRule type="colorScale" priority="1703">
      <colorScale>
        <cfvo type="min"/>
        <cfvo type="percentile" val="50"/>
        <cfvo type="max"/>
        <color rgb="FFF8696B"/>
        <color rgb="FFFFEB84"/>
        <color rgb="FF63BE7B"/>
      </colorScale>
    </cfRule>
  </conditionalFormatting>
  <conditionalFormatting sqref="DK24">
    <cfRule type="colorScale" priority="1702">
      <colorScale>
        <cfvo type="min"/>
        <cfvo type="percentile" val="50"/>
        <cfvo type="max"/>
        <color rgb="FF63BE7B"/>
        <color rgb="FFFFEB84"/>
        <color rgb="FFF8696B"/>
      </colorScale>
    </cfRule>
  </conditionalFormatting>
  <conditionalFormatting sqref="DK24">
    <cfRule type="colorScale" priority="1699">
      <colorScale>
        <cfvo type="min"/>
        <cfvo type="max"/>
        <color rgb="FFFCFCFF"/>
        <color rgb="FFF8696B"/>
      </colorScale>
    </cfRule>
    <cfRule type="colorScale" priority="1701">
      <colorScale>
        <cfvo type="min"/>
        <cfvo type="percentile" val="50"/>
        <cfvo type="max"/>
        <color rgb="FF63BE7B"/>
        <color rgb="FFFFEB84"/>
        <color rgb="FFF8696B"/>
      </colorScale>
    </cfRule>
  </conditionalFormatting>
  <conditionalFormatting sqref="DK24">
    <cfRule type="colorScale" priority="1700">
      <colorScale>
        <cfvo type="min"/>
        <cfvo type="max"/>
        <color rgb="FFF8696B"/>
        <color rgb="FFFCFCFF"/>
      </colorScale>
    </cfRule>
  </conditionalFormatting>
  <conditionalFormatting sqref="DK24">
    <cfRule type="colorScale" priority="1698">
      <colorScale>
        <cfvo type="min"/>
        <cfvo type="percentile" val="50"/>
        <cfvo type="max"/>
        <color rgb="FFF8696B"/>
        <color rgb="FFFFEB84"/>
        <color rgb="FF63BE7B"/>
      </colorScale>
    </cfRule>
  </conditionalFormatting>
  <conditionalFormatting sqref="DK24">
    <cfRule type="colorScale" priority="1697">
      <colorScale>
        <cfvo type="min"/>
        <cfvo type="max"/>
        <color rgb="FFFCFCFF"/>
        <color rgb="FFF8696B"/>
      </colorScale>
    </cfRule>
  </conditionalFormatting>
  <conditionalFormatting sqref="DM24">
    <cfRule type="colorScale" priority="1696">
      <colorScale>
        <cfvo type="min"/>
        <cfvo type="percentile" val="50"/>
        <cfvo type="max"/>
        <color rgb="FFF8696B"/>
        <color rgb="FFFFEB84"/>
        <color rgb="FF63BE7B"/>
      </colorScale>
    </cfRule>
  </conditionalFormatting>
  <conditionalFormatting sqref="DM24">
    <cfRule type="colorScale" priority="1695">
      <colorScale>
        <cfvo type="min"/>
        <cfvo type="percentile" val="50"/>
        <cfvo type="max"/>
        <color rgb="FF63BE7B"/>
        <color rgb="FFFFEB84"/>
        <color rgb="FFF8696B"/>
      </colorScale>
    </cfRule>
  </conditionalFormatting>
  <conditionalFormatting sqref="DM24">
    <cfRule type="colorScale" priority="1692">
      <colorScale>
        <cfvo type="min"/>
        <cfvo type="max"/>
        <color rgb="FFFCFCFF"/>
        <color rgb="FFF8696B"/>
      </colorScale>
    </cfRule>
    <cfRule type="colorScale" priority="1694">
      <colorScale>
        <cfvo type="min"/>
        <cfvo type="percentile" val="50"/>
        <cfvo type="max"/>
        <color rgb="FF63BE7B"/>
        <color rgb="FFFFEB84"/>
        <color rgb="FFF8696B"/>
      </colorScale>
    </cfRule>
  </conditionalFormatting>
  <conditionalFormatting sqref="DM24">
    <cfRule type="colorScale" priority="1693">
      <colorScale>
        <cfvo type="min"/>
        <cfvo type="max"/>
        <color rgb="FFF8696B"/>
        <color rgb="FFFCFCFF"/>
      </colorScale>
    </cfRule>
  </conditionalFormatting>
  <conditionalFormatting sqref="DM24">
    <cfRule type="colorScale" priority="1691">
      <colorScale>
        <cfvo type="min"/>
        <cfvo type="percentile" val="50"/>
        <cfvo type="max"/>
        <color rgb="FFF8696B"/>
        <color rgb="FFFFEB84"/>
        <color rgb="FF63BE7B"/>
      </colorScale>
    </cfRule>
  </conditionalFormatting>
  <conditionalFormatting sqref="DM24">
    <cfRule type="colorScale" priority="1690">
      <colorScale>
        <cfvo type="min"/>
        <cfvo type="max"/>
        <color rgb="FFFCFCFF"/>
        <color rgb="FFF8696B"/>
      </colorScale>
    </cfRule>
  </conditionalFormatting>
  <conditionalFormatting sqref="DK24:DK33 DM24:DM33">
    <cfRule type="colorScale" priority="1689">
      <colorScale>
        <cfvo type="min"/>
        <cfvo type="max"/>
        <color rgb="FFFCFCFF"/>
        <color rgb="FFF8696B"/>
      </colorScale>
    </cfRule>
  </conditionalFormatting>
  <conditionalFormatting sqref="DK24:DK33 DM24:DM33">
    <cfRule type="colorScale" priority="1688">
      <colorScale>
        <cfvo type="min"/>
        <cfvo type="max"/>
        <color rgb="FFFCFCFF"/>
        <color rgb="FFF8696B"/>
      </colorScale>
    </cfRule>
  </conditionalFormatting>
  <conditionalFormatting sqref="DK24:DK33 DM24:DM33">
    <cfRule type="colorScale" priority="1687">
      <colorScale>
        <cfvo type="min"/>
        <cfvo type="max"/>
        <color rgb="FFFCFCFF"/>
        <color rgb="FFF8696B"/>
      </colorScale>
    </cfRule>
  </conditionalFormatting>
  <conditionalFormatting sqref="DO84 DW56 DQ84 DQ82 DQ76 DW61 DW66 DW71 DW76 DW82 DS84 DU84 DW84">
    <cfRule type="colorScale" priority="1686">
      <colorScale>
        <cfvo type="min"/>
        <cfvo type="max"/>
        <color rgb="FFFCFCFF"/>
        <color rgb="FFF8696B"/>
      </colorScale>
    </cfRule>
  </conditionalFormatting>
  <conditionalFormatting sqref="EA82 EC82">
    <cfRule type="colorScale" priority="1685">
      <colorScale>
        <cfvo type="min"/>
        <cfvo type="percentile" val="50"/>
        <cfvo type="max"/>
        <color rgb="FFF8696B"/>
        <color rgb="FFFFEB84"/>
        <color rgb="FF63BE7B"/>
      </colorScale>
    </cfRule>
  </conditionalFormatting>
  <conditionalFormatting sqref="EA82 EC82">
    <cfRule type="colorScale" priority="1684">
      <colorScale>
        <cfvo type="min"/>
        <cfvo type="percentile" val="50"/>
        <cfvo type="max"/>
        <color rgb="FF63BE7B"/>
        <color rgb="FFFFEB84"/>
        <color rgb="FFF8696B"/>
      </colorScale>
    </cfRule>
  </conditionalFormatting>
  <conditionalFormatting sqref="EA82 EC82">
    <cfRule type="colorScale" priority="1681">
      <colorScale>
        <cfvo type="min"/>
        <cfvo type="max"/>
        <color rgb="FFFCFCFF"/>
        <color rgb="FFF8696B"/>
      </colorScale>
    </cfRule>
    <cfRule type="colorScale" priority="1683">
      <colorScale>
        <cfvo type="min"/>
        <cfvo type="percentile" val="50"/>
        <cfvo type="max"/>
        <color rgb="FF63BE7B"/>
        <color rgb="FFFFEB84"/>
        <color rgb="FFF8696B"/>
      </colorScale>
    </cfRule>
  </conditionalFormatting>
  <conditionalFormatting sqref="EA82 EC82">
    <cfRule type="colorScale" priority="1682">
      <colorScale>
        <cfvo type="min"/>
        <cfvo type="max"/>
        <color rgb="FFF8696B"/>
        <color rgb="FFFCFCFF"/>
      </colorScale>
    </cfRule>
  </conditionalFormatting>
  <conditionalFormatting sqref="EA82">
    <cfRule type="colorScale" priority="1680">
      <colorScale>
        <cfvo type="min"/>
        <cfvo type="percentile" val="50"/>
        <cfvo type="max"/>
        <color rgb="FFF8696B"/>
        <color rgb="FFFFEB84"/>
        <color rgb="FF63BE7B"/>
      </colorScale>
    </cfRule>
  </conditionalFormatting>
  <conditionalFormatting sqref="EC82">
    <cfRule type="colorScale" priority="1679">
      <colorScale>
        <cfvo type="min"/>
        <cfvo type="percentile" val="50"/>
        <cfvo type="max"/>
        <color rgb="FFF8696B"/>
        <color rgb="FFFFEB84"/>
        <color rgb="FF63BE7B"/>
      </colorScale>
    </cfRule>
  </conditionalFormatting>
  <conditionalFormatting sqref="EA82 EC82">
    <cfRule type="colorScale" priority="1678">
      <colorScale>
        <cfvo type="min"/>
        <cfvo type="max"/>
        <color rgb="FFFCFCFF"/>
        <color rgb="FFF8696B"/>
      </colorScale>
    </cfRule>
  </conditionalFormatting>
  <conditionalFormatting sqref="EE77">
    <cfRule type="colorScale" priority="1677">
      <colorScale>
        <cfvo type="min"/>
        <cfvo type="percentile" val="50"/>
        <cfvo type="max"/>
        <color rgb="FFF8696B"/>
        <color rgb="FFFFEB84"/>
        <color rgb="FF63BE7B"/>
      </colorScale>
    </cfRule>
  </conditionalFormatting>
  <conditionalFormatting sqref="EE77">
    <cfRule type="colorScale" priority="1676">
      <colorScale>
        <cfvo type="min"/>
        <cfvo type="percentile" val="50"/>
        <cfvo type="max"/>
        <color rgb="FF63BE7B"/>
        <color rgb="FFFFEB84"/>
        <color rgb="FFF8696B"/>
      </colorScale>
    </cfRule>
  </conditionalFormatting>
  <conditionalFormatting sqref="EE77">
    <cfRule type="colorScale" priority="1673">
      <colorScale>
        <cfvo type="min"/>
        <cfvo type="max"/>
        <color rgb="FFFCFCFF"/>
        <color rgb="FFF8696B"/>
      </colorScale>
    </cfRule>
    <cfRule type="colorScale" priority="1675">
      <colorScale>
        <cfvo type="min"/>
        <cfvo type="percentile" val="50"/>
        <cfvo type="max"/>
        <color rgb="FF63BE7B"/>
        <color rgb="FFFFEB84"/>
        <color rgb="FFF8696B"/>
      </colorScale>
    </cfRule>
  </conditionalFormatting>
  <conditionalFormatting sqref="EE77">
    <cfRule type="colorScale" priority="1674">
      <colorScale>
        <cfvo type="min"/>
        <cfvo type="max"/>
        <color rgb="FFF8696B"/>
        <color rgb="FFFCFCFF"/>
      </colorScale>
    </cfRule>
  </conditionalFormatting>
  <conditionalFormatting sqref="EE84">
    <cfRule type="colorScale" priority="1672">
      <colorScale>
        <cfvo type="min"/>
        <cfvo type="percentile" val="50"/>
        <cfvo type="max"/>
        <color rgb="FFF8696B"/>
        <color rgb="FFFFEB84"/>
        <color rgb="FF63BE7B"/>
      </colorScale>
    </cfRule>
  </conditionalFormatting>
  <conditionalFormatting sqref="EE84">
    <cfRule type="colorScale" priority="1671">
      <colorScale>
        <cfvo type="min"/>
        <cfvo type="percentile" val="50"/>
        <cfvo type="max"/>
        <color rgb="FFF8696B"/>
        <color rgb="FFFFEB84"/>
        <color rgb="FF63BE7B"/>
      </colorScale>
    </cfRule>
  </conditionalFormatting>
  <conditionalFormatting sqref="EE84">
    <cfRule type="colorScale" priority="1670">
      <colorScale>
        <cfvo type="min"/>
        <cfvo type="percentile" val="50"/>
        <cfvo type="max"/>
        <color rgb="FFF8696B"/>
        <color rgb="FFFFEB84"/>
        <color rgb="FF63BE7B"/>
      </colorScale>
    </cfRule>
  </conditionalFormatting>
  <conditionalFormatting sqref="EE84">
    <cfRule type="colorScale" priority="1669">
      <colorScale>
        <cfvo type="min"/>
        <cfvo type="percentile" val="50"/>
        <cfvo type="max"/>
        <color rgb="FF63BE7B"/>
        <color rgb="FFFFEB84"/>
        <color rgb="FFF8696B"/>
      </colorScale>
    </cfRule>
  </conditionalFormatting>
  <conditionalFormatting sqref="EE84">
    <cfRule type="colorScale" priority="1666">
      <colorScale>
        <cfvo type="min"/>
        <cfvo type="max"/>
        <color rgb="FFFCFCFF"/>
        <color rgb="FFF8696B"/>
      </colorScale>
    </cfRule>
    <cfRule type="colorScale" priority="1668">
      <colorScale>
        <cfvo type="min"/>
        <cfvo type="percentile" val="50"/>
        <cfvo type="max"/>
        <color rgb="FF63BE7B"/>
        <color rgb="FFFFEB84"/>
        <color rgb="FFF8696B"/>
      </colorScale>
    </cfRule>
  </conditionalFormatting>
  <conditionalFormatting sqref="EE84">
    <cfRule type="colorScale" priority="1667">
      <colorScale>
        <cfvo type="min"/>
        <cfvo type="max"/>
        <color rgb="FFF8696B"/>
        <color rgb="FFFCFCFF"/>
      </colorScale>
    </cfRule>
  </conditionalFormatting>
  <conditionalFormatting sqref="EG84">
    <cfRule type="colorScale" priority="1665">
      <colorScale>
        <cfvo type="min"/>
        <cfvo type="percentile" val="50"/>
        <cfvo type="max"/>
        <color rgb="FFF8696B"/>
        <color rgb="FFFFEB84"/>
        <color rgb="FF63BE7B"/>
      </colorScale>
    </cfRule>
  </conditionalFormatting>
  <conditionalFormatting sqref="EG84">
    <cfRule type="colorScale" priority="1664">
      <colorScale>
        <cfvo type="min"/>
        <cfvo type="percentile" val="50"/>
        <cfvo type="max"/>
        <color rgb="FFF8696B"/>
        <color rgb="FFFFEB84"/>
        <color rgb="FF63BE7B"/>
      </colorScale>
    </cfRule>
  </conditionalFormatting>
  <conditionalFormatting sqref="EG84">
    <cfRule type="colorScale" priority="1663">
      <colorScale>
        <cfvo type="min"/>
        <cfvo type="percentile" val="50"/>
        <cfvo type="max"/>
        <color rgb="FFF8696B"/>
        <color rgb="FFFFEB84"/>
        <color rgb="FF63BE7B"/>
      </colorScale>
    </cfRule>
  </conditionalFormatting>
  <conditionalFormatting sqref="EG84">
    <cfRule type="colorScale" priority="1662">
      <colorScale>
        <cfvo type="min"/>
        <cfvo type="percentile" val="50"/>
        <cfvo type="max"/>
        <color rgb="FF63BE7B"/>
        <color rgb="FFFFEB84"/>
        <color rgb="FFF8696B"/>
      </colorScale>
    </cfRule>
  </conditionalFormatting>
  <conditionalFormatting sqref="EG84">
    <cfRule type="colorScale" priority="1659">
      <colorScale>
        <cfvo type="min"/>
        <cfvo type="max"/>
        <color rgb="FFFCFCFF"/>
        <color rgb="FFF8696B"/>
      </colorScale>
    </cfRule>
    <cfRule type="colorScale" priority="1661">
      <colorScale>
        <cfvo type="min"/>
        <cfvo type="percentile" val="50"/>
        <cfvo type="max"/>
        <color rgb="FF63BE7B"/>
        <color rgb="FFFFEB84"/>
        <color rgb="FFF8696B"/>
      </colorScale>
    </cfRule>
  </conditionalFormatting>
  <conditionalFormatting sqref="EG84">
    <cfRule type="colorScale" priority="1660">
      <colorScale>
        <cfvo type="min"/>
        <cfvo type="max"/>
        <color rgb="FFF8696B"/>
        <color rgb="FFFCFCFF"/>
      </colorScale>
    </cfRule>
  </conditionalFormatting>
  <conditionalFormatting sqref="EE77">
    <cfRule type="colorScale" priority="1658">
      <colorScale>
        <cfvo type="min"/>
        <cfvo type="percentile" val="50"/>
        <cfvo type="max"/>
        <color rgb="FFF8696B"/>
        <color rgb="FFFFEB84"/>
        <color rgb="FF63BE7B"/>
      </colorScale>
    </cfRule>
  </conditionalFormatting>
  <conditionalFormatting sqref="EE77 EE84 EG84">
    <cfRule type="colorScale" priority="1657">
      <colorScale>
        <cfvo type="min"/>
        <cfvo type="max"/>
        <color rgb="FFFCFCFF"/>
        <color rgb="FFF8696B"/>
      </colorScale>
    </cfRule>
  </conditionalFormatting>
  <conditionalFormatting sqref="EG61">
    <cfRule type="colorScale" priority="1656">
      <colorScale>
        <cfvo type="min"/>
        <cfvo type="percentile" val="50"/>
        <cfvo type="max"/>
        <color rgb="FFF8696B"/>
        <color rgb="FFFFEB84"/>
        <color rgb="FF63BE7B"/>
      </colorScale>
    </cfRule>
  </conditionalFormatting>
  <conditionalFormatting sqref="EG61">
    <cfRule type="colorScale" priority="1655">
      <colorScale>
        <cfvo type="min"/>
        <cfvo type="percentile" val="50"/>
        <cfvo type="max"/>
        <color rgb="FF63BE7B"/>
        <color rgb="FFFFEB84"/>
        <color rgb="FFF8696B"/>
      </colorScale>
    </cfRule>
  </conditionalFormatting>
  <conditionalFormatting sqref="EG61">
    <cfRule type="colorScale" priority="1652">
      <colorScale>
        <cfvo type="min"/>
        <cfvo type="max"/>
        <color rgb="FFFCFCFF"/>
        <color rgb="FFF8696B"/>
      </colorScale>
    </cfRule>
    <cfRule type="colorScale" priority="1654">
      <colorScale>
        <cfvo type="min"/>
        <cfvo type="percentile" val="50"/>
        <cfvo type="max"/>
        <color rgb="FF63BE7B"/>
        <color rgb="FFFFEB84"/>
        <color rgb="FFF8696B"/>
      </colorScale>
    </cfRule>
  </conditionalFormatting>
  <conditionalFormatting sqref="EG61">
    <cfRule type="colorScale" priority="1653">
      <colorScale>
        <cfvo type="min"/>
        <cfvo type="max"/>
        <color rgb="FFF8696B"/>
        <color rgb="FFFCFCFF"/>
      </colorScale>
    </cfRule>
  </conditionalFormatting>
  <conditionalFormatting sqref="EG61">
    <cfRule type="colorScale" priority="1651">
      <colorScale>
        <cfvo type="min"/>
        <cfvo type="max"/>
        <color rgb="FFFCFCFF"/>
        <color rgb="FFF8696B"/>
      </colorScale>
    </cfRule>
  </conditionalFormatting>
  <conditionalFormatting sqref="EE56 EG56">
    <cfRule type="colorScale" priority="1650">
      <colorScale>
        <cfvo type="min"/>
        <cfvo type="percentile" val="50"/>
        <cfvo type="max"/>
        <color rgb="FFF8696B"/>
        <color rgb="FFFFEB84"/>
        <color rgb="FF63BE7B"/>
      </colorScale>
    </cfRule>
  </conditionalFormatting>
  <conditionalFormatting sqref="EE56">
    <cfRule type="colorScale" priority="1649">
      <colorScale>
        <cfvo type="min"/>
        <cfvo type="percentile" val="50"/>
        <cfvo type="max"/>
        <color rgb="FFF8696B"/>
        <color rgb="FFFFEB84"/>
        <color rgb="FF63BE7B"/>
      </colorScale>
    </cfRule>
  </conditionalFormatting>
  <conditionalFormatting sqref="EE56 EG56">
    <cfRule type="colorScale" priority="1648">
      <colorScale>
        <cfvo type="min"/>
        <cfvo type="percentile" val="50"/>
        <cfvo type="max"/>
        <color rgb="FF63BE7B"/>
        <color rgb="FFFFEB84"/>
        <color rgb="FFF8696B"/>
      </colorScale>
    </cfRule>
  </conditionalFormatting>
  <conditionalFormatting sqref="EE56 EG56">
    <cfRule type="colorScale" priority="1645">
      <colorScale>
        <cfvo type="min"/>
        <cfvo type="max"/>
        <color rgb="FFFCFCFF"/>
        <color rgb="FFF8696B"/>
      </colorScale>
    </cfRule>
    <cfRule type="colorScale" priority="1647">
      <colorScale>
        <cfvo type="min"/>
        <cfvo type="percentile" val="50"/>
        <cfvo type="max"/>
        <color rgb="FF63BE7B"/>
        <color rgb="FFFFEB84"/>
        <color rgb="FFF8696B"/>
      </colorScale>
    </cfRule>
  </conditionalFormatting>
  <conditionalFormatting sqref="EE56 EG56">
    <cfRule type="colorScale" priority="1646">
      <colorScale>
        <cfvo type="min"/>
        <cfvo type="max"/>
        <color rgb="FFF8696B"/>
        <color rgb="FFFCFCFF"/>
      </colorScale>
    </cfRule>
  </conditionalFormatting>
  <conditionalFormatting sqref="EE56 EG56">
    <cfRule type="colorScale" priority="1644">
      <colorScale>
        <cfvo type="min"/>
        <cfvo type="max"/>
        <color rgb="FFFCFCFF"/>
        <color rgb="FFF8696B"/>
      </colorScale>
    </cfRule>
  </conditionalFormatting>
  <conditionalFormatting sqref="EE67">
    <cfRule type="colorScale" priority="1643">
      <colorScale>
        <cfvo type="min"/>
        <cfvo type="percentile" val="50"/>
        <cfvo type="max"/>
        <color rgb="FFF8696B"/>
        <color rgb="FFFFEB84"/>
        <color rgb="FF63BE7B"/>
      </colorScale>
    </cfRule>
  </conditionalFormatting>
  <conditionalFormatting sqref="EE67">
    <cfRule type="colorScale" priority="1642">
      <colorScale>
        <cfvo type="min"/>
        <cfvo type="percentile" val="50"/>
        <cfvo type="max"/>
        <color rgb="FF63BE7B"/>
        <color rgb="FFFFEB84"/>
        <color rgb="FFF8696B"/>
      </colorScale>
    </cfRule>
  </conditionalFormatting>
  <conditionalFormatting sqref="EE67">
    <cfRule type="colorScale" priority="1639">
      <colorScale>
        <cfvo type="min"/>
        <cfvo type="max"/>
        <color rgb="FFFCFCFF"/>
        <color rgb="FFF8696B"/>
      </colorScale>
    </cfRule>
    <cfRule type="colorScale" priority="1641">
      <colorScale>
        <cfvo type="min"/>
        <cfvo type="percentile" val="50"/>
        <cfvo type="max"/>
        <color rgb="FF63BE7B"/>
        <color rgb="FFFFEB84"/>
        <color rgb="FFF8696B"/>
      </colorScale>
    </cfRule>
  </conditionalFormatting>
  <conditionalFormatting sqref="EE67">
    <cfRule type="colorScale" priority="1640">
      <colorScale>
        <cfvo type="min"/>
        <cfvo type="max"/>
        <color rgb="FFF8696B"/>
        <color rgb="FFFCFCFF"/>
      </colorScale>
    </cfRule>
  </conditionalFormatting>
  <conditionalFormatting sqref="EE67">
    <cfRule type="colorScale" priority="1638">
      <colorScale>
        <cfvo type="min"/>
        <cfvo type="percentile" val="50"/>
        <cfvo type="max"/>
        <color rgb="FFF8696B"/>
        <color rgb="FFFFEB84"/>
        <color rgb="FF63BE7B"/>
      </colorScale>
    </cfRule>
  </conditionalFormatting>
  <conditionalFormatting sqref="EE67">
    <cfRule type="colorScale" priority="1637">
      <colorScale>
        <cfvo type="min"/>
        <cfvo type="max"/>
        <color rgb="FFFCFCFF"/>
        <color rgb="FFF8696B"/>
      </colorScale>
    </cfRule>
  </conditionalFormatting>
  <conditionalFormatting sqref="EG67">
    <cfRule type="colorScale" priority="1636">
      <colorScale>
        <cfvo type="min"/>
        <cfvo type="percentile" val="50"/>
        <cfvo type="max"/>
        <color rgb="FFF8696B"/>
        <color rgb="FFFFEB84"/>
        <color rgb="FF63BE7B"/>
      </colorScale>
    </cfRule>
  </conditionalFormatting>
  <conditionalFormatting sqref="EG67">
    <cfRule type="colorScale" priority="1635">
      <colorScale>
        <cfvo type="min"/>
        <cfvo type="percentile" val="50"/>
        <cfvo type="max"/>
        <color rgb="FF63BE7B"/>
        <color rgb="FFFFEB84"/>
        <color rgb="FFF8696B"/>
      </colorScale>
    </cfRule>
  </conditionalFormatting>
  <conditionalFormatting sqref="EG67">
    <cfRule type="colorScale" priority="1632">
      <colorScale>
        <cfvo type="min"/>
        <cfvo type="max"/>
        <color rgb="FFFCFCFF"/>
        <color rgb="FFF8696B"/>
      </colorScale>
    </cfRule>
    <cfRule type="colorScale" priority="1634">
      <colorScale>
        <cfvo type="min"/>
        <cfvo type="percentile" val="50"/>
        <cfvo type="max"/>
        <color rgb="FF63BE7B"/>
        <color rgb="FFFFEB84"/>
        <color rgb="FFF8696B"/>
      </colorScale>
    </cfRule>
  </conditionalFormatting>
  <conditionalFormatting sqref="EG67">
    <cfRule type="colorScale" priority="1633">
      <colorScale>
        <cfvo type="min"/>
        <cfvo type="max"/>
        <color rgb="FFF8696B"/>
        <color rgb="FFFCFCFF"/>
      </colorScale>
    </cfRule>
  </conditionalFormatting>
  <conditionalFormatting sqref="EG67">
    <cfRule type="colorScale" priority="1631">
      <colorScale>
        <cfvo type="min"/>
        <cfvo type="percentile" val="50"/>
        <cfvo type="max"/>
        <color rgb="FFF8696B"/>
        <color rgb="FFFFEB84"/>
        <color rgb="FF63BE7B"/>
      </colorScale>
    </cfRule>
  </conditionalFormatting>
  <conditionalFormatting sqref="EG67">
    <cfRule type="colorScale" priority="1630">
      <colorScale>
        <cfvo type="min"/>
        <cfvo type="max"/>
        <color rgb="FFFCFCFF"/>
        <color rgb="FFF8696B"/>
      </colorScale>
    </cfRule>
  </conditionalFormatting>
  <conditionalFormatting sqref="EE56:EE61 EE77 EG56 EG61 EE67:EE71 EG67:EG71 EE84 EG84">
    <cfRule type="colorScale" priority="1629">
      <colorScale>
        <cfvo type="min"/>
        <cfvo type="max"/>
        <color rgb="FFFCFCFF"/>
        <color rgb="FFF8696B"/>
      </colorScale>
    </cfRule>
  </conditionalFormatting>
  <conditionalFormatting sqref="EA61 EC61">
    <cfRule type="colorScale" priority="1628">
      <colorScale>
        <cfvo type="min"/>
        <cfvo type="max"/>
        <color rgb="FFFCFCFF"/>
        <color rgb="FFF8696B"/>
      </colorScale>
    </cfRule>
  </conditionalFormatting>
  <conditionalFormatting sqref="EA56 EC56">
    <cfRule type="colorScale" priority="1627">
      <colorScale>
        <cfvo type="min"/>
        <cfvo type="percentile" val="50"/>
        <cfvo type="max"/>
        <color rgb="FFF8696B"/>
        <color rgb="FFFFEB84"/>
        <color rgb="FF63BE7B"/>
      </colorScale>
    </cfRule>
  </conditionalFormatting>
  <conditionalFormatting sqref="EA56">
    <cfRule type="colorScale" priority="1626">
      <colorScale>
        <cfvo type="min"/>
        <cfvo type="percentile" val="50"/>
        <cfvo type="max"/>
        <color rgb="FFF8696B"/>
        <color rgb="FFFFEB84"/>
        <color rgb="FF63BE7B"/>
      </colorScale>
    </cfRule>
  </conditionalFormatting>
  <conditionalFormatting sqref="EA56 EC56">
    <cfRule type="colorScale" priority="1625">
      <colorScale>
        <cfvo type="min"/>
        <cfvo type="percentile" val="50"/>
        <cfvo type="max"/>
        <color rgb="FF63BE7B"/>
        <color rgb="FFFFEB84"/>
        <color rgb="FFF8696B"/>
      </colorScale>
    </cfRule>
  </conditionalFormatting>
  <conditionalFormatting sqref="EA56 EC56">
    <cfRule type="colorScale" priority="1622">
      <colorScale>
        <cfvo type="min"/>
        <cfvo type="max"/>
        <color rgb="FFFCFCFF"/>
        <color rgb="FFF8696B"/>
      </colorScale>
    </cfRule>
    <cfRule type="colorScale" priority="1624">
      <colorScale>
        <cfvo type="min"/>
        <cfvo type="percentile" val="50"/>
        <cfvo type="max"/>
        <color rgb="FF63BE7B"/>
        <color rgb="FFFFEB84"/>
        <color rgb="FFF8696B"/>
      </colorScale>
    </cfRule>
  </conditionalFormatting>
  <conditionalFormatting sqref="EA56 EC56">
    <cfRule type="colorScale" priority="1623">
      <colorScale>
        <cfvo type="min"/>
        <cfvo type="max"/>
        <color rgb="FFF8696B"/>
        <color rgb="FFFCFCFF"/>
      </colorScale>
    </cfRule>
  </conditionalFormatting>
  <conditionalFormatting sqref="EA56 EC56">
    <cfRule type="colorScale" priority="1621">
      <colorScale>
        <cfvo type="min"/>
        <cfvo type="max"/>
        <color rgb="FFFCFCFF"/>
        <color rgb="FFF8696B"/>
      </colorScale>
    </cfRule>
  </conditionalFormatting>
  <conditionalFormatting sqref="EA56">
    <cfRule type="colorScale" priority="1620">
      <colorScale>
        <cfvo type="min"/>
        <cfvo type="max"/>
        <color rgb="FFFCFCFF"/>
        <color rgb="FFF8696B"/>
      </colorScale>
    </cfRule>
  </conditionalFormatting>
  <conditionalFormatting sqref="EI76 EI82">
    <cfRule type="colorScale" priority="1619">
      <colorScale>
        <cfvo type="min"/>
        <cfvo type="percentile" val="50"/>
        <cfvo type="max"/>
        <color rgb="FFF8696B"/>
        <color rgb="FFFFEB84"/>
        <color rgb="FF63BE7B"/>
      </colorScale>
    </cfRule>
  </conditionalFormatting>
  <conditionalFormatting sqref="EI76">
    <cfRule type="colorScale" priority="1618">
      <colorScale>
        <cfvo type="min"/>
        <cfvo type="percentile" val="50"/>
        <cfvo type="max"/>
        <color rgb="FFF8696B"/>
        <color rgb="FFFFEB84"/>
        <color rgb="FF63BE7B"/>
      </colorScale>
    </cfRule>
  </conditionalFormatting>
  <conditionalFormatting sqref="EI76 EI82">
    <cfRule type="colorScale" priority="1617">
      <colorScale>
        <cfvo type="min"/>
        <cfvo type="percentile" val="50"/>
        <cfvo type="max"/>
        <color rgb="FF63BE7B"/>
        <color rgb="FFFFEB84"/>
        <color rgb="FFF8696B"/>
      </colorScale>
    </cfRule>
  </conditionalFormatting>
  <conditionalFormatting sqref="EI82 EI76">
    <cfRule type="colorScale" priority="1614">
      <colorScale>
        <cfvo type="min"/>
        <cfvo type="max"/>
        <color rgb="FFFCFCFF"/>
        <color rgb="FFF8696B"/>
      </colorScale>
    </cfRule>
    <cfRule type="colorScale" priority="1616">
      <colorScale>
        <cfvo type="min"/>
        <cfvo type="percentile" val="50"/>
        <cfvo type="max"/>
        <color rgb="FF63BE7B"/>
        <color rgb="FFFFEB84"/>
        <color rgb="FFF8696B"/>
      </colorScale>
    </cfRule>
  </conditionalFormatting>
  <conditionalFormatting sqref="EI76 EI82">
    <cfRule type="colorScale" priority="1615">
      <colorScale>
        <cfvo type="min"/>
        <cfvo type="max"/>
        <color rgb="FFF8696B"/>
        <color rgb="FFFCFCFF"/>
      </colorScale>
    </cfRule>
  </conditionalFormatting>
  <conditionalFormatting sqref="EI84">
    <cfRule type="colorScale" priority="1613">
      <colorScale>
        <cfvo type="min"/>
        <cfvo type="percentile" val="50"/>
        <cfvo type="max"/>
        <color rgb="FFF8696B"/>
        <color rgb="FFFFEB84"/>
        <color rgb="FF63BE7B"/>
      </colorScale>
    </cfRule>
  </conditionalFormatting>
  <conditionalFormatting sqref="EI84">
    <cfRule type="colorScale" priority="1612">
      <colorScale>
        <cfvo type="min"/>
        <cfvo type="percentile" val="50"/>
        <cfvo type="max"/>
        <color rgb="FFF8696B"/>
        <color rgb="FFFFEB84"/>
        <color rgb="FF63BE7B"/>
      </colorScale>
    </cfRule>
  </conditionalFormatting>
  <conditionalFormatting sqref="EI84">
    <cfRule type="colorScale" priority="1611">
      <colorScale>
        <cfvo type="min"/>
        <cfvo type="percentile" val="50"/>
        <cfvo type="max"/>
        <color rgb="FFF8696B"/>
        <color rgb="FFFFEB84"/>
        <color rgb="FF63BE7B"/>
      </colorScale>
    </cfRule>
  </conditionalFormatting>
  <conditionalFormatting sqref="EI84">
    <cfRule type="colorScale" priority="1610">
      <colorScale>
        <cfvo type="min"/>
        <cfvo type="percentile" val="50"/>
        <cfvo type="max"/>
        <color rgb="FF63BE7B"/>
        <color rgb="FFFFEB84"/>
        <color rgb="FFF8696B"/>
      </colorScale>
    </cfRule>
  </conditionalFormatting>
  <conditionalFormatting sqref="EI84">
    <cfRule type="colorScale" priority="1607">
      <colorScale>
        <cfvo type="min"/>
        <cfvo type="max"/>
        <color rgb="FFFCFCFF"/>
        <color rgb="FFF8696B"/>
      </colorScale>
    </cfRule>
    <cfRule type="colorScale" priority="1609">
      <colorScale>
        <cfvo type="min"/>
        <cfvo type="percentile" val="50"/>
        <cfvo type="max"/>
        <color rgb="FF63BE7B"/>
        <color rgb="FFFFEB84"/>
        <color rgb="FFF8696B"/>
      </colorScale>
    </cfRule>
  </conditionalFormatting>
  <conditionalFormatting sqref="EI84">
    <cfRule type="colorScale" priority="1608">
      <colorScale>
        <cfvo type="min"/>
        <cfvo type="max"/>
        <color rgb="FFF8696B"/>
        <color rgb="FFFCFCFF"/>
      </colorScale>
    </cfRule>
  </conditionalFormatting>
  <conditionalFormatting sqref="EI76">
    <cfRule type="colorScale" priority="1606">
      <colorScale>
        <cfvo type="min"/>
        <cfvo type="percentile" val="50"/>
        <cfvo type="max"/>
        <color rgb="FFF8696B"/>
        <color rgb="FFFFEB84"/>
        <color rgb="FF63BE7B"/>
      </colorScale>
    </cfRule>
  </conditionalFormatting>
  <conditionalFormatting sqref="EI82">
    <cfRule type="colorScale" priority="1605">
      <colorScale>
        <cfvo type="min"/>
        <cfvo type="percentile" val="50"/>
        <cfvo type="max"/>
        <color rgb="FFF8696B"/>
        <color rgb="FFFFEB84"/>
        <color rgb="FF63BE7B"/>
      </colorScale>
    </cfRule>
  </conditionalFormatting>
  <conditionalFormatting sqref="EI76 EI82 EI84">
    <cfRule type="colorScale" priority="1604">
      <colorScale>
        <cfvo type="min"/>
        <cfvo type="max"/>
        <color rgb="FFFCFCFF"/>
        <color rgb="FFF8696B"/>
      </colorScale>
    </cfRule>
  </conditionalFormatting>
  <conditionalFormatting sqref="EK82 EK66 EK71 EK76">
    <cfRule type="colorScale" priority="1603">
      <colorScale>
        <cfvo type="min"/>
        <cfvo type="percentile" val="50"/>
        <cfvo type="max"/>
        <color rgb="FFF8696B"/>
        <color rgb="FFFFEB84"/>
        <color rgb="FF63BE7B"/>
      </colorScale>
    </cfRule>
  </conditionalFormatting>
  <conditionalFormatting sqref="EK76">
    <cfRule type="colorScale" priority="1602">
      <colorScale>
        <cfvo type="min"/>
        <cfvo type="percentile" val="50"/>
        <cfvo type="max"/>
        <color rgb="FFF8696B"/>
        <color rgb="FFFFEB84"/>
        <color rgb="FF63BE7B"/>
      </colorScale>
    </cfRule>
  </conditionalFormatting>
  <conditionalFormatting sqref="EK66 EK82 EK71 EK76">
    <cfRule type="colorScale" priority="1601">
      <colorScale>
        <cfvo type="min"/>
        <cfvo type="percentile" val="50"/>
        <cfvo type="max"/>
        <color rgb="FF63BE7B"/>
        <color rgb="FFFFEB84"/>
        <color rgb="FFF8696B"/>
      </colorScale>
    </cfRule>
  </conditionalFormatting>
  <conditionalFormatting sqref="EK82 EK66 EK71 EK76">
    <cfRule type="colorScale" priority="1598">
      <colorScale>
        <cfvo type="min"/>
        <cfvo type="max"/>
        <color rgb="FFFCFCFF"/>
        <color rgb="FFF8696B"/>
      </colorScale>
    </cfRule>
    <cfRule type="colorScale" priority="1600">
      <colorScale>
        <cfvo type="min"/>
        <cfvo type="percentile" val="50"/>
        <cfvo type="max"/>
        <color rgb="FF63BE7B"/>
        <color rgb="FFFFEB84"/>
        <color rgb="FFF8696B"/>
      </colorScale>
    </cfRule>
  </conditionalFormatting>
  <conditionalFormatting sqref="EK66 EK82 EK71 EK76">
    <cfRule type="colorScale" priority="1599">
      <colorScale>
        <cfvo type="min"/>
        <cfvo type="max"/>
        <color rgb="FFF8696B"/>
        <color rgb="FFFCFCFF"/>
      </colorScale>
    </cfRule>
  </conditionalFormatting>
  <conditionalFormatting sqref="EK84">
    <cfRule type="colorScale" priority="1597">
      <colorScale>
        <cfvo type="min"/>
        <cfvo type="percentile" val="50"/>
        <cfvo type="max"/>
        <color rgb="FFF8696B"/>
        <color rgb="FFFFEB84"/>
        <color rgb="FF63BE7B"/>
      </colorScale>
    </cfRule>
  </conditionalFormatting>
  <conditionalFormatting sqref="EK84">
    <cfRule type="colorScale" priority="1596">
      <colorScale>
        <cfvo type="min"/>
        <cfvo type="percentile" val="50"/>
        <cfvo type="max"/>
        <color rgb="FFF8696B"/>
        <color rgb="FFFFEB84"/>
        <color rgb="FF63BE7B"/>
      </colorScale>
    </cfRule>
  </conditionalFormatting>
  <conditionalFormatting sqref="EK84">
    <cfRule type="colorScale" priority="1595">
      <colorScale>
        <cfvo type="min"/>
        <cfvo type="percentile" val="50"/>
        <cfvo type="max"/>
        <color rgb="FFF8696B"/>
        <color rgb="FFFFEB84"/>
        <color rgb="FF63BE7B"/>
      </colorScale>
    </cfRule>
  </conditionalFormatting>
  <conditionalFormatting sqref="EK84">
    <cfRule type="colorScale" priority="1594">
      <colorScale>
        <cfvo type="min"/>
        <cfvo type="percentile" val="50"/>
        <cfvo type="max"/>
        <color rgb="FF63BE7B"/>
        <color rgb="FFFFEB84"/>
        <color rgb="FFF8696B"/>
      </colorScale>
    </cfRule>
  </conditionalFormatting>
  <conditionalFormatting sqref="EK84">
    <cfRule type="colorScale" priority="1591">
      <colorScale>
        <cfvo type="min"/>
        <cfvo type="max"/>
        <color rgb="FFFCFCFF"/>
        <color rgb="FFF8696B"/>
      </colorScale>
    </cfRule>
    <cfRule type="colorScale" priority="1593">
      <colorScale>
        <cfvo type="min"/>
        <cfvo type="percentile" val="50"/>
        <cfvo type="max"/>
        <color rgb="FF63BE7B"/>
        <color rgb="FFFFEB84"/>
        <color rgb="FFF8696B"/>
      </colorScale>
    </cfRule>
  </conditionalFormatting>
  <conditionalFormatting sqref="EK84">
    <cfRule type="colorScale" priority="1592">
      <colorScale>
        <cfvo type="min"/>
        <cfvo type="max"/>
        <color rgb="FFF8696B"/>
        <color rgb="FFFCFCFF"/>
      </colorScale>
    </cfRule>
  </conditionalFormatting>
  <conditionalFormatting sqref="EK66">
    <cfRule type="colorScale" priority="1590">
      <colorScale>
        <cfvo type="min"/>
        <cfvo type="percentile" val="50"/>
        <cfvo type="max"/>
        <color rgb="FFF8696B"/>
        <color rgb="FFFFEB84"/>
        <color rgb="FF63BE7B"/>
      </colorScale>
    </cfRule>
  </conditionalFormatting>
  <conditionalFormatting sqref="EK71">
    <cfRule type="colorScale" priority="1589">
      <colorScale>
        <cfvo type="min"/>
        <cfvo type="percentile" val="50"/>
        <cfvo type="max"/>
        <color rgb="FFF8696B"/>
        <color rgb="FFFFEB84"/>
        <color rgb="FF63BE7B"/>
      </colorScale>
    </cfRule>
  </conditionalFormatting>
  <conditionalFormatting sqref="EK76">
    <cfRule type="colorScale" priority="1588">
      <colorScale>
        <cfvo type="min"/>
        <cfvo type="percentile" val="50"/>
        <cfvo type="max"/>
        <color rgb="FFF8696B"/>
        <color rgb="FFFFEB84"/>
        <color rgb="FF63BE7B"/>
      </colorScale>
    </cfRule>
  </conditionalFormatting>
  <conditionalFormatting sqref="EK82">
    <cfRule type="colorScale" priority="1587">
      <colorScale>
        <cfvo type="min"/>
        <cfvo type="percentile" val="50"/>
        <cfvo type="max"/>
        <color rgb="FFF8696B"/>
        <color rgb="FFFFEB84"/>
        <color rgb="FF63BE7B"/>
      </colorScale>
    </cfRule>
  </conditionalFormatting>
  <conditionalFormatting sqref="EK66 EK82 EK71 EK76 EK84">
    <cfRule type="colorScale" priority="1586">
      <colorScale>
        <cfvo type="min"/>
        <cfvo type="max"/>
        <color rgb="FFFCFCFF"/>
        <color rgb="FFF8696B"/>
      </colorScale>
    </cfRule>
  </conditionalFormatting>
  <conditionalFormatting sqref="EM82 EM66 EM71 EM76">
    <cfRule type="colorScale" priority="1585">
      <colorScale>
        <cfvo type="min"/>
        <cfvo type="percentile" val="50"/>
        <cfvo type="max"/>
        <color rgb="FFF8696B"/>
        <color rgb="FFFFEB84"/>
        <color rgb="FF63BE7B"/>
      </colorScale>
    </cfRule>
  </conditionalFormatting>
  <conditionalFormatting sqref="EM76">
    <cfRule type="colorScale" priority="1584">
      <colorScale>
        <cfvo type="min"/>
        <cfvo type="percentile" val="50"/>
        <cfvo type="max"/>
        <color rgb="FFF8696B"/>
        <color rgb="FFFFEB84"/>
        <color rgb="FF63BE7B"/>
      </colorScale>
    </cfRule>
  </conditionalFormatting>
  <conditionalFormatting sqref="EM71 EM82 EM66 EM76">
    <cfRule type="colorScale" priority="1583">
      <colorScale>
        <cfvo type="min"/>
        <cfvo type="percentile" val="50"/>
        <cfvo type="max"/>
        <color rgb="FF63BE7B"/>
        <color rgb="FFFFEB84"/>
        <color rgb="FFF8696B"/>
      </colorScale>
    </cfRule>
  </conditionalFormatting>
  <conditionalFormatting sqref="EM82 EM66 EM71 EM76">
    <cfRule type="colorScale" priority="1580">
      <colorScale>
        <cfvo type="min"/>
        <cfvo type="max"/>
        <color rgb="FFFCFCFF"/>
        <color rgb="FFF8696B"/>
      </colorScale>
    </cfRule>
    <cfRule type="colorScale" priority="1582">
      <colorScale>
        <cfvo type="min"/>
        <cfvo type="percentile" val="50"/>
        <cfvo type="max"/>
        <color rgb="FF63BE7B"/>
        <color rgb="FFFFEB84"/>
        <color rgb="FFF8696B"/>
      </colorScale>
    </cfRule>
  </conditionalFormatting>
  <conditionalFormatting sqref="EM71 EM82 EM66 EM76">
    <cfRule type="colorScale" priority="1581">
      <colorScale>
        <cfvo type="min"/>
        <cfvo type="max"/>
        <color rgb="FFF8696B"/>
        <color rgb="FFFCFCFF"/>
      </colorScale>
    </cfRule>
  </conditionalFormatting>
  <conditionalFormatting sqref="EM84">
    <cfRule type="colorScale" priority="1579">
      <colorScale>
        <cfvo type="min"/>
        <cfvo type="percentile" val="50"/>
        <cfvo type="max"/>
        <color rgb="FFF8696B"/>
        <color rgb="FFFFEB84"/>
        <color rgb="FF63BE7B"/>
      </colorScale>
    </cfRule>
  </conditionalFormatting>
  <conditionalFormatting sqref="EM84">
    <cfRule type="colorScale" priority="1578">
      <colorScale>
        <cfvo type="min"/>
        <cfvo type="percentile" val="50"/>
        <cfvo type="max"/>
        <color rgb="FFF8696B"/>
        <color rgb="FFFFEB84"/>
        <color rgb="FF63BE7B"/>
      </colorScale>
    </cfRule>
  </conditionalFormatting>
  <conditionalFormatting sqref="EM84">
    <cfRule type="colorScale" priority="1577">
      <colorScale>
        <cfvo type="min"/>
        <cfvo type="percentile" val="50"/>
        <cfvo type="max"/>
        <color rgb="FFF8696B"/>
        <color rgb="FFFFEB84"/>
        <color rgb="FF63BE7B"/>
      </colorScale>
    </cfRule>
  </conditionalFormatting>
  <conditionalFormatting sqref="EM84">
    <cfRule type="colorScale" priority="1576">
      <colorScale>
        <cfvo type="min"/>
        <cfvo type="percentile" val="50"/>
        <cfvo type="max"/>
        <color rgb="FF63BE7B"/>
        <color rgb="FFFFEB84"/>
        <color rgb="FFF8696B"/>
      </colorScale>
    </cfRule>
  </conditionalFormatting>
  <conditionalFormatting sqref="EM84">
    <cfRule type="colorScale" priority="1573">
      <colorScale>
        <cfvo type="min"/>
        <cfvo type="max"/>
        <color rgb="FFFCFCFF"/>
        <color rgb="FFF8696B"/>
      </colorScale>
    </cfRule>
    <cfRule type="colorScale" priority="1575">
      <colorScale>
        <cfvo type="min"/>
        <cfvo type="percentile" val="50"/>
        <cfvo type="max"/>
        <color rgb="FF63BE7B"/>
        <color rgb="FFFFEB84"/>
        <color rgb="FFF8696B"/>
      </colorScale>
    </cfRule>
  </conditionalFormatting>
  <conditionalFormatting sqref="EM84">
    <cfRule type="colorScale" priority="1574">
      <colorScale>
        <cfvo type="min"/>
        <cfvo type="max"/>
        <color rgb="FFF8696B"/>
        <color rgb="FFFCFCFF"/>
      </colorScale>
    </cfRule>
  </conditionalFormatting>
  <conditionalFormatting sqref="EM66">
    <cfRule type="colorScale" priority="1572">
      <colorScale>
        <cfvo type="min"/>
        <cfvo type="percentile" val="50"/>
        <cfvo type="max"/>
        <color rgb="FFF8696B"/>
        <color rgb="FFFFEB84"/>
        <color rgb="FF63BE7B"/>
      </colorScale>
    </cfRule>
  </conditionalFormatting>
  <conditionalFormatting sqref="EM71">
    <cfRule type="colorScale" priority="1571">
      <colorScale>
        <cfvo type="min"/>
        <cfvo type="percentile" val="50"/>
        <cfvo type="max"/>
        <color rgb="FFF8696B"/>
        <color rgb="FFFFEB84"/>
        <color rgb="FF63BE7B"/>
      </colorScale>
    </cfRule>
  </conditionalFormatting>
  <conditionalFormatting sqref="EM76">
    <cfRule type="colorScale" priority="1570">
      <colorScale>
        <cfvo type="min"/>
        <cfvo type="percentile" val="50"/>
        <cfvo type="max"/>
        <color rgb="FFF8696B"/>
        <color rgb="FFFFEB84"/>
        <color rgb="FF63BE7B"/>
      </colorScale>
    </cfRule>
  </conditionalFormatting>
  <conditionalFormatting sqref="EM82">
    <cfRule type="colorScale" priority="1569">
      <colorScale>
        <cfvo type="min"/>
        <cfvo type="percentile" val="50"/>
        <cfvo type="max"/>
        <color rgb="FFF8696B"/>
        <color rgb="FFFFEB84"/>
        <color rgb="FF63BE7B"/>
      </colorScale>
    </cfRule>
  </conditionalFormatting>
  <conditionalFormatting sqref="EM71 EM82 EM66 EM76 EM84">
    <cfRule type="colorScale" priority="1568">
      <colorScale>
        <cfvo type="min"/>
        <cfvo type="max"/>
        <color rgb="FFFCFCFF"/>
        <color rgb="FFF8696B"/>
      </colorScale>
    </cfRule>
  </conditionalFormatting>
  <conditionalFormatting sqref="EI61">
    <cfRule type="colorScale" priority="1567">
      <colorScale>
        <cfvo type="min"/>
        <cfvo type="percentile" val="50"/>
        <cfvo type="max"/>
        <color rgb="FFF8696B"/>
        <color rgb="FFFFEB84"/>
        <color rgb="FF63BE7B"/>
      </colorScale>
    </cfRule>
  </conditionalFormatting>
  <conditionalFormatting sqref="EI61">
    <cfRule type="colorScale" priority="1566">
      <colorScale>
        <cfvo type="min"/>
        <cfvo type="percentile" val="50"/>
        <cfvo type="max"/>
        <color rgb="FFF8696B"/>
        <color rgb="FFFFEB84"/>
        <color rgb="FF63BE7B"/>
      </colorScale>
    </cfRule>
  </conditionalFormatting>
  <conditionalFormatting sqref="EI61">
    <cfRule type="colorScale" priority="1565">
      <colorScale>
        <cfvo type="min"/>
        <cfvo type="percentile" val="50"/>
        <cfvo type="max"/>
        <color rgb="FF63BE7B"/>
        <color rgb="FFFFEB84"/>
        <color rgb="FFF8696B"/>
      </colorScale>
    </cfRule>
  </conditionalFormatting>
  <conditionalFormatting sqref="EI61">
    <cfRule type="colorScale" priority="1562">
      <colorScale>
        <cfvo type="min"/>
        <cfvo type="max"/>
        <color rgb="FFFCFCFF"/>
        <color rgb="FFF8696B"/>
      </colorScale>
    </cfRule>
    <cfRule type="colorScale" priority="1564">
      <colorScale>
        <cfvo type="min"/>
        <cfvo type="percentile" val="50"/>
        <cfvo type="max"/>
        <color rgb="FF63BE7B"/>
        <color rgb="FFFFEB84"/>
        <color rgb="FFF8696B"/>
      </colorScale>
    </cfRule>
  </conditionalFormatting>
  <conditionalFormatting sqref="EI61">
    <cfRule type="colorScale" priority="1563">
      <colorScale>
        <cfvo type="min"/>
        <cfvo type="max"/>
        <color rgb="FFF8696B"/>
        <color rgb="FFFCFCFF"/>
      </colorScale>
    </cfRule>
  </conditionalFormatting>
  <conditionalFormatting sqref="EI61">
    <cfRule type="colorScale" priority="1561">
      <colorScale>
        <cfvo type="min"/>
        <cfvo type="max"/>
        <color rgb="FFFCFCFF"/>
        <color rgb="FFF8696B"/>
      </colorScale>
    </cfRule>
  </conditionalFormatting>
  <conditionalFormatting sqref="EK61">
    <cfRule type="colorScale" priority="1560">
      <colorScale>
        <cfvo type="min"/>
        <cfvo type="percentile" val="50"/>
        <cfvo type="max"/>
        <color rgb="FFF8696B"/>
        <color rgb="FFFFEB84"/>
        <color rgb="FF63BE7B"/>
      </colorScale>
    </cfRule>
  </conditionalFormatting>
  <conditionalFormatting sqref="EK61">
    <cfRule type="colorScale" priority="1559">
      <colorScale>
        <cfvo type="min"/>
        <cfvo type="percentile" val="50"/>
        <cfvo type="max"/>
        <color rgb="FFF8696B"/>
        <color rgb="FFFFEB84"/>
        <color rgb="FF63BE7B"/>
      </colorScale>
    </cfRule>
  </conditionalFormatting>
  <conditionalFormatting sqref="EK61">
    <cfRule type="colorScale" priority="1558">
      <colorScale>
        <cfvo type="min"/>
        <cfvo type="percentile" val="50"/>
        <cfvo type="max"/>
        <color rgb="FF63BE7B"/>
        <color rgb="FFFFEB84"/>
        <color rgb="FFF8696B"/>
      </colorScale>
    </cfRule>
  </conditionalFormatting>
  <conditionalFormatting sqref="EK61">
    <cfRule type="colorScale" priority="1555">
      <colorScale>
        <cfvo type="min"/>
        <cfvo type="max"/>
        <color rgb="FFFCFCFF"/>
        <color rgb="FFF8696B"/>
      </colorScale>
    </cfRule>
    <cfRule type="colorScale" priority="1557">
      <colorScale>
        <cfvo type="min"/>
        <cfvo type="percentile" val="50"/>
        <cfvo type="max"/>
        <color rgb="FF63BE7B"/>
        <color rgb="FFFFEB84"/>
        <color rgb="FFF8696B"/>
      </colorScale>
    </cfRule>
  </conditionalFormatting>
  <conditionalFormatting sqref="EK61">
    <cfRule type="colorScale" priority="1556">
      <colorScale>
        <cfvo type="min"/>
        <cfvo type="max"/>
        <color rgb="FFF8696B"/>
        <color rgb="FFFCFCFF"/>
      </colorScale>
    </cfRule>
  </conditionalFormatting>
  <conditionalFormatting sqref="EK61">
    <cfRule type="colorScale" priority="1554">
      <colorScale>
        <cfvo type="min"/>
        <cfvo type="max"/>
        <color rgb="FFFCFCFF"/>
        <color rgb="FFF8696B"/>
      </colorScale>
    </cfRule>
  </conditionalFormatting>
  <conditionalFormatting sqref="EM61">
    <cfRule type="colorScale" priority="1553">
      <colorScale>
        <cfvo type="min"/>
        <cfvo type="percentile" val="50"/>
        <cfvo type="max"/>
        <color rgb="FFF8696B"/>
        <color rgb="FFFFEB84"/>
        <color rgb="FF63BE7B"/>
      </colorScale>
    </cfRule>
  </conditionalFormatting>
  <conditionalFormatting sqref="EM61">
    <cfRule type="colorScale" priority="1552">
      <colorScale>
        <cfvo type="min"/>
        <cfvo type="percentile" val="50"/>
        <cfvo type="max"/>
        <color rgb="FFF8696B"/>
        <color rgb="FFFFEB84"/>
        <color rgb="FF63BE7B"/>
      </colorScale>
    </cfRule>
  </conditionalFormatting>
  <conditionalFormatting sqref="EM61">
    <cfRule type="colorScale" priority="1551">
      <colorScale>
        <cfvo type="min"/>
        <cfvo type="percentile" val="50"/>
        <cfvo type="max"/>
        <color rgb="FF63BE7B"/>
        <color rgb="FFFFEB84"/>
        <color rgb="FFF8696B"/>
      </colorScale>
    </cfRule>
  </conditionalFormatting>
  <conditionalFormatting sqref="EM61">
    <cfRule type="colorScale" priority="1548">
      <colorScale>
        <cfvo type="min"/>
        <cfvo type="max"/>
        <color rgb="FFFCFCFF"/>
        <color rgb="FFF8696B"/>
      </colorScale>
    </cfRule>
    <cfRule type="colorScale" priority="1550">
      <colorScale>
        <cfvo type="min"/>
        <cfvo type="percentile" val="50"/>
        <cfvo type="max"/>
        <color rgb="FF63BE7B"/>
        <color rgb="FFFFEB84"/>
        <color rgb="FFF8696B"/>
      </colorScale>
    </cfRule>
  </conditionalFormatting>
  <conditionalFormatting sqref="EM61">
    <cfRule type="colorScale" priority="1549">
      <colorScale>
        <cfvo type="min"/>
        <cfvo type="max"/>
        <color rgb="FFF8696B"/>
        <color rgb="FFFCFCFF"/>
      </colorScale>
    </cfRule>
  </conditionalFormatting>
  <conditionalFormatting sqref="EM61">
    <cfRule type="colorScale" priority="1547">
      <colorScale>
        <cfvo type="min"/>
        <cfvo type="max"/>
        <color rgb="FFFCFCFF"/>
        <color rgb="FFF8696B"/>
      </colorScale>
    </cfRule>
  </conditionalFormatting>
  <conditionalFormatting sqref="EI56">
    <cfRule type="colorScale" priority="1546">
      <colorScale>
        <cfvo type="min"/>
        <cfvo type="percentile" val="50"/>
        <cfvo type="max"/>
        <color rgb="FFF8696B"/>
        <color rgb="FFFFEB84"/>
        <color rgb="FF63BE7B"/>
      </colorScale>
    </cfRule>
  </conditionalFormatting>
  <conditionalFormatting sqref="EI56">
    <cfRule type="colorScale" priority="1545">
      <colorScale>
        <cfvo type="min"/>
        <cfvo type="percentile" val="50"/>
        <cfvo type="max"/>
        <color rgb="FFF8696B"/>
        <color rgb="FFFFEB84"/>
        <color rgb="FF63BE7B"/>
      </colorScale>
    </cfRule>
  </conditionalFormatting>
  <conditionalFormatting sqref="EI56">
    <cfRule type="colorScale" priority="1544">
      <colorScale>
        <cfvo type="min"/>
        <cfvo type="percentile" val="50"/>
        <cfvo type="max"/>
        <color rgb="FF63BE7B"/>
        <color rgb="FFFFEB84"/>
        <color rgb="FFF8696B"/>
      </colorScale>
    </cfRule>
  </conditionalFormatting>
  <conditionalFormatting sqref="EI56">
    <cfRule type="colorScale" priority="1541">
      <colorScale>
        <cfvo type="min"/>
        <cfvo type="max"/>
        <color rgb="FFFCFCFF"/>
        <color rgb="FFF8696B"/>
      </colorScale>
    </cfRule>
    <cfRule type="colorScale" priority="1543">
      <colorScale>
        <cfvo type="min"/>
        <cfvo type="percentile" val="50"/>
        <cfvo type="max"/>
        <color rgb="FF63BE7B"/>
        <color rgb="FFFFEB84"/>
        <color rgb="FFF8696B"/>
      </colorScale>
    </cfRule>
  </conditionalFormatting>
  <conditionalFormatting sqref="EI56">
    <cfRule type="colorScale" priority="1542">
      <colorScale>
        <cfvo type="min"/>
        <cfvo type="max"/>
        <color rgb="FFF8696B"/>
        <color rgb="FFFCFCFF"/>
      </colorScale>
    </cfRule>
  </conditionalFormatting>
  <conditionalFormatting sqref="EI56">
    <cfRule type="colorScale" priority="1540">
      <colorScale>
        <cfvo type="min"/>
        <cfvo type="max"/>
        <color rgb="FFFCFCFF"/>
        <color rgb="FFF8696B"/>
      </colorScale>
    </cfRule>
  </conditionalFormatting>
  <conditionalFormatting sqref="EK56">
    <cfRule type="colorScale" priority="1539">
      <colorScale>
        <cfvo type="min"/>
        <cfvo type="percentile" val="50"/>
        <cfvo type="max"/>
        <color rgb="FFF8696B"/>
        <color rgb="FFFFEB84"/>
        <color rgb="FF63BE7B"/>
      </colorScale>
    </cfRule>
  </conditionalFormatting>
  <conditionalFormatting sqref="EK56">
    <cfRule type="colorScale" priority="1538">
      <colorScale>
        <cfvo type="min"/>
        <cfvo type="percentile" val="50"/>
        <cfvo type="max"/>
        <color rgb="FFF8696B"/>
        <color rgb="FFFFEB84"/>
        <color rgb="FF63BE7B"/>
      </colorScale>
    </cfRule>
  </conditionalFormatting>
  <conditionalFormatting sqref="EK56">
    <cfRule type="colorScale" priority="1537">
      <colorScale>
        <cfvo type="min"/>
        <cfvo type="percentile" val="50"/>
        <cfvo type="max"/>
        <color rgb="FF63BE7B"/>
        <color rgb="FFFFEB84"/>
        <color rgb="FFF8696B"/>
      </colorScale>
    </cfRule>
  </conditionalFormatting>
  <conditionalFormatting sqref="EK56">
    <cfRule type="colorScale" priority="1534">
      <colorScale>
        <cfvo type="min"/>
        <cfvo type="max"/>
        <color rgb="FFFCFCFF"/>
        <color rgb="FFF8696B"/>
      </colorScale>
    </cfRule>
    <cfRule type="colorScale" priority="1536">
      <colorScale>
        <cfvo type="min"/>
        <cfvo type="percentile" val="50"/>
        <cfvo type="max"/>
        <color rgb="FF63BE7B"/>
        <color rgb="FFFFEB84"/>
        <color rgb="FFF8696B"/>
      </colorScale>
    </cfRule>
  </conditionalFormatting>
  <conditionalFormatting sqref="EK56">
    <cfRule type="colorScale" priority="1535">
      <colorScale>
        <cfvo type="min"/>
        <cfvo type="max"/>
        <color rgb="FFF8696B"/>
        <color rgb="FFFCFCFF"/>
      </colorScale>
    </cfRule>
  </conditionalFormatting>
  <conditionalFormatting sqref="EK56">
    <cfRule type="colorScale" priority="1533">
      <colorScale>
        <cfvo type="min"/>
        <cfvo type="max"/>
        <color rgb="FFFCFCFF"/>
        <color rgb="FFF8696B"/>
      </colorScale>
    </cfRule>
  </conditionalFormatting>
  <conditionalFormatting sqref="EM56">
    <cfRule type="colorScale" priority="1532">
      <colorScale>
        <cfvo type="min"/>
        <cfvo type="percentile" val="50"/>
        <cfvo type="max"/>
        <color rgb="FFF8696B"/>
        <color rgb="FFFFEB84"/>
        <color rgb="FF63BE7B"/>
      </colorScale>
    </cfRule>
  </conditionalFormatting>
  <conditionalFormatting sqref="EM56">
    <cfRule type="colorScale" priority="1531">
      <colorScale>
        <cfvo type="min"/>
        <cfvo type="percentile" val="50"/>
        <cfvo type="max"/>
        <color rgb="FFF8696B"/>
        <color rgb="FFFFEB84"/>
        <color rgb="FF63BE7B"/>
      </colorScale>
    </cfRule>
  </conditionalFormatting>
  <conditionalFormatting sqref="EM56">
    <cfRule type="colorScale" priority="1530">
      <colorScale>
        <cfvo type="min"/>
        <cfvo type="percentile" val="50"/>
        <cfvo type="max"/>
        <color rgb="FF63BE7B"/>
        <color rgb="FFFFEB84"/>
        <color rgb="FFF8696B"/>
      </colorScale>
    </cfRule>
  </conditionalFormatting>
  <conditionalFormatting sqref="EM56">
    <cfRule type="colorScale" priority="1527">
      <colorScale>
        <cfvo type="min"/>
        <cfvo type="max"/>
        <color rgb="FFFCFCFF"/>
        <color rgb="FFF8696B"/>
      </colorScale>
    </cfRule>
    <cfRule type="colorScale" priority="1529">
      <colorScale>
        <cfvo type="min"/>
        <cfvo type="percentile" val="50"/>
        <cfvo type="max"/>
        <color rgb="FF63BE7B"/>
        <color rgb="FFFFEB84"/>
        <color rgb="FFF8696B"/>
      </colorScale>
    </cfRule>
  </conditionalFormatting>
  <conditionalFormatting sqref="EM56">
    <cfRule type="colorScale" priority="1528">
      <colorScale>
        <cfvo type="min"/>
        <cfvo type="max"/>
        <color rgb="FFF8696B"/>
        <color rgb="FFFCFCFF"/>
      </colorScale>
    </cfRule>
  </conditionalFormatting>
  <conditionalFormatting sqref="EM56">
    <cfRule type="colorScale" priority="1526">
      <colorScale>
        <cfvo type="min"/>
        <cfvo type="max"/>
        <color rgb="FFFCFCFF"/>
        <color rgb="FFF8696B"/>
      </colorScale>
    </cfRule>
  </conditionalFormatting>
  <conditionalFormatting sqref="EI56 EI82 EK56 EM56 EM61 EK61 EI61 EI76 EK76 EK71 EK66 EM66 EM71 EM76 EI84 EK82 EK84 EM82 EM84">
    <cfRule type="colorScale" priority="1525">
      <colorScale>
        <cfvo type="min"/>
        <cfvo type="max"/>
        <color rgb="FFFCFCFF"/>
        <color rgb="FFF8696B"/>
      </colorScale>
    </cfRule>
  </conditionalFormatting>
  <conditionalFormatting sqref="EI56 EM82 EK56 EM56 EM61 EK61 EI61 EI76 EK66 EK71 EM66 EM71 EM76 EK76 EM84 EK82 EK84 EI82 EI84">
    <cfRule type="colorScale" priority="1524">
      <colorScale>
        <cfvo type="min"/>
        <cfvo type="max"/>
        <color rgb="FFFCFCFF"/>
        <color rgb="FFF8696B"/>
      </colorScale>
    </cfRule>
  </conditionalFormatting>
  <conditionalFormatting sqref="EI67">
    <cfRule type="colorScale" priority="1523">
      <colorScale>
        <cfvo type="min"/>
        <cfvo type="percentile" val="50"/>
        <cfvo type="max"/>
        <color rgb="FFF8696B"/>
        <color rgb="FFFFEB84"/>
        <color rgb="FF63BE7B"/>
      </colorScale>
    </cfRule>
  </conditionalFormatting>
  <conditionalFormatting sqref="EI67">
    <cfRule type="colorScale" priority="1522">
      <colorScale>
        <cfvo type="min"/>
        <cfvo type="percentile" val="50"/>
        <cfvo type="max"/>
        <color rgb="FF63BE7B"/>
        <color rgb="FFFFEB84"/>
        <color rgb="FFF8696B"/>
      </colorScale>
    </cfRule>
  </conditionalFormatting>
  <conditionalFormatting sqref="EI67">
    <cfRule type="colorScale" priority="1519">
      <colorScale>
        <cfvo type="min"/>
        <cfvo type="max"/>
        <color rgb="FFFCFCFF"/>
        <color rgb="FFF8696B"/>
      </colorScale>
    </cfRule>
    <cfRule type="colorScale" priority="1521">
      <colorScale>
        <cfvo type="min"/>
        <cfvo type="percentile" val="50"/>
        <cfvo type="max"/>
        <color rgb="FF63BE7B"/>
        <color rgb="FFFFEB84"/>
        <color rgb="FFF8696B"/>
      </colorScale>
    </cfRule>
  </conditionalFormatting>
  <conditionalFormatting sqref="EI67">
    <cfRule type="colorScale" priority="1520">
      <colorScale>
        <cfvo type="min"/>
        <cfvo type="max"/>
        <color rgb="FFF8696B"/>
        <color rgb="FFFCFCFF"/>
      </colorScale>
    </cfRule>
  </conditionalFormatting>
  <conditionalFormatting sqref="EI67">
    <cfRule type="colorScale" priority="1518">
      <colorScale>
        <cfvo type="min"/>
        <cfvo type="percentile" val="50"/>
        <cfvo type="max"/>
        <color rgb="FFF8696B"/>
        <color rgb="FFFFEB84"/>
        <color rgb="FF63BE7B"/>
      </colorScale>
    </cfRule>
  </conditionalFormatting>
  <conditionalFormatting sqref="EI67">
    <cfRule type="colorScale" priority="1517">
      <colorScale>
        <cfvo type="min"/>
        <cfvo type="max"/>
        <color rgb="FFFCFCFF"/>
        <color rgb="FFF8696B"/>
      </colorScale>
    </cfRule>
  </conditionalFormatting>
  <conditionalFormatting sqref="EI67:EI71">
    <cfRule type="colorScale" priority="1516">
      <colorScale>
        <cfvo type="min"/>
        <cfvo type="max"/>
        <color rgb="FFFCFCFF"/>
        <color rgb="FFF8696B"/>
      </colorScale>
    </cfRule>
  </conditionalFormatting>
  <conditionalFormatting sqref="EI67:EI71">
    <cfRule type="colorScale" priority="1515">
      <colorScale>
        <cfvo type="min"/>
        <cfvo type="max"/>
        <color rgb="FFFCFCFF"/>
        <color rgb="FFF8696B"/>
      </colorScale>
    </cfRule>
  </conditionalFormatting>
  <conditionalFormatting sqref="EE77 EC56 EA82 EA56 EE56:EE61 EG56 EI56 EK56 EM56 EG61 EI61 EK61 EM61 EE67:EE71 EG67:EG71 EI67:EI71 EK71 EK66 EM66 EM71 EM76 EK76 EI76 EC82 EE84 EG84 EI82 EI84 EK82 EK84 EM82 EM84">
    <cfRule type="colorScale" priority="1514">
      <colorScale>
        <cfvo type="min"/>
        <cfvo type="max"/>
        <color rgb="FFFCFCFF"/>
        <color rgb="FFF8696B"/>
      </colorScale>
    </cfRule>
  </conditionalFormatting>
  <conditionalFormatting sqref="EA67">
    <cfRule type="colorScale" priority="1513">
      <colorScale>
        <cfvo type="min"/>
        <cfvo type="percentile" val="50"/>
        <cfvo type="max"/>
        <color rgb="FFF8696B"/>
        <color rgb="FFFFEB84"/>
        <color rgb="FF63BE7B"/>
      </colorScale>
    </cfRule>
  </conditionalFormatting>
  <conditionalFormatting sqref="EA67">
    <cfRule type="colorScale" priority="1512">
      <colorScale>
        <cfvo type="min"/>
        <cfvo type="percentile" val="50"/>
        <cfvo type="max"/>
        <color rgb="FF63BE7B"/>
        <color rgb="FFFFEB84"/>
        <color rgb="FFF8696B"/>
      </colorScale>
    </cfRule>
  </conditionalFormatting>
  <conditionalFormatting sqref="EA67">
    <cfRule type="colorScale" priority="1509">
      <colorScale>
        <cfvo type="min"/>
        <cfvo type="max"/>
        <color rgb="FFFCFCFF"/>
        <color rgb="FFF8696B"/>
      </colorScale>
    </cfRule>
    <cfRule type="colorScale" priority="1511">
      <colorScale>
        <cfvo type="min"/>
        <cfvo type="percentile" val="50"/>
        <cfvo type="max"/>
        <color rgb="FF63BE7B"/>
        <color rgb="FFFFEB84"/>
        <color rgb="FFF8696B"/>
      </colorScale>
    </cfRule>
  </conditionalFormatting>
  <conditionalFormatting sqref="EA67">
    <cfRule type="colorScale" priority="1510">
      <colorScale>
        <cfvo type="min"/>
        <cfvo type="max"/>
        <color rgb="FFF8696B"/>
        <color rgb="FFFCFCFF"/>
      </colorScale>
    </cfRule>
  </conditionalFormatting>
  <conditionalFormatting sqref="EA67">
    <cfRule type="colorScale" priority="1508">
      <colorScale>
        <cfvo type="min"/>
        <cfvo type="percentile" val="50"/>
        <cfvo type="max"/>
        <color rgb="FFF8696B"/>
        <color rgb="FFFFEB84"/>
        <color rgb="FF63BE7B"/>
      </colorScale>
    </cfRule>
  </conditionalFormatting>
  <conditionalFormatting sqref="EA67">
    <cfRule type="colorScale" priority="1507">
      <colorScale>
        <cfvo type="min"/>
        <cfvo type="max"/>
        <color rgb="FFFCFCFF"/>
        <color rgb="FFF8696B"/>
      </colorScale>
    </cfRule>
  </conditionalFormatting>
  <conditionalFormatting sqref="EC67">
    <cfRule type="colorScale" priority="1506">
      <colorScale>
        <cfvo type="min"/>
        <cfvo type="percentile" val="50"/>
        <cfvo type="max"/>
        <color rgb="FFF8696B"/>
        <color rgb="FFFFEB84"/>
        <color rgb="FF63BE7B"/>
      </colorScale>
    </cfRule>
  </conditionalFormatting>
  <conditionalFormatting sqref="EC67">
    <cfRule type="colorScale" priority="1505">
      <colorScale>
        <cfvo type="min"/>
        <cfvo type="percentile" val="50"/>
        <cfvo type="max"/>
        <color rgb="FF63BE7B"/>
        <color rgb="FFFFEB84"/>
        <color rgb="FFF8696B"/>
      </colorScale>
    </cfRule>
  </conditionalFormatting>
  <conditionalFormatting sqref="EC67">
    <cfRule type="colorScale" priority="1502">
      <colorScale>
        <cfvo type="min"/>
        <cfvo type="max"/>
        <color rgb="FFFCFCFF"/>
        <color rgb="FFF8696B"/>
      </colorScale>
    </cfRule>
    <cfRule type="colorScale" priority="1504">
      <colorScale>
        <cfvo type="min"/>
        <cfvo type="percentile" val="50"/>
        <cfvo type="max"/>
        <color rgb="FF63BE7B"/>
        <color rgb="FFFFEB84"/>
        <color rgb="FFF8696B"/>
      </colorScale>
    </cfRule>
  </conditionalFormatting>
  <conditionalFormatting sqref="EC67">
    <cfRule type="colorScale" priority="1503">
      <colorScale>
        <cfvo type="min"/>
        <cfvo type="max"/>
        <color rgb="FFF8696B"/>
        <color rgb="FFFCFCFF"/>
      </colorScale>
    </cfRule>
  </conditionalFormatting>
  <conditionalFormatting sqref="EC67">
    <cfRule type="colorScale" priority="1501">
      <colorScale>
        <cfvo type="min"/>
        <cfvo type="percentile" val="50"/>
        <cfvo type="max"/>
        <color rgb="FFF8696B"/>
        <color rgb="FFFFEB84"/>
        <color rgb="FF63BE7B"/>
      </colorScale>
    </cfRule>
  </conditionalFormatting>
  <conditionalFormatting sqref="EC67">
    <cfRule type="colorScale" priority="1500">
      <colorScale>
        <cfvo type="min"/>
        <cfvo type="max"/>
        <color rgb="FFFCFCFF"/>
        <color rgb="FFF8696B"/>
      </colorScale>
    </cfRule>
  </conditionalFormatting>
  <conditionalFormatting sqref="EA67:EA76 EC67:EC76">
    <cfRule type="colorScale" priority="1499">
      <colorScale>
        <cfvo type="min"/>
        <cfvo type="max"/>
        <color rgb="FFFCFCFF"/>
        <color rgb="FFF8696B"/>
      </colorScale>
    </cfRule>
  </conditionalFormatting>
  <conditionalFormatting sqref="EA67:EA76">
    <cfRule type="colorScale" priority="1498">
      <colorScale>
        <cfvo type="min"/>
        <cfvo type="max"/>
        <color rgb="FFFCFCFF"/>
        <color rgb="FFF8696B"/>
      </colorScale>
    </cfRule>
  </conditionalFormatting>
  <conditionalFormatting sqref="EA67:EA76">
    <cfRule type="colorScale" priority="1497">
      <colorScale>
        <cfvo type="min"/>
        <cfvo type="max"/>
        <color rgb="FFFCFCFF"/>
        <color rgb="FFF8696B"/>
      </colorScale>
    </cfRule>
  </conditionalFormatting>
  <conditionalFormatting sqref="EE77 EC56 EA82 EA56 EE56:EE61 EG56 EI56 EK56 EM56 EA67:EA76 EC82 EC67:EC76 EE67:EE71 EE84 EG84 EG67:EG71 EG61 EI61 EK61 EM61 EM66 EK66 EI67:EI71 EI76 EK76 EK71 EM71 EM76 EM82 EK82 EI82 EI84 EK84 EM84">
    <cfRule type="colorScale" priority="1496">
      <colorScale>
        <cfvo type="min"/>
        <cfvo type="max"/>
        <color rgb="FFFCFCFF"/>
        <color rgb="FFF8696B"/>
      </colorScale>
    </cfRule>
  </conditionalFormatting>
  <conditionalFormatting sqref="DK13 DK39 DM13 DO13 DQ13 DS13 DU13 DW13 DW18 DU18 DS18 DQ18 DO18 DO24:DO28 DM24:DM33 DK24:DK33 DM39 DO41 DO39 DO33 DQ33 DQ39 DQ41 DS41 DS39 DS33 DS24:DS28 DQ24:DQ28 DU23 DU28 DU33 DU39 DU41 DW41 DW39 DW33 DW28 DW23">
    <cfRule type="colorScale" priority="1495">
      <colorScale>
        <cfvo type="min"/>
        <cfvo type="max"/>
        <color rgb="FFFCFCFF"/>
        <color rgb="FFF8696B"/>
      </colorScale>
    </cfRule>
  </conditionalFormatting>
  <conditionalFormatting sqref="EE18">
    <cfRule type="colorScale" priority="1494">
      <colorScale>
        <cfvo type="min"/>
        <cfvo type="percentile" val="50"/>
        <cfvo type="max"/>
        <color rgb="FFF8696B"/>
        <color rgb="FFFFEB84"/>
        <color rgb="FF63BE7B"/>
      </colorScale>
    </cfRule>
  </conditionalFormatting>
  <conditionalFormatting sqref="EE18">
    <cfRule type="colorScale" priority="1493">
      <colorScale>
        <cfvo type="min"/>
        <cfvo type="percentile" val="50"/>
        <cfvo type="max"/>
        <color rgb="FF63BE7B"/>
        <color rgb="FFFFEB84"/>
        <color rgb="FFF8696B"/>
      </colorScale>
    </cfRule>
  </conditionalFormatting>
  <conditionalFormatting sqref="EE18">
    <cfRule type="colorScale" priority="1490">
      <colorScale>
        <cfvo type="min"/>
        <cfvo type="max"/>
        <color rgb="FFFCFCFF"/>
        <color rgb="FFF8696B"/>
      </colorScale>
    </cfRule>
    <cfRule type="colorScale" priority="1492">
      <colorScale>
        <cfvo type="min"/>
        <cfvo type="percentile" val="50"/>
        <cfvo type="max"/>
        <color rgb="FF63BE7B"/>
        <color rgb="FFFFEB84"/>
        <color rgb="FFF8696B"/>
      </colorScale>
    </cfRule>
  </conditionalFormatting>
  <conditionalFormatting sqref="EE18">
    <cfRule type="colorScale" priority="1491">
      <colorScale>
        <cfvo type="min"/>
        <cfvo type="max"/>
        <color rgb="FFF8696B"/>
        <color rgb="FFFCFCFF"/>
      </colorScale>
    </cfRule>
  </conditionalFormatting>
  <conditionalFormatting sqref="EE18">
    <cfRule type="colorScale" priority="1489">
      <colorScale>
        <cfvo type="min"/>
        <cfvo type="max"/>
        <color rgb="FFFCFCFF"/>
        <color rgb="FFF8696B"/>
      </colorScale>
    </cfRule>
  </conditionalFormatting>
  <conditionalFormatting sqref="EE13">
    <cfRule type="colorScale" priority="1488">
      <colorScale>
        <cfvo type="min"/>
        <cfvo type="percentile" val="50"/>
        <cfvo type="max"/>
        <color rgb="FFF8696B"/>
        <color rgb="FFFFEB84"/>
        <color rgb="FF63BE7B"/>
      </colorScale>
    </cfRule>
  </conditionalFormatting>
  <conditionalFormatting sqref="EE13">
    <cfRule type="colorScale" priority="1487">
      <colorScale>
        <cfvo type="min"/>
        <cfvo type="percentile" val="50"/>
        <cfvo type="max"/>
        <color rgb="FFF8696B"/>
        <color rgb="FFFFEB84"/>
        <color rgb="FF63BE7B"/>
      </colorScale>
    </cfRule>
  </conditionalFormatting>
  <conditionalFormatting sqref="EE13">
    <cfRule type="colorScale" priority="1486">
      <colorScale>
        <cfvo type="min"/>
        <cfvo type="percentile" val="50"/>
        <cfvo type="max"/>
        <color rgb="FF63BE7B"/>
        <color rgb="FFFFEB84"/>
        <color rgb="FFF8696B"/>
      </colorScale>
    </cfRule>
  </conditionalFormatting>
  <conditionalFormatting sqref="EE13">
    <cfRule type="colorScale" priority="1483">
      <colorScale>
        <cfvo type="min"/>
        <cfvo type="max"/>
        <color rgb="FFFCFCFF"/>
        <color rgb="FFF8696B"/>
      </colorScale>
    </cfRule>
    <cfRule type="colorScale" priority="1485">
      <colorScale>
        <cfvo type="min"/>
        <cfvo type="percentile" val="50"/>
        <cfvo type="max"/>
        <color rgb="FF63BE7B"/>
        <color rgb="FFFFEB84"/>
        <color rgb="FFF8696B"/>
      </colorScale>
    </cfRule>
  </conditionalFormatting>
  <conditionalFormatting sqref="EE13">
    <cfRule type="colorScale" priority="1484">
      <colorScale>
        <cfvo type="min"/>
        <cfvo type="max"/>
        <color rgb="FFF8696B"/>
        <color rgb="FFFCFCFF"/>
      </colorScale>
    </cfRule>
  </conditionalFormatting>
  <conditionalFormatting sqref="EE13">
    <cfRule type="colorScale" priority="1482">
      <colorScale>
        <cfvo type="min"/>
        <cfvo type="max"/>
        <color rgb="FFFCFCFF"/>
        <color rgb="FFF8696B"/>
      </colorScale>
    </cfRule>
  </conditionalFormatting>
  <conditionalFormatting sqref="EA18 EC18">
    <cfRule type="colorScale" priority="1481">
      <colorScale>
        <cfvo type="min"/>
        <cfvo type="max"/>
        <color rgb="FFFCFCFF"/>
        <color rgb="FFF8696B"/>
      </colorScale>
    </cfRule>
  </conditionalFormatting>
  <conditionalFormatting sqref="EA13 EC13">
    <cfRule type="colorScale" priority="1480">
      <colorScale>
        <cfvo type="min"/>
        <cfvo type="percentile" val="50"/>
        <cfvo type="max"/>
        <color rgb="FFF8696B"/>
        <color rgb="FFFFEB84"/>
        <color rgb="FF63BE7B"/>
      </colorScale>
    </cfRule>
  </conditionalFormatting>
  <conditionalFormatting sqref="EA13 EC13">
    <cfRule type="colorScale" priority="1479">
      <colorScale>
        <cfvo type="min"/>
        <cfvo type="percentile" val="50"/>
        <cfvo type="max"/>
        <color rgb="FFF8696B"/>
        <color rgb="FFFFEB84"/>
        <color rgb="FF63BE7B"/>
      </colorScale>
    </cfRule>
  </conditionalFormatting>
  <conditionalFormatting sqref="EA13 EC13">
    <cfRule type="colorScale" priority="1478">
      <colorScale>
        <cfvo type="min"/>
        <cfvo type="percentile" val="50"/>
        <cfvo type="max"/>
        <color rgb="FF63BE7B"/>
        <color rgb="FFFFEB84"/>
        <color rgb="FFF8696B"/>
      </colorScale>
    </cfRule>
  </conditionalFormatting>
  <conditionalFormatting sqref="EA13 EC13">
    <cfRule type="colorScale" priority="1475">
      <colorScale>
        <cfvo type="min"/>
        <cfvo type="max"/>
        <color rgb="FFFCFCFF"/>
        <color rgb="FFF8696B"/>
      </colorScale>
    </cfRule>
    <cfRule type="colorScale" priority="1477">
      <colorScale>
        <cfvo type="min"/>
        <cfvo type="percentile" val="50"/>
        <cfvo type="max"/>
        <color rgb="FF63BE7B"/>
        <color rgb="FFFFEB84"/>
        <color rgb="FFF8696B"/>
      </colorScale>
    </cfRule>
  </conditionalFormatting>
  <conditionalFormatting sqref="EA13 EC13">
    <cfRule type="colorScale" priority="1476">
      <colorScale>
        <cfvo type="min"/>
        <cfvo type="max"/>
        <color rgb="FFF8696B"/>
        <color rgb="FFFCFCFF"/>
      </colorScale>
    </cfRule>
  </conditionalFormatting>
  <conditionalFormatting sqref="EA13 EC13">
    <cfRule type="colorScale" priority="1474">
      <colorScale>
        <cfvo type="min"/>
        <cfvo type="max"/>
        <color rgb="FFFCFCFF"/>
        <color rgb="FFF8696B"/>
      </colorScale>
    </cfRule>
  </conditionalFormatting>
  <conditionalFormatting sqref="EI18">
    <cfRule type="colorScale" priority="1473">
      <colorScale>
        <cfvo type="min"/>
        <cfvo type="percentile" val="50"/>
        <cfvo type="max"/>
        <color rgb="FFF8696B"/>
        <color rgb="FFFFEB84"/>
        <color rgb="FF63BE7B"/>
      </colorScale>
    </cfRule>
  </conditionalFormatting>
  <conditionalFormatting sqref="EI18">
    <cfRule type="colorScale" priority="1472">
      <colorScale>
        <cfvo type="min"/>
        <cfvo type="percentile" val="50"/>
        <cfvo type="max"/>
        <color rgb="FFF8696B"/>
        <color rgb="FFFFEB84"/>
        <color rgb="FF63BE7B"/>
      </colorScale>
    </cfRule>
  </conditionalFormatting>
  <conditionalFormatting sqref="EI18">
    <cfRule type="colorScale" priority="1471">
      <colorScale>
        <cfvo type="min"/>
        <cfvo type="percentile" val="50"/>
        <cfvo type="max"/>
        <color rgb="FF63BE7B"/>
        <color rgb="FFFFEB84"/>
        <color rgb="FFF8696B"/>
      </colorScale>
    </cfRule>
  </conditionalFormatting>
  <conditionalFormatting sqref="EI18">
    <cfRule type="colorScale" priority="1468">
      <colorScale>
        <cfvo type="min"/>
        <cfvo type="max"/>
        <color rgb="FFFCFCFF"/>
        <color rgb="FFF8696B"/>
      </colorScale>
    </cfRule>
    <cfRule type="colorScale" priority="1470">
      <colorScale>
        <cfvo type="min"/>
        <cfvo type="percentile" val="50"/>
        <cfvo type="max"/>
        <color rgb="FF63BE7B"/>
        <color rgb="FFFFEB84"/>
        <color rgb="FFF8696B"/>
      </colorScale>
    </cfRule>
  </conditionalFormatting>
  <conditionalFormatting sqref="EI18">
    <cfRule type="colorScale" priority="1469">
      <colorScale>
        <cfvo type="min"/>
        <cfvo type="max"/>
        <color rgb="FFF8696B"/>
        <color rgb="FFFCFCFF"/>
      </colorScale>
    </cfRule>
  </conditionalFormatting>
  <conditionalFormatting sqref="EI18">
    <cfRule type="colorScale" priority="1467">
      <colorScale>
        <cfvo type="min"/>
        <cfvo type="max"/>
        <color rgb="FFFCFCFF"/>
        <color rgb="FFF8696B"/>
      </colorScale>
    </cfRule>
  </conditionalFormatting>
  <conditionalFormatting sqref="EK18">
    <cfRule type="colorScale" priority="1466">
      <colorScale>
        <cfvo type="min"/>
        <cfvo type="percentile" val="50"/>
        <cfvo type="max"/>
        <color rgb="FFF8696B"/>
        <color rgb="FFFFEB84"/>
        <color rgb="FF63BE7B"/>
      </colorScale>
    </cfRule>
  </conditionalFormatting>
  <conditionalFormatting sqref="EK18">
    <cfRule type="colorScale" priority="1465">
      <colorScale>
        <cfvo type="min"/>
        <cfvo type="percentile" val="50"/>
        <cfvo type="max"/>
        <color rgb="FFF8696B"/>
        <color rgb="FFFFEB84"/>
        <color rgb="FF63BE7B"/>
      </colorScale>
    </cfRule>
  </conditionalFormatting>
  <conditionalFormatting sqref="EK18">
    <cfRule type="colorScale" priority="1464">
      <colorScale>
        <cfvo type="min"/>
        <cfvo type="percentile" val="50"/>
        <cfvo type="max"/>
        <color rgb="FF63BE7B"/>
        <color rgb="FFFFEB84"/>
        <color rgb="FFF8696B"/>
      </colorScale>
    </cfRule>
  </conditionalFormatting>
  <conditionalFormatting sqref="EK18">
    <cfRule type="colorScale" priority="1461">
      <colorScale>
        <cfvo type="min"/>
        <cfvo type="max"/>
        <color rgb="FFFCFCFF"/>
        <color rgb="FFF8696B"/>
      </colorScale>
    </cfRule>
    <cfRule type="colorScale" priority="1463">
      <colorScale>
        <cfvo type="min"/>
        <cfvo type="percentile" val="50"/>
        <cfvo type="max"/>
        <color rgb="FF63BE7B"/>
        <color rgb="FFFFEB84"/>
        <color rgb="FFF8696B"/>
      </colorScale>
    </cfRule>
  </conditionalFormatting>
  <conditionalFormatting sqref="EK18">
    <cfRule type="colorScale" priority="1462">
      <colorScale>
        <cfvo type="min"/>
        <cfvo type="max"/>
        <color rgb="FFF8696B"/>
        <color rgb="FFFCFCFF"/>
      </colorScale>
    </cfRule>
  </conditionalFormatting>
  <conditionalFormatting sqref="EK18">
    <cfRule type="colorScale" priority="1460">
      <colorScale>
        <cfvo type="min"/>
        <cfvo type="max"/>
        <color rgb="FFFCFCFF"/>
        <color rgb="FFF8696B"/>
      </colorScale>
    </cfRule>
  </conditionalFormatting>
  <conditionalFormatting sqref="EM18">
    <cfRule type="colorScale" priority="1459">
      <colorScale>
        <cfvo type="min"/>
        <cfvo type="percentile" val="50"/>
        <cfvo type="max"/>
        <color rgb="FFF8696B"/>
        <color rgb="FFFFEB84"/>
        <color rgb="FF63BE7B"/>
      </colorScale>
    </cfRule>
  </conditionalFormatting>
  <conditionalFormatting sqref="EM18">
    <cfRule type="colorScale" priority="1458">
      <colorScale>
        <cfvo type="min"/>
        <cfvo type="percentile" val="50"/>
        <cfvo type="max"/>
        <color rgb="FFF8696B"/>
        <color rgb="FFFFEB84"/>
        <color rgb="FF63BE7B"/>
      </colorScale>
    </cfRule>
  </conditionalFormatting>
  <conditionalFormatting sqref="EM18">
    <cfRule type="colorScale" priority="1457">
      <colorScale>
        <cfvo type="min"/>
        <cfvo type="percentile" val="50"/>
        <cfvo type="max"/>
        <color rgb="FF63BE7B"/>
        <color rgb="FFFFEB84"/>
        <color rgb="FFF8696B"/>
      </colorScale>
    </cfRule>
  </conditionalFormatting>
  <conditionalFormatting sqref="EM18">
    <cfRule type="colorScale" priority="1454">
      <colorScale>
        <cfvo type="min"/>
        <cfvo type="max"/>
        <color rgb="FFFCFCFF"/>
        <color rgb="FFF8696B"/>
      </colorScale>
    </cfRule>
    <cfRule type="colorScale" priority="1456">
      <colorScale>
        <cfvo type="min"/>
        <cfvo type="percentile" val="50"/>
        <cfvo type="max"/>
        <color rgb="FF63BE7B"/>
        <color rgb="FFFFEB84"/>
        <color rgb="FFF8696B"/>
      </colorScale>
    </cfRule>
  </conditionalFormatting>
  <conditionalFormatting sqref="EM18">
    <cfRule type="colorScale" priority="1455">
      <colorScale>
        <cfvo type="min"/>
        <cfvo type="max"/>
        <color rgb="FFF8696B"/>
        <color rgb="FFFCFCFF"/>
      </colorScale>
    </cfRule>
  </conditionalFormatting>
  <conditionalFormatting sqref="EM18">
    <cfRule type="colorScale" priority="1453">
      <colorScale>
        <cfvo type="min"/>
        <cfvo type="max"/>
        <color rgb="FFFCFCFF"/>
        <color rgb="FFF8696B"/>
      </colorScale>
    </cfRule>
  </conditionalFormatting>
  <conditionalFormatting sqref="EI13">
    <cfRule type="colorScale" priority="1452">
      <colorScale>
        <cfvo type="min"/>
        <cfvo type="percentile" val="50"/>
        <cfvo type="max"/>
        <color rgb="FFF8696B"/>
        <color rgb="FFFFEB84"/>
        <color rgb="FF63BE7B"/>
      </colorScale>
    </cfRule>
  </conditionalFormatting>
  <conditionalFormatting sqref="EI13">
    <cfRule type="colorScale" priority="1451">
      <colorScale>
        <cfvo type="min"/>
        <cfvo type="percentile" val="50"/>
        <cfvo type="max"/>
        <color rgb="FFF8696B"/>
        <color rgb="FFFFEB84"/>
        <color rgb="FF63BE7B"/>
      </colorScale>
    </cfRule>
  </conditionalFormatting>
  <conditionalFormatting sqref="EI13">
    <cfRule type="colorScale" priority="1450">
      <colorScale>
        <cfvo type="min"/>
        <cfvo type="percentile" val="50"/>
        <cfvo type="max"/>
        <color rgb="FF63BE7B"/>
        <color rgb="FFFFEB84"/>
        <color rgb="FFF8696B"/>
      </colorScale>
    </cfRule>
  </conditionalFormatting>
  <conditionalFormatting sqref="EI13">
    <cfRule type="colorScale" priority="1447">
      <colorScale>
        <cfvo type="min"/>
        <cfvo type="max"/>
        <color rgb="FFFCFCFF"/>
        <color rgb="FFF8696B"/>
      </colorScale>
    </cfRule>
    <cfRule type="colorScale" priority="1449">
      <colorScale>
        <cfvo type="min"/>
        <cfvo type="percentile" val="50"/>
        <cfvo type="max"/>
        <color rgb="FF63BE7B"/>
        <color rgb="FFFFEB84"/>
        <color rgb="FFF8696B"/>
      </colorScale>
    </cfRule>
  </conditionalFormatting>
  <conditionalFormatting sqref="EI13">
    <cfRule type="colorScale" priority="1448">
      <colorScale>
        <cfvo type="min"/>
        <cfvo type="max"/>
        <color rgb="FFF8696B"/>
        <color rgb="FFFCFCFF"/>
      </colorScale>
    </cfRule>
  </conditionalFormatting>
  <conditionalFormatting sqref="EI13">
    <cfRule type="colorScale" priority="1446">
      <colorScale>
        <cfvo type="min"/>
        <cfvo type="max"/>
        <color rgb="FFFCFCFF"/>
        <color rgb="FFF8696B"/>
      </colorScale>
    </cfRule>
  </conditionalFormatting>
  <conditionalFormatting sqref="EK13">
    <cfRule type="colorScale" priority="1445">
      <colorScale>
        <cfvo type="min"/>
        <cfvo type="percentile" val="50"/>
        <cfvo type="max"/>
        <color rgb="FFF8696B"/>
        <color rgb="FFFFEB84"/>
        <color rgb="FF63BE7B"/>
      </colorScale>
    </cfRule>
  </conditionalFormatting>
  <conditionalFormatting sqref="EK13">
    <cfRule type="colorScale" priority="1444">
      <colorScale>
        <cfvo type="min"/>
        <cfvo type="percentile" val="50"/>
        <cfvo type="max"/>
        <color rgb="FFF8696B"/>
        <color rgb="FFFFEB84"/>
        <color rgb="FF63BE7B"/>
      </colorScale>
    </cfRule>
  </conditionalFormatting>
  <conditionalFormatting sqref="EK13">
    <cfRule type="colorScale" priority="1443">
      <colorScale>
        <cfvo type="min"/>
        <cfvo type="percentile" val="50"/>
        <cfvo type="max"/>
        <color rgb="FF63BE7B"/>
        <color rgb="FFFFEB84"/>
        <color rgb="FFF8696B"/>
      </colorScale>
    </cfRule>
  </conditionalFormatting>
  <conditionalFormatting sqref="EK13">
    <cfRule type="colorScale" priority="1440">
      <colorScale>
        <cfvo type="min"/>
        <cfvo type="max"/>
        <color rgb="FFFCFCFF"/>
        <color rgb="FFF8696B"/>
      </colorScale>
    </cfRule>
    <cfRule type="colorScale" priority="1442">
      <colorScale>
        <cfvo type="min"/>
        <cfvo type="percentile" val="50"/>
        <cfvo type="max"/>
        <color rgb="FF63BE7B"/>
        <color rgb="FFFFEB84"/>
        <color rgb="FFF8696B"/>
      </colorScale>
    </cfRule>
  </conditionalFormatting>
  <conditionalFormatting sqref="EK13">
    <cfRule type="colorScale" priority="1441">
      <colorScale>
        <cfvo type="min"/>
        <cfvo type="max"/>
        <color rgb="FFF8696B"/>
        <color rgb="FFFCFCFF"/>
      </colorScale>
    </cfRule>
  </conditionalFormatting>
  <conditionalFormatting sqref="EK13">
    <cfRule type="colorScale" priority="1439">
      <colorScale>
        <cfvo type="min"/>
        <cfvo type="max"/>
        <color rgb="FFFCFCFF"/>
        <color rgb="FFF8696B"/>
      </colorScale>
    </cfRule>
  </conditionalFormatting>
  <conditionalFormatting sqref="EM13">
    <cfRule type="colorScale" priority="1438">
      <colorScale>
        <cfvo type="min"/>
        <cfvo type="percentile" val="50"/>
        <cfvo type="max"/>
        <color rgb="FFF8696B"/>
        <color rgb="FFFFEB84"/>
        <color rgb="FF63BE7B"/>
      </colorScale>
    </cfRule>
  </conditionalFormatting>
  <conditionalFormatting sqref="EM13">
    <cfRule type="colorScale" priority="1437">
      <colorScale>
        <cfvo type="min"/>
        <cfvo type="percentile" val="50"/>
        <cfvo type="max"/>
        <color rgb="FFF8696B"/>
        <color rgb="FFFFEB84"/>
        <color rgb="FF63BE7B"/>
      </colorScale>
    </cfRule>
  </conditionalFormatting>
  <conditionalFormatting sqref="EM13">
    <cfRule type="colorScale" priority="1436">
      <colorScale>
        <cfvo type="min"/>
        <cfvo type="percentile" val="50"/>
        <cfvo type="max"/>
        <color rgb="FF63BE7B"/>
        <color rgb="FFFFEB84"/>
        <color rgb="FFF8696B"/>
      </colorScale>
    </cfRule>
  </conditionalFormatting>
  <conditionalFormatting sqref="EM13">
    <cfRule type="colorScale" priority="1433">
      <colorScale>
        <cfvo type="min"/>
        <cfvo type="max"/>
        <color rgb="FFFCFCFF"/>
        <color rgb="FFF8696B"/>
      </colorScale>
    </cfRule>
    <cfRule type="colorScale" priority="1435">
      <colorScale>
        <cfvo type="min"/>
        <cfvo type="percentile" val="50"/>
        <cfvo type="max"/>
        <color rgb="FF63BE7B"/>
        <color rgb="FFFFEB84"/>
        <color rgb="FFF8696B"/>
      </colorScale>
    </cfRule>
  </conditionalFormatting>
  <conditionalFormatting sqref="EM13">
    <cfRule type="colorScale" priority="1434">
      <colorScale>
        <cfvo type="min"/>
        <cfvo type="max"/>
        <color rgb="FFF8696B"/>
        <color rgb="FFFCFCFF"/>
      </colorScale>
    </cfRule>
  </conditionalFormatting>
  <conditionalFormatting sqref="EM13">
    <cfRule type="colorScale" priority="1432">
      <colorScale>
        <cfvo type="min"/>
        <cfvo type="max"/>
        <color rgb="FFFCFCFF"/>
        <color rgb="FFF8696B"/>
      </colorScale>
    </cfRule>
  </conditionalFormatting>
  <conditionalFormatting sqref="EG13">
    <cfRule type="colorScale" priority="1431">
      <colorScale>
        <cfvo type="min"/>
        <cfvo type="percentile" val="50"/>
        <cfvo type="max"/>
        <color rgb="FFF8696B"/>
        <color rgb="FFFFEB84"/>
        <color rgb="FF63BE7B"/>
      </colorScale>
    </cfRule>
  </conditionalFormatting>
  <conditionalFormatting sqref="EG13">
    <cfRule type="colorScale" priority="1430">
      <colorScale>
        <cfvo type="min"/>
        <cfvo type="percentile" val="50"/>
        <cfvo type="max"/>
        <color rgb="FFF8696B"/>
        <color rgb="FFFFEB84"/>
        <color rgb="FF63BE7B"/>
      </colorScale>
    </cfRule>
  </conditionalFormatting>
  <conditionalFormatting sqref="EG13">
    <cfRule type="colorScale" priority="1429">
      <colorScale>
        <cfvo type="min"/>
        <cfvo type="percentile" val="50"/>
        <cfvo type="max"/>
        <color rgb="FF63BE7B"/>
        <color rgb="FFFFEB84"/>
        <color rgb="FFF8696B"/>
      </colorScale>
    </cfRule>
  </conditionalFormatting>
  <conditionalFormatting sqref="EG13">
    <cfRule type="colorScale" priority="1426">
      <colorScale>
        <cfvo type="min"/>
        <cfvo type="max"/>
        <color rgb="FFFCFCFF"/>
        <color rgb="FFF8696B"/>
      </colorScale>
    </cfRule>
    <cfRule type="colorScale" priority="1428">
      <colorScale>
        <cfvo type="min"/>
        <cfvo type="percentile" val="50"/>
        <cfvo type="max"/>
        <color rgb="FF63BE7B"/>
        <color rgb="FFFFEB84"/>
        <color rgb="FFF8696B"/>
      </colorScale>
    </cfRule>
  </conditionalFormatting>
  <conditionalFormatting sqref="EG13">
    <cfRule type="colorScale" priority="1427">
      <colorScale>
        <cfvo type="min"/>
        <cfvo type="max"/>
        <color rgb="FFF8696B"/>
        <color rgb="FFFCFCFF"/>
      </colorScale>
    </cfRule>
  </conditionalFormatting>
  <conditionalFormatting sqref="EG13">
    <cfRule type="colorScale" priority="1425">
      <colorScale>
        <cfvo type="min"/>
        <cfvo type="max"/>
        <color rgb="FFFCFCFF"/>
        <color rgb="FFF8696B"/>
      </colorScale>
    </cfRule>
  </conditionalFormatting>
  <conditionalFormatting sqref="EG18">
    <cfRule type="colorScale" priority="1424">
      <colorScale>
        <cfvo type="min"/>
        <cfvo type="percentile" val="50"/>
        <cfvo type="max"/>
        <color rgb="FFF8696B"/>
        <color rgb="FFFFEB84"/>
        <color rgb="FF63BE7B"/>
      </colorScale>
    </cfRule>
  </conditionalFormatting>
  <conditionalFormatting sqref="EG18">
    <cfRule type="colorScale" priority="1423">
      <colorScale>
        <cfvo type="min"/>
        <cfvo type="percentile" val="50"/>
        <cfvo type="max"/>
        <color rgb="FF63BE7B"/>
        <color rgb="FFFFEB84"/>
        <color rgb="FFF8696B"/>
      </colorScale>
    </cfRule>
  </conditionalFormatting>
  <conditionalFormatting sqref="EG18">
    <cfRule type="colorScale" priority="1420">
      <colorScale>
        <cfvo type="min"/>
        <cfvo type="max"/>
        <color rgb="FFFCFCFF"/>
        <color rgb="FFF8696B"/>
      </colorScale>
    </cfRule>
    <cfRule type="colorScale" priority="1422">
      <colorScale>
        <cfvo type="min"/>
        <cfvo type="percentile" val="50"/>
        <cfvo type="max"/>
        <color rgb="FF63BE7B"/>
        <color rgb="FFFFEB84"/>
        <color rgb="FFF8696B"/>
      </colorScale>
    </cfRule>
  </conditionalFormatting>
  <conditionalFormatting sqref="EG18">
    <cfRule type="colorScale" priority="1421">
      <colorScale>
        <cfvo type="min"/>
        <cfvo type="max"/>
        <color rgb="FFF8696B"/>
        <color rgb="FFFCFCFF"/>
      </colorScale>
    </cfRule>
  </conditionalFormatting>
  <conditionalFormatting sqref="EG18">
    <cfRule type="colorScale" priority="1419">
      <colorScale>
        <cfvo type="min"/>
        <cfvo type="max"/>
        <color rgb="FFFCFCFF"/>
        <color rgb="FFF8696B"/>
      </colorScale>
    </cfRule>
  </conditionalFormatting>
  <conditionalFormatting sqref="EA13 EC13 EE13 EG13 EI13 EK13 EM13 EM18 EK18 EI18 EG18 EE18">
    <cfRule type="colorScale" priority="1418">
      <colorScale>
        <cfvo type="min"/>
        <cfvo type="max"/>
        <color rgb="FFFCFCFF"/>
        <color rgb="FFF8696B"/>
      </colorScale>
    </cfRule>
  </conditionalFormatting>
  <conditionalFormatting sqref="EM13 EM18 EK18 EK13 EI13 EI18 EG13 EG18 EE18 EE13 EC13 EA13">
    <cfRule type="colorScale" priority="1417">
      <colorScale>
        <cfvo type="min"/>
        <cfvo type="max"/>
        <color rgb="FFFCFCFF"/>
        <color rgb="FFF8696B"/>
      </colorScale>
    </cfRule>
  </conditionalFormatting>
  <conditionalFormatting sqref="EA39 EC39">
    <cfRule type="colorScale" priority="1416">
      <colorScale>
        <cfvo type="min"/>
        <cfvo type="percentile" val="50"/>
        <cfvo type="max"/>
        <color rgb="FFF8696B"/>
        <color rgb="FFFFEB84"/>
        <color rgb="FF63BE7B"/>
      </colorScale>
    </cfRule>
  </conditionalFormatting>
  <conditionalFormatting sqref="EA39 EC39">
    <cfRule type="colorScale" priority="1415">
      <colorScale>
        <cfvo type="min"/>
        <cfvo type="percentile" val="50"/>
        <cfvo type="max"/>
        <color rgb="FF63BE7B"/>
        <color rgb="FFFFEB84"/>
        <color rgb="FFF8696B"/>
      </colorScale>
    </cfRule>
  </conditionalFormatting>
  <conditionalFormatting sqref="EA39 EC39">
    <cfRule type="colorScale" priority="1412">
      <colorScale>
        <cfvo type="min"/>
        <cfvo type="max"/>
        <color rgb="FFFCFCFF"/>
        <color rgb="FFF8696B"/>
      </colorScale>
    </cfRule>
    <cfRule type="colorScale" priority="1414">
      <colorScale>
        <cfvo type="min"/>
        <cfvo type="percentile" val="50"/>
        <cfvo type="max"/>
        <color rgb="FF63BE7B"/>
        <color rgb="FFFFEB84"/>
        <color rgb="FFF8696B"/>
      </colorScale>
    </cfRule>
  </conditionalFormatting>
  <conditionalFormatting sqref="EA39 EC39">
    <cfRule type="colorScale" priority="1413">
      <colorScale>
        <cfvo type="min"/>
        <cfvo type="max"/>
        <color rgb="FFF8696B"/>
        <color rgb="FFFCFCFF"/>
      </colorScale>
    </cfRule>
  </conditionalFormatting>
  <conditionalFormatting sqref="EA39">
    <cfRule type="colorScale" priority="1411">
      <colorScale>
        <cfvo type="min"/>
        <cfvo type="percentile" val="50"/>
        <cfvo type="max"/>
        <color rgb="FFF8696B"/>
        <color rgb="FFFFEB84"/>
        <color rgb="FF63BE7B"/>
      </colorScale>
    </cfRule>
  </conditionalFormatting>
  <conditionalFormatting sqref="EC39">
    <cfRule type="colorScale" priority="1410">
      <colorScale>
        <cfvo type="min"/>
        <cfvo type="percentile" val="50"/>
        <cfvo type="max"/>
        <color rgb="FFF8696B"/>
        <color rgb="FFFFEB84"/>
        <color rgb="FF63BE7B"/>
      </colorScale>
    </cfRule>
  </conditionalFormatting>
  <conditionalFormatting sqref="EA39 EC39">
    <cfRule type="colorScale" priority="1409">
      <colorScale>
        <cfvo type="min"/>
        <cfvo type="max"/>
        <color rgb="FFFCFCFF"/>
        <color rgb="FFF8696B"/>
      </colorScale>
    </cfRule>
  </conditionalFormatting>
  <conditionalFormatting sqref="EE39 EE33 EG33 EG39">
    <cfRule type="colorScale" priority="1408">
      <colorScale>
        <cfvo type="min"/>
        <cfvo type="percentile" val="50"/>
        <cfvo type="max"/>
        <color rgb="FFF8696B"/>
        <color rgb="FFFFEB84"/>
        <color rgb="FF63BE7B"/>
      </colorScale>
    </cfRule>
  </conditionalFormatting>
  <conditionalFormatting sqref="EE39 EE33 EG33 EG39">
    <cfRule type="colorScale" priority="1407">
      <colorScale>
        <cfvo type="min"/>
        <cfvo type="percentile" val="50"/>
        <cfvo type="max"/>
        <color rgb="FF63BE7B"/>
        <color rgb="FFFFEB84"/>
        <color rgb="FFF8696B"/>
      </colorScale>
    </cfRule>
  </conditionalFormatting>
  <conditionalFormatting sqref="EE39 EE33 EG33 EG39">
    <cfRule type="colorScale" priority="1404">
      <colorScale>
        <cfvo type="min"/>
        <cfvo type="max"/>
        <color rgb="FFFCFCFF"/>
        <color rgb="FFF8696B"/>
      </colorScale>
    </cfRule>
    <cfRule type="colorScale" priority="1406">
      <colorScale>
        <cfvo type="min"/>
        <cfvo type="percentile" val="50"/>
        <cfvo type="max"/>
        <color rgb="FF63BE7B"/>
        <color rgb="FFFFEB84"/>
        <color rgb="FFF8696B"/>
      </colorScale>
    </cfRule>
  </conditionalFormatting>
  <conditionalFormatting sqref="EE39 EE33 EG33 EG39">
    <cfRule type="colorScale" priority="1405">
      <colorScale>
        <cfvo type="min"/>
        <cfvo type="max"/>
        <color rgb="FFF8696B"/>
        <color rgb="FFFCFCFF"/>
      </colorScale>
    </cfRule>
  </conditionalFormatting>
  <conditionalFormatting sqref="EE41">
    <cfRule type="colorScale" priority="1403">
      <colorScale>
        <cfvo type="min"/>
        <cfvo type="percentile" val="50"/>
        <cfvo type="max"/>
        <color rgb="FFF8696B"/>
        <color rgb="FFFFEB84"/>
        <color rgb="FF63BE7B"/>
      </colorScale>
    </cfRule>
  </conditionalFormatting>
  <conditionalFormatting sqref="EE41">
    <cfRule type="colorScale" priority="1402">
      <colorScale>
        <cfvo type="min"/>
        <cfvo type="percentile" val="50"/>
        <cfvo type="max"/>
        <color rgb="FFF8696B"/>
        <color rgb="FFFFEB84"/>
        <color rgb="FF63BE7B"/>
      </colorScale>
    </cfRule>
  </conditionalFormatting>
  <conditionalFormatting sqref="EE41">
    <cfRule type="colorScale" priority="1401">
      <colorScale>
        <cfvo type="min"/>
        <cfvo type="percentile" val="50"/>
        <cfvo type="max"/>
        <color rgb="FFF8696B"/>
        <color rgb="FFFFEB84"/>
        <color rgb="FF63BE7B"/>
      </colorScale>
    </cfRule>
  </conditionalFormatting>
  <conditionalFormatting sqref="EE41">
    <cfRule type="colorScale" priority="1400">
      <colorScale>
        <cfvo type="min"/>
        <cfvo type="percentile" val="50"/>
        <cfvo type="max"/>
        <color rgb="FF63BE7B"/>
        <color rgb="FFFFEB84"/>
        <color rgb="FFF8696B"/>
      </colorScale>
    </cfRule>
  </conditionalFormatting>
  <conditionalFormatting sqref="EE41">
    <cfRule type="colorScale" priority="1397">
      <colorScale>
        <cfvo type="min"/>
        <cfvo type="max"/>
        <color rgb="FFFCFCFF"/>
        <color rgb="FFF8696B"/>
      </colorScale>
    </cfRule>
    <cfRule type="colorScale" priority="1399">
      <colorScale>
        <cfvo type="min"/>
        <cfvo type="percentile" val="50"/>
        <cfvo type="max"/>
        <color rgb="FF63BE7B"/>
        <color rgb="FFFFEB84"/>
        <color rgb="FFF8696B"/>
      </colorScale>
    </cfRule>
  </conditionalFormatting>
  <conditionalFormatting sqref="EE41">
    <cfRule type="colorScale" priority="1398">
      <colorScale>
        <cfvo type="min"/>
        <cfvo type="max"/>
        <color rgb="FFF8696B"/>
        <color rgb="FFFCFCFF"/>
      </colorScale>
    </cfRule>
  </conditionalFormatting>
  <conditionalFormatting sqref="EG41">
    <cfRule type="colorScale" priority="1396">
      <colorScale>
        <cfvo type="min"/>
        <cfvo type="percentile" val="50"/>
        <cfvo type="max"/>
        <color rgb="FFF8696B"/>
        <color rgb="FFFFEB84"/>
        <color rgb="FF63BE7B"/>
      </colorScale>
    </cfRule>
  </conditionalFormatting>
  <conditionalFormatting sqref="EG41">
    <cfRule type="colorScale" priority="1395">
      <colorScale>
        <cfvo type="min"/>
        <cfvo type="percentile" val="50"/>
        <cfvo type="max"/>
        <color rgb="FFF8696B"/>
        <color rgb="FFFFEB84"/>
        <color rgb="FF63BE7B"/>
      </colorScale>
    </cfRule>
  </conditionalFormatting>
  <conditionalFormatting sqref="EG41">
    <cfRule type="colorScale" priority="1394">
      <colorScale>
        <cfvo type="min"/>
        <cfvo type="percentile" val="50"/>
        <cfvo type="max"/>
        <color rgb="FFF8696B"/>
        <color rgb="FFFFEB84"/>
        <color rgb="FF63BE7B"/>
      </colorScale>
    </cfRule>
  </conditionalFormatting>
  <conditionalFormatting sqref="EG41">
    <cfRule type="colorScale" priority="1393">
      <colorScale>
        <cfvo type="min"/>
        <cfvo type="percentile" val="50"/>
        <cfvo type="max"/>
        <color rgb="FF63BE7B"/>
        <color rgb="FFFFEB84"/>
        <color rgb="FFF8696B"/>
      </colorScale>
    </cfRule>
  </conditionalFormatting>
  <conditionalFormatting sqref="EG41">
    <cfRule type="colorScale" priority="1390">
      <colorScale>
        <cfvo type="min"/>
        <cfvo type="max"/>
        <color rgb="FFFCFCFF"/>
        <color rgb="FFF8696B"/>
      </colorScale>
    </cfRule>
    <cfRule type="colorScale" priority="1392">
      <colorScale>
        <cfvo type="min"/>
        <cfvo type="percentile" val="50"/>
        <cfvo type="max"/>
        <color rgb="FF63BE7B"/>
        <color rgb="FFFFEB84"/>
        <color rgb="FFF8696B"/>
      </colorScale>
    </cfRule>
  </conditionalFormatting>
  <conditionalFormatting sqref="EG41">
    <cfRule type="colorScale" priority="1391">
      <colorScale>
        <cfvo type="min"/>
        <cfvo type="max"/>
        <color rgb="FFF8696B"/>
        <color rgb="FFFCFCFF"/>
      </colorScale>
    </cfRule>
  </conditionalFormatting>
  <conditionalFormatting sqref="EE33">
    <cfRule type="colorScale" priority="1389">
      <colorScale>
        <cfvo type="min"/>
        <cfvo type="percentile" val="50"/>
        <cfvo type="max"/>
        <color rgb="FFF8696B"/>
        <color rgb="FFFFEB84"/>
        <color rgb="FF63BE7B"/>
      </colorScale>
    </cfRule>
  </conditionalFormatting>
  <conditionalFormatting sqref="EG33">
    <cfRule type="colorScale" priority="1388">
      <colorScale>
        <cfvo type="min"/>
        <cfvo type="percentile" val="50"/>
        <cfvo type="max"/>
        <color rgb="FFF8696B"/>
        <color rgb="FFFFEB84"/>
        <color rgb="FF63BE7B"/>
      </colorScale>
    </cfRule>
  </conditionalFormatting>
  <conditionalFormatting sqref="EE39">
    <cfRule type="colorScale" priority="1387">
      <colorScale>
        <cfvo type="min"/>
        <cfvo type="percentile" val="50"/>
        <cfvo type="max"/>
        <color rgb="FFF8696B"/>
        <color rgb="FFFFEB84"/>
        <color rgb="FF63BE7B"/>
      </colorScale>
    </cfRule>
  </conditionalFormatting>
  <conditionalFormatting sqref="EG39">
    <cfRule type="colorScale" priority="1386">
      <colorScale>
        <cfvo type="min"/>
        <cfvo type="percentile" val="50"/>
        <cfvo type="max"/>
        <color rgb="FFF8696B"/>
        <color rgb="FFFFEB84"/>
        <color rgb="FF63BE7B"/>
      </colorScale>
    </cfRule>
  </conditionalFormatting>
  <conditionalFormatting sqref="EG39 EE33 EG33 EE39 EE41 EG41">
    <cfRule type="colorScale" priority="1385">
      <colorScale>
        <cfvo type="min"/>
        <cfvo type="max"/>
        <color rgb="FFFCFCFF"/>
        <color rgb="FFF8696B"/>
      </colorScale>
    </cfRule>
  </conditionalFormatting>
  <conditionalFormatting sqref="EE24">
    <cfRule type="colorScale" priority="1384">
      <colorScale>
        <cfvo type="min"/>
        <cfvo type="percentile" val="50"/>
        <cfvo type="max"/>
        <color rgb="FFF8696B"/>
        <color rgb="FFFFEB84"/>
        <color rgb="FF63BE7B"/>
      </colorScale>
    </cfRule>
  </conditionalFormatting>
  <conditionalFormatting sqref="EE24">
    <cfRule type="colorScale" priority="1383">
      <colorScale>
        <cfvo type="min"/>
        <cfvo type="percentile" val="50"/>
        <cfvo type="max"/>
        <color rgb="FF63BE7B"/>
        <color rgb="FFFFEB84"/>
        <color rgb="FFF8696B"/>
      </colorScale>
    </cfRule>
  </conditionalFormatting>
  <conditionalFormatting sqref="EE24">
    <cfRule type="colorScale" priority="1380">
      <colorScale>
        <cfvo type="min"/>
        <cfvo type="max"/>
        <color rgb="FFFCFCFF"/>
        <color rgb="FFF8696B"/>
      </colorScale>
    </cfRule>
    <cfRule type="colorScale" priority="1382">
      <colorScale>
        <cfvo type="min"/>
        <cfvo type="percentile" val="50"/>
        <cfvo type="max"/>
        <color rgb="FF63BE7B"/>
        <color rgb="FFFFEB84"/>
        <color rgb="FFF8696B"/>
      </colorScale>
    </cfRule>
  </conditionalFormatting>
  <conditionalFormatting sqref="EE24">
    <cfRule type="colorScale" priority="1381">
      <colorScale>
        <cfvo type="min"/>
        <cfvo type="max"/>
        <color rgb="FFF8696B"/>
        <color rgb="FFFCFCFF"/>
      </colorScale>
    </cfRule>
  </conditionalFormatting>
  <conditionalFormatting sqref="EE24">
    <cfRule type="colorScale" priority="1379">
      <colorScale>
        <cfvo type="min"/>
        <cfvo type="percentile" val="50"/>
        <cfvo type="max"/>
        <color rgb="FFF8696B"/>
        <color rgb="FFFFEB84"/>
        <color rgb="FF63BE7B"/>
      </colorScale>
    </cfRule>
  </conditionalFormatting>
  <conditionalFormatting sqref="EE24">
    <cfRule type="colorScale" priority="1378">
      <colorScale>
        <cfvo type="min"/>
        <cfvo type="max"/>
        <color rgb="FFFCFCFF"/>
        <color rgb="FFF8696B"/>
      </colorScale>
    </cfRule>
  </conditionalFormatting>
  <conditionalFormatting sqref="EG24">
    <cfRule type="colorScale" priority="1377">
      <colorScale>
        <cfvo type="min"/>
        <cfvo type="percentile" val="50"/>
        <cfvo type="max"/>
        <color rgb="FFF8696B"/>
        <color rgb="FFFFEB84"/>
        <color rgb="FF63BE7B"/>
      </colorScale>
    </cfRule>
  </conditionalFormatting>
  <conditionalFormatting sqref="EG24">
    <cfRule type="colorScale" priority="1376">
      <colorScale>
        <cfvo type="min"/>
        <cfvo type="percentile" val="50"/>
        <cfvo type="max"/>
        <color rgb="FF63BE7B"/>
        <color rgb="FFFFEB84"/>
        <color rgb="FFF8696B"/>
      </colorScale>
    </cfRule>
  </conditionalFormatting>
  <conditionalFormatting sqref="EG24">
    <cfRule type="colorScale" priority="1373">
      <colorScale>
        <cfvo type="min"/>
        <cfvo type="max"/>
        <color rgb="FFFCFCFF"/>
        <color rgb="FFF8696B"/>
      </colorScale>
    </cfRule>
    <cfRule type="colorScale" priority="1375">
      <colorScale>
        <cfvo type="min"/>
        <cfvo type="percentile" val="50"/>
        <cfvo type="max"/>
        <color rgb="FF63BE7B"/>
        <color rgb="FFFFEB84"/>
        <color rgb="FFF8696B"/>
      </colorScale>
    </cfRule>
  </conditionalFormatting>
  <conditionalFormatting sqref="EG24">
    <cfRule type="colorScale" priority="1374">
      <colorScale>
        <cfvo type="min"/>
        <cfvo type="max"/>
        <color rgb="FFF8696B"/>
        <color rgb="FFFCFCFF"/>
      </colorScale>
    </cfRule>
  </conditionalFormatting>
  <conditionalFormatting sqref="EG24">
    <cfRule type="colorScale" priority="1372">
      <colorScale>
        <cfvo type="min"/>
        <cfvo type="percentile" val="50"/>
        <cfvo type="max"/>
        <color rgb="FFF8696B"/>
        <color rgb="FFFFEB84"/>
        <color rgb="FF63BE7B"/>
      </colorScale>
    </cfRule>
  </conditionalFormatting>
  <conditionalFormatting sqref="EG24">
    <cfRule type="colorScale" priority="1371">
      <colorScale>
        <cfvo type="min"/>
        <cfvo type="max"/>
        <color rgb="FFFCFCFF"/>
        <color rgb="FFF8696B"/>
      </colorScale>
    </cfRule>
  </conditionalFormatting>
  <conditionalFormatting sqref="EE24:EE28 EE39 EE33 EG24:EG28 EG33 EE41 EG39 EG41">
    <cfRule type="colorScale" priority="1370">
      <colorScale>
        <cfvo type="min"/>
        <cfvo type="max"/>
        <color rgb="FFFCFCFF"/>
        <color rgb="FFF8696B"/>
      </colorScale>
    </cfRule>
  </conditionalFormatting>
  <conditionalFormatting sqref="EI39 EI33">
    <cfRule type="colorScale" priority="1369">
      <colorScale>
        <cfvo type="min"/>
        <cfvo type="percentile" val="50"/>
        <cfvo type="max"/>
        <color rgb="FFF8696B"/>
        <color rgb="FFFFEB84"/>
        <color rgb="FF63BE7B"/>
      </colorScale>
    </cfRule>
  </conditionalFormatting>
  <conditionalFormatting sqref="EI33">
    <cfRule type="colorScale" priority="1368">
      <colorScale>
        <cfvo type="min"/>
        <cfvo type="percentile" val="50"/>
        <cfvo type="max"/>
        <color rgb="FFF8696B"/>
        <color rgb="FFFFEB84"/>
        <color rgb="FF63BE7B"/>
      </colorScale>
    </cfRule>
  </conditionalFormatting>
  <conditionalFormatting sqref="EI39 EI33">
    <cfRule type="colorScale" priority="1367">
      <colorScale>
        <cfvo type="min"/>
        <cfvo type="percentile" val="50"/>
        <cfvo type="max"/>
        <color rgb="FF63BE7B"/>
        <color rgb="FFFFEB84"/>
        <color rgb="FFF8696B"/>
      </colorScale>
    </cfRule>
  </conditionalFormatting>
  <conditionalFormatting sqref="EI39 EI33">
    <cfRule type="colorScale" priority="1364">
      <colorScale>
        <cfvo type="min"/>
        <cfvo type="max"/>
        <color rgb="FFFCFCFF"/>
        <color rgb="FFF8696B"/>
      </colorScale>
    </cfRule>
    <cfRule type="colorScale" priority="1366">
      <colorScale>
        <cfvo type="min"/>
        <cfvo type="percentile" val="50"/>
        <cfvo type="max"/>
        <color rgb="FF63BE7B"/>
        <color rgb="FFFFEB84"/>
        <color rgb="FFF8696B"/>
      </colorScale>
    </cfRule>
  </conditionalFormatting>
  <conditionalFormatting sqref="EI39 EI33">
    <cfRule type="colorScale" priority="1365">
      <colorScale>
        <cfvo type="min"/>
        <cfvo type="max"/>
        <color rgb="FFF8696B"/>
        <color rgb="FFFCFCFF"/>
      </colorScale>
    </cfRule>
  </conditionalFormatting>
  <conditionalFormatting sqref="EI41">
    <cfRule type="colorScale" priority="1363">
      <colorScale>
        <cfvo type="min"/>
        <cfvo type="percentile" val="50"/>
        <cfvo type="max"/>
        <color rgb="FFF8696B"/>
        <color rgb="FFFFEB84"/>
        <color rgb="FF63BE7B"/>
      </colorScale>
    </cfRule>
  </conditionalFormatting>
  <conditionalFormatting sqref="EI41">
    <cfRule type="colorScale" priority="1362">
      <colorScale>
        <cfvo type="min"/>
        <cfvo type="percentile" val="50"/>
        <cfvo type="max"/>
        <color rgb="FFF8696B"/>
        <color rgb="FFFFEB84"/>
        <color rgb="FF63BE7B"/>
      </colorScale>
    </cfRule>
  </conditionalFormatting>
  <conditionalFormatting sqref="EI41">
    <cfRule type="colorScale" priority="1361">
      <colorScale>
        <cfvo type="min"/>
        <cfvo type="percentile" val="50"/>
        <cfvo type="max"/>
        <color rgb="FFF8696B"/>
        <color rgb="FFFFEB84"/>
        <color rgb="FF63BE7B"/>
      </colorScale>
    </cfRule>
  </conditionalFormatting>
  <conditionalFormatting sqref="EI41">
    <cfRule type="colorScale" priority="1360">
      <colorScale>
        <cfvo type="min"/>
        <cfvo type="percentile" val="50"/>
        <cfvo type="max"/>
        <color rgb="FF63BE7B"/>
        <color rgb="FFFFEB84"/>
        <color rgb="FFF8696B"/>
      </colorScale>
    </cfRule>
  </conditionalFormatting>
  <conditionalFormatting sqref="EI41">
    <cfRule type="colorScale" priority="1357">
      <colorScale>
        <cfvo type="min"/>
        <cfvo type="max"/>
        <color rgb="FFFCFCFF"/>
        <color rgb="FFF8696B"/>
      </colorScale>
    </cfRule>
    <cfRule type="colorScale" priority="1359">
      <colorScale>
        <cfvo type="min"/>
        <cfvo type="percentile" val="50"/>
        <cfvo type="max"/>
        <color rgb="FF63BE7B"/>
        <color rgb="FFFFEB84"/>
        <color rgb="FFF8696B"/>
      </colorScale>
    </cfRule>
  </conditionalFormatting>
  <conditionalFormatting sqref="EI41">
    <cfRule type="colorScale" priority="1358">
      <colorScale>
        <cfvo type="min"/>
        <cfvo type="max"/>
        <color rgb="FFF8696B"/>
        <color rgb="FFFCFCFF"/>
      </colorScale>
    </cfRule>
  </conditionalFormatting>
  <conditionalFormatting sqref="EI33">
    <cfRule type="colorScale" priority="1356">
      <colorScale>
        <cfvo type="min"/>
        <cfvo type="percentile" val="50"/>
        <cfvo type="max"/>
        <color rgb="FFF8696B"/>
        <color rgb="FFFFEB84"/>
        <color rgb="FF63BE7B"/>
      </colorScale>
    </cfRule>
  </conditionalFormatting>
  <conditionalFormatting sqref="EI39">
    <cfRule type="colorScale" priority="1355">
      <colorScale>
        <cfvo type="min"/>
        <cfvo type="percentile" val="50"/>
        <cfvo type="max"/>
        <color rgb="FFF8696B"/>
        <color rgb="FFFFEB84"/>
        <color rgb="FF63BE7B"/>
      </colorScale>
    </cfRule>
  </conditionalFormatting>
  <conditionalFormatting sqref="EI39 EI33 EI41">
    <cfRule type="colorScale" priority="1354">
      <colorScale>
        <cfvo type="min"/>
        <cfvo type="max"/>
        <color rgb="FFFCFCFF"/>
        <color rgb="FFF8696B"/>
      </colorScale>
    </cfRule>
  </conditionalFormatting>
  <conditionalFormatting sqref="EK39 EK28 EK23 EK33">
    <cfRule type="colorScale" priority="1353">
      <colorScale>
        <cfvo type="min"/>
        <cfvo type="percentile" val="50"/>
        <cfvo type="max"/>
        <color rgb="FFF8696B"/>
        <color rgb="FFFFEB84"/>
        <color rgb="FF63BE7B"/>
      </colorScale>
    </cfRule>
  </conditionalFormatting>
  <conditionalFormatting sqref="EK33">
    <cfRule type="colorScale" priority="1352">
      <colorScale>
        <cfvo type="min"/>
        <cfvo type="percentile" val="50"/>
        <cfvo type="max"/>
        <color rgb="FFF8696B"/>
        <color rgb="FFFFEB84"/>
        <color rgb="FF63BE7B"/>
      </colorScale>
    </cfRule>
  </conditionalFormatting>
  <conditionalFormatting sqref="EK23 EK39 EK28 EK33">
    <cfRule type="colorScale" priority="1351">
      <colorScale>
        <cfvo type="min"/>
        <cfvo type="percentile" val="50"/>
        <cfvo type="max"/>
        <color rgb="FF63BE7B"/>
        <color rgb="FFFFEB84"/>
        <color rgb="FFF8696B"/>
      </colorScale>
    </cfRule>
  </conditionalFormatting>
  <conditionalFormatting sqref="EK39 EK23 EK28 EK33">
    <cfRule type="colorScale" priority="1348">
      <colorScale>
        <cfvo type="min"/>
        <cfvo type="max"/>
        <color rgb="FFFCFCFF"/>
        <color rgb="FFF8696B"/>
      </colorScale>
    </cfRule>
    <cfRule type="colorScale" priority="1350">
      <colorScale>
        <cfvo type="min"/>
        <cfvo type="percentile" val="50"/>
        <cfvo type="max"/>
        <color rgb="FF63BE7B"/>
        <color rgb="FFFFEB84"/>
        <color rgb="FFF8696B"/>
      </colorScale>
    </cfRule>
  </conditionalFormatting>
  <conditionalFormatting sqref="EK39 EK28 EK23 EK33">
    <cfRule type="colorScale" priority="1349">
      <colorScale>
        <cfvo type="min"/>
        <cfvo type="max"/>
        <color rgb="FFF8696B"/>
        <color rgb="FFFCFCFF"/>
      </colorScale>
    </cfRule>
  </conditionalFormatting>
  <conditionalFormatting sqref="EK41">
    <cfRule type="colorScale" priority="1347">
      <colorScale>
        <cfvo type="min"/>
        <cfvo type="percentile" val="50"/>
        <cfvo type="max"/>
        <color rgb="FFF8696B"/>
        <color rgb="FFFFEB84"/>
        <color rgb="FF63BE7B"/>
      </colorScale>
    </cfRule>
  </conditionalFormatting>
  <conditionalFormatting sqref="EK41">
    <cfRule type="colorScale" priority="1346">
      <colorScale>
        <cfvo type="min"/>
        <cfvo type="percentile" val="50"/>
        <cfvo type="max"/>
        <color rgb="FFF8696B"/>
        <color rgb="FFFFEB84"/>
        <color rgb="FF63BE7B"/>
      </colorScale>
    </cfRule>
  </conditionalFormatting>
  <conditionalFormatting sqref="EK41">
    <cfRule type="colorScale" priority="1345">
      <colorScale>
        <cfvo type="min"/>
        <cfvo type="percentile" val="50"/>
        <cfvo type="max"/>
        <color rgb="FFF8696B"/>
        <color rgb="FFFFEB84"/>
        <color rgb="FF63BE7B"/>
      </colorScale>
    </cfRule>
  </conditionalFormatting>
  <conditionalFormatting sqref="EK41">
    <cfRule type="colorScale" priority="1344">
      <colorScale>
        <cfvo type="min"/>
        <cfvo type="percentile" val="50"/>
        <cfvo type="max"/>
        <color rgb="FF63BE7B"/>
        <color rgb="FFFFEB84"/>
        <color rgb="FFF8696B"/>
      </colorScale>
    </cfRule>
  </conditionalFormatting>
  <conditionalFormatting sqref="EK41">
    <cfRule type="colorScale" priority="1341">
      <colorScale>
        <cfvo type="min"/>
        <cfvo type="max"/>
        <color rgb="FFFCFCFF"/>
        <color rgb="FFF8696B"/>
      </colorScale>
    </cfRule>
    <cfRule type="colorScale" priority="1343">
      <colorScale>
        <cfvo type="min"/>
        <cfvo type="percentile" val="50"/>
        <cfvo type="max"/>
        <color rgb="FF63BE7B"/>
        <color rgb="FFFFEB84"/>
        <color rgb="FFF8696B"/>
      </colorScale>
    </cfRule>
  </conditionalFormatting>
  <conditionalFormatting sqref="EK41">
    <cfRule type="colorScale" priority="1342">
      <colorScale>
        <cfvo type="min"/>
        <cfvo type="max"/>
        <color rgb="FFF8696B"/>
        <color rgb="FFFCFCFF"/>
      </colorScale>
    </cfRule>
  </conditionalFormatting>
  <conditionalFormatting sqref="EK23">
    <cfRule type="colorScale" priority="1340">
      <colorScale>
        <cfvo type="min"/>
        <cfvo type="percentile" val="50"/>
        <cfvo type="max"/>
        <color rgb="FFF8696B"/>
        <color rgb="FFFFEB84"/>
        <color rgb="FF63BE7B"/>
      </colorScale>
    </cfRule>
  </conditionalFormatting>
  <conditionalFormatting sqref="EK28">
    <cfRule type="colorScale" priority="1339">
      <colorScale>
        <cfvo type="min"/>
        <cfvo type="percentile" val="50"/>
        <cfvo type="max"/>
        <color rgb="FFF8696B"/>
        <color rgb="FFFFEB84"/>
        <color rgb="FF63BE7B"/>
      </colorScale>
    </cfRule>
  </conditionalFormatting>
  <conditionalFormatting sqref="EK33">
    <cfRule type="colorScale" priority="1338">
      <colorScale>
        <cfvo type="min"/>
        <cfvo type="percentile" val="50"/>
        <cfvo type="max"/>
        <color rgb="FFF8696B"/>
        <color rgb="FFFFEB84"/>
        <color rgb="FF63BE7B"/>
      </colorScale>
    </cfRule>
  </conditionalFormatting>
  <conditionalFormatting sqref="EK39">
    <cfRule type="colorScale" priority="1337">
      <colorScale>
        <cfvo type="min"/>
        <cfvo type="percentile" val="50"/>
        <cfvo type="max"/>
        <color rgb="FFF8696B"/>
        <color rgb="FFFFEB84"/>
        <color rgb="FF63BE7B"/>
      </colorScale>
    </cfRule>
  </conditionalFormatting>
  <conditionalFormatting sqref="EK39 EK28 EK23 EK33 EK41">
    <cfRule type="colorScale" priority="1336">
      <colorScale>
        <cfvo type="min"/>
        <cfvo type="max"/>
        <color rgb="FFFCFCFF"/>
        <color rgb="FFF8696B"/>
      </colorScale>
    </cfRule>
  </conditionalFormatting>
  <conditionalFormatting sqref="EM39 EM28 EM23 EM33">
    <cfRule type="colorScale" priority="1335">
      <colorScale>
        <cfvo type="min"/>
        <cfvo type="percentile" val="50"/>
        <cfvo type="max"/>
        <color rgb="FFF8696B"/>
        <color rgb="FFFFEB84"/>
        <color rgb="FF63BE7B"/>
      </colorScale>
    </cfRule>
  </conditionalFormatting>
  <conditionalFormatting sqref="EM33">
    <cfRule type="colorScale" priority="1334">
      <colorScale>
        <cfvo type="min"/>
        <cfvo type="percentile" val="50"/>
        <cfvo type="max"/>
        <color rgb="FFF8696B"/>
        <color rgb="FFFFEB84"/>
        <color rgb="FF63BE7B"/>
      </colorScale>
    </cfRule>
  </conditionalFormatting>
  <conditionalFormatting sqref="EM39 EM28 EM23 EM33">
    <cfRule type="colorScale" priority="1333">
      <colorScale>
        <cfvo type="min"/>
        <cfvo type="percentile" val="50"/>
        <cfvo type="max"/>
        <color rgb="FF63BE7B"/>
        <color rgb="FFFFEB84"/>
        <color rgb="FFF8696B"/>
      </colorScale>
    </cfRule>
  </conditionalFormatting>
  <conditionalFormatting sqref="EM39 EM23 EM28 EM33">
    <cfRule type="colorScale" priority="1330">
      <colorScale>
        <cfvo type="min"/>
        <cfvo type="max"/>
        <color rgb="FFFCFCFF"/>
        <color rgb="FFF8696B"/>
      </colorScale>
    </cfRule>
    <cfRule type="colorScale" priority="1332">
      <colorScale>
        <cfvo type="min"/>
        <cfvo type="percentile" val="50"/>
        <cfvo type="max"/>
        <color rgb="FF63BE7B"/>
        <color rgb="FFFFEB84"/>
        <color rgb="FFF8696B"/>
      </colorScale>
    </cfRule>
  </conditionalFormatting>
  <conditionalFormatting sqref="EM39 EM28 EM23 EM33">
    <cfRule type="colorScale" priority="1331">
      <colorScale>
        <cfvo type="min"/>
        <cfvo type="max"/>
        <color rgb="FFF8696B"/>
        <color rgb="FFFCFCFF"/>
      </colorScale>
    </cfRule>
  </conditionalFormatting>
  <conditionalFormatting sqref="EM41">
    <cfRule type="colorScale" priority="1329">
      <colorScale>
        <cfvo type="min"/>
        <cfvo type="percentile" val="50"/>
        <cfvo type="max"/>
        <color rgb="FFF8696B"/>
        <color rgb="FFFFEB84"/>
        <color rgb="FF63BE7B"/>
      </colorScale>
    </cfRule>
  </conditionalFormatting>
  <conditionalFormatting sqref="EM41">
    <cfRule type="colorScale" priority="1328">
      <colorScale>
        <cfvo type="min"/>
        <cfvo type="percentile" val="50"/>
        <cfvo type="max"/>
        <color rgb="FFF8696B"/>
        <color rgb="FFFFEB84"/>
        <color rgb="FF63BE7B"/>
      </colorScale>
    </cfRule>
  </conditionalFormatting>
  <conditionalFormatting sqref="EM41">
    <cfRule type="colorScale" priority="1327">
      <colorScale>
        <cfvo type="min"/>
        <cfvo type="percentile" val="50"/>
        <cfvo type="max"/>
        <color rgb="FFF8696B"/>
        <color rgb="FFFFEB84"/>
        <color rgb="FF63BE7B"/>
      </colorScale>
    </cfRule>
  </conditionalFormatting>
  <conditionalFormatting sqref="EM41">
    <cfRule type="colorScale" priority="1326">
      <colorScale>
        <cfvo type="min"/>
        <cfvo type="percentile" val="50"/>
        <cfvo type="max"/>
        <color rgb="FF63BE7B"/>
        <color rgb="FFFFEB84"/>
        <color rgb="FFF8696B"/>
      </colorScale>
    </cfRule>
  </conditionalFormatting>
  <conditionalFormatting sqref="EM41">
    <cfRule type="colorScale" priority="1323">
      <colorScale>
        <cfvo type="min"/>
        <cfvo type="max"/>
        <color rgb="FFFCFCFF"/>
        <color rgb="FFF8696B"/>
      </colorScale>
    </cfRule>
    <cfRule type="colorScale" priority="1325">
      <colorScale>
        <cfvo type="min"/>
        <cfvo type="percentile" val="50"/>
        <cfvo type="max"/>
        <color rgb="FF63BE7B"/>
        <color rgb="FFFFEB84"/>
        <color rgb="FFF8696B"/>
      </colorScale>
    </cfRule>
  </conditionalFormatting>
  <conditionalFormatting sqref="EM41">
    <cfRule type="colorScale" priority="1324">
      <colorScale>
        <cfvo type="min"/>
        <cfvo type="max"/>
        <color rgb="FFF8696B"/>
        <color rgb="FFFCFCFF"/>
      </colorScale>
    </cfRule>
  </conditionalFormatting>
  <conditionalFormatting sqref="EM23">
    <cfRule type="colorScale" priority="1322">
      <colorScale>
        <cfvo type="min"/>
        <cfvo type="percentile" val="50"/>
        <cfvo type="max"/>
        <color rgb="FFF8696B"/>
        <color rgb="FFFFEB84"/>
        <color rgb="FF63BE7B"/>
      </colorScale>
    </cfRule>
  </conditionalFormatting>
  <conditionalFormatting sqref="EM28">
    <cfRule type="colorScale" priority="1321">
      <colorScale>
        <cfvo type="min"/>
        <cfvo type="percentile" val="50"/>
        <cfvo type="max"/>
        <color rgb="FFF8696B"/>
        <color rgb="FFFFEB84"/>
        <color rgb="FF63BE7B"/>
      </colorScale>
    </cfRule>
  </conditionalFormatting>
  <conditionalFormatting sqref="EM33">
    <cfRule type="colorScale" priority="1320">
      <colorScale>
        <cfvo type="min"/>
        <cfvo type="percentile" val="50"/>
        <cfvo type="max"/>
        <color rgb="FFF8696B"/>
        <color rgb="FFFFEB84"/>
        <color rgb="FF63BE7B"/>
      </colorScale>
    </cfRule>
  </conditionalFormatting>
  <conditionalFormatting sqref="EM39">
    <cfRule type="colorScale" priority="1319">
      <colorScale>
        <cfvo type="min"/>
        <cfvo type="percentile" val="50"/>
        <cfvo type="max"/>
        <color rgb="FFF8696B"/>
        <color rgb="FFFFEB84"/>
        <color rgb="FF63BE7B"/>
      </colorScale>
    </cfRule>
  </conditionalFormatting>
  <conditionalFormatting sqref="EM39 EM28 EM23 EM33 EM41">
    <cfRule type="colorScale" priority="1318">
      <colorScale>
        <cfvo type="min"/>
        <cfvo type="max"/>
        <color rgb="FFFCFCFF"/>
        <color rgb="FFF8696B"/>
      </colorScale>
    </cfRule>
  </conditionalFormatting>
  <conditionalFormatting sqref="EI39 EK33 EI33 EK28 EK23 EM23 EM28 EM33 EI41 EK39 EK41 EM39 EM41">
    <cfRule type="colorScale" priority="1317">
      <colorScale>
        <cfvo type="min"/>
        <cfvo type="max"/>
        <color rgb="FFFCFCFF"/>
        <color rgb="FFF8696B"/>
      </colorScale>
    </cfRule>
  </conditionalFormatting>
  <conditionalFormatting sqref="EM39 EI33 EK23 EK28 EM23 EM28 EM33 EK33 EM41 EK39 EK41 EI39 EI41">
    <cfRule type="colorScale" priority="1316">
      <colorScale>
        <cfvo type="min"/>
        <cfvo type="max"/>
        <color rgb="FFFCFCFF"/>
        <color rgb="FFF8696B"/>
      </colorScale>
    </cfRule>
  </conditionalFormatting>
  <conditionalFormatting sqref="EI24">
    <cfRule type="colorScale" priority="1315">
      <colorScale>
        <cfvo type="min"/>
        <cfvo type="percentile" val="50"/>
        <cfvo type="max"/>
        <color rgb="FFF8696B"/>
        <color rgb="FFFFEB84"/>
        <color rgb="FF63BE7B"/>
      </colorScale>
    </cfRule>
  </conditionalFormatting>
  <conditionalFormatting sqref="EI24">
    <cfRule type="colorScale" priority="1314">
      <colorScale>
        <cfvo type="min"/>
        <cfvo type="percentile" val="50"/>
        <cfvo type="max"/>
        <color rgb="FF63BE7B"/>
        <color rgb="FFFFEB84"/>
        <color rgb="FFF8696B"/>
      </colorScale>
    </cfRule>
  </conditionalFormatting>
  <conditionalFormatting sqref="EI24">
    <cfRule type="colorScale" priority="1311">
      <colorScale>
        <cfvo type="min"/>
        <cfvo type="max"/>
        <color rgb="FFFCFCFF"/>
        <color rgb="FFF8696B"/>
      </colorScale>
    </cfRule>
    <cfRule type="colorScale" priority="1313">
      <colorScale>
        <cfvo type="min"/>
        <cfvo type="percentile" val="50"/>
        <cfvo type="max"/>
        <color rgb="FF63BE7B"/>
        <color rgb="FFFFEB84"/>
        <color rgb="FFF8696B"/>
      </colorScale>
    </cfRule>
  </conditionalFormatting>
  <conditionalFormatting sqref="EI24">
    <cfRule type="colorScale" priority="1312">
      <colorScale>
        <cfvo type="min"/>
        <cfvo type="max"/>
        <color rgb="FFF8696B"/>
        <color rgb="FFFCFCFF"/>
      </colorScale>
    </cfRule>
  </conditionalFormatting>
  <conditionalFormatting sqref="EI24">
    <cfRule type="colorScale" priority="1310">
      <colorScale>
        <cfvo type="min"/>
        <cfvo type="percentile" val="50"/>
        <cfvo type="max"/>
        <color rgb="FFF8696B"/>
        <color rgb="FFFFEB84"/>
        <color rgb="FF63BE7B"/>
      </colorScale>
    </cfRule>
  </conditionalFormatting>
  <conditionalFormatting sqref="EI24">
    <cfRule type="colorScale" priority="1309">
      <colorScale>
        <cfvo type="min"/>
        <cfvo type="max"/>
        <color rgb="FFFCFCFF"/>
        <color rgb="FFF8696B"/>
      </colorScale>
    </cfRule>
  </conditionalFormatting>
  <conditionalFormatting sqref="EI24:EI28">
    <cfRule type="colorScale" priority="1308">
      <colorScale>
        <cfvo type="min"/>
        <cfvo type="max"/>
        <color rgb="FFFCFCFF"/>
        <color rgb="FFF8696B"/>
      </colorScale>
    </cfRule>
  </conditionalFormatting>
  <conditionalFormatting sqref="EI24:EI28">
    <cfRule type="colorScale" priority="1307">
      <colorScale>
        <cfvo type="min"/>
        <cfvo type="max"/>
        <color rgb="FFFCFCFF"/>
        <color rgb="FFF8696B"/>
      </colorScale>
    </cfRule>
  </conditionalFormatting>
  <conditionalFormatting sqref="EE24:EE28 EA39 EG24:EG28 EI24:EI28 EK28 EK23 EM23 EM28 EM33 EK33 EI33 EG33 EE33 EC39 EE39 EE41 EG39 EG41 EI39 EI41 EK39 EK41 EM39 EM41">
    <cfRule type="colorScale" priority="1306">
      <colorScale>
        <cfvo type="min"/>
        <cfvo type="max"/>
        <color rgb="FFFCFCFF"/>
        <color rgb="FFF8696B"/>
      </colorScale>
    </cfRule>
  </conditionalFormatting>
  <conditionalFormatting sqref="EA13 EA39 EC39 EE39 EE41 EG39 EG41 EI39 EI41 EK39 EK41 EM39 EM41 EM33 EK33 EI33 EG33 EE33 EE24:EE28 EG24:EG28 EI24:EI28 EK23 EK28 EM23 EM28 EM18 EM13 EK18 EK13 EI13 EI18 EG18 EE18 EE13 EC13 EG13">
    <cfRule type="colorScale" priority="1305">
      <colorScale>
        <cfvo type="min"/>
        <cfvo type="max"/>
        <color rgb="FFFCFCFF"/>
        <color rgb="FFF8696B"/>
      </colorScale>
    </cfRule>
  </conditionalFormatting>
  <conditionalFormatting sqref="EA24">
    <cfRule type="colorScale" priority="1304">
      <colorScale>
        <cfvo type="min"/>
        <cfvo type="percentile" val="50"/>
        <cfvo type="max"/>
        <color rgb="FFF8696B"/>
        <color rgb="FFFFEB84"/>
        <color rgb="FF63BE7B"/>
      </colorScale>
    </cfRule>
  </conditionalFormatting>
  <conditionalFormatting sqref="EA24">
    <cfRule type="colorScale" priority="1303">
      <colorScale>
        <cfvo type="min"/>
        <cfvo type="percentile" val="50"/>
        <cfvo type="max"/>
        <color rgb="FF63BE7B"/>
        <color rgb="FFFFEB84"/>
        <color rgb="FFF8696B"/>
      </colorScale>
    </cfRule>
  </conditionalFormatting>
  <conditionalFormatting sqref="EA24">
    <cfRule type="colorScale" priority="1300">
      <colorScale>
        <cfvo type="min"/>
        <cfvo type="max"/>
        <color rgb="FFFCFCFF"/>
        <color rgb="FFF8696B"/>
      </colorScale>
    </cfRule>
    <cfRule type="colorScale" priority="1302">
      <colorScale>
        <cfvo type="min"/>
        <cfvo type="percentile" val="50"/>
        <cfvo type="max"/>
        <color rgb="FF63BE7B"/>
        <color rgb="FFFFEB84"/>
        <color rgb="FFF8696B"/>
      </colorScale>
    </cfRule>
  </conditionalFormatting>
  <conditionalFormatting sqref="EA24">
    <cfRule type="colorScale" priority="1301">
      <colorScale>
        <cfvo type="min"/>
        <cfvo type="max"/>
        <color rgb="FFF8696B"/>
        <color rgb="FFFCFCFF"/>
      </colorScale>
    </cfRule>
  </conditionalFormatting>
  <conditionalFormatting sqref="EA24">
    <cfRule type="colorScale" priority="1299">
      <colorScale>
        <cfvo type="min"/>
        <cfvo type="percentile" val="50"/>
        <cfvo type="max"/>
        <color rgb="FFF8696B"/>
        <color rgb="FFFFEB84"/>
        <color rgb="FF63BE7B"/>
      </colorScale>
    </cfRule>
  </conditionalFormatting>
  <conditionalFormatting sqref="EA24">
    <cfRule type="colorScale" priority="1298">
      <colorScale>
        <cfvo type="min"/>
        <cfvo type="max"/>
        <color rgb="FFFCFCFF"/>
        <color rgb="FFF8696B"/>
      </colorScale>
    </cfRule>
  </conditionalFormatting>
  <conditionalFormatting sqref="EC24">
    <cfRule type="colorScale" priority="1297">
      <colorScale>
        <cfvo type="min"/>
        <cfvo type="percentile" val="50"/>
        <cfvo type="max"/>
        <color rgb="FFF8696B"/>
        <color rgb="FFFFEB84"/>
        <color rgb="FF63BE7B"/>
      </colorScale>
    </cfRule>
  </conditionalFormatting>
  <conditionalFormatting sqref="EC24">
    <cfRule type="colorScale" priority="1296">
      <colorScale>
        <cfvo type="min"/>
        <cfvo type="percentile" val="50"/>
        <cfvo type="max"/>
        <color rgb="FF63BE7B"/>
        <color rgb="FFFFEB84"/>
        <color rgb="FFF8696B"/>
      </colorScale>
    </cfRule>
  </conditionalFormatting>
  <conditionalFormatting sqref="EC24">
    <cfRule type="colorScale" priority="1293">
      <colorScale>
        <cfvo type="min"/>
        <cfvo type="max"/>
        <color rgb="FFFCFCFF"/>
        <color rgb="FFF8696B"/>
      </colorScale>
    </cfRule>
    <cfRule type="colorScale" priority="1295">
      <colorScale>
        <cfvo type="min"/>
        <cfvo type="percentile" val="50"/>
        <cfvo type="max"/>
        <color rgb="FF63BE7B"/>
        <color rgb="FFFFEB84"/>
        <color rgb="FFF8696B"/>
      </colorScale>
    </cfRule>
  </conditionalFormatting>
  <conditionalFormatting sqref="EC24">
    <cfRule type="colorScale" priority="1294">
      <colorScale>
        <cfvo type="min"/>
        <cfvo type="max"/>
        <color rgb="FFF8696B"/>
        <color rgb="FFFCFCFF"/>
      </colorScale>
    </cfRule>
  </conditionalFormatting>
  <conditionalFormatting sqref="EC24">
    <cfRule type="colorScale" priority="1292">
      <colorScale>
        <cfvo type="min"/>
        <cfvo type="percentile" val="50"/>
        <cfvo type="max"/>
        <color rgb="FFF8696B"/>
        <color rgb="FFFFEB84"/>
        <color rgb="FF63BE7B"/>
      </colorScale>
    </cfRule>
  </conditionalFormatting>
  <conditionalFormatting sqref="EC24">
    <cfRule type="colorScale" priority="1291">
      <colorScale>
        <cfvo type="min"/>
        <cfvo type="max"/>
        <color rgb="FFFCFCFF"/>
        <color rgb="FFF8696B"/>
      </colorScale>
    </cfRule>
  </conditionalFormatting>
  <conditionalFormatting sqref="EA24:EA33 EC24:EC33">
    <cfRule type="colorScale" priority="1290">
      <colorScale>
        <cfvo type="min"/>
        <cfvo type="max"/>
        <color rgb="FFFCFCFF"/>
        <color rgb="FFF8696B"/>
      </colorScale>
    </cfRule>
  </conditionalFormatting>
  <conditionalFormatting sqref="EA24:EA33 EC24:EC33">
    <cfRule type="colorScale" priority="1289">
      <colorScale>
        <cfvo type="min"/>
        <cfvo type="max"/>
        <color rgb="FFFCFCFF"/>
        <color rgb="FFF8696B"/>
      </colorScale>
    </cfRule>
  </conditionalFormatting>
  <conditionalFormatting sqref="EA24:EA33 EC24:EC33">
    <cfRule type="colorScale" priority="1288">
      <colorScale>
        <cfvo type="min"/>
        <cfvo type="max"/>
        <color rgb="FFFCFCFF"/>
        <color rgb="FFF8696B"/>
      </colorScale>
    </cfRule>
  </conditionalFormatting>
  <conditionalFormatting sqref="EA13 EA39 EC13 EE13 EG13 EI13 EK13 EM13 EM18 EK18 EI18 EG18 EE18 EE24:EE28 EC24:EC33 EA24:EA33 EC39 EE41 EE39 EE33 EG33 EG39 EG41 EI41 EI39 EI33 EI24:EI28 EG24:EG28 EK23 EK28 EK33 EK39 EK41 EM41 EM39 EM33 EM28 EM23">
    <cfRule type="colorScale" priority="1287">
      <colorScale>
        <cfvo type="min"/>
        <cfvo type="max"/>
        <color rgb="FFFCFCFF"/>
        <color rgb="FFF8696B"/>
      </colorScale>
    </cfRule>
  </conditionalFormatting>
  <conditionalFormatting sqref="BQ241">
    <cfRule type="colorScale" priority="1286">
      <colorScale>
        <cfvo type="min"/>
        <cfvo type="percentile" val="50"/>
        <cfvo type="max"/>
        <color rgb="FFF8696B"/>
        <color rgb="FFFFEB84"/>
        <color rgb="FF63BE7B"/>
      </colorScale>
    </cfRule>
  </conditionalFormatting>
  <conditionalFormatting sqref="BQ241">
    <cfRule type="colorScale" priority="1285">
      <colorScale>
        <cfvo type="min"/>
        <cfvo type="percentile" val="50"/>
        <cfvo type="max"/>
        <color rgb="FF63BE7B"/>
        <color rgb="FFFFEB84"/>
        <color rgb="FFF8696B"/>
      </colorScale>
    </cfRule>
  </conditionalFormatting>
  <conditionalFormatting sqref="BQ241">
    <cfRule type="colorScale" priority="1282">
      <colorScale>
        <cfvo type="min"/>
        <cfvo type="max"/>
        <color rgb="FFFCFCFF"/>
        <color rgb="FFF8696B"/>
      </colorScale>
    </cfRule>
    <cfRule type="colorScale" priority="1284">
      <colorScale>
        <cfvo type="min"/>
        <cfvo type="percentile" val="50"/>
        <cfvo type="max"/>
        <color rgb="FF63BE7B"/>
        <color rgb="FFFFEB84"/>
        <color rgb="FFF8696B"/>
      </colorScale>
    </cfRule>
  </conditionalFormatting>
  <conditionalFormatting sqref="BQ241">
    <cfRule type="colorScale" priority="1283">
      <colorScale>
        <cfvo type="min"/>
        <cfvo type="max"/>
        <color rgb="FFF8696B"/>
        <color rgb="FFFCFCFF"/>
      </colorScale>
    </cfRule>
  </conditionalFormatting>
  <conditionalFormatting sqref="BQ241">
    <cfRule type="colorScale" priority="1281">
      <colorScale>
        <cfvo type="min"/>
        <cfvo type="percentile" val="50"/>
        <cfvo type="max"/>
        <color rgb="FFF8696B"/>
        <color rgb="FFFFEB84"/>
        <color rgb="FF63BE7B"/>
      </colorScale>
    </cfRule>
  </conditionalFormatting>
  <conditionalFormatting sqref="BQ241">
    <cfRule type="colorScale" priority="1280">
      <colorScale>
        <cfvo type="min"/>
        <cfvo type="max"/>
        <color rgb="FFFCFCFF"/>
        <color rgb="FFF8696B"/>
      </colorScale>
    </cfRule>
  </conditionalFormatting>
  <conditionalFormatting sqref="CM205">
    <cfRule type="colorScale" priority="1279">
      <colorScale>
        <cfvo type="min"/>
        <cfvo type="percentile" val="50"/>
        <cfvo type="max"/>
        <color rgb="FFF8696B"/>
        <color rgb="FFFFEB84"/>
        <color rgb="FF63BE7B"/>
      </colorScale>
    </cfRule>
  </conditionalFormatting>
  <conditionalFormatting sqref="CM205">
    <cfRule type="colorScale" priority="1278">
      <colorScale>
        <cfvo type="min"/>
        <cfvo type="percentile" val="50"/>
        <cfvo type="max"/>
        <color rgb="FFF8696B"/>
        <color rgb="FFFFEB84"/>
        <color rgb="FF63BE7B"/>
      </colorScale>
    </cfRule>
  </conditionalFormatting>
  <conditionalFormatting sqref="CM205">
    <cfRule type="colorScale" priority="1277">
      <colorScale>
        <cfvo type="min"/>
        <cfvo type="percentile" val="50"/>
        <cfvo type="max"/>
        <color rgb="FF63BE7B"/>
        <color rgb="FFFFEB84"/>
        <color rgb="FFF8696B"/>
      </colorScale>
    </cfRule>
  </conditionalFormatting>
  <conditionalFormatting sqref="CM205">
    <cfRule type="colorScale" priority="1274">
      <colorScale>
        <cfvo type="min"/>
        <cfvo type="max"/>
        <color rgb="FFFCFCFF"/>
        <color rgb="FFF8696B"/>
      </colorScale>
    </cfRule>
    <cfRule type="colorScale" priority="1276">
      <colorScale>
        <cfvo type="min"/>
        <cfvo type="percentile" val="50"/>
        <cfvo type="max"/>
        <color rgb="FF63BE7B"/>
        <color rgb="FFFFEB84"/>
        <color rgb="FFF8696B"/>
      </colorScale>
    </cfRule>
  </conditionalFormatting>
  <conditionalFormatting sqref="CM205">
    <cfRule type="colorScale" priority="1275">
      <colorScale>
        <cfvo type="min"/>
        <cfvo type="max"/>
        <color rgb="FFF8696B"/>
        <color rgb="FFFCFCFF"/>
      </colorScale>
    </cfRule>
  </conditionalFormatting>
  <conditionalFormatting sqref="CM205">
    <cfRule type="colorScale" priority="1273">
      <colorScale>
        <cfvo type="min"/>
        <cfvo type="percentile" val="50"/>
        <cfvo type="max"/>
        <color rgb="FFF8696B"/>
        <color rgb="FFFFEB84"/>
        <color rgb="FF63BE7B"/>
      </colorScale>
    </cfRule>
  </conditionalFormatting>
  <conditionalFormatting sqref="CM205">
    <cfRule type="colorScale" priority="1272">
      <colorScale>
        <cfvo type="min"/>
        <cfvo type="max"/>
        <color rgb="FFFCFCFF"/>
        <color rgb="FFF8696B"/>
      </colorScale>
    </cfRule>
  </conditionalFormatting>
  <conditionalFormatting sqref="CO206">
    <cfRule type="colorScale" priority="1271">
      <colorScale>
        <cfvo type="min"/>
        <cfvo type="percentile" val="50"/>
        <cfvo type="max"/>
        <color rgb="FFF8696B"/>
        <color rgb="FFFFEB84"/>
        <color rgb="FF63BE7B"/>
      </colorScale>
    </cfRule>
  </conditionalFormatting>
  <conditionalFormatting sqref="CO206">
    <cfRule type="colorScale" priority="1270">
      <colorScale>
        <cfvo type="min"/>
        <cfvo type="percentile" val="50"/>
        <cfvo type="max"/>
        <color rgb="FFF8696B"/>
        <color rgb="FFFFEB84"/>
        <color rgb="FF63BE7B"/>
      </colorScale>
    </cfRule>
  </conditionalFormatting>
  <conditionalFormatting sqref="CO206">
    <cfRule type="colorScale" priority="1269">
      <colorScale>
        <cfvo type="min"/>
        <cfvo type="percentile" val="50"/>
        <cfvo type="max"/>
        <color rgb="FF63BE7B"/>
        <color rgb="FFFFEB84"/>
        <color rgb="FFF8696B"/>
      </colorScale>
    </cfRule>
  </conditionalFormatting>
  <conditionalFormatting sqref="CO206">
    <cfRule type="colorScale" priority="1266">
      <colorScale>
        <cfvo type="min"/>
        <cfvo type="max"/>
        <color rgb="FFFCFCFF"/>
        <color rgb="FFF8696B"/>
      </colorScale>
    </cfRule>
    <cfRule type="colorScale" priority="1268">
      <colorScale>
        <cfvo type="min"/>
        <cfvo type="percentile" val="50"/>
        <cfvo type="max"/>
        <color rgb="FF63BE7B"/>
        <color rgb="FFFFEB84"/>
        <color rgb="FFF8696B"/>
      </colorScale>
    </cfRule>
  </conditionalFormatting>
  <conditionalFormatting sqref="CO206">
    <cfRule type="colorScale" priority="1267">
      <colorScale>
        <cfvo type="min"/>
        <cfvo type="max"/>
        <color rgb="FFF8696B"/>
        <color rgb="FFFCFCFF"/>
      </colorScale>
    </cfRule>
  </conditionalFormatting>
  <conditionalFormatting sqref="CO206">
    <cfRule type="colorScale" priority="1265">
      <colorScale>
        <cfvo type="min"/>
        <cfvo type="percentile" val="50"/>
        <cfvo type="max"/>
        <color rgb="FFF8696B"/>
        <color rgb="FFFFEB84"/>
        <color rgb="FF63BE7B"/>
      </colorScale>
    </cfRule>
  </conditionalFormatting>
  <conditionalFormatting sqref="CO206">
    <cfRule type="colorScale" priority="1264">
      <colorScale>
        <cfvo type="min"/>
        <cfvo type="max"/>
        <color rgb="FFFCFCFF"/>
        <color rgb="FFF8696B"/>
      </colorScale>
    </cfRule>
  </conditionalFormatting>
  <conditionalFormatting sqref="CK205">
    <cfRule type="colorScale" priority="1263">
      <colorScale>
        <cfvo type="min"/>
        <cfvo type="percentile" val="50"/>
        <cfvo type="max"/>
        <color rgb="FFF8696B"/>
        <color rgb="FFFFEB84"/>
        <color rgb="FF63BE7B"/>
      </colorScale>
    </cfRule>
  </conditionalFormatting>
  <conditionalFormatting sqref="CK205">
    <cfRule type="colorScale" priority="1262">
      <colorScale>
        <cfvo type="min"/>
        <cfvo type="percentile" val="50"/>
        <cfvo type="max"/>
        <color rgb="FFF8696B"/>
        <color rgb="FFFFEB84"/>
        <color rgb="FF63BE7B"/>
      </colorScale>
    </cfRule>
  </conditionalFormatting>
  <conditionalFormatting sqref="CK205">
    <cfRule type="colorScale" priority="1261">
      <colorScale>
        <cfvo type="min"/>
        <cfvo type="percentile" val="50"/>
        <cfvo type="max"/>
        <color rgb="FF63BE7B"/>
        <color rgb="FFFFEB84"/>
        <color rgb="FFF8696B"/>
      </colorScale>
    </cfRule>
  </conditionalFormatting>
  <conditionalFormatting sqref="CK205">
    <cfRule type="colorScale" priority="1258">
      <colorScale>
        <cfvo type="min"/>
        <cfvo type="max"/>
        <color rgb="FFFCFCFF"/>
        <color rgb="FFF8696B"/>
      </colorScale>
    </cfRule>
    <cfRule type="colorScale" priority="1260">
      <colorScale>
        <cfvo type="min"/>
        <cfvo type="percentile" val="50"/>
        <cfvo type="max"/>
        <color rgb="FF63BE7B"/>
        <color rgb="FFFFEB84"/>
        <color rgb="FFF8696B"/>
      </colorScale>
    </cfRule>
  </conditionalFormatting>
  <conditionalFormatting sqref="CK205">
    <cfRule type="colorScale" priority="1259">
      <colorScale>
        <cfvo type="min"/>
        <cfvo type="max"/>
        <color rgb="FFF8696B"/>
        <color rgb="FFFCFCFF"/>
      </colorScale>
    </cfRule>
  </conditionalFormatting>
  <conditionalFormatting sqref="CK205">
    <cfRule type="colorScale" priority="1257">
      <colorScale>
        <cfvo type="min"/>
        <cfvo type="percentile" val="50"/>
        <cfvo type="max"/>
        <color rgb="FFF8696B"/>
        <color rgb="FFFFEB84"/>
        <color rgb="FF63BE7B"/>
      </colorScale>
    </cfRule>
  </conditionalFormatting>
  <conditionalFormatting sqref="CK205">
    <cfRule type="colorScale" priority="1256">
      <colorScale>
        <cfvo type="min"/>
        <cfvo type="max"/>
        <color rgb="FFFCFCFF"/>
        <color rgb="FFF8696B"/>
      </colorScale>
    </cfRule>
  </conditionalFormatting>
  <conditionalFormatting sqref="BS120">
    <cfRule type="colorScale" priority="1255">
      <colorScale>
        <cfvo type="min"/>
        <cfvo type="percentile" val="50"/>
        <cfvo type="max"/>
        <color rgb="FFF8696B"/>
        <color rgb="FFFFEB84"/>
        <color rgb="FF63BE7B"/>
      </colorScale>
    </cfRule>
  </conditionalFormatting>
  <conditionalFormatting sqref="BS120">
    <cfRule type="colorScale" priority="1254">
      <colorScale>
        <cfvo type="min"/>
        <cfvo type="percentile" val="50"/>
        <cfvo type="max"/>
        <color rgb="FF63BE7B"/>
        <color rgb="FFFFEB84"/>
        <color rgb="FFF8696B"/>
      </colorScale>
    </cfRule>
  </conditionalFormatting>
  <conditionalFormatting sqref="BS120">
    <cfRule type="colorScale" priority="1251">
      <colorScale>
        <cfvo type="min"/>
        <cfvo type="max"/>
        <color rgb="FFFCFCFF"/>
        <color rgb="FFF8696B"/>
      </colorScale>
    </cfRule>
    <cfRule type="colorScale" priority="1253">
      <colorScale>
        <cfvo type="min"/>
        <cfvo type="percentile" val="50"/>
        <cfvo type="max"/>
        <color rgb="FF63BE7B"/>
        <color rgb="FFFFEB84"/>
        <color rgb="FFF8696B"/>
      </colorScale>
    </cfRule>
  </conditionalFormatting>
  <conditionalFormatting sqref="BS120">
    <cfRule type="colorScale" priority="1252">
      <colorScale>
        <cfvo type="min"/>
        <cfvo type="max"/>
        <color rgb="FFF8696B"/>
        <color rgb="FFFCFCFF"/>
      </colorScale>
    </cfRule>
  </conditionalFormatting>
  <conditionalFormatting sqref="BS120">
    <cfRule type="colorScale" priority="1250">
      <colorScale>
        <cfvo type="min"/>
        <cfvo type="percentile" val="50"/>
        <cfvo type="max"/>
        <color rgb="FFF8696B"/>
        <color rgb="FFFFEB84"/>
        <color rgb="FF63BE7B"/>
      </colorScale>
    </cfRule>
  </conditionalFormatting>
  <conditionalFormatting sqref="BS120">
    <cfRule type="colorScale" priority="1249">
      <colorScale>
        <cfvo type="min"/>
        <cfvo type="max"/>
        <color rgb="FFFCFCFF"/>
        <color rgb="FFF8696B"/>
      </colorScale>
    </cfRule>
  </conditionalFormatting>
  <conditionalFormatting sqref="BS120">
    <cfRule type="colorScale" priority="1248">
      <colorScale>
        <cfvo type="min"/>
        <cfvo type="max"/>
        <color rgb="FFFCFCFF"/>
        <color rgb="FFF8696B"/>
      </colorScale>
    </cfRule>
  </conditionalFormatting>
  <conditionalFormatting sqref="BS120">
    <cfRule type="colorScale" priority="1247">
      <colorScale>
        <cfvo type="min"/>
        <cfvo type="max"/>
        <color rgb="FFFCFCFF"/>
        <color rgb="FFF8696B"/>
      </colorScale>
    </cfRule>
  </conditionalFormatting>
  <conditionalFormatting sqref="BS120">
    <cfRule type="colorScale" priority="1246">
      <colorScale>
        <cfvo type="min"/>
        <cfvo type="max"/>
        <color rgb="FFFCFCFF"/>
        <color rgb="FFF8696B"/>
      </colorScale>
    </cfRule>
  </conditionalFormatting>
  <conditionalFormatting sqref="BC120">
    <cfRule type="colorScale" priority="1245">
      <colorScale>
        <cfvo type="min"/>
        <cfvo type="percentile" val="50"/>
        <cfvo type="max"/>
        <color rgb="FFF8696B"/>
        <color rgb="FFFFEB84"/>
        <color rgb="FF63BE7B"/>
      </colorScale>
    </cfRule>
  </conditionalFormatting>
  <conditionalFormatting sqref="BC120">
    <cfRule type="colorScale" priority="1244">
      <colorScale>
        <cfvo type="min"/>
        <cfvo type="percentile" val="50"/>
        <cfvo type="max"/>
        <color rgb="FF63BE7B"/>
        <color rgb="FFFFEB84"/>
        <color rgb="FFF8696B"/>
      </colorScale>
    </cfRule>
  </conditionalFormatting>
  <conditionalFormatting sqref="BC120">
    <cfRule type="colorScale" priority="1241">
      <colorScale>
        <cfvo type="min"/>
        <cfvo type="max"/>
        <color rgb="FFFCFCFF"/>
        <color rgb="FFF8696B"/>
      </colorScale>
    </cfRule>
    <cfRule type="colorScale" priority="1243">
      <colorScale>
        <cfvo type="min"/>
        <cfvo type="percentile" val="50"/>
        <cfvo type="max"/>
        <color rgb="FF63BE7B"/>
        <color rgb="FFFFEB84"/>
        <color rgb="FFF8696B"/>
      </colorScale>
    </cfRule>
  </conditionalFormatting>
  <conditionalFormatting sqref="BC120">
    <cfRule type="colorScale" priority="1242">
      <colorScale>
        <cfvo type="min"/>
        <cfvo type="max"/>
        <color rgb="FFF8696B"/>
        <color rgb="FFFCFCFF"/>
      </colorScale>
    </cfRule>
  </conditionalFormatting>
  <conditionalFormatting sqref="BC120">
    <cfRule type="colorScale" priority="1240">
      <colorScale>
        <cfvo type="min"/>
        <cfvo type="percentile" val="50"/>
        <cfvo type="max"/>
        <color rgb="FFF8696B"/>
        <color rgb="FFFFEB84"/>
        <color rgb="FF63BE7B"/>
      </colorScale>
    </cfRule>
  </conditionalFormatting>
  <conditionalFormatting sqref="BC120">
    <cfRule type="colorScale" priority="1239">
      <colorScale>
        <cfvo type="min"/>
        <cfvo type="max"/>
        <color rgb="FFFCFCFF"/>
        <color rgb="FFF8696B"/>
      </colorScale>
    </cfRule>
  </conditionalFormatting>
  <conditionalFormatting sqref="BC120">
    <cfRule type="colorScale" priority="1238">
      <colorScale>
        <cfvo type="min"/>
        <cfvo type="max"/>
        <color rgb="FFFCFCFF"/>
        <color rgb="FFF8696B"/>
      </colorScale>
    </cfRule>
  </conditionalFormatting>
  <conditionalFormatting sqref="BC120">
    <cfRule type="colorScale" priority="1237">
      <colorScale>
        <cfvo type="min"/>
        <cfvo type="max"/>
        <color rgb="FFFCFCFF"/>
        <color rgb="FFF8696B"/>
      </colorScale>
    </cfRule>
  </conditionalFormatting>
  <conditionalFormatting sqref="BC120">
    <cfRule type="colorScale" priority="1236">
      <colorScale>
        <cfvo type="min"/>
        <cfvo type="max"/>
        <color rgb="FFFCFCFF"/>
        <color rgb="FFF8696B"/>
      </colorScale>
    </cfRule>
  </conditionalFormatting>
  <conditionalFormatting sqref="CI120">
    <cfRule type="colorScale" priority="1235">
      <colorScale>
        <cfvo type="min"/>
        <cfvo type="percentile" val="50"/>
        <cfvo type="max"/>
        <color rgb="FFF8696B"/>
        <color rgb="FFFFEB84"/>
        <color rgb="FF63BE7B"/>
      </colorScale>
    </cfRule>
  </conditionalFormatting>
  <conditionalFormatting sqref="CI120">
    <cfRule type="colorScale" priority="1234">
      <colorScale>
        <cfvo type="min"/>
        <cfvo type="percentile" val="50"/>
        <cfvo type="max"/>
        <color rgb="FF63BE7B"/>
        <color rgb="FFFFEB84"/>
        <color rgb="FFF8696B"/>
      </colorScale>
    </cfRule>
  </conditionalFormatting>
  <conditionalFormatting sqref="CI120">
    <cfRule type="colorScale" priority="1231">
      <colorScale>
        <cfvo type="min"/>
        <cfvo type="max"/>
        <color rgb="FFFCFCFF"/>
        <color rgb="FFF8696B"/>
      </colorScale>
    </cfRule>
    <cfRule type="colorScale" priority="1233">
      <colorScale>
        <cfvo type="min"/>
        <cfvo type="percentile" val="50"/>
        <cfvo type="max"/>
        <color rgb="FF63BE7B"/>
        <color rgb="FFFFEB84"/>
        <color rgb="FFF8696B"/>
      </colorScale>
    </cfRule>
  </conditionalFormatting>
  <conditionalFormatting sqref="CI120">
    <cfRule type="colorScale" priority="1232">
      <colorScale>
        <cfvo type="min"/>
        <cfvo type="max"/>
        <color rgb="FFF8696B"/>
        <color rgb="FFFCFCFF"/>
      </colorScale>
    </cfRule>
  </conditionalFormatting>
  <conditionalFormatting sqref="CI120">
    <cfRule type="colorScale" priority="1230">
      <colorScale>
        <cfvo type="min"/>
        <cfvo type="percentile" val="50"/>
        <cfvo type="max"/>
        <color rgb="FFF8696B"/>
        <color rgb="FFFFEB84"/>
        <color rgb="FF63BE7B"/>
      </colorScale>
    </cfRule>
  </conditionalFormatting>
  <conditionalFormatting sqref="CI120">
    <cfRule type="colorScale" priority="1229">
      <colorScale>
        <cfvo type="min"/>
        <cfvo type="max"/>
        <color rgb="FFFCFCFF"/>
        <color rgb="FFF8696B"/>
      </colorScale>
    </cfRule>
  </conditionalFormatting>
  <conditionalFormatting sqref="CI120">
    <cfRule type="colorScale" priority="1228">
      <colorScale>
        <cfvo type="min"/>
        <cfvo type="max"/>
        <color rgb="FFFCFCFF"/>
        <color rgb="FFF8696B"/>
      </colorScale>
    </cfRule>
  </conditionalFormatting>
  <conditionalFormatting sqref="CI120">
    <cfRule type="colorScale" priority="1227">
      <colorScale>
        <cfvo type="min"/>
        <cfvo type="max"/>
        <color rgb="FFFCFCFF"/>
        <color rgb="FFF8696B"/>
      </colorScale>
    </cfRule>
  </conditionalFormatting>
  <conditionalFormatting sqref="CI120">
    <cfRule type="colorScale" priority="1226">
      <colorScale>
        <cfvo type="min"/>
        <cfvo type="max"/>
        <color rgb="FFFCFCFF"/>
        <color rgb="FFF8696B"/>
      </colorScale>
    </cfRule>
  </conditionalFormatting>
  <conditionalFormatting sqref="CY120">
    <cfRule type="colorScale" priority="1225">
      <colorScale>
        <cfvo type="min"/>
        <cfvo type="percentile" val="50"/>
        <cfvo type="max"/>
        <color rgb="FFF8696B"/>
        <color rgb="FFFFEB84"/>
        <color rgb="FF63BE7B"/>
      </colorScale>
    </cfRule>
  </conditionalFormatting>
  <conditionalFormatting sqref="CY120">
    <cfRule type="colorScale" priority="1224">
      <colorScale>
        <cfvo type="min"/>
        <cfvo type="percentile" val="50"/>
        <cfvo type="max"/>
        <color rgb="FF63BE7B"/>
        <color rgb="FFFFEB84"/>
        <color rgb="FFF8696B"/>
      </colorScale>
    </cfRule>
  </conditionalFormatting>
  <conditionalFormatting sqref="CY120">
    <cfRule type="colorScale" priority="1221">
      <colorScale>
        <cfvo type="min"/>
        <cfvo type="max"/>
        <color rgb="FFFCFCFF"/>
        <color rgb="FFF8696B"/>
      </colorScale>
    </cfRule>
    <cfRule type="colorScale" priority="1223">
      <colorScale>
        <cfvo type="min"/>
        <cfvo type="percentile" val="50"/>
        <cfvo type="max"/>
        <color rgb="FF63BE7B"/>
        <color rgb="FFFFEB84"/>
        <color rgb="FFF8696B"/>
      </colorScale>
    </cfRule>
  </conditionalFormatting>
  <conditionalFormatting sqref="CY120">
    <cfRule type="colorScale" priority="1222">
      <colorScale>
        <cfvo type="min"/>
        <cfvo type="max"/>
        <color rgb="FFF8696B"/>
        <color rgb="FFFCFCFF"/>
      </colorScale>
    </cfRule>
  </conditionalFormatting>
  <conditionalFormatting sqref="CY120">
    <cfRule type="colorScale" priority="1220">
      <colorScale>
        <cfvo type="min"/>
        <cfvo type="percentile" val="50"/>
        <cfvo type="max"/>
        <color rgb="FFF8696B"/>
        <color rgb="FFFFEB84"/>
        <color rgb="FF63BE7B"/>
      </colorScale>
    </cfRule>
  </conditionalFormatting>
  <conditionalFormatting sqref="CY120">
    <cfRule type="colorScale" priority="1219">
      <colorScale>
        <cfvo type="min"/>
        <cfvo type="max"/>
        <color rgb="FFFCFCFF"/>
        <color rgb="FFF8696B"/>
      </colorScale>
    </cfRule>
  </conditionalFormatting>
  <conditionalFormatting sqref="CY120">
    <cfRule type="colorScale" priority="1218">
      <colorScale>
        <cfvo type="min"/>
        <cfvo type="max"/>
        <color rgb="FFFCFCFF"/>
        <color rgb="FFF8696B"/>
      </colorScale>
    </cfRule>
  </conditionalFormatting>
  <conditionalFormatting sqref="CY120">
    <cfRule type="colorScale" priority="1217">
      <colorScale>
        <cfvo type="min"/>
        <cfvo type="max"/>
        <color rgb="FFFCFCFF"/>
        <color rgb="FFF8696B"/>
      </colorScale>
    </cfRule>
  </conditionalFormatting>
  <conditionalFormatting sqref="CY120">
    <cfRule type="colorScale" priority="1216">
      <colorScale>
        <cfvo type="min"/>
        <cfvo type="max"/>
        <color rgb="FFFCFCFF"/>
        <color rgb="FFF8696B"/>
      </colorScale>
    </cfRule>
  </conditionalFormatting>
  <conditionalFormatting sqref="DO120">
    <cfRule type="colorScale" priority="1215">
      <colorScale>
        <cfvo type="min"/>
        <cfvo type="percentile" val="50"/>
        <cfvo type="max"/>
        <color rgb="FFF8696B"/>
        <color rgb="FFFFEB84"/>
        <color rgb="FF63BE7B"/>
      </colorScale>
    </cfRule>
  </conditionalFormatting>
  <conditionalFormatting sqref="DO120">
    <cfRule type="colorScale" priority="1214">
      <colorScale>
        <cfvo type="min"/>
        <cfvo type="percentile" val="50"/>
        <cfvo type="max"/>
        <color rgb="FF63BE7B"/>
        <color rgb="FFFFEB84"/>
        <color rgb="FFF8696B"/>
      </colorScale>
    </cfRule>
  </conditionalFormatting>
  <conditionalFormatting sqref="DO120">
    <cfRule type="colorScale" priority="1211">
      <colorScale>
        <cfvo type="min"/>
        <cfvo type="max"/>
        <color rgb="FFFCFCFF"/>
        <color rgb="FFF8696B"/>
      </colorScale>
    </cfRule>
    <cfRule type="colorScale" priority="1213">
      <colorScale>
        <cfvo type="min"/>
        <cfvo type="percentile" val="50"/>
        <cfvo type="max"/>
        <color rgb="FF63BE7B"/>
        <color rgb="FFFFEB84"/>
        <color rgb="FFF8696B"/>
      </colorScale>
    </cfRule>
  </conditionalFormatting>
  <conditionalFormatting sqref="DO120">
    <cfRule type="colorScale" priority="1212">
      <colorScale>
        <cfvo type="min"/>
        <cfvo type="max"/>
        <color rgb="FFF8696B"/>
        <color rgb="FFFCFCFF"/>
      </colorScale>
    </cfRule>
  </conditionalFormatting>
  <conditionalFormatting sqref="DO120">
    <cfRule type="colorScale" priority="1210">
      <colorScale>
        <cfvo type="min"/>
        <cfvo type="percentile" val="50"/>
        <cfvo type="max"/>
        <color rgb="FFF8696B"/>
        <color rgb="FFFFEB84"/>
        <color rgb="FF63BE7B"/>
      </colorScale>
    </cfRule>
  </conditionalFormatting>
  <conditionalFormatting sqref="DO120">
    <cfRule type="colorScale" priority="1209">
      <colorScale>
        <cfvo type="min"/>
        <cfvo type="max"/>
        <color rgb="FFFCFCFF"/>
        <color rgb="FFF8696B"/>
      </colorScale>
    </cfRule>
  </conditionalFormatting>
  <conditionalFormatting sqref="DO120">
    <cfRule type="colorScale" priority="1208">
      <colorScale>
        <cfvo type="min"/>
        <cfvo type="max"/>
        <color rgb="FFFCFCFF"/>
        <color rgb="FFF8696B"/>
      </colorScale>
    </cfRule>
  </conditionalFormatting>
  <conditionalFormatting sqref="DO120">
    <cfRule type="colorScale" priority="1207">
      <colorScale>
        <cfvo type="min"/>
        <cfvo type="max"/>
        <color rgb="FFFCFCFF"/>
        <color rgb="FFF8696B"/>
      </colorScale>
    </cfRule>
  </conditionalFormatting>
  <conditionalFormatting sqref="DO120">
    <cfRule type="colorScale" priority="1206">
      <colorScale>
        <cfvo type="min"/>
        <cfvo type="max"/>
        <color rgb="FFFCFCFF"/>
        <color rgb="FFF8696B"/>
      </colorScale>
    </cfRule>
  </conditionalFormatting>
  <conditionalFormatting sqref="DQ119">
    <cfRule type="colorScale" priority="1205">
      <colorScale>
        <cfvo type="min"/>
        <cfvo type="percentile" val="50"/>
        <cfvo type="max"/>
        <color rgb="FFF8696B"/>
        <color rgb="FFFFEB84"/>
        <color rgb="FF63BE7B"/>
      </colorScale>
    </cfRule>
  </conditionalFormatting>
  <conditionalFormatting sqref="DQ119">
    <cfRule type="colorScale" priority="1204">
      <colorScale>
        <cfvo type="min"/>
        <cfvo type="percentile" val="50"/>
        <cfvo type="max"/>
        <color rgb="FFF8696B"/>
        <color rgb="FFFFEB84"/>
        <color rgb="FF63BE7B"/>
      </colorScale>
    </cfRule>
  </conditionalFormatting>
  <conditionalFormatting sqref="DQ119">
    <cfRule type="colorScale" priority="1203">
      <colorScale>
        <cfvo type="min"/>
        <cfvo type="percentile" val="50"/>
        <cfvo type="max"/>
        <color rgb="FF63BE7B"/>
        <color rgb="FFFFEB84"/>
        <color rgb="FFF8696B"/>
      </colorScale>
    </cfRule>
  </conditionalFormatting>
  <conditionalFormatting sqref="DQ119">
    <cfRule type="colorScale" priority="1200">
      <colorScale>
        <cfvo type="min"/>
        <cfvo type="max"/>
        <color rgb="FFFCFCFF"/>
        <color rgb="FFF8696B"/>
      </colorScale>
    </cfRule>
    <cfRule type="colorScale" priority="1202">
      <colorScale>
        <cfvo type="min"/>
        <cfvo type="percentile" val="50"/>
        <cfvo type="max"/>
        <color rgb="FF63BE7B"/>
        <color rgb="FFFFEB84"/>
        <color rgb="FFF8696B"/>
      </colorScale>
    </cfRule>
  </conditionalFormatting>
  <conditionalFormatting sqref="DQ119">
    <cfRule type="colorScale" priority="1201">
      <colorScale>
        <cfvo type="min"/>
        <cfvo type="max"/>
        <color rgb="FFF8696B"/>
        <color rgb="FFFCFCFF"/>
      </colorScale>
    </cfRule>
  </conditionalFormatting>
  <conditionalFormatting sqref="DQ119">
    <cfRule type="colorScale" priority="1199">
      <colorScale>
        <cfvo type="min"/>
        <cfvo type="percentile" val="50"/>
        <cfvo type="max"/>
        <color rgb="FFF8696B"/>
        <color rgb="FFFFEB84"/>
        <color rgb="FF63BE7B"/>
      </colorScale>
    </cfRule>
  </conditionalFormatting>
  <conditionalFormatting sqref="DQ119">
    <cfRule type="colorScale" priority="1198">
      <colorScale>
        <cfvo type="min"/>
        <cfvo type="max"/>
        <color rgb="FFFCFCFF"/>
        <color rgb="FFF8696B"/>
      </colorScale>
    </cfRule>
  </conditionalFormatting>
  <conditionalFormatting sqref="EG76">
    <cfRule type="colorScale" priority="1197">
      <colorScale>
        <cfvo type="min"/>
        <cfvo type="percentile" val="50"/>
        <cfvo type="max"/>
        <color rgb="FFF8696B"/>
        <color rgb="FFFFEB84"/>
        <color rgb="FF63BE7B"/>
      </colorScale>
    </cfRule>
  </conditionalFormatting>
  <conditionalFormatting sqref="EG76">
    <cfRule type="colorScale" priority="1196">
      <colorScale>
        <cfvo type="min"/>
        <cfvo type="percentile" val="50"/>
        <cfvo type="max"/>
        <color rgb="FFF8696B"/>
        <color rgb="FFFFEB84"/>
        <color rgb="FF63BE7B"/>
      </colorScale>
    </cfRule>
  </conditionalFormatting>
  <conditionalFormatting sqref="EG76">
    <cfRule type="colorScale" priority="1195">
      <colorScale>
        <cfvo type="min"/>
        <cfvo type="percentile" val="50"/>
        <cfvo type="max"/>
        <color rgb="FF63BE7B"/>
        <color rgb="FFFFEB84"/>
        <color rgb="FFF8696B"/>
      </colorScale>
    </cfRule>
  </conditionalFormatting>
  <conditionalFormatting sqref="EG76">
    <cfRule type="colorScale" priority="1192">
      <colorScale>
        <cfvo type="min"/>
        <cfvo type="max"/>
        <color rgb="FFFCFCFF"/>
        <color rgb="FFF8696B"/>
      </colorScale>
    </cfRule>
    <cfRule type="colorScale" priority="1194">
      <colorScale>
        <cfvo type="min"/>
        <cfvo type="percentile" val="50"/>
        <cfvo type="max"/>
        <color rgb="FF63BE7B"/>
        <color rgb="FFFFEB84"/>
        <color rgb="FFF8696B"/>
      </colorScale>
    </cfRule>
  </conditionalFormatting>
  <conditionalFormatting sqref="EG76">
    <cfRule type="colorScale" priority="1193">
      <colorScale>
        <cfvo type="min"/>
        <cfvo type="max"/>
        <color rgb="FFF8696B"/>
        <color rgb="FFFCFCFF"/>
      </colorScale>
    </cfRule>
  </conditionalFormatting>
  <conditionalFormatting sqref="EG76">
    <cfRule type="colorScale" priority="1191">
      <colorScale>
        <cfvo type="min"/>
        <cfvo type="percentile" val="50"/>
        <cfvo type="max"/>
        <color rgb="FFF8696B"/>
        <color rgb="FFFFEB84"/>
        <color rgb="FF63BE7B"/>
      </colorScale>
    </cfRule>
  </conditionalFormatting>
  <conditionalFormatting sqref="EG76">
    <cfRule type="colorScale" priority="1190">
      <colorScale>
        <cfvo type="min"/>
        <cfvo type="max"/>
        <color rgb="FFFCFCFF"/>
        <color rgb="FFF8696B"/>
      </colorScale>
    </cfRule>
  </conditionalFormatting>
  <conditionalFormatting sqref="AC250">
    <cfRule type="colorScale" priority="1189">
      <colorScale>
        <cfvo type="min"/>
        <cfvo type="percentile" val="50"/>
        <cfvo type="max"/>
        <color rgb="FFF8696B"/>
        <color rgb="FFFFEB84"/>
        <color rgb="FF63BE7B"/>
      </colorScale>
    </cfRule>
  </conditionalFormatting>
  <conditionalFormatting sqref="AC250">
    <cfRule type="colorScale" priority="1188">
      <colorScale>
        <cfvo type="min"/>
        <cfvo type="percentile" val="50"/>
        <cfvo type="max"/>
        <color rgb="FFF8696B"/>
        <color rgb="FFFFEB84"/>
        <color rgb="FF63BE7B"/>
      </colorScale>
    </cfRule>
  </conditionalFormatting>
  <conditionalFormatting sqref="AC250">
    <cfRule type="colorScale" priority="1187">
      <colorScale>
        <cfvo type="min"/>
        <cfvo type="percentile" val="50"/>
        <cfvo type="max"/>
        <color rgb="FF63BE7B"/>
        <color rgb="FFFFEB84"/>
        <color rgb="FFF8696B"/>
      </colorScale>
    </cfRule>
  </conditionalFormatting>
  <conditionalFormatting sqref="AC250">
    <cfRule type="colorScale" priority="1184">
      <colorScale>
        <cfvo type="min"/>
        <cfvo type="max"/>
        <color rgb="FFFCFCFF"/>
        <color rgb="FFF8696B"/>
      </colorScale>
    </cfRule>
    <cfRule type="colorScale" priority="1186">
      <colorScale>
        <cfvo type="min"/>
        <cfvo type="percentile" val="50"/>
        <cfvo type="max"/>
        <color rgb="FF63BE7B"/>
        <color rgb="FFFFEB84"/>
        <color rgb="FFF8696B"/>
      </colorScale>
    </cfRule>
  </conditionalFormatting>
  <conditionalFormatting sqref="AC250">
    <cfRule type="colorScale" priority="1185">
      <colorScale>
        <cfvo type="min"/>
        <cfvo type="max"/>
        <color rgb="FFF8696B"/>
        <color rgb="FFFCFCFF"/>
      </colorScale>
    </cfRule>
  </conditionalFormatting>
  <conditionalFormatting sqref="AC250">
    <cfRule type="colorScale" priority="1183">
      <colorScale>
        <cfvo type="min"/>
        <cfvo type="percentile" val="50"/>
        <cfvo type="max"/>
        <color rgb="FFF8696B"/>
        <color rgb="FFFFEB84"/>
        <color rgb="FF63BE7B"/>
      </colorScale>
    </cfRule>
  </conditionalFormatting>
  <conditionalFormatting sqref="AC250">
    <cfRule type="colorScale" priority="1182">
      <colorScale>
        <cfvo type="min"/>
        <cfvo type="max"/>
        <color rgb="FFFCFCFF"/>
        <color rgb="FFF8696B"/>
      </colorScale>
    </cfRule>
  </conditionalFormatting>
  <conditionalFormatting sqref="AS250">
    <cfRule type="colorScale" priority="1181">
      <colorScale>
        <cfvo type="min"/>
        <cfvo type="percentile" val="50"/>
        <cfvo type="max"/>
        <color rgb="FFF8696B"/>
        <color rgb="FFFFEB84"/>
        <color rgb="FF63BE7B"/>
      </colorScale>
    </cfRule>
  </conditionalFormatting>
  <conditionalFormatting sqref="AS250">
    <cfRule type="colorScale" priority="1180">
      <colorScale>
        <cfvo type="min"/>
        <cfvo type="percentile" val="50"/>
        <cfvo type="max"/>
        <color rgb="FFF8696B"/>
        <color rgb="FFFFEB84"/>
        <color rgb="FF63BE7B"/>
      </colorScale>
    </cfRule>
  </conditionalFormatting>
  <conditionalFormatting sqref="AS250">
    <cfRule type="colorScale" priority="1179">
      <colorScale>
        <cfvo type="min"/>
        <cfvo type="percentile" val="50"/>
        <cfvo type="max"/>
        <color rgb="FF63BE7B"/>
        <color rgb="FFFFEB84"/>
        <color rgb="FFF8696B"/>
      </colorScale>
    </cfRule>
  </conditionalFormatting>
  <conditionalFormatting sqref="AS250">
    <cfRule type="colorScale" priority="1176">
      <colorScale>
        <cfvo type="min"/>
        <cfvo type="max"/>
        <color rgb="FFFCFCFF"/>
        <color rgb="FFF8696B"/>
      </colorScale>
    </cfRule>
    <cfRule type="colorScale" priority="1178">
      <colorScale>
        <cfvo type="min"/>
        <cfvo type="percentile" val="50"/>
        <cfvo type="max"/>
        <color rgb="FF63BE7B"/>
        <color rgb="FFFFEB84"/>
        <color rgb="FFF8696B"/>
      </colorScale>
    </cfRule>
  </conditionalFormatting>
  <conditionalFormatting sqref="AS250">
    <cfRule type="colorScale" priority="1177">
      <colorScale>
        <cfvo type="min"/>
        <cfvo type="max"/>
        <color rgb="FFF8696B"/>
        <color rgb="FFFCFCFF"/>
      </colorScale>
    </cfRule>
  </conditionalFormatting>
  <conditionalFormatting sqref="AS250">
    <cfRule type="colorScale" priority="1175">
      <colorScale>
        <cfvo type="min"/>
        <cfvo type="percentile" val="50"/>
        <cfvo type="max"/>
        <color rgb="FFF8696B"/>
        <color rgb="FFFFEB84"/>
        <color rgb="FF63BE7B"/>
      </colorScale>
    </cfRule>
  </conditionalFormatting>
  <conditionalFormatting sqref="AS250">
    <cfRule type="colorScale" priority="1174">
      <colorScale>
        <cfvo type="min"/>
        <cfvo type="max"/>
        <color rgb="FFFCFCFF"/>
        <color rgb="FFF8696B"/>
      </colorScale>
    </cfRule>
  </conditionalFormatting>
  <conditionalFormatting sqref="AQ250">
    <cfRule type="colorScale" priority="1173">
      <colorScale>
        <cfvo type="min"/>
        <cfvo type="percentile" val="50"/>
        <cfvo type="max"/>
        <color rgb="FFF8696B"/>
        <color rgb="FFFFEB84"/>
        <color rgb="FF63BE7B"/>
      </colorScale>
    </cfRule>
  </conditionalFormatting>
  <conditionalFormatting sqref="AQ250">
    <cfRule type="colorScale" priority="1172">
      <colorScale>
        <cfvo type="min"/>
        <cfvo type="percentile" val="50"/>
        <cfvo type="max"/>
        <color rgb="FFF8696B"/>
        <color rgb="FFFFEB84"/>
        <color rgb="FF63BE7B"/>
      </colorScale>
    </cfRule>
  </conditionalFormatting>
  <conditionalFormatting sqref="AQ250">
    <cfRule type="colorScale" priority="1171">
      <colorScale>
        <cfvo type="min"/>
        <cfvo type="percentile" val="50"/>
        <cfvo type="max"/>
        <color rgb="FF63BE7B"/>
        <color rgb="FFFFEB84"/>
        <color rgb="FFF8696B"/>
      </colorScale>
    </cfRule>
  </conditionalFormatting>
  <conditionalFormatting sqref="AQ250">
    <cfRule type="colorScale" priority="1168">
      <colorScale>
        <cfvo type="min"/>
        <cfvo type="max"/>
        <color rgb="FFFCFCFF"/>
        <color rgb="FFF8696B"/>
      </colorScale>
    </cfRule>
    <cfRule type="colorScale" priority="1170">
      <colorScale>
        <cfvo type="min"/>
        <cfvo type="percentile" val="50"/>
        <cfvo type="max"/>
        <color rgb="FF63BE7B"/>
        <color rgb="FFFFEB84"/>
        <color rgb="FFF8696B"/>
      </colorScale>
    </cfRule>
  </conditionalFormatting>
  <conditionalFormatting sqref="AQ250">
    <cfRule type="colorScale" priority="1169">
      <colorScale>
        <cfvo type="min"/>
        <cfvo type="max"/>
        <color rgb="FFF8696B"/>
        <color rgb="FFFCFCFF"/>
      </colorScale>
    </cfRule>
  </conditionalFormatting>
  <conditionalFormatting sqref="AQ250">
    <cfRule type="colorScale" priority="1167">
      <colorScale>
        <cfvo type="min"/>
        <cfvo type="percentile" val="50"/>
        <cfvo type="max"/>
        <color rgb="FFF8696B"/>
        <color rgb="FFFFEB84"/>
        <color rgb="FF63BE7B"/>
      </colorScale>
    </cfRule>
  </conditionalFormatting>
  <conditionalFormatting sqref="AQ250">
    <cfRule type="colorScale" priority="1166">
      <colorScale>
        <cfvo type="min"/>
        <cfvo type="max"/>
        <color rgb="FFFCFCFF"/>
        <color rgb="FFF8696B"/>
      </colorScale>
    </cfRule>
  </conditionalFormatting>
  <conditionalFormatting sqref="AQ207">
    <cfRule type="colorScale" priority="1165">
      <colorScale>
        <cfvo type="min"/>
        <cfvo type="percentile" val="50"/>
        <cfvo type="max"/>
        <color rgb="FFF8696B"/>
        <color rgb="FFFFEB84"/>
        <color rgb="FF63BE7B"/>
      </colorScale>
    </cfRule>
  </conditionalFormatting>
  <conditionalFormatting sqref="AQ207">
    <cfRule type="colorScale" priority="1164">
      <colorScale>
        <cfvo type="min"/>
        <cfvo type="percentile" val="50"/>
        <cfvo type="max"/>
        <color rgb="FFF8696B"/>
        <color rgb="FFFFEB84"/>
        <color rgb="FF63BE7B"/>
      </colorScale>
    </cfRule>
  </conditionalFormatting>
  <conditionalFormatting sqref="AQ207">
    <cfRule type="colorScale" priority="1163">
      <colorScale>
        <cfvo type="min"/>
        <cfvo type="percentile" val="50"/>
        <cfvo type="max"/>
        <color rgb="FF63BE7B"/>
        <color rgb="FFFFEB84"/>
        <color rgb="FFF8696B"/>
      </colorScale>
    </cfRule>
  </conditionalFormatting>
  <conditionalFormatting sqref="AQ207">
    <cfRule type="colorScale" priority="1160">
      <colorScale>
        <cfvo type="min"/>
        <cfvo type="max"/>
        <color rgb="FFFCFCFF"/>
        <color rgb="FFF8696B"/>
      </colorScale>
    </cfRule>
    <cfRule type="colorScale" priority="1162">
      <colorScale>
        <cfvo type="min"/>
        <cfvo type="percentile" val="50"/>
        <cfvo type="max"/>
        <color rgb="FF63BE7B"/>
        <color rgb="FFFFEB84"/>
        <color rgb="FFF8696B"/>
      </colorScale>
    </cfRule>
  </conditionalFormatting>
  <conditionalFormatting sqref="AQ207">
    <cfRule type="colorScale" priority="1161">
      <colorScale>
        <cfvo type="min"/>
        <cfvo type="max"/>
        <color rgb="FFF8696B"/>
        <color rgb="FFFCFCFF"/>
      </colorScale>
    </cfRule>
  </conditionalFormatting>
  <conditionalFormatting sqref="AQ207">
    <cfRule type="colorScale" priority="1159">
      <colorScale>
        <cfvo type="min"/>
        <cfvo type="percentile" val="50"/>
        <cfvo type="max"/>
        <color rgb="FFF8696B"/>
        <color rgb="FFFFEB84"/>
        <color rgb="FF63BE7B"/>
      </colorScale>
    </cfRule>
  </conditionalFormatting>
  <conditionalFormatting sqref="AQ207">
    <cfRule type="colorScale" priority="1158">
      <colorScale>
        <cfvo type="min"/>
        <cfvo type="max"/>
        <color rgb="FFFCFCFF"/>
        <color rgb="FFF8696B"/>
      </colorScale>
    </cfRule>
  </conditionalFormatting>
  <conditionalFormatting sqref="AO207">
    <cfRule type="colorScale" priority="1157">
      <colorScale>
        <cfvo type="min"/>
        <cfvo type="percentile" val="50"/>
        <cfvo type="max"/>
        <color rgb="FFF8696B"/>
        <color rgb="FFFFEB84"/>
        <color rgb="FF63BE7B"/>
      </colorScale>
    </cfRule>
  </conditionalFormatting>
  <conditionalFormatting sqref="AO207">
    <cfRule type="colorScale" priority="1156">
      <colorScale>
        <cfvo type="min"/>
        <cfvo type="percentile" val="50"/>
        <cfvo type="max"/>
        <color rgb="FFF8696B"/>
        <color rgb="FFFFEB84"/>
        <color rgb="FF63BE7B"/>
      </colorScale>
    </cfRule>
  </conditionalFormatting>
  <conditionalFormatting sqref="AO207">
    <cfRule type="colorScale" priority="1155">
      <colorScale>
        <cfvo type="min"/>
        <cfvo type="percentile" val="50"/>
        <cfvo type="max"/>
        <color rgb="FF63BE7B"/>
        <color rgb="FFFFEB84"/>
        <color rgb="FFF8696B"/>
      </colorScale>
    </cfRule>
  </conditionalFormatting>
  <conditionalFormatting sqref="AO207">
    <cfRule type="colorScale" priority="1152">
      <colorScale>
        <cfvo type="min"/>
        <cfvo type="max"/>
        <color rgb="FFFCFCFF"/>
        <color rgb="FFF8696B"/>
      </colorScale>
    </cfRule>
    <cfRule type="colorScale" priority="1154">
      <colorScale>
        <cfvo type="min"/>
        <cfvo type="percentile" val="50"/>
        <cfvo type="max"/>
        <color rgb="FF63BE7B"/>
        <color rgb="FFFFEB84"/>
        <color rgb="FFF8696B"/>
      </colorScale>
    </cfRule>
  </conditionalFormatting>
  <conditionalFormatting sqref="AO207">
    <cfRule type="colorScale" priority="1153">
      <colorScale>
        <cfvo type="min"/>
        <cfvo type="max"/>
        <color rgb="FFF8696B"/>
        <color rgb="FFFCFCFF"/>
      </colorScale>
    </cfRule>
  </conditionalFormatting>
  <conditionalFormatting sqref="AO207">
    <cfRule type="colorScale" priority="1151">
      <colorScale>
        <cfvo type="min"/>
        <cfvo type="percentile" val="50"/>
        <cfvo type="max"/>
        <color rgb="FFF8696B"/>
        <color rgb="FFFFEB84"/>
        <color rgb="FF63BE7B"/>
      </colorScale>
    </cfRule>
  </conditionalFormatting>
  <conditionalFormatting sqref="AO207">
    <cfRule type="colorScale" priority="1150">
      <colorScale>
        <cfvo type="min"/>
        <cfvo type="max"/>
        <color rgb="FFFCFCFF"/>
        <color rgb="FFF8696B"/>
      </colorScale>
    </cfRule>
  </conditionalFormatting>
  <conditionalFormatting sqref="AY241">
    <cfRule type="colorScale" priority="1149">
      <colorScale>
        <cfvo type="min"/>
        <cfvo type="percentile" val="50"/>
        <cfvo type="max"/>
        <color rgb="FFF8696B"/>
        <color rgb="FFFFEB84"/>
        <color rgb="FF63BE7B"/>
      </colorScale>
    </cfRule>
  </conditionalFormatting>
  <conditionalFormatting sqref="AY241">
    <cfRule type="colorScale" priority="1148">
      <colorScale>
        <cfvo type="min"/>
        <cfvo type="percentile" val="50"/>
        <cfvo type="max"/>
        <color rgb="FF63BE7B"/>
        <color rgb="FFFFEB84"/>
        <color rgb="FFF8696B"/>
      </colorScale>
    </cfRule>
  </conditionalFormatting>
  <conditionalFormatting sqref="AY241">
    <cfRule type="colorScale" priority="1145">
      <colorScale>
        <cfvo type="min"/>
        <cfvo type="max"/>
        <color rgb="FFFCFCFF"/>
        <color rgb="FFF8696B"/>
      </colorScale>
    </cfRule>
    <cfRule type="colorScale" priority="1147">
      <colorScale>
        <cfvo type="min"/>
        <cfvo type="percentile" val="50"/>
        <cfvo type="max"/>
        <color rgb="FF63BE7B"/>
        <color rgb="FFFFEB84"/>
        <color rgb="FFF8696B"/>
      </colorScale>
    </cfRule>
  </conditionalFormatting>
  <conditionalFormatting sqref="AY241">
    <cfRule type="colorScale" priority="1146">
      <colorScale>
        <cfvo type="min"/>
        <cfvo type="max"/>
        <color rgb="FFF8696B"/>
        <color rgb="FFFCFCFF"/>
      </colorScale>
    </cfRule>
  </conditionalFormatting>
  <conditionalFormatting sqref="AY241">
    <cfRule type="colorScale" priority="1144">
      <colorScale>
        <cfvo type="min"/>
        <cfvo type="percentile" val="50"/>
        <cfvo type="max"/>
        <color rgb="FFF8696B"/>
        <color rgb="FFFFEB84"/>
        <color rgb="FF63BE7B"/>
      </colorScale>
    </cfRule>
  </conditionalFormatting>
  <conditionalFormatting sqref="AY241">
    <cfRule type="colorScale" priority="1143">
      <colorScale>
        <cfvo type="min"/>
        <cfvo type="max"/>
        <color rgb="FFFCFCFF"/>
        <color rgb="FFF8696B"/>
      </colorScale>
    </cfRule>
  </conditionalFormatting>
  <conditionalFormatting sqref="BA241">
    <cfRule type="colorScale" priority="1142">
      <colorScale>
        <cfvo type="min"/>
        <cfvo type="percentile" val="50"/>
        <cfvo type="max"/>
        <color rgb="FFF8696B"/>
        <color rgb="FFFFEB84"/>
        <color rgb="FF63BE7B"/>
      </colorScale>
    </cfRule>
  </conditionalFormatting>
  <conditionalFormatting sqref="BA241">
    <cfRule type="colorScale" priority="1141">
      <colorScale>
        <cfvo type="min"/>
        <cfvo type="percentile" val="50"/>
        <cfvo type="max"/>
        <color rgb="FF63BE7B"/>
        <color rgb="FFFFEB84"/>
        <color rgb="FFF8696B"/>
      </colorScale>
    </cfRule>
  </conditionalFormatting>
  <conditionalFormatting sqref="BA241">
    <cfRule type="colorScale" priority="1138">
      <colorScale>
        <cfvo type="min"/>
        <cfvo type="max"/>
        <color rgb="FFFCFCFF"/>
        <color rgb="FFF8696B"/>
      </colorScale>
    </cfRule>
    <cfRule type="colorScale" priority="1140">
      <colorScale>
        <cfvo type="min"/>
        <cfvo type="percentile" val="50"/>
        <cfvo type="max"/>
        <color rgb="FF63BE7B"/>
        <color rgb="FFFFEB84"/>
        <color rgb="FFF8696B"/>
      </colorScale>
    </cfRule>
  </conditionalFormatting>
  <conditionalFormatting sqref="BA241">
    <cfRule type="colorScale" priority="1139">
      <colorScale>
        <cfvo type="min"/>
        <cfvo type="max"/>
        <color rgb="FFF8696B"/>
        <color rgb="FFFCFCFF"/>
      </colorScale>
    </cfRule>
  </conditionalFormatting>
  <conditionalFormatting sqref="BA241">
    <cfRule type="colorScale" priority="1137">
      <colorScale>
        <cfvo type="min"/>
        <cfvo type="percentile" val="50"/>
        <cfvo type="max"/>
        <color rgb="FFF8696B"/>
        <color rgb="FFFFEB84"/>
        <color rgb="FF63BE7B"/>
      </colorScale>
    </cfRule>
  </conditionalFormatting>
  <conditionalFormatting sqref="BA241">
    <cfRule type="colorScale" priority="1136">
      <colorScale>
        <cfvo type="min"/>
        <cfvo type="max"/>
        <color rgb="FFFCFCFF"/>
        <color rgb="FFF8696B"/>
      </colorScale>
    </cfRule>
  </conditionalFormatting>
  <conditionalFormatting sqref="AI241">
    <cfRule type="colorScale" priority="1135">
      <colorScale>
        <cfvo type="min"/>
        <cfvo type="percentile" val="50"/>
        <cfvo type="max"/>
        <color rgb="FFF8696B"/>
        <color rgb="FFFFEB84"/>
        <color rgb="FF63BE7B"/>
      </colorScale>
    </cfRule>
  </conditionalFormatting>
  <conditionalFormatting sqref="AI241">
    <cfRule type="colorScale" priority="1134">
      <colorScale>
        <cfvo type="min"/>
        <cfvo type="percentile" val="50"/>
        <cfvo type="max"/>
        <color rgb="FF63BE7B"/>
        <color rgb="FFFFEB84"/>
        <color rgb="FFF8696B"/>
      </colorScale>
    </cfRule>
  </conditionalFormatting>
  <conditionalFormatting sqref="AI241">
    <cfRule type="colorScale" priority="1131">
      <colorScale>
        <cfvo type="min"/>
        <cfvo type="max"/>
        <color rgb="FFFCFCFF"/>
        <color rgb="FFF8696B"/>
      </colorScale>
    </cfRule>
    <cfRule type="colorScale" priority="1133">
      <colorScale>
        <cfvo type="min"/>
        <cfvo type="percentile" val="50"/>
        <cfvo type="max"/>
        <color rgb="FF63BE7B"/>
        <color rgb="FFFFEB84"/>
        <color rgb="FFF8696B"/>
      </colorScale>
    </cfRule>
  </conditionalFormatting>
  <conditionalFormatting sqref="AI241">
    <cfRule type="colorScale" priority="1132">
      <colorScale>
        <cfvo type="min"/>
        <cfvo type="max"/>
        <color rgb="FFF8696B"/>
        <color rgb="FFFCFCFF"/>
      </colorScale>
    </cfRule>
  </conditionalFormatting>
  <conditionalFormatting sqref="AI241">
    <cfRule type="colorScale" priority="1130">
      <colorScale>
        <cfvo type="min"/>
        <cfvo type="percentile" val="50"/>
        <cfvo type="max"/>
        <color rgb="FFF8696B"/>
        <color rgb="FFFFEB84"/>
        <color rgb="FF63BE7B"/>
      </colorScale>
    </cfRule>
  </conditionalFormatting>
  <conditionalFormatting sqref="AI241">
    <cfRule type="colorScale" priority="1129">
      <colorScale>
        <cfvo type="min"/>
        <cfvo type="max"/>
        <color rgb="FFFCFCFF"/>
        <color rgb="FFF8696B"/>
      </colorScale>
    </cfRule>
  </conditionalFormatting>
  <conditionalFormatting sqref="AK241">
    <cfRule type="colorScale" priority="1128">
      <colorScale>
        <cfvo type="min"/>
        <cfvo type="percentile" val="50"/>
        <cfvo type="max"/>
        <color rgb="FFF8696B"/>
        <color rgb="FFFFEB84"/>
        <color rgb="FF63BE7B"/>
      </colorScale>
    </cfRule>
  </conditionalFormatting>
  <conditionalFormatting sqref="AK241">
    <cfRule type="colorScale" priority="1127">
      <colorScale>
        <cfvo type="min"/>
        <cfvo type="percentile" val="50"/>
        <cfvo type="max"/>
        <color rgb="FF63BE7B"/>
        <color rgb="FFFFEB84"/>
        <color rgb="FFF8696B"/>
      </colorScale>
    </cfRule>
  </conditionalFormatting>
  <conditionalFormatting sqref="AK241">
    <cfRule type="colorScale" priority="1124">
      <colorScale>
        <cfvo type="min"/>
        <cfvo type="max"/>
        <color rgb="FFFCFCFF"/>
        <color rgb="FFF8696B"/>
      </colorScale>
    </cfRule>
    <cfRule type="colorScale" priority="1126">
      <colorScale>
        <cfvo type="min"/>
        <cfvo type="percentile" val="50"/>
        <cfvo type="max"/>
        <color rgb="FF63BE7B"/>
        <color rgb="FFFFEB84"/>
        <color rgb="FFF8696B"/>
      </colorScale>
    </cfRule>
  </conditionalFormatting>
  <conditionalFormatting sqref="AK241">
    <cfRule type="colorScale" priority="1125">
      <colorScale>
        <cfvo type="min"/>
        <cfvo type="max"/>
        <color rgb="FFF8696B"/>
        <color rgb="FFFCFCFF"/>
      </colorScale>
    </cfRule>
  </conditionalFormatting>
  <conditionalFormatting sqref="AK241">
    <cfRule type="colorScale" priority="1123">
      <colorScale>
        <cfvo type="min"/>
        <cfvo type="percentile" val="50"/>
        <cfvo type="max"/>
        <color rgb="FFF8696B"/>
        <color rgb="FFFFEB84"/>
        <color rgb="FF63BE7B"/>
      </colorScale>
    </cfRule>
  </conditionalFormatting>
  <conditionalFormatting sqref="AK241">
    <cfRule type="colorScale" priority="1122">
      <colorScale>
        <cfvo type="min"/>
        <cfvo type="max"/>
        <color rgb="FFFCFCFF"/>
        <color rgb="FFF8696B"/>
      </colorScale>
    </cfRule>
  </conditionalFormatting>
  <conditionalFormatting sqref="BI250">
    <cfRule type="colorScale" priority="1121">
      <colorScale>
        <cfvo type="min"/>
        <cfvo type="percentile" val="50"/>
        <cfvo type="max"/>
        <color rgb="FFF8696B"/>
        <color rgb="FFFFEB84"/>
        <color rgb="FF63BE7B"/>
      </colorScale>
    </cfRule>
  </conditionalFormatting>
  <conditionalFormatting sqref="BI250">
    <cfRule type="colorScale" priority="1120">
      <colorScale>
        <cfvo type="min"/>
        <cfvo type="percentile" val="50"/>
        <cfvo type="max"/>
        <color rgb="FFF8696B"/>
        <color rgb="FFFFEB84"/>
        <color rgb="FF63BE7B"/>
      </colorScale>
    </cfRule>
  </conditionalFormatting>
  <conditionalFormatting sqref="BI250">
    <cfRule type="colorScale" priority="1119">
      <colorScale>
        <cfvo type="min"/>
        <cfvo type="percentile" val="50"/>
        <cfvo type="max"/>
        <color rgb="FF63BE7B"/>
        <color rgb="FFFFEB84"/>
        <color rgb="FFF8696B"/>
      </colorScale>
    </cfRule>
  </conditionalFormatting>
  <conditionalFormatting sqref="BI250">
    <cfRule type="colorScale" priority="1116">
      <colorScale>
        <cfvo type="min"/>
        <cfvo type="max"/>
        <color rgb="FFFCFCFF"/>
        <color rgb="FFF8696B"/>
      </colorScale>
    </cfRule>
    <cfRule type="colorScale" priority="1118">
      <colorScale>
        <cfvo type="min"/>
        <cfvo type="percentile" val="50"/>
        <cfvo type="max"/>
        <color rgb="FF63BE7B"/>
        <color rgb="FFFFEB84"/>
        <color rgb="FFF8696B"/>
      </colorScale>
    </cfRule>
  </conditionalFormatting>
  <conditionalFormatting sqref="BI250">
    <cfRule type="colorScale" priority="1117">
      <colorScale>
        <cfvo type="min"/>
        <cfvo type="max"/>
        <color rgb="FFF8696B"/>
        <color rgb="FFFCFCFF"/>
      </colorScale>
    </cfRule>
  </conditionalFormatting>
  <conditionalFormatting sqref="BI250">
    <cfRule type="colorScale" priority="1115">
      <colorScale>
        <cfvo type="min"/>
        <cfvo type="percentile" val="50"/>
        <cfvo type="max"/>
        <color rgb="FFF8696B"/>
        <color rgb="FFFFEB84"/>
        <color rgb="FF63BE7B"/>
      </colorScale>
    </cfRule>
  </conditionalFormatting>
  <conditionalFormatting sqref="BI250">
    <cfRule type="colorScale" priority="1114">
      <colorScale>
        <cfvo type="min"/>
        <cfvo type="max"/>
        <color rgb="FFFCFCFF"/>
        <color rgb="FFF8696B"/>
      </colorScale>
    </cfRule>
  </conditionalFormatting>
  <conditionalFormatting sqref="BG250">
    <cfRule type="colorScale" priority="1113">
      <colorScale>
        <cfvo type="min"/>
        <cfvo type="percentile" val="50"/>
        <cfvo type="max"/>
        <color rgb="FFF8696B"/>
        <color rgb="FFFFEB84"/>
        <color rgb="FF63BE7B"/>
      </colorScale>
    </cfRule>
  </conditionalFormatting>
  <conditionalFormatting sqref="BG250">
    <cfRule type="colorScale" priority="1112">
      <colorScale>
        <cfvo type="min"/>
        <cfvo type="percentile" val="50"/>
        <cfvo type="max"/>
        <color rgb="FFF8696B"/>
        <color rgb="FFFFEB84"/>
        <color rgb="FF63BE7B"/>
      </colorScale>
    </cfRule>
  </conditionalFormatting>
  <conditionalFormatting sqref="BG250">
    <cfRule type="colorScale" priority="1111">
      <colorScale>
        <cfvo type="min"/>
        <cfvo type="percentile" val="50"/>
        <cfvo type="max"/>
        <color rgb="FF63BE7B"/>
        <color rgb="FFFFEB84"/>
        <color rgb="FFF8696B"/>
      </colorScale>
    </cfRule>
  </conditionalFormatting>
  <conditionalFormatting sqref="BG250">
    <cfRule type="colorScale" priority="1108">
      <colorScale>
        <cfvo type="min"/>
        <cfvo type="max"/>
        <color rgb="FFFCFCFF"/>
        <color rgb="FFF8696B"/>
      </colorScale>
    </cfRule>
    <cfRule type="colorScale" priority="1110">
      <colorScale>
        <cfvo type="min"/>
        <cfvo type="percentile" val="50"/>
        <cfvo type="max"/>
        <color rgb="FF63BE7B"/>
        <color rgb="FFFFEB84"/>
        <color rgb="FFF8696B"/>
      </colorScale>
    </cfRule>
  </conditionalFormatting>
  <conditionalFormatting sqref="BG250">
    <cfRule type="colorScale" priority="1109">
      <colorScale>
        <cfvo type="min"/>
        <cfvo type="max"/>
        <color rgb="FFF8696B"/>
        <color rgb="FFFCFCFF"/>
      </colorScale>
    </cfRule>
  </conditionalFormatting>
  <conditionalFormatting sqref="BG250">
    <cfRule type="colorScale" priority="1107">
      <colorScale>
        <cfvo type="min"/>
        <cfvo type="percentile" val="50"/>
        <cfvo type="max"/>
        <color rgb="FFF8696B"/>
        <color rgb="FFFFEB84"/>
        <color rgb="FF63BE7B"/>
      </colorScale>
    </cfRule>
  </conditionalFormatting>
  <conditionalFormatting sqref="BG250">
    <cfRule type="colorScale" priority="1106">
      <colorScale>
        <cfvo type="min"/>
        <cfvo type="max"/>
        <color rgb="FFFCFCFF"/>
        <color rgb="FFF8696B"/>
      </colorScale>
    </cfRule>
  </conditionalFormatting>
  <conditionalFormatting sqref="BG207">
    <cfRule type="colorScale" priority="1105">
      <colorScale>
        <cfvo type="min"/>
        <cfvo type="percentile" val="50"/>
        <cfvo type="max"/>
        <color rgb="FFF8696B"/>
        <color rgb="FFFFEB84"/>
        <color rgb="FF63BE7B"/>
      </colorScale>
    </cfRule>
  </conditionalFormatting>
  <conditionalFormatting sqref="BG207">
    <cfRule type="colorScale" priority="1104">
      <colorScale>
        <cfvo type="min"/>
        <cfvo type="percentile" val="50"/>
        <cfvo type="max"/>
        <color rgb="FFF8696B"/>
        <color rgb="FFFFEB84"/>
        <color rgb="FF63BE7B"/>
      </colorScale>
    </cfRule>
  </conditionalFormatting>
  <conditionalFormatting sqref="BG207">
    <cfRule type="colorScale" priority="1103">
      <colorScale>
        <cfvo type="min"/>
        <cfvo type="percentile" val="50"/>
        <cfvo type="max"/>
        <color rgb="FF63BE7B"/>
        <color rgb="FFFFEB84"/>
        <color rgb="FFF8696B"/>
      </colorScale>
    </cfRule>
  </conditionalFormatting>
  <conditionalFormatting sqref="BG207">
    <cfRule type="colorScale" priority="1100">
      <colorScale>
        <cfvo type="min"/>
        <cfvo type="max"/>
        <color rgb="FFFCFCFF"/>
        <color rgb="FFF8696B"/>
      </colorScale>
    </cfRule>
    <cfRule type="colorScale" priority="1102">
      <colorScale>
        <cfvo type="min"/>
        <cfvo type="percentile" val="50"/>
        <cfvo type="max"/>
        <color rgb="FF63BE7B"/>
        <color rgb="FFFFEB84"/>
        <color rgb="FFF8696B"/>
      </colorScale>
    </cfRule>
  </conditionalFormatting>
  <conditionalFormatting sqref="BG207">
    <cfRule type="colorScale" priority="1101">
      <colorScale>
        <cfvo type="min"/>
        <cfvo type="max"/>
        <color rgb="FFF8696B"/>
        <color rgb="FFFCFCFF"/>
      </colorScale>
    </cfRule>
  </conditionalFormatting>
  <conditionalFormatting sqref="BG207">
    <cfRule type="colorScale" priority="1099">
      <colorScale>
        <cfvo type="min"/>
        <cfvo type="percentile" val="50"/>
        <cfvo type="max"/>
        <color rgb="FFF8696B"/>
        <color rgb="FFFFEB84"/>
        <color rgb="FF63BE7B"/>
      </colorScale>
    </cfRule>
  </conditionalFormatting>
  <conditionalFormatting sqref="BG207">
    <cfRule type="colorScale" priority="1098">
      <colorScale>
        <cfvo type="min"/>
        <cfvo type="max"/>
        <color rgb="FFFCFCFF"/>
        <color rgb="FFF8696B"/>
      </colorScale>
    </cfRule>
  </conditionalFormatting>
  <conditionalFormatting sqref="BE207">
    <cfRule type="colorScale" priority="1097">
      <colorScale>
        <cfvo type="min"/>
        <cfvo type="percentile" val="50"/>
        <cfvo type="max"/>
        <color rgb="FFF8696B"/>
        <color rgb="FFFFEB84"/>
        <color rgb="FF63BE7B"/>
      </colorScale>
    </cfRule>
  </conditionalFormatting>
  <conditionalFormatting sqref="BE207">
    <cfRule type="colorScale" priority="1096">
      <colorScale>
        <cfvo type="min"/>
        <cfvo type="percentile" val="50"/>
        <cfvo type="max"/>
        <color rgb="FFF8696B"/>
        <color rgb="FFFFEB84"/>
        <color rgb="FF63BE7B"/>
      </colorScale>
    </cfRule>
  </conditionalFormatting>
  <conditionalFormatting sqref="BE207">
    <cfRule type="colorScale" priority="1095">
      <colorScale>
        <cfvo type="min"/>
        <cfvo type="percentile" val="50"/>
        <cfvo type="max"/>
        <color rgb="FF63BE7B"/>
        <color rgb="FFFFEB84"/>
        <color rgb="FFF8696B"/>
      </colorScale>
    </cfRule>
  </conditionalFormatting>
  <conditionalFormatting sqref="BE207">
    <cfRule type="colorScale" priority="1092">
      <colorScale>
        <cfvo type="min"/>
        <cfvo type="max"/>
        <color rgb="FFFCFCFF"/>
        <color rgb="FFF8696B"/>
      </colorScale>
    </cfRule>
    <cfRule type="colorScale" priority="1094">
      <colorScale>
        <cfvo type="min"/>
        <cfvo type="percentile" val="50"/>
        <cfvo type="max"/>
        <color rgb="FF63BE7B"/>
        <color rgb="FFFFEB84"/>
        <color rgb="FFF8696B"/>
      </colorScale>
    </cfRule>
  </conditionalFormatting>
  <conditionalFormatting sqref="BE207">
    <cfRule type="colorScale" priority="1093">
      <colorScale>
        <cfvo type="min"/>
        <cfvo type="max"/>
        <color rgb="FFF8696B"/>
        <color rgb="FFFCFCFF"/>
      </colorScale>
    </cfRule>
  </conditionalFormatting>
  <conditionalFormatting sqref="BE207">
    <cfRule type="colorScale" priority="1091">
      <colorScale>
        <cfvo type="min"/>
        <cfvo type="percentile" val="50"/>
        <cfvo type="max"/>
        <color rgb="FFF8696B"/>
        <color rgb="FFFFEB84"/>
        <color rgb="FF63BE7B"/>
      </colorScale>
    </cfRule>
  </conditionalFormatting>
  <conditionalFormatting sqref="BE207">
    <cfRule type="colorScale" priority="1090">
      <colorScale>
        <cfvo type="min"/>
        <cfvo type="max"/>
        <color rgb="FFFCFCFF"/>
        <color rgb="FFF8696B"/>
      </colorScale>
    </cfRule>
  </conditionalFormatting>
  <conditionalFormatting sqref="BW207">
    <cfRule type="colorScale" priority="1089">
      <colorScale>
        <cfvo type="min"/>
        <cfvo type="percentile" val="50"/>
        <cfvo type="max"/>
        <color rgb="FFF8696B"/>
        <color rgb="FFFFEB84"/>
        <color rgb="FF63BE7B"/>
      </colorScale>
    </cfRule>
  </conditionalFormatting>
  <conditionalFormatting sqref="BW207">
    <cfRule type="colorScale" priority="1088">
      <colorScale>
        <cfvo type="min"/>
        <cfvo type="percentile" val="50"/>
        <cfvo type="max"/>
        <color rgb="FFF8696B"/>
        <color rgb="FFFFEB84"/>
        <color rgb="FF63BE7B"/>
      </colorScale>
    </cfRule>
  </conditionalFormatting>
  <conditionalFormatting sqref="BW207">
    <cfRule type="colorScale" priority="1087">
      <colorScale>
        <cfvo type="min"/>
        <cfvo type="percentile" val="50"/>
        <cfvo type="max"/>
        <color rgb="FF63BE7B"/>
        <color rgb="FFFFEB84"/>
        <color rgb="FFF8696B"/>
      </colorScale>
    </cfRule>
  </conditionalFormatting>
  <conditionalFormatting sqref="BW207">
    <cfRule type="colorScale" priority="1084">
      <colorScale>
        <cfvo type="min"/>
        <cfvo type="max"/>
        <color rgb="FFFCFCFF"/>
        <color rgb="FFF8696B"/>
      </colorScale>
    </cfRule>
    <cfRule type="colorScale" priority="1086">
      <colorScale>
        <cfvo type="min"/>
        <cfvo type="percentile" val="50"/>
        <cfvo type="max"/>
        <color rgb="FF63BE7B"/>
        <color rgb="FFFFEB84"/>
        <color rgb="FFF8696B"/>
      </colorScale>
    </cfRule>
  </conditionalFormatting>
  <conditionalFormatting sqref="BW207">
    <cfRule type="colorScale" priority="1085">
      <colorScale>
        <cfvo type="min"/>
        <cfvo type="max"/>
        <color rgb="FFF8696B"/>
        <color rgb="FFFCFCFF"/>
      </colorScale>
    </cfRule>
  </conditionalFormatting>
  <conditionalFormatting sqref="BW207">
    <cfRule type="colorScale" priority="1083">
      <colorScale>
        <cfvo type="min"/>
        <cfvo type="percentile" val="50"/>
        <cfvo type="max"/>
        <color rgb="FFF8696B"/>
        <color rgb="FFFFEB84"/>
        <color rgb="FF63BE7B"/>
      </colorScale>
    </cfRule>
  </conditionalFormatting>
  <conditionalFormatting sqref="BW207">
    <cfRule type="colorScale" priority="1082">
      <colorScale>
        <cfvo type="min"/>
        <cfvo type="max"/>
        <color rgb="FFFCFCFF"/>
        <color rgb="FFF8696B"/>
      </colorScale>
    </cfRule>
  </conditionalFormatting>
  <conditionalFormatting sqref="BU207">
    <cfRule type="colorScale" priority="1081">
      <colorScale>
        <cfvo type="min"/>
        <cfvo type="percentile" val="50"/>
        <cfvo type="max"/>
        <color rgb="FFF8696B"/>
        <color rgb="FFFFEB84"/>
        <color rgb="FF63BE7B"/>
      </colorScale>
    </cfRule>
  </conditionalFormatting>
  <conditionalFormatting sqref="BU207">
    <cfRule type="colorScale" priority="1080">
      <colorScale>
        <cfvo type="min"/>
        <cfvo type="percentile" val="50"/>
        <cfvo type="max"/>
        <color rgb="FFF8696B"/>
        <color rgb="FFFFEB84"/>
        <color rgb="FF63BE7B"/>
      </colorScale>
    </cfRule>
  </conditionalFormatting>
  <conditionalFormatting sqref="BU207">
    <cfRule type="colorScale" priority="1079">
      <colorScale>
        <cfvo type="min"/>
        <cfvo type="percentile" val="50"/>
        <cfvo type="max"/>
        <color rgb="FF63BE7B"/>
        <color rgb="FFFFEB84"/>
        <color rgb="FFF8696B"/>
      </colorScale>
    </cfRule>
  </conditionalFormatting>
  <conditionalFormatting sqref="BU207">
    <cfRule type="colorScale" priority="1076">
      <colorScale>
        <cfvo type="min"/>
        <cfvo type="max"/>
        <color rgb="FFFCFCFF"/>
        <color rgb="FFF8696B"/>
      </colorScale>
    </cfRule>
    <cfRule type="colorScale" priority="1078">
      <colorScale>
        <cfvo type="min"/>
        <cfvo type="percentile" val="50"/>
        <cfvo type="max"/>
        <color rgb="FF63BE7B"/>
        <color rgb="FFFFEB84"/>
        <color rgb="FFF8696B"/>
      </colorScale>
    </cfRule>
  </conditionalFormatting>
  <conditionalFormatting sqref="BU207">
    <cfRule type="colorScale" priority="1077">
      <colorScale>
        <cfvo type="min"/>
        <cfvo type="max"/>
        <color rgb="FFF8696B"/>
        <color rgb="FFFCFCFF"/>
      </colorScale>
    </cfRule>
  </conditionalFormatting>
  <conditionalFormatting sqref="BU207">
    <cfRule type="colorScale" priority="1075">
      <colorScale>
        <cfvo type="min"/>
        <cfvo type="percentile" val="50"/>
        <cfvo type="max"/>
        <color rgb="FFF8696B"/>
        <color rgb="FFFFEB84"/>
        <color rgb="FF63BE7B"/>
      </colorScale>
    </cfRule>
  </conditionalFormatting>
  <conditionalFormatting sqref="BU207">
    <cfRule type="colorScale" priority="1074">
      <colorScale>
        <cfvo type="min"/>
        <cfvo type="max"/>
        <color rgb="FFFCFCFF"/>
        <color rgb="FFF8696B"/>
      </colorScale>
    </cfRule>
  </conditionalFormatting>
  <conditionalFormatting sqref="BY206">
    <cfRule type="colorScale" priority="1073">
      <colorScale>
        <cfvo type="min"/>
        <cfvo type="percentile" val="50"/>
        <cfvo type="max"/>
        <color rgb="FFF8696B"/>
        <color rgb="FFFFEB84"/>
        <color rgb="FF63BE7B"/>
      </colorScale>
    </cfRule>
  </conditionalFormatting>
  <conditionalFormatting sqref="BY206">
    <cfRule type="colorScale" priority="1072">
      <colorScale>
        <cfvo type="min"/>
        <cfvo type="percentile" val="50"/>
        <cfvo type="max"/>
        <color rgb="FFF8696B"/>
        <color rgb="FFFFEB84"/>
        <color rgb="FF63BE7B"/>
      </colorScale>
    </cfRule>
  </conditionalFormatting>
  <conditionalFormatting sqref="BY206">
    <cfRule type="colorScale" priority="1071">
      <colorScale>
        <cfvo type="min"/>
        <cfvo type="percentile" val="50"/>
        <cfvo type="max"/>
        <color rgb="FF63BE7B"/>
        <color rgb="FFFFEB84"/>
        <color rgb="FFF8696B"/>
      </colorScale>
    </cfRule>
  </conditionalFormatting>
  <conditionalFormatting sqref="BY206">
    <cfRule type="colorScale" priority="1068">
      <colorScale>
        <cfvo type="min"/>
        <cfvo type="max"/>
        <color rgb="FFFCFCFF"/>
        <color rgb="FFF8696B"/>
      </colorScale>
    </cfRule>
    <cfRule type="colorScale" priority="1070">
      <colorScale>
        <cfvo type="min"/>
        <cfvo type="percentile" val="50"/>
        <cfvo type="max"/>
        <color rgb="FF63BE7B"/>
        <color rgb="FFFFEB84"/>
        <color rgb="FFF8696B"/>
      </colorScale>
    </cfRule>
  </conditionalFormatting>
  <conditionalFormatting sqref="BY206">
    <cfRule type="colorScale" priority="1069">
      <colorScale>
        <cfvo type="min"/>
        <cfvo type="max"/>
        <color rgb="FFF8696B"/>
        <color rgb="FFFCFCFF"/>
      </colorScale>
    </cfRule>
  </conditionalFormatting>
  <conditionalFormatting sqref="BY206">
    <cfRule type="colorScale" priority="1067">
      <colorScale>
        <cfvo type="min"/>
        <cfvo type="percentile" val="50"/>
        <cfvo type="max"/>
        <color rgb="FFF8696B"/>
        <color rgb="FFFFEB84"/>
        <color rgb="FF63BE7B"/>
      </colorScale>
    </cfRule>
  </conditionalFormatting>
  <conditionalFormatting sqref="BY206">
    <cfRule type="colorScale" priority="1066">
      <colorScale>
        <cfvo type="min"/>
        <cfvo type="max"/>
        <color rgb="FFFCFCFF"/>
        <color rgb="FFF8696B"/>
      </colorScale>
    </cfRule>
  </conditionalFormatting>
  <conditionalFormatting sqref="DA162">
    <cfRule type="colorScale" priority="1065">
      <colorScale>
        <cfvo type="min"/>
        <cfvo type="percentile" val="50"/>
        <cfvo type="max"/>
        <color rgb="FFF8696B"/>
        <color rgb="FFFFEB84"/>
        <color rgb="FF63BE7B"/>
      </colorScale>
    </cfRule>
  </conditionalFormatting>
  <conditionalFormatting sqref="DA162">
    <cfRule type="colorScale" priority="1064">
      <colorScale>
        <cfvo type="min"/>
        <cfvo type="percentile" val="50"/>
        <cfvo type="max"/>
        <color rgb="FFF8696B"/>
        <color rgb="FFFFEB84"/>
        <color rgb="FF63BE7B"/>
      </colorScale>
    </cfRule>
  </conditionalFormatting>
  <conditionalFormatting sqref="DA162">
    <cfRule type="colorScale" priority="1063">
      <colorScale>
        <cfvo type="min"/>
        <cfvo type="percentile" val="50"/>
        <cfvo type="max"/>
        <color rgb="FF63BE7B"/>
        <color rgb="FFFFEB84"/>
        <color rgb="FFF8696B"/>
      </colorScale>
    </cfRule>
  </conditionalFormatting>
  <conditionalFormatting sqref="DA162">
    <cfRule type="colorScale" priority="1060">
      <colorScale>
        <cfvo type="min"/>
        <cfvo type="max"/>
        <color rgb="FFFCFCFF"/>
        <color rgb="FFF8696B"/>
      </colorScale>
    </cfRule>
    <cfRule type="colorScale" priority="1062">
      <colorScale>
        <cfvo type="min"/>
        <cfvo type="percentile" val="50"/>
        <cfvo type="max"/>
        <color rgb="FF63BE7B"/>
        <color rgb="FFFFEB84"/>
        <color rgb="FFF8696B"/>
      </colorScale>
    </cfRule>
  </conditionalFormatting>
  <conditionalFormatting sqref="DA162">
    <cfRule type="colorScale" priority="1061">
      <colorScale>
        <cfvo type="min"/>
        <cfvo type="max"/>
        <color rgb="FFF8696B"/>
        <color rgb="FFFCFCFF"/>
      </colorScale>
    </cfRule>
  </conditionalFormatting>
  <conditionalFormatting sqref="DA162">
    <cfRule type="colorScale" priority="1059">
      <colorScale>
        <cfvo type="min"/>
        <cfvo type="percentile" val="50"/>
        <cfvo type="max"/>
        <color rgb="FFF8696B"/>
        <color rgb="FFFFEB84"/>
        <color rgb="FF63BE7B"/>
      </colorScale>
    </cfRule>
  </conditionalFormatting>
  <conditionalFormatting sqref="DA162">
    <cfRule type="colorScale" priority="1058">
      <colorScale>
        <cfvo type="min"/>
        <cfvo type="max"/>
        <color rgb="FFFCFCFF"/>
        <color rgb="FFF8696B"/>
      </colorScale>
    </cfRule>
  </conditionalFormatting>
  <conditionalFormatting sqref="DU66 DU82 DU71 DU76">
    <cfRule type="colorScale" priority="1057">
      <colorScale>
        <cfvo type="min"/>
        <cfvo type="percentile" val="50"/>
        <cfvo type="max"/>
        <color rgb="FFF8696B"/>
        <color rgb="FFFFEB84"/>
        <color rgb="FF63BE7B"/>
      </colorScale>
    </cfRule>
  </conditionalFormatting>
  <conditionalFormatting sqref="DU76">
    <cfRule type="colorScale" priority="1056">
      <colorScale>
        <cfvo type="min"/>
        <cfvo type="percentile" val="50"/>
        <cfvo type="max"/>
        <color rgb="FFF8696B"/>
        <color rgb="FFFFEB84"/>
        <color rgb="FF63BE7B"/>
      </colorScale>
    </cfRule>
  </conditionalFormatting>
  <conditionalFormatting sqref="DU66 DU82 DU71 DU76">
    <cfRule type="colorScale" priority="1055">
      <colorScale>
        <cfvo type="min"/>
        <cfvo type="percentile" val="50"/>
        <cfvo type="max"/>
        <color rgb="FF63BE7B"/>
        <color rgb="FFFFEB84"/>
        <color rgb="FFF8696B"/>
      </colorScale>
    </cfRule>
  </conditionalFormatting>
  <conditionalFormatting sqref="DU82 DU66 DU71 DU76">
    <cfRule type="colorScale" priority="1052">
      <colorScale>
        <cfvo type="min"/>
        <cfvo type="max"/>
        <color rgb="FFFCFCFF"/>
        <color rgb="FFF8696B"/>
      </colorScale>
    </cfRule>
    <cfRule type="colorScale" priority="1054">
      <colorScale>
        <cfvo type="min"/>
        <cfvo type="percentile" val="50"/>
        <cfvo type="max"/>
        <color rgb="FF63BE7B"/>
        <color rgb="FFFFEB84"/>
        <color rgb="FFF8696B"/>
      </colorScale>
    </cfRule>
  </conditionalFormatting>
  <conditionalFormatting sqref="DU66 DU82 DU71 DU76">
    <cfRule type="colorScale" priority="1053">
      <colorScale>
        <cfvo type="min"/>
        <cfvo type="max"/>
        <color rgb="FFF8696B"/>
        <color rgb="FFFCFCFF"/>
      </colorScale>
    </cfRule>
  </conditionalFormatting>
  <conditionalFormatting sqref="DU66">
    <cfRule type="colorScale" priority="1051">
      <colorScale>
        <cfvo type="min"/>
        <cfvo type="percentile" val="50"/>
        <cfvo type="max"/>
        <color rgb="FFF8696B"/>
        <color rgb="FFFFEB84"/>
        <color rgb="FF63BE7B"/>
      </colorScale>
    </cfRule>
  </conditionalFormatting>
  <conditionalFormatting sqref="DU71">
    <cfRule type="colorScale" priority="1050">
      <colorScale>
        <cfvo type="min"/>
        <cfvo type="percentile" val="50"/>
        <cfvo type="max"/>
        <color rgb="FFF8696B"/>
        <color rgb="FFFFEB84"/>
        <color rgb="FF63BE7B"/>
      </colorScale>
    </cfRule>
  </conditionalFormatting>
  <conditionalFormatting sqref="DU76">
    <cfRule type="colorScale" priority="1049">
      <colorScale>
        <cfvo type="min"/>
        <cfvo type="percentile" val="50"/>
        <cfvo type="max"/>
        <color rgb="FFF8696B"/>
        <color rgb="FFFFEB84"/>
        <color rgb="FF63BE7B"/>
      </colorScale>
    </cfRule>
  </conditionalFormatting>
  <conditionalFormatting sqref="DU82">
    <cfRule type="colorScale" priority="1048">
      <colorScale>
        <cfvo type="min"/>
        <cfvo type="percentile" val="50"/>
        <cfvo type="max"/>
        <color rgb="FFF8696B"/>
        <color rgb="FFFFEB84"/>
        <color rgb="FF63BE7B"/>
      </colorScale>
    </cfRule>
  </conditionalFormatting>
  <conditionalFormatting sqref="DU66 DU82 DU71 DU76">
    <cfRule type="colorScale" priority="1047">
      <colorScale>
        <cfvo type="min"/>
        <cfvo type="max"/>
        <color rgb="FFFCFCFF"/>
        <color rgb="FFF8696B"/>
      </colorScale>
    </cfRule>
  </conditionalFormatting>
  <conditionalFormatting sqref="DU61">
    <cfRule type="colorScale" priority="1046">
      <colorScale>
        <cfvo type="min"/>
        <cfvo type="percentile" val="50"/>
        <cfvo type="max"/>
        <color rgb="FFF8696B"/>
        <color rgb="FFFFEB84"/>
        <color rgb="FF63BE7B"/>
      </colorScale>
    </cfRule>
  </conditionalFormatting>
  <conditionalFormatting sqref="DU61">
    <cfRule type="colorScale" priority="1045">
      <colorScale>
        <cfvo type="min"/>
        <cfvo type="percentile" val="50"/>
        <cfvo type="max"/>
        <color rgb="FFF8696B"/>
        <color rgb="FFFFEB84"/>
        <color rgb="FF63BE7B"/>
      </colorScale>
    </cfRule>
  </conditionalFormatting>
  <conditionalFormatting sqref="DU61">
    <cfRule type="colorScale" priority="1044">
      <colorScale>
        <cfvo type="min"/>
        <cfvo type="percentile" val="50"/>
        <cfvo type="max"/>
        <color rgb="FF63BE7B"/>
        <color rgb="FFFFEB84"/>
        <color rgb="FFF8696B"/>
      </colorScale>
    </cfRule>
  </conditionalFormatting>
  <conditionalFormatting sqref="DU61">
    <cfRule type="colorScale" priority="1041">
      <colorScale>
        <cfvo type="min"/>
        <cfvo type="max"/>
        <color rgb="FFFCFCFF"/>
        <color rgb="FFF8696B"/>
      </colorScale>
    </cfRule>
    <cfRule type="colorScale" priority="1043">
      <colorScale>
        <cfvo type="min"/>
        <cfvo type="percentile" val="50"/>
        <cfvo type="max"/>
        <color rgb="FF63BE7B"/>
        <color rgb="FFFFEB84"/>
        <color rgb="FFF8696B"/>
      </colorScale>
    </cfRule>
  </conditionalFormatting>
  <conditionalFormatting sqref="DU61">
    <cfRule type="colorScale" priority="1042">
      <colorScale>
        <cfvo type="min"/>
        <cfvo type="max"/>
        <color rgb="FFF8696B"/>
        <color rgb="FFFCFCFF"/>
      </colorScale>
    </cfRule>
  </conditionalFormatting>
  <conditionalFormatting sqref="DU61">
    <cfRule type="colorScale" priority="1040">
      <colorScale>
        <cfvo type="min"/>
        <cfvo type="max"/>
        <color rgb="FFFCFCFF"/>
        <color rgb="FFF8696B"/>
      </colorScale>
    </cfRule>
  </conditionalFormatting>
  <conditionalFormatting sqref="DU56">
    <cfRule type="colorScale" priority="1039">
      <colorScale>
        <cfvo type="min"/>
        <cfvo type="percentile" val="50"/>
        <cfvo type="max"/>
        <color rgb="FFF8696B"/>
        <color rgb="FFFFEB84"/>
        <color rgb="FF63BE7B"/>
      </colorScale>
    </cfRule>
  </conditionalFormatting>
  <conditionalFormatting sqref="DU56">
    <cfRule type="colorScale" priority="1038">
      <colorScale>
        <cfvo type="min"/>
        <cfvo type="percentile" val="50"/>
        <cfvo type="max"/>
        <color rgb="FFF8696B"/>
        <color rgb="FFFFEB84"/>
        <color rgb="FF63BE7B"/>
      </colorScale>
    </cfRule>
  </conditionalFormatting>
  <conditionalFormatting sqref="DU56">
    <cfRule type="colorScale" priority="1037">
      <colorScale>
        <cfvo type="min"/>
        <cfvo type="percentile" val="50"/>
        <cfvo type="max"/>
        <color rgb="FF63BE7B"/>
        <color rgb="FFFFEB84"/>
        <color rgb="FFF8696B"/>
      </colorScale>
    </cfRule>
  </conditionalFormatting>
  <conditionalFormatting sqref="DU56">
    <cfRule type="colorScale" priority="1034">
      <colorScale>
        <cfvo type="min"/>
        <cfvo type="max"/>
        <color rgb="FFFCFCFF"/>
        <color rgb="FFF8696B"/>
      </colorScale>
    </cfRule>
    <cfRule type="colorScale" priority="1036">
      <colorScale>
        <cfvo type="min"/>
        <cfvo type="percentile" val="50"/>
        <cfvo type="max"/>
        <color rgb="FF63BE7B"/>
        <color rgb="FFFFEB84"/>
        <color rgb="FFF8696B"/>
      </colorScale>
    </cfRule>
  </conditionalFormatting>
  <conditionalFormatting sqref="DU56">
    <cfRule type="colorScale" priority="1035">
      <colorScale>
        <cfvo type="min"/>
        <cfvo type="max"/>
        <color rgb="FFF8696B"/>
        <color rgb="FFFCFCFF"/>
      </colorScale>
    </cfRule>
  </conditionalFormatting>
  <conditionalFormatting sqref="DU56">
    <cfRule type="colorScale" priority="1033">
      <colorScale>
        <cfvo type="min"/>
        <cfvo type="max"/>
        <color rgb="FFFCFCFF"/>
        <color rgb="FFF8696B"/>
      </colorScale>
    </cfRule>
  </conditionalFormatting>
  <conditionalFormatting sqref="DU56 DU61 DU76 DU71 DU66 DU82">
    <cfRule type="colorScale" priority="1032">
      <colorScale>
        <cfvo type="min"/>
        <cfvo type="max"/>
        <color rgb="FFFCFCFF"/>
        <color rgb="FFF8696B"/>
      </colorScale>
    </cfRule>
  </conditionalFormatting>
  <conditionalFormatting sqref="DU56 DU61 DU66 DU71 DU76 DU82">
    <cfRule type="colorScale" priority="1031">
      <colorScale>
        <cfvo type="min"/>
        <cfvo type="max"/>
        <color rgb="FFFCFCFF"/>
        <color rgb="FFF8696B"/>
      </colorScale>
    </cfRule>
  </conditionalFormatting>
  <conditionalFormatting sqref="DU56 DU61 DU71 DU66 DU76 DU82">
    <cfRule type="colorScale" priority="1030">
      <colorScale>
        <cfvo type="min"/>
        <cfvo type="max"/>
        <color rgb="FFFCFCFF"/>
        <color rgb="FFF8696B"/>
      </colorScale>
    </cfRule>
  </conditionalFormatting>
  <conditionalFormatting sqref="DU56 DU61 DU66 DU76 DU71 DU82">
    <cfRule type="colorScale" priority="1029">
      <colorScale>
        <cfvo type="min"/>
        <cfvo type="max"/>
        <color rgb="FFFCFCFF"/>
        <color rgb="FFF8696B"/>
      </colorScale>
    </cfRule>
  </conditionalFormatting>
  <conditionalFormatting sqref="DS82 DS76">
    <cfRule type="colorScale" priority="1028">
      <colorScale>
        <cfvo type="min"/>
        <cfvo type="percentile" val="50"/>
        <cfvo type="max"/>
        <color rgb="FFF8696B"/>
        <color rgb="FFFFEB84"/>
        <color rgb="FF63BE7B"/>
      </colorScale>
    </cfRule>
  </conditionalFormatting>
  <conditionalFormatting sqref="DS76">
    <cfRule type="colorScale" priority="1027">
      <colorScale>
        <cfvo type="min"/>
        <cfvo type="percentile" val="50"/>
        <cfvo type="max"/>
        <color rgb="FFF8696B"/>
        <color rgb="FFFFEB84"/>
        <color rgb="FF63BE7B"/>
      </colorScale>
    </cfRule>
  </conditionalFormatting>
  <conditionalFormatting sqref="DS82 DS76">
    <cfRule type="colorScale" priority="1026">
      <colorScale>
        <cfvo type="min"/>
        <cfvo type="percentile" val="50"/>
        <cfvo type="max"/>
        <color rgb="FF63BE7B"/>
        <color rgb="FFFFEB84"/>
        <color rgb="FFF8696B"/>
      </colorScale>
    </cfRule>
  </conditionalFormatting>
  <conditionalFormatting sqref="DS82 DS76">
    <cfRule type="colorScale" priority="1023">
      <colorScale>
        <cfvo type="min"/>
        <cfvo type="max"/>
        <color rgb="FFFCFCFF"/>
        <color rgb="FFF8696B"/>
      </colorScale>
    </cfRule>
    <cfRule type="colorScale" priority="1025">
      <colorScale>
        <cfvo type="min"/>
        <cfvo type="percentile" val="50"/>
        <cfvo type="max"/>
        <color rgb="FF63BE7B"/>
        <color rgb="FFFFEB84"/>
        <color rgb="FFF8696B"/>
      </colorScale>
    </cfRule>
  </conditionalFormatting>
  <conditionalFormatting sqref="DS82 DS76">
    <cfRule type="colorScale" priority="1024">
      <colorScale>
        <cfvo type="min"/>
        <cfvo type="max"/>
        <color rgb="FFF8696B"/>
        <color rgb="FFFCFCFF"/>
      </colorScale>
    </cfRule>
  </conditionalFormatting>
  <conditionalFormatting sqref="DS76">
    <cfRule type="colorScale" priority="1022">
      <colorScale>
        <cfvo type="min"/>
        <cfvo type="percentile" val="50"/>
        <cfvo type="max"/>
        <color rgb="FFF8696B"/>
        <color rgb="FFFFEB84"/>
        <color rgb="FF63BE7B"/>
      </colorScale>
    </cfRule>
  </conditionalFormatting>
  <conditionalFormatting sqref="DS82">
    <cfRule type="colorScale" priority="1021">
      <colorScale>
        <cfvo type="min"/>
        <cfvo type="percentile" val="50"/>
        <cfvo type="max"/>
        <color rgb="FFF8696B"/>
        <color rgb="FFFFEB84"/>
        <color rgb="FF63BE7B"/>
      </colorScale>
    </cfRule>
  </conditionalFormatting>
  <conditionalFormatting sqref="DS82 DS76">
    <cfRule type="colorScale" priority="1020">
      <colorScale>
        <cfvo type="min"/>
        <cfvo type="max"/>
        <color rgb="FFFCFCFF"/>
        <color rgb="FFF8696B"/>
      </colorScale>
    </cfRule>
  </conditionalFormatting>
  <conditionalFormatting sqref="DS61">
    <cfRule type="colorScale" priority="1019">
      <colorScale>
        <cfvo type="min"/>
        <cfvo type="percentile" val="50"/>
        <cfvo type="max"/>
        <color rgb="FFF8696B"/>
        <color rgb="FFFFEB84"/>
        <color rgb="FF63BE7B"/>
      </colorScale>
    </cfRule>
  </conditionalFormatting>
  <conditionalFormatting sqref="DS61">
    <cfRule type="colorScale" priority="1018">
      <colorScale>
        <cfvo type="min"/>
        <cfvo type="percentile" val="50"/>
        <cfvo type="max"/>
        <color rgb="FFF8696B"/>
        <color rgb="FFFFEB84"/>
        <color rgb="FF63BE7B"/>
      </colorScale>
    </cfRule>
  </conditionalFormatting>
  <conditionalFormatting sqref="DS61">
    <cfRule type="colorScale" priority="1017">
      <colorScale>
        <cfvo type="min"/>
        <cfvo type="percentile" val="50"/>
        <cfvo type="max"/>
        <color rgb="FF63BE7B"/>
        <color rgb="FFFFEB84"/>
        <color rgb="FFF8696B"/>
      </colorScale>
    </cfRule>
  </conditionalFormatting>
  <conditionalFormatting sqref="DS61">
    <cfRule type="colorScale" priority="1014">
      <colorScale>
        <cfvo type="min"/>
        <cfvo type="max"/>
        <color rgb="FFFCFCFF"/>
        <color rgb="FFF8696B"/>
      </colorScale>
    </cfRule>
    <cfRule type="colorScale" priority="1016">
      <colorScale>
        <cfvo type="min"/>
        <cfvo type="percentile" val="50"/>
        <cfvo type="max"/>
        <color rgb="FF63BE7B"/>
        <color rgb="FFFFEB84"/>
        <color rgb="FFF8696B"/>
      </colorScale>
    </cfRule>
  </conditionalFormatting>
  <conditionalFormatting sqref="DS61">
    <cfRule type="colorScale" priority="1015">
      <colorScale>
        <cfvo type="min"/>
        <cfvo type="max"/>
        <color rgb="FFF8696B"/>
        <color rgb="FFFCFCFF"/>
      </colorScale>
    </cfRule>
  </conditionalFormatting>
  <conditionalFormatting sqref="DS61">
    <cfRule type="colorScale" priority="1013">
      <colorScale>
        <cfvo type="min"/>
        <cfvo type="max"/>
        <color rgb="FFFCFCFF"/>
        <color rgb="FFF8696B"/>
      </colorScale>
    </cfRule>
  </conditionalFormatting>
  <conditionalFormatting sqref="DS56">
    <cfRule type="colorScale" priority="1012">
      <colorScale>
        <cfvo type="min"/>
        <cfvo type="percentile" val="50"/>
        <cfvo type="max"/>
        <color rgb="FFF8696B"/>
        <color rgb="FFFFEB84"/>
        <color rgb="FF63BE7B"/>
      </colorScale>
    </cfRule>
  </conditionalFormatting>
  <conditionalFormatting sqref="DS56">
    <cfRule type="colorScale" priority="1011">
      <colorScale>
        <cfvo type="min"/>
        <cfvo type="percentile" val="50"/>
        <cfvo type="max"/>
        <color rgb="FFF8696B"/>
        <color rgb="FFFFEB84"/>
        <color rgb="FF63BE7B"/>
      </colorScale>
    </cfRule>
  </conditionalFormatting>
  <conditionalFormatting sqref="DS56">
    <cfRule type="colorScale" priority="1010">
      <colorScale>
        <cfvo type="min"/>
        <cfvo type="percentile" val="50"/>
        <cfvo type="max"/>
        <color rgb="FF63BE7B"/>
        <color rgb="FFFFEB84"/>
        <color rgb="FFF8696B"/>
      </colorScale>
    </cfRule>
  </conditionalFormatting>
  <conditionalFormatting sqref="DS56">
    <cfRule type="colorScale" priority="1007">
      <colorScale>
        <cfvo type="min"/>
        <cfvo type="max"/>
        <color rgb="FFFCFCFF"/>
        <color rgb="FFF8696B"/>
      </colorScale>
    </cfRule>
    <cfRule type="colorScale" priority="1009">
      <colorScale>
        <cfvo type="min"/>
        <cfvo type="percentile" val="50"/>
        <cfvo type="max"/>
        <color rgb="FF63BE7B"/>
        <color rgb="FFFFEB84"/>
        <color rgb="FFF8696B"/>
      </colorScale>
    </cfRule>
  </conditionalFormatting>
  <conditionalFormatting sqref="DS56">
    <cfRule type="colorScale" priority="1008">
      <colorScale>
        <cfvo type="min"/>
        <cfvo type="max"/>
        <color rgb="FFF8696B"/>
        <color rgb="FFFCFCFF"/>
      </colorScale>
    </cfRule>
  </conditionalFormatting>
  <conditionalFormatting sqref="DS56">
    <cfRule type="colorScale" priority="1006">
      <colorScale>
        <cfvo type="min"/>
        <cfvo type="max"/>
        <color rgb="FFFCFCFF"/>
        <color rgb="FFF8696B"/>
      </colorScale>
    </cfRule>
  </conditionalFormatting>
  <conditionalFormatting sqref="DS82 DS56 DS61 DS76">
    <cfRule type="colorScale" priority="1005">
      <colorScale>
        <cfvo type="min"/>
        <cfvo type="max"/>
        <color rgb="FFFCFCFF"/>
        <color rgb="FFF8696B"/>
      </colorScale>
    </cfRule>
  </conditionalFormatting>
  <conditionalFormatting sqref="DS61 DS56 DS76 DS82">
    <cfRule type="colorScale" priority="1004">
      <colorScale>
        <cfvo type="min"/>
        <cfvo type="max"/>
        <color rgb="FFFCFCFF"/>
        <color rgb="FFF8696B"/>
      </colorScale>
    </cfRule>
  </conditionalFormatting>
  <conditionalFormatting sqref="DS67">
    <cfRule type="colorScale" priority="1003">
      <colorScale>
        <cfvo type="min"/>
        <cfvo type="percentile" val="50"/>
        <cfvo type="max"/>
        <color rgb="FFF8696B"/>
        <color rgb="FFFFEB84"/>
        <color rgb="FF63BE7B"/>
      </colorScale>
    </cfRule>
  </conditionalFormatting>
  <conditionalFormatting sqref="DS67">
    <cfRule type="colorScale" priority="1002">
      <colorScale>
        <cfvo type="min"/>
        <cfvo type="percentile" val="50"/>
        <cfvo type="max"/>
        <color rgb="FF63BE7B"/>
        <color rgb="FFFFEB84"/>
        <color rgb="FFF8696B"/>
      </colorScale>
    </cfRule>
  </conditionalFormatting>
  <conditionalFormatting sqref="DS67">
    <cfRule type="colorScale" priority="999">
      <colorScale>
        <cfvo type="min"/>
        <cfvo type="max"/>
        <color rgb="FFFCFCFF"/>
        <color rgb="FFF8696B"/>
      </colorScale>
    </cfRule>
    <cfRule type="colorScale" priority="1001">
      <colorScale>
        <cfvo type="min"/>
        <cfvo type="percentile" val="50"/>
        <cfvo type="max"/>
        <color rgb="FF63BE7B"/>
        <color rgb="FFFFEB84"/>
        <color rgb="FFF8696B"/>
      </colorScale>
    </cfRule>
  </conditionalFormatting>
  <conditionalFormatting sqref="DS67">
    <cfRule type="colorScale" priority="1000">
      <colorScale>
        <cfvo type="min"/>
        <cfvo type="max"/>
        <color rgb="FFF8696B"/>
        <color rgb="FFFCFCFF"/>
      </colorScale>
    </cfRule>
  </conditionalFormatting>
  <conditionalFormatting sqref="DS67">
    <cfRule type="colorScale" priority="998">
      <colorScale>
        <cfvo type="min"/>
        <cfvo type="percentile" val="50"/>
        <cfvo type="max"/>
        <color rgb="FFF8696B"/>
        <color rgb="FFFFEB84"/>
        <color rgb="FF63BE7B"/>
      </colorScale>
    </cfRule>
  </conditionalFormatting>
  <conditionalFormatting sqref="DS67">
    <cfRule type="colorScale" priority="997">
      <colorScale>
        <cfvo type="min"/>
        <cfvo type="max"/>
        <color rgb="FFFCFCFF"/>
        <color rgb="FFF8696B"/>
      </colorScale>
    </cfRule>
  </conditionalFormatting>
  <conditionalFormatting sqref="DS67:DS71">
    <cfRule type="colorScale" priority="996">
      <colorScale>
        <cfvo type="min"/>
        <cfvo type="max"/>
        <color rgb="FFFCFCFF"/>
        <color rgb="FFF8696B"/>
      </colorScale>
    </cfRule>
  </conditionalFormatting>
  <conditionalFormatting sqref="DS67:DS71">
    <cfRule type="colorScale" priority="995">
      <colorScale>
        <cfvo type="min"/>
        <cfvo type="max"/>
        <color rgb="FFFCFCFF"/>
        <color rgb="FFF8696B"/>
      </colorScale>
    </cfRule>
  </conditionalFormatting>
  <conditionalFormatting sqref="DS61 DS56 DS67:DS71 DS76 DS82">
    <cfRule type="colorScale" priority="994">
      <colorScale>
        <cfvo type="min"/>
        <cfvo type="max"/>
        <color rgb="FFFCFCFF"/>
        <color rgb="FFF8696B"/>
      </colorScale>
    </cfRule>
  </conditionalFormatting>
  <conditionalFormatting sqref="DS61 DS56 DS67:DS71 DS76 DS82">
    <cfRule type="colorScale" priority="993">
      <colorScale>
        <cfvo type="min"/>
        <cfvo type="max"/>
        <color rgb="FFFCFCFF"/>
        <color rgb="FFF8696B"/>
      </colorScale>
    </cfRule>
  </conditionalFormatting>
  <conditionalFormatting sqref="DQ61">
    <cfRule type="colorScale" priority="992">
      <colorScale>
        <cfvo type="min"/>
        <cfvo type="percentile" val="50"/>
        <cfvo type="max"/>
        <color rgb="FFF8696B"/>
        <color rgb="FFFFEB84"/>
        <color rgb="FF63BE7B"/>
      </colorScale>
    </cfRule>
  </conditionalFormatting>
  <conditionalFormatting sqref="DQ61">
    <cfRule type="colorScale" priority="991">
      <colorScale>
        <cfvo type="min"/>
        <cfvo type="percentile" val="50"/>
        <cfvo type="max"/>
        <color rgb="FF63BE7B"/>
        <color rgb="FFFFEB84"/>
        <color rgb="FFF8696B"/>
      </colorScale>
    </cfRule>
  </conditionalFormatting>
  <conditionalFormatting sqref="DQ61">
    <cfRule type="colorScale" priority="988">
      <colorScale>
        <cfvo type="min"/>
        <cfvo type="max"/>
        <color rgb="FFFCFCFF"/>
        <color rgb="FFF8696B"/>
      </colorScale>
    </cfRule>
    <cfRule type="colorScale" priority="990">
      <colorScale>
        <cfvo type="min"/>
        <cfvo type="percentile" val="50"/>
        <cfvo type="max"/>
        <color rgb="FF63BE7B"/>
        <color rgb="FFFFEB84"/>
        <color rgb="FFF8696B"/>
      </colorScale>
    </cfRule>
  </conditionalFormatting>
  <conditionalFormatting sqref="DQ61">
    <cfRule type="colorScale" priority="989">
      <colorScale>
        <cfvo type="min"/>
        <cfvo type="max"/>
        <color rgb="FFF8696B"/>
        <color rgb="FFFCFCFF"/>
      </colorScale>
    </cfRule>
  </conditionalFormatting>
  <conditionalFormatting sqref="DQ61">
    <cfRule type="colorScale" priority="987">
      <colorScale>
        <cfvo type="min"/>
        <cfvo type="max"/>
        <color rgb="FFFCFCFF"/>
        <color rgb="FFF8696B"/>
      </colorScale>
    </cfRule>
  </conditionalFormatting>
  <conditionalFormatting sqref="DQ56">
    <cfRule type="colorScale" priority="986">
      <colorScale>
        <cfvo type="min"/>
        <cfvo type="percentile" val="50"/>
        <cfvo type="max"/>
        <color rgb="FFF8696B"/>
        <color rgb="FFFFEB84"/>
        <color rgb="FF63BE7B"/>
      </colorScale>
    </cfRule>
  </conditionalFormatting>
  <conditionalFormatting sqref="DQ56">
    <cfRule type="colorScale" priority="985">
      <colorScale>
        <cfvo type="min"/>
        <cfvo type="percentile" val="50"/>
        <cfvo type="max"/>
        <color rgb="FF63BE7B"/>
        <color rgb="FFFFEB84"/>
        <color rgb="FFF8696B"/>
      </colorScale>
    </cfRule>
  </conditionalFormatting>
  <conditionalFormatting sqref="DQ56">
    <cfRule type="colorScale" priority="982">
      <colorScale>
        <cfvo type="min"/>
        <cfvo type="max"/>
        <color rgb="FFFCFCFF"/>
        <color rgb="FFF8696B"/>
      </colorScale>
    </cfRule>
    <cfRule type="colorScale" priority="984">
      <colorScale>
        <cfvo type="min"/>
        <cfvo type="percentile" val="50"/>
        <cfvo type="max"/>
        <color rgb="FF63BE7B"/>
        <color rgb="FFFFEB84"/>
        <color rgb="FFF8696B"/>
      </colorScale>
    </cfRule>
  </conditionalFormatting>
  <conditionalFormatting sqref="DQ56">
    <cfRule type="colorScale" priority="983">
      <colorScale>
        <cfvo type="min"/>
        <cfvo type="max"/>
        <color rgb="FFF8696B"/>
        <color rgb="FFFCFCFF"/>
      </colorScale>
    </cfRule>
  </conditionalFormatting>
  <conditionalFormatting sqref="DQ56">
    <cfRule type="colorScale" priority="981">
      <colorScale>
        <cfvo type="min"/>
        <cfvo type="max"/>
        <color rgb="FFFCFCFF"/>
        <color rgb="FFF8696B"/>
      </colorScale>
    </cfRule>
  </conditionalFormatting>
  <conditionalFormatting sqref="DQ67">
    <cfRule type="colorScale" priority="980">
      <colorScale>
        <cfvo type="min"/>
        <cfvo type="percentile" val="50"/>
        <cfvo type="max"/>
        <color rgb="FFF8696B"/>
        <color rgb="FFFFEB84"/>
        <color rgb="FF63BE7B"/>
      </colorScale>
    </cfRule>
  </conditionalFormatting>
  <conditionalFormatting sqref="DQ67">
    <cfRule type="colorScale" priority="979">
      <colorScale>
        <cfvo type="min"/>
        <cfvo type="percentile" val="50"/>
        <cfvo type="max"/>
        <color rgb="FF63BE7B"/>
        <color rgb="FFFFEB84"/>
        <color rgb="FFF8696B"/>
      </colorScale>
    </cfRule>
  </conditionalFormatting>
  <conditionalFormatting sqref="DQ67">
    <cfRule type="colorScale" priority="976">
      <colorScale>
        <cfvo type="min"/>
        <cfvo type="max"/>
        <color rgb="FFFCFCFF"/>
        <color rgb="FFF8696B"/>
      </colorScale>
    </cfRule>
    <cfRule type="colorScale" priority="978">
      <colorScale>
        <cfvo type="min"/>
        <cfvo type="percentile" val="50"/>
        <cfvo type="max"/>
        <color rgb="FF63BE7B"/>
        <color rgb="FFFFEB84"/>
        <color rgb="FFF8696B"/>
      </colorScale>
    </cfRule>
  </conditionalFormatting>
  <conditionalFormatting sqref="DQ67">
    <cfRule type="colorScale" priority="977">
      <colorScale>
        <cfvo type="min"/>
        <cfvo type="max"/>
        <color rgb="FFF8696B"/>
        <color rgb="FFFCFCFF"/>
      </colorScale>
    </cfRule>
  </conditionalFormatting>
  <conditionalFormatting sqref="DQ67">
    <cfRule type="colorScale" priority="975">
      <colorScale>
        <cfvo type="min"/>
        <cfvo type="percentile" val="50"/>
        <cfvo type="max"/>
        <color rgb="FFF8696B"/>
        <color rgb="FFFFEB84"/>
        <color rgb="FF63BE7B"/>
      </colorScale>
    </cfRule>
  </conditionalFormatting>
  <conditionalFormatting sqref="DQ67">
    <cfRule type="colorScale" priority="974">
      <colorScale>
        <cfvo type="min"/>
        <cfvo type="max"/>
        <color rgb="FFFCFCFF"/>
        <color rgb="FFF8696B"/>
      </colorScale>
    </cfRule>
  </conditionalFormatting>
  <conditionalFormatting sqref="DQ56 DQ61 DQ67:DQ71">
    <cfRule type="colorScale" priority="973">
      <colorScale>
        <cfvo type="min"/>
        <cfvo type="max"/>
        <color rgb="FFFCFCFF"/>
        <color rgb="FFF8696B"/>
      </colorScale>
    </cfRule>
  </conditionalFormatting>
  <conditionalFormatting sqref="DQ56 DQ61 DQ67:DQ71">
    <cfRule type="colorScale" priority="972">
      <colorScale>
        <cfvo type="min"/>
        <cfvo type="max"/>
        <color rgb="FFFCFCFF"/>
        <color rgb="FFF8696B"/>
      </colorScale>
    </cfRule>
  </conditionalFormatting>
  <conditionalFormatting sqref="DQ67:DQ71 DQ56 DQ61">
    <cfRule type="colorScale" priority="971">
      <colorScale>
        <cfvo type="min"/>
        <cfvo type="max"/>
        <color rgb="FFFCFCFF"/>
        <color rgb="FFF8696B"/>
      </colorScale>
    </cfRule>
  </conditionalFormatting>
  <conditionalFormatting sqref="DO77">
    <cfRule type="colorScale" priority="970">
      <colorScale>
        <cfvo type="min"/>
        <cfvo type="percentile" val="50"/>
        <cfvo type="max"/>
        <color rgb="FFF8696B"/>
        <color rgb="FFFFEB84"/>
        <color rgb="FF63BE7B"/>
      </colorScale>
    </cfRule>
  </conditionalFormatting>
  <conditionalFormatting sqref="DO77">
    <cfRule type="colorScale" priority="969">
      <colorScale>
        <cfvo type="min"/>
        <cfvo type="percentile" val="50"/>
        <cfvo type="max"/>
        <color rgb="FF63BE7B"/>
        <color rgb="FFFFEB84"/>
        <color rgb="FFF8696B"/>
      </colorScale>
    </cfRule>
  </conditionalFormatting>
  <conditionalFormatting sqref="DO77">
    <cfRule type="colorScale" priority="966">
      <colorScale>
        <cfvo type="min"/>
        <cfvo type="max"/>
        <color rgb="FFFCFCFF"/>
        <color rgb="FFF8696B"/>
      </colorScale>
    </cfRule>
    <cfRule type="colorScale" priority="968">
      <colorScale>
        <cfvo type="min"/>
        <cfvo type="percentile" val="50"/>
        <cfvo type="max"/>
        <color rgb="FF63BE7B"/>
        <color rgb="FFFFEB84"/>
        <color rgb="FFF8696B"/>
      </colorScale>
    </cfRule>
  </conditionalFormatting>
  <conditionalFormatting sqref="DO77">
    <cfRule type="colorScale" priority="967">
      <colorScale>
        <cfvo type="min"/>
        <cfvo type="max"/>
        <color rgb="FFF8696B"/>
        <color rgb="FFFCFCFF"/>
      </colorScale>
    </cfRule>
  </conditionalFormatting>
  <conditionalFormatting sqref="DO77">
    <cfRule type="colorScale" priority="965">
      <colorScale>
        <cfvo type="min"/>
        <cfvo type="percentile" val="50"/>
        <cfvo type="max"/>
        <color rgb="FFF8696B"/>
        <color rgb="FFFFEB84"/>
        <color rgb="FF63BE7B"/>
      </colorScale>
    </cfRule>
  </conditionalFormatting>
  <conditionalFormatting sqref="DO77">
    <cfRule type="colorScale" priority="964">
      <colorScale>
        <cfvo type="min"/>
        <cfvo type="max"/>
        <color rgb="FFFCFCFF"/>
        <color rgb="FFF8696B"/>
      </colorScale>
    </cfRule>
  </conditionalFormatting>
  <conditionalFormatting sqref="DO56">
    <cfRule type="colorScale" priority="963">
      <colorScale>
        <cfvo type="min"/>
        <cfvo type="percentile" val="50"/>
        <cfvo type="max"/>
        <color rgb="FFF8696B"/>
        <color rgb="FFFFEB84"/>
        <color rgb="FF63BE7B"/>
      </colorScale>
    </cfRule>
  </conditionalFormatting>
  <conditionalFormatting sqref="DO56">
    <cfRule type="colorScale" priority="962">
      <colorScale>
        <cfvo type="min"/>
        <cfvo type="percentile" val="50"/>
        <cfvo type="max"/>
        <color rgb="FFF8696B"/>
        <color rgb="FFFFEB84"/>
        <color rgb="FF63BE7B"/>
      </colorScale>
    </cfRule>
  </conditionalFormatting>
  <conditionalFormatting sqref="DO56">
    <cfRule type="colorScale" priority="961">
      <colorScale>
        <cfvo type="min"/>
        <cfvo type="percentile" val="50"/>
        <cfvo type="max"/>
        <color rgb="FF63BE7B"/>
        <color rgb="FFFFEB84"/>
        <color rgb="FFF8696B"/>
      </colorScale>
    </cfRule>
  </conditionalFormatting>
  <conditionalFormatting sqref="DO56">
    <cfRule type="colorScale" priority="958">
      <colorScale>
        <cfvo type="min"/>
        <cfvo type="max"/>
        <color rgb="FFFCFCFF"/>
        <color rgb="FFF8696B"/>
      </colorScale>
    </cfRule>
    <cfRule type="colorScale" priority="960">
      <colorScale>
        <cfvo type="min"/>
        <cfvo type="percentile" val="50"/>
        <cfvo type="max"/>
        <color rgb="FF63BE7B"/>
        <color rgb="FFFFEB84"/>
        <color rgb="FFF8696B"/>
      </colorScale>
    </cfRule>
  </conditionalFormatting>
  <conditionalFormatting sqref="DO56">
    <cfRule type="colorScale" priority="959">
      <colorScale>
        <cfvo type="min"/>
        <cfvo type="max"/>
        <color rgb="FFF8696B"/>
        <color rgb="FFFCFCFF"/>
      </colorScale>
    </cfRule>
  </conditionalFormatting>
  <conditionalFormatting sqref="DO56">
    <cfRule type="colorScale" priority="957">
      <colorScale>
        <cfvo type="min"/>
        <cfvo type="max"/>
        <color rgb="FFFCFCFF"/>
        <color rgb="FFF8696B"/>
      </colorScale>
    </cfRule>
  </conditionalFormatting>
  <conditionalFormatting sqref="DO67">
    <cfRule type="colorScale" priority="956">
      <colorScale>
        <cfvo type="min"/>
        <cfvo type="percentile" val="50"/>
        <cfvo type="max"/>
        <color rgb="FFF8696B"/>
        <color rgb="FFFFEB84"/>
        <color rgb="FF63BE7B"/>
      </colorScale>
    </cfRule>
  </conditionalFormatting>
  <conditionalFormatting sqref="DO67">
    <cfRule type="colorScale" priority="955">
      <colorScale>
        <cfvo type="min"/>
        <cfvo type="percentile" val="50"/>
        <cfvo type="max"/>
        <color rgb="FF63BE7B"/>
        <color rgb="FFFFEB84"/>
        <color rgb="FFF8696B"/>
      </colorScale>
    </cfRule>
  </conditionalFormatting>
  <conditionalFormatting sqref="DO67">
    <cfRule type="colorScale" priority="952">
      <colorScale>
        <cfvo type="min"/>
        <cfvo type="max"/>
        <color rgb="FFFCFCFF"/>
        <color rgb="FFF8696B"/>
      </colorScale>
    </cfRule>
    <cfRule type="colorScale" priority="954">
      <colorScale>
        <cfvo type="min"/>
        <cfvo type="percentile" val="50"/>
        <cfvo type="max"/>
        <color rgb="FF63BE7B"/>
        <color rgb="FFFFEB84"/>
        <color rgb="FFF8696B"/>
      </colorScale>
    </cfRule>
  </conditionalFormatting>
  <conditionalFormatting sqref="DO67">
    <cfRule type="colorScale" priority="953">
      <colorScale>
        <cfvo type="min"/>
        <cfvo type="max"/>
        <color rgb="FFF8696B"/>
        <color rgb="FFFCFCFF"/>
      </colorScale>
    </cfRule>
  </conditionalFormatting>
  <conditionalFormatting sqref="DO67">
    <cfRule type="colorScale" priority="951">
      <colorScale>
        <cfvo type="min"/>
        <cfvo type="percentile" val="50"/>
        <cfvo type="max"/>
        <color rgb="FFF8696B"/>
        <color rgb="FFFFEB84"/>
        <color rgb="FF63BE7B"/>
      </colorScale>
    </cfRule>
  </conditionalFormatting>
  <conditionalFormatting sqref="DO67">
    <cfRule type="colorScale" priority="950">
      <colorScale>
        <cfvo type="min"/>
        <cfvo type="max"/>
        <color rgb="FFFCFCFF"/>
        <color rgb="FFF8696B"/>
      </colorScale>
    </cfRule>
  </conditionalFormatting>
  <conditionalFormatting sqref="DO56:DO61 DO77 DO67:DO71">
    <cfRule type="colorScale" priority="949">
      <colorScale>
        <cfvo type="min"/>
        <cfvo type="max"/>
        <color rgb="FFFCFCFF"/>
        <color rgb="FFF8696B"/>
      </colorScale>
    </cfRule>
  </conditionalFormatting>
  <conditionalFormatting sqref="DO56:DO61 DO77 DO67:DO71">
    <cfRule type="colorScale" priority="948">
      <colorScale>
        <cfvo type="min"/>
        <cfvo type="max"/>
        <color rgb="FFFCFCFF"/>
        <color rgb="FFF8696B"/>
      </colorScale>
    </cfRule>
  </conditionalFormatting>
  <conditionalFormatting sqref="DO56:DO61 DO77 DO67:DO71">
    <cfRule type="colorScale" priority="947">
      <colorScale>
        <cfvo type="min"/>
        <cfvo type="max"/>
        <color rgb="FFFCFCFF"/>
        <color rgb="FFF8696B"/>
      </colorScale>
    </cfRule>
  </conditionalFormatting>
  <conditionalFormatting sqref="DM82">
    <cfRule type="colorScale" priority="946">
      <colorScale>
        <cfvo type="min"/>
        <cfvo type="percentile" val="50"/>
        <cfvo type="max"/>
        <color rgb="FFF8696B"/>
        <color rgb="FFFFEB84"/>
        <color rgb="FF63BE7B"/>
      </colorScale>
    </cfRule>
  </conditionalFormatting>
  <conditionalFormatting sqref="DM82">
    <cfRule type="colorScale" priority="945">
      <colorScale>
        <cfvo type="min"/>
        <cfvo type="percentile" val="50"/>
        <cfvo type="max"/>
        <color rgb="FF63BE7B"/>
        <color rgb="FFFFEB84"/>
        <color rgb="FFF8696B"/>
      </colorScale>
    </cfRule>
  </conditionalFormatting>
  <conditionalFormatting sqref="DM82">
    <cfRule type="colorScale" priority="942">
      <colorScale>
        <cfvo type="min"/>
        <cfvo type="max"/>
        <color rgb="FFFCFCFF"/>
        <color rgb="FFF8696B"/>
      </colorScale>
    </cfRule>
    <cfRule type="colorScale" priority="944">
      <colorScale>
        <cfvo type="min"/>
        <cfvo type="percentile" val="50"/>
        <cfvo type="max"/>
        <color rgb="FF63BE7B"/>
        <color rgb="FFFFEB84"/>
        <color rgb="FFF8696B"/>
      </colorScale>
    </cfRule>
  </conditionalFormatting>
  <conditionalFormatting sqref="DM82">
    <cfRule type="colorScale" priority="943">
      <colorScale>
        <cfvo type="min"/>
        <cfvo type="max"/>
        <color rgb="FFF8696B"/>
        <color rgb="FFFCFCFF"/>
      </colorScale>
    </cfRule>
  </conditionalFormatting>
  <conditionalFormatting sqref="DM82">
    <cfRule type="colorScale" priority="941">
      <colorScale>
        <cfvo type="min"/>
        <cfvo type="percentile" val="50"/>
        <cfvo type="max"/>
        <color rgb="FFF8696B"/>
        <color rgb="FFFFEB84"/>
        <color rgb="FF63BE7B"/>
      </colorScale>
    </cfRule>
  </conditionalFormatting>
  <conditionalFormatting sqref="DM82">
    <cfRule type="colorScale" priority="940">
      <colorScale>
        <cfvo type="min"/>
        <cfvo type="max"/>
        <color rgb="FFFCFCFF"/>
        <color rgb="FFF8696B"/>
      </colorScale>
    </cfRule>
  </conditionalFormatting>
  <conditionalFormatting sqref="DM61">
    <cfRule type="colorScale" priority="939">
      <colorScale>
        <cfvo type="min"/>
        <cfvo type="max"/>
        <color rgb="FFFCFCFF"/>
        <color rgb="FFF8696B"/>
      </colorScale>
    </cfRule>
  </conditionalFormatting>
  <conditionalFormatting sqref="DM56">
    <cfRule type="colorScale" priority="938">
      <colorScale>
        <cfvo type="min"/>
        <cfvo type="percentile" val="50"/>
        <cfvo type="max"/>
        <color rgb="FFF8696B"/>
        <color rgb="FFFFEB84"/>
        <color rgb="FF63BE7B"/>
      </colorScale>
    </cfRule>
  </conditionalFormatting>
  <conditionalFormatting sqref="DM56">
    <cfRule type="colorScale" priority="937">
      <colorScale>
        <cfvo type="min"/>
        <cfvo type="percentile" val="50"/>
        <cfvo type="max"/>
        <color rgb="FF63BE7B"/>
        <color rgb="FFFFEB84"/>
        <color rgb="FFF8696B"/>
      </colorScale>
    </cfRule>
  </conditionalFormatting>
  <conditionalFormatting sqref="DM56">
    <cfRule type="colorScale" priority="934">
      <colorScale>
        <cfvo type="min"/>
        <cfvo type="max"/>
        <color rgb="FFFCFCFF"/>
        <color rgb="FFF8696B"/>
      </colorScale>
    </cfRule>
    <cfRule type="colorScale" priority="936">
      <colorScale>
        <cfvo type="min"/>
        <cfvo type="percentile" val="50"/>
        <cfvo type="max"/>
        <color rgb="FF63BE7B"/>
        <color rgb="FFFFEB84"/>
        <color rgb="FFF8696B"/>
      </colorScale>
    </cfRule>
  </conditionalFormatting>
  <conditionalFormatting sqref="DM56">
    <cfRule type="colorScale" priority="935">
      <colorScale>
        <cfvo type="min"/>
        <cfvo type="max"/>
        <color rgb="FFF8696B"/>
        <color rgb="FFFCFCFF"/>
      </colorScale>
    </cfRule>
  </conditionalFormatting>
  <conditionalFormatting sqref="DM56">
    <cfRule type="colorScale" priority="933">
      <colorScale>
        <cfvo type="min"/>
        <cfvo type="max"/>
        <color rgb="FFFCFCFF"/>
        <color rgb="FFF8696B"/>
      </colorScale>
    </cfRule>
  </conditionalFormatting>
  <conditionalFormatting sqref="DM56 DM82">
    <cfRule type="colorScale" priority="932">
      <colorScale>
        <cfvo type="min"/>
        <cfvo type="max"/>
        <color rgb="FFFCFCFF"/>
        <color rgb="FFF8696B"/>
      </colorScale>
    </cfRule>
  </conditionalFormatting>
  <conditionalFormatting sqref="DM67">
    <cfRule type="colorScale" priority="931">
      <colorScale>
        <cfvo type="min"/>
        <cfvo type="percentile" val="50"/>
        <cfvo type="max"/>
        <color rgb="FFF8696B"/>
        <color rgb="FFFFEB84"/>
        <color rgb="FF63BE7B"/>
      </colorScale>
    </cfRule>
  </conditionalFormatting>
  <conditionalFormatting sqref="DM67">
    <cfRule type="colorScale" priority="930">
      <colorScale>
        <cfvo type="min"/>
        <cfvo type="percentile" val="50"/>
        <cfvo type="max"/>
        <color rgb="FF63BE7B"/>
        <color rgb="FFFFEB84"/>
        <color rgb="FFF8696B"/>
      </colorScale>
    </cfRule>
  </conditionalFormatting>
  <conditionalFormatting sqref="DM67">
    <cfRule type="colorScale" priority="927">
      <colorScale>
        <cfvo type="min"/>
        <cfvo type="max"/>
        <color rgb="FFFCFCFF"/>
        <color rgb="FFF8696B"/>
      </colorScale>
    </cfRule>
    <cfRule type="colorScale" priority="929">
      <colorScale>
        <cfvo type="min"/>
        <cfvo type="percentile" val="50"/>
        <cfvo type="max"/>
        <color rgb="FF63BE7B"/>
        <color rgb="FFFFEB84"/>
        <color rgb="FFF8696B"/>
      </colorScale>
    </cfRule>
  </conditionalFormatting>
  <conditionalFormatting sqref="DM67">
    <cfRule type="colorScale" priority="928">
      <colorScale>
        <cfvo type="min"/>
        <cfvo type="max"/>
        <color rgb="FFF8696B"/>
        <color rgb="FFFCFCFF"/>
      </colorScale>
    </cfRule>
  </conditionalFormatting>
  <conditionalFormatting sqref="DM67">
    <cfRule type="colorScale" priority="926">
      <colorScale>
        <cfvo type="min"/>
        <cfvo type="percentile" val="50"/>
        <cfvo type="max"/>
        <color rgb="FFF8696B"/>
        <color rgb="FFFFEB84"/>
        <color rgb="FF63BE7B"/>
      </colorScale>
    </cfRule>
  </conditionalFormatting>
  <conditionalFormatting sqref="DM67">
    <cfRule type="colorScale" priority="925">
      <colorScale>
        <cfvo type="min"/>
        <cfvo type="max"/>
        <color rgb="FFFCFCFF"/>
        <color rgb="FFF8696B"/>
      </colorScale>
    </cfRule>
  </conditionalFormatting>
  <conditionalFormatting sqref="DM67:DM76">
    <cfRule type="colorScale" priority="924">
      <colorScale>
        <cfvo type="min"/>
        <cfvo type="max"/>
        <color rgb="FFFCFCFF"/>
        <color rgb="FFF8696B"/>
      </colorScale>
    </cfRule>
  </conditionalFormatting>
  <conditionalFormatting sqref="DM56 DM82 DM67:DM76">
    <cfRule type="colorScale" priority="923">
      <colorScale>
        <cfvo type="min"/>
        <cfvo type="max"/>
        <color rgb="FFFCFCFF"/>
        <color rgb="FFF8696B"/>
      </colorScale>
    </cfRule>
  </conditionalFormatting>
  <conditionalFormatting sqref="DK82">
    <cfRule type="colorScale" priority="922">
      <colorScale>
        <cfvo type="min"/>
        <cfvo type="percentile" val="50"/>
        <cfvo type="max"/>
        <color rgb="FFF8696B"/>
        <color rgb="FFFFEB84"/>
        <color rgb="FF63BE7B"/>
      </colorScale>
    </cfRule>
  </conditionalFormatting>
  <conditionalFormatting sqref="DK82">
    <cfRule type="colorScale" priority="921">
      <colorScale>
        <cfvo type="min"/>
        <cfvo type="percentile" val="50"/>
        <cfvo type="max"/>
        <color rgb="FF63BE7B"/>
        <color rgb="FFFFEB84"/>
        <color rgb="FFF8696B"/>
      </colorScale>
    </cfRule>
  </conditionalFormatting>
  <conditionalFormatting sqref="DK82">
    <cfRule type="colorScale" priority="918">
      <colorScale>
        <cfvo type="min"/>
        <cfvo type="max"/>
        <color rgb="FFFCFCFF"/>
        <color rgb="FFF8696B"/>
      </colorScale>
    </cfRule>
    <cfRule type="colorScale" priority="920">
      <colorScale>
        <cfvo type="min"/>
        <cfvo type="percentile" val="50"/>
        <cfvo type="max"/>
        <color rgb="FF63BE7B"/>
        <color rgb="FFFFEB84"/>
        <color rgb="FFF8696B"/>
      </colorScale>
    </cfRule>
  </conditionalFormatting>
  <conditionalFormatting sqref="DK82">
    <cfRule type="colorScale" priority="919">
      <colorScale>
        <cfvo type="min"/>
        <cfvo type="max"/>
        <color rgb="FFF8696B"/>
        <color rgb="FFFCFCFF"/>
      </colorScale>
    </cfRule>
  </conditionalFormatting>
  <conditionalFormatting sqref="DK82">
    <cfRule type="colorScale" priority="917">
      <colorScale>
        <cfvo type="min"/>
        <cfvo type="percentile" val="50"/>
        <cfvo type="max"/>
        <color rgb="FFF8696B"/>
        <color rgb="FFFFEB84"/>
        <color rgb="FF63BE7B"/>
      </colorScale>
    </cfRule>
  </conditionalFormatting>
  <conditionalFormatting sqref="DK82">
    <cfRule type="colorScale" priority="916">
      <colorScale>
        <cfvo type="min"/>
        <cfvo type="max"/>
        <color rgb="FFFCFCFF"/>
        <color rgb="FFF8696B"/>
      </colorScale>
    </cfRule>
  </conditionalFormatting>
  <conditionalFormatting sqref="DK61">
    <cfRule type="colorScale" priority="915">
      <colorScale>
        <cfvo type="min"/>
        <cfvo type="max"/>
        <color rgb="FFFCFCFF"/>
        <color rgb="FFF8696B"/>
      </colorScale>
    </cfRule>
  </conditionalFormatting>
  <conditionalFormatting sqref="DK56">
    <cfRule type="colorScale" priority="914">
      <colorScale>
        <cfvo type="min"/>
        <cfvo type="percentile" val="50"/>
        <cfvo type="max"/>
        <color rgb="FFF8696B"/>
        <color rgb="FFFFEB84"/>
        <color rgb="FF63BE7B"/>
      </colorScale>
    </cfRule>
  </conditionalFormatting>
  <conditionalFormatting sqref="DK56">
    <cfRule type="colorScale" priority="913">
      <colorScale>
        <cfvo type="min"/>
        <cfvo type="percentile" val="50"/>
        <cfvo type="max"/>
        <color rgb="FFF8696B"/>
        <color rgb="FFFFEB84"/>
        <color rgb="FF63BE7B"/>
      </colorScale>
    </cfRule>
  </conditionalFormatting>
  <conditionalFormatting sqref="DK56">
    <cfRule type="colorScale" priority="912">
      <colorScale>
        <cfvo type="min"/>
        <cfvo type="percentile" val="50"/>
        <cfvo type="max"/>
        <color rgb="FF63BE7B"/>
        <color rgb="FFFFEB84"/>
        <color rgb="FFF8696B"/>
      </colorScale>
    </cfRule>
  </conditionalFormatting>
  <conditionalFormatting sqref="DK56">
    <cfRule type="colorScale" priority="909">
      <colorScale>
        <cfvo type="min"/>
        <cfvo type="max"/>
        <color rgb="FFFCFCFF"/>
        <color rgb="FFF8696B"/>
      </colorScale>
    </cfRule>
    <cfRule type="colorScale" priority="911">
      <colorScale>
        <cfvo type="min"/>
        <cfvo type="percentile" val="50"/>
        <cfvo type="max"/>
        <color rgb="FF63BE7B"/>
        <color rgb="FFFFEB84"/>
        <color rgb="FFF8696B"/>
      </colorScale>
    </cfRule>
  </conditionalFormatting>
  <conditionalFormatting sqref="DK56">
    <cfRule type="colorScale" priority="910">
      <colorScale>
        <cfvo type="min"/>
        <cfvo type="max"/>
        <color rgb="FFF8696B"/>
        <color rgb="FFFCFCFF"/>
      </colorScale>
    </cfRule>
  </conditionalFormatting>
  <conditionalFormatting sqref="DK56">
    <cfRule type="colorScale" priority="908">
      <colorScale>
        <cfvo type="min"/>
        <cfvo type="max"/>
        <color rgb="FFFCFCFF"/>
        <color rgb="FFF8696B"/>
      </colorScale>
    </cfRule>
  </conditionalFormatting>
  <conditionalFormatting sqref="DK56">
    <cfRule type="colorScale" priority="907">
      <colorScale>
        <cfvo type="min"/>
        <cfvo type="max"/>
        <color rgb="FFFCFCFF"/>
        <color rgb="FFF8696B"/>
      </colorScale>
    </cfRule>
  </conditionalFormatting>
  <conditionalFormatting sqref="DK56 DK82">
    <cfRule type="colorScale" priority="906">
      <colorScale>
        <cfvo type="min"/>
        <cfvo type="max"/>
        <color rgb="FFFCFCFF"/>
        <color rgb="FFF8696B"/>
      </colorScale>
    </cfRule>
  </conditionalFormatting>
  <conditionalFormatting sqref="DK67">
    <cfRule type="colorScale" priority="905">
      <colorScale>
        <cfvo type="min"/>
        <cfvo type="percentile" val="50"/>
        <cfvo type="max"/>
        <color rgb="FFF8696B"/>
        <color rgb="FFFFEB84"/>
        <color rgb="FF63BE7B"/>
      </colorScale>
    </cfRule>
  </conditionalFormatting>
  <conditionalFormatting sqref="DK67">
    <cfRule type="colorScale" priority="904">
      <colorScale>
        <cfvo type="min"/>
        <cfvo type="percentile" val="50"/>
        <cfvo type="max"/>
        <color rgb="FF63BE7B"/>
        <color rgb="FFFFEB84"/>
        <color rgb="FFF8696B"/>
      </colorScale>
    </cfRule>
  </conditionalFormatting>
  <conditionalFormatting sqref="DK67">
    <cfRule type="colorScale" priority="901">
      <colorScale>
        <cfvo type="min"/>
        <cfvo type="max"/>
        <color rgb="FFFCFCFF"/>
        <color rgb="FFF8696B"/>
      </colorScale>
    </cfRule>
    <cfRule type="colorScale" priority="903">
      <colorScale>
        <cfvo type="min"/>
        <cfvo type="percentile" val="50"/>
        <cfvo type="max"/>
        <color rgb="FF63BE7B"/>
        <color rgb="FFFFEB84"/>
        <color rgb="FFF8696B"/>
      </colorScale>
    </cfRule>
  </conditionalFormatting>
  <conditionalFormatting sqref="DK67">
    <cfRule type="colorScale" priority="902">
      <colorScale>
        <cfvo type="min"/>
        <cfvo type="max"/>
        <color rgb="FFF8696B"/>
        <color rgb="FFFCFCFF"/>
      </colorScale>
    </cfRule>
  </conditionalFormatting>
  <conditionalFormatting sqref="DK67">
    <cfRule type="colorScale" priority="900">
      <colorScale>
        <cfvo type="min"/>
        <cfvo type="percentile" val="50"/>
        <cfvo type="max"/>
        <color rgb="FFF8696B"/>
        <color rgb="FFFFEB84"/>
        <color rgb="FF63BE7B"/>
      </colorScale>
    </cfRule>
  </conditionalFormatting>
  <conditionalFormatting sqref="DK67">
    <cfRule type="colorScale" priority="899">
      <colorScale>
        <cfvo type="min"/>
        <cfvo type="max"/>
        <color rgb="FFFCFCFF"/>
        <color rgb="FFF8696B"/>
      </colorScale>
    </cfRule>
  </conditionalFormatting>
  <conditionalFormatting sqref="DK67:DK76">
    <cfRule type="colorScale" priority="898">
      <colorScale>
        <cfvo type="min"/>
        <cfvo type="max"/>
        <color rgb="FFFCFCFF"/>
        <color rgb="FFF8696B"/>
      </colorScale>
    </cfRule>
  </conditionalFormatting>
  <conditionalFormatting sqref="DK67:DK76">
    <cfRule type="colorScale" priority="897">
      <colorScale>
        <cfvo type="min"/>
        <cfvo type="max"/>
        <color rgb="FFFCFCFF"/>
        <color rgb="FFF8696B"/>
      </colorScale>
    </cfRule>
  </conditionalFormatting>
  <conditionalFormatting sqref="DK67:DK76">
    <cfRule type="colorScale" priority="896">
      <colorScale>
        <cfvo type="min"/>
        <cfvo type="max"/>
        <color rgb="FFFCFCFF"/>
        <color rgb="FFF8696B"/>
      </colorScale>
    </cfRule>
  </conditionalFormatting>
  <conditionalFormatting sqref="DK56 DK82 DK67:DK76">
    <cfRule type="colorScale" priority="895">
      <colorScale>
        <cfvo type="min"/>
        <cfvo type="max"/>
        <color rgb="FFFCFCFF"/>
        <color rgb="FFF8696B"/>
      </colorScale>
    </cfRule>
  </conditionalFormatting>
  <conditionalFormatting sqref="DG82 DG66 DG71 DG76">
    <cfRule type="colorScale" priority="894">
      <colorScale>
        <cfvo type="min"/>
        <cfvo type="percentile" val="50"/>
        <cfvo type="max"/>
        <color rgb="FFF8696B"/>
        <color rgb="FFFFEB84"/>
        <color rgb="FF63BE7B"/>
      </colorScale>
    </cfRule>
  </conditionalFormatting>
  <conditionalFormatting sqref="DG76">
    <cfRule type="colorScale" priority="893">
      <colorScale>
        <cfvo type="min"/>
        <cfvo type="percentile" val="50"/>
        <cfvo type="max"/>
        <color rgb="FFF8696B"/>
        <color rgb="FFFFEB84"/>
        <color rgb="FF63BE7B"/>
      </colorScale>
    </cfRule>
  </conditionalFormatting>
  <conditionalFormatting sqref="DG82 DG66 DG71 DG76">
    <cfRule type="colorScale" priority="892">
      <colorScale>
        <cfvo type="min"/>
        <cfvo type="percentile" val="50"/>
        <cfvo type="max"/>
        <color rgb="FF63BE7B"/>
        <color rgb="FFFFEB84"/>
        <color rgb="FFF8696B"/>
      </colorScale>
    </cfRule>
  </conditionalFormatting>
  <conditionalFormatting sqref="DG82 DG66 DG71 DG76">
    <cfRule type="colorScale" priority="889">
      <colorScale>
        <cfvo type="min"/>
        <cfvo type="max"/>
        <color rgb="FFFCFCFF"/>
        <color rgb="FFF8696B"/>
      </colorScale>
    </cfRule>
    <cfRule type="colorScale" priority="891">
      <colorScale>
        <cfvo type="min"/>
        <cfvo type="percentile" val="50"/>
        <cfvo type="max"/>
        <color rgb="FF63BE7B"/>
        <color rgb="FFFFEB84"/>
        <color rgb="FFF8696B"/>
      </colorScale>
    </cfRule>
  </conditionalFormatting>
  <conditionalFormatting sqref="DG82 DG71 DG66 DG76">
    <cfRule type="colorScale" priority="890">
      <colorScale>
        <cfvo type="min"/>
        <cfvo type="max"/>
        <color rgb="FFF8696B"/>
        <color rgb="FFFCFCFF"/>
      </colorScale>
    </cfRule>
  </conditionalFormatting>
  <conditionalFormatting sqref="DG66">
    <cfRule type="colorScale" priority="888">
      <colorScale>
        <cfvo type="min"/>
        <cfvo type="percentile" val="50"/>
        <cfvo type="max"/>
        <color rgb="FFF8696B"/>
        <color rgb="FFFFEB84"/>
        <color rgb="FF63BE7B"/>
      </colorScale>
    </cfRule>
  </conditionalFormatting>
  <conditionalFormatting sqref="DG71">
    <cfRule type="colorScale" priority="887">
      <colorScale>
        <cfvo type="min"/>
        <cfvo type="percentile" val="50"/>
        <cfvo type="max"/>
        <color rgb="FFF8696B"/>
        <color rgb="FFFFEB84"/>
        <color rgb="FF63BE7B"/>
      </colorScale>
    </cfRule>
  </conditionalFormatting>
  <conditionalFormatting sqref="DG76">
    <cfRule type="colorScale" priority="886">
      <colorScale>
        <cfvo type="min"/>
        <cfvo type="percentile" val="50"/>
        <cfvo type="max"/>
        <color rgb="FFF8696B"/>
        <color rgb="FFFFEB84"/>
        <color rgb="FF63BE7B"/>
      </colorScale>
    </cfRule>
  </conditionalFormatting>
  <conditionalFormatting sqref="DG82">
    <cfRule type="colorScale" priority="885">
      <colorScale>
        <cfvo type="min"/>
        <cfvo type="percentile" val="50"/>
        <cfvo type="max"/>
        <color rgb="FFF8696B"/>
        <color rgb="FFFFEB84"/>
        <color rgb="FF63BE7B"/>
      </colorScale>
    </cfRule>
  </conditionalFormatting>
  <conditionalFormatting sqref="DG82 DG71 DG66 DG76">
    <cfRule type="colorScale" priority="884">
      <colorScale>
        <cfvo type="min"/>
        <cfvo type="max"/>
        <color rgb="FFFCFCFF"/>
        <color rgb="FFF8696B"/>
      </colorScale>
    </cfRule>
  </conditionalFormatting>
  <conditionalFormatting sqref="DG61">
    <cfRule type="colorScale" priority="883">
      <colorScale>
        <cfvo type="min"/>
        <cfvo type="percentile" val="50"/>
        <cfvo type="max"/>
        <color rgb="FFF8696B"/>
        <color rgb="FFFFEB84"/>
        <color rgb="FF63BE7B"/>
      </colorScale>
    </cfRule>
  </conditionalFormatting>
  <conditionalFormatting sqref="DG61">
    <cfRule type="colorScale" priority="882">
      <colorScale>
        <cfvo type="min"/>
        <cfvo type="percentile" val="50"/>
        <cfvo type="max"/>
        <color rgb="FFF8696B"/>
        <color rgb="FFFFEB84"/>
        <color rgb="FF63BE7B"/>
      </colorScale>
    </cfRule>
  </conditionalFormatting>
  <conditionalFormatting sqref="DG61">
    <cfRule type="colorScale" priority="881">
      <colorScale>
        <cfvo type="min"/>
        <cfvo type="percentile" val="50"/>
        <cfvo type="max"/>
        <color rgb="FF63BE7B"/>
        <color rgb="FFFFEB84"/>
        <color rgb="FFF8696B"/>
      </colorScale>
    </cfRule>
  </conditionalFormatting>
  <conditionalFormatting sqref="DG61">
    <cfRule type="colorScale" priority="878">
      <colorScale>
        <cfvo type="min"/>
        <cfvo type="max"/>
        <color rgb="FFFCFCFF"/>
        <color rgb="FFF8696B"/>
      </colorScale>
    </cfRule>
    <cfRule type="colorScale" priority="880">
      <colorScale>
        <cfvo type="min"/>
        <cfvo type="percentile" val="50"/>
        <cfvo type="max"/>
        <color rgb="FF63BE7B"/>
        <color rgb="FFFFEB84"/>
        <color rgb="FFF8696B"/>
      </colorScale>
    </cfRule>
  </conditionalFormatting>
  <conditionalFormatting sqref="DG61">
    <cfRule type="colorScale" priority="879">
      <colorScale>
        <cfvo type="min"/>
        <cfvo type="max"/>
        <color rgb="FFF8696B"/>
        <color rgb="FFFCFCFF"/>
      </colorScale>
    </cfRule>
  </conditionalFormatting>
  <conditionalFormatting sqref="DG61">
    <cfRule type="colorScale" priority="877">
      <colorScale>
        <cfvo type="min"/>
        <cfvo type="max"/>
        <color rgb="FFFCFCFF"/>
        <color rgb="FFF8696B"/>
      </colorScale>
    </cfRule>
  </conditionalFormatting>
  <conditionalFormatting sqref="DG56">
    <cfRule type="colorScale" priority="876">
      <colorScale>
        <cfvo type="min"/>
        <cfvo type="percentile" val="50"/>
        <cfvo type="max"/>
        <color rgb="FFF8696B"/>
        <color rgb="FFFFEB84"/>
        <color rgb="FF63BE7B"/>
      </colorScale>
    </cfRule>
  </conditionalFormatting>
  <conditionalFormatting sqref="DG56">
    <cfRule type="colorScale" priority="875">
      <colorScale>
        <cfvo type="min"/>
        <cfvo type="percentile" val="50"/>
        <cfvo type="max"/>
        <color rgb="FFF8696B"/>
        <color rgb="FFFFEB84"/>
        <color rgb="FF63BE7B"/>
      </colorScale>
    </cfRule>
  </conditionalFormatting>
  <conditionalFormatting sqref="DG56">
    <cfRule type="colorScale" priority="874">
      <colorScale>
        <cfvo type="min"/>
        <cfvo type="percentile" val="50"/>
        <cfvo type="max"/>
        <color rgb="FF63BE7B"/>
        <color rgb="FFFFEB84"/>
        <color rgb="FFF8696B"/>
      </colorScale>
    </cfRule>
  </conditionalFormatting>
  <conditionalFormatting sqref="DG56">
    <cfRule type="colorScale" priority="871">
      <colorScale>
        <cfvo type="min"/>
        <cfvo type="max"/>
        <color rgb="FFFCFCFF"/>
        <color rgb="FFF8696B"/>
      </colorScale>
    </cfRule>
    <cfRule type="colorScale" priority="873">
      <colorScale>
        <cfvo type="min"/>
        <cfvo type="percentile" val="50"/>
        <cfvo type="max"/>
        <color rgb="FF63BE7B"/>
        <color rgb="FFFFEB84"/>
        <color rgb="FFF8696B"/>
      </colorScale>
    </cfRule>
  </conditionalFormatting>
  <conditionalFormatting sqref="DG56">
    <cfRule type="colorScale" priority="872">
      <colorScale>
        <cfvo type="min"/>
        <cfvo type="max"/>
        <color rgb="FFF8696B"/>
        <color rgb="FFFCFCFF"/>
      </colorScale>
    </cfRule>
  </conditionalFormatting>
  <conditionalFormatting sqref="DG56">
    <cfRule type="colorScale" priority="870">
      <colorScale>
        <cfvo type="min"/>
        <cfvo type="max"/>
        <color rgb="FFFCFCFF"/>
        <color rgb="FFF8696B"/>
      </colorScale>
    </cfRule>
  </conditionalFormatting>
  <conditionalFormatting sqref="DG61 DG56 DG66 DG71 DG76 DG82">
    <cfRule type="colorScale" priority="869">
      <colorScale>
        <cfvo type="min"/>
        <cfvo type="max"/>
        <color rgb="FFFCFCFF"/>
        <color rgb="FFF8696B"/>
      </colorScale>
    </cfRule>
  </conditionalFormatting>
  <conditionalFormatting sqref="DG82 DG56 DG61 DG66 DG71 DG76">
    <cfRule type="colorScale" priority="868">
      <colorScale>
        <cfvo type="min"/>
        <cfvo type="max"/>
        <color rgb="FFFCFCFF"/>
        <color rgb="FFF8696B"/>
      </colorScale>
    </cfRule>
  </conditionalFormatting>
  <conditionalFormatting sqref="DG61 DG56 DG66 DG71 DG76 DG82">
    <cfRule type="colorScale" priority="867">
      <colorScale>
        <cfvo type="min"/>
        <cfvo type="max"/>
        <color rgb="FFFCFCFF"/>
        <color rgb="FFF8696B"/>
      </colorScale>
    </cfRule>
  </conditionalFormatting>
  <conditionalFormatting sqref="DG61 DG56 DG66 DG71 DG76 DG82">
    <cfRule type="colorScale" priority="866">
      <colorScale>
        <cfvo type="min"/>
        <cfvo type="max"/>
        <color rgb="FFFCFCFF"/>
        <color rgb="FFF8696B"/>
      </colorScale>
    </cfRule>
  </conditionalFormatting>
  <conditionalFormatting sqref="DE82 DE66 DE71 DE76">
    <cfRule type="colorScale" priority="865">
      <colorScale>
        <cfvo type="min"/>
        <cfvo type="percentile" val="50"/>
        <cfvo type="max"/>
        <color rgb="FFF8696B"/>
        <color rgb="FFFFEB84"/>
        <color rgb="FF63BE7B"/>
      </colorScale>
    </cfRule>
  </conditionalFormatting>
  <conditionalFormatting sqref="DE76">
    <cfRule type="colorScale" priority="864">
      <colorScale>
        <cfvo type="min"/>
        <cfvo type="percentile" val="50"/>
        <cfvo type="max"/>
        <color rgb="FFF8696B"/>
        <color rgb="FFFFEB84"/>
        <color rgb="FF63BE7B"/>
      </colorScale>
    </cfRule>
  </conditionalFormatting>
  <conditionalFormatting sqref="DE66 DE82 DE71 DE76">
    <cfRule type="colorScale" priority="863">
      <colorScale>
        <cfvo type="min"/>
        <cfvo type="percentile" val="50"/>
        <cfvo type="max"/>
        <color rgb="FF63BE7B"/>
        <color rgb="FFFFEB84"/>
        <color rgb="FFF8696B"/>
      </colorScale>
    </cfRule>
  </conditionalFormatting>
  <conditionalFormatting sqref="DE82 DE66 DE71 DE76">
    <cfRule type="colorScale" priority="860">
      <colorScale>
        <cfvo type="min"/>
        <cfvo type="max"/>
        <color rgb="FFFCFCFF"/>
        <color rgb="FFF8696B"/>
      </colorScale>
    </cfRule>
    <cfRule type="colorScale" priority="862">
      <colorScale>
        <cfvo type="min"/>
        <cfvo type="percentile" val="50"/>
        <cfvo type="max"/>
        <color rgb="FF63BE7B"/>
        <color rgb="FFFFEB84"/>
        <color rgb="FFF8696B"/>
      </colorScale>
    </cfRule>
  </conditionalFormatting>
  <conditionalFormatting sqref="DE66 DE82 DE71 DE76">
    <cfRule type="colorScale" priority="861">
      <colorScale>
        <cfvo type="min"/>
        <cfvo type="max"/>
        <color rgb="FFF8696B"/>
        <color rgb="FFFCFCFF"/>
      </colorScale>
    </cfRule>
  </conditionalFormatting>
  <conditionalFormatting sqref="DE66">
    <cfRule type="colorScale" priority="859">
      <colorScale>
        <cfvo type="min"/>
        <cfvo type="percentile" val="50"/>
        <cfvo type="max"/>
        <color rgb="FFF8696B"/>
        <color rgb="FFFFEB84"/>
        <color rgb="FF63BE7B"/>
      </colorScale>
    </cfRule>
  </conditionalFormatting>
  <conditionalFormatting sqref="DE71">
    <cfRule type="colorScale" priority="858">
      <colorScale>
        <cfvo type="min"/>
        <cfvo type="percentile" val="50"/>
        <cfvo type="max"/>
        <color rgb="FFF8696B"/>
        <color rgb="FFFFEB84"/>
        <color rgb="FF63BE7B"/>
      </colorScale>
    </cfRule>
  </conditionalFormatting>
  <conditionalFormatting sqref="DE76">
    <cfRule type="colorScale" priority="857">
      <colorScale>
        <cfvo type="min"/>
        <cfvo type="percentile" val="50"/>
        <cfvo type="max"/>
        <color rgb="FFF8696B"/>
        <color rgb="FFFFEB84"/>
        <color rgb="FF63BE7B"/>
      </colorScale>
    </cfRule>
  </conditionalFormatting>
  <conditionalFormatting sqref="DE82">
    <cfRule type="colorScale" priority="856">
      <colorScale>
        <cfvo type="min"/>
        <cfvo type="percentile" val="50"/>
        <cfvo type="max"/>
        <color rgb="FFF8696B"/>
        <color rgb="FFFFEB84"/>
        <color rgb="FF63BE7B"/>
      </colorScale>
    </cfRule>
  </conditionalFormatting>
  <conditionalFormatting sqref="DE66 DE82 DE71 DE76">
    <cfRule type="colorScale" priority="855">
      <colorScale>
        <cfvo type="min"/>
        <cfvo type="max"/>
        <color rgb="FFFCFCFF"/>
        <color rgb="FFF8696B"/>
      </colorScale>
    </cfRule>
  </conditionalFormatting>
  <conditionalFormatting sqref="DE61">
    <cfRule type="colorScale" priority="854">
      <colorScale>
        <cfvo type="min"/>
        <cfvo type="percentile" val="50"/>
        <cfvo type="max"/>
        <color rgb="FFF8696B"/>
        <color rgb="FFFFEB84"/>
        <color rgb="FF63BE7B"/>
      </colorScale>
    </cfRule>
  </conditionalFormatting>
  <conditionalFormatting sqref="DE61">
    <cfRule type="colorScale" priority="853">
      <colorScale>
        <cfvo type="min"/>
        <cfvo type="percentile" val="50"/>
        <cfvo type="max"/>
        <color rgb="FFF8696B"/>
        <color rgb="FFFFEB84"/>
        <color rgb="FF63BE7B"/>
      </colorScale>
    </cfRule>
  </conditionalFormatting>
  <conditionalFormatting sqref="DE61">
    <cfRule type="colorScale" priority="852">
      <colorScale>
        <cfvo type="min"/>
        <cfvo type="percentile" val="50"/>
        <cfvo type="max"/>
        <color rgb="FF63BE7B"/>
        <color rgb="FFFFEB84"/>
        <color rgb="FFF8696B"/>
      </colorScale>
    </cfRule>
  </conditionalFormatting>
  <conditionalFormatting sqref="DE61">
    <cfRule type="colorScale" priority="849">
      <colorScale>
        <cfvo type="min"/>
        <cfvo type="max"/>
        <color rgb="FFFCFCFF"/>
        <color rgb="FFF8696B"/>
      </colorScale>
    </cfRule>
    <cfRule type="colorScale" priority="851">
      <colorScale>
        <cfvo type="min"/>
        <cfvo type="percentile" val="50"/>
        <cfvo type="max"/>
        <color rgb="FF63BE7B"/>
        <color rgb="FFFFEB84"/>
        <color rgb="FFF8696B"/>
      </colorScale>
    </cfRule>
  </conditionalFormatting>
  <conditionalFormatting sqref="DE61">
    <cfRule type="colorScale" priority="850">
      <colorScale>
        <cfvo type="min"/>
        <cfvo type="max"/>
        <color rgb="FFF8696B"/>
        <color rgb="FFFCFCFF"/>
      </colorScale>
    </cfRule>
  </conditionalFormatting>
  <conditionalFormatting sqref="DE61">
    <cfRule type="colorScale" priority="848">
      <colorScale>
        <cfvo type="min"/>
        <cfvo type="max"/>
        <color rgb="FFFCFCFF"/>
        <color rgb="FFF8696B"/>
      </colorScale>
    </cfRule>
  </conditionalFormatting>
  <conditionalFormatting sqref="DE56">
    <cfRule type="colorScale" priority="847">
      <colorScale>
        <cfvo type="min"/>
        <cfvo type="percentile" val="50"/>
        <cfvo type="max"/>
        <color rgb="FFF8696B"/>
        <color rgb="FFFFEB84"/>
        <color rgb="FF63BE7B"/>
      </colorScale>
    </cfRule>
  </conditionalFormatting>
  <conditionalFormatting sqref="DE56">
    <cfRule type="colorScale" priority="846">
      <colorScale>
        <cfvo type="min"/>
        <cfvo type="percentile" val="50"/>
        <cfvo type="max"/>
        <color rgb="FFF8696B"/>
        <color rgb="FFFFEB84"/>
        <color rgb="FF63BE7B"/>
      </colorScale>
    </cfRule>
  </conditionalFormatting>
  <conditionalFormatting sqref="DE56">
    <cfRule type="colorScale" priority="845">
      <colorScale>
        <cfvo type="min"/>
        <cfvo type="percentile" val="50"/>
        <cfvo type="max"/>
        <color rgb="FF63BE7B"/>
        <color rgb="FFFFEB84"/>
        <color rgb="FFF8696B"/>
      </colorScale>
    </cfRule>
  </conditionalFormatting>
  <conditionalFormatting sqref="DE56">
    <cfRule type="colorScale" priority="842">
      <colorScale>
        <cfvo type="min"/>
        <cfvo type="max"/>
        <color rgb="FFFCFCFF"/>
        <color rgb="FFF8696B"/>
      </colorScale>
    </cfRule>
    <cfRule type="colorScale" priority="844">
      <colorScale>
        <cfvo type="min"/>
        <cfvo type="percentile" val="50"/>
        <cfvo type="max"/>
        <color rgb="FF63BE7B"/>
        <color rgb="FFFFEB84"/>
        <color rgb="FFF8696B"/>
      </colorScale>
    </cfRule>
  </conditionalFormatting>
  <conditionalFormatting sqref="DE56">
    <cfRule type="colorScale" priority="843">
      <colorScale>
        <cfvo type="min"/>
        <cfvo type="max"/>
        <color rgb="FFF8696B"/>
        <color rgb="FFFCFCFF"/>
      </colorScale>
    </cfRule>
  </conditionalFormatting>
  <conditionalFormatting sqref="DE56">
    <cfRule type="colorScale" priority="841">
      <colorScale>
        <cfvo type="min"/>
        <cfvo type="max"/>
        <color rgb="FFFCFCFF"/>
        <color rgb="FFF8696B"/>
      </colorScale>
    </cfRule>
  </conditionalFormatting>
  <conditionalFormatting sqref="DE56 DE61 DE76 DE71 DE66 DE82">
    <cfRule type="colorScale" priority="840">
      <colorScale>
        <cfvo type="min"/>
        <cfvo type="max"/>
        <color rgb="FFFCFCFF"/>
        <color rgb="FFF8696B"/>
      </colorScale>
    </cfRule>
  </conditionalFormatting>
  <conditionalFormatting sqref="DE56 DE61 DE66 DE71 DE76 DE82">
    <cfRule type="colorScale" priority="839">
      <colorScale>
        <cfvo type="min"/>
        <cfvo type="max"/>
        <color rgb="FFFCFCFF"/>
        <color rgb="FFF8696B"/>
      </colorScale>
    </cfRule>
  </conditionalFormatting>
  <conditionalFormatting sqref="DE61 DE56 DE71 DE66 DE76 DE82">
    <cfRule type="colorScale" priority="838">
      <colorScale>
        <cfvo type="min"/>
        <cfvo type="max"/>
        <color rgb="FFFCFCFF"/>
        <color rgb="FFF8696B"/>
      </colorScale>
    </cfRule>
  </conditionalFormatting>
  <conditionalFormatting sqref="DE56 DE61 DE66 DE76 DE71 DE82">
    <cfRule type="colorScale" priority="837">
      <colorScale>
        <cfvo type="min"/>
        <cfvo type="max"/>
        <color rgb="FFFCFCFF"/>
        <color rgb="FFF8696B"/>
      </colorScale>
    </cfRule>
  </conditionalFormatting>
  <conditionalFormatting sqref="DC76 DC82">
    <cfRule type="colorScale" priority="836">
      <colorScale>
        <cfvo type="min"/>
        <cfvo type="percentile" val="50"/>
        <cfvo type="max"/>
        <color rgb="FFF8696B"/>
        <color rgb="FFFFEB84"/>
        <color rgb="FF63BE7B"/>
      </colorScale>
    </cfRule>
  </conditionalFormatting>
  <conditionalFormatting sqref="DC76">
    <cfRule type="colorScale" priority="835">
      <colorScale>
        <cfvo type="min"/>
        <cfvo type="percentile" val="50"/>
        <cfvo type="max"/>
        <color rgb="FFF8696B"/>
        <color rgb="FFFFEB84"/>
        <color rgb="FF63BE7B"/>
      </colorScale>
    </cfRule>
  </conditionalFormatting>
  <conditionalFormatting sqref="DC82 DC76">
    <cfRule type="colorScale" priority="834">
      <colorScale>
        <cfvo type="min"/>
        <cfvo type="percentile" val="50"/>
        <cfvo type="max"/>
        <color rgb="FF63BE7B"/>
        <color rgb="FFFFEB84"/>
        <color rgb="FFF8696B"/>
      </colorScale>
    </cfRule>
  </conditionalFormatting>
  <conditionalFormatting sqref="DC82 DC76">
    <cfRule type="colorScale" priority="831">
      <colorScale>
        <cfvo type="min"/>
        <cfvo type="max"/>
        <color rgb="FFFCFCFF"/>
        <color rgb="FFF8696B"/>
      </colorScale>
    </cfRule>
    <cfRule type="colorScale" priority="833">
      <colorScale>
        <cfvo type="min"/>
        <cfvo type="percentile" val="50"/>
        <cfvo type="max"/>
        <color rgb="FF63BE7B"/>
        <color rgb="FFFFEB84"/>
        <color rgb="FFF8696B"/>
      </colorScale>
    </cfRule>
  </conditionalFormatting>
  <conditionalFormatting sqref="DC82 DC76">
    <cfRule type="colorScale" priority="832">
      <colorScale>
        <cfvo type="min"/>
        <cfvo type="max"/>
        <color rgb="FFF8696B"/>
        <color rgb="FFFCFCFF"/>
      </colorScale>
    </cfRule>
  </conditionalFormatting>
  <conditionalFormatting sqref="DC76">
    <cfRule type="colorScale" priority="830">
      <colorScale>
        <cfvo type="min"/>
        <cfvo type="percentile" val="50"/>
        <cfvo type="max"/>
        <color rgb="FFF8696B"/>
        <color rgb="FFFFEB84"/>
        <color rgb="FF63BE7B"/>
      </colorScale>
    </cfRule>
  </conditionalFormatting>
  <conditionalFormatting sqref="DC82">
    <cfRule type="colorScale" priority="829">
      <colorScale>
        <cfvo type="min"/>
        <cfvo type="percentile" val="50"/>
        <cfvo type="max"/>
        <color rgb="FFF8696B"/>
        <color rgb="FFFFEB84"/>
        <color rgb="FF63BE7B"/>
      </colorScale>
    </cfRule>
  </conditionalFormatting>
  <conditionalFormatting sqref="DC82 DC76">
    <cfRule type="colorScale" priority="828">
      <colorScale>
        <cfvo type="min"/>
        <cfvo type="max"/>
        <color rgb="FFFCFCFF"/>
        <color rgb="FFF8696B"/>
      </colorScale>
    </cfRule>
  </conditionalFormatting>
  <conditionalFormatting sqref="DC61">
    <cfRule type="colorScale" priority="827">
      <colorScale>
        <cfvo type="min"/>
        <cfvo type="percentile" val="50"/>
        <cfvo type="max"/>
        <color rgb="FFF8696B"/>
        <color rgb="FFFFEB84"/>
        <color rgb="FF63BE7B"/>
      </colorScale>
    </cfRule>
  </conditionalFormatting>
  <conditionalFormatting sqref="DC61">
    <cfRule type="colorScale" priority="826">
      <colorScale>
        <cfvo type="min"/>
        <cfvo type="percentile" val="50"/>
        <cfvo type="max"/>
        <color rgb="FFF8696B"/>
        <color rgb="FFFFEB84"/>
        <color rgb="FF63BE7B"/>
      </colorScale>
    </cfRule>
  </conditionalFormatting>
  <conditionalFormatting sqref="DC61">
    <cfRule type="colorScale" priority="825">
      <colorScale>
        <cfvo type="min"/>
        <cfvo type="percentile" val="50"/>
        <cfvo type="max"/>
        <color rgb="FF63BE7B"/>
        <color rgb="FFFFEB84"/>
        <color rgb="FFF8696B"/>
      </colorScale>
    </cfRule>
  </conditionalFormatting>
  <conditionalFormatting sqref="DC61">
    <cfRule type="colorScale" priority="822">
      <colorScale>
        <cfvo type="min"/>
        <cfvo type="max"/>
        <color rgb="FFFCFCFF"/>
        <color rgb="FFF8696B"/>
      </colorScale>
    </cfRule>
    <cfRule type="colorScale" priority="824">
      <colorScale>
        <cfvo type="min"/>
        <cfvo type="percentile" val="50"/>
        <cfvo type="max"/>
        <color rgb="FF63BE7B"/>
        <color rgb="FFFFEB84"/>
        <color rgb="FFF8696B"/>
      </colorScale>
    </cfRule>
  </conditionalFormatting>
  <conditionalFormatting sqref="DC61">
    <cfRule type="colorScale" priority="823">
      <colorScale>
        <cfvo type="min"/>
        <cfvo type="max"/>
        <color rgb="FFF8696B"/>
        <color rgb="FFFCFCFF"/>
      </colorScale>
    </cfRule>
  </conditionalFormatting>
  <conditionalFormatting sqref="DC61">
    <cfRule type="colorScale" priority="821">
      <colorScale>
        <cfvo type="min"/>
        <cfvo type="max"/>
        <color rgb="FFFCFCFF"/>
        <color rgb="FFF8696B"/>
      </colorScale>
    </cfRule>
  </conditionalFormatting>
  <conditionalFormatting sqref="DC56">
    <cfRule type="colorScale" priority="820">
      <colorScale>
        <cfvo type="min"/>
        <cfvo type="percentile" val="50"/>
        <cfvo type="max"/>
        <color rgb="FFF8696B"/>
        <color rgb="FFFFEB84"/>
        <color rgb="FF63BE7B"/>
      </colorScale>
    </cfRule>
  </conditionalFormatting>
  <conditionalFormatting sqref="DC56">
    <cfRule type="colorScale" priority="819">
      <colorScale>
        <cfvo type="min"/>
        <cfvo type="percentile" val="50"/>
        <cfvo type="max"/>
        <color rgb="FFF8696B"/>
        <color rgb="FFFFEB84"/>
        <color rgb="FF63BE7B"/>
      </colorScale>
    </cfRule>
  </conditionalFormatting>
  <conditionalFormatting sqref="DC56">
    <cfRule type="colorScale" priority="818">
      <colorScale>
        <cfvo type="min"/>
        <cfvo type="percentile" val="50"/>
        <cfvo type="max"/>
        <color rgb="FF63BE7B"/>
        <color rgb="FFFFEB84"/>
        <color rgb="FFF8696B"/>
      </colorScale>
    </cfRule>
  </conditionalFormatting>
  <conditionalFormatting sqref="DC56">
    <cfRule type="colorScale" priority="815">
      <colorScale>
        <cfvo type="min"/>
        <cfvo type="max"/>
        <color rgb="FFFCFCFF"/>
        <color rgb="FFF8696B"/>
      </colorScale>
    </cfRule>
    <cfRule type="colorScale" priority="817">
      <colorScale>
        <cfvo type="min"/>
        <cfvo type="percentile" val="50"/>
        <cfvo type="max"/>
        <color rgb="FF63BE7B"/>
        <color rgb="FFFFEB84"/>
        <color rgb="FFF8696B"/>
      </colorScale>
    </cfRule>
  </conditionalFormatting>
  <conditionalFormatting sqref="DC56">
    <cfRule type="colorScale" priority="816">
      <colorScale>
        <cfvo type="min"/>
        <cfvo type="max"/>
        <color rgb="FFF8696B"/>
        <color rgb="FFFCFCFF"/>
      </colorScale>
    </cfRule>
  </conditionalFormatting>
  <conditionalFormatting sqref="DC56">
    <cfRule type="colorScale" priority="814">
      <colorScale>
        <cfvo type="min"/>
        <cfvo type="max"/>
        <color rgb="FFFCFCFF"/>
        <color rgb="FFF8696B"/>
      </colorScale>
    </cfRule>
  </conditionalFormatting>
  <conditionalFormatting sqref="DC82 DC56 DC61 DC76">
    <cfRule type="colorScale" priority="813">
      <colorScale>
        <cfvo type="min"/>
        <cfvo type="max"/>
        <color rgb="FFFCFCFF"/>
        <color rgb="FFF8696B"/>
      </colorScale>
    </cfRule>
  </conditionalFormatting>
  <conditionalFormatting sqref="DC56 DC61 DC76 DC82">
    <cfRule type="colorScale" priority="812">
      <colorScale>
        <cfvo type="min"/>
        <cfvo type="max"/>
        <color rgb="FFFCFCFF"/>
        <color rgb="FFF8696B"/>
      </colorScale>
    </cfRule>
  </conditionalFormatting>
  <conditionalFormatting sqref="DC67">
    <cfRule type="colorScale" priority="811">
      <colorScale>
        <cfvo type="min"/>
        <cfvo type="percentile" val="50"/>
        <cfvo type="max"/>
        <color rgb="FFF8696B"/>
        <color rgb="FFFFEB84"/>
        <color rgb="FF63BE7B"/>
      </colorScale>
    </cfRule>
  </conditionalFormatting>
  <conditionalFormatting sqref="DC67">
    <cfRule type="colorScale" priority="810">
      <colorScale>
        <cfvo type="min"/>
        <cfvo type="percentile" val="50"/>
        <cfvo type="max"/>
        <color rgb="FF63BE7B"/>
        <color rgb="FFFFEB84"/>
        <color rgb="FFF8696B"/>
      </colorScale>
    </cfRule>
  </conditionalFormatting>
  <conditionalFormatting sqref="DC67">
    <cfRule type="colorScale" priority="807">
      <colorScale>
        <cfvo type="min"/>
        <cfvo type="max"/>
        <color rgb="FFFCFCFF"/>
        <color rgb="FFF8696B"/>
      </colorScale>
    </cfRule>
    <cfRule type="colorScale" priority="809">
      <colorScale>
        <cfvo type="min"/>
        <cfvo type="percentile" val="50"/>
        <cfvo type="max"/>
        <color rgb="FF63BE7B"/>
        <color rgb="FFFFEB84"/>
        <color rgb="FFF8696B"/>
      </colorScale>
    </cfRule>
  </conditionalFormatting>
  <conditionalFormatting sqref="DC67">
    <cfRule type="colorScale" priority="808">
      <colorScale>
        <cfvo type="min"/>
        <cfvo type="max"/>
        <color rgb="FFF8696B"/>
        <color rgb="FFFCFCFF"/>
      </colorScale>
    </cfRule>
  </conditionalFormatting>
  <conditionalFormatting sqref="DC67">
    <cfRule type="colorScale" priority="806">
      <colorScale>
        <cfvo type="min"/>
        <cfvo type="percentile" val="50"/>
        <cfvo type="max"/>
        <color rgb="FFF8696B"/>
        <color rgb="FFFFEB84"/>
        <color rgb="FF63BE7B"/>
      </colorScale>
    </cfRule>
  </conditionalFormatting>
  <conditionalFormatting sqref="DC67">
    <cfRule type="colorScale" priority="805">
      <colorScale>
        <cfvo type="min"/>
        <cfvo type="max"/>
        <color rgb="FFFCFCFF"/>
        <color rgb="FFF8696B"/>
      </colorScale>
    </cfRule>
  </conditionalFormatting>
  <conditionalFormatting sqref="DC67:DC71">
    <cfRule type="colorScale" priority="804">
      <colorScale>
        <cfvo type="min"/>
        <cfvo type="max"/>
        <color rgb="FFFCFCFF"/>
        <color rgb="FFF8696B"/>
      </colorScale>
    </cfRule>
  </conditionalFormatting>
  <conditionalFormatting sqref="DC67:DC71">
    <cfRule type="colorScale" priority="803">
      <colorScale>
        <cfvo type="min"/>
        <cfvo type="max"/>
        <color rgb="FFFCFCFF"/>
        <color rgb="FFF8696B"/>
      </colorScale>
    </cfRule>
  </conditionalFormatting>
  <conditionalFormatting sqref="DC61 DC56 DC67:DC71 DC76 DC82">
    <cfRule type="colorScale" priority="802">
      <colorScale>
        <cfvo type="min"/>
        <cfvo type="max"/>
        <color rgb="FFFCFCFF"/>
        <color rgb="FFF8696B"/>
      </colorScale>
    </cfRule>
  </conditionalFormatting>
  <conditionalFormatting sqref="DC61 DC56 DC67:DC71 DC76 DC82">
    <cfRule type="colorScale" priority="801">
      <colorScale>
        <cfvo type="min"/>
        <cfvo type="max"/>
        <color rgb="FFFCFCFF"/>
        <color rgb="FFF8696B"/>
      </colorScale>
    </cfRule>
  </conditionalFormatting>
  <conditionalFormatting sqref="DA76 DA82">
    <cfRule type="colorScale" priority="800">
      <colorScale>
        <cfvo type="min"/>
        <cfvo type="percentile" val="50"/>
        <cfvo type="max"/>
        <color rgb="FFF8696B"/>
        <color rgb="FFFFEB84"/>
        <color rgb="FF63BE7B"/>
      </colorScale>
    </cfRule>
  </conditionalFormatting>
  <conditionalFormatting sqref="DA82 DA76">
    <cfRule type="colorScale" priority="799">
      <colorScale>
        <cfvo type="min"/>
        <cfvo type="percentile" val="50"/>
        <cfvo type="max"/>
        <color rgb="FF63BE7B"/>
        <color rgb="FFFFEB84"/>
        <color rgb="FFF8696B"/>
      </colorScale>
    </cfRule>
  </conditionalFormatting>
  <conditionalFormatting sqref="DA76 DA82">
    <cfRule type="colorScale" priority="796">
      <colorScale>
        <cfvo type="min"/>
        <cfvo type="max"/>
        <color rgb="FFFCFCFF"/>
        <color rgb="FFF8696B"/>
      </colorScale>
    </cfRule>
    <cfRule type="colorScale" priority="798">
      <colorScale>
        <cfvo type="min"/>
        <cfvo type="percentile" val="50"/>
        <cfvo type="max"/>
        <color rgb="FF63BE7B"/>
        <color rgb="FFFFEB84"/>
        <color rgb="FFF8696B"/>
      </colorScale>
    </cfRule>
  </conditionalFormatting>
  <conditionalFormatting sqref="DA76 DA82">
    <cfRule type="colorScale" priority="797">
      <colorScale>
        <cfvo type="min"/>
        <cfvo type="max"/>
        <color rgb="FFF8696B"/>
        <color rgb="FFFCFCFF"/>
      </colorScale>
    </cfRule>
  </conditionalFormatting>
  <conditionalFormatting sqref="DA76">
    <cfRule type="colorScale" priority="795">
      <colorScale>
        <cfvo type="min"/>
        <cfvo type="percentile" val="50"/>
        <cfvo type="max"/>
        <color rgb="FFF8696B"/>
        <color rgb="FFFFEB84"/>
        <color rgb="FF63BE7B"/>
      </colorScale>
    </cfRule>
  </conditionalFormatting>
  <conditionalFormatting sqref="DA82">
    <cfRule type="colorScale" priority="794">
      <colorScale>
        <cfvo type="min"/>
        <cfvo type="percentile" val="50"/>
        <cfvo type="max"/>
        <color rgb="FFF8696B"/>
        <color rgb="FFFFEB84"/>
        <color rgb="FF63BE7B"/>
      </colorScale>
    </cfRule>
  </conditionalFormatting>
  <conditionalFormatting sqref="DA76 DA82">
    <cfRule type="colorScale" priority="793">
      <colorScale>
        <cfvo type="min"/>
        <cfvo type="max"/>
        <color rgb="FFFCFCFF"/>
        <color rgb="FFF8696B"/>
      </colorScale>
    </cfRule>
  </conditionalFormatting>
  <conditionalFormatting sqref="DA76 DA82">
    <cfRule type="colorScale" priority="792">
      <colorScale>
        <cfvo type="min"/>
        <cfvo type="max"/>
        <color rgb="FFFCFCFF"/>
        <color rgb="FFF8696B"/>
      </colorScale>
    </cfRule>
  </conditionalFormatting>
  <conditionalFormatting sqref="DA76 DA82">
    <cfRule type="colorScale" priority="791">
      <colorScale>
        <cfvo type="min"/>
        <cfvo type="max"/>
        <color rgb="FFFCFCFF"/>
        <color rgb="FFF8696B"/>
      </colorScale>
    </cfRule>
  </conditionalFormatting>
  <conditionalFormatting sqref="DA76 DA82">
    <cfRule type="colorScale" priority="790">
      <colorScale>
        <cfvo type="min"/>
        <cfvo type="max"/>
        <color rgb="FFFCFCFF"/>
        <color rgb="FFF8696B"/>
      </colorScale>
    </cfRule>
  </conditionalFormatting>
  <conditionalFormatting sqref="DA61">
    <cfRule type="colorScale" priority="789">
      <colorScale>
        <cfvo type="min"/>
        <cfvo type="percentile" val="50"/>
        <cfvo type="max"/>
        <color rgb="FFF8696B"/>
        <color rgb="FFFFEB84"/>
        <color rgb="FF63BE7B"/>
      </colorScale>
    </cfRule>
  </conditionalFormatting>
  <conditionalFormatting sqref="DA61">
    <cfRule type="colorScale" priority="788">
      <colorScale>
        <cfvo type="min"/>
        <cfvo type="percentile" val="50"/>
        <cfvo type="max"/>
        <color rgb="FF63BE7B"/>
        <color rgb="FFFFEB84"/>
        <color rgb="FFF8696B"/>
      </colorScale>
    </cfRule>
  </conditionalFormatting>
  <conditionalFormatting sqref="DA61">
    <cfRule type="colorScale" priority="785">
      <colorScale>
        <cfvo type="min"/>
        <cfvo type="max"/>
        <color rgb="FFFCFCFF"/>
        <color rgb="FFF8696B"/>
      </colorScale>
    </cfRule>
    <cfRule type="colorScale" priority="787">
      <colorScale>
        <cfvo type="min"/>
        <cfvo type="percentile" val="50"/>
        <cfvo type="max"/>
        <color rgb="FF63BE7B"/>
        <color rgb="FFFFEB84"/>
        <color rgb="FFF8696B"/>
      </colorScale>
    </cfRule>
  </conditionalFormatting>
  <conditionalFormatting sqref="DA61">
    <cfRule type="colorScale" priority="786">
      <colorScale>
        <cfvo type="min"/>
        <cfvo type="max"/>
        <color rgb="FFF8696B"/>
        <color rgb="FFFCFCFF"/>
      </colorScale>
    </cfRule>
  </conditionalFormatting>
  <conditionalFormatting sqref="DA61">
    <cfRule type="colorScale" priority="784">
      <colorScale>
        <cfvo type="min"/>
        <cfvo type="max"/>
        <color rgb="FFFCFCFF"/>
        <color rgb="FFF8696B"/>
      </colorScale>
    </cfRule>
  </conditionalFormatting>
  <conditionalFormatting sqref="DA56">
    <cfRule type="colorScale" priority="783">
      <colorScale>
        <cfvo type="min"/>
        <cfvo type="percentile" val="50"/>
        <cfvo type="max"/>
        <color rgb="FFF8696B"/>
        <color rgb="FFFFEB84"/>
        <color rgb="FF63BE7B"/>
      </colorScale>
    </cfRule>
  </conditionalFormatting>
  <conditionalFormatting sqref="DA56">
    <cfRule type="colorScale" priority="782">
      <colorScale>
        <cfvo type="min"/>
        <cfvo type="percentile" val="50"/>
        <cfvo type="max"/>
        <color rgb="FF63BE7B"/>
        <color rgb="FFFFEB84"/>
        <color rgb="FFF8696B"/>
      </colorScale>
    </cfRule>
  </conditionalFormatting>
  <conditionalFormatting sqref="DA56">
    <cfRule type="colorScale" priority="779">
      <colorScale>
        <cfvo type="min"/>
        <cfvo type="max"/>
        <color rgb="FFFCFCFF"/>
        <color rgb="FFF8696B"/>
      </colorScale>
    </cfRule>
    <cfRule type="colorScale" priority="781">
      <colorScale>
        <cfvo type="min"/>
        <cfvo type="percentile" val="50"/>
        <cfvo type="max"/>
        <color rgb="FF63BE7B"/>
        <color rgb="FFFFEB84"/>
        <color rgb="FFF8696B"/>
      </colorScale>
    </cfRule>
  </conditionalFormatting>
  <conditionalFormatting sqref="DA56">
    <cfRule type="colorScale" priority="780">
      <colorScale>
        <cfvo type="min"/>
        <cfvo type="max"/>
        <color rgb="FFF8696B"/>
        <color rgb="FFFCFCFF"/>
      </colorScale>
    </cfRule>
  </conditionalFormatting>
  <conditionalFormatting sqref="DA56">
    <cfRule type="colorScale" priority="778">
      <colorScale>
        <cfvo type="min"/>
        <cfvo type="max"/>
        <color rgb="FFFCFCFF"/>
        <color rgb="FFF8696B"/>
      </colorScale>
    </cfRule>
  </conditionalFormatting>
  <conditionalFormatting sqref="DA67">
    <cfRule type="colorScale" priority="777">
      <colorScale>
        <cfvo type="min"/>
        <cfvo type="percentile" val="50"/>
        <cfvo type="max"/>
        <color rgb="FFF8696B"/>
        <color rgb="FFFFEB84"/>
        <color rgb="FF63BE7B"/>
      </colorScale>
    </cfRule>
  </conditionalFormatting>
  <conditionalFormatting sqref="DA67">
    <cfRule type="colorScale" priority="776">
      <colorScale>
        <cfvo type="min"/>
        <cfvo type="percentile" val="50"/>
        <cfvo type="max"/>
        <color rgb="FF63BE7B"/>
        <color rgb="FFFFEB84"/>
        <color rgb="FFF8696B"/>
      </colorScale>
    </cfRule>
  </conditionalFormatting>
  <conditionalFormatting sqref="DA67">
    <cfRule type="colorScale" priority="773">
      <colorScale>
        <cfvo type="min"/>
        <cfvo type="max"/>
        <color rgb="FFFCFCFF"/>
        <color rgb="FFF8696B"/>
      </colorScale>
    </cfRule>
    <cfRule type="colorScale" priority="775">
      <colorScale>
        <cfvo type="min"/>
        <cfvo type="percentile" val="50"/>
        <cfvo type="max"/>
        <color rgb="FF63BE7B"/>
        <color rgb="FFFFEB84"/>
        <color rgb="FFF8696B"/>
      </colorScale>
    </cfRule>
  </conditionalFormatting>
  <conditionalFormatting sqref="DA67">
    <cfRule type="colorScale" priority="774">
      <colorScale>
        <cfvo type="min"/>
        <cfvo type="max"/>
        <color rgb="FFF8696B"/>
        <color rgb="FFFCFCFF"/>
      </colorScale>
    </cfRule>
  </conditionalFormatting>
  <conditionalFormatting sqref="DA67">
    <cfRule type="colorScale" priority="772">
      <colorScale>
        <cfvo type="min"/>
        <cfvo type="percentile" val="50"/>
        <cfvo type="max"/>
        <color rgb="FFF8696B"/>
        <color rgb="FFFFEB84"/>
        <color rgb="FF63BE7B"/>
      </colorScale>
    </cfRule>
  </conditionalFormatting>
  <conditionalFormatting sqref="DA67">
    <cfRule type="colorScale" priority="771">
      <colorScale>
        <cfvo type="min"/>
        <cfvo type="max"/>
        <color rgb="FFFCFCFF"/>
        <color rgb="FFF8696B"/>
      </colorScale>
    </cfRule>
  </conditionalFormatting>
  <conditionalFormatting sqref="DA61 DA56 DA67:DA71">
    <cfRule type="colorScale" priority="770">
      <colorScale>
        <cfvo type="min"/>
        <cfvo type="max"/>
        <color rgb="FFFCFCFF"/>
        <color rgb="FFF8696B"/>
      </colorScale>
    </cfRule>
  </conditionalFormatting>
  <conditionalFormatting sqref="DA61 DA56 DA67:DA71">
    <cfRule type="colorScale" priority="769">
      <colorScale>
        <cfvo type="min"/>
        <cfvo type="max"/>
        <color rgb="FFFCFCFF"/>
        <color rgb="FFF8696B"/>
      </colorScale>
    </cfRule>
  </conditionalFormatting>
  <conditionalFormatting sqref="DA67:DA71 DA56 DA61">
    <cfRule type="colorScale" priority="768">
      <colorScale>
        <cfvo type="min"/>
        <cfvo type="max"/>
        <color rgb="FFFCFCFF"/>
        <color rgb="FFF8696B"/>
      </colorScale>
    </cfRule>
  </conditionalFormatting>
  <conditionalFormatting sqref="CY77">
    <cfRule type="colorScale" priority="767">
      <colorScale>
        <cfvo type="min"/>
        <cfvo type="percentile" val="50"/>
        <cfvo type="max"/>
        <color rgb="FFF8696B"/>
        <color rgb="FFFFEB84"/>
        <color rgb="FF63BE7B"/>
      </colorScale>
    </cfRule>
  </conditionalFormatting>
  <conditionalFormatting sqref="CY77">
    <cfRule type="colorScale" priority="766">
      <colorScale>
        <cfvo type="min"/>
        <cfvo type="percentile" val="50"/>
        <cfvo type="max"/>
        <color rgb="FF63BE7B"/>
        <color rgb="FFFFEB84"/>
        <color rgb="FFF8696B"/>
      </colorScale>
    </cfRule>
  </conditionalFormatting>
  <conditionalFormatting sqref="CY77">
    <cfRule type="colorScale" priority="763">
      <colorScale>
        <cfvo type="min"/>
        <cfvo type="max"/>
        <color rgb="FFFCFCFF"/>
        <color rgb="FFF8696B"/>
      </colorScale>
    </cfRule>
    <cfRule type="colorScale" priority="765">
      <colorScale>
        <cfvo type="min"/>
        <cfvo type="percentile" val="50"/>
        <cfvo type="max"/>
        <color rgb="FF63BE7B"/>
        <color rgb="FFFFEB84"/>
        <color rgb="FFF8696B"/>
      </colorScale>
    </cfRule>
  </conditionalFormatting>
  <conditionalFormatting sqref="CY77">
    <cfRule type="colorScale" priority="764">
      <colorScale>
        <cfvo type="min"/>
        <cfvo type="max"/>
        <color rgb="FFF8696B"/>
        <color rgb="FFFCFCFF"/>
      </colorScale>
    </cfRule>
  </conditionalFormatting>
  <conditionalFormatting sqref="CY77">
    <cfRule type="colorScale" priority="762">
      <colorScale>
        <cfvo type="min"/>
        <cfvo type="percentile" val="50"/>
        <cfvo type="max"/>
        <color rgb="FFF8696B"/>
        <color rgb="FFFFEB84"/>
        <color rgb="FF63BE7B"/>
      </colorScale>
    </cfRule>
  </conditionalFormatting>
  <conditionalFormatting sqref="CY77">
    <cfRule type="colorScale" priority="761">
      <colorScale>
        <cfvo type="min"/>
        <cfvo type="max"/>
        <color rgb="FFFCFCFF"/>
        <color rgb="FFF8696B"/>
      </colorScale>
    </cfRule>
  </conditionalFormatting>
  <conditionalFormatting sqref="CY56">
    <cfRule type="colorScale" priority="760">
      <colorScale>
        <cfvo type="min"/>
        <cfvo type="percentile" val="50"/>
        <cfvo type="max"/>
        <color rgb="FFF8696B"/>
        <color rgb="FFFFEB84"/>
        <color rgb="FF63BE7B"/>
      </colorScale>
    </cfRule>
  </conditionalFormatting>
  <conditionalFormatting sqref="CY56">
    <cfRule type="colorScale" priority="759">
      <colorScale>
        <cfvo type="min"/>
        <cfvo type="percentile" val="50"/>
        <cfvo type="max"/>
        <color rgb="FFF8696B"/>
        <color rgb="FFFFEB84"/>
        <color rgb="FF63BE7B"/>
      </colorScale>
    </cfRule>
  </conditionalFormatting>
  <conditionalFormatting sqref="CY56">
    <cfRule type="colorScale" priority="758">
      <colorScale>
        <cfvo type="min"/>
        <cfvo type="percentile" val="50"/>
        <cfvo type="max"/>
        <color rgb="FF63BE7B"/>
        <color rgb="FFFFEB84"/>
        <color rgb="FFF8696B"/>
      </colorScale>
    </cfRule>
  </conditionalFormatting>
  <conditionalFormatting sqref="CY56">
    <cfRule type="colorScale" priority="755">
      <colorScale>
        <cfvo type="min"/>
        <cfvo type="max"/>
        <color rgb="FFFCFCFF"/>
        <color rgb="FFF8696B"/>
      </colorScale>
    </cfRule>
    <cfRule type="colorScale" priority="757">
      <colorScale>
        <cfvo type="min"/>
        <cfvo type="percentile" val="50"/>
        <cfvo type="max"/>
        <color rgb="FF63BE7B"/>
        <color rgb="FFFFEB84"/>
        <color rgb="FFF8696B"/>
      </colorScale>
    </cfRule>
  </conditionalFormatting>
  <conditionalFormatting sqref="CY56">
    <cfRule type="colorScale" priority="756">
      <colorScale>
        <cfvo type="min"/>
        <cfvo type="max"/>
        <color rgb="FFF8696B"/>
        <color rgb="FFFCFCFF"/>
      </colorScale>
    </cfRule>
  </conditionalFormatting>
  <conditionalFormatting sqref="CY56">
    <cfRule type="colorScale" priority="754">
      <colorScale>
        <cfvo type="min"/>
        <cfvo type="max"/>
        <color rgb="FFFCFCFF"/>
        <color rgb="FFF8696B"/>
      </colorScale>
    </cfRule>
  </conditionalFormatting>
  <conditionalFormatting sqref="CY67">
    <cfRule type="colorScale" priority="753">
      <colorScale>
        <cfvo type="min"/>
        <cfvo type="percentile" val="50"/>
        <cfvo type="max"/>
        <color rgb="FFF8696B"/>
        <color rgb="FFFFEB84"/>
        <color rgb="FF63BE7B"/>
      </colorScale>
    </cfRule>
  </conditionalFormatting>
  <conditionalFormatting sqref="CY67">
    <cfRule type="colorScale" priority="752">
      <colorScale>
        <cfvo type="min"/>
        <cfvo type="percentile" val="50"/>
        <cfvo type="max"/>
        <color rgb="FF63BE7B"/>
        <color rgb="FFFFEB84"/>
        <color rgb="FFF8696B"/>
      </colorScale>
    </cfRule>
  </conditionalFormatting>
  <conditionalFormatting sqref="CY67">
    <cfRule type="colorScale" priority="749">
      <colorScale>
        <cfvo type="min"/>
        <cfvo type="max"/>
        <color rgb="FFFCFCFF"/>
        <color rgb="FFF8696B"/>
      </colorScale>
    </cfRule>
    <cfRule type="colorScale" priority="751">
      <colorScale>
        <cfvo type="min"/>
        <cfvo type="percentile" val="50"/>
        <cfvo type="max"/>
        <color rgb="FF63BE7B"/>
        <color rgb="FFFFEB84"/>
        <color rgb="FFF8696B"/>
      </colorScale>
    </cfRule>
  </conditionalFormatting>
  <conditionalFormatting sqref="CY67">
    <cfRule type="colorScale" priority="750">
      <colorScale>
        <cfvo type="min"/>
        <cfvo type="max"/>
        <color rgb="FFF8696B"/>
        <color rgb="FFFCFCFF"/>
      </colorScale>
    </cfRule>
  </conditionalFormatting>
  <conditionalFormatting sqref="CY67">
    <cfRule type="colorScale" priority="748">
      <colorScale>
        <cfvo type="min"/>
        <cfvo type="percentile" val="50"/>
        <cfvo type="max"/>
        <color rgb="FFF8696B"/>
        <color rgb="FFFFEB84"/>
        <color rgb="FF63BE7B"/>
      </colorScale>
    </cfRule>
  </conditionalFormatting>
  <conditionalFormatting sqref="CY67">
    <cfRule type="colorScale" priority="747">
      <colorScale>
        <cfvo type="min"/>
        <cfvo type="max"/>
        <color rgb="FFFCFCFF"/>
        <color rgb="FFF8696B"/>
      </colorScale>
    </cfRule>
  </conditionalFormatting>
  <conditionalFormatting sqref="CY56:CY61 CY77 CY67:CY71">
    <cfRule type="colorScale" priority="746">
      <colorScale>
        <cfvo type="min"/>
        <cfvo type="max"/>
        <color rgb="FFFCFCFF"/>
        <color rgb="FFF8696B"/>
      </colorScale>
    </cfRule>
  </conditionalFormatting>
  <conditionalFormatting sqref="CY56:CY61 CY77 CY67:CY71">
    <cfRule type="colorScale" priority="745">
      <colorScale>
        <cfvo type="min"/>
        <cfvo type="max"/>
        <color rgb="FFFCFCFF"/>
        <color rgb="FFF8696B"/>
      </colorScale>
    </cfRule>
  </conditionalFormatting>
  <conditionalFormatting sqref="CY56:CY61 CY77 CY67:CY71">
    <cfRule type="colorScale" priority="744">
      <colorScale>
        <cfvo type="min"/>
        <cfvo type="max"/>
        <color rgb="FFFCFCFF"/>
        <color rgb="FFF8696B"/>
      </colorScale>
    </cfRule>
  </conditionalFormatting>
  <conditionalFormatting sqref="CW82">
    <cfRule type="colorScale" priority="743">
      <colorScale>
        <cfvo type="min"/>
        <cfvo type="percentile" val="50"/>
        <cfvo type="max"/>
        <color rgb="FFF8696B"/>
        <color rgb="FFFFEB84"/>
        <color rgb="FF63BE7B"/>
      </colorScale>
    </cfRule>
  </conditionalFormatting>
  <conditionalFormatting sqref="CW82">
    <cfRule type="colorScale" priority="742">
      <colorScale>
        <cfvo type="min"/>
        <cfvo type="percentile" val="50"/>
        <cfvo type="max"/>
        <color rgb="FF63BE7B"/>
        <color rgb="FFFFEB84"/>
        <color rgb="FFF8696B"/>
      </colorScale>
    </cfRule>
  </conditionalFormatting>
  <conditionalFormatting sqref="CW82">
    <cfRule type="colorScale" priority="739">
      <colorScale>
        <cfvo type="min"/>
        <cfvo type="max"/>
        <color rgb="FFFCFCFF"/>
        <color rgb="FFF8696B"/>
      </colorScale>
    </cfRule>
    <cfRule type="colorScale" priority="741">
      <colorScale>
        <cfvo type="min"/>
        <cfvo type="percentile" val="50"/>
        <cfvo type="max"/>
        <color rgb="FF63BE7B"/>
        <color rgb="FFFFEB84"/>
        <color rgb="FFF8696B"/>
      </colorScale>
    </cfRule>
  </conditionalFormatting>
  <conditionalFormatting sqref="CW82">
    <cfRule type="colorScale" priority="740">
      <colorScale>
        <cfvo type="min"/>
        <cfvo type="max"/>
        <color rgb="FFF8696B"/>
        <color rgb="FFFCFCFF"/>
      </colorScale>
    </cfRule>
  </conditionalFormatting>
  <conditionalFormatting sqref="CW82">
    <cfRule type="colorScale" priority="738">
      <colorScale>
        <cfvo type="min"/>
        <cfvo type="percentile" val="50"/>
        <cfvo type="max"/>
        <color rgb="FFF8696B"/>
        <color rgb="FFFFEB84"/>
        <color rgb="FF63BE7B"/>
      </colorScale>
    </cfRule>
  </conditionalFormatting>
  <conditionalFormatting sqref="CW82">
    <cfRule type="colorScale" priority="737">
      <colorScale>
        <cfvo type="min"/>
        <cfvo type="max"/>
        <color rgb="FFFCFCFF"/>
        <color rgb="FFF8696B"/>
      </colorScale>
    </cfRule>
  </conditionalFormatting>
  <conditionalFormatting sqref="CW61">
    <cfRule type="colorScale" priority="736">
      <colorScale>
        <cfvo type="min"/>
        <cfvo type="max"/>
        <color rgb="FFFCFCFF"/>
        <color rgb="FFF8696B"/>
      </colorScale>
    </cfRule>
  </conditionalFormatting>
  <conditionalFormatting sqref="CW56">
    <cfRule type="colorScale" priority="735">
      <colorScale>
        <cfvo type="min"/>
        <cfvo type="percentile" val="50"/>
        <cfvo type="max"/>
        <color rgb="FFF8696B"/>
        <color rgb="FFFFEB84"/>
        <color rgb="FF63BE7B"/>
      </colorScale>
    </cfRule>
  </conditionalFormatting>
  <conditionalFormatting sqref="CW56">
    <cfRule type="colorScale" priority="734">
      <colorScale>
        <cfvo type="min"/>
        <cfvo type="percentile" val="50"/>
        <cfvo type="max"/>
        <color rgb="FF63BE7B"/>
        <color rgb="FFFFEB84"/>
        <color rgb="FFF8696B"/>
      </colorScale>
    </cfRule>
  </conditionalFormatting>
  <conditionalFormatting sqref="CW56">
    <cfRule type="colorScale" priority="731">
      <colorScale>
        <cfvo type="min"/>
        <cfvo type="max"/>
        <color rgb="FFFCFCFF"/>
        <color rgb="FFF8696B"/>
      </colorScale>
    </cfRule>
    <cfRule type="colorScale" priority="733">
      <colorScale>
        <cfvo type="min"/>
        <cfvo type="percentile" val="50"/>
        <cfvo type="max"/>
        <color rgb="FF63BE7B"/>
        <color rgb="FFFFEB84"/>
        <color rgb="FFF8696B"/>
      </colorScale>
    </cfRule>
  </conditionalFormatting>
  <conditionalFormatting sqref="CW56">
    <cfRule type="colorScale" priority="732">
      <colorScale>
        <cfvo type="min"/>
        <cfvo type="max"/>
        <color rgb="FFF8696B"/>
        <color rgb="FFFCFCFF"/>
      </colorScale>
    </cfRule>
  </conditionalFormatting>
  <conditionalFormatting sqref="CW56">
    <cfRule type="colorScale" priority="730">
      <colorScale>
        <cfvo type="min"/>
        <cfvo type="max"/>
        <color rgb="FFFCFCFF"/>
        <color rgb="FFF8696B"/>
      </colorScale>
    </cfRule>
  </conditionalFormatting>
  <conditionalFormatting sqref="CW82 CW56">
    <cfRule type="colorScale" priority="729">
      <colorScale>
        <cfvo type="min"/>
        <cfvo type="max"/>
        <color rgb="FFFCFCFF"/>
        <color rgb="FFF8696B"/>
      </colorScale>
    </cfRule>
  </conditionalFormatting>
  <conditionalFormatting sqref="CW67">
    <cfRule type="colorScale" priority="728">
      <colorScale>
        <cfvo type="min"/>
        <cfvo type="percentile" val="50"/>
        <cfvo type="max"/>
        <color rgb="FFF8696B"/>
        <color rgb="FFFFEB84"/>
        <color rgb="FF63BE7B"/>
      </colorScale>
    </cfRule>
  </conditionalFormatting>
  <conditionalFormatting sqref="CW67">
    <cfRule type="colorScale" priority="727">
      <colorScale>
        <cfvo type="min"/>
        <cfvo type="percentile" val="50"/>
        <cfvo type="max"/>
        <color rgb="FF63BE7B"/>
        <color rgb="FFFFEB84"/>
        <color rgb="FFF8696B"/>
      </colorScale>
    </cfRule>
  </conditionalFormatting>
  <conditionalFormatting sqref="CW67">
    <cfRule type="colorScale" priority="724">
      <colorScale>
        <cfvo type="min"/>
        <cfvo type="max"/>
        <color rgb="FFFCFCFF"/>
        <color rgb="FFF8696B"/>
      </colorScale>
    </cfRule>
    <cfRule type="colorScale" priority="726">
      <colorScale>
        <cfvo type="min"/>
        <cfvo type="percentile" val="50"/>
        <cfvo type="max"/>
        <color rgb="FF63BE7B"/>
        <color rgb="FFFFEB84"/>
        <color rgb="FFF8696B"/>
      </colorScale>
    </cfRule>
  </conditionalFormatting>
  <conditionalFormatting sqref="CW67">
    <cfRule type="colorScale" priority="725">
      <colorScale>
        <cfvo type="min"/>
        <cfvo type="max"/>
        <color rgb="FFF8696B"/>
        <color rgb="FFFCFCFF"/>
      </colorScale>
    </cfRule>
  </conditionalFormatting>
  <conditionalFormatting sqref="CW67">
    <cfRule type="colorScale" priority="723">
      <colorScale>
        <cfvo type="min"/>
        <cfvo type="percentile" val="50"/>
        <cfvo type="max"/>
        <color rgb="FFF8696B"/>
        <color rgb="FFFFEB84"/>
        <color rgb="FF63BE7B"/>
      </colorScale>
    </cfRule>
  </conditionalFormatting>
  <conditionalFormatting sqref="CW67">
    <cfRule type="colorScale" priority="722">
      <colorScale>
        <cfvo type="min"/>
        <cfvo type="max"/>
        <color rgb="FFFCFCFF"/>
        <color rgb="FFF8696B"/>
      </colorScale>
    </cfRule>
  </conditionalFormatting>
  <conditionalFormatting sqref="CW67:CW76">
    <cfRule type="colorScale" priority="721">
      <colorScale>
        <cfvo type="min"/>
        <cfvo type="max"/>
        <color rgb="FFFCFCFF"/>
        <color rgb="FFF8696B"/>
      </colorScale>
    </cfRule>
  </conditionalFormatting>
  <conditionalFormatting sqref="CW82 CW56 CW67:CW76">
    <cfRule type="colorScale" priority="720">
      <colorScale>
        <cfvo type="min"/>
        <cfvo type="max"/>
        <color rgb="FFFCFCFF"/>
        <color rgb="FFF8696B"/>
      </colorScale>
    </cfRule>
  </conditionalFormatting>
  <conditionalFormatting sqref="CU82">
    <cfRule type="colorScale" priority="719">
      <colorScale>
        <cfvo type="min"/>
        <cfvo type="percentile" val="50"/>
        <cfvo type="max"/>
        <color rgb="FFF8696B"/>
        <color rgb="FFFFEB84"/>
        <color rgb="FF63BE7B"/>
      </colorScale>
    </cfRule>
  </conditionalFormatting>
  <conditionalFormatting sqref="CU82">
    <cfRule type="colorScale" priority="718">
      <colorScale>
        <cfvo type="min"/>
        <cfvo type="percentile" val="50"/>
        <cfvo type="max"/>
        <color rgb="FF63BE7B"/>
        <color rgb="FFFFEB84"/>
        <color rgb="FFF8696B"/>
      </colorScale>
    </cfRule>
  </conditionalFormatting>
  <conditionalFormatting sqref="CU82">
    <cfRule type="colorScale" priority="715">
      <colorScale>
        <cfvo type="min"/>
        <cfvo type="max"/>
        <color rgb="FFFCFCFF"/>
        <color rgb="FFF8696B"/>
      </colorScale>
    </cfRule>
    <cfRule type="colorScale" priority="717">
      <colorScale>
        <cfvo type="min"/>
        <cfvo type="percentile" val="50"/>
        <cfvo type="max"/>
        <color rgb="FF63BE7B"/>
        <color rgb="FFFFEB84"/>
        <color rgb="FFF8696B"/>
      </colorScale>
    </cfRule>
  </conditionalFormatting>
  <conditionalFormatting sqref="CU82">
    <cfRule type="colorScale" priority="716">
      <colorScale>
        <cfvo type="min"/>
        <cfvo type="max"/>
        <color rgb="FFF8696B"/>
        <color rgb="FFFCFCFF"/>
      </colorScale>
    </cfRule>
  </conditionalFormatting>
  <conditionalFormatting sqref="CU82">
    <cfRule type="colorScale" priority="714">
      <colorScale>
        <cfvo type="min"/>
        <cfvo type="percentile" val="50"/>
        <cfvo type="max"/>
        <color rgb="FFF8696B"/>
        <color rgb="FFFFEB84"/>
        <color rgb="FF63BE7B"/>
      </colorScale>
    </cfRule>
  </conditionalFormatting>
  <conditionalFormatting sqref="CU82">
    <cfRule type="colorScale" priority="713">
      <colorScale>
        <cfvo type="min"/>
        <cfvo type="max"/>
        <color rgb="FFFCFCFF"/>
        <color rgb="FFF8696B"/>
      </colorScale>
    </cfRule>
  </conditionalFormatting>
  <conditionalFormatting sqref="CU61">
    <cfRule type="colorScale" priority="712">
      <colorScale>
        <cfvo type="min"/>
        <cfvo type="max"/>
        <color rgb="FFFCFCFF"/>
        <color rgb="FFF8696B"/>
      </colorScale>
    </cfRule>
  </conditionalFormatting>
  <conditionalFormatting sqref="CU56">
    <cfRule type="colorScale" priority="711">
      <colorScale>
        <cfvo type="min"/>
        <cfvo type="percentile" val="50"/>
        <cfvo type="max"/>
        <color rgb="FFF8696B"/>
        <color rgb="FFFFEB84"/>
        <color rgb="FF63BE7B"/>
      </colorScale>
    </cfRule>
  </conditionalFormatting>
  <conditionalFormatting sqref="CU56">
    <cfRule type="colorScale" priority="710">
      <colorScale>
        <cfvo type="min"/>
        <cfvo type="percentile" val="50"/>
        <cfvo type="max"/>
        <color rgb="FFF8696B"/>
        <color rgb="FFFFEB84"/>
        <color rgb="FF63BE7B"/>
      </colorScale>
    </cfRule>
  </conditionalFormatting>
  <conditionalFormatting sqref="CU56">
    <cfRule type="colorScale" priority="709">
      <colorScale>
        <cfvo type="min"/>
        <cfvo type="percentile" val="50"/>
        <cfvo type="max"/>
        <color rgb="FF63BE7B"/>
        <color rgb="FFFFEB84"/>
        <color rgb="FFF8696B"/>
      </colorScale>
    </cfRule>
  </conditionalFormatting>
  <conditionalFormatting sqref="CU56">
    <cfRule type="colorScale" priority="706">
      <colorScale>
        <cfvo type="min"/>
        <cfvo type="max"/>
        <color rgb="FFFCFCFF"/>
        <color rgb="FFF8696B"/>
      </colorScale>
    </cfRule>
    <cfRule type="colorScale" priority="708">
      <colorScale>
        <cfvo type="min"/>
        <cfvo type="percentile" val="50"/>
        <cfvo type="max"/>
        <color rgb="FF63BE7B"/>
        <color rgb="FFFFEB84"/>
        <color rgb="FFF8696B"/>
      </colorScale>
    </cfRule>
  </conditionalFormatting>
  <conditionalFormatting sqref="CU56">
    <cfRule type="colorScale" priority="707">
      <colorScale>
        <cfvo type="min"/>
        <cfvo type="max"/>
        <color rgb="FFF8696B"/>
        <color rgb="FFFCFCFF"/>
      </colorScale>
    </cfRule>
  </conditionalFormatting>
  <conditionalFormatting sqref="CU56">
    <cfRule type="colorScale" priority="705">
      <colorScale>
        <cfvo type="min"/>
        <cfvo type="max"/>
        <color rgb="FFFCFCFF"/>
        <color rgb="FFF8696B"/>
      </colorScale>
    </cfRule>
  </conditionalFormatting>
  <conditionalFormatting sqref="CU56">
    <cfRule type="colorScale" priority="704">
      <colorScale>
        <cfvo type="min"/>
        <cfvo type="max"/>
        <color rgb="FFFCFCFF"/>
        <color rgb="FFF8696B"/>
      </colorScale>
    </cfRule>
  </conditionalFormatting>
  <conditionalFormatting sqref="CU82 CU56">
    <cfRule type="colorScale" priority="703">
      <colorScale>
        <cfvo type="min"/>
        <cfvo type="max"/>
        <color rgb="FFFCFCFF"/>
        <color rgb="FFF8696B"/>
      </colorScale>
    </cfRule>
  </conditionalFormatting>
  <conditionalFormatting sqref="CU67">
    <cfRule type="colorScale" priority="702">
      <colorScale>
        <cfvo type="min"/>
        <cfvo type="percentile" val="50"/>
        <cfvo type="max"/>
        <color rgb="FFF8696B"/>
        <color rgb="FFFFEB84"/>
        <color rgb="FF63BE7B"/>
      </colorScale>
    </cfRule>
  </conditionalFormatting>
  <conditionalFormatting sqref="CU67">
    <cfRule type="colorScale" priority="701">
      <colorScale>
        <cfvo type="min"/>
        <cfvo type="percentile" val="50"/>
        <cfvo type="max"/>
        <color rgb="FF63BE7B"/>
        <color rgb="FFFFEB84"/>
        <color rgb="FFF8696B"/>
      </colorScale>
    </cfRule>
  </conditionalFormatting>
  <conditionalFormatting sqref="CU67">
    <cfRule type="colorScale" priority="698">
      <colorScale>
        <cfvo type="min"/>
        <cfvo type="max"/>
        <color rgb="FFFCFCFF"/>
        <color rgb="FFF8696B"/>
      </colorScale>
    </cfRule>
    <cfRule type="colorScale" priority="700">
      <colorScale>
        <cfvo type="min"/>
        <cfvo type="percentile" val="50"/>
        <cfvo type="max"/>
        <color rgb="FF63BE7B"/>
        <color rgb="FFFFEB84"/>
        <color rgb="FFF8696B"/>
      </colorScale>
    </cfRule>
  </conditionalFormatting>
  <conditionalFormatting sqref="CU67">
    <cfRule type="colorScale" priority="699">
      <colorScale>
        <cfvo type="min"/>
        <cfvo type="max"/>
        <color rgb="FFF8696B"/>
        <color rgb="FFFCFCFF"/>
      </colorScale>
    </cfRule>
  </conditionalFormatting>
  <conditionalFormatting sqref="CU67">
    <cfRule type="colorScale" priority="697">
      <colorScale>
        <cfvo type="min"/>
        <cfvo type="percentile" val="50"/>
        <cfvo type="max"/>
        <color rgb="FFF8696B"/>
        <color rgb="FFFFEB84"/>
        <color rgb="FF63BE7B"/>
      </colorScale>
    </cfRule>
  </conditionalFormatting>
  <conditionalFormatting sqref="CU67">
    <cfRule type="colorScale" priority="696">
      <colorScale>
        <cfvo type="min"/>
        <cfvo type="max"/>
        <color rgb="FFFCFCFF"/>
        <color rgb="FFF8696B"/>
      </colorScale>
    </cfRule>
  </conditionalFormatting>
  <conditionalFormatting sqref="CU67:CU76">
    <cfRule type="colorScale" priority="695">
      <colorScale>
        <cfvo type="min"/>
        <cfvo type="max"/>
        <color rgb="FFFCFCFF"/>
        <color rgb="FFF8696B"/>
      </colorScale>
    </cfRule>
  </conditionalFormatting>
  <conditionalFormatting sqref="CU67:CU76">
    <cfRule type="colorScale" priority="694">
      <colorScale>
        <cfvo type="min"/>
        <cfvo type="max"/>
        <color rgb="FFFCFCFF"/>
        <color rgb="FFF8696B"/>
      </colorScale>
    </cfRule>
  </conditionalFormatting>
  <conditionalFormatting sqref="CU67:CU76">
    <cfRule type="colorScale" priority="693">
      <colorScale>
        <cfvo type="min"/>
        <cfvo type="max"/>
        <color rgb="FFFCFCFF"/>
        <color rgb="FFF8696B"/>
      </colorScale>
    </cfRule>
  </conditionalFormatting>
  <conditionalFormatting sqref="CU82 CU56 CU67:CU76">
    <cfRule type="colorScale" priority="692">
      <colorScale>
        <cfvo type="min"/>
        <cfvo type="max"/>
        <color rgb="FFFCFCFF"/>
        <color rgb="FFF8696B"/>
      </colorScale>
    </cfRule>
  </conditionalFormatting>
  <conditionalFormatting sqref="CQ82 CQ66 CQ71 CQ76">
    <cfRule type="colorScale" priority="691">
      <colorScale>
        <cfvo type="min"/>
        <cfvo type="percentile" val="50"/>
        <cfvo type="max"/>
        <color rgb="FFF8696B"/>
        <color rgb="FFFFEB84"/>
        <color rgb="FF63BE7B"/>
      </colorScale>
    </cfRule>
  </conditionalFormatting>
  <conditionalFormatting sqref="CQ76">
    <cfRule type="colorScale" priority="690">
      <colorScale>
        <cfvo type="min"/>
        <cfvo type="percentile" val="50"/>
        <cfvo type="max"/>
        <color rgb="FFF8696B"/>
        <color rgb="FFFFEB84"/>
        <color rgb="FF63BE7B"/>
      </colorScale>
    </cfRule>
  </conditionalFormatting>
  <conditionalFormatting sqref="CQ82 CQ66 CQ71 CQ76">
    <cfRule type="colorScale" priority="689">
      <colorScale>
        <cfvo type="min"/>
        <cfvo type="percentile" val="50"/>
        <cfvo type="max"/>
        <color rgb="FF63BE7B"/>
        <color rgb="FFFFEB84"/>
        <color rgb="FFF8696B"/>
      </colorScale>
    </cfRule>
  </conditionalFormatting>
  <conditionalFormatting sqref="CQ82 CQ66 CQ71 CQ76">
    <cfRule type="colorScale" priority="686">
      <colorScale>
        <cfvo type="min"/>
        <cfvo type="max"/>
        <color rgb="FFFCFCFF"/>
        <color rgb="FFF8696B"/>
      </colorScale>
    </cfRule>
    <cfRule type="colorScale" priority="688">
      <colorScale>
        <cfvo type="min"/>
        <cfvo type="percentile" val="50"/>
        <cfvo type="max"/>
        <color rgb="FF63BE7B"/>
        <color rgb="FFFFEB84"/>
        <color rgb="FFF8696B"/>
      </colorScale>
    </cfRule>
  </conditionalFormatting>
  <conditionalFormatting sqref="CQ82 CQ71 CQ66 CQ76">
    <cfRule type="colorScale" priority="687">
      <colorScale>
        <cfvo type="min"/>
        <cfvo type="max"/>
        <color rgb="FFF8696B"/>
        <color rgb="FFFCFCFF"/>
      </colorScale>
    </cfRule>
  </conditionalFormatting>
  <conditionalFormatting sqref="CQ66">
    <cfRule type="colorScale" priority="685">
      <colorScale>
        <cfvo type="min"/>
        <cfvo type="percentile" val="50"/>
        <cfvo type="max"/>
        <color rgb="FFF8696B"/>
        <color rgb="FFFFEB84"/>
        <color rgb="FF63BE7B"/>
      </colorScale>
    </cfRule>
  </conditionalFormatting>
  <conditionalFormatting sqref="CQ71">
    <cfRule type="colorScale" priority="684">
      <colorScale>
        <cfvo type="min"/>
        <cfvo type="percentile" val="50"/>
        <cfvo type="max"/>
        <color rgb="FFF8696B"/>
        <color rgb="FFFFEB84"/>
        <color rgb="FF63BE7B"/>
      </colorScale>
    </cfRule>
  </conditionalFormatting>
  <conditionalFormatting sqref="CQ76">
    <cfRule type="colorScale" priority="683">
      <colorScale>
        <cfvo type="min"/>
        <cfvo type="percentile" val="50"/>
        <cfvo type="max"/>
        <color rgb="FFF8696B"/>
        <color rgb="FFFFEB84"/>
        <color rgb="FF63BE7B"/>
      </colorScale>
    </cfRule>
  </conditionalFormatting>
  <conditionalFormatting sqref="CQ82">
    <cfRule type="colorScale" priority="682">
      <colorScale>
        <cfvo type="min"/>
        <cfvo type="percentile" val="50"/>
        <cfvo type="max"/>
        <color rgb="FFF8696B"/>
        <color rgb="FFFFEB84"/>
        <color rgb="FF63BE7B"/>
      </colorScale>
    </cfRule>
  </conditionalFormatting>
  <conditionalFormatting sqref="CQ82 CQ71 CQ66 CQ76">
    <cfRule type="colorScale" priority="681">
      <colorScale>
        <cfvo type="min"/>
        <cfvo type="max"/>
        <color rgb="FFFCFCFF"/>
        <color rgb="FFF8696B"/>
      </colorScale>
    </cfRule>
  </conditionalFormatting>
  <conditionalFormatting sqref="CQ61">
    <cfRule type="colorScale" priority="680">
      <colorScale>
        <cfvo type="min"/>
        <cfvo type="percentile" val="50"/>
        <cfvo type="max"/>
        <color rgb="FFF8696B"/>
        <color rgb="FFFFEB84"/>
        <color rgb="FF63BE7B"/>
      </colorScale>
    </cfRule>
  </conditionalFormatting>
  <conditionalFormatting sqref="CQ61">
    <cfRule type="colorScale" priority="679">
      <colorScale>
        <cfvo type="min"/>
        <cfvo type="percentile" val="50"/>
        <cfvo type="max"/>
        <color rgb="FFF8696B"/>
        <color rgb="FFFFEB84"/>
        <color rgb="FF63BE7B"/>
      </colorScale>
    </cfRule>
  </conditionalFormatting>
  <conditionalFormatting sqref="CQ61">
    <cfRule type="colorScale" priority="678">
      <colorScale>
        <cfvo type="min"/>
        <cfvo type="percentile" val="50"/>
        <cfvo type="max"/>
        <color rgb="FF63BE7B"/>
        <color rgb="FFFFEB84"/>
        <color rgb="FFF8696B"/>
      </colorScale>
    </cfRule>
  </conditionalFormatting>
  <conditionalFormatting sqref="CQ61">
    <cfRule type="colorScale" priority="675">
      <colorScale>
        <cfvo type="min"/>
        <cfvo type="max"/>
        <color rgb="FFFCFCFF"/>
        <color rgb="FFF8696B"/>
      </colorScale>
    </cfRule>
    <cfRule type="colorScale" priority="677">
      <colorScale>
        <cfvo type="min"/>
        <cfvo type="percentile" val="50"/>
        <cfvo type="max"/>
        <color rgb="FF63BE7B"/>
        <color rgb="FFFFEB84"/>
        <color rgb="FFF8696B"/>
      </colorScale>
    </cfRule>
  </conditionalFormatting>
  <conditionalFormatting sqref="CQ61">
    <cfRule type="colorScale" priority="676">
      <colorScale>
        <cfvo type="min"/>
        <cfvo type="max"/>
        <color rgb="FFF8696B"/>
        <color rgb="FFFCFCFF"/>
      </colorScale>
    </cfRule>
  </conditionalFormatting>
  <conditionalFormatting sqref="CQ61">
    <cfRule type="colorScale" priority="674">
      <colorScale>
        <cfvo type="min"/>
        <cfvo type="max"/>
        <color rgb="FFFCFCFF"/>
        <color rgb="FFF8696B"/>
      </colorScale>
    </cfRule>
  </conditionalFormatting>
  <conditionalFormatting sqref="CQ56">
    <cfRule type="colorScale" priority="673">
      <colorScale>
        <cfvo type="min"/>
        <cfvo type="percentile" val="50"/>
        <cfvo type="max"/>
        <color rgb="FFF8696B"/>
        <color rgb="FFFFEB84"/>
        <color rgb="FF63BE7B"/>
      </colorScale>
    </cfRule>
  </conditionalFormatting>
  <conditionalFormatting sqref="CQ56">
    <cfRule type="colorScale" priority="672">
      <colorScale>
        <cfvo type="min"/>
        <cfvo type="percentile" val="50"/>
        <cfvo type="max"/>
        <color rgb="FFF8696B"/>
        <color rgb="FFFFEB84"/>
        <color rgb="FF63BE7B"/>
      </colorScale>
    </cfRule>
  </conditionalFormatting>
  <conditionalFormatting sqref="CQ56">
    <cfRule type="colorScale" priority="671">
      <colorScale>
        <cfvo type="min"/>
        <cfvo type="percentile" val="50"/>
        <cfvo type="max"/>
        <color rgb="FF63BE7B"/>
        <color rgb="FFFFEB84"/>
        <color rgb="FFF8696B"/>
      </colorScale>
    </cfRule>
  </conditionalFormatting>
  <conditionalFormatting sqref="CQ56">
    <cfRule type="colorScale" priority="668">
      <colorScale>
        <cfvo type="min"/>
        <cfvo type="max"/>
        <color rgb="FFFCFCFF"/>
        <color rgb="FFF8696B"/>
      </colorScale>
    </cfRule>
    <cfRule type="colorScale" priority="670">
      <colorScale>
        <cfvo type="min"/>
        <cfvo type="percentile" val="50"/>
        <cfvo type="max"/>
        <color rgb="FF63BE7B"/>
        <color rgb="FFFFEB84"/>
        <color rgb="FFF8696B"/>
      </colorScale>
    </cfRule>
  </conditionalFormatting>
  <conditionalFormatting sqref="CQ56">
    <cfRule type="colorScale" priority="669">
      <colorScale>
        <cfvo type="min"/>
        <cfvo type="max"/>
        <color rgb="FFF8696B"/>
        <color rgb="FFFCFCFF"/>
      </colorScale>
    </cfRule>
  </conditionalFormatting>
  <conditionalFormatting sqref="CQ56">
    <cfRule type="colorScale" priority="667">
      <colorScale>
        <cfvo type="min"/>
        <cfvo type="max"/>
        <color rgb="FFFCFCFF"/>
        <color rgb="FFF8696B"/>
      </colorScale>
    </cfRule>
  </conditionalFormatting>
  <conditionalFormatting sqref="CQ61 CQ56 CQ66 CQ71 CQ76 CQ82">
    <cfRule type="colorScale" priority="666">
      <colorScale>
        <cfvo type="min"/>
        <cfvo type="max"/>
        <color rgb="FFFCFCFF"/>
        <color rgb="FFF8696B"/>
      </colorScale>
    </cfRule>
  </conditionalFormatting>
  <conditionalFormatting sqref="CQ82 CQ56 CQ61 CQ66 CQ71 CQ76">
    <cfRule type="colorScale" priority="665">
      <colorScale>
        <cfvo type="min"/>
        <cfvo type="max"/>
        <color rgb="FFFCFCFF"/>
        <color rgb="FFF8696B"/>
      </colorScale>
    </cfRule>
  </conditionalFormatting>
  <conditionalFormatting sqref="CQ61 CQ56 CQ66 CQ71 CQ76 CQ82">
    <cfRule type="colorScale" priority="664">
      <colorScale>
        <cfvo type="min"/>
        <cfvo type="max"/>
        <color rgb="FFFCFCFF"/>
        <color rgb="FFF8696B"/>
      </colorScale>
    </cfRule>
  </conditionalFormatting>
  <conditionalFormatting sqref="CQ61 CQ56 CQ66 CQ71 CQ76 CQ82">
    <cfRule type="colorScale" priority="663">
      <colorScale>
        <cfvo type="min"/>
        <cfvo type="max"/>
        <color rgb="FFFCFCFF"/>
        <color rgb="FFF8696B"/>
      </colorScale>
    </cfRule>
  </conditionalFormatting>
  <conditionalFormatting sqref="CO82 CO66 CO71 CO76">
    <cfRule type="colorScale" priority="662">
      <colorScale>
        <cfvo type="min"/>
        <cfvo type="percentile" val="50"/>
        <cfvo type="max"/>
        <color rgb="FFF8696B"/>
        <color rgb="FFFFEB84"/>
        <color rgb="FF63BE7B"/>
      </colorScale>
    </cfRule>
  </conditionalFormatting>
  <conditionalFormatting sqref="CO76">
    <cfRule type="colorScale" priority="661">
      <colorScale>
        <cfvo type="min"/>
        <cfvo type="percentile" val="50"/>
        <cfvo type="max"/>
        <color rgb="FFF8696B"/>
        <color rgb="FFFFEB84"/>
        <color rgb="FF63BE7B"/>
      </colorScale>
    </cfRule>
  </conditionalFormatting>
  <conditionalFormatting sqref="CO82 CO66 CO71 CO76">
    <cfRule type="colorScale" priority="660">
      <colorScale>
        <cfvo type="min"/>
        <cfvo type="percentile" val="50"/>
        <cfvo type="max"/>
        <color rgb="FF63BE7B"/>
        <color rgb="FFFFEB84"/>
        <color rgb="FFF8696B"/>
      </colorScale>
    </cfRule>
  </conditionalFormatting>
  <conditionalFormatting sqref="CO82 CO66 CO71 CO76">
    <cfRule type="colorScale" priority="657">
      <colorScale>
        <cfvo type="min"/>
        <cfvo type="max"/>
        <color rgb="FFFCFCFF"/>
        <color rgb="FFF8696B"/>
      </colorScale>
    </cfRule>
    <cfRule type="colorScale" priority="659">
      <colorScale>
        <cfvo type="min"/>
        <cfvo type="percentile" val="50"/>
        <cfvo type="max"/>
        <color rgb="FF63BE7B"/>
        <color rgb="FFFFEB84"/>
        <color rgb="FFF8696B"/>
      </colorScale>
    </cfRule>
  </conditionalFormatting>
  <conditionalFormatting sqref="CO82 CO66 CO71 CO76">
    <cfRule type="colorScale" priority="658">
      <colorScale>
        <cfvo type="min"/>
        <cfvo type="max"/>
        <color rgb="FFF8696B"/>
        <color rgb="FFFCFCFF"/>
      </colorScale>
    </cfRule>
  </conditionalFormatting>
  <conditionalFormatting sqref="CO66">
    <cfRule type="colorScale" priority="656">
      <colorScale>
        <cfvo type="min"/>
        <cfvo type="percentile" val="50"/>
        <cfvo type="max"/>
        <color rgb="FFF8696B"/>
        <color rgb="FFFFEB84"/>
        <color rgb="FF63BE7B"/>
      </colorScale>
    </cfRule>
  </conditionalFormatting>
  <conditionalFormatting sqref="CO71">
    <cfRule type="colorScale" priority="655">
      <colorScale>
        <cfvo type="min"/>
        <cfvo type="percentile" val="50"/>
        <cfvo type="max"/>
        <color rgb="FFF8696B"/>
        <color rgb="FFFFEB84"/>
        <color rgb="FF63BE7B"/>
      </colorScale>
    </cfRule>
  </conditionalFormatting>
  <conditionalFormatting sqref="CO76">
    <cfRule type="colorScale" priority="654">
      <colorScale>
        <cfvo type="min"/>
        <cfvo type="percentile" val="50"/>
        <cfvo type="max"/>
        <color rgb="FFF8696B"/>
        <color rgb="FFFFEB84"/>
        <color rgb="FF63BE7B"/>
      </colorScale>
    </cfRule>
  </conditionalFormatting>
  <conditionalFormatting sqref="CO82">
    <cfRule type="colorScale" priority="653">
      <colorScale>
        <cfvo type="min"/>
        <cfvo type="percentile" val="50"/>
        <cfvo type="max"/>
        <color rgb="FFF8696B"/>
        <color rgb="FFFFEB84"/>
        <color rgb="FF63BE7B"/>
      </colorScale>
    </cfRule>
  </conditionalFormatting>
  <conditionalFormatting sqref="CO82 CO66 CO71 CO76">
    <cfRule type="colorScale" priority="652">
      <colorScale>
        <cfvo type="min"/>
        <cfvo type="max"/>
        <color rgb="FFFCFCFF"/>
        <color rgb="FFF8696B"/>
      </colorScale>
    </cfRule>
  </conditionalFormatting>
  <conditionalFormatting sqref="CO61">
    <cfRule type="colorScale" priority="651">
      <colorScale>
        <cfvo type="min"/>
        <cfvo type="percentile" val="50"/>
        <cfvo type="max"/>
        <color rgb="FFF8696B"/>
        <color rgb="FFFFEB84"/>
        <color rgb="FF63BE7B"/>
      </colorScale>
    </cfRule>
  </conditionalFormatting>
  <conditionalFormatting sqref="CO61">
    <cfRule type="colorScale" priority="650">
      <colorScale>
        <cfvo type="min"/>
        <cfvo type="percentile" val="50"/>
        <cfvo type="max"/>
        <color rgb="FFF8696B"/>
        <color rgb="FFFFEB84"/>
        <color rgb="FF63BE7B"/>
      </colorScale>
    </cfRule>
  </conditionalFormatting>
  <conditionalFormatting sqref="CO61">
    <cfRule type="colorScale" priority="649">
      <colorScale>
        <cfvo type="min"/>
        <cfvo type="percentile" val="50"/>
        <cfvo type="max"/>
        <color rgb="FF63BE7B"/>
        <color rgb="FFFFEB84"/>
        <color rgb="FFF8696B"/>
      </colorScale>
    </cfRule>
  </conditionalFormatting>
  <conditionalFormatting sqref="CO61">
    <cfRule type="colorScale" priority="646">
      <colorScale>
        <cfvo type="min"/>
        <cfvo type="max"/>
        <color rgb="FFFCFCFF"/>
        <color rgb="FFF8696B"/>
      </colorScale>
    </cfRule>
    <cfRule type="colorScale" priority="648">
      <colorScale>
        <cfvo type="min"/>
        <cfvo type="percentile" val="50"/>
        <cfvo type="max"/>
        <color rgb="FF63BE7B"/>
        <color rgb="FFFFEB84"/>
        <color rgb="FFF8696B"/>
      </colorScale>
    </cfRule>
  </conditionalFormatting>
  <conditionalFormatting sqref="CO61">
    <cfRule type="colorScale" priority="647">
      <colorScale>
        <cfvo type="min"/>
        <cfvo type="max"/>
        <color rgb="FFF8696B"/>
        <color rgb="FFFCFCFF"/>
      </colorScale>
    </cfRule>
  </conditionalFormatting>
  <conditionalFormatting sqref="CO61">
    <cfRule type="colorScale" priority="645">
      <colorScale>
        <cfvo type="min"/>
        <cfvo type="max"/>
        <color rgb="FFFCFCFF"/>
        <color rgb="FFF8696B"/>
      </colorScale>
    </cfRule>
  </conditionalFormatting>
  <conditionalFormatting sqref="CO56">
    <cfRule type="colorScale" priority="644">
      <colorScale>
        <cfvo type="min"/>
        <cfvo type="percentile" val="50"/>
        <cfvo type="max"/>
        <color rgb="FFF8696B"/>
        <color rgb="FFFFEB84"/>
        <color rgb="FF63BE7B"/>
      </colorScale>
    </cfRule>
  </conditionalFormatting>
  <conditionalFormatting sqref="CO56">
    <cfRule type="colorScale" priority="643">
      <colorScale>
        <cfvo type="min"/>
        <cfvo type="percentile" val="50"/>
        <cfvo type="max"/>
        <color rgb="FFF8696B"/>
        <color rgb="FFFFEB84"/>
        <color rgb="FF63BE7B"/>
      </colorScale>
    </cfRule>
  </conditionalFormatting>
  <conditionalFormatting sqref="CO56">
    <cfRule type="colorScale" priority="642">
      <colorScale>
        <cfvo type="min"/>
        <cfvo type="percentile" val="50"/>
        <cfvo type="max"/>
        <color rgb="FF63BE7B"/>
        <color rgb="FFFFEB84"/>
        <color rgb="FFF8696B"/>
      </colorScale>
    </cfRule>
  </conditionalFormatting>
  <conditionalFormatting sqref="CO56">
    <cfRule type="colorScale" priority="639">
      <colorScale>
        <cfvo type="min"/>
        <cfvo type="max"/>
        <color rgb="FFFCFCFF"/>
        <color rgb="FFF8696B"/>
      </colorScale>
    </cfRule>
    <cfRule type="colorScale" priority="641">
      <colorScale>
        <cfvo type="min"/>
        <cfvo type="percentile" val="50"/>
        <cfvo type="max"/>
        <color rgb="FF63BE7B"/>
        <color rgb="FFFFEB84"/>
        <color rgb="FFF8696B"/>
      </colorScale>
    </cfRule>
  </conditionalFormatting>
  <conditionalFormatting sqref="CO56">
    <cfRule type="colorScale" priority="640">
      <colorScale>
        <cfvo type="min"/>
        <cfvo type="max"/>
        <color rgb="FFF8696B"/>
        <color rgb="FFFCFCFF"/>
      </colorScale>
    </cfRule>
  </conditionalFormatting>
  <conditionalFormatting sqref="CO56">
    <cfRule type="colorScale" priority="638">
      <colorScale>
        <cfvo type="min"/>
        <cfvo type="max"/>
        <color rgb="FFFCFCFF"/>
        <color rgb="FFF8696B"/>
      </colorScale>
    </cfRule>
  </conditionalFormatting>
  <conditionalFormatting sqref="CO61 CO56 CO76 CO71 CO66 CO82">
    <cfRule type="colorScale" priority="637">
      <colorScale>
        <cfvo type="min"/>
        <cfvo type="max"/>
        <color rgb="FFFCFCFF"/>
        <color rgb="FFF8696B"/>
      </colorScale>
    </cfRule>
  </conditionalFormatting>
  <conditionalFormatting sqref="CO61 CO56 CO66 CO71 CO76 CO82">
    <cfRule type="colorScale" priority="636">
      <colorScale>
        <cfvo type="min"/>
        <cfvo type="max"/>
        <color rgb="FFFCFCFF"/>
        <color rgb="FFF8696B"/>
      </colorScale>
    </cfRule>
  </conditionalFormatting>
  <conditionalFormatting sqref="CO61 CO56 CO71 CO66 CO76 CO82">
    <cfRule type="colorScale" priority="635">
      <colorScale>
        <cfvo type="min"/>
        <cfvo type="max"/>
        <color rgb="FFFCFCFF"/>
        <color rgb="FFF8696B"/>
      </colorScale>
    </cfRule>
  </conditionalFormatting>
  <conditionalFormatting sqref="CO61 CO56 CO66 CO76 CO71 CO82">
    <cfRule type="colorScale" priority="634">
      <colorScale>
        <cfvo type="min"/>
        <cfvo type="max"/>
        <color rgb="FFFCFCFF"/>
        <color rgb="FFF8696B"/>
      </colorScale>
    </cfRule>
  </conditionalFormatting>
  <conditionalFormatting sqref="CM82 CM76">
    <cfRule type="colorScale" priority="633">
      <colorScale>
        <cfvo type="min"/>
        <cfvo type="percentile" val="50"/>
        <cfvo type="max"/>
        <color rgb="FFF8696B"/>
        <color rgb="FFFFEB84"/>
        <color rgb="FF63BE7B"/>
      </colorScale>
    </cfRule>
  </conditionalFormatting>
  <conditionalFormatting sqref="CM76">
    <cfRule type="colorScale" priority="632">
      <colorScale>
        <cfvo type="min"/>
        <cfvo type="percentile" val="50"/>
        <cfvo type="max"/>
        <color rgb="FFF8696B"/>
        <color rgb="FFFFEB84"/>
        <color rgb="FF63BE7B"/>
      </colorScale>
    </cfRule>
  </conditionalFormatting>
  <conditionalFormatting sqref="CM82 CM76">
    <cfRule type="colorScale" priority="631">
      <colorScale>
        <cfvo type="min"/>
        <cfvo type="percentile" val="50"/>
        <cfvo type="max"/>
        <color rgb="FF63BE7B"/>
        <color rgb="FFFFEB84"/>
        <color rgb="FFF8696B"/>
      </colorScale>
    </cfRule>
  </conditionalFormatting>
  <conditionalFormatting sqref="CM82 CM76">
    <cfRule type="colorScale" priority="628">
      <colorScale>
        <cfvo type="min"/>
        <cfvo type="max"/>
        <color rgb="FFFCFCFF"/>
        <color rgb="FFF8696B"/>
      </colorScale>
    </cfRule>
    <cfRule type="colorScale" priority="630">
      <colorScale>
        <cfvo type="min"/>
        <cfvo type="percentile" val="50"/>
        <cfvo type="max"/>
        <color rgb="FF63BE7B"/>
        <color rgb="FFFFEB84"/>
        <color rgb="FFF8696B"/>
      </colorScale>
    </cfRule>
  </conditionalFormatting>
  <conditionalFormatting sqref="CM82 CM76">
    <cfRule type="colorScale" priority="629">
      <colorScale>
        <cfvo type="min"/>
        <cfvo type="max"/>
        <color rgb="FFF8696B"/>
        <color rgb="FFFCFCFF"/>
      </colorScale>
    </cfRule>
  </conditionalFormatting>
  <conditionalFormatting sqref="CM76">
    <cfRule type="colorScale" priority="627">
      <colorScale>
        <cfvo type="min"/>
        <cfvo type="percentile" val="50"/>
        <cfvo type="max"/>
        <color rgb="FFF8696B"/>
        <color rgb="FFFFEB84"/>
        <color rgb="FF63BE7B"/>
      </colorScale>
    </cfRule>
  </conditionalFormatting>
  <conditionalFormatting sqref="CM82">
    <cfRule type="colorScale" priority="626">
      <colorScale>
        <cfvo type="min"/>
        <cfvo type="percentile" val="50"/>
        <cfvo type="max"/>
        <color rgb="FFF8696B"/>
        <color rgb="FFFFEB84"/>
        <color rgb="FF63BE7B"/>
      </colorScale>
    </cfRule>
  </conditionalFormatting>
  <conditionalFormatting sqref="CM82 CM76">
    <cfRule type="colorScale" priority="625">
      <colorScale>
        <cfvo type="min"/>
        <cfvo type="max"/>
        <color rgb="FFFCFCFF"/>
        <color rgb="FFF8696B"/>
      </colorScale>
    </cfRule>
  </conditionalFormatting>
  <conditionalFormatting sqref="CM61">
    <cfRule type="colorScale" priority="624">
      <colorScale>
        <cfvo type="min"/>
        <cfvo type="percentile" val="50"/>
        <cfvo type="max"/>
        <color rgb="FFF8696B"/>
        <color rgb="FFFFEB84"/>
        <color rgb="FF63BE7B"/>
      </colorScale>
    </cfRule>
  </conditionalFormatting>
  <conditionalFormatting sqref="CM61">
    <cfRule type="colorScale" priority="623">
      <colorScale>
        <cfvo type="min"/>
        <cfvo type="percentile" val="50"/>
        <cfvo type="max"/>
        <color rgb="FFF8696B"/>
        <color rgb="FFFFEB84"/>
        <color rgb="FF63BE7B"/>
      </colorScale>
    </cfRule>
  </conditionalFormatting>
  <conditionalFormatting sqref="CM61">
    <cfRule type="colorScale" priority="622">
      <colorScale>
        <cfvo type="min"/>
        <cfvo type="percentile" val="50"/>
        <cfvo type="max"/>
        <color rgb="FF63BE7B"/>
        <color rgb="FFFFEB84"/>
        <color rgb="FFF8696B"/>
      </colorScale>
    </cfRule>
  </conditionalFormatting>
  <conditionalFormatting sqref="CM61">
    <cfRule type="colorScale" priority="619">
      <colorScale>
        <cfvo type="min"/>
        <cfvo type="max"/>
        <color rgb="FFFCFCFF"/>
        <color rgb="FFF8696B"/>
      </colorScale>
    </cfRule>
    <cfRule type="colorScale" priority="621">
      <colorScale>
        <cfvo type="min"/>
        <cfvo type="percentile" val="50"/>
        <cfvo type="max"/>
        <color rgb="FF63BE7B"/>
        <color rgb="FFFFEB84"/>
        <color rgb="FFF8696B"/>
      </colorScale>
    </cfRule>
  </conditionalFormatting>
  <conditionalFormatting sqref="CM61">
    <cfRule type="colorScale" priority="620">
      <colorScale>
        <cfvo type="min"/>
        <cfvo type="max"/>
        <color rgb="FFF8696B"/>
        <color rgb="FFFCFCFF"/>
      </colorScale>
    </cfRule>
  </conditionalFormatting>
  <conditionalFormatting sqref="CM61">
    <cfRule type="colorScale" priority="618">
      <colorScale>
        <cfvo type="min"/>
        <cfvo type="max"/>
        <color rgb="FFFCFCFF"/>
        <color rgb="FFF8696B"/>
      </colorScale>
    </cfRule>
  </conditionalFormatting>
  <conditionalFormatting sqref="CM56">
    <cfRule type="colorScale" priority="617">
      <colorScale>
        <cfvo type="min"/>
        <cfvo type="percentile" val="50"/>
        <cfvo type="max"/>
        <color rgb="FFF8696B"/>
        <color rgb="FFFFEB84"/>
        <color rgb="FF63BE7B"/>
      </colorScale>
    </cfRule>
  </conditionalFormatting>
  <conditionalFormatting sqref="CM56">
    <cfRule type="colorScale" priority="616">
      <colorScale>
        <cfvo type="min"/>
        <cfvo type="percentile" val="50"/>
        <cfvo type="max"/>
        <color rgb="FFF8696B"/>
        <color rgb="FFFFEB84"/>
        <color rgb="FF63BE7B"/>
      </colorScale>
    </cfRule>
  </conditionalFormatting>
  <conditionalFormatting sqref="CM56">
    <cfRule type="colorScale" priority="615">
      <colorScale>
        <cfvo type="min"/>
        <cfvo type="percentile" val="50"/>
        <cfvo type="max"/>
        <color rgb="FF63BE7B"/>
        <color rgb="FFFFEB84"/>
        <color rgb="FFF8696B"/>
      </colorScale>
    </cfRule>
  </conditionalFormatting>
  <conditionalFormatting sqref="CM56">
    <cfRule type="colorScale" priority="612">
      <colorScale>
        <cfvo type="min"/>
        <cfvo type="max"/>
        <color rgb="FFFCFCFF"/>
        <color rgb="FFF8696B"/>
      </colorScale>
    </cfRule>
    <cfRule type="colorScale" priority="614">
      <colorScale>
        <cfvo type="min"/>
        <cfvo type="percentile" val="50"/>
        <cfvo type="max"/>
        <color rgb="FF63BE7B"/>
        <color rgb="FFFFEB84"/>
        <color rgb="FFF8696B"/>
      </colorScale>
    </cfRule>
  </conditionalFormatting>
  <conditionalFormatting sqref="CM56">
    <cfRule type="colorScale" priority="613">
      <colorScale>
        <cfvo type="min"/>
        <cfvo type="max"/>
        <color rgb="FFF8696B"/>
        <color rgb="FFFCFCFF"/>
      </colorScale>
    </cfRule>
  </conditionalFormatting>
  <conditionalFormatting sqref="CM56">
    <cfRule type="colorScale" priority="611">
      <colorScale>
        <cfvo type="min"/>
        <cfvo type="max"/>
        <color rgb="FFFCFCFF"/>
        <color rgb="FFF8696B"/>
      </colorScale>
    </cfRule>
  </conditionalFormatting>
  <conditionalFormatting sqref="CM82 CM56 CM61 CM76">
    <cfRule type="colorScale" priority="610">
      <colorScale>
        <cfvo type="min"/>
        <cfvo type="max"/>
        <color rgb="FFFCFCFF"/>
        <color rgb="FFF8696B"/>
      </colorScale>
    </cfRule>
  </conditionalFormatting>
  <conditionalFormatting sqref="CM61 CM56 CM76 CM82">
    <cfRule type="colorScale" priority="609">
      <colorScale>
        <cfvo type="min"/>
        <cfvo type="max"/>
        <color rgb="FFFCFCFF"/>
        <color rgb="FFF8696B"/>
      </colorScale>
    </cfRule>
  </conditionalFormatting>
  <conditionalFormatting sqref="CM67">
    <cfRule type="colorScale" priority="608">
      <colorScale>
        <cfvo type="min"/>
        <cfvo type="percentile" val="50"/>
        <cfvo type="max"/>
        <color rgb="FFF8696B"/>
        <color rgb="FFFFEB84"/>
        <color rgb="FF63BE7B"/>
      </colorScale>
    </cfRule>
  </conditionalFormatting>
  <conditionalFormatting sqref="CM67">
    <cfRule type="colorScale" priority="607">
      <colorScale>
        <cfvo type="min"/>
        <cfvo type="percentile" val="50"/>
        <cfvo type="max"/>
        <color rgb="FF63BE7B"/>
        <color rgb="FFFFEB84"/>
        <color rgb="FFF8696B"/>
      </colorScale>
    </cfRule>
  </conditionalFormatting>
  <conditionalFormatting sqref="CM67">
    <cfRule type="colorScale" priority="604">
      <colorScale>
        <cfvo type="min"/>
        <cfvo type="max"/>
        <color rgb="FFFCFCFF"/>
        <color rgb="FFF8696B"/>
      </colorScale>
    </cfRule>
    <cfRule type="colorScale" priority="606">
      <colorScale>
        <cfvo type="min"/>
        <cfvo type="percentile" val="50"/>
        <cfvo type="max"/>
        <color rgb="FF63BE7B"/>
        <color rgb="FFFFEB84"/>
        <color rgb="FFF8696B"/>
      </colorScale>
    </cfRule>
  </conditionalFormatting>
  <conditionalFormatting sqref="CM67">
    <cfRule type="colorScale" priority="605">
      <colorScale>
        <cfvo type="min"/>
        <cfvo type="max"/>
        <color rgb="FFF8696B"/>
        <color rgb="FFFCFCFF"/>
      </colorScale>
    </cfRule>
  </conditionalFormatting>
  <conditionalFormatting sqref="CM67">
    <cfRule type="colorScale" priority="603">
      <colorScale>
        <cfvo type="min"/>
        <cfvo type="percentile" val="50"/>
        <cfvo type="max"/>
        <color rgb="FFF8696B"/>
        <color rgb="FFFFEB84"/>
        <color rgb="FF63BE7B"/>
      </colorScale>
    </cfRule>
  </conditionalFormatting>
  <conditionalFormatting sqref="CM67">
    <cfRule type="colorScale" priority="602">
      <colorScale>
        <cfvo type="min"/>
        <cfvo type="max"/>
        <color rgb="FFFCFCFF"/>
        <color rgb="FFF8696B"/>
      </colorScale>
    </cfRule>
  </conditionalFormatting>
  <conditionalFormatting sqref="CM67:CM71">
    <cfRule type="colorScale" priority="601">
      <colorScale>
        <cfvo type="min"/>
        <cfvo type="max"/>
        <color rgb="FFFCFCFF"/>
        <color rgb="FFF8696B"/>
      </colorScale>
    </cfRule>
  </conditionalFormatting>
  <conditionalFormatting sqref="CM67:CM71">
    <cfRule type="colorScale" priority="600">
      <colorScale>
        <cfvo type="min"/>
        <cfvo type="max"/>
        <color rgb="FFFCFCFF"/>
        <color rgb="FFF8696B"/>
      </colorScale>
    </cfRule>
  </conditionalFormatting>
  <conditionalFormatting sqref="CM61 CM56 CM67:CM71 CM76 CM82">
    <cfRule type="colorScale" priority="599">
      <colorScale>
        <cfvo type="min"/>
        <cfvo type="max"/>
        <color rgb="FFFCFCFF"/>
        <color rgb="FFF8696B"/>
      </colorScale>
    </cfRule>
  </conditionalFormatting>
  <conditionalFormatting sqref="CM61 CM56 CM67:CM71 CM76 CM82">
    <cfRule type="colorScale" priority="598">
      <colorScale>
        <cfvo type="min"/>
        <cfvo type="max"/>
        <color rgb="FFFCFCFF"/>
        <color rgb="FFF8696B"/>
      </colorScale>
    </cfRule>
  </conditionalFormatting>
  <conditionalFormatting sqref="CK82 CK76">
    <cfRule type="colorScale" priority="597">
      <colorScale>
        <cfvo type="min"/>
        <cfvo type="percentile" val="50"/>
        <cfvo type="max"/>
        <color rgb="FFF8696B"/>
        <color rgb="FFFFEB84"/>
        <color rgb="FF63BE7B"/>
      </colorScale>
    </cfRule>
  </conditionalFormatting>
  <conditionalFormatting sqref="CK82 CK76">
    <cfRule type="colorScale" priority="596">
      <colorScale>
        <cfvo type="min"/>
        <cfvo type="percentile" val="50"/>
        <cfvo type="max"/>
        <color rgb="FF63BE7B"/>
        <color rgb="FFFFEB84"/>
        <color rgb="FFF8696B"/>
      </colorScale>
    </cfRule>
  </conditionalFormatting>
  <conditionalFormatting sqref="CK76 CK82">
    <cfRule type="colorScale" priority="593">
      <colorScale>
        <cfvo type="min"/>
        <cfvo type="max"/>
        <color rgb="FFFCFCFF"/>
        <color rgb="FFF8696B"/>
      </colorScale>
    </cfRule>
    <cfRule type="colorScale" priority="595">
      <colorScale>
        <cfvo type="min"/>
        <cfvo type="percentile" val="50"/>
        <cfvo type="max"/>
        <color rgb="FF63BE7B"/>
        <color rgb="FFFFEB84"/>
        <color rgb="FFF8696B"/>
      </colorScale>
    </cfRule>
  </conditionalFormatting>
  <conditionalFormatting sqref="CK82 CK76">
    <cfRule type="colorScale" priority="594">
      <colorScale>
        <cfvo type="min"/>
        <cfvo type="max"/>
        <color rgb="FFF8696B"/>
        <color rgb="FFFCFCFF"/>
      </colorScale>
    </cfRule>
  </conditionalFormatting>
  <conditionalFormatting sqref="CK76">
    <cfRule type="colorScale" priority="592">
      <colorScale>
        <cfvo type="min"/>
        <cfvo type="percentile" val="50"/>
        <cfvo type="max"/>
        <color rgb="FFF8696B"/>
        <color rgb="FFFFEB84"/>
        <color rgb="FF63BE7B"/>
      </colorScale>
    </cfRule>
  </conditionalFormatting>
  <conditionalFormatting sqref="CK82">
    <cfRule type="colorScale" priority="591">
      <colorScale>
        <cfvo type="min"/>
        <cfvo type="percentile" val="50"/>
        <cfvo type="max"/>
        <color rgb="FFF8696B"/>
        <color rgb="FFFFEB84"/>
        <color rgb="FF63BE7B"/>
      </colorScale>
    </cfRule>
  </conditionalFormatting>
  <conditionalFormatting sqref="CK82 CK76">
    <cfRule type="colorScale" priority="590">
      <colorScale>
        <cfvo type="min"/>
        <cfvo type="max"/>
        <color rgb="FFFCFCFF"/>
        <color rgb="FFF8696B"/>
      </colorScale>
    </cfRule>
  </conditionalFormatting>
  <conditionalFormatting sqref="CK82 CK76">
    <cfRule type="colorScale" priority="589">
      <colorScale>
        <cfvo type="min"/>
        <cfvo type="max"/>
        <color rgb="FFFCFCFF"/>
        <color rgb="FFF8696B"/>
      </colorScale>
    </cfRule>
  </conditionalFormatting>
  <conditionalFormatting sqref="CK76 CK82">
    <cfRule type="colorScale" priority="588">
      <colorScale>
        <cfvo type="min"/>
        <cfvo type="max"/>
        <color rgb="FFFCFCFF"/>
        <color rgb="FFF8696B"/>
      </colorScale>
    </cfRule>
  </conditionalFormatting>
  <conditionalFormatting sqref="CK76 CK82">
    <cfRule type="colorScale" priority="587">
      <colorScale>
        <cfvo type="min"/>
        <cfvo type="max"/>
        <color rgb="FFFCFCFF"/>
        <color rgb="FFF8696B"/>
      </colorScale>
    </cfRule>
  </conditionalFormatting>
  <conditionalFormatting sqref="CK61">
    <cfRule type="colorScale" priority="586">
      <colorScale>
        <cfvo type="min"/>
        <cfvo type="percentile" val="50"/>
        <cfvo type="max"/>
        <color rgb="FFF8696B"/>
        <color rgb="FFFFEB84"/>
        <color rgb="FF63BE7B"/>
      </colorScale>
    </cfRule>
  </conditionalFormatting>
  <conditionalFormatting sqref="CK61">
    <cfRule type="colorScale" priority="585">
      <colorScale>
        <cfvo type="min"/>
        <cfvo type="percentile" val="50"/>
        <cfvo type="max"/>
        <color rgb="FF63BE7B"/>
        <color rgb="FFFFEB84"/>
        <color rgb="FFF8696B"/>
      </colorScale>
    </cfRule>
  </conditionalFormatting>
  <conditionalFormatting sqref="CK61">
    <cfRule type="colorScale" priority="582">
      <colorScale>
        <cfvo type="min"/>
        <cfvo type="max"/>
        <color rgb="FFFCFCFF"/>
        <color rgb="FFF8696B"/>
      </colorScale>
    </cfRule>
    <cfRule type="colorScale" priority="584">
      <colorScale>
        <cfvo type="min"/>
        <cfvo type="percentile" val="50"/>
        <cfvo type="max"/>
        <color rgb="FF63BE7B"/>
        <color rgb="FFFFEB84"/>
        <color rgb="FFF8696B"/>
      </colorScale>
    </cfRule>
  </conditionalFormatting>
  <conditionalFormatting sqref="CK61">
    <cfRule type="colorScale" priority="583">
      <colorScale>
        <cfvo type="min"/>
        <cfvo type="max"/>
        <color rgb="FFF8696B"/>
        <color rgb="FFFCFCFF"/>
      </colorScale>
    </cfRule>
  </conditionalFormatting>
  <conditionalFormatting sqref="CK61">
    <cfRule type="colorScale" priority="581">
      <colorScale>
        <cfvo type="min"/>
        <cfvo type="max"/>
        <color rgb="FFFCFCFF"/>
        <color rgb="FFF8696B"/>
      </colorScale>
    </cfRule>
  </conditionalFormatting>
  <conditionalFormatting sqref="CK56">
    <cfRule type="colorScale" priority="580">
      <colorScale>
        <cfvo type="min"/>
        <cfvo type="percentile" val="50"/>
        <cfvo type="max"/>
        <color rgb="FFF8696B"/>
        <color rgb="FFFFEB84"/>
        <color rgb="FF63BE7B"/>
      </colorScale>
    </cfRule>
  </conditionalFormatting>
  <conditionalFormatting sqref="CK56">
    <cfRule type="colorScale" priority="579">
      <colorScale>
        <cfvo type="min"/>
        <cfvo type="percentile" val="50"/>
        <cfvo type="max"/>
        <color rgb="FF63BE7B"/>
        <color rgb="FFFFEB84"/>
        <color rgb="FFF8696B"/>
      </colorScale>
    </cfRule>
  </conditionalFormatting>
  <conditionalFormatting sqref="CK56">
    <cfRule type="colorScale" priority="576">
      <colorScale>
        <cfvo type="min"/>
        <cfvo type="max"/>
        <color rgb="FFFCFCFF"/>
        <color rgb="FFF8696B"/>
      </colorScale>
    </cfRule>
    <cfRule type="colorScale" priority="578">
      <colorScale>
        <cfvo type="min"/>
        <cfvo type="percentile" val="50"/>
        <cfvo type="max"/>
        <color rgb="FF63BE7B"/>
        <color rgb="FFFFEB84"/>
        <color rgb="FFF8696B"/>
      </colorScale>
    </cfRule>
  </conditionalFormatting>
  <conditionalFormatting sqref="CK56">
    <cfRule type="colorScale" priority="577">
      <colorScale>
        <cfvo type="min"/>
        <cfvo type="max"/>
        <color rgb="FFF8696B"/>
        <color rgb="FFFCFCFF"/>
      </colorScale>
    </cfRule>
  </conditionalFormatting>
  <conditionalFormatting sqref="CK56">
    <cfRule type="colorScale" priority="575">
      <colorScale>
        <cfvo type="min"/>
        <cfvo type="max"/>
        <color rgb="FFFCFCFF"/>
        <color rgb="FFF8696B"/>
      </colorScale>
    </cfRule>
  </conditionalFormatting>
  <conditionalFormatting sqref="CK67">
    <cfRule type="colorScale" priority="574">
      <colorScale>
        <cfvo type="min"/>
        <cfvo type="percentile" val="50"/>
        <cfvo type="max"/>
        <color rgb="FFF8696B"/>
        <color rgb="FFFFEB84"/>
        <color rgb="FF63BE7B"/>
      </colorScale>
    </cfRule>
  </conditionalFormatting>
  <conditionalFormatting sqref="CK67">
    <cfRule type="colorScale" priority="573">
      <colorScale>
        <cfvo type="min"/>
        <cfvo type="percentile" val="50"/>
        <cfvo type="max"/>
        <color rgb="FF63BE7B"/>
        <color rgb="FFFFEB84"/>
        <color rgb="FFF8696B"/>
      </colorScale>
    </cfRule>
  </conditionalFormatting>
  <conditionalFormatting sqref="CK67">
    <cfRule type="colorScale" priority="570">
      <colorScale>
        <cfvo type="min"/>
        <cfvo type="max"/>
        <color rgb="FFFCFCFF"/>
        <color rgb="FFF8696B"/>
      </colorScale>
    </cfRule>
    <cfRule type="colorScale" priority="572">
      <colorScale>
        <cfvo type="min"/>
        <cfvo type="percentile" val="50"/>
        <cfvo type="max"/>
        <color rgb="FF63BE7B"/>
        <color rgb="FFFFEB84"/>
        <color rgb="FFF8696B"/>
      </colorScale>
    </cfRule>
  </conditionalFormatting>
  <conditionalFormatting sqref="CK67">
    <cfRule type="colorScale" priority="571">
      <colorScale>
        <cfvo type="min"/>
        <cfvo type="max"/>
        <color rgb="FFF8696B"/>
        <color rgb="FFFCFCFF"/>
      </colorScale>
    </cfRule>
  </conditionalFormatting>
  <conditionalFormatting sqref="CK67">
    <cfRule type="colorScale" priority="569">
      <colorScale>
        <cfvo type="min"/>
        <cfvo type="percentile" val="50"/>
        <cfvo type="max"/>
        <color rgb="FFF8696B"/>
        <color rgb="FFFFEB84"/>
        <color rgb="FF63BE7B"/>
      </colorScale>
    </cfRule>
  </conditionalFormatting>
  <conditionalFormatting sqref="CK67">
    <cfRule type="colorScale" priority="568">
      <colorScale>
        <cfvo type="min"/>
        <cfvo type="max"/>
        <color rgb="FFFCFCFF"/>
        <color rgb="FFF8696B"/>
      </colorScale>
    </cfRule>
  </conditionalFormatting>
  <conditionalFormatting sqref="CK61 CK56 CK67:CK71">
    <cfRule type="colorScale" priority="567">
      <colorScale>
        <cfvo type="min"/>
        <cfvo type="max"/>
        <color rgb="FFFCFCFF"/>
        <color rgb="FFF8696B"/>
      </colorScale>
    </cfRule>
  </conditionalFormatting>
  <conditionalFormatting sqref="CK61 CK56 CK67:CK71">
    <cfRule type="colorScale" priority="566">
      <colorScale>
        <cfvo type="min"/>
        <cfvo type="max"/>
        <color rgb="FFFCFCFF"/>
        <color rgb="FFF8696B"/>
      </colorScale>
    </cfRule>
  </conditionalFormatting>
  <conditionalFormatting sqref="CK67:CK71 CK56 CK61">
    <cfRule type="colorScale" priority="565">
      <colorScale>
        <cfvo type="min"/>
        <cfvo type="max"/>
        <color rgb="FFFCFCFF"/>
        <color rgb="FFF8696B"/>
      </colorScale>
    </cfRule>
  </conditionalFormatting>
  <conditionalFormatting sqref="CI77">
    <cfRule type="colorScale" priority="564">
      <colorScale>
        <cfvo type="min"/>
        <cfvo type="percentile" val="50"/>
        <cfvo type="max"/>
        <color rgb="FFF8696B"/>
        <color rgb="FFFFEB84"/>
        <color rgb="FF63BE7B"/>
      </colorScale>
    </cfRule>
  </conditionalFormatting>
  <conditionalFormatting sqref="CI77">
    <cfRule type="colorScale" priority="563">
      <colorScale>
        <cfvo type="min"/>
        <cfvo type="percentile" val="50"/>
        <cfvo type="max"/>
        <color rgb="FF63BE7B"/>
        <color rgb="FFFFEB84"/>
        <color rgb="FFF8696B"/>
      </colorScale>
    </cfRule>
  </conditionalFormatting>
  <conditionalFormatting sqref="CI77">
    <cfRule type="colorScale" priority="560">
      <colorScale>
        <cfvo type="min"/>
        <cfvo type="max"/>
        <color rgb="FFFCFCFF"/>
        <color rgb="FFF8696B"/>
      </colorScale>
    </cfRule>
    <cfRule type="colorScale" priority="562">
      <colorScale>
        <cfvo type="min"/>
        <cfvo type="percentile" val="50"/>
        <cfvo type="max"/>
        <color rgb="FF63BE7B"/>
        <color rgb="FFFFEB84"/>
        <color rgb="FFF8696B"/>
      </colorScale>
    </cfRule>
  </conditionalFormatting>
  <conditionalFormatting sqref="CI77">
    <cfRule type="colorScale" priority="561">
      <colorScale>
        <cfvo type="min"/>
        <cfvo type="max"/>
        <color rgb="FFF8696B"/>
        <color rgb="FFFCFCFF"/>
      </colorScale>
    </cfRule>
  </conditionalFormatting>
  <conditionalFormatting sqref="CI77">
    <cfRule type="colorScale" priority="559">
      <colorScale>
        <cfvo type="min"/>
        <cfvo type="percentile" val="50"/>
        <cfvo type="max"/>
        <color rgb="FFF8696B"/>
        <color rgb="FFFFEB84"/>
        <color rgb="FF63BE7B"/>
      </colorScale>
    </cfRule>
  </conditionalFormatting>
  <conditionalFormatting sqref="CI77">
    <cfRule type="colorScale" priority="558">
      <colorScale>
        <cfvo type="min"/>
        <cfvo type="max"/>
        <color rgb="FFFCFCFF"/>
        <color rgb="FFF8696B"/>
      </colorScale>
    </cfRule>
  </conditionalFormatting>
  <conditionalFormatting sqref="CI56">
    <cfRule type="colorScale" priority="557">
      <colorScale>
        <cfvo type="min"/>
        <cfvo type="percentile" val="50"/>
        <cfvo type="max"/>
        <color rgb="FFF8696B"/>
        <color rgb="FFFFEB84"/>
        <color rgb="FF63BE7B"/>
      </colorScale>
    </cfRule>
  </conditionalFormatting>
  <conditionalFormatting sqref="CI56">
    <cfRule type="colorScale" priority="556">
      <colorScale>
        <cfvo type="min"/>
        <cfvo type="percentile" val="50"/>
        <cfvo type="max"/>
        <color rgb="FFF8696B"/>
        <color rgb="FFFFEB84"/>
        <color rgb="FF63BE7B"/>
      </colorScale>
    </cfRule>
  </conditionalFormatting>
  <conditionalFormatting sqref="CI56">
    <cfRule type="colorScale" priority="555">
      <colorScale>
        <cfvo type="min"/>
        <cfvo type="percentile" val="50"/>
        <cfvo type="max"/>
        <color rgb="FF63BE7B"/>
        <color rgb="FFFFEB84"/>
        <color rgb="FFF8696B"/>
      </colorScale>
    </cfRule>
  </conditionalFormatting>
  <conditionalFormatting sqref="CI56">
    <cfRule type="colorScale" priority="552">
      <colorScale>
        <cfvo type="min"/>
        <cfvo type="max"/>
        <color rgb="FFFCFCFF"/>
        <color rgb="FFF8696B"/>
      </colorScale>
    </cfRule>
    <cfRule type="colorScale" priority="554">
      <colorScale>
        <cfvo type="min"/>
        <cfvo type="percentile" val="50"/>
        <cfvo type="max"/>
        <color rgb="FF63BE7B"/>
        <color rgb="FFFFEB84"/>
        <color rgb="FFF8696B"/>
      </colorScale>
    </cfRule>
  </conditionalFormatting>
  <conditionalFormatting sqref="CI56">
    <cfRule type="colorScale" priority="553">
      <colorScale>
        <cfvo type="min"/>
        <cfvo type="max"/>
        <color rgb="FFF8696B"/>
        <color rgb="FFFCFCFF"/>
      </colorScale>
    </cfRule>
  </conditionalFormatting>
  <conditionalFormatting sqref="CI56">
    <cfRule type="colorScale" priority="551">
      <colorScale>
        <cfvo type="min"/>
        <cfvo type="max"/>
        <color rgb="FFFCFCFF"/>
        <color rgb="FFF8696B"/>
      </colorScale>
    </cfRule>
  </conditionalFormatting>
  <conditionalFormatting sqref="CI67">
    <cfRule type="colorScale" priority="550">
      <colorScale>
        <cfvo type="min"/>
        <cfvo type="percentile" val="50"/>
        <cfvo type="max"/>
        <color rgb="FFF8696B"/>
        <color rgb="FFFFEB84"/>
        <color rgb="FF63BE7B"/>
      </colorScale>
    </cfRule>
  </conditionalFormatting>
  <conditionalFormatting sqref="CI67">
    <cfRule type="colorScale" priority="549">
      <colorScale>
        <cfvo type="min"/>
        <cfvo type="percentile" val="50"/>
        <cfvo type="max"/>
        <color rgb="FF63BE7B"/>
        <color rgb="FFFFEB84"/>
        <color rgb="FFF8696B"/>
      </colorScale>
    </cfRule>
  </conditionalFormatting>
  <conditionalFormatting sqref="CI67">
    <cfRule type="colorScale" priority="546">
      <colorScale>
        <cfvo type="min"/>
        <cfvo type="max"/>
        <color rgb="FFFCFCFF"/>
        <color rgb="FFF8696B"/>
      </colorScale>
    </cfRule>
    <cfRule type="colorScale" priority="548">
      <colorScale>
        <cfvo type="min"/>
        <cfvo type="percentile" val="50"/>
        <cfvo type="max"/>
        <color rgb="FF63BE7B"/>
        <color rgb="FFFFEB84"/>
        <color rgb="FFF8696B"/>
      </colorScale>
    </cfRule>
  </conditionalFormatting>
  <conditionalFormatting sqref="CI67">
    <cfRule type="colorScale" priority="547">
      <colorScale>
        <cfvo type="min"/>
        <cfvo type="max"/>
        <color rgb="FFF8696B"/>
        <color rgb="FFFCFCFF"/>
      </colorScale>
    </cfRule>
  </conditionalFormatting>
  <conditionalFormatting sqref="CI67">
    <cfRule type="colorScale" priority="545">
      <colorScale>
        <cfvo type="min"/>
        <cfvo type="percentile" val="50"/>
        <cfvo type="max"/>
        <color rgb="FFF8696B"/>
        <color rgb="FFFFEB84"/>
        <color rgb="FF63BE7B"/>
      </colorScale>
    </cfRule>
  </conditionalFormatting>
  <conditionalFormatting sqref="CI67">
    <cfRule type="colorScale" priority="544">
      <colorScale>
        <cfvo type="min"/>
        <cfvo type="max"/>
        <color rgb="FFFCFCFF"/>
        <color rgb="FFF8696B"/>
      </colorScale>
    </cfRule>
  </conditionalFormatting>
  <conditionalFormatting sqref="CI56:CI61 CI77 CI67:CI71">
    <cfRule type="colorScale" priority="543">
      <colorScale>
        <cfvo type="min"/>
        <cfvo type="max"/>
        <color rgb="FFFCFCFF"/>
        <color rgb="FFF8696B"/>
      </colorScale>
    </cfRule>
  </conditionalFormatting>
  <conditionalFormatting sqref="CI56:CI61 CI77 CI67:CI71">
    <cfRule type="colorScale" priority="542">
      <colorScale>
        <cfvo type="min"/>
        <cfvo type="max"/>
        <color rgb="FFFCFCFF"/>
        <color rgb="FFF8696B"/>
      </colorScale>
    </cfRule>
  </conditionalFormatting>
  <conditionalFormatting sqref="CI56:CI61 CI77 CI67:CI71">
    <cfRule type="colorScale" priority="541">
      <colorScale>
        <cfvo type="min"/>
        <cfvo type="max"/>
        <color rgb="FFFCFCFF"/>
        <color rgb="FFF8696B"/>
      </colorScale>
    </cfRule>
  </conditionalFormatting>
  <conditionalFormatting sqref="CA66 CA82 CA71 CA76">
    <cfRule type="colorScale" priority="540">
      <colorScale>
        <cfvo type="min"/>
        <cfvo type="percentile" val="50"/>
        <cfvo type="max"/>
        <color rgb="FFF8696B"/>
        <color rgb="FFFFEB84"/>
        <color rgb="FF63BE7B"/>
      </colorScale>
    </cfRule>
  </conditionalFormatting>
  <conditionalFormatting sqref="CA76">
    <cfRule type="colorScale" priority="539">
      <colorScale>
        <cfvo type="min"/>
        <cfvo type="percentile" val="50"/>
        <cfvo type="max"/>
        <color rgb="FFF8696B"/>
        <color rgb="FFFFEB84"/>
        <color rgb="FF63BE7B"/>
      </colorScale>
    </cfRule>
  </conditionalFormatting>
  <conditionalFormatting sqref="CA66 CA82 CA71 CA76">
    <cfRule type="colorScale" priority="538">
      <colorScale>
        <cfvo type="min"/>
        <cfvo type="percentile" val="50"/>
        <cfvo type="max"/>
        <color rgb="FF63BE7B"/>
        <color rgb="FFFFEB84"/>
        <color rgb="FFF8696B"/>
      </colorScale>
    </cfRule>
  </conditionalFormatting>
  <conditionalFormatting sqref="CA82 CA66 CA71 CA76">
    <cfRule type="colorScale" priority="535">
      <colorScale>
        <cfvo type="min"/>
        <cfvo type="max"/>
        <color rgb="FFFCFCFF"/>
        <color rgb="FFF8696B"/>
      </colorScale>
    </cfRule>
    <cfRule type="colorScale" priority="537">
      <colorScale>
        <cfvo type="min"/>
        <cfvo type="percentile" val="50"/>
        <cfvo type="max"/>
        <color rgb="FF63BE7B"/>
        <color rgb="FFFFEB84"/>
        <color rgb="FFF8696B"/>
      </colorScale>
    </cfRule>
  </conditionalFormatting>
  <conditionalFormatting sqref="CA71 CA82 CA66 CA76">
    <cfRule type="colorScale" priority="536">
      <colorScale>
        <cfvo type="min"/>
        <cfvo type="max"/>
        <color rgb="FFF8696B"/>
        <color rgb="FFFCFCFF"/>
      </colorScale>
    </cfRule>
  </conditionalFormatting>
  <conditionalFormatting sqref="CA66">
    <cfRule type="colorScale" priority="534">
      <colorScale>
        <cfvo type="min"/>
        <cfvo type="percentile" val="50"/>
        <cfvo type="max"/>
        <color rgb="FFF8696B"/>
        <color rgb="FFFFEB84"/>
        <color rgb="FF63BE7B"/>
      </colorScale>
    </cfRule>
  </conditionalFormatting>
  <conditionalFormatting sqref="CA71">
    <cfRule type="colorScale" priority="533">
      <colorScale>
        <cfvo type="min"/>
        <cfvo type="percentile" val="50"/>
        <cfvo type="max"/>
        <color rgb="FFF8696B"/>
        <color rgb="FFFFEB84"/>
        <color rgb="FF63BE7B"/>
      </colorScale>
    </cfRule>
  </conditionalFormatting>
  <conditionalFormatting sqref="CA76">
    <cfRule type="colorScale" priority="532">
      <colorScale>
        <cfvo type="min"/>
        <cfvo type="percentile" val="50"/>
        <cfvo type="max"/>
        <color rgb="FFF8696B"/>
        <color rgb="FFFFEB84"/>
        <color rgb="FF63BE7B"/>
      </colorScale>
    </cfRule>
  </conditionalFormatting>
  <conditionalFormatting sqref="CA82">
    <cfRule type="colorScale" priority="531">
      <colorScale>
        <cfvo type="min"/>
        <cfvo type="percentile" val="50"/>
        <cfvo type="max"/>
        <color rgb="FFF8696B"/>
        <color rgb="FFFFEB84"/>
        <color rgb="FF63BE7B"/>
      </colorScale>
    </cfRule>
  </conditionalFormatting>
  <conditionalFormatting sqref="CA71 CA82 CA66 CA76">
    <cfRule type="colorScale" priority="530">
      <colorScale>
        <cfvo type="min"/>
        <cfvo type="max"/>
        <color rgb="FFFCFCFF"/>
        <color rgb="FFF8696B"/>
      </colorScale>
    </cfRule>
  </conditionalFormatting>
  <conditionalFormatting sqref="CA61">
    <cfRule type="colorScale" priority="529">
      <colorScale>
        <cfvo type="min"/>
        <cfvo type="percentile" val="50"/>
        <cfvo type="max"/>
        <color rgb="FFF8696B"/>
        <color rgb="FFFFEB84"/>
        <color rgb="FF63BE7B"/>
      </colorScale>
    </cfRule>
  </conditionalFormatting>
  <conditionalFormatting sqref="CA61">
    <cfRule type="colorScale" priority="528">
      <colorScale>
        <cfvo type="min"/>
        <cfvo type="percentile" val="50"/>
        <cfvo type="max"/>
        <color rgb="FFF8696B"/>
        <color rgb="FFFFEB84"/>
        <color rgb="FF63BE7B"/>
      </colorScale>
    </cfRule>
  </conditionalFormatting>
  <conditionalFormatting sqref="CA61">
    <cfRule type="colorScale" priority="527">
      <colorScale>
        <cfvo type="min"/>
        <cfvo type="percentile" val="50"/>
        <cfvo type="max"/>
        <color rgb="FF63BE7B"/>
        <color rgb="FFFFEB84"/>
        <color rgb="FFF8696B"/>
      </colorScale>
    </cfRule>
  </conditionalFormatting>
  <conditionalFormatting sqref="CA61">
    <cfRule type="colorScale" priority="524">
      <colorScale>
        <cfvo type="min"/>
        <cfvo type="max"/>
        <color rgb="FFFCFCFF"/>
        <color rgb="FFF8696B"/>
      </colorScale>
    </cfRule>
    <cfRule type="colorScale" priority="526">
      <colorScale>
        <cfvo type="min"/>
        <cfvo type="percentile" val="50"/>
        <cfvo type="max"/>
        <color rgb="FF63BE7B"/>
        <color rgb="FFFFEB84"/>
        <color rgb="FFF8696B"/>
      </colorScale>
    </cfRule>
  </conditionalFormatting>
  <conditionalFormatting sqref="CA61">
    <cfRule type="colorScale" priority="525">
      <colorScale>
        <cfvo type="min"/>
        <cfvo type="max"/>
        <color rgb="FFF8696B"/>
        <color rgb="FFFCFCFF"/>
      </colorScale>
    </cfRule>
  </conditionalFormatting>
  <conditionalFormatting sqref="CA61">
    <cfRule type="colorScale" priority="523">
      <colorScale>
        <cfvo type="min"/>
        <cfvo type="max"/>
        <color rgb="FFFCFCFF"/>
        <color rgb="FFF8696B"/>
      </colorScale>
    </cfRule>
  </conditionalFormatting>
  <conditionalFormatting sqref="CA56">
    <cfRule type="colorScale" priority="522">
      <colorScale>
        <cfvo type="min"/>
        <cfvo type="percentile" val="50"/>
        <cfvo type="max"/>
        <color rgb="FFF8696B"/>
        <color rgb="FFFFEB84"/>
        <color rgb="FF63BE7B"/>
      </colorScale>
    </cfRule>
  </conditionalFormatting>
  <conditionalFormatting sqref="CA56">
    <cfRule type="colorScale" priority="521">
      <colorScale>
        <cfvo type="min"/>
        <cfvo type="percentile" val="50"/>
        <cfvo type="max"/>
        <color rgb="FFF8696B"/>
        <color rgb="FFFFEB84"/>
        <color rgb="FF63BE7B"/>
      </colorScale>
    </cfRule>
  </conditionalFormatting>
  <conditionalFormatting sqref="CA56">
    <cfRule type="colorScale" priority="520">
      <colorScale>
        <cfvo type="min"/>
        <cfvo type="percentile" val="50"/>
        <cfvo type="max"/>
        <color rgb="FF63BE7B"/>
        <color rgb="FFFFEB84"/>
        <color rgb="FFF8696B"/>
      </colorScale>
    </cfRule>
  </conditionalFormatting>
  <conditionalFormatting sqref="CA56">
    <cfRule type="colorScale" priority="517">
      <colorScale>
        <cfvo type="min"/>
        <cfvo type="max"/>
        <color rgb="FFFCFCFF"/>
        <color rgb="FFF8696B"/>
      </colorScale>
    </cfRule>
    <cfRule type="colorScale" priority="519">
      <colorScale>
        <cfvo type="min"/>
        <cfvo type="percentile" val="50"/>
        <cfvo type="max"/>
        <color rgb="FF63BE7B"/>
        <color rgb="FFFFEB84"/>
        <color rgb="FFF8696B"/>
      </colorScale>
    </cfRule>
  </conditionalFormatting>
  <conditionalFormatting sqref="CA56">
    <cfRule type="colorScale" priority="518">
      <colorScale>
        <cfvo type="min"/>
        <cfvo type="max"/>
        <color rgb="FFF8696B"/>
        <color rgb="FFFCFCFF"/>
      </colorScale>
    </cfRule>
  </conditionalFormatting>
  <conditionalFormatting sqref="CA56">
    <cfRule type="colorScale" priority="516">
      <colorScale>
        <cfvo type="min"/>
        <cfvo type="max"/>
        <color rgb="FFFCFCFF"/>
        <color rgb="FFF8696B"/>
      </colorScale>
    </cfRule>
  </conditionalFormatting>
  <conditionalFormatting sqref="CA61 CA56 CA66 CA71 CA76 CA82">
    <cfRule type="colorScale" priority="515">
      <colorScale>
        <cfvo type="min"/>
        <cfvo type="max"/>
        <color rgb="FFFCFCFF"/>
        <color rgb="FFF8696B"/>
      </colorScale>
    </cfRule>
  </conditionalFormatting>
  <conditionalFormatting sqref="CA56 CA82 CA61 CA66 CA71 CA76">
    <cfRule type="colorScale" priority="514">
      <colorScale>
        <cfvo type="min"/>
        <cfvo type="max"/>
        <color rgb="FFFCFCFF"/>
        <color rgb="FFF8696B"/>
      </colorScale>
    </cfRule>
  </conditionalFormatting>
  <conditionalFormatting sqref="CA61 CA56 CA66 CA71 CA76 CA82">
    <cfRule type="colorScale" priority="513">
      <colorScale>
        <cfvo type="min"/>
        <cfvo type="max"/>
        <color rgb="FFFCFCFF"/>
        <color rgb="FFF8696B"/>
      </colorScale>
    </cfRule>
  </conditionalFormatting>
  <conditionalFormatting sqref="CA61 CA56 CA66 CA71 CA76 CA82">
    <cfRule type="colorScale" priority="512">
      <colorScale>
        <cfvo type="min"/>
        <cfvo type="max"/>
        <color rgb="FFFCFCFF"/>
        <color rgb="FFF8696B"/>
      </colorScale>
    </cfRule>
  </conditionalFormatting>
  <conditionalFormatting sqref="BY66 BY82 BY71 BY76">
    <cfRule type="colorScale" priority="511">
      <colorScale>
        <cfvo type="min"/>
        <cfvo type="percentile" val="50"/>
        <cfvo type="max"/>
        <color rgb="FFF8696B"/>
        <color rgb="FFFFEB84"/>
        <color rgb="FF63BE7B"/>
      </colorScale>
    </cfRule>
  </conditionalFormatting>
  <conditionalFormatting sqref="BY76">
    <cfRule type="colorScale" priority="510">
      <colorScale>
        <cfvo type="min"/>
        <cfvo type="percentile" val="50"/>
        <cfvo type="max"/>
        <color rgb="FFF8696B"/>
        <color rgb="FFFFEB84"/>
        <color rgb="FF63BE7B"/>
      </colorScale>
    </cfRule>
  </conditionalFormatting>
  <conditionalFormatting sqref="BY66 BY82 BY71 BY76">
    <cfRule type="colorScale" priority="509">
      <colorScale>
        <cfvo type="min"/>
        <cfvo type="percentile" val="50"/>
        <cfvo type="max"/>
        <color rgb="FF63BE7B"/>
        <color rgb="FFFFEB84"/>
        <color rgb="FFF8696B"/>
      </colorScale>
    </cfRule>
  </conditionalFormatting>
  <conditionalFormatting sqref="BY82 BY66 BY71 BY76">
    <cfRule type="colorScale" priority="506">
      <colorScale>
        <cfvo type="min"/>
        <cfvo type="max"/>
        <color rgb="FFFCFCFF"/>
        <color rgb="FFF8696B"/>
      </colorScale>
    </cfRule>
    <cfRule type="colorScale" priority="508">
      <colorScale>
        <cfvo type="min"/>
        <cfvo type="percentile" val="50"/>
        <cfvo type="max"/>
        <color rgb="FF63BE7B"/>
        <color rgb="FFFFEB84"/>
        <color rgb="FFF8696B"/>
      </colorScale>
    </cfRule>
  </conditionalFormatting>
  <conditionalFormatting sqref="BY66 BY82 BY71 BY76">
    <cfRule type="colorScale" priority="507">
      <colorScale>
        <cfvo type="min"/>
        <cfvo type="max"/>
        <color rgb="FFF8696B"/>
        <color rgb="FFFCFCFF"/>
      </colorScale>
    </cfRule>
  </conditionalFormatting>
  <conditionalFormatting sqref="BY66">
    <cfRule type="colorScale" priority="505">
      <colorScale>
        <cfvo type="min"/>
        <cfvo type="percentile" val="50"/>
        <cfvo type="max"/>
        <color rgb="FFF8696B"/>
        <color rgb="FFFFEB84"/>
        <color rgb="FF63BE7B"/>
      </colorScale>
    </cfRule>
  </conditionalFormatting>
  <conditionalFormatting sqref="BY71">
    <cfRule type="colorScale" priority="504">
      <colorScale>
        <cfvo type="min"/>
        <cfvo type="percentile" val="50"/>
        <cfvo type="max"/>
        <color rgb="FFF8696B"/>
        <color rgb="FFFFEB84"/>
        <color rgb="FF63BE7B"/>
      </colorScale>
    </cfRule>
  </conditionalFormatting>
  <conditionalFormatting sqref="BY76">
    <cfRule type="colorScale" priority="503">
      <colorScale>
        <cfvo type="min"/>
        <cfvo type="percentile" val="50"/>
        <cfvo type="max"/>
        <color rgb="FFF8696B"/>
        <color rgb="FFFFEB84"/>
        <color rgb="FF63BE7B"/>
      </colorScale>
    </cfRule>
  </conditionalFormatting>
  <conditionalFormatting sqref="BY82">
    <cfRule type="colorScale" priority="502">
      <colorScale>
        <cfvo type="min"/>
        <cfvo type="percentile" val="50"/>
        <cfvo type="max"/>
        <color rgb="FFF8696B"/>
        <color rgb="FFFFEB84"/>
        <color rgb="FF63BE7B"/>
      </colorScale>
    </cfRule>
  </conditionalFormatting>
  <conditionalFormatting sqref="BY66 BY82 BY71 BY76">
    <cfRule type="colorScale" priority="501">
      <colorScale>
        <cfvo type="min"/>
        <cfvo type="max"/>
        <color rgb="FFFCFCFF"/>
        <color rgb="FFF8696B"/>
      </colorScale>
    </cfRule>
  </conditionalFormatting>
  <conditionalFormatting sqref="BY61">
    <cfRule type="colorScale" priority="500">
      <colorScale>
        <cfvo type="min"/>
        <cfvo type="percentile" val="50"/>
        <cfvo type="max"/>
        <color rgb="FFF8696B"/>
        <color rgb="FFFFEB84"/>
        <color rgb="FF63BE7B"/>
      </colorScale>
    </cfRule>
  </conditionalFormatting>
  <conditionalFormatting sqref="BY61">
    <cfRule type="colorScale" priority="499">
      <colorScale>
        <cfvo type="min"/>
        <cfvo type="percentile" val="50"/>
        <cfvo type="max"/>
        <color rgb="FFF8696B"/>
        <color rgb="FFFFEB84"/>
        <color rgb="FF63BE7B"/>
      </colorScale>
    </cfRule>
  </conditionalFormatting>
  <conditionalFormatting sqref="BY61">
    <cfRule type="colorScale" priority="498">
      <colorScale>
        <cfvo type="min"/>
        <cfvo type="percentile" val="50"/>
        <cfvo type="max"/>
        <color rgb="FF63BE7B"/>
        <color rgb="FFFFEB84"/>
        <color rgb="FFF8696B"/>
      </colorScale>
    </cfRule>
  </conditionalFormatting>
  <conditionalFormatting sqref="BY61">
    <cfRule type="colorScale" priority="495">
      <colorScale>
        <cfvo type="min"/>
        <cfvo type="max"/>
        <color rgb="FFFCFCFF"/>
        <color rgb="FFF8696B"/>
      </colorScale>
    </cfRule>
    <cfRule type="colorScale" priority="497">
      <colorScale>
        <cfvo type="min"/>
        <cfvo type="percentile" val="50"/>
        <cfvo type="max"/>
        <color rgb="FF63BE7B"/>
        <color rgb="FFFFEB84"/>
        <color rgb="FFF8696B"/>
      </colorScale>
    </cfRule>
  </conditionalFormatting>
  <conditionalFormatting sqref="BY61">
    <cfRule type="colorScale" priority="496">
      <colorScale>
        <cfvo type="min"/>
        <cfvo type="max"/>
        <color rgb="FFF8696B"/>
        <color rgb="FFFCFCFF"/>
      </colorScale>
    </cfRule>
  </conditionalFormatting>
  <conditionalFormatting sqref="BY61">
    <cfRule type="colorScale" priority="494">
      <colorScale>
        <cfvo type="min"/>
        <cfvo type="max"/>
        <color rgb="FFFCFCFF"/>
        <color rgb="FFF8696B"/>
      </colorScale>
    </cfRule>
  </conditionalFormatting>
  <conditionalFormatting sqref="BY56">
    <cfRule type="colorScale" priority="493">
      <colorScale>
        <cfvo type="min"/>
        <cfvo type="percentile" val="50"/>
        <cfvo type="max"/>
        <color rgb="FFF8696B"/>
        <color rgb="FFFFEB84"/>
        <color rgb="FF63BE7B"/>
      </colorScale>
    </cfRule>
  </conditionalFormatting>
  <conditionalFormatting sqref="BY56">
    <cfRule type="colorScale" priority="492">
      <colorScale>
        <cfvo type="min"/>
        <cfvo type="percentile" val="50"/>
        <cfvo type="max"/>
        <color rgb="FFF8696B"/>
        <color rgb="FFFFEB84"/>
        <color rgb="FF63BE7B"/>
      </colorScale>
    </cfRule>
  </conditionalFormatting>
  <conditionalFormatting sqref="BY56">
    <cfRule type="colorScale" priority="491">
      <colorScale>
        <cfvo type="min"/>
        <cfvo type="percentile" val="50"/>
        <cfvo type="max"/>
        <color rgb="FF63BE7B"/>
        <color rgb="FFFFEB84"/>
        <color rgb="FFF8696B"/>
      </colorScale>
    </cfRule>
  </conditionalFormatting>
  <conditionalFormatting sqref="BY56">
    <cfRule type="colorScale" priority="488">
      <colorScale>
        <cfvo type="min"/>
        <cfvo type="max"/>
        <color rgb="FFFCFCFF"/>
        <color rgb="FFF8696B"/>
      </colorScale>
    </cfRule>
    <cfRule type="colorScale" priority="490">
      <colorScale>
        <cfvo type="min"/>
        <cfvo type="percentile" val="50"/>
        <cfvo type="max"/>
        <color rgb="FF63BE7B"/>
        <color rgb="FFFFEB84"/>
        <color rgb="FFF8696B"/>
      </colorScale>
    </cfRule>
  </conditionalFormatting>
  <conditionalFormatting sqref="BY56">
    <cfRule type="colorScale" priority="489">
      <colorScale>
        <cfvo type="min"/>
        <cfvo type="max"/>
        <color rgb="FFF8696B"/>
        <color rgb="FFFCFCFF"/>
      </colorScale>
    </cfRule>
  </conditionalFormatting>
  <conditionalFormatting sqref="BY56">
    <cfRule type="colorScale" priority="487">
      <colorScale>
        <cfvo type="min"/>
        <cfvo type="max"/>
        <color rgb="FFFCFCFF"/>
        <color rgb="FFF8696B"/>
      </colorScale>
    </cfRule>
  </conditionalFormatting>
  <conditionalFormatting sqref="BY61 BY56 BY76 BY71 BY66 BY82">
    <cfRule type="colorScale" priority="486">
      <colorScale>
        <cfvo type="min"/>
        <cfvo type="max"/>
        <color rgb="FFFCFCFF"/>
        <color rgb="FFF8696B"/>
      </colorScale>
    </cfRule>
  </conditionalFormatting>
  <conditionalFormatting sqref="BY61 BY56 BY66 BY71 BY76 BY82">
    <cfRule type="colorScale" priority="485">
      <colorScale>
        <cfvo type="min"/>
        <cfvo type="max"/>
        <color rgb="FFFCFCFF"/>
        <color rgb="FFF8696B"/>
      </colorScale>
    </cfRule>
  </conditionalFormatting>
  <conditionalFormatting sqref="BY61 BY56 BY71 BY66 BY76 BY82">
    <cfRule type="colorScale" priority="484">
      <colorScale>
        <cfvo type="min"/>
        <cfvo type="max"/>
        <color rgb="FFFCFCFF"/>
        <color rgb="FFF8696B"/>
      </colorScale>
    </cfRule>
  </conditionalFormatting>
  <conditionalFormatting sqref="BY61 BY56 BY66 BY76 BY71 BY82">
    <cfRule type="colorScale" priority="483">
      <colorScale>
        <cfvo type="min"/>
        <cfvo type="max"/>
        <color rgb="FFFCFCFF"/>
        <color rgb="FFF8696B"/>
      </colorScale>
    </cfRule>
  </conditionalFormatting>
  <conditionalFormatting sqref="BW76 BW82">
    <cfRule type="colorScale" priority="482">
      <colorScale>
        <cfvo type="min"/>
        <cfvo type="percentile" val="50"/>
        <cfvo type="max"/>
        <color rgb="FFF8696B"/>
        <color rgb="FFFFEB84"/>
        <color rgb="FF63BE7B"/>
      </colorScale>
    </cfRule>
  </conditionalFormatting>
  <conditionalFormatting sqref="BW76">
    <cfRule type="colorScale" priority="481">
      <colorScale>
        <cfvo type="min"/>
        <cfvo type="percentile" val="50"/>
        <cfvo type="max"/>
        <color rgb="FFF8696B"/>
        <color rgb="FFFFEB84"/>
        <color rgb="FF63BE7B"/>
      </colorScale>
    </cfRule>
  </conditionalFormatting>
  <conditionalFormatting sqref="BW76 BW82">
    <cfRule type="colorScale" priority="480">
      <colorScale>
        <cfvo type="min"/>
        <cfvo type="percentile" val="50"/>
        <cfvo type="max"/>
        <color rgb="FF63BE7B"/>
        <color rgb="FFFFEB84"/>
        <color rgb="FFF8696B"/>
      </colorScale>
    </cfRule>
  </conditionalFormatting>
  <conditionalFormatting sqref="BW82 BW76">
    <cfRule type="colorScale" priority="477">
      <colorScale>
        <cfvo type="min"/>
        <cfvo type="max"/>
        <color rgb="FFFCFCFF"/>
        <color rgb="FFF8696B"/>
      </colorScale>
    </cfRule>
    <cfRule type="colorScale" priority="479">
      <colorScale>
        <cfvo type="min"/>
        <cfvo type="percentile" val="50"/>
        <cfvo type="max"/>
        <color rgb="FF63BE7B"/>
        <color rgb="FFFFEB84"/>
        <color rgb="FFF8696B"/>
      </colorScale>
    </cfRule>
  </conditionalFormatting>
  <conditionalFormatting sqref="BW76 BW82">
    <cfRule type="colorScale" priority="478">
      <colorScale>
        <cfvo type="min"/>
        <cfvo type="max"/>
        <color rgb="FFF8696B"/>
        <color rgb="FFFCFCFF"/>
      </colorScale>
    </cfRule>
  </conditionalFormatting>
  <conditionalFormatting sqref="BW76">
    <cfRule type="colorScale" priority="476">
      <colorScale>
        <cfvo type="min"/>
        <cfvo type="percentile" val="50"/>
        <cfvo type="max"/>
        <color rgb="FFF8696B"/>
        <color rgb="FFFFEB84"/>
        <color rgb="FF63BE7B"/>
      </colorScale>
    </cfRule>
  </conditionalFormatting>
  <conditionalFormatting sqref="BW82">
    <cfRule type="colorScale" priority="475">
      <colorScale>
        <cfvo type="min"/>
        <cfvo type="percentile" val="50"/>
        <cfvo type="max"/>
        <color rgb="FFF8696B"/>
        <color rgb="FFFFEB84"/>
        <color rgb="FF63BE7B"/>
      </colorScale>
    </cfRule>
  </conditionalFormatting>
  <conditionalFormatting sqref="BW76 BW82">
    <cfRule type="colorScale" priority="474">
      <colorScale>
        <cfvo type="min"/>
        <cfvo type="max"/>
        <color rgb="FFFCFCFF"/>
        <color rgb="FFF8696B"/>
      </colorScale>
    </cfRule>
  </conditionalFormatting>
  <conditionalFormatting sqref="BW61">
    <cfRule type="colorScale" priority="473">
      <colorScale>
        <cfvo type="min"/>
        <cfvo type="percentile" val="50"/>
        <cfvo type="max"/>
        <color rgb="FFF8696B"/>
        <color rgb="FFFFEB84"/>
        <color rgb="FF63BE7B"/>
      </colorScale>
    </cfRule>
  </conditionalFormatting>
  <conditionalFormatting sqref="BW61">
    <cfRule type="colorScale" priority="472">
      <colorScale>
        <cfvo type="min"/>
        <cfvo type="percentile" val="50"/>
        <cfvo type="max"/>
        <color rgb="FFF8696B"/>
        <color rgb="FFFFEB84"/>
        <color rgb="FF63BE7B"/>
      </colorScale>
    </cfRule>
  </conditionalFormatting>
  <conditionalFormatting sqref="BW61">
    <cfRule type="colorScale" priority="471">
      <colorScale>
        <cfvo type="min"/>
        <cfvo type="percentile" val="50"/>
        <cfvo type="max"/>
        <color rgb="FF63BE7B"/>
        <color rgb="FFFFEB84"/>
        <color rgb="FFF8696B"/>
      </colorScale>
    </cfRule>
  </conditionalFormatting>
  <conditionalFormatting sqref="BW61">
    <cfRule type="colorScale" priority="468">
      <colorScale>
        <cfvo type="min"/>
        <cfvo type="max"/>
        <color rgb="FFFCFCFF"/>
        <color rgb="FFF8696B"/>
      </colorScale>
    </cfRule>
    <cfRule type="colorScale" priority="470">
      <colorScale>
        <cfvo type="min"/>
        <cfvo type="percentile" val="50"/>
        <cfvo type="max"/>
        <color rgb="FF63BE7B"/>
        <color rgb="FFFFEB84"/>
        <color rgb="FFF8696B"/>
      </colorScale>
    </cfRule>
  </conditionalFormatting>
  <conditionalFormatting sqref="BW61">
    <cfRule type="colorScale" priority="469">
      <colorScale>
        <cfvo type="min"/>
        <cfvo type="max"/>
        <color rgb="FFF8696B"/>
        <color rgb="FFFCFCFF"/>
      </colorScale>
    </cfRule>
  </conditionalFormatting>
  <conditionalFormatting sqref="BW61">
    <cfRule type="colorScale" priority="467">
      <colorScale>
        <cfvo type="min"/>
        <cfvo type="max"/>
        <color rgb="FFFCFCFF"/>
        <color rgb="FFF8696B"/>
      </colorScale>
    </cfRule>
  </conditionalFormatting>
  <conditionalFormatting sqref="BW56">
    <cfRule type="colorScale" priority="466">
      <colorScale>
        <cfvo type="min"/>
        <cfvo type="percentile" val="50"/>
        <cfvo type="max"/>
        <color rgb="FFF8696B"/>
        <color rgb="FFFFEB84"/>
        <color rgb="FF63BE7B"/>
      </colorScale>
    </cfRule>
  </conditionalFormatting>
  <conditionalFormatting sqref="BW56">
    <cfRule type="colorScale" priority="465">
      <colorScale>
        <cfvo type="min"/>
        <cfvo type="percentile" val="50"/>
        <cfvo type="max"/>
        <color rgb="FFF8696B"/>
        <color rgb="FFFFEB84"/>
        <color rgb="FF63BE7B"/>
      </colorScale>
    </cfRule>
  </conditionalFormatting>
  <conditionalFormatting sqref="BW56">
    <cfRule type="colorScale" priority="464">
      <colorScale>
        <cfvo type="min"/>
        <cfvo type="percentile" val="50"/>
        <cfvo type="max"/>
        <color rgb="FF63BE7B"/>
        <color rgb="FFFFEB84"/>
        <color rgb="FFF8696B"/>
      </colorScale>
    </cfRule>
  </conditionalFormatting>
  <conditionalFormatting sqref="BW56">
    <cfRule type="colorScale" priority="461">
      <colorScale>
        <cfvo type="min"/>
        <cfvo type="max"/>
        <color rgb="FFFCFCFF"/>
        <color rgb="FFF8696B"/>
      </colorScale>
    </cfRule>
    <cfRule type="colorScale" priority="463">
      <colorScale>
        <cfvo type="min"/>
        <cfvo type="percentile" val="50"/>
        <cfvo type="max"/>
        <color rgb="FF63BE7B"/>
        <color rgb="FFFFEB84"/>
        <color rgb="FFF8696B"/>
      </colorScale>
    </cfRule>
  </conditionalFormatting>
  <conditionalFormatting sqref="BW56">
    <cfRule type="colorScale" priority="462">
      <colorScale>
        <cfvo type="min"/>
        <cfvo type="max"/>
        <color rgb="FFF8696B"/>
        <color rgb="FFFCFCFF"/>
      </colorScale>
    </cfRule>
  </conditionalFormatting>
  <conditionalFormatting sqref="BW56">
    <cfRule type="colorScale" priority="460">
      <colorScale>
        <cfvo type="min"/>
        <cfvo type="max"/>
        <color rgb="FFFCFCFF"/>
        <color rgb="FFF8696B"/>
      </colorScale>
    </cfRule>
  </conditionalFormatting>
  <conditionalFormatting sqref="BW56 BW82 BW61 BW76">
    <cfRule type="colorScale" priority="459">
      <colorScale>
        <cfvo type="min"/>
        <cfvo type="max"/>
        <color rgb="FFFCFCFF"/>
        <color rgb="FFF8696B"/>
      </colorScale>
    </cfRule>
  </conditionalFormatting>
  <conditionalFormatting sqref="BW61 BW56 BW76 BW82">
    <cfRule type="colorScale" priority="458">
      <colorScale>
        <cfvo type="min"/>
        <cfvo type="max"/>
        <color rgb="FFFCFCFF"/>
        <color rgb="FFF8696B"/>
      </colorScale>
    </cfRule>
  </conditionalFormatting>
  <conditionalFormatting sqref="BW61 BW56 BW76 BW82">
    <cfRule type="colorScale" priority="448">
      <colorScale>
        <cfvo type="min"/>
        <cfvo type="max"/>
        <color rgb="FFFCFCFF"/>
        <color rgb="FFF8696B"/>
      </colorScale>
    </cfRule>
  </conditionalFormatting>
  <conditionalFormatting sqref="BW61 BW56 BW76 BW82">
    <cfRule type="colorScale" priority="447">
      <colorScale>
        <cfvo type="min"/>
        <cfvo type="max"/>
        <color rgb="FFFCFCFF"/>
        <color rgb="FFF8696B"/>
      </colorScale>
    </cfRule>
  </conditionalFormatting>
  <conditionalFormatting sqref="BU76 BU82">
    <cfRule type="colorScale" priority="446">
      <colorScale>
        <cfvo type="min"/>
        <cfvo type="percentile" val="50"/>
        <cfvo type="max"/>
        <color rgb="FFF8696B"/>
        <color rgb="FFFFEB84"/>
        <color rgb="FF63BE7B"/>
      </colorScale>
    </cfRule>
  </conditionalFormatting>
  <conditionalFormatting sqref="BU76 BU82">
    <cfRule type="colorScale" priority="445">
      <colorScale>
        <cfvo type="min"/>
        <cfvo type="percentile" val="50"/>
        <cfvo type="max"/>
        <color rgb="FF63BE7B"/>
        <color rgb="FFFFEB84"/>
        <color rgb="FFF8696B"/>
      </colorScale>
    </cfRule>
  </conditionalFormatting>
  <conditionalFormatting sqref="BU76 BU82">
    <cfRule type="colorScale" priority="442">
      <colorScale>
        <cfvo type="min"/>
        <cfvo type="max"/>
        <color rgb="FFFCFCFF"/>
        <color rgb="FFF8696B"/>
      </colorScale>
    </cfRule>
    <cfRule type="colorScale" priority="444">
      <colorScale>
        <cfvo type="min"/>
        <cfvo type="percentile" val="50"/>
        <cfvo type="max"/>
        <color rgb="FF63BE7B"/>
        <color rgb="FFFFEB84"/>
        <color rgb="FFF8696B"/>
      </colorScale>
    </cfRule>
  </conditionalFormatting>
  <conditionalFormatting sqref="BU76 BU82">
    <cfRule type="colorScale" priority="443">
      <colorScale>
        <cfvo type="min"/>
        <cfvo type="max"/>
        <color rgb="FFF8696B"/>
        <color rgb="FFFCFCFF"/>
      </colorScale>
    </cfRule>
  </conditionalFormatting>
  <conditionalFormatting sqref="BU76">
    <cfRule type="colorScale" priority="441">
      <colorScale>
        <cfvo type="min"/>
        <cfvo type="percentile" val="50"/>
        <cfvo type="max"/>
        <color rgb="FFF8696B"/>
        <color rgb="FFFFEB84"/>
        <color rgb="FF63BE7B"/>
      </colorScale>
    </cfRule>
  </conditionalFormatting>
  <conditionalFormatting sqref="BU82">
    <cfRule type="colorScale" priority="440">
      <colorScale>
        <cfvo type="min"/>
        <cfvo type="percentile" val="50"/>
        <cfvo type="max"/>
        <color rgb="FFF8696B"/>
        <color rgb="FFFFEB84"/>
        <color rgb="FF63BE7B"/>
      </colorScale>
    </cfRule>
  </conditionalFormatting>
  <conditionalFormatting sqref="BU76 BU82">
    <cfRule type="colorScale" priority="439">
      <colorScale>
        <cfvo type="min"/>
        <cfvo type="max"/>
        <color rgb="FFFCFCFF"/>
        <color rgb="FFF8696B"/>
      </colorScale>
    </cfRule>
  </conditionalFormatting>
  <conditionalFormatting sqref="BU76 BU82">
    <cfRule type="colorScale" priority="438">
      <colorScale>
        <cfvo type="min"/>
        <cfvo type="max"/>
        <color rgb="FFFCFCFF"/>
        <color rgb="FFF8696B"/>
      </colorScale>
    </cfRule>
  </conditionalFormatting>
  <conditionalFormatting sqref="BU76 BU82">
    <cfRule type="colorScale" priority="437">
      <colorScale>
        <cfvo type="min"/>
        <cfvo type="max"/>
        <color rgb="FFFCFCFF"/>
        <color rgb="FFF8696B"/>
      </colorScale>
    </cfRule>
  </conditionalFormatting>
  <conditionalFormatting sqref="BU76 BU82">
    <cfRule type="colorScale" priority="436">
      <colorScale>
        <cfvo type="min"/>
        <cfvo type="max"/>
        <color rgb="FFFCFCFF"/>
        <color rgb="FFF8696B"/>
      </colorScale>
    </cfRule>
  </conditionalFormatting>
  <conditionalFormatting sqref="BU61">
    <cfRule type="colorScale" priority="435">
      <colorScale>
        <cfvo type="min"/>
        <cfvo type="percentile" val="50"/>
        <cfvo type="max"/>
        <color rgb="FFF8696B"/>
        <color rgb="FFFFEB84"/>
        <color rgb="FF63BE7B"/>
      </colorScale>
    </cfRule>
  </conditionalFormatting>
  <conditionalFormatting sqref="BU61">
    <cfRule type="colorScale" priority="434">
      <colorScale>
        <cfvo type="min"/>
        <cfvo type="percentile" val="50"/>
        <cfvo type="max"/>
        <color rgb="FF63BE7B"/>
        <color rgb="FFFFEB84"/>
        <color rgb="FFF8696B"/>
      </colorScale>
    </cfRule>
  </conditionalFormatting>
  <conditionalFormatting sqref="BU61">
    <cfRule type="colorScale" priority="431">
      <colorScale>
        <cfvo type="min"/>
        <cfvo type="max"/>
        <color rgb="FFFCFCFF"/>
        <color rgb="FFF8696B"/>
      </colorScale>
    </cfRule>
    <cfRule type="colorScale" priority="433">
      <colorScale>
        <cfvo type="min"/>
        <cfvo type="percentile" val="50"/>
        <cfvo type="max"/>
        <color rgb="FF63BE7B"/>
        <color rgb="FFFFEB84"/>
        <color rgb="FFF8696B"/>
      </colorScale>
    </cfRule>
  </conditionalFormatting>
  <conditionalFormatting sqref="BU61">
    <cfRule type="colorScale" priority="432">
      <colorScale>
        <cfvo type="min"/>
        <cfvo type="max"/>
        <color rgb="FFF8696B"/>
        <color rgb="FFFCFCFF"/>
      </colorScale>
    </cfRule>
  </conditionalFormatting>
  <conditionalFormatting sqref="BU61">
    <cfRule type="colorScale" priority="430">
      <colorScale>
        <cfvo type="min"/>
        <cfvo type="max"/>
        <color rgb="FFFCFCFF"/>
        <color rgb="FFF8696B"/>
      </colorScale>
    </cfRule>
  </conditionalFormatting>
  <conditionalFormatting sqref="BU56">
    <cfRule type="colorScale" priority="429">
      <colorScale>
        <cfvo type="min"/>
        <cfvo type="percentile" val="50"/>
        <cfvo type="max"/>
        <color rgb="FFF8696B"/>
        <color rgb="FFFFEB84"/>
        <color rgb="FF63BE7B"/>
      </colorScale>
    </cfRule>
  </conditionalFormatting>
  <conditionalFormatting sqref="BU56">
    <cfRule type="colorScale" priority="428">
      <colorScale>
        <cfvo type="min"/>
        <cfvo type="percentile" val="50"/>
        <cfvo type="max"/>
        <color rgb="FF63BE7B"/>
        <color rgb="FFFFEB84"/>
        <color rgb="FFF8696B"/>
      </colorScale>
    </cfRule>
  </conditionalFormatting>
  <conditionalFormatting sqref="BU56">
    <cfRule type="colorScale" priority="425">
      <colorScale>
        <cfvo type="min"/>
        <cfvo type="max"/>
        <color rgb="FFFCFCFF"/>
        <color rgb="FFF8696B"/>
      </colorScale>
    </cfRule>
    <cfRule type="colorScale" priority="427">
      <colorScale>
        <cfvo type="min"/>
        <cfvo type="percentile" val="50"/>
        <cfvo type="max"/>
        <color rgb="FF63BE7B"/>
        <color rgb="FFFFEB84"/>
        <color rgb="FFF8696B"/>
      </colorScale>
    </cfRule>
  </conditionalFormatting>
  <conditionalFormatting sqref="BU56">
    <cfRule type="colorScale" priority="426">
      <colorScale>
        <cfvo type="min"/>
        <cfvo type="max"/>
        <color rgb="FFF8696B"/>
        <color rgb="FFFCFCFF"/>
      </colorScale>
    </cfRule>
  </conditionalFormatting>
  <conditionalFormatting sqref="BU56">
    <cfRule type="colorScale" priority="424">
      <colorScale>
        <cfvo type="min"/>
        <cfvo type="max"/>
        <color rgb="FFFCFCFF"/>
        <color rgb="FFF8696B"/>
      </colorScale>
    </cfRule>
  </conditionalFormatting>
  <conditionalFormatting sqref="BU67">
    <cfRule type="colorScale" priority="423">
      <colorScale>
        <cfvo type="min"/>
        <cfvo type="percentile" val="50"/>
        <cfvo type="max"/>
        <color rgb="FFF8696B"/>
        <color rgb="FFFFEB84"/>
        <color rgb="FF63BE7B"/>
      </colorScale>
    </cfRule>
  </conditionalFormatting>
  <conditionalFormatting sqref="BU67">
    <cfRule type="colorScale" priority="422">
      <colorScale>
        <cfvo type="min"/>
        <cfvo type="percentile" val="50"/>
        <cfvo type="max"/>
        <color rgb="FF63BE7B"/>
        <color rgb="FFFFEB84"/>
        <color rgb="FFF8696B"/>
      </colorScale>
    </cfRule>
  </conditionalFormatting>
  <conditionalFormatting sqref="BU67">
    <cfRule type="colorScale" priority="419">
      <colorScale>
        <cfvo type="min"/>
        <cfvo type="max"/>
        <color rgb="FFFCFCFF"/>
        <color rgb="FFF8696B"/>
      </colorScale>
    </cfRule>
    <cfRule type="colorScale" priority="421">
      <colorScale>
        <cfvo type="min"/>
        <cfvo type="percentile" val="50"/>
        <cfvo type="max"/>
        <color rgb="FF63BE7B"/>
        <color rgb="FFFFEB84"/>
        <color rgb="FFF8696B"/>
      </colorScale>
    </cfRule>
  </conditionalFormatting>
  <conditionalFormatting sqref="BU67">
    <cfRule type="colorScale" priority="420">
      <colorScale>
        <cfvo type="min"/>
        <cfvo type="max"/>
        <color rgb="FFF8696B"/>
        <color rgb="FFFCFCFF"/>
      </colorScale>
    </cfRule>
  </conditionalFormatting>
  <conditionalFormatting sqref="BU67">
    <cfRule type="colorScale" priority="418">
      <colorScale>
        <cfvo type="min"/>
        <cfvo type="percentile" val="50"/>
        <cfvo type="max"/>
        <color rgb="FFF8696B"/>
        <color rgb="FFFFEB84"/>
        <color rgb="FF63BE7B"/>
      </colorScale>
    </cfRule>
  </conditionalFormatting>
  <conditionalFormatting sqref="BU67">
    <cfRule type="colorScale" priority="417">
      <colorScale>
        <cfvo type="min"/>
        <cfvo type="max"/>
        <color rgb="FFFCFCFF"/>
        <color rgb="FFF8696B"/>
      </colorScale>
    </cfRule>
  </conditionalFormatting>
  <conditionalFormatting sqref="BU61 BU56 BU67:BU71">
    <cfRule type="colorScale" priority="416">
      <colorScale>
        <cfvo type="min"/>
        <cfvo type="max"/>
        <color rgb="FFFCFCFF"/>
        <color rgb="FFF8696B"/>
      </colorScale>
    </cfRule>
  </conditionalFormatting>
  <conditionalFormatting sqref="BU61 BU56 BU67:BU71">
    <cfRule type="colorScale" priority="415">
      <colorScale>
        <cfvo type="min"/>
        <cfvo type="max"/>
        <color rgb="FFFCFCFF"/>
        <color rgb="FFF8696B"/>
      </colorScale>
    </cfRule>
  </conditionalFormatting>
  <conditionalFormatting sqref="BU67:BU71 BU56 BU61">
    <cfRule type="colorScale" priority="414">
      <colorScale>
        <cfvo type="min"/>
        <cfvo type="max"/>
        <color rgb="FFFCFCFF"/>
        <color rgb="FFF8696B"/>
      </colorScale>
    </cfRule>
  </conditionalFormatting>
  <conditionalFormatting sqref="BS77">
    <cfRule type="colorScale" priority="413">
      <colorScale>
        <cfvo type="min"/>
        <cfvo type="percentile" val="50"/>
        <cfvo type="max"/>
        <color rgb="FFF8696B"/>
        <color rgb="FFFFEB84"/>
        <color rgb="FF63BE7B"/>
      </colorScale>
    </cfRule>
  </conditionalFormatting>
  <conditionalFormatting sqref="BS77">
    <cfRule type="colorScale" priority="412">
      <colorScale>
        <cfvo type="min"/>
        <cfvo type="percentile" val="50"/>
        <cfvo type="max"/>
        <color rgb="FF63BE7B"/>
        <color rgb="FFFFEB84"/>
        <color rgb="FFF8696B"/>
      </colorScale>
    </cfRule>
  </conditionalFormatting>
  <conditionalFormatting sqref="BS77">
    <cfRule type="colorScale" priority="409">
      <colorScale>
        <cfvo type="min"/>
        <cfvo type="max"/>
        <color rgb="FFFCFCFF"/>
        <color rgb="FFF8696B"/>
      </colorScale>
    </cfRule>
    <cfRule type="colorScale" priority="411">
      <colorScale>
        <cfvo type="min"/>
        <cfvo type="percentile" val="50"/>
        <cfvo type="max"/>
        <color rgb="FF63BE7B"/>
        <color rgb="FFFFEB84"/>
        <color rgb="FFF8696B"/>
      </colorScale>
    </cfRule>
  </conditionalFormatting>
  <conditionalFormatting sqref="BS77">
    <cfRule type="colorScale" priority="410">
      <colorScale>
        <cfvo type="min"/>
        <cfvo type="max"/>
        <color rgb="FFF8696B"/>
        <color rgb="FFFCFCFF"/>
      </colorScale>
    </cfRule>
  </conditionalFormatting>
  <conditionalFormatting sqref="BS77">
    <cfRule type="colorScale" priority="408">
      <colorScale>
        <cfvo type="min"/>
        <cfvo type="percentile" val="50"/>
        <cfvo type="max"/>
        <color rgb="FFF8696B"/>
        <color rgb="FFFFEB84"/>
        <color rgb="FF63BE7B"/>
      </colorScale>
    </cfRule>
  </conditionalFormatting>
  <conditionalFormatting sqref="BS77">
    <cfRule type="colorScale" priority="407">
      <colorScale>
        <cfvo type="min"/>
        <cfvo type="max"/>
        <color rgb="FFFCFCFF"/>
        <color rgb="FFF8696B"/>
      </colorScale>
    </cfRule>
  </conditionalFormatting>
  <conditionalFormatting sqref="BS67">
    <cfRule type="colorScale" priority="406">
      <colorScale>
        <cfvo type="min"/>
        <cfvo type="percentile" val="50"/>
        <cfvo type="max"/>
        <color rgb="FFF8696B"/>
        <color rgb="FFFFEB84"/>
        <color rgb="FF63BE7B"/>
      </colorScale>
    </cfRule>
  </conditionalFormatting>
  <conditionalFormatting sqref="BS67">
    <cfRule type="colorScale" priority="405">
      <colorScale>
        <cfvo type="min"/>
        <cfvo type="percentile" val="50"/>
        <cfvo type="max"/>
        <color rgb="FF63BE7B"/>
        <color rgb="FFFFEB84"/>
        <color rgb="FFF8696B"/>
      </colorScale>
    </cfRule>
  </conditionalFormatting>
  <conditionalFormatting sqref="BS67">
    <cfRule type="colorScale" priority="402">
      <colorScale>
        <cfvo type="min"/>
        <cfvo type="max"/>
        <color rgb="FFFCFCFF"/>
        <color rgb="FFF8696B"/>
      </colorScale>
    </cfRule>
    <cfRule type="colorScale" priority="404">
      <colorScale>
        <cfvo type="min"/>
        <cfvo type="percentile" val="50"/>
        <cfvo type="max"/>
        <color rgb="FF63BE7B"/>
        <color rgb="FFFFEB84"/>
        <color rgb="FFF8696B"/>
      </colorScale>
    </cfRule>
  </conditionalFormatting>
  <conditionalFormatting sqref="BS67">
    <cfRule type="colorScale" priority="403">
      <colorScale>
        <cfvo type="min"/>
        <cfvo type="max"/>
        <color rgb="FFF8696B"/>
        <color rgb="FFFCFCFF"/>
      </colorScale>
    </cfRule>
  </conditionalFormatting>
  <conditionalFormatting sqref="BS67">
    <cfRule type="colorScale" priority="401">
      <colorScale>
        <cfvo type="min"/>
        <cfvo type="percentile" val="50"/>
        <cfvo type="max"/>
        <color rgb="FFF8696B"/>
        <color rgb="FFFFEB84"/>
        <color rgb="FF63BE7B"/>
      </colorScale>
    </cfRule>
  </conditionalFormatting>
  <conditionalFormatting sqref="BS67">
    <cfRule type="colorScale" priority="400">
      <colorScale>
        <cfvo type="min"/>
        <cfvo type="max"/>
        <color rgb="FFFCFCFF"/>
        <color rgb="FFF8696B"/>
      </colorScale>
    </cfRule>
  </conditionalFormatting>
  <conditionalFormatting sqref="BS67:BS71 BS77">
    <cfRule type="colorScale" priority="399">
      <colorScale>
        <cfvo type="min"/>
        <cfvo type="max"/>
        <color rgb="FFFCFCFF"/>
        <color rgb="FFF8696B"/>
      </colorScale>
    </cfRule>
  </conditionalFormatting>
  <conditionalFormatting sqref="BS67:BS71 BS77">
    <cfRule type="colorScale" priority="398">
      <colorScale>
        <cfvo type="min"/>
        <cfvo type="max"/>
        <color rgb="FFFCFCFF"/>
        <color rgb="FFF8696B"/>
      </colorScale>
    </cfRule>
  </conditionalFormatting>
  <conditionalFormatting sqref="BS67:BS71 BS77">
    <cfRule type="colorScale" priority="397">
      <colorScale>
        <cfvo type="min"/>
        <cfvo type="max"/>
        <color rgb="FFFCFCFF"/>
        <color rgb="FFF8696B"/>
      </colorScale>
    </cfRule>
  </conditionalFormatting>
  <conditionalFormatting sqref="BQ61">
    <cfRule type="colorScale" priority="383">
      <colorScale>
        <cfvo type="min"/>
        <cfvo type="max"/>
        <color rgb="FFFCFCFF"/>
        <color rgb="FFF8696B"/>
      </colorScale>
    </cfRule>
  </conditionalFormatting>
  <conditionalFormatting sqref="BQ56">
    <cfRule type="colorScale" priority="382">
      <colorScale>
        <cfvo type="min"/>
        <cfvo type="percentile" val="50"/>
        <cfvo type="max"/>
        <color rgb="FFF8696B"/>
        <color rgb="FFFFEB84"/>
        <color rgb="FF63BE7B"/>
      </colorScale>
    </cfRule>
  </conditionalFormatting>
  <conditionalFormatting sqref="BQ56">
    <cfRule type="colorScale" priority="381">
      <colorScale>
        <cfvo type="min"/>
        <cfvo type="percentile" val="50"/>
        <cfvo type="max"/>
        <color rgb="FF63BE7B"/>
        <color rgb="FFFFEB84"/>
        <color rgb="FFF8696B"/>
      </colorScale>
    </cfRule>
  </conditionalFormatting>
  <conditionalFormatting sqref="BQ56">
    <cfRule type="colorScale" priority="378">
      <colorScale>
        <cfvo type="min"/>
        <cfvo type="max"/>
        <color rgb="FFFCFCFF"/>
        <color rgb="FFF8696B"/>
      </colorScale>
    </cfRule>
    <cfRule type="colorScale" priority="380">
      <colorScale>
        <cfvo type="min"/>
        <cfvo type="percentile" val="50"/>
        <cfvo type="max"/>
        <color rgb="FF63BE7B"/>
        <color rgb="FFFFEB84"/>
        <color rgb="FFF8696B"/>
      </colorScale>
    </cfRule>
  </conditionalFormatting>
  <conditionalFormatting sqref="BQ56">
    <cfRule type="colorScale" priority="379">
      <colorScale>
        <cfvo type="min"/>
        <cfvo type="max"/>
        <color rgb="FFF8696B"/>
        <color rgb="FFFCFCFF"/>
      </colorScale>
    </cfRule>
  </conditionalFormatting>
  <conditionalFormatting sqref="BQ56">
    <cfRule type="colorScale" priority="377">
      <colorScale>
        <cfvo type="min"/>
        <cfvo type="max"/>
        <color rgb="FFFCFCFF"/>
        <color rgb="FFF8696B"/>
      </colorScale>
    </cfRule>
  </conditionalFormatting>
  <conditionalFormatting sqref="BQ67">
    <cfRule type="colorScale" priority="376">
      <colorScale>
        <cfvo type="min"/>
        <cfvo type="percentile" val="50"/>
        <cfvo type="max"/>
        <color rgb="FFF8696B"/>
        <color rgb="FFFFEB84"/>
        <color rgb="FF63BE7B"/>
      </colorScale>
    </cfRule>
  </conditionalFormatting>
  <conditionalFormatting sqref="BQ67">
    <cfRule type="colorScale" priority="375">
      <colorScale>
        <cfvo type="min"/>
        <cfvo type="percentile" val="50"/>
        <cfvo type="max"/>
        <color rgb="FF63BE7B"/>
        <color rgb="FFFFEB84"/>
        <color rgb="FFF8696B"/>
      </colorScale>
    </cfRule>
  </conditionalFormatting>
  <conditionalFormatting sqref="BQ67">
    <cfRule type="colorScale" priority="372">
      <colorScale>
        <cfvo type="min"/>
        <cfvo type="max"/>
        <color rgb="FFFCFCFF"/>
        <color rgb="FFF8696B"/>
      </colorScale>
    </cfRule>
    <cfRule type="colorScale" priority="374">
      <colorScale>
        <cfvo type="min"/>
        <cfvo type="percentile" val="50"/>
        <cfvo type="max"/>
        <color rgb="FF63BE7B"/>
        <color rgb="FFFFEB84"/>
        <color rgb="FFF8696B"/>
      </colorScale>
    </cfRule>
  </conditionalFormatting>
  <conditionalFormatting sqref="BQ67">
    <cfRule type="colorScale" priority="373">
      <colorScale>
        <cfvo type="min"/>
        <cfvo type="max"/>
        <color rgb="FFF8696B"/>
        <color rgb="FFFCFCFF"/>
      </colorScale>
    </cfRule>
  </conditionalFormatting>
  <conditionalFormatting sqref="BQ67">
    <cfRule type="colorScale" priority="371">
      <colorScale>
        <cfvo type="min"/>
        <cfvo type="percentile" val="50"/>
        <cfvo type="max"/>
        <color rgb="FFF8696B"/>
        <color rgb="FFFFEB84"/>
        <color rgb="FF63BE7B"/>
      </colorScale>
    </cfRule>
  </conditionalFormatting>
  <conditionalFormatting sqref="BQ67">
    <cfRule type="colorScale" priority="370">
      <colorScale>
        <cfvo type="min"/>
        <cfvo type="max"/>
        <color rgb="FFFCFCFF"/>
        <color rgb="FFF8696B"/>
      </colorScale>
    </cfRule>
  </conditionalFormatting>
  <conditionalFormatting sqref="BQ67:BQ71 BQ56">
    <cfRule type="colorScale" priority="369">
      <colorScale>
        <cfvo type="min"/>
        <cfvo type="max"/>
        <color rgb="FFFCFCFF"/>
        <color rgb="FFF8696B"/>
      </colorScale>
    </cfRule>
  </conditionalFormatting>
  <conditionalFormatting sqref="BO61">
    <cfRule type="colorScale" priority="355">
      <colorScale>
        <cfvo type="min"/>
        <cfvo type="max"/>
        <color rgb="FFFCFCFF"/>
        <color rgb="FFF8696B"/>
      </colorScale>
    </cfRule>
  </conditionalFormatting>
  <conditionalFormatting sqref="BO56">
    <cfRule type="colorScale" priority="354">
      <colorScale>
        <cfvo type="min"/>
        <cfvo type="percentile" val="50"/>
        <cfvo type="max"/>
        <color rgb="FFF8696B"/>
        <color rgb="FFFFEB84"/>
        <color rgb="FF63BE7B"/>
      </colorScale>
    </cfRule>
  </conditionalFormatting>
  <conditionalFormatting sqref="BO56">
    <cfRule type="colorScale" priority="353">
      <colorScale>
        <cfvo type="min"/>
        <cfvo type="percentile" val="50"/>
        <cfvo type="max"/>
        <color rgb="FFF8696B"/>
        <color rgb="FFFFEB84"/>
        <color rgb="FF63BE7B"/>
      </colorScale>
    </cfRule>
  </conditionalFormatting>
  <conditionalFormatting sqref="BO56">
    <cfRule type="colorScale" priority="352">
      <colorScale>
        <cfvo type="min"/>
        <cfvo type="percentile" val="50"/>
        <cfvo type="max"/>
        <color rgb="FF63BE7B"/>
        <color rgb="FFFFEB84"/>
        <color rgb="FFF8696B"/>
      </colorScale>
    </cfRule>
  </conditionalFormatting>
  <conditionalFormatting sqref="BO56">
    <cfRule type="colorScale" priority="349">
      <colorScale>
        <cfvo type="min"/>
        <cfvo type="max"/>
        <color rgb="FFFCFCFF"/>
        <color rgb="FFF8696B"/>
      </colorScale>
    </cfRule>
    <cfRule type="colorScale" priority="351">
      <colorScale>
        <cfvo type="min"/>
        <cfvo type="percentile" val="50"/>
        <cfvo type="max"/>
        <color rgb="FF63BE7B"/>
        <color rgb="FFFFEB84"/>
        <color rgb="FFF8696B"/>
      </colorScale>
    </cfRule>
  </conditionalFormatting>
  <conditionalFormatting sqref="BO56">
    <cfRule type="colorScale" priority="350">
      <colorScale>
        <cfvo type="min"/>
        <cfvo type="max"/>
        <color rgb="FFF8696B"/>
        <color rgb="FFFCFCFF"/>
      </colorScale>
    </cfRule>
  </conditionalFormatting>
  <conditionalFormatting sqref="BO56">
    <cfRule type="colorScale" priority="348">
      <colorScale>
        <cfvo type="min"/>
        <cfvo type="max"/>
        <color rgb="FFFCFCFF"/>
        <color rgb="FFF8696B"/>
      </colorScale>
    </cfRule>
  </conditionalFormatting>
  <conditionalFormatting sqref="BO67">
    <cfRule type="colorScale" priority="347">
      <colorScale>
        <cfvo type="min"/>
        <cfvo type="percentile" val="50"/>
        <cfvo type="max"/>
        <color rgb="FFF8696B"/>
        <color rgb="FFFFEB84"/>
        <color rgb="FF63BE7B"/>
      </colorScale>
    </cfRule>
  </conditionalFormatting>
  <conditionalFormatting sqref="BO67">
    <cfRule type="colorScale" priority="346">
      <colorScale>
        <cfvo type="min"/>
        <cfvo type="percentile" val="50"/>
        <cfvo type="max"/>
        <color rgb="FF63BE7B"/>
        <color rgb="FFFFEB84"/>
        <color rgb="FFF8696B"/>
      </colorScale>
    </cfRule>
  </conditionalFormatting>
  <conditionalFormatting sqref="BO67">
    <cfRule type="colorScale" priority="343">
      <colorScale>
        <cfvo type="min"/>
        <cfvo type="max"/>
        <color rgb="FFFCFCFF"/>
        <color rgb="FFF8696B"/>
      </colorScale>
    </cfRule>
    <cfRule type="colorScale" priority="345">
      <colorScale>
        <cfvo type="min"/>
        <cfvo type="percentile" val="50"/>
        <cfvo type="max"/>
        <color rgb="FF63BE7B"/>
        <color rgb="FFFFEB84"/>
        <color rgb="FFF8696B"/>
      </colorScale>
    </cfRule>
  </conditionalFormatting>
  <conditionalFormatting sqref="BO67">
    <cfRule type="colorScale" priority="344">
      <colorScale>
        <cfvo type="min"/>
        <cfvo type="max"/>
        <color rgb="FFF8696B"/>
        <color rgb="FFFCFCFF"/>
      </colorScale>
    </cfRule>
  </conditionalFormatting>
  <conditionalFormatting sqref="BO67">
    <cfRule type="colorScale" priority="342">
      <colorScale>
        <cfvo type="min"/>
        <cfvo type="percentile" val="50"/>
        <cfvo type="max"/>
        <color rgb="FFF8696B"/>
        <color rgb="FFFFEB84"/>
        <color rgb="FF63BE7B"/>
      </colorScale>
    </cfRule>
  </conditionalFormatting>
  <conditionalFormatting sqref="BO67">
    <cfRule type="colorScale" priority="341">
      <colorScale>
        <cfvo type="min"/>
        <cfvo type="max"/>
        <color rgb="FFFCFCFF"/>
        <color rgb="FFF8696B"/>
      </colorScale>
    </cfRule>
  </conditionalFormatting>
  <conditionalFormatting sqref="BO67:BO71 BO56">
    <cfRule type="colorScale" priority="340">
      <colorScale>
        <cfvo type="min"/>
        <cfvo type="max"/>
        <color rgb="FFFCFCFF"/>
        <color rgb="FFF8696B"/>
      </colorScale>
    </cfRule>
  </conditionalFormatting>
  <conditionalFormatting sqref="AI56 AI82 AI76">
    <cfRule type="colorScale" priority="339">
      <colorScale>
        <cfvo type="min"/>
        <cfvo type="percentile" val="50"/>
        <cfvo type="max"/>
        <color rgb="FFF8696B"/>
        <color rgb="FFFFEB84"/>
        <color rgb="FF63BE7B"/>
      </colorScale>
    </cfRule>
  </conditionalFormatting>
  <conditionalFormatting sqref="AI56">
    <cfRule type="colorScale" priority="338">
      <colorScale>
        <cfvo type="min"/>
        <cfvo type="percentile" val="50"/>
        <cfvo type="max"/>
        <color rgb="FFF8696B"/>
        <color rgb="FFFFEB84"/>
        <color rgb="FF63BE7B"/>
      </colorScale>
    </cfRule>
  </conditionalFormatting>
  <conditionalFormatting sqref="AI56 AI82 AI76">
    <cfRule type="colorScale" priority="337">
      <colorScale>
        <cfvo type="min"/>
        <cfvo type="percentile" val="50"/>
        <cfvo type="max"/>
        <color rgb="FF63BE7B"/>
        <color rgb="FFFFEB84"/>
        <color rgb="FFF8696B"/>
      </colorScale>
    </cfRule>
  </conditionalFormatting>
  <conditionalFormatting sqref="AI82 AI56 AI76">
    <cfRule type="colorScale" priority="334">
      <colorScale>
        <cfvo type="min"/>
        <cfvo type="max"/>
        <color rgb="FFFCFCFF"/>
        <color rgb="FFF8696B"/>
      </colorScale>
    </cfRule>
    <cfRule type="colorScale" priority="336">
      <colorScale>
        <cfvo type="min"/>
        <cfvo type="percentile" val="50"/>
        <cfvo type="max"/>
        <color rgb="FF63BE7B"/>
        <color rgb="FFFFEB84"/>
        <color rgb="FFF8696B"/>
      </colorScale>
    </cfRule>
  </conditionalFormatting>
  <conditionalFormatting sqref="AI56 AI82 AI76">
    <cfRule type="colorScale" priority="335">
      <colorScale>
        <cfvo type="min"/>
        <cfvo type="max"/>
        <color rgb="FFF8696B"/>
        <color rgb="FFFCFCFF"/>
      </colorScale>
    </cfRule>
  </conditionalFormatting>
  <conditionalFormatting sqref="AI76">
    <cfRule type="colorScale" priority="333">
      <colorScale>
        <cfvo type="min"/>
        <cfvo type="percentile" val="50"/>
        <cfvo type="max"/>
        <color rgb="FFF8696B"/>
        <color rgb="FFFFEB84"/>
        <color rgb="FF63BE7B"/>
      </colorScale>
    </cfRule>
  </conditionalFormatting>
  <conditionalFormatting sqref="AI82">
    <cfRule type="colorScale" priority="332">
      <colorScale>
        <cfvo type="min"/>
        <cfvo type="percentile" val="50"/>
        <cfvo type="max"/>
        <color rgb="FFF8696B"/>
        <color rgb="FFFFEB84"/>
        <color rgb="FF63BE7B"/>
      </colorScale>
    </cfRule>
  </conditionalFormatting>
  <conditionalFormatting sqref="AI56 AI82 AI61 AI76">
    <cfRule type="colorScale" priority="331">
      <colorScale>
        <cfvo type="min"/>
        <cfvo type="max"/>
        <color rgb="FFFCFCFF"/>
        <color rgb="FFF8696B"/>
      </colorScale>
    </cfRule>
  </conditionalFormatting>
  <conditionalFormatting sqref="AI67">
    <cfRule type="colorScale" priority="330">
      <colorScale>
        <cfvo type="min"/>
        <cfvo type="percentile" val="50"/>
        <cfvo type="max"/>
        <color rgb="FFF8696B"/>
        <color rgb="FFFFEB84"/>
        <color rgb="FF63BE7B"/>
      </colorScale>
    </cfRule>
  </conditionalFormatting>
  <conditionalFormatting sqref="AI67">
    <cfRule type="colorScale" priority="329">
      <colorScale>
        <cfvo type="min"/>
        <cfvo type="percentile" val="50"/>
        <cfvo type="max"/>
        <color rgb="FF63BE7B"/>
        <color rgb="FFFFEB84"/>
        <color rgb="FFF8696B"/>
      </colorScale>
    </cfRule>
  </conditionalFormatting>
  <conditionalFormatting sqref="AI67">
    <cfRule type="colorScale" priority="326">
      <colorScale>
        <cfvo type="min"/>
        <cfvo type="max"/>
        <color rgb="FFFCFCFF"/>
        <color rgb="FFF8696B"/>
      </colorScale>
    </cfRule>
    <cfRule type="colorScale" priority="328">
      <colorScale>
        <cfvo type="min"/>
        <cfvo type="percentile" val="50"/>
        <cfvo type="max"/>
        <color rgb="FF63BE7B"/>
        <color rgb="FFFFEB84"/>
        <color rgb="FFF8696B"/>
      </colorScale>
    </cfRule>
  </conditionalFormatting>
  <conditionalFormatting sqref="AI67">
    <cfRule type="colorScale" priority="327">
      <colorScale>
        <cfvo type="min"/>
        <cfvo type="max"/>
        <color rgb="FFF8696B"/>
        <color rgb="FFFCFCFF"/>
      </colorScale>
    </cfRule>
  </conditionalFormatting>
  <conditionalFormatting sqref="AI67">
    <cfRule type="colorScale" priority="325">
      <colorScale>
        <cfvo type="min"/>
        <cfvo type="percentile" val="50"/>
        <cfvo type="max"/>
        <color rgb="FFF8696B"/>
        <color rgb="FFFFEB84"/>
        <color rgb="FF63BE7B"/>
      </colorScale>
    </cfRule>
  </conditionalFormatting>
  <conditionalFormatting sqref="AI67">
    <cfRule type="colorScale" priority="324">
      <colorScale>
        <cfvo type="min"/>
        <cfvo type="max"/>
        <color rgb="FFFCFCFF"/>
        <color rgb="FFF8696B"/>
      </colorScale>
    </cfRule>
  </conditionalFormatting>
  <conditionalFormatting sqref="AK56 AK76 AK82">
    <cfRule type="colorScale" priority="323">
      <colorScale>
        <cfvo type="min"/>
        <cfvo type="percentile" val="50"/>
        <cfvo type="max"/>
        <color rgb="FFF8696B"/>
        <color rgb="FFFFEB84"/>
        <color rgb="FF63BE7B"/>
      </colorScale>
    </cfRule>
  </conditionalFormatting>
  <conditionalFormatting sqref="AK56">
    <cfRule type="colorScale" priority="322">
      <colorScale>
        <cfvo type="min"/>
        <cfvo type="percentile" val="50"/>
        <cfvo type="max"/>
        <color rgb="FFF8696B"/>
        <color rgb="FFFFEB84"/>
        <color rgb="FF63BE7B"/>
      </colorScale>
    </cfRule>
  </conditionalFormatting>
  <conditionalFormatting sqref="AK56 AK76 AK82">
    <cfRule type="colorScale" priority="321">
      <colorScale>
        <cfvo type="min"/>
        <cfvo type="percentile" val="50"/>
        <cfvo type="max"/>
        <color rgb="FF63BE7B"/>
        <color rgb="FFFFEB84"/>
        <color rgb="FFF8696B"/>
      </colorScale>
    </cfRule>
  </conditionalFormatting>
  <conditionalFormatting sqref="AK56 AK76 AK82">
    <cfRule type="colorScale" priority="318">
      <colorScale>
        <cfvo type="min"/>
        <cfvo type="max"/>
        <color rgb="FFFCFCFF"/>
        <color rgb="FFF8696B"/>
      </colorScale>
    </cfRule>
    <cfRule type="colorScale" priority="320">
      <colorScale>
        <cfvo type="min"/>
        <cfvo type="percentile" val="50"/>
        <cfvo type="max"/>
        <color rgb="FF63BE7B"/>
        <color rgb="FFFFEB84"/>
        <color rgb="FFF8696B"/>
      </colorScale>
    </cfRule>
  </conditionalFormatting>
  <conditionalFormatting sqref="AK56 AK76 AK82">
    <cfRule type="colorScale" priority="319">
      <colorScale>
        <cfvo type="min"/>
        <cfvo type="max"/>
        <color rgb="FFF8696B"/>
        <color rgb="FFFCFCFF"/>
      </colorScale>
    </cfRule>
  </conditionalFormatting>
  <conditionalFormatting sqref="AK76">
    <cfRule type="colorScale" priority="317">
      <colorScale>
        <cfvo type="min"/>
        <cfvo type="percentile" val="50"/>
        <cfvo type="max"/>
        <color rgb="FFF8696B"/>
        <color rgb="FFFFEB84"/>
        <color rgb="FF63BE7B"/>
      </colorScale>
    </cfRule>
  </conditionalFormatting>
  <conditionalFormatting sqref="AK82">
    <cfRule type="colorScale" priority="316">
      <colorScale>
        <cfvo type="min"/>
        <cfvo type="percentile" val="50"/>
        <cfvo type="max"/>
        <color rgb="FFF8696B"/>
        <color rgb="FFFFEB84"/>
        <color rgb="FF63BE7B"/>
      </colorScale>
    </cfRule>
  </conditionalFormatting>
  <conditionalFormatting sqref="AK61 AK56 AK76 AK82">
    <cfRule type="colorScale" priority="315">
      <colorScale>
        <cfvo type="min"/>
        <cfvo type="max"/>
        <color rgb="FFFCFCFF"/>
        <color rgb="FFF8696B"/>
      </colorScale>
    </cfRule>
  </conditionalFormatting>
  <conditionalFormatting sqref="AK67">
    <cfRule type="colorScale" priority="314">
      <colorScale>
        <cfvo type="min"/>
        <cfvo type="percentile" val="50"/>
        <cfvo type="max"/>
        <color rgb="FFF8696B"/>
        <color rgb="FFFFEB84"/>
        <color rgb="FF63BE7B"/>
      </colorScale>
    </cfRule>
  </conditionalFormatting>
  <conditionalFormatting sqref="AK67">
    <cfRule type="colorScale" priority="313">
      <colorScale>
        <cfvo type="min"/>
        <cfvo type="percentile" val="50"/>
        <cfvo type="max"/>
        <color rgb="FF63BE7B"/>
        <color rgb="FFFFEB84"/>
        <color rgb="FFF8696B"/>
      </colorScale>
    </cfRule>
  </conditionalFormatting>
  <conditionalFormatting sqref="AK67">
    <cfRule type="colorScale" priority="310">
      <colorScale>
        <cfvo type="min"/>
        <cfvo type="max"/>
        <color rgb="FFFCFCFF"/>
        <color rgb="FFF8696B"/>
      </colorScale>
    </cfRule>
    <cfRule type="colorScale" priority="312">
      <colorScale>
        <cfvo type="min"/>
        <cfvo type="percentile" val="50"/>
        <cfvo type="max"/>
        <color rgb="FF63BE7B"/>
        <color rgb="FFFFEB84"/>
        <color rgb="FFF8696B"/>
      </colorScale>
    </cfRule>
  </conditionalFormatting>
  <conditionalFormatting sqref="AK67">
    <cfRule type="colorScale" priority="311">
      <colorScale>
        <cfvo type="min"/>
        <cfvo type="max"/>
        <color rgb="FFF8696B"/>
        <color rgb="FFFCFCFF"/>
      </colorScale>
    </cfRule>
  </conditionalFormatting>
  <conditionalFormatting sqref="AK67">
    <cfRule type="colorScale" priority="309">
      <colorScale>
        <cfvo type="min"/>
        <cfvo type="percentile" val="50"/>
        <cfvo type="max"/>
        <color rgb="FFF8696B"/>
        <color rgb="FFFFEB84"/>
        <color rgb="FF63BE7B"/>
      </colorScale>
    </cfRule>
  </conditionalFormatting>
  <conditionalFormatting sqref="AK67">
    <cfRule type="colorScale" priority="308">
      <colorScale>
        <cfvo type="min"/>
        <cfvo type="max"/>
        <color rgb="FFFCFCFF"/>
        <color rgb="FFF8696B"/>
      </colorScale>
    </cfRule>
  </conditionalFormatting>
  <conditionalFormatting sqref="AM56 AM76 AM82">
    <cfRule type="colorScale" priority="307">
      <colorScale>
        <cfvo type="min"/>
        <cfvo type="percentile" val="50"/>
        <cfvo type="max"/>
        <color rgb="FFF8696B"/>
        <color rgb="FFFFEB84"/>
        <color rgb="FF63BE7B"/>
      </colorScale>
    </cfRule>
  </conditionalFormatting>
  <conditionalFormatting sqref="AM56">
    <cfRule type="colorScale" priority="306">
      <colorScale>
        <cfvo type="min"/>
        <cfvo type="percentile" val="50"/>
        <cfvo type="max"/>
        <color rgb="FFF8696B"/>
        <color rgb="FFFFEB84"/>
        <color rgb="FF63BE7B"/>
      </colorScale>
    </cfRule>
  </conditionalFormatting>
  <conditionalFormatting sqref="AM56 AM76 AM82">
    <cfRule type="colorScale" priority="305">
      <colorScale>
        <cfvo type="min"/>
        <cfvo type="percentile" val="50"/>
        <cfvo type="max"/>
        <color rgb="FF63BE7B"/>
        <color rgb="FFFFEB84"/>
        <color rgb="FFF8696B"/>
      </colorScale>
    </cfRule>
  </conditionalFormatting>
  <conditionalFormatting sqref="AM56 AM76 AM82">
    <cfRule type="colorScale" priority="302">
      <colorScale>
        <cfvo type="min"/>
        <cfvo type="max"/>
        <color rgb="FFFCFCFF"/>
        <color rgb="FFF8696B"/>
      </colorScale>
    </cfRule>
    <cfRule type="colorScale" priority="304">
      <colorScale>
        <cfvo type="min"/>
        <cfvo type="percentile" val="50"/>
        <cfvo type="max"/>
        <color rgb="FF63BE7B"/>
        <color rgb="FFFFEB84"/>
        <color rgb="FFF8696B"/>
      </colorScale>
    </cfRule>
  </conditionalFormatting>
  <conditionalFormatting sqref="AM56 AM76 AM82">
    <cfRule type="colorScale" priority="303">
      <colorScale>
        <cfvo type="min"/>
        <cfvo type="max"/>
        <color rgb="FFF8696B"/>
        <color rgb="FFFCFCFF"/>
      </colorScale>
    </cfRule>
  </conditionalFormatting>
  <conditionalFormatting sqref="AM76">
    <cfRule type="colorScale" priority="301">
      <colorScale>
        <cfvo type="min"/>
        <cfvo type="percentile" val="50"/>
        <cfvo type="max"/>
        <color rgb="FFF8696B"/>
        <color rgb="FFFFEB84"/>
        <color rgb="FF63BE7B"/>
      </colorScale>
    </cfRule>
  </conditionalFormatting>
  <conditionalFormatting sqref="AM82">
    <cfRule type="colorScale" priority="300">
      <colorScale>
        <cfvo type="min"/>
        <cfvo type="percentile" val="50"/>
        <cfvo type="max"/>
        <color rgb="FFF8696B"/>
        <color rgb="FFFFEB84"/>
        <color rgb="FF63BE7B"/>
      </colorScale>
    </cfRule>
  </conditionalFormatting>
  <conditionalFormatting sqref="AM56 AM76 AM82">
    <cfRule type="colorScale" priority="299">
      <colorScale>
        <cfvo type="min"/>
        <cfvo type="max"/>
        <color rgb="FFFCFCFF"/>
        <color rgb="FFF8696B"/>
      </colorScale>
    </cfRule>
  </conditionalFormatting>
  <conditionalFormatting sqref="AM61">
    <cfRule type="colorScale" priority="298">
      <colorScale>
        <cfvo type="min"/>
        <cfvo type="percentile" val="50"/>
        <cfvo type="max"/>
        <color rgb="FFF8696B"/>
        <color rgb="FFFFEB84"/>
        <color rgb="FF63BE7B"/>
      </colorScale>
    </cfRule>
  </conditionalFormatting>
  <conditionalFormatting sqref="AM61">
    <cfRule type="colorScale" priority="297">
      <colorScale>
        <cfvo type="min"/>
        <cfvo type="percentile" val="50"/>
        <cfvo type="max"/>
        <color rgb="FF63BE7B"/>
        <color rgb="FFFFEB84"/>
        <color rgb="FFF8696B"/>
      </colorScale>
    </cfRule>
  </conditionalFormatting>
  <conditionalFormatting sqref="AM61">
    <cfRule type="colorScale" priority="294">
      <colorScale>
        <cfvo type="min"/>
        <cfvo type="max"/>
        <color rgb="FFFCFCFF"/>
        <color rgb="FFF8696B"/>
      </colorScale>
    </cfRule>
    <cfRule type="colorScale" priority="296">
      <colorScale>
        <cfvo type="min"/>
        <cfvo type="percentile" val="50"/>
        <cfvo type="max"/>
        <color rgb="FF63BE7B"/>
        <color rgb="FFFFEB84"/>
        <color rgb="FFF8696B"/>
      </colorScale>
    </cfRule>
  </conditionalFormatting>
  <conditionalFormatting sqref="AM61">
    <cfRule type="colorScale" priority="295">
      <colorScale>
        <cfvo type="min"/>
        <cfvo type="max"/>
        <color rgb="FFF8696B"/>
        <color rgb="FFFCFCFF"/>
      </colorScale>
    </cfRule>
  </conditionalFormatting>
  <conditionalFormatting sqref="AM61">
    <cfRule type="colorScale" priority="293">
      <colorScale>
        <cfvo type="min"/>
        <cfvo type="max"/>
        <color rgb="FFFCFCFF"/>
        <color rgb="FFF8696B"/>
      </colorScale>
    </cfRule>
  </conditionalFormatting>
  <conditionalFormatting sqref="AM67">
    <cfRule type="colorScale" priority="292">
      <colorScale>
        <cfvo type="min"/>
        <cfvo type="percentile" val="50"/>
        <cfvo type="max"/>
        <color rgb="FFF8696B"/>
        <color rgb="FFFFEB84"/>
        <color rgb="FF63BE7B"/>
      </colorScale>
    </cfRule>
  </conditionalFormatting>
  <conditionalFormatting sqref="AM67">
    <cfRule type="colorScale" priority="291">
      <colorScale>
        <cfvo type="min"/>
        <cfvo type="percentile" val="50"/>
        <cfvo type="max"/>
        <color rgb="FF63BE7B"/>
        <color rgb="FFFFEB84"/>
        <color rgb="FFF8696B"/>
      </colorScale>
    </cfRule>
  </conditionalFormatting>
  <conditionalFormatting sqref="AM67">
    <cfRule type="colorScale" priority="288">
      <colorScale>
        <cfvo type="min"/>
        <cfvo type="max"/>
        <color rgb="FFFCFCFF"/>
        <color rgb="FFF8696B"/>
      </colorScale>
    </cfRule>
    <cfRule type="colorScale" priority="290">
      <colorScale>
        <cfvo type="min"/>
        <cfvo type="percentile" val="50"/>
        <cfvo type="max"/>
        <color rgb="FF63BE7B"/>
        <color rgb="FFFFEB84"/>
        <color rgb="FFF8696B"/>
      </colorScale>
    </cfRule>
  </conditionalFormatting>
  <conditionalFormatting sqref="AM67">
    <cfRule type="colorScale" priority="289">
      <colorScale>
        <cfvo type="min"/>
        <cfvo type="max"/>
        <color rgb="FFF8696B"/>
        <color rgb="FFFCFCFF"/>
      </colorScale>
    </cfRule>
  </conditionalFormatting>
  <conditionalFormatting sqref="AM67">
    <cfRule type="colorScale" priority="287">
      <colorScale>
        <cfvo type="min"/>
        <cfvo type="percentile" val="50"/>
        <cfvo type="max"/>
        <color rgb="FFF8696B"/>
        <color rgb="FFFFEB84"/>
        <color rgb="FF63BE7B"/>
      </colorScale>
    </cfRule>
  </conditionalFormatting>
  <conditionalFormatting sqref="AM67">
    <cfRule type="colorScale" priority="286">
      <colorScale>
        <cfvo type="min"/>
        <cfvo type="max"/>
        <color rgb="FFFCFCFF"/>
        <color rgb="FFF8696B"/>
      </colorScale>
    </cfRule>
  </conditionalFormatting>
  <conditionalFormatting sqref="AO66 AO56 AO71 AO76 AO82">
    <cfRule type="colorScale" priority="285">
      <colorScale>
        <cfvo type="min"/>
        <cfvo type="percentile" val="50"/>
        <cfvo type="max"/>
        <color rgb="FFF8696B"/>
        <color rgb="FFFFEB84"/>
        <color rgb="FF63BE7B"/>
      </colorScale>
    </cfRule>
  </conditionalFormatting>
  <conditionalFormatting sqref="AO56">
    <cfRule type="colorScale" priority="284">
      <colorScale>
        <cfvo type="min"/>
        <cfvo type="percentile" val="50"/>
        <cfvo type="max"/>
        <color rgb="FFF8696B"/>
        <color rgb="FFFFEB84"/>
        <color rgb="FF63BE7B"/>
      </colorScale>
    </cfRule>
  </conditionalFormatting>
  <conditionalFormatting sqref="AO66 AO56 AO71 AO76 AO82">
    <cfRule type="colorScale" priority="283">
      <colorScale>
        <cfvo type="min"/>
        <cfvo type="percentile" val="50"/>
        <cfvo type="max"/>
        <color rgb="FF63BE7B"/>
        <color rgb="FFFFEB84"/>
        <color rgb="FFF8696B"/>
      </colorScale>
    </cfRule>
  </conditionalFormatting>
  <conditionalFormatting sqref="AO56 AO66 AO71 AO76 AO82">
    <cfRule type="colorScale" priority="280">
      <colorScale>
        <cfvo type="min"/>
        <cfvo type="max"/>
        <color rgb="FFFCFCFF"/>
        <color rgb="FFF8696B"/>
      </colorScale>
    </cfRule>
    <cfRule type="colorScale" priority="282">
      <colorScale>
        <cfvo type="min"/>
        <cfvo type="percentile" val="50"/>
        <cfvo type="max"/>
        <color rgb="FF63BE7B"/>
        <color rgb="FFFFEB84"/>
        <color rgb="FFF8696B"/>
      </colorScale>
    </cfRule>
  </conditionalFormatting>
  <conditionalFormatting sqref="AO66 AO56 AO71 AO76 AO82">
    <cfRule type="colorScale" priority="281">
      <colorScale>
        <cfvo type="min"/>
        <cfvo type="max"/>
        <color rgb="FFF8696B"/>
        <color rgb="FFFCFCFF"/>
      </colorScale>
    </cfRule>
  </conditionalFormatting>
  <conditionalFormatting sqref="AO66">
    <cfRule type="colorScale" priority="279">
      <colorScale>
        <cfvo type="min"/>
        <cfvo type="percentile" val="50"/>
        <cfvo type="max"/>
        <color rgb="FFF8696B"/>
        <color rgb="FFFFEB84"/>
        <color rgb="FF63BE7B"/>
      </colorScale>
    </cfRule>
  </conditionalFormatting>
  <conditionalFormatting sqref="AO71">
    <cfRule type="colorScale" priority="278">
      <colorScale>
        <cfvo type="min"/>
        <cfvo type="percentile" val="50"/>
        <cfvo type="max"/>
        <color rgb="FFF8696B"/>
        <color rgb="FFFFEB84"/>
        <color rgb="FF63BE7B"/>
      </colorScale>
    </cfRule>
  </conditionalFormatting>
  <conditionalFormatting sqref="AO76">
    <cfRule type="colorScale" priority="277">
      <colorScale>
        <cfvo type="min"/>
        <cfvo type="percentile" val="50"/>
        <cfvo type="max"/>
        <color rgb="FFF8696B"/>
        <color rgb="FFFFEB84"/>
        <color rgb="FF63BE7B"/>
      </colorScale>
    </cfRule>
  </conditionalFormatting>
  <conditionalFormatting sqref="AO82">
    <cfRule type="colorScale" priority="276">
      <colorScale>
        <cfvo type="min"/>
        <cfvo type="percentile" val="50"/>
        <cfvo type="max"/>
        <color rgb="FFF8696B"/>
        <color rgb="FFFFEB84"/>
        <color rgb="FF63BE7B"/>
      </colorScale>
    </cfRule>
  </conditionalFormatting>
  <conditionalFormatting sqref="AO66 AO56 AO71 AO76 AO82">
    <cfRule type="colorScale" priority="275">
      <colorScale>
        <cfvo type="min"/>
        <cfvo type="max"/>
        <color rgb="FFFCFCFF"/>
        <color rgb="FFF8696B"/>
      </colorScale>
    </cfRule>
  </conditionalFormatting>
  <conditionalFormatting sqref="AO61">
    <cfRule type="colorScale" priority="274">
      <colorScale>
        <cfvo type="min"/>
        <cfvo type="percentile" val="50"/>
        <cfvo type="max"/>
        <color rgb="FFF8696B"/>
        <color rgb="FFFFEB84"/>
        <color rgb="FF63BE7B"/>
      </colorScale>
    </cfRule>
  </conditionalFormatting>
  <conditionalFormatting sqref="AO61">
    <cfRule type="colorScale" priority="273">
      <colorScale>
        <cfvo type="min"/>
        <cfvo type="percentile" val="50"/>
        <cfvo type="max"/>
        <color rgb="FF63BE7B"/>
        <color rgb="FFFFEB84"/>
        <color rgb="FFF8696B"/>
      </colorScale>
    </cfRule>
  </conditionalFormatting>
  <conditionalFormatting sqref="AO61">
    <cfRule type="colorScale" priority="270">
      <colorScale>
        <cfvo type="min"/>
        <cfvo type="max"/>
        <color rgb="FFFCFCFF"/>
        <color rgb="FFF8696B"/>
      </colorScale>
    </cfRule>
    <cfRule type="colorScale" priority="272">
      <colorScale>
        <cfvo type="min"/>
        <cfvo type="percentile" val="50"/>
        <cfvo type="max"/>
        <color rgb="FF63BE7B"/>
        <color rgb="FFFFEB84"/>
        <color rgb="FFF8696B"/>
      </colorScale>
    </cfRule>
  </conditionalFormatting>
  <conditionalFormatting sqref="AO61">
    <cfRule type="colorScale" priority="271">
      <colorScale>
        <cfvo type="min"/>
        <cfvo type="max"/>
        <color rgb="FFF8696B"/>
        <color rgb="FFFCFCFF"/>
      </colorScale>
    </cfRule>
  </conditionalFormatting>
  <conditionalFormatting sqref="AO61">
    <cfRule type="colorScale" priority="269">
      <colorScale>
        <cfvo type="min"/>
        <cfvo type="max"/>
        <color rgb="FFFCFCFF"/>
        <color rgb="FFF8696B"/>
      </colorScale>
    </cfRule>
  </conditionalFormatting>
  <conditionalFormatting sqref="AQ66 AQ56 AQ71 AQ76">
    <cfRule type="colorScale" priority="268">
      <colorScale>
        <cfvo type="min"/>
        <cfvo type="percentile" val="50"/>
        <cfvo type="max"/>
        <color rgb="FFF8696B"/>
        <color rgb="FFFFEB84"/>
        <color rgb="FF63BE7B"/>
      </colorScale>
    </cfRule>
  </conditionalFormatting>
  <conditionalFormatting sqref="AQ76">
    <cfRule type="colorScale" priority="267">
      <colorScale>
        <cfvo type="min"/>
        <cfvo type="percentile" val="50"/>
        <cfvo type="max"/>
        <color rgb="FFF8696B"/>
        <color rgb="FFFFEB84"/>
        <color rgb="FF63BE7B"/>
      </colorScale>
    </cfRule>
  </conditionalFormatting>
  <conditionalFormatting sqref="AQ56">
    <cfRule type="colorScale" priority="266">
      <colorScale>
        <cfvo type="min"/>
        <cfvo type="percentile" val="50"/>
        <cfvo type="max"/>
        <color rgb="FFF8696B"/>
        <color rgb="FFFFEB84"/>
        <color rgb="FF63BE7B"/>
      </colorScale>
    </cfRule>
  </conditionalFormatting>
  <conditionalFormatting sqref="AQ66 AQ56 AQ71 AQ76">
    <cfRule type="colorScale" priority="265">
      <colorScale>
        <cfvo type="min"/>
        <cfvo type="percentile" val="50"/>
        <cfvo type="max"/>
        <color rgb="FF63BE7B"/>
        <color rgb="FFFFEB84"/>
        <color rgb="FFF8696B"/>
      </colorScale>
    </cfRule>
  </conditionalFormatting>
  <conditionalFormatting sqref="AQ56 AQ66 AQ71 AQ76">
    <cfRule type="colorScale" priority="262">
      <colorScale>
        <cfvo type="min"/>
        <cfvo type="max"/>
        <color rgb="FFFCFCFF"/>
        <color rgb="FFF8696B"/>
      </colorScale>
    </cfRule>
    <cfRule type="colorScale" priority="264">
      <colorScale>
        <cfvo type="min"/>
        <cfvo type="percentile" val="50"/>
        <cfvo type="max"/>
        <color rgb="FF63BE7B"/>
        <color rgb="FFFFEB84"/>
        <color rgb="FFF8696B"/>
      </colorScale>
    </cfRule>
  </conditionalFormatting>
  <conditionalFormatting sqref="AQ66 AQ56 AQ71 AQ76">
    <cfRule type="colorScale" priority="263">
      <colorScale>
        <cfvo type="min"/>
        <cfvo type="max"/>
        <color rgb="FFF8696B"/>
        <color rgb="FFFCFCFF"/>
      </colorScale>
    </cfRule>
  </conditionalFormatting>
  <conditionalFormatting sqref="AQ66">
    <cfRule type="colorScale" priority="261">
      <colorScale>
        <cfvo type="min"/>
        <cfvo type="percentile" val="50"/>
        <cfvo type="max"/>
        <color rgb="FFF8696B"/>
        <color rgb="FFFFEB84"/>
        <color rgb="FF63BE7B"/>
      </colorScale>
    </cfRule>
  </conditionalFormatting>
  <conditionalFormatting sqref="AQ71">
    <cfRule type="colorScale" priority="260">
      <colorScale>
        <cfvo type="min"/>
        <cfvo type="percentile" val="50"/>
        <cfvo type="max"/>
        <color rgb="FFF8696B"/>
        <color rgb="FFFFEB84"/>
        <color rgb="FF63BE7B"/>
      </colorScale>
    </cfRule>
  </conditionalFormatting>
  <conditionalFormatting sqref="AQ76">
    <cfRule type="colorScale" priority="259">
      <colorScale>
        <cfvo type="min"/>
        <cfvo type="percentile" val="50"/>
        <cfvo type="max"/>
        <color rgb="FFF8696B"/>
        <color rgb="FFFFEB84"/>
        <color rgb="FF63BE7B"/>
      </colorScale>
    </cfRule>
  </conditionalFormatting>
  <conditionalFormatting sqref="AQ66 AQ56 AQ71 AQ76">
    <cfRule type="colorScale" priority="258">
      <colorScale>
        <cfvo type="min"/>
        <cfvo type="max"/>
        <color rgb="FFFCFCFF"/>
        <color rgb="FFF8696B"/>
      </colorScale>
    </cfRule>
  </conditionalFormatting>
  <conditionalFormatting sqref="AQ61">
    <cfRule type="colorScale" priority="257">
      <colorScale>
        <cfvo type="min"/>
        <cfvo type="percentile" val="50"/>
        <cfvo type="max"/>
        <color rgb="FFF8696B"/>
        <color rgb="FFFFEB84"/>
        <color rgb="FF63BE7B"/>
      </colorScale>
    </cfRule>
  </conditionalFormatting>
  <conditionalFormatting sqref="AQ61">
    <cfRule type="colorScale" priority="256">
      <colorScale>
        <cfvo type="min"/>
        <cfvo type="percentile" val="50"/>
        <cfvo type="max"/>
        <color rgb="FFF8696B"/>
        <color rgb="FFFFEB84"/>
        <color rgb="FF63BE7B"/>
      </colorScale>
    </cfRule>
  </conditionalFormatting>
  <conditionalFormatting sqref="AQ61">
    <cfRule type="colorScale" priority="255">
      <colorScale>
        <cfvo type="min"/>
        <cfvo type="percentile" val="50"/>
        <cfvo type="max"/>
        <color rgb="FF63BE7B"/>
        <color rgb="FFFFEB84"/>
        <color rgb="FFF8696B"/>
      </colorScale>
    </cfRule>
  </conditionalFormatting>
  <conditionalFormatting sqref="AQ61">
    <cfRule type="colorScale" priority="252">
      <colorScale>
        <cfvo type="min"/>
        <cfvo type="max"/>
        <color rgb="FFFCFCFF"/>
        <color rgb="FFF8696B"/>
      </colorScale>
    </cfRule>
    <cfRule type="colorScale" priority="254">
      <colorScale>
        <cfvo type="min"/>
        <cfvo type="percentile" val="50"/>
        <cfvo type="max"/>
        <color rgb="FF63BE7B"/>
        <color rgb="FFFFEB84"/>
        <color rgb="FFF8696B"/>
      </colorScale>
    </cfRule>
  </conditionalFormatting>
  <conditionalFormatting sqref="AQ61">
    <cfRule type="colorScale" priority="253">
      <colorScale>
        <cfvo type="min"/>
        <cfvo type="max"/>
        <color rgb="FFF8696B"/>
        <color rgb="FFFCFCFF"/>
      </colorScale>
    </cfRule>
  </conditionalFormatting>
  <conditionalFormatting sqref="AQ61">
    <cfRule type="colorScale" priority="251">
      <colorScale>
        <cfvo type="min"/>
        <cfvo type="max"/>
        <color rgb="FFFCFCFF"/>
        <color rgb="FFF8696B"/>
      </colorScale>
    </cfRule>
  </conditionalFormatting>
  <conditionalFormatting sqref="AS56 AS66 AS71 AS76">
    <cfRule type="colorScale" priority="250">
      <colorScale>
        <cfvo type="min"/>
        <cfvo type="percentile" val="50"/>
        <cfvo type="max"/>
        <color rgb="FFF8696B"/>
        <color rgb="FFFFEB84"/>
        <color rgb="FF63BE7B"/>
      </colorScale>
    </cfRule>
  </conditionalFormatting>
  <conditionalFormatting sqref="AS76">
    <cfRule type="colorScale" priority="249">
      <colorScale>
        <cfvo type="min"/>
        <cfvo type="percentile" val="50"/>
        <cfvo type="max"/>
        <color rgb="FFF8696B"/>
        <color rgb="FFFFEB84"/>
        <color rgb="FF63BE7B"/>
      </colorScale>
    </cfRule>
  </conditionalFormatting>
  <conditionalFormatting sqref="AS56">
    <cfRule type="colorScale" priority="248">
      <colorScale>
        <cfvo type="min"/>
        <cfvo type="percentile" val="50"/>
        <cfvo type="max"/>
        <color rgb="FFF8696B"/>
        <color rgb="FFFFEB84"/>
        <color rgb="FF63BE7B"/>
      </colorScale>
    </cfRule>
  </conditionalFormatting>
  <conditionalFormatting sqref="AS56 AS66 AS71 AS76">
    <cfRule type="colorScale" priority="247">
      <colorScale>
        <cfvo type="min"/>
        <cfvo type="percentile" val="50"/>
        <cfvo type="max"/>
        <color rgb="FF63BE7B"/>
        <color rgb="FFFFEB84"/>
        <color rgb="FFF8696B"/>
      </colorScale>
    </cfRule>
  </conditionalFormatting>
  <conditionalFormatting sqref="AS56 AS66 AS71 AS76">
    <cfRule type="colorScale" priority="244">
      <colorScale>
        <cfvo type="min"/>
        <cfvo type="max"/>
        <color rgb="FFFCFCFF"/>
        <color rgb="FFF8696B"/>
      </colorScale>
    </cfRule>
    <cfRule type="colorScale" priority="246">
      <colorScale>
        <cfvo type="min"/>
        <cfvo type="percentile" val="50"/>
        <cfvo type="max"/>
        <color rgb="FF63BE7B"/>
        <color rgb="FFFFEB84"/>
        <color rgb="FFF8696B"/>
      </colorScale>
    </cfRule>
  </conditionalFormatting>
  <conditionalFormatting sqref="AS56 AS66 AS71 AS76">
    <cfRule type="colorScale" priority="245">
      <colorScale>
        <cfvo type="min"/>
        <cfvo type="max"/>
        <color rgb="FFF8696B"/>
        <color rgb="FFFCFCFF"/>
      </colorScale>
    </cfRule>
  </conditionalFormatting>
  <conditionalFormatting sqref="AS66">
    <cfRule type="colorScale" priority="243">
      <colorScale>
        <cfvo type="min"/>
        <cfvo type="percentile" val="50"/>
        <cfvo type="max"/>
        <color rgb="FFF8696B"/>
        <color rgb="FFFFEB84"/>
        <color rgb="FF63BE7B"/>
      </colorScale>
    </cfRule>
  </conditionalFormatting>
  <conditionalFormatting sqref="AS71">
    <cfRule type="colorScale" priority="242">
      <colorScale>
        <cfvo type="min"/>
        <cfvo type="percentile" val="50"/>
        <cfvo type="max"/>
        <color rgb="FFF8696B"/>
        <color rgb="FFFFEB84"/>
        <color rgb="FF63BE7B"/>
      </colorScale>
    </cfRule>
  </conditionalFormatting>
  <conditionalFormatting sqref="AS76">
    <cfRule type="colorScale" priority="241">
      <colorScale>
        <cfvo type="min"/>
        <cfvo type="percentile" val="50"/>
        <cfvo type="max"/>
        <color rgb="FFF8696B"/>
        <color rgb="FFFFEB84"/>
        <color rgb="FF63BE7B"/>
      </colorScale>
    </cfRule>
  </conditionalFormatting>
  <conditionalFormatting sqref="AS66 AS56 AS71 AS76">
    <cfRule type="colorScale" priority="240">
      <colorScale>
        <cfvo type="min"/>
        <cfvo type="max"/>
        <color rgb="FFFCFCFF"/>
        <color rgb="FFF8696B"/>
      </colorScale>
    </cfRule>
  </conditionalFormatting>
  <conditionalFormatting sqref="AS61">
    <cfRule type="colorScale" priority="239">
      <colorScale>
        <cfvo type="min"/>
        <cfvo type="percentile" val="50"/>
        <cfvo type="max"/>
        <color rgb="FFF8696B"/>
        <color rgb="FFFFEB84"/>
        <color rgb="FF63BE7B"/>
      </colorScale>
    </cfRule>
  </conditionalFormatting>
  <conditionalFormatting sqref="AS61">
    <cfRule type="colorScale" priority="238">
      <colorScale>
        <cfvo type="min"/>
        <cfvo type="percentile" val="50"/>
        <cfvo type="max"/>
        <color rgb="FFF8696B"/>
        <color rgb="FFFFEB84"/>
        <color rgb="FF63BE7B"/>
      </colorScale>
    </cfRule>
  </conditionalFormatting>
  <conditionalFormatting sqref="AS61">
    <cfRule type="colorScale" priority="237">
      <colorScale>
        <cfvo type="min"/>
        <cfvo type="percentile" val="50"/>
        <cfvo type="max"/>
        <color rgb="FF63BE7B"/>
        <color rgb="FFFFEB84"/>
        <color rgb="FFF8696B"/>
      </colorScale>
    </cfRule>
  </conditionalFormatting>
  <conditionalFormatting sqref="AS61">
    <cfRule type="colorScale" priority="234">
      <colorScale>
        <cfvo type="min"/>
        <cfvo type="max"/>
        <color rgb="FFFCFCFF"/>
        <color rgb="FFF8696B"/>
      </colorScale>
    </cfRule>
    <cfRule type="colorScale" priority="236">
      <colorScale>
        <cfvo type="min"/>
        <cfvo type="percentile" val="50"/>
        <cfvo type="max"/>
        <color rgb="FF63BE7B"/>
        <color rgb="FFFFEB84"/>
        <color rgb="FFF8696B"/>
      </colorScale>
    </cfRule>
  </conditionalFormatting>
  <conditionalFormatting sqref="AS61">
    <cfRule type="colorScale" priority="235">
      <colorScale>
        <cfvo type="min"/>
        <cfvo type="max"/>
        <color rgb="FFF8696B"/>
        <color rgb="FFFCFCFF"/>
      </colorScale>
    </cfRule>
  </conditionalFormatting>
  <conditionalFormatting sqref="AS61">
    <cfRule type="colorScale" priority="233">
      <colorScale>
        <cfvo type="min"/>
        <cfvo type="max"/>
        <color rgb="FFFCFCFF"/>
        <color rgb="FFF8696B"/>
      </colorScale>
    </cfRule>
  </conditionalFormatting>
  <conditionalFormatting sqref="AU82 AU56 AU66 AU71 AU76">
    <cfRule type="colorScale" priority="232">
      <colorScale>
        <cfvo type="min"/>
        <cfvo type="percentile" val="50"/>
        <cfvo type="max"/>
        <color rgb="FFF8696B"/>
        <color rgb="FFFFEB84"/>
        <color rgb="FF63BE7B"/>
      </colorScale>
    </cfRule>
  </conditionalFormatting>
  <conditionalFormatting sqref="AU76">
    <cfRule type="colorScale" priority="231">
      <colorScale>
        <cfvo type="min"/>
        <cfvo type="percentile" val="50"/>
        <cfvo type="max"/>
        <color rgb="FFF8696B"/>
        <color rgb="FFFFEB84"/>
        <color rgb="FF63BE7B"/>
      </colorScale>
    </cfRule>
  </conditionalFormatting>
  <conditionalFormatting sqref="AU56">
    <cfRule type="colorScale" priority="230">
      <colorScale>
        <cfvo type="min"/>
        <cfvo type="percentile" val="50"/>
        <cfvo type="max"/>
        <color rgb="FFF8696B"/>
        <color rgb="FFFFEB84"/>
        <color rgb="FF63BE7B"/>
      </colorScale>
    </cfRule>
  </conditionalFormatting>
  <conditionalFormatting sqref="AU82 AU56 AU66 AU71 AU76">
    <cfRule type="colorScale" priority="229">
      <colorScale>
        <cfvo type="min"/>
        <cfvo type="percentile" val="50"/>
        <cfvo type="max"/>
        <color rgb="FF63BE7B"/>
        <color rgb="FFFFEB84"/>
        <color rgb="FFF8696B"/>
      </colorScale>
    </cfRule>
  </conditionalFormatting>
  <conditionalFormatting sqref="AU82 AU56 AU66 AU71 AU76">
    <cfRule type="colorScale" priority="226">
      <colorScale>
        <cfvo type="min"/>
        <cfvo type="max"/>
        <color rgb="FFFCFCFF"/>
        <color rgb="FFF8696B"/>
      </colorScale>
    </cfRule>
    <cfRule type="colorScale" priority="228">
      <colorScale>
        <cfvo type="min"/>
        <cfvo type="percentile" val="50"/>
        <cfvo type="max"/>
        <color rgb="FF63BE7B"/>
        <color rgb="FFFFEB84"/>
        <color rgb="FFF8696B"/>
      </colorScale>
    </cfRule>
  </conditionalFormatting>
  <conditionalFormatting sqref="AU82 AU66 AU56 AU71 AU76">
    <cfRule type="colorScale" priority="227">
      <colorScale>
        <cfvo type="min"/>
        <cfvo type="max"/>
        <color rgb="FFF8696B"/>
        <color rgb="FFFCFCFF"/>
      </colorScale>
    </cfRule>
  </conditionalFormatting>
  <conditionalFormatting sqref="AU66">
    <cfRule type="colorScale" priority="225">
      <colorScale>
        <cfvo type="min"/>
        <cfvo type="percentile" val="50"/>
        <cfvo type="max"/>
        <color rgb="FFF8696B"/>
        <color rgb="FFFFEB84"/>
        <color rgb="FF63BE7B"/>
      </colorScale>
    </cfRule>
  </conditionalFormatting>
  <conditionalFormatting sqref="AU71">
    <cfRule type="colorScale" priority="224">
      <colorScale>
        <cfvo type="min"/>
        <cfvo type="percentile" val="50"/>
        <cfvo type="max"/>
        <color rgb="FFF8696B"/>
        <color rgb="FFFFEB84"/>
        <color rgb="FF63BE7B"/>
      </colorScale>
    </cfRule>
  </conditionalFormatting>
  <conditionalFormatting sqref="AU76">
    <cfRule type="colorScale" priority="223">
      <colorScale>
        <cfvo type="min"/>
        <cfvo type="percentile" val="50"/>
        <cfvo type="max"/>
        <color rgb="FFF8696B"/>
        <color rgb="FFFFEB84"/>
        <color rgb="FF63BE7B"/>
      </colorScale>
    </cfRule>
  </conditionalFormatting>
  <conditionalFormatting sqref="AU82">
    <cfRule type="colorScale" priority="222">
      <colorScale>
        <cfvo type="min"/>
        <cfvo type="percentile" val="50"/>
        <cfvo type="max"/>
        <color rgb="FFF8696B"/>
        <color rgb="FFFFEB84"/>
        <color rgb="FF63BE7B"/>
      </colorScale>
    </cfRule>
  </conditionalFormatting>
  <conditionalFormatting sqref="AU82 AU56 AU66 AU71 AU76">
    <cfRule type="colorScale" priority="221">
      <colorScale>
        <cfvo type="min"/>
        <cfvo type="max"/>
        <color rgb="FFFCFCFF"/>
        <color rgb="FFF8696B"/>
      </colorScale>
    </cfRule>
  </conditionalFormatting>
  <conditionalFormatting sqref="AU61">
    <cfRule type="colorScale" priority="220">
      <colorScale>
        <cfvo type="min"/>
        <cfvo type="percentile" val="50"/>
        <cfvo type="max"/>
        <color rgb="FFF8696B"/>
        <color rgb="FFFFEB84"/>
        <color rgb="FF63BE7B"/>
      </colorScale>
    </cfRule>
  </conditionalFormatting>
  <conditionalFormatting sqref="AU61">
    <cfRule type="colorScale" priority="219">
      <colorScale>
        <cfvo type="min"/>
        <cfvo type="percentile" val="50"/>
        <cfvo type="max"/>
        <color rgb="FFF8696B"/>
        <color rgb="FFFFEB84"/>
        <color rgb="FF63BE7B"/>
      </colorScale>
    </cfRule>
  </conditionalFormatting>
  <conditionalFormatting sqref="AU61">
    <cfRule type="colorScale" priority="218">
      <colorScale>
        <cfvo type="min"/>
        <cfvo type="percentile" val="50"/>
        <cfvo type="max"/>
        <color rgb="FF63BE7B"/>
        <color rgb="FFFFEB84"/>
        <color rgb="FFF8696B"/>
      </colorScale>
    </cfRule>
  </conditionalFormatting>
  <conditionalFormatting sqref="AU61">
    <cfRule type="colorScale" priority="215">
      <colorScale>
        <cfvo type="min"/>
        <cfvo type="max"/>
        <color rgb="FFFCFCFF"/>
        <color rgb="FFF8696B"/>
      </colorScale>
    </cfRule>
    <cfRule type="colorScale" priority="217">
      <colorScale>
        <cfvo type="min"/>
        <cfvo type="percentile" val="50"/>
        <cfvo type="max"/>
        <color rgb="FF63BE7B"/>
        <color rgb="FFFFEB84"/>
        <color rgb="FFF8696B"/>
      </colorScale>
    </cfRule>
  </conditionalFormatting>
  <conditionalFormatting sqref="AU61">
    <cfRule type="colorScale" priority="216">
      <colorScale>
        <cfvo type="min"/>
        <cfvo type="max"/>
        <color rgb="FFF8696B"/>
        <color rgb="FFFCFCFF"/>
      </colorScale>
    </cfRule>
  </conditionalFormatting>
  <conditionalFormatting sqref="AU61">
    <cfRule type="colorScale" priority="214">
      <colorScale>
        <cfvo type="min"/>
        <cfvo type="max"/>
        <color rgb="FFFCFCFF"/>
        <color rgb="FFF8696B"/>
      </colorScale>
    </cfRule>
  </conditionalFormatting>
  <conditionalFormatting sqref="O66 O82 O56 O71 O76">
    <cfRule type="colorScale" priority="213">
      <colorScale>
        <cfvo type="min"/>
        <cfvo type="percentile" val="50"/>
        <cfvo type="max"/>
        <color rgb="FFF8696B"/>
        <color rgb="FFFFEB84"/>
        <color rgb="FF63BE7B"/>
      </colorScale>
    </cfRule>
  </conditionalFormatting>
  <conditionalFormatting sqref="O76">
    <cfRule type="colorScale" priority="212">
      <colorScale>
        <cfvo type="min"/>
        <cfvo type="percentile" val="50"/>
        <cfvo type="max"/>
        <color rgb="FFF8696B"/>
        <color rgb="FFFFEB84"/>
        <color rgb="FF63BE7B"/>
      </colorScale>
    </cfRule>
  </conditionalFormatting>
  <conditionalFormatting sqref="O56">
    <cfRule type="colorScale" priority="211">
      <colorScale>
        <cfvo type="min"/>
        <cfvo type="percentile" val="50"/>
        <cfvo type="max"/>
        <color rgb="FFF8696B"/>
        <color rgb="FFFFEB84"/>
        <color rgb="FF63BE7B"/>
      </colorScale>
    </cfRule>
  </conditionalFormatting>
  <conditionalFormatting sqref="O66 O82 O56 O71 O76">
    <cfRule type="colorScale" priority="210">
      <colorScale>
        <cfvo type="min"/>
        <cfvo type="percentile" val="50"/>
        <cfvo type="max"/>
        <color rgb="FF63BE7B"/>
        <color rgb="FFFFEB84"/>
        <color rgb="FFF8696B"/>
      </colorScale>
    </cfRule>
  </conditionalFormatting>
  <conditionalFormatting sqref="O82 O56 O66 O71 O76">
    <cfRule type="colorScale" priority="207">
      <colorScale>
        <cfvo type="min"/>
        <cfvo type="max"/>
        <color rgb="FFFCFCFF"/>
        <color rgb="FFF8696B"/>
      </colorScale>
    </cfRule>
    <cfRule type="colorScale" priority="209">
      <colorScale>
        <cfvo type="min"/>
        <cfvo type="percentile" val="50"/>
        <cfvo type="max"/>
        <color rgb="FF63BE7B"/>
        <color rgb="FFFFEB84"/>
        <color rgb="FFF8696B"/>
      </colorScale>
    </cfRule>
  </conditionalFormatting>
  <conditionalFormatting sqref="O66 O82 O56 O71 O76">
    <cfRule type="colorScale" priority="208">
      <colorScale>
        <cfvo type="min"/>
        <cfvo type="max"/>
        <color rgb="FFF8696B"/>
        <color rgb="FFFCFCFF"/>
      </colorScale>
    </cfRule>
  </conditionalFormatting>
  <conditionalFormatting sqref="O66">
    <cfRule type="colorScale" priority="206">
      <colorScale>
        <cfvo type="min"/>
        <cfvo type="percentile" val="50"/>
        <cfvo type="max"/>
        <color rgb="FFF8696B"/>
        <color rgb="FFFFEB84"/>
        <color rgb="FF63BE7B"/>
      </colorScale>
    </cfRule>
  </conditionalFormatting>
  <conditionalFormatting sqref="O71">
    <cfRule type="colorScale" priority="205">
      <colorScale>
        <cfvo type="min"/>
        <cfvo type="percentile" val="50"/>
        <cfvo type="max"/>
        <color rgb="FFF8696B"/>
        <color rgb="FFFFEB84"/>
        <color rgb="FF63BE7B"/>
      </colorScale>
    </cfRule>
  </conditionalFormatting>
  <conditionalFormatting sqref="O76">
    <cfRule type="colorScale" priority="204">
      <colorScale>
        <cfvo type="min"/>
        <cfvo type="percentile" val="50"/>
        <cfvo type="max"/>
        <color rgb="FFF8696B"/>
        <color rgb="FFFFEB84"/>
        <color rgb="FF63BE7B"/>
      </colorScale>
    </cfRule>
  </conditionalFormatting>
  <conditionalFormatting sqref="O82">
    <cfRule type="colorScale" priority="203">
      <colorScale>
        <cfvo type="min"/>
        <cfvo type="percentile" val="50"/>
        <cfvo type="max"/>
        <color rgb="FFF8696B"/>
        <color rgb="FFFFEB84"/>
        <color rgb="FF63BE7B"/>
      </colorScale>
    </cfRule>
  </conditionalFormatting>
  <conditionalFormatting sqref="O66 O82 O56 O71 O76">
    <cfRule type="colorScale" priority="202">
      <colorScale>
        <cfvo type="min"/>
        <cfvo type="max"/>
        <color rgb="FFFCFCFF"/>
        <color rgb="FFF8696B"/>
      </colorScale>
    </cfRule>
  </conditionalFormatting>
  <conditionalFormatting sqref="O61">
    <cfRule type="colorScale" priority="201">
      <colorScale>
        <cfvo type="min"/>
        <cfvo type="percentile" val="50"/>
        <cfvo type="max"/>
        <color rgb="FFF8696B"/>
        <color rgb="FFFFEB84"/>
        <color rgb="FF63BE7B"/>
      </colorScale>
    </cfRule>
  </conditionalFormatting>
  <conditionalFormatting sqref="O61">
    <cfRule type="colorScale" priority="200">
      <colorScale>
        <cfvo type="min"/>
        <cfvo type="percentile" val="50"/>
        <cfvo type="max"/>
        <color rgb="FFF8696B"/>
        <color rgb="FFFFEB84"/>
        <color rgb="FF63BE7B"/>
      </colorScale>
    </cfRule>
  </conditionalFormatting>
  <conditionalFormatting sqref="O61">
    <cfRule type="colorScale" priority="199">
      <colorScale>
        <cfvo type="min"/>
        <cfvo type="percentile" val="50"/>
        <cfvo type="max"/>
        <color rgb="FF63BE7B"/>
        <color rgb="FFFFEB84"/>
        <color rgb="FFF8696B"/>
      </colorScale>
    </cfRule>
  </conditionalFormatting>
  <conditionalFormatting sqref="O61">
    <cfRule type="colorScale" priority="196">
      <colorScale>
        <cfvo type="min"/>
        <cfvo type="max"/>
        <color rgb="FFFCFCFF"/>
        <color rgb="FFF8696B"/>
      </colorScale>
    </cfRule>
    <cfRule type="colorScale" priority="198">
      <colorScale>
        <cfvo type="min"/>
        <cfvo type="percentile" val="50"/>
        <cfvo type="max"/>
        <color rgb="FF63BE7B"/>
        <color rgb="FFFFEB84"/>
        <color rgb="FFF8696B"/>
      </colorScale>
    </cfRule>
  </conditionalFormatting>
  <conditionalFormatting sqref="O61">
    <cfRule type="colorScale" priority="197">
      <colorScale>
        <cfvo type="min"/>
        <cfvo type="max"/>
        <color rgb="FFF8696B"/>
        <color rgb="FFFCFCFF"/>
      </colorScale>
    </cfRule>
  </conditionalFormatting>
  <conditionalFormatting sqref="O61">
    <cfRule type="colorScale" priority="195">
      <colorScale>
        <cfvo type="min"/>
        <cfvo type="max"/>
        <color rgb="FFFCFCFF"/>
        <color rgb="FFF8696B"/>
      </colorScale>
    </cfRule>
  </conditionalFormatting>
  <conditionalFormatting sqref="M66 M82 M56 M71 M76">
    <cfRule type="colorScale" priority="194">
      <colorScale>
        <cfvo type="min"/>
        <cfvo type="percentile" val="50"/>
        <cfvo type="max"/>
        <color rgb="FFF8696B"/>
        <color rgb="FFFFEB84"/>
        <color rgb="FF63BE7B"/>
      </colorScale>
    </cfRule>
  </conditionalFormatting>
  <conditionalFormatting sqref="M76">
    <cfRule type="colorScale" priority="193">
      <colorScale>
        <cfvo type="min"/>
        <cfvo type="percentile" val="50"/>
        <cfvo type="max"/>
        <color rgb="FFF8696B"/>
        <color rgb="FFFFEB84"/>
        <color rgb="FF63BE7B"/>
      </colorScale>
    </cfRule>
  </conditionalFormatting>
  <conditionalFormatting sqref="M56">
    <cfRule type="colorScale" priority="192">
      <colorScale>
        <cfvo type="min"/>
        <cfvo type="percentile" val="50"/>
        <cfvo type="max"/>
        <color rgb="FFF8696B"/>
        <color rgb="FFFFEB84"/>
        <color rgb="FF63BE7B"/>
      </colorScale>
    </cfRule>
  </conditionalFormatting>
  <conditionalFormatting sqref="M66 M82 M56 M71 M76">
    <cfRule type="colorScale" priority="191">
      <colorScale>
        <cfvo type="min"/>
        <cfvo type="percentile" val="50"/>
        <cfvo type="max"/>
        <color rgb="FF63BE7B"/>
        <color rgb="FFFFEB84"/>
        <color rgb="FFF8696B"/>
      </colorScale>
    </cfRule>
  </conditionalFormatting>
  <conditionalFormatting sqref="M82 M56 M66 M71 M76">
    <cfRule type="colorScale" priority="188">
      <colorScale>
        <cfvo type="min"/>
        <cfvo type="max"/>
        <color rgb="FFFCFCFF"/>
        <color rgb="FFF8696B"/>
      </colorScale>
    </cfRule>
    <cfRule type="colorScale" priority="190">
      <colorScale>
        <cfvo type="min"/>
        <cfvo type="percentile" val="50"/>
        <cfvo type="max"/>
        <color rgb="FF63BE7B"/>
        <color rgb="FFFFEB84"/>
        <color rgb="FFF8696B"/>
      </colorScale>
    </cfRule>
  </conditionalFormatting>
  <conditionalFormatting sqref="M66 M82 M56 M71 M76">
    <cfRule type="colorScale" priority="189">
      <colorScale>
        <cfvo type="min"/>
        <cfvo type="max"/>
        <color rgb="FFF8696B"/>
        <color rgb="FFFCFCFF"/>
      </colorScale>
    </cfRule>
  </conditionalFormatting>
  <conditionalFormatting sqref="M66">
    <cfRule type="colorScale" priority="187">
      <colorScale>
        <cfvo type="min"/>
        <cfvo type="percentile" val="50"/>
        <cfvo type="max"/>
        <color rgb="FFF8696B"/>
        <color rgb="FFFFEB84"/>
        <color rgb="FF63BE7B"/>
      </colorScale>
    </cfRule>
  </conditionalFormatting>
  <conditionalFormatting sqref="M71">
    <cfRule type="colorScale" priority="186">
      <colorScale>
        <cfvo type="min"/>
        <cfvo type="percentile" val="50"/>
        <cfvo type="max"/>
        <color rgb="FFF8696B"/>
        <color rgb="FFFFEB84"/>
        <color rgb="FF63BE7B"/>
      </colorScale>
    </cfRule>
  </conditionalFormatting>
  <conditionalFormatting sqref="M76">
    <cfRule type="colorScale" priority="185">
      <colorScale>
        <cfvo type="min"/>
        <cfvo type="percentile" val="50"/>
        <cfvo type="max"/>
        <color rgb="FFF8696B"/>
        <color rgb="FFFFEB84"/>
        <color rgb="FF63BE7B"/>
      </colorScale>
    </cfRule>
  </conditionalFormatting>
  <conditionalFormatting sqref="M82">
    <cfRule type="colorScale" priority="184">
      <colorScale>
        <cfvo type="min"/>
        <cfvo type="percentile" val="50"/>
        <cfvo type="max"/>
        <color rgb="FFF8696B"/>
        <color rgb="FFFFEB84"/>
        <color rgb="FF63BE7B"/>
      </colorScale>
    </cfRule>
  </conditionalFormatting>
  <conditionalFormatting sqref="M66 M82 M56 M71 M76">
    <cfRule type="colorScale" priority="183">
      <colorScale>
        <cfvo type="min"/>
        <cfvo type="max"/>
        <color rgb="FFFCFCFF"/>
        <color rgb="FFF8696B"/>
      </colorScale>
    </cfRule>
  </conditionalFormatting>
  <conditionalFormatting sqref="M61">
    <cfRule type="colorScale" priority="182">
      <colorScale>
        <cfvo type="min"/>
        <cfvo type="percentile" val="50"/>
        <cfvo type="max"/>
        <color rgb="FFF8696B"/>
        <color rgb="FFFFEB84"/>
        <color rgb="FF63BE7B"/>
      </colorScale>
    </cfRule>
  </conditionalFormatting>
  <conditionalFormatting sqref="M61">
    <cfRule type="colorScale" priority="181">
      <colorScale>
        <cfvo type="min"/>
        <cfvo type="percentile" val="50"/>
        <cfvo type="max"/>
        <color rgb="FFF8696B"/>
        <color rgb="FFFFEB84"/>
        <color rgb="FF63BE7B"/>
      </colorScale>
    </cfRule>
  </conditionalFormatting>
  <conditionalFormatting sqref="M61">
    <cfRule type="colorScale" priority="180">
      <colorScale>
        <cfvo type="min"/>
        <cfvo type="percentile" val="50"/>
        <cfvo type="max"/>
        <color rgb="FF63BE7B"/>
        <color rgb="FFFFEB84"/>
        <color rgb="FFF8696B"/>
      </colorScale>
    </cfRule>
  </conditionalFormatting>
  <conditionalFormatting sqref="M61">
    <cfRule type="colorScale" priority="177">
      <colorScale>
        <cfvo type="min"/>
        <cfvo type="max"/>
        <color rgb="FFFCFCFF"/>
        <color rgb="FFF8696B"/>
      </colorScale>
    </cfRule>
    <cfRule type="colorScale" priority="179">
      <colorScale>
        <cfvo type="min"/>
        <cfvo type="percentile" val="50"/>
        <cfvo type="max"/>
        <color rgb="FF63BE7B"/>
        <color rgb="FFFFEB84"/>
        <color rgb="FFF8696B"/>
      </colorScale>
    </cfRule>
  </conditionalFormatting>
  <conditionalFormatting sqref="M61">
    <cfRule type="colorScale" priority="178">
      <colorScale>
        <cfvo type="min"/>
        <cfvo type="max"/>
        <color rgb="FFF8696B"/>
        <color rgb="FFFCFCFF"/>
      </colorScale>
    </cfRule>
  </conditionalFormatting>
  <conditionalFormatting sqref="M61">
    <cfRule type="colorScale" priority="176">
      <colorScale>
        <cfvo type="min"/>
        <cfvo type="max"/>
        <color rgb="FFFCFCFF"/>
        <color rgb="FFF8696B"/>
      </colorScale>
    </cfRule>
  </conditionalFormatting>
  <conditionalFormatting sqref="K56 K66 K71 K76 K82">
    <cfRule type="colorScale" priority="175">
      <colorScale>
        <cfvo type="min"/>
        <cfvo type="percentile" val="50"/>
        <cfvo type="max"/>
        <color rgb="FFF8696B"/>
        <color rgb="FFFFEB84"/>
        <color rgb="FF63BE7B"/>
      </colorScale>
    </cfRule>
  </conditionalFormatting>
  <conditionalFormatting sqref="K76">
    <cfRule type="colorScale" priority="174">
      <colorScale>
        <cfvo type="min"/>
        <cfvo type="percentile" val="50"/>
        <cfvo type="max"/>
        <color rgb="FFF8696B"/>
        <color rgb="FFFFEB84"/>
        <color rgb="FF63BE7B"/>
      </colorScale>
    </cfRule>
  </conditionalFormatting>
  <conditionalFormatting sqref="K56">
    <cfRule type="colorScale" priority="173">
      <colorScale>
        <cfvo type="min"/>
        <cfvo type="percentile" val="50"/>
        <cfvo type="max"/>
        <color rgb="FFF8696B"/>
        <color rgb="FFFFEB84"/>
        <color rgb="FF63BE7B"/>
      </colorScale>
    </cfRule>
  </conditionalFormatting>
  <conditionalFormatting sqref="K56 K66 K71 K76 K82">
    <cfRule type="colorScale" priority="172">
      <colorScale>
        <cfvo type="min"/>
        <cfvo type="percentile" val="50"/>
        <cfvo type="max"/>
        <color rgb="FF63BE7B"/>
        <color rgb="FFFFEB84"/>
        <color rgb="FFF8696B"/>
      </colorScale>
    </cfRule>
  </conditionalFormatting>
  <conditionalFormatting sqref="K56 K66 K71 K76 K82">
    <cfRule type="colorScale" priority="169">
      <colorScale>
        <cfvo type="min"/>
        <cfvo type="max"/>
        <color rgb="FFFCFCFF"/>
        <color rgb="FFF8696B"/>
      </colorScale>
    </cfRule>
    <cfRule type="colorScale" priority="171">
      <colorScale>
        <cfvo type="min"/>
        <cfvo type="percentile" val="50"/>
        <cfvo type="max"/>
        <color rgb="FF63BE7B"/>
        <color rgb="FFFFEB84"/>
        <color rgb="FFF8696B"/>
      </colorScale>
    </cfRule>
  </conditionalFormatting>
  <conditionalFormatting sqref="K56 K66 K71 K76 K82">
    <cfRule type="colorScale" priority="170">
      <colorScale>
        <cfvo type="min"/>
        <cfvo type="max"/>
        <color rgb="FFF8696B"/>
        <color rgb="FFFCFCFF"/>
      </colorScale>
    </cfRule>
  </conditionalFormatting>
  <conditionalFormatting sqref="K66">
    <cfRule type="colorScale" priority="168">
      <colorScale>
        <cfvo type="min"/>
        <cfvo type="percentile" val="50"/>
        <cfvo type="max"/>
        <color rgb="FFF8696B"/>
        <color rgb="FFFFEB84"/>
        <color rgb="FF63BE7B"/>
      </colorScale>
    </cfRule>
  </conditionalFormatting>
  <conditionalFormatting sqref="K71">
    <cfRule type="colorScale" priority="167">
      <colorScale>
        <cfvo type="min"/>
        <cfvo type="percentile" val="50"/>
        <cfvo type="max"/>
        <color rgb="FFF8696B"/>
        <color rgb="FFFFEB84"/>
        <color rgb="FF63BE7B"/>
      </colorScale>
    </cfRule>
  </conditionalFormatting>
  <conditionalFormatting sqref="K76">
    <cfRule type="colorScale" priority="166">
      <colorScale>
        <cfvo type="min"/>
        <cfvo type="percentile" val="50"/>
        <cfvo type="max"/>
        <color rgb="FFF8696B"/>
        <color rgb="FFFFEB84"/>
        <color rgb="FF63BE7B"/>
      </colorScale>
    </cfRule>
  </conditionalFormatting>
  <conditionalFormatting sqref="K82">
    <cfRule type="colorScale" priority="165">
      <colorScale>
        <cfvo type="min"/>
        <cfvo type="percentile" val="50"/>
        <cfvo type="max"/>
        <color rgb="FFF8696B"/>
        <color rgb="FFFFEB84"/>
        <color rgb="FF63BE7B"/>
      </colorScale>
    </cfRule>
  </conditionalFormatting>
  <conditionalFormatting sqref="K56 K66 K71 K76 K82">
    <cfRule type="colorScale" priority="164">
      <colorScale>
        <cfvo type="min"/>
        <cfvo type="max"/>
        <color rgb="FFFCFCFF"/>
        <color rgb="FFF8696B"/>
      </colorScale>
    </cfRule>
  </conditionalFormatting>
  <conditionalFormatting sqref="K61">
    <cfRule type="colorScale" priority="163">
      <colorScale>
        <cfvo type="min"/>
        <cfvo type="percentile" val="50"/>
        <cfvo type="max"/>
        <color rgb="FFF8696B"/>
        <color rgb="FFFFEB84"/>
        <color rgb="FF63BE7B"/>
      </colorScale>
    </cfRule>
  </conditionalFormatting>
  <conditionalFormatting sqref="K61">
    <cfRule type="colorScale" priority="162">
      <colorScale>
        <cfvo type="min"/>
        <cfvo type="percentile" val="50"/>
        <cfvo type="max"/>
        <color rgb="FFF8696B"/>
        <color rgb="FFFFEB84"/>
        <color rgb="FF63BE7B"/>
      </colorScale>
    </cfRule>
  </conditionalFormatting>
  <conditionalFormatting sqref="K61">
    <cfRule type="colorScale" priority="161">
      <colorScale>
        <cfvo type="min"/>
        <cfvo type="percentile" val="50"/>
        <cfvo type="max"/>
        <color rgb="FF63BE7B"/>
        <color rgb="FFFFEB84"/>
        <color rgb="FFF8696B"/>
      </colorScale>
    </cfRule>
  </conditionalFormatting>
  <conditionalFormatting sqref="K61">
    <cfRule type="colorScale" priority="158">
      <colorScale>
        <cfvo type="min"/>
        <cfvo type="max"/>
        <color rgb="FFFCFCFF"/>
        <color rgb="FFF8696B"/>
      </colorScale>
    </cfRule>
    <cfRule type="colorScale" priority="160">
      <colorScale>
        <cfvo type="min"/>
        <cfvo type="percentile" val="50"/>
        <cfvo type="max"/>
        <color rgb="FF63BE7B"/>
        <color rgb="FFFFEB84"/>
        <color rgb="FFF8696B"/>
      </colorScale>
    </cfRule>
  </conditionalFormatting>
  <conditionalFormatting sqref="K61">
    <cfRule type="colorScale" priority="159">
      <colorScale>
        <cfvo type="min"/>
        <cfvo type="max"/>
        <color rgb="FFF8696B"/>
        <color rgb="FFFCFCFF"/>
      </colorScale>
    </cfRule>
  </conditionalFormatting>
  <conditionalFormatting sqref="K61">
    <cfRule type="colorScale" priority="157">
      <colorScale>
        <cfvo type="min"/>
        <cfvo type="max"/>
        <color rgb="FFFCFCFF"/>
        <color rgb="FFF8696B"/>
      </colorScale>
    </cfRule>
  </conditionalFormatting>
  <conditionalFormatting sqref="I56 I66 I71 I76 I82">
    <cfRule type="colorScale" priority="156">
      <colorScale>
        <cfvo type="min"/>
        <cfvo type="percentile" val="50"/>
        <cfvo type="max"/>
        <color rgb="FFF8696B"/>
        <color rgb="FFFFEB84"/>
        <color rgb="FF63BE7B"/>
      </colorScale>
    </cfRule>
  </conditionalFormatting>
  <conditionalFormatting sqref="I56">
    <cfRule type="colorScale" priority="155">
      <colorScale>
        <cfvo type="min"/>
        <cfvo type="percentile" val="50"/>
        <cfvo type="max"/>
        <color rgb="FFF8696B"/>
        <color rgb="FFFFEB84"/>
        <color rgb="FF63BE7B"/>
      </colorScale>
    </cfRule>
  </conditionalFormatting>
  <conditionalFormatting sqref="I56 I66 I71 I76 I82">
    <cfRule type="colorScale" priority="154">
      <colorScale>
        <cfvo type="min"/>
        <cfvo type="percentile" val="50"/>
        <cfvo type="max"/>
        <color rgb="FF63BE7B"/>
        <color rgb="FFFFEB84"/>
        <color rgb="FFF8696B"/>
      </colorScale>
    </cfRule>
  </conditionalFormatting>
  <conditionalFormatting sqref="I56 I66 I71 I76 I82">
    <cfRule type="colorScale" priority="151">
      <colorScale>
        <cfvo type="min"/>
        <cfvo type="max"/>
        <color rgb="FFFCFCFF"/>
        <color rgb="FFF8696B"/>
      </colorScale>
    </cfRule>
    <cfRule type="colorScale" priority="153">
      <colorScale>
        <cfvo type="min"/>
        <cfvo type="percentile" val="50"/>
        <cfvo type="max"/>
        <color rgb="FF63BE7B"/>
        <color rgb="FFFFEB84"/>
        <color rgb="FFF8696B"/>
      </colorScale>
    </cfRule>
  </conditionalFormatting>
  <conditionalFormatting sqref="I56 I66 I71 I76 I82">
    <cfRule type="colorScale" priority="152">
      <colorScale>
        <cfvo type="min"/>
        <cfvo type="max"/>
        <color rgb="FFF8696B"/>
        <color rgb="FFFCFCFF"/>
      </colorScale>
    </cfRule>
  </conditionalFormatting>
  <conditionalFormatting sqref="I66">
    <cfRule type="colorScale" priority="150">
      <colorScale>
        <cfvo type="min"/>
        <cfvo type="percentile" val="50"/>
        <cfvo type="max"/>
        <color rgb="FFF8696B"/>
        <color rgb="FFFFEB84"/>
        <color rgb="FF63BE7B"/>
      </colorScale>
    </cfRule>
  </conditionalFormatting>
  <conditionalFormatting sqref="I71">
    <cfRule type="colorScale" priority="149">
      <colorScale>
        <cfvo type="min"/>
        <cfvo type="percentile" val="50"/>
        <cfvo type="max"/>
        <color rgb="FFF8696B"/>
        <color rgb="FFFFEB84"/>
        <color rgb="FF63BE7B"/>
      </colorScale>
    </cfRule>
  </conditionalFormatting>
  <conditionalFormatting sqref="I76">
    <cfRule type="colorScale" priority="148">
      <colorScale>
        <cfvo type="min"/>
        <cfvo type="percentile" val="50"/>
        <cfvo type="max"/>
        <color rgb="FFF8696B"/>
        <color rgb="FFFFEB84"/>
        <color rgb="FF63BE7B"/>
      </colorScale>
    </cfRule>
  </conditionalFormatting>
  <conditionalFormatting sqref="I82">
    <cfRule type="colorScale" priority="147">
      <colorScale>
        <cfvo type="min"/>
        <cfvo type="percentile" val="50"/>
        <cfvo type="max"/>
        <color rgb="FFF8696B"/>
        <color rgb="FFFFEB84"/>
        <color rgb="FF63BE7B"/>
      </colorScale>
    </cfRule>
  </conditionalFormatting>
  <conditionalFormatting sqref="I56 I66 I71 I76 I82">
    <cfRule type="colorScale" priority="146">
      <colorScale>
        <cfvo type="min"/>
        <cfvo type="max"/>
        <color rgb="FFFCFCFF"/>
        <color rgb="FFF8696B"/>
      </colorScale>
    </cfRule>
  </conditionalFormatting>
  <conditionalFormatting sqref="I61">
    <cfRule type="colorScale" priority="145">
      <colorScale>
        <cfvo type="min"/>
        <cfvo type="percentile" val="50"/>
        <cfvo type="max"/>
        <color rgb="FFF8696B"/>
        <color rgb="FFFFEB84"/>
        <color rgb="FF63BE7B"/>
      </colorScale>
    </cfRule>
  </conditionalFormatting>
  <conditionalFormatting sqref="I61">
    <cfRule type="colorScale" priority="144">
      <colorScale>
        <cfvo type="min"/>
        <cfvo type="percentile" val="50"/>
        <cfvo type="max"/>
        <color rgb="FF63BE7B"/>
        <color rgb="FFFFEB84"/>
        <color rgb="FFF8696B"/>
      </colorScale>
    </cfRule>
  </conditionalFormatting>
  <conditionalFormatting sqref="I61">
    <cfRule type="colorScale" priority="141">
      <colorScale>
        <cfvo type="min"/>
        <cfvo type="max"/>
        <color rgb="FFFCFCFF"/>
        <color rgb="FFF8696B"/>
      </colorScale>
    </cfRule>
    <cfRule type="colorScale" priority="143">
      <colorScale>
        <cfvo type="min"/>
        <cfvo type="percentile" val="50"/>
        <cfvo type="max"/>
        <color rgb="FF63BE7B"/>
        <color rgb="FFFFEB84"/>
        <color rgb="FFF8696B"/>
      </colorScale>
    </cfRule>
  </conditionalFormatting>
  <conditionalFormatting sqref="I61">
    <cfRule type="colorScale" priority="142">
      <colorScale>
        <cfvo type="min"/>
        <cfvo type="max"/>
        <color rgb="FFF8696B"/>
        <color rgb="FFFCFCFF"/>
      </colorScale>
    </cfRule>
  </conditionalFormatting>
  <conditionalFormatting sqref="I61">
    <cfRule type="colorScale" priority="140">
      <colorScale>
        <cfvo type="min"/>
        <cfvo type="max"/>
        <color rgb="FFFCFCFF"/>
        <color rgb="FFF8696B"/>
      </colorScale>
    </cfRule>
  </conditionalFormatting>
  <conditionalFormatting sqref="G56 G66 G71 G76 G82">
    <cfRule type="colorScale" priority="139">
      <colorScale>
        <cfvo type="min"/>
        <cfvo type="percentile" val="50"/>
        <cfvo type="max"/>
        <color rgb="FFF8696B"/>
        <color rgb="FFFFEB84"/>
        <color rgb="FF63BE7B"/>
      </colorScale>
    </cfRule>
  </conditionalFormatting>
  <conditionalFormatting sqref="G56">
    <cfRule type="colorScale" priority="138">
      <colorScale>
        <cfvo type="min"/>
        <cfvo type="percentile" val="50"/>
        <cfvo type="max"/>
        <color rgb="FFF8696B"/>
        <color rgb="FFFFEB84"/>
        <color rgb="FF63BE7B"/>
      </colorScale>
    </cfRule>
  </conditionalFormatting>
  <conditionalFormatting sqref="G56 G66 G71 G76 G82">
    <cfRule type="colorScale" priority="137">
      <colorScale>
        <cfvo type="min"/>
        <cfvo type="percentile" val="50"/>
        <cfvo type="max"/>
        <color rgb="FF63BE7B"/>
        <color rgb="FFFFEB84"/>
        <color rgb="FFF8696B"/>
      </colorScale>
    </cfRule>
  </conditionalFormatting>
  <conditionalFormatting sqref="G56 G66 G71 G76 G82">
    <cfRule type="colorScale" priority="134">
      <colorScale>
        <cfvo type="min"/>
        <cfvo type="max"/>
        <color rgb="FFFCFCFF"/>
        <color rgb="FFF8696B"/>
      </colorScale>
    </cfRule>
    <cfRule type="colorScale" priority="136">
      <colorScale>
        <cfvo type="min"/>
        <cfvo type="percentile" val="50"/>
        <cfvo type="max"/>
        <color rgb="FF63BE7B"/>
        <color rgb="FFFFEB84"/>
        <color rgb="FFF8696B"/>
      </colorScale>
    </cfRule>
  </conditionalFormatting>
  <conditionalFormatting sqref="G56 G66 G71 G76 G82">
    <cfRule type="colorScale" priority="135">
      <colorScale>
        <cfvo type="min"/>
        <cfvo type="max"/>
        <color rgb="FFF8696B"/>
        <color rgb="FFFCFCFF"/>
      </colorScale>
    </cfRule>
  </conditionalFormatting>
  <conditionalFormatting sqref="G66">
    <cfRule type="colorScale" priority="133">
      <colorScale>
        <cfvo type="min"/>
        <cfvo type="percentile" val="50"/>
        <cfvo type="max"/>
        <color rgb="FFF8696B"/>
        <color rgb="FFFFEB84"/>
        <color rgb="FF63BE7B"/>
      </colorScale>
    </cfRule>
  </conditionalFormatting>
  <conditionalFormatting sqref="G71">
    <cfRule type="colorScale" priority="132">
      <colorScale>
        <cfvo type="min"/>
        <cfvo type="percentile" val="50"/>
        <cfvo type="max"/>
        <color rgb="FFF8696B"/>
        <color rgb="FFFFEB84"/>
        <color rgb="FF63BE7B"/>
      </colorScale>
    </cfRule>
  </conditionalFormatting>
  <conditionalFormatting sqref="G76">
    <cfRule type="colorScale" priority="131">
      <colorScale>
        <cfvo type="min"/>
        <cfvo type="percentile" val="50"/>
        <cfvo type="max"/>
        <color rgb="FFF8696B"/>
        <color rgb="FFFFEB84"/>
        <color rgb="FF63BE7B"/>
      </colorScale>
    </cfRule>
  </conditionalFormatting>
  <conditionalFormatting sqref="G82">
    <cfRule type="colorScale" priority="130">
      <colorScale>
        <cfvo type="min"/>
        <cfvo type="percentile" val="50"/>
        <cfvo type="max"/>
        <color rgb="FFF8696B"/>
        <color rgb="FFFFEB84"/>
        <color rgb="FF63BE7B"/>
      </colorScale>
    </cfRule>
  </conditionalFormatting>
  <conditionalFormatting sqref="G56 G66 G71 G76 G82">
    <cfRule type="colorScale" priority="129">
      <colorScale>
        <cfvo type="min"/>
        <cfvo type="max"/>
        <color rgb="FFFCFCFF"/>
        <color rgb="FFF8696B"/>
      </colorScale>
    </cfRule>
  </conditionalFormatting>
  <conditionalFormatting sqref="G61">
    <cfRule type="colorScale" priority="128">
      <colorScale>
        <cfvo type="min"/>
        <cfvo type="percentile" val="50"/>
        <cfvo type="max"/>
        <color rgb="FFF8696B"/>
        <color rgb="FFFFEB84"/>
        <color rgb="FF63BE7B"/>
      </colorScale>
    </cfRule>
  </conditionalFormatting>
  <conditionalFormatting sqref="G61">
    <cfRule type="colorScale" priority="127">
      <colorScale>
        <cfvo type="min"/>
        <cfvo type="percentile" val="50"/>
        <cfvo type="max"/>
        <color rgb="FF63BE7B"/>
        <color rgb="FFFFEB84"/>
        <color rgb="FFF8696B"/>
      </colorScale>
    </cfRule>
  </conditionalFormatting>
  <conditionalFormatting sqref="G61">
    <cfRule type="colorScale" priority="124">
      <colorScale>
        <cfvo type="min"/>
        <cfvo type="max"/>
        <color rgb="FFFCFCFF"/>
        <color rgb="FFF8696B"/>
      </colorScale>
    </cfRule>
    <cfRule type="colorScale" priority="126">
      <colorScale>
        <cfvo type="min"/>
        <cfvo type="percentile" val="50"/>
        <cfvo type="max"/>
        <color rgb="FF63BE7B"/>
        <color rgb="FFFFEB84"/>
        <color rgb="FFF8696B"/>
      </colorScale>
    </cfRule>
  </conditionalFormatting>
  <conditionalFormatting sqref="G61">
    <cfRule type="colorScale" priority="125">
      <colorScale>
        <cfvo type="min"/>
        <cfvo type="max"/>
        <color rgb="FFF8696B"/>
        <color rgb="FFFCFCFF"/>
      </colorScale>
    </cfRule>
  </conditionalFormatting>
  <conditionalFormatting sqref="G61">
    <cfRule type="colorScale" priority="123">
      <colorScale>
        <cfvo type="min"/>
        <cfvo type="max"/>
        <color rgb="FFFCFCFF"/>
        <color rgb="FFF8696B"/>
      </colorScale>
    </cfRule>
  </conditionalFormatting>
  <conditionalFormatting sqref="E13 C13 G13 I13 K13 G18 I18 K18 C23 E23 G23 I23 K23 C28 C33 C39 E39 E33 E28 G28 G33 G39 G41 I28 I33 I39 I41 K41 K39 K33 K28">
    <cfRule type="colorScale" priority="122">
      <colorScale>
        <cfvo type="min"/>
        <cfvo type="max"/>
        <color rgb="FFFCFCFF"/>
        <color rgb="FFF8696B"/>
      </colorScale>
    </cfRule>
  </conditionalFormatting>
  <conditionalFormatting sqref="E56 C56 G56 I56 K56 M56 O56 G61 I61 K61 M61 O61 O66 M66 K66 I66 G66 E66 C66 C71 C76 C82 E71 E76 E82 G82 G76 G71 I71 I76 I84 I82 K71 K76 K82 K84 M84 M82 M76 M71 O71 O76 O82 O84">
    <cfRule type="colorScale" priority="121">
      <colorScale>
        <cfvo type="min"/>
        <cfvo type="max"/>
        <color rgb="FFFCFCFF"/>
        <color rgb="FFF8696B"/>
      </colorScale>
    </cfRule>
  </conditionalFormatting>
  <conditionalFormatting sqref="C99 E99 G99 I99 K99 M99 O99 O104 M104 K104 I104 G104 C110:C114 C119 C125 E125 E119 E110:E114 G109 G114 G119 G125 I125 I119 I114 I109 K109 M109 O109 O114 M114 K114 K119 M119 O119 K125 M125 O125 O127 M127 K127 I127">
    <cfRule type="colorScale" priority="120">
      <colorScale>
        <cfvo type="min"/>
        <cfvo type="max"/>
        <color rgb="FFFCFCFF"/>
        <color rgb="FFF8696B"/>
      </colorScale>
    </cfRule>
  </conditionalFormatting>
  <conditionalFormatting sqref="C142 E142 G142 I142 K142 M142 O142 O147 M147 K147 I147 G147 C153:C157 E153:E157 G153:G157 I152 I157 K152 K157 M152 M157 O152 O157 C162 E162 G162 I162 K162 M162 O162 C168 E168 G168 I168 K168 M168 O168 I170 K170 M170 O170">
    <cfRule type="colorScale" priority="119">
      <colorScale>
        <cfvo type="min"/>
        <cfvo type="max"/>
        <color rgb="FFFCFCFF"/>
        <color rgb="FFF8696B"/>
      </colorScale>
    </cfRule>
  </conditionalFormatting>
  <conditionalFormatting sqref="E185 C185 G185:G190 I185 K185:K190 M185 O185 O190 M190 I190 C196:C200 E196:E200 G196:G200 I195 I200 K195 K200 M195 M200 O195 O200 O205 M205 K205 I205 G205 E205 C205 C211 E211 G211 I211 K211 M211 O211 O213">
    <cfRule type="colorScale" priority="118">
      <colorScale>
        <cfvo type="min"/>
        <cfvo type="max"/>
        <color rgb="FFFCFCFF"/>
        <color rgb="FFF8696B"/>
      </colorScale>
    </cfRule>
  </conditionalFormatting>
  <conditionalFormatting sqref="U228 S228 W228:W233 Y228 Y233 AA228:AA233 AC228 AC233 AE228 AE233 S239:S248 U239:U248 W239:W248 Y239:Y248 AA239:AA243 AC239:AC243 AE239:AE243 AE248 AC250:AC254 AA250:AA254 AE254 Y254 W254 U254 S254">
    <cfRule type="colorScale" priority="117">
      <colorScale>
        <cfvo type="min"/>
        <cfvo type="max"/>
        <color rgb="FFFCFCFF"/>
        <color rgb="FFF8696B"/>
      </colorScale>
    </cfRule>
  </conditionalFormatting>
  <conditionalFormatting sqref="U185 S185 W185:W190 Y185 Y190 AA185:AA190 AC185 AC190 AE185 AE190 S196:S205 U196:U205 W196:W200 Y196:Y200 AA195 AA200 AC195 AC200 AE195 AE200 AE205 AC205 AA205 Y205 W206:W211 S211 U211 Y211 AA211 AC211 AE211 AE213">
    <cfRule type="colorScale" priority="116">
      <colorScale>
        <cfvo type="min"/>
        <cfvo type="max"/>
        <color rgb="FFFCFCFF"/>
        <color rgb="FFF8696B"/>
      </colorScale>
    </cfRule>
  </conditionalFormatting>
  <conditionalFormatting sqref="U142 S142 W142 Y142 AA142 AC142 AE142 W147 Y147 AA147 AC147 AE147 S153:S157 U153:U157 W153:W157 Y152 Y157 AA152 AA157 AC152 AC157 AE152 AE157 S162 U162 W162 Y162 AA162 AC162 AE162 S168 U168 W168 Y168 AA168 AC168 AE168 Y170 AA170 AC170 AE170">
    <cfRule type="colorScale" priority="115">
      <colorScale>
        <cfvo type="min"/>
        <cfvo type="max"/>
        <color rgb="FFFCFCFF"/>
        <color rgb="FFF8696B"/>
      </colorScale>
    </cfRule>
  </conditionalFormatting>
  <conditionalFormatting sqref="S99 U99 W99 Y99 AA99 AC99 AE99 W104 Y104 AA104 AC104 AE104 AE109 AC109 AA109 Y109 W110:W114 U110:U114 S110:S114 S119 U119 W119 Y114 Y119 AA114 AA119 AC119 AC114 AE114 AE119 AE125 AE127 AC127 AC125 AA125 AA127 Y127 Y125 W125 U125 S125">
    <cfRule type="colorScale" priority="114">
      <colorScale>
        <cfvo type="min"/>
        <cfvo type="max"/>
        <color rgb="FFFCFCFF"/>
        <color rgb="FFF8696B"/>
      </colorScale>
    </cfRule>
  </conditionalFormatting>
  <conditionalFormatting sqref="S56 U56 W56 Y56 AA56 AC56 AE56 AE61 AE66 AE71 AE76 AE82 AE84 AC84 AC82 AC76 AC71 AC66 AC61 AA61 AA66 AA71 AA76 AA82 AA84 Y84 Y82 Y76 Y71 Y66 Y61 W61 W66 W71 W76 W82 U82 S82 S76 S67:S71 U67:U71 U76">
    <cfRule type="colorScale" priority="113">
      <colorScale>
        <cfvo type="min"/>
        <cfvo type="max"/>
        <color rgb="FFFCFCFF"/>
        <color rgb="FFF8696B"/>
      </colorScale>
    </cfRule>
  </conditionalFormatting>
  <conditionalFormatting sqref="S13 U13 W13 Y13 AA13 AC13 AE13 W18 Y18 AA18 AC18 AE18 AE23 AC23 AA23 Y23 W23 U23 S23 S28 U28 W28 Y28 AA28 AC28 AE28 AE33 AC33 AA33 Y33 W33 U33 S33 S39 U39 W39 Y39 AA39 AC39 AE39 AE41 AC41 AA41 Y41 W41">
    <cfRule type="colorScale" priority="112">
      <colorScale>
        <cfvo type="min"/>
        <cfvo type="max"/>
        <color rgb="FFFCFCFF"/>
        <color rgb="FFF8696B"/>
      </colorScale>
    </cfRule>
  </conditionalFormatting>
  <conditionalFormatting sqref="AK13 AI13 AM13 AO13 AQ13 AS13 AU13 AM18 AO18 AQ18 AS18 AU18 AU23 AS23 AQ23 AO23 AM23 AK24:AK28 AI24:AI28 AM28 AO28 AQ28 AS28 AU28 AU33 AS33 AQ33 AO33 AM33 AK33 AI33 AI39 AK39 AM39 AO39 AQ39 AS39 AU39 AU41 AS41 AQ41 AO41">
    <cfRule type="colorScale" priority="111">
      <colorScale>
        <cfvo type="min"/>
        <cfvo type="max"/>
        <color rgb="FFFCFCFF"/>
        <color rgb="FFF8696B"/>
      </colorScale>
    </cfRule>
  </conditionalFormatting>
  <conditionalFormatting sqref="AI56 AK56 AM56 AO56 AQ56 AS56 AU56 AM61 AO61 AQ61 AS61 AU61 AU66 AS66 AQ66 AO66 AM67:AM71 AK67:AK71 AI67:AI71 AO71 AQ71 AS71 AU71 AU76 AS76 AQ76 AO76 AM76 AK76 AI76 AI82 AK82 AM82 AO82 AQ82 AS82 AU82 AU84 AS84 AQ84 AO84">
    <cfRule type="colorScale" priority="110">
      <colorScale>
        <cfvo type="min"/>
        <cfvo type="max"/>
        <color rgb="FFFCFCFF"/>
        <color rgb="FFF8696B"/>
      </colorScale>
    </cfRule>
  </conditionalFormatting>
  <conditionalFormatting sqref="AI99 AK99 AM99 AO99 AQ99 AS99 AU99 AU104 AS104 AQ104 AO104 AM104 AI110:AI114 AK110:AK114 AM110:AM114 AO109 AO114 AQ109 AQ114 AS109 AS114 AU109 AU114 AU119 AS119 AQ119 AO119 AM119 AK119 AI119 AI125 AK125 AM125 AO125 AO127 AQ125 AQ127 AS125 AS127 AU125 AU127">
    <cfRule type="colorScale" priority="109">
      <colorScale>
        <cfvo type="min"/>
        <cfvo type="max"/>
        <color rgb="FFFCFCFF"/>
        <color rgb="FFF8696B"/>
      </colorScale>
    </cfRule>
  </conditionalFormatting>
  <conditionalFormatting sqref="AI142 AK142 AM142 AO142 AQ142 AS142 AU142 AU147 AS147 AQ147 AO147 AM147 AI153:AI157 AK153:AK157 AM153:AM157 AO153:AO157 AQ152 AQ157 AS152 AS157 AU152 AU157 AU162 AS162 AQ162 AO162 AM162 AK162 AI162 AI168 AK168 AM168 AO168 AQ168 AS168 AU168 AU170">
    <cfRule type="colorScale" priority="108">
      <colorScale>
        <cfvo type="min"/>
        <cfvo type="max"/>
        <color rgb="FFFCFCFF"/>
        <color rgb="FFF8696B"/>
      </colorScale>
    </cfRule>
  </conditionalFormatting>
  <conditionalFormatting sqref="AI185 AK185 AM185:AM190 AO185 AO190 AQ185:AQ190 AS185 AS190 AU185 AU190 AU196:AU200 AS196:AS200 AQ196:AQ200 AO196:AO200 AM196:AM205 AK196:AK205 AI196:AI205 AI211 AK211 AM211 AO207:AO211 AQ207:AQ211 AS205 AS211 AU211 AU205">
    <cfRule type="colorScale" priority="107">
      <colorScale>
        <cfvo type="min"/>
        <cfvo type="max"/>
        <color rgb="FFFCFCFF"/>
        <color rgb="FFF8696B"/>
      </colorScale>
    </cfRule>
  </conditionalFormatting>
  <conditionalFormatting sqref="AK228 AI228 AM228:AM233 AO228 AO233 AQ228:AQ233 AS228 AS233 AU228:AU233 AU239:AU243 AS239:AS243 AQ239:AQ243 AO239:AO248 AM239:AM248 AK241:AK254 AI241:AI254 AM254 AO254 AQ250:AQ254 AS250:AS254 AU248 AU254">
    <cfRule type="colorScale" priority="106">
      <colorScale>
        <cfvo type="min"/>
        <cfvo type="max"/>
        <color rgb="FFFCFCFF"/>
        <color rgb="FFF8696B"/>
      </colorScale>
    </cfRule>
  </conditionalFormatting>
  <conditionalFormatting sqref="AY228 BA228 BC228:BC233 BE228 BE233 BG228:BG233 BI228 BI233 BK228:BK233 BK239:BK243 BI239:BI243 BG239:BG243 BE239:BE248 BC239:BC248 BA241:BA254 AY241:AY254 BC254 BE254 BG250:BG254 BI250:BI254 BK248 BK254">
    <cfRule type="colorScale" priority="105">
      <colorScale>
        <cfvo type="min"/>
        <cfvo type="max"/>
        <color rgb="FFFCFCFF"/>
        <color rgb="FFF8696B"/>
      </colorScale>
    </cfRule>
  </conditionalFormatting>
  <conditionalFormatting sqref="AY185 BA185 BC185:BC190 BE185 BE190 BG185:BG190 BI185 BI190 BK185:BK190 BK196:BK200 BK205 BK211 BI211 BI205 BI196:BI200 BG196:BG200 BG207:BG211 BE207:BE211 BE196:BE200 BC196:BC205 BA196:BA205 AY196:AY205 AY211 BA211 BC211">
    <cfRule type="colorScale" priority="104">
      <colorScale>
        <cfvo type="min"/>
        <cfvo type="max"/>
        <color rgb="FFFCFCFF"/>
        <color rgb="FFF8696B"/>
      </colorScale>
    </cfRule>
  </conditionalFormatting>
  <conditionalFormatting sqref="BA142 AY142 BC142:BC147 BE142 BE147 BG142:BG147 BI142 BI147 BK142 BK147 BK152 BI152 BI157 BK157 BK162 BI162 BG162 BG153:BG157 BE153:BE157 BE162 BC153:BC162 BA153:BA162 AY153:AY162 AY168 BA168 BC168 BE168 BG168 BI168 BK168">
    <cfRule type="colorScale" priority="103">
      <colorScale>
        <cfvo type="min"/>
        <cfvo type="max"/>
        <color rgb="FFFCFCFF"/>
        <color rgb="FFF8696B"/>
      </colorScale>
    </cfRule>
  </conditionalFormatting>
  <conditionalFormatting sqref="BA99 AY99 BC99 BE99 BG99 BI99 BK99 BC104 BE104 BG104 BI104 BK104 AY110:AY114 BA110:BA114 BC110:BC114 BE110:BE114 BG109 BG114 BI109 BI114 BK109 BK114 BK119 BI119 BG119 BE119 BC120:BC125 BE125 BG125 BI125 BK125 BK127">
    <cfRule type="colorScale" priority="102">
      <colorScale>
        <cfvo type="min"/>
        <cfvo type="max"/>
        <color rgb="FFFCFCFF"/>
        <color rgb="FFF8696B"/>
      </colorScale>
    </cfRule>
  </conditionalFormatting>
  <conditionalFormatting sqref="BA56 AY56 BC56 BE56 BG56 BI56 BK56 BC61 BE61 BG61 BI61 BK61 BK66 BI66 BG66 BE66 BC67:BC71 BA67:BA71 AY67:AY71 AY76 BA76 BC76 BE71 BG71 BI71 BK71 BK76 BI76 BG76 BE76 AY82 BA82 BC82 BE82 BG82 BI82 BK82 BK84 BI84 BG84 BE84">
    <cfRule type="colorScale" priority="101">
      <colorScale>
        <cfvo type="min"/>
        <cfvo type="max"/>
        <color rgb="FFFCFCFF"/>
        <color rgb="FFF8696B"/>
      </colorScale>
    </cfRule>
  </conditionalFormatting>
  <conditionalFormatting sqref="BA13 AY13 BC13 BE13 BG13 BI13 BK13 BC18 BE18 BG18 BI18 BK18 AY24:AY28 BA24:BA28 BC24:BC28 BE23 BE28 BG23 BG28 BI23 BI28 BK23 BK28 BK33 BI33 BG33 BE33 BC33 BA33 AY33 AY39 BA39 BC39 BE39 BG39 BI39 BK39 BK41 BI41 BG41 BE41">
    <cfRule type="colorScale" priority="100">
      <colorScale>
        <cfvo type="min"/>
        <cfvo type="max"/>
        <color rgb="FFFCFCFF"/>
        <color rgb="FFF8696B"/>
      </colorScale>
    </cfRule>
  </conditionalFormatting>
  <conditionalFormatting sqref="BQ13 BO13 BS13 BU13 BW13 BY13 CA13 BO24:BO28 BO33 BO39 BQ39 BQ33 BQ24:BQ28 BS18 BS24:BS28 BS33 BS39 BU41 BU39 BU33 BU28 BU23 BU18 BW18 BW23 BW28 BW33 BW39 BW41 BY41 BY39 BY33 BY28 BY23 BY18 CA18 CA23 CA28 CA33 CA39 CA41">
    <cfRule type="colorScale" priority="99">
      <colorScale>
        <cfvo type="min"/>
        <cfvo type="max"/>
        <color rgb="FFFCFCFF"/>
        <color rgb="FFF8696B"/>
      </colorScale>
    </cfRule>
  </conditionalFormatting>
  <conditionalFormatting sqref="BQ56 BO56 BS56 BU56 BW56 BY56 CA56 CA61 BY61 BW61 BU61 BS61 BO67:BO71 BQ67:BQ71 BS67:BS71 BU67:BU71 BY66 CA66 CA71 BY71 CA76 BY76 BW76 BU76 BS77:BS82 BU82 BW82 BY82 CA82 CA84">
    <cfRule type="colorScale" priority="98">
      <colorScale>
        <cfvo type="min"/>
        <cfvo type="max"/>
        <color rgb="FFFCFCFF"/>
        <color rgb="FFF8696B"/>
      </colorScale>
    </cfRule>
  </conditionalFormatting>
  <conditionalFormatting sqref="BO99 BQ99 BS99:BS104 BU99 BU104 BW99 BW104 BY99 BY104 CA99 CA104 CA109 BY109 BW109 BU110:BU114 BS110:BS114 BQ110:BQ119 BO110:BO119 BO125 BQ125 BS120:BS125 BU119 BU125 BW125 BW119 BW114 BY114 BY119 BY125 CA125 CA119 CA114">
    <cfRule type="colorScale" priority="97">
      <colorScale>
        <cfvo type="min"/>
        <cfvo type="max"/>
        <color rgb="FFFCFCFF"/>
        <color rgb="FFF8696B"/>
      </colorScale>
    </cfRule>
  </conditionalFormatting>
  <conditionalFormatting sqref="BO142 BQ142 BQ153:BQ162 BO153:BO162 BO168 BQ168 BS142:BS147 BS153:BS162 BS168 BU142 BU147 BU153:BU157 BU162 BU168 BW168 BW162 BW153:BW157 BW142:BW147 BY142 BY147 BY152 BY157 BY162 BY168 CA168 CA162 CA157 CA152 CA147 CA142">
    <cfRule type="colorScale" priority="96">
      <colorScale>
        <cfvo type="min"/>
        <cfvo type="max"/>
        <color rgb="FFFCFCFF"/>
        <color rgb="FFF8696B"/>
      </colorScale>
    </cfRule>
  </conditionalFormatting>
  <conditionalFormatting sqref="BQ185 BO185 BS185:BS190 BU185 BU190 BW185:BW190 BY185 BY190 CA185:CA190 CA196:CA200 BY196:BY200 BW196:BW200 BU196:BU200 BS196:BS205 BQ196:BQ205 BO196:BO205 BO211 BQ211 BS211 BU207:BU211 BW207:BW211 BY206:BY211 CA205 CA211">
    <cfRule type="colorScale" priority="95">
      <colorScale>
        <cfvo type="min"/>
        <cfvo type="max"/>
        <color rgb="FFFCFCFF"/>
        <color rgb="FFF8696B"/>
      </colorScale>
    </cfRule>
  </conditionalFormatting>
  <conditionalFormatting sqref="BQ228 BO228 BS228:BS233 BU228:BU233 BW228:BW233 BY228 BY233 CA228:CA233 CA239:CA243 BY239:BY243 BW239:BW243 BU239:BU248 BS241:BS254 BQ241:BQ254 BO241:BO254 BU254 BW248:BW254 BY249:BY254 CA250:CA254">
    <cfRule type="colorScale" priority="94">
      <colorScale>
        <cfvo type="min"/>
        <cfvo type="max"/>
        <color rgb="FFFCFCFF"/>
        <color rgb="FFF8696B"/>
      </colorScale>
    </cfRule>
  </conditionalFormatting>
  <conditionalFormatting sqref="CE185 CG185 CI185:CI190 CK185:CK190 CM185:CM190 CO185 CO190 CQ185:CQ190 CQ196:CQ200 CO196:CO200 CM196:CM200 CK196:CK200 CI196:CI205 CG196:CG205 CE196:CE205 CE211 CG211 CI211 CK205:CK211 CM205:CM211 CO206:CO211 CQ211 CQ205">
    <cfRule type="colorScale" priority="93">
      <colorScale>
        <cfvo type="min"/>
        <cfvo type="max"/>
        <color rgb="FFFCFCFF"/>
        <color rgb="FFF8696B"/>
      </colorScale>
    </cfRule>
  </conditionalFormatting>
  <conditionalFormatting sqref="CE142 CG142 CI142:CI147 CK142 CK147 CM142:CM147 CO142 CO147 CQ142 CQ147 CQ153:CQ157 CO153:CO157 CM153:CM157 CK153:CK157 CI153:CI162 CG153:CG162 CE153:CE162 CE168 CG168 CI168 CK168 CK162 CM162 CM168 CO168 CO162 CQ162 CQ168">
    <cfRule type="colorScale" priority="92">
      <colorScale>
        <cfvo type="min"/>
        <cfvo type="max"/>
        <color rgb="FFFCFCFF"/>
        <color rgb="FFF8696B"/>
      </colorScale>
    </cfRule>
  </conditionalFormatting>
  <conditionalFormatting sqref="CG99 CE99 CI99:CI104 CK99 CK104 CM99 CM104 CO99 CO104 CQ99 CQ104 CQ109 CO109 CM110:CM114 CK110:CK114 CI110:CI114 CG110:CG119 CE110:CE119 CE125 CG125 CI120:CI125 CK119 CK125 CM125 CM119 CO114 CO119 CO125 CQ125 CQ119 CQ114">
    <cfRule type="colorScale" priority="91">
      <colorScale>
        <cfvo type="min"/>
        <cfvo type="max"/>
        <color rgb="FFFCFCFF"/>
        <color rgb="FFF8696B"/>
      </colorScale>
    </cfRule>
  </conditionalFormatting>
  <conditionalFormatting sqref="CG56 CE56 CI56:CI61 CK56 CM56 CO56 CQ56 CQ61 CO61 CM61 CK61 CE67:CE71 CG67:CG71 CI67:CI71 CI77:CI82 CK82 CK67:CK71 CM67:CM71 CM76 CK76 CM82 CO82 CQ82 CQ76 CO76 CO71 CO66 CQ66 CQ71">
    <cfRule type="colorScale" priority="90">
      <colorScale>
        <cfvo type="min"/>
        <cfvo type="max"/>
        <color rgb="FFFCFCFF"/>
        <color rgb="FFF8696B"/>
      </colorScale>
    </cfRule>
  </conditionalFormatting>
  <conditionalFormatting sqref="CE13 CG13 CI13 CK13 CM13 CO13 CQ13 CI18 CK18 CM18 CO18 CQ18 CQ23 CO23 CM23 CK24:CK28 CI24:CI28 CG24:CG28 CE24:CE28 CE33 CG33 CE39 CG39 CI33 CI39 CK33 CK39 CM39 CM33 CM28 CO28 CQ28 CO33 CO39 CQ39 CQ33 CQ41">
    <cfRule type="colorScale" priority="89">
      <colorScale>
        <cfvo type="min"/>
        <cfvo type="max"/>
        <color rgb="FFFCFCFF"/>
        <color rgb="FFF8696B"/>
      </colorScale>
    </cfRule>
  </conditionalFormatting>
  <conditionalFormatting sqref="CU13 CW13 CY13 DA13 DC13 DE13 DG13 DG18 DE18 DC18 DA18 CY18 CW24:CW28 CU24:CU28 CU33 CW33 CY33 CY24:CY28 DA24:DA28 DC28 DC23 DE23 DG23 DG28 DE28 DG33 DE33 DC33 DA33 CU39 CW39 CY39 DA39 DC39 DE39 DG39">
    <cfRule type="colorScale" priority="88">
      <colorScale>
        <cfvo type="min"/>
        <cfvo type="max"/>
        <color rgb="FFFCFCFF"/>
        <color rgb="FFF8696B"/>
      </colorScale>
    </cfRule>
  </conditionalFormatting>
  <conditionalFormatting sqref="CU56 CW56 CY56:CY61 DA56 DA61 DC56 DC61 DE56 DE61 DG56 DG61 DG66 DE66 DC67:DC71 DA67:DA71 CY67:CY71 CW67:CW76 CU67:CU76 CU82 CW82 CY77:CY82 DA82 DA76 DC76 DC82 DE82 DE76 DE71 DG71 DG76 DG82">
    <cfRule type="colorScale" priority="87">
      <colorScale>
        <cfvo type="min"/>
        <cfvo type="max"/>
        <color rgb="FFFCFCFF"/>
        <color rgb="FFF8696B"/>
      </colorScale>
    </cfRule>
  </conditionalFormatting>
  <conditionalFormatting sqref="CU99 CW99 CY99:CY104 DA99 DC99 DE99 DG99 DG104 DE104 DC104 DA104 CU110:CU119 CW110:CW119 CY110:CY114 DA110:DA114 DC110:DC114 DE109 DE114 DG109 DG114 DG119 DE119 DC119 DA119 CU125 CW125 CY120:CY125 DA125 DC125 DE125 DG125">
    <cfRule type="colorScale" priority="86">
      <colorScale>
        <cfvo type="min"/>
        <cfvo type="max"/>
        <color rgb="FFFCFCFF"/>
        <color rgb="FFF8696B"/>
      </colorScale>
    </cfRule>
  </conditionalFormatting>
  <conditionalFormatting sqref="CU142 CW142 CY142:CY147 DA142 DA147 DC142:DC147 DE142 DE147 DG142 DG147 DG153:DG157 DE153:DE157 DC153:DC157 DA153:DA157 CY153:CY162 CW153:CW162 CU153:CU162 CU168 CW168 CY168 DA162:DA168 DC162 DC168 DE162 DE168 DG162 DG168">
    <cfRule type="colorScale" priority="85">
      <colorScale>
        <cfvo type="min"/>
        <cfvo type="max"/>
        <color rgb="FFFCFCFF"/>
        <color rgb="FFF8696B"/>
      </colorScale>
    </cfRule>
  </conditionalFormatting>
  <conditionalFormatting sqref="CU142 CW142 CY142:CY147 DA142 DC142:DC147 DE142 DG142 DG147 DE147 DA147 CU153:CU162 CW153:CW162 CY153:CY162 DA153:DA157 DC153:DC157 DE153:DE157 DG153:DG157 DG162 DE162 DC162 CU168 CW168 CY168 DA162:DA168 DC168 DE168 DG168">
    <cfRule type="colorScale" priority="84">
      <colorScale>
        <cfvo type="min"/>
        <cfvo type="max"/>
        <color rgb="FFFCFCFF"/>
        <color rgb="FFF8696B"/>
      </colorScale>
    </cfRule>
  </conditionalFormatting>
  <conditionalFormatting sqref="CU99 CW99 CY99:CY104 DA99 DC99 DE99 DG99 DG104 DE104 DC104 DA104 CU110:CU119 CW110:CW119 CY110:CY114 DA110:DA114 DC110:DC114 DE109 DE114 DG109 DG114 DG119 DE119 DC119 DA119 CU125 CW125 CY120:CY125 DA125 DC125 DE125 DG125">
    <cfRule type="colorScale" priority="83">
      <colorScale>
        <cfvo type="min"/>
        <cfvo type="max"/>
        <color rgb="FFFCFCFF"/>
        <color rgb="FFF8696B"/>
      </colorScale>
    </cfRule>
  </conditionalFormatting>
  <conditionalFormatting sqref="CU67:CU76 CU56 CW56 CW67:CW76 CY56:CY61 CY67:CY71 CY77:CY82 DA56 DA61 DA67:DA71 DA76 DA82 DC82 DC76 DC67:DC71 DC61 DC56 DE56 DE61 DE66 DE71 DE76 DE82 DG82 DG76 DG71 DG66 DG61 DG56 CU82 CW82">
    <cfRule type="colorScale" priority="82">
      <colorScale>
        <cfvo type="min"/>
        <cfvo type="max"/>
        <color rgb="FFFCFCFF"/>
        <color rgb="FFF8696B"/>
      </colorScale>
    </cfRule>
  </conditionalFormatting>
  <conditionalFormatting sqref="CU13 CW13 CY13 DA13 DC13 DE13 DG13 DG18 DE18 DC18 DA18 CY18 CU24:CU28 CW24:CW28 CY24:CY28 DA24:DA28 DC23 DC28 DE23 DE28 DG23 DG28 DG33 DE33 DC33 DA33 CY33 CW33 CU33 CU39 CW39 CY39 DA39 DC39 DE39 DG39">
    <cfRule type="colorScale" priority="81">
      <colorScale>
        <cfvo type="min"/>
        <cfvo type="max"/>
        <color rgb="FFFCFCFF"/>
        <color rgb="FFF8696B"/>
      </colorScale>
    </cfRule>
  </conditionalFormatting>
  <conditionalFormatting sqref="DK13 DM13 DO13 DQ13 DS13 DU13 DW13 DK24:DK33 DM24:DM33 DK39 DM39 DO39 DO33 DO24:DO28 DO18 DQ18 DS18 DU18 DW18 DW23 DU23 DS24:DS28 DQ24:DQ28 DQ33 DS33 DU28 DW28 DW33 DU33 DQ39 DS39 DU39 DW39">
    <cfRule type="colorScale" priority="80">
      <colorScale>
        <cfvo type="min"/>
        <cfvo type="max"/>
        <color rgb="FFFCFCFF"/>
        <color rgb="FFF8696B"/>
      </colorScale>
    </cfRule>
  </conditionalFormatting>
  <conditionalFormatting sqref="DM56 DK56 DO56:DO61 DQ56 DS56 DU56 DW56 DK67:DK76 DM67:DM76 DO67:DO71 DQ61 DS61 DU61 DW61 DQ67:DQ71 DS67:DS71 DU66 DW66 DU71 DW71 DW76 DU76 DS76 DQ76 DO77:DO82 DM82 DK82 DQ82 DS82 DU82 DW82">
    <cfRule type="colorScale" priority="79">
      <colorScale>
        <cfvo type="min"/>
        <cfvo type="max"/>
        <color rgb="FFFCFCFF"/>
        <color rgb="FFF8696B"/>
      </colorScale>
    </cfRule>
  </conditionalFormatting>
  <conditionalFormatting sqref="DK99 DM99 DO99:DO104 DQ99 DS99 DU99 DW99 DQ104 DS104 DU104 DW104 DW109 DU109 DS110:DS114 DQ110:DQ114 DO110:DO114 DM110:DM119 DK110:DK119 DK125 DM125 DO120:DO125 DQ119:DQ125 DS119 DS125 DU125 DU119 DU114 DW114 DW119 DW125">
    <cfRule type="colorScale" priority="78">
      <colorScale>
        <cfvo type="min"/>
        <cfvo type="max"/>
        <color rgb="FFFCFCFF"/>
        <color rgb="FFF8696B"/>
      </colorScale>
    </cfRule>
  </conditionalFormatting>
  <conditionalFormatting sqref="EC56 EA56 EE56:EE61 EG56 EI56 EK56 EM56 EM61 EK61 EI61 EG61 EA67:EA76 EC67:EC76 EE67:EE71 EG67:EG71 EI67:EI71 EK66 EM66 EM71 EK71 EA82 EC82 EE77:EE82 EG76:EG82 EI76 EI82 EK82 EK76 EM76 EM82">
    <cfRule type="colorScale" priority="77">
      <colorScale>
        <cfvo type="min"/>
        <cfvo type="max"/>
        <color rgb="FFFCFCFF"/>
        <color rgb="FFF8696B"/>
      </colorScale>
    </cfRule>
  </conditionalFormatting>
  <conditionalFormatting sqref="EA13 EC13 EE13 EG13 EI13 EK13 EM13 EM18 EK18 EI18 EG18 EE18 EA24:EA33 EC24:EC33 EE24:EE28 EG24:EG28 EI24:EI28 EK23 EM23 EM28 EK28 EM33 EK33 EI33 EG33 EE33 EA39 EC39 EE39 EG39 EI39 EK39 EM39">
    <cfRule type="colorScale" priority="76">
      <colorScale>
        <cfvo type="min"/>
        <cfvo type="max"/>
        <color rgb="FFFCFCFF"/>
        <color rgb="FFF8696B"/>
      </colorScale>
    </cfRule>
  </conditionalFormatting>
  <conditionalFormatting sqref="BA120">
    <cfRule type="colorScale" priority="75">
      <colorScale>
        <cfvo type="min"/>
        <cfvo type="percentile" val="50"/>
        <cfvo type="max"/>
        <color rgb="FFF8696B"/>
        <color rgb="FFFFEB84"/>
        <color rgb="FF63BE7B"/>
      </colorScale>
    </cfRule>
  </conditionalFormatting>
  <conditionalFormatting sqref="BA120">
    <cfRule type="colorScale" priority="74">
      <colorScale>
        <cfvo type="min"/>
        <cfvo type="percentile" val="50"/>
        <cfvo type="max"/>
        <color rgb="FF63BE7B"/>
        <color rgb="FFFFEB84"/>
        <color rgb="FFF8696B"/>
      </colorScale>
    </cfRule>
  </conditionalFormatting>
  <conditionalFormatting sqref="BA120">
    <cfRule type="colorScale" priority="71">
      <colorScale>
        <cfvo type="min"/>
        <cfvo type="max"/>
        <color rgb="FFFCFCFF"/>
        <color rgb="FFF8696B"/>
      </colorScale>
    </cfRule>
    <cfRule type="colorScale" priority="73">
      <colorScale>
        <cfvo type="min"/>
        <cfvo type="percentile" val="50"/>
        <cfvo type="max"/>
        <color rgb="FF63BE7B"/>
        <color rgb="FFFFEB84"/>
        <color rgb="FFF8696B"/>
      </colorScale>
    </cfRule>
  </conditionalFormatting>
  <conditionalFormatting sqref="BA120">
    <cfRule type="colorScale" priority="72">
      <colorScale>
        <cfvo type="min"/>
        <cfvo type="max"/>
        <color rgb="FFF8696B"/>
        <color rgb="FFFCFCFF"/>
      </colorScale>
    </cfRule>
  </conditionalFormatting>
  <conditionalFormatting sqref="BA120">
    <cfRule type="colorScale" priority="70">
      <colorScale>
        <cfvo type="min"/>
        <cfvo type="percentile" val="50"/>
        <cfvo type="max"/>
        <color rgb="FFF8696B"/>
        <color rgb="FFFFEB84"/>
        <color rgb="FF63BE7B"/>
      </colorScale>
    </cfRule>
  </conditionalFormatting>
  <conditionalFormatting sqref="BA120">
    <cfRule type="colorScale" priority="69">
      <colorScale>
        <cfvo type="min"/>
        <cfvo type="max"/>
        <color rgb="FFFCFCFF"/>
        <color rgb="FFF8696B"/>
      </colorScale>
    </cfRule>
  </conditionalFormatting>
  <conditionalFormatting sqref="BA120">
    <cfRule type="colorScale" priority="68">
      <colorScale>
        <cfvo type="min"/>
        <cfvo type="max"/>
        <color rgb="FFFCFCFF"/>
        <color rgb="FFF8696B"/>
      </colorScale>
    </cfRule>
  </conditionalFormatting>
  <conditionalFormatting sqref="BA120">
    <cfRule type="colorScale" priority="67">
      <colorScale>
        <cfvo type="min"/>
        <cfvo type="max"/>
        <color rgb="FFFCFCFF"/>
        <color rgb="FFF8696B"/>
      </colorScale>
    </cfRule>
  </conditionalFormatting>
  <conditionalFormatting sqref="BA120">
    <cfRule type="colorScale" priority="66">
      <colorScale>
        <cfvo type="min"/>
        <cfvo type="max"/>
        <color rgb="FFFCFCFF"/>
        <color rgb="FFF8696B"/>
      </colorScale>
    </cfRule>
  </conditionalFormatting>
  <conditionalFormatting sqref="BA120:BA125">
    <cfRule type="colorScale" priority="65">
      <colorScale>
        <cfvo type="min"/>
        <cfvo type="max"/>
        <color rgb="FFFCFCFF"/>
        <color rgb="FFF8696B"/>
      </colorScale>
    </cfRule>
  </conditionalFormatting>
  <conditionalFormatting sqref="AY120">
    <cfRule type="colorScale" priority="64">
      <colorScale>
        <cfvo type="min"/>
        <cfvo type="percentile" val="50"/>
        <cfvo type="max"/>
        <color rgb="FFF8696B"/>
        <color rgb="FFFFEB84"/>
        <color rgb="FF63BE7B"/>
      </colorScale>
    </cfRule>
  </conditionalFormatting>
  <conditionalFormatting sqref="AY120">
    <cfRule type="colorScale" priority="63">
      <colorScale>
        <cfvo type="min"/>
        <cfvo type="percentile" val="50"/>
        <cfvo type="max"/>
        <color rgb="FF63BE7B"/>
        <color rgb="FFFFEB84"/>
        <color rgb="FFF8696B"/>
      </colorScale>
    </cfRule>
  </conditionalFormatting>
  <conditionalFormatting sqref="AY120">
    <cfRule type="colorScale" priority="60">
      <colorScale>
        <cfvo type="min"/>
        <cfvo type="max"/>
        <color rgb="FFFCFCFF"/>
        <color rgb="FFF8696B"/>
      </colorScale>
    </cfRule>
    <cfRule type="colorScale" priority="62">
      <colorScale>
        <cfvo type="min"/>
        <cfvo type="percentile" val="50"/>
        <cfvo type="max"/>
        <color rgb="FF63BE7B"/>
        <color rgb="FFFFEB84"/>
        <color rgb="FFF8696B"/>
      </colorScale>
    </cfRule>
  </conditionalFormatting>
  <conditionalFormatting sqref="AY120">
    <cfRule type="colorScale" priority="61">
      <colorScale>
        <cfvo type="min"/>
        <cfvo type="max"/>
        <color rgb="FFF8696B"/>
        <color rgb="FFFCFCFF"/>
      </colorScale>
    </cfRule>
  </conditionalFormatting>
  <conditionalFormatting sqref="AY120">
    <cfRule type="colorScale" priority="59">
      <colorScale>
        <cfvo type="min"/>
        <cfvo type="percentile" val="50"/>
        <cfvo type="max"/>
        <color rgb="FFF8696B"/>
        <color rgb="FFFFEB84"/>
        <color rgb="FF63BE7B"/>
      </colorScale>
    </cfRule>
  </conditionalFormatting>
  <conditionalFormatting sqref="AY120">
    <cfRule type="colorScale" priority="58">
      <colorScale>
        <cfvo type="min"/>
        <cfvo type="max"/>
        <color rgb="FFFCFCFF"/>
        <color rgb="FFF8696B"/>
      </colorScale>
    </cfRule>
  </conditionalFormatting>
  <conditionalFormatting sqref="AY120">
    <cfRule type="colorScale" priority="57">
      <colorScale>
        <cfvo type="min"/>
        <cfvo type="max"/>
        <color rgb="FFFCFCFF"/>
        <color rgb="FFF8696B"/>
      </colorScale>
    </cfRule>
  </conditionalFormatting>
  <conditionalFormatting sqref="AY120">
    <cfRule type="colorScale" priority="56">
      <colorScale>
        <cfvo type="min"/>
        <cfvo type="max"/>
        <color rgb="FFFCFCFF"/>
        <color rgb="FFF8696B"/>
      </colorScale>
    </cfRule>
  </conditionalFormatting>
  <conditionalFormatting sqref="AY120">
    <cfRule type="colorScale" priority="55">
      <colorScale>
        <cfvo type="min"/>
        <cfvo type="max"/>
        <color rgb="FFFCFCFF"/>
        <color rgb="FFF8696B"/>
      </colorScale>
    </cfRule>
  </conditionalFormatting>
  <conditionalFormatting sqref="AY120:AY125">
    <cfRule type="colorScale" priority="54">
      <colorScale>
        <cfvo type="min"/>
        <cfvo type="max"/>
        <color rgb="FFFCFCFF"/>
        <color rgb="FFF8696B"/>
      </colorScale>
    </cfRule>
  </conditionalFormatting>
  <conditionalFormatting sqref="BQ77">
    <cfRule type="colorScale" priority="53">
      <colorScale>
        <cfvo type="min"/>
        <cfvo type="percentile" val="50"/>
        <cfvo type="max"/>
        <color rgb="FFF8696B"/>
        <color rgb="FFFFEB84"/>
        <color rgb="FF63BE7B"/>
      </colorScale>
    </cfRule>
  </conditionalFormatting>
  <conditionalFormatting sqref="BQ77">
    <cfRule type="colorScale" priority="52">
      <colorScale>
        <cfvo type="min"/>
        <cfvo type="percentile" val="50"/>
        <cfvo type="max"/>
        <color rgb="FF63BE7B"/>
        <color rgb="FFFFEB84"/>
        <color rgb="FFF8696B"/>
      </colorScale>
    </cfRule>
  </conditionalFormatting>
  <conditionalFormatting sqref="BQ77">
    <cfRule type="colorScale" priority="49">
      <colorScale>
        <cfvo type="min"/>
        <cfvo type="max"/>
        <color rgb="FFFCFCFF"/>
        <color rgb="FFF8696B"/>
      </colorScale>
    </cfRule>
    <cfRule type="colorScale" priority="51">
      <colorScale>
        <cfvo type="min"/>
        <cfvo type="percentile" val="50"/>
        <cfvo type="max"/>
        <color rgb="FF63BE7B"/>
        <color rgb="FFFFEB84"/>
        <color rgb="FFF8696B"/>
      </colorScale>
    </cfRule>
  </conditionalFormatting>
  <conditionalFormatting sqref="BQ77">
    <cfRule type="colorScale" priority="50">
      <colorScale>
        <cfvo type="min"/>
        <cfvo type="max"/>
        <color rgb="FFF8696B"/>
        <color rgb="FFFCFCFF"/>
      </colorScale>
    </cfRule>
  </conditionalFormatting>
  <conditionalFormatting sqref="BQ77">
    <cfRule type="colorScale" priority="48">
      <colorScale>
        <cfvo type="min"/>
        <cfvo type="percentile" val="50"/>
        <cfvo type="max"/>
        <color rgb="FFF8696B"/>
        <color rgb="FFFFEB84"/>
        <color rgb="FF63BE7B"/>
      </colorScale>
    </cfRule>
  </conditionalFormatting>
  <conditionalFormatting sqref="BQ77">
    <cfRule type="colorScale" priority="47">
      <colorScale>
        <cfvo type="min"/>
        <cfvo type="max"/>
        <color rgb="FFFCFCFF"/>
        <color rgb="FFF8696B"/>
      </colorScale>
    </cfRule>
  </conditionalFormatting>
  <conditionalFormatting sqref="BQ77">
    <cfRule type="colorScale" priority="46">
      <colorScale>
        <cfvo type="min"/>
        <cfvo type="max"/>
        <color rgb="FFFCFCFF"/>
        <color rgb="FFF8696B"/>
      </colorScale>
    </cfRule>
  </conditionalFormatting>
  <conditionalFormatting sqref="BQ77">
    <cfRule type="colorScale" priority="45">
      <colorScale>
        <cfvo type="min"/>
        <cfvo type="max"/>
        <color rgb="FFFCFCFF"/>
        <color rgb="FFF8696B"/>
      </colorScale>
    </cfRule>
  </conditionalFormatting>
  <conditionalFormatting sqref="BQ77">
    <cfRule type="colorScale" priority="44">
      <colorScale>
        <cfvo type="min"/>
        <cfvo type="max"/>
        <color rgb="FFFCFCFF"/>
        <color rgb="FFF8696B"/>
      </colorScale>
    </cfRule>
  </conditionalFormatting>
  <conditionalFormatting sqref="BQ77:BQ82">
    <cfRule type="colorScale" priority="43">
      <colorScale>
        <cfvo type="min"/>
        <cfvo type="max"/>
        <color rgb="FFFCFCFF"/>
        <color rgb="FFF8696B"/>
      </colorScale>
    </cfRule>
  </conditionalFormatting>
  <conditionalFormatting sqref="BO77">
    <cfRule type="colorScale" priority="42">
      <colorScale>
        <cfvo type="min"/>
        <cfvo type="percentile" val="50"/>
        <cfvo type="max"/>
        <color rgb="FFF8696B"/>
        <color rgb="FFFFEB84"/>
        <color rgb="FF63BE7B"/>
      </colorScale>
    </cfRule>
  </conditionalFormatting>
  <conditionalFormatting sqref="BO77">
    <cfRule type="colorScale" priority="41">
      <colorScale>
        <cfvo type="min"/>
        <cfvo type="percentile" val="50"/>
        <cfvo type="max"/>
        <color rgb="FF63BE7B"/>
        <color rgb="FFFFEB84"/>
        <color rgb="FFF8696B"/>
      </colorScale>
    </cfRule>
  </conditionalFormatting>
  <conditionalFormatting sqref="BO77">
    <cfRule type="colorScale" priority="38">
      <colorScale>
        <cfvo type="min"/>
        <cfvo type="max"/>
        <color rgb="FFFCFCFF"/>
        <color rgb="FFF8696B"/>
      </colorScale>
    </cfRule>
    <cfRule type="colorScale" priority="40">
      <colorScale>
        <cfvo type="min"/>
        <cfvo type="percentile" val="50"/>
        <cfvo type="max"/>
        <color rgb="FF63BE7B"/>
        <color rgb="FFFFEB84"/>
        <color rgb="FFF8696B"/>
      </colorScale>
    </cfRule>
  </conditionalFormatting>
  <conditionalFormatting sqref="BO77">
    <cfRule type="colorScale" priority="39">
      <colorScale>
        <cfvo type="min"/>
        <cfvo type="max"/>
        <color rgb="FFF8696B"/>
        <color rgb="FFFCFCFF"/>
      </colorScale>
    </cfRule>
  </conditionalFormatting>
  <conditionalFormatting sqref="BO77">
    <cfRule type="colorScale" priority="37">
      <colorScale>
        <cfvo type="min"/>
        <cfvo type="percentile" val="50"/>
        <cfvo type="max"/>
        <color rgb="FFF8696B"/>
        <color rgb="FFFFEB84"/>
        <color rgb="FF63BE7B"/>
      </colorScale>
    </cfRule>
  </conditionalFormatting>
  <conditionalFormatting sqref="BO77">
    <cfRule type="colorScale" priority="36">
      <colorScale>
        <cfvo type="min"/>
        <cfvo type="max"/>
        <color rgb="FFFCFCFF"/>
        <color rgb="FFF8696B"/>
      </colorScale>
    </cfRule>
  </conditionalFormatting>
  <conditionalFormatting sqref="BO77">
    <cfRule type="colorScale" priority="35">
      <colorScale>
        <cfvo type="min"/>
        <cfvo type="max"/>
        <color rgb="FFFCFCFF"/>
        <color rgb="FFF8696B"/>
      </colorScale>
    </cfRule>
  </conditionalFormatting>
  <conditionalFormatting sqref="BO77">
    <cfRule type="colorScale" priority="34">
      <colorScale>
        <cfvo type="min"/>
        <cfvo type="max"/>
        <color rgb="FFFCFCFF"/>
        <color rgb="FFF8696B"/>
      </colorScale>
    </cfRule>
  </conditionalFormatting>
  <conditionalFormatting sqref="BO77">
    <cfRule type="colorScale" priority="33">
      <colorScale>
        <cfvo type="min"/>
        <cfvo type="max"/>
        <color rgb="FFFCFCFF"/>
        <color rgb="FFF8696B"/>
      </colorScale>
    </cfRule>
  </conditionalFormatting>
  <conditionalFormatting sqref="BO77:BO82">
    <cfRule type="colorScale" priority="32">
      <colorScale>
        <cfvo type="min"/>
        <cfvo type="max"/>
        <color rgb="FFFCFCFF"/>
        <color rgb="FFF8696B"/>
      </colorScale>
    </cfRule>
  </conditionalFormatting>
  <conditionalFormatting sqref="BW71 BW66">
    <cfRule type="colorScale" priority="31">
      <colorScale>
        <cfvo type="min"/>
        <cfvo type="percentile" val="50"/>
        <cfvo type="max"/>
        <color rgb="FFF8696B"/>
        <color rgb="FFFFEB84"/>
        <color rgb="FF63BE7B"/>
      </colorScale>
    </cfRule>
  </conditionalFormatting>
  <conditionalFormatting sqref="BW71 BW66">
    <cfRule type="colorScale" priority="30">
      <colorScale>
        <cfvo type="min"/>
        <cfvo type="percentile" val="50"/>
        <cfvo type="max"/>
        <color rgb="FF63BE7B"/>
        <color rgb="FFFFEB84"/>
        <color rgb="FFF8696B"/>
      </colorScale>
    </cfRule>
  </conditionalFormatting>
  <conditionalFormatting sqref="BW66 BW71">
    <cfRule type="colorScale" priority="27">
      <colorScale>
        <cfvo type="min"/>
        <cfvo type="max"/>
        <color rgb="FFFCFCFF"/>
        <color rgb="FFF8696B"/>
      </colorScale>
    </cfRule>
    <cfRule type="colorScale" priority="29">
      <colorScale>
        <cfvo type="min"/>
        <cfvo type="percentile" val="50"/>
        <cfvo type="max"/>
        <color rgb="FF63BE7B"/>
        <color rgb="FFFFEB84"/>
        <color rgb="FFF8696B"/>
      </colorScale>
    </cfRule>
  </conditionalFormatting>
  <conditionalFormatting sqref="BW71 BW66">
    <cfRule type="colorScale" priority="28">
      <colorScale>
        <cfvo type="min"/>
        <cfvo type="max"/>
        <color rgb="FFF8696B"/>
        <color rgb="FFFCFCFF"/>
      </colorScale>
    </cfRule>
  </conditionalFormatting>
  <conditionalFormatting sqref="BW66">
    <cfRule type="colorScale" priority="26">
      <colorScale>
        <cfvo type="min"/>
        <cfvo type="percentile" val="50"/>
        <cfvo type="max"/>
        <color rgb="FFF8696B"/>
        <color rgb="FFFFEB84"/>
        <color rgb="FF63BE7B"/>
      </colorScale>
    </cfRule>
  </conditionalFormatting>
  <conditionalFormatting sqref="BW71">
    <cfRule type="colorScale" priority="25">
      <colorScale>
        <cfvo type="min"/>
        <cfvo type="percentile" val="50"/>
        <cfvo type="max"/>
        <color rgb="FFF8696B"/>
        <color rgb="FFFFEB84"/>
        <color rgb="FF63BE7B"/>
      </colorScale>
    </cfRule>
  </conditionalFormatting>
  <conditionalFormatting sqref="BW71 BW66">
    <cfRule type="colorScale" priority="24">
      <colorScale>
        <cfvo type="min"/>
        <cfvo type="max"/>
        <color rgb="FFFCFCFF"/>
        <color rgb="FFF8696B"/>
      </colorScale>
    </cfRule>
  </conditionalFormatting>
  <conditionalFormatting sqref="BW71 BW66">
    <cfRule type="colorScale" priority="23">
      <colorScale>
        <cfvo type="min"/>
        <cfvo type="max"/>
        <color rgb="FFFCFCFF"/>
        <color rgb="FFF8696B"/>
      </colorScale>
    </cfRule>
  </conditionalFormatting>
  <conditionalFormatting sqref="CG77">
    <cfRule type="colorScale" priority="22">
      <colorScale>
        <cfvo type="min"/>
        <cfvo type="percentile" val="50"/>
        <cfvo type="max"/>
        <color rgb="FFF8696B"/>
        <color rgb="FFFFEB84"/>
        <color rgb="FF63BE7B"/>
      </colorScale>
    </cfRule>
  </conditionalFormatting>
  <conditionalFormatting sqref="CG77">
    <cfRule type="colorScale" priority="21">
      <colorScale>
        <cfvo type="min"/>
        <cfvo type="percentile" val="50"/>
        <cfvo type="max"/>
        <color rgb="FF63BE7B"/>
        <color rgb="FFFFEB84"/>
        <color rgb="FFF8696B"/>
      </colorScale>
    </cfRule>
  </conditionalFormatting>
  <conditionalFormatting sqref="CG77">
    <cfRule type="colorScale" priority="18">
      <colorScale>
        <cfvo type="min"/>
        <cfvo type="max"/>
        <color rgb="FFFCFCFF"/>
        <color rgb="FFF8696B"/>
      </colorScale>
    </cfRule>
    <cfRule type="colorScale" priority="20">
      <colorScale>
        <cfvo type="min"/>
        <cfvo type="percentile" val="50"/>
        <cfvo type="max"/>
        <color rgb="FF63BE7B"/>
        <color rgb="FFFFEB84"/>
        <color rgb="FFF8696B"/>
      </colorScale>
    </cfRule>
  </conditionalFormatting>
  <conditionalFormatting sqref="CG77">
    <cfRule type="colorScale" priority="19">
      <colorScale>
        <cfvo type="min"/>
        <cfvo type="max"/>
        <color rgb="FFF8696B"/>
        <color rgb="FFFCFCFF"/>
      </colorScale>
    </cfRule>
  </conditionalFormatting>
  <conditionalFormatting sqref="CG77">
    <cfRule type="colorScale" priority="17">
      <colorScale>
        <cfvo type="min"/>
        <cfvo type="percentile" val="50"/>
        <cfvo type="max"/>
        <color rgb="FFF8696B"/>
        <color rgb="FFFFEB84"/>
        <color rgb="FF63BE7B"/>
      </colorScale>
    </cfRule>
  </conditionalFormatting>
  <conditionalFormatting sqref="CG77">
    <cfRule type="colorScale" priority="16">
      <colorScale>
        <cfvo type="min"/>
        <cfvo type="max"/>
        <color rgb="FFFCFCFF"/>
        <color rgb="FFF8696B"/>
      </colorScale>
    </cfRule>
  </conditionalFormatting>
  <conditionalFormatting sqref="CG77">
    <cfRule type="colorScale" priority="15">
      <colorScale>
        <cfvo type="min"/>
        <cfvo type="max"/>
        <color rgb="FFFCFCFF"/>
        <color rgb="FFF8696B"/>
      </colorScale>
    </cfRule>
  </conditionalFormatting>
  <conditionalFormatting sqref="CG77">
    <cfRule type="colorScale" priority="14">
      <colorScale>
        <cfvo type="min"/>
        <cfvo type="max"/>
        <color rgb="FFFCFCFF"/>
        <color rgb="FFF8696B"/>
      </colorScale>
    </cfRule>
  </conditionalFormatting>
  <conditionalFormatting sqref="CG77">
    <cfRule type="colorScale" priority="13">
      <colorScale>
        <cfvo type="min"/>
        <cfvo type="max"/>
        <color rgb="FFFCFCFF"/>
        <color rgb="FFF8696B"/>
      </colorScale>
    </cfRule>
  </conditionalFormatting>
  <conditionalFormatting sqref="CG77:CG82">
    <cfRule type="colorScale" priority="12">
      <colorScale>
        <cfvo type="min"/>
        <cfvo type="max"/>
        <color rgb="FFFCFCFF"/>
        <color rgb="FFF8696B"/>
      </colorScale>
    </cfRule>
  </conditionalFormatting>
  <conditionalFormatting sqref="CE77">
    <cfRule type="colorScale" priority="11">
      <colorScale>
        <cfvo type="min"/>
        <cfvo type="percentile" val="50"/>
        <cfvo type="max"/>
        <color rgb="FFF8696B"/>
        <color rgb="FFFFEB84"/>
        <color rgb="FF63BE7B"/>
      </colorScale>
    </cfRule>
  </conditionalFormatting>
  <conditionalFormatting sqref="CE77">
    <cfRule type="colorScale" priority="10">
      <colorScale>
        <cfvo type="min"/>
        <cfvo type="percentile" val="50"/>
        <cfvo type="max"/>
        <color rgb="FF63BE7B"/>
        <color rgb="FFFFEB84"/>
        <color rgb="FFF8696B"/>
      </colorScale>
    </cfRule>
  </conditionalFormatting>
  <conditionalFormatting sqref="CE77">
    <cfRule type="colorScale" priority="7">
      <colorScale>
        <cfvo type="min"/>
        <cfvo type="max"/>
        <color rgb="FFFCFCFF"/>
        <color rgb="FFF8696B"/>
      </colorScale>
    </cfRule>
    <cfRule type="colorScale" priority="9">
      <colorScale>
        <cfvo type="min"/>
        <cfvo type="percentile" val="50"/>
        <cfvo type="max"/>
        <color rgb="FF63BE7B"/>
        <color rgb="FFFFEB84"/>
        <color rgb="FFF8696B"/>
      </colorScale>
    </cfRule>
  </conditionalFormatting>
  <conditionalFormatting sqref="CE77">
    <cfRule type="colorScale" priority="8">
      <colorScale>
        <cfvo type="min"/>
        <cfvo type="max"/>
        <color rgb="FFF8696B"/>
        <color rgb="FFFCFCFF"/>
      </colorScale>
    </cfRule>
  </conditionalFormatting>
  <conditionalFormatting sqref="CE77">
    <cfRule type="colorScale" priority="6">
      <colorScale>
        <cfvo type="min"/>
        <cfvo type="percentile" val="50"/>
        <cfvo type="max"/>
        <color rgb="FFF8696B"/>
        <color rgb="FFFFEB84"/>
        <color rgb="FF63BE7B"/>
      </colorScale>
    </cfRule>
  </conditionalFormatting>
  <conditionalFormatting sqref="CE77">
    <cfRule type="colorScale" priority="5">
      <colorScale>
        <cfvo type="min"/>
        <cfvo type="max"/>
        <color rgb="FFFCFCFF"/>
        <color rgb="FFF8696B"/>
      </colorScale>
    </cfRule>
  </conditionalFormatting>
  <conditionalFormatting sqref="CE77">
    <cfRule type="colorScale" priority="4">
      <colorScale>
        <cfvo type="min"/>
        <cfvo type="max"/>
        <color rgb="FFFCFCFF"/>
        <color rgb="FFF8696B"/>
      </colorScale>
    </cfRule>
  </conditionalFormatting>
  <conditionalFormatting sqref="CE77">
    <cfRule type="colorScale" priority="3">
      <colorScale>
        <cfvo type="min"/>
        <cfvo type="max"/>
        <color rgb="FFFCFCFF"/>
        <color rgb="FFF8696B"/>
      </colorScale>
    </cfRule>
  </conditionalFormatting>
  <conditionalFormatting sqref="CE77">
    <cfRule type="colorScale" priority="2">
      <colorScale>
        <cfvo type="min"/>
        <cfvo type="max"/>
        <color rgb="FFFCFCFF"/>
        <color rgb="FFF8696B"/>
      </colorScale>
    </cfRule>
  </conditionalFormatting>
  <conditionalFormatting sqref="CE77:CE82">
    <cfRule type="colorScale" priority="1">
      <colorScale>
        <cfvo type="min"/>
        <cfvo type="max"/>
        <color rgb="FFFCFCFF"/>
        <color rgb="FFF8696B"/>
      </colorScale>
    </cfRule>
  </conditionalFormatting>
  <printOptions horizontalCentered="1" verticalCentered="1"/>
  <pageMargins left="0.25" right="0.25" top="0.75" bottom="0.75" header="0.3" footer="0.3"/>
  <pageSetup paperSize="8" scale="63"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9999"/>
    <pageSetUpPr fitToPage="1"/>
  </sheetPr>
  <dimension ref="A2:S386"/>
  <sheetViews>
    <sheetView topLeftCell="A4" zoomScale="70" zoomScaleNormal="70" workbookViewId="0">
      <selection activeCell="AU17" sqref="AU17"/>
    </sheetView>
  </sheetViews>
  <sheetFormatPr baseColWidth="10" defaultColWidth="12.5" defaultRowHeight="17"/>
  <cols>
    <col min="1" max="1" width="18" style="931" customWidth="1"/>
    <col min="2" max="16384" width="12.5" style="931"/>
  </cols>
  <sheetData>
    <row r="2" spans="1:9" ht="15.75" customHeight="1" thickBot="1"/>
    <row r="3" spans="1:9" ht="15.75" customHeight="1" thickBot="1">
      <c r="A3" s="1387" t="s">
        <v>1275</v>
      </c>
      <c r="B3" s="1388"/>
      <c r="C3" s="1058" t="s">
        <v>1474</v>
      </c>
      <c r="D3" s="1058" t="s">
        <v>1475</v>
      </c>
      <c r="E3" s="1058" t="s">
        <v>1476</v>
      </c>
      <c r="F3" s="1058" t="s">
        <v>1477</v>
      </c>
      <c r="G3" s="1058" t="s">
        <v>1478</v>
      </c>
      <c r="H3" s="1058" t="s">
        <v>1479</v>
      </c>
      <c r="I3" s="1058" t="s">
        <v>1480</v>
      </c>
    </row>
    <row r="4" spans="1:9" ht="15.75" customHeight="1">
      <c r="A4" s="1371" t="s">
        <v>2055</v>
      </c>
      <c r="B4" s="1372"/>
      <c r="C4" s="1054">
        <f>Wohnungsausnutzung!$C$43</f>
        <v>36.014999999999993</v>
      </c>
      <c r="D4" s="1054">
        <f>Wohnungsausnutzung!E43</f>
        <v>18.007499999999997</v>
      </c>
      <c r="E4" s="1054">
        <f>Wohnungsausnutzung!G43</f>
        <v>22.009166666666662</v>
      </c>
      <c r="F4" s="1054">
        <f>Wohnungsausnutzung!I43</f>
        <v>18.007499999999997</v>
      </c>
      <c r="G4" s="1054">
        <f>Wohnungsausnutzung!K43</f>
        <v>19.207999999999995</v>
      </c>
      <c r="H4" s="1054" t="str">
        <f>Wohnungsausnutzung!M43</f>
        <v>-</v>
      </c>
      <c r="I4" s="1056" t="str">
        <f>Wohnungsausnutzung!O43</f>
        <v>-</v>
      </c>
    </row>
    <row r="5" spans="1:9" ht="15.75" customHeight="1">
      <c r="A5" s="1373" t="s">
        <v>2056</v>
      </c>
      <c r="B5" s="1374"/>
      <c r="C5" s="1054">
        <f>Wohnungsausnutzung!C86</f>
        <v>42.134999999999998</v>
      </c>
      <c r="D5" s="1054">
        <f>Wohnungsausnutzung!E86</f>
        <v>21.067499999999999</v>
      </c>
      <c r="E5" s="1054">
        <f>Wohnungsausnutzung!G86</f>
        <v>21.067499999999999</v>
      </c>
      <c r="F5" s="1054">
        <f>Wohnungsausnutzung!I86</f>
        <v>21.067499999999999</v>
      </c>
      <c r="G5" s="1054">
        <f>Wohnungsausnutzung!K86</f>
        <v>22.472000000000001</v>
      </c>
      <c r="H5" s="1054">
        <f>Wohnungsausnutzung!M86</f>
        <v>22.472000000000001</v>
      </c>
      <c r="I5" s="1056">
        <f>Wohnungsausnutzung!O86</f>
        <v>26.685500000000001</v>
      </c>
    </row>
    <row r="6" spans="1:9" ht="15.75" customHeight="1">
      <c r="A6" s="1373" t="s">
        <v>2057</v>
      </c>
      <c r="B6" s="1374"/>
      <c r="C6" s="1054">
        <f>Wohnungsausnutzung!C129</f>
        <v>39.199999999999996</v>
      </c>
      <c r="D6" s="1054">
        <f>Wohnungsausnutzung!E129</f>
        <v>19.599999999999998</v>
      </c>
      <c r="E6" s="1054">
        <f>Wohnungsausnutzung!G129</f>
        <v>23.519999999999996</v>
      </c>
      <c r="F6" s="1054">
        <f>Wohnungsausnutzung!I129</f>
        <v>23.519999999999996</v>
      </c>
      <c r="G6" s="1054">
        <f>Wohnungsausnutzung!K129</f>
        <v>25.087999999999997</v>
      </c>
      <c r="H6" s="1054">
        <f>Wohnungsausnutzung!M129</f>
        <v>25.087999999999997</v>
      </c>
      <c r="I6" s="1056">
        <f>Wohnungsausnutzung!O129</f>
        <v>26.655999999999995</v>
      </c>
    </row>
    <row r="7" spans="1:9" ht="15.75" customHeight="1">
      <c r="A7" s="1373" t="s">
        <v>2058</v>
      </c>
      <c r="B7" s="1374"/>
      <c r="C7" s="1054">
        <f>Wohnungsausnutzung!C172</f>
        <v>43.559999999999995</v>
      </c>
      <c r="D7" s="1054">
        <f>Wohnungsausnutzung!E172</f>
        <v>27.224999999999998</v>
      </c>
      <c r="E7" s="1054">
        <f>Wohnungsausnutzung!G172</f>
        <v>25.409999999999997</v>
      </c>
      <c r="F7" s="1054">
        <f>Wohnungsausnutzung!I172</f>
        <v>29.947499999999998</v>
      </c>
      <c r="G7" s="1054">
        <f>Wohnungsausnutzung!K172</f>
        <v>26.135999999999996</v>
      </c>
      <c r="H7" s="1054">
        <f>Wohnungsausnutzung!M172</f>
        <v>30.491999999999997</v>
      </c>
      <c r="I7" s="1056">
        <f>Wohnungsausnutzung!O172</f>
        <v>32.67</v>
      </c>
    </row>
    <row r="8" spans="1:9" ht="15.75" customHeight="1">
      <c r="A8" s="1373" t="s">
        <v>2059</v>
      </c>
      <c r="B8" s="1374"/>
      <c r="C8" s="1054">
        <f>Wohnungsausnutzung!C215</f>
        <v>57.76</v>
      </c>
      <c r="D8" s="1054">
        <f>Wohnungsausnutzung!E215</f>
        <v>28.88</v>
      </c>
      <c r="E8" s="1054">
        <f>Wohnungsausnutzung!G215</f>
        <v>24.066666666666666</v>
      </c>
      <c r="F8" s="1054">
        <f>Wohnungsausnutzung!I215</f>
        <v>25.27</v>
      </c>
      <c r="G8" s="1054">
        <f>Wohnungsausnutzung!K215</f>
        <v>20.216000000000001</v>
      </c>
      <c r="H8" s="1054">
        <f>Wohnungsausnutzung!M215</f>
        <v>23.103999999999999</v>
      </c>
      <c r="I8" s="1056">
        <f>Wohnungsausnutzung!O215</f>
        <v>25.992000000000001</v>
      </c>
    </row>
    <row r="9" spans="1:9" ht="15.75" customHeight="1" thickBot="1">
      <c r="A9" s="1375" t="s">
        <v>2060</v>
      </c>
      <c r="B9" s="1376"/>
      <c r="C9" s="1055">
        <f>Wohnungsausnutzung!C258</f>
        <v>55.47</v>
      </c>
      <c r="D9" s="1055">
        <f>Wohnungsausnutzung!E258</f>
        <v>27.734999999999999</v>
      </c>
      <c r="E9" s="1055">
        <f>Wohnungsausnutzung!G258</f>
        <v>24.653333333333332</v>
      </c>
      <c r="F9" s="1055">
        <f>Wohnungsausnutzung!I258</f>
        <v>27.734999999999999</v>
      </c>
      <c r="G9" s="1055">
        <f>Wohnungsausnutzung!K258</f>
        <v>25.885999999999996</v>
      </c>
      <c r="H9" s="1055">
        <f>Wohnungsausnutzung!M258</f>
        <v>29.583999999999996</v>
      </c>
      <c r="I9" s="1057">
        <f>Wohnungsausnutzung!O258</f>
        <v>36.979999999999997</v>
      </c>
    </row>
    <row r="10" spans="1:9" ht="15.75" customHeight="1">
      <c r="A10" s="1371" t="s">
        <v>2061</v>
      </c>
      <c r="B10" s="1372"/>
      <c r="C10" s="1054">
        <f>Wohnungsausnutzung!S$43</f>
        <v>38.954999999999991</v>
      </c>
      <c r="D10" s="1054">
        <f>Wohnungsausnutzung!U43</f>
        <v>19.477499999999996</v>
      </c>
      <c r="E10" s="1054">
        <f>Wohnungsausnutzung!W43</f>
        <v>21.641666666666662</v>
      </c>
      <c r="F10" s="1054">
        <f>Wohnungsausnutzung!Y43</f>
        <v>19.477499999999996</v>
      </c>
      <c r="G10" s="1054">
        <f>Wohnungsausnutzung!AA43</f>
        <v>20.775999999999996</v>
      </c>
      <c r="H10" s="1054">
        <f>Wohnungsausnutzung!AC43</f>
        <v>20.775999999999996</v>
      </c>
      <c r="I10" s="1056">
        <f>Wohnungsausnutzung!AE43</f>
        <v>23.372999999999998</v>
      </c>
    </row>
    <row r="11" spans="1:9" ht="15.75" customHeight="1">
      <c r="A11" s="1373" t="s">
        <v>2062</v>
      </c>
      <c r="B11" s="1374"/>
      <c r="C11" s="1054">
        <f>Wohnungsausnutzung!AI$43</f>
        <v>34.29999999999999</v>
      </c>
      <c r="D11" s="1054">
        <f>Wohnungsausnutzung!AK$43</f>
        <v>17.149999999999995</v>
      </c>
      <c r="E11" s="1054">
        <f>Wohnungsausnutzung!AM$43</f>
        <v>20.579999999999995</v>
      </c>
      <c r="F11" s="1054">
        <f>Wohnungsausnutzung!AO$43</f>
        <v>20.579999999999995</v>
      </c>
      <c r="G11" s="1054">
        <f>Wohnungsausnutzung!AQ$43</f>
        <v>21.951999999999995</v>
      </c>
      <c r="H11" s="1054">
        <f>Wohnungsausnutzung!AS$43</f>
        <v>21.951999999999995</v>
      </c>
      <c r="I11" s="1056">
        <f>Wohnungsausnutzung!AU$43</f>
        <v>24.695999999999994</v>
      </c>
    </row>
    <row r="12" spans="1:9" ht="15.75" customHeight="1">
      <c r="A12" s="1373" t="s">
        <v>2063</v>
      </c>
      <c r="B12" s="1374"/>
      <c r="C12" s="1054">
        <f>Wohnungsausnutzung!AY$43</f>
        <v>40.424999999999997</v>
      </c>
      <c r="D12" s="1054">
        <f>Wohnungsausnutzung!BA$43</f>
        <v>20.212499999999999</v>
      </c>
      <c r="E12" s="1054">
        <f>Wohnungsausnutzung!BC$43</f>
        <v>21.56</v>
      </c>
      <c r="F12" s="1054">
        <f>Wohnungsausnutzung!BE$43</f>
        <v>22.233749999999997</v>
      </c>
      <c r="G12" s="1054">
        <f>Wohnungsausnutzung!BG$43</f>
        <v>24.254999999999999</v>
      </c>
      <c r="H12" s="1054">
        <f>Wohnungsausnutzung!BI$43</f>
        <v>25.871999999999996</v>
      </c>
      <c r="I12" s="1056">
        <f>Wohnungsausnutzung!BK$43</f>
        <v>29.105999999999995</v>
      </c>
    </row>
    <row r="13" spans="1:9" ht="15.75" customHeight="1">
      <c r="A13" s="1373" t="s">
        <v>2064</v>
      </c>
      <c r="B13" s="1374"/>
      <c r="C13" s="1054">
        <f>Wohnungsausnutzung!BO$43</f>
        <v>37.239999999999995</v>
      </c>
      <c r="D13" s="1054">
        <f>Wohnungsausnutzung!BQ$43</f>
        <v>23.274999999999999</v>
      </c>
      <c r="E13" s="1054">
        <f>Wohnungsausnutzung!BS$43</f>
        <v>21.723333333333329</v>
      </c>
      <c r="F13" s="1054">
        <f>Wohnungsausnutzung!BU$43</f>
        <v>23.274999999999999</v>
      </c>
      <c r="G13" s="1054">
        <f>Wohnungsausnutzung!BW$43</f>
        <v>20.481999999999996</v>
      </c>
      <c r="H13" s="1054">
        <f>Wohnungsausnutzung!BY$43</f>
        <v>26.067999999999994</v>
      </c>
      <c r="I13" s="1056">
        <f>Wohnungsausnutzung!CA$43</f>
        <v>29.791999999999994</v>
      </c>
    </row>
    <row r="14" spans="1:9" ht="15.75" customHeight="1">
      <c r="A14" s="1373" t="s">
        <v>2065</v>
      </c>
      <c r="B14" s="1374"/>
      <c r="C14" s="1054">
        <f>Wohnungsausnutzung!CE$43</f>
        <v>42.139999999999993</v>
      </c>
      <c r="D14" s="1054">
        <f>Wohnungsausnutzung!CG$43</f>
        <v>26.337499999999995</v>
      </c>
      <c r="E14" s="1054">
        <f>Wohnungsausnutzung!CI$43</f>
        <v>24.581666666666663</v>
      </c>
      <c r="F14" s="1054">
        <f>Wohnungsausnutzung!CK$43</f>
        <v>21.069999999999997</v>
      </c>
      <c r="G14" s="1054">
        <f>Wohnungsausnutzung!CM$43</f>
        <v>21.069999999999997</v>
      </c>
      <c r="H14" s="1054">
        <f>Wohnungsausnutzung!CO43</f>
        <v>25.283999999999999</v>
      </c>
      <c r="I14" s="1056">
        <f>Wohnungsausnutzung!CQ$43</f>
        <v>29.497999999999998</v>
      </c>
    </row>
    <row r="15" spans="1:9" ht="15.75" customHeight="1">
      <c r="A15" s="1373" t="s">
        <v>2066</v>
      </c>
      <c r="B15" s="1374"/>
      <c r="C15" s="1054">
        <f>Wohnungsausnutzung!CU$43</f>
        <v>47.039999999999992</v>
      </c>
      <c r="D15" s="1054">
        <f>Wohnungsausnutzung!CW$43</f>
        <v>29.399999999999995</v>
      </c>
      <c r="E15" s="1054">
        <f>Wohnungsausnutzung!CY$43</f>
        <v>27.439999999999998</v>
      </c>
      <c r="F15" s="1054">
        <f>Wohnungsausnutzung!DA$43</f>
        <v>23.519999999999996</v>
      </c>
      <c r="G15" s="1054">
        <f>Wohnungsausnutzung!DC$43</f>
        <v>23.519999999999996</v>
      </c>
      <c r="H15" s="1054">
        <f>Wohnungsausnutzung!DE$43</f>
        <v>25.871999999999996</v>
      </c>
      <c r="I15" s="1056">
        <f>Wohnungsausnutzung!DG$43</f>
        <v>28.223999999999997</v>
      </c>
    </row>
    <row r="16" spans="1:9" ht="15.75" customHeight="1" thickBot="1">
      <c r="A16" s="1375" t="s">
        <v>2067</v>
      </c>
      <c r="B16" s="1376"/>
      <c r="C16" s="1055">
        <f>Wohnungsausnutzung!DK$43</f>
        <v>37.484999999999992</v>
      </c>
      <c r="D16" s="1055">
        <f>Wohnungsausnutzung!DM$43</f>
        <v>24.989999999999995</v>
      </c>
      <c r="E16" s="1055">
        <f>Wohnungsausnutzung!DO$43</f>
        <v>29.15499999999999</v>
      </c>
      <c r="F16" s="1055">
        <f>Wohnungsausnutzung!DQ$43</f>
        <v>24.989999999999995</v>
      </c>
      <c r="G16" s="1055">
        <f>Wohnungsausnutzung!DS$43</f>
        <v>22.490999999999996</v>
      </c>
      <c r="H16" s="1055">
        <f>Wohnungsausnutzung!DU$43</f>
        <v>27.488999999999994</v>
      </c>
      <c r="I16" s="1057">
        <f>Wohnungsausnutzung!DW$43</f>
        <v>29.987999999999992</v>
      </c>
    </row>
    <row r="17" spans="1:9" ht="15.75" customHeight="1">
      <c r="A17" s="1371" t="s">
        <v>2068</v>
      </c>
      <c r="B17" s="1372"/>
      <c r="C17" s="1054">
        <f>Wohnungsausnutzung!S86</f>
        <v>37.099999999999994</v>
      </c>
      <c r="D17" s="1054">
        <f>Wohnungsausnutzung!U86</f>
        <v>18.549999999999997</v>
      </c>
      <c r="E17" s="1054">
        <f>Wohnungsausnutzung!W86</f>
        <v>22.259999999999994</v>
      </c>
      <c r="F17" s="1054">
        <f>Wohnungsausnutzung!Y86</f>
        <v>22.259999999999998</v>
      </c>
      <c r="G17" s="1054">
        <f>Wohnungsausnutzung!AA86</f>
        <v>22.259999999999998</v>
      </c>
      <c r="H17" s="1054">
        <f>Wohnungsausnutzung!AC86</f>
        <v>23.743999999999996</v>
      </c>
      <c r="I17" s="1056">
        <f>Wohnungsausnutzung!AE86</f>
        <v>26.711999999999996</v>
      </c>
    </row>
    <row r="18" spans="1:9" ht="15.75" customHeight="1">
      <c r="A18" s="1373" t="s">
        <v>2069</v>
      </c>
      <c r="B18" s="1374"/>
      <c r="C18" s="1054">
        <f>Wohnungsausnutzung!AI86</f>
        <v>34.979999999999997</v>
      </c>
      <c r="D18" s="1054">
        <f>Wohnungsausnutzung!AK86</f>
        <v>21.862499999999997</v>
      </c>
      <c r="E18" s="1054">
        <f>Wohnungsausnutzung!AM86</f>
        <v>20.404999999999998</v>
      </c>
      <c r="F18" s="1054">
        <f>Wohnungsausnutzung!AO86</f>
        <v>24.048749999999998</v>
      </c>
      <c r="G18" s="1054">
        <f>Wohnungsausnutzung!AQ86</f>
        <v>20.988</v>
      </c>
      <c r="H18" s="1054">
        <f>Wohnungsausnutzung!AS86</f>
        <v>27.983999999999998</v>
      </c>
      <c r="I18" s="1056">
        <f>Wohnungsausnutzung!AU86</f>
        <v>29.732999999999997</v>
      </c>
    </row>
    <row r="19" spans="1:9" ht="15.75" customHeight="1">
      <c r="A19" s="1373" t="s">
        <v>2070</v>
      </c>
      <c r="B19" s="1374"/>
      <c r="C19" s="1054">
        <f>Wohnungsausnutzung!AY86</f>
        <v>40.279999999999994</v>
      </c>
      <c r="D19" s="1054">
        <f>Wohnungsausnutzung!BA86</f>
        <v>25.174999999999997</v>
      </c>
      <c r="E19" s="1054">
        <f>Wohnungsausnutzung!BC$86</f>
        <v>23.496666666666666</v>
      </c>
      <c r="F19" s="1054">
        <f>Wohnungsausnutzung!BE$86</f>
        <v>25.174999999999997</v>
      </c>
      <c r="G19" s="1054">
        <f>Wohnungsausnutzung!BG86</f>
        <v>22.153999999999996</v>
      </c>
      <c r="H19" s="1054">
        <f>Wohnungsausnutzung!BI86</f>
        <v>28.195999999999998</v>
      </c>
      <c r="I19" s="1056">
        <f>Wohnungsausnutzung!BK86</f>
        <v>32.223999999999997</v>
      </c>
    </row>
    <row r="20" spans="1:9" ht="15.75" customHeight="1">
      <c r="A20" s="1373" t="s">
        <v>2071</v>
      </c>
      <c r="B20" s="1374"/>
      <c r="C20" s="1054">
        <f>Wohnungsausnutzung!BO86</f>
        <v>34.185000000000002</v>
      </c>
      <c r="D20" s="1054">
        <f>Wohnungsausnutzung!BQ86</f>
        <v>22.79</v>
      </c>
      <c r="E20" s="1054">
        <f>Wohnungsausnutzung!BS86</f>
        <v>22.790000000000003</v>
      </c>
      <c r="F20" s="1054">
        <f>Wohnungsausnutzung!BU$86</f>
        <v>22.79</v>
      </c>
      <c r="G20" s="1054">
        <f>Wohnungsausnutzung!BW86</f>
        <v>22.79</v>
      </c>
      <c r="H20" s="1054">
        <f>Wohnungsausnutzung!BY86</f>
        <v>27.348000000000003</v>
      </c>
      <c r="I20" s="1056">
        <f>Wohnungsausnutzung!CA86</f>
        <v>31.905999999999999</v>
      </c>
    </row>
    <row r="21" spans="1:9" ht="15.75" customHeight="1">
      <c r="A21" s="1373" t="s">
        <v>2072</v>
      </c>
      <c r="B21" s="1374"/>
      <c r="C21" s="1054">
        <f>Wohnungsausnutzung!CE86</f>
        <v>38.159999999999997</v>
      </c>
      <c r="D21" s="1054">
        <f>Wohnungsausnutzung!CG$43</f>
        <v>26.337499999999995</v>
      </c>
      <c r="E21" s="1054">
        <f>Wohnungsausnutzung!CI86</f>
        <v>21.2</v>
      </c>
      <c r="F21" s="1054">
        <f>Wohnungsausnutzung!CK$86</f>
        <v>25.439999999999998</v>
      </c>
      <c r="G21" s="1054">
        <f>Wohnungsausnutzung!CM86</f>
        <v>22.895999999999997</v>
      </c>
      <c r="H21" s="1054">
        <f>Wohnungsausnutzung!CO86</f>
        <v>23.319999999999997</v>
      </c>
      <c r="I21" s="1056">
        <f>Wohnungsausnutzung!CQ86</f>
        <v>30.527999999999999</v>
      </c>
    </row>
    <row r="22" spans="1:9" ht="15.75" customHeight="1">
      <c r="A22" s="1373" t="s">
        <v>2073</v>
      </c>
      <c r="B22" s="1374"/>
      <c r="C22" s="1054">
        <f>Wohnungsausnutzung!CU86</f>
        <v>40.544999999999995</v>
      </c>
      <c r="D22" s="1054">
        <f>Wohnungsausnutzung!CW86</f>
        <v>27.029999999999998</v>
      </c>
      <c r="E22" s="1054">
        <f>Wohnungsausnutzung!CY$86</f>
        <v>22.524999999999995</v>
      </c>
      <c r="F22" s="1054">
        <f>Wohnungsausnutzung!DA86</f>
        <v>27.029999999999998</v>
      </c>
      <c r="G22" s="1054">
        <f>Wohnungsausnutzung!DC86</f>
        <v>24.326999999999998</v>
      </c>
      <c r="H22" s="1054">
        <f>Wohnungsausnutzung!DE$86</f>
        <v>29.732999999999997</v>
      </c>
      <c r="I22" s="1056">
        <f>Wohnungsausnutzung!DG86</f>
        <v>32.435999999999993</v>
      </c>
    </row>
    <row r="23" spans="1:9" ht="15.75" customHeight="1" thickBot="1">
      <c r="A23" s="1375" t="s">
        <v>2074</v>
      </c>
      <c r="B23" s="1376"/>
      <c r="C23" s="1055">
        <f>Wohnungsausnutzung!DK86</f>
        <v>43.724999999999994</v>
      </c>
      <c r="D23" s="1055">
        <f>Wohnungsausnutzung!DM86</f>
        <v>29.15</v>
      </c>
      <c r="E23" s="1055">
        <f>Wohnungsausnutzung!DO86</f>
        <v>24.291666666666668</v>
      </c>
      <c r="F23" s="1055">
        <f>Wohnungsausnutzung!DQ86</f>
        <v>29.15</v>
      </c>
      <c r="G23" s="1055">
        <f>Wohnungsausnutzung!DS86</f>
        <v>26.234999999999996</v>
      </c>
      <c r="H23" s="1055">
        <f>Wohnungsausnutzung!DU86</f>
        <v>32.064999999999998</v>
      </c>
      <c r="I23" s="1057">
        <f>Wohnungsausnutzung!DW86</f>
        <v>34.979999999999997</v>
      </c>
    </row>
    <row r="24" spans="1:9" ht="15.75" customHeight="1">
      <c r="A24" s="1371" t="s">
        <v>2300</v>
      </c>
      <c r="B24" s="1372"/>
      <c r="C24" s="1054">
        <f>Wohnungsausnutzung!S129</f>
        <v>36.959999999999994</v>
      </c>
      <c r="D24" s="1054">
        <f>Wohnungsausnutzung!U129</f>
        <v>23.099999999999994</v>
      </c>
      <c r="E24" s="1054">
        <f>Wohnungsausnutzung!W129</f>
        <v>21.56</v>
      </c>
      <c r="F24" s="1054">
        <f>Wohnungsausnutzung!Y129</f>
        <v>25.409999999999997</v>
      </c>
      <c r="G24" s="1054">
        <f>Wohnungsausnutzung!AA129</f>
        <v>22.175999999999995</v>
      </c>
      <c r="H24" s="1054">
        <f>Wohnungsausnutzung!AC129</f>
        <v>29.567999999999994</v>
      </c>
      <c r="I24" s="1056">
        <f>Wohnungsausnutzung!AE129</f>
        <v>31.415999999999997</v>
      </c>
    </row>
    <row r="25" spans="1:9" ht="15.75" customHeight="1">
      <c r="A25" s="1373" t="s">
        <v>2301</v>
      </c>
      <c r="B25" s="1374"/>
      <c r="C25" s="1054">
        <f>Wohnungsausnutzung!AI129</f>
        <v>42.559999999999995</v>
      </c>
      <c r="D25" s="1054">
        <f>Wohnungsausnutzung!AK129</f>
        <v>26.599999999999998</v>
      </c>
      <c r="E25" s="1054">
        <f>Wohnungsausnutzung!AM129</f>
        <v>24.826666666666664</v>
      </c>
      <c r="F25" s="1054">
        <f>Wohnungsausnutzung!AO129</f>
        <v>26.599999999999998</v>
      </c>
      <c r="G25" s="1054">
        <f>Wohnungsausnutzung!AQ129</f>
        <v>23.407999999999998</v>
      </c>
      <c r="H25" s="1054">
        <f>Wohnungsausnutzung!AS129</f>
        <v>29.791999999999994</v>
      </c>
      <c r="I25" s="1056">
        <f>Wohnungsausnutzung!AU129</f>
        <v>34.047999999999995</v>
      </c>
    </row>
    <row r="26" spans="1:9" ht="15.75" customHeight="1">
      <c r="A26" s="1373" t="s">
        <v>2302</v>
      </c>
      <c r="B26" s="1374"/>
      <c r="C26" s="1054">
        <f>Wohnungsausnutzung!AY129</f>
        <v>36.119999999999997</v>
      </c>
      <c r="D26" s="1054">
        <f>Wohnungsausnutzung!BA129</f>
        <v>24.08</v>
      </c>
      <c r="E26" s="1054">
        <f>Wohnungsausnutzung!BC129</f>
        <v>24.08</v>
      </c>
      <c r="F26" s="1054">
        <f>Wohnungsausnutzung!BE129</f>
        <v>24.08</v>
      </c>
      <c r="G26" s="1054">
        <f>Wohnungsausnutzung!BG129</f>
        <v>24.08</v>
      </c>
      <c r="H26" s="1054">
        <f>Wohnungsausnutzung!BI129</f>
        <v>28.895999999999997</v>
      </c>
      <c r="I26" s="1056">
        <f>Wohnungsausnutzung!BK129</f>
        <v>36.119999999999997</v>
      </c>
    </row>
    <row r="27" spans="1:9" ht="15.75" customHeight="1">
      <c r="A27" s="1373" t="s">
        <v>2303</v>
      </c>
      <c r="B27" s="1374"/>
      <c r="C27" s="1054">
        <f>Wohnungsausnutzung!BO129</f>
        <v>40.32</v>
      </c>
      <c r="D27" s="1054">
        <f>Wohnungsausnutzung!BQ129</f>
        <v>26.88</v>
      </c>
      <c r="E27" s="1054">
        <f>Wohnungsausnutzung!BS129</f>
        <v>22.400000000000002</v>
      </c>
      <c r="F27" s="1054">
        <f>Wohnungsausnutzung!BU129</f>
        <v>26.88</v>
      </c>
      <c r="G27" s="1054">
        <f>Wohnungsausnutzung!BW129</f>
        <v>26.880000000000003</v>
      </c>
      <c r="H27" s="1054">
        <f>Wohnungsausnutzung!BY129</f>
        <v>29.568000000000001</v>
      </c>
      <c r="I27" s="1056">
        <f>Wohnungsausnutzung!CA129</f>
        <v>32.256</v>
      </c>
    </row>
    <row r="28" spans="1:9" ht="15.75" customHeight="1">
      <c r="A28" s="1373" t="s">
        <v>2304</v>
      </c>
      <c r="B28" s="1374"/>
      <c r="C28" s="1054">
        <f>Wohnungsausnutzung!CE129</f>
        <v>42.839999999999989</v>
      </c>
      <c r="D28" s="1054">
        <f>Wohnungsausnutzung!CG129</f>
        <v>28.559999999999995</v>
      </c>
      <c r="E28" s="1054">
        <f>Wohnungsausnutzung!CI129</f>
        <v>23.799999999999997</v>
      </c>
      <c r="F28" s="1054">
        <f>Wohnungsausnutzung!CK129</f>
        <v>28.559999999999995</v>
      </c>
      <c r="G28" s="1054">
        <f>Wohnungsausnutzung!CM129</f>
        <v>25.703999999999997</v>
      </c>
      <c r="H28" s="1054">
        <f>Wohnungsausnutzung!CO129</f>
        <v>31.415999999999997</v>
      </c>
      <c r="I28" s="1056">
        <f>Wohnungsausnutzung!CQ129</f>
        <v>34.271999999999991</v>
      </c>
    </row>
    <row r="29" spans="1:9" ht="15.75" customHeight="1">
      <c r="A29" s="1373" t="s">
        <v>2305</v>
      </c>
      <c r="B29" s="1374"/>
      <c r="C29" s="1054">
        <f>Wohnungsausnutzung!CU129</f>
        <v>46.199999999999996</v>
      </c>
      <c r="D29" s="1054">
        <f>Wohnungsausnutzung!CW129</f>
        <v>30.799999999999997</v>
      </c>
      <c r="E29" s="1054">
        <f>Wohnungsausnutzung!CY129</f>
        <v>25.666666666666668</v>
      </c>
      <c r="F29" s="1054">
        <f>Wohnungsausnutzung!DA129</f>
        <v>30.799999999999997</v>
      </c>
      <c r="G29" s="1054">
        <f>Wohnungsausnutzung!DC129</f>
        <v>27.72</v>
      </c>
      <c r="H29" s="1054">
        <f>Wohnungsausnutzung!DE129</f>
        <v>33.879999999999995</v>
      </c>
      <c r="I29" s="1056">
        <f>Wohnungsausnutzung!DG129</f>
        <v>36.959999999999994</v>
      </c>
    </row>
    <row r="30" spans="1:9" ht="15.75" customHeight="1" thickBot="1">
      <c r="A30" s="1375" t="s">
        <v>2306</v>
      </c>
      <c r="B30" s="1376"/>
      <c r="C30" s="1055">
        <f>Wohnungsausnutzung!DK129</f>
        <v>48.72</v>
      </c>
      <c r="D30" s="1055">
        <f>Wohnungsausnutzung!DM129</f>
        <v>32.479999999999997</v>
      </c>
      <c r="E30" s="1055">
        <f>Wohnungsausnutzung!DO129</f>
        <v>27.066666666666663</v>
      </c>
      <c r="F30" s="1055">
        <f>Wohnungsausnutzung!DQ129</f>
        <v>28.419999999999998</v>
      </c>
      <c r="G30" s="1055">
        <f>Wohnungsausnutzung!DS129</f>
        <v>29.231999999999999</v>
      </c>
      <c r="H30" s="1055">
        <f>Wohnungsausnutzung!DU129</f>
        <v>35.727999999999994</v>
      </c>
      <c r="I30" s="1057">
        <f>Wohnungsausnutzung!DW129</f>
        <v>38.975999999999999</v>
      </c>
    </row>
    <row r="31" spans="1:9" ht="15.75" customHeight="1">
      <c r="A31" s="1371" t="s">
        <v>2075</v>
      </c>
      <c r="B31" s="1372"/>
      <c r="C31" s="1054">
        <f>Wohnungsausnutzung!S172</f>
        <v>50.16</v>
      </c>
      <c r="D31" s="1054">
        <f>Wohnungsausnutzung!U172</f>
        <v>31.349999999999998</v>
      </c>
      <c r="E31" s="1054">
        <f>Wohnungsausnutzung!W172</f>
        <v>29.26</v>
      </c>
      <c r="F31" s="1054">
        <f>Wohnungsausnutzung!Y172</f>
        <v>31.349999999999998</v>
      </c>
      <c r="G31" s="1054">
        <f>Wohnungsausnutzung!AA172</f>
        <v>27.588000000000001</v>
      </c>
      <c r="H31" s="1054">
        <f>Wohnungsausnutzung!AC172</f>
        <v>30.095999999999997</v>
      </c>
      <c r="I31" s="1056">
        <f>Wohnungsausnutzung!AE172</f>
        <v>32.603999999999999</v>
      </c>
    </row>
    <row r="32" spans="1:9" ht="15.75" customHeight="1">
      <c r="A32" s="1373" t="s">
        <v>2076</v>
      </c>
      <c r="B32" s="1374"/>
      <c r="C32" s="1054">
        <f>Wohnungsausnutzung!AI172</f>
        <v>56.76</v>
      </c>
      <c r="D32" s="1054">
        <f>Wohnungsausnutzung!AK172</f>
        <v>28.38</v>
      </c>
      <c r="E32" s="1054">
        <f>Wohnungsausnutzung!AM172</f>
        <v>28.38</v>
      </c>
      <c r="F32" s="1054">
        <f>Wohnungsausnutzung!AO172</f>
        <v>24.8325</v>
      </c>
      <c r="G32" s="1054">
        <f>Wohnungsausnutzung!AQ172</f>
        <v>25.541999999999998</v>
      </c>
      <c r="H32" s="1054">
        <f>Wohnungsausnutzung!AS172</f>
        <v>28.380000000000003</v>
      </c>
      <c r="I32" s="1056">
        <f>Wohnungsausnutzung!AU172</f>
        <v>34.055999999999997</v>
      </c>
    </row>
    <row r="33" spans="1:9" ht="15.75" customHeight="1">
      <c r="A33" s="1373" t="s">
        <v>2077</v>
      </c>
      <c r="B33" s="1374"/>
      <c r="C33" s="1054">
        <f>Wohnungsausnutzung!AY172</f>
        <v>47.519999999999996</v>
      </c>
      <c r="D33" s="1054">
        <f>Wohnungsausnutzung!BA172</f>
        <v>23.759999999999998</v>
      </c>
      <c r="E33" s="1054">
        <f>Wohnungsausnutzung!BC172</f>
        <v>21.119999999999997</v>
      </c>
      <c r="F33" s="1054">
        <f>Wohnungsausnutzung!BE172</f>
        <v>27.719999999999995</v>
      </c>
      <c r="G33" s="1054">
        <f>Wohnungsausnutzung!BG172</f>
        <v>22.175999999999995</v>
      </c>
      <c r="H33" s="1054">
        <f>Wohnungsausnutzung!BI172</f>
        <v>31.679999999999996</v>
      </c>
      <c r="I33" s="1056">
        <f>Wohnungsausnutzung!BK172</f>
        <v>34.847999999999999</v>
      </c>
    </row>
    <row r="34" spans="1:9" ht="15.75" customHeight="1">
      <c r="A34" s="1373" t="s">
        <v>2078</v>
      </c>
      <c r="B34" s="1374"/>
      <c r="C34" s="1054">
        <f>Wohnungsausnutzung!BO172</f>
        <v>50.489999999999995</v>
      </c>
      <c r="D34" s="1054">
        <f>Wohnungsausnutzung!BQ172</f>
        <v>25.244999999999997</v>
      </c>
      <c r="E34" s="1054">
        <f>Wohnungsausnutzung!BS172</f>
        <v>22.439999999999998</v>
      </c>
      <c r="F34" s="1054">
        <f>Wohnungsausnutzung!BU172</f>
        <v>25.244999999999997</v>
      </c>
      <c r="G34" s="1054">
        <f>Wohnungsausnutzung!BW172</f>
        <v>20.195999999999998</v>
      </c>
      <c r="H34" s="1054">
        <f>Wohnungsausnutzung!BY172</f>
        <v>23.561999999999998</v>
      </c>
      <c r="I34" s="1056">
        <f>Wohnungsausnutzung!CA172</f>
        <v>30.293999999999993</v>
      </c>
    </row>
    <row r="35" spans="1:9" ht="15.75" customHeight="1">
      <c r="A35" s="1373" t="s">
        <v>2079</v>
      </c>
      <c r="B35" s="1374"/>
      <c r="C35" s="1054">
        <f>Wohnungsausnutzung!CE172</f>
        <v>54.449999999999996</v>
      </c>
      <c r="D35" s="1054">
        <f>Wohnungsausnutzung!CG172</f>
        <v>27.224999999999998</v>
      </c>
      <c r="E35" s="1054">
        <f>Wohnungsausnutzung!CI172</f>
        <v>24.2</v>
      </c>
      <c r="F35" s="1054">
        <f>Wohnungsausnutzung!CK172</f>
        <v>27.224999999999998</v>
      </c>
      <c r="G35" s="1054">
        <f>Wohnungsausnutzung!CM172</f>
        <v>21.779999999999998</v>
      </c>
      <c r="H35" s="1054">
        <f>Wohnungsausnutzung!CO172</f>
        <v>25.409999999999997</v>
      </c>
      <c r="I35" s="1056">
        <f>Wohnungsausnutzung!CQ172</f>
        <v>29.04</v>
      </c>
    </row>
    <row r="36" spans="1:9" ht="15.75" customHeight="1" thickBot="1">
      <c r="A36" s="1375" t="s">
        <v>2080</v>
      </c>
      <c r="B36" s="1376"/>
      <c r="C36" s="1055">
        <f>Wohnungsausnutzung!CU172</f>
        <v>57.419999999999987</v>
      </c>
      <c r="D36" s="1055">
        <f>Wohnungsausnutzung!CW172</f>
        <v>28.709999999999994</v>
      </c>
      <c r="E36" s="1055">
        <f>Wohnungsausnutzung!CY172</f>
        <v>25.519999999999996</v>
      </c>
      <c r="F36" s="1055">
        <f>Wohnungsausnutzung!DA172</f>
        <v>23.924999999999997</v>
      </c>
      <c r="G36" s="1055">
        <f>Wohnungsausnutzung!DC172</f>
        <v>22.967999999999996</v>
      </c>
      <c r="H36" s="1055">
        <f>Wohnungsausnutzung!DE172</f>
        <v>26.795999999999999</v>
      </c>
      <c r="I36" s="1057">
        <f>Wohnungsausnutzung!DG172</f>
        <v>30.623999999999995</v>
      </c>
    </row>
    <row r="37" spans="1:9" ht="15.75" customHeight="1">
      <c r="A37" s="1371" t="s">
        <v>2081</v>
      </c>
      <c r="B37" s="1372"/>
      <c r="C37" s="1054">
        <f>Wohnungsausnutzung!S215</f>
        <v>49.019999999999996</v>
      </c>
      <c r="D37" s="1054">
        <f>Wohnungsausnutzung!U215</f>
        <v>24.509999999999998</v>
      </c>
      <c r="E37" s="1054">
        <f>Wohnungsausnutzung!W215</f>
        <v>21.786666666666665</v>
      </c>
      <c r="F37" s="1054">
        <f>Wohnungsausnutzung!Y215</f>
        <v>24.509999999999998</v>
      </c>
      <c r="G37" s="1054">
        <f>Wohnungsausnutzung!AA215</f>
        <v>22.875999999999998</v>
      </c>
      <c r="H37" s="1054">
        <f>Wohnungsausnutzung!AC215</f>
        <v>26.143999999999998</v>
      </c>
      <c r="I37" s="1056">
        <f>Wohnungsausnutzung!AE215</f>
        <v>32.68</v>
      </c>
    </row>
    <row r="38" spans="1:9" ht="15.75" customHeight="1">
      <c r="A38" s="1373" t="s">
        <v>2082</v>
      </c>
      <c r="B38" s="1374"/>
      <c r="C38" s="1054">
        <f>Wohnungsausnutzung!AI215</f>
        <v>54.72</v>
      </c>
      <c r="D38" s="1054">
        <f>Wohnungsausnutzung!AK215</f>
        <v>27.36</v>
      </c>
      <c r="E38" s="1054">
        <f>Wohnungsausnutzung!AM215</f>
        <v>24.319999999999997</v>
      </c>
      <c r="F38" s="1054">
        <f>Wohnungsausnutzung!AO215</f>
        <v>22.799999999999997</v>
      </c>
      <c r="G38" s="1054">
        <f>Wohnungsausnutzung!AQ215</f>
        <v>18.239999999999998</v>
      </c>
      <c r="H38" s="1054">
        <f>Wohnungsausnutzung!AS215</f>
        <v>25.535999999999998</v>
      </c>
      <c r="I38" s="1056">
        <f>Wohnungsausnutzung!AU215</f>
        <v>29.183999999999997</v>
      </c>
    </row>
    <row r="39" spans="1:9" ht="15.75" customHeight="1">
      <c r="A39" s="1373" t="s">
        <v>2083</v>
      </c>
      <c r="B39" s="1374"/>
      <c r="C39" s="1054">
        <f>Wohnungsausnutzung!AY215</f>
        <v>58.14</v>
      </c>
      <c r="D39" s="1054">
        <f>Wohnungsausnutzung!BA215</f>
        <v>29.07</v>
      </c>
      <c r="E39" s="1054">
        <f>Wohnungsausnutzung!BC215</f>
        <v>25.84</v>
      </c>
      <c r="F39" s="1054">
        <f>Wohnungsausnutzung!BE215</f>
        <v>24.224999999999998</v>
      </c>
      <c r="G39" s="1054">
        <f>Wohnungsausnutzung!BG215</f>
        <v>19.38</v>
      </c>
      <c r="H39" s="1054">
        <f>Wohnungsausnutzung!BI215</f>
        <v>27.131999999999998</v>
      </c>
      <c r="I39" s="1056">
        <f>Wohnungsausnutzung!BK215</f>
        <v>27.131999999999998</v>
      </c>
    </row>
    <row r="40" spans="1:9" ht="15.75" customHeight="1">
      <c r="A40" s="1373" t="s">
        <v>2084</v>
      </c>
      <c r="B40" s="1374"/>
      <c r="C40" s="1054">
        <f>Wohnungsausnutzung!BO215</f>
        <v>62.699999999999996</v>
      </c>
      <c r="D40" s="1054">
        <f>Wohnungsausnutzung!BQ215</f>
        <v>31.349999999999998</v>
      </c>
      <c r="E40" s="1054">
        <f>Wohnungsausnutzung!BS215</f>
        <v>27.866666666666664</v>
      </c>
      <c r="F40" s="1054">
        <f>Wohnungsausnutzung!BU215</f>
        <v>26.125</v>
      </c>
      <c r="G40" s="1054">
        <f>Wohnungsausnutzung!BW215</f>
        <v>20.9</v>
      </c>
      <c r="H40" s="1054">
        <f>Wohnungsausnutzung!BY215</f>
        <v>25.08</v>
      </c>
      <c r="I40" s="1056">
        <f>Wohnungsausnutzung!CA215</f>
        <v>29.259999999999998</v>
      </c>
    </row>
    <row r="41" spans="1:9" ht="15.75" customHeight="1" thickBot="1">
      <c r="A41" s="1375" t="s">
        <v>2085</v>
      </c>
      <c r="B41" s="1376"/>
      <c r="C41" s="1055">
        <f>Wohnungsausnutzung!CE215</f>
        <v>66.12</v>
      </c>
      <c r="D41" s="1055">
        <f>Wohnungsausnutzung!CG215</f>
        <v>33.06</v>
      </c>
      <c r="E41" s="1055">
        <f>Wohnungsausnutzung!CI215</f>
        <v>29.386666666666667</v>
      </c>
      <c r="F41" s="1055">
        <f>Wohnungsausnutzung!CK215</f>
        <v>22.04</v>
      </c>
      <c r="G41" s="1055">
        <f>Wohnungsausnutzung!CM215</f>
        <v>22.04</v>
      </c>
      <c r="H41" s="1055">
        <f>Wohnungsausnutzung!CO215</f>
        <v>26.448</v>
      </c>
      <c r="I41" s="1057">
        <f>Wohnungsausnutzung!CQ215</f>
        <v>30.856000000000002</v>
      </c>
    </row>
    <row r="42" spans="1:9" ht="15.75" customHeight="1">
      <c r="A42" s="1371" t="s">
        <v>2086</v>
      </c>
      <c r="B42" s="1372"/>
      <c r="C42" s="1054">
        <f>Wohnungsausnutzung!S258</f>
        <v>61.919999999999987</v>
      </c>
      <c r="D42" s="1054">
        <f>Wohnungsausnutzung!U258</f>
        <v>30.959999999999994</v>
      </c>
      <c r="E42" s="1054">
        <f>Wohnungsausnutzung!W258</f>
        <v>27.519999999999996</v>
      </c>
      <c r="F42" s="1054">
        <f>Wohnungsausnutzung!Y258</f>
        <v>25.799999999999997</v>
      </c>
      <c r="G42" s="1054">
        <f>Wohnungsausnutzung!AA258</f>
        <v>20.639999999999997</v>
      </c>
      <c r="H42" s="1054">
        <f>Wohnungsausnutzung!AC258</f>
        <v>24.767999999999994</v>
      </c>
      <c r="I42" s="1056">
        <f>Wohnungsausnutzung!AE258</f>
        <v>33.023999999999994</v>
      </c>
    </row>
    <row r="43" spans="1:9" ht="15.75" customHeight="1">
      <c r="A43" s="1373" t="s">
        <v>2088</v>
      </c>
      <c r="B43" s="1374"/>
      <c r="C43" s="1054">
        <f>Wohnungsausnutzung!AI258</f>
        <v>43.859999999999992</v>
      </c>
      <c r="D43" s="1054">
        <f>Wohnungsausnutzung!AK258</f>
        <v>21.929999999999996</v>
      </c>
      <c r="E43" s="1054">
        <f>Wohnungsausnutzung!AM258</f>
        <v>29.239999999999995</v>
      </c>
      <c r="F43" s="1054">
        <f>Wohnungsausnutzung!AO258</f>
        <v>27.412499999999994</v>
      </c>
      <c r="G43" s="1054">
        <f>Wohnungsausnutzung!AQ258</f>
        <v>21.929999999999996</v>
      </c>
      <c r="H43" s="1054">
        <f>Wohnungsausnutzung!AS258</f>
        <v>26.315999999999995</v>
      </c>
      <c r="I43" s="1056">
        <f>Wohnungsausnutzung!AU258</f>
        <v>30.701999999999991</v>
      </c>
    </row>
    <row r="44" spans="1:9" ht="15.75" customHeight="1">
      <c r="A44" s="1373" t="s">
        <v>2089</v>
      </c>
      <c r="B44" s="1374"/>
      <c r="C44" s="1054">
        <f>Wohnungsausnutzung!AY258</f>
        <v>47.3</v>
      </c>
      <c r="D44" s="1054">
        <f>Wohnungsausnutzung!BA258</f>
        <v>23.65</v>
      </c>
      <c r="E44" s="1054">
        <f>Wohnungsausnutzung!BC258</f>
        <v>31.533333333333331</v>
      </c>
      <c r="F44" s="1054">
        <f>Wohnungsausnutzung!BE258</f>
        <v>29.5625</v>
      </c>
      <c r="G44" s="1054">
        <f>Wohnungsausnutzung!BG258</f>
        <v>23.65</v>
      </c>
      <c r="H44" s="1054">
        <f>Wohnungsausnutzung!BI258</f>
        <v>28.379999999999995</v>
      </c>
      <c r="I44" s="1056">
        <f>Wohnungsausnutzung!$BK$258</f>
        <v>33.11</v>
      </c>
    </row>
    <row r="45" spans="1:9" ht="15.75" customHeight="1" thickBot="1">
      <c r="A45" s="1375" t="s">
        <v>2087</v>
      </c>
      <c r="B45" s="1376"/>
      <c r="C45" s="1055">
        <f>Wohnungsausnutzung!BO258</f>
        <v>49.879999999999995</v>
      </c>
      <c r="D45" s="1055">
        <f>Wohnungsausnutzung!BQ258</f>
        <v>24.939999999999998</v>
      </c>
      <c r="E45" s="1055">
        <f>Wohnungsausnutzung!BS258</f>
        <v>24.939999999999998</v>
      </c>
      <c r="F45" s="1055">
        <f>Wohnungsausnutzung!BU258</f>
        <v>24.939999999999998</v>
      </c>
      <c r="G45" s="1055">
        <f>Wohnungsausnutzung!BW258</f>
        <v>24.939999999999998</v>
      </c>
      <c r="H45" s="1055">
        <f>Wohnungsausnutzung!BY258</f>
        <v>29.927999999999997</v>
      </c>
      <c r="I45" s="1057">
        <f>Wohnungsausnutzung!CA258</f>
        <v>29.927999999999997</v>
      </c>
    </row>
    <row r="46" spans="1:9" ht="15.75" customHeight="1">
      <c r="B46" s="1053"/>
    </row>
    <row r="47" spans="1:9" ht="15.75" customHeight="1">
      <c r="B47" s="1052" t="s">
        <v>1481</v>
      </c>
      <c r="C47" s="1050">
        <f>AVERAGE(C4:I45)</f>
        <v>28.935195205479488</v>
      </c>
      <c r="D47" s="1050"/>
      <c r="E47" s="1050" t="s">
        <v>1482</v>
      </c>
      <c r="F47" s="1050">
        <f>MEDIAN(C4:I45)</f>
        <v>26.698749999999997</v>
      </c>
      <c r="G47" s="1051"/>
      <c r="H47" s="1050" t="s">
        <v>1483</v>
      </c>
      <c r="I47" s="1049">
        <f>MODE(C4:I45)</f>
        <v>23.519999999999996</v>
      </c>
    </row>
    <row r="50" spans="1:19">
      <c r="A50" s="724" t="s">
        <v>1352</v>
      </c>
      <c r="B50" s="703"/>
      <c r="C50" s="703"/>
      <c r="D50" s="703"/>
      <c r="E50" s="703"/>
      <c r="F50" s="703"/>
      <c r="G50" s="703"/>
      <c r="H50" s="703"/>
      <c r="I50" s="703"/>
      <c r="J50" s="703"/>
      <c r="K50" s="724" t="s">
        <v>2209</v>
      </c>
      <c r="L50" s="703"/>
      <c r="M50" s="703"/>
      <c r="N50" s="703"/>
      <c r="O50" s="703"/>
      <c r="P50" s="703"/>
      <c r="Q50" s="703"/>
      <c r="R50" s="703"/>
      <c r="S50" s="703"/>
    </row>
    <row r="51" spans="1:19" ht="18" thickBot="1">
      <c r="A51" s="724" t="s">
        <v>1353</v>
      </c>
      <c r="B51" s="703"/>
      <c r="C51" s="703"/>
      <c r="D51" s="703"/>
      <c r="E51" s="703"/>
      <c r="F51" s="703"/>
      <c r="G51" s="703"/>
      <c r="H51" s="703"/>
      <c r="I51" s="703"/>
      <c r="J51" s="703"/>
      <c r="K51" s="703"/>
      <c r="L51" s="703"/>
      <c r="M51" s="703"/>
      <c r="N51" s="703"/>
      <c r="O51" s="703"/>
      <c r="P51" s="703"/>
      <c r="Q51" s="703"/>
      <c r="R51" s="703"/>
      <c r="S51" s="703"/>
    </row>
    <row r="52" spans="1:19" ht="18" thickBot="1">
      <c r="A52" s="727" t="s">
        <v>1275</v>
      </c>
      <c r="B52" s="1041">
        <v>2.65</v>
      </c>
      <c r="C52" s="1041">
        <v>2.65</v>
      </c>
      <c r="D52" s="727"/>
      <c r="E52" s="728"/>
      <c r="F52" s="728"/>
      <c r="G52" s="728"/>
      <c r="H52" s="728"/>
      <c r="I52" s="703"/>
      <c r="J52" s="703"/>
      <c r="K52" s="1387" t="s">
        <v>1275</v>
      </c>
      <c r="L52" s="1388"/>
      <c r="M52" s="1058" t="s">
        <v>1474</v>
      </c>
      <c r="N52" s="1058" t="s">
        <v>1475</v>
      </c>
      <c r="O52" s="1058" t="s">
        <v>1476</v>
      </c>
      <c r="P52" s="1058" t="s">
        <v>1477</v>
      </c>
      <c r="Q52" s="1058" t="s">
        <v>1478</v>
      </c>
      <c r="R52" s="1058" t="s">
        <v>1479</v>
      </c>
      <c r="S52" s="1058" t="s">
        <v>1480</v>
      </c>
    </row>
    <row r="53" spans="1:19">
      <c r="A53" s="729" t="s">
        <v>1354</v>
      </c>
      <c r="B53" s="1038">
        <f>B52-0.2</f>
        <v>2.4499999999999997</v>
      </c>
      <c r="C53" s="1038">
        <f>C52-0.2</f>
        <v>2.4499999999999997</v>
      </c>
      <c r="D53" s="729"/>
      <c r="E53" s="729"/>
      <c r="F53" s="729"/>
      <c r="G53" s="729"/>
      <c r="H53" s="729"/>
      <c r="I53" s="703"/>
      <c r="J53" s="703">
        <v>1</v>
      </c>
      <c r="K53" s="1389" t="s">
        <v>2055</v>
      </c>
      <c r="L53" s="1390"/>
      <c r="M53" s="1170">
        <f>B58</f>
        <v>0.61849229487713464</v>
      </c>
      <c r="N53" s="1171">
        <f>C58</f>
        <v>0.74427321949187852</v>
      </c>
      <c r="O53" s="1171">
        <f>D58</f>
        <v>0.72200976865699906</v>
      </c>
      <c r="P53" s="1171">
        <f>E58</f>
        <v>0.78895599055948917</v>
      </c>
      <c r="Q53" s="1171">
        <f>F58</f>
        <v>0.70531549354435674</v>
      </c>
      <c r="R53" s="1171"/>
      <c r="S53" s="1172"/>
    </row>
    <row r="54" spans="1:19">
      <c r="A54" s="730" t="s">
        <v>1355</v>
      </c>
      <c r="B54" s="1040"/>
      <c r="C54" s="1039">
        <f>C53*C53</f>
        <v>6.0024999999999986</v>
      </c>
      <c r="D54" s="730"/>
      <c r="E54" s="729"/>
      <c r="F54" s="729"/>
      <c r="G54" s="729"/>
      <c r="H54" s="729"/>
      <c r="I54" s="729"/>
      <c r="J54" s="703">
        <v>2</v>
      </c>
      <c r="K54" s="1385" t="s">
        <v>2056</v>
      </c>
      <c r="L54" s="1386"/>
      <c r="M54" s="1173">
        <f t="shared" ref="M54:S54" si="0">B66</f>
        <v>0.52865788536845848</v>
      </c>
      <c r="N54" s="1169">
        <f t="shared" si="0"/>
        <v>0.63616945532217872</v>
      </c>
      <c r="O54" s="1169">
        <f t="shared" si="0"/>
        <v>0.65788536845852619</v>
      </c>
      <c r="P54" s="1169">
        <f t="shared" si="0"/>
        <v>0.6864661208021835</v>
      </c>
      <c r="Q54" s="1169">
        <f t="shared" si="0"/>
        <v>0.51191260234959057</v>
      </c>
      <c r="R54" s="1169">
        <f t="shared" si="0"/>
        <v>0.72930313278746872</v>
      </c>
      <c r="S54" s="1174">
        <f t="shared" si="0"/>
        <v>0.68587435123943696</v>
      </c>
    </row>
    <row r="55" spans="1:19">
      <c r="A55" s="731" t="s">
        <v>1356</v>
      </c>
      <c r="B55" s="732" t="s">
        <v>1357</v>
      </c>
      <c r="C55" s="732" t="s">
        <v>1358</v>
      </c>
      <c r="D55" s="732" t="s">
        <v>1359</v>
      </c>
      <c r="E55" s="732" t="s">
        <v>1360</v>
      </c>
      <c r="F55" s="732" t="s">
        <v>1361</v>
      </c>
      <c r="G55" s="732" t="s">
        <v>1362</v>
      </c>
      <c r="H55" s="732" t="s">
        <v>1363</v>
      </c>
      <c r="I55" s="703"/>
      <c r="J55" s="703">
        <v>3</v>
      </c>
      <c r="K55" s="1385" t="s">
        <v>2057</v>
      </c>
      <c r="L55" s="1386"/>
      <c r="M55" s="1173">
        <f t="shared" ref="M55:S55" si="1">B74</f>
        <v>0.56823979591836737</v>
      </c>
      <c r="N55" s="1169">
        <f t="shared" si="1"/>
        <v>0.68380102040816337</v>
      </c>
      <c r="O55" s="1169">
        <f t="shared" si="1"/>
        <v>0.59056122448979609</v>
      </c>
      <c r="P55" s="1169">
        <f t="shared" si="1"/>
        <v>0.62357568027210897</v>
      </c>
      <c r="Q55" s="1169">
        <f t="shared" si="1"/>
        <v>0.55465561224489801</v>
      </c>
      <c r="R55" s="1169">
        <f t="shared" si="1"/>
        <v>0.65977359693877558</v>
      </c>
      <c r="S55" s="1174">
        <f t="shared" si="1"/>
        <v>0.69276710684273723</v>
      </c>
    </row>
    <row r="56" spans="1:19">
      <c r="A56" s="733" t="s">
        <v>2190</v>
      </c>
      <c r="B56" s="1167">
        <f>Wohnungsausnutzung!C44</f>
        <v>22.274999999999999</v>
      </c>
      <c r="C56" s="1167">
        <f>Wohnungsausnutzung!D44</f>
        <v>26.805</v>
      </c>
      <c r="D56" s="1167">
        <f>Wohnungsausnutzung!E44</f>
        <v>47.672499999999999</v>
      </c>
      <c r="E56" s="1167">
        <f>Wohnungsausnutzung!F44</f>
        <v>56.828499999999991</v>
      </c>
      <c r="F56" s="1167">
        <f>Wohnungsausnutzung!G44</f>
        <v>67.738500000000002</v>
      </c>
      <c r="G56" s="1167"/>
      <c r="H56" s="1167"/>
      <c r="I56" s="703"/>
      <c r="J56" s="703">
        <v>4</v>
      </c>
      <c r="K56" s="1385" t="s">
        <v>2058</v>
      </c>
      <c r="L56" s="1386"/>
      <c r="M56" s="1173">
        <f t="shared" ref="M56:S56" si="2">B82</f>
        <v>0.51136363636363635</v>
      </c>
      <c r="N56" s="1169">
        <f t="shared" si="2"/>
        <v>0.49228650137741048</v>
      </c>
      <c r="O56" s="1169">
        <f t="shared" si="2"/>
        <v>0.54663518299881941</v>
      </c>
      <c r="P56" s="1169">
        <f t="shared" si="2"/>
        <v>0.54871024292511905</v>
      </c>
      <c r="Q56" s="1169">
        <f t="shared" si="2"/>
        <v>0.58647076828895017</v>
      </c>
      <c r="R56" s="1169">
        <f t="shared" si="2"/>
        <v>0.6155057064147974</v>
      </c>
      <c r="S56" s="1174">
        <f t="shared" si="2"/>
        <v>0.6330578512396694</v>
      </c>
    </row>
    <row r="57" spans="1:19">
      <c r="A57" s="733" t="s">
        <v>2191</v>
      </c>
      <c r="B57" s="1168">
        <f>Wohnungsausnutzung!C42</f>
        <v>6</v>
      </c>
      <c r="C57" s="1168">
        <f>Wohnungsausnutzung!E42</f>
        <v>6</v>
      </c>
      <c r="D57" s="1168">
        <f>Wohnungsausnutzung!G42</f>
        <v>11</v>
      </c>
      <c r="E57" s="1168">
        <f>Wohnungsausnutzung!I42</f>
        <v>12</v>
      </c>
      <c r="F57" s="1168">
        <f>Wohnungsausnutzung!K42</f>
        <v>16</v>
      </c>
      <c r="G57" s="1168"/>
      <c r="H57" s="1168"/>
      <c r="I57" s="703"/>
      <c r="J57" s="703">
        <v>5</v>
      </c>
      <c r="K57" s="1385" t="s">
        <v>2059</v>
      </c>
      <c r="L57" s="1386"/>
      <c r="M57" s="1173">
        <f t="shared" ref="M57:S57" si="3">B90</f>
        <v>0.38564750692520777</v>
      </c>
      <c r="N57" s="1169">
        <f t="shared" si="3"/>
        <v>0.46407548476454297</v>
      </c>
      <c r="O57" s="1169">
        <f t="shared" si="3"/>
        <v>0.57714681440443216</v>
      </c>
      <c r="P57" s="1169">
        <f t="shared" si="3"/>
        <v>0.54254056193114364</v>
      </c>
      <c r="Q57" s="1169">
        <f t="shared" si="3"/>
        <v>0.65047487138899884</v>
      </c>
      <c r="R57" s="1169">
        <f t="shared" si="3"/>
        <v>0.71805747922437679</v>
      </c>
      <c r="S57" s="1174">
        <f t="shared" si="3"/>
        <v>0.82302246845183125</v>
      </c>
    </row>
    <row r="58" spans="1:19" ht="18" thickBot="1">
      <c r="A58" s="733" t="s">
        <v>2192</v>
      </c>
      <c r="B58" s="1169">
        <f>B56/(B57*$C54)</f>
        <v>0.61849229487713464</v>
      </c>
      <c r="C58" s="1169">
        <f>C56/(C57*$C54)</f>
        <v>0.74427321949187852</v>
      </c>
      <c r="D58" s="1169">
        <f>D56/(D57*$C54)</f>
        <v>0.72200976865699906</v>
      </c>
      <c r="E58" s="1169">
        <f>E56/(E57*$C54)</f>
        <v>0.78895599055948917</v>
      </c>
      <c r="F58" s="1169">
        <f>F56/(F57*$C54)</f>
        <v>0.70531549354435674</v>
      </c>
      <c r="G58" s="734"/>
      <c r="H58" s="734"/>
      <c r="I58" s="703"/>
      <c r="J58" s="703">
        <v>6</v>
      </c>
      <c r="K58" s="1391" t="s">
        <v>2060</v>
      </c>
      <c r="L58" s="1392"/>
      <c r="M58" s="1175">
        <f t="shared" ref="M58:S58" si="4">B98</f>
        <v>0.40156841535965387</v>
      </c>
      <c r="N58" s="1176">
        <f t="shared" si="4"/>
        <v>0.4832341806381828</v>
      </c>
      <c r="O58" s="1176">
        <f t="shared" si="4"/>
        <v>0.56341265548945385</v>
      </c>
      <c r="P58" s="1176">
        <f t="shared" si="4"/>
        <v>0.49432125473228777</v>
      </c>
      <c r="Q58" s="1176">
        <f t="shared" si="4"/>
        <v>0.50799660047902351</v>
      </c>
      <c r="R58" s="1176">
        <f t="shared" si="4"/>
        <v>0.56077609518658744</v>
      </c>
      <c r="S58" s="1177">
        <f t="shared" si="4"/>
        <v>0.66057328285559758</v>
      </c>
    </row>
    <row r="59" spans="1:19">
      <c r="A59" s="703"/>
      <c r="B59" s="703"/>
      <c r="C59" s="703"/>
      <c r="D59" s="703"/>
      <c r="E59" s="703"/>
      <c r="F59" s="703"/>
      <c r="G59" s="703"/>
      <c r="H59" s="703"/>
      <c r="I59" s="704"/>
      <c r="J59" s="703">
        <v>7</v>
      </c>
      <c r="K59" s="1393" t="s">
        <v>2061</v>
      </c>
      <c r="L59" s="1394"/>
      <c r="M59" s="1170">
        <f t="shared" ref="M59:S59" si="5">B106</f>
        <v>0.57181363111282257</v>
      </c>
      <c r="N59" s="1171">
        <f t="shared" si="5"/>
        <v>0.68810165575664239</v>
      </c>
      <c r="O59" s="1171">
        <f t="shared" si="5"/>
        <v>0.7404312668463614</v>
      </c>
      <c r="P59" s="1171">
        <f t="shared" si="5"/>
        <v>0.73570145039147739</v>
      </c>
      <c r="Q59" s="1171">
        <f t="shared" si="5"/>
        <v>0.65680111667308438</v>
      </c>
      <c r="R59" s="1171">
        <f t="shared" si="5"/>
        <v>0.78373604158644594</v>
      </c>
      <c r="S59" s="1172">
        <f t="shared" si="5"/>
        <v>0.77854361870534372</v>
      </c>
    </row>
    <row r="60" spans="1:19">
      <c r="A60" s="727" t="s">
        <v>1275</v>
      </c>
      <c r="B60" s="1041">
        <v>2.85</v>
      </c>
      <c r="C60" s="1041">
        <v>2.85</v>
      </c>
      <c r="D60" s="727"/>
      <c r="E60" s="728"/>
      <c r="F60" s="728"/>
      <c r="G60" s="728"/>
      <c r="H60" s="728"/>
      <c r="I60" s="704"/>
      <c r="J60" s="703">
        <v>8</v>
      </c>
      <c r="K60" s="1385" t="s">
        <v>2062</v>
      </c>
      <c r="L60" s="1386"/>
      <c r="M60" s="1173">
        <f t="shared" ref="M60:S60" si="6">B114</f>
        <v>0.5746355685131197</v>
      </c>
      <c r="N60" s="1169">
        <f t="shared" si="6"/>
        <v>0.70670553935860081</v>
      </c>
      <c r="O60" s="1169">
        <f t="shared" si="6"/>
        <v>0.67346938775510212</v>
      </c>
      <c r="P60" s="1169">
        <f t="shared" si="6"/>
        <v>0.70075315840621977</v>
      </c>
      <c r="Q60" s="1169">
        <f t="shared" si="6"/>
        <v>0.624963556851312</v>
      </c>
      <c r="R60" s="1169">
        <f t="shared" si="6"/>
        <v>0.74509839650145782</v>
      </c>
      <c r="S60" s="1174">
        <f t="shared" si="6"/>
        <v>0.7398121153223195</v>
      </c>
    </row>
    <row r="61" spans="1:19">
      <c r="A61" s="729" t="s">
        <v>1354</v>
      </c>
      <c r="B61" s="1038">
        <f>B60-0.2</f>
        <v>2.65</v>
      </c>
      <c r="C61" s="1038">
        <f>C60-0.2</f>
        <v>2.65</v>
      </c>
      <c r="D61" s="729"/>
      <c r="E61" s="729"/>
      <c r="F61" s="729"/>
      <c r="G61" s="729"/>
      <c r="H61" s="729"/>
      <c r="I61" s="704"/>
      <c r="J61" s="703">
        <v>9</v>
      </c>
      <c r="K61" s="1385" t="s">
        <v>2063</v>
      </c>
      <c r="L61" s="1386"/>
      <c r="M61" s="1173">
        <f t="shared" ref="M61:S61" si="7">B122</f>
        <v>0.48756957328385908</v>
      </c>
      <c r="N61" s="1169">
        <f t="shared" si="7"/>
        <v>0.59962894248608545</v>
      </c>
      <c r="O61" s="1169">
        <f t="shared" si="7"/>
        <v>0.58719851576994442</v>
      </c>
      <c r="P61" s="1169">
        <f t="shared" si="7"/>
        <v>0.6624051273401923</v>
      </c>
      <c r="Q61" s="1169">
        <f t="shared" si="7"/>
        <v>0.57572459286745004</v>
      </c>
      <c r="R61" s="1169">
        <f t="shared" si="7"/>
        <v>0.64167439703153994</v>
      </c>
      <c r="S61" s="1174">
        <f t="shared" si="7"/>
        <v>0.63613687899402183</v>
      </c>
    </row>
    <row r="62" spans="1:19">
      <c r="A62" s="730" t="s">
        <v>1355</v>
      </c>
      <c r="B62" s="1040"/>
      <c r="C62" s="1039">
        <f>C61*C61</f>
        <v>7.0225</v>
      </c>
      <c r="D62" s="730"/>
      <c r="E62" s="729"/>
      <c r="F62" s="729"/>
      <c r="G62" s="729"/>
      <c r="H62" s="729"/>
      <c r="I62" s="704"/>
      <c r="J62" s="703">
        <v>10</v>
      </c>
      <c r="K62" s="1385" t="s">
        <v>2064</v>
      </c>
      <c r="L62" s="1386"/>
      <c r="M62" s="1173">
        <f t="shared" ref="M62:S62" si="8">B130</f>
        <v>0.59814715359828141</v>
      </c>
      <c r="N62" s="1169">
        <f t="shared" si="8"/>
        <v>0.57583243823845331</v>
      </c>
      <c r="O62" s="1169">
        <f t="shared" si="8"/>
        <v>0.63802363050483357</v>
      </c>
      <c r="P62" s="1169">
        <f t="shared" si="8"/>
        <v>0.68904403866809893</v>
      </c>
      <c r="Q62" s="1169">
        <f t="shared" si="8"/>
        <v>0.73293623669563535</v>
      </c>
      <c r="R62" s="1169">
        <f t="shared" si="8"/>
        <v>0.70784103114930197</v>
      </c>
      <c r="S62" s="1174">
        <f t="shared" si="8"/>
        <v>0.68360633727175091</v>
      </c>
    </row>
    <row r="63" spans="1:19">
      <c r="A63" s="731" t="s">
        <v>1356</v>
      </c>
      <c r="B63" s="732" t="s">
        <v>1357</v>
      </c>
      <c r="C63" s="732" t="s">
        <v>1358</v>
      </c>
      <c r="D63" s="732" t="s">
        <v>1359</v>
      </c>
      <c r="E63" s="732" t="s">
        <v>1360</v>
      </c>
      <c r="F63" s="732" t="s">
        <v>1361</v>
      </c>
      <c r="G63" s="732" t="s">
        <v>1362</v>
      </c>
      <c r="H63" s="732" t="s">
        <v>1363</v>
      </c>
      <c r="I63" s="704"/>
      <c r="J63" s="703">
        <v>11</v>
      </c>
      <c r="K63" s="1385" t="s">
        <v>2065</v>
      </c>
      <c r="L63" s="1386"/>
      <c r="M63" s="1173">
        <f t="shared" ref="M63:S63" si="9">B138</f>
        <v>0.52859515899383014</v>
      </c>
      <c r="N63" s="1169">
        <f t="shared" si="9"/>
        <v>0.50887517797816806</v>
      </c>
      <c r="O63" s="1169">
        <f t="shared" si="9"/>
        <v>0.56383483626008546</v>
      </c>
      <c r="P63" s="1169">
        <f t="shared" si="9"/>
        <v>0.6506881822496442</v>
      </c>
      <c r="Q63" s="1169">
        <f t="shared" si="9"/>
        <v>0.62411010915994314</v>
      </c>
      <c r="R63" s="1169">
        <f t="shared" si="9"/>
        <v>0.65614617940199349</v>
      </c>
      <c r="S63" s="1174">
        <f t="shared" si="9"/>
        <v>0.69872533731100417</v>
      </c>
    </row>
    <row r="64" spans="1:19">
      <c r="A64" s="733" t="s">
        <v>2190</v>
      </c>
      <c r="B64" s="1167">
        <f>Wohnungsausnutzung!C87</f>
        <v>22.274999999999999</v>
      </c>
      <c r="C64" s="1167">
        <f>Wohnungsausnutzung!D87</f>
        <v>26.805</v>
      </c>
      <c r="D64" s="1167">
        <f>Wohnungsausnutzung!E87</f>
        <v>41.58</v>
      </c>
      <c r="E64" s="1167">
        <f>Wohnungsausnutzung!F87</f>
        <v>57.848500000000001</v>
      </c>
      <c r="F64" s="1167">
        <f>Wohnungsausnutzung!G87</f>
        <v>57.518499999999996</v>
      </c>
      <c r="G64" s="1167">
        <f>Wohnungsausnutzung!H87</f>
        <v>81.944499999999991</v>
      </c>
      <c r="H64" s="1167">
        <f>Wohnungsausnutzung!I87</f>
        <v>91.514499999999984</v>
      </c>
      <c r="I64" s="704"/>
      <c r="J64" s="703">
        <v>12</v>
      </c>
      <c r="K64" s="1385" t="s">
        <v>2066</v>
      </c>
      <c r="L64" s="1386"/>
      <c r="M64" s="1173">
        <f t="shared" ref="M64:S64" si="10">B146</f>
        <v>0.47353316326530615</v>
      </c>
      <c r="N64" s="1169">
        <f t="shared" si="10"/>
        <v>0.45586734693877556</v>
      </c>
      <c r="O64" s="1169">
        <f t="shared" si="10"/>
        <v>0.50510204081632659</v>
      </c>
      <c r="P64" s="1169">
        <f t="shared" si="10"/>
        <v>0.58290816326530626</v>
      </c>
      <c r="Q64" s="1169">
        <f t="shared" si="10"/>
        <v>0.55909863945578242</v>
      </c>
      <c r="R64" s="1169">
        <f t="shared" si="10"/>
        <v>0.64123376623376638</v>
      </c>
      <c r="S64" s="1174">
        <f t="shared" si="10"/>
        <v>0.7389455782312927</v>
      </c>
    </row>
    <row r="65" spans="1:19" ht="18" thickBot="1">
      <c r="A65" s="733" t="s">
        <v>2191</v>
      </c>
      <c r="B65" s="1168">
        <f>Wohnungsausnutzung!C85</f>
        <v>6</v>
      </c>
      <c r="C65" s="1168">
        <f>Wohnungsausnutzung!E85</f>
        <v>6</v>
      </c>
      <c r="D65" s="1168">
        <f>Wohnungsausnutzung!G85</f>
        <v>9</v>
      </c>
      <c r="E65" s="1168">
        <f>Wohnungsausnutzung!I85</f>
        <v>12</v>
      </c>
      <c r="F65" s="1168">
        <f>Wohnungsausnutzung!K85</f>
        <v>16</v>
      </c>
      <c r="G65" s="1168">
        <f>Wohnungsausnutzung!M85</f>
        <v>16</v>
      </c>
      <c r="H65" s="1168">
        <f>Wohnungsausnutzung!O85</f>
        <v>19</v>
      </c>
      <c r="I65" s="704"/>
      <c r="J65" s="703">
        <v>13</v>
      </c>
      <c r="K65" s="1391" t="s">
        <v>2067</v>
      </c>
      <c r="L65" s="1392"/>
      <c r="M65" s="1175">
        <f t="shared" ref="M65:S65" si="11">B154</f>
        <v>0.59423769507803126</v>
      </c>
      <c r="N65" s="1176">
        <f t="shared" si="11"/>
        <v>0.53631452581032424</v>
      </c>
      <c r="O65" s="1176">
        <f t="shared" si="11"/>
        <v>0.47539015606242507</v>
      </c>
      <c r="P65" s="1176">
        <f t="shared" si="11"/>
        <v>0.50846338535414171</v>
      </c>
      <c r="Q65" s="1176">
        <f t="shared" si="11"/>
        <v>0.5846783157707528</v>
      </c>
      <c r="R65" s="1176">
        <f t="shared" si="11"/>
        <v>0.60351413292589784</v>
      </c>
      <c r="S65" s="1177">
        <f t="shared" si="11"/>
        <v>0.61704681872749112</v>
      </c>
    </row>
    <row r="66" spans="1:19">
      <c r="A66" s="733" t="s">
        <v>2192</v>
      </c>
      <c r="B66" s="1169">
        <f t="shared" ref="B66:H66" si="12">B64/(B65*$C62)</f>
        <v>0.52865788536845848</v>
      </c>
      <c r="C66" s="1169">
        <f t="shared" si="12"/>
        <v>0.63616945532217872</v>
      </c>
      <c r="D66" s="1169">
        <f t="shared" si="12"/>
        <v>0.65788536845852619</v>
      </c>
      <c r="E66" s="1169">
        <f t="shared" si="12"/>
        <v>0.6864661208021835</v>
      </c>
      <c r="F66" s="1169">
        <f t="shared" si="12"/>
        <v>0.51191260234959057</v>
      </c>
      <c r="G66" s="1169">
        <f t="shared" si="12"/>
        <v>0.72930313278746872</v>
      </c>
      <c r="H66" s="1169">
        <f t="shared" si="12"/>
        <v>0.68587435123943696</v>
      </c>
      <c r="I66" s="704"/>
      <c r="J66" s="703">
        <v>14</v>
      </c>
      <c r="K66" s="1385" t="s">
        <v>2068</v>
      </c>
      <c r="L66" s="1386"/>
      <c r="M66" s="1170">
        <f t="shared" ref="M66:S66" si="13">B162</f>
        <v>0.60040431266846361</v>
      </c>
      <c r="N66" s="1171">
        <f t="shared" si="13"/>
        <v>0.72250673854447445</v>
      </c>
      <c r="O66" s="1171">
        <f t="shared" si="13"/>
        <v>0.51901766996106624</v>
      </c>
      <c r="P66" s="1171">
        <f t="shared" si="13"/>
        <v>0.5521787960467206</v>
      </c>
      <c r="Q66" s="1171">
        <f t="shared" si="13"/>
        <v>0.52035938903863432</v>
      </c>
      <c r="R66" s="1171">
        <f t="shared" si="13"/>
        <v>0.69358153638814024</v>
      </c>
      <c r="S66" s="1172">
        <f t="shared" si="13"/>
        <v>0.68817011081162027</v>
      </c>
    </row>
    <row r="67" spans="1:19">
      <c r="A67" s="703"/>
      <c r="B67" s="703"/>
      <c r="C67" s="703"/>
      <c r="D67" s="703"/>
      <c r="E67" s="703"/>
      <c r="F67" s="703"/>
      <c r="G67" s="703"/>
      <c r="H67" s="703"/>
      <c r="I67" s="704"/>
      <c r="J67" s="703">
        <v>15</v>
      </c>
      <c r="K67" s="1385" t="s">
        <v>2069</v>
      </c>
      <c r="L67" s="1386"/>
      <c r="M67" s="1173">
        <f t="shared" ref="M67:S67" si="14">B170</f>
        <v>0.6367924528301887</v>
      </c>
      <c r="N67" s="1169">
        <f t="shared" si="14"/>
        <v>0.61303602058319051</v>
      </c>
      <c r="O67" s="1169">
        <f t="shared" si="14"/>
        <v>0.67924528301886811</v>
      </c>
      <c r="P67" s="1169">
        <f t="shared" si="14"/>
        <v>0.56660949113779302</v>
      </c>
      <c r="Q67" s="1169">
        <f t="shared" si="14"/>
        <v>0.60277301315037168</v>
      </c>
      <c r="R67" s="1169">
        <f t="shared" si="14"/>
        <v>0.65533876500857646</v>
      </c>
      <c r="S67" s="1174">
        <f t="shared" si="14"/>
        <v>0.68116234486933713</v>
      </c>
    </row>
    <row r="68" spans="1:19">
      <c r="A68" s="727" t="s">
        <v>1275</v>
      </c>
      <c r="B68" s="1041">
        <v>3</v>
      </c>
      <c r="C68" s="1041">
        <v>3</v>
      </c>
      <c r="D68" s="727"/>
      <c r="E68" s="728"/>
      <c r="F68" s="728"/>
      <c r="G68" s="728"/>
      <c r="H68" s="728"/>
      <c r="I68" s="704"/>
      <c r="J68" s="703">
        <v>16</v>
      </c>
      <c r="K68" s="1385" t="s">
        <v>2070</v>
      </c>
      <c r="L68" s="1386"/>
      <c r="M68" s="1173">
        <f t="shared" ref="M68:S68" si="15">B178</f>
        <v>0.55300397219463759</v>
      </c>
      <c r="N68" s="1169">
        <f t="shared" si="15"/>
        <v>0.53237338629592856</v>
      </c>
      <c r="O68" s="1169">
        <f t="shared" si="15"/>
        <v>0.58987090367428019</v>
      </c>
      <c r="P68" s="1169">
        <f t="shared" si="15"/>
        <v>0.55441906653426021</v>
      </c>
      <c r="Q68" s="1169">
        <f t="shared" si="15"/>
        <v>0.58300984020944302</v>
      </c>
      <c r="R68" s="1169">
        <f t="shared" si="15"/>
        <v>0.65980990211377499</v>
      </c>
      <c r="S68" s="1174">
        <f t="shared" si="15"/>
        <v>0.63673038728897724</v>
      </c>
    </row>
    <row r="69" spans="1:19">
      <c r="A69" s="729" t="s">
        <v>1354</v>
      </c>
      <c r="B69" s="1038">
        <f>B68-0.2</f>
        <v>2.8</v>
      </c>
      <c r="C69" s="1038">
        <f>C68-0.2</f>
        <v>2.8</v>
      </c>
      <c r="D69" s="729"/>
      <c r="E69" s="729"/>
      <c r="F69" s="729"/>
      <c r="G69" s="729"/>
      <c r="H69" s="729"/>
      <c r="I69" s="704"/>
      <c r="J69" s="703">
        <v>17</v>
      </c>
      <c r="K69" s="1385" t="s">
        <v>2071</v>
      </c>
      <c r="L69" s="1386"/>
      <c r="M69" s="1173">
        <f t="shared" ref="M69:S69" si="16">B186</f>
        <v>0.65160157964019294</v>
      </c>
      <c r="N69" s="1169">
        <f t="shared" si="16"/>
        <v>0.58808688021061872</v>
      </c>
      <c r="O69" s="1169">
        <f t="shared" si="16"/>
        <v>0.60816147433084677</v>
      </c>
      <c r="P69" s="1169">
        <f t="shared" si="16"/>
        <v>0.6015796401930672</v>
      </c>
      <c r="Q69" s="1169">
        <f t="shared" si="16"/>
        <v>0.57700745941202292</v>
      </c>
      <c r="R69" s="1169">
        <f t="shared" si="16"/>
        <v>0.60662571303203161</v>
      </c>
      <c r="S69" s="1174">
        <f t="shared" si="16"/>
        <v>0.65138218516893365</v>
      </c>
    </row>
    <row r="70" spans="1:19">
      <c r="A70" s="730" t="s">
        <v>1355</v>
      </c>
      <c r="B70" s="1040"/>
      <c r="C70" s="1039">
        <f>C69*C69</f>
        <v>7.839999999999999</v>
      </c>
      <c r="D70" s="730"/>
      <c r="E70" s="729"/>
      <c r="F70" s="729"/>
      <c r="G70" s="729"/>
      <c r="H70" s="729"/>
      <c r="I70" s="704"/>
      <c r="J70" s="703">
        <v>18</v>
      </c>
      <c r="K70" s="1385" t="s">
        <v>2072</v>
      </c>
      <c r="L70" s="1386"/>
      <c r="M70" s="1173">
        <f t="shared" ref="M70:S70" si="17">B194</f>
        <v>0.58372641509433965</v>
      </c>
      <c r="N70" s="1169">
        <f t="shared" si="17"/>
        <v>0.52682783018867929</v>
      </c>
      <c r="O70" s="1169">
        <f t="shared" si="17"/>
        <v>0.6537735849056604</v>
      </c>
      <c r="P70" s="1169">
        <f t="shared" si="17"/>
        <v>0.5389150943396227</v>
      </c>
      <c r="Q70" s="1169">
        <f t="shared" si="17"/>
        <v>0.5743361285814117</v>
      </c>
      <c r="R70" s="1169">
        <f t="shared" si="17"/>
        <v>0.59283876500857635</v>
      </c>
      <c r="S70" s="1174">
        <f t="shared" si="17"/>
        <v>0.60613207547169812</v>
      </c>
    </row>
    <row r="71" spans="1:19">
      <c r="A71" s="731" t="s">
        <v>1356</v>
      </c>
      <c r="B71" s="732" t="s">
        <v>1357</v>
      </c>
      <c r="C71" s="732" t="s">
        <v>1358</v>
      </c>
      <c r="D71" s="732" t="s">
        <v>1359</v>
      </c>
      <c r="E71" s="732" t="s">
        <v>1360</v>
      </c>
      <c r="F71" s="732" t="s">
        <v>1361</v>
      </c>
      <c r="G71" s="732" t="s">
        <v>1362</v>
      </c>
      <c r="H71" s="732" t="s">
        <v>1363</v>
      </c>
      <c r="I71" s="704"/>
      <c r="J71" s="703">
        <v>19</v>
      </c>
      <c r="K71" s="1385" t="s">
        <v>2073</v>
      </c>
      <c r="L71" s="1386"/>
      <c r="M71" s="1173">
        <f t="shared" ref="M71:S71" si="18">B202</f>
        <v>0.54938956714761378</v>
      </c>
      <c r="N71" s="1169">
        <f t="shared" si="18"/>
        <v>0.49583795782463935</v>
      </c>
      <c r="O71" s="1169">
        <f t="shared" si="18"/>
        <v>0.61531631520532748</v>
      </c>
      <c r="P71" s="1169">
        <f t="shared" si="18"/>
        <v>0.50721420643729198</v>
      </c>
      <c r="Q71" s="1169">
        <f t="shared" si="18"/>
        <v>0.54055165042956388</v>
      </c>
      <c r="R71" s="1169">
        <f t="shared" si="18"/>
        <v>0.55796589647866013</v>
      </c>
      <c r="S71" s="1174">
        <f t="shared" si="18"/>
        <v>0.57047724750277473</v>
      </c>
    </row>
    <row r="72" spans="1:19" ht="18" thickBot="1">
      <c r="A72" s="733" t="s">
        <v>2190</v>
      </c>
      <c r="B72" s="1167">
        <f>Wohnungsausnutzung!C130</f>
        <v>22.274999999999999</v>
      </c>
      <c r="C72" s="1167">
        <f>Wohnungsausnutzung!D130</f>
        <v>26.805</v>
      </c>
      <c r="D72" s="1167">
        <f>Wohnungsausnutzung!E130</f>
        <v>41.67</v>
      </c>
      <c r="E72" s="1167">
        <f>Wohnungsausnutzung!F130</f>
        <v>58.665999999999997</v>
      </c>
      <c r="F72" s="1167">
        <f>Wohnungsausnutzung!G130</f>
        <v>69.575999999999993</v>
      </c>
      <c r="G72" s="1167">
        <f>Wohnungsausnutzung!H130</f>
        <v>82.762</v>
      </c>
      <c r="H72" s="1167">
        <f>Wohnungsausnutzung!I130</f>
        <v>92.331999999999994</v>
      </c>
      <c r="I72" s="704"/>
      <c r="J72" s="703">
        <v>20</v>
      </c>
      <c r="K72" s="1391" t="s">
        <v>2074</v>
      </c>
      <c r="L72" s="1392"/>
      <c r="M72" s="1175">
        <f t="shared" ref="M72:S72" si="19">B210</f>
        <v>0.50943396226415094</v>
      </c>
      <c r="N72" s="1176">
        <f t="shared" si="19"/>
        <v>0.4597770154373928</v>
      </c>
      <c r="O72" s="1176">
        <f t="shared" si="19"/>
        <v>0.57056603773584902</v>
      </c>
      <c r="P72" s="1176">
        <f t="shared" si="19"/>
        <v>0.47032590051457979</v>
      </c>
      <c r="Q72" s="1176">
        <f t="shared" si="19"/>
        <v>0.50123880312559566</v>
      </c>
      <c r="R72" s="1176">
        <f t="shared" si="19"/>
        <v>0.51738655855293936</v>
      </c>
      <c r="S72" s="1177">
        <f t="shared" si="19"/>
        <v>0.52898799313893663</v>
      </c>
    </row>
    <row r="73" spans="1:19">
      <c r="A73" s="733" t="s">
        <v>2191</v>
      </c>
      <c r="B73" s="1168">
        <f>Wohnungsausnutzung!C128</f>
        <v>5</v>
      </c>
      <c r="C73" s="1168">
        <f>Wohnungsausnutzung!E128</f>
        <v>5</v>
      </c>
      <c r="D73" s="1168">
        <f>Wohnungsausnutzung!G128</f>
        <v>9</v>
      </c>
      <c r="E73" s="1168">
        <f>Wohnungsausnutzung!I128</f>
        <v>12</v>
      </c>
      <c r="F73" s="1168">
        <f>Wohnungsausnutzung!K128</f>
        <v>16</v>
      </c>
      <c r="G73" s="1168">
        <f>Wohnungsausnutzung!M128</f>
        <v>16</v>
      </c>
      <c r="H73" s="1168">
        <f>Wohnungsausnutzung!O128</f>
        <v>17</v>
      </c>
      <c r="I73" s="704"/>
      <c r="J73" s="703">
        <v>21</v>
      </c>
      <c r="K73" s="1385" t="s">
        <v>2300</v>
      </c>
      <c r="L73" s="1386"/>
      <c r="M73" s="1170">
        <f t="shared" ref="M73:S73" si="20">B218</f>
        <v>0.60267857142857151</v>
      </c>
      <c r="N73" s="1171">
        <f t="shared" si="20"/>
        <v>0.58019480519480537</v>
      </c>
      <c r="O73" s="1171">
        <f t="shared" si="20"/>
        <v>0.64285714285714302</v>
      </c>
      <c r="P73" s="1171">
        <f t="shared" si="20"/>
        <v>0.63046044864226691</v>
      </c>
      <c r="Q73" s="1171">
        <f t="shared" si="20"/>
        <v>0.67631673881673893</v>
      </c>
      <c r="R73" s="1171">
        <f t="shared" si="20"/>
        <v>0.62357954545454553</v>
      </c>
      <c r="S73" s="1172">
        <f t="shared" si="20"/>
        <v>0.64782276546982431</v>
      </c>
    </row>
    <row r="74" spans="1:19">
      <c r="A74" s="733" t="s">
        <v>2192</v>
      </c>
      <c r="B74" s="1169">
        <f t="shared" ref="B74:H74" si="21">B72/(B73*$C70)</f>
        <v>0.56823979591836737</v>
      </c>
      <c r="C74" s="1169">
        <f t="shared" si="21"/>
        <v>0.68380102040816337</v>
      </c>
      <c r="D74" s="1169">
        <f t="shared" si="21"/>
        <v>0.59056122448979609</v>
      </c>
      <c r="E74" s="1169">
        <f t="shared" si="21"/>
        <v>0.62357568027210897</v>
      </c>
      <c r="F74" s="1169">
        <f t="shared" si="21"/>
        <v>0.55465561224489801</v>
      </c>
      <c r="G74" s="1169">
        <f t="shared" si="21"/>
        <v>0.65977359693877558</v>
      </c>
      <c r="H74" s="1169">
        <f t="shared" si="21"/>
        <v>0.69276710684273723</v>
      </c>
      <c r="I74" s="704"/>
      <c r="J74" s="703">
        <v>22</v>
      </c>
      <c r="K74" s="1385" t="s">
        <v>2301</v>
      </c>
      <c r="L74" s="1386"/>
      <c r="M74" s="1173">
        <f t="shared" ref="M74:S74" si="22">B226</f>
        <v>0.52337875939849632</v>
      </c>
      <c r="N74" s="1169">
        <f t="shared" si="22"/>
        <v>0.50385338345864661</v>
      </c>
      <c r="O74" s="1169">
        <f t="shared" si="22"/>
        <v>0.55827067669172947</v>
      </c>
      <c r="P74" s="1169">
        <f t="shared" si="22"/>
        <v>0.61541353383458652</v>
      </c>
      <c r="Q74" s="1169">
        <f t="shared" si="22"/>
        <v>0.6526828434723172</v>
      </c>
      <c r="R74" s="1169">
        <f t="shared" si="22"/>
        <v>0.62828947368421062</v>
      </c>
      <c r="S74" s="1174">
        <f t="shared" si="22"/>
        <v>0.60596804511278202</v>
      </c>
    </row>
    <row r="75" spans="1:19">
      <c r="A75" s="717"/>
      <c r="B75" s="717"/>
      <c r="C75" s="703"/>
      <c r="D75" s="717"/>
      <c r="E75" s="703"/>
      <c r="F75" s="703"/>
      <c r="G75" s="703"/>
      <c r="H75" s="703"/>
      <c r="I75" s="704"/>
      <c r="J75" s="703">
        <v>23</v>
      </c>
      <c r="K75" s="1385" t="s">
        <v>2302</v>
      </c>
      <c r="L75" s="1386"/>
      <c r="M75" s="1173">
        <f t="shared" ref="M75:S75" si="23">B234</f>
        <v>0.61669435215946844</v>
      </c>
      <c r="N75" s="1169">
        <f t="shared" si="23"/>
        <v>0.55658222591362128</v>
      </c>
      <c r="O75" s="1169">
        <f t="shared" si="23"/>
        <v>0.57558139534883723</v>
      </c>
      <c r="P75" s="1169">
        <f t="shared" si="23"/>
        <v>0.56935215946843865</v>
      </c>
      <c r="Q75" s="1169">
        <f t="shared" si="23"/>
        <v>0.54609634551495023</v>
      </c>
      <c r="R75" s="1169">
        <f t="shared" si="23"/>
        <v>0.57412790697674421</v>
      </c>
      <c r="S75" s="1174">
        <f t="shared" si="23"/>
        <v>0.57895902547065337</v>
      </c>
    </row>
    <row r="76" spans="1:19">
      <c r="A76" s="727" t="s">
        <v>1275</v>
      </c>
      <c r="B76" s="1041">
        <v>3.5</v>
      </c>
      <c r="C76" s="1041">
        <v>3.5</v>
      </c>
      <c r="D76" s="727"/>
      <c r="E76" s="728"/>
      <c r="F76" s="728"/>
      <c r="G76" s="728"/>
      <c r="H76" s="728"/>
      <c r="I76" s="704"/>
      <c r="J76" s="703">
        <v>24</v>
      </c>
      <c r="K76" s="1385" t="s">
        <v>2303</v>
      </c>
      <c r="L76" s="1386"/>
      <c r="M76" s="1173">
        <f t="shared" ref="M76:S76" si="24">B242</f>
        <v>0.5524553571428571</v>
      </c>
      <c r="N76" s="1169">
        <f t="shared" si="24"/>
        <v>0.49860491071428575</v>
      </c>
      <c r="O76" s="1169">
        <f t="shared" si="24"/>
        <v>0.61874999999999991</v>
      </c>
      <c r="P76" s="1169">
        <f t="shared" si="24"/>
        <v>0.5100446428571429</v>
      </c>
      <c r="Q76" s="1169">
        <f t="shared" si="24"/>
        <v>0.48921130952380948</v>
      </c>
      <c r="R76" s="1169">
        <f t="shared" si="24"/>
        <v>0.56107954545454541</v>
      </c>
      <c r="S76" s="1174">
        <f t="shared" si="24"/>
        <v>0.5736607142857143</v>
      </c>
    </row>
    <row r="77" spans="1:19">
      <c r="A77" s="729" t="s">
        <v>1354</v>
      </c>
      <c r="B77" s="1038">
        <f>B76-0.2</f>
        <v>3.3</v>
      </c>
      <c r="C77" s="1038">
        <f>C76-0.2</f>
        <v>3.3</v>
      </c>
      <c r="D77" s="729"/>
      <c r="E77" s="729"/>
      <c r="F77" s="729"/>
      <c r="G77" s="729"/>
      <c r="H77" s="729"/>
      <c r="I77" s="704"/>
      <c r="J77" s="703">
        <v>25</v>
      </c>
      <c r="K77" s="1385" t="s">
        <v>2304</v>
      </c>
      <c r="L77" s="1386"/>
      <c r="M77" s="1173">
        <f t="shared" ref="M77:S77" si="25">B250</f>
        <v>0.51995798319327746</v>
      </c>
      <c r="N77" s="1169">
        <f t="shared" si="25"/>
        <v>0.46927521008403367</v>
      </c>
      <c r="O77" s="1169">
        <f t="shared" si="25"/>
        <v>0.58235294117647063</v>
      </c>
      <c r="P77" s="1169">
        <f t="shared" si="25"/>
        <v>0.48004201680672282</v>
      </c>
      <c r="Q77" s="1169">
        <f t="shared" si="25"/>
        <v>0.51159352629940869</v>
      </c>
      <c r="R77" s="1169">
        <f t="shared" si="25"/>
        <v>0.52807486631016054</v>
      </c>
      <c r="S77" s="1174">
        <f t="shared" si="25"/>
        <v>0.5399159663865547</v>
      </c>
    </row>
    <row r="78" spans="1:19">
      <c r="A78" s="730" t="s">
        <v>1355</v>
      </c>
      <c r="B78" s="1040"/>
      <c r="C78" s="1039">
        <f>C77*C77</f>
        <v>10.889999999999999</v>
      </c>
      <c r="D78" s="730"/>
      <c r="E78" s="729"/>
      <c r="F78" s="729"/>
      <c r="G78" s="729"/>
      <c r="H78" s="729"/>
      <c r="I78" s="704"/>
      <c r="J78" s="703">
        <v>26</v>
      </c>
      <c r="K78" s="1385" t="s">
        <v>2305</v>
      </c>
      <c r="L78" s="1386"/>
      <c r="M78" s="1173">
        <f t="shared" ref="M78:S78" si="26">B258</f>
        <v>0.48214285714285715</v>
      </c>
      <c r="N78" s="1169">
        <f t="shared" si="26"/>
        <v>0.43514610389610392</v>
      </c>
      <c r="O78" s="1169">
        <f t="shared" si="26"/>
        <v>0.53999999999999992</v>
      </c>
      <c r="P78" s="1169">
        <f t="shared" si="26"/>
        <v>0.44512987012987021</v>
      </c>
      <c r="Q78" s="1169">
        <f t="shared" si="26"/>
        <v>0.47438672438672441</v>
      </c>
      <c r="R78" s="1169">
        <f t="shared" si="26"/>
        <v>0.4896694214876034</v>
      </c>
      <c r="S78" s="1174">
        <f t="shared" si="26"/>
        <v>0.50064935064935068</v>
      </c>
    </row>
    <row r="79" spans="1:19" ht="18" thickBot="1">
      <c r="A79" s="731" t="s">
        <v>1356</v>
      </c>
      <c r="B79" s="732" t="s">
        <v>1357</v>
      </c>
      <c r="C79" s="732" t="s">
        <v>1358</v>
      </c>
      <c r="D79" s="732" t="s">
        <v>1359</v>
      </c>
      <c r="E79" s="732" t="s">
        <v>1360</v>
      </c>
      <c r="F79" s="732" t="s">
        <v>1361</v>
      </c>
      <c r="G79" s="732" t="s">
        <v>1362</v>
      </c>
      <c r="H79" s="732" t="s">
        <v>1363</v>
      </c>
      <c r="I79" s="704"/>
      <c r="J79" s="703">
        <v>27</v>
      </c>
      <c r="K79" s="1391" t="s">
        <v>2306</v>
      </c>
      <c r="L79" s="1392"/>
      <c r="M79" s="1175">
        <f t="shared" ref="M79:S79" si="27">B266</f>
        <v>0.45720443349753692</v>
      </c>
      <c r="N79" s="1176">
        <f t="shared" si="27"/>
        <v>0.41263854679802958</v>
      </c>
      <c r="O79" s="1176">
        <f t="shared" si="27"/>
        <v>0.51206896551724146</v>
      </c>
      <c r="P79" s="1176">
        <f t="shared" si="27"/>
        <v>0.48240675580577064</v>
      </c>
      <c r="Q79" s="1176">
        <f t="shared" si="27"/>
        <v>0.44984948002189384</v>
      </c>
      <c r="R79" s="1176">
        <f t="shared" si="27"/>
        <v>0.46434169278996873</v>
      </c>
      <c r="S79" s="1177">
        <f t="shared" si="27"/>
        <v>0.47475369458128081</v>
      </c>
    </row>
    <row r="80" spans="1:19">
      <c r="A80" s="733" t="s">
        <v>2190</v>
      </c>
      <c r="B80" s="1167">
        <f>Wohnungsausnutzung!C173</f>
        <v>22.274999999999999</v>
      </c>
      <c r="C80" s="1167">
        <f>Wohnungsausnutzung!D173</f>
        <v>26.805</v>
      </c>
      <c r="D80" s="1167">
        <f>Wohnungsausnutzung!E173</f>
        <v>41.67</v>
      </c>
      <c r="E80" s="1167">
        <f>Wohnungsausnutzung!F173</f>
        <v>65.73</v>
      </c>
      <c r="F80" s="1167">
        <f>Wohnungsausnutzung!G173</f>
        <v>76.64</v>
      </c>
      <c r="G80" s="1167">
        <f>Wohnungsausnutzung!H173</f>
        <v>93.84</v>
      </c>
      <c r="H80" s="1167">
        <f>Wohnungsausnutzung!I173</f>
        <v>103.41</v>
      </c>
      <c r="I80" s="704"/>
      <c r="J80" s="703">
        <v>28</v>
      </c>
      <c r="K80" s="1385" t="s">
        <v>2075</v>
      </c>
      <c r="L80" s="1386"/>
      <c r="M80" s="1170">
        <f t="shared" ref="M80:S80" si="28">B274</f>
        <v>0.44407894736842107</v>
      </c>
      <c r="N80" s="1171">
        <f t="shared" si="28"/>
        <v>0.42751196172248807</v>
      </c>
      <c r="O80" s="1171">
        <f t="shared" si="28"/>
        <v>0.47573479152426518</v>
      </c>
      <c r="P80" s="1171">
        <f t="shared" si="28"/>
        <v>0.53732057416267942</v>
      </c>
      <c r="Q80" s="1171">
        <f t="shared" si="28"/>
        <v>0.56756560823546476</v>
      </c>
      <c r="R80" s="1171">
        <f t="shared" si="28"/>
        <v>0.63456937799043067</v>
      </c>
      <c r="S80" s="1172">
        <f t="shared" si="28"/>
        <v>0.64446080235553926</v>
      </c>
    </row>
    <row r="81" spans="1:19">
      <c r="A81" s="733" t="s">
        <v>2191</v>
      </c>
      <c r="B81" s="1168">
        <f>Wohnungsausnutzung!C171</f>
        <v>4</v>
      </c>
      <c r="C81" s="1168">
        <f>Wohnungsausnutzung!E171</f>
        <v>5</v>
      </c>
      <c r="D81" s="1168">
        <f>Wohnungsausnutzung!G171</f>
        <v>7</v>
      </c>
      <c r="E81" s="1168">
        <f>Wohnungsausnutzung!I171</f>
        <v>11</v>
      </c>
      <c r="F81" s="1168">
        <f>Wohnungsausnutzung!K171</f>
        <v>12</v>
      </c>
      <c r="G81" s="1168">
        <f>Wohnungsausnutzung!M171</f>
        <v>14</v>
      </c>
      <c r="H81" s="1168">
        <f>Wohnungsausnutzung!O171</f>
        <v>15</v>
      </c>
      <c r="I81" s="704"/>
      <c r="J81" s="703">
        <v>29</v>
      </c>
      <c r="K81" s="1385" t="s">
        <v>2076</v>
      </c>
      <c r="L81" s="1386"/>
      <c r="M81" s="1173">
        <f t="shared" ref="M81:S81" si="29">B282</f>
        <v>0.39244186046511625</v>
      </c>
      <c r="N81" s="1169">
        <f t="shared" si="29"/>
        <v>0.47225158562367864</v>
      </c>
      <c r="O81" s="1169">
        <f t="shared" si="29"/>
        <v>0.49048625792811834</v>
      </c>
      <c r="P81" s="1169">
        <f t="shared" si="29"/>
        <v>0.55209906372697071</v>
      </c>
      <c r="Q81" s="1169">
        <f t="shared" si="29"/>
        <v>0.51483830553597998</v>
      </c>
      <c r="R81" s="1169">
        <f t="shared" si="29"/>
        <v>0.58456659619450313</v>
      </c>
      <c r="S81" s="1174">
        <f t="shared" si="29"/>
        <v>0.62667371388301618</v>
      </c>
    </row>
    <row r="82" spans="1:19">
      <c r="A82" s="733" t="s">
        <v>2192</v>
      </c>
      <c r="B82" s="1169">
        <f t="shared" ref="B82:H82" si="30">B80/(B81*$C78)</f>
        <v>0.51136363636363635</v>
      </c>
      <c r="C82" s="1169">
        <f t="shared" si="30"/>
        <v>0.49228650137741048</v>
      </c>
      <c r="D82" s="1169">
        <f t="shared" si="30"/>
        <v>0.54663518299881941</v>
      </c>
      <c r="E82" s="1169">
        <f t="shared" si="30"/>
        <v>0.54871024292511905</v>
      </c>
      <c r="F82" s="1169">
        <f t="shared" si="30"/>
        <v>0.58647076828895017</v>
      </c>
      <c r="G82" s="1169">
        <f t="shared" si="30"/>
        <v>0.6155057064147974</v>
      </c>
      <c r="H82" s="1169">
        <f t="shared" si="30"/>
        <v>0.6330578512396694</v>
      </c>
      <c r="I82" s="704"/>
      <c r="J82" s="703">
        <v>30</v>
      </c>
      <c r="K82" s="1385" t="s">
        <v>2077</v>
      </c>
      <c r="L82" s="1386"/>
      <c r="M82" s="1173">
        <f t="shared" ref="M82:S82" si="31">B290</f>
        <v>0.46875</v>
      </c>
      <c r="N82" s="1169">
        <f t="shared" si="31"/>
        <v>0.56407828282828287</v>
      </c>
      <c r="O82" s="1169">
        <f t="shared" si="31"/>
        <v>0.65909090909090917</v>
      </c>
      <c r="P82" s="1169">
        <f t="shared" si="31"/>
        <v>0.49458874458874469</v>
      </c>
      <c r="Q82" s="1169">
        <f t="shared" si="31"/>
        <v>0.5415764790764791</v>
      </c>
      <c r="R82" s="1169">
        <f t="shared" si="31"/>
        <v>0.52367424242424254</v>
      </c>
      <c r="S82" s="1174">
        <f t="shared" si="31"/>
        <v>0.62190082644628109</v>
      </c>
    </row>
    <row r="83" spans="1:19">
      <c r="A83" s="1216"/>
      <c r="B83" s="1217"/>
      <c r="C83" s="1217"/>
      <c r="D83" s="1217"/>
      <c r="E83" s="1217"/>
      <c r="F83" s="1217"/>
      <c r="G83" s="1217"/>
      <c r="H83" s="1217"/>
      <c r="I83" s="704"/>
      <c r="J83" s="703">
        <v>31</v>
      </c>
      <c r="K83" s="1385" t="s">
        <v>2078</v>
      </c>
      <c r="L83" s="1386"/>
      <c r="M83" s="1173">
        <f t="shared" ref="M83:S83" si="32">B298</f>
        <v>0.44117647058823534</v>
      </c>
      <c r="N83" s="1169">
        <f t="shared" si="32"/>
        <v>0.53089720736779566</v>
      </c>
      <c r="O83" s="1169">
        <f t="shared" si="32"/>
        <v>0.6203208556149733</v>
      </c>
      <c r="P83" s="1169">
        <f t="shared" si="32"/>
        <v>0.5430778371954843</v>
      </c>
      <c r="Q83" s="1169">
        <f t="shared" si="32"/>
        <v>0.59467221231927114</v>
      </c>
      <c r="R83" s="1169">
        <f t="shared" si="32"/>
        <v>0.70409982174688068</v>
      </c>
      <c r="S83" s="1174">
        <f t="shared" si="32"/>
        <v>0.61081402257872852</v>
      </c>
    </row>
    <row r="84" spans="1:19">
      <c r="A84" s="727" t="s">
        <v>1275</v>
      </c>
      <c r="B84" s="1041">
        <v>4</v>
      </c>
      <c r="C84" s="1041">
        <v>4</v>
      </c>
      <c r="D84" s="727"/>
      <c r="E84" s="728"/>
      <c r="F84" s="728"/>
      <c r="G84" s="728"/>
      <c r="H84" s="728"/>
      <c r="I84" s="704"/>
      <c r="J84" s="703">
        <v>32</v>
      </c>
      <c r="K84" s="1385" t="s">
        <v>2079</v>
      </c>
      <c r="L84" s="1386"/>
      <c r="M84" s="1173">
        <f t="shared" ref="M84:S84" si="33">B306</f>
        <v>0.40909090909090912</v>
      </c>
      <c r="N84" s="1169">
        <f t="shared" si="33"/>
        <v>0.49228650137741048</v>
      </c>
      <c r="O84" s="1169">
        <f t="shared" si="33"/>
        <v>0.57520661157024799</v>
      </c>
      <c r="P84" s="1169">
        <f t="shared" si="33"/>
        <v>0.50358126721763097</v>
      </c>
      <c r="Q84" s="1169">
        <f t="shared" si="33"/>
        <v>0.60376492194674014</v>
      </c>
      <c r="R84" s="1169">
        <f t="shared" si="33"/>
        <v>0.65289256198347123</v>
      </c>
      <c r="S84" s="1174">
        <f t="shared" si="33"/>
        <v>0.63719008264462818</v>
      </c>
    </row>
    <row r="85" spans="1:19" ht="18" thickBot="1">
      <c r="A85" s="729" t="s">
        <v>1354</v>
      </c>
      <c r="B85" s="1038">
        <f>B84-0.2</f>
        <v>3.8</v>
      </c>
      <c r="C85" s="1038">
        <f>C84-0.2</f>
        <v>3.8</v>
      </c>
      <c r="D85" s="729"/>
      <c r="E85" s="729"/>
      <c r="F85" s="729"/>
      <c r="G85" s="729"/>
      <c r="H85" s="729"/>
      <c r="I85" s="704"/>
      <c r="J85" s="703">
        <v>33</v>
      </c>
      <c r="K85" s="1391" t="s">
        <v>2080</v>
      </c>
      <c r="L85" s="1392"/>
      <c r="M85" s="1175">
        <f t="shared" ref="M85:S85" si="34">B314</f>
        <v>0.38793103448275867</v>
      </c>
      <c r="N85" s="1176">
        <f t="shared" si="34"/>
        <v>0.46682340647857901</v>
      </c>
      <c r="O85" s="1176">
        <f t="shared" si="34"/>
        <v>0.54545454545454553</v>
      </c>
      <c r="P85" s="1176">
        <f t="shared" si="34"/>
        <v>0.5730407523510973</v>
      </c>
      <c r="Q85" s="1176">
        <f t="shared" si="34"/>
        <v>0.57253570184604685</v>
      </c>
      <c r="R85" s="1176">
        <f t="shared" si="34"/>
        <v>0.6191222570532916</v>
      </c>
      <c r="S85" s="1177">
        <f t="shared" si="34"/>
        <v>0.60423197492163017</v>
      </c>
    </row>
    <row r="86" spans="1:19">
      <c r="A86" s="730" t="s">
        <v>1355</v>
      </c>
      <c r="B86" s="1040"/>
      <c r="C86" s="1039">
        <f>C85*C85</f>
        <v>14.44</v>
      </c>
      <c r="D86" s="730"/>
      <c r="E86" s="729"/>
      <c r="F86" s="729"/>
      <c r="G86" s="729"/>
      <c r="H86" s="729"/>
      <c r="I86" s="703"/>
      <c r="J86" s="703">
        <v>34</v>
      </c>
      <c r="K86" s="1385" t="s">
        <v>2081</v>
      </c>
      <c r="L86" s="1386"/>
      <c r="M86" s="1170">
        <f t="shared" ref="M86:S86" si="35">B322</f>
        <v>0.45440636474908203</v>
      </c>
      <c r="N86" s="1171">
        <f t="shared" si="35"/>
        <v>0.54681762545899637</v>
      </c>
      <c r="O86" s="1171">
        <f t="shared" si="35"/>
        <v>0.72705018359853113</v>
      </c>
      <c r="P86" s="1171">
        <f t="shared" si="35"/>
        <v>0.55936352509179932</v>
      </c>
      <c r="Q86" s="1171">
        <f t="shared" si="35"/>
        <v>0.57483825843678971</v>
      </c>
      <c r="R86" s="1171">
        <f t="shared" si="35"/>
        <v>0.63456242350061198</v>
      </c>
      <c r="S86" s="1172">
        <f t="shared" si="35"/>
        <v>0.66621787025703794</v>
      </c>
    </row>
    <row r="87" spans="1:19">
      <c r="A87" s="731" t="s">
        <v>1356</v>
      </c>
      <c r="B87" s="732" t="s">
        <v>1357</v>
      </c>
      <c r="C87" s="732" t="s">
        <v>1358</v>
      </c>
      <c r="D87" s="732" t="s">
        <v>1359</v>
      </c>
      <c r="E87" s="732" t="s">
        <v>1360</v>
      </c>
      <c r="F87" s="732" t="s">
        <v>1361</v>
      </c>
      <c r="G87" s="732" t="s">
        <v>1362</v>
      </c>
      <c r="H87" s="732" t="s">
        <v>1363</v>
      </c>
      <c r="I87" s="703"/>
      <c r="J87" s="703">
        <v>35</v>
      </c>
      <c r="K87" s="1385" t="s">
        <v>2082</v>
      </c>
      <c r="L87" s="1386"/>
      <c r="M87" s="1173">
        <f t="shared" ref="M87:S87" si="36">B330</f>
        <v>0.4070723684210526</v>
      </c>
      <c r="N87" s="1169">
        <f t="shared" si="36"/>
        <v>0.48985745614035087</v>
      </c>
      <c r="O87" s="1169">
        <f t="shared" si="36"/>
        <v>0.57236842105263164</v>
      </c>
      <c r="P87" s="1169">
        <f t="shared" si="36"/>
        <v>0.61864035087719305</v>
      </c>
      <c r="Q87" s="1169">
        <f t="shared" si="36"/>
        <v>0.72094298245614041</v>
      </c>
      <c r="R87" s="1169">
        <f t="shared" si="36"/>
        <v>0.64967105263157898</v>
      </c>
      <c r="S87" s="1174">
        <f t="shared" si="36"/>
        <v>0.63404605263157898</v>
      </c>
    </row>
    <row r="88" spans="1:19">
      <c r="A88" s="733" t="s">
        <v>2190</v>
      </c>
      <c r="B88" s="1167">
        <f>Wohnungsausnutzung!C216</f>
        <v>22.274999999999999</v>
      </c>
      <c r="C88" s="1167">
        <f>Wohnungsausnutzung!D216</f>
        <v>26.805</v>
      </c>
      <c r="D88" s="1167">
        <f>Wohnungsausnutzung!E216</f>
        <v>41.67</v>
      </c>
      <c r="E88" s="1167">
        <f>Wohnungsausnutzung!F216</f>
        <v>54.839999999999996</v>
      </c>
      <c r="F88" s="1167">
        <f>Wohnungsausnutzung!G216</f>
        <v>65.75</v>
      </c>
      <c r="G88" s="1167">
        <f>Wohnungsausnutzung!H216</f>
        <v>82.95</v>
      </c>
      <c r="H88" s="1167">
        <f>Wohnungsausnutzung!I216</f>
        <v>106.96</v>
      </c>
      <c r="I88" s="703"/>
      <c r="J88" s="703">
        <v>36</v>
      </c>
      <c r="K88" s="1385" t="s">
        <v>2083</v>
      </c>
      <c r="L88" s="1386"/>
      <c r="M88" s="1173">
        <f t="shared" ref="M88:S88" si="37">B338</f>
        <v>0.38312693498452011</v>
      </c>
      <c r="N88" s="1169">
        <f t="shared" si="37"/>
        <v>0.46104231166150672</v>
      </c>
      <c r="O88" s="1169">
        <f t="shared" si="37"/>
        <v>0.53869969040247678</v>
      </c>
      <c r="P88" s="1169">
        <f t="shared" si="37"/>
        <v>0.58224974200206403</v>
      </c>
      <c r="Q88" s="1169">
        <f t="shared" si="37"/>
        <v>0.67853457172342624</v>
      </c>
      <c r="R88" s="1169">
        <f t="shared" si="37"/>
        <v>0.61145510835913319</v>
      </c>
      <c r="S88" s="1174">
        <f t="shared" si="37"/>
        <v>0.68199911543564795</v>
      </c>
    </row>
    <row r="89" spans="1:19">
      <c r="A89" s="733" t="s">
        <v>2191</v>
      </c>
      <c r="B89" s="1168">
        <f>Wohnungsausnutzung!C214</f>
        <v>4</v>
      </c>
      <c r="C89" s="1168">
        <f>Wohnungsausnutzung!E214</f>
        <v>4</v>
      </c>
      <c r="D89" s="1168">
        <f>Wohnungsausnutzung!G214</f>
        <v>5</v>
      </c>
      <c r="E89" s="1168">
        <f>Wohnungsausnutzung!I214</f>
        <v>7</v>
      </c>
      <c r="F89" s="1168">
        <f>Wohnungsausnutzung!K214</f>
        <v>7</v>
      </c>
      <c r="G89" s="1168">
        <f>Wohnungsausnutzung!M214</f>
        <v>8</v>
      </c>
      <c r="H89" s="1168">
        <f>Wohnungsausnutzung!O214</f>
        <v>9</v>
      </c>
      <c r="I89" s="703"/>
      <c r="J89" s="703">
        <v>37</v>
      </c>
      <c r="K89" s="1385" t="s">
        <v>2084</v>
      </c>
      <c r="L89" s="1386"/>
      <c r="M89" s="1173">
        <f t="shared" ref="M89:S89" si="38">B346</f>
        <v>0.35526315789473684</v>
      </c>
      <c r="N89" s="1169">
        <f t="shared" si="38"/>
        <v>0.42751196172248807</v>
      </c>
      <c r="O89" s="1169">
        <f t="shared" si="38"/>
        <v>0.49952153110047848</v>
      </c>
      <c r="P89" s="1169">
        <f t="shared" si="38"/>
        <v>0.53990430622009566</v>
      </c>
      <c r="Q89" s="1169">
        <f t="shared" si="38"/>
        <v>0.62918660287081341</v>
      </c>
      <c r="R89" s="1169">
        <f t="shared" si="38"/>
        <v>0.66148325358851678</v>
      </c>
      <c r="S89" s="1174">
        <f t="shared" si="38"/>
        <v>0.63239917976760085</v>
      </c>
    </row>
    <row r="90" spans="1:19" ht="18" thickBot="1">
      <c r="A90" s="733" t="s">
        <v>2192</v>
      </c>
      <c r="B90" s="1169">
        <f t="shared" ref="B90:H90" si="39">B88/(B89*$C86)</f>
        <v>0.38564750692520777</v>
      </c>
      <c r="C90" s="1169">
        <f t="shared" si="39"/>
        <v>0.46407548476454297</v>
      </c>
      <c r="D90" s="1169">
        <f t="shared" si="39"/>
        <v>0.57714681440443216</v>
      </c>
      <c r="E90" s="1169">
        <f t="shared" si="39"/>
        <v>0.54254056193114364</v>
      </c>
      <c r="F90" s="1169">
        <f t="shared" si="39"/>
        <v>0.65047487138899884</v>
      </c>
      <c r="G90" s="1169">
        <f t="shared" si="39"/>
        <v>0.71805747922437679</v>
      </c>
      <c r="H90" s="1169">
        <f t="shared" si="39"/>
        <v>0.82302246845183125</v>
      </c>
      <c r="I90" s="703"/>
      <c r="J90" s="703">
        <v>38</v>
      </c>
      <c r="K90" s="1391" t="s">
        <v>2085</v>
      </c>
      <c r="L90" s="1392"/>
      <c r="M90" s="1175">
        <f t="shared" ref="M90:S90" si="40">B354</f>
        <v>0.33688747731397456</v>
      </c>
      <c r="N90" s="1176">
        <f t="shared" si="40"/>
        <v>0.4053992740471869</v>
      </c>
      <c r="O90" s="1176">
        <f t="shared" si="40"/>
        <v>0.47368421052631576</v>
      </c>
      <c r="P90" s="1176">
        <f t="shared" si="40"/>
        <v>0.62205081669691475</v>
      </c>
      <c r="Q90" s="1176">
        <f t="shared" si="40"/>
        <v>0.59664246823956446</v>
      </c>
      <c r="R90" s="1176">
        <f t="shared" si="40"/>
        <v>0.62726860254083483</v>
      </c>
      <c r="S90" s="1177">
        <f t="shared" si="40"/>
        <v>0.59968887736582832</v>
      </c>
    </row>
    <row r="91" spans="1:19">
      <c r="A91" s="730"/>
      <c r="B91" s="736"/>
      <c r="C91" s="736"/>
      <c r="D91" s="736"/>
      <c r="E91" s="736"/>
      <c r="F91" s="736"/>
      <c r="G91" s="736"/>
      <c r="H91" s="736"/>
      <c r="I91" s="703"/>
      <c r="J91" s="703">
        <v>39</v>
      </c>
      <c r="K91" s="1385" t="s">
        <v>2086</v>
      </c>
      <c r="L91" s="1386"/>
      <c r="M91" s="1170">
        <f t="shared" ref="M91:S91" si="41">B362</f>
        <v>0.35973837209302328</v>
      </c>
      <c r="N91" s="1171">
        <f t="shared" si="41"/>
        <v>0.43289728682170553</v>
      </c>
      <c r="O91" s="1171">
        <f t="shared" si="41"/>
        <v>0.5058139534883721</v>
      </c>
      <c r="P91" s="1171">
        <f t="shared" si="41"/>
        <v>0.5313953488372094</v>
      </c>
      <c r="Q91" s="1171">
        <f t="shared" si="41"/>
        <v>0.63711240310077522</v>
      </c>
      <c r="R91" s="1171">
        <f t="shared" si="41"/>
        <v>0.66981589147286835</v>
      </c>
      <c r="S91" s="1172">
        <f t="shared" si="41"/>
        <v>0.56031976744186052</v>
      </c>
    </row>
    <row r="92" spans="1:19">
      <c r="A92" s="727" t="s">
        <v>1275</v>
      </c>
      <c r="B92" s="1041">
        <v>4.5</v>
      </c>
      <c r="C92" s="1041">
        <v>4.5</v>
      </c>
      <c r="D92" s="727"/>
      <c r="E92" s="728"/>
      <c r="F92" s="728"/>
      <c r="G92" s="728"/>
      <c r="H92" s="728"/>
      <c r="I92" s="703"/>
      <c r="J92" s="703">
        <v>40</v>
      </c>
      <c r="K92" s="1385" t="s">
        <v>2088</v>
      </c>
      <c r="L92" s="1386"/>
      <c r="M92" s="1173">
        <f t="shared" ref="M92:S92" si="42">B370</f>
        <v>0.50786593707250349</v>
      </c>
      <c r="N92" s="1169">
        <f t="shared" si="42"/>
        <v>0.61114911080711365</v>
      </c>
      <c r="O92" s="1169">
        <f t="shared" si="42"/>
        <v>0.4760601915184679</v>
      </c>
      <c r="P92" s="1169">
        <f t="shared" si="42"/>
        <v>0.50013679890560891</v>
      </c>
      <c r="Q92" s="1169">
        <f t="shared" si="42"/>
        <v>0.5996352029183768</v>
      </c>
      <c r="R92" s="1169">
        <f t="shared" si="42"/>
        <v>0.63041495668034664</v>
      </c>
      <c r="S92" s="1174">
        <f t="shared" si="42"/>
        <v>0.6026968927105727</v>
      </c>
    </row>
    <row r="93" spans="1:19">
      <c r="A93" s="729" t="s">
        <v>1354</v>
      </c>
      <c r="B93" s="1038">
        <f>B92-0.2</f>
        <v>4.3</v>
      </c>
      <c r="C93" s="1038">
        <f>C92-0.2</f>
        <v>4.3</v>
      </c>
      <c r="D93" s="729"/>
      <c r="E93" s="729"/>
      <c r="F93" s="729"/>
      <c r="G93" s="729"/>
      <c r="H93" s="729"/>
      <c r="I93" s="1218"/>
      <c r="J93" s="703">
        <v>41</v>
      </c>
      <c r="K93" s="1385" t="s">
        <v>2089</v>
      </c>
      <c r="L93" s="1386"/>
      <c r="M93" s="1173">
        <f t="shared" ref="M93:S93" si="43">B378</f>
        <v>0.47093023255813954</v>
      </c>
      <c r="N93" s="1169">
        <f t="shared" si="43"/>
        <v>0.56670190274841437</v>
      </c>
      <c r="O93" s="1169">
        <f t="shared" si="43"/>
        <v>0.44143763213530657</v>
      </c>
      <c r="P93" s="1169">
        <f t="shared" si="43"/>
        <v>0.46376321353065542</v>
      </c>
      <c r="Q93" s="1169">
        <f t="shared" si="43"/>
        <v>0.55602536997885832</v>
      </c>
      <c r="R93" s="1169">
        <f t="shared" si="43"/>
        <v>0.58456659619450324</v>
      </c>
      <c r="S93" s="1174">
        <f t="shared" si="43"/>
        <v>0.55886439142253097</v>
      </c>
    </row>
    <row r="94" spans="1:19" ht="18" thickBot="1">
      <c r="A94" s="730" t="s">
        <v>1355</v>
      </c>
      <c r="B94" s="1040"/>
      <c r="C94" s="1039">
        <f>C93*C93</f>
        <v>18.489999999999998</v>
      </c>
      <c r="D94" s="730"/>
      <c r="E94" s="729"/>
      <c r="F94" s="729"/>
      <c r="G94" s="729"/>
      <c r="H94" s="729"/>
      <c r="I94" s="1218"/>
      <c r="J94" s="703">
        <v>42</v>
      </c>
      <c r="K94" s="1391" t="s">
        <v>2087</v>
      </c>
      <c r="L94" s="1392"/>
      <c r="M94" s="1175">
        <f t="shared" ref="M94:S94" si="44">B386</f>
        <v>0.44657177225340822</v>
      </c>
      <c r="N94" s="1176">
        <f t="shared" si="44"/>
        <v>0.53738973536487578</v>
      </c>
      <c r="O94" s="1176">
        <f t="shared" si="44"/>
        <v>0.55813953488372092</v>
      </c>
      <c r="P94" s="1176">
        <f t="shared" si="44"/>
        <v>0.54971932638332011</v>
      </c>
      <c r="Q94" s="1176">
        <f t="shared" si="44"/>
        <v>0.52726543704891748</v>
      </c>
      <c r="R94" s="1176">
        <f t="shared" si="44"/>
        <v>0.55433039294306341</v>
      </c>
      <c r="S94" s="1177">
        <f t="shared" si="44"/>
        <v>0.61828388131515655</v>
      </c>
    </row>
    <row r="95" spans="1:19">
      <c r="A95" s="731" t="s">
        <v>1356</v>
      </c>
      <c r="B95" s="732" t="s">
        <v>1357</v>
      </c>
      <c r="C95" s="732" t="s">
        <v>1358</v>
      </c>
      <c r="D95" s="732" t="s">
        <v>1359</v>
      </c>
      <c r="E95" s="732" t="s">
        <v>1360</v>
      </c>
      <c r="F95" s="732" t="s">
        <v>1361</v>
      </c>
      <c r="G95" s="732" t="s">
        <v>1362</v>
      </c>
      <c r="H95" s="732" t="s">
        <v>1363</v>
      </c>
      <c r="I95" s="1218"/>
      <c r="J95" s="1218"/>
      <c r="K95" s="1218"/>
      <c r="L95" s="1218"/>
      <c r="M95" s="1218"/>
      <c r="N95" s="1218"/>
      <c r="O95" s="1218"/>
      <c r="P95" s="703"/>
      <c r="Q95" s="703"/>
      <c r="R95" s="703"/>
      <c r="S95" s="703"/>
    </row>
    <row r="96" spans="1:19">
      <c r="A96" s="733" t="s">
        <v>2190</v>
      </c>
      <c r="B96" s="1167">
        <f>Wohnungsausnutzung!C259</f>
        <v>22.274999999999999</v>
      </c>
      <c r="C96" s="1167">
        <f>Wohnungsausnutzung!D259</f>
        <v>26.805</v>
      </c>
      <c r="D96" s="1167">
        <f>Wohnungsausnutzung!E259</f>
        <v>41.67</v>
      </c>
      <c r="E96" s="1167">
        <f>Wohnungsausnutzung!F259</f>
        <v>54.84</v>
      </c>
      <c r="F96" s="1167">
        <f>Wohnungsausnutzung!G259</f>
        <v>65.75</v>
      </c>
      <c r="G96" s="1167">
        <f>Wohnungsausnutzung!H259</f>
        <v>82.95</v>
      </c>
      <c r="H96" s="1167">
        <f>Wohnungsausnutzung!I259</f>
        <v>122.13999999999999</v>
      </c>
      <c r="I96" s="704"/>
      <c r="J96" s="703"/>
      <c r="K96" s="703"/>
      <c r="L96" s="1219" t="s">
        <v>1481</v>
      </c>
      <c r="M96" s="1220">
        <f>AVERAGE(M53:S94)</f>
        <v>0.57378425099120478</v>
      </c>
      <c r="N96" s="1219"/>
      <c r="O96" s="1219" t="s">
        <v>1482</v>
      </c>
      <c r="P96" s="1220">
        <f>MEDIAN(M53:S94)</f>
        <v>0.57423201777907795</v>
      </c>
      <c r="Q96" s="1221"/>
      <c r="R96" s="1219" t="s">
        <v>1483</v>
      </c>
      <c r="S96" s="1220">
        <f>MODE(M53:S94)</f>
        <v>0.49228650137741048</v>
      </c>
    </row>
    <row r="97" spans="1:19">
      <c r="A97" s="733" t="s">
        <v>2191</v>
      </c>
      <c r="B97" s="1168">
        <f>Wohnungsausnutzung!C257</f>
        <v>3</v>
      </c>
      <c r="C97" s="1168">
        <f>Wohnungsausnutzung!E257</f>
        <v>3</v>
      </c>
      <c r="D97" s="1168">
        <f>Wohnungsausnutzung!G257</f>
        <v>4</v>
      </c>
      <c r="E97" s="1168">
        <f>Wohnungsausnutzung!I257</f>
        <v>6</v>
      </c>
      <c r="F97" s="1168">
        <f>Wohnungsausnutzung!K257</f>
        <v>7</v>
      </c>
      <c r="G97" s="1168">
        <f>Wohnungsausnutzung!M257</f>
        <v>8</v>
      </c>
      <c r="H97" s="1168">
        <f>Wohnungsausnutzung!O257</f>
        <v>10</v>
      </c>
      <c r="I97" s="704"/>
      <c r="J97" s="703"/>
      <c r="K97" s="703"/>
      <c r="L97" s="703"/>
      <c r="M97" s="703"/>
      <c r="N97" s="703"/>
      <c r="O97" s="703"/>
      <c r="P97" s="703"/>
      <c r="Q97" s="703"/>
      <c r="R97" s="703"/>
      <c r="S97" s="703"/>
    </row>
    <row r="98" spans="1:19">
      <c r="A98" s="733" t="s">
        <v>2192</v>
      </c>
      <c r="B98" s="1169">
        <f t="shared" ref="B98:H98" si="45">B96/(B97*$C94)</f>
        <v>0.40156841535965387</v>
      </c>
      <c r="C98" s="1169">
        <f t="shared" si="45"/>
        <v>0.4832341806381828</v>
      </c>
      <c r="D98" s="1169">
        <f t="shared" si="45"/>
        <v>0.56341265548945385</v>
      </c>
      <c r="E98" s="1169">
        <f t="shared" si="45"/>
        <v>0.49432125473228777</v>
      </c>
      <c r="F98" s="1169">
        <f t="shared" si="45"/>
        <v>0.50799660047902351</v>
      </c>
      <c r="G98" s="1169">
        <f t="shared" si="45"/>
        <v>0.56077609518658744</v>
      </c>
      <c r="H98" s="1169">
        <f t="shared" si="45"/>
        <v>0.66057328285559758</v>
      </c>
      <c r="I98" s="704"/>
      <c r="J98" s="703"/>
      <c r="K98" s="703"/>
      <c r="L98" s="703"/>
      <c r="M98" s="703"/>
      <c r="N98" s="703"/>
      <c r="O98" s="703"/>
      <c r="P98" s="703"/>
      <c r="Q98" s="703"/>
      <c r="R98" s="703"/>
      <c r="S98" s="703"/>
    </row>
    <row r="99" spans="1:19">
      <c r="A99" s="728"/>
      <c r="B99" s="1222"/>
      <c r="C99" s="1222"/>
      <c r="D99" s="1222"/>
      <c r="E99" s="1222"/>
      <c r="F99" s="1222"/>
      <c r="G99" s="1222"/>
      <c r="H99" s="1222"/>
      <c r="I99" s="704"/>
      <c r="J99" s="703"/>
      <c r="K99" s="703"/>
      <c r="L99" s="703"/>
      <c r="M99" s="703"/>
      <c r="N99" s="703"/>
      <c r="O99" s="703"/>
      <c r="P99" s="703"/>
      <c r="Q99" s="703"/>
      <c r="R99" s="703"/>
      <c r="S99" s="703"/>
    </row>
    <row r="100" spans="1:19">
      <c r="A100" s="727" t="s">
        <v>1275</v>
      </c>
      <c r="B100" s="1041">
        <v>2.65</v>
      </c>
      <c r="C100" s="1041">
        <v>2.85</v>
      </c>
      <c r="D100" s="727"/>
      <c r="E100" s="728"/>
      <c r="F100" s="728"/>
      <c r="G100" s="728"/>
      <c r="H100" s="728"/>
      <c r="I100" s="703"/>
      <c r="J100" s="704"/>
      <c r="K100" s="703"/>
      <c r="L100" s="703"/>
      <c r="M100" s="703"/>
      <c r="N100" s="703"/>
      <c r="O100" s="703"/>
      <c r="P100" s="703"/>
      <c r="Q100" s="703"/>
      <c r="R100" s="703"/>
      <c r="S100" s="703"/>
    </row>
    <row r="101" spans="1:19">
      <c r="A101" s="729" t="s">
        <v>1354</v>
      </c>
      <c r="B101" s="1038">
        <f>B100-0.2</f>
        <v>2.4499999999999997</v>
      </c>
      <c r="C101" s="1038">
        <f>C100-0.2</f>
        <v>2.65</v>
      </c>
      <c r="D101" s="729"/>
      <c r="E101" s="729"/>
      <c r="F101" s="729"/>
      <c r="G101" s="729"/>
      <c r="H101" s="729"/>
      <c r="I101" s="704"/>
      <c r="J101" s="703"/>
      <c r="K101" s="703"/>
      <c r="L101" s="703"/>
      <c r="M101" s="703"/>
      <c r="N101" s="703"/>
      <c r="O101" s="703"/>
      <c r="P101" s="703"/>
      <c r="Q101" s="703"/>
      <c r="R101" s="703"/>
      <c r="S101" s="703"/>
    </row>
    <row r="102" spans="1:19">
      <c r="A102" s="730" t="s">
        <v>1355</v>
      </c>
      <c r="B102" s="1040"/>
      <c r="C102" s="1039">
        <f>B101*C101</f>
        <v>6.4924999999999988</v>
      </c>
      <c r="D102" s="730"/>
      <c r="E102" s="729"/>
      <c r="F102" s="729"/>
      <c r="G102" s="729"/>
      <c r="H102" s="729"/>
      <c r="I102" s="704"/>
      <c r="J102" s="703"/>
      <c r="K102" s="703"/>
      <c r="L102" s="703"/>
      <c r="M102" s="703"/>
      <c r="N102" s="703"/>
      <c r="O102" s="703"/>
      <c r="P102" s="703"/>
      <c r="Q102" s="703"/>
      <c r="R102" s="703"/>
      <c r="S102" s="703"/>
    </row>
    <row r="103" spans="1:19">
      <c r="A103" s="731" t="s">
        <v>1356</v>
      </c>
      <c r="B103" s="732" t="s">
        <v>1357</v>
      </c>
      <c r="C103" s="732" t="s">
        <v>1358</v>
      </c>
      <c r="D103" s="732" t="s">
        <v>1359</v>
      </c>
      <c r="E103" s="732" t="s">
        <v>1360</v>
      </c>
      <c r="F103" s="732" t="s">
        <v>1361</v>
      </c>
      <c r="G103" s="732" t="s">
        <v>1362</v>
      </c>
      <c r="H103" s="732" t="s">
        <v>1363</v>
      </c>
      <c r="I103" s="704"/>
      <c r="J103" s="703"/>
      <c r="K103" s="703"/>
      <c r="L103" s="703"/>
      <c r="M103" s="703"/>
      <c r="N103" s="703"/>
      <c r="O103" s="703"/>
      <c r="P103" s="703"/>
      <c r="Q103" s="703"/>
      <c r="R103" s="703"/>
      <c r="S103" s="703"/>
    </row>
    <row r="104" spans="1:19">
      <c r="A104" s="733" t="s">
        <v>2190</v>
      </c>
      <c r="B104" s="1167">
        <f>Wohnungsausnutzung!S$44</f>
        <v>22.274999999999999</v>
      </c>
      <c r="C104" s="1167">
        <f>Wohnungsausnutzung!T$44</f>
        <v>26.805</v>
      </c>
      <c r="D104" s="1167">
        <f>Wohnungsausnutzung!U$44</f>
        <v>48.072499999999998</v>
      </c>
      <c r="E104" s="1167">
        <f>Wohnungsausnutzung!V$44</f>
        <v>57.318499999999993</v>
      </c>
      <c r="F104" s="1167">
        <f>Wohnungsausnutzung!W$44</f>
        <v>68.228499999999997</v>
      </c>
      <c r="G104" s="1167">
        <f>Wohnungsausnutzung!X$44</f>
        <v>81.41449999999999</v>
      </c>
      <c r="H104" s="1167">
        <f>Wohnungsausnutzung!Y$44</f>
        <v>90.984499999999983</v>
      </c>
      <c r="I104" s="704"/>
      <c r="J104" s="703"/>
      <c r="K104" s="703"/>
      <c r="L104" s="703"/>
      <c r="M104" s="703"/>
      <c r="N104" s="703"/>
      <c r="O104" s="703"/>
      <c r="P104" s="703"/>
      <c r="Q104" s="703"/>
      <c r="R104" s="703"/>
      <c r="S104" s="703"/>
    </row>
    <row r="105" spans="1:19">
      <c r="A105" s="733" t="s">
        <v>2191</v>
      </c>
      <c r="B105" s="1168">
        <f>Wohnungsausnutzung!S42</f>
        <v>6</v>
      </c>
      <c r="C105" s="1168">
        <f>Wohnungsausnutzung!U42</f>
        <v>6</v>
      </c>
      <c r="D105" s="1168">
        <f>Wohnungsausnutzung!W42</f>
        <v>10</v>
      </c>
      <c r="E105" s="1168">
        <f>Wohnungsausnutzung!Y42</f>
        <v>12</v>
      </c>
      <c r="F105" s="1168">
        <f>Wohnungsausnutzung!AA42</f>
        <v>16</v>
      </c>
      <c r="G105" s="1168">
        <f>Wohnungsausnutzung!AC42</f>
        <v>16</v>
      </c>
      <c r="H105" s="1168">
        <f>Wohnungsausnutzung!AE42</f>
        <v>18</v>
      </c>
      <c r="I105" s="704"/>
      <c r="J105" s="703"/>
      <c r="K105" s="703"/>
      <c r="L105" s="703"/>
      <c r="M105" s="703"/>
      <c r="N105" s="703"/>
      <c r="O105" s="703"/>
      <c r="P105" s="703"/>
      <c r="Q105" s="703"/>
      <c r="R105" s="703"/>
      <c r="S105" s="703"/>
    </row>
    <row r="106" spans="1:19">
      <c r="A106" s="733" t="s">
        <v>2192</v>
      </c>
      <c r="B106" s="1169">
        <f t="shared" ref="B106:H106" si="46">B104/(B105*$C102)</f>
        <v>0.57181363111282257</v>
      </c>
      <c r="C106" s="1169">
        <f t="shared" si="46"/>
        <v>0.68810165575664239</v>
      </c>
      <c r="D106" s="1169">
        <f t="shared" si="46"/>
        <v>0.7404312668463614</v>
      </c>
      <c r="E106" s="1169">
        <f t="shared" si="46"/>
        <v>0.73570145039147739</v>
      </c>
      <c r="F106" s="1169">
        <f t="shared" si="46"/>
        <v>0.65680111667308438</v>
      </c>
      <c r="G106" s="1169">
        <f t="shared" si="46"/>
        <v>0.78373604158644594</v>
      </c>
      <c r="H106" s="1169">
        <f t="shared" si="46"/>
        <v>0.77854361870534372</v>
      </c>
      <c r="I106" s="704"/>
      <c r="J106" s="703"/>
      <c r="K106" s="703"/>
      <c r="L106" s="703"/>
      <c r="M106" s="703"/>
      <c r="N106" s="703"/>
      <c r="O106" s="703"/>
      <c r="P106" s="703"/>
      <c r="Q106" s="703"/>
      <c r="R106" s="703"/>
      <c r="S106" s="703"/>
    </row>
    <row r="107" spans="1:19">
      <c r="A107" s="703"/>
      <c r="B107" s="703"/>
      <c r="C107" s="703"/>
      <c r="D107" s="703"/>
      <c r="E107" s="703"/>
      <c r="F107" s="703"/>
      <c r="G107" s="703"/>
      <c r="H107" s="703"/>
      <c r="I107" s="704"/>
      <c r="J107" s="703"/>
      <c r="K107" s="703"/>
      <c r="L107" s="703"/>
      <c r="M107" s="703"/>
      <c r="N107" s="703"/>
      <c r="O107" s="703"/>
      <c r="P107" s="703"/>
      <c r="Q107" s="703"/>
      <c r="R107" s="703"/>
      <c r="S107" s="703"/>
    </row>
    <row r="108" spans="1:19">
      <c r="A108" s="727" t="s">
        <v>1275</v>
      </c>
      <c r="B108" s="1041">
        <v>2.65</v>
      </c>
      <c r="C108" s="1041">
        <v>3</v>
      </c>
      <c r="D108" s="727"/>
      <c r="E108" s="728"/>
      <c r="F108" s="728"/>
      <c r="G108" s="728"/>
      <c r="H108" s="728"/>
      <c r="I108" s="704"/>
      <c r="J108" s="703"/>
      <c r="K108" s="703"/>
      <c r="L108" s="703"/>
      <c r="M108" s="703"/>
      <c r="N108" s="703"/>
      <c r="O108" s="703"/>
      <c r="P108" s="703"/>
      <c r="Q108" s="703"/>
      <c r="R108" s="703"/>
      <c r="S108" s="703"/>
    </row>
    <row r="109" spans="1:19">
      <c r="A109" s="729" t="s">
        <v>1354</v>
      </c>
      <c r="B109" s="1038">
        <f>B108-0.2</f>
        <v>2.4499999999999997</v>
      </c>
      <c r="C109" s="1038">
        <f>C108-0.2</f>
        <v>2.8</v>
      </c>
      <c r="D109" s="729"/>
      <c r="E109" s="729"/>
      <c r="F109" s="729"/>
      <c r="G109" s="729"/>
      <c r="H109" s="729"/>
      <c r="I109" s="704"/>
      <c r="J109" s="703"/>
      <c r="K109" s="703"/>
      <c r="L109" s="703"/>
      <c r="M109" s="703"/>
      <c r="N109" s="703"/>
      <c r="O109" s="703"/>
      <c r="P109" s="703"/>
      <c r="Q109" s="703"/>
      <c r="R109" s="703"/>
      <c r="S109" s="703"/>
    </row>
    <row r="110" spans="1:19">
      <c r="A110" s="730" t="s">
        <v>1355</v>
      </c>
      <c r="B110" s="1040"/>
      <c r="C110" s="1039">
        <f>B109*C109</f>
        <v>6.8599999999999985</v>
      </c>
      <c r="D110" s="730"/>
      <c r="E110" s="729"/>
      <c r="F110" s="729"/>
      <c r="G110" s="729"/>
      <c r="H110" s="729"/>
      <c r="I110" s="704"/>
      <c r="J110" s="703"/>
      <c r="K110" s="703"/>
      <c r="L110" s="703"/>
      <c r="M110" s="703"/>
      <c r="N110" s="703"/>
      <c r="O110" s="703"/>
      <c r="P110" s="703"/>
      <c r="Q110" s="703"/>
      <c r="R110" s="703"/>
      <c r="S110" s="703"/>
    </row>
    <row r="111" spans="1:19">
      <c r="A111" s="731" t="s">
        <v>1356</v>
      </c>
      <c r="B111" s="732" t="s">
        <v>1357</v>
      </c>
      <c r="C111" s="732" t="s">
        <v>1358</v>
      </c>
      <c r="D111" s="732" t="s">
        <v>1359</v>
      </c>
      <c r="E111" s="732" t="s">
        <v>1360</v>
      </c>
      <c r="F111" s="732" t="s">
        <v>1361</v>
      </c>
      <c r="G111" s="732" t="s">
        <v>1362</v>
      </c>
      <c r="H111" s="732" t="s">
        <v>1363</v>
      </c>
      <c r="I111" s="704"/>
      <c r="J111" s="703"/>
      <c r="K111" s="703"/>
      <c r="L111" s="703"/>
      <c r="M111" s="703"/>
      <c r="N111" s="703"/>
      <c r="O111" s="703"/>
      <c r="P111" s="703"/>
      <c r="Q111" s="703"/>
      <c r="R111" s="703"/>
      <c r="S111" s="703"/>
    </row>
    <row r="112" spans="1:19">
      <c r="A112" s="733" t="s">
        <v>2190</v>
      </c>
      <c r="B112" s="1167">
        <f>Wohnungsausnutzung!AI$44</f>
        <v>19.71</v>
      </c>
      <c r="C112" s="1167">
        <f>Wohnungsausnutzung!AJ$44</f>
        <v>24.240000000000002</v>
      </c>
      <c r="D112" s="1167">
        <f>Wohnungsausnutzung!AK$44</f>
        <v>41.58</v>
      </c>
      <c r="E112" s="1167">
        <f>Wohnungsausnutzung!AL$44</f>
        <v>57.685999999999993</v>
      </c>
      <c r="F112" s="1167">
        <f>Wohnungsausnutzung!AM$44</f>
        <v>68.595999999999989</v>
      </c>
      <c r="G112" s="1167">
        <f>Wohnungsausnutzung!AN$44</f>
        <v>81.781999999999996</v>
      </c>
      <c r="H112" s="1167">
        <f>Wohnungsausnutzung!AO$44</f>
        <v>91.35199999999999</v>
      </c>
      <c r="I112" s="704"/>
      <c r="J112" s="703"/>
      <c r="K112" s="703"/>
      <c r="L112" s="703"/>
      <c r="M112" s="703"/>
      <c r="N112" s="703"/>
      <c r="O112" s="703"/>
      <c r="P112" s="703"/>
      <c r="Q112" s="703"/>
      <c r="R112" s="703"/>
      <c r="S112" s="703"/>
    </row>
    <row r="113" spans="1:19">
      <c r="A113" s="733" t="s">
        <v>2191</v>
      </c>
      <c r="B113" s="1168">
        <f>Wohnungsausnutzung!AI42</f>
        <v>5</v>
      </c>
      <c r="C113" s="1168">
        <f>Wohnungsausnutzung!AK42</f>
        <v>5</v>
      </c>
      <c r="D113" s="1168">
        <f>Wohnungsausnutzung!AM42</f>
        <v>9</v>
      </c>
      <c r="E113" s="1168">
        <f>Wohnungsausnutzung!AO42</f>
        <v>12</v>
      </c>
      <c r="F113" s="1168">
        <f>Wohnungsausnutzung!AQ42</f>
        <v>16</v>
      </c>
      <c r="G113" s="1168">
        <f>Wohnungsausnutzung!AS42</f>
        <v>16</v>
      </c>
      <c r="H113" s="1168">
        <f>Wohnungsausnutzung!AU42</f>
        <v>18</v>
      </c>
      <c r="I113" s="704"/>
      <c r="J113" s="703"/>
      <c r="K113" s="703"/>
      <c r="L113" s="703"/>
      <c r="M113" s="703"/>
      <c r="N113" s="703"/>
      <c r="O113" s="703"/>
      <c r="P113" s="703"/>
      <c r="Q113" s="703"/>
      <c r="R113" s="703"/>
      <c r="S113" s="703"/>
    </row>
    <row r="114" spans="1:19">
      <c r="A114" s="733" t="s">
        <v>2192</v>
      </c>
      <c r="B114" s="1169">
        <f t="shared" ref="B114:H114" si="47">B112/(B113*$C110)</f>
        <v>0.5746355685131197</v>
      </c>
      <c r="C114" s="1169">
        <f t="shared" si="47"/>
        <v>0.70670553935860081</v>
      </c>
      <c r="D114" s="1169">
        <f t="shared" si="47"/>
        <v>0.67346938775510212</v>
      </c>
      <c r="E114" s="1169">
        <f t="shared" si="47"/>
        <v>0.70075315840621977</v>
      </c>
      <c r="F114" s="1169">
        <f t="shared" si="47"/>
        <v>0.624963556851312</v>
      </c>
      <c r="G114" s="1169">
        <f t="shared" si="47"/>
        <v>0.74509839650145782</v>
      </c>
      <c r="H114" s="1169">
        <f t="shared" si="47"/>
        <v>0.7398121153223195</v>
      </c>
      <c r="I114" s="703"/>
      <c r="J114" s="703"/>
      <c r="K114" s="704"/>
      <c r="L114" s="703"/>
      <c r="M114" s="703"/>
      <c r="N114" s="703"/>
      <c r="O114" s="703"/>
      <c r="P114" s="703"/>
      <c r="Q114" s="703"/>
      <c r="R114" s="703"/>
      <c r="S114" s="703"/>
    </row>
    <row r="115" spans="1:19">
      <c r="A115" s="717"/>
      <c r="B115" s="717"/>
      <c r="C115" s="703"/>
      <c r="D115" s="717"/>
      <c r="E115" s="703"/>
      <c r="F115" s="703"/>
      <c r="G115" s="703"/>
      <c r="H115" s="703"/>
      <c r="I115" s="703"/>
      <c r="J115" s="704"/>
      <c r="K115" s="703"/>
      <c r="L115" s="703"/>
      <c r="M115" s="703"/>
      <c r="N115" s="703"/>
      <c r="O115" s="703"/>
      <c r="P115" s="703"/>
      <c r="Q115" s="703"/>
      <c r="R115" s="703"/>
      <c r="S115" s="703"/>
    </row>
    <row r="116" spans="1:19">
      <c r="A116" s="727" t="s">
        <v>1275</v>
      </c>
      <c r="B116" s="1041">
        <v>2.65</v>
      </c>
      <c r="C116" s="1041">
        <v>3.5</v>
      </c>
      <c r="D116" s="727"/>
      <c r="E116" s="728"/>
      <c r="F116" s="728"/>
      <c r="G116" s="728"/>
      <c r="H116" s="728"/>
      <c r="I116" s="704"/>
      <c r="J116" s="703"/>
      <c r="K116" s="703"/>
      <c r="L116" s="703"/>
      <c r="M116" s="703"/>
      <c r="N116" s="703"/>
      <c r="O116" s="703"/>
      <c r="P116" s="703"/>
      <c r="Q116" s="703"/>
      <c r="R116" s="703"/>
      <c r="S116" s="703"/>
    </row>
    <row r="117" spans="1:19">
      <c r="A117" s="729" t="s">
        <v>1354</v>
      </c>
      <c r="B117" s="1038">
        <f>B116-0.2</f>
        <v>2.4499999999999997</v>
      </c>
      <c r="C117" s="1038">
        <f>C116-0.2</f>
        <v>3.3</v>
      </c>
      <c r="D117" s="729"/>
      <c r="E117" s="729"/>
      <c r="F117" s="729"/>
      <c r="G117" s="729"/>
      <c r="H117" s="729"/>
      <c r="I117" s="703"/>
      <c r="J117" s="703"/>
      <c r="K117" s="703"/>
      <c r="L117" s="703"/>
      <c r="M117" s="703"/>
      <c r="N117" s="703"/>
      <c r="O117" s="703"/>
      <c r="P117" s="703"/>
      <c r="Q117" s="703"/>
      <c r="R117" s="703"/>
      <c r="S117" s="703"/>
    </row>
    <row r="118" spans="1:19">
      <c r="A118" s="730" t="s">
        <v>1355</v>
      </c>
      <c r="B118" s="1040"/>
      <c r="C118" s="1039">
        <f>B117*C117</f>
        <v>8.0849999999999991</v>
      </c>
      <c r="D118" s="730"/>
      <c r="E118" s="729"/>
      <c r="F118" s="729"/>
      <c r="G118" s="729"/>
      <c r="H118" s="729"/>
      <c r="I118" s="703"/>
      <c r="J118" s="703"/>
      <c r="K118" s="703"/>
      <c r="L118" s="703"/>
      <c r="M118" s="703"/>
      <c r="N118" s="703"/>
      <c r="O118" s="703"/>
      <c r="P118" s="703"/>
      <c r="Q118" s="703"/>
      <c r="R118" s="703"/>
      <c r="S118" s="703"/>
    </row>
    <row r="119" spans="1:19">
      <c r="A119" s="731" t="s">
        <v>1356</v>
      </c>
      <c r="B119" s="732" t="s">
        <v>1357</v>
      </c>
      <c r="C119" s="732" t="s">
        <v>1358</v>
      </c>
      <c r="D119" s="732" t="s">
        <v>1359</v>
      </c>
      <c r="E119" s="732" t="s">
        <v>1360</v>
      </c>
      <c r="F119" s="732" t="s">
        <v>1361</v>
      </c>
      <c r="G119" s="732" t="s">
        <v>1362</v>
      </c>
      <c r="H119" s="732" t="s">
        <v>1363</v>
      </c>
      <c r="I119" s="704"/>
      <c r="J119" s="703"/>
      <c r="K119" s="703"/>
      <c r="L119" s="703"/>
      <c r="M119" s="703"/>
      <c r="N119" s="703"/>
      <c r="O119" s="703"/>
      <c r="P119" s="703"/>
      <c r="Q119" s="703"/>
      <c r="R119" s="703"/>
      <c r="S119" s="703"/>
    </row>
    <row r="120" spans="1:19">
      <c r="A120" s="733" t="s">
        <v>2190</v>
      </c>
      <c r="B120" s="1167">
        <f>Wohnungsausnutzung!AY$44</f>
        <v>19.71</v>
      </c>
      <c r="C120" s="1167">
        <f>Wohnungsausnutzung!AZ$44</f>
        <v>24.240000000000002</v>
      </c>
      <c r="D120" s="1167">
        <f>Wohnungsausnutzung!BA$44</f>
        <v>37.980000000000004</v>
      </c>
      <c r="E120" s="1167">
        <f>Wohnungsausnutzung!BB$44</f>
        <v>58.910999999999994</v>
      </c>
      <c r="F120" s="1167">
        <f>Wohnungsausnutzung!BC$44</f>
        <v>69.820999999999998</v>
      </c>
      <c r="G120" s="1167">
        <f>Wohnungsausnutzung!BD$44</f>
        <v>83.006999999999991</v>
      </c>
      <c r="H120" s="1167">
        <f>Wohnungsausnutzung!BE$44</f>
        <v>92.576999999999984</v>
      </c>
      <c r="I120" s="704"/>
      <c r="J120" s="703"/>
      <c r="K120" s="703"/>
      <c r="L120" s="703"/>
      <c r="M120" s="703"/>
      <c r="N120" s="703"/>
      <c r="O120" s="703"/>
      <c r="P120" s="703"/>
      <c r="Q120" s="703"/>
      <c r="R120" s="703"/>
      <c r="S120" s="703"/>
    </row>
    <row r="121" spans="1:19">
      <c r="A121" s="733" t="s">
        <v>2191</v>
      </c>
      <c r="B121" s="1168">
        <f>Wohnungsausnutzung!AY42</f>
        <v>5</v>
      </c>
      <c r="C121" s="1168">
        <f>Wohnungsausnutzung!BA42</f>
        <v>5</v>
      </c>
      <c r="D121" s="1168">
        <f>Wohnungsausnutzung!BC42</f>
        <v>8</v>
      </c>
      <c r="E121" s="1168">
        <f>Wohnungsausnutzung!BE42</f>
        <v>11</v>
      </c>
      <c r="F121" s="1168">
        <f>Wohnungsausnutzung!BG42</f>
        <v>15</v>
      </c>
      <c r="G121" s="1168">
        <f>Wohnungsausnutzung!BI42</f>
        <v>16</v>
      </c>
      <c r="H121" s="1168">
        <f>Wohnungsausnutzung!BK42</f>
        <v>18</v>
      </c>
      <c r="I121" s="704"/>
      <c r="J121" s="703"/>
      <c r="K121" s="703"/>
      <c r="L121" s="703"/>
      <c r="M121" s="703"/>
      <c r="N121" s="703"/>
      <c r="O121" s="703"/>
      <c r="P121" s="703"/>
      <c r="Q121" s="703"/>
      <c r="R121" s="703"/>
      <c r="S121" s="703"/>
    </row>
    <row r="122" spans="1:19">
      <c r="A122" s="733" t="s">
        <v>2192</v>
      </c>
      <c r="B122" s="1169">
        <f t="shared" ref="B122:H122" si="48">B120/(B121*$C118)</f>
        <v>0.48756957328385908</v>
      </c>
      <c r="C122" s="1169">
        <f t="shared" si="48"/>
        <v>0.59962894248608545</v>
      </c>
      <c r="D122" s="1169">
        <f t="shared" si="48"/>
        <v>0.58719851576994442</v>
      </c>
      <c r="E122" s="1169">
        <f t="shared" si="48"/>
        <v>0.6624051273401923</v>
      </c>
      <c r="F122" s="1169">
        <f t="shared" si="48"/>
        <v>0.57572459286745004</v>
      </c>
      <c r="G122" s="1169">
        <f t="shared" si="48"/>
        <v>0.64167439703153994</v>
      </c>
      <c r="H122" s="1169">
        <f t="shared" si="48"/>
        <v>0.63613687899402183</v>
      </c>
      <c r="I122" s="704"/>
      <c r="J122" s="703"/>
      <c r="K122" s="703"/>
      <c r="L122" s="703"/>
      <c r="M122" s="703"/>
      <c r="N122" s="703"/>
      <c r="O122" s="703"/>
      <c r="P122" s="703"/>
      <c r="Q122" s="703"/>
      <c r="R122" s="703"/>
      <c r="S122" s="703"/>
    </row>
    <row r="123" spans="1:19">
      <c r="A123" s="1216"/>
      <c r="B123" s="1217"/>
      <c r="C123" s="1217"/>
      <c r="D123" s="1217"/>
      <c r="E123" s="1217"/>
      <c r="F123" s="1217"/>
      <c r="G123" s="1217"/>
      <c r="H123" s="1217"/>
      <c r="I123" s="704"/>
      <c r="J123" s="703"/>
      <c r="K123" s="703"/>
      <c r="L123" s="703"/>
      <c r="M123" s="703"/>
      <c r="N123" s="703"/>
      <c r="O123" s="703"/>
      <c r="P123" s="703"/>
      <c r="Q123" s="703"/>
      <c r="R123" s="703"/>
      <c r="S123" s="703"/>
    </row>
    <row r="124" spans="1:19">
      <c r="A124" s="727" t="s">
        <v>1275</v>
      </c>
      <c r="B124" s="1041">
        <v>2.65</v>
      </c>
      <c r="C124" s="1041">
        <v>4</v>
      </c>
      <c r="D124" s="727"/>
      <c r="E124" s="728"/>
      <c r="F124" s="728"/>
      <c r="G124" s="728"/>
      <c r="H124" s="728"/>
      <c r="I124" s="704"/>
      <c r="J124" s="703"/>
      <c r="K124" s="703"/>
      <c r="L124" s="703"/>
      <c r="M124" s="703"/>
      <c r="N124" s="703"/>
      <c r="O124" s="703"/>
      <c r="P124" s="703"/>
      <c r="Q124" s="703"/>
      <c r="R124" s="703"/>
      <c r="S124" s="703"/>
    </row>
    <row r="125" spans="1:19">
      <c r="A125" s="729" t="s">
        <v>1354</v>
      </c>
      <c r="B125" s="1038">
        <f>B124-0.2</f>
        <v>2.4499999999999997</v>
      </c>
      <c r="C125" s="1038">
        <f>C124-0.2</f>
        <v>3.8</v>
      </c>
      <c r="D125" s="729"/>
      <c r="E125" s="729"/>
      <c r="F125" s="729"/>
      <c r="G125" s="729"/>
      <c r="H125" s="729"/>
      <c r="I125" s="704"/>
      <c r="J125" s="703"/>
      <c r="K125" s="703"/>
      <c r="L125" s="703"/>
      <c r="M125" s="703"/>
      <c r="N125" s="703"/>
      <c r="O125" s="703"/>
      <c r="P125" s="703"/>
      <c r="Q125" s="703"/>
      <c r="R125" s="703"/>
      <c r="S125" s="703"/>
    </row>
    <row r="126" spans="1:19">
      <c r="A126" s="730" t="s">
        <v>1355</v>
      </c>
      <c r="B126" s="1040"/>
      <c r="C126" s="1039">
        <f>B125*C125</f>
        <v>9.3099999999999987</v>
      </c>
      <c r="D126" s="730"/>
      <c r="E126" s="729"/>
      <c r="F126" s="729"/>
      <c r="G126" s="729"/>
      <c r="H126" s="729"/>
      <c r="I126" s="704"/>
      <c r="J126" s="703"/>
      <c r="K126" s="703"/>
      <c r="L126" s="703"/>
      <c r="M126" s="703"/>
      <c r="N126" s="703"/>
      <c r="O126" s="703"/>
      <c r="P126" s="703"/>
      <c r="Q126" s="703"/>
      <c r="R126" s="703"/>
      <c r="S126" s="703"/>
    </row>
    <row r="127" spans="1:19">
      <c r="A127" s="731" t="s">
        <v>1356</v>
      </c>
      <c r="B127" s="732" t="s">
        <v>1357</v>
      </c>
      <c r="C127" s="732" t="s">
        <v>1358</v>
      </c>
      <c r="D127" s="732" t="s">
        <v>1359</v>
      </c>
      <c r="E127" s="732" t="s">
        <v>1360</v>
      </c>
      <c r="F127" s="732" t="s">
        <v>1361</v>
      </c>
      <c r="G127" s="732" t="s">
        <v>1362</v>
      </c>
      <c r="H127" s="732" t="s">
        <v>1363</v>
      </c>
      <c r="I127" s="704"/>
      <c r="J127" s="703"/>
      <c r="K127" s="703"/>
      <c r="L127" s="703"/>
      <c r="M127" s="703"/>
      <c r="N127" s="703"/>
      <c r="O127" s="703"/>
      <c r="P127" s="703"/>
      <c r="Q127" s="703"/>
      <c r="R127" s="703"/>
      <c r="S127" s="703"/>
    </row>
    <row r="128" spans="1:19">
      <c r="A128" s="733" t="s">
        <v>2190</v>
      </c>
      <c r="B128" s="1167">
        <f>Wohnungsausnutzung!BO$44</f>
        <v>22.274999999999999</v>
      </c>
      <c r="C128" s="1167">
        <f>Wohnungsausnutzung!BP$44</f>
        <v>26.805</v>
      </c>
      <c r="D128" s="1167">
        <f>Wohnungsausnutzung!BQ$44</f>
        <v>41.58</v>
      </c>
      <c r="E128" s="1167">
        <f>Wohnungsausnutzung!BR$44</f>
        <v>64.150000000000006</v>
      </c>
      <c r="F128" s="1167">
        <f>Wohnungsausnutzung!BS$44</f>
        <v>75.06</v>
      </c>
      <c r="G128" s="1167">
        <f>Wohnungsausnutzung!BT$44</f>
        <v>92.26</v>
      </c>
      <c r="H128" s="1167">
        <f>Wohnungsausnutzung!BU$44</f>
        <v>101.83</v>
      </c>
      <c r="I128" s="704"/>
      <c r="J128" s="703"/>
      <c r="K128" s="703"/>
      <c r="L128" s="703"/>
      <c r="M128" s="703"/>
      <c r="N128" s="703"/>
      <c r="O128" s="703"/>
      <c r="P128" s="703"/>
      <c r="Q128" s="703"/>
      <c r="R128" s="703"/>
      <c r="S128" s="703"/>
    </row>
    <row r="129" spans="1:19">
      <c r="A129" s="733" t="s">
        <v>2191</v>
      </c>
      <c r="B129" s="1168">
        <f>Wohnungsausnutzung!BO42</f>
        <v>4</v>
      </c>
      <c r="C129" s="1168">
        <f>Wohnungsausnutzung!BQ42</f>
        <v>5</v>
      </c>
      <c r="D129" s="1168">
        <f>Wohnungsausnutzung!BS42</f>
        <v>7</v>
      </c>
      <c r="E129" s="1168">
        <f>Wohnungsausnutzung!BU42</f>
        <v>10</v>
      </c>
      <c r="F129" s="1168">
        <f>Wohnungsausnutzung!BW42</f>
        <v>11</v>
      </c>
      <c r="G129" s="1168">
        <f>Wohnungsausnutzung!BY42</f>
        <v>14</v>
      </c>
      <c r="H129" s="1168">
        <f>Wohnungsausnutzung!CA42</f>
        <v>16</v>
      </c>
      <c r="I129" s="703"/>
      <c r="J129" s="704"/>
      <c r="K129" s="703"/>
      <c r="L129" s="703"/>
      <c r="M129" s="703"/>
      <c r="N129" s="703"/>
      <c r="O129" s="703"/>
      <c r="P129" s="703"/>
      <c r="Q129" s="703"/>
      <c r="R129" s="703"/>
      <c r="S129" s="703"/>
    </row>
    <row r="130" spans="1:19">
      <c r="A130" s="733" t="s">
        <v>2192</v>
      </c>
      <c r="B130" s="1169">
        <f t="shared" ref="B130:H130" si="49">B128/(B129*$C126)</f>
        <v>0.59814715359828141</v>
      </c>
      <c r="C130" s="1169">
        <f t="shared" si="49"/>
        <v>0.57583243823845331</v>
      </c>
      <c r="D130" s="1169">
        <f t="shared" si="49"/>
        <v>0.63802363050483357</v>
      </c>
      <c r="E130" s="1169">
        <f t="shared" si="49"/>
        <v>0.68904403866809893</v>
      </c>
      <c r="F130" s="1169">
        <f t="shared" si="49"/>
        <v>0.73293623669563535</v>
      </c>
      <c r="G130" s="1169">
        <f t="shared" si="49"/>
        <v>0.70784103114930197</v>
      </c>
      <c r="H130" s="1169">
        <f t="shared" si="49"/>
        <v>0.68360633727175091</v>
      </c>
      <c r="I130" s="703"/>
      <c r="J130" s="704"/>
      <c r="K130" s="703"/>
      <c r="L130" s="703"/>
      <c r="M130" s="703"/>
      <c r="N130" s="703"/>
      <c r="O130" s="703"/>
      <c r="P130" s="703"/>
      <c r="Q130" s="703"/>
      <c r="R130" s="703"/>
      <c r="S130" s="703"/>
    </row>
    <row r="131" spans="1:19">
      <c r="A131" s="730"/>
      <c r="B131" s="736"/>
      <c r="C131" s="736"/>
      <c r="D131" s="736"/>
      <c r="E131" s="736"/>
      <c r="F131" s="736"/>
      <c r="G131" s="736"/>
      <c r="H131" s="736"/>
      <c r="I131" s="704"/>
      <c r="J131" s="703"/>
      <c r="K131" s="703"/>
      <c r="L131" s="703"/>
      <c r="M131" s="703"/>
      <c r="N131" s="703"/>
      <c r="O131" s="703"/>
      <c r="P131" s="703"/>
      <c r="Q131" s="703"/>
      <c r="R131" s="703"/>
      <c r="S131" s="703"/>
    </row>
    <row r="132" spans="1:19">
      <c r="A132" s="727" t="s">
        <v>1275</v>
      </c>
      <c r="B132" s="1041">
        <v>2.65</v>
      </c>
      <c r="C132" s="1041">
        <v>4.5</v>
      </c>
      <c r="D132" s="727"/>
      <c r="E132" s="728"/>
      <c r="F132" s="728"/>
      <c r="G132" s="728"/>
      <c r="H132" s="728"/>
      <c r="I132" s="703"/>
      <c r="J132" s="704"/>
      <c r="K132" s="703"/>
      <c r="L132" s="703"/>
      <c r="M132" s="703"/>
      <c r="N132" s="703"/>
      <c r="O132" s="703"/>
      <c r="P132" s="703"/>
      <c r="Q132" s="703"/>
      <c r="R132" s="703"/>
      <c r="S132" s="703"/>
    </row>
    <row r="133" spans="1:19">
      <c r="A133" s="729" t="s">
        <v>1354</v>
      </c>
      <c r="B133" s="1038">
        <f>B132-0.2</f>
        <v>2.4499999999999997</v>
      </c>
      <c r="C133" s="1038">
        <f>C132-0.2</f>
        <v>4.3</v>
      </c>
      <c r="D133" s="729"/>
      <c r="E133" s="729"/>
      <c r="F133" s="729"/>
      <c r="G133" s="729"/>
      <c r="H133" s="729"/>
      <c r="I133" s="704"/>
      <c r="J133" s="703"/>
      <c r="K133" s="703"/>
      <c r="L133" s="703"/>
      <c r="M133" s="703"/>
      <c r="N133" s="703"/>
      <c r="O133" s="703"/>
      <c r="P133" s="703"/>
      <c r="Q133" s="703"/>
      <c r="R133" s="703"/>
      <c r="S133" s="703"/>
    </row>
    <row r="134" spans="1:19">
      <c r="A134" s="730" t="s">
        <v>1355</v>
      </c>
      <c r="B134" s="1040"/>
      <c r="C134" s="1039">
        <f>B133*C133</f>
        <v>10.534999999999998</v>
      </c>
      <c r="D134" s="730"/>
      <c r="E134" s="729"/>
      <c r="F134" s="729"/>
      <c r="G134" s="729"/>
      <c r="H134" s="729"/>
      <c r="I134" s="704"/>
      <c r="J134" s="703"/>
      <c r="K134" s="703"/>
      <c r="L134" s="703"/>
      <c r="M134" s="703"/>
      <c r="N134" s="703"/>
      <c r="O134" s="703"/>
      <c r="P134" s="703"/>
      <c r="Q134" s="703"/>
      <c r="R134" s="703"/>
      <c r="S134" s="703"/>
    </row>
    <row r="135" spans="1:19">
      <c r="A135" s="731" t="s">
        <v>1356</v>
      </c>
      <c r="B135" s="732" t="s">
        <v>1357</v>
      </c>
      <c r="C135" s="732" t="s">
        <v>1358</v>
      </c>
      <c r="D135" s="732" t="s">
        <v>1359</v>
      </c>
      <c r="E135" s="732" t="s">
        <v>1360</v>
      </c>
      <c r="F135" s="732" t="s">
        <v>1361</v>
      </c>
      <c r="G135" s="732" t="s">
        <v>1362</v>
      </c>
      <c r="H135" s="732" t="s">
        <v>1363</v>
      </c>
      <c r="I135" s="704"/>
      <c r="J135" s="703"/>
      <c r="K135" s="703"/>
      <c r="L135" s="703"/>
      <c r="M135" s="703"/>
      <c r="N135" s="703"/>
      <c r="O135" s="703"/>
      <c r="P135" s="703"/>
      <c r="Q135" s="703"/>
      <c r="R135" s="703"/>
      <c r="S135" s="703"/>
    </row>
    <row r="136" spans="1:19">
      <c r="A136" s="733" t="s">
        <v>2190</v>
      </c>
      <c r="B136" s="1167">
        <f>Wohnungsausnutzung!CE$44</f>
        <v>22.274999999999999</v>
      </c>
      <c r="C136" s="1167">
        <f>Wohnungsausnutzung!CF$44</f>
        <v>26.805</v>
      </c>
      <c r="D136" s="1167">
        <f>Wohnungsausnutzung!CG$44</f>
        <v>41.58</v>
      </c>
      <c r="E136" s="1167">
        <f>Wohnungsausnutzung!CH$44</f>
        <v>54.84</v>
      </c>
      <c r="F136" s="1167">
        <f>Wohnungsausnutzung!CI$44</f>
        <v>65.75</v>
      </c>
      <c r="G136" s="1167">
        <f>Wohnungsausnutzung!CJ$44</f>
        <v>82.95</v>
      </c>
      <c r="H136" s="1167">
        <f>Wohnungsausnutzung!CK$44</f>
        <v>103.05499999999999</v>
      </c>
      <c r="I136" s="704"/>
      <c r="J136" s="703"/>
      <c r="K136" s="703"/>
      <c r="L136" s="703"/>
      <c r="M136" s="703"/>
      <c r="N136" s="703"/>
      <c r="O136" s="703"/>
      <c r="P136" s="703"/>
      <c r="Q136" s="703"/>
      <c r="R136" s="703"/>
      <c r="S136" s="703"/>
    </row>
    <row r="137" spans="1:19">
      <c r="A137" s="733" t="s">
        <v>2191</v>
      </c>
      <c r="B137" s="1168">
        <f>Wohnungsausnutzung!CE42</f>
        <v>4</v>
      </c>
      <c r="C137" s="1168">
        <f>Wohnungsausnutzung!CG42</f>
        <v>5</v>
      </c>
      <c r="D137" s="1168">
        <f>Wohnungsausnutzung!CI42</f>
        <v>7</v>
      </c>
      <c r="E137" s="1168">
        <f>Wohnungsausnutzung!CK42</f>
        <v>8</v>
      </c>
      <c r="F137" s="1168">
        <f>Wohnungsausnutzung!CM42</f>
        <v>10</v>
      </c>
      <c r="G137" s="1168">
        <f>Wohnungsausnutzung!CO42</f>
        <v>12</v>
      </c>
      <c r="H137" s="1168">
        <f>Wohnungsausnutzung!CQ42</f>
        <v>14</v>
      </c>
      <c r="I137" s="704"/>
      <c r="J137" s="703"/>
      <c r="K137" s="703"/>
      <c r="L137" s="703"/>
      <c r="M137" s="703"/>
      <c r="N137" s="703"/>
      <c r="O137" s="703"/>
      <c r="P137" s="703"/>
      <c r="Q137" s="703"/>
      <c r="R137" s="703"/>
      <c r="S137" s="703"/>
    </row>
    <row r="138" spans="1:19">
      <c r="A138" s="733" t="s">
        <v>2192</v>
      </c>
      <c r="B138" s="1169">
        <f t="shared" ref="B138:H138" si="50">B136/(B137*$C134)</f>
        <v>0.52859515899383014</v>
      </c>
      <c r="C138" s="1169">
        <f t="shared" si="50"/>
        <v>0.50887517797816806</v>
      </c>
      <c r="D138" s="1169">
        <f t="shared" si="50"/>
        <v>0.56383483626008546</v>
      </c>
      <c r="E138" s="1169">
        <f t="shared" si="50"/>
        <v>0.6506881822496442</v>
      </c>
      <c r="F138" s="1169">
        <f t="shared" si="50"/>
        <v>0.62411010915994314</v>
      </c>
      <c r="G138" s="1169">
        <f t="shared" si="50"/>
        <v>0.65614617940199349</v>
      </c>
      <c r="H138" s="1169">
        <f t="shared" si="50"/>
        <v>0.69872533731100417</v>
      </c>
      <c r="I138" s="704"/>
      <c r="J138" s="703"/>
      <c r="K138" s="703"/>
      <c r="L138" s="703"/>
      <c r="M138" s="703"/>
      <c r="N138" s="703"/>
      <c r="O138" s="703"/>
      <c r="P138" s="703"/>
      <c r="Q138" s="703"/>
      <c r="R138" s="703"/>
      <c r="S138" s="703"/>
    </row>
    <row r="139" spans="1:19">
      <c r="A139" s="737"/>
      <c r="B139" s="738"/>
      <c r="C139" s="738"/>
      <c r="D139" s="738"/>
      <c r="E139" s="738"/>
      <c r="F139" s="738"/>
      <c r="G139" s="738"/>
      <c r="H139" s="703"/>
      <c r="I139" s="704"/>
      <c r="J139" s="703"/>
      <c r="K139" s="703"/>
      <c r="L139" s="703"/>
      <c r="M139" s="703"/>
      <c r="N139" s="703"/>
      <c r="O139" s="703"/>
      <c r="P139" s="703"/>
      <c r="Q139" s="703"/>
      <c r="R139" s="703"/>
      <c r="S139" s="703"/>
    </row>
    <row r="140" spans="1:19">
      <c r="A140" s="727" t="s">
        <v>1275</v>
      </c>
      <c r="B140" s="1041">
        <v>2.65</v>
      </c>
      <c r="C140" s="1041">
        <v>5</v>
      </c>
      <c r="D140" s="727"/>
      <c r="E140" s="728"/>
      <c r="F140" s="728"/>
      <c r="G140" s="728"/>
      <c r="H140" s="728"/>
      <c r="I140" s="704"/>
      <c r="J140" s="703"/>
      <c r="K140" s="703"/>
      <c r="L140" s="703"/>
      <c r="M140" s="703"/>
      <c r="N140" s="703"/>
      <c r="O140" s="703"/>
      <c r="P140" s="703"/>
      <c r="Q140" s="703"/>
      <c r="R140" s="703"/>
      <c r="S140" s="703"/>
    </row>
    <row r="141" spans="1:19">
      <c r="A141" s="729" t="s">
        <v>1354</v>
      </c>
      <c r="B141" s="1038">
        <f>B140-0.2</f>
        <v>2.4499999999999997</v>
      </c>
      <c r="C141" s="1038">
        <f>C140-0.2</f>
        <v>4.8</v>
      </c>
      <c r="D141" s="729"/>
      <c r="E141" s="729"/>
      <c r="F141" s="729"/>
      <c r="G141" s="729"/>
      <c r="H141" s="729"/>
      <c r="I141" s="704"/>
      <c r="J141" s="703"/>
      <c r="K141" s="703"/>
      <c r="L141" s="703"/>
      <c r="M141" s="703"/>
      <c r="N141" s="703"/>
      <c r="O141" s="703"/>
      <c r="P141" s="703"/>
      <c r="Q141" s="703"/>
      <c r="R141" s="703"/>
      <c r="S141" s="703"/>
    </row>
    <row r="142" spans="1:19">
      <c r="A142" s="730" t="s">
        <v>1355</v>
      </c>
      <c r="B142" s="1040"/>
      <c r="C142" s="1039">
        <f>B141*C141</f>
        <v>11.759999999999998</v>
      </c>
      <c r="D142" s="730"/>
      <c r="E142" s="729"/>
      <c r="F142" s="729"/>
      <c r="G142" s="729"/>
      <c r="H142" s="729"/>
      <c r="I142" s="704"/>
      <c r="J142" s="703"/>
      <c r="K142" s="703"/>
      <c r="L142" s="703"/>
      <c r="M142" s="703"/>
      <c r="N142" s="703"/>
      <c r="O142" s="703"/>
      <c r="P142" s="703"/>
      <c r="Q142" s="703"/>
      <c r="R142" s="703"/>
      <c r="S142" s="703"/>
    </row>
    <row r="143" spans="1:19">
      <c r="A143" s="731" t="s">
        <v>1356</v>
      </c>
      <c r="B143" s="732" t="s">
        <v>1357</v>
      </c>
      <c r="C143" s="732" t="s">
        <v>1358</v>
      </c>
      <c r="D143" s="732" t="s">
        <v>1359</v>
      </c>
      <c r="E143" s="732" t="s">
        <v>1360</v>
      </c>
      <c r="F143" s="732" t="s">
        <v>1361</v>
      </c>
      <c r="G143" s="732" t="s">
        <v>1362</v>
      </c>
      <c r="H143" s="732" t="s">
        <v>1363</v>
      </c>
      <c r="I143" s="704"/>
      <c r="J143" s="703"/>
      <c r="K143" s="703"/>
      <c r="L143" s="703"/>
      <c r="M143" s="703"/>
      <c r="N143" s="703"/>
      <c r="O143" s="703"/>
      <c r="P143" s="703"/>
      <c r="Q143" s="703"/>
      <c r="R143" s="703"/>
      <c r="S143" s="703"/>
    </row>
    <row r="144" spans="1:19">
      <c r="A144" s="733" t="s">
        <v>2190</v>
      </c>
      <c r="B144" s="1167">
        <f>Wohnungsausnutzung!CU$44</f>
        <v>22.274999999999999</v>
      </c>
      <c r="C144" s="1167">
        <f>Wohnungsausnutzung!CV$44</f>
        <v>26.805</v>
      </c>
      <c r="D144" s="1167">
        <f>Wohnungsausnutzung!CW$44</f>
        <v>41.58</v>
      </c>
      <c r="E144" s="1167">
        <f>Wohnungsausnutzung!CX$44</f>
        <v>54.84</v>
      </c>
      <c r="F144" s="1167">
        <f>Wohnungsausnutzung!CY$44</f>
        <v>65.75</v>
      </c>
      <c r="G144" s="1167">
        <f>Wohnungsausnutzung!CZ$44</f>
        <v>82.95</v>
      </c>
      <c r="H144" s="1167">
        <f>Wohnungsausnutzung!DA$44</f>
        <v>104.28</v>
      </c>
      <c r="I144" s="704"/>
      <c r="J144" s="703"/>
      <c r="K144" s="703"/>
      <c r="L144" s="703"/>
      <c r="M144" s="703"/>
      <c r="N144" s="703"/>
      <c r="O144" s="703"/>
      <c r="P144" s="703"/>
      <c r="Q144" s="703"/>
      <c r="R144" s="703"/>
      <c r="S144" s="703"/>
    </row>
    <row r="145" spans="1:19">
      <c r="A145" s="733" t="s">
        <v>2191</v>
      </c>
      <c r="B145" s="1168">
        <f>Wohnungsausnutzung!CU42</f>
        <v>4</v>
      </c>
      <c r="C145" s="1168">
        <f>Wohnungsausnutzung!CW42</f>
        <v>5</v>
      </c>
      <c r="D145" s="1168">
        <f>Wohnungsausnutzung!CY42</f>
        <v>7</v>
      </c>
      <c r="E145" s="1168">
        <f>Wohnungsausnutzung!DA42</f>
        <v>8</v>
      </c>
      <c r="F145" s="1168">
        <f>Wohnungsausnutzung!DC42</f>
        <v>10</v>
      </c>
      <c r="G145" s="1168">
        <f>Wohnungsausnutzung!DE42</f>
        <v>11</v>
      </c>
      <c r="H145" s="1168">
        <f>Wohnungsausnutzung!DG42</f>
        <v>12</v>
      </c>
      <c r="I145" s="704"/>
      <c r="J145" s="703"/>
      <c r="K145" s="703"/>
      <c r="L145" s="703"/>
      <c r="M145" s="703"/>
      <c r="N145" s="703"/>
      <c r="O145" s="703"/>
      <c r="P145" s="703"/>
      <c r="Q145" s="703"/>
      <c r="R145" s="703"/>
      <c r="S145" s="703"/>
    </row>
    <row r="146" spans="1:19">
      <c r="A146" s="733" t="s">
        <v>2192</v>
      </c>
      <c r="B146" s="1169">
        <f t="shared" ref="B146:H146" si="51">B144/(B145*$C142)</f>
        <v>0.47353316326530615</v>
      </c>
      <c r="C146" s="1169">
        <f t="shared" si="51"/>
        <v>0.45586734693877556</v>
      </c>
      <c r="D146" s="1169">
        <f t="shared" si="51"/>
        <v>0.50510204081632659</v>
      </c>
      <c r="E146" s="1169">
        <f t="shared" si="51"/>
        <v>0.58290816326530626</v>
      </c>
      <c r="F146" s="1169">
        <f t="shared" si="51"/>
        <v>0.55909863945578242</v>
      </c>
      <c r="G146" s="1169">
        <f t="shared" si="51"/>
        <v>0.64123376623376638</v>
      </c>
      <c r="H146" s="1169">
        <f t="shared" si="51"/>
        <v>0.7389455782312927</v>
      </c>
      <c r="I146" s="704"/>
      <c r="J146" s="703"/>
      <c r="K146" s="703"/>
      <c r="L146" s="703"/>
      <c r="M146" s="703"/>
      <c r="N146" s="703"/>
      <c r="O146" s="703"/>
      <c r="P146" s="703"/>
      <c r="Q146" s="703"/>
      <c r="R146" s="703"/>
      <c r="S146" s="703"/>
    </row>
    <row r="147" spans="1:19">
      <c r="A147" s="724"/>
      <c r="B147" s="735"/>
      <c r="C147" s="703"/>
      <c r="D147" s="703"/>
      <c r="E147" s="703"/>
      <c r="F147" s="703"/>
      <c r="G147" s="703"/>
      <c r="H147" s="703"/>
      <c r="I147" s="704"/>
      <c r="J147" s="703"/>
      <c r="K147" s="703"/>
      <c r="L147" s="703"/>
      <c r="M147" s="703"/>
      <c r="N147" s="703"/>
      <c r="O147" s="703"/>
      <c r="P147" s="703"/>
      <c r="Q147" s="703"/>
      <c r="R147" s="703"/>
      <c r="S147" s="703"/>
    </row>
    <row r="148" spans="1:19">
      <c r="A148" s="727" t="s">
        <v>1275</v>
      </c>
      <c r="B148" s="1041">
        <v>2.65</v>
      </c>
      <c r="C148" s="1041">
        <v>5.3</v>
      </c>
      <c r="D148" s="727"/>
      <c r="E148" s="728"/>
      <c r="F148" s="728"/>
      <c r="G148" s="728"/>
      <c r="H148" s="728"/>
      <c r="I148" s="704"/>
      <c r="J148" s="703"/>
      <c r="K148" s="703"/>
      <c r="L148" s="703"/>
      <c r="M148" s="703"/>
      <c r="N148" s="703"/>
      <c r="O148" s="703"/>
      <c r="P148" s="703"/>
      <c r="Q148" s="703"/>
      <c r="R148" s="703"/>
      <c r="S148" s="703"/>
    </row>
    <row r="149" spans="1:19">
      <c r="A149" s="729" t="s">
        <v>1354</v>
      </c>
      <c r="B149" s="1038">
        <f>B148-0.2</f>
        <v>2.4499999999999997</v>
      </c>
      <c r="C149" s="1038">
        <f>C148-0.2</f>
        <v>5.0999999999999996</v>
      </c>
      <c r="D149" s="729"/>
      <c r="E149" s="729"/>
      <c r="F149" s="729"/>
      <c r="G149" s="729"/>
      <c r="H149" s="729"/>
      <c r="I149" s="704"/>
      <c r="J149" s="703"/>
      <c r="K149" s="703"/>
      <c r="L149" s="703"/>
      <c r="M149" s="703"/>
      <c r="N149" s="703"/>
      <c r="O149" s="703"/>
      <c r="P149" s="703"/>
      <c r="Q149" s="703"/>
      <c r="R149" s="703"/>
      <c r="S149" s="703"/>
    </row>
    <row r="150" spans="1:19">
      <c r="A150" s="730" t="s">
        <v>1355</v>
      </c>
      <c r="B150" s="1040"/>
      <c r="C150" s="1039">
        <f>B149*C149</f>
        <v>12.494999999999997</v>
      </c>
      <c r="D150" s="730"/>
      <c r="E150" s="729"/>
      <c r="F150" s="729"/>
      <c r="G150" s="729"/>
      <c r="H150" s="729"/>
      <c r="I150" s="704"/>
      <c r="J150" s="703"/>
      <c r="K150" s="703"/>
      <c r="L150" s="703"/>
      <c r="M150" s="703"/>
      <c r="N150" s="703"/>
      <c r="O150" s="703"/>
      <c r="P150" s="703"/>
      <c r="Q150" s="703"/>
      <c r="R150" s="703"/>
      <c r="S150" s="703"/>
    </row>
    <row r="151" spans="1:19">
      <c r="A151" s="731" t="s">
        <v>1356</v>
      </c>
      <c r="B151" s="732" t="s">
        <v>1357</v>
      </c>
      <c r="C151" s="732" t="s">
        <v>1358</v>
      </c>
      <c r="D151" s="732" t="s">
        <v>1359</v>
      </c>
      <c r="E151" s="732" t="s">
        <v>1360</v>
      </c>
      <c r="F151" s="732" t="s">
        <v>1361</v>
      </c>
      <c r="G151" s="732" t="s">
        <v>1362</v>
      </c>
      <c r="H151" s="732" t="s">
        <v>1363</v>
      </c>
      <c r="I151" s="704"/>
      <c r="J151" s="703"/>
      <c r="K151" s="703"/>
      <c r="L151" s="703"/>
      <c r="M151" s="703"/>
      <c r="N151" s="703"/>
      <c r="O151" s="703"/>
      <c r="P151" s="703"/>
      <c r="Q151" s="703"/>
      <c r="R151" s="703"/>
      <c r="S151" s="703"/>
    </row>
    <row r="152" spans="1:19">
      <c r="A152" s="733" t="s">
        <v>2190</v>
      </c>
      <c r="B152" s="1167">
        <f>Wohnungsausnutzung!DK$44</f>
        <v>22.274999999999999</v>
      </c>
      <c r="C152" s="1167">
        <f>Wohnungsausnutzung!DL$44</f>
        <v>26.805</v>
      </c>
      <c r="D152" s="1167">
        <f>Wohnungsausnutzung!DM$44</f>
        <v>41.58</v>
      </c>
      <c r="E152" s="1167">
        <f>Wohnungsausnutzung!DN$44</f>
        <v>50.825999999999993</v>
      </c>
      <c r="F152" s="1167">
        <f>Wohnungsausnutzung!DO$44</f>
        <v>65.75</v>
      </c>
      <c r="G152" s="1167">
        <f>Wohnungsausnutzung!DP$44</f>
        <v>82.95</v>
      </c>
      <c r="H152" s="1167">
        <f>Wohnungsausnutzung!DQ$44</f>
        <v>92.52</v>
      </c>
      <c r="I152" s="704"/>
      <c r="J152" s="703"/>
      <c r="K152" s="703"/>
      <c r="L152" s="703"/>
      <c r="M152" s="703"/>
      <c r="N152" s="703"/>
      <c r="O152" s="703"/>
      <c r="P152" s="703"/>
      <c r="Q152" s="703"/>
      <c r="R152" s="703"/>
      <c r="S152" s="703"/>
    </row>
    <row r="153" spans="1:19">
      <c r="A153" s="733" t="s">
        <v>2191</v>
      </c>
      <c r="B153" s="1168">
        <f>Wohnungsausnutzung!DK42</f>
        <v>3</v>
      </c>
      <c r="C153" s="1168">
        <f>Wohnungsausnutzung!DM42</f>
        <v>4</v>
      </c>
      <c r="D153" s="1168">
        <f>Wohnungsausnutzung!DO42</f>
        <v>7</v>
      </c>
      <c r="E153" s="1168">
        <f>Wohnungsausnutzung!DQ42</f>
        <v>8</v>
      </c>
      <c r="F153" s="1168">
        <f>Wohnungsausnutzung!DS42</f>
        <v>9</v>
      </c>
      <c r="G153" s="1168">
        <f>Wohnungsausnutzung!DU42</f>
        <v>11</v>
      </c>
      <c r="H153" s="1168">
        <f>Wohnungsausnutzung!DW42</f>
        <v>12</v>
      </c>
      <c r="I153" s="704"/>
      <c r="J153" s="703"/>
      <c r="K153" s="703"/>
      <c r="L153" s="703"/>
      <c r="M153" s="703"/>
      <c r="N153" s="703"/>
      <c r="O153" s="703"/>
      <c r="P153" s="703"/>
      <c r="Q153" s="703"/>
      <c r="R153" s="703"/>
      <c r="S153" s="703"/>
    </row>
    <row r="154" spans="1:19">
      <c r="A154" s="733" t="s">
        <v>2192</v>
      </c>
      <c r="B154" s="1169">
        <f t="shared" ref="B154:H154" si="52">B152/(B153*$C150)</f>
        <v>0.59423769507803126</v>
      </c>
      <c r="C154" s="1169">
        <f t="shared" si="52"/>
        <v>0.53631452581032424</v>
      </c>
      <c r="D154" s="1169">
        <f t="shared" si="52"/>
        <v>0.47539015606242507</v>
      </c>
      <c r="E154" s="1169">
        <f t="shared" si="52"/>
        <v>0.50846338535414171</v>
      </c>
      <c r="F154" s="1169">
        <f t="shared" si="52"/>
        <v>0.5846783157707528</v>
      </c>
      <c r="G154" s="1169">
        <f t="shared" si="52"/>
        <v>0.60351413292589784</v>
      </c>
      <c r="H154" s="1169">
        <f t="shared" si="52"/>
        <v>0.61704681872749112</v>
      </c>
      <c r="I154" s="704"/>
      <c r="J154" s="703"/>
      <c r="K154" s="703"/>
      <c r="L154" s="703"/>
      <c r="M154" s="703"/>
      <c r="N154" s="703"/>
      <c r="O154" s="703"/>
      <c r="P154" s="703"/>
      <c r="Q154" s="703"/>
      <c r="R154" s="703"/>
      <c r="S154" s="703"/>
    </row>
    <row r="155" spans="1:19">
      <c r="A155" s="737"/>
      <c r="B155" s="738"/>
      <c r="C155" s="738"/>
      <c r="D155" s="738"/>
      <c r="E155" s="738"/>
      <c r="F155" s="738"/>
      <c r="G155" s="738"/>
      <c r="H155" s="703"/>
      <c r="I155" s="704"/>
      <c r="J155" s="703"/>
      <c r="K155" s="703"/>
      <c r="L155" s="703"/>
      <c r="M155" s="703"/>
      <c r="N155" s="703"/>
      <c r="O155" s="703"/>
      <c r="P155" s="703"/>
      <c r="Q155" s="703"/>
      <c r="R155" s="703"/>
      <c r="S155" s="703"/>
    </row>
    <row r="156" spans="1:19">
      <c r="A156" s="727" t="s">
        <v>1275</v>
      </c>
      <c r="B156" s="1041">
        <v>2.85</v>
      </c>
      <c r="C156" s="1041">
        <v>3</v>
      </c>
      <c r="D156" s="727"/>
      <c r="E156" s="728"/>
      <c r="F156" s="728"/>
      <c r="G156" s="728"/>
      <c r="H156" s="728"/>
      <c r="I156" s="704"/>
      <c r="J156" s="703"/>
      <c r="K156" s="703"/>
      <c r="L156" s="703"/>
      <c r="M156" s="703"/>
      <c r="N156" s="703"/>
      <c r="O156" s="703"/>
      <c r="P156" s="703"/>
      <c r="Q156" s="703"/>
      <c r="R156" s="703"/>
      <c r="S156" s="703"/>
    </row>
    <row r="157" spans="1:19">
      <c r="A157" s="729" t="s">
        <v>1354</v>
      </c>
      <c r="B157" s="1038">
        <f>B156-0.2</f>
        <v>2.65</v>
      </c>
      <c r="C157" s="1038">
        <f>C156-0.2</f>
        <v>2.8</v>
      </c>
      <c r="D157" s="729"/>
      <c r="E157" s="729"/>
      <c r="F157" s="729"/>
      <c r="G157" s="729"/>
      <c r="H157" s="729"/>
      <c r="I157" s="704"/>
      <c r="J157" s="703"/>
      <c r="K157" s="703"/>
      <c r="L157" s="703"/>
      <c r="M157" s="703"/>
      <c r="N157" s="703"/>
      <c r="O157" s="703"/>
      <c r="P157" s="703"/>
      <c r="Q157" s="703"/>
      <c r="R157" s="703"/>
      <c r="S157" s="703"/>
    </row>
    <row r="158" spans="1:19">
      <c r="A158" s="730" t="s">
        <v>1355</v>
      </c>
      <c r="B158" s="1040"/>
      <c r="C158" s="1039">
        <f>B157*C157</f>
        <v>7.419999999999999</v>
      </c>
      <c r="D158" s="730"/>
      <c r="E158" s="729"/>
      <c r="F158" s="729"/>
      <c r="G158" s="729"/>
      <c r="H158" s="729"/>
      <c r="I158" s="704"/>
      <c r="J158" s="703"/>
      <c r="K158" s="703"/>
      <c r="L158" s="703"/>
      <c r="M158" s="703"/>
      <c r="N158" s="703"/>
      <c r="O158" s="703"/>
      <c r="P158" s="703"/>
      <c r="Q158" s="703"/>
      <c r="R158" s="703"/>
      <c r="S158" s="703"/>
    </row>
    <row r="159" spans="1:19">
      <c r="A159" s="731" t="s">
        <v>1356</v>
      </c>
      <c r="B159" s="732" t="s">
        <v>1357</v>
      </c>
      <c r="C159" s="732" t="s">
        <v>1358</v>
      </c>
      <c r="D159" s="732" t="s">
        <v>1359</v>
      </c>
      <c r="E159" s="732" t="s">
        <v>1360</v>
      </c>
      <c r="F159" s="732" t="s">
        <v>1361</v>
      </c>
      <c r="G159" s="732" t="s">
        <v>1362</v>
      </c>
      <c r="H159" s="732" t="s">
        <v>1363</v>
      </c>
      <c r="I159" s="704"/>
      <c r="J159" s="703"/>
      <c r="K159" s="703"/>
      <c r="L159" s="703"/>
      <c r="M159" s="703"/>
      <c r="N159" s="703"/>
      <c r="O159" s="703"/>
      <c r="P159" s="703"/>
      <c r="Q159" s="703"/>
      <c r="R159" s="703"/>
      <c r="S159" s="703"/>
    </row>
    <row r="160" spans="1:19">
      <c r="A160" s="733" t="s">
        <v>2190</v>
      </c>
      <c r="B160" s="1167">
        <f>Wohnungsausnutzung!S$87</f>
        <v>22.274999999999999</v>
      </c>
      <c r="C160" s="1167">
        <f>Wohnungsausnutzung!T$87</f>
        <v>26.805</v>
      </c>
      <c r="D160" s="1167">
        <f>Wohnungsausnutzung!U$87</f>
        <v>34.659999999999997</v>
      </c>
      <c r="E160" s="1167">
        <f>Wohnungsausnutzung!V$87</f>
        <v>49.165999999999997</v>
      </c>
      <c r="F160" s="1167">
        <f>Wohnungsausnutzung!W$87</f>
        <v>57.915999999999997</v>
      </c>
      <c r="G160" s="1167">
        <f>Wohnungsausnutzung!X$87</f>
        <v>82.341999999999999</v>
      </c>
      <c r="H160" s="1167">
        <f>Wohnungsausnutzung!Y$87</f>
        <v>91.911999999999992</v>
      </c>
      <c r="I160" s="704"/>
      <c r="J160" s="703"/>
      <c r="K160" s="703"/>
      <c r="L160" s="703"/>
      <c r="M160" s="703"/>
      <c r="N160" s="703"/>
      <c r="O160" s="703"/>
      <c r="P160" s="703"/>
      <c r="Q160" s="703"/>
      <c r="R160" s="703"/>
      <c r="S160" s="703"/>
    </row>
    <row r="161" spans="1:19">
      <c r="A161" s="733" t="s">
        <v>2191</v>
      </c>
      <c r="B161" s="1168">
        <f>Wohnungsausnutzung!S85</f>
        <v>5</v>
      </c>
      <c r="C161" s="1168">
        <f>Wohnungsausnutzung!U85</f>
        <v>5</v>
      </c>
      <c r="D161" s="1168">
        <f>Wohnungsausnutzung!W85</f>
        <v>9</v>
      </c>
      <c r="E161" s="1168">
        <f>Wohnungsausnutzung!Y85</f>
        <v>12</v>
      </c>
      <c r="F161" s="1168">
        <f>Wohnungsausnutzung!AA85</f>
        <v>15</v>
      </c>
      <c r="G161" s="1168">
        <f>Wohnungsausnutzung!AC85</f>
        <v>16</v>
      </c>
      <c r="H161" s="1168">
        <f>Wohnungsausnutzung!AE85</f>
        <v>18</v>
      </c>
      <c r="I161" s="704"/>
      <c r="J161" s="703"/>
      <c r="K161" s="703"/>
      <c r="L161" s="703"/>
      <c r="M161" s="703"/>
      <c r="N161" s="703"/>
      <c r="O161" s="703"/>
      <c r="P161" s="703"/>
      <c r="Q161" s="703"/>
      <c r="R161" s="703"/>
      <c r="S161" s="703"/>
    </row>
    <row r="162" spans="1:19">
      <c r="A162" s="733" t="s">
        <v>2192</v>
      </c>
      <c r="B162" s="1169">
        <f t="shared" ref="B162:H162" si="53">B160/(B161*$C158)</f>
        <v>0.60040431266846361</v>
      </c>
      <c r="C162" s="1169">
        <f t="shared" si="53"/>
        <v>0.72250673854447445</v>
      </c>
      <c r="D162" s="1169">
        <f t="shared" si="53"/>
        <v>0.51901766996106624</v>
      </c>
      <c r="E162" s="1169">
        <f t="shared" si="53"/>
        <v>0.5521787960467206</v>
      </c>
      <c r="F162" s="1169">
        <f t="shared" si="53"/>
        <v>0.52035938903863432</v>
      </c>
      <c r="G162" s="1169">
        <f t="shared" si="53"/>
        <v>0.69358153638814024</v>
      </c>
      <c r="H162" s="1169">
        <f t="shared" si="53"/>
        <v>0.68817011081162027</v>
      </c>
      <c r="I162" s="704"/>
      <c r="J162" s="703"/>
      <c r="K162" s="703"/>
      <c r="L162" s="703"/>
      <c r="M162" s="703"/>
      <c r="N162" s="703"/>
      <c r="O162" s="703"/>
      <c r="P162" s="703"/>
      <c r="Q162" s="703"/>
      <c r="R162" s="703"/>
      <c r="S162" s="703"/>
    </row>
    <row r="163" spans="1:19">
      <c r="A163" s="717"/>
      <c r="B163" s="717"/>
      <c r="C163" s="703"/>
      <c r="D163" s="717"/>
      <c r="E163" s="703"/>
      <c r="F163" s="703"/>
      <c r="G163" s="703"/>
      <c r="H163" s="703"/>
      <c r="I163" s="704"/>
      <c r="J163" s="703"/>
      <c r="K163" s="703"/>
      <c r="L163" s="703"/>
      <c r="M163" s="703"/>
      <c r="N163" s="703"/>
      <c r="O163" s="703"/>
      <c r="P163" s="703"/>
      <c r="Q163" s="703"/>
      <c r="R163" s="703"/>
      <c r="S163" s="703"/>
    </row>
    <row r="164" spans="1:19">
      <c r="A164" s="727" t="s">
        <v>1275</v>
      </c>
      <c r="B164" s="1041">
        <v>2.85</v>
      </c>
      <c r="C164" s="1041">
        <v>3.5</v>
      </c>
      <c r="D164" s="727"/>
      <c r="E164" s="728"/>
      <c r="F164" s="728"/>
      <c r="G164" s="728"/>
      <c r="H164" s="728"/>
      <c r="I164" s="704"/>
      <c r="J164" s="703"/>
      <c r="K164" s="703"/>
      <c r="L164" s="703"/>
      <c r="M164" s="703"/>
      <c r="N164" s="703"/>
      <c r="O164" s="703"/>
      <c r="P164" s="703"/>
      <c r="Q164" s="703"/>
      <c r="R164" s="703"/>
      <c r="S164" s="703"/>
    </row>
    <row r="165" spans="1:19">
      <c r="A165" s="729" t="s">
        <v>1354</v>
      </c>
      <c r="B165" s="1038">
        <f>B164-0.2</f>
        <v>2.65</v>
      </c>
      <c r="C165" s="1038">
        <f>C164-0.2</f>
        <v>3.3</v>
      </c>
      <c r="D165" s="729"/>
      <c r="E165" s="729"/>
      <c r="F165" s="729"/>
      <c r="G165" s="729"/>
      <c r="H165" s="729"/>
      <c r="I165" s="704"/>
      <c r="J165" s="703"/>
      <c r="K165" s="703"/>
      <c r="L165" s="703"/>
      <c r="M165" s="703"/>
      <c r="N165" s="703"/>
      <c r="O165" s="703"/>
      <c r="P165" s="703"/>
      <c r="Q165" s="703"/>
      <c r="R165" s="703"/>
      <c r="S165" s="703"/>
    </row>
    <row r="166" spans="1:19">
      <c r="A166" s="730" t="s">
        <v>1355</v>
      </c>
      <c r="B166" s="1040"/>
      <c r="C166" s="1039">
        <f>B165*C165</f>
        <v>8.7449999999999992</v>
      </c>
      <c r="D166" s="730"/>
      <c r="E166" s="729"/>
      <c r="F166" s="729"/>
      <c r="G166" s="729"/>
      <c r="H166" s="729"/>
      <c r="I166" s="704"/>
      <c r="J166" s="703"/>
      <c r="K166" s="703"/>
      <c r="L166" s="703"/>
      <c r="M166" s="703"/>
      <c r="N166" s="703"/>
      <c r="O166" s="703"/>
      <c r="P166" s="703"/>
      <c r="Q166" s="703"/>
      <c r="R166" s="703"/>
      <c r="S166" s="703"/>
    </row>
    <row r="167" spans="1:19">
      <c r="A167" s="731" t="s">
        <v>1356</v>
      </c>
      <c r="B167" s="732" t="s">
        <v>1357</v>
      </c>
      <c r="C167" s="732" t="s">
        <v>1358</v>
      </c>
      <c r="D167" s="732" t="s">
        <v>1359</v>
      </c>
      <c r="E167" s="732" t="s">
        <v>1360</v>
      </c>
      <c r="F167" s="732" t="s">
        <v>1361</v>
      </c>
      <c r="G167" s="732" t="s">
        <v>1362</v>
      </c>
      <c r="H167" s="732" t="s">
        <v>1363</v>
      </c>
      <c r="I167" s="704"/>
      <c r="J167" s="703"/>
      <c r="K167" s="703"/>
      <c r="L167" s="703"/>
      <c r="M167" s="703"/>
      <c r="N167" s="703"/>
      <c r="O167" s="703"/>
      <c r="P167" s="703"/>
      <c r="Q167" s="703"/>
      <c r="R167" s="703"/>
      <c r="S167" s="703"/>
    </row>
    <row r="168" spans="1:19">
      <c r="A168" s="733" t="s">
        <v>2190</v>
      </c>
      <c r="B168" s="1167">
        <f>Wohnungsausnutzung!AI$87</f>
        <v>22.274999999999999</v>
      </c>
      <c r="C168" s="1167">
        <f>Wohnungsausnutzung!AJ$87</f>
        <v>26.805</v>
      </c>
      <c r="D168" s="1167">
        <f>Wohnungsausnutzung!AK$87</f>
        <v>41.580000000000005</v>
      </c>
      <c r="E168" s="1167">
        <f>Wohnungsausnutzung!AL$87</f>
        <v>54.504999999999995</v>
      </c>
      <c r="F168" s="1167">
        <f>Wohnungsausnutzung!AM$87</f>
        <v>63.255000000000003</v>
      </c>
      <c r="G168" s="1167">
        <f>Wohnungsausnutzung!AN$87</f>
        <v>91.695000000000007</v>
      </c>
      <c r="H168" s="1167">
        <f>Wohnungsausnutzung!AO$87</f>
        <v>101.265</v>
      </c>
      <c r="I168" s="704"/>
      <c r="J168" s="703"/>
      <c r="K168" s="703"/>
      <c r="L168" s="703"/>
      <c r="M168" s="703"/>
      <c r="N168" s="703"/>
      <c r="O168" s="703"/>
      <c r="P168" s="703"/>
      <c r="Q168" s="703"/>
      <c r="R168" s="703"/>
      <c r="S168" s="703"/>
    </row>
    <row r="169" spans="1:19">
      <c r="A169" s="733" t="s">
        <v>2191</v>
      </c>
      <c r="B169" s="1168">
        <f>Wohnungsausnutzung!AI85</f>
        <v>4</v>
      </c>
      <c r="C169" s="1168">
        <f>Wohnungsausnutzung!AK85</f>
        <v>5</v>
      </c>
      <c r="D169" s="1168">
        <f>Wohnungsausnutzung!AM85</f>
        <v>7</v>
      </c>
      <c r="E169" s="1168">
        <f>Wohnungsausnutzung!AO85</f>
        <v>11</v>
      </c>
      <c r="F169" s="1168">
        <f>Wohnungsausnutzung!AQ85</f>
        <v>12</v>
      </c>
      <c r="G169" s="1168">
        <f>Wohnungsausnutzung!AS85</f>
        <v>16</v>
      </c>
      <c r="H169" s="1168">
        <f>Wohnungsausnutzung!AU85</f>
        <v>17</v>
      </c>
      <c r="I169" s="704"/>
      <c r="J169" s="703"/>
      <c r="K169" s="703"/>
      <c r="L169" s="703"/>
      <c r="M169" s="703"/>
      <c r="N169" s="703"/>
      <c r="O169" s="703"/>
      <c r="P169" s="703"/>
      <c r="Q169" s="703"/>
      <c r="R169" s="703"/>
      <c r="S169" s="703"/>
    </row>
    <row r="170" spans="1:19">
      <c r="A170" s="733" t="s">
        <v>2192</v>
      </c>
      <c r="B170" s="1169">
        <f t="shared" ref="B170:H170" si="54">B168/(B169*$C166)</f>
        <v>0.6367924528301887</v>
      </c>
      <c r="C170" s="1169">
        <f t="shared" si="54"/>
        <v>0.61303602058319051</v>
      </c>
      <c r="D170" s="1169">
        <f t="shared" si="54"/>
        <v>0.67924528301886811</v>
      </c>
      <c r="E170" s="1169">
        <f t="shared" si="54"/>
        <v>0.56660949113779302</v>
      </c>
      <c r="F170" s="1169">
        <f t="shared" si="54"/>
        <v>0.60277301315037168</v>
      </c>
      <c r="G170" s="1169">
        <f t="shared" si="54"/>
        <v>0.65533876500857646</v>
      </c>
      <c r="H170" s="1169">
        <f t="shared" si="54"/>
        <v>0.68116234486933713</v>
      </c>
      <c r="I170" s="704"/>
      <c r="J170" s="703"/>
      <c r="K170" s="703"/>
      <c r="L170" s="703"/>
      <c r="M170" s="703"/>
      <c r="N170" s="703"/>
      <c r="O170" s="703"/>
      <c r="P170" s="703"/>
      <c r="Q170" s="703"/>
      <c r="R170" s="703"/>
      <c r="S170" s="703"/>
    </row>
    <row r="171" spans="1:19">
      <c r="A171" s="1216"/>
      <c r="B171" s="1217"/>
      <c r="C171" s="1217"/>
      <c r="D171" s="1217"/>
      <c r="E171" s="1217"/>
      <c r="F171" s="1217"/>
      <c r="G171" s="1217"/>
      <c r="H171" s="1217"/>
      <c r="I171" s="704"/>
      <c r="J171" s="703"/>
      <c r="K171" s="703"/>
      <c r="L171" s="703"/>
      <c r="M171" s="703"/>
      <c r="N171" s="703"/>
      <c r="O171" s="703"/>
      <c r="P171" s="703"/>
      <c r="Q171" s="703"/>
      <c r="R171" s="703"/>
      <c r="S171" s="703"/>
    </row>
    <row r="172" spans="1:19">
      <c r="A172" s="727" t="s">
        <v>1275</v>
      </c>
      <c r="B172" s="1041">
        <v>2.85</v>
      </c>
      <c r="C172" s="1041">
        <v>4</v>
      </c>
      <c r="D172" s="727"/>
      <c r="E172" s="728"/>
      <c r="F172" s="728"/>
      <c r="G172" s="728"/>
      <c r="H172" s="728"/>
      <c r="I172" s="704"/>
      <c r="J172" s="703"/>
      <c r="K172" s="703"/>
      <c r="L172" s="703"/>
      <c r="M172" s="703"/>
      <c r="N172" s="703"/>
      <c r="O172" s="703"/>
      <c r="P172" s="703"/>
      <c r="Q172" s="703"/>
      <c r="R172" s="703"/>
      <c r="S172" s="703"/>
    </row>
    <row r="173" spans="1:19">
      <c r="A173" s="729" t="s">
        <v>1354</v>
      </c>
      <c r="B173" s="1038">
        <f>B172-0.2</f>
        <v>2.65</v>
      </c>
      <c r="C173" s="1038">
        <f>C172-0.2</f>
        <v>3.8</v>
      </c>
      <c r="D173" s="729"/>
      <c r="E173" s="729"/>
      <c r="F173" s="729"/>
      <c r="G173" s="729"/>
      <c r="H173" s="729"/>
      <c r="I173" s="704"/>
      <c r="J173" s="703"/>
      <c r="K173" s="703"/>
      <c r="L173" s="703"/>
      <c r="M173" s="703"/>
      <c r="N173" s="703"/>
      <c r="O173" s="703"/>
      <c r="P173" s="703"/>
      <c r="Q173" s="703"/>
      <c r="R173" s="703"/>
      <c r="S173" s="703"/>
    </row>
    <row r="174" spans="1:19">
      <c r="A174" s="730" t="s">
        <v>1355</v>
      </c>
      <c r="B174" s="1040"/>
      <c r="C174" s="1039">
        <f>B173*C173</f>
        <v>10.069999999999999</v>
      </c>
      <c r="D174" s="730"/>
      <c r="E174" s="729"/>
      <c r="F174" s="729"/>
      <c r="G174" s="729"/>
      <c r="H174" s="729"/>
      <c r="I174" s="704"/>
      <c r="J174" s="703"/>
      <c r="K174" s="703"/>
      <c r="L174" s="703"/>
      <c r="M174" s="703"/>
      <c r="N174" s="703"/>
      <c r="O174" s="703"/>
      <c r="P174" s="703"/>
      <c r="Q174" s="703"/>
      <c r="R174" s="703"/>
      <c r="S174" s="703"/>
    </row>
    <row r="175" spans="1:19">
      <c r="A175" s="731" t="s">
        <v>1356</v>
      </c>
      <c r="B175" s="732" t="s">
        <v>1357</v>
      </c>
      <c r="C175" s="732" t="s">
        <v>1358</v>
      </c>
      <c r="D175" s="732" t="s">
        <v>1359</v>
      </c>
      <c r="E175" s="732" t="s">
        <v>1360</v>
      </c>
      <c r="F175" s="732" t="s">
        <v>1361</v>
      </c>
      <c r="G175" s="732" t="s">
        <v>1362</v>
      </c>
      <c r="H175" s="732" t="s">
        <v>1363</v>
      </c>
      <c r="I175" s="704"/>
      <c r="J175" s="703"/>
      <c r="K175" s="703"/>
      <c r="L175" s="703"/>
      <c r="M175" s="703"/>
      <c r="N175" s="703"/>
      <c r="O175" s="703"/>
      <c r="P175" s="703"/>
      <c r="Q175" s="703"/>
      <c r="R175" s="703"/>
      <c r="S175" s="703"/>
    </row>
    <row r="176" spans="1:19">
      <c r="A176" s="733" t="s">
        <v>2190</v>
      </c>
      <c r="B176" s="1167">
        <f>Wohnungsausnutzung!AY$87</f>
        <v>22.274999999999999</v>
      </c>
      <c r="C176" s="1167">
        <f>Wohnungsausnutzung!AZ$87</f>
        <v>26.805</v>
      </c>
      <c r="D176" s="1167">
        <f>Wohnungsausnutzung!BA$87</f>
        <v>41.580000000000005</v>
      </c>
      <c r="E176" s="1167">
        <f>Wohnungsausnutzung!BB$87</f>
        <v>55.83</v>
      </c>
      <c r="F176" s="1167">
        <f>Wohnungsausnutzung!BC$87</f>
        <v>64.58</v>
      </c>
      <c r="G176" s="1167">
        <f>Wohnungsausnutzung!BD$87</f>
        <v>93.02</v>
      </c>
      <c r="H176" s="1167">
        <f>Wohnungsausnutzung!BE$87</f>
        <v>102.58999999999999</v>
      </c>
      <c r="I176" s="704"/>
      <c r="J176" s="703"/>
      <c r="K176" s="703"/>
      <c r="L176" s="703"/>
      <c r="M176" s="703"/>
      <c r="N176" s="703"/>
      <c r="O176" s="703"/>
      <c r="P176" s="703"/>
      <c r="Q176" s="703"/>
      <c r="R176" s="703"/>
      <c r="S176" s="703"/>
    </row>
    <row r="177" spans="1:19">
      <c r="A177" s="733" t="s">
        <v>2191</v>
      </c>
      <c r="B177" s="1168">
        <f>Wohnungsausnutzung!AY85</f>
        <v>4</v>
      </c>
      <c r="C177" s="1168">
        <f>Wohnungsausnutzung!BA85</f>
        <v>5</v>
      </c>
      <c r="D177" s="1168">
        <f>Wohnungsausnutzung!BC85</f>
        <v>7</v>
      </c>
      <c r="E177" s="1168">
        <f>Wohnungsausnutzung!BE85</f>
        <v>10</v>
      </c>
      <c r="F177" s="1168">
        <f>Wohnungsausnutzung!BG85</f>
        <v>11</v>
      </c>
      <c r="G177" s="1168">
        <f>Wohnungsausnutzung!BI85</f>
        <v>14</v>
      </c>
      <c r="H177" s="1168">
        <f>Wohnungsausnutzung!BK85</f>
        <v>16</v>
      </c>
      <c r="I177" s="704"/>
      <c r="J177" s="703"/>
      <c r="K177" s="703"/>
      <c r="L177" s="703"/>
      <c r="M177" s="703"/>
      <c r="N177" s="703"/>
      <c r="O177" s="703"/>
      <c r="P177" s="703"/>
      <c r="Q177" s="703"/>
      <c r="R177" s="703"/>
      <c r="S177" s="703"/>
    </row>
    <row r="178" spans="1:19">
      <c r="A178" s="733" t="s">
        <v>2192</v>
      </c>
      <c r="B178" s="1169">
        <f t="shared" ref="B178:H178" si="55">B176/(B177*$C174)</f>
        <v>0.55300397219463759</v>
      </c>
      <c r="C178" s="1169">
        <f t="shared" si="55"/>
        <v>0.53237338629592856</v>
      </c>
      <c r="D178" s="1169">
        <f t="shared" si="55"/>
        <v>0.58987090367428019</v>
      </c>
      <c r="E178" s="1169">
        <f t="shared" si="55"/>
        <v>0.55441906653426021</v>
      </c>
      <c r="F178" s="1169">
        <f t="shared" si="55"/>
        <v>0.58300984020944302</v>
      </c>
      <c r="G178" s="1169">
        <f t="shared" si="55"/>
        <v>0.65980990211377499</v>
      </c>
      <c r="H178" s="1169">
        <f t="shared" si="55"/>
        <v>0.63673038728897724</v>
      </c>
      <c r="I178" s="704"/>
      <c r="J178" s="703"/>
      <c r="K178" s="703"/>
      <c r="L178" s="703"/>
      <c r="M178" s="703"/>
      <c r="N178" s="703"/>
      <c r="O178" s="703"/>
      <c r="P178" s="703"/>
      <c r="Q178" s="703"/>
      <c r="R178" s="703"/>
      <c r="S178" s="703"/>
    </row>
    <row r="179" spans="1:19">
      <c r="A179" s="730"/>
      <c r="B179" s="736"/>
      <c r="C179" s="736"/>
      <c r="D179" s="736"/>
      <c r="E179" s="736"/>
      <c r="F179" s="736"/>
      <c r="G179" s="736"/>
      <c r="H179" s="736"/>
      <c r="I179" s="704"/>
      <c r="J179" s="703"/>
      <c r="K179" s="703"/>
      <c r="L179" s="703"/>
      <c r="M179" s="703"/>
      <c r="N179" s="703"/>
      <c r="O179" s="703"/>
      <c r="P179" s="703"/>
      <c r="Q179" s="703"/>
      <c r="R179" s="703"/>
      <c r="S179" s="703"/>
    </row>
    <row r="180" spans="1:19">
      <c r="A180" s="727" t="s">
        <v>1275</v>
      </c>
      <c r="B180" s="1041">
        <v>2.85</v>
      </c>
      <c r="C180" s="1041">
        <v>4.5</v>
      </c>
      <c r="D180" s="727"/>
      <c r="E180" s="728"/>
      <c r="F180" s="728"/>
      <c r="G180" s="728"/>
      <c r="H180" s="728"/>
      <c r="I180" s="704"/>
      <c r="J180" s="703"/>
      <c r="K180" s="703"/>
      <c r="L180" s="703"/>
      <c r="M180" s="703"/>
      <c r="N180" s="703"/>
      <c r="O180" s="703"/>
      <c r="P180" s="703"/>
      <c r="Q180" s="703"/>
      <c r="R180" s="703"/>
      <c r="S180" s="703"/>
    </row>
    <row r="181" spans="1:19">
      <c r="A181" s="729" t="s">
        <v>1354</v>
      </c>
      <c r="B181" s="1038">
        <f>B180-0.2</f>
        <v>2.65</v>
      </c>
      <c r="C181" s="1038">
        <f>C180-0.2</f>
        <v>4.3</v>
      </c>
      <c r="D181" s="729"/>
      <c r="E181" s="729"/>
      <c r="F181" s="729"/>
      <c r="G181" s="729"/>
      <c r="H181" s="729"/>
      <c r="I181" s="704"/>
      <c r="J181" s="703"/>
      <c r="K181" s="703"/>
      <c r="L181" s="703"/>
      <c r="M181" s="703"/>
      <c r="N181" s="703"/>
      <c r="O181" s="703"/>
      <c r="P181" s="703"/>
      <c r="Q181" s="703"/>
      <c r="R181" s="703"/>
      <c r="S181" s="703"/>
    </row>
    <row r="182" spans="1:19">
      <c r="A182" s="730" t="s">
        <v>1355</v>
      </c>
      <c r="B182" s="1040"/>
      <c r="C182" s="1039">
        <f>B181*C181</f>
        <v>11.395</v>
      </c>
      <c r="D182" s="730"/>
      <c r="E182" s="729"/>
      <c r="F182" s="729"/>
      <c r="G182" s="729"/>
      <c r="H182" s="729"/>
      <c r="I182" s="704"/>
      <c r="J182" s="703"/>
      <c r="K182" s="703"/>
      <c r="L182" s="703"/>
      <c r="M182" s="703"/>
      <c r="N182" s="703"/>
      <c r="O182" s="703"/>
      <c r="P182" s="703"/>
      <c r="Q182" s="703"/>
      <c r="R182" s="703"/>
      <c r="S182" s="703"/>
    </row>
    <row r="183" spans="1:19">
      <c r="A183" s="731" t="s">
        <v>1356</v>
      </c>
      <c r="B183" s="732" t="s">
        <v>1357</v>
      </c>
      <c r="C183" s="732" t="s">
        <v>1358</v>
      </c>
      <c r="D183" s="732" t="s">
        <v>1359</v>
      </c>
      <c r="E183" s="732" t="s">
        <v>1360</v>
      </c>
      <c r="F183" s="732" t="s">
        <v>1361</v>
      </c>
      <c r="G183" s="732" t="s">
        <v>1362</v>
      </c>
      <c r="H183" s="732" t="s">
        <v>1363</v>
      </c>
      <c r="I183" s="704"/>
      <c r="J183" s="703"/>
      <c r="K183" s="703"/>
      <c r="L183" s="703"/>
      <c r="M183" s="703"/>
      <c r="N183" s="703"/>
      <c r="O183" s="703"/>
      <c r="P183" s="703"/>
      <c r="Q183" s="703"/>
      <c r="R183" s="703"/>
      <c r="S183" s="703"/>
    </row>
    <row r="184" spans="1:19">
      <c r="A184" s="733" t="s">
        <v>2190</v>
      </c>
      <c r="B184" s="1167">
        <f>Wohnungsausnutzung!BO$87</f>
        <v>22.274999999999999</v>
      </c>
      <c r="C184" s="1167">
        <f>Wohnungsausnutzung!BP$87</f>
        <v>26.805</v>
      </c>
      <c r="D184" s="1167">
        <f>Wohnungsausnutzung!BQ$87</f>
        <v>41.58</v>
      </c>
      <c r="E184" s="1167">
        <f>Wohnungsausnutzung!BR$87</f>
        <v>54.84</v>
      </c>
      <c r="F184" s="1167">
        <f>Wohnungsausnutzung!BS$87</f>
        <v>65.75</v>
      </c>
      <c r="G184" s="1167">
        <f>Wohnungsausnutzung!BT$87</f>
        <v>82.95</v>
      </c>
      <c r="H184" s="1167">
        <f>Wohnungsausnutzung!BU$87</f>
        <v>103.91499999999999</v>
      </c>
      <c r="I184" s="704"/>
      <c r="J184" s="703"/>
      <c r="K184" s="703"/>
      <c r="L184" s="703"/>
      <c r="M184" s="703"/>
      <c r="N184" s="703"/>
      <c r="O184" s="703"/>
      <c r="P184" s="703"/>
      <c r="Q184" s="703"/>
      <c r="R184" s="703"/>
      <c r="S184" s="703"/>
    </row>
    <row r="185" spans="1:19">
      <c r="A185" s="733" t="s">
        <v>2191</v>
      </c>
      <c r="B185" s="1168">
        <f>Wohnungsausnutzung!BO85</f>
        <v>3</v>
      </c>
      <c r="C185" s="1168">
        <f>Wohnungsausnutzung!BQ85</f>
        <v>4</v>
      </c>
      <c r="D185" s="1168">
        <f>Wohnungsausnutzung!BS85</f>
        <v>6</v>
      </c>
      <c r="E185" s="1168">
        <f>Wohnungsausnutzung!BU85</f>
        <v>8</v>
      </c>
      <c r="F185" s="1168">
        <f>Wohnungsausnutzung!BW85</f>
        <v>10</v>
      </c>
      <c r="G185" s="1168">
        <f>Wohnungsausnutzung!BY85</f>
        <v>12</v>
      </c>
      <c r="H185" s="1168">
        <f>Wohnungsausnutzung!CA85</f>
        <v>14</v>
      </c>
      <c r="I185" s="704"/>
      <c r="J185" s="703"/>
      <c r="K185" s="703"/>
      <c r="L185" s="703"/>
      <c r="M185" s="703"/>
      <c r="N185" s="703"/>
      <c r="O185" s="703"/>
      <c r="P185" s="703"/>
      <c r="Q185" s="703"/>
      <c r="R185" s="703"/>
      <c r="S185" s="703"/>
    </row>
    <row r="186" spans="1:19">
      <c r="A186" s="733" t="s">
        <v>2192</v>
      </c>
      <c r="B186" s="1169">
        <f t="shared" ref="B186:H186" si="56">B184/(B185*$C182)</f>
        <v>0.65160157964019294</v>
      </c>
      <c r="C186" s="1169">
        <f t="shared" si="56"/>
        <v>0.58808688021061872</v>
      </c>
      <c r="D186" s="1169">
        <f t="shared" si="56"/>
        <v>0.60816147433084677</v>
      </c>
      <c r="E186" s="1169">
        <f t="shared" si="56"/>
        <v>0.6015796401930672</v>
      </c>
      <c r="F186" s="1169">
        <f t="shared" si="56"/>
        <v>0.57700745941202292</v>
      </c>
      <c r="G186" s="1169">
        <f t="shared" si="56"/>
        <v>0.60662571303203161</v>
      </c>
      <c r="H186" s="1169">
        <f t="shared" si="56"/>
        <v>0.65138218516893365</v>
      </c>
      <c r="I186" s="704"/>
      <c r="J186" s="703"/>
      <c r="K186" s="703"/>
      <c r="L186" s="703"/>
      <c r="M186" s="703"/>
      <c r="N186" s="703"/>
      <c r="O186" s="703"/>
      <c r="P186" s="703"/>
      <c r="Q186" s="703"/>
      <c r="R186" s="703"/>
      <c r="S186" s="703"/>
    </row>
    <row r="187" spans="1:19">
      <c r="A187" s="737"/>
      <c r="B187" s="738"/>
      <c r="C187" s="738"/>
      <c r="D187" s="738"/>
      <c r="E187" s="738"/>
      <c r="F187" s="738"/>
      <c r="G187" s="738"/>
      <c r="H187" s="703"/>
      <c r="I187" s="704"/>
      <c r="J187" s="703"/>
      <c r="K187" s="703"/>
      <c r="L187" s="703"/>
      <c r="M187" s="703"/>
      <c r="N187" s="703"/>
      <c r="O187" s="703"/>
      <c r="P187" s="703"/>
      <c r="Q187" s="703"/>
      <c r="R187" s="703"/>
      <c r="S187" s="703"/>
    </row>
    <row r="188" spans="1:19">
      <c r="A188" s="727" t="s">
        <v>1275</v>
      </c>
      <c r="B188" s="1041">
        <v>2.85</v>
      </c>
      <c r="C188" s="1041">
        <v>5</v>
      </c>
      <c r="D188" s="727"/>
      <c r="E188" s="728"/>
      <c r="F188" s="728"/>
      <c r="G188" s="728"/>
      <c r="H188" s="728"/>
      <c r="I188" s="704"/>
      <c r="J188" s="703"/>
      <c r="K188" s="703"/>
      <c r="L188" s="703"/>
      <c r="M188" s="703"/>
      <c r="N188" s="703"/>
      <c r="O188" s="703"/>
      <c r="P188" s="703"/>
      <c r="Q188" s="703"/>
      <c r="R188" s="703"/>
      <c r="S188" s="703"/>
    </row>
    <row r="189" spans="1:19">
      <c r="A189" s="729" t="s">
        <v>1354</v>
      </c>
      <c r="B189" s="1038">
        <f>B188-0.2</f>
        <v>2.65</v>
      </c>
      <c r="C189" s="1038">
        <f>C188-0.2</f>
        <v>4.8</v>
      </c>
      <c r="D189" s="729"/>
      <c r="E189" s="729"/>
      <c r="F189" s="729"/>
      <c r="G189" s="729"/>
      <c r="H189" s="729"/>
      <c r="I189" s="704"/>
      <c r="J189" s="703"/>
      <c r="K189" s="703"/>
      <c r="L189" s="703"/>
      <c r="M189" s="703"/>
      <c r="N189" s="703"/>
      <c r="O189" s="703"/>
      <c r="P189" s="703"/>
      <c r="Q189" s="703"/>
      <c r="R189" s="703"/>
      <c r="S189" s="703"/>
    </row>
    <row r="190" spans="1:19">
      <c r="A190" s="730" t="s">
        <v>1355</v>
      </c>
      <c r="B190" s="1040"/>
      <c r="C190" s="1039">
        <f>B189*C189</f>
        <v>12.719999999999999</v>
      </c>
      <c r="D190" s="730"/>
      <c r="E190" s="729"/>
      <c r="F190" s="729"/>
      <c r="G190" s="729"/>
      <c r="H190" s="729"/>
      <c r="I190" s="704"/>
      <c r="J190" s="703"/>
      <c r="K190" s="703"/>
      <c r="L190" s="703"/>
      <c r="M190" s="703"/>
      <c r="N190" s="703"/>
      <c r="O190" s="703"/>
      <c r="P190" s="703"/>
      <c r="Q190" s="703"/>
      <c r="R190" s="703"/>
      <c r="S190" s="703"/>
    </row>
    <row r="191" spans="1:19">
      <c r="A191" s="731" t="s">
        <v>1356</v>
      </c>
      <c r="B191" s="732" t="s">
        <v>1357</v>
      </c>
      <c r="C191" s="732" t="s">
        <v>1358</v>
      </c>
      <c r="D191" s="732" t="s">
        <v>1359</v>
      </c>
      <c r="E191" s="732" t="s">
        <v>1360</v>
      </c>
      <c r="F191" s="732" t="s">
        <v>1361</v>
      </c>
      <c r="G191" s="732" t="s">
        <v>1362</v>
      </c>
      <c r="H191" s="732" t="s">
        <v>1363</v>
      </c>
      <c r="I191" s="704"/>
      <c r="J191" s="703"/>
      <c r="K191" s="703"/>
      <c r="L191" s="703"/>
      <c r="M191" s="703"/>
      <c r="N191" s="703"/>
      <c r="O191" s="703"/>
      <c r="P191" s="703"/>
      <c r="Q191" s="703"/>
      <c r="R191" s="703"/>
      <c r="S191" s="703"/>
    </row>
    <row r="192" spans="1:19">
      <c r="A192" s="733" t="s">
        <v>2190</v>
      </c>
      <c r="B192" s="1167">
        <f>Wohnungsausnutzung!CE$87</f>
        <v>22.274999999999999</v>
      </c>
      <c r="C192" s="1167">
        <f>Wohnungsausnutzung!CF$87</f>
        <v>26.805</v>
      </c>
      <c r="D192" s="1167">
        <f>Wohnungsausnutzung!CG$87</f>
        <v>41.58</v>
      </c>
      <c r="E192" s="1167">
        <f>Wohnungsausnutzung!CH$87</f>
        <v>54.84</v>
      </c>
      <c r="F192" s="1167">
        <f>Wohnungsausnutzung!CI$87</f>
        <v>65.75</v>
      </c>
      <c r="G192" s="1167">
        <f>Wohnungsausnutzung!CJ$87</f>
        <v>82.95</v>
      </c>
      <c r="H192" s="1167">
        <f>Wohnungsausnutzung!CK$87</f>
        <v>92.52</v>
      </c>
      <c r="I192" s="704"/>
      <c r="J192" s="703"/>
      <c r="K192" s="703"/>
      <c r="L192" s="703"/>
      <c r="M192" s="703"/>
      <c r="N192" s="703"/>
      <c r="O192" s="703"/>
      <c r="P192" s="703"/>
      <c r="Q192" s="703"/>
      <c r="R192" s="703"/>
      <c r="S192" s="703"/>
    </row>
    <row r="193" spans="1:19">
      <c r="A193" s="733" t="s">
        <v>2191</v>
      </c>
      <c r="B193" s="1168">
        <f>Wohnungsausnutzung!CE85</f>
        <v>3</v>
      </c>
      <c r="C193" s="1168">
        <f>Wohnungsausnutzung!CG85</f>
        <v>4</v>
      </c>
      <c r="D193" s="1168">
        <f>Wohnungsausnutzung!CI85</f>
        <v>5</v>
      </c>
      <c r="E193" s="1168">
        <f>Wohnungsausnutzung!CK85</f>
        <v>8</v>
      </c>
      <c r="F193" s="1168">
        <f>Wohnungsausnutzung!CM85</f>
        <v>9</v>
      </c>
      <c r="G193" s="1168">
        <f>Wohnungsausnutzung!CO85</f>
        <v>11</v>
      </c>
      <c r="H193" s="1168">
        <f>Wohnungsausnutzung!CQ85</f>
        <v>12</v>
      </c>
      <c r="I193" s="704"/>
      <c r="J193" s="703"/>
      <c r="K193" s="703"/>
      <c r="L193" s="703"/>
      <c r="M193" s="703"/>
      <c r="N193" s="703"/>
      <c r="O193" s="703"/>
      <c r="P193" s="703"/>
      <c r="Q193" s="703"/>
      <c r="R193" s="703"/>
      <c r="S193" s="703"/>
    </row>
    <row r="194" spans="1:19">
      <c r="A194" s="733" t="s">
        <v>2192</v>
      </c>
      <c r="B194" s="1169">
        <f t="shared" ref="B194:H194" si="57">B192/(B193*$C190)</f>
        <v>0.58372641509433965</v>
      </c>
      <c r="C194" s="1169">
        <f t="shared" si="57"/>
        <v>0.52682783018867929</v>
      </c>
      <c r="D194" s="1169">
        <f t="shared" si="57"/>
        <v>0.6537735849056604</v>
      </c>
      <c r="E194" s="1169">
        <f t="shared" si="57"/>
        <v>0.5389150943396227</v>
      </c>
      <c r="F194" s="1169">
        <f t="shared" si="57"/>
        <v>0.5743361285814117</v>
      </c>
      <c r="G194" s="1169">
        <f t="shared" si="57"/>
        <v>0.59283876500857635</v>
      </c>
      <c r="H194" s="1169">
        <f t="shared" si="57"/>
        <v>0.60613207547169812</v>
      </c>
      <c r="I194" s="704"/>
      <c r="J194" s="703"/>
      <c r="K194" s="703"/>
      <c r="L194" s="703"/>
      <c r="M194" s="703"/>
      <c r="N194" s="703"/>
      <c r="O194" s="703"/>
      <c r="P194" s="703"/>
      <c r="Q194" s="703"/>
      <c r="R194" s="703"/>
      <c r="S194" s="703"/>
    </row>
    <row r="195" spans="1:19">
      <c r="A195" s="724"/>
      <c r="B195" s="735"/>
      <c r="C195" s="703"/>
      <c r="D195" s="703"/>
      <c r="E195" s="703"/>
      <c r="F195" s="703"/>
      <c r="G195" s="703"/>
      <c r="H195" s="703"/>
      <c r="I195" s="704"/>
      <c r="J195" s="703"/>
      <c r="K195" s="703"/>
      <c r="L195" s="703"/>
      <c r="M195" s="703"/>
      <c r="N195" s="703"/>
      <c r="O195" s="703"/>
      <c r="P195" s="703"/>
      <c r="Q195" s="703"/>
      <c r="R195" s="703"/>
      <c r="S195" s="703"/>
    </row>
    <row r="196" spans="1:19">
      <c r="A196" s="727" t="s">
        <v>1275</v>
      </c>
      <c r="B196" s="1041">
        <v>2.85</v>
      </c>
      <c r="C196" s="1041">
        <v>5.3</v>
      </c>
      <c r="D196" s="727"/>
      <c r="E196" s="728"/>
      <c r="F196" s="728"/>
      <c r="G196" s="728"/>
      <c r="H196" s="728"/>
      <c r="I196" s="704"/>
      <c r="J196" s="703"/>
      <c r="K196" s="703"/>
      <c r="L196" s="703"/>
      <c r="M196" s="703"/>
      <c r="N196" s="703"/>
      <c r="O196" s="703"/>
      <c r="P196" s="703"/>
      <c r="Q196" s="703"/>
      <c r="R196" s="703"/>
      <c r="S196" s="703"/>
    </row>
    <row r="197" spans="1:19">
      <c r="A197" s="729" t="s">
        <v>1354</v>
      </c>
      <c r="B197" s="1038">
        <f>B196-0.2</f>
        <v>2.65</v>
      </c>
      <c r="C197" s="1038">
        <f>C196-0.2</f>
        <v>5.0999999999999996</v>
      </c>
      <c r="D197" s="729"/>
      <c r="E197" s="729"/>
      <c r="F197" s="729"/>
      <c r="G197" s="729"/>
      <c r="H197" s="729"/>
      <c r="I197" s="704"/>
      <c r="J197" s="703"/>
      <c r="K197" s="703"/>
      <c r="L197" s="703"/>
      <c r="M197" s="703"/>
      <c r="N197" s="703"/>
      <c r="O197" s="703"/>
      <c r="P197" s="703"/>
      <c r="Q197" s="703"/>
      <c r="R197" s="703"/>
      <c r="S197" s="703"/>
    </row>
    <row r="198" spans="1:19">
      <c r="A198" s="730" t="s">
        <v>1355</v>
      </c>
      <c r="B198" s="1040"/>
      <c r="C198" s="1039">
        <f>B197*C197</f>
        <v>13.514999999999999</v>
      </c>
      <c r="D198" s="730"/>
      <c r="E198" s="729"/>
      <c r="F198" s="729"/>
      <c r="G198" s="729"/>
      <c r="H198" s="729"/>
      <c r="I198" s="704"/>
      <c r="J198" s="703"/>
      <c r="K198" s="703"/>
      <c r="L198" s="703"/>
      <c r="M198" s="703"/>
      <c r="N198" s="703"/>
      <c r="O198" s="703"/>
      <c r="P198" s="703"/>
      <c r="Q198" s="703"/>
      <c r="R198" s="703"/>
      <c r="S198" s="703"/>
    </row>
    <row r="199" spans="1:19">
      <c r="A199" s="731" t="s">
        <v>1356</v>
      </c>
      <c r="B199" s="732" t="s">
        <v>1357</v>
      </c>
      <c r="C199" s="732" t="s">
        <v>1358</v>
      </c>
      <c r="D199" s="732" t="s">
        <v>1359</v>
      </c>
      <c r="E199" s="732" t="s">
        <v>1360</v>
      </c>
      <c r="F199" s="732" t="s">
        <v>1361</v>
      </c>
      <c r="G199" s="732" t="s">
        <v>1362</v>
      </c>
      <c r="H199" s="732" t="s">
        <v>1363</v>
      </c>
      <c r="I199" s="704"/>
      <c r="J199" s="703"/>
      <c r="K199" s="703"/>
      <c r="L199" s="703"/>
      <c r="M199" s="703"/>
      <c r="N199" s="703"/>
      <c r="O199" s="703"/>
      <c r="P199" s="703"/>
      <c r="Q199" s="703"/>
      <c r="R199" s="703"/>
      <c r="S199" s="703"/>
    </row>
    <row r="200" spans="1:19">
      <c r="A200" s="733" t="s">
        <v>2190</v>
      </c>
      <c r="B200" s="1167">
        <f>Wohnungsausnutzung!CU$87</f>
        <v>22.274999999999999</v>
      </c>
      <c r="C200" s="1167">
        <f>Wohnungsausnutzung!CV$87</f>
        <v>26.805</v>
      </c>
      <c r="D200" s="1167">
        <f>Wohnungsausnutzung!CW$87</f>
        <v>41.58</v>
      </c>
      <c r="E200" s="1167">
        <f>Wohnungsausnutzung!CX$87</f>
        <v>54.84</v>
      </c>
      <c r="F200" s="1167">
        <f>Wohnungsausnutzung!CY$87</f>
        <v>65.75</v>
      </c>
      <c r="G200" s="1167">
        <f>Wohnungsausnutzung!CZ$87</f>
        <v>82.95</v>
      </c>
      <c r="H200" s="1167">
        <f>Wohnungsausnutzung!DA$87</f>
        <v>92.52</v>
      </c>
      <c r="I200" s="704"/>
      <c r="J200" s="703"/>
      <c r="K200" s="703"/>
      <c r="L200" s="703"/>
      <c r="M200" s="703"/>
      <c r="N200" s="703"/>
      <c r="O200" s="703"/>
      <c r="P200" s="703"/>
      <c r="Q200" s="703"/>
      <c r="R200" s="703"/>
      <c r="S200" s="703"/>
    </row>
    <row r="201" spans="1:19">
      <c r="A201" s="733" t="s">
        <v>2191</v>
      </c>
      <c r="B201" s="1168">
        <f>Wohnungsausnutzung!CU85</f>
        <v>3</v>
      </c>
      <c r="C201" s="1168">
        <f>Wohnungsausnutzung!CW85</f>
        <v>4</v>
      </c>
      <c r="D201" s="1168">
        <f>Wohnungsausnutzung!CY85</f>
        <v>5</v>
      </c>
      <c r="E201" s="1168">
        <f>Wohnungsausnutzung!DA85</f>
        <v>8</v>
      </c>
      <c r="F201" s="1168">
        <f>Wohnungsausnutzung!DC85</f>
        <v>9</v>
      </c>
      <c r="G201" s="1168">
        <f>Wohnungsausnutzung!DE85</f>
        <v>11</v>
      </c>
      <c r="H201" s="1168">
        <f>Wohnungsausnutzung!DG85</f>
        <v>12</v>
      </c>
      <c r="I201" s="704"/>
      <c r="J201" s="703"/>
      <c r="K201" s="703"/>
      <c r="L201" s="703"/>
      <c r="M201" s="703"/>
      <c r="N201" s="703"/>
      <c r="O201" s="703"/>
      <c r="P201" s="703"/>
      <c r="Q201" s="703"/>
      <c r="R201" s="703"/>
      <c r="S201" s="703"/>
    </row>
    <row r="202" spans="1:19">
      <c r="A202" s="733" t="s">
        <v>2192</v>
      </c>
      <c r="B202" s="1169">
        <f t="shared" ref="B202:H202" si="58">B200/(B201*$C198)</f>
        <v>0.54938956714761378</v>
      </c>
      <c r="C202" s="1169">
        <f t="shared" si="58"/>
        <v>0.49583795782463935</v>
      </c>
      <c r="D202" s="1169">
        <f t="shared" si="58"/>
        <v>0.61531631520532748</v>
      </c>
      <c r="E202" s="1169">
        <f t="shared" si="58"/>
        <v>0.50721420643729198</v>
      </c>
      <c r="F202" s="1169">
        <f t="shared" si="58"/>
        <v>0.54055165042956388</v>
      </c>
      <c r="G202" s="1169">
        <f t="shared" si="58"/>
        <v>0.55796589647866013</v>
      </c>
      <c r="H202" s="1169">
        <f t="shared" si="58"/>
        <v>0.57047724750277473</v>
      </c>
      <c r="I202" s="704"/>
      <c r="J202" s="703"/>
      <c r="K202" s="703"/>
      <c r="L202" s="703"/>
      <c r="M202" s="703"/>
      <c r="N202" s="703"/>
      <c r="O202" s="703"/>
      <c r="P202" s="703"/>
      <c r="Q202" s="703"/>
      <c r="R202" s="703"/>
      <c r="S202" s="703"/>
    </row>
    <row r="203" spans="1:19">
      <c r="A203" s="737"/>
      <c r="B203" s="738"/>
      <c r="C203" s="738"/>
      <c r="D203" s="738"/>
      <c r="E203" s="738"/>
      <c r="F203" s="738"/>
      <c r="G203" s="738"/>
      <c r="H203" s="703"/>
      <c r="I203" s="704"/>
      <c r="J203" s="703"/>
      <c r="K203" s="703"/>
      <c r="L203" s="703"/>
      <c r="M203" s="703"/>
      <c r="N203" s="703"/>
      <c r="O203" s="703"/>
      <c r="P203" s="703"/>
      <c r="Q203" s="703"/>
      <c r="R203" s="703"/>
      <c r="S203" s="703"/>
    </row>
    <row r="204" spans="1:19">
      <c r="A204" s="727" t="s">
        <v>1275</v>
      </c>
      <c r="B204" s="1041">
        <v>2.85</v>
      </c>
      <c r="C204" s="1041">
        <v>5.7</v>
      </c>
      <c r="D204" s="727"/>
      <c r="E204" s="728"/>
      <c r="F204" s="728"/>
      <c r="G204" s="728"/>
      <c r="H204" s="728"/>
      <c r="I204" s="704"/>
      <c r="J204" s="703"/>
      <c r="K204" s="703"/>
      <c r="L204" s="703"/>
      <c r="M204" s="703"/>
      <c r="N204" s="703"/>
      <c r="O204" s="703"/>
      <c r="P204" s="703"/>
      <c r="Q204" s="703"/>
      <c r="R204" s="703"/>
      <c r="S204" s="703"/>
    </row>
    <row r="205" spans="1:19">
      <c r="A205" s="729" t="s">
        <v>1354</v>
      </c>
      <c r="B205" s="1038">
        <f>B204-0.2</f>
        <v>2.65</v>
      </c>
      <c r="C205" s="1038">
        <f>C204-0.2</f>
        <v>5.5</v>
      </c>
      <c r="D205" s="729"/>
      <c r="E205" s="729"/>
      <c r="F205" s="729"/>
      <c r="G205" s="729"/>
      <c r="H205" s="729"/>
      <c r="I205" s="704"/>
      <c r="J205" s="703"/>
      <c r="K205" s="703"/>
      <c r="L205" s="703"/>
      <c r="M205" s="703"/>
      <c r="N205" s="703"/>
      <c r="O205" s="703"/>
      <c r="P205" s="703"/>
      <c r="Q205" s="703"/>
      <c r="R205" s="703"/>
      <c r="S205" s="703"/>
    </row>
    <row r="206" spans="1:19">
      <c r="A206" s="730" t="s">
        <v>1355</v>
      </c>
      <c r="B206" s="1040"/>
      <c r="C206" s="1039">
        <f>B205*C205</f>
        <v>14.574999999999999</v>
      </c>
      <c r="D206" s="730"/>
      <c r="E206" s="729"/>
      <c r="F206" s="729"/>
      <c r="G206" s="729"/>
      <c r="H206" s="729"/>
      <c r="I206" s="704"/>
      <c r="J206" s="703"/>
      <c r="K206" s="703"/>
      <c r="L206" s="703"/>
      <c r="M206" s="703"/>
      <c r="N206" s="703"/>
      <c r="O206" s="703"/>
      <c r="P206" s="703"/>
      <c r="Q206" s="703"/>
      <c r="R206" s="703"/>
      <c r="S206" s="703"/>
    </row>
    <row r="207" spans="1:19">
      <c r="A207" s="731" t="s">
        <v>1356</v>
      </c>
      <c r="B207" s="732" t="s">
        <v>1357</v>
      </c>
      <c r="C207" s="732" t="s">
        <v>1358</v>
      </c>
      <c r="D207" s="732" t="s">
        <v>1359</v>
      </c>
      <c r="E207" s="732" t="s">
        <v>1360</v>
      </c>
      <c r="F207" s="732" t="s">
        <v>1361</v>
      </c>
      <c r="G207" s="732" t="s">
        <v>1362</v>
      </c>
      <c r="H207" s="732" t="s">
        <v>1363</v>
      </c>
      <c r="I207" s="704"/>
      <c r="J207" s="703"/>
      <c r="K207" s="703"/>
      <c r="L207" s="703"/>
      <c r="M207" s="703"/>
      <c r="N207" s="703"/>
      <c r="O207" s="703"/>
      <c r="P207" s="703"/>
      <c r="Q207" s="703"/>
      <c r="R207" s="703"/>
      <c r="S207" s="703"/>
    </row>
    <row r="208" spans="1:19">
      <c r="A208" s="733" t="s">
        <v>2190</v>
      </c>
      <c r="B208" s="1167">
        <f>Wohnungsausnutzung!DK$87</f>
        <v>22.274999999999999</v>
      </c>
      <c r="C208" s="1167">
        <f>Wohnungsausnutzung!DL$87</f>
        <v>26.805</v>
      </c>
      <c r="D208" s="1167">
        <f>Wohnungsausnutzung!DM$87</f>
        <v>41.58</v>
      </c>
      <c r="E208" s="1167">
        <f>Wohnungsausnutzung!DN$87</f>
        <v>54.84</v>
      </c>
      <c r="F208" s="1167">
        <f>Wohnungsausnutzung!DO$87</f>
        <v>65.75</v>
      </c>
      <c r="G208" s="1167">
        <f>Wohnungsausnutzung!DP$87</f>
        <v>82.95</v>
      </c>
      <c r="H208" s="1167">
        <f>Wohnungsausnutzung!DQ$87</f>
        <v>92.52</v>
      </c>
      <c r="I208" s="704"/>
      <c r="J208" s="703"/>
      <c r="K208" s="703"/>
      <c r="L208" s="703"/>
      <c r="M208" s="703"/>
      <c r="N208" s="703"/>
      <c r="O208" s="703"/>
      <c r="P208" s="703"/>
      <c r="Q208" s="703"/>
      <c r="R208" s="703"/>
      <c r="S208" s="703"/>
    </row>
    <row r="209" spans="1:19">
      <c r="A209" s="733" t="s">
        <v>2191</v>
      </c>
      <c r="B209" s="1168">
        <f>Wohnungsausnutzung!DK85</f>
        <v>3</v>
      </c>
      <c r="C209" s="1168">
        <f>Wohnungsausnutzung!DM85</f>
        <v>4</v>
      </c>
      <c r="D209" s="1168">
        <f>Wohnungsausnutzung!DO85</f>
        <v>5</v>
      </c>
      <c r="E209" s="1168">
        <f>Wohnungsausnutzung!DQ85</f>
        <v>8</v>
      </c>
      <c r="F209" s="1168">
        <f>Wohnungsausnutzung!DS85</f>
        <v>9</v>
      </c>
      <c r="G209" s="1168">
        <f>Wohnungsausnutzung!DU85</f>
        <v>11</v>
      </c>
      <c r="H209" s="1168">
        <f>Wohnungsausnutzung!DW85</f>
        <v>12</v>
      </c>
      <c r="I209" s="704"/>
      <c r="J209" s="703"/>
      <c r="K209" s="703"/>
      <c r="L209" s="703"/>
      <c r="M209" s="703"/>
      <c r="N209" s="703"/>
      <c r="O209" s="703"/>
      <c r="P209" s="703"/>
      <c r="Q209" s="703"/>
      <c r="R209" s="703"/>
      <c r="S209" s="703"/>
    </row>
    <row r="210" spans="1:19">
      <c r="A210" s="733" t="s">
        <v>2192</v>
      </c>
      <c r="B210" s="1169">
        <f t="shared" ref="B210:H210" si="59">B208/(B209*$C206)</f>
        <v>0.50943396226415094</v>
      </c>
      <c r="C210" s="1169">
        <f t="shared" si="59"/>
        <v>0.4597770154373928</v>
      </c>
      <c r="D210" s="1169">
        <f t="shared" si="59"/>
        <v>0.57056603773584902</v>
      </c>
      <c r="E210" s="1169">
        <f t="shared" si="59"/>
        <v>0.47032590051457979</v>
      </c>
      <c r="F210" s="1169">
        <f t="shared" si="59"/>
        <v>0.50123880312559566</v>
      </c>
      <c r="G210" s="1169">
        <f t="shared" si="59"/>
        <v>0.51738655855293936</v>
      </c>
      <c r="H210" s="1169">
        <f t="shared" si="59"/>
        <v>0.52898799313893663</v>
      </c>
      <c r="I210" s="704"/>
      <c r="J210" s="703"/>
      <c r="K210" s="703"/>
      <c r="L210" s="703"/>
      <c r="M210" s="703"/>
      <c r="N210" s="703"/>
      <c r="O210" s="703"/>
      <c r="P210" s="703"/>
      <c r="Q210" s="703"/>
      <c r="R210" s="703"/>
      <c r="S210" s="703"/>
    </row>
    <row r="211" spans="1:19">
      <c r="A211" s="730"/>
      <c r="B211" s="736"/>
      <c r="C211" s="736"/>
      <c r="D211" s="736"/>
      <c r="E211" s="736"/>
      <c r="F211" s="736"/>
      <c r="G211" s="736"/>
      <c r="H211" s="703"/>
      <c r="I211" s="704"/>
      <c r="J211" s="703"/>
      <c r="K211" s="703"/>
      <c r="L211" s="703"/>
      <c r="M211" s="703"/>
      <c r="N211" s="703"/>
      <c r="O211" s="703"/>
      <c r="P211" s="703"/>
      <c r="Q211" s="703"/>
      <c r="R211" s="703"/>
      <c r="S211" s="703"/>
    </row>
    <row r="212" spans="1:19">
      <c r="A212" s="727" t="s">
        <v>1275</v>
      </c>
      <c r="B212" s="1041">
        <v>3</v>
      </c>
      <c r="C212" s="1041">
        <v>3.5</v>
      </c>
      <c r="D212" s="727"/>
      <c r="E212" s="728"/>
      <c r="F212" s="728"/>
      <c r="G212" s="728"/>
      <c r="H212" s="728"/>
      <c r="I212" s="704"/>
      <c r="J212" s="703"/>
      <c r="K212" s="703"/>
      <c r="L212" s="703"/>
      <c r="M212" s="703"/>
      <c r="N212" s="703"/>
      <c r="O212" s="703"/>
      <c r="P212" s="703"/>
      <c r="Q212" s="703"/>
      <c r="R212" s="703"/>
      <c r="S212" s="703"/>
    </row>
    <row r="213" spans="1:19">
      <c r="A213" s="729" t="s">
        <v>1354</v>
      </c>
      <c r="B213" s="1038">
        <f>B212-0.2</f>
        <v>2.8</v>
      </c>
      <c r="C213" s="1038">
        <f>C212-0.2</f>
        <v>3.3</v>
      </c>
      <c r="D213" s="729"/>
      <c r="E213" s="729"/>
      <c r="F213" s="729"/>
      <c r="G213" s="729"/>
      <c r="H213" s="729"/>
      <c r="I213" s="704"/>
      <c r="J213" s="703"/>
      <c r="K213" s="703"/>
      <c r="L213" s="703"/>
      <c r="M213" s="703"/>
      <c r="N213" s="703"/>
      <c r="O213" s="703"/>
      <c r="P213" s="703"/>
      <c r="Q213" s="703"/>
      <c r="R213" s="703"/>
      <c r="S213" s="703"/>
    </row>
    <row r="214" spans="1:19">
      <c r="A214" s="730" t="s">
        <v>1355</v>
      </c>
      <c r="B214" s="1040"/>
      <c r="C214" s="1039">
        <f>B213*C213</f>
        <v>9.2399999999999984</v>
      </c>
      <c r="D214" s="730"/>
      <c r="E214" s="729"/>
      <c r="F214" s="729"/>
      <c r="G214" s="729"/>
      <c r="H214" s="729"/>
      <c r="I214" s="704"/>
      <c r="J214" s="703"/>
      <c r="K214" s="703"/>
      <c r="L214" s="703"/>
      <c r="M214" s="703"/>
      <c r="N214" s="703"/>
      <c r="O214" s="703"/>
      <c r="P214" s="703"/>
      <c r="Q214" s="703"/>
      <c r="R214" s="703"/>
      <c r="S214" s="703"/>
    </row>
    <row r="215" spans="1:19">
      <c r="A215" s="731" t="s">
        <v>1356</v>
      </c>
      <c r="B215" s="732" t="s">
        <v>1357</v>
      </c>
      <c r="C215" s="732" t="s">
        <v>1358</v>
      </c>
      <c r="D215" s="732" t="s">
        <v>1359</v>
      </c>
      <c r="E215" s="732" t="s">
        <v>1360</v>
      </c>
      <c r="F215" s="732" t="s">
        <v>1361</v>
      </c>
      <c r="G215" s="732" t="s">
        <v>1362</v>
      </c>
      <c r="H215" s="732" t="s">
        <v>1363</v>
      </c>
      <c r="I215" s="704"/>
      <c r="J215" s="703"/>
      <c r="K215" s="703"/>
      <c r="L215" s="703"/>
      <c r="M215" s="703"/>
      <c r="N215" s="703"/>
      <c r="O215" s="703"/>
      <c r="P215" s="703"/>
      <c r="Q215" s="703"/>
      <c r="R215" s="703"/>
      <c r="S215" s="703"/>
    </row>
    <row r="216" spans="1:19">
      <c r="A216" s="733" t="s">
        <v>2190</v>
      </c>
      <c r="B216" s="1167">
        <f>Wohnungsausnutzung!S$130</f>
        <v>22.274999999999999</v>
      </c>
      <c r="C216" s="1167">
        <f>Wohnungsausnutzung!T$130</f>
        <v>26.805</v>
      </c>
      <c r="D216" s="1167">
        <f>Wohnungsausnutzung!U$130</f>
        <v>41.580000000000005</v>
      </c>
      <c r="E216" s="1167">
        <f>Wohnungsausnutzung!V$130</f>
        <v>64.08</v>
      </c>
      <c r="F216" s="1167">
        <f>Wohnungsausnutzung!W$130</f>
        <v>74.989999999999995</v>
      </c>
      <c r="G216" s="1167">
        <f>Wohnungsausnutzung!X$130</f>
        <v>92.19</v>
      </c>
      <c r="H216" s="1167">
        <f>Wohnungsausnutzung!Y$130</f>
        <v>101.75999999999999</v>
      </c>
      <c r="I216" s="704"/>
      <c r="J216" s="703"/>
      <c r="K216" s="703"/>
      <c r="L216" s="703"/>
      <c r="M216" s="703"/>
      <c r="N216" s="703"/>
      <c r="O216" s="703"/>
      <c r="P216" s="703"/>
      <c r="Q216" s="703"/>
      <c r="R216" s="703"/>
      <c r="S216" s="703"/>
    </row>
    <row r="217" spans="1:19">
      <c r="A217" s="733" t="s">
        <v>2191</v>
      </c>
      <c r="B217" s="1168">
        <f>Wohnungsausnutzung!S128</f>
        <v>4</v>
      </c>
      <c r="C217" s="1168">
        <f>Wohnungsausnutzung!U128</f>
        <v>5</v>
      </c>
      <c r="D217" s="1168">
        <f>Wohnungsausnutzung!W128</f>
        <v>7</v>
      </c>
      <c r="E217" s="1168">
        <f>Wohnungsausnutzung!Y128</f>
        <v>11</v>
      </c>
      <c r="F217" s="1168">
        <f>Wohnungsausnutzung!AA128</f>
        <v>12</v>
      </c>
      <c r="G217" s="1168">
        <f>Wohnungsausnutzung!AC128</f>
        <v>16</v>
      </c>
      <c r="H217" s="1168">
        <f>Wohnungsausnutzung!AE128</f>
        <v>17</v>
      </c>
      <c r="I217" s="704"/>
      <c r="J217" s="703"/>
      <c r="K217" s="703"/>
      <c r="L217" s="703"/>
      <c r="M217" s="703"/>
      <c r="N217" s="703"/>
      <c r="O217" s="703"/>
      <c r="P217" s="703"/>
      <c r="Q217" s="703"/>
      <c r="R217" s="703"/>
      <c r="S217" s="703"/>
    </row>
    <row r="218" spans="1:19">
      <c r="A218" s="733" t="s">
        <v>2192</v>
      </c>
      <c r="B218" s="1169">
        <f t="shared" ref="B218:H218" si="60">B216/(B217*$C214)</f>
        <v>0.60267857142857151</v>
      </c>
      <c r="C218" s="1169">
        <f t="shared" si="60"/>
        <v>0.58019480519480537</v>
      </c>
      <c r="D218" s="1169">
        <f t="shared" si="60"/>
        <v>0.64285714285714302</v>
      </c>
      <c r="E218" s="1169">
        <f t="shared" si="60"/>
        <v>0.63046044864226691</v>
      </c>
      <c r="F218" s="1169">
        <f t="shared" si="60"/>
        <v>0.67631673881673893</v>
      </c>
      <c r="G218" s="1169">
        <f t="shared" si="60"/>
        <v>0.62357954545454553</v>
      </c>
      <c r="H218" s="1169">
        <f t="shared" si="60"/>
        <v>0.64782276546982431</v>
      </c>
      <c r="I218" s="704"/>
      <c r="J218" s="703"/>
      <c r="K218" s="703"/>
      <c r="L218" s="703"/>
      <c r="M218" s="703"/>
      <c r="N218" s="703"/>
      <c r="O218" s="703"/>
      <c r="P218" s="703"/>
      <c r="Q218" s="703"/>
      <c r="R218" s="703"/>
      <c r="S218" s="703"/>
    </row>
    <row r="219" spans="1:19">
      <c r="A219" s="1216"/>
      <c r="B219" s="1217"/>
      <c r="C219" s="1217"/>
      <c r="D219" s="1217"/>
      <c r="E219" s="1217"/>
      <c r="F219" s="1217"/>
      <c r="G219" s="1217"/>
      <c r="H219" s="1217"/>
      <c r="I219" s="704"/>
      <c r="J219" s="703"/>
      <c r="K219" s="703"/>
      <c r="L219" s="703"/>
      <c r="M219" s="703"/>
      <c r="N219" s="703"/>
      <c r="O219" s="703"/>
      <c r="P219" s="703"/>
      <c r="Q219" s="703"/>
      <c r="R219" s="703"/>
      <c r="S219" s="703"/>
    </row>
    <row r="220" spans="1:19">
      <c r="A220" s="727" t="s">
        <v>1275</v>
      </c>
      <c r="B220" s="1041">
        <v>3</v>
      </c>
      <c r="C220" s="1041">
        <v>4</v>
      </c>
      <c r="D220" s="727"/>
      <c r="E220" s="728"/>
      <c r="F220" s="728"/>
      <c r="G220" s="728"/>
      <c r="H220" s="728"/>
      <c r="I220" s="704"/>
      <c r="J220" s="703"/>
      <c r="K220" s="703"/>
      <c r="L220" s="703"/>
      <c r="M220" s="703"/>
      <c r="N220" s="703"/>
      <c r="O220" s="703"/>
      <c r="P220" s="703"/>
      <c r="Q220" s="703"/>
      <c r="R220" s="703"/>
      <c r="S220" s="703"/>
    </row>
    <row r="221" spans="1:19">
      <c r="A221" s="729" t="s">
        <v>1354</v>
      </c>
      <c r="B221" s="1038">
        <f>B220-0.2</f>
        <v>2.8</v>
      </c>
      <c r="C221" s="1038">
        <f>C220-0.2</f>
        <v>3.8</v>
      </c>
      <c r="D221" s="729"/>
      <c r="E221" s="729"/>
      <c r="F221" s="729"/>
      <c r="G221" s="729"/>
      <c r="H221" s="729"/>
      <c r="I221" s="704"/>
      <c r="J221" s="703"/>
      <c r="K221" s="703"/>
      <c r="L221" s="703"/>
      <c r="M221" s="703"/>
      <c r="N221" s="703"/>
      <c r="O221" s="703"/>
      <c r="P221" s="703"/>
      <c r="Q221" s="703"/>
      <c r="R221" s="703"/>
      <c r="S221" s="703"/>
    </row>
    <row r="222" spans="1:19">
      <c r="A222" s="730" t="s">
        <v>1355</v>
      </c>
      <c r="B222" s="1040"/>
      <c r="C222" s="1039">
        <f>B221*C221</f>
        <v>10.639999999999999</v>
      </c>
      <c r="D222" s="730"/>
      <c r="E222" s="729"/>
      <c r="F222" s="729"/>
      <c r="G222" s="729"/>
      <c r="H222" s="729"/>
      <c r="I222" s="704"/>
      <c r="J222" s="703"/>
      <c r="K222" s="703"/>
      <c r="L222" s="703"/>
      <c r="M222" s="703"/>
      <c r="N222" s="703"/>
      <c r="O222" s="703"/>
      <c r="P222" s="703"/>
      <c r="Q222" s="703"/>
      <c r="R222" s="703"/>
      <c r="S222" s="703"/>
    </row>
    <row r="223" spans="1:19">
      <c r="A223" s="731" t="s">
        <v>1356</v>
      </c>
      <c r="B223" s="732" t="s">
        <v>1357</v>
      </c>
      <c r="C223" s="732" t="s">
        <v>1358</v>
      </c>
      <c r="D223" s="732" t="s">
        <v>1359</v>
      </c>
      <c r="E223" s="732" t="s">
        <v>1360</v>
      </c>
      <c r="F223" s="732" t="s">
        <v>1361</v>
      </c>
      <c r="G223" s="732" t="s">
        <v>1362</v>
      </c>
      <c r="H223" s="732" t="s">
        <v>1363</v>
      </c>
      <c r="I223" s="704"/>
      <c r="J223" s="703"/>
      <c r="K223" s="703"/>
      <c r="L223" s="703"/>
      <c r="M223" s="703"/>
      <c r="N223" s="703"/>
      <c r="O223" s="703"/>
      <c r="P223" s="703"/>
      <c r="Q223" s="703"/>
      <c r="R223" s="703"/>
      <c r="S223" s="703"/>
    </row>
    <row r="224" spans="1:19">
      <c r="A224" s="733" t="s">
        <v>2190</v>
      </c>
      <c r="B224" s="1167">
        <f>Wohnungsausnutzung!AI$130</f>
        <v>22.274999999999999</v>
      </c>
      <c r="C224" s="1167">
        <f>Wohnungsausnutzung!AJ$130</f>
        <v>26.805</v>
      </c>
      <c r="D224" s="1167">
        <f>Wohnungsausnutzung!AK$130</f>
        <v>41.580000000000005</v>
      </c>
      <c r="E224" s="1167">
        <f>Wohnungsausnutzung!AL$130</f>
        <v>65.48</v>
      </c>
      <c r="F224" s="1167">
        <f>Wohnungsausnutzung!AM$130</f>
        <v>76.39</v>
      </c>
      <c r="G224" s="1167">
        <f>Wohnungsausnutzung!AN$130</f>
        <v>93.59</v>
      </c>
      <c r="H224" s="1167">
        <f>Wohnungsausnutzung!AO$130</f>
        <v>103.16</v>
      </c>
      <c r="I224" s="704"/>
      <c r="J224" s="703"/>
      <c r="K224" s="703"/>
      <c r="L224" s="703"/>
      <c r="M224" s="703"/>
      <c r="N224" s="703"/>
      <c r="O224" s="703"/>
      <c r="P224" s="703"/>
      <c r="Q224" s="703"/>
      <c r="R224" s="703"/>
      <c r="S224" s="703"/>
    </row>
    <row r="225" spans="1:19">
      <c r="A225" s="733" t="s">
        <v>2191</v>
      </c>
      <c r="B225" s="1168">
        <f>Wohnungsausnutzung!AI128</f>
        <v>4</v>
      </c>
      <c r="C225" s="1168">
        <f>Wohnungsausnutzung!AK128</f>
        <v>5</v>
      </c>
      <c r="D225" s="1168">
        <f>Wohnungsausnutzung!AM128</f>
        <v>7</v>
      </c>
      <c r="E225" s="1168">
        <f>Wohnungsausnutzung!AO128</f>
        <v>10</v>
      </c>
      <c r="F225" s="1168">
        <f>Wohnungsausnutzung!AQ128</f>
        <v>11</v>
      </c>
      <c r="G225" s="1168">
        <f>Wohnungsausnutzung!AS128</f>
        <v>14</v>
      </c>
      <c r="H225" s="1168">
        <f>Wohnungsausnutzung!AU128</f>
        <v>16</v>
      </c>
      <c r="I225" s="704"/>
      <c r="J225" s="703"/>
      <c r="K225" s="703"/>
      <c r="L225" s="703"/>
      <c r="M225" s="703"/>
      <c r="N225" s="703"/>
      <c r="O225" s="703"/>
      <c r="P225" s="703"/>
      <c r="Q225" s="703"/>
      <c r="R225" s="703"/>
      <c r="S225" s="703"/>
    </row>
    <row r="226" spans="1:19">
      <c r="A226" s="733" t="s">
        <v>2192</v>
      </c>
      <c r="B226" s="1169">
        <f t="shared" ref="B226:H226" si="61">B224/(B225*$C222)</f>
        <v>0.52337875939849632</v>
      </c>
      <c r="C226" s="1169">
        <f t="shared" si="61"/>
        <v>0.50385338345864661</v>
      </c>
      <c r="D226" s="1169">
        <f t="shared" si="61"/>
        <v>0.55827067669172947</v>
      </c>
      <c r="E226" s="1169">
        <f t="shared" si="61"/>
        <v>0.61541353383458652</v>
      </c>
      <c r="F226" s="1169">
        <f t="shared" si="61"/>
        <v>0.6526828434723172</v>
      </c>
      <c r="G226" s="1169">
        <f t="shared" si="61"/>
        <v>0.62828947368421062</v>
      </c>
      <c r="H226" s="1169">
        <f t="shared" si="61"/>
        <v>0.60596804511278202</v>
      </c>
      <c r="I226" s="704"/>
      <c r="J226" s="703"/>
      <c r="K226" s="703"/>
      <c r="L226" s="703"/>
      <c r="M226" s="703"/>
      <c r="N226" s="703"/>
      <c r="O226" s="703"/>
      <c r="P226" s="703"/>
      <c r="Q226" s="703"/>
      <c r="R226" s="703"/>
      <c r="S226" s="703"/>
    </row>
    <row r="227" spans="1:19">
      <c r="A227" s="730"/>
      <c r="B227" s="736"/>
      <c r="C227" s="736"/>
      <c r="D227" s="736"/>
      <c r="E227" s="736"/>
      <c r="F227" s="736"/>
      <c r="G227" s="736"/>
      <c r="H227" s="736"/>
      <c r="I227" s="704"/>
      <c r="J227" s="703"/>
      <c r="K227" s="703"/>
      <c r="L227" s="703"/>
      <c r="M227" s="703"/>
      <c r="N227" s="703"/>
      <c r="O227" s="703"/>
      <c r="P227" s="703"/>
      <c r="Q227" s="703"/>
      <c r="R227" s="703"/>
      <c r="S227" s="703"/>
    </row>
    <row r="228" spans="1:19">
      <c r="A228" s="727" t="s">
        <v>1275</v>
      </c>
      <c r="B228" s="1041">
        <v>3</v>
      </c>
      <c r="C228" s="1041">
        <v>4.5</v>
      </c>
      <c r="D228" s="727"/>
      <c r="E228" s="728"/>
      <c r="F228" s="728"/>
      <c r="G228" s="728"/>
      <c r="H228" s="728"/>
      <c r="I228" s="704"/>
      <c r="J228" s="703"/>
      <c r="K228" s="703"/>
      <c r="L228" s="703"/>
      <c r="M228" s="703"/>
      <c r="N228" s="703"/>
      <c r="O228" s="703"/>
      <c r="P228" s="703"/>
      <c r="Q228" s="703"/>
      <c r="R228" s="703"/>
      <c r="S228" s="703"/>
    </row>
    <row r="229" spans="1:19">
      <c r="A229" s="729" t="s">
        <v>1354</v>
      </c>
      <c r="B229" s="1038">
        <f>B228-0.2</f>
        <v>2.8</v>
      </c>
      <c r="C229" s="1038">
        <f>C228-0.2</f>
        <v>4.3</v>
      </c>
      <c r="D229" s="729"/>
      <c r="E229" s="729"/>
      <c r="F229" s="729"/>
      <c r="G229" s="729"/>
      <c r="H229" s="729"/>
      <c r="I229" s="704"/>
      <c r="J229" s="703"/>
      <c r="K229" s="703"/>
      <c r="L229" s="703"/>
      <c r="M229" s="703"/>
      <c r="N229" s="703"/>
      <c r="O229" s="703"/>
      <c r="P229" s="703"/>
      <c r="Q229" s="703"/>
      <c r="R229" s="703"/>
      <c r="S229" s="703"/>
    </row>
    <row r="230" spans="1:19">
      <c r="A230" s="730" t="s">
        <v>1355</v>
      </c>
      <c r="B230" s="1040"/>
      <c r="C230" s="1039">
        <f>B229*C229</f>
        <v>12.04</v>
      </c>
      <c r="D230" s="730"/>
      <c r="E230" s="729"/>
      <c r="F230" s="729"/>
      <c r="G230" s="729"/>
      <c r="H230" s="729"/>
      <c r="I230" s="704"/>
      <c r="J230" s="703"/>
      <c r="K230" s="703"/>
      <c r="L230" s="703"/>
      <c r="M230" s="703"/>
      <c r="N230" s="703"/>
      <c r="O230" s="703"/>
      <c r="P230" s="703"/>
      <c r="Q230" s="703"/>
      <c r="R230" s="703"/>
      <c r="S230" s="703"/>
    </row>
    <row r="231" spans="1:19">
      <c r="A231" s="731" t="s">
        <v>1356</v>
      </c>
      <c r="B231" s="732" t="s">
        <v>1357</v>
      </c>
      <c r="C231" s="732" t="s">
        <v>1358</v>
      </c>
      <c r="D231" s="732" t="s">
        <v>1359</v>
      </c>
      <c r="E231" s="732" t="s">
        <v>1360</v>
      </c>
      <c r="F231" s="732" t="s">
        <v>1361</v>
      </c>
      <c r="G231" s="732" t="s">
        <v>1362</v>
      </c>
      <c r="H231" s="732" t="s">
        <v>1363</v>
      </c>
      <c r="I231" s="704"/>
      <c r="J231" s="703"/>
      <c r="K231" s="703"/>
      <c r="L231" s="703"/>
      <c r="M231" s="703"/>
      <c r="N231" s="703"/>
      <c r="O231" s="703"/>
      <c r="P231" s="703"/>
      <c r="Q231" s="703"/>
      <c r="R231" s="703"/>
      <c r="S231" s="703"/>
    </row>
    <row r="232" spans="1:19">
      <c r="A232" s="733" t="s">
        <v>2190</v>
      </c>
      <c r="B232" s="1167">
        <f>Wohnungsausnutzung!AY$130</f>
        <v>22.274999999999999</v>
      </c>
      <c r="C232" s="1167">
        <f>Wohnungsausnutzung!AZ$130</f>
        <v>26.805</v>
      </c>
      <c r="D232" s="1167">
        <f>Wohnungsausnutzung!BA$130</f>
        <v>41.58</v>
      </c>
      <c r="E232" s="1167">
        <f>Wohnungsausnutzung!BB$130</f>
        <v>54.84</v>
      </c>
      <c r="F232" s="1167">
        <f>Wohnungsausnutzung!BC$130</f>
        <v>65.75</v>
      </c>
      <c r="G232" s="1167">
        <f>Wohnungsausnutzung!BD$130</f>
        <v>82.95</v>
      </c>
      <c r="H232" s="1167">
        <f>Wohnungsausnutzung!BE$130</f>
        <v>104.56</v>
      </c>
      <c r="I232" s="704"/>
      <c r="J232" s="703"/>
      <c r="K232" s="703"/>
      <c r="L232" s="703"/>
      <c r="M232" s="703"/>
      <c r="N232" s="703"/>
      <c r="O232" s="703"/>
      <c r="P232" s="703"/>
      <c r="Q232" s="703"/>
      <c r="R232" s="703"/>
      <c r="S232" s="703"/>
    </row>
    <row r="233" spans="1:19">
      <c r="A233" s="733" t="s">
        <v>2191</v>
      </c>
      <c r="B233" s="1168">
        <f>Wohnungsausnutzung!AY128</f>
        <v>3</v>
      </c>
      <c r="C233" s="1168">
        <f>Wohnungsausnutzung!BA128</f>
        <v>4</v>
      </c>
      <c r="D233" s="1168">
        <f>Wohnungsausnutzung!BC128</f>
        <v>6</v>
      </c>
      <c r="E233" s="1168">
        <f>Wohnungsausnutzung!BE128</f>
        <v>8</v>
      </c>
      <c r="F233" s="1168">
        <f>Wohnungsausnutzung!BG128</f>
        <v>10</v>
      </c>
      <c r="G233" s="1168">
        <f>Wohnungsausnutzung!BI128</f>
        <v>12</v>
      </c>
      <c r="H233" s="1168">
        <f>Wohnungsausnutzung!BK128</f>
        <v>15</v>
      </c>
      <c r="I233" s="704"/>
      <c r="J233" s="703"/>
      <c r="K233" s="703"/>
      <c r="L233" s="703"/>
      <c r="M233" s="703"/>
      <c r="N233" s="703"/>
      <c r="O233" s="703"/>
      <c r="P233" s="703"/>
      <c r="Q233" s="703"/>
      <c r="R233" s="703"/>
      <c r="S233" s="703"/>
    </row>
    <row r="234" spans="1:19">
      <c r="A234" s="733" t="s">
        <v>2192</v>
      </c>
      <c r="B234" s="1169">
        <f t="shared" ref="B234:H234" si="62">B232/(B233*$C230)</f>
        <v>0.61669435215946844</v>
      </c>
      <c r="C234" s="1169">
        <f t="shared" si="62"/>
        <v>0.55658222591362128</v>
      </c>
      <c r="D234" s="1169">
        <f t="shared" si="62"/>
        <v>0.57558139534883723</v>
      </c>
      <c r="E234" s="1169">
        <f t="shared" si="62"/>
        <v>0.56935215946843865</v>
      </c>
      <c r="F234" s="1169">
        <f t="shared" si="62"/>
        <v>0.54609634551495023</v>
      </c>
      <c r="G234" s="1169">
        <f t="shared" si="62"/>
        <v>0.57412790697674421</v>
      </c>
      <c r="H234" s="1169">
        <f t="shared" si="62"/>
        <v>0.57895902547065337</v>
      </c>
      <c r="I234" s="704"/>
      <c r="J234" s="703"/>
      <c r="K234" s="703"/>
      <c r="L234" s="703"/>
      <c r="M234" s="703"/>
      <c r="N234" s="703"/>
      <c r="O234" s="703"/>
      <c r="P234" s="703"/>
      <c r="Q234" s="703"/>
      <c r="R234" s="703"/>
      <c r="S234" s="703"/>
    </row>
    <row r="235" spans="1:19">
      <c r="A235" s="737"/>
      <c r="B235" s="738"/>
      <c r="C235" s="738"/>
      <c r="D235" s="738"/>
      <c r="E235" s="738"/>
      <c r="F235" s="738"/>
      <c r="G235" s="738"/>
      <c r="H235" s="703"/>
      <c r="I235" s="704"/>
      <c r="J235" s="703"/>
      <c r="K235" s="703"/>
      <c r="L235" s="703"/>
      <c r="M235" s="703"/>
      <c r="N235" s="703"/>
      <c r="O235" s="703"/>
      <c r="P235" s="703"/>
      <c r="Q235" s="703"/>
      <c r="R235" s="703"/>
      <c r="S235" s="703"/>
    </row>
    <row r="236" spans="1:19">
      <c r="A236" s="727" t="s">
        <v>1275</v>
      </c>
      <c r="B236" s="1041">
        <v>3</v>
      </c>
      <c r="C236" s="1041">
        <v>5</v>
      </c>
      <c r="D236" s="727"/>
      <c r="E236" s="728"/>
      <c r="F236" s="728"/>
      <c r="G236" s="728"/>
      <c r="H236" s="728"/>
      <c r="I236" s="704"/>
      <c r="J236" s="703"/>
      <c r="K236" s="703"/>
      <c r="L236" s="703"/>
      <c r="M236" s="703"/>
      <c r="N236" s="703"/>
      <c r="O236" s="703"/>
      <c r="P236" s="703"/>
      <c r="Q236" s="703"/>
      <c r="R236" s="703"/>
      <c r="S236" s="703"/>
    </row>
    <row r="237" spans="1:19">
      <c r="A237" s="729" t="s">
        <v>1354</v>
      </c>
      <c r="B237" s="1038">
        <f>B236-0.2</f>
        <v>2.8</v>
      </c>
      <c r="C237" s="1038">
        <f>C236-0.2</f>
        <v>4.8</v>
      </c>
      <c r="D237" s="729"/>
      <c r="E237" s="729"/>
      <c r="F237" s="729"/>
      <c r="G237" s="729"/>
      <c r="H237" s="729"/>
      <c r="I237" s="704"/>
      <c r="J237" s="703"/>
      <c r="K237" s="703"/>
      <c r="L237" s="703"/>
      <c r="M237" s="703"/>
      <c r="N237" s="703"/>
      <c r="O237" s="703"/>
      <c r="P237" s="703"/>
      <c r="Q237" s="703"/>
      <c r="R237" s="703"/>
      <c r="S237" s="703"/>
    </row>
    <row r="238" spans="1:19">
      <c r="A238" s="730" t="s">
        <v>1355</v>
      </c>
      <c r="B238" s="1040"/>
      <c r="C238" s="1039">
        <f>B237*C237</f>
        <v>13.44</v>
      </c>
      <c r="D238" s="730"/>
      <c r="E238" s="729"/>
      <c r="F238" s="729"/>
      <c r="G238" s="729"/>
      <c r="H238" s="729"/>
      <c r="I238" s="704"/>
      <c r="J238" s="703"/>
      <c r="K238" s="703"/>
      <c r="L238" s="703"/>
      <c r="M238" s="703"/>
      <c r="N238" s="703"/>
      <c r="O238" s="703"/>
      <c r="P238" s="703"/>
      <c r="Q238" s="703"/>
      <c r="R238" s="703"/>
      <c r="S238" s="703"/>
    </row>
    <row r="239" spans="1:19">
      <c r="A239" s="731" t="s">
        <v>1356</v>
      </c>
      <c r="B239" s="732" t="s">
        <v>1357</v>
      </c>
      <c r="C239" s="732" t="s">
        <v>1358</v>
      </c>
      <c r="D239" s="732" t="s">
        <v>1359</v>
      </c>
      <c r="E239" s="732" t="s">
        <v>1360</v>
      </c>
      <c r="F239" s="732" t="s">
        <v>1361</v>
      </c>
      <c r="G239" s="732" t="s">
        <v>1362</v>
      </c>
      <c r="H239" s="732" t="s">
        <v>1363</v>
      </c>
      <c r="I239" s="704"/>
      <c r="J239" s="703"/>
      <c r="K239" s="703"/>
      <c r="L239" s="703"/>
      <c r="M239" s="703"/>
      <c r="N239" s="703"/>
      <c r="O239" s="703"/>
      <c r="P239" s="703"/>
      <c r="Q239" s="703"/>
      <c r="R239" s="703"/>
      <c r="S239" s="703"/>
    </row>
    <row r="240" spans="1:19">
      <c r="A240" s="733" t="s">
        <v>2190</v>
      </c>
      <c r="B240" s="1167">
        <f>Wohnungsausnutzung!BO$130</f>
        <v>22.274999999999999</v>
      </c>
      <c r="C240" s="1167">
        <f>Wohnungsausnutzung!BP$130</f>
        <v>26.805</v>
      </c>
      <c r="D240" s="1167">
        <f>Wohnungsausnutzung!BQ$130</f>
        <v>41.58</v>
      </c>
      <c r="E240" s="1167">
        <f>Wohnungsausnutzung!BR$130</f>
        <v>54.84</v>
      </c>
      <c r="F240" s="1167">
        <f>Wohnungsausnutzung!BS$130</f>
        <v>65.75</v>
      </c>
      <c r="G240" s="1167">
        <f>Wohnungsausnutzung!BT$130</f>
        <v>82.95</v>
      </c>
      <c r="H240" s="1167">
        <f>Wohnungsausnutzung!BU$130</f>
        <v>92.52</v>
      </c>
      <c r="I240" s="704"/>
      <c r="J240" s="703"/>
      <c r="K240" s="703"/>
      <c r="L240" s="703"/>
      <c r="M240" s="703"/>
      <c r="N240" s="703"/>
      <c r="O240" s="703"/>
      <c r="P240" s="703"/>
      <c r="Q240" s="703"/>
      <c r="R240" s="703"/>
      <c r="S240" s="703"/>
    </row>
    <row r="241" spans="1:19">
      <c r="A241" s="733" t="s">
        <v>2191</v>
      </c>
      <c r="B241" s="1168">
        <f>Wohnungsausnutzung!BO128</f>
        <v>3</v>
      </c>
      <c r="C241" s="1168">
        <f>Wohnungsausnutzung!BQ128</f>
        <v>4</v>
      </c>
      <c r="D241" s="1168">
        <f>Wohnungsausnutzung!BS128</f>
        <v>5</v>
      </c>
      <c r="E241" s="1168">
        <f>Wohnungsausnutzung!BU128</f>
        <v>8</v>
      </c>
      <c r="F241" s="1168">
        <f>Wohnungsausnutzung!BW128</f>
        <v>10</v>
      </c>
      <c r="G241" s="1168">
        <f>Wohnungsausnutzung!BY128</f>
        <v>11</v>
      </c>
      <c r="H241" s="1168">
        <f>Wohnungsausnutzung!CA128</f>
        <v>12</v>
      </c>
      <c r="I241" s="704"/>
      <c r="J241" s="703"/>
      <c r="K241" s="703"/>
      <c r="L241" s="703"/>
      <c r="M241" s="703"/>
      <c r="N241" s="703"/>
      <c r="O241" s="703"/>
      <c r="P241" s="703"/>
      <c r="Q241" s="703"/>
      <c r="R241" s="703"/>
      <c r="S241" s="703"/>
    </row>
    <row r="242" spans="1:19">
      <c r="A242" s="733" t="s">
        <v>2192</v>
      </c>
      <c r="B242" s="1169">
        <f t="shared" ref="B242:H242" si="63">B240/(B241*$C238)</f>
        <v>0.5524553571428571</v>
      </c>
      <c r="C242" s="1169">
        <f t="shared" si="63"/>
        <v>0.49860491071428575</v>
      </c>
      <c r="D242" s="1169">
        <f t="shared" si="63"/>
        <v>0.61874999999999991</v>
      </c>
      <c r="E242" s="1169">
        <f t="shared" si="63"/>
        <v>0.5100446428571429</v>
      </c>
      <c r="F242" s="1169">
        <f t="shared" si="63"/>
        <v>0.48921130952380948</v>
      </c>
      <c r="G242" s="1169">
        <f t="shared" si="63"/>
        <v>0.56107954545454541</v>
      </c>
      <c r="H242" s="1169">
        <f t="shared" si="63"/>
        <v>0.5736607142857143</v>
      </c>
      <c r="I242" s="704"/>
      <c r="J242" s="703"/>
      <c r="K242" s="703"/>
      <c r="L242" s="703"/>
      <c r="M242" s="703"/>
      <c r="N242" s="703"/>
      <c r="O242" s="703"/>
      <c r="P242" s="703"/>
      <c r="Q242" s="703"/>
      <c r="R242" s="703"/>
      <c r="S242" s="703"/>
    </row>
    <row r="243" spans="1:19">
      <c r="A243" s="724"/>
      <c r="B243" s="735"/>
      <c r="C243" s="703"/>
      <c r="D243" s="703"/>
      <c r="E243" s="703"/>
      <c r="F243" s="703"/>
      <c r="G243" s="703"/>
      <c r="H243" s="703"/>
      <c r="I243" s="704"/>
      <c r="J243" s="703"/>
      <c r="K243" s="703"/>
      <c r="L243" s="703"/>
      <c r="M243" s="703"/>
      <c r="N243" s="703"/>
      <c r="O243" s="703"/>
      <c r="P243" s="703"/>
      <c r="Q243" s="703"/>
      <c r="R243" s="703"/>
      <c r="S243" s="703"/>
    </row>
    <row r="244" spans="1:19">
      <c r="A244" s="727" t="s">
        <v>1275</v>
      </c>
      <c r="B244" s="1041">
        <v>3</v>
      </c>
      <c r="C244" s="1041">
        <v>5.3</v>
      </c>
      <c r="D244" s="727"/>
      <c r="E244" s="728"/>
      <c r="F244" s="728"/>
      <c r="G244" s="728"/>
      <c r="H244" s="728"/>
      <c r="I244" s="704"/>
      <c r="J244" s="703"/>
      <c r="K244" s="703"/>
      <c r="L244" s="703"/>
      <c r="M244" s="703"/>
      <c r="N244" s="703"/>
      <c r="O244" s="703"/>
      <c r="P244" s="703"/>
      <c r="Q244" s="703"/>
      <c r="R244" s="703"/>
      <c r="S244" s="703"/>
    </row>
    <row r="245" spans="1:19">
      <c r="A245" s="729" t="s">
        <v>1354</v>
      </c>
      <c r="B245" s="1038">
        <f>B244-0.2</f>
        <v>2.8</v>
      </c>
      <c r="C245" s="1038">
        <f>C244-0.2</f>
        <v>5.0999999999999996</v>
      </c>
      <c r="D245" s="729"/>
      <c r="E245" s="729"/>
      <c r="F245" s="729"/>
      <c r="G245" s="729"/>
      <c r="H245" s="729"/>
      <c r="I245" s="704"/>
      <c r="J245" s="703"/>
      <c r="K245" s="703"/>
      <c r="L245" s="703"/>
      <c r="M245" s="703"/>
      <c r="N245" s="703"/>
      <c r="O245" s="703"/>
      <c r="P245" s="703"/>
      <c r="Q245" s="703"/>
      <c r="R245" s="703"/>
      <c r="S245" s="703"/>
    </row>
    <row r="246" spans="1:19">
      <c r="A246" s="730" t="s">
        <v>1355</v>
      </c>
      <c r="B246" s="1040"/>
      <c r="C246" s="1039">
        <f>B245*C245</f>
        <v>14.279999999999998</v>
      </c>
      <c r="D246" s="730"/>
      <c r="E246" s="729"/>
      <c r="F246" s="729"/>
      <c r="G246" s="729"/>
      <c r="H246" s="729"/>
      <c r="I246" s="704"/>
      <c r="J246" s="703"/>
      <c r="K246" s="703"/>
      <c r="L246" s="703"/>
      <c r="M246" s="703"/>
      <c r="N246" s="703"/>
      <c r="O246" s="703"/>
      <c r="P246" s="703"/>
      <c r="Q246" s="703"/>
      <c r="R246" s="703"/>
      <c r="S246" s="703"/>
    </row>
    <row r="247" spans="1:19">
      <c r="A247" s="731" t="s">
        <v>1356</v>
      </c>
      <c r="B247" s="732" t="s">
        <v>1357</v>
      </c>
      <c r="C247" s="732" t="s">
        <v>1358</v>
      </c>
      <c r="D247" s="732" t="s">
        <v>1359</v>
      </c>
      <c r="E247" s="732" t="s">
        <v>1360</v>
      </c>
      <c r="F247" s="732" t="s">
        <v>1361</v>
      </c>
      <c r="G247" s="732" t="s">
        <v>1362</v>
      </c>
      <c r="H247" s="732" t="s">
        <v>1363</v>
      </c>
      <c r="I247" s="704"/>
      <c r="J247" s="703"/>
      <c r="K247" s="703"/>
      <c r="L247" s="703"/>
      <c r="M247" s="703"/>
      <c r="N247" s="703"/>
      <c r="O247" s="703"/>
      <c r="P247" s="703"/>
      <c r="Q247" s="703"/>
      <c r="R247" s="703"/>
      <c r="S247" s="703"/>
    </row>
    <row r="248" spans="1:19">
      <c r="A248" s="733" t="s">
        <v>2190</v>
      </c>
      <c r="B248" s="1167">
        <f>Wohnungsausnutzung!CE$130</f>
        <v>22.274999999999999</v>
      </c>
      <c r="C248" s="1167">
        <f>Wohnungsausnutzung!CF$130</f>
        <v>26.805</v>
      </c>
      <c r="D248" s="1167">
        <f>Wohnungsausnutzung!CG$130</f>
        <v>41.58</v>
      </c>
      <c r="E248" s="1167">
        <f>Wohnungsausnutzung!CH$130</f>
        <v>54.84</v>
      </c>
      <c r="F248" s="1167">
        <f>Wohnungsausnutzung!CI$130</f>
        <v>65.75</v>
      </c>
      <c r="G248" s="1167">
        <f>Wohnungsausnutzung!CJ$130</f>
        <v>82.95</v>
      </c>
      <c r="H248" s="1167">
        <f>Wohnungsausnutzung!CK$130</f>
        <v>92.52</v>
      </c>
      <c r="I248" s="704"/>
      <c r="J248" s="703"/>
      <c r="K248" s="703"/>
      <c r="L248" s="703"/>
      <c r="M248" s="703"/>
      <c r="N248" s="703"/>
      <c r="O248" s="703"/>
      <c r="P248" s="703"/>
      <c r="Q248" s="703"/>
      <c r="R248" s="703"/>
      <c r="S248" s="703"/>
    </row>
    <row r="249" spans="1:19">
      <c r="A249" s="733" t="s">
        <v>2191</v>
      </c>
      <c r="B249" s="1168">
        <f>Wohnungsausnutzung!CE128</f>
        <v>3</v>
      </c>
      <c r="C249" s="1168">
        <f>Wohnungsausnutzung!CG128</f>
        <v>4</v>
      </c>
      <c r="D249" s="1168">
        <f>Wohnungsausnutzung!CI128</f>
        <v>5</v>
      </c>
      <c r="E249" s="1168">
        <f>Wohnungsausnutzung!CK128</f>
        <v>8</v>
      </c>
      <c r="F249" s="1168">
        <f>Wohnungsausnutzung!CM128</f>
        <v>9</v>
      </c>
      <c r="G249" s="1168">
        <f>Wohnungsausnutzung!CO128</f>
        <v>11</v>
      </c>
      <c r="H249" s="1168">
        <f>Wohnungsausnutzung!CQ128</f>
        <v>12</v>
      </c>
      <c r="I249" s="704"/>
      <c r="J249" s="703"/>
      <c r="K249" s="703"/>
      <c r="L249" s="703"/>
      <c r="M249" s="703"/>
      <c r="N249" s="703"/>
      <c r="O249" s="703"/>
      <c r="P249" s="703"/>
      <c r="Q249" s="703"/>
      <c r="R249" s="703"/>
      <c r="S249" s="703"/>
    </row>
    <row r="250" spans="1:19">
      <c r="A250" s="733" t="s">
        <v>2192</v>
      </c>
      <c r="B250" s="1169">
        <f t="shared" ref="B250:H250" si="64">B248/(B249*$C246)</f>
        <v>0.51995798319327746</v>
      </c>
      <c r="C250" s="1169">
        <f t="shared" si="64"/>
        <v>0.46927521008403367</v>
      </c>
      <c r="D250" s="1169">
        <f t="shared" si="64"/>
        <v>0.58235294117647063</v>
      </c>
      <c r="E250" s="1169">
        <f t="shared" si="64"/>
        <v>0.48004201680672282</v>
      </c>
      <c r="F250" s="1169">
        <f t="shared" si="64"/>
        <v>0.51159352629940869</v>
      </c>
      <c r="G250" s="1169">
        <f t="shared" si="64"/>
        <v>0.52807486631016054</v>
      </c>
      <c r="H250" s="1169">
        <f t="shared" si="64"/>
        <v>0.5399159663865547</v>
      </c>
      <c r="I250" s="704"/>
      <c r="J250" s="703"/>
      <c r="K250" s="703"/>
      <c r="L250" s="703"/>
      <c r="M250" s="703"/>
      <c r="N250" s="703"/>
      <c r="O250" s="703"/>
      <c r="P250" s="703"/>
      <c r="Q250" s="703"/>
      <c r="R250" s="703"/>
      <c r="S250" s="703"/>
    </row>
    <row r="251" spans="1:19">
      <c r="A251" s="737"/>
      <c r="B251" s="738"/>
      <c r="C251" s="738"/>
      <c r="D251" s="738"/>
      <c r="E251" s="738"/>
      <c r="F251" s="738"/>
      <c r="G251" s="738"/>
      <c r="H251" s="703"/>
      <c r="I251" s="704"/>
      <c r="J251" s="703"/>
      <c r="K251" s="703"/>
      <c r="L251" s="703"/>
      <c r="M251" s="703"/>
      <c r="N251" s="703"/>
      <c r="O251" s="703"/>
      <c r="P251" s="703"/>
      <c r="Q251" s="703"/>
      <c r="R251" s="703"/>
      <c r="S251" s="703"/>
    </row>
    <row r="252" spans="1:19">
      <c r="A252" s="727" t="s">
        <v>1275</v>
      </c>
      <c r="B252" s="1041">
        <v>3</v>
      </c>
      <c r="C252" s="1041">
        <v>5.7</v>
      </c>
      <c r="D252" s="727"/>
      <c r="E252" s="728"/>
      <c r="F252" s="728"/>
      <c r="G252" s="728"/>
      <c r="H252" s="728"/>
      <c r="I252" s="704"/>
      <c r="J252" s="703"/>
      <c r="K252" s="703"/>
      <c r="L252" s="703"/>
      <c r="M252" s="703"/>
      <c r="N252" s="703"/>
      <c r="O252" s="703"/>
      <c r="P252" s="703"/>
      <c r="Q252" s="703"/>
      <c r="R252" s="703"/>
      <c r="S252" s="703"/>
    </row>
    <row r="253" spans="1:19">
      <c r="A253" s="729" t="s">
        <v>1354</v>
      </c>
      <c r="B253" s="1038">
        <f>B252-0.2</f>
        <v>2.8</v>
      </c>
      <c r="C253" s="1038">
        <f>C252-0.2</f>
        <v>5.5</v>
      </c>
      <c r="D253" s="729"/>
      <c r="E253" s="729"/>
      <c r="F253" s="729"/>
      <c r="G253" s="729"/>
      <c r="H253" s="729"/>
      <c r="I253" s="704"/>
      <c r="J253" s="703"/>
      <c r="K253" s="703"/>
      <c r="L253" s="703"/>
      <c r="M253" s="703"/>
      <c r="N253" s="703"/>
      <c r="O253" s="703"/>
      <c r="P253" s="703"/>
      <c r="Q253" s="703"/>
      <c r="R253" s="703"/>
      <c r="S253" s="703"/>
    </row>
    <row r="254" spans="1:19">
      <c r="A254" s="730" t="s">
        <v>1355</v>
      </c>
      <c r="B254" s="1040"/>
      <c r="C254" s="1039">
        <f>B253*C253</f>
        <v>15.399999999999999</v>
      </c>
      <c r="D254" s="730"/>
      <c r="E254" s="729"/>
      <c r="F254" s="729"/>
      <c r="G254" s="729"/>
      <c r="H254" s="729"/>
      <c r="I254" s="704"/>
      <c r="J254" s="703"/>
      <c r="K254" s="703"/>
      <c r="L254" s="703"/>
      <c r="M254" s="703"/>
      <c r="N254" s="703"/>
      <c r="O254" s="703"/>
      <c r="P254" s="703"/>
      <c r="Q254" s="703"/>
      <c r="R254" s="703"/>
      <c r="S254" s="703"/>
    </row>
    <row r="255" spans="1:19">
      <c r="A255" s="731" t="s">
        <v>1356</v>
      </c>
      <c r="B255" s="732" t="s">
        <v>1357</v>
      </c>
      <c r="C255" s="732" t="s">
        <v>1358</v>
      </c>
      <c r="D255" s="732" t="s">
        <v>1359</v>
      </c>
      <c r="E255" s="732" t="s">
        <v>1360</v>
      </c>
      <c r="F255" s="732" t="s">
        <v>1361</v>
      </c>
      <c r="G255" s="732" t="s">
        <v>1362</v>
      </c>
      <c r="H255" s="732" t="s">
        <v>1363</v>
      </c>
      <c r="I255" s="704"/>
      <c r="J255" s="703"/>
      <c r="K255" s="703"/>
      <c r="L255" s="703"/>
      <c r="M255" s="703"/>
      <c r="N255" s="703"/>
      <c r="O255" s="703"/>
      <c r="P255" s="703"/>
      <c r="Q255" s="703"/>
      <c r="R255" s="703"/>
      <c r="S255" s="703"/>
    </row>
    <row r="256" spans="1:19">
      <c r="A256" s="733" t="s">
        <v>2190</v>
      </c>
      <c r="B256" s="1167">
        <f>Wohnungsausnutzung!CU$130</f>
        <v>22.274999999999999</v>
      </c>
      <c r="C256" s="1167">
        <f>Wohnungsausnutzung!CV$130</f>
        <v>26.805</v>
      </c>
      <c r="D256" s="1167">
        <f>Wohnungsausnutzung!CW$130</f>
        <v>41.58</v>
      </c>
      <c r="E256" s="1167">
        <f>Wohnungsausnutzung!CX$130</f>
        <v>54.84</v>
      </c>
      <c r="F256" s="1167">
        <f>Wohnungsausnutzung!CY$130</f>
        <v>65.75</v>
      </c>
      <c r="G256" s="1167">
        <f>Wohnungsausnutzung!CZ$130</f>
        <v>82.95</v>
      </c>
      <c r="H256" s="1167">
        <f>Wohnungsausnutzung!DA$130</f>
        <v>92.52</v>
      </c>
      <c r="I256" s="704"/>
      <c r="J256" s="703"/>
      <c r="K256" s="703"/>
      <c r="L256" s="703"/>
      <c r="M256" s="703"/>
      <c r="N256" s="703"/>
      <c r="O256" s="703"/>
      <c r="P256" s="703"/>
      <c r="Q256" s="703"/>
      <c r="R256" s="703"/>
      <c r="S256" s="703"/>
    </row>
    <row r="257" spans="1:19">
      <c r="A257" s="733" t="s">
        <v>2191</v>
      </c>
      <c r="B257" s="1168">
        <f>Wohnungsausnutzung!CU128</f>
        <v>3</v>
      </c>
      <c r="C257" s="1168">
        <f>Wohnungsausnutzung!CW128</f>
        <v>4</v>
      </c>
      <c r="D257" s="1168">
        <f>Wohnungsausnutzung!CY128</f>
        <v>5</v>
      </c>
      <c r="E257" s="1168">
        <f>Wohnungsausnutzung!DA128</f>
        <v>8</v>
      </c>
      <c r="F257" s="1168">
        <f>Wohnungsausnutzung!DC128</f>
        <v>9</v>
      </c>
      <c r="G257" s="1168">
        <f>Wohnungsausnutzung!DE128</f>
        <v>11</v>
      </c>
      <c r="H257" s="1168">
        <f>Wohnungsausnutzung!DG128</f>
        <v>12</v>
      </c>
      <c r="I257" s="704"/>
      <c r="J257" s="703"/>
      <c r="K257" s="703"/>
      <c r="L257" s="703"/>
      <c r="M257" s="703"/>
      <c r="N257" s="703"/>
      <c r="O257" s="703"/>
      <c r="P257" s="703"/>
      <c r="Q257" s="703"/>
      <c r="R257" s="703"/>
      <c r="S257" s="703"/>
    </row>
    <row r="258" spans="1:19">
      <c r="A258" s="733" t="s">
        <v>2192</v>
      </c>
      <c r="B258" s="1169">
        <f t="shared" ref="B258:H258" si="65">B256/(B257*$C254)</f>
        <v>0.48214285714285715</v>
      </c>
      <c r="C258" s="1169">
        <f t="shared" si="65"/>
        <v>0.43514610389610392</v>
      </c>
      <c r="D258" s="1169">
        <f t="shared" si="65"/>
        <v>0.53999999999999992</v>
      </c>
      <c r="E258" s="1169">
        <f t="shared" si="65"/>
        <v>0.44512987012987021</v>
      </c>
      <c r="F258" s="1169">
        <f t="shared" si="65"/>
        <v>0.47438672438672441</v>
      </c>
      <c r="G258" s="1169">
        <f t="shared" si="65"/>
        <v>0.4896694214876034</v>
      </c>
      <c r="H258" s="1169">
        <f t="shared" si="65"/>
        <v>0.50064935064935068</v>
      </c>
      <c r="I258" s="704"/>
      <c r="J258" s="703"/>
      <c r="K258" s="703"/>
      <c r="L258" s="703"/>
      <c r="M258" s="703"/>
      <c r="N258" s="703"/>
      <c r="O258" s="703"/>
      <c r="P258" s="703"/>
      <c r="Q258" s="703"/>
      <c r="R258" s="703"/>
      <c r="S258" s="703"/>
    </row>
    <row r="259" spans="1:19">
      <c r="A259" s="703"/>
      <c r="B259" s="703"/>
      <c r="C259" s="703"/>
      <c r="D259" s="703"/>
      <c r="E259" s="703"/>
      <c r="F259" s="703"/>
      <c r="G259" s="703"/>
      <c r="H259" s="703"/>
      <c r="I259" s="704"/>
      <c r="J259" s="703"/>
      <c r="K259" s="703"/>
      <c r="L259" s="703"/>
      <c r="M259" s="703"/>
      <c r="N259" s="703"/>
      <c r="O259" s="703"/>
      <c r="P259" s="703"/>
      <c r="Q259" s="703"/>
      <c r="R259" s="703"/>
      <c r="S259" s="703"/>
    </row>
    <row r="260" spans="1:19">
      <c r="A260" s="727" t="s">
        <v>1275</v>
      </c>
      <c r="B260" s="1041">
        <v>3</v>
      </c>
      <c r="C260" s="1041">
        <v>6</v>
      </c>
      <c r="D260" s="727"/>
      <c r="E260" s="728"/>
      <c r="F260" s="728"/>
      <c r="G260" s="728"/>
      <c r="H260" s="728"/>
      <c r="I260" s="704"/>
      <c r="J260" s="703"/>
      <c r="K260" s="703"/>
      <c r="L260" s="703"/>
      <c r="M260" s="703"/>
      <c r="N260" s="703"/>
      <c r="O260" s="703"/>
      <c r="P260" s="703"/>
      <c r="Q260" s="703"/>
      <c r="R260" s="703"/>
      <c r="S260" s="703"/>
    </row>
    <row r="261" spans="1:19">
      <c r="A261" s="729" t="s">
        <v>1354</v>
      </c>
      <c r="B261" s="1038">
        <f>B260-0.2</f>
        <v>2.8</v>
      </c>
      <c r="C261" s="1038">
        <f>C260-0.2</f>
        <v>5.8</v>
      </c>
      <c r="D261" s="729"/>
      <c r="E261" s="729"/>
      <c r="F261" s="729"/>
      <c r="G261" s="729"/>
      <c r="H261" s="729"/>
      <c r="I261" s="704"/>
      <c r="J261" s="703"/>
      <c r="K261" s="703"/>
      <c r="L261" s="703"/>
      <c r="M261" s="703"/>
      <c r="N261" s="703"/>
      <c r="O261" s="703"/>
      <c r="P261" s="703"/>
      <c r="Q261" s="703"/>
      <c r="R261" s="703"/>
      <c r="S261" s="703"/>
    </row>
    <row r="262" spans="1:19">
      <c r="A262" s="730" t="s">
        <v>1355</v>
      </c>
      <c r="B262" s="1040"/>
      <c r="C262" s="1039">
        <f>B261*C261</f>
        <v>16.239999999999998</v>
      </c>
      <c r="D262" s="730"/>
      <c r="E262" s="729"/>
      <c r="F262" s="729"/>
      <c r="G262" s="729"/>
      <c r="H262" s="729"/>
      <c r="I262" s="704"/>
      <c r="J262" s="703"/>
      <c r="K262" s="703"/>
      <c r="L262" s="703"/>
      <c r="M262" s="703"/>
      <c r="N262" s="703"/>
      <c r="O262" s="703"/>
      <c r="P262" s="703"/>
      <c r="Q262" s="703"/>
      <c r="R262" s="703"/>
      <c r="S262" s="703"/>
    </row>
    <row r="263" spans="1:19">
      <c r="A263" s="731" t="s">
        <v>1356</v>
      </c>
      <c r="B263" s="732" t="s">
        <v>1357</v>
      </c>
      <c r="C263" s="732" t="s">
        <v>1358</v>
      </c>
      <c r="D263" s="732" t="s">
        <v>1359</v>
      </c>
      <c r="E263" s="732" t="s">
        <v>1360</v>
      </c>
      <c r="F263" s="732" t="s">
        <v>1361</v>
      </c>
      <c r="G263" s="732" t="s">
        <v>1362</v>
      </c>
      <c r="H263" s="732" t="s">
        <v>1363</v>
      </c>
      <c r="I263" s="704"/>
      <c r="J263" s="703"/>
      <c r="K263" s="703"/>
      <c r="L263" s="703"/>
      <c r="M263" s="703"/>
      <c r="N263" s="703"/>
      <c r="O263" s="703"/>
      <c r="P263" s="703"/>
      <c r="Q263" s="703"/>
      <c r="R263" s="703"/>
      <c r="S263" s="703"/>
    </row>
    <row r="264" spans="1:19">
      <c r="A264" s="733" t="s">
        <v>2190</v>
      </c>
      <c r="B264" s="1167">
        <f>Wohnungsausnutzung!DK$130</f>
        <v>22.274999999999999</v>
      </c>
      <c r="C264" s="1167">
        <f>Wohnungsausnutzung!DL$130</f>
        <v>26.805</v>
      </c>
      <c r="D264" s="1167">
        <f>Wohnungsausnutzung!DM$130</f>
        <v>41.58</v>
      </c>
      <c r="E264" s="1167">
        <f>Wohnungsausnutzung!DN$130</f>
        <v>54.84</v>
      </c>
      <c r="F264" s="1167">
        <f>Wohnungsausnutzung!DO$130</f>
        <v>65.75</v>
      </c>
      <c r="G264" s="1167">
        <f>Wohnungsausnutzung!DP$130</f>
        <v>82.95</v>
      </c>
      <c r="H264" s="1167">
        <f>Wohnungsausnutzung!DQ$130</f>
        <v>92.52</v>
      </c>
      <c r="I264" s="704"/>
      <c r="J264" s="703"/>
      <c r="K264" s="703"/>
      <c r="L264" s="703"/>
      <c r="M264" s="703"/>
      <c r="N264" s="703"/>
      <c r="O264" s="703"/>
      <c r="P264" s="703"/>
      <c r="Q264" s="703"/>
      <c r="R264" s="703"/>
      <c r="S264" s="703"/>
    </row>
    <row r="265" spans="1:19">
      <c r="A265" s="733" t="s">
        <v>2191</v>
      </c>
      <c r="B265" s="1168">
        <f>Wohnungsausnutzung!DK128</f>
        <v>3</v>
      </c>
      <c r="C265" s="1168">
        <f>Wohnungsausnutzung!DM128</f>
        <v>4</v>
      </c>
      <c r="D265" s="1168">
        <f>Wohnungsausnutzung!DO128</f>
        <v>5</v>
      </c>
      <c r="E265" s="1168">
        <f>Wohnungsausnutzung!DQ128</f>
        <v>7</v>
      </c>
      <c r="F265" s="1168">
        <f>Wohnungsausnutzung!DS128</f>
        <v>9</v>
      </c>
      <c r="G265" s="1168">
        <f>Wohnungsausnutzung!DU128</f>
        <v>11</v>
      </c>
      <c r="H265" s="1168">
        <f>Wohnungsausnutzung!DW128</f>
        <v>12</v>
      </c>
      <c r="I265" s="704"/>
      <c r="J265" s="703"/>
      <c r="K265" s="703"/>
      <c r="L265" s="703"/>
      <c r="M265" s="703"/>
      <c r="N265" s="703"/>
      <c r="O265" s="703"/>
      <c r="P265" s="703"/>
      <c r="Q265" s="703"/>
      <c r="R265" s="703"/>
      <c r="S265" s="703"/>
    </row>
    <row r="266" spans="1:19">
      <c r="A266" s="733" t="s">
        <v>2192</v>
      </c>
      <c r="B266" s="1169">
        <f t="shared" ref="B266:H266" si="66">B264/(B265*$C262)</f>
        <v>0.45720443349753692</v>
      </c>
      <c r="C266" s="1169">
        <f t="shared" si="66"/>
        <v>0.41263854679802958</v>
      </c>
      <c r="D266" s="1169">
        <f t="shared" si="66"/>
        <v>0.51206896551724146</v>
      </c>
      <c r="E266" s="1169">
        <f t="shared" si="66"/>
        <v>0.48240675580577064</v>
      </c>
      <c r="F266" s="1169">
        <f t="shared" si="66"/>
        <v>0.44984948002189384</v>
      </c>
      <c r="G266" s="1169">
        <f t="shared" si="66"/>
        <v>0.46434169278996873</v>
      </c>
      <c r="H266" s="1169">
        <f t="shared" si="66"/>
        <v>0.47475369458128081</v>
      </c>
      <c r="I266" s="704"/>
      <c r="J266" s="703"/>
      <c r="K266" s="703"/>
      <c r="L266" s="703"/>
      <c r="M266" s="703"/>
      <c r="N266" s="703"/>
      <c r="O266" s="703"/>
      <c r="P266" s="703"/>
      <c r="Q266" s="703"/>
      <c r="R266" s="703"/>
      <c r="S266" s="703"/>
    </row>
    <row r="267" spans="1:19">
      <c r="A267" s="703"/>
      <c r="B267" s="703"/>
      <c r="C267" s="703"/>
      <c r="D267" s="703"/>
      <c r="E267" s="703"/>
      <c r="F267" s="703"/>
      <c r="G267" s="703"/>
      <c r="H267" s="703"/>
      <c r="I267" s="704"/>
      <c r="J267" s="703"/>
      <c r="K267" s="703"/>
      <c r="L267" s="703"/>
      <c r="M267" s="703"/>
      <c r="N267" s="703"/>
      <c r="O267" s="703"/>
      <c r="P267" s="703"/>
      <c r="Q267" s="703"/>
      <c r="R267" s="703"/>
      <c r="S267" s="703"/>
    </row>
    <row r="268" spans="1:19">
      <c r="A268" s="727" t="s">
        <v>1275</v>
      </c>
      <c r="B268" s="1041">
        <v>3.5</v>
      </c>
      <c r="C268" s="1041">
        <v>4</v>
      </c>
      <c r="D268" s="727"/>
      <c r="E268" s="728"/>
      <c r="F268" s="728"/>
      <c r="G268" s="728"/>
      <c r="H268" s="728"/>
      <c r="I268" s="704"/>
      <c r="J268" s="703"/>
      <c r="K268" s="703"/>
      <c r="L268" s="703"/>
      <c r="M268" s="703"/>
      <c r="N268" s="703"/>
      <c r="O268" s="703"/>
      <c r="P268" s="703"/>
      <c r="Q268" s="703"/>
      <c r="R268" s="703"/>
      <c r="S268" s="703"/>
    </row>
    <row r="269" spans="1:19">
      <c r="A269" s="729" t="s">
        <v>1354</v>
      </c>
      <c r="B269" s="1038">
        <f>B268-0.2</f>
        <v>3.3</v>
      </c>
      <c r="C269" s="1038">
        <f>C268-0.2</f>
        <v>3.8</v>
      </c>
      <c r="D269" s="729"/>
      <c r="E269" s="729"/>
      <c r="F269" s="729"/>
      <c r="G269" s="729"/>
      <c r="H269" s="729"/>
      <c r="I269" s="704"/>
      <c r="J269" s="703"/>
      <c r="K269" s="703"/>
      <c r="L269" s="703"/>
      <c r="M269" s="703"/>
      <c r="N269" s="703"/>
      <c r="O269" s="703"/>
      <c r="P269" s="703"/>
      <c r="Q269" s="703"/>
      <c r="R269" s="703"/>
      <c r="S269" s="703"/>
    </row>
    <row r="270" spans="1:19">
      <c r="A270" s="730" t="s">
        <v>1355</v>
      </c>
      <c r="B270" s="1040"/>
      <c r="C270" s="1039">
        <f>B269*C269</f>
        <v>12.54</v>
      </c>
      <c r="D270" s="730"/>
      <c r="E270" s="729"/>
      <c r="F270" s="729"/>
      <c r="G270" s="729"/>
      <c r="H270" s="729"/>
      <c r="I270" s="704"/>
      <c r="J270" s="703"/>
      <c r="K270" s="703"/>
      <c r="L270" s="703"/>
      <c r="M270" s="703"/>
      <c r="N270" s="703"/>
      <c r="O270" s="703"/>
      <c r="P270" s="703"/>
      <c r="Q270" s="703"/>
      <c r="R270" s="703"/>
      <c r="S270" s="703"/>
    </row>
    <row r="271" spans="1:19">
      <c r="A271" s="731" t="s">
        <v>1356</v>
      </c>
      <c r="B271" s="732" t="s">
        <v>1357</v>
      </c>
      <c r="C271" s="732" t="s">
        <v>1358</v>
      </c>
      <c r="D271" s="732" t="s">
        <v>1359</v>
      </c>
      <c r="E271" s="732" t="s">
        <v>1360</v>
      </c>
      <c r="F271" s="732" t="s">
        <v>1361</v>
      </c>
      <c r="G271" s="732" t="s">
        <v>1362</v>
      </c>
      <c r="H271" s="732" t="s">
        <v>1363</v>
      </c>
      <c r="I271" s="704"/>
      <c r="J271" s="703"/>
      <c r="K271" s="703"/>
      <c r="L271" s="703"/>
      <c r="M271" s="703"/>
      <c r="N271" s="703"/>
      <c r="O271" s="703"/>
      <c r="P271" s="703"/>
      <c r="Q271" s="703"/>
      <c r="R271" s="703"/>
      <c r="S271" s="703"/>
    </row>
    <row r="272" spans="1:19">
      <c r="A272" s="733" t="s">
        <v>2190</v>
      </c>
      <c r="B272" s="1167">
        <f>Wohnungsausnutzung!S$173</f>
        <v>22.274999999999999</v>
      </c>
      <c r="C272" s="1167">
        <f>Wohnungsausnutzung!T$173</f>
        <v>26.805</v>
      </c>
      <c r="D272" s="1167">
        <f>Wohnungsausnutzung!U$173</f>
        <v>41.76</v>
      </c>
      <c r="E272" s="1167">
        <f>Wohnungsausnutzung!V$173</f>
        <v>67.38</v>
      </c>
      <c r="F272" s="1167">
        <f>Wohnungsausnutzung!W$173</f>
        <v>78.290000000000006</v>
      </c>
      <c r="G272" s="1167">
        <f>Wohnungsausnutzung!X$173</f>
        <v>95.490000000000009</v>
      </c>
      <c r="H272" s="1167">
        <f>Wohnungsausnutzung!Y$173</f>
        <v>105.06</v>
      </c>
      <c r="I272" s="704"/>
      <c r="J272" s="703"/>
      <c r="K272" s="703"/>
      <c r="L272" s="703"/>
      <c r="M272" s="703"/>
      <c r="N272" s="703"/>
      <c r="O272" s="703"/>
      <c r="P272" s="703"/>
      <c r="Q272" s="703"/>
      <c r="R272" s="703"/>
      <c r="S272" s="703"/>
    </row>
    <row r="273" spans="1:19">
      <c r="A273" s="733" t="s">
        <v>2191</v>
      </c>
      <c r="B273" s="1168">
        <f>Wohnungsausnutzung!S171</f>
        <v>4</v>
      </c>
      <c r="C273" s="1168">
        <f>Wohnungsausnutzung!U171</f>
        <v>5</v>
      </c>
      <c r="D273" s="1168">
        <f>Wohnungsausnutzung!W171</f>
        <v>7</v>
      </c>
      <c r="E273" s="1168">
        <f>Wohnungsausnutzung!Y171</f>
        <v>10</v>
      </c>
      <c r="F273" s="1168">
        <f>Wohnungsausnutzung!AA171</f>
        <v>11</v>
      </c>
      <c r="G273" s="1168">
        <f>Wohnungsausnutzung!AC171</f>
        <v>12</v>
      </c>
      <c r="H273" s="1168">
        <f>Wohnungsausnutzung!AE171</f>
        <v>13</v>
      </c>
      <c r="I273" s="704"/>
      <c r="J273" s="703"/>
      <c r="K273" s="703"/>
      <c r="L273" s="703"/>
      <c r="M273" s="703"/>
      <c r="N273" s="703"/>
      <c r="O273" s="703"/>
      <c r="P273" s="703"/>
      <c r="Q273" s="703"/>
      <c r="R273" s="703"/>
      <c r="S273" s="703"/>
    </row>
    <row r="274" spans="1:19">
      <c r="A274" s="733" t="s">
        <v>2192</v>
      </c>
      <c r="B274" s="1169">
        <f t="shared" ref="B274:H274" si="67">B272/(B273*$C270)</f>
        <v>0.44407894736842107</v>
      </c>
      <c r="C274" s="1169">
        <f t="shared" si="67"/>
        <v>0.42751196172248807</v>
      </c>
      <c r="D274" s="1169">
        <f t="shared" si="67"/>
        <v>0.47573479152426518</v>
      </c>
      <c r="E274" s="1169">
        <f t="shared" si="67"/>
        <v>0.53732057416267942</v>
      </c>
      <c r="F274" s="1169">
        <f t="shared" si="67"/>
        <v>0.56756560823546476</v>
      </c>
      <c r="G274" s="1169">
        <f t="shared" si="67"/>
        <v>0.63456937799043067</v>
      </c>
      <c r="H274" s="1169">
        <f t="shared" si="67"/>
        <v>0.64446080235553926</v>
      </c>
      <c r="I274" s="704"/>
      <c r="J274" s="703"/>
      <c r="K274" s="703"/>
      <c r="L274" s="703"/>
      <c r="M274" s="703"/>
      <c r="N274" s="703"/>
      <c r="O274" s="703"/>
      <c r="P274" s="703"/>
      <c r="Q274" s="703"/>
      <c r="R274" s="703"/>
      <c r="S274" s="703"/>
    </row>
    <row r="275" spans="1:19">
      <c r="A275" s="730"/>
      <c r="B275" s="736"/>
      <c r="C275" s="736"/>
      <c r="D275" s="736"/>
      <c r="E275" s="736"/>
      <c r="F275" s="736"/>
      <c r="G275" s="736"/>
      <c r="H275" s="736"/>
      <c r="I275" s="704"/>
      <c r="J275" s="703"/>
      <c r="K275" s="703"/>
      <c r="L275" s="703"/>
      <c r="M275" s="703"/>
      <c r="N275" s="703"/>
      <c r="O275" s="703"/>
      <c r="P275" s="703"/>
      <c r="Q275" s="703"/>
      <c r="R275" s="703"/>
      <c r="S275" s="703"/>
    </row>
    <row r="276" spans="1:19">
      <c r="A276" s="727" t="s">
        <v>1275</v>
      </c>
      <c r="B276" s="1041">
        <v>3.5</v>
      </c>
      <c r="C276" s="1041">
        <v>4.5</v>
      </c>
      <c r="D276" s="727"/>
      <c r="E276" s="728"/>
      <c r="F276" s="728"/>
      <c r="G276" s="728"/>
      <c r="H276" s="728"/>
      <c r="I276" s="704"/>
      <c r="J276" s="703"/>
      <c r="K276" s="703"/>
      <c r="L276" s="703"/>
      <c r="M276" s="703"/>
      <c r="N276" s="703"/>
      <c r="O276" s="703"/>
      <c r="P276" s="703"/>
      <c r="Q276" s="703"/>
      <c r="R276" s="703"/>
      <c r="S276" s="703"/>
    </row>
    <row r="277" spans="1:19">
      <c r="A277" s="729" t="s">
        <v>1354</v>
      </c>
      <c r="B277" s="1038">
        <f>B276-0.2</f>
        <v>3.3</v>
      </c>
      <c r="C277" s="1038">
        <f>C276-0.2</f>
        <v>4.3</v>
      </c>
      <c r="D277" s="729"/>
      <c r="E277" s="729"/>
      <c r="F277" s="729"/>
      <c r="G277" s="729"/>
      <c r="H277" s="729"/>
      <c r="I277" s="704"/>
      <c r="J277" s="703"/>
      <c r="K277" s="703"/>
      <c r="L277" s="703"/>
      <c r="M277" s="703"/>
      <c r="N277" s="703"/>
      <c r="O277" s="703"/>
      <c r="P277" s="703"/>
      <c r="Q277" s="703"/>
      <c r="R277" s="703"/>
      <c r="S277" s="703"/>
    </row>
    <row r="278" spans="1:19">
      <c r="A278" s="730" t="s">
        <v>1355</v>
      </c>
      <c r="B278" s="1040"/>
      <c r="C278" s="1039">
        <f>B277*C277</f>
        <v>14.19</v>
      </c>
      <c r="D278" s="730"/>
      <c r="E278" s="729"/>
      <c r="F278" s="729"/>
      <c r="G278" s="729"/>
      <c r="H278" s="729"/>
      <c r="I278" s="704"/>
      <c r="J278" s="703"/>
      <c r="K278" s="703"/>
      <c r="L278" s="703"/>
      <c r="M278" s="703"/>
      <c r="N278" s="703"/>
      <c r="O278" s="703"/>
      <c r="P278" s="703"/>
      <c r="Q278" s="703"/>
      <c r="R278" s="703"/>
      <c r="S278" s="703"/>
    </row>
    <row r="279" spans="1:19">
      <c r="A279" s="731" t="s">
        <v>1356</v>
      </c>
      <c r="B279" s="732" t="s">
        <v>1357</v>
      </c>
      <c r="C279" s="732" t="s">
        <v>1358</v>
      </c>
      <c r="D279" s="732" t="s">
        <v>1359</v>
      </c>
      <c r="E279" s="732" t="s">
        <v>1360</v>
      </c>
      <c r="F279" s="732" t="s">
        <v>1361</v>
      </c>
      <c r="G279" s="732" t="s">
        <v>1362</v>
      </c>
      <c r="H279" s="732" t="s">
        <v>1363</v>
      </c>
      <c r="I279" s="704"/>
      <c r="J279" s="703"/>
      <c r="K279" s="703"/>
      <c r="L279" s="703"/>
      <c r="M279" s="703"/>
      <c r="N279" s="703"/>
      <c r="O279" s="703"/>
      <c r="P279" s="703"/>
      <c r="Q279" s="703"/>
      <c r="R279" s="703"/>
      <c r="S279" s="703"/>
    </row>
    <row r="280" spans="1:19">
      <c r="A280" s="733" t="s">
        <v>2190</v>
      </c>
      <c r="B280" s="1167">
        <f>Wohnungsausnutzung!AI$173</f>
        <v>22.274999999999999</v>
      </c>
      <c r="C280" s="1167">
        <f>Wohnungsausnutzung!AJ$173</f>
        <v>26.805</v>
      </c>
      <c r="D280" s="1167">
        <f>Wohnungsausnutzung!AK$173</f>
        <v>41.76</v>
      </c>
      <c r="E280" s="1167">
        <f>Wohnungsausnutzung!AL$173</f>
        <v>54.84</v>
      </c>
      <c r="F280" s="1167">
        <f>Wohnungsausnutzung!AM$173</f>
        <v>65.75</v>
      </c>
      <c r="G280" s="1167">
        <f>Wohnungsausnutzung!AN$173</f>
        <v>82.95</v>
      </c>
      <c r="H280" s="1167">
        <f>Wohnungsausnutzung!AO$173</f>
        <v>106.71</v>
      </c>
      <c r="I280" s="704"/>
      <c r="J280" s="703"/>
      <c r="K280" s="703"/>
      <c r="L280" s="703"/>
      <c r="M280" s="703"/>
      <c r="N280" s="703"/>
      <c r="O280" s="703"/>
      <c r="P280" s="703"/>
      <c r="Q280" s="703"/>
      <c r="R280" s="703"/>
      <c r="S280" s="703"/>
    </row>
    <row r="281" spans="1:19">
      <c r="A281" s="733" t="s">
        <v>2191</v>
      </c>
      <c r="B281" s="1168">
        <f>Wohnungsausnutzung!AI171</f>
        <v>4</v>
      </c>
      <c r="C281" s="1168">
        <f>Wohnungsausnutzung!AK171</f>
        <v>4</v>
      </c>
      <c r="D281" s="1168">
        <f>Wohnungsausnutzung!AM171</f>
        <v>6</v>
      </c>
      <c r="E281" s="1168">
        <f>Wohnungsausnutzung!AO171</f>
        <v>7</v>
      </c>
      <c r="F281" s="1168">
        <f>Wohnungsausnutzung!AQ171</f>
        <v>9</v>
      </c>
      <c r="G281" s="1168">
        <f>Wohnungsausnutzung!AS171</f>
        <v>10</v>
      </c>
      <c r="H281" s="1168">
        <f>Wohnungsausnutzung!AU171</f>
        <v>12</v>
      </c>
      <c r="I281" s="704"/>
      <c r="J281" s="703"/>
      <c r="K281" s="703"/>
      <c r="L281" s="703"/>
      <c r="M281" s="703"/>
      <c r="N281" s="703"/>
      <c r="O281" s="703"/>
      <c r="P281" s="703"/>
      <c r="Q281" s="703"/>
      <c r="R281" s="703"/>
      <c r="S281" s="703"/>
    </row>
    <row r="282" spans="1:19">
      <c r="A282" s="733" t="s">
        <v>2192</v>
      </c>
      <c r="B282" s="1169">
        <f t="shared" ref="B282:H282" si="68">B280/(B281*$C278)</f>
        <v>0.39244186046511625</v>
      </c>
      <c r="C282" s="1169">
        <f t="shared" si="68"/>
        <v>0.47225158562367864</v>
      </c>
      <c r="D282" s="1169">
        <f t="shared" si="68"/>
        <v>0.49048625792811834</v>
      </c>
      <c r="E282" s="1169">
        <f t="shared" si="68"/>
        <v>0.55209906372697071</v>
      </c>
      <c r="F282" s="1169">
        <f t="shared" si="68"/>
        <v>0.51483830553597998</v>
      </c>
      <c r="G282" s="1169">
        <f t="shared" si="68"/>
        <v>0.58456659619450313</v>
      </c>
      <c r="H282" s="1169">
        <f t="shared" si="68"/>
        <v>0.62667371388301618</v>
      </c>
      <c r="I282" s="704"/>
      <c r="J282" s="703"/>
      <c r="K282" s="703"/>
      <c r="L282" s="703"/>
      <c r="M282" s="703"/>
      <c r="N282" s="703"/>
      <c r="O282" s="703"/>
      <c r="P282" s="703"/>
      <c r="Q282" s="703"/>
      <c r="R282" s="703"/>
      <c r="S282" s="703"/>
    </row>
    <row r="283" spans="1:19">
      <c r="A283" s="737"/>
      <c r="B283" s="738"/>
      <c r="C283" s="738"/>
      <c r="D283" s="738"/>
      <c r="E283" s="738"/>
      <c r="F283" s="738"/>
      <c r="G283" s="738"/>
      <c r="H283" s="703"/>
      <c r="I283" s="704"/>
      <c r="J283" s="703"/>
      <c r="K283" s="703"/>
      <c r="L283" s="703"/>
      <c r="M283" s="703"/>
      <c r="N283" s="703"/>
      <c r="O283" s="703"/>
      <c r="P283" s="703"/>
      <c r="Q283" s="703"/>
      <c r="R283" s="703"/>
      <c r="S283" s="703"/>
    </row>
    <row r="284" spans="1:19">
      <c r="A284" s="727" t="s">
        <v>1275</v>
      </c>
      <c r="B284" s="1041">
        <v>3.5</v>
      </c>
      <c r="C284" s="1041">
        <v>5</v>
      </c>
      <c r="D284" s="727"/>
      <c r="E284" s="728"/>
      <c r="F284" s="728"/>
      <c r="G284" s="728"/>
      <c r="H284" s="728"/>
      <c r="I284" s="704"/>
      <c r="J284" s="703"/>
      <c r="K284" s="703"/>
      <c r="L284" s="703"/>
      <c r="M284" s="703"/>
      <c r="N284" s="703"/>
      <c r="O284" s="703"/>
      <c r="P284" s="703"/>
      <c r="Q284" s="703"/>
      <c r="R284" s="703"/>
      <c r="S284" s="703"/>
    </row>
    <row r="285" spans="1:19">
      <c r="A285" s="729" t="s">
        <v>1354</v>
      </c>
      <c r="B285" s="1038">
        <f>B284-0.2</f>
        <v>3.3</v>
      </c>
      <c r="C285" s="1038">
        <f>C284-0.2</f>
        <v>4.8</v>
      </c>
      <c r="D285" s="729"/>
      <c r="E285" s="729"/>
      <c r="F285" s="729"/>
      <c r="G285" s="729"/>
      <c r="H285" s="729"/>
      <c r="I285" s="704"/>
      <c r="J285" s="703"/>
      <c r="K285" s="703"/>
      <c r="L285" s="703"/>
      <c r="M285" s="703"/>
      <c r="N285" s="703"/>
      <c r="O285" s="703"/>
      <c r="P285" s="703"/>
      <c r="Q285" s="703"/>
      <c r="R285" s="703"/>
      <c r="S285" s="703"/>
    </row>
    <row r="286" spans="1:19">
      <c r="A286" s="730" t="s">
        <v>1355</v>
      </c>
      <c r="B286" s="1040"/>
      <c r="C286" s="1039">
        <f>B285*C285</f>
        <v>15.839999999999998</v>
      </c>
      <c r="D286" s="730"/>
      <c r="E286" s="729"/>
      <c r="F286" s="729"/>
      <c r="G286" s="729"/>
      <c r="H286" s="729"/>
      <c r="I286" s="704"/>
      <c r="J286" s="703"/>
      <c r="K286" s="703"/>
      <c r="L286" s="703"/>
      <c r="M286" s="703"/>
      <c r="N286" s="703"/>
      <c r="O286" s="703"/>
      <c r="P286" s="703"/>
      <c r="Q286" s="703"/>
      <c r="R286" s="703"/>
      <c r="S286" s="703"/>
    </row>
    <row r="287" spans="1:19">
      <c r="A287" s="731" t="s">
        <v>1356</v>
      </c>
      <c r="B287" s="732" t="s">
        <v>1357</v>
      </c>
      <c r="C287" s="732" t="s">
        <v>1358</v>
      </c>
      <c r="D287" s="732" t="s">
        <v>1359</v>
      </c>
      <c r="E287" s="732" t="s">
        <v>1360</v>
      </c>
      <c r="F287" s="732" t="s">
        <v>1361</v>
      </c>
      <c r="G287" s="732" t="s">
        <v>1362</v>
      </c>
      <c r="H287" s="732" t="s">
        <v>1363</v>
      </c>
      <c r="I287" s="704"/>
      <c r="J287" s="703"/>
      <c r="K287" s="703"/>
      <c r="L287" s="703"/>
      <c r="M287" s="703"/>
      <c r="N287" s="703"/>
      <c r="O287" s="703"/>
      <c r="P287" s="703"/>
      <c r="Q287" s="703"/>
      <c r="R287" s="703"/>
      <c r="S287" s="703"/>
    </row>
    <row r="288" spans="1:19">
      <c r="A288" s="733" t="s">
        <v>2190</v>
      </c>
      <c r="B288" s="1167">
        <f>Wohnungsausnutzung!AY$173</f>
        <v>22.274999999999999</v>
      </c>
      <c r="C288" s="1167">
        <f>Wohnungsausnutzung!AZ$173</f>
        <v>26.805</v>
      </c>
      <c r="D288" s="1167">
        <f>Wohnungsausnutzung!BA$173</f>
        <v>41.76</v>
      </c>
      <c r="E288" s="1167">
        <f>Wohnungsausnutzung!BB$173</f>
        <v>54.84</v>
      </c>
      <c r="F288" s="1167">
        <f>Wohnungsausnutzung!BC$173</f>
        <v>60.05</v>
      </c>
      <c r="G288" s="1167">
        <f>Wohnungsausnutzung!BD$173</f>
        <v>82.95</v>
      </c>
      <c r="H288" s="1167">
        <f>Wohnungsausnutzung!BE$173</f>
        <v>108.36</v>
      </c>
      <c r="I288" s="704"/>
      <c r="J288" s="703"/>
      <c r="K288" s="703"/>
      <c r="L288" s="703"/>
      <c r="M288" s="703"/>
      <c r="N288" s="703"/>
      <c r="O288" s="703"/>
      <c r="P288" s="703"/>
      <c r="Q288" s="703"/>
      <c r="R288" s="703"/>
      <c r="S288" s="703"/>
    </row>
    <row r="289" spans="1:19">
      <c r="A289" s="733" t="s">
        <v>2191</v>
      </c>
      <c r="B289" s="1168">
        <f>Wohnungsausnutzung!AY171</f>
        <v>3</v>
      </c>
      <c r="C289" s="1168">
        <f>Wohnungsausnutzung!BA171</f>
        <v>3</v>
      </c>
      <c r="D289" s="1168">
        <f>Wohnungsausnutzung!BC171</f>
        <v>4</v>
      </c>
      <c r="E289" s="1168">
        <f>Wohnungsausnutzung!BE171</f>
        <v>7</v>
      </c>
      <c r="F289" s="1168">
        <f>Wohnungsausnutzung!BG171</f>
        <v>7</v>
      </c>
      <c r="G289" s="1168">
        <f>Wohnungsausnutzung!BI171</f>
        <v>10</v>
      </c>
      <c r="H289" s="1168">
        <f>Wohnungsausnutzung!BK171</f>
        <v>11</v>
      </c>
      <c r="I289" s="704"/>
      <c r="J289" s="703"/>
      <c r="K289" s="703"/>
      <c r="L289" s="703"/>
      <c r="M289" s="703"/>
      <c r="N289" s="703"/>
      <c r="O289" s="703"/>
      <c r="P289" s="703"/>
      <c r="Q289" s="703"/>
      <c r="R289" s="703"/>
      <c r="S289" s="703"/>
    </row>
    <row r="290" spans="1:19">
      <c r="A290" s="733" t="s">
        <v>2192</v>
      </c>
      <c r="B290" s="1169">
        <f t="shared" ref="B290:H290" si="69">B288/(B289*$C286)</f>
        <v>0.46875</v>
      </c>
      <c r="C290" s="1169">
        <f t="shared" si="69"/>
        <v>0.56407828282828287</v>
      </c>
      <c r="D290" s="1169">
        <f t="shared" si="69"/>
        <v>0.65909090909090917</v>
      </c>
      <c r="E290" s="1169">
        <f t="shared" si="69"/>
        <v>0.49458874458874469</v>
      </c>
      <c r="F290" s="1169">
        <f t="shared" si="69"/>
        <v>0.5415764790764791</v>
      </c>
      <c r="G290" s="1169">
        <f t="shared" si="69"/>
        <v>0.52367424242424254</v>
      </c>
      <c r="H290" s="1169">
        <f t="shared" si="69"/>
        <v>0.62190082644628109</v>
      </c>
      <c r="I290" s="704"/>
      <c r="J290" s="703"/>
      <c r="K290" s="703"/>
      <c r="L290" s="703"/>
      <c r="M290" s="703"/>
      <c r="N290" s="703"/>
      <c r="O290" s="703"/>
      <c r="P290" s="703"/>
      <c r="Q290" s="703"/>
      <c r="R290" s="703"/>
      <c r="S290" s="703"/>
    </row>
    <row r="291" spans="1:19">
      <c r="A291" s="724"/>
      <c r="B291" s="735"/>
      <c r="C291" s="703"/>
      <c r="D291" s="703"/>
      <c r="E291" s="703"/>
      <c r="F291" s="703"/>
      <c r="G291" s="703"/>
      <c r="H291" s="703"/>
      <c r="I291" s="704"/>
      <c r="J291" s="703"/>
      <c r="K291" s="703"/>
      <c r="L291" s="703"/>
      <c r="M291" s="703"/>
      <c r="N291" s="703"/>
      <c r="O291" s="703"/>
      <c r="P291" s="703"/>
      <c r="Q291" s="703"/>
      <c r="R291" s="703"/>
      <c r="S291" s="703"/>
    </row>
    <row r="292" spans="1:19">
      <c r="A292" s="727" t="s">
        <v>1275</v>
      </c>
      <c r="B292" s="1041">
        <v>3.5</v>
      </c>
      <c r="C292" s="1041">
        <v>5.3</v>
      </c>
      <c r="D292" s="727"/>
      <c r="E292" s="728"/>
      <c r="F292" s="728"/>
      <c r="G292" s="728"/>
      <c r="H292" s="728"/>
      <c r="I292" s="704"/>
      <c r="J292" s="703"/>
      <c r="K292" s="703"/>
      <c r="L292" s="703"/>
      <c r="M292" s="703"/>
      <c r="N292" s="703"/>
      <c r="O292" s="703"/>
      <c r="P292" s="703"/>
      <c r="Q292" s="703"/>
      <c r="R292" s="703"/>
      <c r="S292" s="703"/>
    </row>
    <row r="293" spans="1:19">
      <c r="A293" s="729" t="s">
        <v>1354</v>
      </c>
      <c r="B293" s="1038">
        <f>B292-0.2</f>
        <v>3.3</v>
      </c>
      <c r="C293" s="1038">
        <f>C292-0.2</f>
        <v>5.0999999999999996</v>
      </c>
      <c r="D293" s="729"/>
      <c r="E293" s="729"/>
      <c r="F293" s="729"/>
      <c r="G293" s="729"/>
      <c r="H293" s="729"/>
      <c r="I293" s="704"/>
      <c r="J293" s="703"/>
      <c r="K293" s="703"/>
      <c r="L293" s="703"/>
      <c r="M293" s="703"/>
      <c r="N293" s="703"/>
      <c r="O293" s="703"/>
      <c r="P293" s="703"/>
      <c r="Q293" s="703"/>
      <c r="R293" s="703"/>
      <c r="S293" s="703"/>
    </row>
    <row r="294" spans="1:19">
      <c r="A294" s="730" t="s">
        <v>1355</v>
      </c>
      <c r="B294" s="1040"/>
      <c r="C294" s="1039">
        <f>B293*C293</f>
        <v>16.829999999999998</v>
      </c>
      <c r="D294" s="730"/>
      <c r="E294" s="729"/>
      <c r="F294" s="729"/>
      <c r="G294" s="729"/>
      <c r="H294" s="729"/>
      <c r="I294" s="704"/>
      <c r="J294" s="703"/>
      <c r="K294" s="703"/>
      <c r="L294" s="703"/>
      <c r="M294" s="703"/>
      <c r="N294" s="703"/>
      <c r="O294" s="703"/>
      <c r="P294" s="703"/>
      <c r="Q294" s="703"/>
      <c r="R294" s="703"/>
      <c r="S294" s="703"/>
    </row>
    <row r="295" spans="1:19">
      <c r="A295" s="731" t="s">
        <v>1356</v>
      </c>
      <c r="B295" s="732" t="s">
        <v>1357</v>
      </c>
      <c r="C295" s="732" t="s">
        <v>1358</v>
      </c>
      <c r="D295" s="732" t="s">
        <v>1359</v>
      </c>
      <c r="E295" s="732" t="s">
        <v>1360</v>
      </c>
      <c r="F295" s="732" t="s">
        <v>1361</v>
      </c>
      <c r="G295" s="732" t="s">
        <v>1362</v>
      </c>
      <c r="H295" s="732" t="s">
        <v>1363</v>
      </c>
      <c r="I295" s="704"/>
      <c r="J295" s="703"/>
      <c r="K295" s="703"/>
      <c r="L295" s="703"/>
      <c r="M295" s="703"/>
      <c r="N295" s="703"/>
      <c r="O295" s="703"/>
      <c r="P295" s="703"/>
      <c r="Q295" s="703"/>
      <c r="R295" s="703"/>
      <c r="S295" s="703"/>
    </row>
    <row r="296" spans="1:19">
      <c r="A296" s="733" t="s">
        <v>2190</v>
      </c>
      <c r="B296" s="1167">
        <f>Wohnungsausnutzung!BO$173</f>
        <v>22.274999999999999</v>
      </c>
      <c r="C296" s="1167">
        <f>Wohnungsausnutzung!BP$173</f>
        <v>26.805</v>
      </c>
      <c r="D296" s="1167">
        <f>Wohnungsausnutzung!BQ$173</f>
        <v>41.76</v>
      </c>
      <c r="E296" s="1167">
        <f>Wohnungsausnutzung!BR$173</f>
        <v>54.84</v>
      </c>
      <c r="F296" s="1167">
        <f>Wohnungsausnutzung!BS$173</f>
        <v>60.05</v>
      </c>
      <c r="G296" s="1167">
        <f>Wohnungsausnutzung!BT$173</f>
        <v>82.95</v>
      </c>
      <c r="H296" s="1167">
        <f>Wohnungsausnutzung!BU$173</f>
        <v>92.52</v>
      </c>
      <c r="I296" s="704"/>
      <c r="J296" s="703"/>
      <c r="K296" s="703"/>
      <c r="L296" s="703"/>
      <c r="M296" s="703"/>
      <c r="N296" s="703"/>
      <c r="O296" s="703"/>
      <c r="P296" s="703"/>
      <c r="Q296" s="703"/>
      <c r="R296" s="703"/>
      <c r="S296" s="703"/>
    </row>
    <row r="297" spans="1:19">
      <c r="A297" s="733" t="s">
        <v>2191</v>
      </c>
      <c r="B297" s="1168">
        <f>Wohnungsausnutzung!BO171</f>
        <v>3</v>
      </c>
      <c r="C297" s="1168">
        <f>Wohnungsausnutzung!BQ171</f>
        <v>3</v>
      </c>
      <c r="D297" s="1168">
        <f>Wohnungsausnutzung!BS171</f>
        <v>4</v>
      </c>
      <c r="E297" s="1168">
        <f>Wohnungsausnutzung!BU171</f>
        <v>6</v>
      </c>
      <c r="F297" s="1168">
        <f>Wohnungsausnutzung!BW171</f>
        <v>6</v>
      </c>
      <c r="G297" s="1168">
        <f>Wohnungsausnutzung!BY171</f>
        <v>7</v>
      </c>
      <c r="H297" s="1168">
        <f>Wohnungsausnutzung!CA171</f>
        <v>9</v>
      </c>
      <c r="I297" s="704"/>
      <c r="J297" s="703"/>
      <c r="K297" s="703"/>
      <c r="L297" s="703"/>
      <c r="M297" s="703"/>
      <c r="N297" s="703"/>
      <c r="O297" s="703"/>
      <c r="P297" s="703"/>
      <c r="Q297" s="703"/>
      <c r="R297" s="703"/>
      <c r="S297" s="703"/>
    </row>
    <row r="298" spans="1:19">
      <c r="A298" s="733" t="s">
        <v>2192</v>
      </c>
      <c r="B298" s="1169">
        <f t="shared" ref="B298:H298" si="70">B296/(B297*$C294)</f>
        <v>0.44117647058823534</v>
      </c>
      <c r="C298" s="1169">
        <f t="shared" si="70"/>
        <v>0.53089720736779566</v>
      </c>
      <c r="D298" s="1169">
        <f t="shared" si="70"/>
        <v>0.6203208556149733</v>
      </c>
      <c r="E298" s="1169">
        <f t="shared" si="70"/>
        <v>0.5430778371954843</v>
      </c>
      <c r="F298" s="1169">
        <f t="shared" si="70"/>
        <v>0.59467221231927114</v>
      </c>
      <c r="G298" s="1169">
        <f t="shared" si="70"/>
        <v>0.70409982174688068</v>
      </c>
      <c r="H298" s="1169">
        <f t="shared" si="70"/>
        <v>0.61081402257872852</v>
      </c>
      <c r="I298" s="704"/>
      <c r="J298" s="703"/>
      <c r="K298" s="703"/>
      <c r="L298" s="703"/>
      <c r="M298" s="703"/>
      <c r="N298" s="703"/>
      <c r="O298" s="703"/>
      <c r="P298" s="703"/>
      <c r="Q298" s="703"/>
      <c r="R298" s="703"/>
      <c r="S298" s="703"/>
    </row>
    <row r="299" spans="1:19">
      <c r="A299" s="737"/>
      <c r="B299" s="738"/>
      <c r="C299" s="738"/>
      <c r="D299" s="738"/>
      <c r="E299" s="738"/>
      <c r="F299" s="738"/>
      <c r="G299" s="738"/>
      <c r="H299" s="703"/>
      <c r="I299" s="704"/>
      <c r="J299" s="703"/>
      <c r="K299" s="703"/>
      <c r="L299" s="703"/>
      <c r="M299" s="703"/>
      <c r="N299" s="703"/>
      <c r="O299" s="703"/>
      <c r="P299" s="703"/>
      <c r="Q299" s="703"/>
      <c r="R299" s="703"/>
      <c r="S299" s="703"/>
    </row>
    <row r="300" spans="1:19">
      <c r="A300" s="727" t="s">
        <v>1275</v>
      </c>
      <c r="B300" s="1041">
        <v>3.5</v>
      </c>
      <c r="C300" s="1041">
        <v>5.7</v>
      </c>
      <c r="D300" s="727"/>
      <c r="E300" s="728"/>
      <c r="F300" s="728"/>
      <c r="G300" s="728"/>
      <c r="H300" s="728"/>
      <c r="I300" s="704"/>
      <c r="J300" s="703"/>
      <c r="K300" s="703"/>
      <c r="L300" s="703"/>
      <c r="M300" s="703"/>
      <c r="N300" s="703"/>
      <c r="O300" s="703"/>
      <c r="P300" s="703"/>
      <c r="Q300" s="703"/>
      <c r="R300" s="703"/>
      <c r="S300" s="703"/>
    </row>
    <row r="301" spans="1:19">
      <c r="A301" s="729" t="s">
        <v>1354</v>
      </c>
      <c r="B301" s="1038">
        <f>B300-0.2</f>
        <v>3.3</v>
      </c>
      <c r="C301" s="1038">
        <f>C300-0.2</f>
        <v>5.5</v>
      </c>
      <c r="D301" s="729"/>
      <c r="E301" s="729"/>
      <c r="F301" s="729"/>
      <c r="G301" s="729"/>
      <c r="H301" s="729"/>
      <c r="I301" s="704"/>
      <c r="J301" s="703"/>
      <c r="K301" s="703"/>
      <c r="L301" s="703"/>
      <c r="M301" s="703"/>
      <c r="N301" s="703"/>
      <c r="O301" s="703"/>
      <c r="P301" s="703"/>
      <c r="Q301" s="703"/>
      <c r="R301" s="703"/>
      <c r="S301" s="703"/>
    </row>
    <row r="302" spans="1:19">
      <c r="A302" s="730" t="s">
        <v>1355</v>
      </c>
      <c r="B302" s="1040"/>
      <c r="C302" s="1039">
        <f>B301*C301</f>
        <v>18.149999999999999</v>
      </c>
      <c r="D302" s="730"/>
      <c r="E302" s="729"/>
      <c r="F302" s="729"/>
      <c r="G302" s="729"/>
      <c r="H302" s="729"/>
      <c r="I302" s="704"/>
      <c r="J302" s="703"/>
      <c r="K302" s="703"/>
      <c r="L302" s="703"/>
      <c r="M302" s="703"/>
      <c r="N302" s="703"/>
      <c r="O302" s="703"/>
      <c r="P302" s="703"/>
      <c r="Q302" s="703"/>
      <c r="R302" s="703"/>
      <c r="S302" s="703"/>
    </row>
    <row r="303" spans="1:19">
      <c r="A303" s="731" t="s">
        <v>1356</v>
      </c>
      <c r="B303" s="732" t="s">
        <v>1357</v>
      </c>
      <c r="C303" s="732" t="s">
        <v>1358</v>
      </c>
      <c r="D303" s="732" t="s">
        <v>1359</v>
      </c>
      <c r="E303" s="732" t="s">
        <v>1360</v>
      </c>
      <c r="F303" s="732" t="s">
        <v>1361</v>
      </c>
      <c r="G303" s="732" t="s">
        <v>1362</v>
      </c>
      <c r="H303" s="732" t="s">
        <v>1363</v>
      </c>
      <c r="I303" s="704"/>
      <c r="J303" s="703"/>
      <c r="K303" s="703"/>
      <c r="L303" s="703"/>
      <c r="M303" s="703"/>
      <c r="N303" s="703"/>
      <c r="O303" s="703"/>
      <c r="P303" s="703"/>
      <c r="Q303" s="703"/>
      <c r="R303" s="703"/>
      <c r="S303" s="703"/>
    </row>
    <row r="304" spans="1:19">
      <c r="A304" s="733" t="s">
        <v>2190</v>
      </c>
      <c r="B304" s="1167">
        <f>Wohnungsausnutzung!CE$173</f>
        <v>22.274999999999999</v>
      </c>
      <c r="C304" s="1167">
        <f>Wohnungsausnutzung!CF$173</f>
        <v>26.805</v>
      </c>
      <c r="D304" s="1167">
        <f>Wohnungsausnutzung!CG$173</f>
        <v>41.76</v>
      </c>
      <c r="E304" s="1167">
        <f>Wohnungsausnutzung!CH$173</f>
        <v>54.84</v>
      </c>
      <c r="F304" s="1167">
        <f>Wohnungsausnutzung!CI$173</f>
        <v>65.75</v>
      </c>
      <c r="G304" s="1167">
        <f>Wohnungsausnutzung!CJ$173</f>
        <v>82.95</v>
      </c>
      <c r="H304" s="1167">
        <f>Wohnungsausnutzung!CK$173</f>
        <v>92.52</v>
      </c>
      <c r="I304" s="704"/>
      <c r="J304" s="703"/>
      <c r="K304" s="703"/>
      <c r="L304" s="703"/>
      <c r="M304" s="703"/>
      <c r="N304" s="703"/>
      <c r="O304" s="703"/>
      <c r="P304" s="703"/>
      <c r="Q304" s="703"/>
      <c r="R304" s="703"/>
      <c r="S304" s="703"/>
    </row>
    <row r="305" spans="1:19">
      <c r="A305" s="733" t="s">
        <v>2191</v>
      </c>
      <c r="B305" s="1168">
        <f>Wohnungsausnutzung!CE171</f>
        <v>3</v>
      </c>
      <c r="C305" s="1168">
        <f>Wohnungsausnutzung!CG171</f>
        <v>3</v>
      </c>
      <c r="D305" s="1168">
        <f>Wohnungsausnutzung!CI171</f>
        <v>4</v>
      </c>
      <c r="E305" s="1168">
        <f>Wohnungsausnutzung!CK171</f>
        <v>6</v>
      </c>
      <c r="F305" s="1168">
        <f>Wohnungsausnutzung!CM171</f>
        <v>6</v>
      </c>
      <c r="G305" s="1168">
        <f>Wohnungsausnutzung!CO171</f>
        <v>7</v>
      </c>
      <c r="H305" s="1168">
        <f>Wohnungsausnutzung!CQ171</f>
        <v>8</v>
      </c>
      <c r="I305" s="704"/>
      <c r="J305" s="703"/>
      <c r="K305" s="703"/>
      <c r="L305" s="703"/>
      <c r="M305" s="703"/>
      <c r="N305" s="703"/>
      <c r="O305" s="703"/>
      <c r="P305" s="703"/>
      <c r="Q305" s="703"/>
      <c r="R305" s="703"/>
      <c r="S305" s="703"/>
    </row>
    <row r="306" spans="1:19">
      <c r="A306" s="733" t="s">
        <v>2192</v>
      </c>
      <c r="B306" s="1169">
        <f t="shared" ref="B306:H306" si="71">B304/(B305*$C302)</f>
        <v>0.40909090909090912</v>
      </c>
      <c r="C306" s="1169">
        <f t="shared" si="71"/>
        <v>0.49228650137741048</v>
      </c>
      <c r="D306" s="1169">
        <f t="shared" si="71"/>
        <v>0.57520661157024799</v>
      </c>
      <c r="E306" s="1169">
        <f t="shared" si="71"/>
        <v>0.50358126721763097</v>
      </c>
      <c r="F306" s="1169">
        <f t="shared" si="71"/>
        <v>0.60376492194674014</v>
      </c>
      <c r="G306" s="1169">
        <f t="shared" si="71"/>
        <v>0.65289256198347123</v>
      </c>
      <c r="H306" s="1169">
        <f t="shared" si="71"/>
        <v>0.63719008264462818</v>
      </c>
      <c r="I306" s="704"/>
      <c r="J306" s="703"/>
      <c r="K306" s="703"/>
      <c r="L306" s="703"/>
      <c r="M306" s="703"/>
      <c r="N306" s="703"/>
      <c r="O306" s="703"/>
      <c r="P306" s="703"/>
      <c r="Q306" s="703"/>
      <c r="R306" s="703"/>
      <c r="S306" s="703"/>
    </row>
    <row r="307" spans="1:19">
      <c r="A307" s="703"/>
      <c r="B307" s="703"/>
      <c r="C307" s="703"/>
      <c r="D307" s="703"/>
      <c r="E307" s="703"/>
      <c r="F307" s="703"/>
      <c r="G307" s="703"/>
      <c r="H307" s="703"/>
      <c r="I307" s="704"/>
      <c r="J307" s="703"/>
      <c r="K307" s="703"/>
      <c r="L307" s="703"/>
      <c r="M307" s="703"/>
      <c r="N307" s="703"/>
      <c r="O307" s="703"/>
      <c r="P307" s="703"/>
      <c r="Q307" s="703"/>
      <c r="R307" s="703"/>
      <c r="S307" s="703"/>
    </row>
    <row r="308" spans="1:19">
      <c r="A308" s="727" t="s">
        <v>1275</v>
      </c>
      <c r="B308" s="1041">
        <v>3.5</v>
      </c>
      <c r="C308" s="1041">
        <v>6</v>
      </c>
      <c r="D308" s="727"/>
      <c r="E308" s="728"/>
      <c r="F308" s="728"/>
      <c r="G308" s="728"/>
      <c r="H308" s="728"/>
      <c r="I308" s="704"/>
      <c r="J308" s="703"/>
      <c r="K308" s="703"/>
      <c r="L308" s="703"/>
      <c r="M308" s="703"/>
      <c r="N308" s="703"/>
      <c r="O308" s="703"/>
      <c r="P308" s="703"/>
      <c r="Q308" s="703"/>
      <c r="R308" s="703"/>
      <c r="S308" s="703"/>
    </row>
    <row r="309" spans="1:19">
      <c r="A309" s="729" t="s">
        <v>1354</v>
      </c>
      <c r="B309" s="1038">
        <f>B308-0.2</f>
        <v>3.3</v>
      </c>
      <c r="C309" s="1038">
        <f>C308-0.2</f>
        <v>5.8</v>
      </c>
      <c r="D309" s="729"/>
      <c r="E309" s="729"/>
      <c r="F309" s="729"/>
      <c r="G309" s="729"/>
      <c r="H309" s="729"/>
      <c r="I309" s="704"/>
      <c r="J309" s="703"/>
      <c r="K309" s="703"/>
      <c r="L309" s="703"/>
      <c r="M309" s="703"/>
      <c r="N309" s="703"/>
      <c r="O309" s="703"/>
      <c r="P309" s="703"/>
      <c r="Q309" s="703"/>
      <c r="R309" s="703"/>
      <c r="S309" s="703"/>
    </row>
    <row r="310" spans="1:19">
      <c r="A310" s="730" t="s">
        <v>1355</v>
      </c>
      <c r="B310" s="1040"/>
      <c r="C310" s="1039">
        <f>B309*C309</f>
        <v>19.139999999999997</v>
      </c>
      <c r="D310" s="730"/>
      <c r="E310" s="729"/>
      <c r="F310" s="729"/>
      <c r="G310" s="729"/>
      <c r="H310" s="729"/>
      <c r="I310" s="704"/>
      <c r="J310" s="703"/>
      <c r="K310" s="703"/>
      <c r="L310" s="703"/>
      <c r="M310" s="703"/>
      <c r="N310" s="703"/>
      <c r="O310" s="703"/>
      <c r="P310" s="703"/>
      <c r="Q310" s="703"/>
      <c r="R310" s="703"/>
      <c r="S310" s="703"/>
    </row>
    <row r="311" spans="1:19">
      <c r="A311" s="731" t="s">
        <v>1356</v>
      </c>
      <c r="B311" s="732" t="s">
        <v>1357</v>
      </c>
      <c r="C311" s="732" t="s">
        <v>1358</v>
      </c>
      <c r="D311" s="732" t="s">
        <v>1359</v>
      </c>
      <c r="E311" s="732" t="s">
        <v>1360</v>
      </c>
      <c r="F311" s="732" t="s">
        <v>1361</v>
      </c>
      <c r="G311" s="732" t="s">
        <v>1362</v>
      </c>
      <c r="H311" s="732" t="s">
        <v>1363</v>
      </c>
      <c r="I311" s="704"/>
      <c r="J311" s="703"/>
      <c r="K311" s="703"/>
      <c r="L311" s="703"/>
      <c r="M311" s="703"/>
      <c r="N311" s="703"/>
      <c r="O311" s="703"/>
      <c r="P311" s="703"/>
      <c r="Q311" s="703"/>
      <c r="R311" s="703"/>
      <c r="S311" s="703"/>
    </row>
    <row r="312" spans="1:19">
      <c r="A312" s="733" t="s">
        <v>2190</v>
      </c>
      <c r="B312" s="1167">
        <f>Wohnungsausnutzung!CU$173</f>
        <v>22.274999999999999</v>
      </c>
      <c r="C312" s="1167">
        <f>Wohnungsausnutzung!CV$173</f>
        <v>26.805</v>
      </c>
      <c r="D312" s="1167">
        <f>Wohnungsausnutzung!CW$173</f>
        <v>41.76</v>
      </c>
      <c r="E312" s="1167">
        <f>Wohnungsausnutzung!CX$173</f>
        <v>54.84</v>
      </c>
      <c r="F312" s="1167">
        <f>Wohnungsausnutzung!CY$173</f>
        <v>65.75</v>
      </c>
      <c r="G312" s="1167">
        <f>Wohnungsausnutzung!CZ$173</f>
        <v>82.95</v>
      </c>
      <c r="H312" s="1167">
        <f>Wohnungsausnutzung!DA$173</f>
        <v>92.52</v>
      </c>
      <c r="I312" s="704"/>
      <c r="J312" s="703"/>
      <c r="K312" s="703"/>
      <c r="L312" s="703"/>
      <c r="M312" s="703"/>
      <c r="N312" s="703"/>
      <c r="O312" s="703"/>
      <c r="P312" s="703"/>
      <c r="Q312" s="703"/>
      <c r="R312" s="703"/>
      <c r="S312" s="703"/>
    </row>
    <row r="313" spans="1:19">
      <c r="A313" s="733" t="s">
        <v>2191</v>
      </c>
      <c r="B313" s="1168">
        <f>Wohnungsausnutzung!CU171</f>
        <v>3</v>
      </c>
      <c r="C313" s="1168">
        <f>Wohnungsausnutzung!CW171</f>
        <v>3</v>
      </c>
      <c r="D313" s="1168">
        <f>Wohnungsausnutzung!CY171</f>
        <v>4</v>
      </c>
      <c r="E313" s="1168">
        <f>Wohnungsausnutzung!DA171</f>
        <v>5</v>
      </c>
      <c r="F313" s="1168">
        <f>Wohnungsausnutzung!DC171</f>
        <v>6</v>
      </c>
      <c r="G313" s="1168">
        <f>Wohnungsausnutzung!DE171</f>
        <v>7</v>
      </c>
      <c r="H313" s="1168">
        <f>Wohnungsausnutzung!DG171</f>
        <v>8</v>
      </c>
      <c r="I313" s="704"/>
      <c r="J313" s="703"/>
      <c r="K313" s="703"/>
      <c r="L313" s="703"/>
      <c r="M313" s="703"/>
      <c r="N313" s="703"/>
      <c r="O313" s="703"/>
      <c r="P313" s="703"/>
      <c r="Q313" s="703"/>
      <c r="R313" s="703"/>
      <c r="S313" s="703"/>
    </row>
    <row r="314" spans="1:19">
      <c r="A314" s="733" t="s">
        <v>2192</v>
      </c>
      <c r="B314" s="1169">
        <f t="shared" ref="B314:H314" si="72">B312/(B313*$C310)</f>
        <v>0.38793103448275867</v>
      </c>
      <c r="C314" s="1169">
        <f t="shared" si="72"/>
        <v>0.46682340647857901</v>
      </c>
      <c r="D314" s="1169">
        <f t="shared" si="72"/>
        <v>0.54545454545454553</v>
      </c>
      <c r="E314" s="1169">
        <f t="shared" si="72"/>
        <v>0.5730407523510973</v>
      </c>
      <c r="F314" s="1169">
        <f t="shared" si="72"/>
        <v>0.57253570184604685</v>
      </c>
      <c r="G314" s="1169">
        <f t="shared" si="72"/>
        <v>0.6191222570532916</v>
      </c>
      <c r="H314" s="1169">
        <f t="shared" si="72"/>
        <v>0.60423197492163017</v>
      </c>
      <c r="I314" s="704"/>
      <c r="J314" s="703"/>
      <c r="K314" s="703"/>
      <c r="L314" s="703"/>
      <c r="M314" s="703"/>
      <c r="N314" s="703"/>
      <c r="O314" s="703"/>
      <c r="P314" s="703"/>
      <c r="Q314" s="703"/>
      <c r="R314" s="703"/>
      <c r="S314" s="703"/>
    </row>
    <row r="315" spans="1:19">
      <c r="A315" s="703"/>
      <c r="B315" s="703"/>
      <c r="C315" s="703"/>
      <c r="D315" s="703"/>
      <c r="E315" s="703"/>
      <c r="F315" s="703"/>
      <c r="G315" s="703"/>
      <c r="H315" s="703"/>
      <c r="I315" s="704"/>
      <c r="J315" s="703"/>
      <c r="K315" s="703"/>
      <c r="L315" s="703"/>
      <c r="M315" s="703"/>
      <c r="N315" s="703"/>
      <c r="O315" s="703"/>
      <c r="P315" s="703"/>
      <c r="Q315" s="703"/>
      <c r="R315" s="703"/>
      <c r="S315" s="703"/>
    </row>
    <row r="316" spans="1:19">
      <c r="A316" s="727" t="s">
        <v>1275</v>
      </c>
      <c r="B316" s="1041">
        <v>4</v>
      </c>
      <c r="C316" s="1041">
        <v>4.5</v>
      </c>
      <c r="D316" s="727"/>
      <c r="E316" s="728"/>
      <c r="F316" s="728"/>
      <c r="G316" s="728"/>
      <c r="H316" s="728"/>
      <c r="I316" s="704"/>
      <c r="J316" s="703"/>
      <c r="K316" s="703"/>
      <c r="L316" s="703"/>
      <c r="M316" s="703"/>
      <c r="N316" s="703"/>
      <c r="O316" s="703"/>
      <c r="P316" s="703"/>
      <c r="Q316" s="703"/>
      <c r="R316" s="703"/>
      <c r="S316" s="703"/>
    </row>
    <row r="317" spans="1:19">
      <c r="A317" s="729" t="s">
        <v>1354</v>
      </c>
      <c r="B317" s="1038">
        <f>B316-0.2</f>
        <v>3.8</v>
      </c>
      <c r="C317" s="1038">
        <f>C316-0.2</f>
        <v>4.3</v>
      </c>
      <c r="D317" s="729"/>
      <c r="E317" s="729"/>
      <c r="F317" s="729"/>
      <c r="G317" s="729"/>
      <c r="H317" s="729"/>
      <c r="I317" s="704"/>
      <c r="J317" s="703"/>
      <c r="K317" s="703"/>
      <c r="L317" s="703"/>
      <c r="M317" s="703"/>
      <c r="N317" s="703"/>
      <c r="O317" s="703"/>
      <c r="P317" s="703"/>
      <c r="Q317" s="703"/>
      <c r="R317" s="703"/>
      <c r="S317" s="703"/>
    </row>
    <row r="318" spans="1:19">
      <c r="A318" s="730" t="s">
        <v>1355</v>
      </c>
      <c r="B318" s="1040"/>
      <c r="C318" s="1039">
        <f>B317*C317</f>
        <v>16.34</v>
      </c>
      <c r="D318" s="730"/>
      <c r="E318" s="729"/>
      <c r="F318" s="729"/>
      <c r="G318" s="729"/>
      <c r="H318" s="729"/>
      <c r="I318" s="704"/>
      <c r="J318" s="703"/>
      <c r="K318" s="703"/>
      <c r="L318" s="703"/>
      <c r="M318" s="703"/>
      <c r="N318" s="703"/>
      <c r="O318" s="703"/>
      <c r="P318" s="703"/>
      <c r="Q318" s="703"/>
      <c r="R318" s="703"/>
      <c r="S318" s="703"/>
    </row>
    <row r="319" spans="1:19">
      <c r="A319" s="731" t="s">
        <v>1356</v>
      </c>
      <c r="B319" s="732" t="s">
        <v>1357</v>
      </c>
      <c r="C319" s="732" t="s">
        <v>1358</v>
      </c>
      <c r="D319" s="732" t="s">
        <v>1359</v>
      </c>
      <c r="E319" s="732" t="s">
        <v>1360</v>
      </c>
      <c r="F319" s="732" t="s">
        <v>1361</v>
      </c>
      <c r="G319" s="732" t="s">
        <v>1362</v>
      </c>
      <c r="H319" s="732" t="s">
        <v>1363</v>
      </c>
      <c r="I319" s="704"/>
      <c r="J319" s="703"/>
      <c r="K319" s="703"/>
      <c r="L319" s="703"/>
      <c r="M319" s="703"/>
      <c r="N319" s="703"/>
      <c r="O319" s="703"/>
      <c r="P319" s="703"/>
      <c r="Q319" s="703"/>
      <c r="R319" s="703"/>
      <c r="S319" s="703"/>
    </row>
    <row r="320" spans="1:19">
      <c r="A320" s="733" t="s">
        <v>2190</v>
      </c>
      <c r="B320" s="1167">
        <f>Wohnungsausnutzung!S$216</f>
        <v>22.274999999999999</v>
      </c>
      <c r="C320" s="1167">
        <f>Wohnungsausnutzung!T$216</f>
        <v>26.805</v>
      </c>
      <c r="D320" s="1167">
        <f>Wohnungsausnutzung!U$216</f>
        <v>47.519999999999996</v>
      </c>
      <c r="E320" s="1167">
        <f>Wohnungsausnutzung!V$216</f>
        <v>54.84</v>
      </c>
      <c r="F320" s="1167">
        <f>Wohnungsausnutzung!W$216</f>
        <v>65.75</v>
      </c>
      <c r="G320" s="1167">
        <f>Wohnungsausnutzung!X$216</f>
        <v>82.95</v>
      </c>
      <c r="H320" s="1167">
        <f>Wohnungsausnutzung!Y$216</f>
        <v>108.86</v>
      </c>
      <c r="I320" s="704"/>
      <c r="J320" s="703"/>
      <c r="K320" s="703"/>
      <c r="L320" s="703"/>
      <c r="M320" s="703"/>
      <c r="N320" s="703"/>
      <c r="O320" s="703"/>
      <c r="P320" s="703"/>
      <c r="Q320" s="703"/>
      <c r="R320" s="703"/>
      <c r="S320" s="703"/>
    </row>
    <row r="321" spans="1:19">
      <c r="A321" s="733" t="s">
        <v>2191</v>
      </c>
      <c r="B321" s="1168">
        <f>Wohnungsausnutzung!S214</f>
        <v>3</v>
      </c>
      <c r="C321" s="1168">
        <f>Wohnungsausnutzung!U214</f>
        <v>3</v>
      </c>
      <c r="D321" s="1168">
        <f>Wohnungsausnutzung!W214</f>
        <v>4</v>
      </c>
      <c r="E321" s="1168">
        <f>Wohnungsausnutzung!Y214</f>
        <v>6</v>
      </c>
      <c r="F321" s="1168">
        <f>Wohnungsausnutzung!AA214</f>
        <v>7</v>
      </c>
      <c r="G321" s="1168">
        <f>Wohnungsausnutzung!AC214</f>
        <v>8</v>
      </c>
      <c r="H321" s="1168">
        <f>Wohnungsausnutzung!AE214</f>
        <v>10</v>
      </c>
      <c r="I321" s="704"/>
      <c r="J321" s="703"/>
      <c r="K321" s="703"/>
      <c r="L321" s="703"/>
      <c r="M321" s="703"/>
      <c r="N321" s="703"/>
      <c r="O321" s="703"/>
      <c r="P321" s="703"/>
      <c r="Q321" s="703"/>
      <c r="R321" s="703"/>
      <c r="S321" s="703"/>
    </row>
    <row r="322" spans="1:19">
      <c r="A322" s="733" t="s">
        <v>2192</v>
      </c>
      <c r="B322" s="1169">
        <f t="shared" ref="B322:H322" si="73">B320/(B321*$C318)</f>
        <v>0.45440636474908203</v>
      </c>
      <c r="C322" s="1169">
        <f t="shared" si="73"/>
        <v>0.54681762545899637</v>
      </c>
      <c r="D322" s="1169">
        <f t="shared" si="73"/>
        <v>0.72705018359853113</v>
      </c>
      <c r="E322" s="1169">
        <f t="shared" si="73"/>
        <v>0.55936352509179932</v>
      </c>
      <c r="F322" s="1169">
        <f t="shared" si="73"/>
        <v>0.57483825843678971</v>
      </c>
      <c r="G322" s="1169">
        <f t="shared" si="73"/>
        <v>0.63456242350061198</v>
      </c>
      <c r="H322" s="1169">
        <f t="shared" si="73"/>
        <v>0.66621787025703794</v>
      </c>
      <c r="I322" s="704"/>
      <c r="J322" s="703"/>
      <c r="K322" s="703"/>
      <c r="L322" s="703"/>
      <c r="M322" s="703"/>
      <c r="N322" s="703"/>
      <c r="O322" s="703"/>
      <c r="P322" s="703"/>
      <c r="Q322" s="703"/>
      <c r="R322" s="703"/>
      <c r="S322" s="703"/>
    </row>
    <row r="323" spans="1:19">
      <c r="A323" s="737"/>
      <c r="B323" s="738"/>
      <c r="C323" s="738"/>
      <c r="D323" s="738"/>
      <c r="E323" s="738"/>
      <c r="F323" s="738"/>
      <c r="G323" s="738"/>
      <c r="H323" s="703"/>
      <c r="I323" s="704"/>
      <c r="J323" s="703"/>
      <c r="K323" s="703"/>
      <c r="L323" s="703"/>
      <c r="M323" s="703"/>
      <c r="N323" s="703"/>
      <c r="O323" s="703"/>
      <c r="P323" s="703"/>
      <c r="Q323" s="703"/>
      <c r="R323" s="703"/>
      <c r="S323" s="703"/>
    </row>
    <row r="324" spans="1:19">
      <c r="A324" s="727" t="s">
        <v>1275</v>
      </c>
      <c r="B324" s="1041">
        <v>4</v>
      </c>
      <c r="C324" s="1041">
        <v>5</v>
      </c>
      <c r="D324" s="727"/>
      <c r="E324" s="728"/>
      <c r="F324" s="728"/>
      <c r="G324" s="728"/>
      <c r="H324" s="728"/>
      <c r="I324" s="704"/>
      <c r="J324" s="703"/>
      <c r="K324" s="703"/>
      <c r="L324" s="703"/>
      <c r="M324" s="703"/>
      <c r="N324" s="703"/>
      <c r="O324" s="703"/>
      <c r="P324" s="703"/>
      <c r="Q324" s="703"/>
      <c r="R324" s="703"/>
      <c r="S324" s="703"/>
    </row>
    <row r="325" spans="1:19">
      <c r="A325" s="729" t="s">
        <v>1354</v>
      </c>
      <c r="B325" s="1038">
        <f>B324-0.2</f>
        <v>3.8</v>
      </c>
      <c r="C325" s="1038">
        <f>C324-0.2</f>
        <v>4.8</v>
      </c>
      <c r="D325" s="729"/>
      <c r="E325" s="729"/>
      <c r="F325" s="729"/>
      <c r="G325" s="729"/>
      <c r="H325" s="729"/>
      <c r="I325" s="704"/>
      <c r="J325" s="703"/>
      <c r="K325" s="703"/>
      <c r="L325" s="703"/>
      <c r="M325" s="703"/>
      <c r="N325" s="703"/>
      <c r="O325" s="703"/>
      <c r="P325" s="703"/>
      <c r="Q325" s="703"/>
      <c r="R325" s="703"/>
      <c r="S325" s="703"/>
    </row>
    <row r="326" spans="1:19">
      <c r="A326" s="730" t="s">
        <v>1355</v>
      </c>
      <c r="B326" s="1040"/>
      <c r="C326" s="1039">
        <f>B325*C325</f>
        <v>18.239999999999998</v>
      </c>
      <c r="D326" s="730"/>
      <c r="E326" s="729"/>
      <c r="F326" s="729"/>
      <c r="G326" s="729"/>
      <c r="H326" s="729"/>
      <c r="I326" s="704"/>
      <c r="J326" s="703"/>
      <c r="K326" s="703"/>
      <c r="L326" s="703"/>
      <c r="M326" s="703"/>
      <c r="N326" s="703"/>
      <c r="O326" s="703"/>
      <c r="P326" s="703"/>
      <c r="Q326" s="703"/>
      <c r="R326" s="703"/>
      <c r="S326" s="703"/>
    </row>
    <row r="327" spans="1:19">
      <c r="A327" s="731" t="s">
        <v>1356</v>
      </c>
      <c r="B327" s="732" t="s">
        <v>1357</v>
      </c>
      <c r="C327" s="732" t="s">
        <v>1358</v>
      </c>
      <c r="D327" s="732" t="s">
        <v>1359</v>
      </c>
      <c r="E327" s="732" t="s">
        <v>1360</v>
      </c>
      <c r="F327" s="732" t="s">
        <v>1361</v>
      </c>
      <c r="G327" s="732" t="s">
        <v>1362</v>
      </c>
      <c r="H327" s="732" t="s">
        <v>1363</v>
      </c>
      <c r="I327" s="704"/>
      <c r="J327" s="703"/>
      <c r="K327" s="703"/>
      <c r="L327" s="703"/>
      <c r="M327" s="703"/>
      <c r="N327" s="703"/>
      <c r="O327" s="703"/>
      <c r="P327" s="703"/>
      <c r="Q327" s="703"/>
      <c r="R327" s="703"/>
      <c r="S327" s="703"/>
    </row>
    <row r="328" spans="1:19">
      <c r="A328" s="733" t="s">
        <v>2190</v>
      </c>
      <c r="B328" s="1167">
        <f>Wohnungsausnutzung!AI$216</f>
        <v>22.274999999999999</v>
      </c>
      <c r="C328" s="1167">
        <f>Wohnungsausnutzung!AJ$216</f>
        <v>26.805</v>
      </c>
      <c r="D328" s="1167">
        <f>Wohnungsausnutzung!AK$216</f>
        <v>41.76</v>
      </c>
      <c r="E328" s="1167">
        <f>Wohnungsausnutzung!AL$216</f>
        <v>56.42</v>
      </c>
      <c r="F328" s="1167">
        <f>Wohnungsausnutzung!AM$216</f>
        <v>65.75</v>
      </c>
      <c r="G328" s="1167">
        <f>Wohnungsausnutzung!AN$216</f>
        <v>82.95</v>
      </c>
      <c r="H328" s="1167">
        <f>Wohnungsausnutzung!AO$216</f>
        <v>92.52</v>
      </c>
      <c r="I328" s="704"/>
      <c r="J328" s="703"/>
      <c r="K328" s="703"/>
      <c r="L328" s="703"/>
      <c r="M328" s="703"/>
      <c r="N328" s="703"/>
      <c r="O328" s="703"/>
      <c r="P328" s="703"/>
      <c r="Q328" s="703"/>
      <c r="R328" s="703"/>
      <c r="S328" s="703"/>
    </row>
    <row r="329" spans="1:19">
      <c r="A329" s="733" t="s">
        <v>2191</v>
      </c>
      <c r="B329" s="1168">
        <f>Wohnungsausnutzung!AI214</f>
        <v>3</v>
      </c>
      <c r="C329" s="1168">
        <f>Wohnungsausnutzung!AK214</f>
        <v>3</v>
      </c>
      <c r="D329" s="1168">
        <f>Wohnungsausnutzung!AM214</f>
        <v>4</v>
      </c>
      <c r="E329" s="1168">
        <f>Wohnungsausnutzung!AO214</f>
        <v>5</v>
      </c>
      <c r="F329" s="1168">
        <f>Wohnungsausnutzung!AQ214</f>
        <v>5</v>
      </c>
      <c r="G329" s="1168">
        <f>Wohnungsausnutzung!AS214</f>
        <v>7</v>
      </c>
      <c r="H329" s="1168">
        <f>Wohnungsausnutzung!AU214</f>
        <v>8</v>
      </c>
      <c r="I329" s="704"/>
      <c r="J329" s="703"/>
      <c r="K329" s="703"/>
      <c r="L329" s="703"/>
      <c r="M329" s="703"/>
      <c r="N329" s="703"/>
      <c r="O329" s="703"/>
      <c r="P329" s="703"/>
      <c r="Q329" s="703"/>
      <c r="R329" s="703"/>
      <c r="S329" s="703"/>
    </row>
    <row r="330" spans="1:19">
      <c r="A330" s="733" t="s">
        <v>2192</v>
      </c>
      <c r="B330" s="1169">
        <f t="shared" ref="B330:H330" si="74">B328/(B329*$C326)</f>
        <v>0.4070723684210526</v>
      </c>
      <c r="C330" s="1169">
        <f t="shared" si="74"/>
        <v>0.48985745614035087</v>
      </c>
      <c r="D330" s="1169">
        <f t="shared" si="74"/>
        <v>0.57236842105263164</v>
      </c>
      <c r="E330" s="1169">
        <f t="shared" si="74"/>
        <v>0.61864035087719305</v>
      </c>
      <c r="F330" s="1169">
        <f t="shared" si="74"/>
        <v>0.72094298245614041</v>
      </c>
      <c r="G330" s="1169">
        <f t="shared" si="74"/>
        <v>0.64967105263157898</v>
      </c>
      <c r="H330" s="1169">
        <f t="shared" si="74"/>
        <v>0.63404605263157898</v>
      </c>
      <c r="I330" s="704"/>
      <c r="J330" s="703"/>
      <c r="K330" s="703"/>
      <c r="L330" s="703"/>
      <c r="M330" s="703"/>
      <c r="N330" s="703"/>
      <c r="O330" s="703"/>
      <c r="P330" s="703"/>
      <c r="Q330" s="703"/>
      <c r="R330" s="703"/>
      <c r="S330" s="703"/>
    </row>
    <row r="331" spans="1:19">
      <c r="A331" s="724"/>
      <c r="B331" s="735"/>
      <c r="C331" s="703"/>
      <c r="D331" s="703"/>
      <c r="E331" s="703"/>
      <c r="F331" s="703"/>
      <c r="G331" s="703"/>
      <c r="H331" s="703"/>
      <c r="I331" s="704"/>
      <c r="J331" s="703"/>
      <c r="K331" s="703"/>
      <c r="L331" s="703"/>
      <c r="M331" s="703"/>
      <c r="N331" s="703"/>
      <c r="O331" s="703"/>
      <c r="P331" s="703"/>
      <c r="Q331" s="703"/>
      <c r="R331" s="703"/>
      <c r="S331" s="703"/>
    </row>
    <row r="332" spans="1:19">
      <c r="A332" s="727" t="s">
        <v>1275</v>
      </c>
      <c r="B332" s="1041">
        <v>4</v>
      </c>
      <c r="C332" s="1041">
        <v>5.3</v>
      </c>
      <c r="D332" s="727"/>
      <c r="E332" s="728"/>
      <c r="F332" s="728"/>
      <c r="G332" s="728"/>
      <c r="H332" s="728"/>
      <c r="I332" s="704"/>
      <c r="J332" s="703"/>
      <c r="K332" s="703"/>
      <c r="L332" s="703"/>
      <c r="M332" s="703"/>
      <c r="N332" s="703"/>
      <c r="O332" s="703"/>
      <c r="P332" s="703"/>
      <c r="Q332" s="703"/>
      <c r="R332" s="703"/>
      <c r="S332" s="703"/>
    </row>
    <row r="333" spans="1:19">
      <c r="A333" s="729" t="s">
        <v>1354</v>
      </c>
      <c r="B333" s="1038">
        <f>B332-0.2</f>
        <v>3.8</v>
      </c>
      <c r="C333" s="1038">
        <f>C332-0.2</f>
        <v>5.0999999999999996</v>
      </c>
      <c r="D333" s="729"/>
      <c r="E333" s="729"/>
      <c r="F333" s="729"/>
      <c r="G333" s="729"/>
      <c r="H333" s="729"/>
      <c r="I333" s="704"/>
      <c r="J333" s="703"/>
      <c r="K333" s="703"/>
      <c r="L333" s="703"/>
      <c r="M333" s="703"/>
      <c r="N333" s="703"/>
      <c r="O333" s="703"/>
      <c r="P333" s="703"/>
      <c r="Q333" s="703"/>
      <c r="R333" s="703"/>
      <c r="S333" s="703"/>
    </row>
    <row r="334" spans="1:19">
      <c r="A334" s="730" t="s">
        <v>1355</v>
      </c>
      <c r="B334" s="1040"/>
      <c r="C334" s="1039">
        <f>B333*C333</f>
        <v>19.38</v>
      </c>
      <c r="D334" s="730"/>
      <c r="E334" s="729"/>
      <c r="F334" s="729"/>
      <c r="G334" s="729"/>
      <c r="H334" s="729"/>
      <c r="I334" s="704"/>
      <c r="J334" s="703"/>
      <c r="K334" s="703"/>
      <c r="L334" s="703"/>
      <c r="M334" s="703"/>
      <c r="N334" s="703"/>
      <c r="O334" s="703"/>
      <c r="P334" s="703"/>
      <c r="Q334" s="703"/>
      <c r="R334" s="703"/>
      <c r="S334" s="703"/>
    </row>
    <row r="335" spans="1:19">
      <c r="A335" s="731" t="s">
        <v>1356</v>
      </c>
      <c r="B335" s="732" t="s">
        <v>1357</v>
      </c>
      <c r="C335" s="732" t="s">
        <v>1358</v>
      </c>
      <c r="D335" s="732" t="s">
        <v>1359</v>
      </c>
      <c r="E335" s="732" t="s">
        <v>1360</v>
      </c>
      <c r="F335" s="732" t="s">
        <v>1361</v>
      </c>
      <c r="G335" s="732" t="s">
        <v>1362</v>
      </c>
      <c r="H335" s="732" t="s">
        <v>1363</v>
      </c>
      <c r="I335" s="704"/>
      <c r="J335" s="703"/>
      <c r="K335" s="703"/>
      <c r="L335" s="703"/>
      <c r="M335" s="703"/>
      <c r="N335" s="703"/>
      <c r="O335" s="703"/>
      <c r="P335" s="703"/>
      <c r="Q335" s="703"/>
      <c r="R335" s="703"/>
      <c r="S335" s="703"/>
    </row>
    <row r="336" spans="1:19">
      <c r="A336" s="733" t="s">
        <v>2190</v>
      </c>
      <c r="B336" s="1167">
        <f>Wohnungsausnutzung!AY$216</f>
        <v>22.274999999999999</v>
      </c>
      <c r="C336" s="1167">
        <f>Wohnungsausnutzung!AZ$216</f>
        <v>26.805</v>
      </c>
      <c r="D336" s="1167">
        <f>Wohnungsausnutzung!BA$216</f>
        <v>41.76</v>
      </c>
      <c r="E336" s="1167">
        <f>Wohnungsausnutzung!BB$216</f>
        <v>56.42</v>
      </c>
      <c r="F336" s="1167">
        <f>Wohnungsausnutzung!BC$216</f>
        <v>65.75</v>
      </c>
      <c r="G336" s="1167">
        <f>Wohnungsausnutzung!BD$216</f>
        <v>82.95</v>
      </c>
      <c r="H336" s="1167">
        <f>Wohnungsausnutzung!BE$216</f>
        <v>92.52</v>
      </c>
      <c r="I336" s="704"/>
      <c r="J336" s="703"/>
      <c r="K336" s="703"/>
      <c r="L336" s="703"/>
      <c r="M336" s="703"/>
      <c r="N336" s="703"/>
      <c r="O336" s="703"/>
      <c r="P336" s="703"/>
      <c r="Q336" s="703"/>
      <c r="R336" s="703"/>
      <c r="S336" s="703"/>
    </row>
    <row r="337" spans="1:19">
      <c r="A337" s="733" t="s">
        <v>2191</v>
      </c>
      <c r="B337" s="1168">
        <f>Wohnungsausnutzung!AY214</f>
        <v>3</v>
      </c>
      <c r="C337" s="1168">
        <f>Wohnungsausnutzung!BA214</f>
        <v>3</v>
      </c>
      <c r="D337" s="1168">
        <f>Wohnungsausnutzung!BC214</f>
        <v>4</v>
      </c>
      <c r="E337" s="1168">
        <f>Wohnungsausnutzung!BE214</f>
        <v>5</v>
      </c>
      <c r="F337" s="1168">
        <f>Wohnungsausnutzung!BG214</f>
        <v>5</v>
      </c>
      <c r="G337" s="1168">
        <f>Wohnungsausnutzung!BI214</f>
        <v>7</v>
      </c>
      <c r="H337" s="1168">
        <f>Wohnungsausnutzung!BK214</f>
        <v>7</v>
      </c>
      <c r="I337" s="704"/>
      <c r="J337" s="703"/>
      <c r="K337" s="703"/>
      <c r="L337" s="703"/>
      <c r="M337" s="703"/>
      <c r="N337" s="703"/>
      <c r="O337" s="703"/>
      <c r="P337" s="703"/>
      <c r="Q337" s="703"/>
      <c r="R337" s="703"/>
      <c r="S337" s="703"/>
    </row>
    <row r="338" spans="1:19">
      <c r="A338" s="733" t="s">
        <v>2192</v>
      </c>
      <c r="B338" s="1169">
        <f t="shared" ref="B338:H338" si="75">B336/(B337*$C334)</f>
        <v>0.38312693498452011</v>
      </c>
      <c r="C338" s="1169">
        <f t="shared" si="75"/>
        <v>0.46104231166150672</v>
      </c>
      <c r="D338" s="1169">
        <f t="shared" si="75"/>
        <v>0.53869969040247678</v>
      </c>
      <c r="E338" s="1169">
        <f t="shared" si="75"/>
        <v>0.58224974200206403</v>
      </c>
      <c r="F338" s="1169">
        <f t="shared" si="75"/>
        <v>0.67853457172342624</v>
      </c>
      <c r="G338" s="1169">
        <f t="shared" si="75"/>
        <v>0.61145510835913319</v>
      </c>
      <c r="H338" s="1169">
        <f t="shared" si="75"/>
        <v>0.68199911543564795</v>
      </c>
      <c r="I338" s="704"/>
      <c r="J338" s="703"/>
      <c r="K338" s="703"/>
      <c r="L338" s="703"/>
      <c r="M338" s="703"/>
      <c r="N338" s="703"/>
      <c r="O338" s="703"/>
      <c r="P338" s="703"/>
      <c r="Q338" s="703"/>
      <c r="R338" s="703"/>
      <c r="S338" s="703"/>
    </row>
    <row r="339" spans="1:19">
      <c r="A339" s="737"/>
      <c r="B339" s="738"/>
      <c r="C339" s="738"/>
      <c r="D339" s="738"/>
      <c r="E339" s="738"/>
      <c r="F339" s="738"/>
      <c r="G339" s="738"/>
      <c r="H339" s="703"/>
      <c r="I339" s="704"/>
      <c r="J339" s="703"/>
      <c r="K339" s="703"/>
      <c r="L339" s="703"/>
      <c r="M339" s="703"/>
      <c r="N339" s="703"/>
      <c r="O339" s="703"/>
      <c r="P339" s="703"/>
      <c r="Q339" s="703"/>
      <c r="R339" s="703"/>
      <c r="S339" s="703"/>
    </row>
    <row r="340" spans="1:19">
      <c r="A340" s="727" t="s">
        <v>1275</v>
      </c>
      <c r="B340" s="1041">
        <v>4</v>
      </c>
      <c r="C340" s="1041">
        <v>5.7</v>
      </c>
      <c r="D340" s="727"/>
      <c r="E340" s="728"/>
      <c r="F340" s="728"/>
      <c r="G340" s="728"/>
      <c r="H340" s="728"/>
      <c r="I340" s="704"/>
      <c r="J340" s="703"/>
      <c r="K340" s="703"/>
      <c r="L340" s="703"/>
      <c r="M340" s="703"/>
      <c r="N340" s="703"/>
      <c r="O340" s="703"/>
      <c r="P340" s="703"/>
      <c r="Q340" s="703"/>
      <c r="R340" s="703"/>
      <c r="S340" s="703"/>
    </row>
    <row r="341" spans="1:19">
      <c r="A341" s="729" t="s">
        <v>1354</v>
      </c>
      <c r="B341" s="1038">
        <f>B340-0.2</f>
        <v>3.8</v>
      </c>
      <c r="C341" s="1038">
        <f>C340-0.2</f>
        <v>5.5</v>
      </c>
      <c r="D341" s="729"/>
      <c r="E341" s="729"/>
      <c r="F341" s="729"/>
      <c r="G341" s="729"/>
      <c r="H341" s="729"/>
      <c r="I341" s="704"/>
      <c r="J341" s="703"/>
      <c r="K341" s="703"/>
      <c r="L341" s="703"/>
      <c r="M341" s="703"/>
      <c r="N341" s="703"/>
      <c r="O341" s="703"/>
      <c r="P341" s="703"/>
      <c r="Q341" s="703"/>
      <c r="R341" s="703"/>
      <c r="S341" s="703"/>
    </row>
    <row r="342" spans="1:19">
      <c r="A342" s="730" t="s">
        <v>1355</v>
      </c>
      <c r="B342" s="1040"/>
      <c r="C342" s="1039">
        <f>B341*C341</f>
        <v>20.9</v>
      </c>
      <c r="D342" s="730"/>
      <c r="E342" s="729"/>
      <c r="F342" s="729"/>
      <c r="G342" s="729"/>
      <c r="H342" s="729"/>
      <c r="I342" s="704"/>
      <c r="J342" s="703"/>
      <c r="K342" s="703"/>
      <c r="L342" s="703"/>
      <c r="M342" s="703"/>
      <c r="N342" s="703"/>
      <c r="O342" s="703"/>
      <c r="P342" s="703"/>
      <c r="Q342" s="703"/>
      <c r="R342" s="703"/>
      <c r="S342" s="703"/>
    </row>
    <row r="343" spans="1:19">
      <c r="A343" s="731" t="s">
        <v>1356</v>
      </c>
      <c r="B343" s="732" t="s">
        <v>1357</v>
      </c>
      <c r="C343" s="732" t="s">
        <v>1358</v>
      </c>
      <c r="D343" s="732" t="s">
        <v>1359</v>
      </c>
      <c r="E343" s="732" t="s">
        <v>1360</v>
      </c>
      <c r="F343" s="732" t="s">
        <v>1361</v>
      </c>
      <c r="G343" s="732" t="s">
        <v>1362</v>
      </c>
      <c r="H343" s="732" t="s">
        <v>1363</v>
      </c>
      <c r="I343" s="704"/>
      <c r="J343" s="703"/>
      <c r="K343" s="703"/>
      <c r="L343" s="703"/>
      <c r="M343" s="703"/>
      <c r="N343" s="703"/>
      <c r="O343" s="703"/>
      <c r="P343" s="703"/>
      <c r="Q343" s="703"/>
      <c r="R343" s="703"/>
      <c r="S343" s="703"/>
    </row>
    <row r="344" spans="1:19">
      <c r="A344" s="733" t="s">
        <v>2190</v>
      </c>
      <c r="B344" s="1167">
        <f>Wohnungsausnutzung!BO$216</f>
        <v>22.274999999999999</v>
      </c>
      <c r="C344" s="1167">
        <f>Wohnungsausnutzung!BP$216</f>
        <v>26.805</v>
      </c>
      <c r="D344" s="1167">
        <f>Wohnungsausnutzung!BQ$216</f>
        <v>41.76</v>
      </c>
      <c r="E344" s="1167">
        <f>Wohnungsausnutzung!BR$216</f>
        <v>56.42</v>
      </c>
      <c r="F344" s="1167">
        <f>Wohnungsausnutzung!BS$216</f>
        <v>65.75</v>
      </c>
      <c r="G344" s="1167">
        <f>Wohnungsausnutzung!BT$216</f>
        <v>82.95</v>
      </c>
      <c r="H344" s="1167">
        <f>Wohnungsausnutzung!BU$216</f>
        <v>92.52</v>
      </c>
      <c r="I344" s="704"/>
      <c r="J344" s="703"/>
      <c r="K344" s="703"/>
      <c r="L344" s="703"/>
      <c r="M344" s="703"/>
      <c r="N344" s="703"/>
      <c r="O344" s="703"/>
      <c r="P344" s="703"/>
      <c r="Q344" s="703"/>
      <c r="R344" s="703"/>
      <c r="S344" s="703"/>
    </row>
    <row r="345" spans="1:19">
      <c r="A345" s="733" t="s">
        <v>2191</v>
      </c>
      <c r="B345" s="1168">
        <f>Wohnungsausnutzung!BO214</f>
        <v>3</v>
      </c>
      <c r="C345" s="1168">
        <f>Wohnungsausnutzung!BQ214</f>
        <v>3</v>
      </c>
      <c r="D345" s="1168">
        <f>Wohnungsausnutzung!BS214</f>
        <v>4</v>
      </c>
      <c r="E345" s="1168">
        <f>Wohnungsausnutzung!BU214</f>
        <v>5</v>
      </c>
      <c r="F345" s="1168">
        <f>Wohnungsausnutzung!BW214</f>
        <v>5</v>
      </c>
      <c r="G345" s="1168">
        <f>Wohnungsausnutzung!BY214</f>
        <v>6</v>
      </c>
      <c r="H345" s="1168">
        <f>Wohnungsausnutzung!CA214</f>
        <v>7</v>
      </c>
      <c r="I345" s="704"/>
      <c r="J345" s="703"/>
      <c r="K345" s="703"/>
      <c r="L345" s="703"/>
      <c r="M345" s="703"/>
      <c r="N345" s="703"/>
      <c r="O345" s="703"/>
      <c r="P345" s="703"/>
      <c r="Q345" s="703"/>
      <c r="R345" s="703"/>
      <c r="S345" s="703"/>
    </row>
    <row r="346" spans="1:19">
      <c r="A346" s="733" t="s">
        <v>2192</v>
      </c>
      <c r="B346" s="1169">
        <f t="shared" ref="B346:H346" si="76">B344/(B345*$C342)</f>
        <v>0.35526315789473684</v>
      </c>
      <c r="C346" s="1169">
        <f t="shared" si="76"/>
        <v>0.42751196172248807</v>
      </c>
      <c r="D346" s="1169">
        <f t="shared" si="76"/>
        <v>0.49952153110047848</v>
      </c>
      <c r="E346" s="1169">
        <f t="shared" si="76"/>
        <v>0.53990430622009566</v>
      </c>
      <c r="F346" s="1169">
        <f t="shared" si="76"/>
        <v>0.62918660287081341</v>
      </c>
      <c r="G346" s="1169">
        <f t="shared" si="76"/>
        <v>0.66148325358851678</v>
      </c>
      <c r="H346" s="1169">
        <f t="shared" si="76"/>
        <v>0.63239917976760085</v>
      </c>
      <c r="I346" s="704"/>
      <c r="J346" s="703"/>
      <c r="K346" s="703"/>
      <c r="L346" s="703"/>
      <c r="M346" s="703"/>
      <c r="N346" s="703"/>
      <c r="O346" s="703"/>
      <c r="P346" s="703"/>
      <c r="Q346" s="703"/>
      <c r="R346" s="703"/>
      <c r="S346" s="703"/>
    </row>
    <row r="347" spans="1:19">
      <c r="A347" s="703"/>
      <c r="B347" s="703"/>
      <c r="C347" s="703"/>
      <c r="D347" s="703"/>
      <c r="E347" s="703"/>
      <c r="F347" s="703"/>
      <c r="G347" s="703"/>
      <c r="H347" s="703"/>
      <c r="I347" s="704"/>
      <c r="J347" s="703"/>
      <c r="K347" s="703"/>
      <c r="L347" s="703"/>
      <c r="M347" s="703"/>
      <c r="N347" s="703"/>
      <c r="O347" s="703"/>
      <c r="P347" s="703"/>
      <c r="Q347" s="703"/>
      <c r="R347" s="703"/>
      <c r="S347" s="703"/>
    </row>
    <row r="348" spans="1:19">
      <c r="A348" s="727" t="s">
        <v>1275</v>
      </c>
      <c r="B348" s="1041">
        <v>4</v>
      </c>
      <c r="C348" s="1041">
        <v>6</v>
      </c>
      <c r="D348" s="727"/>
      <c r="E348" s="728"/>
      <c r="F348" s="728"/>
      <c r="G348" s="728"/>
      <c r="H348" s="728"/>
      <c r="I348" s="704"/>
      <c r="J348" s="703"/>
      <c r="K348" s="703"/>
      <c r="L348" s="703"/>
      <c r="M348" s="703"/>
      <c r="N348" s="703"/>
      <c r="O348" s="703"/>
      <c r="P348" s="703"/>
      <c r="Q348" s="703"/>
      <c r="R348" s="703"/>
      <c r="S348" s="703"/>
    </row>
    <row r="349" spans="1:19">
      <c r="A349" s="729" t="s">
        <v>1354</v>
      </c>
      <c r="B349" s="1038">
        <f>B348-0.2</f>
        <v>3.8</v>
      </c>
      <c r="C349" s="1038">
        <f>C348-0.2</f>
        <v>5.8</v>
      </c>
      <c r="D349" s="729"/>
      <c r="E349" s="729"/>
      <c r="F349" s="729"/>
      <c r="G349" s="729"/>
      <c r="H349" s="729"/>
      <c r="I349" s="704"/>
      <c r="J349" s="703"/>
      <c r="K349" s="703"/>
      <c r="L349" s="703"/>
      <c r="M349" s="703"/>
      <c r="N349" s="703"/>
      <c r="O349" s="703"/>
      <c r="P349" s="703"/>
      <c r="Q349" s="703"/>
      <c r="R349" s="703"/>
      <c r="S349" s="703"/>
    </row>
    <row r="350" spans="1:19">
      <c r="A350" s="730" t="s">
        <v>1355</v>
      </c>
      <c r="B350" s="1040"/>
      <c r="C350" s="1039">
        <f>B349*C349</f>
        <v>22.04</v>
      </c>
      <c r="D350" s="730"/>
      <c r="E350" s="729"/>
      <c r="F350" s="729"/>
      <c r="G350" s="729"/>
      <c r="H350" s="729"/>
      <c r="I350" s="704"/>
      <c r="J350" s="703"/>
      <c r="K350" s="703"/>
      <c r="L350" s="703"/>
      <c r="M350" s="703"/>
      <c r="N350" s="703"/>
      <c r="O350" s="703"/>
      <c r="P350" s="703"/>
      <c r="Q350" s="703"/>
      <c r="R350" s="703"/>
      <c r="S350" s="703"/>
    </row>
    <row r="351" spans="1:19">
      <c r="A351" s="731" t="s">
        <v>1356</v>
      </c>
      <c r="B351" s="732" t="s">
        <v>1357</v>
      </c>
      <c r="C351" s="732" t="s">
        <v>1358</v>
      </c>
      <c r="D351" s="732" t="s">
        <v>1359</v>
      </c>
      <c r="E351" s="732" t="s">
        <v>1360</v>
      </c>
      <c r="F351" s="732" t="s">
        <v>1361</v>
      </c>
      <c r="G351" s="732" t="s">
        <v>1362</v>
      </c>
      <c r="H351" s="732" t="s">
        <v>1363</v>
      </c>
      <c r="I351" s="704"/>
      <c r="J351" s="703"/>
      <c r="K351" s="703"/>
      <c r="L351" s="703"/>
      <c r="M351" s="703"/>
      <c r="N351" s="703"/>
      <c r="O351" s="703"/>
      <c r="P351" s="703"/>
      <c r="Q351" s="703"/>
      <c r="R351" s="703"/>
      <c r="S351" s="703"/>
    </row>
    <row r="352" spans="1:19">
      <c r="A352" s="733" t="s">
        <v>2190</v>
      </c>
      <c r="B352" s="1167">
        <f>Wohnungsausnutzung!CE$216</f>
        <v>22.274999999999999</v>
      </c>
      <c r="C352" s="1167">
        <f>Wohnungsausnutzung!CF$216</f>
        <v>26.805</v>
      </c>
      <c r="D352" s="1167">
        <f>Wohnungsausnutzung!CG$216</f>
        <v>41.76</v>
      </c>
      <c r="E352" s="1167">
        <f>Wohnungsausnutzung!CH$216</f>
        <v>54.84</v>
      </c>
      <c r="F352" s="1167">
        <f>Wohnungsausnutzung!CI$216</f>
        <v>65.75</v>
      </c>
      <c r="G352" s="1167">
        <f>Wohnungsausnutzung!CJ$216</f>
        <v>82.95</v>
      </c>
      <c r="H352" s="1167">
        <f>Wohnungsausnutzung!CK$216</f>
        <v>92.52</v>
      </c>
      <c r="I352" s="704"/>
      <c r="J352" s="703"/>
      <c r="K352" s="703"/>
      <c r="L352" s="703"/>
      <c r="M352" s="703"/>
      <c r="N352" s="703"/>
      <c r="O352" s="703"/>
      <c r="P352" s="703"/>
      <c r="Q352" s="703"/>
      <c r="R352" s="703"/>
      <c r="S352" s="703"/>
    </row>
    <row r="353" spans="1:19">
      <c r="A353" s="733" t="s">
        <v>2191</v>
      </c>
      <c r="B353" s="1168">
        <f>Wohnungsausnutzung!CE214</f>
        <v>3</v>
      </c>
      <c r="C353" s="1168">
        <f>Wohnungsausnutzung!CG214</f>
        <v>3</v>
      </c>
      <c r="D353" s="1168">
        <f>Wohnungsausnutzung!CI214</f>
        <v>4</v>
      </c>
      <c r="E353" s="1168">
        <f>Wohnungsausnutzung!CK214</f>
        <v>4</v>
      </c>
      <c r="F353" s="1168">
        <f>Wohnungsausnutzung!CM214</f>
        <v>5</v>
      </c>
      <c r="G353" s="1168">
        <f>Wohnungsausnutzung!CO214</f>
        <v>6</v>
      </c>
      <c r="H353" s="1168">
        <f>Wohnungsausnutzung!CQ214</f>
        <v>7</v>
      </c>
      <c r="I353" s="704"/>
      <c r="J353" s="703"/>
      <c r="K353" s="703"/>
      <c r="L353" s="703"/>
      <c r="M353" s="703"/>
      <c r="N353" s="703"/>
      <c r="O353" s="703"/>
      <c r="P353" s="703"/>
      <c r="Q353" s="703"/>
      <c r="R353" s="703"/>
      <c r="S353" s="703"/>
    </row>
    <row r="354" spans="1:19">
      <c r="A354" s="733" t="s">
        <v>2192</v>
      </c>
      <c r="B354" s="1169">
        <f t="shared" ref="B354:H354" si="77">B352/(B353*$C350)</f>
        <v>0.33688747731397456</v>
      </c>
      <c r="C354" s="1169">
        <f t="shared" si="77"/>
        <v>0.4053992740471869</v>
      </c>
      <c r="D354" s="1169">
        <f t="shared" si="77"/>
        <v>0.47368421052631576</v>
      </c>
      <c r="E354" s="1169">
        <f t="shared" si="77"/>
        <v>0.62205081669691475</v>
      </c>
      <c r="F354" s="1169">
        <f t="shared" si="77"/>
        <v>0.59664246823956446</v>
      </c>
      <c r="G354" s="1169">
        <f t="shared" si="77"/>
        <v>0.62726860254083483</v>
      </c>
      <c r="H354" s="1169">
        <f t="shared" si="77"/>
        <v>0.59968887736582832</v>
      </c>
      <c r="I354" s="704"/>
      <c r="J354" s="703"/>
      <c r="K354" s="703"/>
      <c r="L354" s="703"/>
      <c r="M354" s="703"/>
      <c r="N354" s="703"/>
      <c r="O354" s="703"/>
      <c r="P354" s="703"/>
      <c r="Q354" s="703"/>
      <c r="R354" s="703"/>
      <c r="S354" s="703"/>
    </row>
    <row r="355" spans="1:19">
      <c r="A355" s="703"/>
      <c r="B355" s="703"/>
      <c r="C355" s="703"/>
      <c r="D355" s="703"/>
      <c r="E355" s="703"/>
      <c r="F355" s="703"/>
      <c r="G355" s="703"/>
      <c r="H355" s="703"/>
      <c r="I355" s="704"/>
      <c r="J355" s="703"/>
      <c r="K355" s="703"/>
      <c r="L355" s="703"/>
      <c r="M355" s="703"/>
      <c r="N355" s="703"/>
      <c r="O355" s="703"/>
      <c r="P355" s="703"/>
      <c r="Q355" s="703"/>
      <c r="R355" s="703"/>
      <c r="S355" s="703"/>
    </row>
    <row r="356" spans="1:19">
      <c r="A356" s="727" t="s">
        <v>1275</v>
      </c>
      <c r="B356" s="1041">
        <v>4.5</v>
      </c>
      <c r="C356" s="1041">
        <v>5</v>
      </c>
      <c r="D356" s="727"/>
      <c r="E356" s="728"/>
      <c r="F356" s="728"/>
      <c r="G356" s="728"/>
      <c r="H356" s="728"/>
      <c r="I356" s="704"/>
      <c r="J356" s="703"/>
      <c r="K356" s="703"/>
      <c r="L356" s="703"/>
      <c r="M356" s="703"/>
      <c r="N356" s="703"/>
      <c r="O356" s="703"/>
      <c r="P356" s="703"/>
      <c r="Q356" s="703"/>
      <c r="R356" s="703"/>
      <c r="S356" s="703"/>
    </row>
    <row r="357" spans="1:19">
      <c r="A357" s="729" t="s">
        <v>1354</v>
      </c>
      <c r="B357" s="1038">
        <f>B356-0.2</f>
        <v>4.3</v>
      </c>
      <c r="C357" s="1038">
        <f>C356-0.2</f>
        <v>4.8</v>
      </c>
      <c r="D357" s="729"/>
      <c r="E357" s="729"/>
      <c r="F357" s="729"/>
      <c r="G357" s="729"/>
      <c r="H357" s="729"/>
      <c r="I357" s="704"/>
      <c r="J357" s="703"/>
      <c r="K357" s="703"/>
      <c r="L357" s="703"/>
      <c r="M357" s="703"/>
      <c r="N357" s="703"/>
      <c r="O357" s="703"/>
      <c r="P357" s="703"/>
      <c r="Q357" s="703"/>
      <c r="R357" s="703"/>
      <c r="S357" s="703"/>
    </row>
    <row r="358" spans="1:19">
      <c r="A358" s="730" t="s">
        <v>1355</v>
      </c>
      <c r="B358" s="1040"/>
      <c r="C358" s="1039">
        <f>B357*C357</f>
        <v>20.639999999999997</v>
      </c>
      <c r="D358" s="730"/>
      <c r="E358" s="729"/>
      <c r="F358" s="729"/>
      <c r="G358" s="729"/>
      <c r="H358" s="729"/>
      <c r="I358" s="704"/>
      <c r="J358" s="703"/>
      <c r="K358" s="703"/>
      <c r="L358" s="703"/>
      <c r="M358" s="703"/>
      <c r="N358" s="703"/>
      <c r="O358" s="703"/>
      <c r="P358" s="703"/>
      <c r="Q358" s="703"/>
      <c r="R358" s="703"/>
      <c r="S358" s="703"/>
    </row>
    <row r="359" spans="1:19">
      <c r="A359" s="731" t="s">
        <v>1356</v>
      </c>
      <c r="B359" s="732" t="s">
        <v>1357</v>
      </c>
      <c r="C359" s="732" t="s">
        <v>1358</v>
      </c>
      <c r="D359" s="732" t="s">
        <v>1359</v>
      </c>
      <c r="E359" s="732" t="s">
        <v>1360</v>
      </c>
      <c r="F359" s="732" t="s">
        <v>1361</v>
      </c>
      <c r="G359" s="732" t="s">
        <v>1362</v>
      </c>
      <c r="H359" s="732" t="s">
        <v>1363</v>
      </c>
      <c r="I359" s="704"/>
      <c r="J359" s="703"/>
      <c r="K359" s="703"/>
      <c r="L359" s="703"/>
      <c r="M359" s="703"/>
      <c r="N359" s="703"/>
      <c r="O359" s="703"/>
      <c r="P359" s="703"/>
      <c r="Q359" s="703"/>
      <c r="R359" s="703"/>
      <c r="S359" s="703"/>
    </row>
    <row r="360" spans="1:19">
      <c r="A360" s="733" t="s">
        <v>2190</v>
      </c>
      <c r="B360" s="1167">
        <f>Wohnungsausnutzung!S$259</f>
        <v>22.274999999999999</v>
      </c>
      <c r="C360" s="1167">
        <f>Wohnungsausnutzung!T$259</f>
        <v>26.805</v>
      </c>
      <c r="D360" s="1167">
        <f>Wohnungsausnutzung!U$259</f>
        <v>41.76</v>
      </c>
      <c r="E360" s="1167">
        <f>Wohnungsausnutzung!V$259</f>
        <v>54.84</v>
      </c>
      <c r="F360" s="1167">
        <f>Wohnungsausnutzung!W$259</f>
        <v>65.75</v>
      </c>
      <c r="G360" s="1167">
        <f>Wohnungsausnutzung!X$259</f>
        <v>82.95</v>
      </c>
      <c r="H360" s="1167">
        <f>Wohnungsausnutzung!Y$259</f>
        <v>92.52</v>
      </c>
      <c r="I360" s="704"/>
      <c r="J360" s="703"/>
      <c r="K360" s="703"/>
      <c r="L360" s="703"/>
      <c r="M360" s="703"/>
      <c r="N360" s="703"/>
      <c r="O360" s="703"/>
      <c r="P360" s="703"/>
      <c r="Q360" s="703"/>
      <c r="R360" s="703"/>
      <c r="S360" s="703"/>
    </row>
    <row r="361" spans="1:19">
      <c r="A361" s="733" t="s">
        <v>2191</v>
      </c>
      <c r="B361" s="1168">
        <f>Wohnungsausnutzung!S257</f>
        <v>3</v>
      </c>
      <c r="C361" s="1168">
        <f>Wohnungsausnutzung!U257</f>
        <v>3</v>
      </c>
      <c r="D361" s="1168">
        <f>Wohnungsausnutzung!W257</f>
        <v>4</v>
      </c>
      <c r="E361" s="1168">
        <f>Wohnungsausnutzung!Y257</f>
        <v>5</v>
      </c>
      <c r="F361" s="1168">
        <f>Wohnungsausnutzung!AA257</f>
        <v>5</v>
      </c>
      <c r="G361" s="1168">
        <f>Wohnungsausnutzung!AC257</f>
        <v>6</v>
      </c>
      <c r="H361" s="1168">
        <f>Wohnungsausnutzung!AE257</f>
        <v>8</v>
      </c>
      <c r="I361" s="704"/>
      <c r="J361" s="703"/>
      <c r="K361" s="703"/>
      <c r="L361" s="703"/>
      <c r="M361" s="703"/>
      <c r="N361" s="703"/>
      <c r="O361" s="703"/>
      <c r="P361" s="703"/>
      <c r="Q361" s="703"/>
      <c r="R361" s="703"/>
      <c r="S361" s="703"/>
    </row>
    <row r="362" spans="1:19">
      <c r="A362" s="733" t="s">
        <v>2192</v>
      </c>
      <c r="B362" s="1169">
        <f t="shared" ref="B362:H362" si="78">B360/(B361*$C358)</f>
        <v>0.35973837209302328</v>
      </c>
      <c r="C362" s="1169">
        <f t="shared" si="78"/>
        <v>0.43289728682170553</v>
      </c>
      <c r="D362" s="1169">
        <f t="shared" si="78"/>
        <v>0.5058139534883721</v>
      </c>
      <c r="E362" s="1169">
        <f t="shared" si="78"/>
        <v>0.5313953488372094</v>
      </c>
      <c r="F362" s="1169">
        <f t="shared" si="78"/>
        <v>0.63711240310077522</v>
      </c>
      <c r="G362" s="1169">
        <f t="shared" si="78"/>
        <v>0.66981589147286835</v>
      </c>
      <c r="H362" s="1169">
        <f t="shared" si="78"/>
        <v>0.56031976744186052</v>
      </c>
      <c r="I362" s="704"/>
      <c r="J362" s="703"/>
      <c r="K362" s="703"/>
      <c r="L362" s="703"/>
      <c r="M362" s="703"/>
      <c r="N362" s="703"/>
      <c r="O362" s="703"/>
      <c r="P362" s="703"/>
      <c r="Q362" s="703"/>
      <c r="R362" s="703"/>
      <c r="S362" s="703"/>
    </row>
    <row r="363" spans="1:19">
      <c r="A363" s="724"/>
      <c r="B363" s="735"/>
      <c r="C363" s="703"/>
      <c r="D363" s="703"/>
      <c r="E363" s="703"/>
      <c r="F363" s="703"/>
      <c r="G363" s="703"/>
      <c r="H363" s="703"/>
      <c r="I363" s="704"/>
      <c r="J363" s="703"/>
      <c r="K363" s="703"/>
      <c r="L363" s="703"/>
      <c r="M363" s="703"/>
      <c r="N363" s="703"/>
      <c r="O363" s="703"/>
      <c r="P363" s="703"/>
      <c r="Q363" s="703"/>
      <c r="R363" s="703"/>
      <c r="S363" s="703"/>
    </row>
    <row r="364" spans="1:19">
      <c r="A364" s="727" t="s">
        <v>1275</v>
      </c>
      <c r="B364" s="1041">
        <v>4.5</v>
      </c>
      <c r="C364" s="1041">
        <v>5.3</v>
      </c>
      <c r="D364" s="727"/>
      <c r="E364" s="728"/>
      <c r="F364" s="728"/>
      <c r="G364" s="728"/>
      <c r="H364" s="728"/>
      <c r="I364" s="704"/>
      <c r="J364" s="703"/>
      <c r="K364" s="703"/>
      <c r="L364" s="703"/>
      <c r="M364" s="703"/>
      <c r="N364" s="703"/>
      <c r="O364" s="703"/>
      <c r="P364" s="703"/>
      <c r="Q364" s="703"/>
      <c r="R364" s="703"/>
      <c r="S364" s="703"/>
    </row>
    <row r="365" spans="1:19">
      <c r="A365" s="729" t="s">
        <v>1354</v>
      </c>
      <c r="B365" s="1038">
        <f>B364-0.2</f>
        <v>4.3</v>
      </c>
      <c r="C365" s="1038">
        <f>C364-0.2</f>
        <v>5.0999999999999996</v>
      </c>
      <c r="D365" s="729"/>
      <c r="E365" s="729"/>
      <c r="F365" s="729"/>
      <c r="G365" s="729"/>
      <c r="H365" s="729"/>
      <c r="I365" s="704"/>
      <c r="J365" s="703"/>
      <c r="K365" s="703"/>
      <c r="L365" s="703"/>
      <c r="M365" s="703"/>
      <c r="N365" s="703"/>
      <c r="O365" s="703"/>
      <c r="P365" s="703"/>
      <c r="Q365" s="703"/>
      <c r="R365" s="703"/>
      <c r="S365" s="703"/>
    </row>
    <row r="366" spans="1:19">
      <c r="A366" s="730" t="s">
        <v>1355</v>
      </c>
      <c r="B366" s="1040"/>
      <c r="C366" s="1039">
        <f>B365*C365</f>
        <v>21.929999999999996</v>
      </c>
      <c r="D366" s="730"/>
      <c r="E366" s="729"/>
      <c r="F366" s="729"/>
      <c r="G366" s="729"/>
      <c r="H366" s="729"/>
      <c r="I366" s="704"/>
      <c r="J366" s="703"/>
      <c r="K366" s="703"/>
      <c r="L366" s="703"/>
      <c r="M366" s="703"/>
      <c r="N366" s="703"/>
      <c r="O366" s="703"/>
      <c r="P366" s="703"/>
      <c r="Q366" s="703"/>
      <c r="R366" s="703"/>
      <c r="S366" s="703"/>
    </row>
    <row r="367" spans="1:19">
      <c r="A367" s="731" t="s">
        <v>1356</v>
      </c>
      <c r="B367" s="732" t="s">
        <v>1357</v>
      </c>
      <c r="C367" s="732" t="s">
        <v>1358</v>
      </c>
      <c r="D367" s="732" t="s">
        <v>1359</v>
      </c>
      <c r="E367" s="732" t="s">
        <v>1360</v>
      </c>
      <c r="F367" s="732" t="s">
        <v>1361</v>
      </c>
      <c r="G367" s="732" t="s">
        <v>1362</v>
      </c>
      <c r="H367" s="732" t="s">
        <v>1363</v>
      </c>
      <c r="I367" s="704"/>
      <c r="J367" s="703"/>
      <c r="K367" s="703"/>
      <c r="L367" s="703"/>
      <c r="M367" s="703"/>
      <c r="N367" s="703"/>
      <c r="O367" s="703"/>
      <c r="P367" s="703"/>
      <c r="Q367" s="703"/>
      <c r="R367" s="703"/>
      <c r="S367" s="703"/>
    </row>
    <row r="368" spans="1:19">
      <c r="A368" s="733" t="s">
        <v>2190</v>
      </c>
      <c r="B368" s="1167">
        <f>Wohnungsausnutzung!AI$259</f>
        <v>22.274999999999999</v>
      </c>
      <c r="C368" s="1167">
        <f>Wohnungsausnutzung!AJ$259</f>
        <v>26.805</v>
      </c>
      <c r="D368" s="1167">
        <f>Wohnungsausnutzung!AK$259</f>
        <v>41.76</v>
      </c>
      <c r="E368" s="1167">
        <f>Wohnungsausnutzung!AL$259</f>
        <v>54.84</v>
      </c>
      <c r="F368" s="1167">
        <f>Wohnungsausnutzung!AM$259</f>
        <v>65.75</v>
      </c>
      <c r="G368" s="1167">
        <f>Wohnungsausnutzung!AN$259</f>
        <v>82.95</v>
      </c>
      <c r="H368" s="1167">
        <f>Wohnungsausnutzung!AO$259</f>
        <v>92.52</v>
      </c>
      <c r="I368" s="704"/>
      <c r="J368" s="703"/>
      <c r="K368" s="703"/>
      <c r="L368" s="703"/>
      <c r="M368" s="703"/>
      <c r="N368" s="703"/>
      <c r="O368" s="703"/>
      <c r="P368" s="703"/>
      <c r="Q368" s="703"/>
      <c r="R368" s="703"/>
      <c r="S368" s="703"/>
    </row>
    <row r="369" spans="1:19">
      <c r="A369" s="733" t="s">
        <v>2191</v>
      </c>
      <c r="B369" s="1168">
        <f>Wohnungsausnutzung!AI257</f>
        <v>2</v>
      </c>
      <c r="C369" s="1168">
        <f>Wohnungsausnutzung!AK257</f>
        <v>2</v>
      </c>
      <c r="D369" s="1168">
        <f>Wohnungsausnutzung!AM257</f>
        <v>4</v>
      </c>
      <c r="E369" s="1168">
        <f>Wohnungsausnutzung!AO257</f>
        <v>5</v>
      </c>
      <c r="F369" s="1168">
        <f>Wohnungsausnutzung!AQ257</f>
        <v>5</v>
      </c>
      <c r="G369" s="1168">
        <f>Wohnungsausnutzung!AS257</f>
        <v>6</v>
      </c>
      <c r="H369" s="1168">
        <f>Wohnungsausnutzung!AU257</f>
        <v>7</v>
      </c>
      <c r="I369" s="704"/>
      <c r="J369" s="703"/>
      <c r="K369" s="703"/>
      <c r="L369" s="703"/>
      <c r="M369" s="703"/>
      <c r="N369" s="703"/>
      <c r="O369" s="703"/>
      <c r="P369" s="703"/>
      <c r="Q369" s="703"/>
      <c r="R369" s="703"/>
      <c r="S369" s="703"/>
    </row>
    <row r="370" spans="1:19">
      <c r="A370" s="733" t="s">
        <v>2192</v>
      </c>
      <c r="B370" s="1169">
        <f t="shared" ref="B370:H370" si="79">B368/(B369*$C366)</f>
        <v>0.50786593707250349</v>
      </c>
      <c r="C370" s="1169">
        <f t="shared" si="79"/>
        <v>0.61114911080711365</v>
      </c>
      <c r="D370" s="1169">
        <f t="shared" si="79"/>
        <v>0.4760601915184679</v>
      </c>
      <c r="E370" s="1169">
        <f t="shared" si="79"/>
        <v>0.50013679890560891</v>
      </c>
      <c r="F370" s="1169">
        <f t="shared" si="79"/>
        <v>0.5996352029183768</v>
      </c>
      <c r="G370" s="1169">
        <f t="shared" si="79"/>
        <v>0.63041495668034664</v>
      </c>
      <c r="H370" s="1169">
        <f t="shared" si="79"/>
        <v>0.6026968927105727</v>
      </c>
      <c r="I370" s="704"/>
      <c r="J370" s="703"/>
      <c r="K370" s="703"/>
      <c r="L370" s="703"/>
      <c r="M370" s="703"/>
      <c r="N370" s="703"/>
      <c r="O370" s="703"/>
      <c r="P370" s="703"/>
      <c r="Q370" s="703"/>
      <c r="R370" s="703"/>
      <c r="S370" s="703"/>
    </row>
    <row r="371" spans="1:19">
      <c r="A371" s="737"/>
      <c r="B371" s="738"/>
      <c r="C371" s="738"/>
      <c r="D371" s="738"/>
      <c r="E371" s="738"/>
      <c r="F371" s="738"/>
      <c r="G371" s="738"/>
      <c r="H371" s="703"/>
      <c r="I371" s="704"/>
      <c r="J371" s="703"/>
      <c r="K371" s="703"/>
      <c r="L371" s="703"/>
      <c r="M371" s="703"/>
      <c r="N371" s="703"/>
      <c r="O371" s="703"/>
      <c r="P371" s="703"/>
      <c r="Q371" s="703"/>
      <c r="R371" s="703"/>
      <c r="S371" s="703"/>
    </row>
    <row r="372" spans="1:19">
      <c r="A372" s="727" t="s">
        <v>1275</v>
      </c>
      <c r="B372" s="1041">
        <v>4.5</v>
      </c>
      <c r="C372" s="1041">
        <v>5.7</v>
      </c>
      <c r="D372" s="727"/>
      <c r="E372" s="728"/>
      <c r="F372" s="728"/>
      <c r="G372" s="728"/>
      <c r="H372" s="728"/>
      <c r="I372" s="704"/>
      <c r="J372" s="703"/>
      <c r="K372" s="703"/>
      <c r="L372" s="703"/>
      <c r="M372" s="703"/>
      <c r="N372" s="703"/>
      <c r="O372" s="703"/>
      <c r="P372" s="703"/>
      <c r="Q372" s="703"/>
      <c r="R372" s="703"/>
      <c r="S372" s="703"/>
    </row>
    <row r="373" spans="1:19">
      <c r="A373" s="729" t="s">
        <v>1354</v>
      </c>
      <c r="B373" s="1038">
        <f>B372-0.2</f>
        <v>4.3</v>
      </c>
      <c r="C373" s="1038">
        <f>C372-0.2</f>
        <v>5.5</v>
      </c>
      <c r="D373" s="729"/>
      <c r="E373" s="729"/>
      <c r="F373" s="729"/>
      <c r="G373" s="729"/>
      <c r="H373" s="729"/>
      <c r="I373" s="704"/>
      <c r="J373" s="703"/>
      <c r="K373" s="703"/>
      <c r="L373" s="703"/>
      <c r="M373" s="703"/>
      <c r="N373" s="703"/>
      <c r="O373" s="703"/>
      <c r="P373" s="703"/>
      <c r="Q373" s="703"/>
      <c r="R373" s="703"/>
      <c r="S373" s="703"/>
    </row>
    <row r="374" spans="1:19">
      <c r="A374" s="730" t="s">
        <v>1355</v>
      </c>
      <c r="B374" s="1040"/>
      <c r="C374" s="1039">
        <f>B373*C373</f>
        <v>23.65</v>
      </c>
      <c r="D374" s="730"/>
      <c r="E374" s="729"/>
      <c r="F374" s="729"/>
      <c r="G374" s="729"/>
      <c r="H374" s="729"/>
      <c r="I374" s="704"/>
      <c r="J374" s="703"/>
      <c r="K374" s="703"/>
      <c r="L374" s="703"/>
      <c r="M374" s="703"/>
      <c r="N374" s="703"/>
      <c r="O374" s="703"/>
      <c r="P374" s="703"/>
      <c r="Q374" s="703"/>
      <c r="R374" s="703"/>
      <c r="S374" s="703"/>
    </row>
    <row r="375" spans="1:19">
      <c r="A375" s="731" t="s">
        <v>1356</v>
      </c>
      <c r="B375" s="732" t="s">
        <v>1357</v>
      </c>
      <c r="C375" s="732" t="s">
        <v>1358</v>
      </c>
      <c r="D375" s="732" t="s">
        <v>1359</v>
      </c>
      <c r="E375" s="732" t="s">
        <v>1360</v>
      </c>
      <c r="F375" s="732" t="s">
        <v>1361</v>
      </c>
      <c r="G375" s="732" t="s">
        <v>1362</v>
      </c>
      <c r="H375" s="732" t="s">
        <v>1363</v>
      </c>
      <c r="I375" s="704"/>
      <c r="J375" s="703"/>
      <c r="K375" s="703"/>
      <c r="L375" s="703"/>
      <c r="M375" s="703"/>
      <c r="N375" s="703"/>
      <c r="O375" s="703"/>
      <c r="P375" s="703"/>
      <c r="Q375" s="703"/>
      <c r="R375" s="703"/>
      <c r="S375" s="703"/>
    </row>
    <row r="376" spans="1:19">
      <c r="A376" s="733" t="s">
        <v>2190</v>
      </c>
      <c r="B376" s="1167">
        <f>Wohnungsausnutzung!AY$259</f>
        <v>22.274999999999999</v>
      </c>
      <c r="C376" s="1167">
        <f>Wohnungsausnutzung!AZ$259</f>
        <v>26.805</v>
      </c>
      <c r="D376" s="1167">
        <f>Wohnungsausnutzung!BA$259</f>
        <v>41.76</v>
      </c>
      <c r="E376" s="1167">
        <f>Wohnungsausnutzung!BB$259</f>
        <v>54.84</v>
      </c>
      <c r="F376" s="1167">
        <f>Wohnungsausnutzung!BC$259</f>
        <v>65.75</v>
      </c>
      <c r="G376" s="1167">
        <f>Wohnungsausnutzung!BD$259</f>
        <v>82.95</v>
      </c>
      <c r="H376" s="1167">
        <f>Wohnungsausnutzung!BE$259</f>
        <v>92.52</v>
      </c>
      <c r="I376" s="704"/>
      <c r="J376" s="703"/>
      <c r="K376" s="703"/>
      <c r="L376" s="703"/>
      <c r="M376" s="703"/>
      <c r="N376" s="703"/>
      <c r="O376" s="703"/>
      <c r="P376" s="703"/>
      <c r="Q376" s="703"/>
      <c r="R376" s="703"/>
      <c r="S376" s="703"/>
    </row>
    <row r="377" spans="1:19">
      <c r="A377" s="733" t="s">
        <v>2191</v>
      </c>
      <c r="B377" s="1168">
        <f>Wohnungsausnutzung!AY257</f>
        <v>2</v>
      </c>
      <c r="C377" s="1168">
        <f>Wohnungsausnutzung!BA257</f>
        <v>2</v>
      </c>
      <c r="D377" s="1168">
        <f>Wohnungsausnutzung!BC257</f>
        <v>4</v>
      </c>
      <c r="E377" s="1168">
        <f>Wohnungsausnutzung!BE257</f>
        <v>5</v>
      </c>
      <c r="F377" s="1168">
        <f>Wohnungsausnutzung!BG257</f>
        <v>5</v>
      </c>
      <c r="G377" s="1168">
        <f>Wohnungsausnutzung!BI257</f>
        <v>6</v>
      </c>
      <c r="H377" s="1168">
        <f>Wohnungsausnutzung!BK257</f>
        <v>7</v>
      </c>
      <c r="I377" s="704"/>
      <c r="J377" s="703"/>
      <c r="K377" s="703"/>
      <c r="L377" s="703"/>
      <c r="M377" s="703"/>
      <c r="N377" s="703"/>
      <c r="O377" s="703"/>
      <c r="P377" s="703"/>
      <c r="Q377" s="703"/>
      <c r="R377" s="703"/>
      <c r="S377" s="703"/>
    </row>
    <row r="378" spans="1:19">
      <c r="A378" s="733" t="s">
        <v>2192</v>
      </c>
      <c r="B378" s="1169">
        <f t="shared" ref="B378:H378" si="80">B376/(B377*$C374)</f>
        <v>0.47093023255813954</v>
      </c>
      <c r="C378" s="1169">
        <f t="shared" si="80"/>
        <v>0.56670190274841437</v>
      </c>
      <c r="D378" s="1169">
        <f t="shared" si="80"/>
        <v>0.44143763213530657</v>
      </c>
      <c r="E378" s="1169">
        <f t="shared" si="80"/>
        <v>0.46376321353065542</v>
      </c>
      <c r="F378" s="1169">
        <f t="shared" si="80"/>
        <v>0.55602536997885832</v>
      </c>
      <c r="G378" s="1169">
        <f t="shared" si="80"/>
        <v>0.58456659619450324</v>
      </c>
      <c r="H378" s="1169">
        <f t="shared" si="80"/>
        <v>0.55886439142253097</v>
      </c>
      <c r="I378" s="704"/>
      <c r="J378" s="703"/>
      <c r="K378" s="703"/>
      <c r="L378" s="703"/>
      <c r="M378" s="703"/>
      <c r="N378" s="703"/>
      <c r="O378" s="703"/>
      <c r="P378" s="703"/>
      <c r="Q378" s="703"/>
      <c r="R378" s="703"/>
      <c r="S378" s="703"/>
    </row>
    <row r="379" spans="1:19">
      <c r="A379" s="703"/>
      <c r="B379" s="703"/>
      <c r="C379" s="703"/>
      <c r="D379" s="703"/>
      <c r="E379" s="703"/>
      <c r="F379" s="703"/>
      <c r="G379" s="703"/>
      <c r="H379" s="703"/>
      <c r="I379" s="704"/>
      <c r="J379" s="703"/>
      <c r="K379" s="703"/>
      <c r="L379" s="703"/>
      <c r="M379" s="703"/>
      <c r="N379" s="703"/>
      <c r="O379" s="703"/>
      <c r="P379" s="703"/>
      <c r="Q379" s="703"/>
      <c r="R379" s="703"/>
      <c r="S379" s="703"/>
    </row>
    <row r="380" spans="1:19">
      <c r="A380" s="727" t="s">
        <v>1275</v>
      </c>
      <c r="B380" s="1041">
        <v>4.5</v>
      </c>
      <c r="C380" s="1041">
        <v>6</v>
      </c>
      <c r="D380" s="727"/>
      <c r="E380" s="728"/>
      <c r="F380" s="728"/>
      <c r="G380" s="728"/>
      <c r="H380" s="728"/>
      <c r="I380" s="704"/>
      <c r="J380" s="703"/>
      <c r="K380" s="703"/>
      <c r="L380" s="703"/>
      <c r="M380" s="703"/>
      <c r="N380" s="703"/>
      <c r="O380" s="703"/>
      <c r="P380" s="703"/>
      <c r="Q380" s="703"/>
      <c r="R380" s="703"/>
      <c r="S380" s="703"/>
    </row>
    <row r="381" spans="1:19">
      <c r="A381" s="729" t="s">
        <v>1354</v>
      </c>
      <c r="B381" s="1038">
        <f>B380-0.2</f>
        <v>4.3</v>
      </c>
      <c r="C381" s="1038">
        <f>C380-0.2</f>
        <v>5.8</v>
      </c>
      <c r="D381" s="729"/>
      <c r="E381" s="729"/>
      <c r="F381" s="729"/>
      <c r="G381" s="729"/>
      <c r="H381" s="729"/>
      <c r="I381" s="704"/>
      <c r="J381" s="703"/>
      <c r="K381" s="703"/>
      <c r="L381" s="703"/>
      <c r="M381" s="703"/>
      <c r="N381" s="703"/>
      <c r="O381" s="703"/>
      <c r="P381" s="703"/>
      <c r="Q381" s="703"/>
      <c r="R381" s="703"/>
      <c r="S381" s="703"/>
    </row>
    <row r="382" spans="1:19">
      <c r="A382" s="730" t="s">
        <v>1355</v>
      </c>
      <c r="B382" s="1040"/>
      <c r="C382" s="1039">
        <f>B381*C381</f>
        <v>24.939999999999998</v>
      </c>
      <c r="D382" s="730"/>
      <c r="E382" s="729"/>
      <c r="F382" s="729"/>
      <c r="G382" s="729"/>
      <c r="H382" s="729"/>
      <c r="I382" s="704"/>
      <c r="J382" s="703"/>
      <c r="K382" s="703"/>
      <c r="L382" s="703"/>
      <c r="M382" s="703"/>
      <c r="N382" s="703"/>
      <c r="O382" s="703"/>
      <c r="P382" s="703"/>
      <c r="Q382" s="703"/>
      <c r="R382" s="703"/>
      <c r="S382" s="703"/>
    </row>
    <row r="383" spans="1:19">
      <c r="A383" s="731" t="s">
        <v>1356</v>
      </c>
      <c r="B383" s="732" t="s">
        <v>1357</v>
      </c>
      <c r="C383" s="732" t="s">
        <v>1358</v>
      </c>
      <c r="D383" s="732" t="s">
        <v>1359</v>
      </c>
      <c r="E383" s="732" t="s">
        <v>1360</v>
      </c>
      <c r="F383" s="732" t="s">
        <v>1361</v>
      </c>
      <c r="G383" s="732" t="s">
        <v>1362</v>
      </c>
      <c r="H383" s="732" t="s">
        <v>1363</v>
      </c>
      <c r="I383" s="704"/>
      <c r="J383" s="703"/>
      <c r="K383" s="703"/>
      <c r="L383" s="703"/>
      <c r="M383" s="703"/>
      <c r="N383" s="703"/>
      <c r="O383" s="703"/>
      <c r="P383" s="703"/>
      <c r="Q383" s="703"/>
      <c r="R383" s="703"/>
      <c r="S383" s="703"/>
    </row>
    <row r="384" spans="1:19">
      <c r="A384" s="733" t="s">
        <v>2190</v>
      </c>
      <c r="B384" s="1167">
        <f>Wohnungsausnutzung!BO$259</f>
        <v>22.274999999999999</v>
      </c>
      <c r="C384" s="1167">
        <f>Wohnungsausnutzung!BP$259</f>
        <v>26.805</v>
      </c>
      <c r="D384" s="1167">
        <f>Wohnungsausnutzung!BQ$259</f>
        <v>41.76</v>
      </c>
      <c r="E384" s="1167">
        <f>Wohnungsausnutzung!BR$259</f>
        <v>54.84</v>
      </c>
      <c r="F384" s="1167">
        <f>Wohnungsausnutzung!BS$259</f>
        <v>65.75</v>
      </c>
      <c r="G384" s="1167">
        <f>Wohnungsausnutzung!BT$259</f>
        <v>82.95</v>
      </c>
      <c r="H384" s="1167">
        <f>Wohnungsausnutzung!BU$259</f>
        <v>92.52000000000001</v>
      </c>
      <c r="I384" s="704"/>
      <c r="J384" s="703"/>
      <c r="K384" s="703"/>
      <c r="L384" s="703"/>
      <c r="M384" s="703"/>
      <c r="N384" s="703"/>
      <c r="O384" s="703"/>
      <c r="P384" s="703"/>
      <c r="Q384" s="703"/>
      <c r="R384" s="703"/>
      <c r="S384" s="703"/>
    </row>
    <row r="385" spans="1:19">
      <c r="A385" s="733" t="s">
        <v>2191</v>
      </c>
      <c r="B385" s="1168">
        <f>Wohnungsausnutzung!BO257</f>
        <v>2</v>
      </c>
      <c r="C385" s="1168">
        <f>Wohnungsausnutzung!BQ257</f>
        <v>2</v>
      </c>
      <c r="D385" s="1168">
        <f>Wohnungsausnutzung!BS257</f>
        <v>3</v>
      </c>
      <c r="E385" s="1168">
        <f>Wohnungsausnutzung!BU257</f>
        <v>4</v>
      </c>
      <c r="F385" s="1168">
        <f>Wohnungsausnutzung!BW257</f>
        <v>5</v>
      </c>
      <c r="G385" s="1168">
        <f>Wohnungsausnutzung!BY257</f>
        <v>6</v>
      </c>
      <c r="H385" s="1168">
        <f>Wohnungsausnutzung!CA257</f>
        <v>6</v>
      </c>
      <c r="I385" s="704"/>
      <c r="J385" s="703"/>
      <c r="K385" s="703"/>
      <c r="L385" s="703"/>
      <c r="M385" s="703"/>
      <c r="N385" s="703"/>
      <c r="O385" s="703"/>
      <c r="P385" s="703"/>
      <c r="Q385" s="703"/>
      <c r="R385" s="703"/>
      <c r="S385" s="703"/>
    </row>
    <row r="386" spans="1:19">
      <c r="A386" s="733" t="s">
        <v>2192</v>
      </c>
      <c r="B386" s="1169">
        <f t="shared" ref="B386:H386" si="81">B384/(B385*$C382)</f>
        <v>0.44657177225340822</v>
      </c>
      <c r="C386" s="1169">
        <f t="shared" si="81"/>
        <v>0.53738973536487578</v>
      </c>
      <c r="D386" s="1169">
        <f t="shared" si="81"/>
        <v>0.55813953488372092</v>
      </c>
      <c r="E386" s="1169">
        <f t="shared" si="81"/>
        <v>0.54971932638332011</v>
      </c>
      <c r="F386" s="1169">
        <f t="shared" si="81"/>
        <v>0.52726543704891748</v>
      </c>
      <c r="G386" s="1169">
        <f t="shared" si="81"/>
        <v>0.55433039294306341</v>
      </c>
      <c r="H386" s="1169">
        <f t="shared" si="81"/>
        <v>0.61828388131515655</v>
      </c>
      <c r="I386" s="704"/>
      <c r="J386" s="703"/>
      <c r="K386" s="703"/>
      <c r="L386" s="703"/>
      <c r="M386" s="703"/>
      <c r="N386" s="703"/>
      <c r="O386" s="703"/>
      <c r="P386" s="703"/>
      <c r="Q386" s="703"/>
      <c r="R386" s="703"/>
      <c r="S386" s="703"/>
    </row>
  </sheetData>
  <sheetProtection algorithmName="SHA-512" hashValue="so9evmGZqYxrGZ+rpwgif/uHGokfAzzVh7CEEkdM8+rA/RBsunzRsfcTMbljokoM+cbma+QRZQtmcqnLf91I8A==" saltValue="r/9y5+piWIPPv40UOfOVwg==" spinCount="100000" sheet="1" objects="1" scenarios="1"/>
  <mergeCells count="86">
    <mergeCell ref="A8:B8"/>
    <mergeCell ref="A3:B3"/>
    <mergeCell ref="A4:B4"/>
    <mergeCell ref="A5:B5"/>
    <mergeCell ref="A6:B6"/>
    <mergeCell ref="A7:B7"/>
    <mergeCell ref="A20:B20"/>
    <mergeCell ref="A9:B9"/>
    <mergeCell ref="A10:B10"/>
    <mergeCell ref="A11:B11"/>
    <mergeCell ref="A12:B12"/>
    <mergeCell ref="A13:B13"/>
    <mergeCell ref="A14:B14"/>
    <mergeCell ref="A15:B15"/>
    <mergeCell ref="A16:B16"/>
    <mergeCell ref="A17:B17"/>
    <mergeCell ref="A18:B18"/>
    <mergeCell ref="A19:B19"/>
    <mergeCell ref="A32:B32"/>
    <mergeCell ref="A21:B21"/>
    <mergeCell ref="A22:B22"/>
    <mergeCell ref="A23:B23"/>
    <mergeCell ref="A24:B24"/>
    <mergeCell ref="A25:B25"/>
    <mergeCell ref="A26:B26"/>
    <mergeCell ref="A27:B27"/>
    <mergeCell ref="A28:B28"/>
    <mergeCell ref="A29:B29"/>
    <mergeCell ref="A30:B30"/>
    <mergeCell ref="A31:B31"/>
    <mergeCell ref="A44:B44"/>
    <mergeCell ref="A33:B33"/>
    <mergeCell ref="A34:B34"/>
    <mergeCell ref="A35:B35"/>
    <mergeCell ref="A36:B36"/>
    <mergeCell ref="A37:B37"/>
    <mergeCell ref="A38:B38"/>
    <mergeCell ref="A39:B39"/>
    <mergeCell ref="A40:B40"/>
    <mergeCell ref="A41:B41"/>
    <mergeCell ref="A42:B42"/>
    <mergeCell ref="A43:B43"/>
    <mergeCell ref="K62:L62"/>
    <mergeCell ref="A45:B45"/>
    <mergeCell ref="K52:L52"/>
    <mergeCell ref="K53:L53"/>
    <mergeCell ref="K54:L54"/>
    <mergeCell ref="K55:L55"/>
    <mergeCell ref="K56:L56"/>
    <mergeCell ref="K57:L57"/>
    <mergeCell ref="K58:L58"/>
    <mergeCell ref="K59:L59"/>
    <mergeCell ref="K60:L60"/>
    <mergeCell ref="K61:L61"/>
    <mergeCell ref="K74:L74"/>
    <mergeCell ref="K63:L63"/>
    <mergeCell ref="K64:L64"/>
    <mergeCell ref="K65:L65"/>
    <mergeCell ref="K66:L66"/>
    <mergeCell ref="K67:L67"/>
    <mergeCell ref="K68:L68"/>
    <mergeCell ref="K69:L69"/>
    <mergeCell ref="K70:L70"/>
    <mergeCell ref="K71:L71"/>
    <mergeCell ref="K72:L72"/>
    <mergeCell ref="K73:L73"/>
    <mergeCell ref="K86:L86"/>
    <mergeCell ref="K75:L75"/>
    <mergeCell ref="K76:L76"/>
    <mergeCell ref="K77:L77"/>
    <mergeCell ref="K78:L78"/>
    <mergeCell ref="K79:L79"/>
    <mergeCell ref="K80:L80"/>
    <mergeCell ref="K81:L81"/>
    <mergeCell ref="K82:L82"/>
    <mergeCell ref="K83:L83"/>
    <mergeCell ref="K84:L84"/>
    <mergeCell ref="K85:L85"/>
    <mergeCell ref="K93:L93"/>
    <mergeCell ref="K94:L94"/>
    <mergeCell ref="K87:L87"/>
    <mergeCell ref="K88:L88"/>
    <mergeCell ref="K89:L89"/>
    <mergeCell ref="K90:L90"/>
    <mergeCell ref="K91:L91"/>
    <mergeCell ref="K92:L92"/>
  </mergeCells>
  <conditionalFormatting sqref="B139:G139">
    <cfRule type="colorScale" priority="15">
      <colorScale>
        <cfvo type="min"/>
        <cfvo type="percentile" val="50"/>
        <cfvo type="max"/>
        <color rgb="FFF8696B"/>
        <color rgb="FFFFEB84"/>
        <color rgb="FF63BE7B"/>
      </colorScale>
    </cfRule>
  </conditionalFormatting>
  <conditionalFormatting sqref="B155:G155">
    <cfRule type="colorScale" priority="14">
      <colorScale>
        <cfvo type="min"/>
        <cfvo type="percentile" val="50"/>
        <cfvo type="max"/>
        <color rgb="FFF8696B"/>
        <color rgb="FFFFEB84"/>
        <color rgb="FF63BE7B"/>
      </colorScale>
    </cfRule>
  </conditionalFormatting>
  <conditionalFormatting sqref="B187:G187">
    <cfRule type="colorScale" priority="13">
      <colorScale>
        <cfvo type="min"/>
        <cfvo type="percentile" val="50"/>
        <cfvo type="max"/>
        <color rgb="FFF8696B"/>
        <color rgb="FFFFEB84"/>
        <color rgb="FF63BE7B"/>
      </colorScale>
    </cfRule>
  </conditionalFormatting>
  <conditionalFormatting sqref="B203:G203">
    <cfRule type="colorScale" priority="12">
      <colorScale>
        <cfvo type="min"/>
        <cfvo type="percentile" val="50"/>
        <cfvo type="max"/>
        <color rgb="FFF8696B"/>
        <color rgb="FFFFEB84"/>
        <color rgb="FF63BE7B"/>
      </colorScale>
    </cfRule>
  </conditionalFormatting>
  <conditionalFormatting sqref="B235:G235">
    <cfRule type="colorScale" priority="11">
      <colorScale>
        <cfvo type="min"/>
        <cfvo type="percentile" val="50"/>
        <cfvo type="max"/>
        <color rgb="FFF8696B"/>
        <color rgb="FFFFEB84"/>
        <color rgb="FF63BE7B"/>
      </colorScale>
    </cfRule>
  </conditionalFormatting>
  <conditionalFormatting sqref="B251:G251">
    <cfRule type="colorScale" priority="10">
      <colorScale>
        <cfvo type="min"/>
        <cfvo type="percentile" val="50"/>
        <cfvo type="max"/>
        <color rgb="FFF8696B"/>
        <color rgb="FFFFEB84"/>
        <color rgb="FF63BE7B"/>
      </colorScale>
    </cfRule>
  </conditionalFormatting>
  <conditionalFormatting sqref="B283:G283">
    <cfRule type="colorScale" priority="9">
      <colorScale>
        <cfvo type="min"/>
        <cfvo type="percentile" val="50"/>
        <cfvo type="max"/>
        <color rgb="FFF8696B"/>
        <color rgb="FFFFEB84"/>
        <color rgb="FF63BE7B"/>
      </colorScale>
    </cfRule>
  </conditionalFormatting>
  <conditionalFormatting sqref="B299:G299">
    <cfRule type="colorScale" priority="8">
      <colorScale>
        <cfvo type="min"/>
        <cfvo type="percentile" val="50"/>
        <cfvo type="max"/>
        <color rgb="FFF8696B"/>
        <color rgb="FFFFEB84"/>
        <color rgb="FF63BE7B"/>
      </colorScale>
    </cfRule>
  </conditionalFormatting>
  <conditionalFormatting sqref="B323:G323">
    <cfRule type="colorScale" priority="7">
      <colorScale>
        <cfvo type="min"/>
        <cfvo type="percentile" val="50"/>
        <cfvo type="max"/>
        <color rgb="FFF8696B"/>
        <color rgb="FFFFEB84"/>
        <color rgb="FF63BE7B"/>
      </colorScale>
    </cfRule>
  </conditionalFormatting>
  <conditionalFormatting sqref="B339:G339">
    <cfRule type="colorScale" priority="6">
      <colorScale>
        <cfvo type="min"/>
        <cfvo type="percentile" val="50"/>
        <cfvo type="max"/>
        <color rgb="FFF8696B"/>
        <color rgb="FFFFEB84"/>
        <color rgb="FF63BE7B"/>
      </colorScale>
    </cfRule>
  </conditionalFormatting>
  <conditionalFormatting sqref="B371:G371">
    <cfRule type="colorScale" priority="5">
      <colorScale>
        <cfvo type="min"/>
        <cfvo type="percentile" val="50"/>
        <cfvo type="max"/>
        <color rgb="FFF8696B"/>
        <color rgb="FFFFEB84"/>
        <color rgb="FF63BE7B"/>
      </colorScale>
    </cfRule>
  </conditionalFormatting>
  <conditionalFormatting sqref="C4:I9">
    <cfRule type="colorScale" priority="36">
      <colorScale>
        <cfvo type="min"/>
        <cfvo type="max"/>
        <color rgb="FFF8696B"/>
        <color rgb="FFFCFCFF"/>
      </colorScale>
    </cfRule>
  </conditionalFormatting>
  <conditionalFormatting sqref="C4:I15 C17:I22 C24:I29 C31:I35 C37:I40 C42:I44">
    <cfRule type="colorScale" priority="35">
      <colorScale>
        <cfvo type="min"/>
        <cfvo type="max"/>
        <color rgb="FFFCFCFF"/>
        <color rgb="FFF8696B"/>
      </colorScale>
    </cfRule>
    <cfRule type="colorScale" priority="34">
      <colorScale>
        <cfvo type="min"/>
        <cfvo type="percentile" val="50"/>
        <cfvo type="max"/>
        <color rgb="FF5A8AC6"/>
        <color rgb="FFFCFCFF"/>
        <color rgb="FFF8696B"/>
      </colorScale>
    </cfRule>
  </conditionalFormatting>
  <conditionalFormatting sqref="C4:I45">
    <cfRule type="colorScale" priority="2">
      <colorScale>
        <cfvo type="min"/>
        <cfvo type="percentile" val="50"/>
        <cfvo type="max"/>
        <color rgb="FF5A8AC6"/>
        <color rgb="FFFCFCFF"/>
        <color rgb="FFF8696B"/>
      </colorScale>
    </cfRule>
  </conditionalFormatting>
  <conditionalFormatting sqref="C16:I16">
    <cfRule type="colorScale" priority="33">
      <colorScale>
        <cfvo type="min"/>
        <cfvo type="max"/>
        <color rgb="FFF8696B"/>
        <color rgb="FFFCFCFF"/>
      </colorScale>
    </cfRule>
    <cfRule type="colorScale" priority="32">
      <colorScale>
        <cfvo type="min"/>
        <cfvo type="max"/>
        <color rgb="FFFCFCFF"/>
        <color rgb="FFF8696B"/>
      </colorScale>
    </cfRule>
    <cfRule type="colorScale" priority="31">
      <colorScale>
        <cfvo type="min"/>
        <cfvo type="percentile" val="50"/>
        <cfvo type="max"/>
        <color rgb="FF5A8AC6"/>
        <color rgb="FFFCFCFF"/>
        <color rgb="FFF8696B"/>
      </colorScale>
    </cfRule>
  </conditionalFormatting>
  <conditionalFormatting sqref="C23:I23">
    <cfRule type="colorScale" priority="30">
      <colorScale>
        <cfvo type="min"/>
        <cfvo type="max"/>
        <color rgb="FFF8696B"/>
        <color rgb="FFFCFCFF"/>
      </colorScale>
    </cfRule>
    <cfRule type="colorScale" priority="29">
      <colorScale>
        <cfvo type="min"/>
        <cfvo type="max"/>
        <color rgb="FFFCFCFF"/>
        <color rgb="FFF8696B"/>
      </colorScale>
    </cfRule>
    <cfRule type="colorScale" priority="28">
      <colorScale>
        <cfvo type="min"/>
        <cfvo type="percentile" val="50"/>
        <cfvo type="max"/>
        <color rgb="FF5A8AC6"/>
        <color rgb="FFFCFCFF"/>
        <color rgb="FFF8696B"/>
      </colorScale>
    </cfRule>
  </conditionalFormatting>
  <conditionalFormatting sqref="C30:I30">
    <cfRule type="colorScale" priority="25">
      <colorScale>
        <cfvo type="min"/>
        <cfvo type="percentile" val="50"/>
        <cfvo type="max"/>
        <color rgb="FF5A8AC6"/>
        <color rgb="FFFCFCFF"/>
        <color rgb="FFF8696B"/>
      </colorScale>
    </cfRule>
    <cfRule type="colorScale" priority="26">
      <colorScale>
        <cfvo type="min"/>
        <cfvo type="max"/>
        <color rgb="FFFCFCFF"/>
        <color rgb="FFF8696B"/>
      </colorScale>
    </cfRule>
    <cfRule type="colorScale" priority="27">
      <colorScale>
        <cfvo type="min"/>
        <cfvo type="max"/>
        <color rgb="FFF8696B"/>
        <color rgb="FFFCFCFF"/>
      </colorScale>
    </cfRule>
  </conditionalFormatting>
  <conditionalFormatting sqref="C36:I36">
    <cfRule type="colorScale" priority="22">
      <colorScale>
        <cfvo type="min"/>
        <cfvo type="percentile" val="50"/>
        <cfvo type="max"/>
        <color rgb="FF5A8AC6"/>
        <color rgb="FFFCFCFF"/>
        <color rgb="FFF8696B"/>
      </colorScale>
    </cfRule>
    <cfRule type="colorScale" priority="23">
      <colorScale>
        <cfvo type="min"/>
        <cfvo type="max"/>
        <color rgb="FFFCFCFF"/>
        <color rgb="FFF8696B"/>
      </colorScale>
    </cfRule>
    <cfRule type="colorScale" priority="24">
      <colorScale>
        <cfvo type="min"/>
        <cfvo type="max"/>
        <color rgb="FFF8696B"/>
        <color rgb="FFFCFCFF"/>
      </colorScale>
    </cfRule>
  </conditionalFormatting>
  <conditionalFormatting sqref="C41:I41">
    <cfRule type="colorScale" priority="21">
      <colorScale>
        <cfvo type="min"/>
        <cfvo type="max"/>
        <color rgb="FFF8696B"/>
        <color rgb="FFFCFCFF"/>
      </colorScale>
    </cfRule>
    <cfRule type="colorScale" priority="20">
      <colorScale>
        <cfvo type="min"/>
        <cfvo type="max"/>
        <color rgb="FFFCFCFF"/>
        <color rgb="FFF8696B"/>
      </colorScale>
    </cfRule>
    <cfRule type="colorScale" priority="19">
      <colorScale>
        <cfvo type="min"/>
        <cfvo type="percentile" val="50"/>
        <cfvo type="max"/>
        <color rgb="FF5A8AC6"/>
        <color rgb="FFFCFCFF"/>
        <color rgb="FFF8696B"/>
      </colorScale>
    </cfRule>
  </conditionalFormatting>
  <conditionalFormatting sqref="C45:I45">
    <cfRule type="colorScale" priority="18">
      <colorScale>
        <cfvo type="min"/>
        <cfvo type="max"/>
        <color rgb="FFF8696B"/>
        <color rgb="FFFCFCFF"/>
      </colorScale>
    </cfRule>
    <cfRule type="colorScale" priority="17">
      <colorScale>
        <cfvo type="min"/>
        <cfvo type="max"/>
        <color rgb="FFFCFCFF"/>
        <color rgb="FFF8696B"/>
      </colorScale>
    </cfRule>
    <cfRule type="colorScale" priority="16">
      <colorScale>
        <cfvo type="min"/>
        <cfvo type="percentile" val="50"/>
        <cfvo type="max"/>
        <color rgb="FF5A8AC6"/>
        <color rgb="FFFCFCFF"/>
        <color rgb="FFF8696B"/>
      </colorScale>
    </cfRule>
  </conditionalFormatting>
  <conditionalFormatting sqref="M53:Q94 R54:S94">
    <cfRule type="colorScale" priority="3">
      <colorScale>
        <cfvo type="min"/>
        <cfvo type="percentile" val="50"/>
        <cfvo type="max"/>
        <color rgb="FFF8696B"/>
        <color rgb="FFFFEB84"/>
        <color rgb="FF63BE7B"/>
      </colorScale>
    </cfRule>
  </conditionalFormatting>
  <conditionalFormatting sqref="M53:S94">
    <cfRule type="colorScale" priority="1">
      <colorScale>
        <cfvo type="min"/>
        <cfvo type="percentile" val="50"/>
        <cfvo type="max"/>
        <color rgb="FFF8696B"/>
        <color rgb="FFFCFCFF"/>
        <color rgb="FF5A8AC6"/>
      </colorScale>
    </cfRule>
  </conditionalFormatting>
  <pageMargins left="0.7" right="0.7" top="0.75" bottom="0.75" header="0.3" footer="0.3"/>
  <pageSetup paperSize="8"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Tabelle14">
    <tabColor rgb="FFFF9999"/>
  </sheetPr>
  <dimension ref="A1:H1738"/>
  <sheetViews>
    <sheetView workbookViewId="0">
      <selection activeCell="AU17" sqref="AU17"/>
    </sheetView>
  </sheetViews>
  <sheetFormatPr baseColWidth="10" defaultColWidth="9.83203125" defaultRowHeight="16"/>
  <cols>
    <col min="1" max="6" width="15" style="701" customWidth="1"/>
    <col min="7" max="7" width="1.33203125" style="701" customWidth="1"/>
    <col min="8" max="8" width="15.5" style="701" customWidth="1"/>
    <col min="9" max="10" width="3" style="701" customWidth="1"/>
    <col min="11" max="13" width="15" style="701" customWidth="1"/>
    <col min="14" max="14" width="14.1640625" style="701" customWidth="1"/>
    <col min="15" max="16" width="11.83203125" style="701" customWidth="1"/>
    <col min="17" max="16384" width="9.83203125" style="701"/>
  </cols>
  <sheetData>
    <row r="1" spans="1:8" s="754" customFormat="1" ht="10">
      <c r="A1" s="750" t="s">
        <v>1484</v>
      </c>
      <c r="B1" s="750" t="s">
        <v>1485</v>
      </c>
      <c r="C1" s="750" t="s">
        <v>1486</v>
      </c>
      <c r="D1" s="750" t="s">
        <v>1261</v>
      </c>
      <c r="E1" s="750" t="s">
        <v>1487</v>
      </c>
      <c r="F1" s="751" t="s">
        <v>1488</v>
      </c>
      <c r="G1" s="752"/>
      <c r="H1" s="753" t="s">
        <v>1489</v>
      </c>
    </row>
    <row r="2" spans="1:8" ht="17">
      <c r="A2" s="755" t="s">
        <v>1490</v>
      </c>
      <c r="B2" s="755" t="s">
        <v>1491</v>
      </c>
      <c r="C2" s="755" t="s">
        <v>1491</v>
      </c>
      <c r="D2" s="755" t="s">
        <v>1491</v>
      </c>
      <c r="E2" s="755" t="s">
        <v>1491</v>
      </c>
      <c r="F2" s="756" t="s">
        <v>1491</v>
      </c>
      <c r="G2" s="757"/>
      <c r="H2" s="758" t="s">
        <v>1492</v>
      </c>
    </row>
    <row r="3" spans="1:8">
      <c r="A3" s="755" t="s">
        <v>1493</v>
      </c>
      <c r="B3" s="755" t="s">
        <v>64</v>
      </c>
      <c r="C3" s="755" t="s">
        <v>62</v>
      </c>
      <c r="D3" s="755" t="s">
        <v>75</v>
      </c>
      <c r="E3" s="755" t="s">
        <v>1494</v>
      </c>
      <c r="F3" s="756" t="s">
        <v>1495</v>
      </c>
      <c r="G3" s="757"/>
      <c r="H3" s="758" t="s">
        <v>313</v>
      </c>
    </row>
    <row r="4" spans="1:8">
      <c r="A4" s="701">
        <v>0</v>
      </c>
      <c r="B4" s="759">
        <v>2</v>
      </c>
      <c r="C4" s="759">
        <v>3</v>
      </c>
      <c r="D4" s="759">
        <v>2.4</v>
      </c>
      <c r="E4" s="701">
        <v>1.35</v>
      </c>
      <c r="F4" s="701">
        <v>1.31</v>
      </c>
      <c r="H4" s="759">
        <f>F4*E4</f>
        <v>1.7685000000000002</v>
      </c>
    </row>
    <row r="5" spans="1:8">
      <c r="A5" s="701">
        <v>0</v>
      </c>
      <c r="B5" s="759">
        <v>2</v>
      </c>
      <c r="C5" s="759">
        <v>3.25</v>
      </c>
      <c r="D5" s="759">
        <v>2.4</v>
      </c>
      <c r="E5" s="701">
        <v>1.35</v>
      </c>
      <c r="F5" s="701">
        <v>1.31</v>
      </c>
      <c r="H5" s="759">
        <f t="shared" ref="H5:H68" si="0">F5*E5</f>
        <v>1.7685000000000002</v>
      </c>
    </row>
    <row r="6" spans="1:8">
      <c r="A6" s="701">
        <v>0</v>
      </c>
      <c r="B6" s="759">
        <v>2</v>
      </c>
      <c r="C6" s="759">
        <v>3.5</v>
      </c>
      <c r="D6" s="759">
        <v>2.4</v>
      </c>
      <c r="E6" s="701">
        <v>1.35</v>
      </c>
      <c r="F6" s="701">
        <v>1.31</v>
      </c>
      <c r="H6" s="759">
        <f t="shared" si="0"/>
        <v>1.7685000000000002</v>
      </c>
    </row>
    <row r="7" spans="1:8">
      <c r="A7" s="701">
        <v>0</v>
      </c>
      <c r="B7" s="759">
        <v>2</v>
      </c>
      <c r="C7" s="759">
        <v>3.75</v>
      </c>
      <c r="D7" s="759">
        <v>2.4</v>
      </c>
      <c r="E7" s="701">
        <v>1.35</v>
      </c>
      <c r="F7" s="701">
        <v>1.31</v>
      </c>
      <c r="H7" s="759">
        <f t="shared" si="0"/>
        <v>1.7685000000000002</v>
      </c>
    </row>
    <row r="8" spans="1:8">
      <c r="A8" s="701">
        <v>0</v>
      </c>
      <c r="B8" s="759">
        <v>2</v>
      </c>
      <c r="C8" s="759">
        <v>4</v>
      </c>
      <c r="D8" s="759">
        <v>2.4</v>
      </c>
      <c r="E8" s="701">
        <v>1.35</v>
      </c>
      <c r="F8" s="701">
        <v>1.31</v>
      </c>
      <c r="H8" s="759">
        <f t="shared" si="0"/>
        <v>1.7685000000000002</v>
      </c>
    </row>
    <row r="9" spans="1:8">
      <c r="A9" s="701">
        <v>0</v>
      </c>
      <c r="B9" s="759">
        <v>2</v>
      </c>
      <c r="C9" s="759">
        <v>4.25</v>
      </c>
      <c r="D9" s="759">
        <v>2.4</v>
      </c>
      <c r="E9" s="701">
        <v>1.35</v>
      </c>
      <c r="F9" s="701">
        <v>1.31</v>
      </c>
      <c r="H9" s="759">
        <f t="shared" si="0"/>
        <v>1.7685000000000002</v>
      </c>
    </row>
    <row r="10" spans="1:8">
      <c r="A10" s="701">
        <v>0</v>
      </c>
      <c r="B10" s="759">
        <v>2</v>
      </c>
      <c r="C10" s="759">
        <v>4.5</v>
      </c>
      <c r="D10" s="759">
        <v>2.4</v>
      </c>
      <c r="E10" s="701">
        <v>1.35</v>
      </c>
      <c r="F10" s="701">
        <v>1.31</v>
      </c>
      <c r="H10" s="759">
        <f t="shared" si="0"/>
        <v>1.7685000000000002</v>
      </c>
    </row>
    <row r="11" spans="1:8">
      <c r="A11" s="701">
        <v>0</v>
      </c>
      <c r="B11" s="759">
        <v>2</v>
      </c>
      <c r="C11" s="759">
        <v>4.75</v>
      </c>
      <c r="D11" s="759">
        <v>2.4</v>
      </c>
      <c r="E11" s="701">
        <v>1.35</v>
      </c>
      <c r="F11" s="701">
        <v>1.31</v>
      </c>
      <c r="H11" s="759">
        <f t="shared" si="0"/>
        <v>1.7685000000000002</v>
      </c>
    </row>
    <row r="12" spans="1:8">
      <c r="A12" s="701">
        <v>0</v>
      </c>
      <c r="B12" s="759">
        <v>2</v>
      </c>
      <c r="C12" s="759">
        <v>5</v>
      </c>
      <c r="D12" s="759">
        <v>2.4</v>
      </c>
      <c r="E12" s="701">
        <v>1.35</v>
      </c>
      <c r="F12" s="701">
        <v>1.31</v>
      </c>
      <c r="H12" s="759">
        <f t="shared" si="0"/>
        <v>1.7685000000000002</v>
      </c>
    </row>
    <row r="13" spans="1:8">
      <c r="A13" s="701">
        <v>0</v>
      </c>
      <c r="B13" s="759">
        <v>2</v>
      </c>
      <c r="C13" s="759">
        <v>5.25</v>
      </c>
      <c r="D13" s="759">
        <v>2.4</v>
      </c>
      <c r="E13" s="701">
        <v>1.35</v>
      </c>
      <c r="F13" s="701">
        <v>1.31</v>
      </c>
      <c r="H13" s="759">
        <f t="shared" si="0"/>
        <v>1.7685000000000002</v>
      </c>
    </row>
    <row r="14" spans="1:8">
      <c r="A14" s="701">
        <v>0</v>
      </c>
      <c r="B14" s="759">
        <v>2</v>
      </c>
      <c r="C14" s="759">
        <v>5.5</v>
      </c>
      <c r="D14" s="759">
        <v>2.4</v>
      </c>
      <c r="E14" s="701">
        <v>1.35</v>
      </c>
      <c r="F14" s="701">
        <v>1.31</v>
      </c>
      <c r="H14" s="759">
        <f t="shared" si="0"/>
        <v>1.7685000000000002</v>
      </c>
    </row>
    <row r="15" spans="1:8">
      <c r="A15" s="701">
        <v>0</v>
      </c>
      <c r="B15" s="759">
        <v>2</v>
      </c>
      <c r="C15" s="759">
        <v>5.75</v>
      </c>
      <c r="D15" s="759">
        <v>2.4</v>
      </c>
      <c r="E15" s="701">
        <v>1.35</v>
      </c>
      <c r="F15" s="701">
        <v>1.31</v>
      </c>
      <c r="H15" s="759">
        <f t="shared" si="0"/>
        <v>1.7685000000000002</v>
      </c>
    </row>
    <row r="16" spans="1:8">
      <c r="A16" s="701">
        <v>0</v>
      </c>
      <c r="B16" s="759">
        <v>2</v>
      </c>
      <c r="C16" s="759">
        <v>6</v>
      </c>
      <c r="D16" s="759">
        <v>2.4</v>
      </c>
      <c r="E16" s="701">
        <v>1.35</v>
      </c>
      <c r="F16" s="701">
        <v>1.31</v>
      </c>
      <c r="H16" s="759">
        <f t="shared" si="0"/>
        <v>1.7685000000000002</v>
      </c>
    </row>
    <row r="17" spans="1:8">
      <c r="A17" s="701">
        <v>0</v>
      </c>
      <c r="B17" s="759">
        <v>2</v>
      </c>
      <c r="C17" s="759">
        <v>6.25</v>
      </c>
      <c r="D17" s="759">
        <v>2.4</v>
      </c>
      <c r="E17" s="701">
        <v>1.35</v>
      </c>
      <c r="F17" s="701">
        <v>1.31</v>
      </c>
      <c r="H17" s="759">
        <f t="shared" si="0"/>
        <v>1.7685000000000002</v>
      </c>
    </row>
    <row r="18" spans="1:8">
      <c r="A18" s="701">
        <v>0</v>
      </c>
      <c r="B18" s="759">
        <v>2</v>
      </c>
      <c r="C18" s="759">
        <v>6.5</v>
      </c>
      <c r="D18" s="759">
        <v>2.4</v>
      </c>
      <c r="E18" s="701">
        <v>1.35</v>
      </c>
      <c r="F18" s="701">
        <v>1.31</v>
      </c>
      <c r="H18" s="759">
        <f t="shared" si="0"/>
        <v>1.7685000000000002</v>
      </c>
    </row>
    <row r="19" spans="1:8">
      <c r="A19" s="701">
        <v>0</v>
      </c>
      <c r="B19" s="759">
        <v>2</v>
      </c>
      <c r="C19" s="759">
        <v>6.75</v>
      </c>
      <c r="D19" s="759">
        <v>2.4</v>
      </c>
      <c r="E19" s="701">
        <v>1.35</v>
      </c>
      <c r="F19" s="701">
        <v>1.35</v>
      </c>
      <c r="H19" s="759">
        <f t="shared" si="0"/>
        <v>1.8225000000000002</v>
      </c>
    </row>
    <row r="20" spans="1:8">
      <c r="A20" s="701">
        <v>0</v>
      </c>
      <c r="B20" s="759">
        <v>2</v>
      </c>
      <c r="C20" s="759">
        <v>7</v>
      </c>
      <c r="D20" s="759">
        <v>2.4</v>
      </c>
      <c r="E20" s="701">
        <v>1.35</v>
      </c>
      <c r="F20" s="701">
        <v>1.41</v>
      </c>
      <c r="H20" s="759">
        <f t="shared" si="0"/>
        <v>1.9035</v>
      </c>
    </row>
    <row r="21" spans="1:8">
      <c r="A21" s="701">
        <v>0</v>
      </c>
      <c r="B21" s="759">
        <v>2</v>
      </c>
      <c r="C21" s="759">
        <v>7.5</v>
      </c>
      <c r="D21" s="759">
        <v>2.4</v>
      </c>
      <c r="E21" s="701">
        <v>1.35</v>
      </c>
      <c r="F21" s="701">
        <v>1.55</v>
      </c>
      <c r="H21" s="759">
        <f t="shared" si="0"/>
        <v>2.0925000000000002</v>
      </c>
    </row>
    <row r="22" spans="1:8">
      <c r="A22" s="701">
        <v>0</v>
      </c>
      <c r="B22" s="759">
        <v>2</v>
      </c>
      <c r="C22" s="759">
        <v>8</v>
      </c>
      <c r="D22" s="759">
        <v>2.4</v>
      </c>
      <c r="E22" s="701">
        <v>1.35</v>
      </c>
      <c r="F22" s="701">
        <v>1.68</v>
      </c>
      <c r="H22" s="759">
        <f t="shared" si="0"/>
        <v>2.2680000000000002</v>
      </c>
    </row>
    <row r="23" spans="1:8">
      <c r="A23" s="701">
        <v>0</v>
      </c>
      <c r="B23" s="759">
        <v>2.5</v>
      </c>
      <c r="C23" s="759">
        <v>3</v>
      </c>
      <c r="D23" s="759">
        <v>2.4</v>
      </c>
      <c r="E23" s="701">
        <v>1.35</v>
      </c>
      <c r="F23" s="701">
        <v>1.64</v>
      </c>
      <c r="H23" s="759">
        <f t="shared" si="0"/>
        <v>2.214</v>
      </c>
    </row>
    <row r="24" spans="1:8">
      <c r="A24" s="701">
        <v>0</v>
      </c>
      <c r="B24" s="759">
        <v>2.5</v>
      </c>
      <c r="C24" s="759">
        <v>3.25</v>
      </c>
      <c r="D24" s="759">
        <v>2.4</v>
      </c>
      <c r="E24" s="701">
        <v>1.35</v>
      </c>
      <c r="F24" s="701">
        <v>1.64</v>
      </c>
      <c r="H24" s="759">
        <f t="shared" si="0"/>
        <v>2.214</v>
      </c>
    </row>
    <row r="25" spans="1:8">
      <c r="A25" s="701">
        <v>0</v>
      </c>
      <c r="B25" s="759">
        <v>2.5</v>
      </c>
      <c r="C25" s="759">
        <v>3.5</v>
      </c>
      <c r="D25" s="759">
        <v>2.4</v>
      </c>
      <c r="E25" s="701">
        <v>1.35</v>
      </c>
      <c r="F25" s="701">
        <v>1.64</v>
      </c>
      <c r="H25" s="759">
        <f t="shared" si="0"/>
        <v>2.214</v>
      </c>
    </row>
    <row r="26" spans="1:8">
      <c r="A26" s="701">
        <v>0</v>
      </c>
      <c r="B26" s="759">
        <v>2.5</v>
      </c>
      <c r="C26" s="759">
        <v>3.75</v>
      </c>
      <c r="D26" s="759">
        <v>2.4</v>
      </c>
      <c r="E26" s="701">
        <v>1.35</v>
      </c>
      <c r="F26" s="701">
        <v>1.64</v>
      </c>
      <c r="H26" s="759">
        <f t="shared" si="0"/>
        <v>2.214</v>
      </c>
    </row>
    <row r="27" spans="1:8">
      <c r="A27" s="701">
        <v>0</v>
      </c>
      <c r="B27" s="759">
        <v>2.5</v>
      </c>
      <c r="C27" s="759">
        <v>4</v>
      </c>
      <c r="D27" s="759">
        <v>2.4</v>
      </c>
      <c r="E27" s="701">
        <v>1.35</v>
      </c>
      <c r="F27" s="701">
        <v>1.64</v>
      </c>
      <c r="H27" s="759">
        <f t="shared" si="0"/>
        <v>2.214</v>
      </c>
    </row>
    <row r="28" spans="1:8">
      <c r="A28" s="701">
        <v>0</v>
      </c>
      <c r="B28" s="759">
        <v>2.5</v>
      </c>
      <c r="C28" s="759">
        <v>4.25</v>
      </c>
      <c r="D28" s="759">
        <v>2.4</v>
      </c>
      <c r="E28" s="701">
        <v>1.35</v>
      </c>
      <c r="F28" s="701">
        <v>1.64</v>
      </c>
      <c r="H28" s="759">
        <f t="shared" si="0"/>
        <v>2.214</v>
      </c>
    </row>
    <row r="29" spans="1:8">
      <c r="A29" s="701">
        <v>0</v>
      </c>
      <c r="B29" s="759">
        <v>2.5</v>
      </c>
      <c r="C29" s="759">
        <v>4.5</v>
      </c>
      <c r="D29" s="759">
        <v>2.4</v>
      </c>
      <c r="E29" s="701">
        <v>1.35</v>
      </c>
      <c r="F29" s="701">
        <v>1.64</v>
      </c>
      <c r="H29" s="759">
        <f t="shared" si="0"/>
        <v>2.214</v>
      </c>
    </row>
    <row r="30" spans="1:8">
      <c r="A30" s="701">
        <v>0</v>
      </c>
      <c r="B30" s="759">
        <v>2.5</v>
      </c>
      <c r="C30" s="759">
        <v>4.75</v>
      </c>
      <c r="D30" s="759">
        <v>2.4</v>
      </c>
      <c r="E30" s="701">
        <v>1.35</v>
      </c>
      <c r="F30" s="701">
        <v>1.64</v>
      </c>
      <c r="H30" s="759">
        <f t="shared" si="0"/>
        <v>2.214</v>
      </c>
    </row>
    <row r="31" spans="1:8">
      <c r="A31" s="701">
        <v>0</v>
      </c>
      <c r="B31" s="759">
        <v>2.5</v>
      </c>
      <c r="C31" s="759">
        <v>5</v>
      </c>
      <c r="D31" s="759">
        <v>2.4</v>
      </c>
      <c r="E31" s="701">
        <v>1.35</v>
      </c>
      <c r="F31" s="701">
        <v>1.64</v>
      </c>
      <c r="H31" s="759">
        <f t="shared" si="0"/>
        <v>2.214</v>
      </c>
    </row>
    <row r="32" spans="1:8">
      <c r="A32" s="701">
        <v>0</v>
      </c>
      <c r="B32" s="759">
        <v>2.5</v>
      </c>
      <c r="C32" s="759">
        <v>5.25</v>
      </c>
      <c r="D32" s="759">
        <v>2.4</v>
      </c>
      <c r="E32" s="701">
        <v>1.35</v>
      </c>
      <c r="F32" s="701">
        <v>1.64</v>
      </c>
      <c r="H32" s="759">
        <f t="shared" si="0"/>
        <v>2.214</v>
      </c>
    </row>
    <row r="33" spans="1:8">
      <c r="A33" s="701">
        <v>0</v>
      </c>
      <c r="B33" s="759">
        <v>2.5</v>
      </c>
      <c r="C33" s="759">
        <v>5.5</v>
      </c>
      <c r="D33" s="759">
        <v>2.4</v>
      </c>
      <c r="E33" s="701">
        <v>1.35</v>
      </c>
      <c r="F33" s="701">
        <v>1.64</v>
      </c>
      <c r="H33" s="759">
        <f t="shared" si="0"/>
        <v>2.214</v>
      </c>
    </row>
    <row r="34" spans="1:8">
      <c r="A34" s="701">
        <v>0</v>
      </c>
      <c r="B34" s="759">
        <v>2.5</v>
      </c>
      <c r="C34" s="759">
        <v>5.75</v>
      </c>
      <c r="D34" s="759">
        <v>2.4</v>
      </c>
      <c r="E34" s="701">
        <v>1.35</v>
      </c>
      <c r="F34" s="701">
        <v>1.64</v>
      </c>
      <c r="H34" s="759">
        <f t="shared" si="0"/>
        <v>2.214</v>
      </c>
    </row>
    <row r="35" spans="1:8">
      <c r="A35" s="701">
        <v>0</v>
      </c>
      <c r="B35" s="759">
        <v>2.5</v>
      </c>
      <c r="C35" s="759">
        <v>6</v>
      </c>
      <c r="D35" s="759">
        <v>2.4</v>
      </c>
      <c r="E35" s="701">
        <v>1.35</v>
      </c>
      <c r="F35" s="701">
        <v>1.64</v>
      </c>
      <c r="H35" s="759">
        <f t="shared" si="0"/>
        <v>2.214</v>
      </c>
    </row>
    <row r="36" spans="1:8">
      <c r="A36" s="701">
        <v>0</v>
      </c>
      <c r="B36" s="759">
        <v>2.5</v>
      </c>
      <c r="C36" s="759">
        <v>6.25</v>
      </c>
      <c r="D36" s="759">
        <v>2.4</v>
      </c>
      <c r="E36" s="701">
        <v>1.35</v>
      </c>
      <c r="F36" s="701">
        <v>1.64</v>
      </c>
      <c r="H36" s="759">
        <f t="shared" si="0"/>
        <v>2.214</v>
      </c>
    </row>
    <row r="37" spans="1:8">
      <c r="A37" s="701">
        <v>0</v>
      </c>
      <c r="B37" s="759">
        <v>2.5</v>
      </c>
      <c r="C37" s="759">
        <v>6.5</v>
      </c>
      <c r="D37" s="759">
        <v>2.4</v>
      </c>
      <c r="E37" s="701">
        <v>1.35</v>
      </c>
      <c r="F37" s="701">
        <v>1.64</v>
      </c>
      <c r="H37" s="759">
        <f t="shared" si="0"/>
        <v>2.214</v>
      </c>
    </row>
    <row r="38" spans="1:8">
      <c r="A38" s="701">
        <v>0</v>
      </c>
      <c r="B38" s="759">
        <v>2.5</v>
      </c>
      <c r="C38" s="759">
        <v>6.75</v>
      </c>
      <c r="D38" s="759">
        <v>2.4</v>
      </c>
      <c r="E38" s="701">
        <v>1.35</v>
      </c>
      <c r="F38" s="701">
        <v>1.64</v>
      </c>
      <c r="H38" s="759">
        <f t="shared" si="0"/>
        <v>2.214</v>
      </c>
    </row>
    <row r="39" spans="1:8">
      <c r="A39" s="701">
        <v>0</v>
      </c>
      <c r="B39" s="759">
        <v>2.5</v>
      </c>
      <c r="C39" s="759">
        <v>7</v>
      </c>
      <c r="D39" s="759">
        <v>2.4</v>
      </c>
      <c r="E39" s="701">
        <v>1.35</v>
      </c>
      <c r="F39" s="701">
        <v>1.64</v>
      </c>
      <c r="H39" s="759">
        <f t="shared" si="0"/>
        <v>2.214</v>
      </c>
    </row>
    <row r="40" spans="1:8">
      <c r="A40" s="701">
        <v>0</v>
      </c>
      <c r="B40" s="759">
        <v>2.5</v>
      </c>
      <c r="C40" s="759">
        <v>7.5</v>
      </c>
      <c r="D40" s="759">
        <v>2.4</v>
      </c>
      <c r="E40" s="701">
        <v>1.35</v>
      </c>
      <c r="F40" s="701">
        <v>1.77</v>
      </c>
      <c r="H40" s="759">
        <f t="shared" si="0"/>
        <v>2.3895000000000004</v>
      </c>
    </row>
    <row r="41" spans="1:8">
      <c r="A41" s="701">
        <v>0</v>
      </c>
      <c r="B41" s="759">
        <v>2.5</v>
      </c>
      <c r="C41" s="759">
        <v>8</v>
      </c>
      <c r="D41" s="759">
        <v>2.4</v>
      </c>
      <c r="E41" s="701">
        <v>1.35</v>
      </c>
      <c r="F41" s="701">
        <v>1.93</v>
      </c>
      <c r="H41" s="759">
        <f t="shared" si="0"/>
        <v>2.6055000000000001</v>
      </c>
    </row>
    <row r="42" spans="1:8">
      <c r="A42" s="701">
        <v>0</v>
      </c>
      <c r="B42" s="759">
        <v>3</v>
      </c>
      <c r="C42" s="759">
        <v>3</v>
      </c>
      <c r="D42" s="759">
        <v>2.4</v>
      </c>
      <c r="E42" s="701">
        <v>1.35</v>
      </c>
      <c r="F42" s="701">
        <v>1.97</v>
      </c>
      <c r="H42" s="759">
        <f t="shared" si="0"/>
        <v>2.6595</v>
      </c>
    </row>
    <row r="43" spans="1:8">
      <c r="A43" s="701">
        <v>0</v>
      </c>
      <c r="B43" s="759">
        <v>3</v>
      </c>
      <c r="C43" s="759">
        <v>3.25</v>
      </c>
      <c r="D43" s="759">
        <v>2.4</v>
      </c>
      <c r="E43" s="701">
        <v>1.35</v>
      </c>
      <c r="F43" s="701">
        <v>1.97</v>
      </c>
      <c r="H43" s="759">
        <f t="shared" si="0"/>
        <v>2.6595</v>
      </c>
    </row>
    <row r="44" spans="1:8">
      <c r="A44" s="701">
        <v>0</v>
      </c>
      <c r="B44" s="759">
        <v>3</v>
      </c>
      <c r="C44" s="759">
        <v>3.5</v>
      </c>
      <c r="D44" s="759">
        <v>2.4</v>
      </c>
      <c r="E44" s="701">
        <v>1.35</v>
      </c>
      <c r="F44" s="701">
        <v>1.97</v>
      </c>
      <c r="H44" s="759">
        <f t="shared" si="0"/>
        <v>2.6595</v>
      </c>
    </row>
    <row r="45" spans="1:8">
      <c r="A45" s="701">
        <v>0</v>
      </c>
      <c r="B45" s="759">
        <v>3</v>
      </c>
      <c r="C45" s="759">
        <v>3.75</v>
      </c>
      <c r="D45" s="759">
        <v>2.4</v>
      </c>
      <c r="E45" s="701">
        <v>1.35</v>
      </c>
      <c r="F45" s="701">
        <v>1.97</v>
      </c>
      <c r="H45" s="759">
        <f t="shared" si="0"/>
        <v>2.6595</v>
      </c>
    </row>
    <row r="46" spans="1:8">
      <c r="A46" s="701">
        <v>0</v>
      </c>
      <c r="B46" s="759">
        <v>3</v>
      </c>
      <c r="C46" s="759">
        <v>4</v>
      </c>
      <c r="D46" s="759">
        <v>2.4</v>
      </c>
      <c r="E46" s="701">
        <v>1.35</v>
      </c>
      <c r="F46" s="701">
        <v>1.97</v>
      </c>
      <c r="H46" s="759">
        <f t="shared" si="0"/>
        <v>2.6595</v>
      </c>
    </row>
    <row r="47" spans="1:8">
      <c r="A47" s="701">
        <v>0</v>
      </c>
      <c r="B47" s="759">
        <v>3</v>
      </c>
      <c r="C47" s="759">
        <v>4.25</v>
      </c>
      <c r="D47" s="759">
        <v>2.4</v>
      </c>
      <c r="E47" s="701">
        <v>1.35</v>
      </c>
      <c r="F47" s="701">
        <v>1.97</v>
      </c>
      <c r="H47" s="759">
        <f t="shared" si="0"/>
        <v>2.6595</v>
      </c>
    </row>
    <row r="48" spans="1:8">
      <c r="A48" s="701">
        <v>0</v>
      </c>
      <c r="B48" s="759">
        <v>3</v>
      </c>
      <c r="C48" s="759">
        <v>4.5</v>
      </c>
      <c r="D48" s="759">
        <v>2.4</v>
      </c>
      <c r="E48" s="701">
        <v>1.35</v>
      </c>
      <c r="F48" s="701">
        <v>1.97</v>
      </c>
      <c r="H48" s="759">
        <f t="shared" si="0"/>
        <v>2.6595</v>
      </c>
    </row>
    <row r="49" spans="1:8">
      <c r="A49" s="701">
        <v>0</v>
      </c>
      <c r="B49" s="759">
        <v>3</v>
      </c>
      <c r="C49" s="759">
        <v>4.75</v>
      </c>
      <c r="D49" s="759">
        <v>2.4</v>
      </c>
      <c r="E49" s="701">
        <v>1.35</v>
      </c>
      <c r="F49" s="701">
        <v>1.97</v>
      </c>
      <c r="H49" s="759">
        <f t="shared" si="0"/>
        <v>2.6595</v>
      </c>
    </row>
    <row r="50" spans="1:8">
      <c r="A50" s="701">
        <v>0</v>
      </c>
      <c r="B50" s="759">
        <v>3</v>
      </c>
      <c r="C50" s="759">
        <v>5</v>
      </c>
      <c r="D50" s="759">
        <v>2.4</v>
      </c>
      <c r="E50" s="701">
        <v>1.35</v>
      </c>
      <c r="F50" s="701">
        <v>1.97</v>
      </c>
      <c r="H50" s="759">
        <f t="shared" si="0"/>
        <v>2.6595</v>
      </c>
    </row>
    <row r="51" spans="1:8">
      <c r="A51" s="701">
        <v>0</v>
      </c>
      <c r="B51" s="759">
        <v>3</v>
      </c>
      <c r="C51" s="759">
        <v>5.25</v>
      </c>
      <c r="D51" s="759">
        <v>2.4</v>
      </c>
      <c r="E51" s="701">
        <v>1.35</v>
      </c>
      <c r="F51" s="701">
        <v>1.97</v>
      </c>
      <c r="H51" s="759">
        <f t="shared" si="0"/>
        <v>2.6595</v>
      </c>
    </row>
    <row r="52" spans="1:8">
      <c r="A52" s="701">
        <v>0</v>
      </c>
      <c r="B52" s="759">
        <v>3</v>
      </c>
      <c r="C52" s="759">
        <v>5.5</v>
      </c>
      <c r="D52" s="759">
        <v>2.4</v>
      </c>
      <c r="E52" s="701">
        <v>1.35</v>
      </c>
      <c r="F52" s="701">
        <v>1.97</v>
      </c>
      <c r="H52" s="759">
        <f t="shared" si="0"/>
        <v>2.6595</v>
      </c>
    </row>
    <row r="53" spans="1:8">
      <c r="A53" s="701">
        <v>0</v>
      </c>
      <c r="B53" s="759">
        <v>3</v>
      </c>
      <c r="C53" s="759">
        <v>5.75</v>
      </c>
      <c r="D53" s="759">
        <v>2.4</v>
      </c>
      <c r="E53" s="701">
        <v>1.35</v>
      </c>
      <c r="F53" s="701">
        <v>1.97</v>
      </c>
      <c r="H53" s="759">
        <f t="shared" si="0"/>
        <v>2.6595</v>
      </c>
    </row>
    <row r="54" spans="1:8">
      <c r="A54" s="701">
        <v>0</v>
      </c>
      <c r="B54" s="759">
        <v>3</v>
      </c>
      <c r="C54" s="759">
        <v>6</v>
      </c>
      <c r="D54" s="759">
        <v>2.4</v>
      </c>
      <c r="E54" s="701">
        <v>1.35</v>
      </c>
      <c r="F54" s="701">
        <v>1.97</v>
      </c>
      <c r="H54" s="759">
        <f t="shared" si="0"/>
        <v>2.6595</v>
      </c>
    </row>
    <row r="55" spans="1:8">
      <c r="A55" s="701">
        <v>0</v>
      </c>
      <c r="B55" s="759">
        <v>3</v>
      </c>
      <c r="C55" s="759">
        <v>6.25</v>
      </c>
      <c r="D55" s="759">
        <v>2.4</v>
      </c>
      <c r="E55" s="701">
        <v>1.35</v>
      </c>
      <c r="F55" s="701">
        <v>1.97</v>
      </c>
      <c r="H55" s="759">
        <f t="shared" si="0"/>
        <v>2.6595</v>
      </c>
    </row>
    <row r="56" spans="1:8">
      <c r="A56" s="701">
        <v>0</v>
      </c>
      <c r="B56" s="759">
        <v>3</v>
      </c>
      <c r="C56" s="759">
        <v>6.5</v>
      </c>
      <c r="D56" s="759">
        <v>2.4</v>
      </c>
      <c r="E56" s="701">
        <v>1.35</v>
      </c>
      <c r="F56" s="701">
        <v>1.97</v>
      </c>
      <c r="H56" s="759">
        <f t="shared" si="0"/>
        <v>2.6595</v>
      </c>
    </row>
    <row r="57" spans="1:8">
      <c r="A57" s="701">
        <v>0</v>
      </c>
      <c r="B57" s="759">
        <v>3</v>
      </c>
      <c r="C57" s="759">
        <v>6.75</v>
      </c>
      <c r="D57" s="759">
        <v>2.4</v>
      </c>
      <c r="E57" s="701">
        <v>1.35</v>
      </c>
      <c r="F57" s="701">
        <v>1.97</v>
      </c>
      <c r="H57" s="759">
        <f t="shared" si="0"/>
        <v>2.6595</v>
      </c>
    </row>
    <row r="58" spans="1:8">
      <c r="A58" s="701">
        <v>0</v>
      </c>
      <c r="B58" s="759">
        <v>3</v>
      </c>
      <c r="C58" s="759">
        <v>7</v>
      </c>
      <c r="D58" s="759">
        <v>2.4</v>
      </c>
      <c r="E58" s="701">
        <v>1.35</v>
      </c>
      <c r="F58" s="701">
        <v>1.97</v>
      </c>
      <c r="H58" s="759">
        <f t="shared" si="0"/>
        <v>2.6595</v>
      </c>
    </row>
    <row r="59" spans="1:8">
      <c r="A59" s="701">
        <v>0</v>
      </c>
      <c r="B59" s="759">
        <v>3</v>
      </c>
      <c r="C59" s="759">
        <v>7.5</v>
      </c>
      <c r="D59" s="759">
        <v>2.4</v>
      </c>
      <c r="E59" s="701">
        <v>1.35</v>
      </c>
      <c r="F59" s="701">
        <v>1.99</v>
      </c>
      <c r="H59" s="759">
        <f t="shared" si="0"/>
        <v>2.6865000000000001</v>
      </c>
    </row>
    <row r="60" spans="1:8">
      <c r="A60" s="701">
        <v>0</v>
      </c>
      <c r="B60" s="759">
        <v>3</v>
      </c>
      <c r="C60" s="759">
        <v>8</v>
      </c>
      <c r="D60" s="759">
        <v>2.4</v>
      </c>
      <c r="E60" s="701">
        <v>1.35</v>
      </c>
      <c r="F60" s="701">
        <v>2.17</v>
      </c>
      <c r="H60" s="759">
        <f t="shared" si="0"/>
        <v>2.9295</v>
      </c>
    </row>
    <row r="61" spans="1:8">
      <c r="A61" s="701">
        <v>0</v>
      </c>
      <c r="B61" s="759">
        <v>3.5</v>
      </c>
      <c r="C61" s="759">
        <v>3</v>
      </c>
      <c r="D61" s="759">
        <v>2.4</v>
      </c>
      <c r="E61" s="701">
        <v>1.35</v>
      </c>
      <c r="F61" s="759">
        <v>2.2999999999999998</v>
      </c>
      <c r="H61" s="759">
        <f t="shared" si="0"/>
        <v>3.105</v>
      </c>
    </row>
    <row r="62" spans="1:8">
      <c r="A62" s="701">
        <v>0</v>
      </c>
      <c r="B62" s="759">
        <v>3.5</v>
      </c>
      <c r="C62" s="759">
        <v>3.25</v>
      </c>
      <c r="D62" s="759">
        <v>2.4</v>
      </c>
      <c r="E62" s="701">
        <v>1.35</v>
      </c>
      <c r="F62" s="759">
        <v>2.2999999999999998</v>
      </c>
      <c r="H62" s="759">
        <f t="shared" si="0"/>
        <v>3.105</v>
      </c>
    </row>
    <row r="63" spans="1:8">
      <c r="A63" s="701">
        <v>0</v>
      </c>
      <c r="B63" s="759">
        <v>3.5</v>
      </c>
      <c r="C63" s="759">
        <v>3.5</v>
      </c>
      <c r="D63" s="759">
        <v>2.4</v>
      </c>
      <c r="E63" s="701">
        <v>1.35</v>
      </c>
      <c r="F63" s="759">
        <v>2.2999999999999998</v>
      </c>
      <c r="H63" s="759">
        <f t="shared" si="0"/>
        <v>3.105</v>
      </c>
    </row>
    <row r="64" spans="1:8">
      <c r="A64" s="701">
        <v>0</v>
      </c>
      <c r="B64" s="759">
        <v>3.5</v>
      </c>
      <c r="C64" s="759">
        <v>3.75</v>
      </c>
      <c r="D64" s="759">
        <v>2.4</v>
      </c>
      <c r="E64" s="701">
        <v>1.35</v>
      </c>
      <c r="F64" s="759">
        <v>2.2999999999999998</v>
      </c>
      <c r="H64" s="759">
        <f t="shared" si="0"/>
        <v>3.105</v>
      </c>
    </row>
    <row r="65" spans="1:8">
      <c r="A65" s="701">
        <v>0</v>
      </c>
      <c r="B65" s="759">
        <v>3.5</v>
      </c>
      <c r="C65" s="759">
        <v>4</v>
      </c>
      <c r="D65" s="759">
        <v>2.4</v>
      </c>
      <c r="E65" s="701">
        <v>1.35</v>
      </c>
      <c r="F65" s="759">
        <v>2.2999999999999998</v>
      </c>
      <c r="H65" s="759">
        <f t="shared" si="0"/>
        <v>3.105</v>
      </c>
    </row>
    <row r="66" spans="1:8">
      <c r="A66" s="701">
        <v>0</v>
      </c>
      <c r="B66" s="759">
        <v>3.5</v>
      </c>
      <c r="C66" s="759">
        <v>4.25</v>
      </c>
      <c r="D66" s="759">
        <v>2.4</v>
      </c>
      <c r="E66" s="701">
        <v>1.35</v>
      </c>
      <c r="F66" s="759">
        <v>2.2999999999999998</v>
      </c>
      <c r="H66" s="759">
        <f t="shared" si="0"/>
        <v>3.105</v>
      </c>
    </row>
    <row r="67" spans="1:8">
      <c r="A67" s="701">
        <v>0</v>
      </c>
      <c r="B67" s="759">
        <v>3.5</v>
      </c>
      <c r="C67" s="759">
        <v>4.5</v>
      </c>
      <c r="D67" s="759">
        <v>2.4</v>
      </c>
      <c r="E67" s="701">
        <v>1.35</v>
      </c>
      <c r="F67" s="759">
        <v>2.2999999999999998</v>
      </c>
      <c r="H67" s="759">
        <f t="shared" si="0"/>
        <v>3.105</v>
      </c>
    </row>
    <row r="68" spans="1:8">
      <c r="A68" s="701">
        <v>0</v>
      </c>
      <c r="B68" s="759">
        <v>3.5</v>
      </c>
      <c r="C68" s="759">
        <v>4.75</v>
      </c>
      <c r="D68" s="759">
        <v>2.4</v>
      </c>
      <c r="E68" s="701">
        <v>1.35</v>
      </c>
      <c r="F68" s="759">
        <v>2.2999999999999998</v>
      </c>
      <c r="H68" s="759">
        <f t="shared" si="0"/>
        <v>3.105</v>
      </c>
    </row>
    <row r="69" spans="1:8">
      <c r="A69" s="701">
        <v>0</v>
      </c>
      <c r="B69" s="759">
        <v>3.5</v>
      </c>
      <c r="C69" s="759">
        <v>5</v>
      </c>
      <c r="D69" s="759">
        <v>2.4</v>
      </c>
      <c r="E69" s="701">
        <v>1.35</v>
      </c>
      <c r="F69" s="759">
        <v>2.2999999999999998</v>
      </c>
      <c r="H69" s="759">
        <f t="shared" ref="H69:H132" si="1">F69*E69</f>
        <v>3.105</v>
      </c>
    </row>
    <row r="70" spans="1:8">
      <c r="A70" s="701">
        <v>0</v>
      </c>
      <c r="B70" s="759">
        <v>3.5</v>
      </c>
      <c r="C70" s="759">
        <v>5.25</v>
      </c>
      <c r="D70" s="759">
        <v>2.4</v>
      </c>
      <c r="E70" s="701">
        <v>1.35</v>
      </c>
      <c r="F70" s="759">
        <v>2.2999999999999998</v>
      </c>
      <c r="H70" s="759">
        <f t="shared" si="1"/>
        <v>3.105</v>
      </c>
    </row>
    <row r="71" spans="1:8">
      <c r="A71" s="701">
        <v>0</v>
      </c>
      <c r="B71" s="759">
        <v>3.5</v>
      </c>
      <c r="C71" s="759">
        <v>5.5</v>
      </c>
      <c r="D71" s="759">
        <v>2.4</v>
      </c>
      <c r="E71" s="701">
        <v>1.35</v>
      </c>
      <c r="F71" s="759">
        <v>2.2999999999999998</v>
      </c>
      <c r="H71" s="759">
        <f t="shared" si="1"/>
        <v>3.105</v>
      </c>
    </row>
    <row r="72" spans="1:8">
      <c r="A72" s="701">
        <v>0</v>
      </c>
      <c r="B72" s="759">
        <v>3.5</v>
      </c>
      <c r="C72" s="759">
        <v>5.75</v>
      </c>
      <c r="D72" s="759">
        <v>2.4</v>
      </c>
      <c r="E72" s="701">
        <v>1.35</v>
      </c>
      <c r="F72" s="759">
        <v>2.2999999999999998</v>
      </c>
      <c r="H72" s="759">
        <f t="shared" si="1"/>
        <v>3.105</v>
      </c>
    </row>
    <row r="73" spans="1:8">
      <c r="A73" s="701">
        <v>0</v>
      </c>
      <c r="B73" s="759">
        <v>3.5</v>
      </c>
      <c r="C73" s="759">
        <v>6</v>
      </c>
      <c r="D73" s="759">
        <v>2.4</v>
      </c>
      <c r="E73" s="701">
        <v>1.35</v>
      </c>
      <c r="F73" s="759">
        <v>2.2999999999999998</v>
      </c>
      <c r="H73" s="759">
        <f t="shared" si="1"/>
        <v>3.105</v>
      </c>
    </row>
    <row r="74" spans="1:8">
      <c r="A74" s="701">
        <v>0</v>
      </c>
      <c r="B74" s="759">
        <v>3.5</v>
      </c>
      <c r="C74" s="759">
        <v>6.25</v>
      </c>
      <c r="D74" s="759">
        <v>2.4</v>
      </c>
      <c r="E74" s="701">
        <v>1.35</v>
      </c>
      <c r="F74" s="759">
        <v>2.2999999999999998</v>
      </c>
      <c r="H74" s="759">
        <f t="shared" si="1"/>
        <v>3.105</v>
      </c>
    </row>
    <row r="75" spans="1:8">
      <c r="A75" s="701">
        <v>0</v>
      </c>
      <c r="B75" s="759">
        <v>3.5</v>
      </c>
      <c r="C75" s="759">
        <v>6.5</v>
      </c>
      <c r="D75" s="759">
        <v>2.4</v>
      </c>
      <c r="E75" s="701">
        <v>1.35</v>
      </c>
      <c r="F75" s="759">
        <v>2.2999999999999998</v>
      </c>
      <c r="H75" s="759">
        <f t="shared" si="1"/>
        <v>3.105</v>
      </c>
    </row>
    <row r="76" spans="1:8">
      <c r="A76" s="701">
        <v>0</v>
      </c>
      <c r="B76" s="759">
        <v>3.5</v>
      </c>
      <c r="C76" s="759">
        <v>6.75</v>
      </c>
      <c r="D76" s="759">
        <v>2.4</v>
      </c>
      <c r="E76" s="701">
        <v>1.35</v>
      </c>
      <c r="F76" s="759">
        <v>2.2999999999999998</v>
      </c>
      <c r="H76" s="759">
        <f t="shared" si="1"/>
        <v>3.105</v>
      </c>
    </row>
    <row r="77" spans="1:8">
      <c r="A77" s="701">
        <v>0</v>
      </c>
      <c r="B77" s="759">
        <v>3.5</v>
      </c>
      <c r="C77" s="759">
        <v>7</v>
      </c>
      <c r="D77" s="759">
        <v>2.4</v>
      </c>
      <c r="E77" s="701">
        <v>1.35</v>
      </c>
      <c r="F77" s="759">
        <v>2.2999999999999998</v>
      </c>
      <c r="H77" s="759">
        <f t="shared" si="1"/>
        <v>3.105</v>
      </c>
    </row>
    <row r="78" spans="1:8">
      <c r="A78" s="701">
        <v>0</v>
      </c>
      <c r="B78" s="759">
        <v>3.5</v>
      </c>
      <c r="C78" s="759">
        <v>7.5</v>
      </c>
      <c r="D78" s="759">
        <v>2.4</v>
      </c>
      <c r="E78" s="701">
        <v>1.35</v>
      </c>
      <c r="F78" s="759">
        <v>2.2999999999999998</v>
      </c>
      <c r="H78" s="759">
        <f t="shared" si="1"/>
        <v>3.105</v>
      </c>
    </row>
    <row r="79" spans="1:8">
      <c r="A79" s="701">
        <v>0</v>
      </c>
      <c r="B79" s="759">
        <v>3.5</v>
      </c>
      <c r="C79" s="759">
        <v>8</v>
      </c>
      <c r="D79" s="759">
        <v>2.4</v>
      </c>
      <c r="E79" s="701">
        <v>1.35</v>
      </c>
      <c r="F79" s="759">
        <v>2.42</v>
      </c>
      <c r="H79" s="759">
        <f t="shared" si="1"/>
        <v>3.2669999999999999</v>
      </c>
    </row>
    <row r="80" spans="1:8">
      <c r="A80" s="701">
        <v>0</v>
      </c>
      <c r="B80" s="759">
        <v>4</v>
      </c>
      <c r="C80" s="759">
        <v>3</v>
      </c>
      <c r="D80" s="759">
        <v>2.4</v>
      </c>
      <c r="E80" s="701">
        <v>1.35</v>
      </c>
      <c r="F80" s="759">
        <v>2.63</v>
      </c>
      <c r="H80" s="759">
        <f t="shared" si="1"/>
        <v>3.5505</v>
      </c>
    </row>
    <row r="81" spans="1:8">
      <c r="A81" s="701">
        <v>0</v>
      </c>
      <c r="B81" s="759">
        <v>4</v>
      </c>
      <c r="C81" s="759">
        <v>3.25</v>
      </c>
      <c r="D81" s="759">
        <v>2.4</v>
      </c>
      <c r="E81" s="701">
        <v>1.35</v>
      </c>
      <c r="F81" s="759">
        <v>2.63</v>
      </c>
      <c r="H81" s="759">
        <f t="shared" si="1"/>
        <v>3.5505</v>
      </c>
    </row>
    <row r="82" spans="1:8">
      <c r="A82" s="701">
        <v>0</v>
      </c>
      <c r="B82" s="759">
        <v>4</v>
      </c>
      <c r="C82" s="759">
        <v>3.5</v>
      </c>
      <c r="D82" s="759">
        <v>2.4</v>
      </c>
      <c r="E82" s="701">
        <v>1.35</v>
      </c>
      <c r="F82" s="759">
        <v>2.63</v>
      </c>
      <c r="H82" s="759">
        <f t="shared" si="1"/>
        <v>3.5505</v>
      </c>
    </row>
    <row r="83" spans="1:8">
      <c r="A83" s="701">
        <v>0</v>
      </c>
      <c r="B83" s="759">
        <v>4</v>
      </c>
      <c r="C83" s="759">
        <v>3.75</v>
      </c>
      <c r="D83" s="759">
        <v>2.4</v>
      </c>
      <c r="E83" s="701">
        <v>1.35</v>
      </c>
      <c r="F83" s="759">
        <v>2.63</v>
      </c>
      <c r="H83" s="759">
        <f t="shared" si="1"/>
        <v>3.5505</v>
      </c>
    </row>
    <row r="84" spans="1:8">
      <c r="A84" s="701">
        <v>0</v>
      </c>
      <c r="B84" s="759">
        <v>4</v>
      </c>
      <c r="C84" s="759">
        <v>4</v>
      </c>
      <c r="D84" s="759">
        <v>2.4</v>
      </c>
      <c r="E84" s="701">
        <v>1.35</v>
      </c>
      <c r="F84" s="759">
        <v>2.63</v>
      </c>
      <c r="H84" s="759">
        <f t="shared" si="1"/>
        <v>3.5505</v>
      </c>
    </row>
    <row r="85" spans="1:8">
      <c r="A85" s="701">
        <v>0</v>
      </c>
      <c r="B85" s="759">
        <v>4</v>
      </c>
      <c r="C85" s="759">
        <v>4.25</v>
      </c>
      <c r="D85" s="759">
        <v>2.4</v>
      </c>
      <c r="E85" s="701">
        <v>1.35</v>
      </c>
      <c r="F85" s="759">
        <v>2.63</v>
      </c>
      <c r="H85" s="759">
        <f t="shared" si="1"/>
        <v>3.5505</v>
      </c>
    </row>
    <row r="86" spans="1:8">
      <c r="A86" s="701">
        <v>0</v>
      </c>
      <c r="B86" s="759">
        <v>4</v>
      </c>
      <c r="C86" s="759">
        <v>4.5</v>
      </c>
      <c r="D86" s="759">
        <v>2.4</v>
      </c>
      <c r="E86" s="701">
        <v>1.35</v>
      </c>
      <c r="F86" s="759">
        <v>2.63</v>
      </c>
      <c r="H86" s="759">
        <f t="shared" si="1"/>
        <v>3.5505</v>
      </c>
    </row>
    <row r="87" spans="1:8">
      <c r="A87" s="701">
        <v>0</v>
      </c>
      <c r="B87" s="759">
        <v>4</v>
      </c>
      <c r="C87" s="759">
        <v>4.75</v>
      </c>
      <c r="D87" s="759">
        <v>2.4</v>
      </c>
      <c r="E87" s="701">
        <v>1.35</v>
      </c>
      <c r="F87" s="759">
        <v>2.63</v>
      </c>
      <c r="H87" s="759">
        <f t="shared" si="1"/>
        <v>3.5505</v>
      </c>
    </row>
    <row r="88" spans="1:8">
      <c r="A88" s="701">
        <v>0</v>
      </c>
      <c r="B88" s="759">
        <v>4</v>
      </c>
      <c r="C88" s="759">
        <v>5</v>
      </c>
      <c r="D88" s="759">
        <v>2.4</v>
      </c>
      <c r="E88" s="701">
        <v>1.35</v>
      </c>
      <c r="F88" s="759">
        <v>2.63</v>
      </c>
      <c r="H88" s="759">
        <f t="shared" si="1"/>
        <v>3.5505</v>
      </c>
    </row>
    <row r="89" spans="1:8">
      <c r="A89" s="701">
        <v>0</v>
      </c>
      <c r="B89" s="759">
        <v>4</v>
      </c>
      <c r="C89" s="759">
        <v>5.25</v>
      </c>
      <c r="D89" s="759">
        <v>2.4</v>
      </c>
      <c r="E89" s="701">
        <v>1.35</v>
      </c>
      <c r="F89" s="759">
        <v>2.63</v>
      </c>
      <c r="H89" s="759">
        <f t="shared" si="1"/>
        <v>3.5505</v>
      </c>
    </row>
    <row r="90" spans="1:8">
      <c r="A90" s="701">
        <v>0</v>
      </c>
      <c r="B90" s="759">
        <v>4</v>
      </c>
      <c r="C90" s="759">
        <v>5.5</v>
      </c>
      <c r="D90" s="759">
        <v>2.4</v>
      </c>
      <c r="E90" s="701">
        <v>1.35</v>
      </c>
      <c r="F90" s="759">
        <v>2.63</v>
      </c>
      <c r="H90" s="759">
        <f t="shared" si="1"/>
        <v>3.5505</v>
      </c>
    </row>
    <row r="91" spans="1:8">
      <c r="A91" s="701">
        <v>0</v>
      </c>
      <c r="B91" s="759">
        <v>4</v>
      </c>
      <c r="C91" s="759">
        <v>5.75</v>
      </c>
      <c r="D91" s="759">
        <v>2.4</v>
      </c>
      <c r="E91" s="701">
        <v>1.35</v>
      </c>
      <c r="F91" s="759">
        <v>2.63</v>
      </c>
      <c r="H91" s="759">
        <f t="shared" si="1"/>
        <v>3.5505</v>
      </c>
    </row>
    <row r="92" spans="1:8">
      <c r="A92" s="701">
        <v>0</v>
      </c>
      <c r="B92" s="759">
        <v>4</v>
      </c>
      <c r="C92" s="759">
        <v>6</v>
      </c>
      <c r="D92" s="759">
        <v>2.4</v>
      </c>
      <c r="E92" s="701">
        <v>1.35</v>
      </c>
      <c r="F92" s="759">
        <v>2.63</v>
      </c>
      <c r="H92" s="759">
        <f t="shared" si="1"/>
        <v>3.5505</v>
      </c>
    </row>
    <row r="93" spans="1:8">
      <c r="A93" s="701">
        <v>0</v>
      </c>
      <c r="B93" s="759">
        <v>4</v>
      </c>
      <c r="C93" s="759">
        <v>6.25</v>
      </c>
      <c r="D93" s="759">
        <v>2.4</v>
      </c>
      <c r="E93" s="701">
        <v>1.35</v>
      </c>
      <c r="F93" s="759">
        <v>2.63</v>
      </c>
      <c r="H93" s="759">
        <f t="shared" si="1"/>
        <v>3.5505</v>
      </c>
    </row>
    <row r="94" spans="1:8">
      <c r="A94" s="701">
        <v>0</v>
      </c>
      <c r="B94" s="759">
        <v>4</v>
      </c>
      <c r="C94" s="759">
        <v>6.5</v>
      </c>
      <c r="D94" s="759">
        <v>2.4</v>
      </c>
      <c r="E94" s="701">
        <v>1.35</v>
      </c>
      <c r="F94" s="759">
        <v>2.63</v>
      </c>
      <c r="H94" s="759">
        <f t="shared" si="1"/>
        <v>3.5505</v>
      </c>
    </row>
    <row r="95" spans="1:8">
      <c r="A95" s="701">
        <v>0</v>
      </c>
      <c r="B95" s="759">
        <v>4</v>
      </c>
      <c r="C95" s="759">
        <v>6.75</v>
      </c>
      <c r="D95" s="759">
        <v>2.4</v>
      </c>
      <c r="E95" s="701">
        <v>1.35</v>
      </c>
      <c r="F95" s="759">
        <v>2.63</v>
      </c>
      <c r="H95" s="759">
        <f t="shared" si="1"/>
        <v>3.5505</v>
      </c>
    </row>
    <row r="96" spans="1:8">
      <c r="A96" s="701">
        <v>0</v>
      </c>
      <c r="B96" s="759">
        <v>4</v>
      </c>
      <c r="C96" s="759">
        <v>7</v>
      </c>
      <c r="D96" s="759">
        <v>2.4</v>
      </c>
      <c r="E96" s="701">
        <v>1.35</v>
      </c>
      <c r="F96" s="759">
        <v>2.63</v>
      </c>
      <c r="H96" s="759">
        <f t="shared" si="1"/>
        <v>3.5505</v>
      </c>
    </row>
    <row r="97" spans="1:8">
      <c r="A97" s="701">
        <v>0</v>
      </c>
      <c r="B97" s="759">
        <v>4</v>
      </c>
      <c r="C97" s="759">
        <v>7.5</v>
      </c>
      <c r="D97" s="759">
        <v>2.4</v>
      </c>
      <c r="E97" s="701">
        <v>1.35</v>
      </c>
      <c r="F97" s="759">
        <v>2.63</v>
      </c>
      <c r="H97" s="759">
        <f t="shared" si="1"/>
        <v>3.5505</v>
      </c>
    </row>
    <row r="98" spans="1:8">
      <c r="A98" s="701">
        <v>0</v>
      </c>
      <c r="B98" s="759">
        <v>4</v>
      </c>
      <c r="C98" s="759">
        <v>8</v>
      </c>
      <c r="D98" s="759">
        <v>2.4</v>
      </c>
      <c r="E98" s="701">
        <v>1.35</v>
      </c>
      <c r="F98" s="759">
        <v>2.66</v>
      </c>
      <c r="H98" s="759">
        <f t="shared" si="1"/>
        <v>3.5910000000000006</v>
      </c>
    </row>
    <row r="99" spans="1:8">
      <c r="A99" s="701">
        <v>0</v>
      </c>
      <c r="B99" s="759">
        <v>4.5</v>
      </c>
      <c r="C99" s="759">
        <v>3</v>
      </c>
      <c r="D99" s="759">
        <v>2.4</v>
      </c>
      <c r="E99" s="701">
        <v>1.35</v>
      </c>
      <c r="F99" s="759">
        <v>2.96</v>
      </c>
      <c r="H99" s="759">
        <f t="shared" si="1"/>
        <v>3.996</v>
      </c>
    </row>
    <row r="100" spans="1:8">
      <c r="A100" s="701">
        <v>0</v>
      </c>
      <c r="B100" s="759">
        <v>4.5</v>
      </c>
      <c r="C100" s="759">
        <v>3.25</v>
      </c>
      <c r="D100" s="759">
        <v>2.4</v>
      </c>
      <c r="E100" s="701">
        <v>1.35</v>
      </c>
      <c r="F100" s="759">
        <v>2.96</v>
      </c>
      <c r="H100" s="759">
        <f t="shared" si="1"/>
        <v>3.996</v>
      </c>
    </row>
    <row r="101" spans="1:8">
      <c r="A101" s="701">
        <v>0</v>
      </c>
      <c r="B101" s="759">
        <v>4.5</v>
      </c>
      <c r="C101" s="759">
        <v>3.5</v>
      </c>
      <c r="D101" s="759">
        <v>2.4</v>
      </c>
      <c r="E101" s="701">
        <v>1.35</v>
      </c>
      <c r="F101" s="759">
        <v>2.96</v>
      </c>
      <c r="H101" s="759">
        <f t="shared" si="1"/>
        <v>3.996</v>
      </c>
    </row>
    <row r="102" spans="1:8">
      <c r="A102" s="701">
        <v>0</v>
      </c>
      <c r="B102" s="759">
        <v>4.5</v>
      </c>
      <c r="C102" s="759">
        <v>3.75</v>
      </c>
      <c r="D102" s="759">
        <v>2.4</v>
      </c>
      <c r="E102" s="701">
        <v>1.35</v>
      </c>
      <c r="F102" s="759">
        <v>2.96</v>
      </c>
      <c r="H102" s="759">
        <f t="shared" si="1"/>
        <v>3.996</v>
      </c>
    </row>
    <row r="103" spans="1:8">
      <c r="A103" s="701">
        <v>0</v>
      </c>
      <c r="B103" s="759">
        <v>4.5</v>
      </c>
      <c r="C103" s="759">
        <v>4</v>
      </c>
      <c r="D103" s="759">
        <v>2.4</v>
      </c>
      <c r="E103" s="701">
        <v>1.35</v>
      </c>
      <c r="F103" s="759">
        <v>2.96</v>
      </c>
      <c r="H103" s="759">
        <f t="shared" si="1"/>
        <v>3.996</v>
      </c>
    </row>
    <row r="104" spans="1:8">
      <c r="A104" s="701">
        <v>0</v>
      </c>
      <c r="B104" s="759">
        <v>4.5</v>
      </c>
      <c r="C104" s="759">
        <v>4.25</v>
      </c>
      <c r="D104" s="759">
        <v>2.4</v>
      </c>
      <c r="E104" s="701">
        <v>1.35</v>
      </c>
      <c r="F104" s="759">
        <v>2.96</v>
      </c>
      <c r="H104" s="759">
        <f t="shared" si="1"/>
        <v>3.996</v>
      </c>
    </row>
    <row r="105" spans="1:8">
      <c r="A105" s="701">
        <v>0</v>
      </c>
      <c r="B105" s="759">
        <v>4.5</v>
      </c>
      <c r="C105" s="759">
        <v>4.5</v>
      </c>
      <c r="D105" s="759">
        <v>2.4</v>
      </c>
      <c r="E105" s="701">
        <v>1.35</v>
      </c>
      <c r="F105" s="759">
        <v>2.96</v>
      </c>
      <c r="H105" s="759">
        <f t="shared" si="1"/>
        <v>3.996</v>
      </c>
    </row>
    <row r="106" spans="1:8">
      <c r="A106" s="701">
        <v>0</v>
      </c>
      <c r="B106" s="759">
        <v>4.5</v>
      </c>
      <c r="C106" s="759">
        <v>4.75</v>
      </c>
      <c r="D106" s="759">
        <v>2.4</v>
      </c>
      <c r="E106" s="701">
        <v>1.35</v>
      </c>
      <c r="F106" s="759">
        <v>2.96</v>
      </c>
      <c r="H106" s="759">
        <f t="shared" si="1"/>
        <v>3.996</v>
      </c>
    </row>
    <row r="107" spans="1:8">
      <c r="A107" s="701">
        <v>0</v>
      </c>
      <c r="B107" s="759">
        <v>4.5</v>
      </c>
      <c r="C107" s="759">
        <v>5</v>
      </c>
      <c r="D107" s="759">
        <v>2.4</v>
      </c>
      <c r="E107" s="701">
        <v>1.35</v>
      </c>
      <c r="F107" s="759">
        <v>2.96</v>
      </c>
      <c r="H107" s="759">
        <f t="shared" si="1"/>
        <v>3.996</v>
      </c>
    </row>
    <row r="108" spans="1:8">
      <c r="A108" s="701">
        <v>0</v>
      </c>
      <c r="B108" s="759">
        <v>4.5</v>
      </c>
      <c r="C108" s="759">
        <v>5.25</v>
      </c>
      <c r="D108" s="759">
        <v>2.4</v>
      </c>
      <c r="E108" s="701">
        <v>1.35</v>
      </c>
      <c r="F108" s="759">
        <v>2.96</v>
      </c>
      <c r="H108" s="759">
        <f t="shared" si="1"/>
        <v>3.996</v>
      </c>
    </row>
    <row r="109" spans="1:8">
      <c r="A109" s="701">
        <v>0</v>
      </c>
      <c r="B109" s="759">
        <v>4.5</v>
      </c>
      <c r="C109" s="759">
        <v>5.5</v>
      </c>
      <c r="D109" s="759">
        <v>2.4</v>
      </c>
      <c r="E109" s="701">
        <v>1.35</v>
      </c>
      <c r="F109" s="759">
        <v>2.96</v>
      </c>
      <c r="H109" s="759">
        <f t="shared" si="1"/>
        <v>3.996</v>
      </c>
    </row>
    <row r="110" spans="1:8">
      <c r="A110" s="701">
        <v>0</v>
      </c>
      <c r="B110" s="759">
        <v>4.5</v>
      </c>
      <c r="C110" s="759">
        <v>5.75</v>
      </c>
      <c r="D110" s="759">
        <v>2.4</v>
      </c>
      <c r="E110" s="701">
        <v>1.35</v>
      </c>
      <c r="F110" s="759">
        <v>2.96</v>
      </c>
      <c r="H110" s="759">
        <f t="shared" si="1"/>
        <v>3.996</v>
      </c>
    </row>
    <row r="111" spans="1:8">
      <c r="A111" s="701">
        <v>0</v>
      </c>
      <c r="B111" s="759">
        <v>4.5</v>
      </c>
      <c r="C111" s="759">
        <v>6</v>
      </c>
      <c r="D111" s="759">
        <v>2.4</v>
      </c>
      <c r="E111" s="701">
        <v>1.35</v>
      </c>
      <c r="F111" s="759">
        <v>2.96</v>
      </c>
      <c r="H111" s="759">
        <f t="shared" si="1"/>
        <v>3.996</v>
      </c>
    </row>
    <row r="112" spans="1:8">
      <c r="A112" s="701">
        <v>0</v>
      </c>
      <c r="B112" s="759">
        <v>4.5</v>
      </c>
      <c r="C112" s="759">
        <v>6.25</v>
      </c>
      <c r="D112" s="759">
        <v>2.4</v>
      </c>
      <c r="E112" s="701">
        <v>1.35</v>
      </c>
      <c r="F112" s="759">
        <v>2.96</v>
      </c>
      <c r="H112" s="759">
        <f t="shared" si="1"/>
        <v>3.996</v>
      </c>
    </row>
    <row r="113" spans="1:8">
      <c r="A113" s="701">
        <v>0</v>
      </c>
      <c r="B113" s="759">
        <v>4.5</v>
      </c>
      <c r="C113" s="759">
        <v>6.5</v>
      </c>
      <c r="D113" s="759">
        <v>2.4</v>
      </c>
      <c r="E113" s="701">
        <v>1.35</v>
      </c>
      <c r="F113" s="759">
        <v>2.96</v>
      </c>
      <c r="H113" s="759">
        <f t="shared" si="1"/>
        <v>3.996</v>
      </c>
    </row>
    <row r="114" spans="1:8">
      <c r="A114" s="701">
        <v>0</v>
      </c>
      <c r="B114" s="759">
        <v>4.5</v>
      </c>
      <c r="C114" s="759">
        <v>6.75</v>
      </c>
      <c r="D114" s="759">
        <v>2.4</v>
      </c>
      <c r="E114" s="701">
        <v>1.35</v>
      </c>
      <c r="F114" s="759">
        <v>2.96</v>
      </c>
      <c r="H114" s="759">
        <f t="shared" si="1"/>
        <v>3.996</v>
      </c>
    </row>
    <row r="115" spans="1:8">
      <c r="A115" s="701">
        <v>0</v>
      </c>
      <c r="B115" s="759">
        <v>4.5</v>
      </c>
      <c r="C115" s="759">
        <v>7</v>
      </c>
      <c r="D115" s="759">
        <v>2.4</v>
      </c>
      <c r="E115" s="701">
        <v>1.35</v>
      </c>
      <c r="F115" s="759">
        <v>2.96</v>
      </c>
      <c r="H115" s="759">
        <f t="shared" si="1"/>
        <v>3.996</v>
      </c>
    </row>
    <row r="116" spans="1:8">
      <c r="A116" s="701">
        <v>0</v>
      </c>
      <c r="B116" s="759">
        <v>4.5</v>
      </c>
      <c r="C116" s="759">
        <v>7.5</v>
      </c>
      <c r="D116" s="759">
        <v>2.4</v>
      </c>
      <c r="E116" s="701">
        <v>1.35</v>
      </c>
      <c r="F116" s="759">
        <v>2.96</v>
      </c>
      <c r="H116" s="759">
        <f t="shared" si="1"/>
        <v>3.996</v>
      </c>
    </row>
    <row r="117" spans="1:8">
      <c r="A117" s="701">
        <v>0</v>
      </c>
      <c r="B117" s="759">
        <v>4.5</v>
      </c>
      <c r="C117" s="759">
        <v>8</v>
      </c>
      <c r="D117" s="759">
        <v>2.4</v>
      </c>
      <c r="E117" s="701">
        <v>1.35</v>
      </c>
      <c r="F117" s="759">
        <v>2.96</v>
      </c>
      <c r="H117" s="759">
        <f t="shared" si="1"/>
        <v>3.996</v>
      </c>
    </row>
    <row r="118" spans="1:8">
      <c r="A118" s="701">
        <v>0</v>
      </c>
      <c r="B118" s="759">
        <v>5</v>
      </c>
      <c r="C118" s="759">
        <v>3</v>
      </c>
      <c r="D118" s="759">
        <v>2.4</v>
      </c>
      <c r="E118" s="701">
        <v>1.35</v>
      </c>
      <c r="F118" s="759">
        <v>3.29</v>
      </c>
      <c r="H118" s="759">
        <f t="shared" si="1"/>
        <v>4.4415000000000004</v>
      </c>
    </row>
    <row r="119" spans="1:8">
      <c r="A119" s="701">
        <v>0</v>
      </c>
      <c r="B119" s="759">
        <v>5</v>
      </c>
      <c r="C119" s="759">
        <v>3.25</v>
      </c>
      <c r="D119" s="759">
        <v>2.4</v>
      </c>
      <c r="E119" s="701">
        <v>1.35</v>
      </c>
      <c r="F119" s="759">
        <v>3.29</v>
      </c>
      <c r="H119" s="759">
        <f t="shared" si="1"/>
        <v>4.4415000000000004</v>
      </c>
    </row>
    <row r="120" spans="1:8">
      <c r="A120" s="701">
        <v>0</v>
      </c>
      <c r="B120" s="759">
        <v>5</v>
      </c>
      <c r="C120" s="759">
        <v>3.5</v>
      </c>
      <c r="D120" s="759">
        <v>2.4</v>
      </c>
      <c r="E120" s="701">
        <v>1.35</v>
      </c>
      <c r="F120" s="759">
        <v>3.29</v>
      </c>
      <c r="H120" s="759">
        <f t="shared" si="1"/>
        <v>4.4415000000000004</v>
      </c>
    </row>
    <row r="121" spans="1:8">
      <c r="A121" s="701">
        <v>0</v>
      </c>
      <c r="B121" s="759">
        <v>5</v>
      </c>
      <c r="C121" s="759">
        <v>3.75</v>
      </c>
      <c r="D121" s="759">
        <v>2.4</v>
      </c>
      <c r="E121" s="701">
        <v>1.35</v>
      </c>
      <c r="F121" s="759">
        <v>3.29</v>
      </c>
      <c r="H121" s="759">
        <f t="shared" si="1"/>
        <v>4.4415000000000004</v>
      </c>
    </row>
    <row r="122" spans="1:8">
      <c r="A122" s="701">
        <v>0</v>
      </c>
      <c r="B122" s="759">
        <v>5</v>
      </c>
      <c r="C122" s="759">
        <v>4</v>
      </c>
      <c r="D122" s="759">
        <v>2.4</v>
      </c>
      <c r="E122" s="701">
        <v>1.35</v>
      </c>
      <c r="F122" s="759">
        <v>3.29</v>
      </c>
      <c r="H122" s="759">
        <f t="shared" si="1"/>
        <v>4.4415000000000004</v>
      </c>
    </row>
    <row r="123" spans="1:8">
      <c r="A123" s="701">
        <v>0</v>
      </c>
      <c r="B123" s="759">
        <v>5</v>
      </c>
      <c r="C123" s="759">
        <v>4.25</v>
      </c>
      <c r="D123" s="759">
        <v>2.4</v>
      </c>
      <c r="E123" s="701">
        <v>1.35</v>
      </c>
      <c r="F123" s="759">
        <v>3.29</v>
      </c>
      <c r="H123" s="759">
        <f t="shared" si="1"/>
        <v>4.4415000000000004</v>
      </c>
    </row>
    <row r="124" spans="1:8">
      <c r="A124" s="701">
        <v>0</v>
      </c>
      <c r="B124" s="759">
        <v>5</v>
      </c>
      <c r="C124" s="759">
        <v>4.5</v>
      </c>
      <c r="D124" s="759">
        <v>2.4</v>
      </c>
      <c r="E124" s="701">
        <v>1.35</v>
      </c>
      <c r="F124" s="759">
        <v>3.29</v>
      </c>
      <c r="H124" s="759">
        <f t="shared" si="1"/>
        <v>4.4415000000000004</v>
      </c>
    </row>
    <row r="125" spans="1:8">
      <c r="A125" s="701">
        <v>0</v>
      </c>
      <c r="B125" s="759">
        <v>5</v>
      </c>
      <c r="C125" s="759">
        <v>4.75</v>
      </c>
      <c r="D125" s="759">
        <v>2.4</v>
      </c>
      <c r="E125" s="701">
        <v>1.35</v>
      </c>
      <c r="F125" s="759">
        <v>3.29</v>
      </c>
      <c r="H125" s="759">
        <f t="shared" si="1"/>
        <v>4.4415000000000004</v>
      </c>
    </row>
    <row r="126" spans="1:8">
      <c r="A126" s="701">
        <v>0</v>
      </c>
      <c r="B126" s="759">
        <v>5</v>
      </c>
      <c r="C126" s="759">
        <v>5</v>
      </c>
      <c r="D126" s="759">
        <v>2.4</v>
      </c>
      <c r="E126" s="701">
        <v>1.35</v>
      </c>
      <c r="F126" s="759">
        <v>3.29</v>
      </c>
      <c r="H126" s="759">
        <f t="shared" si="1"/>
        <v>4.4415000000000004</v>
      </c>
    </row>
    <row r="127" spans="1:8">
      <c r="A127" s="701">
        <v>0</v>
      </c>
      <c r="B127" s="759">
        <v>5</v>
      </c>
      <c r="C127" s="759">
        <v>5.25</v>
      </c>
      <c r="D127" s="759">
        <v>2.4</v>
      </c>
      <c r="E127" s="701">
        <v>1.35</v>
      </c>
      <c r="F127" s="759">
        <v>3.29</v>
      </c>
      <c r="H127" s="759">
        <f t="shared" si="1"/>
        <v>4.4415000000000004</v>
      </c>
    </row>
    <row r="128" spans="1:8">
      <c r="A128" s="701">
        <v>0</v>
      </c>
      <c r="B128" s="759">
        <v>5</v>
      </c>
      <c r="C128" s="759">
        <v>5.5</v>
      </c>
      <c r="D128" s="759">
        <v>2.4</v>
      </c>
      <c r="E128" s="701">
        <v>1.35</v>
      </c>
      <c r="F128" s="759">
        <v>3.29</v>
      </c>
      <c r="H128" s="759">
        <f t="shared" si="1"/>
        <v>4.4415000000000004</v>
      </c>
    </row>
    <row r="129" spans="1:8">
      <c r="A129" s="701">
        <v>0</v>
      </c>
      <c r="B129" s="759">
        <v>5</v>
      </c>
      <c r="C129" s="759">
        <v>5.75</v>
      </c>
      <c r="D129" s="759">
        <v>2.4</v>
      </c>
      <c r="E129" s="701">
        <v>1.35</v>
      </c>
      <c r="F129" s="759">
        <v>3.29</v>
      </c>
      <c r="H129" s="759">
        <f t="shared" si="1"/>
        <v>4.4415000000000004</v>
      </c>
    </row>
    <row r="130" spans="1:8">
      <c r="A130" s="701">
        <v>0</v>
      </c>
      <c r="B130" s="759">
        <v>5</v>
      </c>
      <c r="C130" s="759">
        <v>6</v>
      </c>
      <c r="D130" s="759">
        <v>2.4</v>
      </c>
      <c r="E130" s="701">
        <v>1.35</v>
      </c>
      <c r="F130" s="759">
        <v>3.29</v>
      </c>
      <c r="H130" s="759">
        <f t="shared" si="1"/>
        <v>4.4415000000000004</v>
      </c>
    </row>
    <row r="131" spans="1:8">
      <c r="A131" s="701">
        <v>0</v>
      </c>
      <c r="B131" s="759">
        <v>5</v>
      </c>
      <c r="C131" s="759">
        <v>6.25</v>
      </c>
      <c r="D131" s="759">
        <v>2.4</v>
      </c>
      <c r="E131" s="701">
        <v>1.35</v>
      </c>
      <c r="F131" s="759">
        <v>3.29</v>
      </c>
      <c r="H131" s="759">
        <f t="shared" si="1"/>
        <v>4.4415000000000004</v>
      </c>
    </row>
    <row r="132" spans="1:8">
      <c r="A132" s="701">
        <v>0</v>
      </c>
      <c r="B132" s="759">
        <v>5</v>
      </c>
      <c r="C132" s="759">
        <v>6.5</v>
      </c>
      <c r="D132" s="759">
        <v>2.4</v>
      </c>
      <c r="E132" s="701">
        <v>1.35</v>
      </c>
      <c r="F132" s="759">
        <v>3.29</v>
      </c>
      <c r="H132" s="759">
        <f t="shared" si="1"/>
        <v>4.4415000000000004</v>
      </c>
    </row>
    <row r="133" spans="1:8">
      <c r="A133" s="701">
        <v>0</v>
      </c>
      <c r="B133" s="759">
        <v>5</v>
      </c>
      <c r="C133" s="759">
        <v>6.75</v>
      </c>
      <c r="D133" s="759">
        <v>2.4</v>
      </c>
      <c r="E133" s="701">
        <v>1.35</v>
      </c>
      <c r="F133" s="759">
        <v>3.29</v>
      </c>
      <c r="H133" s="759">
        <f t="shared" ref="H133:H196" si="2">F133*E133</f>
        <v>4.4415000000000004</v>
      </c>
    </row>
    <row r="134" spans="1:8">
      <c r="A134" s="701">
        <v>0</v>
      </c>
      <c r="B134" s="759">
        <v>5</v>
      </c>
      <c r="C134" s="759">
        <v>7</v>
      </c>
      <c r="D134" s="759">
        <v>2.4</v>
      </c>
      <c r="E134" s="701">
        <v>1.35</v>
      </c>
      <c r="F134" s="759">
        <v>3.29</v>
      </c>
      <c r="H134" s="759">
        <f t="shared" si="2"/>
        <v>4.4415000000000004</v>
      </c>
    </row>
    <row r="135" spans="1:8">
      <c r="A135" s="701">
        <v>0</v>
      </c>
      <c r="B135" s="759">
        <v>5</v>
      </c>
      <c r="C135" s="759">
        <v>7.5</v>
      </c>
      <c r="D135" s="759">
        <v>2.4</v>
      </c>
      <c r="E135" s="701">
        <v>1.35</v>
      </c>
      <c r="F135" s="759">
        <v>3.29</v>
      </c>
      <c r="H135" s="759">
        <f t="shared" si="2"/>
        <v>4.4415000000000004</v>
      </c>
    </row>
    <row r="136" spans="1:8">
      <c r="A136" s="701">
        <v>0</v>
      </c>
      <c r="B136" s="759">
        <v>5</v>
      </c>
      <c r="C136" s="759">
        <v>8</v>
      </c>
      <c r="D136" s="759">
        <v>2.4</v>
      </c>
      <c r="E136" s="701">
        <v>1.35</v>
      </c>
      <c r="F136" s="759">
        <v>3.29</v>
      </c>
      <c r="H136" s="759">
        <f t="shared" si="2"/>
        <v>4.4415000000000004</v>
      </c>
    </row>
    <row r="137" spans="1:8">
      <c r="A137" s="701">
        <v>0</v>
      </c>
      <c r="B137" s="759">
        <v>5.5</v>
      </c>
      <c r="C137" s="759">
        <v>3</v>
      </c>
      <c r="D137" s="759">
        <v>2.4</v>
      </c>
      <c r="E137" s="701">
        <v>1.35</v>
      </c>
      <c r="F137" s="759">
        <v>3.62</v>
      </c>
      <c r="H137" s="759">
        <f t="shared" si="2"/>
        <v>4.8870000000000005</v>
      </c>
    </row>
    <row r="138" spans="1:8">
      <c r="A138" s="701">
        <v>0</v>
      </c>
      <c r="B138" s="759">
        <v>5.5</v>
      </c>
      <c r="C138" s="759">
        <v>3.25</v>
      </c>
      <c r="D138" s="759">
        <v>2.4</v>
      </c>
      <c r="E138" s="701">
        <v>1.35</v>
      </c>
      <c r="F138" s="759">
        <v>3.62</v>
      </c>
      <c r="H138" s="759">
        <f t="shared" si="2"/>
        <v>4.8870000000000005</v>
      </c>
    </row>
    <row r="139" spans="1:8">
      <c r="A139" s="701">
        <v>0</v>
      </c>
      <c r="B139" s="759">
        <v>5.5</v>
      </c>
      <c r="C139" s="759">
        <v>3.5</v>
      </c>
      <c r="D139" s="759">
        <v>2.4</v>
      </c>
      <c r="E139" s="701">
        <v>1.35</v>
      </c>
      <c r="F139" s="759">
        <v>3.62</v>
      </c>
      <c r="H139" s="759">
        <f t="shared" si="2"/>
        <v>4.8870000000000005</v>
      </c>
    </row>
    <row r="140" spans="1:8">
      <c r="A140" s="701">
        <v>0</v>
      </c>
      <c r="B140" s="759">
        <v>5.5</v>
      </c>
      <c r="C140" s="759">
        <v>3.75</v>
      </c>
      <c r="D140" s="759">
        <v>2.4</v>
      </c>
      <c r="E140" s="701">
        <v>1.35</v>
      </c>
      <c r="F140" s="759">
        <v>3.62</v>
      </c>
      <c r="H140" s="759">
        <f t="shared" si="2"/>
        <v>4.8870000000000005</v>
      </c>
    </row>
    <row r="141" spans="1:8">
      <c r="A141" s="701">
        <v>0</v>
      </c>
      <c r="B141" s="759">
        <v>5.5</v>
      </c>
      <c r="C141" s="759">
        <v>4</v>
      </c>
      <c r="D141" s="759">
        <v>2.4</v>
      </c>
      <c r="E141" s="701">
        <v>1.35</v>
      </c>
      <c r="F141" s="759">
        <v>3.62</v>
      </c>
      <c r="H141" s="759">
        <f t="shared" si="2"/>
        <v>4.8870000000000005</v>
      </c>
    </row>
    <row r="142" spans="1:8">
      <c r="A142" s="701">
        <v>0</v>
      </c>
      <c r="B142" s="759">
        <v>5.5</v>
      </c>
      <c r="C142" s="759">
        <v>4.25</v>
      </c>
      <c r="D142" s="759">
        <v>2.4</v>
      </c>
      <c r="E142" s="701">
        <v>1.35</v>
      </c>
      <c r="F142" s="759">
        <v>3.62</v>
      </c>
      <c r="H142" s="759">
        <f t="shared" si="2"/>
        <v>4.8870000000000005</v>
      </c>
    </row>
    <row r="143" spans="1:8">
      <c r="A143" s="701">
        <v>0</v>
      </c>
      <c r="B143" s="759">
        <v>5.5</v>
      </c>
      <c r="C143" s="759">
        <v>4.5</v>
      </c>
      <c r="D143" s="759">
        <v>2.4</v>
      </c>
      <c r="E143" s="701">
        <v>1.35</v>
      </c>
      <c r="F143" s="759">
        <v>3.62</v>
      </c>
      <c r="H143" s="759">
        <f t="shared" si="2"/>
        <v>4.8870000000000005</v>
      </c>
    </row>
    <row r="144" spans="1:8">
      <c r="A144" s="701">
        <v>0</v>
      </c>
      <c r="B144" s="759">
        <v>5.5</v>
      </c>
      <c r="C144" s="759">
        <v>4.75</v>
      </c>
      <c r="D144" s="759">
        <v>2.4</v>
      </c>
      <c r="E144" s="701">
        <v>1.35</v>
      </c>
      <c r="F144" s="759">
        <v>3.62</v>
      </c>
      <c r="H144" s="759">
        <f t="shared" si="2"/>
        <v>4.8870000000000005</v>
      </c>
    </row>
    <row r="145" spans="1:8">
      <c r="A145" s="701">
        <v>0</v>
      </c>
      <c r="B145" s="759">
        <v>5.5</v>
      </c>
      <c r="C145" s="759">
        <v>5</v>
      </c>
      <c r="D145" s="759">
        <v>2.4</v>
      </c>
      <c r="E145" s="701">
        <v>1.35</v>
      </c>
      <c r="F145" s="759">
        <v>3.62</v>
      </c>
      <c r="H145" s="759">
        <f t="shared" si="2"/>
        <v>4.8870000000000005</v>
      </c>
    </row>
    <row r="146" spans="1:8">
      <c r="A146" s="701">
        <v>0</v>
      </c>
      <c r="B146" s="759">
        <v>5.5</v>
      </c>
      <c r="C146" s="759">
        <v>5.25</v>
      </c>
      <c r="D146" s="759">
        <v>2.4</v>
      </c>
      <c r="E146" s="701">
        <v>1.35</v>
      </c>
      <c r="F146" s="759">
        <v>3.62</v>
      </c>
      <c r="H146" s="759">
        <f t="shared" si="2"/>
        <v>4.8870000000000005</v>
      </c>
    </row>
    <row r="147" spans="1:8">
      <c r="A147" s="701">
        <v>0</v>
      </c>
      <c r="B147" s="759">
        <v>5.5</v>
      </c>
      <c r="C147" s="759">
        <v>5.5</v>
      </c>
      <c r="D147" s="759">
        <v>2.4</v>
      </c>
      <c r="E147" s="701">
        <v>1.35</v>
      </c>
      <c r="F147" s="759">
        <v>3.62</v>
      </c>
      <c r="H147" s="759">
        <f t="shared" si="2"/>
        <v>4.8870000000000005</v>
      </c>
    </row>
    <row r="148" spans="1:8">
      <c r="A148" s="701">
        <v>0</v>
      </c>
      <c r="B148" s="759">
        <v>5.5</v>
      </c>
      <c r="C148" s="759">
        <v>5.75</v>
      </c>
      <c r="D148" s="759">
        <v>2.4</v>
      </c>
      <c r="E148" s="701">
        <v>1.35</v>
      </c>
      <c r="F148" s="759">
        <v>3.62</v>
      </c>
      <c r="H148" s="759">
        <f t="shared" si="2"/>
        <v>4.8870000000000005</v>
      </c>
    </row>
    <row r="149" spans="1:8">
      <c r="A149" s="701">
        <v>0</v>
      </c>
      <c r="B149" s="759">
        <v>5.5</v>
      </c>
      <c r="C149" s="759">
        <v>6</v>
      </c>
      <c r="D149" s="759">
        <v>2.4</v>
      </c>
      <c r="E149" s="701">
        <v>1.35</v>
      </c>
      <c r="F149" s="759">
        <v>3.62</v>
      </c>
      <c r="H149" s="759">
        <f t="shared" si="2"/>
        <v>4.8870000000000005</v>
      </c>
    </row>
    <row r="150" spans="1:8">
      <c r="A150" s="701">
        <v>0</v>
      </c>
      <c r="B150" s="759">
        <v>5.5</v>
      </c>
      <c r="C150" s="759">
        <v>6.25</v>
      </c>
      <c r="D150" s="759">
        <v>2.4</v>
      </c>
      <c r="E150" s="701">
        <v>1.35</v>
      </c>
      <c r="F150" s="759">
        <v>3.62</v>
      </c>
      <c r="H150" s="759">
        <f t="shared" si="2"/>
        <v>4.8870000000000005</v>
      </c>
    </row>
    <row r="151" spans="1:8">
      <c r="A151" s="701">
        <v>0</v>
      </c>
      <c r="B151" s="759">
        <v>5.5</v>
      </c>
      <c r="C151" s="759">
        <v>6.5</v>
      </c>
      <c r="D151" s="759">
        <v>2.4</v>
      </c>
      <c r="E151" s="701">
        <v>1.35</v>
      </c>
      <c r="F151" s="759">
        <v>3.62</v>
      </c>
      <c r="H151" s="759">
        <f t="shared" si="2"/>
        <v>4.8870000000000005</v>
      </c>
    </row>
    <row r="152" spans="1:8">
      <c r="A152" s="701">
        <v>0</v>
      </c>
      <c r="B152" s="759">
        <v>5.5</v>
      </c>
      <c r="C152" s="759">
        <v>6.75</v>
      </c>
      <c r="D152" s="759">
        <v>2.4</v>
      </c>
      <c r="E152" s="701">
        <v>1.35</v>
      </c>
      <c r="F152" s="759">
        <v>3.62</v>
      </c>
      <c r="H152" s="759">
        <f t="shared" si="2"/>
        <v>4.8870000000000005</v>
      </c>
    </row>
    <row r="153" spans="1:8">
      <c r="A153" s="701">
        <v>0</v>
      </c>
      <c r="B153" s="759">
        <v>5.5</v>
      </c>
      <c r="C153" s="759">
        <v>7</v>
      </c>
      <c r="D153" s="759">
        <v>2.4</v>
      </c>
      <c r="E153" s="701">
        <v>1.35</v>
      </c>
      <c r="F153" s="759">
        <v>3.62</v>
      </c>
      <c r="H153" s="759">
        <f t="shared" si="2"/>
        <v>4.8870000000000005</v>
      </c>
    </row>
    <row r="154" spans="1:8">
      <c r="A154" s="701">
        <v>0</v>
      </c>
      <c r="B154" s="759">
        <v>5.5</v>
      </c>
      <c r="C154" s="759">
        <v>7.5</v>
      </c>
      <c r="D154" s="759">
        <v>2.4</v>
      </c>
      <c r="E154" s="701">
        <v>1.35</v>
      </c>
      <c r="F154" s="759">
        <v>3.62</v>
      </c>
      <c r="H154" s="759">
        <f t="shared" si="2"/>
        <v>4.8870000000000005</v>
      </c>
    </row>
    <row r="155" spans="1:8">
      <c r="A155" s="701">
        <v>0</v>
      </c>
      <c r="B155" s="759">
        <v>5.5</v>
      </c>
      <c r="C155" s="759">
        <v>8</v>
      </c>
      <c r="D155" s="759">
        <v>2.4</v>
      </c>
      <c r="E155" s="701">
        <v>1.35</v>
      </c>
      <c r="F155" s="759">
        <v>3.62</v>
      </c>
      <c r="H155" s="759">
        <f t="shared" si="2"/>
        <v>4.8870000000000005</v>
      </c>
    </row>
    <row r="156" spans="1:8">
      <c r="A156" s="701">
        <v>0</v>
      </c>
      <c r="B156" s="759">
        <v>6</v>
      </c>
      <c r="C156" s="759">
        <v>3</v>
      </c>
      <c r="D156" s="759">
        <v>2.4</v>
      </c>
      <c r="E156" s="701">
        <v>1.35</v>
      </c>
      <c r="F156" s="759">
        <v>3.94</v>
      </c>
      <c r="H156" s="759">
        <f t="shared" si="2"/>
        <v>5.319</v>
      </c>
    </row>
    <row r="157" spans="1:8">
      <c r="A157" s="701">
        <v>0</v>
      </c>
      <c r="B157" s="759">
        <v>6</v>
      </c>
      <c r="C157" s="759">
        <v>3.25</v>
      </c>
      <c r="D157" s="759">
        <v>2.4</v>
      </c>
      <c r="E157" s="701">
        <v>1.35</v>
      </c>
      <c r="F157" s="759">
        <v>3.94</v>
      </c>
      <c r="H157" s="759">
        <f t="shared" si="2"/>
        <v>5.319</v>
      </c>
    </row>
    <row r="158" spans="1:8">
      <c r="A158" s="701">
        <v>0</v>
      </c>
      <c r="B158" s="759">
        <v>6</v>
      </c>
      <c r="C158" s="759">
        <v>3.5</v>
      </c>
      <c r="D158" s="759">
        <v>2.4</v>
      </c>
      <c r="E158" s="701">
        <v>1.35</v>
      </c>
      <c r="F158" s="759">
        <v>3.94</v>
      </c>
      <c r="H158" s="759">
        <f t="shared" si="2"/>
        <v>5.319</v>
      </c>
    </row>
    <row r="159" spans="1:8">
      <c r="A159" s="701">
        <v>0</v>
      </c>
      <c r="B159" s="759">
        <v>6</v>
      </c>
      <c r="C159" s="759">
        <v>3.75</v>
      </c>
      <c r="D159" s="759">
        <v>2.4</v>
      </c>
      <c r="E159" s="701">
        <v>1.35</v>
      </c>
      <c r="F159" s="759">
        <v>3.94</v>
      </c>
      <c r="H159" s="759">
        <f t="shared" si="2"/>
        <v>5.319</v>
      </c>
    </row>
    <row r="160" spans="1:8">
      <c r="A160" s="701">
        <v>0</v>
      </c>
      <c r="B160" s="759">
        <v>6</v>
      </c>
      <c r="C160" s="759">
        <v>4</v>
      </c>
      <c r="D160" s="759">
        <v>2.4</v>
      </c>
      <c r="E160" s="701">
        <v>1.35</v>
      </c>
      <c r="F160" s="759">
        <v>3.94</v>
      </c>
      <c r="H160" s="759">
        <f t="shared" si="2"/>
        <v>5.319</v>
      </c>
    </row>
    <row r="161" spans="1:8">
      <c r="A161" s="701">
        <v>0</v>
      </c>
      <c r="B161" s="759">
        <v>6</v>
      </c>
      <c r="C161" s="759">
        <v>4.25</v>
      </c>
      <c r="D161" s="759">
        <v>2.4</v>
      </c>
      <c r="E161" s="701">
        <v>1.35</v>
      </c>
      <c r="F161" s="759">
        <v>3.94</v>
      </c>
      <c r="H161" s="759">
        <f t="shared" si="2"/>
        <v>5.319</v>
      </c>
    </row>
    <row r="162" spans="1:8">
      <c r="A162" s="701">
        <v>0</v>
      </c>
      <c r="B162" s="759">
        <v>6</v>
      </c>
      <c r="C162" s="759">
        <v>4.5</v>
      </c>
      <c r="D162" s="759">
        <v>2.4</v>
      </c>
      <c r="E162" s="701">
        <v>1.35</v>
      </c>
      <c r="F162" s="759">
        <v>3.94</v>
      </c>
      <c r="H162" s="759">
        <f t="shared" si="2"/>
        <v>5.319</v>
      </c>
    </row>
    <row r="163" spans="1:8">
      <c r="A163" s="701">
        <v>0</v>
      </c>
      <c r="B163" s="759">
        <v>6</v>
      </c>
      <c r="C163" s="759">
        <v>4.75</v>
      </c>
      <c r="D163" s="759">
        <v>2.4</v>
      </c>
      <c r="E163" s="701">
        <v>1.35</v>
      </c>
      <c r="F163" s="759">
        <v>3.94</v>
      </c>
      <c r="H163" s="759">
        <f t="shared" si="2"/>
        <v>5.319</v>
      </c>
    </row>
    <row r="164" spans="1:8">
      <c r="A164" s="701">
        <v>0</v>
      </c>
      <c r="B164" s="759">
        <v>6</v>
      </c>
      <c r="C164" s="759">
        <v>5</v>
      </c>
      <c r="D164" s="759">
        <v>2.4</v>
      </c>
      <c r="E164" s="701">
        <v>1.35</v>
      </c>
      <c r="F164" s="759">
        <v>3.94</v>
      </c>
      <c r="H164" s="759">
        <f t="shared" si="2"/>
        <v>5.319</v>
      </c>
    </row>
    <row r="165" spans="1:8">
      <c r="A165" s="701">
        <v>0</v>
      </c>
      <c r="B165" s="759">
        <v>6</v>
      </c>
      <c r="C165" s="759">
        <v>5.25</v>
      </c>
      <c r="D165" s="759">
        <v>2.4</v>
      </c>
      <c r="E165" s="701">
        <v>1.35</v>
      </c>
      <c r="F165" s="759">
        <v>3.94</v>
      </c>
      <c r="H165" s="759">
        <f t="shared" si="2"/>
        <v>5.319</v>
      </c>
    </row>
    <row r="166" spans="1:8">
      <c r="A166" s="701">
        <v>0</v>
      </c>
      <c r="B166" s="759">
        <v>6</v>
      </c>
      <c r="C166" s="759">
        <v>5.5</v>
      </c>
      <c r="D166" s="759">
        <v>2.4</v>
      </c>
      <c r="E166" s="701">
        <v>1.35</v>
      </c>
      <c r="F166" s="759">
        <v>3.94</v>
      </c>
      <c r="H166" s="759">
        <f t="shared" si="2"/>
        <v>5.319</v>
      </c>
    </row>
    <row r="167" spans="1:8">
      <c r="A167" s="701">
        <v>0</v>
      </c>
      <c r="B167" s="759">
        <v>6</v>
      </c>
      <c r="C167" s="759">
        <v>5.75</v>
      </c>
      <c r="D167" s="759">
        <v>2.4</v>
      </c>
      <c r="E167" s="701">
        <v>1.35</v>
      </c>
      <c r="F167" s="759">
        <v>3.94</v>
      </c>
      <c r="H167" s="759">
        <f t="shared" si="2"/>
        <v>5.319</v>
      </c>
    </row>
    <row r="168" spans="1:8">
      <c r="A168" s="701">
        <v>0</v>
      </c>
      <c r="B168" s="759">
        <v>6</v>
      </c>
      <c r="C168" s="759">
        <v>6</v>
      </c>
      <c r="D168" s="759">
        <v>2.4</v>
      </c>
      <c r="E168" s="701">
        <v>1.35</v>
      </c>
      <c r="F168" s="759">
        <v>3.94</v>
      </c>
      <c r="H168" s="759">
        <f t="shared" si="2"/>
        <v>5.319</v>
      </c>
    </row>
    <row r="169" spans="1:8">
      <c r="A169" s="701">
        <v>0</v>
      </c>
      <c r="B169" s="759">
        <v>6</v>
      </c>
      <c r="C169" s="759">
        <v>6.25</v>
      </c>
      <c r="D169" s="759">
        <v>2.4</v>
      </c>
      <c r="E169" s="701">
        <v>1.35</v>
      </c>
      <c r="F169" s="759">
        <v>3.94</v>
      </c>
      <c r="H169" s="759">
        <f t="shared" si="2"/>
        <v>5.319</v>
      </c>
    </row>
    <row r="170" spans="1:8">
      <c r="A170" s="701">
        <v>0</v>
      </c>
      <c r="B170" s="759">
        <v>6</v>
      </c>
      <c r="C170" s="759">
        <v>6.5</v>
      </c>
      <c r="D170" s="759">
        <v>2.4</v>
      </c>
      <c r="E170" s="701">
        <v>1.35</v>
      </c>
      <c r="F170" s="759">
        <v>3.94</v>
      </c>
      <c r="H170" s="759">
        <f t="shared" si="2"/>
        <v>5.319</v>
      </c>
    </row>
    <row r="171" spans="1:8">
      <c r="A171" s="701">
        <v>0</v>
      </c>
      <c r="B171" s="759">
        <v>6</v>
      </c>
      <c r="C171" s="759">
        <v>6.75</v>
      </c>
      <c r="D171" s="759">
        <v>2.4</v>
      </c>
      <c r="E171" s="701">
        <v>1.35</v>
      </c>
      <c r="F171" s="759">
        <v>3.94</v>
      </c>
      <c r="H171" s="759">
        <f t="shared" si="2"/>
        <v>5.319</v>
      </c>
    </row>
    <row r="172" spans="1:8">
      <c r="A172" s="701">
        <v>0</v>
      </c>
      <c r="B172" s="759">
        <v>6</v>
      </c>
      <c r="C172" s="759">
        <v>7</v>
      </c>
      <c r="D172" s="759">
        <v>2.4</v>
      </c>
      <c r="E172" s="701">
        <v>1.35</v>
      </c>
      <c r="F172" s="759">
        <v>3.94</v>
      </c>
      <c r="H172" s="759">
        <f t="shared" si="2"/>
        <v>5.319</v>
      </c>
    </row>
    <row r="173" spans="1:8">
      <c r="A173" s="701">
        <v>0</v>
      </c>
      <c r="B173" s="759">
        <v>6</v>
      </c>
      <c r="C173" s="759">
        <v>7.5</v>
      </c>
      <c r="D173" s="759">
        <v>2.4</v>
      </c>
      <c r="E173" s="701">
        <v>1.35</v>
      </c>
      <c r="F173" s="759">
        <v>3.94</v>
      </c>
      <c r="H173" s="759">
        <f t="shared" si="2"/>
        <v>5.319</v>
      </c>
    </row>
    <row r="174" spans="1:8">
      <c r="A174" s="701">
        <v>0</v>
      </c>
      <c r="B174" s="759">
        <v>6</v>
      </c>
      <c r="C174" s="759">
        <v>8</v>
      </c>
      <c r="D174" s="759">
        <v>2.4</v>
      </c>
      <c r="E174" s="701">
        <v>1.35</v>
      </c>
      <c r="F174" s="759">
        <v>3.94</v>
      </c>
      <c r="H174" s="759">
        <f t="shared" si="2"/>
        <v>5.319</v>
      </c>
    </row>
    <row r="175" spans="1:8">
      <c r="A175" s="701">
        <v>0</v>
      </c>
      <c r="B175" s="759">
        <v>6.5</v>
      </c>
      <c r="C175" s="759">
        <v>3</v>
      </c>
      <c r="D175" s="759">
        <v>2.4</v>
      </c>
      <c r="E175" s="701">
        <v>1.35</v>
      </c>
      <c r="F175" s="759">
        <v>4.2699999999999996</v>
      </c>
      <c r="H175" s="759">
        <f t="shared" si="2"/>
        <v>5.7645</v>
      </c>
    </row>
    <row r="176" spans="1:8">
      <c r="A176" s="701">
        <v>0</v>
      </c>
      <c r="B176" s="759">
        <v>6.5</v>
      </c>
      <c r="C176" s="759">
        <v>3.25</v>
      </c>
      <c r="D176" s="759">
        <v>2.4</v>
      </c>
      <c r="E176" s="701">
        <v>1.35</v>
      </c>
      <c r="F176" s="759">
        <v>4.2699999999999996</v>
      </c>
      <c r="H176" s="759">
        <f t="shared" si="2"/>
        <v>5.7645</v>
      </c>
    </row>
    <row r="177" spans="1:8">
      <c r="A177" s="701">
        <v>0</v>
      </c>
      <c r="B177" s="759">
        <v>6.5</v>
      </c>
      <c r="C177" s="759">
        <v>3.5</v>
      </c>
      <c r="D177" s="759">
        <v>2.4</v>
      </c>
      <c r="E177" s="701">
        <v>1.35</v>
      </c>
      <c r="F177" s="759">
        <v>4.2699999999999996</v>
      </c>
      <c r="H177" s="759">
        <f t="shared" si="2"/>
        <v>5.7645</v>
      </c>
    </row>
    <row r="178" spans="1:8">
      <c r="A178" s="701">
        <v>0</v>
      </c>
      <c r="B178" s="759">
        <v>6.5</v>
      </c>
      <c r="C178" s="759">
        <v>3.75</v>
      </c>
      <c r="D178" s="759">
        <v>2.4</v>
      </c>
      <c r="E178" s="701">
        <v>1.35</v>
      </c>
      <c r="F178" s="759">
        <v>4.2699999999999996</v>
      </c>
      <c r="H178" s="759">
        <f t="shared" si="2"/>
        <v>5.7645</v>
      </c>
    </row>
    <row r="179" spans="1:8">
      <c r="A179" s="701">
        <v>0</v>
      </c>
      <c r="B179" s="759">
        <v>6.5</v>
      </c>
      <c r="C179" s="759">
        <v>4</v>
      </c>
      <c r="D179" s="759">
        <v>2.4</v>
      </c>
      <c r="E179" s="701">
        <v>1.35</v>
      </c>
      <c r="F179" s="759">
        <v>4.2699999999999996</v>
      </c>
      <c r="H179" s="759">
        <f t="shared" si="2"/>
        <v>5.7645</v>
      </c>
    </row>
    <row r="180" spans="1:8">
      <c r="A180" s="701">
        <v>0</v>
      </c>
      <c r="B180" s="759">
        <v>6.5</v>
      </c>
      <c r="C180" s="759">
        <v>4.25</v>
      </c>
      <c r="D180" s="759">
        <v>2.4</v>
      </c>
      <c r="E180" s="701">
        <v>1.35</v>
      </c>
      <c r="F180" s="759">
        <v>4.2699999999999996</v>
      </c>
      <c r="H180" s="759">
        <f t="shared" si="2"/>
        <v>5.7645</v>
      </c>
    </row>
    <row r="181" spans="1:8">
      <c r="A181" s="701">
        <v>0</v>
      </c>
      <c r="B181" s="759">
        <v>6.5</v>
      </c>
      <c r="C181" s="759">
        <v>4.5</v>
      </c>
      <c r="D181" s="759">
        <v>2.4</v>
      </c>
      <c r="E181" s="701">
        <v>1.35</v>
      </c>
      <c r="F181" s="759">
        <v>4.2699999999999996</v>
      </c>
      <c r="H181" s="759">
        <f t="shared" si="2"/>
        <v>5.7645</v>
      </c>
    </row>
    <row r="182" spans="1:8">
      <c r="A182" s="701">
        <v>0</v>
      </c>
      <c r="B182" s="759">
        <v>6.5</v>
      </c>
      <c r="C182" s="759">
        <v>4.75</v>
      </c>
      <c r="D182" s="759">
        <v>2.4</v>
      </c>
      <c r="E182" s="701">
        <v>1.35</v>
      </c>
      <c r="F182" s="759">
        <v>4.2699999999999996</v>
      </c>
      <c r="H182" s="759">
        <f t="shared" si="2"/>
        <v>5.7645</v>
      </c>
    </row>
    <row r="183" spans="1:8">
      <c r="A183" s="701">
        <v>0</v>
      </c>
      <c r="B183" s="759">
        <v>6.5</v>
      </c>
      <c r="C183" s="759">
        <v>5</v>
      </c>
      <c r="D183" s="759">
        <v>2.4</v>
      </c>
      <c r="E183" s="701">
        <v>1.35</v>
      </c>
      <c r="F183" s="759">
        <v>4.2699999999999996</v>
      </c>
      <c r="H183" s="759">
        <f t="shared" si="2"/>
        <v>5.7645</v>
      </c>
    </row>
    <row r="184" spans="1:8">
      <c r="A184" s="701">
        <v>0</v>
      </c>
      <c r="B184" s="759">
        <v>6.5</v>
      </c>
      <c r="C184" s="759">
        <v>5.25</v>
      </c>
      <c r="D184" s="759">
        <v>2.4</v>
      </c>
      <c r="E184" s="701">
        <v>1.35</v>
      </c>
      <c r="F184" s="759">
        <v>4.2699999999999996</v>
      </c>
      <c r="H184" s="759">
        <f t="shared" si="2"/>
        <v>5.7645</v>
      </c>
    </row>
    <row r="185" spans="1:8">
      <c r="A185" s="701">
        <v>0</v>
      </c>
      <c r="B185" s="759">
        <v>6.5</v>
      </c>
      <c r="C185" s="759">
        <v>5.5</v>
      </c>
      <c r="D185" s="759">
        <v>2.4</v>
      </c>
      <c r="E185" s="701">
        <v>1.35</v>
      </c>
      <c r="F185" s="759">
        <v>4.2699999999999996</v>
      </c>
      <c r="H185" s="759">
        <f t="shared" si="2"/>
        <v>5.7645</v>
      </c>
    </row>
    <row r="186" spans="1:8">
      <c r="A186" s="701">
        <v>0</v>
      </c>
      <c r="B186" s="759">
        <v>6.5</v>
      </c>
      <c r="C186" s="759">
        <v>5.75</v>
      </c>
      <c r="D186" s="759">
        <v>2.4</v>
      </c>
      <c r="E186" s="701">
        <v>1.35</v>
      </c>
      <c r="F186" s="759">
        <v>4.2699999999999996</v>
      </c>
      <c r="H186" s="759">
        <f t="shared" si="2"/>
        <v>5.7645</v>
      </c>
    </row>
    <row r="187" spans="1:8">
      <c r="A187" s="701">
        <v>0</v>
      </c>
      <c r="B187" s="759">
        <v>6.5</v>
      </c>
      <c r="C187" s="759">
        <v>6</v>
      </c>
      <c r="D187" s="759">
        <v>2.4</v>
      </c>
      <c r="E187" s="701">
        <v>1.35</v>
      </c>
      <c r="F187" s="759">
        <v>4.2699999999999996</v>
      </c>
      <c r="H187" s="759">
        <f t="shared" si="2"/>
        <v>5.7645</v>
      </c>
    </row>
    <row r="188" spans="1:8">
      <c r="A188" s="701">
        <v>0</v>
      </c>
      <c r="B188" s="759">
        <v>6.5</v>
      </c>
      <c r="C188" s="759">
        <v>6.25</v>
      </c>
      <c r="D188" s="759">
        <v>2.4</v>
      </c>
      <c r="E188" s="701">
        <v>1.35</v>
      </c>
      <c r="F188" s="759">
        <v>4.2699999999999996</v>
      </c>
      <c r="H188" s="759">
        <f t="shared" si="2"/>
        <v>5.7645</v>
      </c>
    </row>
    <row r="189" spans="1:8">
      <c r="A189" s="701">
        <v>0</v>
      </c>
      <c r="B189" s="759">
        <v>6.5</v>
      </c>
      <c r="C189" s="759">
        <v>6.5</v>
      </c>
      <c r="D189" s="759">
        <v>2.4</v>
      </c>
      <c r="E189" s="701">
        <v>1.35</v>
      </c>
      <c r="F189" s="759">
        <v>4.2699999999999996</v>
      </c>
      <c r="H189" s="759">
        <f t="shared" si="2"/>
        <v>5.7645</v>
      </c>
    </row>
    <row r="190" spans="1:8">
      <c r="A190" s="701">
        <v>0</v>
      </c>
      <c r="B190" s="759">
        <v>6.5</v>
      </c>
      <c r="C190" s="759">
        <v>6.75</v>
      </c>
      <c r="D190" s="759">
        <v>2.4</v>
      </c>
      <c r="E190" s="701">
        <v>1.35</v>
      </c>
      <c r="F190" s="759">
        <v>4.2699999999999996</v>
      </c>
      <c r="H190" s="759">
        <f t="shared" si="2"/>
        <v>5.7645</v>
      </c>
    </row>
    <row r="191" spans="1:8">
      <c r="A191" s="701">
        <v>0</v>
      </c>
      <c r="B191" s="759">
        <v>6.5</v>
      </c>
      <c r="C191" s="759">
        <v>7</v>
      </c>
      <c r="D191" s="759">
        <v>2.4</v>
      </c>
      <c r="E191" s="701">
        <v>1.35</v>
      </c>
      <c r="F191" s="759">
        <v>4.2699999999999996</v>
      </c>
      <c r="H191" s="759">
        <f t="shared" si="2"/>
        <v>5.7645</v>
      </c>
    </row>
    <row r="192" spans="1:8">
      <c r="A192" s="701">
        <v>0</v>
      </c>
      <c r="B192" s="759">
        <v>6.5</v>
      </c>
      <c r="C192" s="759">
        <v>7.5</v>
      </c>
      <c r="D192" s="759">
        <v>2.4</v>
      </c>
      <c r="E192" s="701">
        <v>1.35</v>
      </c>
      <c r="F192" s="759">
        <v>4.2699999999999996</v>
      </c>
      <c r="H192" s="759">
        <f t="shared" si="2"/>
        <v>5.7645</v>
      </c>
    </row>
    <row r="193" spans="1:8">
      <c r="A193" s="701">
        <v>0</v>
      </c>
      <c r="B193" s="759">
        <v>6.5</v>
      </c>
      <c r="C193" s="759">
        <v>8</v>
      </c>
      <c r="D193" s="759">
        <v>2.4</v>
      </c>
      <c r="E193" s="701">
        <v>1.35</v>
      </c>
      <c r="F193" s="759">
        <v>4.2699999999999996</v>
      </c>
      <c r="H193" s="759">
        <f t="shared" si="2"/>
        <v>5.7645</v>
      </c>
    </row>
    <row r="194" spans="1:8">
      <c r="A194" s="701">
        <v>0</v>
      </c>
      <c r="B194" s="759">
        <v>7</v>
      </c>
      <c r="C194" s="759">
        <v>3</v>
      </c>
      <c r="D194" s="759">
        <v>2.4</v>
      </c>
      <c r="E194" s="701">
        <v>1.35</v>
      </c>
      <c r="F194" s="759">
        <v>4.5999999999999996</v>
      </c>
      <c r="H194" s="759">
        <f t="shared" si="2"/>
        <v>6.21</v>
      </c>
    </row>
    <row r="195" spans="1:8">
      <c r="A195" s="701">
        <v>0</v>
      </c>
      <c r="B195" s="759">
        <v>7</v>
      </c>
      <c r="C195" s="759">
        <v>3.25</v>
      </c>
      <c r="D195" s="759">
        <v>2.4</v>
      </c>
      <c r="E195" s="701">
        <v>1.35</v>
      </c>
      <c r="F195" s="759">
        <v>4.5999999999999996</v>
      </c>
      <c r="H195" s="759">
        <f t="shared" si="2"/>
        <v>6.21</v>
      </c>
    </row>
    <row r="196" spans="1:8">
      <c r="A196" s="701">
        <v>0</v>
      </c>
      <c r="B196" s="759">
        <v>7</v>
      </c>
      <c r="C196" s="759">
        <v>3.5</v>
      </c>
      <c r="D196" s="759">
        <v>2.4</v>
      </c>
      <c r="E196" s="701">
        <v>1.35</v>
      </c>
      <c r="F196" s="759">
        <v>4.5999999999999996</v>
      </c>
      <c r="H196" s="759">
        <f t="shared" si="2"/>
        <v>6.21</v>
      </c>
    </row>
    <row r="197" spans="1:8">
      <c r="A197" s="701">
        <v>0</v>
      </c>
      <c r="B197" s="759">
        <v>7</v>
      </c>
      <c r="C197" s="759">
        <v>3.75</v>
      </c>
      <c r="D197" s="759">
        <v>2.4</v>
      </c>
      <c r="E197" s="701">
        <v>1.35</v>
      </c>
      <c r="F197" s="759">
        <v>4.5999999999999996</v>
      </c>
      <c r="H197" s="759">
        <f t="shared" ref="H197:H260" si="3">F197*E197</f>
        <v>6.21</v>
      </c>
    </row>
    <row r="198" spans="1:8">
      <c r="A198" s="701">
        <v>0</v>
      </c>
      <c r="B198" s="759">
        <v>7</v>
      </c>
      <c r="C198" s="759">
        <v>4</v>
      </c>
      <c r="D198" s="759">
        <v>2.4</v>
      </c>
      <c r="E198" s="701">
        <v>1.35</v>
      </c>
      <c r="F198" s="759">
        <v>4.5999999999999996</v>
      </c>
      <c r="H198" s="759">
        <f t="shared" si="3"/>
        <v>6.21</v>
      </c>
    </row>
    <row r="199" spans="1:8">
      <c r="A199" s="701">
        <v>0</v>
      </c>
      <c r="B199" s="759">
        <v>7</v>
      </c>
      <c r="C199" s="759">
        <v>4.25</v>
      </c>
      <c r="D199" s="759">
        <v>2.4</v>
      </c>
      <c r="E199" s="701">
        <v>1.35</v>
      </c>
      <c r="F199" s="759">
        <v>4.5999999999999996</v>
      </c>
      <c r="H199" s="759">
        <f t="shared" si="3"/>
        <v>6.21</v>
      </c>
    </row>
    <row r="200" spans="1:8">
      <c r="A200" s="701">
        <v>0</v>
      </c>
      <c r="B200" s="759">
        <v>7</v>
      </c>
      <c r="C200" s="759">
        <v>4.5</v>
      </c>
      <c r="D200" s="759">
        <v>2.4</v>
      </c>
      <c r="E200" s="701">
        <v>1.35</v>
      </c>
      <c r="F200" s="759">
        <v>4.5999999999999996</v>
      </c>
      <c r="H200" s="759">
        <f t="shared" si="3"/>
        <v>6.21</v>
      </c>
    </row>
    <row r="201" spans="1:8">
      <c r="A201" s="701">
        <v>0</v>
      </c>
      <c r="B201" s="759">
        <v>7</v>
      </c>
      <c r="C201" s="759">
        <v>4.75</v>
      </c>
      <c r="D201" s="759">
        <v>2.4</v>
      </c>
      <c r="E201" s="701">
        <v>1.35</v>
      </c>
      <c r="F201" s="759">
        <v>4.5999999999999996</v>
      </c>
      <c r="H201" s="759">
        <f t="shared" si="3"/>
        <v>6.21</v>
      </c>
    </row>
    <row r="202" spans="1:8">
      <c r="A202" s="701">
        <v>0</v>
      </c>
      <c r="B202" s="759">
        <v>7</v>
      </c>
      <c r="C202" s="759">
        <v>5</v>
      </c>
      <c r="D202" s="759">
        <v>2.4</v>
      </c>
      <c r="E202" s="701">
        <v>1.35</v>
      </c>
      <c r="F202" s="759">
        <v>4.5999999999999996</v>
      </c>
      <c r="H202" s="759">
        <f t="shared" si="3"/>
        <v>6.21</v>
      </c>
    </row>
    <row r="203" spans="1:8">
      <c r="A203" s="701">
        <v>0</v>
      </c>
      <c r="B203" s="759">
        <v>7</v>
      </c>
      <c r="C203" s="759">
        <v>5.25</v>
      </c>
      <c r="D203" s="759">
        <v>2.4</v>
      </c>
      <c r="E203" s="701">
        <v>1.35</v>
      </c>
      <c r="F203" s="759">
        <v>4.5999999999999996</v>
      </c>
      <c r="H203" s="759">
        <f t="shared" si="3"/>
        <v>6.21</v>
      </c>
    </row>
    <row r="204" spans="1:8">
      <c r="A204" s="701">
        <v>0</v>
      </c>
      <c r="B204" s="759">
        <v>7</v>
      </c>
      <c r="C204" s="759">
        <v>5.5</v>
      </c>
      <c r="D204" s="759">
        <v>2.4</v>
      </c>
      <c r="E204" s="701">
        <v>1.35</v>
      </c>
      <c r="F204" s="759">
        <v>4.5999999999999996</v>
      </c>
      <c r="H204" s="759">
        <f t="shared" si="3"/>
        <v>6.21</v>
      </c>
    </row>
    <row r="205" spans="1:8">
      <c r="A205" s="701">
        <v>0</v>
      </c>
      <c r="B205" s="759">
        <v>7</v>
      </c>
      <c r="C205" s="759">
        <v>5.75</v>
      </c>
      <c r="D205" s="759">
        <v>2.4</v>
      </c>
      <c r="E205" s="701">
        <v>1.35</v>
      </c>
      <c r="F205" s="759">
        <v>4.5999999999999996</v>
      </c>
      <c r="H205" s="759">
        <f t="shared" si="3"/>
        <v>6.21</v>
      </c>
    </row>
    <row r="206" spans="1:8">
      <c r="A206" s="701">
        <v>0</v>
      </c>
      <c r="B206" s="759">
        <v>7</v>
      </c>
      <c r="C206" s="759">
        <v>6</v>
      </c>
      <c r="D206" s="759">
        <v>2.4</v>
      </c>
      <c r="E206" s="701">
        <v>1.35</v>
      </c>
      <c r="F206" s="759">
        <v>4.5999999999999996</v>
      </c>
      <c r="H206" s="759">
        <f t="shared" si="3"/>
        <v>6.21</v>
      </c>
    </row>
    <row r="207" spans="1:8">
      <c r="A207" s="701">
        <v>0</v>
      </c>
      <c r="B207" s="759">
        <v>7</v>
      </c>
      <c r="C207" s="759">
        <v>6.25</v>
      </c>
      <c r="D207" s="759">
        <v>2.4</v>
      </c>
      <c r="E207" s="701">
        <v>1.35</v>
      </c>
      <c r="F207" s="759">
        <v>4.5999999999999996</v>
      </c>
      <c r="H207" s="759">
        <f t="shared" si="3"/>
        <v>6.21</v>
      </c>
    </row>
    <row r="208" spans="1:8">
      <c r="A208" s="701">
        <v>0</v>
      </c>
      <c r="B208" s="759">
        <v>7</v>
      </c>
      <c r="C208" s="759">
        <v>6.5</v>
      </c>
      <c r="D208" s="759">
        <v>2.4</v>
      </c>
      <c r="E208" s="701">
        <v>1.35</v>
      </c>
      <c r="F208" s="759">
        <v>4.5999999999999996</v>
      </c>
      <c r="H208" s="759">
        <f t="shared" si="3"/>
        <v>6.21</v>
      </c>
    </row>
    <row r="209" spans="1:8">
      <c r="A209" s="701">
        <v>0</v>
      </c>
      <c r="B209" s="759">
        <v>7</v>
      </c>
      <c r="C209" s="759">
        <v>6.75</v>
      </c>
      <c r="D209" s="759">
        <v>2.4</v>
      </c>
      <c r="E209" s="701">
        <v>1.35</v>
      </c>
      <c r="F209" s="759">
        <v>4.5999999999999996</v>
      </c>
      <c r="H209" s="759">
        <f t="shared" si="3"/>
        <v>6.21</v>
      </c>
    </row>
    <row r="210" spans="1:8">
      <c r="A210" s="701">
        <v>0</v>
      </c>
      <c r="B210" s="759">
        <v>7</v>
      </c>
      <c r="C210" s="759">
        <v>7</v>
      </c>
      <c r="D210" s="759">
        <v>2.4</v>
      </c>
      <c r="E210" s="701">
        <v>1.35</v>
      </c>
      <c r="F210" s="759">
        <v>4.5999999999999996</v>
      </c>
      <c r="H210" s="759">
        <f t="shared" si="3"/>
        <v>6.21</v>
      </c>
    </row>
    <row r="211" spans="1:8">
      <c r="A211" s="701">
        <v>0</v>
      </c>
      <c r="B211" s="759">
        <v>7</v>
      </c>
      <c r="C211" s="759">
        <v>7.5</v>
      </c>
      <c r="D211" s="759">
        <v>2.4</v>
      </c>
      <c r="E211" s="701">
        <v>1.35</v>
      </c>
      <c r="F211" s="759">
        <v>4.5999999999999996</v>
      </c>
      <c r="H211" s="759">
        <f t="shared" si="3"/>
        <v>6.21</v>
      </c>
    </row>
    <row r="212" spans="1:8">
      <c r="A212" s="701">
        <v>0</v>
      </c>
      <c r="B212" s="759">
        <v>7</v>
      </c>
      <c r="C212" s="759">
        <v>8</v>
      </c>
      <c r="D212" s="759">
        <v>2.4</v>
      </c>
      <c r="E212" s="701">
        <v>1.35</v>
      </c>
      <c r="F212" s="759">
        <v>4.5999999999999996</v>
      </c>
      <c r="H212" s="759">
        <f t="shared" si="3"/>
        <v>6.21</v>
      </c>
    </row>
    <row r="213" spans="1:8">
      <c r="A213" s="701">
        <v>0</v>
      </c>
      <c r="B213" s="759">
        <v>7.5</v>
      </c>
      <c r="C213" s="759">
        <v>3</v>
      </c>
      <c r="D213" s="759">
        <v>2.4</v>
      </c>
      <c r="E213" s="701">
        <v>1.35</v>
      </c>
      <c r="F213" s="759">
        <v>4.93</v>
      </c>
      <c r="H213" s="759">
        <f t="shared" si="3"/>
        <v>6.6555</v>
      </c>
    </row>
    <row r="214" spans="1:8">
      <c r="A214" s="701">
        <v>0</v>
      </c>
      <c r="B214" s="759">
        <v>7.5</v>
      </c>
      <c r="C214" s="759">
        <v>3.25</v>
      </c>
      <c r="D214" s="759">
        <v>2.4</v>
      </c>
      <c r="E214" s="701">
        <v>1.35</v>
      </c>
      <c r="F214" s="759">
        <v>4.93</v>
      </c>
      <c r="H214" s="759">
        <f t="shared" si="3"/>
        <v>6.6555</v>
      </c>
    </row>
    <row r="215" spans="1:8">
      <c r="A215" s="701">
        <v>0</v>
      </c>
      <c r="B215" s="759">
        <v>7.5</v>
      </c>
      <c r="C215" s="759">
        <v>3.5</v>
      </c>
      <c r="D215" s="759">
        <v>2.4</v>
      </c>
      <c r="E215" s="701">
        <v>1.35</v>
      </c>
      <c r="F215" s="759">
        <v>4.93</v>
      </c>
      <c r="H215" s="759">
        <f t="shared" si="3"/>
        <v>6.6555</v>
      </c>
    </row>
    <row r="216" spans="1:8">
      <c r="A216" s="701">
        <v>0</v>
      </c>
      <c r="B216" s="759">
        <v>7.5</v>
      </c>
      <c r="C216" s="759">
        <v>3.75</v>
      </c>
      <c r="D216" s="759">
        <v>2.4</v>
      </c>
      <c r="E216" s="701">
        <v>1.35</v>
      </c>
      <c r="F216" s="759">
        <v>4.93</v>
      </c>
      <c r="H216" s="759">
        <f t="shared" si="3"/>
        <v>6.6555</v>
      </c>
    </row>
    <row r="217" spans="1:8">
      <c r="A217" s="701">
        <v>0</v>
      </c>
      <c r="B217" s="759">
        <v>7.5</v>
      </c>
      <c r="C217" s="759">
        <v>4</v>
      </c>
      <c r="D217" s="759">
        <v>2.4</v>
      </c>
      <c r="E217" s="701">
        <v>1.35</v>
      </c>
      <c r="F217" s="759">
        <v>4.93</v>
      </c>
      <c r="H217" s="759">
        <f t="shared" si="3"/>
        <v>6.6555</v>
      </c>
    </row>
    <row r="218" spans="1:8">
      <c r="A218" s="701">
        <v>0</v>
      </c>
      <c r="B218" s="759">
        <v>7.5</v>
      </c>
      <c r="C218" s="759">
        <v>4.25</v>
      </c>
      <c r="D218" s="759">
        <v>2.4</v>
      </c>
      <c r="E218" s="701">
        <v>1.35</v>
      </c>
      <c r="F218" s="759">
        <v>4.93</v>
      </c>
      <c r="H218" s="759">
        <f t="shared" si="3"/>
        <v>6.6555</v>
      </c>
    </row>
    <row r="219" spans="1:8">
      <c r="A219" s="701">
        <v>0</v>
      </c>
      <c r="B219" s="759">
        <v>7.5</v>
      </c>
      <c r="C219" s="759">
        <v>4.5</v>
      </c>
      <c r="D219" s="759">
        <v>2.4</v>
      </c>
      <c r="E219" s="701">
        <v>1.35</v>
      </c>
      <c r="F219" s="759">
        <v>4.93</v>
      </c>
      <c r="H219" s="759">
        <f t="shared" si="3"/>
        <v>6.6555</v>
      </c>
    </row>
    <row r="220" spans="1:8">
      <c r="A220" s="701">
        <v>0</v>
      </c>
      <c r="B220" s="759">
        <v>7.5</v>
      </c>
      <c r="C220" s="759">
        <v>4.75</v>
      </c>
      <c r="D220" s="759">
        <v>2.4</v>
      </c>
      <c r="E220" s="701">
        <v>1.35</v>
      </c>
      <c r="F220" s="759">
        <v>4.93</v>
      </c>
      <c r="H220" s="759">
        <f t="shared" si="3"/>
        <v>6.6555</v>
      </c>
    </row>
    <row r="221" spans="1:8">
      <c r="A221" s="701">
        <v>0</v>
      </c>
      <c r="B221" s="759">
        <v>7.5</v>
      </c>
      <c r="C221" s="759">
        <v>5</v>
      </c>
      <c r="D221" s="759">
        <v>2.4</v>
      </c>
      <c r="E221" s="701">
        <v>1.35</v>
      </c>
      <c r="F221" s="759">
        <v>4.93</v>
      </c>
      <c r="H221" s="759">
        <f t="shared" si="3"/>
        <v>6.6555</v>
      </c>
    </row>
    <row r="222" spans="1:8">
      <c r="A222" s="701">
        <v>0</v>
      </c>
      <c r="B222" s="759">
        <v>7.5</v>
      </c>
      <c r="C222" s="759">
        <v>5.25</v>
      </c>
      <c r="D222" s="759">
        <v>2.4</v>
      </c>
      <c r="E222" s="701">
        <v>1.35</v>
      </c>
      <c r="F222" s="759">
        <v>4.93</v>
      </c>
      <c r="H222" s="759">
        <f t="shared" si="3"/>
        <v>6.6555</v>
      </c>
    </row>
    <row r="223" spans="1:8">
      <c r="A223" s="701">
        <v>0</v>
      </c>
      <c r="B223" s="759">
        <v>7.5</v>
      </c>
      <c r="C223" s="759">
        <v>5.5</v>
      </c>
      <c r="D223" s="759">
        <v>2.4</v>
      </c>
      <c r="E223" s="701">
        <v>1.35</v>
      </c>
      <c r="F223" s="759">
        <v>4.93</v>
      </c>
      <c r="H223" s="759">
        <f t="shared" si="3"/>
        <v>6.6555</v>
      </c>
    </row>
    <row r="224" spans="1:8">
      <c r="A224" s="701">
        <v>0</v>
      </c>
      <c r="B224" s="759">
        <v>7.5</v>
      </c>
      <c r="C224" s="759">
        <v>5.75</v>
      </c>
      <c r="D224" s="759">
        <v>2.4</v>
      </c>
      <c r="E224" s="701">
        <v>1.35</v>
      </c>
      <c r="F224" s="759">
        <v>4.93</v>
      </c>
      <c r="H224" s="759">
        <f t="shared" si="3"/>
        <v>6.6555</v>
      </c>
    </row>
    <row r="225" spans="1:8">
      <c r="A225" s="701">
        <v>0</v>
      </c>
      <c r="B225" s="759">
        <v>7.5</v>
      </c>
      <c r="C225" s="759">
        <v>6</v>
      </c>
      <c r="D225" s="759">
        <v>2.4</v>
      </c>
      <c r="E225" s="701">
        <v>1.35</v>
      </c>
      <c r="F225" s="759">
        <v>4.93</v>
      </c>
      <c r="H225" s="759">
        <f t="shared" si="3"/>
        <v>6.6555</v>
      </c>
    </row>
    <row r="226" spans="1:8">
      <c r="A226" s="701">
        <v>0</v>
      </c>
      <c r="B226" s="759">
        <v>7.5</v>
      </c>
      <c r="C226" s="759">
        <v>6.25</v>
      </c>
      <c r="D226" s="759">
        <v>2.4</v>
      </c>
      <c r="E226" s="701">
        <v>1.35</v>
      </c>
      <c r="F226" s="759">
        <v>4.93</v>
      </c>
      <c r="H226" s="759">
        <f t="shared" si="3"/>
        <v>6.6555</v>
      </c>
    </row>
    <row r="227" spans="1:8">
      <c r="A227" s="701">
        <v>0</v>
      </c>
      <c r="B227" s="759">
        <v>7.5</v>
      </c>
      <c r="C227" s="759">
        <v>6.5</v>
      </c>
      <c r="D227" s="759">
        <v>2.4</v>
      </c>
      <c r="E227" s="701">
        <v>1.35</v>
      </c>
      <c r="F227" s="759">
        <v>4.93</v>
      </c>
      <c r="H227" s="759">
        <f t="shared" si="3"/>
        <v>6.6555</v>
      </c>
    </row>
    <row r="228" spans="1:8">
      <c r="A228" s="701">
        <v>0</v>
      </c>
      <c r="B228" s="759">
        <v>7.5</v>
      </c>
      <c r="C228" s="759">
        <v>6.75</v>
      </c>
      <c r="D228" s="759">
        <v>2.4</v>
      </c>
      <c r="E228" s="701">
        <v>1.35</v>
      </c>
      <c r="F228" s="759">
        <v>4.93</v>
      </c>
      <c r="H228" s="759">
        <f t="shared" si="3"/>
        <v>6.6555</v>
      </c>
    </row>
    <row r="229" spans="1:8">
      <c r="A229" s="701">
        <v>0</v>
      </c>
      <c r="B229" s="759">
        <v>7.5</v>
      </c>
      <c r="C229" s="759">
        <v>7</v>
      </c>
      <c r="D229" s="759">
        <v>2.4</v>
      </c>
      <c r="E229" s="701">
        <v>1.35</v>
      </c>
      <c r="F229" s="759">
        <v>4.93</v>
      </c>
      <c r="H229" s="759">
        <f t="shared" si="3"/>
        <v>6.6555</v>
      </c>
    </row>
    <row r="230" spans="1:8">
      <c r="A230" s="701">
        <v>0</v>
      </c>
      <c r="B230" s="759">
        <v>7.5</v>
      </c>
      <c r="C230" s="759">
        <v>7.5</v>
      </c>
      <c r="D230" s="759">
        <v>2.4</v>
      </c>
      <c r="E230" s="701">
        <v>1.35</v>
      </c>
      <c r="F230" s="759">
        <v>4.93</v>
      </c>
      <c r="H230" s="759">
        <f t="shared" si="3"/>
        <v>6.6555</v>
      </c>
    </row>
    <row r="231" spans="1:8">
      <c r="A231" s="701">
        <v>0</v>
      </c>
      <c r="B231" s="759">
        <v>7.5</v>
      </c>
      <c r="C231" s="759">
        <v>8</v>
      </c>
      <c r="D231" s="759">
        <v>2.4</v>
      </c>
      <c r="E231" s="701">
        <v>1.35</v>
      </c>
      <c r="F231" s="759">
        <v>4.93</v>
      </c>
      <c r="H231" s="759">
        <f t="shared" si="3"/>
        <v>6.6555</v>
      </c>
    </row>
    <row r="232" spans="1:8">
      <c r="A232" s="701">
        <v>0</v>
      </c>
      <c r="B232" s="759">
        <v>8</v>
      </c>
      <c r="C232" s="759">
        <v>3</v>
      </c>
      <c r="D232" s="759">
        <v>2.4</v>
      </c>
      <c r="E232" s="701">
        <v>1.35</v>
      </c>
      <c r="F232" s="759">
        <v>5.26</v>
      </c>
      <c r="H232" s="759">
        <f t="shared" si="3"/>
        <v>7.101</v>
      </c>
    </row>
    <row r="233" spans="1:8">
      <c r="A233" s="701">
        <v>0</v>
      </c>
      <c r="B233" s="759">
        <v>8</v>
      </c>
      <c r="C233" s="759">
        <v>3.25</v>
      </c>
      <c r="D233" s="759">
        <v>2.4</v>
      </c>
      <c r="E233" s="701">
        <v>1.35</v>
      </c>
      <c r="F233" s="759">
        <v>5.26</v>
      </c>
      <c r="H233" s="759">
        <f t="shared" si="3"/>
        <v>7.101</v>
      </c>
    </row>
    <row r="234" spans="1:8">
      <c r="A234" s="701">
        <v>0</v>
      </c>
      <c r="B234" s="759">
        <v>8</v>
      </c>
      <c r="C234" s="759">
        <v>3.5</v>
      </c>
      <c r="D234" s="759">
        <v>2.4</v>
      </c>
      <c r="E234" s="701">
        <v>1.35</v>
      </c>
      <c r="F234" s="759">
        <v>5.26</v>
      </c>
      <c r="H234" s="759">
        <f t="shared" si="3"/>
        <v>7.101</v>
      </c>
    </row>
    <row r="235" spans="1:8">
      <c r="A235" s="701">
        <v>0</v>
      </c>
      <c r="B235" s="759">
        <v>8</v>
      </c>
      <c r="C235" s="759">
        <v>3.75</v>
      </c>
      <c r="D235" s="759">
        <v>2.4</v>
      </c>
      <c r="E235" s="701">
        <v>1.35</v>
      </c>
      <c r="F235" s="759">
        <v>5.26</v>
      </c>
      <c r="H235" s="759">
        <f t="shared" si="3"/>
        <v>7.101</v>
      </c>
    </row>
    <row r="236" spans="1:8">
      <c r="A236" s="701">
        <v>0</v>
      </c>
      <c r="B236" s="759">
        <v>8</v>
      </c>
      <c r="C236" s="759">
        <v>4</v>
      </c>
      <c r="D236" s="759">
        <v>2.4</v>
      </c>
      <c r="E236" s="701">
        <v>1.35</v>
      </c>
      <c r="F236" s="759">
        <v>5.26</v>
      </c>
      <c r="H236" s="759">
        <f t="shared" si="3"/>
        <v>7.101</v>
      </c>
    </row>
    <row r="237" spans="1:8">
      <c r="A237" s="701">
        <v>0</v>
      </c>
      <c r="B237" s="759">
        <v>8</v>
      </c>
      <c r="C237" s="759">
        <v>4.25</v>
      </c>
      <c r="D237" s="759">
        <v>2.4</v>
      </c>
      <c r="E237" s="701">
        <v>1.35</v>
      </c>
      <c r="F237" s="759">
        <v>5.26</v>
      </c>
      <c r="H237" s="759">
        <f t="shared" si="3"/>
        <v>7.101</v>
      </c>
    </row>
    <row r="238" spans="1:8">
      <c r="A238" s="701">
        <v>0</v>
      </c>
      <c r="B238" s="759">
        <v>8</v>
      </c>
      <c r="C238" s="759">
        <v>4.5</v>
      </c>
      <c r="D238" s="759">
        <v>2.4</v>
      </c>
      <c r="E238" s="701">
        <v>1.35</v>
      </c>
      <c r="F238" s="759">
        <v>5.26</v>
      </c>
      <c r="H238" s="759">
        <f t="shared" si="3"/>
        <v>7.101</v>
      </c>
    </row>
    <row r="239" spans="1:8">
      <c r="A239" s="701">
        <v>0</v>
      </c>
      <c r="B239" s="759">
        <v>8</v>
      </c>
      <c r="C239" s="759">
        <v>4.75</v>
      </c>
      <c r="D239" s="759">
        <v>2.4</v>
      </c>
      <c r="E239" s="701">
        <v>1.35</v>
      </c>
      <c r="F239" s="759">
        <v>5.26</v>
      </c>
      <c r="H239" s="759">
        <f t="shared" si="3"/>
        <v>7.101</v>
      </c>
    </row>
    <row r="240" spans="1:8">
      <c r="A240" s="701">
        <v>0</v>
      </c>
      <c r="B240" s="759">
        <v>8</v>
      </c>
      <c r="C240" s="759">
        <v>5</v>
      </c>
      <c r="D240" s="759">
        <v>2.4</v>
      </c>
      <c r="E240" s="701">
        <v>1.35</v>
      </c>
      <c r="F240" s="759">
        <v>5.26</v>
      </c>
      <c r="H240" s="759">
        <f t="shared" si="3"/>
        <v>7.101</v>
      </c>
    </row>
    <row r="241" spans="1:8">
      <c r="A241" s="701">
        <v>0</v>
      </c>
      <c r="B241" s="759">
        <v>8</v>
      </c>
      <c r="C241" s="759">
        <v>5.25</v>
      </c>
      <c r="D241" s="759">
        <v>2.4</v>
      </c>
      <c r="E241" s="701">
        <v>1.35</v>
      </c>
      <c r="F241" s="759">
        <v>5.26</v>
      </c>
      <c r="H241" s="759">
        <f t="shared" si="3"/>
        <v>7.101</v>
      </c>
    </row>
    <row r="242" spans="1:8">
      <c r="A242" s="701">
        <v>0</v>
      </c>
      <c r="B242" s="759">
        <v>8</v>
      </c>
      <c r="C242" s="759">
        <v>5.5</v>
      </c>
      <c r="D242" s="759">
        <v>2.4</v>
      </c>
      <c r="E242" s="701">
        <v>1.35</v>
      </c>
      <c r="F242" s="759">
        <v>5.26</v>
      </c>
      <c r="H242" s="759">
        <f t="shared" si="3"/>
        <v>7.101</v>
      </c>
    </row>
    <row r="243" spans="1:8">
      <c r="A243" s="701">
        <v>0</v>
      </c>
      <c r="B243" s="759">
        <v>8</v>
      </c>
      <c r="C243" s="759">
        <v>5.75</v>
      </c>
      <c r="D243" s="759">
        <v>2.4</v>
      </c>
      <c r="E243" s="701">
        <v>1.35</v>
      </c>
      <c r="F243" s="759">
        <v>5.26</v>
      </c>
      <c r="H243" s="759">
        <f t="shared" si="3"/>
        <v>7.101</v>
      </c>
    </row>
    <row r="244" spans="1:8">
      <c r="A244" s="701">
        <v>0</v>
      </c>
      <c r="B244" s="759">
        <v>8</v>
      </c>
      <c r="C244" s="759">
        <v>6</v>
      </c>
      <c r="D244" s="759">
        <v>2.4</v>
      </c>
      <c r="E244" s="701">
        <v>1.35</v>
      </c>
      <c r="F244" s="759">
        <v>5.26</v>
      </c>
      <c r="H244" s="759">
        <f t="shared" si="3"/>
        <v>7.101</v>
      </c>
    </row>
    <row r="245" spans="1:8">
      <c r="A245" s="701">
        <v>0</v>
      </c>
      <c r="B245" s="759">
        <v>8</v>
      </c>
      <c r="C245" s="759">
        <v>6.25</v>
      </c>
      <c r="D245" s="759">
        <v>2.4</v>
      </c>
      <c r="E245" s="701">
        <v>1.35</v>
      </c>
      <c r="F245" s="759">
        <v>5.26</v>
      </c>
      <c r="H245" s="759">
        <f t="shared" si="3"/>
        <v>7.101</v>
      </c>
    </row>
    <row r="246" spans="1:8">
      <c r="A246" s="701">
        <v>0</v>
      </c>
      <c r="B246" s="759">
        <v>8</v>
      </c>
      <c r="C246" s="759">
        <v>6.5</v>
      </c>
      <c r="D246" s="759">
        <v>2.4</v>
      </c>
      <c r="E246" s="701">
        <v>1.35</v>
      </c>
      <c r="F246" s="759">
        <v>5.26</v>
      </c>
      <c r="H246" s="759">
        <f t="shared" si="3"/>
        <v>7.101</v>
      </c>
    </row>
    <row r="247" spans="1:8">
      <c r="A247" s="701">
        <v>0</v>
      </c>
      <c r="B247" s="759">
        <v>8</v>
      </c>
      <c r="C247" s="759">
        <v>6.75</v>
      </c>
      <c r="D247" s="759">
        <v>2.4</v>
      </c>
      <c r="E247" s="701">
        <v>1.35</v>
      </c>
      <c r="F247" s="759">
        <v>5.26</v>
      </c>
      <c r="H247" s="759">
        <f t="shared" si="3"/>
        <v>7.101</v>
      </c>
    </row>
    <row r="248" spans="1:8">
      <c r="A248" s="701">
        <v>0</v>
      </c>
      <c r="B248" s="759">
        <v>8</v>
      </c>
      <c r="C248" s="759">
        <v>7</v>
      </c>
      <c r="D248" s="759">
        <v>2.4</v>
      </c>
      <c r="E248" s="701">
        <v>1.35</v>
      </c>
      <c r="F248" s="759">
        <v>5.26</v>
      </c>
      <c r="H248" s="759">
        <f t="shared" si="3"/>
        <v>7.101</v>
      </c>
    </row>
    <row r="249" spans="1:8">
      <c r="A249" s="701">
        <v>0</v>
      </c>
      <c r="B249" s="759">
        <v>8</v>
      </c>
      <c r="C249" s="759">
        <v>7.5</v>
      </c>
      <c r="D249" s="759">
        <v>2.4</v>
      </c>
      <c r="E249" s="701">
        <v>1.35</v>
      </c>
      <c r="F249" s="759">
        <v>5.26</v>
      </c>
      <c r="H249" s="759">
        <f t="shared" si="3"/>
        <v>7.101</v>
      </c>
    </row>
    <row r="250" spans="1:8">
      <c r="A250" s="701">
        <v>0</v>
      </c>
      <c r="B250" s="759">
        <v>8</v>
      </c>
      <c r="C250" s="759">
        <v>8</v>
      </c>
      <c r="D250" s="759">
        <v>2.4</v>
      </c>
      <c r="E250" s="701">
        <v>1.35</v>
      </c>
      <c r="F250" s="759">
        <v>5.26</v>
      </c>
      <c r="H250" s="759">
        <f t="shared" si="3"/>
        <v>7.101</v>
      </c>
    </row>
    <row r="251" spans="1:8">
      <c r="H251" s="759"/>
    </row>
    <row r="252" spans="1:8">
      <c r="A252" s="701">
        <v>0</v>
      </c>
      <c r="B252" s="759">
        <v>2</v>
      </c>
      <c r="C252" s="759">
        <v>3</v>
      </c>
      <c r="D252" s="759">
        <v>2.5</v>
      </c>
      <c r="E252" s="701">
        <v>1.35</v>
      </c>
      <c r="F252" s="759">
        <v>1.31</v>
      </c>
      <c r="H252" s="759">
        <f t="shared" si="3"/>
        <v>1.7685000000000002</v>
      </c>
    </row>
    <row r="253" spans="1:8">
      <c r="A253" s="701">
        <v>0</v>
      </c>
      <c r="B253" s="759">
        <v>2</v>
      </c>
      <c r="C253" s="759">
        <v>3.25</v>
      </c>
      <c r="D253" s="759">
        <v>2.5</v>
      </c>
      <c r="E253" s="701">
        <v>1.35</v>
      </c>
      <c r="F253" s="701">
        <v>1.31</v>
      </c>
      <c r="H253" s="759">
        <f t="shared" si="3"/>
        <v>1.7685000000000002</v>
      </c>
    </row>
    <row r="254" spans="1:8">
      <c r="A254" s="701">
        <v>0</v>
      </c>
      <c r="B254" s="759">
        <v>2</v>
      </c>
      <c r="C254" s="759">
        <v>3.5</v>
      </c>
      <c r="D254" s="759">
        <v>2.5</v>
      </c>
      <c r="E254" s="701">
        <v>1.35</v>
      </c>
      <c r="F254" s="701">
        <v>1.31</v>
      </c>
      <c r="H254" s="759">
        <f t="shared" si="3"/>
        <v>1.7685000000000002</v>
      </c>
    </row>
    <row r="255" spans="1:8">
      <c r="A255" s="701">
        <v>0</v>
      </c>
      <c r="B255" s="759">
        <v>2</v>
      </c>
      <c r="C255" s="759">
        <v>3.75</v>
      </c>
      <c r="D255" s="759">
        <v>2.5</v>
      </c>
      <c r="E255" s="701">
        <v>1.35</v>
      </c>
      <c r="F255" s="701">
        <v>1.31</v>
      </c>
      <c r="H255" s="759">
        <f t="shared" si="3"/>
        <v>1.7685000000000002</v>
      </c>
    </row>
    <row r="256" spans="1:8">
      <c r="A256" s="701">
        <v>0</v>
      </c>
      <c r="B256" s="759">
        <v>2</v>
      </c>
      <c r="C256" s="759">
        <v>4</v>
      </c>
      <c r="D256" s="759">
        <v>2.5</v>
      </c>
      <c r="E256" s="701">
        <v>1.35</v>
      </c>
      <c r="F256" s="701">
        <v>1.31</v>
      </c>
      <c r="H256" s="759">
        <f t="shared" si="3"/>
        <v>1.7685000000000002</v>
      </c>
    </row>
    <row r="257" spans="1:8">
      <c r="A257" s="701">
        <v>0</v>
      </c>
      <c r="B257" s="759">
        <v>2</v>
      </c>
      <c r="C257" s="759">
        <v>4.25</v>
      </c>
      <c r="D257" s="759">
        <v>2.5</v>
      </c>
      <c r="E257" s="701">
        <v>1.35</v>
      </c>
      <c r="F257" s="701">
        <v>1.31</v>
      </c>
      <c r="H257" s="759">
        <f t="shared" si="3"/>
        <v>1.7685000000000002</v>
      </c>
    </row>
    <row r="258" spans="1:8">
      <c r="A258" s="701">
        <v>0</v>
      </c>
      <c r="B258" s="759">
        <v>2</v>
      </c>
      <c r="C258" s="759">
        <v>4.5</v>
      </c>
      <c r="D258" s="759">
        <v>2.5</v>
      </c>
      <c r="E258" s="701">
        <v>1.35</v>
      </c>
      <c r="F258" s="701">
        <v>1.31</v>
      </c>
      <c r="H258" s="759">
        <f t="shared" si="3"/>
        <v>1.7685000000000002</v>
      </c>
    </row>
    <row r="259" spans="1:8">
      <c r="A259" s="701">
        <v>0</v>
      </c>
      <c r="B259" s="759">
        <v>2</v>
      </c>
      <c r="C259" s="759">
        <v>4.75</v>
      </c>
      <c r="D259" s="759">
        <v>2.5</v>
      </c>
      <c r="E259" s="701">
        <v>1.35</v>
      </c>
      <c r="F259" s="701">
        <v>1.31</v>
      </c>
      <c r="H259" s="759">
        <f t="shared" si="3"/>
        <v>1.7685000000000002</v>
      </c>
    </row>
    <row r="260" spans="1:8">
      <c r="A260" s="701">
        <v>0</v>
      </c>
      <c r="B260" s="759">
        <v>2</v>
      </c>
      <c r="C260" s="759">
        <v>5</v>
      </c>
      <c r="D260" s="759">
        <v>2.5</v>
      </c>
      <c r="E260" s="701">
        <v>1.35</v>
      </c>
      <c r="F260" s="701">
        <v>1.31</v>
      </c>
      <c r="H260" s="759">
        <f t="shared" si="3"/>
        <v>1.7685000000000002</v>
      </c>
    </row>
    <row r="261" spans="1:8">
      <c r="A261" s="701">
        <v>0</v>
      </c>
      <c r="B261" s="759">
        <v>2</v>
      </c>
      <c r="C261" s="759">
        <v>5.25</v>
      </c>
      <c r="D261" s="759">
        <v>2.5</v>
      </c>
      <c r="E261" s="701">
        <v>1.35</v>
      </c>
      <c r="F261" s="701">
        <v>1.31</v>
      </c>
      <c r="H261" s="759">
        <f t="shared" ref="H261:H324" si="4">F261*E261</f>
        <v>1.7685000000000002</v>
      </c>
    </row>
    <row r="262" spans="1:8">
      <c r="A262" s="701">
        <v>0</v>
      </c>
      <c r="B262" s="759">
        <v>2</v>
      </c>
      <c r="C262" s="759">
        <v>5.5</v>
      </c>
      <c r="D262" s="759">
        <v>2.5</v>
      </c>
      <c r="E262" s="701">
        <v>1.35</v>
      </c>
      <c r="F262" s="701">
        <v>1.31</v>
      </c>
      <c r="H262" s="759">
        <f t="shared" si="4"/>
        <v>1.7685000000000002</v>
      </c>
    </row>
    <row r="263" spans="1:8">
      <c r="A263" s="701">
        <v>0</v>
      </c>
      <c r="B263" s="759">
        <v>2</v>
      </c>
      <c r="C263" s="759">
        <v>5.75</v>
      </c>
      <c r="D263" s="759">
        <v>2.5</v>
      </c>
      <c r="E263" s="701">
        <v>1.35</v>
      </c>
      <c r="F263" s="701">
        <v>1.31</v>
      </c>
      <c r="H263" s="759">
        <f t="shared" si="4"/>
        <v>1.7685000000000002</v>
      </c>
    </row>
    <row r="264" spans="1:8">
      <c r="A264" s="701">
        <v>0</v>
      </c>
      <c r="B264" s="759">
        <v>2</v>
      </c>
      <c r="C264" s="759">
        <v>6</v>
      </c>
      <c r="D264" s="759">
        <v>2.5</v>
      </c>
      <c r="E264" s="701">
        <v>1.35</v>
      </c>
      <c r="F264" s="701">
        <v>1.31</v>
      </c>
      <c r="H264" s="759">
        <f t="shared" si="4"/>
        <v>1.7685000000000002</v>
      </c>
    </row>
    <row r="265" spans="1:8">
      <c r="A265" s="701">
        <v>0</v>
      </c>
      <c r="B265" s="759">
        <v>2</v>
      </c>
      <c r="C265" s="759">
        <v>6.25</v>
      </c>
      <c r="D265" s="759">
        <v>2.5</v>
      </c>
      <c r="E265" s="701">
        <v>1.35</v>
      </c>
      <c r="F265" s="701">
        <v>1.31</v>
      </c>
      <c r="H265" s="759">
        <f t="shared" si="4"/>
        <v>1.7685000000000002</v>
      </c>
    </row>
    <row r="266" spans="1:8">
      <c r="A266" s="701">
        <v>0</v>
      </c>
      <c r="B266" s="759">
        <v>2</v>
      </c>
      <c r="C266" s="759">
        <v>6.5</v>
      </c>
      <c r="D266" s="759">
        <v>2.5</v>
      </c>
      <c r="E266" s="701">
        <v>1.35</v>
      </c>
      <c r="F266" s="701">
        <v>1.31</v>
      </c>
      <c r="H266" s="759">
        <f t="shared" si="4"/>
        <v>1.7685000000000002</v>
      </c>
    </row>
    <row r="267" spans="1:8">
      <c r="A267" s="701">
        <v>0</v>
      </c>
      <c r="B267" s="759">
        <v>2</v>
      </c>
      <c r="C267" s="759">
        <v>6.75</v>
      </c>
      <c r="D267" s="759">
        <v>2.5</v>
      </c>
      <c r="E267" s="701">
        <v>1.35</v>
      </c>
      <c r="F267" s="701">
        <v>1.35</v>
      </c>
      <c r="H267" s="759">
        <f t="shared" si="4"/>
        <v>1.8225000000000002</v>
      </c>
    </row>
    <row r="268" spans="1:8">
      <c r="A268" s="701">
        <v>0</v>
      </c>
      <c r="B268" s="759">
        <v>2</v>
      </c>
      <c r="C268" s="759">
        <v>7</v>
      </c>
      <c r="D268" s="759">
        <v>2.5</v>
      </c>
      <c r="E268" s="701">
        <v>1.35</v>
      </c>
      <c r="F268" s="701">
        <v>1.41</v>
      </c>
      <c r="H268" s="759">
        <f t="shared" si="4"/>
        <v>1.9035</v>
      </c>
    </row>
    <row r="269" spans="1:8">
      <c r="A269" s="701">
        <v>0</v>
      </c>
      <c r="B269" s="759">
        <v>2</v>
      </c>
      <c r="C269" s="759">
        <v>7.5</v>
      </c>
      <c r="D269" s="759">
        <v>2.5</v>
      </c>
      <c r="E269" s="701">
        <v>1.35</v>
      </c>
      <c r="F269" s="701">
        <v>1.55</v>
      </c>
      <c r="H269" s="759">
        <f t="shared" si="4"/>
        <v>2.0925000000000002</v>
      </c>
    </row>
    <row r="270" spans="1:8">
      <c r="A270" s="701">
        <v>0</v>
      </c>
      <c r="B270" s="759">
        <v>2</v>
      </c>
      <c r="C270" s="759">
        <v>8</v>
      </c>
      <c r="D270" s="759">
        <v>2.5</v>
      </c>
      <c r="E270" s="701">
        <v>1.35</v>
      </c>
      <c r="F270" s="701">
        <v>1.68</v>
      </c>
      <c r="H270" s="759">
        <f t="shared" si="4"/>
        <v>2.2680000000000002</v>
      </c>
    </row>
    <row r="271" spans="1:8">
      <c r="A271" s="701">
        <v>0</v>
      </c>
      <c r="B271" s="759">
        <v>2.5</v>
      </c>
      <c r="C271" s="759">
        <v>3</v>
      </c>
      <c r="D271" s="759">
        <v>2.5</v>
      </c>
      <c r="E271" s="701">
        <v>1.35</v>
      </c>
      <c r="F271" s="759">
        <v>1.64</v>
      </c>
      <c r="H271" s="759">
        <f t="shared" si="4"/>
        <v>2.214</v>
      </c>
    </row>
    <row r="272" spans="1:8">
      <c r="A272" s="701">
        <v>0</v>
      </c>
      <c r="B272" s="759">
        <v>2.5</v>
      </c>
      <c r="C272" s="759">
        <v>3.25</v>
      </c>
      <c r="D272" s="759">
        <v>2.5</v>
      </c>
      <c r="E272" s="701">
        <v>1.35</v>
      </c>
      <c r="F272" s="701">
        <v>1.64</v>
      </c>
      <c r="H272" s="759">
        <f t="shared" si="4"/>
        <v>2.214</v>
      </c>
    </row>
    <row r="273" spans="1:8">
      <c r="A273" s="701">
        <v>0</v>
      </c>
      <c r="B273" s="759">
        <v>2.5</v>
      </c>
      <c r="C273" s="759">
        <v>3.5</v>
      </c>
      <c r="D273" s="759">
        <v>2.5</v>
      </c>
      <c r="E273" s="701">
        <v>1.35</v>
      </c>
      <c r="F273" s="701">
        <v>1.64</v>
      </c>
      <c r="H273" s="759">
        <f t="shared" si="4"/>
        <v>2.214</v>
      </c>
    </row>
    <row r="274" spans="1:8">
      <c r="A274" s="701">
        <v>0</v>
      </c>
      <c r="B274" s="759">
        <v>2.5</v>
      </c>
      <c r="C274" s="759">
        <v>3.75</v>
      </c>
      <c r="D274" s="759">
        <v>2.5</v>
      </c>
      <c r="E274" s="701">
        <v>1.35</v>
      </c>
      <c r="F274" s="701">
        <v>1.64</v>
      </c>
      <c r="H274" s="759">
        <f t="shared" si="4"/>
        <v>2.214</v>
      </c>
    </row>
    <row r="275" spans="1:8">
      <c r="A275" s="701">
        <v>0</v>
      </c>
      <c r="B275" s="759">
        <v>2.5</v>
      </c>
      <c r="C275" s="759">
        <v>4</v>
      </c>
      <c r="D275" s="759">
        <v>2.5</v>
      </c>
      <c r="E275" s="701">
        <v>1.35</v>
      </c>
      <c r="F275" s="701">
        <v>1.64</v>
      </c>
      <c r="H275" s="759">
        <f t="shared" si="4"/>
        <v>2.214</v>
      </c>
    </row>
    <row r="276" spans="1:8">
      <c r="A276" s="701">
        <v>0</v>
      </c>
      <c r="B276" s="759">
        <v>2.5</v>
      </c>
      <c r="C276" s="759">
        <v>4.25</v>
      </c>
      <c r="D276" s="759">
        <v>2.5</v>
      </c>
      <c r="E276" s="701">
        <v>1.35</v>
      </c>
      <c r="F276" s="701">
        <v>1.64</v>
      </c>
      <c r="H276" s="759">
        <f t="shared" si="4"/>
        <v>2.214</v>
      </c>
    </row>
    <row r="277" spans="1:8">
      <c r="A277" s="701">
        <v>0</v>
      </c>
      <c r="B277" s="759">
        <v>2.5</v>
      </c>
      <c r="C277" s="759">
        <v>4.5</v>
      </c>
      <c r="D277" s="759">
        <v>2.5</v>
      </c>
      <c r="E277" s="701">
        <v>1.35</v>
      </c>
      <c r="F277" s="701">
        <v>1.64</v>
      </c>
      <c r="H277" s="759">
        <f t="shared" si="4"/>
        <v>2.214</v>
      </c>
    </row>
    <row r="278" spans="1:8">
      <c r="A278" s="701">
        <v>0</v>
      </c>
      <c r="B278" s="759">
        <v>2.5</v>
      </c>
      <c r="C278" s="759">
        <v>4.75</v>
      </c>
      <c r="D278" s="759">
        <v>2.5</v>
      </c>
      <c r="E278" s="701">
        <v>1.35</v>
      </c>
      <c r="F278" s="701">
        <v>1.64</v>
      </c>
      <c r="H278" s="759">
        <f t="shared" si="4"/>
        <v>2.214</v>
      </c>
    </row>
    <row r="279" spans="1:8">
      <c r="A279" s="701">
        <v>0</v>
      </c>
      <c r="B279" s="759">
        <v>2.5</v>
      </c>
      <c r="C279" s="759">
        <v>5</v>
      </c>
      <c r="D279" s="759">
        <v>2.5</v>
      </c>
      <c r="E279" s="701">
        <v>1.35</v>
      </c>
      <c r="F279" s="701">
        <v>1.64</v>
      </c>
      <c r="H279" s="759">
        <f t="shared" si="4"/>
        <v>2.214</v>
      </c>
    </row>
    <row r="280" spans="1:8">
      <c r="A280" s="701">
        <v>0</v>
      </c>
      <c r="B280" s="759">
        <v>2.5</v>
      </c>
      <c r="C280" s="759">
        <v>5.25</v>
      </c>
      <c r="D280" s="759">
        <v>2.5</v>
      </c>
      <c r="E280" s="701">
        <v>1.35</v>
      </c>
      <c r="F280" s="701">
        <v>1.64</v>
      </c>
      <c r="H280" s="759">
        <f t="shared" si="4"/>
        <v>2.214</v>
      </c>
    </row>
    <row r="281" spans="1:8">
      <c r="A281" s="701">
        <v>0</v>
      </c>
      <c r="B281" s="759">
        <v>2.5</v>
      </c>
      <c r="C281" s="759">
        <v>5.5</v>
      </c>
      <c r="D281" s="759">
        <v>2.5</v>
      </c>
      <c r="E281" s="701">
        <v>1.35</v>
      </c>
      <c r="F281" s="701">
        <v>1.64</v>
      </c>
      <c r="H281" s="759">
        <f t="shared" si="4"/>
        <v>2.214</v>
      </c>
    </row>
    <row r="282" spans="1:8">
      <c r="A282" s="701">
        <v>0</v>
      </c>
      <c r="B282" s="759">
        <v>2.5</v>
      </c>
      <c r="C282" s="759">
        <v>5.75</v>
      </c>
      <c r="D282" s="759">
        <v>2.5</v>
      </c>
      <c r="E282" s="701">
        <v>1.35</v>
      </c>
      <c r="F282" s="701">
        <v>1.64</v>
      </c>
      <c r="H282" s="759">
        <f t="shared" si="4"/>
        <v>2.214</v>
      </c>
    </row>
    <row r="283" spans="1:8">
      <c r="A283" s="701">
        <v>0</v>
      </c>
      <c r="B283" s="759">
        <v>2.5</v>
      </c>
      <c r="C283" s="759">
        <v>6</v>
      </c>
      <c r="D283" s="759">
        <v>2.5</v>
      </c>
      <c r="E283" s="701">
        <v>1.35</v>
      </c>
      <c r="F283" s="701">
        <v>1.64</v>
      </c>
      <c r="H283" s="759">
        <f t="shared" si="4"/>
        <v>2.214</v>
      </c>
    </row>
    <row r="284" spans="1:8">
      <c r="A284" s="701">
        <v>0</v>
      </c>
      <c r="B284" s="759">
        <v>2.5</v>
      </c>
      <c r="C284" s="759">
        <v>6.25</v>
      </c>
      <c r="D284" s="759">
        <v>2.5</v>
      </c>
      <c r="E284" s="701">
        <v>1.35</v>
      </c>
      <c r="F284" s="701">
        <v>1.64</v>
      </c>
      <c r="H284" s="759">
        <f t="shared" si="4"/>
        <v>2.214</v>
      </c>
    </row>
    <row r="285" spans="1:8">
      <c r="A285" s="701">
        <v>0</v>
      </c>
      <c r="B285" s="759">
        <v>2.5</v>
      </c>
      <c r="C285" s="759">
        <v>6.5</v>
      </c>
      <c r="D285" s="759">
        <v>2.5</v>
      </c>
      <c r="E285" s="701">
        <v>1.35</v>
      </c>
      <c r="F285" s="701">
        <v>1.64</v>
      </c>
      <c r="H285" s="759">
        <f t="shared" si="4"/>
        <v>2.214</v>
      </c>
    </row>
    <row r="286" spans="1:8">
      <c r="A286" s="701">
        <v>0</v>
      </c>
      <c r="B286" s="759">
        <v>2.5</v>
      </c>
      <c r="C286" s="759">
        <v>6.75</v>
      </c>
      <c r="D286" s="759">
        <v>2.5</v>
      </c>
      <c r="E286" s="701">
        <v>1.35</v>
      </c>
      <c r="F286" s="701">
        <v>1.64</v>
      </c>
      <c r="H286" s="759">
        <f t="shared" si="4"/>
        <v>2.214</v>
      </c>
    </row>
    <row r="287" spans="1:8">
      <c r="A287" s="701">
        <v>0</v>
      </c>
      <c r="B287" s="759">
        <v>2.5</v>
      </c>
      <c r="C287" s="759">
        <v>7</v>
      </c>
      <c r="D287" s="759">
        <v>2.5</v>
      </c>
      <c r="E287" s="701">
        <v>1.35</v>
      </c>
      <c r="F287" s="701">
        <v>1.64</v>
      </c>
      <c r="H287" s="759">
        <f t="shared" si="4"/>
        <v>2.214</v>
      </c>
    </row>
    <row r="288" spans="1:8">
      <c r="A288" s="701">
        <v>0</v>
      </c>
      <c r="B288" s="759">
        <v>2.5</v>
      </c>
      <c r="C288" s="759">
        <v>7.5</v>
      </c>
      <c r="D288" s="759">
        <v>2.5</v>
      </c>
      <c r="E288" s="701">
        <v>1.35</v>
      </c>
      <c r="F288" s="701">
        <v>1.77</v>
      </c>
      <c r="H288" s="759">
        <f t="shared" si="4"/>
        <v>2.3895000000000004</v>
      </c>
    </row>
    <row r="289" spans="1:8">
      <c r="A289" s="701">
        <v>0</v>
      </c>
      <c r="B289" s="759">
        <v>2.5</v>
      </c>
      <c r="C289" s="759">
        <v>8</v>
      </c>
      <c r="D289" s="759">
        <v>2.5</v>
      </c>
      <c r="E289" s="701">
        <v>1.35</v>
      </c>
      <c r="F289" s="701">
        <v>1.93</v>
      </c>
      <c r="H289" s="759">
        <f t="shared" si="4"/>
        <v>2.6055000000000001</v>
      </c>
    </row>
    <row r="290" spans="1:8">
      <c r="A290" s="701">
        <v>0</v>
      </c>
      <c r="B290" s="759">
        <v>3</v>
      </c>
      <c r="C290" s="759">
        <v>3</v>
      </c>
      <c r="D290" s="759">
        <v>2.5</v>
      </c>
      <c r="E290" s="701">
        <v>1.35</v>
      </c>
      <c r="F290" s="701">
        <v>1.97</v>
      </c>
      <c r="H290" s="759">
        <f t="shared" si="4"/>
        <v>2.6595</v>
      </c>
    </row>
    <row r="291" spans="1:8">
      <c r="A291" s="701">
        <v>0</v>
      </c>
      <c r="B291" s="759">
        <v>3</v>
      </c>
      <c r="C291" s="759">
        <v>3.25</v>
      </c>
      <c r="D291" s="759">
        <v>2.5</v>
      </c>
      <c r="E291" s="701">
        <v>1.35</v>
      </c>
      <c r="F291" s="701">
        <v>1.97</v>
      </c>
      <c r="H291" s="759">
        <f t="shared" si="4"/>
        <v>2.6595</v>
      </c>
    </row>
    <row r="292" spans="1:8">
      <c r="A292" s="701">
        <v>0</v>
      </c>
      <c r="B292" s="759">
        <v>3</v>
      </c>
      <c r="C292" s="759">
        <v>3.5</v>
      </c>
      <c r="D292" s="759">
        <v>2.5</v>
      </c>
      <c r="E292" s="701">
        <v>1.35</v>
      </c>
      <c r="F292" s="701">
        <v>1.97</v>
      </c>
      <c r="H292" s="759">
        <f t="shared" si="4"/>
        <v>2.6595</v>
      </c>
    </row>
    <row r="293" spans="1:8">
      <c r="A293" s="701">
        <v>0</v>
      </c>
      <c r="B293" s="759">
        <v>3</v>
      </c>
      <c r="C293" s="759">
        <v>3.75</v>
      </c>
      <c r="D293" s="759">
        <v>2.5</v>
      </c>
      <c r="E293" s="701">
        <v>1.35</v>
      </c>
      <c r="F293" s="701">
        <v>1.97</v>
      </c>
      <c r="H293" s="759">
        <f t="shared" si="4"/>
        <v>2.6595</v>
      </c>
    </row>
    <row r="294" spans="1:8">
      <c r="A294" s="701">
        <v>0</v>
      </c>
      <c r="B294" s="759">
        <v>3</v>
      </c>
      <c r="C294" s="759">
        <v>4</v>
      </c>
      <c r="D294" s="759">
        <v>2.5</v>
      </c>
      <c r="E294" s="701">
        <v>1.35</v>
      </c>
      <c r="F294" s="701">
        <v>1.97</v>
      </c>
      <c r="H294" s="759">
        <f t="shared" si="4"/>
        <v>2.6595</v>
      </c>
    </row>
    <row r="295" spans="1:8">
      <c r="A295" s="701">
        <v>0</v>
      </c>
      <c r="B295" s="759">
        <v>3</v>
      </c>
      <c r="C295" s="759">
        <v>4.25</v>
      </c>
      <c r="D295" s="759">
        <v>2.5</v>
      </c>
      <c r="E295" s="701">
        <v>1.35</v>
      </c>
      <c r="F295" s="701">
        <v>1.97</v>
      </c>
      <c r="H295" s="759">
        <f t="shared" si="4"/>
        <v>2.6595</v>
      </c>
    </row>
    <row r="296" spans="1:8">
      <c r="A296" s="701">
        <v>0</v>
      </c>
      <c r="B296" s="759">
        <v>3</v>
      </c>
      <c r="C296" s="759">
        <v>4.5</v>
      </c>
      <c r="D296" s="759">
        <v>2.5</v>
      </c>
      <c r="E296" s="701">
        <v>1.35</v>
      </c>
      <c r="F296" s="701">
        <v>1.97</v>
      </c>
      <c r="H296" s="759">
        <f t="shared" si="4"/>
        <v>2.6595</v>
      </c>
    </row>
    <row r="297" spans="1:8">
      <c r="A297" s="701">
        <v>0</v>
      </c>
      <c r="B297" s="759">
        <v>3</v>
      </c>
      <c r="C297" s="759">
        <v>4.75</v>
      </c>
      <c r="D297" s="759">
        <v>2.5</v>
      </c>
      <c r="E297" s="701">
        <v>1.35</v>
      </c>
      <c r="F297" s="701">
        <v>1.97</v>
      </c>
      <c r="H297" s="759">
        <f t="shared" si="4"/>
        <v>2.6595</v>
      </c>
    </row>
    <row r="298" spans="1:8">
      <c r="A298" s="701">
        <v>0</v>
      </c>
      <c r="B298" s="759">
        <v>3</v>
      </c>
      <c r="C298" s="759">
        <v>5</v>
      </c>
      <c r="D298" s="759">
        <v>2.5</v>
      </c>
      <c r="E298" s="701">
        <v>1.35</v>
      </c>
      <c r="F298" s="701">
        <v>1.97</v>
      </c>
      <c r="H298" s="759">
        <f t="shared" si="4"/>
        <v>2.6595</v>
      </c>
    </row>
    <row r="299" spans="1:8">
      <c r="A299" s="701">
        <v>0</v>
      </c>
      <c r="B299" s="759">
        <v>3</v>
      </c>
      <c r="C299" s="759">
        <v>5.25</v>
      </c>
      <c r="D299" s="759">
        <v>2.5</v>
      </c>
      <c r="E299" s="701">
        <v>1.35</v>
      </c>
      <c r="F299" s="701">
        <v>1.97</v>
      </c>
      <c r="H299" s="759">
        <f t="shared" si="4"/>
        <v>2.6595</v>
      </c>
    </row>
    <row r="300" spans="1:8">
      <c r="A300" s="701">
        <v>0</v>
      </c>
      <c r="B300" s="759">
        <v>3</v>
      </c>
      <c r="C300" s="759">
        <v>5.5</v>
      </c>
      <c r="D300" s="759">
        <v>2.5</v>
      </c>
      <c r="E300" s="701">
        <v>1.35</v>
      </c>
      <c r="F300" s="701">
        <v>1.97</v>
      </c>
      <c r="H300" s="759">
        <f t="shared" si="4"/>
        <v>2.6595</v>
      </c>
    </row>
    <row r="301" spans="1:8">
      <c r="A301" s="701">
        <v>0</v>
      </c>
      <c r="B301" s="759">
        <v>3</v>
      </c>
      <c r="C301" s="759">
        <v>5.75</v>
      </c>
      <c r="D301" s="759">
        <v>2.5</v>
      </c>
      <c r="E301" s="701">
        <v>1.35</v>
      </c>
      <c r="F301" s="701">
        <v>1.97</v>
      </c>
      <c r="H301" s="759">
        <f t="shared" si="4"/>
        <v>2.6595</v>
      </c>
    </row>
    <row r="302" spans="1:8">
      <c r="A302" s="701">
        <v>0</v>
      </c>
      <c r="B302" s="759">
        <v>3</v>
      </c>
      <c r="C302" s="759">
        <v>6</v>
      </c>
      <c r="D302" s="759">
        <v>2.5</v>
      </c>
      <c r="E302" s="701">
        <v>1.35</v>
      </c>
      <c r="F302" s="701">
        <v>1.97</v>
      </c>
      <c r="H302" s="759">
        <f t="shared" si="4"/>
        <v>2.6595</v>
      </c>
    </row>
    <row r="303" spans="1:8">
      <c r="A303" s="701">
        <v>0</v>
      </c>
      <c r="B303" s="759">
        <v>3</v>
      </c>
      <c r="C303" s="759">
        <v>6.25</v>
      </c>
      <c r="D303" s="759">
        <v>2.5</v>
      </c>
      <c r="E303" s="701">
        <v>1.35</v>
      </c>
      <c r="F303" s="701">
        <v>1.97</v>
      </c>
      <c r="H303" s="759">
        <f t="shared" si="4"/>
        <v>2.6595</v>
      </c>
    </row>
    <row r="304" spans="1:8">
      <c r="A304" s="701">
        <v>0</v>
      </c>
      <c r="B304" s="759">
        <v>3</v>
      </c>
      <c r="C304" s="759">
        <v>6.5</v>
      </c>
      <c r="D304" s="759">
        <v>2.5</v>
      </c>
      <c r="E304" s="701">
        <v>1.35</v>
      </c>
      <c r="F304" s="701">
        <v>1.97</v>
      </c>
      <c r="H304" s="759">
        <f t="shared" si="4"/>
        <v>2.6595</v>
      </c>
    </row>
    <row r="305" spans="1:8">
      <c r="A305" s="701">
        <v>0</v>
      </c>
      <c r="B305" s="759">
        <v>3</v>
      </c>
      <c r="C305" s="759">
        <v>6.75</v>
      </c>
      <c r="D305" s="759">
        <v>2.5</v>
      </c>
      <c r="E305" s="701">
        <v>1.35</v>
      </c>
      <c r="F305" s="701">
        <v>1.97</v>
      </c>
      <c r="H305" s="759">
        <f t="shared" si="4"/>
        <v>2.6595</v>
      </c>
    </row>
    <row r="306" spans="1:8">
      <c r="A306" s="701">
        <v>0</v>
      </c>
      <c r="B306" s="759">
        <v>3</v>
      </c>
      <c r="C306" s="759">
        <v>7</v>
      </c>
      <c r="D306" s="759">
        <v>2.5</v>
      </c>
      <c r="E306" s="701">
        <v>1.35</v>
      </c>
      <c r="F306" s="701">
        <v>1.97</v>
      </c>
      <c r="H306" s="759">
        <f t="shared" si="4"/>
        <v>2.6595</v>
      </c>
    </row>
    <row r="307" spans="1:8">
      <c r="A307" s="701">
        <v>0</v>
      </c>
      <c r="B307" s="759">
        <v>3</v>
      </c>
      <c r="C307" s="759">
        <v>7.5</v>
      </c>
      <c r="D307" s="759">
        <v>2.5</v>
      </c>
      <c r="E307" s="701">
        <v>1.35</v>
      </c>
      <c r="F307" s="701">
        <v>1.99</v>
      </c>
      <c r="H307" s="759">
        <f t="shared" si="4"/>
        <v>2.6865000000000001</v>
      </c>
    </row>
    <row r="308" spans="1:8">
      <c r="A308" s="701">
        <v>0</v>
      </c>
      <c r="B308" s="759">
        <v>3</v>
      </c>
      <c r="C308" s="759">
        <v>8</v>
      </c>
      <c r="D308" s="759">
        <v>2.5</v>
      </c>
      <c r="E308" s="701">
        <v>1.35</v>
      </c>
      <c r="F308" s="701">
        <v>2.17</v>
      </c>
      <c r="H308" s="759">
        <f t="shared" si="4"/>
        <v>2.9295</v>
      </c>
    </row>
    <row r="309" spans="1:8">
      <c r="A309" s="701">
        <v>0</v>
      </c>
      <c r="B309" s="759">
        <v>3.5</v>
      </c>
      <c r="C309" s="759">
        <v>3</v>
      </c>
      <c r="D309" s="759">
        <v>2.5</v>
      </c>
      <c r="E309" s="701">
        <v>1.35</v>
      </c>
      <c r="F309" s="759">
        <v>2.2999999999999998</v>
      </c>
      <c r="H309" s="759">
        <f t="shared" si="4"/>
        <v>3.105</v>
      </c>
    </row>
    <row r="310" spans="1:8">
      <c r="A310" s="701">
        <v>0</v>
      </c>
      <c r="B310" s="759">
        <v>3.5</v>
      </c>
      <c r="C310" s="759">
        <v>3.25</v>
      </c>
      <c r="D310" s="759">
        <v>2.5</v>
      </c>
      <c r="E310" s="701">
        <v>1.35</v>
      </c>
      <c r="F310" s="759">
        <v>2.2999999999999998</v>
      </c>
      <c r="H310" s="759">
        <f t="shared" si="4"/>
        <v>3.105</v>
      </c>
    </row>
    <row r="311" spans="1:8">
      <c r="A311" s="701">
        <v>0</v>
      </c>
      <c r="B311" s="759">
        <v>3.5</v>
      </c>
      <c r="C311" s="759">
        <v>3.5</v>
      </c>
      <c r="D311" s="759">
        <v>2.5</v>
      </c>
      <c r="E311" s="701">
        <v>1.35</v>
      </c>
      <c r="F311" s="759">
        <v>2.2999999999999998</v>
      </c>
      <c r="H311" s="759">
        <f t="shared" si="4"/>
        <v>3.105</v>
      </c>
    </row>
    <row r="312" spans="1:8">
      <c r="A312" s="701">
        <v>0</v>
      </c>
      <c r="B312" s="759">
        <v>3.5</v>
      </c>
      <c r="C312" s="759">
        <v>3.75</v>
      </c>
      <c r="D312" s="759">
        <v>2.5</v>
      </c>
      <c r="E312" s="701">
        <v>1.35</v>
      </c>
      <c r="F312" s="759">
        <v>2.2999999999999998</v>
      </c>
      <c r="H312" s="759">
        <f t="shared" si="4"/>
        <v>3.105</v>
      </c>
    </row>
    <row r="313" spans="1:8">
      <c r="A313" s="701">
        <v>0</v>
      </c>
      <c r="B313" s="759">
        <v>3.5</v>
      </c>
      <c r="C313" s="759">
        <v>4</v>
      </c>
      <c r="D313" s="759">
        <v>2.5</v>
      </c>
      <c r="E313" s="701">
        <v>1.35</v>
      </c>
      <c r="F313" s="759">
        <v>2.2999999999999998</v>
      </c>
      <c r="H313" s="759">
        <f t="shared" si="4"/>
        <v>3.105</v>
      </c>
    </row>
    <row r="314" spans="1:8">
      <c r="A314" s="701">
        <v>0</v>
      </c>
      <c r="B314" s="759">
        <v>3.5</v>
      </c>
      <c r="C314" s="759">
        <v>4.25</v>
      </c>
      <c r="D314" s="759">
        <v>2.5</v>
      </c>
      <c r="E314" s="701">
        <v>1.35</v>
      </c>
      <c r="F314" s="759">
        <v>2.2999999999999998</v>
      </c>
      <c r="H314" s="759">
        <f t="shared" si="4"/>
        <v>3.105</v>
      </c>
    </row>
    <row r="315" spans="1:8">
      <c r="A315" s="701">
        <v>0</v>
      </c>
      <c r="B315" s="759">
        <v>3.5</v>
      </c>
      <c r="C315" s="759">
        <v>4.5</v>
      </c>
      <c r="D315" s="759">
        <v>2.5</v>
      </c>
      <c r="E315" s="701">
        <v>1.35</v>
      </c>
      <c r="F315" s="759">
        <v>2.2999999999999998</v>
      </c>
      <c r="H315" s="759">
        <f t="shared" si="4"/>
        <v>3.105</v>
      </c>
    </row>
    <row r="316" spans="1:8">
      <c r="A316" s="701">
        <v>0</v>
      </c>
      <c r="B316" s="759">
        <v>3.5</v>
      </c>
      <c r="C316" s="759">
        <v>4.75</v>
      </c>
      <c r="D316" s="759">
        <v>2.5</v>
      </c>
      <c r="E316" s="701">
        <v>1.35</v>
      </c>
      <c r="F316" s="759">
        <v>2.2999999999999998</v>
      </c>
      <c r="H316" s="759">
        <f t="shared" si="4"/>
        <v>3.105</v>
      </c>
    </row>
    <row r="317" spans="1:8">
      <c r="A317" s="701">
        <v>0</v>
      </c>
      <c r="B317" s="759">
        <v>3.5</v>
      </c>
      <c r="C317" s="759">
        <v>5</v>
      </c>
      <c r="D317" s="759">
        <v>2.5</v>
      </c>
      <c r="E317" s="701">
        <v>1.35</v>
      </c>
      <c r="F317" s="759">
        <v>2.2999999999999998</v>
      </c>
      <c r="H317" s="759">
        <f t="shared" si="4"/>
        <v>3.105</v>
      </c>
    </row>
    <row r="318" spans="1:8">
      <c r="A318" s="701">
        <v>0</v>
      </c>
      <c r="B318" s="759">
        <v>3.5</v>
      </c>
      <c r="C318" s="759">
        <v>5.25</v>
      </c>
      <c r="D318" s="759">
        <v>2.5</v>
      </c>
      <c r="E318" s="701">
        <v>1.35</v>
      </c>
      <c r="F318" s="759">
        <v>2.2999999999999998</v>
      </c>
      <c r="H318" s="759">
        <f t="shared" si="4"/>
        <v>3.105</v>
      </c>
    </row>
    <row r="319" spans="1:8">
      <c r="A319" s="701">
        <v>0</v>
      </c>
      <c r="B319" s="759">
        <v>3.5</v>
      </c>
      <c r="C319" s="759">
        <v>5.5</v>
      </c>
      <c r="D319" s="759">
        <v>2.5</v>
      </c>
      <c r="E319" s="701">
        <v>1.35</v>
      </c>
      <c r="F319" s="759">
        <v>2.2999999999999998</v>
      </c>
      <c r="H319" s="759">
        <f t="shared" si="4"/>
        <v>3.105</v>
      </c>
    </row>
    <row r="320" spans="1:8">
      <c r="A320" s="701">
        <v>0</v>
      </c>
      <c r="B320" s="759">
        <v>3.5</v>
      </c>
      <c r="C320" s="759">
        <v>5.75</v>
      </c>
      <c r="D320" s="759">
        <v>2.5</v>
      </c>
      <c r="E320" s="701">
        <v>1.35</v>
      </c>
      <c r="F320" s="759">
        <v>2.2999999999999998</v>
      </c>
      <c r="H320" s="759">
        <f t="shared" si="4"/>
        <v>3.105</v>
      </c>
    </row>
    <row r="321" spans="1:8">
      <c r="A321" s="701">
        <v>0</v>
      </c>
      <c r="B321" s="759">
        <v>3.5</v>
      </c>
      <c r="C321" s="759">
        <v>6</v>
      </c>
      <c r="D321" s="759">
        <v>2.5</v>
      </c>
      <c r="E321" s="701">
        <v>1.35</v>
      </c>
      <c r="F321" s="759">
        <v>2.2999999999999998</v>
      </c>
      <c r="H321" s="759">
        <f t="shared" si="4"/>
        <v>3.105</v>
      </c>
    </row>
    <row r="322" spans="1:8">
      <c r="A322" s="701">
        <v>0</v>
      </c>
      <c r="B322" s="759">
        <v>3.5</v>
      </c>
      <c r="C322" s="759">
        <v>6.25</v>
      </c>
      <c r="D322" s="759">
        <v>2.5</v>
      </c>
      <c r="E322" s="701">
        <v>1.35</v>
      </c>
      <c r="F322" s="759">
        <v>2.2999999999999998</v>
      </c>
      <c r="H322" s="759">
        <f t="shared" si="4"/>
        <v>3.105</v>
      </c>
    </row>
    <row r="323" spans="1:8">
      <c r="A323" s="701">
        <v>0</v>
      </c>
      <c r="B323" s="759">
        <v>3.5</v>
      </c>
      <c r="C323" s="759">
        <v>6.5</v>
      </c>
      <c r="D323" s="759">
        <v>2.5</v>
      </c>
      <c r="E323" s="701">
        <v>1.35</v>
      </c>
      <c r="F323" s="759">
        <v>2.2999999999999998</v>
      </c>
      <c r="H323" s="759">
        <f t="shared" si="4"/>
        <v>3.105</v>
      </c>
    </row>
    <row r="324" spans="1:8">
      <c r="A324" s="701">
        <v>0</v>
      </c>
      <c r="B324" s="759">
        <v>3.5</v>
      </c>
      <c r="C324" s="759">
        <v>6.75</v>
      </c>
      <c r="D324" s="759">
        <v>2.5</v>
      </c>
      <c r="E324" s="701">
        <v>1.35</v>
      </c>
      <c r="F324" s="759">
        <v>2.2999999999999998</v>
      </c>
      <c r="H324" s="759">
        <f t="shared" si="4"/>
        <v>3.105</v>
      </c>
    </row>
    <row r="325" spans="1:8">
      <c r="A325" s="701">
        <v>0</v>
      </c>
      <c r="B325" s="759">
        <v>3.5</v>
      </c>
      <c r="C325" s="759">
        <v>7</v>
      </c>
      <c r="D325" s="759">
        <v>2.5</v>
      </c>
      <c r="E325" s="701">
        <v>1.35</v>
      </c>
      <c r="F325" s="759">
        <v>2.2999999999999998</v>
      </c>
      <c r="H325" s="759">
        <f t="shared" ref="H325:H388" si="5">F325*E325</f>
        <v>3.105</v>
      </c>
    </row>
    <row r="326" spans="1:8">
      <c r="A326" s="701">
        <v>0</v>
      </c>
      <c r="B326" s="759">
        <v>3.5</v>
      </c>
      <c r="C326" s="759">
        <v>7.5</v>
      </c>
      <c r="D326" s="759">
        <v>2.5</v>
      </c>
      <c r="E326" s="701">
        <v>1.35</v>
      </c>
      <c r="F326" s="759">
        <v>2.2999999999999998</v>
      </c>
      <c r="H326" s="759">
        <f t="shared" si="5"/>
        <v>3.105</v>
      </c>
    </row>
    <row r="327" spans="1:8">
      <c r="A327" s="701">
        <v>0</v>
      </c>
      <c r="B327" s="759">
        <v>3.5</v>
      </c>
      <c r="C327" s="759">
        <v>8</v>
      </c>
      <c r="D327" s="759">
        <v>2.5</v>
      </c>
      <c r="E327" s="701">
        <v>1.35</v>
      </c>
      <c r="F327" s="759">
        <v>2.42</v>
      </c>
      <c r="H327" s="759">
        <f t="shared" si="5"/>
        <v>3.2669999999999999</v>
      </c>
    </row>
    <row r="328" spans="1:8">
      <c r="A328" s="701">
        <v>0</v>
      </c>
      <c r="B328" s="759">
        <v>4</v>
      </c>
      <c r="C328" s="759">
        <v>3</v>
      </c>
      <c r="D328" s="759">
        <v>2.5</v>
      </c>
      <c r="E328" s="701">
        <v>1.35</v>
      </c>
      <c r="F328" s="759">
        <v>2.63</v>
      </c>
      <c r="H328" s="759">
        <f t="shared" si="5"/>
        <v>3.5505</v>
      </c>
    </row>
    <row r="329" spans="1:8">
      <c r="A329" s="701">
        <v>0</v>
      </c>
      <c r="B329" s="759">
        <v>4</v>
      </c>
      <c r="C329" s="759">
        <v>3.25</v>
      </c>
      <c r="D329" s="759">
        <v>2.5</v>
      </c>
      <c r="E329" s="701">
        <v>1.35</v>
      </c>
      <c r="F329" s="759">
        <v>2.63</v>
      </c>
      <c r="H329" s="759">
        <f t="shared" si="5"/>
        <v>3.5505</v>
      </c>
    </row>
    <row r="330" spans="1:8">
      <c r="A330" s="701">
        <v>0</v>
      </c>
      <c r="B330" s="759">
        <v>4</v>
      </c>
      <c r="C330" s="759">
        <v>3.5</v>
      </c>
      <c r="D330" s="759">
        <v>2.5</v>
      </c>
      <c r="E330" s="701">
        <v>1.35</v>
      </c>
      <c r="F330" s="759">
        <v>2.63</v>
      </c>
      <c r="H330" s="759">
        <f t="shared" si="5"/>
        <v>3.5505</v>
      </c>
    </row>
    <row r="331" spans="1:8">
      <c r="A331" s="701">
        <v>0</v>
      </c>
      <c r="B331" s="759">
        <v>4</v>
      </c>
      <c r="C331" s="759">
        <v>3.75</v>
      </c>
      <c r="D331" s="759">
        <v>2.5</v>
      </c>
      <c r="E331" s="701">
        <v>1.35</v>
      </c>
      <c r="F331" s="759">
        <v>2.63</v>
      </c>
      <c r="H331" s="759">
        <f t="shared" si="5"/>
        <v>3.5505</v>
      </c>
    </row>
    <row r="332" spans="1:8">
      <c r="A332" s="701">
        <v>0</v>
      </c>
      <c r="B332" s="759">
        <v>4</v>
      </c>
      <c r="C332" s="759">
        <v>4</v>
      </c>
      <c r="D332" s="759">
        <v>2.5</v>
      </c>
      <c r="E332" s="701">
        <v>1.35</v>
      </c>
      <c r="F332" s="759">
        <v>2.63</v>
      </c>
      <c r="H332" s="759">
        <f t="shared" si="5"/>
        <v>3.5505</v>
      </c>
    </row>
    <row r="333" spans="1:8">
      <c r="A333" s="701">
        <v>0</v>
      </c>
      <c r="B333" s="759">
        <v>4</v>
      </c>
      <c r="C333" s="759">
        <v>4.25</v>
      </c>
      <c r="D333" s="759">
        <v>2.5</v>
      </c>
      <c r="E333" s="701">
        <v>1.35</v>
      </c>
      <c r="F333" s="759">
        <v>2.63</v>
      </c>
      <c r="H333" s="759">
        <f t="shared" si="5"/>
        <v>3.5505</v>
      </c>
    </row>
    <row r="334" spans="1:8">
      <c r="A334" s="701">
        <v>0</v>
      </c>
      <c r="B334" s="759">
        <v>4</v>
      </c>
      <c r="C334" s="759">
        <v>4.5</v>
      </c>
      <c r="D334" s="759">
        <v>2.5</v>
      </c>
      <c r="E334" s="701">
        <v>1.35</v>
      </c>
      <c r="F334" s="759">
        <v>2.63</v>
      </c>
      <c r="H334" s="759">
        <f t="shared" si="5"/>
        <v>3.5505</v>
      </c>
    </row>
    <row r="335" spans="1:8">
      <c r="A335" s="701">
        <v>0</v>
      </c>
      <c r="B335" s="759">
        <v>4</v>
      </c>
      <c r="C335" s="759">
        <v>4.75</v>
      </c>
      <c r="D335" s="759">
        <v>2.5</v>
      </c>
      <c r="E335" s="701">
        <v>1.35</v>
      </c>
      <c r="F335" s="759">
        <v>2.63</v>
      </c>
      <c r="H335" s="759">
        <f t="shared" si="5"/>
        <v>3.5505</v>
      </c>
    </row>
    <row r="336" spans="1:8">
      <c r="A336" s="701">
        <v>0</v>
      </c>
      <c r="B336" s="759">
        <v>4</v>
      </c>
      <c r="C336" s="759">
        <v>5</v>
      </c>
      <c r="D336" s="759">
        <v>2.5</v>
      </c>
      <c r="E336" s="701">
        <v>1.35</v>
      </c>
      <c r="F336" s="759">
        <v>2.63</v>
      </c>
      <c r="H336" s="759">
        <f t="shared" si="5"/>
        <v>3.5505</v>
      </c>
    </row>
    <row r="337" spans="1:8">
      <c r="A337" s="701">
        <v>0</v>
      </c>
      <c r="B337" s="759">
        <v>4</v>
      </c>
      <c r="C337" s="759">
        <v>5.25</v>
      </c>
      <c r="D337" s="759">
        <v>2.5</v>
      </c>
      <c r="E337" s="701">
        <v>1.35</v>
      </c>
      <c r="F337" s="759">
        <v>2.63</v>
      </c>
      <c r="H337" s="759">
        <f t="shared" si="5"/>
        <v>3.5505</v>
      </c>
    </row>
    <row r="338" spans="1:8">
      <c r="A338" s="701">
        <v>0</v>
      </c>
      <c r="B338" s="759">
        <v>4</v>
      </c>
      <c r="C338" s="759">
        <v>5.5</v>
      </c>
      <c r="D338" s="759">
        <v>2.5</v>
      </c>
      <c r="E338" s="701">
        <v>1.35</v>
      </c>
      <c r="F338" s="759">
        <v>2.63</v>
      </c>
      <c r="H338" s="759">
        <f t="shared" si="5"/>
        <v>3.5505</v>
      </c>
    </row>
    <row r="339" spans="1:8">
      <c r="A339" s="701">
        <v>0</v>
      </c>
      <c r="B339" s="759">
        <v>4</v>
      </c>
      <c r="C339" s="759">
        <v>5.75</v>
      </c>
      <c r="D339" s="759">
        <v>2.5</v>
      </c>
      <c r="E339" s="701">
        <v>1.35</v>
      </c>
      <c r="F339" s="759">
        <v>2.63</v>
      </c>
      <c r="H339" s="759">
        <f t="shared" si="5"/>
        <v>3.5505</v>
      </c>
    </row>
    <row r="340" spans="1:8">
      <c r="A340" s="701">
        <v>0</v>
      </c>
      <c r="B340" s="759">
        <v>4</v>
      </c>
      <c r="C340" s="759">
        <v>6</v>
      </c>
      <c r="D340" s="759">
        <v>2.5</v>
      </c>
      <c r="E340" s="701">
        <v>1.35</v>
      </c>
      <c r="F340" s="759">
        <v>2.63</v>
      </c>
      <c r="H340" s="759">
        <f t="shared" si="5"/>
        <v>3.5505</v>
      </c>
    </row>
    <row r="341" spans="1:8">
      <c r="A341" s="701">
        <v>0</v>
      </c>
      <c r="B341" s="759">
        <v>4</v>
      </c>
      <c r="C341" s="759">
        <v>6.25</v>
      </c>
      <c r="D341" s="759">
        <v>2.5</v>
      </c>
      <c r="E341" s="701">
        <v>1.35</v>
      </c>
      <c r="F341" s="759">
        <v>2.63</v>
      </c>
      <c r="H341" s="759">
        <f t="shared" si="5"/>
        <v>3.5505</v>
      </c>
    </row>
    <row r="342" spans="1:8">
      <c r="A342" s="701">
        <v>0</v>
      </c>
      <c r="B342" s="759">
        <v>4</v>
      </c>
      <c r="C342" s="759">
        <v>6.5</v>
      </c>
      <c r="D342" s="759">
        <v>2.5</v>
      </c>
      <c r="E342" s="701">
        <v>1.35</v>
      </c>
      <c r="F342" s="759">
        <v>2.63</v>
      </c>
      <c r="H342" s="759">
        <f t="shared" si="5"/>
        <v>3.5505</v>
      </c>
    </row>
    <row r="343" spans="1:8">
      <c r="A343" s="701">
        <v>0</v>
      </c>
      <c r="B343" s="759">
        <v>4</v>
      </c>
      <c r="C343" s="759">
        <v>6.75</v>
      </c>
      <c r="D343" s="759">
        <v>2.5</v>
      </c>
      <c r="E343" s="701">
        <v>1.35</v>
      </c>
      <c r="F343" s="759">
        <v>2.63</v>
      </c>
      <c r="H343" s="759">
        <f t="shared" si="5"/>
        <v>3.5505</v>
      </c>
    </row>
    <row r="344" spans="1:8">
      <c r="A344" s="701">
        <v>0</v>
      </c>
      <c r="B344" s="759">
        <v>4</v>
      </c>
      <c r="C344" s="759">
        <v>7</v>
      </c>
      <c r="D344" s="759">
        <v>2.5</v>
      </c>
      <c r="E344" s="701">
        <v>1.35</v>
      </c>
      <c r="F344" s="759">
        <v>2.63</v>
      </c>
      <c r="H344" s="759">
        <f t="shared" si="5"/>
        <v>3.5505</v>
      </c>
    </row>
    <row r="345" spans="1:8">
      <c r="A345" s="701">
        <v>0</v>
      </c>
      <c r="B345" s="759">
        <v>4</v>
      </c>
      <c r="C345" s="759">
        <v>7.5</v>
      </c>
      <c r="D345" s="759">
        <v>2.5</v>
      </c>
      <c r="E345" s="701">
        <v>1.35</v>
      </c>
      <c r="F345" s="759">
        <v>2.63</v>
      </c>
      <c r="H345" s="759">
        <f t="shared" si="5"/>
        <v>3.5505</v>
      </c>
    </row>
    <row r="346" spans="1:8">
      <c r="A346" s="701">
        <v>0</v>
      </c>
      <c r="B346" s="759">
        <v>4</v>
      </c>
      <c r="C346" s="759">
        <v>8</v>
      </c>
      <c r="D346" s="759">
        <v>2.5</v>
      </c>
      <c r="E346" s="701">
        <v>1.35</v>
      </c>
      <c r="F346" s="759">
        <v>2.66</v>
      </c>
      <c r="H346" s="759">
        <f t="shared" si="5"/>
        <v>3.5910000000000006</v>
      </c>
    </row>
    <row r="347" spans="1:8">
      <c r="A347" s="701">
        <v>0</v>
      </c>
      <c r="B347" s="759">
        <v>4.5</v>
      </c>
      <c r="C347" s="759">
        <v>3</v>
      </c>
      <c r="D347" s="759">
        <v>2.5</v>
      </c>
      <c r="E347" s="701">
        <v>1.35</v>
      </c>
      <c r="F347" s="759">
        <v>2.96</v>
      </c>
      <c r="H347" s="759">
        <f t="shared" si="5"/>
        <v>3.996</v>
      </c>
    </row>
    <row r="348" spans="1:8">
      <c r="A348" s="701">
        <v>0</v>
      </c>
      <c r="B348" s="759">
        <v>4.5</v>
      </c>
      <c r="C348" s="759">
        <v>3.25</v>
      </c>
      <c r="D348" s="759">
        <v>2.5</v>
      </c>
      <c r="E348" s="701">
        <v>1.35</v>
      </c>
      <c r="F348" s="759">
        <v>2.96</v>
      </c>
      <c r="H348" s="759">
        <f t="shared" si="5"/>
        <v>3.996</v>
      </c>
    </row>
    <row r="349" spans="1:8">
      <c r="A349" s="701">
        <v>0</v>
      </c>
      <c r="B349" s="759">
        <v>4.5</v>
      </c>
      <c r="C349" s="759">
        <v>3.5</v>
      </c>
      <c r="D349" s="759">
        <v>2.5</v>
      </c>
      <c r="E349" s="701">
        <v>1.35</v>
      </c>
      <c r="F349" s="759">
        <v>2.96</v>
      </c>
      <c r="H349" s="759">
        <f t="shared" si="5"/>
        <v>3.996</v>
      </c>
    </row>
    <row r="350" spans="1:8">
      <c r="A350" s="701">
        <v>0</v>
      </c>
      <c r="B350" s="759">
        <v>4.5</v>
      </c>
      <c r="C350" s="759">
        <v>3.75</v>
      </c>
      <c r="D350" s="759">
        <v>2.5</v>
      </c>
      <c r="E350" s="701">
        <v>1.35</v>
      </c>
      <c r="F350" s="759">
        <v>2.96</v>
      </c>
      <c r="H350" s="759">
        <f t="shared" si="5"/>
        <v>3.996</v>
      </c>
    </row>
    <row r="351" spans="1:8">
      <c r="A351" s="701">
        <v>0</v>
      </c>
      <c r="B351" s="759">
        <v>4.5</v>
      </c>
      <c r="C351" s="759">
        <v>4</v>
      </c>
      <c r="D351" s="759">
        <v>2.5</v>
      </c>
      <c r="E351" s="701">
        <v>1.35</v>
      </c>
      <c r="F351" s="759">
        <v>2.96</v>
      </c>
      <c r="H351" s="759">
        <f t="shared" si="5"/>
        <v>3.996</v>
      </c>
    </row>
    <row r="352" spans="1:8">
      <c r="A352" s="701">
        <v>0</v>
      </c>
      <c r="B352" s="759">
        <v>4.5</v>
      </c>
      <c r="C352" s="759">
        <v>4.25</v>
      </c>
      <c r="D352" s="759">
        <v>2.5</v>
      </c>
      <c r="E352" s="701">
        <v>1.35</v>
      </c>
      <c r="F352" s="759">
        <v>2.96</v>
      </c>
      <c r="H352" s="759">
        <f t="shared" si="5"/>
        <v>3.996</v>
      </c>
    </row>
    <row r="353" spans="1:8">
      <c r="A353" s="701">
        <v>0</v>
      </c>
      <c r="B353" s="759">
        <v>4.5</v>
      </c>
      <c r="C353" s="759">
        <v>4.5</v>
      </c>
      <c r="D353" s="759">
        <v>2.5</v>
      </c>
      <c r="E353" s="701">
        <v>1.35</v>
      </c>
      <c r="F353" s="759">
        <v>2.96</v>
      </c>
      <c r="H353" s="759">
        <f t="shared" si="5"/>
        <v>3.996</v>
      </c>
    </row>
    <row r="354" spans="1:8">
      <c r="A354" s="701">
        <v>0</v>
      </c>
      <c r="B354" s="759">
        <v>4.5</v>
      </c>
      <c r="C354" s="759">
        <v>4.75</v>
      </c>
      <c r="D354" s="759">
        <v>2.5</v>
      </c>
      <c r="E354" s="701">
        <v>1.35</v>
      </c>
      <c r="F354" s="759">
        <v>2.96</v>
      </c>
      <c r="H354" s="759">
        <f t="shared" si="5"/>
        <v>3.996</v>
      </c>
    </row>
    <row r="355" spans="1:8">
      <c r="A355" s="701">
        <v>0</v>
      </c>
      <c r="B355" s="759">
        <v>4.5</v>
      </c>
      <c r="C355" s="759">
        <v>5</v>
      </c>
      <c r="D355" s="759">
        <v>2.5</v>
      </c>
      <c r="E355" s="701">
        <v>1.35</v>
      </c>
      <c r="F355" s="759">
        <v>2.96</v>
      </c>
      <c r="H355" s="759">
        <f t="shared" si="5"/>
        <v>3.996</v>
      </c>
    </row>
    <row r="356" spans="1:8">
      <c r="A356" s="701">
        <v>0</v>
      </c>
      <c r="B356" s="759">
        <v>4.5</v>
      </c>
      <c r="C356" s="759">
        <v>5.25</v>
      </c>
      <c r="D356" s="759">
        <v>2.5</v>
      </c>
      <c r="E356" s="701">
        <v>1.35</v>
      </c>
      <c r="F356" s="759">
        <v>2.96</v>
      </c>
      <c r="H356" s="759">
        <f t="shared" si="5"/>
        <v>3.996</v>
      </c>
    </row>
    <row r="357" spans="1:8">
      <c r="A357" s="701">
        <v>0</v>
      </c>
      <c r="B357" s="759">
        <v>4.5</v>
      </c>
      <c r="C357" s="759">
        <v>5.5</v>
      </c>
      <c r="D357" s="759">
        <v>2.5</v>
      </c>
      <c r="E357" s="701">
        <v>1.35</v>
      </c>
      <c r="F357" s="759">
        <v>2.96</v>
      </c>
      <c r="H357" s="759">
        <f t="shared" si="5"/>
        <v>3.996</v>
      </c>
    </row>
    <row r="358" spans="1:8">
      <c r="A358" s="701">
        <v>0</v>
      </c>
      <c r="B358" s="759">
        <v>4.5</v>
      </c>
      <c r="C358" s="759">
        <v>5.75</v>
      </c>
      <c r="D358" s="759">
        <v>2.5</v>
      </c>
      <c r="E358" s="701">
        <v>1.35</v>
      </c>
      <c r="F358" s="759">
        <v>2.96</v>
      </c>
      <c r="H358" s="759">
        <f t="shared" si="5"/>
        <v>3.996</v>
      </c>
    </row>
    <row r="359" spans="1:8">
      <c r="A359" s="701">
        <v>0</v>
      </c>
      <c r="B359" s="759">
        <v>4.5</v>
      </c>
      <c r="C359" s="759">
        <v>6</v>
      </c>
      <c r="D359" s="759">
        <v>2.5</v>
      </c>
      <c r="E359" s="701">
        <v>1.35</v>
      </c>
      <c r="F359" s="759">
        <v>2.96</v>
      </c>
      <c r="H359" s="759">
        <f t="shared" si="5"/>
        <v>3.996</v>
      </c>
    </row>
    <row r="360" spans="1:8">
      <c r="A360" s="701">
        <v>0</v>
      </c>
      <c r="B360" s="759">
        <v>4.5</v>
      </c>
      <c r="C360" s="759">
        <v>6.25</v>
      </c>
      <c r="D360" s="759">
        <v>2.5</v>
      </c>
      <c r="E360" s="701">
        <v>1.35</v>
      </c>
      <c r="F360" s="759">
        <v>2.96</v>
      </c>
      <c r="H360" s="759">
        <f t="shared" si="5"/>
        <v>3.996</v>
      </c>
    </row>
    <row r="361" spans="1:8">
      <c r="A361" s="701">
        <v>0</v>
      </c>
      <c r="B361" s="759">
        <v>4.5</v>
      </c>
      <c r="C361" s="759">
        <v>6.5</v>
      </c>
      <c r="D361" s="759">
        <v>2.5</v>
      </c>
      <c r="E361" s="701">
        <v>1.35</v>
      </c>
      <c r="F361" s="759">
        <v>2.96</v>
      </c>
      <c r="H361" s="759">
        <f t="shared" si="5"/>
        <v>3.996</v>
      </c>
    </row>
    <row r="362" spans="1:8">
      <c r="A362" s="701">
        <v>0</v>
      </c>
      <c r="B362" s="759">
        <v>4.5</v>
      </c>
      <c r="C362" s="759">
        <v>6.75</v>
      </c>
      <c r="D362" s="759">
        <v>2.5</v>
      </c>
      <c r="E362" s="701">
        <v>1.35</v>
      </c>
      <c r="F362" s="759">
        <v>2.96</v>
      </c>
      <c r="H362" s="759">
        <f t="shared" si="5"/>
        <v>3.996</v>
      </c>
    </row>
    <row r="363" spans="1:8">
      <c r="A363" s="701">
        <v>0</v>
      </c>
      <c r="B363" s="759">
        <v>4.5</v>
      </c>
      <c r="C363" s="759">
        <v>7</v>
      </c>
      <c r="D363" s="759">
        <v>2.5</v>
      </c>
      <c r="E363" s="701">
        <v>1.35</v>
      </c>
      <c r="F363" s="759">
        <v>2.96</v>
      </c>
      <c r="H363" s="759">
        <f t="shared" si="5"/>
        <v>3.996</v>
      </c>
    </row>
    <row r="364" spans="1:8">
      <c r="A364" s="701">
        <v>0</v>
      </c>
      <c r="B364" s="759">
        <v>4.5</v>
      </c>
      <c r="C364" s="759">
        <v>7.5</v>
      </c>
      <c r="D364" s="759">
        <v>2.5</v>
      </c>
      <c r="E364" s="701">
        <v>1.35</v>
      </c>
      <c r="F364" s="759">
        <v>2.96</v>
      </c>
      <c r="H364" s="759">
        <f t="shared" si="5"/>
        <v>3.996</v>
      </c>
    </row>
    <row r="365" spans="1:8">
      <c r="A365" s="701">
        <v>0</v>
      </c>
      <c r="B365" s="759">
        <v>4.5</v>
      </c>
      <c r="C365" s="759">
        <v>8</v>
      </c>
      <c r="D365" s="759">
        <v>2.5</v>
      </c>
      <c r="E365" s="701">
        <v>1.35</v>
      </c>
      <c r="F365" s="759">
        <v>2.96</v>
      </c>
      <c r="H365" s="759">
        <f t="shared" si="5"/>
        <v>3.996</v>
      </c>
    </row>
    <row r="366" spans="1:8">
      <c r="A366" s="701">
        <v>0</v>
      </c>
      <c r="B366" s="759">
        <v>5</v>
      </c>
      <c r="C366" s="759">
        <v>3</v>
      </c>
      <c r="D366" s="759">
        <v>2.5</v>
      </c>
      <c r="E366" s="701">
        <v>1.35</v>
      </c>
      <c r="F366" s="759">
        <v>3.29</v>
      </c>
      <c r="H366" s="759">
        <f t="shared" si="5"/>
        <v>4.4415000000000004</v>
      </c>
    </row>
    <row r="367" spans="1:8">
      <c r="A367" s="701">
        <v>0</v>
      </c>
      <c r="B367" s="759">
        <v>5</v>
      </c>
      <c r="C367" s="759">
        <v>3.25</v>
      </c>
      <c r="D367" s="759">
        <v>2.5</v>
      </c>
      <c r="E367" s="701">
        <v>1.35</v>
      </c>
      <c r="F367" s="759">
        <v>3.29</v>
      </c>
      <c r="H367" s="759">
        <f t="shared" si="5"/>
        <v>4.4415000000000004</v>
      </c>
    </row>
    <row r="368" spans="1:8">
      <c r="A368" s="701">
        <v>0</v>
      </c>
      <c r="B368" s="759">
        <v>5</v>
      </c>
      <c r="C368" s="759">
        <v>3.5</v>
      </c>
      <c r="D368" s="759">
        <v>2.5</v>
      </c>
      <c r="E368" s="701">
        <v>1.35</v>
      </c>
      <c r="F368" s="759">
        <v>3.29</v>
      </c>
      <c r="H368" s="759">
        <f t="shared" si="5"/>
        <v>4.4415000000000004</v>
      </c>
    </row>
    <row r="369" spans="1:8">
      <c r="A369" s="701">
        <v>0</v>
      </c>
      <c r="B369" s="759">
        <v>5</v>
      </c>
      <c r="C369" s="759">
        <v>3.75</v>
      </c>
      <c r="D369" s="759">
        <v>2.5</v>
      </c>
      <c r="E369" s="701">
        <v>1.35</v>
      </c>
      <c r="F369" s="759">
        <v>3.29</v>
      </c>
      <c r="H369" s="759">
        <f t="shared" si="5"/>
        <v>4.4415000000000004</v>
      </c>
    </row>
    <row r="370" spans="1:8">
      <c r="A370" s="701">
        <v>0</v>
      </c>
      <c r="B370" s="759">
        <v>5</v>
      </c>
      <c r="C370" s="759">
        <v>4</v>
      </c>
      <c r="D370" s="759">
        <v>2.5</v>
      </c>
      <c r="E370" s="701">
        <v>1.35</v>
      </c>
      <c r="F370" s="759">
        <v>3.29</v>
      </c>
      <c r="H370" s="759">
        <f t="shared" si="5"/>
        <v>4.4415000000000004</v>
      </c>
    </row>
    <row r="371" spans="1:8">
      <c r="A371" s="701">
        <v>0</v>
      </c>
      <c r="B371" s="759">
        <v>5</v>
      </c>
      <c r="C371" s="759">
        <v>4.25</v>
      </c>
      <c r="D371" s="759">
        <v>2.5</v>
      </c>
      <c r="E371" s="701">
        <v>1.35</v>
      </c>
      <c r="F371" s="759">
        <v>3.29</v>
      </c>
      <c r="H371" s="759">
        <f t="shared" si="5"/>
        <v>4.4415000000000004</v>
      </c>
    </row>
    <row r="372" spans="1:8">
      <c r="A372" s="701">
        <v>0</v>
      </c>
      <c r="B372" s="759">
        <v>5</v>
      </c>
      <c r="C372" s="759">
        <v>4.5</v>
      </c>
      <c r="D372" s="759">
        <v>2.5</v>
      </c>
      <c r="E372" s="701">
        <v>1.35</v>
      </c>
      <c r="F372" s="759">
        <v>3.29</v>
      </c>
      <c r="H372" s="759">
        <f t="shared" si="5"/>
        <v>4.4415000000000004</v>
      </c>
    </row>
    <row r="373" spans="1:8">
      <c r="A373" s="701">
        <v>0</v>
      </c>
      <c r="B373" s="759">
        <v>5</v>
      </c>
      <c r="C373" s="759">
        <v>4.75</v>
      </c>
      <c r="D373" s="759">
        <v>2.5</v>
      </c>
      <c r="E373" s="701">
        <v>1.35</v>
      </c>
      <c r="F373" s="759">
        <v>3.29</v>
      </c>
      <c r="H373" s="759">
        <f t="shared" si="5"/>
        <v>4.4415000000000004</v>
      </c>
    </row>
    <row r="374" spans="1:8">
      <c r="A374" s="701">
        <v>0</v>
      </c>
      <c r="B374" s="759">
        <v>5</v>
      </c>
      <c r="C374" s="759">
        <v>5</v>
      </c>
      <c r="D374" s="759">
        <v>2.5</v>
      </c>
      <c r="E374" s="701">
        <v>1.35</v>
      </c>
      <c r="F374" s="759">
        <v>3.29</v>
      </c>
      <c r="H374" s="759">
        <f t="shared" si="5"/>
        <v>4.4415000000000004</v>
      </c>
    </row>
    <row r="375" spans="1:8">
      <c r="A375" s="701">
        <v>0</v>
      </c>
      <c r="B375" s="759">
        <v>5</v>
      </c>
      <c r="C375" s="759">
        <v>5.25</v>
      </c>
      <c r="D375" s="759">
        <v>2.5</v>
      </c>
      <c r="E375" s="701">
        <v>1.35</v>
      </c>
      <c r="F375" s="759">
        <v>3.29</v>
      </c>
      <c r="H375" s="759">
        <f t="shared" si="5"/>
        <v>4.4415000000000004</v>
      </c>
    </row>
    <row r="376" spans="1:8">
      <c r="A376" s="701">
        <v>0</v>
      </c>
      <c r="B376" s="759">
        <v>5</v>
      </c>
      <c r="C376" s="759">
        <v>5.5</v>
      </c>
      <c r="D376" s="759">
        <v>2.5</v>
      </c>
      <c r="E376" s="701">
        <v>1.35</v>
      </c>
      <c r="F376" s="759">
        <v>3.29</v>
      </c>
      <c r="H376" s="759">
        <f t="shared" si="5"/>
        <v>4.4415000000000004</v>
      </c>
    </row>
    <row r="377" spans="1:8">
      <c r="A377" s="701">
        <v>0</v>
      </c>
      <c r="B377" s="759">
        <v>5</v>
      </c>
      <c r="C377" s="759">
        <v>5.75</v>
      </c>
      <c r="D377" s="759">
        <v>2.5</v>
      </c>
      <c r="E377" s="701">
        <v>1.35</v>
      </c>
      <c r="F377" s="759">
        <v>3.29</v>
      </c>
      <c r="H377" s="759">
        <f t="shared" si="5"/>
        <v>4.4415000000000004</v>
      </c>
    </row>
    <row r="378" spans="1:8">
      <c r="A378" s="701">
        <v>0</v>
      </c>
      <c r="B378" s="759">
        <v>5</v>
      </c>
      <c r="C378" s="759">
        <v>6</v>
      </c>
      <c r="D378" s="759">
        <v>2.5</v>
      </c>
      <c r="E378" s="701">
        <v>1.35</v>
      </c>
      <c r="F378" s="759">
        <v>3.29</v>
      </c>
      <c r="H378" s="759">
        <f t="shared" si="5"/>
        <v>4.4415000000000004</v>
      </c>
    </row>
    <row r="379" spans="1:8">
      <c r="A379" s="701">
        <v>0</v>
      </c>
      <c r="B379" s="759">
        <v>5</v>
      </c>
      <c r="C379" s="759">
        <v>6.25</v>
      </c>
      <c r="D379" s="759">
        <v>2.5</v>
      </c>
      <c r="E379" s="701">
        <v>1.35</v>
      </c>
      <c r="F379" s="759">
        <v>3.29</v>
      </c>
      <c r="H379" s="759">
        <f t="shared" si="5"/>
        <v>4.4415000000000004</v>
      </c>
    </row>
    <row r="380" spans="1:8">
      <c r="A380" s="701">
        <v>0</v>
      </c>
      <c r="B380" s="759">
        <v>5</v>
      </c>
      <c r="C380" s="759">
        <v>6.5</v>
      </c>
      <c r="D380" s="759">
        <v>2.5</v>
      </c>
      <c r="E380" s="701">
        <v>1.35</v>
      </c>
      <c r="F380" s="759">
        <v>3.29</v>
      </c>
      <c r="H380" s="759">
        <f t="shared" si="5"/>
        <v>4.4415000000000004</v>
      </c>
    </row>
    <row r="381" spans="1:8">
      <c r="A381" s="701">
        <v>0</v>
      </c>
      <c r="B381" s="759">
        <v>5</v>
      </c>
      <c r="C381" s="759">
        <v>6.75</v>
      </c>
      <c r="D381" s="759">
        <v>2.5</v>
      </c>
      <c r="E381" s="701">
        <v>1.35</v>
      </c>
      <c r="F381" s="759">
        <v>3.29</v>
      </c>
      <c r="H381" s="759">
        <f t="shared" si="5"/>
        <v>4.4415000000000004</v>
      </c>
    </row>
    <row r="382" spans="1:8">
      <c r="A382" s="701">
        <v>0</v>
      </c>
      <c r="B382" s="759">
        <v>5</v>
      </c>
      <c r="C382" s="759">
        <v>7</v>
      </c>
      <c r="D382" s="759">
        <v>2.5</v>
      </c>
      <c r="E382" s="701">
        <v>1.35</v>
      </c>
      <c r="F382" s="759">
        <v>3.29</v>
      </c>
      <c r="H382" s="759">
        <f t="shared" si="5"/>
        <v>4.4415000000000004</v>
      </c>
    </row>
    <row r="383" spans="1:8">
      <c r="A383" s="701">
        <v>0</v>
      </c>
      <c r="B383" s="759">
        <v>5</v>
      </c>
      <c r="C383" s="759">
        <v>7.5</v>
      </c>
      <c r="D383" s="759">
        <v>2.5</v>
      </c>
      <c r="E383" s="701">
        <v>1.35</v>
      </c>
      <c r="F383" s="759">
        <v>3.29</v>
      </c>
      <c r="H383" s="759">
        <f t="shared" si="5"/>
        <v>4.4415000000000004</v>
      </c>
    </row>
    <row r="384" spans="1:8">
      <c r="A384" s="701">
        <v>0</v>
      </c>
      <c r="B384" s="759">
        <v>5</v>
      </c>
      <c r="C384" s="759">
        <v>8</v>
      </c>
      <c r="D384" s="759">
        <v>2.5</v>
      </c>
      <c r="E384" s="701">
        <v>1.35</v>
      </c>
      <c r="F384" s="759">
        <v>3.29</v>
      </c>
      <c r="H384" s="759">
        <f t="shared" si="5"/>
        <v>4.4415000000000004</v>
      </c>
    </row>
    <row r="385" spans="1:8">
      <c r="A385" s="701">
        <v>0</v>
      </c>
      <c r="B385" s="759">
        <v>5.5</v>
      </c>
      <c r="C385" s="759">
        <v>3</v>
      </c>
      <c r="D385" s="759">
        <v>2.5</v>
      </c>
      <c r="E385" s="701">
        <v>1.35</v>
      </c>
      <c r="F385" s="759">
        <v>3.62</v>
      </c>
      <c r="H385" s="759">
        <f t="shared" si="5"/>
        <v>4.8870000000000005</v>
      </c>
    </row>
    <row r="386" spans="1:8">
      <c r="A386" s="701">
        <v>0</v>
      </c>
      <c r="B386" s="759">
        <v>5.5</v>
      </c>
      <c r="C386" s="759">
        <v>3.25</v>
      </c>
      <c r="D386" s="759">
        <v>2.5</v>
      </c>
      <c r="E386" s="701">
        <v>1.35</v>
      </c>
      <c r="F386" s="759">
        <v>3.62</v>
      </c>
      <c r="H386" s="759">
        <f t="shared" si="5"/>
        <v>4.8870000000000005</v>
      </c>
    </row>
    <row r="387" spans="1:8">
      <c r="A387" s="701">
        <v>0</v>
      </c>
      <c r="B387" s="759">
        <v>5.5</v>
      </c>
      <c r="C387" s="759">
        <v>3.5</v>
      </c>
      <c r="D387" s="759">
        <v>2.5</v>
      </c>
      <c r="E387" s="701">
        <v>1.35</v>
      </c>
      <c r="F387" s="759">
        <v>3.62</v>
      </c>
      <c r="H387" s="759">
        <f t="shared" si="5"/>
        <v>4.8870000000000005</v>
      </c>
    </row>
    <row r="388" spans="1:8">
      <c r="A388" s="701">
        <v>0</v>
      </c>
      <c r="B388" s="759">
        <v>5.5</v>
      </c>
      <c r="C388" s="759">
        <v>3.75</v>
      </c>
      <c r="D388" s="759">
        <v>2.5</v>
      </c>
      <c r="E388" s="701">
        <v>1.35</v>
      </c>
      <c r="F388" s="759">
        <v>3.62</v>
      </c>
      <c r="H388" s="759">
        <f t="shared" si="5"/>
        <v>4.8870000000000005</v>
      </c>
    </row>
    <row r="389" spans="1:8">
      <c r="A389" s="701">
        <v>0</v>
      </c>
      <c r="B389" s="759">
        <v>5.5</v>
      </c>
      <c r="C389" s="759">
        <v>4</v>
      </c>
      <c r="D389" s="759">
        <v>2.5</v>
      </c>
      <c r="E389" s="701">
        <v>1.35</v>
      </c>
      <c r="F389" s="759">
        <v>3.62</v>
      </c>
      <c r="H389" s="759">
        <f t="shared" ref="H389:H452" si="6">F389*E389</f>
        <v>4.8870000000000005</v>
      </c>
    </row>
    <row r="390" spans="1:8">
      <c r="A390" s="701">
        <v>0</v>
      </c>
      <c r="B390" s="759">
        <v>5.5</v>
      </c>
      <c r="C390" s="759">
        <v>4.25</v>
      </c>
      <c r="D390" s="759">
        <v>2.5</v>
      </c>
      <c r="E390" s="701">
        <v>1.35</v>
      </c>
      <c r="F390" s="759">
        <v>3.62</v>
      </c>
      <c r="H390" s="759">
        <f t="shared" si="6"/>
        <v>4.8870000000000005</v>
      </c>
    </row>
    <row r="391" spans="1:8">
      <c r="A391" s="701">
        <v>0</v>
      </c>
      <c r="B391" s="759">
        <v>5.5</v>
      </c>
      <c r="C391" s="759">
        <v>4.5</v>
      </c>
      <c r="D391" s="759">
        <v>2.5</v>
      </c>
      <c r="E391" s="701">
        <v>1.35</v>
      </c>
      <c r="F391" s="759">
        <v>3.62</v>
      </c>
      <c r="H391" s="759">
        <f t="shared" si="6"/>
        <v>4.8870000000000005</v>
      </c>
    </row>
    <row r="392" spans="1:8">
      <c r="A392" s="701">
        <v>0</v>
      </c>
      <c r="B392" s="759">
        <v>5.5</v>
      </c>
      <c r="C392" s="759">
        <v>4.75</v>
      </c>
      <c r="D392" s="759">
        <v>2.5</v>
      </c>
      <c r="E392" s="701">
        <v>1.35</v>
      </c>
      <c r="F392" s="759">
        <v>3.62</v>
      </c>
      <c r="H392" s="759">
        <f t="shared" si="6"/>
        <v>4.8870000000000005</v>
      </c>
    </row>
    <row r="393" spans="1:8">
      <c r="A393" s="701">
        <v>0</v>
      </c>
      <c r="B393" s="759">
        <v>5.5</v>
      </c>
      <c r="C393" s="759">
        <v>5</v>
      </c>
      <c r="D393" s="759">
        <v>2.5</v>
      </c>
      <c r="E393" s="701">
        <v>1.35</v>
      </c>
      <c r="F393" s="759">
        <v>3.62</v>
      </c>
      <c r="H393" s="759">
        <f t="shared" si="6"/>
        <v>4.8870000000000005</v>
      </c>
    </row>
    <row r="394" spans="1:8">
      <c r="A394" s="701">
        <v>0</v>
      </c>
      <c r="B394" s="759">
        <v>5.5</v>
      </c>
      <c r="C394" s="759">
        <v>5.25</v>
      </c>
      <c r="D394" s="759">
        <v>2.5</v>
      </c>
      <c r="E394" s="701">
        <v>1.35</v>
      </c>
      <c r="F394" s="759">
        <v>3.62</v>
      </c>
      <c r="H394" s="759">
        <f t="shared" si="6"/>
        <v>4.8870000000000005</v>
      </c>
    </row>
    <row r="395" spans="1:8">
      <c r="A395" s="701">
        <v>0</v>
      </c>
      <c r="B395" s="759">
        <v>5.5</v>
      </c>
      <c r="C395" s="759">
        <v>5.5</v>
      </c>
      <c r="D395" s="759">
        <v>2.5</v>
      </c>
      <c r="E395" s="701">
        <v>1.35</v>
      </c>
      <c r="F395" s="759">
        <v>3.62</v>
      </c>
      <c r="H395" s="759">
        <f t="shared" si="6"/>
        <v>4.8870000000000005</v>
      </c>
    </row>
    <row r="396" spans="1:8">
      <c r="A396" s="701">
        <v>0</v>
      </c>
      <c r="B396" s="759">
        <v>5.5</v>
      </c>
      <c r="C396" s="759">
        <v>5.75</v>
      </c>
      <c r="D396" s="759">
        <v>2.5</v>
      </c>
      <c r="E396" s="701">
        <v>1.35</v>
      </c>
      <c r="F396" s="759">
        <v>3.62</v>
      </c>
      <c r="H396" s="759">
        <f t="shared" si="6"/>
        <v>4.8870000000000005</v>
      </c>
    </row>
    <row r="397" spans="1:8">
      <c r="A397" s="701">
        <v>0</v>
      </c>
      <c r="B397" s="759">
        <v>5.5</v>
      </c>
      <c r="C397" s="759">
        <v>6</v>
      </c>
      <c r="D397" s="759">
        <v>2.5</v>
      </c>
      <c r="E397" s="701">
        <v>1.35</v>
      </c>
      <c r="F397" s="759">
        <v>3.62</v>
      </c>
      <c r="H397" s="759">
        <f t="shared" si="6"/>
        <v>4.8870000000000005</v>
      </c>
    </row>
    <row r="398" spans="1:8">
      <c r="A398" s="701">
        <v>0</v>
      </c>
      <c r="B398" s="759">
        <v>5.5</v>
      </c>
      <c r="C398" s="759">
        <v>6.25</v>
      </c>
      <c r="D398" s="759">
        <v>2.5</v>
      </c>
      <c r="E398" s="701">
        <v>1.35</v>
      </c>
      <c r="F398" s="759">
        <v>3.62</v>
      </c>
      <c r="H398" s="759">
        <f t="shared" si="6"/>
        <v>4.8870000000000005</v>
      </c>
    </row>
    <row r="399" spans="1:8">
      <c r="A399" s="701">
        <v>0</v>
      </c>
      <c r="B399" s="759">
        <v>5.5</v>
      </c>
      <c r="C399" s="759">
        <v>6.5</v>
      </c>
      <c r="D399" s="759">
        <v>2.5</v>
      </c>
      <c r="E399" s="701">
        <v>1.35</v>
      </c>
      <c r="F399" s="759">
        <v>3.62</v>
      </c>
      <c r="H399" s="759">
        <f t="shared" si="6"/>
        <v>4.8870000000000005</v>
      </c>
    </row>
    <row r="400" spans="1:8">
      <c r="A400" s="701">
        <v>0</v>
      </c>
      <c r="B400" s="759">
        <v>5.5</v>
      </c>
      <c r="C400" s="759">
        <v>6.75</v>
      </c>
      <c r="D400" s="759">
        <v>2.5</v>
      </c>
      <c r="E400" s="701">
        <v>1.35</v>
      </c>
      <c r="F400" s="759">
        <v>3.62</v>
      </c>
      <c r="H400" s="759">
        <f t="shared" si="6"/>
        <v>4.8870000000000005</v>
      </c>
    </row>
    <row r="401" spans="1:8">
      <c r="A401" s="701">
        <v>0</v>
      </c>
      <c r="B401" s="759">
        <v>5.5</v>
      </c>
      <c r="C401" s="759">
        <v>7</v>
      </c>
      <c r="D401" s="759">
        <v>2.5</v>
      </c>
      <c r="E401" s="701">
        <v>1.35</v>
      </c>
      <c r="F401" s="759">
        <v>3.62</v>
      </c>
      <c r="H401" s="759">
        <f t="shared" si="6"/>
        <v>4.8870000000000005</v>
      </c>
    </row>
    <row r="402" spans="1:8">
      <c r="A402" s="701">
        <v>0</v>
      </c>
      <c r="B402" s="759">
        <v>5.5</v>
      </c>
      <c r="C402" s="759">
        <v>7.5</v>
      </c>
      <c r="D402" s="759">
        <v>2.5</v>
      </c>
      <c r="E402" s="701">
        <v>1.35</v>
      </c>
      <c r="F402" s="759">
        <v>3.62</v>
      </c>
      <c r="H402" s="759">
        <f t="shared" si="6"/>
        <v>4.8870000000000005</v>
      </c>
    </row>
    <row r="403" spans="1:8">
      <c r="A403" s="701">
        <v>0</v>
      </c>
      <c r="B403" s="759">
        <v>5.5</v>
      </c>
      <c r="C403" s="759">
        <v>8</v>
      </c>
      <c r="D403" s="759">
        <v>2.5</v>
      </c>
      <c r="E403" s="701">
        <v>1.35</v>
      </c>
      <c r="F403" s="759">
        <v>3.62</v>
      </c>
      <c r="H403" s="759">
        <f t="shared" si="6"/>
        <v>4.8870000000000005</v>
      </c>
    </row>
    <row r="404" spans="1:8">
      <c r="A404" s="701">
        <v>0</v>
      </c>
      <c r="B404" s="759">
        <v>6</v>
      </c>
      <c r="C404" s="759">
        <v>3</v>
      </c>
      <c r="D404" s="759">
        <v>2.5</v>
      </c>
      <c r="E404" s="701">
        <v>1.35</v>
      </c>
      <c r="F404" s="759">
        <v>3.94</v>
      </c>
      <c r="H404" s="759">
        <f t="shared" si="6"/>
        <v>5.319</v>
      </c>
    </row>
    <row r="405" spans="1:8">
      <c r="A405" s="701">
        <v>0</v>
      </c>
      <c r="B405" s="759">
        <v>6</v>
      </c>
      <c r="C405" s="759">
        <v>3.25</v>
      </c>
      <c r="D405" s="759">
        <v>2.5</v>
      </c>
      <c r="E405" s="701">
        <v>1.35</v>
      </c>
      <c r="F405" s="759">
        <v>3.94</v>
      </c>
      <c r="H405" s="759">
        <f t="shared" si="6"/>
        <v>5.319</v>
      </c>
    </row>
    <row r="406" spans="1:8">
      <c r="A406" s="701">
        <v>0</v>
      </c>
      <c r="B406" s="759">
        <v>6</v>
      </c>
      <c r="C406" s="759">
        <v>3.5</v>
      </c>
      <c r="D406" s="759">
        <v>2.5</v>
      </c>
      <c r="E406" s="701">
        <v>1.35</v>
      </c>
      <c r="F406" s="759">
        <v>3.94</v>
      </c>
      <c r="H406" s="759">
        <f t="shared" si="6"/>
        <v>5.319</v>
      </c>
    </row>
    <row r="407" spans="1:8">
      <c r="A407" s="701">
        <v>0</v>
      </c>
      <c r="B407" s="759">
        <v>6</v>
      </c>
      <c r="C407" s="759">
        <v>3.75</v>
      </c>
      <c r="D407" s="759">
        <v>2.5</v>
      </c>
      <c r="E407" s="701">
        <v>1.35</v>
      </c>
      <c r="F407" s="759">
        <v>3.94</v>
      </c>
      <c r="H407" s="759">
        <f t="shared" si="6"/>
        <v>5.319</v>
      </c>
    </row>
    <row r="408" spans="1:8">
      <c r="A408" s="701">
        <v>0</v>
      </c>
      <c r="B408" s="759">
        <v>6</v>
      </c>
      <c r="C408" s="759">
        <v>4</v>
      </c>
      <c r="D408" s="759">
        <v>2.5</v>
      </c>
      <c r="E408" s="701">
        <v>1.35</v>
      </c>
      <c r="F408" s="759">
        <v>3.94</v>
      </c>
      <c r="H408" s="759">
        <f t="shared" si="6"/>
        <v>5.319</v>
      </c>
    </row>
    <row r="409" spans="1:8">
      <c r="A409" s="701">
        <v>0</v>
      </c>
      <c r="B409" s="759">
        <v>6</v>
      </c>
      <c r="C409" s="759">
        <v>4.25</v>
      </c>
      <c r="D409" s="759">
        <v>2.5</v>
      </c>
      <c r="E409" s="701">
        <v>1.35</v>
      </c>
      <c r="F409" s="759">
        <v>3.94</v>
      </c>
      <c r="H409" s="759">
        <f t="shared" si="6"/>
        <v>5.319</v>
      </c>
    </row>
    <row r="410" spans="1:8">
      <c r="A410" s="701">
        <v>0</v>
      </c>
      <c r="B410" s="759">
        <v>6</v>
      </c>
      <c r="C410" s="759">
        <v>4.5</v>
      </c>
      <c r="D410" s="759">
        <v>2.5</v>
      </c>
      <c r="E410" s="701">
        <v>1.35</v>
      </c>
      <c r="F410" s="759">
        <v>3.94</v>
      </c>
      <c r="H410" s="759">
        <f t="shared" si="6"/>
        <v>5.319</v>
      </c>
    </row>
    <row r="411" spans="1:8">
      <c r="A411" s="701">
        <v>0</v>
      </c>
      <c r="B411" s="759">
        <v>6</v>
      </c>
      <c r="C411" s="759">
        <v>4.75</v>
      </c>
      <c r="D411" s="759">
        <v>2.5</v>
      </c>
      <c r="E411" s="701">
        <v>1.35</v>
      </c>
      <c r="F411" s="759">
        <v>3.94</v>
      </c>
      <c r="H411" s="759">
        <f t="shared" si="6"/>
        <v>5.319</v>
      </c>
    </row>
    <row r="412" spans="1:8">
      <c r="A412" s="701">
        <v>0</v>
      </c>
      <c r="B412" s="759">
        <v>6</v>
      </c>
      <c r="C412" s="759">
        <v>5</v>
      </c>
      <c r="D412" s="759">
        <v>2.5</v>
      </c>
      <c r="E412" s="701">
        <v>1.35</v>
      </c>
      <c r="F412" s="759">
        <v>3.94</v>
      </c>
      <c r="H412" s="759">
        <f t="shared" si="6"/>
        <v>5.319</v>
      </c>
    </row>
    <row r="413" spans="1:8">
      <c r="A413" s="701">
        <v>0</v>
      </c>
      <c r="B413" s="759">
        <v>6</v>
      </c>
      <c r="C413" s="759">
        <v>5.25</v>
      </c>
      <c r="D413" s="759">
        <v>2.5</v>
      </c>
      <c r="E413" s="701">
        <v>1.35</v>
      </c>
      <c r="F413" s="759">
        <v>3.94</v>
      </c>
      <c r="H413" s="759">
        <f t="shared" si="6"/>
        <v>5.319</v>
      </c>
    </row>
    <row r="414" spans="1:8">
      <c r="A414" s="701">
        <v>0</v>
      </c>
      <c r="B414" s="759">
        <v>6</v>
      </c>
      <c r="C414" s="759">
        <v>5.5</v>
      </c>
      <c r="D414" s="759">
        <v>2.5</v>
      </c>
      <c r="E414" s="701">
        <v>1.35</v>
      </c>
      <c r="F414" s="759">
        <v>3.94</v>
      </c>
      <c r="H414" s="759">
        <f t="shared" si="6"/>
        <v>5.319</v>
      </c>
    </row>
    <row r="415" spans="1:8">
      <c r="A415" s="701">
        <v>0</v>
      </c>
      <c r="B415" s="759">
        <v>6</v>
      </c>
      <c r="C415" s="759">
        <v>5.75</v>
      </c>
      <c r="D415" s="759">
        <v>2.5</v>
      </c>
      <c r="E415" s="701">
        <v>1.35</v>
      </c>
      <c r="F415" s="759">
        <v>3.94</v>
      </c>
      <c r="H415" s="759">
        <f t="shared" si="6"/>
        <v>5.319</v>
      </c>
    </row>
    <row r="416" spans="1:8">
      <c r="A416" s="701">
        <v>0</v>
      </c>
      <c r="B416" s="759">
        <v>6</v>
      </c>
      <c r="C416" s="759">
        <v>6</v>
      </c>
      <c r="D416" s="759">
        <v>2.5</v>
      </c>
      <c r="E416" s="701">
        <v>1.35</v>
      </c>
      <c r="F416" s="759">
        <v>3.94</v>
      </c>
      <c r="H416" s="759">
        <f t="shared" si="6"/>
        <v>5.319</v>
      </c>
    </row>
    <row r="417" spans="1:8">
      <c r="A417" s="701">
        <v>0</v>
      </c>
      <c r="B417" s="759">
        <v>6</v>
      </c>
      <c r="C417" s="759">
        <v>6.25</v>
      </c>
      <c r="D417" s="759">
        <v>2.5</v>
      </c>
      <c r="E417" s="701">
        <v>1.35</v>
      </c>
      <c r="F417" s="759">
        <v>3.94</v>
      </c>
      <c r="H417" s="759">
        <f t="shared" si="6"/>
        <v>5.319</v>
      </c>
    </row>
    <row r="418" spans="1:8">
      <c r="A418" s="701">
        <v>0</v>
      </c>
      <c r="B418" s="759">
        <v>6</v>
      </c>
      <c r="C418" s="759">
        <v>6.5</v>
      </c>
      <c r="D418" s="759">
        <v>2.5</v>
      </c>
      <c r="E418" s="701">
        <v>1.35</v>
      </c>
      <c r="F418" s="759">
        <v>3.94</v>
      </c>
      <c r="H418" s="759">
        <f t="shared" si="6"/>
        <v>5.319</v>
      </c>
    </row>
    <row r="419" spans="1:8">
      <c r="A419" s="701">
        <v>0</v>
      </c>
      <c r="B419" s="759">
        <v>6</v>
      </c>
      <c r="C419" s="759">
        <v>6.75</v>
      </c>
      <c r="D419" s="759">
        <v>2.5</v>
      </c>
      <c r="E419" s="701">
        <v>1.35</v>
      </c>
      <c r="F419" s="759">
        <v>3.94</v>
      </c>
      <c r="H419" s="759">
        <f t="shared" si="6"/>
        <v>5.319</v>
      </c>
    </row>
    <row r="420" spans="1:8">
      <c r="A420" s="701">
        <v>0</v>
      </c>
      <c r="B420" s="759">
        <v>6</v>
      </c>
      <c r="C420" s="759">
        <v>7</v>
      </c>
      <c r="D420" s="759">
        <v>2.5</v>
      </c>
      <c r="E420" s="701">
        <v>1.35</v>
      </c>
      <c r="F420" s="759">
        <v>3.94</v>
      </c>
      <c r="H420" s="759">
        <f t="shared" si="6"/>
        <v>5.319</v>
      </c>
    </row>
    <row r="421" spans="1:8">
      <c r="A421" s="701">
        <v>0</v>
      </c>
      <c r="B421" s="759">
        <v>6</v>
      </c>
      <c r="C421" s="759">
        <v>7.5</v>
      </c>
      <c r="D421" s="759">
        <v>2.5</v>
      </c>
      <c r="E421" s="701">
        <v>1.35</v>
      </c>
      <c r="F421" s="759">
        <v>3.94</v>
      </c>
      <c r="H421" s="759">
        <f t="shared" si="6"/>
        <v>5.319</v>
      </c>
    </row>
    <row r="422" spans="1:8">
      <c r="A422" s="701">
        <v>0</v>
      </c>
      <c r="B422" s="759">
        <v>6</v>
      </c>
      <c r="C422" s="759">
        <v>8</v>
      </c>
      <c r="D422" s="759">
        <v>2.5</v>
      </c>
      <c r="E422" s="701">
        <v>1.35</v>
      </c>
      <c r="F422" s="759">
        <v>3.94</v>
      </c>
      <c r="H422" s="759">
        <f t="shared" si="6"/>
        <v>5.319</v>
      </c>
    </row>
    <row r="423" spans="1:8">
      <c r="A423" s="701">
        <v>0</v>
      </c>
      <c r="B423" s="759">
        <v>6.5</v>
      </c>
      <c r="C423" s="759">
        <v>3</v>
      </c>
      <c r="D423" s="759">
        <v>2.5</v>
      </c>
      <c r="E423" s="701">
        <v>1.35</v>
      </c>
      <c r="F423" s="759">
        <v>4.2699999999999996</v>
      </c>
      <c r="H423" s="759">
        <f t="shared" si="6"/>
        <v>5.7645</v>
      </c>
    </row>
    <row r="424" spans="1:8">
      <c r="A424" s="701">
        <v>0</v>
      </c>
      <c r="B424" s="759">
        <v>6.5</v>
      </c>
      <c r="C424" s="759">
        <v>3.25</v>
      </c>
      <c r="D424" s="759">
        <v>2.5</v>
      </c>
      <c r="E424" s="701">
        <v>1.35</v>
      </c>
      <c r="F424" s="759">
        <v>4.2699999999999996</v>
      </c>
      <c r="H424" s="759">
        <f t="shared" si="6"/>
        <v>5.7645</v>
      </c>
    </row>
    <row r="425" spans="1:8">
      <c r="A425" s="701">
        <v>0</v>
      </c>
      <c r="B425" s="759">
        <v>6.5</v>
      </c>
      <c r="C425" s="759">
        <v>3.5</v>
      </c>
      <c r="D425" s="759">
        <v>2.5</v>
      </c>
      <c r="E425" s="701">
        <v>1.35</v>
      </c>
      <c r="F425" s="759">
        <v>4.2699999999999996</v>
      </c>
      <c r="H425" s="759">
        <f t="shared" si="6"/>
        <v>5.7645</v>
      </c>
    </row>
    <row r="426" spans="1:8">
      <c r="A426" s="701">
        <v>0</v>
      </c>
      <c r="B426" s="759">
        <v>6.5</v>
      </c>
      <c r="C426" s="759">
        <v>3.75</v>
      </c>
      <c r="D426" s="759">
        <v>2.5</v>
      </c>
      <c r="E426" s="701">
        <v>1.35</v>
      </c>
      <c r="F426" s="759">
        <v>4.2699999999999996</v>
      </c>
      <c r="H426" s="759">
        <f t="shared" si="6"/>
        <v>5.7645</v>
      </c>
    </row>
    <row r="427" spans="1:8">
      <c r="A427" s="701">
        <v>0</v>
      </c>
      <c r="B427" s="759">
        <v>6.5</v>
      </c>
      <c r="C427" s="759">
        <v>4</v>
      </c>
      <c r="D427" s="759">
        <v>2.5</v>
      </c>
      <c r="E427" s="701">
        <v>1.35</v>
      </c>
      <c r="F427" s="759">
        <v>4.2699999999999996</v>
      </c>
      <c r="H427" s="759">
        <f t="shared" si="6"/>
        <v>5.7645</v>
      </c>
    </row>
    <row r="428" spans="1:8">
      <c r="A428" s="701">
        <v>0</v>
      </c>
      <c r="B428" s="759">
        <v>6.5</v>
      </c>
      <c r="C428" s="759">
        <v>4.25</v>
      </c>
      <c r="D428" s="759">
        <v>2.5</v>
      </c>
      <c r="E428" s="701">
        <v>1.35</v>
      </c>
      <c r="F428" s="759">
        <v>4.2699999999999996</v>
      </c>
      <c r="H428" s="759">
        <f t="shared" si="6"/>
        <v>5.7645</v>
      </c>
    </row>
    <row r="429" spans="1:8">
      <c r="A429" s="701">
        <v>0</v>
      </c>
      <c r="B429" s="759">
        <v>6.5</v>
      </c>
      <c r="C429" s="759">
        <v>4.5</v>
      </c>
      <c r="D429" s="759">
        <v>2.5</v>
      </c>
      <c r="E429" s="701">
        <v>1.35</v>
      </c>
      <c r="F429" s="759">
        <v>4.2699999999999996</v>
      </c>
      <c r="H429" s="759">
        <f t="shared" si="6"/>
        <v>5.7645</v>
      </c>
    </row>
    <row r="430" spans="1:8">
      <c r="A430" s="701">
        <v>0</v>
      </c>
      <c r="B430" s="759">
        <v>6.5</v>
      </c>
      <c r="C430" s="759">
        <v>4.75</v>
      </c>
      <c r="D430" s="759">
        <v>2.5</v>
      </c>
      <c r="E430" s="701">
        <v>1.35</v>
      </c>
      <c r="F430" s="759">
        <v>4.2699999999999996</v>
      </c>
      <c r="H430" s="759">
        <f t="shared" si="6"/>
        <v>5.7645</v>
      </c>
    </row>
    <row r="431" spans="1:8">
      <c r="A431" s="701">
        <v>0</v>
      </c>
      <c r="B431" s="759">
        <v>6.5</v>
      </c>
      <c r="C431" s="759">
        <v>5</v>
      </c>
      <c r="D431" s="759">
        <v>2.5</v>
      </c>
      <c r="E431" s="701">
        <v>1.35</v>
      </c>
      <c r="F431" s="759">
        <v>4.2699999999999996</v>
      </c>
      <c r="H431" s="759">
        <f t="shared" si="6"/>
        <v>5.7645</v>
      </c>
    </row>
    <row r="432" spans="1:8">
      <c r="A432" s="701">
        <v>0</v>
      </c>
      <c r="B432" s="759">
        <v>6.5</v>
      </c>
      <c r="C432" s="759">
        <v>5.25</v>
      </c>
      <c r="D432" s="759">
        <v>2.5</v>
      </c>
      <c r="E432" s="701">
        <v>1.35</v>
      </c>
      <c r="F432" s="759">
        <v>4.2699999999999996</v>
      </c>
      <c r="H432" s="759">
        <f t="shared" si="6"/>
        <v>5.7645</v>
      </c>
    </row>
    <row r="433" spans="1:8">
      <c r="A433" s="701">
        <v>0</v>
      </c>
      <c r="B433" s="759">
        <v>6.5</v>
      </c>
      <c r="C433" s="759">
        <v>5.5</v>
      </c>
      <c r="D433" s="759">
        <v>2.5</v>
      </c>
      <c r="E433" s="701">
        <v>1.35</v>
      </c>
      <c r="F433" s="759">
        <v>4.2699999999999996</v>
      </c>
      <c r="H433" s="759">
        <f t="shared" si="6"/>
        <v>5.7645</v>
      </c>
    </row>
    <row r="434" spans="1:8">
      <c r="A434" s="701">
        <v>0</v>
      </c>
      <c r="B434" s="759">
        <v>6.5</v>
      </c>
      <c r="C434" s="759">
        <v>5.75</v>
      </c>
      <c r="D434" s="759">
        <v>2.5</v>
      </c>
      <c r="E434" s="701">
        <v>1.35</v>
      </c>
      <c r="F434" s="759">
        <v>4.2699999999999996</v>
      </c>
      <c r="H434" s="759">
        <f t="shared" si="6"/>
        <v>5.7645</v>
      </c>
    </row>
    <row r="435" spans="1:8">
      <c r="A435" s="701">
        <v>0</v>
      </c>
      <c r="B435" s="759">
        <v>6.5</v>
      </c>
      <c r="C435" s="759">
        <v>6</v>
      </c>
      <c r="D435" s="759">
        <v>2.5</v>
      </c>
      <c r="E435" s="701">
        <v>1.35</v>
      </c>
      <c r="F435" s="759">
        <v>4.2699999999999996</v>
      </c>
      <c r="H435" s="759">
        <f t="shared" si="6"/>
        <v>5.7645</v>
      </c>
    </row>
    <row r="436" spans="1:8">
      <c r="A436" s="701">
        <v>0</v>
      </c>
      <c r="B436" s="759">
        <v>6.5</v>
      </c>
      <c r="C436" s="759">
        <v>6.25</v>
      </c>
      <c r="D436" s="759">
        <v>2.5</v>
      </c>
      <c r="E436" s="701">
        <v>1.35</v>
      </c>
      <c r="F436" s="759">
        <v>4.2699999999999996</v>
      </c>
      <c r="H436" s="759">
        <f t="shared" si="6"/>
        <v>5.7645</v>
      </c>
    </row>
    <row r="437" spans="1:8">
      <c r="A437" s="701">
        <v>0</v>
      </c>
      <c r="B437" s="759">
        <v>6.5</v>
      </c>
      <c r="C437" s="759">
        <v>6.5</v>
      </c>
      <c r="D437" s="759">
        <v>2.5</v>
      </c>
      <c r="E437" s="701">
        <v>1.35</v>
      </c>
      <c r="F437" s="759">
        <v>4.2699999999999996</v>
      </c>
      <c r="H437" s="759">
        <f t="shared" si="6"/>
        <v>5.7645</v>
      </c>
    </row>
    <row r="438" spans="1:8">
      <c r="A438" s="701">
        <v>0</v>
      </c>
      <c r="B438" s="759">
        <v>6.5</v>
      </c>
      <c r="C438" s="759">
        <v>6.75</v>
      </c>
      <c r="D438" s="759">
        <v>2.5</v>
      </c>
      <c r="E438" s="701">
        <v>1.35</v>
      </c>
      <c r="F438" s="759">
        <v>4.2699999999999996</v>
      </c>
      <c r="H438" s="759">
        <f t="shared" si="6"/>
        <v>5.7645</v>
      </c>
    </row>
    <row r="439" spans="1:8">
      <c r="A439" s="701">
        <v>0</v>
      </c>
      <c r="B439" s="759">
        <v>6.5</v>
      </c>
      <c r="C439" s="759">
        <v>7</v>
      </c>
      <c r="D439" s="759">
        <v>2.5</v>
      </c>
      <c r="E439" s="701">
        <v>1.35</v>
      </c>
      <c r="F439" s="759">
        <v>4.2699999999999996</v>
      </c>
      <c r="H439" s="759">
        <f t="shared" si="6"/>
        <v>5.7645</v>
      </c>
    </row>
    <row r="440" spans="1:8">
      <c r="A440" s="701">
        <v>0</v>
      </c>
      <c r="B440" s="759">
        <v>6.5</v>
      </c>
      <c r="C440" s="759">
        <v>7.5</v>
      </c>
      <c r="D440" s="759">
        <v>2.5</v>
      </c>
      <c r="E440" s="701">
        <v>1.35</v>
      </c>
      <c r="F440" s="759">
        <v>4.2699999999999996</v>
      </c>
      <c r="H440" s="759">
        <f t="shared" si="6"/>
        <v>5.7645</v>
      </c>
    </row>
    <row r="441" spans="1:8">
      <c r="A441" s="701">
        <v>0</v>
      </c>
      <c r="B441" s="759">
        <v>6.5</v>
      </c>
      <c r="C441" s="759">
        <v>8</v>
      </c>
      <c r="D441" s="759">
        <v>2.5</v>
      </c>
      <c r="E441" s="701">
        <v>1.35</v>
      </c>
      <c r="F441" s="759">
        <v>4.2699999999999996</v>
      </c>
      <c r="H441" s="759">
        <f t="shared" si="6"/>
        <v>5.7645</v>
      </c>
    </row>
    <row r="442" spans="1:8">
      <c r="A442" s="701">
        <v>0</v>
      </c>
      <c r="B442" s="759">
        <v>7</v>
      </c>
      <c r="C442" s="759">
        <v>3</v>
      </c>
      <c r="D442" s="759">
        <v>2.5</v>
      </c>
      <c r="E442" s="701">
        <v>1.35</v>
      </c>
      <c r="F442" s="759">
        <v>4.5999999999999996</v>
      </c>
      <c r="H442" s="759">
        <f t="shared" si="6"/>
        <v>6.21</v>
      </c>
    </row>
    <row r="443" spans="1:8">
      <c r="A443" s="701">
        <v>0</v>
      </c>
      <c r="B443" s="759">
        <v>7</v>
      </c>
      <c r="C443" s="759">
        <v>3.25</v>
      </c>
      <c r="D443" s="759">
        <v>2.5</v>
      </c>
      <c r="E443" s="701">
        <v>1.35</v>
      </c>
      <c r="F443" s="759">
        <v>4.5999999999999996</v>
      </c>
      <c r="H443" s="759">
        <f t="shared" si="6"/>
        <v>6.21</v>
      </c>
    </row>
    <row r="444" spans="1:8">
      <c r="A444" s="701">
        <v>0</v>
      </c>
      <c r="B444" s="759">
        <v>7</v>
      </c>
      <c r="C444" s="759">
        <v>3.5</v>
      </c>
      <c r="D444" s="759">
        <v>2.5</v>
      </c>
      <c r="E444" s="701">
        <v>1.35</v>
      </c>
      <c r="F444" s="759">
        <v>4.5999999999999996</v>
      </c>
      <c r="H444" s="759">
        <f t="shared" si="6"/>
        <v>6.21</v>
      </c>
    </row>
    <row r="445" spans="1:8">
      <c r="A445" s="701">
        <v>0</v>
      </c>
      <c r="B445" s="759">
        <v>7</v>
      </c>
      <c r="C445" s="759">
        <v>3.75</v>
      </c>
      <c r="D445" s="759">
        <v>2.5</v>
      </c>
      <c r="E445" s="701">
        <v>1.35</v>
      </c>
      <c r="F445" s="759">
        <v>4.5999999999999996</v>
      </c>
      <c r="H445" s="759">
        <f t="shared" si="6"/>
        <v>6.21</v>
      </c>
    </row>
    <row r="446" spans="1:8">
      <c r="A446" s="701">
        <v>0</v>
      </c>
      <c r="B446" s="759">
        <v>7</v>
      </c>
      <c r="C446" s="759">
        <v>4</v>
      </c>
      <c r="D446" s="759">
        <v>2.5</v>
      </c>
      <c r="E446" s="701">
        <v>1.35</v>
      </c>
      <c r="F446" s="759">
        <v>4.5999999999999996</v>
      </c>
      <c r="H446" s="759">
        <f t="shared" si="6"/>
        <v>6.21</v>
      </c>
    </row>
    <row r="447" spans="1:8">
      <c r="A447" s="701">
        <v>0</v>
      </c>
      <c r="B447" s="759">
        <v>7</v>
      </c>
      <c r="C447" s="759">
        <v>4.25</v>
      </c>
      <c r="D447" s="759">
        <v>2.5</v>
      </c>
      <c r="E447" s="701">
        <v>1.35</v>
      </c>
      <c r="F447" s="759">
        <v>4.5999999999999996</v>
      </c>
      <c r="H447" s="759">
        <f t="shared" si="6"/>
        <v>6.21</v>
      </c>
    </row>
    <row r="448" spans="1:8">
      <c r="A448" s="701">
        <v>0</v>
      </c>
      <c r="B448" s="759">
        <v>7</v>
      </c>
      <c r="C448" s="759">
        <v>4.5</v>
      </c>
      <c r="D448" s="759">
        <v>2.5</v>
      </c>
      <c r="E448" s="701">
        <v>1.35</v>
      </c>
      <c r="F448" s="759">
        <v>4.5999999999999996</v>
      </c>
      <c r="H448" s="759">
        <f t="shared" si="6"/>
        <v>6.21</v>
      </c>
    </row>
    <row r="449" spans="1:8">
      <c r="A449" s="701">
        <v>0</v>
      </c>
      <c r="B449" s="759">
        <v>7</v>
      </c>
      <c r="C449" s="759">
        <v>4.75</v>
      </c>
      <c r="D449" s="759">
        <v>2.5</v>
      </c>
      <c r="E449" s="701">
        <v>1.35</v>
      </c>
      <c r="F449" s="759">
        <v>4.5999999999999996</v>
      </c>
      <c r="H449" s="759">
        <f t="shared" si="6"/>
        <v>6.21</v>
      </c>
    </row>
    <row r="450" spans="1:8">
      <c r="A450" s="701">
        <v>0</v>
      </c>
      <c r="B450" s="759">
        <v>7</v>
      </c>
      <c r="C450" s="759">
        <v>5</v>
      </c>
      <c r="D450" s="759">
        <v>2.5</v>
      </c>
      <c r="E450" s="701">
        <v>1.35</v>
      </c>
      <c r="F450" s="759">
        <v>4.5999999999999996</v>
      </c>
      <c r="H450" s="759">
        <f t="shared" si="6"/>
        <v>6.21</v>
      </c>
    </row>
    <row r="451" spans="1:8">
      <c r="A451" s="701">
        <v>0</v>
      </c>
      <c r="B451" s="759">
        <v>7</v>
      </c>
      <c r="C451" s="759">
        <v>5.25</v>
      </c>
      <c r="D451" s="759">
        <v>2.5</v>
      </c>
      <c r="E451" s="701">
        <v>1.35</v>
      </c>
      <c r="F451" s="759">
        <v>4.5999999999999996</v>
      </c>
      <c r="H451" s="759">
        <f t="shared" si="6"/>
        <v>6.21</v>
      </c>
    </row>
    <row r="452" spans="1:8">
      <c r="A452" s="701">
        <v>0</v>
      </c>
      <c r="B452" s="759">
        <v>7</v>
      </c>
      <c r="C452" s="759">
        <v>5.5</v>
      </c>
      <c r="D452" s="759">
        <v>2.5</v>
      </c>
      <c r="E452" s="701">
        <v>1.35</v>
      </c>
      <c r="F452" s="759">
        <v>4.5999999999999996</v>
      </c>
      <c r="H452" s="759">
        <f t="shared" si="6"/>
        <v>6.21</v>
      </c>
    </row>
    <row r="453" spans="1:8">
      <c r="A453" s="701">
        <v>0</v>
      </c>
      <c r="B453" s="759">
        <v>7</v>
      </c>
      <c r="C453" s="759">
        <v>5.75</v>
      </c>
      <c r="D453" s="759">
        <v>2.5</v>
      </c>
      <c r="E453" s="701">
        <v>1.35</v>
      </c>
      <c r="F453" s="759">
        <v>4.5999999999999996</v>
      </c>
      <c r="H453" s="759">
        <f t="shared" ref="H453:H498" si="7">F453*E453</f>
        <v>6.21</v>
      </c>
    </row>
    <row r="454" spans="1:8">
      <c r="A454" s="701">
        <v>0</v>
      </c>
      <c r="B454" s="759">
        <v>7</v>
      </c>
      <c r="C454" s="759">
        <v>6</v>
      </c>
      <c r="D454" s="759">
        <v>2.5</v>
      </c>
      <c r="E454" s="701">
        <v>1.35</v>
      </c>
      <c r="F454" s="759">
        <v>4.5999999999999996</v>
      </c>
      <c r="H454" s="759">
        <f t="shared" si="7"/>
        <v>6.21</v>
      </c>
    </row>
    <row r="455" spans="1:8">
      <c r="A455" s="701">
        <v>0</v>
      </c>
      <c r="B455" s="759">
        <v>7</v>
      </c>
      <c r="C455" s="759">
        <v>6.25</v>
      </c>
      <c r="D455" s="759">
        <v>2.5</v>
      </c>
      <c r="E455" s="701">
        <v>1.35</v>
      </c>
      <c r="F455" s="759">
        <v>4.5999999999999996</v>
      </c>
      <c r="H455" s="759">
        <f t="shared" si="7"/>
        <v>6.21</v>
      </c>
    </row>
    <row r="456" spans="1:8">
      <c r="A456" s="701">
        <v>0</v>
      </c>
      <c r="B456" s="759">
        <v>7</v>
      </c>
      <c r="C456" s="759">
        <v>6.5</v>
      </c>
      <c r="D456" s="759">
        <v>2.5</v>
      </c>
      <c r="E456" s="701">
        <v>1.35</v>
      </c>
      <c r="F456" s="759">
        <v>4.5999999999999996</v>
      </c>
      <c r="H456" s="759">
        <f t="shared" si="7"/>
        <v>6.21</v>
      </c>
    </row>
    <row r="457" spans="1:8">
      <c r="A457" s="701">
        <v>0</v>
      </c>
      <c r="B457" s="759">
        <v>7</v>
      </c>
      <c r="C457" s="759">
        <v>6.75</v>
      </c>
      <c r="D457" s="759">
        <v>2.5</v>
      </c>
      <c r="E457" s="701">
        <v>1.35</v>
      </c>
      <c r="F457" s="759">
        <v>4.5999999999999996</v>
      </c>
      <c r="H457" s="759">
        <f t="shared" si="7"/>
        <v>6.21</v>
      </c>
    </row>
    <row r="458" spans="1:8">
      <c r="A458" s="701">
        <v>0</v>
      </c>
      <c r="B458" s="759">
        <v>7</v>
      </c>
      <c r="C458" s="759">
        <v>7</v>
      </c>
      <c r="D458" s="759">
        <v>2.5</v>
      </c>
      <c r="E458" s="701">
        <v>1.35</v>
      </c>
      <c r="F458" s="759">
        <v>4.5999999999999996</v>
      </c>
      <c r="H458" s="759">
        <f t="shared" si="7"/>
        <v>6.21</v>
      </c>
    </row>
    <row r="459" spans="1:8">
      <c r="A459" s="701">
        <v>0</v>
      </c>
      <c r="B459" s="759">
        <v>7</v>
      </c>
      <c r="C459" s="759">
        <v>7.5</v>
      </c>
      <c r="D459" s="759">
        <v>2.5</v>
      </c>
      <c r="E459" s="701">
        <v>1.35</v>
      </c>
      <c r="F459" s="759">
        <v>4.5999999999999996</v>
      </c>
      <c r="H459" s="759">
        <f t="shared" si="7"/>
        <v>6.21</v>
      </c>
    </row>
    <row r="460" spans="1:8">
      <c r="A460" s="701">
        <v>0</v>
      </c>
      <c r="B460" s="759">
        <v>7</v>
      </c>
      <c r="C460" s="759">
        <v>8</v>
      </c>
      <c r="D460" s="759">
        <v>2.5</v>
      </c>
      <c r="E460" s="701">
        <v>1.35</v>
      </c>
      <c r="F460" s="759">
        <v>4.5999999999999996</v>
      </c>
      <c r="H460" s="759">
        <f t="shared" si="7"/>
        <v>6.21</v>
      </c>
    </row>
    <row r="461" spans="1:8">
      <c r="A461" s="701">
        <v>0</v>
      </c>
      <c r="B461" s="759">
        <v>7.5</v>
      </c>
      <c r="C461" s="759">
        <v>3</v>
      </c>
      <c r="D461" s="759">
        <v>2.5</v>
      </c>
      <c r="E461" s="701">
        <v>1.35</v>
      </c>
      <c r="F461" s="759">
        <v>4.93</v>
      </c>
      <c r="H461" s="759">
        <f t="shared" si="7"/>
        <v>6.6555</v>
      </c>
    </row>
    <row r="462" spans="1:8">
      <c r="A462" s="701">
        <v>0</v>
      </c>
      <c r="B462" s="759">
        <v>7.5</v>
      </c>
      <c r="C462" s="759">
        <v>3.25</v>
      </c>
      <c r="D462" s="759">
        <v>2.5</v>
      </c>
      <c r="E462" s="701">
        <v>1.35</v>
      </c>
      <c r="F462" s="759">
        <v>4.93</v>
      </c>
      <c r="H462" s="759">
        <f t="shared" si="7"/>
        <v>6.6555</v>
      </c>
    </row>
    <row r="463" spans="1:8">
      <c r="A463" s="701">
        <v>0</v>
      </c>
      <c r="B463" s="759">
        <v>7.5</v>
      </c>
      <c r="C463" s="759">
        <v>3.5</v>
      </c>
      <c r="D463" s="759">
        <v>2.5</v>
      </c>
      <c r="E463" s="701">
        <v>1.35</v>
      </c>
      <c r="F463" s="759">
        <v>4.93</v>
      </c>
      <c r="H463" s="759">
        <f t="shared" si="7"/>
        <v>6.6555</v>
      </c>
    </row>
    <row r="464" spans="1:8">
      <c r="A464" s="701">
        <v>0</v>
      </c>
      <c r="B464" s="759">
        <v>7.5</v>
      </c>
      <c r="C464" s="759">
        <v>3.75</v>
      </c>
      <c r="D464" s="759">
        <v>2.5</v>
      </c>
      <c r="E464" s="701">
        <v>1.35</v>
      </c>
      <c r="F464" s="759">
        <v>4.93</v>
      </c>
      <c r="H464" s="759">
        <f t="shared" si="7"/>
        <v>6.6555</v>
      </c>
    </row>
    <row r="465" spans="1:8">
      <c r="A465" s="701">
        <v>0</v>
      </c>
      <c r="B465" s="759">
        <v>7.5</v>
      </c>
      <c r="C465" s="759">
        <v>4</v>
      </c>
      <c r="D465" s="759">
        <v>2.5</v>
      </c>
      <c r="E465" s="701">
        <v>1.35</v>
      </c>
      <c r="F465" s="759">
        <v>4.93</v>
      </c>
      <c r="H465" s="759">
        <f t="shared" si="7"/>
        <v>6.6555</v>
      </c>
    </row>
    <row r="466" spans="1:8">
      <c r="A466" s="701">
        <v>0</v>
      </c>
      <c r="B466" s="759">
        <v>7.5</v>
      </c>
      <c r="C466" s="759">
        <v>4.25</v>
      </c>
      <c r="D466" s="759">
        <v>2.5</v>
      </c>
      <c r="E466" s="701">
        <v>1.35</v>
      </c>
      <c r="F466" s="759">
        <v>4.93</v>
      </c>
      <c r="H466" s="759">
        <f t="shared" si="7"/>
        <v>6.6555</v>
      </c>
    </row>
    <row r="467" spans="1:8">
      <c r="A467" s="701">
        <v>0</v>
      </c>
      <c r="B467" s="759">
        <v>7.5</v>
      </c>
      <c r="C467" s="759">
        <v>4.5</v>
      </c>
      <c r="D467" s="759">
        <v>2.5</v>
      </c>
      <c r="E467" s="701">
        <v>1.35</v>
      </c>
      <c r="F467" s="759">
        <v>4.93</v>
      </c>
      <c r="H467" s="759">
        <f t="shared" si="7"/>
        <v>6.6555</v>
      </c>
    </row>
    <row r="468" spans="1:8">
      <c r="A468" s="701">
        <v>0</v>
      </c>
      <c r="B468" s="759">
        <v>7.5</v>
      </c>
      <c r="C468" s="759">
        <v>4.75</v>
      </c>
      <c r="D468" s="759">
        <v>2.5</v>
      </c>
      <c r="E468" s="701">
        <v>1.35</v>
      </c>
      <c r="F468" s="759">
        <v>4.93</v>
      </c>
      <c r="H468" s="759">
        <f t="shared" si="7"/>
        <v>6.6555</v>
      </c>
    </row>
    <row r="469" spans="1:8">
      <c r="A469" s="701">
        <v>0</v>
      </c>
      <c r="B469" s="759">
        <v>7.5</v>
      </c>
      <c r="C469" s="759">
        <v>5</v>
      </c>
      <c r="D469" s="759">
        <v>2.5</v>
      </c>
      <c r="E469" s="701">
        <v>1.35</v>
      </c>
      <c r="F469" s="759">
        <v>4.93</v>
      </c>
      <c r="H469" s="759">
        <f t="shared" si="7"/>
        <v>6.6555</v>
      </c>
    </row>
    <row r="470" spans="1:8">
      <c r="A470" s="701">
        <v>0</v>
      </c>
      <c r="B470" s="759">
        <v>7.5</v>
      </c>
      <c r="C470" s="759">
        <v>5.25</v>
      </c>
      <c r="D470" s="759">
        <v>2.5</v>
      </c>
      <c r="E470" s="701">
        <v>1.35</v>
      </c>
      <c r="F470" s="759">
        <v>4.93</v>
      </c>
      <c r="H470" s="759">
        <f t="shared" si="7"/>
        <v>6.6555</v>
      </c>
    </row>
    <row r="471" spans="1:8">
      <c r="A471" s="701">
        <v>0</v>
      </c>
      <c r="B471" s="759">
        <v>7.5</v>
      </c>
      <c r="C471" s="759">
        <v>5.5</v>
      </c>
      <c r="D471" s="759">
        <v>2.5</v>
      </c>
      <c r="E471" s="701">
        <v>1.35</v>
      </c>
      <c r="F471" s="759">
        <v>4.93</v>
      </c>
      <c r="H471" s="759">
        <f t="shared" si="7"/>
        <v>6.6555</v>
      </c>
    </row>
    <row r="472" spans="1:8">
      <c r="A472" s="701">
        <v>0</v>
      </c>
      <c r="B472" s="759">
        <v>7.5</v>
      </c>
      <c r="C472" s="759">
        <v>5.75</v>
      </c>
      <c r="D472" s="759">
        <v>2.5</v>
      </c>
      <c r="E472" s="701">
        <v>1.35</v>
      </c>
      <c r="F472" s="759">
        <v>4.93</v>
      </c>
      <c r="H472" s="759">
        <f t="shared" si="7"/>
        <v>6.6555</v>
      </c>
    </row>
    <row r="473" spans="1:8">
      <c r="A473" s="701">
        <v>0</v>
      </c>
      <c r="B473" s="759">
        <v>7.5</v>
      </c>
      <c r="C473" s="759">
        <v>6</v>
      </c>
      <c r="D473" s="759">
        <v>2.5</v>
      </c>
      <c r="E473" s="701">
        <v>1.35</v>
      </c>
      <c r="F473" s="759">
        <v>4.93</v>
      </c>
      <c r="H473" s="759">
        <f t="shared" si="7"/>
        <v>6.6555</v>
      </c>
    </row>
    <row r="474" spans="1:8">
      <c r="A474" s="701">
        <v>0</v>
      </c>
      <c r="B474" s="759">
        <v>7.5</v>
      </c>
      <c r="C474" s="759">
        <v>6.25</v>
      </c>
      <c r="D474" s="759">
        <v>2.5</v>
      </c>
      <c r="E474" s="701">
        <v>1.35</v>
      </c>
      <c r="F474" s="759">
        <v>4.93</v>
      </c>
      <c r="H474" s="759">
        <f t="shared" si="7"/>
        <v>6.6555</v>
      </c>
    </row>
    <row r="475" spans="1:8">
      <c r="A475" s="701">
        <v>0</v>
      </c>
      <c r="B475" s="759">
        <v>7.5</v>
      </c>
      <c r="C475" s="759">
        <v>6.5</v>
      </c>
      <c r="D475" s="759">
        <v>2.5</v>
      </c>
      <c r="E475" s="701">
        <v>1.35</v>
      </c>
      <c r="F475" s="759">
        <v>4.93</v>
      </c>
      <c r="H475" s="759">
        <f t="shared" si="7"/>
        <v>6.6555</v>
      </c>
    </row>
    <row r="476" spans="1:8">
      <c r="A476" s="701">
        <v>0</v>
      </c>
      <c r="B476" s="759">
        <v>7.5</v>
      </c>
      <c r="C476" s="759">
        <v>6.75</v>
      </c>
      <c r="D476" s="759">
        <v>2.5</v>
      </c>
      <c r="E476" s="701">
        <v>1.35</v>
      </c>
      <c r="F476" s="759">
        <v>4.93</v>
      </c>
      <c r="H476" s="759">
        <f t="shared" si="7"/>
        <v>6.6555</v>
      </c>
    </row>
    <row r="477" spans="1:8">
      <c r="A477" s="701">
        <v>0</v>
      </c>
      <c r="B477" s="759">
        <v>7.5</v>
      </c>
      <c r="C477" s="759">
        <v>7</v>
      </c>
      <c r="D477" s="759">
        <v>2.5</v>
      </c>
      <c r="E477" s="701">
        <v>1.35</v>
      </c>
      <c r="F477" s="759">
        <v>4.93</v>
      </c>
      <c r="H477" s="759">
        <f t="shared" si="7"/>
        <v>6.6555</v>
      </c>
    </row>
    <row r="478" spans="1:8">
      <c r="A478" s="701">
        <v>0</v>
      </c>
      <c r="B478" s="759">
        <v>7.5</v>
      </c>
      <c r="C478" s="759">
        <v>7.5</v>
      </c>
      <c r="D478" s="759">
        <v>2.5</v>
      </c>
      <c r="E478" s="701">
        <v>1.35</v>
      </c>
      <c r="F478" s="759">
        <v>4.93</v>
      </c>
      <c r="H478" s="759">
        <f t="shared" si="7"/>
        <v>6.6555</v>
      </c>
    </row>
    <row r="479" spans="1:8">
      <c r="A479" s="701">
        <v>0</v>
      </c>
      <c r="B479" s="759">
        <v>7.5</v>
      </c>
      <c r="C479" s="759">
        <v>8</v>
      </c>
      <c r="D479" s="759">
        <v>2.5</v>
      </c>
      <c r="E479" s="701">
        <v>1.35</v>
      </c>
      <c r="F479" s="759">
        <v>4.93</v>
      </c>
      <c r="H479" s="759">
        <f t="shared" si="7"/>
        <v>6.6555</v>
      </c>
    </row>
    <row r="480" spans="1:8">
      <c r="A480" s="701">
        <v>0</v>
      </c>
      <c r="B480" s="759">
        <v>8</v>
      </c>
      <c r="C480" s="759">
        <v>3</v>
      </c>
      <c r="D480" s="759">
        <v>2.5</v>
      </c>
      <c r="E480" s="701">
        <v>1.35</v>
      </c>
      <c r="F480" s="759">
        <v>5.26</v>
      </c>
      <c r="H480" s="759">
        <f t="shared" si="7"/>
        <v>7.101</v>
      </c>
    </row>
    <row r="481" spans="1:8">
      <c r="A481" s="701">
        <v>0</v>
      </c>
      <c r="B481" s="759">
        <v>8</v>
      </c>
      <c r="C481" s="759">
        <v>3.25</v>
      </c>
      <c r="D481" s="759">
        <v>2.5</v>
      </c>
      <c r="E481" s="701">
        <v>1.35</v>
      </c>
      <c r="F481" s="759">
        <v>5.26</v>
      </c>
      <c r="H481" s="759">
        <f t="shared" si="7"/>
        <v>7.101</v>
      </c>
    </row>
    <row r="482" spans="1:8">
      <c r="A482" s="701">
        <v>0</v>
      </c>
      <c r="B482" s="759">
        <v>8</v>
      </c>
      <c r="C482" s="759">
        <v>3.5</v>
      </c>
      <c r="D482" s="759">
        <v>2.5</v>
      </c>
      <c r="E482" s="701">
        <v>1.35</v>
      </c>
      <c r="F482" s="759">
        <v>5.26</v>
      </c>
      <c r="H482" s="759">
        <f t="shared" si="7"/>
        <v>7.101</v>
      </c>
    </row>
    <row r="483" spans="1:8">
      <c r="A483" s="701">
        <v>0</v>
      </c>
      <c r="B483" s="759">
        <v>8</v>
      </c>
      <c r="C483" s="759">
        <v>3.75</v>
      </c>
      <c r="D483" s="759">
        <v>2.5</v>
      </c>
      <c r="E483" s="701">
        <v>1.35</v>
      </c>
      <c r="F483" s="759">
        <v>5.26</v>
      </c>
      <c r="H483" s="759">
        <f t="shared" si="7"/>
        <v>7.101</v>
      </c>
    </row>
    <row r="484" spans="1:8">
      <c r="A484" s="701">
        <v>0</v>
      </c>
      <c r="B484" s="759">
        <v>8</v>
      </c>
      <c r="C484" s="759">
        <v>4</v>
      </c>
      <c r="D484" s="759">
        <v>2.5</v>
      </c>
      <c r="E484" s="701">
        <v>1.35</v>
      </c>
      <c r="F484" s="759">
        <v>5.26</v>
      </c>
      <c r="H484" s="759">
        <f t="shared" si="7"/>
        <v>7.101</v>
      </c>
    </row>
    <row r="485" spans="1:8">
      <c r="A485" s="701">
        <v>0</v>
      </c>
      <c r="B485" s="759">
        <v>8</v>
      </c>
      <c r="C485" s="759">
        <v>4.25</v>
      </c>
      <c r="D485" s="759">
        <v>2.5</v>
      </c>
      <c r="E485" s="701">
        <v>1.35</v>
      </c>
      <c r="F485" s="759">
        <v>5.26</v>
      </c>
      <c r="H485" s="759">
        <f t="shared" si="7"/>
        <v>7.101</v>
      </c>
    </row>
    <row r="486" spans="1:8">
      <c r="A486" s="701">
        <v>0</v>
      </c>
      <c r="B486" s="759">
        <v>8</v>
      </c>
      <c r="C486" s="759">
        <v>4.5</v>
      </c>
      <c r="D486" s="759">
        <v>2.5</v>
      </c>
      <c r="E486" s="701">
        <v>1.35</v>
      </c>
      <c r="F486" s="759">
        <v>5.26</v>
      </c>
      <c r="H486" s="759">
        <f t="shared" si="7"/>
        <v>7.101</v>
      </c>
    </row>
    <row r="487" spans="1:8">
      <c r="A487" s="701">
        <v>0</v>
      </c>
      <c r="B487" s="759">
        <v>8</v>
      </c>
      <c r="C487" s="759">
        <v>4.75</v>
      </c>
      <c r="D487" s="759">
        <v>2.5</v>
      </c>
      <c r="E487" s="701">
        <v>1.35</v>
      </c>
      <c r="F487" s="759">
        <v>5.26</v>
      </c>
      <c r="H487" s="759">
        <f t="shared" si="7"/>
        <v>7.101</v>
      </c>
    </row>
    <row r="488" spans="1:8">
      <c r="A488" s="701">
        <v>0</v>
      </c>
      <c r="B488" s="759">
        <v>8</v>
      </c>
      <c r="C488" s="759">
        <v>5</v>
      </c>
      <c r="D488" s="759">
        <v>2.5</v>
      </c>
      <c r="E488" s="701">
        <v>1.35</v>
      </c>
      <c r="F488" s="759">
        <v>5.26</v>
      </c>
      <c r="H488" s="759">
        <f t="shared" si="7"/>
        <v>7.101</v>
      </c>
    </row>
    <row r="489" spans="1:8">
      <c r="A489" s="701">
        <v>0</v>
      </c>
      <c r="B489" s="759">
        <v>8</v>
      </c>
      <c r="C489" s="759">
        <v>5.25</v>
      </c>
      <c r="D489" s="759">
        <v>2.5</v>
      </c>
      <c r="E489" s="701">
        <v>1.35</v>
      </c>
      <c r="F489" s="759">
        <v>5.26</v>
      </c>
      <c r="H489" s="759">
        <f t="shared" si="7"/>
        <v>7.101</v>
      </c>
    </row>
    <row r="490" spans="1:8">
      <c r="A490" s="701">
        <v>0</v>
      </c>
      <c r="B490" s="759">
        <v>8</v>
      </c>
      <c r="C490" s="759">
        <v>5.5</v>
      </c>
      <c r="D490" s="759">
        <v>2.5</v>
      </c>
      <c r="E490" s="701">
        <v>1.35</v>
      </c>
      <c r="F490" s="759">
        <v>5.26</v>
      </c>
      <c r="H490" s="759">
        <f t="shared" si="7"/>
        <v>7.101</v>
      </c>
    </row>
    <row r="491" spans="1:8">
      <c r="A491" s="701">
        <v>0</v>
      </c>
      <c r="B491" s="759">
        <v>8</v>
      </c>
      <c r="C491" s="759">
        <v>5.75</v>
      </c>
      <c r="D491" s="759">
        <v>2.5</v>
      </c>
      <c r="E491" s="701">
        <v>1.35</v>
      </c>
      <c r="F491" s="759">
        <v>5.26</v>
      </c>
      <c r="H491" s="759">
        <f t="shared" si="7"/>
        <v>7.101</v>
      </c>
    </row>
    <row r="492" spans="1:8">
      <c r="A492" s="701">
        <v>0</v>
      </c>
      <c r="B492" s="759">
        <v>8</v>
      </c>
      <c r="C492" s="759">
        <v>6</v>
      </c>
      <c r="D492" s="759">
        <v>2.5</v>
      </c>
      <c r="E492" s="701">
        <v>1.35</v>
      </c>
      <c r="F492" s="759">
        <v>5.26</v>
      </c>
      <c r="H492" s="759">
        <f t="shared" si="7"/>
        <v>7.101</v>
      </c>
    </row>
    <row r="493" spans="1:8">
      <c r="A493" s="701">
        <v>0</v>
      </c>
      <c r="B493" s="759">
        <v>8</v>
      </c>
      <c r="C493" s="759">
        <v>6.25</v>
      </c>
      <c r="D493" s="759">
        <v>2.5</v>
      </c>
      <c r="E493" s="701">
        <v>1.35</v>
      </c>
      <c r="F493" s="759">
        <v>5.26</v>
      </c>
      <c r="H493" s="759">
        <f t="shared" si="7"/>
        <v>7.101</v>
      </c>
    </row>
    <row r="494" spans="1:8">
      <c r="A494" s="701">
        <v>0</v>
      </c>
      <c r="B494" s="759">
        <v>8</v>
      </c>
      <c r="C494" s="759">
        <v>6.5</v>
      </c>
      <c r="D494" s="759">
        <v>2.5</v>
      </c>
      <c r="E494" s="701">
        <v>1.35</v>
      </c>
      <c r="F494" s="759">
        <v>5.26</v>
      </c>
      <c r="H494" s="759">
        <f t="shared" si="7"/>
        <v>7.101</v>
      </c>
    </row>
    <row r="495" spans="1:8">
      <c r="A495" s="701">
        <v>0</v>
      </c>
      <c r="B495" s="759">
        <v>8</v>
      </c>
      <c r="C495" s="759">
        <v>6.75</v>
      </c>
      <c r="D495" s="759">
        <v>2.5</v>
      </c>
      <c r="E495" s="701">
        <v>1.35</v>
      </c>
      <c r="F495" s="759">
        <v>5.26</v>
      </c>
      <c r="H495" s="759">
        <f t="shared" si="7"/>
        <v>7.101</v>
      </c>
    </row>
    <row r="496" spans="1:8">
      <c r="A496" s="701">
        <v>0</v>
      </c>
      <c r="B496" s="759">
        <v>8</v>
      </c>
      <c r="C496" s="759">
        <v>7</v>
      </c>
      <c r="D496" s="759">
        <v>2.5</v>
      </c>
      <c r="E496" s="701">
        <v>1.35</v>
      </c>
      <c r="F496" s="759">
        <v>5.26</v>
      </c>
      <c r="H496" s="759">
        <f t="shared" si="7"/>
        <v>7.101</v>
      </c>
    </row>
    <row r="497" spans="1:8">
      <c r="A497" s="701">
        <v>0</v>
      </c>
      <c r="B497" s="759">
        <v>8</v>
      </c>
      <c r="C497" s="759">
        <v>7.5</v>
      </c>
      <c r="D497" s="759">
        <v>2.5</v>
      </c>
      <c r="E497" s="701">
        <v>1.35</v>
      </c>
      <c r="F497" s="759">
        <v>5.26</v>
      </c>
      <c r="H497" s="759">
        <f t="shared" si="7"/>
        <v>7.101</v>
      </c>
    </row>
    <row r="498" spans="1:8">
      <c r="A498" s="701">
        <v>0</v>
      </c>
      <c r="B498" s="759">
        <v>8</v>
      </c>
      <c r="C498" s="759">
        <v>8</v>
      </c>
      <c r="D498" s="759">
        <v>2.5</v>
      </c>
      <c r="E498" s="701">
        <v>1.35</v>
      </c>
      <c r="F498" s="759">
        <v>5.26</v>
      </c>
      <c r="H498" s="759">
        <f t="shared" si="7"/>
        <v>7.101</v>
      </c>
    </row>
    <row r="500" spans="1:8">
      <c r="A500" s="701">
        <v>0</v>
      </c>
      <c r="B500" s="759">
        <v>2</v>
      </c>
      <c r="C500" s="759">
        <v>3</v>
      </c>
      <c r="D500" s="759">
        <v>2.6</v>
      </c>
      <c r="E500" s="701">
        <v>1.45</v>
      </c>
      <c r="F500" s="759">
        <v>1.31</v>
      </c>
      <c r="H500" s="759">
        <f t="shared" ref="H500:H563" si="8">F500*E500</f>
        <v>1.8995</v>
      </c>
    </row>
    <row r="501" spans="1:8">
      <c r="A501" s="701">
        <v>0</v>
      </c>
      <c r="B501" s="759">
        <v>2</v>
      </c>
      <c r="C501" s="759">
        <v>3.25</v>
      </c>
      <c r="D501" s="759">
        <v>2.6</v>
      </c>
      <c r="E501" s="701">
        <v>1.45</v>
      </c>
      <c r="F501" s="701">
        <v>1.31</v>
      </c>
      <c r="H501" s="759">
        <f t="shared" si="8"/>
        <v>1.8995</v>
      </c>
    </row>
    <row r="502" spans="1:8">
      <c r="A502" s="701">
        <v>0</v>
      </c>
      <c r="B502" s="759">
        <v>2</v>
      </c>
      <c r="C502" s="759">
        <v>3.5</v>
      </c>
      <c r="D502" s="759">
        <v>2.6</v>
      </c>
      <c r="E502" s="701">
        <v>1.45</v>
      </c>
      <c r="F502" s="701">
        <v>1.31</v>
      </c>
      <c r="H502" s="759">
        <f t="shared" si="8"/>
        <v>1.8995</v>
      </c>
    </row>
    <row r="503" spans="1:8">
      <c r="A503" s="701">
        <v>0</v>
      </c>
      <c r="B503" s="759">
        <v>2</v>
      </c>
      <c r="C503" s="759">
        <v>3.75</v>
      </c>
      <c r="D503" s="759">
        <v>2.6</v>
      </c>
      <c r="E503" s="701">
        <v>1.45</v>
      </c>
      <c r="F503" s="701">
        <v>1.31</v>
      </c>
      <c r="H503" s="759">
        <f t="shared" si="8"/>
        <v>1.8995</v>
      </c>
    </row>
    <row r="504" spans="1:8">
      <c r="A504" s="701">
        <v>0</v>
      </c>
      <c r="B504" s="759">
        <v>2</v>
      </c>
      <c r="C504" s="759">
        <v>4</v>
      </c>
      <c r="D504" s="759">
        <v>2.6</v>
      </c>
      <c r="E504" s="701">
        <v>1.45</v>
      </c>
      <c r="F504" s="701">
        <v>1.31</v>
      </c>
      <c r="H504" s="759">
        <f t="shared" si="8"/>
        <v>1.8995</v>
      </c>
    </row>
    <row r="505" spans="1:8">
      <c r="A505" s="701">
        <v>0</v>
      </c>
      <c r="B505" s="759">
        <v>2</v>
      </c>
      <c r="C505" s="759">
        <v>4.25</v>
      </c>
      <c r="D505" s="759">
        <v>2.6</v>
      </c>
      <c r="E505" s="701">
        <v>1.45</v>
      </c>
      <c r="F505" s="701">
        <v>1.31</v>
      </c>
      <c r="H505" s="759">
        <f t="shared" si="8"/>
        <v>1.8995</v>
      </c>
    </row>
    <row r="506" spans="1:8">
      <c r="A506" s="701">
        <v>0</v>
      </c>
      <c r="B506" s="759">
        <v>2</v>
      </c>
      <c r="C506" s="759">
        <v>4.5</v>
      </c>
      <c r="D506" s="759">
        <v>2.6</v>
      </c>
      <c r="E506" s="701">
        <v>1.45</v>
      </c>
      <c r="F506" s="701">
        <v>1.31</v>
      </c>
      <c r="H506" s="759">
        <f t="shared" si="8"/>
        <v>1.8995</v>
      </c>
    </row>
    <row r="507" spans="1:8">
      <c r="A507" s="701">
        <v>0</v>
      </c>
      <c r="B507" s="759">
        <v>2</v>
      </c>
      <c r="C507" s="759">
        <v>4.75</v>
      </c>
      <c r="D507" s="759">
        <v>2.6</v>
      </c>
      <c r="E507" s="701">
        <v>1.45</v>
      </c>
      <c r="F507" s="701">
        <v>1.31</v>
      </c>
      <c r="H507" s="759">
        <f t="shared" si="8"/>
        <v>1.8995</v>
      </c>
    </row>
    <row r="508" spans="1:8">
      <c r="A508" s="701">
        <v>0</v>
      </c>
      <c r="B508" s="759">
        <v>2</v>
      </c>
      <c r="C508" s="759">
        <v>5</v>
      </c>
      <c r="D508" s="759">
        <v>2.6</v>
      </c>
      <c r="E508" s="701">
        <v>1.45</v>
      </c>
      <c r="F508" s="701">
        <v>1.31</v>
      </c>
      <c r="H508" s="759">
        <f t="shared" si="8"/>
        <v>1.8995</v>
      </c>
    </row>
    <row r="509" spans="1:8">
      <c r="A509" s="701">
        <v>0</v>
      </c>
      <c r="B509" s="759">
        <v>2</v>
      </c>
      <c r="C509" s="759">
        <v>5.25</v>
      </c>
      <c r="D509" s="759">
        <v>2.6</v>
      </c>
      <c r="E509" s="701">
        <v>1.45</v>
      </c>
      <c r="F509" s="701">
        <v>1.31</v>
      </c>
      <c r="H509" s="759">
        <f t="shared" si="8"/>
        <v>1.8995</v>
      </c>
    </row>
    <row r="510" spans="1:8">
      <c r="A510" s="701">
        <v>0</v>
      </c>
      <c r="B510" s="759">
        <v>2</v>
      </c>
      <c r="C510" s="759">
        <v>5.5</v>
      </c>
      <c r="D510" s="759">
        <v>2.6</v>
      </c>
      <c r="E510" s="701">
        <v>1.45</v>
      </c>
      <c r="F510" s="701">
        <v>1.31</v>
      </c>
      <c r="H510" s="759">
        <f t="shared" si="8"/>
        <v>1.8995</v>
      </c>
    </row>
    <row r="511" spans="1:8">
      <c r="A511" s="701">
        <v>0</v>
      </c>
      <c r="B511" s="759">
        <v>2</v>
      </c>
      <c r="C511" s="759">
        <v>5.75</v>
      </c>
      <c r="D511" s="759">
        <v>2.6</v>
      </c>
      <c r="E511" s="701">
        <v>1.45</v>
      </c>
      <c r="F511" s="701">
        <v>1.31</v>
      </c>
      <c r="H511" s="759">
        <f t="shared" si="8"/>
        <v>1.8995</v>
      </c>
    </row>
    <row r="512" spans="1:8">
      <c r="A512" s="701">
        <v>0</v>
      </c>
      <c r="B512" s="759">
        <v>2</v>
      </c>
      <c r="C512" s="759">
        <v>6</v>
      </c>
      <c r="D512" s="759">
        <v>2.6</v>
      </c>
      <c r="E512" s="701">
        <v>1.45</v>
      </c>
      <c r="F512" s="701">
        <v>1.31</v>
      </c>
      <c r="H512" s="759">
        <f t="shared" si="8"/>
        <v>1.8995</v>
      </c>
    </row>
    <row r="513" spans="1:8">
      <c r="A513" s="701">
        <v>0</v>
      </c>
      <c r="B513" s="759">
        <v>2</v>
      </c>
      <c r="C513" s="759">
        <v>6.25</v>
      </c>
      <c r="D513" s="759">
        <v>2.6</v>
      </c>
      <c r="E513" s="701">
        <v>1.45</v>
      </c>
      <c r="F513" s="701">
        <v>1.31</v>
      </c>
      <c r="H513" s="759">
        <f t="shared" si="8"/>
        <v>1.8995</v>
      </c>
    </row>
    <row r="514" spans="1:8">
      <c r="A514" s="701">
        <v>0</v>
      </c>
      <c r="B514" s="759">
        <v>2</v>
      </c>
      <c r="C514" s="759">
        <v>6.5</v>
      </c>
      <c r="D514" s="759">
        <v>2.6</v>
      </c>
      <c r="E514" s="701">
        <v>1.45</v>
      </c>
      <c r="F514" s="701">
        <v>1.31</v>
      </c>
      <c r="H514" s="759">
        <f t="shared" si="8"/>
        <v>1.8995</v>
      </c>
    </row>
    <row r="515" spans="1:8">
      <c r="A515" s="701">
        <v>0</v>
      </c>
      <c r="B515" s="759">
        <v>2</v>
      </c>
      <c r="C515" s="759">
        <v>6.75</v>
      </c>
      <c r="D515" s="759">
        <v>2.6</v>
      </c>
      <c r="E515" s="701">
        <v>1.45</v>
      </c>
      <c r="F515" s="701">
        <v>1.31</v>
      </c>
      <c r="H515" s="759">
        <f t="shared" si="8"/>
        <v>1.8995</v>
      </c>
    </row>
    <row r="516" spans="1:8">
      <c r="A516" s="701">
        <v>0</v>
      </c>
      <c r="B516" s="759">
        <v>2</v>
      </c>
      <c r="C516" s="759">
        <v>7</v>
      </c>
      <c r="D516" s="759">
        <v>2.6</v>
      </c>
      <c r="E516" s="701">
        <v>1.45</v>
      </c>
      <c r="F516" s="701">
        <v>1.33</v>
      </c>
      <c r="H516" s="759">
        <f t="shared" si="8"/>
        <v>1.9285000000000001</v>
      </c>
    </row>
    <row r="517" spans="1:8">
      <c r="A517" s="701">
        <v>0</v>
      </c>
      <c r="B517" s="759">
        <v>2</v>
      </c>
      <c r="C517" s="759">
        <v>7.5</v>
      </c>
      <c r="D517" s="759">
        <v>2.6</v>
      </c>
      <c r="E517" s="701">
        <v>1.45</v>
      </c>
      <c r="F517" s="701">
        <v>1.46</v>
      </c>
      <c r="H517" s="759">
        <f t="shared" si="8"/>
        <v>2.117</v>
      </c>
    </row>
    <row r="518" spans="1:8">
      <c r="A518" s="701">
        <v>0</v>
      </c>
      <c r="B518" s="759">
        <v>2</v>
      </c>
      <c r="C518" s="759">
        <v>8</v>
      </c>
      <c r="D518" s="759">
        <v>2.6</v>
      </c>
      <c r="E518" s="701">
        <v>1.45</v>
      </c>
      <c r="F518" s="701">
        <v>1.59</v>
      </c>
      <c r="H518" s="759">
        <f t="shared" si="8"/>
        <v>2.3054999999999999</v>
      </c>
    </row>
    <row r="519" spans="1:8">
      <c r="A519" s="701">
        <v>0</v>
      </c>
      <c r="B519" s="759">
        <v>2.5</v>
      </c>
      <c r="C519" s="759">
        <v>3</v>
      </c>
      <c r="D519" s="759">
        <v>2.6</v>
      </c>
      <c r="E519" s="701">
        <v>1.45</v>
      </c>
      <c r="F519" s="759">
        <v>1.64</v>
      </c>
      <c r="H519" s="759">
        <f t="shared" si="8"/>
        <v>2.3779999999999997</v>
      </c>
    </row>
    <row r="520" spans="1:8">
      <c r="A520" s="701">
        <v>0</v>
      </c>
      <c r="B520" s="759">
        <v>2.5</v>
      </c>
      <c r="C520" s="759">
        <v>3.25</v>
      </c>
      <c r="D520" s="759">
        <v>2.6</v>
      </c>
      <c r="E520" s="701">
        <v>1.45</v>
      </c>
      <c r="F520" s="701">
        <v>1.64</v>
      </c>
      <c r="H520" s="759">
        <f t="shared" si="8"/>
        <v>2.3779999999999997</v>
      </c>
    </row>
    <row r="521" spans="1:8">
      <c r="A521" s="701">
        <v>0</v>
      </c>
      <c r="B521" s="759">
        <v>2.5</v>
      </c>
      <c r="C521" s="759">
        <v>3.5</v>
      </c>
      <c r="D521" s="759">
        <v>2.6</v>
      </c>
      <c r="E521" s="701">
        <v>1.45</v>
      </c>
      <c r="F521" s="701">
        <v>1.64</v>
      </c>
      <c r="H521" s="759">
        <f t="shared" si="8"/>
        <v>2.3779999999999997</v>
      </c>
    </row>
    <row r="522" spans="1:8">
      <c r="A522" s="701">
        <v>0</v>
      </c>
      <c r="B522" s="759">
        <v>2.5</v>
      </c>
      <c r="C522" s="759">
        <v>3.75</v>
      </c>
      <c r="D522" s="759">
        <v>2.6</v>
      </c>
      <c r="E522" s="701">
        <v>1.45</v>
      </c>
      <c r="F522" s="701">
        <v>1.64</v>
      </c>
      <c r="H522" s="759">
        <f t="shared" si="8"/>
        <v>2.3779999999999997</v>
      </c>
    </row>
    <row r="523" spans="1:8">
      <c r="A523" s="701">
        <v>0</v>
      </c>
      <c r="B523" s="759">
        <v>2.5</v>
      </c>
      <c r="C523" s="759">
        <v>4</v>
      </c>
      <c r="D523" s="759">
        <v>2.6</v>
      </c>
      <c r="E523" s="701">
        <v>1.45</v>
      </c>
      <c r="F523" s="701">
        <v>1.64</v>
      </c>
      <c r="H523" s="759">
        <f t="shared" si="8"/>
        <v>2.3779999999999997</v>
      </c>
    </row>
    <row r="524" spans="1:8">
      <c r="A524" s="701">
        <v>0</v>
      </c>
      <c r="B524" s="759">
        <v>2.5</v>
      </c>
      <c r="C524" s="759">
        <v>4.25</v>
      </c>
      <c r="D524" s="759">
        <v>2.6</v>
      </c>
      <c r="E524" s="701">
        <v>1.45</v>
      </c>
      <c r="F524" s="701">
        <v>1.64</v>
      </c>
      <c r="H524" s="759">
        <f t="shared" si="8"/>
        <v>2.3779999999999997</v>
      </c>
    </row>
    <row r="525" spans="1:8">
      <c r="A525" s="701">
        <v>0</v>
      </c>
      <c r="B525" s="759">
        <v>2.5</v>
      </c>
      <c r="C525" s="759">
        <v>4.5</v>
      </c>
      <c r="D525" s="759">
        <v>2.6</v>
      </c>
      <c r="E525" s="701">
        <v>1.45</v>
      </c>
      <c r="F525" s="701">
        <v>1.64</v>
      </c>
      <c r="H525" s="759">
        <f t="shared" si="8"/>
        <v>2.3779999999999997</v>
      </c>
    </row>
    <row r="526" spans="1:8">
      <c r="A526" s="701">
        <v>0</v>
      </c>
      <c r="B526" s="759">
        <v>2.5</v>
      </c>
      <c r="C526" s="759">
        <v>4.75</v>
      </c>
      <c r="D526" s="759">
        <v>2.6</v>
      </c>
      <c r="E526" s="701">
        <v>1.45</v>
      </c>
      <c r="F526" s="701">
        <v>1.64</v>
      </c>
      <c r="H526" s="759">
        <f t="shared" si="8"/>
        <v>2.3779999999999997</v>
      </c>
    </row>
    <row r="527" spans="1:8">
      <c r="A527" s="701">
        <v>0</v>
      </c>
      <c r="B527" s="759">
        <v>2.5</v>
      </c>
      <c r="C527" s="759">
        <v>5</v>
      </c>
      <c r="D527" s="759">
        <v>2.6</v>
      </c>
      <c r="E527" s="701">
        <v>1.45</v>
      </c>
      <c r="F527" s="701">
        <v>1.64</v>
      </c>
      <c r="H527" s="759">
        <f t="shared" si="8"/>
        <v>2.3779999999999997</v>
      </c>
    </row>
    <row r="528" spans="1:8">
      <c r="A528" s="701">
        <v>0</v>
      </c>
      <c r="B528" s="759">
        <v>2.5</v>
      </c>
      <c r="C528" s="759">
        <v>5.25</v>
      </c>
      <c r="D528" s="759">
        <v>2.6</v>
      </c>
      <c r="E528" s="701">
        <v>1.45</v>
      </c>
      <c r="F528" s="701">
        <v>1.64</v>
      </c>
      <c r="H528" s="759">
        <f t="shared" si="8"/>
        <v>2.3779999999999997</v>
      </c>
    </row>
    <row r="529" spans="1:8">
      <c r="A529" s="701">
        <v>0</v>
      </c>
      <c r="B529" s="759">
        <v>2.5</v>
      </c>
      <c r="C529" s="759">
        <v>5.5</v>
      </c>
      <c r="D529" s="759">
        <v>2.6</v>
      </c>
      <c r="E529" s="701">
        <v>1.45</v>
      </c>
      <c r="F529" s="701">
        <v>1.64</v>
      </c>
      <c r="H529" s="759">
        <f t="shared" si="8"/>
        <v>2.3779999999999997</v>
      </c>
    </row>
    <row r="530" spans="1:8">
      <c r="A530" s="701">
        <v>0</v>
      </c>
      <c r="B530" s="759">
        <v>2.5</v>
      </c>
      <c r="C530" s="759">
        <v>5.75</v>
      </c>
      <c r="D530" s="759">
        <v>2.6</v>
      </c>
      <c r="E530" s="701">
        <v>1.45</v>
      </c>
      <c r="F530" s="701">
        <v>1.64</v>
      </c>
      <c r="H530" s="759">
        <f t="shared" si="8"/>
        <v>2.3779999999999997</v>
      </c>
    </row>
    <row r="531" spans="1:8">
      <c r="A531" s="701">
        <v>0</v>
      </c>
      <c r="B531" s="759">
        <v>2.5</v>
      </c>
      <c r="C531" s="759">
        <v>6</v>
      </c>
      <c r="D531" s="759">
        <v>2.6</v>
      </c>
      <c r="E531" s="701">
        <v>1.45</v>
      </c>
      <c r="F531" s="701">
        <v>1.64</v>
      </c>
      <c r="H531" s="759">
        <f t="shared" si="8"/>
        <v>2.3779999999999997</v>
      </c>
    </row>
    <row r="532" spans="1:8">
      <c r="A532" s="701">
        <v>0</v>
      </c>
      <c r="B532" s="759">
        <v>2.5</v>
      </c>
      <c r="C532" s="759">
        <v>6.25</v>
      </c>
      <c r="D532" s="759">
        <v>2.6</v>
      </c>
      <c r="E532" s="701">
        <v>1.45</v>
      </c>
      <c r="F532" s="701">
        <v>1.64</v>
      </c>
      <c r="H532" s="759">
        <f t="shared" si="8"/>
        <v>2.3779999999999997</v>
      </c>
    </row>
    <row r="533" spans="1:8">
      <c r="A533" s="701">
        <v>0</v>
      </c>
      <c r="B533" s="759">
        <v>2.5</v>
      </c>
      <c r="C533" s="759">
        <v>6.5</v>
      </c>
      <c r="D533" s="759">
        <v>2.6</v>
      </c>
      <c r="E533" s="701">
        <v>1.45</v>
      </c>
      <c r="F533" s="701">
        <v>1.64</v>
      </c>
      <c r="H533" s="759">
        <f t="shared" si="8"/>
        <v>2.3779999999999997</v>
      </c>
    </row>
    <row r="534" spans="1:8">
      <c r="A534" s="701">
        <v>0</v>
      </c>
      <c r="B534" s="759">
        <v>2.5</v>
      </c>
      <c r="C534" s="759">
        <v>6.75</v>
      </c>
      <c r="D534" s="759">
        <v>2.6</v>
      </c>
      <c r="E534" s="701">
        <v>1.45</v>
      </c>
      <c r="F534" s="701">
        <v>1.64</v>
      </c>
      <c r="H534" s="759">
        <f t="shared" si="8"/>
        <v>2.3779999999999997</v>
      </c>
    </row>
    <row r="535" spans="1:8">
      <c r="A535" s="701">
        <v>0</v>
      </c>
      <c r="B535" s="759">
        <v>2.5</v>
      </c>
      <c r="C535" s="759">
        <v>7</v>
      </c>
      <c r="D535" s="759">
        <v>2.6</v>
      </c>
      <c r="E535" s="701">
        <v>1.45</v>
      </c>
      <c r="F535" s="701">
        <v>1.64</v>
      </c>
      <c r="H535" s="759">
        <f t="shared" si="8"/>
        <v>2.3779999999999997</v>
      </c>
    </row>
    <row r="536" spans="1:8">
      <c r="A536" s="701">
        <v>0</v>
      </c>
      <c r="B536" s="759">
        <v>2.5</v>
      </c>
      <c r="C536" s="759">
        <v>7.5</v>
      </c>
      <c r="D536" s="759">
        <v>2.6</v>
      </c>
      <c r="E536" s="701">
        <v>1.45</v>
      </c>
      <c r="F536" s="701">
        <v>1.66</v>
      </c>
      <c r="H536" s="759">
        <f t="shared" si="8"/>
        <v>2.407</v>
      </c>
    </row>
    <row r="537" spans="1:8">
      <c r="A537" s="701">
        <v>0</v>
      </c>
      <c r="B537" s="759">
        <v>2.5</v>
      </c>
      <c r="C537" s="759">
        <v>8</v>
      </c>
      <c r="D537" s="759">
        <v>2.6</v>
      </c>
      <c r="E537" s="701">
        <v>1.45</v>
      </c>
      <c r="F537" s="701">
        <v>1.81</v>
      </c>
      <c r="H537" s="759">
        <f t="shared" si="8"/>
        <v>2.6244999999999998</v>
      </c>
    </row>
    <row r="538" spans="1:8">
      <c r="A538" s="701">
        <v>0</v>
      </c>
      <c r="B538" s="759">
        <v>3</v>
      </c>
      <c r="C538" s="759">
        <v>3</v>
      </c>
      <c r="D538" s="759">
        <v>2.6</v>
      </c>
      <c r="E538" s="701">
        <v>1.45</v>
      </c>
      <c r="F538" s="701">
        <v>1.97</v>
      </c>
      <c r="H538" s="759">
        <f t="shared" si="8"/>
        <v>2.8565</v>
      </c>
    </row>
    <row r="539" spans="1:8">
      <c r="A539" s="701">
        <v>0</v>
      </c>
      <c r="B539" s="759">
        <v>3</v>
      </c>
      <c r="C539" s="759">
        <v>3.25</v>
      </c>
      <c r="D539" s="759">
        <v>2.6</v>
      </c>
      <c r="E539" s="701">
        <v>1.45</v>
      </c>
      <c r="F539" s="701">
        <v>1.97</v>
      </c>
      <c r="H539" s="759">
        <f t="shared" si="8"/>
        <v>2.8565</v>
      </c>
    </row>
    <row r="540" spans="1:8">
      <c r="A540" s="701">
        <v>0</v>
      </c>
      <c r="B540" s="759">
        <v>3</v>
      </c>
      <c r="C540" s="759">
        <v>3.5</v>
      </c>
      <c r="D540" s="759">
        <v>2.6</v>
      </c>
      <c r="E540" s="701">
        <v>1.45</v>
      </c>
      <c r="F540" s="701">
        <v>1.97</v>
      </c>
      <c r="H540" s="759">
        <f t="shared" si="8"/>
        <v>2.8565</v>
      </c>
    </row>
    <row r="541" spans="1:8">
      <c r="A541" s="701">
        <v>0</v>
      </c>
      <c r="B541" s="759">
        <v>3</v>
      </c>
      <c r="C541" s="759">
        <v>3.75</v>
      </c>
      <c r="D541" s="759">
        <v>2.6</v>
      </c>
      <c r="E541" s="701">
        <v>1.45</v>
      </c>
      <c r="F541" s="701">
        <v>1.97</v>
      </c>
      <c r="H541" s="759">
        <f t="shared" si="8"/>
        <v>2.8565</v>
      </c>
    </row>
    <row r="542" spans="1:8">
      <c r="A542" s="701">
        <v>0</v>
      </c>
      <c r="B542" s="759">
        <v>3</v>
      </c>
      <c r="C542" s="759">
        <v>4</v>
      </c>
      <c r="D542" s="759">
        <v>2.6</v>
      </c>
      <c r="E542" s="701">
        <v>1.45</v>
      </c>
      <c r="F542" s="701">
        <v>1.97</v>
      </c>
      <c r="H542" s="759">
        <f t="shared" si="8"/>
        <v>2.8565</v>
      </c>
    </row>
    <row r="543" spans="1:8">
      <c r="A543" s="701">
        <v>0</v>
      </c>
      <c r="B543" s="759">
        <v>3</v>
      </c>
      <c r="C543" s="759">
        <v>4.25</v>
      </c>
      <c r="D543" s="759">
        <v>2.6</v>
      </c>
      <c r="E543" s="701">
        <v>1.45</v>
      </c>
      <c r="F543" s="701">
        <v>1.97</v>
      </c>
      <c r="H543" s="759">
        <f t="shared" si="8"/>
        <v>2.8565</v>
      </c>
    </row>
    <row r="544" spans="1:8">
      <c r="A544" s="701">
        <v>0</v>
      </c>
      <c r="B544" s="759">
        <v>3</v>
      </c>
      <c r="C544" s="759">
        <v>4.5</v>
      </c>
      <c r="D544" s="759">
        <v>2.6</v>
      </c>
      <c r="E544" s="701">
        <v>1.45</v>
      </c>
      <c r="F544" s="701">
        <v>1.97</v>
      </c>
      <c r="H544" s="759">
        <f t="shared" si="8"/>
        <v>2.8565</v>
      </c>
    </row>
    <row r="545" spans="1:8">
      <c r="A545" s="701">
        <v>0</v>
      </c>
      <c r="B545" s="759">
        <v>3</v>
      </c>
      <c r="C545" s="759">
        <v>4.75</v>
      </c>
      <c r="D545" s="759">
        <v>2.6</v>
      </c>
      <c r="E545" s="701">
        <v>1.45</v>
      </c>
      <c r="F545" s="701">
        <v>1.97</v>
      </c>
      <c r="H545" s="759">
        <f t="shared" si="8"/>
        <v>2.8565</v>
      </c>
    </row>
    <row r="546" spans="1:8">
      <c r="A546" s="701">
        <v>0</v>
      </c>
      <c r="B546" s="759">
        <v>3</v>
      </c>
      <c r="C546" s="759">
        <v>5</v>
      </c>
      <c r="D546" s="759">
        <v>2.6</v>
      </c>
      <c r="E546" s="701">
        <v>1.45</v>
      </c>
      <c r="F546" s="701">
        <v>1.97</v>
      </c>
      <c r="H546" s="759">
        <f t="shared" si="8"/>
        <v>2.8565</v>
      </c>
    </row>
    <row r="547" spans="1:8">
      <c r="A547" s="701">
        <v>0</v>
      </c>
      <c r="B547" s="759">
        <v>3</v>
      </c>
      <c r="C547" s="759">
        <v>5.25</v>
      </c>
      <c r="D547" s="759">
        <v>2.6</v>
      </c>
      <c r="E547" s="701">
        <v>1.45</v>
      </c>
      <c r="F547" s="701">
        <v>1.97</v>
      </c>
      <c r="H547" s="759">
        <f t="shared" si="8"/>
        <v>2.8565</v>
      </c>
    </row>
    <row r="548" spans="1:8">
      <c r="A548" s="701">
        <v>0</v>
      </c>
      <c r="B548" s="759">
        <v>3</v>
      </c>
      <c r="C548" s="759">
        <v>5.5</v>
      </c>
      <c r="D548" s="759">
        <v>2.6</v>
      </c>
      <c r="E548" s="701">
        <v>1.45</v>
      </c>
      <c r="F548" s="701">
        <v>1.97</v>
      </c>
      <c r="H548" s="759">
        <f t="shared" si="8"/>
        <v>2.8565</v>
      </c>
    </row>
    <row r="549" spans="1:8">
      <c r="A549" s="701">
        <v>0</v>
      </c>
      <c r="B549" s="759">
        <v>3</v>
      </c>
      <c r="C549" s="759">
        <v>5.75</v>
      </c>
      <c r="D549" s="759">
        <v>2.6</v>
      </c>
      <c r="E549" s="701">
        <v>1.45</v>
      </c>
      <c r="F549" s="701">
        <v>1.97</v>
      </c>
      <c r="H549" s="759">
        <f t="shared" si="8"/>
        <v>2.8565</v>
      </c>
    </row>
    <row r="550" spans="1:8">
      <c r="A550" s="701">
        <v>0</v>
      </c>
      <c r="B550" s="759">
        <v>3</v>
      </c>
      <c r="C550" s="759">
        <v>6</v>
      </c>
      <c r="D550" s="759">
        <v>2.6</v>
      </c>
      <c r="E550" s="701">
        <v>1.45</v>
      </c>
      <c r="F550" s="701">
        <v>1.97</v>
      </c>
      <c r="H550" s="759">
        <f t="shared" si="8"/>
        <v>2.8565</v>
      </c>
    </row>
    <row r="551" spans="1:8">
      <c r="A551" s="701">
        <v>0</v>
      </c>
      <c r="B551" s="759">
        <v>3</v>
      </c>
      <c r="C551" s="759">
        <v>6.25</v>
      </c>
      <c r="D551" s="759">
        <v>2.6</v>
      </c>
      <c r="E551" s="701">
        <v>1.45</v>
      </c>
      <c r="F551" s="701">
        <v>1.97</v>
      </c>
      <c r="H551" s="759">
        <f t="shared" si="8"/>
        <v>2.8565</v>
      </c>
    </row>
    <row r="552" spans="1:8">
      <c r="A552" s="701">
        <v>0</v>
      </c>
      <c r="B552" s="759">
        <v>3</v>
      </c>
      <c r="C552" s="759">
        <v>6.5</v>
      </c>
      <c r="D552" s="759">
        <v>2.6</v>
      </c>
      <c r="E552" s="701">
        <v>1.45</v>
      </c>
      <c r="F552" s="701">
        <v>1.97</v>
      </c>
      <c r="H552" s="759">
        <f t="shared" si="8"/>
        <v>2.8565</v>
      </c>
    </row>
    <row r="553" spans="1:8">
      <c r="A553" s="701">
        <v>0</v>
      </c>
      <c r="B553" s="759">
        <v>3</v>
      </c>
      <c r="C553" s="759">
        <v>6.75</v>
      </c>
      <c r="D553" s="759">
        <v>2.6</v>
      </c>
      <c r="E553" s="701">
        <v>1.45</v>
      </c>
      <c r="F553" s="701">
        <v>1.97</v>
      </c>
      <c r="H553" s="759">
        <f t="shared" si="8"/>
        <v>2.8565</v>
      </c>
    </row>
    <row r="554" spans="1:8">
      <c r="A554" s="701">
        <v>0</v>
      </c>
      <c r="B554" s="759">
        <v>3</v>
      </c>
      <c r="C554" s="759">
        <v>7</v>
      </c>
      <c r="D554" s="759">
        <v>2.6</v>
      </c>
      <c r="E554" s="701">
        <v>1.45</v>
      </c>
      <c r="F554" s="701">
        <v>1.97</v>
      </c>
      <c r="H554" s="759">
        <f t="shared" si="8"/>
        <v>2.8565</v>
      </c>
    </row>
    <row r="555" spans="1:8">
      <c r="A555" s="701">
        <v>0</v>
      </c>
      <c r="B555" s="759">
        <v>3</v>
      </c>
      <c r="C555" s="759">
        <v>7.5</v>
      </c>
      <c r="D555" s="759">
        <v>2.6</v>
      </c>
      <c r="E555" s="701">
        <v>1.45</v>
      </c>
      <c r="F555" s="701">
        <v>1.97</v>
      </c>
      <c r="H555" s="759">
        <f t="shared" si="8"/>
        <v>2.8565</v>
      </c>
    </row>
    <row r="556" spans="1:8">
      <c r="A556" s="701">
        <v>0</v>
      </c>
      <c r="B556" s="759">
        <v>3</v>
      </c>
      <c r="C556" s="759">
        <v>8</v>
      </c>
      <c r="D556" s="759">
        <v>2.6</v>
      </c>
      <c r="E556" s="701">
        <v>1.45</v>
      </c>
      <c r="F556" s="701">
        <v>2.0299999999999998</v>
      </c>
      <c r="H556" s="759">
        <f t="shared" si="8"/>
        <v>2.9434999999999998</v>
      </c>
    </row>
    <row r="557" spans="1:8">
      <c r="A557" s="701">
        <v>0</v>
      </c>
      <c r="B557" s="759">
        <v>3.5</v>
      </c>
      <c r="C557" s="759">
        <v>3</v>
      </c>
      <c r="D557" s="759">
        <v>2.6</v>
      </c>
      <c r="E557" s="701">
        <v>1.45</v>
      </c>
      <c r="F557" s="759">
        <v>2.2999999999999998</v>
      </c>
      <c r="H557" s="759">
        <f t="shared" si="8"/>
        <v>3.3349999999999995</v>
      </c>
    </row>
    <row r="558" spans="1:8">
      <c r="A558" s="701">
        <v>0</v>
      </c>
      <c r="B558" s="759">
        <v>3.5</v>
      </c>
      <c r="C558" s="759">
        <v>3.25</v>
      </c>
      <c r="D558" s="759">
        <v>2.6</v>
      </c>
      <c r="E558" s="701">
        <v>1.45</v>
      </c>
      <c r="F558" s="759">
        <v>2.2999999999999998</v>
      </c>
      <c r="H558" s="759">
        <f t="shared" si="8"/>
        <v>3.3349999999999995</v>
      </c>
    </row>
    <row r="559" spans="1:8">
      <c r="A559" s="701">
        <v>0</v>
      </c>
      <c r="B559" s="759">
        <v>3.5</v>
      </c>
      <c r="C559" s="759">
        <v>3.5</v>
      </c>
      <c r="D559" s="759">
        <v>2.6</v>
      </c>
      <c r="E559" s="701">
        <v>1.45</v>
      </c>
      <c r="F559" s="759">
        <v>2.2999999999999998</v>
      </c>
      <c r="H559" s="759">
        <f t="shared" si="8"/>
        <v>3.3349999999999995</v>
      </c>
    </row>
    <row r="560" spans="1:8">
      <c r="A560" s="701">
        <v>0</v>
      </c>
      <c r="B560" s="759">
        <v>3.5</v>
      </c>
      <c r="C560" s="759">
        <v>3.75</v>
      </c>
      <c r="D560" s="759">
        <v>2.6</v>
      </c>
      <c r="E560" s="701">
        <v>1.45</v>
      </c>
      <c r="F560" s="759">
        <v>2.2999999999999998</v>
      </c>
      <c r="H560" s="759">
        <f t="shared" si="8"/>
        <v>3.3349999999999995</v>
      </c>
    </row>
    <row r="561" spans="1:8">
      <c r="A561" s="701">
        <v>0</v>
      </c>
      <c r="B561" s="759">
        <v>3.5</v>
      </c>
      <c r="C561" s="759">
        <v>4</v>
      </c>
      <c r="D561" s="759">
        <v>2.6</v>
      </c>
      <c r="E561" s="701">
        <v>1.45</v>
      </c>
      <c r="F561" s="759">
        <v>2.2999999999999998</v>
      </c>
      <c r="H561" s="759">
        <f t="shared" si="8"/>
        <v>3.3349999999999995</v>
      </c>
    </row>
    <row r="562" spans="1:8">
      <c r="A562" s="701">
        <v>0</v>
      </c>
      <c r="B562" s="759">
        <v>3.5</v>
      </c>
      <c r="C562" s="759">
        <v>4.25</v>
      </c>
      <c r="D562" s="759">
        <v>2.6</v>
      </c>
      <c r="E562" s="701">
        <v>1.45</v>
      </c>
      <c r="F562" s="759">
        <v>2.2999999999999998</v>
      </c>
      <c r="H562" s="759">
        <f t="shared" si="8"/>
        <v>3.3349999999999995</v>
      </c>
    </row>
    <row r="563" spans="1:8">
      <c r="A563" s="701">
        <v>0</v>
      </c>
      <c r="B563" s="759">
        <v>3.5</v>
      </c>
      <c r="C563" s="759">
        <v>4.5</v>
      </c>
      <c r="D563" s="759">
        <v>2.6</v>
      </c>
      <c r="E563" s="701">
        <v>1.45</v>
      </c>
      <c r="F563" s="759">
        <v>2.2999999999999998</v>
      </c>
      <c r="H563" s="759">
        <f t="shared" si="8"/>
        <v>3.3349999999999995</v>
      </c>
    </row>
    <row r="564" spans="1:8">
      <c r="A564" s="701">
        <v>0</v>
      </c>
      <c r="B564" s="759">
        <v>3.5</v>
      </c>
      <c r="C564" s="759">
        <v>4.75</v>
      </c>
      <c r="D564" s="759">
        <v>2.6</v>
      </c>
      <c r="E564" s="701">
        <v>1.45</v>
      </c>
      <c r="F564" s="759">
        <v>2.2999999999999998</v>
      </c>
      <c r="H564" s="759">
        <f t="shared" ref="H564:H627" si="9">F564*E564</f>
        <v>3.3349999999999995</v>
      </c>
    </row>
    <row r="565" spans="1:8">
      <c r="A565" s="701">
        <v>0</v>
      </c>
      <c r="B565" s="759">
        <v>3.5</v>
      </c>
      <c r="C565" s="759">
        <v>5</v>
      </c>
      <c r="D565" s="759">
        <v>2.6</v>
      </c>
      <c r="E565" s="701">
        <v>1.45</v>
      </c>
      <c r="F565" s="759">
        <v>2.2999999999999998</v>
      </c>
      <c r="H565" s="759">
        <f t="shared" si="9"/>
        <v>3.3349999999999995</v>
      </c>
    </row>
    <row r="566" spans="1:8">
      <c r="A566" s="701">
        <v>0</v>
      </c>
      <c r="B566" s="759">
        <v>3.5</v>
      </c>
      <c r="C566" s="759">
        <v>5.25</v>
      </c>
      <c r="D566" s="759">
        <v>2.6</v>
      </c>
      <c r="E566" s="701">
        <v>1.45</v>
      </c>
      <c r="F566" s="759">
        <v>2.2999999999999998</v>
      </c>
      <c r="H566" s="759">
        <f t="shared" si="9"/>
        <v>3.3349999999999995</v>
      </c>
    </row>
    <row r="567" spans="1:8">
      <c r="A567" s="701">
        <v>0</v>
      </c>
      <c r="B567" s="759">
        <v>3.5</v>
      </c>
      <c r="C567" s="759">
        <v>5.5</v>
      </c>
      <c r="D567" s="759">
        <v>2.6</v>
      </c>
      <c r="E567" s="701">
        <v>1.45</v>
      </c>
      <c r="F567" s="759">
        <v>2.2999999999999998</v>
      </c>
      <c r="H567" s="759">
        <f t="shared" si="9"/>
        <v>3.3349999999999995</v>
      </c>
    </row>
    <row r="568" spans="1:8">
      <c r="A568" s="701">
        <v>0</v>
      </c>
      <c r="B568" s="759">
        <v>3.5</v>
      </c>
      <c r="C568" s="759">
        <v>5.75</v>
      </c>
      <c r="D568" s="759">
        <v>2.6</v>
      </c>
      <c r="E568" s="701">
        <v>1.45</v>
      </c>
      <c r="F568" s="759">
        <v>2.2999999999999998</v>
      </c>
      <c r="H568" s="759">
        <f t="shared" si="9"/>
        <v>3.3349999999999995</v>
      </c>
    </row>
    <row r="569" spans="1:8">
      <c r="A569" s="701">
        <v>0</v>
      </c>
      <c r="B569" s="759">
        <v>3.5</v>
      </c>
      <c r="C569" s="759">
        <v>6</v>
      </c>
      <c r="D569" s="759">
        <v>2.6</v>
      </c>
      <c r="E569" s="701">
        <v>1.45</v>
      </c>
      <c r="F569" s="759">
        <v>2.2999999999999998</v>
      </c>
      <c r="H569" s="759">
        <f t="shared" si="9"/>
        <v>3.3349999999999995</v>
      </c>
    </row>
    <row r="570" spans="1:8">
      <c r="A570" s="701">
        <v>0</v>
      </c>
      <c r="B570" s="759">
        <v>3.5</v>
      </c>
      <c r="C570" s="759">
        <v>6.25</v>
      </c>
      <c r="D570" s="759">
        <v>2.6</v>
      </c>
      <c r="E570" s="701">
        <v>1.45</v>
      </c>
      <c r="F570" s="759">
        <v>2.2999999999999998</v>
      </c>
      <c r="H570" s="759">
        <f t="shared" si="9"/>
        <v>3.3349999999999995</v>
      </c>
    </row>
    <row r="571" spans="1:8">
      <c r="A571" s="701">
        <v>0</v>
      </c>
      <c r="B571" s="759">
        <v>3.5</v>
      </c>
      <c r="C571" s="759">
        <v>6.5</v>
      </c>
      <c r="D571" s="759">
        <v>2.6</v>
      </c>
      <c r="E571" s="701">
        <v>1.45</v>
      </c>
      <c r="F571" s="759">
        <v>2.2999999999999998</v>
      </c>
      <c r="H571" s="759">
        <f t="shared" si="9"/>
        <v>3.3349999999999995</v>
      </c>
    </row>
    <row r="572" spans="1:8">
      <c r="A572" s="701">
        <v>0</v>
      </c>
      <c r="B572" s="759">
        <v>3.5</v>
      </c>
      <c r="C572" s="759">
        <v>6.75</v>
      </c>
      <c r="D572" s="759">
        <v>2.6</v>
      </c>
      <c r="E572" s="701">
        <v>1.45</v>
      </c>
      <c r="F572" s="759">
        <v>2.2999999999999998</v>
      </c>
      <c r="H572" s="759">
        <f t="shared" si="9"/>
        <v>3.3349999999999995</v>
      </c>
    </row>
    <row r="573" spans="1:8">
      <c r="A573" s="701">
        <v>0</v>
      </c>
      <c r="B573" s="759">
        <v>3.5</v>
      </c>
      <c r="C573" s="759">
        <v>7</v>
      </c>
      <c r="D573" s="759">
        <v>2.6</v>
      </c>
      <c r="E573" s="701">
        <v>1.45</v>
      </c>
      <c r="F573" s="759">
        <v>2.2999999999999998</v>
      </c>
      <c r="H573" s="759">
        <f t="shared" si="9"/>
        <v>3.3349999999999995</v>
      </c>
    </row>
    <row r="574" spans="1:8">
      <c r="A574" s="701">
        <v>0</v>
      </c>
      <c r="B574" s="759">
        <v>3.5</v>
      </c>
      <c r="C574" s="759">
        <v>7.5</v>
      </c>
      <c r="D574" s="759">
        <v>2.6</v>
      </c>
      <c r="E574" s="701">
        <v>1.45</v>
      </c>
      <c r="F574" s="759">
        <v>2.2999999999999998</v>
      </c>
      <c r="H574" s="759">
        <f t="shared" si="9"/>
        <v>3.3349999999999995</v>
      </c>
    </row>
    <row r="575" spans="1:8">
      <c r="A575" s="701">
        <v>0</v>
      </c>
      <c r="B575" s="759">
        <v>3.5</v>
      </c>
      <c r="C575" s="759">
        <v>8</v>
      </c>
      <c r="D575" s="759">
        <v>2.6</v>
      </c>
      <c r="E575" s="701">
        <v>1.45</v>
      </c>
      <c r="F575" s="759">
        <v>2.2999999999999998</v>
      </c>
      <c r="H575" s="759">
        <f t="shared" si="9"/>
        <v>3.3349999999999995</v>
      </c>
    </row>
    <row r="576" spans="1:8">
      <c r="A576" s="701">
        <v>0</v>
      </c>
      <c r="B576" s="759">
        <v>4</v>
      </c>
      <c r="C576" s="759">
        <v>3</v>
      </c>
      <c r="D576" s="759">
        <v>2.6</v>
      </c>
      <c r="E576" s="701">
        <v>1.45</v>
      </c>
      <c r="F576" s="759">
        <v>2.63</v>
      </c>
      <c r="H576" s="759">
        <f t="shared" si="9"/>
        <v>3.8134999999999999</v>
      </c>
    </row>
    <row r="577" spans="1:8">
      <c r="A577" s="701">
        <v>0</v>
      </c>
      <c r="B577" s="759">
        <v>4</v>
      </c>
      <c r="C577" s="759">
        <v>3.25</v>
      </c>
      <c r="D577" s="759">
        <v>2.6</v>
      </c>
      <c r="E577" s="701">
        <v>1.45</v>
      </c>
      <c r="F577" s="759">
        <v>2.63</v>
      </c>
      <c r="H577" s="759">
        <f t="shared" si="9"/>
        <v>3.8134999999999999</v>
      </c>
    </row>
    <row r="578" spans="1:8">
      <c r="A578" s="701">
        <v>0</v>
      </c>
      <c r="B578" s="759">
        <v>4</v>
      </c>
      <c r="C578" s="759">
        <v>3.5</v>
      </c>
      <c r="D578" s="759">
        <v>2.6</v>
      </c>
      <c r="E578" s="701">
        <v>1.45</v>
      </c>
      <c r="F578" s="759">
        <v>2.63</v>
      </c>
      <c r="H578" s="759">
        <f t="shared" si="9"/>
        <v>3.8134999999999999</v>
      </c>
    </row>
    <row r="579" spans="1:8">
      <c r="A579" s="701">
        <v>0</v>
      </c>
      <c r="B579" s="759">
        <v>4</v>
      </c>
      <c r="C579" s="759">
        <v>3.75</v>
      </c>
      <c r="D579" s="759">
        <v>2.6</v>
      </c>
      <c r="E579" s="701">
        <v>1.45</v>
      </c>
      <c r="F579" s="759">
        <v>2.63</v>
      </c>
      <c r="H579" s="759">
        <f t="shared" si="9"/>
        <v>3.8134999999999999</v>
      </c>
    </row>
    <row r="580" spans="1:8">
      <c r="A580" s="701">
        <v>0</v>
      </c>
      <c r="B580" s="759">
        <v>4</v>
      </c>
      <c r="C580" s="759">
        <v>4</v>
      </c>
      <c r="D580" s="759">
        <v>2.6</v>
      </c>
      <c r="E580" s="701">
        <v>1.45</v>
      </c>
      <c r="F580" s="759">
        <v>2.63</v>
      </c>
      <c r="H580" s="759">
        <f t="shared" si="9"/>
        <v>3.8134999999999999</v>
      </c>
    </row>
    <row r="581" spans="1:8">
      <c r="A581" s="701">
        <v>0</v>
      </c>
      <c r="B581" s="759">
        <v>4</v>
      </c>
      <c r="C581" s="759">
        <v>4.25</v>
      </c>
      <c r="D581" s="759">
        <v>2.6</v>
      </c>
      <c r="E581" s="701">
        <v>1.45</v>
      </c>
      <c r="F581" s="759">
        <v>2.63</v>
      </c>
      <c r="H581" s="759">
        <f t="shared" si="9"/>
        <v>3.8134999999999999</v>
      </c>
    </row>
    <row r="582" spans="1:8">
      <c r="A582" s="701">
        <v>0</v>
      </c>
      <c r="B582" s="759">
        <v>4</v>
      </c>
      <c r="C582" s="759">
        <v>4.5</v>
      </c>
      <c r="D582" s="759">
        <v>2.6</v>
      </c>
      <c r="E582" s="701">
        <v>1.45</v>
      </c>
      <c r="F582" s="759">
        <v>2.63</v>
      </c>
      <c r="H582" s="759">
        <f t="shared" si="9"/>
        <v>3.8134999999999999</v>
      </c>
    </row>
    <row r="583" spans="1:8">
      <c r="A583" s="701">
        <v>0</v>
      </c>
      <c r="B583" s="759">
        <v>4</v>
      </c>
      <c r="C583" s="759">
        <v>4.75</v>
      </c>
      <c r="D583" s="759">
        <v>2.6</v>
      </c>
      <c r="E583" s="701">
        <v>1.45</v>
      </c>
      <c r="F583" s="759">
        <v>2.63</v>
      </c>
      <c r="H583" s="759">
        <f t="shared" si="9"/>
        <v>3.8134999999999999</v>
      </c>
    </row>
    <row r="584" spans="1:8">
      <c r="A584" s="701">
        <v>0</v>
      </c>
      <c r="B584" s="759">
        <v>4</v>
      </c>
      <c r="C584" s="759">
        <v>5</v>
      </c>
      <c r="D584" s="759">
        <v>2.6</v>
      </c>
      <c r="E584" s="701">
        <v>1.45</v>
      </c>
      <c r="F584" s="759">
        <v>2.63</v>
      </c>
      <c r="H584" s="759">
        <f t="shared" si="9"/>
        <v>3.8134999999999999</v>
      </c>
    </row>
    <row r="585" spans="1:8">
      <c r="A585" s="701">
        <v>0</v>
      </c>
      <c r="B585" s="759">
        <v>4</v>
      </c>
      <c r="C585" s="759">
        <v>5.25</v>
      </c>
      <c r="D585" s="759">
        <v>2.6</v>
      </c>
      <c r="E585" s="701">
        <v>1.45</v>
      </c>
      <c r="F585" s="759">
        <v>2.63</v>
      </c>
      <c r="H585" s="759">
        <f t="shared" si="9"/>
        <v>3.8134999999999999</v>
      </c>
    </row>
    <row r="586" spans="1:8">
      <c r="A586" s="701">
        <v>0</v>
      </c>
      <c r="B586" s="759">
        <v>4</v>
      </c>
      <c r="C586" s="759">
        <v>5.5</v>
      </c>
      <c r="D586" s="759">
        <v>2.6</v>
      </c>
      <c r="E586" s="701">
        <v>1.45</v>
      </c>
      <c r="F586" s="759">
        <v>2.63</v>
      </c>
      <c r="H586" s="759">
        <f t="shared" si="9"/>
        <v>3.8134999999999999</v>
      </c>
    </row>
    <row r="587" spans="1:8">
      <c r="A587" s="701">
        <v>0</v>
      </c>
      <c r="B587" s="759">
        <v>4</v>
      </c>
      <c r="C587" s="759">
        <v>5.75</v>
      </c>
      <c r="D587" s="759">
        <v>2.6</v>
      </c>
      <c r="E587" s="701">
        <v>1.45</v>
      </c>
      <c r="F587" s="759">
        <v>2.63</v>
      </c>
      <c r="H587" s="759">
        <f t="shared" si="9"/>
        <v>3.8134999999999999</v>
      </c>
    </row>
    <row r="588" spans="1:8">
      <c r="A588" s="701">
        <v>0</v>
      </c>
      <c r="B588" s="759">
        <v>4</v>
      </c>
      <c r="C588" s="759">
        <v>6</v>
      </c>
      <c r="D588" s="759">
        <v>2.6</v>
      </c>
      <c r="E588" s="701">
        <v>1.45</v>
      </c>
      <c r="F588" s="759">
        <v>2.63</v>
      </c>
      <c r="H588" s="759">
        <f t="shared" si="9"/>
        <v>3.8134999999999999</v>
      </c>
    </row>
    <row r="589" spans="1:8">
      <c r="A589" s="701">
        <v>0</v>
      </c>
      <c r="B589" s="759">
        <v>4</v>
      </c>
      <c r="C589" s="759">
        <v>6.25</v>
      </c>
      <c r="D589" s="759">
        <v>2.6</v>
      </c>
      <c r="E589" s="701">
        <v>1.45</v>
      </c>
      <c r="F589" s="759">
        <v>2.63</v>
      </c>
      <c r="H589" s="759">
        <f t="shared" si="9"/>
        <v>3.8134999999999999</v>
      </c>
    </row>
    <row r="590" spans="1:8">
      <c r="A590" s="701">
        <v>0</v>
      </c>
      <c r="B590" s="759">
        <v>4</v>
      </c>
      <c r="C590" s="759">
        <v>6.5</v>
      </c>
      <c r="D590" s="759">
        <v>2.6</v>
      </c>
      <c r="E590" s="701">
        <v>1.45</v>
      </c>
      <c r="F590" s="759">
        <v>2.63</v>
      </c>
      <c r="H590" s="759">
        <f t="shared" si="9"/>
        <v>3.8134999999999999</v>
      </c>
    </row>
    <row r="591" spans="1:8">
      <c r="A591" s="701">
        <v>0</v>
      </c>
      <c r="B591" s="759">
        <v>4</v>
      </c>
      <c r="C591" s="759">
        <v>6.75</v>
      </c>
      <c r="D591" s="759">
        <v>2.6</v>
      </c>
      <c r="E591" s="701">
        <v>1.45</v>
      </c>
      <c r="F591" s="759">
        <v>2.63</v>
      </c>
      <c r="H591" s="759">
        <f t="shared" si="9"/>
        <v>3.8134999999999999</v>
      </c>
    </row>
    <row r="592" spans="1:8">
      <c r="A592" s="701">
        <v>0</v>
      </c>
      <c r="B592" s="759">
        <v>4</v>
      </c>
      <c r="C592" s="759">
        <v>7</v>
      </c>
      <c r="D592" s="759">
        <v>2.6</v>
      </c>
      <c r="E592" s="701">
        <v>1.45</v>
      </c>
      <c r="F592" s="759">
        <v>2.63</v>
      </c>
      <c r="H592" s="759">
        <f t="shared" si="9"/>
        <v>3.8134999999999999</v>
      </c>
    </row>
    <row r="593" spans="1:8">
      <c r="A593" s="701">
        <v>0</v>
      </c>
      <c r="B593" s="759">
        <v>4</v>
      </c>
      <c r="C593" s="759">
        <v>7.5</v>
      </c>
      <c r="D593" s="759">
        <v>2.6</v>
      </c>
      <c r="E593" s="701">
        <v>1.45</v>
      </c>
      <c r="F593" s="759">
        <v>2.63</v>
      </c>
      <c r="H593" s="759">
        <f t="shared" si="9"/>
        <v>3.8134999999999999</v>
      </c>
    </row>
    <row r="594" spans="1:8">
      <c r="A594" s="701">
        <v>0</v>
      </c>
      <c r="B594" s="759">
        <v>4</v>
      </c>
      <c r="C594" s="759">
        <v>8</v>
      </c>
      <c r="D594" s="759">
        <v>2.6</v>
      </c>
      <c r="E594" s="701">
        <v>1.45</v>
      </c>
      <c r="F594" s="759">
        <v>2.63</v>
      </c>
      <c r="H594" s="759">
        <f t="shared" si="9"/>
        <v>3.8134999999999999</v>
      </c>
    </row>
    <row r="595" spans="1:8">
      <c r="A595" s="701">
        <v>0</v>
      </c>
      <c r="B595" s="759">
        <v>4.5</v>
      </c>
      <c r="C595" s="759">
        <v>3</v>
      </c>
      <c r="D595" s="759">
        <v>2.6</v>
      </c>
      <c r="E595" s="701">
        <v>1.45</v>
      </c>
      <c r="F595" s="759">
        <v>2.96</v>
      </c>
      <c r="H595" s="759">
        <f t="shared" si="9"/>
        <v>4.2919999999999998</v>
      </c>
    </row>
    <row r="596" spans="1:8">
      <c r="A596" s="701">
        <v>0</v>
      </c>
      <c r="B596" s="759">
        <v>4.5</v>
      </c>
      <c r="C596" s="759">
        <v>3.25</v>
      </c>
      <c r="D596" s="759">
        <v>2.6</v>
      </c>
      <c r="E596" s="701">
        <v>1.45</v>
      </c>
      <c r="F596" s="759">
        <v>2.96</v>
      </c>
      <c r="H596" s="759">
        <f t="shared" si="9"/>
        <v>4.2919999999999998</v>
      </c>
    </row>
    <row r="597" spans="1:8">
      <c r="A597" s="701">
        <v>0</v>
      </c>
      <c r="B597" s="759">
        <v>4.5</v>
      </c>
      <c r="C597" s="759">
        <v>3.5</v>
      </c>
      <c r="D597" s="759">
        <v>2.6</v>
      </c>
      <c r="E597" s="701">
        <v>1.45</v>
      </c>
      <c r="F597" s="759">
        <v>2.96</v>
      </c>
      <c r="H597" s="759">
        <f t="shared" si="9"/>
        <v>4.2919999999999998</v>
      </c>
    </row>
    <row r="598" spans="1:8">
      <c r="A598" s="701">
        <v>0</v>
      </c>
      <c r="B598" s="759">
        <v>4.5</v>
      </c>
      <c r="C598" s="759">
        <v>3.75</v>
      </c>
      <c r="D598" s="759">
        <v>2.6</v>
      </c>
      <c r="E598" s="701">
        <v>1.45</v>
      </c>
      <c r="F598" s="759">
        <v>2.96</v>
      </c>
      <c r="H598" s="759">
        <f t="shared" si="9"/>
        <v>4.2919999999999998</v>
      </c>
    </row>
    <row r="599" spans="1:8">
      <c r="A599" s="701">
        <v>0</v>
      </c>
      <c r="B599" s="759">
        <v>4.5</v>
      </c>
      <c r="C599" s="759">
        <v>4</v>
      </c>
      <c r="D599" s="759">
        <v>2.6</v>
      </c>
      <c r="E599" s="701">
        <v>1.45</v>
      </c>
      <c r="F599" s="759">
        <v>2.96</v>
      </c>
      <c r="H599" s="759">
        <f t="shared" si="9"/>
        <v>4.2919999999999998</v>
      </c>
    </row>
    <row r="600" spans="1:8">
      <c r="A600" s="701">
        <v>0</v>
      </c>
      <c r="B600" s="759">
        <v>4.5</v>
      </c>
      <c r="C600" s="759">
        <v>4.25</v>
      </c>
      <c r="D600" s="759">
        <v>2.6</v>
      </c>
      <c r="E600" s="701">
        <v>1.45</v>
      </c>
      <c r="F600" s="759">
        <v>2.96</v>
      </c>
      <c r="H600" s="759">
        <f t="shared" si="9"/>
        <v>4.2919999999999998</v>
      </c>
    </row>
    <row r="601" spans="1:8">
      <c r="A601" s="701">
        <v>0</v>
      </c>
      <c r="B601" s="759">
        <v>4.5</v>
      </c>
      <c r="C601" s="759">
        <v>4.5</v>
      </c>
      <c r="D601" s="759">
        <v>2.6</v>
      </c>
      <c r="E601" s="701">
        <v>1.45</v>
      </c>
      <c r="F601" s="759">
        <v>2.96</v>
      </c>
      <c r="H601" s="759">
        <f t="shared" si="9"/>
        <v>4.2919999999999998</v>
      </c>
    </row>
    <row r="602" spans="1:8">
      <c r="A602" s="701">
        <v>0</v>
      </c>
      <c r="B602" s="759">
        <v>4.5</v>
      </c>
      <c r="C602" s="759">
        <v>4.75</v>
      </c>
      <c r="D602" s="759">
        <v>2.6</v>
      </c>
      <c r="E602" s="701">
        <v>1.45</v>
      </c>
      <c r="F602" s="759">
        <v>2.96</v>
      </c>
      <c r="H602" s="759">
        <f t="shared" si="9"/>
        <v>4.2919999999999998</v>
      </c>
    </row>
    <row r="603" spans="1:8">
      <c r="A603" s="701">
        <v>0</v>
      </c>
      <c r="B603" s="759">
        <v>4.5</v>
      </c>
      <c r="C603" s="759">
        <v>5</v>
      </c>
      <c r="D603" s="759">
        <v>2.6</v>
      </c>
      <c r="E603" s="701">
        <v>1.45</v>
      </c>
      <c r="F603" s="759">
        <v>2.96</v>
      </c>
      <c r="H603" s="759">
        <f t="shared" si="9"/>
        <v>4.2919999999999998</v>
      </c>
    </row>
    <row r="604" spans="1:8">
      <c r="A604" s="701">
        <v>0</v>
      </c>
      <c r="B604" s="759">
        <v>4.5</v>
      </c>
      <c r="C604" s="759">
        <v>5.25</v>
      </c>
      <c r="D604" s="759">
        <v>2.6</v>
      </c>
      <c r="E604" s="701">
        <v>1.45</v>
      </c>
      <c r="F604" s="759">
        <v>2.96</v>
      </c>
      <c r="H604" s="759">
        <f t="shared" si="9"/>
        <v>4.2919999999999998</v>
      </c>
    </row>
    <row r="605" spans="1:8">
      <c r="A605" s="701">
        <v>0</v>
      </c>
      <c r="B605" s="759">
        <v>4.5</v>
      </c>
      <c r="C605" s="759">
        <v>5.5</v>
      </c>
      <c r="D605" s="759">
        <v>2.6</v>
      </c>
      <c r="E605" s="701">
        <v>1.45</v>
      </c>
      <c r="F605" s="759">
        <v>2.96</v>
      </c>
      <c r="H605" s="759">
        <f t="shared" si="9"/>
        <v>4.2919999999999998</v>
      </c>
    </row>
    <row r="606" spans="1:8">
      <c r="A606" s="701">
        <v>0</v>
      </c>
      <c r="B606" s="759">
        <v>4.5</v>
      </c>
      <c r="C606" s="759">
        <v>5.75</v>
      </c>
      <c r="D606" s="759">
        <v>2.6</v>
      </c>
      <c r="E606" s="701">
        <v>1.45</v>
      </c>
      <c r="F606" s="759">
        <v>2.96</v>
      </c>
      <c r="H606" s="759">
        <f t="shared" si="9"/>
        <v>4.2919999999999998</v>
      </c>
    </row>
    <row r="607" spans="1:8">
      <c r="A607" s="701">
        <v>0</v>
      </c>
      <c r="B607" s="759">
        <v>4.5</v>
      </c>
      <c r="C607" s="759">
        <v>6</v>
      </c>
      <c r="D607" s="759">
        <v>2.6</v>
      </c>
      <c r="E607" s="701">
        <v>1.45</v>
      </c>
      <c r="F607" s="759">
        <v>2.96</v>
      </c>
      <c r="H607" s="759">
        <f t="shared" si="9"/>
        <v>4.2919999999999998</v>
      </c>
    </row>
    <row r="608" spans="1:8">
      <c r="A608" s="701">
        <v>0</v>
      </c>
      <c r="B608" s="759">
        <v>4.5</v>
      </c>
      <c r="C608" s="759">
        <v>6.25</v>
      </c>
      <c r="D608" s="759">
        <v>2.6</v>
      </c>
      <c r="E608" s="701">
        <v>1.45</v>
      </c>
      <c r="F608" s="759">
        <v>2.96</v>
      </c>
      <c r="H608" s="759">
        <f t="shared" si="9"/>
        <v>4.2919999999999998</v>
      </c>
    </row>
    <row r="609" spans="1:8">
      <c r="A609" s="701">
        <v>0</v>
      </c>
      <c r="B609" s="759">
        <v>4.5</v>
      </c>
      <c r="C609" s="759">
        <v>6.5</v>
      </c>
      <c r="D609" s="759">
        <v>2.6</v>
      </c>
      <c r="E609" s="701">
        <v>1.45</v>
      </c>
      <c r="F609" s="759">
        <v>2.96</v>
      </c>
      <c r="H609" s="759">
        <f t="shared" si="9"/>
        <v>4.2919999999999998</v>
      </c>
    </row>
    <row r="610" spans="1:8">
      <c r="A610" s="701">
        <v>0</v>
      </c>
      <c r="B610" s="759">
        <v>4.5</v>
      </c>
      <c r="C610" s="759">
        <v>6.75</v>
      </c>
      <c r="D610" s="759">
        <v>2.6</v>
      </c>
      <c r="E610" s="701">
        <v>1.45</v>
      </c>
      <c r="F610" s="759">
        <v>2.96</v>
      </c>
      <c r="H610" s="759">
        <f t="shared" si="9"/>
        <v>4.2919999999999998</v>
      </c>
    </row>
    <row r="611" spans="1:8">
      <c r="A611" s="701">
        <v>0</v>
      </c>
      <c r="B611" s="759">
        <v>4.5</v>
      </c>
      <c r="C611" s="759">
        <v>7</v>
      </c>
      <c r="D611" s="759">
        <v>2.6</v>
      </c>
      <c r="E611" s="701">
        <v>1.45</v>
      </c>
      <c r="F611" s="759">
        <v>2.96</v>
      </c>
      <c r="H611" s="759">
        <f t="shared" si="9"/>
        <v>4.2919999999999998</v>
      </c>
    </row>
    <row r="612" spans="1:8">
      <c r="A612" s="701">
        <v>0</v>
      </c>
      <c r="B612" s="759">
        <v>4.5</v>
      </c>
      <c r="C612" s="759">
        <v>7.5</v>
      </c>
      <c r="D612" s="759">
        <v>2.6</v>
      </c>
      <c r="E612" s="701">
        <v>1.45</v>
      </c>
      <c r="F612" s="759">
        <v>2.96</v>
      </c>
      <c r="H612" s="759">
        <f t="shared" si="9"/>
        <v>4.2919999999999998</v>
      </c>
    </row>
    <row r="613" spans="1:8">
      <c r="A613" s="701">
        <v>0</v>
      </c>
      <c r="B613" s="759">
        <v>4.5</v>
      </c>
      <c r="C613" s="759">
        <v>8</v>
      </c>
      <c r="D613" s="759">
        <v>2.6</v>
      </c>
      <c r="E613" s="701">
        <v>1.45</v>
      </c>
      <c r="F613" s="759">
        <v>2.96</v>
      </c>
      <c r="H613" s="759">
        <f t="shared" si="9"/>
        <v>4.2919999999999998</v>
      </c>
    </row>
    <row r="614" spans="1:8">
      <c r="A614" s="701">
        <v>0</v>
      </c>
      <c r="B614" s="759">
        <v>5</v>
      </c>
      <c r="C614" s="759">
        <v>3</v>
      </c>
      <c r="D614" s="759">
        <v>2.6</v>
      </c>
      <c r="E614" s="701">
        <v>1.45</v>
      </c>
      <c r="F614" s="759">
        <v>3.29</v>
      </c>
      <c r="H614" s="759">
        <f t="shared" si="9"/>
        <v>4.7705000000000002</v>
      </c>
    </row>
    <row r="615" spans="1:8">
      <c r="A615" s="701">
        <v>0</v>
      </c>
      <c r="B615" s="759">
        <v>5</v>
      </c>
      <c r="C615" s="759">
        <v>3.25</v>
      </c>
      <c r="D615" s="759">
        <v>2.6</v>
      </c>
      <c r="E615" s="701">
        <v>1.45</v>
      </c>
      <c r="F615" s="759">
        <v>3.29</v>
      </c>
      <c r="H615" s="759">
        <f t="shared" si="9"/>
        <v>4.7705000000000002</v>
      </c>
    </row>
    <row r="616" spans="1:8">
      <c r="A616" s="701">
        <v>0</v>
      </c>
      <c r="B616" s="759">
        <v>5</v>
      </c>
      <c r="C616" s="759">
        <v>3.5</v>
      </c>
      <c r="D616" s="759">
        <v>2.6</v>
      </c>
      <c r="E616" s="701">
        <v>1.45</v>
      </c>
      <c r="F616" s="759">
        <v>3.29</v>
      </c>
      <c r="H616" s="759">
        <f t="shared" si="9"/>
        <v>4.7705000000000002</v>
      </c>
    </row>
    <row r="617" spans="1:8">
      <c r="A617" s="701">
        <v>0</v>
      </c>
      <c r="B617" s="759">
        <v>5</v>
      </c>
      <c r="C617" s="759">
        <v>3.75</v>
      </c>
      <c r="D617" s="759">
        <v>2.6</v>
      </c>
      <c r="E617" s="701">
        <v>1.45</v>
      </c>
      <c r="F617" s="759">
        <v>3.29</v>
      </c>
      <c r="H617" s="759">
        <f t="shared" si="9"/>
        <v>4.7705000000000002</v>
      </c>
    </row>
    <row r="618" spans="1:8">
      <c r="A618" s="701">
        <v>0</v>
      </c>
      <c r="B618" s="759">
        <v>5</v>
      </c>
      <c r="C618" s="759">
        <v>4</v>
      </c>
      <c r="D618" s="759">
        <v>2.6</v>
      </c>
      <c r="E618" s="701">
        <v>1.45</v>
      </c>
      <c r="F618" s="759">
        <v>3.29</v>
      </c>
      <c r="H618" s="759">
        <f t="shared" si="9"/>
        <v>4.7705000000000002</v>
      </c>
    </row>
    <row r="619" spans="1:8">
      <c r="A619" s="701">
        <v>0</v>
      </c>
      <c r="B619" s="759">
        <v>5</v>
      </c>
      <c r="C619" s="759">
        <v>4.25</v>
      </c>
      <c r="D619" s="759">
        <v>2.6</v>
      </c>
      <c r="E619" s="701">
        <v>1.45</v>
      </c>
      <c r="F619" s="759">
        <v>3.29</v>
      </c>
      <c r="H619" s="759">
        <f t="shared" si="9"/>
        <v>4.7705000000000002</v>
      </c>
    </row>
    <row r="620" spans="1:8">
      <c r="A620" s="701">
        <v>0</v>
      </c>
      <c r="B620" s="759">
        <v>5</v>
      </c>
      <c r="C620" s="759">
        <v>4.5</v>
      </c>
      <c r="D620" s="759">
        <v>2.6</v>
      </c>
      <c r="E620" s="701">
        <v>1.45</v>
      </c>
      <c r="F620" s="759">
        <v>3.29</v>
      </c>
      <c r="H620" s="759">
        <f t="shared" si="9"/>
        <v>4.7705000000000002</v>
      </c>
    </row>
    <row r="621" spans="1:8">
      <c r="A621" s="701">
        <v>0</v>
      </c>
      <c r="B621" s="759">
        <v>5</v>
      </c>
      <c r="C621" s="759">
        <v>4.75</v>
      </c>
      <c r="D621" s="759">
        <v>2.6</v>
      </c>
      <c r="E621" s="701">
        <v>1.45</v>
      </c>
      <c r="F621" s="759">
        <v>3.29</v>
      </c>
      <c r="H621" s="759">
        <f t="shared" si="9"/>
        <v>4.7705000000000002</v>
      </c>
    </row>
    <row r="622" spans="1:8">
      <c r="A622" s="701">
        <v>0</v>
      </c>
      <c r="B622" s="759">
        <v>5</v>
      </c>
      <c r="C622" s="759">
        <v>5</v>
      </c>
      <c r="D622" s="759">
        <v>2.6</v>
      </c>
      <c r="E622" s="701">
        <v>1.45</v>
      </c>
      <c r="F622" s="759">
        <v>3.29</v>
      </c>
      <c r="H622" s="759">
        <f t="shared" si="9"/>
        <v>4.7705000000000002</v>
      </c>
    </row>
    <row r="623" spans="1:8">
      <c r="A623" s="701">
        <v>0</v>
      </c>
      <c r="B623" s="759">
        <v>5</v>
      </c>
      <c r="C623" s="759">
        <v>5.25</v>
      </c>
      <c r="D623" s="759">
        <v>2.6</v>
      </c>
      <c r="E623" s="701">
        <v>1.45</v>
      </c>
      <c r="F623" s="759">
        <v>3.29</v>
      </c>
      <c r="H623" s="759">
        <f t="shared" si="9"/>
        <v>4.7705000000000002</v>
      </c>
    </row>
    <row r="624" spans="1:8">
      <c r="A624" s="701">
        <v>0</v>
      </c>
      <c r="B624" s="759">
        <v>5</v>
      </c>
      <c r="C624" s="759">
        <v>5.5</v>
      </c>
      <c r="D624" s="759">
        <v>2.6</v>
      </c>
      <c r="E624" s="701">
        <v>1.45</v>
      </c>
      <c r="F624" s="759">
        <v>3.29</v>
      </c>
      <c r="H624" s="759">
        <f t="shared" si="9"/>
        <v>4.7705000000000002</v>
      </c>
    </row>
    <row r="625" spans="1:8">
      <c r="A625" s="701">
        <v>0</v>
      </c>
      <c r="B625" s="759">
        <v>5</v>
      </c>
      <c r="C625" s="759">
        <v>5.75</v>
      </c>
      <c r="D625" s="759">
        <v>2.6</v>
      </c>
      <c r="E625" s="701">
        <v>1.45</v>
      </c>
      <c r="F625" s="759">
        <v>3.29</v>
      </c>
      <c r="H625" s="759">
        <f t="shared" si="9"/>
        <v>4.7705000000000002</v>
      </c>
    </row>
    <row r="626" spans="1:8">
      <c r="A626" s="701">
        <v>0</v>
      </c>
      <c r="B626" s="759">
        <v>5</v>
      </c>
      <c r="C626" s="759">
        <v>6</v>
      </c>
      <c r="D626" s="759">
        <v>2.6</v>
      </c>
      <c r="E626" s="701">
        <v>1.45</v>
      </c>
      <c r="F626" s="759">
        <v>3.29</v>
      </c>
      <c r="H626" s="759">
        <f t="shared" si="9"/>
        <v>4.7705000000000002</v>
      </c>
    </row>
    <row r="627" spans="1:8">
      <c r="A627" s="701">
        <v>0</v>
      </c>
      <c r="B627" s="759">
        <v>5</v>
      </c>
      <c r="C627" s="759">
        <v>6.25</v>
      </c>
      <c r="D627" s="759">
        <v>2.6</v>
      </c>
      <c r="E627" s="701">
        <v>1.45</v>
      </c>
      <c r="F627" s="759">
        <v>3.29</v>
      </c>
      <c r="H627" s="759">
        <f t="shared" si="9"/>
        <v>4.7705000000000002</v>
      </c>
    </row>
    <row r="628" spans="1:8">
      <c r="A628" s="701">
        <v>0</v>
      </c>
      <c r="B628" s="759">
        <v>5</v>
      </c>
      <c r="C628" s="759">
        <v>6.5</v>
      </c>
      <c r="D628" s="759">
        <v>2.6</v>
      </c>
      <c r="E628" s="701">
        <v>1.45</v>
      </c>
      <c r="F628" s="759">
        <v>3.29</v>
      </c>
      <c r="H628" s="759">
        <f t="shared" ref="H628:H691" si="10">F628*E628</f>
        <v>4.7705000000000002</v>
      </c>
    </row>
    <row r="629" spans="1:8">
      <c r="A629" s="701">
        <v>0</v>
      </c>
      <c r="B629" s="759">
        <v>5</v>
      </c>
      <c r="C629" s="759">
        <v>6.75</v>
      </c>
      <c r="D629" s="759">
        <v>2.6</v>
      </c>
      <c r="E629" s="701">
        <v>1.45</v>
      </c>
      <c r="F629" s="759">
        <v>3.29</v>
      </c>
      <c r="H629" s="759">
        <f t="shared" si="10"/>
        <v>4.7705000000000002</v>
      </c>
    </row>
    <row r="630" spans="1:8">
      <c r="A630" s="701">
        <v>0</v>
      </c>
      <c r="B630" s="759">
        <v>5</v>
      </c>
      <c r="C630" s="759">
        <v>7</v>
      </c>
      <c r="D630" s="759">
        <v>2.6</v>
      </c>
      <c r="E630" s="701">
        <v>1.45</v>
      </c>
      <c r="F630" s="759">
        <v>3.29</v>
      </c>
      <c r="H630" s="759">
        <f t="shared" si="10"/>
        <v>4.7705000000000002</v>
      </c>
    </row>
    <row r="631" spans="1:8">
      <c r="A631" s="701">
        <v>0</v>
      </c>
      <c r="B631" s="759">
        <v>5</v>
      </c>
      <c r="C631" s="759">
        <v>7.5</v>
      </c>
      <c r="D631" s="759">
        <v>2.6</v>
      </c>
      <c r="E631" s="701">
        <v>1.45</v>
      </c>
      <c r="F631" s="759">
        <v>3.29</v>
      </c>
      <c r="H631" s="759">
        <f t="shared" si="10"/>
        <v>4.7705000000000002</v>
      </c>
    </row>
    <row r="632" spans="1:8">
      <c r="A632" s="701">
        <v>0</v>
      </c>
      <c r="B632" s="759">
        <v>5</v>
      </c>
      <c r="C632" s="759">
        <v>8</v>
      </c>
      <c r="D632" s="759">
        <v>2.6</v>
      </c>
      <c r="E632" s="701">
        <v>1.45</v>
      </c>
      <c r="F632" s="759">
        <v>3.29</v>
      </c>
      <c r="H632" s="759">
        <f t="shared" si="10"/>
        <v>4.7705000000000002</v>
      </c>
    </row>
    <row r="633" spans="1:8">
      <c r="A633" s="701">
        <v>0</v>
      </c>
      <c r="B633" s="759">
        <v>5.5</v>
      </c>
      <c r="C633" s="759">
        <v>3</v>
      </c>
      <c r="D633" s="759">
        <v>2.6</v>
      </c>
      <c r="E633" s="701">
        <v>1.45</v>
      </c>
      <c r="F633" s="759">
        <v>3.62</v>
      </c>
      <c r="H633" s="759">
        <f t="shared" si="10"/>
        <v>5.2489999999999997</v>
      </c>
    </row>
    <row r="634" spans="1:8">
      <c r="A634" s="701">
        <v>0</v>
      </c>
      <c r="B634" s="759">
        <v>5.5</v>
      </c>
      <c r="C634" s="759">
        <v>3.25</v>
      </c>
      <c r="D634" s="759">
        <v>2.6</v>
      </c>
      <c r="E634" s="701">
        <v>1.45</v>
      </c>
      <c r="F634" s="759">
        <v>3.62</v>
      </c>
      <c r="H634" s="759">
        <f t="shared" si="10"/>
        <v>5.2489999999999997</v>
      </c>
    </row>
    <row r="635" spans="1:8">
      <c r="A635" s="701">
        <v>0</v>
      </c>
      <c r="B635" s="759">
        <v>5.5</v>
      </c>
      <c r="C635" s="759">
        <v>3.5</v>
      </c>
      <c r="D635" s="759">
        <v>2.6</v>
      </c>
      <c r="E635" s="701">
        <v>1.45</v>
      </c>
      <c r="F635" s="759">
        <v>3.62</v>
      </c>
      <c r="H635" s="759">
        <f t="shared" si="10"/>
        <v>5.2489999999999997</v>
      </c>
    </row>
    <row r="636" spans="1:8">
      <c r="A636" s="701">
        <v>0</v>
      </c>
      <c r="B636" s="759">
        <v>5.5</v>
      </c>
      <c r="C636" s="759">
        <v>3.75</v>
      </c>
      <c r="D636" s="759">
        <v>2.6</v>
      </c>
      <c r="E636" s="701">
        <v>1.45</v>
      </c>
      <c r="F636" s="759">
        <v>3.62</v>
      </c>
      <c r="H636" s="759">
        <f t="shared" si="10"/>
        <v>5.2489999999999997</v>
      </c>
    </row>
    <row r="637" spans="1:8">
      <c r="A637" s="701">
        <v>0</v>
      </c>
      <c r="B637" s="759">
        <v>5.5</v>
      </c>
      <c r="C637" s="759">
        <v>4</v>
      </c>
      <c r="D637" s="759">
        <v>2.6</v>
      </c>
      <c r="E637" s="701">
        <v>1.45</v>
      </c>
      <c r="F637" s="759">
        <v>3.62</v>
      </c>
      <c r="H637" s="759">
        <f t="shared" si="10"/>
        <v>5.2489999999999997</v>
      </c>
    </row>
    <row r="638" spans="1:8">
      <c r="A638" s="701">
        <v>0</v>
      </c>
      <c r="B638" s="759">
        <v>5.5</v>
      </c>
      <c r="C638" s="759">
        <v>4.25</v>
      </c>
      <c r="D638" s="759">
        <v>2.6</v>
      </c>
      <c r="E638" s="701">
        <v>1.45</v>
      </c>
      <c r="F638" s="759">
        <v>3.62</v>
      </c>
      <c r="H638" s="759">
        <f t="shared" si="10"/>
        <v>5.2489999999999997</v>
      </c>
    </row>
    <row r="639" spans="1:8">
      <c r="A639" s="701">
        <v>0</v>
      </c>
      <c r="B639" s="759">
        <v>5.5</v>
      </c>
      <c r="C639" s="759">
        <v>4.5</v>
      </c>
      <c r="D639" s="759">
        <v>2.6</v>
      </c>
      <c r="E639" s="701">
        <v>1.45</v>
      </c>
      <c r="F639" s="759">
        <v>3.62</v>
      </c>
      <c r="H639" s="759">
        <f t="shared" si="10"/>
        <v>5.2489999999999997</v>
      </c>
    </row>
    <row r="640" spans="1:8">
      <c r="A640" s="701">
        <v>0</v>
      </c>
      <c r="B640" s="759">
        <v>5.5</v>
      </c>
      <c r="C640" s="759">
        <v>4.75</v>
      </c>
      <c r="D640" s="759">
        <v>2.6</v>
      </c>
      <c r="E640" s="701">
        <v>1.45</v>
      </c>
      <c r="F640" s="759">
        <v>3.62</v>
      </c>
      <c r="H640" s="759">
        <f t="shared" si="10"/>
        <v>5.2489999999999997</v>
      </c>
    </row>
    <row r="641" spans="1:8">
      <c r="A641" s="701">
        <v>0</v>
      </c>
      <c r="B641" s="759">
        <v>5.5</v>
      </c>
      <c r="C641" s="759">
        <v>5</v>
      </c>
      <c r="D641" s="759">
        <v>2.6</v>
      </c>
      <c r="E641" s="701">
        <v>1.45</v>
      </c>
      <c r="F641" s="759">
        <v>3.62</v>
      </c>
      <c r="H641" s="759">
        <f t="shared" si="10"/>
        <v>5.2489999999999997</v>
      </c>
    </row>
    <row r="642" spans="1:8">
      <c r="A642" s="701">
        <v>0</v>
      </c>
      <c r="B642" s="759">
        <v>5.5</v>
      </c>
      <c r="C642" s="759">
        <v>5.25</v>
      </c>
      <c r="D642" s="759">
        <v>2.6</v>
      </c>
      <c r="E642" s="701">
        <v>1.45</v>
      </c>
      <c r="F642" s="759">
        <v>3.62</v>
      </c>
      <c r="H642" s="759">
        <f t="shared" si="10"/>
        <v>5.2489999999999997</v>
      </c>
    </row>
    <row r="643" spans="1:8">
      <c r="A643" s="701">
        <v>0</v>
      </c>
      <c r="B643" s="759">
        <v>5.5</v>
      </c>
      <c r="C643" s="759">
        <v>5.5</v>
      </c>
      <c r="D643" s="759">
        <v>2.6</v>
      </c>
      <c r="E643" s="701">
        <v>1.45</v>
      </c>
      <c r="F643" s="759">
        <v>3.62</v>
      </c>
      <c r="H643" s="759">
        <f t="shared" si="10"/>
        <v>5.2489999999999997</v>
      </c>
    </row>
    <row r="644" spans="1:8">
      <c r="A644" s="701">
        <v>0</v>
      </c>
      <c r="B644" s="759">
        <v>5.5</v>
      </c>
      <c r="C644" s="759">
        <v>5.75</v>
      </c>
      <c r="D644" s="759">
        <v>2.6</v>
      </c>
      <c r="E644" s="701">
        <v>1.45</v>
      </c>
      <c r="F644" s="759">
        <v>3.62</v>
      </c>
      <c r="H644" s="759">
        <f t="shared" si="10"/>
        <v>5.2489999999999997</v>
      </c>
    </row>
    <row r="645" spans="1:8">
      <c r="A645" s="701">
        <v>0</v>
      </c>
      <c r="B645" s="759">
        <v>5.5</v>
      </c>
      <c r="C645" s="759">
        <v>6</v>
      </c>
      <c r="D645" s="759">
        <v>2.6</v>
      </c>
      <c r="E645" s="701">
        <v>1.45</v>
      </c>
      <c r="F645" s="759">
        <v>3.62</v>
      </c>
      <c r="H645" s="759">
        <f t="shared" si="10"/>
        <v>5.2489999999999997</v>
      </c>
    </row>
    <row r="646" spans="1:8">
      <c r="A646" s="701">
        <v>0</v>
      </c>
      <c r="B646" s="759">
        <v>5.5</v>
      </c>
      <c r="C646" s="759">
        <v>6.25</v>
      </c>
      <c r="D646" s="759">
        <v>2.6</v>
      </c>
      <c r="E646" s="701">
        <v>1.45</v>
      </c>
      <c r="F646" s="759">
        <v>3.62</v>
      </c>
      <c r="H646" s="759">
        <f t="shared" si="10"/>
        <v>5.2489999999999997</v>
      </c>
    </row>
    <row r="647" spans="1:8">
      <c r="A647" s="701">
        <v>0</v>
      </c>
      <c r="B647" s="759">
        <v>5.5</v>
      </c>
      <c r="C647" s="759">
        <v>6.5</v>
      </c>
      <c r="D647" s="759">
        <v>2.6</v>
      </c>
      <c r="E647" s="701">
        <v>1.45</v>
      </c>
      <c r="F647" s="759">
        <v>3.62</v>
      </c>
      <c r="H647" s="759">
        <f t="shared" si="10"/>
        <v>5.2489999999999997</v>
      </c>
    </row>
    <row r="648" spans="1:8">
      <c r="A648" s="701">
        <v>0</v>
      </c>
      <c r="B648" s="759">
        <v>5.5</v>
      </c>
      <c r="C648" s="759">
        <v>6.75</v>
      </c>
      <c r="D648" s="759">
        <v>2.6</v>
      </c>
      <c r="E648" s="701">
        <v>1.45</v>
      </c>
      <c r="F648" s="759">
        <v>3.62</v>
      </c>
      <c r="H648" s="759">
        <f t="shared" si="10"/>
        <v>5.2489999999999997</v>
      </c>
    </row>
    <row r="649" spans="1:8">
      <c r="A649" s="701">
        <v>0</v>
      </c>
      <c r="B649" s="759">
        <v>5.5</v>
      </c>
      <c r="C649" s="759">
        <v>7</v>
      </c>
      <c r="D649" s="759">
        <v>2.6</v>
      </c>
      <c r="E649" s="701">
        <v>1.45</v>
      </c>
      <c r="F649" s="759">
        <v>3.62</v>
      </c>
      <c r="H649" s="759">
        <f t="shared" si="10"/>
        <v>5.2489999999999997</v>
      </c>
    </row>
    <row r="650" spans="1:8">
      <c r="A650" s="701">
        <v>0</v>
      </c>
      <c r="B650" s="759">
        <v>5.5</v>
      </c>
      <c r="C650" s="759">
        <v>7.5</v>
      </c>
      <c r="D650" s="759">
        <v>2.6</v>
      </c>
      <c r="E650" s="701">
        <v>1.45</v>
      </c>
      <c r="F650" s="759">
        <v>3.62</v>
      </c>
      <c r="H650" s="759">
        <f t="shared" si="10"/>
        <v>5.2489999999999997</v>
      </c>
    </row>
    <row r="651" spans="1:8">
      <c r="A651" s="701">
        <v>0</v>
      </c>
      <c r="B651" s="759">
        <v>5.5</v>
      </c>
      <c r="C651" s="759">
        <v>8</v>
      </c>
      <c r="D651" s="759">
        <v>2.6</v>
      </c>
      <c r="E651" s="701">
        <v>1.45</v>
      </c>
      <c r="F651" s="759">
        <v>3.62</v>
      </c>
      <c r="H651" s="759">
        <f t="shared" si="10"/>
        <v>5.2489999999999997</v>
      </c>
    </row>
    <row r="652" spans="1:8">
      <c r="A652" s="701">
        <v>0</v>
      </c>
      <c r="B652" s="759">
        <v>6</v>
      </c>
      <c r="C652" s="759">
        <v>3</v>
      </c>
      <c r="D652" s="759">
        <v>2.6</v>
      </c>
      <c r="E652" s="701">
        <v>1.45</v>
      </c>
      <c r="F652" s="759">
        <v>3.94</v>
      </c>
      <c r="H652" s="759">
        <f t="shared" si="10"/>
        <v>5.7130000000000001</v>
      </c>
    </row>
    <row r="653" spans="1:8">
      <c r="A653" s="701">
        <v>0</v>
      </c>
      <c r="B653" s="759">
        <v>6</v>
      </c>
      <c r="C653" s="759">
        <v>3.25</v>
      </c>
      <c r="D653" s="759">
        <v>2.6</v>
      </c>
      <c r="E653" s="701">
        <v>1.45</v>
      </c>
      <c r="F653" s="759">
        <v>3.94</v>
      </c>
      <c r="H653" s="759">
        <f t="shared" si="10"/>
        <v>5.7130000000000001</v>
      </c>
    </row>
    <row r="654" spans="1:8">
      <c r="A654" s="701">
        <v>0</v>
      </c>
      <c r="B654" s="759">
        <v>6</v>
      </c>
      <c r="C654" s="759">
        <v>3.5</v>
      </c>
      <c r="D654" s="759">
        <v>2.6</v>
      </c>
      <c r="E654" s="701">
        <v>1.45</v>
      </c>
      <c r="F654" s="759">
        <v>3.94</v>
      </c>
      <c r="H654" s="759">
        <f t="shared" si="10"/>
        <v>5.7130000000000001</v>
      </c>
    </row>
    <row r="655" spans="1:8">
      <c r="A655" s="701">
        <v>0</v>
      </c>
      <c r="B655" s="759">
        <v>6</v>
      </c>
      <c r="C655" s="759">
        <v>3.75</v>
      </c>
      <c r="D655" s="759">
        <v>2.6</v>
      </c>
      <c r="E655" s="701">
        <v>1.45</v>
      </c>
      <c r="F655" s="759">
        <v>3.94</v>
      </c>
      <c r="H655" s="759">
        <f t="shared" si="10"/>
        <v>5.7130000000000001</v>
      </c>
    </row>
    <row r="656" spans="1:8">
      <c r="A656" s="701">
        <v>0</v>
      </c>
      <c r="B656" s="759">
        <v>6</v>
      </c>
      <c r="C656" s="759">
        <v>4</v>
      </c>
      <c r="D656" s="759">
        <v>2.6</v>
      </c>
      <c r="E656" s="701">
        <v>1.45</v>
      </c>
      <c r="F656" s="759">
        <v>3.94</v>
      </c>
      <c r="H656" s="759">
        <f t="shared" si="10"/>
        <v>5.7130000000000001</v>
      </c>
    </row>
    <row r="657" spans="1:8">
      <c r="A657" s="701">
        <v>0</v>
      </c>
      <c r="B657" s="759">
        <v>6</v>
      </c>
      <c r="C657" s="759">
        <v>4.25</v>
      </c>
      <c r="D657" s="759">
        <v>2.6</v>
      </c>
      <c r="E657" s="701">
        <v>1.45</v>
      </c>
      <c r="F657" s="759">
        <v>3.94</v>
      </c>
      <c r="H657" s="759">
        <f t="shared" si="10"/>
        <v>5.7130000000000001</v>
      </c>
    </row>
    <row r="658" spans="1:8">
      <c r="A658" s="701">
        <v>0</v>
      </c>
      <c r="B658" s="759">
        <v>6</v>
      </c>
      <c r="C658" s="759">
        <v>4.5</v>
      </c>
      <c r="D658" s="759">
        <v>2.6</v>
      </c>
      <c r="E658" s="701">
        <v>1.45</v>
      </c>
      <c r="F658" s="759">
        <v>3.94</v>
      </c>
      <c r="H658" s="759">
        <f t="shared" si="10"/>
        <v>5.7130000000000001</v>
      </c>
    </row>
    <row r="659" spans="1:8">
      <c r="A659" s="701">
        <v>0</v>
      </c>
      <c r="B659" s="759">
        <v>6</v>
      </c>
      <c r="C659" s="759">
        <v>4.75</v>
      </c>
      <c r="D659" s="759">
        <v>2.6</v>
      </c>
      <c r="E659" s="701">
        <v>1.45</v>
      </c>
      <c r="F659" s="759">
        <v>3.94</v>
      </c>
      <c r="H659" s="759">
        <f t="shared" si="10"/>
        <v>5.7130000000000001</v>
      </c>
    </row>
    <row r="660" spans="1:8">
      <c r="A660" s="701">
        <v>0</v>
      </c>
      <c r="B660" s="759">
        <v>6</v>
      </c>
      <c r="C660" s="759">
        <v>5</v>
      </c>
      <c r="D660" s="759">
        <v>2.6</v>
      </c>
      <c r="E660" s="701">
        <v>1.45</v>
      </c>
      <c r="F660" s="759">
        <v>3.94</v>
      </c>
      <c r="H660" s="759">
        <f t="shared" si="10"/>
        <v>5.7130000000000001</v>
      </c>
    </row>
    <row r="661" spans="1:8">
      <c r="A661" s="701">
        <v>0</v>
      </c>
      <c r="B661" s="759">
        <v>6</v>
      </c>
      <c r="C661" s="759">
        <v>5.25</v>
      </c>
      <c r="D661" s="759">
        <v>2.6</v>
      </c>
      <c r="E661" s="701">
        <v>1.45</v>
      </c>
      <c r="F661" s="759">
        <v>3.94</v>
      </c>
      <c r="H661" s="759">
        <f t="shared" si="10"/>
        <v>5.7130000000000001</v>
      </c>
    </row>
    <row r="662" spans="1:8">
      <c r="A662" s="701">
        <v>0</v>
      </c>
      <c r="B662" s="759">
        <v>6</v>
      </c>
      <c r="C662" s="759">
        <v>5.5</v>
      </c>
      <c r="D662" s="759">
        <v>2.6</v>
      </c>
      <c r="E662" s="701">
        <v>1.45</v>
      </c>
      <c r="F662" s="759">
        <v>3.94</v>
      </c>
      <c r="H662" s="759">
        <f t="shared" si="10"/>
        <v>5.7130000000000001</v>
      </c>
    </row>
    <row r="663" spans="1:8">
      <c r="A663" s="701">
        <v>0</v>
      </c>
      <c r="B663" s="759">
        <v>6</v>
      </c>
      <c r="C663" s="759">
        <v>5.75</v>
      </c>
      <c r="D663" s="759">
        <v>2.6</v>
      </c>
      <c r="E663" s="701">
        <v>1.45</v>
      </c>
      <c r="F663" s="759">
        <v>3.94</v>
      </c>
      <c r="H663" s="759">
        <f t="shared" si="10"/>
        <v>5.7130000000000001</v>
      </c>
    </row>
    <row r="664" spans="1:8">
      <c r="A664" s="701">
        <v>0</v>
      </c>
      <c r="B664" s="759">
        <v>6</v>
      </c>
      <c r="C664" s="759">
        <v>6</v>
      </c>
      <c r="D664" s="759">
        <v>2.6</v>
      </c>
      <c r="E664" s="701">
        <v>1.45</v>
      </c>
      <c r="F664" s="759">
        <v>3.94</v>
      </c>
      <c r="H664" s="759">
        <f t="shared" si="10"/>
        <v>5.7130000000000001</v>
      </c>
    </row>
    <row r="665" spans="1:8">
      <c r="A665" s="701">
        <v>0</v>
      </c>
      <c r="B665" s="759">
        <v>6</v>
      </c>
      <c r="C665" s="759">
        <v>6.25</v>
      </c>
      <c r="D665" s="759">
        <v>2.6</v>
      </c>
      <c r="E665" s="701">
        <v>1.45</v>
      </c>
      <c r="F665" s="759">
        <v>3.94</v>
      </c>
      <c r="H665" s="759">
        <f t="shared" si="10"/>
        <v>5.7130000000000001</v>
      </c>
    </row>
    <row r="666" spans="1:8">
      <c r="A666" s="701">
        <v>0</v>
      </c>
      <c r="B666" s="759">
        <v>6</v>
      </c>
      <c r="C666" s="759">
        <v>6.5</v>
      </c>
      <c r="D666" s="759">
        <v>2.6</v>
      </c>
      <c r="E666" s="701">
        <v>1.45</v>
      </c>
      <c r="F666" s="759">
        <v>3.94</v>
      </c>
      <c r="H666" s="759">
        <f t="shared" si="10"/>
        <v>5.7130000000000001</v>
      </c>
    </row>
    <row r="667" spans="1:8">
      <c r="A667" s="701">
        <v>0</v>
      </c>
      <c r="B667" s="759">
        <v>6</v>
      </c>
      <c r="C667" s="759">
        <v>6.75</v>
      </c>
      <c r="D667" s="759">
        <v>2.6</v>
      </c>
      <c r="E667" s="701">
        <v>1.45</v>
      </c>
      <c r="F667" s="759">
        <v>3.94</v>
      </c>
      <c r="H667" s="759">
        <f t="shared" si="10"/>
        <v>5.7130000000000001</v>
      </c>
    </row>
    <row r="668" spans="1:8">
      <c r="A668" s="701">
        <v>0</v>
      </c>
      <c r="B668" s="759">
        <v>6</v>
      </c>
      <c r="C668" s="759">
        <v>7</v>
      </c>
      <c r="D668" s="759">
        <v>2.6</v>
      </c>
      <c r="E668" s="701">
        <v>1.45</v>
      </c>
      <c r="F668" s="759">
        <v>3.94</v>
      </c>
      <c r="H668" s="759">
        <f t="shared" si="10"/>
        <v>5.7130000000000001</v>
      </c>
    </row>
    <row r="669" spans="1:8">
      <c r="A669" s="701">
        <v>0</v>
      </c>
      <c r="B669" s="759">
        <v>6</v>
      </c>
      <c r="C669" s="759">
        <v>7.5</v>
      </c>
      <c r="D669" s="759">
        <v>2.6</v>
      </c>
      <c r="E669" s="701">
        <v>1.45</v>
      </c>
      <c r="F669" s="759">
        <v>3.94</v>
      </c>
      <c r="H669" s="759">
        <f t="shared" si="10"/>
        <v>5.7130000000000001</v>
      </c>
    </row>
    <row r="670" spans="1:8">
      <c r="A670" s="701">
        <v>0</v>
      </c>
      <c r="B670" s="759">
        <v>6</v>
      </c>
      <c r="C670" s="759">
        <v>8</v>
      </c>
      <c r="D670" s="759">
        <v>2.6</v>
      </c>
      <c r="E670" s="701">
        <v>1.45</v>
      </c>
      <c r="F670" s="759">
        <v>3.94</v>
      </c>
      <c r="H670" s="759">
        <f t="shared" si="10"/>
        <v>5.7130000000000001</v>
      </c>
    </row>
    <row r="671" spans="1:8">
      <c r="A671" s="701">
        <v>0</v>
      </c>
      <c r="B671" s="759">
        <v>6.5</v>
      </c>
      <c r="C671" s="759">
        <v>3</v>
      </c>
      <c r="D671" s="759">
        <v>2.6</v>
      </c>
      <c r="E671" s="701">
        <v>1.45</v>
      </c>
      <c r="F671" s="759">
        <v>4.2699999999999996</v>
      </c>
      <c r="H671" s="759">
        <f t="shared" si="10"/>
        <v>6.1914999999999996</v>
      </c>
    </row>
    <row r="672" spans="1:8">
      <c r="A672" s="701">
        <v>0</v>
      </c>
      <c r="B672" s="759">
        <v>6.5</v>
      </c>
      <c r="C672" s="759">
        <v>3.25</v>
      </c>
      <c r="D672" s="759">
        <v>2.6</v>
      </c>
      <c r="E672" s="701">
        <v>1.45</v>
      </c>
      <c r="F672" s="759">
        <v>4.2699999999999996</v>
      </c>
      <c r="H672" s="759">
        <f t="shared" si="10"/>
        <v>6.1914999999999996</v>
      </c>
    </row>
    <row r="673" spans="1:8">
      <c r="A673" s="701">
        <v>0</v>
      </c>
      <c r="B673" s="759">
        <v>6.5</v>
      </c>
      <c r="C673" s="759">
        <v>3.5</v>
      </c>
      <c r="D673" s="759">
        <v>2.6</v>
      </c>
      <c r="E673" s="701">
        <v>1.45</v>
      </c>
      <c r="F673" s="759">
        <v>4.2699999999999996</v>
      </c>
      <c r="H673" s="759">
        <f t="shared" si="10"/>
        <v>6.1914999999999996</v>
      </c>
    </row>
    <row r="674" spans="1:8">
      <c r="A674" s="701">
        <v>0</v>
      </c>
      <c r="B674" s="759">
        <v>6.5</v>
      </c>
      <c r="C674" s="759">
        <v>3.75</v>
      </c>
      <c r="D674" s="759">
        <v>2.6</v>
      </c>
      <c r="E674" s="701">
        <v>1.45</v>
      </c>
      <c r="F674" s="759">
        <v>4.2699999999999996</v>
      </c>
      <c r="H674" s="759">
        <f t="shared" si="10"/>
        <v>6.1914999999999996</v>
      </c>
    </row>
    <row r="675" spans="1:8">
      <c r="A675" s="701">
        <v>0</v>
      </c>
      <c r="B675" s="759">
        <v>6.5</v>
      </c>
      <c r="C675" s="759">
        <v>4</v>
      </c>
      <c r="D675" s="759">
        <v>2.6</v>
      </c>
      <c r="E675" s="701">
        <v>1.45</v>
      </c>
      <c r="F675" s="759">
        <v>4.2699999999999996</v>
      </c>
      <c r="H675" s="759">
        <f t="shared" si="10"/>
        <v>6.1914999999999996</v>
      </c>
    </row>
    <row r="676" spans="1:8">
      <c r="A676" s="701">
        <v>0</v>
      </c>
      <c r="B676" s="759">
        <v>6.5</v>
      </c>
      <c r="C676" s="759">
        <v>4.25</v>
      </c>
      <c r="D676" s="759">
        <v>2.6</v>
      </c>
      <c r="E676" s="701">
        <v>1.45</v>
      </c>
      <c r="F676" s="759">
        <v>4.2699999999999996</v>
      </c>
      <c r="H676" s="759">
        <f t="shared" si="10"/>
        <v>6.1914999999999996</v>
      </c>
    </row>
    <row r="677" spans="1:8">
      <c r="A677" s="701">
        <v>0</v>
      </c>
      <c r="B677" s="759">
        <v>6.5</v>
      </c>
      <c r="C677" s="759">
        <v>4.5</v>
      </c>
      <c r="D677" s="759">
        <v>2.6</v>
      </c>
      <c r="E677" s="701">
        <v>1.45</v>
      </c>
      <c r="F677" s="759">
        <v>4.2699999999999996</v>
      </c>
      <c r="H677" s="759">
        <f t="shared" si="10"/>
        <v>6.1914999999999996</v>
      </c>
    </row>
    <row r="678" spans="1:8">
      <c r="A678" s="701">
        <v>0</v>
      </c>
      <c r="B678" s="759">
        <v>6.5</v>
      </c>
      <c r="C678" s="759">
        <v>4.75</v>
      </c>
      <c r="D678" s="759">
        <v>2.6</v>
      </c>
      <c r="E678" s="701">
        <v>1.45</v>
      </c>
      <c r="F678" s="759">
        <v>4.2699999999999996</v>
      </c>
      <c r="H678" s="759">
        <f t="shared" si="10"/>
        <v>6.1914999999999996</v>
      </c>
    </row>
    <row r="679" spans="1:8">
      <c r="A679" s="701">
        <v>0</v>
      </c>
      <c r="B679" s="759">
        <v>6.5</v>
      </c>
      <c r="C679" s="759">
        <v>5</v>
      </c>
      <c r="D679" s="759">
        <v>2.6</v>
      </c>
      <c r="E679" s="701">
        <v>1.45</v>
      </c>
      <c r="F679" s="759">
        <v>4.2699999999999996</v>
      </c>
      <c r="H679" s="759">
        <f t="shared" si="10"/>
        <v>6.1914999999999996</v>
      </c>
    </row>
    <row r="680" spans="1:8">
      <c r="A680" s="701">
        <v>0</v>
      </c>
      <c r="B680" s="759">
        <v>6.5</v>
      </c>
      <c r="C680" s="759">
        <v>5.25</v>
      </c>
      <c r="D680" s="759">
        <v>2.6</v>
      </c>
      <c r="E680" s="701">
        <v>1.45</v>
      </c>
      <c r="F680" s="759">
        <v>4.2699999999999996</v>
      </c>
      <c r="H680" s="759">
        <f t="shared" si="10"/>
        <v>6.1914999999999996</v>
      </c>
    </row>
    <row r="681" spans="1:8">
      <c r="A681" s="701">
        <v>0</v>
      </c>
      <c r="B681" s="759">
        <v>6.5</v>
      </c>
      <c r="C681" s="759">
        <v>5.5</v>
      </c>
      <c r="D681" s="759">
        <v>2.6</v>
      </c>
      <c r="E681" s="701">
        <v>1.45</v>
      </c>
      <c r="F681" s="759">
        <v>4.2699999999999996</v>
      </c>
      <c r="H681" s="759">
        <f t="shared" si="10"/>
        <v>6.1914999999999996</v>
      </c>
    </row>
    <row r="682" spans="1:8">
      <c r="A682" s="701">
        <v>0</v>
      </c>
      <c r="B682" s="759">
        <v>6.5</v>
      </c>
      <c r="C682" s="759">
        <v>5.75</v>
      </c>
      <c r="D682" s="759">
        <v>2.6</v>
      </c>
      <c r="E682" s="701">
        <v>1.45</v>
      </c>
      <c r="F682" s="759">
        <v>4.2699999999999996</v>
      </c>
      <c r="H682" s="759">
        <f t="shared" si="10"/>
        <v>6.1914999999999996</v>
      </c>
    </row>
    <row r="683" spans="1:8">
      <c r="A683" s="701">
        <v>0</v>
      </c>
      <c r="B683" s="759">
        <v>6.5</v>
      </c>
      <c r="C683" s="759">
        <v>6</v>
      </c>
      <c r="D683" s="759">
        <v>2.6</v>
      </c>
      <c r="E683" s="701">
        <v>1.45</v>
      </c>
      <c r="F683" s="759">
        <v>4.2699999999999996</v>
      </c>
      <c r="H683" s="759">
        <f t="shared" si="10"/>
        <v>6.1914999999999996</v>
      </c>
    </row>
    <row r="684" spans="1:8">
      <c r="A684" s="701">
        <v>0</v>
      </c>
      <c r="B684" s="759">
        <v>6.5</v>
      </c>
      <c r="C684" s="759">
        <v>6.25</v>
      </c>
      <c r="D684" s="759">
        <v>2.6</v>
      </c>
      <c r="E684" s="701">
        <v>1.45</v>
      </c>
      <c r="F684" s="759">
        <v>4.2699999999999996</v>
      </c>
      <c r="H684" s="759">
        <f t="shared" si="10"/>
        <v>6.1914999999999996</v>
      </c>
    </row>
    <row r="685" spans="1:8">
      <c r="A685" s="701">
        <v>0</v>
      </c>
      <c r="B685" s="759">
        <v>6.5</v>
      </c>
      <c r="C685" s="759">
        <v>6.5</v>
      </c>
      <c r="D685" s="759">
        <v>2.6</v>
      </c>
      <c r="E685" s="701">
        <v>1.45</v>
      </c>
      <c r="F685" s="759">
        <v>4.2699999999999996</v>
      </c>
      <c r="H685" s="759">
        <f t="shared" si="10"/>
        <v>6.1914999999999996</v>
      </c>
    </row>
    <row r="686" spans="1:8">
      <c r="A686" s="701">
        <v>0</v>
      </c>
      <c r="B686" s="759">
        <v>6.5</v>
      </c>
      <c r="C686" s="759">
        <v>6.75</v>
      </c>
      <c r="D686" s="759">
        <v>2.6</v>
      </c>
      <c r="E686" s="701">
        <v>1.45</v>
      </c>
      <c r="F686" s="759">
        <v>4.2699999999999996</v>
      </c>
      <c r="H686" s="759">
        <f t="shared" si="10"/>
        <v>6.1914999999999996</v>
      </c>
    </row>
    <row r="687" spans="1:8">
      <c r="A687" s="701">
        <v>0</v>
      </c>
      <c r="B687" s="759">
        <v>6.5</v>
      </c>
      <c r="C687" s="759">
        <v>7</v>
      </c>
      <c r="D687" s="759">
        <v>2.6</v>
      </c>
      <c r="E687" s="701">
        <v>1.45</v>
      </c>
      <c r="F687" s="759">
        <v>4.2699999999999996</v>
      </c>
      <c r="H687" s="759">
        <f t="shared" si="10"/>
        <v>6.1914999999999996</v>
      </c>
    </row>
    <row r="688" spans="1:8">
      <c r="A688" s="701">
        <v>0</v>
      </c>
      <c r="B688" s="759">
        <v>6.5</v>
      </c>
      <c r="C688" s="759">
        <v>7.5</v>
      </c>
      <c r="D688" s="759">
        <v>2.6</v>
      </c>
      <c r="E688" s="701">
        <v>1.45</v>
      </c>
      <c r="F688" s="759">
        <v>4.2699999999999996</v>
      </c>
      <c r="H688" s="759">
        <f t="shared" si="10"/>
        <v>6.1914999999999996</v>
      </c>
    </row>
    <row r="689" spans="1:8">
      <c r="A689" s="701">
        <v>0</v>
      </c>
      <c r="B689" s="759">
        <v>6.5</v>
      </c>
      <c r="C689" s="759">
        <v>8</v>
      </c>
      <c r="D689" s="759">
        <v>2.6</v>
      </c>
      <c r="E689" s="701">
        <v>1.45</v>
      </c>
      <c r="F689" s="759">
        <v>4.2699999999999996</v>
      </c>
      <c r="H689" s="759">
        <f t="shared" si="10"/>
        <v>6.1914999999999996</v>
      </c>
    </row>
    <row r="690" spans="1:8">
      <c r="A690" s="701">
        <v>0</v>
      </c>
      <c r="B690" s="759">
        <v>7</v>
      </c>
      <c r="C690" s="759">
        <v>3</v>
      </c>
      <c r="D690" s="759">
        <v>2.6</v>
      </c>
      <c r="E690" s="701">
        <v>1.45</v>
      </c>
      <c r="F690" s="759">
        <v>4.5999999999999996</v>
      </c>
      <c r="H690" s="759">
        <f t="shared" si="10"/>
        <v>6.669999999999999</v>
      </c>
    </row>
    <row r="691" spans="1:8">
      <c r="A691" s="701">
        <v>0</v>
      </c>
      <c r="B691" s="759">
        <v>7</v>
      </c>
      <c r="C691" s="759">
        <v>3.25</v>
      </c>
      <c r="D691" s="759">
        <v>2.6</v>
      </c>
      <c r="E691" s="701">
        <v>1.45</v>
      </c>
      <c r="F691" s="759">
        <v>4.5999999999999996</v>
      </c>
      <c r="H691" s="759">
        <f t="shared" si="10"/>
        <v>6.669999999999999</v>
      </c>
    </row>
    <row r="692" spans="1:8">
      <c r="A692" s="701">
        <v>0</v>
      </c>
      <c r="B692" s="759">
        <v>7</v>
      </c>
      <c r="C692" s="759">
        <v>3.5</v>
      </c>
      <c r="D692" s="759">
        <v>2.6</v>
      </c>
      <c r="E692" s="701">
        <v>1.45</v>
      </c>
      <c r="F692" s="759">
        <v>4.5999999999999996</v>
      </c>
      <c r="H692" s="759">
        <f t="shared" ref="H692:H746" si="11">F692*E692</f>
        <v>6.669999999999999</v>
      </c>
    </row>
    <row r="693" spans="1:8">
      <c r="A693" s="701">
        <v>0</v>
      </c>
      <c r="B693" s="759">
        <v>7</v>
      </c>
      <c r="C693" s="759">
        <v>3.75</v>
      </c>
      <c r="D693" s="759">
        <v>2.6</v>
      </c>
      <c r="E693" s="701">
        <v>1.45</v>
      </c>
      <c r="F693" s="759">
        <v>4.5999999999999996</v>
      </c>
      <c r="H693" s="759">
        <f t="shared" si="11"/>
        <v>6.669999999999999</v>
      </c>
    </row>
    <row r="694" spans="1:8">
      <c r="A694" s="701">
        <v>0</v>
      </c>
      <c r="B694" s="759">
        <v>7</v>
      </c>
      <c r="C694" s="759">
        <v>4</v>
      </c>
      <c r="D694" s="759">
        <v>2.6</v>
      </c>
      <c r="E694" s="701">
        <v>1.45</v>
      </c>
      <c r="F694" s="759">
        <v>4.5999999999999996</v>
      </c>
      <c r="H694" s="759">
        <f t="shared" si="11"/>
        <v>6.669999999999999</v>
      </c>
    </row>
    <row r="695" spans="1:8">
      <c r="A695" s="701">
        <v>0</v>
      </c>
      <c r="B695" s="759">
        <v>7</v>
      </c>
      <c r="C695" s="759">
        <v>4.25</v>
      </c>
      <c r="D695" s="759">
        <v>2.6</v>
      </c>
      <c r="E695" s="701">
        <v>1.45</v>
      </c>
      <c r="F695" s="759">
        <v>4.5999999999999996</v>
      </c>
      <c r="H695" s="759">
        <f t="shared" si="11"/>
        <v>6.669999999999999</v>
      </c>
    </row>
    <row r="696" spans="1:8">
      <c r="A696" s="701">
        <v>0</v>
      </c>
      <c r="B696" s="759">
        <v>7</v>
      </c>
      <c r="C696" s="759">
        <v>4.5</v>
      </c>
      <c r="D696" s="759">
        <v>2.6</v>
      </c>
      <c r="E696" s="701">
        <v>1.45</v>
      </c>
      <c r="F696" s="759">
        <v>4.5999999999999996</v>
      </c>
      <c r="H696" s="759">
        <f t="shared" si="11"/>
        <v>6.669999999999999</v>
      </c>
    </row>
    <row r="697" spans="1:8">
      <c r="A697" s="701">
        <v>0</v>
      </c>
      <c r="B697" s="759">
        <v>7</v>
      </c>
      <c r="C697" s="759">
        <v>4.75</v>
      </c>
      <c r="D697" s="759">
        <v>2.6</v>
      </c>
      <c r="E697" s="701">
        <v>1.45</v>
      </c>
      <c r="F697" s="759">
        <v>4.5999999999999996</v>
      </c>
      <c r="H697" s="759">
        <f t="shared" si="11"/>
        <v>6.669999999999999</v>
      </c>
    </row>
    <row r="698" spans="1:8">
      <c r="A698" s="701">
        <v>0</v>
      </c>
      <c r="B698" s="759">
        <v>7</v>
      </c>
      <c r="C698" s="759">
        <v>5</v>
      </c>
      <c r="D698" s="759">
        <v>2.6</v>
      </c>
      <c r="E698" s="701">
        <v>1.45</v>
      </c>
      <c r="F698" s="759">
        <v>4.5999999999999996</v>
      </c>
      <c r="H698" s="759">
        <f t="shared" si="11"/>
        <v>6.669999999999999</v>
      </c>
    </row>
    <row r="699" spans="1:8">
      <c r="A699" s="701">
        <v>0</v>
      </c>
      <c r="B699" s="759">
        <v>7</v>
      </c>
      <c r="C699" s="759">
        <v>5.25</v>
      </c>
      <c r="D699" s="759">
        <v>2.6</v>
      </c>
      <c r="E699" s="701">
        <v>1.45</v>
      </c>
      <c r="F699" s="759">
        <v>4.5999999999999996</v>
      </c>
      <c r="H699" s="759">
        <f t="shared" si="11"/>
        <v>6.669999999999999</v>
      </c>
    </row>
    <row r="700" spans="1:8">
      <c r="A700" s="701">
        <v>0</v>
      </c>
      <c r="B700" s="759">
        <v>7</v>
      </c>
      <c r="C700" s="759">
        <v>5.5</v>
      </c>
      <c r="D700" s="759">
        <v>2.6</v>
      </c>
      <c r="E700" s="701">
        <v>1.45</v>
      </c>
      <c r="F700" s="759">
        <v>4.5999999999999996</v>
      </c>
      <c r="H700" s="759">
        <f t="shared" si="11"/>
        <v>6.669999999999999</v>
      </c>
    </row>
    <row r="701" spans="1:8">
      <c r="A701" s="701">
        <v>0</v>
      </c>
      <c r="B701" s="759">
        <v>7</v>
      </c>
      <c r="C701" s="759">
        <v>5.75</v>
      </c>
      <c r="D701" s="759">
        <v>2.6</v>
      </c>
      <c r="E701" s="701">
        <v>1.45</v>
      </c>
      <c r="F701" s="759">
        <v>4.5999999999999996</v>
      </c>
      <c r="H701" s="759">
        <f t="shared" si="11"/>
        <v>6.669999999999999</v>
      </c>
    </row>
    <row r="702" spans="1:8">
      <c r="A702" s="701">
        <v>0</v>
      </c>
      <c r="B702" s="759">
        <v>7</v>
      </c>
      <c r="C702" s="759">
        <v>6</v>
      </c>
      <c r="D702" s="759">
        <v>2.6</v>
      </c>
      <c r="E702" s="701">
        <v>1.45</v>
      </c>
      <c r="F702" s="759">
        <v>4.5999999999999996</v>
      </c>
      <c r="H702" s="759">
        <f t="shared" si="11"/>
        <v>6.669999999999999</v>
      </c>
    </row>
    <row r="703" spans="1:8">
      <c r="A703" s="701">
        <v>0</v>
      </c>
      <c r="B703" s="759">
        <v>7</v>
      </c>
      <c r="C703" s="759">
        <v>6.25</v>
      </c>
      <c r="D703" s="759">
        <v>2.6</v>
      </c>
      <c r="E703" s="701">
        <v>1.45</v>
      </c>
      <c r="F703" s="759">
        <v>4.5999999999999996</v>
      </c>
      <c r="H703" s="759">
        <f t="shared" si="11"/>
        <v>6.669999999999999</v>
      </c>
    </row>
    <row r="704" spans="1:8">
      <c r="A704" s="701">
        <v>0</v>
      </c>
      <c r="B704" s="759">
        <v>7</v>
      </c>
      <c r="C704" s="759">
        <v>6.5</v>
      </c>
      <c r="D704" s="759">
        <v>2.6</v>
      </c>
      <c r="E704" s="701">
        <v>1.45</v>
      </c>
      <c r="F704" s="759">
        <v>4.5999999999999996</v>
      </c>
      <c r="H704" s="759">
        <f t="shared" si="11"/>
        <v>6.669999999999999</v>
      </c>
    </row>
    <row r="705" spans="1:8">
      <c r="A705" s="701">
        <v>0</v>
      </c>
      <c r="B705" s="759">
        <v>7</v>
      </c>
      <c r="C705" s="759">
        <v>6.75</v>
      </c>
      <c r="D705" s="759">
        <v>2.6</v>
      </c>
      <c r="E705" s="701">
        <v>1.45</v>
      </c>
      <c r="F705" s="759">
        <v>4.5999999999999996</v>
      </c>
      <c r="H705" s="759">
        <f t="shared" si="11"/>
        <v>6.669999999999999</v>
      </c>
    </row>
    <row r="706" spans="1:8">
      <c r="A706" s="701">
        <v>0</v>
      </c>
      <c r="B706" s="759">
        <v>7</v>
      </c>
      <c r="C706" s="759">
        <v>7</v>
      </c>
      <c r="D706" s="759">
        <v>2.6</v>
      </c>
      <c r="E706" s="701">
        <v>1.45</v>
      </c>
      <c r="F706" s="759">
        <v>4.5999999999999996</v>
      </c>
      <c r="H706" s="759">
        <f t="shared" si="11"/>
        <v>6.669999999999999</v>
      </c>
    </row>
    <row r="707" spans="1:8">
      <c r="A707" s="701">
        <v>0</v>
      </c>
      <c r="B707" s="759">
        <v>7</v>
      </c>
      <c r="C707" s="759">
        <v>7.5</v>
      </c>
      <c r="D707" s="759">
        <v>2.6</v>
      </c>
      <c r="E707" s="701">
        <v>1.45</v>
      </c>
      <c r="F707" s="759">
        <v>4.5999999999999996</v>
      </c>
      <c r="H707" s="759">
        <f t="shared" si="11"/>
        <v>6.669999999999999</v>
      </c>
    </row>
    <row r="708" spans="1:8">
      <c r="A708" s="701">
        <v>0</v>
      </c>
      <c r="B708" s="759">
        <v>7</v>
      </c>
      <c r="C708" s="759">
        <v>8</v>
      </c>
      <c r="D708" s="759">
        <v>2.6</v>
      </c>
      <c r="E708" s="701">
        <v>1.45</v>
      </c>
      <c r="F708" s="759">
        <v>4.5999999999999996</v>
      </c>
      <c r="H708" s="759">
        <f t="shared" si="11"/>
        <v>6.669999999999999</v>
      </c>
    </row>
    <row r="709" spans="1:8">
      <c r="A709" s="701">
        <v>0</v>
      </c>
      <c r="B709" s="759">
        <v>7.5</v>
      </c>
      <c r="C709" s="759">
        <v>3</v>
      </c>
      <c r="D709" s="759">
        <v>2.6</v>
      </c>
      <c r="E709" s="701">
        <v>1.45</v>
      </c>
      <c r="F709" s="759">
        <v>4.93</v>
      </c>
      <c r="H709" s="759">
        <f t="shared" si="11"/>
        <v>7.1484999999999994</v>
      </c>
    </row>
    <row r="710" spans="1:8">
      <c r="A710" s="701">
        <v>0</v>
      </c>
      <c r="B710" s="759">
        <v>7.5</v>
      </c>
      <c r="C710" s="759">
        <v>3.25</v>
      </c>
      <c r="D710" s="759">
        <v>2.6</v>
      </c>
      <c r="E710" s="701">
        <v>1.45</v>
      </c>
      <c r="F710" s="759">
        <v>4.93</v>
      </c>
      <c r="H710" s="759">
        <f t="shared" si="11"/>
        <v>7.1484999999999994</v>
      </c>
    </row>
    <row r="711" spans="1:8">
      <c r="A711" s="701">
        <v>0</v>
      </c>
      <c r="B711" s="759">
        <v>7.5</v>
      </c>
      <c r="C711" s="759">
        <v>3.5</v>
      </c>
      <c r="D711" s="759">
        <v>2.6</v>
      </c>
      <c r="E711" s="701">
        <v>1.45</v>
      </c>
      <c r="F711" s="759">
        <v>4.93</v>
      </c>
      <c r="H711" s="759">
        <f t="shared" si="11"/>
        <v>7.1484999999999994</v>
      </c>
    </row>
    <row r="712" spans="1:8">
      <c r="A712" s="701">
        <v>0</v>
      </c>
      <c r="B712" s="759">
        <v>7.5</v>
      </c>
      <c r="C712" s="759">
        <v>3.75</v>
      </c>
      <c r="D712" s="759">
        <v>2.6</v>
      </c>
      <c r="E712" s="701">
        <v>1.45</v>
      </c>
      <c r="F712" s="759">
        <v>4.93</v>
      </c>
      <c r="H712" s="759">
        <f t="shared" si="11"/>
        <v>7.1484999999999994</v>
      </c>
    </row>
    <row r="713" spans="1:8">
      <c r="A713" s="701">
        <v>0</v>
      </c>
      <c r="B713" s="759">
        <v>7.5</v>
      </c>
      <c r="C713" s="759">
        <v>4</v>
      </c>
      <c r="D713" s="759">
        <v>2.6</v>
      </c>
      <c r="E713" s="701">
        <v>1.45</v>
      </c>
      <c r="F713" s="759">
        <v>4.93</v>
      </c>
      <c r="H713" s="759">
        <f t="shared" si="11"/>
        <v>7.1484999999999994</v>
      </c>
    </row>
    <row r="714" spans="1:8">
      <c r="A714" s="701">
        <v>0</v>
      </c>
      <c r="B714" s="759">
        <v>7.5</v>
      </c>
      <c r="C714" s="759">
        <v>4.25</v>
      </c>
      <c r="D714" s="759">
        <v>2.6</v>
      </c>
      <c r="E714" s="701">
        <v>1.45</v>
      </c>
      <c r="F714" s="759">
        <v>4.93</v>
      </c>
      <c r="H714" s="759">
        <f t="shared" si="11"/>
        <v>7.1484999999999994</v>
      </c>
    </row>
    <row r="715" spans="1:8">
      <c r="A715" s="701">
        <v>0</v>
      </c>
      <c r="B715" s="759">
        <v>7.5</v>
      </c>
      <c r="C715" s="759">
        <v>4.5</v>
      </c>
      <c r="D715" s="759">
        <v>2.6</v>
      </c>
      <c r="E715" s="701">
        <v>1.45</v>
      </c>
      <c r="F715" s="759">
        <v>4.93</v>
      </c>
      <c r="H715" s="759">
        <f t="shared" si="11"/>
        <v>7.1484999999999994</v>
      </c>
    </row>
    <row r="716" spans="1:8">
      <c r="A716" s="701">
        <v>0</v>
      </c>
      <c r="B716" s="759">
        <v>7.5</v>
      </c>
      <c r="C716" s="759">
        <v>4.75</v>
      </c>
      <c r="D716" s="759">
        <v>2.6</v>
      </c>
      <c r="E716" s="701">
        <v>1.45</v>
      </c>
      <c r="F716" s="759">
        <v>4.93</v>
      </c>
      <c r="H716" s="759">
        <f t="shared" si="11"/>
        <v>7.1484999999999994</v>
      </c>
    </row>
    <row r="717" spans="1:8">
      <c r="A717" s="701">
        <v>0</v>
      </c>
      <c r="B717" s="759">
        <v>7.5</v>
      </c>
      <c r="C717" s="759">
        <v>5</v>
      </c>
      <c r="D717" s="759">
        <v>2.6</v>
      </c>
      <c r="E717" s="701">
        <v>1.45</v>
      </c>
      <c r="F717" s="759">
        <v>4.93</v>
      </c>
      <c r="H717" s="759">
        <f t="shared" si="11"/>
        <v>7.1484999999999994</v>
      </c>
    </row>
    <row r="718" spans="1:8">
      <c r="A718" s="701">
        <v>0</v>
      </c>
      <c r="B718" s="759">
        <v>7.5</v>
      </c>
      <c r="C718" s="759">
        <v>5.25</v>
      </c>
      <c r="D718" s="759">
        <v>2.6</v>
      </c>
      <c r="E718" s="701">
        <v>1.45</v>
      </c>
      <c r="F718" s="759">
        <v>4.93</v>
      </c>
      <c r="H718" s="759">
        <f t="shared" si="11"/>
        <v>7.1484999999999994</v>
      </c>
    </row>
    <row r="719" spans="1:8">
      <c r="A719" s="701">
        <v>0</v>
      </c>
      <c r="B719" s="759">
        <v>7.5</v>
      </c>
      <c r="C719" s="759">
        <v>5.5</v>
      </c>
      <c r="D719" s="759">
        <v>2.6</v>
      </c>
      <c r="E719" s="701">
        <v>1.45</v>
      </c>
      <c r="F719" s="759">
        <v>4.93</v>
      </c>
      <c r="H719" s="759">
        <f t="shared" si="11"/>
        <v>7.1484999999999994</v>
      </c>
    </row>
    <row r="720" spans="1:8">
      <c r="A720" s="701">
        <v>0</v>
      </c>
      <c r="B720" s="759">
        <v>7.5</v>
      </c>
      <c r="C720" s="759">
        <v>5.75</v>
      </c>
      <c r="D720" s="759">
        <v>2.6</v>
      </c>
      <c r="E720" s="701">
        <v>1.45</v>
      </c>
      <c r="F720" s="759">
        <v>4.93</v>
      </c>
      <c r="H720" s="759">
        <f t="shared" si="11"/>
        <v>7.1484999999999994</v>
      </c>
    </row>
    <row r="721" spans="1:8">
      <c r="A721" s="701">
        <v>0</v>
      </c>
      <c r="B721" s="759">
        <v>7.5</v>
      </c>
      <c r="C721" s="759">
        <v>6</v>
      </c>
      <c r="D721" s="759">
        <v>2.6</v>
      </c>
      <c r="E721" s="701">
        <v>1.45</v>
      </c>
      <c r="F721" s="759">
        <v>4.93</v>
      </c>
      <c r="H721" s="759">
        <f t="shared" si="11"/>
        <v>7.1484999999999994</v>
      </c>
    </row>
    <row r="722" spans="1:8">
      <c r="A722" s="701">
        <v>0</v>
      </c>
      <c r="B722" s="759">
        <v>7.5</v>
      </c>
      <c r="C722" s="759">
        <v>6.25</v>
      </c>
      <c r="D722" s="759">
        <v>2.6</v>
      </c>
      <c r="E722" s="701">
        <v>1.45</v>
      </c>
      <c r="F722" s="759">
        <v>4.93</v>
      </c>
      <c r="H722" s="759">
        <f t="shared" si="11"/>
        <v>7.1484999999999994</v>
      </c>
    </row>
    <row r="723" spans="1:8">
      <c r="A723" s="701">
        <v>0</v>
      </c>
      <c r="B723" s="759">
        <v>7.5</v>
      </c>
      <c r="C723" s="759">
        <v>6.5</v>
      </c>
      <c r="D723" s="759">
        <v>2.6</v>
      </c>
      <c r="E723" s="701">
        <v>1.45</v>
      </c>
      <c r="F723" s="759">
        <v>4.93</v>
      </c>
      <c r="H723" s="759">
        <f t="shared" si="11"/>
        <v>7.1484999999999994</v>
      </c>
    </row>
    <row r="724" spans="1:8">
      <c r="A724" s="701">
        <v>0</v>
      </c>
      <c r="B724" s="759">
        <v>7.5</v>
      </c>
      <c r="C724" s="759">
        <v>6.75</v>
      </c>
      <c r="D724" s="759">
        <v>2.6</v>
      </c>
      <c r="E724" s="701">
        <v>1.45</v>
      </c>
      <c r="F724" s="759">
        <v>4.93</v>
      </c>
      <c r="H724" s="759">
        <f t="shared" si="11"/>
        <v>7.1484999999999994</v>
      </c>
    </row>
    <row r="725" spans="1:8">
      <c r="A725" s="701">
        <v>0</v>
      </c>
      <c r="B725" s="759">
        <v>7.5</v>
      </c>
      <c r="C725" s="759">
        <v>7</v>
      </c>
      <c r="D725" s="759">
        <v>2.6</v>
      </c>
      <c r="E725" s="701">
        <v>1.45</v>
      </c>
      <c r="F725" s="759">
        <v>4.93</v>
      </c>
      <c r="H725" s="759">
        <f t="shared" si="11"/>
        <v>7.1484999999999994</v>
      </c>
    </row>
    <row r="726" spans="1:8">
      <c r="A726" s="701">
        <v>0</v>
      </c>
      <c r="B726" s="759">
        <v>7.5</v>
      </c>
      <c r="C726" s="759">
        <v>7.5</v>
      </c>
      <c r="D726" s="759">
        <v>2.6</v>
      </c>
      <c r="E726" s="701">
        <v>1.45</v>
      </c>
      <c r="F726" s="759">
        <v>4.93</v>
      </c>
      <c r="H726" s="759">
        <f t="shared" si="11"/>
        <v>7.1484999999999994</v>
      </c>
    </row>
    <row r="727" spans="1:8">
      <c r="A727" s="701">
        <v>0</v>
      </c>
      <c r="B727" s="759">
        <v>7.5</v>
      </c>
      <c r="C727" s="759">
        <v>8</v>
      </c>
      <c r="D727" s="759">
        <v>2.6</v>
      </c>
      <c r="E727" s="701">
        <v>1.45</v>
      </c>
      <c r="F727" s="759">
        <v>4.93</v>
      </c>
      <c r="H727" s="759">
        <f t="shared" si="11"/>
        <v>7.1484999999999994</v>
      </c>
    </row>
    <row r="728" spans="1:8">
      <c r="A728" s="701">
        <v>0</v>
      </c>
      <c r="B728" s="759">
        <v>8</v>
      </c>
      <c r="C728" s="759">
        <v>3</v>
      </c>
      <c r="D728" s="759">
        <v>2.6</v>
      </c>
      <c r="E728" s="701">
        <v>1.45</v>
      </c>
      <c r="F728" s="759">
        <v>5.26</v>
      </c>
      <c r="H728" s="759">
        <f t="shared" si="11"/>
        <v>7.6269999999999998</v>
      </c>
    </row>
    <row r="729" spans="1:8">
      <c r="A729" s="701">
        <v>0</v>
      </c>
      <c r="B729" s="759">
        <v>8</v>
      </c>
      <c r="C729" s="759">
        <v>3.25</v>
      </c>
      <c r="D729" s="759">
        <v>2.6</v>
      </c>
      <c r="E729" s="701">
        <v>1.45</v>
      </c>
      <c r="F729" s="759">
        <v>5.26</v>
      </c>
      <c r="H729" s="759">
        <f t="shared" si="11"/>
        <v>7.6269999999999998</v>
      </c>
    </row>
    <row r="730" spans="1:8">
      <c r="A730" s="701">
        <v>0</v>
      </c>
      <c r="B730" s="759">
        <v>8</v>
      </c>
      <c r="C730" s="759">
        <v>3.5</v>
      </c>
      <c r="D730" s="759">
        <v>2.6</v>
      </c>
      <c r="E730" s="701">
        <v>1.45</v>
      </c>
      <c r="F730" s="759">
        <v>5.26</v>
      </c>
      <c r="H730" s="759">
        <f t="shared" si="11"/>
        <v>7.6269999999999998</v>
      </c>
    </row>
    <row r="731" spans="1:8">
      <c r="A731" s="701">
        <v>0</v>
      </c>
      <c r="B731" s="759">
        <v>8</v>
      </c>
      <c r="C731" s="759">
        <v>3.75</v>
      </c>
      <c r="D731" s="759">
        <v>2.6</v>
      </c>
      <c r="E731" s="701">
        <v>1.45</v>
      </c>
      <c r="F731" s="759">
        <v>5.26</v>
      </c>
      <c r="H731" s="759">
        <f t="shared" si="11"/>
        <v>7.6269999999999998</v>
      </c>
    </row>
    <row r="732" spans="1:8">
      <c r="A732" s="701">
        <v>0</v>
      </c>
      <c r="B732" s="759">
        <v>8</v>
      </c>
      <c r="C732" s="759">
        <v>4</v>
      </c>
      <c r="D732" s="759">
        <v>2.6</v>
      </c>
      <c r="E732" s="701">
        <v>1.45</v>
      </c>
      <c r="F732" s="759">
        <v>5.26</v>
      </c>
      <c r="H732" s="759">
        <f t="shared" si="11"/>
        <v>7.6269999999999998</v>
      </c>
    </row>
    <row r="733" spans="1:8">
      <c r="A733" s="701">
        <v>0</v>
      </c>
      <c r="B733" s="759">
        <v>8</v>
      </c>
      <c r="C733" s="759">
        <v>4.25</v>
      </c>
      <c r="D733" s="759">
        <v>2.6</v>
      </c>
      <c r="E733" s="701">
        <v>1.45</v>
      </c>
      <c r="F733" s="759">
        <v>5.26</v>
      </c>
      <c r="H733" s="759">
        <f t="shared" si="11"/>
        <v>7.6269999999999998</v>
      </c>
    </row>
    <row r="734" spans="1:8">
      <c r="A734" s="701">
        <v>0</v>
      </c>
      <c r="B734" s="759">
        <v>8</v>
      </c>
      <c r="C734" s="759">
        <v>4.5</v>
      </c>
      <c r="D734" s="759">
        <v>2.6</v>
      </c>
      <c r="E734" s="701">
        <v>1.45</v>
      </c>
      <c r="F734" s="759">
        <v>5.26</v>
      </c>
      <c r="H734" s="759">
        <f t="shared" si="11"/>
        <v>7.6269999999999998</v>
      </c>
    </row>
    <row r="735" spans="1:8">
      <c r="A735" s="701">
        <v>0</v>
      </c>
      <c r="B735" s="759">
        <v>8</v>
      </c>
      <c r="C735" s="759">
        <v>4.75</v>
      </c>
      <c r="D735" s="759">
        <v>2.6</v>
      </c>
      <c r="E735" s="701">
        <v>1.45</v>
      </c>
      <c r="F735" s="759">
        <v>5.26</v>
      </c>
      <c r="H735" s="759">
        <f t="shared" si="11"/>
        <v>7.6269999999999998</v>
      </c>
    </row>
    <row r="736" spans="1:8">
      <c r="A736" s="701">
        <v>0</v>
      </c>
      <c r="B736" s="759">
        <v>8</v>
      </c>
      <c r="C736" s="759">
        <v>5</v>
      </c>
      <c r="D736" s="759">
        <v>2.6</v>
      </c>
      <c r="E736" s="701">
        <v>1.45</v>
      </c>
      <c r="F736" s="759">
        <v>5.26</v>
      </c>
      <c r="H736" s="759">
        <f t="shared" si="11"/>
        <v>7.6269999999999998</v>
      </c>
    </row>
    <row r="737" spans="1:8">
      <c r="A737" s="701">
        <v>0</v>
      </c>
      <c r="B737" s="759">
        <v>8</v>
      </c>
      <c r="C737" s="759">
        <v>5.25</v>
      </c>
      <c r="D737" s="759">
        <v>2.6</v>
      </c>
      <c r="E737" s="701">
        <v>1.45</v>
      </c>
      <c r="F737" s="759">
        <v>5.26</v>
      </c>
      <c r="H737" s="759">
        <f t="shared" si="11"/>
        <v>7.6269999999999998</v>
      </c>
    </row>
    <row r="738" spans="1:8">
      <c r="A738" s="701">
        <v>0</v>
      </c>
      <c r="B738" s="759">
        <v>8</v>
      </c>
      <c r="C738" s="759">
        <v>5.5</v>
      </c>
      <c r="D738" s="759">
        <v>2.6</v>
      </c>
      <c r="E738" s="701">
        <v>1.45</v>
      </c>
      <c r="F738" s="759">
        <v>5.26</v>
      </c>
      <c r="H738" s="759">
        <f t="shared" si="11"/>
        <v>7.6269999999999998</v>
      </c>
    </row>
    <row r="739" spans="1:8">
      <c r="A739" s="701">
        <v>0</v>
      </c>
      <c r="B739" s="759">
        <v>8</v>
      </c>
      <c r="C739" s="759">
        <v>5.75</v>
      </c>
      <c r="D739" s="759">
        <v>2.6</v>
      </c>
      <c r="E739" s="701">
        <v>1.45</v>
      </c>
      <c r="F739" s="759">
        <v>5.26</v>
      </c>
      <c r="H739" s="759">
        <f t="shared" si="11"/>
        <v>7.6269999999999998</v>
      </c>
    </row>
    <row r="740" spans="1:8">
      <c r="A740" s="701">
        <v>0</v>
      </c>
      <c r="B740" s="759">
        <v>8</v>
      </c>
      <c r="C740" s="759">
        <v>6</v>
      </c>
      <c r="D740" s="759">
        <v>2.6</v>
      </c>
      <c r="E740" s="701">
        <v>1.45</v>
      </c>
      <c r="F740" s="759">
        <v>5.26</v>
      </c>
      <c r="H740" s="759">
        <f t="shared" si="11"/>
        <v>7.6269999999999998</v>
      </c>
    </row>
    <row r="741" spans="1:8">
      <c r="A741" s="701">
        <v>0</v>
      </c>
      <c r="B741" s="759">
        <v>8</v>
      </c>
      <c r="C741" s="759">
        <v>6.25</v>
      </c>
      <c r="D741" s="759">
        <v>2.6</v>
      </c>
      <c r="E741" s="701">
        <v>1.45</v>
      </c>
      <c r="F741" s="759">
        <v>5.26</v>
      </c>
      <c r="H741" s="759">
        <f t="shared" si="11"/>
        <v>7.6269999999999998</v>
      </c>
    </row>
    <row r="742" spans="1:8">
      <c r="A742" s="701">
        <v>0</v>
      </c>
      <c r="B742" s="759">
        <v>8</v>
      </c>
      <c r="C742" s="759">
        <v>6.5</v>
      </c>
      <c r="D742" s="759">
        <v>2.6</v>
      </c>
      <c r="E742" s="701">
        <v>1.45</v>
      </c>
      <c r="F742" s="759">
        <v>5.26</v>
      </c>
      <c r="H742" s="759">
        <f t="shared" si="11"/>
        <v>7.6269999999999998</v>
      </c>
    </row>
    <row r="743" spans="1:8">
      <c r="A743" s="701">
        <v>0</v>
      </c>
      <c r="B743" s="759">
        <v>8</v>
      </c>
      <c r="C743" s="759">
        <v>6.75</v>
      </c>
      <c r="D743" s="759">
        <v>2.6</v>
      </c>
      <c r="E743" s="701">
        <v>1.45</v>
      </c>
      <c r="F743" s="759">
        <v>5.26</v>
      </c>
      <c r="H743" s="759">
        <f t="shared" si="11"/>
        <v>7.6269999999999998</v>
      </c>
    </row>
    <row r="744" spans="1:8">
      <c r="A744" s="701">
        <v>0</v>
      </c>
      <c r="B744" s="759">
        <v>8</v>
      </c>
      <c r="C744" s="759">
        <v>7</v>
      </c>
      <c r="D744" s="759">
        <v>2.6</v>
      </c>
      <c r="E744" s="701">
        <v>1.45</v>
      </c>
      <c r="F744" s="759">
        <v>5.26</v>
      </c>
      <c r="H744" s="759">
        <f t="shared" si="11"/>
        <v>7.6269999999999998</v>
      </c>
    </row>
    <row r="745" spans="1:8">
      <c r="A745" s="701">
        <v>0</v>
      </c>
      <c r="B745" s="759">
        <v>8</v>
      </c>
      <c r="C745" s="759">
        <v>7.5</v>
      </c>
      <c r="D745" s="759">
        <v>2.6</v>
      </c>
      <c r="E745" s="701">
        <v>1.45</v>
      </c>
      <c r="F745" s="759">
        <v>5.26</v>
      </c>
      <c r="H745" s="759">
        <f t="shared" si="11"/>
        <v>7.6269999999999998</v>
      </c>
    </row>
    <row r="746" spans="1:8">
      <c r="A746" s="701">
        <v>0</v>
      </c>
      <c r="B746" s="759">
        <v>8</v>
      </c>
      <c r="C746" s="759">
        <v>8</v>
      </c>
      <c r="D746" s="759">
        <v>2.6</v>
      </c>
      <c r="E746" s="701">
        <v>1.45</v>
      </c>
      <c r="F746" s="759">
        <v>5.26</v>
      </c>
      <c r="H746" s="759">
        <f t="shared" si="11"/>
        <v>7.6269999999999998</v>
      </c>
    </row>
    <row r="748" spans="1:8">
      <c r="A748" s="701">
        <v>0</v>
      </c>
      <c r="B748" s="759">
        <v>2</v>
      </c>
      <c r="C748" s="759">
        <v>3</v>
      </c>
      <c r="D748" s="759">
        <v>2.7</v>
      </c>
      <c r="E748" s="701">
        <v>1.55</v>
      </c>
      <c r="F748" s="759">
        <v>1.31</v>
      </c>
      <c r="H748" s="759">
        <f t="shared" ref="H748:H811" si="12">F748*E748</f>
        <v>2.0305</v>
      </c>
    </row>
    <row r="749" spans="1:8">
      <c r="A749" s="701">
        <v>0</v>
      </c>
      <c r="B749" s="759">
        <v>2</v>
      </c>
      <c r="C749" s="759">
        <v>3.25</v>
      </c>
      <c r="D749" s="759">
        <v>2.7</v>
      </c>
      <c r="E749" s="701">
        <v>1.55</v>
      </c>
      <c r="F749" s="701">
        <v>1.31</v>
      </c>
      <c r="H749" s="759">
        <f t="shared" si="12"/>
        <v>2.0305</v>
      </c>
    </row>
    <row r="750" spans="1:8">
      <c r="A750" s="701">
        <v>0</v>
      </c>
      <c r="B750" s="759">
        <v>2</v>
      </c>
      <c r="C750" s="759">
        <v>3.5</v>
      </c>
      <c r="D750" s="759">
        <v>2.7</v>
      </c>
      <c r="E750" s="701">
        <v>1.55</v>
      </c>
      <c r="F750" s="701">
        <v>1.31</v>
      </c>
      <c r="H750" s="759">
        <f t="shared" si="12"/>
        <v>2.0305</v>
      </c>
    </row>
    <row r="751" spans="1:8">
      <c r="A751" s="701">
        <v>0</v>
      </c>
      <c r="B751" s="759">
        <v>2</v>
      </c>
      <c r="C751" s="759">
        <v>3.75</v>
      </c>
      <c r="D751" s="759">
        <v>2.7</v>
      </c>
      <c r="E751" s="701">
        <v>1.55</v>
      </c>
      <c r="F751" s="701">
        <v>1.31</v>
      </c>
      <c r="H751" s="759">
        <f t="shared" si="12"/>
        <v>2.0305</v>
      </c>
    </row>
    <row r="752" spans="1:8">
      <c r="A752" s="701">
        <v>0</v>
      </c>
      <c r="B752" s="759">
        <v>2</v>
      </c>
      <c r="C752" s="759">
        <v>4</v>
      </c>
      <c r="D752" s="759">
        <v>2.7</v>
      </c>
      <c r="E752" s="701">
        <v>1.55</v>
      </c>
      <c r="F752" s="701">
        <v>1.31</v>
      </c>
      <c r="H752" s="759">
        <f t="shared" si="12"/>
        <v>2.0305</v>
      </c>
    </row>
    <row r="753" spans="1:8">
      <c r="A753" s="701">
        <v>0</v>
      </c>
      <c r="B753" s="759">
        <v>2</v>
      </c>
      <c r="C753" s="759">
        <v>4.25</v>
      </c>
      <c r="D753" s="759">
        <v>2.7</v>
      </c>
      <c r="E753" s="701">
        <v>1.55</v>
      </c>
      <c r="F753" s="701">
        <v>1.31</v>
      </c>
      <c r="H753" s="759">
        <f t="shared" si="12"/>
        <v>2.0305</v>
      </c>
    </row>
    <row r="754" spans="1:8">
      <c r="A754" s="701">
        <v>0</v>
      </c>
      <c r="B754" s="759">
        <v>2</v>
      </c>
      <c r="C754" s="759">
        <v>4.5</v>
      </c>
      <c r="D754" s="759">
        <v>2.7</v>
      </c>
      <c r="E754" s="701">
        <v>1.55</v>
      </c>
      <c r="F754" s="701">
        <v>1.31</v>
      </c>
      <c r="H754" s="759">
        <f t="shared" si="12"/>
        <v>2.0305</v>
      </c>
    </row>
    <row r="755" spans="1:8">
      <c r="A755" s="701">
        <v>0</v>
      </c>
      <c r="B755" s="759">
        <v>2</v>
      </c>
      <c r="C755" s="759">
        <v>4.75</v>
      </c>
      <c r="D755" s="759">
        <v>2.7</v>
      </c>
      <c r="E755" s="701">
        <v>1.55</v>
      </c>
      <c r="F755" s="701">
        <v>1.31</v>
      </c>
      <c r="H755" s="759">
        <f t="shared" si="12"/>
        <v>2.0305</v>
      </c>
    </row>
    <row r="756" spans="1:8">
      <c r="A756" s="701">
        <v>0</v>
      </c>
      <c r="B756" s="759">
        <v>2</v>
      </c>
      <c r="C756" s="759">
        <v>5</v>
      </c>
      <c r="D756" s="759">
        <v>2.7</v>
      </c>
      <c r="E756" s="701">
        <v>1.55</v>
      </c>
      <c r="F756" s="701">
        <v>1.31</v>
      </c>
      <c r="H756" s="759">
        <f t="shared" si="12"/>
        <v>2.0305</v>
      </c>
    </row>
    <row r="757" spans="1:8">
      <c r="A757" s="701">
        <v>0</v>
      </c>
      <c r="B757" s="759">
        <v>2</v>
      </c>
      <c r="C757" s="759">
        <v>5.25</v>
      </c>
      <c r="D757" s="759">
        <v>2.7</v>
      </c>
      <c r="E757" s="701">
        <v>1.55</v>
      </c>
      <c r="F757" s="701">
        <v>1.31</v>
      </c>
      <c r="H757" s="759">
        <f t="shared" si="12"/>
        <v>2.0305</v>
      </c>
    </row>
    <row r="758" spans="1:8">
      <c r="A758" s="701">
        <v>0</v>
      </c>
      <c r="B758" s="759">
        <v>2</v>
      </c>
      <c r="C758" s="759">
        <v>5.5</v>
      </c>
      <c r="D758" s="759">
        <v>2.7</v>
      </c>
      <c r="E758" s="701">
        <v>1.55</v>
      </c>
      <c r="F758" s="701">
        <v>1.31</v>
      </c>
      <c r="H758" s="759">
        <f t="shared" si="12"/>
        <v>2.0305</v>
      </c>
    </row>
    <row r="759" spans="1:8">
      <c r="A759" s="701">
        <v>0</v>
      </c>
      <c r="B759" s="759">
        <v>2</v>
      </c>
      <c r="C759" s="759">
        <v>5.75</v>
      </c>
      <c r="D759" s="759">
        <v>2.7</v>
      </c>
      <c r="E759" s="701">
        <v>1.55</v>
      </c>
      <c r="F759" s="701">
        <v>1.31</v>
      </c>
      <c r="H759" s="759">
        <f t="shared" si="12"/>
        <v>2.0305</v>
      </c>
    </row>
    <row r="760" spans="1:8">
      <c r="A760" s="701">
        <v>0</v>
      </c>
      <c r="B760" s="759">
        <v>2</v>
      </c>
      <c r="C760" s="759">
        <v>6</v>
      </c>
      <c r="D760" s="759">
        <v>2.7</v>
      </c>
      <c r="E760" s="701">
        <v>1.55</v>
      </c>
      <c r="F760" s="701">
        <v>1.31</v>
      </c>
      <c r="H760" s="759">
        <f t="shared" si="12"/>
        <v>2.0305</v>
      </c>
    </row>
    <row r="761" spans="1:8">
      <c r="A761" s="701">
        <v>0</v>
      </c>
      <c r="B761" s="759">
        <v>2</v>
      </c>
      <c r="C761" s="759">
        <v>6.25</v>
      </c>
      <c r="D761" s="759">
        <v>2.7</v>
      </c>
      <c r="E761" s="701">
        <v>1.55</v>
      </c>
      <c r="F761" s="701">
        <v>1.31</v>
      </c>
      <c r="H761" s="759">
        <f t="shared" si="12"/>
        <v>2.0305</v>
      </c>
    </row>
    <row r="762" spans="1:8">
      <c r="A762" s="701">
        <v>0</v>
      </c>
      <c r="B762" s="759">
        <v>2</v>
      </c>
      <c r="C762" s="759">
        <v>6.5</v>
      </c>
      <c r="D762" s="759">
        <v>2.7</v>
      </c>
      <c r="E762" s="701">
        <v>1.55</v>
      </c>
      <c r="F762" s="701">
        <v>1.31</v>
      </c>
      <c r="H762" s="759">
        <f t="shared" si="12"/>
        <v>2.0305</v>
      </c>
    </row>
    <row r="763" spans="1:8">
      <c r="A763" s="701">
        <v>0</v>
      </c>
      <c r="B763" s="759">
        <v>2</v>
      </c>
      <c r="C763" s="759">
        <v>6.75</v>
      </c>
      <c r="D763" s="759">
        <v>2.7</v>
      </c>
      <c r="E763" s="701">
        <v>1.55</v>
      </c>
      <c r="F763" s="701">
        <v>1.31</v>
      </c>
      <c r="H763" s="759">
        <f t="shared" si="12"/>
        <v>2.0305</v>
      </c>
    </row>
    <row r="764" spans="1:8">
      <c r="A764" s="701">
        <v>0</v>
      </c>
      <c r="B764" s="759">
        <v>2</v>
      </c>
      <c r="C764" s="759">
        <v>7</v>
      </c>
      <c r="D764" s="759">
        <v>2.7</v>
      </c>
      <c r="E764" s="701">
        <v>1.55</v>
      </c>
      <c r="F764" s="701">
        <v>1.31</v>
      </c>
      <c r="H764" s="759">
        <f t="shared" si="12"/>
        <v>2.0305</v>
      </c>
    </row>
    <row r="765" spans="1:8">
      <c r="A765" s="701">
        <v>0</v>
      </c>
      <c r="B765" s="759">
        <v>2</v>
      </c>
      <c r="C765" s="759">
        <v>7.5</v>
      </c>
      <c r="D765" s="759">
        <v>2.7</v>
      </c>
      <c r="E765" s="701">
        <v>1.55</v>
      </c>
      <c r="F765" s="701">
        <v>1.36</v>
      </c>
      <c r="H765" s="759">
        <f t="shared" si="12"/>
        <v>2.1080000000000001</v>
      </c>
    </row>
    <row r="766" spans="1:8">
      <c r="A766" s="701">
        <v>0</v>
      </c>
      <c r="B766" s="759">
        <v>2</v>
      </c>
      <c r="C766" s="759">
        <v>8</v>
      </c>
      <c r="D766" s="759">
        <v>2.7</v>
      </c>
      <c r="E766" s="701">
        <v>1.55</v>
      </c>
      <c r="F766" s="701">
        <v>1.49</v>
      </c>
      <c r="H766" s="759">
        <f t="shared" si="12"/>
        <v>2.3094999999999999</v>
      </c>
    </row>
    <row r="767" spans="1:8">
      <c r="A767" s="701">
        <v>0</v>
      </c>
      <c r="B767" s="759">
        <v>2.5</v>
      </c>
      <c r="C767" s="759">
        <v>3</v>
      </c>
      <c r="D767" s="759">
        <v>2.7</v>
      </c>
      <c r="E767" s="701">
        <v>1.55</v>
      </c>
      <c r="F767" s="759">
        <v>1.64</v>
      </c>
      <c r="H767" s="759">
        <f t="shared" si="12"/>
        <v>2.5419999999999998</v>
      </c>
    </row>
    <row r="768" spans="1:8">
      <c r="A768" s="701">
        <v>0</v>
      </c>
      <c r="B768" s="759">
        <v>2.5</v>
      </c>
      <c r="C768" s="759">
        <v>3.25</v>
      </c>
      <c r="D768" s="759">
        <v>2.7</v>
      </c>
      <c r="E768" s="701">
        <v>1.55</v>
      </c>
      <c r="F768" s="701">
        <v>1.64</v>
      </c>
      <c r="H768" s="759">
        <f t="shared" si="12"/>
        <v>2.5419999999999998</v>
      </c>
    </row>
    <row r="769" spans="1:8">
      <c r="A769" s="701">
        <v>0</v>
      </c>
      <c r="B769" s="759">
        <v>2.5</v>
      </c>
      <c r="C769" s="759">
        <v>3.5</v>
      </c>
      <c r="D769" s="759">
        <v>2.7</v>
      </c>
      <c r="E769" s="701">
        <v>1.55</v>
      </c>
      <c r="F769" s="701">
        <v>1.64</v>
      </c>
      <c r="H769" s="759">
        <f t="shared" si="12"/>
        <v>2.5419999999999998</v>
      </c>
    </row>
    <row r="770" spans="1:8">
      <c r="A770" s="701">
        <v>0</v>
      </c>
      <c r="B770" s="759">
        <v>2.5</v>
      </c>
      <c r="C770" s="759">
        <v>3.75</v>
      </c>
      <c r="D770" s="759">
        <v>2.7</v>
      </c>
      <c r="E770" s="701">
        <v>1.55</v>
      </c>
      <c r="F770" s="701">
        <v>1.64</v>
      </c>
      <c r="H770" s="759">
        <f t="shared" si="12"/>
        <v>2.5419999999999998</v>
      </c>
    </row>
    <row r="771" spans="1:8">
      <c r="A771" s="701">
        <v>0</v>
      </c>
      <c r="B771" s="759">
        <v>2.5</v>
      </c>
      <c r="C771" s="759">
        <v>4</v>
      </c>
      <c r="D771" s="759">
        <v>2.7</v>
      </c>
      <c r="E771" s="701">
        <v>1.55</v>
      </c>
      <c r="F771" s="701">
        <v>1.64</v>
      </c>
      <c r="H771" s="759">
        <f t="shared" si="12"/>
        <v>2.5419999999999998</v>
      </c>
    </row>
    <row r="772" spans="1:8">
      <c r="A772" s="701">
        <v>0</v>
      </c>
      <c r="B772" s="759">
        <v>2.5</v>
      </c>
      <c r="C772" s="759">
        <v>4.25</v>
      </c>
      <c r="D772" s="759">
        <v>2.7</v>
      </c>
      <c r="E772" s="701">
        <v>1.55</v>
      </c>
      <c r="F772" s="701">
        <v>1.64</v>
      </c>
      <c r="H772" s="759">
        <f t="shared" si="12"/>
        <v>2.5419999999999998</v>
      </c>
    </row>
    <row r="773" spans="1:8">
      <c r="A773" s="701">
        <v>0</v>
      </c>
      <c r="B773" s="759">
        <v>2.5</v>
      </c>
      <c r="C773" s="759">
        <v>4.5</v>
      </c>
      <c r="D773" s="759">
        <v>2.7</v>
      </c>
      <c r="E773" s="701">
        <v>1.55</v>
      </c>
      <c r="F773" s="701">
        <v>1.64</v>
      </c>
      <c r="H773" s="759">
        <f t="shared" si="12"/>
        <v>2.5419999999999998</v>
      </c>
    </row>
    <row r="774" spans="1:8">
      <c r="A774" s="701">
        <v>0</v>
      </c>
      <c r="B774" s="759">
        <v>2.5</v>
      </c>
      <c r="C774" s="759">
        <v>4.75</v>
      </c>
      <c r="D774" s="759">
        <v>2.7</v>
      </c>
      <c r="E774" s="701">
        <v>1.55</v>
      </c>
      <c r="F774" s="701">
        <v>1.64</v>
      </c>
      <c r="H774" s="759">
        <f t="shared" si="12"/>
        <v>2.5419999999999998</v>
      </c>
    </row>
    <row r="775" spans="1:8">
      <c r="A775" s="701">
        <v>0</v>
      </c>
      <c r="B775" s="759">
        <v>2.5</v>
      </c>
      <c r="C775" s="759">
        <v>5</v>
      </c>
      <c r="D775" s="759">
        <v>2.7</v>
      </c>
      <c r="E775" s="701">
        <v>1.55</v>
      </c>
      <c r="F775" s="701">
        <v>1.64</v>
      </c>
      <c r="H775" s="759">
        <f t="shared" si="12"/>
        <v>2.5419999999999998</v>
      </c>
    </row>
    <row r="776" spans="1:8">
      <c r="A776" s="701">
        <v>0</v>
      </c>
      <c r="B776" s="759">
        <v>2.5</v>
      </c>
      <c r="C776" s="759">
        <v>5.25</v>
      </c>
      <c r="D776" s="759">
        <v>2.7</v>
      </c>
      <c r="E776" s="701">
        <v>1.55</v>
      </c>
      <c r="F776" s="701">
        <v>1.64</v>
      </c>
      <c r="H776" s="759">
        <f t="shared" si="12"/>
        <v>2.5419999999999998</v>
      </c>
    </row>
    <row r="777" spans="1:8">
      <c r="A777" s="701">
        <v>0</v>
      </c>
      <c r="B777" s="759">
        <v>2.5</v>
      </c>
      <c r="C777" s="759">
        <v>5.5</v>
      </c>
      <c r="D777" s="759">
        <v>2.7</v>
      </c>
      <c r="E777" s="701">
        <v>1.55</v>
      </c>
      <c r="F777" s="701">
        <v>1.64</v>
      </c>
      <c r="H777" s="759">
        <f t="shared" si="12"/>
        <v>2.5419999999999998</v>
      </c>
    </row>
    <row r="778" spans="1:8">
      <c r="A778" s="701">
        <v>0</v>
      </c>
      <c r="B778" s="759">
        <v>2.5</v>
      </c>
      <c r="C778" s="759">
        <v>5.75</v>
      </c>
      <c r="D778" s="759">
        <v>2.7</v>
      </c>
      <c r="E778" s="701">
        <v>1.55</v>
      </c>
      <c r="F778" s="701">
        <v>1.64</v>
      </c>
      <c r="H778" s="759">
        <f t="shared" si="12"/>
        <v>2.5419999999999998</v>
      </c>
    </row>
    <row r="779" spans="1:8">
      <c r="A779" s="701">
        <v>0</v>
      </c>
      <c r="B779" s="759">
        <v>2.5</v>
      </c>
      <c r="C779" s="759">
        <v>6</v>
      </c>
      <c r="D779" s="759">
        <v>2.7</v>
      </c>
      <c r="E779" s="701">
        <v>1.55</v>
      </c>
      <c r="F779" s="701">
        <v>1.64</v>
      </c>
      <c r="H779" s="759">
        <f t="shared" si="12"/>
        <v>2.5419999999999998</v>
      </c>
    </row>
    <row r="780" spans="1:8">
      <c r="A780" s="701">
        <v>0</v>
      </c>
      <c r="B780" s="759">
        <v>2.5</v>
      </c>
      <c r="C780" s="759">
        <v>6.25</v>
      </c>
      <c r="D780" s="759">
        <v>2.7</v>
      </c>
      <c r="E780" s="701">
        <v>1.55</v>
      </c>
      <c r="F780" s="701">
        <v>1.64</v>
      </c>
      <c r="H780" s="759">
        <f t="shared" si="12"/>
        <v>2.5419999999999998</v>
      </c>
    </row>
    <row r="781" spans="1:8">
      <c r="A781" s="701">
        <v>0</v>
      </c>
      <c r="B781" s="759">
        <v>2.5</v>
      </c>
      <c r="C781" s="759">
        <v>6.5</v>
      </c>
      <c r="D781" s="759">
        <v>2.7</v>
      </c>
      <c r="E781" s="701">
        <v>1.55</v>
      </c>
      <c r="F781" s="701">
        <v>1.64</v>
      </c>
      <c r="H781" s="759">
        <f t="shared" si="12"/>
        <v>2.5419999999999998</v>
      </c>
    </row>
    <row r="782" spans="1:8">
      <c r="A782" s="701">
        <v>0</v>
      </c>
      <c r="B782" s="759">
        <v>2.5</v>
      </c>
      <c r="C782" s="759">
        <v>6.75</v>
      </c>
      <c r="D782" s="759">
        <v>2.7</v>
      </c>
      <c r="E782" s="701">
        <v>1.55</v>
      </c>
      <c r="F782" s="701">
        <v>1.64</v>
      </c>
      <c r="H782" s="759">
        <f t="shared" si="12"/>
        <v>2.5419999999999998</v>
      </c>
    </row>
    <row r="783" spans="1:8">
      <c r="A783" s="701">
        <v>0</v>
      </c>
      <c r="B783" s="759">
        <v>2.5</v>
      </c>
      <c r="C783" s="759">
        <v>7</v>
      </c>
      <c r="D783" s="759">
        <v>2.7</v>
      </c>
      <c r="E783" s="701">
        <v>1.55</v>
      </c>
      <c r="F783" s="701">
        <v>1.64</v>
      </c>
      <c r="H783" s="759">
        <f t="shared" si="12"/>
        <v>2.5419999999999998</v>
      </c>
    </row>
    <row r="784" spans="1:8">
      <c r="A784" s="701">
        <v>0</v>
      </c>
      <c r="B784" s="759">
        <v>2.5</v>
      </c>
      <c r="C784" s="759">
        <v>7.5</v>
      </c>
      <c r="D784" s="759">
        <v>2.7</v>
      </c>
      <c r="E784" s="701">
        <v>1.55</v>
      </c>
      <c r="F784" s="701">
        <v>1.64</v>
      </c>
      <c r="H784" s="759">
        <f t="shared" si="12"/>
        <v>2.5419999999999998</v>
      </c>
    </row>
    <row r="785" spans="1:8">
      <c r="A785" s="701">
        <v>0</v>
      </c>
      <c r="B785" s="759">
        <v>2.5</v>
      </c>
      <c r="C785" s="759">
        <v>8</v>
      </c>
      <c r="D785" s="759">
        <v>2.7</v>
      </c>
      <c r="E785" s="701">
        <v>1.55</v>
      </c>
      <c r="F785" s="701">
        <v>1.69</v>
      </c>
      <c r="H785" s="759">
        <f t="shared" si="12"/>
        <v>2.6194999999999999</v>
      </c>
    </row>
    <row r="786" spans="1:8">
      <c r="A786" s="701">
        <v>0</v>
      </c>
      <c r="B786" s="759">
        <v>3</v>
      </c>
      <c r="C786" s="759">
        <v>3</v>
      </c>
      <c r="D786" s="759">
        <v>2.7</v>
      </c>
      <c r="E786" s="701">
        <v>1.55</v>
      </c>
      <c r="F786" s="701">
        <v>1.97</v>
      </c>
      <c r="H786" s="759">
        <f t="shared" si="12"/>
        <v>3.0535000000000001</v>
      </c>
    </row>
    <row r="787" spans="1:8">
      <c r="A787" s="701">
        <v>0</v>
      </c>
      <c r="B787" s="759">
        <v>3</v>
      </c>
      <c r="C787" s="759">
        <v>3.25</v>
      </c>
      <c r="D787" s="759">
        <v>2.7</v>
      </c>
      <c r="E787" s="701">
        <v>1.55</v>
      </c>
      <c r="F787" s="701">
        <v>1.97</v>
      </c>
      <c r="H787" s="759">
        <f t="shared" si="12"/>
        <v>3.0535000000000001</v>
      </c>
    </row>
    <row r="788" spans="1:8">
      <c r="A788" s="701">
        <v>0</v>
      </c>
      <c r="B788" s="759">
        <v>3</v>
      </c>
      <c r="C788" s="759">
        <v>3.5</v>
      </c>
      <c r="D788" s="759">
        <v>2.7</v>
      </c>
      <c r="E788" s="701">
        <v>1.55</v>
      </c>
      <c r="F788" s="701">
        <v>1.97</v>
      </c>
      <c r="H788" s="759">
        <f t="shared" si="12"/>
        <v>3.0535000000000001</v>
      </c>
    </row>
    <row r="789" spans="1:8">
      <c r="A789" s="701">
        <v>0</v>
      </c>
      <c r="B789" s="759">
        <v>3</v>
      </c>
      <c r="C789" s="759">
        <v>3.75</v>
      </c>
      <c r="D789" s="759">
        <v>2.7</v>
      </c>
      <c r="E789" s="701">
        <v>1.55</v>
      </c>
      <c r="F789" s="701">
        <v>1.97</v>
      </c>
      <c r="H789" s="759">
        <f t="shared" si="12"/>
        <v>3.0535000000000001</v>
      </c>
    </row>
    <row r="790" spans="1:8">
      <c r="A790" s="701">
        <v>0</v>
      </c>
      <c r="B790" s="759">
        <v>3</v>
      </c>
      <c r="C790" s="759">
        <v>4</v>
      </c>
      <c r="D790" s="759">
        <v>2.7</v>
      </c>
      <c r="E790" s="701">
        <v>1.55</v>
      </c>
      <c r="F790" s="701">
        <v>1.97</v>
      </c>
      <c r="H790" s="759">
        <f t="shared" si="12"/>
        <v>3.0535000000000001</v>
      </c>
    </row>
    <row r="791" spans="1:8">
      <c r="A791" s="701">
        <v>0</v>
      </c>
      <c r="B791" s="759">
        <v>3</v>
      </c>
      <c r="C791" s="759">
        <v>4.25</v>
      </c>
      <c r="D791" s="759">
        <v>2.7</v>
      </c>
      <c r="E791" s="701">
        <v>1.55</v>
      </c>
      <c r="F791" s="701">
        <v>1.97</v>
      </c>
      <c r="H791" s="759">
        <f t="shared" si="12"/>
        <v>3.0535000000000001</v>
      </c>
    </row>
    <row r="792" spans="1:8">
      <c r="A792" s="701">
        <v>0</v>
      </c>
      <c r="B792" s="759">
        <v>3</v>
      </c>
      <c r="C792" s="759">
        <v>4.5</v>
      </c>
      <c r="D792" s="759">
        <v>2.7</v>
      </c>
      <c r="E792" s="701">
        <v>1.55</v>
      </c>
      <c r="F792" s="701">
        <v>1.97</v>
      </c>
      <c r="H792" s="759">
        <f t="shared" si="12"/>
        <v>3.0535000000000001</v>
      </c>
    </row>
    <row r="793" spans="1:8">
      <c r="A793" s="701">
        <v>0</v>
      </c>
      <c r="B793" s="759">
        <v>3</v>
      </c>
      <c r="C793" s="759">
        <v>4.75</v>
      </c>
      <c r="D793" s="759">
        <v>2.7</v>
      </c>
      <c r="E793" s="701">
        <v>1.55</v>
      </c>
      <c r="F793" s="701">
        <v>1.97</v>
      </c>
      <c r="H793" s="759">
        <f t="shared" si="12"/>
        <v>3.0535000000000001</v>
      </c>
    </row>
    <row r="794" spans="1:8">
      <c r="A794" s="701">
        <v>0</v>
      </c>
      <c r="B794" s="759">
        <v>3</v>
      </c>
      <c r="C794" s="759">
        <v>5</v>
      </c>
      <c r="D794" s="759">
        <v>2.7</v>
      </c>
      <c r="E794" s="701">
        <v>1.55</v>
      </c>
      <c r="F794" s="701">
        <v>1.97</v>
      </c>
      <c r="H794" s="759">
        <f t="shared" si="12"/>
        <v>3.0535000000000001</v>
      </c>
    </row>
    <row r="795" spans="1:8">
      <c r="A795" s="701">
        <v>0</v>
      </c>
      <c r="B795" s="759">
        <v>3</v>
      </c>
      <c r="C795" s="759">
        <v>5.25</v>
      </c>
      <c r="D795" s="759">
        <v>2.7</v>
      </c>
      <c r="E795" s="701">
        <v>1.55</v>
      </c>
      <c r="F795" s="701">
        <v>1.97</v>
      </c>
      <c r="H795" s="759">
        <f t="shared" si="12"/>
        <v>3.0535000000000001</v>
      </c>
    </row>
    <row r="796" spans="1:8">
      <c r="A796" s="701">
        <v>0</v>
      </c>
      <c r="B796" s="759">
        <v>3</v>
      </c>
      <c r="C796" s="759">
        <v>5.5</v>
      </c>
      <c r="D796" s="759">
        <v>2.7</v>
      </c>
      <c r="E796" s="701">
        <v>1.55</v>
      </c>
      <c r="F796" s="701">
        <v>1.97</v>
      </c>
      <c r="H796" s="759">
        <f t="shared" si="12"/>
        <v>3.0535000000000001</v>
      </c>
    </row>
    <row r="797" spans="1:8">
      <c r="A797" s="701">
        <v>0</v>
      </c>
      <c r="B797" s="759">
        <v>3</v>
      </c>
      <c r="C797" s="759">
        <v>5.75</v>
      </c>
      <c r="D797" s="759">
        <v>2.7</v>
      </c>
      <c r="E797" s="701">
        <v>1.55</v>
      </c>
      <c r="F797" s="701">
        <v>1.97</v>
      </c>
      <c r="H797" s="759">
        <f t="shared" si="12"/>
        <v>3.0535000000000001</v>
      </c>
    </row>
    <row r="798" spans="1:8">
      <c r="A798" s="701">
        <v>0</v>
      </c>
      <c r="B798" s="759">
        <v>3</v>
      </c>
      <c r="C798" s="759">
        <v>6</v>
      </c>
      <c r="D798" s="759">
        <v>2.7</v>
      </c>
      <c r="E798" s="701">
        <v>1.55</v>
      </c>
      <c r="F798" s="701">
        <v>1.97</v>
      </c>
      <c r="H798" s="759">
        <f t="shared" si="12"/>
        <v>3.0535000000000001</v>
      </c>
    </row>
    <row r="799" spans="1:8">
      <c r="A799" s="701">
        <v>0</v>
      </c>
      <c r="B799" s="759">
        <v>3</v>
      </c>
      <c r="C799" s="759">
        <v>6.25</v>
      </c>
      <c r="D799" s="759">
        <v>2.7</v>
      </c>
      <c r="E799" s="701">
        <v>1.55</v>
      </c>
      <c r="F799" s="701">
        <v>1.97</v>
      </c>
      <c r="H799" s="759">
        <f t="shared" si="12"/>
        <v>3.0535000000000001</v>
      </c>
    </row>
    <row r="800" spans="1:8">
      <c r="A800" s="701">
        <v>0</v>
      </c>
      <c r="B800" s="759">
        <v>3</v>
      </c>
      <c r="C800" s="759">
        <v>6.5</v>
      </c>
      <c r="D800" s="759">
        <v>2.7</v>
      </c>
      <c r="E800" s="701">
        <v>1.55</v>
      </c>
      <c r="F800" s="701">
        <v>1.97</v>
      </c>
      <c r="H800" s="759">
        <f t="shared" si="12"/>
        <v>3.0535000000000001</v>
      </c>
    </row>
    <row r="801" spans="1:8">
      <c r="A801" s="701">
        <v>0</v>
      </c>
      <c r="B801" s="759">
        <v>3</v>
      </c>
      <c r="C801" s="759">
        <v>6.75</v>
      </c>
      <c r="D801" s="759">
        <v>2.7</v>
      </c>
      <c r="E801" s="701">
        <v>1.55</v>
      </c>
      <c r="F801" s="701">
        <v>1.97</v>
      </c>
      <c r="H801" s="759">
        <f t="shared" si="12"/>
        <v>3.0535000000000001</v>
      </c>
    </row>
    <row r="802" spans="1:8">
      <c r="A802" s="701">
        <v>0</v>
      </c>
      <c r="B802" s="759">
        <v>3</v>
      </c>
      <c r="C802" s="759">
        <v>7</v>
      </c>
      <c r="D802" s="759">
        <v>2.7</v>
      </c>
      <c r="E802" s="701">
        <v>1.55</v>
      </c>
      <c r="F802" s="701">
        <v>1.97</v>
      </c>
      <c r="H802" s="759">
        <f t="shared" si="12"/>
        <v>3.0535000000000001</v>
      </c>
    </row>
    <row r="803" spans="1:8">
      <c r="A803" s="701">
        <v>0</v>
      </c>
      <c r="B803" s="759">
        <v>3</v>
      </c>
      <c r="C803" s="759">
        <v>7.5</v>
      </c>
      <c r="D803" s="759">
        <v>2.7</v>
      </c>
      <c r="E803" s="701">
        <v>1.55</v>
      </c>
      <c r="F803" s="701">
        <v>1.97</v>
      </c>
      <c r="H803" s="759">
        <f t="shared" si="12"/>
        <v>3.0535000000000001</v>
      </c>
    </row>
    <row r="804" spans="1:8">
      <c r="A804" s="701">
        <v>0</v>
      </c>
      <c r="B804" s="759">
        <v>3</v>
      </c>
      <c r="C804" s="759">
        <v>8</v>
      </c>
      <c r="D804" s="759">
        <v>2.7</v>
      </c>
      <c r="E804" s="701">
        <v>1.55</v>
      </c>
      <c r="F804" s="701">
        <v>1.97</v>
      </c>
      <c r="H804" s="759">
        <f t="shared" si="12"/>
        <v>3.0535000000000001</v>
      </c>
    </row>
    <row r="805" spans="1:8">
      <c r="A805" s="701">
        <v>0</v>
      </c>
      <c r="B805" s="759">
        <v>3.5</v>
      </c>
      <c r="C805" s="759">
        <v>3</v>
      </c>
      <c r="D805" s="759">
        <v>2.7</v>
      </c>
      <c r="E805" s="701">
        <v>1.55</v>
      </c>
      <c r="F805" s="759">
        <v>2.2999999999999998</v>
      </c>
      <c r="H805" s="759">
        <f t="shared" si="12"/>
        <v>3.5649999999999999</v>
      </c>
    </row>
    <row r="806" spans="1:8">
      <c r="A806" s="701">
        <v>0</v>
      </c>
      <c r="B806" s="759">
        <v>3.5</v>
      </c>
      <c r="C806" s="759">
        <v>3.25</v>
      </c>
      <c r="D806" s="759">
        <v>2.7</v>
      </c>
      <c r="E806" s="701">
        <v>1.55</v>
      </c>
      <c r="F806" s="759">
        <v>2.2999999999999998</v>
      </c>
      <c r="H806" s="759">
        <f t="shared" si="12"/>
        <v>3.5649999999999999</v>
      </c>
    </row>
    <row r="807" spans="1:8">
      <c r="A807" s="701">
        <v>0</v>
      </c>
      <c r="B807" s="759">
        <v>3.5</v>
      </c>
      <c r="C807" s="759">
        <v>3.5</v>
      </c>
      <c r="D807" s="759">
        <v>2.7</v>
      </c>
      <c r="E807" s="701">
        <v>1.55</v>
      </c>
      <c r="F807" s="759">
        <v>2.2999999999999998</v>
      </c>
      <c r="H807" s="759">
        <f t="shared" si="12"/>
        <v>3.5649999999999999</v>
      </c>
    </row>
    <row r="808" spans="1:8">
      <c r="A808" s="701">
        <v>0</v>
      </c>
      <c r="B808" s="759">
        <v>3.5</v>
      </c>
      <c r="C808" s="759">
        <v>3.75</v>
      </c>
      <c r="D808" s="759">
        <v>2.7</v>
      </c>
      <c r="E808" s="701">
        <v>1.55</v>
      </c>
      <c r="F808" s="759">
        <v>2.2999999999999998</v>
      </c>
      <c r="H808" s="759">
        <f t="shared" si="12"/>
        <v>3.5649999999999999</v>
      </c>
    </row>
    <row r="809" spans="1:8">
      <c r="A809" s="701">
        <v>0</v>
      </c>
      <c r="B809" s="759">
        <v>3.5</v>
      </c>
      <c r="C809" s="759">
        <v>4</v>
      </c>
      <c r="D809" s="759">
        <v>2.7</v>
      </c>
      <c r="E809" s="701">
        <v>1.55</v>
      </c>
      <c r="F809" s="759">
        <v>2.2999999999999998</v>
      </c>
      <c r="H809" s="759">
        <f t="shared" si="12"/>
        <v>3.5649999999999999</v>
      </c>
    </row>
    <row r="810" spans="1:8">
      <c r="A810" s="701">
        <v>0</v>
      </c>
      <c r="B810" s="759">
        <v>3.5</v>
      </c>
      <c r="C810" s="759">
        <v>4.25</v>
      </c>
      <c r="D810" s="759">
        <v>2.7</v>
      </c>
      <c r="E810" s="701">
        <v>1.55</v>
      </c>
      <c r="F810" s="759">
        <v>2.2999999999999998</v>
      </c>
      <c r="H810" s="759">
        <f t="shared" si="12"/>
        <v>3.5649999999999999</v>
      </c>
    </row>
    <row r="811" spans="1:8">
      <c r="A811" s="701">
        <v>0</v>
      </c>
      <c r="B811" s="759">
        <v>3.5</v>
      </c>
      <c r="C811" s="759">
        <v>4.5</v>
      </c>
      <c r="D811" s="759">
        <v>2.7</v>
      </c>
      <c r="E811" s="701">
        <v>1.55</v>
      </c>
      <c r="F811" s="759">
        <v>2.2999999999999998</v>
      </c>
      <c r="H811" s="759">
        <f t="shared" si="12"/>
        <v>3.5649999999999999</v>
      </c>
    </row>
    <row r="812" spans="1:8">
      <c r="A812" s="701">
        <v>0</v>
      </c>
      <c r="B812" s="759">
        <v>3.5</v>
      </c>
      <c r="C812" s="759">
        <v>4.75</v>
      </c>
      <c r="D812" s="759">
        <v>2.7</v>
      </c>
      <c r="E812" s="701">
        <v>1.55</v>
      </c>
      <c r="F812" s="759">
        <v>2.2999999999999998</v>
      </c>
      <c r="H812" s="759">
        <f t="shared" ref="H812:H875" si="13">F812*E812</f>
        <v>3.5649999999999999</v>
      </c>
    </row>
    <row r="813" spans="1:8">
      <c r="A813" s="701">
        <v>0</v>
      </c>
      <c r="B813" s="759">
        <v>3.5</v>
      </c>
      <c r="C813" s="759">
        <v>5</v>
      </c>
      <c r="D813" s="759">
        <v>2.7</v>
      </c>
      <c r="E813" s="701">
        <v>1.55</v>
      </c>
      <c r="F813" s="759">
        <v>2.2999999999999998</v>
      </c>
      <c r="H813" s="759">
        <f t="shared" si="13"/>
        <v>3.5649999999999999</v>
      </c>
    </row>
    <row r="814" spans="1:8">
      <c r="A814" s="701">
        <v>0</v>
      </c>
      <c r="B814" s="759">
        <v>3.5</v>
      </c>
      <c r="C814" s="759">
        <v>5.25</v>
      </c>
      <c r="D814" s="759">
        <v>2.7</v>
      </c>
      <c r="E814" s="701">
        <v>1.55</v>
      </c>
      <c r="F814" s="759">
        <v>2.2999999999999998</v>
      </c>
      <c r="H814" s="759">
        <f t="shared" si="13"/>
        <v>3.5649999999999999</v>
      </c>
    </row>
    <row r="815" spans="1:8">
      <c r="A815" s="701">
        <v>0</v>
      </c>
      <c r="B815" s="759">
        <v>3.5</v>
      </c>
      <c r="C815" s="759">
        <v>5.5</v>
      </c>
      <c r="D815" s="759">
        <v>2.7</v>
      </c>
      <c r="E815" s="701">
        <v>1.55</v>
      </c>
      <c r="F815" s="759">
        <v>2.2999999999999998</v>
      </c>
      <c r="H815" s="759">
        <f t="shared" si="13"/>
        <v>3.5649999999999999</v>
      </c>
    </row>
    <row r="816" spans="1:8">
      <c r="A816" s="701">
        <v>0</v>
      </c>
      <c r="B816" s="759">
        <v>3.5</v>
      </c>
      <c r="C816" s="759">
        <v>5.75</v>
      </c>
      <c r="D816" s="759">
        <v>2.7</v>
      </c>
      <c r="E816" s="701">
        <v>1.55</v>
      </c>
      <c r="F816" s="759">
        <v>2.2999999999999998</v>
      </c>
      <c r="H816" s="759">
        <f t="shared" si="13"/>
        <v>3.5649999999999999</v>
      </c>
    </row>
    <row r="817" spans="1:8">
      <c r="A817" s="701">
        <v>0</v>
      </c>
      <c r="B817" s="759">
        <v>3.5</v>
      </c>
      <c r="C817" s="759">
        <v>6</v>
      </c>
      <c r="D817" s="759">
        <v>2.7</v>
      </c>
      <c r="E817" s="701">
        <v>1.55</v>
      </c>
      <c r="F817" s="759">
        <v>2.2999999999999998</v>
      </c>
      <c r="H817" s="759">
        <f t="shared" si="13"/>
        <v>3.5649999999999999</v>
      </c>
    </row>
    <row r="818" spans="1:8">
      <c r="A818" s="701">
        <v>0</v>
      </c>
      <c r="B818" s="759">
        <v>3.5</v>
      </c>
      <c r="C818" s="759">
        <v>6.25</v>
      </c>
      <c r="D818" s="759">
        <v>2.7</v>
      </c>
      <c r="E818" s="701">
        <v>1.55</v>
      </c>
      <c r="F818" s="759">
        <v>2.2999999999999998</v>
      </c>
      <c r="H818" s="759">
        <f t="shared" si="13"/>
        <v>3.5649999999999999</v>
      </c>
    </row>
    <row r="819" spans="1:8">
      <c r="A819" s="701">
        <v>0</v>
      </c>
      <c r="B819" s="759">
        <v>3.5</v>
      </c>
      <c r="C819" s="759">
        <v>6.5</v>
      </c>
      <c r="D819" s="759">
        <v>2.7</v>
      </c>
      <c r="E819" s="701">
        <v>1.55</v>
      </c>
      <c r="F819" s="759">
        <v>2.2999999999999998</v>
      </c>
      <c r="H819" s="759">
        <f t="shared" si="13"/>
        <v>3.5649999999999999</v>
      </c>
    </row>
    <row r="820" spans="1:8">
      <c r="A820" s="701">
        <v>0</v>
      </c>
      <c r="B820" s="759">
        <v>3.5</v>
      </c>
      <c r="C820" s="759">
        <v>6.75</v>
      </c>
      <c r="D820" s="759">
        <v>2.7</v>
      </c>
      <c r="E820" s="701">
        <v>1.55</v>
      </c>
      <c r="F820" s="759">
        <v>2.2999999999999998</v>
      </c>
      <c r="H820" s="759">
        <f t="shared" si="13"/>
        <v>3.5649999999999999</v>
      </c>
    </row>
    <row r="821" spans="1:8">
      <c r="A821" s="701">
        <v>0</v>
      </c>
      <c r="B821" s="759">
        <v>3.5</v>
      </c>
      <c r="C821" s="759">
        <v>7</v>
      </c>
      <c r="D821" s="759">
        <v>2.7</v>
      </c>
      <c r="E821" s="701">
        <v>1.55</v>
      </c>
      <c r="F821" s="759">
        <v>2.2999999999999998</v>
      </c>
      <c r="H821" s="759">
        <f t="shared" si="13"/>
        <v>3.5649999999999999</v>
      </c>
    </row>
    <row r="822" spans="1:8">
      <c r="A822" s="701">
        <v>0</v>
      </c>
      <c r="B822" s="759">
        <v>3.5</v>
      </c>
      <c r="C822" s="759">
        <v>7.5</v>
      </c>
      <c r="D822" s="759">
        <v>2.7</v>
      </c>
      <c r="E822" s="701">
        <v>1.55</v>
      </c>
      <c r="F822" s="759">
        <v>2.2999999999999998</v>
      </c>
      <c r="H822" s="759">
        <f t="shared" si="13"/>
        <v>3.5649999999999999</v>
      </c>
    </row>
    <row r="823" spans="1:8">
      <c r="A823" s="701">
        <v>0</v>
      </c>
      <c r="B823" s="759">
        <v>3.5</v>
      </c>
      <c r="C823" s="759">
        <v>8</v>
      </c>
      <c r="D823" s="759">
        <v>2.7</v>
      </c>
      <c r="E823" s="701">
        <v>1.55</v>
      </c>
      <c r="F823" s="759">
        <v>2.2999999999999998</v>
      </c>
      <c r="H823" s="759">
        <f t="shared" si="13"/>
        <v>3.5649999999999999</v>
      </c>
    </row>
    <row r="824" spans="1:8">
      <c r="A824" s="701">
        <v>0</v>
      </c>
      <c r="B824" s="759">
        <v>4</v>
      </c>
      <c r="C824" s="759">
        <v>3</v>
      </c>
      <c r="D824" s="759">
        <v>2.7</v>
      </c>
      <c r="E824" s="701">
        <v>1.55</v>
      </c>
      <c r="F824" s="759">
        <v>2.63</v>
      </c>
      <c r="H824" s="759">
        <f t="shared" si="13"/>
        <v>4.0765000000000002</v>
      </c>
    </row>
    <row r="825" spans="1:8">
      <c r="A825" s="701">
        <v>0</v>
      </c>
      <c r="B825" s="759">
        <v>4</v>
      </c>
      <c r="C825" s="759">
        <v>3.25</v>
      </c>
      <c r="D825" s="759">
        <v>2.7</v>
      </c>
      <c r="E825" s="701">
        <v>1.55</v>
      </c>
      <c r="F825" s="759">
        <v>2.63</v>
      </c>
      <c r="H825" s="759">
        <f t="shared" si="13"/>
        <v>4.0765000000000002</v>
      </c>
    </row>
    <row r="826" spans="1:8">
      <c r="A826" s="701">
        <v>0</v>
      </c>
      <c r="B826" s="759">
        <v>4</v>
      </c>
      <c r="C826" s="759">
        <v>3.5</v>
      </c>
      <c r="D826" s="759">
        <v>2.7</v>
      </c>
      <c r="E826" s="701">
        <v>1.55</v>
      </c>
      <c r="F826" s="759">
        <v>2.63</v>
      </c>
      <c r="H826" s="759">
        <f t="shared" si="13"/>
        <v>4.0765000000000002</v>
      </c>
    </row>
    <row r="827" spans="1:8">
      <c r="A827" s="701">
        <v>0</v>
      </c>
      <c r="B827" s="759">
        <v>4</v>
      </c>
      <c r="C827" s="759">
        <v>3.75</v>
      </c>
      <c r="D827" s="759">
        <v>2.7</v>
      </c>
      <c r="E827" s="701">
        <v>1.55</v>
      </c>
      <c r="F827" s="759">
        <v>2.63</v>
      </c>
      <c r="H827" s="759">
        <f t="shared" si="13"/>
        <v>4.0765000000000002</v>
      </c>
    </row>
    <row r="828" spans="1:8">
      <c r="A828" s="701">
        <v>0</v>
      </c>
      <c r="B828" s="759">
        <v>4</v>
      </c>
      <c r="C828" s="759">
        <v>4</v>
      </c>
      <c r="D828" s="759">
        <v>2.7</v>
      </c>
      <c r="E828" s="701">
        <v>1.55</v>
      </c>
      <c r="F828" s="759">
        <v>2.63</v>
      </c>
      <c r="H828" s="759">
        <f t="shared" si="13"/>
        <v>4.0765000000000002</v>
      </c>
    </row>
    <row r="829" spans="1:8">
      <c r="A829" s="701">
        <v>0</v>
      </c>
      <c r="B829" s="759">
        <v>4</v>
      </c>
      <c r="C829" s="759">
        <v>4.25</v>
      </c>
      <c r="D829" s="759">
        <v>2.7</v>
      </c>
      <c r="E829" s="701">
        <v>1.55</v>
      </c>
      <c r="F829" s="759">
        <v>2.63</v>
      </c>
      <c r="H829" s="759">
        <f t="shared" si="13"/>
        <v>4.0765000000000002</v>
      </c>
    </row>
    <row r="830" spans="1:8">
      <c r="A830" s="701">
        <v>0</v>
      </c>
      <c r="B830" s="759">
        <v>4</v>
      </c>
      <c r="C830" s="759">
        <v>4.5</v>
      </c>
      <c r="D830" s="759">
        <v>2.7</v>
      </c>
      <c r="E830" s="701">
        <v>1.55</v>
      </c>
      <c r="F830" s="759">
        <v>2.63</v>
      </c>
      <c r="H830" s="759">
        <f t="shared" si="13"/>
        <v>4.0765000000000002</v>
      </c>
    </row>
    <row r="831" spans="1:8">
      <c r="A831" s="701">
        <v>0</v>
      </c>
      <c r="B831" s="759">
        <v>4</v>
      </c>
      <c r="C831" s="759">
        <v>4.75</v>
      </c>
      <c r="D831" s="759">
        <v>2.7</v>
      </c>
      <c r="E831" s="701">
        <v>1.55</v>
      </c>
      <c r="F831" s="759">
        <v>2.63</v>
      </c>
      <c r="H831" s="759">
        <f t="shared" si="13"/>
        <v>4.0765000000000002</v>
      </c>
    </row>
    <row r="832" spans="1:8">
      <c r="A832" s="701">
        <v>0</v>
      </c>
      <c r="B832" s="759">
        <v>4</v>
      </c>
      <c r="C832" s="759">
        <v>5</v>
      </c>
      <c r="D832" s="759">
        <v>2.7</v>
      </c>
      <c r="E832" s="701">
        <v>1.55</v>
      </c>
      <c r="F832" s="759">
        <v>2.63</v>
      </c>
      <c r="H832" s="759">
        <f t="shared" si="13"/>
        <v>4.0765000000000002</v>
      </c>
    </row>
    <row r="833" spans="1:8">
      <c r="A833" s="701">
        <v>0</v>
      </c>
      <c r="B833" s="759">
        <v>4</v>
      </c>
      <c r="C833" s="759">
        <v>5.25</v>
      </c>
      <c r="D833" s="759">
        <v>2.7</v>
      </c>
      <c r="E833" s="701">
        <v>1.55</v>
      </c>
      <c r="F833" s="759">
        <v>2.63</v>
      </c>
      <c r="H833" s="759">
        <f t="shared" si="13"/>
        <v>4.0765000000000002</v>
      </c>
    </row>
    <row r="834" spans="1:8">
      <c r="A834" s="701">
        <v>0</v>
      </c>
      <c r="B834" s="759">
        <v>4</v>
      </c>
      <c r="C834" s="759">
        <v>5.5</v>
      </c>
      <c r="D834" s="759">
        <v>2.7</v>
      </c>
      <c r="E834" s="701">
        <v>1.55</v>
      </c>
      <c r="F834" s="759">
        <v>2.63</v>
      </c>
      <c r="H834" s="759">
        <f t="shared" si="13"/>
        <v>4.0765000000000002</v>
      </c>
    </row>
    <row r="835" spans="1:8">
      <c r="A835" s="701">
        <v>0</v>
      </c>
      <c r="B835" s="759">
        <v>4</v>
      </c>
      <c r="C835" s="759">
        <v>5.75</v>
      </c>
      <c r="D835" s="759">
        <v>2.7</v>
      </c>
      <c r="E835" s="701">
        <v>1.55</v>
      </c>
      <c r="F835" s="759">
        <v>2.63</v>
      </c>
      <c r="H835" s="759">
        <f t="shared" si="13"/>
        <v>4.0765000000000002</v>
      </c>
    </row>
    <row r="836" spans="1:8">
      <c r="A836" s="701">
        <v>0</v>
      </c>
      <c r="B836" s="759">
        <v>4</v>
      </c>
      <c r="C836" s="759">
        <v>6</v>
      </c>
      <c r="D836" s="759">
        <v>2.7</v>
      </c>
      <c r="E836" s="701">
        <v>1.55</v>
      </c>
      <c r="F836" s="759">
        <v>2.63</v>
      </c>
      <c r="H836" s="759">
        <f t="shared" si="13"/>
        <v>4.0765000000000002</v>
      </c>
    </row>
    <row r="837" spans="1:8">
      <c r="A837" s="701">
        <v>0</v>
      </c>
      <c r="B837" s="759">
        <v>4</v>
      </c>
      <c r="C837" s="759">
        <v>6.25</v>
      </c>
      <c r="D837" s="759">
        <v>2.7</v>
      </c>
      <c r="E837" s="701">
        <v>1.55</v>
      </c>
      <c r="F837" s="759">
        <v>2.63</v>
      </c>
      <c r="H837" s="759">
        <f t="shared" si="13"/>
        <v>4.0765000000000002</v>
      </c>
    </row>
    <row r="838" spans="1:8">
      <c r="A838" s="701">
        <v>0</v>
      </c>
      <c r="B838" s="759">
        <v>4</v>
      </c>
      <c r="C838" s="759">
        <v>6.5</v>
      </c>
      <c r="D838" s="759">
        <v>2.7</v>
      </c>
      <c r="E838" s="701">
        <v>1.55</v>
      </c>
      <c r="F838" s="759">
        <v>2.63</v>
      </c>
      <c r="H838" s="759">
        <f t="shared" si="13"/>
        <v>4.0765000000000002</v>
      </c>
    </row>
    <row r="839" spans="1:8">
      <c r="A839" s="701">
        <v>0</v>
      </c>
      <c r="B839" s="759">
        <v>4</v>
      </c>
      <c r="C839" s="759">
        <v>6.75</v>
      </c>
      <c r="D839" s="759">
        <v>2.7</v>
      </c>
      <c r="E839" s="701">
        <v>1.55</v>
      </c>
      <c r="F839" s="759">
        <v>2.63</v>
      </c>
      <c r="H839" s="759">
        <f t="shared" si="13"/>
        <v>4.0765000000000002</v>
      </c>
    </row>
    <row r="840" spans="1:8">
      <c r="A840" s="701">
        <v>0</v>
      </c>
      <c r="B840" s="759">
        <v>4</v>
      </c>
      <c r="C840" s="759">
        <v>7</v>
      </c>
      <c r="D840" s="759">
        <v>2.7</v>
      </c>
      <c r="E840" s="701">
        <v>1.55</v>
      </c>
      <c r="F840" s="759">
        <v>2.63</v>
      </c>
      <c r="H840" s="759">
        <f t="shared" si="13"/>
        <v>4.0765000000000002</v>
      </c>
    </row>
    <row r="841" spans="1:8">
      <c r="A841" s="701">
        <v>0</v>
      </c>
      <c r="B841" s="759">
        <v>4</v>
      </c>
      <c r="C841" s="759">
        <v>7.5</v>
      </c>
      <c r="D841" s="759">
        <v>2.7</v>
      </c>
      <c r="E841" s="701">
        <v>1.55</v>
      </c>
      <c r="F841" s="759">
        <v>2.63</v>
      </c>
      <c r="H841" s="759">
        <f t="shared" si="13"/>
        <v>4.0765000000000002</v>
      </c>
    </row>
    <row r="842" spans="1:8">
      <c r="A842" s="701">
        <v>0</v>
      </c>
      <c r="B842" s="759">
        <v>4</v>
      </c>
      <c r="C842" s="759">
        <v>8</v>
      </c>
      <c r="D842" s="759">
        <v>2.7</v>
      </c>
      <c r="E842" s="701">
        <v>1.55</v>
      </c>
      <c r="F842" s="759">
        <v>2.63</v>
      </c>
      <c r="H842" s="759">
        <f t="shared" si="13"/>
        <v>4.0765000000000002</v>
      </c>
    </row>
    <row r="843" spans="1:8">
      <c r="A843" s="701">
        <v>0</v>
      </c>
      <c r="B843" s="759">
        <v>4.5</v>
      </c>
      <c r="C843" s="759">
        <v>3</v>
      </c>
      <c r="D843" s="759">
        <v>2.7</v>
      </c>
      <c r="E843" s="701">
        <v>1.55</v>
      </c>
      <c r="F843" s="759">
        <v>2.96</v>
      </c>
      <c r="H843" s="759">
        <f t="shared" si="13"/>
        <v>4.5880000000000001</v>
      </c>
    </row>
    <row r="844" spans="1:8">
      <c r="A844" s="701">
        <v>0</v>
      </c>
      <c r="B844" s="759">
        <v>4.5</v>
      </c>
      <c r="C844" s="759">
        <v>3.25</v>
      </c>
      <c r="D844" s="759">
        <v>2.7</v>
      </c>
      <c r="E844" s="701">
        <v>1.55</v>
      </c>
      <c r="F844" s="759">
        <v>2.96</v>
      </c>
      <c r="H844" s="759">
        <f t="shared" si="13"/>
        <v>4.5880000000000001</v>
      </c>
    </row>
    <row r="845" spans="1:8">
      <c r="A845" s="701">
        <v>0</v>
      </c>
      <c r="B845" s="759">
        <v>4.5</v>
      </c>
      <c r="C845" s="759">
        <v>3.5</v>
      </c>
      <c r="D845" s="759">
        <v>2.7</v>
      </c>
      <c r="E845" s="701">
        <v>1.55</v>
      </c>
      <c r="F845" s="759">
        <v>2.96</v>
      </c>
      <c r="H845" s="759">
        <f t="shared" si="13"/>
        <v>4.5880000000000001</v>
      </c>
    </row>
    <row r="846" spans="1:8">
      <c r="A846" s="701">
        <v>0</v>
      </c>
      <c r="B846" s="759">
        <v>4.5</v>
      </c>
      <c r="C846" s="759">
        <v>3.75</v>
      </c>
      <c r="D846" s="759">
        <v>2.7</v>
      </c>
      <c r="E846" s="701">
        <v>1.55</v>
      </c>
      <c r="F846" s="759">
        <v>2.96</v>
      </c>
      <c r="H846" s="759">
        <f t="shared" si="13"/>
        <v>4.5880000000000001</v>
      </c>
    </row>
    <row r="847" spans="1:8">
      <c r="A847" s="701">
        <v>0</v>
      </c>
      <c r="B847" s="759">
        <v>4.5</v>
      </c>
      <c r="C847" s="759">
        <v>4</v>
      </c>
      <c r="D847" s="759">
        <v>2.7</v>
      </c>
      <c r="E847" s="701">
        <v>1.55</v>
      </c>
      <c r="F847" s="759">
        <v>2.96</v>
      </c>
      <c r="H847" s="759">
        <f t="shared" si="13"/>
        <v>4.5880000000000001</v>
      </c>
    </row>
    <row r="848" spans="1:8">
      <c r="A848" s="701">
        <v>0</v>
      </c>
      <c r="B848" s="759">
        <v>4.5</v>
      </c>
      <c r="C848" s="759">
        <v>4.25</v>
      </c>
      <c r="D848" s="759">
        <v>2.7</v>
      </c>
      <c r="E848" s="701">
        <v>1.55</v>
      </c>
      <c r="F848" s="759">
        <v>2.96</v>
      </c>
      <c r="H848" s="759">
        <f t="shared" si="13"/>
        <v>4.5880000000000001</v>
      </c>
    </row>
    <row r="849" spans="1:8">
      <c r="A849" s="701">
        <v>0</v>
      </c>
      <c r="B849" s="759">
        <v>4.5</v>
      </c>
      <c r="C849" s="759">
        <v>4.5</v>
      </c>
      <c r="D849" s="759">
        <v>2.7</v>
      </c>
      <c r="E849" s="701">
        <v>1.55</v>
      </c>
      <c r="F849" s="759">
        <v>2.96</v>
      </c>
      <c r="H849" s="759">
        <f t="shared" si="13"/>
        <v>4.5880000000000001</v>
      </c>
    </row>
    <row r="850" spans="1:8">
      <c r="A850" s="701">
        <v>0</v>
      </c>
      <c r="B850" s="759">
        <v>4.5</v>
      </c>
      <c r="C850" s="759">
        <v>4.75</v>
      </c>
      <c r="D850" s="759">
        <v>2.7</v>
      </c>
      <c r="E850" s="701">
        <v>1.55</v>
      </c>
      <c r="F850" s="759">
        <v>2.96</v>
      </c>
      <c r="H850" s="759">
        <f t="shared" si="13"/>
        <v>4.5880000000000001</v>
      </c>
    </row>
    <row r="851" spans="1:8">
      <c r="A851" s="701">
        <v>0</v>
      </c>
      <c r="B851" s="759">
        <v>4.5</v>
      </c>
      <c r="C851" s="759">
        <v>5</v>
      </c>
      <c r="D851" s="759">
        <v>2.7</v>
      </c>
      <c r="E851" s="701">
        <v>1.55</v>
      </c>
      <c r="F851" s="759">
        <v>2.96</v>
      </c>
      <c r="H851" s="759">
        <f t="shared" si="13"/>
        <v>4.5880000000000001</v>
      </c>
    </row>
    <row r="852" spans="1:8">
      <c r="A852" s="701">
        <v>0</v>
      </c>
      <c r="B852" s="759">
        <v>4.5</v>
      </c>
      <c r="C852" s="759">
        <v>5.25</v>
      </c>
      <c r="D852" s="759">
        <v>2.7</v>
      </c>
      <c r="E852" s="701">
        <v>1.55</v>
      </c>
      <c r="F852" s="759">
        <v>2.96</v>
      </c>
      <c r="H852" s="759">
        <f t="shared" si="13"/>
        <v>4.5880000000000001</v>
      </c>
    </row>
    <row r="853" spans="1:8">
      <c r="A853" s="701">
        <v>0</v>
      </c>
      <c r="B853" s="759">
        <v>4.5</v>
      </c>
      <c r="C853" s="759">
        <v>5.5</v>
      </c>
      <c r="D853" s="759">
        <v>2.7</v>
      </c>
      <c r="E853" s="701">
        <v>1.55</v>
      </c>
      <c r="F853" s="759">
        <v>2.96</v>
      </c>
      <c r="H853" s="759">
        <f t="shared" si="13"/>
        <v>4.5880000000000001</v>
      </c>
    </row>
    <row r="854" spans="1:8">
      <c r="A854" s="701">
        <v>0</v>
      </c>
      <c r="B854" s="759">
        <v>4.5</v>
      </c>
      <c r="C854" s="759">
        <v>5.75</v>
      </c>
      <c r="D854" s="759">
        <v>2.7</v>
      </c>
      <c r="E854" s="701">
        <v>1.55</v>
      </c>
      <c r="F854" s="759">
        <v>2.96</v>
      </c>
      <c r="H854" s="759">
        <f t="shared" si="13"/>
        <v>4.5880000000000001</v>
      </c>
    </row>
    <row r="855" spans="1:8">
      <c r="A855" s="701">
        <v>0</v>
      </c>
      <c r="B855" s="759">
        <v>4.5</v>
      </c>
      <c r="C855" s="759">
        <v>6</v>
      </c>
      <c r="D855" s="759">
        <v>2.7</v>
      </c>
      <c r="E855" s="701">
        <v>1.55</v>
      </c>
      <c r="F855" s="759">
        <v>2.96</v>
      </c>
      <c r="H855" s="759">
        <f t="shared" si="13"/>
        <v>4.5880000000000001</v>
      </c>
    </row>
    <row r="856" spans="1:8">
      <c r="A856" s="701">
        <v>0</v>
      </c>
      <c r="B856" s="759">
        <v>4.5</v>
      </c>
      <c r="C856" s="759">
        <v>6.25</v>
      </c>
      <c r="D856" s="759">
        <v>2.7</v>
      </c>
      <c r="E856" s="701">
        <v>1.55</v>
      </c>
      <c r="F856" s="759">
        <v>2.96</v>
      </c>
      <c r="H856" s="759">
        <f t="shared" si="13"/>
        <v>4.5880000000000001</v>
      </c>
    </row>
    <row r="857" spans="1:8">
      <c r="A857" s="701">
        <v>0</v>
      </c>
      <c r="B857" s="759">
        <v>4.5</v>
      </c>
      <c r="C857" s="759">
        <v>6.5</v>
      </c>
      <c r="D857" s="759">
        <v>2.7</v>
      </c>
      <c r="E857" s="701">
        <v>1.55</v>
      </c>
      <c r="F857" s="759">
        <v>2.96</v>
      </c>
      <c r="H857" s="759">
        <f t="shared" si="13"/>
        <v>4.5880000000000001</v>
      </c>
    </row>
    <row r="858" spans="1:8">
      <c r="A858" s="701">
        <v>0</v>
      </c>
      <c r="B858" s="759">
        <v>4.5</v>
      </c>
      <c r="C858" s="759">
        <v>6.75</v>
      </c>
      <c r="D858" s="759">
        <v>2.7</v>
      </c>
      <c r="E858" s="701">
        <v>1.55</v>
      </c>
      <c r="F858" s="759">
        <v>2.96</v>
      </c>
      <c r="H858" s="759">
        <f t="shared" si="13"/>
        <v>4.5880000000000001</v>
      </c>
    </row>
    <row r="859" spans="1:8">
      <c r="A859" s="701">
        <v>0</v>
      </c>
      <c r="B859" s="759">
        <v>4.5</v>
      </c>
      <c r="C859" s="759">
        <v>7</v>
      </c>
      <c r="D859" s="759">
        <v>2.7</v>
      </c>
      <c r="E859" s="701">
        <v>1.55</v>
      </c>
      <c r="F859" s="759">
        <v>2.96</v>
      </c>
      <c r="H859" s="759">
        <f t="shared" si="13"/>
        <v>4.5880000000000001</v>
      </c>
    </row>
    <row r="860" spans="1:8">
      <c r="A860" s="701">
        <v>0</v>
      </c>
      <c r="B860" s="759">
        <v>4.5</v>
      </c>
      <c r="C860" s="759">
        <v>7.5</v>
      </c>
      <c r="D860" s="759">
        <v>2.7</v>
      </c>
      <c r="E860" s="701">
        <v>1.55</v>
      </c>
      <c r="F860" s="759">
        <v>2.96</v>
      </c>
      <c r="H860" s="759">
        <f t="shared" si="13"/>
        <v>4.5880000000000001</v>
      </c>
    </row>
    <row r="861" spans="1:8">
      <c r="A861" s="701">
        <v>0</v>
      </c>
      <c r="B861" s="759">
        <v>4.5</v>
      </c>
      <c r="C861" s="759">
        <v>8</v>
      </c>
      <c r="D861" s="759">
        <v>2.7</v>
      </c>
      <c r="E861" s="701">
        <v>1.55</v>
      </c>
      <c r="F861" s="759">
        <v>2.96</v>
      </c>
      <c r="H861" s="759">
        <f t="shared" si="13"/>
        <v>4.5880000000000001</v>
      </c>
    </row>
    <row r="862" spans="1:8">
      <c r="A862" s="701">
        <v>0</v>
      </c>
      <c r="B862" s="759">
        <v>5</v>
      </c>
      <c r="C862" s="759">
        <v>3</v>
      </c>
      <c r="D862" s="759">
        <v>2.7</v>
      </c>
      <c r="E862" s="701">
        <v>1.55</v>
      </c>
      <c r="F862" s="759">
        <v>3.29</v>
      </c>
      <c r="H862" s="759">
        <f t="shared" si="13"/>
        <v>5.0994999999999999</v>
      </c>
    </row>
    <row r="863" spans="1:8">
      <c r="A863" s="701">
        <v>0</v>
      </c>
      <c r="B863" s="759">
        <v>5</v>
      </c>
      <c r="C863" s="759">
        <v>3.25</v>
      </c>
      <c r="D863" s="759">
        <v>2.7</v>
      </c>
      <c r="E863" s="701">
        <v>1.55</v>
      </c>
      <c r="F863" s="759">
        <v>3.29</v>
      </c>
      <c r="H863" s="759">
        <f t="shared" si="13"/>
        <v>5.0994999999999999</v>
      </c>
    </row>
    <row r="864" spans="1:8">
      <c r="A864" s="701">
        <v>0</v>
      </c>
      <c r="B864" s="759">
        <v>5</v>
      </c>
      <c r="C864" s="759">
        <v>3.5</v>
      </c>
      <c r="D864" s="759">
        <v>2.7</v>
      </c>
      <c r="E864" s="701">
        <v>1.55</v>
      </c>
      <c r="F864" s="759">
        <v>3.29</v>
      </c>
      <c r="H864" s="759">
        <f t="shared" si="13"/>
        <v>5.0994999999999999</v>
      </c>
    </row>
    <row r="865" spans="1:8">
      <c r="A865" s="701">
        <v>0</v>
      </c>
      <c r="B865" s="759">
        <v>5</v>
      </c>
      <c r="C865" s="759">
        <v>3.75</v>
      </c>
      <c r="D865" s="759">
        <v>2.7</v>
      </c>
      <c r="E865" s="701">
        <v>1.55</v>
      </c>
      <c r="F865" s="759">
        <v>3.29</v>
      </c>
      <c r="H865" s="759">
        <f t="shared" si="13"/>
        <v>5.0994999999999999</v>
      </c>
    </row>
    <row r="866" spans="1:8">
      <c r="A866" s="701">
        <v>0</v>
      </c>
      <c r="B866" s="759">
        <v>5</v>
      </c>
      <c r="C866" s="759">
        <v>4</v>
      </c>
      <c r="D866" s="759">
        <v>2.7</v>
      </c>
      <c r="E866" s="701">
        <v>1.55</v>
      </c>
      <c r="F866" s="759">
        <v>3.29</v>
      </c>
      <c r="H866" s="759">
        <f t="shared" si="13"/>
        <v>5.0994999999999999</v>
      </c>
    </row>
    <row r="867" spans="1:8">
      <c r="A867" s="701">
        <v>0</v>
      </c>
      <c r="B867" s="759">
        <v>5</v>
      </c>
      <c r="C867" s="759">
        <v>4.25</v>
      </c>
      <c r="D867" s="759">
        <v>2.7</v>
      </c>
      <c r="E867" s="701">
        <v>1.55</v>
      </c>
      <c r="F867" s="759">
        <v>3.29</v>
      </c>
      <c r="H867" s="759">
        <f t="shared" si="13"/>
        <v>5.0994999999999999</v>
      </c>
    </row>
    <row r="868" spans="1:8">
      <c r="A868" s="701">
        <v>0</v>
      </c>
      <c r="B868" s="759">
        <v>5</v>
      </c>
      <c r="C868" s="759">
        <v>4.5</v>
      </c>
      <c r="D868" s="759">
        <v>2.7</v>
      </c>
      <c r="E868" s="701">
        <v>1.55</v>
      </c>
      <c r="F868" s="759">
        <v>3.29</v>
      </c>
      <c r="H868" s="759">
        <f t="shared" si="13"/>
        <v>5.0994999999999999</v>
      </c>
    </row>
    <row r="869" spans="1:8">
      <c r="A869" s="701">
        <v>0</v>
      </c>
      <c r="B869" s="759">
        <v>5</v>
      </c>
      <c r="C869" s="759">
        <v>4.75</v>
      </c>
      <c r="D869" s="759">
        <v>2.7</v>
      </c>
      <c r="E869" s="701">
        <v>1.55</v>
      </c>
      <c r="F869" s="759">
        <v>3.29</v>
      </c>
      <c r="H869" s="759">
        <f t="shared" si="13"/>
        <v>5.0994999999999999</v>
      </c>
    </row>
    <row r="870" spans="1:8">
      <c r="A870" s="701">
        <v>0</v>
      </c>
      <c r="B870" s="759">
        <v>5</v>
      </c>
      <c r="C870" s="759">
        <v>5</v>
      </c>
      <c r="D870" s="759">
        <v>2.7</v>
      </c>
      <c r="E870" s="701">
        <v>1.55</v>
      </c>
      <c r="F870" s="759">
        <v>3.29</v>
      </c>
      <c r="H870" s="759">
        <f t="shared" si="13"/>
        <v>5.0994999999999999</v>
      </c>
    </row>
    <row r="871" spans="1:8">
      <c r="A871" s="701">
        <v>0</v>
      </c>
      <c r="B871" s="759">
        <v>5</v>
      </c>
      <c r="C871" s="759">
        <v>5.25</v>
      </c>
      <c r="D871" s="759">
        <v>2.7</v>
      </c>
      <c r="E871" s="701">
        <v>1.55</v>
      </c>
      <c r="F871" s="759">
        <v>3.29</v>
      </c>
      <c r="H871" s="759">
        <f t="shared" si="13"/>
        <v>5.0994999999999999</v>
      </c>
    </row>
    <row r="872" spans="1:8">
      <c r="A872" s="701">
        <v>0</v>
      </c>
      <c r="B872" s="759">
        <v>5</v>
      </c>
      <c r="C872" s="759">
        <v>5.5</v>
      </c>
      <c r="D872" s="759">
        <v>2.7</v>
      </c>
      <c r="E872" s="701">
        <v>1.55</v>
      </c>
      <c r="F872" s="759">
        <v>3.29</v>
      </c>
      <c r="H872" s="759">
        <f t="shared" si="13"/>
        <v>5.0994999999999999</v>
      </c>
    </row>
    <row r="873" spans="1:8">
      <c r="A873" s="701">
        <v>0</v>
      </c>
      <c r="B873" s="759">
        <v>5</v>
      </c>
      <c r="C873" s="759">
        <v>5.75</v>
      </c>
      <c r="D873" s="759">
        <v>2.7</v>
      </c>
      <c r="E873" s="701">
        <v>1.55</v>
      </c>
      <c r="F873" s="759">
        <v>3.29</v>
      </c>
      <c r="H873" s="759">
        <f t="shared" si="13"/>
        <v>5.0994999999999999</v>
      </c>
    </row>
    <row r="874" spans="1:8">
      <c r="A874" s="701">
        <v>0</v>
      </c>
      <c r="B874" s="759">
        <v>5</v>
      </c>
      <c r="C874" s="759">
        <v>6</v>
      </c>
      <c r="D874" s="759">
        <v>2.7</v>
      </c>
      <c r="E874" s="701">
        <v>1.55</v>
      </c>
      <c r="F874" s="759">
        <v>3.29</v>
      </c>
      <c r="H874" s="759">
        <f t="shared" si="13"/>
        <v>5.0994999999999999</v>
      </c>
    </row>
    <row r="875" spans="1:8">
      <c r="A875" s="701">
        <v>0</v>
      </c>
      <c r="B875" s="759">
        <v>5</v>
      </c>
      <c r="C875" s="759">
        <v>6.25</v>
      </c>
      <c r="D875" s="759">
        <v>2.7</v>
      </c>
      <c r="E875" s="701">
        <v>1.55</v>
      </c>
      <c r="F875" s="759">
        <v>3.29</v>
      </c>
      <c r="H875" s="759">
        <f t="shared" si="13"/>
        <v>5.0994999999999999</v>
      </c>
    </row>
    <row r="876" spans="1:8">
      <c r="A876" s="701">
        <v>0</v>
      </c>
      <c r="B876" s="759">
        <v>5</v>
      </c>
      <c r="C876" s="759">
        <v>6.5</v>
      </c>
      <c r="D876" s="759">
        <v>2.7</v>
      </c>
      <c r="E876" s="701">
        <v>1.55</v>
      </c>
      <c r="F876" s="759">
        <v>3.29</v>
      </c>
      <c r="H876" s="759">
        <f t="shared" ref="H876:H939" si="14">F876*E876</f>
        <v>5.0994999999999999</v>
      </c>
    </row>
    <row r="877" spans="1:8">
      <c r="A877" s="701">
        <v>0</v>
      </c>
      <c r="B877" s="759">
        <v>5</v>
      </c>
      <c r="C877" s="759">
        <v>6.75</v>
      </c>
      <c r="D877" s="759">
        <v>2.7</v>
      </c>
      <c r="E877" s="701">
        <v>1.55</v>
      </c>
      <c r="F877" s="759">
        <v>3.29</v>
      </c>
      <c r="H877" s="759">
        <f t="shared" si="14"/>
        <v>5.0994999999999999</v>
      </c>
    </row>
    <row r="878" spans="1:8">
      <c r="A878" s="701">
        <v>0</v>
      </c>
      <c r="B878" s="759">
        <v>5</v>
      </c>
      <c r="C878" s="759">
        <v>7</v>
      </c>
      <c r="D878" s="759">
        <v>2.7</v>
      </c>
      <c r="E878" s="701">
        <v>1.55</v>
      </c>
      <c r="F878" s="759">
        <v>3.29</v>
      </c>
      <c r="H878" s="759">
        <f t="shared" si="14"/>
        <v>5.0994999999999999</v>
      </c>
    </row>
    <row r="879" spans="1:8">
      <c r="A879" s="701">
        <v>0</v>
      </c>
      <c r="B879" s="759">
        <v>5</v>
      </c>
      <c r="C879" s="759">
        <v>7.5</v>
      </c>
      <c r="D879" s="759">
        <v>2.7</v>
      </c>
      <c r="E879" s="701">
        <v>1.55</v>
      </c>
      <c r="F879" s="759">
        <v>3.29</v>
      </c>
      <c r="H879" s="759">
        <f t="shared" si="14"/>
        <v>5.0994999999999999</v>
      </c>
    </row>
    <row r="880" spans="1:8">
      <c r="A880" s="701">
        <v>0</v>
      </c>
      <c r="B880" s="759">
        <v>5</v>
      </c>
      <c r="C880" s="759">
        <v>8</v>
      </c>
      <c r="D880" s="759">
        <v>2.7</v>
      </c>
      <c r="E880" s="701">
        <v>1.55</v>
      </c>
      <c r="F880" s="759">
        <v>3.29</v>
      </c>
      <c r="H880" s="759">
        <f t="shared" si="14"/>
        <v>5.0994999999999999</v>
      </c>
    </row>
    <row r="881" spans="1:8">
      <c r="A881" s="701">
        <v>0</v>
      </c>
      <c r="B881" s="759">
        <v>5.5</v>
      </c>
      <c r="C881" s="759">
        <v>3</v>
      </c>
      <c r="D881" s="759">
        <v>2.7</v>
      </c>
      <c r="E881" s="701">
        <v>1.55</v>
      </c>
      <c r="F881" s="759">
        <v>3.62</v>
      </c>
      <c r="H881" s="759">
        <f t="shared" si="14"/>
        <v>5.6110000000000007</v>
      </c>
    </row>
    <row r="882" spans="1:8">
      <c r="A882" s="701">
        <v>0</v>
      </c>
      <c r="B882" s="759">
        <v>5.5</v>
      </c>
      <c r="C882" s="759">
        <v>3.25</v>
      </c>
      <c r="D882" s="759">
        <v>2.7</v>
      </c>
      <c r="E882" s="701">
        <v>1.55</v>
      </c>
      <c r="F882" s="759">
        <v>3.62</v>
      </c>
      <c r="H882" s="759">
        <f t="shared" si="14"/>
        <v>5.6110000000000007</v>
      </c>
    </row>
    <row r="883" spans="1:8">
      <c r="A883" s="701">
        <v>0</v>
      </c>
      <c r="B883" s="759">
        <v>5.5</v>
      </c>
      <c r="C883" s="759">
        <v>3.5</v>
      </c>
      <c r="D883" s="759">
        <v>2.7</v>
      </c>
      <c r="E883" s="701">
        <v>1.55</v>
      </c>
      <c r="F883" s="759">
        <v>3.62</v>
      </c>
      <c r="H883" s="759">
        <f t="shared" si="14"/>
        <v>5.6110000000000007</v>
      </c>
    </row>
    <row r="884" spans="1:8">
      <c r="A884" s="701">
        <v>0</v>
      </c>
      <c r="B884" s="759">
        <v>5.5</v>
      </c>
      <c r="C884" s="759">
        <v>3.75</v>
      </c>
      <c r="D884" s="759">
        <v>2.7</v>
      </c>
      <c r="E884" s="701">
        <v>1.55</v>
      </c>
      <c r="F884" s="759">
        <v>3.62</v>
      </c>
      <c r="H884" s="759">
        <f t="shared" si="14"/>
        <v>5.6110000000000007</v>
      </c>
    </row>
    <row r="885" spans="1:8">
      <c r="A885" s="701">
        <v>0</v>
      </c>
      <c r="B885" s="759">
        <v>5.5</v>
      </c>
      <c r="C885" s="759">
        <v>4</v>
      </c>
      <c r="D885" s="759">
        <v>2.7</v>
      </c>
      <c r="E885" s="701">
        <v>1.55</v>
      </c>
      <c r="F885" s="759">
        <v>3.62</v>
      </c>
      <c r="H885" s="759">
        <f t="shared" si="14"/>
        <v>5.6110000000000007</v>
      </c>
    </row>
    <row r="886" spans="1:8">
      <c r="A886" s="701">
        <v>0</v>
      </c>
      <c r="B886" s="759">
        <v>5.5</v>
      </c>
      <c r="C886" s="759">
        <v>4.25</v>
      </c>
      <c r="D886" s="759">
        <v>2.7</v>
      </c>
      <c r="E886" s="701">
        <v>1.55</v>
      </c>
      <c r="F886" s="759">
        <v>3.62</v>
      </c>
      <c r="H886" s="759">
        <f t="shared" si="14"/>
        <v>5.6110000000000007</v>
      </c>
    </row>
    <row r="887" spans="1:8">
      <c r="A887" s="701">
        <v>0</v>
      </c>
      <c r="B887" s="759">
        <v>5.5</v>
      </c>
      <c r="C887" s="759">
        <v>4.5</v>
      </c>
      <c r="D887" s="759">
        <v>2.7</v>
      </c>
      <c r="E887" s="701">
        <v>1.55</v>
      </c>
      <c r="F887" s="759">
        <v>3.62</v>
      </c>
      <c r="H887" s="759">
        <f t="shared" si="14"/>
        <v>5.6110000000000007</v>
      </c>
    </row>
    <row r="888" spans="1:8">
      <c r="A888" s="701">
        <v>0</v>
      </c>
      <c r="B888" s="759">
        <v>5.5</v>
      </c>
      <c r="C888" s="759">
        <v>4.75</v>
      </c>
      <c r="D888" s="759">
        <v>2.7</v>
      </c>
      <c r="E888" s="701">
        <v>1.55</v>
      </c>
      <c r="F888" s="759">
        <v>3.62</v>
      </c>
      <c r="H888" s="759">
        <f t="shared" si="14"/>
        <v>5.6110000000000007</v>
      </c>
    </row>
    <row r="889" spans="1:8">
      <c r="A889" s="701">
        <v>0</v>
      </c>
      <c r="B889" s="759">
        <v>5.5</v>
      </c>
      <c r="C889" s="759">
        <v>5</v>
      </c>
      <c r="D889" s="759">
        <v>2.7</v>
      </c>
      <c r="E889" s="701">
        <v>1.55</v>
      </c>
      <c r="F889" s="759">
        <v>3.62</v>
      </c>
      <c r="H889" s="759">
        <f t="shared" si="14"/>
        <v>5.6110000000000007</v>
      </c>
    </row>
    <row r="890" spans="1:8">
      <c r="A890" s="701">
        <v>0</v>
      </c>
      <c r="B890" s="759">
        <v>5.5</v>
      </c>
      <c r="C890" s="759">
        <v>5.25</v>
      </c>
      <c r="D890" s="759">
        <v>2.7</v>
      </c>
      <c r="E890" s="701">
        <v>1.55</v>
      </c>
      <c r="F890" s="759">
        <v>3.62</v>
      </c>
      <c r="H890" s="759">
        <f t="shared" si="14"/>
        <v>5.6110000000000007</v>
      </c>
    </row>
    <row r="891" spans="1:8">
      <c r="A891" s="701">
        <v>0</v>
      </c>
      <c r="B891" s="759">
        <v>5.5</v>
      </c>
      <c r="C891" s="759">
        <v>5.5</v>
      </c>
      <c r="D891" s="759">
        <v>2.7</v>
      </c>
      <c r="E891" s="701">
        <v>1.55</v>
      </c>
      <c r="F891" s="759">
        <v>3.62</v>
      </c>
      <c r="H891" s="759">
        <f t="shared" si="14"/>
        <v>5.6110000000000007</v>
      </c>
    </row>
    <row r="892" spans="1:8">
      <c r="A892" s="701">
        <v>0</v>
      </c>
      <c r="B892" s="759">
        <v>5.5</v>
      </c>
      <c r="C892" s="759">
        <v>5.75</v>
      </c>
      <c r="D892" s="759">
        <v>2.7</v>
      </c>
      <c r="E892" s="701">
        <v>1.55</v>
      </c>
      <c r="F892" s="759">
        <v>3.62</v>
      </c>
      <c r="H892" s="759">
        <f t="shared" si="14"/>
        <v>5.6110000000000007</v>
      </c>
    </row>
    <row r="893" spans="1:8">
      <c r="A893" s="701">
        <v>0</v>
      </c>
      <c r="B893" s="759">
        <v>5.5</v>
      </c>
      <c r="C893" s="759">
        <v>6</v>
      </c>
      <c r="D893" s="759">
        <v>2.7</v>
      </c>
      <c r="E893" s="701">
        <v>1.55</v>
      </c>
      <c r="F893" s="759">
        <v>3.62</v>
      </c>
      <c r="H893" s="759">
        <f t="shared" si="14"/>
        <v>5.6110000000000007</v>
      </c>
    </row>
    <row r="894" spans="1:8">
      <c r="A894" s="701">
        <v>0</v>
      </c>
      <c r="B894" s="759">
        <v>5.5</v>
      </c>
      <c r="C894" s="759">
        <v>6.25</v>
      </c>
      <c r="D894" s="759">
        <v>2.7</v>
      </c>
      <c r="E894" s="701">
        <v>1.55</v>
      </c>
      <c r="F894" s="759">
        <v>3.62</v>
      </c>
      <c r="H894" s="759">
        <f t="shared" si="14"/>
        <v>5.6110000000000007</v>
      </c>
    </row>
    <row r="895" spans="1:8">
      <c r="A895" s="701">
        <v>0</v>
      </c>
      <c r="B895" s="759">
        <v>5.5</v>
      </c>
      <c r="C895" s="759">
        <v>6.5</v>
      </c>
      <c r="D895" s="759">
        <v>2.7</v>
      </c>
      <c r="E895" s="701">
        <v>1.55</v>
      </c>
      <c r="F895" s="759">
        <v>3.62</v>
      </c>
      <c r="H895" s="759">
        <f t="shared" si="14"/>
        <v>5.6110000000000007</v>
      </c>
    </row>
    <row r="896" spans="1:8">
      <c r="A896" s="701">
        <v>0</v>
      </c>
      <c r="B896" s="759">
        <v>5.5</v>
      </c>
      <c r="C896" s="759">
        <v>6.75</v>
      </c>
      <c r="D896" s="759">
        <v>2.7</v>
      </c>
      <c r="E896" s="701">
        <v>1.55</v>
      </c>
      <c r="F896" s="759">
        <v>3.62</v>
      </c>
      <c r="H896" s="759">
        <f t="shared" si="14"/>
        <v>5.6110000000000007</v>
      </c>
    </row>
    <row r="897" spans="1:8">
      <c r="A897" s="701">
        <v>0</v>
      </c>
      <c r="B897" s="759">
        <v>5.5</v>
      </c>
      <c r="C897" s="759">
        <v>7</v>
      </c>
      <c r="D897" s="759">
        <v>2.7</v>
      </c>
      <c r="E897" s="701">
        <v>1.55</v>
      </c>
      <c r="F897" s="759">
        <v>3.62</v>
      </c>
      <c r="H897" s="759">
        <f t="shared" si="14"/>
        <v>5.6110000000000007</v>
      </c>
    </row>
    <row r="898" spans="1:8">
      <c r="A898" s="701">
        <v>0</v>
      </c>
      <c r="B898" s="759">
        <v>5.5</v>
      </c>
      <c r="C898" s="759">
        <v>7.5</v>
      </c>
      <c r="D898" s="759">
        <v>2.7</v>
      </c>
      <c r="E898" s="701">
        <v>1.55</v>
      </c>
      <c r="F898" s="759">
        <v>3.62</v>
      </c>
      <c r="H898" s="759">
        <f t="shared" si="14"/>
        <v>5.6110000000000007</v>
      </c>
    </row>
    <row r="899" spans="1:8">
      <c r="A899" s="701">
        <v>0</v>
      </c>
      <c r="B899" s="759">
        <v>5.5</v>
      </c>
      <c r="C899" s="759">
        <v>8</v>
      </c>
      <c r="D899" s="759">
        <v>2.7</v>
      </c>
      <c r="E899" s="701">
        <v>1.55</v>
      </c>
      <c r="F899" s="759">
        <v>3.62</v>
      </c>
      <c r="H899" s="759">
        <f t="shared" si="14"/>
        <v>5.6110000000000007</v>
      </c>
    </row>
    <row r="900" spans="1:8">
      <c r="A900" s="701">
        <v>0</v>
      </c>
      <c r="B900" s="759">
        <v>6</v>
      </c>
      <c r="C900" s="759">
        <v>3</v>
      </c>
      <c r="D900" s="759">
        <v>2.7</v>
      </c>
      <c r="E900" s="701">
        <v>1.55</v>
      </c>
      <c r="F900" s="759">
        <v>3.94</v>
      </c>
      <c r="H900" s="759">
        <f t="shared" si="14"/>
        <v>6.1070000000000002</v>
      </c>
    </row>
    <row r="901" spans="1:8">
      <c r="A901" s="701">
        <v>0</v>
      </c>
      <c r="B901" s="759">
        <v>6</v>
      </c>
      <c r="C901" s="759">
        <v>3.25</v>
      </c>
      <c r="D901" s="759">
        <v>2.7</v>
      </c>
      <c r="E901" s="701">
        <v>1.55</v>
      </c>
      <c r="F901" s="759">
        <v>3.94</v>
      </c>
      <c r="H901" s="759">
        <f t="shared" si="14"/>
        <v>6.1070000000000002</v>
      </c>
    </row>
    <row r="902" spans="1:8">
      <c r="A902" s="701">
        <v>0</v>
      </c>
      <c r="B902" s="759">
        <v>6</v>
      </c>
      <c r="C902" s="759">
        <v>3.5</v>
      </c>
      <c r="D902" s="759">
        <v>2.7</v>
      </c>
      <c r="E902" s="701">
        <v>1.55</v>
      </c>
      <c r="F902" s="759">
        <v>3.94</v>
      </c>
      <c r="H902" s="759">
        <f t="shared" si="14"/>
        <v>6.1070000000000002</v>
      </c>
    </row>
    <row r="903" spans="1:8">
      <c r="A903" s="701">
        <v>0</v>
      </c>
      <c r="B903" s="759">
        <v>6</v>
      </c>
      <c r="C903" s="759">
        <v>3.75</v>
      </c>
      <c r="D903" s="759">
        <v>2.7</v>
      </c>
      <c r="E903" s="701">
        <v>1.55</v>
      </c>
      <c r="F903" s="759">
        <v>3.94</v>
      </c>
      <c r="H903" s="759">
        <f t="shared" si="14"/>
        <v>6.1070000000000002</v>
      </c>
    </row>
    <row r="904" spans="1:8">
      <c r="A904" s="701">
        <v>0</v>
      </c>
      <c r="B904" s="759">
        <v>6</v>
      </c>
      <c r="C904" s="759">
        <v>4</v>
      </c>
      <c r="D904" s="759">
        <v>2.7</v>
      </c>
      <c r="E904" s="701">
        <v>1.55</v>
      </c>
      <c r="F904" s="759">
        <v>3.94</v>
      </c>
      <c r="H904" s="759">
        <f t="shared" si="14"/>
        <v>6.1070000000000002</v>
      </c>
    </row>
    <row r="905" spans="1:8">
      <c r="A905" s="701">
        <v>0</v>
      </c>
      <c r="B905" s="759">
        <v>6</v>
      </c>
      <c r="C905" s="759">
        <v>4.25</v>
      </c>
      <c r="D905" s="759">
        <v>2.7</v>
      </c>
      <c r="E905" s="701">
        <v>1.55</v>
      </c>
      <c r="F905" s="759">
        <v>3.94</v>
      </c>
      <c r="H905" s="759">
        <f t="shared" si="14"/>
        <v>6.1070000000000002</v>
      </c>
    </row>
    <row r="906" spans="1:8">
      <c r="A906" s="701">
        <v>0</v>
      </c>
      <c r="B906" s="759">
        <v>6</v>
      </c>
      <c r="C906" s="759">
        <v>4.5</v>
      </c>
      <c r="D906" s="759">
        <v>2.7</v>
      </c>
      <c r="E906" s="701">
        <v>1.55</v>
      </c>
      <c r="F906" s="759">
        <v>3.94</v>
      </c>
      <c r="H906" s="759">
        <f t="shared" si="14"/>
        <v>6.1070000000000002</v>
      </c>
    </row>
    <row r="907" spans="1:8">
      <c r="A907" s="701">
        <v>0</v>
      </c>
      <c r="B907" s="759">
        <v>6</v>
      </c>
      <c r="C907" s="759">
        <v>4.75</v>
      </c>
      <c r="D907" s="759">
        <v>2.7</v>
      </c>
      <c r="E907" s="701">
        <v>1.55</v>
      </c>
      <c r="F907" s="759">
        <v>3.94</v>
      </c>
      <c r="H907" s="759">
        <f t="shared" si="14"/>
        <v>6.1070000000000002</v>
      </c>
    </row>
    <row r="908" spans="1:8">
      <c r="A908" s="701">
        <v>0</v>
      </c>
      <c r="B908" s="759">
        <v>6</v>
      </c>
      <c r="C908" s="759">
        <v>5</v>
      </c>
      <c r="D908" s="759">
        <v>2.7</v>
      </c>
      <c r="E908" s="701">
        <v>1.55</v>
      </c>
      <c r="F908" s="759">
        <v>3.94</v>
      </c>
      <c r="H908" s="759">
        <f t="shared" si="14"/>
        <v>6.1070000000000002</v>
      </c>
    </row>
    <row r="909" spans="1:8">
      <c r="A909" s="701">
        <v>0</v>
      </c>
      <c r="B909" s="759">
        <v>6</v>
      </c>
      <c r="C909" s="759">
        <v>5.25</v>
      </c>
      <c r="D909" s="759">
        <v>2.7</v>
      </c>
      <c r="E909" s="701">
        <v>1.55</v>
      </c>
      <c r="F909" s="759">
        <v>3.94</v>
      </c>
      <c r="H909" s="759">
        <f t="shared" si="14"/>
        <v>6.1070000000000002</v>
      </c>
    </row>
    <row r="910" spans="1:8">
      <c r="A910" s="701">
        <v>0</v>
      </c>
      <c r="B910" s="759">
        <v>6</v>
      </c>
      <c r="C910" s="759">
        <v>5.5</v>
      </c>
      <c r="D910" s="759">
        <v>2.7</v>
      </c>
      <c r="E910" s="701">
        <v>1.55</v>
      </c>
      <c r="F910" s="759">
        <v>3.94</v>
      </c>
      <c r="H910" s="759">
        <f t="shared" si="14"/>
        <v>6.1070000000000002</v>
      </c>
    </row>
    <row r="911" spans="1:8">
      <c r="A911" s="701">
        <v>0</v>
      </c>
      <c r="B911" s="759">
        <v>6</v>
      </c>
      <c r="C911" s="759">
        <v>5.75</v>
      </c>
      <c r="D911" s="759">
        <v>2.7</v>
      </c>
      <c r="E911" s="701">
        <v>1.55</v>
      </c>
      <c r="F911" s="759">
        <v>3.94</v>
      </c>
      <c r="H911" s="759">
        <f t="shared" si="14"/>
        <v>6.1070000000000002</v>
      </c>
    </row>
    <row r="912" spans="1:8">
      <c r="A912" s="701">
        <v>0</v>
      </c>
      <c r="B912" s="759">
        <v>6</v>
      </c>
      <c r="C912" s="759">
        <v>6</v>
      </c>
      <c r="D912" s="759">
        <v>2.7</v>
      </c>
      <c r="E912" s="701">
        <v>1.55</v>
      </c>
      <c r="F912" s="759">
        <v>3.94</v>
      </c>
      <c r="H912" s="759">
        <f t="shared" si="14"/>
        <v>6.1070000000000002</v>
      </c>
    </row>
    <row r="913" spans="1:8">
      <c r="A913" s="701">
        <v>0</v>
      </c>
      <c r="B913" s="759">
        <v>6</v>
      </c>
      <c r="C913" s="759">
        <v>6.25</v>
      </c>
      <c r="D913" s="759">
        <v>2.7</v>
      </c>
      <c r="E913" s="701">
        <v>1.55</v>
      </c>
      <c r="F913" s="759">
        <v>3.94</v>
      </c>
      <c r="H913" s="759">
        <f t="shared" si="14"/>
        <v>6.1070000000000002</v>
      </c>
    </row>
    <row r="914" spans="1:8">
      <c r="A914" s="701">
        <v>0</v>
      </c>
      <c r="B914" s="759">
        <v>6</v>
      </c>
      <c r="C914" s="759">
        <v>6.5</v>
      </c>
      <c r="D914" s="759">
        <v>2.7</v>
      </c>
      <c r="E914" s="701">
        <v>1.55</v>
      </c>
      <c r="F914" s="759">
        <v>3.94</v>
      </c>
      <c r="H914" s="759">
        <f t="shared" si="14"/>
        <v>6.1070000000000002</v>
      </c>
    </row>
    <row r="915" spans="1:8">
      <c r="A915" s="701">
        <v>0</v>
      </c>
      <c r="B915" s="759">
        <v>6</v>
      </c>
      <c r="C915" s="759">
        <v>6.75</v>
      </c>
      <c r="D915" s="759">
        <v>2.7</v>
      </c>
      <c r="E915" s="701">
        <v>1.55</v>
      </c>
      <c r="F915" s="759">
        <v>3.94</v>
      </c>
      <c r="H915" s="759">
        <f t="shared" si="14"/>
        <v>6.1070000000000002</v>
      </c>
    </row>
    <row r="916" spans="1:8">
      <c r="A916" s="701">
        <v>0</v>
      </c>
      <c r="B916" s="759">
        <v>6</v>
      </c>
      <c r="C916" s="759">
        <v>7</v>
      </c>
      <c r="D916" s="759">
        <v>2.7</v>
      </c>
      <c r="E916" s="701">
        <v>1.55</v>
      </c>
      <c r="F916" s="759">
        <v>3.94</v>
      </c>
      <c r="H916" s="759">
        <f t="shared" si="14"/>
        <v>6.1070000000000002</v>
      </c>
    </row>
    <row r="917" spans="1:8">
      <c r="A917" s="701">
        <v>0</v>
      </c>
      <c r="B917" s="759">
        <v>6</v>
      </c>
      <c r="C917" s="759">
        <v>7.5</v>
      </c>
      <c r="D917" s="759">
        <v>2.7</v>
      </c>
      <c r="E917" s="701">
        <v>1.55</v>
      </c>
      <c r="F917" s="759">
        <v>3.94</v>
      </c>
      <c r="H917" s="759">
        <f t="shared" si="14"/>
        <v>6.1070000000000002</v>
      </c>
    </row>
    <row r="918" spans="1:8">
      <c r="A918" s="701">
        <v>0</v>
      </c>
      <c r="B918" s="759">
        <v>6</v>
      </c>
      <c r="C918" s="759">
        <v>8</v>
      </c>
      <c r="D918" s="759">
        <v>2.7</v>
      </c>
      <c r="E918" s="701">
        <v>1.55</v>
      </c>
      <c r="F918" s="759">
        <v>3.94</v>
      </c>
      <c r="H918" s="759">
        <f t="shared" si="14"/>
        <v>6.1070000000000002</v>
      </c>
    </row>
    <row r="919" spans="1:8">
      <c r="A919" s="701">
        <v>0</v>
      </c>
      <c r="B919" s="759">
        <v>6.5</v>
      </c>
      <c r="C919" s="759">
        <v>3</v>
      </c>
      <c r="D919" s="759">
        <v>2.7</v>
      </c>
      <c r="E919" s="701">
        <v>1.55</v>
      </c>
      <c r="F919" s="759">
        <v>4.2699999999999996</v>
      </c>
      <c r="H919" s="759">
        <f t="shared" si="14"/>
        <v>6.6184999999999992</v>
      </c>
    </row>
    <row r="920" spans="1:8">
      <c r="A920" s="701">
        <v>0</v>
      </c>
      <c r="B920" s="759">
        <v>6.5</v>
      </c>
      <c r="C920" s="759">
        <v>3.25</v>
      </c>
      <c r="D920" s="759">
        <v>2.7</v>
      </c>
      <c r="E920" s="701">
        <v>1.55</v>
      </c>
      <c r="F920" s="759">
        <v>4.2699999999999996</v>
      </c>
      <c r="H920" s="759">
        <f t="shared" si="14"/>
        <v>6.6184999999999992</v>
      </c>
    </row>
    <row r="921" spans="1:8">
      <c r="A921" s="701">
        <v>0</v>
      </c>
      <c r="B921" s="759">
        <v>6.5</v>
      </c>
      <c r="C921" s="759">
        <v>3.5</v>
      </c>
      <c r="D921" s="759">
        <v>2.7</v>
      </c>
      <c r="E921" s="701">
        <v>1.55</v>
      </c>
      <c r="F921" s="759">
        <v>4.2699999999999996</v>
      </c>
      <c r="H921" s="759">
        <f t="shared" si="14"/>
        <v>6.6184999999999992</v>
      </c>
    </row>
    <row r="922" spans="1:8">
      <c r="A922" s="701">
        <v>0</v>
      </c>
      <c r="B922" s="759">
        <v>6.5</v>
      </c>
      <c r="C922" s="759">
        <v>3.75</v>
      </c>
      <c r="D922" s="759">
        <v>2.7</v>
      </c>
      <c r="E922" s="701">
        <v>1.55</v>
      </c>
      <c r="F922" s="759">
        <v>4.2699999999999996</v>
      </c>
      <c r="H922" s="759">
        <f t="shared" si="14"/>
        <v>6.6184999999999992</v>
      </c>
    </row>
    <row r="923" spans="1:8">
      <c r="A923" s="701">
        <v>0</v>
      </c>
      <c r="B923" s="759">
        <v>6.5</v>
      </c>
      <c r="C923" s="759">
        <v>4</v>
      </c>
      <c r="D923" s="759">
        <v>2.7</v>
      </c>
      <c r="E923" s="701">
        <v>1.55</v>
      </c>
      <c r="F923" s="759">
        <v>4.2699999999999996</v>
      </c>
      <c r="H923" s="759">
        <f t="shared" si="14"/>
        <v>6.6184999999999992</v>
      </c>
    </row>
    <row r="924" spans="1:8">
      <c r="A924" s="701">
        <v>0</v>
      </c>
      <c r="B924" s="759">
        <v>6.5</v>
      </c>
      <c r="C924" s="759">
        <v>4.25</v>
      </c>
      <c r="D924" s="759">
        <v>2.7</v>
      </c>
      <c r="E924" s="701">
        <v>1.55</v>
      </c>
      <c r="F924" s="759">
        <v>4.2699999999999996</v>
      </c>
      <c r="H924" s="759">
        <f t="shared" si="14"/>
        <v>6.6184999999999992</v>
      </c>
    </row>
    <row r="925" spans="1:8">
      <c r="A925" s="701">
        <v>0</v>
      </c>
      <c r="B925" s="759">
        <v>6.5</v>
      </c>
      <c r="C925" s="759">
        <v>4.5</v>
      </c>
      <c r="D925" s="759">
        <v>2.7</v>
      </c>
      <c r="E925" s="701">
        <v>1.55</v>
      </c>
      <c r="F925" s="759">
        <v>4.2699999999999996</v>
      </c>
      <c r="H925" s="759">
        <f t="shared" si="14"/>
        <v>6.6184999999999992</v>
      </c>
    </row>
    <row r="926" spans="1:8">
      <c r="A926" s="701">
        <v>0</v>
      </c>
      <c r="B926" s="759">
        <v>6.5</v>
      </c>
      <c r="C926" s="759">
        <v>4.75</v>
      </c>
      <c r="D926" s="759">
        <v>2.7</v>
      </c>
      <c r="E926" s="701">
        <v>1.55</v>
      </c>
      <c r="F926" s="759">
        <v>4.2699999999999996</v>
      </c>
      <c r="H926" s="759">
        <f t="shared" si="14"/>
        <v>6.6184999999999992</v>
      </c>
    </row>
    <row r="927" spans="1:8">
      <c r="A927" s="701">
        <v>0</v>
      </c>
      <c r="B927" s="759">
        <v>6.5</v>
      </c>
      <c r="C927" s="759">
        <v>5</v>
      </c>
      <c r="D927" s="759">
        <v>2.7</v>
      </c>
      <c r="E927" s="701">
        <v>1.55</v>
      </c>
      <c r="F927" s="759">
        <v>4.2699999999999996</v>
      </c>
      <c r="H927" s="759">
        <f t="shared" si="14"/>
        <v>6.6184999999999992</v>
      </c>
    </row>
    <row r="928" spans="1:8">
      <c r="A928" s="701">
        <v>0</v>
      </c>
      <c r="B928" s="759">
        <v>6.5</v>
      </c>
      <c r="C928" s="759">
        <v>5.25</v>
      </c>
      <c r="D928" s="759">
        <v>2.7</v>
      </c>
      <c r="E928" s="701">
        <v>1.55</v>
      </c>
      <c r="F928" s="759">
        <v>4.2699999999999996</v>
      </c>
      <c r="H928" s="759">
        <f t="shared" si="14"/>
        <v>6.6184999999999992</v>
      </c>
    </row>
    <row r="929" spans="1:8">
      <c r="A929" s="701">
        <v>0</v>
      </c>
      <c r="B929" s="759">
        <v>6.5</v>
      </c>
      <c r="C929" s="759">
        <v>5.5</v>
      </c>
      <c r="D929" s="759">
        <v>2.7</v>
      </c>
      <c r="E929" s="701">
        <v>1.55</v>
      </c>
      <c r="F929" s="759">
        <v>4.2699999999999996</v>
      </c>
      <c r="H929" s="759">
        <f t="shared" si="14"/>
        <v>6.6184999999999992</v>
      </c>
    </row>
    <row r="930" spans="1:8">
      <c r="A930" s="701">
        <v>0</v>
      </c>
      <c r="B930" s="759">
        <v>6.5</v>
      </c>
      <c r="C930" s="759">
        <v>5.75</v>
      </c>
      <c r="D930" s="759">
        <v>2.7</v>
      </c>
      <c r="E930" s="701">
        <v>1.55</v>
      </c>
      <c r="F930" s="759">
        <v>4.2699999999999996</v>
      </c>
      <c r="H930" s="759">
        <f t="shared" si="14"/>
        <v>6.6184999999999992</v>
      </c>
    </row>
    <row r="931" spans="1:8">
      <c r="A931" s="701">
        <v>0</v>
      </c>
      <c r="B931" s="759">
        <v>6.5</v>
      </c>
      <c r="C931" s="759">
        <v>6</v>
      </c>
      <c r="D931" s="759">
        <v>2.7</v>
      </c>
      <c r="E931" s="701">
        <v>1.55</v>
      </c>
      <c r="F931" s="759">
        <v>4.2699999999999996</v>
      </c>
      <c r="H931" s="759">
        <f t="shared" si="14"/>
        <v>6.6184999999999992</v>
      </c>
    </row>
    <row r="932" spans="1:8">
      <c r="A932" s="701">
        <v>0</v>
      </c>
      <c r="B932" s="759">
        <v>6.5</v>
      </c>
      <c r="C932" s="759">
        <v>6.25</v>
      </c>
      <c r="D932" s="759">
        <v>2.7</v>
      </c>
      <c r="E932" s="701">
        <v>1.55</v>
      </c>
      <c r="F932" s="759">
        <v>4.2699999999999996</v>
      </c>
      <c r="H932" s="759">
        <f t="shared" si="14"/>
        <v>6.6184999999999992</v>
      </c>
    </row>
    <row r="933" spans="1:8">
      <c r="A933" s="701">
        <v>0</v>
      </c>
      <c r="B933" s="759">
        <v>6.5</v>
      </c>
      <c r="C933" s="759">
        <v>6.5</v>
      </c>
      <c r="D933" s="759">
        <v>2.7</v>
      </c>
      <c r="E933" s="701">
        <v>1.55</v>
      </c>
      <c r="F933" s="759">
        <v>4.2699999999999996</v>
      </c>
      <c r="H933" s="759">
        <f t="shared" si="14"/>
        <v>6.6184999999999992</v>
      </c>
    </row>
    <row r="934" spans="1:8">
      <c r="A934" s="701">
        <v>0</v>
      </c>
      <c r="B934" s="759">
        <v>6.5</v>
      </c>
      <c r="C934" s="759">
        <v>6.75</v>
      </c>
      <c r="D934" s="759">
        <v>2.7</v>
      </c>
      <c r="E934" s="701">
        <v>1.55</v>
      </c>
      <c r="F934" s="759">
        <v>4.2699999999999996</v>
      </c>
      <c r="H934" s="759">
        <f t="shared" si="14"/>
        <v>6.6184999999999992</v>
      </c>
    </row>
    <row r="935" spans="1:8">
      <c r="A935" s="701">
        <v>0</v>
      </c>
      <c r="B935" s="759">
        <v>6.5</v>
      </c>
      <c r="C935" s="759">
        <v>7</v>
      </c>
      <c r="D935" s="759">
        <v>2.7</v>
      </c>
      <c r="E935" s="701">
        <v>1.55</v>
      </c>
      <c r="F935" s="759">
        <v>4.2699999999999996</v>
      </c>
      <c r="H935" s="759">
        <f t="shared" si="14"/>
        <v>6.6184999999999992</v>
      </c>
    </row>
    <row r="936" spans="1:8">
      <c r="A936" s="701">
        <v>0</v>
      </c>
      <c r="B936" s="759">
        <v>6.5</v>
      </c>
      <c r="C936" s="759">
        <v>7.5</v>
      </c>
      <c r="D936" s="759">
        <v>2.7</v>
      </c>
      <c r="E936" s="701">
        <v>1.55</v>
      </c>
      <c r="F936" s="759">
        <v>4.2699999999999996</v>
      </c>
      <c r="H936" s="759">
        <f t="shared" si="14"/>
        <v>6.6184999999999992</v>
      </c>
    </row>
    <row r="937" spans="1:8">
      <c r="A937" s="701">
        <v>0</v>
      </c>
      <c r="B937" s="759">
        <v>6.5</v>
      </c>
      <c r="C937" s="759">
        <v>8</v>
      </c>
      <c r="D937" s="759">
        <v>2.7</v>
      </c>
      <c r="E937" s="701">
        <v>1.55</v>
      </c>
      <c r="F937" s="759">
        <v>4.2699999999999996</v>
      </c>
      <c r="H937" s="759">
        <f t="shared" si="14"/>
        <v>6.6184999999999992</v>
      </c>
    </row>
    <row r="938" spans="1:8">
      <c r="A938" s="701">
        <v>0</v>
      </c>
      <c r="B938" s="759">
        <v>7</v>
      </c>
      <c r="C938" s="759">
        <v>3</v>
      </c>
      <c r="D938" s="759">
        <v>2.7</v>
      </c>
      <c r="E938" s="701">
        <v>1.55</v>
      </c>
      <c r="F938" s="759">
        <v>4.5999999999999996</v>
      </c>
      <c r="H938" s="759">
        <f t="shared" si="14"/>
        <v>7.13</v>
      </c>
    </row>
    <row r="939" spans="1:8">
      <c r="A939" s="701">
        <v>0</v>
      </c>
      <c r="B939" s="759">
        <v>7</v>
      </c>
      <c r="C939" s="759">
        <v>3.25</v>
      </c>
      <c r="D939" s="759">
        <v>2.7</v>
      </c>
      <c r="E939" s="701">
        <v>1.55</v>
      </c>
      <c r="F939" s="759">
        <v>4.5999999999999996</v>
      </c>
      <c r="H939" s="759">
        <f t="shared" si="14"/>
        <v>7.13</v>
      </c>
    </row>
    <row r="940" spans="1:8">
      <c r="A940" s="701">
        <v>0</v>
      </c>
      <c r="B940" s="759">
        <v>7</v>
      </c>
      <c r="C940" s="759">
        <v>3.5</v>
      </c>
      <c r="D940" s="759">
        <v>2.7</v>
      </c>
      <c r="E940" s="701">
        <v>1.55</v>
      </c>
      <c r="F940" s="759">
        <v>4.5999999999999996</v>
      </c>
      <c r="H940" s="759">
        <f t="shared" ref="H940:H994" si="15">F940*E940</f>
        <v>7.13</v>
      </c>
    </row>
    <row r="941" spans="1:8">
      <c r="A941" s="701">
        <v>0</v>
      </c>
      <c r="B941" s="759">
        <v>7</v>
      </c>
      <c r="C941" s="759">
        <v>3.75</v>
      </c>
      <c r="D941" s="759">
        <v>2.7</v>
      </c>
      <c r="E941" s="701">
        <v>1.55</v>
      </c>
      <c r="F941" s="759">
        <v>4.5999999999999996</v>
      </c>
      <c r="H941" s="759">
        <f t="shared" si="15"/>
        <v>7.13</v>
      </c>
    </row>
    <row r="942" spans="1:8">
      <c r="A942" s="701">
        <v>0</v>
      </c>
      <c r="B942" s="759">
        <v>7</v>
      </c>
      <c r="C942" s="759">
        <v>4</v>
      </c>
      <c r="D942" s="759">
        <v>2.7</v>
      </c>
      <c r="E942" s="701">
        <v>1.55</v>
      </c>
      <c r="F942" s="759">
        <v>4.5999999999999996</v>
      </c>
      <c r="H942" s="759">
        <f t="shared" si="15"/>
        <v>7.13</v>
      </c>
    </row>
    <row r="943" spans="1:8">
      <c r="A943" s="701">
        <v>0</v>
      </c>
      <c r="B943" s="759">
        <v>7</v>
      </c>
      <c r="C943" s="759">
        <v>4.25</v>
      </c>
      <c r="D943" s="759">
        <v>2.7</v>
      </c>
      <c r="E943" s="701">
        <v>1.55</v>
      </c>
      <c r="F943" s="759">
        <v>4.5999999999999996</v>
      </c>
      <c r="H943" s="759">
        <f t="shared" si="15"/>
        <v>7.13</v>
      </c>
    </row>
    <row r="944" spans="1:8">
      <c r="A944" s="701">
        <v>0</v>
      </c>
      <c r="B944" s="759">
        <v>7</v>
      </c>
      <c r="C944" s="759">
        <v>4.5</v>
      </c>
      <c r="D944" s="759">
        <v>2.7</v>
      </c>
      <c r="E944" s="701">
        <v>1.55</v>
      </c>
      <c r="F944" s="759">
        <v>4.5999999999999996</v>
      </c>
      <c r="H944" s="759">
        <f t="shared" si="15"/>
        <v>7.13</v>
      </c>
    </row>
    <row r="945" spans="1:8">
      <c r="A945" s="701">
        <v>0</v>
      </c>
      <c r="B945" s="759">
        <v>7</v>
      </c>
      <c r="C945" s="759">
        <v>4.75</v>
      </c>
      <c r="D945" s="759">
        <v>2.7</v>
      </c>
      <c r="E945" s="701">
        <v>1.55</v>
      </c>
      <c r="F945" s="759">
        <v>4.5999999999999996</v>
      </c>
      <c r="H945" s="759">
        <f t="shared" si="15"/>
        <v>7.13</v>
      </c>
    </row>
    <row r="946" spans="1:8">
      <c r="A946" s="701">
        <v>0</v>
      </c>
      <c r="B946" s="759">
        <v>7</v>
      </c>
      <c r="C946" s="759">
        <v>5</v>
      </c>
      <c r="D946" s="759">
        <v>2.7</v>
      </c>
      <c r="E946" s="701">
        <v>1.55</v>
      </c>
      <c r="F946" s="759">
        <v>4.5999999999999996</v>
      </c>
      <c r="H946" s="759">
        <f t="shared" si="15"/>
        <v>7.13</v>
      </c>
    </row>
    <row r="947" spans="1:8">
      <c r="A947" s="701">
        <v>0</v>
      </c>
      <c r="B947" s="759">
        <v>7</v>
      </c>
      <c r="C947" s="759">
        <v>5.25</v>
      </c>
      <c r="D947" s="759">
        <v>2.7</v>
      </c>
      <c r="E947" s="701">
        <v>1.55</v>
      </c>
      <c r="F947" s="759">
        <v>4.5999999999999996</v>
      </c>
      <c r="H947" s="759">
        <f t="shared" si="15"/>
        <v>7.13</v>
      </c>
    </row>
    <row r="948" spans="1:8">
      <c r="A948" s="701">
        <v>0</v>
      </c>
      <c r="B948" s="759">
        <v>7</v>
      </c>
      <c r="C948" s="759">
        <v>5.5</v>
      </c>
      <c r="D948" s="759">
        <v>2.7</v>
      </c>
      <c r="E948" s="701">
        <v>1.55</v>
      </c>
      <c r="F948" s="759">
        <v>4.5999999999999996</v>
      </c>
      <c r="H948" s="759">
        <f t="shared" si="15"/>
        <v>7.13</v>
      </c>
    </row>
    <row r="949" spans="1:8">
      <c r="A949" s="701">
        <v>0</v>
      </c>
      <c r="B949" s="759">
        <v>7</v>
      </c>
      <c r="C949" s="759">
        <v>5.75</v>
      </c>
      <c r="D949" s="759">
        <v>2.7</v>
      </c>
      <c r="E949" s="701">
        <v>1.55</v>
      </c>
      <c r="F949" s="759">
        <v>4.5999999999999996</v>
      </c>
      <c r="H949" s="759">
        <f t="shared" si="15"/>
        <v>7.13</v>
      </c>
    </row>
    <row r="950" spans="1:8">
      <c r="A950" s="701">
        <v>0</v>
      </c>
      <c r="B950" s="759">
        <v>7</v>
      </c>
      <c r="C950" s="759">
        <v>6</v>
      </c>
      <c r="D950" s="759">
        <v>2.7</v>
      </c>
      <c r="E950" s="701">
        <v>1.55</v>
      </c>
      <c r="F950" s="759">
        <v>4.5999999999999996</v>
      </c>
      <c r="H950" s="759">
        <f t="shared" si="15"/>
        <v>7.13</v>
      </c>
    </row>
    <row r="951" spans="1:8">
      <c r="A951" s="701">
        <v>0</v>
      </c>
      <c r="B951" s="759">
        <v>7</v>
      </c>
      <c r="C951" s="759">
        <v>6.25</v>
      </c>
      <c r="D951" s="759">
        <v>2.7</v>
      </c>
      <c r="E951" s="701">
        <v>1.55</v>
      </c>
      <c r="F951" s="759">
        <v>4.5999999999999996</v>
      </c>
      <c r="H951" s="759">
        <f t="shared" si="15"/>
        <v>7.13</v>
      </c>
    </row>
    <row r="952" spans="1:8">
      <c r="A952" s="701">
        <v>0</v>
      </c>
      <c r="B952" s="759">
        <v>7</v>
      </c>
      <c r="C952" s="759">
        <v>6.5</v>
      </c>
      <c r="D952" s="759">
        <v>2.7</v>
      </c>
      <c r="E952" s="701">
        <v>1.55</v>
      </c>
      <c r="F952" s="759">
        <v>4.5999999999999996</v>
      </c>
      <c r="H952" s="759">
        <f t="shared" si="15"/>
        <v>7.13</v>
      </c>
    </row>
    <row r="953" spans="1:8">
      <c r="A953" s="701">
        <v>0</v>
      </c>
      <c r="B953" s="759">
        <v>7</v>
      </c>
      <c r="C953" s="759">
        <v>6.75</v>
      </c>
      <c r="D953" s="759">
        <v>2.7</v>
      </c>
      <c r="E953" s="701">
        <v>1.55</v>
      </c>
      <c r="F953" s="759">
        <v>4.5999999999999996</v>
      </c>
      <c r="H953" s="759">
        <f t="shared" si="15"/>
        <v>7.13</v>
      </c>
    </row>
    <row r="954" spans="1:8">
      <c r="A954" s="701">
        <v>0</v>
      </c>
      <c r="B954" s="759">
        <v>7</v>
      </c>
      <c r="C954" s="759">
        <v>7</v>
      </c>
      <c r="D954" s="759">
        <v>2.7</v>
      </c>
      <c r="E954" s="701">
        <v>1.55</v>
      </c>
      <c r="F954" s="759">
        <v>4.5999999999999996</v>
      </c>
      <c r="H954" s="759">
        <f t="shared" si="15"/>
        <v>7.13</v>
      </c>
    </row>
    <row r="955" spans="1:8">
      <c r="A955" s="701">
        <v>0</v>
      </c>
      <c r="B955" s="759">
        <v>7</v>
      </c>
      <c r="C955" s="759">
        <v>7.5</v>
      </c>
      <c r="D955" s="759">
        <v>2.7</v>
      </c>
      <c r="E955" s="701">
        <v>1.55</v>
      </c>
      <c r="F955" s="759">
        <v>4.5999999999999996</v>
      </c>
      <c r="H955" s="759">
        <f t="shared" si="15"/>
        <v>7.13</v>
      </c>
    </row>
    <row r="956" spans="1:8">
      <c r="A956" s="701">
        <v>0</v>
      </c>
      <c r="B956" s="759">
        <v>7</v>
      </c>
      <c r="C956" s="759">
        <v>8</v>
      </c>
      <c r="D956" s="759">
        <v>2.7</v>
      </c>
      <c r="E956" s="701">
        <v>1.55</v>
      </c>
      <c r="F956" s="759">
        <v>4.5999999999999996</v>
      </c>
      <c r="H956" s="759">
        <f t="shared" si="15"/>
        <v>7.13</v>
      </c>
    </row>
    <row r="957" spans="1:8">
      <c r="A957" s="701">
        <v>0</v>
      </c>
      <c r="B957" s="759">
        <v>7.5</v>
      </c>
      <c r="C957" s="759">
        <v>3</v>
      </c>
      <c r="D957" s="759">
        <v>2.7</v>
      </c>
      <c r="E957" s="701">
        <v>1.55</v>
      </c>
      <c r="F957" s="759">
        <v>4.93</v>
      </c>
      <c r="H957" s="759">
        <f t="shared" si="15"/>
        <v>7.6414999999999997</v>
      </c>
    </row>
    <row r="958" spans="1:8">
      <c r="A958" s="701">
        <v>0</v>
      </c>
      <c r="B958" s="759">
        <v>7.5</v>
      </c>
      <c r="C958" s="759">
        <v>3.25</v>
      </c>
      <c r="D958" s="759">
        <v>2.7</v>
      </c>
      <c r="E958" s="701">
        <v>1.55</v>
      </c>
      <c r="F958" s="759">
        <v>4.93</v>
      </c>
      <c r="H958" s="759">
        <f t="shared" si="15"/>
        <v>7.6414999999999997</v>
      </c>
    </row>
    <row r="959" spans="1:8">
      <c r="A959" s="701">
        <v>0</v>
      </c>
      <c r="B959" s="759">
        <v>7.5</v>
      </c>
      <c r="C959" s="759">
        <v>3.5</v>
      </c>
      <c r="D959" s="759">
        <v>2.7</v>
      </c>
      <c r="E959" s="701">
        <v>1.55</v>
      </c>
      <c r="F959" s="759">
        <v>4.93</v>
      </c>
      <c r="H959" s="759">
        <f t="shared" si="15"/>
        <v>7.6414999999999997</v>
      </c>
    </row>
    <row r="960" spans="1:8">
      <c r="A960" s="701">
        <v>0</v>
      </c>
      <c r="B960" s="759">
        <v>7.5</v>
      </c>
      <c r="C960" s="759">
        <v>3.75</v>
      </c>
      <c r="D960" s="759">
        <v>2.7</v>
      </c>
      <c r="E960" s="701">
        <v>1.55</v>
      </c>
      <c r="F960" s="759">
        <v>4.93</v>
      </c>
      <c r="H960" s="759">
        <f t="shared" si="15"/>
        <v>7.6414999999999997</v>
      </c>
    </row>
    <row r="961" spans="1:8">
      <c r="A961" s="701">
        <v>0</v>
      </c>
      <c r="B961" s="759">
        <v>7.5</v>
      </c>
      <c r="C961" s="759">
        <v>4</v>
      </c>
      <c r="D961" s="759">
        <v>2.7</v>
      </c>
      <c r="E961" s="701">
        <v>1.55</v>
      </c>
      <c r="F961" s="759">
        <v>4.93</v>
      </c>
      <c r="H961" s="759">
        <f t="shared" si="15"/>
        <v>7.6414999999999997</v>
      </c>
    </row>
    <row r="962" spans="1:8">
      <c r="A962" s="701">
        <v>0</v>
      </c>
      <c r="B962" s="759">
        <v>7.5</v>
      </c>
      <c r="C962" s="759">
        <v>4.25</v>
      </c>
      <c r="D962" s="759">
        <v>2.7</v>
      </c>
      <c r="E962" s="701">
        <v>1.55</v>
      </c>
      <c r="F962" s="759">
        <v>4.93</v>
      </c>
      <c r="H962" s="759">
        <f t="shared" si="15"/>
        <v>7.6414999999999997</v>
      </c>
    </row>
    <row r="963" spans="1:8">
      <c r="A963" s="701">
        <v>0</v>
      </c>
      <c r="B963" s="759">
        <v>7.5</v>
      </c>
      <c r="C963" s="759">
        <v>4.5</v>
      </c>
      <c r="D963" s="759">
        <v>2.7</v>
      </c>
      <c r="E963" s="701">
        <v>1.55</v>
      </c>
      <c r="F963" s="759">
        <v>4.93</v>
      </c>
      <c r="H963" s="759">
        <f t="shared" si="15"/>
        <v>7.6414999999999997</v>
      </c>
    </row>
    <row r="964" spans="1:8">
      <c r="A964" s="701">
        <v>0</v>
      </c>
      <c r="B964" s="759">
        <v>7.5</v>
      </c>
      <c r="C964" s="759">
        <v>4.75</v>
      </c>
      <c r="D964" s="759">
        <v>2.7</v>
      </c>
      <c r="E964" s="701">
        <v>1.55</v>
      </c>
      <c r="F964" s="759">
        <v>4.93</v>
      </c>
      <c r="H964" s="759">
        <f t="shared" si="15"/>
        <v>7.6414999999999997</v>
      </c>
    </row>
    <row r="965" spans="1:8">
      <c r="A965" s="701">
        <v>0</v>
      </c>
      <c r="B965" s="759">
        <v>7.5</v>
      </c>
      <c r="C965" s="759">
        <v>5</v>
      </c>
      <c r="D965" s="759">
        <v>2.7</v>
      </c>
      <c r="E965" s="701">
        <v>1.55</v>
      </c>
      <c r="F965" s="759">
        <v>4.93</v>
      </c>
      <c r="H965" s="759">
        <f t="shared" si="15"/>
        <v>7.6414999999999997</v>
      </c>
    </row>
    <row r="966" spans="1:8">
      <c r="A966" s="701">
        <v>0</v>
      </c>
      <c r="B966" s="759">
        <v>7.5</v>
      </c>
      <c r="C966" s="759">
        <v>5.25</v>
      </c>
      <c r="D966" s="759">
        <v>2.7</v>
      </c>
      <c r="E966" s="701">
        <v>1.55</v>
      </c>
      <c r="F966" s="759">
        <v>4.93</v>
      </c>
      <c r="H966" s="759">
        <f t="shared" si="15"/>
        <v>7.6414999999999997</v>
      </c>
    </row>
    <row r="967" spans="1:8">
      <c r="A967" s="701">
        <v>0</v>
      </c>
      <c r="B967" s="759">
        <v>7.5</v>
      </c>
      <c r="C967" s="759">
        <v>5.5</v>
      </c>
      <c r="D967" s="759">
        <v>2.7</v>
      </c>
      <c r="E967" s="701">
        <v>1.55</v>
      </c>
      <c r="F967" s="759">
        <v>4.93</v>
      </c>
      <c r="H967" s="759">
        <f t="shared" si="15"/>
        <v>7.6414999999999997</v>
      </c>
    </row>
    <row r="968" spans="1:8">
      <c r="A968" s="701">
        <v>0</v>
      </c>
      <c r="B968" s="759">
        <v>7.5</v>
      </c>
      <c r="C968" s="759">
        <v>5.75</v>
      </c>
      <c r="D968" s="759">
        <v>2.7</v>
      </c>
      <c r="E968" s="701">
        <v>1.55</v>
      </c>
      <c r="F968" s="759">
        <v>4.93</v>
      </c>
      <c r="H968" s="759">
        <f t="shared" si="15"/>
        <v>7.6414999999999997</v>
      </c>
    </row>
    <row r="969" spans="1:8">
      <c r="A969" s="701">
        <v>0</v>
      </c>
      <c r="B969" s="759">
        <v>7.5</v>
      </c>
      <c r="C969" s="759">
        <v>6</v>
      </c>
      <c r="D969" s="759">
        <v>2.7</v>
      </c>
      <c r="E969" s="701">
        <v>1.55</v>
      </c>
      <c r="F969" s="759">
        <v>4.93</v>
      </c>
      <c r="H969" s="759">
        <f t="shared" si="15"/>
        <v>7.6414999999999997</v>
      </c>
    </row>
    <row r="970" spans="1:8">
      <c r="A970" s="701">
        <v>0</v>
      </c>
      <c r="B970" s="759">
        <v>7.5</v>
      </c>
      <c r="C970" s="759">
        <v>6.25</v>
      </c>
      <c r="D970" s="759">
        <v>2.7</v>
      </c>
      <c r="E970" s="701">
        <v>1.55</v>
      </c>
      <c r="F970" s="759">
        <v>4.93</v>
      </c>
      <c r="H970" s="759">
        <f t="shared" si="15"/>
        <v>7.6414999999999997</v>
      </c>
    </row>
    <row r="971" spans="1:8">
      <c r="A971" s="701">
        <v>0</v>
      </c>
      <c r="B971" s="759">
        <v>7.5</v>
      </c>
      <c r="C971" s="759">
        <v>6.5</v>
      </c>
      <c r="D971" s="759">
        <v>2.7</v>
      </c>
      <c r="E971" s="701">
        <v>1.55</v>
      </c>
      <c r="F971" s="759">
        <v>4.93</v>
      </c>
      <c r="H971" s="759">
        <f t="shared" si="15"/>
        <v>7.6414999999999997</v>
      </c>
    </row>
    <row r="972" spans="1:8">
      <c r="A972" s="701">
        <v>0</v>
      </c>
      <c r="B972" s="759">
        <v>7.5</v>
      </c>
      <c r="C972" s="759">
        <v>6.75</v>
      </c>
      <c r="D972" s="759">
        <v>2.7</v>
      </c>
      <c r="E972" s="701">
        <v>1.55</v>
      </c>
      <c r="F972" s="759">
        <v>4.93</v>
      </c>
      <c r="H972" s="759">
        <f t="shared" si="15"/>
        <v>7.6414999999999997</v>
      </c>
    </row>
    <row r="973" spans="1:8">
      <c r="A973" s="701">
        <v>0</v>
      </c>
      <c r="B973" s="759">
        <v>7.5</v>
      </c>
      <c r="C973" s="759">
        <v>7</v>
      </c>
      <c r="D973" s="759">
        <v>2.7</v>
      </c>
      <c r="E973" s="701">
        <v>1.55</v>
      </c>
      <c r="F973" s="759">
        <v>4.93</v>
      </c>
      <c r="H973" s="759">
        <f t="shared" si="15"/>
        <v>7.6414999999999997</v>
      </c>
    </row>
    <row r="974" spans="1:8">
      <c r="A974" s="701">
        <v>0</v>
      </c>
      <c r="B974" s="759">
        <v>7.5</v>
      </c>
      <c r="C974" s="759">
        <v>7.5</v>
      </c>
      <c r="D974" s="759">
        <v>2.7</v>
      </c>
      <c r="E974" s="701">
        <v>1.55</v>
      </c>
      <c r="F974" s="759">
        <v>4.93</v>
      </c>
      <c r="H974" s="759">
        <f t="shared" si="15"/>
        <v>7.6414999999999997</v>
      </c>
    </row>
    <row r="975" spans="1:8">
      <c r="A975" s="701">
        <v>0</v>
      </c>
      <c r="B975" s="759">
        <v>7.5</v>
      </c>
      <c r="C975" s="759">
        <v>8</v>
      </c>
      <c r="D975" s="759">
        <v>2.7</v>
      </c>
      <c r="E975" s="701">
        <v>1.55</v>
      </c>
      <c r="F975" s="759">
        <v>4.93</v>
      </c>
      <c r="H975" s="759">
        <f t="shared" si="15"/>
        <v>7.6414999999999997</v>
      </c>
    </row>
    <row r="976" spans="1:8">
      <c r="A976" s="701">
        <v>0</v>
      </c>
      <c r="B976" s="759">
        <v>8</v>
      </c>
      <c r="C976" s="759">
        <v>3</v>
      </c>
      <c r="D976" s="759">
        <v>2.7</v>
      </c>
      <c r="E976" s="701">
        <v>1.55</v>
      </c>
      <c r="F976" s="759">
        <v>5.26</v>
      </c>
      <c r="H976" s="759">
        <f t="shared" si="15"/>
        <v>8.1530000000000005</v>
      </c>
    </row>
    <row r="977" spans="1:8">
      <c r="A977" s="701">
        <v>0</v>
      </c>
      <c r="B977" s="759">
        <v>8</v>
      </c>
      <c r="C977" s="759">
        <v>3.25</v>
      </c>
      <c r="D977" s="759">
        <v>2.7</v>
      </c>
      <c r="E977" s="701">
        <v>1.55</v>
      </c>
      <c r="F977" s="759">
        <v>5.26</v>
      </c>
      <c r="H977" s="759">
        <f t="shared" si="15"/>
        <v>8.1530000000000005</v>
      </c>
    </row>
    <row r="978" spans="1:8">
      <c r="A978" s="701">
        <v>0</v>
      </c>
      <c r="B978" s="759">
        <v>8</v>
      </c>
      <c r="C978" s="759">
        <v>3.5</v>
      </c>
      <c r="D978" s="759">
        <v>2.7</v>
      </c>
      <c r="E978" s="701">
        <v>1.55</v>
      </c>
      <c r="F978" s="759">
        <v>5.26</v>
      </c>
      <c r="H978" s="759">
        <f t="shared" si="15"/>
        <v>8.1530000000000005</v>
      </c>
    </row>
    <row r="979" spans="1:8">
      <c r="A979" s="701">
        <v>0</v>
      </c>
      <c r="B979" s="759">
        <v>8</v>
      </c>
      <c r="C979" s="759">
        <v>3.75</v>
      </c>
      <c r="D979" s="759">
        <v>2.7</v>
      </c>
      <c r="E979" s="701">
        <v>1.55</v>
      </c>
      <c r="F979" s="759">
        <v>5.26</v>
      </c>
      <c r="H979" s="759">
        <f t="shared" si="15"/>
        <v>8.1530000000000005</v>
      </c>
    </row>
    <row r="980" spans="1:8">
      <c r="A980" s="701">
        <v>0</v>
      </c>
      <c r="B980" s="759">
        <v>8</v>
      </c>
      <c r="C980" s="759">
        <v>4</v>
      </c>
      <c r="D980" s="759">
        <v>2.7</v>
      </c>
      <c r="E980" s="701">
        <v>1.55</v>
      </c>
      <c r="F980" s="759">
        <v>5.26</v>
      </c>
      <c r="H980" s="759">
        <f t="shared" si="15"/>
        <v>8.1530000000000005</v>
      </c>
    </row>
    <row r="981" spans="1:8">
      <c r="A981" s="701">
        <v>0</v>
      </c>
      <c r="B981" s="759">
        <v>8</v>
      </c>
      <c r="C981" s="759">
        <v>4.25</v>
      </c>
      <c r="D981" s="759">
        <v>2.7</v>
      </c>
      <c r="E981" s="701">
        <v>1.55</v>
      </c>
      <c r="F981" s="759">
        <v>5.26</v>
      </c>
      <c r="H981" s="759">
        <f t="shared" si="15"/>
        <v>8.1530000000000005</v>
      </c>
    </row>
    <row r="982" spans="1:8">
      <c r="A982" s="701">
        <v>0</v>
      </c>
      <c r="B982" s="759">
        <v>8</v>
      </c>
      <c r="C982" s="759">
        <v>4.5</v>
      </c>
      <c r="D982" s="759">
        <v>2.7</v>
      </c>
      <c r="E982" s="701">
        <v>1.55</v>
      </c>
      <c r="F982" s="759">
        <v>5.26</v>
      </c>
      <c r="H982" s="759">
        <f t="shared" si="15"/>
        <v>8.1530000000000005</v>
      </c>
    </row>
    <row r="983" spans="1:8">
      <c r="A983" s="701">
        <v>0</v>
      </c>
      <c r="B983" s="759">
        <v>8</v>
      </c>
      <c r="C983" s="759">
        <v>4.75</v>
      </c>
      <c r="D983" s="759">
        <v>2.7</v>
      </c>
      <c r="E983" s="701">
        <v>1.55</v>
      </c>
      <c r="F983" s="759">
        <v>5.26</v>
      </c>
      <c r="H983" s="759">
        <f t="shared" si="15"/>
        <v>8.1530000000000005</v>
      </c>
    </row>
    <row r="984" spans="1:8">
      <c r="A984" s="701">
        <v>0</v>
      </c>
      <c r="B984" s="759">
        <v>8</v>
      </c>
      <c r="C984" s="759">
        <v>5</v>
      </c>
      <c r="D984" s="759">
        <v>2.7</v>
      </c>
      <c r="E984" s="701">
        <v>1.55</v>
      </c>
      <c r="F984" s="759">
        <v>5.26</v>
      </c>
      <c r="H984" s="759">
        <f t="shared" si="15"/>
        <v>8.1530000000000005</v>
      </c>
    </row>
    <row r="985" spans="1:8">
      <c r="A985" s="701">
        <v>0</v>
      </c>
      <c r="B985" s="759">
        <v>8</v>
      </c>
      <c r="C985" s="759">
        <v>5.25</v>
      </c>
      <c r="D985" s="759">
        <v>2.7</v>
      </c>
      <c r="E985" s="701">
        <v>1.55</v>
      </c>
      <c r="F985" s="759">
        <v>5.26</v>
      </c>
      <c r="H985" s="759">
        <f t="shared" si="15"/>
        <v>8.1530000000000005</v>
      </c>
    </row>
    <row r="986" spans="1:8">
      <c r="A986" s="701">
        <v>0</v>
      </c>
      <c r="B986" s="759">
        <v>8</v>
      </c>
      <c r="C986" s="759">
        <v>5.5</v>
      </c>
      <c r="D986" s="759">
        <v>2.7</v>
      </c>
      <c r="E986" s="701">
        <v>1.55</v>
      </c>
      <c r="F986" s="759">
        <v>5.26</v>
      </c>
      <c r="H986" s="759">
        <f t="shared" si="15"/>
        <v>8.1530000000000005</v>
      </c>
    </row>
    <row r="987" spans="1:8">
      <c r="A987" s="701">
        <v>0</v>
      </c>
      <c r="B987" s="759">
        <v>8</v>
      </c>
      <c r="C987" s="759">
        <v>5.75</v>
      </c>
      <c r="D987" s="759">
        <v>2.7</v>
      </c>
      <c r="E987" s="701">
        <v>1.55</v>
      </c>
      <c r="F987" s="759">
        <v>5.26</v>
      </c>
      <c r="H987" s="759">
        <f t="shared" si="15"/>
        <v>8.1530000000000005</v>
      </c>
    </row>
    <row r="988" spans="1:8">
      <c r="A988" s="701">
        <v>0</v>
      </c>
      <c r="B988" s="759">
        <v>8</v>
      </c>
      <c r="C988" s="759">
        <v>6</v>
      </c>
      <c r="D988" s="759">
        <v>2.7</v>
      </c>
      <c r="E988" s="701">
        <v>1.55</v>
      </c>
      <c r="F988" s="759">
        <v>5.26</v>
      </c>
      <c r="H988" s="759">
        <f t="shared" si="15"/>
        <v>8.1530000000000005</v>
      </c>
    </row>
    <row r="989" spans="1:8">
      <c r="A989" s="701">
        <v>0</v>
      </c>
      <c r="B989" s="759">
        <v>8</v>
      </c>
      <c r="C989" s="759">
        <v>6.25</v>
      </c>
      <c r="D989" s="759">
        <v>2.7</v>
      </c>
      <c r="E989" s="701">
        <v>1.55</v>
      </c>
      <c r="F989" s="759">
        <v>5.26</v>
      </c>
      <c r="H989" s="759">
        <f t="shared" si="15"/>
        <v>8.1530000000000005</v>
      </c>
    </row>
    <row r="990" spans="1:8">
      <c r="A990" s="701">
        <v>0</v>
      </c>
      <c r="B990" s="759">
        <v>8</v>
      </c>
      <c r="C990" s="759">
        <v>6.5</v>
      </c>
      <c r="D990" s="759">
        <v>2.7</v>
      </c>
      <c r="E990" s="701">
        <v>1.55</v>
      </c>
      <c r="F990" s="759">
        <v>5.26</v>
      </c>
      <c r="H990" s="759">
        <f t="shared" si="15"/>
        <v>8.1530000000000005</v>
      </c>
    </row>
    <row r="991" spans="1:8">
      <c r="A991" s="701">
        <v>0</v>
      </c>
      <c r="B991" s="759">
        <v>8</v>
      </c>
      <c r="C991" s="759">
        <v>6.75</v>
      </c>
      <c r="D991" s="759">
        <v>2.7</v>
      </c>
      <c r="E991" s="701">
        <v>1.55</v>
      </c>
      <c r="F991" s="759">
        <v>5.26</v>
      </c>
      <c r="H991" s="759">
        <f t="shared" si="15"/>
        <v>8.1530000000000005</v>
      </c>
    </row>
    <row r="992" spans="1:8">
      <c r="A992" s="701">
        <v>0</v>
      </c>
      <c r="B992" s="759">
        <v>8</v>
      </c>
      <c r="C992" s="759">
        <v>7</v>
      </c>
      <c r="D992" s="759">
        <v>2.7</v>
      </c>
      <c r="E992" s="701">
        <v>1.55</v>
      </c>
      <c r="F992" s="759">
        <v>5.26</v>
      </c>
      <c r="H992" s="759">
        <f t="shared" si="15"/>
        <v>8.1530000000000005</v>
      </c>
    </row>
    <row r="993" spans="1:8">
      <c r="A993" s="701">
        <v>0</v>
      </c>
      <c r="B993" s="759">
        <v>8</v>
      </c>
      <c r="C993" s="759">
        <v>7.5</v>
      </c>
      <c r="D993" s="759">
        <v>2.7</v>
      </c>
      <c r="E993" s="701">
        <v>1.55</v>
      </c>
      <c r="F993" s="759">
        <v>5.26</v>
      </c>
      <c r="H993" s="759">
        <f t="shared" si="15"/>
        <v>8.1530000000000005</v>
      </c>
    </row>
    <row r="994" spans="1:8">
      <c r="A994" s="701">
        <v>0</v>
      </c>
      <c r="B994" s="759">
        <v>8</v>
      </c>
      <c r="C994" s="759">
        <v>8</v>
      </c>
      <c r="D994" s="759">
        <v>2.7</v>
      </c>
      <c r="E994" s="701">
        <v>1.55</v>
      </c>
      <c r="F994" s="759">
        <v>5.26</v>
      </c>
      <c r="H994" s="759">
        <f t="shared" si="15"/>
        <v>8.1530000000000005</v>
      </c>
    </row>
    <row r="996" spans="1:8">
      <c r="A996" s="701">
        <v>0</v>
      </c>
      <c r="B996" s="759">
        <v>2</v>
      </c>
      <c r="C996" s="759">
        <v>3</v>
      </c>
      <c r="D996" s="759">
        <v>2.8</v>
      </c>
      <c r="E996" s="701">
        <v>1.65</v>
      </c>
      <c r="F996" s="759">
        <v>1.31</v>
      </c>
      <c r="H996" s="759">
        <f t="shared" ref="H996:H1059" si="16">F996*E996</f>
        <v>2.1614999999999998</v>
      </c>
    </row>
    <row r="997" spans="1:8">
      <c r="A997" s="701">
        <v>0</v>
      </c>
      <c r="B997" s="759">
        <v>2</v>
      </c>
      <c r="C997" s="759">
        <v>3.25</v>
      </c>
      <c r="D997" s="759">
        <v>2.8</v>
      </c>
      <c r="E997" s="701">
        <v>1.65</v>
      </c>
      <c r="F997" s="701">
        <v>1.31</v>
      </c>
      <c r="H997" s="759">
        <f t="shared" si="16"/>
        <v>2.1614999999999998</v>
      </c>
    </row>
    <row r="998" spans="1:8">
      <c r="A998" s="701">
        <v>0</v>
      </c>
      <c r="B998" s="759">
        <v>2</v>
      </c>
      <c r="C998" s="759">
        <v>3.5</v>
      </c>
      <c r="D998" s="759">
        <v>2.8</v>
      </c>
      <c r="E998" s="701">
        <v>1.65</v>
      </c>
      <c r="F998" s="701">
        <v>1.31</v>
      </c>
      <c r="H998" s="759">
        <f t="shared" si="16"/>
        <v>2.1614999999999998</v>
      </c>
    </row>
    <row r="999" spans="1:8">
      <c r="A999" s="701">
        <v>0</v>
      </c>
      <c r="B999" s="759">
        <v>2</v>
      </c>
      <c r="C999" s="759">
        <v>3.75</v>
      </c>
      <c r="D999" s="759">
        <v>2.8</v>
      </c>
      <c r="E999" s="701">
        <v>1.65</v>
      </c>
      <c r="F999" s="701">
        <v>1.31</v>
      </c>
      <c r="H999" s="759">
        <f t="shared" si="16"/>
        <v>2.1614999999999998</v>
      </c>
    </row>
    <row r="1000" spans="1:8">
      <c r="A1000" s="701">
        <v>0</v>
      </c>
      <c r="B1000" s="759">
        <v>2</v>
      </c>
      <c r="C1000" s="759">
        <v>4</v>
      </c>
      <c r="D1000" s="759">
        <v>2.8</v>
      </c>
      <c r="E1000" s="701">
        <v>1.65</v>
      </c>
      <c r="F1000" s="701">
        <v>1.31</v>
      </c>
      <c r="H1000" s="759">
        <f t="shared" si="16"/>
        <v>2.1614999999999998</v>
      </c>
    </row>
    <row r="1001" spans="1:8">
      <c r="A1001" s="701">
        <v>0</v>
      </c>
      <c r="B1001" s="759">
        <v>2</v>
      </c>
      <c r="C1001" s="759">
        <v>4.25</v>
      </c>
      <c r="D1001" s="759">
        <v>2.8</v>
      </c>
      <c r="E1001" s="701">
        <v>1.65</v>
      </c>
      <c r="F1001" s="701">
        <v>1.31</v>
      </c>
      <c r="H1001" s="759">
        <f t="shared" si="16"/>
        <v>2.1614999999999998</v>
      </c>
    </row>
    <row r="1002" spans="1:8">
      <c r="A1002" s="701">
        <v>0</v>
      </c>
      <c r="B1002" s="759">
        <v>2</v>
      </c>
      <c r="C1002" s="759">
        <v>4.5</v>
      </c>
      <c r="D1002" s="759">
        <v>2.8</v>
      </c>
      <c r="E1002" s="701">
        <v>1.65</v>
      </c>
      <c r="F1002" s="701">
        <v>1.31</v>
      </c>
      <c r="H1002" s="759">
        <f t="shared" si="16"/>
        <v>2.1614999999999998</v>
      </c>
    </row>
    <row r="1003" spans="1:8">
      <c r="A1003" s="701">
        <v>0</v>
      </c>
      <c r="B1003" s="759">
        <v>2</v>
      </c>
      <c r="C1003" s="759">
        <v>4.75</v>
      </c>
      <c r="D1003" s="759">
        <v>2.8</v>
      </c>
      <c r="E1003" s="701">
        <v>1.65</v>
      </c>
      <c r="F1003" s="701">
        <v>1.31</v>
      </c>
      <c r="H1003" s="759">
        <f t="shared" si="16"/>
        <v>2.1614999999999998</v>
      </c>
    </row>
    <row r="1004" spans="1:8">
      <c r="A1004" s="701">
        <v>0</v>
      </c>
      <c r="B1004" s="759">
        <v>2</v>
      </c>
      <c r="C1004" s="759">
        <v>5</v>
      </c>
      <c r="D1004" s="759">
        <v>2.8</v>
      </c>
      <c r="E1004" s="701">
        <v>1.65</v>
      </c>
      <c r="F1004" s="701">
        <v>1.31</v>
      </c>
      <c r="H1004" s="759">
        <f t="shared" si="16"/>
        <v>2.1614999999999998</v>
      </c>
    </row>
    <row r="1005" spans="1:8">
      <c r="A1005" s="701">
        <v>0</v>
      </c>
      <c r="B1005" s="759">
        <v>2</v>
      </c>
      <c r="C1005" s="759">
        <v>5.25</v>
      </c>
      <c r="D1005" s="759">
        <v>2.8</v>
      </c>
      <c r="E1005" s="701">
        <v>1.65</v>
      </c>
      <c r="F1005" s="701">
        <v>1.31</v>
      </c>
      <c r="H1005" s="759">
        <f t="shared" si="16"/>
        <v>2.1614999999999998</v>
      </c>
    </row>
    <row r="1006" spans="1:8">
      <c r="A1006" s="701">
        <v>0</v>
      </c>
      <c r="B1006" s="759">
        <v>2</v>
      </c>
      <c r="C1006" s="759">
        <v>5.5</v>
      </c>
      <c r="D1006" s="759">
        <v>2.8</v>
      </c>
      <c r="E1006" s="701">
        <v>1.65</v>
      </c>
      <c r="F1006" s="701">
        <v>1.31</v>
      </c>
      <c r="H1006" s="759">
        <f t="shared" si="16"/>
        <v>2.1614999999999998</v>
      </c>
    </row>
    <row r="1007" spans="1:8">
      <c r="A1007" s="701">
        <v>0</v>
      </c>
      <c r="B1007" s="759">
        <v>2</v>
      </c>
      <c r="C1007" s="759">
        <v>5.75</v>
      </c>
      <c r="D1007" s="759">
        <v>2.8</v>
      </c>
      <c r="E1007" s="701">
        <v>1.65</v>
      </c>
      <c r="F1007" s="701">
        <v>1.31</v>
      </c>
      <c r="H1007" s="759">
        <f t="shared" si="16"/>
        <v>2.1614999999999998</v>
      </c>
    </row>
    <row r="1008" spans="1:8">
      <c r="A1008" s="701">
        <v>0</v>
      </c>
      <c r="B1008" s="759">
        <v>2</v>
      </c>
      <c r="C1008" s="759">
        <v>6</v>
      </c>
      <c r="D1008" s="759">
        <v>2.8</v>
      </c>
      <c r="E1008" s="701">
        <v>1.65</v>
      </c>
      <c r="F1008" s="701">
        <v>1.31</v>
      </c>
      <c r="H1008" s="759">
        <f t="shared" si="16"/>
        <v>2.1614999999999998</v>
      </c>
    </row>
    <row r="1009" spans="1:8">
      <c r="A1009" s="701">
        <v>0</v>
      </c>
      <c r="B1009" s="759">
        <v>2</v>
      </c>
      <c r="C1009" s="759">
        <v>6.25</v>
      </c>
      <c r="D1009" s="759">
        <v>2.8</v>
      </c>
      <c r="E1009" s="701">
        <v>1.65</v>
      </c>
      <c r="F1009" s="701">
        <v>1.31</v>
      </c>
      <c r="H1009" s="759">
        <f t="shared" si="16"/>
        <v>2.1614999999999998</v>
      </c>
    </row>
    <row r="1010" spans="1:8">
      <c r="A1010" s="701">
        <v>0</v>
      </c>
      <c r="B1010" s="759">
        <v>2</v>
      </c>
      <c r="C1010" s="759">
        <v>6.5</v>
      </c>
      <c r="D1010" s="759">
        <v>2.8</v>
      </c>
      <c r="E1010" s="701">
        <v>1.65</v>
      </c>
      <c r="F1010" s="701">
        <v>1.31</v>
      </c>
      <c r="H1010" s="759">
        <f t="shared" si="16"/>
        <v>2.1614999999999998</v>
      </c>
    </row>
    <row r="1011" spans="1:8">
      <c r="A1011" s="701">
        <v>0</v>
      </c>
      <c r="B1011" s="759">
        <v>2</v>
      </c>
      <c r="C1011" s="759">
        <v>6.75</v>
      </c>
      <c r="D1011" s="759">
        <v>2.8</v>
      </c>
      <c r="E1011" s="701">
        <v>1.65</v>
      </c>
      <c r="F1011" s="701">
        <v>1.31</v>
      </c>
      <c r="H1011" s="759">
        <f t="shared" si="16"/>
        <v>2.1614999999999998</v>
      </c>
    </row>
    <row r="1012" spans="1:8">
      <c r="A1012" s="701">
        <v>0</v>
      </c>
      <c r="B1012" s="759">
        <v>2</v>
      </c>
      <c r="C1012" s="759">
        <v>7</v>
      </c>
      <c r="D1012" s="759">
        <v>2.8</v>
      </c>
      <c r="E1012" s="701">
        <v>1.65</v>
      </c>
      <c r="F1012" s="701">
        <v>1.31</v>
      </c>
      <c r="H1012" s="759">
        <f t="shared" si="16"/>
        <v>2.1614999999999998</v>
      </c>
    </row>
    <row r="1013" spans="1:8">
      <c r="A1013" s="701">
        <v>0</v>
      </c>
      <c r="B1013" s="759">
        <v>2</v>
      </c>
      <c r="C1013" s="759">
        <v>7.5</v>
      </c>
      <c r="D1013" s="759">
        <v>2.8</v>
      </c>
      <c r="E1013" s="701">
        <v>1.65</v>
      </c>
      <c r="F1013" s="701">
        <v>1.31</v>
      </c>
      <c r="H1013" s="759">
        <f t="shared" si="16"/>
        <v>2.1614999999999998</v>
      </c>
    </row>
    <row r="1014" spans="1:8">
      <c r="A1014" s="701">
        <v>0</v>
      </c>
      <c r="B1014" s="759">
        <v>2</v>
      </c>
      <c r="C1014" s="759">
        <v>8</v>
      </c>
      <c r="D1014" s="759">
        <v>2.8</v>
      </c>
      <c r="E1014" s="701">
        <v>1.65</v>
      </c>
      <c r="F1014" s="701">
        <v>1.39</v>
      </c>
      <c r="H1014" s="759">
        <f t="shared" si="16"/>
        <v>2.2934999999999999</v>
      </c>
    </row>
    <row r="1015" spans="1:8">
      <c r="A1015" s="701">
        <v>0</v>
      </c>
      <c r="B1015" s="759">
        <v>2.5</v>
      </c>
      <c r="C1015" s="759">
        <v>3</v>
      </c>
      <c r="D1015" s="759">
        <v>2.8</v>
      </c>
      <c r="E1015" s="701">
        <v>1.65</v>
      </c>
      <c r="F1015" s="759">
        <v>1.64</v>
      </c>
      <c r="H1015" s="759">
        <f t="shared" si="16"/>
        <v>2.7059999999999995</v>
      </c>
    </row>
    <row r="1016" spans="1:8">
      <c r="A1016" s="701">
        <v>0</v>
      </c>
      <c r="B1016" s="759">
        <v>2.5</v>
      </c>
      <c r="C1016" s="759">
        <v>3.25</v>
      </c>
      <c r="D1016" s="759">
        <v>2.8</v>
      </c>
      <c r="E1016" s="701">
        <v>1.65</v>
      </c>
      <c r="F1016" s="701">
        <v>1.64</v>
      </c>
      <c r="H1016" s="759">
        <f t="shared" si="16"/>
        <v>2.7059999999999995</v>
      </c>
    </row>
    <row r="1017" spans="1:8">
      <c r="A1017" s="701">
        <v>0</v>
      </c>
      <c r="B1017" s="759">
        <v>2.5</v>
      </c>
      <c r="C1017" s="759">
        <v>3.5</v>
      </c>
      <c r="D1017" s="759">
        <v>2.8</v>
      </c>
      <c r="E1017" s="701">
        <v>1.65</v>
      </c>
      <c r="F1017" s="701">
        <v>1.64</v>
      </c>
      <c r="H1017" s="759">
        <f t="shared" si="16"/>
        <v>2.7059999999999995</v>
      </c>
    </row>
    <row r="1018" spans="1:8">
      <c r="A1018" s="701">
        <v>0</v>
      </c>
      <c r="B1018" s="759">
        <v>2.5</v>
      </c>
      <c r="C1018" s="759">
        <v>3.75</v>
      </c>
      <c r="D1018" s="759">
        <v>2.8</v>
      </c>
      <c r="E1018" s="701">
        <v>1.65</v>
      </c>
      <c r="F1018" s="701">
        <v>1.64</v>
      </c>
      <c r="H1018" s="759">
        <f t="shared" si="16"/>
        <v>2.7059999999999995</v>
      </c>
    </row>
    <row r="1019" spans="1:8">
      <c r="A1019" s="701">
        <v>0</v>
      </c>
      <c r="B1019" s="759">
        <v>2.5</v>
      </c>
      <c r="C1019" s="759">
        <v>4</v>
      </c>
      <c r="D1019" s="759">
        <v>2.8</v>
      </c>
      <c r="E1019" s="701">
        <v>1.65</v>
      </c>
      <c r="F1019" s="701">
        <v>1.64</v>
      </c>
      <c r="H1019" s="759">
        <f t="shared" si="16"/>
        <v>2.7059999999999995</v>
      </c>
    </row>
    <row r="1020" spans="1:8">
      <c r="A1020" s="701">
        <v>0</v>
      </c>
      <c r="B1020" s="759">
        <v>2.5</v>
      </c>
      <c r="C1020" s="759">
        <v>4.25</v>
      </c>
      <c r="D1020" s="759">
        <v>2.8</v>
      </c>
      <c r="E1020" s="701">
        <v>1.65</v>
      </c>
      <c r="F1020" s="701">
        <v>1.64</v>
      </c>
      <c r="H1020" s="759">
        <f t="shared" si="16"/>
        <v>2.7059999999999995</v>
      </c>
    </row>
    <row r="1021" spans="1:8">
      <c r="A1021" s="701">
        <v>0</v>
      </c>
      <c r="B1021" s="759">
        <v>2.5</v>
      </c>
      <c r="C1021" s="759">
        <v>4.5</v>
      </c>
      <c r="D1021" s="759">
        <v>2.8</v>
      </c>
      <c r="E1021" s="701">
        <v>1.65</v>
      </c>
      <c r="F1021" s="701">
        <v>1.64</v>
      </c>
      <c r="H1021" s="759">
        <f t="shared" si="16"/>
        <v>2.7059999999999995</v>
      </c>
    </row>
    <row r="1022" spans="1:8">
      <c r="A1022" s="701">
        <v>0</v>
      </c>
      <c r="B1022" s="759">
        <v>2.5</v>
      </c>
      <c r="C1022" s="759">
        <v>4.75</v>
      </c>
      <c r="D1022" s="759">
        <v>2.8</v>
      </c>
      <c r="E1022" s="701">
        <v>1.65</v>
      </c>
      <c r="F1022" s="701">
        <v>1.64</v>
      </c>
      <c r="H1022" s="759">
        <f t="shared" si="16"/>
        <v>2.7059999999999995</v>
      </c>
    </row>
    <row r="1023" spans="1:8">
      <c r="A1023" s="701">
        <v>0</v>
      </c>
      <c r="B1023" s="759">
        <v>2.5</v>
      </c>
      <c r="C1023" s="759">
        <v>5</v>
      </c>
      <c r="D1023" s="759">
        <v>2.8</v>
      </c>
      <c r="E1023" s="701">
        <v>1.65</v>
      </c>
      <c r="F1023" s="701">
        <v>1.64</v>
      </c>
      <c r="H1023" s="759">
        <f t="shared" si="16"/>
        <v>2.7059999999999995</v>
      </c>
    </row>
    <row r="1024" spans="1:8">
      <c r="A1024" s="701">
        <v>0</v>
      </c>
      <c r="B1024" s="759">
        <v>2.5</v>
      </c>
      <c r="C1024" s="759">
        <v>5.25</v>
      </c>
      <c r="D1024" s="759">
        <v>2.8</v>
      </c>
      <c r="E1024" s="701">
        <v>1.65</v>
      </c>
      <c r="F1024" s="701">
        <v>1.64</v>
      </c>
      <c r="H1024" s="759">
        <f t="shared" si="16"/>
        <v>2.7059999999999995</v>
      </c>
    </row>
    <row r="1025" spans="1:8">
      <c r="A1025" s="701">
        <v>0</v>
      </c>
      <c r="B1025" s="759">
        <v>2.5</v>
      </c>
      <c r="C1025" s="759">
        <v>5.5</v>
      </c>
      <c r="D1025" s="759">
        <v>2.8</v>
      </c>
      <c r="E1025" s="701">
        <v>1.65</v>
      </c>
      <c r="F1025" s="701">
        <v>1.64</v>
      </c>
      <c r="H1025" s="759">
        <f t="shared" si="16"/>
        <v>2.7059999999999995</v>
      </c>
    </row>
    <row r="1026" spans="1:8">
      <c r="A1026" s="701">
        <v>0</v>
      </c>
      <c r="B1026" s="759">
        <v>2.5</v>
      </c>
      <c r="C1026" s="759">
        <v>5.75</v>
      </c>
      <c r="D1026" s="759">
        <v>2.8</v>
      </c>
      <c r="E1026" s="701">
        <v>1.65</v>
      </c>
      <c r="F1026" s="701">
        <v>1.64</v>
      </c>
      <c r="H1026" s="759">
        <f t="shared" si="16"/>
        <v>2.7059999999999995</v>
      </c>
    </row>
    <row r="1027" spans="1:8">
      <c r="A1027" s="701">
        <v>0</v>
      </c>
      <c r="B1027" s="759">
        <v>2.5</v>
      </c>
      <c r="C1027" s="759">
        <v>6</v>
      </c>
      <c r="D1027" s="759">
        <v>2.8</v>
      </c>
      <c r="E1027" s="701">
        <v>1.65</v>
      </c>
      <c r="F1027" s="701">
        <v>1.64</v>
      </c>
      <c r="H1027" s="759">
        <f t="shared" si="16"/>
        <v>2.7059999999999995</v>
      </c>
    </row>
    <row r="1028" spans="1:8">
      <c r="A1028" s="701">
        <v>0</v>
      </c>
      <c r="B1028" s="759">
        <v>2.5</v>
      </c>
      <c r="C1028" s="759">
        <v>6.25</v>
      </c>
      <c r="D1028" s="759">
        <v>2.8</v>
      </c>
      <c r="E1028" s="701">
        <v>1.65</v>
      </c>
      <c r="F1028" s="701">
        <v>1.64</v>
      </c>
      <c r="H1028" s="759">
        <f t="shared" si="16"/>
        <v>2.7059999999999995</v>
      </c>
    </row>
    <row r="1029" spans="1:8">
      <c r="A1029" s="701">
        <v>0</v>
      </c>
      <c r="B1029" s="759">
        <v>2.5</v>
      </c>
      <c r="C1029" s="759">
        <v>6.5</v>
      </c>
      <c r="D1029" s="759">
        <v>2.8</v>
      </c>
      <c r="E1029" s="701">
        <v>1.65</v>
      </c>
      <c r="F1029" s="701">
        <v>1.64</v>
      </c>
      <c r="H1029" s="759">
        <f t="shared" si="16"/>
        <v>2.7059999999999995</v>
      </c>
    </row>
    <row r="1030" spans="1:8">
      <c r="A1030" s="701">
        <v>0</v>
      </c>
      <c r="B1030" s="759">
        <v>2.5</v>
      </c>
      <c r="C1030" s="759">
        <v>6.75</v>
      </c>
      <c r="D1030" s="759">
        <v>2.8</v>
      </c>
      <c r="E1030" s="701">
        <v>1.65</v>
      </c>
      <c r="F1030" s="701">
        <v>1.64</v>
      </c>
      <c r="H1030" s="759">
        <f t="shared" si="16"/>
        <v>2.7059999999999995</v>
      </c>
    </row>
    <row r="1031" spans="1:8">
      <c r="A1031" s="701">
        <v>0</v>
      </c>
      <c r="B1031" s="759">
        <v>2.5</v>
      </c>
      <c r="C1031" s="759">
        <v>7</v>
      </c>
      <c r="D1031" s="759">
        <v>2.8</v>
      </c>
      <c r="E1031" s="701">
        <v>1.65</v>
      </c>
      <c r="F1031" s="701">
        <v>1.64</v>
      </c>
      <c r="H1031" s="759">
        <f t="shared" si="16"/>
        <v>2.7059999999999995</v>
      </c>
    </row>
    <row r="1032" spans="1:8">
      <c r="A1032" s="701">
        <v>0</v>
      </c>
      <c r="B1032" s="759">
        <v>2.5</v>
      </c>
      <c r="C1032" s="759">
        <v>7.5</v>
      </c>
      <c r="D1032" s="759">
        <v>2.8</v>
      </c>
      <c r="E1032" s="701">
        <v>1.65</v>
      </c>
      <c r="F1032" s="701">
        <v>1.64</v>
      </c>
      <c r="H1032" s="759">
        <f t="shared" si="16"/>
        <v>2.7059999999999995</v>
      </c>
    </row>
    <row r="1033" spans="1:8">
      <c r="A1033" s="701">
        <v>0</v>
      </c>
      <c r="B1033" s="759">
        <v>2.5</v>
      </c>
      <c r="C1033" s="759">
        <v>8</v>
      </c>
      <c r="D1033" s="759">
        <v>2.8</v>
      </c>
      <c r="E1033" s="701">
        <v>1.65</v>
      </c>
      <c r="F1033" s="701">
        <v>1.64</v>
      </c>
      <c r="H1033" s="759">
        <f t="shared" si="16"/>
        <v>2.7059999999999995</v>
      </c>
    </row>
    <row r="1034" spans="1:8">
      <c r="A1034" s="701">
        <v>0</v>
      </c>
      <c r="B1034" s="759">
        <v>3</v>
      </c>
      <c r="C1034" s="759">
        <v>3</v>
      </c>
      <c r="D1034" s="759">
        <v>2.8</v>
      </c>
      <c r="E1034" s="701">
        <v>1.65</v>
      </c>
      <c r="F1034" s="701">
        <v>1.97</v>
      </c>
      <c r="H1034" s="759">
        <f t="shared" si="16"/>
        <v>3.2504999999999997</v>
      </c>
    </row>
    <row r="1035" spans="1:8">
      <c r="A1035" s="701">
        <v>0</v>
      </c>
      <c r="B1035" s="759">
        <v>3</v>
      </c>
      <c r="C1035" s="759">
        <v>3.25</v>
      </c>
      <c r="D1035" s="759">
        <v>2.8</v>
      </c>
      <c r="E1035" s="701">
        <v>1.65</v>
      </c>
      <c r="F1035" s="701">
        <v>1.97</v>
      </c>
      <c r="H1035" s="759">
        <f t="shared" si="16"/>
        <v>3.2504999999999997</v>
      </c>
    </row>
    <row r="1036" spans="1:8">
      <c r="A1036" s="701">
        <v>0</v>
      </c>
      <c r="B1036" s="759">
        <v>3</v>
      </c>
      <c r="C1036" s="759">
        <v>3.5</v>
      </c>
      <c r="D1036" s="759">
        <v>2.8</v>
      </c>
      <c r="E1036" s="701">
        <v>1.65</v>
      </c>
      <c r="F1036" s="701">
        <v>1.97</v>
      </c>
      <c r="H1036" s="759">
        <f t="shared" si="16"/>
        <v>3.2504999999999997</v>
      </c>
    </row>
    <row r="1037" spans="1:8">
      <c r="A1037" s="701">
        <v>0</v>
      </c>
      <c r="B1037" s="759">
        <v>3</v>
      </c>
      <c r="C1037" s="759">
        <v>3.75</v>
      </c>
      <c r="D1037" s="759">
        <v>2.8</v>
      </c>
      <c r="E1037" s="701">
        <v>1.65</v>
      </c>
      <c r="F1037" s="701">
        <v>1.97</v>
      </c>
      <c r="H1037" s="759">
        <f t="shared" si="16"/>
        <v>3.2504999999999997</v>
      </c>
    </row>
    <row r="1038" spans="1:8">
      <c r="A1038" s="701">
        <v>0</v>
      </c>
      <c r="B1038" s="759">
        <v>3</v>
      </c>
      <c r="C1038" s="759">
        <v>4</v>
      </c>
      <c r="D1038" s="759">
        <v>2.8</v>
      </c>
      <c r="E1038" s="701">
        <v>1.65</v>
      </c>
      <c r="F1038" s="701">
        <v>1.97</v>
      </c>
      <c r="H1038" s="759">
        <f t="shared" si="16"/>
        <v>3.2504999999999997</v>
      </c>
    </row>
    <row r="1039" spans="1:8">
      <c r="A1039" s="701">
        <v>0</v>
      </c>
      <c r="B1039" s="759">
        <v>3</v>
      </c>
      <c r="C1039" s="759">
        <v>4.25</v>
      </c>
      <c r="D1039" s="759">
        <v>2.8</v>
      </c>
      <c r="E1039" s="701">
        <v>1.65</v>
      </c>
      <c r="F1039" s="701">
        <v>1.97</v>
      </c>
      <c r="H1039" s="759">
        <f t="shared" si="16"/>
        <v>3.2504999999999997</v>
      </c>
    </row>
    <row r="1040" spans="1:8">
      <c r="A1040" s="701">
        <v>0</v>
      </c>
      <c r="B1040" s="759">
        <v>3</v>
      </c>
      <c r="C1040" s="759">
        <v>4.5</v>
      </c>
      <c r="D1040" s="759">
        <v>2.8</v>
      </c>
      <c r="E1040" s="701">
        <v>1.65</v>
      </c>
      <c r="F1040" s="701">
        <v>1.97</v>
      </c>
      <c r="H1040" s="759">
        <f t="shared" si="16"/>
        <v>3.2504999999999997</v>
      </c>
    </row>
    <row r="1041" spans="1:8">
      <c r="A1041" s="701">
        <v>0</v>
      </c>
      <c r="B1041" s="759">
        <v>3</v>
      </c>
      <c r="C1041" s="759">
        <v>4.75</v>
      </c>
      <c r="D1041" s="759">
        <v>2.8</v>
      </c>
      <c r="E1041" s="701">
        <v>1.65</v>
      </c>
      <c r="F1041" s="701">
        <v>1.97</v>
      </c>
      <c r="H1041" s="759">
        <f t="shared" si="16"/>
        <v>3.2504999999999997</v>
      </c>
    </row>
    <row r="1042" spans="1:8">
      <c r="A1042" s="701">
        <v>0</v>
      </c>
      <c r="B1042" s="759">
        <v>3</v>
      </c>
      <c r="C1042" s="759">
        <v>5</v>
      </c>
      <c r="D1042" s="759">
        <v>2.8</v>
      </c>
      <c r="E1042" s="701">
        <v>1.65</v>
      </c>
      <c r="F1042" s="701">
        <v>1.97</v>
      </c>
      <c r="H1042" s="759">
        <f t="shared" si="16"/>
        <v>3.2504999999999997</v>
      </c>
    </row>
    <row r="1043" spans="1:8">
      <c r="A1043" s="701">
        <v>0</v>
      </c>
      <c r="B1043" s="759">
        <v>3</v>
      </c>
      <c r="C1043" s="759">
        <v>5.25</v>
      </c>
      <c r="D1043" s="759">
        <v>2.8</v>
      </c>
      <c r="E1043" s="701">
        <v>1.65</v>
      </c>
      <c r="F1043" s="701">
        <v>1.97</v>
      </c>
      <c r="H1043" s="759">
        <f t="shared" si="16"/>
        <v>3.2504999999999997</v>
      </c>
    </row>
    <row r="1044" spans="1:8">
      <c r="A1044" s="701">
        <v>0</v>
      </c>
      <c r="B1044" s="759">
        <v>3</v>
      </c>
      <c r="C1044" s="759">
        <v>5.5</v>
      </c>
      <c r="D1044" s="759">
        <v>2.8</v>
      </c>
      <c r="E1044" s="701">
        <v>1.65</v>
      </c>
      <c r="F1044" s="701">
        <v>1.97</v>
      </c>
      <c r="H1044" s="759">
        <f t="shared" si="16"/>
        <v>3.2504999999999997</v>
      </c>
    </row>
    <row r="1045" spans="1:8">
      <c r="A1045" s="701">
        <v>0</v>
      </c>
      <c r="B1045" s="759">
        <v>3</v>
      </c>
      <c r="C1045" s="759">
        <v>5.75</v>
      </c>
      <c r="D1045" s="759">
        <v>2.8</v>
      </c>
      <c r="E1045" s="701">
        <v>1.65</v>
      </c>
      <c r="F1045" s="701">
        <v>1.97</v>
      </c>
      <c r="H1045" s="759">
        <f t="shared" si="16"/>
        <v>3.2504999999999997</v>
      </c>
    </row>
    <row r="1046" spans="1:8">
      <c r="A1046" s="701">
        <v>0</v>
      </c>
      <c r="B1046" s="759">
        <v>3</v>
      </c>
      <c r="C1046" s="759">
        <v>6</v>
      </c>
      <c r="D1046" s="759">
        <v>2.8</v>
      </c>
      <c r="E1046" s="701">
        <v>1.65</v>
      </c>
      <c r="F1046" s="701">
        <v>1.97</v>
      </c>
      <c r="H1046" s="759">
        <f t="shared" si="16"/>
        <v>3.2504999999999997</v>
      </c>
    </row>
    <row r="1047" spans="1:8">
      <c r="A1047" s="701">
        <v>0</v>
      </c>
      <c r="B1047" s="759">
        <v>3</v>
      </c>
      <c r="C1047" s="759">
        <v>6.25</v>
      </c>
      <c r="D1047" s="759">
        <v>2.8</v>
      </c>
      <c r="E1047" s="701">
        <v>1.65</v>
      </c>
      <c r="F1047" s="701">
        <v>1.97</v>
      </c>
      <c r="H1047" s="759">
        <f t="shared" si="16"/>
        <v>3.2504999999999997</v>
      </c>
    </row>
    <row r="1048" spans="1:8">
      <c r="A1048" s="701">
        <v>0</v>
      </c>
      <c r="B1048" s="759">
        <v>3</v>
      </c>
      <c r="C1048" s="759">
        <v>6.5</v>
      </c>
      <c r="D1048" s="759">
        <v>2.8</v>
      </c>
      <c r="E1048" s="701">
        <v>1.65</v>
      </c>
      <c r="F1048" s="701">
        <v>1.97</v>
      </c>
      <c r="H1048" s="759">
        <f t="shared" si="16"/>
        <v>3.2504999999999997</v>
      </c>
    </row>
    <row r="1049" spans="1:8">
      <c r="A1049" s="701">
        <v>0</v>
      </c>
      <c r="B1049" s="759">
        <v>3</v>
      </c>
      <c r="C1049" s="759">
        <v>6.75</v>
      </c>
      <c r="D1049" s="759">
        <v>2.8</v>
      </c>
      <c r="E1049" s="701">
        <v>1.65</v>
      </c>
      <c r="F1049" s="701">
        <v>1.97</v>
      </c>
      <c r="H1049" s="759">
        <f t="shared" si="16"/>
        <v>3.2504999999999997</v>
      </c>
    </row>
    <row r="1050" spans="1:8">
      <c r="A1050" s="701">
        <v>0</v>
      </c>
      <c r="B1050" s="759">
        <v>3</v>
      </c>
      <c r="C1050" s="759">
        <v>7</v>
      </c>
      <c r="D1050" s="759">
        <v>2.8</v>
      </c>
      <c r="E1050" s="701">
        <v>1.65</v>
      </c>
      <c r="F1050" s="701">
        <v>1.97</v>
      </c>
      <c r="H1050" s="759">
        <f t="shared" si="16"/>
        <v>3.2504999999999997</v>
      </c>
    </row>
    <row r="1051" spans="1:8">
      <c r="A1051" s="701">
        <v>0</v>
      </c>
      <c r="B1051" s="759">
        <v>3</v>
      </c>
      <c r="C1051" s="759">
        <v>7.5</v>
      </c>
      <c r="D1051" s="759">
        <v>2.8</v>
      </c>
      <c r="E1051" s="701">
        <v>1.65</v>
      </c>
      <c r="F1051" s="701">
        <v>1.97</v>
      </c>
      <c r="H1051" s="759">
        <f t="shared" si="16"/>
        <v>3.2504999999999997</v>
      </c>
    </row>
    <row r="1052" spans="1:8">
      <c r="A1052" s="701">
        <v>0</v>
      </c>
      <c r="B1052" s="759">
        <v>3</v>
      </c>
      <c r="C1052" s="759">
        <v>8</v>
      </c>
      <c r="D1052" s="759">
        <v>2.8</v>
      </c>
      <c r="E1052" s="701">
        <v>1.65</v>
      </c>
      <c r="F1052" s="701">
        <v>1.97</v>
      </c>
      <c r="H1052" s="759">
        <f t="shared" si="16"/>
        <v>3.2504999999999997</v>
      </c>
    </row>
    <row r="1053" spans="1:8">
      <c r="A1053" s="701">
        <v>0</v>
      </c>
      <c r="B1053" s="759">
        <v>3.5</v>
      </c>
      <c r="C1053" s="759">
        <v>3</v>
      </c>
      <c r="D1053" s="759">
        <v>2.8</v>
      </c>
      <c r="E1053" s="701">
        <v>1.65</v>
      </c>
      <c r="F1053" s="759">
        <v>2.2999999999999998</v>
      </c>
      <c r="H1053" s="759">
        <f t="shared" si="16"/>
        <v>3.7949999999999995</v>
      </c>
    </row>
    <row r="1054" spans="1:8">
      <c r="A1054" s="701">
        <v>0</v>
      </c>
      <c r="B1054" s="759">
        <v>3.5</v>
      </c>
      <c r="C1054" s="759">
        <v>3.25</v>
      </c>
      <c r="D1054" s="759">
        <v>2.8</v>
      </c>
      <c r="E1054" s="701">
        <v>1.65</v>
      </c>
      <c r="F1054" s="759">
        <v>2.2999999999999998</v>
      </c>
      <c r="H1054" s="759">
        <f t="shared" si="16"/>
        <v>3.7949999999999995</v>
      </c>
    </row>
    <row r="1055" spans="1:8">
      <c r="A1055" s="701">
        <v>0</v>
      </c>
      <c r="B1055" s="759">
        <v>3.5</v>
      </c>
      <c r="C1055" s="759">
        <v>3.5</v>
      </c>
      <c r="D1055" s="759">
        <v>2.8</v>
      </c>
      <c r="E1055" s="701">
        <v>1.65</v>
      </c>
      <c r="F1055" s="759">
        <v>2.2999999999999998</v>
      </c>
      <c r="H1055" s="759">
        <f t="shared" si="16"/>
        <v>3.7949999999999995</v>
      </c>
    </row>
    <row r="1056" spans="1:8">
      <c r="A1056" s="701">
        <v>0</v>
      </c>
      <c r="B1056" s="759">
        <v>3.5</v>
      </c>
      <c r="C1056" s="759">
        <v>3.75</v>
      </c>
      <c r="D1056" s="759">
        <v>2.8</v>
      </c>
      <c r="E1056" s="701">
        <v>1.65</v>
      </c>
      <c r="F1056" s="759">
        <v>2.2999999999999998</v>
      </c>
      <c r="H1056" s="759">
        <f t="shared" si="16"/>
        <v>3.7949999999999995</v>
      </c>
    </row>
    <row r="1057" spans="1:8">
      <c r="A1057" s="701">
        <v>0</v>
      </c>
      <c r="B1057" s="759">
        <v>3.5</v>
      </c>
      <c r="C1057" s="759">
        <v>4</v>
      </c>
      <c r="D1057" s="759">
        <v>2.8</v>
      </c>
      <c r="E1057" s="701">
        <v>1.65</v>
      </c>
      <c r="F1057" s="759">
        <v>2.2999999999999998</v>
      </c>
      <c r="H1057" s="759">
        <f t="shared" si="16"/>
        <v>3.7949999999999995</v>
      </c>
    </row>
    <row r="1058" spans="1:8">
      <c r="A1058" s="701">
        <v>0</v>
      </c>
      <c r="B1058" s="759">
        <v>3.5</v>
      </c>
      <c r="C1058" s="759">
        <v>4.25</v>
      </c>
      <c r="D1058" s="759">
        <v>2.8</v>
      </c>
      <c r="E1058" s="701">
        <v>1.65</v>
      </c>
      <c r="F1058" s="759">
        <v>2.2999999999999998</v>
      </c>
      <c r="H1058" s="759">
        <f t="shared" si="16"/>
        <v>3.7949999999999995</v>
      </c>
    </row>
    <row r="1059" spans="1:8">
      <c r="A1059" s="701">
        <v>0</v>
      </c>
      <c r="B1059" s="759">
        <v>3.5</v>
      </c>
      <c r="C1059" s="759">
        <v>4.5</v>
      </c>
      <c r="D1059" s="759">
        <v>2.8</v>
      </c>
      <c r="E1059" s="701">
        <v>1.65</v>
      </c>
      <c r="F1059" s="759">
        <v>2.2999999999999998</v>
      </c>
      <c r="H1059" s="759">
        <f t="shared" si="16"/>
        <v>3.7949999999999995</v>
      </c>
    </row>
    <row r="1060" spans="1:8">
      <c r="A1060" s="701">
        <v>0</v>
      </c>
      <c r="B1060" s="759">
        <v>3.5</v>
      </c>
      <c r="C1060" s="759">
        <v>4.75</v>
      </c>
      <c r="D1060" s="759">
        <v>2.8</v>
      </c>
      <c r="E1060" s="701">
        <v>1.65</v>
      </c>
      <c r="F1060" s="759">
        <v>2.2999999999999998</v>
      </c>
      <c r="H1060" s="759">
        <f t="shared" ref="H1060:H1123" si="17">F1060*E1060</f>
        <v>3.7949999999999995</v>
      </c>
    </row>
    <row r="1061" spans="1:8">
      <c r="A1061" s="701">
        <v>0</v>
      </c>
      <c r="B1061" s="759">
        <v>3.5</v>
      </c>
      <c r="C1061" s="759">
        <v>5</v>
      </c>
      <c r="D1061" s="759">
        <v>2.8</v>
      </c>
      <c r="E1061" s="701">
        <v>1.65</v>
      </c>
      <c r="F1061" s="759">
        <v>2.2999999999999998</v>
      </c>
      <c r="H1061" s="759">
        <f t="shared" si="17"/>
        <v>3.7949999999999995</v>
      </c>
    </row>
    <row r="1062" spans="1:8">
      <c r="A1062" s="701">
        <v>0</v>
      </c>
      <c r="B1062" s="759">
        <v>3.5</v>
      </c>
      <c r="C1062" s="759">
        <v>5.25</v>
      </c>
      <c r="D1062" s="759">
        <v>2.8</v>
      </c>
      <c r="E1062" s="701">
        <v>1.65</v>
      </c>
      <c r="F1062" s="759">
        <v>2.2999999999999998</v>
      </c>
      <c r="H1062" s="759">
        <f t="shared" si="17"/>
        <v>3.7949999999999995</v>
      </c>
    </row>
    <row r="1063" spans="1:8">
      <c r="A1063" s="701">
        <v>0</v>
      </c>
      <c r="B1063" s="759">
        <v>3.5</v>
      </c>
      <c r="C1063" s="759">
        <v>5.5</v>
      </c>
      <c r="D1063" s="759">
        <v>2.8</v>
      </c>
      <c r="E1063" s="701">
        <v>1.65</v>
      </c>
      <c r="F1063" s="759">
        <v>2.2999999999999998</v>
      </c>
      <c r="H1063" s="759">
        <f t="shared" si="17"/>
        <v>3.7949999999999995</v>
      </c>
    </row>
    <row r="1064" spans="1:8">
      <c r="A1064" s="701">
        <v>0</v>
      </c>
      <c r="B1064" s="759">
        <v>3.5</v>
      </c>
      <c r="C1064" s="759">
        <v>5.75</v>
      </c>
      <c r="D1064" s="759">
        <v>2.8</v>
      </c>
      <c r="E1064" s="701">
        <v>1.65</v>
      </c>
      <c r="F1064" s="759">
        <v>2.2999999999999998</v>
      </c>
      <c r="H1064" s="759">
        <f t="shared" si="17"/>
        <v>3.7949999999999995</v>
      </c>
    </row>
    <row r="1065" spans="1:8">
      <c r="A1065" s="701">
        <v>0</v>
      </c>
      <c r="B1065" s="759">
        <v>3.5</v>
      </c>
      <c r="C1065" s="759">
        <v>6</v>
      </c>
      <c r="D1065" s="759">
        <v>2.8</v>
      </c>
      <c r="E1065" s="701">
        <v>1.65</v>
      </c>
      <c r="F1065" s="759">
        <v>2.2999999999999998</v>
      </c>
      <c r="H1065" s="759">
        <f t="shared" si="17"/>
        <v>3.7949999999999995</v>
      </c>
    </row>
    <row r="1066" spans="1:8">
      <c r="A1066" s="701">
        <v>0</v>
      </c>
      <c r="B1066" s="759">
        <v>3.5</v>
      </c>
      <c r="C1066" s="759">
        <v>6.25</v>
      </c>
      <c r="D1066" s="759">
        <v>2.8</v>
      </c>
      <c r="E1066" s="701">
        <v>1.65</v>
      </c>
      <c r="F1066" s="759">
        <v>2.2999999999999998</v>
      </c>
      <c r="H1066" s="759">
        <f t="shared" si="17"/>
        <v>3.7949999999999995</v>
      </c>
    </row>
    <row r="1067" spans="1:8">
      <c r="A1067" s="701">
        <v>0</v>
      </c>
      <c r="B1067" s="759">
        <v>3.5</v>
      </c>
      <c r="C1067" s="759">
        <v>6.5</v>
      </c>
      <c r="D1067" s="759">
        <v>2.8</v>
      </c>
      <c r="E1067" s="701">
        <v>1.65</v>
      </c>
      <c r="F1067" s="759">
        <v>2.2999999999999998</v>
      </c>
      <c r="H1067" s="759">
        <f t="shared" si="17"/>
        <v>3.7949999999999995</v>
      </c>
    </row>
    <row r="1068" spans="1:8">
      <c r="A1068" s="701">
        <v>0</v>
      </c>
      <c r="B1068" s="759">
        <v>3.5</v>
      </c>
      <c r="C1068" s="759">
        <v>6.75</v>
      </c>
      <c r="D1068" s="759">
        <v>2.8</v>
      </c>
      <c r="E1068" s="701">
        <v>1.65</v>
      </c>
      <c r="F1068" s="759">
        <v>2.2999999999999998</v>
      </c>
      <c r="H1068" s="759">
        <f t="shared" si="17"/>
        <v>3.7949999999999995</v>
      </c>
    </row>
    <row r="1069" spans="1:8">
      <c r="A1069" s="701">
        <v>0</v>
      </c>
      <c r="B1069" s="759">
        <v>3.5</v>
      </c>
      <c r="C1069" s="759">
        <v>7</v>
      </c>
      <c r="D1069" s="759">
        <v>2.8</v>
      </c>
      <c r="E1069" s="701">
        <v>1.65</v>
      </c>
      <c r="F1069" s="759">
        <v>2.2999999999999998</v>
      </c>
      <c r="H1069" s="759">
        <f t="shared" si="17"/>
        <v>3.7949999999999995</v>
      </c>
    </row>
    <row r="1070" spans="1:8">
      <c r="A1070" s="701">
        <v>0</v>
      </c>
      <c r="B1070" s="759">
        <v>3.5</v>
      </c>
      <c r="C1070" s="759">
        <v>7.5</v>
      </c>
      <c r="D1070" s="759">
        <v>2.8</v>
      </c>
      <c r="E1070" s="701">
        <v>1.65</v>
      </c>
      <c r="F1070" s="759">
        <v>2.2999999999999998</v>
      </c>
      <c r="H1070" s="759">
        <f t="shared" si="17"/>
        <v>3.7949999999999995</v>
      </c>
    </row>
    <row r="1071" spans="1:8">
      <c r="A1071" s="701">
        <v>0</v>
      </c>
      <c r="B1071" s="759">
        <v>3.5</v>
      </c>
      <c r="C1071" s="759">
        <v>8</v>
      </c>
      <c r="D1071" s="759">
        <v>2.8</v>
      </c>
      <c r="E1071" s="701">
        <v>1.65</v>
      </c>
      <c r="F1071" s="759">
        <v>2.2999999999999998</v>
      </c>
      <c r="H1071" s="759">
        <f t="shared" si="17"/>
        <v>3.7949999999999995</v>
      </c>
    </row>
    <row r="1072" spans="1:8">
      <c r="A1072" s="701">
        <v>0</v>
      </c>
      <c r="B1072" s="759">
        <v>4</v>
      </c>
      <c r="C1072" s="759">
        <v>3</v>
      </c>
      <c r="D1072" s="759">
        <v>2.8</v>
      </c>
      <c r="E1072" s="701">
        <v>1.65</v>
      </c>
      <c r="F1072" s="759">
        <v>2.63</v>
      </c>
      <c r="H1072" s="759">
        <f t="shared" si="17"/>
        <v>4.3394999999999992</v>
      </c>
    </row>
    <row r="1073" spans="1:8">
      <c r="A1073" s="701">
        <v>0</v>
      </c>
      <c r="B1073" s="759">
        <v>4</v>
      </c>
      <c r="C1073" s="759">
        <v>3.25</v>
      </c>
      <c r="D1073" s="759">
        <v>2.8</v>
      </c>
      <c r="E1073" s="701">
        <v>1.65</v>
      </c>
      <c r="F1073" s="759">
        <v>2.63</v>
      </c>
      <c r="H1073" s="759">
        <f t="shared" si="17"/>
        <v>4.3394999999999992</v>
      </c>
    </row>
    <row r="1074" spans="1:8">
      <c r="A1074" s="701">
        <v>0</v>
      </c>
      <c r="B1074" s="759">
        <v>4</v>
      </c>
      <c r="C1074" s="759">
        <v>3.5</v>
      </c>
      <c r="D1074" s="759">
        <v>2.8</v>
      </c>
      <c r="E1074" s="701">
        <v>1.65</v>
      </c>
      <c r="F1074" s="759">
        <v>2.63</v>
      </c>
      <c r="H1074" s="759">
        <f t="shared" si="17"/>
        <v>4.3394999999999992</v>
      </c>
    </row>
    <row r="1075" spans="1:8">
      <c r="A1075" s="701">
        <v>0</v>
      </c>
      <c r="B1075" s="759">
        <v>4</v>
      </c>
      <c r="C1075" s="759">
        <v>3.75</v>
      </c>
      <c r="D1075" s="759">
        <v>2.8</v>
      </c>
      <c r="E1075" s="701">
        <v>1.65</v>
      </c>
      <c r="F1075" s="759">
        <v>2.63</v>
      </c>
      <c r="H1075" s="759">
        <f t="shared" si="17"/>
        <v>4.3394999999999992</v>
      </c>
    </row>
    <row r="1076" spans="1:8">
      <c r="A1076" s="701">
        <v>0</v>
      </c>
      <c r="B1076" s="759">
        <v>4</v>
      </c>
      <c r="C1076" s="759">
        <v>4</v>
      </c>
      <c r="D1076" s="759">
        <v>2.8</v>
      </c>
      <c r="E1076" s="701">
        <v>1.65</v>
      </c>
      <c r="F1076" s="759">
        <v>2.63</v>
      </c>
      <c r="H1076" s="759">
        <f t="shared" si="17"/>
        <v>4.3394999999999992</v>
      </c>
    </row>
    <row r="1077" spans="1:8">
      <c r="A1077" s="701">
        <v>0</v>
      </c>
      <c r="B1077" s="759">
        <v>4</v>
      </c>
      <c r="C1077" s="759">
        <v>4.25</v>
      </c>
      <c r="D1077" s="759">
        <v>2.8</v>
      </c>
      <c r="E1077" s="701">
        <v>1.65</v>
      </c>
      <c r="F1077" s="759">
        <v>2.63</v>
      </c>
      <c r="H1077" s="759">
        <f t="shared" si="17"/>
        <v>4.3394999999999992</v>
      </c>
    </row>
    <row r="1078" spans="1:8">
      <c r="A1078" s="701">
        <v>0</v>
      </c>
      <c r="B1078" s="759">
        <v>4</v>
      </c>
      <c r="C1078" s="759">
        <v>4.5</v>
      </c>
      <c r="D1078" s="759">
        <v>2.8</v>
      </c>
      <c r="E1078" s="701">
        <v>1.65</v>
      </c>
      <c r="F1078" s="759">
        <v>2.63</v>
      </c>
      <c r="H1078" s="759">
        <f t="shared" si="17"/>
        <v>4.3394999999999992</v>
      </c>
    </row>
    <row r="1079" spans="1:8">
      <c r="A1079" s="701">
        <v>0</v>
      </c>
      <c r="B1079" s="759">
        <v>4</v>
      </c>
      <c r="C1079" s="759">
        <v>4.75</v>
      </c>
      <c r="D1079" s="759">
        <v>2.8</v>
      </c>
      <c r="E1079" s="701">
        <v>1.65</v>
      </c>
      <c r="F1079" s="759">
        <v>2.63</v>
      </c>
      <c r="H1079" s="759">
        <f t="shared" si="17"/>
        <v>4.3394999999999992</v>
      </c>
    </row>
    <row r="1080" spans="1:8">
      <c r="A1080" s="701">
        <v>0</v>
      </c>
      <c r="B1080" s="759">
        <v>4</v>
      </c>
      <c r="C1080" s="759">
        <v>5</v>
      </c>
      <c r="D1080" s="759">
        <v>2.8</v>
      </c>
      <c r="E1080" s="701">
        <v>1.65</v>
      </c>
      <c r="F1080" s="759">
        <v>2.63</v>
      </c>
      <c r="H1080" s="759">
        <f t="shared" si="17"/>
        <v>4.3394999999999992</v>
      </c>
    </row>
    <row r="1081" spans="1:8">
      <c r="A1081" s="701">
        <v>0</v>
      </c>
      <c r="B1081" s="759">
        <v>4</v>
      </c>
      <c r="C1081" s="759">
        <v>5.25</v>
      </c>
      <c r="D1081" s="759">
        <v>2.8</v>
      </c>
      <c r="E1081" s="701">
        <v>1.65</v>
      </c>
      <c r="F1081" s="759">
        <v>2.63</v>
      </c>
      <c r="H1081" s="759">
        <f t="shared" si="17"/>
        <v>4.3394999999999992</v>
      </c>
    </row>
    <row r="1082" spans="1:8">
      <c r="A1082" s="701">
        <v>0</v>
      </c>
      <c r="B1082" s="759">
        <v>4</v>
      </c>
      <c r="C1082" s="759">
        <v>5.5</v>
      </c>
      <c r="D1082" s="759">
        <v>2.8</v>
      </c>
      <c r="E1082" s="701">
        <v>1.65</v>
      </c>
      <c r="F1082" s="759">
        <v>2.63</v>
      </c>
      <c r="H1082" s="759">
        <f t="shared" si="17"/>
        <v>4.3394999999999992</v>
      </c>
    </row>
    <row r="1083" spans="1:8">
      <c r="A1083" s="701">
        <v>0</v>
      </c>
      <c r="B1083" s="759">
        <v>4</v>
      </c>
      <c r="C1083" s="759">
        <v>5.75</v>
      </c>
      <c r="D1083" s="759">
        <v>2.8</v>
      </c>
      <c r="E1083" s="701">
        <v>1.65</v>
      </c>
      <c r="F1083" s="759">
        <v>2.63</v>
      </c>
      <c r="H1083" s="759">
        <f t="shared" si="17"/>
        <v>4.3394999999999992</v>
      </c>
    </row>
    <row r="1084" spans="1:8">
      <c r="A1084" s="701">
        <v>0</v>
      </c>
      <c r="B1084" s="759">
        <v>4</v>
      </c>
      <c r="C1084" s="759">
        <v>6</v>
      </c>
      <c r="D1084" s="759">
        <v>2.8</v>
      </c>
      <c r="E1084" s="701">
        <v>1.65</v>
      </c>
      <c r="F1084" s="759">
        <v>2.63</v>
      </c>
      <c r="H1084" s="759">
        <f t="shared" si="17"/>
        <v>4.3394999999999992</v>
      </c>
    </row>
    <row r="1085" spans="1:8">
      <c r="A1085" s="701">
        <v>0</v>
      </c>
      <c r="B1085" s="759">
        <v>4</v>
      </c>
      <c r="C1085" s="759">
        <v>6.25</v>
      </c>
      <c r="D1085" s="759">
        <v>2.8</v>
      </c>
      <c r="E1085" s="701">
        <v>1.65</v>
      </c>
      <c r="F1085" s="759">
        <v>2.63</v>
      </c>
      <c r="H1085" s="759">
        <f t="shared" si="17"/>
        <v>4.3394999999999992</v>
      </c>
    </row>
    <row r="1086" spans="1:8">
      <c r="A1086" s="701">
        <v>0</v>
      </c>
      <c r="B1086" s="759">
        <v>4</v>
      </c>
      <c r="C1086" s="759">
        <v>6.5</v>
      </c>
      <c r="D1086" s="759">
        <v>2.8</v>
      </c>
      <c r="E1086" s="701">
        <v>1.65</v>
      </c>
      <c r="F1086" s="759">
        <v>2.63</v>
      </c>
      <c r="H1086" s="759">
        <f t="shared" si="17"/>
        <v>4.3394999999999992</v>
      </c>
    </row>
    <row r="1087" spans="1:8">
      <c r="A1087" s="701">
        <v>0</v>
      </c>
      <c r="B1087" s="759">
        <v>4</v>
      </c>
      <c r="C1087" s="759">
        <v>6.75</v>
      </c>
      <c r="D1087" s="759">
        <v>2.8</v>
      </c>
      <c r="E1087" s="701">
        <v>1.65</v>
      </c>
      <c r="F1087" s="759">
        <v>2.63</v>
      </c>
      <c r="H1087" s="759">
        <f t="shared" si="17"/>
        <v>4.3394999999999992</v>
      </c>
    </row>
    <row r="1088" spans="1:8">
      <c r="A1088" s="701">
        <v>0</v>
      </c>
      <c r="B1088" s="759">
        <v>4</v>
      </c>
      <c r="C1088" s="759">
        <v>7</v>
      </c>
      <c r="D1088" s="759">
        <v>2.8</v>
      </c>
      <c r="E1088" s="701">
        <v>1.65</v>
      </c>
      <c r="F1088" s="759">
        <v>2.63</v>
      </c>
      <c r="H1088" s="759">
        <f t="shared" si="17"/>
        <v>4.3394999999999992</v>
      </c>
    </row>
    <row r="1089" spans="1:8">
      <c r="A1089" s="701">
        <v>0</v>
      </c>
      <c r="B1089" s="759">
        <v>4</v>
      </c>
      <c r="C1089" s="759">
        <v>7.5</v>
      </c>
      <c r="D1089" s="759">
        <v>2.8</v>
      </c>
      <c r="E1089" s="701">
        <v>1.65</v>
      </c>
      <c r="F1089" s="759">
        <v>2.63</v>
      </c>
      <c r="H1089" s="759">
        <f t="shared" si="17"/>
        <v>4.3394999999999992</v>
      </c>
    </row>
    <row r="1090" spans="1:8">
      <c r="A1090" s="701">
        <v>0</v>
      </c>
      <c r="B1090" s="759">
        <v>4</v>
      </c>
      <c r="C1090" s="759">
        <v>8</v>
      </c>
      <c r="D1090" s="759">
        <v>2.8</v>
      </c>
      <c r="E1090" s="701">
        <v>1.65</v>
      </c>
      <c r="F1090" s="759">
        <v>2.63</v>
      </c>
      <c r="H1090" s="759">
        <f t="shared" si="17"/>
        <v>4.3394999999999992</v>
      </c>
    </row>
    <row r="1091" spans="1:8">
      <c r="A1091" s="701">
        <v>0</v>
      </c>
      <c r="B1091" s="759">
        <v>4.5</v>
      </c>
      <c r="C1091" s="759">
        <v>3</v>
      </c>
      <c r="D1091" s="759">
        <v>2.8</v>
      </c>
      <c r="E1091" s="701">
        <v>1.65</v>
      </c>
      <c r="F1091" s="759">
        <v>2.96</v>
      </c>
      <c r="H1091" s="759">
        <f t="shared" si="17"/>
        <v>4.8839999999999995</v>
      </c>
    </row>
    <row r="1092" spans="1:8">
      <c r="A1092" s="701">
        <v>0</v>
      </c>
      <c r="B1092" s="759">
        <v>4.5</v>
      </c>
      <c r="C1092" s="759">
        <v>3.25</v>
      </c>
      <c r="D1092" s="759">
        <v>2.8</v>
      </c>
      <c r="E1092" s="701">
        <v>1.65</v>
      </c>
      <c r="F1092" s="759">
        <v>2.96</v>
      </c>
      <c r="H1092" s="759">
        <f t="shared" si="17"/>
        <v>4.8839999999999995</v>
      </c>
    </row>
    <row r="1093" spans="1:8">
      <c r="A1093" s="701">
        <v>0</v>
      </c>
      <c r="B1093" s="759">
        <v>4.5</v>
      </c>
      <c r="C1093" s="759">
        <v>3.5</v>
      </c>
      <c r="D1093" s="759">
        <v>2.8</v>
      </c>
      <c r="E1093" s="701">
        <v>1.65</v>
      </c>
      <c r="F1093" s="759">
        <v>2.96</v>
      </c>
      <c r="H1093" s="759">
        <f t="shared" si="17"/>
        <v>4.8839999999999995</v>
      </c>
    </row>
    <row r="1094" spans="1:8">
      <c r="A1094" s="701">
        <v>0</v>
      </c>
      <c r="B1094" s="759">
        <v>4.5</v>
      </c>
      <c r="C1094" s="759">
        <v>3.75</v>
      </c>
      <c r="D1094" s="759">
        <v>2.8</v>
      </c>
      <c r="E1094" s="701">
        <v>1.65</v>
      </c>
      <c r="F1094" s="759">
        <v>2.96</v>
      </c>
      <c r="H1094" s="759">
        <f t="shared" si="17"/>
        <v>4.8839999999999995</v>
      </c>
    </row>
    <row r="1095" spans="1:8">
      <c r="A1095" s="701">
        <v>0</v>
      </c>
      <c r="B1095" s="759">
        <v>4.5</v>
      </c>
      <c r="C1095" s="759">
        <v>4</v>
      </c>
      <c r="D1095" s="759">
        <v>2.8</v>
      </c>
      <c r="E1095" s="701">
        <v>1.65</v>
      </c>
      <c r="F1095" s="759">
        <v>2.96</v>
      </c>
      <c r="H1095" s="759">
        <f t="shared" si="17"/>
        <v>4.8839999999999995</v>
      </c>
    </row>
    <row r="1096" spans="1:8">
      <c r="A1096" s="701">
        <v>0</v>
      </c>
      <c r="B1096" s="759">
        <v>4.5</v>
      </c>
      <c r="C1096" s="759">
        <v>4.25</v>
      </c>
      <c r="D1096" s="759">
        <v>2.8</v>
      </c>
      <c r="E1096" s="701">
        <v>1.65</v>
      </c>
      <c r="F1096" s="759">
        <v>2.96</v>
      </c>
      <c r="H1096" s="759">
        <f t="shared" si="17"/>
        <v>4.8839999999999995</v>
      </c>
    </row>
    <row r="1097" spans="1:8">
      <c r="A1097" s="701">
        <v>0</v>
      </c>
      <c r="B1097" s="759">
        <v>4.5</v>
      </c>
      <c r="C1097" s="759">
        <v>4.5</v>
      </c>
      <c r="D1097" s="759">
        <v>2.8</v>
      </c>
      <c r="E1097" s="701">
        <v>1.65</v>
      </c>
      <c r="F1097" s="759">
        <v>2.96</v>
      </c>
      <c r="H1097" s="759">
        <f t="shared" si="17"/>
        <v>4.8839999999999995</v>
      </c>
    </row>
    <row r="1098" spans="1:8">
      <c r="A1098" s="701">
        <v>0</v>
      </c>
      <c r="B1098" s="759">
        <v>4.5</v>
      </c>
      <c r="C1098" s="759">
        <v>4.75</v>
      </c>
      <c r="D1098" s="759">
        <v>2.8</v>
      </c>
      <c r="E1098" s="701">
        <v>1.65</v>
      </c>
      <c r="F1098" s="759">
        <v>2.96</v>
      </c>
      <c r="H1098" s="759">
        <f t="shared" si="17"/>
        <v>4.8839999999999995</v>
      </c>
    </row>
    <row r="1099" spans="1:8">
      <c r="A1099" s="701">
        <v>0</v>
      </c>
      <c r="B1099" s="759">
        <v>4.5</v>
      </c>
      <c r="C1099" s="759">
        <v>5</v>
      </c>
      <c r="D1099" s="759">
        <v>2.8</v>
      </c>
      <c r="E1099" s="701">
        <v>1.65</v>
      </c>
      <c r="F1099" s="759">
        <v>2.96</v>
      </c>
      <c r="H1099" s="759">
        <f t="shared" si="17"/>
        <v>4.8839999999999995</v>
      </c>
    </row>
    <row r="1100" spans="1:8">
      <c r="A1100" s="701">
        <v>0</v>
      </c>
      <c r="B1100" s="759">
        <v>4.5</v>
      </c>
      <c r="C1100" s="759">
        <v>5.25</v>
      </c>
      <c r="D1100" s="759">
        <v>2.8</v>
      </c>
      <c r="E1100" s="701">
        <v>1.65</v>
      </c>
      <c r="F1100" s="759">
        <v>2.96</v>
      </c>
      <c r="H1100" s="759">
        <f t="shared" si="17"/>
        <v>4.8839999999999995</v>
      </c>
    </row>
    <row r="1101" spans="1:8">
      <c r="A1101" s="701">
        <v>0</v>
      </c>
      <c r="B1101" s="759">
        <v>4.5</v>
      </c>
      <c r="C1101" s="759">
        <v>5.5</v>
      </c>
      <c r="D1101" s="759">
        <v>2.8</v>
      </c>
      <c r="E1101" s="701">
        <v>1.65</v>
      </c>
      <c r="F1101" s="759">
        <v>2.96</v>
      </c>
      <c r="H1101" s="759">
        <f t="shared" si="17"/>
        <v>4.8839999999999995</v>
      </c>
    </row>
    <row r="1102" spans="1:8">
      <c r="A1102" s="701">
        <v>0</v>
      </c>
      <c r="B1102" s="759">
        <v>4.5</v>
      </c>
      <c r="C1102" s="759">
        <v>5.75</v>
      </c>
      <c r="D1102" s="759">
        <v>2.8</v>
      </c>
      <c r="E1102" s="701">
        <v>1.65</v>
      </c>
      <c r="F1102" s="759">
        <v>2.96</v>
      </c>
      <c r="H1102" s="759">
        <f t="shared" si="17"/>
        <v>4.8839999999999995</v>
      </c>
    </row>
    <row r="1103" spans="1:8">
      <c r="A1103" s="701">
        <v>0</v>
      </c>
      <c r="B1103" s="759">
        <v>4.5</v>
      </c>
      <c r="C1103" s="759">
        <v>6</v>
      </c>
      <c r="D1103" s="759">
        <v>2.8</v>
      </c>
      <c r="E1103" s="701">
        <v>1.65</v>
      </c>
      <c r="F1103" s="759">
        <v>2.96</v>
      </c>
      <c r="H1103" s="759">
        <f t="shared" si="17"/>
        <v>4.8839999999999995</v>
      </c>
    </row>
    <row r="1104" spans="1:8">
      <c r="A1104" s="701">
        <v>0</v>
      </c>
      <c r="B1104" s="759">
        <v>4.5</v>
      </c>
      <c r="C1104" s="759">
        <v>6.25</v>
      </c>
      <c r="D1104" s="759">
        <v>2.8</v>
      </c>
      <c r="E1104" s="701">
        <v>1.65</v>
      </c>
      <c r="F1104" s="759">
        <v>2.96</v>
      </c>
      <c r="H1104" s="759">
        <f t="shared" si="17"/>
        <v>4.8839999999999995</v>
      </c>
    </row>
    <row r="1105" spans="1:8">
      <c r="A1105" s="701">
        <v>0</v>
      </c>
      <c r="B1105" s="759">
        <v>4.5</v>
      </c>
      <c r="C1105" s="759">
        <v>6.5</v>
      </c>
      <c r="D1105" s="759">
        <v>2.8</v>
      </c>
      <c r="E1105" s="701">
        <v>1.65</v>
      </c>
      <c r="F1105" s="759">
        <v>2.96</v>
      </c>
      <c r="H1105" s="759">
        <f t="shared" si="17"/>
        <v>4.8839999999999995</v>
      </c>
    </row>
    <row r="1106" spans="1:8">
      <c r="A1106" s="701">
        <v>0</v>
      </c>
      <c r="B1106" s="759">
        <v>4.5</v>
      </c>
      <c r="C1106" s="759">
        <v>6.75</v>
      </c>
      <c r="D1106" s="759">
        <v>2.8</v>
      </c>
      <c r="E1106" s="701">
        <v>1.65</v>
      </c>
      <c r="F1106" s="759">
        <v>2.96</v>
      </c>
      <c r="H1106" s="759">
        <f t="shared" si="17"/>
        <v>4.8839999999999995</v>
      </c>
    </row>
    <row r="1107" spans="1:8">
      <c r="A1107" s="701">
        <v>0</v>
      </c>
      <c r="B1107" s="759">
        <v>4.5</v>
      </c>
      <c r="C1107" s="759">
        <v>7</v>
      </c>
      <c r="D1107" s="759">
        <v>2.8</v>
      </c>
      <c r="E1107" s="701">
        <v>1.65</v>
      </c>
      <c r="F1107" s="759">
        <v>2.96</v>
      </c>
      <c r="H1107" s="759">
        <f t="shared" si="17"/>
        <v>4.8839999999999995</v>
      </c>
    </row>
    <row r="1108" spans="1:8">
      <c r="A1108" s="701">
        <v>0</v>
      </c>
      <c r="B1108" s="759">
        <v>4.5</v>
      </c>
      <c r="C1108" s="759">
        <v>7.5</v>
      </c>
      <c r="D1108" s="759">
        <v>2.8</v>
      </c>
      <c r="E1108" s="701">
        <v>1.65</v>
      </c>
      <c r="F1108" s="759">
        <v>2.96</v>
      </c>
      <c r="H1108" s="759">
        <f t="shared" si="17"/>
        <v>4.8839999999999995</v>
      </c>
    </row>
    <row r="1109" spans="1:8">
      <c r="A1109" s="701">
        <v>0</v>
      </c>
      <c r="B1109" s="759">
        <v>4.5</v>
      </c>
      <c r="C1109" s="759">
        <v>8</v>
      </c>
      <c r="D1109" s="759">
        <v>2.8</v>
      </c>
      <c r="E1109" s="701">
        <v>1.65</v>
      </c>
      <c r="F1109" s="759">
        <v>2.96</v>
      </c>
      <c r="H1109" s="759">
        <f t="shared" si="17"/>
        <v>4.8839999999999995</v>
      </c>
    </row>
    <row r="1110" spans="1:8">
      <c r="A1110" s="701">
        <v>0</v>
      </c>
      <c r="B1110" s="759">
        <v>5</v>
      </c>
      <c r="C1110" s="759">
        <v>3</v>
      </c>
      <c r="D1110" s="759">
        <v>2.8</v>
      </c>
      <c r="E1110" s="701">
        <v>1.65</v>
      </c>
      <c r="F1110" s="759">
        <v>3.29</v>
      </c>
      <c r="H1110" s="759">
        <f t="shared" si="17"/>
        <v>5.4284999999999997</v>
      </c>
    </row>
    <row r="1111" spans="1:8">
      <c r="A1111" s="701">
        <v>0</v>
      </c>
      <c r="B1111" s="759">
        <v>5</v>
      </c>
      <c r="C1111" s="759">
        <v>3.25</v>
      </c>
      <c r="D1111" s="759">
        <v>2.8</v>
      </c>
      <c r="E1111" s="701">
        <v>1.65</v>
      </c>
      <c r="F1111" s="759">
        <v>3.29</v>
      </c>
      <c r="H1111" s="759">
        <f t="shared" si="17"/>
        <v>5.4284999999999997</v>
      </c>
    </row>
    <row r="1112" spans="1:8">
      <c r="A1112" s="701">
        <v>0</v>
      </c>
      <c r="B1112" s="759">
        <v>5</v>
      </c>
      <c r="C1112" s="759">
        <v>3.5</v>
      </c>
      <c r="D1112" s="759">
        <v>2.8</v>
      </c>
      <c r="E1112" s="701">
        <v>1.65</v>
      </c>
      <c r="F1112" s="759">
        <v>3.29</v>
      </c>
      <c r="H1112" s="759">
        <f t="shared" si="17"/>
        <v>5.4284999999999997</v>
      </c>
    </row>
    <row r="1113" spans="1:8">
      <c r="A1113" s="701">
        <v>0</v>
      </c>
      <c r="B1113" s="759">
        <v>5</v>
      </c>
      <c r="C1113" s="759">
        <v>3.75</v>
      </c>
      <c r="D1113" s="759">
        <v>2.8</v>
      </c>
      <c r="E1113" s="701">
        <v>1.65</v>
      </c>
      <c r="F1113" s="759">
        <v>3.29</v>
      </c>
      <c r="H1113" s="759">
        <f t="shared" si="17"/>
        <v>5.4284999999999997</v>
      </c>
    </row>
    <row r="1114" spans="1:8">
      <c r="A1114" s="701">
        <v>0</v>
      </c>
      <c r="B1114" s="759">
        <v>5</v>
      </c>
      <c r="C1114" s="759">
        <v>4</v>
      </c>
      <c r="D1114" s="759">
        <v>2.8</v>
      </c>
      <c r="E1114" s="701">
        <v>1.65</v>
      </c>
      <c r="F1114" s="759">
        <v>3.29</v>
      </c>
      <c r="H1114" s="759">
        <f t="shared" si="17"/>
        <v>5.4284999999999997</v>
      </c>
    </row>
    <row r="1115" spans="1:8">
      <c r="A1115" s="701">
        <v>0</v>
      </c>
      <c r="B1115" s="759">
        <v>5</v>
      </c>
      <c r="C1115" s="759">
        <v>4.25</v>
      </c>
      <c r="D1115" s="759">
        <v>2.8</v>
      </c>
      <c r="E1115" s="701">
        <v>1.65</v>
      </c>
      <c r="F1115" s="759">
        <v>3.29</v>
      </c>
      <c r="H1115" s="759">
        <f t="shared" si="17"/>
        <v>5.4284999999999997</v>
      </c>
    </row>
    <row r="1116" spans="1:8">
      <c r="A1116" s="701">
        <v>0</v>
      </c>
      <c r="B1116" s="759">
        <v>5</v>
      </c>
      <c r="C1116" s="759">
        <v>4.5</v>
      </c>
      <c r="D1116" s="759">
        <v>2.8</v>
      </c>
      <c r="E1116" s="701">
        <v>1.65</v>
      </c>
      <c r="F1116" s="759">
        <v>3.29</v>
      </c>
      <c r="H1116" s="759">
        <f t="shared" si="17"/>
        <v>5.4284999999999997</v>
      </c>
    </row>
    <row r="1117" spans="1:8">
      <c r="A1117" s="701">
        <v>0</v>
      </c>
      <c r="B1117" s="759">
        <v>5</v>
      </c>
      <c r="C1117" s="759">
        <v>4.75</v>
      </c>
      <c r="D1117" s="759">
        <v>2.8</v>
      </c>
      <c r="E1117" s="701">
        <v>1.65</v>
      </c>
      <c r="F1117" s="759">
        <v>3.29</v>
      </c>
      <c r="H1117" s="759">
        <f t="shared" si="17"/>
        <v>5.4284999999999997</v>
      </c>
    </row>
    <row r="1118" spans="1:8">
      <c r="A1118" s="701">
        <v>0</v>
      </c>
      <c r="B1118" s="759">
        <v>5</v>
      </c>
      <c r="C1118" s="759">
        <v>5</v>
      </c>
      <c r="D1118" s="759">
        <v>2.8</v>
      </c>
      <c r="E1118" s="701">
        <v>1.65</v>
      </c>
      <c r="F1118" s="759">
        <v>3.29</v>
      </c>
      <c r="H1118" s="759">
        <f t="shared" si="17"/>
        <v>5.4284999999999997</v>
      </c>
    </row>
    <row r="1119" spans="1:8">
      <c r="A1119" s="701">
        <v>0</v>
      </c>
      <c r="B1119" s="759">
        <v>5</v>
      </c>
      <c r="C1119" s="759">
        <v>5.25</v>
      </c>
      <c r="D1119" s="759">
        <v>2.8</v>
      </c>
      <c r="E1119" s="701">
        <v>1.65</v>
      </c>
      <c r="F1119" s="759">
        <v>3.29</v>
      </c>
      <c r="H1119" s="759">
        <f t="shared" si="17"/>
        <v>5.4284999999999997</v>
      </c>
    </row>
    <row r="1120" spans="1:8">
      <c r="A1120" s="701">
        <v>0</v>
      </c>
      <c r="B1120" s="759">
        <v>5</v>
      </c>
      <c r="C1120" s="759">
        <v>5.5</v>
      </c>
      <c r="D1120" s="759">
        <v>2.8</v>
      </c>
      <c r="E1120" s="701">
        <v>1.65</v>
      </c>
      <c r="F1120" s="759">
        <v>3.29</v>
      </c>
      <c r="H1120" s="759">
        <f t="shared" si="17"/>
        <v>5.4284999999999997</v>
      </c>
    </row>
    <row r="1121" spans="1:8">
      <c r="A1121" s="701">
        <v>0</v>
      </c>
      <c r="B1121" s="759">
        <v>5</v>
      </c>
      <c r="C1121" s="759">
        <v>5.75</v>
      </c>
      <c r="D1121" s="759">
        <v>2.8</v>
      </c>
      <c r="E1121" s="701">
        <v>1.65</v>
      </c>
      <c r="F1121" s="759">
        <v>3.29</v>
      </c>
      <c r="H1121" s="759">
        <f t="shared" si="17"/>
        <v>5.4284999999999997</v>
      </c>
    </row>
    <row r="1122" spans="1:8">
      <c r="A1122" s="701">
        <v>0</v>
      </c>
      <c r="B1122" s="759">
        <v>5</v>
      </c>
      <c r="C1122" s="759">
        <v>6</v>
      </c>
      <c r="D1122" s="759">
        <v>2.8</v>
      </c>
      <c r="E1122" s="701">
        <v>1.65</v>
      </c>
      <c r="F1122" s="759">
        <v>3.29</v>
      </c>
      <c r="H1122" s="759">
        <f t="shared" si="17"/>
        <v>5.4284999999999997</v>
      </c>
    </row>
    <row r="1123" spans="1:8">
      <c r="A1123" s="701">
        <v>0</v>
      </c>
      <c r="B1123" s="759">
        <v>5</v>
      </c>
      <c r="C1123" s="759">
        <v>6.25</v>
      </c>
      <c r="D1123" s="759">
        <v>2.8</v>
      </c>
      <c r="E1123" s="701">
        <v>1.65</v>
      </c>
      <c r="F1123" s="759">
        <v>3.29</v>
      </c>
      <c r="H1123" s="759">
        <f t="shared" si="17"/>
        <v>5.4284999999999997</v>
      </c>
    </row>
    <row r="1124" spans="1:8">
      <c r="A1124" s="701">
        <v>0</v>
      </c>
      <c r="B1124" s="759">
        <v>5</v>
      </c>
      <c r="C1124" s="759">
        <v>6.5</v>
      </c>
      <c r="D1124" s="759">
        <v>2.8</v>
      </c>
      <c r="E1124" s="701">
        <v>1.65</v>
      </c>
      <c r="F1124" s="759">
        <v>3.29</v>
      </c>
      <c r="H1124" s="759">
        <f t="shared" ref="H1124:H1187" si="18">F1124*E1124</f>
        <v>5.4284999999999997</v>
      </c>
    </row>
    <row r="1125" spans="1:8">
      <c r="A1125" s="701">
        <v>0</v>
      </c>
      <c r="B1125" s="759">
        <v>5</v>
      </c>
      <c r="C1125" s="759">
        <v>6.75</v>
      </c>
      <c r="D1125" s="759">
        <v>2.8</v>
      </c>
      <c r="E1125" s="701">
        <v>1.65</v>
      </c>
      <c r="F1125" s="759">
        <v>3.29</v>
      </c>
      <c r="H1125" s="759">
        <f t="shared" si="18"/>
        <v>5.4284999999999997</v>
      </c>
    </row>
    <row r="1126" spans="1:8">
      <c r="A1126" s="701">
        <v>0</v>
      </c>
      <c r="B1126" s="759">
        <v>5</v>
      </c>
      <c r="C1126" s="759">
        <v>7</v>
      </c>
      <c r="D1126" s="759">
        <v>2.8</v>
      </c>
      <c r="E1126" s="701">
        <v>1.65</v>
      </c>
      <c r="F1126" s="759">
        <v>3.29</v>
      </c>
      <c r="H1126" s="759">
        <f t="shared" si="18"/>
        <v>5.4284999999999997</v>
      </c>
    </row>
    <row r="1127" spans="1:8">
      <c r="A1127" s="701">
        <v>0</v>
      </c>
      <c r="B1127" s="759">
        <v>5</v>
      </c>
      <c r="C1127" s="759">
        <v>7.5</v>
      </c>
      <c r="D1127" s="759">
        <v>2.8</v>
      </c>
      <c r="E1127" s="701">
        <v>1.65</v>
      </c>
      <c r="F1127" s="759">
        <v>3.29</v>
      </c>
      <c r="H1127" s="759">
        <f t="shared" si="18"/>
        <v>5.4284999999999997</v>
      </c>
    </row>
    <row r="1128" spans="1:8">
      <c r="A1128" s="701">
        <v>0</v>
      </c>
      <c r="B1128" s="759">
        <v>5</v>
      </c>
      <c r="C1128" s="759">
        <v>8</v>
      </c>
      <c r="D1128" s="759">
        <v>2.8</v>
      </c>
      <c r="E1128" s="701">
        <v>1.65</v>
      </c>
      <c r="F1128" s="759">
        <v>3.29</v>
      </c>
      <c r="H1128" s="759">
        <f t="shared" si="18"/>
        <v>5.4284999999999997</v>
      </c>
    </row>
    <row r="1129" spans="1:8">
      <c r="A1129" s="701">
        <v>0</v>
      </c>
      <c r="B1129" s="759">
        <v>5.5</v>
      </c>
      <c r="C1129" s="759">
        <v>3</v>
      </c>
      <c r="D1129" s="759">
        <v>2.8</v>
      </c>
      <c r="E1129" s="701">
        <v>1.65</v>
      </c>
      <c r="F1129" s="759">
        <v>3.62</v>
      </c>
      <c r="H1129" s="759">
        <f t="shared" si="18"/>
        <v>5.9729999999999999</v>
      </c>
    </row>
    <row r="1130" spans="1:8">
      <c r="A1130" s="701">
        <v>0</v>
      </c>
      <c r="B1130" s="759">
        <v>5.5</v>
      </c>
      <c r="C1130" s="759">
        <v>3.25</v>
      </c>
      <c r="D1130" s="759">
        <v>2.8</v>
      </c>
      <c r="E1130" s="701">
        <v>1.65</v>
      </c>
      <c r="F1130" s="759">
        <v>3.62</v>
      </c>
      <c r="H1130" s="759">
        <f t="shared" si="18"/>
        <v>5.9729999999999999</v>
      </c>
    </row>
    <row r="1131" spans="1:8">
      <c r="A1131" s="701">
        <v>0</v>
      </c>
      <c r="B1131" s="759">
        <v>5.5</v>
      </c>
      <c r="C1131" s="759">
        <v>3.5</v>
      </c>
      <c r="D1131" s="759">
        <v>2.8</v>
      </c>
      <c r="E1131" s="701">
        <v>1.65</v>
      </c>
      <c r="F1131" s="759">
        <v>3.62</v>
      </c>
      <c r="H1131" s="759">
        <f t="shared" si="18"/>
        <v>5.9729999999999999</v>
      </c>
    </row>
    <row r="1132" spans="1:8">
      <c r="A1132" s="701">
        <v>0</v>
      </c>
      <c r="B1132" s="759">
        <v>5.5</v>
      </c>
      <c r="C1132" s="759">
        <v>3.75</v>
      </c>
      <c r="D1132" s="759">
        <v>2.8</v>
      </c>
      <c r="E1132" s="701">
        <v>1.65</v>
      </c>
      <c r="F1132" s="759">
        <v>3.62</v>
      </c>
      <c r="H1132" s="759">
        <f t="shared" si="18"/>
        <v>5.9729999999999999</v>
      </c>
    </row>
    <row r="1133" spans="1:8">
      <c r="A1133" s="701">
        <v>0</v>
      </c>
      <c r="B1133" s="759">
        <v>5.5</v>
      </c>
      <c r="C1133" s="759">
        <v>4</v>
      </c>
      <c r="D1133" s="759">
        <v>2.8</v>
      </c>
      <c r="E1133" s="701">
        <v>1.65</v>
      </c>
      <c r="F1133" s="759">
        <v>3.62</v>
      </c>
      <c r="H1133" s="759">
        <f t="shared" si="18"/>
        <v>5.9729999999999999</v>
      </c>
    </row>
    <row r="1134" spans="1:8">
      <c r="A1134" s="701">
        <v>0</v>
      </c>
      <c r="B1134" s="759">
        <v>5.5</v>
      </c>
      <c r="C1134" s="759">
        <v>4.25</v>
      </c>
      <c r="D1134" s="759">
        <v>2.8</v>
      </c>
      <c r="E1134" s="701">
        <v>1.65</v>
      </c>
      <c r="F1134" s="759">
        <v>3.62</v>
      </c>
      <c r="H1134" s="759">
        <f t="shared" si="18"/>
        <v>5.9729999999999999</v>
      </c>
    </row>
    <row r="1135" spans="1:8">
      <c r="A1135" s="701">
        <v>0</v>
      </c>
      <c r="B1135" s="759">
        <v>5.5</v>
      </c>
      <c r="C1135" s="759">
        <v>4.5</v>
      </c>
      <c r="D1135" s="759">
        <v>2.8</v>
      </c>
      <c r="E1135" s="701">
        <v>1.65</v>
      </c>
      <c r="F1135" s="759">
        <v>3.62</v>
      </c>
      <c r="H1135" s="759">
        <f t="shared" si="18"/>
        <v>5.9729999999999999</v>
      </c>
    </row>
    <row r="1136" spans="1:8">
      <c r="A1136" s="701">
        <v>0</v>
      </c>
      <c r="B1136" s="759">
        <v>5.5</v>
      </c>
      <c r="C1136" s="759">
        <v>4.75</v>
      </c>
      <c r="D1136" s="759">
        <v>2.8</v>
      </c>
      <c r="E1136" s="701">
        <v>1.65</v>
      </c>
      <c r="F1136" s="759">
        <v>3.62</v>
      </c>
      <c r="H1136" s="759">
        <f t="shared" si="18"/>
        <v>5.9729999999999999</v>
      </c>
    </row>
    <row r="1137" spans="1:8">
      <c r="A1137" s="701">
        <v>0</v>
      </c>
      <c r="B1137" s="759">
        <v>5.5</v>
      </c>
      <c r="C1137" s="759">
        <v>5</v>
      </c>
      <c r="D1137" s="759">
        <v>2.8</v>
      </c>
      <c r="E1137" s="701">
        <v>1.65</v>
      </c>
      <c r="F1137" s="759">
        <v>3.62</v>
      </c>
      <c r="H1137" s="759">
        <f t="shared" si="18"/>
        <v>5.9729999999999999</v>
      </c>
    </row>
    <row r="1138" spans="1:8">
      <c r="A1138" s="701">
        <v>0</v>
      </c>
      <c r="B1138" s="759">
        <v>5.5</v>
      </c>
      <c r="C1138" s="759">
        <v>5.25</v>
      </c>
      <c r="D1138" s="759">
        <v>2.8</v>
      </c>
      <c r="E1138" s="701">
        <v>1.65</v>
      </c>
      <c r="F1138" s="759">
        <v>3.62</v>
      </c>
      <c r="H1138" s="759">
        <f t="shared" si="18"/>
        <v>5.9729999999999999</v>
      </c>
    </row>
    <row r="1139" spans="1:8">
      <c r="A1139" s="701">
        <v>0</v>
      </c>
      <c r="B1139" s="759">
        <v>5.5</v>
      </c>
      <c r="C1139" s="759">
        <v>5.5</v>
      </c>
      <c r="D1139" s="759">
        <v>2.8</v>
      </c>
      <c r="E1139" s="701">
        <v>1.65</v>
      </c>
      <c r="F1139" s="759">
        <v>3.62</v>
      </c>
      <c r="H1139" s="759">
        <f t="shared" si="18"/>
        <v>5.9729999999999999</v>
      </c>
    </row>
    <row r="1140" spans="1:8">
      <c r="A1140" s="701">
        <v>0</v>
      </c>
      <c r="B1140" s="759">
        <v>5.5</v>
      </c>
      <c r="C1140" s="759">
        <v>5.75</v>
      </c>
      <c r="D1140" s="759">
        <v>2.8</v>
      </c>
      <c r="E1140" s="701">
        <v>1.65</v>
      </c>
      <c r="F1140" s="759">
        <v>3.62</v>
      </c>
      <c r="H1140" s="759">
        <f t="shared" si="18"/>
        <v>5.9729999999999999</v>
      </c>
    </row>
    <row r="1141" spans="1:8">
      <c r="A1141" s="701">
        <v>0</v>
      </c>
      <c r="B1141" s="759">
        <v>5.5</v>
      </c>
      <c r="C1141" s="759">
        <v>6</v>
      </c>
      <c r="D1141" s="759">
        <v>2.8</v>
      </c>
      <c r="E1141" s="701">
        <v>1.65</v>
      </c>
      <c r="F1141" s="759">
        <v>3.62</v>
      </c>
      <c r="H1141" s="759">
        <f t="shared" si="18"/>
        <v>5.9729999999999999</v>
      </c>
    </row>
    <row r="1142" spans="1:8">
      <c r="A1142" s="701">
        <v>0</v>
      </c>
      <c r="B1142" s="759">
        <v>5.5</v>
      </c>
      <c r="C1142" s="759">
        <v>6.25</v>
      </c>
      <c r="D1142" s="759">
        <v>2.8</v>
      </c>
      <c r="E1142" s="701">
        <v>1.65</v>
      </c>
      <c r="F1142" s="759">
        <v>3.62</v>
      </c>
      <c r="H1142" s="759">
        <f t="shared" si="18"/>
        <v>5.9729999999999999</v>
      </c>
    </row>
    <row r="1143" spans="1:8">
      <c r="A1143" s="701">
        <v>0</v>
      </c>
      <c r="B1143" s="759">
        <v>5.5</v>
      </c>
      <c r="C1143" s="759">
        <v>6.5</v>
      </c>
      <c r="D1143" s="759">
        <v>2.8</v>
      </c>
      <c r="E1143" s="701">
        <v>1.65</v>
      </c>
      <c r="F1143" s="759">
        <v>3.62</v>
      </c>
      <c r="H1143" s="759">
        <f t="shared" si="18"/>
        <v>5.9729999999999999</v>
      </c>
    </row>
    <row r="1144" spans="1:8">
      <c r="A1144" s="701">
        <v>0</v>
      </c>
      <c r="B1144" s="759">
        <v>5.5</v>
      </c>
      <c r="C1144" s="759">
        <v>6.75</v>
      </c>
      <c r="D1144" s="759">
        <v>2.8</v>
      </c>
      <c r="E1144" s="701">
        <v>1.65</v>
      </c>
      <c r="F1144" s="759">
        <v>3.62</v>
      </c>
      <c r="H1144" s="759">
        <f t="shared" si="18"/>
        <v>5.9729999999999999</v>
      </c>
    </row>
    <row r="1145" spans="1:8">
      <c r="A1145" s="701">
        <v>0</v>
      </c>
      <c r="B1145" s="759">
        <v>5.5</v>
      </c>
      <c r="C1145" s="759">
        <v>7</v>
      </c>
      <c r="D1145" s="759">
        <v>2.8</v>
      </c>
      <c r="E1145" s="701">
        <v>1.65</v>
      </c>
      <c r="F1145" s="759">
        <v>3.62</v>
      </c>
      <c r="H1145" s="759">
        <f t="shared" si="18"/>
        <v>5.9729999999999999</v>
      </c>
    </row>
    <row r="1146" spans="1:8">
      <c r="A1146" s="701">
        <v>0</v>
      </c>
      <c r="B1146" s="759">
        <v>5.5</v>
      </c>
      <c r="C1146" s="759">
        <v>7.5</v>
      </c>
      <c r="D1146" s="759">
        <v>2.8</v>
      </c>
      <c r="E1146" s="701">
        <v>1.65</v>
      </c>
      <c r="F1146" s="759">
        <v>3.62</v>
      </c>
      <c r="H1146" s="759">
        <f t="shared" si="18"/>
        <v>5.9729999999999999</v>
      </c>
    </row>
    <row r="1147" spans="1:8">
      <c r="A1147" s="701">
        <v>0</v>
      </c>
      <c r="B1147" s="759">
        <v>5.5</v>
      </c>
      <c r="C1147" s="759">
        <v>8</v>
      </c>
      <c r="D1147" s="759">
        <v>2.8</v>
      </c>
      <c r="E1147" s="701">
        <v>1.65</v>
      </c>
      <c r="F1147" s="759">
        <v>3.62</v>
      </c>
      <c r="H1147" s="759">
        <f t="shared" si="18"/>
        <v>5.9729999999999999</v>
      </c>
    </row>
    <row r="1148" spans="1:8">
      <c r="A1148" s="701">
        <v>0</v>
      </c>
      <c r="B1148" s="759">
        <v>6</v>
      </c>
      <c r="C1148" s="759">
        <v>3</v>
      </c>
      <c r="D1148" s="759">
        <v>2.8</v>
      </c>
      <c r="E1148" s="701">
        <v>1.65</v>
      </c>
      <c r="F1148" s="759">
        <v>3.94</v>
      </c>
      <c r="H1148" s="759">
        <f t="shared" si="18"/>
        <v>6.5009999999999994</v>
      </c>
    </row>
    <row r="1149" spans="1:8">
      <c r="A1149" s="701">
        <v>0</v>
      </c>
      <c r="B1149" s="759">
        <v>6</v>
      </c>
      <c r="C1149" s="759">
        <v>3.25</v>
      </c>
      <c r="D1149" s="759">
        <v>2.8</v>
      </c>
      <c r="E1149" s="701">
        <v>1.65</v>
      </c>
      <c r="F1149" s="759">
        <v>3.94</v>
      </c>
      <c r="H1149" s="759">
        <f t="shared" si="18"/>
        <v>6.5009999999999994</v>
      </c>
    </row>
    <row r="1150" spans="1:8">
      <c r="A1150" s="701">
        <v>0</v>
      </c>
      <c r="B1150" s="759">
        <v>6</v>
      </c>
      <c r="C1150" s="759">
        <v>3.5</v>
      </c>
      <c r="D1150" s="759">
        <v>2.8</v>
      </c>
      <c r="E1150" s="701">
        <v>1.65</v>
      </c>
      <c r="F1150" s="759">
        <v>3.94</v>
      </c>
      <c r="H1150" s="759">
        <f t="shared" si="18"/>
        <v>6.5009999999999994</v>
      </c>
    </row>
    <row r="1151" spans="1:8">
      <c r="A1151" s="701">
        <v>0</v>
      </c>
      <c r="B1151" s="759">
        <v>6</v>
      </c>
      <c r="C1151" s="759">
        <v>3.75</v>
      </c>
      <c r="D1151" s="759">
        <v>2.8</v>
      </c>
      <c r="E1151" s="701">
        <v>1.65</v>
      </c>
      <c r="F1151" s="759">
        <v>3.94</v>
      </c>
      <c r="H1151" s="759">
        <f t="shared" si="18"/>
        <v>6.5009999999999994</v>
      </c>
    </row>
    <row r="1152" spans="1:8">
      <c r="A1152" s="701">
        <v>0</v>
      </c>
      <c r="B1152" s="759">
        <v>6</v>
      </c>
      <c r="C1152" s="759">
        <v>4</v>
      </c>
      <c r="D1152" s="759">
        <v>2.8</v>
      </c>
      <c r="E1152" s="701">
        <v>1.65</v>
      </c>
      <c r="F1152" s="759">
        <v>3.94</v>
      </c>
      <c r="H1152" s="759">
        <f t="shared" si="18"/>
        <v>6.5009999999999994</v>
      </c>
    </row>
    <row r="1153" spans="1:8">
      <c r="A1153" s="701">
        <v>0</v>
      </c>
      <c r="B1153" s="759">
        <v>6</v>
      </c>
      <c r="C1153" s="759">
        <v>4.25</v>
      </c>
      <c r="D1153" s="759">
        <v>2.8</v>
      </c>
      <c r="E1153" s="701">
        <v>1.65</v>
      </c>
      <c r="F1153" s="759">
        <v>3.94</v>
      </c>
      <c r="H1153" s="759">
        <f t="shared" si="18"/>
        <v>6.5009999999999994</v>
      </c>
    </row>
    <row r="1154" spans="1:8">
      <c r="A1154" s="701">
        <v>0</v>
      </c>
      <c r="B1154" s="759">
        <v>6</v>
      </c>
      <c r="C1154" s="759">
        <v>4.5</v>
      </c>
      <c r="D1154" s="759">
        <v>2.8</v>
      </c>
      <c r="E1154" s="701">
        <v>1.65</v>
      </c>
      <c r="F1154" s="759">
        <v>3.94</v>
      </c>
      <c r="H1154" s="759">
        <f t="shared" si="18"/>
        <v>6.5009999999999994</v>
      </c>
    </row>
    <row r="1155" spans="1:8">
      <c r="A1155" s="701">
        <v>0</v>
      </c>
      <c r="B1155" s="759">
        <v>6</v>
      </c>
      <c r="C1155" s="759">
        <v>4.75</v>
      </c>
      <c r="D1155" s="759">
        <v>2.8</v>
      </c>
      <c r="E1155" s="701">
        <v>1.65</v>
      </c>
      <c r="F1155" s="759">
        <v>3.94</v>
      </c>
      <c r="H1155" s="759">
        <f t="shared" si="18"/>
        <v>6.5009999999999994</v>
      </c>
    </row>
    <row r="1156" spans="1:8">
      <c r="A1156" s="701">
        <v>0</v>
      </c>
      <c r="B1156" s="759">
        <v>6</v>
      </c>
      <c r="C1156" s="759">
        <v>5</v>
      </c>
      <c r="D1156" s="759">
        <v>2.8</v>
      </c>
      <c r="E1156" s="701">
        <v>1.65</v>
      </c>
      <c r="F1156" s="759">
        <v>3.94</v>
      </c>
      <c r="H1156" s="759">
        <f t="shared" si="18"/>
        <v>6.5009999999999994</v>
      </c>
    </row>
    <row r="1157" spans="1:8">
      <c r="A1157" s="701">
        <v>0</v>
      </c>
      <c r="B1157" s="759">
        <v>6</v>
      </c>
      <c r="C1157" s="759">
        <v>5.25</v>
      </c>
      <c r="D1157" s="759">
        <v>2.8</v>
      </c>
      <c r="E1157" s="701">
        <v>1.65</v>
      </c>
      <c r="F1157" s="759">
        <v>3.94</v>
      </c>
      <c r="H1157" s="759">
        <f t="shared" si="18"/>
        <v>6.5009999999999994</v>
      </c>
    </row>
    <row r="1158" spans="1:8">
      <c r="A1158" s="701">
        <v>0</v>
      </c>
      <c r="B1158" s="759">
        <v>6</v>
      </c>
      <c r="C1158" s="759">
        <v>5.5</v>
      </c>
      <c r="D1158" s="759">
        <v>2.8</v>
      </c>
      <c r="E1158" s="701">
        <v>1.65</v>
      </c>
      <c r="F1158" s="759">
        <v>3.94</v>
      </c>
      <c r="H1158" s="759">
        <f t="shared" si="18"/>
        <v>6.5009999999999994</v>
      </c>
    </row>
    <row r="1159" spans="1:8">
      <c r="A1159" s="701">
        <v>0</v>
      </c>
      <c r="B1159" s="759">
        <v>6</v>
      </c>
      <c r="C1159" s="759">
        <v>5.75</v>
      </c>
      <c r="D1159" s="759">
        <v>2.8</v>
      </c>
      <c r="E1159" s="701">
        <v>1.65</v>
      </c>
      <c r="F1159" s="759">
        <v>3.94</v>
      </c>
      <c r="H1159" s="759">
        <f t="shared" si="18"/>
        <v>6.5009999999999994</v>
      </c>
    </row>
    <row r="1160" spans="1:8">
      <c r="A1160" s="701">
        <v>0</v>
      </c>
      <c r="B1160" s="759">
        <v>6</v>
      </c>
      <c r="C1160" s="759">
        <v>6</v>
      </c>
      <c r="D1160" s="759">
        <v>2.8</v>
      </c>
      <c r="E1160" s="701">
        <v>1.65</v>
      </c>
      <c r="F1160" s="759">
        <v>3.94</v>
      </c>
      <c r="H1160" s="759">
        <f t="shared" si="18"/>
        <v>6.5009999999999994</v>
      </c>
    </row>
    <row r="1161" spans="1:8">
      <c r="A1161" s="701">
        <v>0</v>
      </c>
      <c r="B1161" s="759">
        <v>6</v>
      </c>
      <c r="C1161" s="759">
        <v>6.25</v>
      </c>
      <c r="D1161" s="759">
        <v>2.8</v>
      </c>
      <c r="E1161" s="701">
        <v>1.65</v>
      </c>
      <c r="F1161" s="759">
        <v>3.94</v>
      </c>
      <c r="H1161" s="759">
        <f t="shared" si="18"/>
        <v>6.5009999999999994</v>
      </c>
    </row>
    <row r="1162" spans="1:8">
      <c r="A1162" s="701">
        <v>0</v>
      </c>
      <c r="B1162" s="759">
        <v>6</v>
      </c>
      <c r="C1162" s="759">
        <v>6.5</v>
      </c>
      <c r="D1162" s="759">
        <v>2.8</v>
      </c>
      <c r="E1162" s="701">
        <v>1.65</v>
      </c>
      <c r="F1162" s="759">
        <v>3.94</v>
      </c>
      <c r="H1162" s="759">
        <f t="shared" si="18"/>
        <v>6.5009999999999994</v>
      </c>
    </row>
    <row r="1163" spans="1:8">
      <c r="A1163" s="701">
        <v>0</v>
      </c>
      <c r="B1163" s="759">
        <v>6</v>
      </c>
      <c r="C1163" s="759">
        <v>6.75</v>
      </c>
      <c r="D1163" s="759">
        <v>2.8</v>
      </c>
      <c r="E1163" s="701">
        <v>1.65</v>
      </c>
      <c r="F1163" s="759">
        <v>3.94</v>
      </c>
      <c r="H1163" s="759">
        <f t="shared" si="18"/>
        <v>6.5009999999999994</v>
      </c>
    </row>
    <row r="1164" spans="1:8">
      <c r="A1164" s="701">
        <v>0</v>
      </c>
      <c r="B1164" s="759">
        <v>6</v>
      </c>
      <c r="C1164" s="759">
        <v>7</v>
      </c>
      <c r="D1164" s="759">
        <v>2.8</v>
      </c>
      <c r="E1164" s="701">
        <v>1.65</v>
      </c>
      <c r="F1164" s="759">
        <v>3.94</v>
      </c>
      <c r="H1164" s="759">
        <f t="shared" si="18"/>
        <v>6.5009999999999994</v>
      </c>
    </row>
    <row r="1165" spans="1:8">
      <c r="A1165" s="701">
        <v>0</v>
      </c>
      <c r="B1165" s="759">
        <v>6</v>
      </c>
      <c r="C1165" s="759">
        <v>7.5</v>
      </c>
      <c r="D1165" s="759">
        <v>2.8</v>
      </c>
      <c r="E1165" s="701">
        <v>1.65</v>
      </c>
      <c r="F1165" s="759">
        <v>3.94</v>
      </c>
      <c r="H1165" s="759">
        <f t="shared" si="18"/>
        <v>6.5009999999999994</v>
      </c>
    </row>
    <row r="1166" spans="1:8">
      <c r="A1166" s="701">
        <v>0</v>
      </c>
      <c r="B1166" s="759">
        <v>6</v>
      </c>
      <c r="C1166" s="759">
        <v>8</v>
      </c>
      <c r="D1166" s="759">
        <v>2.8</v>
      </c>
      <c r="E1166" s="701">
        <v>1.65</v>
      </c>
      <c r="F1166" s="759">
        <v>3.94</v>
      </c>
      <c r="H1166" s="759">
        <f t="shared" si="18"/>
        <v>6.5009999999999994</v>
      </c>
    </row>
    <row r="1167" spans="1:8">
      <c r="A1167" s="701">
        <v>0</v>
      </c>
      <c r="B1167" s="759">
        <v>6.5</v>
      </c>
      <c r="C1167" s="759">
        <v>3</v>
      </c>
      <c r="D1167" s="759">
        <v>2.8</v>
      </c>
      <c r="E1167" s="701">
        <v>1.65</v>
      </c>
      <c r="F1167" s="759">
        <v>4.2699999999999996</v>
      </c>
      <c r="H1167" s="759">
        <f t="shared" si="18"/>
        <v>7.0454999999999988</v>
      </c>
    </row>
    <row r="1168" spans="1:8">
      <c r="A1168" s="701">
        <v>0</v>
      </c>
      <c r="B1168" s="759">
        <v>6.5</v>
      </c>
      <c r="C1168" s="759">
        <v>3.25</v>
      </c>
      <c r="D1168" s="759">
        <v>2.8</v>
      </c>
      <c r="E1168" s="701">
        <v>1.65</v>
      </c>
      <c r="F1168" s="759">
        <v>4.2699999999999996</v>
      </c>
      <c r="H1168" s="759">
        <f t="shared" si="18"/>
        <v>7.0454999999999988</v>
      </c>
    </row>
    <row r="1169" spans="1:8">
      <c r="A1169" s="701">
        <v>0</v>
      </c>
      <c r="B1169" s="759">
        <v>6.5</v>
      </c>
      <c r="C1169" s="759">
        <v>3.5</v>
      </c>
      <c r="D1169" s="759">
        <v>2.8</v>
      </c>
      <c r="E1169" s="701">
        <v>1.65</v>
      </c>
      <c r="F1169" s="759">
        <v>4.2699999999999996</v>
      </c>
      <c r="H1169" s="759">
        <f t="shared" si="18"/>
        <v>7.0454999999999988</v>
      </c>
    </row>
    <row r="1170" spans="1:8">
      <c r="A1170" s="701">
        <v>0</v>
      </c>
      <c r="B1170" s="759">
        <v>6.5</v>
      </c>
      <c r="C1170" s="759">
        <v>3.75</v>
      </c>
      <c r="D1170" s="759">
        <v>2.8</v>
      </c>
      <c r="E1170" s="701">
        <v>1.65</v>
      </c>
      <c r="F1170" s="759">
        <v>4.2699999999999996</v>
      </c>
      <c r="H1170" s="759">
        <f t="shared" si="18"/>
        <v>7.0454999999999988</v>
      </c>
    </row>
    <row r="1171" spans="1:8">
      <c r="A1171" s="701">
        <v>0</v>
      </c>
      <c r="B1171" s="759">
        <v>6.5</v>
      </c>
      <c r="C1171" s="759">
        <v>4</v>
      </c>
      <c r="D1171" s="759">
        <v>2.8</v>
      </c>
      <c r="E1171" s="701">
        <v>1.65</v>
      </c>
      <c r="F1171" s="759">
        <v>4.2699999999999996</v>
      </c>
      <c r="H1171" s="759">
        <f t="shared" si="18"/>
        <v>7.0454999999999988</v>
      </c>
    </row>
    <row r="1172" spans="1:8">
      <c r="A1172" s="701">
        <v>0</v>
      </c>
      <c r="B1172" s="759">
        <v>6.5</v>
      </c>
      <c r="C1172" s="759">
        <v>4.25</v>
      </c>
      <c r="D1172" s="759">
        <v>2.8</v>
      </c>
      <c r="E1172" s="701">
        <v>1.65</v>
      </c>
      <c r="F1172" s="759">
        <v>4.2699999999999996</v>
      </c>
      <c r="H1172" s="759">
        <f t="shared" si="18"/>
        <v>7.0454999999999988</v>
      </c>
    </row>
    <row r="1173" spans="1:8">
      <c r="A1173" s="701">
        <v>0</v>
      </c>
      <c r="B1173" s="759">
        <v>6.5</v>
      </c>
      <c r="C1173" s="759">
        <v>4.5</v>
      </c>
      <c r="D1173" s="759">
        <v>2.8</v>
      </c>
      <c r="E1173" s="701">
        <v>1.65</v>
      </c>
      <c r="F1173" s="759">
        <v>4.2699999999999996</v>
      </c>
      <c r="H1173" s="759">
        <f t="shared" si="18"/>
        <v>7.0454999999999988</v>
      </c>
    </row>
    <row r="1174" spans="1:8">
      <c r="A1174" s="701">
        <v>0</v>
      </c>
      <c r="B1174" s="759">
        <v>6.5</v>
      </c>
      <c r="C1174" s="759">
        <v>4.75</v>
      </c>
      <c r="D1174" s="759">
        <v>2.8</v>
      </c>
      <c r="E1174" s="701">
        <v>1.65</v>
      </c>
      <c r="F1174" s="759">
        <v>4.2699999999999996</v>
      </c>
      <c r="H1174" s="759">
        <f t="shared" si="18"/>
        <v>7.0454999999999988</v>
      </c>
    </row>
    <row r="1175" spans="1:8">
      <c r="A1175" s="701">
        <v>0</v>
      </c>
      <c r="B1175" s="759">
        <v>6.5</v>
      </c>
      <c r="C1175" s="759">
        <v>5</v>
      </c>
      <c r="D1175" s="759">
        <v>2.8</v>
      </c>
      <c r="E1175" s="701">
        <v>1.65</v>
      </c>
      <c r="F1175" s="759">
        <v>4.2699999999999996</v>
      </c>
      <c r="H1175" s="759">
        <f t="shared" si="18"/>
        <v>7.0454999999999988</v>
      </c>
    </row>
    <row r="1176" spans="1:8">
      <c r="A1176" s="701">
        <v>0</v>
      </c>
      <c r="B1176" s="759">
        <v>6.5</v>
      </c>
      <c r="C1176" s="759">
        <v>5.25</v>
      </c>
      <c r="D1176" s="759">
        <v>2.8</v>
      </c>
      <c r="E1176" s="701">
        <v>1.65</v>
      </c>
      <c r="F1176" s="759">
        <v>4.2699999999999996</v>
      </c>
      <c r="H1176" s="759">
        <f t="shared" si="18"/>
        <v>7.0454999999999988</v>
      </c>
    </row>
    <row r="1177" spans="1:8">
      <c r="A1177" s="701">
        <v>0</v>
      </c>
      <c r="B1177" s="759">
        <v>6.5</v>
      </c>
      <c r="C1177" s="759">
        <v>5.5</v>
      </c>
      <c r="D1177" s="759">
        <v>2.8</v>
      </c>
      <c r="E1177" s="701">
        <v>1.65</v>
      </c>
      <c r="F1177" s="759">
        <v>4.2699999999999996</v>
      </c>
      <c r="H1177" s="759">
        <f t="shared" si="18"/>
        <v>7.0454999999999988</v>
      </c>
    </row>
    <row r="1178" spans="1:8">
      <c r="A1178" s="701">
        <v>0</v>
      </c>
      <c r="B1178" s="759">
        <v>6.5</v>
      </c>
      <c r="C1178" s="759">
        <v>5.75</v>
      </c>
      <c r="D1178" s="759">
        <v>2.8</v>
      </c>
      <c r="E1178" s="701">
        <v>1.65</v>
      </c>
      <c r="F1178" s="759">
        <v>4.2699999999999996</v>
      </c>
      <c r="H1178" s="759">
        <f t="shared" si="18"/>
        <v>7.0454999999999988</v>
      </c>
    </row>
    <row r="1179" spans="1:8">
      <c r="A1179" s="701">
        <v>0</v>
      </c>
      <c r="B1179" s="759">
        <v>6.5</v>
      </c>
      <c r="C1179" s="759">
        <v>6</v>
      </c>
      <c r="D1179" s="759">
        <v>2.8</v>
      </c>
      <c r="E1179" s="701">
        <v>1.65</v>
      </c>
      <c r="F1179" s="759">
        <v>4.2699999999999996</v>
      </c>
      <c r="H1179" s="759">
        <f t="shared" si="18"/>
        <v>7.0454999999999988</v>
      </c>
    </row>
    <row r="1180" spans="1:8">
      <c r="A1180" s="701">
        <v>0</v>
      </c>
      <c r="B1180" s="759">
        <v>6.5</v>
      </c>
      <c r="C1180" s="759">
        <v>6.25</v>
      </c>
      <c r="D1180" s="759">
        <v>2.8</v>
      </c>
      <c r="E1180" s="701">
        <v>1.65</v>
      </c>
      <c r="F1180" s="759">
        <v>4.2699999999999996</v>
      </c>
      <c r="H1180" s="759">
        <f t="shared" si="18"/>
        <v>7.0454999999999988</v>
      </c>
    </row>
    <row r="1181" spans="1:8">
      <c r="A1181" s="701">
        <v>0</v>
      </c>
      <c r="B1181" s="759">
        <v>6.5</v>
      </c>
      <c r="C1181" s="759">
        <v>6.5</v>
      </c>
      <c r="D1181" s="759">
        <v>2.8</v>
      </c>
      <c r="E1181" s="701">
        <v>1.65</v>
      </c>
      <c r="F1181" s="759">
        <v>4.2699999999999996</v>
      </c>
      <c r="H1181" s="759">
        <f t="shared" si="18"/>
        <v>7.0454999999999988</v>
      </c>
    </row>
    <row r="1182" spans="1:8">
      <c r="A1182" s="701">
        <v>0</v>
      </c>
      <c r="B1182" s="759">
        <v>6.5</v>
      </c>
      <c r="C1182" s="759">
        <v>6.75</v>
      </c>
      <c r="D1182" s="759">
        <v>2.8</v>
      </c>
      <c r="E1182" s="701">
        <v>1.65</v>
      </c>
      <c r="F1182" s="759">
        <v>4.2699999999999996</v>
      </c>
      <c r="H1182" s="759">
        <f t="shared" si="18"/>
        <v>7.0454999999999988</v>
      </c>
    </row>
    <row r="1183" spans="1:8">
      <c r="A1183" s="701">
        <v>0</v>
      </c>
      <c r="B1183" s="759">
        <v>6.5</v>
      </c>
      <c r="C1183" s="759">
        <v>7</v>
      </c>
      <c r="D1183" s="759">
        <v>2.8</v>
      </c>
      <c r="E1183" s="701">
        <v>1.65</v>
      </c>
      <c r="F1183" s="759">
        <v>4.2699999999999996</v>
      </c>
      <c r="H1183" s="759">
        <f t="shared" si="18"/>
        <v>7.0454999999999988</v>
      </c>
    </row>
    <row r="1184" spans="1:8">
      <c r="A1184" s="701">
        <v>0</v>
      </c>
      <c r="B1184" s="759">
        <v>6.5</v>
      </c>
      <c r="C1184" s="759">
        <v>7.5</v>
      </c>
      <c r="D1184" s="759">
        <v>2.8</v>
      </c>
      <c r="E1184" s="701">
        <v>1.65</v>
      </c>
      <c r="F1184" s="759">
        <v>4.2699999999999996</v>
      </c>
      <c r="H1184" s="759">
        <f t="shared" si="18"/>
        <v>7.0454999999999988</v>
      </c>
    </row>
    <row r="1185" spans="1:8">
      <c r="A1185" s="701">
        <v>0</v>
      </c>
      <c r="B1185" s="759">
        <v>6.5</v>
      </c>
      <c r="C1185" s="759">
        <v>8</v>
      </c>
      <c r="D1185" s="759">
        <v>2.8</v>
      </c>
      <c r="E1185" s="701">
        <v>1.65</v>
      </c>
      <c r="F1185" s="759">
        <v>4.2699999999999996</v>
      </c>
      <c r="H1185" s="759">
        <f t="shared" si="18"/>
        <v>7.0454999999999988</v>
      </c>
    </row>
    <row r="1186" spans="1:8">
      <c r="A1186" s="701">
        <v>0</v>
      </c>
      <c r="B1186" s="759">
        <v>7</v>
      </c>
      <c r="C1186" s="759">
        <v>3</v>
      </c>
      <c r="D1186" s="759">
        <v>2.8</v>
      </c>
      <c r="E1186" s="701">
        <v>1.65</v>
      </c>
      <c r="F1186" s="759">
        <v>4.5999999999999996</v>
      </c>
      <c r="H1186" s="759">
        <f t="shared" si="18"/>
        <v>7.589999999999999</v>
      </c>
    </row>
    <row r="1187" spans="1:8">
      <c r="A1187" s="701">
        <v>0</v>
      </c>
      <c r="B1187" s="759">
        <v>7</v>
      </c>
      <c r="C1187" s="759">
        <v>3.25</v>
      </c>
      <c r="D1187" s="759">
        <v>2.8</v>
      </c>
      <c r="E1187" s="701">
        <v>1.65</v>
      </c>
      <c r="F1187" s="759">
        <v>4.5999999999999996</v>
      </c>
      <c r="H1187" s="759">
        <f t="shared" si="18"/>
        <v>7.589999999999999</v>
      </c>
    </row>
    <row r="1188" spans="1:8">
      <c r="A1188" s="701">
        <v>0</v>
      </c>
      <c r="B1188" s="759">
        <v>7</v>
      </c>
      <c r="C1188" s="759">
        <v>3.5</v>
      </c>
      <c r="D1188" s="759">
        <v>2.8</v>
      </c>
      <c r="E1188" s="701">
        <v>1.65</v>
      </c>
      <c r="F1188" s="759">
        <v>4.5999999999999996</v>
      </c>
      <c r="H1188" s="759">
        <f t="shared" ref="H1188:H1242" si="19">F1188*E1188</f>
        <v>7.589999999999999</v>
      </c>
    </row>
    <row r="1189" spans="1:8">
      <c r="A1189" s="701">
        <v>0</v>
      </c>
      <c r="B1189" s="759">
        <v>7</v>
      </c>
      <c r="C1189" s="759">
        <v>3.75</v>
      </c>
      <c r="D1189" s="759">
        <v>2.8</v>
      </c>
      <c r="E1189" s="701">
        <v>1.65</v>
      </c>
      <c r="F1189" s="759">
        <v>4.5999999999999996</v>
      </c>
      <c r="H1189" s="759">
        <f t="shared" si="19"/>
        <v>7.589999999999999</v>
      </c>
    </row>
    <row r="1190" spans="1:8">
      <c r="A1190" s="701">
        <v>0</v>
      </c>
      <c r="B1190" s="759">
        <v>7</v>
      </c>
      <c r="C1190" s="759">
        <v>4</v>
      </c>
      <c r="D1190" s="759">
        <v>2.8</v>
      </c>
      <c r="E1190" s="701">
        <v>1.65</v>
      </c>
      <c r="F1190" s="759">
        <v>4.5999999999999996</v>
      </c>
      <c r="H1190" s="759">
        <f t="shared" si="19"/>
        <v>7.589999999999999</v>
      </c>
    </row>
    <row r="1191" spans="1:8">
      <c r="A1191" s="701">
        <v>0</v>
      </c>
      <c r="B1191" s="759">
        <v>7</v>
      </c>
      <c r="C1191" s="759">
        <v>4.25</v>
      </c>
      <c r="D1191" s="759">
        <v>2.8</v>
      </c>
      <c r="E1191" s="701">
        <v>1.65</v>
      </c>
      <c r="F1191" s="759">
        <v>4.5999999999999996</v>
      </c>
      <c r="H1191" s="759">
        <f t="shared" si="19"/>
        <v>7.589999999999999</v>
      </c>
    </row>
    <row r="1192" spans="1:8">
      <c r="A1192" s="701">
        <v>0</v>
      </c>
      <c r="B1192" s="759">
        <v>7</v>
      </c>
      <c r="C1192" s="759">
        <v>4.5</v>
      </c>
      <c r="D1192" s="759">
        <v>2.8</v>
      </c>
      <c r="E1192" s="701">
        <v>1.65</v>
      </c>
      <c r="F1192" s="759">
        <v>4.5999999999999996</v>
      </c>
      <c r="H1192" s="759">
        <f t="shared" si="19"/>
        <v>7.589999999999999</v>
      </c>
    </row>
    <row r="1193" spans="1:8">
      <c r="A1193" s="701">
        <v>0</v>
      </c>
      <c r="B1193" s="759">
        <v>7</v>
      </c>
      <c r="C1193" s="759">
        <v>4.75</v>
      </c>
      <c r="D1193" s="759">
        <v>2.8</v>
      </c>
      <c r="E1193" s="701">
        <v>1.65</v>
      </c>
      <c r="F1193" s="759">
        <v>4.5999999999999996</v>
      </c>
      <c r="H1193" s="759">
        <f t="shared" si="19"/>
        <v>7.589999999999999</v>
      </c>
    </row>
    <row r="1194" spans="1:8">
      <c r="A1194" s="701">
        <v>0</v>
      </c>
      <c r="B1194" s="759">
        <v>7</v>
      </c>
      <c r="C1194" s="759">
        <v>5</v>
      </c>
      <c r="D1194" s="759">
        <v>2.8</v>
      </c>
      <c r="E1194" s="701">
        <v>1.65</v>
      </c>
      <c r="F1194" s="759">
        <v>4.5999999999999996</v>
      </c>
      <c r="H1194" s="759">
        <f t="shared" si="19"/>
        <v>7.589999999999999</v>
      </c>
    </row>
    <row r="1195" spans="1:8">
      <c r="A1195" s="701">
        <v>0</v>
      </c>
      <c r="B1195" s="759">
        <v>7</v>
      </c>
      <c r="C1195" s="759">
        <v>5.25</v>
      </c>
      <c r="D1195" s="759">
        <v>2.8</v>
      </c>
      <c r="E1195" s="701">
        <v>1.65</v>
      </c>
      <c r="F1195" s="759">
        <v>4.5999999999999996</v>
      </c>
      <c r="H1195" s="759">
        <f t="shared" si="19"/>
        <v>7.589999999999999</v>
      </c>
    </row>
    <row r="1196" spans="1:8">
      <c r="A1196" s="701">
        <v>0</v>
      </c>
      <c r="B1196" s="759">
        <v>7</v>
      </c>
      <c r="C1196" s="759">
        <v>5.5</v>
      </c>
      <c r="D1196" s="759">
        <v>2.8</v>
      </c>
      <c r="E1196" s="701">
        <v>1.65</v>
      </c>
      <c r="F1196" s="759">
        <v>4.5999999999999996</v>
      </c>
      <c r="H1196" s="759">
        <f t="shared" si="19"/>
        <v>7.589999999999999</v>
      </c>
    </row>
    <row r="1197" spans="1:8">
      <c r="A1197" s="701">
        <v>0</v>
      </c>
      <c r="B1197" s="759">
        <v>7</v>
      </c>
      <c r="C1197" s="759">
        <v>5.75</v>
      </c>
      <c r="D1197" s="759">
        <v>2.8</v>
      </c>
      <c r="E1197" s="701">
        <v>1.65</v>
      </c>
      <c r="F1197" s="759">
        <v>4.5999999999999996</v>
      </c>
      <c r="H1197" s="759">
        <f t="shared" si="19"/>
        <v>7.589999999999999</v>
      </c>
    </row>
    <row r="1198" spans="1:8">
      <c r="A1198" s="701">
        <v>0</v>
      </c>
      <c r="B1198" s="759">
        <v>7</v>
      </c>
      <c r="C1198" s="759">
        <v>6</v>
      </c>
      <c r="D1198" s="759">
        <v>2.8</v>
      </c>
      <c r="E1198" s="701">
        <v>1.65</v>
      </c>
      <c r="F1198" s="759">
        <v>4.5999999999999996</v>
      </c>
      <c r="H1198" s="759">
        <f t="shared" si="19"/>
        <v>7.589999999999999</v>
      </c>
    </row>
    <row r="1199" spans="1:8">
      <c r="A1199" s="701">
        <v>0</v>
      </c>
      <c r="B1199" s="759">
        <v>7</v>
      </c>
      <c r="C1199" s="759">
        <v>6.25</v>
      </c>
      <c r="D1199" s="759">
        <v>2.8</v>
      </c>
      <c r="E1199" s="701">
        <v>1.65</v>
      </c>
      <c r="F1199" s="759">
        <v>4.5999999999999996</v>
      </c>
      <c r="H1199" s="759">
        <f t="shared" si="19"/>
        <v>7.589999999999999</v>
      </c>
    </row>
    <row r="1200" spans="1:8">
      <c r="A1200" s="701">
        <v>0</v>
      </c>
      <c r="B1200" s="759">
        <v>7</v>
      </c>
      <c r="C1200" s="759">
        <v>6.5</v>
      </c>
      <c r="D1200" s="759">
        <v>2.8</v>
      </c>
      <c r="E1200" s="701">
        <v>1.65</v>
      </c>
      <c r="F1200" s="759">
        <v>4.5999999999999996</v>
      </c>
      <c r="H1200" s="759">
        <f t="shared" si="19"/>
        <v>7.589999999999999</v>
      </c>
    </row>
    <row r="1201" spans="1:8">
      <c r="A1201" s="701">
        <v>0</v>
      </c>
      <c r="B1201" s="759">
        <v>7</v>
      </c>
      <c r="C1201" s="759">
        <v>6.75</v>
      </c>
      <c r="D1201" s="759">
        <v>2.8</v>
      </c>
      <c r="E1201" s="701">
        <v>1.65</v>
      </c>
      <c r="F1201" s="759">
        <v>4.5999999999999996</v>
      </c>
      <c r="H1201" s="759">
        <f t="shared" si="19"/>
        <v>7.589999999999999</v>
      </c>
    </row>
    <row r="1202" spans="1:8">
      <c r="A1202" s="701">
        <v>0</v>
      </c>
      <c r="B1202" s="759">
        <v>7</v>
      </c>
      <c r="C1202" s="759">
        <v>7</v>
      </c>
      <c r="D1202" s="759">
        <v>2.8</v>
      </c>
      <c r="E1202" s="701">
        <v>1.65</v>
      </c>
      <c r="F1202" s="759">
        <v>4.5999999999999996</v>
      </c>
      <c r="H1202" s="759">
        <f t="shared" si="19"/>
        <v>7.589999999999999</v>
      </c>
    </row>
    <row r="1203" spans="1:8">
      <c r="A1203" s="701">
        <v>0</v>
      </c>
      <c r="B1203" s="759">
        <v>7</v>
      </c>
      <c r="C1203" s="759">
        <v>7.5</v>
      </c>
      <c r="D1203" s="759">
        <v>2.8</v>
      </c>
      <c r="E1203" s="701">
        <v>1.65</v>
      </c>
      <c r="F1203" s="759">
        <v>4.5999999999999996</v>
      </c>
      <c r="H1203" s="759">
        <f t="shared" si="19"/>
        <v>7.589999999999999</v>
      </c>
    </row>
    <row r="1204" spans="1:8">
      <c r="A1204" s="701">
        <v>0</v>
      </c>
      <c r="B1204" s="759">
        <v>7</v>
      </c>
      <c r="C1204" s="759">
        <v>8</v>
      </c>
      <c r="D1204" s="759">
        <v>2.8</v>
      </c>
      <c r="E1204" s="701">
        <v>1.65</v>
      </c>
      <c r="F1204" s="759">
        <v>4.5999999999999996</v>
      </c>
      <c r="H1204" s="759">
        <f t="shared" si="19"/>
        <v>7.589999999999999</v>
      </c>
    </row>
    <row r="1205" spans="1:8">
      <c r="A1205" s="701">
        <v>0</v>
      </c>
      <c r="B1205" s="759">
        <v>7.5</v>
      </c>
      <c r="C1205" s="759">
        <v>3</v>
      </c>
      <c r="D1205" s="759">
        <v>2.8</v>
      </c>
      <c r="E1205" s="701">
        <v>1.65</v>
      </c>
      <c r="F1205" s="759">
        <v>4.93</v>
      </c>
      <c r="H1205" s="759">
        <f t="shared" si="19"/>
        <v>8.1344999999999992</v>
      </c>
    </row>
    <row r="1206" spans="1:8">
      <c r="A1206" s="701">
        <v>0</v>
      </c>
      <c r="B1206" s="759">
        <v>7.5</v>
      </c>
      <c r="C1206" s="759">
        <v>3.25</v>
      </c>
      <c r="D1206" s="759">
        <v>2.8</v>
      </c>
      <c r="E1206" s="701">
        <v>1.65</v>
      </c>
      <c r="F1206" s="759">
        <v>4.93</v>
      </c>
      <c r="H1206" s="759">
        <f t="shared" si="19"/>
        <v>8.1344999999999992</v>
      </c>
    </row>
    <row r="1207" spans="1:8">
      <c r="A1207" s="701">
        <v>0</v>
      </c>
      <c r="B1207" s="759">
        <v>7.5</v>
      </c>
      <c r="C1207" s="759">
        <v>3.5</v>
      </c>
      <c r="D1207" s="759">
        <v>2.8</v>
      </c>
      <c r="E1207" s="701">
        <v>1.65</v>
      </c>
      <c r="F1207" s="759">
        <v>4.93</v>
      </c>
      <c r="H1207" s="759">
        <f t="shared" si="19"/>
        <v>8.1344999999999992</v>
      </c>
    </row>
    <row r="1208" spans="1:8">
      <c r="A1208" s="701">
        <v>0</v>
      </c>
      <c r="B1208" s="759">
        <v>7.5</v>
      </c>
      <c r="C1208" s="759">
        <v>3.75</v>
      </c>
      <c r="D1208" s="759">
        <v>2.8</v>
      </c>
      <c r="E1208" s="701">
        <v>1.65</v>
      </c>
      <c r="F1208" s="759">
        <v>4.93</v>
      </c>
      <c r="H1208" s="759">
        <f t="shared" si="19"/>
        <v>8.1344999999999992</v>
      </c>
    </row>
    <row r="1209" spans="1:8">
      <c r="A1209" s="701">
        <v>0</v>
      </c>
      <c r="B1209" s="759">
        <v>7.5</v>
      </c>
      <c r="C1209" s="759">
        <v>4</v>
      </c>
      <c r="D1209" s="759">
        <v>2.8</v>
      </c>
      <c r="E1209" s="701">
        <v>1.65</v>
      </c>
      <c r="F1209" s="759">
        <v>4.93</v>
      </c>
      <c r="H1209" s="759">
        <f t="shared" si="19"/>
        <v>8.1344999999999992</v>
      </c>
    </row>
    <row r="1210" spans="1:8">
      <c r="A1210" s="701">
        <v>0</v>
      </c>
      <c r="B1210" s="759">
        <v>7.5</v>
      </c>
      <c r="C1210" s="759">
        <v>4.25</v>
      </c>
      <c r="D1210" s="759">
        <v>2.8</v>
      </c>
      <c r="E1210" s="701">
        <v>1.65</v>
      </c>
      <c r="F1210" s="759">
        <v>4.93</v>
      </c>
      <c r="H1210" s="759">
        <f t="shared" si="19"/>
        <v>8.1344999999999992</v>
      </c>
    </row>
    <row r="1211" spans="1:8">
      <c r="A1211" s="701">
        <v>0</v>
      </c>
      <c r="B1211" s="759">
        <v>7.5</v>
      </c>
      <c r="C1211" s="759">
        <v>4.5</v>
      </c>
      <c r="D1211" s="759">
        <v>2.8</v>
      </c>
      <c r="E1211" s="701">
        <v>1.65</v>
      </c>
      <c r="F1211" s="759">
        <v>4.93</v>
      </c>
      <c r="H1211" s="759">
        <f t="shared" si="19"/>
        <v>8.1344999999999992</v>
      </c>
    </row>
    <row r="1212" spans="1:8">
      <c r="A1212" s="701">
        <v>0</v>
      </c>
      <c r="B1212" s="759">
        <v>7.5</v>
      </c>
      <c r="C1212" s="759">
        <v>4.75</v>
      </c>
      <c r="D1212" s="759">
        <v>2.8</v>
      </c>
      <c r="E1212" s="701">
        <v>1.65</v>
      </c>
      <c r="F1212" s="759">
        <v>4.93</v>
      </c>
      <c r="H1212" s="759">
        <f t="shared" si="19"/>
        <v>8.1344999999999992</v>
      </c>
    </row>
    <row r="1213" spans="1:8">
      <c r="A1213" s="701">
        <v>0</v>
      </c>
      <c r="B1213" s="759">
        <v>7.5</v>
      </c>
      <c r="C1213" s="759">
        <v>5</v>
      </c>
      <c r="D1213" s="759">
        <v>2.8</v>
      </c>
      <c r="E1213" s="701">
        <v>1.65</v>
      </c>
      <c r="F1213" s="759">
        <v>4.93</v>
      </c>
      <c r="H1213" s="759">
        <f t="shared" si="19"/>
        <v>8.1344999999999992</v>
      </c>
    </row>
    <row r="1214" spans="1:8">
      <c r="A1214" s="701">
        <v>0</v>
      </c>
      <c r="B1214" s="759">
        <v>7.5</v>
      </c>
      <c r="C1214" s="759">
        <v>5.25</v>
      </c>
      <c r="D1214" s="759">
        <v>2.8</v>
      </c>
      <c r="E1214" s="701">
        <v>1.65</v>
      </c>
      <c r="F1214" s="759">
        <v>4.93</v>
      </c>
      <c r="H1214" s="759">
        <f t="shared" si="19"/>
        <v>8.1344999999999992</v>
      </c>
    </row>
    <row r="1215" spans="1:8">
      <c r="A1215" s="701">
        <v>0</v>
      </c>
      <c r="B1215" s="759">
        <v>7.5</v>
      </c>
      <c r="C1215" s="759">
        <v>5.5</v>
      </c>
      <c r="D1215" s="759">
        <v>2.8</v>
      </c>
      <c r="E1215" s="701">
        <v>1.65</v>
      </c>
      <c r="F1215" s="759">
        <v>4.93</v>
      </c>
      <c r="H1215" s="759">
        <f t="shared" si="19"/>
        <v>8.1344999999999992</v>
      </c>
    </row>
    <row r="1216" spans="1:8">
      <c r="A1216" s="701">
        <v>0</v>
      </c>
      <c r="B1216" s="759">
        <v>7.5</v>
      </c>
      <c r="C1216" s="759">
        <v>5.75</v>
      </c>
      <c r="D1216" s="759">
        <v>2.8</v>
      </c>
      <c r="E1216" s="701">
        <v>1.65</v>
      </c>
      <c r="F1216" s="759">
        <v>4.93</v>
      </c>
      <c r="H1216" s="759">
        <f t="shared" si="19"/>
        <v>8.1344999999999992</v>
      </c>
    </row>
    <row r="1217" spans="1:8">
      <c r="A1217" s="701">
        <v>0</v>
      </c>
      <c r="B1217" s="759">
        <v>7.5</v>
      </c>
      <c r="C1217" s="759">
        <v>6</v>
      </c>
      <c r="D1217" s="759">
        <v>2.8</v>
      </c>
      <c r="E1217" s="701">
        <v>1.65</v>
      </c>
      <c r="F1217" s="759">
        <v>4.93</v>
      </c>
      <c r="H1217" s="759">
        <f t="shared" si="19"/>
        <v>8.1344999999999992</v>
      </c>
    </row>
    <row r="1218" spans="1:8">
      <c r="A1218" s="701">
        <v>0</v>
      </c>
      <c r="B1218" s="759">
        <v>7.5</v>
      </c>
      <c r="C1218" s="759">
        <v>6.25</v>
      </c>
      <c r="D1218" s="759">
        <v>2.8</v>
      </c>
      <c r="E1218" s="701">
        <v>1.65</v>
      </c>
      <c r="F1218" s="759">
        <v>4.93</v>
      </c>
      <c r="H1218" s="759">
        <f t="shared" si="19"/>
        <v>8.1344999999999992</v>
      </c>
    </row>
    <row r="1219" spans="1:8">
      <c r="A1219" s="701">
        <v>0</v>
      </c>
      <c r="B1219" s="759">
        <v>7.5</v>
      </c>
      <c r="C1219" s="759">
        <v>6.5</v>
      </c>
      <c r="D1219" s="759">
        <v>2.8</v>
      </c>
      <c r="E1219" s="701">
        <v>1.65</v>
      </c>
      <c r="F1219" s="759">
        <v>4.93</v>
      </c>
      <c r="H1219" s="759">
        <f t="shared" si="19"/>
        <v>8.1344999999999992</v>
      </c>
    </row>
    <row r="1220" spans="1:8">
      <c r="A1220" s="701">
        <v>0</v>
      </c>
      <c r="B1220" s="759">
        <v>7.5</v>
      </c>
      <c r="C1220" s="759">
        <v>6.75</v>
      </c>
      <c r="D1220" s="759">
        <v>2.8</v>
      </c>
      <c r="E1220" s="701">
        <v>1.65</v>
      </c>
      <c r="F1220" s="759">
        <v>4.93</v>
      </c>
      <c r="H1220" s="759">
        <f t="shared" si="19"/>
        <v>8.1344999999999992</v>
      </c>
    </row>
    <row r="1221" spans="1:8">
      <c r="A1221" s="701">
        <v>0</v>
      </c>
      <c r="B1221" s="759">
        <v>7.5</v>
      </c>
      <c r="C1221" s="759">
        <v>7</v>
      </c>
      <c r="D1221" s="759">
        <v>2.8</v>
      </c>
      <c r="E1221" s="701">
        <v>1.65</v>
      </c>
      <c r="F1221" s="759">
        <v>4.93</v>
      </c>
      <c r="H1221" s="759">
        <f t="shared" si="19"/>
        <v>8.1344999999999992</v>
      </c>
    </row>
    <row r="1222" spans="1:8">
      <c r="A1222" s="701">
        <v>0</v>
      </c>
      <c r="B1222" s="759">
        <v>7.5</v>
      </c>
      <c r="C1222" s="759">
        <v>7.5</v>
      </c>
      <c r="D1222" s="759">
        <v>2.8</v>
      </c>
      <c r="E1222" s="701">
        <v>1.65</v>
      </c>
      <c r="F1222" s="759">
        <v>4.93</v>
      </c>
      <c r="H1222" s="759">
        <f t="shared" si="19"/>
        <v>8.1344999999999992</v>
      </c>
    </row>
    <row r="1223" spans="1:8">
      <c r="A1223" s="701">
        <v>0</v>
      </c>
      <c r="B1223" s="759">
        <v>7.5</v>
      </c>
      <c r="C1223" s="759">
        <v>8</v>
      </c>
      <c r="D1223" s="759">
        <v>2.8</v>
      </c>
      <c r="E1223" s="701">
        <v>1.65</v>
      </c>
      <c r="F1223" s="759">
        <v>4.93</v>
      </c>
      <c r="H1223" s="759">
        <f t="shared" si="19"/>
        <v>8.1344999999999992</v>
      </c>
    </row>
    <row r="1224" spans="1:8">
      <c r="A1224" s="701">
        <v>0</v>
      </c>
      <c r="B1224" s="759">
        <v>8</v>
      </c>
      <c r="C1224" s="759">
        <v>3</v>
      </c>
      <c r="D1224" s="759">
        <v>2.8</v>
      </c>
      <c r="E1224" s="701">
        <v>1.65</v>
      </c>
      <c r="F1224" s="759">
        <v>5.26</v>
      </c>
      <c r="H1224" s="759">
        <f t="shared" si="19"/>
        <v>8.6789999999999985</v>
      </c>
    </row>
    <row r="1225" spans="1:8">
      <c r="A1225" s="701">
        <v>0</v>
      </c>
      <c r="B1225" s="759">
        <v>8</v>
      </c>
      <c r="C1225" s="759">
        <v>3.25</v>
      </c>
      <c r="D1225" s="759">
        <v>2.8</v>
      </c>
      <c r="E1225" s="701">
        <v>1.65</v>
      </c>
      <c r="F1225" s="759">
        <v>5.26</v>
      </c>
      <c r="H1225" s="759">
        <f t="shared" si="19"/>
        <v>8.6789999999999985</v>
      </c>
    </row>
    <row r="1226" spans="1:8">
      <c r="A1226" s="701">
        <v>0</v>
      </c>
      <c r="B1226" s="759">
        <v>8</v>
      </c>
      <c r="C1226" s="759">
        <v>3.5</v>
      </c>
      <c r="D1226" s="759">
        <v>2.8</v>
      </c>
      <c r="E1226" s="701">
        <v>1.65</v>
      </c>
      <c r="F1226" s="759">
        <v>5.26</v>
      </c>
      <c r="H1226" s="759">
        <f t="shared" si="19"/>
        <v>8.6789999999999985</v>
      </c>
    </row>
    <row r="1227" spans="1:8">
      <c r="A1227" s="701">
        <v>0</v>
      </c>
      <c r="B1227" s="759">
        <v>8</v>
      </c>
      <c r="C1227" s="759">
        <v>3.75</v>
      </c>
      <c r="D1227" s="759">
        <v>2.8</v>
      </c>
      <c r="E1227" s="701">
        <v>1.65</v>
      </c>
      <c r="F1227" s="759">
        <v>5.26</v>
      </c>
      <c r="H1227" s="759">
        <f t="shared" si="19"/>
        <v>8.6789999999999985</v>
      </c>
    </row>
    <row r="1228" spans="1:8">
      <c r="A1228" s="701">
        <v>0</v>
      </c>
      <c r="B1228" s="759">
        <v>8</v>
      </c>
      <c r="C1228" s="759">
        <v>4</v>
      </c>
      <c r="D1228" s="759">
        <v>2.8</v>
      </c>
      <c r="E1228" s="701">
        <v>1.65</v>
      </c>
      <c r="F1228" s="759">
        <v>5.26</v>
      </c>
      <c r="H1228" s="759">
        <f t="shared" si="19"/>
        <v>8.6789999999999985</v>
      </c>
    </row>
    <row r="1229" spans="1:8">
      <c r="A1229" s="701">
        <v>0</v>
      </c>
      <c r="B1229" s="759">
        <v>8</v>
      </c>
      <c r="C1229" s="759">
        <v>4.25</v>
      </c>
      <c r="D1229" s="759">
        <v>2.8</v>
      </c>
      <c r="E1229" s="701">
        <v>1.65</v>
      </c>
      <c r="F1229" s="759">
        <v>5.26</v>
      </c>
      <c r="H1229" s="759">
        <f t="shared" si="19"/>
        <v>8.6789999999999985</v>
      </c>
    </row>
    <row r="1230" spans="1:8">
      <c r="A1230" s="701">
        <v>0</v>
      </c>
      <c r="B1230" s="759">
        <v>8</v>
      </c>
      <c r="C1230" s="759">
        <v>4.5</v>
      </c>
      <c r="D1230" s="759">
        <v>2.8</v>
      </c>
      <c r="E1230" s="701">
        <v>1.65</v>
      </c>
      <c r="F1230" s="759">
        <v>5.26</v>
      </c>
      <c r="H1230" s="759">
        <f t="shared" si="19"/>
        <v>8.6789999999999985</v>
      </c>
    </row>
    <row r="1231" spans="1:8">
      <c r="A1231" s="701">
        <v>0</v>
      </c>
      <c r="B1231" s="759">
        <v>8</v>
      </c>
      <c r="C1231" s="759">
        <v>4.75</v>
      </c>
      <c r="D1231" s="759">
        <v>2.8</v>
      </c>
      <c r="E1231" s="701">
        <v>1.65</v>
      </c>
      <c r="F1231" s="759">
        <v>5.26</v>
      </c>
      <c r="H1231" s="759">
        <f t="shared" si="19"/>
        <v>8.6789999999999985</v>
      </c>
    </row>
    <row r="1232" spans="1:8">
      <c r="A1232" s="701">
        <v>0</v>
      </c>
      <c r="B1232" s="759">
        <v>8</v>
      </c>
      <c r="C1232" s="759">
        <v>5</v>
      </c>
      <c r="D1232" s="759">
        <v>2.8</v>
      </c>
      <c r="E1232" s="701">
        <v>1.65</v>
      </c>
      <c r="F1232" s="759">
        <v>5.26</v>
      </c>
      <c r="H1232" s="759">
        <f t="shared" si="19"/>
        <v>8.6789999999999985</v>
      </c>
    </row>
    <row r="1233" spans="1:8">
      <c r="A1233" s="701">
        <v>0</v>
      </c>
      <c r="B1233" s="759">
        <v>8</v>
      </c>
      <c r="C1233" s="759">
        <v>5.25</v>
      </c>
      <c r="D1233" s="759">
        <v>2.8</v>
      </c>
      <c r="E1233" s="701">
        <v>1.65</v>
      </c>
      <c r="F1233" s="759">
        <v>5.26</v>
      </c>
      <c r="H1233" s="759">
        <f t="shared" si="19"/>
        <v>8.6789999999999985</v>
      </c>
    </row>
    <row r="1234" spans="1:8">
      <c r="A1234" s="701">
        <v>0</v>
      </c>
      <c r="B1234" s="759">
        <v>8</v>
      </c>
      <c r="C1234" s="759">
        <v>5.5</v>
      </c>
      <c r="D1234" s="759">
        <v>2.8</v>
      </c>
      <c r="E1234" s="701">
        <v>1.65</v>
      </c>
      <c r="F1234" s="759">
        <v>5.26</v>
      </c>
      <c r="H1234" s="759">
        <f t="shared" si="19"/>
        <v>8.6789999999999985</v>
      </c>
    </row>
    <row r="1235" spans="1:8">
      <c r="A1235" s="701">
        <v>0</v>
      </c>
      <c r="B1235" s="759">
        <v>8</v>
      </c>
      <c r="C1235" s="759">
        <v>5.75</v>
      </c>
      <c r="D1235" s="759">
        <v>2.8</v>
      </c>
      <c r="E1235" s="701">
        <v>1.65</v>
      </c>
      <c r="F1235" s="759">
        <v>5.26</v>
      </c>
      <c r="H1235" s="759">
        <f t="shared" si="19"/>
        <v>8.6789999999999985</v>
      </c>
    </row>
    <row r="1236" spans="1:8">
      <c r="A1236" s="701">
        <v>0</v>
      </c>
      <c r="B1236" s="759">
        <v>8</v>
      </c>
      <c r="C1236" s="759">
        <v>6</v>
      </c>
      <c r="D1236" s="759">
        <v>2.8</v>
      </c>
      <c r="E1236" s="701">
        <v>1.65</v>
      </c>
      <c r="F1236" s="759">
        <v>5.26</v>
      </c>
      <c r="H1236" s="759">
        <f t="shared" si="19"/>
        <v>8.6789999999999985</v>
      </c>
    </row>
    <row r="1237" spans="1:8">
      <c r="A1237" s="701">
        <v>0</v>
      </c>
      <c r="B1237" s="759">
        <v>8</v>
      </c>
      <c r="C1237" s="759">
        <v>6.25</v>
      </c>
      <c r="D1237" s="759">
        <v>2.8</v>
      </c>
      <c r="E1237" s="701">
        <v>1.65</v>
      </c>
      <c r="F1237" s="759">
        <v>5.26</v>
      </c>
      <c r="H1237" s="759">
        <f t="shared" si="19"/>
        <v>8.6789999999999985</v>
      </c>
    </row>
    <row r="1238" spans="1:8">
      <c r="A1238" s="701">
        <v>0</v>
      </c>
      <c r="B1238" s="759">
        <v>8</v>
      </c>
      <c r="C1238" s="759">
        <v>6.5</v>
      </c>
      <c r="D1238" s="759">
        <v>2.8</v>
      </c>
      <c r="E1238" s="701">
        <v>1.65</v>
      </c>
      <c r="F1238" s="759">
        <v>5.26</v>
      </c>
      <c r="H1238" s="759">
        <f t="shared" si="19"/>
        <v>8.6789999999999985</v>
      </c>
    </row>
    <row r="1239" spans="1:8">
      <c r="A1239" s="701">
        <v>0</v>
      </c>
      <c r="B1239" s="759">
        <v>8</v>
      </c>
      <c r="C1239" s="759">
        <v>6.75</v>
      </c>
      <c r="D1239" s="759">
        <v>2.8</v>
      </c>
      <c r="E1239" s="701">
        <v>1.65</v>
      </c>
      <c r="F1239" s="759">
        <v>5.26</v>
      </c>
      <c r="H1239" s="759">
        <f t="shared" si="19"/>
        <v>8.6789999999999985</v>
      </c>
    </row>
    <row r="1240" spans="1:8">
      <c r="A1240" s="701">
        <v>0</v>
      </c>
      <c r="B1240" s="759">
        <v>8</v>
      </c>
      <c r="C1240" s="759">
        <v>7</v>
      </c>
      <c r="D1240" s="759">
        <v>2.8</v>
      </c>
      <c r="E1240" s="701">
        <v>1.65</v>
      </c>
      <c r="F1240" s="759">
        <v>5.26</v>
      </c>
      <c r="H1240" s="759">
        <f t="shared" si="19"/>
        <v>8.6789999999999985</v>
      </c>
    </row>
    <row r="1241" spans="1:8">
      <c r="A1241" s="701">
        <v>0</v>
      </c>
      <c r="B1241" s="759">
        <v>8</v>
      </c>
      <c r="C1241" s="759">
        <v>7.5</v>
      </c>
      <c r="D1241" s="759">
        <v>2.8</v>
      </c>
      <c r="E1241" s="701">
        <v>1.65</v>
      </c>
      <c r="F1241" s="759">
        <v>5.26</v>
      </c>
      <c r="H1241" s="759">
        <f t="shared" si="19"/>
        <v>8.6789999999999985</v>
      </c>
    </row>
    <row r="1242" spans="1:8">
      <c r="A1242" s="701">
        <v>0</v>
      </c>
      <c r="B1242" s="759">
        <v>8</v>
      </c>
      <c r="C1242" s="759">
        <v>8</v>
      </c>
      <c r="D1242" s="759">
        <v>2.8</v>
      </c>
      <c r="E1242" s="701">
        <v>1.65</v>
      </c>
      <c r="F1242" s="759">
        <v>5.26</v>
      </c>
      <c r="H1242" s="759">
        <f t="shared" si="19"/>
        <v>8.6789999999999985</v>
      </c>
    </row>
    <row r="1244" spans="1:8">
      <c r="A1244" s="701">
        <v>0</v>
      </c>
      <c r="B1244" s="759">
        <v>2</v>
      </c>
      <c r="C1244" s="759">
        <v>3</v>
      </c>
      <c r="D1244" s="759">
        <v>2.9</v>
      </c>
      <c r="E1244" s="701">
        <v>1.75</v>
      </c>
      <c r="F1244" s="759">
        <v>1.31</v>
      </c>
      <c r="H1244" s="759">
        <f t="shared" ref="H1244:H1307" si="20">F1244*E1244</f>
        <v>2.2925</v>
      </c>
    </row>
    <row r="1245" spans="1:8">
      <c r="A1245" s="701">
        <v>0</v>
      </c>
      <c r="B1245" s="759">
        <v>2</v>
      </c>
      <c r="C1245" s="759">
        <v>3.25</v>
      </c>
      <c r="D1245" s="759">
        <v>2.9</v>
      </c>
      <c r="E1245" s="701">
        <v>1.75</v>
      </c>
      <c r="F1245" s="701">
        <v>1.31</v>
      </c>
      <c r="H1245" s="759">
        <f t="shared" si="20"/>
        <v>2.2925</v>
      </c>
    </row>
    <row r="1246" spans="1:8">
      <c r="A1246" s="701">
        <v>0</v>
      </c>
      <c r="B1246" s="759">
        <v>2</v>
      </c>
      <c r="C1246" s="759">
        <v>3.5</v>
      </c>
      <c r="D1246" s="759">
        <v>2.9</v>
      </c>
      <c r="E1246" s="701">
        <v>1.75</v>
      </c>
      <c r="F1246" s="701">
        <v>1.31</v>
      </c>
      <c r="H1246" s="759">
        <f t="shared" si="20"/>
        <v>2.2925</v>
      </c>
    </row>
    <row r="1247" spans="1:8">
      <c r="A1247" s="701">
        <v>0</v>
      </c>
      <c r="B1247" s="759">
        <v>2</v>
      </c>
      <c r="C1247" s="759">
        <v>3.75</v>
      </c>
      <c r="D1247" s="759">
        <v>2.9</v>
      </c>
      <c r="E1247" s="701">
        <v>1.75</v>
      </c>
      <c r="F1247" s="701">
        <v>1.31</v>
      </c>
      <c r="H1247" s="759">
        <f t="shared" si="20"/>
        <v>2.2925</v>
      </c>
    </row>
    <row r="1248" spans="1:8">
      <c r="A1248" s="701">
        <v>0</v>
      </c>
      <c r="B1248" s="759">
        <v>2</v>
      </c>
      <c r="C1248" s="759">
        <v>4</v>
      </c>
      <c r="D1248" s="759">
        <v>2.9</v>
      </c>
      <c r="E1248" s="701">
        <v>1.75</v>
      </c>
      <c r="F1248" s="701">
        <v>1.31</v>
      </c>
      <c r="H1248" s="759">
        <f t="shared" si="20"/>
        <v>2.2925</v>
      </c>
    </row>
    <row r="1249" spans="1:8">
      <c r="A1249" s="701">
        <v>0</v>
      </c>
      <c r="B1249" s="759">
        <v>2</v>
      </c>
      <c r="C1249" s="759">
        <v>4.25</v>
      </c>
      <c r="D1249" s="759">
        <v>2.9</v>
      </c>
      <c r="E1249" s="701">
        <v>1.75</v>
      </c>
      <c r="F1249" s="701">
        <v>1.31</v>
      </c>
      <c r="H1249" s="759">
        <f t="shared" si="20"/>
        <v>2.2925</v>
      </c>
    </row>
    <row r="1250" spans="1:8">
      <c r="A1250" s="701">
        <v>0</v>
      </c>
      <c r="B1250" s="759">
        <v>2</v>
      </c>
      <c r="C1250" s="759">
        <v>4.5</v>
      </c>
      <c r="D1250" s="759">
        <v>2.9</v>
      </c>
      <c r="E1250" s="701">
        <v>1.75</v>
      </c>
      <c r="F1250" s="701">
        <v>1.31</v>
      </c>
      <c r="H1250" s="759">
        <f t="shared" si="20"/>
        <v>2.2925</v>
      </c>
    </row>
    <row r="1251" spans="1:8">
      <c r="A1251" s="701">
        <v>0</v>
      </c>
      <c r="B1251" s="759">
        <v>2</v>
      </c>
      <c r="C1251" s="759">
        <v>4.75</v>
      </c>
      <c r="D1251" s="759">
        <v>2.9</v>
      </c>
      <c r="E1251" s="701">
        <v>1.75</v>
      </c>
      <c r="F1251" s="701">
        <v>1.31</v>
      </c>
      <c r="H1251" s="759">
        <f t="shared" si="20"/>
        <v>2.2925</v>
      </c>
    </row>
    <row r="1252" spans="1:8">
      <c r="A1252" s="701">
        <v>0</v>
      </c>
      <c r="B1252" s="759">
        <v>2</v>
      </c>
      <c r="C1252" s="759">
        <v>5</v>
      </c>
      <c r="D1252" s="759">
        <v>2.9</v>
      </c>
      <c r="E1252" s="701">
        <v>1.75</v>
      </c>
      <c r="F1252" s="701">
        <v>1.31</v>
      </c>
      <c r="H1252" s="759">
        <f t="shared" si="20"/>
        <v>2.2925</v>
      </c>
    </row>
    <row r="1253" spans="1:8">
      <c r="A1253" s="701">
        <v>0</v>
      </c>
      <c r="B1253" s="759">
        <v>2</v>
      </c>
      <c r="C1253" s="759">
        <v>5.25</v>
      </c>
      <c r="D1253" s="759">
        <v>2.9</v>
      </c>
      <c r="E1253" s="701">
        <v>1.75</v>
      </c>
      <c r="F1253" s="701">
        <v>1.31</v>
      </c>
      <c r="H1253" s="759">
        <f t="shared" si="20"/>
        <v>2.2925</v>
      </c>
    </row>
    <row r="1254" spans="1:8">
      <c r="A1254" s="701">
        <v>0</v>
      </c>
      <c r="B1254" s="759">
        <v>2</v>
      </c>
      <c r="C1254" s="759">
        <v>5.5</v>
      </c>
      <c r="D1254" s="759">
        <v>2.9</v>
      </c>
      <c r="E1254" s="701">
        <v>1.75</v>
      </c>
      <c r="F1254" s="701">
        <v>1.31</v>
      </c>
      <c r="H1254" s="759">
        <f t="shared" si="20"/>
        <v>2.2925</v>
      </c>
    </row>
    <row r="1255" spans="1:8">
      <c r="A1255" s="701">
        <v>0</v>
      </c>
      <c r="B1255" s="759">
        <v>2</v>
      </c>
      <c r="C1255" s="759">
        <v>5.75</v>
      </c>
      <c r="D1255" s="759">
        <v>2.9</v>
      </c>
      <c r="E1255" s="701">
        <v>1.75</v>
      </c>
      <c r="F1255" s="701">
        <v>1.31</v>
      </c>
      <c r="H1255" s="759">
        <f t="shared" si="20"/>
        <v>2.2925</v>
      </c>
    </row>
    <row r="1256" spans="1:8">
      <c r="A1256" s="701">
        <v>0</v>
      </c>
      <c r="B1256" s="759">
        <v>2</v>
      </c>
      <c r="C1256" s="759">
        <v>6</v>
      </c>
      <c r="D1256" s="759">
        <v>2.9</v>
      </c>
      <c r="E1256" s="701">
        <v>1.75</v>
      </c>
      <c r="F1256" s="701">
        <v>1.31</v>
      </c>
      <c r="H1256" s="759">
        <f t="shared" si="20"/>
        <v>2.2925</v>
      </c>
    </row>
    <row r="1257" spans="1:8">
      <c r="A1257" s="701">
        <v>0</v>
      </c>
      <c r="B1257" s="759">
        <v>2</v>
      </c>
      <c r="C1257" s="759">
        <v>6.25</v>
      </c>
      <c r="D1257" s="759">
        <v>2.9</v>
      </c>
      <c r="E1257" s="701">
        <v>1.75</v>
      </c>
      <c r="F1257" s="701">
        <v>1.31</v>
      </c>
      <c r="H1257" s="759">
        <f t="shared" si="20"/>
        <v>2.2925</v>
      </c>
    </row>
    <row r="1258" spans="1:8">
      <c r="A1258" s="701">
        <v>0</v>
      </c>
      <c r="B1258" s="759">
        <v>2</v>
      </c>
      <c r="C1258" s="759">
        <v>6.5</v>
      </c>
      <c r="D1258" s="759">
        <v>2.9</v>
      </c>
      <c r="E1258" s="701">
        <v>1.75</v>
      </c>
      <c r="F1258" s="701">
        <v>1.31</v>
      </c>
      <c r="H1258" s="759">
        <f t="shared" si="20"/>
        <v>2.2925</v>
      </c>
    </row>
    <row r="1259" spans="1:8">
      <c r="A1259" s="701">
        <v>0</v>
      </c>
      <c r="B1259" s="759">
        <v>2</v>
      </c>
      <c r="C1259" s="759">
        <v>6.75</v>
      </c>
      <c r="D1259" s="759">
        <v>2.9</v>
      </c>
      <c r="E1259" s="701">
        <v>1.75</v>
      </c>
      <c r="F1259" s="701">
        <v>1.31</v>
      </c>
      <c r="H1259" s="759">
        <f t="shared" si="20"/>
        <v>2.2925</v>
      </c>
    </row>
    <row r="1260" spans="1:8">
      <c r="A1260" s="701">
        <v>0</v>
      </c>
      <c r="B1260" s="759">
        <v>2</v>
      </c>
      <c r="C1260" s="759">
        <v>7</v>
      </c>
      <c r="D1260" s="759">
        <v>2.9</v>
      </c>
      <c r="E1260" s="701">
        <v>1.75</v>
      </c>
      <c r="F1260" s="701">
        <v>1.31</v>
      </c>
      <c r="H1260" s="759">
        <f t="shared" si="20"/>
        <v>2.2925</v>
      </c>
    </row>
    <row r="1261" spans="1:8">
      <c r="A1261" s="701">
        <v>0</v>
      </c>
      <c r="B1261" s="759">
        <v>2</v>
      </c>
      <c r="C1261" s="759">
        <v>7.5</v>
      </c>
      <c r="D1261" s="759">
        <v>2.9</v>
      </c>
      <c r="E1261" s="701">
        <v>1.75</v>
      </c>
      <c r="F1261" s="701">
        <v>1.31</v>
      </c>
      <c r="H1261" s="759">
        <f t="shared" si="20"/>
        <v>2.2925</v>
      </c>
    </row>
    <row r="1262" spans="1:8">
      <c r="A1262" s="701">
        <v>0</v>
      </c>
      <c r="B1262" s="759">
        <v>2</v>
      </c>
      <c r="C1262" s="759">
        <v>8</v>
      </c>
      <c r="D1262" s="759">
        <v>2.9</v>
      </c>
      <c r="E1262" s="701">
        <v>1.75</v>
      </c>
      <c r="F1262" s="701">
        <v>1.31</v>
      </c>
      <c r="H1262" s="759">
        <f t="shared" si="20"/>
        <v>2.2925</v>
      </c>
    </row>
    <row r="1263" spans="1:8">
      <c r="A1263" s="701">
        <v>0</v>
      </c>
      <c r="B1263" s="759">
        <v>2.5</v>
      </c>
      <c r="C1263" s="759">
        <v>3</v>
      </c>
      <c r="D1263" s="759">
        <v>2.9</v>
      </c>
      <c r="E1263" s="701">
        <v>1.75</v>
      </c>
      <c r="F1263" s="759">
        <v>1.64</v>
      </c>
      <c r="H1263" s="759">
        <f t="shared" si="20"/>
        <v>2.8699999999999997</v>
      </c>
    </row>
    <row r="1264" spans="1:8">
      <c r="A1264" s="701">
        <v>0</v>
      </c>
      <c r="B1264" s="759">
        <v>2.5</v>
      </c>
      <c r="C1264" s="759">
        <v>3.25</v>
      </c>
      <c r="D1264" s="759">
        <v>2.9</v>
      </c>
      <c r="E1264" s="701">
        <v>1.75</v>
      </c>
      <c r="F1264" s="701">
        <v>1.64</v>
      </c>
      <c r="H1264" s="759">
        <f t="shared" si="20"/>
        <v>2.8699999999999997</v>
      </c>
    </row>
    <row r="1265" spans="1:8">
      <c r="A1265" s="701">
        <v>0</v>
      </c>
      <c r="B1265" s="759">
        <v>2.5</v>
      </c>
      <c r="C1265" s="759">
        <v>3.5</v>
      </c>
      <c r="D1265" s="759">
        <v>2.9</v>
      </c>
      <c r="E1265" s="701">
        <v>1.75</v>
      </c>
      <c r="F1265" s="701">
        <v>1.64</v>
      </c>
      <c r="H1265" s="759">
        <f t="shared" si="20"/>
        <v>2.8699999999999997</v>
      </c>
    </row>
    <row r="1266" spans="1:8">
      <c r="A1266" s="701">
        <v>0</v>
      </c>
      <c r="B1266" s="759">
        <v>2.5</v>
      </c>
      <c r="C1266" s="759">
        <v>3.75</v>
      </c>
      <c r="D1266" s="759">
        <v>2.9</v>
      </c>
      <c r="E1266" s="701">
        <v>1.75</v>
      </c>
      <c r="F1266" s="701">
        <v>1.64</v>
      </c>
      <c r="H1266" s="759">
        <f t="shared" si="20"/>
        <v>2.8699999999999997</v>
      </c>
    </row>
    <row r="1267" spans="1:8">
      <c r="A1267" s="701">
        <v>0</v>
      </c>
      <c r="B1267" s="759">
        <v>2.5</v>
      </c>
      <c r="C1267" s="759">
        <v>4</v>
      </c>
      <c r="D1267" s="759">
        <v>2.9</v>
      </c>
      <c r="E1267" s="701">
        <v>1.75</v>
      </c>
      <c r="F1267" s="701">
        <v>1.64</v>
      </c>
      <c r="H1267" s="759">
        <f t="shared" si="20"/>
        <v>2.8699999999999997</v>
      </c>
    </row>
    <row r="1268" spans="1:8">
      <c r="A1268" s="701">
        <v>0</v>
      </c>
      <c r="B1268" s="759">
        <v>2.5</v>
      </c>
      <c r="C1268" s="759">
        <v>4.25</v>
      </c>
      <c r="D1268" s="759">
        <v>2.9</v>
      </c>
      <c r="E1268" s="701">
        <v>1.75</v>
      </c>
      <c r="F1268" s="701">
        <v>1.64</v>
      </c>
      <c r="H1268" s="759">
        <f t="shared" si="20"/>
        <v>2.8699999999999997</v>
      </c>
    </row>
    <row r="1269" spans="1:8">
      <c r="A1269" s="701">
        <v>0</v>
      </c>
      <c r="B1269" s="759">
        <v>2.5</v>
      </c>
      <c r="C1269" s="759">
        <v>4.5</v>
      </c>
      <c r="D1269" s="759">
        <v>2.9</v>
      </c>
      <c r="E1269" s="701">
        <v>1.75</v>
      </c>
      <c r="F1269" s="701">
        <v>1.64</v>
      </c>
      <c r="H1269" s="759">
        <f t="shared" si="20"/>
        <v>2.8699999999999997</v>
      </c>
    </row>
    <row r="1270" spans="1:8">
      <c r="A1270" s="701">
        <v>0</v>
      </c>
      <c r="B1270" s="759">
        <v>2.5</v>
      </c>
      <c r="C1270" s="759">
        <v>4.75</v>
      </c>
      <c r="D1270" s="759">
        <v>2.9</v>
      </c>
      <c r="E1270" s="701">
        <v>1.75</v>
      </c>
      <c r="F1270" s="701">
        <v>1.64</v>
      </c>
      <c r="H1270" s="759">
        <f t="shared" si="20"/>
        <v>2.8699999999999997</v>
      </c>
    </row>
    <row r="1271" spans="1:8">
      <c r="A1271" s="701">
        <v>0</v>
      </c>
      <c r="B1271" s="759">
        <v>2.5</v>
      </c>
      <c r="C1271" s="759">
        <v>5</v>
      </c>
      <c r="D1271" s="759">
        <v>2.9</v>
      </c>
      <c r="E1271" s="701">
        <v>1.75</v>
      </c>
      <c r="F1271" s="701">
        <v>1.64</v>
      </c>
      <c r="H1271" s="759">
        <f t="shared" si="20"/>
        <v>2.8699999999999997</v>
      </c>
    </row>
    <row r="1272" spans="1:8">
      <c r="A1272" s="701">
        <v>0</v>
      </c>
      <c r="B1272" s="759">
        <v>2.5</v>
      </c>
      <c r="C1272" s="759">
        <v>5.25</v>
      </c>
      <c r="D1272" s="759">
        <v>2.9</v>
      </c>
      <c r="E1272" s="701">
        <v>1.75</v>
      </c>
      <c r="F1272" s="701">
        <v>1.64</v>
      </c>
      <c r="H1272" s="759">
        <f t="shared" si="20"/>
        <v>2.8699999999999997</v>
      </c>
    </row>
    <row r="1273" spans="1:8">
      <c r="A1273" s="701">
        <v>0</v>
      </c>
      <c r="B1273" s="759">
        <v>2.5</v>
      </c>
      <c r="C1273" s="759">
        <v>5.5</v>
      </c>
      <c r="D1273" s="759">
        <v>2.9</v>
      </c>
      <c r="E1273" s="701">
        <v>1.75</v>
      </c>
      <c r="F1273" s="701">
        <v>1.64</v>
      </c>
      <c r="H1273" s="759">
        <f t="shared" si="20"/>
        <v>2.8699999999999997</v>
      </c>
    </row>
    <row r="1274" spans="1:8">
      <c r="A1274" s="701">
        <v>0</v>
      </c>
      <c r="B1274" s="759">
        <v>2.5</v>
      </c>
      <c r="C1274" s="759">
        <v>5.75</v>
      </c>
      <c r="D1274" s="759">
        <v>2.9</v>
      </c>
      <c r="E1274" s="701">
        <v>1.75</v>
      </c>
      <c r="F1274" s="701">
        <v>1.64</v>
      </c>
      <c r="H1274" s="759">
        <f t="shared" si="20"/>
        <v>2.8699999999999997</v>
      </c>
    </row>
    <row r="1275" spans="1:8">
      <c r="A1275" s="701">
        <v>0</v>
      </c>
      <c r="B1275" s="759">
        <v>2.5</v>
      </c>
      <c r="C1275" s="759">
        <v>6</v>
      </c>
      <c r="D1275" s="759">
        <v>2.9</v>
      </c>
      <c r="E1275" s="701">
        <v>1.75</v>
      </c>
      <c r="F1275" s="701">
        <v>1.64</v>
      </c>
      <c r="H1275" s="759">
        <f t="shared" si="20"/>
        <v>2.8699999999999997</v>
      </c>
    </row>
    <row r="1276" spans="1:8">
      <c r="A1276" s="701">
        <v>0</v>
      </c>
      <c r="B1276" s="759">
        <v>2.5</v>
      </c>
      <c r="C1276" s="759">
        <v>6.25</v>
      </c>
      <c r="D1276" s="759">
        <v>2.9</v>
      </c>
      <c r="E1276" s="701">
        <v>1.75</v>
      </c>
      <c r="F1276" s="701">
        <v>1.64</v>
      </c>
      <c r="H1276" s="759">
        <f t="shared" si="20"/>
        <v>2.8699999999999997</v>
      </c>
    </row>
    <row r="1277" spans="1:8">
      <c r="A1277" s="701">
        <v>0</v>
      </c>
      <c r="B1277" s="759">
        <v>2.5</v>
      </c>
      <c r="C1277" s="759">
        <v>6.5</v>
      </c>
      <c r="D1277" s="759">
        <v>2.9</v>
      </c>
      <c r="E1277" s="701">
        <v>1.75</v>
      </c>
      <c r="F1277" s="701">
        <v>1.64</v>
      </c>
      <c r="H1277" s="759">
        <f t="shared" si="20"/>
        <v>2.8699999999999997</v>
      </c>
    </row>
    <row r="1278" spans="1:8">
      <c r="A1278" s="701">
        <v>0</v>
      </c>
      <c r="B1278" s="759">
        <v>2.5</v>
      </c>
      <c r="C1278" s="759">
        <v>6.75</v>
      </c>
      <c r="D1278" s="759">
        <v>2.9</v>
      </c>
      <c r="E1278" s="701">
        <v>1.75</v>
      </c>
      <c r="F1278" s="701">
        <v>1.64</v>
      </c>
      <c r="H1278" s="759">
        <f t="shared" si="20"/>
        <v>2.8699999999999997</v>
      </c>
    </row>
    <row r="1279" spans="1:8">
      <c r="A1279" s="701">
        <v>0</v>
      </c>
      <c r="B1279" s="759">
        <v>2.5</v>
      </c>
      <c r="C1279" s="759">
        <v>7</v>
      </c>
      <c r="D1279" s="759">
        <v>2.9</v>
      </c>
      <c r="E1279" s="701">
        <v>1.75</v>
      </c>
      <c r="F1279" s="701">
        <v>1.64</v>
      </c>
      <c r="H1279" s="759">
        <f t="shared" si="20"/>
        <v>2.8699999999999997</v>
      </c>
    </row>
    <row r="1280" spans="1:8">
      <c r="A1280" s="701">
        <v>0</v>
      </c>
      <c r="B1280" s="759">
        <v>2.5</v>
      </c>
      <c r="C1280" s="759">
        <v>7.5</v>
      </c>
      <c r="D1280" s="759">
        <v>2.9</v>
      </c>
      <c r="E1280" s="701">
        <v>1.75</v>
      </c>
      <c r="F1280" s="701">
        <v>1.64</v>
      </c>
      <c r="H1280" s="759">
        <f t="shared" si="20"/>
        <v>2.8699999999999997</v>
      </c>
    </row>
    <row r="1281" spans="1:8">
      <c r="A1281" s="701">
        <v>0</v>
      </c>
      <c r="B1281" s="759">
        <v>2.5</v>
      </c>
      <c r="C1281" s="759">
        <v>8</v>
      </c>
      <c r="D1281" s="759">
        <v>2.9</v>
      </c>
      <c r="E1281" s="701">
        <v>1.75</v>
      </c>
      <c r="F1281" s="701">
        <v>1.64</v>
      </c>
      <c r="H1281" s="759">
        <f t="shared" si="20"/>
        <v>2.8699999999999997</v>
      </c>
    </row>
    <row r="1282" spans="1:8">
      <c r="A1282" s="701">
        <v>0</v>
      </c>
      <c r="B1282" s="759">
        <v>3</v>
      </c>
      <c r="C1282" s="759">
        <v>3</v>
      </c>
      <c r="D1282" s="759">
        <v>2.9</v>
      </c>
      <c r="E1282" s="701">
        <v>1.75</v>
      </c>
      <c r="F1282" s="701">
        <v>1.97</v>
      </c>
      <c r="H1282" s="759">
        <f t="shared" si="20"/>
        <v>3.4474999999999998</v>
      </c>
    </row>
    <row r="1283" spans="1:8">
      <c r="A1283" s="701">
        <v>0</v>
      </c>
      <c r="B1283" s="759">
        <v>3</v>
      </c>
      <c r="C1283" s="759">
        <v>3.25</v>
      </c>
      <c r="D1283" s="759">
        <v>2.9</v>
      </c>
      <c r="E1283" s="701">
        <v>1.75</v>
      </c>
      <c r="F1283" s="701">
        <v>1.97</v>
      </c>
      <c r="H1283" s="759">
        <f t="shared" si="20"/>
        <v>3.4474999999999998</v>
      </c>
    </row>
    <row r="1284" spans="1:8">
      <c r="A1284" s="701">
        <v>0</v>
      </c>
      <c r="B1284" s="759">
        <v>3</v>
      </c>
      <c r="C1284" s="759">
        <v>3.5</v>
      </c>
      <c r="D1284" s="759">
        <v>2.9</v>
      </c>
      <c r="E1284" s="701">
        <v>1.75</v>
      </c>
      <c r="F1284" s="701">
        <v>1.97</v>
      </c>
      <c r="H1284" s="759">
        <f t="shared" si="20"/>
        <v>3.4474999999999998</v>
      </c>
    </row>
    <row r="1285" spans="1:8">
      <c r="A1285" s="701">
        <v>0</v>
      </c>
      <c r="B1285" s="759">
        <v>3</v>
      </c>
      <c r="C1285" s="759">
        <v>3.75</v>
      </c>
      <c r="D1285" s="759">
        <v>2.9</v>
      </c>
      <c r="E1285" s="701">
        <v>1.75</v>
      </c>
      <c r="F1285" s="701">
        <v>1.97</v>
      </c>
      <c r="H1285" s="759">
        <f t="shared" si="20"/>
        <v>3.4474999999999998</v>
      </c>
    </row>
    <row r="1286" spans="1:8">
      <c r="A1286" s="701">
        <v>0</v>
      </c>
      <c r="B1286" s="759">
        <v>3</v>
      </c>
      <c r="C1286" s="759">
        <v>4</v>
      </c>
      <c r="D1286" s="759">
        <v>2.9</v>
      </c>
      <c r="E1286" s="701">
        <v>1.75</v>
      </c>
      <c r="F1286" s="701">
        <v>1.97</v>
      </c>
      <c r="H1286" s="759">
        <f t="shared" si="20"/>
        <v>3.4474999999999998</v>
      </c>
    </row>
    <row r="1287" spans="1:8">
      <c r="A1287" s="701">
        <v>0</v>
      </c>
      <c r="B1287" s="759">
        <v>3</v>
      </c>
      <c r="C1287" s="759">
        <v>4.25</v>
      </c>
      <c r="D1287" s="759">
        <v>2.9</v>
      </c>
      <c r="E1287" s="701">
        <v>1.75</v>
      </c>
      <c r="F1287" s="701">
        <v>1.97</v>
      </c>
      <c r="H1287" s="759">
        <f t="shared" si="20"/>
        <v>3.4474999999999998</v>
      </c>
    </row>
    <row r="1288" spans="1:8">
      <c r="A1288" s="701">
        <v>0</v>
      </c>
      <c r="B1288" s="759">
        <v>3</v>
      </c>
      <c r="C1288" s="759">
        <v>4.5</v>
      </c>
      <c r="D1288" s="759">
        <v>2.9</v>
      </c>
      <c r="E1288" s="701">
        <v>1.75</v>
      </c>
      <c r="F1288" s="701">
        <v>1.97</v>
      </c>
      <c r="H1288" s="759">
        <f t="shared" si="20"/>
        <v>3.4474999999999998</v>
      </c>
    </row>
    <row r="1289" spans="1:8">
      <c r="A1289" s="701">
        <v>0</v>
      </c>
      <c r="B1289" s="759">
        <v>3</v>
      </c>
      <c r="C1289" s="759">
        <v>4.75</v>
      </c>
      <c r="D1289" s="759">
        <v>2.9</v>
      </c>
      <c r="E1289" s="701">
        <v>1.75</v>
      </c>
      <c r="F1289" s="701">
        <v>1.97</v>
      </c>
      <c r="H1289" s="759">
        <f t="shared" si="20"/>
        <v>3.4474999999999998</v>
      </c>
    </row>
    <row r="1290" spans="1:8">
      <c r="A1290" s="701">
        <v>0</v>
      </c>
      <c r="B1290" s="759">
        <v>3</v>
      </c>
      <c r="C1290" s="759">
        <v>5</v>
      </c>
      <c r="D1290" s="759">
        <v>2.9</v>
      </c>
      <c r="E1290" s="701">
        <v>1.75</v>
      </c>
      <c r="F1290" s="701">
        <v>1.97</v>
      </c>
      <c r="H1290" s="759">
        <f t="shared" si="20"/>
        <v>3.4474999999999998</v>
      </c>
    </row>
    <row r="1291" spans="1:8">
      <c r="A1291" s="701">
        <v>0</v>
      </c>
      <c r="B1291" s="759">
        <v>3</v>
      </c>
      <c r="C1291" s="759">
        <v>5.25</v>
      </c>
      <c r="D1291" s="759">
        <v>2.9</v>
      </c>
      <c r="E1291" s="701">
        <v>1.75</v>
      </c>
      <c r="F1291" s="701">
        <v>1.97</v>
      </c>
      <c r="H1291" s="759">
        <f t="shared" si="20"/>
        <v>3.4474999999999998</v>
      </c>
    </row>
    <row r="1292" spans="1:8">
      <c r="A1292" s="701">
        <v>0</v>
      </c>
      <c r="B1292" s="759">
        <v>3</v>
      </c>
      <c r="C1292" s="759">
        <v>5.5</v>
      </c>
      <c r="D1292" s="759">
        <v>2.9</v>
      </c>
      <c r="E1292" s="701">
        <v>1.75</v>
      </c>
      <c r="F1292" s="701">
        <v>1.97</v>
      </c>
      <c r="H1292" s="759">
        <f t="shared" si="20"/>
        <v>3.4474999999999998</v>
      </c>
    </row>
    <row r="1293" spans="1:8">
      <c r="A1293" s="701">
        <v>0</v>
      </c>
      <c r="B1293" s="759">
        <v>3</v>
      </c>
      <c r="C1293" s="759">
        <v>5.75</v>
      </c>
      <c r="D1293" s="759">
        <v>2.9</v>
      </c>
      <c r="E1293" s="701">
        <v>1.75</v>
      </c>
      <c r="F1293" s="701">
        <v>1.97</v>
      </c>
      <c r="H1293" s="759">
        <f t="shared" si="20"/>
        <v>3.4474999999999998</v>
      </c>
    </row>
    <row r="1294" spans="1:8">
      <c r="A1294" s="701">
        <v>0</v>
      </c>
      <c r="B1294" s="759">
        <v>3</v>
      </c>
      <c r="C1294" s="759">
        <v>6</v>
      </c>
      <c r="D1294" s="759">
        <v>2.9</v>
      </c>
      <c r="E1294" s="701">
        <v>1.75</v>
      </c>
      <c r="F1294" s="701">
        <v>1.97</v>
      </c>
      <c r="H1294" s="759">
        <f t="shared" si="20"/>
        <v>3.4474999999999998</v>
      </c>
    </row>
    <row r="1295" spans="1:8">
      <c r="A1295" s="701">
        <v>0</v>
      </c>
      <c r="B1295" s="759">
        <v>3</v>
      </c>
      <c r="C1295" s="759">
        <v>6.25</v>
      </c>
      <c r="D1295" s="759">
        <v>2.9</v>
      </c>
      <c r="E1295" s="701">
        <v>1.75</v>
      </c>
      <c r="F1295" s="701">
        <v>1.97</v>
      </c>
      <c r="H1295" s="759">
        <f t="shared" si="20"/>
        <v>3.4474999999999998</v>
      </c>
    </row>
    <row r="1296" spans="1:8">
      <c r="A1296" s="701">
        <v>0</v>
      </c>
      <c r="B1296" s="759">
        <v>3</v>
      </c>
      <c r="C1296" s="759">
        <v>6.5</v>
      </c>
      <c r="D1296" s="759">
        <v>2.9</v>
      </c>
      <c r="E1296" s="701">
        <v>1.75</v>
      </c>
      <c r="F1296" s="701">
        <v>1.97</v>
      </c>
      <c r="H1296" s="759">
        <f t="shared" si="20"/>
        <v>3.4474999999999998</v>
      </c>
    </row>
    <row r="1297" spans="1:8">
      <c r="A1297" s="701">
        <v>0</v>
      </c>
      <c r="B1297" s="759">
        <v>3</v>
      </c>
      <c r="C1297" s="759">
        <v>6.75</v>
      </c>
      <c r="D1297" s="759">
        <v>2.9</v>
      </c>
      <c r="E1297" s="701">
        <v>1.75</v>
      </c>
      <c r="F1297" s="701">
        <v>1.97</v>
      </c>
      <c r="H1297" s="759">
        <f t="shared" si="20"/>
        <v>3.4474999999999998</v>
      </c>
    </row>
    <row r="1298" spans="1:8">
      <c r="A1298" s="701">
        <v>0</v>
      </c>
      <c r="B1298" s="759">
        <v>3</v>
      </c>
      <c r="C1298" s="759">
        <v>7</v>
      </c>
      <c r="D1298" s="759">
        <v>2.9</v>
      </c>
      <c r="E1298" s="701">
        <v>1.75</v>
      </c>
      <c r="F1298" s="701">
        <v>1.97</v>
      </c>
      <c r="H1298" s="759">
        <f t="shared" si="20"/>
        <v>3.4474999999999998</v>
      </c>
    </row>
    <row r="1299" spans="1:8">
      <c r="A1299" s="701">
        <v>0</v>
      </c>
      <c r="B1299" s="759">
        <v>3</v>
      </c>
      <c r="C1299" s="759">
        <v>7.5</v>
      </c>
      <c r="D1299" s="759">
        <v>2.9</v>
      </c>
      <c r="E1299" s="701">
        <v>1.75</v>
      </c>
      <c r="F1299" s="701">
        <v>1.97</v>
      </c>
      <c r="H1299" s="759">
        <f t="shared" si="20"/>
        <v>3.4474999999999998</v>
      </c>
    </row>
    <row r="1300" spans="1:8">
      <c r="A1300" s="701">
        <v>0</v>
      </c>
      <c r="B1300" s="759">
        <v>3</v>
      </c>
      <c r="C1300" s="759">
        <v>8</v>
      </c>
      <c r="D1300" s="759">
        <v>2.9</v>
      </c>
      <c r="E1300" s="701">
        <v>1.75</v>
      </c>
      <c r="F1300" s="701">
        <v>1.97</v>
      </c>
      <c r="H1300" s="759">
        <f t="shared" si="20"/>
        <v>3.4474999999999998</v>
      </c>
    </row>
    <row r="1301" spans="1:8">
      <c r="A1301" s="701">
        <v>0</v>
      </c>
      <c r="B1301" s="759">
        <v>3.5</v>
      </c>
      <c r="C1301" s="759">
        <v>3</v>
      </c>
      <c r="D1301" s="759">
        <v>2.9</v>
      </c>
      <c r="E1301" s="701">
        <v>1.75</v>
      </c>
      <c r="F1301" s="759">
        <v>2.2999999999999998</v>
      </c>
      <c r="H1301" s="759">
        <f t="shared" si="20"/>
        <v>4.0249999999999995</v>
      </c>
    </row>
    <row r="1302" spans="1:8">
      <c r="A1302" s="701">
        <v>0</v>
      </c>
      <c r="B1302" s="759">
        <v>3.5</v>
      </c>
      <c r="C1302" s="759">
        <v>3.25</v>
      </c>
      <c r="D1302" s="759">
        <v>2.9</v>
      </c>
      <c r="E1302" s="701">
        <v>1.75</v>
      </c>
      <c r="F1302" s="759">
        <v>2.2999999999999998</v>
      </c>
      <c r="H1302" s="759">
        <f t="shared" si="20"/>
        <v>4.0249999999999995</v>
      </c>
    </row>
    <row r="1303" spans="1:8">
      <c r="A1303" s="701">
        <v>0</v>
      </c>
      <c r="B1303" s="759">
        <v>3.5</v>
      </c>
      <c r="C1303" s="759">
        <v>3.5</v>
      </c>
      <c r="D1303" s="759">
        <v>2.9</v>
      </c>
      <c r="E1303" s="701">
        <v>1.75</v>
      </c>
      <c r="F1303" s="759">
        <v>2.2999999999999998</v>
      </c>
      <c r="H1303" s="759">
        <f t="shared" si="20"/>
        <v>4.0249999999999995</v>
      </c>
    </row>
    <row r="1304" spans="1:8">
      <c r="A1304" s="701">
        <v>0</v>
      </c>
      <c r="B1304" s="759">
        <v>3.5</v>
      </c>
      <c r="C1304" s="759">
        <v>3.75</v>
      </c>
      <c r="D1304" s="759">
        <v>2.9</v>
      </c>
      <c r="E1304" s="701">
        <v>1.75</v>
      </c>
      <c r="F1304" s="759">
        <v>2.2999999999999998</v>
      </c>
      <c r="H1304" s="759">
        <f t="shared" si="20"/>
        <v>4.0249999999999995</v>
      </c>
    </row>
    <row r="1305" spans="1:8">
      <c r="A1305" s="701">
        <v>0</v>
      </c>
      <c r="B1305" s="759">
        <v>3.5</v>
      </c>
      <c r="C1305" s="759">
        <v>4</v>
      </c>
      <c r="D1305" s="759">
        <v>2.9</v>
      </c>
      <c r="E1305" s="701">
        <v>1.75</v>
      </c>
      <c r="F1305" s="759">
        <v>2.2999999999999998</v>
      </c>
      <c r="H1305" s="759">
        <f t="shared" si="20"/>
        <v>4.0249999999999995</v>
      </c>
    </row>
    <row r="1306" spans="1:8">
      <c r="A1306" s="701">
        <v>0</v>
      </c>
      <c r="B1306" s="759">
        <v>3.5</v>
      </c>
      <c r="C1306" s="759">
        <v>4.25</v>
      </c>
      <c r="D1306" s="759">
        <v>2.9</v>
      </c>
      <c r="E1306" s="701">
        <v>1.75</v>
      </c>
      <c r="F1306" s="759">
        <v>2.2999999999999998</v>
      </c>
      <c r="H1306" s="759">
        <f t="shared" si="20"/>
        <v>4.0249999999999995</v>
      </c>
    </row>
    <row r="1307" spans="1:8">
      <c r="A1307" s="701">
        <v>0</v>
      </c>
      <c r="B1307" s="759">
        <v>3.5</v>
      </c>
      <c r="C1307" s="759">
        <v>4.5</v>
      </c>
      <c r="D1307" s="759">
        <v>2.9</v>
      </c>
      <c r="E1307" s="701">
        <v>1.75</v>
      </c>
      <c r="F1307" s="759">
        <v>2.2999999999999998</v>
      </c>
      <c r="H1307" s="759">
        <f t="shared" si="20"/>
        <v>4.0249999999999995</v>
      </c>
    </row>
    <row r="1308" spans="1:8">
      <c r="A1308" s="701">
        <v>0</v>
      </c>
      <c r="B1308" s="759">
        <v>3.5</v>
      </c>
      <c r="C1308" s="759">
        <v>4.75</v>
      </c>
      <c r="D1308" s="759">
        <v>2.9</v>
      </c>
      <c r="E1308" s="701">
        <v>1.75</v>
      </c>
      <c r="F1308" s="759">
        <v>2.2999999999999998</v>
      </c>
      <c r="H1308" s="759">
        <f t="shared" ref="H1308:H1371" si="21">F1308*E1308</f>
        <v>4.0249999999999995</v>
      </c>
    </row>
    <row r="1309" spans="1:8">
      <c r="A1309" s="701">
        <v>0</v>
      </c>
      <c r="B1309" s="759">
        <v>3.5</v>
      </c>
      <c r="C1309" s="759">
        <v>5</v>
      </c>
      <c r="D1309" s="759">
        <v>2.9</v>
      </c>
      <c r="E1309" s="701">
        <v>1.75</v>
      </c>
      <c r="F1309" s="759">
        <v>2.2999999999999998</v>
      </c>
      <c r="H1309" s="759">
        <f t="shared" si="21"/>
        <v>4.0249999999999995</v>
      </c>
    </row>
    <row r="1310" spans="1:8">
      <c r="A1310" s="701">
        <v>0</v>
      </c>
      <c r="B1310" s="759">
        <v>3.5</v>
      </c>
      <c r="C1310" s="759">
        <v>5.25</v>
      </c>
      <c r="D1310" s="759">
        <v>2.9</v>
      </c>
      <c r="E1310" s="701">
        <v>1.75</v>
      </c>
      <c r="F1310" s="759">
        <v>2.2999999999999998</v>
      </c>
      <c r="H1310" s="759">
        <f t="shared" si="21"/>
        <v>4.0249999999999995</v>
      </c>
    </row>
    <row r="1311" spans="1:8">
      <c r="A1311" s="701">
        <v>0</v>
      </c>
      <c r="B1311" s="759">
        <v>3.5</v>
      </c>
      <c r="C1311" s="759">
        <v>5.5</v>
      </c>
      <c r="D1311" s="759">
        <v>2.9</v>
      </c>
      <c r="E1311" s="701">
        <v>1.75</v>
      </c>
      <c r="F1311" s="759">
        <v>2.2999999999999998</v>
      </c>
      <c r="H1311" s="759">
        <f t="shared" si="21"/>
        <v>4.0249999999999995</v>
      </c>
    </row>
    <row r="1312" spans="1:8">
      <c r="A1312" s="701">
        <v>0</v>
      </c>
      <c r="B1312" s="759">
        <v>3.5</v>
      </c>
      <c r="C1312" s="759">
        <v>5.75</v>
      </c>
      <c r="D1312" s="759">
        <v>2.9</v>
      </c>
      <c r="E1312" s="701">
        <v>1.75</v>
      </c>
      <c r="F1312" s="759">
        <v>2.2999999999999998</v>
      </c>
      <c r="H1312" s="759">
        <f t="shared" si="21"/>
        <v>4.0249999999999995</v>
      </c>
    </row>
    <row r="1313" spans="1:8">
      <c r="A1313" s="701">
        <v>0</v>
      </c>
      <c r="B1313" s="759">
        <v>3.5</v>
      </c>
      <c r="C1313" s="759">
        <v>6</v>
      </c>
      <c r="D1313" s="759">
        <v>2.9</v>
      </c>
      <c r="E1313" s="701">
        <v>1.75</v>
      </c>
      <c r="F1313" s="759">
        <v>2.2999999999999998</v>
      </c>
      <c r="H1313" s="759">
        <f t="shared" si="21"/>
        <v>4.0249999999999995</v>
      </c>
    </row>
    <row r="1314" spans="1:8">
      <c r="A1314" s="701">
        <v>0</v>
      </c>
      <c r="B1314" s="759">
        <v>3.5</v>
      </c>
      <c r="C1314" s="759">
        <v>6.25</v>
      </c>
      <c r="D1314" s="759">
        <v>2.9</v>
      </c>
      <c r="E1314" s="701">
        <v>1.75</v>
      </c>
      <c r="F1314" s="759">
        <v>2.2999999999999998</v>
      </c>
      <c r="H1314" s="759">
        <f t="shared" si="21"/>
        <v>4.0249999999999995</v>
      </c>
    </row>
    <row r="1315" spans="1:8">
      <c r="A1315" s="701">
        <v>0</v>
      </c>
      <c r="B1315" s="759">
        <v>3.5</v>
      </c>
      <c r="C1315" s="759">
        <v>6.5</v>
      </c>
      <c r="D1315" s="759">
        <v>2.9</v>
      </c>
      <c r="E1315" s="701">
        <v>1.75</v>
      </c>
      <c r="F1315" s="759">
        <v>2.2999999999999998</v>
      </c>
      <c r="H1315" s="759">
        <f t="shared" si="21"/>
        <v>4.0249999999999995</v>
      </c>
    </row>
    <row r="1316" spans="1:8">
      <c r="A1316" s="701">
        <v>0</v>
      </c>
      <c r="B1316" s="759">
        <v>3.5</v>
      </c>
      <c r="C1316" s="759">
        <v>6.75</v>
      </c>
      <c r="D1316" s="759">
        <v>2.9</v>
      </c>
      <c r="E1316" s="701">
        <v>1.75</v>
      </c>
      <c r="F1316" s="759">
        <v>2.2999999999999998</v>
      </c>
      <c r="H1316" s="759">
        <f t="shared" si="21"/>
        <v>4.0249999999999995</v>
      </c>
    </row>
    <row r="1317" spans="1:8">
      <c r="A1317" s="701">
        <v>0</v>
      </c>
      <c r="B1317" s="759">
        <v>3.5</v>
      </c>
      <c r="C1317" s="759">
        <v>7</v>
      </c>
      <c r="D1317" s="759">
        <v>2.9</v>
      </c>
      <c r="E1317" s="701">
        <v>1.75</v>
      </c>
      <c r="F1317" s="759">
        <v>2.2999999999999998</v>
      </c>
      <c r="H1317" s="759">
        <f t="shared" si="21"/>
        <v>4.0249999999999995</v>
      </c>
    </row>
    <row r="1318" spans="1:8">
      <c r="A1318" s="701">
        <v>0</v>
      </c>
      <c r="B1318" s="759">
        <v>3.5</v>
      </c>
      <c r="C1318" s="759">
        <v>7.5</v>
      </c>
      <c r="D1318" s="759">
        <v>2.9</v>
      </c>
      <c r="E1318" s="701">
        <v>1.75</v>
      </c>
      <c r="F1318" s="759">
        <v>2.2999999999999998</v>
      </c>
      <c r="H1318" s="759">
        <f t="shared" si="21"/>
        <v>4.0249999999999995</v>
      </c>
    </row>
    <row r="1319" spans="1:8">
      <c r="A1319" s="701">
        <v>0</v>
      </c>
      <c r="B1319" s="759">
        <v>3.5</v>
      </c>
      <c r="C1319" s="759">
        <v>8</v>
      </c>
      <c r="D1319" s="759">
        <v>2.9</v>
      </c>
      <c r="E1319" s="701">
        <v>1.75</v>
      </c>
      <c r="F1319" s="759">
        <v>2.2999999999999998</v>
      </c>
      <c r="H1319" s="759">
        <f t="shared" si="21"/>
        <v>4.0249999999999995</v>
      </c>
    </row>
    <row r="1320" spans="1:8">
      <c r="A1320" s="701">
        <v>0</v>
      </c>
      <c r="B1320" s="759">
        <v>4</v>
      </c>
      <c r="C1320" s="759">
        <v>3</v>
      </c>
      <c r="D1320" s="759">
        <v>2.9</v>
      </c>
      <c r="E1320" s="701">
        <v>1.75</v>
      </c>
      <c r="F1320" s="759">
        <v>2.63</v>
      </c>
      <c r="H1320" s="759">
        <f t="shared" si="21"/>
        <v>4.6025</v>
      </c>
    </row>
    <row r="1321" spans="1:8">
      <c r="A1321" s="701">
        <v>0</v>
      </c>
      <c r="B1321" s="759">
        <v>4</v>
      </c>
      <c r="C1321" s="759">
        <v>3.25</v>
      </c>
      <c r="D1321" s="759">
        <v>2.9</v>
      </c>
      <c r="E1321" s="701">
        <v>1.75</v>
      </c>
      <c r="F1321" s="759">
        <v>2.63</v>
      </c>
      <c r="H1321" s="759">
        <f t="shared" si="21"/>
        <v>4.6025</v>
      </c>
    </row>
    <row r="1322" spans="1:8">
      <c r="A1322" s="701">
        <v>0</v>
      </c>
      <c r="B1322" s="759">
        <v>4</v>
      </c>
      <c r="C1322" s="759">
        <v>3.5</v>
      </c>
      <c r="D1322" s="759">
        <v>2.9</v>
      </c>
      <c r="E1322" s="701">
        <v>1.75</v>
      </c>
      <c r="F1322" s="759">
        <v>2.63</v>
      </c>
      <c r="H1322" s="759">
        <f t="shared" si="21"/>
        <v>4.6025</v>
      </c>
    </row>
    <row r="1323" spans="1:8">
      <c r="A1323" s="701">
        <v>0</v>
      </c>
      <c r="B1323" s="759">
        <v>4</v>
      </c>
      <c r="C1323" s="759">
        <v>3.75</v>
      </c>
      <c r="D1323" s="759">
        <v>2.9</v>
      </c>
      <c r="E1323" s="701">
        <v>1.75</v>
      </c>
      <c r="F1323" s="759">
        <v>2.63</v>
      </c>
      <c r="H1323" s="759">
        <f t="shared" si="21"/>
        <v>4.6025</v>
      </c>
    </row>
    <row r="1324" spans="1:8">
      <c r="A1324" s="701">
        <v>0</v>
      </c>
      <c r="B1324" s="759">
        <v>4</v>
      </c>
      <c r="C1324" s="759">
        <v>4</v>
      </c>
      <c r="D1324" s="759">
        <v>2.9</v>
      </c>
      <c r="E1324" s="701">
        <v>1.75</v>
      </c>
      <c r="F1324" s="759">
        <v>2.63</v>
      </c>
      <c r="H1324" s="759">
        <f t="shared" si="21"/>
        <v>4.6025</v>
      </c>
    </row>
    <row r="1325" spans="1:8">
      <c r="A1325" s="701">
        <v>0</v>
      </c>
      <c r="B1325" s="759">
        <v>4</v>
      </c>
      <c r="C1325" s="759">
        <v>4.25</v>
      </c>
      <c r="D1325" s="759">
        <v>2.9</v>
      </c>
      <c r="E1325" s="701">
        <v>1.75</v>
      </c>
      <c r="F1325" s="759">
        <v>2.63</v>
      </c>
      <c r="H1325" s="759">
        <f t="shared" si="21"/>
        <v>4.6025</v>
      </c>
    </row>
    <row r="1326" spans="1:8">
      <c r="A1326" s="701">
        <v>0</v>
      </c>
      <c r="B1326" s="759">
        <v>4</v>
      </c>
      <c r="C1326" s="759">
        <v>4.5</v>
      </c>
      <c r="D1326" s="759">
        <v>2.9</v>
      </c>
      <c r="E1326" s="701">
        <v>1.75</v>
      </c>
      <c r="F1326" s="759">
        <v>2.63</v>
      </c>
      <c r="H1326" s="759">
        <f t="shared" si="21"/>
        <v>4.6025</v>
      </c>
    </row>
    <row r="1327" spans="1:8">
      <c r="A1327" s="701">
        <v>0</v>
      </c>
      <c r="B1327" s="759">
        <v>4</v>
      </c>
      <c r="C1327" s="759">
        <v>4.75</v>
      </c>
      <c r="D1327" s="759">
        <v>2.9</v>
      </c>
      <c r="E1327" s="701">
        <v>1.75</v>
      </c>
      <c r="F1327" s="759">
        <v>2.63</v>
      </c>
      <c r="H1327" s="759">
        <f t="shared" si="21"/>
        <v>4.6025</v>
      </c>
    </row>
    <row r="1328" spans="1:8">
      <c r="A1328" s="701">
        <v>0</v>
      </c>
      <c r="B1328" s="759">
        <v>4</v>
      </c>
      <c r="C1328" s="759">
        <v>5</v>
      </c>
      <c r="D1328" s="759">
        <v>2.9</v>
      </c>
      <c r="E1328" s="701">
        <v>1.75</v>
      </c>
      <c r="F1328" s="759">
        <v>2.63</v>
      </c>
      <c r="H1328" s="759">
        <f t="shared" si="21"/>
        <v>4.6025</v>
      </c>
    </row>
    <row r="1329" spans="1:8">
      <c r="A1329" s="701">
        <v>0</v>
      </c>
      <c r="B1329" s="759">
        <v>4</v>
      </c>
      <c r="C1329" s="759">
        <v>5.25</v>
      </c>
      <c r="D1329" s="759">
        <v>2.9</v>
      </c>
      <c r="E1329" s="701">
        <v>1.75</v>
      </c>
      <c r="F1329" s="759">
        <v>2.63</v>
      </c>
      <c r="H1329" s="759">
        <f t="shared" si="21"/>
        <v>4.6025</v>
      </c>
    </row>
    <row r="1330" spans="1:8">
      <c r="A1330" s="701">
        <v>0</v>
      </c>
      <c r="B1330" s="759">
        <v>4</v>
      </c>
      <c r="C1330" s="759">
        <v>5.5</v>
      </c>
      <c r="D1330" s="759">
        <v>2.9</v>
      </c>
      <c r="E1330" s="701">
        <v>1.75</v>
      </c>
      <c r="F1330" s="759">
        <v>2.63</v>
      </c>
      <c r="H1330" s="759">
        <f t="shared" si="21"/>
        <v>4.6025</v>
      </c>
    </row>
    <row r="1331" spans="1:8">
      <c r="A1331" s="701">
        <v>0</v>
      </c>
      <c r="B1331" s="759">
        <v>4</v>
      </c>
      <c r="C1331" s="759">
        <v>5.75</v>
      </c>
      <c r="D1331" s="759">
        <v>2.9</v>
      </c>
      <c r="E1331" s="701">
        <v>1.75</v>
      </c>
      <c r="F1331" s="759">
        <v>2.63</v>
      </c>
      <c r="H1331" s="759">
        <f t="shared" si="21"/>
        <v>4.6025</v>
      </c>
    </row>
    <row r="1332" spans="1:8">
      <c r="A1332" s="701">
        <v>0</v>
      </c>
      <c r="B1332" s="759">
        <v>4</v>
      </c>
      <c r="C1332" s="759">
        <v>6</v>
      </c>
      <c r="D1332" s="759">
        <v>2.9</v>
      </c>
      <c r="E1332" s="701">
        <v>1.75</v>
      </c>
      <c r="F1332" s="759">
        <v>2.63</v>
      </c>
      <c r="H1332" s="759">
        <f t="shared" si="21"/>
        <v>4.6025</v>
      </c>
    </row>
    <row r="1333" spans="1:8">
      <c r="A1333" s="701">
        <v>0</v>
      </c>
      <c r="B1333" s="759">
        <v>4</v>
      </c>
      <c r="C1333" s="759">
        <v>6.25</v>
      </c>
      <c r="D1333" s="759">
        <v>2.9</v>
      </c>
      <c r="E1333" s="701">
        <v>1.75</v>
      </c>
      <c r="F1333" s="759">
        <v>2.63</v>
      </c>
      <c r="H1333" s="759">
        <f t="shared" si="21"/>
        <v>4.6025</v>
      </c>
    </row>
    <row r="1334" spans="1:8">
      <c r="A1334" s="701">
        <v>0</v>
      </c>
      <c r="B1334" s="759">
        <v>4</v>
      </c>
      <c r="C1334" s="759">
        <v>6.5</v>
      </c>
      <c r="D1334" s="759">
        <v>2.9</v>
      </c>
      <c r="E1334" s="701">
        <v>1.75</v>
      </c>
      <c r="F1334" s="759">
        <v>2.63</v>
      </c>
      <c r="H1334" s="759">
        <f t="shared" si="21"/>
        <v>4.6025</v>
      </c>
    </row>
    <row r="1335" spans="1:8">
      <c r="A1335" s="701">
        <v>0</v>
      </c>
      <c r="B1335" s="759">
        <v>4</v>
      </c>
      <c r="C1335" s="759">
        <v>6.75</v>
      </c>
      <c r="D1335" s="759">
        <v>2.9</v>
      </c>
      <c r="E1335" s="701">
        <v>1.75</v>
      </c>
      <c r="F1335" s="759">
        <v>2.63</v>
      </c>
      <c r="H1335" s="759">
        <f t="shared" si="21"/>
        <v>4.6025</v>
      </c>
    </row>
    <row r="1336" spans="1:8">
      <c r="A1336" s="701">
        <v>0</v>
      </c>
      <c r="B1336" s="759">
        <v>4</v>
      </c>
      <c r="C1336" s="759">
        <v>7</v>
      </c>
      <c r="D1336" s="759">
        <v>2.9</v>
      </c>
      <c r="E1336" s="701">
        <v>1.75</v>
      </c>
      <c r="F1336" s="759">
        <v>2.63</v>
      </c>
      <c r="H1336" s="759">
        <f t="shared" si="21"/>
        <v>4.6025</v>
      </c>
    </row>
    <row r="1337" spans="1:8">
      <c r="A1337" s="701">
        <v>0</v>
      </c>
      <c r="B1337" s="759">
        <v>4</v>
      </c>
      <c r="C1337" s="759">
        <v>7.5</v>
      </c>
      <c r="D1337" s="759">
        <v>2.9</v>
      </c>
      <c r="E1337" s="701">
        <v>1.75</v>
      </c>
      <c r="F1337" s="759">
        <v>2.63</v>
      </c>
      <c r="H1337" s="759">
        <f t="shared" si="21"/>
        <v>4.6025</v>
      </c>
    </row>
    <row r="1338" spans="1:8">
      <c r="A1338" s="701">
        <v>0</v>
      </c>
      <c r="B1338" s="759">
        <v>4</v>
      </c>
      <c r="C1338" s="759">
        <v>8</v>
      </c>
      <c r="D1338" s="759">
        <v>2.9</v>
      </c>
      <c r="E1338" s="701">
        <v>1.75</v>
      </c>
      <c r="F1338" s="759">
        <v>2.63</v>
      </c>
      <c r="H1338" s="759">
        <f t="shared" si="21"/>
        <v>4.6025</v>
      </c>
    </row>
    <row r="1339" spans="1:8">
      <c r="A1339" s="701">
        <v>0</v>
      </c>
      <c r="B1339" s="759">
        <v>4.5</v>
      </c>
      <c r="C1339" s="759">
        <v>3</v>
      </c>
      <c r="D1339" s="759">
        <v>2.9</v>
      </c>
      <c r="E1339" s="701">
        <v>1.75</v>
      </c>
      <c r="F1339" s="759">
        <v>2.96</v>
      </c>
      <c r="H1339" s="759">
        <f t="shared" si="21"/>
        <v>5.18</v>
      </c>
    </row>
    <row r="1340" spans="1:8">
      <c r="A1340" s="701">
        <v>0</v>
      </c>
      <c r="B1340" s="759">
        <v>4.5</v>
      </c>
      <c r="C1340" s="759">
        <v>3.25</v>
      </c>
      <c r="D1340" s="759">
        <v>2.9</v>
      </c>
      <c r="E1340" s="701">
        <v>1.75</v>
      </c>
      <c r="F1340" s="759">
        <v>2.96</v>
      </c>
      <c r="H1340" s="759">
        <f t="shared" si="21"/>
        <v>5.18</v>
      </c>
    </row>
    <row r="1341" spans="1:8">
      <c r="A1341" s="701">
        <v>0</v>
      </c>
      <c r="B1341" s="759">
        <v>4.5</v>
      </c>
      <c r="C1341" s="759">
        <v>3.5</v>
      </c>
      <c r="D1341" s="759">
        <v>2.9</v>
      </c>
      <c r="E1341" s="701">
        <v>1.75</v>
      </c>
      <c r="F1341" s="759">
        <v>2.96</v>
      </c>
      <c r="H1341" s="759">
        <f t="shared" si="21"/>
        <v>5.18</v>
      </c>
    </row>
    <row r="1342" spans="1:8">
      <c r="A1342" s="701">
        <v>0</v>
      </c>
      <c r="B1342" s="759">
        <v>4.5</v>
      </c>
      <c r="C1342" s="759">
        <v>3.75</v>
      </c>
      <c r="D1342" s="759">
        <v>2.9</v>
      </c>
      <c r="E1342" s="701">
        <v>1.75</v>
      </c>
      <c r="F1342" s="759">
        <v>2.96</v>
      </c>
      <c r="H1342" s="759">
        <f t="shared" si="21"/>
        <v>5.18</v>
      </c>
    </row>
    <row r="1343" spans="1:8">
      <c r="A1343" s="701">
        <v>0</v>
      </c>
      <c r="B1343" s="759">
        <v>4.5</v>
      </c>
      <c r="C1343" s="759">
        <v>4</v>
      </c>
      <c r="D1343" s="759">
        <v>2.9</v>
      </c>
      <c r="E1343" s="701">
        <v>1.75</v>
      </c>
      <c r="F1343" s="759">
        <v>2.96</v>
      </c>
      <c r="H1343" s="759">
        <f t="shared" si="21"/>
        <v>5.18</v>
      </c>
    </row>
    <row r="1344" spans="1:8">
      <c r="A1344" s="701">
        <v>0</v>
      </c>
      <c r="B1344" s="759">
        <v>4.5</v>
      </c>
      <c r="C1344" s="759">
        <v>4.25</v>
      </c>
      <c r="D1344" s="759">
        <v>2.9</v>
      </c>
      <c r="E1344" s="701">
        <v>1.75</v>
      </c>
      <c r="F1344" s="759">
        <v>2.96</v>
      </c>
      <c r="H1344" s="759">
        <f t="shared" si="21"/>
        <v>5.18</v>
      </c>
    </row>
    <row r="1345" spans="1:8">
      <c r="A1345" s="701">
        <v>0</v>
      </c>
      <c r="B1345" s="759">
        <v>4.5</v>
      </c>
      <c r="C1345" s="759">
        <v>4.5</v>
      </c>
      <c r="D1345" s="759">
        <v>2.9</v>
      </c>
      <c r="E1345" s="701">
        <v>1.75</v>
      </c>
      <c r="F1345" s="759">
        <v>2.96</v>
      </c>
      <c r="H1345" s="759">
        <f t="shared" si="21"/>
        <v>5.18</v>
      </c>
    </row>
    <row r="1346" spans="1:8">
      <c r="A1346" s="701">
        <v>0</v>
      </c>
      <c r="B1346" s="759">
        <v>4.5</v>
      </c>
      <c r="C1346" s="759">
        <v>4.75</v>
      </c>
      <c r="D1346" s="759">
        <v>2.9</v>
      </c>
      <c r="E1346" s="701">
        <v>1.75</v>
      </c>
      <c r="F1346" s="759">
        <v>2.96</v>
      </c>
      <c r="H1346" s="759">
        <f t="shared" si="21"/>
        <v>5.18</v>
      </c>
    </row>
    <row r="1347" spans="1:8">
      <c r="A1347" s="701">
        <v>0</v>
      </c>
      <c r="B1347" s="759">
        <v>4.5</v>
      </c>
      <c r="C1347" s="759">
        <v>5</v>
      </c>
      <c r="D1347" s="759">
        <v>2.9</v>
      </c>
      <c r="E1347" s="701">
        <v>1.75</v>
      </c>
      <c r="F1347" s="759">
        <v>2.96</v>
      </c>
      <c r="H1347" s="759">
        <f t="shared" si="21"/>
        <v>5.18</v>
      </c>
    </row>
    <row r="1348" spans="1:8">
      <c r="A1348" s="701">
        <v>0</v>
      </c>
      <c r="B1348" s="759">
        <v>4.5</v>
      </c>
      <c r="C1348" s="759">
        <v>5.25</v>
      </c>
      <c r="D1348" s="759">
        <v>2.9</v>
      </c>
      <c r="E1348" s="701">
        <v>1.75</v>
      </c>
      <c r="F1348" s="759">
        <v>2.96</v>
      </c>
      <c r="H1348" s="759">
        <f t="shared" si="21"/>
        <v>5.18</v>
      </c>
    </row>
    <row r="1349" spans="1:8">
      <c r="A1349" s="701">
        <v>0</v>
      </c>
      <c r="B1349" s="759">
        <v>4.5</v>
      </c>
      <c r="C1349" s="759">
        <v>5.5</v>
      </c>
      <c r="D1349" s="759">
        <v>2.9</v>
      </c>
      <c r="E1349" s="701">
        <v>1.75</v>
      </c>
      <c r="F1349" s="759">
        <v>2.96</v>
      </c>
      <c r="H1349" s="759">
        <f t="shared" si="21"/>
        <v>5.18</v>
      </c>
    </row>
    <row r="1350" spans="1:8">
      <c r="A1350" s="701">
        <v>0</v>
      </c>
      <c r="B1350" s="759">
        <v>4.5</v>
      </c>
      <c r="C1350" s="759">
        <v>5.75</v>
      </c>
      <c r="D1350" s="759">
        <v>2.9</v>
      </c>
      <c r="E1350" s="701">
        <v>1.75</v>
      </c>
      <c r="F1350" s="759">
        <v>2.96</v>
      </c>
      <c r="H1350" s="759">
        <f t="shared" si="21"/>
        <v>5.18</v>
      </c>
    </row>
    <row r="1351" spans="1:8">
      <c r="A1351" s="701">
        <v>0</v>
      </c>
      <c r="B1351" s="759">
        <v>4.5</v>
      </c>
      <c r="C1351" s="759">
        <v>6</v>
      </c>
      <c r="D1351" s="759">
        <v>2.9</v>
      </c>
      <c r="E1351" s="701">
        <v>1.75</v>
      </c>
      <c r="F1351" s="759">
        <v>2.96</v>
      </c>
      <c r="H1351" s="759">
        <f t="shared" si="21"/>
        <v>5.18</v>
      </c>
    </row>
    <row r="1352" spans="1:8">
      <c r="A1352" s="701">
        <v>0</v>
      </c>
      <c r="B1352" s="759">
        <v>4.5</v>
      </c>
      <c r="C1352" s="759">
        <v>6.25</v>
      </c>
      <c r="D1352" s="759">
        <v>2.9</v>
      </c>
      <c r="E1352" s="701">
        <v>1.75</v>
      </c>
      <c r="F1352" s="759">
        <v>2.96</v>
      </c>
      <c r="H1352" s="759">
        <f t="shared" si="21"/>
        <v>5.18</v>
      </c>
    </row>
    <row r="1353" spans="1:8">
      <c r="A1353" s="701">
        <v>0</v>
      </c>
      <c r="B1353" s="759">
        <v>4.5</v>
      </c>
      <c r="C1353" s="759">
        <v>6.5</v>
      </c>
      <c r="D1353" s="759">
        <v>2.9</v>
      </c>
      <c r="E1353" s="701">
        <v>1.75</v>
      </c>
      <c r="F1353" s="759">
        <v>2.96</v>
      </c>
      <c r="H1353" s="759">
        <f t="shared" si="21"/>
        <v>5.18</v>
      </c>
    </row>
    <row r="1354" spans="1:8">
      <c r="A1354" s="701">
        <v>0</v>
      </c>
      <c r="B1354" s="759">
        <v>4.5</v>
      </c>
      <c r="C1354" s="759">
        <v>6.75</v>
      </c>
      <c r="D1354" s="759">
        <v>2.9</v>
      </c>
      <c r="E1354" s="701">
        <v>1.75</v>
      </c>
      <c r="F1354" s="759">
        <v>2.96</v>
      </c>
      <c r="H1354" s="759">
        <f t="shared" si="21"/>
        <v>5.18</v>
      </c>
    </row>
    <row r="1355" spans="1:8">
      <c r="A1355" s="701">
        <v>0</v>
      </c>
      <c r="B1355" s="759">
        <v>4.5</v>
      </c>
      <c r="C1355" s="759">
        <v>7</v>
      </c>
      <c r="D1355" s="759">
        <v>2.9</v>
      </c>
      <c r="E1355" s="701">
        <v>1.75</v>
      </c>
      <c r="F1355" s="759">
        <v>2.96</v>
      </c>
      <c r="H1355" s="759">
        <f t="shared" si="21"/>
        <v>5.18</v>
      </c>
    </row>
    <row r="1356" spans="1:8">
      <c r="A1356" s="701">
        <v>0</v>
      </c>
      <c r="B1356" s="759">
        <v>4.5</v>
      </c>
      <c r="C1356" s="759">
        <v>7.5</v>
      </c>
      <c r="D1356" s="759">
        <v>2.9</v>
      </c>
      <c r="E1356" s="701">
        <v>1.75</v>
      </c>
      <c r="F1356" s="759">
        <v>2.96</v>
      </c>
      <c r="H1356" s="759">
        <f t="shared" si="21"/>
        <v>5.18</v>
      </c>
    </row>
    <row r="1357" spans="1:8">
      <c r="A1357" s="701">
        <v>0</v>
      </c>
      <c r="B1357" s="759">
        <v>4.5</v>
      </c>
      <c r="C1357" s="759">
        <v>8</v>
      </c>
      <c r="D1357" s="759">
        <v>2.9</v>
      </c>
      <c r="E1357" s="701">
        <v>1.75</v>
      </c>
      <c r="F1357" s="759">
        <v>2.96</v>
      </c>
      <c r="H1357" s="759">
        <f t="shared" si="21"/>
        <v>5.18</v>
      </c>
    </row>
    <row r="1358" spans="1:8">
      <c r="A1358" s="701">
        <v>0</v>
      </c>
      <c r="B1358" s="759">
        <v>5</v>
      </c>
      <c r="C1358" s="759">
        <v>3</v>
      </c>
      <c r="D1358" s="759">
        <v>2.9</v>
      </c>
      <c r="E1358" s="701">
        <v>1.75</v>
      </c>
      <c r="F1358" s="759">
        <v>3.29</v>
      </c>
      <c r="H1358" s="759">
        <f t="shared" si="21"/>
        <v>5.7575000000000003</v>
      </c>
    </row>
    <row r="1359" spans="1:8">
      <c r="A1359" s="701">
        <v>0</v>
      </c>
      <c r="B1359" s="759">
        <v>5</v>
      </c>
      <c r="C1359" s="759">
        <v>3.25</v>
      </c>
      <c r="D1359" s="759">
        <v>2.9</v>
      </c>
      <c r="E1359" s="701">
        <v>1.75</v>
      </c>
      <c r="F1359" s="759">
        <v>3.29</v>
      </c>
      <c r="H1359" s="759">
        <f t="shared" si="21"/>
        <v>5.7575000000000003</v>
      </c>
    </row>
    <row r="1360" spans="1:8">
      <c r="A1360" s="701">
        <v>0</v>
      </c>
      <c r="B1360" s="759">
        <v>5</v>
      </c>
      <c r="C1360" s="759">
        <v>3.5</v>
      </c>
      <c r="D1360" s="759">
        <v>2.9</v>
      </c>
      <c r="E1360" s="701">
        <v>1.75</v>
      </c>
      <c r="F1360" s="759">
        <v>3.29</v>
      </c>
      <c r="H1360" s="759">
        <f t="shared" si="21"/>
        <v>5.7575000000000003</v>
      </c>
    </row>
    <row r="1361" spans="1:8">
      <c r="A1361" s="701">
        <v>0</v>
      </c>
      <c r="B1361" s="759">
        <v>5</v>
      </c>
      <c r="C1361" s="759">
        <v>3.75</v>
      </c>
      <c r="D1361" s="759">
        <v>2.9</v>
      </c>
      <c r="E1361" s="701">
        <v>1.75</v>
      </c>
      <c r="F1361" s="759">
        <v>3.29</v>
      </c>
      <c r="H1361" s="759">
        <f t="shared" si="21"/>
        <v>5.7575000000000003</v>
      </c>
    </row>
    <row r="1362" spans="1:8">
      <c r="A1362" s="701">
        <v>0</v>
      </c>
      <c r="B1362" s="759">
        <v>5</v>
      </c>
      <c r="C1362" s="759">
        <v>4</v>
      </c>
      <c r="D1362" s="759">
        <v>2.9</v>
      </c>
      <c r="E1362" s="701">
        <v>1.75</v>
      </c>
      <c r="F1362" s="759">
        <v>3.29</v>
      </c>
      <c r="H1362" s="759">
        <f t="shared" si="21"/>
        <v>5.7575000000000003</v>
      </c>
    </row>
    <row r="1363" spans="1:8">
      <c r="A1363" s="701">
        <v>0</v>
      </c>
      <c r="B1363" s="759">
        <v>5</v>
      </c>
      <c r="C1363" s="759">
        <v>4.25</v>
      </c>
      <c r="D1363" s="759">
        <v>2.9</v>
      </c>
      <c r="E1363" s="701">
        <v>1.75</v>
      </c>
      <c r="F1363" s="759">
        <v>3.29</v>
      </c>
      <c r="H1363" s="759">
        <f t="shared" si="21"/>
        <v>5.7575000000000003</v>
      </c>
    </row>
    <row r="1364" spans="1:8">
      <c r="A1364" s="701">
        <v>0</v>
      </c>
      <c r="B1364" s="759">
        <v>5</v>
      </c>
      <c r="C1364" s="759">
        <v>4.5</v>
      </c>
      <c r="D1364" s="759">
        <v>2.9</v>
      </c>
      <c r="E1364" s="701">
        <v>1.75</v>
      </c>
      <c r="F1364" s="759">
        <v>3.29</v>
      </c>
      <c r="H1364" s="759">
        <f t="shared" si="21"/>
        <v>5.7575000000000003</v>
      </c>
    </row>
    <row r="1365" spans="1:8">
      <c r="A1365" s="701">
        <v>0</v>
      </c>
      <c r="B1365" s="759">
        <v>5</v>
      </c>
      <c r="C1365" s="759">
        <v>4.75</v>
      </c>
      <c r="D1365" s="759">
        <v>2.9</v>
      </c>
      <c r="E1365" s="701">
        <v>1.75</v>
      </c>
      <c r="F1365" s="759">
        <v>3.29</v>
      </c>
      <c r="H1365" s="759">
        <f t="shared" si="21"/>
        <v>5.7575000000000003</v>
      </c>
    </row>
    <row r="1366" spans="1:8">
      <c r="A1366" s="701">
        <v>0</v>
      </c>
      <c r="B1366" s="759">
        <v>5</v>
      </c>
      <c r="C1366" s="759">
        <v>5</v>
      </c>
      <c r="D1366" s="759">
        <v>2.9</v>
      </c>
      <c r="E1366" s="701">
        <v>1.75</v>
      </c>
      <c r="F1366" s="759">
        <v>3.29</v>
      </c>
      <c r="H1366" s="759">
        <f t="shared" si="21"/>
        <v>5.7575000000000003</v>
      </c>
    </row>
    <row r="1367" spans="1:8">
      <c r="A1367" s="701">
        <v>0</v>
      </c>
      <c r="B1367" s="759">
        <v>5</v>
      </c>
      <c r="C1367" s="759">
        <v>5.25</v>
      </c>
      <c r="D1367" s="759">
        <v>2.9</v>
      </c>
      <c r="E1367" s="701">
        <v>1.75</v>
      </c>
      <c r="F1367" s="759">
        <v>3.29</v>
      </c>
      <c r="H1367" s="759">
        <f t="shared" si="21"/>
        <v>5.7575000000000003</v>
      </c>
    </row>
    <row r="1368" spans="1:8">
      <c r="A1368" s="701">
        <v>0</v>
      </c>
      <c r="B1368" s="759">
        <v>5</v>
      </c>
      <c r="C1368" s="759">
        <v>5.5</v>
      </c>
      <c r="D1368" s="759">
        <v>2.9</v>
      </c>
      <c r="E1368" s="701">
        <v>1.75</v>
      </c>
      <c r="F1368" s="759">
        <v>3.29</v>
      </c>
      <c r="H1368" s="759">
        <f t="shared" si="21"/>
        <v>5.7575000000000003</v>
      </c>
    </row>
    <row r="1369" spans="1:8">
      <c r="A1369" s="701">
        <v>0</v>
      </c>
      <c r="B1369" s="759">
        <v>5</v>
      </c>
      <c r="C1369" s="759">
        <v>5.75</v>
      </c>
      <c r="D1369" s="759">
        <v>2.9</v>
      </c>
      <c r="E1369" s="701">
        <v>1.75</v>
      </c>
      <c r="F1369" s="759">
        <v>3.29</v>
      </c>
      <c r="H1369" s="759">
        <f t="shared" si="21"/>
        <v>5.7575000000000003</v>
      </c>
    </row>
    <row r="1370" spans="1:8">
      <c r="A1370" s="701">
        <v>0</v>
      </c>
      <c r="B1370" s="759">
        <v>5</v>
      </c>
      <c r="C1370" s="759">
        <v>6</v>
      </c>
      <c r="D1370" s="759">
        <v>2.9</v>
      </c>
      <c r="E1370" s="701">
        <v>1.75</v>
      </c>
      <c r="F1370" s="759">
        <v>3.29</v>
      </c>
      <c r="H1370" s="759">
        <f t="shared" si="21"/>
        <v>5.7575000000000003</v>
      </c>
    </row>
    <row r="1371" spans="1:8">
      <c r="A1371" s="701">
        <v>0</v>
      </c>
      <c r="B1371" s="759">
        <v>5</v>
      </c>
      <c r="C1371" s="759">
        <v>6.25</v>
      </c>
      <c r="D1371" s="759">
        <v>2.9</v>
      </c>
      <c r="E1371" s="701">
        <v>1.75</v>
      </c>
      <c r="F1371" s="759">
        <v>3.29</v>
      </c>
      <c r="H1371" s="759">
        <f t="shared" si="21"/>
        <v>5.7575000000000003</v>
      </c>
    </row>
    <row r="1372" spans="1:8">
      <c r="A1372" s="701">
        <v>0</v>
      </c>
      <c r="B1372" s="759">
        <v>5</v>
      </c>
      <c r="C1372" s="759">
        <v>6.5</v>
      </c>
      <c r="D1372" s="759">
        <v>2.9</v>
      </c>
      <c r="E1372" s="701">
        <v>1.75</v>
      </c>
      <c r="F1372" s="759">
        <v>3.29</v>
      </c>
      <c r="H1372" s="759">
        <f t="shared" ref="H1372:H1435" si="22">F1372*E1372</f>
        <v>5.7575000000000003</v>
      </c>
    </row>
    <row r="1373" spans="1:8">
      <c r="A1373" s="701">
        <v>0</v>
      </c>
      <c r="B1373" s="759">
        <v>5</v>
      </c>
      <c r="C1373" s="759">
        <v>6.75</v>
      </c>
      <c r="D1373" s="759">
        <v>2.9</v>
      </c>
      <c r="E1373" s="701">
        <v>1.75</v>
      </c>
      <c r="F1373" s="759">
        <v>3.29</v>
      </c>
      <c r="H1373" s="759">
        <f t="shared" si="22"/>
        <v>5.7575000000000003</v>
      </c>
    </row>
    <row r="1374" spans="1:8">
      <c r="A1374" s="701">
        <v>0</v>
      </c>
      <c r="B1374" s="759">
        <v>5</v>
      </c>
      <c r="C1374" s="759">
        <v>7</v>
      </c>
      <c r="D1374" s="759">
        <v>2.9</v>
      </c>
      <c r="E1374" s="701">
        <v>1.75</v>
      </c>
      <c r="F1374" s="759">
        <v>3.29</v>
      </c>
      <c r="H1374" s="759">
        <f t="shared" si="22"/>
        <v>5.7575000000000003</v>
      </c>
    </row>
    <row r="1375" spans="1:8">
      <c r="A1375" s="701">
        <v>0</v>
      </c>
      <c r="B1375" s="759">
        <v>5</v>
      </c>
      <c r="C1375" s="759">
        <v>7.5</v>
      </c>
      <c r="D1375" s="759">
        <v>2.9</v>
      </c>
      <c r="E1375" s="701">
        <v>1.75</v>
      </c>
      <c r="F1375" s="759">
        <v>3.29</v>
      </c>
      <c r="H1375" s="759">
        <f t="shared" si="22"/>
        <v>5.7575000000000003</v>
      </c>
    </row>
    <row r="1376" spans="1:8">
      <c r="A1376" s="701">
        <v>0</v>
      </c>
      <c r="B1376" s="759">
        <v>5</v>
      </c>
      <c r="C1376" s="759">
        <v>8</v>
      </c>
      <c r="D1376" s="759">
        <v>2.9</v>
      </c>
      <c r="E1376" s="701">
        <v>1.75</v>
      </c>
      <c r="F1376" s="759">
        <v>3.29</v>
      </c>
      <c r="H1376" s="759">
        <f t="shared" si="22"/>
        <v>5.7575000000000003</v>
      </c>
    </row>
    <row r="1377" spans="1:8">
      <c r="A1377" s="701">
        <v>0</v>
      </c>
      <c r="B1377" s="759">
        <v>5.5</v>
      </c>
      <c r="C1377" s="759">
        <v>3</v>
      </c>
      <c r="D1377" s="759">
        <v>2.9</v>
      </c>
      <c r="E1377" s="701">
        <v>1.75</v>
      </c>
      <c r="F1377" s="759">
        <v>3.62</v>
      </c>
      <c r="H1377" s="759">
        <f t="shared" si="22"/>
        <v>6.335</v>
      </c>
    </row>
    <row r="1378" spans="1:8">
      <c r="A1378" s="701">
        <v>0</v>
      </c>
      <c r="B1378" s="759">
        <v>5.5</v>
      </c>
      <c r="C1378" s="759">
        <v>3.25</v>
      </c>
      <c r="D1378" s="759">
        <v>2.9</v>
      </c>
      <c r="E1378" s="701">
        <v>1.75</v>
      </c>
      <c r="F1378" s="759">
        <v>3.62</v>
      </c>
      <c r="H1378" s="759">
        <f t="shared" si="22"/>
        <v>6.335</v>
      </c>
    </row>
    <row r="1379" spans="1:8">
      <c r="A1379" s="701">
        <v>0</v>
      </c>
      <c r="B1379" s="759">
        <v>5.5</v>
      </c>
      <c r="C1379" s="759">
        <v>3.5</v>
      </c>
      <c r="D1379" s="759">
        <v>2.9</v>
      </c>
      <c r="E1379" s="701">
        <v>1.75</v>
      </c>
      <c r="F1379" s="759">
        <v>3.62</v>
      </c>
      <c r="H1379" s="759">
        <f t="shared" si="22"/>
        <v>6.335</v>
      </c>
    </row>
    <row r="1380" spans="1:8">
      <c r="A1380" s="701">
        <v>0</v>
      </c>
      <c r="B1380" s="759">
        <v>5.5</v>
      </c>
      <c r="C1380" s="759">
        <v>3.75</v>
      </c>
      <c r="D1380" s="759">
        <v>2.9</v>
      </c>
      <c r="E1380" s="701">
        <v>1.75</v>
      </c>
      <c r="F1380" s="759">
        <v>3.62</v>
      </c>
      <c r="H1380" s="759">
        <f t="shared" si="22"/>
        <v>6.335</v>
      </c>
    </row>
    <row r="1381" spans="1:8">
      <c r="A1381" s="701">
        <v>0</v>
      </c>
      <c r="B1381" s="759">
        <v>5.5</v>
      </c>
      <c r="C1381" s="759">
        <v>4</v>
      </c>
      <c r="D1381" s="759">
        <v>2.9</v>
      </c>
      <c r="E1381" s="701">
        <v>1.75</v>
      </c>
      <c r="F1381" s="759">
        <v>3.62</v>
      </c>
      <c r="H1381" s="759">
        <f t="shared" si="22"/>
        <v>6.335</v>
      </c>
    </row>
    <row r="1382" spans="1:8">
      <c r="A1382" s="701">
        <v>0</v>
      </c>
      <c r="B1382" s="759">
        <v>5.5</v>
      </c>
      <c r="C1382" s="759">
        <v>4.25</v>
      </c>
      <c r="D1382" s="759">
        <v>2.9</v>
      </c>
      <c r="E1382" s="701">
        <v>1.75</v>
      </c>
      <c r="F1382" s="759">
        <v>3.62</v>
      </c>
      <c r="H1382" s="759">
        <f t="shared" si="22"/>
        <v>6.335</v>
      </c>
    </row>
    <row r="1383" spans="1:8">
      <c r="A1383" s="701">
        <v>0</v>
      </c>
      <c r="B1383" s="759">
        <v>5.5</v>
      </c>
      <c r="C1383" s="759">
        <v>4.5</v>
      </c>
      <c r="D1383" s="759">
        <v>2.9</v>
      </c>
      <c r="E1383" s="701">
        <v>1.75</v>
      </c>
      <c r="F1383" s="759">
        <v>3.62</v>
      </c>
      <c r="H1383" s="759">
        <f t="shared" si="22"/>
        <v>6.335</v>
      </c>
    </row>
    <row r="1384" spans="1:8">
      <c r="A1384" s="701">
        <v>0</v>
      </c>
      <c r="B1384" s="759">
        <v>5.5</v>
      </c>
      <c r="C1384" s="759">
        <v>4.75</v>
      </c>
      <c r="D1384" s="759">
        <v>2.9</v>
      </c>
      <c r="E1384" s="701">
        <v>1.75</v>
      </c>
      <c r="F1384" s="759">
        <v>3.62</v>
      </c>
      <c r="H1384" s="759">
        <f t="shared" si="22"/>
        <v>6.335</v>
      </c>
    </row>
    <row r="1385" spans="1:8">
      <c r="A1385" s="701">
        <v>0</v>
      </c>
      <c r="B1385" s="759">
        <v>5.5</v>
      </c>
      <c r="C1385" s="759">
        <v>5</v>
      </c>
      <c r="D1385" s="759">
        <v>2.9</v>
      </c>
      <c r="E1385" s="701">
        <v>1.75</v>
      </c>
      <c r="F1385" s="759">
        <v>3.62</v>
      </c>
      <c r="H1385" s="759">
        <f t="shared" si="22"/>
        <v>6.335</v>
      </c>
    </row>
    <row r="1386" spans="1:8">
      <c r="A1386" s="701">
        <v>0</v>
      </c>
      <c r="B1386" s="759">
        <v>5.5</v>
      </c>
      <c r="C1386" s="759">
        <v>5.25</v>
      </c>
      <c r="D1386" s="759">
        <v>2.9</v>
      </c>
      <c r="E1386" s="701">
        <v>1.75</v>
      </c>
      <c r="F1386" s="759">
        <v>3.62</v>
      </c>
      <c r="H1386" s="759">
        <f t="shared" si="22"/>
        <v>6.335</v>
      </c>
    </row>
    <row r="1387" spans="1:8">
      <c r="A1387" s="701">
        <v>0</v>
      </c>
      <c r="B1387" s="759">
        <v>5.5</v>
      </c>
      <c r="C1387" s="759">
        <v>5.5</v>
      </c>
      <c r="D1387" s="759">
        <v>2.9</v>
      </c>
      <c r="E1387" s="701">
        <v>1.75</v>
      </c>
      <c r="F1387" s="759">
        <v>3.62</v>
      </c>
      <c r="H1387" s="759">
        <f t="shared" si="22"/>
        <v>6.335</v>
      </c>
    </row>
    <row r="1388" spans="1:8">
      <c r="A1388" s="701">
        <v>0</v>
      </c>
      <c r="B1388" s="759">
        <v>5.5</v>
      </c>
      <c r="C1388" s="759">
        <v>5.75</v>
      </c>
      <c r="D1388" s="759">
        <v>2.9</v>
      </c>
      <c r="E1388" s="701">
        <v>1.75</v>
      </c>
      <c r="F1388" s="759">
        <v>3.62</v>
      </c>
      <c r="H1388" s="759">
        <f t="shared" si="22"/>
        <v>6.335</v>
      </c>
    </row>
    <row r="1389" spans="1:8">
      <c r="A1389" s="701">
        <v>0</v>
      </c>
      <c r="B1389" s="759">
        <v>5.5</v>
      </c>
      <c r="C1389" s="759">
        <v>6</v>
      </c>
      <c r="D1389" s="759">
        <v>2.9</v>
      </c>
      <c r="E1389" s="701">
        <v>1.75</v>
      </c>
      <c r="F1389" s="759">
        <v>3.62</v>
      </c>
      <c r="H1389" s="759">
        <f t="shared" si="22"/>
        <v>6.335</v>
      </c>
    </row>
    <row r="1390" spans="1:8">
      <c r="A1390" s="701">
        <v>0</v>
      </c>
      <c r="B1390" s="759">
        <v>5.5</v>
      </c>
      <c r="C1390" s="759">
        <v>6.25</v>
      </c>
      <c r="D1390" s="759">
        <v>2.9</v>
      </c>
      <c r="E1390" s="701">
        <v>1.75</v>
      </c>
      <c r="F1390" s="759">
        <v>3.62</v>
      </c>
      <c r="H1390" s="759">
        <f t="shared" si="22"/>
        <v>6.335</v>
      </c>
    </row>
    <row r="1391" spans="1:8">
      <c r="A1391" s="701">
        <v>0</v>
      </c>
      <c r="B1391" s="759">
        <v>5.5</v>
      </c>
      <c r="C1391" s="759">
        <v>6.5</v>
      </c>
      <c r="D1391" s="759">
        <v>2.9</v>
      </c>
      <c r="E1391" s="701">
        <v>1.75</v>
      </c>
      <c r="F1391" s="759">
        <v>3.62</v>
      </c>
      <c r="H1391" s="759">
        <f t="shared" si="22"/>
        <v>6.335</v>
      </c>
    </row>
    <row r="1392" spans="1:8">
      <c r="A1392" s="701">
        <v>0</v>
      </c>
      <c r="B1392" s="759">
        <v>5.5</v>
      </c>
      <c r="C1392" s="759">
        <v>6.75</v>
      </c>
      <c r="D1392" s="759">
        <v>2.9</v>
      </c>
      <c r="E1392" s="701">
        <v>1.75</v>
      </c>
      <c r="F1392" s="759">
        <v>3.62</v>
      </c>
      <c r="H1392" s="759">
        <f t="shared" si="22"/>
        <v>6.335</v>
      </c>
    </row>
    <row r="1393" spans="1:8">
      <c r="A1393" s="701">
        <v>0</v>
      </c>
      <c r="B1393" s="759">
        <v>5.5</v>
      </c>
      <c r="C1393" s="759">
        <v>7</v>
      </c>
      <c r="D1393" s="759">
        <v>2.9</v>
      </c>
      <c r="E1393" s="701">
        <v>1.75</v>
      </c>
      <c r="F1393" s="759">
        <v>3.62</v>
      </c>
      <c r="H1393" s="759">
        <f t="shared" si="22"/>
        <v>6.335</v>
      </c>
    </row>
    <row r="1394" spans="1:8">
      <c r="A1394" s="701">
        <v>0</v>
      </c>
      <c r="B1394" s="759">
        <v>5.5</v>
      </c>
      <c r="C1394" s="759">
        <v>7.5</v>
      </c>
      <c r="D1394" s="759">
        <v>2.9</v>
      </c>
      <c r="E1394" s="701">
        <v>1.75</v>
      </c>
      <c r="F1394" s="759">
        <v>3.62</v>
      </c>
      <c r="H1394" s="759">
        <f t="shared" si="22"/>
        <v>6.335</v>
      </c>
    </row>
    <row r="1395" spans="1:8">
      <c r="A1395" s="701">
        <v>0</v>
      </c>
      <c r="B1395" s="759">
        <v>5.5</v>
      </c>
      <c r="C1395" s="759">
        <v>8</v>
      </c>
      <c r="D1395" s="759">
        <v>2.9</v>
      </c>
      <c r="E1395" s="701">
        <v>1.75</v>
      </c>
      <c r="F1395" s="759">
        <v>3.62</v>
      </c>
      <c r="H1395" s="759">
        <f t="shared" si="22"/>
        <v>6.335</v>
      </c>
    </row>
    <row r="1396" spans="1:8">
      <c r="A1396" s="701">
        <v>0</v>
      </c>
      <c r="B1396" s="759">
        <v>6</v>
      </c>
      <c r="C1396" s="759">
        <v>3</v>
      </c>
      <c r="D1396" s="759">
        <v>2.9</v>
      </c>
      <c r="E1396" s="701">
        <v>1.75</v>
      </c>
      <c r="F1396" s="759">
        <v>3.94</v>
      </c>
      <c r="H1396" s="759">
        <f t="shared" si="22"/>
        <v>6.8949999999999996</v>
      </c>
    </row>
    <row r="1397" spans="1:8">
      <c r="A1397" s="701">
        <v>0</v>
      </c>
      <c r="B1397" s="759">
        <v>6</v>
      </c>
      <c r="C1397" s="759">
        <v>3.25</v>
      </c>
      <c r="D1397" s="759">
        <v>2.9</v>
      </c>
      <c r="E1397" s="701">
        <v>1.75</v>
      </c>
      <c r="F1397" s="759">
        <v>3.94</v>
      </c>
      <c r="H1397" s="759">
        <f t="shared" si="22"/>
        <v>6.8949999999999996</v>
      </c>
    </row>
    <row r="1398" spans="1:8">
      <c r="A1398" s="701">
        <v>0</v>
      </c>
      <c r="B1398" s="759">
        <v>6</v>
      </c>
      <c r="C1398" s="759">
        <v>3.5</v>
      </c>
      <c r="D1398" s="759">
        <v>2.9</v>
      </c>
      <c r="E1398" s="701">
        <v>1.75</v>
      </c>
      <c r="F1398" s="759">
        <v>3.94</v>
      </c>
      <c r="H1398" s="759">
        <f t="shared" si="22"/>
        <v>6.8949999999999996</v>
      </c>
    </row>
    <row r="1399" spans="1:8">
      <c r="A1399" s="701">
        <v>0</v>
      </c>
      <c r="B1399" s="759">
        <v>6</v>
      </c>
      <c r="C1399" s="759">
        <v>3.75</v>
      </c>
      <c r="D1399" s="759">
        <v>2.9</v>
      </c>
      <c r="E1399" s="701">
        <v>1.75</v>
      </c>
      <c r="F1399" s="759">
        <v>3.94</v>
      </c>
      <c r="H1399" s="759">
        <f t="shared" si="22"/>
        <v>6.8949999999999996</v>
      </c>
    </row>
    <row r="1400" spans="1:8">
      <c r="A1400" s="701">
        <v>0</v>
      </c>
      <c r="B1400" s="759">
        <v>6</v>
      </c>
      <c r="C1400" s="759">
        <v>4</v>
      </c>
      <c r="D1400" s="759">
        <v>2.9</v>
      </c>
      <c r="E1400" s="701">
        <v>1.75</v>
      </c>
      <c r="F1400" s="759">
        <v>3.94</v>
      </c>
      <c r="H1400" s="759">
        <f t="shared" si="22"/>
        <v>6.8949999999999996</v>
      </c>
    </row>
    <row r="1401" spans="1:8">
      <c r="A1401" s="701">
        <v>0</v>
      </c>
      <c r="B1401" s="759">
        <v>6</v>
      </c>
      <c r="C1401" s="759">
        <v>4.25</v>
      </c>
      <c r="D1401" s="759">
        <v>2.9</v>
      </c>
      <c r="E1401" s="701">
        <v>1.75</v>
      </c>
      <c r="F1401" s="759">
        <v>3.94</v>
      </c>
      <c r="H1401" s="759">
        <f t="shared" si="22"/>
        <v>6.8949999999999996</v>
      </c>
    </row>
    <row r="1402" spans="1:8">
      <c r="A1402" s="701">
        <v>0</v>
      </c>
      <c r="B1402" s="759">
        <v>6</v>
      </c>
      <c r="C1402" s="759">
        <v>4.5</v>
      </c>
      <c r="D1402" s="759">
        <v>2.9</v>
      </c>
      <c r="E1402" s="701">
        <v>1.75</v>
      </c>
      <c r="F1402" s="759">
        <v>3.94</v>
      </c>
      <c r="H1402" s="759">
        <f t="shared" si="22"/>
        <v>6.8949999999999996</v>
      </c>
    </row>
    <row r="1403" spans="1:8">
      <c r="A1403" s="701">
        <v>0</v>
      </c>
      <c r="B1403" s="759">
        <v>6</v>
      </c>
      <c r="C1403" s="759">
        <v>4.75</v>
      </c>
      <c r="D1403" s="759">
        <v>2.9</v>
      </c>
      <c r="E1403" s="701">
        <v>1.75</v>
      </c>
      <c r="F1403" s="759">
        <v>3.94</v>
      </c>
      <c r="H1403" s="759">
        <f t="shared" si="22"/>
        <v>6.8949999999999996</v>
      </c>
    </row>
    <row r="1404" spans="1:8">
      <c r="A1404" s="701">
        <v>0</v>
      </c>
      <c r="B1404" s="759">
        <v>6</v>
      </c>
      <c r="C1404" s="759">
        <v>5</v>
      </c>
      <c r="D1404" s="759">
        <v>2.9</v>
      </c>
      <c r="E1404" s="701">
        <v>1.75</v>
      </c>
      <c r="F1404" s="759">
        <v>3.94</v>
      </c>
      <c r="H1404" s="759">
        <f t="shared" si="22"/>
        <v>6.8949999999999996</v>
      </c>
    </row>
    <row r="1405" spans="1:8">
      <c r="A1405" s="701">
        <v>0</v>
      </c>
      <c r="B1405" s="759">
        <v>6</v>
      </c>
      <c r="C1405" s="759">
        <v>5.25</v>
      </c>
      <c r="D1405" s="759">
        <v>2.9</v>
      </c>
      <c r="E1405" s="701">
        <v>1.75</v>
      </c>
      <c r="F1405" s="759">
        <v>3.94</v>
      </c>
      <c r="H1405" s="759">
        <f t="shared" si="22"/>
        <v>6.8949999999999996</v>
      </c>
    </row>
    <row r="1406" spans="1:8">
      <c r="A1406" s="701">
        <v>0</v>
      </c>
      <c r="B1406" s="759">
        <v>6</v>
      </c>
      <c r="C1406" s="759">
        <v>5.5</v>
      </c>
      <c r="D1406" s="759">
        <v>2.9</v>
      </c>
      <c r="E1406" s="701">
        <v>1.75</v>
      </c>
      <c r="F1406" s="759">
        <v>3.94</v>
      </c>
      <c r="H1406" s="759">
        <f t="shared" si="22"/>
        <v>6.8949999999999996</v>
      </c>
    </row>
    <row r="1407" spans="1:8">
      <c r="A1407" s="701">
        <v>0</v>
      </c>
      <c r="B1407" s="759">
        <v>6</v>
      </c>
      <c r="C1407" s="759">
        <v>5.75</v>
      </c>
      <c r="D1407" s="759">
        <v>2.9</v>
      </c>
      <c r="E1407" s="701">
        <v>1.75</v>
      </c>
      <c r="F1407" s="759">
        <v>3.94</v>
      </c>
      <c r="H1407" s="759">
        <f t="shared" si="22"/>
        <v>6.8949999999999996</v>
      </c>
    </row>
    <row r="1408" spans="1:8">
      <c r="A1408" s="701">
        <v>0</v>
      </c>
      <c r="B1408" s="759">
        <v>6</v>
      </c>
      <c r="C1408" s="759">
        <v>6</v>
      </c>
      <c r="D1408" s="759">
        <v>2.9</v>
      </c>
      <c r="E1408" s="701">
        <v>1.75</v>
      </c>
      <c r="F1408" s="759">
        <v>3.94</v>
      </c>
      <c r="H1408" s="759">
        <f t="shared" si="22"/>
        <v>6.8949999999999996</v>
      </c>
    </row>
    <row r="1409" spans="1:8">
      <c r="A1409" s="701">
        <v>0</v>
      </c>
      <c r="B1409" s="759">
        <v>6</v>
      </c>
      <c r="C1409" s="759">
        <v>6.25</v>
      </c>
      <c r="D1409" s="759">
        <v>2.9</v>
      </c>
      <c r="E1409" s="701">
        <v>1.75</v>
      </c>
      <c r="F1409" s="759">
        <v>3.94</v>
      </c>
      <c r="H1409" s="759">
        <f t="shared" si="22"/>
        <v>6.8949999999999996</v>
      </c>
    </row>
    <row r="1410" spans="1:8">
      <c r="A1410" s="701">
        <v>0</v>
      </c>
      <c r="B1410" s="759">
        <v>6</v>
      </c>
      <c r="C1410" s="759">
        <v>6.5</v>
      </c>
      <c r="D1410" s="759">
        <v>2.9</v>
      </c>
      <c r="E1410" s="701">
        <v>1.75</v>
      </c>
      <c r="F1410" s="759">
        <v>3.94</v>
      </c>
      <c r="H1410" s="759">
        <f t="shared" si="22"/>
        <v>6.8949999999999996</v>
      </c>
    </row>
    <row r="1411" spans="1:8">
      <c r="A1411" s="701">
        <v>0</v>
      </c>
      <c r="B1411" s="759">
        <v>6</v>
      </c>
      <c r="C1411" s="759">
        <v>6.75</v>
      </c>
      <c r="D1411" s="759">
        <v>2.9</v>
      </c>
      <c r="E1411" s="701">
        <v>1.75</v>
      </c>
      <c r="F1411" s="759">
        <v>3.94</v>
      </c>
      <c r="H1411" s="759">
        <f t="shared" si="22"/>
        <v>6.8949999999999996</v>
      </c>
    </row>
    <row r="1412" spans="1:8">
      <c r="A1412" s="701">
        <v>0</v>
      </c>
      <c r="B1412" s="759">
        <v>6</v>
      </c>
      <c r="C1412" s="759">
        <v>7</v>
      </c>
      <c r="D1412" s="759">
        <v>2.9</v>
      </c>
      <c r="E1412" s="701">
        <v>1.75</v>
      </c>
      <c r="F1412" s="759">
        <v>3.94</v>
      </c>
      <c r="H1412" s="759">
        <f t="shared" si="22"/>
        <v>6.8949999999999996</v>
      </c>
    </row>
    <row r="1413" spans="1:8">
      <c r="A1413" s="701">
        <v>0</v>
      </c>
      <c r="B1413" s="759">
        <v>6</v>
      </c>
      <c r="C1413" s="759">
        <v>7.5</v>
      </c>
      <c r="D1413" s="759">
        <v>2.9</v>
      </c>
      <c r="E1413" s="701">
        <v>1.75</v>
      </c>
      <c r="F1413" s="759">
        <v>3.94</v>
      </c>
      <c r="H1413" s="759">
        <f t="shared" si="22"/>
        <v>6.8949999999999996</v>
      </c>
    </row>
    <row r="1414" spans="1:8">
      <c r="A1414" s="701">
        <v>0</v>
      </c>
      <c r="B1414" s="759">
        <v>6</v>
      </c>
      <c r="C1414" s="759">
        <v>8</v>
      </c>
      <c r="D1414" s="759">
        <v>2.9</v>
      </c>
      <c r="E1414" s="701">
        <v>1.75</v>
      </c>
      <c r="F1414" s="759">
        <v>3.94</v>
      </c>
      <c r="H1414" s="759">
        <f t="shared" si="22"/>
        <v>6.8949999999999996</v>
      </c>
    </row>
    <row r="1415" spans="1:8">
      <c r="A1415" s="701">
        <v>0</v>
      </c>
      <c r="B1415" s="759">
        <v>6.5</v>
      </c>
      <c r="C1415" s="759">
        <v>3</v>
      </c>
      <c r="D1415" s="759">
        <v>2.9</v>
      </c>
      <c r="E1415" s="701">
        <v>1.75</v>
      </c>
      <c r="F1415" s="759">
        <v>4.2699999999999996</v>
      </c>
      <c r="H1415" s="759">
        <f t="shared" si="22"/>
        <v>7.4724999999999993</v>
      </c>
    </row>
    <row r="1416" spans="1:8">
      <c r="A1416" s="701">
        <v>0</v>
      </c>
      <c r="B1416" s="759">
        <v>6.5</v>
      </c>
      <c r="C1416" s="759">
        <v>3.25</v>
      </c>
      <c r="D1416" s="759">
        <v>2.9</v>
      </c>
      <c r="E1416" s="701">
        <v>1.75</v>
      </c>
      <c r="F1416" s="759">
        <v>4.2699999999999996</v>
      </c>
      <c r="H1416" s="759">
        <f t="shared" si="22"/>
        <v>7.4724999999999993</v>
      </c>
    </row>
    <row r="1417" spans="1:8">
      <c r="A1417" s="701">
        <v>0</v>
      </c>
      <c r="B1417" s="759">
        <v>6.5</v>
      </c>
      <c r="C1417" s="759">
        <v>3.5</v>
      </c>
      <c r="D1417" s="759">
        <v>2.9</v>
      </c>
      <c r="E1417" s="701">
        <v>1.75</v>
      </c>
      <c r="F1417" s="759">
        <v>4.2699999999999996</v>
      </c>
      <c r="H1417" s="759">
        <f t="shared" si="22"/>
        <v>7.4724999999999993</v>
      </c>
    </row>
    <row r="1418" spans="1:8">
      <c r="A1418" s="701">
        <v>0</v>
      </c>
      <c r="B1418" s="759">
        <v>6.5</v>
      </c>
      <c r="C1418" s="759">
        <v>3.75</v>
      </c>
      <c r="D1418" s="759">
        <v>2.9</v>
      </c>
      <c r="E1418" s="701">
        <v>1.75</v>
      </c>
      <c r="F1418" s="759">
        <v>4.2699999999999996</v>
      </c>
      <c r="H1418" s="759">
        <f t="shared" si="22"/>
        <v>7.4724999999999993</v>
      </c>
    </row>
    <row r="1419" spans="1:8">
      <c r="A1419" s="701">
        <v>0</v>
      </c>
      <c r="B1419" s="759">
        <v>6.5</v>
      </c>
      <c r="C1419" s="759">
        <v>4</v>
      </c>
      <c r="D1419" s="759">
        <v>2.9</v>
      </c>
      <c r="E1419" s="701">
        <v>1.75</v>
      </c>
      <c r="F1419" s="759">
        <v>4.2699999999999996</v>
      </c>
      <c r="H1419" s="759">
        <f t="shared" si="22"/>
        <v>7.4724999999999993</v>
      </c>
    </row>
    <row r="1420" spans="1:8">
      <c r="A1420" s="701">
        <v>0</v>
      </c>
      <c r="B1420" s="759">
        <v>6.5</v>
      </c>
      <c r="C1420" s="759">
        <v>4.25</v>
      </c>
      <c r="D1420" s="759">
        <v>2.9</v>
      </c>
      <c r="E1420" s="701">
        <v>1.75</v>
      </c>
      <c r="F1420" s="759">
        <v>4.2699999999999996</v>
      </c>
      <c r="H1420" s="759">
        <f t="shared" si="22"/>
        <v>7.4724999999999993</v>
      </c>
    </row>
    <row r="1421" spans="1:8">
      <c r="A1421" s="701">
        <v>0</v>
      </c>
      <c r="B1421" s="759">
        <v>6.5</v>
      </c>
      <c r="C1421" s="759">
        <v>4.5</v>
      </c>
      <c r="D1421" s="759">
        <v>2.9</v>
      </c>
      <c r="E1421" s="701">
        <v>1.75</v>
      </c>
      <c r="F1421" s="759">
        <v>4.2699999999999996</v>
      </c>
      <c r="H1421" s="759">
        <f t="shared" si="22"/>
        <v>7.4724999999999993</v>
      </c>
    </row>
    <row r="1422" spans="1:8">
      <c r="A1422" s="701">
        <v>0</v>
      </c>
      <c r="B1422" s="759">
        <v>6.5</v>
      </c>
      <c r="C1422" s="759">
        <v>4.75</v>
      </c>
      <c r="D1422" s="759">
        <v>2.9</v>
      </c>
      <c r="E1422" s="701">
        <v>1.75</v>
      </c>
      <c r="F1422" s="759">
        <v>4.2699999999999996</v>
      </c>
      <c r="H1422" s="759">
        <f t="shared" si="22"/>
        <v>7.4724999999999993</v>
      </c>
    </row>
    <row r="1423" spans="1:8">
      <c r="A1423" s="701">
        <v>0</v>
      </c>
      <c r="B1423" s="759">
        <v>6.5</v>
      </c>
      <c r="C1423" s="759">
        <v>5</v>
      </c>
      <c r="D1423" s="759">
        <v>2.9</v>
      </c>
      <c r="E1423" s="701">
        <v>1.75</v>
      </c>
      <c r="F1423" s="759">
        <v>4.2699999999999996</v>
      </c>
      <c r="H1423" s="759">
        <f t="shared" si="22"/>
        <v>7.4724999999999993</v>
      </c>
    </row>
    <row r="1424" spans="1:8">
      <c r="A1424" s="701">
        <v>0</v>
      </c>
      <c r="B1424" s="759">
        <v>6.5</v>
      </c>
      <c r="C1424" s="759">
        <v>5.25</v>
      </c>
      <c r="D1424" s="759">
        <v>2.9</v>
      </c>
      <c r="E1424" s="701">
        <v>1.75</v>
      </c>
      <c r="F1424" s="759">
        <v>4.2699999999999996</v>
      </c>
      <c r="H1424" s="759">
        <f t="shared" si="22"/>
        <v>7.4724999999999993</v>
      </c>
    </row>
    <row r="1425" spans="1:8">
      <c r="A1425" s="701">
        <v>0</v>
      </c>
      <c r="B1425" s="759">
        <v>6.5</v>
      </c>
      <c r="C1425" s="759">
        <v>5.5</v>
      </c>
      <c r="D1425" s="759">
        <v>2.9</v>
      </c>
      <c r="E1425" s="701">
        <v>1.75</v>
      </c>
      <c r="F1425" s="759">
        <v>4.2699999999999996</v>
      </c>
      <c r="H1425" s="759">
        <f t="shared" si="22"/>
        <v>7.4724999999999993</v>
      </c>
    </row>
    <row r="1426" spans="1:8">
      <c r="A1426" s="701">
        <v>0</v>
      </c>
      <c r="B1426" s="759">
        <v>6.5</v>
      </c>
      <c r="C1426" s="759">
        <v>5.75</v>
      </c>
      <c r="D1426" s="759">
        <v>2.9</v>
      </c>
      <c r="E1426" s="701">
        <v>1.75</v>
      </c>
      <c r="F1426" s="759">
        <v>4.2699999999999996</v>
      </c>
      <c r="H1426" s="759">
        <f t="shared" si="22"/>
        <v>7.4724999999999993</v>
      </c>
    </row>
    <row r="1427" spans="1:8">
      <c r="A1427" s="701">
        <v>0</v>
      </c>
      <c r="B1427" s="759">
        <v>6.5</v>
      </c>
      <c r="C1427" s="759">
        <v>6</v>
      </c>
      <c r="D1427" s="759">
        <v>2.9</v>
      </c>
      <c r="E1427" s="701">
        <v>1.75</v>
      </c>
      <c r="F1427" s="759">
        <v>4.2699999999999996</v>
      </c>
      <c r="H1427" s="759">
        <f t="shared" si="22"/>
        <v>7.4724999999999993</v>
      </c>
    </row>
    <row r="1428" spans="1:8">
      <c r="A1428" s="701">
        <v>0</v>
      </c>
      <c r="B1428" s="759">
        <v>6.5</v>
      </c>
      <c r="C1428" s="759">
        <v>6.25</v>
      </c>
      <c r="D1428" s="759">
        <v>2.9</v>
      </c>
      <c r="E1428" s="701">
        <v>1.75</v>
      </c>
      <c r="F1428" s="759">
        <v>4.2699999999999996</v>
      </c>
      <c r="H1428" s="759">
        <f t="shared" si="22"/>
        <v>7.4724999999999993</v>
      </c>
    </row>
    <row r="1429" spans="1:8">
      <c r="A1429" s="701">
        <v>0</v>
      </c>
      <c r="B1429" s="759">
        <v>6.5</v>
      </c>
      <c r="C1429" s="759">
        <v>6.5</v>
      </c>
      <c r="D1429" s="759">
        <v>2.9</v>
      </c>
      <c r="E1429" s="701">
        <v>1.75</v>
      </c>
      <c r="F1429" s="759">
        <v>4.2699999999999996</v>
      </c>
      <c r="H1429" s="759">
        <f t="shared" si="22"/>
        <v>7.4724999999999993</v>
      </c>
    </row>
    <row r="1430" spans="1:8">
      <c r="A1430" s="701">
        <v>0</v>
      </c>
      <c r="B1430" s="759">
        <v>6.5</v>
      </c>
      <c r="C1430" s="759">
        <v>6.75</v>
      </c>
      <c r="D1430" s="759">
        <v>2.9</v>
      </c>
      <c r="E1430" s="701">
        <v>1.75</v>
      </c>
      <c r="F1430" s="759">
        <v>4.2699999999999996</v>
      </c>
      <c r="H1430" s="759">
        <f t="shared" si="22"/>
        <v>7.4724999999999993</v>
      </c>
    </row>
    <row r="1431" spans="1:8">
      <c r="A1431" s="701">
        <v>0</v>
      </c>
      <c r="B1431" s="759">
        <v>6.5</v>
      </c>
      <c r="C1431" s="759">
        <v>7</v>
      </c>
      <c r="D1431" s="759">
        <v>2.9</v>
      </c>
      <c r="E1431" s="701">
        <v>1.75</v>
      </c>
      <c r="F1431" s="759">
        <v>4.2699999999999996</v>
      </c>
      <c r="H1431" s="759">
        <f t="shared" si="22"/>
        <v>7.4724999999999993</v>
      </c>
    </row>
    <row r="1432" spans="1:8">
      <c r="A1432" s="701">
        <v>0</v>
      </c>
      <c r="B1432" s="759">
        <v>6.5</v>
      </c>
      <c r="C1432" s="759">
        <v>7.5</v>
      </c>
      <c r="D1432" s="759">
        <v>2.9</v>
      </c>
      <c r="E1432" s="701">
        <v>1.75</v>
      </c>
      <c r="F1432" s="759">
        <v>4.2699999999999996</v>
      </c>
      <c r="H1432" s="759">
        <f t="shared" si="22"/>
        <v>7.4724999999999993</v>
      </c>
    </row>
    <row r="1433" spans="1:8">
      <c r="A1433" s="701">
        <v>0</v>
      </c>
      <c r="B1433" s="759">
        <v>6.5</v>
      </c>
      <c r="C1433" s="759">
        <v>8</v>
      </c>
      <c r="D1433" s="759">
        <v>2.9</v>
      </c>
      <c r="E1433" s="701">
        <v>1.75</v>
      </c>
      <c r="F1433" s="759">
        <v>4.2699999999999996</v>
      </c>
      <c r="H1433" s="759">
        <f t="shared" si="22"/>
        <v>7.4724999999999993</v>
      </c>
    </row>
    <row r="1434" spans="1:8">
      <c r="A1434" s="701">
        <v>0</v>
      </c>
      <c r="B1434" s="759">
        <v>7</v>
      </c>
      <c r="C1434" s="759">
        <v>3</v>
      </c>
      <c r="D1434" s="759">
        <v>2.9</v>
      </c>
      <c r="E1434" s="701">
        <v>1.75</v>
      </c>
      <c r="F1434" s="759">
        <v>4.5999999999999996</v>
      </c>
      <c r="H1434" s="759">
        <f t="shared" si="22"/>
        <v>8.0499999999999989</v>
      </c>
    </row>
    <row r="1435" spans="1:8">
      <c r="A1435" s="701">
        <v>0</v>
      </c>
      <c r="B1435" s="759">
        <v>7</v>
      </c>
      <c r="C1435" s="759">
        <v>3.25</v>
      </c>
      <c r="D1435" s="759">
        <v>2.9</v>
      </c>
      <c r="E1435" s="701">
        <v>1.75</v>
      </c>
      <c r="F1435" s="759">
        <v>4.5999999999999996</v>
      </c>
      <c r="H1435" s="759">
        <f t="shared" si="22"/>
        <v>8.0499999999999989</v>
      </c>
    </row>
    <row r="1436" spans="1:8">
      <c r="A1436" s="701">
        <v>0</v>
      </c>
      <c r="B1436" s="759">
        <v>7</v>
      </c>
      <c r="C1436" s="759">
        <v>3.5</v>
      </c>
      <c r="D1436" s="759">
        <v>2.9</v>
      </c>
      <c r="E1436" s="701">
        <v>1.75</v>
      </c>
      <c r="F1436" s="759">
        <v>4.5999999999999996</v>
      </c>
      <c r="H1436" s="759">
        <f t="shared" ref="H1436:H1490" si="23">F1436*E1436</f>
        <v>8.0499999999999989</v>
      </c>
    </row>
    <row r="1437" spans="1:8">
      <c r="A1437" s="701">
        <v>0</v>
      </c>
      <c r="B1437" s="759">
        <v>7</v>
      </c>
      <c r="C1437" s="759">
        <v>3.75</v>
      </c>
      <c r="D1437" s="759">
        <v>2.9</v>
      </c>
      <c r="E1437" s="701">
        <v>1.75</v>
      </c>
      <c r="F1437" s="759">
        <v>4.5999999999999996</v>
      </c>
      <c r="H1437" s="759">
        <f t="shared" si="23"/>
        <v>8.0499999999999989</v>
      </c>
    </row>
    <row r="1438" spans="1:8">
      <c r="A1438" s="701">
        <v>0</v>
      </c>
      <c r="B1438" s="759">
        <v>7</v>
      </c>
      <c r="C1438" s="759">
        <v>4</v>
      </c>
      <c r="D1438" s="759">
        <v>2.9</v>
      </c>
      <c r="E1438" s="701">
        <v>1.75</v>
      </c>
      <c r="F1438" s="759">
        <v>4.5999999999999996</v>
      </c>
      <c r="H1438" s="759">
        <f t="shared" si="23"/>
        <v>8.0499999999999989</v>
      </c>
    </row>
    <row r="1439" spans="1:8">
      <c r="A1439" s="701">
        <v>0</v>
      </c>
      <c r="B1439" s="759">
        <v>7</v>
      </c>
      <c r="C1439" s="759">
        <v>4.25</v>
      </c>
      <c r="D1439" s="759">
        <v>2.9</v>
      </c>
      <c r="E1439" s="701">
        <v>1.75</v>
      </c>
      <c r="F1439" s="759">
        <v>4.5999999999999996</v>
      </c>
      <c r="H1439" s="759">
        <f t="shared" si="23"/>
        <v>8.0499999999999989</v>
      </c>
    </row>
    <row r="1440" spans="1:8">
      <c r="A1440" s="701">
        <v>0</v>
      </c>
      <c r="B1440" s="759">
        <v>7</v>
      </c>
      <c r="C1440" s="759">
        <v>4.5</v>
      </c>
      <c r="D1440" s="759">
        <v>2.9</v>
      </c>
      <c r="E1440" s="701">
        <v>1.75</v>
      </c>
      <c r="F1440" s="759">
        <v>4.5999999999999996</v>
      </c>
      <c r="H1440" s="759">
        <f t="shared" si="23"/>
        <v>8.0499999999999989</v>
      </c>
    </row>
    <row r="1441" spans="1:8">
      <c r="A1441" s="701">
        <v>0</v>
      </c>
      <c r="B1441" s="759">
        <v>7</v>
      </c>
      <c r="C1441" s="759">
        <v>4.75</v>
      </c>
      <c r="D1441" s="759">
        <v>2.9</v>
      </c>
      <c r="E1441" s="701">
        <v>1.75</v>
      </c>
      <c r="F1441" s="759">
        <v>4.5999999999999996</v>
      </c>
      <c r="H1441" s="759">
        <f t="shared" si="23"/>
        <v>8.0499999999999989</v>
      </c>
    </row>
    <row r="1442" spans="1:8">
      <c r="A1442" s="701">
        <v>0</v>
      </c>
      <c r="B1442" s="759">
        <v>7</v>
      </c>
      <c r="C1442" s="759">
        <v>5</v>
      </c>
      <c r="D1442" s="759">
        <v>2.9</v>
      </c>
      <c r="E1442" s="701">
        <v>1.75</v>
      </c>
      <c r="F1442" s="759">
        <v>4.5999999999999996</v>
      </c>
      <c r="H1442" s="759">
        <f t="shared" si="23"/>
        <v>8.0499999999999989</v>
      </c>
    </row>
    <row r="1443" spans="1:8">
      <c r="A1443" s="701">
        <v>0</v>
      </c>
      <c r="B1443" s="759">
        <v>7</v>
      </c>
      <c r="C1443" s="759">
        <v>5.25</v>
      </c>
      <c r="D1443" s="759">
        <v>2.9</v>
      </c>
      <c r="E1443" s="701">
        <v>1.75</v>
      </c>
      <c r="F1443" s="759">
        <v>4.5999999999999996</v>
      </c>
      <c r="H1443" s="759">
        <f t="shared" si="23"/>
        <v>8.0499999999999989</v>
      </c>
    </row>
    <row r="1444" spans="1:8">
      <c r="A1444" s="701">
        <v>0</v>
      </c>
      <c r="B1444" s="759">
        <v>7</v>
      </c>
      <c r="C1444" s="759">
        <v>5.5</v>
      </c>
      <c r="D1444" s="759">
        <v>2.9</v>
      </c>
      <c r="E1444" s="701">
        <v>1.75</v>
      </c>
      <c r="F1444" s="759">
        <v>4.5999999999999996</v>
      </c>
      <c r="H1444" s="759">
        <f t="shared" si="23"/>
        <v>8.0499999999999989</v>
      </c>
    </row>
    <row r="1445" spans="1:8">
      <c r="A1445" s="701">
        <v>0</v>
      </c>
      <c r="B1445" s="759">
        <v>7</v>
      </c>
      <c r="C1445" s="759">
        <v>5.75</v>
      </c>
      <c r="D1445" s="759">
        <v>2.9</v>
      </c>
      <c r="E1445" s="701">
        <v>1.75</v>
      </c>
      <c r="F1445" s="759">
        <v>4.5999999999999996</v>
      </c>
      <c r="H1445" s="759">
        <f t="shared" si="23"/>
        <v>8.0499999999999989</v>
      </c>
    </row>
    <row r="1446" spans="1:8">
      <c r="A1446" s="701">
        <v>0</v>
      </c>
      <c r="B1446" s="759">
        <v>7</v>
      </c>
      <c r="C1446" s="759">
        <v>6</v>
      </c>
      <c r="D1446" s="759">
        <v>2.9</v>
      </c>
      <c r="E1446" s="701">
        <v>1.75</v>
      </c>
      <c r="F1446" s="759">
        <v>4.5999999999999996</v>
      </c>
      <c r="H1446" s="759">
        <f t="shared" si="23"/>
        <v>8.0499999999999989</v>
      </c>
    </row>
    <row r="1447" spans="1:8">
      <c r="A1447" s="701">
        <v>0</v>
      </c>
      <c r="B1447" s="759">
        <v>7</v>
      </c>
      <c r="C1447" s="759">
        <v>6.25</v>
      </c>
      <c r="D1447" s="759">
        <v>2.9</v>
      </c>
      <c r="E1447" s="701">
        <v>1.75</v>
      </c>
      <c r="F1447" s="759">
        <v>4.5999999999999996</v>
      </c>
      <c r="H1447" s="759">
        <f t="shared" si="23"/>
        <v>8.0499999999999989</v>
      </c>
    </row>
    <row r="1448" spans="1:8">
      <c r="A1448" s="701">
        <v>0</v>
      </c>
      <c r="B1448" s="759">
        <v>7</v>
      </c>
      <c r="C1448" s="759">
        <v>6.5</v>
      </c>
      <c r="D1448" s="759">
        <v>2.9</v>
      </c>
      <c r="E1448" s="701">
        <v>1.75</v>
      </c>
      <c r="F1448" s="759">
        <v>4.5999999999999996</v>
      </c>
      <c r="H1448" s="759">
        <f t="shared" si="23"/>
        <v>8.0499999999999989</v>
      </c>
    </row>
    <row r="1449" spans="1:8">
      <c r="A1449" s="701">
        <v>0</v>
      </c>
      <c r="B1449" s="759">
        <v>7</v>
      </c>
      <c r="C1449" s="759">
        <v>6.75</v>
      </c>
      <c r="D1449" s="759">
        <v>2.9</v>
      </c>
      <c r="E1449" s="701">
        <v>1.75</v>
      </c>
      <c r="F1449" s="759">
        <v>4.5999999999999996</v>
      </c>
      <c r="H1449" s="759">
        <f t="shared" si="23"/>
        <v>8.0499999999999989</v>
      </c>
    </row>
    <row r="1450" spans="1:8">
      <c r="A1450" s="701">
        <v>0</v>
      </c>
      <c r="B1450" s="759">
        <v>7</v>
      </c>
      <c r="C1450" s="759">
        <v>7</v>
      </c>
      <c r="D1450" s="759">
        <v>2.9</v>
      </c>
      <c r="E1450" s="701">
        <v>1.75</v>
      </c>
      <c r="F1450" s="759">
        <v>4.5999999999999996</v>
      </c>
      <c r="H1450" s="759">
        <f t="shared" si="23"/>
        <v>8.0499999999999989</v>
      </c>
    </row>
    <row r="1451" spans="1:8">
      <c r="A1451" s="701">
        <v>0</v>
      </c>
      <c r="B1451" s="759">
        <v>7</v>
      </c>
      <c r="C1451" s="759">
        <v>7.5</v>
      </c>
      <c r="D1451" s="759">
        <v>2.9</v>
      </c>
      <c r="E1451" s="701">
        <v>1.75</v>
      </c>
      <c r="F1451" s="759">
        <v>4.5999999999999996</v>
      </c>
      <c r="H1451" s="759">
        <f t="shared" si="23"/>
        <v>8.0499999999999989</v>
      </c>
    </row>
    <row r="1452" spans="1:8">
      <c r="A1452" s="701">
        <v>0</v>
      </c>
      <c r="B1452" s="759">
        <v>7</v>
      </c>
      <c r="C1452" s="759">
        <v>8</v>
      </c>
      <c r="D1452" s="759">
        <v>2.9</v>
      </c>
      <c r="E1452" s="701">
        <v>1.75</v>
      </c>
      <c r="F1452" s="759">
        <v>4.5999999999999996</v>
      </c>
      <c r="H1452" s="759">
        <f t="shared" si="23"/>
        <v>8.0499999999999989</v>
      </c>
    </row>
    <row r="1453" spans="1:8">
      <c r="A1453" s="701">
        <v>0</v>
      </c>
      <c r="B1453" s="759">
        <v>7.5</v>
      </c>
      <c r="C1453" s="759">
        <v>3</v>
      </c>
      <c r="D1453" s="759">
        <v>2.9</v>
      </c>
      <c r="E1453" s="701">
        <v>1.75</v>
      </c>
      <c r="F1453" s="759">
        <v>4.93</v>
      </c>
      <c r="H1453" s="759">
        <f t="shared" si="23"/>
        <v>8.6274999999999995</v>
      </c>
    </row>
    <row r="1454" spans="1:8">
      <c r="A1454" s="701">
        <v>0</v>
      </c>
      <c r="B1454" s="759">
        <v>7.5</v>
      </c>
      <c r="C1454" s="759">
        <v>3.25</v>
      </c>
      <c r="D1454" s="759">
        <v>2.9</v>
      </c>
      <c r="E1454" s="701">
        <v>1.75</v>
      </c>
      <c r="F1454" s="759">
        <v>4.93</v>
      </c>
      <c r="H1454" s="759">
        <f t="shared" si="23"/>
        <v>8.6274999999999995</v>
      </c>
    </row>
    <row r="1455" spans="1:8">
      <c r="A1455" s="701">
        <v>0</v>
      </c>
      <c r="B1455" s="759">
        <v>7.5</v>
      </c>
      <c r="C1455" s="759">
        <v>3.5</v>
      </c>
      <c r="D1455" s="759">
        <v>2.9</v>
      </c>
      <c r="E1455" s="701">
        <v>1.75</v>
      </c>
      <c r="F1455" s="759">
        <v>4.93</v>
      </c>
      <c r="H1455" s="759">
        <f t="shared" si="23"/>
        <v>8.6274999999999995</v>
      </c>
    </row>
    <row r="1456" spans="1:8">
      <c r="A1456" s="701">
        <v>0</v>
      </c>
      <c r="B1456" s="759">
        <v>7.5</v>
      </c>
      <c r="C1456" s="759">
        <v>3.75</v>
      </c>
      <c r="D1456" s="759">
        <v>2.9</v>
      </c>
      <c r="E1456" s="701">
        <v>1.75</v>
      </c>
      <c r="F1456" s="759">
        <v>4.93</v>
      </c>
      <c r="H1456" s="759">
        <f t="shared" si="23"/>
        <v>8.6274999999999995</v>
      </c>
    </row>
    <row r="1457" spans="1:8">
      <c r="A1457" s="701">
        <v>0</v>
      </c>
      <c r="B1457" s="759">
        <v>7.5</v>
      </c>
      <c r="C1457" s="759">
        <v>4</v>
      </c>
      <c r="D1457" s="759">
        <v>2.9</v>
      </c>
      <c r="E1457" s="701">
        <v>1.75</v>
      </c>
      <c r="F1457" s="759">
        <v>4.93</v>
      </c>
      <c r="H1457" s="759">
        <f t="shared" si="23"/>
        <v>8.6274999999999995</v>
      </c>
    </row>
    <row r="1458" spans="1:8">
      <c r="A1458" s="701">
        <v>0</v>
      </c>
      <c r="B1458" s="759">
        <v>7.5</v>
      </c>
      <c r="C1458" s="759">
        <v>4.25</v>
      </c>
      <c r="D1458" s="759">
        <v>2.9</v>
      </c>
      <c r="E1458" s="701">
        <v>1.75</v>
      </c>
      <c r="F1458" s="759">
        <v>4.93</v>
      </c>
      <c r="H1458" s="759">
        <f t="shared" si="23"/>
        <v>8.6274999999999995</v>
      </c>
    </row>
    <row r="1459" spans="1:8">
      <c r="A1459" s="701">
        <v>0</v>
      </c>
      <c r="B1459" s="759">
        <v>7.5</v>
      </c>
      <c r="C1459" s="759">
        <v>4.5</v>
      </c>
      <c r="D1459" s="759">
        <v>2.9</v>
      </c>
      <c r="E1459" s="701">
        <v>1.75</v>
      </c>
      <c r="F1459" s="759">
        <v>4.93</v>
      </c>
      <c r="H1459" s="759">
        <f t="shared" si="23"/>
        <v>8.6274999999999995</v>
      </c>
    </row>
    <row r="1460" spans="1:8">
      <c r="A1460" s="701">
        <v>0</v>
      </c>
      <c r="B1460" s="759">
        <v>7.5</v>
      </c>
      <c r="C1460" s="759">
        <v>4.75</v>
      </c>
      <c r="D1460" s="759">
        <v>2.9</v>
      </c>
      <c r="E1460" s="701">
        <v>1.75</v>
      </c>
      <c r="F1460" s="759">
        <v>4.93</v>
      </c>
      <c r="H1460" s="759">
        <f t="shared" si="23"/>
        <v>8.6274999999999995</v>
      </c>
    </row>
    <row r="1461" spans="1:8">
      <c r="A1461" s="701">
        <v>0</v>
      </c>
      <c r="B1461" s="759">
        <v>7.5</v>
      </c>
      <c r="C1461" s="759">
        <v>5</v>
      </c>
      <c r="D1461" s="759">
        <v>2.9</v>
      </c>
      <c r="E1461" s="701">
        <v>1.75</v>
      </c>
      <c r="F1461" s="759">
        <v>4.93</v>
      </c>
      <c r="H1461" s="759">
        <f t="shared" si="23"/>
        <v>8.6274999999999995</v>
      </c>
    </row>
    <row r="1462" spans="1:8">
      <c r="A1462" s="701">
        <v>0</v>
      </c>
      <c r="B1462" s="759">
        <v>7.5</v>
      </c>
      <c r="C1462" s="759">
        <v>5.25</v>
      </c>
      <c r="D1462" s="759">
        <v>2.9</v>
      </c>
      <c r="E1462" s="701">
        <v>1.75</v>
      </c>
      <c r="F1462" s="759">
        <v>4.93</v>
      </c>
      <c r="H1462" s="759">
        <f t="shared" si="23"/>
        <v>8.6274999999999995</v>
      </c>
    </row>
    <row r="1463" spans="1:8">
      <c r="A1463" s="701">
        <v>0</v>
      </c>
      <c r="B1463" s="759">
        <v>7.5</v>
      </c>
      <c r="C1463" s="759">
        <v>5.5</v>
      </c>
      <c r="D1463" s="759">
        <v>2.9</v>
      </c>
      <c r="E1463" s="701">
        <v>1.75</v>
      </c>
      <c r="F1463" s="759">
        <v>4.93</v>
      </c>
      <c r="H1463" s="759">
        <f t="shared" si="23"/>
        <v>8.6274999999999995</v>
      </c>
    </row>
    <row r="1464" spans="1:8">
      <c r="A1464" s="701">
        <v>0</v>
      </c>
      <c r="B1464" s="759">
        <v>7.5</v>
      </c>
      <c r="C1464" s="759">
        <v>5.75</v>
      </c>
      <c r="D1464" s="759">
        <v>2.9</v>
      </c>
      <c r="E1464" s="701">
        <v>1.75</v>
      </c>
      <c r="F1464" s="759">
        <v>4.93</v>
      </c>
      <c r="H1464" s="759">
        <f t="shared" si="23"/>
        <v>8.6274999999999995</v>
      </c>
    </row>
    <row r="1465" spans="1:8">
      <c r="A1465" s="701">
        <v>0</v>
      </c>
      <c r="B1465" s="759">
        <v>7.5</v>
      </c>
      <c r="C1465" s="759">
        <v>6</v>
      </c>
      <c r="D1465" s="759">
        <v>2.9</v>
      </c>
      <c r="E1465" s="701">
        <v>1.75</v>
      </c>
      <c r="F1465" s="759">
        <v>4.93</v>
      </c>
      <c r="H1465" s="759">
        <f t="shared" si="23"/>
        <v>8.6274999999999995</v>
      </c>
    </row>
    <row r="1466" spans="1:8">
      <c r="A1466" s="701">
        <v>0</v>
      </c>
      <c r="B1466" s="759">
        <v>7.5</v>
      </c>
      <c r="C1466" s="759">
        <v>6.25</v>
      </c>
      <c r="D1466" s="759">
        <v>2.9</v>
      </c>
      <c r="E1466" s="701">
        <v>1.75</v>
      </c>
      <c r="F1466" s="759">
        <v>4.93</v>
      </c>
      <c r="H1466" s="759">
        <f t="shared" si="23"/>
        <v>8.6274999999999995</v>
      </c>
    </row>
    <row r="1467" spans="1:8">
      <c r="A1467" s="701">
        <v>0</v>
      </c>
      <c r="B1467" s="759">
        <v>7.5</v>
      </c>
      <c r="C1467" s="759">
        <v>6.5</v>
      </c>
      <c r="D1467" s="759">
        <v>2.9</v>
      </c>
      <c r="E1467" s="701">
        <v>1.75</v>
      </c>
      <c r="F1467" s="759">
        <v>4.93</v>
      </c>
      <c r="H1467" s="759">
        <f t="shared" si="23"/>
        <v>8.6274999999999995</v>
      </c>
    </row>
    <row r="1468" spans="1:8">
      <c r="A1468" s="701">
        <v>0</v>
      </c>
      <c r="B1468" s="759">
        <v>7.5</v>
      </c>
      <c r="C1468" s="759">
        <v>6.75</v>
      </c>
      <c r="D1468" s="759">
        <v>2.9</v>
      </c>
      <c r="E1468" s="701">
        <v>1.75</v>
      </c>
      <c r="F1468" s="759">
        <v>4.93</v>
      </c>
      <c r="H1468" s="759">
        <f t="shared" si="23"/>
        <v>8.6274999999999995</v>
      </c>
    </row>
    <row r="1469" spans="1:8">
      <c r="A1469" s="701">
        <v>0</v>
      </c>
      <c r="B1469" s="759">
        <v>7.5</v>
      </c>
      <c r="C1469" s="759">
        <v>7</v>
      </c>
      <c r="D1469" s="759">
        <v>2.9</v>
      </c>
      <c r="E1469" s="701">
        <v>1.75</v>
      </c>
      <c r="F1469" s="759">
        <v>4.93</v>
      </c>
      <c r="H1469" s="759">
        <f t="shared" si="23"/>
        <v>8.6274999999999995</v>
      </c>
    </row>
    <row r="1470" spans="1:8">
      <c r="A1470" s="701">
        <v>0</v>
      </c>
      <c r="B1470" s="759">
        <v>7.5</v>
      </c>
      <c r="C1470" s="759">
        <v>7.5</v>
      </c>
      <c r="D1470" s="759">
        <v>2.9</v>
      </c>
      <c r="E1470" s="701">
        <v>1.75</v>
      </c>
      <c r="F1470" s="759">
        <v>4.93</v>
      </c>
      <c r="H1470" s="759">
        <f t="shared" si="23"/>
        <v>8.6274999999999995</v>
      </c>
    </row>
    <row r="1471" spans="1:8">
      <c r="A1471" s="701">
        <v>0</v>
      </c>
      <c r="B1471" s="759">
        <v>7.5</v>
      </c>
      <c r="C1471" s="759">
        <v>8</v>
      </c>
      <c r="D1471" s="759">
        <v>2.9</v>
      </c>
      <c r="E1471" s="701">
        <v>1.75</v>
      </c>
      <c r="F1471" s="759">
        <v>4.93</v>
      </c>
      <c r="H1471" s="759">
        <f t="shared" si="23"/>
        <v>8.6274999999999995</v>
      </c>
    </row>
    <row r="1472" spans="1:8">
      <c r="A1472" s="701">
        <v>0</v>
      </c>
      <c r="B1472" s="759">
        <v>8</v>
      </c>
      <c r="C1472" s="759">
        <v>3</v>
      </c>
      <c r="D1472" s="759">
        <v>2.9</v>
      </c>
      <c r="E1472" s="701">
        <v>1.75</v>
      </c>
      <c r="F1472" s="759">
        <v>5.26</v>
      </c>
      <c r="H1472" s="759">
        <f t="shared" si="23"/>
        <v>9.2050000000000001</v>
      </c>
    </row>
    <row r="1473" spans="1:8">
      <c r="A1473" s="701">
        <v>0</v>
      </c>
      <c r="B1473" s="759">
        <v>8</v>
      </c>
      <c r="C1473" s="759">
        <v>3.25</v>
      </c>
      <c r="D1473" s="759">
        <v>2.9</v>
      </c>
      <c r="E1473" s="701">
        <v>1.75</v>
      </c>
      <c r="F1473" s="759">
        <v>5.26</v>
      </c>
      <c r="H1473" s="759">
        <f t="shared" si="23"/>
        <v>9.2050000000000001</v>
      </c>
    </row>
    <row r="1474" spans="1:8">
      <c r="A1474" s="701">
        <v>0</v>
      </c>
      <c r="B1474" s="759">
        <v>8</v>
      </c>
      <c r="C1474" s="759">
        <v>3.5</v>
      </c>
      <c r="D1474" s="759">
        <v>2.9</v>
      </c>
      <c r="E1474" s="701">
        <v>1.75</v>
      </c>
      <c r="F1474" s="759">
        <v>5.26</v>
      </c>
      <c r="H1474" s="759">
        <f t="shared" si="23"/>
        <v>9.2050000000000001</v>
      </c>
    </row>
    <row r="1475" spans="1:8">
      <c r="A1475" s="701">
        <v>0</v>
      </c>
      <c r="B1475" s="759">
        <v>8</v>
      </c>
      <c r="C1475" s="759">
        <v>3.75</v>
      </c>
      <c r="D1475" s="759">
        <v>2.9</v>
      </c>
      <c r="E1475" s="701">
        <v>1.75</v>
      </c>
      <c r="F1475" s="759">
        <v>5.26</v>
      </c>
      <c r="H1475" s="759">
        <f t="shared" si="23"/>
        <v>9.2050000000000001</v>
      </c>
    </row>
    <row r="1476" spans="1:8">
      <c r="A1476" s="701">
        <v>0</v>
      </c>
      <c r="B1476" s="759">
        <v>8</v>
      </c>
      <c r="C1476" s="759">
        <v>4</v>
      </c>
      <c r="D1476" s="759">
        <v>2.9</v>
      </c>
      <c r="E1476" s="701">
        <v>1.75</v>
      </c>
      <c r="F1476" s="759">
        <v>5.26</v>
      </c>
      <c r="H1476" s="759">
        <f t="shared" si="23"/>
        <v>9.2050000000000001</v>
      </c>
    </row>
    <row r="1477" spans="1:8">
      <c r="A1477" s="701">
        <v>0</v>
      </c>
      <c r="B1477" s="759">
        <v>8</v>
      </c>
      <c r="C1477" s="759">
        <v>4.25</v>
      </c>
      <c r="D1477" s="759">
        <v>2.9</v>
      </c>
      <c r="E1477" s="701">
        <v>1.75</v>
      </c>
      <c r="F1477" s="759">
        <v>5.26</v>
      </c>
      <c r="H1477" s="759">
        <f t="shared" si="23"/>
        <v>9.2050000000000001</v>
      </c>
    </row>
    <row r="1478" spans="1:8">
      <c r="A1478" s="701">
        <v>0</v>
      </c>
      <c r="B1478" s="759">
        <v>8</v>
      </c>
      <c r="C1478" s="759">
        <v>4.5</v>
      </c>
      <c r="D1478" s="759">
        <v>2.9</v>
      </c>
      <c r="E1478" s="701">
        <v>1.75</v>
      </c>
      <c r="F1478" s="759">
        <v>5.26</v>
      </c>
      <c r="H1478" s="759">
        <f t="shared" si="23"/>
        <v>9.2050000000000001</v>
      </c>
    </row>
    <row r="1479" spans="1:8">
      <c r="A1479" s="701">
        <v>0</v>
      </c>
      <c r="B1479" s="759">
        <v>8</v>
      </c>
      <c r="C1479" s="759">
        <v>4.75</v>
      </c>
      <c r="D1479" s="759">
        <v>2.9</v>
      </c>
      <c r="E1479" s="701">
        <v>1.75</v>
      </c>
      <c r="F1479" s="759">
        <v>5.26</v>
      </c>
      <c r="H1479" s="759">
        <f t="shared" si="23"/>
        <v>9.2050000000000001</v>
      </c>
    </row>
    <row r="1480" spans="1:8">
      <c r="A1480" s="701">
        <v>0</v>
      </c>
      <c r="B1480" s="759">
        <v>8</v>
      </c>
      <c r="C1480" s="759">
        <v>5</v>
      </c>
      <c r="D1480" s="759">
        <v>2.9</v>
      </c>
      <c r="E1480" s="701">
        <v>1.75</v>
      </c>
      <c r="F1480" s="759">
        <v>5.26</v>
      </c>
      <c r="H1480" s="759">
        <f t="shared" si="23"/>
        <v>9.2050000000000001</v>
      </c>
    </row>
    <row r="1481" spans="1:8">
      <c r="A1481" s="701">
        <v>0</v>
      </c>
      <c r="B1481" s="759">
        <v>8</v>
      </c>
      <c r="C1481" s="759">
        <v>5.25</v>
      </c>
      <c r="D1481" s="759">
        <v>2.9</v>
      </c>
      <c r="E1481" s="701">
        <v>1.75</v>
      </c>
      <c r="F1481" s="759">
        <v>5.26</v>
      </c>
      <c r="H1481" s="759">
        <f t="shared" si="23"/>
        <v>9.2050000000000001</v>
      </c>
    </row>
    <row r="1482" spans="1:8">
      <c r="A1482" s="701">
        <v>0</v>
      </c>
      <c r="B1482" s="759">
        <v>8</v>
      </c>
      <c r="C1482" s="759">
        <v>5.5</v>
      </c>
      <c r="D1482" s="759">
        <v>2.9</v>
      </c>
      <c r="E1482" s="701">
        <v>1.75</v>
      </c>
      <c r="F1482" s="759">
        <v>5.26</v>
      </c>
      <c r="H1482" s="759">
        <f t="shared" si="23"/>
        <v>9.2050000000000001</v>
      </c>
    </row>
    <row r="1483" spans="1:8">
      <c r="A1483" s="701">
        <v>0</v>
      </c>
      <c r="B1483" s="759">
        <v>8</v>
      </c>
      <c r="C1483" s="759">
        <v>5.75</v>
      </c>
      <c r="D1483" s="759">
        <v>2.9</v>
      </c>
      <c r="E1483" s="701">
        <v>1.75</v>
      </c>
      <c r="F1483" s="759">
        <v>5.26</v>
      </c>
      <c r="H1483" s="759">
        <f t="shared" si="23"/>
        <v>9.2050000000000001</v>
      </c>
    </row>
    <row r="1484" spans="1:8">
      <c r="A1484" s="701">
        <v>0</v>
      </c>
      <c r="B1484" s="759">
        <v>8</v>
      </c>
      <c r="C1484" s="759">
        <v>6</v>
      </c>
      <c r="D1484" s="759">
        <v>2.9</v>
      </c>
      <c r="E1484" s="701">
        <v>1.75</v>
      </c>
      <c r="F1484" s="759">
        <v>5.26</v>
      </c>
      <c r="H1484" s="759">
        <f t="shared" si="23"/>
        <v>9.2050000000000001</v>
      </c>
    </row>
    <row r="1485" spans="1:8">
      <c r="A1485" s="701">
        <v>0</v>
      </c>
      <c r="B1485" s="759">
        <v>8</v>
      </c>
      <c r="C1485" s="759">
        <v>6.25</v>
      </c>
      <c r="D1485" s="759">
        <v>2.9</v>
      </c>
      <c r="E1485" s="701">
        <v>1.75</v>
      </c>
      <c r="F1485" s="759">
        <v>5.26</v>
      </c>
      <c r="H1485" s="759">
        <f t="shared" si="23"/>
        <v>9.2050000000000001</v>
      </c>
    </row>
    <row r="1486" spans="1:8">
      <c r="A1486" s="701">
        <v>0</v>
      </c>
      <c r="B1486" s="759">
        <v>8</v>
      </c>
      <c r="C1486" s="759">
        <v>6.5</v>
      </c>
      <c r="D1486" s="759">
        <v>2.9</v>
      </c>
      <c r="E1486" s="701">
        <v>1.75</v>
      </c>
      <c r="F1486" s="759">
        <v>5.26</v>
      </c>
      <c r="H1486" s="759">
        <f t="shared" si="23"/>
        <v>9.2050000000000001</v>
      </c>
    </row>
    <row r="1487" spans="1:8">
      <c r="A1487" s="701">
        <v>0</v>
      </c>
      <c r="B1487" s="759">
        <v>8</v>
      </c>
      <c r="C1487" s="759">
        <v>6.75</v>
      </c>
      <c r="D1487" s="759">
        <v>2.9</v>
      </c>
      <c r="E1487" s="701">
        <v>1.75</v>
      </c>
      <c r="F1487" s="759">
        <v>5.26</v>
      </c>
      <c r="H1487" s="759">
        <f t="shared" si="23"/>
        <v>9.2050000000000001</v>
      </c>
    </row>
    <row r="1488" spans="1:8">
      <c r="A1488" s="701">
        <v>0</v>
      </c>
      <c r="B1488" s="759">
        <v>8</v>
      </c>
      <c r="C1488" s="759">
        <v>7</v>
      </c>
      <c r="D1488" s="759">
        <v>2.9</v>
      </c>
      <c r="E1488" s="701">
        <v>1.75</v>
      </c>
      <c r="F1488" s="759">
        <v>5.26</v>
      </c>
      <c r="H1488" s="759">
        <f t="shared" si="23"/>
        <v>9.2050000000000001</v>
      </c>
    </row>
    <row r="1489" spans="1:8">
      <c r="A1489" s="701">
        <v>0</v>
      </c>
      <c r="B1489" s="759">
        <v>8</v>
      </c>
      <c r="C1489" s="759">
        <v>7.5</v>
      </c>
      <c r="D1489" s="759">
        <v>2.9</v>
      </c>
      <c r="E1489" s="701">
        <v>1.75</v>
      </c>
      <c r="F1489" s="759">
        <v>5.26</v>
      </c>
      <c r="H1489" s="759">
        <f t="shared" si="23"/>
        <v>9.2050000000000001</v>
      </c>
    </row>
    <row r="1490" spans="1:8">
      <c r="A1490" s="701">
        <v>0</v>
      </c>
      <c r="B1490" s="759">
        <v>8</v>
      </c>
      <c r="C1490" s="759">
        <v>8</v>
      </c>
      <c r="D1490" s="759">
        <v>2.9</v>
      </c>
      <c r="E1490" s="701">
        <v>1.75</v>
      </c>
      <c r="F1490" s="759">
        <v>5.26</v>
      </c>
      <c r="H1490" s="759">
        <f t="shared" si="23"/>
        <v>9.2050000000000001</v>
      </c>
    </row>
    <row r="1492" spans="1:8">
      <c r="A1492" s="701">
        <v>0</v>
      </c>
      <c r="B1492" s="759">
        <v>2</v>
      </c>
      <c r="C1492" s="759">
        <v>3</v>
      </c>
      <c r="D1492" s="759">
        <v>3</v>
      </c>
      <c r="E1492" s="701">
        <v>1.85</v>
      </c>
      <c r="F1492" s="759">
        <v>1.31</v>
      </c>
      <c r="H1492" s="759">
        <f t="shared" ref="H1492:H1555" si="24">F1492*E1492</f>
        <v>2.4235000000000002</v>
      </c>
    </row>
    <row r="1493" spans="1:8">
      <c r="A1493" s="701">
        <v>0</v>
      </c>
      <c r="B1493" s="759">
        <v>2</v>
      </c>
      <c r="C1493" s="759">
        <v>3.25</v>
      </c>
      <c r="D1493" s="759">
        <v>3</v>
      </c>
      <c r="E1493" s="701">
        <v>1.85</v>
      </c>
      <c r="F1493" s="701">
        <v>1.31</v>
      </c>
      <c r="H1493" s="759">
        <f t="shared" si="24"/>
        <v>2.4235000000000002</v>
      </c>
    </row>
    <row r="1494" spans="1:8">
      <c r="A1494" s="701">
        <v>0</v>
      </c>
      <c r="B1494" s="759">
        <v>2</v>
      </c>
      <c r="C1494" s="759">
        <v>3.5</v>
      </c>
      <c r="D1494" s="759">
        <v>3</v>
      </c>
      <c r="E1494" s="701">
        <v>1.85</v>
      </c>
      <c r="F1494" s="701">
        <v>1.31</v>
      </c>
      <c r="H1494" s="759">
        <f t="shared" si="24"/>
        <v>2.4235000000000002</v>
      </c>
    </row>
    <row r="1495" spans="1:8">
      <c r="A1495" s="701">
        <v>0</v>
      </c>
      <c r="B1495" s="759">
        <v>2</v>
      </c>
      <c r="C1495" s="759">
        <v>3.75</v>
      </c>
      <c r="D1495" s="759">
        <v>3</v>
      </c>
      <c r="E1495" s="701">
        <v>1.85</v>
      </c>
      <c r="F1495" s="701">
        <v>1.31</v>
      </c>
      <c r="H1495" s="759">
        <f t="shared" si="24"/>
        <v>2.4235000000000002</v>
      </c>
    </row>
    <row r="1496" spans="1:8">
      <c r="A1496" s="701">
        <v>0</v>
      </c>
      <c r="B1496" s="759">
        <v>2</v>
      </c>
      <c r="C1496" s="759">
        <v>4</v>
      </c>
      <c r="D1496" s="759">
        <v>3</v>
      </c>
      <c r="E1496" s="701">
        <v>1.85</v>
      </c>
      <c r="F1496" s="701">
        <v>1.31</v>
      </c>
      <c r="H1496" s="759">
        <f t="shared" si="24"/>
        <v>2.4235000000000002</v>
      </c>
    </row>
    <row r="1497" spans="1:8">
      <c r="A1497" s="701">
        <v>0</v>
      </c>
      <c r="B1497" s="759">
        <v>2</v>
      </c>
      <c r="C1497" s="759">
        <v>4.25</v>
      </c>
      <c r="D1497" s="759">
        <v>3</v>
      </c>
      <c r="E1497" s="701">
        <v>1.85</v>
      </c>
      <c r="F1497" s="701">
        <v>1.31</v>
      </c>
      <c r="H1497" s="759">
        <f t="shared" si="24"/>
        <v>2.4235000000000002</v>
      </c>
    </row>
    <row r="1498" spans="1:8">
      <c r="A1498" s="701">
        <v>0</v>
      </c>
      <c r="B1498" s="759">
        <v>2</v>
      </c>
      <c r="C1498" s="759">
        <v>4.5</v>
      </c>
      <c r="D1498" s="759">
        <v>3</v>
      </c>
      <c r="E1498" s="701">
        <v>1.85</v>
      </c>
      <c r="F1498" s="701">
        <v>1.31</v>
      </c>
      <c r="H1498" s="759">
        <f t="shared" si="24"/>
        <v>2.4235000000000002</v>
      </c>
    </row>
    <row r="1499" spans="1:8">
      <c r="A1499" s="701">
        <v>0</v>
      </c>
      <c r="B1499" s="759">
        <v>2</v>
      </c>
      <c r="C1499" s="759">
        <v>4.75</v>
      </c>
      <c r="D1499" s="759">
        <v>3</v>
      </c>
      <c r="E1499" s="701">
        <v>1.85</v>
      </c>
      <c r="F1499" s="701">
        <v>1.31</v>
      </c>
      <c r="H1499" s="759">
        <f t="shared" si="24"/>
        <v>2.4235000000000002</v>
      </c>
    </row>
    <row r="1500" spans="1:8">
      <c r="A1500" s="701">
        <v>0</v>
      </c>
      <c r="B1500" s="759">
        <v>2</v>
      </c>
      <c r="C1500" s="759">
        <v>5</v>
      </c>
      <c r="D1500" s="759">
        <v>3</v>
      </c>
      <c r="E1500" s="701">
        <v>1.85</v>
      </c>
      <c r="F1500" s="701">
        <v>1.31</v>
      </c>
      <c r="H1500" s="759">
        <f t="shared" si="24"/>
        <v>2.4235000000000002</v>
      </c>
    </row>
    <row r="1501" spans="1:8">
      <c r="A1501" s="701">
        <v>0</v>
      </c>
      <c r="B1501" s="759">
        <v>2</v>
      </c>
      <c r="C1501" s="759">
        <v>5.25</v>
      </c>
      <c r="D1501" s="759">
        <v>3</v>
      </c>
      <c r="E1501" s="701">
        <v>1.85</v>
      </c>
      <c r="F1501" s="701">
        <v>1.31</v>
      </c>
      <c r="H1501" s="759">
        <f t="shared" si="24"/>
        <v>2.4235000000000002</v>
      </c>
    </row>
    <row r="1502" spans="1:8">
      <c r="A1502" s="701">
        <v>0</v>
      </c>
      <c r="B1502" s="759">
        <v>2</v>
      </c>
      <c r="C1502" s="759">
        <v>5.5</v>
      </c>
      <c r="D1502" s="759">
        <v>3</v>
      </c>
      <c r="E1502" s="701">
        <v>1.85</v>
      </c>
      <c r="F1502" s="701">
        <v>1.31</v>
      </c>
      <c r="H1502" s="759">
        <f t="shared" si="24"/>
        <v>2.4235000000000002</v>
      </c>
    </row>
    <row r="1503" spans="1:8">
      <c r="A1503" s="701">
        <v>0</v>
      </c>
      <c r="B1503" s="759">
        <v>2</v>
      </c>
      <c r="C1503" s="759">
        <v>5.75</v>
      </c>
      <c r="D1503" s="759">
        <v>3</v>
      </c>
      <c r="E1503" s="701">
        <v>1.85</v>
      </c>
      <c r="F1503" s="701">
        <v>1.31</v>
      </c>
      <c r="H1503" s="759">
        <f t="shared" si="24"/>
        <v>2.4235000000000002</v>
      </c>
    </row>
    <row r="1504" spans="1:8">
      <c r="A1504" s="701">
        <v>0</v>
      </c>
      <c r="B1504" s="759">
        <v>2</v>
      </c>
      <c r="C1504" s="759">
        <v>6</v>
      </c>
      <c r="D1504" s="759">
        <v>3</v>
      </c>
      <c r="E1504" s="701">
        <v>1.85</v>
      </c>
      <c r="F1504" s="701">
        <v>1.31</v>
      </c>
      <c r="H1504" s="759">
        <f t="shared" si="24"/>
        <v>2.4235000000000002</v>
      </c>
    </row>
    <row r="1505" spans="1:8">
      <c r="A1505" s="701">
        <v>0</v>
      </c>
      <c r="B1505" s="759">
        <v>2</v>
      </c>
      <c r="C1505" s="759">
        <v>6.25</v>
      </c>
      <c r="D1505" s="759">
        <v>3</v>
      </c>
      <c r="E1505" s="701">
        <v>1.85</v>
      </c>
      <c r="F1505" s="701">
        <v>1.31</v>
      </c>
      <c r="H1505" s="759">
        <f t="shared" si="24"/>
        <v>2.4235000000000002</v>
      </c>
    </row>
    <row r="1506" spans="1:8">
      <c r="A1506" s="701">
        <v>0</v>
      </c>
      <c r="B1506" s="759">
        <v>2</v>
      </c>
      <c r="C1506" s="759">
        <v>6.5</v>
      </c>
      <c r="D1506" s="759">
        <v>3</v>
      </c>
      <c r="E1506" s="701">
        <v>1.85</v>
      </c>
      <c r="F1506" s="701">
        <v>1.31</v>
      </c>
      <c r="H1506" s="759">
        <f t="shared" si="24"/>
        <v>2.4235000000000002</v>
      </c>
    </row>
    <row r="1507" spans="1:8">
      <c r="A1507" s="701">
        <v>0</v>
      </c>
      <c r="B1507" s="759">
        <v>2</v>
      </c>
      <c r="C1507" s="759">
        <v>6.75</v>
      </c>
      <c r="D1507" s="759">
        <v>3</v>
      </c>
      <c r="E1507" s="701">
        <v>1.85</v>
      </c>
      <c r="F1507" s="701">
        <v>1.31</v>
      </c>
      <c r="H1507" s="759">
        <f t="shared" si="24"/>
        <v>2.4235000000000002</v>
      </c>
    </row>
    <row r="1508" spans="1:8">
      <c r="A1508" s="701">
        <v>0</v>
      </c>
      <c r="B1508" s="759">
        <v>2</v>
      </c>
      <c r="C1508" s="759">
        <v>7</v>
      </c>
      <c r="D1508" s="759">
        <v>3</v>
      </c>
      <c r="E1508" s="701">
        <v>1.85</v>
      </c>
      <c r="F1508" s="701">
        <v>1.31</v>
      </c>
      <c r="H1508" s="759">
        <f t="shared" si="24"/>
        <v>2.4235000000000002</v>
      </c>
    </row>
    <row r="1509" spans="1:8">
      <c r="A1509" s="701">
        <v>0</v>
      </c>
      <c r="B1509" s="759">
        <v>2</v>
      </c>
      <c r="C1509" s="759">
        <v>7.5</v>
      </c>
      <c r="D1509" s="759">
        <v>3</v>
      </c>
      <c r="E1509" s="701">
        <v>1.85</v>
      </c>
      <c r="F1509" s="701">
        <v>1.31</v>
      </c>
      <c r="H1509" s="759">
        <f t="shared" si="24"/>
        <v>2.4235000000000002</v>
      </c>
    </row>
    <row r="1510" spans="1:8">
      <c r="A1510" s="701">
        <v>0</v>
      </c>
      <c r="B1510" s="759">
        <v>2</v>
      </c>
      <c r="C1510" s="759">
        <v>8</v>
      </c>
      <c r="D1510" s="759">
        <v>3</v>
      </c>
      <c r="E1510" s="701">
        <v>1.85</v>
      </c>
      <c r="F1510" s="701">
        <v>1.31</v>
      </c>
      <c r="H1510" s="759">
        <f t="shared" si="24"/>
        <v>2.4235000000000002</v>
      </c>
    </row>
    <row r="1511" spans="1:8">
      <c r="A1511" s="701">
        <v>0</v>
      </c>
      <c r="B1511" s="759">
        <v>2.5</v>
      </c>
      <c r="C1511" s="759">
        <v>3</v>
      </c>
      <c r="D1511" s="759">
        <v>3</v>
      </c>
      <c r="E1511" s="701">
        <v>1.85</v>
      </c>
      <c r="F1511" s="759">
        <v>1.64</v>
      </c>
      <c r="H1511" s="759">
        <f t="shared" si="24"/>
        <v>3.0339999999999998</v>
      </c>
    </row>
    <row r="1512" spans="1:8">
      <c r="A1512" s="701">
        <v>0</v>
      </c>
      <c r="B1512" s="759">
        <v>2.5</v>
      </c>
      <c r="C1512" s="759">
        <v>3.25</v>
      </c>
      <c r="D1512" s="759">
        <v>3</v>
      </c>
      <c r="E1512" s="701">
        <v>1.85</v>
      </c>
      <c r="F1512" s="701">
        <v>1.64</v>
      </c>
      <c r="H1512" s="759">
        <f t="shared" si="24"/>
        <v>3.0339999999999998</v>
      </c>
    </row>
    <row r="1513" spans="1:8">
      <c r="A1513" s="701">
        <v>0</v>
      </c>
      <c r="B1513" s="759">
        <v>2.5</v>
      </c>
      <c r="C1513" s="759">
        <v>3.5</v>
      </c>
      <c r="D1513" s="759">
        <v>3</v>
      </c>
      <c r="E1513" s="701">
        <v>1.85</v>
      </c>
      <c r="F1513" s="701">
        <v>1.64</v>
      </c>
      <c r="H1513" s="759">
        <f t="shared" si="24"/>
        <v>3.0339999999999998</v>
      </c>
    </row>
    <row r="1514" spans="1:8">
      <c r="A1514" s="701">
        <v>0</v>
      </c>
      <c r="B1514" s="759">
        <v>2.5</v>
      </c>
      <c r="C1514" s="759">
        <v>3.75</v>
      </c>
      <c r="D1514" s="759">
        <v>3</v>
      </c>
      <c r="E1514" s="701">
        <v>1.85</v>
      </c>
      <c r="F1514" s="701">
        <v>1.64</v>
      </c>
      <c r="H1514" s="759">
        <f t="shared" si="24"/>
        <v>3.0339999999999998</v>
      </c>
    </row>
    <row r="1515" spans="1:8">
      <c r="A1515" s="701">
        <v>0</v>
      </c>
      <c r="B1515" s="759">
        <v>2.5</v>
      </c>
      <c r="C1515" s="759">
        <v>4</v>
      </c>
      <c r="D1515" s="759">
        <v>3</v>
      </c>
      <c r="E1515" s="701">
        <v>1.85</v>
      </c>
      <c r="F1515" s="701">
        <v>1.64</v>
      </c>
      <c r="H1515" s="759">
        <f t="shared" si="24"/>
        <v>3.0339999999999998</v>
      </c>
    </row>
    <row r="1516" spans="1:8">
      <c r="A1516" s="701">
        <v>0</v>
      </c>
      <c r="B1516" s="759">
        <v>2.5</v>
      </c>
      <c r="C1516" s="759">
        <v>4.25</v>
      </c>
      <c r="D1516" s="759">
        <v>3</v>
      </c>
      <c r="E1516" s="701">
        <v>1.85</v>
      </c>
      <c r="F1516" s="701">
        <v>1.64</v>
      </c>
      <c r="H1516" s="759">
        <f t="shared" si="24"/>
        <v>3.0339999999999998</v>
      </c>
    </row>
    <row r="1517" spans="1:8">
      <c r="A1517" s="701">
        <v>0</v>
      </c>
      <c r="B1517" s="759">
        <v>2.5</v>
      </c>
      <c r="C1517" s="759">
        <v>4.5</v>
      </c>
      <c r="D1517" s="759">
        <v>3</v>
      </c>
      <c r="E1517" s="701">
        <v>1.85</v>
      </c>
      <c r="F1517" s="701">
        <v>1.64</v>
      </c>
      <c r="H1517" s="759">
        <f t="shared" si="24"/>
        <v>3.0339999999999998</v>
      </c>
    </row>
    <row r="1518" spans="1:8">
      <c r="A1518" s="701">
        <v>0</v>
      </c>
      <c r="B1518" s="759">
        <v>2.5</v>
      </c>
      <c r="C1518" s="759">
        <v>4.75</v>
      </c>
      <c r="D1518" s="759">
        <v>3</v>
      </c>
      <c r="E1518" s="701">
        <v>1.85</v>
      </c>
      <c r="F1518" s="701">
        <v>1.64</v>
      </c>
      <c r="H1518" s="759">
        <f t="shared" si="24"/>
        <v>3.0339999999999998</v>
      </c>
    </row>
    <row r="1519" spans="1:8">
      <c r="A1519" s="701">
        <v>0</v>
      </c>
      <c r="B1519" s="759">
        <v>2.5</v>
      </c>
      <c r="C1519" s="759">
        <v>5</v>
      </c>
      <c r="D1519" s="759">
        <v>3</v>
      </c>
      <c r="E1519" s="701">
        <v>1.85</v>
      </c>
      <c r="F1519" s="701">
        <v>1.64</v>
      </c>
      <c r="H1519" s="759">
        <f t="shared" si="24"/>
        <v>3.0339999999999998</v>
      </c>
    </row>
    <row r="1520" spans="1:8">
      <c r="A1520" s="701">
        <v>0</v>
      </c>
      <c r="B1520" s="759">
        <v>2.5</v>
      </c>
      <c r="C1520" s="759">
        <v>5.25</v>
      </c>
      <c r="D1520" s="759">
        <v>3</v>
      </c>
      <c r="E1520" s="701">
        <v>1.85</v>
      </c>
      <c r="F1520" s="701">
        <v>1.64</v>
      </c>
      <c r="H1520" s="759">
        <f t="shared" si="24"/>
        <v>3.0339999999999998</v>
      </c>
    </row>
    <row r="1521" spans="1:8">
      <c r="A1521" s="701">
        <v>0</v>
      </c>
      <c r="B1521" s="759">
        <v>2.5</v>
      </c>
      <c r="C1521" s="759">
        <v>5.5</v>
      </c>
      <c r="D1521" s="759">
        <v>3</v>
      </c>
      <c r="E1521" s="701">
        <v>1.85</v>
      </c>
      <c r="F1521" s="701">
        <v>1.64</v>
      </c>
      <c r="H1521" s="759">
        <f t="shared" si="24"/>
        <v>3.0339999999999998</v>
      </c>
    </row>
    <row r="1522" spans="1:8">
      <c r="A1522" s="701">
        <v>0</v>
      </c>
      <c r="B1522" s="759">
        <v>2.5</v>
      </c>
      <c r="C1522" s="759">
        <v>5.75</v>
      </c>
      <c r="D1522" s="759">
        <v>3</v>
      </c>
      <c r="E1522" s="701">
        <v>1.85</v>
      </c>
      <c r="F1522" s="701">
        <v>1.64</v>
      </c>
      <c r="H1522" s="759">
        <f t="shared" si="24"/>
        <v>3.0339999999999998</v>
      </c>
    </row>
    <row r="1523" spans="1:8">
      <c r="A1523" s="701">
        <v>0</v>
      </c>
      <c r="B1523" s="759">
        <v>2.5</v>
      </c>
      <c r="C1523" s="759">
        <v>6</v>
      </c>
      <c r="D1523" s="759">
        <v>3</v>
      </c>
      <c r="E1523" s="701">
        <v>1.85</v>
      </c>
      <c r="F1523" s="701">
        <v>1.64</v>
      </c>
      <c r="H1523" s="759">
        <f t="shared" si="24"/>
        <v>3.0339999999999998</v>
      </c>
    </row>
    <row r="1524" spans="1:8">
      <c r="A1524" s="701">
        <v>0</v>
      </c>
      <c r="B1524" s="759">
        <v>2.5</v>
      </c>
      <c r="C1524" s="759">
        <v>6.25</v>
      </c>
      <c r="D1524" s="759">
        <v>3</v>
      </c>
      <c r="E1524" s="701">
        <v>1.85</v>
      </c>
      <c r="F1524" s="701">
        <v>1.64</v>
      </c>
      <c r="H1524" s="759">
        <f t="shared" si="24"/>
        <v>3.0339999999999998</v>
      </c>
    </row>
    <row r="1525" spans="1:8">
      <c r="A1525" s="701">
        <v>0</v>
      </c>
      <c r="B1525" s="759">
        <v>2.5</v>
      </c>
      <c r="C1525" s="759">
        <v>6.5</v>
      </c>
      <c r="D1525" s="759">
        <v>3</v>
      </c>
      <c r="E1525" s="701">
        <v>1.85</v>
      </c>
      <c r="F1525" s="701">
        <v>1.64</v>
      </c>
      <c r="H1525" s="759">
        <f t="shared" si="24"/>
        <v>3.0339999999999998</v>
      </c>
    </row>
    <row r="1526" spans="1:8">
      <c r="A1526" s="701">
        <v>0</v>
      </c>
      <c r="B1526" s="759">
        <v>2.5</v>
      </c>
      <c r="C1526" s="759">
        <v>6.75</v>
      </c>
      <c r="D1526" s="759">
        <v>3</v>
      </c>
      <c r="E1526" s="701">
        <v>1.85</v>
      </c>
      <c r="F1526" s="701">
        <v>1.64</v>
      </c>
      <c r="H1526" s="759">
        <f t="shared" si="24"/>
        <v>3.0339999999999998</v>
      </c>
    </row>
    <row r="1527" spans="1:8">
      <c r="A1527" s="701">
        <v>0</v>
      </c>
      <c r="B1527" s="759">
        <v>2.5</v>
      </c>
      <c r="C1527" s="759">
        <v>7</v>
      </c>
      <c r="D1527" s="759">
        <v>3</v>
      </c>
      <c r="E1527" s="701">
        <v>1.85</v>
      </c>
      <c r="F1527" s="701">
        <v>1.64</v>
      </c>
      <c r="H1527" s="759">
        <f t="shared" si="24"/>
        <v>3.0339999999999998</v>
      </c>
    </row>
    <row r="1528" spans="1:8">
      <c r="A1528" s="701">
        <v>0</v>
      </c>
      <c r="B1528" s="759">
        <v>2.5</v>
      </c>
      <c r="C1528" s="759">
        <v>7.5</v>
      </c>
      <c r="D1528" s="759">
        <v>3</v>
      </c>
      <c r="E1528" s="701">
        <v>1.85</v>
      </c>
      <c r="F1528" s="701">
        <v>1.64</v>
      </c>
      <c r="H1528" s="759">
        <f t="shared" si="24"/>
        <v>3.0339999999999998</v>
      </c>
    </row>
    <row r="1529" spans="1:8">
      <c r="A1529" s="701">
        <v>0</v>
      </c>
      <c r="B1529" s="759">
        <v>2.5</v>
      </c>
      <c r="C1529" s="759">
        <v>8</v>
      </c>
      <c r="D1529" s="759">
        <v>3</v>
      </c>
      <c r="E1529" s="701">
        <v>1.85</v>
      </c>
      <c r="F1529" s="701">
        <v>1.64</v>
      </c>
      <c r="H1529" s="759">
        <f t="shared" si="24"/>
        <v>3.0339999999999998</v>
      </c>
    </row>
    <row r="1530" spans="1:8">
      <c r="A1530" s="701">
        <v>0</v>
      </c>
      <c r="B1530" s="759">
        <v>3</v>
      </c>
      <c r="C1530" s="759">
        <v>3</v>
      </c>
      <c r="D1530" s="759">
        <v>3</v>
      </c>
      <c r="E1530" s="701">
        <v>1.85</v>
      </c>
      <c r="F1530" s="701">
        <v>1.97</v>
      </c>
      <c r="H1530" s="759">
        <f t="shared" si="24"/>
        <v>3.6445000000000003</v>
      </c>
    </row>
    <row r="1531" spans="1:8">
      <c r="A1531" s="701">
        <v>0</v>
      </c>
      <c r="B1531" s="759">
        <v>3</v>
      </c>
      <c r="C1531" s="759">
        <v>3.25</v>
      </c>
      <c r="D1531" s="759">
        <v>3</v>
      </c>
      <c r="E1531" s="701">
        <v>1.85</v>
      </c>
      <c r="F1531" s="701">
        <v>1.97</v>
      </c>
      <c r="H1531" s="759">
        <f t="shared" si="24"/>
        <v>3.6445000000000003</v>
      </c>
    </row>
    <row r="1532" spans="1:8">
      <c r="A1532" s="701">
        <v>0</v>
      </c>
      <c r="B1532" s="759">
        <v>3</v>
      </c>
      <c r="C1532" s="759">
        <v>3.5</v>
      </c>
      <c r="D1532" s="759">
        <v>3</v>
      </c>
      <c r="E1532" s="701">
        <v>1.85</v>
      </c>
      <c r="F1532" s="701">
        <v>1.97</v>
      </c>
      <c r="H1532" s="759">
        <f t="shared" si="24"/>
        <v>3.6445000000000003</v>
      </c>
    </row>
    <row r="1533" spans="1:8">
      <c r="A1533" s="701">
        <v>0</v>
      </c>
      <c r="B1533" s="759">
        <v>3</v>
      </c>
      <c r="C1533" s="759">
        <v>3.75</v>
      </c>
      <c r="D1533" s="759">
        <v>3</v>
      </c>
      <c r="E1533" s="701">
        <v>1.85</v>
      </c>
      <c r="F1533" s="701">
        <v>1.97</v>
      </c>
      <c r="H1533" s="759">
        <f t="shared" si="24"/>
        <v>3.6445000000000003</v>
      </c>
    </row>
    <row r="1534" spans="1:8">
      <c r="A1534" s="701">
        <v>0</v>
      </c>
      <c r="B1534" s="759">
        <v>3</v>
      </c>
      <c r="C1534" s="759">
        <v>4</v>
      </c>
      <c r="D1534" s="759">
        <v>3</v>
      </c>
      <c r="E1534" s="701">
        <v>1.85</v>
      </c>
      <c r="F1534" s="701">
        <v>1.97</v>
      </c>
      <c r="H1534" s="759">
        <f t="shared" si="24"/>
        <v>3.6445000000000003</v>
      </c>
    </row>
    <row r="1535" spans="1:8">
      <c r="A1535" s="701">
        <v>0</v>
      </c>
      <c r="B1535" s="759">
        <v>3</v>
      </c>
      <c r="C1535" s="759">
        <v>4.25</v>
      </c>
      <c r="D1535" s="759">
        <v>3</v>
      </c>
      <c r="E1535" s="701">
        <v>1.85</v>
      </c>
      <c r="F1535" s="701">
        <v>1.97</v>
      </c>
      <c r="H1535" s="759">
        <f t="shared" si="24"/>
        <v>3.6445000000000003</v>
      </c>
    </row>
    <row r="1536" spans="1:8">
      <c r="A1536" s="701">
        <v>0</v>
      </c>
      <c r="B1536" s="759">
        <v>3</v>
      </c>
      <c r="C1536" s="759">
        <v>4.5</v>
      </c>
      <c r="D1536" s="759">
        <v>3</v>
      </c>
      <c r="E1536" s="701">
        <v>1.85</v>
      </c>
      <c r="F1536" s="701">
        <v>1.97</v>
      </c>
      <c r="H1536" s="759">
        <f t="shared" si="24"/>
        <v>3.6445000000000003</v>
      </c>
    </row>
    <row r="1537" spans="1:8">
      <c r="A1537" s="701">
        <v>0</v>
      </c>
      <c r="B1537" s="759">
        <v>3</v>
      </c>
      <c r="C1537" s="759">
        <v>4.75</v>
      </c>
      <c r="D1537" s="759">
        <v>3</v>
      </c>
      <c r="E1537" s="701">
        <v>1.85</v>
      </c>
      <c r="F1537" s="701">
        <v>1.97</v>
      </c>
      <c r="H1537" s="759">
        <f t="shared" si="24"/>
        <v>3.6445000000000003</v>
      </c>
    </row>
    <row r="1538" spans="1:8">
      <c r="A1538" s="701">
        <v>0</v>
      </c>
      <c r="B1538" s="759">
        <v>3</v>
      </c>
      <c r="C1538" s="759">
        <v>5</v>
      </c>
      <c r="D1538" s="759">
        <v>3</v>
      </c>
      <c r="E1538" s="701">
        <v>1.85</v>
      </c>
      <c r="F1538" s="701">
        <v>1.97</v>
      </c>
      <c r="H1538" s="759">
        <f t="shared" si="24"/>
        <v>3.6445000000000003</v>
      </c>
    </row>
    <row r="1539" spans="1:8">
      <c r="A1539" s="701">
        <v>0</v>
      </c>
      <c r="B1539" s="759">
        <v>3</v>
      </c>
      <c r="C1539" s="759">
        <v>5.25</v>
      </c>
      <c r="D1539" s="759">
        <v>3</v>
      </c>
      <c r="E1539" s="701">
        <v>1.85</v>
      </c>
      <c r="F1539" s="701">
        <v>1.97</v>
      </c>
      <c r="H1539" s="759">
        <f t="shared" si="24"/>
        <v>3.6445000000000003</v>
      </c>
    </row>
    <row r="1540" spans="1:8">
      <c r="A1540" s="701">
        <v>0</v>
      </c>
      <c r="B1540" s="759">
        <v>3</v>
      </c>
      <c r="C1540" s="759">
        <v>5.5</v>
      </c>
      <c r="D1540" s="759">
        <v>3</v>
      </c>
      <c r="E1540" s="701">
        <v>1.85</v>
      </c>
      <c r="F1540" s="701">
        <v>1.97</v>
      </c>
      <c r="H1540" s="759">
        <f t="shared" si="24"/>
        <v>3.6445000000000003</v>
      </c>
    </row>
    <row r="1541" spans="1:8">
      <c r="A1541" s="701">
        <v>0</v>
      </c>
      <c r="B1541" s="759">
        <v>3</v>
      </c>
      <c r="C1541" s="759">
        <v>5.75</v>
      </c>
      <c r="D1541" s="759">
        <v>3</v>
      </c>
      <c r="E1541" s="701">
        <v>1.85</v>
      </c>
      <c r="F1541" s="701">
        <v>1.97</v>
      </c>
      <c r="H1541" s="759">
        <f t="shared" si="24"/>
        <v>3.6445000000000003</v>
      </c>
    </row>
    <row r="1542" spans="1:8">
      <c r="A1542" s="701">
        <v>0</v>
      </c>
      <c r="B1542" s="759">
        <v>3</v>
      </c>
      <c r="C1542" s="759">
        <v>6</v>
      </c>
      <c r="D1542" s="759">
        <v>3</v>
      </c>
      <c r="E1542" s="701">
        <v>1.85</v>
      </c>
      <c r="F1542" s="701">
        <v>1.97</v>
      </c>
      <c r="H1542" s="759">
        <f t="shared" si="24"/>
        <v>3.6445000000000003</v>
      </c>
    </row>
    <row r="1543" spans="1:8">
      <c r="A1543" s="701">
        <v>0</v>
      </c>
      <c r="B1543" s="759">
        <v>3</v>
      </c>
      <c r="C1543" s="759">
        <v>6.25</v>
      </c>
      <c r="D1543" s="759">
        <v>3</v>
      </c>
      <c r="E1543" s="701">
        <v>1.85</v>
      </c>
      <c r="F1543" s="701">
        <v>1.97</v>
      </c>
      <c r="H1543" s="759">
        <f t="shared" si="24"/>
        <v>3.6445000000000003</v>
      </c>
    </row>
    <row r="1544" spans="1:8">
      <c r="A1544" s="701">
        <v>0</v>
      </c>
      <c r="B1544" s="759">
        <v>3</v>
      </c>
      <c r="C1544" s="759">
        <v>6.5</v>
      </c>
      <c r="D1544" s="759">
        <v>3</v>
      </c>
      <c r="E1544" s="701">
        <v>1.85</v>
      </c>
      <c r="F1544" s="701">
        <v>1.97</v>
      </c>
      <c r="H1544" s="759">
        <f t="shared" si="24"/>
        <v>3.6445000000000003</v>
      </c>
    </row>
    <row r="1545" spans="1:8">
      <c r="A1545" s="701">
        <v>0</v>
      </c>
      <c r="B1545" s="759">
        <v>3</v>
      </c>
      <c r="C1545" s="759">
        <v>6.75</v>
      </c>
      <c r="D1545" s="759">
        <v>3</v>
      </c>
      <c r="E1545" s="701">
        <v>1.85</v>
      </c>
      <c r="F1545" s="701">
        <v>1.97</v>
      </c>
      <c r="H1545" s="759">
        <f t="shared" si="24"/>
        <v>3.6445000000000003</v>
      </c>
    </row>
    <row r="1546" spans="1:8">
      <c r="A1546" s="701">
        <v>0</v>
      </c>
      <c r="B1546" s="759">
        <v>3</v>
      </c>
      <c r="C1546" s="759">
        <v>7</v>
      </c>
      <c r="D1546" s="759">
        <v>3</v>
      </c>
      <c r="E1546" s="701">
        <v>1.85</v>
      </c>
      <c r="F1546" s="701">
        <v>1.97</v>
      </c>
      <c r="H1546" s="759">
        <f t="shared" si="24"/>
        <v>3.6445000000000003</v>
      </c>
    </row>
    <row r="1547" spans="1:8">
      <c r="A1547" s="701">
        <v>0</v>
      </c>
      <c r="B1547" s="759">
        <v>3</v>
      </c>
      <c r="C1547" s="759">
        <v>7.5</v>
      </c>
      <c r="D1547" s="759">
        <v>3</v>
      </c>
      <c r="E1547" s="701">
        <v>1.85</v>
      </c>
      <c r="F1547" s="701">
        <v>1.97</v>
      </c>
      <c r="H1547" s="759">
        <f t="shared" si="24"/>
        <v>3.6445000000000003</v>
      </c>
    </row>
    <row r="1548" spans="1:8">
      <c r="A1548" s="701">
        <v>0</v>
      </c>
      <c r="B1548" s="759">
        <v>3</v>
      </c>
      <c r="C1548" s="759">
        <v>8</v>
      </c>
      <c r="D1548" s="759">
        <v>3</v>
      </c>
      <c r="E1548" s="701">
        <v>1.85</v>
      </c>
      <c r="F1548" s="701">
        <v>1.97</v>
      </c>
      <c r="H1548" s="759">
        <f t="shared" si="24"/>
        <v>3.6445000000000003</v>
      </c>
    </row>
    <row r="1549" spans="1:8">
      <c r="A1549" s="701">
        <v>0</v>
      </c>
      <c r="B1549" s="759">
        <v>3.5</v>
      </c>
      <c r="C1549" s="759">
        <v>3</v>
      </c>
      <c r="D1549" s="759">
        <v>3</v>
      </c>
      <c r="E1549" s="701">
        <v>1.85</v>
      </c>
      <c r="F1549" s="759">
        <v>2.2999999999999998</v>
      </c>
      <c r="H1549" s="759">
        <f t="shared" si="24"/>
        <v>4.2549999999999999</v>
      </c>
    </row>
    <row r="1550" spans="1:8">
      <c r="A1550" s="701">
        <v>0</v>
      </c>
      <c r="B1550" s="759">
        <v>3.5</v>
      </c>
      <c r="C1550" s="759">
        <v>3.25</v>
      </c>
      <c r="D1550" s="759">
        <v>3</v>
      </c>
      <c r="E1550" s="701">
        <v>1.85</v>
      </c>
      <c r="F1550" s="759">
        <v>2.2999999999999998</v>
      </c>
      <c r="H1550" s="759">
        <f t="shared" si="24"/>
        <v>4.2549999999999999</v>
      </c>
    </row>
    <row r="1551" spans="1:8">
      <c r="A1551" s="701">
        <v>0</v>
      </c>
      <c r="B1551" s="759">
        <v>3.5</v>
      </c>
      <c r="C1551" s="759">
        <v>3.5</v>
      </c>
      <c r="D1551" s="759">
        <v>3</v>
      </c>
      <c r="E1551" s="701">
        <v>1.85</v>
      </c>
      <c r="F1551" s="759">
        <v>2.2999999999999998</v>
      </c>
      <c r="H1551" s="759">
        <f t="shared" si="24"/>
        <v>4.2549999999999999</v>
      </c>
    </row>
    <row r="1552" spans="1:8">
      <c r="A1552" s="701">
        <v>0</v>
      </c>
      <c r="B1552" s="759">
        <v>3.5</v>
      </c>
      <c r="C1552" s="759">
        <v>3.75</v>
      </c>
      <c r="D1552" s="759">
        <v>3</v>
      </c>
      <c r="E1552" s="701">
        <v>1.85</v>
      </c>
      <c r="F1552" s="759">
        <v>2.2999999999999998</v>
      </c>
      <c r="H1552" s="759">
        <f t="shared" si="24"/>
        <v>4.2549999999999999</v>
      </c>
    </row>
    <row r="1553" spans="1:8">
      <c r="A1553" s="701">
        <v>0</v>
      </c>
      <c r="B1553" s="759">
        <v>3.5</v>
      </c>
      <c r="C1553" s="759">
        <v>4</v>
      </c>
      <c r="D1553" s="759">
        <v>3</v>
      </c>
      <c r="E1553" s="701">
        <v>1.85</v>
      </c>
      <c r="F1553" s="759">
        <v>2.2999999999999998</v>
      </c>
      <c r="H1553" s="759">
        <f t="shared" si="24"/>
        <v>4.2549999999999999</v>
      </c>
    </row>
    <row r="1554" spans="1:8">
      <c r="A1554" s="701">
        <v>0</v>
      </c>
      <c r="B1554" s="759">
        <v>3.5</v>
      </c>
      <c r="C1554" s="759">
        <v>4.25</v>
      </c>
      <c r="D1554" s="759">
        <v>3</v>
      </c>
      <c r="E1554" s="701">
        <v>1.85</v>
      </c>
      <c r="F1554" s="759">
        <v>2.2999999999999998</v>
      </c>
      <c r="H1554" s="759">
        <f t="shared" si="24"/>
        <v>4.2549999999999999</v>
      </c>
    </row>
    <row r="1555" spans="1:8">
      <c r="A1555" s="701">
        <v>0</v>
      </c>
      <c r="B1555" s="759">
        <v>3.5</v>
      </c>
      <c r="C1555" s="759">
        <v>4.5</v>
      </c>
      <c r="D1555" s="759">
        <v>3</v>
      </c>
      <c r="E1555" s="701">
        <v>1.85</v>
      </c>
      <c r="F1555" s="759">
        <v>2.2999999999999998</v>
      </c>
      <c r="H1555" s="759">
        <f t="shared" si="24"/>
        <v>4.2549999999999999</v>
      </c>
    </row>
    <row r="1556" spans="1:8">
      <c r="A1556" s="701">
        <v>0</v>
      </c>
      <c r="B1556" s="759">
        <v>3.5</v>
      </c>
      <c r="C1556" s="759">
        <v>4.75</v>
      </c>
      <c r="D1556" s="759">
        <v>3</v>
      </c>
      <c r="E1556" s="701">
        <v>1.85</v>
      </c>
      <c r="F1556" s="759">
        <v>2.2999999999999998</v>
      </c>
      <c r="H1556" s="759">
        <f t="shared" ref="H1556:H1619" si="25">F1556*E1556</f>
        <v>4.2549999999999999</v>
      </c>
    </row>
    <row r="1557" spans="1:8">
      <c r="A1557" s="701">
        <v>0</v>
      </c>
      <c r="B1557" s="759">
        <v>3.5</v>
      </c>
      <c r="C1557" s="759">
        <v>5</v>
      </c>
      <c r="D1557" s="759">
        <v>3</v>
      </c>
      <c r="E1557" s="701">
        <v>1.85</v>
      </c>
      <c r="F1557" s="759">
        <v>2.2999999999999998</v>
      </c>
      <c r="H1557" s="759">
        <f t="shared" si="25"/>
        <v>4.2549999999999999</v>
      </c>
    </row>
    <row r="1558" spans="1:8">
      <c r="A1558" s="701">
        <v>0</v>
      </c>
      <c r="B1558" s="759">
        <v>3.5</v>
      </c>
      <c r="C1558" s="759">
        <v>5.25</v>
      </c>
      <c r="D1558" s="759">
        <v>3</v>
      </c>
      <c r="E1558" s="701">
        <v>1.85</v>
      </c>
      <c r="F1558" s="759">
        <v>2.2999999999999998</v>
      </c>
      <c r="H1558" s="759">
        <f t="shared" si="25"/>
        <v>4.2549999999999999</v>
      </c>
    </row>
    <row r="1559" spans="1:8">
      <c r="A1559" s="701">
        <v>0</v>
      </c>
      <c r="B1559" s="759">
        <v>3.5</v>
      </c>
      <c r="C1559" s="759">
        <v>5.5</v>
      </c>
      <c r="D1559" s="759">
        <v>3</v>
      </c>
      <c r="E1559" s="701">
        <v>1.85</v>
      </c>
      <c r="F1559" s="759">
        <v>2.2999999999999998</v>
      </c>
      <c r="H1559" s="759">
        <f t="shared" si="25"/>
        <v>4.2549999999999999</v>
      </c>
    </row>
    <row r="1560" spans="1:8">
      <c r="A1560" s="701">
        <v>0</v>
      </c>
      <c r="B1560" s="759">
        <v>3.5</v>
      </c>
      <c r="C1560" s="759">
        <v>5.75</v>
      </c>
      <c r="D1560" s="759">
        <v>3</v>
      </c>
      <c r="E1560" s="701">
        <v>1.85</v>
      </c>
      <c r="F1560" s="759">
        <v>2.2999999999999998</v>
      </c>
      <c r="H1560" s="759">
        <f t="shared" si="25"/>
        <v>4.2549999999999999</v>
      </c>
    </row>
    <row r="1561" spans="1:8">
      <c r="A1561" s="701">
        <v>0</v>
      </c>
      <c r="B1561" s="759">
        <v>3.5</v>
      </c>
      <c r="C1561" s="759">
        <v>6</v>
      </c>
      <c r="D1561" s="759">
        <v>3</v>
      </c>
      <c r="E1561" s="701">
        <v>1.85</v>
      </c>
      <c r="F1561" s="759">
        <v>2.2999999999999998</v>
      </c>
      <c r="H1561" s="759">
        <f t="shared" si="25"/>
        <v>4.2549999999999999</v>
      </c>
    </row>
    <row r="1562" spans="1:8">
      <c r="A1562" s="701">
        <v>0</v>
      </c>
      <c r="B1562" s="759">
        <v>3.5</v>
      </c>
      <c r="C1562" s="759">
        <v>6.25</v>
      </c>
      <c r="D1562" s="759">
        <v>3</v>
      </c>
      <c r="E1562" s="701">
        <v>1.85</v>
      </c>
      <c r="F1562" s="759">
        <v>2.2999999999999998</v>
      </c>
      <c r="H1562" s="759">
        <f t="shared" si="25"/>
        <v>4.2549999999999999</v>
      </c>
    </row>
    <row r="1563" spans="1:8">
      <c r="A1563" s="701">
        <v>0</v>
      </c>
      <c r="B1563" s="759">
        <v>3.5</v>
      </c>
      <c r="C1563" s="759">
        <v>6.5</v>
      </c>
      <c r="D1563" s="759">
        <v>3</v>
      </c>
      <c r="E1563" s="701">
        <v>1.85</v>
      </c>
      <c r="F1563" s="759">
        <v>2.2999999999999998</v>
      </c>
      <c r="H1563" s="759">
        <f t="shared" si="25"/>
        <v>4.2549999999999999</v>
      </c>
    </row>
    <row r="1564" spans="1:8">
      <c r="A1564" s="701">
        <v>0</v>
      </c>
      <c r="B1564" s="759">
        <v>3.5</v>
      </c>
      <c r="C1564" s="759">
        <v>6.75</v>
      </c>
      <c r="D1564" s="759">
        <v>3</v>
      </c>
      <c r="E1564" s="701">
        <v>1.85</v>
      </c>
      <c r="F1564" s="759">
        <v>2.2999999999999998</v>
      </c>
      <c r="H1564" s="759">
        <f t="shared" si="25"/>
        <v>4.2549999999999999</v>
      </c>
    </row>
    <row r="1565" spans="1:8">
      <c r="A1565" s="701">
        <v>0</v>
      </c>
      <c r="B1565" s="759">
        <v>3.5</v>
      </c>
      <c r="C1565" s="759">
        <v>7</v>
      </c>
      <c r="D1565" s="759">
        <v>3</v>
      </c>
      <c r="E1565" s="701">
        <v>1.85</v>
      </c>
      <c r="F1565" s="759">
        <v>2.2999999999999998</v>
      </c>
      <c r="H1565" s="759">
        <f t="shared" si="25"/>
        <v>4.2549999999999999</v>
      </c>
    </row>
    <row r="1566" spans="1:8">
      <c r="A1566" s="701">
        <v>0</v>
      </c>
      <c r="B1566" s="759">
        <v>3.5</v>
      </c>
      <c r="C1566" s="759">
        <v>7.5</v>
      </c>
      <c r="D1566" s="759">
        <v>3</v>
      </c>
      <c r="E1566" s="701">
        <v>1.85</v>
      </c>
      <c r="F1566" s="759">
        <v>2.2999999999999998</v>
      </c>
      <c r="H1566" s="759">
        <f t="shared" si="25"/>
        <v>4.2549999999999999</v>
      </c>
    </row>
    <row r="1567" spans="1:8">
      <c r="A1567" s="701">
        <v>0</v>
      </c>
      <c r="B1567" s="759">
        <v>3.5</v>
      </c>
      <c r="C1567" s="759">
        <v>8</v>
      </c>
      <c r="D1567" s="759">
        <v>3</v>
      </c>
      <c r="E1567" s="701">
        <v>1.85</v>
      </c>
      <c r="F1567" s="759">
        <v>2.2999999999999998</v>
      </c>
      <c r="H1567" s="759">
        <f t="shared" si="25"/>
        <v>4.2549999999999999</v>
      </c>
    </row>
    <row r="1568" spans="1:8">
      <c r="A1568" s="701">
        <v>0</v>
      </c>
      <c r="B1568" s="759">
        <v>4</v>
      </c>
      <c r="C1568" s="759">
        <v>3</v>
      </c>
      <c r="D1568" s="759">
        <v>3</v>
      </c>
      <c r="E1568" s="701">
        <v>1.85</v>
      </c>
      <c r="F1568" s="759">
        <v>2.63</v>
      </c>
      <c r="H1568" s="759">
        <f t="shared" si="25"/>
        <v>4.8654999999999999</v>
      </c>
    </row>
    <row r="1569" spans="1:8">
      <c r="A1569" s="701">
        <v>0</v>
      </c>
      <c r="B1569" s="759">
        <v>4</v>
      </c>
      <c r="C1569" s="759">
        <v>3.25</v>
      </c>
      <c r="D1569" s="759">
        <v>3</v>
      </c>
      <c r="E1569" s="701">
        <v>1.85</v>
      </c>
      <c r="F1569" s="759">
        <v>2.63</v>
      </c>
      <c r="H1569" s="759">
        <f t="shared" si="25"/>
        <v>4.8654999999999999</v>
      </c>
    </row>
    <row r="1570" spans="1:8">
      <c r="A1570" s="701">
        <v>0</v>
      </c>
      <c r="B1570" s="759">
        <v>4</v>
      </c>
      <c r="C1570" s="759">
        <v>3.5</v>
      </c>
      <c r="D1570" s="759">
        <v>3</v>
      </c>
      <c r="E1570" s="701">
        <v>1.85</v>
      </c>
      <c r="F1570" s="759">
        <v>2.63</v>
      </c>
      <c r="H1570" s="759">
        <f t="shared" si="25"/>
        <v>4.8654999999999999</v>
      </c>
    </row>
    <row r="1571" spans="1:8">
      <c r="A1571" s="701">
        <v>0</v>
      </c>
      <c r="B1571" s="759">
        <v>4</v>
      </c>
      <c r="C1571" s="759">
        <v>3.75</v>
      </c>
      <c r="D1571" s="759">
        <v>3</v>
      </c>
      <c r="E1571" s="701">
        <v>1.85</v>
      </c>
      <c r="F1571" s="759">
        <v>2.63</v>
      </c>
      <c r="H1571" s="759">
        <f t="shared" si="25"/>
        <v>4.8654999999999999</v>
      </c>
    </row>
    <row r="1572" spans="1:8">
      <c r="A1572" s="701">
        <v>0</v>
      </c>
      <c r="B1572" s="759">
        <v>4</v>
      </c>
      <c r="C1572" s="759">
        <v>4</v>
      </c>
      <c r="D1572" s="759">
        <v>3</v>
      </c>
      <c r="E1572" s="701">
        <v>1.85</v>
      </c>
      <c r="F1572" s="759">
        <v>2.63</v>
      </c>
      <c r="H1572" s="759">
        <f t="shared" si="25"/>
        <v>4.8654999999999999</v>
      </c>
    </row>
    <row r="1573" spans="1:8">
      <c r="A1573" s="701">
        <v>0</v>
      </c>
      <c r="B1573" s="759">
        <v>4</v>
      </c>
      <c r="C1573" s="759">
        <v>4.25</v>
      </c>
      <c r="D1573" s="759">
        <v>3</v>
      </c>
      <c r="E1573" s="701">
        <v>1.85</v>
      </c>
      <c r="F1573" s="759">
        <v>2.63</v>
      </c>
      <c r="H1573" s="759">
        <f t="shared" si="25"/>
        <v>4.8654999999999999</v>
      </c>
    </row>
    <row r="1574" spans="1:8">
      <c r="A1574" s="701">
        <v>0</v>
      </c>
      <c r="B1574" s="759">
        <v>4</v>
      </c>
      <c r="C1574" s="759">
        <v>4.5</v>
      </c>
      <c r="D1574" s="759">
        <v>3</v>
      </c>
      <c r="E1574" s="701">
        <v>1.85</v>
      </c>
      <c r="F1574" s="759">
        <v>2.63</v>
      </c>
      <c r="H1574" s="759">
        <f t="shared" si="25"/>
        <v>4.8654999999999999</v>
      </c>
    </row>
    <row r="1575" spans="1:8">
      <c r="A1575" s="701">
        <v>0</v>
      </c>
      <c r="B1575" s="759">
        <v>4</v>
      </c>
      <c r="C1575" s="759">
        <v>4.75</v>
      </c>
      <c r="D1575" s="759">
        <v>3</v>
      </c>
      <c r="E1575" s="701">
        <v>1.85</v>
      </c>
      <c r="F1575" s="759">
        <v>2.63</v>
      </c>
      <c r="H1575" s="759">
        <f t="shared" si="25"/>
        <v>4.8654999999999999</v>
      </c>
    </row>
    <row r="1576" spans="1:8">
      <c r="A1576" s="701">
        <v>0</v>
      </c>
      <c r="B1576" s="759">
        <v>4</v>
      </c>
      <c r="C1576" s="759">
        <v>5</v>
      </c>
      <c r="D1576" s="759">
        <v>3</v>
      </c>
      <c r="E1576" s="701">
        <v>1.85</v>
      </c>
      <c r="F1576" s="759">
        <v>2.63</v>
      </c>
      <c r="H1576" s="759">
        <f t="shared" si="25"/>
        <v>4.8654999999999999</v>
      </c>
    </row>
    <row r="1577" spans="1:8">
      <c r="A1577" s="701">
        <v>0</v>
      </c>
      <c r="B1577" s="759">
        <v>4</v>
      </c>
      <c r="C1577" s="759">
        <v>5.25</v>
      </c>
      <c r="D1577" s="759">
        <v>3</v>
      </c>
      <c r="E1577" s="701">
        <v>1.85</v>
      </c>
      <c r="F1577" s="759">
        <v>2.63</v>
      </c>
      <c r="H1577" s="759">
        <f t="shared" si="25"/>
        <v>4.8654999999999999</v>
      </c>
    </row>
    <row r="1578" spans="1:8">
      <c r="A1578" s="701">
        <v>0</v>
      </c>
      <c r="B1578" s="759">
        <v>4</v>
      </c>
      <c r="C1578" s="759">
        <v>5.5</v>
      </c>
      <c r="D1578" s="759">
        <v>3</v>
      </c>
      <c r="E1578" s="701">
        <v>1.85</v>
      </c>
      <c r="F1578" s="759">
        <v>2.63</v>
      </c>
      <c r="H1578" s="759">
        <f t="shared" si="25"/>
        <v>4.8654999999999999</v>
      </c>
    </row>
    <row r="1579" spans="1:8">
      <c r="A1579" s="701">
        <v>0</v>
      </c>
      <c r="B1579" s="759">
        <v>4</v>
      </c>
      <c r="C1579" s="759">
        <v>5.75</v>
      </c>
      <c r="D1579" s="759">
        <v>3</v>
      </c>
      <c r="E1579" s="701">
        <v>1.85</v>
      </c>
      <c r="F1579" s="759">
        <v>2.63</v>
      </c>
      <c r="H1579" s="759">
        <f t="shared" si="25"/>
        <v>4.8654999999999999</v>
      </c>
    </row>
    <row r="1580" spans="1:8">
      <c r="A1580" s="701">
        <v>0</v>
      </c>
      <c r="B1580" s="759">
        <v>4</v>
      </c>
      <c r="C1580" s="759">
        <v>6</v>
      </c>
      <c r="D1580" s="759">
        <v>3</v>
      </c>
      <c r="E1580" s="701">
        <v>1.85</v>
      </c>
      <c r="F1580" s="759">
        <v>2.63</v>
      </c>
      <c r="H1580" s="759">
        <f t="shared" si="25"/>
        <v>4.8654999999999999</v>
      </c>
    </row>
    <row r="1581" spans="1:8">
      <c r="A1581" s="701">
        <v>0</v>
      </c>
      <c r="B1581" s="759">
        <v>4</v>
      </c>
      <c r="C1581" s="759">
        <v>6.25</v>
      </c>
      <c r="D1581" s="759">
        <v>3</v>
      </c>
      <c r="E1581" s="701">
        <v>1.85</v>
      </c>
      <c r="F1581" s="759">
        <v>2.63</v>
      </c>
      <c r="H1581" s="759">
        <f t="shared" si="25"/>
        <v>4.8654999999999999</v>
      </c>
    </row>
    <row r="1582" spans="1:8">
      <c r="A1582" s="701">
        <v>0</v>
      </c>
      <c r="B1582" s="759">
        <v>4</v>
      </c>
      <c r="C1582" s="759">
        <v>6.5</v>
      </c>
      <c r="D1582" s="759">
        <v>3</v>
      </c>
      <c r="E1582" s="701">
        <v>1.85</v>
      </c>
      <c r="F1582" s="759">
        <v>2.63</v>
      </c>
      <c r="H1582" s="759">
        <f t="shared" si="25"/>
        <v>4.8654999999999999</v>
      </c>
    </row>
    <row r="1583" spans="1:8">
      <c r="A1583" s="701">
        <v>0</v>
      </c>
      <c r="B1583" s="759">
        <v>4</v>
      </c>
      <c r="C1583" s="759">
        <v>6.75</v>
      </c>
      <c r="D1583" s="759">
        <v>3</v>
      </c>
      <c r="E1583" s="701">
        <v>1.85</v>
      </c>
      <c r="F1583" s="759">
        <v>2.63</v>
      </c>
      <c r="H1583" s="759">
        <f t="shared" si="25"/>
        <v>4.8654999999999999</v>
      </c>
    </row>
    <row r="1584" spans="1:8">
      <c r="A1584" s="701">
        <v>0</v>
      </c>
      <c r="B1584" s="759">
        <v>4</v>
      </c>
      <c r="C1584" s="759">
        <v>7</v>
      </c>
      <c r="D1584" s="759">
        <v>3</v>
      </c>
      <c r="E1584" s="701">
        <v>1.85</v>
      </c>
      <c r="F1584" s="759">
        <v>2.63</v>
      </c>
      <c r="H1584" s="759">
        <f t="shared" si="25"/>
        <v>4.8654999999999999</v>
      </c>
    </row>
    <row r="1585" spans="1:8">
      <c r="A1585" s="701">
        <v>0</v>
      </c>
      <c r="B1585" s="759">
        <v>4</v>
      </c>
      <c r="C1585" s="759">
        <v>7.5</v>
      </c>
      <c r="D1585" s="759">
        <v>3</v>
      </c>
      <c r="E1585" s="701">
        <v>1.85</v>
      </c>
      <c r="F1585" s="759">
        <v>2.63</v>
      </c>
      <c r="H1585" s="759">
        <f t="shared" si="25"/>
        <v>4.8654999999999999</v>
      </c>
    </row>
    <row r="1586" spans="1:8">
      <c r="A1586" s="701">
        <v>0</v>
      </c>
      <c r="B1586" s="759">
        <v>4</v>
      </c>
      <c r="C1586" s="759">
        <v>8</v>
      </c>
      <c r="D1586" s="759">
        <v>3</v>
      </c>
      <c r="E1586" s="701">
        <v>1.85</v>
      </c>
      <c r="F1586" s="759">
        <v>2.63</v>
      </c>
      <c r="H1586" s="759">
        <f t="shared" si="25"/>
        <v>4.8654999999999999</v>
      </c>
    </row>
    <row r="1587" spans="1:8">
      <c r="A1587" s="701">
        <v>0</v>
      </c>
      <c r="B1587" s="759">
        <v>4.5</v>
      </c>
      <c r="C1587" s="759">
        <v>3</v>
      </c>
      <c r="D1587" s="759">
        <v>3</v>
      </c>
      <c r="E1587" s="701">
        <v>1.85</v>
      </c>
      <c r="F1587" s="759">
        <v>2.96</v>
      </c>
      <c r="H1587" s="759">
        <f t="shared" si="25"/>
        <v>5.476</v>
      </c>
    </row>
    <row r="1588" spans="1:8">
      <c r="A1588" s="701">
        <v>0</v>
      </c>
      <c r="B1588" s="759">
        <v>4.5</v>
      </c>
      <c r="C1588" s="759">
        <v>3.25</v>
      </c>
      <c r="D1588" s="759">
        <v>3</v>
      </c>
      <c r="E1588" s="701">
        <v>1.85</v>
      </c>
      <c r="F1588" s="759">
        <v>2.96</v>
      </c>
      <c r="H1588" s="759">
        <f t="shared" si="25"/>
        <v>5.476</v>
      </c>
    </row>
    <row r="1589" spans="1:8">
      <c r="A1589" s="701">
        <v>0</v>
      </c>
      <c r="B1589" s="759">
        <v>4.5</v>
      </c>
      <c r="C1589" s="759">
        <v>3.5</v>
      </c>
      <c r="D1589" s="759">
        <v>3</v>
      </c>
      <c r="E1589" s="701">
        <v>1.85</v>
      </c>
      <c r="F1589" s="759">
        <v>2.96</v>
      </c>
      <c r="H1589" s="759">
        <f t="shared" si="25"/>
        <v>5.476</v>
      </c>
    </row>
    <row r="1590" spans="1:8">
      <c r="A1590" s="701">
        <v>0</v>
      </c>
      <c r="B1590" s="759">
        <v>4.5</v>
      </c>
      <c r="C1590" s="759">
        <v>3.75</v>
      </c>
      <c r="D1590" s="759">
        <v>3</v>
      </c>
      <c r="E1590" s="701">
        <v>1.85</v>
      </c>
      <c r="F1590" s="759">
        <v>2.96</v>
      </c>
      <c r="H1590" s="759">
        <f t="shared" si="25"/>
        <v>5.476</v>
      </c>
    </row>
    <row r="1591" spans="1:8">
      <c r="A1591" s="701">
        <v>0</v>
      </c>
      <c r="B1591" s="759">
        <v>4.5</v>
      </c>
      <c r="C1591" s="759">
        <v>4</v>
      </c>
      <c r="D1591" s="759">
        <v>3</v>
      </c>
      <c r="E1591" s="701">
        <v>1.85</v>
      </c>
      <c r="F1591" s="759">
        <v>2.96</v>
      </c>
      <c r="H1591" s="759">
        <f t="shared" si="25"/>
        <v>5.476</v>
      </c>
    </row>
    <row r="1592" spans="1:8">
      <c r="A1592" s="701">
        <v>0</v>
      </c>
      <c r="B1592" s="759">
        <v>4.5</v>
      </c>
      <c r="C1592" s="759">
        <v>4.25</v>
      </c>
      <c r="D1592" s="759">
        <v>3</v>
      </c>
      <c r="E1592" s="701">
        <v>1.85</v>
      </c>
      <c r="F1592" s="759">
        <v>2.96</v>
      </c>
      <c r="H1592" s="759">
        <f t="shared" si="25"/>
        <v>5.476</v>
      </c>
    </row>
    <row r="1593" spans="1:8">
      <c r="A1593" s="701">
        <v>0</v>
      </c>
      <c r="B1593" s="759">
        <v>4.5</v>
      </c>
      <c r="C1593" s="759">
        <v>4.5</v>
      </c>
      <c r="D1593" s="759">
        <v>3</v>
      </c>
      <c r="E1593" s="701">
        <v>1.85</v>
      </c>
      <c r="F1593" s="759">
        <v>2.96</v>
      </c>
      <c r="H1593" s="759">
        <f t="shared" si="25"/>
        <v>5.476</v>
      </c>
    </row>
    <row r="1594" spans="1:8">
      <c r="A1594" s="701">
        <v>0</v>
      </c>
      <c r="B1594" s="759">
        <v>4.5</v>
      </c>
      <c r="C1594" s="759">
        <v>4.75</v>
      </c>
      <c r="D1594" s="759">
        <v>3</v>
      </c>
      <c r="E1594" s="701">
        <v>1.85</v>
      </c>
      <c r="F1594" s="759">
        <v>2.96</v>
      </c>
      <c r="H1594" s="759">
        <f t="shared" si="25"/>
        <v>5.476</v>
      </c>
    </row>
    <row r="1595" spans="1:8">
      <c r="A1595" s="701">
        <v>0</v>
      </c>
      <c r="B1595" s="759">
        <v>4.5</v>
      </c>
      <c r="C1595" s="759">
        <v>5</v>
      </c>
      <c r="D1595" s="759">
        <v>3</v>
      </c>
      <c r="E1595" s="701">
        <v>1.85</v>
      </c>
      <c r="F1595" s="759">
        <v>2.96</v>
      </c>
      <c r="H1595" s="759">
        <f t="shared" si="25"/>
        <v>5.476</v>
      </c>
    </row>
    <row r="1596" spans="1:8">
      <c r="A1596" s="701">
        <v>0</v>
      </c>
      <c r="B1596" s="759">
        <v>4.5</v>
      </c>
      <c r="C1596" s="759">
        <v>5.25</v>
      </c>
      <c r="D1596" s="759">
        <v>3</v>
      </c>
      <c r="E1596" s="701">
        <v>1.85</v>
      </c>
      <c r="F1596" s="759">
        <v>2.96</v>
      </c>
      <c r="H1596" s="759">
        <f t="shared" si="25"/>
        <v>5.476</v>
      </c>
    </row>
    <row r="1597" spans="1:8">
      <c r="A1597" s="701">
        <v>0</v>
      </c>
      <c r="B1597" s="759">
        <v>4.5</v>
      </c>
      <c r="C1597" s="759">
        <v>5.5</v>
      </c>
      <c r="D1597" s="759">
        <v>3</v>
      </c>
      <c r="E1597" s="701">
        <v>1.85</v>
      </c>
      <c r="F1597" s="759">
        <v>2.96</v>
      </c>
      <c r="H1597" s="759">
        <f t="shared" si="25"/>
        <v>5.476</v>
      </c>
    </row>
    <row r="1598" spans="1:8">
      <c r="A1598" s="701">
        <v>0</v>
      </c>
      <c r="B1598" s="759">
        <v>4.5</v>
      </c>
      <c r="C1598" s="759">
        <v>5.75</v>
      </c>
      <c r="D1598" s="759">
        <v>3</v>
      </c>
      <c r="E1598" s="701">
        <v>1.85</v>
      </c>
      <c r="F1598" s="759">
        <v>2.96</v>
      </c>
      <c r="H1598" s="759">
        <f t="shared" si="25"/>
        <v>5.476</v>
      </c>
    </row>
    <row r="1599" spans="1:8">
      <c r="A1599" s="701">
        <v>0</v>
      </c>
      <c r="B1599" s="759">
        <v>4.5</v>
      </c>
      <c r="C1599" s="759">
        <v>6</v>
      </c>
      <c r="D1599" s="759">
        <v>3</v>
      </c>
      <c r="E1599" s="701">
        <v>1.85</v>
      </c>
      <c r="F1599" s="759">
        <v>2.96</v>
      </c>
      <c r="H1599" s="759">
        <f t="shared" si="25"/>
        <v>5.476</v>
      </c>
    </row>
    <row r="1600" spans="1:8">
      <c r="A1600" s="701">
        <v>0</v>
      </c>
      <c r="B1600" s="759">
        <v>4.5</v>
      </c>
      <c r="C1600" s="759">
        <v>6.25</v>
      </c>
      <c r="D1600" s="759">
        <v>3</v>
      </c>
      <c r="E1600" s="701">
        <v>1.85</v>
      </c>
      <c r="F1600" s="759">
        <v>2.96</v>
      </c>
      <c r="H1600" s="759">
        <f t="shared" si="25"/>
        <v>5.476</v>
      </c>
    </row>
    <row r="1601" spans="1:8">
      <c r="A1601" s="701">
        <v>0</v>
      </c>
      <c r="B1601" s="759">
        <v>4.5</v>
      </c>
      <c r="C1601" s="759">
        <v>6.5</v>
      </c>
      <c r="D1601" s="759">
        <v>3</v>
      </c>
      <c r="E1601" s="701">
        <v>1.85</v>
      </c>
      <c r="F1601" s="759">
        <v>2.96</v>
      </c>
      <c r="H1601" s="759">
        <f t="shared" si="25"/>
        <v>5.476</v>
      </c>
    </row>
    <row r="1602" spans="1:8">
      <c r="A1602" s="701">
        <v>0</v>
      </c>
      <c r="B1602" s="759">
        <v>4.5</v>
      </c>
      <c r="C1602" s="759">
        <v>6.75</v>
      </c>
      <c r="D1602" s="759">
        <v>3</v>
      </c>
      <c r="E1602" s="701">
        <v>1.85</v>
      </c>
      <c r="F1602" s="759">
        <v>2.96</v>
      </c>
      <c r="H1602" s="759">
        <f t="shared" si="25"/>
        <v>5.476</v>
      </c>
    </row>
    <row r="1603" spans="1:8">
      <c r="A1603" s="701">
        <v>0</v>
      </c>
      <c r="B1603" s="759">
        <v>4.5</v>
      </c>
      <c r="C1603" s="759">
        <v>7</v>
      </c>
      <c r="D1603" s="759">
        <v>3</v>
      </c>
      <c r="E1603" s="701">
        <v>1.85</v>
      </c>
      <c r="F1603" s="759">
        <v>2.96</v>
      </c>
      <c r="H1603" s="759">
        <f t="shared" si="25"/>
        <v>5.476</v>
      </c>
    </row>
    <row r="1604" spans="1:8">
      <c r="A1604" s="701">
        <v>0</v>
      </c>
      <c r="B1604" s="759">
        <v>4.5</v>
      </c>
      <c r="C1604" s="759">
        <v>7.5</v>
      </c>
      <c r="D1604" s="759">
        <v>3</v>
      </c>
      <c r="E1604" s="701">
        <v>1.85</v>
      </c>
      <c r="F1604" s="759">
        <v>2.96</v>
      </c>
      <c r="H1604" s="759">
        <f t="shared" si="25"/>
        <v>5.476</v>
      </c>
    </row>
    <row r="1605" spans="1:8">
      <c r="A1605" s="701">
        <v>0</v>
      </c>
      <c r="B1605" s="759">
        <v>4.5</v>
      </c>
      <c r="C1605" s="759">
        <v>8</v>
      </c>
      <c r="D1605" s="759">
        <v>3</v>
      </c>
      <c r="E1605" s="701">
        <v>1.85</v>
      </c>
      <c r="F1605" s="759">
        <v>2.96</v>
      </c>
      <c r="H1605" s="759">
        <f t="shared" si="25"/>
        <v>5.476</v>
      </c>
    </row>
    <row r="1606" spans="1:8">
      <c r="A1606" s="701">
        <v>0</v>
      </c>
      <c r="B1606" s="759">
        <v>5</v>
      </c>
      <c r="C1606" s="759">
        <v>3</v>
      </c>
      <c r="D1606" s="759">
        <v>3</v>
      </c>
      <c r="E1606" s="701">
        <v>1.85</v>
      </c>
      <c r="F1606" s="759">
        <v>3.29</v>
      </c>
      <c r="H1606" s="759">
        <f t="shared" si="25"/>
        <v>6.0865</v>
      </c>
    </row>
    <row r="1607" spans="1:8">
      <c r="A1607" s="701">
        <v>0</v>
      </c>
      <c r="B1607" s="759">
        <v>5</v>
      </c>
      <c r="C1607" s="759">
        <v>3.25</v>
      </c>
      <c r="D1607" s="759">
        <v>3</v>
      </c>
      <c r="E1607" s="701">
        <v>1.85</v>
      </c>
      <c r="F1607" s="759">
        <v>3.29</v>
      </c>
      <c r="H1607" s="759">
        <f t="shared" si="25"/>
        <v>6.0865</v>
      </c>
    </row>
    <row r="1608" spans="1:8">
      <c r="A1608" s="701">
        <v>0</v>
      </c>
      <c r="B1608" s="759">
        <v>5</v>
      </c>
      <c r="C1608" s="759">
        <v>3.5</v>
      </c>
      <c r="D1608" s="759">
        <v>3</v>
      </c>
      <c r="E1608" s="701">
        <v>1.85</v>
      </c>
      <c r="F1608" s="759">
        <v>3.29</v>
      </c>
      <c r="H1608" s="759">
        <f t="shared" si="25"/>
        <v>6.0865</v>
      </c>
    </row>
    <row r="1609" spans="1:8">
      <c r="A1609" s="701">
        <v>0</v>
      </c>
      <c r="B1609" s="759">
        <v>5</v>
      </c>
      <c r="C1609" s="759">
        <v>3.75</v>
      </c>
      <c r="D1609" s="759">
        <v>3</v>
      </c>
      <c r="E1609" s="701">
        <v>1.85</v>
      </c>
      <c r="F1609" s="759">
        <v>3.29</v>
      </c>
      <c r="H1609" s="759">
        <f t="shared" si="25"/>
        <v>6.0865</v>
      </c>
    </row>
    <row r="1610" spans="1:8">
      <c r="A1610" s="701">
        <v>0</v>
      </c>
      <c r="B1610" s="759">
        <v>5</v>
      </c>
      <c r="C1610" s="759">
        <v>4</v>
      </c>
      <c r="D1610" s="759">
        <v>3</v>
      </c>
      <c r="E1610" s="701">
        <v>1.85</v>
      </c>
      <c r="F1610" s="759">
        <v>3.29</v>
      </c>
      <c r="H1610" s="759">
        <f t="shared" si="25"/>
        <v>6.0865</v>
      </c>
    </row>
    <row r="1611" spans="1:8">
      <c r="A1611" s="701">
        <v>0</v>
      </c>
      <c r="B1611" s="759">
        <v>5</v>
      </c>
      <c r="C1611" s="759">
        <v>4.25</v>
      </c>
      <c r="D1611" s="759">
        <v>3</v>
      </c>
      <c r="E1611" s="701">
        <v>1.85</v>
      </c>
      <c r="F1611" s="759">
        <v>3.29</v>
      </c>
      <c r="H1611" s="759">
        <f t="shared" si="25"/>
        <v>6.0865</v>
      </c>
    </row>
    <row r="1612" spans="1:8">
      <c r="A1612" s="701">
        <v>0</v>
      </c>
      <c r="B1612" s="759">
        <v>5</v>
      </c>
      <c r="C1612" s="759">
        <v>4.5</v>
      </c>
      <c r="D1612" s="759">
        <v>3</v>
      </c>
      <c r="E1612" s="701">
        <v>1.85</v>
      </c>
      <c r="F1612" s="759">
        <v>3.29</v>
      </c>
      <c r="H1612" s="759">
        <f t="shared" si="25"/>
        <v>6.0865</v>
      </c>
    </row>
    <row r="1613" spans="1:8">
      <c r="A1613" s="701">
        <v>0</v>
      </c>
      <c r="B1613" s="759">
        <v>5</v>
      </c>
      <c r="C1613" s="759">
        <v>4.75</v>
      </c>
      <c r="D1613" s="759">
        <v>3</v>
      </c>
      <c r="E1613" s="701">
        <v>1.85</v>
      </c>
      <c r="F1613" s="759">
        <v>3.29</v>
      </c>
      <c r="H1613" s="759">
        <f t="shared" si="25"/>
        <v>6.0865</v>
      </c>
    </row>
    <row r="1614" spans="1:8">
      <c r="A1614" s="701">
        <v>0</v>
      </c>
      <c r="B1614" s="759">
        <v>5</v>
      </c>
      <c r="C1614" s="759">
        <v>5</v>
      </c>
      <c r="D1614" s="759">
        <v>3</v>
      </c>
      <c r="E1614" s="701">
        <v>1.85</v>
      </c>
      <c r="F1614" s="759">
        <v>3.29</v>
      </c>
      <c r="H1614" s="759">
        <f t="shared" si="25"/>
        <v>6.0865</v>
      </c>
    </row>
    <row r="1615" spans="1:8">
      <c r="A1615" s="701">
        <v>0</v>
      </c>
      <c r="B1615" s="759">
        <v>5</v>
      </c>
      <c r="C1615" s="759">
        <v>5.25</v>
      </c>
      <c r="D1615" s="759">
        <v>3</v>
      </c>
      <c r="E1615" s="701">
        <v>1.85</v>
      </c>
      <c r="F1615" s="759">
        <v>3.29</v>
      </c>
      <c r="H1615" s="759">
        <f t="shared" si="25"/>
        <v>6.0865</v>
      </c>
    </row>
    <row r="1616" spans="1:8">
      <c r="A1616" s="701">
        <v>0</v>
      </c>
      <c r="B1616" s="759">
        <v>5</v>
      </c>
      <c r="C1616" s="759">
        <v>5.5</v>
      </c>
      <c r="D1616" s="759">
        <v>3</v>
      </c>
      <c r="E1616" s="701">
        <v>1.85</v>
      </c>
      <c r="F1616" s="759">
        <v>3.29</v>
      </c>
      <c r="H1616" s="759">
        <f t="shared" si="25"/>
        <v>6.0865</v>
      </c>
    </row>
    <row r="1617" spans="1:8">
      <c r="A1617" s="701">
        <v>0</v>
      </c>
      <c r="B1617" s="759">
        <v>5</v>
      </c>
      <c r="C1617" s="759">
        <v>5.75</v>
      </c>
      <c r="D1617" s="759">
        <v>3</v>
      </c>
      <c r="E1617" s="701">
        <v>1.85</v>
      </c>
      <c r="F1617" s="759">
        <v>3.29</v>
      </c>
      <c r="H1617" s="759">
        <f t="shared" si="25"/>
        <v>6.0865</v>
      </c>
    </row>
    <row r="1618" spans="1:8">
      <c r="A1618" s="701">
        <v>0</v>
      </c>
      <c r="B1618" s="759">
        <v>5</v>
      </c>
      <c r="C1618" s="759">
        <v>6</v>
      </c>
      <c r="D1618" s="759">
        <v>3</v>
      </c>
      <c r="E1618" s="701">
        <v>1.85</v>
      </c>
      <c r="F1618" s="759">
        <v>3.29</v>
      </c>
      <c r="H1618" s="759">
        <f t="shared" si="25"/>
        <v>6.0865</v>
      </c>
    </row>
    <row r="1619" spans="1:8">
      <c r="A1619" s="701">
        <v>0</v>
      </c>
      <c r="B1619" s="759">
        <v>5</v>
      </c>
      <c r="C1619" s="759">
        <v>6.25</v>
      </c>
      <c r="D1619" s="759">
        <v>3</v>
      </c>
      <c r="E1619" s="701">
        <v>1.85</v>
      </c>
      <c r="F1619" s="759">
        <v>3.29</v>
      </c>
      <c r="H1619" s="759">
        <f t="shared" si="25"/>
        <v>6.0865</v>
      </c>
    </row>
    <row r="1620" spans="1:8">
      <c r="A1620" s="701">
        <v>0</v>
      </c>
      <c r="B1620" s="759">
        <v>5</v>
      </c>
      <c r="C1620" s="759">
        <v>6.5</v>
      </c>
      <c r="D1620" s="759">
        <v>3</v>
      </c>
      <c r="E1620" s="701">
        <v>1.85</v>
      </c>
      <c r="F1620" s="759">
        <v>3.29</v>
      </c>
      <c r="H1620" s="759">
        <f t="shared" ref="H1620:H1683" si="26">F1620*E1620</f>
        <v>6.0865</v>
      </c>
    </row>
    <row r="1621" spans="1:8">
      <c r="A1621" s="701">
        <v>0</v>
      </c>
      <c r="B1621" s="759">
        <v>5</v>
      </c>
      <c r="C1621" s="759">
        <v>6.75</v>
      </c>
      <c r="D1621" s="759">
        <v>3</v>
      </c>
      <c r="E1621" s="701">
        <v>1.85</v>
      </c>
      <c r="F1621" s="759">
        <v>3.29</v>
      </c>
      <c r="H1621" s="759">
        <f t="shared" si="26"/>
        <v>6.0865</v>
      </c>
    </row>
    <row r="1622" spans="1:8">
      <c r="A1622" s="701">
        <v>0</v>
      </c>
      <c r="B1622" s="759">
        <v>5</v>
      </c>
      <c r="C1622" s="759">
        <v>7</v>
      </c>
      <c r="D1622" s="759">
        <v>3</v>
      </c>
      <c r="E1622" s="701">
        <v>1.85</v>
      </c>
      <c r="F1622" s="759">
        <v>3.29</v>
      </c>
      <c r="H1622" s="759">
        <f t="shared" si="26"/>
        <v>6.0865</v>
      </c>
    </row>
    <row r="1623" spans="1:8">
      <c r="A1623" s="701">
        <v>0</v>
      </c>
      <c r="B1623" s="759">
        <v>5</v>
      </c>
      <c r="C1623" s="759">
        <v>7.5</v>
      </c>
      <c r="D1623" s="759">
        <v>3</v>
      </c>
      <c r="E1623" s="701">
        <v>1.85</v>
      </c>
      <c r="F1623" s="759">
        <v>3.29</v>
      </c>
      <c r="H1623" s="759">
        <f t="shared" si="26"/>
        <v>6.0865</v>
      </c>
    </row>
    <row r="1624" spans="1:8">
      <c r="A1624" s="701">
        <v>0</v>
      </c>
      <c r="B1624" s="759">
        <v>5</v>
      </c>
      <c r="C1624" s="759">
        <v>8</v>
      </c>
      <c r="D1624" s="759">
        <v>3</v>
      </c>
      <c r="E1624" s="701">
        <v>1.85</v>
      </c>
      <c r="F1624" s="759">
        <v>3.29</v>
      </c>
      <c r="H1624" s="759">
        <f t="shared" si="26"/>
        <v>6.0865</v>
      </c>
    </row>
    <row r="1625" spans="1:8">
      <c r="A1625" s="701">
        <v>0</v>
      </c>
      <c r="B1625" s="759">
        <v>5.5</v>
      </c>
      <c r="C1625" s="759">
        <v>3</v>
      </c>
      <c r="D1625" s="759">
        <v>3</v>
      </c>
      <c r="E1625" s="701">
        <v>1.85</v>
      </c>
      <c r="F1625" s="759">
        <v>3.62</v>
      </c>
      <c r="H1625" s="759">
        <f t="shared" si="26"/>
        <v>6.697000000000001</v>
      </c>
    </row>
    <row r="1626" spans="1:8">
      <c r="A1626" s="701">
        <v>0</v>
      </c>
      <c r="B1626" s="759">
        <v>5.5</v>
      </c>
      <c r="C1626" s="759">
        <v>3.25</v>
      </c>
      <c r="D1626" s="759">
        <v>3</v>
      </c>
      <c r="E1626" s="701">
        <v>1.85</v>
      </c>
      <c r="F1626" s="759">
        <v>3.62</v>
      </c>
      <c r="H1626" s="759">
        <f t="shared" si="26"/>
        <v>6.697000000000001</v>
      </c>
    </row>
    <row r="1627" spans="1:8">
      <c r="A1627" s="701">
        <v>0</v>
      </c>
      <c r="B1627" s="759">
        <v>5.5</v>
      </c>
      <c r="C1627" s="759">
        <v>3.5</v>
      </c>
      <c r="D1627" s="759">
        <v>3</v>
      </c>
      <c r="E1627" s="701">
        <v>1.85</v>
      </c>
      <c r="F1627" s="759">
        <v>3.62</v>
      </c>
      <c r="H1627" s="759">
        <f t="shared" si="26"/>
        <v>6.697000000000001</v>
      </c>
    </row>
    <row r="1628" spans="1:8">
      <c r="A1628" s="701">
        <v>0</v>
      </c>
      <c r="B1628" s="759">
        <v>5.5</v>
      </c>
      <c r="C1628" s="759">
        <v>3.75</v>
      </c>
      <c r="D1628" s="759">
        <v>3</v>
      </c>
      <c r="E1628" s="701">
        <v>1.85</v>
      </c>
      <c r="F1628" s="759">
        <v>3.62</v>
      </c>
      <c r="H1628" s="759">
        <f t="shared" si="26"/>
        <v>6.697000000000001</v>
      </c>
    </row>
    <row r="1629" spans="1:8">
      <c r="A1629" s="701">
        <v>0</v>
      </c>
      <c r="B1629" s="759">
        <v>5.5</v>
      </c>
      <c r="C1629" s="759">
        <v>4</v>
      </c>
      <c r="D1629" s="759">
        <v>3</v>
      </c>
      <c r="E1629" s="701">
        <v>1.85</v>
      </c>
      <c r="F1629" s="759">
        <v>3.62</v>
      </c>
      <c r="H1629" s="759">
        <f t="shared" si="26"/>
        <v>6.697000000000001</v>
      </c>
    </row>
    <row r="1630" spans="1:8">
      <c r="A1630" s="701">
        <v>0</v>
      </c>
      <c r="B1630" s="759">
        <v>5.5</v>
      </c>
      <c r="C1630" s="759">
        <v>4.25</v>
      </c>
      <c r="D1630" s="759">
        <v>3</v>
      </c>
      <c r="E1630" s="701">
        <v>1.85</v>
      </c>
      <c r="F1630" s="759">
        <v>3.62</v>
      </c>
      <c r="H1630" s="759">
        <f t="shared" si="26"/>
        <v>6.697000000000001</v>
      </c>
    </row>
    <row r="1631" spans="1:8">
      <c r="A1631" s="701">
        <v>0</v>
      </c>
      <c r="B1631" s="759">
        <v>5.5</v>
      </c>
      <c r="C1631" s="759">
        <v>4.5</v>
      </c>
      <c r="D1631" s="759">
        <v>3</v>
      </c>
      <c r="E1631" s="701">
        <v>1.85</v>
      </c>
      <c r="F1631" s="759">
        <v>3.62</v>
      </c>
      <c r="H1631" s="759">
        <f t="shared" si="26"/>
        <v>6.697000000000001</v>
      </c>
    </row>
    <row r="1632" spans="1:8">
      <c r="A1632" s="701">
        <v>0</v>
      </c>
      <c r="B1632" s="759">
        <v>5.5</v>
      </c>
      <c r="C1632" s="759">
        <v>4.75</v>
      </c>
      <c r="D1632" s="759">
        <v>3</v>
      </c>
      <c r="E1632" s="701">
        <v>1.85</v>
      </c>
      <c r="F1632" s="759">
        <v>3.62</v>
      </c>
      <c r="H1632" s="759">
        <f t="shared" si="26"/>
        <v>6.697000000000001</v>
      </c>
    </row>
    <row r="1633" spans="1:8">
      <c r="A1633" s="701">
        <v>0</v>
      </c>
      <c r="B1633" s="759">
        <v>5.5</v>
      </c>
      <c r="C1633" s="759">
        <v>5</v>
      </c>
      <c r="D1633" s="759">
        <v>3</v>
      </c>
      <c r="E1633" s="701">
        <v>1.85</v>
      </c>
      <c r="F1633" s="759">
        <v>3.62</v>
      </c>
      <c r="H1633" s="759">
        <f t="shared" si="26"/>
        <v>6.697000000000001</v>
      </c>
    </row>
    <row r="1634" spans="1:8">
      <c r="A1634" s="701">
        <v>0</v>
      </c>
      <c r="B1634" s="759">
        <v>5.5</v>
      </c>
      <c r="C1634" s="759">
        <v>5.25</v>
      </c>
      <c r="D1634" s="759">
        <v>3</v>
      </c>
      <c r="E1634" s="701">
        <v>1.85</v>
      </c>
      <c r="F1634" s="759">
        <v>3.62</v>
      </c>
      <c r="H1634" s="759">
        <f t="shared" si="26"/>
        <v>6.697000000000001</v>
      </c>
    </row>
    <row r="1635" spans="1:8">
      <c r="A1635" s="701">
        <v>0</v>
      </c>
      <c r="B1635" s="759">
        <v>5.5</v>
      </c>
      <c r="C1635" s="759">
        <v>5.5</v>
      </c>
      <c r="D1635" s="759">
        <v>3</v>
      </c>
      <c r="E1635" s="701">
        <v>1.85</v>
      </c>
      <c r="F1635" s="759">
        <v>3.62</v>
      </c>
      <c r="H1635" s="759">
        <f t="shared" si="26"/>
        <v>6.697000000000001</v>
      </c>
    </row>
    <row r="1636" spans="1:8">
      <c r="A1636" s="701">
        <v>0</v>
      </c>
      <c r="B1636" s="759">
        <v>5.5</v>
      </c>
      <c r="C1636" s="759">
        <v>5.75</v>
      </c>
      <c r="D1636" s="759">
        <v>3</v>
      </c>
      <c r="E1636" s="701">
        <v>1.85</v>
      </c>
      <c r="F1636" s="759">
        <v>3.62</v>
      </c>
      <c r="H1636" s="759">
        <f t="shared" si="26"/>
        <v>6.697000000000001</v>
      </c>
    </row>
    <row r="1637" spans="1:8">
      <c r="A1637" s="701">
        <v>0</v>
      </c>
      <c r="B1637" s="759">
        <v>5.5</v>
      </c>
      <c r="C1637" s="759">
        <v>6</v>
      </c>
      <c r="D1637" s="759">
        <v>3</v>
      </c>
      <c r="E1637" s="701">
        <v>1.85</v>
      </c>
      <c r="F1637" s="759">
        <v>3.62</v>
      </c>
      <c r="H1637" s="759">
        <f t="shared" si="26"/>
        <v>6.697000000000001</v>
      </c>
    </row>
    <row r="1638" spans="1:8">
      <c r="A1638" s="701">
        <v>0</v>
      </c>
      <c r="B1638" s="759">
        <v>5.5</v>
      </c>
      <c r="C1638" s="759">
        <v>6.25</v>
      </c>
      <c r="D1638" s="759">
        <v>3</v>
      </c>
      <c r="E1638" s="701">
        <v>1.85</v>
      </c>
      <c r="F1638" s="759">
        <v>3.62</v>
      </c>
      <c r="H1638" s="759">
        <f t="shared" si="26"/>
        <v>6.697000000000001</v>
      </c>
    </row>
    <row r="1639" spans="1:8">
      <c r="A1639" s="701">
        <v>0</v>
      </c>
      <c r="B1639" s="759">
        <v>5.5</v>
      </c>
      <c r="C1639" s="759">
        <v>6.5</v>
      </c>
      <c r="D1639" s="759">
        <v>3</v>
      </c>
      <c r="E1639" s="701">
        <v>1.85</v>
      </c>
      <c r="F1639" s="759">
        <v>3.62</v>
      </c>
      <c r="H1639" s="759">
        <f t="shared" si="26"/>
        <v>6.697000000000001</v>
      </c>
    </row>
    <row r="1640" spans="1:8">
      <c r="A1640" s="701">
        <v>0</v>
      </c>
      <c r="B1640" s="759">
        <v>5.5</v>
      </c>
      <c r="C1640" s="759">
        <v>6.75</v>
      </c>
      <c r="D1640" s="759">
        <v>3</v>
      </c>
      <c r="E1640" s="701">
        <v>1.85</v>
      </c>
      <c r="F1640" s="759">
        <v>3.62</v>
      </c>
      <c r="H1640" s="759">
        <f t="shared" si="26"/>
        <v>6.697000000000001</v>
      </c>
    </row>
    <row r="1641" spans="1:8">
      <c r="A1641" s="701">
        <v>0</v>
      </c>
      <c r="B1641" s="759">
        <v>5.5</v>
      </c>
      <c r="C1641" s="759">
        <v>7</v>
      </c>
      <c r="D1641" s="759">
        <v>3</v>
      </c>
      <c r="E1641" s="701">
        <v>1.85</v>
      </c>
      <c r="F1641" s="759">
        <v>3.62</v>
      </c>
      <c r="H1641" s="759">
        <f t="shared" si="26"/>
        <v>6.697000000000001</v>
      </c>
    </row>
    <row r="1642" spans="1:8">
      <c r="A1642" s="701">
        <v>0</v>
      </c>
      <c r="B1642" s="759">
        <v>5.5</v>
      </c>
      <c r="C1642" s="759">
        <v>7.5</v>
      </c>
      <c r="D1642" s="759">
        <v>3</v>
      </c>
      <c r="E1642" s="701">
        <v>1.85</v>
      </c>
      <c r="F1642" s="759">
        <v>3.62</v>
      </c>
      <c r="H1642" s="759">
        <f t="shared" si="26"/>
        <v>6.697000000000001</v>
      </c>
    </row>
    <row r="1643" spans="1:8">
      <c r="A1643" s="701">
        <v>0</v>
      </c>
      <c r="B1643" s="759">
        <v>5.5</v>
      </c>
      <c r="C1643" s="759">
        <v>8</v>
      </c>
      <c r="D1643" s="759">
        <v>3</v>
      </c>
      <c r="E1643" s="701">
        <v>1.85</v>
      </c>
      <c r="F1643" s="759">
        <v>3.62</v>
      </c>
      <c r="H1643" s="759">
        <f t="shared" si="26"/>
        <v>6.697000000000001</v>
      </c>
    </row>
    <row r="1644" spans="1:8">
      <c r="A1644" s="701">
        <v>0</v>
      </c>
      <c r="B1644" s="759">
        <v>6</v>
      </c>
      <c r="C1644" s="759">
        <v>3</v>
      </c>
      <c r="D1644" s="759">
        <v>3</v>
      </c>
      <c r="E1644" s="701">
        <v>1.85</v>
      </c>
      <c r="F1644" s="759">
        <v>3.94</v>
      </c>
      <c r="H1644" s="759">
        <f t="shared" si="26"/>
        <v>7.2890000000000006</v>
      </c>
    </row>
    <row r="1645" spans="1:8">
      <c r="A1645" s="701">
        <v>0</v>
      </c>
      <c r="B1645" s="759">
        <v>6</v>
      </c>
      <c r="C1645" s="759">
        <v>3.25</v>
      </c>
      <c r="D1645" s="759">
        <v>3</v>
      </c>
      <c r="E1645" s="701">
        <v>1.85</v>
      </c>
      <c r="F1645" s="759">
        <v>3.94</v>
      </c>
      <c r="H1645" s="759">
        <f t="shared" si="26"/>
        <v>7.2890000000000006</v>
      </c>
    </row>
    <row r="1646" spans="1:8">
      <c r="A1646" s="701">
        <v>0</v>
      </c>
      <c r="B1646" s="759">
        <v>6</v>
      </c>
      <c r="C1646" s="759">
        <v>3.5</v>
      </c>
      <c r="D1646" s="759">
        <v>3</v>
      </c>
      <c r="E1646" s="701">
        <v>1.85</v>
      </c>
      <c r="F1646" s="759">
        <v>3.94</v>
      </c>
      <c r="H1646" s="759">
        <f t="shared" si="26"/>
        <v>7.2890000000000006</v>
      </c>
    </row>
    <row r="1647" spans="1:8">
      <c r="A1647" s="701">
        <v>0</v>
      </c>
      <c r="B1647" s="759">
        <v>6</v>
      </c>
      <c r="C1647" s="759">
        <v>3.75</v>
      </c>
      <c r="D1647" s="759">
        <v>3</v>
      </c>
      <c r="E1647" s="701">
        <v>1.85</v>
      </c>
      <c r="F1647" s="759">
        <v>3.94</v>
      </c>
      <c r="H1647" s="759">
        <f t="shared" si="26"/>
        <v>7.2890000000000006</v>
      </c>
    </row>
    <row r="1648" spans="1:8">
      <c r="A1648" s="701">
        <v>0</v>
      </c>
      <c r="B1648" s="759">
        <v>6</v>
      </c>
      <c r="C1648" s="759">
        <v>4</v>
      </c>
      <c r="D1648" s="759">
        <v>3</v>
      </c>
      <c r="E1648" s="701">
        <v>1.85</v>
      </c>
      <c r="F1648" s="759">
        <v>3.94</v>
      </c>
      <c r="H1648" s="759">
        <f t="shared" si="26"/>
        <v>7.2890000000000006</v>
      </c>
    </row>
    <row r="1649" spans="1:8">
      <c r="A1649" s="701">
        <v>0</v>
      </c>
      <c r="B1649" s="759">
        <v>6</v>
      </c>
      <c r="C1649" s="759">
        <v>4.25</v>
      </c>
      <c r="D1649" s="759">
        <v>3</v>
      </c>
      <c r="E1649" s="701">
        <v>1.85</v>
      </c>
      <c r="F1649" s="759">
        <v>3.94</v>
      </c>
      <c r="H1649" s="759">
        <f t="shared" si="26"/>
        <v>7.2890000000000006</v>
      </c>
    </row>
    <row r="1650" spans="1:8">
      <c r="A1650" s="701">
        <v>0</v>
      </c>
      <c r="B1650" s="759">
        <v>6</v>
      </c>
      <c r="C1650" s="759">
        <v>4.5</v>
      </c>
      <c r="D1650" s="759">
        <v>3</v>
      </c>
      <c r="E1650" s="701">
        <v>1.85</v>
      </c>
      <c r="F1650" s="759">
        <v>3.94</v>
      </c>
      <c r="H1650" s="759">
        <f t="shared" si="26"/>
        <v>7.2890000000000006</v>
      </c>
    </row>
    <row r="1651" spans="1:8">
      <c r="A1651" s="701">
        <v>0</v>
      </c>
      <c r="B1651" s="759">
        <v>6</v>
      </c>
      <c r="C1651" s="759">
        <v>4.75</v>
      </c>
      <c r="D1651" s="759">
        <v>3</v>
      </c>
      <c r="E1651" s="701">
        <v>1.85</v>
      </c>
      <c r="F1651" s="759">
        <v>3.94</v>
      </c>
      <c r="H1651" s="759">
        <f t="shared" si="26"/>
        <v>7.2890000000000006</v>
      </c>
    </row>
    <row r="1652" spans="1:8">
      <c r="A1652" s="701">
        <v>0</v>
      </c>
      <c r="B1652" s="759">
        <v>6</v>
      </c>
      <c r="C1652" s="759">
        <v>5</v>
      </c>
      <c r="D1652" s="759">
        <v>3</v>
      </c>
      <c r="E1652" s="701">
        <v>1.85</v>
      </c>
      <c r="F1652" s="759">
        <v>3.94</v>
      </c>
      <c r="H1652" s="759">
        <f t="shared" si="26"/>
        <v>7.2890000000000006</v>
      </c>
    </row>
    <row r="1653" spans="1:8">
      <c r="A1653" s="701">
        <v>0</v>
      </c>
      <c r="B1653" s="759">
        <v>6</v>
      </c>
      <c r="C1653" s="759">
        <v>5.25</v>
      </c>
      <c r="D1653" s="759">
        <v>3</v>
      </c>
      <c r="E1653" s="701">
        <v>1.85</v>
      </c>
      <c r="F1653" s="759">
        <v>3.94</v>
      </c>
      <c r="H1653" s="759">
        <f t="shared" si="26"/>
        <v>7.2890000000000006</v>
      </c>
    </row>
    <row r="1654" spans="1:8">
      <c r="A1654" s="701">
        <v>0</v>
      </c>
      <c r="B1654" s="759">
        <v>6</v>
      </c>
      <c r="C1654" s="759">
        <v>5.5</v>
      </c>
      <c r="D1654" s="759">
        <v>3</v>
      </c>
      <c r="E1654" s="701">
        <v>1.85</v>
      </c>
      <c r="F1654" s="759">
        <v>3.94</v>
      </c>
      <c r="H1654" s="759">
        <f t="shared" si="26"/>
        <v>7.2890000000000006</v>
      </c>
    </row>
    <row r="1655" spans="1:8">
      <c r="A1655" s="701">
        <v>0</v>
      </c>
      <c r="B1655" s="759">
        <v>6</v>
      </c>
      <c r="C1655" s="759">
        <v>5.75</v>
      </c>
      <c r="D1655" s="759">
        <v>3</v>
      </c>
      <c r="E1655" s="701">
        <v>1.85</v>
      </c>
      <c r="F1655" s="759">
        <v>3.94</v>
      </c>
      <c r="H1655" s="759">
        <f t="shared" si="26"/>
        <v>7.2890000000000006</v>
      </c>
    </row>
    <row r="1656" spans="1:8">
      <c r="A1656" s="701">
        <v>0</v>
      </c>
      <c r="B1656" s="759">
        <v>6</v>
      </c>
      <c r="C1656" s="759">
        <v>6</v>
      </c>
      <c r="D1656" s="759">
        <v>3</v>
      </c>
      <c r="E1656" s="701">
        <v>1.85</v>
      </c>
      <c r="F1656" s="759">
        <v>3.94</v>
      </c>
      <c r="H1656" s="759">
        <f t="shared" si="26"/>
        <v>7.2890000000000006</v>
      </c>
    </row>
    <row r="1657" spans="1:8">
      <c r="A1657" s="701">
        <v>0</v>
      </c>
      <c r="B1657" s="759">
        <v>6</v>
      </c>
      <c r="C1657" s="759">
        <v>6.25</v>
      </c>
      <c r="D1657" s="759">
        <v>3</v>
      </c>
      <c r="E1657" s="701">
        <v>1.85</v>
      </c>
      <c r="F1657" s="759">
        <v>3.94</v>
      </c>
      <c r="H1657" s="759">
        <f t="shared" si="26"/>
        <v>7.2890000000000006</v>
      </c>
    </row>
    <row r="1658" spans="1:8">
      <c r="A1658" s="701">
        <v>0</v>
      </c>
      <c r="B1658" s="759">
        <v>6</v>
      </c>
      <c r="C1658" s="759">
        <v>6.5</v>
      </c>
      <c r="D1658" s="759">
        <v>3</v>
      </c>
      <c r="E1658" s="701">
        <v>1.85</v>
      </c>
      <c r="F1658" s="759">
        <v>3.94</v>
      </c>
      <c r="H1658" s="759">
        <f t="shared" si="26"/>
        <v>7.2890000000000006</v>
      </c>
    </row>
    <row r="1659" spans="1:8">
      <c r="A1659" s="701">
        <v>0</v>
      </c>
      <c r="B1659" s="759">
        <v>6</v>
      </c>
      <c r="C1659" s="759">
        <v>6.75</v>
      </c>
      <c r="D1659" s="759">
        <v>3</v>
      </c>
      <c r="E1659" s="701">
        <v>1.85</v>
      </c>
      <c r="F1659" s="759">
        <v>3.94</v>
      </c>
      <c r="H1659" s="759">
        <f t="shared" si="26"/>
        <v>7.2890000000000006</v>
      </c>
    </row>
    <row r="1660" spans="1:8">
      <c r="A1660" s="701">
        <v>0</v>
      </c>
      <c r="B1660" s="759">
        <v>6</v>
      </c>
      <c r="C1660" s="759">
        <v>7</v>
      </c>
      <c r="D1660" s="759">
        <v>3</v>
      </c>
      <c r="E1660" s="701">
        <v>1.85</v>
      </c>
      <c r="F1660" s="759">
        <v>3.94</v>
      </c>
      <c r="H1660" s="759">
        <f t="shared" si="26"/>
        <v>7.2890000000000006</v>
      </c>
    </row>
    <row r="1661" spans="1:8">
      <c r="A1661" s="701">
        <v>0</v>
      </c>
      <c r="B1661" s="759">
        <v>6</v>
      </c>
      <c r="C1661" s="759">
        <v>7.5</v>
      </c>
      <c r="D1661" s="759">
        <v>3</v>
      </c>
      <c r="E1661" s="701">
        <v>1.85</v>
      </c>
      <c r="F1661" s="759">
        <v>3.94</v>
      </c>
      <c r="H1661" s="759">
        <f t="shared" si="26"/>
        <v>7.2890000000000006</v>
      </c>
    </row>
    <row r="1662" spans="1:8">
      <c r="A1662" s="701">
        <v>0</v>
      </c>
      <c r="B1662" s="759">
        <v>6</v>
      </c>
      <c r="C1662" s="759">
        <v>8</v>
      </c>
      <c r="D1662" s="759">
        <v>3</v>
      </c>
      <c r="E1662" s="701">
        <v>1.85</v>
      </c>
      <c r="F1662" s="759">
        <v>3.94</v>
      </c>
      <c r="H1662" s="759">
        <f t="shared" si="26"/>
        <v>7.2890000000000006</v>
      </c>
    </row>
    <row r="1663" spans="1:8">
      <c r="A1663" s="701">
        <v>0</v>
      </c>
      <c r="B1663" s="759">
        <v>6.5</v>
      </c>
      <c r="C1663" s="759">
        <v>3</v>
      </c>
      <c r="D1663" s="759">
        <v>3</v>
      </c>
      <c r="E1663" s="701">
        <v>1.85</v>
      </c>
      <c r="F1663" s="759">
        <v>4.2699999999999996</v>
      </c>
      <c r="H1663" s="759">
        <f t="shared" si="26"/>
        <v>7.8994999999999997</v>
      </c>
    </row>
    <row r="1664" spans="1:8">
      <c r="A1664" s="701">
        <v>0</v>
      </c>
      <c r="B1664" s="759">
        <v>6.5</v>
      </c>
      <c r="C1664" s="759">
        <v>3.25</v>
      </c>
      <c r="D1664" s="759">
        <v>3</v>
      </c>
      <c r="E1664" s="701">
        <v>1.85</v>
      </c>
      <c r="F1664" s="759">
        <v>4.2699999999999996</v>
      </c>
      <c r="H1664" s="759">
        <f t="shared" si="26"/>
        <v>7.8994999999999997</v>
      </c>
    </row>
    <row r="1665" spans="1:8">
      <c r="A1665" s="701">
        <v>0</v>
      </c>
      <c r="B1665" s="759">
        <v>6.5</v>
      </c>
      <c r="C1665" s="759">
        <v>3.5</v>
      </c>
      <c r="D1665" s="759">
        <v>3</v>
      </c>
      <c r="E1665" s="701">
        <v>1.85</v>
      </c>
      <c r="F1665" s="759">
        <v>4.2699999999999996</v>
      </c>
      <c r="H1665" s="759">
        <f t="shared" si="26"/>
        <v>7.8994999999999997</v>
      </c>
    </row>
    <row r="1666" spans="1:8">
      <c r="A1666" s="701">
        <v>0</v>
      </c>
      <c r="B1666" s="759">
        <v>6.5</v>
      </c>
      <c r="C1666" s="759">
        <v>3.75</v>
      </c>
      <c r="D1666" s="759">
        <v>3</v>
      </c>
      <c r="E1666" s="701">
        <v>1.85</v>
      </c>
      <c r="F1666" s="759">
        <v>4.2699999999999996</v>
      </c>
      <c r="H1666" s="759">
        <f t="shared" si="26"/>
        <v>7.8994999999999997</v>
      </c>
    </row>
    <row r="1667" spans="1:8">
      <c r="A1667" s="701">
        <v>0</v>
      </c>
      <c r="B1667" s="759">
        <v>6.5</v>
      </c>
      <c r="C1667" s="759">
        <v>4</v>
      </c>
      <c r="D1667" s="759">
        <v>3</v>
      </c>
      <c r="E1667" s="701">
        <v>1.85</v>
      </c>
      <c r="F1667" s="759">
        <v>4.2699999999999996</v>
      </c>
      <c r="H1667" s="759">
        <f t="shared" si="26"/>
        <v>7.8994999999999997</v>
      </c>
    </row>
    <row r="1668" spans="1:8">
      <c r="A1668" s="701">
        <v>0</v>
      </c>
      <c r="B1668" s="759">
        <v>6.5</v>
      </c>
      <c r="C1668" s="759">
        <v>4.25</v>
      </c>
      <c r="D1668" s="759">
        <v>3</v>
      </c>
      <c r="E1668" s="701">
        <v>1.85</v>
      </c>
      <c r="F1668" s="759">
        <v>4.2699999999999996</v>
      </c>
      <c r="H1668" s="759">
        <f t="shared" si="26"/>
        <v>7.8994999999999997</v>
      </c>
    </row>
    <row r="1669" spans="1:8">
      <c r="A1669" s="701">
        <v>0</v>
      </c>
      <c r="B1669" s="759">
        <v>6.5</v>
      </c>
      <c r="C1669" s="759">
        <v>4.5</v>
      </c>
      <c r="D1669" s="759">
        <v>3</v>
      </c>
      <c r="E1669" s="701">
        <v>1.85</v>
      </c>
      <c r="F1669" s="759">
        <v>4.2699999999999996</v>
      </c>
      <c r="H1669" s="759">
        <f t="shared" si="26"/>
        <v>7.8994999999999997</v>
      </c>
    </row>
    <row r="1670" spans="1:8">
      <c r="A1670" s="701">
        <v>0</v>
      </c>
      <c r="B1670" s="759">
        <v>6.5</v>
      </c>
      <c r="C1670" s="759">
        <v>4.75</v>
      </c>
      <c r="D1670" s="759">
        <v>3</v>
      </c>
      <c r="E1670" s="701">
        <v>1.85</v>
      </c>
      <c r="F1670" s="759">
        <v>4.2699999999999996</v>
      </c>
      <c r="H1670" s="759">
        <f t="shared" si="26"/>
        <v>7.8994999999999997</v>
      </c>
    </row>
    <row r="1671" spans="1:8">
      <c r="A1671" s="701">
        <v>0</v>
      </c>
      <c r="B1671" s="759">
        <v>6.5</v>
      </c>
      <c r="C1671" s="759">
        <v>5</v>
      </c>
      <c r="D1671" s="759">
        <v>3</v>
      </c>
      <c r="E1671" s="701">
        <v>1.85</v>
      </c>
      <c r="F1671" s="759">
        <v>4.2699999999999996</v>
      </c>
      <c r="H1671" s="759">
        <f t="shared" si="26"/>
        <v>7.8994999999999997</v>
      </c>
    </row>
    <row r="1672" spans="1:8">
      <c r="A1672" s="701">
        <v>0</v>
      </c>
      <c r="B1672" s="759">
        <v>6.5</v>
      </c>
      <c r="C1672" s="759">
        <v>5.25</v>
      </c>
      <c r="D1672" s="759">
        <v>3</v>
      </c>
      <c r="E1672" s="701">
        <v>1.85</v>
      </c>
      <c r="F1672" s="759">
        <v>4.2699999999999996</v>
      </c>
      <c r="H1672" s="759">
        <f t="shared" si="26"/>
        <v>7.8994999999999997</v>
      </c>
    </row>
    <row r="1673" spans="1:8">
      <c r="A1673" s="701">
        <v>0</v>
      </c>
      <c r="B1673" s="759">
        <v>6.5</v>
      </c>
      <c r="C1673" s="759">
        <v>5.5</v>
      </c>
      <c r="D1673" s="759">
        <v>3</v>
      </c>
      <c r="E1673" s="701">
        <v>1.85</v>
      </c>
      <c r="F1673" s="759">
        <v>4.2699999999999996</v>
      </c>
      <c r="H1673" s="759">
        <f t="shared" si="26"/>
        <v>7.8994999999999997</v>
      </c>
    </row>
    <row r="1674" spans="1:8">
      <c r="A1674" s="701">
        <v>0</v>
      </c>
      <c r="B1674" s="759">
        <v>6.5</v>
      </c>
      <c r="C1674" s="759">
        <v>5.75</v>
      </c>
      <c r="D1674" s="759">
        <v>3</v>
      </c>
      <c r="E1674" s="701">
        <v>1.85</v>
      </c>
      <c r="F1674" s="759">
        <v>4.2699999999999996</v>
      </c>
      <c r="H1674" s="759">
        <f t="shared" si="26"/>
        <v>7.8994999999999997</v>
      </c>
    </row>
    <row r="1675" spans="1:8">
      <c r="A1675" s="701">
        <v>0</v>
      </c>
      <c r="B1675" s="759">
        <v>6.5</v>
      </c>
      <c r="C1675" s="759">
        <v>6</v>
      </c>
      <c r="D1675" s="759">
        <v>3</v>
      </c>
      <c r="E1675" s="701">
        <v>1.85</v>
      </c>
      <c r="F1675" s="759">
        <v>4.2699999999999996</v>
      </c>
      <c r="H1675" s="759">
        <f t="shared" si="26"/>
        <v>7.8994999999999997</v>
      </c>
    </row>
    <row r="1676" spans="1:8">
      <c r="A1676" s="701">
        <v>0</v>
      </c>
      <c r="B1676" s="759">
        <v>6.5</v>
      </c>
      <c r="C1676" s="759">
        <v>6.25</v>
      </c>
      <c r="D1676" s="759">
        <v>3</v>
      </c>
      <c r="E1676" s="701">
        <v>1.85</v>
      </c>
      <c r="F1676" s="759">
        <v>4.2699999999999996</v>
      </c>
      <c r="H1676" s="759">
        <f t="shared" si="26"/>
        <v>7.8994999999999997</v>
      </c>
    </row>
    <row r="1677" spans="1:8">
      <c r="A1677" s="701">
        <v>0</v>
      </c>
      <c r="B1677" s="759">
        <v>6.5</v>
      </c>
      <c r="C1677" s="759">
        <v>6.5</v>
      </c>
      <c r="D1677" s="759">
        <v>3</v>
      </c>
      <c r="E1677" s="701">
        <v>1.85</v>
      </c>
      <c r="F1677" s="759">
        <v>4.2699999999999996</v>
      </c>
      <c r="H1677" s="759">
        <f t="shared" si="26"/>
        <v>7.8994999999999997</v>
      </c>
    </row>
    <row r="1678" spans="1:8">
      <c r="A1678" s="701">
        <v>0</v>
      </c>
      <c r="B1678" s="759">
        <v>6.5</v>
      </c>
      <c r="C1678" s="759">
        <v>6.75</v>
      </c>
      <c r="D1678" s="759">
        <v>3</v>
      </c>
      <c r="E1678" s="701">
        <v>1.85</v>
      </c>
      <c r="F1678" s="759">
        <v>4.2699999999999996</v>
      </c>
      <c r="H1678" s="759">
        <f t="shared" si="26"/>
        <v>7.8994999999999997</v>
      </c>
    </row>
    <row r="1679" spans="1:8">
      <c r="A1679" s="701">
        <v>0</v>
      </c>
      <c r="B1679" s="759">
        <v>6.5</v>
      </c>
      <c r="C1679" s="759">
        <v>7</v>
      </c>
      <c r="D1679" s="759">
        <v>3</v>
      </c>
      <c r="E1679" s="701">
        <v>1.85</v>
      </c>
      <c r="F1679" s="759">
        <v>4.2699999999999996</v>
      </c>
      <c r="H1679" s="759">
        <f t="shared" si="26"/>
        <v>7.8994999999999997</v>
      </c>
    </row>
    <row r="1680" spans="1:8">
      <c r="A1680" s="701">
        <v>0</v>
      </c>
      <c r="B1680" s="759">
        <v>6.5</v>
      </c>
      <c r="C1680" s="759">
        <v>7.5</v>
      </c>
      <c r="D1680" s="759">
        <v>3</v>
      </c>
      <c r="E1680" s="701">
        <v>1.85</v>
      </c>
      <c r="F1680" s="759">
        <v>4.2699999999999996</v>
      </c>
      <c r="H1680" s="759">
        <f t="shared" si="26"/>
        <v>7.8994999999999997</v>
      </c>
    </row>
    <row r="1681" spans="1:8">
      <c r="A1681" s="701">
        <v>0</v>
      </c>
      <c r="B1681" s="759">
        <v>6.5</v>
      </c>
      <c r="C1681" s="759">
        <v>8</v>
      </c>
      <c r="D1681" s="759">
        <v>3</v>
      </c>
      <c r="E1681" s="701">
        <v>1.85</v>
      </c>
      <c r="F1681" s="759">
        <v>4.2699999999999996</v>
      </c>
      <c r="H1681" s="759">
        <f t="shared" si="26"/>
        <v>7.8994999999999997</v>
      </c>
    </row>
    <row r="1682" spans="1:8">
      <c r="A1682" s="701">
        <v>0</v>
      </c>
      <c r="B1682" s="759">
        <v>7</v>
      </c>
      <c r="C1682" s="759">
        <v>3</v>
      </c>
      <c r="D1682" s="759">
        <v>3</v>
      </c>
      <c r="E1682" s="701">
        <v>1.85</v>
      </c>
      <c r="F1682" s="759">
        <v>4.5999999999999996</v>
      </c>
      <c r="H1682" s="759">
        <f t="shared" si="26"/>
        <v>8.51</v>
      </c>
    </row>
    <row r="1683" spans="1:8">
      <c r="A1683" s="701">
        <v>0</v>
      </c>
      <c r="B1683" s="759">
        <v>7</v>
      </c>
      <c r="C1683" s="759">
        <v>3.25</v>
      </c>
      <c r="D1683" s="759">
        <v>3</v>
      </c>
      <c r="E1683" s="701">
        <v>1.85</v>
      </c>
      <c r="F1683" s="759">
        <v>4.5999999999999996</v>
      </c>
      <c r="H1683" s="759">
        <f t="shared" si="26"/>
        <v>8.51</v>
      </c>
    </row>
    <row r="1684" spans="1:8">
      <c r="A1684" s="701">
        <v>0</v>
      </c>
      <c r="B1684" s="759">
        <v>7</v>
      </c>
      <c r="C1684" s="759">
        <v>3.5</v>
      </c>
      <c r="D1684" s="759">
        <v>3</v>
      </c>
      <c r="E1684" s="701">
        <v>1.85</v>
      </c>
      <c r="F1684" s="759">
        <v>4.5999999999999996</v>
      </c>
      <c r="H1684" s="759">
        <f t="shared" ref="H1684:H1738" si="27">F1684*E1684</f>
        <v>8.51</v>
      </c>
    </row>
    <row r="1685" spans="1:8">
      <c r="A1685" s="701">
        <v>0</v>
      </c>
      <c r="B1685" s="759">
        <v>7</v>
      </c>
      <c r="C1685" s="759">
        <v>3.75</v>
      </c>
      <c r="D1685" s="759">
        <v>3</v>
      </c>
      <c r="E1685" s="701">
        <v>1.85</v>
      </c>
      <c r="F1685" s="759">
        <v>4.5999999999999996</v>
      </c>
      <c r="H1685" s="759">
        <f t="shared" si="27"/>
        <v>8.51</v>
      </c>
    </row>
    <row r="1686" spans="1:8">
      <c r="A1686" s="701">
        <v>0</v>
      </c>
      <c r="B1686" s="759">
        <v>7</v>
      </c>
      <c r="C1686" s="759">
        <v>4</v>
      </c>
      <c r="D1686" s="759">
        <v>3</v>
      </c>
      <c r="E1686" s="701">
        <v>1.85</v>
      </c>
      <c r="F1686" s="759">
        <v>4.5999999999999996</v>
      </c>
      <c r="H1686" s="759">
        <f t="shared" si="27"/>
        <v>8.51</v>
      </c>
    </row>
    <row r="1687" spans="1:8">
      <c r="A1687" s="701">
        <v>0</v>
      </c>
      <c r="B1687" s="759">
        <v>7</v>
      </c>
      <c r="C1687" s="759">
        <v>4.25</v>
      </c>
      <c r="D1687" s="759">
        <v>3</v>
      </c>
      <c r="E1687" s="701">
        <v>1.85</v>
      </c>
      <c r="F1687" s="759">
        <v>4.5999999999999996</v>
      </c>
      <c r="H1687" s="759">
        <f t="shared" si="27"/>
        <v>8.51</v>
      </c>
    </row>
    <row r="1688" spans="1:8">
      <c r="A1688" s="701">
        <v>0</v>
      </c>
      <c r="B1688" s="759">
        <v>7</v>
      </c>
      <c r="C1688" s="759">
        <v>4.5</v>
      </c>
      <c r="D1688" s="759">
        <v>3</v>
      </c>
      <c r="E1688" s="701">
        <v>1.85</v>
      </c>
      <c r="F1688" s="759">
        <v>4.5999999999999996</v>
      </c>
      <c r="H1688" s="759">
        <f t="shared" si="27"/>
        <v>8.51</v>
      </c>
    </row>
    <row r="1689" spans="1:8">
      <c r="A1689" s="701">
        <v>0</v>
      </c>
      <c r="B1689" s="759">
        <v>7</v>
      </c>
      <c r="C1689" s="759">
        <v>4.75</v>
      </c>
      <c r="D1689" s="759">
        <v>3</v>
      </c>
      <c r="E1689" s="701">
        <v>1.85</v>
      </c>
      <c r="F1689" s="759">
        <v>4.5999999999999996</v>
      </c>
      <c r="H1689" s="759">
        <f t="shared" si="27"/>
        <v>8.51</v>
      </c>
    </row>
    <row r="1690" spans="1:8">
      <c r="A1690" s="701">
        <v>0</v>
      </c>
      <c r="B1690" s="759">
        <v>7</v>
      </c>
      <c r="C1690" s="759">
        <v>5</v>
      </c>
      <c r="D1690" s="759">
        <v>3</v>
      </c>
      <c r="E1690" s="701">
        <v>1.85</v>
      </c>
      <c r="F1690" s="759">
        <v>4.5999999999999996</v>
      </c>
      <c r="H1690" s="759">
        <f t="shared" si="27"/>
        <v>8.51</v>
      </c>
    </row>
    <row r="1691" spans="1:8">
      <c r="A1691" s="701">
        <v>0</v>
      </c>
      <c r="B1691" s="759">
        <v>7</v>
      </c>
      <c r="C1691" s="759">
        <v>5.25</v>
      </c>
      <c r="D1691" s="759">
        <v>3</v>
      </c>
      <c r="E1691" s="701">
        <v>1.85</v>
      </c>
      <c r="F1691" s="759">
        <v>4.5999999999999996</v>
      </c>
      <c r="H1691" s="759">
        <f t="shared" si="27"/>
        <v>8.51</v>
      </c>
    </row>
    <row r="1692" spans="1:8">
      <c r="A1692" s="701">
        <v>0</v>
      </c>
      <c r="B1692" s="759">
        <v>7</v>
      </c>
      <c r="C1692" s="759">
        <v>5.5</v>
      </c>
      <c r="D1692" s="759">
        <v>3</v>
      </c>
      <c r="E1692" s="701">
        <v>1.85</v>
      </c>
      <c r="F1692" s="759">
        <v>4.5999999999999996</v>
      </c>
      <c r="H1692" s="759">
        <f t="shared" si="27"/>
        <v>8.51</v>
      </c>
    </row>
    <row r="1693" spans="1:8">
      <c r="A1693" s="701">
        <v>0</v>
      </c>
      <c r="B1693" s="759">
        <v>7</v>
      </c>
      <c r="C1693" s="759">
        <v>5.75</v>
      </c>
      <c r="D1693" s="759">
        <v>3</v>
      </c>
      <c r="E1693" s="701">
        <v>1.85</v>
      </c>
      <c r="F1693" s="759">
        <v>4.5999999999999996</v>
      </c>
      <c r="H1693" s="759">
        <f t="shared" si="27"/>
        <v>8.51</v>
      </c>
    </row>
    <row r="1694" spans="1:8">
      <c r="A1694" s="701">
        <v>0</v>
      </c>
      <c r="B1694" s="759">
        <v>7</v>
      </c>
      <c r="C1694" s="759">
        <v>6</v>
      </c>
      <c r="D1694" s="759">
        <v>3</v>
      </c>
      <c r="E1694" s="701">
        <v>1.85</v>
      </c>
      <c r="F1694" s="759">
        <v>4.5999999999999996</v>
      </c>
      <c r="H1694" s="759">
        <f t="shared" si="27"/>
        <v>8.51</v>
      </c>
    </row>
    <row r="1695" spans="1:8">
      <c r="A1695" s="701">
        <v>0</v>
      </c>
      <c r="B1695" s="759">
        <v>7</v>
      </c>
      <c r="C1695" s="759">
        <v>6.25</v>
      </c>
      <c r="D1695" s="759">
        <v>3</v>
      </c>
      <c r="E1695" s="701">
        <v>1.85</v>
      </c>
      <c r="F1695" s="759">
        <v>4.5999999999999996</v>
      </c>
      <c r="H1695" s="759">
        <f t="shared" si="27"/>
        <v>8.51</v>
      </c>
    </row>
    <row r="1696" spans="1:8">
      <c r="A1696" s="701">
        <v>0</v>
      </c>
      <c r="B1696" s="759">
        <v>7</v>
      </c>
      <c r="C1696" s="759">
        <v>6.5</v>
      </c>
      <c r="D1696" s="759">
        <v>3</v>
      </c>
      <c r="E1696" s="701">
        <v>1.85</v>
      </c>
      <c r="F1696" s="759">
        <v>4.5999999999999996</v>
      </c>
      <c r="H1696" s="759">
        <f t="shared" si="27"/>
        <v>8.51</v>
      </c>
    </row>
    <row r="1697" spans="1:8">
      <c r="A1697" s="701">
        <v>0</v>
      </c>
      <c r="B1697" s="759">
        <v>7</v>
      </c>
      <c r="C1697" s="759">
        <v>6.75</v>
      </c>
      <c r="D1697" s="759">
        <v>3</v>
      </c>
      <c r="E1697" s="701">
        <v>1.85</v>
      </c>
      <c r="F1697" s="759">
        <v>4.5999999999999996</v>
      </c>
      <c r="H1697" s="759">
        <f t="shared" si="27"/>
        <v>8.51</v>
      </c>
    </row>
    <row r="1698" spans="1:8">
      <c r="A1698" s="701">
        <v>0</v>
      </c>
      <c r="B1698" s="759">
        <v>7</v>
      </c>
      <c r="C1698" s="759">
        <v>7</v>
      </c>
      <c r="D1698" s="759">
        <v>3</v>
      </c>
      <c r="E1698" s="701">
        <v>1.85</v>
      </c>
      <c r="F1698" s="759">
        <v>4.5999999999999996</v>
      </c>
      <c r="H1698" s="759">
        <f t="shared" si="27"/>
        <v>8.51</v>
      </c>
    </row>
    <row r="1699" spans="1:8">
      <c r="A1699" s="701">
        <v>0</v>
      </c>
      <c r="B1699" s="759">
        <v>7</v>
      </c>
      <c r="C1699" s="759">
        <v>7.5</v>
      </c>
      <c r="D1699" s="759">
        <v>3</v>
      </c>
      <c r="E1699" s="701">
        <v>1.85</v>
      </c>
      <c r="F1699" s="759">
        <v>4.5999999999999996</v>
      </c>
      <c r="H1699" s="759">
        <f t="shared" si="27"/>
        <v>8.51</v>
      </c>
    </row>
    <row r="1700" spans="1:8">
      <c r="A1700" s="701">
        <v>0</v>
      </c>
      <c r="B1700" s="759">
        <v>7</v>
      </c>
      <c r="C1700" s="759">
        <v>8</v>
      </c>
      <c r="D1700" s="759">
        <v>3</v>
      </c>
      <c r="E1700" s="701">
        <v>1.85</v>
      </c>
      <c r="F1700" s="759">
        <v>4.5999999999999996</v>
      </c>
      <c r="H1700" s="759">
        <f t="shared" si="27"/>
        <v>8.51</v>
      </c>
    </row>
    <row r="1701" spans="1:8">
      <c r="A1701" s="701">
        <v>0</v>
      </c>
      <c r="B1701" s="759">
        <v>7.5</v>
      </c>
      <c r="C1701" s="759">
        <v>3</v>
      </c>
      <c r="D1701" s="759">
        <v>3</v>
      </c>
      <c r="E1701" s="701">
        <v>1.85</v>
      </c>
      <c r="F1701" s="759">
        <v>4.93</v>
      </c>
      <c r="H1701" s="759">
        <f t="shared" si="27"/>
        <v>9.1204999999999998</v>
      </c>
    </row>
    <row r="1702" spans="1:8">
      <c r="A1702" s="701">
        <v>0</v>
      </c>
      <c r="B1702" s="759">
        <v>7.5</v>
      </c>
      <c r="C1702" s="759">
        <v>3.25</v>
      </c>
      <c r="D1702" s="759">
        <v>3</v>
      </c>
      <c r="E1702" s="701">
        <v>1.85</v>
      </c>
      <c r="F1702" s="759">
        <v>4.93</v>
      </c>
      <c r="H1702" s="759">
        <f t="shared" si="27"/>
        <v>9.1204999999999998</v>
      </c>
    </row>
    <row r="1703" spans="1:8">
      <c r="A1703" s="701">
        <v>0</v>
      </c>
      <c r="B1703" s="759">
        <v>7.5</v>
      </c>
      <c r="C1703" s="759">
        <v>3.5</v>
      </c>
      <c r="D1703" s="759">
        <v>3</v>
      </c>
      <c r="E1703" s="701">
        <v>1.85</v>
      </c>
      <c r="F1703" s="759">
        <v>4.93</v>
      </c>
      <c r="H1703" s="759">
        <f t="shared" si="27"/>
        <v>9.1204999999999998</v>
      </c>
    </row>
    <row r="1704" spans="1:8">
      <c r="A1704" s="701">
        <v>0</v>
      </c>
      <c r="B1704" s="759">
        <v>7.5</v>
      </c>
      <c r="C1704" s="759">
        <v>3.75</v>
      </c>
      <c r="D1704" s="759">
        <v>3</v>
      </c>
      <c r="E1704" s="701">
        <v>1.85</v>
      </c>
      <c r="F1704" s="759">
        <v>4.93</v>
      </c>
      <c r="H1704" s="759">
        <f t="shared" si="27"/>
        <v>9.1204999999999998</v>
      </c>
    </row>
    <row r="1705" spans="1:8">
      <c r="A1705" s="701">
        <v>0</v>
      </c>
      <c r="B1705" s="759">
        <v>7.5</v>
      </c>
      <c r="C1705" s="759">
        <v>4</v>
      </c>
      <c r="D1705" s="759">
        <v>3</v>
      </c>
      <c r="E1705" s="701">
        <v>1.85</v>
      </c>
      <c r="F1705" s="759">
        <v>4.93</v>
      </c>
      <c r="H1705" s="759">
        <f t="shared" si="27"/>
        <v>9.1204999999999998</v>
      </c>
    </row>
    <row r="1706" spans="1:8">
      <c r="A1706" s="701">
        <v>0</v>
      </c>
      <c r="B1706" s="759">
        <v>7.5</v>
      </c>
      <c r="C1706" s="759">
        <v>4.25</v>
      </c>
      <c r="D1706" s="759">
        <v>3</v>
      </c>
      <c r="E1706" s="701">
        <v>1.85</v>
      </c>
      <c r="F1706" s="759">
        <v>4.93</v>
      </c>
      <c r="H1706" s="759">
        <f t="shared" si="27"/>
        <v>9.1204999999999998</v>
      </c>
    </row>
    <row r="1707" spans="1:8">
      <c r="A1707" s="701">
        <v>0</v>
      </c>
      <c r="B1707" s="759">
        <v>7.5</v>
      </c>
      <c r="C1707" s="759">
        <v>4.5</v>
      </c>
      <c r="D1707" s="759">
        <v>3</v>
      </c>
      <c r="E1707" s="701">
        <v>1.85</v>
      </c>
      <c r="F1707" s="759">
        <v>4.93</v>
      </c>
      <c r="H1707" s="759">
        <f t="shared" si="27"/>
        <v>9.1204999999999998</v>
      </c>
    </row>
    <row r="1708" spans="1:8">
      <c r="A1708" s="701">
        <v>0</v>
      </c>
      <c r="B1708" s="759">
        <v>7.5</v>
      </c>
      <c r="C1708" s="759">
        <v>4.75</v>
      </c>
      <c r="D1708" s="759">
        <v>3</v>
      </c>
      <c r="E1708" s="701">
        <v>1.85</v>
      </c>
      <c r="F1708" s="759">
        <v>4.93</v>
      </c>
      <c r="H1708" s="759">
        <f t="shared" si="27"/>
        <v>9.1204999999999998</v>
      </c>
    </row>
    <row r="1709" spans="1:8">
      <c r="A1709" s="701">
        <v>0</v>
      </c>
      <c r="B1709" s="759">
        <v>7.5</v>
      </c>
      <c r="C1709" s="759">
        <v>5</v>
      </c>
      <c r="D1709" s="759">
        <v>3</v>
      </c>
      <c r="E1709" s="701">
        <v>1.85</v>
      </c>
      <c r="F1709" s="759">
        <v>4.93</v>
      </c>
      <c r="H1709" s="759">
        <f t="shared" si="27"/>
        <v>9.1204999999999998</v>
      </c>
    </row>
    <row r="1710" spans="1:8">
      <c r="A1710" s="701">
        <v>0</v>
      </c>
      <c r="B1710" s="759">
        <v>7.5</v>
      </c>
      <c r="C1710" s="759">
        <v>5.25</v>
      </c>
      <c r="D1710" s="759">
        <v>3</v>
      </c>
      <c r="E1710" s="701">
        <v>1.85</v>
      </c>
      <c r="F1710" s="759">
        <v>4.93</v>
      </c>
      <c r="H1710" s="759">
        <f t="shared" si="27"/>
        <v>9.1204999999999998</v>
      </c>
    </row>
    <row r="1711" spans="1:8">
      <c r="A1711" s="701">
        <v>0</v>
      </c>
      <c r="B1711" s="759">
        <v>7.5</v>
      </c>
      <c r="C1711" s="759">
        <v>5.5</v>
      </c>
      <c r="D1711" s="759">
        <v>3</v>
      </c>
      <c r="E1711" s="701">
        <v>1.85</v>
      </c>
      <c r="F1711" s="759">
        <v>4.93</v>
      </c>
      <c r="H1711" s="759">
        <f t="shared" si="27"/>
        <v>9.1204999999999998</v>
      </c>
    </row>
    <row r="1712" spans="1:8">
      <c r="A1712" s="701">
        <v>0</v>
      </c>
      <c r="B1712" s="759">
        <v>7.5</v>
      </c>
      <c r="C1712" s="759">
        <v>5.75</v>
      </c>
      <c r="D1712" s="759">
        <v>3</v>
      </c>
      <c r="E1712" s="701">
        <v>1.85</v>
      </c>
      <c r="F1712" s="759">
        <v>4.93</v>
      </c>
      <c r="H1712" s="759">
        <f t="shared" si="27"/>
        <v>9.1204999999999998</v>
      </c>
    </row>
    <row r="1713" spans="1:8">
      <c r="A1713" s="701">
        <v>0</v>
      </c>
      <c r="B1713" s="759">
        <v>7.5</v>
      </c>
      <c r="C1713" s="759">
        <v>6</v>
      </c>
      <c r="D1713" s="759">
        <v>3</v>
      </c>
      <c r="E1713" s="701">
        <v>1.85</v>
      </c>
      <c r="F1713" s="759">
        <v>4.93</v>
      </c>
      <c r="H1713" s="759">
        <f t="shared" si="27"/>
        <v>9.1204999999999998</v>
      </c>
    </row>
    <row r="1714" spans="1:8">
      <c r="A1714" s="701">
        <v>0</v>
      </c>
      <c r="B1714" s="759">
        <v>7.5</v>
      </c>
      <c r="C1714" s="759">
        <v>6.25</v>
      </c>
      <c r="D1714" s="759">
        <v>3</v>
      </c>
      <c r="E1714" s="701">
        <v>1.85</v>
      </c>
      <c r="F1714" s="759">
        <v>4.93</v>
      </c>
      <c r="H1714" s="759">
        <f t="shared" si="27"/>
        <v>9.1204999999999998</v>
      </c>
    </row>
    <row r="1715" spans="1:8">
      <c r="A1715" s="701">
        <v>0</v>
      </c>
      <c r="B1715" s="759">
        <v>7.5</v>
      </c>
      <c r="C1715" s="759">
        <v>6.5</v>
      </c>
      <c r="D1715" s="759">
        <v>3</v>
      </c>
      <c r="E1715" s="701">
        <v>1.85</v>
      </c>
      <c r="F1715" s="759">
        <v>4.93</v>
      </c>
      <c r="H1715" s="759">
        <f t="shared" si="27"/>
        <v>9.1204999999999998</v>
      </c>
    </row>
    <row r="1716" spans="1:8">
      <c r="A1716" s="701">
        <v>0</v>
      </c>
      <c r="B1716" s="759">
        <v>7.5</v>
      </c>
      <c r="C1716" s="759">
        <v>6.75</v>
      </c>
      <c r="D1716" s="759">
        <v>3</v>
      </c>
      <c r="E1716" s="701">
        <v>1.85</v>
      </c>
      <c r="F1716" s="759">
        <v>4.93</v>
      </c>
      <c r="H1716" s="759">
        <f t="shared" si="27"/>
        <v>9.1204999999999998</v>
      </c>
    </row>
    <row r="1717" spans="1:8">
      <c r="A1717" s="701">
        <v>0</v>
      </c>
      <c r="B1717" s="759">
        <v>7.5</v>
      </c>
      <c r="C1717" s="759">
        <v>7</v>
      </c>
      <c r="D1717" s="759">
        <v>3</v>
      </c>
      <c r="E1717" s="701">
        <v>1.85</v>
      </c>
      <c r="F1717" s="759">
        <v>4.93</v>
      </c>
      <c r="H1717" s="759">
        <f t="shared" si="27"/>
        <v>9.1204999999999998</v>
      </c>
    </row>
    <row r="1718" spans="1:8">
      <c r="A1718" s="701">
        <v>0</v>
      </c>
      <c r="B1718" s="759">
        <v>7.5</v>
      </c>
      <c r="C1718" s="759">
        <v>7.5</v>
      </c>
      <c r="D1718" s="759">
        <v>3</v>
      </c>
      <c r="E1718" s="701">
        <v>1.85</v>
      </c>
      <c r="F1718" s="759">
        <v>4.93</v>
      </c>
      <c r="H1718" s="759">
        <f t="shared" si="27"/>
        <v>9.1204999999999998</v>
      </c>
    </row>
    <row r="1719" spans="1:8">
      <c r="A1719" s="701">
        <v>0</v>
      </c>
      <c r="B1719" s="759">
        <v>7.5</v>
      </c>
      <c r="C1719" s="759">
        <v>8</v>
      </c>
      <c r="D1719" s="759">
        <v>3</v>
      </c>
      <c r="E1719" s="701">
        <v>1.85</v>
      </c>
      <c r="F1719" s="759">
        <v>4.93</v>
      </c>
      <c r="H1719" s="759">
        <f t="shared" si="27"/>
        <v>9.1204999999999998</v>
      </c>
    </row>
    <row r="1720" spans="1:8">
      <c r="A1720" s="701">
        <v>0</v>
      </c>
      <c r="B1720" s="759">
        <v>8</v>
      </c>
      <c r="C1720" s="759">
        <v>3</v>
      </c>
      <c r="D1720" s="759">
        <v>3</v>
      </c>
      <c r="E1720" s="701">
        <v>1.85</v>
      </c>
      <c r="F1720" s="759">
        <v>5.26</v>
      </c>
      <c r="H1720" s="759">
        <f t="shared" si="27"/>
        <v>9.7309999999999999</v>
      </c>
    </row>
    <row r="1721" spans="1:8">
      <c r="A1721" s="701">
        <v>0</v>
      </c>
      <c r="B1721" s="759">
        <v>8</v>
      </c>
      <c r="C1721" s="759">
        <v>3.25</v>
      </c>
      <c r="D1721" s="759">
        <v>3</v>
      </c>
      <c r="E1721" s="701">
        <v>1.85</v>
      </c>
      <c r="F1721" s="759">
        <v>5.26</v>
      </c>
      <c r="H1721" s="759">
        <f t="shared" si="27"/>
        <v>9.7309999999999999</v>
      </c>
    </row>
    <row r="1722" spans="1:8">
      <c r="A1722" s="701">
        <v>0</v>
      </c>
      <c r="B1722" s="759">
        <v>8</v>
      </c>
      <c r="C1722" s="759">
        <v>3.5</v>
      </c>
      <c r="D1722" s="759">
        <v>3</v>
      </c>
      <c r="E1722" s="701">
        <v>1.85</v>
      </c>
      <c r="F1722" s="759">
        <v>5.26</v>
      </c>
      <c r="H1722" s="759">
        <f t="shared" si="27"/>
        <v>9.7309999999999999</v>
      </c>
    </row>
    <row r="1723" spans="1:8">
      <c r="A1723" s="701">
        <v>0</v>
      </c>
      <c r="B1723" s="759">
        <v>8</v>
      </c>
      <c r="C1723" s="759">
        <v>3.75</v>
      </c>
      <c r="D1723" s="759">
        <v>3</v>
      </c>
      <c r="E1723" s="701">
        <v>1.85</v>
      </c>
      <c r="F1723" s="759">
        <v>5.26</v>
      </c>
      <c r="H1723" s="759">
        <f t="shared" si="27"/>
        <v>9.7309999999999999</v>
      </c>
    </row>
    <row r="1724" spans="1:8">
      <c r="A1724" s="701">
        <v>0</v>
      </c>
      <c r="B1724" s="759">
        <v>8</v>
      </c>
      <c r="C1724" s="759">
        <v>4</v>
      </c>
      <c r="D1724" s="759">
        <v>3</v>
      </c>
      <c r="E1724" s="701">
        <v>1.85</v>
      </c>
      <c r="F1724" s="759">
        <v>5.26</v>
      </c>
      <c r="H1724" s="759">
        <f t="shared" si="27"/>
        <v>9.7309999999999999</v>
      </c>
    </row>
    <row r="1725" spans="1:8">
      <c r="A1725" s="701">
        <v>0</v>
      </c>
      <c r="B1725" s="759">
        <v>8</v>
      </c>
      <c r="C1725" s="759">
        <v>4.25</v>
      </c>
      <c r="D1725" s="759">
        <v>3</v>
      </c>
      <c r="E1725" s="701">
        <v>1.85</v>
      </c>
      <c r="F1725" s="759">
        <v>5.26</v>
      </c>
      <c r="H1725" s="759">
        <f t="shared" si="27"/>
        <v>9.7309999999999999</v>
      </c>
    </row>
    <row r="1726" spans="1:8">
      <c r="A1726" s="701">
        <v>0</v>
      </c>
      <c r="B1726" s="759">
        <v>8</v>
      </c>
      <c r="C1726" s="759">
        <v>4.5</v>
      </c>
      <c r="D1726" s="759">
        <v>3</v>
      </c>
      <c r="E1726" s="701">
        <v>1.85</v>
      </c>
      <c r="F1726" s="759">
        <v>5.26</v>
      </c>
      <c r="H1726" s="759">
        <f t="shared" si="27"/>
        <v>9.7309999999999999</v>
      </c>
    </row>
    <row r="1727" spans="1:8">
      <c r="A1727" s="701">
        <v>0</v>
      </c>
      <c r="B1727" s="759">
        <v>8</v>
      </c>
      <c r="C1727" s="759">
        <v>4.75</v>
      </c>
      <c r="D1727" s="759">
        <v>3</v>
      </c>
      <c r="E1727" s="701">
        <v>1.85</v>
      </c>
      <c r="F1727" s="759">
        <v>5.26</v>
      </c>
      <c r="H1727" s="759">
        <f t="shared" si="27"/>
        <v>9.7309999999999999</v>
      </c>
    </row>
    <row r="1728" spans="1:8">
      <c r="A1728" s="701">
        <v>0</v>
      </c>
      <c r="B1728" s="759">
        <v>8</v>
      </c>
      <c r="C1728" s="759">
        <v>5</v>
      </c>
      <c r="D1728" s="759">
        <v>3</v>
      </c>
      <c r="E1728" s="701">
        <v>1.85</v>
      </c>
      <c r="F1728" s="759">
        <v>5.26</v>
      </c>
      <c r="H1728" s="759">
        <f t="shared" si="27"/>
        <v>9.7309999999999999</v>
      </c>
    </row>
    <row r="1729" spans="1:8">
      <c r="A1729" s="701">
        <v>0</v>
      </c>
      <c r="B1729" s="759">
        <v>8</v>
      </c>
      <c r="C1729" s="759">
        <v>5.25</v>
      </c>
      <c r="D1729" s="759">
        <v>3</v>
      </c>
      <c r="E1729" s="701">
        <v>1.85</v>
      </c>
      <c r="F1729" s="759">
        <v>5.26</v>
      </c>
      <c r="H1729" s="759">
        <f t="shared" si="27"/>
        <v>9.7309999999999999</v>
      </c>
    </row>
    <row r="1730" spans="1:8">
      <c r="A1730" s="701">
        <v>0</v>
      </c>
      <c r="B1730" s="759">
        <v>8</v>
      </c>
      <c r="C1730" s="759">
        <v>5.5</v>
      </c>
      <c r="D1730" s="759">
        <v>3</v>
      </c>
      <c r="E1730" s="701">
        <v>1.85</v>
      </c>
      <c r="F1730" s="759">
        <v>5.26</v>
      </c>
      <c r="H1730" s="759">
        <f t="shared" si="27"/>
        <v>9.7309999999999999</v>
      </c>
    </row>
    <row r="1731" spans="1:8">
      <c r="A1731" s="701">
        <v>0</v>
      </c>
      <c r="B1731" s="759">
        <v>8</v>
      </c>
      <c r="C1731" s="759">
        <v>5.75</v>
      </c>
      <c r="D1731" s="759">
        <v>3</v>
      </c>
      <c r="E1731" s="701">
        <v>1.85</v>
      </c>
      <c r="F1731" s="759">
        <v>5.26</v>
      </c>
      <c r="H1731" s="759">
        <f t="shared" si="27"/>
        <v>9.7309999999999999</v>
      </c>
    </row>
    <row r="1732" spans="1:8">
      <c r="A1732" s="701">
        <v>0</v>
      </c>
      <c r="B1732" s="759">
        <v>8</v>
      </c>
      <c r="C1732" s="759">
        <v>6</v>
      </c>
      <c r="D1732" s="759">
        <v>3</v>
      </c>
      <c r="E1732" s="701">
        <v>1.85</v>
      </c>
      <c r="F1732" s="759">
        <v>5.26</v>
      </c>
      <c r="H1732" s="759">
        <f t="shared" si="27"/>
        <v>9.7309999999999999</v>
      </c>
    </row>
    <row r="1733" spans="1:8">
      <c r="A1733" s="701">
        <v>0</v>
      </c>
      <c r="B1733" s="759">
        <v>8</v>
      </c>
      <c r="C1733" s="759">
        <v>6.25</v>
      </c>
      <c r="D1733" s="759">
        <v>3</v>
      </c>
      <c r="E1733" s="701">
        <v>1.85</v>
      </c>
      <c r="F1733" s="759">
        <v>5.26</v>
      </c>
      <c r="H1733" s="759">
        <f t="shared" si="27"/>
        <v>9.7309999999999999</v>
      </c>
    </row>
    <row r="1734" spans="1:8">
      <c r="A1734" s="701">
        <v>0</v>
      </c>
      <c r="B1734" s="759">
        <v>8</v>
      </c>
      <c r="C1734" s="759">
        <v>6.5</v>
      </c>
      <c r="D1734" s="759">
        <v>3</v>
      </c>
      <c r="E1734" s="701">
        <v>1.85</v>
      </c>
      <c r="F1734" s="759">
        <v>5.26</v>
      </c>
      <c r="H1734" s="759">
        <f t="shared" si="27"/>
        <v>9.7309999999999999</v>
      </c>
    </row>
    <row r="1735" spans="1:8">
      <c r="A1735" s="701">
        <v>0</v>
      </c>
      <c r="B1735" s="759">
        <v>8</v>
      </c>
      <c r="C1735" s="759">
        <v>6.75</v>
      </c>
      <c r="D1735" s="759">
        <v>3</v>
      </c>
      <c r="E1735" s="701">
        <v>1.85</v>
      </c>
      <c r="F1735" s="759">
        <v>5.26</v>
      </c>
      <c r="H1735" s="759">
        <f t="shared" si="27"/>
        <v>9.7309999999999999</v>
      </c>
    </row>
    <row r="1736" spans="1:8">
      <c r="A1736" s="701">
        <v>0</v>
      </c>
      <c r="B1736" s="759">
        <v>8</v>
      </c>
      <c r="C1736" s="759">
        <v>7</v>
      </c>
      <c r="D1736" s="759">
        <v>3</v>
      </c>
      <c r="E1736" s="701">
        <v>1.85</v>
      </c>
      <c r="F1736" s="759">
        <v>5.26</v>
      </c>
      <c r="H1736" s="759">
        <f t="shared" si="27"/>
        <v>9.7309999999999999</v>
      </c>
    </row>
    <row r="1737" spans="1:8">
      <c r="A1737" s="701">
        <v>0</v>
      </c>
      <c r="B1737" s="759">
        <v>8</v>
      </c>
      <c r="C1737" s="759">
        <v>7.5</v>
      </c>
      <c r="D1737" s="759">
        <v>3</v>
      </c>
      <c r="E1737" s="701">
        <v>1.85</v>
      </c>
      <c r="F1737" s="759">
        <v>5.26</v>
      </c>
      <c r="H1737" s="759">
        <f t="shared" si="27"/>
        <v>9.7309999999999999</v>
      </c>
    </row>
    <row r="1738" spans="1:8">
      <c r="A1738" s="701">
        <v>0</v>
      </c>
      <c r="B1738" s="759">
        <v>8</v>
      </c>
      <c r="C1738" s="759">
        <v>8</v>
      </c>
      <c r="D1738" s="759">
        <v>3</v>
      </c>
      <c r="E1738" s="701">
        <v>1.85</v>
      </c>
      <c r="F1738" s="759">
        <v>5.26</v>
      </c>
      <c r="H1738" s="759">
        <f t="shared" si="27"/>
        <v>9.7309999999999999</v>
      </c>
    </row>
  </sheetData>
  <sheetProtection algorithmName="SHA-512" hashValue="CXk9qZF2XJpRuh4BKeLxDbyzAAixCh0XON8zzuOYQ5EoEXNorx2zxtRElMt8mbcMppFegauE9dw0dcauy0wwaA==" saltValue="8xc1S0/ETcg5CWjiJ3QLhw==" spinCount="100000" sheet="1" objects="1" scenarios="1"/>
  <conditionalFormatting sqref="A1:A270 A499 A747 A995 A1243 A1491 A1739:A1048576">
    <cfRule type="colorScale" priority="611">
      <colorScale>
        <cfvo type="min"/>
        <cfvo type="percentile" val="50"/>
        <cfvo type="max"/>
        <color rgb="FF5A8AC6"/>
        <color rgb="FFFCFCFF"/>
        <color rgb="FFF8696B"/>
      </colorScale>
    </cfRule>
  </conditionalFormatting>
  <conditionalFormatting sqref="A4:A136">
    <cfRule type="colorScale" priority="665">
      <colorScale>
        <cfvo type="min"/>
        <cfvo type="percentile" val="50"/>
        <cfvo type="max"/>
        <color rgb="FF5A8AC6"/>
        <color rgb="FFFCFCFF"/>
        <color rgb="FFF8696B"/>
      </colorScale>
    </cfRule>
  </conditionalFormatting>
  <conditionalFormatting sqref="A4:A498">
    <cfRule type="colorScale" priority="496">
      <colorScale>
        <cfvo type="min"/>
        <cfvo type="percentile" val="50"/>
        <cfvo type="max"/>
        <color rgb="FF5A8AC6"/>
        <color rgb="FFFCFCFF"/>
        <color rgb="FFF8696B"/>
      </colorScale>
    </cfRule>
  </conditionalFormatting>
  <conditionalFormatting sqref="A137:A155">
    <cfRule type="colorScale" priority="659">
      <colorScale>
        <cfvo type="min"/>
        <cfvo type="percentile" val="50"/>
        <cfvo type="max"/>
        <color rgb="FF5A8AC6"/>
        <color rgb="FFFCFCFF"/>
        <color rgb="FFF8696B"/>
      </colorScale>
    </cfRule>
  </conditionalFormatting>
  <conditionalFormatting sqref="A156:A174">
    <cfRule type="colorScale" priority="651">
      <colorScale>
        <cfvo type="min"/>
        <cfvo type="percentile" val="50"/>
        <cfvo type="max"/>
        <color rgb="FF5A8AC6"/>
        <color rgb="FFFCFCFF"/>
        <color rgb="FFF8696B"/>
      </colorScale>
    </cfRule>
  </conditionalFormatting>
  <conditionalFormatting sqref="A175:A193">
    <cfRule type="colorScale" priority="643">
      <colorScale>
        <cfvo type="min"/>
        <cfvo type="percentile" val="50"/>
        <cfvo type="max"/>
        <color rgb="FF5A8AC6"/>
        <color rgb="FFFCFCFF"/>
        <color rgb="FFF8696B"/>
      </colorScale>
    </cfRule>
  </conditionalFormatting>
  <conditionalFormatting sqref="A194:A212">
    <cfRule type="colorScale" priority="635">
      <colorScale>
        <cfvo type="min"/>
        <cfvo type="percentile" val="50"/>
        <cfvo type="max"/>
        <color rgb="FF5A8AC6"/>
        <color rgb="FFFCFCFF"/>
        <color rgb="FFF8696B"/>
      </colorScale>
    </cfRule>
  </conditionalFormatting>
  <conditionalFormatting sqref="A213:A231">
    <cfRule type="colorScale" priority="627">
      <colorScale>
        <cfvo type="min"/>
        <cfvo type="percentile" val="50"/>
        <cfvo type="max"/>
        <color rgb="FF5A8AC6"/>
        <color rgb="FFFCFCFF"/>
        <color rgb="FFF8696B"/>
      </colorScale>
    </cfRule>
  </conditionalFormatting>
  <conditionalFormatting sqref="A232:A250">
    <cfRule type="colorScale" priority="619">
      <colorScale>
        <cfvo type="min"/>
        <cfvo type="percentile" val="50"/>
        <cfvo type="max"/>
        <color rgb="FF5A8AC6"/>
        <color rgb="FFFCFCFF"/>
        <color rgb="FFF8696B"/>
      </colorScale>
    </cfRule>
  </conditionalFormatting>
  <conditionalFormatting sqref="A271:A289">
    <cfRule type="colorScale" priority="602">
      <colorScale>
        <cfvo type="min"/>
        <cfvo type="percentile" val="50"/>
        <cfvo type="max"/>
        <color rgb="FF5A8AC6"/>
        <color rgb="FFFCFCFF"/>
        <color rgb="FFF8696B"/>
      </colorScale>
    </cfRule>
  </conditionalFormatting>
  <conditionalFormatting sqref="A290:A308">
    <cfRule type="colorScale" priority="593">
      <colorScale>
        <cfvo type="min"/>
        <cfvo type="percentile" val="50"/>
        <cfvo type="max"/>
        <color rgb="FF5A8AC6"/>
        <color rgb="FFFCFCFF"/>
        <color rgb="FFF8696B"/>
      </colorScale>
    </cfRule>
  </conditionalFormatting>
  <conditionalFormatting sqref="A309:A327">
    <cfRule type="colorScale" priority="584">
      <colorScale>
        <cfvo type="min"/>
        <cfvo type="percentile" val="50"/>
        <cfvo type="max"/>
        <color rgb="FF5A8AC6"/>
        <color rgb="FFFCFCFF"/>
        <color rgb="FFF8696B"/>
      </colorScale>
    </cfRule>
  </conditionalFormatting>
  <conditionalFormatting sqref="A328:A346">
    <cfRule type="colorScale" priority="575">
      <colorScale>
        <cfvo type="min"/>
        <cfvo type="percentile" val="50"/>
        <cfvo type="max"/>
        <color rgb="FF5A8AC6"/>
        <color rgb="FFFCFCFF"/>
        <color rgb="FFF8696B"/>
      </colorScale>
    </cfRule>
  </conditionalFormatting>
  <conditionalFormatting sqref="A347:A365">
    <cfRule type="colorScale" priority="566">
      <colorScale>
        <cfvo type="min"/>
        <cfvo type="percentile" val="50"/>
        <cfvo type="max"/>
        <color rgb="FF5A8AC6"/>
        <color rgb="FFFCFCFF"/>
        <color rgb="FFF8696B"/>
      </colorScale>
    </cfRule>
  </conditionalFormatting>
  <conditionalFormatting sqref="A366:A384">
    <cfRule type="colorScale" priority="557">
      <colorScale>
        <cfvo type="min"/>
        <cfvo type="percentile" val="50"/>
        <cfvo type="max"/>
        <color rgb="FF5A8AC6"/>
        <color rgb="FFFCFCFF"/>
        <color rgb="FFF8696B"/>
      </colorScale>
    </cfRule>
  </conditionalFormatting>
  <conditionalFormatting sqref="A385:A403">
    <cfRule type="colorScale" priority="548">
      <colorScale>
        <cfvo type="min"/>
        <cfvo type="percentile" val="50"/>
        <cfvo type="max"/>
        <color rgb="FF5A8AC6"/>
        <color rgb="FFFCFCFF"/>
        <color rgb="FFF8696B"/>
      </colorScale>
    </cfRule>
  </conditionalFormatting>
  <conditionalFormatting sqref="A404:A422">
    <cfRule type="colorScale" priority="539">
      <colorScale>
        <cfvo type="min"/>
        <cfvo type="percentile" val="50"/>
        <cfvo type="max"/>
        <color rgb="FF5A8AC6"/>
        <color rgb="FFFCFCFF"/>
        <color rgb="FFF8696B"/>
      </colorScale>
    </cfRule>
  </conditionalFormatting>
  <conditionalFormatting sqref="A423:A441">
    <cfRule type="colorScale" priority="530">
      <colorScale>
        <cfvo type="min"/>
        <cfvo type="percentile" val="50"/>
        <cfvo type="max"/>
        <color rgb="FF5A8AC6"/>
        <color rgb="FFFCFCFF"/>
        <color rgb="FFF8696B"/>
      </colorScale>
    </cfRule>
  </conditionalFormatting>
  <conditionalFormatting sqref="A442:A460">
    <cfRule type="colorScale" priority="521">
      <colorScale>
        <cfvo type="min"/>
        <cfvo type="percentile" val="50"/>
        <cfvo type="max"/>
        <color rgb="FF5A8AC6"/>
        <color rgb="FFFCFCFF"/>
        <color rgb="FFF8696B"/>
      </colorScale>
    </cfRule>
  </conditionalFormatting>
  <conditionalFormatting sqref="A461:A479">
    <cfRule type="colorScale" priority="512">
      <colorScale>
        <cfvo type="min"/>
        <cfvo type="percentile" val="50"/>
        <cfvo type="max"/>
        <color rgb="FF5A8AC6"/>
        <color rgb="FFFCFCFF"/>
        <color rgb="FFF8696B"/>
      </colorScale>
    </cfRule>
  </conditionalFormatting>
  <conditionalFormatting sqref="A480:A498">
    <cfRule type="colorScale" priority="503">
      <colorScale>
        <cfvo type="min"/>
        <cfvo type="percentile" val="50"/>
        <cfvo type="max"/>
        <color rgb="FF5A8AC6"/>
        <color rgb="FFFCFCFF"/>
        <color rgb="FFF8696B"/>
      </colorScale>
    </cfRule>
  </conditionalFormatting>
  <conditionalFormatting sqref="A500:A518">
    <cfRule type="colorScale" priority="488">
      <colorScale>
        <cfvo type="min"/>
        <cfvo type="percentile" val="50"/>
        <cfvo type="max"/>
        <color rgb="FF5A8AC6"/>
        <color rgb="FFFCFCFF"/>
        <color rgb="FFF8696B"/>
      </colorScale>
    </cfRule>
  </conditionalFormatting>
  <conditionalFormatting sqref="A500:A746">
    <cfRule type="colorScale" priority="397">
      <colorScale>
        <cfvo type="min"/>
        <cfvo type="percentile" val="50"/>
        <cfvo type="max"/>
        <color rgb="FF5A8AC6"/>
        <color rgb="FFFCFCFF"/>
        <color rgb="FFF8696B"/>
      </colorScale>
    </cfRule>
  </conditionalFormatting>
  <conditionalFormatting sqref="A519:A537">
    <cfRule type="colorScale" priority="481">
      <colorScale>
        <cfvo type="min"/>
        <cfvo type="percentile" val="50"/>
        <cfvo type="max"/>
        <color rgb="FF5A8AC6"/>
        <color rgb="FFFCFCFF"/>
        <color rgb="FFF8696B"/>
      </colorScale>
    </cfRule>
  </conditionalFormatting>
  <conditionalFormatting sqref="A538:A556">
    <cfRule type="colorScale" priority="474">
      <colorScale>
        <cfvo type="min"/>
        <cfvo type="percentile" val="50"/>
        <cfvo type="max"/>
        <color rgb="FF5A8AC6"/>
        <color rgb="FFFCFCFF"/>
        <color rgb="FFF8696B"/>
      </colorScale>
    </cfRule>
  </conditionalFormatting>
  <conditionalFormatting sqref="A557:A575">
    <cfRule type="colorScale" priority="467">
      <colorScale>
        <cfvo type="min"/>
        <cfvo type="percentile" val="50"/>
        <cfvo type="max"/>
        <color rgb="FF5A8AC6"/>
        <color rgb="FFFCFCFF"/>
        <color rgb="FFF8696B"/>
      </colorScale>
    </cfRule>
  </conditionalFormatting>
  <conditionalFormatting sqref="A576:A594">
    <cfRule type="colorScale" priority="460">
      <colorScale>
        <cfvo type="min"/>
        <cfvo type="percentile" val="50"/>
        <cfvo type="max"/>
        <color rgb="FF5A8AC6"/>
        <color rgb="FFFCFCFF"/>
        <color rgb="FFF8696B"/>
      </colorScale>
    </cfRule>
  </conditionalFormatting>
  <conditionalFormatting sqref="A595:A613">
    <cfRule type="colorScale" priority="453">
      <colorScale>
        <cfvo type="min"/>
        <cfvo type="percentile" val="50"/>
        <cfvo type="max"/>
        <color rgb="FF5A8AC6"/>
        <color rgb="FFFCFCFF"/>
        <color rgb="FFF8696B"/>
      </colorScale>
    </cfRule>
  </conditionalFormatting>
  <conditionalFormatting sqref="A614:A632">
    <cfRule type="colorScale" priority="446">
      <colorScale>
        <cfvo type="min"/>
        <cfvo type="percentile" val="50"/>
        <cfvo type="max"/>
        <color rgb="FF5A8AC6"/>
        <color rgb="FFFCFCFF"/>
        <color rgb="FFF8696B"/>
      </colorScale>
    </cfRule>
  </conditionalFormatting>
  <conditionalFormatting sqref="A633:A651">
    <cfRule type="colorScale" priority="439">
      <colorScale>
        <cfvo type="min"/>
        <cfvo type="percentile" val="50"/>
        <cfvo type="max"/>
        <color rgb="FF5A8AC6"/>
        <color rgb="FFFCFCFF"/>
        <color rgb="FFF8696B"/>
      </colorScale>
    </cfRule>
  </conditionalFormatting>
  <conditionalFormatting sqref="A652:A670">
    <cfRule type="colorScale" priority="432">
      <colorScale>
        <cfvo type="min"/>
        <cfvo type="percentile" val="50"/>
        <cfvo type="max"/>
        <color rgb="FF5A8AC6"/>
        <color rgb="FFFCFCFF"/>
        <color rgb="FFF8696B"/>
      </colorScale>
    </cfRule>
  </conditionalFormatting>
  <conditionalFormatting sqref="A671:A689">
    <cfRule type="colorScale" priority="425">
      <colorScale>
        <cfvo type="min"/>
        <cfvo type="percentile" val="50"/>
        <cfvo type="max"/>
        <color rgb="FF5A8AC6"/>
        <color rgb="FFFCFCFF"/>
        <color rgb="FFF8696B"/>
      </colorScale>
    </cfRule>
  </conditionalFormatting>
  <conditionalFormatting sqref="A690:A708">
    <cfRule type="colorScale" priority="418">
      <colorScale>
        <cfvo type="min"/>
        <cfvo type="percentile" val="50"/>
        <cfvo type="max"/>
        <color rgb="FF5A8AC6"/>
        <color rgb="FFFCFCFF"/>
        <color rgb="FFF8696B"/>
      </colorScale>
    </cfRule>
  </conditionalFormatting>
  <conditionalFormatting sqref="A709:A727">
    <cfRule type="colorScale" priority="411">
      <colorScale>
        <cfvo type="min"/>
        <cfvo type="percentile" val="50"/>
        <cfvo type="max"/>
        <color rgb="FF5A8AC6"/>
        <color rgb="FFFCFCFF"/>
        <color rgb="FFF8696B"/>
      </colorScale>
    </cfRule>
  </conditionalFormatting>
  <conditionalFormatting sqref="A728:A746">
    <cfRule type="colorScale" priority="404">
      <colorScale>
        <cfvo type="min"/>
        <cfvo type="percentile" val="50"/>
        <cfvo type="max"/>
        <color rgb="FF5A8AC6"/>
        <color rgb="FFFCFCFF"/>
        <color rgb="FFF8696B"/>
      </colorScale>
    </cfRule>
  </conditionalFormatting>
  <conditionalFormatting sqref="A748:A766">
    <cfRule type="colorScale" priority="389">
      <colorScale>
        <cfvo type="min"/>
        <cfvo type="percentile" val="50"/>
        <cfvo type="max"/>
        <color rgb="FF5A8AC6"/>
        <color rgb="FFFCFCFF"/>
        <color rgb="FFF8696B"/>
      </colorScale>
    </cfRule>
  </conditionalFormatting>
  <conditionalFormatting sqref="A748:A994">
    <cfRule type="colorScale" priority="298">
      <colorScale>
        <cfvo type="min"/>
        <cfvo type="percentile" val="50"/>
        <cfvo type="max"/>
        <color rgb="FF5A8AC6"/>
        <color rgb="FFFCFCFF"/>
        <color rgb="FFF8696B"/>
      </colorScale>
    </cfRule>
  </conditionalFormatting>
  <conditionalFormatting sqref="A767:A785">
    <cfRule type="colorScale" priority="382">
      <colorScale>
        <cfvo type="min"/>
        <cfvo type="percentile" val="50"/>
        <cfvo type="max"/>
        <color rgb="FF5A8AC6"/>
        <color rgb="FFFCFCFF"/>
        <color rgb="FFF8696B"/>
      </colorScale>
    </cfRule>
  </conditionalFormatting>
  <conditionalFormatting sqref="A786:A804">
    <cfRule type="colorScale" priority="375">
      <colorScale>
        <cfvo type="min"/>
        <cfvo type="percentile" val="50"/>
        <cfvo type="max"/>
        <color rgb="FF5A8AC6"/>
        <color rgb="FFFCFCFF"/>
        <color rgb="FFF8696B"/>
      </colorScale>
    </cfRule>
  </conditionalFormatting>
  <conditionalFormatting sqref="A805:A823">
    <cfRule type="colorScale" priority="368">
      <colorScale>
        <cfvo type="min"/>
        <cfvo type="percentile" val="50"/>
        <cfvo type="max"/>
        <color rgb="FF5A8AC6"/>
        <color rgb="FFFCFCFF"/>
        <color rgb="FFF8696B"/>
      </colorScale>
    </cfRule>
  </conditionalFormatting>
  <conditionalFormatting sqref="A824:A842">
    <cfRule type="colorScale" priority="361">
      <colorScale>
        <cfvo type="min"/>
        <cfvo type="percentile" val="50"/>
        <cfvo type="max"/>
        <color rgb="FF5A8AC6"/>
        <color rgb="FFFCFCFF"/>
        <color rgb="FFF8696B"/>
      </colorScale>
    </cfRule>
  </conditionalFormatting>
  <conditionalFormatting sqref="A843:A861">
    <cfRule type="colorScale" priority="354">
      <colorScale>
        <cfvo type="min"/>
        <cfvo type="percentile" val="50"/>
        <cfvo type="max"/>
        <color rgb="FF5A8AC6"/>
        <color rgb="FFFCFCFF"/>
        <color rgb="FFF8696B"/>
      </colorScale>
    </cfRule>
  </conditionalFormatting>
  <conditionalFormatting sqref="A862:A880">
    <cfRule type="colorScale" priority="347">
      <colorScale>
        <cfvo type="min"/>
        <cfvo type="percentile" val="50"/>
        <cfvo type="max"/>
        <color rgb="FF5A8AC6"/>
        <color rgb="FFFCFCFF"/>
        <color rgb="FFF8696B"/>
      </colorScale>
    </cfRule>
  </conditionalFormatting>
  <conditionalFormatting sqref="A881:A899">
    <cfRule type="colorScale" priority="340">
      <colorScale>
        <cfvo type="min"/>
        <cfvo type="percentile" val="50"/>
        <cfvo type="max"/>
        <color rgb="FF5A8AC6"/>
        <color rgb="FFFCFCFF"/>
        <color rgb="FFF8696B"/>
      </colorScale>
    </cfRule>
  </conditionalFormatting>
  <conditionalFormatting sqref="A900:A918">
    <cfRule type="colorScale" priority="333">
      <colorScale>
        <cfvo type="min"/>
        <cfvo type="percentile" val="50"/>
        <cfvo type="max"/>
        <color rgb="FF5A8AC6"/>
        <color rgb="FFFCFCFF"/>
        <color rgb="FFF8696B"/>
      </colorScale>
    </cfRule>
  </conditionalFormatting>
  <conditionalFormatting sqref="A919:A937">
    <cfRule type="colorScale" priority="326">
      <colorScale>
        <cfvo type="min"/>
        <cfvo type="percentile" val="50"/>
        <cfvo type="max"/>
        <color rgb="FF5A8AC6"/>
        <color rgb="FFFCFCFF"/>
        <color rgb="FFF8696B"/>
      </colorScale>
    </cfRule>
  </conditionalFormatting>
  <conditionalFormatting sqref="A938:A956">
    <cfRule type="colorScale" priority="319">
      <colorScale>
        <cfvo type="min"/>
        <cfvo type="percentile" val="50"/>
        <cfvo type="max"/>
        <color rgb="FF5A8AC6"/>
        <color rgb="FFFCFCFF"/>
        <color rgb="FFF8696B"/>
      </colorScale>
    </cfRule>
  </conditionalFormatting>
  <conditionalFormatting sqref="A957:A975">
    <cfRule type="colorScale" priority="312">
      <colorScale>
        <cfvo type="min"/>
        <cfvo type="percentile" val="50"/>
        <cfvo type="max"/>
        <color rgb="FF5A8AC6"/>
        <color rgb="FFFCFCFF"/>
        <color rgb="FFF8696B"/>
      </colorScale>
    </cfRule>
  </conditionalFormatting>
  <conditionalFormatting sqref="A976:A994">
    <cfRule type="colorScale" priority="305">
      <colorScale>
        <cfvo type="min"/>
        <cfvo type="percentile" val="50"/>
        <cfvo type="max"/>
        <color rgb="FF5A8AC6"/>
        <color rgb="FFFCFCFF"/>
        <color rgb="FFF8696B"/>
      </colorScale>
    </cfRule>
  </conditionalFormatting>
  <conditionalFormatting sqref="A996:A1014">
    <cfRule type="colorScale" priority="290">
      <colorScale>
        <cfvo type="min"/>
        <cfvo type="percentile" val="50"/>
        <cfvo type="max"/>
        <color rgb="FF5A8AC6"/>
        <color rgb="FFFCFCFF"/>
        <color rgb="FFF8696B"/>
      </colorScale>
    </cfRule>
  </conditionalFormatting>
  <conditionalFormatting sqref="A996:A1242">
    <cfRule type="colorScale" priority="199">
      <colorScale>
        <cfvo type="min"/>
        <cfvo type="percentile" val="50"/>
        <cfvo type="max"/>
        <color rgb="FF5A8AC6"/>
        <color rgb="FFFCFCFF"/>
        <color rgb="FFF8696B"/>
      </colorScale>
    </cfRule>
  </conditionalFormatting>
  <conditionalFormatting sqref="A1015:A1033">
    <cfRule type="colorScale" priority="283">
      <colorScale>
        <cfvo type="min"/>
        <cfvo type="percentile" val="50"/>
        <cfvo type="max"/>
        <color rgb="FF5A8AC6"/>
        <color rgb="FFFCFCFF"/>
        <color rgb="FFF8696B"/>
      </colorScale>
    </cfRule>
  </conditionalFormatting>
  <conditionalFormatting sqref="A1034:A1052">
    <cfRule type="colorScale" priority="276">
      <colorScale>
        <cfvo type="min"/>
        <cfvo type="percentile" val="50"/>
        <cfvo type="max"/>
        <color rgb="FF5A8AC6"/>
        <color rgb="FFFCFCFF"/>
        <color rgb="FFF8696B"/>
      </colorScale>
    </cfRule>
  </conditionalFormatting>
  <conditionalFormatting sqref="A1053:A1071">
    <cfRule type="colorScale" priority="269">
      <colorScale>
        <cfvo type="min"/>
        <cfvo type="percentile" val="50"/>
        <cfvo type="max"/>
        <color rgb="FF5A8AC6"/>
        <color rgb="FFFCFCFF"/>
        <color rgb="FFF8696B"/>
      </colorScale>
    </cfRule>
  </conditionalFormatting>
  <conditionalFormatting sqref="A1072:A1090">
    <cfRule type="colorScale" priority="262">
      <colorScale>
        <cfvo type="min"/>
        <cfvo type="percentile" val="50"/>
        <cfvo type="max"/>
        <color rgb="FF5A8AC6"/>
        <color rgb="FFFCFCFF"/>
        <color rgb="FFF8696B"/>
      </colorScale>
    </cfRule>
  </conditionalFormatting>
  <conditionalFormatting sqref="A1091:A1109">
    <cfRule type="colorScale" priority="255">
      <colorScale>
        <cfvo type="min"/>
        <cfvo type="percentile" val="50"/>
        <cfvo type="max"/>
        <color rgb="FF5A8AC6"/>
        <color rgb="FFFCFCFF"/>
        <color rgb="FFF8696B"/>
      </colorScale>
    </cfRule>
  </conditionalFormatting>
  <conditionalFormatting sqref="A1110:A1128">
    <cfRule type="colorScale" priority="248">
      <colorScale>
        <cfvo type="min"/>
        <cfvo type="percentile" val="50"/>
        <cfvo type="max"/>
        <color rgb="FF5A8AC6"/>
        <color rgb="FFFCFCFF"/>
        <color rgb="FFF8696B"/>
      </colorScale>
    </cfRule>
  </conditionalFormatting>
  <conditionalFormatting sqref="A1129:A1147">
    <cfRule type="colorScale" priority="241">
      <colorScale>
        <cfvo type="min"/>
        <cfvo type="percentile" val="50"/>
        <cfvo type="max"/>
        <color rgb="FF5A8AC6"/>
        <color rgb="FFFCFCFF"/>
        <color rgb="FFF8696B"/>
      </colorScale>
    </cfRule>
  </conditionalFormatting>
  <conditionalFormatting sqref="A1148:A1166">
    <cfRule type="colorScale" priority="234">
      <colorScale>
        <cfvo type="min"/>
        <cfvo type="percentile" val="50"/>
        <cfvo type="max"/>
        <color rgb="FF5A8AC6"/>
        <color rgb="FFFCFCFF"/>
        <color rgb="FFF8696B"/>
      </colorScale>
    </cfRule>
  </conditionalFormatting>
  <conditionalFormatting sqref="A1167:A1185">
    <cfRule type="colorScale" priority="227">
      <colorScale>
        <cfvo type="min"/>
        <cfvo type="percentile" val="50"/>
        <cfvo type="max"/>
        <color rgb="FF5A8AC6"/>
        <color rgb="FFFCFCFF"/>
        <color rgb="FFF8696B"/>
      </colorScale>
    </cfRule>
  </conditionalFormatting>
  <conditionalFormatting sqref="A1186:A1204">
    <cfRule type="colorScale" priority="220">
      <colorScale>
        <cfvo type="min"/>
        <cfvo type="percentile" val="50"/>
        <cfvo type="max"/>
        <color rgb="FF5A8AC6"/>
        <color rgb="FFFCFCFF"/>
        <color rgb="FFF8696B"/>
      </colorScale>
    </cfRule>
  </conditionalFormatting>
  <conditionalFormatting sqref="A1205:A1223">
    <cfRule type="colorScale" priority="213">
      <colorScale>
        <cfvo type="min"/>
        <cfvo type="percentile" val="50"/>
        <cfvo type="max"/>
        <color rgb="FF5A8AC6"/>
        <color rgb="FFFCFCFF"/>
        <color rgb="FFF8696B"/>
      </colorScale>
    </cfRule>
  </conditionalFormatting>
  <conditionalFormatting sqref="A1224:A1242">
    <cfRule type="colorScale" priority="206">
      <colorScale>
        <cfvo type="min"/>
        <cfvo type="percentile" val="50"/>
        <cfvo type="max"/>
        <color rgb="FF5A8AC6"/>
        <color rgb="FFFCFCFF"/>
        <color rgb="FFF8696B"/>
      </colorScale>
    </cfRule>
  </conditionalFormatting>
  <conditionalFormatting sqref="A1244:A1262">
    <cfRule type="colorScale" priority="191">
      <colorScale>
        <cfvo type="min"/>
        <cfvo type="percentile" val="50"/>
        <cfvo type="max"/>
        <color rgb="FF5A8AC6"/>
        <color rgb="FFFCFCFF"/>
        <color rgb="FFF8696B"/>
      </colorScale>
    </cfRule>
  </conditionalFormatting>
  <conditionalFormatting sqref="A1244:A1490">
    <cfRule type="colorScale" priority="100">
      <colorScale>
        <cfvo type="min"/>
        <cfvo type="percentile" val="50"/>
        <cfvo type="max"/>
        <color rgb="FF5A8AC6"/>
        <color rgb="FFFCFCFF"/>
        <color rgb="FFF8696B"/>
      </colorScale>
    </cfRule>
  </conditionalFormatting>
  <conditionalFormatting sqref="A1263:A1281">
    <cfRule type="colorScale" priority="184">
      <colorScale>
        <cfvo type="min"/>
        <cfvo type="percentile" val="50"/>
        <cfvo type="max"/>
        <color rgb="FF5A8AC6"/>
        <color rgb="FFFCFCFF"/>
        <color rgb="FFF8696B"/>
      </colorScale>
    </cfRule>
  </conditionalFormatting>
  <conditionalFormatting sqref="A1282:A1300">
    <cfRule type="colorScale" priority="177">
      <colorScale>
        <cfvo type="min"/>
        <cfvo type="percentile" val="50"/>
        <cfvo type="max"/>
        <color rgb="FF5A8AC6"/>
        <color rgb="FFFCFCFF"/>
        <color rgb="FFF8696B"/>
      </colorScale>
    </cfRule>
  </conditionalFormatting>
  <conditionalFormatting sqref="A1301:A1319">
    <cfRule type="colorScale" priority="170">
      <colorScale>
        <cfvo type="min"/>
        <cfvo type="percentile" val="50"/>
        <cfvo type="max"/>
        <color rgb="FF5A8AC6"/>
        <color rgb="FFFCFCFF"/>
        <color rgb="FFF8696B"/>
      </colorScale>
    </cfRule>
  </conditionalFormatting>
  <conditionalFormatting sqref="A1320:A1338">
    <cfRule type="colorScale" priority="163">
      <colorScale>
        <cfvo type="min"/>
        <cfvo type="percentile" val="50"/>
        <cfvo type="max"/>
        <color rgb="FF5A8AC6"/>
        <color rgb="FFFCFCFF"/>
        <color rgb="FFF8696B"/>
      </colorScale>
    </cfRule>
  </conditionalFormatting>
  <conditionalFormatting sqref="A1339:A1357">
    <cfRule type="colorScale" priority="156">
      <colorScale>
        <cfvo type="min"/>
        <cfvo type="percentile" val="50"/>
        <cfvo type="max"/>
        <color rgb="FF5A8AC6"/>
        <color rgb="FFFCFCFF"/>
        <color rgb="FFF8696B"/>
      </colorScale>
    </cfRule>
  </conditionalFormatting>
  <conditionalFormatting sqref="A1358:A1376">
    <cfRule type="colorScale" priority="149">
      <colorScale>
        <cfvo type="min"/>
        <cfvo type="percentile" val="50"/>
        <cfvo type="max"/>
        <color rgb="FF5A8AC6"/>
        <color rgb="FFFCFCFF"/>
        <color rgb="FFF8696B"/>
      </colorScale>
    </cfRule>
  </conditionalFormatting>
  <conditionalFormatting sqref="A1377:A1395">
    <cfRule type="colorScale" priority="142">
      <colorScale>
        <cfvo type="min"/>
        <cfvo type="percentile" val="50"/>
        <cfvo type="max"/>
        <color rgb="FF5A8AC6"/>
        <color rgb="FFFCFCFF"/>
        <color rgb="FFF8696B"/>
      </colorScale>
    </cfRule>
  </conditionalFormatting>
  <conditionalFormatting sqref="A1396:A1414">
    <cfRule type="colorScale" priority="135">
      <colorScale>
        <cfvo type="min"/>
        <cfvo type="percentile" val="50"/>
        <cfvo type="max"/>
        <color rgb="FF5A8AC6"/>
        <color rgb="FFFCFCFF"/>
        <color rgb="FFF8696B"/>
      </colorScale>
    </cfRule>
  </conditionalFormatting>
  <conditionalFormatting sqref="A1415:A1433">
    <cfRule type="colorScale" priority="128">
      <colorScale>
        <cfvo type="min"/>
        <cfvo type="percentile" val="50"/>
        <cfvo type="max"/>
        <color rgb="FF5A8AC6"/>
        <color rgb="FFFCFCFF"/>
        <color rgb="FFF8696B"/>
      </colorScale>
    </cfRule>
  </conditionalFormatting>
  <conditionalFormatting sqref="A1434:A1452">
    <cfRule type="colorScale" priority="121">
      <colorScale>
        <cfvo type="min"/>
        <cfvo type="percentile" val="50"/>
        <cfvo type="max"/>
        <color rgb="FF5A8AC6"/>
        <color rgb="FFFCFCFF"/>
        <color rgb="FFF8696B"/>
      </colorScale>
    </cfRule>
  </conditionalFormatting>
  <conditionalFormatting sqref="A1453:A1471">
    <cfRule type="colorScale" priority="114">
      <colorScale>
        <cfvo type="min"/>
        <cfvo type="percentile" val="50"/>
        <cfvo type="max"/>
        <color rgb="FF5A8AC6"/>
        <color rgb="FFFCFCFF"/>
        <color rgb="FFF8696B"/>
      </colorScale>
    </cfRule>
  </conditionalFormatting>
  <conditionalFormatting sqref="A1472:A1490">
    <cfRule type="colorScale" priority="107">
      <colorScale>
        <cfvo type="min"/>
        <cfvo type="percentile" val="50"/>
        <cfvo type="max"/>
        <color rgb="FF5A8AC6"/>
        <color rgb="FFFCFCFF"/>
        <color rgb="FFF8696B"/>
      </colorScale>
    </cfRule>
  </conditionalFormatting>
  <conditionalFormatting sqref="A1492:A1510">
    <cfRule type="colorScale" priority="92">
      <colorScale>
        <cfvo type="min"/>
        <cfvo type="percentile" val="50"/>
        <cfvo type="max"/>
        <color rgb="FF5A8AC6"/>
        <color rgb="FFFCFCFF"/>
        <color rgb="FFF8696B"/>
      </colorScale>
    </cfRule>
  </conditionalFormatting>
  <conditionalFormatting sqref="A1492:A1738">
    <cfRule type="colorScale" priority="1">
      <colorScale>
        <cfvo type="min"/>
        <cfvo type="percentile" val="50"/>
        <cfvo type="max"/>
        <color rgb="FF5A8AC6"/>
        <color rgb="FFFCFCFF"/>
        <color rgb="FFF8696B"/>
      </colorScale>
    </cfRule>
  </conditionalFormatting>
  <conditionalFormatting sqref="A1511:A1529">
    <cfRule type="colorScale" priority="85">
      <colorScale>
        <cfvo type="min"/>
        <cfvo type="percentile" val="50"/>
        <cfvo type="max"/>
        <color rgb="FF5A8AC6"/>
        <color rgb="FFFCFCFF"/>
        <color rgb="FFF8696B"/>
      </colorScale>
    </cfRule>
  </conditionalFormatting>
  <conditionalFormatting sqref="A1530:A1548">
    <cfRule type="colorScale" priority="78">
      <colorScale>
        <cfvo type="min"/>
        <cfvo type="percentile" val="50"/>
        <cfvo type="max"/>
        <color rgb="FF5A8AC6"/>
        <color rgb="FFFCFCFF"/>
        <color rgb="FFF8696B"/>
      </colorScale>
    </cfRule>
  </conditionalFormatting>
  <conditionalFormatting sqref="A1549:A1567">
    <cfRule type="colorScale" priority="71">
      <colorScale>
        <cfvo type="min"/>
        <cfvo type="percentile" val="50"/>
        <cfvo type="max"/>
        <color rgb="FF5A8AC6"/>
        <color rgb="FFFCFCFF"/>
        <color rgb="FFF8696B"/>
      </colorScale>
    </cfRule>
  </conditionalFormatting>
  <conditionalFormatting sqref="A1568:A1586">
    <cfRule type="colorScale" priority="64">
      <colorScale>
        <cfvo type="min"/>
        <cfvo type="percentile" val="50"/>
        <cfvo type="max"/>
        <color rgb="FF5A8AC6"/>
        <color rgb="FFFCFCFF"/>
        <color rgb="FFF8696B"/>
      </colorScale>
    </cfRule>
  </conditionalFormatting>
  <conditionalFormatting sqref="A1587:A1605">
    <cfRule type="colorScale" priority="57">
      <colorScale>
        <cfvo type="min"/>
        <cfvo type="percentile" val="50"/>
        <cfvo type="max"/>
        <color rgb="FF5A8AC6"/>
        <color rgb="FFFCFCFF"/>
        <color rgb="FFF8696B"/>
      </colorScale>
    </cfRule>
  </conditionalFormatting>
  <conditionalFormatting sqref="A1606:A1624">
    <cfRule type="colorScale" priority="50">
      <colorScale>
        <cfvo type="min"/>
        <cfvo type="percentile" val="50"/>
        <cfvo type="max"/>
        <color rgb="FF5A8AC6"/>
        <color rgb="FFFCFCFF"/>
        <color rgb="FFF8696B"/>
      </colorScale>
    </cfRule>
  </conditionalFormatting>
  <conditionalFormatting sqref="A1625:A1643">
    <cfRule type="colorScale" priority="43">
      <colorScale>
        <cfvo type="min"/>
        <cfvo type="percentile" val="50"/>
        <cfvo type="max"/>
        <color rgb="FF5A8AC6"/>
        <color rgb="FFFCFCFF"/>
        <color rgb="FFF8696B"/>
      </colorScale>
    </cfRule>
  </conditionalFormatting>
  <conditionalFormatting sqref="A1644:A1662">
    <cfRule type="colorScale" priority="36">
      <colorScale>
        <cfvo type="min"/>
        <cfvo type="percentile" val="50"/>
        <cfvo type="max"/>
        <color rgb="FF5A8AC6"/>
        <color rgb="FFFCFCFF"/>
        <color rgb="FFF8696B"/>
      </colorScale>
    </cfRule>
  </conditionalFormatting>
  <conditionalFormatting sqref="A1663:A1681">
    <cfRule type="colorScale" priority="29">
      <colorScale>
        <cfvo type="min"/>
        <cfvo type="percentile" val="50"/>
        <cfvo type="max"/>
        <color rgb="FF5A8AC6"/>
        <color rgb="FFFCFCFF"/>
        <color rgb="FFF8696B"/>
      </colorScale>
    </cfRule>
  </conditionalFormatting>
  <conditionalFormatting sqref="A1682:A1700">
    <cfRule type="colorScale" priority="22">
      <colorScale>
        <cfvo type="min"/>
        <cfvo type="percentile" val="50"/>
        <cfvo type="max"/>
        <color rgb="FF5A8AC6"/>
        <color rgb="FFFCFCFF"/>
        <color rgb="FFF8696B"/>
      </colorScale>
    </cfRule>
  </conditionalFormatting>
  <conditionalFormatting sqref="A1701:A1719">
    <cfRule type="colorScale" priority="15">
      <colorScale>
        <cfvo type="min"/>
        <cfvo type="percentile" val="50"/>
        <cfvo type="max"/>
        <color rgb="FF5A8AC6"/>
        <color rgb="FFFCFCFF"/>
        <color rgb="FFF8696B"/>
      </colorScale>
    </cfRule>
  </conditionalFormatting>
  <conditionalFormatting sqref="A1720:A1738">
    <cfRule type="colorScale" priority="8">
      <colorScale>
        <cfvo type="min"/>
        <cfvo type="percentile" val="50"/>
        <cfvo type="max"/>
        <color rgb="FF5A8AC6"/>
        <color rgb="FFFCFCFF"/>
        <color rgb="FFF8696B"/>
      </colorScale>
    </cfRule>
  </conditionalFormatting>
  <conditionalFormatting sqref="B1:B270 B499 B747 B995 B1243 B1491 B1739:B1048576">
    <cfRule type="colorScale" priority="615">
      <colorScale>
        <cfvo type="min"/>
        <cfvo type="percentile" val="50"/>
        <cfvo type="max"/>
        <color rgb="FF5A8AC6"/>
        <color rgb="FFFCFCFF"/>
        <color rgb="FFF8696B"/>
      </colorScale>
    </cfRule>
  </conditionalFormatting>
  <conditionalFormatting sqref="B3:B155 B499 B251:B270 B747 B995 B1243 B1491 B1739:B1048576">
    <cfRule type="colorScale" priority="658">
      <colorScale>
        <cfvo type="min"/>
        <cfvo type="percentile" val="50"/>
        <cfvo type="max"/>
        <color rgb="FF5A8AC6"/>
        <color rgb="FFFCFCFF"/>
        <color rgb="FFF8696B"/>
      </colorScale>
    </cfRule>
  </conditionalFormatting>
  <conditionalFormatting sqref="B4:B136">
    <cfRule type="colorScale" priority="670">
      <colorScale>
        <cfvo type="min"/>
        <cfvo type="percentile" val="50"/>
        <cfvo type="max"/>
        <color rgb="FF5A8AC6"/>
        <color rgb="FFFCFCFF"/>
        <color rgb="FFF8696B"/>
      </colorScale>
    </cfRule>
  </conditionalFormatting>
  <conditionalFormatting sqref="B4:B498">
    <cfRule type="colorScale" priority="497">
      <colorScale>
        <cfvo type="min"/>
        <cfvo type="percentile" val="50"/>
        <cfvo type="max"/>
        <color rgb="FF5A8AC6"/>
        <color rgb="FFFCFCFF"/>
        <color rgb="FFF8696B"/>
      </colorScale>
    </cfRule>
  </conditionalFormatting>
  <conditionalFormatting sqref="B137:B155">
    <cfRule type="colorScale" priority="664">
      <colorScale>
        <cfvo type="min"/>
        <cfvo type="percentile" val="50"/>
        <cfvo type="max"/>
        <color rgb="FF5A8AC6"/>
        <color rgb="FFFCFCFF"/>
        <color rgb="FFF8696B"/>
      </colorScale>
    </cfRule>
  </conditionalFormatting>
  <conditionalFormatting sqref="B156:B174">
    <cfRule type="colorScale" priority="650">
      <colorScale>
        <cfvo type="min"/>
        <cfvo type="percentile" val="50"/>
        <cfvo type="max"/>
        <color rgb="FF5A8AC6"/>
        <color rgb="FFFCFCFF"/>
        <color rgb="FFF8696B"/>
      </colorScale>
    </cfRule>
    <cfRule type="colorScale" priority="656">
      <colorScale>
        <cfvo type="min"/>
        <cfvo type="percentile" val="50"/>
        <cfvo type="max"/>
        <color rgb="FF5A8AC6"/>
        <color rgb="FFFCFCFF"/>
        <color rgb="FFF8696B"/>
      </colorScale>
    </cfRule>
  </conditionalFormatting>
  <conditionalFormatting sqref="B175:B193">
    <cfRule type="colorScale" priority="648">
      <colorScale>
        <cfvo type="min"/>
        <cfvo type="percentile" val="50"/>
        <cfvo type="max"/>
        <color rgb="FF5A8AC6"/>
        <color rgb="FFFCFCFF"/>
        <color rgb="FFF8696B"/>
      </colorScale>
    </cfRule>
    <cfRule type="colorScale" priority="642">
      <colorScale>
        <cfvo type="min"/>
        <cfvo type="percentile" val="50"/>
        <cfvo type="max"/>
        <color rgb="FF5A8AC6"/>
        <color rgb="FFFCFCFF"/>
        <color rgb="FFF8696B"/>
      </colorScale>
    </cfRule>
  </conditionalFormatting>
  <conditionalFormatting sqref="B194:B212">
    <cfRule type="colorScale" priority="634">
      <colorScale>
        <cfvo type="min"/>
        <cfvo type="percentile" val="50"/>
        <cfvo type="max"/>
        <color rgb="FF5A8AC6"/>
        <color rgb="FFFCFCFF"/>
        <color rgb="FFF8696B"/>
      </colorScale>
    </cfRule>
    <cfRule type="colorScale" priority="640">
      <colorScale>
        <cfvo type="min"/>
        <cfvo type="percentile" val="50"/>
        <cfvo type="max"/>
        <color rgb="FF5A8AC6"/>
        <color rgb="FFFCFCFF"/>
        <color rgb="FFF8696B"/>
      </colorScale>
    </cfRule>
  </conditionalFormatting>
  <conditionalFormatting sqref="B213:B231">
    <cfRule type="colorScale" priority="632">
      <colorScale>
        <cfvo type="min"/>
        <cfvo type="percentile" val="50"/>
        <cfvo type="max"/>
        <color rgb="FF5A8AC6"/>
        <color rgb="FFFCFCFF"/>
        <color rgb="FFF8696B"/>
      </colorScale>
    </cfRule>
    <cfRule type="colorScale" priority="626">
      <colorScale>
        <cfvo type="min"/>
        <cfvo type="percentile" val="50"/>
        <cfvo type="max"/>
        <color rgb="FF5A8AC6"/>
        <color rgb="FFFCFCFF"/>
        <color rgb="FFF8696B"/>
      </colorScale>
    </cfRule>
  </conditionalFormatting>
  <conditionalFormatting sqref="B232:B250">
    <cfRule type="colorScale" priority="618">
      <colorScale>
        <cfvo type="min"/>
        <cfvo type="percentile" val="50"/>
        <cfvo type="max"/>
        <color rgb="FF5A8AC6"/>
        <color rgb="FFFCFCFF"/>
        <color rgb="FFF8696B"/>
      </colorScale>
    </cfRule>
    <cfRule type="colorScale" priority="624">
      <colorScale>
        <cfvo type="min"/>
        <cfvo type="percentile" val="50"/>
        <cfvo type="max"/>
        <color rgb="FF5A8AC6"/>
        <color rgb="FFFCFCFF"/>
        <color rgb="FFF8696B"/>
      </colorScale>
    </cfRule>
  </conditionalFormatting>
  <conditionalFormatting sqref="B271:B289">
    <cfRule type="colorScale" priority="606">
      <colorScale>
        <cfvo type="min"/>
        <cfvo type="percentile" val="50"/>
        <cfvo type="max"/>
        <color rgb="FF5A8AC6"/>
        <color rgb="FFFCFCFF"/>
        <color rgb="FFF8696B"/>
      </colorScale>
    </cfRule>
    <cfRule type="colorScale" priority="609">
      <colorScale>
        <cfvo type="min"/>
        <cfvo type="percentile" val="50"/>
        <cfvo type="max"/>
        <color rgb="FF5A8AC6"/>
        <color rgb="FFFCFCFF"/>
        <color rgb="FFF8696B"/>
      </colorScale>
    </cfRule>
  </conditionalFormatting>
  <conditionalFormatting sqref="B290:B308">
    <cfRule type="colorScale" priority="600">
      <colorScale>
        <cfvo type="min"/>
        <cfvo type="percentile" val="50"/>
        <cfvo type="max"/>
        <color rgb="FF5A8AC6"/>
        <color rgb="FFFCFCFF"/>
        <color rgb="FFF8696B"/>
      </colorScale>
    </cfRule>
    <cfRule type="colorScale" priority="597">
      <colorScale>
        <cfvo type="min"/>
        <cfvo type="percentile" val="50"/>
        <cfvo type="max"/>
        <color rgb="FF5A8AC6"/>
        <color rgb="FFFCFCFF"/>
        <color rgb="FFF8696B"/>
      </colorScale>
    </cfRule>
  </conditionalFormatting>
  <conditionalFormatting sqref="B309:B327">
    <cfRule type="colorScale" priority="591">
      <colorScale>
        <cfvo type="min"/>
        <cfvo type="percentile" val="50"/>
        <cfvo type="max"/>
        <color rgb="FF5A8AC6"/>
        <color rgb="FFFCFCFF"/>
        <color rgb="FFF8696B"/>
      </colorScale>
    </cfRule>
    <cfRule type="colorScale" priority="588">
      <colorScale>
        <cfvo type="min"/>
        <cfvo type="percentile" val="50"/>
        <cfvo type="max"/>
        <color rgb="FF5A8AC6"/>
        <color rgb="FFFCFCFF"/>
        <color rgb="FFF8696B"/>
      </colorScale>
    </cfRule>
  </conditionalFormatting>
  <conditionalFormatting sqref="B328:B346">
    <cfRule type="colorScale" priority="582">
      <colorScale>
        <cfvo type="min"/>
        <cfvo type="percentile" val="50"/>
        <cfvo type="max"/>
        <color rgb="FF5A8AC6"/>
        <color rgb="FFFCFCFF"/>
        <color rgb="FFF8696B"/>
      </colorScale>
    </cfRule>
    <cfRule type="colorScale" priority="579">
      <colorScale>
        <cfvo type="min"/>
        <cfvo type="percentile" val="50"/>
        <cfvo type="max"/>
        <color rgb="FF5A8AC6"/>
        <color rgb="FFFCFCFF"/>
        <color rgb="FFF8696B"/>
      </colorScale>
    </cfRule>
  </conditionalFormatting>
  <conditionalFormatting sqref="B347:B365">
    <cfRule type="colorScale" priority="570">
      <colorScale>
        <cfvo type="min"/>
        <cfvo type="percentile" val="50"/>
        <cfvo type="max"/>
        <color rgb="FF5A8AC6"/>
        <color rgb="FFFCFCFF"/>
        <color rgb="FFF8696B"/>
      </colorScale>
    </cfRule>
    <cfRule type="colorScale" priority="573">
      <colorScale>
        <cfvo type="min"/>
        <cfvo type="percentile" val="50"/>
        <cfvo type="max"/>
        <color rgb="FF5A8AC6"/>
        <color rgb="FFFCFCFF"/>
        <color rgb="FFF8696B"/>
      </colorScale>
    </cfRule>
  </conditionalFormatting>
  <conditionalFormatting sqref="B366:B384">
    <cfRule type="colorScale" priority="561">
      <colorScale>
        <cfvo type="min"/>
        <cfvo type="percentile" val="50"/>
        <cfvo type="max"/>
        <color rgb="FF5A8AC6"/>
        <color rgb="FFFCFCFF"/>
        <color rgb="FFF8696B"/>
      </colorScale>
    </cfRule>
    <cfRule type="colorScale" priority="564">
      <colorScale>
        <cfvo type="min"/>
        <cfvo type="percentile" val="50"/>
        <cfvo type="max"/>
        <color rgb="FF5A8AC6"/>
        <color rgb="FFFCFCFF"/>
        <color rgb="FFF8696B"/>
      </colorScale>
    </cfRule>
  </conditionalFormatting>
  <conditionalFormatting sqref="B385:B403">
    <cfRule type="colorScale" priority="555">
      <colorScale>
        <cfvo type="min"/>
        <cfvo type="percentile" val="50"/>
        <cfvo type="max"/>
        <color rgb="FF5A8AC6"/>
        <color rgb="FFFCFCFF"/>
        <color rgb="FFF8696B"/>
      </colorScale>
    </cfRule>
    <cfRule type="colorScale" priority="552">
      <colorScale>
        <cfvo type="min"/>
        <cfvo type="percentile" val="50"/>
        <cfvo type="max"/>
        <color rgb="FF5A8AC6"/>
        <color rgb="FFFCFCFF"/>
        <color rgb="FFF8696B"/>
      </colorScale>
    </cfRule>
  </conditionalFormatting>
  <conditionalFormatting sqref="B404:B422">
    <cfRule type="colorScale" priority="546">
      <colorScale>
        <cfvo type="min"/>
        <cfvo type="percentile" val="50"/>
        <cfvo type="max"/>
        <color rgb="FF5A8AC6"/>
        <color rgb="FFFCFCFF"/>
        <color rgb="FFF8696B"/>
      </colorScale>
    </cfRule>
    <cfRule type="colorScale" priority="543">
      <colorScale>
        <cfvo type="min"/>
        <cfvo type="percentile" val="50"/>
        <cfvo type="max"/>
        <color rgb="FF5A8AC6"/>
        <color rgb="FFFCFCFF"/>
        <color rgb="FFF8696B"/>
      </colorScale>
    </cfRule>
  </conditionalFormatting>
  <conditionalFormatting sqref="B423:B441">
    <cfRule type="colorScale" priority="537">
      <colorScale>
        <cfvo type="min"/>
        <cfvo type="percentile" val="50"/>
        <cfvo type="max"/>
        <color rgb="FF5A8AC6"/>
        <color rgb="FFFCFCFF"/>
        <color rgb="FFF8696B"/>
      </colorScale>
    </cfRule>
    <cfRule type="colorScale" priority="534">
      <colorScale>
        <cfvo type="min"/>
        <cfvo type="percentile" val="50"/>
        <cfvo type="max"/>
        <color rgb="FF5A8AC6"/>
        <color rgb="FFFCFCFF"/>
        <color rgb="FFF8696B"/>
      </colorScale>
    </cfRule>
  </conditionalFormatting>
  <conditionalFormatting sqref="B442:B460">
    <cfRule type="colorScale" priority="525">
      <colorScale>
        <cfvo type="min"/>
        <cfvo type="percentile" val="50"/>
        <cfvo type="max"/>
        <color rgb="FF5A8AC6"/>
        <color rgb="FFFCFCFF"/>
        <color rgb="FFF8696B"/>
      </colorScale>
    </cfRule>
    <cfRule type="colorScale" priority="528">
      <colorScale>
        <cfvo type="min"/>
        <cfvo type="percentile" val="50"/>
        <cfvo type="max"/>
        <color rgb="FF5A8AC6"/>
        <color rgb="FFFCFCFF"/>
        <color rgb="FFF8696B"/>
      </colorScale>
    </cfRule>
  </conditionalFormatting>
  <conditionalFormatting sqref="B461:B479">
    <cfRule type="colorScale" priority="519">
      <colorScale>
        <cfvo type="min"/>
        <cfvo type="percentile" val="50"/>
        <cfvo type="max"/>
        <color rgb="FF5A8AC6"/>
        <color rgb="FFFCFCFF"/>
        <color rgb="FFF8696B"/>
      </colorScale>
    </cfRule>
    <cfRule type="colorScale" priority="516">
      <colorScale>
        <cfvo type="min"/>
        <cfvo type="percentile" val="50"/>
        <cfvo type="max"/>
        <color rgb="FF5A8AC6"/>
        <color rgb="FFFCFCFF"/>
        <color rgb="FFF8696B"/>
      </colorScale>
    </cfRule>
  </conditionalFormatting>
  <conditionalFormatting sqref="B480:B498">
    <cfRule type="colorScale" priority="510">
      <colorScale>
        <cfvo type="min"/>
        <cfvo type="percentile" val="50"/>
        <cfvo type="max"/>
        <color rgb="FF5A8AC6"/>
        <color rgb="FFFCFCFF"/>
        <color rgb="FFF8696B"/>
      </colorScale>
    </cfRule>
    <cfRule type="colorScale" priority="507">
      <colorScale>
        <cfvo type="min"/>
        <cfvo type="percentile" val="50"/>
        <cfvo type="max"/>
        <color rgb="FF5A8AC6"/>
        <color rgb="FFFCFCFF"/>
        <color rgb="FFF8696B"/>
      </colorScale>
    </cfRule>
  </conditionalFormatting>
  <conditionalFormatting sqref="B500:B518">
    <cfRule type="colorScale" priority="495">
      <colorScale>
        <cfvo type="min"/>
        <cfvo type="percentile" val="50"/>
        <cfvo type="max"/>
        <color rgb="FF5A8AC6"/>
        <color rgb="FFFCFCFF"/>
        <color rgb="FFF8696B"/>
      </colorScale>
    </cfRule>
    <cfRule type="colorScale" priority="492">
      <colorScale>
        <cfvo type="min"/>
        <cfvo type="percentile" val="50"/>
        <cfvo type="max"/>
        <color rgb="FF5A8AC6"/>
        <color rgb="FFFCFCFF"/>
        <color rgb="FFF8696B"/>
      </colorScale>
    </cfRule>
  </conditionalFormatting>
  <conditionalFormatting sqref="B500:B746">
    <cfRule type="colorScale" priority="398">
      <colorScale>
        <cfvo type="min"/>
        <cfvo type="percentile" val="50"/>
        <cfvo type="max"/>
        <color rgb="FF5A8AC6"/>
        <color rgb="FFFCFCFF"/>
        <color rgb="FFF8696B"/>
      </colorScale>
    </cfRule>
  </conditionalFormatting>
  <conditionalFormatting sqref="B519:B537">
    <cfRule type="colorScale" priority="486">
      <colorScale>
        <cfvo type="min"/>
        <cfvo type="percentile" val="50"/>
        <cfvo type="max"/>
        <color rgb="FF5A8AC6"/>
        <color rgb="FFFCFCFF"/>
        <color rgb="FFF8696B"/>
      </colorScale>
    </cfRule>
    <cfRule type="colorScale" priority="483">
      <colorScale>
        <cfvo type="min"/>
        <cfvo type="percentile" val="50"/>
        <cfvo type="max"/>
        <color rgb="FF5A8AC6"/>
        <color rgb="FFFCFCFF"/>
        <color rgb="FFF8696B"/>
      </colorScale>
    </cfRule>
  </conditionalFormatting>
  <conditionalFormatting sqref="B538:B556">
    <cfRule type="colorScale" priority="479">
      <colorScale>
        <cfvo type="min"/>
        <cfvo type="percentile" val="50"/>
        <cfvo type="max"/>
        <color rgb="FF5A8AC6"/>
        <color rgb="FFFCFCFF"/>
        <color rgb="FFF8696B"/>
      </colorScale>
    </cfRule>
    <cfRule type="colorScale" priority="476">
      <colorScale>
        <cfvo type="min"/>
        <cfvo type="percentile" val="50"/>
        <cfvo type="max"/>
        <color rgb="FF5A8AC6"/>
        <color rgb="FFFCFCFF"/>
        <color rgb="FFF8696B"/>
      </colorScale>
    </cfRule>
  </conditionalFormatting>
  <conditionalFormatting sqref="B557:B575">
    <cfRule type="colorScale" priority="472">
      <colorScale>
        <cfvo type="min"/>
        <cfvo type="percentile" val="50"/>
        <cfvo type="max"/>
        <color rgb="FF5A8AC6"/>
        <color rgb="FFFCFCFF"/>
        <color rgb="FFF8696B"/>
      </colorScale>
    </cfRule>
    <cfRule type="colorScale" priority="469">
      <colorScale>
        <cfvo type="min"/>
        <cfvo type="percentile" val="50"/>
        <cfvo type="max"/>
        <color rgb="FF5A8AC6"/>
        <color rgb="FFFCFCFF"/>
        <color rgb="FFF8696B"/>
      </colorScale>
    </cfRule>
  </conditionalFormatting>
  <conditionalFormatting sqref="B576:B594">
    <cfRule type="colorScale" priority="465">
      <colorScale>
        <cfvo type="min"/>
        <cfvo type="percentile" val="50"/>
        <cfvo type="max"/>
        <color rgb="FF5A8AC6"/>
        <color rgb="FFFCFCFF"/>
        <color rgb="FFF8696B"/>
      </colorScale>
    </cfRule>
    <cfRule type="colorScale" priority="462">
      <colorScale>
        <cfvo type="min"/>
        <cfvo type="percentile" val="50"/>
        <cfvo type="max"/>
        <color rgb="FF5A8AC6"/>
        <color rgb="FFFCFCFF"/>
        <color rgb="FFF8696B"/>
      </colorScale>
    </cfRule>
  </conditionalFormatting>
  <conditionalFormatting sqref="B595:B613">
    <cfRule type="colorScale" priority="455">
      <colorScale>
        <cfvo type="min"/>
        <cfvo type="percentile" val="50"/>
        <cfvo type="max"/>
        <color rgb="FF5A8AC6"/>
        <color rgb="FFFCFCFF"/>
        <color rgb="FFF8696B"/>
      </colorScale>
    </cfRule>
    <cfRule type="colorScale" priority="458">
      <colorScale>
        <cfvo type="min"/>
        <cfvo type="percentile" val="50"/>
        <cfvo type="max"/>
        <color rgb="FF5A8AC6"/>
        <color rgb="FFFCFCFF"/>
        <color rgb="FFF8696B"/>
      </colorScale>
    </cfRule>
  </conditionalFormatting>
  <conditionalFormatting sqref="B614:B632">
    <cfRule type="colorScale" priority="448">
      <colorScale>
        <cfvo type="min"/>
        <cfvo type="percentile" val="50"/>
        <cfvo type="max"/>
        <color rgb="FF5A8AC6"/>
        <color rgb="FFFCFCFF"/>
        <color rgb="FFF8696B"/>
      </colorScale>
    </cfRule>
    <cfRule type="colorScale" priority="451">
      <colorScale>
        <cfvo type="min"/>
        <cfvo type="percentile" val="50"/>
        <cfvo type="max"/>
        <color rgb="FF5A8AC6"/>
        <color rgb="FFFCFCFF"/>
        <color rgb="FFF8696B"/>
      </colorScale>
    </cfRule>
  </conditionalFormatting>
  <conditionalFormatting sqref="B633:B651">
    <cfRule type="colorScale" priority="441">
      <colorScale>
        <cfvo type="min"/>
        <cfvo type="percentile" val="50"/>
        <cfvo type="max"/>
        <color rgb="FF5A8AC6"/>
        <color rgb="FFFCFCFF"/>
        <color rgb="FFF8696B"/>
      </colorScale>
    </cfRule>
    <cfRule type="colorScale" priority="444">
      <colorScale>
        <cfvo type="min"/>
        <cfvo type="percentile" val="50"/>
        <cfvo type="max"/>
        <color rgb="FF5A8AC6"/>
        <color rgb="FFFCFCFF"/>
        <color rgb="FFF8696B"/>
      </colorScale>
    </cfRule>
  </conditionalFormatting>
  <conditionalFormatting sqref="B652:B670">
    <cfRule type="colorScale" priority="437">
      <colorScale>
        <cfvo type="min"/>
        <cfvo type="percentile" val="50"/>
        <cfvo type="max"/>
        <color rgb="FF5A8AC6"/>
        <color rgb="FFFCFCFF"/>
        <color rgb="FFF8696B"/>
      </colorScale>
    </cfRule>
    <cfRule type="colorScale" priority="434">
      <colorScale>
        <cfvo type="min"/>
        <cfvo type="percentile" val="50"/>
        <cfvo type="max"/>
        <color rgb="FF5A8AC6"/>
        <color rgb="FFFCFCFF"/>
        <color rgb="FFF8696B"/>
      </colorScale>
    </cfRule>
  </conditionalFormatting>
  <conditionalFormatting sqref="B671:B689">
    <cfRule type="colorScale" priority="427">
      <colorScale>
        <cfvo type="min"/>
        <cfvo type="percentile" val="50"/>
        <cfvo type="max"/>
        <color rgb="FF5A8AC6"/>
        <color rgb="FFFCFCFF"/>
        <color rgb="FFF8696B"/>
      </colorScale>
    </cfRule>
    <cfRule type="colorScale" priority="430">
      <colorScale>
        <cfvo type="min"/>
        <cfvo type="percentile" val="50"/>
        <cfvo type="max"/>
        <color rgb="FF5A8AC6"/>
        <color rgb="FFFCFCFF"/>
        <color rgb="FFF8696B"/>
      </colorScale>
    </cfRule>
  </conditionalFormatting>
  <conditionalFormatting sqref="B690:B708">
    <cfRule type="colorScale" priority="423">
      <colorScale>
        <cfvo type="min"/>
        <cfvo type="percentile" val="50"/>
        <cfvo type="max"/>
        <color rgb="FF5A8AC6"/>
        <color rgb="FFFCFCFF"/>
        <color rgb="FFF8696B"/>
      </colorScale>
    </cfRule>
    <cfRule type="colorScale" priority="420">
      <colorScale>
        <cfvo type="min"/>
        <cfvo type="percentile" val="50"/>
        <cfvo type="max"/>
        <color rgb="FF5A8AC6"/>
        <color rgb="FFFCFCFF"/>
        <color rgb="FFF8696B"/>
      </colorScale>
    </cfRule>
  </conditionalFormatting>
  <conditionalFormatting sqref="B709:B727">
    <cfRule type="colorScale" priority="416">
      <colorScale>
        <cfvo type="min"/>
        <cfvo type="percentile" val="50"/>
        <cfvo type="max"/>
        <color rgb="FF5A8AC6"/>
        <color rgb="FFFCFCFF"/>
        <color rgb="FFF8696B"/>
      </colorScale>
    </cfRule>
    <cfRule type="colorScale" priority="413">
      <colorScale>
        <cfvo type="min"/>
        <cfvo type="percentile" val="50"/>
        <cfvo type="max"/>
        <color rgb="FF5A8AC6"/>
        <color rgb="FFFCFCFF"/>
        <color rgb="FFF8696B"/>
      </colorScale>
    </cfRule>
  </conditionalFormatting>
  <conditionalFormatting sqref="B728:B746">
    <cfRule type="colorScale" priority="409">
      <colorScale>
        <cfvo type="min"/>
        <cfvo type="percentile" val="50"/>
        <cfvo type="max"/>
        <color rgb="FF5A8AC6"/>
        <color rgb="FFFCFCFF"/>
        <color rgb="FFF8696B"/>
      </colorScale>
    </cfRule>
    <cfRule type="colorScale" priority="406">
      <colorScale>
        <cfvo type="min"/>
        <cfvo type="percentile" val="50"/>
        <cfvo type="max"/>
        <color rgb="FF5A8AC6"/>
        <color rgb="FFFCFCFF"/>
        <color rgb="FFF8696B"/>
      </colorScale>
    </cfRule>
  </conditionalFormatting>
  <conditionalFormatting sqref="B748:B766">
    <cfRule type="colorScale" priority="396">
      <colorScale>
        <cfvo type="min"/>
        <cfvo type="percentile" val="50"/>
        <cfvo type="max"/>
        <color rgb="FF5A8AC6"/>
        <color rgb="FFFCFCFF"/>
        <color rgb="FFF8696B"/>
      </colorScale>
    </cfRule>
    <cfRule type="colorScale" priority="393">
      <colorScale>
        <cfvo type="min"/>
        <cfvo type="percentile" val="50"/>
        <cfvo type="max"/>
        <color rgb="FF5A8AC6"/>
        <color rgb="FFFCFCFF"/>
        <color rgb="FFF8696B"/>
      </colorScale>
    </cfRule>
  </conditionalFormatting>
  <conditionalFormatting sqref="B748:B994">
    <cfRule type="colorScale" priority="299">
      <colorScale>
        <cfvo type="min"/>
        <cfvo type="percentile" val="50"/>
        <cfvo type="max"/>
        <color rgb="FF5A8AC6"/>
        <color rgb="FFFCFCFF"/>
        <color rgb="FFF8696B"/>
      </colorScale>
    </cfRule>
  </conditionalFormatting>
  <conditionalFormatting sqref="B767:B785">
    <cfRule type="colorScale" priority="387">
      <colorScale>
        <cfvo type="min"/>
        <cfvo type="percentile" val="50"/>
        <cfvo type="max"/>
        <color rgb="FF5A8AC6"/>
        <color rgb="FFFCFCFF"/>
        <color rgb="FFF8696B"/>
      </colorScale>
    </cfRule>
    <cfRule type="colorScale" priority="384">
      <colorScale>
        <cfvo type="min"/>
        <cfvo type="percentile" val="50"/>
        <cfvo type="max"/>
        <color rgb="FF5A8AC6"/>
        <color rgb="FFFCFCFF"/>
        <color rgb="FFF8696B"/>
      </colorScale>
    </cfRule>
  </conditionalFormatting>
  <conditionalFormatting sqref="B786:B804">
    <cfRule type="colorScale" priority="380">
      <colorScale>
        <cfvo type="min"/>
        <cfvo type="percentile" val="50"/>
        <cfvo type="max"/>
        <color rgb="FF5A8AC6"/>
        <color rgb="FFFCFCFF"/>
        <color rgb="FFF8696B"/>
      </colorScale>
    </cfRule>
    <cfRule type="colorScale" priority="377">
      <colorScale>
        <cfvo type="min"/>
        <cfvo type="percentile" val="50"/>
        <cfvo type="max"/>
        <color rgb="FF5A8AC6"/>
        <color rgb="FFFCFCFF"/>
        <color rgb="FFF8696B"/>
      </colorScale>
    </cfRule>
  </conditionalFormatting>
  <conditionalFormatting sqref="B805:B823">
    <cfRule type="colorScale" priority="370">
      <colorScale>
        <cfvo type="min"/>
        <cfvo type="percentile" val="50"/>
        <cfvo type="max"/>
        <color rgb="FF5A8AC6"/>
        <color rgb="FFFCFCFF"/>
        <color rgb="FFF8696B"/>
      </colorScale>
    </cfRule>
    <cfRule type="colorScale" priority="373">
      <colorScale>
        <cfvo type="min"/>
        <cfvo type="percentile" val="50"/>
        <cfvo type="max"/>
        <color rgb="FF5A8AC6"/>
        <color rgb="FFFCFCFF"/>
        <color rgb="FFF8696B"/>
      </colorScale>
    </cfRule>
  </conditionalFormatting>
  <conditionalFormatting sqref="B824:B842">
    <cfRule type="colorScale" priority="363">
      <colorScale>
        <cfvo type="min"/>
        <cfvo type="percentile" val="50"/>
        <cfvo type="max"/>
        <color rgb="FF5A8AC6"/>
        <color rgb="FFFCFCFF"/>
        <color rgb="FFF8696B"/>
      </colorScale>
    </cfRule>
    <cfRule type="colorScale" priority="366">
      <colorScale>
        <cfvo type="min"/>
        <cfvo type="percentile" val="50"/>
        <cfvo type="max"/>
        <color rgb="FF5A8AC6"/>
        <color rgb="FFFCFCFF"/>
        <color rgb="FFF8696B"/>
      </colorScale>
    </cfRule>
  </conditionalFormatting>
  <conditionalFormatting sqref="B843:B861">
    <cfRule type="colorScale" priority="359">
      <colorScale>
        <cfvo type="min"/>
        <cfvo type="percentile" val="50"/>
        <cfvo type="max"/>
        <color rgb="FF5A8AC6"/>
        <color rgb="FFFCFCFF"/>
        <color rgb="FFF8696B"/>
      </colorScale>
    </cfRule>
    <cfRule type="colorScale" priority="356">
      <colorScale>
        <cfvo type="min"/>
        <cfvo type="percentile" val="50"/>
        <cfvo type="max"/>
        <color rgb="FF5A8AC6"/>
        <color rgb="FFFCFCFF"/>
        <color rgb="FFF8696B"/>
      </colorScale>
    </cfRule>
  </conditionalFormatting>
  <conditionalFormatting sqref="B862:B880">
    <cfRule type="colorScale" priority="349">
      <colorScale>
        <cfvo type="min"/>
        <cfvo type="percentile" val="50"/>
        <cfvo type="max"/>
        <color rgb="FF5A8AC6"/>
        <color rgb="FFFCFCFF"/>
        <color rgb="FFF8696B"/>
      </colorScale>
    </cfRule>
    <cfRule type="colorScale" priority="352">
      <colorScale>
        <cfvo type="min"/>
        <cfvo type="percentile" val="50"/>
        <cfvo type="max"/>
        <color rgb="FF5A8AC6"/>
        <color rgb="FFFCFCFF"/>
        <color rgb="FFF8696B"/>
      </colorScale>
    </cfRule>
  </conditionalFormatting>
  <conditionalFormatting sqref="B881:B899">
    <cfRule type="colorScale" priority="342">
      <colorScale>
        <cfvo type="min"/>
        <cfvo type="percentile" val="50"/>
        <cfvo type="max"/>
        <color rgb="FF5A8AC6"/>
        <color rgb="FFFCFCFF"/>
        <color rgb="FFF8696B"/>
      </colorScale>
    </cfRule>
    <cfRule type="colorScale" priority="345">
      <colorScale>
        <cfvo type="min"/>
        <cfvo type="percentile" val="50"/>
        <cfvo type="max"/>
        <color rgb="FF5A8AC6"/>
        <color rgb="FFFCFCFF"/>
        <color rgb="FFF8696B"/>
      </colorScale>
    </cfRule>
  </conditionalFormatting>
  <conditionalFormatting sqref="B900:B918">
    <cfRule type="colorScale" priority="338">
      <colorScale>
        <cfvo type="min"/>
        <cfvo type="percentile" val="50"/>
        <cfvo type="max"/>
        <color rgb="FF5A8AC6"/>
        <color rgb="FFFCFCFF"/>
        <color rgb="FFF8696B"/>
      </colorScale>
    </cfRule>
    <cfRule type="colorScale" priority="335">
      <colorScale>
        <cfvo type="min"/>
        <cfvo type="percentile" val="50"/>
        <cfvo type="max"/>
        <color rgb="FF5A8AC6"/>
        <color rgb="FFFCFCFF"/>
        <color rgb="FFF8696B"/>
      </colorScale>
    </cfRule>
  </conditionalFormatting>
  <conditionalFormatting sqref="B919:B937">
    <cfRule type="colorScale" priority="328">
      <colorScale>
        <cfvo type="min"/>
        <cfvo type="percentile" val="50"/>
        <cfvo type="max"/>
        <color rgb="FF5A8AC6"/>
        <color rgb="FFFCFCFF"/>
        <color rgb="FFF8696B"/>
      </colorScale>
    </cfRule>
    <cfRule type="colorScale" priority="331">
      <colorScale>
        <cfvo type="min"/>
        <cfvo type="percentile" val="50"/>
        <cfvo type="max"/>
        <color rgb="FF5A8AC6"/>
        <color rgb="FFFCFCFF"/>
        <color rgb="FFF8696B"/>
      </colorScale>
    </cfRule>
  </conditionalFormatting>
  <conditionalFormatting sqref="B938:B956">
    <cfRule type="colorScale" priority="324">
      <colorScale>
        <cfvo type="min"/>
        <cfvo type="percentile" val="50"/>
        <cfvo type="max"/>
        <color rgb="FF5A8AC6"/>
        <color rgb="FFFCFCFF"/>
        <color rgb="FFF8696B"/>
      </colorScale>
    </cfRule>
    <cfRule type="colorScale" priority="321">
      <colorScale>
        <cfvo type="min"/>
        <cfvo type="percentile" val="50"/>
        <cfvo type="max"/>
        <color rgb="FF5A8AC6"/>
        <color rgb="FFFCFCFF"/>
        <color rgb="FFF8696B"/>
      </colorScale>
    </cfRule>
  </conditionalFormatting>
  <conditionalFormatting sqref="B957:B975">
    <cfRule type="colorScale" priority="317">
      <colorScale>
        <cfvo type="min"/>
        <cfvo type="percentile" val="50"/>
        <cfvo type="max"/>
        <color rgb="FF5A8AC6"/>
        <color rgb="FFFCFCFF"/>
        <color rgb="FFF8696B"/>
      </colorScale>
    </cfRule>
    <cfRule type="colorScale" priority="314">
      <colorScale>
        <cfvo type="min"/>
        <cfvo type="percentile" val="50"/>
        <cfvo type="max"/>
        <color rgb="FF5A8AC6"/>
        <color rgb="FFFCFCFF"/>
        <color rgb="FFF8696B"/>
      </colorScale>
    </cfRule>
  </conditionalFormatting>
  <conditionalFormatting sqref="B976:B994">
    <cfRule type="colorScale" priority="307">
      <colorScale>
        <cfvo type="min"/>
        <cfvo type="percentile" val="50"/>
        <cfvo type="max"/>
        <color rgb="FF5A8AC6"/>
        <color rgb="FFFCFCFF"/>
        <color rgb="FFF8696B"/>
      </colorScale>
    </cfRule>
    <cfRule type="colorScale" priority="310">
      <colorScale>
        <cfvo type="min"/>
        <cfvo type="percentile" val="50"/>
        <cfvo type="max"/>
        <color rgb="FF5A8AC6"/>
        <color rgb="FFFCFCFF"/>
        <color rgb="FFF8696B"/>
      </colorScale>
    </cfRule>
  </conditionalFormatting>
  <conditionalFormatting sqref="B996:B1014">
    <cfRule type="colorScale" priority="294">
      <colorScale>
        <cfvo type="min"/>
        <cfvo type="percentile" val="50"/>
        <cfvo type="max"/>
        <color rgb="FF5A8AC6"/>
        <color rgb="FFFCFCFF"/>
        <color rgb="FFF8696B"/>
      </colorScale>
    </cfRule>
    <cfRule type="colorScale" priority="297">
      <colorScale>
        <cfvo type="min"/>
        <cfvo type="percentile" val="50"/>
        <cfvo type="max"/>
        <color rgb="FF5A8AC6"/>
        <color rgb="FFFCFCFF"/>
        <color rgb="FFF8696B"/>
      </colorScale>
    </cfRule>
  </conditionalFormatting>
  <conditionalFormatting sqref="B996:B1242">
    <cfRule type="colorScale" priority="200">
      <colorScale>
        <cfvo type="min"/>
        <cfvo type="percentile" val="50"/>
        <cfvo type="max"/>
        <color rgb="FF5A8AC6"/>
        <color rgb="FFFCFCFF"/>
        <color rgb="FFF8696B"/>
      </colorScale>
    </cfRule>
  </conditionalFormatting>
  <conditionalFormatting sqref="B1015:B1033">
    <cfRule type="colorScale" priority="288">
      <colorScale>
        <cfvo type="min"/>
        <cfvo type="percentile" val="50"/>
        <cfvo type="max"/>
        <color rgb="FF5A8AC6"/>
        <color rgb="FFFCFCFF"/>
        <color rgb="FFF8696B"/>
      </colorScale>
    </cfRule>
    <cfRule type="colorScale" priority="285">
      <colorScale>
        <cfvo type="min"/>
        <cfvo type="percentile" val="50"/>
        <cfvo type="max"/>
        <color rgb="FF5A8AC6"/>
        <color rgb="FFFCFCFF"/>
        <color rgb="FFF8696B"/>
      </colorScale>
    </cfRule>
  </conditionalFormatting>
  <conditionalFormatting sqref="B1034:B1052">
    <cfRule type="colorScale" priority="278">
      <colorScale>
        <cfvo type="min"/>
        <cfvo type="percentile" val="50"/>
        <cfvo type="max"/>
        <color rgb="FF5A8AC6"/>
        <color rgb="FFFCFCFF"/>
        <color rgb="FFF8696B"/>
      </colorScale>
    </cfRule>
    <cfRule type="colorScale" priority="281">
      <colorScale>
        <cfvo type="min"/>
        <cfvo type="percentile" val="50"/>
        <cfvo type="max"/>
        <color rgb="FF5A8AC6"/>
        <color rgb="FFFCFCFF"/>
        <color rgb="FFF8696B"/>
      </colorScale>
    </cfRule>
  </conditionalFormatting>
  <conditionalFormatting sqref="B1053:B1071">
    <cfRule type="colorScale" priority="271">
      <colorScale>
        <cfvo type="min"/>
        <cfvo type="percentile" val="50"/>
        <cfvo type="max"/>
        <color rgb="FF5A8AC6"/>
        <color rgb="FFFCFCFF"/>
        <color rgb="FFF8696B"/>
      </colorScale>
    </cfRule>
    <cfRule type="colorScale" priority="274">
      <colorScale>
        <cfvo type="min"/>
        <cfvo type="percentile" val="50"/>
        <cfvo type="max"/>
        <color rgb="FF5A8AC6"/>
        <color rgb="FFFCFCFF"/>
        <color rgb="FFF8696B"/>
      </colorScale>
    </cfRule>
  </conditionalFormatting>
  <conditionalFormatting sqref="B1072:B1090">
    <cfRule type="colorScale" priority="267">
      <colorScale>
        <cfvo type="min"/>
        <cfvo type="percentile" val="50"/>
        <cfvo type="max"/>
        <color rgb="FF5A8AC6"/>
        <color rgb="FFFCFCFF"/>
        <color rgb="FFF8696B"/>
      </colorScale>
    </cfRule>
    <cfRule type="colorScale" priority="264">
      <colorScale>
        <cfvo type="min"/>
        <cfvo type="percentile" val="50"/>
        <cfvo type="max"/>
        <color rgb="FF5A8AC6"/>
        <color rgb="FFFCFCFF"/>
        <color rgb="FFF8696B"/>
      </colorScale>
    </cfRule>
  </conditionalFormatting>
  <conditionalFormatting sqref="B1091:B1109">
    <cfRule type="colorScale" priority="257">
      <colorScale>
        <cfvo type="min"/>
        <cfvo type="percentile" val="50"/>
        <cfvo type="max"/>
        <color rgb="FF5A8AC6"/>
        <color rgb="FFFCFCFF"/>
        <color rgb="FFF8696B"/>
      </colorScale>
    </cfRule>
    <cfRule type="colorScale" priority="260">
      <colorScale>
        <cfvo type="min"/>
        <cfvo type="percentile" val="50"/>
        <cfvo type="max"/>
        <color rgb="FF5A8AC6"/>
        <color rgb="FFFCFCFF"/>
        <color rgb="FFF8696B"/>
      </colorScale>
    </cfRule>
  </conditionalFormatting>
  <conditionalFormatting sqref="B1110:B1128">
    <cfRule type="colorScale" priority="250">
      <colorScale>
        <cfvo type="min"/>
        <cfvo type="percentile" val="50"/>
        <cfvo type="max"/>
        <color rgb="FF5A8AC6"/>
        <color rgb="FFFCFCFF"/>
        <color rgb="FFF8696B"/>
      </colorScale>
    </cfRule>
    <cfRule type="colorScale" priority="253">
      <colorScale>
        <cfvo type="min"/>
        <cfvo type="percentile" val="50"/>
        <cfvo type="max"/>
        <color rgb="FF5A8AC6"/>
        <color rgb="FFFCFCFF"/>
        <color rgb="FFF8696B"/>
      </colorScale>
    </cfRule>
  </conditionalFormatting>
  <conditionalFormatting sqref="B1129:B1147">
    <cfRule type="colorScale" priority="246">
      <colorScale>
        <cfvo type="min"/>
        <cfvo type="percentile" val="50"/>
        <cfvo type="max"/>
        <color rgb="FF5A8AC6"/>
        <color rgb="FFFCFCFF"/>
        <color rgb="FFF8696B"/>
      </colorScale>
    </cfRule>
    <cfRule type="colorScale" priority="243">
      <colorScale>
        <cfvo type="min"/>
        <cfvo type="percentile" val="50"/>
        <cfvo type="max"/>
        <color rgb="FF5A8AC6"/>
        <color rgb="FFFCFCFF"/>
        <color rgb="FFF8696B"/>
      </colorScale>
    </cfRule>
  </conditionalFormatting>
  <conditionalFormatting sqref="B1148:B1166">
    <cfRule type="colorScale" priority="239">
      <colorScale>
        <cfvo type="min"/>
        <cfvo type="percentile" val="50"/>
        <cfvo type="max"/>
        <color rgb="FF5A8AC6"/>
        <color rgb="FFFCFCFF"/>
        <color rgb="FFF8696B"/>
      </colorScale>
    </cfRule>
    <cfRule type="colorScale" priority="236">
      <colorScale>
        <cfvo type="min"/>
        <cfvo type="percentile" val="50"/>
        <cfvo type="max"/>
        <color rgb="FF5A8AC6"/>
        <color rgb="FFFCFCFF"/>
        <color rgb="FFF8696B"/>
      </colorScale>
    </cfRule>
  </conditionalFormatting>
  <conditionalFormatting sqref="B1167:B1185">
    <cfRule type="colorScale" priority="229">
      <colorScale>
        <cfvo type="min"/>
        <cfvo type="percentile" val="50"/>
        <cfvo type="max"/>
        <color rgb="FF5A8AC6"/>
        <color rgb="FFFCFCFF"/>
        <color rgb="FFF8696B"/>
      </colorScale>
    </cfRule>
    <cfRule type="colorScale" priority="232">
      <colorScale>
        <cfvo type="min"/>
        <cfvo type="percentile" val="50"/>
        <cfvo type="max"/>
        <color rgb="FF5A8AC6"/>
        <color rgb="FFFCFCFF"/>
        <color rgb="FFF8696B"/>
      </colorScale>
    </cfRule>
  </conditionalFormatting>
  <conditionalFormatting sqref="B1186:B1204">
    <cfRule type="colorScale" priority="225">
      <colorScale>
        <cfvo type="min"/>
        <cfvo type="percentile" val="50"/>
        <cfvo type="max"/>
        <color rgb="FF5A8AC6"/>
        <color rgb="FFFCFCFF"/>
        <color rgb="FFF8696B"/>
      </colorScale>
    </cfRule>
    <cfRule type="colorScale" priority="222">
      <colorScale>
        <cfvo type="min"/>
        <cfvo type="percentile" val="50"/>
        <cfvo type="max"/>
        <color rgb="FF5A8AC6"/>
        <color rgb="FFFCFCFF"/>
        <color rgb="FFF8696B"/>
      </colorScale>
    </cfRule>
  </conditionalFormatting>
  <conditionalFormatting sqref="B1205:B1223">
    <cfRule type="colorScale" priority="215">
      <colorScale>
        <cfvo type="min"/>
        <cfvo type="percentile" val="50"/>
        <cfvo type="max"/>
        <color rgb="FF5A8AC6"/>
        <color rgb="FFFCFCFF"/>
        <color rgb="FFF8696B"/>
      </colorScale>
    </cfRule>
    <cfRule type="colorScale" priority="218">
      <colorScale>
        <cfvo type="min"/>
        <cfvo type="percentile" val="50"/>
        <cfvo type="max"/>
        <color rgb="FF5A8AC6"/>
        <color rgb="FFFCFCFF"/>
        <color rgb="FFF8696B"/>
      </colorScale>
    </cfRule>
  </conditionalFormatting>
  <conditionalFormatting sqref="B1224:B1242">
    <cfRule type="colorScale" priority="211">
      <colorScale>
        <cfvo type="min"/>
        <cfvo type="percentile" val="50"/>
        <cfvo type="max"/>
        <color rgb="FF5A8AC6"/>
        <color rgb="FFFCFCFF"/>
        <color rgb="FFF8696B"/>
      </colorScale>
    </cfRule>
    <cfRule type="colorScale" priority="208">
      <colorScale>
        <cfvo type="min"/>
        <cfvo type="percentile" val="50"/>
        <cfvo type="max"/>
        <color rgb="FF5A8AC6"/>
        <color rgb="FFFCFCFF"/>
        <color rgb="FFF8696B"/>
      </colorScale>
    </cfRule>
  </conditionalFormatting>
  <conditionalFormatting sqref="B1244:B1262">
    <cfRule type="colorScale" priority="195">
      <colorScale>
        <cfvo type="min"/>
        <cfvo type="percentile" val="50"/>
        <cfvo type="max"/>
        <color rgb="FF5A8AC6"/>
        <color rgb="FFFCFCFF"/>
        <color rgb="FFF8696B"/>
      </colorScale>
    </cfRule>
    <cfRule type="colorScale" priority="198">
      <colorScale>
        <cfvo type="min"/>
        <cfvo type="percentile" val="50"/>
        <cfvo type="max"/>
        <color rgb="FF5A8AC6"/>
        <color rgb="FFFCFCFF"/>
        <color rgb="FFF8696B"/>
      </colorScale>
    </cfRule>
  </conditionalFormatting>
  <conditionalFormatting sqref="B1244:B1490">
    <cfRule type="colorScale" priority="101">
      <colorScale>
        <cfvo type="min"/>
        <cfvo type="percentile" val="50"/>
        <cfvo type="max"/>
        <color rgb="FF5A8AC6"/>
        <color rgb="FFFCFCFF"/>
        <color rgb="FFF8696B"/>
      </colorScale>
    </cfRule>
  </conditionalFormatting>
  <conditionalFormatting sqref="B1263:B1281">
    <cfRule type="colorScale" priority="186">
      <colorScale>
        <cfvo type="min"/>
        <cfvo type="percentile" val="50"/>
        <cfvo type="max"/>
        <color rgb="FF5A8AC6"/>
        <color rgb="FFFCFCFF"/>
        <color rgb="FFF8696B"/>
      </colorScale>
    </cfRule>
    <cfRule type="colorScale" priority="189">
      <colorScale>
        <cfvo type="min"/>
        <cfvo type="percentile" val="50"/>
        <cfvo type="max"/>
        <color rgb="FF5A8AC6"/>
        <color rgb="FFFCFCFF"/>
        <color rgb="FFF8696B"/>
      </colorScale>
    </cfRule>
  </conditionalFormatting>
  <conditionalFormatting sqref="B1282:B1300">
    <cfRule type="colorScale" priority="182">
      <colorScale>
        <cfvo type="min"/>
        <cfvo type="percentile" val="50"/>
        <cfvo type="max"/>
        <color rgb="FF5A8AC6"/>
        <color rgb="FFFCFCFF"/>
        <color rgb="FFF8696B"/>
      </colorScale>
    </cfRule>
    <cfRule type="colorScale" priority="179">
      <colorScale>
        <cfvo type="min"/>
        <cfvo type="percentile" val="50"/>
        <cfvo type="max"/>
        <color rgb="FF5A8AC6"/>
        <color rgb="FFFCFCFF"/>
        <color rgb="FFF8696B"/>
      </colorScale>
    </cfRule>
  </conditionalFormatting>
  <conditionalFormatting sqref="B1301:B1319">
    <cfRule type="colorScale" priority="172">
      <colorScale>
        <cfvo type="min"/>
        <cfvo type="percentile" val="50"/>
        <cfvo type="max"/>
        <color rgb="FF5A8AC6"/>
        <color rgb="FFFCFCFF"/>
        <color rgb="FFF8696B"/>
      </colorScale>
    </cfRule>
    <cfRule type="colorScale" priority="175">
      <colorScale>
        <cfvo type="min"/>
        <cfvo type="percentile" val="50"/>
        <cfvo type="max"/>
        <color rgb="FF5A8AC6"/>
        <color rgb="FFFCFCFF"/>
        <color rgb="FFF8696B"/>
      </colorScale>
    </cfRule>
  </conditionalFormatting>
  <conditionalFormatting sqref="B1320:B1338">
    <cfRule type="colorScale" priority="168">
      <colorScale>
        <cfvo type="min"/>
        <cfvo type="percentile" val="50"/>
        <cfvo type="max"/>
        <color rgb="FF5A8AC6"/>
        <color rgb="FFFCFCFF"/>
        <color rgb="FFF8696B"/>
      </colorScale>
    </cfRule>
    <cfRule type="colorScale" priority="165">
      <colorScale>
        <cfvo type="min"/>
        <cfvo type="percentile" val="50"/>
        <cfvo type="max"/>
        <color rgb="FF5A8AC6"/>
        <color rgb="FFFCFCFF"/>
        <color rgb="FFF8696B"/>
      </colorScale>
    </cfRule>
  </conditionalFormatting>
  <conditionalFormatting sqref="B1339:B1357">
    <cfRule type="colorScale" priority="158">
      <colorScale>
        <cfvo type="min"/>
        <cfvo type="percentile" val="50"/>
        <cfvo type="max"/>
        <color rgb="FF5A8AC6"/>
        <color rgb="FFFCFCFF"/>
        <color rgb="FFF8696B"/>
      </colorScale>
    </cfRule>
    <cfRule type="colorScale" priority="161">
      <colorScale>
        <cfvo type="min"/>
        <cfvo type="percentile" val="50"/>
        <cfvo type="max"/>
        <color rgb="FF5A8AC6"/>
        <color rgb="FFFCFCFF"/>
        <color rgb="FFF8696B"/>
      </colorScale>
    </cfRule>
  </conditionalFormatting>
  <conditionalFormatting sqref="B1358:B1376">
    <cfRule type="colorScale" priority="151">
      <colorScale>
        <cfvo type="min"/>
        <cfvo type="percentile" val="50"/>
        <cfvo type="max"/>
        <color rgb="FF5A8AC6"/>
        <color rgb="FFFCFCFF"/>
        <color rgb="FFF8696B"/>
      </colorScale>
    </cfRule>
    <cfRule type="colorScale" priority="154">
      <colorScale>
        <cfvo type="min"/>
        <cfvo type="percentile" val="50"/>
        <cfvo type="max"/>
        <color rgb="FF5A8AC6"/>
        <color rgb="FFFCFCFF"/>
        <color rgb="FFF8696B"/>
      </colorScale>
    </cfRule>
  </conditionalFormatting>
  <conditionalFormatting sqref="B1377:B1395">
    <cfRule type="colorScale" priority="147">
      <colorScale>
        <cfvo type="min"/>
        <cfvo type="percentile" val="50"/>
        <cfvo type="max"/>
        <color rgb="FF5A8AC6"/>
        <color rgb="FFFCFCFF"/>
        <color rgb="FFF8696B"/>
      </colorScale>
    </cfRule>
    <cfRule type="colorScale" priority="144">
      <colorScale>
        <cfvo type="min"/>
        <cfvo type="percentile" val="50"/>
        <cfvo type="max"/>
        <color rgb="FF5A8AC6"/>
        <color rgb="FFFCFCFF"/>
        <color rgb="FFF8696B"/>
      </colorScale>
    </cfRule>
  </conditionalFormatting>
  <conditionalFormatting sqref="B1396:B1414">
    <cfRule type="colorScale" priority="137">
      <colorScale>
        <cfvo type="min"/>
        <cfvo type="percentile" val="50"/>
        <cfvo type="max"/>
        <color rgb="FF5A8AC6"/>
        <color rgb="FFFCFCFF"/>
        <color rgb="FFF8696B"/>
      </colorScale>
    </cfRule>
    <cfRule type="colorScale" priority="140">
      <colorScale>
        <cfvo type="min"/>
        <cfvo type="percentile" val="50"/>
        <cfvo type="max"/>
        <color rgb="FF5A8AC6"/>
        <color rgb="FFFCFCFF"/>
        <color rgb="FFF8696B"/>
      </colorScale>
    </cfRule>
  </conditionalFormatting>
  <conditionalFormatting sqref="B1415:B1433">
    <cfRule type="colorScale" priority="130">
      <colorScale>
        <cfvo type="min"/>
        <cfvo type="percentile" val="50"/>
        <cfvo type="max"/>
        <color rgb="FF5A8AC6"/>
        <color rgb="FFFCFCFF"/>
        <color rgb="FFF8696B"/>
      </colorScale>
    </cfRule>
    <cfRule type="colorScale" priority="133">
      <colorScale>
        <cfvo type="min"/>
        <cfvo type="percentile" val="50"/>
        <cfvo type="max"/>
        <color rgb="FF5A8AC6"/>
        <color rgb="FFFCFCFF"/>
        <color rgb="FFF8696B"/>
      </colorScale>
    </cfRule>
  </conditionalFormatting>
  <conditionalFormatting sqref="B1434:B1452">
    <cfRule type="colorScale" priority="126">
      <colorScale>
        <cfvo type="min"/>
        <cfvo type="percentile" val="50"/>
        <cfvo type="max"/>
        <color rgb="FF5A8AC6"/>
        <color rgb="FFFCFCFF"/>
        <color rgb="FFF8696B"/>
      </colorScale>
    </cfRule>
    <cfRule type="colorScale" priority="123">
      <colorScale>
        <cfvo type="min"/>
        <cfvo type="percentile" val="50"/>
        <cfvo type="max"/>
        <color rgb="FF5A8AC6"/>
        <color rgb="FFFCFCFF"/>
        <color rgb="FFF8696B"/>
      </colorScale>
    </cfRule>
  </conditionalFormatting>
  <conditionalFormatting sqref="B1453:B1471">
    <cfRule type="colorScale" priority="116">
      <colorScale>
        <cfvo type="min"/>
        <cfvo type="percentile" val="50"/>
        <cfvo type="max"/>
        <color rgb="FF5A8AC6"/>
        <color rgb="FFFCFCFF"/>
        <color rgb="FFF8696B"/>
      </colorScale>
    </cfRule>
    <cfRule type="colorScale" priority="119">
      <colorScale>
        <cfvo type="min"/>
        <cfvo type="percentile" val="50"/>
        <cfvo type="max"/>
        <color rgb="FF5A8AC6"/>
        <color rgb="FFFCFCFF"/>
        <color rgb="FFF8696B"/>
      </colorScale>
    </cfRule>
  </conditionalFormatting>
  <conditionalFormatting sqref="B1472:B1490">
    <cfRule type="colorScale" priority="109">
      <colorScale>
        <cfvo type="min"/>
        <cfvo type="percentile" val="50"/>
        <cfvo type="max"/>
        <color rgb="FF5A8AC6"/>
        <color rgb="FFFCFCFF"/>
        <color rgb="FFF8696B"/>
      </colorScale>
    </cfRule>
    <cfRule type="colorScale" priority="112">
      <colorScale>
        <cfvo type="min"/>
        <cfvo type="percentile" val="50"/>
        <cfvo type="max"/>
        <color rgb="FF5A8AC6"/>
        <color rgb="FFFCFCFF"/>
        <color rgb="FFF8696B"/>
      </colorScale>
    </cfRule>
  </conditionalFormatting>
  <conditionalFormatting sqref="B1492:B1510">
    <cfRule type="colorScale" priority="96">
      <colorScale>
        <cfvo type="min"/>
        <cfvo type="percentile" val="50"/>
        <cfvo type="max"/>
        <color rgb="FF5A8AC6"/>
        <color rgb="FFFCFCFF"/>
        <color rgb="FFF8696B"/>
      </colorScale>
    </cfRule>
    <cfRule type="colorScale" priority="99">
      <colorScale>
        <cfvo type="min"/>
        <cfvo type="percentile" val="50"/>
        <cfvo type="max"/>
        <color rgb="FF5A8AC6"/>
        <color rgb="FFFCFCFF"/>
        <color rgb="FFF8696B"/>
      </colorScale>
    </cfRule>
  </conditionalFormatting>
  <conditionalFormatting sqref="B1492:B1738">
    <cfRule type="colorScale" priority="2">
      <colorScale>
        <cfvo type="min"/>
        <cfvo type="percentile" val="50"/>
        <cfvo type="max"/>
        <color rgb="FF5A8AC6"/>
        <color rgb="FFFCFCFF"/>
        <color rgb="FFF8696B"/>
      </colorScale>
    </cfRule>
  </conditionalFormatting>
  <conditionalFormatting sqref="B1511:B1529">
    <cfRule type="colorScale" priority="90">
      <colorScale>
        <cfvo type="min"/>
        <cfvo type="percentile" val="50"/>
        <cfvo type="max"/>
        <color rgb="FF5A8AC6"/>
        <color rgb="FFFCFCFF"/>
        <color rgb="FFF8696B"/>
      </colorScale>
    </cfRule>
    <cfRule type="colorScale" priority="87">
      <colorScale>
        <cfvo type="min"/>
        <cfvo type="percentile" val="50"/>
        <cfvo type="max"/>
        <color rgb="FF5A8AC6"/>
        <color rgb="FFFCFCFF"/>
        <color rgb="FFF8696B"/>
      </colorScale>
    </cfRule>
  </conditionalFormatting>
  <conditionalFormatting sqref="B1530:B1548">
    <cfRule type="colorScale" priority="80">
      <colorScale>
        <cfvo type="min"/>
        <cfvo type="percentile" val="50"/>
        <cfvo type="max"/>
        <color rgb="FF5A8AC6"/>
        <color rgb="FFFCFCFF"/>
        <color rgb="FFF8696B"/>
      </colorScale>
    </cfRule>
    <cfRule type="colorScale" priority="83">
      <colorScale>
        <cfvo type="min"/>
        <cfvo type="percentile" val="50"/>
        <cfvo type="max"/>
        <color rgb="FF5A8AC6"/>
        <color rgb="FFFCFCFF"/>
        <color rgb="FFF8696B"/>
      </colorScale>
    </cfRule>
  </conditionalFormatting>
  <conditionalFormatting sqref="B1549:B1567">
    <cfRule type="colorScale" priority="73">
      <colorScale>
        <cfvo type="min"/>
        <cfvo type="percentile" val="50"/>
        <cfvo type="max"/>
        <color rgb="FF5A8AC6"/>
        <color rgb="FFFCFCFF"/>
        <color rgb="FFF8696B"/>
      </colorScale>
    </cfRule>
    <cfRule type="colorScale" priority="76">
      <colorScale>
        <cfvo type="min"/>
        <cfvo type="percentile" val="50"/>
        <cfvo type="max"/>
        <color rgb="FF5A8AC6"/>
        <color rgb="FFFCFCFF"/>
        <color rgb="FFF8696B"/>
      </colorScale>
    </cfRule>
  </conditionalFormatting>
  <conditionalFormatting sqref="B1568:B1586">
    <cfRule type="colorScale" priority="69">
      <colorScale>
        <cfvo type="min"/>
        <cfvo type="percentile" val="50"/>
        <cfvo type="max"/>
        <color rgb="FF5A8AC6"/>
        <color rgb="FFFCFCFF"/>
        <color rgb="FFF8696B"/>
      </colorScale>
    </cfRule>
    <cfRule type="colorScale" priority="66">
      <colorScale>
        <cfvo type="min"/>
        <cfvo type="percentile" val="50"/>
        <cfvo type="max"/>
        <color rgb="FF5A8AC6"/>
        <color rgb="FFFCFCFF"/>
        <color rgb="FFF8696B"/>
      </colorScale>
    </cfRule>
  </conditionalFormatting>
  <conditionalFormatting sqref="B1587:B1605">
    <cfRule type="colorScale" priority="59">
      <colorScale>
        <cfvo type="min"/>
        <cfvo type="percentile" val="50"/>
        <cfvo type="max"/>
        <color rgb="FF5A8AC6"/>
        <color rgb="FFFCFCFF"/>
        <color rgb="FFF8696B"/>
      </colorScale>
    </cfRule>
    <cfRule type="colorScale" priority="62">
      <colorScale>
        <cfvo type="min"/>
        <cfvo type="percentile" val="50"/>
        <cfvo type="max"/>
        <color rgb="FF5A8AC6"/>
        <color rgb="FFFCFCFF"/>
        <color rgb="FFF8696B"/>
      </colorScale>
    </cfRule>
  </conditionalFormatting>
  <conditionalFormatting sqref="B1606:B1624">
    <cfRule type="colorScale" priority="52">
      <colorScale>
        <cfvo type="min"/>
        <cfvo type="percentile" val="50"/>
        <cfvo type="max"/>
        <color rgb="FF5A8AC6"/>
        <color rgb="FFFCFCFF"/>
        <color rgb="FFF8696B"/>
      </colorScale>
    </cfRule>
    <cfRule type="colorScale" priority="55">
      <colorScale>
        <cfvo type="min"/>
        <cfvo type="percentile" val="50"/>
        <cfvo type="max"/>
        <color rgb="FF5A8AC6"/>
        <color rgb="FFFCFCFF"/>
        <color rgb="FFF8696B"/>
      </colorScale>
    </cfRule>
  </conditionalFormatting>
  <conditionalFormatting sqref="B1625:B1643">
    <cfRule type="colorScale" priority="48">
      <colorScale>
        <cfvo type="min"/>
        <cfvo type="percentile" val="50"/>
        <cfvo type="max"/>
        <color rgb="FF5A8AC6"/>
        <color rgb="FFFCFCFF"/>
        <color rgb="FFF8696B"/>
      </colorScale>
    </cfRule>
    <cfRule type="colorScale" priority="45">
      <colorScale>
        <cfvo type="min"/>
        <cfvo type="percentile" val="50"/>
        <cfvo type="max"/>
        <color rgb="FF5A8AC6"/>
        <color rgb="FFFCFCFF"/>
        <color rgb="FFF8696B"/>
      </colorScale>
    </cfRule>
  </conditionalFormatting>
  <conditionalFormatting sqref="B1644:B1662">
    <cfRule type="colorScale" priority="41">
      <colorScale>
        <cfvo type="min"/>
        <cfvo type="percentile" val="50"/>
        <cfvo type="max"/>
        <color rgb="FF5A8AC6"/>
        <color rgb="FFFCFCFF"/>
        <color rgb="FFF8696B"/>
      </colorScale>
    </cfRule>
    <cfRule type="colorScale" priority="38">
      <colorScale>
        <cfvo type="min"/>
        <cfvo type="percentile" val="50"/>
        <cfvo type="max"/>
        <color rgb="FF5A8AC6"/>
        <color rgb="FFFCFCFF"/>
        <color rgb="FFF8696B"/>
      </colorScale>
    </cfRule>
  </conditionalFormatting>
  <conditionalFormatting sqref="B1663:B1681">
    <cfRule type="colorScale" priority="31">
      <colorScale>
        <cfvo type="min"/>
        <cfvo type="percentile" val="50"/>
        <cfvo type="max"/>
        <color rgb="FF5A8AC6"/>
        <color rgb="FFFCFCFF"/>
        <color rgb="FFF8696B"/>
      </colorScale>
    </cfRule>
    <cfRule type="colorScale" priority="34">
      <colorScale>
        <cfvo type="min"/>
        <cfvo type="percentile" val="50"/>
        <cfvo type="max"/>
        <color rgb="FF5A8AC6"/>
        <color rgb="FFFCFCFF"/>
        <color rgb="FFF8696B"/>
      </colorScale>
    </cfRule>
  </conditionalFormatting>
  <conditionalFormatting sqref="B1682:B1700">
    <cfRule type="colorScale" priority="27">
      <colorScale>
        <cfvo type="min"/>
        <cfvo type="percentile" val="50"/>
        <cfvo type="max"/>
        <color rgb="FF5A8AC6"/>
        <color rgb="FFFCFCFF"/>
        <color rgb="FFF8696B"/>
      </colorScale>
    </cfRule>
    <cfRule type="colorScale" priority="24">
      <colorScale>
        <cfvo type="min"/>
        <cfvo type="percentile" val="50"/>
        <cfvo type="max"/>
        <color rgb="FF5A8AC6"/>
        <color rgb="FFFCFCFF"/>
        <color rgb="FFF8696B"/>
      </colorScale>
    </cfRule>
  </conditionalFormatting>
  <conditionalFormatting sqref="B1701:B1719">
    <cfRule type="colorScale" priority="20">
      <colorScale>
        <cfvo type="min"/>
        <cfvo type="percentile" val="50"/>
        <cfvo type="max"/>
        <color rgb="FF5A8AC6"/>
        <color rgb="FFFCFCFF"/>
        <color rgb="FFF8696B"/>
      </colorScale>
    </cfRule>
    <cfRule type="colorScale" priority="17">
      <colorScale>
        <cfvo type="min"/>
        <cfvo type="percentile" val="50"/>
        <cfvo type="max"/>
        <color rgb="FF5A8AC6"/>
        <color rgb="FFFCFCFF"/>
        <color rgb="FFF8696B"/>
      </colorScale>
    </cfRule>
  </conditionalFormatting>
  <conditionalFormatting sqref="B1720:B1738">
    <cfRule type="colorScale" priority="10">
      <colorScale>
        <cfvo type="min"/>
        <cfvo type="percentile" val="50"/>
        <cfvo type="max"/>
        <color rgb="FF5A8AC6"/>
        <color rgb="FFFCFCFF"/>
        <color rgb="FFF8696B"/>
      </colorScale>
    </cfRule>
    <cfRule type="colorScale" priority="13">
      <colorScale>
        <cfvo type="min"/>
        <cfvo type="percentile" val="50"/>
        <cfvo type="max"/>
        <color rgb="FF5A8AC6"/>
        <color rgb="FFFCFCFF"/>
        <color rgb="FFF8696B"/>
      </colorScale>
    </cfRule>
  </conditionalFormatting>
  <conditionalFormatting sqref="C1:C270 C499 C747 C995 C1243 C1491 C1739:C1048576">
    <cfRule type="colorScale" priority="614">
      <colorScale>
        <cfvo type="min"/>
        <cfvo type="percentile" val="50"/>
        <cfvo type="max"/>
        <color rgb="FF5A8AC6"/>
        <color rgb="FFFCFCFF"/>
        <color rgb="FFF8696B"/>
      </colorScale>
    </cfRule>
  </conditionalFormatting>
  <conditionalFormatting sqref="C4:C136">
    <cfRule type="colorScale" priority="669">
      <colorScale>
        <cfvo type="min"/>
        <cfvo type="percentile" val="50"/>
        <cfvo type="max"/>
        <color rgb="FF5A8AC6"/>
        <color rgb="FFFCFCFF"/>
        <color rgb="FFF8696B"/>
      </colorScale>
    </cfRule>
  </conditionalFormatting>
  <conditionalFormatting sqref="C4:C498">
    <cfRule type="colorScale" priority="498">
      <colorScale>
        <cfvo type="min"/>
        <cfvo type="percentile" val="50"/>
        <cfvo type="max"/>
        <color rgb="FF5A8AC6"/>
        <color rgb="FFFCFCFF"/>
        <color rgb="FFF8696B"/>
      </colorScale>
    </cfRule>
  </conditionalFormatting>
  <conditionalFormatting sqref="C137:C155">
    <cfRule type="colorScale" priority="663">
      <colorScale>
        <cfvo type="min"/>
        <cfvo type="percentile" val="50"/>
        <cfvo type="max"/>
        <color rgb="FF5A8AC6"/>
        <color rgb="FFFCFCFF"/>
        <color rgb="FFF8696B"/>
      </colorScale>
    </cfRule>
  </conditionalFormatting>
  <conditionalFormatting sqref="C156:C174">
    <cfRule type="colorScale" priority="655">
      <colorScale>
        <cfvo type="min"/>
        <cfvo type="percentile" val="50"/>
        <cfvo type="max"/>
        <color rgb="FF5A8AC6"/>
        <color rgb="FFFCFCFF"/>
        <color rgb="FFF8696B"/>
      </colorScale>
    </cfRule>
  </conditionalFormatting>
  <conditionalFormatting sqref="C175:C193">
    <cfRule type="colorScale" priority="647">
      <colorScale>
        <cfvo type="min"/>
        <cfvo type="percentile" val="50"/>
        <cfvo type="max"/>
        <color rgb="FF5A8AC6"/>
        <color rgb="FFFCFCFF"/>
        <color rgb="FFF8696B"/>
      </colorScale>
    </cfRule>
  </conditionalFormatting>
  <conditionalFormatting sqref="C194:C212">
    <cfRule type="colorScale" priority="639">
      <colorScale>
        <cfvo type="min"/>
        <cfvo type="percentile" val="50"/>
        <cfvo type="max"/>
        <color rgb="FF5A8AC6"/>
        <color rgb="FFFCFCFF"/>
        <color rgb="FFF8696B"/>
      </colorScale>
    </cfRule>
  </conditionalFormatting>
  <conditionalFormatting sqref="C213:C231">
    <cfRule type="colorScale" priority="631">
      <colorScale>
        <cfvo type="min"/>
        <cfvo type="percentile" val="50"/>
        <cfvo type="max"/>
        <color rgb="FF5A8AC6"/>
        <color rgb="FFFCFCFF"/>
        <color rgb="FFF8696B"/>
      </colorScale>
    </cfRule>
  </conditionalFormatting>
  <conditionalFormatting sqref="C232:C250">
    <cfRule type="colorScale" priority="623">
      <colorScale>
        <cfvo type="min"/>
        <cfvo type="percentile" val="50"/>
        <cfvo type="max"/>
        <color rgb="FF5A8AC6"/>
        <color rgb="FFFCFCFF"/>
        <color rgb="FFF8696B"/>
      </colorScale>
    </cfRule>
  </conditionalFormatting>
  <conditionalFormatting sqref="C252:C270">
    <cfRule type="colorScale" priority="610">
      <colorScale>
        <cfvo type="min"/>
        <cfvo type="percentile" val="50"/>
        <cfvo type="max"/>
        <color rgb="FF5A8AC6"/>
        <color rgb="FFFCFCFF"/>
        <color rgb="FFF8696B"/>
      </colorScale>
    </cfRule>
  </conditionalFormatting>
  <conditionalFormatting sqref="C271:C289">
    <cfRule type="colorScale" priority="601">
      <colorScale>
        <cfvo type="min"/>
        <cfvo type="percentile" val="50"/>
        <cfvo type="max"/>
        <color rgb="FF5A8AC6"/>
        <color rgb="FFFCFCFF"/>
        <color rgb="FFF8696B"/>
      </colorScale>
    </cfRule>
    <cfRule type="colorScale" priority="605">
      <colorScale>
        <cfvo type="min"/>
        <cfvo type="percentile" val="50"/>
        <cfvo type="max"/>
        <color rgb="FF5A8AC6"/>
        <color rgb="FFFCFCFF"/>
        <color rgb="FFF8696B"/>
      </colorScale>
    </cfRule>
  </conditionalFormatting>
  <conditionalFormatting sqref="C290:C308">
    <cfRule type="colorScale" priority="592">
      <colorScale>
        <cfvo type="min"/>
        <cfvo type="percentile" val="50"/>
        <cfvo type="max"/>
        <color rgb="FF5A8AC6"/>
        <color rgb="FFFCFCFF"/>
        <color rgb="FFF8696B"/>
      </colorScale>
    </cfRule>
    <cfRule type="colorScale" priority="596">
      <colorScale>
        <cfvo type="min"/>
        <cfvo type="percentile" val="50"/>
        <cfvo type="max"/>
        <color rgb="FF5A8AC6"/>
        <color rgb="FFFCFCFF"/>
        <color rgb="FFF8696B"/>
      </colorScale>
    </cfRule>
  </conditionalFormatting>
  <conditionalFormatting sqref="C309:C327">
    <cfRule type="colorScale" priority="583">
      <colorScale>
        <cfvo type="min"/>
        <cfvo type="percentile" val="50"/>
        <cfvo type="max"/>
        <color rgb="FF5A8AC6"/>
        <color rgb="FFFCFCFF"/>
        <color rgb="FFF8696B"/>
      </colorScale>
    </cfRule>
    <cfRule type="colorScale" priority="587">
      <colorScale>
        <cfvo type="min"/>
        <cfvo type="percentile" val="50"/>
        <cfvo type="max"/>
        <color rgb="FF5A8AC6"/>
        <color rgb="FFFCFCFF"/>
        <color rgb="FFF8696B"/>
      </colorScale>
    </cfRule>
  </conditionalFormatting>
  <conditionalFormatting sqref="C328:C346">
    <cfRule type="colorScale" priority="574">
      <colorScale>
        <cfvo type="min"/>
        <cfvo type="percentile" val="50"/>
        <cfvo type="max"/>
        <color rgb="FF5A8AC6"/>
        <color rgb="FFFCFCFF"/>
        <color rgb="FFF8696B"/>
      </colorScale>
    </cfRule>
    <cfRule type="colorScale" priority="578">
      <colorScale>
        <cfvo type="min"/>
        <cfvo type="percentile" val="50"/>
        <cfvo type="max"/>
        <color rgb="FF5A8AC6"/>
        <color rgb="FFFCFCFF"/>
        <color rgb="FFF8696B"/>
      </colorScale>
    </cfRule>
  </conditionalFormatting>
  <conditionalFormatting sqref="C347:C365">
    <cfRule type="colorScale" priority="569">
      <colorScale>
        <cfvo type="min"/>
        <cfvo type="percentile" val="50"/>
        <cfvo type="max"/>
        <color rgb="FF5A8AC6"/>
        <color rgb="FFFCFCFF"/>
        <color rgb="FFF8696B"/>
      </colorScale>
    </cfRule>
    <cfRule type="colorScale" priority="565">
      <colorScale>
        <cfvo type="min"/>
        <cfvo type="percentile" val="50"/>
        <cfvo type="max"/>
        <color rgb="FF5A8AC6"/>
        <color rgb="FFFCFCFF"/>
        <color rgb="FFF8696B"/>
      </colorScale>
    </cfRule>
  </conditionalFormatting>
  <conditionalFormatting sqref="C366:C384">
    <cfRule type="colorScale" priority="556">
      <colorScale>
        <cfvo type="min"/>
        <cfvo type="percentile" val="50"/>
        <cfvo type="max"/>
        <color rgb="FF5A8AC6"/>
        <color rgb="FFFCFCFF"/>
        <color rgb="FFF8696B"/>
      </colorScale>
    </cfRule>
    <cfRule type="colorScale" priority="560">
      <colorScale>
        <cfvo type="min"/>
        <cfvo type="percentile" val="50"/>
        <cfvo type="max"/>
        <color rgb="FF5A8AC6"/>
        <color rgb="FFFCFCFF"/>
        <color rgb="FFF8696B"/>
      </colorScale>
    </cfRule>
  </conditionalFormatting>
  <conditionalFormatting sqref="C385:C403">
    <cfRule type="colorScale" priority="551">
      <colorScale>
        <cfvo type="min"/>
        <cfvo type="percentile" val="50"/>
        <cfvo type="max"/>
        <color rgb="FF5A8AC6"/>
        <color rgb="FFFCFCFF"/>
        <color rgb="FFF8696B"/>
      </colorScale>
    </cfRule>
    <cfRule type="colorScale" priority="547">
      <colorScale>
        <cfvo type="min"/>
        <cfvo type="percentile" val="50"/>
        <cfvo type="max"/>
        <color rgb="FF5A8AC6"/>
        <color rgb="FFFCFCFF"/>
        <color rgb="FFF8696B"/>
      </colorScale>
    </cfRule>
  </conditionalFormatting>
  <conditionalFormatting sqref="C404:C422">
    <cfRule type="colorScale" priority="538">
      <colorScale>
        <cfvo type="min"/>
        <cfvo type="percentile" val="50"/>
        <cfvo type="max"/>
        <color rgb="FF5A8AC6"/>
        <color rgb="FFFCFCFF"/>
        <color rgb="FFF8696B"/>
      </colorScale>
    </cfRule>
    <cfRule type="colorScale" priority="542">
      <colorScale>
        <cfvo type="min"/>
        <cfvo type="percentile" val="50"/>
        <cfvo type="max"/>
        <color rgb="FF5A8AC6"/>
        <color rgb="FFFCFCFF"/>
        <color rgb="FFF8696B"/>
      </colorScale>
    </cfRule>
  </conditionalFormatting>
  <conditionalFormatting sqref="C423:C441">
    <cfRule type="colorScale" priority="533">
      <colorScale>
        <cfvo type="min"/>
        <cfvo type="percentile" val="50"/>
        <cfvo type="max"/>
        <color rgb="FF5A8AC6"/>
        <color rgb="FFFCFCFF"/>
        <color rgb="FFF8696B"/>
      </colorScale>
    </cfRule>
    <cfRule type="colorScale" priority="529">
      <colorScale>
        <cfvo type="min"/>
        <cfvo type="percentile" val="50"/>
        <cfvo type="max"/>
        <color rgb="FF5A8AC6"/>
        <color rgb="FFFCFCFF"/>
        <color rgb="FFF8696B"/>
      </colorScale>
    </cfRule>
  </conditionalFormatting>
  <conditionalFormatting sqref="C442:C460">
    <cfRule type="colorScale" priority="524">
      <colorScale>
        <cfvo type="min"/>
        <cfvo type="percentile" val="50"/>
        <cfvo type="max"/>
        <color rgb="FF5A8AC6"/>
        <color rgb="FFFCFCFF"/>
        <color rgb="FFF8696B"/>
      </colorScale>
    </cfRule>
    <cfRule type="colorScale" priority="520">
      <colorScale>
        <cfvo type="min"/>
        <cfvo type="percentile" val="50"/>
        <cfvo type="max"/>
        <color rgb="FF5A8AC6"/>
        <color rgb="FFFCFCFF"/>
        <color rgb="FFF8696B"/>
      </colorScale>
    </cfRule>
  </conditionalFormatting>
  <conditionalFormatting sqref="C461:C479">
    <cfRule type="colorScale" priority="511">
      <colorScale>
        <cfvo type="min"/>
        <cfvo type="percentile" val="50"/>
        <cfvo type="max"/>
        <color rgb="FF5A8AC6"/>
        <color rgb="FFFCFCFF"/>
        <color rgb="FFF8696B"/>
      </colorScale>
    </cfRule>
    <cfRule type="colorScale" priority="515">
      <colorScale>
        <cfvo type="min"/>
        <cfvo type="percentile" val="50"/>
        <cfvo type="max"/>
        <color rgb="FF5A8AC6"/>
        <color rgb="FFFCFCFF"/>
        <color rgb="FFF8696B"/>
      </colorScale>
    </cfRule>
  </conditionalFormatting>
  <conditionalFormatting sqref="C480:C498">
    <cfRule type="colorScale" priority="502">
      <colorScale>
        <cfvo type="min"/>
        <cfvo type="percentile" val="50"/>
        <cfvo type="max"/>
        <color rgb="FF5A8AC6"/>
        <color rgb="FFFCFCFF"/>
        <color rgb="FFF8696B"/>
      </colorScale>
    </cfRule>
    <cfRule type="colorScale" priority="506">
      <colorScale>
        <cfvo type="min"/>
        <cfvo type="percentile" val="50"/>
        <cfvo type="max"/>
        <color rgb="FF5A8AC6"/>
        <color rgb="FFFCFCFF"/>
        <color rgb="FFF8696B"/>
      </colorScale>
    </cfRule>
  </conditionalFormatting>
  <conditionalFormatting sqref="C500:C518">
    <cfRule type="colorScale" priority="487">
      <colorScale>
        <cfvo type="min"/>
        <cfvo type="percentile" val="50"/>
        <cfvo type="max"/>
        <color rgb="FF5A8AC6"/>
        <color rgb="FFFCFCFF"/>
        <color rgb="FFF8696B"/>
      </colorScale>
    </cfRule>
    <cfRule type="colorScale" priority="491">
      <colorScale>
        <cfvo type="min"/>
        <cfvo type="percentile" val="50"/>
        <cfvo type="max"/>
        <color rgb="FF5A8AC6"/>
        <color rgb="FFFCFCFF"/>
        <color rgb="FFF8696B"/>
      </colorScale>
    </cfRule>
  </conditionalFormatting>
  <conditionalFormatting sqref="C500:C746">
    <cfRule type="colorScale" priority="399">
      <colorScale>
        <cfvo type="min"/>
        <cfvo type="percentile" val="50"/>
        <cfvo type="max"/>
        <color rgb="FF5A8AC6"/>
        <color rgb="FFFCFCFF"/>
        <color rgb="FFF8696B"/>
      </colorScale>
    </cfRule>
  </conditionalFormatting>
  <conditionalFormatting sqref="C519:C537">
    <cfRule type="colorScale" priority="480">
      <colorScale>
        <cfvo type="min"/>
        <cfvo type="percentile" val="50"/>
        <cfvo type="max"/>
        <color rgb="FF5A8AC6"/>
        <color rgb="FFFCFCFF"/>
        <color rgb="FFF8696B"/>
      </colorScale>
    </cfRule>
    <cfRule type="colorScale" priority="482">
      <colorScale>
        <cfvo type="min"/>
        <cfvo type="percentile" val="50"/>
        <cfvo type="max"/>
        <color rgb="FF5A8AC6"/>
        <color rgb="FFFCFCFF"/>
        <color rgb="FFF8696B"/>
      </colorScale>
    </cfRule>
  </conditionalFormatting>
  <conditionalFormatting sqref="C538:C556">
    <cfRule type="colorScale" priority="473">
      <colorScale>
        <cfvo type="min"/>
        <cfvo type="percentile" val="50"/>
        <cfvo type="max"/>
        <color rgb="FF5A8AC6"/>
        <color rgb="FFFCFCFF"/>
        <color rgb="FFF8696B"/>
      </colorScale>
    </cfRule>
    <cfRule type="colorScale" priority="475">
      <colorScale>
        <cfvo type="min"/>
        <cfvo type="percentile" val="50"/>
        <cfvo type="max"/>
        <color rgb="FF5A8AC6"/>
        <color rgb="FFFCFCFF"/>
        <color rgb="FFF8696B"/>
      </colorScale>
    </cfRule>
  </conditionalFormatting>
  <conditionalFormatting sqref="C557:C575">
    <cfRule type="colorScale" priority="468">
      <colorScale>
        <cfvo type="min"/>
        <cfvo type="percentile" val="50"/>
        <cfvo type="max"/>
        <color rgb="FF5A8AC6"/>
        <color rgb="FFFCFCFF"/>
        <color rgb="FFF8696B"/>
      </colorScale>
    </cfRule>
    <cfRule type="colorScale" priority="466">
      <colorScale>
        <cfvo type="min"/>
        <cfvo type="percentile" val="50"/>
        <cfvo type="max"/>
        <color rgb="FF5A8AC6"/>
        <color rgb="FFFCFCFF"/>
        <color rgb="FFF8696B"/>
      </colorScale>
    </cfRule>
  </conditionalFormatting>
  <conditionalFormatting sqref="C576:C594">
    <cfRule type="colorScale" priority="461">
      <colorScale>
        <cfvo type="min"/>
        <cfvo type="percentile" val="50"/>
        <cfvo type="max"/>
        <color rgb="FF5A8AC6"/>
        <color rgb="FFFCFCFF"/>
        <color rgb="FFF8696B"/>
      </colorScale>
    </cfRule>
    <cfRule type="colorScale" priority="459">
      <colorScale>
        <cfvo type="min"/>
        <cfvo type="percentile" val="50"/>
        <cfvo type="max"/>
        <color rgb="FF5A8AC6"/>
        <color rgb="FFFCFCFF"/>
        <color rgb="FFF8696B"/>
      </colorScale>
    </cfRule>
  </conditionalFormatting>
  <conditionalFormatting sqref="C595:C613">
    <cfRule type="colorScale" priority="454">
      <colorScale>
        <cfvo type="min"/>
        <cfvo type="percentile" val="50"/>
        <cfvo type="max"/>
        <color rgb="FF5A8AC6"/>
        <color rgb="FFFCFCFF"/>
        <color rgb="FFF8696B"/>
      </colorScale>
    </cfRule>
    <cfRule type="colorScale" priority="452">
      <colorScale>
        <cfvo type="min"/>
        <cfvo type="percentile" val="50"/>
        <cfvo type="max"/>
        <color rgb="FF5A8AC6"/>
        <color rgb="FFFCFCFF"/>
        <color rgb="FFF8696B"/>
      </colorScale>
    </cfRule>
  </conditionalFormatting>
  <conditionalFormatting sqref="C614:C632">
    <cfRule type="colorScale" priority="445">
      <colorScale>
        <cfvo type="min"/>
        <cfvo type="percentile" val="50"/>
        <cfvo type="max"/>
        <color rgb="FF5A8AC6"/>
        <color rgb="FFFCFCFF"/>
        <color rgb="FFF8696B"/>
      </colorScale>
    </cfRule>
    <cfRule type="colorScale" priority="447">
      <colorScale>
        <cfvo type="min"/>
        <cfvo type="percentile" val="50"/>
        <cfvo type="max"/>
        <color rgb="FF5A8AC6"/>
        <color rgb="FFFCFCFF"/>
        <color rgb="FFF8696B"/>
      </colorScale>
    </cfRule>
  </conditionalFormatting>
  <conditionalFormatting sqref="C633:C651">
    <cfRule type="colorScale" priority="440">
      <colorScale>
        <cfvo type="min"/>
        <cfvo type="percentile" val="50"/>
        <cfvo type="max"/>
        <color rgb="FF5A8AC6"/>
        <color rgb="FFFCFCFF"/>
        <color rgb="FFF8696B"/>
      </colorScale>
    </cfRule>
    <cfRule type="colorScale" priority="438">
      <colorScale>
        <cfvo type="min"/>
        <cfvo type="percentile" val="50"/>
        <cfvo type="max"/>
        <color rgb="FF5A8AC6"/>
        <color rgb="FFFCFCFF"/>
        <color rgb="FFF8696B"/>
      </colorScale>
    </cfRule>
  </conditionalFormatting>
  <conditionalFormatting sqref="C652:C670">
    <cfRule type="colorScale" priority="431">
      <colorScale>
        <cfvo type="min"/>
        <cfvo type="percentile" val="50"/>
        <cfvo type="max"/>
        <color rgb="FF5A8AC6"/>
        <color rgb="FFFCFCFF"/>
        <color rgb="FFF8696B"/>
      </colorScale>
    </cfRule>
    <cfRule type="colorScale" priority="433">
      <colorScale>
        <cfvo type="min"/>
        <cfvo type="percentile" val="50"/>
        <cfvo type="max"/>
        <color rgb="FF5A8AC6"/>
        <color rgb="FFFCFCFF"/>
        <color rgb="FFF8696B"/>
      </colorScale>
    </cfRule>
  </conditionalFormatting>
  <conditionalFormatting sqref="C671:C689">
    <cfRule type="colorScale" priority="424">
      <colorScale>
        <cfvo type="min"/>
        <cfvo type="percentile" val="50"/>
        <cfvo type="max"/>
        <color rgb="FF5A8AC6"/>
        <color rgb="FFFCFCFF"/>
        <color rgb="FFF8696B"/>
      </colorScale>
    </cfRule>
    <cfRule type="colorScale" priority="426">
      <colorScale>
        <cfvo type="min"/>
        <cfvo type="percentile" val="50"/>
        <cfvo type="max"/>
        <color rgb="FF5A8AC6"/>
        <color rgb="FFFCFCFF"/>
        <color rgb="FFF8696B"/>
      </colorScale>
    </cfRule>
  </conditionalFormatting>
  <conditionalFormatting sqref="C690:C708">
    <cfRule type="colorScale" priority="417">
      <colorScale>
        <cfvo type="min"/>
        <cfvo type="percentile" val="50"/>
        <cfvo type="max"/>
        <color rgb="FF5A8AC6"/>
        <color rgb="FFFCFCFF"/>
        <color rgb="FFF8696B"/>
      </colorScale>
    </cfRule>
    <cfRule type="colorScale" priority="419">
      <colorScale>
        <cfvo type="min"/>
        <cfvo type="percentile" val="50"/>
        <cfvo type="max"/>
        <color rgb="FF5A8AC6"/>
        <color rgb="FFFCFCFF"/>
        <color rgb="FFF8696B"/>
      </colorScale>
    </cfRule>
  </conditionalFormatting>
  <conditionalFormatting sqref="C709:C727">
    <cfRule type="colorScale" priority="410">
      <colorScale>
        <cfvo type="min"/>
        <cfvo type="percentile" val="50"/>
        <cfvo type="max"/>
        <color rgb="FF5A8AC6"/>
        <color rgb="FFFCFCFF"/>
        <color rgb="FFF8696B"/>
      </colorScale>
    </cfRule>
    <cfRule type="colorScale" priority="412">
      <colorScale>
        <cfvo type="min"/>
        <cfvo type="percentile" val="50"/>
        <cfvo type="max"/>
        <color rgb="FF5A8AC6"/>
        <color rgb="FFFCFCFF"/>
        <color rgb="FFF8696B"/>
      </colorScale>
    </cfRule>
  </conditionalFormatting>
  <conditionalFormatting sqref="C728:C746">
    <cfRule type="colorScale" priority="405">
      <colorScale>
        <cfvo type="min"/>
        <cfvo type="percentile" val="50"/>
        <cfvo type="max"/>
        <color rgb="FF5A8AC6"/>
        <color rgb="FFFCFCFF"/>
        <color rgb="FFF8696B"/>
      </colorScale>
    </cfRule>
    <cfRule type="colorScale" priority="403">
      <colorScale>
        <cfvo type="min"/>
        <cfvo type="percentile" val="50"/>
        <cfvo type="max"/>
        <color rgb="FF5A8AC6"/>
        <color rgb="FFFCFCFF"/>
        <color rgb="FFF8696B"/>
      </colorScale>
    </cfRule>
  </conditionalFormatting>
  <conditionalFormatting sqref="C748:C766">
    <cfRule type="colorScale" priority="388">
      <colorScale>
        <cfvo type="min"/>
        <cfvo type="percentile" val="50"/>
        <cfvo type="max"/>
        <color rgb="FF5A8AC6"/>
        <color rgb="FFFCFCFF"/>
        <color rgb="FFF8696B"/>
      </colorScale>
    </cfRule>
    <cfRule type="colorScale" priority="392">
      <colorScale>
        <cfvo type="min"/>
        <cfvo type="percentile" val="50"/>
        <cfvo type="max"/>
        <color rgb="FF5A8AC6"/>
        <color rgb="FFFCFCFF"/>
        <color rgb="FFF8696B"/>
      </colorScale>
    </cfRule>
  </conditionalFormatting>
  <conditionalFormatting sqref="C748:C994">
    <cfRule type="colorScale" priority="300">
      <colorScale>
        <cfvo type="min"/>
        <cfvo type="percentile" val="50"/>
        <cfvo type="max"/>
        <color rgb="FF5A8AC6"/>
        <color rgb="FFFCFCFF"/>
        <color rgb="FFF8696B"/>
      </colorScale>
    </cfRule>
  </conditionalFormatting>
  <conditionalFormatting sqref="C767:C785">
    <cfRule type="colorScale" priority="383">
      <colorScale>
        <cfvo type="min"/>
        <cfvo type="percentile" val="50"/>
        <cfvo type="max"/>
        <color rgb="FF5A8AC6"/>
        <color rgb="FFFCFCFF"/>
        <color rgb="FFF8696B"/>
      </colorScale>
    </cfRule>
    <cfRule type="colorScale" priority="381">
      <colorScale>
        <cfvo type="min"/>
        <cfvo type="percentile" val="50"/>
        <cfvo type="max"/>
        <color rgb="FF5A8AC6"/>
        <color rgb="FFFCFCFF"/>
        <color rgb="FFF8696B"/>
      </colorScale>
    </cfRule>
  </conditionalFormatting>
  <conditionalFormatting sqref="C786:C804">
    <cfRule type="colorScale" priority="374">
      <colorScale>
        <cfvo type="min"/>
        <cfvo type="percentile" val="50"/>
        <cfvo type="max"/>
        <color rgb="FF5A8AC6"/>
        <color rgb="FFFCFCFF"/>
        <color rgb="FFF8696B"/>
      </colorScale>
    </cfRule>
    <cfRule type="colorScale" priority="376">
      <colorScale>
        <cfvo type="min"/>
        <cfvo type="percentile" val="50"/>
        <cfvo type="max"/>
        <color rgb="FF5A8AC6"/>
        <color rgb="FFFCFCFF"/>
        <color rgb="FFF8696B"/>
      </colorScale>
    </cfRule>
  </conditionalFormatting>
  <conditionalFormatting sqref="C805:C823">
    <cfRule type="colorScale" priority="367">
      <colorScale>
        <cfvo type="min"/>
        <cfvo type="percentile" val="50"/>
        <cfvo type="max"/>
        <color rgb="FF5A8AC6"/>
        <color rgb="FFFCFCFF"/>
        <color rgb="FFF8696B"/>
      </colorScale>
    </cfRule>
    <cfRule type="colorScale" priority="369">
      <colorScale>
        <cfvo type="min"/>
        <cfvo type="percentile" val="50"/>
        <cfvo type="max"/>
        <color rgb="FF5A8AC6"/>
        <color rgb="FFFCFCFF"/>
        <color rgb="FFF8696B"/>
      </colorScale>
    </cfRule>
  </conditionalFormatting>
  <conditionalFormatting sqref="C824:C842">
    <cfRule type="colorScale" priority="362">
      <colorScale>
        <cfvo type="min"/>
        <cfvo type="percentile" val="50"/>
        <cfvo type="max"/>
        <color rgb="FF5A8AC6"/>
        <color rgb="FFFCFCFF"/>
        <color rgb="FFF8696B"/>
      </colorScale>
    </cfRule>
    <cfRule type="colorScale" priority="360">
      <colorScale>
        <cfvo type="min"/>
        <cfvo type="percentile" val="50"/>
        <cfvo type="max"/>
        <color rgb="FF5A8AC6"/>
        <color rgb="FFFCFCFF"/>
        <color rgb="FFF8696B"/>
      </colorScale>
    </cfRule>
  </conditionalFormatting>
  <conditionalFormatting sqref="C843:C861">
    <cfRule type="colorScale" priority="353">
      <colorScale>
        <cfvo type="min"/>
        <cfvo type="percentile" val="50"/>
        <cfvo type="max"/>
        <color rgb="FF5A8AC6"/>
        <color rgb="FFFCFCFF"/>
        <color rgb="FFF8696B"/>
      </colorScale>
    </cfRule>
    <cfRule type="colorScale" priority="355">
      <colorScale>
        <cfvo type="min"/>
        <cfvo type="percentile" val="50"/>
        <cfvo type="max"/>
        <color rgb="FF5A8AC6"/>
        <color rgb="FFFCFCFF"/>
        <color rgb="FFF8696B"/>
      </colorScale>
    </cfRule>
  </conditionalFormatting>
  <conditionalFormatting sqref="C862:C880">
    <cfRule type="colorScale" priority="346">
      <colorScale>
        <cfvo type="min"/>
        <cfvo type="percentile" val="50"/>
        <cfvo type="max"/>
        <color rgb="FF5A8AC6"/>
        <color rgb="FFFCFCFF"/>
        <color rgb="FFF8696B"/>
      </colorScale>
    </cfRule>
    <cfRule type="colorScale" priority="348">
      <colorScale>
        <cfvo type="min"/>
        <cfvo type="percentile" val="50"/>
        <cfvo type="max"/>
        <color rgb="FF5A8AC6"/>
        <color rgb="FFFCFCFF"/>
        <color rgb="FFF8696B"/>
      </colorScale>
    </cfRule>
  </conditionalFormatting>
  <conditionalFormatting sqref="C881:C899">
    <cfRule type="colorScale" priority="341">
      <colorScale>
        <cfvo type="min"/>
        <cfvo type="percentile" val="50"/>
        <cfvo type="max"/>
        <color rgb="FF5A8AC6"/>
        <color rgb="FFFCFCFF"/>
        <color rgb="FFF8696B"/>
      </colorScale>
    </cfRule>
    <cfRule type="colorScale" priority="339">
      <colorScale>
        <cfvo type="min"/>
        <cfvo type="percentile" val="50"/>
        <cfvo type="max"/>
        <color rgb="FF5A8AC6"/>
        <color rgb="FFFCFCFF"/>
        <color rgb="FFF8696B"/>
      </colorScale>
    </cfRule>
  </conditionalFormatting>
  <conditionalFormatting sqref="C900:C918">
    <cfRule type="colorScale" priority="334">
      <colorScale>
        <cfvo type="min"/>
        <cfvo type="percentile" val="50"/>
        <cfvo type="max"/>
        <color rgb="FF5A8AC6"/>
        <color rgb="FFFCFCFF"/>
        <color rgb="FFF8696B"/>
      </colorScale>
    </cfRule>
    <cfRule type="colorScale" priority="332">
      <colorScale>
        <cfvo type="min"/>
        <cfvo type="percentile" val="50"/>
        <cfvo type="max"/>
        <color rgb="FF5A8AC6"/>
        <color rgb="FFFCFCFF"/>
        <color rgb="FFF8696B"/>
      </colorScale>
    </cfRule>
  </conditionalFormatting>
  <conditionalFormatting sqref="C919:C937">
    <cfRule type="colorScale" priority="327">
      <colorScale>
        <cfvo type="min"/>
        <cfvo type="percentile" val="50"/>
        <cfvo type="max"/>
        <color rgb="FF5A8AC6"/>
        <color rgb="FFFCFCFF"/>
        <color rgb="FFF8696B"/>
      </colorScale>
    </cfRule>
    <cfRule type="colorScale" priority="325">
      <colorScale>
        <cfvo type="min"/>
        <cfvo type="percentile" val="50"/>
        <cfvo type="max"/>
        <color rgb="FF5A8AC6"/>
        <color rgb="FFFCFCFF"/>
        <color rgb="FFF8696B"/>
      </colorScale>
    </cfRule>
  </conditionalFormatting>
  <conditionalFormatting sqref="C938:C956">
    <cfRule type="colorScale" priority="318">
      <colorScale>
        <cfvo type="min"/>
        <cfvo type="percentile" val="50"/>
        <cfvo type="max"/>
        <color rgb="FF5A8AC6"/>
        <color rgb="FFFCFCFF"/>
        <color rgb="FFF8696B"/>
      </colorScale>
    </cfRule>
    <cfRule type="colorScale" priority="320">
      <colorScale>
        <cfvo type="min"/>
        <cfvo type="percentile" val="50"/>
        <cfvo type="max"/>
        <color rgb="FF5A8AC6"/>
        <color rgb="FFFCFCFF"/>
        <color rgb="FFF8696B"/>
      </colorScale>
    </cfRule>
  </conditionalFormatting>
  <conditionalFormatting sqref="C957:C975">
    <cfRule type="colorScale" priority="313">
      <colorScale>
        <cfvo type="min"/>
        <cfvo type="percentile" val="50"/>
        <cfvo type="max"/>
        <color rgb="FF5A8AC6"/>
        <color rgb="FFFCFCFF"/>
        <color rgb="FFF8696B"/>
      </colorScale>
    </cfRule>
    <cfRule type="colorScale" priority="311">
      <colorScale>
        <cfvo type="min"/>
        <cfvo type="percentile" val="50"/>
        <cfvo type="max"/>
        <color rgb="FF5A8AC6"/>
        <color rgb="FFFCFCFF"/>
        <color rgb="FFF8696B"/>
      </colorScale>
    </cfRule>
  </conditionalFormatting>
  <conditionalFormatting sqref="C976:C994">
    <cfRule type="colorScale" priority="306">
      <colorScale>
        <cfvo type="min"/>
        <cfvo type="percentile" val="50"/>
        <cfvo type="max"/>
        <color rgb="FF5A8AC6"/>
        <color rgb="FFFCFCFF"/>
        <color rgb="FFF8696B"/>
      </colorScale>
    </cfRule>
    <cfRule type="colorScale" priority="304">
      <colorScale>
        <cfvo type="min"/>
        <cfvo type="percentile" val="50"/>
        <cfvo type="max"/>
        <color rgb="FF5A8AC6"/>
        <color rgb="FFFCFCFF"/>
        <color rgb="FFF8696B"/>
      </colorScale>
    </cfRule>
  </conditionalFormatting>
  <conditionalFormatting sqref="C996:C1014">
    <cfRule type="colorScale" priority="293">
      <colorScale>
        <cfvo type="min"/>
        <cfvo type="percentile" val="50"/>
        <cfvo type="max"/>
        <color rgb="FF5A8AC6"/>
        <color rgb="FFFCFCFF"/>
        <color rgb="FFF8696B"/>
      </colorScale>
    </cfRule>
    <cfRule type="colorScale" priority="289">
      <colorScale>
        <cfvo type="min"/>
        <cfvo type="percentile" val="50"/>
        <cfvo type="max"/>
        <color rgb="FF5A8AC6"/>
        <color rgb="FFFCFCFF"/>
        <color rgb="FFF8696B"/>
      </colorScale>
    </cfRule>
  </conditionalFormatting>
  <conditionalFormatting sqref="C996:C1242">
    <cfRule type="colorScale" priority="201">
      <colorScale>
        <cfvo type="min"/>
        <cfvo type="percentile" val="50"/>
        <cfvo type="max"/>
        <color rgb="FF5A8AC6"/>
        <color rgb="FFFCFCFF"/>
        <color rgb="FFF8696B"/>
      </colorScale>
    </cfRule>
  </conditionalFormatting>
  <conditionalFormatting sqref="C1015:C1033">
    <cfRule type="colorScale" priority="284">
      <colorScale>
        <cfvo type="min"/>
        <cfvo type="percentile" val="50"/>
        <cfvo type="max"/>
        <color rgb="FF5A8AC6"/>
        <color rgb="FFFCFCFF"/>
        <color rgb="FFF8696B"/>
      </colorScale>
    </cfRule>
    <cfRule type="colorScale" priority="282">
      <colorScale>
        <cfvo type="min"/>
        <cfvo type="percentile" val="50"/>
        <cfvo type="max"/>
        <color rgb="FF5A8AC6"/>
        <color rgb="FFFCFCFF"/>
        <color rgb="FFF8696B"/>
      </colorScale>
    </cfRule>
  </conditionalFormatting>
  <conditionalFormatting sqref="C1034:C1052">
    <cfRule type="colorScale" priority="277">
      <colorScale>
        <cfvo type="min"/>
        <cfvo type="percentile" val="50"/>
        <cfvo type="max"/>
        <color rgb="FF5A8AC6"/>
        <color rgb="FFFCFCFF"/>
        <color rgb="FFF8696B"/>
      </colorScale>
    </cfRule>
    <cfRule type="colorScale" priority="275">
      <colorScale>
        <cfvo type="min"/>
        <cfvo type="percentile" val="50"/>
        <cfvo type="max"/>
        <color rgb="FF5A8AC6"/>
        <color rgb="FFFCFCFF"/>
        <color rgb="FFF8696B"/>
      </colorScale>
    </cfRule>
  </conditionalFormatting>
  <conditionalFormatting sqref="C1053:C1071">
    <cfRule type="colorScale" priority="268">
      <colorScale>
        <cfvo type="min"/>
        <cfvo type="percentile" val="50"/>
        <cfvo type="max"/>
        <color rgb="FF5A8AC6"/>
        <color rgb="FFFCFCFF"/>
        <color rgb="FFF8696B"/>
      </colorScale>
    </cfRule>
    <cfRule type="colorScale" priority="270">
      <colorScale>
        <cfvo type="min"/>
        <cfvo type="percentile" val="50"/>
        <cfvo type="max"/>
        <color rgb="FF5A8AC6"/>
        <color rgb="FFFCFCFF"/>
        <color rgb="FFF8696B"/>
      </colorScale>
    </cfRule>
  </conditionalFormatting>
  <conditionalFormatting sqref="C1072:C1090">
    <cfRule type="colorScale" priority="263">
      <colorScale>
        <cfvo type="min"/>
        <cfvo type="percentile" val="50"/>
        <cfvo type="max"/>
        <color rgb="FF5A8AC6"/>
        <color rgb="FFFCFCFF"/>
        <color rgb="FFF8696B"/>
      </colorScale>
    </cfRule>
    <cfRule type="colorScale" priority="261">
      <colorScale>
        <cfvo type="min"/>
        <cfvo type="percentile" val="50"/>
        <cfvo type="max"/>
        <color rgb="FF5A8AC6"/>
        <color rgb="FFFCFCFF"/>
        <color rgb="FFF8696B"/>
      </colorScale>
    </cfRule>
  </conditionalFormatting>
  <conditionalFormatting sqref="C1091:C1109">
    <cfRule type="colorScale" priority="256">
      <colorScale>
        <cfvo type="min"/>
        <cfvo type="percentile" val="50"/>
        <cfvo type="max"/>
        <color rgb="FF5A8AC6"/>
        <color rgb="FFFCFCFF"/>
        <color rgb="FFF8696B"/>
      </colorScale>
    </cfRule>
    <cfRule type="colorScale" priority="254">
      <colorScale>
        <cfvo type="min"/>
        <cfvo type="percentile" val="50"/>
        <cfvo type="max"/>
        <color rgb="FF5A8AC6"/>
        <color rgb="FFFCFCFF"/>
        <color rgb="FFF8696B"/>
      </colorScale>
    </cfRule>
  </conditionalFormatting>
  <conditionalFormatting sqref="C1110:C1128">
    <cfRule type="colorScale" priority="247">
      <colorScale>
        <cfvo type="min"/>
        <cfvo type="percentile" val="50"/>
        <cfvo type="max"/>
        <color rgb="FF5A8AC6"/>
        <color rgb="FFFCFCFF"/>
        <color rgb="FFF8696B"/>
      </colorScale>
    </cfRule>
    <cfRule type="colorScale" priority="249">
      <colorScale>
        <cfvo type="min"/>
        <cfvo type="percentile" val="50"/>
        <cfvo type="max"/>
        <color rgb="FF5A8AC6"/>
        <color rgb="FFFCFCFF"/>
        <color rgb="FFF8696B"/>
      </colorScale>
    </cfRule>
  </conditionalFormatting>
  <conditionalFormatting sqref="C1129:C1147">
    <cfRule type="colorScale" priority="242">
      <colorScale>
        <cfvo type="min"/>
        <cfvo type="percentile" val="50"/>
        <cfvo type="max"/>
        <color rgb="FF5A8AC6"/>
        <color rgb="FFFCFCFF"/>
        <color rgb="FFF8696B"/>
      </colorScale>
    </cfRule>
    <cfRule type="colorScale" priority="240">
      <colorScale>
        <cfvo type="min"/>
        <cfvo type="percentile" val="50"/>
        <cfvo type="max"/>
        <color rgb="FF5A8AC6"/>
        <color rgb="FFFCFCFF"/>
        <color rgb="FFF8696B"/>
      </colorScale>
    </cfRule>
  </conditionalFormatting>
  <conditionalFormatting sqref="C1148:C1166">
    <cfRule type="colorScale" priority="235">
      <colorScale>
        <cfvo type="min"/>
        <cfvo type="percentile" val="50"/>
        <cfvo type="max"/>
        <color rgb="FF5A8AC6"/>
        <color rgb="FFFCFCFF"/>
        <color rgb="FFF8696B"/>
      </colorScale>
    </cfRule>
    <cfRule type="colorScale" priority="233">
      <colorScale>
        <cfvo type="min"/>
        <cfvo type="percentile" val="50"/>
        <cfvo type="max"/>
        <color rgb="FF5A8AC6"/>
        <color rgb="FFFCFCFF"/>
        <color rgb="FFF8696B"/>
      </colorScale>
    </cfRule>
  </conditionalFormatting>
  <conditionalFormatting sqref="C1167:C1185">
    <cfRule type="colorScale" priority="228">
      <colorScale>
        <cfvo type="min"/>
        <cfvo type="percentile" val="50"/>
        <cfvo type="max"/>
        <color rgb="FF5A8AC6"/>
        <color rgb="FFFCFCFF"/>
        <color rgb="FFF8696B"/>
      </colorScale>
    </cfRule>
    <cfRule type="colorScale" priority="226">
      <colorScale>
        <cfvo type="min"/>
        <cfvo type="percentile" val="50"/>
        <cfvo type="max"/>
        <color rgb="FF5A8AC6"/>
        <color rgb="FFFCFCFF"/>
        <color rgb="FFF8696B"/>
      </colorScale>
    </cfRule>
  </conditionalFormatting>
  <conditionalFormatting sqref="C1186:C1204">
    <cfRule type="colorScale" priority="221">
      <colorScale>
        <cfvo type="min"/>
        <cfvo type="percentile" val="50"/>
        <cfvo type="max"/>
        <color rgb="FF5A8AC6"/>
        <color rgb="FFFCFCFF"/>
        <color rgb="FFF8696B"/>
      </colorScale>
    </cfRule>
    <cfRule type="colorScale" priority="219">
      <colorScale>
        <cfvo type="min"/>
        <cfvo type="percentile" val="50"/>
        <cfvo type="max"/>
        <color rgb="FF5A8AC6"/>
        <color rgb="FFFCFCFF"/>
        <color rgb="FFF8696B"/>
      </colorScale>
    </cfRule>
  </conditionalFormatting>
  <conditionalFormatting sqref="C1205:C1223">
    <cfRule type="colorScale" priority="212">
      <colorScale>
        <cfvo type="min"/>
        <cfvo type="percentile" val="50"/>
        <cfvo type="max"/>
        <color rgb="FF5A8AC6"/>
        <color rgb="FFFCFCFF"/>
        <color rgb="FFF8696B"/>
      </colorScale>
    </cfRule>
    <cfRule type="colorScale" priority="214">
      <colorScale>
        <cfvo type="min"/>
        <cfvo type="percentile" val="50"/>
        <cfvo type="max"/>
        <color rgb="FF5A8AC6"/>
        <color rgb="FFFCFCFF"/>
        <color rgb="FFF8696B"/>
      </colorScale>
    </cfRule>
  </conditionalFormatting>
  <conditionalFormatting sqref="C1224:C1242">
    <cfRule type="colorScale" priority="207">
      <colorScale>
        <cfvo type="min"/>
        <cfvo type="percentile" val="50"/>
        <cfvo type="max"/>
        <color rgb="FF5A8AC6"/>
        <color rgb="FFFCFCFF"/>
        <color rgb="FFF8696B"/>
      </colorScale>
    </cfRule>
    <cfRule type="colorScale" priority="205">
      <colorScale>
        <cfvo type="min"/>
        <cfvo type="percentile" val="50"/>
        <cfvo type="max"/>
        <color rgb="FF5A8AC6"/>
        <color rgb="FFFCFCFF"/>
        <color rgb="FFF8696B"/>
      </colorScale>
    </cfRule>
  </conditionalFormatting>
  <conditionalFormatting sqref="C1244:C1262">
    <cfRule type="colorScale" priority="190">
      <colorScale>
        <cfvo type="min"/>
        <cfvo type="percentile" val="50"/>
        <cfvo type="max"/>
        <color rgb="FF5A8AC6"/>
        <color rgb="FFFCFCFF"/>
        <color rgb="FFF8696B"/>
      </colorScale>
    </cfRule>
    <cfRule type="colorScale" priority="194">
      <colorScale>
        <cfvo type="min"/>
        <cfvo type="percentile" val="50"/>
        <cfvo type="max"/>
        <color rgb="FF5A8AC6"/>
        <color rgb="FFFCFCFF"/>
        <color rgb="FFF8696B"/>
      </colorScale>
    </cfRule>
  </conditionalFormatting>
  <conditionalFormatting sqref="C1244:C1490">
    <cfRule type="colorScale" priority="102">
      <colorScale>
        <cfvo type="min"/>
        <cfvo type="percentile" val="50"/>
        <cfvo type="max"/>
        <color rgb="FF5A8AC6"/>
        <color rgb="FFFCFCFF"/>
        <color rgb="FFF8696B"/>
      </colorScale>
    </cfRule>
  </conditionalFormatting>
  <conditionalFormatting sqref="C1263:C1281">
    <cfRule type="colorScale" priority="185">
      <colorScale>
        <cfvo type="min"/>
        <cfvo type="percentile" val="50"/>
        <cfvo type="max"/>
        <color rgb="FF5A8AC6"/>
        <color rgb="FFFCFCFF"/>
        <color rgb="FFF8696B"/>
      </colorScale>
    </cfRule>
    <cfRule type="colorScale" priority="183">
      <colorScale>
        <cfvo type="min"/>
        <cfvo type="percentile" val="50"/>
        <cfvo type="max"/>
        <color rgb="FF5A8AC6"/>
        <color rgb="FFFCFCFF"/>
        <color rgb="FFF8696B"/>
      </colorScale>
    </cfRule>
  </conditionalFormatting>
  <conditionalFormatting sqref="C1282:C1300">
    <cfRule type="colorScale" priority="176">
      <colorScale>
        <cfvo type="min"/>
        <cfvo type="percentile" val="50"/>
        <cfvo type="max"/>
        <color rgb="FF5A8AC6"/>
        <color rgb="FFFCFCFF"/>
        <color rgb="FFF8696B"/>
      </colorScale>
    </cfRule>
    <cfRule type="colorScale" priority="178">
      <colorScale>
        <cfvo type="min"/>
        <cfvo type="percentile" val="50"/>
        <cfvo type="max"/>
        <color rgb="FF5A8AC6"/>
        <color rgb="FFFCFCFF"/>
        <color rgb="FFF8696B"/>
      </colorScale>
    </cfRule>
  </conditionalFormatting>
  <conditionalFormatting sqref="C1301:C1319">
    <cfRule type="colorScale" priority="169">
      <colorScale>
        <cfvo type="min"/>
        <cfvo type="percentile" val="50"/>
        <cfvo type="max"/>
        <color rgb="FF5A8AC6"/>
        <color rgb="FFFCFCFF"/>
        <color rgb="FFF8696B"/>
      </colorScale>
    </cfRule>
    <cfRule type="colorScale" priority="171">
      <colorScale>
        <cfvo type="min"/>
        <cfvo type="percentile" val="50"/>
        <cfvo type="max"/>
        <color rgb="FF5A8AC6"/>
        <color rgb="FFFCFCFF"/>
        <color rgb="FFF8696B"/>
      </colorScale>
    </cfRule>
  </conditionalFormatting>
  <conditionalFormatting sqref="C1320:C1338">
    <cfRule type="colorScale" priority="164">
      <colorScale>
        <cfvo type="min"/>
        <cfvo type="percentile" val="50"/>
        <cfvo type="max"/>
        <color rgb="FF5A8AC6"/>
        <color rgb="FFFCFCFF"/>
        <color rgb="FFF8696B"/>
      </colorScale>
    </cfRule>
    <cfRule type="colorScale" priority="162">
      <colorScale>
        <cfvo type="min"/>
        <cfvo type="percentile" val="50"/>
        <cfvo type="max"/>
        <color rgb="FF5A8AC6"/>
        <color rgb="FFFCFCFF"/>
        <color rgb="FFF8696B"/>
      </colorScale>
    </cfRule>
  </conditionalFormatting>
  <conditionalFormatting sqref="C1339:C1357">
    <cfRule type="colorScale" priority="155">
      <colorScale>
        <cfvo type="min"/>
        <cfvo type="percentile" val="50"/>
        <cfvo type="max"/>
        <color rgb="FF5A8AC6"/>
        <color rgb="FFFCFCFF"/>
        <color rgb="FFF8696B"/>
      </colorScale>
    </cfRule>
    <cfRule type="colorScale" priority="157">
      <colorScale>
        <cfvo type="min"/>
        <cfvo type="percentile" val="50"/>
        <cfvo type="max"/>
        <color rgb="FF5A8AC6"/>
        <color rgb="FFFCFCFF"/>
        <color rgb="FFF8696B"/>
      </colorScale>
    </cfRule>
  </conditionalFormatting>
  <conditionalFormatting sqref="C1358:C1376">
    <cfRule type="colorScale" priority="150">
      <colorScale>
        <cfvo type="min"/>
        <cfvo type="percentile" val="50"/>
        <cfvo type="max"/>
        <color rgb="FF5A8AC6"/>
        <color rgb="FFFCFCFF"/>
        <color rgb="FFF8696B"/>
      </colorScale>
    </cfRule>
    <cfRule type="colorScale" priority="148">
      <colorScale>
        <cfvo type="min"/>
        <cfvo type="percentile" val="50"/>
        <cfvo type="max"/>
        <color rgb="FF5A8AC6"/>
        <color rgb="FFFCFCFF"/>
        <color rgb="FFF8696B"/>
      </colorScale>
    </cfRule>
  </conditionalFormatting>
  <conditionalFormatting sqref="C1377:C1395">
    <cfRule type="colorScale" priority="143">
      <colorScale>
        <cfvo type="min"/>
        <cfvo type="percentile" val="50"/>
        <cfvo type="max"/>
        <color rgb="FF5A8AC6"/>
        <color rgb="FFFCFCFF"/>
        <color rgb="FFF8696B"/>
      </colorScale>
    </cfRule>
    <cfRule type="colorScale" priority="141">
      <colorScale>
        <cfvo type="min"/>
        <cfvo type="percentile" val="50"/>
        <cfvo type="max"/>
        <color rgb="FF5A8AC6"/>
        <color rgb="FFFCFCFF"/>
        <color rgb="FFF8696B"/>
      </colorScale>
    </cfRule>
  </conditionalFormatting>
  <conditionalFormatting sqref="C1396:C1414">
    <cfRule type="colorScale" priority="136">
      <colorScale>
        <cfvo type="min"/>
        <cfvo type="percentile" val="50"/>
        <cfvo type="max"/>
        <color rgb="FF5A8AC6"/>
        <color rgb="FFFCFCFF"/>
        <color rgb="FFF8696B"/>
      </colorScale>
    </cfRule>
    <cfRule type="colorScale" priority="134">
      <colorScale>
        <cfvo type="min"/>
        <cfvo type="percentile" val="50"/>
        <cfvo type="max"/>
        <color rgb="FF5A8AC6"/>
        <color rgb="FFFCFCFF"/>
        <color rgb="FFF8696B"/>
      </colorScale>
    </cfRule>
  </conditionalFormatting>
  <conditionalFormatting sqref="C1415:C1433">
    <cfRule type="colorScale" priority="129">
      <colorScale>
        <cfvo type="min"/>
        <cfvo type="percentile" val="50"/>
        <cfvo type="max"/>
        <color rgb="FF5A8AC6"/>
        <color rgb="FFFCFCFF"/>
        <color rgb="FFF8696B"/>
      </colorScale>
    </cfRule>
    <cfRule type="colorScale" priority="127">
      <colorScale>
        <cfvo type="min"/>
        <cfvo type="percentile" val="50"/>
        <cfvo type="max"/>
        <color rgb="FF5A8AC6"/>
        <color rgb="FFFCFCFF"/>
        <color rgb="FFF8696B"/>
      </colorScale>
    </cfRule>
  </conditionalFormatting>
  <conditionalFormatting sqref="C1434:C1452">
    <cfRule type="colorScale" priority="122">
      <colorScale>
        <cfvo type="min"/>
        <cfvo type="percentile" val="50"/>
        <cfvo type="max"/>
        <color rgb="FF5A8AC6"/>
        <color rgb="FFFCFCFF"/>
        <color rgb="FFF8696B"/>
      </colorScale>
    </cfRule>
    <cfRule type="colorScale" priority="120">
      <colorScale>
        <cfvo type="min"/>
        <cfvo type="percentile" val="50"/>
        <cfvo type="max"/>
        <color rgb="FF5A8AC6"/>
        <color rgb="FFFCFCFF"/>
        <color rgb="FFF8696B"/>
      </colorScale>
    </cfRule>
  </conditionalFormatting>
  <conditionalFormatting sqref="C1453:C1471">
    <cfRule type="colorScale" priority="113">
      <colorScale>
        <cfvo type="min"/>
        <cfvo type="percentile" val="50"/>
        <cfvo type="max"/>
        <color rgb="FF5A8AC6"/>
        <color rgb="FFFCFCFF"/>
        <color rgb="FFF8696B"/>
      </colorScale>
    </cfRule>
    <cfRule type="colorScale" priority="115">
      <colorScale>
        <cfvo type="min"/>
        <cfvo type="percentile" val="50"/>
        <cfvo type="max"/>
        <color rgb="FF5A8AC6"/>
        <color rgb="FFFCFCFF"/>
        <color rgb="FFF8696B"/>
      </colorScale>
    </cfRule>
  </conditionalFormatting>
  <conditionalFormatting sqref="C1472:C1490">
    <cfRule type="colorScale" priority="106">
      <colorScale>
        <cfvo type="min"/>
        <cfvo type="percentile" val="50"/>
        <cfvo type="max"/>
        <color rgb="FF5A8AC6"/>
        <color rgb="FFFCFCFF"/>
        <color rgb="FFF8696B"/>
      </colorScale>
    </cfRule>
    <cfRule type="colorScale" priority="108">
      <colorScale>
        <cfvo type="min"/>
        <cfvo type="percentile" val="50"/>
        <cfvo type="max"/>
        <color rgb="FF5A8AC6"/>
        <color rgb="FFFCFCFF"/>
        <color rgb="FFF8696B"/>
      </colorScale>
    </cfRule>
  </conditionalFormatting>
  <conditionalFormatting sqref="C1492:C1510">
    <cfRule type="colorScale" priority="95">
      <colorScale>
        <cfvo type="min"/>
        <cfvo type="percentile" val="50"/>
        <cfvo type="max"/>
        <color rgb="FF5A8AC6"/>
        <color rgb="FFFCFCFF"/>
        <color rgb="FFF8696B"/>
      </colorScale>
    </cfRule>
    <cfRule type="colorScale" priority="91">
      <colorScale>
        <cfvo type="min"/>
        <cfvo type="percentile" val="50"/>
        <cfvo type="max"/>
        <color rgb="FF5A8AC6"/>
        <color rgb="FFFCFCFF"/>
        <color rgb="FFF8696B"/>
      </colorScale>
    </cfRule>
  </conditionalFormatting>
  <conditionalFormatting sqref="C1492:C1738">
    <cfRule type="colorScale" priority="3">
      <colorScale>
        <cfvo type="min"/>
        <cfvo type="percentile" val="50"/>
        <cfvo type="max"/>
        <color rgb="FF5A8AC6"/>
        <color rgb="FFFCFCFF"/>
        <color rgb="FFF8696B"/>
      </colorScale>
    </cfRule>
  </conditionalFormatting>
  <conditionalFormatting sqref="C1511:C1529">
    <cfRule type="colorScale" priority="86">
      <colorScale>
        <cfvo type="min"/>
        <cfvo type="percentile" val="50"/>
        <cfvo type="max"/>
        <color rgb="FF5A8AC6"/>
        <color rgb="FFFCFCFF"/>
        <color rgb="FFF8696B"/>
      </colorScale>
    </cfRule>
    <cfRule type="colorScale" priority="84">
      <colorScale>
        <cfvo type="min"/>
        <cfvo type="percentile" val="50"/>
        <cfvo type="max"/>
        <color rgb="FF5A8AC6"/>
        <color rgb="FFFCFCFF"/>
        <color rgb="FFF8696B"/>
      </colorScale>
    </cfRule>
  </conditionalFormatting>
  <conditionalFormatting sqref="C1530:C1548">
    <cfRule type="colorScale" priority="77">
      <colorScale>
        <cfvo type="min"/>
        <cfvo type="percentile" val="50"/>
        <cfvo type="max"/>
        <color rgb="FF5A8AC6"/>
        <color rgb="FFFCFCFF"/>
        <color rgb="FFF8696B"/>
      </colorScale>
    </cfRule>
    <cfRule type="colorScale" priority="79">
      <colorScale>
        <cfvo type="min"/>
        <cfvo type="percentile" val="50"/>
        <cfvo type="max"/>
        <color rgb="FF5A8AC6"/>
        <color rgb="FFFCFCFF"/>
        <color rgb="FFF8696B"/>
      </colorScale>
    </cfRule>
  </conditionalFormatting>
  <conditionalFormatting sqref="C1549:C1567">
    <cfRule type="colorScale" priority="72">
      <colorScale>
        <cfvo type="min"/>
        <cfvo type="percentile" val="50"/>
        <cfvo type="max"/>
        <color rgb="FF5A8AC6"/>
        <color rgb="FFFCFCFF"/>
        <color rgb="FFF8696B"/>
      </colorScale>
    </cfRule>
    <cfRule type="colorScale" priority="70">
      <colorScale>
        <cfvo type="min"/>
        <cfvo type="percentile" val="50"/>
        <cfvo type="max"/>
        <color rgb="FF5A8AC6"/>
        <color rgb="FFFCFCFF"/>
        <color rgb="FFF8696B"/>
      </colorScale>
    </cfRule>
  </conditionalFormatting>
  <conditionalFormatting sqref="C1568:C1586">
    <cfRule type="colorScale" priority="65">
      <colorScale>
        <cfvo type="min"/>
        <cfvo type="percentile" val="50"/>
        <cfvo type="max"/>
        <color rgb="FF5A8AC6"/>
        <color rgb="FFFCFCFF"/>
        <color rgb="FFF8696B"/>
      </colorScale>
    </cfRule>
    <cfRule type="colorScale" priority="63">
      <colorScale>
        <cfvo type="min"/>
        <cfvo type="percentile" val="50"/>
        <cfvo type="max"/>
        <color rgb="FF5A8AC6"/>
        <color rgb="FFFCFCFF"/>
        <color rgb="FFF8696B"/>
      </colorScale>
    </cfRule>
  </conditionalFormatting>
  <conditionalFormatting sqref="C1587:C1605">
    <cfRule type="colorScale" priority="56">
      <colorScale>
        <cfvo type="min"/>
        <cfvo type="percentile" val="50"/>
        <cfvo type="max"/>
        <color rgb="FF5A8AC6"/>
        <color rgb="FFFCFCFF"/>
        <color rgb="FFF8696B"/>
      </colorScale>
    </cfRule>
    <cfRule type="colorScale" priority="58">
      <colorScale>
        <cfvo type="min"/>
        <cfvo type="percentile" val="50"/>
        <cfvo type="max"/>
        <color rgb="FF5A8AC6"/>
        <color rgb="FFFCFCFF"/>
        <color rgb="FFF8696B"/>
      </colorScale>
    </cfRule>
  </conditionalFormatting>
  <conditionalFormatting sqref="C1606:C1624">
    <cfRule type="colorScale" priority="51">
      <colorScale>
        <cfvo type="min"/>
        <cfvo type="percentile" val="50"/>
        <cfvo type="max"/>
        <color rgb="FF5A8AC6"/>
        <color rgb="FFFCFCFF"/>
        <color rgb="FFF8696B"/>
      </colorScale>
    </cfRule>
    <cfRule type="colorScale" priority="49">
      <colorScale>
        <cfvo type="min"/>
        <cfvo type="percentile" val="50"/>
        <cfvo type="max"/>
        <color rgb="FF5A8AC6"/>
        <color rgb="FFFCFCFF"/>
        <color rgb="FFF8696B"/>
      </colorScale>
    </cfRule>
  </conditionalFormatting>
  <conditionalFormatting sqref="C1625:C1643">
    <cfRule type="colorScale" priority="44">
      <colorScale>
        <cfvo type="min"/>
        <cfvo type="percentile" val="50"/>
        <cfvo type="max"/>
        <color rgb="FF5A8AC6"/>
        <color rgb="FFFCFCFF"/>
        <color rgb="FFF8696B"/>
      </colorScale>
    </cfRule>
    <cfRule type="colorScale" priority="42">
      <colorScale>
        <cfvo type="min"/>
        <cfvo type="percentile" val="50"/>
        <cfvo type="max"/>
        <color rgb="FF5A8AC6"/>
        <color rgb="FFFCFCFF"/>
        <color rgb="FFF8696B"/>
      </colorScale>
    </cfRule>
  </conditionalFormatting>
  <conditionalFormatting sqref="C1644:C1662">
    <cfRule type="colorScale" priority="35">
      <colorScale>
        <cfvo type="min"/>
        <cfvo type="percentile" val="50"/>
        <cfvo type="max"/>
        <color rgb="FF5A8AC6"/>
        <color rgb="FFFCFCFF"/>
        <color rgb="FFF8696B"/>
      </colorScale>
    </cfRule>
    <cfRule type="colorScale" priority="37">
      <colorScale>
        <cfvo type="min"/>
        <cfvo type="percentile" val="50"/>
        <cfvo type="max"/>
        <color rgb="FF5A8AC6"/>
        <color rgb="FFFCFCFF"/>
        <color rgb="FFF8696B"/>
      </colorScale>
    </cfRule>
  </conditionalFormatting>
  <conditionalFormatting sqref="C1663:C1681">
    <cfRule type="colorScale" priority="30">
      <colorScale>
        <cfvo type="min"/>
        <cfvo type="percentile" val="50"/>
        <cfvo type="max"/>
        <color rgb="FF5A8AC6"/>
        <color rgb="FFFCFCFF"/>
        <color rgb="FFF8696B"/>
      </colorScale>
    </cfRule>
    <cfRule type="colorScale" priority="28">
      <colorScale>
        <cfvo type="min"/>
        <cfvo type="percentile" val="50"/>
        <cfvo type="max"/>
        <color rgb="FF5A8AC6"/>
        <color rgb="FFFCFCFF"/>
        <color rgb="FFF8696B"/>
      </colorScale>
    </cfRule>
  </conditionalFormatting>
  <conditionalFormatting sqref="C1682:C1700">
    <cfRule type="colorScale" priority="21">
      <colorScale>
        <cfvo type="min"/>
        <cfvo type="percentile" val="50"/>
        <cfvo type="max"/>
        <color rgb="FF5A8AC6"/>
        <color rgb="FFFCFCFF"/>
        <color rgb="FFF8696B"/>
      </colorScale>
    </cfRule>
    <cfRule type="colorScale" priority="23">
      <colorScale>
        <cfvo type="min"/>
        <cfvo type="percentile" val="50"/>
        <cfvo type="max"/>
        <color rgb="FF5A8AC6"/>
        <color rgb="FFFCFCFF"/>
        <color rgb="FFF8696B"/>
      </colorScale>
    </cfRule>
  </conditionalFormatting>
  <conditionalFormatting sqref="C1701:C1719">
    <cfRule type="colorScale" priority="14">
      <colorScale>
        <cfvo type="min"/>
        <cfvo type="percentile" val="50"/>
        <cfvo type="max"/>
        <color rgb="FF5A8AC6"/>
        <color rgb="FFFCFCFF"/>
        <color rgb="FFF8696B"/>
      </colorScale>
    </cfRule>
    <cfRule type="colorScale" priority="16">
      <colorScale>
        <cfvo type="min"/>
        <cfvo type="percentile" val="50"/>
        <cfvo type="max"/>
        <color rgb="FF5A8AC6"/>
        <color rgb="FFFCFCFF"/>
        <color rgb="FFF8696B"/>
      </colorScale>
    </cfRule>
  </conditionalFormatting>
  <conditionalFormatting sqref="C1720:C1738">
    <cfRule type="colorScale" priority="7">
      <colorScale>
        <cfvo type="min"/>
        <cfvo type="percentile" val="50"/>
        <cfvo type="max"/>
        <color rgb="FF5A8AC6"/>
        <color rgb="FFFCFCFF"/>
        <color rgb="FFF8696B"/>
      </colorScale>
    </cfRule>
    <cfRule type="colorScale" priority="9">
      <colorScale>
        <cfvo type="min"/>
        <cfvo type="percentile" val="50"/>
        <cfvo type="max"/>
        <color rgb="FF5A8AC6"/>
        <color rgb="FFFCFCFF"/>
        <color rgb="FFF8696B"/>
      </colorScale>
    </cfRule>
  </conditionalFormatting>
  <conditionalFormatting sqref="D1:D270 D499 D747 D995 D1243 D1491 D1739:D1048576">
    <cfRule type="colorScale" priority="613">
      <colorScale>
        <cfvo type="min"/>
        <cfvo type="percentile" val="50"/>
        <cfvo type="max"/>
        <color rgb="FF5A8AC6"/>
        <color rgb="FFFCFCFF"/>
        <color rgb="FFF8696B"/>
      </colorScale>
    </cfRule>
  </conditionalFormatting>
  <conditionalFormatting sqref="D4:D136">
    <cfRule type="colorScale" priority="667">
      <colorScale>
        <cfvo type="min"/>
        <cfvo type="percentile" val="50"/>
        <cfvo type="max"/>
        <color rgb="FF5A8AC6"/>
        <color rgb="FFFCFCFF"/>
        <color rgb="FFF8696B"/>
      </colorScale>
    </cfRule>
  </conditionalFormatting>
  <conditionalFormatting sqref="D4:D498">
    <cfRule type="colorScale" priority="499">
      <colorScale>
        <cfvo type="min"/>
        <cfvo type="percentile" val="50"/>
        <cfvo type="max"/>
        <color rgb="FF5A8AC6"/>
        <color rgb="FFFCFCFF"/>
        <color rgb="FFF8696B"/>
      </colorScale>
    </cfRule>
  </conditionalFormatting>
  <conditionalFormatting sqref="D137:D155">
    <cfRule type="colorScale" priority="661">
      <colorScale>
        <cfvo type="min"/>
        <cfvo type="percentile" val="50"/>
        <cfvo type="max"/>
        <color rgb="FF5A8AC6"/>
        <color rgb="FFFCFCFF"/>
        <color rgb="FFF8696B"/>
      </colorScale>
    </cfRule>
  </conditionalFormatting>
  <conditionalFormatting sqref="D156:D174">
    <cfRule type="colorScale" priority="653">
      <colorScale>
        <cfvo type="min"/>
        <cfvo type="percentile" val="50"/>
        <cfvo type="max"/>
        <color rgb="FF5A8AC6"/>
        <color rgb="FFFCFCFF"/>
        <color rgb="FFF8696B"/>
      </colorScale>
    </cfRule>
  </conditionalFormatting>
  <conditionalFormatting sqref="D175:D193">
    <cfRule type="colorScale" priority="645">
      <colorScale>
        <cfvo type="min"/>
        <cfvo type="percentile" val="50"/>
        <cfvo type="max"/>
        <color rgb="FF5A8AC6"/>
        <color rgb="FFFCFCFF"/>
        <color rgb="FFF8696B"/>
      </colorScale>
    </cfRule>
  </conditionalFormatting>
  <conditionalFormatting sqref="D194:D212">
    <cfRule type="colorScale" priority="637">
      <colorScale>
        <cfvo type="min"/>
        <cfvo type="percentile" val="50"/>
        <cfvo type="max"/>
        <color rgb="FF5A8AC6"/>
        <color rgb="FFFCFCFF"/>
        <color rgb="FFF8696B"/>
      </colorScale>
    </cfRule>
  </conditionalFormatting>
  <conditionalFormatting sqref="D213:D231">
    <cfRule type="colorScale" priority="629">
      <colorScale>
        <cfvo type="min"/>
        <cfvo type="percentile" val="50"/>
        <cfvo type="max"/>
        <color rgb="FF5A8AC6"/>
        <color rgb="FFFCFCFF"/>
        <color rgb="FFF8696B"/>
      </colorScale>
    </cfRule>
  </conditionalFormatting>
  <conditionalFormatting sqref="D232:D250">
    <cfRule type="colorScale" priority="621">
      <colorScale>
        <cfvo type="min"/>
        <cfvo type="percentile" val="50"/>
        <cfvo type="max"/>
        <color rgb="FF5A8AC6"/>
        <color rgb="FFFCFCFF"/>
        <color rgb="FFF8696B"/>
      </colorScale>
    </cfRule>
  </conditionalFormatting>
  <conditionalFormatting sqref="D271:D498">
    <cfRule type="colorScale" priority="604">
      <colorScale>
        <cfvo type="min"/>
        <cfvo type="percentile" val="50"/>
        <cfvo type="max"/>
        <color rgb="FF5A8AC6"/>
        <color rgb="FFFCFCFF"/>
        <color rgb="FFF8696B"/>
      </colorScale>
    </cfRule>
  </conditionalFormatting>
  <conditionalFormatting sqref="D290:D308">
    <cfRule type="colorScale" priority="595">
      <colorScale>
        <cfvo type="min"/>
        <cfvo type="percentile" val="50"/>
        <cfvo type="max"/>
        <color rgb="FF5A8AC6"/>
        <color rgb="FFFCFCFF"/>
        <color rgb="FFF8696B"/>
      </colorScale>
    </cfRule>
  </conditionalFormatting>
  <conditionalFormatting sqref="D309:D327">
    <cfRule type="colorScale" priority="586">
      <colorScale>
        <cfvo type="min"/>
        <cfvo type="percentile" val="50"/>
        <cfvo type="max"/>
        <color rgb="FF5A8AC6"/>
        <color rgb="FFFCFCFF"/>
        <color rgb="FFF8696B"/>
      </colorScale>
    </cfRule>
  </conditionalFormatting>
  <conditionalFormatting sqref="D328:D346">
    <cfRule type="colorScale" priority="577">
      <colorScale>
        <cfvo type="min"/>
        <cfvo type="percentile" val="50"/>
        <cfvo type="max"/>
        <color rgb="FF5A8AC6"/>
        <color rgb="FFFCFCFF"/>
        <color rgb="FFF8696B"/>
      </colorScale>
    </cfRule>
  </conditionalFormatting>
  <conditionalFormatting sqref="D347:D365">
    <cfRule type="colorScale" priority="568">
      <colorScale>
        <cfvo type="min"/>
        <cfvo type="percentile" val="50"/>
        <cfvo type="max"/>
        <color rgb="FF5A8AC6"/>
        <color rgb="FFFCFCFF"/>
        <color rgb="FFF8696B"/>
      </colorScale>
    </cfRule>
  </conditionalFormatting>
  <conditionalFormatting sqref="D366:D384">
    <cfRule type="colorScale" priority="559">
      <colorScale>
        <cfvo type="min"/>
        <cfvo type="percentile" val="50"/>
        <cfvo type="max"/>
        <color rgb="FF5A8AC6"/>
        <color rgb="FFFCFCFF"/>
        <color rgb="FFF8696B"/>
      </colorScale>
    </cfRule>
  </conditionalFormatting>
  <conditionalFormatting sqref="D385:D403">
    <cfRule type="colorScale" priority="550">
      <colorScale>
        <cfvo type="min"/>
        <cfvo type="percentile" val="50"/>
        <cfvo type="max"/>
        <color rgb="FF5A8AC6"/>
        <color rgb="FFFCFCFF"/>
        <color rgb="FFF8696B"/>
      </colorScale>
    </cfRule>
  </conditionalFormatting>
  <conditionalFormatting sqref="D404:D422">
    <cfRule type="colorScale" priority="541">
      <colorScale>
        <cfvo type="min"/>
        <cfvo type="percentile" val="50"/>
        <cfvo type="max"/>
        <color rgb="FF5A8AC6"/>
        <color rgb="FFFCFCFF"/>
        <color rgb="FFF8696B"/>
      </colorScale>
    </cfRule>
  </conditionalFormatting>
  <conditionalFormatting sqref="D423:D441">
    <cfRule type="colorScale" priority="532">
      <colorScale>
        <cfvo type="min"/>
        <cfvo type="percentile" val="50"/>
        <cfvo type="max"/>
        <color rgb="FF5A8AC6"/>
        <color rgb="FFFCFCFF"/>
        <color rgb="FFF8696B"/>
      </colorScale>
    </cfRule>
  </conditionalFormatting>
  <conditionalFormatting sqref="D442:D460">
    <cfRule type="colorScale" priority="523">
      <colorScale>
        <cfvo type="min"/>
        <cfvo type="percentile" val="50"/>
        <cfvo type="max"/>
        <color rgb="FF5A8AC6"/>
        <color rgb="FFFCFCFF"/>
        <color rgb="FFF8696B"/>
      </colorScale>
    </cfRule>
  </conditionalFormatting>
  <conditionalFormatting sqref="D461:D479">
    <cfRule type="colorScale" priority="514">
      <colorScale>
        <cfvo type="min"/>
        <cfvo type="percentile" val="50"/>
        <cfvo type="max"/>
        <color rgb="FF5A8AC6"/>
        <color rgb="FFFCFCFF"/>
        <color rgb="FFF8696B"/>
      </colorScale>
    </cfRule>
  </conditionalFormatting>
  <conditionalFormatting sqref="D480:D498">
    <cfRule type="colorScale" priority="505">
      <colorScale>
        <cfvo type="min"/>
        <cfvo type="percentile" val="50"/>
        <cfvo type="max"/>
        <color rgb="FF5A8AC6"/>
        <color rgb="FFFCFCFF"/>
        <color rgb="FFF8696B"/>
      </colorScale>
    </cfRule>
  </conditionalFormatting>
  <conditionalFormatting sqref="D500:D746">
    <cfRule type="colorScale" priority="400">
      <colorScale>
        <cfvo type="min"/>
        <cfvo type="percentile" val="50"/>
        <cfvo type="max"/>
        <color rgb="FF5A8AC6"/>
        <color rgb="FFFCFCFF"/>
        <color rgb="FFF8696B"/>
      </colorScale>
    </cfRule>
    <cfRule type="colorScale" priority="490">
      <colorScale>
        <cfvo type="min"/>
        <cfvo type="percentile" val="50"/>
        <cfvo type="max"/>
        <color rgb="FF5A8AC6"/>
        <color rgb="FFFCFCFF"/>
        <color rgb="FFF8696B"/>
      </colorScale>
    </cfRule>
  </conditionalFormatting>
  <conditionalFormatting sqref="D748:D994">
    <cfRule type="colorScale" priority="391">
      <colorScale>
        <cfvo type="min"/>
        <cfvo type="percentile" val="50"/>
        <cfvo type="max"/>
        <color rgb="FF5A8AC6"/>
        <color rgb="FFFCFCFF"/>
        <color rgb="FFF8696B"/>
      </colorScale>
    </cfRule>
    <cfRule type="colorScale" priority="301">
      <colorScale>
        <cfvo type="min"/>
        <cfvo type="percentile" val="50"/>
        <cfvo type="max"/>
        <color rgb="FF5A8AC6"/>
        <color rgb="FFFCFCFF"/>
        <color rgb="FFF8696B"/>
      </colorScale>
    </cfRule>
  </conditionalFormatting>
  <conditionalFormatting sqref="D996:D1242">
    <cfRule type="colorScale" priority="202">
      <colorScale>
        <cfvo type="min"/>
        <cfvo type="percentile" val="50"/>
        <cfvo type="max"/>
        <color rgb="FF5A8AC6"/>
        <color rgb="FFFCFCFF"/>
        <color rgb="FFF8696B"/>
      </colorScale>
    </cfRule>
    <cfRule type="colorScale" priority="292">
      <colorScale>
        <cfvo type="min"/>
        <cfvo type="percentile" val="50"/>
        <cfvo type="max"/>
        <color rgb="FF5A8AC6"/>
        <color rgb="FFFCFCFF"/>
        <color rgb="FFF8696B"/>
      </colorScale>
    </cfRule>
  </conditionalFormatting>
  <conditionalFormatting sqref="D1244:D1490">
    <cfRule type="colorScale" priority="193">
      <colorScale>
        <cfvo type="min"/>
        <cfvo type="percentile" val="50"/>
        <cfvo type="max"/>
        <color rgb="FF5A8AC6"/>
        <color rgb="FFFCFCFF"/>
        <color rgb="FFF8696B"/>
      </colorScale>
    </cfRule>
    <cfRule type="colorScale" priority="103">
      <colorScale>
        <cfvo type="min"/>
        <cfvo type="percentile" val="50"/>
        <cfvo type="max"/>
        <color rgb="FF5A8AC6"/>
        <color rgb="FFFCFCFF"/>
        <color rgb="FFF8696B"/>
      </colorScale>
    </cfRule>
  </conditionalFormatting>
  <conditionalFormatting sqref="D1492:D1738">
    <cfRule type="colorScale" priority="4">
      <colorScale>
        <cfvo type="min"/>
        <cfvo type="percentile" val="50"/>
        <cfvo type="max"/>
        <color rgb="FF5A8AC6"/>
        <color rgb="FFFCFCFF"/>
        <color rgb="FFF8696B"/>
      </colorScale>
    </cfRule>
    <cfRule type="colorScale" priority="94">
      <colorScale>
        <cfvo type="min"/>
        <cfvo type="percentile" val="50"/>
        <cfvo type="max"/>
        <color rgb="FF5A8AC6"/>
        <color rgb="FFFCFCFF"/>
        <color rgb="FFF8696B"/>
      </colorScale>
    </cfRule>
  </conditionalFormatting>
  <conditionalFormatting sqref="E1:E270 E499 E747 E995 E1243 E1491 E1739:E1048576">
    <cfRule type="colorScale" priority="612">
      <colorScale>
        <cfvo type="min"/>
        <cfvo type="percentile" val="50"/>
        <cfvo type="max"/>
        <color rgb="FF5A8AC6"/>
        <color rgb="FFFCFCFF"/>
        <color rgb="FFF8696B"/>
      </colorScale>
    </cfRule>
  </conditionalFormatting>
  <conditionalFormatting sqref="E4:E136">
    <cfRule type="colorScale" priority="666">
      <colorScale>
        <cfvo type="min"/>
        <cfvo type="percentile" val="50"/>
        <cfvo type="max"/>
        <color rgb="FF5A8AC6"/>
        <color rgb="FFFCFCFF"/>
        <color rgb="FFF8696B"/>
      </colorScale>
    </cfRule>
  </conditionalFormatting>
  <conditionalFormatting sqref="E4:E498">
    <cfRule type="colorScale" priority="500">
      <colorScale>
        <cfvo type="min"/>
        <cfvo type="percentile" val="50"/>
        <cfvo type="max"/>
        <color rgb="FF5A8AC6"/>
        <color rgb="FFFCFCFF"/>
        <color rgb="FFF8696B"/>
      </colorScale>
    </cfRule>
  </conditionalFormatting>
  <conditionalFormatting sqref="E137:E155">
    <cfRule type="colorScale" priority="660">
      <colorScale>
        <cfvo type="min"/>
        <cfvo type="percentile" val="50"/>
        <cfvo type="max"/>
        <color rgb="FF5A8AC6"/>
        <color rgb="FFFCFCFF"/>
        <color rgb="FFF8696B"/>
      </colorScale>
    </cfRule>
  </conditionalFormatting>
  <conditionalFormatting sqref="E156:E174">
    <cfRule type="colorScale" priority="652">
      <colorScale>
        <cfvo type="min"/>
        <cfvo type="percentile" val="50"/>
        <cfvo type="max"/>
        <color rgb="FF5A8AC6"/>
        <color rgb="FFFCFCFF"/>
        <color rgb="FFF8696B"/>
      </colorScale>
    </cfRule>
  </conditionalFormatting>
  <conditionalFormatting sqref="E175:E193">
    <cfRule type="colorScale" priority="644">
      <colorScale>
        <cfvo type="min"/>
        <cfvo type="percentile" val="50"/>
        <cfvo type="max"/>
        <color rgb="FF5A8AC6"/>
        <color rgb="FFFCFCFF"/>
        <color rgb="FFF8696B"/>
      </colorScale>
    </cfRule>
  </conditionalFormatting>
  <conditionalFormatting sqref="E194:E212">
    <cfRule type="colorScale" priority="636">
      <colorScale>
        <cfvo type="min"/>
        <cfvo type="percentile" val="50"/>
        <cfvo type="max"/>
        <color rgb="FF5A8AC6"/>
        <color rgb="FFFCFCFF"/>
        <color rgb="FFF8696B"/>
      </colorScale>
    </cfRule>
  </conditionalFormatting>
  <conditionalFormatting sqref="E213:E231">
    <cfRule type="colorScale" priority="628">
      <colorScale>
        <cfvo type="min"/>
        <cfvo type="percentile" val="50"/>
        <cfvo type="max"/>
        <color rgb="FF5A8AC6"/>
        <color rgb="FFFCFCFF"/>
        <color rgb="FFF8696B"/>
      </colorScale>
    </cfRule>
  </conditionalFormatting>
  <conditionalFormatting sqref="E232:E250">
    <cfRule type="colorScale" priority="620">
      <colorScale>
        <cfvo type="min"/>
        <cfvo type="percentile" val="50"/>
        <cfvo type="max"/>
        <color rgb="FF5A8AC6"/>
        <color rgb="FFFCFCFF"/>
        <color rgb="FFF8696B"/>
      </colorScale>
    </cfRule>
  </conditionalFormatting>
  <conditionalFormatting sqref="E271:E289">
    <cfRule type="colorScale" priority="603">
      <colorScale>
        <cfvo type="min"/>
        <cfvo type="percentile" val="50"/>
        <cfvo type="max"/>
        <color rgb="FF5A8AC6"/>
        <color rgb="FFFCFCFF"/>
        <color rgb="FFF8696B"/>
      </colorScale>
    </cfRule>
  </conditionalFormatting>
  <conditionalFormatting sqref="E290:E308">
    <cfRule type="colorScale" priority="594">
      <colorScale>
        <cfvo type="min"/>
        <cfvo type="percentile" val="50"/>
        <cfvo type="max"/>
        <color rgb="FF5A8AC6"/>
        <color rgb="FFFCFCFF"/>
        <color rgb="FFF8696B"/>
      </colorScale>
    </cfRule>
  </conditionalFormatting>
  <conditionalFormatting sqref="E309:E327">
    <cfRule type="colorScale" priority="585">
      <colorScale>
        <cfvo type="min"/>
        <cfvo type="percentile" val="50"/>
        <cfvo type="max"/>
        <color rgb="FF5A8AC6"/>
        <color rgb="FFFCFCFF"/>
        <color rgb="FFF8696B"/>
      </colorScale>
    </cfRule>
  </conditionalFormatting>
  <conditionalFormatting sqref="E328:E346">
    <cfRule type="colorScale" priority="576">
      <colorScale>
        <cfvo type="min"/>
        <cfvo type="percentile" val="50"/>
        <cfvo type="max"/>
        <color rgb="FF5A8AC6"/>
        <color rgb="FFFCFCFF"/>
        <color rgb="FFF8696B"/>
      </colorScale>
    </cfRule>
  </conditionalFormatting>
  <conditionalFormatting sqref="E347:E365">
    <cfRule type="colorScale" priority="567">
      <colorScale>
        <cfvo type="min"/>
        <cfvo type="percentile" val="50"/>
        <cfvo type="max"/>
        <color rgb="FF5A8AC6"/>
        <color rgb="FFFCFCFF"/>
        <color rgb="FFF8696B"/>
      </colorScale>
    </cfRule>
  </conditionalFormatting>
  <conditionalFormatting sqref="E366:E384">
    <cfRule type="colorScale" priority="558">
      <colorScale>
        <cfvo type="min"/>
        <cfvo type="percentile" val="50"/>
        <cfvo type="max"/>
        <color rgb="FF5A8AC6"/>
        <color rgb="FFFCFCFF"/>
        <color rgb="FFF8696B"/>
      </colorScale>
    </cfRule>
  </conditionalFormatting>
  <conditionalFormatting sqref="E385:E403">
    <cfRule type="colorScale" priority="549">
      <colorScale>
        <cfvo type="min"/>
        <cfvo type="percentile" val="50"/>
        <cfvo type="max"/>
        <color rgb="FF5A8AC6"/>
        <color rgb="FFFCFCFF"/>
        <color rgb="FFF8696B"/>
      </colorScale>
    </cfRule>
  </conditionalFormatting>
  <conditionalFormatting sqref="E404:E422">
    <cfRule type="colorScale" priority="540">
      <colorScale>
        <cfvo type="min"/>
        <cfvo type="percentile" val="50"/>
        <cfvo type="max"/>
        <color rgb="FF5A8AC6"/>
        <color rgb="FFFCFCFF"/>
        <color rgb="FFF8696B"/>
      </colorScale>
    </cfRule>
  </conditionalFormatting>
  <conditionalFormatting sqref="E423:E441">
    <cfRule type="colorScale" priority="531">
      <colorScale>
        <cfvo type="min"/>
        <cfvo type="percentile" val="50"/>
        <cfvo type="max"/>
        <color rgb="FF5A8AC6"/>
        <color rgb="FFFCFCFF"/>
        <color rgb="FFF8696B"/>
      </colorScale>
    </cfRule>
  </conditionalFormatting>
  <conditionalFormatting sqref="E442:E460">
    <cfRule type="colorScale" priority="522">
      <colorScale>
        <cfvo type="min"/>
        <cfvo type="percentile" val="50"/>
        <cfvo type="max"/>
        <color rgb="FF5A8AC6"/>
        <color rgb="FFFCFCFF"/>
        <color rgb="FFF8696B"/>
      </colorScale>
    </cfRule>
  </conditionalFormatting>
  <conditionalFormatting sqref="E461:E479">
    <cfRule type="colorScale" priority="513">
      <colorScale>
        <cfvo type="min"/>
        <cfvo type="percentile" val="50"/>
        <cfvo type="max"/>
        <color rgb="FF5A8AC6"/>
        <color rgb="FFFCFCFF"/>
        <color rgb="FFF8696B"/>
      </colorScale>
    </cfRule>
  </conditionalFormatting>
  <conditionalFormatting sqref="E480:E498">
    <cfRule type="colorScale" priority="504">
      <colorScale>
        <cfvo type="min"/>
        <cfvo type="percentile" val="50"/>
        <cfvo type="max"/>
        <color rgb="FF5A8AC6"/>
        <color rgb="FFFCFCFF"/>
        <color rgb="FFF8696B"/>
      </colorScale>
    </cfRule>
  </conditionalFormatting>
  <conditionalFormatting sqref="E500:E746">
    <cfRule type="colorScale" priority="489">
      <colorScale>
        <cfvo type="min"/>
        <cfvo type="percentile" val="50"/>
        <cfvo type="max"/>
        <color rgb="FF5A8AC6"/>
        <color rgb="FFFCFCFF"/>
        <color rgb="FFF8696B"/>
      </colorScale>
    </cfRule>
    <cfRule type="colorScale" priority="401">
      <colorScale>
        <cfvo type="min"/>
        <cfvo type="percentile" val="50"/>
        <cfvo type="max"/>
        <color rgb="FF5A8AC6"/>
        <color rgb="FFFCFCFF"/>
        <color rgb="FFF8696B"/>
      </colorScale>
    </cfRule>
  </conditionalFormatting>
  <conditionalFormatting sqref="E748:E994">
    <cfRule type="colorScale" priority="390">
      <colorScale>
        <cfvo type="min"/>
        <cfvo type="percentile" val="50"/>
        <cfvo type="max"/>
        <color rgb="FF5A8AC6"/>
        <color rgb="FFFCFCFF"/>
        <color rgb="FFF8696B"/>
      </colorScale>
    </cfRule>
    <cfRule type="colorScale" priority="302">
      <colorScale>
        <cfvo type="min"/>
        <cfvo type="percentile" val="50"/>
        <cfvo type="max"/>
        <color rgb="FF5A8AC6"/>
        <color rgb="FFFCFCFF"/>
        <color rgb="FFF8696B"/>
      </colorScale>
    </cfRule>
  </conditionalFormatting>
  <conditionalFormatting sqref="E996:E1242">
    <cfRule type="colorScale" priority="291">
      <colorScale>
        <cfvo type="min"/>
        <cfvo type="percentile" val="50"/>
        <cfvo type="max"/>
        <color rgb="FF5A8AC6"/>
        <color rgb="FFFCFCFF"/>
        <color rgb="FFF8696B"/>
      </colorScale>
    </cfRule>
    <cfRule type="colorScale" priority="203">
      <colorScale>
        <cfvo type="min"/>
        <cfvo type="percentile" val="50"/>
        <cfvo type="max"/>
        <color rgb="FF5A8AC6"/>
        <color rgb="FFFCFCFF"/>
        <color rgb="FFF8696B"/>
      </colorScale>
    </cfRule>
  </conditionalFormatting>
  <conditionalFormatting sqref="E1244:E1490">
    <cfRule type="colorScale" priority="192">
      <colorScale>
        <cfvo type="min"/>
        <cfvo type="percentile" val="50"/>
        <cfvo type="max"/>
        <color rgb="FF5A8AC6"/>
        <color rgb="FFFCFCFF"/>
        <color rgb="FFF8696B"/>
      </colorScale>
    </cfRule>
    <cfRule type="colorScale" priority="104">
      <colorScale>
        <cfvo type="min"/>
        <cfvo type="percentile" val="50"/>
        <cfvo type="max"/>
        <color rgb="FF5A8AC6"/>
        <color rgb="FFFCFCFF"/>
        <color rgb="FFF8696B"/>
      </colorScale>
    </cfRule>
  </conditionalFormatting>
  <conditionalFormatting sqref="E1492:E1738">
    <cfRule type="colorScale" priority="5">
      <colorScale>
        <cfvo type="min"/>
        <cfvo type="percentile" val="50"/>
        <cfvo type="max"/>
        <color rgb="FF5A8AC6"/>
        <color rgb="FFFCFCFF"/>
        <color rgb="FFF8696B"/>
      </colorScale>
    </cfRule>
    <cfRule type="colorScale" priority="93">
      <colorScale>
        <cfvo type="min"/>
        <cfvo type="percentile" val="50"/>
        <cfvo type="max"/>
        <color rgb="FF5A8AC6"/>
        <color rgb="FFFCFCFF"/>
        <color rgb="FFF8696B"/>
      </colorScale>
    </cfRule>
  </conditionalFormatting>
  <conditionalFormatting sqref="F1:F270 F499 F747 F995 F1243 F1491 F1739:F1048576">
    <cfRule type="colorScale" priority="616">
      <colorScale>
        <cfvo type="min"/>
        <cfvo type="percentile" val="50"/>
        <cfvo type="max"/>
        <color rgb="FF5A8AC6"/>
        <color rgb="FFFCFCFF"/>
        <color rgb="FFF8696B"/>
      </colorScale>
    </cfRule>
  </conditionalFormatting>
  <conditionalFormatting sqref="F3:F155 F499 F251:F270 F747 F995 F1243 F1491 F1739:F1048576">
    <cfRule type="colorScale" priority="657">
      <colorScale>
        <cfvo type="min"/>
        <cfvo type="percentile" val="50"/>
        <cfvo type="max"/>
        <color rgb="FF5A8AC6"/>
        <color rgb="FFFCFCFF"/>
        <color rgb="FFF8696B"/>
      </colorScale>
    </cfRule>
  </conditionalFormatting>
  <conditionalFormatting sqref="F4:F136">
    <cfRule type="colorScale" priority="668">
      <colorScale>
        <cfvo type="min"/>
        <cfvo type="percentile" val="50"/>
        <cfvo type="max"/>
        <color rgb="FF5A8AC6"/>
        <color rgb="FFFCFCFF"/>
        <color rgb="FFF8696B"/>
      </colorScale>
    </cfRule>
  </conditionalFormatting>
  <conditionalFormatting sqref="F4:F498">
    <cfRule type="colorScale" priority="501">
      <colorScale>
        <cfvo type="min"/>
        <cfvo type="percentile" val="50"/>
        <cfvo type="max"/>
        <color rgb="FF5A8AC6"/>
        <color rgb="FFFCFCFF"/>
        <color rgb="FFF8696B"/>
      </colorScale>
    </cfRule>
  </conditionalFormatting>
  <conditionalFormatting sqref="F137:F155">
    <cfRule type="colorScale" priority="662">
      <colorScale>
        <cfvo type="min"/>
        <cfvo type="percentile" val="50"/>
        <cfvo type="max"/>
        <color rgb="FF5A8AC6"/>
        <color rgb="FFFCFCFF"/>
        <color rgb="FFF8696B"/>
      </colorScale>
    </cfRule>
  </conditionalFormatting>
  <conditionalFormatting sqref="F156:F174">
    <cfRule type="colorScale" priority="654">
      <colorScale>
        <cfvo type="min"/>
        <cfvo type="percentile" val="50"/>
        <cfvo type="max"/>
        <color rgb="FF5A8AC6"/>
        <color rgb="FFFCFCFF"/>
        <color rgb="FFF8696B"/>
      </colorScale>
    </cfRule>
    <cfRule type="colorScale" priority="649">
      <colorScale>
        <cfvo type="min"/>
        <cfvo type="percentile" val="50"/>
        <cfvo type="max"/>
        <color rgb="FF5A8AC6"/>
        <color rgb="FFFCFCFF"/>
        <color rgb="FFF8696B"/>
      </colorScale>
    </cfRule>
  </conditionalFormatting>
  <conditionalFormatting sqref="F175:F193">
    <cfRule type="colorScale" priority="646">
      <colorScale>
        <cfvo type="min"/>
        <cfvo type="percentile" val="50"/>
        <cfvo type="max"/>
        <color rgb="FF5A8AC6"/>
        <color rgb="FFFCFCFF"/>
        <color rgb="FFF8696B"/>
      </colorScale>
    </cfRule>
    <cfRule type="colorScale" priority="641">
      <colorScale>
        <cfvo type="min"/>
        <cfvo type="percentile" val="50"/>
        <cfvo type="max"/>
        <color rgb="FF5A8AC6"/>
        <color rgb="FFFCFCFF"/>
        <color rgb="FFF8696B"/>
      </colorScale>
    </cfRule>
  </conditionalFormatting>
  <conditionalFormatting sqref="F194:F212">
    <cfRule type="colorScale" priority="633">
      <colorScale>
        <cfvo type="min"/>
        <cfvo type="percentile" val="50"/>
        <cfvo type="max"/>
        <color rgb="FF5A8AC6"/>
        <color rgb="FFFCFCFF"/>
        <color rgb="FFF8696B"/>
      </colorScale>
    </cfRule>
    <cfRule type="colorScale" priority="638">
      <colorScale>
        <cfvo type="min"/>
        <cfvo type="percentile" val="50"/>
        <cfvo type="max"/>
        <color rgb="FF5A8AC6"/>
        <color rgb="FFFCFCFF"/>
        <color rgb="FFF8696B"/>
      </colorScale>
    </cfRule>
  </conditionalFormatting>
  <conditionalFormatting sqref="F213:F231">
    <cfRule type="colorScale" priority="630">
      <colorScale>
        <cfvo type="min"/>
        <cfvo type="percentile" val="50"/>
        <cfvo type="max"/>
        <color rgb="FF5A8AC6"/>
        <color rgb="FFFCFCFF"/>
        <color rgb="FFF8696B"/>
      </colorScale>
    </cfRule>
    <cfRule type="colorScale" priority="625">
      <colorScale>
        <cfvo type="min"/>
        <cfvo type="percentile" val="50"/>
        <cfvo type="max"/>
        <color rgb="FF5A8AC6"/>
        <color rgb="FFFCFCFF"/>
        <color rgb="FFF8696B"/>
      </colorScale>
    </cfRule>
  </conditionalFormatting>
  <conditionalFormatting sqref="F232:F250">
    <cfRule type="colorScale" priority="622">
      <colorScale>
        <cfvo type="min"/>
        <cfvo type="percentile" val="50"/>
        <cfvo type="max"/>
        <color rgb="FF5A8AC6"/>
        <color rgb="FFFCFCFF"/>
        <color rgb="FFF8696B"/>
      </colorScale>
    </cfRule>
    <cfRule type="colorScale" priority="617">
      <colorScale>
        <cfvo type="min"/>
        <cfvo type="percentile" val="50"/>
        <cfvo type="max"/>
        <color rgb="FF5A8AC6"/>
        <color rgb="FFFCFCFF"/>
        <color rgb="FFF8696B"/>
      </colorScale>
    </cfRule>
  </conditionalFormatting>
  <conditionalFormatting sqref="F271:F289">
    <cfRule type="colorScale" priority="607">
      <colorScale>
        <cfvo type="min"/>
        <cfvo type="percentile" val="50"/>
        <cfvo type="max"/>
        <color rgb="FF5A8AC6"/>
        <color rgb="FFFCFCFF"/>
        <color rgb="FFF8696B"/>
      </colorScale>
    </cfRule>
    <cfRule type="colorScale" priority="608">
      <colorScale>
        <cfvo type="min"/>
        <cfvo type="percentile" val="50"/>
        <cfvo type="max"/>
        <color rgb="FF5A8AC6"/>
        <color rgb="FFFCFCFF"/>
        <color rgb="FFF8696B"/>
      </colorScale>
    </cfRule>
  </conditionalFormatting>
  <conditionalFormatting sqref="F290:F308">
    <cfRule type="colorScale" priority="599">
      <colorScale>
        <cfvo type="min"/>
        <cfvo type="percentile" val="50"/>
        <cfvo type="max"/>
        <color rgb="FF5A8AC6"/>
        <color rgb="FFFCFCFF"/>
        <color rgb="FFF8696B"/>
      </colorScale>
    </cfRule>
    <cfRule type="colorScale" priority="598">
      <colorScale>
        <cfvo type="min"/>
        <cfvo type="percentile" val="50"/>
        <cfvo type="max"/>
        <color rgb="FF5A8AC6"/>
        <color rgb="FFFCFCFF"/>
        <color rgb="FFF8696B"/>
      </colorScale>
    </cfRule>
  </conditionalFormatting>
  <conditionalFormatting sqref="F309:F327">
    <cfRule type="colorScale" priority="589">
      <colorScale>
        <cfvo type="min"/>
        <cfvo type="percentile" val="50"/>
        <cfvo type="max"/>
        <color rgb="FF5A8AC6"/>
        <color rgb="FFFCFCFF"/>
        <color rgb="FFF8696B"/>
      </colorScale>
    </cfRule>
    <cfRule type="colorScale" priority="590">
      <colorScale>
        <cfvo type="min"/>
        <cfvo type="percentile" val="50"/>
        <cfvo type="max"/>
        <color rgb="FF5A8AC6"/>
        <color rgb="FFFCFCFF"/>
        <color rgb="FFF8696B"/>
      </colorScale>
    </cfRule>
  </conditionalFormatting>
  <conditionalFormatting sqref="F328:F346">
    <cfRule type="colorScale" priority="580">
      <colorScale>
        <cfvo type="min"/>
        <cfvo type="percentile" val="50"/>
        <cfvo type="max"/>
        <color rgb="FF5A8AC6"/>
        <color rgb="FFFCFCFF"/>
        <color rgb="FFF8696B"/>
      </colorScale>
    </cfRule>
    <cfRule type="colorScale" priority="581">
      <colorScale>
        <cfvo type="min"/>
        <cfvo type="percentile" val="50"/>
        <cfvo type="max"/>
        <color rgb="FF5A8AC6"/>
        <color rgb="FFFCFCFF"/>
        <color rgb="FFF8696B"/>
      </colorScale>
    </cfRule>
  </conditionalFormatting>
  <conditionalFormatting sqref="F347:F365">
    <cfRule type="colorScale" priority="572">
      <colorScale>
        <cfvo type="min"/>
        <cfvo type="percentile" val="50"/>
        <cfvo type="max"/>
        <color rgb="FF5A8AC6"/>
        <color rgb="FFFCFCFF"/>
        <color rgb="FFF8696B"/>
      </colorScale>
    </cfRule>
    <cfRule type="colorScale" priority="571">
      <colorScale>
        <cfvo type="min"/>
        <cfvo type="percentile" val="50"/>
        <cfvo type="max"/>
        <color rgb="FF5A8AC6"/>
        <color rgb="FFFCFCFF"/>
        <color rgb="FFF8696B"/>
      </colorScale>
    </cfRule>
  </conditionalFormatting>
  <conditionalFormatting sqref="F366:F384">
    <cfRule type="colorScale" priority="562">
      <colorScale>
        <cfvo type="min"/>
        <cfvo type="percentile" val="50"/>
        <cfvo type="max"/>
        <color rgb="FF5A8AC6"/>
        <color rgb="FFFCFCFF"/>
        <color rgb="FFF8696B"/>
      </colorScale>
    </cfRule>
    <cfRule type="colorScale" priority="563">
      <colorScale>
        <cfvo type="min"/>
        <cfvo type="percentile" val="50"/>
        <cfvo type="max"/>
        <color rgb="FF5A8AC6"/>
        <color rgb="FFFCFCFF"/>
        <color rgb="FFF8696B"/>
      </colorScale>
    </cfRule>
  </conditionalFormatting>
  <conditionalFormatting sqref="F385:F403">
    <cfRule type="colorScale" priority="554">
      <colorScale>
        <cfvo type="min"/>
        <cfvo type="percentile" val="50"/>
        <cfvo type="max"/>
        <color rgb="FF5A8AC6"/>
        <color rgb="FFFCFCFF"/>
        <color rgb="FFF8696B"/>
      </colorScale>
    </cfRule>
    <cfRule type="colorScale" priority="553">
      <colorScale>
        <cfvo type="min"/>
        <cfvo type="percentile" val="50"/>
        <cfvo type="max"/>
        <color rgb="FF5A8AC6"/>
        <color rgb="FFFCFCFF"/>
        <color rgb="FFF8696B"/>
      </colorScale>
    </cfRule>
  </conditionalFormatting>
  <conditionalFormatting sqref="F404:F422">
    <cfRule type="colorScale" priority="544">
      <colorScale>
        <cfvo type="min"/>
        <cfvo type="percentile" val="50"/>
        <cfvo type="max"/>
        <color rgb="FF5A8AC6"/>
        <color rgb="FFFCFCFF"/>
        <color rgb="FFF8696B"/>
      </colorScale>
    </cfRule>
    <cfRule type="colorScale" priority="545">
      <colorScale>
        <cfvo type="min"/>
        <cfvo type="percentile" val="50"/>
        <cfvo type="max"/>
        <color rgb="FF5A8AC6"/>
        <color rgb="FFFCFCFF"/>
        <color rgb="FFF8696B"/>
      </colorScale>
    </cfRule>
  </conditionalFormatting>
  <conditionalFormatting sqref="F423:F441">
    <cfRule type="colorScale" priority="535">
      <colorScale>
        <cfvo type="min"/>
        <cfvo type="percentile" val="50"/>
        <cfvo type="max"/>
        <color rgb="FF5A8AC6"/>
        <color rgb="FFFCFCFF"/>
        <color rgb="FFF8696B"/>
      </colorScale>
    </cfRule>
    <cfRule type="colorScale" priority="536">
      <colorScale>
        <cfvo type="min"/>
        <cfvo type="percentile" val="50"/>
        <cfvo type="max"/>
        <color rgb="FF5A8AC6"/>
        <color rgb="FFFCFCFF"/>
        <color rgb="FFF8696B"/>
      </colorScale>
    </cfRule>
  </conditionalFormatting>
  <conditionalFormatting sqref="F442:F460">
    <cfRule type="colorScale" priority="526">
      <colorScale>
        <cfvo type="min"/>
        <cfvo type="percentile" val="50"/>
        <cfvo type="max"/>
        <color rgb="FF5A8AC6"/>
        <color rgb="FFFCFCFF"/>
        <color rgb="FFF8696B"/>
      </colorScale>
    </cfRule>
    <cfRule type="colorScale" priority="527">
      <colorScale>
        <cfvo type="min"/>
        <cfvo type="percentile" val="50"/>
        <cfvo type="max"/>
        <color rgb="FF5A8AC6"/>
        <color rgb="FFFCFCFF"/>
        <color rgb="FFF8696B"/>
      </colorScale>
    </cfRule>
  </conditionalFormatting>
  <conditionalFormatting sqref="F461:F479">
    <cfRule type="colorScale" priority="517">
      <colorScale>
        <cfvo type="min"/>
        <cfvo type="percentile" val="50"/>
        <cfvo type="max"/>
        <color rgb="FF5A8AC6"/>
        <color rgb="FFFCFCFF"/>
        <color rgb="FFF8696B"/>
      </colorScale>
    </cfRule>
    <cfRule type="colorScale" priority="518">
      <colorScale>
        <cfvo type="min"/>
        <cfvo type="percentile" val="50"/>
        <cfvo type="max"/>
        <color rgb="FF5A8AC6"/>
        <color rgb="FFFCFCFF"/>
        <color rgb="FFF8696B"/>
      </colorScale>
    </cfRule>
  </conditionalFormatting>
  <conditionalFormatting sqref="F480:F498">
    <cfRule type="colorScale" priority="508">
      <colorScale>
        <cfvo type="min"/>
        <cfvo type="percentile" val="50"/>
        <cfvo type="max"/>
        <color rgb="FF5A8AC6"/>
        <color rgb="FFFCFCFF"/>
        <color rgb="FFF8696B"/>
      </colorScale>
    </cfRule>
    <cfRule type="colorScale" priority="509">
      <colorScale>
        <cfvo type="min"/>
        <cfvo type="percentile" val="50"/>
        <cfvo type="max"/>
        <color rgb="FF5A8AC6"/>
        <color rgb="FFFCFCFF"/>
        <color rgb="FFF8696B"/>
      </colorScale>
    </cfRule>
  </conditionalFormatting>
  <conditionalFormatting sqref="F500:F518">
    <cfRule type="colorScale" priority="493">
      <colorScale>
        <cfvo type="min"/>
        <cfvo type="percentile" val="50"/>
        <cfvo type="max"/>
        <color rgb="FF5A8AC6"/>
        <color rgb="FFFCFCFF"/>
        <color rgb="FFF8696B"/>
      </colorScale>
    </cfRule>
    <cfRule type="colorScale" priority="494">
      <colorScale>
        <cfvo type="min"/>
        <cfvo type="percentile" val="50"/>
        <cfvo type="max"/>
        <color rgb="FF5A8AC6"/>
        <color rgb="FFFCFCFF"/>
        <color rgb="FFF8696B"/>
      </colorScale>
    </cfRule>
  </conditionalFormatting>
  <conditionalFormatting sqref="F500:F746">
    <cfRule type="colorScale" priority="402">
      <colorScale>
        <cfvo type="min"/>
        <cfvo type="percentile" val="50"/>
        <cfvo type="max"/>
        <color rgb="FF5A8AC6"/>
        <color rgb="FFFCFCFF"/>
        <color rgb="FFF8696B"/>
      </colorScale>
    </cfRule>
  </conditionalFormatting>
  <conditionalFormatting sqref="F519:F537">
    <cfRule type="colorScale" priority="485">
      <colorScale>
        <cfvo type="min"/>
        <cfvo type="percentile" val="50"/>
        <cfvo type="max"/>
        <color rgb="FF5A8AC6"/>
        <color rgb="FFFCFCFF"/>
        <color rgb="FFF8696B"/>
      </colorScale>
    </cfRule>
    <cfRule type="colorScale" priority="484">
      <colorScale>
        <cfvo type="min"/>
        <cfvo type="percentile" val="50"/>
        <cfvo type="max"/>
        <color rgb="FF5A8AC6"/>
        <color rgb="FFFCFCFF"/>
        <color rgb="FFF8696B"/>
      </colorScale>
    </cfRule>
  </conditionalFormatting>
  <conditionalFormatting sqref="F538:F556">
    <cfRule type="colorScale" priority="477">
      <colorScale>
        <cfvo type="min"/>
        <cfvo type="percentile" val="50"/>
        <cfvo type="max"/>
        <color rgb="FF5A8AC6"/>
        <color rgb="FFFCFCFF"/>
        <color rgb="FFF8696B"/>
      </colorScale>
    </cfRule>
    <cfRule type="colorScale" priority="478">
      <colorScale>
        <cfvo type="min"/>
        <cfvo type="percentile" val="50"/>
        <cfvo type="max"/>
        <color rgb="FF5A8AC6"/>
        <color rgb="FFFCFCFF"/>
        <color rgb="FFF8696B"/>
      </colorScale>
    </cfRule>
  </conditionalFormatting>
  <conditionalFormatting sqref="F557:F575">
    <cfRule type="colorScale" priority="471">
      <colorScale>
        <cfvo type="min"/>
        <cfvo type="percentile" val="50"/>
        <cfvo type="max"/>
        <color rgb="FF5A8AC6"/>
        <color rgb="FFFCFCFF"/>
        <color rgb="FFF8696B"/>
      </colorScale>
    </cfRule>
    <cfRule type="colorScale" priority="470">
      <colorScale>
        <cfvo type="min"/>
        <cfvo type="percentile" val="50"/>
        <cfvo type="max"/>
        <color rgb="FF5A8AC6"/>
        <color rgb="FFFCFCFF"/>
        <color rgb="FFF8696B"/>
      </colorScale>
    </cfRule>
  </conditionalFormatting>
  <conditionalFormatting sqref="F576:F594">
    <cfRule type="colorScale" priority="464">
      <colorScale>
        <cfvo type="min"/>
        <cfvo type="percentile" val="50"/>
        <cfvo type="max"/>
        <color rgb="FF5A8AC6"/>
        <color rgb="FFFCFCFF"/>
        <color rgb="FFF8696B"/>
      </colorScale>
    </cfRule>
    <cfRule type="colorScale" priority="463">
      <colorScale>
        <cfvo type="min"/>
        <cfvo type="percentile" val="50"/>
        <cfvo type="max"/>
        <color rgb="FF5A8AC6"/>
        <color rgb="FFFCFCFF"/>
        <color rgb="FFF8696B"/>
      </colorScale>
    </cfRule>
  </conditionalFormatting>
  <conditionalFormatting sqref="F595:F613">
    <cfRule type="colorScale" priority="456">
      <colorScale>
        <cfvo type="min"/>
        <cfvo type="percentile" val="50"/>
        <cfvo type="max"/>
        <color rgb="FF5A8AC6"/>
        <color rgb="FFFCFCFF"/>
        <color rgb="FFF8696B"/>
      </colorScale>
    </cfRule>
    <cfRule type="colorScale" priority="457">
      <colorScale>
        <cfvo type="min"/>
        <cfvo type="percentile" val="50"/>
        <cfvo type="max"/>
        <color rgb="FF5A8AC6"/>
        <color rgb="FFFCFCFF"/>
        <color rgb="FFF8696B"/>
      </colorScale>
    </cfRule>
  </conditionalFormatting>
  <conditionalFormatting sqref="F614:F632">
    <cfRule type="colorScale" priority="450">
      <colorScale>
        <cfvo type="min"/>
        <cfvo type="percentile" val="50"/>
        <cfvo type="max"/>
        <color rgb="FF5A8AC6"/>
        <color rgb="FFFCFCFF"/>
        <color rgb="FFF8696B"/>
      </colorScale>
    </cfRule>
    <cfRule type="colorScale" priority="449">
      <colorScale>
        <cfvo type="min"/>
        <cfvo type="percentile" val="50"/>
        <cfvo type="max"/>
        <color rgb="FF5A8AC6"/>
        <color rgb="FFFCFCFF"/>
        <color rgb="FFF8696B"/>
      </colorScale>
    </cfRule>
  </conditionalFormatting>
  <conditionalFormatting sqref="F633:F651">
    <cfRule type="colorScale" priority="443">
      <colorScale>
        <cfvo type="min"/>
        <cfvo type="percentile" val="50"/>
        <cfvo type="max"/>
        <color rgb="FF5A8AC6"/>
        <color rgb="FFFCFCFF"/>
        <color rgb="FFF8696B"/>
      </colorScale>
    </cfRule>
    <cfRule type="colorScale" priority="442">
      <colorScale>
        <cfvo type="min"/>
        <cfvo type="percentile" val="50"/>
        <cfvo type="max"/>
        <color rgb="FF5A8AC6"/>
        <color rgb="FFFCFCFF"/>
        <color rgb="FFF8696B"/>
      </colorScale>
    </cfRule>
  </conditionalFormatting>
  <conditionalFormatting sqref="F652:F670">
    <cfRule type="colorScale" priority="435">
      <colorScale>
        <cfvo type="min"/>
        <cfvo type="percentile" val="50"/>
        <cfvo type="max"/>
        <color rgb="FF5A8AC6"/>
        <color rgb="FFFCFCFF"/>
        <color rgb="FFF8696B"/>
      </colorScale>
    </cfRule>
    <cfRule type="colorScale" priority="436">
      <colorScale>
        <cfvo type="min"/>
        <cfvo type="percentile" val="50"/>
        <cfvo type="max"/>
        <color rgb="FF5A8AC6"/>
        <color rgb="FFFCFCFF"/>
        <color rgb="FFF8696B"/>
      </colorScale>
    </cfRule>
  </conditionalFormatting>
  <conditionalFormatting sqref="F671:F689">
    <cfRule type="colorScale" priority="429">
      <colorScale>
        <cfvo type="min"/>
        <cfvo type="percentile" val="50"/>
        <cfvo type="max"/>
        <color rgb="FF5A8AC6"/>
        <color rgb="FFFCFCFF"/>
        <color rgb="FFF8696B"/>
      </colorScale>
    </cfRule>
    <cfRule type="colorScale" priority="428">
      <colorScale>
        <cfvo type="min"/>
        <cfvo type="percentile" val="50"/>
        <cfvo type="max"/>
        <color rgb="FF5A8AC6"/>
        <color rgb="FFFCFCFF"/>
        <color rgb="FFF8696B"/>
      </colorScale>
    </cfRule>
  </conditionalFormatting>
  <conditionalFormatting sqref="F690:F708">
    <cfRule type="colorScale" priority="422">
      <colorScale>
        <cfvo type="min"/>
        <cfvo type="percentile" val="50"/>
        <cfvo type="max"/>
        <color rgb="FF5A8AC6"/>
        <color rgb="FFFCFCFF"/>
        <color rgb="FFF8696B"/>
      </colorScale>
    </cfRule>
    <cfRule type="colorScale" priority="421">
      <colorScale>
        <cfvo type="min"/>
        <cfvo type="percentile" val="50"/>
        <cfvo type="max"/>
        <color rgb="FF5A8AC6"/>
        <color rgb="FFFCFCFF"/>
        <color rgb="FFF8696B"/>
      </colorScale>
    </cfRule>
  </conditionalFormatting>
  <conditionalFormatting sqref="F709:F727">
    <cfRule type="colorScale" priority="415">
      <colorScale>
        <cfvo type="min"/>
        <cfvo type="percentile" val="50"/>
        <cfvo type="max"/>
        <color rgb="FF5A8AC6"/>
        <color rgb="FFFCFCFF"/>
        <color rgb="FFF8696B"/>
      </colorScale>
    </cfRule>
    <cfRule type="colorScale" priority="414">
      <colorScale>
        <cfvo type="min"/>
        <cfvo type="percentile" val="50"/>
        <cfvo type="max"/>
        <color rgb="FF5A8AC6"/>
        <color rgb="FFFCFCFF"/>
        <color rgb="FFF8696B"/>
      </colorScale>
    </cfRule>
  </conditionalFormatting>
  <conditionalFormatting sqref="F728:F746">
    <cfRule type="colorScale" priority="407">
      <colorScale>
        <cfvo type="min"/>
        <cfvo type="percentile" val="50"/>
        <cfvo type="max"/>
        <color rgb="FF5A8AC6"/>
        <color rgb="FFFCFCFF"/>
        <color rgb="FFF8696B"/>
      </colorScale>
    </cfRule>
    <cfRule type="colorScale" priority="408">
      <colorScale>
        <cfvo type="min"/>
        <cfvo type="percentile" val="50"/>
        <cfvo type="max"/>
        <color rgb="FF5A8AC6"/>
        <color rgb="FFFCFCFF"/>
        <color rgb="FFF8696B"/>
      </colorScale>
    </cfRule>
  </conditionalFormatting>
  <conditionalFormatting sqref="F748:F766">
    <cfRule type="colorScale" priority="395">
      <colorScale>
        <cfvo type="min"/>
        <cfvo type="percentile" val="50"/>
        <cfvo type="max"/>
        <color rgb="FF5A8AC6"/>
        <color rgb="FFFCFCFF"/>
        <color rgb="FFF8696B"/>
      </colorScale>
    </cfRule>
    <cfRule type="colorScale" priority="394">
      <colorScale>
        <cfvo type="min"/>
        <cfvo type="percentile" val="50"/>
        <cfvo type="max"/>
        <color rgb="FF5A8AC6"/>
        <color rgb="FFFCFCFF"/>
        <color rgb="FFF8696B"/>
      </colorScale>
    </cfRule>
  </conditionalFormatting>
  <conditionalFormatting sqref="F748:F994">
    <cfRule type="colorScale" priority="303">
      <colorScale>
        <cfvo type="min"/>
        <cfvo type="percentile" val="50"/>
        <cfvo type="max"/>
        <color rgb="FF5A8AC6"/>
        <color rgb="FFFCFCFF"/>
        <color rgb="FFF8696B"/>
      </colorScale>
    </cfRule>
  </conditionalFormatting>
  <conditionalFormatting sqref="F767:F785">
    <cfRule type="colorScale" priority="386">
      <colorScale>
        <cfvo type="min"/>
        <cfvo type="percentile" val="50"/>
        <cfvo type="max"/>
        <color rgb="FF5A8AC6"/>
        <color rgb="FFFCFCFF"/>
        <color rgb="FFF8696B"/>
      </colorScale>
    </cfRule>
    <cfRule type="colorScale" priority="385">
      <colorScale>
        <cfvo type="min"/>
        <cfvo type="percentile" val="50"/>
        <cfvo type="max"/>
        <color rgb="FF5A8AC6"/>
        <color rgb="FFFCFCFF"/>
        <color rgb="FFF8696B"/>
      </colorScale>
    </cfRule>
  </conditionalFormatting>
  <conditionalFormatting sqref="F786:F804">
    <cfRule type="colorScale" priority="379">
      <colorScale>
        <cfvo type="min"/>
        <cfvo type="percentile" val="50"/>
        <cfvo type="max"/>
        <color rgb="FF5A8AC6"/>
        <color rgb="FFFCFCFF"/>
        <color rgb="FFF8696B"/>
      </colorScale>
    </cfRule>
    <cfRule type="colorScale" priority="378">
      <colorScale>
        <cfvo type="min"/>
        <cfvo type="percentile" val="50"/>
        <cfvo type="max"/>
        <color rgb="FF5A8AC6"/>
        <color rgb="FFFCFCFF"/>
        <color rgb="FFF8696B"/>
      </colorScale>
    </cfRule>
  </conditionalFormatting>
  <conditionalFormatting sqref="F805:F823">
    <cfRule type="colorScale" priority="372">
      <colorScale>
        <cfvo type="min"/>
        <cfvo type="percentile" val="50"/>
        <cfvo type="max"/>
        <color rgb="FF5A8AC6"/>
        <color rgb="FFFCFCFF"/>
        <color rgb="FFF8696B"/>
      </colorScale>
    </cfRule>
    <cfRule type="colorScale" priority="371">
      <colorScale>
        <cfvo type="min"/>
        <cfvo type="percentile" val="50"/>
        <cfvo type="max"/>
        <color rgb="FF5A8AC6"/>
        <color rgb="FFFCFCFF"/>
        <color rgb="FFF8696B"/>
      </colorScale>
    </cfRule>
  </conditionalFormatting>
  <conditionalFormatting sqref="F824:F842">
    <cfRule type="colorScale" priority="365">
      <colorScale>
        <cfvo type="min"/>
        <cfvo type="percentile" val="50"/>
        <cfvo type="max"/>
        <color rgb="FF5A8AC6"/>
        <color rgb="FFFCFCFF"/>
        <color rgb="FFF8696B"/>
      </colorScale>
    </cfRule>
    <cfRule type="colorScale" priority="364">
      <colorScale>
        <cfvo type="min"/>
        <cfvo type="percentile" val="50"/>
        <cfvo type="max"/>
        <color rgb="FF5A8AC6"/>
        <color rgb="FFFCFCFF"/>
        <color rgb="FFF8696B"/>
      </colorScale>
    </cfRule>
  </conditionalFormatting>
  <conditionalFormatting sqref="F843:F861">
    <cfRule type="colorScale" priority="358">
      <colorScale>
        <cfvo type="min"/>
        <cfvo type="percentile" val="50"/>
        <cfvo type="max"/>
        <color rgb="FF5A8AC6"/>
        <color rgb="FFFCFCFF"/>
        <color rgb="FFF8696B"/>
      </colorScale>
    </cfRule>
    <cfRule type="colorScale" priority="357">
      <colorScale>
        <cfvo type="min"/>
        <cfvo type="percentile" val="50"/>
        <cfvo type="max"/>
        <color rgb="FF5A8AC6"/>
        <color rgb="FFFCFCFF"/>
        <color rgb="FFF8696B"/>
      </colorScale>
    </cfRule>
  </conditionalFormatting>
  <conditionalFormatting sqref="F862:F880">
    <cfRule type="colorScale" priority="351">
      <colorScale>
        <cfvo type="min"/>
        <cfvo type="percentile" val="50"/>
        <cfvo type="max"/>
        <color rgb="FF5A8AC6"/>
        <color rgb="FFFCFCFF"/>
        <color rgb="FFF8696B"/>
      </colorScale>
    </cfRule>
    <cfRule type="colorScale" priority="350">
      <colorScale>
        <cfvo type="min"/>
        <cfvo type="percentile" val="50"/>
        <cfvo type="max"/>
        <color rgb="FF5A8AC6"/>
        <color rgb="FFFCFCFF"/>
        <color rgb="FFF8696B"/>
      </colorScale>
    </cfRule>
  </conditionalFormatting>
  <conditionalFormatting sqref="F881:F899">
    <cfRule type="colorScale" priority="344">
      <colorScale>
        <cfvo type="min"/>
        <cfvo type="percentile" val="50"/>
        <cfvo type="max"/>
        <color rgb="FF5A8AC6"/>
        <color rgb="FFFCFCFF"/>
        <color rgb="FFF8696B"/>
      </colorScale>
    </cfRule>
    <cfRule type="colorScale" priority="343">
      <colorScale>
        <cfvo type="min"/>
        <cfvo type="percentile" val="50"/>
        <cfvo type="max"/>
        <color rgb="FF5A8AC6"/>
        <color rgb="FFFCFCFF"/>
        <color rgb="FFF8696B"/>
      </colorScale>
    </cfRule>
  </conditionalFormatting>
  <conditionalFormatting sqref="F900:F918">
    <cfRule type="colorScale" priority="337">
      <colorScale>
        <cfvo type="min"/>
        <cfvo type="percentile" val="50"/>
        <cfvo type="max"/>
        <color rgb="FF5A8AC6"/>
        <color rgb="FFFCFCFF"/>
        <color rgb="FFF8696B"/>
      </colorScale>
    </cfRule>
    <cfRule type="colorScale" priority="336">
      <colorScale>
        <cfvo type="min"/>
        <cfvo type="percentile" val="50"/>
        <cfvo type="max"/>
        <color rgb="FF5A8AC6"/>
        <color rgb="FFFCFCFF"/>
        <color rgb="FFF8696B"/>
      </colorScale>
    </cfRule>
  </conditionalFormatting>
  <conditionalFormatting sqref="F919:F937">
    <cfRule type="colorScale" priority="330">
      <colorScale>
        <cfvo type="min"/>
        <cfvo type="percentile" val="50"/>
        <cfvo type="max"/>
        <color rgb="FF5A8AC6"/>
        <color rgb="FFFCFCFF"/>
        <color rgb="FFF8696B"/>
      </colorScale>
    </cfRule>
    <cfRule type="colorScale" priority="329">
      <colorScale>
        <cfvo type="min"/>
        <cfvo type="percentile" val="50"/>
        <cfvo type="max"/>
        <color rgb="FF5A8AC6"/>
        <color rgb="FFFCFCFF"/>
        <color rgb="FFF8696B"/>
      </colorScale>
    </cfRule>
  </conditionalFormatting>
  <conditionalFormatting sqref="F938:F956">
    <cfRule type="colorScale" priority="322">
      <colorScale>
        <cfvo type="min"/>
        <cfvo type="percentile" val="50"/>
        <cfvo type="max"/>
        <color rgb="FF5A8AC6"/>
        <color rgb="FFFCFCFF"/>
        <color rgb="FFF8696B"/>
      </colorScale>
    </cfRule>
    <cfRule type="colorScale" priority="323">
      <colorScale>
        <cfvo type="min"/>
        <cfvo type="percentile" val="50"/>
        <cfvo type="max"/>
        <color rgb="FF5A8AC6"/>
        <color rgb="FFFCFCFF"/>
        <color rgb="FFF8696B"/>
      </colorScale>
    </cfRule>
  </conditionalFormatting>
  <conditionalFormatting sqref="F957:F975">
    <cfRule type="colorScale" priority="315">
      <colorScale>
        <cfvo type="min"/>
        <cfvo type="percentile" val="50"/>
        <cfvo type="max"/>
        <color rgb="FF5A8AC6"/>
        <color rgb="FFFCFCFF"/>
        <color rgb="FFF8696B"/>
      </colorScale>
    </cfRule>
    <cfRule type="colorScale" priority="316">
      <colorScale>
        <cfvo type="min"/>
        <cfvo type="percentile" val="50"/>
        <cfvo type="max"/>
        <color rgb="FF5A8AC6"/>
        <color rgb="FFFCFCFF"/>
        <color rgb="FFF8696B"/>
      </colorScale>
    </cfRule>
  </conditionalFormatting>
  <conditionalFormatting sqref="F976:F994">
    <cfRule type="colorScale" priority="309">
      <colorScale>
        <cfvo type="min"/>
        <cfvo type="percentile" val="50"/>
        <cfvo type="max"/>
        <color rgb="FF5A8AC6"/>
        <color rgb="FFFCFCFF"/>
        <color rgb="FFF8696B"/>
      </colorScale>
    </cfRule>
    <cfRule type="colorScale" priority="308">
      <colorScale>
        <cfvo type="min"/>
        <cfvo type="percentile" val="50"/>
        <cfvo type="max"/>
        <color rgb="FF5A8AC6"/>
        <color rgb="FFFCFCFF"/>
        <color rgb="FFF8696B"/>
      </colorScale>
    </cfRule>
  </conditionalFormatting>
  <conditionalFormatting sqref="F996:F1014">
    <cfRule type="colorScale" priority="295">
      <colorScale>
        <cfvo type="min"/>
        <cfvo type="percentile" val="50"/>
        <cfvo type="max"/>
        <color rgb="FF5A8AC6"/>
        <color rgb="FFFCFCFF"/>
        <color rgb="FFF8696B"/>
      </colorScale>
    </cfRule>
    <cfRule type="colorScale" priority="296">
      <colorScale>
        <cfvo type="min"/>
        <cfvo type="percentile" val="50"/>
        <cfvo type="max"/>
        <color rgb="FF5A8AC6"/>
        <color rgb="FFFCFCFF"/>
        <color rgb="FFF8696B"/>
      </colorScale>
    </cfRule>
  </conditionalFormatting>
  <conditionalFormatting sqref="F996:F1242">
    <cfRule type="colorScale" priority="204">
      <colorScale>
        <cfvo type="min"/>
        <cfvo type="percentile" val="50"/>
        <cfvo type="max"/>
        <color rgb="FF5A8AC6"/>
        <color rgb="FFFCFCFF"/>
        <color rgb="FFF8696B"/>
      </colorScale>
    </cfRule>
  </conditionalFormatting>
  <conditionalFormatting sqref="F1015:F1033">
    <cfRule type="colorScale" priority="286">
      <colorScale>
        <cfvo type="min"/>
        <cfvo type="percentile" val="50"/>
        <cfvo type="max"/>
        <color rgb="FF5A8AC6"/>
        <color rgb="FFFCFCFF"/>
        <color rgb="FFF8696B"/>
      </colorScale>
    </cfRule>
    <cfRule type="colorScale" priority="287">
      <colorScale>
        <cfvo type="min"/>
        <cfvo type="percentile" val="50"/>
        <cfvo type="max"/>
        <color rgb="FF5A8AC6"/>
        <color rgb="FFFCFCFF"/>
        <color rgb="FFF8696B"/>
      </colorScale>
    </cfRule>
  </conditionalFormatting>
  <conditionalFormatting sqref="F1034:F1052">
    <cfRule type="colorScale" priority="279">
      <colorScale>
        <cfvo type="min"/>
        <cfvo type="percentile" val="50"/>
        <cfvo type="max"/>
        <color rgb="FF5A8AC6"/>
        <color rgb="FFFCFCFF"/>
        <color rgb="FFF8696B"/>
      </colorScale>
    </cfRule>
    <cfRule type="colorScale" priority="280">
      <colorScale>
        <cfvo type="min"/>
        <cfvo type="percentile" val="50"/>
        <cfvo type="max"/>
        <color rgb="FF5A8AC6"/>
        <color rgb="FFFCFCFF"/>
        <color rgb="FFF8696B"/>
      </colorScale>
    </cfRule>
  </conditionalFormatting>
  <conditionalFormatting sqref="F1053:F1071">
    <cfRule type="colorScale" priority="273">
      <colorScale>
        <cfvo type="min"/>
        <cfvo type="percentile" val="50"/>
        <cfvo type="max"/>
        <color rgb="FF5A8AC6"/>
        <color rgb="FFFCFCFF"/>
        <color rgb="FFF8696B"/>
      </colorScale>
    </cfRule>
    <cfRule type="colorScale" priority="272">
      <colorScale>
        <cfvo type="min"/>
        <cfvo type="percentile" val="50"/>
        <cfvo type="max"/>
        <color rgb="FF5A8AC6"/>
        <color rgb="FFFCFCFF"/>
        <color rgb="FFF8696B"/>
      </colorScale>
    </cfRule>
  </conditionalFormatting>
  <conditionalFormatting sqref="F1072:F1090">
    <cfRule type="colorScale" priority="266">
      <colorScale>
        <cfvo type="min"/>
        <cfvo type="percentile" val="50"/>
        <cfvo type="max"/>
        <color rgb="FF5A8AC6"/>
        <color rgb="FFFCFCFF"/>
        <color rgb="FFF8696B"/>
      </colorScale>
    </cfRule>
    <cfRule type="colorScale" priority="265">
      <colorScale>
        <cfvo type="min"/>
        <cfvo type="percentile" val="50"/>
        <cfvo type="max"/>
        <color rgb="FF5A8AC6"/>
        <color rgb="FFFCFCFF"/>
        <color rgb="FFF8696B"/>
      </colorScale>
    </cfRule>
  </conditionalFormatting>
  <conditionalFormatting sqref="F1091:F1109">
    <cfRule type="colorScale" priority="258">
      <colorScale>
        <cfvo type="min"/>
        <cfvo type="percentile" val="50"/>
        <cfvo type="max"/>
        <color rgb="FF5A8AC6"/>
        <color rgb="FFFCFCFF"/>
        <color rgb="FFF8696B"/>
      </colorScale>
    </cfRule>
    <cfRule type="colorScale" priority="259">
      <colorScale>
        <cfvo type="min"/>
        <cfvo type="percentile" val="50"/>
        <cfvo type="max"/>
        <color rgb="FF5A8AC6"/>
        <color rgb="FFFCFCFF"/>
        <color rgb="FFF8696B"/>
      </colorScale>
    </cfRule>
  </conditionalFormatting>
  <conditionalFormatting sqref="F1110:F1128">
    <cfRule type="colorScale" priority="252">
      <colorScale>
        <cfvo type="min"/>
        <cfvo type="percentile" val="50"/>
        <cfvo type="max"/>
        <color rgb="FF5A8AC6"/>
        <color rgb="FFFCFCFF"/>
        <color rgb="FFF8696B"/>
      </colorScale>
    </cfRule>
    <cfRule type="colorScale" priority="251">
      <colorScale>
        <cfvo type="min"/>
        <cfvo type="percentile" val="50"/>
        <cfvo type="max"/>
        <color rgb="FF5A8AC6"/>
        <color rgb="FFFCFCFF"/>
        <color rgb="FFF8696B"/>
      </colorScale>
    </cfRule>
  </conditionalFormatting>
  <conditionalFormatting sqref="F1129:F1147">
    <cfRule type="colorScale" priority="245">
      <colorScale>
        <cfvo type="min"/>
        <cfvo type="percentile" val="50"/>
        <cfvo type="max"/>
        <color rgb="FF5A8AC6"/>
        <color rgb="FFFCFCFF"/>
        <color rgb="FFF8696B"/>
      </colorScale>
    </cfRule>
    <cfRule type="colorScale" priority="244">
      <colorScale>
        <cfvo type="min"/>
        <cfvo type="percentile" val="50"/>
        <cfvo type="max"/>
        <color rgb="FF5A8AC6"/>
        <color rgb="FFFCFCFF"/>
        <color rgb="FFF8696B"/>
      </colorScale>
    </cfRule>
  </conditionalFormatting>
  <conditionalFormatting sqref="F1148:F1166">
    <cfRule type="colorScale" priority="238">
      <colorScale>
        <cfvo type="min"/>
        <cfvo type="percentile" val="50"/>
        <cfvo type="max"/>
        <color rgb="FF5A8AC6"/>
        <color rgb="FFFCFCFF"/>
        <color rgb="FFF8696B"/>
      </colorScale>
    </cfRule>
    <cfRule type="colorScale" priority="237">
      <colorScale>
        <cfvo type="min"/>
        <cfvo type="percentile" val="50"/>
        <cfvo type="max"/>
        <color rgb="FF5A8AC6"/>
        <color rgb="FFFCFCFF"/>
        <color rgb="FFF8696B"/>
      </colorScale>
    </cfRule>
  </conditionalFormatting>
  <conditionalFormatting sqref="F1167:F1185">
    <cfRule type="colorScale" priority="230">
      <colorScale>
        <cfvo type="min"/>
        <cfvo type="percentile" val="50"/>
        <cfvo type="max"/>
        <color rgb="FF5A8AC6"/>
        <color rgb="FFFCFCFF"/>
        <color rgb="FFF8696B"/>
      </colorScale>
    </cfRule>
    <cfRule type="colorScale" priority="231">
      <colorScale>
        <cfvo type="min"/>
        <cfvo type="percentile" val="50"/>
        <cfvo type="max"/>
        <color rgb="FF5A8AC6"/>
        <color rgb="FFFCFCFF"/>
        <color rgb="FFF8696B"/>
      </colorScale>
    </cfRule>
  </conditionalFormatting>
  <conditionalFormatting sqref="F1186:F1204">
    <cfRule type="colorScale" priority="224">
      <colorScale>
        <cfvo type="min"/>
        <cfvo type="percentile" val="50"/>
        <cfvo type="max"/>
        <color rgb="FF5A8AC6"/>
        <color rgb="FFFCFCFF"/>
        <color rgb="FFF8696B"/>
      </colorScale>
    </cfRule>
    <cfRule type="colorScale" priority="223">
      <colorScale>
        <cfvo type="min"/>
        <cfvo type="percentile" val="50"/>
        <cfvo type="max"/>
        <color rgb="FF5A8AC6"/>
        <color rgb="FFFCFCFF"/>
        <color rgb="FFF8696B"/>
      </colorScale>
    </cfRule>
  </conditionalFormatting>
  <conditionalFormatting sqref="F1205:F1223">
    <cfRule type="colorScale" priority="217">
      <colorScale>
        <cfvo type="min"/>
        <cfvo type="percentile" val="50"/>
        <cfvo type="max"/>
        <color rgb="FF5A8AC6"/>
        <color rgb="FFFCFCFF"/>
        <color rgb="FFF8696B"/>
      </colorScale>
    </cfRule>
    <cfRule type="colorScale" priority="216">
      <colorScale>
        <cfvo type="min"/>
        <cfvo type="percentile" val="50"/>
        <cfvo type="max"/>
        <color rgb="FF5A8AC6"/>
        <color rgb="FFFCFCFF"/>
        <color rgb="FFF8696B"/>
      </colorScale>
    </cfRule>
  </conditionalFormatting>
  <conditionalFormatting sqref="F1224:F1242">
    <cfRule type="colorScale" priority="210">
      <colorScale>
        <cfvo type="min"/>
        <cfvo type="percentile" val="50"/>
        <cfvo type="max"/>
        <color rgb="FF5A8AC6"/>
        <color rgb="FFFCFCFF"/>
        <color rgb="FFF8696B"/>
      </colorScale>
    </cfRule>
    <cfRule type="colorScale" priority="209">
      <colorScale>
        <cfvo type="min"/>
        <cfvo type="percentile" val="50"/>
        <cfvo type="max"/>
        <color rgb="FF5A8AC6"/>
        <color rgb="FFFCFCFF"/>
        <color rgb="FFF8696B"/>
      </colorScale>
    </cfRule>
  </conditionalFormatting>
  <conditionalFormatting sqref="F1244:F1262">
    <cfRule type="colorScale" priority="197">
      <colorScale>
        <cfvo type="min"/>
        <cfvo type="percentile" val="50"/>
        <cfvo type="max"/>
        <color rgb="FF5A8AC6"/>
        <color rgb="FFFCFCFF"/>
        <color rgb="FFF8696B"/>
      </colorScale>
    </cfRule>
    <cfRule type="colorScale" priority="196">
      <colorScale>
        <cfvo type="min"/>
        <cfvo type="percentile" val="50"/>
        <cfvo type="max"/>
        <color rgb="FF5A8AC6"/>
        <color rgb="FFFCFCFF"/>
        <color rgb="FFF8696B"/>
      </colorScale>
    </cfRule>
  </conditionalFormatting>
  <conditionalFormatting sqref="F1244:F1490">
    <cfRule type="colorScale" priority="105">
      <colorScale>
        <cfvo type="min"/>
        <cfvo type="percentile" val="50"/>
        <cfvo type="max"/>
        <color rgb="FF5A8AC6"/>
        <color rgb="FFFCFCFF"/>
        <color rgb="FFF8696B"/>
      </colorScale>
    </cfRule>
  </conditionalFormatting>
  <conditionalFormatting sqref="F1263:F1281">
    <cfRule type="colorScale" priority="188">
      <colorScale>
        <cfvo type="min"/>
        <cfvo type="percentile" val="50"/>
        <cfvo type="max"/>
        <color rgb="FF5A8AC6"/>
        <color rgb="FFFCFCFF"/>
        <color rgb="FFF8696B"/>
      </colorScale>
    </cfRule>
    <cfRule type="colorScale" priority="187">
      <colorScale>
        <cfvo type="min"/>
        <cfvo type="percentile" val="50"/>
        <cfvo type="max"/>
        <color rgb="FF5A8AC6"/>
        <color rgb="FFFCFCFF"/>
        <color rgb="FFF8696B"/>
      </colorScale>
    </cfRule>
  </conditionalFormatting>
  <conditionalFormatting sqref="F1282:F1300">
    <cfRule type="colorScale" priority="181">
      <colorScale>
        <cfvo type="min"/>
        <cfvo type="percentile" val="50"/>
        <cfvo type="max"/>
        <color rgb="FF5A8AC6"/>
        <color rgb="FFFCFCFF"/>
        <color rgb="FFF8696B"/>
      </colorScale>
    </cfRule>
    <cfRule type="colorScale" priority="180">
      <colorScale>
        <cfvo type="min"/>
        <cfvo type="percentile" val="50"/>
        <cfvo type="max"/>
        <color rgb="FF5A8AC6"/>
        <color rgb="FFFCFCFF"/>
        <color rgb="FFF8696B"/>
      </colorScale>
    </cfRule>
  </conditionalFormatting>
  <conditionalFormatting sqref="F1301:F1319">
    <cfRule type="colorScale" priority="173">
      <colorScale>
        <cfvo type="min"/>
        <cfvo type="percentile" val="50"/>
        <cfvo type="max"/>
        <color rgb="FF5A8AC6"/>
        <color rgb="FFFCFCFF"/>
        <color rgb="FFF8696B"/>
      </colorScale>
    </cfRule>
    <cfRule type="colorScale" priority="174">
      <colorScale>
        <cfvo type="min"/>
        <cfvo type="percentile" val="50"/>
        <cfvo type="max"/>
        <color rgb="FF5A8AC6"/>
        <color rgb="FFFCFCFF"/>
        <color rgb="FFF8696B"/>
      </colorScale>
    </cfRule>
  </conditionalFormatting>
  <conditionalFormatting sqref="F1320:F1338">
    <cfRule type="colorScale" priority="167">
      <colorScale>
        <cfvo type="min"/>
        <cfvo type="percentile" val="50"/>
        <cfvo type="max"/>
        <color rgb="FF5A8AC6"/>
        <color rgb="FFFCFCFF"/>
        <color rgb="FFF8696B"/>
      </colorScale>
    </cfRule>
    <cfRule type="colorScale" priority="166">
      <colorScale>
        <cfvo type="min"/>
        <cfvo type="percentile" val="50"/>
        <cfvo type="max"/>
        <color rgb="FF5A8AC6"/>
        <color rgb="FFFCFCFF"/>
        <color rgb="FFF8696B"/>
      </colorScale>
    </cfRule>
  </conditionalFormatting>
  <conditionalFormatting sqref="F1339:F1357">
    <cfRule type="colorScale" priority="160">
      <colorScale>
        <cfvo type="min"/>
        <cfvo type="percentile" val="50"/>
        <cfvo type="max"/>
        <color rgb="FF5A8AC6"/>
        <color rgb="FFFCFCFF"/>
        <color rgb="FFF8696B"/>
      </colorScale>
    </cfRule>
    <cfRule type="colorScale" priority="159">
      <colorScale>
        <cfvo type="min"/>
        <cfvo type="percentile" val="50"/>
        <cfvo type="max"/>
        <color rgb="FF5A8AC6"/>
        <color rgb="FFFCFCFF"/>
        <color rgb="FFF8696B"/>
      </colorScale>
    </cfRule>
  </conditionalFormatting>
  <conditionalFormatting sqref="F1358:F1376">
    <cfRule type="colorScale" priority="153">
      <colorScale>
        <cfvo type="min"/>
        <cfvo type="percentile" val="50"/>
        <cfvo type="max"/>
        <color rgb="FF5A8AC6"/>
        <color rgb="FFFCFCFF"/>
        <color rgb="FFF8696B"/>
      </colorScale>
    </cfRule>
    <cfRule type="colorScale" priority="152">
      <colorScale>
        <cfvo type="min"/>
        <cfvo type="percentile" val="50"/>
        <cfvo type="max"/>
        <color rgb="FF5A8AC6"/>
        <color rgb="FFFCFCFF"/>
        <color rgb="FFF8696B"/>
      </colorScale>
    </cfRule>
  </conditionalFormatting>
  <conditionalFormatting sqref="F1377:F1395">
    <cfRule type="colorScale" priority="146">
      <colorScale>
        <cfvo type="min"/>
        <cfvo type="percentile" val="50"/>
        <cfvo type="max"/>
        <color rgb="FF5A8AC6"/>
        <color rgb="FFFCFCFF"/>
        <color rgb="FFF8696B"/>
      </colorScale>
    </cfRule>
    <cfRule type="colorScale" priority="145">
      <colorScale>
        <cfvo type="min"/>
        <cfvo type="percentile" val="50"/>
        <cfvo type="max"/>
        <color rgb="FF5A8AC6"/>
        <color rgb="FFFCFCFF"/>
        <color rgb="FFF8696B"/>
      </colorScale>
    </cfRule>
  </conditionalFormatting>
  <conditionalFormatting sqref="F1396:F1414">
    <cfRule type="colorScale" priority="138">
      <colorScale>
        <cfvo type="min"/>
        <cfvo type="percentile" val="50"/>
        <cfvo type="max"/>
        <color rgb="FF5A8AC6"/>
        <color rgb="FFFCFCFF"/>
        <color rgb="FFF8696B"/>
      </colorScale>
    </cfRule>
    <cfRule type="colorScale" priority="139">
      <colorScale>
        <cfvo type="min"/>
        <cfvo type="percentile" val="50"/>
        <cfvo type="max"/>
        <color rgb="FF5A8AC6"/>
        <color rgb="FFFCFCFF"/>
        <color rgb="FFF8696B"/>
      </colorScale>
    </cfRule>
  </conditionalFormatting>
  <conditionalFormatting sqref="F1415:F1433">
    <cfRule type="colorScale" priority="131">
      <colorScale>
        <cfvo type="min"/>
        <cfvo type="percentile" val="50"/>
        <cfvo type="max"/>
        <color rgb="FF5A8AC6"/>
        <color rgb="FFFCFCFF"/>
        <color rgb="FFF8696B"/>
      </colorScale>
    </cfRule>
    <cfRule type="colorScale" priority="132">
      <colorScale>
        <cfvo type="min"/>
        <cfvo type="percentile" val="50"/>
        <cfvo type="max"/>
        <color rgb="FF5A8AC6"/>
        <color rgb="FFFCFCFF"/>
        <color rgb="FFF8696B"/>
      </colorScale>
    </cfRule>
  </conditionalFormatting>
  <conditionalFormatting sqref="F1434:F1452">
    <cfRule type="colorScale" priority="125">
      <colorScale>
        <cfvo type="min"/>
        <cfvo type="percentile" val="50"/>
        <cfvo type="max"/>
        <color rgb="FF5A8AC6"/>
        <color rgb="FFFCFCFF"/>
        <color rgb="FFF8696B"/>
      </colorScale>
    </cfRule>
    <cfRule type="colorScale" priority="124">
      <colorScale>
        <cfvo type="min"/>
        <cfvo type="percentile" val="50"/>
        <cfvo type="max"/>
        <color rgb="FF5A8AC6"/>
        <color rgb="FFFCFCFF"/>
        <color rgb="FFF8696B"/>
      </colorScale>
    </cfRule>
  </conditionalFormatting>
  <conditionalFormatting sqref="F1453:F1471">
    <cfRule type="colorScale" priority="118">
      <colorScale>
        <cfvo type="min"/>
        <cfvo type="percentile" val="50"/>
        <cfvo type="max"/>
        <color rgb="FF5A8AC6"/>
        <color rgb="FFFCFCFF"/>
        <color rgb="FFF8696B"/>
      </colorScale>
    </cfRule>
    <cfRule type="colorScale" priority="117">
      <colorScale>
        <cfvo type="min"/>
        <cfvo type="percentile" val="50"/>
        <cfvo type="max"/>
        <color rgb="FF5A8AC6"/>
        <color rgb="FFFCFCFF"/>
        <color rgb="FFF8696B"/>
      </colorScale>
    </cfRule>
  </conditionalFormatting>
  <conditionalFormatting sqref="F1472:F1490">
    <cfRule type="colorScale" priority="111">
      <colorScale>
        <cfvo type="min"/>
        <cfvo type="percentile" val="50"/>
        <cfvo type="max"/>
        <color rgb="FF5A8AC6"/>
        <color rgb="FFFCFCFF"/>
        <color rgb="FFF8696B"/>
      </colorScale>
    </cfRule>
    <cfRule type="colorScale" priority="110">
      <colorScale>
        <cfvo type="min"/>
        <cfvo type="percentile" val="50"/>
        <cfvo type="max"/>
        <color rgb="FF5A8AC6"/>
        <color rgb="FFFCFCFF"/>
        <color rgb="FFF8696B"/>
      </colorScale>
    </cfRule>
  </conditionalFormatting>
  <conditionalFormatting sqref="F1492:F1510">
    <cfRule type="colorScale" priority="98">
      <colorScale>
        <cfvo type="min"/>
        <cfvo type="percentile" val="50"/>
        <cfvo type="max"/>
        <color rgb="FF5A8AC6"/>
        <color rgb="FFFCFCFF"/>
        <color rgb="FFF8696B"/>
      </colorScale>
    </cfRule>
    <cfRule type="colorScale" priority="97">
      <colorScale>
        <cfvo type="min"/>
        <cfvo type="percentile" val="50"/>
        <cfvo type="max"/>
        <color rgb="FF5A8AC6"/>
        <color rgb="FFFCFCFF"/>
        <color rgb="FFF8696B"/>
      </colorScale>
    </cfRule>
  </conditionalFormatting>
  <conditionalFormatting sqref="F1492:F1738">
    <cfRule type="colorScale" priority="6">
      <colorScale>
        <cfvo type="min"/>
        <cfvo type="percentile" val="50"/>
        <cfvo type="max"/>
        <color rgb="FF5A8AC6"/>
        <color rgb="FFFCFCFF"/>
        <color rgb="FFF8696B"/>
      </colorScale>
    </cfRule>
  </conditionalFormatting>
  <conditionalFormatting sqref="F1511:F1529">
    <cfRule type="colorScale" priority="88">
      <colorScale>
        <cfvo type="min"/>
        <cfvo type="percentile" val="50"/>
        <cfvo type="max"/>
        <color rgb="FF5A8AC6"/>
        <color rgb="FFFCFCFF"/>
        <color rgb="FFF8696B"/>
      </colorScale>
    </cfRule>
    <cfRule type="colorScale" priority="89">
      <colorScale>
        <cfvo type="min"/>
        <cfvo type="percentile" val="50"/>
        <cfvo type="max"/>
        <color rgb="FF5A8AC6"/>
        <color rgb="FFFCFCFF"/>
        <color rgb="FFF8696B"/>
      </colorScale>
    </cfRule>
  </conditionalFormatting>
  <conditionalFormatting sqref="F1530:F1548">
    <cfRule type="colorScale" priority="81">
      <colorScale>
        <cfvo type="min"/>
        <cfvo type="percentile" val="50"/>
        <cfvo type="max"/>
        <color rgb="FF5A8AC6"/>
        <color rgb="FFFCFCFF"/>
        <color rgb="FFF8696B"/>
      </colorScale>
    </cfRule>
    <cfRule type="colorScale" priority="82">
      <colorScale>
        <cfvo type="min"/>
        <cfvo type="percentile" val="50"/>
        <cfvo type="max"/>
        <color rgb="FF5A8AC6"/>
        <color rgb="FFFCFCFF"/>
        <color rgb="FFF8696B"/>
      </colorScale>
    </cfRule>
  </conditionalFormatting>
  <conditionalFormatting sqref="F1549:F1567">
    <cfRule type="colorScale" priority="75">
      <colorScale>
        <cfvo type="min"/>
        <cfvo type="percentile" val="50"/>
        <cfvo type="max"/>
        <color rgb="FF5A8AC6"/>
        <color rgb="FFFCFCFF"/>
        <color rgb="FFF8696B"/>
      </colorScale>
    </cfRule>
    <cfRule type="colorScale" priority="74">
      <colorScale>
        <cfvo type="min"/>
        <cfvo type="percentile" val="50"/>
        <cfvo type="max"/>
        <color rgb="FF5A8AC6"/>
        <color rgb="FFFCFCFF"/>
        <color rgb="FFF8696B"/>
      </colorScale>
    </cfRule>
  </conditionalFormatting>
  <conditionalFormatting sqref="F1568:F1586">
    <cfRule type="colorScale" priority="68">
      <colorScale>
        <cfvo type="min"/>
        <cfvo type="percentile" val="50"/>
        <cfvo type="max"/>
        <color rgb="FF5A8AC6"/>
        <color rgb="FFFCFCFF"/>
        <color rgb="FFF8696B"/>
      </colorScale>
    </cfRule>
    <cfRule type="colorScale" priority="67">
      <colorScale>
        <cfvo type="min"/>
        <cfvo type="percentile" val="50"/>
        <cfvo type="max"/>
        <color rgb="FF5A8AC6"/>
        <color rgb="FFFCFCFF"/>
        <color rgb="FFF8696B"/>
      </colorScale>
    </cfRule>
  </conditionalFormatting>
  <conditionalFormatting sqref="F1587:F1605">
    <cfRule type="colorScale" priority="60">
      <colorScale>
        <cfvo type="min"/>
        <cfvo type="percentile" val="50"/>
        <cfvo type="max"/>
        <color rgb="FF5A8AC6"/>
        <color rgb="FFFCFCFF"/>
        <color rgb="FFF8696B"/>
      </colorScale>
    </cfRule>
    <cfRule type="colorScale" priority="61">
      <colorScale>
        <cfvo type="min"/>
        <cfvo type="percentile" val="50"/>
        <cfvo type="max"/>
        <color rgb="FF5A8AC6"/>
        <color rgb="FFFCFCFF"/>
        <color rgb="FFF8696B"/>
      </colorScale>
    </cfRule>
  </conditionalFormatting>
  <conditionalFormatting sqref="F1606:F1624">
    <cfRule type="colorScale" priority="54">
      <colorScale>
        <cfvo type="min"/>
        <cfvo type="percentile" val="50"/>
        <cfvo type="max"/>
        <color rgb="FF5A8AC6"/>
        <color rgb="FFFCFCFF"/>
        <color rgb="FFF8696B"/>
      </colorScale>
    </cfRule>
    <cfRule type="colorScale" priority="53">
      <colorScale>
        <cfvo type="min"/>
        <cfvo type="percentile" val="50"/>
        <cfvo type="max"/>
        <color rgb="FF5A8AC6"/>
        <color rgb="FFFCFCFF"/>
        <color rgb="FFF8696B"/>
      </colorScale>
    </cfRule>
  </conditionalFormatting>
  <conditionalFormatting sqref="F1625:F1643">
    <cfRule type="colorScale" priority="47">
      <colorScale>
        <cfvo type="min"/>
        <cfvo type="percentile" val="50"/>
        <cfvo type="max"/>
        <color rgb="FF5A8AC6"/>
        <color rgb="FFFCFCFF"/>
        <color rgb="FFF8696B"/>
      </colorScale>
    </cfRule>
    <cfRule type="colorScale" priority="46">
      <colorScale>
        <cfvo type="min"/>
        <cfvo type="percentile" val="50"/>
        <cfvo type="max"/>
        <color rgb="FF5A8AC6"/>
        <color rgb="FFFCFCFF"/>
        <color rgb="FFF8696B"/>
      </colorScale>
    </cfRule>
  </conditionalFormatting>
  <conditionalFormatting sqref="F1644:F1662">
    <cfRule type="colorScale" priority="39">
      <colorScale>
        <cfvo type="min"/>
        <cfvo type="percentile" val="50"/>
        <cfvo type="max"/>
        <color rgb="FF5A8AC6"/>
        <color rgb="FFFCFCFF"/>
        <color rgb="FFF8696B"/>
      </colorScale>
    </cfRule>
    <cfRule type="colorScale" priority="40">
      <colorScale>
        <cfvo type="min"/>
        <cfvo type="percentile" val="50"/>
        <cfvo type="max"/>
        <color rgb="FF5A8AC6"/>
        <color rgb="FFFCFCFF"/>
        <color rgb="FFF8696B"/>
      </colorScale>
    </cfRule>
  </conditionalFormatting>
  <conditionalFormatting sqref="F1663:F1681">
    <cfRule type="colorScale" priority="32">
      <colorScale>
        <cfvo type="min"/>
        <cfvo type="percentile" val="50"/>
        <cfvo type="max"/>
        <color rgb="FF5A8AC6"/>
        <color rgb="FFFCFCFF"/>
        <color rgb="FFF8696B"/>
      </colorScale>
    </cfRule>
    <cfRule type="colorScale" priority="33">
      <colorScale>
        <cfvo type="min"/>
        <cfvo type="percentile" val="50"/>
        <cfvo type="max"/>
        <color rgb="FF5A8AC6"/>
        <color rgb="FFFCFCFF"/>
        <color rgb="FFF8696B"/>
      </colorScale>
    </cfRule>
  </conditionalFormatting>
  <conditionalFormatting sqref="F1682:F1700">
    <cfRule type="colorScale" priority="26">
      <colorScale>
        <cfvo type="min"/>
        <cfvo type="percentile" val="50"/>
        <cfvo type="max"/>
        <color rgb="FF5A8AC6"/>
        <color rgb="FFFCFCFF"/>
        <color rgb="FFF8696B"/>
      </colorScale>
    </cfRule>
    <cfRule type="colorScale" priority="25">
      <colorScale>
        <cfvo type="min"/>
        <cfvo type="percentile" val="50"/>
        <cfvo type="max"/>
        <color rgb="FF5A8AC6"/>
        <color rgb="FFFCFCFF"/>
        <color rgb="FFF8696B"/>
      </colorScale>
    </cfRule>
  </conditionalFormatting>
  <conditionalFormatting sqref="F1701:F1719">
    <cfRule type="colorScale" priority="18">
      <colorScale>
        <cfvo type="min"/>
        <cfvo type="percentile" val="50"/>
        <cfvo type="max"/>
        <color rgb="FF5A8AC6"/>
        <color rgb="FFFCFCFF"/>
        <color rgb="FFF8696B"/>
      </colorScale>
    </cfRule>
    <cfRule type="colorScale" priority="19">
      <colorScale>
        <cfvo type="min"/>
        <cfvo type="percentile" val="50"/>
        <cfvo type="max"/>
        <color rgb="FF5A8AC6"/>
        <color rgb="FFFCFCFF"/>
        <color rgb="FFF8696B"/>
      </colorScale>
    </cfRule>
  </conditionalFormatting>
  <conditionalFormatting sqref="F1720:F1738">
    <cfRule type="colorScale" priority="11">
      <colorScale>
        <cfvo type="min"/>
        <cfvo type="percentile" val="50"/>
        <cfvo type="max"/>
        <color rgb="FF5A8AC6"/>
        <color rgb="FFFCFCFF"/>
        <color rgb="FFF8696B"/>
      </colorScale>
    </cfRule>
    <cfRule type="colorScale" priority="12">
      <colorScale>
        <cfvo type="min"/>
        <cfvo type="percentile" val="50"/>
        <cfvo type="max"/>
        <color rgb="FF5A8AC6"/>
        <color rgb="FFFCFCFF"/>
        <color rgb="FFF8696B"/>
      </colorScale>
    </cfRule>
  </conditionalFormatting>
  <pageMargins left="0.7" right="0.7" top="0.75" bottom="0.75" header="0.3" footer="0.3"/>
  <pageSetup paperSize="8" orientation="landscape" horizontalDpi="0" verticalDpi="0"/>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Tabelle15">
    <tabColor rgb="FFFF9999"/>
  </sheetPr>
  <dimension ref="A1:AB126"/>
  <sheetViews>
    <sheetView workbookViewId="0">
      <selection activeCell="AU17" sqref="AU17"/>
    </sheetView>
  </sheetViews>
  <sheetFormatPr baseColWidth="10" defaultColWidth="10.83203125" defaultRowHeight="15"/>
  <cols>
    <col min="1" max="1" width="3" style="548" bestFit="1" customWidth="1"/>
    <col min="2" max="2" width="25.5" bestFit="1" customWidth="1"/>
    <col min="3" max="3" width="6.5" bestFit="1" customWidth="1"/>
    <col min="4" max="7" width="6.6640625" customWidth="1"/>
    <col min="9" max="9" width="21.6640625" customWidth="1"/>
    <col min="10" max="12" width="6.6640625" customWidth="1"/>
    <col min="13" max="13" width="15.33203125" customWidth="1"/>
    <col min="14" max="14" width="67.6640625" customWidth="1"/>
    <col min="15" max="15" width="20.5" customWidth="1"/>
    <col min="16" max="20" width="6.6640625" customWidth="1"/>
    <col min="22" max="22" width="20.6640625" customWidth="1"/>
    <col min="23" max="23" width="8.83203125" customWidth="1"/>
    <col min="24" max="27" width="6.6640625" customWidth="1"/>
  </cols>
  <sheetData>
    <row r="1" spans="1:17" s="669" customFormat="1">
      <c r="A1" s="668"/>
    </row>
    <row r="3" spans="1:17">
      <c r="B3" s="671" t="s">
        <v>1149</v>
      </c>
      <c r="C3" s="671"/>
      <c r="D3" s="671"/>
      <c r="O3" t="s">
        <v>1150</v>
      </c>
    </row>
    <row r="4" spans="1:17">
      <c r="B4" t="str">
        <f>Bundesland_Eingabe</f>
        <v>Hessen</v>
      </c>
      <c r="D4" t="str">
        <f>IFERROR(VLOOKUP(B4,B40:C57,2,FALSE),"wählen!!!")</f>
        <v>HE</v>
      </c>
      <c r="N4" t="str">
        <f>IFERROR(("BS_Anforderungen_MBO"),"wählen!!!")</f>
        <v>BS_Anforderungen_MBO</v>
      </c>
      <c r="Q4" t="s">
        <v>1230</v>
      </c>
    </row>
    <row r="5" spans="1:17">
      <c r="N5" t="str">
        <f>IFERROR(("BS_Anforderungen_"&amp;D4),"wählen!!!")</f>
        <v>BS_Anforderungen_HE</v>
      </c>
    </row>
    <row r="7" spans="1:17">
      <c r="B7" s="671" t="s">
        <v>1192</v>
      </c>
      <c r="C7" s="671"/>
      <c r="D7" s="672" t="str">
        <f>IF(B8&gt;22,"Hochhaus!!!","")</f>
        <v/>
      </c>
    </row>
    <row r="8" spans="1:17">
      <c r="B8" s="928">
        <f>IF('Erweiterte Eingabe'!C16="",(n_GESCHOSSE-1)*Rechenmodell!$F$6,'Erweiterte Eingabe'!C16)</f>
        <v>12</v>
      </c>
      <c r="C8" t="s">
        <v>883</v>
      </c>
      <c r="E8" s="670" t="s">
        <v>1238</v>
      </c>
    </row>
    <row r="10" spans="1:17">
      <c r="B10" s="671" t="s">
        <v>1193</v>
      </c>
      <c r="C10" s="671"/>
      <c r="D10" s="671"/>
    </row>
    <row r="11" spans="1:17">
      <c r="B11" s="768">
        <f>IF('Erweiterte Eingabe'!C18="","",'Erweiterte Eingabe'!C18)</f>
        <v>40</v>
      </c>
      <c r="C11" t="s">
        <v>423</v>
      </c>
      <c r="D11">
        <f>IF($B$11="",3,$B$11)</f>
        <v>40</v>
      </c>
      <c r="E11" s="670" t="s">
        <v>1194</v>
      </c>
    </row>
    <row r="13" spans="1:17">
      <c r="B13" s="671" t="s">
        <v>1195</v>
      </c>
      <c r="C13" s="671"/>
      <c r="D13" s="671"/>
    </row>
    <row r="14" spans="1:17">
      <c r="B14">
        <f>IF('Erweiterte Eingabe'!C19="","",'Erweiterte Eingabe'!C19)</f>
        <v>50</v>
      </c>
      <c r="C14" t="s">
        <v>1196</v>
      </c>
      <c r="D14">
        <f>IF($B$14="",400,$B$14)</f>
        <v>50</v>
      </c>
    </row>
    <row r="16" spans="1:17">
      <c r="B16" s="671" t="s">
        <v>1206</v>
      </c>
      <c r="C16" s="671"/>
      <c r="D16" s="671"/>
      <c r="O16" t="s">
        <v>1204</v>
      </c>
    </row>
    <row r="17" spans="2:15">
      <c r="B17" t="str">
        <f>IF('Erweiterte Eingabe'!C17="","nicht freistehend",'Erweiterte Eingabe'!C17)</f>
        <v>freistehend</v>
      </c>
      <c r="D17" t="str">
        <f>IF(B17="","nein",IF(B17="freistehend","ja","nein"))</f>
        <v>ja</v>
      </c>
      <c r="O17" t="s">
        <v>1205</v>
      </c>
    </row>
    <row r="18" spans="2:15" ht="16" thickBot="1"/>
    <row r="19" spans="2:15" ht="16" thickBot="1">
      <c r="B19" s="653" t="s">
        <v>1213</v>
      </c>
      <c r="C19" s="654">
        <f>MAX($B$67,$I$67,$O$67,$V$67)</f>
        <v>4</v>
      </c>
    </row>
    <row r="23" spans="2:15">
      <c r="B23" t="s">
        <v>1223</v>
      </c>
    </row>
    <row r="24" spans="2:15">
      <c r="B24" s="652" t="s">
        <v>1225</v>
      </c>
      <c r="D24" t="str">
        <f>IF(B24="","wählen!!!","")</f>
        <v/>
      </c>
    </row>
    <row r="26" spans="2:15">
      <c r="B26" s="652"/>
      <c r="D26" t="str">
        <f>IF(OR(B24='Schallschutzanforderungen Haupt'!D22,B24='Schallschutzanforderungen Haupt'!F22),"","wählen!!!")</f>
        <v/>
      </c>
    </row>
    <row r="29" spans="2:15" ht="16" thickBot="1"/>
    <row r="30" spans="2:15">
      <c r="B30" s="660" t="s">
        <v>1236</v>
      </c>
      <c r="C30" s="661" t="s">
        <v>1237</v>
      </c>
      <c r="D30" s="662" t="s">
        <v>1235</v>
      </c>
    </row>
    <row r="31" spans="2:15">
      <c r="B31" s="663" t="s">
        <v>1234</v>
      </c>
      <c r="C31" s="659" t="str">
        <f ca="1">HLOOKUP($C$19,BS_Anforderungen_VARIABEL!$C$1:$G$56,23,FALSE)</f>
        <v>hfh</v>
      </c>
      <c r="D31" s="664">
        <f ca="1">VLOOKUP(C31,$C$88:$E$91,3,FALSE)</f>
        <v>60</v>
      </c>
    </row>
    <row r="32" spans="2:15">
      <c r="B32" s="663" t="s">
        <v>867</v>
      </c>
      <c r="C32" s="659" t="str">
        <f ca="1">HLOOKUP($C$19,BS_Anforderungen_VARIABEL!$B$1:$G$56,4,FALSE)</f>
        <v>hfh</v>
      </c>
      <c r="D32" s="664">
        <f ca="1">VLOOKUP(C32,$C$88:$E$91,3,FALSE)</f>
        <v>60</v>
      </c>
    </row>
    <row r="33" spans="1:5" ht="16" thickBot="1">
      <c r="B33" s="665" t="s">
        <v>970</v>
      </c>
      <c r="C33" s="666" t="str">
        <f ca="1">HLOOKUP($C$19,BS_Anforderungen_VARIABEL!$B$1:$G$56,4,FALSE)</f>
        <v>hfh</v>
      </c>
      <c r="D33" s="667">
        <f ca="1">VLOOKUP(C33,$C$88:$E$91,3,FALSE)</f>
        <v>60</v>
      </c>
    </row>
    <row r="34" spans="1:5" ht="18" thickBot="1">
      <c r="B34" s="665" t="s">
        <v>1739</v>
      </c>
      <c r="C34" s="666" t="str">
        <f>IFERROR(IF(C19&lt;=3,"nein",IF(AND(OR(C19=4,C19=5),OR(D4="BW",D4="BE",D4="HH",D4="HE")),"nein","ja")),"ja")</f>
        <v>nein</v>
      </c>
      <c r="D34" s="667"/>
    </row>
    <row r="39" spans="1:5">
      <c r="B39" s="585" t="s">
        <v>1115</v>
      </c>
      <c r="C39" s="585" t="s">
        <v>1132</v>
      </c>
      <c r="E39" s="585" t="s">
        <v>1151</v>
      </c>
    </row>
    <row r="40" spans="1:5">
      <c r="B40" s="585"/>
      <c r="C40" s="585"/>
    </row>
    <row r="41" spans="1:5">
      <c r="A41" s="548">
        <v>1</v>
      </c>
      <c r="B41" t="s">
        <v>1116</v>
      </c>
      <c r="C41" s="549" t="s">
        <v>1133</v>
      </c>
      <c r="E41">
        <v>1</v>
      </c>
    </row>
    <row r="42" spans="1:5">
      <c r="A42" s="548">
        <v>2</v>
      </c>
      <c r="B42" t="s">
        <v>1117</v>
      </c>
      <c r="C42" s="549" t="s">
        <v>1134</v>
      </c>
      <c r="E42">
        <v>2</v>
      </c>
    </row>
    <row r="43" spans="1:5">
      <c r="A43" s="548">
        <v>3</v>
      </c>
      <c r="B43" t="s">
        <v>1118</v>
      </c>
      <c r="C43" s="549" t="s">
        <v>1135</v>
      </c>
      <c r="E43">
        <v>3</v>
      </c>
    </row>
    <row r="44" spans="1:5">
      <c r="A44" s="548">
        <v>4</v>
      </c>
      <c r="B44" t="s">
        <v>1119</v>
      </c>
      <c r="C44" s="549" t="s">
        <v>1143</v>
      </c>
      <c r="E44">
        <v>4</v>
      </c>
    </row>
    <row r="45" spans="1:5">
      <c r="A45" s="548">
        <v>5</v>
      </c>
      <c r="B45" t="s">
        <v>1120</v>
      </c>
      <c r="C45" s="549" t="s">
        <v>1144</v>
      </c>
      <c r="E45">
        <v>5</v>
      </c>
    </row>
    <row r="46" spans="1:5">
      <c r="A46" s="548">
        <v>6</v>
      </c>
      <c r="B46" t="s">
        <v>1121</v>
      </c>
      <c r="C46" s="549" t="s">
        <v>1145</v>
      </c>
    </row>
    <row r="47" spans="1:5">
      <c r="A47" s="548">
        <v>7</v>
      </c>
      <c r="B47" t="s">
        <v>1122</v>
      </c>
      <c r="C47" s="549" t="s">
        <v>1140</v>
      </c>
    </row>
    <row r="48" spans="1:5">
      <c r="A48" s="548">
        <v>8</v>
      </c>
      <c r="B48" t="s">
        <v>1123</v>
      </c>
      <c r="C48" s="549" t="s">
        <v>1136</v>
      </c>
    </row>
    <row r="49" spans="1:28">
      <c r="A49" s="548">
        <v>9</v>
      </c>
      <c r="B49" t="s">
        <v>1124</v>
      </c>
      <c r="C49" s="549" t="s">
        <v>1141</v>
      </c>
    </row>
    <row r="50" spans="1:28">
      <c r="A50" s="548">
        <v>10</v>
      </c>
      <c r="B50" t="s">
        <v>1125</v>
      </c>
      <c r="C50" s="549" t="s">
        <v>1137</v>
      </c>
    </row>
    <row r="51" spans="1:28">
      <c r="A51" s="548">
        <v>11</v>
      </c>
      <c r="B51" t="s">
        <v>1126</v>
      </c>
      <c r="C51" s="549" t="s">
        <v>1138</v>
      </c>
    </row>
    <row r="52" spans="1:28">
      <c r="A52" s="548">
        <v>12</v>
      </c>
      <c r="B52" t="s">
        <v>1127</v>
      </c>
      <c r="C52" s="549" t="s">
        <v>1146</v>
      </c>
    </row>
    <row r="53" spans="1:28">
      <c r="A53" s="548">
        <v>13</v>
      </c>
      <c r="B53" t="s">
        <v>1128</v>
      </c>
      <c r="C53" s="549" t="s">
        <v>1147</v>
      </c>
    </row>
    <row r="54" spans="1:28">
      <c r="A54" s="548">
        <v>14</v>
      </c>
      <c r="B54" t="s">
        <v>1129</v>
      </c>
      <c r="C54" s="549" t="s">
        <v>1148</v>
      </c>
    </row>
    <row r="55" spans="1:28">
      <c r="A55" s="548">
        <v>15</v>
      </c>
      <c r="B55" t="s">
        <v>1130</v>
      </c>
      <c r="C55" s="549" t="s">
        <v>1139</v>
      </c>
    </row>
    <row r="56" spans="1:28">
      <c r="A56" s="548">
        <v>16</v>
      </c>
      <c r="B56" t="s">
        <v>1131</v>
      </c>
      <c r="C56" s="549" t="s">
        <v>1142</v>
      </c>
    </row>
    <row r="57" spans="1:28">
      <c r="A57" s="548">
        <v>17</v>
      </c>
      <c r="B57" t="s">
        <v>1198</v>
      </c>
      <c r="C57" s="549" t="s">
        <v>1199</v>
      </c>
    </row>
    <row r="58" spans="1:28">
      <c r="V58" t="s">
        <v>1579</v>
      </c>
      <c r="X58" s="787">
        <v>7</v>
      </c>
      <c r="Y58" s="787">
        <v>7</v>
      </c>
      <c r="Z58" s="787">
        <v>13</v>
      </c>
      <c r="AA58" s="787">
        <v>7</v>
      </c>
      <c r="AB58" s="787">
        <v>7</v>
      </c>
    </row>
    <row r="59" spans="1:28">
      <c r="V59" t="s">
        <v>1580</v>
      </c>
      <c r="X59" s="548">
        <v>400</v>
      </c>
      <c r="Y59" s="548">
        <v>400</v>
      </c>
      <c r="Z59" s="548">
        <v>400</v>
      </c>
      <c r="AA59" s="548">
        <v>400</v>
      </c>
      <c r="AB59" s="548">
        <v>400</v>
      </c>
    </row>
    <row r="60" spans="1:28">
      <c r="V60" t="s">
        <v>1581</v>
      </c>
      <c r="X60" s="548">
        <v>1</v>
      </c>
      <c r="Y60" s="548">
        <v>3</v>
      </c>
      <c r="Z60" s="548">
        <v>4</v>
      </c>
      <c r="AA60" s="548">
        <v>5</v>
      </c>
      <c r="AB60" s="548">
        <f>IF($D$4="RP",4,5)</f>
        <v>5</v>
      </c>
    </row>
    <row r="62" spans="1:28">
      <c r="V62" s="585" t="s">
        <v>1582</v>
      </c>
      <c r="W62" s="642">
        <f>IF(AND(B8&lt;=$X$58,D14&lt;=$X$59),$X$60,IF(AND(B8&lt;=$Y$58,D14&gt;$Y$59),$Y$60,IF(AND(B8&lt;=$Z$58,D14&lt;=$Z$59),$Z$60,IF(AND(B8&gt;$AA$58,D14&lt;=$AA$59),$AA$60,IF(AND(B8&gt;$AB$58,D14&gt;$AB$59),$AB$60,5)))))</f>
        <v>4</v>
      </c>
    </row>
    <row r="63" spans="1:28">
      <c r="AB63" s="787"/>
    </row>
    <row r="64" spans="1:28">
      <c r="B64" s="585" t="s">
        <v>1197</v>
      </c>
      <c r="C64" s="585" t="s">
        <v>75</v>
      </c>
      <c r="D64" s="642">
        <v>0</v>
      </c>
      <c r="E64" s="643">
        <v>7.0010000000000003</v>
      </c>
      <c r="F64" s="643">
        <v>13.000999999999999</v>
      </c>
      <c r="G64" s="642">
        <v>22</v>
      </c>
      <c r="I64" s="585" t="s">
        <v>1201</v>
      </c>
      <c r="K64" s="642" t="s">
        <v>1202</v>
      </c>
      <c r="L64" s="642" t="s">
        <v>1203</v>
      </c>
      <c r="O64" s="585" t="s">
        <v>1208</v>
      </c>
      <c r="P64" s="585" t="s">
        <v>1210</v>
      </c>
      <c r="Q64" s="657">
        <v>100</v>
      </c>
      <c r="R64" s="657">
        <v>50</v>
      </c>
      <c r="S64" s="642">
        <v>2</v>
      </c>
      <c r="T64" s="642">
        <v>1</v>
      </c>
      <c r="V64" s="585" t="s">
        <v>1212</v>
      </c>
      <c r="W64" s="585" t="s">
        <v>1583</v>
      </c>
      <c r="X64" s="642">
        <v>1</v>
      </c>
      <c r="Y64" s="642">
        <v>3</v>
      </c>
      <c r="Z64" s="642">
        <v>4</v>
      </c>
      <c r="AA64" s="642">
        <v>5</v>
      </c>
    </row>
    <row r="65" spans="2:27">
      <c r="C65" s="611" t="s">
        <v>1133</v>
      </c>
      <c r="D65" s="548">
        <f>D$81</f>
        <v>1</v>
      </c>
      <c r="E65" s="548">
        <f t="shared" ref="E65:G73" si="0">E$81</f>
        <v>1</v>
      </c>
      <c r="F65" s="548">
        <f t="shared" si="0"/>
        <v>4</v>
      </c>
      <c r="G65" s="548">
        <f t="shared" si="0"/>
        <v>5</v>
      </c>
      <c r="J65" s="611" t="s">
        <v>1133</v>
      </c>
      <c r="K65" s="548">
        <f>K$81</f>
        <v>1</v>
      </c>
      <c r="L65" s="548">
        <f>L$81</f>
        <v>2</v>
      </c>
      <c r="P65" s="611" t="s">
        <v>1133</v>
      </c>
      <c r="Q65" s="548">
        <f>Q$81</f>
        <v>4</v>
      </c>
      <c r="R65" s="548">
        <f t="shared" ref="R65:T73" si="1">R$81</f>
        <v>3</v>
      </c>
      <c r="S65" s="548">
        <f t="shared" si="1"/>
        <v>1</v>
      </c>
      <c r="T65" s="548">
        <f t="shared" si="1"/>
        <v>1</v>
      </c>
      <c r="W65" s="611" t="s">
        <v>1133</v>
      </c>
      <c r="X65" s="548">
        <f>X$81</f>
        <v>1</v>
      </c>
      <c r="Y65" s="548">
        <v>3</v>
      </c>
      <c r="Z65" s="548">
        <v>4</v>
      </c>
      <c r="AA65" s="548">
        <v>5</v>
      </c>
    </row>
    <row r="66" spans="2:27">
      <c r="B66" t="s">
        <v>1200</v>
      </c>
      <c r="C66" s="611" t="s">
        <v>1134</v>
      </c>
      <c r="D66" s="548">
        <f t="shared" ref="D66:D73" si="2">D$81</f>
        <v>1</v>
      </c>
      <c r="E66" s="548">
        <f t="shared" si="0"/>
        <v>1</v>
      </c>
      <c r="F66" s="548">
        <f t="shared" si="0"/>
        <v>4</v>
      </c>
      <c r="G66" s="548">
        <f t="shared" si="0"/>
        <v>5</v>
      </c>
      <c r="I66" t="s">
        <v>1207</v>
      </c>
      <c r="J66" s="611" t="s">
        <v>1134</v>
      </c>
      <c r="K66" s="548">
        <f t="shared" ref="K66:L73" si="3">K$81</f>
        <v>1</v>
      </c>
      <c r="L66" s="548">
        <f t="shared" si="3"/>
        <v>2</v>
      </c>
      <c r="O66" t="s">
        <v>1209</v>
      </c>
      <c r="P66" s="611" t="s">
        <v>1134</v>
      </c>
      <c r="Q66" s="548">
        <f t="shared" ref="Q66:Q73" si="4">Q$81</f>
        <v>4</v>
      </c>
      <c r="R66" s="548">
        <f t="shared" si="1"/>
        <v>3</v>
      </c>
      <c r="S66" s="548">
        <f t="shared" si="1"/>
        <v>1</v>
      </c>
      <c r="T66" s="548">
        <f t="shared" si="1"/>
        <v>1</v>
      </c>
      <c r="V66" t="s">
        <v>1211</v>
      </c>
      <c r="W66" s="611" t="s">
        <v>1134</v>
      </c>
      <c r="X66" s="548">
        <f>X$81</f>
        <v>1</v>
      </c>
      <c r="Y66" s="548">
        <v>3</v>
      </c>
      <c r="Z66" s="548">
        <v>4</v>
      </c>
      <c r="AA66" s="548">
        <v>5</v>
      </c>
    </row>
    <row r="67" spans="2:27">
      <c r="B67" s="641">
        <f>INDEX($D$65:$G$81,MATCH($D$4,$C$65:$C$81,0),MATCH($B$8,$D$64:$G$64,1)+1)</f>
        <v>4</v>
      </c>
      <c r="C67" s="611" t="s">
        <v>1135</v>
      </c>
      <c r="D67" s="548">
        <f t="shared" si="2"/>
        <v>1</v>
      </c>
      <c r="E67" s="548">
        <f t="shared" si="0"/>
        <v>1</v>
      </c>
      <c r="F67" s="548">
        <f t="shared" si="0"/>
        <v>4</v>
      </c>
      <c r="G67" s="548">
        <f t="shared" si="0"/>
        <v>5</v>
      </c>
      <c r="I67" s="641">
        <f>INDEX($K$65:$L$81,MATCH($D$4,$J$65:$J$81,0),MATCH($D$17,K64:L64,0))</f>
        <v>1</v>
      </c>
      <c r="J67" s="611" t="s">
        <v>1135</v>
      </c>
      <c r="K67" s="548">
        <f t="shared" si="3"/>
        <v>1</v>
      </c>
      <c r="L67" s="548">
        <f t="shared" si="3"/>
        <v>2</v>
      </c>
      <c r="O67" s="641">
        <f>INDEX($Q$65:$T$81,MATCH($D$4,$P$65:$P$81,0),MATCH($D$11,$Q$64:$T$64,-1))</f>
        <v>3</v>
      </c>
      <c r="P67" s="611" t="s">
        <v>1135</v>
      </c>
      <c r="Q67" s="548">
        <f t="shared" si="4"/>
        <v>4</v>
      </c>
      <c r="R67" s="548">
        <f t="shared" si="1"/>
        <v>3</v>
      </c>
      <c r="S67" s="548">
        <f t="shared" si="1"/>
        <v>1</v>
      </c>
      <c r="T67" s="548">
        <f t="shared" si="1"/>
        <v>1</v>
      </c>
      <c r="V67" s="641">
        <f>INDEX(W64:AA81,MATCH($D$4,$W$64:$W$81,0),MATCH($W$62,W64:$AA$64,1))</f>
        <v>4</v>
      </c>
      <c r="W67" s="611" t="s">
        <v>1135</v>
      </c>
      <c r="X67" s="548">
        <f t="shared" ref="X67:X73" si="5">X$81</f>
        <v>1</v>
      </c>
      <c r="Y67" s="548">
        <v>3</v>
      </c>
      <c r="Z67" s="548">
        <v>4</v>
      </c>
      <c r="AA67" s="548">
        <v>5</v>
      </c>
    </row>
    <row r="68" spans="2:27">
      <c r="C68" s="611" t="s">
        <v>1143</v>
      </c>
      <c r="D68" s="548">
        <f t="shared" si="2"/>
        <v>1</v>
      </c>
      <c r="E68" s="548">
        <f t="shared" si="0"/>
        <v>1</v>
      </c>
      <c r="F68" s="548">
        <f t="shared" si="0"/>
        <v>4</v>
      </c>
      <c r="G68" s="548">
        <f t="shared" si="0"/>
        <v>5</v>
      </c>
      <c r="J68" s="611" t="s">
        <v>1143</v>
      </c>
      <c r="K68" s="548">
        <f t="shared" si="3"/>
        <v>1</v>
      </c>
      <c r="L68" s="548">
        <f t="shared" si="3"/>
        <v>2</v>
      </c>
      <c r="P68" s="611" t="s">
        <v>1143</v>
      </c>
      <c r="Q68" s="548">
        <f t="shared" si="4"/>
        <v>4</v>
      </c>
      <c r="R68" s="548">
        <f t="shared" si="1"/>
        <v>3</v>
      </c>
      <c r="S68" s="548">
        <f t="shared" si="1"/>
        <v>1</v>
      </c>
      <c r="T68" s="548">
        <f t="shared" si="1"/>
        <v>1</v>
      </c>
      <c r="W68" s="611" t="s">
        <v>1143</v>
      </c>
      <c r="X68" s="548">
        <f t="shared" si="5"/>
        <v>1</v>
      </c>
      <c r="Y68" s="548">
        <v>3</v>
      </c>
      <c r="Z68" s="548">
        <v>4</v>
      </c>
      <c r="AA68" s="548">
        <v>5</v>
      </c>
    </row>
    <row r="69" spans="2:27">
      <c r="B69" s="548"/>
      <c r="C69" s="611" t="s">
        <v>1144</v>
      </c>
      <c r="D69" s="548">
        <f t="shared" si="2"/>
        <v>1</v>
      </c>
      <c r="E69" s="548">
        <f t="shared" si="0"/>
        <v>1</v>
      </c>
      <c r="F69" s="548">
        <f t="shared" si="0"/>
        <v>4</v>
      </c>
      <c r="G69" s="548">
        <f t="shared" si="0"/>
        <v>5</v>
      </c>
      <c r="J69" s="611" t="s">
        <v>1144</v>
      </c>
      <c r="K69" s="548">
        <f t="shared" si="3"/>
        <v>1</v>
      </c>
      <c r="L69" s="548">
        <f t="shared" si="3"/>
        <v>2</v>
      </c>
      <c r="P69" s="611" t="s">
        <v>1144</v>
      </c>
      <c r="Q69" s="548">
        <f t="shared" si="4"/>
        <v>4</v>
      </c>
      <c r="R69" s="548">
        <f t="shared" si="1"/>
        <v>3</v>
      </c>
      <c r="S69" s="548">
        <f t="shared" si="1"/>
        <v>1</v>
      </c>
      <c r="T69" s="548">
        <f t="shared" si="1"/>
        <v>1</v>
      </c>
      <c r="W69" s="611" t="s">
        <v>1144</v>
      </c>
      <c r="X69" s="548">
        <f t="shared" si="5"/>
        <v>1</v>
      </c>
      <c r="Y69" s="548">
        <v>3</v>
      </c>
      <c r="Z69" s="548">
        <v>4</v>
      </c>
      <c r="AA69" s="548">
        <v>5</v>
      </c>
    </row>
    <row r="70" spans="2:27">
      <c r="C70" s="611" t="s">
        <v>1145</v>
      </c>
      <c r="D70" s="548">
        <f t="shared" si="2"/>
        <v>1</v>
      </c>
      <c r="E70" s="548">
        <f t="shared" si="0"/>
        <v>1</v>
      </c>
      <c r="F70" s="548">
        <f t="shared" si="0"/>
        <v>4</v>
      </c>
      <c r="G70" s="548">
        <f t="shared" si="0"/>
        <v>5</v>
      </c>
      <c r="J70" s="611" t="s">
        <v>1145</v>
      </c>
      <c r="K70" s="548">
        <f t="shared" si="3"/>
        <v>1</v>
      </c>
      <c r="L70" s="548">
        <f t="shared" si="3"/>
        <v>2</v>
      </c>
      <c r="O70" s="548"/>
      <c r="P70" s="611" t="s">
        <v>1145</v>
      </c>
      <c r="Q70" s="548">
        <f t="shared" si="4"/>
        <v>4</v>
      </c>
      <c r="R70" s="548">
        <f t="shared" si="1"/>
        <v>3</v>
      </c>
      <c r="S70" s="548">
        <f t="shared" si="1"/>
        <v>1</v>
      </c>
      <c r="T70" s="548">
        <f t="shared" si="1"/>
        <v>1</v>
      </c>
      <c r="V70" s="548"/>
      <c r="W70" s="611" t="s">
        <v>1145</v>
      </c>
      <c r="X70" s="548">
        <f t="shared" si="5"/>
        <v>1</v>
      </c>
      <c r="Y70" s="548">
        <v>3</v>
      </c>
      <c r="Z70" s="548">
        <v>4</v>
      </c>
      <c r="AA70" s="548">
        <v>5</v>
      </c>
    </row>
    <row r="71" spans="2:27">
      <c r="C71" s="611" t="s">
        <v>1140</v>
      </c>
      <c r="D71" s="548">
        <f t="shared" si="2"/>
        <v>1</v>
      </c>
      <c r="E71" s="548">
        <f t="shared" si="0"/>
        <v>1</v>
      </c>
      <c r="F71" s="548">
        <f t="shared" si="0"/>
        <v>4</v>
      </c>
      <c r="G71" s="548">
        <f t="shared" si="0"/>
        <v>5</v>
      </c>
      <c r="J71" s="611" t="s">
        <v>1140</v>
      </c>
      <c r="K71" s="548">
        <f t="shared" si="3"/>
        <v>1</v>
      </c>
      <c r="L71" s="548">
        <f t="shared" si="3"/>
        <v>2</v>
      </c>
      <c r="P71" s="611" t="s">
        <v>1140</v>
      </c>
      <c r="Q71" s="548">
        <f t="shared" si="4"/>
        <v>4</v>
      </c>
      <c r="R71" s="548">
        <f t="shared" si="1"/>
        <v>3</v>
      </c>
      <c r="S71" s="548">
        <f t="shared" si="1"/>
        <v>1</v>
      </c>
      <c r="T71" s="548">
        <f t="shared" si="1"/>
        <v>1</v>
      </c>
      <c r="W71" s="611" t="s">
        <v>1140</v>
      </c>
      <c r="X71" s="548">
        <f t="shared" si="5"/>
        <v>1</v>
      </c>
      <c r="Y71" s="548">
        <v>3</v>
      </c>
      <c r="Z71" s="548">
        <v>4</v>
      </c>
      <c r="AA71" s="548">
        <v>5</v>
      </c>
    </row>
    <row r="72" spans="2:27">
      <c r="C72" s="611" t="s">
        <v>1136</v>
      </c>
      <c r="D72" s="548">
        <f t="shared" si="2"/>
        <v>1</v>
      </c>
      <c r="E72" s="548">
        <f t="shared" si="0"/>
        <v>1</v>
      </c>
      <c r="F72" s="548">
        <f t="shared" si="0"/>
        <v>4</v>
      </c>
      <c r="G72" s="548">
        <f t="shared" si="0"/>
        <v>5</v>
      </c>
      <c r="J72" s="611" t="s">
        <v>1136</v>
      </c>
      <c r="K72" s="548">
        <f t="shared" si="3"/>
        <v>1</v>
      </c>
      <c r="L72" s="548">
        <f t="shared" si="3"/>
        <v>2</v>
      </c>
      <c r="P72" s="611" t="s">
        <v>1136</v>
      </c>
      <c r="Q72" s="548">
        <f t="shared" si="4"/>
        <v>4</v>
      </c>
      <c r="R72" s="548">
        <f t="shared" si="1"/>
        <v>3</v>
      </c>
      <c r="S72" s="548">
        <f t="shared" si="1"/>
        <v>1</v>
      </c>
      <c r="T72" s="548">
        <f t="shared" si="1"/>
        <v>1</v>
      </c>
      <c r="W72" s="611" t="s">
        <v>1136</v>
      </c>
      <c r="X72" s="548">
        <f t="shared" si="5"/>
        <v>1</v>
      </c>
      <c r="Y72" s="548">
        <v>3</v>
      </c>
      <c r="Z72" s="548">
        <v>4</v>
      </c>
      <c r="AA72" s="548">
        <v>5</v>
      </c>
    </row>
    <row r="73" spans="2:27">
      <c r="C73" s="611" t="s">
        <v>1141</v>
      </c>
      <c r="D73" s="548">
        <f t="shared" si="2"/>
        <v>1</v>
      </c>
      <c r="E73" s="548">
        <f t="shared" si="0"/>
        <v>1</v>
      </c>
      <c r="F73" s="548">
        <f t="shared" si="0"/>
        <v>4</v>
      </c>
      <c r="G73" s="548">
        <f t="shared" si="0"/>
        <v>5</v>
      </c>
      <c r="J73" s="611" t="s">
        <v>1141</v>
      </c>
      <c r="K73" s="548">
        <f t="shared" si="3"/>
        <v>1</v>
      </c>
      <c r="L73" s="548">
        <f t="shared" si="3"/>
        <v>2</v>
      </c>
      <c r="P73" s="611" t="s">
        <v>1141</v>
      </c>
      <c r="Q73" s="548">
        <f t="shared" si="4"/>
        <v>4</v>
      </c>
      <c r="R73" s="548">
        <f t="shared" si="1"/>
        <v>3</v>
      </c>
      <c r="S73" s="548">
        <f t="shared" si="1"/>
        <v>1</v>
      </c>
      <c r="T73" s="548">
        <f t="shared" si="1"/>
        <v>1</v>
      </c>
      <c r="W73" s="611" t="s">
        <v>1141</v>
      </c>
      <c r="X73" s="548">
        <f t="shared" si="5"/>
        <v>1</v>
      </c>
      <c r="Y73" s="548">
        <v>3</v>
      </c>
      <c r="Z73" s="548">
        <v>4</v>
      </c>
      <c r="AA73" s="548">
        <v>5</v>
      </c>
    </row>
    <row r="74" spans="2:27">
      <c r="C74" s="611" t="s">
        <v>1137</v>
      </c>
      <c r="D74" s="548">
        <v>1</v>
      </c>
      <c r="E74" s="548">
        <v>1</v>
      </c>
      <c r="F74" s="548">
        <v>4</v>
      </c>
      <c r="G74" s="658">
        <v>4</v>
      </c>
      <c r="H74" t="s">
        <v>1233</v>
      </c>
      <c r="J74" s="611" t="s">
        <v>1137</v>
      </c>
      <c r="K74" s="548">
        <v>1</v>
      </c>
      <c r="L74" s="548">
        <v>2</v>
      </c>
      <c r="P74" s="611" t="s">
        <v>1137</v>
      </c>
      <c r="Q74" s="548">
        <v>4</v>
      </c>
      <c r="R74" s="548">
        <v>3</v>
      </c>
      <c r="S74" s="548">
        <v>1</v>
      </c>
      <c r="T74" s="548">
        <v>1</v>
      </c>
      <c r="W74" s="611" t="s">
        <v>1137</v>
      </c>
      <c r="X74" s="548">
        <v>1</v>
      </c>
      <c r="Y74" s="548">
        <v>3</v>
      </c>
      <c r="Z74" s="548">
        <v>4</v>
      </c>
      <c r="AA74" s="548">
        <v>5</v>
      </c>
    </row>
    <row r="75" spans="2:27">
      <c r="C75" s="611" t="s">
        <v>1138</v>
      </c>
      <c r="D75" s="658">
        <v>1</v>
      </c>
      <c r="E75" s="658">
        <v>1</v>
      </c>
      <c r="F75" s="658">
        <v>4</v>
      </c>
      <c r="G75" s="658">
        <v>5</v>
      </c>
      <c r="J75" s="611" t="s">
        <v>1138</v>
      </c>
      <c r="K75" s="658">
        <v>1</v>
      </c>
      <c r="L75" s="658">
        <v>2</v>
      </c>
      <c r="P75" s="611" t="s">
        <v>1138</v>
      </c>
      <c r="Q75" s="658">
        <v>4</v>
      </c>
      <c r="R75" s="658">
        <v>3</v>
      </c>
      <c r="S75" s="658">
        <v>1</v>
      </c>
      <c r="T75" s="658">
        <v>1</v>
      </c>
      <c r="W75" s="611" t="s">
        <v>1138</v>
      </c>
      <c r="X75" s="658">
        <v>1</v>
      </c>
      <c r="Y75" s="658">
        <v>3</v>
      </c>
      <c r="Z75" s="658">
        <v>4</v>
      </c>
      <c r="AA75" s="658">
        <v>5</v>
      </c>
    </row>
    <row r="76" spans="2:27">
      <c r="C76" s="611" t="s">
        <v>1146</v>
      </c>
      <c r="D76" s="548">
        <f t="shared" ref="D76:G80" si="6">D$81</f>
        <v>1</v>
      </c>
      <c r="E76" s="548">
        <f t="shared" si="6"/>
        <v>1</v>
      </c>
      <c r="F76" s="548">
        <f t="shared" si="6"/>
        <v>4</v>
      </c>
      <c r="G76" s="548">
        <f t="shared" si="6"/>
        <v>5</v>
      </c>
      <c r="J76" s="611" t="s">
        <v>1146</v>
      </c>
      <c r="K76" s="548">
        <f t="shared" ref="K76:L80" si="7">K$81</f>
        <v>1</v>
      </c>
      <c r="L76" s="548">
        <f t="shared" si="7"/>
        <v>2</v>
      </c>
      <c r="P76" s="611" t="s">
        <v>1146</v>
      </c>
      <c r="Q76" s="548">
        <f t="shared" ref="Q76:T80" si="8">Q$81</f>
        <v>4</v>
      </c>
      <c r="R76" s="548">
        <f t="shared" si="8"/>
        <v>3</v>
      </c>
      <c r="S76" s="548">
        <f t="shared" si="8"/>
        <v>1</v>
      </c>
      <c r="T76" s="548">
        <f t="shared" si="8"/>
        <v>1</v>
      </c>
      <c r="W76" s="611" t="s">
        <v>1146</v>
      </c>
      <c r="X76" s="548">
        <f>X$81</f>
        <v>1</v>
      </c>
      <c r="Y76" s="548">
        <v>3</v>
      </c>
      <c r="Z76" s="548">
        <v>4</v>
      </c>
      <c r="AA76" s="548">
        <v>5</v>
      </c>
    </row>
    <row r="77" spans="2:27">
      <c r="C77" s="611" t="s">
        <v>1147</v>
      </c>
      <c r="D77" s="548">
        <f t="shared" si="6"/>
        <v>1</v>
      </c>
      <c r="E77" s="548">
        <f t="shared" si="6"/>
        <v>1</v>
      </c>
      <c r="F77" s="548">
        <f t="shared" si="6"/>
        <v>4</v>
      </c>
      <c r="G77" s="548">
        <f t="shared" si="6"/>
        <v>5</v>
      </c>
      <c r="J77" s="611" t="s">
        <v>1147</v>
      </c>
      <c r="K77" s="548">
        <f t="shared" si="7"/>
        <v>1</v>
      </c>
      <c r="L77" s="548">
        <f t="shared" si="7"/>
        <v>2</v>
      </c>
      <c r="P77" s="611" t="s">
        <v>1147</v>
      </c>
      <c r="Q77" s="548">
        <f t="shared" si="8"/>
        <v>4</v>
      </c>
      <c r="R77" s="548">
        <f t="shared" si="8"/>
        <v>3</v>
      </c>
      <c r="S77" s="548">
        <f t="shared" si="8"/>
        <v>1</v>
      </c>
      <c r="T77" s="548">
        <f t="shared" si="8"/>
        <v>1</v>
      </c>
      <c r="W77" s="611" t="s">
        <v>1147</v>
      </c>
      <c r="X77" s="548">
        <f>X$81</f>
        <v>1</v>
      </c>
      <c r="Y77" s="548">
        <v>3</v>
      </c>
      <c r="Z77" s="548">
        <v>4</v>
      </c>
      <c r="AA77" s="548">
        <v>5</v>
      </c>
    </row>
    <row r="78" spans="2:27">
      <c r="C78" s="611" t="s">
        <v>1148</v>
      </c>
      <c r="D78" s="548">
        <f t="shared" si="6"/>
        <v>1</v>
      </c>
      <c r="E78" s="548">
        <f t="shared" si="6"/>
        <v>1</v>
      </c>
      <c r="F78" s="548">
        <f t="shared" si="6"/>
        <v>4</v>
      </c>
      <c r="G78" s="548">
        <f t="shared" si="6"/>
        <v>5</v>
      </c>
      <c r="J78" s="611" t="s">
        <v>1148</v>
      </c>
      <c r="K78" s="548">
        <f t="shared" si="7"/>
        <v>1</v>
      </c>
      <c r="L78" s="548">
        <f t="shared" si="7"/>
        <v>2</v>
      </c>
      <c r="P78" s="611" t="s">
        <v>1148</v>
      </c>
      <c r="Q78" s="548">
        <f t="shared" si="8"/>
        <v>4</v>
      </c>
      <c r="R78" s="548">
        <f t="shared" si="8"/>
        <v>3</v>
      </c>
      <c r="S78" s="548">
        <f t="shared" si="8"/>
        <v>1</v>
      </c>
      <c r="T78" s="548">
        <f t="shared" si="8"/>
        <v>1</v>
      </c>
      <c r="W78" s="611" t="s">
        <v>1148</v>
      </c>
      <c r="X78" s="548">
        <f>X$81</f>
        <v>1</v>
      </c>
      <c r="Y78" s="548">
        <v>3</v>
      </c>
      <c r="Z78" s="548">
        <v>4</v>
      </c>
      <c r="AA78" s="548">
        <v>5</v>
      </c>
    </row>
    <row r="79" spans="2:27">
      <c r="C79" s="611" t="s">
        <v>1139</v>
      </c>
      <c r="D79" s="548">
        <f t="shared" si="6"/>
        <v>1</v>
      </c>
      <c r="E79" s="548">
        <f t="shared" si="6"/>
        <v>1</v>
      </c>
      <c r="F79" s="548">
        <f t="shared" si="6"/>
        <v>4</v>
      </c>
      <c r="G79" s="548">
        <f t="shared" si="6"/>
        <v>5</v>
      </c>
      <c r="J79" s="611" t="s">
        <v>1139</v>
      </c>
      <c r="K79" s="548">
        <f t="shared" si="7"/>
        <v>1</v>
      </c>
      <c r="L79" s="548">
        <f t="shared" si="7"/>
        <v>2</v>
      </c>
      <c r="P79" s="611" t="s">
        <v>1139</v>
      </c>
      <c r="Q79" s="548">
        <f t="shared" si="8"/>
        <v>4</v>
      </c>
      <c r="R79" s="548">
        <f t="shared" si="8"/>
        <v>3</v>
      </c>
      <c r="S79" s="548">
        <f t="shared" si="8"/>
        <v>1</v>
      </c>
      <c r="T79" s="548">
        <f t="shared" si="8"/>
        <v>1</v>
      </c>
      <c r="W79" s="611" t="s">
        <v>1139</v>
      </c>
      <c r="X79" s="548">
        <f>X$81</f>
        <v>1</v>
      </c>
      <c r="Y79" s="548">
        <v>3</v>
      </c>
      <c r="Z79" s="548">
        <v>4</v>
      </c>
      <c r="AA79" s="548">
        <v>5</v>
      </c>
    </row>
    <row r="80" spans="2:27">
      <c r="C80" s="611" t="s">
        <v>1142</v>
      </c>
      <c r="D80" s="548">
        <f t="shared" si="6"/>
        <v>1</v>
      </c>
      <c r="E80" s="548">
        <f t="shared" si="6"/>
        <v>1</v>
      </c>
      <c r="F80" s="548">
        <f t="shared" si="6"/>
        <v>4</v>
      </c>
      <c r="G80" s="548">
        <f t="shared" si="6"/>
        <v>5</v>
      </c>
      <c r="J80" s="611" t="s">
        <v>1142</v>
      </c>
      <c r="K80" s="548">
        <f t="shared" si="7"/>
        <v>1</v>
      </c>
      <c r="L80" s="548">
        <f t="shared" si="7"/>
        <v>2</v>
      </c>
      <c r="P80" s="611" t="s">
        <v>1142</v>
      </c>
      <c r="Q80" s="548">
        <f t="shared" si="8"/>
        <v>4</v>
      </c>
      <c r="R80" s="548">
        <f t="shared" si="8"/>
        <v>3</v>
      </c>
      <c r="S80" s="548">
        <f t="shared" si="8"/>
        <v>1</v>
      </c>
      <c r="T80" s="548">
        <f t="shared" si="8"/>
        <v>1</v>
      </c>
      <c r="W80" s="611" t="s">
        <v>1142</v>
      </c>
      <c r="X80" s="548">
        <f>X$81</f>
        <v>1</v>
      </c>
      <c r="Y80" s="548">
        <v>3</v>
      </c>
      <c r="Z80" s="548">
        <v>4</v>
      </c>
      <c r="AA80" s="548">
        <v>5</v>
      </c>
    </row>
    <row r="81" spans="2:27">
      <c r="C81" s="611" t="s">
        <v>1199</v>
      </c>
      <c r="D81" s="548">
        <v>1</v>
      </c>
      <c r="E81" s="548">
        <v>1</v>
      </c>
      <c r="F81" s="548">
        <v>4</v>
      </c>
      <c r="G81" s="548">
        <v>5</v>
      </c>
      <c r="J81" s="611" t="s">
        <v>1199</v>
      </c>
      <c r="K81" s="548">
        <v>1</v>
      </c>
      <c r="L81" s="548">
        <v>2</v>
      </c>
      <c r="P81" s="611" t="s">
        <v>1199</v>
      </c>
      <c r="Q81" s="548">
        <v>4</v>
      </c>
      <c r="R81" s="548">
        <v>3</v>
      </c>
      <c r="S81" s="548">
        <v>1</v>
      </c>
      <c r="T81" s="548">
        <v>1</v>
      </c>
      <c r="W81" s="611" t="s">
        <v>1199</v>
      </c>
      <c r="X81" s="548">
        <v>1</v>
      </c>
      <c r="Y81" s="548">
        <v>3</v>
      </c>
      <c r="Z81" s="548">
        <v>4</v>
      </c>
      <c r="AA81" s="548">
        <v>5</v>
      </c>
    </row>
    <row r="85" spans="2:27">
      <c r="B85" s="585" t="s">
        <v>1216</v>
      </c>
    </row>
    <row r="87" spans="2:27" ht="137.25" customHeight="1">
      <c r="B87" s="651" t="s">
        <v>1222</v>
      </c>
      <c r="C87" s="650" t="s">
        <v>1218</v>
      </c>
      <c r="D87" s="650" t="s">
        <v>1219</v>
      </c>
      <c r="E87" s="650" t="s">
        <v>1220</v>
      </c>
    </row>
    <row r="88" spans="2:27">
      <c r="B88" t="s">
        <v>1217</v>
      </c>
      <c r="C88" s="548" t="s">
        <v>1010</v>
      </c>
      <c r="D88" s="548"/>
      <c r="E88" s="548">
        <v>0</v>
      </c>
    </row>
    <row r="89" spans="2:27">
      <c r="B89" t="s">
        <v>1092</v>
      </c>
      <c r="C89" s="548" t="s">
        <v>1011</v>
      </c>
      <c r="D89" s="548"/>
      <c r="E89" s="548">
        <v>30</v>
      </c>
    </row>
    <row r="90" spans="2:27">
      <c r="B90" t="s">
        <v>1093</v>
      </c>
      <c r="C90" s="548" t="s">
        <v>1012</v>
      </c>
      <c r="D90" s="548"/>
      <c r="E90" s="548">
        <v>60</v>
      </c>
    </row>
    <row r="91" spans="2:27">
      <c r="B91" t="s">
        <v>1094</v>
      </c>
      <c r="C91" s="548" t="s">
        <v>1013</v>
      </c>
      <c r="D91" s="548"/>
      <c r="E91" s="548">
        <v>90</v>
      </c>
    </row>
    <row r="97" spans="2:9">
      <c r="B97" s="585" t="s">
        <v>1221</v>
      </c>
    </row>
    <row r="99" spans="2:9" ht="88">
      <c r="B99" s="651" t="s">
        <v>1222</v>
      </c>
      <c r="C99" s="650" t="s">
        <v>1218</v>
      </c>
      <c r="D99" s="650" t="s">
        <v>1219</v>
      </c>
      <c r="E99" s="650" t="s">
        <v>1220</v>
      </c>
    </row>
    <row r="100" spans="2:9">
      <c r="B100" t="s">
        <v>1097</v>
      </c>
      <c r="C100" s="548" t="s">
        <v>1053</v>
      </c>
      <c r="D100" s="548"/>
      <c r="E100" s="548"/>
    </row>
    <row r="101" spans="2:9">
      <c r="B101" t="s">
        <v>1672</v>
      </c>
      <c r="C101" s="548" t="s">
        <v>1022</v>
      </c>
      <c r="D101" s="548"/>
      <c r="E101" s="548"/>
    </row>
    <row r="102" spans="2:9">
      <c r="B102" t="s">
        <v>1673</v>
      </c>
      <c r="C102" s="548" t="s">
        <v>1675</v>
      </c>
      <c r="D102" s="548"/>
      <c r="E102" s="548"/>
    </row>
    <row r="103" spans="2:9">
      <c r="B103" t="s">
        <v>1674</v>
      </c>
      <c r="C103" s="548" t="s">
        <v>1676</v>
      </c>
      <c r="D103" s="548"/>
      <c r="E103" s="548"/>
    </row>
    <row r="104" spans="2:9">
      <c r="B104" t="s">
        <v>1217</v>
      </c>
      <c r="C104" s="548" t="s">
        <v>1010</v>
      </c>
    </row>
    <row r="109" spans="2:9">
      <c r="B109" t="s">
        <v>2224</v>
      </c>
      <c r="D109" t="s">
        <v>2226</v>
      </c>
      <c r="H109" s="643" t="str">
        <f>VLOOKUP($D$4,$C$111:$D$126,2,FALSE)</f>
        <v>1</v>
      </c>
      <c r="I109" t="str">
        <f>IF('Hilfstabelle Gebäudeklasse'!$H$109=0,"Keine Kapselung erforderlich.",
IF('Hilfstabelle Gebäudeklasse'!$H$109="1","Auf eine K²60-Kapselung kann ggfs. verzichtet werden.",
IF('Hilfstabelle Gebäudeklasse'!$H$109="2","Es ist eine K²60-Kapselung notwendig.",
"Fehler")))</f>
        <v>Auf eine K²60-Kapselung kann ggfs. verzichtet werden.</v>
      </c>
    </row>
    <row r="110" spans="2:9">
      <c r="C110" t="s">
        <v>2017</v>
      </c>
      <c r="D110" t="s">
        <v>2225</v>
      </c>
    </row>
    <row r="111" spans="2:9">
      <c r="C111" s="549" t="s">
        <v>1133</v>
      </c>
      <c r="D111" s="548" t="str">
        <f>IFERROR(IF($C$19&lt;=3,0,IF(AND(OR($C$19=4,$C$19=5),OR(C111="BW",C111="BE",C111="HH",C111="HE",C111="NW")),"1","2")),"2")</f>
        <v>1</v>
      </c>
    </row>
    <row r="112" spans="2:9">
      <c r="C112" s="549" t="s">
        <v>1134</v>
      </c>
      <c r="D112" s="548" t="str">
        <f t="shared" ref="D112:D126" si="9">IFERROR(IF($C$19&lt;=3,0,IF(AND(OR($C$19=4,$C$19=5),OR(C112="BW",C112="BE",C112="HH",C112="HE",C112="NW")),"1","2")),"2")</f>
        <v>2</v>
      </c>
    </row>
    <row r="113" spans="3:4">
      <c r="C113" s="549" t="s">
        <v>1135</v>
      </c>
      <c r="D113" s="548" t="str">
        <f t="shared" si="9"/>
        <v>1</v>
      </c>
    </row>
    <row r="114" spans="3:4">
      <c r="C114" s="549" t="s">
        <v>1143</v>
      </c>
      <c r="D114" s="548" t="str">
        <f t="shared" si="9"/>
        <v>2</v>
      </c>
    </row>
    <row r="115" spans="3:4">
      <c r="C115" s="549" t="s">
        <v>1144</v>
      </c>
      <c r="D115" s="548" t="str">
        <f t="shared" si="9"/>
        <v>2</v>
      </c>
    </row>
    <row r="116" spans="3:4">
      <c r="C116" s="549" t="s">
        <v>1145</v>
      </c>
      <c r="D116" s="548" t="str">
        <f t="shared" si="9"/>
        <v>1</v>
      </c>
    </row>
    <row r="117" spans="3:4">
      <c r="C117" s="549" t="s">
        <v>1140</v>
      </c>
      <c r="D117" s="548" t="str">
        <f t="shared" si="9"/>
        <v>1</v>
      </c>
    </row>
    <row r="118" spans="3:4">
      <c r="C118" s="549" t="s">
        <v>1136</v>
      </c>
      <c r="D118" s="548" t="str">
        <f t="shared" si="9"/>
        <v>2</v>
      </c>
    </row>
    <row r="119" spans="3:4">
      <c r="C119" s="549" t="s">
        <v>1141</v>
      </c>
      <c r="D119" s="548" t="str">
        <f t="shared" si="9"/>
        <v>2</v>
      </c>
    </row>
    <row r="120" spans="3:4">
      <c r="C120" s="549" t="s">
        <v>1137</v>
      </c>
      <c r="D120" s="548" t="str">
        <f t="shared" si="9"/>
        <v>1</v>
      </c>
    </row>
    <row r="121" spans="3:4">
      <c r="C121" s="549" t="s">
        <v>1138</v>
      </c>
      <c r="D121" s="548" t="str">
        <f t="shared" si="9"/>
        <v>2</v>
      </c>
    </row>
    <row r="122" spans="3:4">
      <c r="C122" s="549" t="s">
        <v>1146</v>
      </c>
      <c r="D122" s="548" t="str">
        <f t="shared" si="9"/>
        <v>2</v>
      </c>
    </row>
    <row r="123" spans="3:4">
      <c r="C123" s="549" t="s">
        <v>1147</v>
      </c>
      <c r="D123" s="548" t="str">
        <f t="shared" si="9"/>
        <v>2</v>
      </c>
    </row>
    <row r="124" spans="3:4">
      <c r="C124" s="549" t="s">
        <v>1148</v>
      </c>
      <c r="D124" s="548" t="str">
        <f t="shared" si="9"/>
        <v>2</v>
      </c>
    </row>
    <row r="125" spans="3:4">
      <c r="C125" s="549" t="s">
        <v>1139</v>
      </c>
      <c r="D125" s="548" t="str">
        <f t="shared" si="9"/>
        <v>2</v>
      </c>
    </row>
    <row r="126" spans="3:4">
      <c r="C126" s="549" t="s">
        <v>1142</v>
      </c>
      <c r="D126" s="548" t="str">
        <f t="shared" si="9"/>
        <v>2</v>
      </c>
    </row>
  </sheetData>
  <sheetProtection algorithmName="SHA-512" hashValue="EnE+e0uEqkZwdjqzvOh221G/5zsAd+orfDSOpDOfhYgKwpzgaocWzbW+Ut8cdF4EmPdbYziXgfFNaCOocLlXKg==" saltValue="cGGYagcik/Up2cB4zvFJLw==" spinCount="100000" sheet="1" objects="1" scenarios="1"/>
  <conditionalFormatting sqref="B4">
    <cfRule type="cellIs" dxfId="8" priority="8" operator="equal">
      <formula>""</formula>
    </cfRule>
  </conditionalFormatting>
  <conditionalFormatting sqref="B8">
    <cfRule type="cellIs" dxfId="7" priority="6" operator="equal">
      <formula>""</formula>
    </cfRule>
  </conditionalFormatting>
  <conditionalFormatting sqref="B11">
    <cfRule type="cellIs" dxfId="6" priority="5" operator="equal">
      <formula>""</formula>
    </cfRule>
  </conditionalFormatting>
  <conditionalFormatting sqref="B14">
    <cfRule type="cellIs" dxfId="5" priority="4" operator="equal">
      <formula>""</formula>
    </cfRule>
  </conditionalFormatting>
  <conditionalFormatting sqref="B17">
    <cfRule type="cellIs" dxfId="4" priority="3" operator="equal">
      <formula>""</formula>
    </cfRule>
  </conditionalFormatting>
  <conditionalFormatting sqref="B24">
    <cfRule type="cellIs" dxfId="3" priority="2" operator="equal">
      <formula>""</formula>
    </cfRule>
  </conditionalFormatting>
  <conditionalFormatting sqref="B26">
    <cfRule type="cellIs" dxfId="2" priority="1" operator="equal">
      <formula>""</formula>
    </cfRule>
  </conditionalFormatting>
  <conditionalFormatting sqref="O4">
    <cfRule type="cellIs" dxfId="1" priority="7" operator="equal">
      <formula>""</formula>
    </cfRule>
  </conditionalFormatting>
  <dataValidations count="3">
    <dataValidation type="list" allowBlank="1" showInputMessage="1" showErrorMessage="1" sqref="O4" xr:uid="{00000000-0002-0000-1000-000000000000}">
      <formula1>Gebäudeklasse</formula1>
    </dataValidation>
    <dataValidation type="list" allowBlank="1" showInputMessage="1" showErrorMessage="1" sqref="B24" xr:uid="{00000000-0002-0000-1000-000001000000}">
      <formula1>Schallschutzanforderungen</formula1>
    </dataValidation>
    <dataValidation type="list" allowBlank="1" showInputMessage="1" showErrorMessage="1" sqref="B26" xr:uid="{00000000-0002-0000-1000-000002000000}">
      <formula1>INDIRECT(B24)</formula1>
    </dataValidation>
  </dataValidations>
  <pageMargins left="0.82677165354330717" right="0.35433070866141736" top="1.2204724409448819" bottom="0.39370078740157483" header="0.47244094488188981" footer="0.31496062992125984"/>
  <pageSetup paperSize="9" orientation="landscape" r:id="rId1"/>
  <headerFooter>
    <oddHeader>&amp;L&amp;G&amp;C&amp;"Univers LT 45 Light,Standard"DBU
                                  Vorauswahl Anforderungen&amp;R&amp;"Univers LT 45 Light,Standard"517.1205
tri/&amp;D</oddHeader>
  </headerFooter>
  <legacyDrawingHF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Tabelle16">
    <tabColor rgb="FFFF9999"/>
    <pageSetUpPr fitToPage="1"/>
  </sheetPr>
  <dimension ref="A2:BX118"/>
  <sheetViews>
    <sheetView zoomScaleNormal="100" workbookViewId="0">
      <selection activeCell="AU17" sqref="AU17"/>
    </sheetView>
  </sheetViews>
  <sheetFormatPr baseColWidth="10" defaultColWidth="11.5" defaultRowHeight="15" customHeight="1"/>
  <cols>
    <col min="1" max="1" width="9.1640625" style="466" customWidth="1"/>
    <col min="2" max="2" width="9.83203125" style="466" customWidth="1"/>
    <col min="3" max="13" width="6.6640625" style="466" customWidth="1"/>
    <col min="14" max="17" width="4.83203125" style="466" customWidth="1"/>
    <col min="18" max="40" width="2.33203125" style="466" customWidth="1"/>
    <col min="41" max="41" width="2.83203125" style="466" customWidth="1"/>
    <col min="42" max="44" width="2.33203125" style="466" customWidth="1"/>
    <col min="45" max="121" width="3.6640625" style="466" customWidth="1"/>
    <col min="122" max="16384" width="11.5" style="466"/>
  </cols>
  <sheetData>
    <row r="2" spans="1:75" ht="7.5" customHeight="1">
      <c r="A2" s="569"/>
      <c r="B2" s="569"/>
      <c r="C2" s="569"/>
      <c r="D2" s="569"/>
      <c r="E2" s="569"/>
      <c r="F2" s="569"/>
      <c r="G2" s="569"/>
      <c r="H2" s="569"/>
      <c r="I2" s="569"/>
      <c r="J2" s="569"/>
      <c r="K2" s="569"/>
      <c r="L2" s="569"/>
      <c r="M2" s="569"/>
    </row>
    <row r="3" spans="1:75" ht="15" customHeight="1">
      <c r="A3" s="491" t="s">
        <v>860</v>
      </c>
      <c r="S3" s="466" t="s">
        <v>995</v>
      </c>
      <c r="T3" s="330"/>
      <c r="U3" s="330"/>
      <c r="V3" s="330"/>
      <c r="W3" s="330"/>
      <c r="X3" s="330"/>
      <c r="Y3" s="330"/>
      <c r="AC3" s="1459"/>
      <c r="AD3" s="1459"/>
      <c r="AE3" s="465"/>
      <c r="AF3" s="465" t="s">
        <v>1000</v>
      </c>
      <c r="AG3" s="471"/>
      <c r="AL3" s="330"/>
      <c r="AM3" s="330"/>
      <c r="AN3" s="330"/>
      <c r="AO3" s="330"/>
      <c r="AP3" s="330"/>
      <c r="AQ3" s="330"/>
      <c r="AR3" s="330"/>
    </row>
    <row r="4" spans="1:75" ht="15" customHeight="1">
      <c r="B4" s="466" t="s">
        <v>871</v>
      </c>
      <c r="D4" s="467">
        <f ca="1">'Hilfstabelle Gebäudeklasse'!$D$31</f>
        <v>60</v>
      </c>
      <c r="E4" s="466" t="s">
        <v>857</v>
      </c>
      <c r="G4" s="466" t="s">
        <v>872</v>
      </c>
      <c r="I4" s="475" t="s">
        <v>873</v>
      </c>
      <c r="J4" s="476">
        <f>w_fin_DE</f>
        <v>300</v>
      </c>
      <c r="S4" s="466" t="s">
        <v>996</v>
      </c>
      <c r="AC4" s="1459">
        <f>IF(Aufbau_DE="DE01",3.6,IF(Aufbau_DE="DE02",3.1,5))</f>
        <v>3.1</v>
      </c>
      <c r="AD4" s="1459"/>
      <c r="AE4" s="465"/>
      <c r="AF4" s="465" t="s">
        <v>1608</v>
      </c>
      <c r="AG4" s="465"/>
    </row>
    <row r="5" spans="1:75" ht="15" customHeight="1">
      <c r="I5" s="475" t="s">
        <v>896</v>
      </c>
      <c r="J5" s="466">
        <f>f_grenz_DE</f>
        <v>8</v>
      </c>
      <c r="S5" s="466" t="s">
        <v>997</v>
      </c>
      <c r="AC5" s="1459">
        <v>2.2999999999999998</v>
      </c>
      <c r="AD5" s="1459"/>
      <c r="AF5" s="465" t="s">
        <v>1637</v>
      </c>
    </row>
    <row r="6" spans="1:75" ht="7.5" customHeight="1"/>
    <row r="7" spans="1:75" ht="15" customHeight="1">
      <c r="A7" s="1460"/>
      <c r="B7" s="1461"/>
      <c r="C7" s="1462" t="s">
        <v>887</v>
      </c>
      <c r="D7" s="1463"/>
      <c r="E7" s="1463"/>
      <c r="F7" s="1463"/>
      <c r="G7" s="1463"/>
      <c r="H7" s="1463"/>
      <c r="I7" s="1463"/>
      <c r="J7" s="1463"/>
      <c r="K7" s="467"/>
      <c r="S7" s="466" t="s">
        <v>1602</v>
      </c>
      <c r="AC7" s="1459">
        <v>0.6</v>
      </c>
      <c r="AD7" s="1459"/>
    </row>
    <row r="8" spans="1:75" ht="15" customHeight="1" thickBot="1">
      <c r="A8" s="478"/>
      <c r="B8" s="493" t="s">
        <v>886</v>
      </c>
      <c r="C8" s="480">
        <f>'Hilfstabellen_Mat&amp;Bem'!$D$51</f>
        <v>2.5</v>
      </c>
      <c r="D8" s="480">
        <f>'Hilfstabellen_Mat&amp;Bem'!$D$52</f>
        <v>2.65</v>
      </c>
      <c r="E8" s="480">
        <f>'Hilfstabellen_Mat&amp;Bem'!$D$53</f>
        <v>2.85</v>
      </c>
      <c r="F8" s="480">
        <f>'Hilfstabellen_Mat&amp;Bem'!$D$54</f>
        <v>3</v>
      </c>
      <c r="G8" s="480">
        <f>'Hilfstabellen_Mat&amp;Bem'!$D$55</f>
        <v>3.5</v>
      </c>
      <c r="H8" s="480">
        <f>'Hilfstabellen_Mat&amp;Bem'!$D$56</f>
        <v>4</v>
      </c>
      <c r="I8" s="480">
        <f>'Hilfstabellen_Mat&amp;Bem'!$D$57</f>
        <v>4.5</v>
      </c>
      <c r="J8" s="480">
        <f>'Hilfstabellen_Mat&amp;Bem'!$D$58</f>
        <v>5</v>
      </c>
      <c r="K8" s="480">
        <f>'Hilfstabellen_Mat&amp;Bem'!$D$59</f>
        <v>5.3</v>
      </c>
      <c r="L8" s="480">
        <f>'Hilfstabellen_Mat&amp;Bem'!$D$60</f>
        <v>5.7</v>
      </c>
      <c r="M8" s="480">
        <f>'Hilfstabellen_Mat&amp;Bem'!$D$61</f>
        <v>6</v>
      </c>
      <c r="S8" s="466" t="s">
        <v>1601</v>
      </c>
      <c r="AC8" s="1459">
        <v>0.3</v>
      </c>
      <c r="AD8" s="1459"/>
    </row>
    <row r="9" spans="1:75" ht="15" customHeight="1" thickBot="1">
      <c r="B9" s="492" t="s">
        <v>876</v>
      </c>
      <c r="C9" s="468">
        <f ca="1">'Bemessung Decken'!I$31</f>
        <v>120</v>
      </c>
      <c r="D9" s="468">
        <f ca="1">'Bemessung Decken'!J$31</f>
        <v>120</v>
      </c>
      <c r="E9" s="468">
        <f ca="1">'Bemessung Decken'!K$31</f>
        <v>120</v>
      </c>
      <c r="F9" s="468">
        <f ca="1">'Bemessung Decken'!L$31</f>
        <v>120</v>
      </c>
      <c r="G9" s="468">
        <f ca="1">'Bemessung Decken'!M$31</f>
        <v>120</v>
      </c>
      <c r="H9" s="468">
        <f ca="1">'Bemessung Decken'!N$31</f>
        <v>120</v>
      </c>
      <c r="I9" s="468">
        <f ca="1">'Bemessung Decken'!O$31</f>
        <v>120</v>
      </c>
      <c r="J9" s="468">
        <f ca="1">'Bemessung Decken'!P$31</f>
        <v>140</v>
      </c>
      <c r="K9" s="468">
        <f ca="1">'Bemessung Decken'!Q$31</f>
        <v>140</v>
      </c>
      <c r="L9" s="468">
        <f ca="1">'Bemessung Decken'!R$31</f>
        <v>140</v>
      </c>
      <c r="M9" s="468">
        <f ca="1">'Bemessung Decken'!S$31</f>
        <v>140</v>
      </c>
      <c r="S9" s="466" t="s">
        <v>859</v>
      </c>
      <c r="Y9" s="330"/>
      <c r="Z9" s="330"/>
      <c r="AA9" s="330"/>
      <c r="AB9" s="330"/>
      <c r="AC9" s="1459">
        <v>0.8</v>
      </c>
      <c r="AD9" s="1459"/>
      <c r="AE9" s="465"/>
      <c r="AF9" s="465"/>
      <c r="AG9" s="466" t="s">
        <v>861</v>
      </c>
      <c r="AH9" s="330"/>
      <c r="AI9" s="330"/>
      <c r="AJ9" s="1459">
        <v>1</v>
      </c>
      <c r="AK9" s="1459"/>
    </row>
    <row r="10" spans="1:75" ht="15" customHeight="1">
      <c r="B10" s="492" t="s">
        <v>877</v>
      </c>
      <c r="C10" s="468">
        <f ca="1">'Bemessung Decken'!I$93</f>
        <v>120</v>
      </c>
      <c r="D10" s="468">
        <f ca="1">'Bemessung Decken'!J$93</f>
        <v>120</v>
      </c>
      <c r="E10" s="468">
        <f ca="1">'Bemessung Decken'!K$93</f>
        <v>120</v>
      </c>
      <c r="F10" s="468">
        <f ca="1">'Bemessung Decken'!L$93</f>
        <v>120</v>
      </c>
      <c r="G10" s="468">
        <f ca="1">'Bemessung Decken'!M$93</f>
        <v>120</v>
      </c>
      <c r="H10" s="468">
        <f ca="1">'Bemessung Decken'!N$93</f>
        <v>120</v>
      </c>
      <c r="I10" s="468">
        <f ca="1">'Bemessung Decken'!O$93</f>
        <v>140</v>
      </c>
      <c r="J10" s="468">
        <f ca="1">'Bemessung Decken'!P$93</f>
        <v>140</v>
      </c>
      <c r="K10" s="468">
        <f ca="1">'Bemessung Decken'!Q$93</f>
        <v>140</v>
      </c>
      <c r="L10" s="468">
        <f ca="1">'Bemessung Decken'!R$93</f>
        <v>160</v>
      </c>
      <c r="M10" s="468">
        <f ca="1">'Bemessung Decken'!S$93</f>
        <v>160</v>
      </c>
      <c r="S10" s="466" t="s">
        <v>862</v>
      </c>
      <c r="T10" s="330"/>
      <c r="U10" s="330"/>
      <c r="V10" s="330"/>
      <c r="W10" s="330"/>
      <c r="X10" s="330"/>
      <c r="Y10" s="330"/>
      <c r="Z10" s="330"/>
      <c r="AA10" s="330"/>
      <c r="AB10" s="330"/>
      <c r="AC10" s="1459">
        <v>1.3</v>
      </c>
      <c r="AD10" s="1459"/>
      <c r="AE10" s="465"/>
      <c r="AF10" s="465"/>
      <c r="AG10" s="466" t="s">
        <v>863</v>
      </c>
      <c r="AH10" s="330"/>
      <c r="AI10" s="330"/>
      <c r="AJ10" s="1459">
        <v>1</v>
      </c>
      <c r="AK10" s="1459"/>
      <c r="AU10" s="508" t="s">
        <v>860</v>
      </c>
      <c r="AV10" s="509"/>
      <c r="AW10" s="509"/>
      <c r="AX10" s="509"/>
      <c r="AY10" s="509"/>
      <c r="AZ10" s="509"/>
      <c r="BA10" s="509"/>
      <c r="BB10" s="509"/>
      <c r="BC10" s="509"/>
      <c r="BD10" s="509"/>
      <c r="BE10" s="509"/>
      <c r="BF10" s="509"/>
      <c r="BG10" s="509"/>
      <c r="BH10" s="509"/>
      <c r="BI10" s="509"/>
      <c r="BJ10" s="509"/>
      <c r="BK10" s="509"/>
      <c r="BL10" s="509"/>
      <c r="BM10" s="509"/>
      <c r="BN10" s="509"/>
      <c r="BO10" s="509"/>
      <c r="BP10" s="509"/>
      <c r="BQ10" s="509"/>
      <c r="BR10" s="509"/>
      <c r="BS10" s="509"/>
      <c r="BT10" s="509"/>
      <c r="BU10" s="509"/>
      <c r="BV10" s="509"/>
      <c r="BW10" s="511"/>
    </row>
    <row r="11" spans="1:75" ht="15" customHeight="1">
      <c r="B11" s="506" t="s">
        <v>878</v>
      </c>
      <c r="C11" s="507">
        <f ca="1">'Bemessung Decken'!I$67</f>
        <v>120</v>
      </c>
      <c r="D11" s="507">
        <f ca="1">'Bemessung Decken'!J$67</f>
        <v>120</v>
      </c>
      <c r="E11" s="507">
        <f ca="1">'Bemessung Decken'!K$67</f>
        <v>120</v>
      </c>
      <c r="F11" s="507">
        <f ca="1">'Bemessung Decken'!L$67</f>
        <v>120</v>
      </c>
      <c r="G11" s="507">
        <f ca="1">'Bemessung Decken'!M$67</f>
        <v>140</v>
      </c>
      <c r="H11" s="507">
        <f ca="1">'Bemessung Decken'!N$67</f>
        <v>160</v>
      </c>
      <c r="I11" s="507">
        <f ca="1">'Bemessung Decken'!O$67</f>
        <v>180</v>
      </c>
      <c r="J11" s="507">
        <f ca="1">'Bemessung Decken'!P$67</f>
        <v>220</v>
      </c>
      <c r="K11" s="507">
        <f ca="1">'Bemessung Decken'!Q$67</f>
        <v>220</v>
      </c>
      <c r="L11" s="507" t="str">
        <f ca="1">'Bemessung Decken'!R$67</f>
        <v>Fehler!!!</v>
      </c>
      <c r="M11" s="507" t="str">
        <f ca="1">'Bemessung Decken'!S$67</f>
        <v>Fehler!!!</v>
      </c>
      <c r="N11" s="790" t="s">
        <v>1604</v>
      </c>
      <c r="AU11" s="538"/>
      <c r="AV11" s="466" t="s">
        <v>831</v>
      </c>
      <c r="BF11" s="1465">
        <f>1.35*g_k+1.5*q_k</f>
        <v>3.4499999999999997</v>
      </c>
      <c r="BG11" s="1465"/>
      <c r="BJ11" s="466" t="s">
        <v>827</v>
      </c>
      <c r="BQ11" s="1466" t="s">
        <v>3</v>
      </c>
      <c r="BR11" s="1466"/>
      <c r="BS11" s="1466"/>
      <c r="BT11" s="1466"/>
      <c r="BU11" s="1466"/>
      <c r="BW11" s="514"/>
    </row>
    <row r="12" spans="1:75" ht="15" customHeight="1">
      <c r="B12" s="492" t="s">
        <v>926</v>
      </c>
      <c r="C12" s="468">
        <f ca="1">IFERROR('Bemessung Decken'!I$96,240)</f>
        <v>120</v>
      </c>
      <c r="D12" s="468">
        <f ca="1">IFERROR('Bemessung Decken'!J$96,240)</f>
        <v>120</v>
      </c>
      <c r="E12" s="468">
        <f ca="1">IFERROR('Bemessung Decken'!K$96,240)</f>
        <v>120</v>
      </c>
      <c r="F12" s="468">
        <f ca="1">IFERROR('Bemessung Decken'!L$96,240)</f>
        <v>120</v>
      </c>
      <c r="G12" s="468">
        <f ca="1">IFERROR('Bemessung Decken'!M$96,240)</f>
        <v>140</v>
      </c>
      <c r="H12" s="468">
        <f ca="1">IFERROR('Bemessung Decken'!N$96,240)</f>
        <v>160</v>
      </c>
      <c r="I12" s="468">
        <f ca="1">IFERROR('Bemessung Decken'!O$96,240)</f>
        <v>180</v>
      </c>
      <c r="J12" s="468">
        <f ca="1">IFERROR('Bemessung Decken'!P$96,240)</f>
        <v>220</v>
      </c>
      <c r="K12" s="468">
        <f ca="1">IFERROR('Bemessung Decken'!Q$96,240)</f>
        <v>220</v>
      </c>
      <c r="L12" s="468">
        <f ca="1">IFERROR('Bemessung Decken'!R$96,240)</f>
        <v>160</v>
      </c>
      <c r="M12" s="468">
        <f ca="1">IFERROR('Bemessung Decken'!S$96,240)</f>
        <v>160</v>
      </c>
      <c r="AU12" s="538"/>
      <c r="AV12" s="466" t="s">
        <v>998</v>
      </c>
      <c r="BF12" s="1459">
        <f>1*g_k+0.3*q_k</f>
        <v>0.69</v>
      </c>
      <c r="BG12" s="1459"/>
      <c r="BJ12" s="466" t="s">
        <v>858</v>
      </c>
      <c r="BQ12" s="1467">
        <v>1000</v>
      </c>
      <c r="BR12" s="1467"/>
      <c r="BS12" s="466" t="s">
        <v>562</v>
      </c>
      <c r="BW12" s="514"/>
    </row>
    <row r="13" spans="1:75" ht="15" customHeight="1">
      <c r="AU13" s="538"/>
      <c r="BW13" s="514"/>
    </row>
    <row r="14" spans="1:75" ht="15" customHeight="1">
      <c r="B14" s="466" t="s">
        <v>958</v>
      </c>
      <c r="D14" s="567">
        <v>2.85</v>
      </c>
      <c r="E14" s="466" t="s">
        <v>883</v>
      </c>
      <c r="AU14" s="538"/>
      <c r="AW14" s="466" t="s">
        <v>864</v>
      </c>
      <c r="AY14" s="1459">
        <f>'Hilfstabellen_Mat&amp;Bem'!BB28</f>
        <v>1.25</v>
      </c>
      <c r="AZ14" s="1459"/>
      <c r="BJ14" s="466" t="s">
        <v>959</v>
      </c>
      <c r="BK14" s="330"/>
      <c r="BL14" s="330"/>
      <c r="BM14" s="330"/>
      <c r="BR14" s="465" t="str">
        <f ca="1">IF($F$17=120,"BSP 120",
IF($F$17=140,"BSP 140",
IF($F$17=160,"BSP 160",
IF($F$17=180,"BSP 180",
IF($F$17=200,"BSP 200",
IF($F$17=220,"BSP 220",
IF($F$17=240,"BSP 240","Fehler!!!")))))))</f>
        <v>BSP 120</v>
      </c>
      <c r="BT14" s="467"/>
      <c r="BW14" s="514"/>
    </row>
    <row r="15" spans="1:75" ht="15" customHeight="1" thickBot="1">
      <c r="B15" s="500"/>
      <c r="AU15" s="538"/>
      <c r="BW15" s="514"/>
    </row>
    <row r="16" spans="1:75" ht="7.5" customHeight="1" thickTop="1">
      <c r="B16" s="482"/>
      <c r="C16" s="483"/>
      <c r="D16" s="483"/>
      <c r="E16" s="483"/>
      <c r="F16" s="483"/>
      <c r="G16" s="483"/>
      <c r="H16" s="483"/>
      <c r="I16" s="484"/>
      <c r="AU16" s="538"/>
      <c r="BW16" s="514"/>
    </row>
    <row r="17" spans="1:75" ht="15" customHeight="1">
      <c r="B17" s="485"/>
      <c r="D17" s="475" t="s">
        <v>956</v>
      </c>
      <c r="E17" s="475" t="s">
        <v>988</v>
      </c>
      <c r="F17" s="476">
        <f ca="1">HLOOKUP($D$14,$C$8:$J$12,5,0)</f>
        <v>120</v>
      </c>
      <c r="G17" s="476" t="str">
        <f ca="1">HLOOKUP($BR$14,'Hilfstabellen_Mat&amp;Bem'!$BA$44:$BG$45,2,0)</f>
        <v>20/30/20/30/20</v>
      </c>
      <c r="I17" s="487"/>
      <c r="AU17" s="538"/>
      <c r="AV17" s="466" t="s">
        <v>848</v>
      </c>
      <c r="BD17" s="1468" t="s">
        <v>849</v>
      </c>
      <c r="BE17" s="1468"/>
      <c r="BF17" s="1468"/>
      <c r="BG17" s="1468"/>
      <c r="BH17" s="1468"/>
      <c r="BI17" s="1468"/>
      <c r="BJ17" s="1468"/>
      <c r="BK17" s="466" t="s">
        <v>853</v>
      </c>
      <c r="BW17" s="514"/>
    </row>
    <row r="18" spans="1:75" ht="7.5" customHeight="1" thickBot="1">
      <c r="B18" s="488"/>
      <c r="C18" s="489"/>
      <c r="D18" s="489"/>
      <c r="E18" s="489"/>
      <c r="F18" s="489"/>
      <c r="G18" s="489"/>
      <c r="H18" s="489"/>
      <c r="I18" s="490"/>
      <c r="AU18" s="538"/>
      <c r="BW18" s="514"/>
    </row>
    <row r="19" spans="1:75" ht="15" customHeight="1" thickTop="1">
      <c r="A19" s="474"/>
      <c r="B19" s="474"/>
      <c r="C19" s="474"/>
      <c r="D19" s="474"/>
      <c r="E19" s="474"/>
      <c r="F19" s="474"/>
      <c r="G19" s="474"/>
      <c r="H19" s="474"/>
      <c r="I19" s="474"/>
      <c r="J19" s="507"/>
      <c r="K19" s="474"/>
      <c r="L19" s="474"/>
      <c r="M19" s="474"/>
      <c r="AU19" s="538"/>
      <c r="BP19" s="466" t="s">
        <v>851</v>
      </c>
      <c r="BQ19" s="465"/>
      <c r="BR19" s="465" t="s">
        <v>852</v>
      </c>
      <c r="BS19" s="1459">
        <f>IF(BD17="eindimensionalen",'Hilfstabellen_Mat&amp;Bem'!$BB$27,'Hilfstabellen_Mat&amp;Bem'!$BB$26)</f>
        <v>0.65</v>
      </c>
      <c r="BT19" s="1459"/>
      <c r="BU19" s="466" t="s">
        <v>855</v>
      </c>
      <c r="BW19" s="514"/>
    </row>
    <row r="20" spans="1:75" ht="7.5" customHeight="1">
      <c r="AU20" s="538"/>
      <c r="BW20" s="514"/>
    </row>
    <row r="21" spans="1:75" ht="15" customHeight="1">
      <c r="A21" s="491" t="s">
        <v>867</v>
      </c>
      <c r="AU21" s="538"/>
      <c r="AV21" s="466" t="s">
        <v>854</v>
      </c>
      <c r="BP21" s="466" t="s">
        <v>851</v>
      </c>
      <c r="BQ21" s="465"/>
      <c r="BR21" s="465" t="s">
        <v>852</v>
      </c>
      <c r="BS21" s="1465">
        <f ca="1">brand_DE*BS19+7</f>
        <v>46</v>
      </c>
      <c r="BT21" s="1465"/>
      <c r="BU21" s="466" t="s">
        <v>856</v>
      </c>
      <c r="BW21" s="514"/>
    </row>
    <row r="22" spans="1:75" ht="15" customHeight="1">
      <c r="B22" s="466" t="s">
        <v>827</v>
      </c>
      <c r="D22" s="1459" t="str">
        <f>IF('Erweiterte Eingabe'!$C$24="","GL24h",'Erweiterte Eingabe'!$C$24)</f>
        <v>GL24h</v>
      </c>
      <c r="E22" s="1459"/>
      <c r="G22" s="466" t="s">
        <v>858</v>
      </c>
      <c r="I22" s="568">
        <v>240</v>
      </c>
      <c r="J22" s="466" t="s">
        <v>562</v>
      </c>
      <c r="S22" s="491" t="s">
        <v>1501</v>
      </c>
      <c r="AU22" s="538"/>
      <c r="AV22" s="466" t="s">
        <v>865</v>
      </c>
      <c r="BF22" s="1457">
        <f>b_DE</f>
        <v>1000</v>
      </c>
      <c r="BG22" s="1457"/>
      <c r="BH22" s="1457"/>
      <c r="BM22" s="564" t="s">
        <v>885</v>
      </c>
      <c r="BU22" s="330"/>
      <c r="BW22" s="514"/>
    </row>
    <row r="23" spans="1:75" ht="15" customHeight="1" thickBot="1">
      <c r="B23" s="466" t="s">
        <v>871</v>
      </c>
      <c r="D23" s="760">
        <f ca="1">'Hilfstabelle Gebäudeklasse'!$D$32</f>
        <v>60</v>
      </c>
      <c r="E23" s="466" t="s">
        <v>857</v>
      </c>
      <c r="G23" s="466" t="s">
        <v>872</v>
      </c>
      <c r="I23" s="475" t="s">
        <v>873</v>
      </c>
      <c r="J23" s="476">
        <f>w_fin_UZ</f>
        <v>300</v>
      </c>
      <c r="S23" s="762" t="str">
        <f>VLOOKUP(Mat_UZ,ALPHA_DEUT!$Y$114:$AA$192,3,FALSE)</f>
        <v>Nadel - Brettschichtholz</v>
      </c>
      <c r="AU23" s="565"/>
      <c r="AV23" s="478"/>
      <c r="AW23" s="478"/>
      <c r="AX23" s="478"/>
      <c r="AY23" s="478"/>
      <c r="AZ23" s="478"/>
      <c r="BA23" s="478"/>
      <c r="BB23" s="478"/>
      <c r="BC23" s="478"/>
      <c r="BD23" s="478"/>
      <c r="BE23" s="478"/>
      <c r="BF23" s="478"/>
      <c r="BG23" s="478"/>
      <c r="BH23" s="478"/>
      <c r="BI23" s="478"/>
      <c r="BJ23" s="478"/>
      <c r="BK23" s="478"/>
      <c r="BL23" s="478"/>
      <c r="BM23" s="478"/>
      <c r="BN23" s="478"/>
      <c r="BO23" s="478"/>
      <c r="BP23" s="478"/>
      <c r="BQ23" s="478"/>
      <c r="BR23" s="478"/>
      <c r="BS23" s="478"/>
      <c r="BT23" s="478"/>
      <c r="BU23" s="478"/>
      <c r="BV23" s="478"/>
      <c r="BW23" s="526"/>
    </row>
    <row r="24" spans="1:75" ht="15" customHeight="1">
      <c r="I24" s="475" t="s">
        <v>896</v>
      </c>
      <c r="J24" s="466">
        <f>f_grenz_UZ</f>
        <v>8</v>
      </c>
    </row>
    <row r="25" spans="1:75" ht="7.5" customHeight="1" thickBot="1">
      <c r="I25" s="475"/>
      <c r="AE25" s="465"/>
      <c r="AF25" s="465"/>
      <c r="AG25" s="465"/>
    </row>
    <row r="26" spans="1:75" ht="15" customHeight="1">
      <c r="A26" s="1460" t="s">
        <v>880</v>
      </c>
      <c r="B26" s="1461"/>
      <c r="C26" s="1462" t="s">
        <v>882</v>
      </c>
      <c r="D26" s="1463"/>
      <c r="E26" s="1463"/>
      <c r="F26" s="1463"/>
      <c r="G26" s="1463"/>
      <c r="H26" s="1463"/>
      <c r="I26" s="1463"/>
      <c r="J26" s="1463"/>
      <c r="S26" s="491" t="s">
        <v>1502</v>
      </c>
      <c r="AU26" s="508" t="s">
        <v>867</v>
      </c>
      <c r="AV26" s="509"/>
      <c r="AW26" s="509"/>
      <c r="AX26" s="509"/>
      <c r="AY26" s="509"/>
      <c r="AZ26" s="509"/>
      <c r="BA26" s="509"/>
      <c r="BB26" s="509"/>
      <c r="BC26" s="509"/>
      <c r="BD26" s="509"/>
      <c r="BE26" s="509"/>
      <c r="BF26" s="509"/>
      <c r="BG26" s="509"/>
      <c r="BH26" s="509"/>
      <c r="BI26" s="509"/>
      <c r="BJ26" s="509"/>
      <c r="BK26" s="509"/>
      <c r="BL26" s="509"/>
      <c r="BM26" s="509"/>
      <c r="BN26" s="509"/>
      <c r="BO26" s="509"/>
      <c r="BP26" s="509"/>
      <c r="BQ26" s="509"/>
      <c r="BR26" s="509"/>
      <c r="BS26" s="509"/>
      <c r="BT26" s="509"/>
      <c r="BU26" s="509"/>
      <c r="BV26" s="509"/>
      <c r="BW26" s="511"/>
    </row>
    <row r="27" spans="1:75" ht="15" customHeight="1" thickBot="1">
      <c r="A27" s="478"/>
      <c r="B27" s="479" t="s">
        <v>881</v>
      </c>
      <c r="C27" s="480">
        <f>'Hilfstabellen_Mat&amp;Bem'!$G$51</f>
        <v>2.5</v>
      </c>
      <c r="D27" s="480">
        <f>'Hilfstabellen_Mat&amp;Bem'!$G$52</f>
        <v>2.65</v>
      </c>
      <c r="E27" s="480">
        <f>'Hilfstabellen_Mat&amp;Bem'!$G$53</f>
        <v>2.85</v>
      </c>
      <c r="F27" s="480">
        <f>'Hilfstabellen_Mat&amp;Bem'!$G$54</f>
        <v>3</v>
      </c>
      <c r="G27" s="480">
        <f>'Hilfstabellen_Mat&amp;Bem'!$G$55</f>
        <v>3.5</v>
      </c>
      <c r="H27" s="480">
        <f>'Hilfstabellen_Mat&amp;Bem'!$G$56</f>
        <v>4</v>
      </c>
      <c r="I27" s="480">
        <f>'Hilfstabellen_Mat&amp;Bem'!$G$57</f>
        <v>4.5</v>
      </c>
      <c r="J27" s="480">
        <f>'Hilfstabellen_Mat&amp;Bem'!$G$58</f>
        <v>5</v>
      </c>
      <c r="K27" s="480">
        <f>'Hilfstabellen_Mat&amp;Bem'!$G$59</f>
        <v>5.3</v>
      </c>
      <c r="L27" s="480">
        <f>'Hilfstabellen_Mat&amp;Bem'!$G$60</f>
        <v>5.7</v>
      </c>
      <c r="M27" s="480">
        <f>'Hilfstabellen_Mat&amp;Bem'!$G$61</f>
        <v>6</v>
      </c>
      <c r="S27" s="761" t="str">
        <f>IF(S23="Nadel - Schnittholz","Auswahl_b_UZ_VH",IF(S23="Nadel - Brettschichtholz","Auswahl_b_UZ_BSH",""))</f>
        <v>Auswahl_b_UZ_BSH</v>
      </c>
      <c r="AU27" s="538"/>
      <c r="AZ27" s="465"/>
      <c r="BA27" s="465"/>
      <c r="BW27" s="514"/>
    </row>
    <row r="28" spans="1:75" ht="15" customHeight="1">
      <c r="A28" s="1464" t="s">
        <v>876</v>
      </c>
      <c r="B28" s="481">
        <f>'Hilfstabellen_Mat&amp;Bem'!$D51</f>
        <v>2.5</v>
      </c>
      <c r="C28" s="468">
        <f ca="1">IFERROR(ROUNDUP((MAX(
SQRT((3*(1.35*(2*'Hilfstabellen_Mat&amp;Bem'!$D73+5*b_UZ/1000*C28/1000)+1.5*2*'Hilfstabellen_Mat&amp;Bem'!$E73)*((C$27*1000)^2)*gamma_m)/(4*b_UZ*k_mod*'Hilfstabellen_Mat&amp;Bem'!$BC$16)),
((3*(1.35*(2*'Hilfstabellen_Mat&amp;Bem'!$D73+5*b_UZ/1000*C28/1000)+1.5*2*'Hilfstabellen_Mat&amp;Bem'!$E73)*C$27*1000*gamma_m)/(4*b_UZ*'Hilfstabellen_Mat&amp;Bem'!$BC$24*'Hilfstabellen_Mat&amp;Bem'!$BC$22*k_mod)))
)/RUWE_UZ,0)*RUWE_UZ,200)</f>
        <v>200</v>
      </c>
      <c r="D28" s="468">
        <f ca="1">IFERROR(ROUNDUP((MAX(
SQRT((3*(1.35*(2*'Hilfstabellen_Mat&amp;Bem'!$D73+5*b_UZ/1000*D28/1000)+1.5*2*'Hilfstabellen_Mat&amp;Bem'!$E73)*((D$27*1000)^2)*gamma_m)/(4*b_UZ*k_mod*'Hilfstabellen_Mat&amp;Bem'!$BC$16)),
((3*(1.35*(2*'Hilfstabellen_Mat&amp;Bem'!$D73+5*b_UZ/1000*D28/1000)+1.5*2*'Hilfstabellen_Mat&amp;Bem'!$E73)*D$27*1000*gamma_m)/(4*b_UZ*'Hilfstabellen_Mat&amp;Bem'!$BC$24*'Hilfstabellen_Mat&amp;Bem'!$BC$22*k_mod)))
)/RUWE_UZ,0)*RUWE_UZ,200)</f>
        <v>200</v>
      </c>
      <c r="E28" s="468">
        <f ca="1">IFERROR(ROUNDUP((MAX(
SQRT((3*(1.35*(2*'Hilfstabellen_Mat&amp;Bem'!$D73+5*b_UZ/1000*E28/1000)+1.5*2*'Hilfstabellen_Mat&amp;Bem'!$E73)*((E$27*1000)^2)*gamma_m)/(4*b_UZ*k_mod*'Hilfstabellen_Mat&amp;Bem'!$BC$16)),
((3*(1.35*(2*'Hilfstabellen_Mat&amp;Bem'!$D73+5*b_UZ/1000*E28/1000)+1.5*2*'Hilfstabellen_Mat&amp;Bem'!$E73)*E$27*1000*gamma_m)/(4*b_UZ*'Hilfstabellen_Mat&amp;Bem'!$BC$24*'Hilfstabellen_Mat&amp;Bem'!$BC$22*k_mod)))
)/RUWE_UZ,0)*RUWE_UZ,200)</f>
        <v>200</v>
      </c>
      <c r="F28" s="468">
        <f ca="1">IFERROR(ROUNDUP((MAX(
SQRT((3*(1.35*(2*'Hilfstabellen_Mat&amp;Bem'!$D73+5*b_UZ/1000*F28/1000)+1.5*2*'Hilfstabellen_Mat&amp;Bem'!$E73)*((F$27*1000)^2)*gamma_m)/(4*b_UZ*k_mod*'Hilfstabellen_Mat&amp;Bem'!$BC$16)),
((3*(1.35*(2*'Hilfstabellen_Mat&amp;Bem'!$D73+5*b_UZ/1000*F28/1000)+1.5*2*'Hilfstabellen_Mat&amp;Bem'!$E73)*F$27*1000*gamma_m)/(4*b_UZ*'Hilfstabellen_Mat&amp;Bem'!$BC$24*'Hilfstabellen_Mat&amp;Bem'!$BC$22*k_mod)))
)/RUWE_UZ,0)*RUWE_UZ,200)</f>
        <v>240</v>
      </c>
      <c r="G28" s="468">
        <f ca="1">IFERROR(ROUNDUP((MAX(
SQRT((3*(1.35*(2*'Hilfstabellen_Mat&amp;Bem'!$D73+5*b_UZ/1000*G28/1000)+1.5*2*'Hilfstabellen_Mat&amp;Bem'!$E73)*((G$27*1000)^2)*gamma_m)/(4*b_UZ*k_mod*'Hilfstabellen_Mat&amp;Bem'!$BC$16)),
((3*(1.35*(2*'Hilfstabellen_Mat&amp;Bem'!$D73+5*b_UZ/1000*G28/1000)+1.5*2*'Hilfstabellen_Mat&amp;Bem'!$E73)*G$27*1000*gamma_m)/(4*b_UZ*'Hilfstabellen_Mat&amp;Bem'!$BC$24*'Hilfstabellen_Mat&amp;Bem'!$BC$22*k_mod)))
)/RUWE_UZ,0)*RUWE_UZ,200)</f>
        <v>240</v>
      </c>
      <c r="H28" s="468">
        <f ca="1">IFERROR(ROUNDUP((MAX(
SQRT((3*(1.35*(2*'Hilfstabellen_Mat&amp;Bem'!$D73+5*b_UZ/1000*H28/1000)+1.5*2*'Hilfstabellen_Mat&amp;Bem'!$E73)*((H$27*1000)^2)*gamma_m)/(4*b_UZ*k_mod*'Hilfstabellen_Mat&amp;Bem'!$BC$16)),
((3*(1.35*(2*'Hilfstabellen_Mat&amp;Bem'!$D73+5*b_UZ/1000*H28/1000)+1.5*2*'Hilfstabellen_Mat&amp;Bem'!$E73)*H$27*1000*gamma_m)/(4*b_UZ*'Hilfstabellen_Mat&amp;Bem'!$BC$24*'Hilfstabellen_Mat&amp;Bem'!$BC$22*k_mod)))
)/RUWE_UZ,0)*RUWE_UZ,200)</f>
        <v>280</v>
      </c>
      <c r="I28" s="468">
        <f ca="1">IFERROR(ROUNDUP((MAX(
SQRT((3*(1.35*(2*'Hilfstabellen_Mat&amp;Bem'!$D73+5*b_UZ/1000*I28/1000)+1.5*2*'Hilfstabellen_Mat&amp;Bem'!$E73)*((I$27*1000)^2)*gamma_m)/(4*b_UZ*k_mod*'Hilfstabellen_Mat&amp;Bem'!$BC$16)),
((3*(1.35*(2*'Hilfstabellen_Mat&amp;Bem'!$D73+5*b_UZ/1000*I28/1000)+1.5*2*'Hilfstabellen_Mat&amp;Bem'!$E73)*I$27*1000*gamma_m)/(4*b_UZ*'Hilfstabellen_Mat&amp;Bem'!$BC$24*'Hilfstabellen_Mat&amp;Bem'!$BC$22*k_mod)))
)/RUWE_UZ,0)*RUWE_UZ,200)</f>
        <v>320</v>
      </c>
      <c r="J28" s="468">
        <f ca="1">IFERROR(ROUNDUP((MAX(
SQRT((3*(1.35*(2*'Hilfstabellen_Mat&amp;Bem'!$D73+5*b_UZ/1000*J28/1000)+1.5*2*'Hilfstabellen_Mat&amp;Bem'!$E73)*((J$27*1000)^2)*gamma_m)/(4*b_UZ*k_mod*'Hilfstabellen_Mat&amp;Bem'!$BC$16)),
((3*(1.35*(2*'Hilfstabellen_Mat&amp;Bem'!$D73+5*b_UZ/1000*J28/1000)+1.5*2*'Hilfstabellen_Mat&amp;Bem'!$E73)*J$27*1000*gamma_m)/(4*b_UZ*'Hilfstabellen_Mat&amp;Bem'!$BC$24*'Hilfstabellen_Mat&amp;Bem'!$BC$22*k_mod)))
)/RUWE_UZ,0)*RUWE_UZ,200)</f>
        <v>360</v>
      </c>
      <c r="K28" s="468">
        <f ca="1">IFERROR(ROUNDUP((MAX(
SQRT((3*(1.35*(2*'Hilfstabellen_Mat&amp;Bem'!$D73+5*b_UZ/1000*K28/1000)+1.5*2*'Hilfstabellen_Mat&amp;Bem'!$E73)*((K$27*1000)^2)*gamma_m)/(4*b_UZ*k_mod*'Hilfstabellen_Mat&amp;Bem'!$BC$16)),
((3*(1.35*(2*'Hilfstabellen_Mat&amp;Bem'!$D73+5*b_UZ/1000*K28/1000)+1.5*2*'Hilfstabellen_Mat&amp;Bem'!$E73)*K$27*1000*gamma_m)/(4*b_UZ*'Hilfstabellen_Mat&amp;Bem'!$BC$24*'Hilfstabellen_Mat&amp;Bem'!$BC$22*k_mod)))
)/RUWE_UZ,0)*RUWE_UZ,200)</f>
        <v>360</v>
      </c>
      <c r="L28" s="468">
        <f ca="1">IFERROR(ROUNDUP((MAX(
SQRT((3*(1.35*(2*'Hilfstabellen_Mat&amp;Bem'!$D73+5*b_UZ/1000*L28/1000)+1.5*2*'Hilfstabellen_Mat&amp;Bem'!$E73)*((L$27*1000)^2)*gamma_m)/(4*b_UZ*k_mod*'Hilfstabellen_Mat&amp;Bem'!$BC$16)),
((3*(1.35*(2*'Hilfstabellen_Mat&amp;Bem'!$D73+5*b_UZ/1000*L28/1000)+1.5*2*'Hilfstabellen_Mat&amp;Bem'!$E73)*L$27*1000*gamma_m)/(4*b_UZ*'Hilfstabellen_Mat&amp;Bem'!$BC$24*'Hilfstabellen_Mat&amp;Bem'!$BC$22*k_mod)))
)/RUWE_UZ,0)*RUWE_UZ,200)</f>
        <v>400</v>
      </c>
      <c r="M28" s="468">
        <f ca="1">IFERROR(ROUNDUP((MAX(
SQRT((3*(1.35*(2*'Hilfstabellen_Mat&amp;Bem'!$D73+5*b_UZ/1000*M28/1000)+1.5*2*'Hilfstabellen_Mat&amp;Bem'!$E73)*((M$27*1000)^2)*gamma_m)/(4*b_UZ*k_mod*'Hilfstabellen_Mat&amp;Bem'!$BC$16)),
((3*(1.35*(2*'Hilfstabellen_Mat&amp;Bem'!$D73+5*b_UZ/1000*M28/1000)+1.5*2*'Hilfstabellen_Mat&amp;Bem'!$E73)*M$27*1000*gamma_m)/(4*b_UZ*'Hilfstabellen_Mat&amp;Bem'!$BC$24*'Hilfstabellen_Mat&amp;Bem'!$BC$22*k_mod)))
)/RUWE_UZ,0)*RUWE_UZ,200)</f>
        <v>440</v>
      </c>
      <c r="AU28" s="538"/>
      <c r="AW28" s="330"/>
      <c r="AX28" s="330"/>
      <c r="AY28" s="330"/>
      <c r="AZ28" s="330"/>
      <c r="BA28" s="330"/>
      <c r="BB28" s="330"/>
      <c r="BI28" s="330"/>
      <c r="BJ28" s="330"/>
      <c r="BW28" s="514"/>
    </row>
    <row r="29" spans="1:75" ht="15" customHeight="1">
      <c r="A29" s="1458"/>
      <c r="B29" s="481">
        <f>'Hilfstabellen_Mat&amp;Bem'!$D52</f>
        <v>2.65</v>
      </c>
      <c r="C29" s="468">
        <f ca="1">IFERROR(ROUNDUP((MAX(
SQRT((3*(1.35*(2*'Hilfstabellen_Mat&amp;Bem'!$D74+5*b_UZ/1000*C29/1000)+1.5*2*'Hilfstabellen_Mat&amp;Bem'!$E74)*((C$27*1000)^2)*gamma_m)/(4*b_UZ*k_mod*'Hilfstabellen_Mat&amp;Bem'!$BC$16)),
((3*(1.35*(2*'Hilfstabellen_Mat&amp;Bem'!$D74+5*b_UZ/1000*C29/1000)+1.5*2*'Hilfstabellen_Mat&amp;Bem'!$E74)*C$27*1000*gamma_m)/(4*b_UZ*'Hilfstabellen_Mat&amp;Bem'!$BC$24*'Hilfstabellen_Mat&amp;Bem'!$BC$22*k_mod)))
)/RUWE_UZ,0)*RUWE_UZ,200)</f>
        <v>200</v>
      </c>
      <c r="D29" s="468">
        <f ca="1">IFERROR(ROUNDUP((MAX(
SQRT((3*(1.35*(2*'Hilfstabellen_Mat&amp;Bem'!$D74+5*b_UZ/1000*D29/1000)+1.5*2*'Hilfstabellen_Mat&amp;Bem'!$E74)*((D$27*1000)^2)*gamma_m)/(4*b_UZ*k_mod*'Hilfstabellen_Mat&amp;Bem'!$BC$16)),
((3*(1.35*(2*'Hilfstabellen_Mat&amp;Bem'!$D74+5*b_UZ/1000*D29/1000)+1.5*2*'Hilfstabellen_Mat&amp;Bem'!$E74)*D$27*1000*gamma_m)/(4*b_UZ*'Hilfstabellen_Mat&amp;Bem'!$BC$24*'Hilfstabellen_Mat&amp;Bem'!$BC$22*k_mod)))
)/RUWE_UZ,0)*RUWE_UZ,200)</f>
        <v>200</v>
      </c>
      <c r="E29" s="468">
        <f ca="1">IFERROR(ROUNDUP((MAX(
SQRT((3*(1.35*(2*'Hilfstabellen_Mat&amp;Bem'!$D74+5*b_UZ/1000*E29/1000)+1.5*2*'Hilfstabellen_Mat&amp;Bem'!$E74)*((E$27*1000)^2)*gamma_m)/(4*b_UZ*k_mod*'Hilfstabellen_Mat&amp;Bem'!$BC$16)),
((3*(1.35*(2*'Hilfstabellen_Mat&amp;Bem'!$D74+5*b_UZ/1000*E29/1000)+1.5*2*'Hilfstabellen_Mat&amp;Bem'!$E74)*E$27*1000*gamma_m)/(4*b_UZ*'Hilfstabellen_Mat&amp;Bem'!$BC$24*'Hilfstabellen_Mat&amp;Bem'!$BC$22*k_mod)))
)/RUWE_UZ,0)*RUWE_UZ,200)</f>
        <v>200</v>
      </c>
      <c r="F29" s="468">
        <f ca="1">IFERROR(ROUNDUP((MAX(
SQRT((3*(1.35*(2*'Hilfstabellen_Mat&amp;Bem'!$D74+5*b_UZ/1000*F29/1000)+1.5*2*'Hilfstabellen_Mat&amp;Bem'!$E74)*((F$27*1000)^2)*gamma_m)/(4*b_UZ*k_mod*'Hilfstabellen_Mat&amp;Bem'!$BC$16)),
((3*(1.35*(2*'Hilfstabellen_Mat&amp;Bem'!$D74+5*b_UZ/1000*F29/1000)+1.5*2*'Hilfstabellen_Mat&amp;Bem'!$E74)*F$27*1000*gamma_m)/(4*b_UZ*'Hilfstabellen_Mat&amp;Bem'!$BC$24*'Hilfstabellen_Mat&amp;Bem'!$BC$22*k_mod)))
)/RUWE_UZ,0)*RUWE_UZ,200)</f>
        <v>240</v>
      </c>
      <c r="G29" s="468">
        <f ca="1">IFERROR(ROUNDUP((MAX(
SQRT((3*(1.35*(2*'Hilfstabellen_Mat&amp;Bem'!$D74+5*b_UZ/1000*G29/1000)+1.5*2*'Hilfstabellen_Mat&amp;Bem'!$E74)*((G$27*1000)^2)*gamma_m)/(4*b_UZ*k_mod*'Hilfstabellen_Mat&amp;Bem'!$BC$16)),
((3*(1.35*(2*'Hilfstabellen_Mat&amp;Bem'!$D74+5*b_UZ/1000*G29/1000)+1.5*2*'Hilfstabellen_Mat&amp;Bem'!$E74)*G$27*1000*gamma_m)/(4*b_UZ*'Hilfstabellen_Mat&amp;Bem'!$BC$24*'Hilfstabellen_Mat&amp;Bem'!$BC$22*k_mod)))
)/RUWE_UZ,0)*RUWE_UZ,200)</f>
        <v>280</v>
      </c>
      <c r="H29" s="468">
        <f ca="1">IFERROR(ROUNDUP((MAX(
SQRT((3*(1.35*(2*'Hilfstabellen_Mat&amp;Bem'!$D74+5*b_UZ/1000*H29/1000)+1.5*2*'Hilfstabellen_Mat&amp;Bem'!$E74)*((H$27*1000)^2)*gamma_m)/(4*b_UZ*k_mod*'Hilfstabellen_Mat&amp;Bem'!$BC$16)),
((3*(1.35*(2*'Hilfstabellen_Mat&amp;Bem'!$D74+5*b_UZ/1000*H29/1000)+1.5*2*'Hilfstabellen_Mat&amp;Bem'!$E74)*H$27*1000*gamma_m)/(4*b_UZ*'Hilfstabellen_Mat&amp;Bem'!$BC$24*'Hilfstabellen_Mat&amp;Bem'!$BC$22*k_mod)))
)/RUWE_UZ,0)*RUWE_UZ,200)</f>
        <v>280</v>
      </c>
      <c r="I29" s="468">
        <f ca="1">IFERROR(ROUNDUP((MAX(
SQRT((3*(1.35*(2*'Hilfstabellen_Mat&amp;Bem'!$D74+5*b_UZ/1000*I29/1000)+1.5*2*'Hilfstabellen_Mat&amp;Bem'!$E74)*((I$27*1000)^2)*gamma_m)/(4*b_UZ*k_mod*'Hilfstabellen_Mat&amp;Bem'!$BC$16)),
((3*(1.35*(2*'Hilfstabellen_Mat&amp;Bem'!$D74+5*b_UZ/1000*I29/1000)+1.5*2*'Hilfstabellen_Mat&amp;Bem'!$E74)*I$27*1000*gamma_m)/(4*b_UZ*'Hilfstabellen_Mat&amp;Bem'!$BC$24*'Hilfstabellen_Mat&amp;Bem'!$BC$22*k_mod)))
)/RUWE_UZ,0)*RUWE_UZ,200)</f>
        <v>320</v>
      </c>
      <c r="J29" s="468">
        <f ca="1">IFERROR(ROUNDUP((MAX(
SQRT((3*(1.35*(2*'Hilfstabellen_Mat&amp;Bem'!$D74+5*b_UZ/1000*J29/1000)+1.5*2*'Hilfstabellen_Mat&amp;Bem'!$E74)*((J$27*1000)^2)*gamma_m)/(4*b_UZ*k_mod*'Hilfstabellen_Mat&amp;Bem'!$BC$16)),
((3*(1.35*(2*'Hilfstabellen_Mat&amp;Bem'!$D74+5*b_UZ/1000*J29/1000)+1.5*2*'Hilfstabellen_Mat&amp;Bem'!$E74)*J$27*1000*gamma_m)/(4*b_UZ*'Hilfstabellen_Mat&amp;Bem'!$BC$24*'Hilfstabellen_Mat&amp;Bem'!$BC$22*k_mod)))
)/RUWE_UZ,0)*RUWE_UZ,200)</f>
        <v>360</v>
      </c>
      <c r="K29" s="468">
        <f ca="1">IFERROR(ROUNDUP((MAX(
SQRT((3*(1.35*(2*'Hilfstabellen_Mat&amp;Bem'!$D74+5*b_UZ/1000*K29/1000)+1.5*2*'Hilfstabellen_Mat&amp;Bem'!$E74)*((K$27*1000)^2)*gamma_m)/(4*b_UZ*k_mod*'Hilfstabellen_Mat&amp;Bem'!$BC$16)),
((3*(1.35*(2*'Hilfstabellen_Mat&amp;Bem'!$D74+5*b_UZ/1000*K29/1000)+1.5*2*'Hilfstabellen_Mat&amp;Bem'!$E74)*K$27*1000*gamma_m)/(4*b_UZ*'Hilfstabellen_Mat&amp;Bem'!$BC$24*'Hilfstabellen_Mat&amp;Bem'!$BC$22*k_mod)))
)/RUWE_UZ,0)*RUWE_UZ,200)</f>
        <v>400</v>
      </c>
      <c r="L29" s="468">
        <f ca="1">IFERROR(ROUNDUP((MAX(
SQRT((3*(1.35*(2*'Hilfstabellen_Mat&amp;Bem'!$D74+5*b_UZ/1000*L29/1000)+1.5*2*'Hilfstabellen_Mat&amp;Bem'!$E74)*((L$27*1000)^2)*gamma_m)/(4*b_UZ*k_mod*'Hilfstabellen_Mat&amp;Bem'!$BC$16)),
((3*(1.35*(2*'Hilfstabellen_Mat&amp;Bem'!$D74+5*b_UZ/1000*L29/1000)+1.5*2*'Hilfstabellen_Mat&amp;Bem'!$E74)*L$27*1000*gamma_m)/(4*b_UZ*'Hilfstabellen_Mat&amp;Bem'!$BC$24*'Hilfstabellen_Mat&amp;Bem'!$BC$22*k_mod)))
)/RUWE_UZ,0)*RUWE_UZ,200)</f>
        <v>400</v>
      </c>
      <c r="M29" s="468">
        <f ca="1">IFERROR(ROUNDUP((MAX(
SQRT((3*(1.35*(2*'Hilfstabellen_Mat&amp;Bem'!$D74+5*b_UZ/1000*M29/1000)+1.5*2*'Hilfstabellen_Mat&amp;Bem'!$E74)*((M$27*1000)^2)*gamma_m)/(4*b_UZ*k_mod*'Hilfstabellen_Mat&amp;Bem'!$BC$16)),
((3*(1.35*(2*'Hilfstabellen_Mat&amp;Bem'!$D74+5*b_UZ/1000*M29/1000)+1.5*2*'Hilfstabellen_Mat&amp;Bem'!$E74)*M$27*1000*gamma_m)/(4*b_UZ*'Hilfstabellen_Mat&amp;Bem'!$BC$24*'Hilfstabellen_Mat&amp;Bem'!$BC$22*k_mod)))
)/RUWE_UZ,0)*RUWE_UZ,200)</f>
        <v>440</v>
      </c>
      <c r="S29" s="491" t="s">
        <v>1557</v>
      </c>
      <c r="AU29" s="538"/>
      <c r="AV29" s="466" t="s">
        <v>848</v>
      </c>
      <c r="BC29" s="330"/>
      <c r="BD29" s="1468" t="s">
        <v>850</v>
      </c>
      <c r="BE29" s="1468"/>
      <c r="BF29" s="1468"/>
      <c r="BG29" s="1468"/>
      <c r="BH29" s="1468"/>
      <c r="BI29" s="466" t="s">
        <v>853</v>
      </c>
      <c r="BW29" s="514"/>
    </row>
    <row r="30" spans="1:75" ht="15" customHeight="1">
      <c r="A30" s="1458"/>
      <c r="B30" s="481">
        <f>'Hilfstabellen_Mat&amp;Bem'!$D53</f>
        <v>2.85</v>
      </c>
      <c r="C30" s="468">
        <f ca="1">IFERROR(ROUNDUP((MAX(
SQRT((3*(1.35*(2*'Hilfstabellen_Mat&amp;Bem'!$D75+5*b_UZ/1000*C30/1000)+1.5*2*'Hilfstabellen_Mat&amp;Bem'!$E75)*((C$27*1000)^2)*gamma_m)/(4*b_UZ*k_mod*'Hilfstabellen_Mat&amp;Bem'!$BC$16)),
((3*(1.35*(2*'Hilfstabellen_Mat&amp;Bem'!$D75+5*b_UZ/1000*C30/1000)+1.5*2*'Hilfstabellen_Mat&amp;Bem'!$E75)*C$27*1000*gamma_m)/(4*b_UZ*'Hilfstabellen_Mat&amp;Bem'!$BC$24*'Hilfstabellen_Mat&amp;Bem'!$BC$22*k_mod)))
)/RUWE_UZ,0)*RUWE_UZ,200)</f>
        <v>200</v>
      </c>
      <c r="D30" s="468">
        <f ca="1">IFERROR(ROUNDUP((MAX(
SQRT((3*(1.35*(2*'Hilfstabellen_Mat&amp;Bem'!$D75+5*b_UZ/1000*D30/1000)+1.5*2*'Hilfstabellen_Mat&amp;Bem'!$E75)*((D$27*1000)^2)*gamma_m)/(4*b_UZ*k_mod*'Hilfstabellen_Mat&amp;Bem'!$BC$16)),
((3*(1.35*(2*'Hilfstabellen_Mat&amp;Bem'!$D75+5*b_UZ/1000*D30/1000)+1.5*2*'Hilfstabellen_Mat&amp;Bem'!$E75)*D$27*1000*gamma_m)/(4*b_UZ*'Hilfstabellen_Mat&amp;Bem'!$BC$24*'Hilfstabellen_Mat&amp;Bem'!$BC$22*k_mod)))
)/RUWE_UZ,0)*RUWE_UZ,200)</f>
        <v>200</v>
      </c>
      <c r="E30" s="468">
        <f ca="1">IFERROR(ROUNDUP((MAX(
SQRT((3*(1.35*(2*'Hilfstabellen_Mat&amp;Bem'!$D75+5*b_UZ/1000*E30/1000)+1.5*2*'Hilfstabellen_Mat&amp;Bem'!$E75)*((E$27*1000)^2)*gamma_m)/(4*b_UZ*k_mod*'Hilfstabellen_Mat&amp;Bem'!$BC$16)),
((3*(1.35*(2*'Hilfstabellen_Mat&amp;Bem'!$D75+5*b_UZ/1000*E30/1000)+1.5*2*'Hilfstabellen_Mat&amp;Bem'!$E75)*E$27*1000*gamma_m)/(4*b_UZ*'Hilfstabellen_Mat&amp;Bem'!$BC$24*'Hilfstabellen_Mat&amp;Bem'!$BC$22*k_mod)))
)/RUWE_UZ,0)*RUWE_UZ,200)</f>
        <v>240</v>
      </c>
      <c r="F30" s="468">
        <f ca="1">IFERROR(ROUNDUP((MAX(
SQRT((3*(1.35*(2*'Hilfstabellen_Mat&amp;Bem'!$D75+5*b_UZ/1000*F30/1000)+1.5*2*'Hilfstabellen_Mat&amp;Bem'!$E75)*((F$27*1000)^2)*gamma_m)/(4*b_UZ*k_mod*'Hilfstabellen_Mat&amp;Bem'!$BC$16)),
((3*(1.35*(2*'Hilfstabellen_Mat&amp;Bem'!$D75+5*b_UZ/1000*F30/1000)+1.5*2*'Hilfstabellen_Mat&amp;Bem'!$E75)*F$27*1000*gamma_m)/(4*b_UZ*'Hilfstabellen_Mat&amp;Bem'!$BC$24*'Hilfstabellen_Mat&amp;Bem'!$BC$22*k_mod)))
)/RUWE_UZ,0)*RUWE_UZ,200)</f>
        <v>240</v>
      </c>
      <c r="G30" s="468">
        <f ca="1">IFERROR(ROUNDUP((MAX(
SQRT((3*(1.35*(2*'Hilfstabellen_Mat&amp;Bem'!$D75+5*b_UZ/1000*G30/1000)+1.5*2*'Hilfstabellen_Mat&amp;Bem'!$E75)*((G$27*1000)^2)*gamma_m)/(4*b_UZ*k_mod*'Hilfstabellen_Mat&amp;Bem'!$BC$16)),
((3*(1.35*(2*'Hilfstabellen_Mat&amp;Bem'!$D75+5*b_UZ/1000*G30/1000)+1.5*2*'Hilfstabellen_Mat&amp;Bem'!$E75)*G$27*1000*gamma_m)/(4*b_UZ*'Hilfstabellen_Mat&amp;Bem'!$BC$24*'Hilfstabellen_Mat&amp;Bem'!$BC$22*k_mod)))
)/RUWE_UZ,0)*RUWE_UZ,200)</f>
        <v>280</v>
      </c>
      <c r="H30" s="468">
        <f ca="1">IFERROR(ROUNDUP((MAX(
SQRT((3*(1.35*(2*'Hilfstabellen_Mat&amp;Bem'!$D75+5*b_UZ/1000*H30/1000)+1.5*2*'Hilfstabellen_Mat&amp;Bem'!$E75)*((H$27*1000)^2)*gamma_m)/(4*b_UZ*k_mod*'Hilfstabellen_Mat&amp;Bem'!$BC$16)),
((3*(1.35*(2*'Hilfstabellen_Mat&amp;Bem'!$D75+5*b_UZ/1000*H30/1000)+1.5*2*'Hilfstabellen_Mat&amp;Bem'!$E75)*H$27*1000*gamma_m)/(4*b_UZ*'Hilfstabellen_Mat&amp;Bem'!$BC$24*'Hilfstabellen_Mat&amp;Bem'!$BC$22*k_mod)))
)/RUWE_UZ,0)*RUWE_UZ,200)</f>
        <v>320</v>
      </c>
      <c r="I30" s="468">
        <f ca="1">IFERROR(ROUNDUP((MAX(
SQRT((3*(1.35*(2*'Hilfstabellen_Mat&amp;Bem'!$D75+5*b_UZ/1000*I30/1000)+1.5*2*'Hilfstabellen_Mat&amp;Bem'!$E75)*((I$27*1000)^2)*gamma_m)/(4*b_UZ*k_mod*'Hilfstabellen_Mat&amp;Bem'!$BC$16)),
((3*(1.35*(2*'Hilfstabellen_Mat&amp;Bem'!$D75+5*b_UZ/1000*I30/1000)+1.5*2*'Hilfstabellen_Mat&amp;Bem'!$E75)*I$27*1000*gamma_m)/(4*b_UZ*'Hilfstabellen_Mat&amp;Bem'!$BC$24*'Hilfstabellen_Mat&amp;Bem'!$BC$22*k_mod)))
)/RUWE_UZ,0)*RUWE_UZ,200)</f>
        <v>360</v>
      </c>
      <c r="J30" s="468">
        <f ca="1">IFERROR(ROUNDUP((MAX(
SQRT((3*(1.35*(2*'Hilfstabellen_Mat&amp;Bem'!$D75+5*b_UZ/1000*J30/1000)+1.5*2*'Hilfstabellen_Mat&amp;Bem'!$E75)*((J$27*1000)^2)*gamma_m)/(4*b_UZ*k_mod*'Hilfstabellen_Mat&amp;Bem'!$BC$16)),
((3*(1.35*(2*'Hilfstabellen_Mat&amp;Bem'!$D75+5*b_UZ/1000*J30/1000)+1.5*2*'Hilfstabellen_Mat&amp;Bem'!$E75)*J$27*1000*gamma_m)/(4*b_UZ*'Hilfstabellen_Mat&amp;Bem'!$BC$24*'Hilfstabellen_Mat&amp;Bem'!$BC$22*k_mod)))
)/RUWE_UZ,0)*RUWE_UZ,200)</f>
        <v>400</v>
      </c>
      <c r="K30" s="468">
        <f ca="1">IFERROR(ROUNDUP((MAX(
SQRT((3*(1.35*(2*'Hilfstabellen_Mat&amp;Bem'!$D75+5*b_UZ/1000*K30/1000)+1.5*2*'Hilfstabellen_Mat&amp;Bem'!$E75)*((K$27*1000)^2)*gamma_m)/(4*b_UZ*k_mod*'Hilfstabellen_Mat&amp;Bem'!$BC$16)),
((3*(1.35*(2*'Hilfstabellen_Mat&amp;Bem'!$D75+5*b_UZ/1000*K30/1000)+1.5*2*'Hilfstabellen_Mat&amp;Bem'!$E75)*K$27*1000*gamma_m)/(4*b_UZ*'Hilfstabellen_Mat&amp;Bem'!$BC$24*'Hilfstabellen_Mat&amp;Bem'!$BC$22*k_mod)))
)/RUWE_UZ,0)*RUWE_UZ,200)</f>
        <v>400</v>
      </c>
      <c r="L30" s="468">
        <f ca="1">IFERROR(ROUNDUP((MAX(
SQRT((3*(1.35*(2*'Hilfstabellen_Mat&amp;Bem'!$D75+5*b_UZ/1000*L30/1000)+1.5*2*'Hilfstabellen_Mat&amp;Bem'!$E75)*((L$27*1000)^2)*gamma_m)/(4*b_UZ*k_mod*'Hilfstabellen_Mat&amp;Bem'!$BC$16)),
((3*(1.35*(2*'Hilfstabellen_Mat&amp;Bem'!$D75+5*b_UZ/1000*L30/1000)+1.5*2*'Hilfstabellen_Mat&amp;Bem'!$E75)*L$27*1000*gamma_m)/(4*b_UZ*'Hilfstabellen_Mat&amp;Bem'!$BC$24*'Hilfstabellen_Mat&amp;Bem'!$BC$22*k_mod)))
)/RUWE_UZ,0)*RUWE_UZ,200)</f>
        <v>440</v>
      </c>
      <c r="M30" s="468">
        <f ca="1">IFERROR(ROUNDUP((MAX(
SQRT((3*(1.35*(2*'Hilfstabellen_Mat&amp;Bem'!$D75+5*b_UZ/1000*M30/1000)+1.5*2*'Hilfstabellen_Mat&amp;Bem'!$E75)*((M$27*1000)^2)*gamma_m)/(4*b_UZ*k_mod*'Hilfstabellen_Mat&amp;Bem'!$BC$16)),
((3*(1.35*(2*'Hilfstabellen_Mat&amp;Bem'!$D75+5*b_UZ/1000*M30/1000)+1.5*2*'Hilfstabellen_Mat&amp;Bem'!$E75)*M$27*1000*gamma_m)/(4*b_UZ*'Hilfstabellen_Mat&amp;Bem'!$BC$24*'Hilfstabellen_Mat&amp;Bem'!$BC$22*k_mod)))
)/RUWE_UZ,0)*RUWE_UZ,200)</f>
        <v>440</v>
      </c>
      <c r="S30" s="1457">
        <f>IF(S23="Nadel - Brettschichtholz",40,20)</f>
        <v>40</v>
      </c>
      <c r="T30" s="1457"/>
      <c r="AU30" s="538"/>
      <c r="BW30" s="514"/>
    </row>
    <row r="31" spans="1:75" ht="15" customHeight="1">
      <c r="A31" s="1458"/>
      <c r="B31" s="481">
        <f>'Hilfstabellen_Mat&amp;Bem'!$D54</f>
        <v>3</v>
      </c>
      <c r="C31" s="468">
        <f ca="1">IFERROR(ROUNDUP((MAX(
SQRT((3*(1.35*(2*'Hilfstabellen_Mat&amp;Bem'!$D76+5*b_UZ/1000*C31/1000)+1.5*2*'Hilfstabellen_Mat&amp;Bem'!$E76)*((C$27*1000)^2)*gamma_m)/(4*b_UZ*k_mod*'Hilfstabellen_Mat&amp;Bem'!$BC$16)),
((3*(1.35*(2*'Hilfstabellen_Mat&amp;Bem'!$D76+5*b_UZ/1000*C31/1000)+1.5*2*'Hilfstabellen_Mat&amp;Bem'!$E76)*C$27*1000*gamma_m)/(4*b_UZ*'Hilfstabellen_Mat&amp;Bem'!$BC$24*'Hilfstabellen_Mat&amp;Bem'!$BC$22*k_mod)))
)/RUWE_UZ,0)*RUWE_UZ,200)</f>
        <v>200</v>
      </c>
      <c r="D31" s="468">
        <f ca="1">IFERROR(ROUNDUP((MAX(
SQRT((3*(1.35*(2*'Hilfstabellen_Mat&amp;Bem'!$D76+5*b_UZ/1000*D31/1000)+1.5*2*'Hilfstabellen_Mat&amp;Bem'!$E76)*((D$27*1000)^2)*gamma_m)/(4*b_UZ*k_mod*'Hilfstabellen_Mat&amp;Bem'!$BC$16)),
((3*(1.35*(2*'Hilfstabellen_Mat&amp;Bem'!$D76+5*b_UZ/1000*D31/1000)+1.5*2*'Hilfstabellen_Mat&amp;Bem'!$E76)*D$27*1000*gamma_m)/(4*b_UZ*'Hilfstabellen_Mat&amp;Bem'!$BC$24*'Hilfstabellen_Mat&amp;Bem'!$BC$22*k_mod)))
)/RUWE_UZ,0)*RUWE_UZ,200)</f>
        <v>200</v>
      </c>
      <c r="E31" s="468">
        <f ca="1">IFERROR(ROUNDUP((MAX(
SQRT((3*(1.35*(2*'Hilfstabellen_Mat&amp;Bem'!$D76+5*b_UZ/1000*E31/1000)+1.5*2*'Hilfstabellen_Mat&amp;Bem'!$E76)*((E$27*1000)^2)*gamma_m)/(4*b_UZ*k_mod*'Hilfstabellen_Mat&amp;Bem'!$BC$16)),
((3*(1.35*(2*'Hilfstabellen_Mat&amp;Bem'!$D76+5*b_UZ/1000*E31/1000)+1.5*2*'Hilfstabellen_Mat&amp;Bem'!$E76)*E$27*1000*gamma_m)/(4*b_UZ*'Hilfstabellen_Mat&amp;Bem'!$BC$24*'Hilfstabellen_Mat&amp;Bem'!$BC$22*k_mod)))
)/RUWE_UZ,0)*RUWE_UZ,200)</f>
        <v>240</v>
      </c>
      <c r="F31" s="468">
        <f ca="1">IFERROR(ROUNDUP((MAX(
SQRT((3*(1.35*(2*'Hilfstabellen_Mat&amp;Bem'!$D76+5*b_UZ/1000*F31/1000)+1.5*2*'Hilfstabellen_Mat&amp;Bem'!$E76)*((F$27*1000)^2)*gamma_m)/(4*b_UZ*k_mod*'Hilfstabellen_Mat&amp;Bem'!$BC$16)),
((3*(1.35*(2*'Hilfstabellen_Mat&amp;Bem'!$D76+5*b_UZ/1000*F31/1000)+1.5*2*'Hilfstabellen_Mat&amp;Bem'!$E76)*F$27*1000*gamma_m)/(4*b_UZ*'Hilfstabellen_Mat&amp;Bem'!$BC$24*'Hilfstabellen_Mat&amp;Bem'!$BC$22*k_mod)))
)/RUWE_UZ,0)*RUWE_UZ,200)</f>
        <v>240</v>
      </c>
      <c r="G31" s="468">
        <f ca="1">IFERROR(ROUNDUP((MAX(
SQRT((3*(1.35*(2*'Hilfstabellen_Mat&amp;Bem'!$D76+5*b_UZ/1000*G31/1000)+1.5*2*'Hilfstabellen_Mat&amp;Bem'!$E76)*((G$27*1000)^2)*gamma_m)/(4*b_UZ*k_mod*'Hilfstabellen_Mat&amp;Bem'!$BC$16)),
((3*(1.35*(2*'Hilfstabellen_Mat&amp;Bem'!$D76+5*b_UZ/1000*G31/1000)+1.5*2*'Hilfstabellen_Mat&amp;Bem'!$E76)*G$27*1000*gamma_m)/(4*b_UZ*'Hilfstabellen_Mat&amp;Bem'!$BC$24*'Hilfstabellen_Mat&amp;Bem'!$BC$22*k_mod)))
)/RUWE_UZ,0)*RUWE_UZ,200)</f>
        <v>280</v>
      </c>
      <c r="H31" s="468">
        <f ca="1">IFERROR(ROUNDUP((MAX(
SQRT((3*(1.35*(2*'Hilfstabellen_Mat&amp;Bem'!$D76+5*b_UZ/1000*H31/1000)+1.5*2*'Hilfstabellen_Mat&amp;Bem'!$E76)*((H$27*1000)^2)*gamma_m)/(4*b_UZ*k_mod*'Hilfstabellen_Mat&amp;Bem'!$BC$16)),
((3*(1.35*(2*'Hilfstabellen_Mat&amp;Bem'!$D76+5*b_UZ/1000*H31/1000)+1.5*2*'Hilfstabellen_Mat&amp;Bem'!$E76)*H$27*1000*gamma_m)/(4*b_UZ*'Hilfstabellen_Mat&amp;Bem'!$BC$24*'Hilfstabellen_Mat&amp;Bem'!$BC$22*k_mod)))
)/RUWE_UZ,0)*RUWE_UZ,200)</f>
        <v>320</v>
      </c>
      <c r="I31" s="468">
        <f ca="1">IFERROR(ROUNDUP((MAX(
SQRT((3*(1.35*(2*'Hilfstabellen_Mat&amp;Bem'!$D76+5*b_UZ/1000*I31/1000)+1.5*2*'Hilfstabellen_Mat&amp;Bem'!$E76)*((I$27*1000)^2)*gamma_m)/(4*b_UZ*k_mod*'Hilfstabellen_Mat&amp;Bem'!$BC$16)),
((3*(1.35*(2*'Hilfstabellen_Mat&amp;Bem'!$D76+5*b_UZ/1000*I31/1000)+1.5*2*'Hilfstabellen_Mat&amp;Bem'!$E76)*I$27*1000*gamma_m)/(4*b_UZ*'Hilfstabellen_Mat&amp;Bem'!$BC$24*'Hilfstabellen_Mat&amp;Bem'!$BC$22*k_mod)))
)/RUWE_UZ,0)*RUWE_UZ,200)</f>
        <v>360</v>
      </c>
      <c r="J31" s="468">
        <f ca="1">IFERROR(ROUNDUP((MAX(
SQRT((3*(1.35*(2*'Hilfstabellen_Mat&amp;Bem'!$D76+5*b_UZ/1000*J31/1000)+1.5*2*'Hilfstabellen_Mat&amp;Bem'!$E76)*((J$27*1000)^2)*gamma_m)/(4*b_UZ*k_mod*'Hilfstabellen_Mat&amp;Bem'!$BC$16)),
((3*(1.35*(2*'Hilfstabellen_Mat&amp;Bem'!$D76+5*b_UZ/1000*J31/1000)+1.5*2*'Hilfstabellen_Mat&amp;Bem'!$E76)*J$27*1000*gamma_m)/(4*b_UZ*'Hilfstabellen_Mat&amp;Bem'!$BC$24*'Hilfstabellen_Mat&amp;Bem'!$BC$22*k_mod)))
)/RUWE_UZ,0)*RUWE_UZ,200)</f>
        <v>400</v>
      </c>
      <c r="K31" s="468">
        <f ca="1">IFERROR(ROUNDUP((MAX(
SQRT((3*(1.35*(2*'Hilfstabellen_Mat&amp;Bem'!$D76+5*b_UZ/1000*K31/1000)+1.5*2*'Hilfstabellen_Mat&amp;Bem'!$E76)*((K$27*1000)^2)*gamma_m)/(4*b_UZ*k_mod*'Hilfstabellen_Mat&amp;Bem'!$BC$16)),
((3*(1.35*(2*'Hilfstabellen_Mat&amp;Bem'!$D76+5*b_UZ/1000*K31/1000)+1.5*2*'Hilfstabellen_Mat&amp;Bem'!$E76)*K$27*1000*gamma_m)/(4*b_UZ*'Hilfstabellen_Mat&amp;Bem'!$BC$24*'Hilfstabellen_Mat&amp;Bem'!$BC$22*k_mod)))
)/RUWE_UZ,0)*RUWE_UZ,200)</f>
        <v>400</v>
      </c>
      <c r="L31" s="468">
        <f ca="1">IFERROR(ROUNDUP((MAX(
SQRT((3*(1.35*(2*'Hilfstabellen_Mat&amp;Bem'!$D76+5*b_UZ/1000*L31/1000)+1.5*2*'Hilfstabellen_Mat&amp;Bem'!$E76)*((L$27*1000)^2)*gamma_m)/(4*b_UZ*k_mod*'Hilfstabellen_Mat&amp;Bem'!$BC$16)),
((3*(1.35*(2*'Hilfstabellen_Mat&amp;Bem'!$D76+5*b_UZ/1000*L31/1000)+1.5*2*'Hilfstabellen_Mat&amp;Bem'!$E76)*L$27*1000*gamma_m)/(4*b_UZ*'Hilfstabellen_Mat&amp;Bem'!$BC$24*'Hilfstabellen_Mat&amp;Bem'!$BC$22*k_mod)))
)/RUWE_UZ,0)*RUWE_UZ,200)</f>
        <v>440</v>
      </c>
      <c r="M31" s="468">
        <f ca="1">IFERROR(ROUNDUP((MAX(
SQRT((3*(1.35*(2*'Hilfstabellen_Mat&amp;Bem'!$D76+5*b_UZ/1000*M31/1000)+1.5*2*'Hilfstabellen_Mat&amp;Bem'!$E76)*((M$27*1000)^2)*gamma_m)/(4*b_UZ*k_mod*'Hilfstabellen_Mat&amp;Bem'!$BC$16)),
((3*(1.35*(2*'Hilfstabellen_Mat&amp;Bem'!$D76+5*b_UZ/1000*M31/1000)+1.5*2*'Hilfstabellen_Mat&amp;Bem'!$E76)*M$27*1000*gamma_m)/(4*b_UZ*'Hilfstabellen_Mat&amp;Bem'!$BC$24*'Hilfstabellen_Mat&amp;Bem'!$BC$22*k_mod)))
)/RUWE_UZ,0)*RUWE_UZ,200)</f>
        <v>480</v>
      </c>
      <c r="AU31" s="538"/>
      <c r="AW31" s="330"/>
      <c r="AX31" s="330"/>
      <c r="AY31" s="330"/>
      <c r="BB31" s="330"/>
      <c r="BP31" s="466" t="s">
        <v>851</v>
      </c>
      <c r="BQ31" s="465"/>
      <c r="BR31" s="465" t="s">
        <v>852</v>
      </c>
      <c r="BS31" s="1459">
        <f>IF(BD29="eindimensionalen",'Hilfstabellen_Mat&amp;Bem'!$BC$27,'Hilfstabellen_Mat&amp;Bem'!$BC$26)</f>
        <v>0.7</v>
      </c>
      <c r="BT31" s="1459"/>
      <c r="BU31" s="466" t="s">
        <v>855</v>
      </c>
      <c r="BW31" s="514"/>
    </row>
    <row r="32" spans="1:75" ht="15" customHeight="1">
      <c r="A32" s="1458"/>
      <c r="B32" s="481">
        <f>'Hilfstabellen_Mat&amp;Bem'!$D55</f>
        <v>3.5</v>
      </c>
      <c r="C32" s="468">
        <f ca="1">IFERROR(ROUNDUP((MAX(
SQRT((3*(1.35*(2*'Hilfstabellen_Mat&amp;Bem'!$D77+5*b_UZ/1000*C32/1000)+1.5*2*'Hilfstabellen_Mat&amp;Bem'!$E77)*((C$27*1000)^2)*gamma_m)/(4*b_UZ*k_mod*'Hilfstabellen_Mat&amp;Bem'!$BC$16)),
((3*(1.35*(2*'Hilfstabellen_Mat&amp;Bem'!$D77+5*b_UZ/1000*C32/1000)+1.5*2*'Hilfstabellen_Mat&amp;Bem'!$E77)*C$27*1000*gamma_m)/(4*b_UZ*'Hilfstabellen_Mat&amp;Bem'!$BC$24*'Hilfstabellen_Mat&amp;Bem'!$BC$22*k_mod)))
)/RUWE_UZ,0)*RUWE_UZ,200)</f>
        <v>240</v>
      </c>
      <c r="D32" s="468">
        <f ca="1">IFERROR(ROUNDUP((MAX(
SQRT((3*(1.35*(2*'Hilfstabellen_Mat&amp;Bem'!$D77+5*b_UZ/1000*D32/1000)+1.5*2*'Hilfstabellen_Mat&amp;Bem'!$E77)*((D$27*1000)^2)*gamma_m)/(4*b_UZ*k_mod*'Hilfstabellen_Mat&amp;Bem'!$BC$16)),
((3*(1.35*(2*'Hilfstabellen_Mat&amp;Bem'!$D77+5*b_UZ/1000*D32/1000)+1.5*2*'Hilfstabellen_Mat&amp;Bem'!$E77)*D$27*1000*gamma_m)/(4*b_UZ*'Hilfstabellen_Mat&amp;Bem'!$BC$24*'Hilfstabellen_Mat&amp;Bem'!$BC$22*k_mod)))
)/RUWE_UZ,0)*RUWE_UZ,200)</f>
        <v>240</v>
      </c>
      <c r="E32" s="468">
        <f ca="1">IFERROR(ROUNDUP((MAX(
SQRT((3*(1.35*(2*'Hilfstabellen_Mat&amp;Bem'!$D77+5*b_UZ/1000*E32/1000)+1.5*2*'Hilfstabellen_Mat&amp;Bem'!$E77)*((E$27*1000)^2)*gamma_m)/(4*b_UZ*k_mod*'Hilfstabellen_Mat&amp;Bem'!$BC$16)),
((3*(1.35*(2*'Hilfstabellen_Mat&amp;Bem'!$D77+5*b_UZ/1000*E32/1000)+1.5*2*'Hilfstabellen_Mat&amp;Bem'!$E77)*E$27*1000*gamma_m)/(4*b_UZ*'Hilfstabellen_Mat&amp;Bem'!$BC$24*'Hilfstabellen_Mat&amp;Bem'!$BC$22*k_mod)))
)/RUWE_UZ,0)*RUWE_UZ,200)</f>
        <v>240</v>
      </c>
      <c r="F32" s="468">
        <f ca="1">IFERROR(ROUNDUP((MAX(
SQRT((3*(1.35*(2*'Hilfstabellen_Mat&amp;Bem'!$D77+5*b_UZ/1000*F32/1000)+1.5*2*'Hilfstabellen_Mat&amp;Bem'!$E77)*((F$27*1000)^2)*gamma_m)/(4*b_UZ*k_mod*'Hilfstabellen_Mat&amp;Bem'!$BC$16)),
((3*(1.35*(2*'Hilfstabellen_Mat&amp;Bem'!$D77+5*b_UZ/1000*F32/1000)+1.5*2*'Hilfstabellen_Mat&amp;Bem'!$E77)*F$27*1000*gamma_m)/(4*b_UZ*'Hilfstabellen_Mat&amp;Bem'!$BC$24*'Hilfstabellen_Mat&amp;Bem'!$BC$22*k_mod)))
)/RUWE_UZ,0)*RUWE_UZ,200)</f>
        <v>280</v>
      </c>
      <c r="G32" s="468">
        <f ca="1">IFERROR(ROUNDUP((MAX(
SQRT((3*(1.35*(2*'Hilfstabellen_Mat&amp;Bem'!$D77+5*b_UZ/1000*G32/1000)+1.5*2*'Hilfstabellen_Mat&amp;Bem'!$E77)*((G$27*1000)^2)*gamma_m)/(4*b_UZ*k_mod*'Hilfstabellen_Mat&amp;Bem'!$BC$16)),
((3*(1.35*(2*'Hilfstabellen_Mat&amp;Bem'!$D77+5*b_UZ/1000*G32/1000)+1.5*2*'Hilfstabellen_Mat&amp;Bem'!$E77)*G$27*1000*gamma_m)/(4*b_UZ*'Hilfstabellen_Mat&amp;Bem'!$BC$24*'Hilfstabellen_Mat&amp;Bem'!$BC$22*k_mod)))
)/RUWE_UZ,0)*RUWE_UZ,200)</f>
        <v>320</v>
      </c>
      <c r="H32" s="468">
        <f ca="1">IFERROR(ROUNDUP((MAX(
SQRT((3*(1.35*(2*'Hilfstabellen_Mat&amp;Bem'!$D77+5*b_UZ/1000*H32/1000)+1.5*2*'Hilfstabellen_Mat&amp;Bem'!$E77)*((H$27*1000)^2)*gamma_m)/(4*b_UZ*k_mod*'Hilfstabellen_Mat&amp;Bem'!$BC$16)),
((3*(1.35*(2*'Hilfstabellen_Mat&amp;Bem'!$D77+5*b_UZ/1000*H32/1000)+1.5*2*'Hilfstabellen_Mat&amp;Bem'!$E77)*H$27*1000*gamma_m)/(4*b_UZ*'Hilfstabellen_Mat&amp;Bem'!$BC$24*'Hilfstabellen_Mat&amp;Bem'!$BC$22*k_mod)))
)/RUWE_UZ,0)*RUWE_UZ,200)</f>
        <v>360</v>
      </c>
      <c r="I32" s="468">
        <f ca="1">IFERROR(ROUNDUP((MAX(
SQRT((3*(1.35*(2*'Hilfstabellen_Mat&amp;Bem'!$D77+5*b_UZ/1000*I32/1000)+1.5*2*'Hilfstabellen_Mat&amp;Bem'!$E77)*((I$27*1000)^2)*gamma_m)/(4*b_UZ*k_mod*'Hilfstabellen_Mat&amp;Bem'!$BC$16)),
((3*(1.35*(2*'Hilfstabellen_Mat&amp;Bem'!$D77+5*b_UZ/1000*I32/1000)+1.5*2*'Hilfstabellen_Mat&amp;Bem'!$E77)*I$27*1000*gamma_m)/(4*b_UZ*'Hilfstabellen_Mat&amp;Bem'!$BC$24*'Hilfstabellen_Mat&amp;Bem'!$BC$22*k_mod)))
)/RUWE_UZ,0)*RUWE_UZ,200)</f>
        <v>400</v>
      </c>
      <c r="J32" s="468">
        <f ca="1">IFERROR(ROUNDUP((MAX(
SQRT((3*(1.35*(2*'Hilfstabellen_Mat&amp;Bem'!$D77+5*b_UZ/1000*J32/1000)+1.5*2*'Hilfstabellen_Mat&amp;Bem'!$E77)*((J$27*1000)^2)*gamma_m)/(4*b_UZ*k_mod*'Hilfstabellen_Mat&amp;Bem'!$BC$16)),
((3*(1.35*(2*'Hilfstabellen_Mat&amp;Bem'!$D77+5*b_UZ/1000*J32/1000)+1.5*2*'Hilfstabellen_Mat&amp;Bem'!$E77)*J$27*1000*gamma_m)/(4*b_UZ*'Hilfstabellen_Mat&amp;Bem'!$BC$24*'Hilfstabellen_Mat&amp;Bem'!$BC$22*k_mod)))
)/RUWE_UZ,0)*RUWE_UZ,200)</f>
        <v>440</v>
      </c>
      <c r="K32" s="468">
        <f ca="1">IFERROR(ROUNDUP((MAX(
SQRT((3*(1.35*(2*'Hilfstabellen_Mat&amp;Bem'!$D77+5*b_UZ/1000*K32/1000)+1.5*2*'Hilfstabellen_Mat&amp;Bem'!$E77)*((K$27*1000)^2)*gamma_m)/(4*b_UZ*k_mod*'Hilfstabellen_Mat&amp;Bem'!$BC$16)),
((3*(1.35*(2*'Hilfstabellen_Mat&amp;Bem'!$D77+5*b_UZ/1000*K32/1000)+1.5*2*'Hilfstabellen_Mat&amp;Bem'!$E77)*K$27*1000*gamma_m)/(4*b_UZ*'Hilfstabellen_Mat&amp;Bem'!$BC$24*'Hilfstabellen_Mat&amp;Bem'!$BC$22*k_mod)))
)/RUWE_UZ,0)*RUWE_UZ,200)</f>
        <v>440</v>
      </c>
      <c r="L32" s="468">
        <f ca="1">IFERROR(ROUNDUP((MAX(
SQRT((3*(1.35*(2*'Hilfstabellen_Mat&amp;Bem'!$D77+5*b_UZ/1000*L32/1000)+1.5*2*'Hilfstabellen_Mat&amp;Bem'!$E77)*((L$27*1000)^2)*gamma_m)/(4*b_UZ*k_mod*'Hilfstabellen_Mat&amp;Bem'!$BC$16)),
((3*(1.35*(2*'Hilfstabellen_Mat&amp;Bem'!$D77+5*b_UZ/1000*L32/1000)+1.5*2*'Hilfstabellen_Mat&amp;Bem'!$E77)*L$27*1000*gamma_m)/(4*b_UZ*'Hilfstabellen_Mat&amp;Bem'!$BC$24*'Hilfstabellen_Mat&amp;Bem'!$BC$22*k_mod)))
)/RUWE_UZ,0)*RUWE_UZ,200)</f>
        <v>480</v>
      </c>
      <c r="M32" s="468">
        <f ca="1">IFERROR(ROUNDUP((MAX(
SQRT((3*(1.35*(2*'Hilfstabellen_Mat&amp;Bem'!$D77+5*b_UZ/1000*M32/1000)+1.5*2*'Hilfstabellen_Mat&amp;Bem'!$E77)*((M$27*1000)^2)*gamma_m)/(4*b_UZ*k_mod*'Hilfstabellen_Mat&amp;Bem'!$BC$16)),
((3*(1.35*(2*'Hilfstabellen_Mat&amp;Bem'!$D77+5*b_UZ/1000*M32/1000)+1.5*2*'Hilfstabellen_Mat&amp;Bem'!$E77)*M$27*1000*gamma_m)/(4*b_UZ*'Hilfstabellen_Mat&amp;Bem'!$BC$24*'Hilfstabellen_Mat&amp;Bem'!$BC$22*k_mod)))
)/RUWE_UZ,0)*RUWE_UZ,200)</f>
        <v>520</v>
      </c>
      <c r="S32" s="491" t="s">
        <v>1558</v>
      </c>
      <c r="AU32" s="538"/>
      <c r="AV32" s="466" t="s">
        <v>854</v>
      </c>
      <c r="BP32" s="466" t="s">
        <v>851</v>
      </c>
      <c r="BQ32" s="465"/>
      <c r="BR32" s="465" t="s">
        <v>852</v>
      </c>
      <c r="BS32" s="1465">
        <f ca="1">IF(brand_UZ=0,0,brand_UZ*BS31+7)</f>
        <v>49</v>
      </c>
      <c r="BT32" s="1465"/>
      <c r="BU32" s="466" t="s">
        <v>856</v>
      </c>
      <c r="BW32" s="514"/>
    </row>
    <row r="33" spans="1:75" ht="15" customHeight="1">
      <c r="A33" s="1458"/>
      <c r="B33" s="481">
        <f>'Hilfstabellen_Mat&amp;Bem'!$D56</f>
        <v>4</v>
      </c>
      <c r="C33" s="468">
        <f ca="1">IFERROR(ROUNDUP((MAX(
SQRT((3*(1.35*(2*'Hilfstabellen_Mat&amp;Bem'!$D78+5*b_UZ/1000*C33/1000)+1.5*2*'Hilfstabellen_Mat&amp;Bem'!$E78)*((C$27*1000)^2)*gamma_m)/(4*b_UZ*k_mod*'Hilfstabellen_Mat&amp;Bem'!$BC$16)),
((3*(1.35*(2*'Hilfstabellen_Mat&amp;Bem'!$D78+5*b_UZ/1000*C33/1000)+1.5*2*'Hilfstabellen_Mat&amp;Bem'!$E78)*C$27*1000*gamma_m)/(4*b_UZ*'Hilfstabellen_Mat&amp;Bem'!$BC$24*'Hilfstabellen_Mat&amp;Bem'!$BC$22*k_mod)))
)/RUWE_UZ,0)*RUWE_UZ,200)</f>
        <v>240</v>
      </c>
      <c r="D33" s="468">
        <f ca="1">IFERROR(ROUNDUP((MAX(
SQRT((3*(1.35*(2*'Hilfstabellen_Mat&amp;Bem'!$D78+5*b_UZ/1000*D33/1000)+1.5*2*'Hilfstabellen_Mat&amp;Bem'!$E78)*((D$27*1000)^2)*gamma_m)/(4*b_UZ*k_mod*'Hilfstabellen_Mat&amp;Bem'!$BC$16)),
((3*(1.35*(2*'Hilfstabellen_Mat&amp;Bem'!$D78+5*b_UZ/1000*D33/1000)+1.5*2*'Hilfstabellen_Mat&amp;Bem'!$E78)*D$27*1000*gamma_m)/(4*b_UZ*'Hilfstabellen_Mat&amp;Bem'!$BC$24*'Hilfstabellen_Mat&amp;Bem'!$BC$22*k_mod)))
)/RUWE_UZ,0)*RUWE_UZ,200)</f>
        <v>240</v>
      </c>
      <c r="E33" s="468">
        <f ca="1">IFERROR(ROUNDUP((MAX(
SQRT((3*(1.35*(2*'Hilfstabellen_Mat&amp;Bem'!$D78+5*b_UZ/1000*E33/1000)+1.5*2*'Hilfstabellen_Mat&amp;Bem'!$E78)*((E$27*1000)^2)*gamma_m)/(4*b_UZ*k_mod*'Hilfstabellen_Mat&amp;Bem'!$BC$16)),
((3*(1.35*(2*'Hilfstabellen_Mat&amp;Bem'!$D78+5*b_UZ/1000*E33/1000)+1.5*2*'Hilfstabellen_Mat&amp;Bem'!$E78)*E$27*1000*gamma_m)/(4*b_UZ*'Hilfstabellen_Mat&amp;Bem'!$BC$24*'Hilfstabellen_Mat&amp;Bem'!$BC$22*k_mod)))
)/RUWE_UZ,0)*RUWE_UZ,200)</f>
        <v>280</v>
      </c>
      <c r="F33" s="468">
        <f ca="1">IFERROR(ROUNDUP((MAX(
SQRT((3*(1.35*(2*'Hilfstabellen_Mat&amp;Bem'!$D78+5*b_UZ/1000*F33/1000)+1.5*2*'Hilfstabellen_Mat&amp;Bem'!$E78)*((F$27*1000)^2)*gamma_m)/(4*b_UZ*k_mod*'Hilfstabellen_Mat&amp;Bem'!$BC$16)),
((3*(1.35*(2*'Hilfstabellen_Mat&amp;Bem'!$D78+5*b_UZ/1000*F33/1000)+1.5*2*'Hilfstabellen_Mat&amp;Bem'!$E78)*F$27*1000*gamma_m)/(4*b_UZ*'Hilfstabellen_Mat&amp;Bem'!$BC$24*'Hilfstabellen_Mat&amp;Bem'!$BC$22*k_mod)))
)/RUWE_UZ,0)*RUWE_UZ,200)</f>
        <v>280</v>
      </c>
      <c r="G33" s="468">
        <f ca="1">IFERROR(ROUNDUP((MAX(
SQRT((3*(1.35*(2*'Hilfstabellen_Mat&amp;Bem'!$D78+5*b_UZ/1000*G33/1000)+1.5*2*'Hilfstabellen_Mat&amp;Bem'!$E78)*((G$27*1000)^2)*gamma_m)/(4*b_UZ*k_mod*'Hilfstabellen_Mat&amp;Bem'!$BC$16)),
((3*(1.35*(2*'Hilfstabellen_Mat&amp;Bem'!$D78+5*b_UZ/1000*G33/1000)+1.5*2*'Hilfstabellen_Mat&amp;Bem'!$E78)*G$27*1000*gamma_m)/(4*b_UZ*'Hilfstabellen_Mat&amp;Bem'!$BC$24*'Hilfstabellen_Mat&amp;Bem'!$BC$22*k_mod)))
)/RUWE_UZ,0)*RUWE_UZ,200)</f>
        <v>320</v>
      </c>
      <c r="H33" s="468">
        <f ca="1">IFERROR(ROUNDUP((MAX(
SQRT((3*(1.35*(2*'Hilfstabellen_Mat&amp;Bem'!$D78+5*b_UZ/1000*H33/1000)+1.5*2*'Hilfstabellen_Mat&amp;Bem'!$E78)*((H$27*1000)^2)*gamma_m)/(4*b_UZ*k_mod*'Hilfstabellen_Mat&amp;Bem'!$BC$16)),
((3*(1.35*(2*'Hilfstabellen_Mat&amp;Bem'!$D78+5*b_UZ/1000*H33/1000)+1.5*2*'Hilfstabellen_Mat&amp;Bem'!$E78)*H$27*1000*gamma_m)/(4*b_UZ*'Hilfstabellen_Mat&amp;Bem'!$BC$24*'Hilfstabellen_Mat&amp;Bem'!$BC$22*k_mod)))
)/RUWE_UZ,0)*RUWE_UZ,200)</f>
        <v>360</v>
      </c>
      <c r="I33" s="468">
        <f ca="1">IFERROR(ROUNDUP((MAX(
SQRT((3*(1.35*(2*'Hilfstabellen_Mat&amp;Bem'!$D78+5*b_UZ/1000*I33/1000)+1.5*2*'Hilfstabellen_Mat&amp;Bem'!$E78)*((I$27*1000)^2)*gamma_m)/(4*b_UZ*k_mod*'Hilfstabellen_Mat&amp;Bem'!$BC$16)),
((3*(1.35*(2*'Hilfstabellen_Mat&amp;Bem'!$D78+5*b_UZ/1000*I33/1000)+1.5*2*'Hilfstabellen_Mat&amp;Bem'!$E78)*I$27*1000*gamma_m)/(4*b_UZ*'Hilfstabellen_Mat&amp;Bem'!$BC$24*'Hilfstabellen_Mat&amp;Bem'!$BC$22*k_mod)))
)/RUWE_UZ,0)*RUWE_UZ,200)</f>
        <v>400</v>
      </c>
      <c r="J33" s="468">
        <f ca="1">IFERROR(ROUNDUP((MAX(
SQRT((3*(1.35*(2*'Hilfstabellen_Mat&amp;Bem'!$D78+5*b_UZ/1000*J33/1000)+1.5*2*'Hilfstabellen_Mat&amp;Bem'!$E78)*((J$27*1000)^2)*gamma_m)/(4*b_UZ*k_mod*'Hilfstabellen_Mat&amp;Bem'!$BC$16)),
((3*(1.35*(2*'Hilfstabellen_Mat&amp;Bem'!$D78+5*b_UZ/1000*J33/1000)+1.5*2*'Hilfstabellen_Mat&amp;Bem'!$E78)*J$27*1000*gamma_m)/(4*b_UZ*'Hilfstabellen_Mat&amp;Bem'!$BC$24*'Hilfstabellen_Mat&amp;Bem'!$BC$22*k_mod)))
)/RUWE_UZ,0)*RUWE_UZ,200)</f>
        <v>440</v>
      </c>
      <c r="K33" s="468">
        <f ca="1">IFERROR(ROUNDUP((MAX(
SQRT((3*(1.35*(2*'Hilfstabellen_Mat&amp;Bem'!$D78+5*b_UZ/1000*K33/1000)+1.5*2*'Hilfstabellen_Mat&amp;Bem'!$E78)*((K$27*1000)^2)*gamma_m)/(4*b_UZ*k_mod*'Hilfstabellen_Mat&amp;Bem'!$BC$16)),
((3*(1.35*(2*'Hilfstabellen_Mat&amp;Bem'!$D78+5*b_UZ/1000*K33/1000)+1.5*2*'Hilfstabellen_Mat&amp;Bem'!$E78)*K$27*1000*gamma_m)/(4*b_UZ*'Hilfstabellen_Mat&amp;Bem'!$BC$24*'Hilfstabellen_Mat&amp;Bem'!$BC$22*k_mod)))
)/RUWE_UZ,0)*RUWE_UZ,200)</f>
        <v>480</v>
      </c>
      <c r="L33" s="468">
        <f ca="1">IFERROR(ROUNDUP((MAX(
SQRT((3*(1.35*(2*'Hilfstabellen_Mat&amp;Bem'!$D78+5*b_UZ/1000*L33/1000)+1.5*2*'Hilfstabellen_Mat&amp;Bem'!$E78)*((L$27*1000)^2)*gamma_m)/(4*b_UZ*k_mod*'Hilfstabellen_Mat&amp;Bem'!$BC$16)),
((3*(1.35*(2*'Hilfstabellen_Mat&amp;Bem'!$D78+5*b_UZ/1000*L33/1000)+1.5*2*'Hilfstabellen_Mat&amp;Bem'!$E78)*L$27*1000*gamma_m)/(4*b_UZ*'Hilfstabellen_Mat&amp;Bem'!$BC$24*'Hilfstabellen_Mat&amp;Bem'!$BC$22*k_mod)))
)/RUWE_UZ,0)*RUWE_UZ,200)</f>
        <v>520</v>
      </c>
      <c r="M33" s="468">
        <f ca="1">IFERROR(ROUNDUP((MAX(
SQRT((3*(1.35*(2*'Hilfstabellen_Mat&amp;Bem'!$D78+5*b_UZ/1000*M33/1000)+1.5*2*'Hilfstabellen_Mat&amp;Bem'!$E78)*((M$27*1000)^2)*gamma_m)/(4*b_UZ*k_mod*'Hilfstabellen_Mat&amp;Bem'!$BC$16)),
((3*(1.35*(2*'Hilfstabellen_Mat&amp;Bem'!$D78+5*b_UZ/1000*M33/1000)+1.5*2*'Hilfstabellen_Mat&amp;Bem'!$E78)*M$27*1000*gamma_m)/(4*b_UZ*'Hilfstabellen_Mat&amp;Bem'!$BC$24*'Hilfstabellen_Mat&amp;Bem'!$BC$22*k_mod)))
)/RUWE_UZ,0)*RUWE_UZ,200)</f>
        <v>560</v>
      </c>
      <c r="S33" s="1457" t="str">
        <f>IF(S23="Nadel - Schnittholz",280,"")</f>
        <v/>
      </c>
      <c r="T33" s="1457"/>
      <c r="AU33" s="538"/>
      <c r="AW33" s="466" t="s">
        <v>865</v>
      </c>
      <c r="AZ33" s="1457">
        <f ca="1">b_UZ-2*d_char_UZ</f>
        <v>142</v>
      </c>
      <c r="BA33" s="1457"/>
      <c r="BM33" s="564" t="s">
        <v>885</v>
      </c>
      <c r="BW33" s="514"/>
    </row>
    <row r="34" spans="1:75" ht="15" customHeight="1">
      <c r="A34" s="1458"/>
      <c r="B34" s="481">
        <f>'Hilfstabellen_Mat&amp;Bem'!$D57</f>
        <v>4.5</v>
      </c>
      <c r="C34" s="468">
        <f ca="1">IFERROR(ROUNDUP((MAX(
SQRT((3*(1.35*(2*'Hilfstabellen_Mat&amp;Bem'!$D79+5*b_UZ/1000*C34/1000)+1.5*2*'Hilfstabellen_Mat&amp;Bem'!$E79)*((C$27*1000)^2)*gamma_m)/(4*b_UZ*k_mod*'Hilfstabellen_Mat&amp;Bem'!$BC$16)),
((3*(1.35*(2*'Hilfstabellen_Mat&amp;Bem'!$D79+5*b_UZ/1000*C34/1000)+1.5*2*'Hilfstabellen_Mat&amp;Bem'!$E79)*C$27*1000*gamma_m)/(4*b_UZ*'Hilfstabellen_Mat&amp;Bem'!$BC$24*'Hilfstabellen_Mat&amp;Bem'!$BC$22*k_mod)))
)/RUWE_UZ,0)*RUWE_UZ,200)</f>
        <v>240</v>
      </c>
      <c r="D34" s="468">
        <f ca="1">IFERROR(ROUNDUP((MAX(
SQRT((3*(1.35*(2*'Hilfstabellen_Mat&amp;Bem'!$D79+5*b_UZ/1000*D34/1000)+1.5*2*'Hilfstabellen_Mat&amp;Bem'!$E79)*((D$27*1000)^2)*gamma_m)/(4*b_UZ*k_mod*'Hilfstabellen_Mat&amp;Bem'!$BC$16)),
((3*(1.35*(2*'Hilfstabellen_Mat&amp;Bem'!$D79+5*b_UZ/1000*D34/1000)+1.5*2*'Hilfstabellen_Mat&amp;Bem'!$E79)*D$27*1000*gamma_m)/(4*b_UZ*'Hilfstabellen_Mat&amp;Bem'!$BC$24*'Hilfstabellen_Mat&amp;Bem'!$BC$22*k_mod)))
)/RUWE_UZ,0)*RUWE_UZ,200)</f>
        <v>280</v>
      </c>
      <c r="E34" s="468">
        <f ca="1">IFERROR(ROUNDUP((MAX(
SQRT((3*(1.35*(2*'Hilfstabellen_Mat&amp;Bem'!$D79+5*b_UZ/1000*E34/1000)+1.5*2*'Hilfstabellen_Mat&amp;Bem'!$E79)*((E$27*1000)^2)*gamma_m)/(4*b_UZ*k_mod*'Hilfstabellen_Mat&amp;Bem'!$BC$16)),
((3*(1.35*(2*'Hilfstabellen_Mat&amp;Bem'!$D79+5*b_UZ/1000*E34/1000)+1.5*2*'Hilfstabellen_Mat&amp;Bem'!$E79)*E$27*1000*gamma_m)/(4*b_UZ*'Hilfstabellen_Mat&amp;Bem'!$BC$24*'Hilfstabellen_Mat&amp;Bem'!$BC$22*k_mod)))
)/RUWE_UZ,0)*RUWE_UZ,200)</f>
        <v>280</v>
      </c>
      <c r="F34" s="468">
        <f ca="1">IFERROR(ROUNDUP((MAX(
SQRT((3*(1.35*(2*'Hilfstabellen_Mat&amp;Bem'!$D79+5*b_UZ/1000*F34/1000)+1.5*2*'Hilfstabellen_Mat&amp;Bem'!$E79)*((F$27*1000)^2)*gamma_m)/(4*b_UZ*k_mod*'Hilfstabellen_Mat&amp;Bem'!$BC$16)),
((3*(1.35*(2*'Hilfstabellen_Mat&amp;Bem'!$D79+5*b_UZ/1000*F34/1000)+1.5*2*'Hilfstabellen_Mat&amp;Bem'!$E79)*F$27*1000*gamma_m)/(4*b_UZ*'Hilfstabellen_Mat&amp;Bem'!$BC$24*'Hilfstabellen_Mat&amp;Bem'!$BC$22*k_mod)))
)/RUWE_UZ,0)*RUWE_UZ,200)</f>
        <v>280</v>
      </c>
      <c r="G34" s="468">
        <f ca="1">IFERROR(ROUNDUP((MAX(
SQRT((3*(1.35*(2*'Hilfstabellen_Mat&amp;Bem'!$D79+5*b_UZ/1000*G34/1000)+1.5*2*'Hilfstabellen_Mat&amp;Bem'!$E79)*((G$27*1000)^2)*gamma_m)/(4*b_UZ*k_mod*'Hilfstabellen_Mat&amp;Bem'!$BC$16)),
((3*(1.35*(2*'Hilfstabellen_Mat&amp;Bem'!$D79+5*b_UZ/1000*G34/1000)+1.5*2*'Hilfstabellen_Mat&amp;Bem'!$E79)*G$27*1000*gamma_m)/(4*b_UZ*'Hilfstabellen_Mat&amp;Bem'!$BC$24*'Hilfstabellen_Mat&amp;Bem'!$BC$22*k_mod)))
)/RUWE_UZ,0)*RUWE_UZ,200)</f>
        <v>360</v>
      </c>
      <c r="H34" s="468">
        <f ca="1">IFERROR(ROUNDUP((MAX(
SQRT((3*(1.35*(2*'Hilfstabellen_Mat&amp;Bem'!$D79+5*b_UZ/1000*H34/1000)+1.5*2*'Hilfstabellen_Mat&amp;Bem'!$E79)*((H$27*1000)^2)*gamma_m)/(4*b_UZ*k_mod*'Hilfstabellen_Mat&amp;Bem'!$BC$16)),
((3*(1.35*(2*'Hilfstabellen_Mat&amp;Bem'!$D79+5*b_UZ/1000*H34/1000)+1.5*2*'Hilfstabellen_Mat&amp;Bem'!$E79)*H$27*1000*gamma_m)/(4*b_UZ*'Hilfstabellen_Mat&amp;Bem'!$BC$24*'Hilfstabellen_Mat&amp;Bem'!$BC$22*k_mod)))
)/RUWE_UZ,0)*RUWE_UZ,200)</f>
        <v>400</v>
      </c>
      <c r="I34" s="468">
        <f ca="1">IFERROR(ROUNDUP((MAX(
SQRT((3*(1.35*(2*'Hilfstabellen_Mat&amp;Bem'!$D79+5*b_UZ/1000*I34/1000)+1.5*2*'Hilfstabellen_Mat&amp;Bem'!$E79)*((I$27*1000)^2)*gamma_m)/(4*b_UZ*k_mod*'Hilfstabellen_Mat&amp;Bem'!$BC$16)),
((3*(1.35*(2*'Hilfstabellen_Mat&amp;Bem'!$D79+5*b_UZ/1000*I34/1000)+1.5*2*'Hilfstabellen_Mat&amp;Bem'!$E79)*I$27*1000*gamma_m)/(4*b_UZ*'Hilfstabellen_Mat&amp;Bem'!$BC$24*'Hilfstabellen_Mat&amp;Bem'!$BC$22*k_mod)))
)/RUWE_UZ,0)*RUWE_UZ,200)</f>
        <v>440</v>
      </c>
      <c r="J34" s="468">
        <f ca="1">IFERROR(ROUNDUP((MAX(
SQRT((3*(1.35*(2*'Hilfstabellen_Mat&amp;Bem'!$D79+5*b_UZ/1000*J34/1000)+1.5*2*'Hilfstabellen_Mat&amp;Bem'!$E79)*((J$27*1000)^2)*gamma_m)/(4*b_UZ*k_mod*'Hilfstabellen_Mat&amp;Bem'!$BC$16)),
((3*(1.35*(2*'Hilfstabellen_Mat&amp;Bem'!$D79+5*b_UZ/1000*J34/1000)+1.5*2*'Hilfstabellen_Mat&amp;Bem'!$E79)*J$27*1000*gamma_m)/(4*b_UZ*'Hilfstabellen_Mat&amp;Bem'!$BC$24*'Hilfstabellen_Mat&amp;Bem'!$BC$22*k_mod)))
)/RUWE_UZ,0)*RUWE_UZ,200)</f>
        <v>480</v>
      </c>
      <c r="K34" s="468">
        <f ca="1">IFERROR(ROUNDUP((MAX(
SQRT((3*(1.35*(2*'Hilfstabellen_Mat&amp;Bem'!$D79+5*b_UZ/1000*K34/1000)+1.5*2*'Hilfstabellen_Mat&amp;Bem'!$E79)*((K$27*1000)^2)*gamma_m)/(4*b_UZ*k_mod*'Hilfstabellen_Mat&amp;Bem'!$BC$16)),
((3*(1.35*(2*'Hilfstabellen_Mat&amp;Bem'!$D79+5*b_UZ/1000*K34/1000)+1.5*2*'Hilfstabellen_Mat&amp;Bem'!$E79)*K$27*1000*gamma_m)/(4*b_UZ*'Hilfstabellen_Mat&amp;Bem'!$BC$24*'Hilfstabellen_Mat&amp;Bem'!$BC$22*k_mod)))
)/RUWE_UZ,0)*RUWE_UZ,200)</f>
        <v>520</v>
      </c>
      <c r="L34" s="468">
        <f ca="1">IFERROR(ROUNDUP((MAX(
SQRT((3*(1.35*(2*'Hilfstabellen_Mat&amp;Bem'!$D79+5*b_UZ/1000*L34/1000)+1.5*2*'Hilfstabellen_Mat&amp;Bem'!$E79)*((L$27*1000)^2)*gamma_m)/(4*b_UZ*k_mod*'Hilfstabellen_Mat&amp;Bem'!$BC$16)),
((3*(1.35*(2*'Hilfstabellen_Mat&amp;Bem'!$D79+5*b_UZ/1000*L34/1000)+1.5*2*'Hilfstabellen_Mat&amp;Bem'!$E79)*L$27*1000*gamma_m)/(4*b_UZ*'Hilfstabellen_Mat&amp;Bem'!$BC$24*'Hilfstabellen_Mat&amp;Bem'!$BC$22*k_mod)))
)/RUWE_UZ,0)*RUWE_UZ,200)</f>
        <v>560</v>
      </c>
      <c r="M34" s="468">
        <f ca="1">IFERROR(ROUNDUP((MAX(
SQRT((3*(1.35*(2*'Hilfstabellen_Mat&amp;Bem'!$D79+5*b_UZ/1000*M34/1000)+1.5*2*'Hilfstabellen_Mat&amp;Bem'!$E79)*((M$27*1000)^2)*gamma_m)/(4*b_UZ*k_mod*'Hilfstabellen_Mat&amp;Bem'!$BC$16)),
((3*(1.35*(2*'Hilfstabellen_Mat&amp;Bem'!$D79+5*b_UZ/1000*M34/1000)+1.5*2*'Hilfstabellen_Mat&amp;Bem'!$E79)*M$27*1000*gamma_m)/(4*b_UZ*'Hilfstabellen_Mat&amp;Bem'!$BC$24*'Hilfstabellen_Mat&amp;Bem'!$BC$22*k_mod)))
)/RUWE_UZ,0)*RUWE_UZ,200)</f>
        <v>560</v>
      </c>
      <c r="AU34" s="538"/>
      <c r="BW34" s="514"/>
    </row>
    <row r="35" spans="1:75" ht="15" customHeight="1" thickBot="1">
      <c r="A35" s="1458"/>
      <c r="B35" s="481">
        <f>'Hilfstabellen_Mat&amp;Bem'!$D58</f>
        <v>5</v>
      </c>
      <c r="C35" s="468">
        <f ca="1">IFERROR(ROUNDUP((MAX(
SQRT((3*(1.35*(2*'Hilfstabellen_Mat&amp;Bem'!$D80+5*b_UZ/1000*C35/1000)+1.5*2*'Hilfstabellen_Mat&amp;Bem'!$E80)*((C$27*1000)^2)*gamma_m)/(4*b_UZ*k_mod*'Hilfstabellen_Mat&amp;Bem'!$BC$16)),
((3*(1.35*(2*'Hilfstabellen_Mat&amp;Bem'!$D80+5*b_UZ/1000*C35/1000)+1.5*2*'Hilfstabellen_Mat&amp;Bem'!$E80)*C$27*1000*gamma_m)/(4*b_UZ*'Hilfstabellen_Mat&amp;Bem'!$BC$24*'Hilfstabellen_Mat&amp;Bem'!$BC$22*k_mod)))
)/RUWE_UZ,0)*RUWE_UZ,200)</f>
        <v>280</v>
      </c>
      <c r="D35" s="468">
        <f ca="1">IFERROR(ROUNDUP((MAX(
SQRT((3*(1.35*(2*'Hilfstabellen_Mat&amp;Bem'!$D80+5*b_UZ/1000*D35/1000)+1.5*2*'Hilfstabellen_Mat&amp;Bem'!$E80)*((D$27*1000)^2)*gamma_m)/(4*b_UZ*k_mod*'Hilfstabellen_Mat&amp;Bem'!$BC$16)),
((3*(1.35*(2*'Hilfstabellen_Mat&amp;Bem'!$D80+5*b_UZ/1000*D35/1000)+1.5*2*'Hilfstabellen_Mat&amp;Bem'!$E80)*D$27*1000*gamma_m)/(4*b_UZ*'Hilfstabellen_Mat&amp;Bem'!$BC$24*'Hilfstabellen_Mat&amp;Bem'!$BC$22*k_mod)))
)/RUWE_UZ,0)*RUWE_UZ,200)</f>
        <v>280</v>
      </c>
      <c r="E35" s="468">
        <f ca="1">IFERROR(ROUNDUP((MAX(
SQRT((3*(1.35*(2*'Hilfstabellen_Mat&amp;Bem'!$D80+5*b_UZ/1000*E35/1000)+1.5*2*'Hilfstabellen_Mat&amp;Bem'!$E80)*((E$27*1000)^2)*gamma_m)/(4*b_UZ*k_mod*'Hilfstabellen_Mat&amp;Bem'!$BC$16)),
((3*(1.35*(2*'Hilfstabellen_Mat&amp;Bem'!$D80+5*b_UZ/1000*E35/1000)+1.5*2*'Hilfstabellen_Mat&amp;Bem'!$E80)*E$27*1000*gamma_m)/(4*b_UZ*'Hilfstabellen_Mat&amp;Bem'!$BC$24*'Hilfstabellen_Mat&amp;Bem'!$BC$22*k_mod)))
)/RUWE_UZ,0)*RUWE_UZ,200)</f>
        <v>320</v>
      </c>
      <c r="F35" s="468">
        <f ca="1">IFERROR(ROUNDUP((MAX(
SQRT((3*(1.35*(2*'Hilfstabellen_Mat&amp;Bem'!$D80+5*b_UZ/1000*F35/1000)+1.5*2*'Hilfstabellen_Mat&amp;Bem'!$E80)*((F$27*1000)^2)*gamma_m)/(4*b_UZ*k_mod*'Hilfstabellen_Mat&amp;Bem'!$BC$16)),
((3*(1.35*(2*'Hilfstabellen_Mat&amp;Bem'!$D80+5*b_UZ/1000*F35/1000)+1.5*2*'Hilfstabellen_Mat&amp;Bem'!$E80)*F$27*1000*gamma_m)/(4*b_UZ*'Hilfstabellen_Mat&amp;Bem'!$BC$24*'Hilfstabellen_Mat&amp;Bem'!$BC$22*k_mod)))
)/RUWE_UZ,0)*RUWE_UZ,200)</f>
        <v>320</v>
      </c>
      <c r="G35" s="468">
        <f ca="1">IFERROR(ROUNDUP((MAX(
SQRT((3*(1.35*(2*'Hilfstabellen_Mat&amp;Bem'!$D80+5*b_UZ/1000*G35/1000)+1.5*2*'Hilfstabellen_Mat&amp;Bem'!$E80)*((G$27*1000)^2)*gamma_m)/(4*b_UZ*k_mod*'Hilfstabellen_Mat&amp;Bem'!$BC$16)),
((3*(1.35*(2*'Hilfstabellen_Mat&amp;Bem'!$D80+5*b_UZ/1000*G35/1000)+1.5*2*'Hilfstabellen_Mat&amp;Bem'!$E80)*G$27*1000*gamma_m)/(4*b_UZ*'Hilfstabellen_Mat&amp;Bem'!$BC$24*'Hilfstabellen_Mat&amp;Bem'!$BC$22*k_mod)))
)/RUWE_UZ,0)*RUWE_UZ,200)</f>
        <v>360</v>
      </c>
      <c r="H35" s="468">
        <f ca="1">IFERROR(ROUNDUP((MAX(
SQRT((3*(1.35*(2*'Hilfstabellen_Mat&amp;Bem'!$D80+5*b_UZ/1000*H35/1000)+1.5*2*'Hilfstabellen_Mat&amp;Bem'!$E80)*((H$27*1000)^2)*gamma_m)/(4*b_UZ*k_mod*'Hilfstabellen_Mat&amp;Bem'!$BC$16)),
((3*(1.35*(2*'Hilfstabellen_Mat&amp;Bem'!$D80+5*b_UZ/1000*H35/1000)+1.5*2*'Hilfstabellen_Mat&amp;Bem'!$E80)*H$27*1000*gamma_m)/(4*b_UZ*'Hilfstabellen_Mat&amp;Bem'!$BC$24*'Hilfstabellen_Mat&amp;Bem'!$BC$22*k_mod)))
)/RUWE_UZ,0)*RUWE_UZ,200)</f>
        <v>400</v>
      </c>
      <c r="I35" s="468">
        <f ca="1">IFERROR(ROUNDUP((MAX(
SQRT((3*(1.35*(2*'Hilfstabellen_Mat&amp;Bem'!$D80+5*b_UZ/1000*I35/1000)+1.5*2*'Hilfstabellen_Mat&amp;Bem'!$E80)*((I$27*1000)^2)*gamma_m)/(4*b_UZ*k_mod*'Hilfstabellen_Mat&amp;Bem'!$BC$16)),
((3*(1.35*(2*'Hilfstabellen_Mat&amp;Bem'!$D80+5*b_UZ/1000*I35/1000)+1.5*2*'Hilfstabellen_Mat&amp;Bem'!$E80)*I$27*1000*gamma_m)/(4*b_UZ*'Hilfstabellen_Mat&amp;Bem'!$BC$24*'Hilfstabellen_Mat&amp;Bem'!$BC$22*k_mod)))
)/RUWE_UZ,0)*RUWE_UZ,200)</f>
        <v>480</v>
      </c>
      <c r="J35" s="468">
        <f ca="1">IFERROR(ROUNDUP((MAX(
SQRT((3*(1.35*(2*'Hilfstabellen_Mat&amp;Bem'!$D80+5*b_UZ/1000*J35/1000)+1.5*2*'Hilfstabellen_Mat&amp;Bem'!$E80)*((J$27*1000)^2)*gamma_m)/(4*b_UZ*k_mod*'Hilfstabellen_Mat&amp;Bem'!$BC$16)),
((3*(1.35*(2*'Hilfstabellen_Mat&amp;Bem'!$D80+5*b_UZ/1000*J35/1000)+1.5*2*'Hilfstabellen_Mat&amp;Bem'!$E80)*J$27*1000*gamma_m)/(4*b_UZ*'Hilfstabellen_Mat&amp;Bem'!$BC$24*'Hilfstabellen_Mat&amp;Bem'!$BC$22*k_mod)))
)/RUWE_UZ,0)*RUWE_UZ,200)</f>
        <v>520</v>
      </c>
      <c r="K35" s="468">
        <f ca="1">IFERROR(ROUNDUP((MAX(
SQRT((3*(1.35*(2*'Hilfstabellen_Mat&amp;Bem'!$D80+5*b_UZ/1000*K35/1000)+1.5*2*'Hilfstabellen_Mat&amp;Bem'!$E80)*((K$27*1000)^2)*gamma_m)/(4*b_UZ*k_mod*'Hilfstabellen_Mat&amp;Bem'!$BC$16)),
((3*(1.35*(2*'Hilfstabellen_Mat&amp;Bem'!$D80+5*b_UZ/1000*K35/1000)+1.5*2*'Hilfstabellen_Mat&amp;Bem'!$E80)*K$27*1000*gamma_m)/(4*b_UZ*'Hilfstabellen_Mat&amp;Bem'!$BC$24*'Hilfstabellen_Mat&amp;Bem'!$BC$22*k_mod)))
)/RUWE_UZ,0)*RUWE_UZ,200)</f>
        <v>560</v>
      </c>
      <c r="L35" s="468">
        <f ca="1">IFERROR(ROUNDUP((MAX(
SQRT((3*(1.35*(2*'Hilfstabellen_Mat&amp;Bem'!$D80+5*b_UZ/1000*L35/1000)+1.5*2*'Hilfstabellen_Mat&amp;Bem'!$E80)*((L$27*1000)^2)*gamma_m)/(4*b_UZ*k_mod*'Hilfstabellen_Mat&amp;Bem'!$BC$16)),
((3*(1.35*(2*'Hilfstabellen_Mat&amp;Bem'!$D80+5*b_UZ/1000*L35/1000)+1.5*2*'Hilfstabellen_Mat&amp;Bem'!$E80)*L$27*1000*gamma_m)/(4*b_UZ*'Hilfstabellen_Mat&amp;Bem'!$BC$24*'Hilfstabellen_Mat&amp;Bem'!$BC$22*k_mod)))
)/RUWE_UZ,0)*RUWE_UZ,200)</f>
        <v>600</v>
      </c>
      <c r="M35" s="468">
        <f ca="1">IFERROR(ROUNDUP((MAX(
SQRT((3*(1.35*(2*'Hilfstabellen_Mat&amp;Bem'!$D80+5*b_UZ/1000*M35/1000)+1.5*2*'Hilfstabellen_Mat&amp;Bem'!$E80)*((M$27*1000)^2)*gamma_m)/(4*b_UZ*k_mod*'Hilfstabellen_Mat&amp;Bem'!$BC$16)),
((3*(1.35*(2*'Hilfstabellen_Mat&amp;Bem'!$D80+5*b_UZ/1000*M35/1000)+1.5*2*'Hilfstabellen_Mat&amp;Bem'!$E80)*M$27*1000*gamma_m)/(4*b_UZ*'Hilfstabellen_Mat&amp;Bem'!$BC$24*'Hilfstabellen_Mat&amp;Bem'!$BC$22*k_mod)))
)/RUWE_UZ,0)*RUWE_UZ,200)</f>
        <v>600</v>
      </c>
      <c r="AU35" s="565"/>
      <c r="AV35" s="478"/>
      <c r="AW35" s="478"/>
      <c r="AX35" s="478"/>
      <c r="AY35" s="478"/>
      <c r="AZ35" s="478"/>
      <c r="BA35" s="478"/>
      <c r="BB35" s="478"/>
      <c r="BC35" s="478"/>
      <c r="BD35" s="478"/>
      <c r="BE35" s="478"/>
      <c r="BF35" s="478"/>
      <c r="BG35" s="478"/>
      <c r="BH35" s="478"/>
      <c r="BI35" s="478"/>
      <c r="BJ35" s="478"/>
      <c r="BK35" s="478"/>
      <c r="BL35" s="478"/>
      <c r="BM35" s="478"/>
      <c r="BN35" s="478"/>
      <c r="BO35" s="478"/>
      <c r="BP35" s="478"/>
      <c r="BQ35" s="478"/>
      <c r="BR35" s="478"/>
      <c r="BS35" s="478"/>
      <c r="BT35" s="478"/>
      <c r="BU35" s="478"/>
      <c r="BV35" s="478"/>
      <c r="BW35" s="526"/>
    </row>
    <row r="36" spans="1:75" ht="15" customHeight="1">
      <c r="A36" s="1458"/>
      <c r="B36" s="481">
        <f>'Hilfstabellen_Mat&amp;Bem'!$D59</f>
        <v>5.3</v>
      </c>
      <c r="C36" s="468">
        <f ca="1">IFERROR(ROUNDUP((MAX(
SQRT((3*(1.35*(2*'Hilfstabellen_Mat&amp;Bem'!$D81+5*b_UZ/1000*C36/1000)+1.5*2*'Hilfstabellen_Mat&amp;Bem'!$E81)*((C$27*1000)^2)*gamma_m)/(4*b_UZ*k_mod*'Hilfstabellen_Mat&amp;Bem'!$BC$16)),
((3*(1.35*(2*'Hilfstabellen_Mat&amp;Bem'!$D81+5*b_UZ/1000*C36/1000)+1.5*2*'Hilfstabellen_Mat&amp;Bem'!$E81)*C$27*1000*gamma_m)/(4*b_UZ*'Hilfstabellen_Mat&amp;Bem'!$BC$24*'Hilfstabellen_Mat&amp;Bem'!$BC$22*k_mod)))
)/RUWE_UZ,0)*RUWE_UZ,200)</f>
        <v>280</v>
      </c>
      <c r="D36" s="468">
        <f ca="1">IFERROR(ROUNDUP((MAX(
SQRT((3*(1.35*(2*'Hilfstabellen_Mat&amp;Bem'!$D81+5*b_UZ/1000*D36/1000)+1.5*2*'Hilfstabellen_Mat&amp;Bem'!$E81)*((D$27*1000)^2)*gamma_m)/(4*b_UZ*k_mod*'Hilfstabellen_Mat&amp;Bem'!$BC$16)),
((3*(1.35*(2*'Hilfstabellen_Mat&amp;Bem'!$D81+5*b_UZ/1000*D36/1000)+1.5*2*'Hilfstabellen_Mat&amp;Bem'!$E81)*D$27*1000*gamma_m)/(4*b_UZ*'Hilfstabellen_Mat&amp;Bem'!$BC$24*'Hilfstabellen_Mat&amp;Bem'!$BC$22*k_mod)))
)/RUWE_UZ,0)*RUWE_UZ,200)</f>
        <v>280</v>
      </c>
      <c r="E36" s="468">
        <f ca="1">IFERROR(ROUNDUP((MAX(
SQRT((3*(1.35*(2*'Hilfstabellen_Mat&amp;Bem'!$D81+5*b_UZ/1000*E36/1000)+1.5*2*'Hilfstabellen_Mat&amp;Bem'!$E81)*((E$27*1000)^2)*gamma_m)/(4*b_UZ*k_mod*'Hilfstabellen_Mat&amp;Bem'!$BC$16)),
((3*(1.35*(2*'Hilfstabellen_Mat&amp;Bem'!$D81+5*b_UZ/1000*E36/1000)+1.5*2*'Hilfstabellen_Mat&amp;Bem'!$E81)*E$27*1000*gamma_m)/(4*b_UZ*'Hilfstabellen_Mat&amp;Bem'!$BC$24*'Hilfstabellen_Mat&amp;Bem'!$BC$22*k_mod)))
)/RUWE_UZ,0)*RUWE_UZ,200)</f>
        <v>320</v>
      </c>
      <c r="F36" s="468">
        <f ca="1">IFERROR(ROUNDUP((MAX(
SQRT((3*(1.35*(2*'Hilfstabellen_Mat&amp;Bem'!$D81+5*b_UZ/1000*F36/1000)+1.5*2*'Hilfstabellen_Mat&amp;Bem'!$E81)*((F$27*1000)^2)*gamma_m)/(4*b_UZ*k_mod*'Hilfstabellen_Mat&amp;Bem'!$BC$16)),
((3*(1.35*(2*'Hilfstabellen_Mat&amp;Bem'!$D81+5*b_UZ/1000*F36/1000)+1.5*2*'Hilfstabellen_Mat&amp;Bem'!$E81)*F$27*1000*gamma_m)/(4*b_UZ*'Hilfstabellen_Mat&amp;Bem'!$BC$24*'Hilfstabellen_Mat&amp;Bem'!$BC$22*k_mod)))
)/RUWE_UZ,0)*RUWE_UZ,200)</f>
        <v>320</v>
      </c>
      <c r="G36" s="468">
        <f ca="1">IFERROR(ROUNDUP((MAX(
SQRT((3*(1.35*(2*'Hilfstabellen_Mat&amp;Bem'!$D81+5*b_UZ/1000*G36/1000)+1.5*2*'Hilfstabellen_Mat&amp;Bem'!$E81)*((G$27*1000)^2)*gamma_m)/(4*b_UZ*k_mod*'Hilfstabellen_Mat&amp;Bem'!$BC$16)),
((3*(1.35*(2*'Hilfstabellen_Mat&amp;Bem'!$D81+5*b_UZ/1000*G36/1000)+1.5*2*'Hilfstabellen_Mat&amp;Bem'!$E81)*G$27*1000*gamma_m)/(4*b_UZ*'Hilfstabellen_Mat&amp;Bem'!$BC$24*'Hilfstabellen_Mat&amp;Bem'!$BC$22*k_mod)))
)/RUWE_UZ,0)*RUWE_UZ,200)</f>
        <v>360</v>
      </c>
      <c r="H36" s="468">
        <f ca="1">IFERROR(ROUNDUP((MAX(
SQRT((3*(1.35*(2*'Hilfstabellen_Mat&amp;Bem'!$D81+5*b_UZ/1000*H36/1000)+1.5*2*'Hilfstabellen_Mat&amp;Bem'!$E81)*((H$27*1000)^2)*gamma_m)/(4*b_UZ*k_mod*'Hilfstabellen_Mat&amp;Bem'!$BC$16)),
((3*(1.35*(2*'Hilfstabellen_Mat&amp;Bem'!$D81+5*b_UZ/1000*H36/1000)+1.5*2*'Hilfstabellen_Mat&amp;Bem'!$E81)*H$27*1000*gamma_m)/(4*b_UZ*'Hilfstabellen_Mat&amp;Bem'!$BC$24*'Hilfstabellen_Mat&amp;Bem'!$BC$22*k_mod)))
)/RUWE_UZ,0)*RUWE_UZ,200)</f>
        <v>440</v>
      </c>
      <c r="I36" s="468">
        <f ca="1">IFERROR(ROUNDUP((MAX(
SQRT((3*(1.35*(2*'Hilfstabellen_Mat&amp;Bem'!$D81+5*b_UZ/1000*I36/1000)+1.5*2*'Hilfstabellen_Mat&amp;Bem'!$E81)*((I$27*1000)^2)*gamma_m)/(4*b_UZ*k_mod*'Hilfstabellen_Mat&amp;Bem'!$BC$16)),
((3*(1.35*(2*'Hilfstabellen_Mat&amp;Bem'!$D81+5*b_UZ/1000*I36/1000)+1.5*2*'Hilfstabellen_Mat&amp;Bem'!$E81)*I$27*1000*gamma_m)/(4*b_UZ*'Hilfstabellen_Mat&amp;Bem'!$BC$24*'Hilfstabellen_Mat&amp;Bem'!$BC$22*k_mod)))
)/RUWE_UZ,0)*RUWE_UZ,200)</f>
        <v>480</v>
      </c>
      <c r="J36" s="468">
        <f ca="1">IFERROR(ROUNDUP((MAX(
SQRT((3*(1.35*(2*'Hilfstabellen_Mat&amp;Bem'!$D81+5*b_UZ/1000*J36/1000)+1.5*2*'Hilfstabellen_Mat&amp;Bem'!$E81)*((J$27*1000)^2)*gamma_m)/(4*b_UZ*k_mod*'Hilfstabellen_Mat&amp;Bem'!$BC$16)),
((3*(1.35*(2*'Hilfstabellen_Mat&amp;Bem'!$D81+5*b_UZ/1000*J36/1000)+1.5*2*'Hilfstabellen_Mat&amp;Bem'!$E81)*J$27*1000*gamma_m)/(4*b_UZ*'Hilfstabellen_Mat&amp;Bem'!$BC$24*'Hilfstabellen_Mat&amp;Bem'!$BC$22*k_mod)))
)/RUWE_UZ,0)*RUWE_UZ,200)</f>
        <v>520</v>
      </c>
      <c r="K36" s="468">
        <f ca="1">IFERROR(ROUNDUP((MAX(
SQRT((3*(1.35*(2*'Hilfstabellen_Mat&amp;Bem'!$D81+5*b_UZ/1000*K36/1000)+1.5*2*'Hilfstabellen_Mat&amp;Bem'!$E81)*((K$27*1000)^2)*gamma_m)/(4*b_UZ*k_mod*'Hilfstabellen_Mat&amp;Bem'!$BC$16)),
((3*(1.35*(2*'Hilfstabellen_Mat&amp;Bem'!$D81+5*b_UZ/1000*K36/1000)+1.5*2*'Hilfstabellen_Mat&amp;Bem'!$E81)*K$27*1000*gamma_m)/(4*b_UZ*'Hilfstabellen_Mat&amp;Bem'!$BC$24*'Hilfstabellen_Mat&amp;Bem'!$BC$22*k_mod)))
)/RUWE_UZ,0)*RUWE_UZ,200)</f>
        <v>560</v>
      </c>
      <c r="L36" s="468">
        <f ca="1">IFERROR(ROUNDUP((MAX(
SQRT((3*(1.35*(2*'Hilfstabellen_Mat&amp;Bem'!$D81+5*b_UZ/1000*L36/1000)+1.5*2*'Hilfstabellen_Mat&amp;Bem'!$E81)*((L$27*1000)^2)*gamma_m)/(4*b_UZ*k_mod*'Hilfstabellen_Mat&amp;Bem'!$BC$16)),
((3*(1.35*(2*'Hilfstabellen_Mat&amp;Bem'!$D81+5*b_UZ/1000*L36/1000)+1.5*2*'Hilfstabellen_Mat&amp;Bem'!$E81)*L$27*1000*gamma_m)/(4*b_UZ*'Hilfstabellen_Mat&amp;Bem'!$BC$24*'Hilfstabellen_Mat&amp;Bem'!$BC$22*k_mod)))
)/RUWE_UZ,0)*RUWE_UZ,200)</f>
        <v>600</v>
      </c>
      <c r="M36" s="468">
        <f ca="1">IFERROR(ROUNDUP((MAX(
SQRT((3*(1.35*(2*'Hilfstabellen_Mat&amp;Bem'!$D81+5*b_UZ/1000*M36/1000)+1.5*2*'Hilfstabellen_Mat&amp;Bem'!$E81)*((M$27*1000)^2)*gamma_m)/(4*b_UZ*k_mod*'Hilfstabellen_Mat&amp;Bem'!$BC$16)),
((3*(1.35*(2*'Hilfstabellen_Mat&amp;Bem'!$D81+5*b_UZ/1000*M36/1000)+1.5*2*'Hilfstabellen_Mat&amp;Bem'!$E81)*M$27*1000*gamma_m)/(4*b_UZ*'Hilfstabellen_Mat&amp;Bem'!$BC$24*'Hilfstabellen_Mat&amp;Bem'!$BC$22*k_mod)))
)/RUWE_UZ,0)*RUWE_UZ,200)</f>
        <v>640</v>
      </c>
    </row>
    <row r="37" spans="1:75" ht="15" customHeight="1">
      <c r="A37" s="1458"/>
      <c r="B37" s="481">
        <f>'Hilfstabellen_Mat&amp;Bem'!$D60</f>
        <v>5.7</v>
      </c>
      <c r="C37" s="468">
        <f ca="1">IFERROR(ROUNDUP((MAX(
SQRT((3*(1.35*(2*'Hilfstabellen_Mat&amp;Bem'!$D82+5*b_UZ/1000*C37/1000)+1.5*2*'Hilfstabellen_Mat&amp;Bem'!$E82)*((C$27*1000)^2)*gamma_m)/(4*b_UZ*k_mod*'Hilfstabellen_Mat&amp;Bem'!$BC$16)),
((3*(1.35*(2*'Hilfstabellen_Mat&amp;Bem'!$D82+5*b_UZ/1000*C37/1000)+1.5*2*'Hilfstabellen_Mat&amp;Bem'!$E82)*C$27*1000*gamma_m)/(4*b_UZ*'Hilfstabellen_Mat&amp;Bem'!$BC$24*'Hilfstabellen_Mat&amp;Bem'!$BC$22*k_mod)))
)/RUWE_UZ,0)*RUWE_UZ,200)</f>
        <v>280</v>
      </c>
      <c r="D37" s="468">
        <f ca="1">IFERROR(ROUNDUP((MAX(
SQRT((3*(1.35*(2*'Hilfstabellen_Mat&amp;Bem'!$D82+5*b_UZ/1000*D37/1000)+1.5*2*'Hilfstabellen_Mat&amp;Bem'!$E82)*((D$27*1000)^2)*gamma_m)/(4*b_UZ*k_mod*'Hilfstabellen_Mat&amp;Bem'!$BC$16)),
((3*(1.35*(2*'Hilfstabellen_Mat&amp;Bem'!$D82+5*b_UZ/1000*D37/1000)+1.5*2*'Hilfstabellen_Mat&amp;Bem'!$E82)*D$27*1000*gamma_m)/(4*b_UZ*'Hilfstabellen_Mat&amp;Bem'!$BC$24*'Hilfstabellen_Mat&amp;Bem'!$BC$22*k_mod)))
)/RUWE_UZ,0)*RUWE_UZ,200)</f>
        <v>280</v>
      </c>
      <c r="E37" s="468">
        <f ca="1">IFERROR(ROUNDUP((MAX(
SQRT((3*(1.35*(2*'Hilfstabellen_Mat&amp;Bem'!$D82+5*b_UZ/1000*E37/1000)+1.5*2*'Hilfstabellen_Mat&amp;Bem'!$E82)*((E$27*1000)^2)*gamma_m)/(4*b_UZ*k_mod*'Hilfstabellen_Mat&amp;Bem'!$BC$16)),
((3*(1.35*(2*'Hilfstabellen_Mat&amp;Bem'!$D82+5*b_UZ/1000*E37/1000)+1.5*2*'Hilfstabellen_Mat&amp;Bem'!$E82)*E$27*1000*gamma_m)/(4*b_UZ*'Hilfstabellen_Mat&amp;Bem'!$BC$24*'Hilfstabellen_Mat&amp;Bem'!$BC$22*k_mod)))
)/RUWE_UZ,0)*RUWE_UZ,200)</f>
        <v>320</v>
      </c>
      <c r="F37" s="468">
        <f ca="1">IFERROR(ROUNDUP((MAX(
SQRT((3*(1.35*(2*'Hilfstabellen_Mat&amp;Bem'!$D82+5*b_UZ/1000*F37/1000)+1.5*2*'Hilfstabellen_Mat&amp;Bem'!$E82)*((F$27*1000)^2)*gamma_m)/(4*b_UZ*k_mod*'Hilfstabellen_Mat&amp;Bem'!$BC$16)),
((3*(1.35*(2*'Hilfstabellen_Mat&amp;Bem'!$D82+5*b_UZ/1000*F37/1000)+1.5*2*'Hilfstabellen_Mat&amp;Bem'!$E82)*F$27*1000*gamma_m)/(4*b_UZ*'Hilfstabellen_Mat&amp;Bem'!$BC$24*'Hilfstabellen_Mat&amp;Bem'!$BC$22*k_mod)))
)/RUWE_UZ,0)*RUWE_UZ,200)</f>
        <v>320</v>
      </c>
      <c r="G37" s="468">
        <f ca="1">IFERROR(ROUNDUP((MAX(
SQRT((3*(1.35*(2*'Hilfstabellen_Mat&amp;Bem'!$D82+5*b_UZ/1000*G37/1000)+1.5*2*'Hilfstabellen_Mat&amp;Bem'!$E82)*((G$27*1000)^2)*gamma_m)/(4*b_UZ*k_mod*'Hilfstabellen_Mat&amp;Bem'!$BC$16)),
((3*(1.35*(2*'Hilfstabellen_Mat&amp;Bem'!$D82+5*b_UZ/1000*G37/1000)+1.5*2*'Hilfstabellen_Mat&amp;Bem'!$E82)*G$27*1000*gamma_m)/(4*b_UZ*'Hilfstabellen_Mat&amp;Bem'!$BC$24*'Hilfstabellen_Mat&amp;Bem'!$BC$22*k_mod)))
)/RUWE_UZ,0)*RUWE_UZ,200)</f>
        <v>400</v>
      </c>
      <c r="H37" s="468">
        <f ca="1">IFERROR(ROUNDUP((MAX(
SQRT((3*(1.35*(2*'Hilfstabellen_Mat&amp;Bem'!$D82+5*b_UZ/1000*H37/1000)+1.5*2*'Hilfstabellen_Mat&amp;Bem'!$E82)*((H$27*1000)^2)*gamma_m)/(4*b_UZ*k_mod*'Hilfstabellen_Mat&amp;Bem'!$BC$16)),
((3*(1.35*(2*'Hilfstabellen_Mat&amp;Bem'!$D82+5*b_UZ/1000*H37/1000)+1.5*2*'Hilfstabellen_Mat&amp;Bem'!$E82)*H$27*1000*gamma_m)/(4*b_UZ*'Hilfstabellen_Mat&amp;Bem'!$BC$24*'Hilfstabellen_Mat&amp;Bem'!$BC$22*k_mod)))
)/RUWE_UZ,0)*RUWE_UZ,200)</f>
        <v>440</v>
      </c>
      <c r="I37" s="468">
        <f ca="1">IFERROR(ROUNDUP((MAX(
SQRT((3*(1.35*(2*'Hilfstabellen_Mat&amp;Bem'!$D82+5*b_UZ/1000*I37/1000)+1.5*2*'Hilfstabellen_Mat&amp;Bem'!$E82)*((I$27*1000)^2)*gamma_m)/(4*b_UZ*k_mod*'Hilfstabellen_Mat&amp;Bem'!$BC$16)),
((3*(1.35*(2*'Hilfstabellen_Mat&amp;Bem'!$D82+5*b_UZ/1000*I37/1000)+1.5*2*'Hilfstabellen_Mat&amp;Bem'!$E82)*I$27*1000*gamma_m)/(4*b_UZ*'Hilfstabellen_Mat&amp;Bem'!$BC$24*'Hilfstabellen_Mat&amp;Bem'!$BC$22*k_mod)))
)/RUWE_UZ,0)*RUWE_UZ,200)</f>
        <v>480</v>
      </c>
      <c r="J37" s="468">
        <f ca="1">IFERROR(ROUNDUP((MAX(
SQRT((3*(1.35*(2*'Hilfstabellen_Mat&amp;Bem'!$D82+5*b_UZ/1000*J37/1000)+1.5*2*'Hilfstabellen_Mat&amp;Bem'!$E82)*((J$27*1000)^2)*gamma_m)/(4*b_UZ*k_mod*'Hilfstabellen_Mat&amp;Bem'!$BC$16)),
((3*(1.35*(2*'Hilfstabellen_Mat&amp;Bem'!$D82+5*b_UZ/1000*J37/1000)+1.5*2*'Hilfstabellen_Mat&amp;Bem'!$E82)*J$27*1000*gamma_m)/(4*b_UZ*'Hilfstabellen_Mat&amp;Bem'!$BC$24*'Hilfstabellen_Mat&amp;Bem'!$BC$22*k_mod)))
)/RUWE_UZ,0)*RUWE_UZ,200)</f>
        <v>520</v>
      </c>
      <c r="K37" s="468">
        <f ca="1">IFERROR(ROUNDUP((MAX(
SQRT((3*(1.35*(2*'Hilfstabellen_Mat&amp;Bem'!$D82+5*b_UZ/1000*K37/1000)+1.5*2*'Hilfstabellen_Mat&amp;Bem'!$E82)*((K$27*1000)^2)*gamma_m)/(4*b_UZ*k_mod*'Hilfstabellen_Mat&amp;Bem'!$BC$16)),
((3*(1.35*(2*'Hilfstabellen_Mat&amp;Bem'!$D82+5*b_UZ/1000*K37/1000)+1.5*2*'Hilfstabellen_Mat&amp;Bem'!$E82)*K$27*1000*gamma_m)/(4*b_UZ*'Hilfstabellen_Mat&amp;Bem'!$BC$24*'Hilfstabellen_Mat&amp;Bem'!$BC$22*k_mod)))
)/RUWE_UZ,0)*RUWE_UZ,200)</f>
        <v>560</v>
      </c>
      <c r="L37" s="468">
        <f ca="1">IFERROR(ROUNDUP((MAX(
SQRT((3*(1.35*(2*'Hilfstabellen_Mat&amp;Bem'!$D82+5*b_UZ/1000*L37/1000)+1.5*2*'Hilfstabellen_Mat&amp;Bem'!$E82)*((L$27*1000)^2)*gamma_m)/(4*b_UZ*k_mod*'Hilfstabellen_Mat&amp;Bem'!$BC$16)),
((3*(1.35*(2*'Hilfstabellen_Mat&amp;Bem'!$D82+5*b_UZ/1000*L37/1000)+1.5*2*'Hilfstabellen_Mat&amp;Bem'!$E82)*L$27*1000*gamma_m)/(4*b_UZ*'Hilfstabellen_Mat&amp;Bem'!$BC$24*'Hilfstabellen_Mat&amp;Bem'!$BC$22*k_mod)))
)/RUWE_UZ,0)*RUWE_UZ,200)</f>
        <v>600</v>
      </c>
      <c r="M37" s="468">
        <f ca="1">IFERROR(ROUNDUP((MAX(
SQRT((3*(1.35*(2*'Hilfstabellen_Mat&amp;Bem'!$D82+5*b_UZ/1000*M37/1000)+1.5*2*'Hilfstabellen_Mat&amp;Bem'!$E82)*((M$27*1000)^2)*gamma_m)/(4*b_UZ*k_mod*'Hilfstabellen_Mat&amp;Bem'!$BC$16)),
((3*(1.35*(2*'Hilfstabellen_Mat&amp;Bem'!$D82+5*b_UZ/1000*M37/1000)+1.5*2*'Hilfstabellen_Mat&amp;Bem'!$E82)*M$27*1000*gamma_m)/(4*b_UZ*'Hilfstabellen_Mat&amp;Bem'!$BC$24*'Hilfstabellen_Mat&amp;Bem'!$BC$22*k_mod)))
)/RUWE_UZ,0)*RUWE_UZ,200)</f>
        <v>640</v>
      </c>
    </row>
    <row r="38" spans="1:75" ht="15" customHeight="1">
      <c r="A38" s="1458"/>
      <c r="B38" s="481">
        <f>'Hilfstabellen_Mat&amp;Bem'!$D61</f>
        <v>6</v>
      </c>
      <c r="C38" s="468">
        <f ca="1">IFERROR(ROUNDUP((MAX(
SQRT((3*(1.35*(2*'Hilfstabellen_Mat&amp;Bem'!$D83+5*b_UZ/1000*C38/1000)+1.5*2*'Hilfstabellen_Mat&amp;Bem'!$E83)*((C$27*1000)^2)*gamma_m)/(4*b_UZ*k_mod*'Hilfstabellen_Mat&amp;Bem'!$BC$16)),
((3*(1.35*(2*'Hilfstabellen_Mat&amp;Bem'!$D83+5*b_UZ/1000*C38/1000)+1.5*2*'Hilfstabellen_Mat&amp;Bem'!$E83)*C$27*1000*gamma_m)/(4*b_UZ*'Hilfstabellen_Mat&amp;Bem'!$BC$24*'Hilfstabellen_Mat&amp;Bem'!$BC$22*k_mod)))
)/RUWE_UZ,0)*RUWE_UZ,200)</f>
        <v>280</v>
      </c>
      <c r="D38" s="468">
        <f ca="1">IFERROR(ROUNDUP((MAX(
SQRT((3*(1.35*(2*'Hilfstabellen_Mat&amp;Bem'!$D83+5*b_UZ/1000*D38/1000)+1.5*2*'Hilfstabellen_Mat&amp;Bem'!$E83)*((D$27*1000)^2)*gamma_m)/(4*b_UZ*k_mod*'Hilfstabellen_Mat&amp;Bem'!$BC$16)),
((3*(1.35*(2*'Hilfstabellen_Mat&amp;Bem'!$D83+5*b_UZ/1000*D38/1000)+1.5*2*'Hilfstabellen_Mat&amp;Bem'!$E83)*D$27*1000*gamma_m)/(4*b_UZ*'Hilfstabellen_Mat&amp;Bem'!$BC$24*'Hilfstabellen_Mat&amp;Bem'!$BC$22*k_mod)))
)/RUWE_UZ,0)*RUWE_UZ,200)</f>
        <v>320</v>
      </c>
      <c r="E38" s="468">
        <f ca="1">IFERROR(ROUNDUP((MAX(
SQRT((3*(1.35*(2*'Hilfstabellen_Mat&amp;Bem'!$D83+5*b_UZ/1000*E38/1000)+1.5*2*'Hilfstabellen_Mat&amp;Bem'!$E83)*((E$27*1000)^2)*gamma_m)/(4*b_UZ*k_mod*'Hilfstabellen_Mat&amp;Bem'!$BC$16)),
((3*(1.35*(2*'Hilfstabellen_Mat&amp;Bem'!$D83+5*b_UZ/1000*E38/1000)+1.5*2*'Hilfstabellen_Mat&amp;Bem'!$E83)*E$27*1000*gamma_m)/(4*b_UZ*'Hilfstabellen_Mat&amp;Bem'!$BC$24*'Hilfstabellen_Mat&amp;Bem'!$BC$22*k_mod)))
)/RUWE_UZ,0)*RUWE_UZ,200)</f>
        <v>320</v>
      </c>
      <c r="F38" s="468">
        <f ca="1">IFERROR(ROUNDUP((MAX(
SQRT((3*(1.35*(2*'Hilfstabellen_Mat&amp;Bem'!$D83+5*b_UZ/1000*F38/1000)+1.5*2*'Hilfstabellen_Mat&amp;Bem'!$E83)*((F$27*1000)^2)*gamma_m)/(4*b_UZ*k_mod*'Hilfstabellen_Mat&amp;Bem'!$BC$16)),
((3*(1.35*(2*'Hilfstabellen_Mat&amp;Bem'!$D83+5*b_UZ/1000*F38/1000)+1.5*2*'Hilfstabellen_Mat&amp;Bem'!$E83)*F$27*1000*gamma_m)/(4*b_UZ*'Hilfstabellen_Mat&amp;Bem'!$BC$24*'Hilfstabellen_Mat&amp;Bem'!$BC$22*k_mod)))
)/RUWE_UZ,0)*RUWE_UZ,200)</f>
        <v>360</v>
      </c>
      <c r="G38" s="468">
        <f ca="1">IFERROR(ROUNDUP((MAX(
SQRT((3*(1.35*(2*'Hilfstabellen_Mat&amp;Bem'!$D83+5*b_UZ/1000*G38/1000)+1.5*2*'Hilfstabellen_Mat&amp;Bem'!$E83)*((G$27*1000)^2)*gamma_m)/(4*b_UZ*k_mod*'Hilfstabellen_Mat&amp;Bem'!$BC$16)),
((3*(1.35*(2*'Hilfstabellen_Mat&amp;Bem'!$D83+5*b_UZ/1000*G38/1000)+1.5*2*'Hilfstabellen_Mat&amp;Bem'!$E83)*G$27*1000*gamma_m)/(4*b_UZ*'Hilfstabellen_Mat&amp;Bem'!$BC$24*'Hilfstabellen_Mat&amp;Bem'!$BC$22*k_mod)))
)/RUWE_UZ,0)*RUWE_UZ,200)</f>
        <v>400</v>
      </c>
      <c r="H38" s="468">
        <f ca="1">IFERROR(ROUNDUP((MAX(
SQRT((3*(1.35*(2*'Hilfstabellen_Mat&amp;Bem'!$D83+5*b_UZ/1000*H38/1000)+1.5*2*'Hilfstabellen_Mat&amp;Bem'!$E83)*((H$27*1000)^2)*gamma_m)/(4*b_UZ*k_mod*'Hilfstabellen_Mat&amp;Bem'!$BC$16)),
((3*(1.35*(2*'Hilfstabellen_Mat&amp;Bem'!$D83+5*b_UZ/1000*H38/1000)+1.5*2*'Hilfstabellen_Mat&amp;Bem'!$E83)*H$27*1000*gamma_m)/(4*b_UZ*'Hilfstabellen_Mat&amp;Bem'!$BC$24*'Hilfstabellen_Mat&amp;Bem'!$BC$22*k_mod)))
)/RUWE_UZ,0)*RUWE_UZ,200)</f>
        <v>440</v>
      </c>
      <c r="I38" s="468">
        <f ca="1">IFERROR(ROUNDUP((MAX(
SQRT((3*(1.35*(2*'Hilfstabellen_Mat&amp;Bem'!$D83+5*b_UZ/1000*I38/1000)+1.5*2*'Hilfstabellen_Mat&amp;Bem'!$E83)*((I$27*1000)^2)*gamma_m)/(4*b_UZ*k_mod*'Hilfstabellen_Mat&amp;Bem'!$BC$16)),
((3*(1.35*(2*'Hilfstabellen_Mat&amp;Bem'!$D83+5*b_UZ/1000*I38/1000)+1.5*2*'Hilfstabellen_Mat&amp;Bem'!$E83)*I$27*1000*gamma_m)/(4*b_UZ*'Hilfstabellen_Mat&amp;Bem'!$BC$24*'Hilfstabellen_Mat&amp;Bem'!$BC$22*k_mod)))
)/RUWE_UZ,0)*RUWE_UZ,200)</f>
        <v>520</v>
      </c>
      <c r="J38" s="468">
        <f ca="1">IFERROR(ROUNDUP((MAX(
SQRT((3*(1.35*(2*'Hilfstabellen_Mat&amp;Bem'!$D83+5*b_UZ/1000*J38/1000)+1.5*2*'Hilfstabellen_Mat&amp;Bem'!$E83)*((J$27*1000)^2)*gamma_m)/(4*b_UZ*k_mod*'Hilfstabellen_Mat&amp;Bem'!$BC$16)),
((3*(1.35*(2*'Hilfstabellen_Mat&amp;Bem'!$D83+5*b_UZ/1000*J38/1000)+1.5*2*'Hilfstabellen_Mat&amp;Bem'!$E83)*J$27*1000*gamma_m)/(4*b_UZ*'Hilfstabellen_Mat&amp;Bem'!$BC$24*'Hilfstabellen_Mat&amp;Bem'!$BC$22*k_mod)))
)/RUWE_UZ,0)*RUWE_UZ,200)</f>
        <v>560</v>
      </c>
      <c r="K38" s="468">
        <f ca="1">IFERROR(ROUNDUP((MAX(
SQRT((3*(1.35*(2*'Hilfstabellen_Mat&amp;Bem'!$D83+5*b_UZ/1000*K38/1000)+1.5*2*'Hilfstabellen_Mat&amp;Bem'!$E83)*((K$27*1000)^2)*gamma_m)/(4*b_UZ*k_mod*'Hilfstabellen_Mat&amp;Bem'!$BC$16)),
((3*(1.35*(2*'Hilfstabellen_Mat&amp;Bem'!$D83+5*b_UZ/1000*K38/1000)+1.5*2*'Hilfstabellen_Mat&amp;Bem'!$E83)*K$27*1000*gamma_m)/(4*b_UZ*'Hilfstabellen_Mat&amp;Bem'!$BC$24*'Hilfstabellen_Mat&amp;Bem'!$BC$22*k_mod)))
)/RUWE_UZ,0)*RUWE_UZ,200)</f>
        <v>600</v>
      </c>
      <c r="L38" s="468">
        <f ca="1">IFERROR(ROUNDUP((MAX(
SQRT((3*(1.35*(2*'Hilfstabellen_Mat&amp;Bem'!$D83+5*b_UZ/1000*L38/1000)+1.5*2*'Hilfstabellen_Mat&amp;Bem'!$E83)*((L$27*1000)^2)*gamma_m)/(4*b_UZ*k_mod*'Hilfstabellen_Mat&amp;Bem'!$BC$16)),
((3*(1.35*(2*'Hilfstabellen_Mat&amp;Bem'!$D83+5*b_UZ/1000*L38/1000)+1.5*2*'Hilfstabellen_Mat&amp;Bem'!$E83)*L$27*1000*gamma_m)/(4*b_UZ*'Hilfstabellen_Mat&amp;Bem'!$BC$24*'Hilfstabellen_Mat&amp;Bem'!$BC$22*k_mod)))
)/RUWE_UZ,0)*RUWE_UZ,200)</f>
        <v>640</v>
      </c>
      <c r="M38" s="468">
        <f ca="1">IFERROR(ROUNDUP((MAX(
SQRT((3*(1.35*(2*'Hilfstabellen_Mat&amp;Bem'!$D83+5*b_UZ/1000*M38/1000)+1.5*2*'Hilfstabellen_Mat&amp;Bem'!$E83)*((M$27*1000)^2)*gamma_m)/(4*b_UZ*k_mod*'Hilfstabellen_Mat&amp;Bem'!$BC$16)),
((3*(1.35*(2*'Hilfstabellen_Mat&amp;Bem'!$D83+5*b_UZ/1000*M38/1000)+1.5*2*'Hilfstabellen_Mat&amp;Bem'!$E83)*M$27*1000*gamma_m)/(4*b_UZ*'Hilfstabellen_Mat&amp;Bem'!$BC$24*'Hilfstabellen_Mat&amp;Bem'!$BC$22*k_mod)))
)/RUWE_UZ,0)*RUWE_UZ,200)</f>
        <v>680</v>
      </c>
    </row>
    <row r="39" spans="1:75" ht="7.5" customHeight="1"/>
    <row r="40" spans="1:75" ht="15" customHeight="1">
      <c r="A40" s="1458" t="s">
        <v>877</v>
      </c>
      <c r="B40" s="481">
        <f>'Hilfstabellen_Mat&amp;Bem'!$D51</f>
        <v>2.5</v>
      </c>
      <c r="C40" s="468">
        <f ca="1">IFERROR(ROUNDUP((MAX((SQRT((3*(2*'Hilfstabellen_Mat&amp;Bem'!$D73+5*b_UZ/1000*C40/1000+0.3*2*'Hilfstabellen_Mat&amp;Bem'!$E73)*(('Rasterbemessung DE UZ ST'!C$27*1000)^2)*gamma_mfi)/(4*b_ef_UZ*k_modfi*k_fi_UZ*'Hilfstabellen_Mat&amp;Bem'!$BC$16))+d_char_UZ),
(((3*(2*'Hilfstabellen_Mat&amp;Bem'!$D73+5*b_UZ/1000*C40/1000+0.3*2*'Hilfstabellen_Mat&amp;Bem'!$E73)*C$27*1000*gamma_mfi)/(4*b_ef_UZ*'Hilfstabellen_Mat&amp;Bem'!$BC$24*k_fi_UZ*'Hilfstabellen_Mat&amp;Bem'!$BC$22*k_modfi))+d_char_UZ)))/RUWE_UZ,0)*RUWE_UZ,200)</f>
        <v>200</v>
      </c>
      <c r="D40" s="468">
        <f ca="1">IFERROR(ROUNDUP((MAX((SQRT((3*(2*'Hilfstabellen_Mat&amp;Bem'!$D73+5*b_UZ/1000*D40/1000+0.3*2*'Hilfstabellen_Mat&amp;Bem'!$E73)*(('Rasterbemessung DE UZ ST'!D$27*1000)^2)*gamma_mfi)/(4*b_ef_UZ*k_modfi*k_fi_UZ*'Hilfstabellen_Mat&amp;Bem'!$BC$16))+d_char_UZ),
(((3*(2*'Hilfstabellen_Mat&amp;Bem'!$D73+5*b_UZ/1000*D40/1000+0.3*2*'Hilfstabellen_Mat&amp;Bem'!$E73)*D$27*1000*gamma_mfi)/(4*b_ef_UZ*'Hilfstabellen_Mat&amp;Bem'!$BC$24*k_fi_UZ*'Hilfstabellen_Mat&amp;Bem'!$BC$22*k_modfi))+d_char_UZ)))/RUWE_UZ,0)*RUWE_UZ,200)</f>
        <v>200</v>
      </c>
      <c r="E40" s="468">
        <f ca="1">IFERROR(ROUNDUP((MAX((SQRT((3*(2*'Hilfstabellen_Mat&amp;Bem'!$D73+5*b_UZ/1000*E40/1000+0.3*2*'Hilfstabellen_Mat&amp;Bem'!$E73)*(('Rasterbemessung DE UZ ST'!E$27*1000)^2)*gamma_mfi)/(4*b_ef_UZ*k_modfi*k_fi_UZ*'Hilfstabellen_Mat&amp;Bem'!$BC$16))+d_char_UZ),
(((3*(2*'Hilfstabellen_Mat&amp;Bem'!$D73+5*b_UZ/1000*E40/1000+0.3*2*'Hilfstabellen_Mat&amp;Bem'!$E73)*E$27*1000*gamma_mfi)/(4*b_ef_UZ*'Hilfstabellen_Mat&amp;Bem'!$BC$24*k_fi_UZ*'Hilfstabellen_Mat&amp;Bem'!$BC$22*k_modfi))+d_char_UZ)))/RUWE_UZ,0)*RUWE_UZ,200)</f>
        <v>200</v>
      </c>
      <c r="F40" s="468">
        <f ca="1">IFERROR(ROUNDUP((MAX((SQRT((3*(2*'Hilfstabellen_Mat&amp;Bem'!$D73+5*b_UZ/1000*F40/1000+0.3*2*'Hilfstabellen_Mat&amp;Bem'!$E73)*(('Rasterbemessung DE UZ ST'!F$27*1000)^2)*gamma_mfi)/(4*b_ef_UZ*k_modfi*k_fi_UZ*'Hilfstabellen_Mat&amp;Bem'!$BC$16))+d_char_UZ),
(((3*(2*'Hilfstabellen_Mat&amp;Bem'!$D73+5*b_UZ/1000*F40/1000+0.3*2*'Hilfstabellen_Mat&amp;Bem'!$E73)*F$27*1000*gamma_mfi)/(4*b_ef_UZ*'Hilfstabellen_Mat&amp;Bem'!$BC$24*k_fi_UZ*'Hilfstabellen_Mat&amp;Bem'!$BC$22*k_modfi))+d_char_UZ)))/RUWE_UZ,0)*RUWE_UZ,200)</f>
        <v>200</v>
      </c>
      <c r="G40" s="468">
        <f ca="1">IFERROR(ROUNDUP((MAX((SQRT((3*(2*'Hilfstabellen_Mat&amp;Bem'!$D73+5*b_UZ/1000*G40/1000+0.3*2*'Hilfstabellen_Mat&amp;Bem'!$E73)*(('Rasterbemessung DE UZ ST'!G$27*1000)^2)*gamma_mfi)/(4*b_ef_UZ*k_modfi*k_fi_UZ*'Hilfstabellen_Mat&amp;Bem'!$BC$16))+d_char_UZ),
(((3*(2*'Hilfstabellen_Mat&amp;Bem'!$D73+5*b_UZ/1000*G40/1000+0.3*2*'Hilfstabellen_Mat&amp;Bem'!$E73)*G$27*1000*gamma_mfi)/(4*b_ef_UZ*'Hilfstabellen_Mat&amp;Bem'!$BC$24*k_fi_UZ*'Hilfstabellen_Mat&amp;Bem'!$BC$22*k_modfi))+d_char_UZ)))/RUWE_UZ,0)*RUWE_UZ,200)</f>
        <v>240</v>
      </c>
      <c r="H40" s="468">
        <f ca="1">IFERROR(ROUNDUP((MAX((SQRT((3*(2*'Hilfstabellen_Mat&amp;Bem'!$D73+5*b_UZ/1000*H40/1000+0.3*2*'Hilfstabellen_Mat&amp;Bem'!$E73)*(('Rasterbemessung DE UZ ST'!H$27*1000)^2)*gamma_mfi)/(4*b_ef_UZ*k_modfi*k_fi_UZ*'Hilfstabellen_Mat&amp;Bem'!$BC$16))+d_char_UZ),
(((3*(2*'Hilfstabellen_Mat&amp;Bem'!$D73+5*b_UZ/1000*H40/1000+0.3*2*'Hilfstabellen_Mat&amp;Bem'!$E73)*H$27*1000*gamma_mfi)/(4*b_ef_UZ*'Hilfstabellen_Mat&amp;Bem'!$BC$24*k_fi_UZ*'Hilfstabellen_Mat&amp;Bem'!$BC$22*k_modfi))+d_char_UZ)))/RUWE_UZ,0)*RUWE_UZ,200)</f>
        <v>240</v>
      </c>
      <c r="I40" s="468">
        <f ca="1">IFERROR(ROUNDUP((MAX((SQRT((3*(2*'Hilfstabellen_Mat&amp;Bem'!$D73+5*b_UZ/1000*I40/1000+0.3*2*'Hilfstabellen_Mat&amp;Bem'!$E73)*(('Rasterbemessung DE UZ ST'!I$27*1000)^2)*gamma_mfi)/(4*b_ef_UZ*k_modfi*k_fi_UZ*'Hilfstabellen_Mat&amp;Bem'!$BC$16))+d_char_UZ),
(((3*(2*'Hilfstabellen_Mat&amp;Bem'!$D73+5*b_UZ/1000*I40/1000+0.3*2*'Hilfstabellen_Mat&amp;Bem'!$E73)*I$27*1000*gamma_mfi)/(4*b_ef_UZ*'Hilfstabellen_Mat&amp;Bem'!$BC$24*k_fi_UZ*'Hilfstabellen_Mat&amp;Bem'!$BC$22*k_modfi))+d_char_UZ)))/RUWE_UZ,0)*RUWE_UZ,200)</f>
        <v>280</v>
      </c>
      <c r="J40" s="468">
        <f ca="1">IFERROR(ROUNDUP((MAX((SQRT((3*(2*'Hilfstabellen_Mat&amp;Bem'!$D73+5*b_UZ/1000*J40/1000+0.3*2*'Hilfstabellen_Mat&amp;Bem'!$E73)*(('Rasterbemessung DE UZ ST'!J$27*1000)^2)*gamma_mfi)/(4*b_ef_UZ*k_modfi*k_fi_UZ*'Hilfstabellen_Mat&amp;Bem'!$BC$16))+d_char_UZ),
(((3*(2*'Hilfstabellen_Mat&amp;Bem'!$D73+5*b_UZ/1000*J40/1000+0.3*2*'Hilfstabellen_Mat&amp;Bem'!$E73)*J$27*1000*gamma_mfi)/(4*b_ef_UZ*'Hilfstabellen_Mat&amp;Bem'!$BC$24*k_fi_UZ*'Hilfstabellen_Mat&amp;Bem'!$BC$22*k_modfi))+d_char_UZ)))/RUWE_UZ,0)*RUWE_UZ,200)</f>
        <v>320</v>
      </c>
      <c r="K40" s="468">
        <f ca="1">IFERROR(ROUNDUP((MAX((SQRT((3*(2*'Hilfstabellen_Mat&amp;Bem'!$D73+5*b_UZ/1000*K40/1000+0.3*2*'Hilfstabellen_Mat&amp;Bem'!$E73)*(('Rasterbemessung DE UZ ST'!K$27*1000)^2)*gamma_mfi)/(4*b_ef_UZ*k_modfi*k_fi_UZ*'Hilfstabellen_Mat&amp;Bem'!$BC$16))+d_char_UZ),
(((3*(2*'Hilfstabellen_Mat&amp;Bem'!$D73+5*b_UZ/1000*K40/1000+0.3*2*'Hilfstabellen_Mat&amp;Bem'!$E73)*K$27*1000*gamma_mfi)/(4*b_ef_UZ*'Hilfstabellen_Mat&amp;Bem'!$BC$24*k_fi_UZ*'Hilfstabellen_Mat&amp;Bem'!$BC$22*k_modfi))+d_char_UZ)))/RUWE_UZ,0)*RUWE_UZ,200)</f>
        <v>320</v>
      </c>
      <c r="L40" s="468">
        <f ca="1">IFERROR(ROUNDUP((MAX((SQRT((3*(2*'Hilfstabellen_Mat&amp;Bem'!$D73+5*b_UZ/1000*L40/1000+0.3*2*'Hilfstabellen_Mat&amp;Bem'!$E73)*(('Rasterbemessung DE UZ ST'!L$27*1000)^2)*gamma_mfi)/(4*b_ef_UZ*k_modfi*k_fi_UZ*'Hilfstabellen_Mat&amp;Bem'!$BC$16))+d_char_UZ),
(((3*(2*'Hilfstabellen_Mat&amp;Bem'!$D73+5*b_UZ/1000*L40/1000+0.3*2*'Hilfstabellen_Mat&amp;Bem'!$E73)*L$27*1000*gamma_mfi)/(4*b_ef_UZ*'Hilfstabellen_Mat&amp;Bem'!$BC$24*k_fi_UZ*'Hilfstabellen_Mat&amp;Bem'!$BC$22*k_modfi))+d_char_UZ)))/RUWE_UZ,0)*RUWE_UZ,200)</f>
        <v>320</v>
      </c>
      <c r="M40" s="468">
        <f ca="1">IFERROR(ROUNDUP((MAX((SQRT((3*(2*'Hilfstabellen_Mat&amp;Bem'!$D73+5*b_UZ/1000*M40/1000+0.3*2*'Hilfstabellen_Mat&amp;Bem'!$E73)*(('Rasterbemessung DE UZ ST'!M$27*1000)^2)*gamma_mfi)/(4*b_ef_UZ*k_modfi*k_fi_UZ*'Hilfstabellen_Mat&amp;Bem'!$BC$16))+d_char_UZ),
(((3*(2*'Hilfstabellen_Mat&amp;Bem'!$D73+5*b_UZ/1000*M40/1000+0.3*2*'Hilfstabellen_Mat&amp;Bem'!$E73)*M$27*1000*gamma_mfi)/(4*b_ef_UZ*'Hilfstabellen_Mat&amp;Bem'!$BC$24*k_fi_UZ*'Hilfstabellen_Mat&amp;Bem'!$BC$22*k_modfi))+d_char_UZ)))/RUWE_UZ,0)*RUWE_UZ,200)</f>
        <v>360</v>
      </c>
    </row>
    <row r="41" spans="1:75" ht="15" customHeight="1">
      <c r="A41" s="1458"/>
      <c r="B41" s="481">
        <f>'Hilfstabellen_Mat&amp;Bem'!$D52</f>
        <v>2.65</v>
      </c>
      <c r="C41" s="468">
        <f ca="1">IFERROR(ROUNDUP((MAX((SQRT((3*(2*'Hilfstabellen_Mat&amp;Bem'!$D74+5*b_UZ/1000*C41/1000+0.3*2*'Hilfstabellen_Mat&amp;Bem'!$E74)*(('Rasterbemessung DE UZ ST'!C$27*1000)^2)*gamma_mfi)/(4*b_ef_UZ*k_modfi*k_fi_UZ*'Hilfstabellen_Mat&amp;Bem'!$BC$16))+d_char_UZ),
(((3*(2*'Hilfstabellen_Mat&amp;Bem'!$D74+5*b_UZ/1000*C41/1000+0.3*2*'Hilfstabellen_Mat&amp;Bem'!$E74)*C$27*1000*gamma_mfi)/(4*b_ef_UZ*'Hilfstabellen_Mat&amp;Bem'!$BC$24*k_fi_UZ*'Hilfstabellen_Mat&amp;Bem'!$BC$22*k_modfi))+d_char_UZ)))/RUWE_UZ,0)*RUWE_UZ,200)</f>
        <v>200</v>
      </c>
      <c r="D41" s="468">
        <f ca="1">IFERROR(ROUNDUP((MAX((SQRT((3*(2*'Hilfstabellen_Mat&amp;Bem'!$D74+5*b_UZ/1000*D41/1000+0.3*2*'Hilfstabellen_Mat&amp;Bem'!$E74)*(('Rasterbemessung DE UZ ST'!D$27*1000)^2)*gamma_mfi)/(4*b_ef_UZ*k_modfi*k_fi_UZ*'Hilfstabellen_Mat&amp;Bem'!$BC$16))+d_char_UZ),
(((3*(2*'Hilfstabellen_Mat&amp;Bem'!$D74+5*b_UZ/1000*D41/1000+0.3*2*'Hilfstabellen_Mat&amp;Bem'!$E74)*D$27*1000*gamma_mfi)/(4*b_ef_UZ*'Hilfstabellen_Mat&amp;Bem'!$BC$24*k_fi_UZ*'Hilfstabellen_Mat&amp;Bem'!$BC$22*k_modfi))+d_char_UZ)))/RUWE_UZ,0)*RUWE_UZ,200)</f>
        <v>200</v>
      </c>
      <c r="E41" s="468">
        <f ca="1">IFERROR(ROUNDUP((MAX((SQRT((3*(2*'Hilfstabellen_Mat&amp;Bem'!$D74+5*b_UZ/1000*E41/1000+0.3*2*'Hilfstabellen_Mat&amp;Bem'!$E74)*(('Rasterbemessung DE UZ ST'!E$27*1000)^2)*gamma_mfi)/(4*b_ef_UZ*k_modfi*k_fi_UZ*'Hilfstabellen_Mat&amp;Bem'!$BC$16))+d_char_UZ),
(((3*(2*'Hilfstabellen_Mat&amp;Bem'!$D74+5*b_UZ/1000*E41/1000+0.3*2*'Hilfstabellen_Mat&amp;Bem'!$E74)*E$27*1000*gamma_mfi)/(4*b_ef_UZ*'Hilfstabellen_Mat&amp;Bem'!$BC$24*k_fi_UZ*'Hilfstabellen_Mat&amp;Bem'!$BC$22*k_modfi))+d_char_UZ)))/RUWE_UZ,0)*RUWE_UZ,200)</f>
        <v>200</v>
      </c>
      <c r="F41" s="468">
        <f ca="1">IFERROR(ROUNDUP((MAX((SQRT((3*(2*'Hilfstabellen_Mat&amp;Bem'!$D74+5*b_UZ/1000*F41/1000+0.3*2*'Hilfstabellen_Mat&amp;Bem'!$E74)*(('Rasterbemessung DE UZ ST'!F$27*1000)^2)*gamma_mfi)/(4*b_ef_UZ*k_modfi*k_fi_UZ*'Hilfstabellen_Mat&amp;Bem'!$BC$16))+d_char_UZ),
(((3*(2*'Hilfstabellen_Mat&amp;Bem'!$D74+5*b_UZ/1000*F41/1000+0.3*2*'Hilfstabellen_Mat&amp;Bem'!$E74)*F$27*1000*gamma_mfi)/(4*b_ef_UZ*'Hilfstabellen_Mat&amp;Bem'!$BC$24*k_fi_UZ*'Hilfstabellen_Mat&amp;Bem'!$BC$22*k_modfi))+d_char_UZ)))/RUWE_UZ,0)*RUWE_UZ,200)</f>
        <v>200</v>
      </c>
      <c r="G41" s="468">
        <f ca="1">IFERROR(ROUNDUP((MAX((SQRT((3*(2*'Hilfstabellen_Mat&amp;Bem'!$D74+5*b_UZ/1000*G41/1000+0.3*2*'Hilfstabellen_Mat&amp;Bem'!$E74)*(('Rasterbemessung DE UZ ST'!G$27*1000)^2)*gamma_mfi)/(4*b_ef_UZ*k_modfi*k_fi_UZ*'Hilfstabellen_Mat&amp;Bem'!$BC$16))+d_char_UZ),
(((3*(2*'Hilfstabellen_Mat&amp;Bem'!$D74+5*b_UZ/1000*G41/1000+0.3*2*'Hilfstabellen_Mat&amp;Bem'!$E74)*G$27*1000*gamma_mfi)/(4*b_ef_UZ*'Hilfstabellen_Mat&amp;Bem'!$BC$24*k_fi_UZ*'Hilfstabellen_Mat&amp;Bem'!$BC$22*k_modfi))+d_char_UZ)))/RUWE_UZ,0)*RUWE_UZ,200)</f>
        <v>240</v>
      </c>
      <c r="H41" s="468">
        <f ca="1">IFERROR(ROUNDUP((MAX((SQRT((3*(2*'Hilfstabellen_Mat&amp;Bem'!$D74+5*b_UZ/1000*H41/1000+0.3*2*'Hilfstabellen_Mat&amp;Bem'!$E74)*(('Rasterbemessung DE UZ ST'!H$27*1000)^2)*gamma_mfi)/(4*b_ef_UZ*k_modfi*k_fi_UZ*'Hilfstabellen_Mat&amp;Bem'!$BC$16))+d_char_UZ),
(((3*(2*'Hilfstabellen_Mat&amp;Bem'!$D74+5*b_UZ/1000*H41/1000+0.3*2*'Hilfstabellen_Mat&amp;Bem'!$E74)*H$27*1000*gamma_mfi)/(4*b_ef_UZ*'Hilfstabellen_Mat&amp;Bem'!$BC$24*k_fi_UZ*'Hilfstabellen_Mat&amp;Bem'!$BC$22*k_modfi))+d_char_UZ)))/RUWE_UZ,0)*RUWE_UZ,200)</f>
        <v>280</v>
      </c>
      <c r="I41" s="468">
        <f ca="1">IFERROR(ROUNDUP((MAX((SQRT((3*(2*'Hilfstabellen_Mat&amp;Bem'!$D74+5*b_UZ/1000*I41/1000+0.3*2*'Hilfstabellen_Mat&amp;Bem'!$E74)*(('Rasterbemessung DE UZ ST'!I$27*1000)^2)*gamma_mfi)/(4*b_ef_UZ*k_modfi*k_fi_UZ*'Hilfstabellen_Mat&amp;Bem'!$BC$16))+d_char_UZ),
(((3*(2*'Hilfstabellen_Mat&amp;Bem'!$D74+5*b_UZ/1000*I41/1000+0.3*2*'Hilfstabellen_Mat&amp;Bem'!$E74)*I$27*1000*gamma_mfi)/(4*b_ef_UZ*'Hilfstabellen_Mat&amp;Bem'!$BC$24*k_fi_UZ*'Hilfstabellen_Mat&amp;Bem'!$BC$22*k_modfi))+d_char_UZ)))/RUWE_UZ,0)*RUWE_UZ,200)</f>
        <v>280</v>
      </c>
      <c r="J41" s="468">
        <f ca="1">IFERROR(ROUNDUP((MAX((SQRT((3*(2*'Hilfstabellen_Mat&amp;Bem'!$D74+5*b_UZ/1000*J41/1000+0.3*2*'Hilfstabellen_Mat&amp;Bem'!$E74)*(('Rasterbemessung DE UZ ST'!J$27*1000)^2)*gamma_mfi)/(4*b_ef_UZ*k_modfi*k_fi_UZ*'Hilfstabellen_Mat&amp;Bem'!$BC$16))+d_char_UZ),
(((3*(2*'Hilfstabellen_Mat&amp;Bem'!$D74+5*b_UZ/1000*J41/1000+0.3*2*'Hilfstabellen_Mat&amp;Bem'!$E74)*J$27*1000*gamma_mfi)/(4*b_ef_UZ*'Hilfstabellen_Mat&amp;Bem'!$BC$24*k_fi_UZ*'Hilfstabellen_Mat&amp;Bem'!$BC$22*k_modfi))+d_char_UZ)))/RUWE_UZ,0)*RUWE_UZ,200)</f>
        <v>320</v>
      </c>
      <c r="K41" s="468">
        <f ca="1">IFERROR(ROUNDUP((MAX((SQRT((3*(2*'Hilfstabellen_Mat&amp;Bem'!$D74+5*b_UZ/1000*K41/1000+0.3*2*'Hilfstabellen_Mat&amp;Bem'!$E74)*(('Rasterbemessung DE UZ ST'!K$27*1000)^2)*gamma_mfi)/(4*b_ef_UZ*k_modfi*k_fi_UZ*'Hilfstabellen_Mat&amp;Bem'!$BC$16))+d_char_UZ),
(((3*(2*'Hilfstabellen_Mat&amp;Bem'!$D74+5*b_UZ/1000*K41/1000+0.3*2*'Hilfstabellen_Mat&amp;Bem'!$E74)*K$27*1000*gamma_mfi)/(4*b_ef_UZ*'Hilfstabellen_Mat&amp;Bem'!$BC$24*k_fi_UZ*'Hilfstabellen_Mat&amp;Bem'!$BC$22*k_modfi))+d_char_UZ)))/RUWE_UZ,0)*RUWE_UZ,200)</f>
        <v>320</v>
      </c>
      <c r="L41" s="468">
        <f ca="1">IFERROR(ROUNDUP((MAX((SQRT((3*(2*'Hilfstabellen_Mat&amp;Bem'!$D74+5*b_UZ/1000*L41/1000+0.3*2*'Hilfstabellen_Mat&amp;Bem'!$E74)*(('Rasterbemessung DE UZ ST'!L$27*1000)^2)*gamma_mfi)/(4*b_ef_UZ*k_modfi*k_fi_UZ*'Hilfstabellen_Mat&amp;Bem'!$BC$16))+d_char_UZ),
(((3*(2*'Hilfstabellen_Mat&amp;Bem'!$D74+5*b_UZ/1000*L41/1000+0.3*2*'Hilfstabellen_Mat&amp;Bem'!$E74)*L$27*1000*gamma_mfi)/(4*b_ef_UZ*'Hilfstabellen_Mat&amp;Bem'!$BC$24*k_fi_UZ*'Hilfstabellen_Mat&amp;Bem'!$BC$22*k_modfi))+d_char_UZ)))/RUWE_UZ,0)*RUWE_UZ,200)</f>
        <v>360</v>
      </c>
      <c r="M41" s="468">
        <f ca="1">IFERROR(ROUNDUP((MAX((SQRT((3*(2*'Hilfstabellen_Mat&amp;Bem'!$D74+5*b_UZ/1000*M41/1000+0.3*2*'Hilfstabellen_Mat&amp;Bem'!$E74)*(('Rasterbemessung DE UZ ST'!M$27*1000)^2)*gamma_mfi)/(4*b_ef_UZ*k_modfi*k_fi_UZ*'Hilfstabellen_Mat&amp;Bem'!$BC$16))+d_char_UZ),
(((3*(2*'Hilfstabellen_Mat&amp;Bem'!$D74+5*b_UZ/1000*M41/1000+0.3*2*'Hilfstabellen_Mat&amp;Bem'!$E74)*M$27*1000*gamma_mfi)/(4*b_ef_UZ*'Hilfstabellen_Mat&amp;Bem'!$BC$24*k_fi_UZ*'Hilfstabellen_Mat&amp;Bem'!$BC$22*k_modfi))+d_char_UZ)))/RUWE_UZ,0)*RUWE_UZ,200)</f>
        <v>360</v>
      </c>
    </row>
    <row r="42" spans="1:75" ht="15" customHeight="1">
      <c r="A42" s="1458"/>
      <c r="B42" s="481">
        <f>'Hilfstabellen_Mat&amp;Bem'!$D53</f>
        <v>2.85</v>
      </c>
      <c r="C42" s="468">
        <f ca="1">IFERROR(ROUNDUP((MAX((SQRT((3*(2*'Hilfstabellen_Mat&amp;Bem'!$D75+5*b_UZ/1000*C42/1000+0.3*2*'Hilfstabellen_Mat&amp;Bem'!$E75)*(('Rasterbemessung DE UZ ST'!C$27*1000)^2)*gamma_mfi)/(4*b_ef_UZ*k_modfi*k_fi_UZ*'Hilfstabellen_Mat&amp;Bem'!$BC$16))+d_char_UZ),
(((3*(2*'Hilfstabellen_Mat&amp;Bem'!$D75+5*b_UZ/1000*C42/1000+0.3*2*'Hilfstabellen_Mat&amp;Bem'!$E75)*C$27*1000*gamma_mfi)/(4*b_ef_UZ*'Hilfstabellen_Mat&amp;Bem'!$BC$24*k_fi_UZ*'Hilfstabellen_Mat&amp;Bem'!$BC$22*k_modfi))+d_char_UZ)))/RUWE_UZ,0)*RUWE_UZ,200)</f>
        <v>200</v>
      </c>
      <c r="D42" s="468">
        <f ca="1">IFERROR(ROUNDUP((MAX((SQRT((3*(2*'Hilfstabellen_Mat&amp;Bem'!$D75+5*b_UZ/1000*D42/1000+0.3*2*'Hilfstabellen_Mat&amp;Bem'!$E75)*(('Rasterbemessung DE UZ ST'!D$27*1000)^2)*gamma_mfi)/(4*b_ef_UZ*k_modfi*k_fi_UZ*'Hilfstabellen_Mat&amp;Bem'!$BC$16))+d_char_UZ),
(((3*(2*'Hilfstabellen_Mat&amp;Bem'!$D75+5*b_UZ/1000*D42/1000+0.3*2*'Hilfstabellen_Mat&amp;Bem'!$E75)*D$27*1000*gamma_mfi)/(4*b_ef_UZ*'Hilfstabellen_Mat&amp;Bem'!$BC$24*k_fi_UZ*'Hilfstabellen_Mat&amp;Bem'!$BC$22*k_modfi))+d_char_UZ)))/RUWE_UZ,0)*RUWE_UZ,200)</f>
        <v>200</v>
      </c>
      <c r="E42" s="468">
        <f ca="1">IFERROR(ROUNDUP((MAX((SQRT((3*(2*'Hilfstabellen_Mat&amp;Bem'!$D75+5*b_UZ/1000*E42/1000+0.3*2*'Hilfstabellen_Mat&amp;Bem'!$E75)*(('Rasterbemessung DE UZ ST'!E$27*1000)^2)*gamma_mfi)/(4*b_ef_UZ*k_modfi*k_fi_UZ*'Hilfstabellen_Mat&amp;Bem'!$BC$16))+d_char_UZ),
(((3*(2*'Hilfstabellen_Mat&amp;Bem'!$D75+5*b_UZ/1000*E42/1000+0.3*2*'Hilfstabellen_Mat&amp;Bem'!$E75)*E$27*1000*gamma_mfi)/(4*b_ef_UZ*'Hilfstabellen_Mat&amp;Bem'!$BC$24*k_fi_UZ*'Hilfstabellen_Mat&amp;Bem'!$BC$22*k_modfi))+d_char_UZ)))/RUWE_UZ,0)*RUWE_UZ,200)</f>
        <v>200</v>
      </c>
      <c r="F42" s="468">
        <f ca="1">IFERROR(ROUNDUP((MAX((SQRT((3*(2*'Hilfstabellen_Mat&amp;Bem'!$D75+5*b_UZ/1000*F42/1000+0.3*2*'Hilfstabellen_Mat&amp;Bem'!$E75)*(('Rasterbemessung DE UZ ST'!F$27*1000)^2)*gamma_mfi)/(4*b_ef_UZ*k_modfi*k_fi_UZ*'Hilfstabellen_Mat&amp;Bem'!$BC$16))+d_char_UZ),
(((3*(2*'Hilfstabellen_Mat&amp;Bem'!$D75+5*b_UZ/1000*F42/1000+0.3*2*'Hilfstabellen_Mat&amp;Bem'!$E75)*F$27*1000*gamma_mfi)/(4*b_ef_UZ*'Hilfstabellen_Mat&amp;Bem'!$BC$24*k_fi_UZ*'Hilfstabellen_Mat&amp;Bem'!$BC$22*k_modfi))+d_char_UZ)))/RUWE_UZ,0)*RUWE_UZ,200)</f>
        <v>200</v>
      </c>
      <c r="G42" s="468">
        <f ca="1">IFERROR(ROUNDUP((MAX((SQRT((3*(2*'Hilfstabellen_Mat&amp;Bem'!$D75+5*b_UZ/1000*G42/1000+0.3*2*'Hilfstabellen_Mat&amp;Bem'!$E75)*(('Rasterbemessung DE UZ ST'!G$27*1000)^2)*gamma_mfi)/(4*b_ef_UZ*k_modfi*k_fi_UZ*'Hilfstabellen_Mat&amp;Bem'!$BC$16))+d_char_UZ),
(((3*(2*'Hilfstabellen_Mat&amp;Bem'!$D75+5*b_UZ/1000*G42/1000+0.3*2*'Hilfstabellen_Mat&amp;Bem'!$E75)*G$27*1000*gamma_mfi)/(4*b_ef_UZ*'Hilfstabellen_Mat&amp;Bem'!$BC$24*k_fi_UZ*'Hilfstabellen_Mat&amp;Bem'!$BC$22*k_modfi))+d_char_UZ)))/RUWE_UZ,0)*RUWE_UZ,200)</f>
        <v>240</v>
      </c>
      <c r="H42" s="468">
        <f ca="1">IFERROR(ROUNDUP((MAX((SQRT((3*(2*'Hilfstabellen_Mat&amp;Bem'!$D75+5*b_UZ/1000*H42/1000+0.3*2*'Hilfstabellen_Mat&amp;Bem'!$E75)*(('Rasterbemessung DE UZ ST'!H$27*1000)^2)*gamma_mfi)/(4*b_ef_UZ*k_modfi*k_fi_UZ*'Hilfstabellen_Mat&amp;Bem'!$BC$16))+d_char_UZ),
(((3*(2*'Hilfstabellen_Mat&amp;Bem'!$D75+5*b_UZ/1000*H42/1000+0.3*2*'Hilfstabellen_Mat&amp;Bem'!$E75)*H$27*1000*gamma_mfi)/(4*b_ef_UZ*'Hilfstabellen_Mat&amp;Bem'!$BC$24*k_fi_UZ*'Hilfstabellen_Mat&amp;Bem'!$BC$22*k_modfi))+d_char_UZ)))/RUWE_UZ,0)*RUWE_UZ,200)</f>
        <v>280</v>
      </c>
      <c r="I42" s="468">
        <f ca="1">IFERROR(ROUNDUP((MAX((SQRT((3*(2*'Hilfstabellen_Mat&amp;Bem'!$D75+5*b_UZ/1000*I42/1000+0.3*2*'Hilfstabellen_Mat&amp;Bem'!$E75)*(('Rasterbemessung DE UZ ST'!I$27*1000)^2)*gamma_mfi)/(4*b_ef_UZ*k_modfi*k_fi_UZ*'Hilfstabellen_Mat&amp;Bem'!$BC$16))+d_char_UZ),
(((3*(2*'Hilfstabellen_Mat&amp;Bem'!$D75+5*b_UZ/1000*I42/1000+0.3*2*'Hilfstabellen_Mat&amp;Bem'!$E75)*I$27*1000*gamma_mfi)/(4*b_ef_UZ*'Hilfstabellen_Mat&amp;Bem'!$BC$24*k_fi_UZ*'Hilfstabellen_Mat&amp;Bem'!$BC$22*k_modfi))+d_char_UZ)))/RUWE_UZ,0)*RUWE_UZ,200)</f>
        <v>280</v>
      </c>
      <c r="J42" s="468">
        <f ca="1">IFERROR(ROUNDUP((MAX((SQRT((3*(2*'Hilfstabellen_Mat&amp;Bem'!$D75+5*b_UZ/1000*J42/1000+0.3*2*'Hilfstabellen_Mat&amp;Bem'!$E75)*(('Rasterbemessung DE UZ ST'!J$27*1000)^2)*gamma_mfi)/(4*b_ef_UZ*k_modfi*k_fi_UZ*'Hilfstabellen_Mat&amp;Bem'!$BC$16))+d_char_UZ),
(((3*(2*'Hilfstabellen_Mat&amp;Bem'!$D75+5*b_UZ/1000*J42/1000+0.3*2*'Hilfstabellen_Mat&amp;Bem'!$E75)*J$27*1000*gamma_mfi)/(4*b_ef_UZ*'Hilfstabellen_Mat&amp;Bem'!$BC$24*k_fi_UZ*'Hilfstabellen_Mat&amp;Bem'!$BC$22*k_modfi))+d_char_UZ)))/RUWE_UZ,0)*RUWE_UZ,200)</f>
        <v>320</v>
      </c>
      <c r="K42" s="468">
        <f ca="1">IFERROR(ROUNDUP((MAX((SQRT((3*(2*'Hilfstabellen_Mat&amp;Bem'!$D75+5*b_UZ/1000*K42/1000+0.3*2*'Hilfstabellen_Mat&amp;Bem'!$E75)*(('Rasterbemessung DE UZ ST'!K$27*1000)^2)*gamma_mfi)/(4*b_ef_UZ*k_modfi*k_fi_UZ*'Hilfstabellen_Mat&amp;Bem'!$BC$16))+d_char_UZ),
(((3*(2*'Hilfstabellen_Mat&amp;Bem'!$D75+5*b_UZ/1000*K42/1000+0.3*2*'Hilfstabellen_Mat&amp;Bem'!$E75)*K$27*1000*gamma_mfi)/(4*b_ef_UZ*'Hilfstabellen_Mat&amp;Bem'!$BC$24*k_fi_UZ*'Hilfstabellen_Mat&amp;Bem'!$BC$22*k_modfi))+d_char_UZ)))/RUWE_UZ,0)*RUWE_UZ,200)</f>
        <v>320</v>
      </c>
      <c r="L42" s="468">
        <f ca="1">IFERROR(ROUNDUP((MAX((SQRT((3*(2*'Hilfstabellen_Mat&amp;Bem'!$D75+5*b_UZ/1000*L42/1000+0.3*2*'Hilfstabellen_Mat&amp;Bem'!$E75)*(('Rasterbemessung DE UZ ST'!L$27*1000)^2)*gamma_mfi)/(4*b_ef_UZ*k_modfi*k_fi_UZ*'Hilfstabellen_Mat&amp;Bem'!$BC$16))+d_char_UZ),
(((3*(2*'Hilfstabellen_Mat&amp;Bem'!$D75+5*b_UZ/1000*L42/1000+0.3*2*'Hilfstabellen_Mat&amp;Bem'!$E75)*L$27*1000*gamma_mfi)/(4*b_ef_UZ*'Hilfstabellen_Mat&amp;Bem'!$BC$24*k_fi_UZ*'Hilfstabellen_Mat&amp;Bem'!$BC$22*k_modfi))+d_char_UZ)))/RUWE_UZ,0)*RUWE_UZ,200)</f>
        <v>360</v>
      </c>
      <c r="M42" s="468">
        <f ca="1">IFERROR(ROUNDUP((MAX((SQRT((3*(2*'Hilfstabellen_Mat&amp;Bem'!$D75+5*b_UZ/1000*M42/1000+0.3*2*'Hilfstabellen_Mat&amp;Bem'!$E75)*(('Rasterbemessung DE UZ ST'!M$27*1000)^2)*gamma_mfi)/(4*b_ef_UZ*k_modfi*k_fi_UZ*'Hilfstabellen_Mat&amp;Bem'!$BC$16))+d_char_UZ),
(((3*(2*'Hilfstabellen_Mat&amp;Bem'!$D75+5*b_UZ/1000*M42/1000+0.3*2*'Hilfstabellen_Mat&amp;Bem'!$E75)*M$27*1000*gamma_mfi)/(4*b_ef_UZ*'Hilfstabellen_Mat&amp;Bem'!$BC$24*k_fi_UZ*'Hilfstabellen_Mat&amp;Bem'!$BC$22*k_modfi))+d_char_UZ)))/RUWE_UZ,0)*RUWE_UZ,200)</f>
        <v>360</v>
      </c>
    </row>
    <row r="43" spans="1:75" ht="15" customHeight="1">
      <c r="A43" s="1458"/>
      <c r="B43" s="481">
        <f>'Hilfstabellen_Mat&amp;Bem'!$D54</f>
        <v>3</v>
      </c>
      <c r="C43" s="468">
        <f ca="1">IFERROR(ROUNDUP((MAX((SQRT((3*(2*'Hilfstabellen_Mat&amp;Bem'!$D76+5*b_UZ/1000*C43/1000+0.3*2*'Hilfstabellen_Mat&amp;Bem'!$E76)*(('Rasterbemessung DE UZ ST'!C$27*1000)^2)*gamma_mfi)/(4*b_ef_UZ*k_modfi*k_fi_UZ*'Hilfstabellen_Mat&amp;Bem'!$BC$16))+d_char_UZ),
(((3*(2*'Hilfstabellen_Mat&amp;Bem'!$D76+5*b_UZ/1000*C43/1000+0.3*2*'Hilfstabellen_Mat&amp;Bem'!$E76)*C$27*1000*gamma_mfi)/(4*b_ef_UZ*'Hilfstabellen_Mat&amp;Bem'!$BC$24*k_fi_UZ*'Hilfstabellen_Mat&amp;Bem'!$BC$22*k_modfi))+d_char_UZ)))/RUWE_UZ,0)*RUWE_UZ,200)</f>
        <v>200</v>
      </c>
      <c r="D43" s="468">
        <f ca="1">IFERROR(ROUNDUP((MAX((SQRT((3*(2*'Hilfstabellen_Mat&amp;Bem'!$D76+5*b_UZ/1000*D43/1000+0.3*2*'Hilfstabellen_Mat&amp;Bem'!$E76)*(('Rasterbemessung DE UZ ST'!D$27*1000)^2)*gamma_mfi)/(4*b_ef_UZ*k_modfi*k_fi_UZ*'Hilfstabellen_Mat&amp;Bem'!$BC$16))+d_char_UZ),
(((3*(2*'Hilfstabellen_Mat&amp;Bem'!$D76+5*b_UZ/1000*D43/1000+0.3*2*'Hilfstabellen_Mat&amp;Bem'!$E76)*D$27*1000*gamma_mfi)/(4*b_ef_UZ*'Hilfstabellen_Mat&amp;Bem'!$BC$24*k_fi_UZ*'Hilfstabellen_Mat&amp;Bem'!$BC$22*k_modfi))+d_char_UZ)))/RUWE_UZ,0)*RUWE_UZ,200)</f>
        <v>200</v>
      </c>
      <c r="E43" s="468">
        <f ca="1">IFERROR(ROUNDUP((MAX((SQRT((3*(2*'Hilfstabellen_Mat&amp;Bem'!$D76+5*b_UZ/1000*E43/1000+0.3*2*'Hilfstabellen_Mat&amp;Bem'!$E76)*(('Rasterbemessung DE UZ ST'!E$27*1000)^2)*gamma_mfi)/(4*b_ef_UZ*k_modfi*k_fi_UZ*'Hilfstabellen_Mat&amp;Bem'!$BC$16))+d_char_UZ),
(((3*(2*'Hilfstabellen_Mat&amp;Bem'!$D76+5*b_UZ/1000*E43/1000+0.3*2*'Hilfstabellen_Mat&amp;Bem'!$E76)*E$27*1000*gamma_mfi)/(4*b_ef_UZ*'Hilfstabellen_Mat&amp;Bem'!$BC$24*k_fi_UZ*'Hilfstabellen_Mat&amp;Bem'!$BC$22*k_modfi))+d_char_UZ)))/RUWE_UZ,0)*RUWE_UZ,200)</f>
        <v>200</v>
      </c>
      <c r="F43" s="468">
        <f ca="1">IFERROR(ROUNDUP((MAX((SQRT((3*(2*'Hilfstabellen_Mat&amp;Bem'!$D76+5*b_UZ/1000*F43/1000+0.3*2*'Hilfstabellen_Mat&amp;Bem'!$E76)*(('Rasterbemessung DE UZ ST'!F$27*1000)^2)*gamma_mfi)/(4*b_ef_UZ*k_modfi*k_fi_UZ*'Hilfstabellen_Mat&amp;Bem'!$BC$16))+d_char_UZ),
(((3*(2*'Hilfstabellen_Mat&amp;Bem'!$D76+5*b_UZ/1000*F43/1000+0.3*2*'Hilfstabellen_Mat&amp;Bem'!$E76)*F$27*1000*gamma_mfi)/(4*b_ef_UZ*'Hilfstabellen_Mat&amp;Bem'!$BC$24*k_fi_UZ*'Hilfstabellen_Mat&amp;Bem'!$BC$22*k_modfi))+d_char_UZ)))/RUWE_UZ,0)*RUWE_UZ,200)</f>
        <v>240</v>
      </c>
      <c r="G43" s="468">
        <f ca="1">IFERROR(ROUNDUP((MAX((SQRT((3*(2*'Hilfstabellen_Mat&amp;Bem'!$D76+5*b_UZ/1000*G43/1000+0.3*2*'Hilfstabellen_Mat&amp;Bem'!$E76)*(('Rasterbemessung DE UZ ST'!G$27*1000)^2)*gamma_mfi)/(4*b_ef_UZ*k_modfi*k_fi_UZ*'Hilfstabellen_Mat&amp;Bem'!$BC$16))+d_char_UZ),
(((3*(2*'Hilfstabellen_Mat&amp;Bem'!$D76+5*b_UZ/1000*G43/1000+0.3*2*'Hilfstabellen_Mat&amp;Bem'!$E76)*G$27*1000*gamma_mfi)/(4*b_ef_UZ*'Hilfstabellen_Mat&amp;Bem'!$BC$24*k_fi_UZ*'Hilfstabellen_Mat&amp;Bem'!$BC$22*k_modfi))+d_char_UZ)))/RUWE_UZ,0)*RUWE_UZ,200)</f>
        <v>240</v>
      </c>
      <c r="H43" s="468">
        <f ca="1">IFERROR(ROUNDUP((MAX((SQRT((3*(2*'Hilfstabellen_Mat&amp;Bem'!$D76+5*b_UZ/1000*H43/1000+0.3*2*'Hilfstabellen_Mat&amp;Bem'!$E76)*(('Rasterbemessung DE UZ ST'!H$27*1000)^2)*gamma_mfi)/(4*b_ef_UZ*k_modfi*k_fi_UZ*'Hilfstabellen_Mat&amp;Bem'!$BC$16))+d_char_UZ),
(((3*(2*'Hilfstabellen_Mat&amp;Bem'!$D76+5*b_UZ/1000*H43/1000+0.3*2*'Hilfstabellen_Mat&amp;Bem'!$E76)*H$27*1000*gamma_mfi)/(4*b_ef_UZ*'Hilfstabellen_Mat&amp;Bem'!$BC$24*k_fi_UZ*'Hilfstabellen_Mat&amp;Bem'!$BC$22*k_modfi))+d_char_UZ)))/RUWE_UZ,0)*RUWE_UZ,200)</f>
        <v>280</v>
      </c>
      <c r="I43" s="468">
        <f ca="1">IFERROR(ROUNDUP((MAX((SQRT((3*(2*'Hilfstabellen_Mat&amp;Bem'!$D76+5*b_UZ/1000*I43/1000+0.3*2*'Hilfstabellen_Mat&amp;Bem'!$E76)*(('Rasterbemessung DE UZ ST'!I$27*1000)^2)*gamma_mfi)/(4*b_ef_UZ*k_modfi*k_fi_UZ*'Hilfstabellen_Mat&amp;Bem'!$BC$16))+d_char_UZ),
(((3*(2*'Hilfstabellen_Mat&amp;Bem'!$D76+5*b_UZ/1000*I43/1000+0.3*2*'Hilfstabellen_Mat&amp;Bem'!$E76)*I$27*1000*gamma_mfi)/(4*b_ef_UZ*'Hilfstabellen_Mat&amp;Bem'!$BC$24*k_fi_UZ*'Hilfstabellen_Mat&amp;Bem'!$BC$22*k_modfi))+d_char_UZ)))/RUWE_UZ,0)*RUWE_UZ,200)</f>
        <v>280</v>
      </c>
      <c r="J43" s="468">
        <f ca="1">IFERROR(ROUNDUP((MAX((SQRT((3*(2*'Hilfstabellen_Mat&amp;Bem'!$D76+5*b_UZ/1000*J43/1000+0.3*2*'Hilfstabellen_Mat&amp;Bem'!$E76)*(('Rasterbemessung DE UZ ST'!J$27*1000)^2)*gamma_mfi)/(4*b_ef_UZ*k_modfi*k_fi_UZ*'Hilfstabellen_Mat&amp;Bem'!$BC$16))+d_char_UZ),
(((3*(2*'Hilfstabellen_Mat&amp;Bem'!$D76+5*b_UZ/1000*J43/1000+0.3*2*'Hilfstabellen_Mat&amp;Bem'!$E76)*J$27*1000*gamma_mfi)/(4*b_ef_UZ*'Hilfstabellen_Mat&amp;Bem'!$BC$24*k_fi_UZ*'Hilfstabellen_Mat&amp;Bem'!$BC$22*k_modfi))+d_char_UZ)))/RUWE_UZ,0)*RUWE_UZ,200)</f>
        <v>320</v>
      </c>
      <c r="K43" s="468">
        <f ca="1">IFERROR(ROUNDUP((MAX((SQRT((3*(2*'Hilfstabellen_Mat&amp;Bem'!$D76+5*b_UZ/1000*K43/1000+0.3*2*'Hilfstabellen_Mat&amp;Bem'!$E76)*(('Rasterbemessung DE UZ ST'!K$27*1000)^2)*gamma_mfi)/(4*b_ef_UZ*k_modfi*k_fi_UZ*'Hilfstabellen_Mat&amp;Bem'!$BC$16))+d_char_UZ),
(((3*(2*'Hilfstabellen_Mat&amp;Bem'!$D76+5*b_UZ/1000*K43/1000+0.3*2*'Hilfstabellen_Mat&amp;Bem'!$E76)*K$27*1000*gamma_mfi)/(4*b_ef_UZ*'Hilfstabellen_Mat&amp;Bem'!$BC$24*k_fi_UZ*'Hilfstabellen_Mat&amp;Bem'!$BC$22*k_modfi))+d_char_UZ)))/RUWE_UZ,0)*RUWE_UZ,200)</f>
        <v>320</v>
      </c>
      <c r="L43" s="468">
        <f ca="1">IFERROR(ROUNDUP((MAX((SQRT((3*(2*'Hilfstabellen_Mat&amp;Bem'!$D76+5*b_UZ/1000*L43/1000+0.3*2*'Hilfstabellen_Mat&amp;Bem'!$E76)*(('Rasterbemessung DE UZ ST'!L$27*1000)^2)*gamma_mfi)/(4*b_ef_UZ*k_modfi*k_fi_UZ*'Hilfstabellen_Mat&amp;Bem'!$BC$16))+d_char_UZ),
(((3*(2*'Hilfstabellen_Mat&amp;Bem'!$D76+5*b_UZ/1000*L43/1000+0.3*2*'Hilfstabellen_Mat&amp;Bem'!$E76)*L$27*1000*gamma_mfi)/(4*b_ef_UZ*'Hilfstabellen_Mat&amp;Bem'!$BC$24*k_fi_UZ*'Hilfstabellen_Mat&amp;Bem'!$BC$22*k_modfi))+d_char_UZ)))/RUWE_UZ,0)*RUWE_UZ,200)</f>
        <v>360</v>
      </c>
      <c r="M43" s="468">
        <f ca="1">IFERROR(ROUNDUP((MAX((SQRT((3*(2*'Hilfstabellen_Mat&amp;Bem'!$D76+5*b_UZ/1000*M43/1000+0.3*2*'Hilfstabellen_Mat&amp;Bem'!$E76)*(('Rasterbemessung DE UZ ST'!M$27*1000)^2)*gamma_mfi)/(4*b_ef_UZ*k_modfi*k_fi_UZ*'Hilfstabellen_Mat&amp;Bem'!$BC$16))+d_char_UZ),
(((3*(2*'Hilfstabellen_Mat&amp;Bem'!$D76+5*b_UZ/1000*M43/1000+0.3*2*'Hilfstabellen_Mat&amp;Bem'!$E76)*M$27*1000*gamma_mfi)/(4*b_ef_UZ*'Hilfstabellen_Mat&amp;Bem'!$BC$24*k_fi_UZ*'Hilfstabellen_Mat&amp;Bem'!$BC$22*k_modfi))+d_char_UZ)))/RUWE_UZ,0)*RUWE_UZ,200)</f>
        <v>360</v>
      </c>
    </row>
    <row r="44" spans="1:75" ht="15" customHeight="1">
      <c r="A44" s="1458"/>
      <c r="B44" s="481">
        <f>'Hilfstabellen_Mat&amp;Bem'!$D55</f>
        <v>3.5</v>
      </c>
      <c r="C44" s="468">
        <f ca="1">IFERROR(ROUNDUP((MAX((SQRT((3*(2*'Hilfstabellen_Mat&amp;Bem'!$D77+5*b_UZ/1000*C44/1000+0.3*2*'Hilfstabellen_Mat&amp;Bem'!$E77)*(('Rasterbemessung DE UZ ST'!C$27*1000)^2)*gamma_mfi)/(4*b_ef_UZ*k_modfi*k_fi_UZ*'Hilfstabellen_Mat&amp;Bem'!$BC$16))+d_char_UZ),
(((3*(2*'Hilfstabellen_Mat&amp;Bem'!$D77+5*b_UZ/1000*C44/1000+0.3*2*'Hilfstabellen_Mat&amp;Bem'!$E77)*C$27*1000*gamma_mfi)/(4*b_ef_UZ*'Hilfstabellen_Mat&amp;Bem'!$BC$24*k_fi_UZ*'Hilfstabellen_Mat&amp;Bem'!$BC$22*k_modfi))+d_char_UZ)))/RUWE_UZ,0)*RUWE_UZ,200)</f>
        <v>200</v>
      </c>
      <c r="D44" s="468">
        <f ca="1">IFERROR(ROUNDUP((MAX((SQRT((3*(2*'Hilfstabellen_Mat&amp;Bem'!$D77+5*b_UZ/1000*D44/1000+0.3*2*'Hilfstabellen_Mat&amp;Bem'!$E77)*(('Rasterbemessung DE UZ ST'!D$27*1000)^2)*gamma_mfi)/(4*b_ef_UZ*k_modfi*k_fi_UZ*'Hilfstabellen_Mat&amp;Bem'!$BC$16))+d_char_UZ),
(((3*(2*'Hilfstabellen_Mat&amp;Bem'!$D77+5*b_UZ/1000*D44/1000+0.3*2*'Hilfstabellen_Mat&amp;Bem'!$E77)*D$27*1000*gamma_mfi)/(4*b_ef_UZ*'Hilfstabellen_Mat&amp;Bem'!$BC$24*k_fi_UZ*'Hilfstabellen_Mat&amp;Bem'!$BC$22*k_modfi))+d_char_UZ)))/RUWE_UZ,0)*RUWE_UZ,200)</f>
        <v>200</v>
      </c>
      <c r="E44" s="468">
        <f ca="1">IFERROR(ROUNDUP((MAX((SQRT((3*(2*'Hilfstabellen_Mat&amp;Bem'!$D77+5*b_UZ/1000*E44/1000+0.3*2*'Hilfstabellen_Mat&amp;Bem'!$E77)*(('Rasterbemessung DE UZ ST'!E$27*1000)^2)*gamma_mfi)/(4*b_ef_UZ*k_modfi*k_fi_UZ*'Hilfstabellen_Mat&amp;Bem'!$BC$16))+d_char_UZ),
(((3*(2*'Hilfstabellen_Mat&amp;Bem'!$D77+5*b_UZ/1000*E44/1000+0.3*2*'Hilfstabellen_Mat&amp;Bem'!$E77)*E$27*1000*gamma_mfi)/(4*b_ef_UZ*'Hilfstabellen_Mat&amp;Bem'!$BC$24*k_fi_UZ*'Hilfstabellen_Mat&amp;Bem'!$BC$22*k_modfi))+d_char_UZ)))/RUWE_UZ,0)*RUWE_UZ,200)</f>
        <v>240</v>
      </c>
      <c r="F44" s="468">
        <f ca="1">IFERROR(ROUNDUP((MAX((SQRT((3*(2*'Hilfstabellen_Mat&amp;Bem'!$D77+5*b_UZ/1000*F44/1000+0.3*2*'Hilfstabellen_Mat&amp;Bem'!$E77)*(('Rasterbemessung DE UZ ST'!F$27*1000)^2)*gamma_mfi)/(4*b_ef_UZ*k_modfi*k_fi_UZ*'Hilfstabellen_Mat&amp;Bem'!$BC$16))+d_char_UZ),
(((3*(2*'Hilfstabellen_Mat&amp;Bem'!$D77+5*b_UZ/1000*F44/1000+0.3*2*'Hilfstabellen_Mat&amp;Bem'!$E77)*F$27*1000*gamma_mfi)/(4*b_ef_UZ*'Hilfstabellen_Mat&amp;Bem'!$BC$24*k_fi_UZ*'Hilfstabellen_Mat&amp;Bem'!$BC$22*k_modfi))+d_char_UZ)))/RUWE_UZ,0)*RUWE_UZ,200)</f>
        <v>240</v>
      </c>
      <c r="G44" s="468">
        <f ca="1">IFERROR(ROUNDUP((MAX((SQRT((3*(2*'Hilfstabellen_Mat&amp;Bem'!$D77+5*b_UZ/1000*G44/1000+0.3*2*'Hilfstabellen_Mat&amp;Bem'!$E77)*(('Rasterbemessung DE UZ ST'!G$27*1000)^2)*gamma_mfi)/(4*b_ef_UZ*k_modfi*k_fi_UZ*'Hilfstabellen_Mat&amp;Bem'!$BC$16))+d_char_UZ),
(((3*(2*'Hilfstabellen_Mat&amp;Bem'!$D77+5*b_UZ/1000*G44/1000+0.3*2*'Hilfstabellen_Mat&amp;Bem'!$E77)*G$27*1000*gamma_mfi)/(4*b_ef_UZ*'Hilfstabellen_Mat&amp;Bem'!$BC$24*k_fi_UZ*'Hilfstabellen_Mat&amp;Bem'!$BC$22*k_modfi))+d_char_UZ)))/RUWE_UZ,0)*RUWE_UZ,200)</f>
        <v>280</v>
      </c>
      <c r="H44" s="468">
        <f ca="1">IFERROR(ROUNDUP((MAX((SQRT((3*(2*'Hilfstabellen_Mat&amp;Bem'!$D77+5*b_UZ/1000*H44/1000+0.3*2*'Hilfstabellen_Mat&amp;Bem'!$E77)*(('Rasterbemessung DE UZ ST'!H$27*1000)^2)*gamma_mfi)/(4*b_ef_UZ*k_modfi*k_fi_UZ*'Hilfstabellen_Mat&amp;Bem'!$BC$16))+d_char_UZ),
(((3*(2*'Hilfstabellen_Mat&amp;Bem'!$D77+5*b_UZ/1000*H44/1000+0.3*2*'Hilfstabellen_Mat&amp;Bem'!$E77)*H$27*1000*gamma_mfi)/(4*b_ef_UZ*'Hilfstabellen_Mat&amp;Bem'!$BC$24*k_fi_UZ*'Hilfstabellen_Mat&amp;Bem'!$BC$22*k_modfi))+d_char_UZ)))/RUWE_UZ,0)*RUWE_UZ,200)</f>
        <v>280</v>
      </c>
      <c r="I44" s="468">
        <f ca="1">IFERROR(ROUNDUP((MAX((SQRT((3*(2*'Hilfstabellen_Mat&amp;Bem'!$D77+5*b_UZ/1000*I44/1000+0.3*2*'Hilfstabellen_Mat&amp;Bem'!$E77)*(('Rasterbemessung DE UZ ST'!I$27*1000)^2)*gamma_mfi)/(4*b_ef_UZ*k_modfi*k_fi_UZ*'Hilfstabellen_Mat&amp;Bem'!$BC$16))+d_char_UZ),
(((3*(2*'Hilfstabellen_Mat&amp;Bem'!$D77+5*b_UZ/1000*I44/1000+0.3*2*'Hilfstabellen_Mat&amp;Bem'!$E77)*I$27*1000*gamma_mfi)/(4*b_ef_UZ*'Hilfstabellen_Mat&amp;Bem'!$BC$24*k_fi_UZ*'Hilfstabellen_Mat&amp;Bem'!$BC$22*k_modfi))+d_char_UZ)))/RUWE_UZ,0)*RUWE_UZ,200)</f>
        <v>320</v>
      </c>
      <c r="J44" s="468">
        <f ca="1">IFERROR(ROUNDUP((MAX((SQRT((3*(2*'Hilfstabellen_Mat&amp;Bem'!$D77+5*b_UZ/1000*J44/1000+0.3*2*'Hilfstabellen_Mat&amp;Bem'!$E77)*(('Rasterbemessung DE UZ ST'!J$27*1000)^2)*gamma_mfi)/(4*b_ef_UZ*k_modfi*k_fi_UZ*'Hilfstabellen_Mat&amp;Bem'!$BC$16))+d_char_UZ),
(((3*(2*'Hilfstabellen_Mat&amp;Bem'!$D77+5*b_UZ/1000*J44/1000+0.3*2*'Hilfstabellen_Mat&amp;Bem'!$E77)*J$27*1000*gamma_mfi)/(4*b_ef_UZ*'Hilfstabellen_Mat&amp;Bem'!$BC$24*k_fi_UZ*'Hilfstabellen_Mat&amp;Bem'!$BC$22*k_modfi))+d_char_UZ)))/RUWE_UZ,0)*RUWE_UZ,200)</f>
        <v>360</v>
      </c>
      <c r="K44" s="468">
        <f ca="1">IFERROR(ROUNDUP((MAX((SQRT((3*(2*'Hilfstabellen_Mat&amp;Bem'!$D77+5*b_UZ/1000*K44/1000+0.3*2*'Hilfstabellen_Mat&amp;Bem'!$E77)*(('Rasterbemessung DE UZ ST'!K$27*1000)^2)*gamma_mfi)/(4*b_ef_UZ*k_modfi*k_fi_UZ*'Hilfstabellen_Mat&amp;Bem'!$BC$16))+d_char_UZ),
(((3*(2*'Hilfstabellen_Mat&amp;Bem'!$D77+5*b_UZ/1000*K44/1000+0.3*2*'Hilfstabellen_Mat&amp;Bem'!$E77)*K$27*1000*gamma_mfi)/(4*b_ef_UZ*'Hilfstabellen_Mat&amp;Bem'!$BC$24*k_fi_UZ*'Hilfstabellen_Mat&amp;Bem'!$BC$22*k_modfi))+d_char_UZ)))/RUWE_UZ,0)*RUWE_UZ,200)</f>
        <v>360</v>
      </c>
      <c r="L44" s="468">
        <f ca="1">IFERROR(ROUNDUP((MAX((SQRT((3*(2*'Hilfstabellen_Mat&amp;Bem'!$D77+5*b_UZ/1000*L44/1000+0.3*2*'Hilfstabellen_Mat&amp;Bem'!$E77)*(('Rasterbemessung DE UZ ST'!L$27*1000)^2)*gamma_mfi)/(4*b_ef_UZ*k_modfi*k_fi_UZ*'Hilfstabellen_Mat&amp;Bem'!$BC$16))+d_char_UZ),
(((3*(2*'Hilfstabellen_Mat&amp;Bem'!$D77+5*b_UZ/1000*L44/1000+0.3*2*'Hilfstabellen_Mat&amp;Bem'!$E77)*L$27*1000*gamma_mfi)/(4*b_ef_UZ*'Hilfstabellen_Mat&amp;Bem'!$BC$24*k_fi_UZ*'Hilfstabellen_Mat&amp;Bem'!$BC$22*k_modfi))+d_char_UZ)))/RUWE_UZ,0)*RUWE_UZ,200)</f>
        <v>400</v>
      </c>
      <c r="M44" s="468">
        <f ca="1">IFERROR(ROUNDUP((MAX((SQRT((3*(2*'Hilfstabellen_Mat&amp;Bem'!$D77+5*b_UZ/1000*M44/1000+0.3*2*'Hilfstabellen_Mat&amp;Bem'!$E77)*(('Rasterbemessung DE UZ ST'!M$27*1000)^2)*gamma_mfi)/(4*b_ef_UZ*k_modfi*k_fi_UZ*'Hilfstabellen_Mat&amp;Bem'!$BC$16))+d_char_UZ),
(((3*(2*'Hilfstabellen_Mat&amp;Bem'!$D77+5*b_UZ/1000*M44/1000+0.3*2*'Hilfstabellen_Mat&amp;Bem'!$E77)*M$27*1000*gamma_mfi)/(4*b_ef_UZ*'Hilfstabellen_Mat&amp;Bem'!$BC$24*k_fi_UZ*'Hilfstabellen_Mat&amp;Bem'!$BC$22*k_modfi))+d_char_UZ)))/RUWE_UZ,0)*RUWE_UZ,200)</f>
        <v>400</v>
      </c>
      <c r="T44" s="330"/>
      <c r="U44" s="330"/>
      <c r="V44" s="330"/>
      <c r="W44" s="330"/>
      <c r="X44" s="330"/>
      <c r="Y44" s="330"/>
      <c r="AF44" s="330"/>
      <c r="AG44" s="330"/>
    </row>
    <row r="45" spans="1:75" ht="15" customHeight="1">
      <c r="A45" s="1458"/>
      <c r="B45" s="481">
        <f>'Hilfstabellen_Mat&amp;Bem'!$D56</f>
        <v>4</v>
      </c>
      <c r="C45" s="468">
        <f ca="1">IFERROR(ROUNDUP((MAX((SQRT((3*(2*'Hilfstabellen_Mat&amp;Bem'!$D78+5*b_UZ/1000*C45/1000+0.3*2*'Hilfstabellen_Mat&amp;Bem'!$E78)*(('Rasterbemessung DE UZ ST'!C$27*1000)^2)*gamma_mfi)/(4*b_ef_UZ*k_modfi*k_fi_UZ*'Hilfstabellen_Mat&amp;Bem'!$BC$16))+d_char_UZ),
(((3*(2*'Hilfstabellen_Mat&amp;Bem'!$D78+5*b_UZ/1000*C45/1000+0.3*2*'Hilfstabellen_Mat&amp;Bem'!$E78)*C$27*1000*gamma_mfi)/(4*b_ef_UZ*'Hilfstabellen_Mat&amp;Bem'!$BC$24*k_fi_UZ*'Hilfstabellen_Mat&amp;Bem'!$BC$22*k_modfi))+d_char_UZ)))/RUWE_UZ,0)*RUWE_UZ,200)</f>
        <v>200</v>
      </c>
      <c r="D45" s="468">
        <f ca="1">IFERROR(ROUNDUP((MAX((SQRT((3*(2*'Hilfstabellen_Mat&amp;Bem'!$D78+5*b_UZ/1000*D45/1000+0.3*2*'Hilfstabellen_Mat&amp;Bem'!$E78)*(('Rasterbemessung DE UZ ST'!D$27*1000)^2)*gamma_mfi)/(4*b_ef_UZ*k_modfi*k_fi_UZ*'Hilfstabellen_Mat&amp;Bem'!$BC$16))+d_char_UZ),
(((3*(2*'Hilfstabellen_Mat&amp;Bem'!$D78+5*b_UZ/1000*D45/1000+0.3*2*'Hilfstabellen_Mat&amp;Bem'!$E78)*D$27*1000*gamma_mfi)/(4*b_ef_UZ*'Hilfstabellen_Mat&amp;Bem'!$BC$24*k_fi_UZ*'Hilfstabellen_Mat&amp;Bem'!$BC$22*k_modfi))+d_char_UZ)))/RUWE_UZ,0)*RUWE_UZ,200)</f>
        <v>240</v>
      </c>
      <c r="E45" s="468">
        <f ca="1">IFERROR(ROUNDUP((MAX((SQRT((3*(2*'Hilfstabellen_Mat&amp;Bem'!$D78+5*b_UZ/1000*E45/1000+0.3*2*'Hilfstabellen_Mat&amp;Bem'!$E78)*(('Rasterbemessung DE UZ ST'!E$27*1000)^2)*gamma_mfi)/(4*b_ef_UZ*k_modfi*k_fi_UZ*'Hilfstabellen_Mat&amp;Bem'!$BC$16))+d_char_UZ),
(((3*(2*'Hilfstabellen_Mat&amp;Bem'!$D78+5*b_UZ/1000*E45/1000+0.3*2*'Hilfstabellen_Mat&amp;Bem'!$E78)*E$27*1000*gamma_mfi)/(4*b_ef_UZ*'Hilfstabellen_Mat&amp;Bem'!$BC$24*k_fi_UZ*'Hilfstabellen_Mat&amp;Bem'!$BC$22*k_modfi))+d_char_UZ)))/RUWE_UZ,0)*RUWE_UZ,200)</f>
        <v>240</v>
      </c>
      <c r="F45" s="468">
        <f ca="1">IFERROR(ROUNDUP((MAX((SQRT((3*(2*'Hilfstabellen_Mat&amp;Bem'!$D78+5*b_UZ/1000*F45/1000+0.3*2*'Hilfstabellen_Mat&amp;Bem'!$E78)*(('Rasterbemessung DE UZ ST'!F$27*1000)^2)*gamma_mfi)/(4*b_ef_UZ*k_modfi*k_fi_UZ*'Hilfstabellen_Mat&amp;Bem'!$BC$16))+d_char_UZ),
(((3*(2*'Hilfstabellen_Mat&amp;Bem'!$D78+5*b_UZ/1000*F45/1000+0.3*2*'Hilfstabellen_Mat&amp;Bem'!$E78)*F$27*1000*gamma_mfi)/(4*b_ef_UZ*'Hilfstabellen_Mat&amp;Bem'!$BC$24*k_fi_UZ*'Hilfstabellen_Mat&amp;Bem'!$BC$22*k_modfi))+d_char_UZ)))/RUWE_UZ,0)*RUWE_UZ,200)</f>
        <v>240</v>
      </c>
      <c r="G45" s="468">
        <f ca="1">IFERROR(ROUNDUP((MAX((SQRT((3*(2*'Hilfstabellen_Mat&amp;Bem'!$D78+5*b_UZ/1000*G45/1000+0.3*2*'Hilfstabellen_Mat&amp;Bem'!$E78)*(('Rasterbemessung DE UZ ST'!G$27*1000)^2)*gamma_mfi)/(4*b_ef_UZ*k_modfi*k_fi_UZ*'Hilfstabellen_Mat&amp;Bem'!$BC$16))+d_char_UZ),
(((3*(2*'Hilfstabellen_Mat&amp;Bem'!$D78+5*b_UZ/1000*G45/1000+0.3*2*'Hilfstabellen_Mat&amp;Bem'!$E78)*G$27*1000*gamma_mfi)/(4*b_ef_UZ*'Hilfstabellen_Mat&amp;Bem'!$BC$24*k_fi_UZ*'Hilfstabellen_Mat&amp;Bem'!$BC$22*k_modfi))+d_char_UZ)))/RUWE_UZ,0)*RUWE_UZ,200)</f>
        <v>280</v>
      </c>
      <c r="H45" s="468">
        <f ca="1">IFERROR(ROUNDUP((MAX((SQRT((3*(2*'Hilfstabellen_Mat&amp;Bem'!$D78+5*b_UZ/1000*H45/1000+0.3*2*'Hilfstabellen_Mat&amp;Bem'!$E78)*(('Rasterbemessung DE UZ ST'!H$27*1000)^2)*gamma_mfi)/(4*b_ef_UZ*k_modfi*k_fi_UZ*'Hilfstabellen_Mat&amp;Bem'!$BC$16))+d_char_UZ),
(((3*(2*'Hilfstabellen_Mat&amp;Bem'!$D78+5*b_UZ/1000*H45/1000+0.3*2*'Hilfstabellen_Mat&amp;Bem'!$E78)*H$27*1000*gamma_mfi)/(4*b_ef_UZ*'Hilfstabellen_Mat&amp;Bem'!$BC$24*k_fi_UZ*'Hilfstabellen_Mat&amp;Bem'!$BC$22*k_modfi))+d_char_UZ)))/RUWE_UZ,0)*RUWE_UZ,200)</f>
        <v>320</v>
      </c>
      <c r="I45" s="468">
        <f ca="1">IFERROR(ROUNDUP((MAX((SQRT((3*(2*'Hilfstabellen_Mat&amp;Bem'!$D78+5*b_UZ/1000*I45/1000+0.3*2*'Hilfstabellen_Mat&amp;Bem'!$E78)*(('Rasterbemessung DE UZ ST'!I$27*1000)^2)*gamma_mfi)/(4*b_ef_UZ*k_modfi*k_fi_UZ*'Hilfstabellen_Mat&amp;Bem'!$BC$16))+d_char_UZ),
(((3*(2*'Hilfstabellen_Mat&amp;Bem'!$D78+5*b_UZ/1000*I45/1000+0.3*2*'Hilfstabellen_Mat&amp;Bem'!$E78)*I$27*1000*gamma_mfi)/(4*b_ef_UZ*'Hilfstabellen_Mat&amp;Bem'!$BC$24*k_fi_UZ*'Hilfstabellen_Mat&amp;Bem'!$BC$22*k_modfi))+d_char_UZ)))/RUWE_UZ,0)*RUWE_UZ,200)</f>
        <v>320</v>
      </c>
      <c r="J45" s="468">
        <f ca="1">IFERROR(ROUNDUP((MAX((SQRT((3*(2*'Hilfstabellen_Mat&amp;Bem'!$D78+5*b_UZ/1000*J45/1000+0.3*2*'Hilfstabellen_Mat&amp;Bem'!$E78)*(('Rasterbemessung DE UZ ST'!J$27*1000)^2)*gamma_mfi)/(4*b_ef_UZ*k_modfi*k_fi_UZ*'Hilfstabellen_Mat&amp;Bem'!$BC$16))+d_char_UZ),
(((3*(2*'Hilfstabellen_Mat&amp;Bem'!$D78+5*b_UZ/1000*J45/1000+0.3*2*'Hilfstabellen_Mat&amp;Bem'!$E78)*J$27*1000*gamma_mfi)/(4*b_ef_UZ*'Hilfstabellen_Mat&amp;Bem'!$BC$24*k_fi_UZ*'Hilfstabellen_Mat&amp;Bem'!$BC$22*k_modfi))+d_char_UZ)))/RUWE_UZ,0)*RUWE_UZ,200)</f>
        <v>360</v>
      </c>
      <c r="K45" s="468">
        <f ca="1">IFERROR(ROUNDUP((MAX((SQRT((3*(2*'Hilfstabellen_Mat&amp;Bem'!$D78+5*b_UZ/1000*K45/1000+0.3*2*'Hilfstabellen_Mat&amp;Bem'!$E78)*(('Rasterbemessung DE UZ ST'!K$27*1000)^2)*gamma_mfi)/(4*b_ef_UZ*k_modfi*k_fi_UZ*'Hilfstabellen_Mat&amp;Bem'!$BC$16))+d_char_UZ),
(((3*(2*'Hilfstabellen_Mat&amp;Bem'!$D78+5*b_UZ/1000*K45/1000+0.3*2*'Hilfstabellen_Mat&amp;Bem'!$E78)*K$27*1000*gamma_mfi)/(4*b_ef_UZ*'Hilfstabellen_Mat&amp;Bem'!$BC$24*k_fi_UZ*'Hilfstabellen_Mat&amp;Bem'!$BC$22*k_modfi))+d_char_UZ)))/RUWE_UZ,0)*RUWE_UZ,200)</f>
        <v>400</v>
      </c>
      <c r="L45" s="468">
        <f ca="1">IFERROR(ROUNDUP((MAX((SQRT((3*(2*'Hilfstabellen_Mat&amp;Bem'!$D78+5*b_UZ/1000*L45/1000+0.3*2*'Hilfstabellen_Mat&amp;Bem'!$E78)*(('Rasterbemessung DE UZ ST'!L$27*1000)^2)*gamma_mfi)/(4*b_ef_UZ*k_modfi*k_fi_UZ*'Hilfstabellen_Mat&amp;Bem'!$BC$16))+d_char_UZ),
(((3*(2*'Hilfstabellen_Mat&amp;Bem'!$D78+5*b_UZ/1000*L45/1000+0.3*2*'Hilfstabellen_Mat&amp;Bem'!$E78)*L$27*1000*gamma_mfi)/(4*b_ef_UZ*'Hilfstabellen_Mat&amp;Bem'!$BC$24*k_fi_UZ*'Hilfstabellen_Mat&amp;Bem'!$BC$22*k_modfi))+d_char_UZ)))/RUWE_UZ,0)*RUWE_UZ,200)</f>
        <v>400</v>
      </c>
      <c r="M45" s="468">
        <f ca="1">IFERROR(ROUNDUP((MAX((SQRT((3*(2*'Hilfstabellen_Mat&amp;Bem'!$D78+5*b_UZ/1000*M45/1000+0.3*2*'Hilfstabellen_Mat&amp;Bem'!$E78)*(('Rasterbemessung DE UZ ST'!M$27*1000)^2)*gamma_mfi)/(4*b_ef_UZ*k_modfi*k_fi_UZ*'Hilfstabellen_Mat&amp;Bem'!$BC$16))+d_char_UZ),
(((3*(2*'Hilfstabellen_Mat&amp;Bem'!$D78+5*b_UZ/1000*M45/1000+0.3*2*'Hilfstabellen_Mat&amp;Bem'!$E78)*M$27*1000*gamma_mfi)/(4*b_ef_UZ*'Hilfstabellen_Mat&amp;Bem'!$BC$24*k_fi_UZ*'Hilfstabellen_Mat&amp;Bem'!$BC$22*k_modfi))+d_char_UZ)))/RUWE_UZ,0)*RUWE_UZ,200)</f>
        <v>440</v>
      </c>
      <c r="Z45" s="330"/>
      <c r="AA45" s="330"/>
      <c r="AB45" s="330"/>
      <c r="AC45" s="330"/>
      <c r="AD45" s="330"/>
    </row>
    <row r="46" spans="1:75" ht="15" customHeight="1">
      <c r="A46" s="1458"/>
      <c r="B46" s="481">
        <f>'Hilfstabellen_Mat&amp;Bem'!$D57</f>
        <v>4.5</v>
      </c>
      <c r="C46" s="468">
        <f ca="1">IFERROR(ROUNDUP((MAX((SQRT((3*(2*'Hilfstabellen_Mat&amp;Bem'!$D79+5*b_UZ/1000*C46/1000+0.3*2*'Hilfstabellen_Mat&amp;Bem'!$E79)*(('Rasterbemessung DE UZ ST'!C$27*1000)^2)*gamma_mfi)/(4*b_ef_UZ*k_modfi*k_fi_UZ*'Hilfstabellen_Mat&amp;Bem'!$BC$16))+d_char_UZ),
(((3*(2*'Hilfstabellen_Mat&amp;Bem'!$D79+5*b_UZ/1000*C46/1000+0.3*2*'Hilfstabellen_Mat&amp;Bem'!$E79)*C$27*1000*gamma_mfi)/(4*b_ef_UZ*'Hilfstabellen_Mat&amp;Bem'!$BC$24*k_fi_UZ*'Hilfstabellen_Mat&amp;Bem'!$BC$22*k_modfi))+d_char_UZ)))/RUWE_UZ,0)*RUWE_UZ,200)</f>
        <v>240</v>
      </c>
      <c r="D46" s="468">
        <f ca="1">IFERROR(ROUNDUP((MAX((SQRT((3*(2*'Hilfstabellen_Mat&amp;Bem'!$D79+5*b_UZ/1000*D46/1000+0.3*2*'Hilfstabellen_Mat&amp;Bem'!$E79)*(('Rasterbemessung DE UZ ST'!D$27*1000)^2)*gamma_mfi)/(4*b_ef_UZ*k_modfi*k_fi_UZ*'Hilfstabellen_Mat&amp;Bem'!$BC$16))+d_char_UZ),
(((3*(2*'Hilfstabellen_Mat&amp;Bem'!$D79+5*b_UZ/1000*D46/1000+0.3*2*'Hilfstabellen_Mat&amp;Bem'!$E79)*D$27*1000*gamma_mfi)/(4*b_ef_UZ*'Hilfstabellen_Mat&amp;Bem'!$BC$24*k_fi_UZ*'Hilfstabellen_Mat&amp;Bem'!$BC$22*k_modfi))+d_char_UZ)))/RUWE_UZ,0)*RUWE_UZ,200)</f>
        <v>240</v>
      </c>
      <c r="E46" s="468">
        <f ca="1">IFERROR(ROUNDUP((MAX((SQRT((3*(2*'Hilfstabellen_Mat&amp;Bem'!$D79+5*b_UZ/1000*E46/1000+0.3*2*'Hilfstabellen_Mat&amp;Bem'!$E79)*(('Rasterbemessung DE UZ ST'!E$27*1000)^2)*gamma_mfi)/(4*b_ef_UZ*k_modfi*k_fi_UZ*'Hilfstabellen_Mat&amp;Bem'!$BC$16))+d_char_UZ),
(((3*(2*'Hilfstabellen_Mat&amp;Bem'!$D79+5*b_UZ/1000*E46/1000+0.3*2*'Hilfstabellen_Mat&amp;Bem'!$E79)*E$27*1000*gamma_mfi)/(4*b_ef_UZ*'Hilfstabellen_Mat&amp;Bem'!$BC$24*k_fi_UZ*'Hilfstabellen_Mat&amp;Bem'!$BC$22*k_modfi))+d_char_UZ)))/RUWE_UZ,0)*RUWE_UZ,200)</f>
        <v>240</v>
      </c>
      <c r="F46" s="468">
        <f ca="1">IFERROR(ROUNDUP((MAX((SQRT((3*(2*'Hilfstabellen_Mat&amp;Bem'!$D79+5*b_UZ/1000*F46/1000+0.3*2*'Hilfstabellen_Mat&amp;Bem'!$E79)*(('Rasterbemessung DE UZ ST'!F$27*1000)^2)*gamma_mfi)/(4*b_ef_UZ*k_modfi*k_fi_UZ*'Hilfstabellen_Mat&amp;Bem'!$BC$16))+d_char_UZ),
(((3*(2*'Hilfstabellen_Mat&amp;Bem'!$D79+5*b_UZ/1000*F46/1000+0.3*2*'Hilfstabellen_Mat&amp;Bem'!$E79)*F$27*1000*gamma_mfi)/(4*b_ef_UZ*'Hilfstabellen_Mat&amp;Bem'!$BC$24*k_fi_UZ*'Hilfstabellen_Mat&amp;Bem'!$BC$22*k_modfi))+d_char_UZ)))/RUWE_UZ,0)*RUWE_UZ,200)</f>
        <v>280</v>
      </c>
      <c r="G46" s="468">
        <f ca="1">IFERROR(ROUNDUP((MAX((SQRT((3*(2*'Hilfstabellen_Mat&amp;Bem'!$D79+5*b_UZ/1000*G46/1000+0.3*2*'Hilfstabellen_Mat&amp;Bem'!$E79)*(('Rasterbemessung DE UZ ST'!G$27*1000)^2)*gamma_mfi)/(4*b_ef_UZ*k_modfi*k_fi_UZ*'Hilfstabellen_Mat&amp;Bem'!$BC$16))+d_char_UZ),
(((3*(2*'Hilfstabellen_Mat&amp;Bem'!$D79+5*b_UZ/1000*G46/1000+0.3*2*'Hilfstabellen_Mat&amp;Bem'!$E79)*G$27*1000*gamma_mfi)/(4*b_ef_UZ*'Hilfstabellen_Mat&amp;Bem'!$BC$24*k_fi_UZ*'Hilfstabellen_Mat&amp;Bem'!$BC$22*k_modfi))+d_char_UZ)))/RUWE_UZ,0)*RUWE_UZ,200)</f>
        <v>280</v>
      </c>
      <c r="H46" s="468">
        <f ca="1">IFERROR(ROUNDUP((MAX((SQRT((3*(2*'Hilfstabellen_Mat&amp;Bem'!$D79+5*b_UZ/1000*H46/1000+0.3*2*'Hilfstabellen_Mat&amp;Bem'!$E79)*(('Rasterbemessung DE UZ ST'!H$27*1000)^2)*gamma_mfi)/(4*b_ef_UZ*k_modfi*k_fi_UZ*'Hilfstabellen_Mat&amp;Bem'!$BC$16))+d_char_UZ),
(((3*(2*'Hilfstabellen_Mat&amp;Bem'!$D79+5*b_UZ/1000*H46/1000+0.3*2*'Hilfstabellen_Mat&amp;Bem'!$E79)*H$27*1000*gamma_mfi)/(4*b_ef_UZ*'Hilfstabellen_Mat&amp;Bem'!$BC$24*k_fi_UZ*'Hilfstabellen_Mat&amp;Bem'!$BC$22*k_modfi))+d_char_UZ)))/RUWE_UZ,0)*RUWE_UZ,200)</f>
        <v>320</v>
      </c>
      <c r="I46" s="468">
        <f ca="1">IFERROR(ROUNDUP((MAX((SQRT((3*(2*'Hilfstabellen_Mat&amp;Bem'!$D79+5*b_UZ/1000*I46/1000+0.3*2*'Hilfstabellen_Mat&amp;Bem'!$E79)*(('Rasterbemessung DE UZ ST'!I$27*1000)^2)*gamma_mfi)/(4*b_ef_UZ*k_modfi*k_fi_UZ*'Hilfstabellen_Mat&amp;Bem'!$BC$16))+d_char_UZ),
(((3*(2*'Hilfstabellen_Mat&amp;Bem'!$D79+5*b_UZ/1000*I46/1000+0.3*2*'Hilfstabellen_Mat&amp;Bem'!$E79)*I$27*1000*gamma_mfi)/(4*b_ef_UZ*'Hilfstabellen_Mat&amp;Bem'!$BC$24*k_fi_UZ*'Hilfstabellen_Mat&amp;Bem'!$BC$22*k_modfi))+d_char_UZ)))/RUWE_UZ,0)*RUWE_UZ,200)</f>
        <v>360</v>
      </c>
      <c r="J46" s="468">
        <f ca="1">IFERROR(ROUNDUP((MAX((SQRT((3*(2*'Hilfstabellen_Mat&amp;Bem'!$D79+5*b_UZ/1000*J46/1000+0.3*2*'Hilfstabellen_Mat&amp;Bem'!$E79)*(('Rasterbemessung DE UZ ST'!J$27*1000)^2)*gamma_mfi)/(4*b_ef_UZ*k_modfi*k_fi_UZ*'Hilfstabellen_Mat&amp;Bem'!$BC$16))+d_char_UZ),
(((3*(2*'Hilfstabellen_Mat&amp;Bem'!$D79+5*b_UZ/1000*J46/1000+0.3*2*'Hilfstabellen_Mat&amp;Bem'!$E79)*J$27*1000*gamma_mfi)/(4*b_ef_UZ*'Hilfstabellen_Mat&amp;Bem'!$BC$24*k_fi_UZ*'Hilfstabellen_Mat&amp;Bem'!$BC$22*k_modfi))+d_char_UZ)))/RUWE_UZ,0)*RUWE_UZ,200)</f>
        <v>400</v>
      </c>
      <c r="K46" s="468">
        <f ca="1">IFERROR(ROUNDUP((MAX((SQRT((3*(2*'Hilfstabellen_Mat&amp;Bem'!$D79+5*b_UZ/1000*K46/1000+0.3*2*'Hilfstabellen_Mat&amp;Bem'!$E79)*(('Rasterbemessung DE UZ ST'!K$27*1000)^2)*gamma_mfi)/(4*b_ef_UZ*k_modfi*k_fi_UZ*'Hilfstabellen_Mat&amp;Bem'!$BC$16))+d_char_UZ),
(((3*(2*'Hilfstabellen_Mat&amp;Bem'!$D79+5*b_UZ/1000*K46/1000+0.3*2*'Hilfstabellen_Mat&amp;Bem'!$E79)*K$27*1000*gamma_mfi)/(4*b_ef_UZ*'Hilfstabellen_Mat&amp;Bem'!$BC$24*k_fi_UZ*'Hilfstabellen_Mat&amp;Bem'!$BC$22*k_modfi))+d_char_UZ)))/RUWE_UZ,0)*RUWE_UZ,200)</f>
        <v>400</v>
      </c>
      <c r="L46" s="468">
        <f ca="1">IFERROR(ROUNDUP((MAX((SQRT((3*(2*'Hilfstabellen_Mat&amp;Bem'!$D79+5*b_UZ/1000*L46/1000+0.3*2*'Hilfstabellen_Mat&amp;Bem'!$E79)*(('Rasterbemessung DE UZ ST'!L$27*1000)^2)*gamma_mfi)/(4*b_ef_UZ*k_modfi*k_fi_UZ*'Hilfstabellen_Mat&amp;Bem'!$BC$16))+d_char_UZ),
(((3*(2*'Hilfstabellen_Mat&amp;Bem'!$D79+5*b_UZ/1000*L46/1000+0.3*2*'Hilfstabellen_Mat&amp;Bem'!$E79)*L$27*1000*gamma_mfi)/(4*b_ef_UZ*'Hilfstabellen_Mat&amp;Bem'!$BC$24*k_fi_UZ*'Hilfstabellen_Mat&amp;Bem'!$BC$22*k_modfi))+d_char_UZ)))/RUWE_UZ,0)*RUWE_UZ,200)</f>
        <v>440</v>
      </c>
      <c r="M46" s="468">
        <f ca="1">IFERROR(ROUNDUP((MAX((SQRT((3*(2*'Hilfstabellen_Mat&amp;Bem'!$D79+5*b_UZ/1000*M46/1000+0.3*2*'Hilfstabellen_Mat&amp;Bem'!$E79)*(('Rasterbemessung DE UZ ST'!M$27*1000)^2)*gamma_mfi)/(4*b_ef_UZ*k_modfi*k_fi_UZ*'Hilfstabellen_Mat&amp;Bem'!$BC$16))+d_char_UZ),
(((3*(2*'Hilfstabellen_Mat&amp;Bem'!$D79+5*b_UZ/1000*M46/1000+0.3*2*'Hilfstabellen_Mat&amp;Bem'!$E79)*M$27*1000*gamma_mfi)/(4*b_ef_UZ*'Hilfstabellen_Mat&amp;Bem'!$BC$24*k_fi_UZ*'Hilfstabellen_Mat&amp;Bem'!$BC$22*k_modfi))+d_char_UZ)))/RUWE_UZ,0)*RUWE_UZ,200)</f>
        <v>440</v>
      </c>
    </row>
    <row r="47" spans="1:75" ht="15" customHeight="1">
      <c r="A47" s="1458"/>
      <c r="B47" s="481">
        <f>'Hilfstabellen_Mat&amp;Bem'!$D58</f>
        <v>5</v>
      </c>
      <c r="C47" s="468">
        <f ca="1">IFERROR(ROUNDUP((MAX((SQRT((3*(2*'Hilfstabellen_Mat&amp;Bem'!$D80+5*b_UZ/1000*C47/1000+0.3*2*'Hilfstabellen_Mat&amp;Bem'!$E80)*(('Rasterbemessung DE UZ ST'!C$27*1000)^2)*gamma_mfi)/(4*b_ef_UZ*k_modfi*k_fi_UZ*'Hilfstabellen_Mat&amp;Bem'!$BC$16))+d_char_UZ),
(((3*(2*'Hilfstabellen_Mat&amp;Bem'!$D80+5*b_UZ/1000*C47/1000+0.3*2*'Hilfstabellen_Mat&amp;Bem'!$E80)*C$27*1000*gamma_mfi)/(4*b_ef_UZ*'Hilfstabellen_Mat&amp;Bem'!$BC$24*k_fi_UZ*'Hilfstabellen_Mat&amp;Bem'!$BC$22*k_modfi))+d_char_UZ)))/RUWE_UZ,0)*RUWE_UZ,200)</f>
        <v>240</v>
      </c>
      <c r="D47" s="468">
        <f ca="1">IFERROR(ROUNDUP((MAX((SQRT((3*(2*'Hilfstabellen_Mat&amp;Bem'!$D80+5*b_UZ/1000*D47/1000+0.3*2*'Hilfstabellen_Mat&amp;Bem'!$E80)*(('Rasterbemessung DE UZ ST'!D$27*1000)^2)*gamma_mfi)/(4*b_ef_UZ*k_modfi*k_fi_UZ*'Hilfstabellen_Mat&amp;Bem'!$BC$16))+d_char_UZ),
(((3*(2*'Hilfstabellen_Mat&amp;Bem'!$D80+5*b_UZ/1000*D47/1000+0.3*2*'Hilfstabellen_Mat&amp;Bem'!$E80)*D$27*1000*gamma_mfi)/(4*b_ef_UZ*'Hilfstabellen_Mat&amp;Bem'!$BC$24*k_fi_UZ*'Hilfstabellen_Mat&amp;Bem'!$BC$22*k_modfi))+d_char_UZ)))/RUWE_UZ,0)*RUWE_UZ,200)</f>
        <v>240</v>
      </c>
      <c r="E47" s="468">
        <f ca="1">IFERROR(ROUNDUP((MAX((SQRT((3*(2*'Hilfstabellen_Mat&amp;Bem'!$D80+5*b_UZ/1000*E47/1000+0.3*2*'Hilfstabellen_Mat&amp;Bem'!$E80)*(('Rasterbemessung DE UZ ST'!E$27*1000)^2)*gamma_mfi)/(4*b_ef_UZ*k_modfi*k_fi_UZ*'Hilfstabellen_Mat&amp;Bem'!$BC$16))+d_char_UZ),
(((3*(2*'Hilfstabellen_Mat&amp;Bem'!$D80+5*b_UZ/1000*E47/1000+0.3*2*'Hilfstabellen_Mat&amp;Bem'!$E80)*E$27*1000*gamma_mfi)/(4*b_ef_UZ*'Hilfstabellen_Mat&amp;Bem'!$BC$24*k_fi_UZ*'Hilfstabellen_Mat&amp;Bem'!$BC$22*k_modfi))+d_char_UZ)))/RUWE_UZ,0)*RUWE_UZ,200)</f>
        <v>280</v>
      </c>
      <c r="F47" s="468">
        <f ca="1">IFERROR(ROUNDUP((MAX((SQRT((3*(2*'Hilfstabellen_Mat&amp;Bem'!$D80+5*b_UZ/1000*F47/1000+0.3*2*'Hilfstabellen_Mat&amp;Bem'!$E80)*(('Rasterbemessung DE UZ ST'!F$27*1000)^2)*gamma_mfi)/(4*b_ef_UZ*k_modfi*k_fi_UZ*'Hilfstabellen_Mat&amp;Bem'!$BC$16))+d_char_UZ),
(((3*(2*'Hilfstabellen_Mat&amp;Bem'!$D80+5*b_UZ/1000*F47/1000+0.3*2*'Hilfstabellen_Mat&amp;Bem'!$E80)*F$27*1000*gamma_mfi)/(4*b_ef_UZ*'Hilfstabellen_Mat&amp;Bem'!$BC$24*k_fi_UZ*'Hilfstabellen_Mat&amp;Bem'!$BC$22*k_modfi))+d_char_UZ)))/RUWE_UZ,0)*RUWE_UZ,200)</f>
        <v>280</v>
      </c>
      <c r="G47" s="468">
        <f ca="1">IFERROR(ROUNDUP((MAX((SQRT((3*(2*'Hilfstabellen_Mat&amp;Bem'!$D80+5*b_UZ/1000*G47/1000+0.3*2*'Hilfstabellen_Mat&amp;Bem'!$E80)*(('Rasterbemessung DE UZ ST'!G$27*1000)^2)*gamma_mfi)/(4*b_ef_UZ*k_modfi*k_fi_UZ*'Hilfstabellen_Mat&amp;Bem'!$BC$16))+d_char_UZ),
(((3*(2*'Hilfstabellen_Mat&amp;Bem'!$D80+5*b_UZ/1000*G47/1000+0.3*2*'Hilfstabellen_Mat&amp;Bem'!$E80)*G$27*1000*gamma_mfi)/(4*b_ef_UZ*'Hilfstabellen_Mat&amp;Bem'!$BC$24*k_fi_UZ*'Hilfstabellen_Mat&amp;Bem'!$BC$22*k_modfi))+d_char_UZ)))/RUWE_UZ,0)*RUWE_UZ,200)</f>
        <v>320</v>
      </c>
      <c r="H47" s="468">
        <f ca="1">IFERROR(ROUNDUP((MAX((SQRT((3*(2*'Hilfstabellen_Mat&amp;Bem'!$D80+5*b_UZ/1000*H47/1000+0.3*2*'Hilfstabellen_Mat&amp;Bem'!$E80)*(('Rasterbemessung DE UZ ST'!H$27*1000)^2)*gamma_mfi)/(4*b_ef_UZ*k_modfi*k_fi_UZ*'Hilfstabellen_Mat&amp;Bem'!$BC$16))+d_char_UZ),
(((3*(2*'Hilfstabellen_Mat&amp;Bem'!$D80+5*b_UZ/1000*H47/1000+0.3*2*'Hilfstabellen_Mat&amp;Bem'!$E80)*H$27*1000*gamma_mfi)/(4*b_ef_UZ*'Hilfstabellen_Mat&amp;Bem'!$BC$24*k_fi_UZ*'Hilfstabellen_Mat&amp;Bem'!$BC$22*k_modfi))+d_char_UZ)))/RUWE_UZ,0)*RUWE_UZ,200)</f>
        <v>360</v>
      </c>
      <c r="I47" s="468">
        <f ca="1">IFERROR(ROUNDUP((MAX((SQRT((3*(2*'Hilfstabellen_Mat&amp;Bem'!$D80+5*b_UZ/1000*I47/1000+0.3*2*'Hilfstabellen_Mat&amp;Bem'!$E80)*(('Rasterbemessung DE UZ ST'!I$27*1000)^2)*gamma_mfi)/(4*b_ef_UZ*k_modfi*k_fi_UZ*'Hilfstabellen_Mat&amp;Bem'!$BC$16))+d_char_UZ),
(((3*(2*'Hilfstabellen_Mat&amp;Bem'!$D80+5*b_UZ/1000*I47/1000+0.3*2*'Hilfstabellen_Mat&amp;Bem'!$E80)*I$27*1000*gamma_mfi)/(4*b_ef_UZ*'Hilfstabellen_Mat&amp;Bem'!$BC$24*k_fi_UZ*'Hilfstabellen_Mat&amp;Bem'!$BC$22*k_modfi))+d_char_UZ)))/RUWE_UZ,0)*RUWE_UZ,200)</f>
        <v>360</v>
      </c>
      <c r="J47" s="468">
        <f ca="1">IFERROR(ROUNDUP((MAX((SQRT((3*(2*'Hilfstabellen_Mat&amp;Bem'!$D80+5*b_UZ/1000*J47/1000+0.3*2*'Hilfstabellen_Mat&amp;Bem'!$E80)*(('Rasterbemessung DE UZ ST'!J$27*1000)^2)*gamma_mfi)/(4*b_ef_UZ*k_modfi*k_fi_UZ*'Hilfstabellen_Mat&amp;Bem'!$BC$16))+d_char_UZ),
(((3*(2*'Hilfstabellen_Mat&amp;Bem'!$D80+5*b_UZ/1000*J47/1000+0.3*2*'Hilfstabellen_Mat&amp;Bem'!$E80)*J$27*1000*gamma_mfi)/(4*b_ef_UZ*'Hilfstabellen_Mat&amp;Bem'!$BC$24*k_fi_UZ*'Hilfstabellen_Mat&amp;Bem'!$BC$22*k_modfi))+d_char_UZ)))/RUWE_UZ,0)*RUWE_UZ,200)</f>
        <v>400</v>
      </c>
      <c r="K47" s="468">
        <f ca="1">IFERROR(ROUNDUP((MAX((SQRT((3*(2*'Hilfstabellen_Mat&amp;Bem'!$D80+5*b_UZ/1000*K47/1000+0.3*2*'Hilfstabellen_Mat&amp;Bem'!$E80)*(('Rasterbemessung DE UZ ST'!K$27*1000)^2)*gamma_mfi)/(4*b_ef_UZ*k_modfi*k_fi_UZ*'Hilfstabellen_Mat&amp;Bem'!$BC$16))+d_char_UZ),
(((3*(2*'Hilfstabellen_Mat&amp;Bem'!$D80+5*b_UZ/1000*K47/1000+0.3*2*'Hilfstabellen_Mat&amp;Bem'!$E80)*K$27*1000*gamma_mfi)/(4*b_ef_UZ*'Hilfstabellen_Mat&amp;Bem'!$BC$24*k_fi_UZ*'Hilfstabellen_Mat&amp;Bem'!$BC$22*k_modfi))+d_char_UZ)))/RUWE_UZ,0)*RUWE_UZ,200)</f>
        <v>440</v>
      </c>
      <c r="L47" s="468">
        <f ca="1">IFERROR(ROUNDUP((MAX((SQRT((3*(2*'Hilfstabellen_Mat&amp;Bem'!$D80+5*b_UZ/1000*L47/1000+0.3*2*'Hilfstabellen_Mat&amp;Bem'!$E80)*(('Rasterbemessung DE UZ ST'!L$27*1000)^2)*gamma_mfi)/(4*b_ef_UZ*k_modfi*k_fi_UZ*'Hilfstabellen_Mat&amp;Bem'!$BC$16))+d_char_UZ),
(((3*(2*'Hilfstabellen_Mat&amp;Bem'!$D80+5*b_UZ/1000*L47/1000+0.3*2*'Hilfstabellen_Mat&amp;Bem'!$E80)*L$27*1000*gamma_mfi)/(4*b_ef_UZ*'Hilfstabellen_Mat&amp;Bem'!$BC$24*k_fi_UZ*'Hilfstabellen_Mat&amp;Bem'!$BC$22*k_modfi))+d_char_UZ)))/RUWE_UZ,0)*RUWE_UZ,200)</f>
        <v>480</v>
      </c>
      <c r="M47" s="468">
        <f ca="1">IFERROR(ROUNDUP((MAX((SQRT((3*(2*'Hilfstabellen_Mat&amp;Bem'!$D80+5*b_UZ/1000*M47/1000+0.3*2*'Hilfstabellen_Mat&amp;Bem'!$E80)*(('Rasterbemessung DE UZ ST'!M$27*1000)^2)*gamma_mfi)/(4*b_ef_UZ*k_modfi*k_fi_UZ*'Hilfstabellen_Mat&amp;Bem'!$BC$16))+d_char_UZ),
(((3*(2*'Hilfstabellen_Mat&amp;Bem'!$D80+5*b_UZ/1000*M47/1000+0.3*2*'Hilfstabellen_Mat&amp;Bem'!$E80)*M$27*1000*gamma_mfi)/(4*b_ef_UZ*'Hilfstabellen_Mat&amp;Bem'!$BC$24*k_fi_UZ*'Hilfstabellen_Mat&amp;Bem'!$BC$22*k_modfi))+d_char_UZ)))/RUWE_UZ,0)*RUWE_UZ,200)</f>
        <v>480</v>
      </c>
      <c r="T47" s="330"/>
      <c r="U47" s="330"/>
      <c r="V47" s="330"/>
      <c r="X47" s="468"/>
    </row>
    <row r="48" spans="1:75" ht="15" customHeight="1">
      <c r="A48" s="1458"/>
      <c r="B48" s="481">
        <f>'Hilfstabellen_Mat&amp;Bem'!$D59</f>
        <v>5.3</v>
      </c>
      <c r="C48" s="468">
        <f ca="1">IFERROR(ROUNDUP((MAX((SQRT((3*(2*'Hilfstabellen_Mat&amp;Bem'!$D81+5*b_UZ/1000*C48/1000+0.3*2*'Hilfstabellen_Mat&amp;Bem'!$E81)*(('Rasterbemessung DE UZ ST'!C$27*1000)^2)*gamma_mfi)/(4*b_ef_UZ*k_modfi*k_fi_UZ*'Hilfstabellen_Mat&amp;Bem'!$BC$16))+d_char_UZ),
(((3*(2*'Hilfstabellen_Mat&amp;Bem'!$D81+5*b_UZ/1000*C48/1000+0.3*2*'Hilfstabellen_Mat&amp;Bem'!$E81)*C$27*1000*gamma_mfi)/(4*b_ef_UZ*'Hilfstabellen_Mat&amp;Bem'!$BC$24*k_fi_UZ*'Hilfstabellen_Mat&amp;Bem'!$BC$22*k_modfi))+d_char_UZ)))/RUWE_UZ,0)*RUWE_UZ,200)</f>
        <v>240</v>
      </c>
      <c r="D48" s="468">
        <f ca="1">IFERROR(ROUNDUP((MAX((SQRT((3*(2*'Hilfstabellen_Mat&amp;Bem'!$D81+5*b_UZ/1000*D48/1000+0.3*2*'Hilfstabellen_Mat&amp;Bem'!$E81)*(('Rasterbemessung DE UZ ST'!D$27*1000)^2)*gamma_mfi)/(4*b_ef_UZ*k_modfi*k_fi_UZ*'Hilfstabellen_Mat&amp;Bem'!$BC$16))+d_char_UZ),
(((3*(2*'Hilfstabellen_Mat&amp;Bem'!$D81+5*b_UZ/1000*D48/1000+0.3*2*'Hilfstabellen_Mat&amp;Bem'!$E81)*D$27*1000*gamma_mfi)/(4*b_ef_UZ*'Hilfstabellen_Mat&amp;Bem'!$BC$24*k_fi_UZ*'Hilfstabellen_Mat&amp;Bem'!$BC$22*k_modfi))+d_char_UZ)))/RUWE_UZ,0)*RUWE_UZ,200)</f>
        <v>240</v>
      </c>
      <c r="E48" s="468">
        <f ca="1">IFERROR(ROUNDUP((MAX((SQRT((3*(2*'Hilfstabellen_Mat&amp;Bem'!$D81+5*b_UZ/1000*E48/1000+0.3*2*'Hilfstabellen_Mat&amp;Bem'!$E81)*(('Rasterbemessung DE UZ ST'!E$27*1000)^2)*gamma_mfi)/(4*b_ef_UZ*k_modfi*k_fi_UZ*'Hilfstabellen_Mat&amp;Bem'!$BC$16))+d_char_UZ),
(((3*(2*'Hilfstabellen_Mat&amp;Bem'!$D81+5*b_UZ/1000*E48/1000+0.3*2*'Hilfstabellen_Mat&amp;Bem'!$E81)*E$27*1000*gamma_mfi)/(4*b_ef_UZ*'Hilfstabellen_Mat&amp;Bem'!$BC$24*k_fi_UZ*'Hilfstabellen_Mat&amp;Bem'!$BC$22*k_modfi))+d_char_UZ)))/RUWE_UZ,0)*RUWE_UZ,200)</f>
        <v>280</v>
      </c>
      <c r="F48" s="468">
        <f ca="1">IFERROR(ROUNDUP((MAX((SQRT((3*(2*'Hilfstabellen_Mat&amp;Bem'!$D81+5*b_UZ/1000*F48/1000+0.3*2*'Hilfstabellen_Mat&amp;Bem'!$E81)*(('Rasterbemessung DE UZ ST'!F$27*1000)^2)*gamma_mfi)/(4*b_ef_UZ*k_modfi*k_fi_UZ*'Hilfstabellen_Mat&amp;Bem'!$BC$16))+d_char_UZ),
(((3*(2*'Hilfstabellen_Mat&amp;Bem'!$D81+5*b_UZ/1000*F48/1000+0.3*2*'Hilfstabellen_Mat&amp;Bem'!$E81)*F$27*1000*gamma_mfi)/(4*b_ef_UZ*'Hilfstabellen_Mat&amp;Bem'!$BC$24*k_fi_UZ*'Hilfstabellen_Mat&amp;Bem'!$BC$22*k_modfi))+d_char_UZ)))/RUWE_UZ,0)*RUWE_UZ,200)</f>
        <v>280</v>
      </c>
      <c r="G48" s="468">
        <f ca="1">IFERROR(ROUNDUP((MAX((SQRT((3*(2*'Hilfstabellen_Mat&amp;Bem'!$D81+5*b_UZ/1000*G48/1000+0.3*2*'Hilfstabellen_Mat&amp;Bem'!$E81)*(('Rasterbemessung DE UZ ST'!G$27*1000)^2)*gamma_mfi)/(4*b_ef_UZ*k_modfi*k_fi_UZ*'Hilfstabellen_Mat&amp;Bem'!$BC$16))+d_char_UZ),
(((3*(2*'Hilfstabellen_Mat&amp;Bem'!$D81+5*b_UZ/1000*G48/1000+0.3*2*'Hilfstabellen_Mat&amp;Bem'!$E81)*G$27*1000*gamma_mfi)/(4*b_ef_UZ*'Hilfstabellen_Mat&amp;Bem'!$BC$24*k_fi_UZ*'Hilfstabellen_Mat&amp;Bem'!$BC$22*k_modfi))+d_char_UZ)))/RUWE_UZ,0)*RUWE_UZ,200)</f>
        <v>320</v>
      </c>
      <c r="H48" s="468">
        <f ca="1">IFERROR(ROUNDUP((MAX((SQRT((3*(2*'Hilfstabellen_Mat&amp;Bem'!$D81+5*b_UZ/1000*H48/1000+0.3*2*'Hilfstabellen_Mat&amp;Bem'!$E81)*(('Rasterbemessung DE UZ ST'!H$27*1000)^2)*gamma_mfi)/(4*b_ef_UZ*k_modfi*k_fi_UZ*'Hilfstabellen_Mat&amp;Bem'!$BC$16))+d_char_UZ),
(((3*(2*'Hilfstabellen_Mat&amp;Bem'!$D81+5*b_UZ/1000*H48/1000+0.3*2*'Hilfstabellen_Mat&amp;Bem'!$E81)*H$27*1000*gamma_mfi)/(4*b_ef_UZ*'Hilfstabellen_Mat&amp;Bem'!$BC$24*k_fi_UZ*'Hilfstabellen_Mat&amp;Bem'!$BC$22*k_modfi))+d_char_UZ)))/RUWE_UZ,0)*RUWE_UZ,200)</f>
        <v>360</v>
      </c>
      <c r="I48" s="468">
        <f ca="1">IFERROR(ROUNDUP((MAX((SQRT((3*(2*'Hilfstabellen_Mat&amp;Bem'!$D81+5*b_UZ/1000*I48/1000+0.3*2*'Hilfstabellen_Mat&amp;Bem'!$E81)*(('Rasterbemessung DE UZ ST'!I$27*1000)^2)*gamma_mfi)/(4*b_ef_UZ*k_modfi*k_fi_UZ*'Hilfstabellen_Mat&amp;Bem'!$BC$16))+d_char_UZ),
(((3*(2*'Hilfstabellen_Mat&amp;Bem'!$D81+5*b_UZ/1000*I48/1000+0.3*2*'Hilfstabellen_Mat&amp;Bem'!$E81)*I$27*1000*gamma_mfi)/(4*b_ef_UZ*'Hilfstabellen_Mat&amp;Bem'!$BC$24*k_fi_UZ*'Hilfstabellen_Mat&amp;Bem'!$BC$22*k_modfi))+d_char_UZ)))/RUWE_UZ,0)*RUWE_UZ,200)</f>
        <v>400</v>
      </c>
      <c r="J48" s="468">
        <f ca="1">IFERROR(ROUNDUP((MAX((SQRT((3*(2*'Hilfstabellen_Mat&amp;Bem'!$D81+5*b_UZ/1000*J48/1000+0.3*2*'Hilfstabellen_Mat&amp;Bem'!$E81)*(('Rasterbemessung DE UZ ST'!J$27*1000)^2)*gamma_mfi)/(4*b_ef_UZ*k_modfi*k_fi_UZ*'Hilfstabellen_Mat&amp;Bem'!$BC$16))+d_char_UZ),
(((3*(2*'Hilfstabellen_Mat&amp;Bem'!$D81+5*b_UZ/1000*J48/1000+0.3*2*'Hilfstabellen_Mat&amp;Bem'!$E81)*J$27*1000*gamma_mfi)/(4*b_ef_UZ*'Hilfstabellen_Mat&amp;Bem'!$BC$24*k_fi_UZ*'Hilfstabellen_Mat&amp;Bem'!$BC$22*k_modfi))+d_char_UZ)))/RUWE_UZ,0)*RUWE_UZ,200)</f>
        <v>440</v>
      </c>
      <c r="K48" s="468">
        <f ca="1">IFERROR(ROUNDUP((MAX((SQRT((3*(2*'Hilfstabellen_Mat&amp;Bem'!$D81+5*b_UZ/1000*K48/1000+0.3*2*'Hilfstabellen_Mat&amp;Bem'!$E81)*(('Rasterbemessung DE UZ ST'!K$27*1000)^2)*gamma_mfi)/(4*b_ef_UZ*k_modfi*k_fi_UZ*'Hilfstabellen_Mat&amp;Bem'!$BC$16))+d_char_UZ),
(((3*(2*'Hilfstabellen_Mat&amp;Bem'!$D81+5*b_UZ/1000*K48/1000+0.3*2*'Hilfstabellen_Mat&amp;Bem'!$E81)*K$27*1000*gamma_mfi)/(4*b_ef_UZ*'Hilfstabellen_Mat&amp;Bem'!$BC$24*k_fi_UZ*'Hilfstabellen_Mat&amp;Bem'!$BC$22*k_modfi))+d_char_UZ)))/RUWE_UZ,0)*RUWE_UZ,200)</f>
        <v>440</v>
      </c>
      <c r="L48" s="468">
        <f ca="1">IFERROR(ROUNDUP((MAX((SQRT((3*(2*'Hilfstabellen_Mat&amp;Bem'!$D81+5*b_UZ/1000*L48/1000+0.3*2*'Hilfstabellen_Mat&amp;Bem'!$E81)*(('Rasterbemessung DE UZ ST'!L$27*1000)^2)*gamma_mfi)/(4*b_ef_UZ*k_modfi*k_fi_UZ*'Hilfstabellen_Mat&amp;Bem'!$BC$16))+d_char_UZ),
(((3*(2*'Hilfstabellen_Mat&amp;Bem'!$D81+5*b_UZ/1000*L48/1000+0.3*2*'Hilfstabellen_Mat&amp;Bem'!$E81)*L$27*1000*gamma_mfi)/(4*b_ef_UZ*'Hilfstabellen_Mat&amp;Bem'!$BC$24*k_fi_UZ*'Hilfstabellen_Mat&amp;Bem'!$BC$22*k_modfi))+d_char_UZ)))/RUWE_UZ,0)*RUWE_UZ,200)</f>
        <v>480</v>
      </c>
      <c r="M48" s="468">
        <f ca="1">IFERROR(ROUNDUP((MAX((SQRT((3*(2*'Hilfstabellen_Mat&amp;Bem'!$D81+5*b_UZ/1000*M48/1000+0.3*2*'Hilfstabellen_Mat&amp;Bem'!$E81)*(('Rasterbemessung DE UZ ST'!M$27*1000)^2)*gamma_mfi)/(4*b_ef_UZ*k_modfi*k_fi_UZ*'Hilfstabellen_Mat&amp;Bem'!$BC$16))+d_char_UZ),
(((3*(2*'Hilfstabellen_Mat&amp;Bem'!$D81+5*b_UZ/1000*M48/1000+0.3*2*'Hilfstabellen_Mat&amp;Bem'!$E81)*M$27*1000*gamma_mfi)/(4*b_ef_UZ*'Hilfstabellen_Mat&amp;Bem'!$BC$24*k_fi_UZ*'Hilfstabellen_Mat&amp;Bem'!$BC$22*k_modfi))+d_char_UZ)))/RUWE_UZ,0)*RUWE_UZ,200)</f>
        <v>480</v>
      </c>
      <c r="T48" s="330"/>
      <c r="U48" s="330"/>
      <c r="V48" s="330"/>
      <c r="X48" s="468"/>
    </row>
    <row r="49" spans="1:47" ht="15" customHeight="1">
      <c r="A49" s="1458"/>
      <c r="B49" s="481">
        <f>'Hilfstabellen_Mat&amp;Bem'!$D60</f>
        <v>5.7</v>
      </c>
      <c r="C49" s="468">
        <f ca="1">IFERROR(ROUNDUP((MAX((SQRT((3*(2*'Hilfstabellen_Mat&amp;Bem'!$D82+5*b_UZ/1000*C49/1000+0.3*2*'Hilfstabellen_Mat&amp;Bem'!$E82)*(('Rasterbemessung DE UZ ST'!C$27*1000)^2)*gamma_mfi)/(4*b_ef_UZ*k_modfi*k_fi_UZ*'Hilfstabellen_Mat&amp;Bem'!$BC$16))+d_char_UZ),
(((3*(2*'Hilfstabellen_Mat&amp;Bem'!$D82+5*b_UZ/1000*C49/1000+0.3*2*'Hilfstabellen_Mat&amp;Bem'!$E82)*C$27*1000*gamma_mfi)/(4*b_ef_UZ*'Hilfstabellen_Mat&amp;Bem'!$BC$24*k_fi_UZ*'Hilfstabellen_Mat&amp;Bem'!$BC$22*k_modfi))+d_char_UZ)))/RUWE_UZ,0)*RUWE_UZ,200)</f>
        <v>240</v>
      </c>
      <c r="D49" s="468">
        <f ca="1">IFERROR(ROUNDUP((MAX((SQRT((3*(2*'Hilfstabellen_Mat&amp;Bem'!$D82+5*b_UZ/1000*D49/1000+0.3*2*'Hilfstabellen_Mat&amp;Bem'!$E82)*(('Rasterbemessung DE UZ ST'!D$27*1000)^2)*gamma_mfi)/(4*b_ef_UZ*k_modfi*k_fi_UZ*'Hilfstabellen_Mat&amp;Bem'!$BC$16))+d_char_UZ),
(((3*(2*'Hilfstabellen_Mat&amp;Bem'!$D82+5*b_UZ/1000*D49/1000+0.3*2*'Hilfstabellen_Mat&amp;Bem'!$E82)*D$27*1000*gamma_mfi)/(4*b_ef_UZ*'Hilfstabellen_Mat&amp;Bem'!$BC$24*k_fi_UZ*'Hilfstabellen_Mat&amp;Bem'!$BC$22*k_modfi))+d_char_UZ)))/RUWE_UZ,0)*RUWE_UZ,200)</f>
        <v>240</v>
      </c>
      <c r="E49" s="468">
        <f ca="1">IFERROR(ROUNDUP((MAX((SQRT((3*(2*'Hilfstabellen_Mat&amp;Bem'!$D82+5*b_UZ/1000*E49/1000+0.3*2*'Hilfstabellen_Mat&amp;Bem'!$E82)*(('Rasterbemessung DE UZ ST'!E$27*1000)^2)*gamma_mfi)/(4*b_ef_UZ*k_modfi*k_fi_UZ*'Hilfstabellen_Mat&amp;Bem'!$BC$16))+d_char_UZ),
(((3*(2*'Hilfstabellen_Mat&amp;Bem'!$D82+5*b_UZ/1000*E49/1000+0.3*2*'Hilfstabellen_Mat&amp;Bem'!$E82)*E$27*1000*gamma_mfi)/(4*b_ef_UZ*'Hilfstabellen_Mat&amp;Bem'!$BC$24*k_fi_UZ*'Hilfstabellen_Mat&amp;Bem'!$BC$22*k_modfi))+d_char_UZ)))/RUWE_UZ,0)*RUWE_UZ,200)</f>
        <v>280</v>
      </c>
      <c r="F49" s="468">
        <f ca="1">IFERROR(ROUNDUP((MAX((SQRT((3*(2*'Hilfstabellen_Mat&amp;Bem'!$D82+5*b_UZ/1000*F49/1000+0.3*2*'Hilfstabellen_Mat&amp;Bem'!$E82)*(('Rasterbemessung DE UZ ST'!F$27*1000)^2)*gamma_mfi)/(4*b_ef_UZ*k_modfi*k_fi_UZ*'Hilfstabellen_Mat&amp;Bem'!$BC$16))+d_char_UZ),
(((3*(2*'Hilfstabellen_Mat&amp;Bem'!$D82+5*b_UZ/1000*F49/1000+0.3*2*'Hilfstabellen_Mat&amp;Bem'!$E82)*F$27*1000*gamma_mfi)/(4*b_ef_UZ*'Hilfstabellen_Mat&amp;Bem'!$BC$24*k_fi_UZ*'Hilfstabellen_Mat&amp;Bem'!$BC$22*k_modfi))+d_char_UZ)))/RUWE_UZ,0)*RUWE_UZ,200)</f>
        <v>280</v>
      </c>
      <c r="G49" s="468">
        <f ca="1">IFERROR(ROUNDUP((MAX((SQRT((3*(2*'Hilfstabellen_Mat&amp;Bem'!$D82+5*b_UZ/1000*G49/1000+0.3*2*'Hilfstabellen_Mat&amp;Bem'!$E82)*(('Rasterbemessung DE UZ ST'!G$27*1000)^2)*gamma_mfi)/(4*b_ef_UZ*k_modfi*k_fi_UZ*'Hilfstabellen_Mat&amp;Bem'!$BC$16))+d_char_UZ),
(((3*(2*'Hilfstabellen_Mat&amp;Bem'!$D82+5*b_UZ/1000*G49/1000+0.3*2*'Hilfstabellen_Mat&amp;Bem'!$E82)*G$27*1000*gamma_mfi)/(4*b_ef_UZ*'Hilfstabellen_Mat&amp;Bem'!$BC$24*k_fi_UZ*'Hilfstabellen_Mat&amp;Bem'!$BC$22*k_modfi))+d_char_UZ)))/RUWE_UZ,0)*RUWE_UZ,200)</f>
        <v>320</v>
      </c>
      <c r="H49" s="468">
        <f ca="1">IFERROR(ROUNDUP((MAX((SQRT((3*(2*'Hilfstabellen_Mat&amp;Bem'!$D82+5*b_UZ/1000*H49/1000+0.3*2*'Hilfstabellen_Mat&amp;Bem'!$E82)*(('Rasterbemessung DE UZ ST'!H$27*1000)^2)*gamma_mfi)/(4*b_ef_UZ*k_modfi*k_fi_UZ*'Hilfstabellen_Mat&amp;Bem'!$BC$16))+d_char_UZ),
(((3*(2*'Hilfstabellen_Mat&amp;Bem'!$D82+5*b_UZ/1000*H49/1000+0.3*2*'Hilfstabellen_Mat&amp;Bem'!$E82)*H$27*1000*gamma_mfi)/(4*b_ef_UZ*'Hilfstabellen_Mat&amp;Bem'!$BC$24*k_fi_UZ*'Hilfstabellen_Mat&amp;Bem'!$BC$22*k_modfi))+d_char_UZ)))/RUWE_UZ,0)*RUWE_UZ,200)</f>
        <v>360</v>
      </c>
      <c r="I49" s="468">
        <f ca="1">IFERROR(ROUNDUP((MAX((SQRT((3*(2*'Hilfstabellen_Mat&amp;Bem'!$D82+5*b_UZ/1000*I49/1000+0.3*2*'Hilfstabellen_Mat&amp;Bem'!$E82)*(('Rasterbemessung DE UZ ST'!I$27*1000)^2)*gamma_mfi)/(4*b_ef_UZ*k_modfi*k_fi_UZ*'Hilfstabellen_Mat&amp;Bem'!$BC$16))+d_char_UZ),
(((3*(2*'Hilfstabellen_Mat&amp;Bem'!$D82+5*b_UZ/1000*I49/1000+0.3*2*'Hilfstabellen_Mat&amp;Bem'!$E82)*I$27*1000*gamma_mfi)/(4*b_ef_UZ*'Hilfstabellen_Mat&amp;Bem'!$BC$24*k_fi_UZ*'Hilfstabellen_Mat&amp;Bem'!$BC$22*k_modfi))+d_char_UZ)))/RUWE_UZ,0)*RUWE_UZ,200)</f>
        <v>400</v>
      </c>
      <c r="J49" s="468">
        <f ca="1">IFERROR(ROUNDUP((MAX((SQRT((3*(2*'Hilfstabellen_Mat&amp;Bem'!$D82+5*b_UZ/1000*J49/1000+0.3*2*'Hilfstabellen_Mat&amp;Bem'!$E82)*(('Rasterbemessung DE UZ ST'!J$27*1000)^2)*gamma_mfi)/(4*b_ef_UZ*k_modfi*k_fi_UZ*'Hilfstabellen_Mat&amp;Bem'!$BC$16))+d_char_UZ),
(((3*(2*'Hilfstabellen_Mat&amp;Bem'!$D82+5*b_UZ/1000*J49/1000+0.3*2*'Hilfstabellen_Mat&amp;Bem'!$E82)*J$27*1000*gamma_mfi)/(4*b_ef_UZ*'Hilfstabellen_Mat&amp;Bem'!$BC$24*k_fi_UZ*'Hilfstabellen_Mat&amp;Bem'!$BC$22*k_modfi))+d_char_UZ)))/RUWE_UZ,0)*RUWE_UZ,200)</f>
        <v>440</v>
      </c>
      <c r="K49" s="468">
        <f ca="1">IFERROR(ROUNDUP((MAX((SQRT((3*(2*'Hilfstabellen_Mat&amp;Bem'!$D82+5*b_UZ/1000*K49/1000+0.3*2*'Hilfstabellen_Mat&amp;Bem'!$E82)*(('Rasterbemessung DE UZ ST'!K$27*1000)^2)*gamma_mfi)/(4*b_ef_UZ*k_modfi*k_fi_UZ*'Hilfstabellen_Mat&amp;Bem'!$BC$16))+d_char_UZ),
(((3*(2*'Hilfstabellen_Mat&amp;Bem'!$D82+5*b_UZ/1000*K49/1000+0.3*2*'Hilfstabellen_Mat&amp;Bem'!$E82)*K$27*1000*gamma_mfi)/(4*b_ef_UZ*'Hilfstabellen_Mat&amp;Bem'!$BC$24*k_fi_UZ*'Hilfstabellen_Mat&amp;Bem'!$BC$22*k_modfi))+d_char_UZ)))/RUWE_UZ,0)*RUWE_UZ,200)</f>
        <v>440</v>
      </c>
      <c r="L49" s="468">
        <f ca="1">IFERROR(ROUNDUP((MAX((SQRT((3*(2*'Hilfstabellen_Mat&amp;Bem'!$D82+5*b_UZ/1000*L49/1000+0.3*2*'Hilfstabellen_Mat&amp;Bem'!$E82)*(('Rasterbemessung DE UZ ST'!L$27*1000)^2)*gamma_mfi)/(4*b_ef_UZ*k_modfi*k_fi_UZ*'Hilfstabellen_Mat&amp;Bem'!$BC$16))+d_char_UZ),
(((3*(2*'Hilfstabellen_Mat&amp;Bem'!$D82+5*b_UZ/1000*L49/1000+0.3*2*'Hilfstabellen_Mat&amp;Bem'!$E82)*L$27*1000*gamma_mfi)/(4*b_ef_UZ*'Hilfstabellen_Mat&amp;Bem'!$BC$24*k_fi_UZ*'Hilfstabellen_Mat&amp;Bem'!$BC$22*k_modfi))+d_char_UZ)))/RUWE_UZ,0)*RUWE_UZ,200)</f>
        <v>480</v>
      </c>
      <c r="M49" s="468">
        <f ca="1">IFERROR(ROUNDUP((MAX((SQRT((3*(2*'Hilfstabellen_Mat&amp;Bem'!$D82+5*b_UZ/1000*M49/1000+0.3*2*'Hilfstabellen_Mat&amp;Bem'!$E82)*(('Rasterbemessung DE UZ ST'!M$27*1000)^2)*gamma_mfi)/(4*b_ef_UZ*k_modfi*k_fi_UZ*'Hilfstabellen_Mat&amp;Bem'!$BC$16))+d_char_UZ),
(((3*(2*'Hilfstabellen_Mat&amp;Bem'!$D82+5*b_UZ/1000*M49/1000+0.3*2*'Hilfstabellen_Mat&amp;Bem'!$E82)*M$27*1000*gamma_mfi)/(4*b_ef_UZ*'Hilfstabellen_Mat&amp;Bem'!$BC$24*k_fi_UZ*'Hilfstabellen_Mat&amp;Bem'!$BC$22*k_modfi))+d_char_UZ)))/RUWE_UZ,0)*RUWE_UZ,200)</f>
        <v>480</v>
      </c>
      <c r="T49" s="330"/>
      <c r="U49" s="330"/>
      <c r="V49" s="330"/>
      <c r="X49" s="468"/>
    </row>
    <row r="50" spans="1:47" ht="15" customHeight="1">
      <c r="A50" s="1458"/>
      <c r="B50" s="481">
        <f>'Hilfstabellen_Mat&amp;Bem'!$D61</f>
        <v>6</v>
      </c>
      <c r="C50" s="468">
        <f ca="1">IFERROR(ROUNDUP((MAX((SQRT((3*(2*'Hilfstabellen_Mat&amp;Bem'!$D83+5*b_UZ/1000*C50/1000+0.3*2*'Hilfstabellen_Mat&amp;Bem'!$E83)*(('Rasterbemessung DE UZ ST'!C$27*1000)^2)*gamma_mfi)/(4*b_ef_UZ*k_modfi*k_fi_UZ*'Hilfstabellen_Mat&amp;Bem'!$BC$16))+d_char_UZ),
(((3*(2*'Hilfstabellen_Mat&amp;Bem'!$D83+5*b_UZ/1000*C50/1000+0.3*2*'Hilfstabellen_Mat&amp;Bem'!$E83)*C$27*1000*gamma_mfi)/(4*b_ef_UZ*'Hilfstabellen_Mat&amp;Bem'!$BC$24*k_fi_UZ*'Hilfstabellen_Mat&amp;Bem'!$BC$22*k_modfi))+d_char_UZ)))/RUWE_UZ,0)*RUWE_UZ,200)</f>
        <v>240</v>
      </c>
      <c r="D50" s="468">
        <f ca="1">IFERROR(ROUNDUP((MAX((SQRT((3*(2*'Hilfstabellen_Mat&amp;Bem'!$D83+5*b_UZ/1000*D50/1000+0.3*2*'Hilfstabellen_Mat&amp;Bem'!$E83)*(('Rasterbemessung DE UZ ST'!D$27*1000)^2)*gamma_mfi)/(4*b_ef_UZ*k_modfi*k_fi_UZ*'Hilfstabellen_Mat&amp;Bem'!$BC$16))+d_char_UZ),
(((3*(2*'Hilfstabellen_Mat&amp;Bem'!$D83+5*b_UZ/1000*D50/1000+0.3*2*'Hilfstabellen_Mat&amp;Bem'!$E83)*D$27*1000*gamma_mfi)/(4*b_ef_UZ*'Hilfstabellen_Mat&amp;Bem'!$BC$24*k_fi_UZ*'Hilfstabellen_Mat&amp;Bem'!$BC$22*k_modfi))+d_char_UZ)))/RUWE_UZ,0)*RUWE_UZ,200)</f>
        <v>280</v>
      </c>
      <c r="E50" s="468">
        <f ca="1">IFERROR(ROUNDUP((MAX((SQRT((3*(2*'Hilfstabellen_Mat&amp;Bem'!$D83+5*b_UZ/1000*E50/1000+0.3*2*'Hilfstabellen_Mat&amp;Bem'!$E83)*(('Rasterbemessung DE UZ ST'!E$27*1000)^2)*gamma_mfi)/(4*b_ef_UZ*k_modfi*k_fi_UZ*'Hilfstabellen_Mat&amp;Bem'!$BC$16))+d_char_UZ),
(((3*(2*'Hilfstabellen_Mat&amp;Bem'!$D83+5*b_UZ/1000*E50/1000+0.3*2*'Hilfstabellen_Mat&amp;Bem'!$E83)*E$27*1000*gamma_mfi)/(4*b_ef_UZ*'Hilfstabellen_Mat&amp;Bem'!$BC$24*k_fi_UZ*'Hilfstabellen_Mat&amp;Bem'!$BC$22*k_modfi))+d_char_UZ)))/RUWE_UZ,0)*RUWE_UZ,200)</f>
        <v>280</v>
      </c>
      <c r="F50" s="468">
        <f ca="1">IFERROR(ROUNDUP((MAX((SQRT((3*(2*'Hilfstabellen_Mat&amp;Bem'!$D83+5*b_UZ/1000*F50/1000+0.3*2*'Hilfstabellen_Mat&amp;Bem'!$E83)*(('Rasterbemessung DE UZ ST'!F$27*1000)^2)*gamma_mfi)/(4*b_ef_UZ*k_modfi*k_fi_UZ*'Hilfstabellen_Mat&amp;Bem'!$BC$16))+d_char_UZ),
(((3*(2*'Hilfstabellen_Mat&amp;Bem'!$D83+5*b_UZ/1000*F50/1000+0.3*2*'Hilfstabellen_Mat&amp;Bem'!$E83)*F$27*1000*gamma_mfi)/(4*b_ef_UZ*'Hilfstabellen_Mat&amp;Bem'!$BC$24*k_fi_UZ*'Hilfstabellen_Mat&amp;Bem'!$BC$22*k_modfi))+d_char_UZ)))/RUWE_UZ,0)*RUWE_UZ,200)</f>
        <v>280</v>
      </c>
      <c r="G50" s="468">
        <f ca="1">IFERROR(ROUNDUP((MAX((SQRT((3*(2*'Hilfstabellen_Mat&amp;Bem'!$D83+5*b_UZ/1000*G50/1000+0.3*2*'Hilfstabellen_Mat&amp;Bem'!$E83)*(('Rasterbemessung DE UZ ST'!G$27*1000)^2)*gamma_mfi)/(4*b_ef_UZ*k_modfi*k_fi_UZ*'Hilfstabellen_Mat&amp;Bem'!$BC$16))+d_char_UZ),
(((3*(2*'Hilfstabellen_Mat&amp;Bem'!$D83+5*b_UZ/1000*G50/1000+0.3*2*'Hilfstabellen_Mat&amp;Bem'!$E83)*G$27*1000*gamma_mfi)/(4*b_ef_UZ*'Hilfstabellen_Mat&amp;Bem'!$BC$24*k_fi_UZ*'Hilfstabellen_Mat&amp;Bem'!$BC$22*k_modfi))+d_char_UZ)))/RUWE_UZ,0)*RUWE_UZ,200)</f>
        <v>320</v>
      </c>
      <c r="H50" s="468">
        <f ca="1">IFERROR(ROUNDUP((MAX((SQRT((3*(2*'Hilfstabellen_Mat&amp;Bem'!$D83+5*b_UZ/1000*H50/1000+0.3*2*'Hilfstabellen_Mat&amp;Bem'!$E83)*(('Rasterbemessung DE UZ ST'!H$27*1000)^2)*gamma_mfi)/(4*b_ef_UZ*k_modfi*k_fi_UZ*'Hilfstabellen_Mat&amp;Bem'!$BC$16))+d_char_UZ),
(((3*(2*'Hilfstabellen_Mat&amp;Bem'!$D83+5*b_UZ/1000*H50/1000+0.3*2*'Hilfstabellen_Mat&amp;Bem'!$E83)*H$27*1000*gamma_mfi)/(4*b_ef_UZ*'Hilfstabellen_Mat&amp;Bem'!$BC$24*k_fi_UZ*'Hilfstabellen_Mat&amp;Bem'!$BC$22*k_modfi))+d_char_UZ)))/RUWE_UZ,0)*RUWE_UZ,200)</f>
        <v>360</v>
      </c>
      <c r="I50" s="468">
        <f ca="1">IFERROR(ROUNDUP((MAX((SQRT((3*(2*'Hilfstabellen_Mat&amp;Bem'!$D83+5*b_UZ/1000*I50/1000+0.3*2*'Hilfstabellen_Mat&amp;Bem'!$E83)*(('Rasterbemessung DE UZ ST'!I$27*1000)^2)*gamma_mfi)/(4*b_ef_UZ*k_modfi*k_fi_UZ*'Hilfstabellen_Mat&amp;Bem'!$BC$16))+d_char_UZ),
(((3*(2*'Hilfstabellen_Mat&amp;Bem'!$D83+5*b_UZ/1000*I50/1000+0.3*2*'Hilfstabellen_Mat&amp;Bem'!$E83)*I$27*1000*gamma_mfi)/(4*b_ef_UZ*'Hilfstabellen_Mat&amp;Bem'!$BC$24*k_fi_UZ*'Hilfstabellen_Mat&amp;Bem'!$BC$22*k_modfi))+d_char_UZ)))/RUWE_UZ,0)*RUWE_UZ,200)</f>
        <v>400</v>
      </c>
      <c r="J50" s="468">
        <f ca="1">IFERROR(ROUNDUP((MAX((SQRT((3*(2*'Hilfstabellen_Mat&amp;Bem'!$D83+5*b_UZ/1000*J50/1000+0.3*2*'Hilfstabellen_Mat&amp;Bem'!$E83)*(('Rasterbemessung DE UZ ST'!J$27*1000)^2)*gamma_mfi)/(4*b_ef_UZ*k_modfi*k_fi_UZ*'Hilfstabellen_Mat&amp;Bem'!$BC$16))+d_char_UZ),
(((3*(2*'Hilfstabellen_Mat&amp;Bem'!$D83+5*b_UZ/1000*J50/1000+0.3*2*'Hilfstabellen_Mat&amp;Bem'!$E83)*J$27*1000*gamma_mfi)/(4*b_ef_UZ*'Hilfstabellen_Mat&amp;Bem'!$BC$24*k_fi_UZ*'Hilfstabellen_Mat&amp;Bem'!$BC$22*k_modfi))+d_char_UZ)))/RUWE_UZ,0)*RUWE_UZ,200)</f>
        <v>440</v>
      </c>
      <c r="K50" s="468">
        <f ca="1">IFERROR(ROUNDUP((MAX((SQRT((3*(2*'Hilfstabellen_Mat&amp;Bem'!$D83+5*b_UZ/1000*K50/1000+0.3*2*'Hilfstabellen_Mat&amp;Bem'!$E83)*(('Rasterbemessung DE UZ ST'!K$27*1000)^2)*gamma_mfi)/(4*b_ef_UZ*k_modfi*k_fi_UZ*'Hilfstabellen_Mat&amp;Bem'!$BC$16))+d_char_UZ),
(((3*(2*'Hilfstabellen_Mat&amp;Bem'!$D83+5*b_UZ/1000*K50/1000+0.3*2*'Hilfstabellen_Mat&amp;Bem'!$E83)*K$27*1000*gamma_mfi)/(4*b_ef_UZ*'Hilfstabellen_Mat&amp;Bem'!$BC$24*k_fi_UZ*'Hilfstabellen_Mat&amp;Bem'!$BC$22*k_modfi))+d_char_UZ)))/RUWE_UZ,0)*RUWE_UZ,200)</f>
        <v>440</v>
      </c>
      <c r="L50" s="468">
        <f ca="1">IFERROR(ROUNDUP((MAX((SQRT((3*(2*'Hilfstabellen_Mat&amp;Bem'!$D83+5*b_UZ/1000*L50/1000+0.3*2*'Hilfstabellen_Mat&amp;Bem'!$E83)*(('Rasterbemessung DE UZ ST'!L$27*1000)^2)*gamma_mfi)/(4*b_ef_UZ*k_modfi*k_fi_UZ*'Hilfstabellen_Mat&amp;Bem'!$BC$16))+d_char_UZ),
(((3*(2*'Hilfstabellen_Mat&amp;Bem'!$D83+5*b_UZ/1000*L50/1000+0.3*2*'Hilfstabellen_Mat&amp;Bem'!$E83)*L$27*1000*gamma_mfi)/(4*b_ef_UZ*'Hilfstabellen_Mat&amp;Bem'!$BC$24*k_fi_UZ*'Hilfstabellen_Mat&amp;Bem'!$BC$22*k_modfi))+d_char_UZ)))/RUWE_UZ,0)*RUWE_UZ,200)</f>
        <v>480</v>
      </c>
      <c r="M50" s="468">
        <f ca="1">IFERROR(ROUNDUP((MAX((SQRT((3*(2*'Hilfstabellen_Mat&amp;Bem'!$D83+5*b_UZ/1000*M50/1000+0.3*2*'Hilfstabellen_Mat&amp;Bem'!$E83)*(('Rasterbemessung DE UZ ST'!M$27*1000)^2)*gamma_mfi)/(4*b_ef_UZ*k_modfi*k_fi_UZ*'Hilfstabellen_Mat&amp;Bem'!$BC$16))+d_char_UZ),
(((3*(2*'Hilfstabellen_Mat&amp;Bem'!$D83+5*b_UZ/1000*M50/1000+0.3*2*'Hilfstabellen_Mat&amp;Bem'!$E83)*M$27*1000*gamma_mfi)/(4*b_ef_UZ*'Hilfstabellen_Mat&amp;Bem'!$BC$24*k_fi_UZ*'Hilfstabellen_Mat&amp;Bem'!$BC$22*k_modfi))+d_char_UZ)))/RUWE_UZ,0)*RUWE_UZ,200)</f>
        <v>520</v>
      </c>
      <c r="T50" s="330"/>
      <c r="U50" s="330"/>
      <c r="V50" s="330"/>
      <c r="X50" s="468"/>
    </row>
    <row r="51" spans="1:47" ht="7.5" customHeight="1">
      <c r="AU51" s="330"/>
    </row>
    <row r="52" spans="1:47" ht="15" customHeight="1">
      <c r="A52" s="1458" t="s">
        <v>878</v>
      </c>
      <c r="B52" s="481">
        <f>'Hilfstabellen_Mat&amp;Bem'!$D51</f>
        <v>2.5</v>
      </c>
      <c r="C52" s="468">
        <f ca="1">IFERROR(ROUNDUP((
MAX((((1.6*(2*'Hilfstabellen_Mat&amp;Bem'!$D73+5*b_UZ/1000*C52/1000)+1.18*2*'Hilfstabellen_Mat&amp;Bem'!$E73)*(5*w_fin_UZ*('Rasterbemessung DE UZ ST'!C$27*1000)^3)/(32*b_UZ*'Hilfstabellen_Mat&amp;Bem'!$BC$25))^(1/3)),
((48*((2*'Hilfstabellen_Mat&amp;Bem'!$D73+5*b_UZ/1000*C52/1000)*100)*(C$27*1000)^4*f_grenz_UZ^2)/(PI()^2*'Hilfstabellen_Mat&amp;Bem'!$BC$25*b_UZ)/1000^2)^(1/3),
(((C$27*1000)^3*1000)/('Hilfstabellen_Mat&amp;Bem'!$BC$25*b_UZ))^(1/3)))
/RUWE_UZ,0)*RUWE_UZ,200)</f>
        <v>200</v>
      </c>
      <c r="D52" s="468">
        <f ca="1">IFERROR(ROUNDUP((
MAX((((1.6*(2*'Hilfstabellen_Mat&amp;Bem'!$D73+5*b_UZ/1000*D52/1000)+1.18*2*'Hilfstabellen_Mat&amp;Bem'!$E73)*(5*w_fin_UZ*('Rasterbemessung DE UZ ST'!D$27*1000)^3)/(32*b_UZ*'Hilfstabellen_Mat&amp;Bem'!$BC$25))^(1/3)),
((48*((2*'Hilfstabellen_Mat&amp;Bem'!$D73+5*b_UZ/1000*D52/1000)*100)*(D$27*1000)^4*f_grenz_UZ^2)/(PI()^2*'Hilfstabellen_Mat&amp;Bem'!$BC$25*b_UZ)/1000^2)^(1/3),
(((D$27*1000)^3*1000)/('Hilfstabellen_Mat&amp;Bem'!$BC$25*b_UZ))^(1/3)))
/RUWE_UZ,0)*RUWE_UZ,200)</f>
        <v>200</v>
      </c>
      <c r="E52" s="468">
        <f ca="1">IFERROR(ROUNDUP((
MAX((((1.6*(2*'Hilfstabellen_Mat&amp;Bem'!$D73+5*b_UZ/1000*E52/1000)+1.18*2*'Hilfstabellen_Mat&amp;Bem'!$E73)*(5*w_fin_UZ*('Rasterbemessung DE UZ ST'!E$27*1000)^3)/(32*b_UZ*'Hilfstabellen_Mat&amp;Bem'!$BC$25))^(1/3)),
((48*((2*'Hilfstabellen_Mat&amp;Bem'!$D73+5*b_UZ/1000*E52/1000)*100)*(E$27*1000)^4*f_grenz_UZ^2)/(PI()^2*'Hilfstabellen_Mat&amp;Bem'!$BC$25*b_UZ)/1000^2)^(1/3),
(((E$27*1000)^3*1000)/('Hilfstabellen_Mat&amp;Bem'!$BC$25*b_UZ))^(1/3)))
/RUWE_UZ,0)*RUWE_UZ,200)</f>
        <v>240</v>
      </c>
      <c r="F52" s="468">
        <f ca="1">IFERROR(ROUNDUP((
MAX((((1.6*(2*'Hilfstabellen_Mat&amp;Bem'!$D73+5*b_UZ/1000*F52/1000)+1.18*2*'Hilfstabellen_Mat&amp;Bem'!$E73)*(5*w_fin_UZ*('Rasterbemessung DE UZ ST'!F$27*1000)^3)/(32*b_UZ*'Hilfstabellen_Mat&amp;Bem'!$BC$25))^(1/3)),
((48*((2*'Hilfstabellen_Mat&amp;Bem'!$D73+5*b_UZ/1000*F52/1000)*100)*(F$27*1000)^4*f_grenz_UZ^2)/(PI()^2*'Hilfstabellen_Mat&amp;Bem'!$BC$25*b_UZ)/1000^2)^(1/3),
(((F$27*1000)^3*1000)/('Hilfstabellen_Mat&amp;Bem'!$BC$25*b_UZ))^(1/3)))
/RUWE_UZ,0)*RUWE_UZ,200)</f>
        <v>240</v>
      </c>
      <c r="G52" s="468">
        <f ca="1">IFERROR(ROUNDUP((
MAX((((1.6*(2*'Hilfstabellen_Mat&amp;Bem'!$D73+5*b_UZ/1000*G52/1000)+1.18*2*'Hilfstabellen_Mat&amp;Bem'!$E73)*(5*w_fin_UZ*('Rasterbemessung DE UZ ST'!G$27*1000)^3)/(32*b_UZ*'Hilfstabellen_Mat&amp;Bem'!$BC$25))^(1/3)),
((48*((2*'Hilfstabellen_Mat&amp;Bem'!$D73+5*b_UZ/1000*G52/1000)*100)*(G$27*1000)^4*f_grenz_UZ^2)/(PI()^2*'Hilfstabellen_Mat&amp;Bem'!$BC$25*b_UZ)/1000^2)^(1/3),
(((G$27*1000)^3*1000)/('Hilfstabellen_Mat&amp;Bem'!$BC$25*b_UZ))^(1/3)))
/RUWE_UZ,0)*RUWE_UZ,200)</f>
        <v>280</v>
      </c>
      <c r="H52" s="468">
        <f ca="1">IFERROR(ROUNDUP((
MAX((((1.6*(2*'Hilfstabellen_Mat&amp;Bem'!$D73+5*b_UZ/1000*H52/1000)+1.18*2*'Hilfstabellen_Mat&amp;Bem'!$E73)*(5*w_fin_UZ*('Rasterbemessung DE UZ ST'!H$27*1000)^3)/(32*b_UZ*'Hilfstabellen_Mat&amp;Bem'!$BC$25))^(1/3)),
((48*((2*'Hilfstabellen_Mat&amp;Bem'!$D73+5*b_UZ/1000*H52/1000)*100)*(H$27*1000)^4*f_grenz_UZ^2)/(PI()^2*'Hilfstabellen_Mat&amp;Bem'!$BC$25*b_UZ)/1000^2)^(1/3),
(((H$27*1000)^3*1000)/('Hilfstabellen_Mat&amp;Bem'!$BC$25*b_UZ))^(1/3)))
/RUWE_UZ,0)*RUWE_UZ,200)</f>
        <v>320</v>
      </c>
      <c r="I52" s="468">
        <f ca="1">IFERROR(ROUNDUP((
MAX((((1.6*(2*'Hilfstabellen_Mat&amp;Bem'!$D73+5*b_UZ/1000*I52/1000)+1.18*2*'Hilfstabellen_Mat&amp;Bem'!$E73)*(5*w_fin_UZ*('Rasterbemessung DE UZ ST'!I$27*1000)^3)/(32*b_UZ*'Hilfstabellen_Mat&amp;Bem'!$BC$25))^(1/3)),
((48*((2*'Hilfstabellen_Mat&amp;Bem'!$D73+5*b_UZ/1000*I52/1000)*100)*(I$27*1000)^4*f_grenz_UZ^2)/(PI()^2*'Hilfstabellen_Mat&amp;Bem'!$BC$25*b_UZ)/1000^2)^(1/3),
(((I$27*1000)^3*1000)/('Hilfstabellen_Mat&amp;Bem'!$BC$25*b_UZ))^(1/3)))
/RUWE_UZ,0)*RUWE_UZ,200)</f>
        <v>360</v>
      </c>
      <c r="J52" s="468">
        <f ca="1">IFERROR(ROUNDUP((
MAX((((1.6*(2*'Hilfstabellen_Mat&amp;Bem'!$D73+5*b_UZ/1000*J52/1000)+1.18*2*'Hilfstabellen_Mat&amp;Bem'!$E73)*(5*w_fin_UZ*('Rasterbemessung DE UZ ST'!J$27*1000)^3)/(32*b_UZ*'Hilfstabellen_Mat&amp;Bem'!$BC$25))^(1/3)),
((48*((2*'Hilfstabellen_Mat&amp;Bem'!$D73+5*b_UZ/1000*J52/1000)*100)*(J$27*1000)^4*f_grenz_UZ^2)/(PI()^2*'Hilfstabellen_Mat&amp;Bem'!$BC$25*b_UZ)/1000^2)^(1/3),
(((J$27*1000)^3*1000)/('Hilfstabellen_Mat&amp;Bem'!$BC$25*b_UZ))^(1/3)))
/RUWE_UZ,0)*RUWE_UZ,200)</f>
        <v>440</v>
      </c>
      <c r="K52" s="468">
        <f ca="1">IFERROR(ROUNDUP((
MAX((((1.6*(2*'Hilfstabellen_Mat&amp;Bem'!$D73+5*b_UZ/1000*K52/1000)+1.18*2*'Hilfstabellen_Mat&amp;Bem'!$E73)*(5*w_fin_UZ*('Rasterbemessung DE UZ ST'!K$27*1000)^3)/(32*b_UZ*'Hilfstabellen_Mat&amp;Bem'!$BC$25))^(1/3)),
((48*((2*'Hilfstabellen_Mat&amp;Bem'!$D73+5*b_UZ/1000*K52/1000)*100)*(K$27*1000)^4*f_grenz_UZ^2)/(PI()^2*'Hilfstabellen_Mat&amp;Bem'!$BC$25*b_UZ)/1000^2)^(1/3),
(((K$27*1000)^3*1000)/('Hilfstabellen_Mat&amp;Bem'!$BC$25*b_UZ))^(1/3)))
/RUWE_UZ,0)*RUWE_UZ,200)</f>
        <v>480</v>
      </c>
      <c r="L52" s="468">
        <f ca="1">IFERROR(ROUNDUP((
MAX((((1.6*(2*'Hilfstabellen_Mat&amp;Bem'!$D73+5*b_UZ/1000*L52/1000)+1.18*2*'Hilfstabellen_Mat&amp;Bem'!$E73)*(5*w_fin_UZ*('Rasterbemessung DE UZ ST'!L$27*1000)^3)/(32*b_UZ*'Hilfstabellen_Mat&amp;Bem'!$BC$25))^(1/3)),
((48*((2*'Hilfstabellen_Mat&amp;Bem'!$D73+5*b_UZ/1000*L52/1000)*100)*(L$27*1000)^4*f_grenz_UZ^2)/(PI()^2*'Hilfstabellen_Mat&amp;Bem'!$BC$25*b_UZ)/1000^2)^(1/3),
(((L$27*1000)^3*1000)/('Hilfstabellen_Mat&amp;Bem'!$BC$25*b_UZ))^(1/3)))
/RUWE_UZ,0)*RUWE_UZ,200)</f>
        <v>520</v>
      </c>
      <c r="M52" s="468">
        <f ca="1">IFERROR(ROUNDUP((
MAX((((1.6*(2*'Hilfstabellen_Mat&amp;Bem'!$D73+5*b_UZ/1000*M52/1000)+1.18*2*'Hilfstabellen_Mat&amp;Bem'!$E73)*(5*w_fin_UZ*('Rasterbemessung DE UZ ST'!M$27*1000)^3)/(32*b_UZ*'Hilfstabellen_Mat&amp;Bem'!$BC$25))^(1/3)),
((48*((2*'Hilfstabellen_Mat&amp;Bem'!$D73+5*b_UZ/1000*M52/1000)*100)*(M$27*1000)^4*f_grenz_UZ^2)/(PI()^2*'Hilfstabellen_Mat&amp;Bem'!$BC$25*b_UZ)/1000^2)^(1/3),
(((M$27*1000)^3*1000)/('Hilfstabellen_Mat&amp;Bem'!$BC$25*b_UZ))^(1/3)))
/RUWE_UZ,0)*RUWE_UZ,200)</f>
        <v>560</v>
      </c>
      <c r="AU52" s="330"/>
    </row>
    <row r="53" spans="1:47" ht="15" customHeight="1">
      <c r="A53" s="1458"/>
      <c r="B53" s="481">
        <f>'Hilfstabellen_Mat&amp;Bem'!$D52</f>
        <v>2.65</v>
      </c>
      <c r="C53" s="468">
        <f ca="1">IFERROR(ROUNDUP((
MAX((((1.6*(2*'Hilfstabellen_Mat&amp;Bem'!$D74+5*b_UZ/1000*C53/1000)+1.18*2*'Hilfstabellen_Mat&amp;Bem'!$E74)*(5*w_fin_UZ*('Rasterbemessung DE UZ ST'!C$27*1000)^3)/(32*b_UZ*'Hilfstabellen_Mat&amp;Bem'!$BC$25))^(1/3)),
((48*((2*'Hilfstabellen_Mat&amp;Bem'!$D74+5*b_UZ/1000*C53/1000)*100)*(C$27*1000)^4*f_grenz_UZ^2)/(PI()^2*'Hilfstabellen_Mat&amp;Bem'!$BC$25*b_UZ)/1000^2)^(1/3),
(((C$27*1000)^3*1000)/('Hilfstabellen_Mat&amp;Bem'!$BC$25*b_UZ))^(1/3)))
/RUWE_UZ,0)*RUWE_UZ,200)</f>
        <v>200</v>
      </c>
      <c r="D53" s="468">
        <f ca="1">IFERROR(ROUNDUP((
MAX((((1.6*(2*'Hilfstabellen_Mat&amp;Bem'!$D74+5*b_UZ/1000*D53/1000)+1.18*2*'Hilfstabellen_Mat&amp;Bem'!$E74)*(5*w_fin_UZ*('Rasterbemessung DE UZ ST'!D$27*1000)^3)/(32*b_UZ*'Hilfstabellen_Mat&amp;Bem'!$BC$25))^(1/3)),
((48*((2*'Hilfstabellen_Mat&amp;Bem'!$D74+5*b_UZ/1000*D53/1000)*100)*(D$27*1000)^4*f_grenz_UZ^2)/(PI()^2*'Hilfstabellen_Mat&amp;Bem'!$BC$25*b_UZ)/1000^2)^(1/3),
(((D$27*1000)^3*1000)/('Hilfstabellen_Mat&amp;Bem'!$BC$25*b_UZ))^(1/3)))
/RUWE_UZ,0)*RUWE_UZ,200)</f>
        <v>200</v>
      </c>
      <c r="E53" s="468">
        <f ca="1">IFERROR(ROUNDUP((
MAX((((1.6*(2*'Hilfstabellen_Mat&amp;Bem'!$D74+5*b_UZ/1000*E53/1000)+1.18*2*'Hilfstabellen_Mat&amp;Bem'!$E74)*(5*w_fin_UZ*('Rasterbemessung DE UZ ST'!E$27*1000)^3)/(32*b_UZ*'Hilfstabellen_Mat&amp;Bem'!$BC$25))^(1/3)),
((48*((2*'Hilfstabellen_Mat&amp;Bem'!$D74+5*b_UZ/1000*E53/1000)*100)*(E$27*1000)^4*f_grenz_UZ^2)/(PI()^2*'Hilfstabellen_Mat&amp;Bem'!$BC$25*b_UZ)/1000^2)^(1/3),
(((E$27*1000)^3*1000)/('Hilfstabellen_Mat&amp;Bem'!$BC$25*b_UZ))^(1/3)))
/RUWE_UZ,0)*RUWE_UZ,200)</f>
        <v>240</v>
      </c>
      <c r="F53" s="468">
        <f ca="1">IFERROR(ROUNDUP((
MAX((((1.6*(2*'Hilfstabellen_Mat&amp;Bem'!$D74+5*b_UZ/1000*F53/1000)+1.18*2*'Hilfstabellen_Mat&amp;Bem'!$E74)*(5*w_fin_UZ*('Rasterbemessung DE UZ ST'!F$27*1000)^3)/(32*b_UZ*'Hilfstabellen_Mat&amp;Bem'!$BC$25))^(1/3)),
((48*((2*'Hilfstabellen_Mat&amp;Bem'!$D74+5*b_UZ/1000*F53/1000)*100)*(F$27*1000)^4*f_grenz_UZ^2)/(PI()^2*'Hilfstabellen_Mat&amp;Bem'!$BC$25*b_UZ)/1000^2)^(1/3),
(((F$27*1000)^3*1000)/('Hilfstabellen_Mat&amp;Bem'!$BC$25*b_UZ))^(1/3)))
/RUWE_UZ,0)*RUWE_UZ,200)</f>
        <v>240</v>
      </c>
      <c r="G53" s="468">
        <f ca="1">IFERROR(ROUNDUP((
MAX((((1.6*(2*'Hilfstabellen_Mat&amp;Bem'!$D74+5*b_UZ/1000*G53/1000)+1.18*2*'Hilfstabellen_Mat&amp;Bem'!$E74)*(5*w_fin_UZ*('Rasterbemessung DE UZ ST'!G$27*1000)^3)/(32*b_UZ*'Hilfstabellen_Mat&amp;Bem'!$BC$25))^(1/3)),
((48*((2*'Hilfstabellen_Mat&amp;Bem'!$D74+5*b_UZ/1000*G53/1000)*100)*(G$27*1000)^4*f_grenz_UZ^2)/(PI()^2*'Hilfstabellen_Mat&amp;Bem'!$BC$25*b_UZ)/1000^2)^(1/3),
(((G$27*1000)^3*1000)/('Hilfstabellen_Mat&amp;Bem'!$BC$25*b_UZ))^(1/3)))
/RUWE_UZ,0)*RUWE_UZ,200)</f>
        <v>280</v>
      </c>
      <c r="H53" s="468">
        <f ca="1">IFERROR(ROUNDUP((
MAX((((1.6*(2*'Hilfstabellen_Mat&amp;Bem'!$D74+5*b_UZ/1000*H53/1000)+1.18*2*'Hilfstabellen_Mat&amp;Bem'!$E74)*(5*w_fin_UZ*('Rasterbemessung DE UZ ST'!H$27*1000)^3)/(32*b_UZ*'Hilfstabellen_Mat&amp;Bem'!$BC$25))^(1/3)),
((48*((2*'Hilfstabellen_Mat&amp;Bem'!$D74+5*b_UZ/1000*H53/1000)*100)*(H$27*1000)^4*f_grenz_UZ^2)/(PI()^2*'Hilfstabellen_Mat&amp;Bem'!$BC$25*b_UZ)/1000^2)^(1/3),
(((H$27*1000)^3*1000)/('Hilfstabellen_Mat&amp;Bem'!$BC$25*b_UZ))^(1/3)))
/RUWE_UZ,0)*RUWE_UZ,200)</f>
        <v>320</v>
      </c>
      <c r="I53" s="468">
        <f ca="1">IFERROR(ROUNDUP((
MAX((((1.6*(2*'Hilfstabellen_Mat&amp;Bem'!$D74+5*b_UZ/1000*I53/1000)+1.18*2*'Hilfstabellen_Mat&amp;Bem'!$E74)*(5*w_fin_UZ*('Rasterbemessung DE UZ ST'!I$27*1000)^3)/(32*b_UZ*'Hilfstabellen_Mat&amp;Bem'!$BC$25))^(1/3)),
((48*((2*'Hilfstabellen_Mat&amp;Bem'!$D74+5*b_UZ/1000*I53/1000)*100)*(I$27*1000)^4*f_grenz_UZ^2)/(PI()^2*'Hilfstabellen_Mat&amp;Bem'!$BC$25*b_UZ)/1000^2)^(1/3),
(((I$27*1000)^3*1000)/('Hilfstabellen_Mat&amp;Bem'!$BC$25*b_UZ))^(1/3)))
/RUWE_UZ,0)*RUWE_UZ,200)</f>
        <v>400</v>
      </c>
      <c r="J53" s="468">
        <f ca="1">IFERROR(ROUNDUP((
MAX((((1.6*(2*'Hilfstabellen_Mat&amp;Bem'!$D74+5*b_UZ/1000*J53/1000)+1.18*2*'Hilfstabellen_Mat&amp;Bem'!$E74)*(5*w_fin_UZ*('Rasterbemessung DE UZ ST'!J$27*1000)^3)/(32*b_UZ*'Hilfstabellen_Mat&amp;Bem'!$BC$25))^(1/3)),
((48*((2*'Hilfstabellen_Mat&amp;Bem'!$D74+5*b_UZ/1000*J53/1000)*100)*(J$27*1000)^4*f_grenz_UZ^2)/(PI()^2*'Hilfstabellen_Mat&amp;Bem'!$BC$25*b_UZ)/1000^2)^(1/3),
(((J$27*1000)^3*1000)/('Hilfstabellen_Mat&amp;Bem'!$BC$25*b_UZ))^(1/3)))
/RUWE_UZ,0)*RUWE_UZ,200)</f>
        <v>440</v>
      </c>
      <c r="K53" s="468">
        <f ca="1">IFERROR(ROUNDUP((
MAX((((1.6*(2*'Hilfstabellen_Mat&amp;Bem'!$D74+5*b_UZ/1000*K53/1000)+1.18*2*'Hilfstabellen_Mat&amp;Bem'!$E74)*(5*w_fin_UZ*('Rasterbemessung DE UZ ST'!K$27*1000)^3)/(32*b_UZ*'Hilfstabellen_Mat&amp;Bem'!$BC$25))^(1/3)),
((48*((2*'Hilfstabellen_Mat&amp;Bem'!$D74+5*b_UZ/1000*K53/1000)*100)*(K$27*1000)^4*f_grenz_UZ^2)/(PI()^2*'Hilfstabellen_Mat&amp;Bem'!$BC$25*b_UZ)/1000^2)^(1/3),
(((K$27*1000)^3*1000)/('Hilfstabellen_Mat&amp;Bem'!$BC$25*b_UZ))^(1/3)))
/RUWE_UZ,0)*RUWE_UZ,200)</f>
        <v>480</v>
      </c>
      <c r="L53" s="468">
        <f ca="1">IFERROR(ROUNDUP((
MAX((((1.6*(2*'Hilfstabellen_Mat&amp;Bem'!$D74+5*b_UZ/1000*L53/1000)+1.18*2*'Hilfstabellen_Mat&amp;Bem'!$E74)*(5*w_fin_UZ*('Rasterbemessung DE UZ ST'!L$27*1000)^3)/(32*b_UZ*'Hilfstabellen_Mat&amp;Bem'!$BC$25))^(1/3)),
((48*((2*'Hilfstabellen_Mat&amp;Bem'!$D74+5*b_UZ/1000*L53/1000)*100)*(L$27*1000)^4*f_grenz_UZ^2)/(PI()^2*'Hilfstabellen_Mat&amp;Bem'!$BC$25*b_UZ)/1000^2)^(1/3),
(((L$27*1000)^3*1000)/('Hilfstabellen_Mat&amp;Bem'!$BC$25*b_UZ))^(1/3)))
/RUWE_UZ,0)*RUWE_UZ,200)</f>
        <v>520</v>
      </c>
      <c r="M53" s="468">
        <f ca="1">IFERROR(ROUNDUP((
MAX((((1.6*(2*'Hilfstabellen_Mat&amp;Bem'!$D74+5*b_UZ/1000*M53/1000)+1.18*2*'Hilfstabellen_Mat&amp;Bem'!$E74)*(5*w_fin_UZ*('Rasterbemessung DE UZ ST'!M$27*1000)^3)/(32*b_UZ*'Hilfstabellen_Mat&amp;Bem'!$BC$25))^(1/3)),
((48*((2*'Hilfstabellen_Mat&amp;Bem'!$D74+5*b_UZ/1000*M53/1000)*100)*(M$27*1000)^4*f_grenz_UZ^2)/(PI()^2*'Hilfstabellen_Mat&amp;Bem'!$BC$25*b_UZ)/1000^2)^(1/3),
(((M$27*1000)^3*1000)/('Hilfstabellen_Mat&amp;Bem'!$BC$25*b_UZ))^(1/3)))
/RUWE_UZ,0)*RUWE_UZ,200)</f>
        <v>560</v>
      </c>
    </row>
    <row r="54" spans="1:47" ht="15" customHeight="1">
      <c r="A54" s="1458"/>
      <c r="B54" s="481">
        <f>'Hilfstabellen_Mat&amp;Bem'!$D53</f>
        <v>2.85</v>
      </c>
      <c r="C54" s="468">
        <f ca="1">IFERROR(ROUNDUP((
MAX((((1.6*(2*'Hilfstabellen_Mat&amp;Bem'!$D75+5*b_UZ/1000*C54/1000)+1.18*2*'Hilfstabellen_Mat&amp;Bem'!$E75)*(5*w_fin_UZ*('Rasterbemessung DE UZ ST'!C$27*1000)^3)/(32*b_UZ*'Hilfstabellen_Mat&amp;Bem'!$BC$25))^(1/3)),
((48*((2*'Hilfstabellen_Mat&amp;Bem'!$D75+5*b_UZ/1000*C54/1000)*100)*(C$27*1000)^4*f_grenz_UZ^2)/(PI()^2*'Hilfstabellen_Mat&amp;Bem'!$BC$25*b_UZ)/1000^2)^(1/3),
(((C$27*1000)^3*1000)/('Hilfstabellen_Mat&amp;Bem'!$BC$25*b_UZ))^(1/3)))
/RUWE_UZ,0)*RUWE_UZ,200)</f>
        <v>200</v>
      </c>
      <c r="D54" s="468">
        <f ca="1">IFERROR(ROUNDUP((
MAX((((1.6*(2*'Hilfstabellen_Mat&amp;Bem'!$D75+5*b_UZ/1000*D54/1000)+1.18*2*'Hilfstabellen_Mat&amp;Bem'!$E75)*(5*w_fin_UZ*('Rasterbemessung DE UZ ST'!D$27*1000)^3)/(32*b_UZ*'Hilfstabellen_Mat&amp;Bem'!$BC$25))^(1/3)),
((48*((2*'Hilfstabellen_Mat&amp;Bem'!$D75+5*b_UZ/1000*D54/1000)*100)*(D$27*1000)^4*f_grenz_UZ^2)/(PI()^2*'Hilfstabellen_Mat&amp;Bem'!$BC$25*b_UZ)/1000^2)^(1/3),
(((D$27*1000)^3*1000)/('Hilfstabellen_Mat&amp;Bem'!$BC$25*b_UZ))^(1/3)))
/RUWE_UZ,0)*RUWE_UZ,200)</f>
        <v>200</v>
      </c>
      <c r="E54" s="468">
        <f ca="1">IFERROR(ROUNDUP((
MAX((((1.6*(2*'Hilfstabellen_Mat&amp;Bem'!$D75+5*b_UZ/1000*E54/1000)+1.18*2*'Hilfstabellen_Mat&amp;Bem'!$E75)*(5*w_fin_UZ*('Rasterbemessung DE UZ ST'!E$27*1000)^3)/(32*b_UZ*'Hilfstabellen_Mat&amp;Bem'!$BC$25))^(1/3)),
((48*((2*'Hilfstabellen_Mat&amp;Bem'!$D75+5*b_UZ/1000*E54/1000)*100)*(E$27*1000)^4*f_grenz_UZ^2)/(PI()^2*'Hilfstabellen_Mat&amp;Bem'!$BC$25*b_UZ)/1000^2)^(1/3),
(((E$27*1000)^3*1000)/('Hilfstabellen_Mat&amp;Bem'!$BC$25*b_UZ))^(1/3)))
/RUWE_UZ,0)*RUWE_UZ,200)</f>
        <v>240</v>
      </c>
      <c r="F54" s="468">
        <f ca="1">IFERROR(ROUNDUP((
MAX((((1.6*(2*'Hilfstabellen_Mat&amp;Bem'!$D75+5*b_UZ/1000*F54/1000)+1.18*2*'Hilfstabellen_Mat&amp;Bem'!$E75)*(5*w_fin_UZ*('Rasterbemessung DE UZ ST'!F$27*1000)^3)/(32*b_UZ*'Hilfstabellen_Mat&amp;Bem'!$BC$25))^(1/3)),
((48*((2*'Hilfstabellen_Mat&amp;Bem'!$D75+5*b_UZ/1000*F54/1000)*100)*(F$27*1000)^4*f_grenz_UZ^2)/(PI()^2*'Hilfstabellen_Mat&amp;Bem'!$BC$25*b_UZ)/1000^2)^(1/3),
(((F$27*1000)^3*1000)/('Hilfstabellen_Mat&amp;Bem'!$BC$25*b_UZ))^(1/3)))
/RUWE_UZ,0)*RUWE_UZ,200)</f>
        <v>240</v>
      </c>
      <c r="G54" s="468">
        <f ca="1">IFERROR(ROUNDUP((
MAX((((1.6*(2*'Hilfstabellen_Mat&amp;Bem'!$D75+5*b_UZ/1000*G54/1000)+1.18*2*'Hilfstabellen_Mat&amp;Bem'!$E75)*(5*w_fin_UZ*('Rasterbemessung DE UZ ST'!G$27*1000)^3)/(32*b_UZ*'Hilfstabellen_Mat&amp;Bem'!$BC$25))^(1/3)),
((48*((2*'Hilfstabellen_Mat&amp;Bem'!$D75+5*b_UZ/1000*G54/1000)*100)*(G$27*1000)^4*f_grenz_UZ^2)/(PI()^2*'Hilfstabellen_Mat&amp;Bem'!$BC$25*b_UZ)/1000^2)^(1/3),
(((G$27*1000)^3*1000)/('Hilfstabellen_Mat&amp;Bem'!$BC$25*b_UZ))^(1/3)))
/RUWE_UZ,0)*RUWE_UZ,200)</f>
        <v>280</v>
      </c>
      <c r="H54" s="468">
        <f ca="1">IFERROR(ROUNDUP((
MAX((((1.6*(2*'Hilfstabellen_Mat&amp;Bem'!$D75+5*b_UZ/1000*H54/1000)+1.18*2*'Hilfstabellen_Mat&amp;Bem'!$E75)*(5*w_fin_UZ*('Rasterbemessung DE UZ ST'!H$27*1000)^3)/(32*b_UZ*'Hilfstabellen_Mat&amp;Bem'!$BC$25))^(1/3)),
((48*((2*'Hilfstabellen_Mat&amp;Bem'!$D75+5*b_UZ/1000*H54/1000)*100)*(H$27*1000)^4*f_grenz_UZ^2)/(PI()^2*'Hilfstabellen_Mat&amp;Bem'!$BC$25*b_UZ)/1000^2)^(1/3),
(((H$27*1000)^3*1000)/('Hilfstabellen_Mat&amp;Bem'!$BC$25*b_UZ))^(1/3)))
/RUWE_UZ,0)*RUWE_UZ,200)</f>
        <v>320</v>
      </c>
      <c r="I54" s="468">
        <f ca="1">IFERROR(ROUNDUP((
MAX((((1.6*(2*'Hilfstabellen_Mat&amp;Bem'!$D75+5*b_UZ/1000*I54/1000)+1.18*2*'Hilfstabellen_Mat&amp;Bem'!$E75)*(5*w_fin_UZ*('Rasterbemessung DE UZ ST'!I$27*1000)^3)/(32*b_UZ*'Hilfstabellen_Mat&amp;Bem'!$BC$25))^(1/3)),
((48*((2*'Hilfstabellen_Mat&amp;Bem'!$D75+5*b_UZ/1000*I54/1000)*100)*(I$27*1000)^4*f_grenz_UZ^2)/(PI()^2*'Hilfstabellen_Mat&amp;Bem'!$BC$25*b_UZ)/1000^2)^(1/3),
(((I$27*1000)^3*1000)/('Hilfstabellen_Mat&amp;Bem'!$BC$25*b_UZ))^(1/3)))
/RUWE_UZ,0)*RUWE_UZ,200)</f>
        <v>400</v>
      </c>
      <c r="J54" s="468">
        <f ca="1">IFERROR(ROUNDUP((
MAX((((1.6*(2*'Hilfstabellen_Mat&amp;Bem'!$D75+5*b_UZ/1000*J54/1000)+1.18*2*'Hilfstabellen_Mat&amp;Bem'!$E75)*(5*w_fin_UZ*('Rasterbemessung DE UZ ST'!J$27*1000)^3)/(32*b_UZ*'Hilfstabellen_Mat&amp;Bem'!$BC$25))^(1/3)),
((48*((2*'Hilfstabellen_Mat&amp;Bem'!$D75+5*b_UZ/1000*J54/1000)*100)*(J$27*1000)^4*f_grenz_UZ^2)/(PI()^2*'Hilfstabellen_Mat&amp;Bem'!$BC$25*b_UZ)/1000^2)^(1/3),
(((J$27*1000)^3*1000)/('Hilfstabellen_Mat&amp;Bem'!$BC$25*b_UZ))^(1/3)))
/RUWE_UZ,0)*RUWE_UZ,200)</f>
        <v>440</v>
      </c>
      <c r="K54" s="468">
        <f ca="1">IFERROR(ROUNDUP((
MAX((((1.6*(2*'Hilfstabellen_Mat&amp;Bem'!$D75+5*b_UZ/1000*K54/1000)+1.18*2*'Hilfstabellen_Mat&amp;Bem'!$E75)*(5*w_fin_UZ*('Rasterbemessung DE UZ ST'!K$27*1000)^3)/(32*b_UZ*'Hilfstabellen_Mat&amp;Bem'!$BC$25))^(1/3)),
((48*((2*'Hilfstabellen_Mat&amp;Bem'!$D75+5*b_UZ/1000*K54/1000)*100)*(K$27*1000)^4*f_grenz_UZ^2)/(PI()^2*'Hilfstabellen_Mat&amp;Bem'!$BC$25*b_UZ)/1000^2)^(1/3),
(((K$27*1000)^3*1000)/('Hilfstabellen_Mat&amp;Bem'!$BC$25*b_UZ))^(1/3)))
/RUWE_UZ,0)*RUWE_UZ,200)</f>
        <v>480</v>
      </c>
      <c r="L54" s="468">
        <f ca="1">IFERROR(ROUNDUP((
MAX((((1.6*(2*'Hilfstabellen_Mat&amp;Bem'!$D75+5*b_UZ/1000*L54/1000)+1.18*2*'Hilfstabellen_Mat&amp;Bem'!$E75)*(5*w_fin_UZ*('Rasterbemessung DE UZ ST'!L$27*1000)^3)/(32*b_UZ*'Hilfstabellen_Mat&amp;Bem'!$BC$25))^(1/3)),
((48*((2*'Hilfstabellen_Mat&amp;Bem'!$D75+5*b_UZ/1000*L54/1000)*100)*(L$27*1000)^4*f_grenz_UZ^2)/(PI()^2*'Hilfstabellen_Mat&amp;Bem'!$BC$25*b_UZ)/1000^2)^(1/3),
(((L$27*1000)^3*1000)/('Hilfstabellen_Mat&amp;Bem'!$BC$25*b_UZ))^(1/3)))
/RUWE_UZ,0)*RUWE_UZ,200)</f>
        <v>520</v>
      </c>
      <c r="M54" s="468">
        <f ca="1">IFERROR(ROUNDUP((
MAX((((1.6*(2*'Hilfstabellen_Mat&amp;Bem'!$D75+5*b_UZ/1000*M54/1000)+1.18*2*'Hilfstabellen_Mat&amp;Bem'!$E75)*(5*w_fin_UZ*('Rasterbemessung DE UZ ST'!M$27*1000)^3)/(32*b_UZ*'Hilfstabellen_Mat&amp;Bem'!$BC$25))^(1/3)),
((48*((2*'Hilfstabellen_Mat&amp;Bem'!$D75+5*b_UZ/1000*M54/1000)*100)*(M$27*1000)^4*f_grenz_UZ^2)/(PI()^2*'Hilfstabellen_Mat&amp;Bem'!$BC$25*b_UZ)/1000^2)^(1/3),
(((M$27*1000)^3*1000)/('Hilfstabellen_Mat&amp;Bem'!$BC$25*b_UZ))^(1/3)))
/RUWE_UZ,0)*RUWE_UZ,200)</f>
        <v>560</v>
      </c>
    </row>
    <row r="55" spans="1:47" ht="15" customHeight="1">
      <c r="A55" s="1458"/>
      <c r="B55" s="481">
        <f>'Hilfstabellen_Mat&amp;Bem'!$D54</f>
        <v>3</v>
      </c>
      <c r="C55" s="468">
        <f ca="1">IFERROR(ROUNDUP((
MAX((((1.6*(2*'Hilfstabellen_Mat&amp;Bem'!$D76+5*b_UZ/1000*C55/1000)+1.18*2*'Hilfstabellen_Mat&amp;Bem'!$E76)*(5*w_fin_UZ*('Rasterbemessung DE UZ ST'!C$27*1000)^3)/(32*b_UZ*'Hilfstabellen_Mat&amp;Bem'!$BC$25))^(1/3)),
((48*((2*'Hilfstabellen_Mat&amp;Bem'!$D76+5*b_UZ/1000*C55/1000)*100)*(C$27*1000)^4*f_grenz_UZ^2)/(PI()^2*'Hilfstabellen_Mat&amp;Bem'!$BC$25*b_UZ)/1000^2)^(1/3),
(((C$27*1000)^3*1000)/('Hilfstabellen_Mat&amp;Bem'!$BC$25*b_UZ))^(1/3)))
/RUWE_UZ,0)*RUWE_UZ,200)</f>
        <v>200</v>
      </c>
      <c r="D55" s="468">
        <f ca="1">IFERROR(ROUNDUP((
MAX((((1.6*(2*'Hilfstabellen_Mat&amp;Bem'!$D76+5*b_UZ/1000*D55/1000)+1.18*2*'Hilfstabellen_Mat&amp;Bem'!$E76)*(5*w_fin_UZ*('Rasterbemessung DE UZ ST'!D$27*1000)^3)/(32*b_UZ*'Hilfstabellen_Mat&amp;Bem'!$BC$25))^(1/3)),
((48*((2*'Hilfstabellen_Mat&amp;Bem'!$D76+5*b_UZ/1000*D55/1000)*100)*(D$27*1000)^4*f_grenz_UZ^2)/(PI()^2*'Hilfstabellen_Mat&amp;Bem'!$BC$25*b_UZ)/1000^2)^(1/3),
(((D$27*1000)^3*1000)/('Hilfstabellen_Mat&amp;Bem'!$BC$25*b_UZ))^(1/3)))
/RUWE_UZ,0)*RUWE_UZ,200)</f>
        <v>240</v>
      </c>
      <c r="E55" s="468">
        <f ca="1">IFERROR(ROUNDUP((
MAX((((1.6*(2*'Hilfstabellen_Mat&amp;Bem'!$D76+5*b_UZ/1000*E55/1000)+1.18*2*'Hilfstabellen_Mat&amp;Bem'!$E76)*(5*w_fin_UZ*('Rasterbemessung DE UZ ST'!E$27*1000)^3)/(32*b_UZ*'Hilfstabellen_Mat&amp;Bem'!$BC$25))^(1/3)),
((48*((2*'Hilfstabellen_Mat&amp;Bem'!$D76+5*b_UZ/1000*E55/1000)*100)*(E$27*1000)^4*f_grenz_UZ^2)/(PI()^2*'Hilfstabellen_Mat&amp;Bem'!$BC$25*b_UZ)/1000^2)^(1/3),
(((E$27*1000)^3*1000)/('Hilfstabellen_Mat&amp;Bem'!$BC$25*b_UZ))^(1/3)))
/RUWE_UZ,0)*RUWE_UZ,200)</f>
        <v>240</v>
      </c>
      <c r="F55" s="468">
        <f ca="1">IFERROR(ROUNDUP((
MAX((((1.6*(2*'Hilfstabellen_Mat&amp;Bem'!$D76+5*b_UZ/1000*F55/1000)+1.18*2*'Hilfstabellen_Mat&amp;Bem'!$E76)*(5*w_fin_UZ*('Rasterbemessung DE UZ ST'!F$27*1000)^3)/(32*b_UZ*'Hilfstabellen_Mat&amp;Bem'!$BC$25))^(1/3)),
((48*((2*'Hilfstabellen_Mat&amp;Bem'!$D76+5*b_UZ/1000*F55/1000)*100)*(F$27*1000)^4*f_grenz_UZ^2)/(PI()^2*'Hilfstabellen_Mat&amp;Bem'!$BC$25*b_UZ)/1000^2)^(1/3),
(((F$27*1000)^3*1000)/('Hilfstabellen_Mat&amp;Bem'!$BC$25*b_UZ))^(1/3)))
/RUWE_UZ,0)*RUWE_UZ,200)</f>
        <v>240</v>
      </c>
      <c r="G55" s="468">
        <f ca="1">IFERROR(ROUNDUP((
MAX((((1.6*(2*'Hilfstabellen_Mat&amp;Bem'!$D76+5*b_UZ/1000*G55/1000)+1.18*2*'Hilfstabellen_Mat&amp;Bem'!$E76)*(5*w_fin_UZ*('Rasterbemessung DE UZ ST'!G$27*1000)^3)/(32*b_UZ*'Hilfstabellen_Mat&amp;Bem'!$BC$25))^(1/3)),
((48*((2*'Hilfstabellen_Mat&amp;Bem'!$D76+5*b_UZ/1000*G55/1000)*100)*(G$27*1000)^4*f_grenz_UZ^2)/(PI()^2*'Hilfstabellen_Mat&amp;Bem'!$BC$25*b_UZ)/1000^2)^(1/3),
(((G$27*1000)^3*1000)/('Hilfstabellen_Mat&amp;Bem'!$BC$25*b_UZ))^(1/3)))
/RUWE_UZ,0)*RUWE_UZ,200)</f>
        <v>280</v>
      </c>
      <c r="H55" s="468">
        <f ca="1">IFERROR(ROUNDUP((
MAX((((1.6*(2*'Hilfstabellen_Mat&amp;Bem'!$D76+5*b_UZ/1000*H55/1000)+1.18*2*'Hilfstabellen_Mat&amp;Bem'!$E76)*(5*w_fin_UZ*('Rasterbemessung DE UZ ST'!H$27*1000)^3)/(32*b_UZ*'Hilfstabellen_Mat&amp;Bem'!$BC$25))^(1/3)),
((48*((2*'Hilfstabellen_Mat&amp;Bem'!$D76+5*b_UZ/1000*H55/1000)*100)*(H$27*1000)^4*f_grenz_UZ^2)/(PI()^2*'Hilfstabellen_Mat&amp;Bem'!$BC$25*b_UZ)/1000^2)^(1/3),
(((H$27*1000)^3*1000)/('Hilfstabellen_Mat&amp;Bem'!$BC$25*b_UZ))^(1/3)))
/RUWE_UZ,0)*RUWE_UZ,200)</f>
        <v>360</v>
      </c>
      <c r="I55" s="468">
        <f ca="1">IFERROR(ROUNDUP((
MAX((((1.6*(2*'Hilfstabellen_Mat&amp;Bem'!$D76+5*b_UZ/1000*I55/1000)+1.18*2*'Hilfstabellen_Mat&amp;Bem'!$E76)*(5*w_fin_UZ*('Rasterbemessung DE UZ ST'!I$27*1000)^3)/(32*b_UZ*'Hilfstabellen_Mat&amp;Bem'!$BC$25))^(1/3)),
((48*((2*'Hilfstabellen_Mat&amp;Bem'!$D76+5*b_UZ/1000*I55/1000)*100)*(I$27*1000)^4*f_grenz_UZ^2)/(PI()^2*'Hilfstabellen_Mat&amp;Bem'!$BC$25*b_UZ)/1000^2)^(1/3),
(((I$27*1000)^3*1000)/('Hilfstabellen_Mat&amp;Bem'!$BC$25*b_UZ))^(1/3)))
/RUWE_UZ,0)*RUWE_UZ,200)</f>
        <v>400</v>
      </c>
      <c r="J55" s="468">
        <f ca="1">IFERROR(ROUNDUP((
MAX((((1.6*(2*'Hilfstabellen_Mat&amp;Bem'!$D76+5*b_UZ/1000*J55/1000)+1.18*2*'Hilfstabellen_Mat&amp;Bem'!$E76)*(5*w_fin_UZ*('Rasterbemessung DE UZ ST'!J$27*1000)^3)/(32*b_UZ*'Hilfstabellen_Mat&amp;Bem'!$BC$25))^(1/3)),
((48*((2*'Hilfstabellen_Mat&amp;Bem'!$D76+5*b_UZ/1000*J55/1000)*100)*(J$27*1000)^4*f_grenz_UZ^2)/(PI()^2*'Hilfstabellen_Mat&amp;Bem'!$BC$25*b_UZ)/1000^2)^(1/3),
(((J$27*1000)^3*1000)/('Hilfstabellen_Mat&amp;Bem'!$BC$25*b_UZ))^(1/3)))
/RUWE_UZ,0)*RUWE_UZ,200)</f>
        <v>440</v>
      </c>
      <c r="K55" s="468">
        <f ca="1">IFERROR(ROUNDUP((
MAX((((1.6*(2*'Hilfstabellen_Mat&amp;Bem'!$D76+5*b_UZ/1000*K55/1000)+1.18*2*'Hilfstabellen_Mat&amp;Bem'!$E76)*(5*w_fin_UZ*('Rasterbemessung DE UZ ST'!K$27*1000)^3)/(32*b_UZ*'Hilfstabellen_Mat&amp;Bem'!$BC$25))^(1/3)),
((48*((2*'Hilfstabellen_Mat&amp;Bem'!$D76+5*b_UZ/1000*K55/1000)*100)*(K$27*1000)^4*f_grenz_UZ^2)/(PI()^2*'Hilfstabellen_Mat&amp;Bem'!$BC$25*b_UZ)/1000^2)^(1/3),
(((K$27*1000)^3*1000)/('Hilfstabellen_Mat&amp;Bem'!$BC$25*b_UZ))^(1/3)))
/RUWE_UZ,0)*RUWE_UZ,200)</f>
        <v>480</v>
      </c>
      <c r="L55" s="468">
        <f ca="1">IFERROR(ROUNDUP((
MAX((((1.6*(2*'Hilfstabellen_Mat&amp;Bem'!$D76+5*b_UZ/1000*L55/1000)+1.18*2*'Hilfstabellen_Mat&amp;Bem'!$E76)*(5*w_fin_UZ*('Rasterbemessung DE UZ ST'!L$27*1000)^3)/(32*b_UZ*'Hilfstabellen_Mat&amp;Bem'!$BC$25))^(1/3)),
((48*((2*'Hilfstabellen_Mat&amp;Bem'!$D76+5*b_UZ/1000*L55/1000)*100)*(L$27*1000)^4*f_grenz_UZ^2)/(PI()^2*'Hilfstabellen_Mat&amp;Bem'!$BC$25*b_UZ)/1000^2)^(1/3),
(((L$27*1000)^3*1000)/('Hilfstabellen_Mat&amp;Bem'!$BC$25*b_UZ))^(1/3)))
/RUWE_UZ,0)*RUWE_UZ,200)</f>
        <v>520</v>
      </c>
      <c r="M55" s="468">
        <f ca="1">IFERROR(ROUNDUP((
MAX((((1.6*(2*'Hilfstabellen_Mat&amp;Bem'!$D76+5*b_UZ/1000*M55/1000)+1.18*2*'Hilfstabellen_Mat&amp;Bem'!$E76)*(5*w_fin_UZ*('Rasterbemessung DE UZ ST'!M$27*1000)^3)/(32*b_UZ*'Hilfstabellen_Mat&amp;Bem'!$BC$25))^(1/3)),
((48*((2*'Hilfstabellen_Mat&amp;Bem'!$D76+5*b_UZ/1000*M55/1000)*100)*(M$27*1000)^4*f_grenz_UZ^2)/(PI()^2*'Hilfstabellen_Mat&amp;Bem'!$BC$25*b_UZ)/1000^2)^(1/3),
(((M$27*1000)^3*1000)/('Hilfstabellen_Mat&amp;Bem'!$BC$25*b_UZ))^(1/3)))
/RUWE_UZ,0)*RUWE_UZ,200)</f>
        <v>560</v>
      </c>
    </row>
    <row r="56" spans="1:47" ht="15" customHeight="1">
      <c r="A56" s="1458"/>
      <c r="B56" s="481">
        <f>'Hilfstabellen_Mat&amp;Bem'!$D55</f>
        <v>3.5</v>
      </c>
      <c r="C56" s="468">
        <f ca="1">IFERROR(ROUNDUP((
MAX((((1.6*(2*'Hilfstabellen_Mat&amp;Bem'!$D77+5*b_UZ/1000*C56/1000)+1.18*2*'Hilfstabellen_Mat&amp;Bem'!$E77)*(5*w_fin_UZ*('Rasterbemessung DE UZ ST'!C$27*1000)^3)/(32*b_UZ*'Hilfstabellen_Mat&amp;Bem'!$BC$25))^(1/3)),
((48*((2*'Hilfstabellen_Mat&amp;Bem'!$D77+5*b_UZ/1000*C56/1000)*100)*(C$27*1000)^4*f_grenz_UZ^2)/(PI()^2*'Hilfstabellen_Mat&amp;Bem'!$BC$25*b_UZ)/1000^2)^(1/3),
(((C$27*1000)^3*1000)/('Hilfstabellen_Mat&amp;Bem'!$BC$25*b_UZ))^(1/3)))
/RUWE_UZ,0)*RUWE_UZ,200)</f>
        <v>240</v>
      </c>
      <c r="D56" s="468">
        <f ca="1">IFERROR(ROUNDUP((
MAX((((1.6*(2*'Hilfstabellen_Mat&amp;Bem'!$D77+5*b_UZ/1000*D56/1000)+1.18*2*'Hilfstabellen_Mat&amp;Bem'!$E77)*(5*w_fin_UZ*('Rasterbemessung DE UZ ST'!D$27*1000)^3)/(32*b_UZ*'Hilfstabellen_Mat&amp;Bem'!$BC$25))^(1/3)),
((48*((2*'Hilfstabellen_Mat&amp;Bem'!$D77+5*b_UZ/1000*D56/1000)*100)*(D$27*1000)^4*f_grenz_UZ^2)/(PI()^2*'Hilfstabellen_Mat&amp;Bem'!$BC$25*b_UZ)/1000^2)^(1/3),
(((D$27*1000)^3*1000)/('Hilfstabellen_Mat&amp;Bem'!$BC$25*b_UZ))^(1/3)))
/RUWE_UZ,0)*RUWE_UZ,200)</f>
        <v>240</v>
      </c>
      <c r="E56" s="468">
        <f ca="1">IFERROR(ROUNDUP((
MAX((((1.6*(2*'Hilfstabellen_Mat&amp;Bem'!$D77+5*b_UZ/1000*E56/1000)+1.18*2*'Hilfstabellen_Mat&amp;Bem'!$E77)*(5*w_fin_UZ*('Rasterbemessung DE UZ ST'!E$27*1000)^3)/(32*b_UZ*'Hilfstabellen_Mat&amp;Bem'!$BC$25))^(1/3)),
((48*((2*'Hilfstabellen_Mat&amp;Bem'!$D77+5*b_UZ/1000*E56/1000)*100)*(E$27*1000)^4*f_grenz_UZ^2)/(PI()^2*'Hilfstabellen_Mat&amp;Bem'!$BC$25*b_UZ)/1000^2)^(1/3),
(((E$27*1000)^3*1000)/('Hilfstabellen_Mat&amp;Bem'!$BC$25*b_UZ))^(1/3)))
/RUWE_UZ,0)*RUWE_UZ,200)</f>
        <v>240</v>
      </c>
      <c r="F56" s="468">
        <f ca="1">IFERROR(ROUNDUP((
MAX((((1.6*(2*'Hilfstabellen_Mat&amp;Bem'!$D77+5*b_UZ/1000*F56/1000)+1.18*2*'Hilfstabellen_Mat&amp;Bem'!$E77)*(5*w_fin_UZ*('Rasterbemessung DE UZ ST'!F$27*1000)^3)/(32*b_UZ*'Hilfstabellen_Mat&amp;Bem'!$BC$25))^(1/3)),
((48*((2*'Hilfstabellen_Mat&amp;Bem'!$D77+5*b_UZ/1000*F56/1000)*100)*(F$27*1000)^4*f_grenz_UZ^2)/(PI()^2*'Hilfstabellen_Mat&amp;Bem'!$BC$25*b_UZ)/1000^2)^(1/3),
(((F$27*1000)^3*1000)/('Hilfstabellen_Mat&amp;Bem'!$BC$25*b_UZ))^(1/3)))
/RUWE_UZ,0)*RUWE_UZ,200)</f>
        <v>280</v>
      </c>
      <c r="G56" s="468">
        <f ca="1">IFERROR(ROUNDUP((
MAX((((1.6*(2*'Hilfstabellen_Mat&amp;Bem'!$D77+5*b_UZ/1000*G56/1000)+1.18*2*'Hilfstabellen_Mat&amp;Bem'!$E77)*(5*w_fin_UZ*('Rasterbemessung DE UZ ST'!G$27*1000)^3)/(32*b_UZ*'Hilfstabellen_Mat&amp;Bem'!$BC$25))^(1/3)),
((48*((2*'Hilfstabellen_Mat&amp;Bem'!$D77+5*b_UZ/1000*G56/1000)*100)*(G$27*1000)^4*f_grenz_UZ^2)/(PI()^2*'Hilfstabellen_Mat&amp;Bem'!$BC$25*b_UZ)/1000^2)^(1/3),
(((G$27*1000)^3*1000)/('Hilfstabellen_Mat&amp;Bem'!$BC$25*b_UZ))^(1/3)))
/RUWE_UZ,0)*RUWE_UZ,200)</f>
        <v>320</v>
      </c>
      <c r="H56" s="468">
        <f ca="1">IFERROR(ROUNDUP((
MAX((((1.6*(2*'Hilfstabellen_Mat&amp;Bem'!$D77+5*b_UZ/1000*H56/1000)+1.18*2*'Hilfstabellen_Mat&amp;Bem'!$E77)*(5*w_fin_UZ*('Rasterbemessung DE UZ ST'!H$27*1000)^3)/(32*b_UZ*'Hilfstabellen_Mat&amp;Bem'!$BC$25))^(1/3)),
((48*((2*'Hilfstabellen_Mat&amp;Bem'!$D77+5*b_UZ/1000*H56/1000)*100)*(H$27*1000)^4*f_grenz_UZ^2)/(PI()^2*'Hilfstabellen_Mat&amp;Bem'!$BC$25*b_UZ)/1000^2)^(1/3),
(((H$27*1000)^3*1000)/('Hilfstabellen_Mat&amp;Bem'!$BC$25*b_UZ))^(1/3)))
/RUWE_UZ,0)*RUWE_UZ,200)</f>
        <v>360</v>
      </c>
      <c r="I56" s="468">
        <f ca="1">IFERROR(ROUNDUP((
MAX((((1.6*(2*'Hilfstabellen_Mat&amp;Bem'!$D77+5*b_UZ/1000*I56/1000)+1.18*2*'Hilfstabellen_Mat&amp;Bem'!$E77)*(5*w_fin_UZ*('Rasterbemessung DE UZ ST'!I$27*1000)^3)/(32*b_UZ*'Hilfstabellen_Mat&amp;Bem'!$BC$25))^(1/3)),
((48*((2*'Hilfstabellen_Mat&amp;Bem'!$D77+5*b_UZ/1000*I56/1000)*100)*(I$27*1000)^4*f_grenz_UZ^2)/(PI()^2*'Hilfstabellen_Mat&amp;Bem'!$BC$25*b_UZ)/1000^2)^(1/3),
(((I$27*1000)^3*1000)/('Hilfstabellen_Mat&amp;Bem'!$BC$25*b_UZ))^(1/3)))
/RUWE_UZ,0)*RUWE_UZ,200)</f>
        <v>400</v>
      </c>
      <c r="J56" s="468">
        <f ca="1">IFERROR(ROUNDUP((
MAX((((1.6*(2*'Hilfstabellen_Mat&amp;Bem'!$D77+5*b_UZ/1000*J56/1000)+1.18*2*'Hilfstabellen_Mat&amp;Bem'!$E77)*(5*w_fin_UZ*('Rasterbemessung DE UZ ST'!J$27*1000)^3)/(32*b_UZ*'Hilfstabellen_Mat&amp;Bem'!$BC$25))^(1/3)),
((48*((2*'Hilfstabellen_Mat&amp;Bem'!$D77+5*b_UZ/1000*J56/1000)*100)*(J$27*1000)^4*f_grenz_UZ^2)/(PI()^2*'Hilfstabellen_Mat&amp;Bem'!$BC$25*b_UZ)/1000^2)^(1/3),
(((J$27*1000)^3*1000)/('Hilfstabellen_Mat&amp;Bem'!$BC$25*b_UZ))^(1/3)))
/RUWE_UZ,0)*RUWE_UZ,200)</f>
        <v>480</v>
      </c>
      <c r="K56" s="468">
        <f ca="1">IFERROR(ROUNDUP((
MAX((((1.6*(2*'Hilfstabellen_Mat&amp;Bem'!$D77+5*b_UZ/1000*K56/1000)+1.18*2*'Hilfstabellen_Mat&amp;Bem'!$E77)*(5*w_fin_UZ*('Rasterbemessung DE UZ ST'!K$27*1000)^3)/(32*b_UZ*'Hilfstabellen_Mat&amp;Bem'!$BC$25))^(1/3)),
((48*((2*'Hilfstabellen_Mat&amp;Bem'!$D77+5*b_UZ/1000*K56/1000)*100)*(K$27*1000)^4*f_grenz_UZ^2)/(PI()^2*'Hilfstabellen_Mat&amp;Bem'!$BC$25*b_UZ)/1000^2)^(1/3),
(((K$27*1000)^3*1000)/('Hilfstabellen_Mat&amp;Bem'!$BC$25*b_UZ))^(1/3)))
/RUWE_UZ,0)*RUWE_UZ,200)</f>
        <v>520</v>
      </c>
      <c r="L56" s="468">
        <f ca="1">IFERROR(ROUNDUP((
MAX((((1.6*(2*'Hilfstabellen_Mat&amp;Bem'!$D77+5*b_UZ/1000*L56/1000)+1.18*2*'Hilfstabellen_Mat&amp;Bem'!$E77)*(5*w_fin_UZ*('Rasterbemessung DE UZ ST'!L$27*1000)^3)/(32*b_UZ*'Hilfstabellen_Mat&amp;Bem'!$BC$25))^(1/3)),
((48*((2*'Hilfstabellen_Mat&amp;Bem'!$D77+5*b_UZ/1000*L56/1000)*100)*(L$27*1000)^4*f_grenz_UZ^2)/(PI()^2*'Hilfstabellen_Mat&amp;Bem'!$BC$25*b_UZ)/1000^2)^(1/3),
(((L$27*1000)^3*1000)/('Hilfstabellen_Mat&amp;Bem'!$BC$25*b_UZ))^(1/3)))
/RUWE_UZ,0)*RUWE_UZ,200)</f>
        <v>560</v>
      </c>
      <c r="M56" s="468">
        <f ca="1">IFERROR(ROUNDUP((
MAX((((1.6*(2*'Hilfstabellen_Mat&amp;Bem'!$D77+5*b_UZ/1000*M56/1000)+1.18*2*'Hilfstabellen_Mat&amp;Bem'!$E77)*(5*w_fin_UZ*('Rasterbemessung DE UZ ST'!M$27*1000)^3)/(32*b_UZ*'Hilfstabellen_Mat&amp;Bem'!$BC$25))^(1/3)),
((48*((2*'Hilfstabellen_Mat&amp;Bem'!$D77+5*b_UZ/1000*M56/1000)*100)*(M$27*1000)^4*f_grenz_UZ^2)/(PI()^2*'Hilfstabellen_Mat&amp;Bem'!$BC$25*b_UZ)/1000^2)^(1/3),
(((M$27*1000)^3*1000)/('Hilfstabellen_Mat&amp;Bem'!$BC$25*b_UZ))^(1/3)))
/RUWE_UZ,0)*RUWE_UZ,200)</f>
        <v>600</v>
      </c>
    </row>
    <row r="57" spans="1:47" ht="15" customHeight="1">
      <c r="A57" s="1458"/>
      <c r="B57" s="481">
        <f>'Hilfstabellen_Mat&amp;Bem'!$D56</f>
        <v>4</v>
      </c>
      <c r="C57" s="468">
        <f ca="1">IFERROR(ROUNDUP((
MAX((((1.6*(2*'Hilfstabellen_Mat&amp;Bem'!$D78+5*b_UZ/1000*C57/1000)+1.18*2*'Hilfstabellen_Mat&amp;Bem'!$E78)*(5*w_fin_UZ*('Rasterbemessung DE UZ ST'!C$27*1000)^3)/(32*b_UZ*'Hilfstabellen_Mat&amp;Bem'!$BC$25))^(1/3)),
((48*((2*'Hilfstabellen_Mat&amp;Bem'!$D78+5*b_UZ/1000*C57/1000)*100)*(C$27*1000)^4*f_grenz_UZ^2)/(PI()^2*'Hilfstabellen_Mat&amp;Bem'!$BC$25*b_UZ)/1000^2)^(1/3),
(((C$27*1000)^3*1000)/('Hilfstabellen_Mat&amp;Bem'!$BC$25*b_UZ))^(1/3)))
/RUWE_UZ,0)*RUWE_UZ,200)</f>
        <v>240</v>
      </c>
      <c r="D57" s="468">
        <f ca="1">IFERROR(ROUNDUP((
MAX((((1.6*(2*'Hilfstabellen_Mat&amp;Bem'!$D78+5*b_UZ/1000*D57/1000)+1.18*2*'Hilfstabellen_Mat&amp;Bem'!$E78)*(5*w_fin_UZ*('Rasterbemessung DE UZ ST'!D$27*1000)^3)/(32*b_UZ*'Hilfstabellen_Mat&amp;Bem'!$BC$25))^(1/3)),
((48*((2*'Hilfstabellen_Mat&amp;Bem'!$D78+5*b_UZ/1000*D57/1000)*100)*(D$27*1000)^4*f_grenz_UZ^2)/(PI()^2*'Hilfstabellen_Mat&amp;Bem'!$BC$25*b_UZ)/1000^2)^(1/3),
(((D$27*1000)^3*1000)/('Hilfstabellen_Mat&amp;Bem'!$BC$25*b_UZ))^(1/3)))
/RUWE_UZ,0)*RUWE_UZ,200)</f>
        <v>240</v>
      </c>
      <c r="E57" s="468">
        <f ca="1">IFERROR(ROUNDUP((
MAX((((1.6*(2*'Hilfstabellen_Mat&amp;Bem'!$D78+5*b_UZ/1000*E57/1000)+1.18*2*'Hilfstabellen_Mat&amp;Bem'!$E78)*(5*w_fin_UZ*('Rasterbemessung DE UZ ST'!E$27*1000)^3)/(32*b_UZ*'Hilfstabellen_Mat&amp;Bem'!$BC$25))^(1/3)),
((48*((2*'Hilfstabellen_Mat&amp;Bem'!$D78+5*b_UZ/1000*E57/1000)*100)*(E$27*1000)^4*f_grenz_UZ^2)/(PI()^2*'Hilfstabellen_Mat&amp;Bem'!$BC$25*b_UZ)/1000^2)^(1/3),
(((E$27*1000)^3*1000)/('Hilfstabellen_Mat&amp;Bem'!$BC$25*b_UZ))^(1/3)))
/RUWE_UZ,0)*RUWE_UZ,200)</f>
        <v>280</v>
      </c>
      <c r="F57" s="468">
        <f ca="1">IFERROR(ROUNDUP((
MAX((((1.6*(2*'Hilfstabellen_Mat&amp;Bem'!$D78+5*b_UZ/1000*F57/1000)+1.18*2*'Hilfstabellen_Mat&amp;Bem'!$E78)*(5*w_fin_UZ*('Rasterbemessung DE UZ ST'!F$27*1000)^3)/(32*b_UZ*'Hilfstabellen_Mat&amp;Bem'!$BC$25))^(1/3)),
((48*((2*'Hilfstabellen_Mat&amp;Bem'!$D78+5*b_UZ/1000*F57/1000)*100)*(F$27*1000)^4*f_grenz_UZ^2)/(PI()^2*'Hilfstabellen_Mat&amp;Bem'!$BC$25*b_UZ)/1000^2)^(1/3),
(((F$27*1000)^3*1000)/('Hilfstabellen_Mat&amp;Bem'!$BC$25*b_UZ))^(1/3)))
/RUWE_UZ,0)*RUWE_UZ,200)</f>
        <v>280</v>
      </c>
      <c r="G57" s="468">
        <f ca="1">IFERROR(ROUNDUP((
MAX((((1.6*(2*'Hilfstabellen_Mat&amp;Bem'!$D78+5*b_UZ/1000*G57/1000)+1.18*2*'Hilfstabellen_Mat&amp;Bem'!$E78)*(5*w_fin_UZ*('Rasterbemessung DE UZ ST'!G$27*1000)^3)/(32*b_UZ*'Hilfstabellen_Mat&amp;Bem'!$BC$25))^(1/3)),
((48*((2*'Hilfstabellen_Mat&amp;Bem'!$D78+5*b_UZ/1000*G57/1000)*100)*(G$27*1000)^4*f_grenz_UZ^2)/(PI()^2*'Hilfstabellen_Mat&amp;Bem'!$BC$25*b_UZ)/1000^2)^(1/3),
(((G$27*1000)^3*1000)/('Hilfstabellen_Mat&amp;Bem'!$BC$25*b_UZ))^(1/3)))
/RUWE_UZ,0)*RUWE_UZ,200)</f>
        <v>320</v>
      </c>
      <c r="H57" s="468">
        <f ca="1">IFERROR(ROUNDUP((
MAX((((1.6*(2*'Hilfstabellen_Mat&amp;Bem'!$D78+5*b_UZ/1000*H57/1000)+1.18*2*'Hilfstabellen_Mat&amp;Bem'!$E78)*(5*w_fin_UZ*('Rasterbemessung DE UZ ST'!H$27*1000)^3)/(32*b_UZ*'Hilfstabellen_Mat&amp;Bem'!$BC$25))^(1/3)),
((48*((2*'Hilfstabellen_Mat&amp;Bem'!$D78+5*b_UZ/1000*H57/1000)*100)*(H$27*1000)^4*f_grenz_UZ^2)/(PI()^2*'Hilfstabellen_Mat&amp;Bem'!$BC$25*b_UZ)/1000^2)^(1/3),
(((H$27*1000)^3*1000)/('Hilfstabellen_Mat&amp;Bem'!$BC$25*b_UZ))^(1/3)))
/RUWE_UZ,0)*RUWE_UZ,200)</f>
        <v>360</v>
      </c>
      <c r="I57" s="468">
        <f ca="1">IFERROR(ROUNDUP((
MAX((((1.6*(2*'Hilfstabellen_Mat&amp;Bem'!$D78+5*b_UZ/1000*I57/1000)+1.18*2*'Hilfstabellen_Mat&amp;Bem'!$E78)*(5*w_fin_UZ*('Rasterbemessung DE UZ ST'!I$27*1000)^3)/(32*b_UZ*'Hilfstabellen_Mat&amp;Bem'!$BC$25))^(1/3)),
((48*((2*'Hilfstabellen_Mat&amp;Bem'!$D78+5*b_UZ/1000*I57/1000)*100)*(I$27*1000)^4*f_grenz_UZ^2)/(PI()^2*'Hilfstabellen_Mat&amp;Bem'!$BC$25*b_UZ)/1000^2)^(1/3),
(((I$27*1000)^3*1000)/('Hilfstabellen_Mat&amp;Bem'!$BC$25*b_UZ))^(1/3)))
/RUWE_UZ,0)*RUWE_UZ,200)</f>
        <v>440</v>
      </c>
      <c r="J57" s="468">
        <f ca="1">IFERROR(ROUNDUP((
MAX((((1.6*(2*'Hilfstabellen_Mat&amp;Bem'!$D78+5*b_UZ/1000*J57/1000)+1.18*2*'Hilfstabellen_Mat&amp;Bem'!$E78)*(5*w_fin_UZ*('Rasterbemessung DE UZ ST'!J$27*1000)^3)/(32*b_UZ*'Hilfstabellen_Mat&amp;Bem'!$BC$25))^(1/3)),
((48*((2*'Hilfstabellen_Mat&amp;Bem'!$D78+5*b_UZ/1000*J57/1000)*100)*(J$27*1000)^4*f_grenz_UZ^2)/(PI()^2*'Hilfstabellen_Mat&amp;Bem'!$BC$25*b_UZ)/1000^2)^(1/3),
(((J$27*1000)^3*1000)/('Hilfstabellen_Mat&amp;Bem'!$BC$25*b_UZ))^(1/3)))
/RUWE_UZ,0)*RUWE_UZ,200)</f>
        <v>520</v>
      </c>
      <c r="K57" s="468">
        <f ca="1">IFERROR(ROUNDUP((
MAX((((1.6*(2*'Hilfstabellen_Mat&amp;Bem'!$D78+5*b_UZ/1000*K57/1000)+1.18*2*'Hilfstabellen_Mat&amp;Bem'!$E78)*(5*w_fin_UZ*('Rasterbemessung DE UZ ST'!K$27*1000)^3)/(32*b_UZ*'Hilfstabellen_Mat&amp;Bem'!$BC$25))^(1/3)),
((48*((2*'Hilfstabellen_Mat&amp;Bem'!$D78+5*b_UZ/1000*K57/1000)*100)*(K$27*1000)^4*f_grenz_UZ^2)/(PI()^2*'Hilfstabellen_Mat&amp;Bem'!$BC$25*b_UZ)/1000^2)^(1/3),
(((K$27*1000)^3*1000)/('Hilfstabellen_Mat&amp;Bem'!$BC$25*b_UZ))^(1/3)))
/RUWE_UZ,0)*RUWE_UZ,200)</f>
        <v>560</v>
      </c>
      <c r="L57" s="468">
        <f ca="1">IFERROR(ROUNDUP((
MAX((((1.6*(2*'Hilfstabellen_Mat&amp;Bem'!$D78+5*b_UZ/1000*L57/1000)+1.18*2*'Hilfstabellen_Mat&amp;Bem'!$E78)*(5*w_fin_UZ*('Rasterbemessung DE UZ ST'!L$27*1000)^3)/(32*b_UZ*'Hilfstabellen_Mat&amp;Bem'!$BC$25))^(1/3)),
((48*((2*'Hilfstabellen_Mat&amp;Bem'!$D78+5*b_UZ/1000*L57/1000)*100)*(L$27*1000)^4*f_grenz_UZ^2)/(PI()^2*'Hilfstabellen_Mat&amp;Bem'!$BC$25*b_UZ)/1000^2)^(1/3),
(((L$27*1000)^3*1000)/('Hilfstabellen_Mat&amp;Bem'!$BC$25*b_UZ))^(1/3)))
/RUWE_UZ,0)*RUWE_UZ,200)</f>
        <v>600</v>
      </c>
      <c r="M57" s="468">
        <f ca="1">IFERROR(ROUNDUP((
MAX((((1.6*(2*'Hilfstabellen_Mat&amp;Bem'!$D78+5*b_UZ/1000*M57/1000)+1.18*2*'Hilfstabellen_Mat&amp;Bem'!$E78)*(5*w_fin_UZ*('Rasterbemessung DE UZ ST'!M$27*1000)^3)/(32*b_UZ*'Hilfstabellen_Mat&amp;Bem'!$BC$25))^(1/3)),
((48*((2*'Hilfstabellen_Mat&amp;Bem'!$D78+5*b_UZ/1000*M57/1000)*100)*(M$27*1000)^4*f_grenz_UZ^2)/(PI()^2*'Hilfstabellen_Mat&amp;Bem'!$BC$25*b_UZ)/1000^2)^(1/3),
(((M$27*1000)^3*1000)/('Hilfstabellen_Mat&amp;Bem'!$BC$25*b_UZ))^(1/3)))
/RUWE_UZ,0)*RUWE_UZ,200)</f>
        <v>640</v>
      </c>
    </row>
    <row r="58" spans="1:47" ht="15" customHeight="1">
      <c r="A58" s="1458"/>
      <c r="B58" s="481">
        <f>'Hilfstabellen_Mat&amp;Bem'!$D57</f>
        <v>4.5</v>
      </c>
      <c r="C58" s="468">
        <f ca="1">IFERROR(ROUNDUP((
MAX((((1.6*(2*'Hilfstabellen_Mat&amp;Bem'!$D79+5*b_UZ/1000*C58/1000)+1.18*2*'Hilfstabellen_Mat&amp;Bem'!$E79)*(5*w_fin_UZ*('Rasterbemessung DE UZ ST'!C$27*1000)^3)/(32*b_UZ*'Hilfstabellen_Mat&amp;Bem'!$BC$25))^(1/3)),
((48*((2*'Hilfstabellen_Mat&amp;Bem'!$D79+5*b_UZ/1000*C58/1000)*100)*(C$27*1000)^4*f_grenz_UZ^2)/(PI()^2*'Hilfstabellen_Mat&amp;Bem'!$BC$25*b_UZ)/1000^2)^(1/3),
(((C$27*1000)^3*1000)/('Hilfstabellen_Mat&amp;Bem'!$BC$25*b_UZ))^(1/3)))
/RUWE_UZ,0)*RUWE_UZ,200)</f>
        <v>240</v>
      </c>
      <c r="D58" s="468">
        <f ca="1">IFERROR(ROUNDUP((
MAX((((1.6*(2*'Hilfstabellen_Mat&amp;Bem'!$D79+5*b_UZ/1000*D58/1000)+1.18*2*'Hilfstabellen_Mat&amp;Bem'!$E79)*(5*w_fin_UZ*('Rasterbemessung DE UZ ST'!D$27*1000)^3)/(32*b_UZ*'Hilfstabellen_Mat&amp;Bem'!$BC$25))^(1/3)),
((48*((2*'Hilfstabellen_Mat&amp;Bem'!$D79+5*b_UZ/1000*D58/1000)*100)*(D$27*1000)^4*f_grenz_UZ^2)/(PI()^2*'Hilfstabellen_Mat&amp;Bem'!$BC$25*b_UZ)/1000^2)^(1/3),
(((D$27*1000)^3*1000)/('Hilfstabellen_Mat&amp;Bem'!$BC$25*b_UZ))^(1/3)))
/RUWE_UZ,0)*RUWE_UZ,200)</f>
        <v>240</v>
      </c>
      <c r="E58" s="468">
        <f ca="1">IFERROR(ROUNDUP((
MAX((((1.6*(2*'Hilfstabellen_Mat&amp;Bem'!$D79+5*b_UZ/1000*E58/1000)+1.18*2*'Hilfstabellen_Mat&amp;Bem'!$E79)*(5*w_fin_UZ*('Rasterbemessung DE UZ ST'!E$27*1000)^3)/(32*b_UZ*'Hilfstabellen_Mat&amp;Bem'!$BC$25))^(1/3)),
((48*((2*'Hilfstabellen_Mat&amp;Bem'!$D79+5*b_UZ/1000*E58/1000)*100)*(E$27*1000)^4*f_grenz_UZ^2)/(PI()^2*'Hilfstabellen_Mat&amp;Bem'!$BC$25*b_UZ)/1000^2)^(1/3),
(((E$27*1000)^3*1000)/('Hilfstabellen_Mat&amp;Bem'!$BC$25*b_UZ))^(1/3)))
/RUWE_UZ,0)*RUWE_UZ,200)</f>
        <v>280</v>
      </c>
      <c r="F58" s="468">
        <f ca="1">IFERROR(ROUNDUP((
MAX((((1.6*(2*'Hilfstabellen_Mat&amp;Bem'!$D79+5*b_UZ/1000*F58/1000)+1.18*2*'Hilfstabellen_Mat&amp;Bem'!$E79)*(5*w_fin_UZ*('Rasterbemessung DE UZ ST'!F$27*1000)^3)/(32*b_UZ*'Hilfstabellen_Mat&amp;Bem'!$BC$25))^(1/3)),
((48*((2*'Hilfstabellen_Mat&amp;Bem'!$D79+5*b_UZ/1000*F58/1000)*100)*(F$27*1000)^4*f_grenz_UZ^2)/(PI()^2*'Hilfstabellen_Mat&amp;Bem'!$BC$25*b_UZ)/1000^2)^(1/3),
(((F$27*1000)^3*1000)/('Hilfstabellen_Mat&amp;Bem'!$BC$25*b_UZ))^(1/3)))
/RUWE_UZ,0)*RUWE_UZ,200)</f>
        <v>280</v>
      </c>
      <c r="G58" s="468">
        <f ca="1">IFERROR(ROUNDUP((
MAX((((1.6*(2*'Hilfstabellen_Mat&amp;Bem'!$D79+5*b_UZ/1000*G58/1000)+1.18*2*'Hilfstabellen_Mat&amp;Bem'!$E79)*(5*w_fin_UZ*('Rasterbemessung DE UZ ST'!G$27*1000)^3)/(32*b_UZ*'Hilfstabellen_Mat&amp;Bem'!$BC$25))^(1/3)),
((48*((2*'Hilfstabellen_Mat&amp;Bem'!$D79+5*b_UZ/1000*G58/1000)*100)*(G$27*1000)^4*f_grenz_UZ^2)/(PI()^2*'Hilfstabellen_Mat&amp;Bem'!$BC$25*b_UZ)/1000^2)^(1/3),
(((G$27*1000)^3*1000)/('Hilfstabellen_Mat&amp;Bem'!$BC$25*b_UZ))^(1/3)))
/RUWE_UZ,0)*RUWE_UZ,200)</f>
        <v>320</v>
      </c>
      <c r="H58" s="468">
        <f ca="1">IFERROR(ROUNDUP((
MAX((((1.6*(2*'Hilfstabellen_Mat&amp;Bem'!$D79+5*b_UZ/1000*H58/1000)+1.18*2*'Hilfstabellen_Mat&amp;Bem'!$E79)*(5*w_fin_UZ*('Rasterbemessung DE UZ ST'!H$27*1000)^3)/(32*b_UZ*'Hilfstabellen_Mat&amp;Bem'!$BC$25))^(1/3)),
((48*((2*'Hilfstabellen_Mat&amp;Bem'!$D79+5*b_UZ/1000*H58/1000)*100)*(H$27*1000)^4*f_grenz_UZ^2)/(PI()^2*'Hilfstabellen_Mat&amp;Bem'!$BC$25*b_UZ)/1000^2)^(1/3),
(((H$27*1000)^3*1000)/('Hilfstabellen_Mat&amp;Bem'!$BC$25*b_UZ))^(1/3)))
/RUWE_UZ,0)*RUWE_UZ,200)</f>
        <v>400</v>
      </c>
      <c r="I58" s="468">
        <f ca="1">IFERROR(ROUNDUP((
MAX((((1.6*(2*'Hilfstabellen_Mat&amp;Bem'!$D79+5*b_UZ/1000*I58/1000)+1.18*2*'Hilfstabellen_Mat&amp;Bem'!$E79)*(5*w_fin_UZ*('Rasterbemessung DE UZ ST'!I$27*1000)^3)/(32*b_UZ*'Hilfstabellen_Mat&amp;Bem'!$BC$25))^(1/3)),
((48*((2*'Hilfstabellen_Mat&amp;Bem'!$D79+5*b_UZ/1000*I58/1000)*100)*(I$27*1000)^4*f_grenz_UZ^2)/(PI()^2*'Hilfstabellen_Mat&amp;Bem'!$BC$25*b_UZ)/1000^2)^(1/3),
(((I$27*1000)^3*1000)/('Hilfstabellen_Mat&amp;Bem'!$BC$25*b_UZ))^(1/3)))
/RUWE_UZ,0)*RUWE_UZ,200)</f>
        <v>480</v>
      </c>
      <c r="J58" s="468">
        <f ca="1">IFERROR(ROUNDUP((
MAX((((1.6*(2*'Hilfstabellen_Mat&amp;Bem'!$D79+5*b_UZ/1000*J58/1000)+1.18*2*'Hilfstabellen_Mat&amp;Bem'!$E79)*(5*w_fin_UZ*('Rasterbemessung DE UZ ST'!J$27*1000)^3)/(32*b_UZ*'Hilfstabellen_Mat&amp;Bem'!$BC$25))^(1/3)),
((48*((2*'Hilfstabellen_Mat&amp;Bem'!$D79+5*b_UZ/1000*J58/1000)*100)*(J$27*1000)^4*f_grenz_UZ^2)/(PI()^2*'Hilfstabellen_Mat&amp;Bem'!$BC$25*b_UZ)/1000^2)^(1/3),
(((J$27*1000)^3*1000)/('Hilfstabellen_Mat&amp;Bem'!$BC$25*b_UZ))^(1/3)))
/RUWE_UZ,0)*RUWE_UZ,200)</f>
        <v>520</v>
      </c>
      <c r="K58" s="468">
        <f ca="1">IFERROR(ROUNDUP((
MAX((((1.6*(2*'Hilfstabellen_Mat&amp;Bem'!$D79+5*b_UZ/1000*K58/1000)+1.18*2*'Hilfstabellen_Mat&amp;Bem'!$E79)*(5*w_fin_UZ*('Rasterbemessung DE UZ ST'!K$27*1000)^3)/(32*b_UZ*'Hilfstabellen_Mat&amp;Bem'!$BC$25))^(1/3)),
((48*((2*'Hilfstabellen_Mat&amp;Bem'!$D79+5*b_UZ/1000*K58/1000)*100)*(K$27*1000)^4*f_grenz_UZ^2)/(PI()^2*'Hilfstabellen_Mat&amp;Bem'!$BC$25*b_UZ)/1000^2)^(1/3),
(((K$27*1000)^3*1000)/('Hilfstabellen_Mat&amp;Bem'!$BC$25*b_UZ))^(1/3)))
/RUWE_UZ,0)*RUWE_UZ,200)</f>
        <v>560</v>
      </c>
      <c r="L58" s="468">
        <f ca="1">IFERROR(ROUNDUP((
MAX((((1.6*(2*'Hilfstabellen_Mat&amp;Bem'!$D79+5*b_UZ/1000*L58/1000)+1.18*2*'Hilfstabellen_Mat&amp;Bem'!$E79)*(5*w_fin_UZ*('Rasterbemessung DE UZ ST'!L$27*1000)^3)/(32*b_UZ*'Hilfstabellen_Mat&amp;Bem'!$BC$25))^(1/3)),
((48*((2*'Hilfstabellen_Mat&amp;Bem'!$D79+5*b_UZ/1000*L58/1000)*100)*(L$27*1000)^4*f_grenz_UZ^2)/(PI()^2*'Hilfstabellen_Mat&amp;Bem'!$BC$25*b_UZ)/1000^2)^(1/3),
(((L$27*1000)^3*1000)/('Hilfstabellen_Mat&amp;Bem'!$BC$25*b_UZ))^(1/3)))
/RUWE_UZ,0)*RUWE_UZ,200)</f>
        <v>640</v>
      </c>
      <c r="M58" s="468">
        <f ca="1">IFERROR(ROUNDUP((
MAX((((1.6*(2*'Hilfstabellen_Mat&amp;Bem'!$D79+5*b_UZ/1000*M58/1000)+1.18*2*'Hilfstabellen_Mat&amp;Bem'!$E79)*(5*w_fin_UZ*('Rasterbemessung DE UZ ST'!M$27*1000)^3)/(32*b_UZ*'Hilfstabellen_Mat&amp;Bem'!$BC$25))^(1/3)),
((48*((2*'Hilfstabellen_Mat&amp;Bem'!$D79+5*b_UZ/1000*M58/1000)*100)*(M$27*1000)^4*f_grenz_UZ^2)/(PI()^2*'Hilfstabellen_Mat&amp;Bem'!$BC$25*b_UZ)/1000^2)^(1/3),
(((M$27*1000)^3*1000)/('Hilfstabellen_Mat&amp;Bem'!$BC$25*b_UZ))^(1/3)))
/RUWE_UZ,0)*RUWE_UZ,200)</f>
        <v>680</v>
      </c>
    </row>
    <row r="59" spans="1:47" ht="15" customHeight="1">
      <c r="A59" s="1458"/>
      <c r="B59" s="481">
        <f>'Hilfstabellen_Mat&amp;Bem'!$D58</f>
        <v>5</v>
      </c>
      <c r="C59" s="468">
        <f ca="1">IFERROR(ROUNDUP((
MAX((((1.6*(2*'Hilfstabellen_Mat&amp;Bem'!$D80+5*b_UZ/1000*C59/1000)+1.18*2*'Hilfstabellen_Mat&amp;Bem'!$E80)*(5*w_fin_UZ*('Rasterbemessung DE UZ ST'!C$27*1000)^3)/(32*b_UZ*'Hilfstabellen_Mat&amp;Bem'!$BC$25))^(1/3)),
((48*((2*'Hilfstabellen_Mat&amp;Bem'!$D80+5*b_UZ/1000*C59/1000)*100)*(C$27*1000)^4*f_grenz_UZ^2)/(PI()^2*'Hilfstabellen_Mat&amp;Bem'!$BC$25*b_UZ)/1000^2)^(1/3),
(((C$27*1000)^3*1000)/('Hilfstabellen_Mat&amp;Bem'!$BC$25*b_UZ))^(1/3)))
/RUWE_UZ,0)*RUWE_UZ,200)</f>
        <v>240</v>
      </c>
      <c r="D59" s="468">
        <f ca="1">IFERROR(ROUNDUP((
MAX((((1.6*(2*'Hilfstabellen_Mat&amp;Bem'!$D80+5*b_UZ/1000*D59/1000)+1.18*2*'Hilfstabellen_Mat&amp;Bem'!$E80)*(5*w_fin_UZ*('Rasterbemessung DE UZ ST'!D$27*1000)^3)/(32*b_UZ*'Hilfstabellen_Mat&amp;Bem'!$BC$25))^(1/3)),
((48*((2*'Hilfstabellen_Mat&amp;Bem'!$D80+5*b_UZ/1000*D59/1000)*100)*(D$27*1000)^4*f_grenz_UZ^2)/(PI()^2*'Hilfstabellen_Mat&amp;Bem'!$BC$25*b_UZ)/1000^2)^(1/3),
(((D$27*1000)^3*1000)/('Hilfstabellen_Mat&amp;Bem'!$BC$25*b_UZ))^(1/3)))
/RUWE_UZ,0)*RUWE_UZ,200)</f>
        <v>280</v>
      </c>
      <c r="E59" s="468">
        <f ca="1">IFERROR(ROUNDUP((
MAX((((1.6*(2*'Hilfstabellen_Mat&amp;Bem'!$D80+5*b_UZ/1000*E59/1000)+1.18*2*'Hilfstabellen_Mat&amp;Bem'!$E80)*(5*w_fin_UZ*('Rasterbemessung DE UZ ST'!E$27*1000)^3)/(32*b_UZ*'Hilfstabellen_Mat&amp;Bem'!$BC$25))^(1/3)),
((48*((2*'Hilfstabellen_Mat&amp;Bem'!$D80+5*b_UZ/1000*E59/1000)*100)*(E$27*1000)^4*f_grenz_UZ^2)/(PI()^2*'Hilfstabellen_Mat&amp;Bem'!$BC$25*b_UZ)/1000^2)^(1/3),
(((E$27*1000)^3*1000)/('Hilfstabellen_Mat&amp;Bem'!$BC$25*b_UZ))^(1/3)))
/RUWE_UZ,0)*RUWE_UZ,200)</f>
        <v>280</v>
      </c>
      <c r="F59" s="468">
        <f ca="1">IFERROR(ROUNDUP((
MAX((((1.6*(2*'Hilfstabellen_Mat&amp;Bem'!$D80+5*b_UZ/1000*F59/1000)+1.18*2*'Hilfstabellen_Mat&amp;Bem'!$E80)*(5*w_fin_UZ*('Rasterbemessung DE UZ ST'!F$27*1000)^3)/(32*b_UZ*'Hilfstabellen_Mat&amp;Bem'!$BC$25))^(1/3)),
((48*((2*'Hilfstabellen_Mat&amp;Bem'!$D80+5*b_UZ/1000*F59/1000)*100)*(F$27*1000)^4*f_grenz_UZ^2)/(PI()^2*'Hilfstabellen_Mat&amp;Bem'!$BC$25*b_UZ)/1000^2)^(1/3),
(((F$27*1000)^3*1000)/('Hilfstabellen_Mat&amp;Bem'!$BC$25*b_UZ))^(1/3)))
/RUWE_UZ,0)*RUWE_UZ,200)</f>
        <v>280</v>
      </c>
      <c r="G59" s="468">
        <f ca="1">IFERROR(ROUNDUP((
MAX((((1.6*(2*'Hilfstabellen_Mat&amp;Bem'!$D80+5*b_UZ/1000*G59/1000)+1.18*2*'Hilfstabellen_Mat&amp;Bem'!$E80)*(5*w_fin_UZ*('Rasterbemessung DE UZ ST'!G$27*1000)^3)/(32*b_UZ*'Hilfstabellen_Mat&amp;Bem'!$BC$25))^(1/3)),
((48*((2*'Hilfstabellen_Mat&amp;Bem'!$D80+5*b_UZ/1000*G59/1000)*100)*(G$27*1000)^4*f_grenz_UZ^2)/(PI()^2*'Hilfstabellen_Mat&amp;Bem'!$BC$25*b_UZ)/1000^2)^(1/3),
(((G$27*1000)^3*1000)/('Hilfstabellen_Mat&amp;Bem'!$BC$25*b_UZ))^(1/3)))
/RUWE_UZ,0)*RUWE_UZ,200)</f>
        <v>360</v>
      </c>
      <c r="H59" s="468">
        <f ca="1">IFERROR(ROUNDUP((
MAX((((1.6*(2*'Hilfstabellen_Mat&amp;Bem'!$D80+5*b_UZ/1000*H59/1000)+1.18*2*'Hilfstabellen_Mat&amp;Bem'!$E80)*(5*w_fin_UZ*('Rasterbemessung DE UZ ST'!H$27*1000)^3)/(32*b_UZ*'Hilfstabellen_Mat&amp;Bem'!$BC$25))^(1/3)),
((48*((2*'Hilfstabellen_Mat&amp;Bem'!$D80+5*b_UZ/1000*H59/1000)*100)*(H$27*1000)^4*f_grenz_UZ^2)/(PI()^2*'Hilfstabellen_Mat&amp;Bem'!$BC$25*b_UZ)/1000^2)^(1/3),
(((H$27*1000)^3*1000)/('Hilfstabellen_Mat&amp;Bem'!$BC$25*b_UZ))^(1/3)))
/RUWE_UZ,0)*RUWE_UZ,200)</f>
        <v>400</v>
      </c>
      <c r="I59" s="468">
        <f ca="1">IFERROR(ROUNDUP((
MAX((((1.6*(2*'Hilfstabellen_Mat&amp;Bem'!$D80+5*b_UZ/1000*I59/1000)+1.18*2*'Hilfstabellen_Mat&amp;Bem'!$E80)*(5*w_fin_UZ*('Rasterbemessung DE UZ ST'!I$27*1000)^3)/(32*b_UZ*'Hilfstabellen_Mat&amp;Bem'!$BC$25))^(1/3)),
((48*((2*'Hilfstabellen_Mat&amp;Bem'!$D80+5*b_UZ/1000*I59/1000)*100)*(I$27*1000)^4*f_grenz_UZ^2)/(PI()^2*'Hilfstabellen_Mat&amp;Bem'!$BC$25*b_UZ)/1000^2)^(1/3),
(((I$27*1000)^3*1000)/('Hilfstabellen_Mat&amp;Bem'!$BC$25*b_UZ))^(1/3)))
/RUWE_UZ,0)*RUWE_UZ,200)</f>
        <v>480</v>
      </c>
      <c r="J59" s="468">
        <f ca="1">IFERROR(ROUNDUP((
MAX((((1.6*(2*'Hilfstabellen_Mat&amp;Bem'!$D80+5*b_UZ/1000*J59/1000)+1.18*2*'Hilfstabellen_Mat&amp;Bem'!$E80)*(5*w_fin_UZ*('Rasterbemessung DE UZ ST'!J$27*1000)^3)/(32*b_UZ*'Hilfstabellen_Mat&amp;Bem'!$BC$25))^(1/3)),
((48*((2*'Hilfstabellen_Mat&amp;Bem'!$D80+5*b_UZ/1000*J59/1000)*100)*(J$27*1000)^4*f_grenz_UZ^2)/(PI()^2*'Hilfstabellen_Mat&amp;Bem'!$BC$25*b_UZ)/1000^2)^(1/3),
(((J$27*1000)^3*1000)/('Hilfstabellen_Mat&amp;Bem'!$BC$25*b_UZ))^(1/3)))
/RUWE_UZ,0)*RUWE_UZ,200)</f>
        <v>560</v>
      </c>
      <c r="K59" s="468">
        <f ca="1">IFERROR(ROUNDUP((
MAX((((1.6*(2*'Hilfstabellen_Mat&amp;Bem'!$D80+5*b_UZ/1000*K59/1000)+1.18*2*'Hilfstabellen_Mat&amp;Bem'!$E80)*(5*w_fin_UZ*('Rasterbemessung DE UZ ST'!K$27*1000)^3)/(32*b_UZ*'Hilfstabellen_Mat&amp;Bem'!$BC$25))^(1/3)),
((48*((2*'Hilfstabellen_Mat&amp;Bem'!$D80+5*b_UZ/1000*K59/1000)*100)*(K$27*1000)^4*f_grenz_UZ^2)/(PI()^2*'Hilfstabellen_Mat&amp;Bem'!$BC$25*b_UZ)/1000^2)^(1/3),
(((K$27*1000)^3*1000)/('Hilfstabellen_Mat&amp;Bem'!$BC$25*b_UZ))^(1/3)))
/RUWE_UZ,0)*RUWE_UZ,200)</f>
        <v>600</v>
      </c>
      <c r="L59" s="468">
        <f ca="1">IFERROR(ROUNDUP((
MAX((((1.6*(2*'Hilfstabellen_Mat&amp;Bem'!$D80+5*b_UZ/1000*L59/1000)+1.18*2*'Hilfstabellen_Mat&amp;Bem'!$E80)*(5*w_fin_UZ*('Rasterbemessung DE UZ ST'!L$27*1000)^3)/(32*b_UZ*'Hilfstabellen_Mat&amp;Bem'!$BC$25))^(1/3)),
((48*((2*'Hilfstabellen_Mat&amp;Bem'!$D80+5*b_UZ/1000*L59/1000)*100)*(L$27*1000)^4*f_grenz_UZ^2)/(PI()^2*'Hilfstabellen_Mat&amp;Bem'!$BC$25*b_UZ)/1000^2)^(1/3),
(((L$27*1000)^3*1000)/('Hilfstabellen_Mat&amp;Bem'!$BC$25*b_UZ))^(1/3)))
/RUWE_UZ,0)*RUWE_UZ,200)</f>
        <v>640</v>
      </c>
      <c r="M59" s="468">
        <f ca="1">IFERROR(ROUNDUP((
MAX((((1.6*(2*'Hilfstabellen_Mat&amp;Bem'!$D80+5*b_UZ/1000*M59/1000)+1.18*2*'Hilfstabellen_Mat&amp;Bem'!$E80)*(5*w_fin_UZ*('Rasterbemessung DE UZ ST'!M$27*1000)^3)/(32*b_UZ*'Hilfstabellen_Mat&amp;Bem'!$BC$25))^(1/3)),
((48*((2*'Hilfstabellen_Mat&amp;Bem'!$D80+5*b_UZ/1000*M59/1000)*100)*(M$27*1000)^4*f_grenz_UZ^2)/(PI()^2*'Hilfstabellen_Mat&amp;Bem'!$BC$25*b_UZ)/1000^2)^(1/3),
(((M$27*1000)^3*1000)/('Hilfstabellen_Mat&amp;Bem'!$BC$25*b_UZ))^(1/3)))
/RUWE_UZ,0)*RUWE_UZ,200)</f>
        <v>720</v>
      </c>
    </row>
    <row r="60" spans="1:47" ht="15" customHeight="1">
      <c r="A60" s="1458"/>
      <c r="B60" s="481">
        <f>'Hilfstabellen_Mat&amp;Bem'!$D59</f>
        <v>5.3</v>
      </c>
      <c r="C60" s="468">
        <f ca="1">IFERROR(ROUNDUP((
MAX((((1.6*(2*'Hilfstabellen_Mat&amp;Bem'!$D81+5*b_UZ/1000*C60/1000)+1.18*2*'Hilfstabellen_Mat&amp;Bem'!$E81)*(5*w_fin_UZ*('Rasterbemessung DE UZ ST'!C$27*1000)^3)/(32*b_UZ*'Hilfstabellen_Mat&amp;Bem'!$BC$25))^(1/3)),
((48*((2*'Hilfstabellen_Mat&amp;Bem'!$D81+5*b_UZ/1000*C60/1000)*100)*(C$27*1000)^4*f_grenz_UZ^2)/(PI()^2*'Hilfstabellen_Mat&amp;Bem'!$BC$25*b_UZ)/1000^2)^(1/3),
(((C$27*1000)^3*1000)/('Hilfstabellen_Mat&amp;Bem'!$BC$25*b_UZ))^(1/3)))
/RUWE_UZ,0)*RUWE_UZ,200)</f>
        <v>240</v>
      </c>
      <c r="D60" s="468">
        <f ca="1">IFERROR(ROUNDUP((
MAX((((1.6*(2*'Hilfstabellen_Mat&amp;Bem'!$D81+5*b_UZ/1000*D60/1000)+1.18*2*'Hilfstabellen_Mat&amp;Bem'!$E81)*(5*w_fin_UZ*('Rasterbemessung DE UZ ST'!D$27*1000)^3)/(32*b_UZ*'Hilfstabellen_Mat&amp;Bem'!$BC$25))^(1/3)),
((48*((2*'Hilfstabellen_Mat&amp;Bem'!$D81+5*b_UZ/1000*D60/1000)*100)*(D$27*1000)^4*f_grenz_UZ^2)/(PI()^2*'Hilfstabellen_Mat&amp;Bem'!$BC$25*b_UZ)/1000^2)^(1/3),
(((D$27*1000)^3*1000)/('Hilfstabellen_Mat&amp;Bem'!$BC$25*b_UZ))^(1/3)))
/RUWE_UZ,0)*RUWE_UZ,200)</f>
        <v>280</v>
      </c>
      <c r="E60" s="468">
        <f ca="1">IFERROR(ROUNDUP((
MAX((((1.6*(2*'Hilfstabellen_Mat&amp;Bem'!$D81+5*b_UZ/1000*E60/1000)+1.18*2*'Hilfstabellen_Mat&amp;Bem'!$E81)*(5*w_fin_UZ*('Rasterbemessung DE UZ ST'!E$27*1000)^3)/(32*b_UZ*'Hilfstabellen_Mat&amp;Bem'!$BC$25))^(1/3)),
((48*((2*'Hilfstabellen_Mat&amp;Bem'!$D81+5*b_UZ/1000*E60/1000)*100)*(E$27*1000)^4*f_grenz_UZ^2)/(PI()^2*'Hilfstabellen_Mat&amp;Bem'!$BC$25*b_UZ)/1000^2)^(1/3),
(((E$27*1000)^3*1000)/('Hilfstabellen_Mat&amp;Bem'!$BC$25*b_UZ))^(1/3)))
/RUWE_UZ,0)*RUWE_UZ,200)</f>
        <v>280</v>
      </c>
      <c r="F60" s="468">
        <f ca="1">IFERROR(ROUNDUP((
MAX((((1.6*(2*'Hilfstabellen_Mat&amp;Bem'!$D81+5*b_UZ/1000*F60/1000)+1.18*2*'Hilfstabellen_Mat&amp;Bem'!$E81)*(5*w_fin_UZ*('Rasterbemessung DE UZ ST'!F$27*1000)^3)/(32*b_UZ*'Hilfstabellen_Mat&amp;Bem'!$BC$25))^(1/3)),
((48*((2*'Hilfstabellen_Mat&amp;Bem'!$D81+5*b_UZ/1000*F60/1000)*100)*(F$27*1000)^4*f_grenz_UZ^2)/(PI()^2*'Hilfstabellen_Mat&amp;Bem'!$BC$25*b_UZ)/1000^2)^(1/3),
(((F$27*1000)^3*1000)/('Hilfstabellen_Mat&amp;Bem'!$BC$25*b_UZ))^(1/3)))
/RUWE_UZ,0)*RUWE_UZ,200)</f>
        <v>320</v>
      </c>
      <c r="G60" s="468">
        <f ca="1">IFERROR(ROUNDUP((
MAX((((1.6*(2*'Hilfstabellen_Mat&amp;Bem'!$D81+5*b_UZ/1000*G60/1000)+1.18*2*'Hilfstabellen_Mat&amp;Bem'!$E81)*(5*w_fin_UZ*('Rasterbemessung DE UZ ST'!G$27*1000)^3)/(32*b_UZ*'Hilfstabellen_Mat&amp;Bem'!$BC$25))^(1/3)),
((48*((2*'Hilfstabellen_Mat&amp;Bem'!$D81+5*b_UZ/1000*G60/1000)*100)*(G$27*1000)^4*f_grenz_UZ^2)/(PI()^2*'Hilfstabellen_Mat&amp;Bem'!$BC$25*b_UZ)/1000^2)^(1/3),
(((G$27*1000)^3*1000)/('Hilfstabellen_Mat&amp;Bem'!$BC$25*b_UZ))^(1/3)))
/RUWE_UZ,0)*RUWE_UZ,200)</f>
        <v>360</v>
      </c>
      <c r="H60" s="468">
        <f ca="1">IFERROR(ROUNDUP((
MAX((((1.6*(2*'Hilfstabellen_Mat&amp;Bem'!$D81+5*b_UZ/1000*H60/1000)+1.18*2*'Hilfstabellen_Mat&amp;Bem'!$E81)*(5*w_fin_UZ*('Rasterbemessung DE UZ ST'!H$27*1000)^3)/(32*b_UZ*'Hilfstabellen_Mat&amp;Bem'!$BC$25))^(1/3)),
((48*((2*'Hilfstabellen_Mat&amp;Bem'!$D81+5*b_UZ/1000*H60/1000)*100)*(H$27*1000)^4*f_grenz_UZ^2)/(PI()^2*'Hilfstabellen_Mat&amp;Bem'!$BC$25*b_UZ)/1000^2)^(1/3),
(((H$27*1000)^3*1000)/('Hilfstabellen_Mat&amp;Bem'!$BC$25*b_UZ))^(1/3)))
/RUWE_UZ,0)*RUWE_UZ,200)</f>
        <v>440</v>
      </c>
      <c r="I60" s="468">
        <f ca="1">IFERROR(ROUNDUP((
MAX((((1.6*(2*'Hilfstabellen_Mat&amp;Bem'!$D81+5*b_UZ/1000*I60/1000)+1.18*2*'Hilfstabellen_Mat&amp;Bem'!$E81)*(5*w_fin_UZ*('Rasterbemessung DE UZ ST'!I$27*1000)^3)/(32*b_UZ*'Hilfstabellen_Mat&amp;Bem'!$BC$25))^(1/3)),
((48*((2*'Hilfstabellen_Mat&amp;Bem'!$D81+5*b_UZ/1000*I60/1000)*100)*(I$27*1000)^4*f_grenz_UZ^2)/(PI()^2*'Hilfstabellen_Mat&amp;Bem'!$BC$25*b_UZ)/1000^2)^(1/3),
(((I$27*1000)^3*1000)/('Hilfstabellen_Mat&amp;Bem'!$BC$25*b_UZ))^(1/3)))
/RUWE_UZ,0)*RUWE_UZ,200)</f>
        <v>480</v>
      </c>
      <c r="J60" s="468">
        <f ca="1">IFERROR(ROUNDUP((
MAX((((1.6*(2*'Hilfstabellen_Mat&amp;Bem'!$D81+5*b_UZ/1000*J60/1000)+1.18*2*'Hilfstabellen_Mat&amp;Bem'!$E81)*(5*w_fin_UZ*('Rasterbemessung DE UZ ST'!J$27*1000)^3)/(32*b_UZ*'Hilfstabellen_Mat&amp;Bem'!$BC$25))^(1/3)),
((48*((2*'Hilfstabellen_Mat&amp;Bem'!$D81+5*b_UZ/1000*J60/1000)*100)*(J$27*1000)^4*f_grenz_UZ^2)/(PI()^2*'Hilfstabellen_Mat&amp;Bem'!$BC$25*b_UZ)/1000^2)^(1/3),
(((J$27*1000)^3*1000)/('Hilfstabellen_Mat&amp;Bem'!$BC$25*b_UZ))^(1/3)))
/RUWE_UZ,0)*RUWE_UZ,200)</f>
        <v>560</v>
      </c>
      <c r="K60" s="468">
        <f ca="1">IFERROR(ROUNDUP((
MAX((((1.6*(2*'Hilfstabellen_Mat&amp;Bem'!$D81+5*b_UZ/1000*K60/1000)+1.18*2*'Hilfstabellen_Mat&amp;Bem'!$E81)*(5*w_fin_UZ*('Rasterbemessung DE UZ ST'!K$27*1000)^3)/(32*b_UZ*'Hilfstabellen_Mat&amp;Bem'!$BC$25))^(1/3)),
((48*((2*'Hilfstabellen_Mat&amp;Bem'!$D81+5*b_UZ/1000*K60/1000)*100)*(K$27*1000)^4*f_grenz_UZ^2)/(PI()^2*'Hilfstabellen_Mat&amp;Bem'!$BC$25*b_UZ)/1000^2)^(1/3),
(((K$27*1000)^3*1000)/('Hilfstabellen_Mat&amp;Bem'!$BC$25*b_UZ))^(1/3)))
/RUWE_UZ,0)*RUWE_UZ,200)</f>
        <v>600</v>
      </c>
      <c r="L60" s="468">
        <f ca="1">IFERROR(ROUNDUP((
MAX((((1.6*(2*'Hilfstabellen_Mat&amp;Bem'!$D81+5*b_UZ/1000*L60/1000)+1.18*2*'Hilfstabellen_Mat&amp;Bem'!$E81)*(5*w_fin_UZ*('Rasterbemessung DE UZ ST'!L$27*1000)^3)/(32*b_UZ*'Hilfstabellen_Mat&amp;Bem'!$BC$25))^(1/3)),
((48*((2*'Hilfstabellen_Mat&amp;Bem'!$D81+5*b_UZ/1000*L60/1000)*100)*(L$27*1000)^4*f_grenz_UZ^2)/(PI()^2*'Hilfstabellen_Mat&amp;Bem'!$BC$25*b_UZ)/1000^2)^(1/3),
(((L$27*1000)^3*1000)/('Hilfstabellen_Mat&amp;Bem'!$BC$25*b_UZ))^(1/3)))
/RUWE_UZ,0)*RUWE_UZ,200)</f>
        <v>680</v>
      </c>
      <c r="M60" s="468">
        <f ca="1">IFERROR(ROUNDUP((
MAX((((1.6*(2*'Hilfstabellen_Mat&amp;Bem'!$D81+5*b_UZ/1000*M60/1000)+1.18*2*'Hilfstabellen_Mat&amp;Bem'!$E81)*(5*w_fin_UZ*('Rasterbemessung DE UZ ST'!M$27*1000)^3)/(32*b_UZ*'Hilfstabellen_Mat&amp;Bem'!$BC$25))^(1/3)),
((48*((2*'Hilfstabellen_Mat&amp;Bem'!$D81+5*b_UZ/1000*M60/1000)*100)*(M$27*1000)^4*f_grenz_UZ^2)/(PI()^2*'Hilfstabellen_Mat&amp;Bem'!$BC$25*b_UZ)/1000^2)^(1/3),
(((M$27*1000)^3*1000)/('Hilfstabellen_Mat&amp;Bem'!$BC$25*b_UZ))^(1/3)))
/RUWE_UZ,0)*RUWE_UZ,200)</f>
        <v>720</v>
      </c>
    </row>
    <row r="61" spans="1:47" ht="15" customHeight="1">
      <c r="A61" s="1458"/>
      <c r="B61" s="481">
        <f>'Hilfstabellen_Mat&amp;Bem'!$D60</f>
        <v>5.7</v>
      </c>
      <c r="C61" s="468">
        <f ca="1">IFERROR(ROUNDUP((
MAX((((1.6*(2*'Hilfstabellen_Mat&amp;Bem'!$D82+5*b_UZ/1000*C61/1000)+1.18*2*'Hilfstabellen_Mat&amp;Bem'!$E82)*(5*w_fin_UZ*('Rasterbemessung DE UZ ST'!C$27*1000)^3)/(32*b_UZ*'Hilfstabellen_Mat&amp;Bem'!$BC$25))^(1/3)),
((48*((2*'Hilfstabellen_Mat&amp;Bem'!$D82+5*b_UZ/1000*C61/1000)*100)*(C$27*1000)^4*f_grenz_UZ^2)/(PI()^2*'Hilfstabellen_Mat&amp;Bem'!$BC$25*b_UZ)/1000^2)^(1/3),
(((C$27*1000)^3*1000)/('Hilfstabellen_Mat&amp;Bem'!$BC$25*b_UZ))^(1/3)))
/RUWE_UZ,0)*RUWE_UZ,200)</f>
        <v>240</v>
      </c>
      <c r="D61" s="468">
        <f ca="1">IFERROR(ROUNDUP((
MAX((((1.6*(2*'Hilfstabellen_Mat&amp;Bem'!$D82+5*b_UZ/1000*D61/1000)+1.18*2*'Hilfstabellen_Mat&amp;Bem'!$E82)*(5*w_fin_UZ*('Rasterbemessung DE UZ ST'!D$27*1000)^3)/(32*b_UZ*'Hilfstabellen_Mat&amp;Bem'!$BC$25))^(1/3)),
((48*((2*'Hilfstabellen_Mat&amp;Bem'!$D82+5*b_UZ/1000*D61/1000)*100)*(D$27*1000)^4*f_grenz_UZ^2)/(PI()^2*'Hilfstabellen_Mat&amp;Bem'!$BC$25*b_UZ)/1000^2)^(1/3),
(((D$27*1000)^3*1000)/('Hilfstabellen_Mat&amp;Bem'!$BC$25*b_UZ))^(1/3)))
/RUWE_UZ,0)*RUWE_UZ,200)</f>
        <v>280</v>
      </c>
      <c r="E61" s="468">
        <f ca="1">IFERROR(ROUNDUP((
MAX((((1.6*(2*'Hilfstabellen_Mat&amp;Bem'!$D82+5*b_UZ/1000*E61/1000)+1.18*2*'Hilfstabellen_Mat&amp;Bem'!$E82)*(5*w_fin_UZ*('Rasterbemessung DE UZ ST'!E$27*1000)^3)/(32*b_UZ*'Hilfstabellen_Mat&amp;Bem'!$BC$25))^(1/3)),
((48*((2*'Hilfstabellen_Mat&amp;Bem'!$D82+5*b_UZ/1000*E61/1000)*100)*(E$27*1000)^4*f_grenz_UZ^2)/(PI()^2*'Hilfstabellen_Mat&amp;Bem'!$BC$25*b_UZ)/1000^2)^(1/3),
(((E$27*1000)^3*1000)/('Hilfstabellen_Mat&amp;Bem'!$BC$25*b_UZ))^(1/3)))
/RUWE_UZ,0)*RUWE_UZ,200)</f>
        <v>280</v>
      </c>
      <c r="F61" s="468">
        <f ca="1">IFERROR(ROUNDUP((
MAX((((1.6*(2*'Hilfstabellen_Mat&amp;Bem'!$D82+5*b_UZ/1000*F61/1000)+1.18*2*'Hilfstabellen_Mat&amp;Bem'!$E82)*(5*w_fin_UZ*('Rasterbemessung DE UZ ST'!F$27*1000)^3)/(32*b_UZ*'Hilfstabellen_Mat&amp;Bem'!$BC$25))^(1/3)),
((48*((2*'Hilfstabellen_Mat&amp;Bem'!$D82+5*b_UZ/1000*F61/1000)*100)*(F$27*1000)^4*f_grenz_UZ^2)/(PI()^2*'Hilfstabellen_Mat&amp;Bem'!$BC$25*b_UZ)/1000^2)^(1/3),
(((F$27*1000)^3*1000)/('Hilfstabellen_Mat&amp;Bem'!$BC$25*b_UZ))^(1/3)))
/RUWE_UZ,0)*RUWE_UZ,200)</f>
        <v>320</v>
      </c>
      <c r="G61" s="468">
        <f ca="1">IFERROR(ROUNDUP((
MAX((((1.6*(2*'Hilfstabellen_Mat&amp;Bem'!$D82+5*b_UZ/1000*G61/1000)+1.18*2*'Hilfstabellen_Mat&amp;Bem'!$E82)*(5*w_fin_UZ*('Rasterbemessung DE UZ ST'!G$27*1000)^3)/(32*b_UZ*'Hilfstabellen_Mat&amp;Bem'!$BC$25))^(1/3)),
((48*((2*'Hilfstabellen_Mat&amp;Bem'!$D82+5*b_UZ/1000*G61/1000)*100)*(G$27*1000)^4*f_grenz_UZ^2)/(PI()^2*'Hilfstabellen_Mat&amp;Bem'!$BC$25*b_UZ)/1000^2)^(1/3),
(((G$27*1000)^3*1000)/('Hilfstabellen_Mat&amp;Bem'!$BC$25*b_UZ))^(1/3)))
/RUWE_UZ,0)*RUWE_UZ,200)</f>
        <v>360</v>
      </c>
      <c r="H61" s="468">
        <f ca="1">IFERROR(ROUNDUP((
MAX((((1.6*(2*'Hilfstabellen_Mat&amp;Bem'!$D82+5*b_UZ/1000*H61/1000)+1.18*2*'Hilfstabellen_Mat&amp;Bem'!$E82)*(5*w_fin_UZ*('Rasterbemessung DE UZ ST'!H$27*1000)^3)/(32*b_UZ*'Hilfstabellen_Mat&amp;Bem'!$BC$25))^(1/3)),
((48*((2*'Hilfstabellen_Mat&amp;Bem'!$D82+5*b_UZ/1000*H61/1000)*100)*(H$27*1000)^4*f_grenz_UZ^2)/(PI()^2*'Hilfstabellen_Mat&amp;Bem'!$BC$25*b_UZ)/1000^2)^(1/3),
(((H$27*1000)^3*1000)/('Hilfstabellen_Mat&amp;Bem'!$BC$25*b_UZ))^(1/3)))
/RUWE_UZ,0)*RUWE_UZ,200)</f>
        <v>440</v>
      </c>
      <c r="I61" s="468">
        <f ca="1">IFERROR(ROUNDUP((
MAX((((1.6*(2*'Hilfstabellen_Mat&amp;Bem'!$D82+5*b_UZ/1000*I61/1000)+1.18*2*'Hilfstabellen_Mat&amp;Bem'!$E82)*(5*w_fin_UZ*('Rasterbemessung DE UZ ST'!I$27*1000)^3)/(32*b_UZ*'Hilfstabellen_Mat&amp;Bem'!$BC$25))^(1/3)),
((48*((2*'Hilfstabellen_Mat&amp;Bem'!$D82+5*b_UZ/1000*I61/1000)*100)*(I$27*1000)^4*f_grenz_UZ^2)/(PI()^2*'Hilfstabellen_Mat&amp;Bem'!$BC$25*b_UZ)/1000^2)^(1/3),
(((I$27*1000)^3*1000)/('Hilfstabellen_Mat&amp;Bem'!$BC$25*b_UZ))^(1/3)))
/RUWE_UZ,0)*RUWE_UZ,200)</f>
        <v>480</v>
      </c>
      <c r="J61" s="468">
        <f ca="1">IFERROR(ROUNDUP((
MAX((((1.6*(2*'Hilfstabellen_Mat&amp;Bem'!$D82+5*b_UZ/1000*J61/1000)+1.18*2*'Hilfstabellen_Mat&amp;Bem'!$E82)*(5*w_fin_UZ*('Rasterbemessung DE UZ ST'!J$27*1000)^3)/(32*b_UZ*'Hilfstabellen_Mat&amp;Bem'!$BC$25))^(1/3)),
((48*((2*'Hilfstabellen_Mat&amp;Bem'!$D82+5*b_UZ/1000*J61/1000)*100)*(J$27*1000)^4*f_grenz_UZ^2)/(PI()^2*'Hilfstabellen_Mat&amp;Bem'!$BC$25*b_UZ)/1000^2)^(1/3),
(((J$27*1000)^3*1000)/('Hilfstabellen_Mat&amp;Bem'!$BC$25*b_UZ))^(1/3)))
/RUWE_UZ,0)*RUWE_UZ,200)</f>
        <v>560</v>
      </c>
      <c r="K61" s="468">
        <f ca="1">IFERROR(ROUNDUP((
MAX((((1.6*(2*'Hilfstabellen_Mat&amp;Bem'!$D82+5*b_UZ/1000*K61/1000)+1.18*2*'Hilfstabellen_Mat&amp;Bem'!$E82)*(5*w_fin_UZ*('Rasterbemessung DE UZ ST'!K$27*1000)^3)/(32*b_UZ*'Hilfstabellen_Mat&amp;Bem'!$BC$25))^(1/3)),
((48*((2*'Hilfstabellen_Mat&amp;Bem'!$D82+5*b_UZ/1000*K61/1000)*100)*(K$27*1000)^4*f_grenz_UZ^2)/(PI()^2*'Hilfstabellen_Mat&amp;Bem'!$BC$25*b_UZ)/1000^2)^(1/3),
(((K$27*1000)^3*1000)/('Hilfstabellen_Mat&amp;Bem'!$BC$25*b_UZ))^(1/3)))
/RUWE_UZ,0)*RUWE_UZ,200)</f>
        <v>600</v>
      </c>
      <c r="L61" s="468">
        <f ca="1">IFERROR(ROUNDUP((
MAX((((1.6*(2*'Hilfstabellen_Mat&amp;Bem'!$D82+5*b_UZ/1000*L61/1000)+1.18*2*'Hilfstabellen_Mat&amp;Bem'!$E82)*(5*w_fin_UZ*('Rasterbemessung DE UZ ST'!L$27*1000)^3)/(32*b_UZ*'Hilfstabellen_Mat&amp;Bem'!$BC$25))^(1/3)),
((48*((2*'Hilfstabellen_Mat&amp;Bem'!$D82+5*b_UZ/1000*L61/1000)*100)*(L$27*1000)^4*f_grenz_UZ^2)/(PI()^2*'Hilfstabellen_Mat&amp;Bem'!$BC$25*b_UZ)/1000^2)^(1/3),
(((L$27*1000)^3*1000)/('Hilfstabellen_Mat&amp;Bem'!$BC$25*b_UZ))^(1/3)))
/RUWE_UZ,0)*RUWE_UZ,200)</f>
        <v>680</v>
      </c>
      <c r="M61" s="468">
        <f ca="1">IFERROR(ROUNDUP((
MAX((((1.6*(2*'Hilfstabellen_Mat&amp;Bem'!$D82+5*b_UZ/1000*M61/1000)+1.18*2*'Hilfstabellen_Mat&amp;Bem'!$E82)*(5*w_fin_UZ*('Rasterbemessung DE UZ ST'!M$27*1000)^3)/(32*b_UZ*'Hilfstabellen_Mat&amp;Bem'!$BC$25))^(1/3)),
((48*((2*'Hilfstabellen_Mat&amp;Bem'!$D82+5*b_UZ/1000*M61/1000)*100)*(M$27*1000)^4*f_grenz_UZ^2)/(PI()^2*'Hilfstabellen_Mat&amp;Bem'!$BC$25*b_UZ)/1000^2)^(1/3),
(((M$27*1000)^3*1000)/('Hilfstabellen_Mat&amp;Bem'!$BC$25*b_UZ))^(1/3)))
/RUWE_UZ,0)*RUWE_UZ,200)</f>
        <v>720</v>
      </c>
    </row>
    <row r="62" spans="1:47" ht="15" customHeight="1">
      <c r="A62" s="1458"/>
      <c r="B62" s="481">
        <f>'Hilfstabellen_Mat&amp;Bem'!$D61</f>
        <v>6</v>
      </c>
      <c r="C62" s="468">
        <f ca="1">IFERROR(ROUNDUP((
MAX((((1.6*(2*'Hilfstabellen_Mat&amp;Bem'!$D83+5*b_UZ/1000*C62/1000)+1.18*2*'Hilfstabellen_Mat&amp;Bem'!$E83)*(5*w_fin_UZ*('Rasterbemessung DE UZ ST'!C$27*1000)^3)/(32*b_UZ*'Hilfstabellen_Mat&amp;Bem'!$BC$25))^(1/3)),
((48*((2*'Hilfstabellen_Mat&amp;Bem'!$D83+5*b_UZ/1000*C62/1000)*100)*(C$27*1000)^4*f_grenz_UZ^2)/(PI()^2*'Hilfstabellen_Mat&amp;Bem'!$BC$25*b_UZ)/1000^2)^(1/3),
(((C$27*1000)^3*1000)/('Hilfstabellen_Mat&amp;Bem'!$BC$25*b_UZ))^(1/3)))
/RUWE_UZ,0)*RUWE_UZ,200)</f>
        <v>280</v>
      </c>
      <c r="D62" s="468">
        <f ca="1">IFERROR(ROUNDUP((
MAX((((1.6*(2*'Hilfstabellen_Mat&amp;Bem'!$D83+5*b_UZ/1000*D62/1000)+1.18*2*'Hilfstabellen_Mat&amp;Bem'!$E83)*(5*w_fin_UZ*('Rasterbemessung DE UZ ST'!D$27*1000)^3)/(32*b_UZ*'Hilfstabellen_Mat&amp;Bem'!$BC$25))^(1/3)),
((48*((2*'Hilfstabellen_Mat&amp;Bem'!$D83+5*b_UZ/1000*D62/1000)*100)*(D$27*1000)^4*f_grenz_UZ^2)/(PI()^2*'Hilfstabellen_Mat&amp;Bem'!$BC$25*b_UZ)/1000^2)^(1/3),
(((D$27*1000)^3*1000)/('Hilfstabellen_Mat&amp;Bem'!$BC$25*b_UZ))^(1/3)))
/RUWE_UZ,0)*RUWE_UZ,200)</f>
        <v>280</v>
      </c>
      <c r="E62" s="468">
        <f ca="1">IFERROR(ROUNDUP((
MAX((((1.6*(2*'Hilfstabellen_Mat&amp;Bem'!$D83+5*b_UZ/1000*E62/1000)+1.18*2*'Hilfstabellen_Mat&amp;Bem'!$E83)*(5*w_fin_UZ*('Rasterbemessung DE UZ ST'!E$27*1000)^3)/(32*b_UZ*'Hilfstabellen_Mat&amp;Bem'!$BC$25))^(1/3)),
((48*((2*'Hilfstabellen_Mat&amp;Bem'!$D83+5*b_UZ/1000*E62/1000)*100)*(E$27*1000)^4*f_grenz_UZ^2)/(PI()^2*'Hilfstabellen_Mat&amp;Bem'!$BC$25*b_UZ)/1000^2)^(1/3),
(((E$27*1000)^3*1000)/('Hilfstabellen_Mat&amp;Bem'!$BC$25*b_UZ))^(1/3)))
/RUWE_UZ,0)*RUWE_UZ,200)</f>
        <v>280</v>
      </c>
      <c r="F62" s="468">
        <f ca="1">IFERROR(ROUNDUP((
MAX((((1.6*(2*'Hilfstabellen_Mat&amp;Bem'!$D83+5*b_UZ/1000*F62/1000)+1.18*2*'Hilfstabellen_Mat&amp;Bem'!$E83)*(5*w_fin_UZ*('Rasterbemessung DE UZ ST'!F$27*1000)^3)/(32*b_UZ*'Hilfstabellen_Mat&amp;Bem'!$BC$25))^(1/3)),
((48*((2*'Hilfstabellen_Mat&amp;Bem'!$D83+5*b_UZ/1000*F62/1000)*100)*(F$27*1000)^4*f_grenz_UZ^2)/(PI()^2*'Hilfstabellen_Mat&amp;Bem'!$BC$25*b_UZ)/1000^2)^(1/3),
(((F$27*1000)^3*1000)/('Hilfstabellen_Mat&amp;Bem'!$BC$25*b_UZ))^(1/3)))
/RUWE_UZ,0)*RUWE_UZ,200)</f>
        <v>320</v>
      </c>
      <c r="G62" s="468">
        <f ca="1">IFERROR(ROUNDUP((
MAX((((1.6*(2*'Hilfstabellen_Mat&amp;Bem'!$D83+5*b_UZ/1000*G62/1000)+1.18*2*'Hilfstabellen_Mat&amp;Bem'!$E83)*(5*w_fin_UZ*('Rasterbemessung DE UZ ST'!G$27*1000)^3)/(32*b_UZ*'Hilfstabellen_Mat&amp;Bem'!$BC$25))^(1/3)),
((48*((2*'Hilfstabellen_Mat&amp;Bem'!$D83+5*b_UZ/1000*G62/1000)*100)*(G$27*1000)^4*f_grenz_UZ^2)/(PI()^2*'Hilfstabellen_Mat&amp;Bem'!$BC$25*b_UZ)/1000^2)^(1/3),
(((G$27*1000)^3*1000)/('Hilfstabellen_Mat&amp;Bem'!$BC$25*b_UZ))^(1/3)))
/RUWE_UZ,0)*RUWE_UZ,200)</f>
        <v>360</v>
      </c>
      <c r="H62" s="468">
        <f ca="1">IFERROR(ROUNDUP((
MAX((((1.6*(2*'Hilfstabellen_Mat&amp;Bem'!$D83+5*b_UZ/1000*H62/1000)+1.18*2*'Hilfstabellen_Mat&amp;Bem'!$E83)*(5*w_fin_UZ*('Rasterbemessung DE UZ ST'!H$27*1000)^3)/(32*b_UZ*'Hilfstabellen_Mat&amp;Bem'!$BC$25))^(1/3)),
((48*((2*'Hilfstabellen_Mat&amp;Bem'!$D83+5*b_UZ/1000*H62/1000)*100)*(H$27*1000)^4*f_grenz_UZ^2)/(PI()^2*'Hilfstabellen_Mat&amp;Bem'!$BC$25*b_UZ)/1000^2)^(1/3),
(((H$27*1000)^3*1000)/('Hilfstabellen_Mat&amp;Bem'!$BC$25*b_UZ))^(1/3)))
/RUWE_UZ,0)*RUWE_UZ,200)</f>
        <v>440</v>
      </c>
      <c r="I62" s="468">
        <f ca="1">IFERROR(ROUNDUP((
MAX((((1.6*(2*'Hilfstabellen_Mat&amp;Bem'!$D83+5*b_UZ/1000*I62/1000)+1.18*2*'Hilfstabellen_Mat&amp;Bem'!$E83)*(5*w_fin_UZ*('Rasterbemessung DE UZ ST'!I$27*1000)^3)/(32*b_UZ*'Hilfstabellen_Mat&amp;Bem'!$BC$25))^(1/3)),
((48*((2*'Hilfstabellen_Mat&amp;Bem'!$D83+5*b_UZ/1000*I62/1000)*100)*(I$27*1000)^4*f_grenz_UZ^2)/(PI()^2*'Hilfstabellen_Mat&amp;Bem'!$BC$25*b_UZ)/1000^2)^(1/3),
(((I$27*1000)^3*1000)/('Hilfstabellen_Mat&amp;Bem'!$BC$25*b_UZ))^(1/3)))
/RUWE_UZ,0)*RUWE_UZ,200)</f>
        <v>520</v>
      </c>
      <c r="J62" s="468">
        <f ca="1">IFERROR(ROUNDUP((
MAX((((1.6*(2*'Hilfstabellen_Mat&amp;Bem'!$D83+5*b_UZ/1000*J62/1000)+1.18*2*'Hilfstabellen_Mat&amp;Bem'!$E83)*(5*w_fin_UZ*('Rasterbemessung DE UZ ST'!J$27*1000)^3)/(32*b_UZ*'Hilfstabellen_Mat&amp;Bem'!$BC$25))^(1/3)),
((48*((2*'Hilfstabellen_Mat&amp;Bem'!$D83+5*b_UZ/1000*J62/1000)*100)*(J$27*1000)^4*f_grenz_UZ^2)/(PI()^2*'Hilfstabellen_Mat&amp;Bem'!$BC$25*b_UZ)/1000^2)^(1/3),
(((J$27*1000)^3*1000)/('Hilfstabellen_Mat&amp;Bem'!$BC$25*b_UZ))^(1/3)))
/RUWE_UZ,0)*RUWE_UZ,200)</f>
        <v>560</v>
      </c>
      <c r="K62" s="468">
        <f ca="1">IFERROR(ROUNDUP((
MAX((((1.6*(2*'Hilfstabellen_Mat&amp;Bem'!$D83+5*b_UZ/1000*K62/1000)+1.18*2*'Hilfstabellen_Mat&amp;Bem'!$E83)*(5*w_fin_UZ*('Rasterbemessung DE UZ ST'!K$27*1000)^3)/(32*b_UZ*'Hilfstabellen_Mat&amp;Bem'!$BC$25))^(1/3)),
((48*((2*'Hilfstabellen_Mat&amp;Bem'!$D83+5*b_UZ/1000*K62/1000)*100)*(K$27*1000)^4*f_grenz_UZ^2)/(PI()^2*'Hilfstabellen_Mat&amp;Bem'!$BC$25*b_UZ)/1000^2)^(1/3),
(((K$27*1000)^3*1000)/('Hilfstabellen_Mat&amp;Bem'!$BC$25*b_UZ))^(1/3)))
/RUWE_UZ,0)*RUWE_UZ,200)</f>
        <v>600</v>
      </c>
      <c r="L62" s="468">
        <f ca="1">IFERROR(ROUNDUP((
MAX((((1.6*(2*'Hilfstabellen_Mat&amp;Bem'!$D83+5*b_UZ/1000*L62/1000)+1.18*2*'Hilfstabellen_Mat&amp;Bem'!$E83)*(5*w_fin_UZ*('Rasterbemessung DE UZ ST'!L$27*1000)^3)/(32*b_UZ*'Hilfstabellen_Mat&amp;Bem'!$BC$25))^(1/3)),
((48*((2*'Hilfstabellen_Mat&amp;Bem'!$D83+5*b_UZ/1000*L62/1000)*100)*(L$27*1000)^4*f_grenz_UZ^2)/(PI()^2*'Hilfstabellen_Mat&amp;Bem'!$BC$25*b_UZ)/1000^2)^(1/3),
(((L$27*1000)^3*1000)/('Hilfstabellen_Mat&amp;Bem'!$BC$25*b_UZ))^(1/3)))
/RUWE_UZ,0)*RUWE_UZ,200)</f>
        <v>680</v>
      </c>
      <c r="M62" s="468">
        <f ca="1">IFERROR(ROUNDUP((
MAX((((1.6*(2*'Hilfstabellen_Mat&amp;Bem'!$D83+5*b_UZ/1000*M62/1000)+1.18*2*'Hilfstabellen_Mat&amp;Bem'!$E83)*(5*w_fin_UZ*('Rasterbemessung DE UZ ST'!M$27*1000)^3)/(32*b_UZ*'Hilfstabellen_Mat&amp;Bem'!$BC$25))^(1/3)),
((48*((2*'Hilfstabellen_Mat&amp;Bem'!$D83+5*b_UZ/1000*M62/1000)*100)*(M$27*1000)^4*f_grenz_UZ^2)/(PI()^2*'Hilfstabellen_Mat&amp;Bem'!$BC$25*b_UZ)/1000^2)^(1/3),
(((M$27*1000)^3*1000)/('Hilfstabellen_Mat&amp;Bem'!$BC$25*b_UZ))^(1/3)))
/RUWE_UZ,0)*RUWE_UZ,200)</f>
        <v>720</v>
      </c>
    </row>
    <row r="64" spans="1:47" ht="15" customHeight="1" thickBot="1">
      <c r="B64" s="479" t="s">
        <v>884</v>
      </c>
      <c r="C64" s="480">
        <f t="shared" ref="C64:J64" si="0">C27</f>
        <v>2.5</v>
      </c>
      <c r="D64" s="480">
        <f t="shared" si="0"/>
        <v>2.65</v>
      </c>
      <c r="E64" s="480">
        <f t="shared" si="0"/>
        <v>2.85</v>
      </c>
      <c r="F64" s="480">
        <f t="shared" si="0"/>
        <v>3</v>
      </c>
      <c r="G64" s="480">
        <f t="shared" si="0"/>
        <v>3.5</v>
      </c>
      <c r="H64" s="480">
        <f t="shared" si="0"/>
        <v>4</v>
      </c>
      <c r="I64" s="480">
        <f t="shared" si="0"/>
        <v>4.5</v>
      </c>
      <c r="J64" s="480">
        <f t="shared" si="0"/>
        <v>5</v>
      </c>
      <c r="K64" s="480">
        <f>K27</f>
        <v>5.3</v>
      </c>
      <c r="L64" s="480">
        <f>L27</f>
        <v>5.7</v>
      </c>
      <c r="M64" s="480">
        <f>M27</f>
        <v>6</v>
      </c>
    </row>
    <row r="65" spans="1:13" ht="15" customHeight="1">
      <c r="A65" s="1469" t="s">
        <v>879</v>
      </c>
      <c r="B65" s="481">
        <f>'Hilfstabellen_Mat&amp;Bem'!$D51</f>
        <v>2.5</v>
      </c>
      <c r="C65" s="468">
        <f ca="1">MAX(C28,C40,C52)</f>
        <v>200</v>
      </c>
      <c r="D65" s="468">
        <f t="shared" ref="D65:J65" ca="1" si="1">MAX(D28,D40,D52)</f>
        <v>200</v>
      </c>
      <c r="E65" s="468">
        <f t="shared" ca="1" si="1"/>
        <v>240</v>
      </c>
      <c r="F65" s="468">
        <f t="shared" ca="1" si="1"/>
        <v>240</v>
      </c>
      <c r="G65" s="468">
        <f t="shared" ca="1" si="1"/>
        <v>280</v>
      </c>
      <c r="H65" s="468">
        <f t="shared" ca="1" si="1"/>
        <v>320</v>
      </c>
      <c r="I65" s="468">
        <f t="shared" ca="1" si="1"/>
        <v>360</v>
      </c>
      <c r="J65" s="468">
        <f t="shared" ca="1" si="1"/>
        <v>440</v>
      </c>
      <c r="K65" s="468">
        <f t="shared" ref="K65:M72" ca="1" si="2">MAX(K28,K40,K52)</f>
        <v>480</v>
      </c>
      <c r="L65" s="468">
        <f t="shared" ca="1" si="2"/>
        <v>520</v>
      </c>
      <c r="M65" s="468">
        <f t="shared" ca="1" si="2"/>
        <v>560</v>
      </c>
    </row>
    <row r="66" spans="1:13" ht="15" customHeight="1">
      <c r="A66" s="1469"/>
      <c r="B66" s="481">
        <f>'Hilfstabellen_Mat&amp;Bem'!$D52</f>
        <v>2.65</v>
      </c>
      <c r="C66" s="468">
        <f t="shared" ref="C66:J66" ca="1" si="3">MAX(C29,C41,C53)</f>
        <v>200</v>
      </c>
      <c r="D66" s="468">
        <f t="shared" ca="1" si="3"/>
        <v>200</v>
      </c>
      <c r="E66" s="468">
        <f t="shared" ca="1" si="3"/>
        <v>240</v>
      </c>
      <c r="F66" s="468">
        <f t="shared" ca="1" si="3"/>
        <v>240</v>
      </c>
      <c r="G66" s="468">
        <f t="shared" ca="1" si="3"/>
        <v>280</v>
      </c>
      <c r="H66" s="468">
        <f t="shared" ca="1" si="3"/>
        <v>320</v>
      </c>
      <c r="I66" s="468">
        <f t="shared" ca="1" si="3"/>
        <v>400</v>
      </c>
      <c r="J66" s="468">
        <f t="shared" ca="1" si="3"/>
        <v>440</v>
      </c>
      <c r="K66" s="468">
        <f t="shared" ca="1" si="2"/>
        <v>480</v>
      </c>
      <c r="L66" s="468">
        <f t="shared" ca="1" si="2"/>
        <v>520</v>
      </c>
      <c r="M66" s="468">
        <f t="shared" ca="1" si="2"/>
        <v>560</v>
      </c>
    </row>
    <row r="67" spans="1:13" ht="15" customHeight="1">
      <c r="A67" s="1469"/>
      <c r="B67" s="481">
        <f>'Hilfstabellen_Mat&amp;Bem'!$D53</f>
        <v>2.85</v>
      </c>
      <c r="C67" s="468">
        <f t="shared" ref="C67:J67" ca="1" si="4">MAX(C30,C42,C54)</f>
        <v>200</v>
      </c>
      <c r="D67" s="468">
        <f t="shared" ca="1" si="4"/>
        <v>200</v>
      </c>
      <c r="E67" s="468">
        <f t="shared" ca="1" si="4"/>
        <v>240</v>
      </c>
      <c r="F67" s="468">
        <f t="shared" ca="1" si="4"/>
        <v>240</v>
      </c>
      <c r="G67" s="468">
        <f t="shared" ca="1" si="4"/>
        <v>280</v>
      </c>
      <c r="H67" s="468">
        <f t="shared" ca="1" si="4"/>
        <v>320</v>
      </c>
      <c r="I67" s="468">
        <f t="shared" ca="1" si="4"/>
        <v>400</v>
      </c>
      <c r="J67" s="468">
        <f t="shared" ca="1" si="4"/>
        <v>440</v>
      </c>
      <c r="K67" s="468">
        <f t="shared" ca="1" si="2"/>
        <v>480</v>
      </c>
      <c r="L67" s="468">
        <f t="shared" ca="1" si="2"/>
        <v>520</v>
      </c>
      <c r="M67" s="468">
        <f t="shared" ca="1" si="2"/>
        <v>560</v>
      </c>
    </row>
    <row r="68" spans="1:13" ht="15" customHeight="1">
      <c r="A68" s="1469"/>
      <c r="B68" s="481">
        <f>'Hilfstabellen_Mat&amp;Bem'!$D54</f>
        <v>3</v>
      </c>
      <c r="C68" s="468">
        <f t="shared" ref="C68:J68" ca="1" si="5">MAX(C31,C43,C55)</f>
        <v>200</v>
      </c>
      <c r="D68" s="468">
        <f t="shared" ca="1" si="5"/>
        <v>240</v>
      </c>
      <c r="E68" s="468">
        <f t="shared" ca="1" si="5"/>
        <v>240</v>
      </c>
      <c r="F68" s="468">
        <f t="shared" ca="1" si="5"/>
        <v>240</v>
      </c>
      <c r="G68" s="468">
        <f t="shared" ca="1" si="5"/>
        <v>280</v>
      </c>
      <c r="H68" s="468">
        <f t="shared" ca="1" si="5"/>
        <v>360</v>
      </c>
      <c r="I68" s="468">
        <f t="shared" ca="1" si="5"/>
        <v>400</v>
      </c>
      <c r="J68" s="468">
        <f t="shared" ca="1" si="5"/>
        <v>440</v>
      </c>
      <c r="K68" s="468">
        <f t="shared" ca="1" si="2"/>
        <v>480</v>
      </c>
      <c r="L68" s="468">
        <f t="shared" ca="1" si="2"/>
        <v>520</v>
      </c>
      <c r="M68" s="468">
        <f t="shared" ca="1" si="2"/>
        <v>560</v>
      </c>
    </row>
    <row r="69" spans="1:13" ht="15" customHeight="1">
      <c r="A69" s="1469"/>
      <c r="B69" s="481">
        <f>'Hilfstabellen_Mat&amp;Bem'!$D55</f>
        <v>3.5</v>
      </c>
      <c r="C69" s="468">
        <f t="shared" ref="C69:J69" ca="1" si="6">MAX(C32,C44,C56)</f>
        <v>240</v>
      </c>
      <c r="D69" s="468">
        <f t="shared" ca="1" si="6"/>
        <v>240</v>
      </c>
      <c r="E69" s="468">
        <f t="shared" ca="1" si="6"/>
        <v>240</v>
      </c>
      <c r="F69" s="468">
        <f t="shared" ca="1" si="6"/>
        <v>280</v>
      </c>
      <c r="G69" s="468">
        <f t="shared" ca="1" si="6"/>
        <v>320</v>
      </c>
      <c r="H69" s="468">
        <f t="shared" ca="1" si="6"/>
        <v>360</v>
      </c>
      <c r="I69" s="468">
        <f t="shared" ca="1" si="6"/>
        <v>400</v>
      </c>
      <c r="J69" s="468">
        <f t="shared" ca="1" si="6"/>
        <v>480</v>
      </c>
      <c r="K69" s="468">
        <f t="shared" ca="1" si="2"/>
        <v>520</v>
      </c>
      <c r="L69" s="468">
        <f t="shared" ca="1" si="2"/>
        <v>560</v>
      </c>
      <c r="M69" s="468">
        <f t="shared" ca="1" si="2"/>
        <v>600</v>
      </c>
    </row>
    <row r="70" spans="1:13" ht="15" customHeight="1">
      <c r="A70" s="1469"/>
      <c r="B70" s="481">
        <f>'Hilfstabellen_Mat&amp;Bem'!$D56</f>
        <v>4</v>
      </c>
      <c r="C70" s="468">
        <f t="shared" ref="C70:J70" ca="1" si="7">MAX(C33,C45,C57)</f>
        <v>240</v>
      </c>
      <c r="D70" s="468">
        <f t="shared" ca="1" si="7"/>
        <v>240</v>
      </c>
      <c r="E70" s="468">
        <f t="shared" ca="1" si="7"/>
        <v>280</v>
      </c>
      <c r="F70" s="468">
        <f t="shared" ca="1" si="7"/>
        <v>280</v>
      </c>
      <c r="G70" s="468">
        <f t="shared" ca="1" si="7"/>
        <v>320</v>
      </c>
      <c r="H70" s="468">
        <f t="shared" ca="1" si="7"/>
        <v>360</v>
      </c>
      <c r="I70" s="468">
        <f t="shared" ca="1" si="7"/>
        <v>440</v>
      </c>
      <c r="J70" s="468">
        <f t="shared" ca="1" si="7"/>
        <v>520</v>
      </c>
      <c r="K70" s="468">
        <f t="shared" ca="1" si="2"/>
        <v>560</v>
      </c>
      <c r="L70" s="468">
        <f t="shared" ca="1" si="2"/>
        <v>600</v>
      </c>
      <c r="M70" s="468">
        <f t="shared" ca="1" si="2"/>
        <v>640</v>
      </c>
    </row>
    <row r="71" spans="1:13" ht="15" customHeight="1">
      <c r="A71" s="1469"/>
      <c r="B71" s="481">
        <f>'Hilfstabellen_Mat&amp;Bem'!$D57</f>
        <v>4.5</v>
      </c>
      <c r="C71" s="468">
        <f t="shared" ref="C71:J71" ca="1" si="8">MAX(C34,C46,C58)</f>
        <v>240</v>
      </c>
      <c r="D71" s="468">
        <f t="shared" ca="1" si="8"/>
        <v>280</v>
      </c>
      <c r="E71" s="468">
        <f t="shared" ca="1" si="8"/>
        <v>280</v>
      </c>
      <c r="F71" s="468">
        <f t="shared" ca="1" si="8"/>
        <v>280</v>
      </c>
      <c r="G71" s="468">
        <f t="shared" ca="1" si="8"/>
        <v>360</v>
      </c>
      <c r="H71" s="468">
        <f t="shared" ca="1" si="8"/>
        <v>400</v>
      </c>
      <c r="I71" s="468">
        <f t="shared" ca="1" si="8"/>
        <v>480</v>
      </c>
      <c r="J71" s="468">
        <f t="shared" ca="1" si="8"/>
        <v>520</v>
      </c>
      <c r="K71" s="468">
        <f t="shared" ca="1" si="2"/>
        <v>560</v>
      </c>
      <c r="L71" s="468">
        <f t="shared" ca="1" si="2"/>
        <v>640</v>
      </c>
      <c r="M71" s="468">
        <f t="shared" ca="1" si="2"/>
        <v>680</v>
      </c>
    </row>
    <row r="72" spans="1:13" ht="15" customHeight="1">
      <c r="A72" s="1469"/>
      <c r="B72" s="481">
        <f>'Hilfstabellen_Mat&amp;Bem'!$D58</f>
        <v>5</v>
      </c>
      <c r="C72" s="468">
        <f t="shared" ref="C72:J72" ca="1" si="9">MAX(C35,C47,C59)</f>
        <v>280</v>
      </c>
      <c r="D72" s="468">
        <f t="shared" ca="1" si="9"/>
        <v>280</v>
      </c>
      <c r="E72" s="468">
        <f t="shared" ca="1" si="9"/>
        <v>320</v>
      </c>
      <c r="F72" s="468">
        <f t="shared" ca="1" si="9"/>
        <v>320</v>
      </c>
      <c r="G72" s="468">
        <f t="shared" ca="1" si="9"/>
        <v>360</v>
      </c>
      <c r="H72" s="468">
        <f t="shared" ca="1" si="9"/>
        <v>400</v>
      </c>
      <c r="I72" s="468">
        <f t="shared" ca="1" si="9"/>
        <v>480</v>
      </c>
      <c r="J72" s="468">
        <f t="shared" ca="1" si="9"/>
        <v>560</v>
      </c>
      <c r="K72" s="468">
        <f t="shared" ca="1" si="2"/>
        <v>600</v>
      </c>
      <c r="L72" s="468">
        <f t="shared" ca="1" si="2"/>
        <v>640</v>
      </c>
      <c r="M72" s="468">
        <f t="shared" ca="1" si="2"/>
        <v>720</v>
      </c>
    </row>
    <row r="73" spans="1:13" ht="15" customHeight="1">
      <c r="A73" s="1469"/>
      <c r="B73" s="481">
        <f>'Hilfstabellen_Mat&amp;Bem'!$D59</f>
        <v>5.3</v>
      </c>
      <c r="C73" s="468">
        <f t="shared" ref="C73:M73" ca="1" si="10">MAX(C36,C48,C60)</f>
        <v>280</v>
      </c>
      <c r="D73" s="468">
        <f t="shared" ca="1" si="10"/>
        <v>280</v>
      </c>
      <c r="E73" s="468">
        <f t="shared" ca="1" si="10"/>
        <v>320</v>
      </c>
      <c r="F73" s="468">
        <f t="shared" ca="1" si="10"/>
        <v>320</v>
      </c>
      <c r="G73" s="468">
        <f t="shared" ca="1" si="10"/>
        <v>360</v>
      </c>
      <c r="H73" s="468">
        <f t="shared" ca="1" si="10"/>
        <v>440</v>
      </c>
      <c r="I73" s="468">
        <f t="shared" ca="1" si="10"/>
        <v>480</v>
      </c>
      <c r="J73" s="468">
        <f t="shared" ca="1" si="10"/>
        <v>560</v>
      </c>
      <c r="K73" s="468">
        <f t="shared" ca="1" si="10"/>
        <v>600</v>
      </c>
      <c r="L73" s="468">
        <f t="shared" ca="1" si="10"/>
        <v>680</v>
      </c>
      <c r="M73" s="468">
        <f t="shared" ca="1" si="10"/>
        <v>720</v>
      </c>
    </row>
    <row r="74" spans="1:13" ht="15" customHeight="1">
      <c r="A74" s="1469"/>
      <c r="B74" s="481">
        <f>'Hilfstabellen_Mat&amp;Bem'!$D60</f>
        <v>5.7</v>
      </c>
      <c r="C74" s="468">
        <f t="shared" ref="C74:M74" ca="1" si="11">MAX(C37,C49,C61)</f>
        <v>280</v>
      </c>
      <c r="D74" s="468">
        <f t="shared" ca="1" si="11"/>
        <v>280</v>
      </c>
      <c r="E74" s="468">
        <f t="shared" ca="1" si="11"/>
        <v>320</v>
      </c>
      <c r="F74" s="468">
        <f t="shared" ca="1" si="11"/>
        <v>320</v>
      </c>
      <c r="G74" s="468">
        <f t="shared" ca="1" si="11"/>
        <v>400</v>
      </c>
      <c r="H74" s="468">
        <f t="shared" ca="1" si="11"/>
        <v>440</v>
      </c>
      <c r="I74" s="468">
        <f t="shared" ca="1" si="11"/>
        <v>480</v>
      </c>
      <c r="J74" s="468">
        <f t="shared" ca="1" si="11"/>
        <v>560</v>
      </c>
      <c r="K74" s="468">
        <f t="shared" ca="1" si="11"/>
        <v>600</v>
      </c>
      <c r="L74" s="468">
        <f t="shared" ca="1" si="11"/>
        <v>680</v>
      </c>
      <c r="M74" s="468">
        <f t="shared" ca="1" si="11"/>
        <v>720</v>
      </c>
    </row>
    <row r="75" spans="1:13" ht="15" customHeight="1">
      <c r="A75" s="1469"/>
      <c r="B75" s="481">
        <f>'Hilfstabellen_Mat&amp;Bem'!$D61</f>
        <v>6</v>
      </c>
      <c r="C75" s="468">
        <f t="shared" ref="C75:M75" ca="1" si="12">MAX(C38,C50,C62)</f>
        <v>280</v>
      </c>
      <c r="D75" s="468">
        <f t="shared" ca="1" si="12"/>
        <v>320</v>
      </c>
      <c r="E75" s="468">
        <f t="shared" ca="1" si="12"/>
        <v>320</v>
      </c>
      <c r="F75" s="468">
        <f t="shared" ca="1" si="12"/>
        <v>360</v>
      </c>
      <c r="G75" s="468">
        <f t="shared" ca="1" si="12"/>
        <v>400</v>
      </c>
      <c r="H75" s="468">
        <f t="shared" ca="1" si="12"/>
        <v>440</v>
      </c>
      <c r="I75" s="468">
        <f t="shared" ca="1" si="12"/>
        <v>520</v>
      </c>
      <c r="J75" s="468">
        <f t="shared" ca="1" si="12"/>
        <v>560</v>
      </c>
      <c r="K75" s="468">
        <f t="shared" ca="1" si="12"/>
        <v>600</v>
      </c>
      <c r="L75" s="468">
        <f t="shared" ca="1" si="12"/>
        <v>680</v>
      </c>
      <c r="M75" s="468">
        <f t="shared" ca="1" si="12"/>
        <v>720</v>
      </c>
    </row>
    <row r="77" spans="1:13" ht="15" customHeight="1">
      <c r="B77" s="466" t="s">
        <v>958</v>
      </c>
      <c r="D77" s="471">
        <f>l_DE</f>
        <v>2.85</v>
      </c>
      <c r="E77" s="466" t="s">
        <v>883</v>
      </c>
      <c r="F77" s="466" t="s">
        <v>960</v>
      </c>
    </row>
    <row r="78" spans="1:13" ht="15" customHeight="1">
      <c r="B78" s="466" t="s">
        <v>1001</v>
      </c>
      <c r="D78" s="567">
        <v>2.85</v>
      </c>
      <c r="E78" s="466" t="s">
        <v>883</v>
      </c>
    </row>
    <row r="79" spans="1:13" ht="15" customHeight="1" thickBot="1"/>
    <row r="80" spans="1:13" ht="7.5" customHeight="1" thickTop="1">
      <c r="B80" s="482"/>
      <c r="C80" s="483"/>
      <c r="D80" s="483"/>
      <c r="E80" s="483"/>
      <c r="F80" s="483"/>
      <c r="G80" s="483"/>
      <c r="H80" s="483"/>
      <c r="I80" s="484"/>
    </row>
    <row r="81" spans="1:76" ht="15" customHeight="1">
      <c r="B81" s="485"/>
      <c r="D81" s="475" t="s">
        <v>957</v>
      </c>
      <c r="E81" s="475" t="str">
        <f>Mat_UZ</f>
        <v>GL24h</v>
      </c>
      <c r="F81" s="486">
        <f>b_UZ</f>
        <v>240</v>
      </c>
      <c r="G81" s="476">
        <f ca="1">INDEX(B64:M72,MATCH(D14,B64:B72,0),MATCH(D78,B64:M64,0))</f>
        <v>240</v>
      </c>
      <c r="H81" s="466" t="s">
        <v>856</v>
      </c>
      <c r="I81" s="487"/>
    </row>
    <row r="82" spans="1:76" ht="7.5" customHeight="1" thickBot="1">
      <c r="B82" s="488"/>
      <c r="C82" s="489"/>
      <c r="D82" s="489"/>
      <c r="E82" s="489"/>
      <c r="F82" s="489"/>
      <c r="G82" s="489"/>
      <c r="H82" s="489"/>
      <c r="I82" s="490"/>
    </row>
    <row r="83" spans="1:76" ht="15" customHeight="1" thickTop="1">
      <c r="A83" s="474"/>
      <c r="B83" s="474"/>
      <c r="C83" s="474"/>
      <c r="D83" s="474"/>
      <c r="E83" s="474"/>
      <c r="F83" s="474"/>
      <c r="G83" s="474"/>
      <c r="H83" s="474"/>
      <c r="I83" s="474"/>
      <c r="J83" s="474"/>
      <c r="K83" s="474"/>
      <c r="L83" s="474"/>
      <c r="M83" s="474"/>
    </row>
    <row r="84" spans="1:76" ht="7.5" customHeight="1"/>
    <row r="85" spans="1:76" ht="15" customHeight="1">
      <c r="A85" s="491" t="s">
        <v>970</v>
      </c>
      <c r="B85" s="466" t="s">
        <v>993</v>
      </c>
    </row>
    <row r="86" spans="1:76" ht="15" customHeight="1">
      <c r="B86" s="466" t="s">
        <v>827</v>
      </c>
      <c r="D86" s="1459" t="str">
        <f>IF('Erweiterte Eingabe'!$C$25="","GL24h",'Erweiterte Eingabe'!$C$25)</f>
        <v>GL24h</v>
      </c>
      <c r="E86" s="1459"/>
      <c r="S86" s="491" t="s">
        <v>1501</v>
      </c>
    </row>
    <row r="87" spans="1:76" ht="15" customHeight="1">
      <c r="B87" s="466" t="s">
        <v>871</v>
      </c>
      <c r="D87" s="760">
        <f ca="1">'Hilfstabelle Gebäudeklasse'!$D$33</f>
        <v>60</v>
      </c>
      <c r="E87" s="466" t="s">
        <v>857</v>
      </c>
      <c r="S87" s="466" t="str">
        <f>VLOOKUP(Mat_ST,ALPHA_DEUT!$Y$114:$AA$192,3,FALSE)</f>
        <v>Nadel - Brettschichtholz</v>
      </c>
    </row>
    <row r="88" spans="1:76" ht="15" customHeight="1">
      <c r="B88" s="466" t="s">
        <v>999</v>
      </c>
      <c r="D88" s="468">
        <f>'Eingabe und Ergebnis'!B27</f>
        <v>5</v>
      </c>
    </row>
    <row r="89" spans="1:76" ht="7.5" customHeight="1" thickBot="1"/>
    <row r="90" spans="1:76" ht="15" customHeight="1">
      <c r="A90" s="1460" t="s">
        <v>965</v>
      </c>
      <c r="B90" s="1461"/>
      <c r="C90" s="1462" t="s">
        <v>882</v>
      </c>
      <c r="D90" s="1463"/>
      <c r="E90" s="1463"/>
      <c r="F90" s="1463"/>
      <c r="G90" s="1463"/>
      <c r="H90" s="1463"/>
      <c r="I90" s="1463"/>
      <c r="J90" s="1463"/>
      <c r="S90" s="491" t="s">
        <v>1502</v>
      </c>
      <c r="AU90" s="537"/>
      <c r="AV90" s="566" t="s">
        <v>961</v>
      </c>
      <c r="AW90" s="509"/>
      <c r="AX90" s="509"/>
      <c r="AY90" s="509"/>
      <c r="AZ90" s="509"/>
      <c r="BA90" s="509"/>
      <c r="BB90" s="509"/>
      <c r="BC90" s="509"/>
      <c r="BD90" s="509"/>
      <c r="BE90" s="509"/>
      <c r="BF90" s="509"/>
      <c r="BG90" s="509"/>
      <c r="BH90" s="509"/>
      <c r="BI90" s="509"/>
      <c r="BJ90" s="509"/>
      <c r="BK90" s="509"/>
      <c r="BL90" s="509"/>
      <c r="BM90" s="509"/>
      <c r="BN90" s="509"/>
      <c r="BO90" s="509"/>
      <c r="BP90" s="509"/>
      <c r="BQ90" s="509"/>
      <c r="BR90" s="509"/>
      <c r="BS90" s="509"/>
      <c r="BT90" s="509"/>
      <c r="BU90" s="509"/>
      <c r="BV90" s="509"/>
      <c r="BW90" s="509"/>
      <c r="BX90" s="511"/>
    </row>
    <row r="91" spans="1:76" ht="15" customHeight="1" thickBot="1">
      <c r="A91" s="478"/>
      <c r="B91" s="479" t="s">
        <v>966</v>
      </c>
      <c r="C91" s="480">
        <f>'Hilfstabellen_Mat&amp;Bem'!$G$51</f>
        <v>2.5</v>
      </c>
      <c r="D91" s="480">
        <f>'Hilfstabellen_Mat&amp;Bem'!$G$52</f>
        <v>2.65</v>
      </c>
      <c r="E91" s="480">
        <f>'Hilfstabellen_Mat&amp;Bem'!$G$53</f>
        <v>2.85</v>
      </c>
      <c r="F91" s="480">
        <f>'Hilfstabellen_Mat&amp;Bem'!$G$54</f>
        <v>3</v>
      </c>
      <c r="G91" s="480">
        <f>'Hilfstabellen_Mat&amp;Bem'!$G$55</f>
        <v>3.5</v>
      </c>
      <c r="H91" s="480">
        <f>'Hilfstabellen_Mat&amp;Bem'!$G$56</f>
        <v>4</v>
      </c>
      <c r="I91" s="480">
        <f>'Hilfstabellen_Mat&amp;Bem'!$G$57</f>
        <v>4.5</v>
      </c>
      <c r="J91" s="480">
        <f>'Hilfstabellen_Mat&amp;Bem'!$G$58</f>
        <v>5</v>
      </c>
      <c r="K91" s="480">
        <f>'Hilfstabellen_Mat&amp;Bem'!$G$59</f>
        <v>5.3</v>
      </c>
      <c r="L91" s="480">
        <f>'Hilfstabellen_Mat&amp;Bem'!$G$60</f>
        <v>5.7</v>
      </c>
      <c r="M91" s="480">
        <f>'Hilfstabellen_Mat&amp;Bem'!$G$61</f>
        <v>6</v>
      </c>
      <c r="S91" s="466" t="str">
        <f>IF(S23="Nadel - Schnittholz","Auswahl_b_ST_VH",IF(S23="Nadel - Brettschichtholz","Auswahl_b_ST_BSH",""))</f>
        <v>Auswahl_b_ST_BSH</v>
      </c>
      <c r="AU91" s="538"/>
      <c r="BX91" s="514"/>
    </row>
    <row r="92" spans="1:76" ht="15" customHeight="1">
      <c r="A92" s="1464" t="s">
        <v>876</v>
      </c>
      <c r="B92" s="481">
        <f>'Hilfstabellen_Mat&amp;Bem'!J51</f>
        <v>2.8</v>
      </c>
      <c r="C92" s="468">
        <f ca="1">ROUNDUP(('Hilfstabellen_Mat&amp;Bem'!Y121)/20,0)*20</f>
        <v>180</v>
      </c>
      <c r="D92" s="468">
        <f ca="1">ROUNDUP(('Hilfstabellen_Mat&amp;Bem'!Z121)/20,0)*20</f>
        <v>180</v>
      </c>
      <c r="E92" s="468">
        <f ca="1">ROUNDUP(('Hilfstabellen_Mat&amp;Bem'!AA121)/20,0)*20</f>
        <v>180</v>
      </c>
      <c r="F92" s="468">
        <f ca="1">ROUNDUP(('Hilfstabellen_Mat&amp;Bem'!AB121)/20,0)*20</f>
        <v>180</v>
      </c>
      <c r="G92" s="468">
        <f ca="1">ROUNDUP(('Hilfstabellen_Mat&amp;Bem'!AC121)/20,0)*20</f>
        <v>200</v>
      </c>
      <c r="H92" s="468">
        <f ca="1">ROUNDUP(('Hilfstabellen_Mat&amp;Bem'!AD121)/20,0)*20</f>
        <v>200</v>
      </c>
      <c r="I92" s="468">
        <f ca="1">ROUNDUP(('Hilfstabellen_Mat&amp;Bem'!AE121)/20,0)*20</f>
        <v>220</v>
      </c>
      <c r="J92" s="468">
        <f ca="1">ROUNDUP(('Hilfstabellen_Mat&amp;Bem'!AF121)/20,0)*20</f>
        <v>220</v>
      </c>
      <c r="K92" s="468">
        <f ca="1">ROUNDUP(('Hilfstabellen_Mat&amp;Bem'!AG121)/20,0)*20</f>
        <v>220</v>
      </c>
      <c r="L92" s="468">
        <f ca="1">ROUNDUP(('Hilfstabellen_Mat&amp;Bem'!AH121)/20,0)*20</f>
        <v>240</v>
      </c>
      <c r="M92" s="468">
        <f ca="1">ROUNDUP(('Hilfstabellen_Mat&amp;Bem'!AI121)/20,0)*20</f>
        <v>240</v>
      </c>
      <c r="AU92" s="538"/>
      <c r="AV92" s="466" t="s">
        <v>983</v>
      </c>
      <c r="BB92" s="1457">
        <v>200</v>
      </c>
      <c r="BC92" s="1457"/>
      <c r="BD92" s="466" t="s">
        <v>562</v>
      </c>
      <c r="BI92" s="465" t="s">
        <v>1000</v>
      </c>
      <c r="BX92" s="514"/>
    </row>
    <row r="93" spans="1:76" ht="15" customHeight="1">
      <c r="A93" s="1458"/>
      <c r="B93" s="481">
        <f>'Hilfstabellen_Mat&amp;Bem'!J52</f>
        <v>2.9</v>
      </c>
      <c r="C93" s="468">
        <f ca="1">ROUNDUP(('Hilfstabellen_Mat&amp;Bem'!Y122)/20,0)*20</f>
        <v>180</v>
      </c>
      <c r="D93" s="468">
        <f ca="1">ROUNDUP(('Hilfstabellen_Mat&amp;Bem'!Z122)/20,0)*20</f>
        <v>180</v>
      </c>
      <c r="E93" s="468">
        <f ca="1">ROUNDUP(('Hilfstabellen_Mat&amp;Bem'!AA122)/20,0)*20</f>
        <v>180</v>
      </c>
      <c r="F93" s="468">
        <f ca="1">ROUNDUP(('Hilfstabellen_Mat&amp;Bem'!AB122)/20,0)*20</f>
        <v>180</v>
      </c>
      <c r="G93" s="468">
        <f ca="1">ROUNDUP(('Hilfstabellen_Mat&amp;Bem'!AC122)/20,0)*20</f>
        <v>200</v>
      </c>
      <c r="H93" s="468">
        <f ca="1">ROUNDUP(('Hilfstabellen_Mat&amp;Bem'!AD122)/20,0)*20</f>
        <v>200</v>
      </c>
      <c r="I93" s="468">
        <f ca="1">ROUNDUP(('Hilfstabellen_Mat&amp;Bem'!AE122)/20,0)*20</f>
        <v>220</v>
      </c>
      <c r="J93" s="468">
        <f ca="1">ROUNDUP(('Hilfstabellen_Mat&amp;Bem'!AF122)/20,0)*20</f>
        <v>220</v>
      </c>
      <c r="K93" s="468">
        <f ca="1">ROUNDUP(('Hilfstabellen_Mat&amp;Bem'!AG122)/20,0)*20</f>
        <v>220</v>
      </c>
      <c r="L93" s="468">
        <f ca="1">ROUNDUP(('Hilfstabellen_Mat&amp;Bem'!AH122)/20,0)*20</f>
        <v>240</v>
      </c>
      <c r="M93" s="468">
        <f ca="1">ROUNDUP(('Hilfstabellen_Mat&amp;Bem'!AI122)/20,0)*20</f>
        <v>240</v>
      </c>
      <c r="S93" s="491" t="s">
        <v>1557</v>
      </c>
      <c r="AU93" s="538"/>
      <c r="BX93" s="514"/>
    </row>
    <row r="94" spans="1:76" ht="15" customHeight="1">
      <c r="A94" s="1458"/>
      <c r="B94" s="481">
        <f>'Hilfstabellen_Mat&amp;Bem'!J53</f>
        <v>3</v>
      </c>
      <c r="C94" s="468">
        <f ca="1">ROUNDUP(('Hilfstabellen_Mat&amp;Bem'!Y123)/20,0)*20</f>
        <v>180</v>
      </c>
      <c r="D94" s="468">
        <f ca="1">ROUNDUP(('Hilfstabellen_Mat&amp;Bem'!Z123)/20,0)*20</f>
        <v>180</v>
      </c>
      <c r="E94" s="468">
        <f ca="1">ROUNDUP(('Hilfstabellen_Mat&amp;Bem'!AA123)/20,0)*20</f>
        <v>180</v>
      </c>
      <c r="F94" s="468">
        <f ca="1">ROUNDUP(('Hilfstabellen_Mat&amp;Bem'!AB123)/20,0)*20</f>
        <v>180</v>
      </c>
      <c r="G94" s="468">
        <f ca="1">ROUNDUP(('Hilfstabellen_Mat&amp;Bem'!AC123)/20,0)*20</f>
        <v>200</v>
      </c>
      <c r="H94" s="468">
        <f ca="1">ROUNDUP(('Hilfstabellen_Mat&amp;Bem'!AD123)/20,0)*20</f>
        <v>200</v>
      </c>
      <c r="I94" s="468">
        <f ca="1">ROUNDUP(('Hilfstabellen_Mat&amp;Bem'!AE123)/20,0)*20</f>
        <v>220</v>
      </c>
      <c r="J94" s="468">
        <f ca="1">ROUNDUP(('Hilfstabellen_Mat&amp;Bem'!AF123)/20,0)*20</f>
        <v>220</v>
      </c>
      <c r="K94" s="468">
        <f ca="1">ROUNDUP(('Hilfstabellen_Mat&amp;Bem'!AG123)/20,0)*20</f>
        <v>240</v>
      </c>
      <c r="L94" s="468">
        <f ca="1">ROUNDUP(('Hilfstabellen_Mat&amp;Bem'!AH123)/20,0)*20</f>
        <v>240</v>
      </c>
      <c r="M94" s="468">
        <f ca="1">ROUNDUP(('Hilfstabellen_Mat&amp;Bem'!AI123)/20,0)*20</f>
        <v>240</v>
      </c>
      <c r="S94" s="1457">
        <f>IF(S87="Nadel - Brettschichtholz",40,20)</f>
        <v>40</v>
      </c>
      <c r="T94" s="1457"/>
      <c r="AU94" s="538"/>
      <c r="AW94" s="466" t="s">
        <v>864</v>
      </c>
      <c r="AX94" s="330"/>
      <c r="AZ94" s="1459">
        <f>'Hilfstabellen_Mat&amp;Bem'!$BC$28</f>
        <v>1.1499999999999999</v>
      </c>
      <c r="BA94" s="1459"/>
      <c r="BX94" s="514"/>
    </row>
    <row r="95" spans="1:76" ht="15" customHeight="1">
      <c r="A95" s="1458"/>
      <c r="B95" s="481">
        <f>'Hilfstabellen_Mat&amp;Bem'!J54</f>
        <v>3.1</v>
      </c>
      <c r="C95" s="468">
        <f ca="1">ROUNDUP(('Hilfstabellen_Mat&amp;Bem'!Y124)/20,0)*20</f>
        <v>180</v>
      </c>
      <c r="D95" s="468">
        <f ca="1">ROUNDUP(('Hilfstabellen_Mat&amp;Bem'!Z124)/20,0)*20</f>
        <v>180</v>
      </c>
      <c r="E95" s="468">
        <f ca="1">ROUNDUP(('Hilfstabellen_Mat&amp;Bem'!AA124)/20,0)*20</f>
        <v>180</v>
      </c>
      <c r="F95" s="468">
        <f ca="1">ROUNDUP(('Hilfstabellen_Mat&amp;Bem'!AB124)/20,0)*20</f>
        <v>180</v>
      </c>
      <c r="G95" s="468">
        <f ca="1">ROUNDUP(('Hilfstabellen_Mat&amp;Bem'!AC124)/20,0)*20</f>
        <v>200</v>
      </c>
      <c r="H95" s="468">
        <f ca="1">ROUNDUP(('Hilfstabellen_Mat&amp;Bem'!AD124)/20,0)*20</f>
        <v>200</v>
      </c>
      <c r="I95" s="468">
        <f ca="1">ROUNDUP(('Hilfstabellen_Mat&amp;Bem'!AE124)/20,0)*20</f>
        <v>220</v>
      </c>
      <c r="J95" s="468">
        <f ca="1">ROUNDUP(('Hilfstabellen_Mat&amp;Bem'!AF124)/20,0)*20</f>
        <v>220</v>
      </c>
      <c r="K95" s="468">
        <f ca="1">ROUNDUP(('Hilfstabellen_Mat&amp;Bem'!AG124)/20,0)*20</f>
        <v>240</v>
      </c>
      <c r="L95" s="468">
        <f ca="1">ROUNDUP(('Hilfstabellen_Mat&amp;Bem'!AH124)/20,0)*20</f>
        <v>240</v>
      </c>
      <c r="M95" s="468">
        <f ca="1">ROUNDUP(('Hilfstabellen_Mat&amp;Bem'!AI124)/20,0)*20</f>
        <v>240</v>
      </c>
      <c r="AU95" s="538"/>
      <c r="BX95" s="514"/>
    </row>
    <row r="96" spans="1:76" ht="15" customHeight="1">
      <c r="A96" s="1458"/>
      <c r="B96" s="481">
        <f>'Hilfstabellen_Mat&amp;Bem'!J55</f>
        <v>3.2</v>
      </c>
      <c r="C96" s="468">
        <f ca="1">ROUNDUP(('Hilfstabellen_Mat&amp;Bem'!Y125)/20,0)*20</f>
        <v>180</v>
      </c>
      <c r="D96" s="468">
        <f ca="1">ROUNDUP(('Hilfstabellen_Mat&amp;Bem'!Z125)/20,0)*20</f>
        <v>180</v>
      </c>
      <c r="E96" s="468">
        <f ca="1">ROUNDUP(('Hilfstabellen_Mat&amp;Bem'!AA125)/20,0)*20</f>
        <v>180</v>
      </c>
      <c r="F96" s="468">
        <f ca="1">ROUNDUP(('Hilfstabellen_Mat&amp;Bem'!AB125)/20,0)*20</f>
        <v>180</v>
      </c>
      <c r="G96" s="468">
        <f ca="1">ROUNDUP(('Hilfstabellen_Mat&amp;Bem'!AC125)/20,0)*20</f>
        <v>200</v>
      </c>
      <c r="H96" s="468">
        <f ca="1">ROUNDUP(('Hilfstabellen_Mat&amp;Bem'!AD125)/20,0)*20</f>
        <v>200</v>
      </c>
      <c r="I96" s="468">
        <f ca="1">ROUNDUP(('Hilfstabellen_Mat&amp;Bem'!AE125)/20,0)*20</f>
        <v>220</v>
      </c>
      <c r="J96" s="468">
        <f ca="1">ROUNDUP(('Hilfstabellen_Mat&amp;Bem'!AF125)/20,0)*20</f>
        <v>220</v>
      </c>
      <c r="K96" s="468">
        <f ca="1">ROUNDUP(('Hilfstabellen_Mat&amp;Bem'!AG125)/20,0)*20</f>
        <v>240</v>
      </c>
      <c r="L96" s="468">
        <f ca="1">ROUNDUP(('Hilfstabellen_Mat&amp;Bem'!AH125)/20,0)*20</f>
        <v>240</v>
      </c>
      <c r="M96" s="468">
        <f ca="1">ROUNDUP(('Hilfstabellen_Mat&amp;Bem'!AI125)/20,0)*20</f>
        <v>240</v>
      </c>
      <c r="S96" s="491" t="s">
        <v>1558</v>
      </c>
      <c r="AU96" s="538"/>
      <c r="AV96" s="466" t="s">
        <v>848</v>
      </c>
      <c r="BD96" s="1468" t="s">
        <v>850</v>
      </c>
      <c r="BE96" s="1468"/>
      <c r="BF96" s="1468"/>
      <c r="BG96" s="1468"/>
      <c r="BH96" s="1468"/>
      <c r="BI96" s="466" t="s">
        <v>853</v>
      </c>
      <c r="BX96" s="514"/>
    </row>
    <row r="97" spans="1:76" ht="16.5" customHeight="1">
      <c r="S97" s="1457" t="str">
        <f>IF(S87="Nadel - Schnittholz",280,"")</f>
        <v/>
      </c>
      <c r="T97" s="1457"/>
      <c r="AU97" s="538"/>
      <c r="BX97" s="514"/>
    </row>
    <row r="98" spans="1:76" ht="15" customHeight="1">
      <c r="A98" s="1458" t="s">
        <v>877</v>
      </c>
      <c r="B98" s="481">
        <f>B92</f>
        <v>2.8</v>
      </c>
      <c r="C98" s="468">
        <f ca="1">ROUNDUP((IF(brand_ST="",'Hilfstabellen_Mat&amp;Bem'!Y137,('Hilfstabellen_Mat&amp;Bem'!Y137+2*d_char_ST)))/20,0)*20</f>
        <v>220</v>
      </c>
      <c r="D98" s="468">
        <f ca="1">ROUNDUP(('Hilfstabellen_Mat&amp;Bem'!Z137+2*d_char_ST)/20,0)*20</f>
        <v>220</v>
      </c>
      <c r="E98" s="468">
        <f ca="1">ROUNDUP(('Hilfstabellen_Mat&amp;Bem'!AA137+2*d_char_ST)/20,0)*20</f>
        <v>220</v>
      </c>
      <c r="F98" s="468">
        <f ca="1">ROUNDUP(('Hilfstabellen_Mat&amp;Bem'!AB137+2*d_char_ST)/20,0)*20</f>
        <v>220</v>
      </c>
      <c r="G98" s="468">
        <f ca="1">ROUNDUP(('Hilfstabellen_Mat&amp;Bem'!AC137+2*d_char_ST)/20,0)*20</f>
        <v>220</v>
      </c>
      <c r="H98" s="468">
        <f ca="1">ROUNDUP(('Hilfstabellen_Mat&amp;Bem'!AD137+2*d_char_ST)/20,0)*20</f>
        <v>240</v>
      </c>
      <c r="I98" s="468">
        <f ca="1">ROUNDUP(('Hilfstabellen_Mat&amp;Bem'!AE137+2*d_char_ST)/20,0)*20</f>
        <v>240</v>
      </c>
      <c r="J98" s="468">
        <f ca="1">ROUNDUP(('Hilfstabellen_Mat&amp;Bem'!AF137+2*d_char_ST)/20,0)*20</f>
        <v>240</v>
      </c>
      <c r="K98" s="468">
        <f ca="1">ROUNDUP(('Hilfstabellen_Mat&amp;Bem'!AG137+2*d_char_ST)/20,0)*20</f>
        <v>240</v>
      </c>
      <c r="L98" s="468">
        <f ca="1">ROUNDUP(('Hilfstabellen_Mat&amp;Bem'!AH137+2*d_char_ST)/20,0)*20</f>
        <v>240</v>
      </c>
      <c r="M98" s="468">
        <f ca="1">ROUNDUP(('Hilfstabellen_Mat&amp;Bem'!AI137+2*d_char_ST)/20,0)*20</f>
        <v>260</v>
      </c>
      <c r="AU98" s="538"/>
      <c r="AX98" s="330"/>
      <c r="AY98" s="330"/>
      <c r="AZ98" s="330"/>
      <c r="BC98" s="330"/>
      <c r="BQ98" s="466" t="s">
        <v>851</v>
      </c>
      <c r="BR98" s="465"/>
      <c r="BS98" s="465" t="s">
        <v>852</v>
      </c>
      <c r="BT98" s="1459">
        <f>IF(BD96="eindimensionalen",'Hilfstabellen_Mat&amp;Bem'!$BD$27,'Hilfstabellen_Mat&amp;Bem'!$BD$26)</f>
        <v>0.7</v>
      </c>
      <c r="BU98" s="1459"/>
      <c r="BV98" s="466" t="s">
        <v>855</v>
      </c>
      <c r="BX98" s="514"/>
    </row>
    <row r="99" spans="1:76" ht="15" customHeight="1">
      <c r="A99" s="1458"/>
      <c r="B99" s="481">
        <f>B93</f>
        <v>2.9</v>
      </c>
      <c r="C99" s="468">
        <f ca="1">ROUNDUP(('Hilfstabellen_Mat&amp;Bem'!Y138+2*d_char_ST)/20,0)*20</f>
        <v>220</v>
      </c>
      <c r="D99" s="468">
        <f ca="1">ROUNDUP(('Hilfstabellen_Mat&amp;Bem'!Z138+2*d_char_ST)/20,0)*20</f>
        <v>220</v>
      </c>
      <c r="E99" s="468">
        <f ca="1">ROUNDUP(('Hilfstabellen_Mat&amp;Bem'!AA138+2*d_char_ST)/20,0)*20</f>
        <v>220</v>
      </c>
      <c r="F99" s="468">
        <f ca="1">ROUNDUP(('Hilfstabellen_Mat&amp;Bem'!AB138+2*d_char_ST)/20,0)*20</f>
        <v>220</v>
      </c>
      <c r="G99" s="468">
        <f ca="1">ROUNDUP(('Hilfstabellen_Mat&amp;Bem'!AC138+2*d_char_ST)/20,0)*20</f>
        <v>240</v>
      </c>
      <c r="H99" s="468">
        <f ca="1">ROUNDUP(('Hilfstabellen_Mat&amp;Bem'!AD138+2*d_char_ST)/20,0)*20</f>
        <v>240</v>
      </c>
      <c r="I99" s="468">
        <f ca="1">ROUNDUP(('Hilfstabellen_Mat&amp;Bem'!AE138+2*d_char_ST)/20,0)*20</f>
        <v>240</v>
      </c>
      <c r="J99" s="468">
        <f ca="1">ROUNDUP(('Hilfstabellen_Mat&amp;Bem'!AF138+2*d_char_ST)/20,0)*20</f>
        <v>240</v>
      </c>
      <c r="K99" s="468">
        <f ca="1">ROUNDUP(('Hilfstabellen_Mat&amp;Bem'!AG138+2*d_char_ST)/20,0)*20</f>
        <v>240</v>
      </c>
      <c r="L99" s="468">
        <f ca="1">ROUNDUP(('Hilfstabellen_Mat&amp;Bem'!AH138+2*d_char_ST)/20,0)*20</f>
        <v>260</v>
      </c>
      <c r="M99" s="468">
        <f ca="1">ROUNDUP(('Hilfstabellen_Mat&amp;Bem'!AI138+2*d_char_ST)/20,0)*20</f>
        <v>260</v>
      </c>
      <c r="AU99" s="538"/>
      <c r="AV99" s="466" t="s">
        <v>854</v>
      </c>
      <c r="BQ99" s="466" t="s">
        <v>851</v>
      </c>
      <c r="BR99" s="465"/>
      <c r="BS99" s="465" t="s">
        <v>852</v>
      </c>
      <c r="BT99" s="1465">
        <f ca="1">IF(brand_ST=0,0,brand_ST*BT98+7)</f>
        <v>49</v>
      </c>
      <c r="BU99" s="1465"/>
      <c r="BV99" s="466" t="s">
        <v>856</v>
      </c>
      <c r="BX99" s="514"/>
    </row>
    <row r="100" spans="1:76" ht="15" customHeight="1">
      <c r="A100" s="1458"/>
      <c r="B100" s="481">
        <f>B94</f>
        <v>3</v>
      </c>
      <c r="C100" s="468">
        <f ca="1">ROUNDUP(('Hilfstabellen_Mat&amp;Bem'!Y139+2*d_char_ST)/20,0)*20</f>
        <v>220</v>
      </c>
      <c r="D100" s="468">
        <f ca="1">ROUNDUP(('Hilfstabellen_Mat&amp;Bem'!Z139+2*d_char_ST)/20,0)*20</f>
        <v>220</v>
      </c>
      <c r="E100" s="468">
        <f ca="1">ROUNDUP(('Hilfstabellen_Mat&amp;Bem'!AA139+2*d_char_ST)/20,0)*20</f>
        <v>220</v>
      </c>
      <c r="F100" s="468">
        <f ca="1">ROUNDUP(('Hilfstabellen_Mat&amp;Bem'!AB139+2*d_char_ST)/20,0)*20</f>
        <v>220</v>
      </c>
      <c r="G100" s="468">
        <f ca="1">ROUNDUP(('Hilfstabellen_Mat&amp;Bem'!AC139+2*d_char_ST)/20,0)*20</f>
        <v>240</v>
      </c>
      <c r="H100" s="468">
        <f ca="1">ROUNDUP(('Hilfstabellen_Mat&amp;Bem'!AD139+2*d_char_ST)/20,0)*20</f>
        <v>240</v>
      </c>
      <c r="I100" s="468">
        <f ca="1">ROUNDUP(('Hilfstabellen_Mat&amp;Bem'!AE139+2*d_char_ST)/20,0)*20</f>
        <v>240</v>
      </c>
      <c r="J100" s="468">
        <f ca="1">ROUNDUP(('Hilfstabellen_Mat&amp;Bem'!AF139+2*d_char_ST)/20,0)*20</f>
        <v>240</v>
      </c>
      <c r="K100" s="468">
        <f ca="1">ROUNDUP(('Hilfstabellen_Mat&amp;Bem'!AG139+2*d_char_ST)/20,0)*20</f>
        <v>240</v>
      </c>
      <c r="L100" s="468">
        <f ca="1">ROUNDUP(('Hilfstabellen_Mat&amp;Bem'!AH139+2*d_char_ST)/20,0)*20</f>
        <v>260</v>
      </c>
      <c r="M100" s="468">
        <f ca="1">ROUNDUP(('Hilfstabellen_Mat&amp;Bem'!AI139+2*d_char_ST)/20,0)*20</f>
        <v>260</v>
      </c>
      <c r="AU100" s="538"/>
      <c r="AW100" s="466" t="s">
        <v>865</v>
      </c>
      <c r="AZ100" s="1457">
        <f ca="1">b_ST-2*(d_char_ST+BT98)</f>
        <v>100.6</v>
      </c>
      <c r="BA100" s="1457"/>
      <c r="BN100" s="564" t="s">
        <v>885</v>
      </c>
      <c r="BX100" s="514"/>
    </row>
    <row r="101" spans="1:76" ht="15" customHeight="1">
      <c r="A101" s="1458"/>
      <c r="B101" s="481">
        <f>B95</f>
        <v>3.1</v>
      </c>
      <c r="C101" s="468">
        <f ca="1">ROUNDUP(('Hilfstabellen_Mat&amp;Bem'!Y140+2*d_char_ST)/20,0)*20</f>
        <v>220</v>
      </c>
      <c r="D101" s="468">
        <f ca="1">ROUNDUP(('Hilfstabellen_Mat&amp;Bem'!Z140+2*d_char_ST)/20,0)*20</f>
        <v>220</v>
      </c>
      <c r="E101" s="468">
        <f ca="1">ROUNDUP(('Hilfstabellen_Mat&amp;Bem'!AA140+2*d_char_ST)/20,0)*20</f>
        <v>220</v>
      </c>
      <c r="F101" s="468">
        <f ca="1">ROUNDUP(('Hilfstabellen_Mat&amp;Bem'!AB140+2*d_char_ST)/20,0)*20</f>
        <v>240</v>
      </c>
      <c r="G101" s="468">
        <f ca="1">ROUNDUP(('Hilfstabellen_Mat&amp;Bem'!AC140+2*d_char_ST)/20,0)*20</f>
        <v>240</v>
      </c>
      <c r="H101" s="468">
        <f ca="1">ROUNDUP(('Hilfstabellen_Mat&amp;Bem'!AD140+2*d_char_ST)/20,0)*20</f>
        <v>240</v>
      </c>
      <c r="I101" s="468">
        <f ca="1">ROUNDUP(('Hilfstabellen_Mat&amp;Bem'!AE140+2*d_char_ST)/20,0)*20</f>
        <v>240</v>
      </c>
      <c r="J101" s="468">
        <f ca="1">ROUNDUP(('Hilfstabellen_Mat&amp;Bem'!AF140+2*d_char_ST)/20,0)*20</f>
        <v>240</v>
      </c>
      <c r="K101" s="468">
        <f ca="1">ROUNDUP(('Hilfstabellen_Mat&amp;Bem'!AG140+2*d_char_ST)/20,0)*20</f>
        <v>260</v>
      </c>
      <c r="L101" s="468">
        <f ca="1">ROUNDUP(('Hilfstabellen_Mat&amp;Bem'!AH140+2*d_char_ST)/20,0)*20</f>
        <v>260</v>
      </c>
      <c r="M101" s="468">
        <f ca="1">ROUNDUP(('Hilfstabellen_Mat&amp;Bem'!AI140+2*d_char_ST)/20,0)*20</f>
        <v>260</v>
      </c>
      <c r="AU101" s="538"/>
      <c r="BX101" s="514"/>
    </row>
    <row r="102" spans="1:76" ht="15" customHeight="1" thickBot="1">
      <c r="A102" s="1458"/>
      <c r="B102" s="481">
        <f>B96</f>
        <v>3.2</v>
      </c>
      <c r="C102" s="468">
        <f ca="1">ROUNDUP(('Hilfstabellen_Mat&amp;Bem'!Y141+2*d_char_ST)/20,0)*20</f>
        <v>220</v>
      </c>
      <c r="D102" s="468">
        <f ca="1">ROUNDUP(('Hilfstabellen_Mat&amp;Bem'!Z141+2*d_char_ST)/20,0)*20</f>
        <v>220</v>
      </c>
      <c r="E102" s="468">
        <f ca="1">ROUNDUP(('Hilfstabellen_Mat&amp;Bem'!AA141+2*d_char_ST)/20,0)*20</f>
        <v>240</v>
      </c>
      <c r="F102" s="468">
        <f ca="1">ROUNDUP(('Hilfstabellen_Mat&amp;Bem'!AB141+2*d_char_ST)/20,0)*20</f>
        <v>240</v>
      </c>
      <c r="G102" s="468">
        <f ca="1">ROUNDUP(('Hilfstabellen_Mat&amp;Bem'!AC141+2*d_char_ST)/20,0)*20</f>
        <v>240</v>
      </c>
      <c r="H102" s="468">
        <f ca="1">ROUNDUP(('Hilfstabellen_Mat&amp;Bem'!AD141+2*d_char_ST)/20,0)*20</f>
        <v>240</v>
      </c>
      <c r="I102" s="468">
        <f ca="1">ROUNDUP(('Hilfstabellen_Mat&amp;Bem'!AE141+2*d_char_ST)/20,0)*20</f>
        <v>240</v>
      </c>
      <c r="J102" s="468">
        <f ca="1">ROUNDUP(('Hilfstabellen_Mat&amp;Bem'!AF141+2*d_char_ST)/20,0)*20</f>
        <v>260</v>
      </c>
      <c r="K102" s="468">
        <f ca="1">ROUNDUP(('Hilfstabellen_Mat&amp;Bem'!AG141+2*d_char_ST)/20,0)*20</f>
        <v>260</v>
      </c>
      <c r="L102" s="468">
        <f ca="1">ROUNDUP(('Hilfstabellen_Mat&amp;Bem'!AH141+2*d_char_ST)/20,0)*20</f>
        <v>260</v>
      </c>
      <c r="M102" s="468">
        <f ca="1">ROUNDUP(('Hilfstabellen_Mat&amp;Bem'!AI141+2*d_char_ST)/20,0)*20</f>
        <v>260</v>
      </c>
      <c r="AU102" s="565"/>
      <c r="AV102" s="478"/>
      <c r="AW102" s="478"/>
      <c r="AX102" s="478"/>
      <c r="AY102" s="478"/>
      <c r="AZ102" s="478"/>
      <c r="BA102" s="478"/>
      <c r="BB102" s="478"/>
      <c r="BC102" s="478"/>
      <c r="BD102" s="478"/>
      <c r="BE102" s="478"/>
      <c r="BF102" s="478"/>
      <c r="BG102" s="478"/>
      <c r="BH102" s="478"/>
      <c r="BI102" s="478"/>
      <c r="BJ102" s="478"/>
      <c r="BK102" s="478"/>
      <c r="BL102" s="478"/>
      <c r="BM102" s="478"/>
      <c r="BN102" s="478"/>
      <c r="BO102" s="478"/>
      <c r="BP102" s="478"/>
      <c r="BQ102" s="478"/>
      <c r="BR102" s="478"/>
      <c r="BS102" s="478"/>
      <c r="BT102" s="478"/>
      <c r="BU102" s="478"/>
      <c r="BV102" s="478"/>
      <c r="BW102" s="478"/>
      <c r="BX102" s="526"/>
    </row>
    <row r="104" spans="1:76" ht="15" customHeight="1" thickBot="1">
      <c r="A104" s="478"/>
      <c r="B104" s="479" t="s">
        <v>966</v>
      </c>
      <c r="C104" s="480">
        <f>'Hilfstabellen_Mat&amp;Bem'!$G$51</f>
        <v>2.5</v>
      </c>
      <c r="D104" s="480">
        <f>'Hilfstabellen_Mat&amp;Bem'!$G$52</f>
        <v>2.65</v>
      </c>
      <c r="E104" s="480">
        <f>'Hilfstabellen_Mat&amp;Bem'!$G$53</f>
        <v>2.85</v>
      </c>
      <c r="F104" s="480">
        <f>'Hilfstabellen_Mat&amp;Bem'!$G$54</f>
        <v>3</v>
      </c>
      <c r="G104" s="480">
        <f>'Hilfstabellen_Mat&amp;Bem'!$G$55</f>
        <v>3.5</v>
      </c>
      <c r="H104" s="480">
        <f>'Hilfstabellen_Mat&amp;Bem'!$G$56</f>
        <v>4</v>
      </c>
      <c r="I104" s="480">
        <f>'Hilfstabellen_Mat&amp;Bem'!$G$57</f>
        <v>4.5</v>
      </c>
      <c r="J104" s="480">
        <f>'Hilfstabellen_Mat&amp;Bem'!$G$58</f>
        <v>5</v>
      </c>
      <c r="K104" s="480">
        <f>'Hilfstabellen_Mat&amp;Bem'!$G$59</f>
        <v>5.3</v>
      </c>
      <c r="L104" s="480">
        <f>'Hilfstabellen_Mat&amp;Bem'!$G$60</f>
        <v>5.7</v>
      </c>
      <c r="M104" s="480">
        <f>'Hilfstabellen_Mat&amp;Bem'!$G$61</f>
        <v>6</v>
      </c>
    </row>
    <row r="105" spans="1:76" ht="15" customHeight="1">
      <c r="A105" s="1469" t="s">
        <v>992</v>
      </c>
      <c r="B105" s="481">
        <f>B92</f>
        <v>2.8</v>
      </c>
      <c r="C105" s="468">
        <f t="shared" ref="C105:M105" ca="1" si="13">MAX(C92,C98)</f>
        <v>220</v>
      </c>
      <c r="D105" s="468">
        <f t="shared" ca="1" si="13"/>
        <v>220</v>
      </c>
      <c r="E105" s="468">
        <f t="shared" ca="1" si="13"/>
        <v>220</v>
      </c>
      <c r="F105" s="468">
        <f t="shared" ca="1" si="13"/>
        <v>220</v>
      </c>
      <c r="G105" s="468">
        <f t="shared" ca="1" si="13"/>
        <v>220</v>
      </c>
      <c r="H105" s="468">
        <f t="shared" ca="1" si="13"/>
        <v>240</v>
      </c>
      <c r="I105" s="468">
        <f t="shared" ca="1" si="13"/>
        <v>240</v>
      </c>
      <c r="J105" s="468">
        <f t="shared" ca="1" si="13"/>
        <v>240</v>
      </c>
      <c r="K105" s="468">
        <f t="shared" ca="1" si="13"/>
        <v>240</v>
      </c>
      <c r="L105" s="468">
        <f t="shared" ca="1" si="13"/>
        <v>240</v>
      </c>
      <c r="M105" s="468">
        <f t="shared" ca="1" si="13"/>
        <v>260</v>
      </c>
    </row>
    <row r="106" spans="1:76" ht="15" customHeight="1">
      <c r="A106" s="1469"/>
      <c r="B106" s="481">
        <f>B93</f>
        <v>2.9</v>
      </c>
      <c r="C106" s="468">
        <f t="shared" ref="C106:M106" ca="1" si="14">MAX(C93,C99)</f>
        <v>220</v>
      </c>
      <c r="D106" s="468">
        <f t="shared" ca="1" si="14"/>
        <v>220</v>
      </c>
      <c r="E106" s="468">
        <f t="shared" ca="1" si="14"/>
        <v>220</v>
      </c>
      <c r="F106" s="468">
        <f t="shared" ca="1" si="14"/>
        <v>220</v>
      </c>
      <c r="G106" s="468">
        <f t="shared" ca="1" si="14"/>
        <v>240</v>
      </c>
      <c r="H106" s="468">
        <f t="shared" ca="1" si="14"/>
        <v>240</v>
      </c>
      <c r="I106" s="468">
        <f t="shared" ca="1" si="14"/>
        <v>240</v>
      </c>
      <c r="J106" s="468">
        <f t="shared" ca="1" si="14"/>
        <v>240</v>
      </c>
      <c r="K106" s="468">
        <f t="shared" ca="1" si="14"/>
        <v>240</v>
      </c>
      <c r="L106" s="468">
        <f t="shared" ca="1" si="14"/>
        <v>260</v>
      </c>
      <c r="M106" s="468">
        <f t="shared" ca="1" si="14"/>
        <v>260</v>
      </c>
    </row>
    <row r="107" spans="1:76" ht="15" customHeight="1">
      <c r="A107" s="1469"/>
      <c r="B107" s="481">
        <f>B94</f>
        <v>3</v>
      </c>
      <c r="C107" s="468">
        <f t="shared" ref="C107:M107" ca="1" si="15">MAX(C94,C100)</f>
        <v>220</v>
      </c>
      <c r="D107" s="468">
        <f t="shared" ca="1" si="15"/>
        <v>220</v>
      </c>
      <c r="E107" s="468">
        <f t="shared" ca="1" si="15"/>
        <v>220</v>
      </c>
      <c r="F107" s="468">
        <f t="shared" ca="1" si="15"/>
        <v>220</v>
      </c>
      <c r="G107" s="468">
        <f t="shared" ca="1" si="15"/>
        <v>240</v>
      </c>
      <c r="H107" s="468">
        <f t="shared" ca="1" si="15"/>
        <v>240</v>
      </c>
      <c r="I107" s="468">
        <f t="shared" ca="1" si="15"/>
        <v>240</v>
      </c>
      <c r="J107" s="468">
        <f t="shared" ca="1" si="15"/>
        <v>240</v>
      </c>
      <c r="K107" s="468">
        <f t="shared" ca="1" si="15"/>
        <v>240</v>
      </c>
      <c r="L107" s="468">
        <f t="shared" ca="1" si="15"/>
        <v>260</v>
      </c>
      <c r="M107" s="468">
        <f t="shared" ca="1" si="15"/>
        <v>260</v>
      </c>
    </row>
    <row r="108" spans="1:76" ht="15" customHeight="1">
      <c r="A108" s="1469"/>
      <c r="B108" s="481">
        <f>B95</f>
        <v>3.1</v>
      </c>
      <c r="C108" s="468">
        <f t="shared" ref="C108:M108" ca="1" si="16">MAX(C95,C101)</f>
        <v>220</v>
      </c>
      <c r="D108" s="468">
        <f t="shared" ca="1" si="16"/>
        <v>220</v>
      </c>
      <c r="E108" s="468">
        <f t="shared" ca="1" si="16"/>
        <v>220</v>
      </c>
      <c r="F108" s="468">
        <f t="shared" ca="1" si="16"/>
        <v>240</v>
      </c>
      <c r="G108" s="468">
        <f t="shared" ca="1" si="16"/>
        <v>240</v>
      </c>
      <c r="H108" s="468">
        <f t="shared" ca="1" si="16"/>
        <v>240</v>
      </c>
      <c r="I108" s="468">
        <f t="shared" ca="1" si="16"/>
        <v>240</v>
      </c>
      <c r="J108" s="468">
        <f t="shared" ca="1" si="16"/>
        <v>240</v>
      </c>
      <c r="K108" s="468">
        <f t="shared" ca="1" si="16"/>
        <v>260</v>
      </c>
      <c r="L108" s="468">
        <f t="shared" ca="1" si="16"/>
        <v>260</v>
      </c>
      <c r="M108" s="468">
        <f t="shared" ca="1" si="16"/>
        <v>260</v>
      </c>
    </row>
    <row r="109" spans="1:76" ht="15" customHeight="1">
      <c r="A109" s="1469"/>
      <c r="B109" s="481">
        <f>B96</f>
        <v>3.2</v>
      </c>
      <c r="C109" s="468">
        <f t="shared" ref="C109:M109" ca="1" si="17">MAX(C96,C102)</f>
        <v>220</v>
      </c>
      <c r="D109" s="468">
        <f t="shared" ca="1" si="17"/>
        <v>220</v>
      </c>
      <c r="E109" s="468">
        <f t="shared" ca="1" si="17"/>
        <v>240</v>
      </c>
      <c r="F109" s="468">
        <f t="shared" ca="1" si="17"/>
        <v>240</v>
      </c>
      <c r="G109" s="468">
        <f t="shared" ca="1" si="17"/>
        <v>240</v>
      </c>
      <c r="H109" s="468">
        <f t="shared" ca="1" si="17"/>
        <v>240</v>
      </c>
      <c r="I109" s="468">
        <f t="shared" ca="1" si="17"/>
        <v>240</v>
      </c>
      <c r="J109" s="468">
        <f t="shared" ca="1" si="17"/>
        <v>260</v>
      </c>
      <c r="K109" s="468">
        <f t="shared" ca="1" si="17"/>
        <v>260</v>
      </c>
      <c r="L109" s="468">
        <f t="shared" ca="1" si="17"/>
        <v>260</v>
      </c>
      <c r="M109" s="468">
        <f t="shared" ca="1" si="17"/>
        <v>260</v>
      </c>
    </row>
    <row r="111" spans="1:76" ht="15" customHeight="1">
      <c r="B111" s="466" t="s">
        <v>958</v>
      </c>
      <c r="D111" s="471">
        <f>l_DE</f>
        <v>2.85</v>
      </c>
      <c r="E111" s="466" t="s">
        <v>883</v>
      </c>
      <c r="F111" s="466" t="s">
        <v>960</v>
      </c>
    </row>
    <row r="112" spans="1:76" ht="15" customHeight="1">
      <c r="B112" s="466" t="s">
        <v>1001</v>
      </c>
      <c r="D112" s="471">
        <f>l_UZ</f>
        <v>2.85</v>
      </c>
      <c r="E112" s="466" t="s">
        <v>883</v>
      </c>
      <c r="F112" s="466" t="s">
        <v>960</v>
      </c>
    </row>
    <row r="113" spans="2:9" ht="15" customHeight="1">
      <c r="B113" s="466" t="s">
        <v>1002</v>
      </c>
      <c r="D113" s="567">
        <v>3.2</v>
      </c>
      <c r="E113" s="466" t="s">
        <v>883</v>
      </c>
    </row>
    <row r="114" spans="2:9" ht="15" customHeight="1" thickBot="1"/>
    <row r="115" spans="2:9" ht="7.5" customHeight="1" thickTop="1">
      <c r="B115" s="482"/>
      <c r="C115" s="483"/>
      <c r="D115" s="483"/>
      <c r="E115" s="483"/>
      <c r="F115" s="483"/>
      <c r="G115" s="483"/>
      <c r="H115" s="483"/>
      <c r="I115" s="484"/>
    </row>
    <row r="116" spans="2:9" ht="15" customHeight="1">
      <c r="B116" s="485"/>
      <c r="D116" s="475" t="s">
        <v>994</v>
      </c>
      <c r="E116" s="475" t="str">
        <f>Mat_ST</f>
        <v>GL24h</v>
      </c>
      <c r="F116" s="486">
        <f ca="1">G116</f>
        <v>240</v>
      </c>
      <c r="G116" s="476">
        <f ca="1">INDEX(B104:M109,MATCH(l_ST,B104:B109,0),MATCH(D112,B104:M104,0))</f>
        <v>240</v>
      </c>
      <c r="H116" s="466" t="s">
        <v>856</v>
      </c>
      <c r="I116" s="487"/>
    </row>
    <row r="117" spans="2:9" ht="7.5" customHeight="1" thickBot="1">
      <c r="B117" s="488"/>
      <c r="C117" s="489"/>
      <c r="D117" s="489"/>
      <c r="E117" s="489"/>
      <c r="F117" s="489"/>
      <c r="G117" s="489"/>
      <c r="H117" s="489"/>
      <c r="I117" s="490"/>
    </row>
    <row r="118" spans="2:9" ht="15" customHeight="1" thickTop="1"/>
  </sheetData>
  <sheetProtection algorithmName="SHA-512" hashValue="OMr8JNlYadp7ytrFiTFfWVhTMYy88cMSEVLewbubQOfrZh0E6bsoj3Tu547/gzMpTFQCHIF/SfGAEWilWUTsbg==" saltValue="DPB0xfaEacybt0/9xGlqiw==" spinCount="100000" sheet="1" objects="1" scenarios="1"/>
  <mergeCells count="47">
    <mergeCell ref="A105:A109"/>
    <mergeCell ref="AZ94:BA94"/>
    <mergeCell ref="BD96:BH96"/>
    <mergeCell ref="BT98:BU98"/>
    <mergeCell ref="BT99:BU99"/>
    <mergeCell ref="AZ100:BA100"/>
    <mergeCell ref="S94:T94"/>
    <mergeCell ref="S97:T97"/>
    <mergeCell ref="A40:A50"/>
    <mergeCell ref="A52:A62"/>
    <mergeCell ref="A65:A75"/>
    <mergeCell ref="AC5:AD5"/>
    <mergeCell ref="AC3:AD3"/>
    <mergeCell ref="AC4:AD4"/>
    <mergeCell ref="AC9:AD9"/>
    <mergeCell ref="AC10:AD10"/>
    <mergeCell ref="AC8:AD8"/>
    <mergeCell ref="AC7:AD7"/>
    <mergeCell ref="AZ33:BA33"/>
    <mergeCell ref="A7:B7"/>
    <mergeCell ref="C7:J7"/>
    <mergeCell ref="BD29:BH29"/>
    <mergeCell ref="AJ9:AK9"/>
    <mergeCell ref="AJ10:AK10"/>
    <mergeCell ref="D22:E22"/>
    <mergeCell ref="BF12:BG12"/>
    <mergeCell ref="S30:T30"/>
    <mergeCell ref="S33:T33"/>
    <mergeCell ref="A28:A38"/>
    <mergeCell ref="A26:B26"/>
    <mergeCell ref="C26:J26"/>
    <mergeCell ref="BS31:BT31"/>
    <mergeCell ref="BS32:BT32"/>
    <mergeCell ref="BF11:BG11"/>
    <mergeCell ref="AY14:AZ14"/>
    <mergeCell ref="BQ11:BU11"/>
    <mergeCell ref="BQ12:BR12"/>
    <mergeCell ref="BS19:BT19"/>
    <mergeCell ref="BS21:BT21"/>
    <mergeCell ref="BF22:BH22"/>
    <mergeCell ref="BD17:BJ17"/>
    <mergeCell ref="BB92:BC92"/>
    <mergeCell ref="A98:A102"/>
    <mergeCell ref="D86:E86"/>
    <mergeCell ref="A90:B90"/>
    <mergeCell ref="C90:J90"/>
    <mergeCell ref="A92:A96"/>
  </mergeCells>
  <conditionalFormatting sqref="B9:B12 B15">
    <cfRule type="colorScale" priority="14">
      <colorScale>
        <cfvo type="min"/>
        <cfvo type="max"/>
        <color rgb="FFFCFCFF"/>
        <color rgb="FF63BE7B"/>
      </colorScale>
    </cfRule>
  </conditionalFormatting>
  <conditionalFormatting sqref="B9:B12">
    <cfRule type="colorScale" priority="12">
      <colorScale>
        <cfvo type="min"/>
        <cfvo type="max"/>
        <color rgb="FF63BE7B"/>
        <color rgb="FFFCFCFF"/>
      </colorScale>
    </cfRule>
  </conditionalFormatting>
  <conditionalFormatting sqref="B28:B38">
    <cfRule type="colorScale" priority="18">
      <colorScale>
        <cfvo type="min"/>
        <cfvo type="max"/>
        <color rgb="FFFCFCFF"/>
        <color rgb="FF63BE7B"/>
      </colorScale>
    </cfRule>
  </conditionalFormatting>
  <conditionalFormatting sqref="B40:B50">
    <cfRule type="colorScale" priority="21">
      <colorScale>
        <cfvo type="min"/>
        <cfvo type="max"/>
        <color rgb="FFFCFCFF"/>
        <color rgb="FF63BE7B"/>
      </colorScale>
    </cfRule>
  </conditionalFormatting>
  <conditionalFormatting sqref="B52:B62">
    <cfRule type="colorScale" priority="20">
      <colorScale>
        <cfvo type="min"/>
        <cfvo type="max"/>
        <color rgb="FFFCFCFF"/>
        <color rgb="FF63BE7B"/>
      </colorScale>
    </cfRule>
  </conditionalFormatting>
  <conditionalFormatting sqref="B65:B75">
    <cfRule type="colorScale" priority="19">
      <colorScale>
        <cfvo type="min"/>
        <cfvo type="max"/>
        <color rgb="FFFCFCFF"/>
        <color rgb="FF63BE7B"/>
      </colorScale>
    </cfRule>
  </conditionalFormatting>
  <conditionalFormatting sqref="B92:B96">
    <cfRule type="colorScale" priority="400">
      <colorScale>
        <cfvo type="min"/>
        <cfvo type="max"/>
        <color rgb="FFFCFCFF"/>
        <color rgb="FF63BE7B"/>
      </colorScale>
    </cfRule>
  </conditionalFormatting>
  <conditionalFormatting sqref="B98:B102">
    <cfRule type="colorScale" priority="402">
      <colorScale>
        <cfvo type="min"/>
        <cfvo type="max"/>
        <color rgb="FFFCFCFF"/>
        <color rgb="FF63BE7B"/>
      </colorScale>
    </cfRule>
  </conditionalFormatting>
  <conditionalFormatting sqref="B105:B109">
    <cfRule type="colorScale" priority="4">
      <colorScale>
        <cfvo type="min"/>
        <cfvo type="max"/>
        <color rgb="FFFCFCFF"/>
        <color rgb="FF63BE7B"/>
      </colorScale>
    </cfRule>
  </conditionalFormatting>
  <conditionalFormatting sqref="C8:M8">
    <cfRule type="colorScale" priority="16">
      <colorScale>
        <cfvo type="min"/>
        <cfvo type="max"/>
        <color rgb="FFFCFCFF"/>
        <color rgb="FF63BE7B"/>
      </colorScale>
    </cfRule>
  </conditionalFormatting>
  <conditionalFormatting sqref="C9:M12">
    <cfRule type="colorScale" priority="10">
      <colorScale>
        <cfvo type="min"/>
        <cfvo type="max"/>
        <color rgb="FFFCFCFF"/>
        <color rgb="FF63BE7B"/>
      </colorScale>
    </cfRule>
  </conditionalFormatting>
  <conditionalFormatting sqref="C27:M27">
    <cfRule type="colorScale" priority="23">
      <colorScale>
        <cfvo type="min"/>
        <cfvo type="max"/>
        <color rgb="FFFCFCFF"/>
        <color rgb="FF63BE7B"/>
      </colorScale>
    </cfRule>
  </conditionalFormatting>
  <conditionalFormatting sqref="C28:M38">
    <cfRule type="colorScale" priority="24">
      <colorScale>
        <cfvo type="min"/>
        <cfvo type="max"/>
        <color rgb="FFFCFCFF"/>
        <color rgb="FF63BE7B"/>
      </colorScale>
    </cfRule>
  </conditionalFormatting>
  <conditionalFormatting sqref="C40:M50">
    <cfRule type="colorScale" priority="25">
      <colorScale>
        <cfvo type="min"/>
        <cfvo type="max"/>
        <color rgb="FFFCFCFF"/>
        <color rgb="FF63BE7B"/>
      </colorScale>
    </cfRule>
  </conditionalFormatting>
  <conditionalFormatting sqref="C52:M62">
    <cfRule type="colorScale" priority="26">
      <colorScale>
        <cfvo type="min"/>
        <cfvo type="max"/>
        <color rgb="FFFCFCFF"/>
        <color rgb="FF63BE7B"/>
      </colorScale>
    </cfRule>
  </conditionalFormatting>
  <conditionalFormatting sqref="C64:M64">
    <cfRule type="colorScale" priority="17">
      <colorScale>
        <cfvo type="min"/>
        <cfvo type="max"/>
        <color rgb="FFFCFCFF"/>
        <color rgb="FF63BE7B"/>
      </colorScale>
    </cfRule>
  </conditionalFormatting>
  <conditionalFormatting sqref="C65:M75">
    <cfRule type="colorScale" priority="27">
      <colorScale>
        <cfvo type="min"/>
        <cfvo type="max"/>
        <color rgb="FFFCFCFF"/>
        <color rgb="FF63BE7B"/>
      </colorScale>
    </cfRule>
  </conditionalFormatting>
  <conditionalFormatting sqref="C91:M91">
    <cfRule type="colorScale" priority="7">
      <colorScale>
        <cfvo type="min"/>
        <cfvo type="max"/>
        <color rgb="FFFCFCFF"/>
        <color rgb="FF63BE7B"/>
      </colorScale>
    </cfRule>
  </conditionalFormatting>
  <conditionalFormatting sqref="C92:M96">
    <cfRule type="colorScale" priority="399">
      <colorScale>
        <cfvo type="min"/>
        <cfvo type="max"/>
        <color rgb="FFFCFCFF"/>
        <color rgb="FF63BE7B"/>
      </colorScale>
    </cfRule>
  </conditionalFormatting>
  <conditionalFormatting sqref="C98:M102">
    <cfRule type="colorScale" priority="401">
      <colorScale>
        <cfvo type="min"/>
        <cfvo type="max"/>
        <color rgb="FFFCFCFF"/>
        <color rgb="FF63BE7B"/>
      </colorScale>
    </cfRule>
  </conditionalFormatting>
  <conditionalFormatting sqref="C104:M104">
    <cfRule type="colorScale" priority="2">
      <colorScale>
        <cfvo type="min"/>
        <cfvo type="max"/>
        <color rgb="FFFCFCFF"/>
        <color rgb="FF63BE7B"/>
      </colorScale>
    </cfRule>
  </conditionalFormatting>
  <conditionalFormatting sqref="C105:M109">
    <cfRule type="colorScale" priority="3">
      <colorScale>
        <cfvo type="min"/>
        <cfvo type="max"/>
        <color rgb="FFFCFCFF"/>
        <color rgb="FF63BE7B"/>
      </colorScale>
    </cfRule>
  </conditionalFormatting>
  <conditionalFormatting sqref="D4 D14 I22 D22:D23 D78 D86:D88 D113">
    <cfRule type="cellIs" dxfId="0" priority="1" operator="equal">
      <formula>""</formula>
    </cfRule>
  </conditionalFormatting>
  <conditionalFormatting sqref="J19">
    <cfRule type="colorScale" priority="398">
      <colorScale>
        <cfvo type="min"/>
        <cfvo type="max"/>
        <color rgb="FFFCFCFF"/>
        <color rgb="FF63BE7B"/>
      </colorScale>
    </cfRule>
  </conditionalFormatting>
  <dataValidations count="9">
    <dataValidation type="list" allowBlank="1" showInputMessage="1" showErrorMessage="1" sqref="BB92 BQ18" xr:uid="{00000000-0002-0000-1100-000000000000}">
      <formula1>QS_Breite_VH</formula1>
    </dataValidation>
    <dataValidation type="list" allowBlank="1" showInputMessage="1" showErrorMessage="1" sqref="D14 D77 D111" xr:uid="{00000000-0002-0000-1100-000001000000}">
      <formula1>Spannweite_Decken</formula1>
    </dataValidation>
    <dataValidation type="list" allowBlank="1" showInputMessage="1" showErrorMessage="1" sqref="D78 D112" xr:uid="{00000000-0002-0000-1100-000002000000}">
      <formula1>Spannweite_Unterzüge</formula1>
    </dataValidation>
    <dataValidation type="list" allowBlank="1" showInputMessage="1" showErrorMessage="1" sqref="AC9 AE9:AF9" xr:uid="{00000000-0002-0000-1100-000003000000}">
      <formula1>k_mod_List</formula1>
    </dataValidation>
    <dataValidation type="list" allowBlank="1" showInputMessage="1" showErrorMessage="1" sqref="BD29:BH29 BD17 BD96:BH96" xr:uid="{00000000-0002-0000-1100-000004000000}">
      <formula1>Abbrandart</formula1>
    </dataValidation>
    <dataValidation type="list" allowBlank="1" showInputMessage="1" showErrorMessage="1" sqref="D113" xr:uid="{00000000-0002-0000-1100-000005000000}">
      <formula1>h_Stützen</formula1>
    </dataValidation>
    <dataValidation type="list" allowBlank="1" showInputMessage="1" showErrorMessage="1" sqref="I22" xr:uid="{00000000-0002-0000-1100-000006000000}">
      <formula1>INDIRECT($S$27)</formula1>
    </dataValidation>
    <dataValidation type="list" allowBlank="1" showInputMessage="1" showErrorMessage="1" sqref="D22:E22" xr:uid="{00000000-0002-0000-1100-000007000000}">
      <formula1>Mat_Auswahl_UZ</formula1>
    </dataValidation>
    <dataValidation type="list" allowBlank="1" showInputMessage="1" showErrorMessage="1" sqref="D86:E86" xr:uid="{00000000-0002-0000-1100-000008000000}">
      <formula1>Mat_Auswahl_ST</formula1>
    </dataValidation>
  </dataValidations>
  <pageMargins left="0.82677165354330717" right="0.39370078740157483" top="1.2204724409448819" bottom="0.39370078740157483" header="0.47244094488188981" footer="0.31496062992125984"/>
  <pageSetup paperSize="9" scale="51" orientation="portrait" horizontalDpi="300" r:id="rId1"/>
  <headerFooter scaleWithDoc="0">
    <oddHeader>&amp;L&amp;G&amp;C&amp;"Univers LT 45 Light,Standard"     BBSR
                         Rasterbemessung&amp;R&amp;"Univers LT 45 Light,Standard" 517.1204
             tri/&amp;D</oddHeader>
    <firstHeader>&amp;L&amp;G&amp;C&amp;"Univers LT 45 Light,Standard"     Projekt&amp;R&amp;"Univers LT 45 Light,Standard" 515.xxxx
             xxx/&amp;D</firstHeader>
  </headerFooter>
  <legacyDrawingHF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1100-000009000000}">
          <x14:formula1>
            <xm:f>ALPHA_DEUT!$AL$199:$BS$199</xm:f>
          </x14:formula1>
          <xm:sqref>BQ11:BU11</xm:sqref>
        </x14:dataValidation>
      </x14:dataValidation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Tabelle17">
    <tabColor rgb="FFFF9999"/>
  </sheetPr>
  <dimension ref="A7:BU42"/>
  <sheetViews>
    <sheetView zoomScaleNormal="100" workbookViewId="0">
      <selection activeCell="AU17" sqref="AU17"/>
    </sheetView>
  </sheetViews>
  <sheetFormatPr baseColWidth="10" defaultRowHeight="15"/>
  <cols>
    <col min="1" max="1" width="50.6640625" bestFit="1" customWidth="1"/>
    <col min="2" max="2" width="8.5" bestFit="1" customWidth="1"/>
    <col min="3" max="6" width="5.5" bestFit="1" customWidth="1"/>
    <col min="7" max="8" width="5.6640625" bestFit="1" customWidth="1"/>
    <col min="9" max="53" width="5.5" bestFit="1" customWidth="1"/>
    <col min="54" max="71" width="5.6640625" bestFit="1" customWidth="1"/>
  </cols>
  <sheetData>
    <row r="7" spans="1:73">
      <c r="A7" t="s">
        <v>1825</v>
      </c>
      <c r="D7" s="659">
        <v>360</v>
      </c>
      <c r="E7" t="s">
        <v>856</v>
      </c>
    </row>
    <row r="9" spans="1:73">
      <c r="A9" t="s">
        <v>1826</v>
      </c>
      <c r="B9" s="928">
        <f>Datenbank!C24</f>
        <v>2.65</v>
      </c>
      <c r="C9" s="928">
        <f>Datenbank!D24</f>
        <v>2.85</v>
      </c>
      <c r="D9" s="928">
        <f>Datenbank!E24</f>
        <v>3</v>
      </c>
      <c r="E9" s="928">
        <f>Datenbank!F24</f>
        <v>3.5</v>
      </c>
      <c r="F9" s="928">
        <f>Datenbank!G24</f>
        <v>4</v>
      </c>
      <c r="G9" s="928">
        <f>Datenbank!H24</f>
        <v>4.5</v>
      </c>
      <c r="H9" s="928">
        <f>Datenbank!I24</f>
        <v>5</v>
      </c>
      <c r="I9" s="933">
        <f>Datenbank!J24</f>
        <v>2.65</v>
      </c>
      <c r="J9" s="928">
        <f>Datenbank!K24</f>
        <v>2.65</v>
      </c>
      <c r="K9" s="928">
        <f>Datenbank!L24</f>
        <v>2.65</v>
      </c>
      <c r="L9" s="928">
        <f>Datenbank!M24</f>
        <v>2.65</v>
      </c>
      <c r="M9" s="928">
        <f>Datenbank!N24</f>
        <v>2.65</v>
      </c>
      <c r="N9" s="928">
        <f>Datenbank!O24</f>
        <v>2.65</v>
      </c>
      <c r="O9" s="928">
        <f>Datenbank!P24</f>
        <v>2.65</v>
      </c>
      <c r="P9" s="928">
        <f>Datenbank!Q24</f>
        <v>2.65</v>
      </c>
      <c r="Q9" s="928">
        <f>Datenbank!R24</f>
        <v>2.65</v>
      </c>
      <c r="R9" s="933">
        <f>Datenbank!S24</f>
        <v>2.85</v>
      </c>
      <c r="S9" s="928">
        <f>Datenbank!T24</f>
        <v>2.85</v>
      </c>
      <c r="T9" s="928">
        <f>Datenbank!U24</f>
        <v>2.85</v>
      </c>
      <c r="U9" s="928">
        <f>Datenbank!V24</f>
        <v>2.85</v>
      </c>
      <c r="V9" s="928">
        <f>Datenbank!W24</f>
        <v>2.85</v>
      </c>
      <c r="W9" s="928">
        <f>Datenbank!X24</f>
        <v>2.85</v>
      </c>
      <c r="X9" s="928">
        <f>Datenbank!Y24</f>
        <v>2.85</v>
      </c>
      <c r="Y9" s="928">
        <f>Datenbank!Z24</f>
        <v>2.85</v>
      </c>
      <c r="Z9" s="928">
        <f>Datenbank!AA24</f>
        <v>2.85</v>
      </c>
      <c r="AA9" s="933">
        <f>Datenbank!AB24</f>
        <v>3</v>
      </c>
      <c r="AB9" s="928">
        <f>Datenbank!AC24</f>
        <v>3</v>
      </c>
      <c r="AC9" s="928">
        <f>Datenbank!AD24</f>
        <v>3</v>
      </c>
      <c r="AD9" s="928">
        <f>Datenbank!AE24</f>
        <v>3</v>
      </c>
      <c r="AE9" s="928">
        <f>Datenbank!AF24</f>
        <v>3</v>
      </c>
      <c r="AF9" s="928">
        <f>Datenbank!AG24</f>
        <v>3</v>
      </c>
      <c r="AG9" s="928">
        <f>Datenbank!AH24</f>
        <v>3</v>
      </c>
      <c r="AH9" s="928">
        <f>Datenbank!AI24</f>
        <v>3</v>
      </c>
      <c r="AI9" s="928">
        <f>Datenbank!AJ24</f>
        <v>3</v>
      </c>
      <c r="AJ9" s="933">
        <f>Datenbank!AK24</f>
        <v>3.5</v>
      </c>
      <c r="AK9" s="928">
        <f>Datenbank!AL24</f>
        <v>3.5</v>
      </c>
      <c r="AL9" s="928">
        <f>Datenbank!AM24</f>
        <v>3.5</v>
      </c>
      <c r="AM9" s="928">
        <f>Datenbank!AN24</f>
        <v>3.5</v>
      </c>
      <c r="AN9" s="928">
        <f>Datenbank!AO24</f>
        <v>3.5</v>
      </c>
      <c r="AO9" s="928">
        <f>Datenbank!AP24</f>
        <v>3.5</v>
      </c>
      <c r="AP9" s="928">
        <f>Datenbank!AQ24</f>
        <v>3.5</v>
      </c>
      <c r="AQ9" s="928">
        <f>Datenbank!AR24</f>
        <v>3.5</v>
      </c>
      <c r="AR9" s="928">
        <f>Datenbank!AS24</f>
        <v>3.5</v>
      </c>
      <c r="AS9" s="933">
        <f>Datenbank!AT24</f>
        <v>4</v>
      </c>
      <c r="AT9" s="928">
        <f>Datenbank!AU24</f>
        <v>4</v>
      </c>
      <c r="AU9" s="928">
        <f>Datenbank!AV24</f>
        <v>4</v>
      </c>
      <c r="AV9" s="928">
        <f>Datenbank!AW24</f>
        <v>4</v>
      </c>
      <c r="AW9" s="928">
        <f>Datenbank!AX24</f>
        <v>4</v>
      </c>
      <c r="AX9" s="928">
        <f>Datenbank!AY24</f>
        <v>4</v>
      </c>
      <c r="AY9" s="928">
        <f>Datenbank!AZ24</f>
        <v>4</v>
      </c>
      <c r="AZ9" s="928">
        <f>Datenbank!BA24</f>
        <v>4</v>
      </c>
      <c r="BA9" s="928">
        <f>Datenbank!BB24</f>
        <v>4</v>
      </c>
      <c r="BB9" s="933">
        <f>Datenbank!BC24</f>
        <v>4.5</v>
      </c>
      <c r="BC9" s="928">
        <f>Datenbank!BD24</f>
        <v>4.5</v>
      </c>
      <c r="BD9" s="928">
        <f>Datenbank!BE24</f>
        <v>4.5</v>
      </c>
      <c r="BE9" s="928">
        <f>Datenbank!BF24</f>
        <v>4.5</v>
      </c>
      <c r="BF9" s="928">
        <f>Datenbank!BG24</f>
        <v>4.5</v>
      </c>
      <c r="BG9" s="928">
        <f>Datenbank!BH24</f>
        <v>4.5</v>
      </c>
      <c r="BH9" s="928">
        <f>Datenbank!BI24</f>
        <v>4.5</v>
      </c>
      <c r="BI9" s="928">
        <f>Datenbank!BJ24</f>
        <v>4.5</v>
      </c>
      <c r="BJ9" s="928">
        <f>Datenbank!BK24</f>
        <v>4.5</v>
      </c>
      <c r="BK9" s="933">
        <f>Datenbank!BL24</f>
        <v>5</v>
      </c>
      <c r="BL9" s="928">
        <f>Datenbank!BM24</f>
        <v>5</v>
      </c>
      <c r="BM9" s="928">
        <f>Datenbank!BN24</f>
        <v>5</v>
      </c>
      <c r="BN9" s="928">
        <f>Datenbank!BO24</f>
        <v>5</v>
      </c>
      <c r="BO9" s="928">
        <f>Datenbank!BP24</f>
        <v>5</v>
      </c>
      <c r="BP9" s="928">
        <f>Datenbank!BQ24</f>
        <v>5</v>
      </c>
      <c r="BQ9" s="928">
        <f>Datenbank!BR24</f>
        <v>5</v>
      </c>
      <c r="BR9" s="928">
        <f>Datenbank!BS24</f>
        <v>5</v>
      </c>
      <c r="BS9" s="928">
        <f>Datenbank!BT24</f>
        <v>5</v>
      </c>
      <c r="BT9" s="928"/>
      <c r="BU9" s="928"/>
    </row>
    <row r="10" spans="1:73" ht="17">
      <c r="A10" t="s">
        <v>1827</v>
      </c>
      <c r="B10" s="928">
        <f ca="1">g_k_265*B9/2</f>
        <v>4.9024999999999999</v>
      </c>
      <c r="C10" s="928">
        <f ca="1">g_k_285*C9/2</f>
        <v>5.2725000000000009</v>
      </c>
      <c r="D10" s="928">
        <f ca="1">g_k_300*D9/2</f>
        <v>5.5500000000000007</v>
      </c>
      <c r="E10" s="928">
        <f ca="1">g_k_350*E9/2</f>
        <v>6.6499999999999995</v>
      </c>
      <c r="F10" s="928">
        <f ca="1">g_k_400*F9/2</f>
        <v>7.8000000000000007</v>
      </c>
      <c r="G10" s="928">
        <f ca="1">g_k_450*G9/2</f>
        <v>9</v>
      </c>
      <c r="H10" s="928">
        <f ca="1">g_k_500*H9/2</f>
        <v>10.5</v>
      </c>
      <c r="I10" s="933">
        <f t="shared" ref="I10:Q10" ca="1" si="0">g_k_265*I9/2</f>
        <v>4.9024999999999999</v>
      </c>
      <c r="J10" s="928">
        <f t="shared" ca="1" si="0"/>
        <v>4.9024999999999999</v>
      </c>
      <c r="K10" s="928">
        <f t="shared" ca="1" si="0"/>
        <v>4.9024999999999999</v>
      </c>
      <c r="L10" s="928">
        <f t="shared" ca="1" si="0"/>
        <v>4.9024999999999999</v>
      </c>
      <c r="M10" s="928">
        <f t="shared" ca="1" si="0"/>
        <v>4.9024999999999999</v>
      </c>
      <c r="N10" s="928">
        <f t="shared" ca="1" si="0"/>
        <v>4.9024999999999999</v>
      </c>
      <c r="O10" s="928">
        <f t="shared" ca="1" si="0"/>
        <v>4.9024999999999999</v>
      </c>
      <c r="P10" s="928">
        <f t="shared" ca="1" si="0"/>
        <v>4.9024999999999999</v>
      </c>
      <c r="Q10" s="928">
        <f t="shared" ca="1" si="0"/>
        <v>4.9024999999999999</v>
      </c>
      <c r="R10" s="933">
        <f t="shared" ref="R10:Z10" ca="1" si="1">g_k_285*R9/2</f>
        <v>5.2725000000000009</v>
      </c>
      <c r="S10" s="928">
        <f t="shared" ca="1" si="1"/>
        <v>5.2725000000000009</v>
      </c>
      <c r="T10" s="928">
        <f t="shared" ca="1" si="1"/>
        <v>5.2725000000000009</v>
      </c>
      <c r="U10" s="928">
        <f t="shared" ca="1" si="1"/>
        <v>5.2725000000000009</v>
      </c>
      <c r="V10" s="928">
        <f t="shared" ca="1" si="1"/>
        <v>5.2725000000000009</v>
      </c>
      <c r="W10" s="928">
        <f t="shared" ca="1" si="1"/>
        <v>5.2725000000000009</v>
      </c>
      <c r="X10" s="928">
        <f t="shared" ca="1" si="1"/>
        <v>5.2725000000000009</v>
      </c>
      <c r="Y10" s="928">
        <f t="shared" ca="1" si="1"/>
        <v>5.2725000000000009</v>
      </c>
      <c r="Z10" s="928">
        <f t="shared" ca="1" si="1"/>
        <v>5.2725000000000009</v>
      </c>
      <c r="AA10" s="933">
        <f t="shared" ref="AA10:AI10" ca="1" si="2">g_k_300*AA9/2</f>
        <v>5.5500000000000007</v>
      </c>
      <c r="AB10" s="928">
        <f t="shared" ca="1" si="2"/>
        <v>5.5500000000000007</v>
      </c>
      <c r="AC10" s="928">
        <f t="shared" ca="1" si="2"/>
        <v>5.5500000000000007</v>
      </c>
      <c r="AD10" s="928">
        <f t="shared" ca="1" si="2"/>
        <v>5.5500000000000007</v>
      </c>
      <c r="AE10" s="928">
        <f t="shared" ca="1" si="2"/>
        <v>5.5500000000000007</v>
      </c>
      <c r="AF10" s="928">
        <f t="shared" ca="1" si="2"/>
        <v>5.5500000000000007</v>
      </c>
      <c r="AG10" s="928">
        <f t="shared" ca="1" si="2"/>
        <v>5.5500000000000007</v>
      </c>
      <c r="AH10" s="928">
        <f t="shared" ca="1" si="2"/>
        <v>5.5500000000000007</v>
      </c>
      <c r="AI10" s="928">
        <f t="shared" ca="1" si="2"/>
        <v>5.5500000000000007</v>
      </c>
      <c r="AJ10" s="933">
        <f t="shared" ref="AJ10:AR10" ca="1" si="3">g_k_350*AJ9/2</f>
        <v>6.6499999999999995</v>
      </c>
      <c r="AK10" s="928">
        <f t="shared" ca="1" si="3"/>
        <v>6.6499999999999995</v>
      </c>
      <c r="AL10" s="928">
        <f t="shared" ca="1" si="3"/>
        <v>6.6499999999999995</v>
      </c>
      <c r="AM10" s="928">
        <f t="shared" ca="1" si="3"/>
        <v>6.6499999999999995</v>
      </c>
      <c r="AN10" s="928">
        <f t="shared" ca="1" si="3"/>
        <v>6.6499999999999995</v>
      </c>
      <c r="AO10" s="928">
        <f t="shared" ca="1" si="3"/>
        <v>6.6499999999999995</v>
      </c>
      <c r="AP10" s="928">
        <f t="shared" ca="1" si="3"/>
        <v>6.6499999999999995</v>
      </c>
      <c r="AQ10" s="928">
        <f t="shared" ca="1" si="3"/>
        <v>6.6499999999999995</v>
      </c>
      <c r="AR10" s="928">
        <f t="shared" ca="1" si="3"/>
        <v>6.6499999999999995</v>
      </c>
      <c r="AS10" s="933">
        <f t="shared" ref="AS10:BA10" ca="1" si="4">g_k_400*AS9/2</f>
        <v>7.8000000000000007</v>
      </c>
      <c r="AT10" s="928">
        <f t="shared" ca="1" si="4"/>
        <v>7.8000000000000007</v>
      </c>
      <c r="AU10" s="928">
        <f t="shared" ca="1" si="4"/>
        <v>7.8000000000000007</v>
      </c>
      <c r="AV10" s="928">
        <f t="shared" ca="1" si="4"/>
        <v>7.8000000000000007</v>
      </c>
      <c r="AW10" s="928">
        <f t="shared" ca="1" si="4"/>
        <v>7.8000000000000007</v>
      </c>
      <c r="AX10" s="928">
        <f t="shared" ca="1" si="4"/>
        <v>7.8000000000000007</v>
      </c>
      <c r="AY10" s="928">
        <f t="shared" ca="1" si="4"/>
        <v>7.8000000000000007</v>
      </c>
      <c r="AZ10" s="928">
        <f t="shared" ca="1" si="4"/>
        <v>7.8000000000000007</v>
      </c>
      <c r="BA10" s="928">
        <f t="shared" ca="1" si="4"/>
        <v>7.8000000000000007</v>
      </c>
      <c r="BB10" s="933">
        <f t="shared" ref="BB10:BJ10" ca="1" si="5">g_k_450*BB9/2</f>
        <v>9</v>
      </c>
      <c r="BC10" s="928">
        <f t="shared" ca="1" si="5"/>
        <v>9</v>
      </c>
      <c r="BD10" s="928">
        <f t="shared" ca="1" si="5"/>
        <v>9</v>
      </c>
      <c r="BE10" s="928">
        <f t="shared" ca="1" si="5"/>
        <v>9</v>
      </c>
      <c r="BF10" s="928">
        <f t="shared" ca="1" si="5"/>
        <v>9</v>
      </c>
      <c r="BG10" s="928">
        <f t="shared" ca="1" si="5"/>
        <v>9</v>
      </c>
      <c r="BH10" s="928">
        <f t="shared" ca="1" si="5"/>
        <v>9</v>
      </c>
      <c r="BI10" s="928">
        <f t="shared" ca="1" si="5"/>
        <v>9</v>
      </c>
      <c r="BJ10" s="928">
        <f t="shared" ca="1" si="5"/>
        <v>9</v>
      </c>
      <c r="BK10" s="933">
        <f t="shared" ref="BK10:BS10" ca="1" si="6">g_k_500*BK9/2</f>
        <v>10.5</v>
      </c>
      <c r="BL10" s="928">
        <f t="shared" ca="1" si="6"/>
        <v>10.5</v>
      </c>
      <c r="BM10" s="928">
        <f t="shared" ca="1" si="6"/>
        <v>10.5</v>
      </c>
      <c r="BN10" s="928">
        <f t="shared" ca="1" si="6"/>
        <v>10.5</v>
      </c>
      <c r="BO10" s="928">
        <f t="shared" ca="1" si="6"/>
        <v>10.5</v>
      </c>
      <c r="BP10" s="928">
        <f t="shared" ca="1" si="6"/>
        <v>10.5</v>
      </c>
      <c r="BQ10" s="928">
        <f t="shared" ca="1" si="6"/>
        <v>10.5</v>
      </c>
      <c r="BR10" s="928">
        <f t="shared" ca="1" si="6"/>
        <v>10.5</v>
      </c>
      <c r="BS10" s="928">
        <f t="shared" ca="1" si="6"/>
        <v>10.5</v>
      </c>
      <c r="BT10" s="928"/>
      <c r="BU10" s="928"/>
    </row>
    <row r="11" spans="1:73" ht="17">
      <c r="A11" t="s">
        <v>1828</v>
      </c>
      <c r="B11" s="928">
        <f t="shared" ref="B11:AG11" si="7">q_k*B9/2</f>
        <v>3.0474999999999999</v>
      </c>
      <c r="C11" s="928">
        <f t="shared" si="7"/>
        <v>3.2774999999999999</v>
      </c>
      <c r="D11" s="928">
        <f t="shared" si="7"/>
        <v>3.4499999999999997</v>
      </c>
      <c r="E11" s="928">
        <f t="shared" si="7"/>
        <v>4.0249999999999995</v>
      </c>
      <c r="F11" s="928">
        <f t="shared" si="7"/>
        <v>4.5999999999999996</v>
      </c>
      <c r="G11" s="928">
        <f t="shared" si="7"/>
        <v>5.1749999999999998</v>
      </c>
      <c r="H11" s="928">
        <f t="shared" si="7"/>
        <v>5.75</v>
      </c>
      <c r="I11" s="933">
        <f t="shared" si="7"/>
        <v>3.0474999999999999</v>
      </c>
      <c r="J11" s="928">
        <f t="shared" si="7"/>
        <v>3.0474999999999999</v>
      </c>
      <c r="K11" s="928">
        <f t="shared" si="7"/>
        <v>3.0474999999999999</v>
      </c>
      <c r="L11" s="928">
        <f t="shared" si="7"/>
        <v>3.0474999999999999</v>
      </c>
      <c r="M11" s="928">
        <f t="shared" si="7"/>
        <v>3.0474999999999999</v>
      </c>
      <c r="N11" s="928">
        <f t="shared" si="7"/>
        <v>3.0474999999999999</v>
      </c>
      <c r="O11" s="928">
        <f t="shared" si="7"/>
        <v>3.0474999999999999</v>
      </c>
      <c r="P11" s="928">
        <f t="shared" si="7"/>
        <v>3.0474999999999999</v>
      </c>
      <c r="Q11" s="928">
        <f t="shared" si="7"/>
        <v>3.0474999999999999</v>
      </c>
      <c r="R11" s="933">
        <f t="shared" si="7"/>
        <v>3.2774999999999999</v>
      </c>
      <c r="S11" s="928">
        <f t="shared" si="7"/>
        <v>3.2774999999999999</v>
      </c>
      <c r="T11" s="928">
        <f t="shared" si="7"/>
        <v>3.2774999999999999</v>
      </c>
      <c r="U11" s="928">
        <f t="shared" si="7"/>
        <v>3.2774999999999999</v>
      </c>
      <c r="V11" s="928">
        <f t="shared" si="7"/>
        <v>3.2774999999999999</v>
      </c>
      <c r="W11" s="928">
        <f t="shared" si="7"/>
        <v>3.2774999999999999</v>
      </c>
      <c r="X11" s="928">
        <f t="shared" si="7"/>
        <v>3.2774999999999999</v>
      </c>
      <c r="Y11" s="928">
        <f t="shared" si="7"/>
        <v>3.2774999999999999</v>
      </c>
      <c r="Z11" s="928">
        <f t="shared" si="7"/>
        <v>3.2774999999999999</v>
      </c>
      <c r="AA11" s="933">
        <f t="shared" si="7"/>
        <v>3.4499999999999997</v>
      </c>
      <c r="AB11" s="928">
        <f t="shared" si="7"/>
        <v>3.4499999999999997</v>
      </c>
      <c r="AC11" s="928">
        <f t="shared" si="7"/>
        <v>3.4499999999999997</v>
      </c>
      <c r="AD11" s="928">
        <f t="shared" si="7"/>
        <v>3.4499999999999997</v>
      </c>
      <c r="AE11" s="928">
        <f t="shared" si="7"/>
        <v>3.4499999999999997</v>
      </c>
      <c r="AF11" s="928">
        <f t="shared" si="7"/>
        <v>3.4499999999999997</v>
      </c>
      <c r="AG11" s="928">
        <f t="shared" si="7"/>
        <v>3.4499999999999997</v>
      </c>
      <c r="AH11" s="928">
        <f t="shared" ref="AH11:BM11" si="8">q_k*AH9/2</f>
        <v>3.4499999999999997</v>
      </c>
      <c r="AI11" s="928">
        <f t="shared" si="8"/>
        <v>3.4499999999999997</v>
      </c>
      <c r="AJ11" s="933">
        <f t="shared" si="8"/>
        <v>4.0249999999999995</v>
      </c>
      <c r="AK11" s="928">
        <f t="shared" si="8"/>
        <v>4.0249999999999995</v>
      </c>
      <c r="AL11" s="928">
        <f t="shared" si="8"/>
        <v>4.0249999999999995</v>
      </c>
      <c r="AM11" s="928">
        <f t="shared" si="8"/>
        <v>4.0249999999999995</v>
      </c>
      <c r="AN11" s="928">
        <f t="shared" si="8"/>
        <v>4.0249999999999995</v>
      </c>
      <c r="AO11" s="928">
        <f t="shared" si="8"/>
        <v>4.0249999999999995</v>
      </c>
      <c r="AP11" s="928">
        <f t="shared" si="8"/>
        <v>4.0249999999999995</v>
      </c>
      <c r="AQ11" s="928">
        <f t="shared" si="8"/>
        <v>4.0249999999999995</v>
      </c>
      <c r="AR11" s="928">
        <f t="shared" si="8"/>
        <v>4.0249999999999995</v>
      </c>
      <c r="AS11" s="933">
        <f t="shared" si="8"/>
        <v>4.5999999999999996</v>
      </c>
      <c r="AT11" s="928">
        <f t="shared" si="8"/>
        <v>4.5999999999999996</v>
      </c>
      <c r="AU11" s="928">
        <f t="shared" si="8"/>
        <v>4.5999999999999996</v>
      </c>
      <c r="AV11" s="928">
        <f t="shared" si="8"/>
        <v>4.5999999999999996</v>
      </c>
      <c r="AW11" s="928">
        <f t="shared" si="8"/>
        <v>4.5999999999999996</v>
      </c>
      <c r="AX11" s="928">
        <f t="shared" si="8"/>
        <v>4.5999999999999996</v>
      </c>
      <c r="AY11" s="928">
        <f t="shared" si="8"/>
        <v>4.5999999999999996</v>
      </c>
      <c r="AZ11" s="928">
        <f t="shared" si="8"/>
        <v>4.5999999999999996</v>
      </c>
      <c r="BA11" s="928">
        <f t="shared" si="8"/>
        <v>4.5999999999999996</v>
      </c>
      <c r="BB11" s="933">
        <f t="shared" si="8"/>
        <v>5.1749999999999998</v>
      </c>
      <c r="BC11" s="928">
        <f t="shared" si="8"/>
        <v>5.1749999999999998</v>
      </c>
      <c r="BD11" s="928">
        <f t="shared" si="8"/>
        <v>5.1749999999999998</v>
      </c>
      <c r="BE11" s="928">
        <f t="shared" si="8"/>
        <v>5.1749999999999998</v>
      </c>
      <c r="BF11" s="928">
        <f t="shared" si="8"/>
        <v>5.1749999999999998</v>
      </c>
      <c r="BG11" s="928">
        <f t="shared" si="8"/>
        <v>5.1749999999999998</v>
      </c>
      <c r="BH11" s="928">
        <f t="shared" si="8"/>
        <v>5.1749999999999998</v>
      </c>
      <c r="BI11" s="928">
        <f t="shared" si="8"/>
        <v>5.1749999999999998</v>
      </c>
      <c r="BJ11" s="928">
        <f t="shared" si="8"/>
        <v>5.1749999999999998</v>
      </c>
      <c r="BK11" s="933">
        <f t="shared" si="8"/>
        <v>5.75</v>
      </c>
      <c r="BL11" s="928">
        <f t="shared" si="8"/>
        <v>5.75</v>
      </c>
      <c r="BM11" s="928">
        <f t="shared" si="8"/>
        <v>5.75</v>
      </c>
      <c r="BN11" s="928">
        <f t="shared" ref="BN11:BS11" si="9">q_k*BN9/2</f>
        <v>5.75</v>
      </c>
      <c r="BO11" s="928">
        <f t="shared" si="9"/>
        <v>5.75</v>
      </c>
      <c r="BP11" s="928">
        <f t="shared" si="9"/>
        <v>5.75</v>
      </c>
      <c r="BQ11" s="928">
        <f t="shared" si="9"/>
        <v>5.75</v>
      </c>
      <c r="BR11" s="928">
        <f t="shared" si="9"/>
        <v>5.75</v>
      </c>
      <c r="BS11" s="928">
        <f t="shared" si="9"/>
        <v>5.75</v>
      </c>
      <c r="BT11" s="928"/>
      <c r="BU11" s="928"/>
    </row>
    <row r="12" spans="1:73">
      <c r="B12" s="928"/>
      <c r="C12" s="928"/>
      <c r="D12" s="928"/>
      <c r="E12" s="928"/>
      <c r="F12" s="928"/>
      <c r="G12" s="928"/>
      <c r="H12" s="928"/>
      <c r="I12" s="933"/>
      <c r="J12" s="928"/>
      <c r="K12" s="928"/>
      <c r="L12" s="928"/>
      <c r="M12" s="928"/>
      <c r="N12" s="928"/>
      <c r="O12" s="928"/>
      <c r="P12" s="928"/>
      <c r="Q12" s="928"/>
      <c r="R12" s="933"/>
      <c r="S12" s="928"/>
      <c r="T12" s="928"/>
      <c r="U12" s="928"/>
      <c r="V12" s="928"/>
      <c r="W12" s="928"/>
      <c r="X12" s="928"/>
      <c r="Y12" s="928"/>
      <c r="Z12" s="928"/>
      <c r="AA12" s="933"/>
      <c r="AB12" s="928"/>
      <c r="AC12" s="928"/>
      <c r="AD12" s="928"/>
      <c r="AE12" s="928"/>
      <c r="AF12" s="928"/>
      <c r="AG12" s="928"/>
      <c r="AH12" s="928"/>
      <c r="AI12" s="928"/>
      <c r="AJ12" s="933"/>
      <c r="AK12" s="928"/>
      <c r="AL12" s="928"/>
      <c r="AM12" s="928"/>
      <c r="AN12" s="928"/>
      <c r="AO12" s="928"/>
      <c r="AP12" s="928"/>
      <c r="AQ12" s="928"/>
      <c r="AR12" s="928"/>
      <c r="AS12" s="933"/>
      <c r="AT12" s="928"/>
      <c r="AU12" s="928"/>
      <c r="AV12" s="928"/>
      <c r="AW12" s="928"/>
      <c r="AX12" s="928"/>
      <c r="AY12" s="928"/>
      <c r="AZ12" s="928"/>
      <c r="BA12" s="928"/>
      <c r="BB12" s="933"/>
      <c r="BC12" s="928"/>
      <c r="BD12" s="928"/>
      <c r="BE12" s="928"/>
      <c r="BF12" s="928"/>
      <c r="BG12" s="928"/>
      <c r="BH12" s="928"/>
      <c r="BI12" s="928"/>
      <c r="BJ12" s="928"/>
      <c r="BK12" s="933"/>
      <c r="BL12" s="928"/>
      <c r="BM12" s="928"/>
      <c r="BN12" s="928"/>
      <c r="BO12" s="928"/>
      <c r="BP12" s="928"/>
      <c r="BQ12" s="928"/>
      <c r="BR12" s="928"/>
      <c r="BS12" s="928"/>
      <c r="BT12" s="928"/>
      <c r="BU12" s="928"/>
    </row>
    <row r="13" spans="1:73">
      <c r="A13" t="s">
        <v>1829</v>
      </c>
      <c r="B13" s="928">
        <f>Datenbank!C25</f>
        <v>2.65</v>
      </c>
      <c r="C13" s="928">
        <f>Datenbank!D25</f>
        <v>2.85</v>
      </c>
      <c r="D13" s="928">
        <f>Datenbank!E25</f>
        <v>3</v>
      </c>
      <c r="E13" s="928">
        <f>Datenbank!F25</f>
        <v>3.5</v>
      </c>
      <c r="F13" s="928">
        <f>Datenbank!G25</f>
        <v>4</v>
      </c>
      <c r="G13" s="928">
        <f>Datenbank!H25</f>
        <v>4.5</v>
      </c>
      <c r="H13" s="928">
        <f>Datenbank!I25</f>
        <v>5</v>
      </c>
      <c r="I13" s="933">
        <f>Datenbank!J25</f>
        <v>2.85</v>
      </c>
      <c r="J13" s="928">
        <f>Datenbank!K25</f>
        <v>3</v>
      </c>
      <c r="K13" s="928">
        <f>Datenbank!L25</f>
        <v>3.5</v>
      </c>
      <c r="L13" s="928">
        <f>Datenbank!M25</f>
        <v>4</v>
      </c>
      <c r="M13" s="928">
        <f>Datenbank!N25</f>
        <v>4.5</v>
      </c>
      <c r="N13" s="928">
        <f>Datenbank!O25</f>
        <v>5</v>
      </c>
      <c r="O13" s="928">
        <f>Datenbank!P25</f>
        <v>5.3</v>
      </c>
      <c r="P13" s="928">
        <f>Datenbank!Q25</f>
        <v>5.7</v>
      </c>
      <c r="Q13" s="928">
        <f>Datenbank!R25</f>
        <v>6</v>
      </c>
      <c r="R13" s="933">
        <f>Datenbank!S25</f>
        <v>2.65</v>
      </c>
      <c r="S13" s="928">
        <f>Datenbank!T25</f>
        <v>3</v>
      </c>
      <c r="T13" s="928">
        <f>Datenbank!U25</f>
        <v>3.5</v>
      </c>
      <c r="U13" s="928">
        <f>Datenbank!V25</f>
        <v>4</v>
      </c>
      <c r="V13" s="928">
        <f>Datenbank!W25</f>
        <v>4.5</v>
      </c>
      <c r="W13" s="928">
        <f>Datenbank!X25</f>
        <v>5</v>
      </c>
      <c r="X13" s="928">
        <f>Datenbank!Y25</f>
        <v>5.3</v>
      </c>
      <c r="Y13" s="928">
        <f>Datenbank!Z25</f>
        <v>5.7</v>
      </c>
      <c r="Z13" s="928">
        <f>Datenbank!AA25</f>
        <v>6</v>
      </c>
      <c r="AA13" s="933">
        <f>Datenbank!AB25</f>
        <v>2.65</v>
      </c>
      <c r="AB13" s="928">
        <f>Datenbank!AC25</f>
        <v>2.85</v>
      </c>
      <c r="AC13" s="928">
        <f>Datenbank!AD25</f>
        <v>3.5</v>
      </c>
      <c r="AD13" s="928">
        <f>Datenbank!AE25</f>
        <v>4</v>
      </c>
      <c r="AE13" s="928">
        <f>Datenbank!AF25</f>
        <v>4.5</v>
      </c>
      <c r="AF13" s="928">
        <f>Datenbank!AG25</f>
        <v>5</v>
      </c>
      <c r="AG13" s="928">
        <f>Datenbank!AH25</f>
        <v>5.3</v>
      </c>
      <c r="AH13" s="928">
        <f>Datenbank!AI25</f>
        <v>5.7</v>
      </c>
      <c r="AI13" s="928">
        <f>Datenbank!AJ25</f>
        <v>6</v>
      </c>
      <c r="AJ13" s="933">
        <f>Datenbank!AK25</f>
        <v>2.65</v>
      </c>
      <c r="AK13" s="928">
        <f>Datenbank!AL25</f>
        <v>2.85</v>
      </c>
      <c r="AL13" s="928">
        <f>Datenbank!AM25</f>
        <v>3</v>
      </c>
      <c r="AM13" s="928">
        <f>Datenbank!AN25</f>
        <v>4</v>
      </c>
      <c r="AN13" s="928">
        <f>Datenbank!AO25</f>
        <v>4.5</v>
      </c>
      <c r="AO13" s="928">
        <f>Datenbank!AP25</f>
        <v>5</v>
      </c>
      <c r="AP13" s="928">
        <f>Datenbank!AQ25</f>
        <v>5.3</v>
      </c>
      <c r="AQ13" s="928">
        <f>Datenbank!AR25</f>
        <v>5.7</v>
      </c>
      <c r="AR13" s="928">
        <f>Datenbank!AS25</f>
        <v>6</v>
      </c>
      <c r="AS13" s="933">
        <f>Datenbank!AT25</f>
        <v>2.65</v>
      </c>
      <c r="AT13" s="928">
        <f>Datenbank!AU25</f>
        <v>2.85</v>
      </c>
      <c r="AU13" s="928">
        <f>Datenbank!AV25</f>
        <v>3</v>
      </c>
      <c r="AV13" s="928">
        <f>Datenbank!AW25</f>
        <v>3.5</v>
      </c>
      <c r="AW13" s="928">
        <f>Datenbank!AX25</f>
        <v>4.5</v>
      </c>
      <c r="AX13" s="928">
        <f>Datenbank!AY25</f>
        <v>5</v>
      </c>
      <c r="AY13" s="928">
        <f>Datenbank!AZ25</f>
        <v>5.3</v>
      </c>
      <c r="AZ13" s="928">
        <f>Datenbank!BA25</f>
        <v>5.7</v>
      </c>
      <c r="BA13" s="928">
        <f>Datenbank!BB25</f>
        <v>6</v>
      </c>
      <c r="BB13" s="933">
        <f>Datenbank!BC25</f>
        <v>2.65</v>
      </c>
      <c r="BC13" s="928">
        <f>Datenbank!BD25</f>
        <v>2.85</v>
      </c>
      <c r="BD13" s="928">
        <f>Datenbank!BE25</f>
        <v>3</v>
      </c>
      <c r="BE13" s="928">
        <f>Datenbank!BF25</f>
        <v>3.5</v>
      </c>
      <c r="BF13" s="928">
        <f>Datenbank!BG25</f>
        <v>4</v>
      </c>
      <c r="BG13" s="928">
        <f>Datenbank!BH25</f>
        <v>5</v>
      </c>
      <c r="BH13" s="928">
        <f>Datenbank!BI25</f>
        <v>5.3</v>
      </c>
      <c r="BI13" s="928">
        <f>Datenbank!BJ25</f>
        <v>5.7</v>
      </c>
      <c r="BJ13" s="928">
        <f>Datenbank!BK25</f>
        <v>6</v>
      </c>
      <c r="BK13" s="933">
        <f>Datenbank!BL25</f>
        <v>2.65</v>
      </c>
      <c r="BL13" s="928">
        <f>Datenbank!BM25</f>
        <v>2.85</v>
      </c>
      <c r="BM13" s="928">
        <f>Datenbank!BN25</f>
        <v>3</v>
      </c>
      <c r="BN13" s="928">
        <f>Datenbank!BO25</f>
        <v>3.5</v>
      </c>
      <c r="BO13" s="928">
        <f>Datenbank!BP25</f>
        <v>4</v>
      </c>
      <c r="BP13" s="928">
        <f>Datenbank!BQ25</f>
        <v>4.5</v>
      </c>
      <c r="BQ13" s="928">
        <f>Datenbank!BR25</f>
        <v>5.3</v>
      </c>
      <c r="BR13" s="928">
        <f>Datenbank!BS25</f>
        <v>5.7</v>
      </c>
      <c r="BS13" s="928">
        <f>Datenbank!BT25</f>
        <v>6</v>
      </c>
      <c r="BT13" s="928"/>
      <c r="BU13" s="928"/>
    </row>
    <row r="14" spans="1:73">
      <c r="A14" t="s">
        <v>1830</v>
      </c>
      <c r="B14" s="768">
        <f ca="1">MAX('Hilfstabellen_Mat&amp;Bem'!D200,'Hilfstabellen_Mat&amp;Bem'!D175)</f>
        <v>240</v>
      </c>
      <c r="C14" s="768">
        <f ca="1">MAX('Hilfstabellen_Mat&amp;Bem'!E200,'Hilfstabellen_Mat&amp;Bem'!E175)</f>
        <v>240</v>
      </c>
      <c r="D14" s="768">
        <f ca="1">MAX('Hilfstabellen_Mat&amp;Bem'!F200,'Hilfstabellen_Mat&amp;Bem'!F175)</f>
        <v>240</v>
      </c>
      <c r="E14" s="768">
        <f ca="1">MAX('Hilfstabellen_Mat&amp;Bem'!G200,'Hilfstabellen_Mat&amp;Bem'!G175)</f>
        <v>240</v>
      </c>
      <c r="F14" s="768">
        <f ca="1">MAX('Hilfstabellen_Mat&amp;Bem'!H200,'Hilfstabellen_Mat&amp;Bem'!H175)</f>
        <v>280</v>
      </c>
      <c r="G14" s="768">
        <f ca="1">MAX('Hilfstabellen_Mat&amp;Bem'!I200,'Hilfstabellen_Mat&amp;Bem'!I175)</f>
        <v>280</v>
      </c>
      <c r="H14" s="768">
        <f ca="1">MAX('Hilfstabellen_Mat&amp;Bem'!J200,'Hilfstabellen_Mat&amp;Bem'!J175)</f>
        <v>320</v>
      </c>
      <c r="I14" s="934">
        <f ca="1">MAX('Hilfstabellen_Mat&amp;Bem'!K200,'Hilfstabellen_Mat&amp;Bem'!K175)</f>
        <v>240</v>
      </c>
      <c r="J14" s="768">
        <f ca="1">MAX('Hilfstabellen_Mat&amp;Bem'!L200,'Hilfstabellen_Mat&amp;Bem'!L175)</f>
        <v>240</v>
      </c>
      <c r="K14" s="768">
        <f ca="1">MAX('Hilfstabellen_Mat&amp;Bem'!M200,'Hilfstabellen_Mat&amp;Bem'!M175)</f>
        <v>240</v>
      </c>
      <c r="L14" s="768">
        <f ca="1">MAX('Hilfstabellen_Mat&amp;Bem'!N200,'Hilfstabellen_Mat&amp;Bem'!N175)</f>
        <v>240</v>
      </c>
      <c r="M14" s="768">
        <f ca="1">MAX('Hilfstabellen_Mat&amp;Bem'!O200,'Hilfstabellen_Mat&amp;Bem'!O175)</f>
        <v>240</v>
      </c>
      <c r="N14" s="768">
        <f ca="1">MAX('Hilfstabellen_Mat&amp;Bem'!P200,'Hilfstabellen_Mat&amp;Bem'!P175)</f>
        <v>240</v>
      </c>
      <c r="O14" s="768">
        <f ca="1">MAX('Hilfstabellen_Mat&amp;Bem'!Q200,'Hilfstabellen_Mat&amp;Bem'!Q175)</f>
        <v>280</v>
      </c>
      <c r="P14" s="768">
        <f ca="1">MAX('Hilfstabellen_Mat&amp;Bem'!R200,'Hilfstabellen_Mat&amp;Bem'!R175)</f>
        <v>280</v>
      </c>
      <c r="Q14" s="768">
        <f ca="1">MAX('Hilfstabellen_Mat&amp;Bem'!S200,'Hilfstabellen_Mat&amp;Bem'!S175)</f>
        <v>280</v>
      </c>
      <c r="R14" s="934">
        <f ca="1">MAX('Hilfstabellen_Mat&amp;Bem'!T200,'Hilfstabellen_Mat&amp;Bem'!T175)</f>
        <v>240</v>
      </c>
      <c r="S14" s="768">
        <f ca="1">MAX('Hilfstabellen_Mat&amp;Bem'!U200,'Hilfstabellen_Mat&amp;Bem'!U175)</f>
        <v>240</v>
      </c>
      <c r="T14" s="768">
        <f ca="1">MAX('Hilfstabellen_Mat&amp;Bem'!V200,'Hilfstabellen_Mat&amp;Bem'!V175)</f>
        <v>240</v>
      </c>
      <c r="U14" s="768">
        <f ca="1">MAX('Hilfstabellen_Mat&amp;Bem'!W200,'Hilfstabellen_Mat&amp;Bem'!W175)</f>
        <v>240</v>
      </c>
      <c r="V14" s="768">
        <f ca="1">MAX('Hilfstabellen_Mat&amp;Bem'!X200,'Hilfstabellen_Mat&amp;Bem'!X175)</f>
        <v>240</v>
      </c>
      <c r="W14" s="768">
        <f ca="1">MAX('Hilfstabellen_Mat&amp;Bem'!Y200,'Hilfstabellen_Mat&amp;Bem'!Y175)</f>
        <v>280</v>
      </c>
      <c r="X14" s="768">
        <f ca="1">MAX('Hilfstabellen_Mat&amp;Bem'!Z200,'Hilfstabellen_Mat&amp;Bem'!Z175)</f>
        <v>280</v>
      </c>
      <c r="Y14" s="768">
        <f ca="1">MAX('Hilfstabellen_Mat&amp;Bem'!AA200,'Hilfstabellen_Mat&amp;Bem'!AA175)</f>
        <v>280</v>
      </c>
      <c r="Z14" s="768">
        <f ca="1">MAX('Hilfstabellen_Mat&amp;Bem'!AB200,'Hilfstabellen_Mat&amp;Bem'!AB175)</f>
        <v>280</v>
      </c>
      <c r="AA14" s="934">
        <f ca="1">MAX('Hilfstabellen_Mat&amp;Bem'!AC200,'Hilfstabellen_Mat&amp;Bem'!AC175)</f>
        <v>240</v>
      </c>
      <c r="AB14" s="768">
        <f ca="1">MAX('Hilfstabellen_Mat&amp;Bem'!AD200,'Hilfstabellen_Mat&amp;Bem'!AD175)</f>
        <v>240</v>
      </c>
      <c r="AC14" s="768">
        <f ca="1">MAX('Hilfstabellen_Mat&amp;Bem'!AE200,'Hilfstabellen_Mat&amp;Bem'!AE175)</f>
        <v>240</v>
      </c>
      <c r="AD14" s="768">
        <f ca="1">MAX('Hilfstabellen_Mat&amp;Bem'!AF200,'Hilfstabellen_Mat&amp;Bem'!AF175)</f>
        <v>240</v>
      </c>
      <c r="AE14" s="768">
        <f ca="1">MAX('Hilfstabellen_Mat&amp;Bem'!AG200,'Hilfstabellen_Mat&amp;Bem'!AG175)</f>
        <v>240</v>
      </c>
      <c r="AF14" s="768">
        <f ca="1">MAX('Hilfstabellen_Mat&amp;Bem'!AH200,'Hilfstabellen_Mat&amp;Bem'!AH175)</f>
        <v>280</v>
      </c>
      <c r="AG14" s="768">
        <f ca="1">MAX('Hilfstabellen_Mat&amp;Bem'!AI200,'Hilfstabellen_Mat&amp;Bem'!AI175)</f>
        <v>280</v>
      </c>
      <c r="AH14" s="768">
        <f ca="1">MAX('Hilfstabellen_Mat&amp;Bem'!AJ200,'Hilfstabellen_Mat&amp;Bem'!AJ175)</f>
        <v>280</v>
      </c>
      <c r="AI14" s="768">
        <f ca="1">MAX('Hilfstabellen_Mat&amp;Bem'!AK200,'Hilfstabellen_Mat&amp;Bem'!AK175)</f>
        <v>280</v>
      </c>
      <c r="AJ14" s="934">
        <f ca="1">MAX('Hilfstabellen_Mat&amp;Bem'!AL200,'Hilfstabellen_Mat&amp;Bem'!AL175)</f>
        <v>240</v>
      </c>
      <c r="AK14" s="768">
        <f ca="1">MAX('Hilfstabellen_Mat&amp;Bem'!AM200,'Hilfstabellen_Mat&amp;Bem'!AM175)</f>
        <v>240</v>
      </c>
      <c r="AL14" s="768">
        <f ca="1">MAX('Hilfstabellen_Mat&amp;Bem'!AN200,'Hilfstabellen_Mat&amp;Bem'!AN175)</f>
        <v>240</v>
      </c>
      <c r="AM14" s="768">
        <f ca="1">MAX('Hilfstabellen_Mat&amp;Bem'!AO200,'Hilfstabellen_Mat&amp;Bem'!AO175)</f>
        <v>280</v>
      </c>
      <c r="AN14" s="768">
        <f ca="1">MAX('Hilfstabellen_Mat&amp;Bem'!AP200,'Hilfstabellen_Mat&amp;Bem'!AP175)</f>
        <v>280</v>
      </c>
      <c r="AO14" s="768">
        <f ca="1">MAX('Hilfstabellen_Mat&amp;Bem'!AQ200,'Hilfstabellen_Mat&amp;Bem'!AQ175)</f>
        <v>280</v>
      </c>
      <c r="AP14" s="768">
        <f ca="1">MAX('Hilfstabellen_Mat&amp;Bem'!AR200,'Hilfstabellen_Mat&amp;Bem'!AR175)</f>
        <v>280</v>
      </c>
      <c r="AQ14" s="768">
        <f ca="1">MAX('Hilfstabellen_Mat&amp;Bem'!AS200,'Hilfstabellen_Mat&amp;Bem'!AS175)</f>
        <v>280</v>
      </c>
      <c r="AR14" s="768">
        <f ca="1">MAX('Hilfstabellen_Mat&amp;Bem'!AT200,'Hilfstabellen_Mat&amp;Bem'!AT175)</f>
        <v>280</v>
      </c>
      <c r="AS14" s="934">
        <f ca="1">MAX('Hilfstabellen_Mat&amp;Bem'!AU200,'Hilfstabellen_Mat&amp;Bem'!AU175)</f>
        <v>240</v>
      </c>
      <c r="AT14" s="768">
        <f ca="1">MAX('Hilfstabellen_Mat&amp;Bem'!AV200,'Hilfstabellen_Mat&amp;Bem'!AV175)</f>
        <v>240</v>
      </c>
      <c r="AU14" s="768">
        <f ca="1">MAX('Hilfstabellen_Mat&amp;Bem'!AW200,'Hilfstabellen_Mat&amp;Bem'!AW175)</f>
        <v>240</v>
      </c>
      <c r="AV14" s="768">
        <f ca="1">MAX('Hilfstabellen_Mat&amp;Bem'!AX200,'Hilfstabellen_Mat&amp;Bem'!AX175)</f>
        <v>240</v>
      </c>
      <c r="AW14" s="768">
        <f ca="1">MAX('Hilfstabellen_Mat&amp;Bem'!AY200,'Hilfstabellen_Mat&amp;Bem'!AY175)</f>
        <v>280</v>
      </c>
      <c r="AX14" s="768">
        <f ca="1">MAX('Hilfstabellen_Mat&amp;Bem'!AZ200,'Hilfstabellen_Mat&amp;Bem'!AZ175)</f>
        <v>280</v>
      </c>
      <c r="AY14" s="768">
        <f ca="1">MAX('Hilfstabellen_Mat&amp;Bem'!BA200,'Hilfstabellen_Mat&amp;Bem'!BA175)</f>
        <v>280</v>
      </c>
      <c r="AZ14" s="768">
        <f ca="1">MAX('Hilfstabellen_Mat&amp;Bem'!BB200,'Hilfstabellen_Mat&amp;Bem'!BB175)</f>
        <v>280</v>
      </c>
      <c r="BA14" s="768">
        <f ca="1">MAX('Hilfstabellen_Mat&amp;Bem'!BC200,'Hilfstabellen_Mat&amp;Bem'!BC175)</f>
        <v>280</v>
      </c>
      <c r="BB14" s="934">
        <f ca="1">MAX('Hilfstabellen_Mat&amp;Bem'!BD200,'Hilfstabellen_Mat&amp;Bem'!BD175)</f>
        <v>240</v>
      </c>
      <c r="BC14" s="768">
        <f ca="1">MAX('Hilfstabellen_Mat&amp;Bem'!BE200,'Hilfstabellen_Mat&amp;Bem'!BE175)</f>
        <v>240</v>
      </c>
      <c r="BD14" s="768">
        <f ca="1">MAX('Hilfstabellen_Mat&amp;Bem'!BF200,'Hilfstabellen_Mat&amp;Bem'!BF175)</f>
        <v>240</v>
      </c>
      <c r="BE14" s="768">
        <f ca="1">MAX('Hilfstabellen_Mat&amp;Bem'!BG200,'Hilfstabellen_Mat&amp;Bem'!BG175)</f>
        <v>280</v>
      </c>
      <c r="BF14" s="768">
        <f ca="1">MAX('Hilfstabellen_Mat&amp;Bem'!BH200,'Hilfstabellen_Mat&amp;Bem'!BH175)</f>
        <v>280</v>
      </c>
      <c r="BG14" s="768">
        <f ca="1">MAX('Hilfstabellen_Mat&amp;Bem'!BI200,'Hilfstabellen_Mat&amp;Bem'!BI175)</f>
        <v>280</v>
      </c>
      <c r="BH14" s="768">
        <f ca="1">MAX('Hilfstabellen_Mat&amp;Bem'!BJ200,'Hilfstabellen_Mat&amp;Bem'!BJ175)</f>
        <v>280</v>
      </c>
      <c r="BI14" s="768">
        <f ca="1">MAX('Hilfstabellen_Mat&amp;Bem'!BK200,'Hilfstabellen_Mat&amp;Bem'!BK175)</f>
        <v>320</v>
      </c>
      <c r="BJ14" s="768">
        <f ca="1">MAX('Hilfstabellen_Mat&amp;Bem'!BL200,'Hilfstabellen_Mat&amp;Bem'!BL175)</f>
        <v>320</v>
      </c>
      <c r="BK14" s="934">
        <f ca="1">MAX('Hilfstabellen_Mat&amp;Bem'!BM200,'Hilfstabellen_Mat&amp;Bem'!BM175)</f>
        <v>280</v>
      </c>
      <c r="BL14" s="768">
        <f ca="1">MAX('Hilfstabellen_Mat&amp;Bem'!BN200,'Hilfstabellen_Mat&amp;Bem'!BN175)</f>
        <v>280</v>
      </c>
      <c r="BM14" s="768">
        <f ca="1">MAX('Hilfstabellen_Mat&amp;Bem'!BO200,'Hilfstabellen_Mat&amp;Bem'!BO175)</f>
        <v>280</v>
      </c>
      <c r="BN14" s="768">
        <f ca="1">MAX('Hilfstabellen_Mat&amp;Bem'!BP200,'Hilfstabellen_Mat&amp;Bem'!BP175)</f>
        <v>280</v>
      </c>
      <c r="BO14" s="768">
        <f ca="1">MAX('Hilfstabellen_Mat&amp;Bem'!BQ200,'Hilfstabellen_Mat&amp;Bem'!BQ175)</f>
        <v>280</v>
      </c>
      <c r="BP14" s="768">
        <f ca="1">MAX('Hilfstabellen_Mat&amp;Bem'!BR200,'Hilfstabellen_Mat&amp;Bem'!BR175)</f>
        <v>280</v>
      </c>
      <c r="BQ14" s="768">
        <f ca="1">MAX('Hilfstabellen_Mat&amp;Bem'!BS200,'Hilfstabellen_Mat&amp;Bem'!BS175)</f>
        <v>320</v>
      </c>
      <c r="BR14" s="768">
        <f ca="1">MAX('Hilfstabellen_Mat&amp;Bem'!BT200,'Hilfstabellen_Mat&amp;Bem'!BT175)</f>
        <v>320</v>
      </c>
      <c r="BS14" s="768">
        <f ca="1">MAX('Hilfstabellen_Mat&amp;Bem'!BU200,'Hilfstabellen_Mat&amp;Bem'!BU175)</f>
        <v>320</v>
      </c>
    </row>
    <row r="15" spans="1:73">
      <c r="I15" s="921"/>
      <c r="R15" s="921"/>
      <c r="AA15" s="921"/>
      <c r="AJ15" s="921"/>
      <c r="AS15" s="921"/>
      <c r="BB15" s="921"/>
      <c r="BK15" s="921"/>
    </row>
    <row r="16" spans="1:73">
      <c r="A16" t="s">
        <v>1831</v>
      </c>
      <c r="B16" s="768">
        <f t="shared" ref="B16:AG16" ca="1" si="10">IF(b_UZ_max="",B14,MIN(b_UZ_max,B14))</f>
        <v>240</v>
      </c>
      <c r="C16" s="768">
        <f t="shared" ca="1" si="10"/>
        <v>240</v>
      </c>
      <c r="D16" s="768">
        <f t="shared" ca="1" si="10"/>
        <v>240</v>
      </c>
      <c r="E16" s="768">
        <f t="shared" ca="1" si="10"/>
        <v>240</v>
      </c>
      <c r="F16" s="768">
        <f t="shared" ca="1" si="10"/>
        <v>280</v>
      </c>
      <c r="G16" s="768">
        <f t="shared" ca="1" si="10"/>
        <v>280</v>
      </c>
      <c r="H16" s="768">
        <f t="shared" ca="1" si="10"/>
        <v>320</v>
      </c>
      <c r="I16" s="934">
        <f t="shared" ca="1" si="10"/>
        <v>240</v>
      </c>
      <c r="J16" s="768">
        <f t="shared" ca="1" si="10"/>
        <v>240</v>
      </c>
      <c r="K16" s="768">
        <f t="shared" ca="1" si="10"/>
        <v>240</v>
      </c>
      <c r="L16" s="768">
        <f t="shared" ca="1" si="10"/>
        <v>240</v>
      </c>
      <c r="M16" s="768">
        <f t="shared" ca="1" si="10"/>
        <v>240</v>
      </c>
      <c r="N16" s="768">
        <f t="shared" ca="1" si="10"/>
        <v>240</v>
      </c>
      <c r="O16" s="768">
        <f t="shared" ca="1" si="10"/>
        <v>280</v>
      </c>
      <c r="P16" s="768">
        <f t="shared" ca="1" si="10"/>
        <v>280</v>
      </c>
      <c r="Q16" s="768">
        <f t="shared" ca="1" si="10"/>
        <v>280</v>
      </c>
      <c r="R16" s="934">
        <f t="shared" ca="1" si="10"/>
        <v>240</v>
      </c>
      <c r="S16" s="768">
        <f t="shared" ca="1" si="10"/>
        <v>240</v>
      </c>
      <c r="T16" s="768">
        <f t="shared" ca="1" si="10"/>
        <v>240</v>
      </c>
      <c r="U16" s="768">
        <f t="shared" ca="1" si="10"/>
        <v>240</v>
      </c>
      <c r="V16" s="768">
        <f t="shared" ca="1" si="10"/>
        <v>240</v>
      </c>
      <c r="W16" s="768">
        <f t="shared" ca="1" si="10"/>
        <v>280</v>
      </c>
      <c r="X16" s="768">
        <f t="shared" ca="1" si="10"/>
        <v>280</v>
      </c>
      <c r="Y16" s="768">
        <f t="shared" ca="1" si="10"/>
        <v>280</v>
      </c>
      <c r="Z16" s="768">
        <f t="shared" ca="1" si="10"/>
        <v>280</v>
      </c>
      <c r="AA16" s="934">
        <f t="shared" ca="1" si="10"/>
        <v>240</v>
      </c>
      <c r="AB16" s="768">
        <f t="shared" ca="1" si="10"/>
        <v>240</v>
      </c>
      <c r="AC16" s="768">
        <f t="shared" ca="1" si="10"/>
        <v>240</v>
      </c>
      <c r="AD16" s="768">
        <f t="shared" ca="1" si="10"/>
        <v>240</v>
      </c>
      <c r="AE16" s="768">
        <f t="shared" ca="1" si="10"/>
        <v>240</v>
      </c>
      <c r="AF16" s="768">
        <f t="shared" ca="1" si="10"/>
        <v>280</v>
      </c>
      <c r="AG16" s="768">
        <f t="shared" ca="1" si="10"/>
        <v>280</v>
      </c>
      <c r="AH16" s="768">
        <f t="shared" ref="AH16:BM16" ca="1" si="11">IF(b_UZ_max="",AH14,MIN(b_UZ_max,AH14))</f>
        <v>280</v>
      </c>
      <c r="AI16" s="768">
        <f t="shared" ca="1" si="11"/>
        <v>280</v>
      </c>
      <c r="AJ16" s="934">
        <f t="shared" ca="1" si="11"/>
        <v>240</v>
      </c>
      <c r="AK16" s="768">
        <f t="shared" ca="1" si="11"/>
        <v>240</v>
      </c>
      <c r="AL16" s="768">
        <f t="shared" ca="1" si="11"/>
        <v>240</v>
      </c>
      <c r="AM16" s="768">
        <f t="shared" ca="1" si="11"/>
        <v>280</v>
      </c>
      <c r="AN16" s="768">
        <f t="shared" ca="1" si="11"/>
        <v>280</v>
      </c>
      <c r="AO16" s="768">
        <f t="shared" ca="1" si="11"/>
        <v>280</v>
      </c>
      <c r="AP16" s="768">
        <f t="shared" ca="1" si="11"/>
        <v>280</v>
      </c>
      <c r="AQ16" s="768">
        <f t="shared" ca="1" si="11"/>
        <v>280</v>
      </c>
      <c r="AR16" s="768">
        <f t="shared" ca="1" si="11"/>
        <v>280</v>
      </c>
      <c r="AS16" s="934">
        <f t="shared" ca="1" si="11"/>
        <v>240</v>
      </c>
      <c r="AT16" s="768">
        <f t="shared" ca="1" si="11"/>
        <v>240</v>
      </c>
      <c r="AU16" s="768">
        <f t="shared" ca="1" si="11"/>
        <v>240</v>
      </c>
      <c r="AV16" s="768">
        <f t="shared" ca="1" si="11"/>
        <v>240</v>
      </c>
      <c r="AW16" s="768">
        <f t="shared" ca="1" si="11"/>
        <v>280</v>
      </c>
      <c r="AX16" s="768">
        <f t="shared" ca="1" si="11"/>
        <v>280</v>
      </c>
      <c r="AY16" s="768">
        <f t="shared" ca="1" si="11"/>
        <v>280</v>
      </c>
      <c r="AZ16" s="768">
        <f t="shared" ca="1" si="11"/>
        <v>280</v>
      </c>
      <c r="BA16" s="768">
        <f t="shared" ca="1" si="11"/>
        <v>280</v>
      </c>
      <c r="BB16" s="934">
        <f t="shared" ca="1" si="11"/>
        <v>240</v>
      </c>
      <c r="BC16" s="768">
        <f t="shared" ca="1" si="11"/>
        <v>240</v>
      </c>
      <c r="BD16" s="768">
        <f t="shared" ca="1" si="11"/>
        <v>240</v>
      </c>
      <c r="BE16" s="768">
        <f t="shared" ca="1" si="11"/>
        <v>280</v>
      </c>
      <c r="BF16" s="768">
        <f t="shared" ca="1" si="11"/>
        <v>280</v>
      </c>
      <c r="BG16" s="768">
        <f t="shared" ca="1" si="11"/>
        <v>280</v>
      </c>
      <c r="BH16" s="768">
        <f t="shared" ca="1" si="11"/>
        <v>280</v>
      </c>
      <c r="BI16" s="768">
        <f t="shared" ca="1" si="11"/>
        <v>320</v>
      </c>
      <c r="BJ16" s="768">
        <f t="shared" ca="1" si="11"/>
        <v>320</v>
      </c>
      <c r="BK16" s="934">
        <f t="shared" ca="1" si="11"/>
        <v>280</v>
      </c>
      <c r="BL16" s="768">
        <f t="shared" ca="1" si="11"/>
        <v>280</v>
      </c>
      <c r="BM16" s="768">
        <f t="shared" ca="1" si="11"/>
        <v>280</v>
      </c>
      <c r="BN16" s="768">
        <f t="shared" ref="BN16:BS16" ca="1" si="12">IF(b_UZ_max="",BN14,MIN(b_UZ_max,BN14))</f>
        <v>280</v>
      </c>
      <c r="BO16" s="768">
        <f t="shared" ca="1" si="12"/>
        <v>280</v>
      </c>
      <c r="BP16" s="768">
        <f t="shared" ca="1" si="12"/>
        <v>280</v>
      </c>
      <c r="BQ16" s="768">
        <f t="shared" ca="1" si="12"/>
        <v>320</v>
      </c>
      <c r="BR16" s="768">
        <f t="shared" ca="1" si="12"/>
        <v>320</v>
      </c>
      <c r="BS16" s="768">
        <f t="shared" ca="1" si="12"/>
        <v>320</v>
      </c>
    </row>
    <row r="20" spans="1:71">
      <c r="A20" s="935" t="s">
        <v>876</v>
      </c>
      <c r="I20" s="921"/>
      <c r="R20" s="921"/>
      <c r="AA20" s="921"/>
      <c r="AJ20" s="921"/>
      <c r="AS20" s="921"/>
      <c r="BB20" s="921"/>
      <c r="BK20" s="921"/>
    </row>
    <row r="21" spans="1:71">
      <c r="A21" t="s">
        <v>1832</v>
      </c>
      <c r="B21">
        <f ca="1">IFERROR(ROUNDUP((MAX(
SQRT((3*(1.35*(2*B10+5*B16/1000*B21/1000)+1.5*2*B11)*((B13*1000)^2)*gamma_m)/(4*B16*k_mod*'Hilfstabellen_Mat&amp;Bem'!$BC$16)),
((3*(1.35*(2*B10+5*B16/1000*B21/1000)+1.5*2*B11)*B13*1000*gamma_m)/(4*B16*'Hilfstabellen_Mat&amp;Bem'!$BC$24*'Hilfstabellen_Mat&amp;Bem'!$BC$22*k_mod)))
)/RUWE_UZ,0)*RUWE_UZ,200)</f>
        <v>200</v>
      </c>
      <c r="C21">
        <f ca="1">IFERROR(ROUNDUP((MAX(
SQRT((3*(1.35*(2*C10+5*C16/1000*C21/1000)+1.5*2*C11)*((C13*1000)^2)*gamma_m)/(4*C16*k_mod*'Hilfstabellen_Mat&amp;Bem'!$BC$16)),
((3*(1.35*(2*C10+5*C16/1000*C21/1000)+1.5*2*C11)*C13*1000*gamma_m)/(4*C16*'Hilfstabellen_Mat&amp;Bem'!$BC$24*'Hilfstabellen_Mat&amp;Bem'!$BC$22*k_mod)))
)/RUWE_UZ,0)*RUWE_UZ,200)</f>
        <v>240</v>
      </c>
      <c r="D21">
        <f ca="1">IFERROR(ROUNDUP((MAX(
SQRT((3*(1.35*(2*D10+5*D16/1000*D21/1000)+1.5*2*D11)*((D13*1000)^2)*gamma_m)/(4*D16*k_mod*'Hilfstabellen_Mat&amp;Bem'!$BC$16)),
((3*(1.35*(2*D10+5*D16/1000*D21/1000)+1.5*2*D11)*D13*1000*gamma_m)/(4*D16*'Hilfstabellen_Mat&amp;Bem'!$BC$24*'Hilfstabellen_Mat&amp;Bem'!$BC$22*k_mod)))
)/RUWE_UZ,0)*RUWE_UZ,200)</f>
        <v>240</v>
      </c>
      <c r="E21">
        <f ca="1">IFERROR(ROUNDUP((MAX(
SQRT((3*(1.35*(2*E10+5*E16/1000*E21/1000)+1.5*2*E11)*((E13*1000)^2)*gamma_m)/(4*E16*k_mod*'Hilfstabellen_Mat&amp;Bem'!$BC$16)),
((3*(1.35*(2*E10+5*E16/1000*E21/1000)+1.5*2*E11)*E13*1000*gamma_m)/(4*E16*'Hilfstabellen_Mat&amp;Bem'!$BC$24*'Hilfstabellen_Mat&amp;Bem'!$BC$22*k_mod)))
)/RUWE_UZ,0)*RUWE_UZ,200)</f>
        <v>320</v>
      </c>
      <c r="F21">
        <f ca="1">IFERROR(ROUNDUP((MAX(
SQRT((3*(1.35*(2*F10+5*F16/1000*F21/1000)+1.5*2*F11)*((F13*1000)^2)*gamma_m)/(4*F16*k_mod*'Hilfstabellen_Mat&amp;Bem'!$BC$16)),
((3*(1.35*(2*F10+5*F16/1000*F21/1000)+1.5*2*F11)*F13*1000*gamma_m)/(4*F16*'Hilfstabellen_Mat&amp;Bem'!$BC$24*'Hilfstabellen_Mat&amp;Bem'!$BC$22*k_mod)))
)/RUWE_UZ,0)*RUWE_UZ,200)</f>
        <v>360</v>
      </c>
      <c r="G21">
        <f ca="1">IFERROR(ROUNDUP((MAX(
SQRT((3*(1.35*(2*G10+5*G16/1000*G21/1000)+1.5*2*G11)*((G13*1000)^2)*gamma_m)/(4*G16*k_mod*'Hilfstabellen_Mat&amp;Bem'!$BC$16)),
((3*(1.35*(2*G10+5*G16/1000*G21/1000)+1.5*2*G11)*G13*1000*gamma_m)/(4*G16*'Hilfstabellen_Mat&amp;Bem'!$BC$24*'Hilfstabellen_Mat&amp;Bem'!$BC$22*k_mod)))
)/RUWE_UZ,0)*RUWE_UZ,200)</f>
        <v>400</v>
      </c>
      <c r="H21">
        <f ca="1">IFERROR(ROUNDUP((MAX(
SQRT((3*(1.35*(2*H10+5*H16/1000*H21/1000)+1.5*2*H11)*((H13*1000)^2)*gamma_m)/(4*H16*k_mod*'Hilfstabellen_Mat&amp;Bem'!$BC$16)),
((3*(1.35*(2*H10+5*H16/1000*H21/1000)+1.5*2*H11)*H13*1000*gamma_m)/(4*H16*'Hilfstabellen_Mat&amp;Bem'!$BC$24*'Hilfstabellen_Mat&amp;Bem'!$BC$22*k_mod)))
)/RUWE_UZ,0)*RUWE_UZ,200)</f>
        <v>440</v>
      </c>
      <c r="I21" s="921">
        <f ca="1">IFERROR(ROUNDUP((MAX(
SQRT((3*(1.35*(2*I10+5*I16/1000*I21/1000)+1.5*2*I11)*((I13*1000)^2)*gamma_m)/(4*I16*k_mod*'Hilfstabellen_Mat&amp;Bem'!$BC$16)),
((3*(1.35*(2*I10+5*I16/1000*I21/1000)+1.5*2*I11)*I13*1000*gamma_m)/(4*I16*'Hilfstabellen_Mat&amp;Bem'!$BC$24*'Hilfstabellen_Mat&amp;Bem'!$BC$22*k_mod)))
)/RUWE_UZ,0)*RUWE_UZ,200)</f>
        <v>200</v>
      </c>
      <c r="J21">
        <f ca="1">IFERROR(ROUNDUP((MAX(
SQRT((3*(1.35*(2*J10+5*J16/1000*J21/1000)+1.5*2*J11)*((J13*1000)^2)*gamma_m)/(4*J16*k_mod*'Hilfstabellen_Mat&amp;Bem'!$BC$16)),
((3*(1.35*(2*J10+5*J16/1000*J21/1000)+1.5*2*J11)*J13*1000*gamma_m)/(4*J16*'Hilfstabellen_Mat&amp;Bem'!$BC$24*'Hilfstabellen_Mat&amp;Bem'!$BC$22*k_mod)))
)/RUWE_UZ,0)*RUWE_UZ,200)</f>
        <v>240</v>
      </c>
      <c r="K21">
        <f ca="1">IFERROR(ROUNDUP((MAX(
SQRT((3*(1.35*(2*K10+5*K16/1000*K21/1000)+1.5*2*K11)*((K13*1000)^2)*gamma_m)/(4*K16*k_mod*'Hilfstabellen_Mat&amp;Bem'!$BC$16)),
((3*(1.35*(2*K10+5*K16/1000*K21/1000)+1.5*2*K11)*K13*1000*gamma_m)/(4*K16*'Hilfstabellen_Mat&amp;Bem'!$BC$24*'Hilfstabellen_Mat&amp;Bem'!$BC$22*k_mod)))
)/RUWE_UZ,0)*RUWE_UZ,200)</f>
        <v>280</v>
      </c>
      <c r="L21">
        <f ca="1">IFERROR(ROUNDUP((MAX(
SQRT((3*(1.35*(2*L10+5*L16/1000*L21/1000)+1.5*2*L11)*((L13*1000)^2)*gamma_m)/(4*L16*k_mod*'Hilfstabellen_Mat&amp;Bem'!$BC$16)),
((3*(1.35*(2*L10+5*L16/1000*L21/1000)+1.5*2*L11)*L13*1000*gamma_m)/(4*L16*'Hilfstabellen_Mat&amp;Bem'!$BC$24*'Hilfstabellen_Mat&amp;Bem'!$BC$22*k_mod)))
)/RUWE_UZ,0)*RUWE_UZ,200)</f>
        <v>280</v>
      </c>
      <c r="M21">
        <f ca="1">IFERROR(ROUNDUP((MAX(
SQRT((3*(1.35*(2*M10+5*M16/1000*M21/1000)+1.5*2*M11)*((M13*1000)^2)*gamma_m)/(4*M16*k_mod*'Hilfstabellen_Mat&amp;Bem'!$BC$16)),
((3*(1.35*(2*M10+5*M16/1000*M21/1000)+1.5*2*M11)*M13*1000*gamma_m)/(4*M16*'Hilfstabellen_Mat&amp;Bem'!$BC$24*'Hilfstabellen_Mat&amp;Bem'!$BC$22*k_mod)))
)/RUWE_UZ,0)*RUWE_UZ,200)</f>
        <v>320</v>
      </c>
      <c r="N21">
        <f ca="1">IFERROR(ROUNDUP((MAX(
SQRT((3*(1.35*(2*N10+5*N16/1000*N21/1000)+1.5*2*N11)*((N13*1000)^2)*gamma_m)/(4*N16*k_mod*'Hilfstabellen_Mat&amp;Bem'!$BC$16)),
((3*(1.35*(2*N10+5*N16/1000*N21/1000)+1.5*2*N11)*N13*1000*gamma_m)/(4*N16*'Hilfstabellen_Mat&amp;Bem'!$BC$24*'Hilfstabellen_Mat&amp;Bem'!$BC$22*k_mod)))
)/RUWE_UZ,0)*RUWE_UZ,200)</f>
        <v>360</v>
      </c>
      <c r="O21">
        <f ca="1">IFERROR(ROUNDUP((MAX(
SQRT((3*(1.35*(2*O10+5*O16/1000*O21/1000)+1.5*2*O11)*((O13*1000)^2)*gamma_m)/(4*O16*k_mod*'Hilfstabellen_Mat&amp;Bem'!$BC$16)),
((3*(1.35*(2*O10+5*O16/1000*O21/1000)+1.5*2*O11)*O13*1000*gamma_m)/(4*O16*'Hilfstabellen_Mat&amp;Bem'!$BC$24*'Hilfstabellen_Mat&amp;Bem'!$BC$22*k_mod)))
)/RUWE_UZ,0)*RUWE_UZ,200)</f>
        <v>360</v>
      </c>
      <c r="P21">
        <f ca="1">IFERROR(ROUNDUP((MAX(
SQRT((3*(1.35*(2*P10+5*P16/1000*P21/1000)+1.5*2*P11)*((P13*1000)^2)*gamma_m)/(4*P16*k_mod*'Hilfstabellen_Mat&amp;Bem'!$BC$16)),
((3*(1.35*(2*P10+5*P16/1000*P21/1000)+1.5*2*P11)*P13*1000*gamma_m)/(4*P16*'Hilfstabellen_Mat&amp;Bem'!$BC$24*'Hilfstabellen_Mat&amp;Bem'!$BC$22*k_mod)))
)/RUWE_UZ,0)*RUWE_UZ,200)</f>
        <v>400</v>
      </c>
      <c r="Q21">
        <f ca="1">IFERROR(ROUNDUP((MAX(
SQRT((3*(1.35*(2*Q10+5*Q16/1000*Q21/1000)+1.5*2*Q11)*((Q13*1000)^2)*gamma_m)/(4*Q16*k_mod*'Hilfstabellen_Mat&amp;Bem'!$BC$16)),
((3*(1.35*(2*Q10+5*Q16/1000*Q21/1000)+1.5*2*Q11)*Q13*1000*gamma_m)/(4*Q16*'Hilfstabellen_Mat&amp;Bem'!$BC$24*'Hilfstabellen_Mat&amp;Bem'!$BC$22*k_mod)))
)/RUWE_UZ,0)*RUWE_UZ,200)</f>
        <v>400</v>
      </c>
      <c r="R21" s="921">
        <f ca="1">IFERROR(ROUNDUP((MAX(
SQRT((3*(1.35*(2*R10+5*R16/1000*R21/1000)+1.5*2*R11)*((R13*1000)^2)*gamma_m)/(4*R16*k_mod*'Hilfstabellen_Mat&amp;Bem'!$BC$16)),
((3*(1.35*(2*R10+5*R16/1000*R21/1000)+1.5*2*R11)*R13*1000*gamma_m)/(4*R16*'Hilfstabellen_Mat&amp;Bem'!$BC$24*'Hilfstabellen_Mat&amp;Bem'!$BC$22*k_mod)))
)/RUWE_UZ,0)*RUWE_UZ,200)</f>
        <v>200</v>
      </c>
      <c r="S21">
        <f ca="1">IFERROR(ROUNDUP((MAX(
SQRT((3*(1.35*(2*S10+5*S16/1000*S21/1000)+1.5*2*S11)*((S13*1000)^2)*gamma_m)/(4*S16*k_mod*'Hilfstabellen_Mat&amp;Bem'!$BC$16)),
((3*(1.35*(2*S10+5*S16/1000*S21/1000)+1.5*2*S11)*S13*1000*gamma_m)/(4*S16*'Hilfstabellen_Mat&amp;Bem'!$BC$24*'Hilfstabellen_Mat&amp;Bem'!$BC$22*k_mod)))
)/RUWE_UZ,0)*RUWE_UZ,200)</f>
        <v>240</v>
      </c>
      <c r="T21">
        <f ca="1">IFERROR(ROUNDUP((MAX(
SQRT((3*(1.35*(2*T10+5*T16/1000*T21/1000)+1.5*2*T11)*((T13*1000)^2)*gamma_m)/(4*T16*k_mod*'Hilfstabellen_Mat&amp;Bem'!$BC$16)),
((3*(1.35*(2*T10+5*T16/1000*T21/1000)+1.5*2*T11)*T13*1000*gamma_m)/(4*T16*'Hilfstabellen_Mat&amp;Bem'!$BC$24*'Hilfstabellen_Mat&amp;Bem'!$BC$22*k_mod)))
)/RUWE_UZ,0)*RUWE_UZ,200)</f>
        <v>280</v>
      </c>
      <c r="U21">
        <f ca="1">IFERROR(ROUNDUP((MAX(
SQRT((3*(1.35*(2*U10+5*U16/1000*U21/1000)+1.5*2*U11)*((U13*1000)^2)*gamma_m)/(4*U16*k_mod*'Hilfstabellen_Mat&amp;Bem'!$BC$16)),
((3*(1.35*(2*U10+5*U16/1000*U21/1000)+1.5*2*U11)*U13*1000*gamma_m)/(4*U16*'Hilfstabellen_Mat&amp;Bem'!$BC$24*'Hilfstabellen_Mat&amp;Bem'!$BC$22*k_mod)))
)/RUWE_UZ,0)*RUWE_UZ,200)</f>
        <v>320</v>
      </c>
      <c r="V21">
        <f ca="1">IFERROR(ROUNDUP((MAX(
SQRT((3*(1.35*(2*V10+5*V16/1000*V21/1000)+1.5*2*V11)*((V13*1000)^2)*gamma_m)/(4*V16*k_mod*'Hilfstabellen_Mat&amp;Bem'!$BC$16)),
((3*(1.35*(2*V10+5*V16/1000*V21/1000)+1.5*2*V11)*V13*1000*gamma_m)/(4*V16*'Hilfstabellen_Mat&amp;Bem'!$BC$24*'Hilfstabellen_Mat&amp;Bem'!$BC$22*k_mod)))
)/RUWE_UZ,0)*RUWE_UZ,200)</f>
        <v>360</v>
      </c>
      <c r="W21">
        <f ca="1">IFERROR(ROUNDUP((MAX(
SQRT((3*(1.35*(2*W10+5*W16/1000*W21/1000)+1.5*2*W11)*((W13*1000)^2)*gamma_m)/(4*W16*k_mod*'Hilfstabellen_Mat&amp;Bem'!$BC$16)),
((3*(1.35*(2*W10+5*W16/1000*W21/1000)+1.5*2*W11)*W13*1000*gamma_m)/(4*W16*'Hilfstabellen_Mat&amp;Bem'!$BC$24*'Hilfstabellen_Mat&amp;Bem'!$BC$22*k_mod)))
)/RUWE_UZ,0)*RUWE_UZ,200)</f>
        <v>360</v>
      </c>
      <c r="X21">
        <f ca="1">IFERROR(ROUNDUP((MAX(
SQRT((3*(1.35*(2*X10+5*X16/1000*X21/1000)+1.5*2*X11)*((X13*1000)^2)*gamma_m)/(4*X16*k_mod*'Hilfstabellen_Mat&amp;Bem'!$BC$16)),
((3*(1.35*(2*X10+5*X16/1000*X21/1000)+1.5*2*X11)*X13*1000*gamma_m)/(4*X16*'Hilfstabellen_Mat&amp;Bem'!$BC$24*'Hilfstabellen_Mat&amp;Bem'!$BC$22*k_mod)))
)/RUWE_UZ,0)*RUWE_UZ,200)</f>
        <v>360</v>
      </c>
      <c r="Y21">
        <f ca="1">IFERROR(ROUNDUP((MAX(
SQRT((3*(1.35*(2*Y10+5*Y16/1000*Y21/1000)+1.5*2*Y11)*((Y13*1000)^2)*gamma_m)/(4*Y16*k_mod*'Hilfstabellen_Mat&amp;Bem'!$BC$16)),
((3*(1.35*(2*Y10+5*Y16/1000*Y21/1000)+1.5*2*Y11)*Y13*1000*gamma_m)/(4*Y16*'Hilfstabellen_Mat&amp;Bem'!$BC$24*'Hilfstabellen_Mat&amp;Bem'!$BC$22*k_mod)))
)/RUWE_UZ,0)*RUWE_UZ,200)</f>
        <v>400</v>
      </c>
      <c r="Z21">
        <f ca="1">IFERROR(ROUNDUP((MAX(
SQRT((3*(1.35*(2*Z10+5*Z16/1000*Z21/1000)+1.5*2*Z11)*((Z13*1000)^2)*gamma_m)/(4*Z16*k_mod*'Hilfstabellen_Mat&amp;Bem'!$BC$16)),
((3*(1.35*(2*Z10+5*Z16/1000*Z21/1000)+1.5*2*Z11)*Z13*1000*gamma_m)/(4*Z16*'Hilfstabellen_Mat&amp;Bem'!$BC$24*'Hilfstabellen_Mat&amp;Bem'!$BC$22*k_mod)))
)/RUWE_UZ,0)*RUWE_UZ,200)</f>
        <v>440</v>
      </c>
      <c r="AA21" s="921">
        <f ca="1">IFERROR(ROUNDUP((MAX(
SQRT((3*(1.35*(2*AA10+5*AA16/1000*AA21/1000)+1.5*2*AA11)*((AA13*1000)^2)*gamma_m)/(4*AA16*k_mod*'Hilfstabellen_Mat&amp;Bem'!$BC$16)),
((3*(1.35*(2*AA10+5*AA16/1000*AA21/1000)+1.5*2*AA11)*AA13*1000*gamma_m)/(4*AA16*'Hilfstabellen_Mat&amp;Bem'!$BC$24*'Hilfstabellen_Mat&amp;Bem'!$BC$22*k_mod)))
)/RUWE_UZ,0)*RUWE_UZ,200)</f>
        <v>200</v>
      </c>
      <c r="AB21">
        <f ca="1">IFERROR(ROUNDUP((MAX(
SQRT((3*(1.35*(2*AB10+5*AB16/1000*AB21/1000)+1.5*2*AB11)*((AB13*1000)^2)*gamma_m)/(4*AB16*k_mod*'Hilfstabellen_Mat&amp;Bem'!$BC$16)),
((3*(1.35*(2*AB10+5*AB16/1000*AB21/1000)+1.5*2*AB11)*AB13*1000*gamma_m)/(4*AB16*'Hilfstabellen_Mat&amp;Bem'!$BC$24*'Hilfstabellen_Mat&amp;Bem'!$BC$22*k_mod)))
)/RUWE_UZ,0)*RUWE_UZ,200)</f>
        <v>240</v>
      </c>
      <c r="AC21">
        <f ca="1">IFERROR(ROUNDUP((MAX(
SQRT((3*(1.35*(2*AC10+5*AC16/1000*AC21/1000)+1.5*2*AC11)*((AC13*1000)^2)*gamma_m)/(4*AC16*k_mod*'Hilfstabellen_Mat&amp;Bem'!$BC$16)),
((3*(1.35*(2*AC10+5*AC16/1000*AC21/1000)+1.5*2*AC11)*AC13*1000*gamma_m)/(4*AC16*'Hilfstabellen_Mat&amp;Bem'!$BC$24*'Hilfstabellen_Mat&amp;Bem'!$BC$22*k_mod)))
)/RUWE_UZ,0)*RUWE_UZ,200)</f>
        <v>280</v>
      </c>
      <c r="AD21">
        <f ca="1">IFERROR(ROUNDUP((MAX(
SQRT((3*(1.35*(2*AD10+5*AD16/1000*AD21/1000)+1.5*2*AD11)*((AD13*1000)^2)*gamma_m)/(4*AD16*k_mod*'Hilfstabellen_Mat&amp;Bem'!$BC$16)),
((3*(1.35*(2*AD10+5*AD16/1000*AD21/1000)+1.5*2*AD11)*AD13*1000*gamma_m)/(4*AD16*'Hilfstabellen_Mat&amp;Bem'!$BC$24*'Hilfstabellen_Mat&amp;Bem'!$BC$22*k_mod)))
)/RUWE_UZ,0)*RUWE_UZ,200)</f>
        <v>320</v>
      </c>
      <c r="AE21">
        <f ca="1">IFERROR(ROUNDUP((MAX(
SQRT((3*(1.35*(2*AE10+5*AE16/1000*AE21/1000)+1.5*2*AE11)*((AE13*1000)^2)*gamma_m)/(4*AE16*k_mod*'Hilfstabellen_Mat&amp;Bem'!$BC$16)),
((3*(1.35*(2*AE10+5*AE16/1000*AE21/1000)+1.5*2*AE11)*AE13*1000*gamma_m)/(4*AE16*'Hilfstabellen_Mat&amp;Bem'!$BC$24*'Hilfstabellen_Mat&amp;Bem'!$BC$22*k_mod)))
)/RUWE_UZ,0)*RUWE_UZ,200)</f>
        <v>360</v>
      </c>
      <c r="AF21">
        <f ca="1">IFERROR(ROUNDUP((MAX(
SQRT((3*(1.35*(2*AF10+5*AF16/1000*AF21/1000)+1.5*2*AF11)*((AF13*1000)^2)*gamma_m)/(4*AF16*k_mod*'Hilfstabellen_Mat&amp;Bem'!$BC$16)),
((3*(1.35*(2*AF10+5*AF16/1000*AF21/1000)+1.5*2*AF11)*AF13*1000*gamma_m)/(4*AF16*'Hilfstabellen_Mat&amp;Bem'!$BC$24*'Hilfstabellen_Mat&amp;Bem'!$BC$22*k_mod)))
)/RUWE_UZ,0)*RUWE_UZ,200)</f>
        <v>360</v>
      </c>
      <c r="AG21">
        <f ca="1">IFERROR(ROUNDUP((MAX(
SQRT((3*(1.35*(2*AG10+5*AG16/1000*AG21/1000)+1.5*2*AG11)*((AG13*1000)^2)*gamma_m)/(4*AG16*k_mod*'Hilfstabellen_Mat&amp;Bem'!$BC$16)),
((3*(1.35*(2*AG10+5*AG16/1000*AG21/1000)+1.5*2*AG11)*AG13*1000*gamma_m)/(4*AG16*'Hilfstabellen_Mat&amp;Bem'!$BC$24*'Hilfstabellen_Mat&amp;Bem'!$BC$22*k_mod)))
)/RUWE_UZ,0)*RUWE_UZ,200)</f>
        <v>400</v>
      </c>
      <c r="AH21">
        <f ca="1">IFERROR(ROUNDUP((MAX(
SQRT((3*(1.35*(2*AH10+5*AH16/1000*AH21/1000)+1.5*2*AH11)*((AH13*1000)^2)*gamma_m)/(4*AH16*k_mod*'Hilfstabellen_Mat&amp;Bem'!$BC$16)),
((3*(1.35*(2*AH10+5*AH16/1000*AH21/1000)+1.5*2*AH11)*AH13*1000*gamma_m)/(4*AH16*'Hilfstabellen_Mat&amp;Bem'!$BC$24*'Hilfstabellen_Mat&amp;Bem'!$BC$22*k_mod)))
)/RUWE_UZ,0)*RUWE_UZ,200)</f>
        <v>400</v>
      </c>
      <c r="AI21">
        <f ca="1">IFERROR(ROUNDUP((MAX(
SQRT((3*(1.35*(2*AI10+5*AI16/1000*AI21/1000)+1.5*2*AI11)*((AI13*1000)^2)*gamma_m)/(4*AI16*k_mod*'Hilfstabellen_Mat&amp;Bem'!$BC$16)),
((3*(1.35*(2*AI10+5*AI16/1000*AI21/1000)+1.5*2*AI11)*AI13*1000*gamma_m)/(4*AI16*'Hilfstabellen_Mat&amp;Bem'!$BC$24*'Hilfstabellen_Mat&amp;Bem'!$BC$22*k_mod)))
)/RUWE_UZ,0)*RUWE_UZ,200)</f>
        <v>440</v>
      </c>
      <c r="AJ21" s="921">
        <f ca="1">IFERROR(ROUNDUP((MAX(
SQRT((3*(1.35*(2*AJ10+5*AJ16/1000*AJ21/1000)+1.5*2*AJ11)*((AJ13*1000)^2)*gamma_m)/(4*AJ16*k_mod*'Hilfstabellen_Mat&amp;Bem'!$BC$16)),
((3*(1.35*(2*AJ10+5*AJ16/1000*AJ21/1000)+1.5*2*AJ11)*AJ13*1000*gamma_m)/(4*AJ16*'Hilfstabellen_Mat&amp;Bem'!$BC$24*'Hilfstabellen_Mat&amp;Bem'!$BC$22*k_mod)))
)/RUWE_UZ,0)*RUWE_UZ,200)</f>
        <v>240</v>
      </c>
      <c r="AK21">
        <f ca="1">IFERROR(ROUNDUP((MAX(
SQRT((3*(1.35*(2*AK10+5*AK16/1000*AK21/1000)+1.5*2*AK11)*((AK13*1000)^2)*gamma_m)/(4*AK16*k_mod*'Hilfstabellen_Mat&amp;Bem'!$BC$16)),
((3*(1.35*(2*AK10+5*AK16/1000*AK21/1000)+1.5*2*AK11)*AK13*1000*gamma_m)/(4*AK16*'Hilfstabellen_Mat&amp;Bem'!$BC$24*'Hilfstabellen_Mat&amp;Bem'!$BC$22*k_mod)))
)/RUWE_UZ,0)*RUWE_UZ,200)</f>
        <v>240</v>
      </c>
      <c r="AL21">
        <f ca="1">IFERROR(ROUNDUP((MAX(
SQRT((3*(1.35*(2*AL10+5*AL16/1000*AL21/1000)+1.5*2*AL11)*((AL13*1000)^2)*gamma_m)/(4*AL16*k_mod*'Hilfstabellen_Mat&amp;Bem'!$BC$16)),
((3*(1.35*(2*AL10+5*AL16/1000*AL21/1000)+1.5*2*AL11)*AL13*1000*gamma_m)/(4*AL16*'Hilfstabellen_Mat&amp;Bem'!$BC$24*'Hilfstabellen_Mat&amp;Bem'!$BC$22*k_mod)))
)/RUWE_UZ,0)*RUWE_UZ,200)</f>
        <v>280</v>
      </c>
      <c r="AM21">
        <f ca="1">IFERROR(ROUNDUP((MAX(
SQRT((3*(1.35*(2*AM10+5*AM16/1000*AM21/1000)+1.5*2*AM11)*((AM13*1000)^2)*gamma_m)/(4*AM16*k_mod*'Hilfstabellen_Mat&amp;Bem'!$BC$16)),
((3*(1.35*(2*AM10+5*AM16/1000*AM21/1000)+1.5*2*AM11)*AM13*1000*gamma_m)/(4*AM16*'Hilfstabellen_Mat&amp;Bem'!$BC$24*'Hilfstabellen_Mat&amp;Bem'!$BC$22*k_mod)))
)/RUWE_UZ,0)*RUWE_UZ,200)</f>
        <v>320</v>
      </c>
      <c r="AN21">
        <f ca="1">IFERROR(ROUNDUP((MAX(
SQRT((3*(1.35*(2*AN10+5*AN16/1000*AN21/1000)+1.5*2*AN11)*((AN13*1000)^2)*gamma_m)/(4*AN16*k_mod*'Hilfstabellen_Mat&amp;Bem'!$BC$16)),
((3*(1.35*(2*AN10+5*AN16/1000*AN21/1000)+1.5*2*AN11)*AN13*1000*gamma_m)/(4*AN16*'Hilfstabellen_Mat&amp;Bem'!$BC$24*'Hilfstabellen_Mat&amp;Bem'!$BC$22*k_mod)))
)/RUWE_UZ,0)*RUWE_UZ,200)</f>
        <v>360</v>
      </c>
      <c r="AO21">
        <f ca="1">IFERROR(ROUNDUP((MAX(
SQRT((3*(1.35*(2*AO10+5*AO16/1000*AO21/1000)+1.5*2*AO11)*((AO13*1000)^2)*gamma_m)/(4*AO16*k_mod*'Hilfstabellen_Mat&amp;Bem'!$BC$16)),
((3*(1.35*(2*AO10+5*AO16/1000*AO21/1000)+1.5*2*AO11)*AO13*1000*gamma_m)/(4*AO16*'Hilfstabellen_Mat&amp;Bem'!$BC$24*'Hilfstabellen_Mat&amp;Bem'!$BC$22*k_mod)))
)/RUWE_UZ,0)*RUWE_UZ,200)</f>
        <v>400</v>
      </c>
      <c r="AP21">
        <f ca="1">IFERROR(ROUNDUP((MAX(
SQRT((3*(1.35*(2*AP10+5*AP16/1000*AP21/1000)+1.5*2*AP11)*((AP13*1000)^2)*gamma_m)/(4*AP16*k_mod*'Hilfstabellen_Mat&amp;Bem'!$BC$16)),
((3*(1.35*(2*AP10+5*AP16/1000*AP21/1000)+1.5*2*AP11)*AP13*1000*gamma_m)/(4*AP16*'Hilfstabellen_Mat&amp;Bem'!$BC$24*'Hilfstabellen_Mat&amp;Bem'!$BC$22*k_mod)))
)/RUWE_UZ,0)*RUWE_UZ,200)</f>
        <v>400</v>
      </c>
      <c r="AQ21">
        <f ca="1">IFERROR(ROUNDUP((MAX(
SQRT((3*(1.35*(2*AQ10+5*AQ16/1000*AQ21/1000)+1.5*2*AQ11)*((AQ13*1000)^2)*gamma_m)/(4*AQ16*k_mod*'Hilfstabellen_Mat&amp;Bem'!$BC$16)),
((3*(1.35*(2*AQ10+5*AQ16/1000*AQ21/1000)+1.5*2*AQ11)*AQ13*1000*gamma_m)/(4*AQ16*'Hilfstabellen_Mat&amp;Bem'!$BC$24*'Hilfstabellen_Mat&amp;Bem'!$BC$22*k_mod)))
)/RUWE_UZ,0)*RUWE_UZ,200)</f>
        <v>440</v>
      </c>
      <c r="AR21">
        <f ca="1">IFERROR(ROUNDUP((MAX(
SQRT((3*(1.35*(2*AR10+5*AR16/1000*AR21/1000)+1.5*2*AR11)*((AR13*1000)^2)*gamma_m)/(4*AR16*k_mod*'Hilfstabellen_Mat&amp;Bem'!$BC$16)),
((3*(1.35*(2*AR10+5*AR16/1000*AR21/1000)+1.5*2*AR11)*AR13*1000*gamma_m)/(4*AR16*'Hilfstabellen_Mat&amp;Bem'!$BC$24*'Hilfstabellen_Mat&amp;Bem'!$BC$22*k_mod)))
)/RUWE_UZ,0)*RUWE_UZ,200)</f>
        <v>480</v>
      </c>
      <c r="AS21" s="921">
        <f ca="1">IFERROR(ROUNDUP((MAX(
SQRT((3*(1.35*(2*AS10+5*AS16/1000*AS21/1000)+1.5*2*AS11)*((AS13*1000)^2)*gamma_m)/(4*AS16*k_mod*'Hilfstabellen_Mat&amp;Bem'!$BC$16)),
((3*(1.35*(2*AS10+5*AS16/1000*AS21/1000)+1.5*2*AS11)*AS13*1000*gamma_m)/(4*AS16*'Hilfstabellen_Mat&amp;Bem'!$BC$24*'Hilfstabellen_Mat&amp;Bem'!$BC$22*k_mod)))
)/RUWE_UZ,0)*RUWE_UZ,200)</f>
        <v>240</v>
      </c>
      <c r="AT21">
        <f ca="1">IFERROR(ROUNDUP((MAX(
SQRT((3*(1.35*(2*AT10+5*AT16/1000*AT21/1000)+1.5*2*AT11)*((AT13*1000)^2)*gamma_m)/(4*AT16*k_mod*'Hilfstabellen_Mat&amp;Bem'!$BC$16)),
((3*(1.35*(2*AT10+5*AT16/1000*AT21/1000)+1.5*2*AT11)*AT13*1000*gamma_m)/(4*AT16*'Hilfstabellen_Mat&amp;Bem'!$BC$24*'Hilfstabellen_Mat&amp;Bem'!$BC$22*k_mod)))
)/RUWE_UZ,0)*RUWE_UZ,200)</f>
        <v>280</v>
      </c>
      <c r="AU21">
        <f ca="1">IFERROR(ROUNDUP((MAX(
SQRT((3*(1.35*(2*AU10+5*AU16/1000*AU21/1000)+1.5*2*AU11)*((AU13*1000)^2)*gamma_m)/(4*AU16*k_mod*'Hilfstabellen_Mat&amp;Bem'!$BC$16)),
((3*(1.35*(2*AU10+5*AU16/1000*AU21/1000)+1.5*2*AU11)*AU13*1000*gamma_m)/(4*AU16*'Hilfstabellen_Mat&amp;Bem'!$BC$24*'Hilfstabellen_Mat&amp;Bem'!$BC$22*k_mod)))
)/RUWE_UZ,0)*RUWE_UZ,200)</f>
        <v>280</v>
      </c>
      <c r="AV21">
        <f ca="1">IFERROR(ROUNDUP((MAX(
SQRT((3*(1.35*(2*AV10+5*AV16/1000*AV21/1000)+1.5*2*AV11)*((AV13*1000)^2)*gamma_m)/(4*AV16*k_mod*'Hilfstabellen_Mat&amp;Bem'!$BC$16)),
((3*(1.35*(2*AV10+5*AV16/1000*AV21/1000)+1.5*2*AV11)*AV13*1000*gamma_m)/(4*AV16*'Hilfstabellen_Mat&amp;Bem'!$BC$24*'Hilfstabellen_Mat&amp;Bem'!$BC$22*k_mod)))
)/RUWE_UZ,0)*RUWE_UZ,200)</f>
        <v>320</v>
      </c>
      <c r="AW21">
        <f ca="1">IFERROR(ROUNDUP((MAX(
SQRT((3*(1.35*(2*AW10+5*AW16/1000*AW21/1000)+1.5*2*AW11)*((AW13*1000)^2)*gamma_m)/(4*AW16*k_mod*'Hilfstabellen_Mat&amp;Bem'!$BC$16)),
((3*(1.35*(2*AW10+5*AW16/1000*AW21/1000)+1.5*2*AW11)*AW13*1000*gamma_m)/(4*AW16*'Hilfstabellen_Mat&amp;Bem'!$BC$24*'Hilfstabellen_Mat&amp;Bem'!$BC$22*k_mod)))
)/RUWE_UZ,0)*RUWE_UZ,200)</f>
        <v>400</v>
      </c>
      <c r="AX21">
        <f ca="1">IFERROR(ROUNDUP((MAX(
SQRT((3*(1.35*(2*AX10+5*AX16/1000*AX21/1000)+1.5*2*AX11)*((AX13*1000)^2)*gamma_m)/(4*AX16*k_mod*'Hilfstabellen_Mat&amp;Bem'!$BC$16)),
((3*(1.35*(2*AX10+5*AX16/1000*AX21/1000)+1.5*2*AX11)*AX13*1000*gamma_m)/(4*AX16*'Hilfstabellen_Mat&amp;Bem'!$BC$24*'Hilfstabellen_Mat&amp;Bem'!$BC$22*k_mod)))
)/RUWE_UZ,0)*RUWE_UZ,200)</f>
        <v>440</v>
      </c>
      <c r="AY21">
        <f ca="1">IFERROR(ROUNDUP((MAX(
SQRT((3*(1.35*(2*AY10+5*AY16/1000*AY21/1000)+1.5*2*AY11)*((AY13*1000)^2)*gamma_m)/(4*AY16*k_mod*'Hilfstabellen_Mat&amp;Bem'!$BC$16)),
((3*(1.35*(2*AY10+5*AY16/1000*AY21/1000)+1.5*2*AY11)*AY13*1000*gamma_m)/(4*AY16*'Hilfstabellen_Mat&amp;Bem'!$BC$24*'Hilfstabellen_Mat&amp;Bem'!$BC$22*k_mod)))
)/RUWE_UZ,0)*RUWE_UZ,200)</f>
        <v>440</v>
      </c>
      <c r="AZ21">
        <f ca="1">IFERROR(ROUNDUP((MAX(
SQRT((3*(1.35*(2*AZ10+5*AZ16/1000*AZ21/1000)+1.5*2*AZ11)*((AZ13*1000)^2)*gamma_m)/(4*AZ16*k_mod*'Hilfstabellen_Mat&amp;Bem'!$BC$16)),
((3*(1.35*(2*AZ10+5*AZ16/1000*AZ21/1000)+1.5*2*AZ11)*AZ13*1000*gamma_m)/(4*AZ16*'Hilfstabellen_Mat&amp;Bem'!$BC$24*'Hilfstabellen_Mat&amp;Bem'!$BC$22*k_mod)))
)/RUWE_UZ,0)*RUWE_UZ,200)</f>
        <v>480</v>
      </c>
      <c r="BA21">
        <f ca="1">IFERROR(ROUNDUP((MAX(
SQRT((3*(1.35*(2*BA10+5*BA16/1000*BA21/1000)+1.5*2*BA11)*((BA13*1000)^2)*gamma_m)/(4*BA16*k_mod*'Hilfstabellen_Mat&amp;Bem'!$BC$16)),
((3*(1.35*(2*BA10+5*BA16/1000*BA21/1000)+1.5*2*BA11)*BA13*1000*gamma_m)/(4*BA16*'Hilfstabellen_Mat&amp;Bem'!$BC$24*'Hilfstabellen_Mat&amp;Bem'!$BC$22*k_mod)))
)/RUWE_UZ,0)*RUWE_UZ,200)</f>
        <v>520</v>
      </c>
      <c r="BB21" s="921">
        <f ca="1">IFERROR(ROUNDUP((MAX(
SQRT((3*(1.35*(2*BB10+5*BB16/1000*BB21/1000)+1.5*2*BB11)*((BB13*1000)^2)*gamma_m)/(4*BB16*k_mod*'Hilfstabellen_Mat&amp;Bem'!$BC$16)),
((3*(1.35*(2*BB10+5*BB16/1000*BB21/1000)+1.5*2*BB11)*BB13*1000*gamma_m)/(4*BB16*'Hilfstabellen_Mat&amp;Bem'!$BC$24*'Hilfstabellen_Mat&amp;Bem'!$BC$22*k_mod)))
)/RUWE_UZ,0)*RUWE_UZ,200)</f>
        <v>280</v>
      </c>
      <c r="BC21">
        <f ca="1">IFERROR(ROUNDUP((MAX(
SQRT((3*(1.35*(2*BC10+5*BC16/1000*BC21/1000)+1.5*2*BC11)*((BC13*1000)^2)*gamma_m)/(4*BC16*k_mod*'Hilfstabellen_Mat&amp;Bem'!$BC$16)),
((3*(1.35*(2*BC10+5*BC16/1000*BC21/1000)+1.5*2*BC11)*BC13*1000*gamma_m)/(4*BC16*'Hilfstabellen_Mat&amp;Bem'!$BC$24*'Hilfstabellen_Mat&amp;Bem'!$BC$22*k_mod)))
)/RUWE_UZ,0)*RUWE_UZ,200)</f>
        <v>280</v>
      </c>
      <c r="BD21">
        <f ca="1">IFERROR(ROUNDUP((MAX(
SQRT((3*(1.35*(2*BD10+5*BD16/1000*BD21/1000)+1.5*2*BD11)*((BD13*1000)^2)*gamma_m)/(4*BD16*k_mod*'Hilfstabellen_Mat&amp;Bem'!$BC$16)),
((3*(1.35*(2*BD10+5*BD16/1000*BD21/1000)+1.5*2*BD11)*BD13*1000*gamma_m)/(4*BD16*'Hilfstabellen_Mat&amp;Bem'!$BC$24*'Hilfstabellen_Mat&amp;Bem'!$BC$22*k_mod)))
)/RUWE_UZ,0)*RUWE_UZ,200)</f>
        <v>280</v>
      </c>
      <c r="BE21">
        <f ca="1">IFERROR(ROUNDUP((MAX(
SQRT((3*(1.35*(2*BE10+5*BE16/1000*BE21/1000)+1.5*2*BE11)*((BE13*1000)^2)*gamma_m)/(4*BE16*k_mod*'Hilfstabellen_Mat&amp;Bem'!$BC$16)),
((3*(1.35*(2*BE10+5*BE16/1000*BE21/1000)+1.5*2*BE11)*BE13*1000*gamma_m)/(4*BE16*'Hilfstabellen_Mat&amp;Bem'!$BC$24*'Hilfstabellen_Mat&amp;Bem'!$BC$22*k_mod)))
)/RUWE_UZ,0)*RUWE_UZ,200)</f>
        <v>320</v>
      </c>
      <c r="BF21">
        <f ca="1">IFERROR(ROUNDUP((MAX(
SQRT((3*(1.35*(2*BF10+5*BF16/1000*BF21/1000)+1.5*2*BF11)*((BF13*1000)^2)*gamma_m)/(4*BF16*k_mod*'Hilfstabellen_Mat&amp;Bem'!$BC$16)),
((3*(1.35*(2*BF10+5*BF16/1000*BF21/1000)+1.5*2*BF11)*BF13*1000*gamma_m)/(4*BF16*'Hilfstabellen_Mat&amp;Bem'!$BC$24*'Hilfstabellen_Mat&amp;Bem'!$BC$22*k_mod)))
)/RUWE_UZ,0)*RUWE_UZ,200)</f>
        <v>360</v>
      </c>
      <c r="BG21">
        <f ca="1">IFERROR(ROUNDUP((MAX(
SQRT((3*(1.35*(2*BG10+5*BG16/1000*BG21/1000)+1.5*2*BG11)*((BG13*1000)^2)*gamma_m)/(4*BG16*k_mod*'Hilfstabellen_Mat&amp;Bem'!$BC$16)),
((3*(1.35*(2*BG10+5*BG16/1000*BG21/1000)+1.5*2*BG11)*BG13*1000*gamma_m)/(4*BG16*'Hilfstabellen_Mat&amp;Bem'!$BC$24*'Hilfstabellen_Mat&amp;Bem'!$BC$22*k_mod)))
)/RUWE_UZ,0)*RUWE_UZ,200)</f>
        <v>440</v>
      </c>
      <c r="BH21">
        <f ca="1">IFERROR(ROUNDUP((MAX(
SQRT((3*(1.35*(2*BH10+5*BH16/1000*BH21/1000)+1.5*2*BH11)*((BH13*1000)^2)*gamma_m)/(4*BH16*k_mod*'Hilfstabellen_Mat&amp;Bem'!$BC$16)),
((3*(1.35*(2*BH10+5*BH16/1000*BH21/1000)+1.5*2*BH11)*BH13*1000*gamma_m)/(4*BH16*'Hilfstabellen_Mat&amp;Bem'!$BC$24*'Hilfstabellen_Mat&amp;Bem'!$BC$22*k_mod)))
)/RUWE_UZ,0)*RUWE_UZ,200)</f>
        <v>480</v>
      </c>
      <c r="BI21">
        <f ca="1">IFERROR(ROUNDUP((MAX(
SQRT((3*(1.35*(2*BI10+5*BI16/1000*BI21/1000)+1.5*2*BI11)*((BI13*1000)^2)*gamma_m)/(4*BI16*k_mod*'Hilfstabellen_Mat&amp;Bem'!$BC$16)),
((3*(1.35*(2*BI10+5*BI16/1000*BI21/1000)+1.5*2*BI11)*BI13*1000*gamma_m)/(4*BI16*'Hilfstabellen_Mat&amp;Bem'!$BC$24*'Hilfstabellen_Mat&amp;Bem'!$BC$22*k_mod)))
)/RUWE_UZ,0)*RUWE_UZ,200)</f>
        <v>480</v>
      </c>
      <c r="BJ21">
        <f ca="1">IFERROR(ROUNDUP((MAX(
SQRT((3*(1.35*(2*BJ10+5*BJ16/1000*BJ21/1000)+1.5*2*BJ11)*((BJ13*1000)^2)*gamma_m)/(4*BJ16*k_mod*'Hilfstabellen_Mat&amp;Bem'!$BC$16)),
((3*(1.35*(2*BJ10+5*BJ16/1000*BJ21/1000)+1.5*2*BJ11)*BJ13*1000*gamma_m)/(4*BJ16*'Hilfstabellen_Mat&amp;Bem'!$BC$24*'Hilfstabellen_Mat&amp;Bem'!$BC$22*k_mod)))
)/RUWE_UZ,0)*RUWE_UZ,200)</f>
        <v>520</v>
      </c>
      <c r="BK21" s="921">
        <f ca="1">IFERROR(ROUNDUP((MAX(
SQRT((3*(1.35*(2*BK10+5*BK16/1000*BK21/1000)+1.5*2*BK11)*((BK13*1000)^2)*gamma_m)/(4*BK16*k_mod*'Hilfstabellen_Mat&amp;Bem'!$BC$16)),
((3*(1.35*(2*BK10+5*BK16/1000*BK21/1000)+1.5*2*BK11)*BK13*1000*gamma_m)/(4*BK16*'Hilfstabellen_Mat&amp;Bem'!$BC$24*'Hilfstabellen_Mat&amp;Bem'!$BC$22*k_mod)))
)/RUWE_UZ,0)*RUWE_UZ,200)</f>
        <v>280</v>
      </c>
      <c r="BL21">
        <f ca="1">IFERROR(ROUNDUP((MAX(
SQRT((3*(1.35*(2*BL10+5*BL16/1000*BL21/1000)+1.5*2*BL11)*((BL13*1000)^2)*gamma_m)/(4*BL16*k_mod*'Hilfstabellen_Mat&amp;Bem'!$BC$16)),
((3*(1.35*(2*BL10+5*BL16/1000*BL21/1000)+1.5*2*BL11)*BL13*1000*gamma_m)/(4*BL16*'Hilfstabellen_Mat&amp;Bem'!$BC$24*'Hilfstabellen_Mat&amp;Bem'!$BC$22*k_mod)))
)/RUWE_UZ,0)*RUWE_UZ,200)</f>
        <v>280</v>
      </c>
      <c r="BM21">
        <f ca="1">IFERROR(ROUNDUP((MAX(
SQRT((3*(1.35*(2*BM10+5*BM16/1000*BM21/1000)+1.5*2*BM11)*((BM13*1000)^2)*gamma_m)/(4*BM16*k_mod*'Hilfstabellen_Mat&amp;Bem'!$BC$16)),
((3*(1.35*(2*BM10+5*BM16/1000*BM21/1000)+1.5*2*BM11)*BM13*1000*gamma_m)/(4*BM16*'Hilfstabellen_Mat&amp;Bem'!$BC$24*'Hilfstabellen_Mat&amp;Bem'!$BC$22*k_mod)))
)/RUWE_UZ,0)*RUWE_UZ,200)</f>
        <v>280</v>
      </c>
      <c r="BN21">
        <f ca="1">IFERROR(ROUNDUP((MAX(
SQRT((3*(1.35*(2*BN10+5*BN16/1000*BN21/1000)+1.5*2*BN11)*((BN13*1000)^2)*gamma_m)/(4*BN16*k_mod*'Hilfstabellen_Mat&amp;Bem'!$BC$16)),
((3*(1.35*(2*BN10+5*BN16/1000*BN21/1000)+1.5*2*BN11)*BN13*1000*gamma_m)/(4*BN16*'Hilfstabellen_Mat&amp;Bem'!$BC$24*'Hilfstabellen_Mat&amp;Bem'!$BC$22*k_mod)))
)/RUWE_UZ,0)*RUWE_UZ,200)</f>
        <v>360</v>
      </c>
      <c r="BO21">
        <f ca="1">IFERROR(ROUNDUP((MAX(
SQRT((3*(1.35*(2*BO10+5*BO16/1000*BO21/1000)+1.5*2*BO11)*((BO13*1000)^2)*gamma_m)/(4*BO16*k_mod*'Hilfstabellen_Mat&amp;Bem'!$BC$16)),
((3*(1.35*(2*BO10+5*BO16/1000*BO21/1000)+1.5*2*BO11)*BO13*1000*gamma_m)/(4*BO16*'Hilfstabellen_Mat&amp;Bem'!$BC$24*'Hilfstabellen_Mat&amp;Bem'!$BC$22*k_mod)))
)/RUWE_UZ,0)*RUWE_UZ,200)</f>
        <v>400</v>
      </c>
      <c r="BP21">
        <f ca="1">IFERROR(ROUNDUP((MAX(
SQRT((3*(1.35*(2*BP10+5*BP16/1000*BP21/1000)+1.5*2*BP11)*((BP13*1000)^2)*gamma_m)/(4*BP16*k_mod*'Hilfstabellen_Mat&amp;Bem'!$BC$16)),
((3*(1.35*(2*BP10+5*BP16/1000*BP21/1000)+1.5*2*BP11)*BP13*1000*gamma_m)/(4*BP16*'Hilfstabellen_Mat&amp;Bem'!$BC$24*'Hilfstabellen_Mat&amp;Bem'!$BC$22*k_mod)))
)/RUWE_UZ,0)*RUWE_UZ,200)</f>
        <v>440</v>
      </c>
      <c r="BQ21">
        <f ca="1">IFERROR(ROUNDUP((MAX(
SQRT((3*(1.35*(2*BQ10+5*BQ16/1000*BQ21/1000)+1.5*2*BQ11)*((BQ13*1000)^2)*gamma_m)/(4*BQ16*k_mod*'Hilfstabellen_Mat&amp;Bem'!$BC$16)),
((3*(1.35*(2*BQ10+5*BQ16/1000*BQ21/1000)+1.5*2*BQ11)*BQ13*1000*gamma_m)/(4*BQ16*'Hilfstabellen_Mat&amp;Bem'!$BC$24*'Hilfstabellen_Mat&amp;Bem'!$BC$22*k_mod)))
)/RUWE_UZ,0)*RUWE_UZ,200)</f>
        <v>480</v>
      </c>
      <c r="BR21">
        <f ca="1">IFERROR(ROUNDUP((MAX(
SQRT((3*(1.35*(2*BR10+5*BR16/1000*BR21/1000)+1.5*2*BR11)*((BR13*1000)^2)*gamma_m)/(4*BR16*k_mod*'Hilfstabellen_Mat&amp;Bem'!$BC$16)),
((3*(1.35*(2*BR10+5*BR16/1000*BR21/1000)+1.5*2*BR11)*BR13*1000*gamma_m)/(4*BR16*'Hilfstabellen_Mat&amp;Bem'!$BC$24*'Hilfstabellen_Mat&amp;Bem'!$BC$22*k_mod)))
)/RUWE_UZ,0)*RUWE_UZ,200)</f>
        <v>520</v>
      </c>
      <c r="BS21">
        <f ca="1">IFERROR(ROUNDUP((MAX(
SQRT((3*(1.35*(2*BS10+5*BS16/1000*BS21/1000)+1.5*2*BS11)*((BS13*1000)^2)*gamma_m)/(4*BS16*k_mod*'Hilfstabellen_Mat&amp;Bem'!$BC$16)),
((3*(1.35*(2*BS10+5*BS16/1000*BS21/1000)+1.5*2*BS11)*BS13*1000*gamma_m)/(4*BS16*'Hilfstabellen_Mat&amp;Bem'!$BC$24*'Hilfstabellen_Mat&amp;Bem'!$BC$22*k_mod)))
)/RUWE_UZ,0)*RUWE_UZ,200)</f>
        <v>520</v>
      </c>
    </row>
    <row r="25" spans="1:71">
      <c r="A25" s="935" t="s">
        <v>877</v>
      </c>
      <c r="D25" s="466"/>
      <c r="E25" s="466"/>
      <c r="I25" s="921"/>
      <c r="R25" s="921"/>
      <c r="AA25" s="921"/>
      <c r="AJ25" s="921"/>
      <c r="AS25" s="921"/>
      <c r="BB25" s="921"/>
      <c r="BK25" s="921"/>
    </row>
    <row r="26" spans="1:71">
      <c r="B26" s="466" t="s">
        <v>864</v>
      </c>
      <c r="D26" s="1459">
        <f>'Hilfstabellen_Mat&amp;Bem'!$BC$28</f>
        <v>1.1499999999999999</v>
      </c>
      <c r="E26" s="1459"/>
      <c r="I26" s="921"/>
      <c r="R26" s="921"/>
      <c r="AA26" s="921"/>
      <c r="AJ26" s="921"/>
      <c r="AS26" s="921"/>
      <c r="BB26" s="921"/>
      <c r="BK26" s="921"/>
    </row>
    <row r="27" spans="1:71">
      <c r="B27" s="466" t="s">
        <v>848</v>
      </c>
      <c r="C27" s="466"/>
      <c r="D27" s="466"/>
      <c r="E27" s="466"/>
      <c r="F27" s="466"/>
      <c r="G27" s="466"/>
      <c r="H27" s="466"/>
      <c r="I27" s="799"/>
      <c r="J27" s="1468" t="s">
        <v>850</v>
      </c>
      <c r="K27" s="1468"/>
      <c r="L27" s="1468"/>
      <c r="M27" s="1468"/>
      <c r="N27" s="1468"/>
      <c r="O27" s="466" t="s">
        <v>853</v>
      </c>
      <c r="P27" s="466"/>
      <c r="Q27" s="466"/>
      <c r="R27" s="799"/>
      <c r="S27" s="466"/>
      <c r="T27" s="466"/>
      <c r="AA27" s="799"/>
      <c r="AJ27" s="799"/>
      <c r="AS27" s="799"/>
      <c r="BB27" s="799"/>
      <c r="BK27" s="799"/>
    </row>
    <row r="28" spans="1:71">
      <c r="B28" s="466" t="s">
        <v>851</v>
      </c>
      <c r="C28" s="465"/>
      <c r="D28" s="465" t="s">
        <v>852</v>
      </c>
      <c r="E28" s="1459">
        <f>IF(J27="eindimensionalen",'Hilfstabellen_Mat&amp;Bem'!$BC$27,'Hilfstabellen_Mat&amp;Bem'!$BC$26)</f>
        <v>0.7</v>
      </c>
      <c r="F28" s="1459"/>
      <c r="G28" s="466" t="s">
        <v>855</v>
      </c>
      <c r="H28" s="466"/>
      <c r="I28" s="921"/>
      <c r="R28" s="921"/>
      <c r="AA28" s="921"/>
      <c r="AJ28" s="921"/>
      <c r="AS28" s="921"/>
      <c r="BB28" s="921"/>
      <c r="BK28" s="921"/>
    </row>
    <row r="29" spans="1:71">
      <c r="A29" t="s">
        <v>854</v>
      </c>
      <c r="B29" s="466" t="s">
        <v>851</v>
      </c>
      <c r="C29" s="465"/>
      <c r="D29" s="465" t="s">
        <v>852</v>
      </c>
      <c r="E29" s="1465">
        <f ca="1">IF(brand_UZ="",0,brand_UZ*E28+7)</f>
        <v>49</v>
      </c>
      <c r="F29" s="1465"/>
      <c r="G29" s="466" t="s">
        <v>856</v>
      </c>
      <c r="H29" s="466"/>
      <c r="I29" s="921"/>
      <c r="R29" s="921"/>
      <c r="AA29" s="921"/>
      <c r="AJ29" s="921"/>
      <c r="AS29" s="921"/>
      <c r="BB29" s="921"/>
      <c r="BK29" s="921"/>
    </row>
    <row r="30" spans="1:71">
      <c r="A30" t="s">
        <v>1833</v>
      </c>
      <c r="B30">
        <f t="shared" ref="B30:AG30" ca="1" si="13">B16-2*d_char_UZ</f>
        <v>142</v>
      </c>
      <c r="C30">
        <f t="shared" ca="1" si="13"/>
        <v>142</v>
      </c>
      <c r="D30">
        <f t="shared" ca="1" si="13"/>
        <v>142</v>
      </c>
      <c r="E30">
        <f t="shared" ca="1" si="13"/>
        <v>142</v>
      </c>
      <c r="F30">
        <f t="shared" ca="1" si="13"/>
        <v>182</v>
      </c>
      <c r="G30">
        <f t="shared" ca="1" si="13"/>
        <v>182</v>
      </c>
      <c r="H30">
        <f t="shared" ca="1" si="13"/>
        <v>222</v>
      </c>
      <c r="I30" s="921">
        <f t="shared" ca="1" si="13"/>
        <v>142</v>
      </c>
      <c r="J30">
        <f t="shared" ca="1" si="13"/>
        <v>142</v>
      </c>
      <c r="K30">
        <f t="shared" ca="1" si="13"/>
        <v>142</v>
      </c>
      <c r="L30">
        <f t="shared" ca="1" si="13"/>
        <v>142</v>
      </c>
      <c r="M30">
        <f t="shared" ca="1" si="13"/>
        <v>142</v>
      </c>
      <c r="N30">
        <f t="shared" ca="1" si="13"/>
        <v>142</v>
      </c>
      <c r="O30">
        <f t="shared" ca="1" si="13"/>
        <v>182</v>
      </c>
      <c r="P30">
        <f t="shared" ca="1" si="13"/>
        <v>182</v>
      </c>
      <c r="Q30">
        <f t="shared" ca="1" si="13"/>
        <v>182</v>
      </c>
      <c r="R30" s="921">
        <f t="shared" ca="1" si="13"/>
        <v>142</v>
      </c>
      <c r="S30">
        <f t="shared" ca="1" si="13"/>
        <v>142</v>
      </c>
      <c r="T30">
        <f t="shared" ca="1" si="13"/>
        <v>142</v>
      </c>
      <c r="U30">
        <f t="shared" ca="1" si="13"/>
        <v>142</v>
      </c>
      <c r="V30">
        <f t="shared" ca="1" si="13"/>
        <v>142</v>
      </c>
      <c r="W30">
        <f t="shared" ca="1" si="13"/>
        <v>182</v>
      </c>
      <c r="X30">
        <f t="shared" ca="1" si="13"/>
        <v>182</v>
      </c>
      <c r="Y30">
        <f t="shared" ca="1" si="13"/>
        <v>182</v>
      </c>
      <c r="Z30">
        <f t="shared" ca="1" si="13"/>
        <v>182</v>
      </c>
      <c r="AA30" s="921">
        <f t="shared" ca="1" si="13"/>
        <v>142</v>
      </c>
      <c r="AB30">
        <f t="shared" ca="1" si="13"/>
        <v>142</v>
      </c>
      <c r="AC30">
        <f t="shared" ca="1" si="13"/>
        <v>142</v>
      </c>
      <c r="AD30">
        <f t="shared" ca="1" si="13"/>
        <v>142</v>
      </c>
      <c r="AE30">
        <f t="shared" ca="1" si="13"/>
        <v>142</v>
      </c>
      <c r="AF30">
        <f t="shared" ca="1" si="13"/>
        <v>182</v>
      </c>
      <c r="AG30">
        <f t="shared" ca="1" si="13"/>
        <v>182</v>
      </c>
      <c r="AH30">
        <f t="shared" ref="AH30:BM30" ca="1" si="14">AH16-2*d_char_UZ</f>
        <v>182</v>
      </c>
      <c r="AI30">
        <f t="shared" ca="1" si="14"/>
        <v>182</v>
      </c>
      <c r="AJ30" s="921">
        <f t="shared" ca="1" si="14"/>
        <v>142</v>
      </c>
      <c r="AK30">
        <f t="shared" ca="1" si="14"/>
        <v>142</v>
      </c>
      <c r="AL30">
        <f t="shared" ca="1" si="14"/>
        <v>142</v>
      </c>
      <c r="AM30">
        <f t="shared" ca="1" si="14"/>
        <v>182</v>
      </c>
      <c r="AN30">
        <f t="shared" ca="1" si="14"/>
        <v>182</v>
      </c>
      <c r="AO30">
        <f t="shared" ca="1" si="14"/>
        <v>182</v>
      </c>
      <c r="AP30">
        <f t="shared" ca="1" si="14"/>
        <v>182</v>
      </c>
      <c r="AQ30">
        <f t="shared" ca="1" si="14"/>
        <v>182</v>
      </c>
      <c r="AR30">
        <f t="shared" ca="1" si="14"/>
        <v>182</v>
      </c>
      <c r="AS30" s="921">
        <f t="shared" ca="1" si="14"/>
        <v>142</v>
      </c>
      <c r="AT30">
        <f t="shared" ca="1" si="14"/>
        <v>142</v>
      </c>
      <c r="AU30">
        <f t="shared" ca="1" si="14"/>
        <v>142</v>
      </c>
      <c r="AV30">
        <f t="shared" ca="1" si="14"/>
        <v>142</v>
      </c>
      <c r="AW30">
        <f t="shared" ca="1" si="14"/>
        <v>182</v>
      </c>
      <c r="AX30">
        <f t="shared" ca="1" si="14"/>
        <v>182</v>
      </c>
      <c r="AY30">
        <f t="shared" ca="1" si="14"/>
        <v>182</v>
      </c>
      <c r="AZ30">
        <f t="shared" ca="1" si="14"/>
        <v>182</v>
      </c>
      <c r="BA30">
        <f t="shared" ca="1" si="14"/>
        <v>182</v>
      </c>
      <c r="BB30" s="921">
        <f t="shared" ca="1" si="14"/>
        <v>142</v>
      </c>
      <c r="BC30">
        <f t="shared" ca="1" si="14"/>
        <v>142</v>
      </c>
      <c r="BD30">
        <f t="shared" ca="1" si="14"/>
        <v>142</v>
      </c>
      <c r="BE30">
        <f t="shared" ca="1" si="14"/>
        <v>182</v>
      </c>
      <c r="BF30">
        <f t="shared" ca="1" si="14"/>
        <v>182</v>
      </c>
      <c r="BG30">
        <f t="shared" ca="1" si="14"/>
        <v>182</v>
      </c>
      <c r="BH30">
        <f t="shared" ca="1" si="14"/>
        <v>182</v>
      </c>
      <c r="BI30">
        <f t="shared" ca="1" si="14"/>
        <v>222</v>
      </c>
      <c r="BJ30">
        <f t="shared" ca="1" si="14"/>
        <v>222</v>
      </c>
      <c r="BK30" s="921">
        <f t="shared" ca="1" si="14"/>
        <v>182</v>
      </c>
      <c r="BL30">
        <f t="shared" ca="1" si="14"/>
        <v>182</v>
      </c>
      <c r="BM30">
        <f t="shared" ca="1" si="14"/>
        <v>182</v>
      </c>
      <c r="BN30">
        <f t="shared" ref="BN30:BS30" ca="1" si="15">BN16-2*d_char_UZ</f>
        <v>182</v>
      </c>
      <c r="BO30">
        <f t="shared" ca="1" si="15"/>
        <v>182</v>
      </c>
      <c r="BP30">
        <f t="shared" ca="1" si="15"/>
        <v>182</v>
      </c>
      <c r="BQ30">
        <f t="shared" ca="1" si="15"/>
        <v>222</v>
      </c>
      <c r="BR30">
        <f t="shared" ca="1" si="15"/>
        <v>222</v>
      </c>
      <c r="BS30">
        <f t="shared" ca="1" si="15"/>
        <v>222</v>
      </c>
    </row>
    <row r="31" spans="1:71">
      <c r="A31" t="s">
        <v>1832</v>
      </c>
      <c r="B31">
        <f ca="1">IFERROR(ROUNDUP((MAX((SQRT((3*(2*B10+5*B16/1000*B31/1000+0.3*2*B11)*((B13*1000)^2)*gamma_mfi)/(4*B30*k_modfi*k_fi_UZ*'Hilfstabellen_Mat&amp;Bem'!$BC$16))+d_char_UZ),
(((3*(2*B10+5*B16/1000*C38/1000+0.3*2*B11)*B13*1000*gamma_mfi)/(4*B30*'Hilfstabellen_Mat&amp;Bem'!$BC$24*k_fi_UZ*'Hilfstabellen_Mat&amp;Bem'!$BC$22*k_modfi))+d_char_UZ)))/RUWE_UZ,0)*RUWE_UZ,200)</f>
        <v>200</v>
      </c>
      <c r="C31">
        <f ca="1">IFERROR(ROUNDUP((MAX((SQRT((3*(2*C10+5*C16/1000*C31/1000+0.3*2*C11)*((C13*1000)^2)*gamma_mfi)/(4*C30*k_modfi*k_fi_UZ*'Hilfstabellen_Mat&amp;Bem'!$BC$16))+d_char_UZ),
(((3*(2*C10+5*C16/1000*D38/1000+0.3*2*C11)*C13*1000*gamma_mfi)/(4*C30*'Hilfstabellen_Mat&amp;Bem'!$BC$24*k_fi_UZ*'Hilfstabellen_Mat&amp;Bem'!$BC$22*k_modfi))+d_char_UZ)))/RUWE_UZ,0)*RUWE_UZ,200)</f>
        <v>200</v>
      </c>
      <c r="D31">
        <f ca="1">IFERROR(ROUNDUP((MAX((SQRT((3*(2*D10+5*D16/1000*D31/1000+0.3*2*D11)*((D13*1000)^2)*gamma_mfi)/(4*D30*k_modfi*k_fi_UZ*'Hilfstabellen_Mat&amp;Bem'!$BC$16))+d_char_UZ),
(((3*(2*D10+5*D16/1000*E38/1000+0.3*2*D11)*D13*1000*gamma_mfi)/(4*D30*'Hilfstabellen_Mat&amp;Bem'!$BC$24*k_fi_UZ*'Hilfstabellen_Mat&amp;Bem'!$BC$22*k_modfi))+d_char_UZ)))/RUWE_UZ,0)*RUWE_UZ,200)</f>
        <v>240</v>
      </c>
      <c r="E31">
        <f ca="1">IFERROR(ROUNDUP((MAX((SQRT((3*(2*E10+5*E16/1000*E31/1000+0.3*2*E11)*((E13*1000)^2)*gamma_mfi)/(4*E30*k_modfi*k_fi_UZ*'Hilfstabellen_Mat&amp;Bem'!$BC$16))+d_char_UZ),
(((3*(2*E10+5*E16/1000*F38/1000+0.3*2*E11)*E13*1000*gamma_mfi)/(4*E30*'Hilfstabellen_Mat&amp;Bem'!$BC$24*k_fi_UZ*'Hilfstabellen_Mat&amp;Bem'!$BC$22*k_modfi))+d_char_UZ)))/RUWE_UZ,0)*RUWE_UZ,200)</f>
        <v>280</v>
      </c>
      <c r="F31">
        <f ca="1">IFERROR(ROUNDUP((MAX((SQRT((3*(2*F10+5*F16/1000*F31/1000+0.3*2*F11)*((F13*1000)^2)*gamma_mfi)/(4*F30*k_modfi*k_fi_UZ*'Hilfstabellen_Mat&amp;Bem'!$BC$16))+d_char_UZ),
(((3*(2*F10+5*F16/1000*G38/1000+0.3*2*F11)*F13*1000*gamma_mfi)/(4*F30*'Hilfstabellen_Mat&amp;Bem'!$BC$24*k_fi_UZ*'Hilfstabellen_Mat&amp;Bem'!$BC$22*k_modfi))+d_char_UZ)))/RUWE_UZ,0)*RUWE_UZ,200)</f>
        <v>280</v>
      </c>
      <c r="G31">
        <f ca="1">IFERROR(ROUNDUP((MAX((SQRT((3*(2*G10+5*G16/1000*G31/1000+0.3*2*G11)*((G13*1000)^2)*gamma_mfi)/(4*G30*k_modfi*k_fi_UZ*'Hilfstabellen_Mat&amp;Bem'!$BC$16))+d_char_UZ),
(((3*(2*G10+5*G16/1000*H38/1000+0.3*2*G11)*G13*1000*gamma_mfi)/(4*G30*'Hilfstabellen_Mat&amp;Bem'!$BC$24*k_fi_UZ*'Hilfstabellen_Mat&amp;Bem'!$BC$22*k_modfi))+d_char_UZ)))/RUWE_UZ,0)*RUWE_UZ,200)</f>
        <v>320</v>
      </c>
      <c r="H31">
        <f ca="1">IFERROR(ROUNDUP((MAX((SQRT((3*(2*H10+5*H16/1000*H31/1000+0.3*2*H11)*((H13*1000)^2)*gamma_mfi)/(4*H30*k_modfi*k_fi_UZ*'Hilfstabellen_Mat&amp;Bem'!$BC$16))+d_char_UZ),
(((3*(2*H10+5*H16/1000*I38/1000+0.3*2*H11)*H13*1000*gamma_mfi)/(4*H30*'Hilfstabellen_Mat&amp;Bem'!$BC$24*k_fi_UZ*'Hilfstabellen_Mat&amp;Bem'!$BC$22*k_modfi))+d_char_UZ)))/RUWE_UZ,0)*RUWE_UZ,200)</f>
        <v>360</v>
      </c>
      <c r="I31" s="921">
        <f ca="1">IFERROR(ROUNDUP((MAX((SQRT((3*(2*I10+5*I16/1000*I31/1000+0.3*2*I11)*((I13*1000)^2)*gamma_mfi)/(4*I30*k_modfi*k_fi_UZ*'Hilfstabellen_Mat&amp;Bem'!$BC$16))+d_char_UZ),
(((3*(2*I10+5*I16/1000*J38/1000+0.3*2*I11)*I13*1000*gamma_mfi)/(4*I30*'Hilfstabellen_Mat&amp;Bem'!$BC$24*k_fi_UZ*'Hilfstabellen_Mat&amp;Bem'!$BC$22*k_modfi))+d_char_UZ)))/RUWE_UZ,0)*RUWE_UZ,200)</f>
        <v>200</v>
      </c>
      <c r="J31">
        <f ca="1">IFERROR(ROUNDUP((MAX((SQRT((3*(2*J10+5*J16/1000*J31/1000+0.3*2*J11)*((J13*1000)^2)*gamma_mfi)/(4*J30*k_modfi*k_fi_UZ*'Hilfstabellen_Mat&amp;Bem'!$BC$16))+d_char_UZ),
(((3*(2*J10+5*J16/1000*K38/1000+0.3*2*J11)*J13*1000*gamma_mfi)/(4*J30*'Hilfstabellen_Mat&amp;Bem'!$BC$24*k_fi_UZ*'Hilfstabellen_Mat&amp;Bem'!$BC$22*k_modfi))+d_char_UZ)))/RUWE_UZ,0)*RUWE_UZ,200)</f>
        <v>200</v>
      </c>
      <c r="K31">
        <f ca="1">IFERROR(ROUNDUP((MAX((SQRT((3*(2*K10+5*K16/1000*K31/1000+0.3*2*K11)*((K13*1000)^2)*gamma_mfi)/(4*K30*k_modfi*k_fi_UZ*'Hilfstabellen_Mat&amp;Bem'!$BC$16))+d_char_UZ),
(((3*(2*K10+5*K16/1000*L38/1000+0.3*2*K11)*K13*1000*gamma_mfi)/(4*K30*'Hilfstabellen_Mat&amp;Bem'!$BC$24*k_fi_UZ*'Hilfstabellen_Mat&amp;Bem'!$BC$22*k_modfi))+d_char_UZ)))/RUWE_UZ,0)*RUWE_UZ,200)</f>
        <v>240</v>
      </c>
      <c r="L31">
        <f ca="1">IFERROR(ROUNDUP((MAX((SQRT((3*(2*L10+5*L16/1000*L31/1000+0.3*2*L11)*((L13*1000)^2)*gamma_mfi)/(4*L30*k_modfi*k_fi_UZ*'Hilfstabellen_Mat&amp;Bem'!$BC$16))+d_char_UZ),
(((3*(2*L10+5*L16/1000*M38/1000+0.3*2*L11)*L13*1000*gamma_mfi)/(4*L30*'Hilfstabellen_Mat&amp;Bem'!$BC$24*k_fi_UZ*'Hilfstabellen_Mat&amp;Bem'!$BC$22*k_modfi))+d_char_UZ)))/RUWE_UZ,0)*RUWE_UZ,200)</f>
        <v>280</v>
      </c>
      <c r="M31">
        <f ca="1">IFERROR(ROUNDUP((MAX((SQRT((3*(2*M10+5*M16/1000*M31/1000+0.3*2*M11)*((M13*1000)^2)*gamma_mfi)/(4*M30*k_modfi*k_fi_UZ*'Hilfstabellen_Mat&amp;Bem'!$BC$16))+d_char_UZ),
(((3*(2*M10+5*M16/1000*N38/1000+0.3*2*M11)*M13*1000*gamma_mfi)/(4*M30*'Hilfstabellen_Mat&amp;Bem'!$BC$24*k_fi_UZ*'Hilfstabellen_Mat&amp;Bem'!$BC$22*k_modfi))+d_char_UZ)))/RUWE_UZ,0)*RUWE_UZ,200)</f>
        <v>280</v>
      </c>
      <c r="N31">
        <f ca="1">IFERROR(ROUNDUP((MAX((SQRT((3*(2*N10+5*N16/1000*N31/1000+0.3*2*N11)*((N13*1000)^2)*gamma_mfi)/(4*N30*k_modfi*k_fi_UZ*'Hilfstabellen_Mat&amp;Bem'!$BC$16))+d_char_UZ),
(((3*(2*N10+5*N16/1000*O38/1000+0.3*2*N11)*N13*1000*gamma_mfi)/(4*N30*'Hilfstabellen_Mat&amp;Bem'!$BC$24*k_fi_UZ*'Hilfstabellen_Mat&amp;Bem'!$BC$22*k_modfi))+d_char_UZ)))/RUWE_UZ,0)*RUWE_UZ,200)</f>
        <v>320</v>
      </c>
      <c r="O31">
        <f ca="1">IFERROR(ROUNDUP((MAX((SQRT((3*(2*O10+5*O16/1000*O31/1000+0.3*2*O11)*((O13*1000)^2)*gamma_mfi)/(4*O30*k_modfi*k_fi_UZ*'Hilfstabellen_Mat&amp;Bem'!$BC$16))+d_char_UZ),
(((3*(2*O10+5*O16/1000*P38/1000+0.3*2*O11)*O13*1000*gamma_mfi)/(4*O30*'Hilfstabellen_Mat&amp;Bem'!$BC$24*k_fi_UZ*'Hilfstabellen_Mat&amp;Bem'!$BC$22*k_modfi))+d_char_UZ)))/RUWE_UZ,0)*RUWE_UZ,200)</f>
        <v>280</v>
      </c>
      <c r="P31">
        <f ca="1">IFERROR(ROUNDUP((MAX((SQRT((3*(2*P10+5*P16/1000*P31/1000+0.3*2*P11)*((P13*1000)^2)*gamma_mfi)/(4*P30*k_modfi*k_fi_UZ*'Hilfstabellen_Mat&amp;Bem'!$BC$16))+d_char_UZ),
(((3*(2*P10+5*P16/1000*Q38/1000+0.3*2*P11)*P13*1000*gamma_mfi)/(4*P30*'Hilfstabellen_Mat&amp;Bem'!$BC$24*k_fi_UZ*'Hilfstabellen_Mat&amp;Bem'!$BC$22*k_modfi))+d_char_UZ)))/RUWE_UZ,0)*RUWE_UZ,200)</f>
        <v>320</v>
      </c>
      <c r="Q31">
        <f ca="1">IFERROR(ROUNDUP((MAX((SQRT((3*(2*Q10+5*Q16/1000*Q31/1000+0.3*2*Q11)*((Q13*1000)^2)*gamma_mfi)/(4*Q30*k_modfi*k_fi_UZ*'Hilfstabellen_Mat&amp;Bem'!$BC$16))+d_char_UZ),
(((3*(2*Q10+5*Q16/1000*R38/1000+0.3*2*Q11)*Q13*1000*gamma_mfi)/(4*Q30*'Hilfstabellen_Mat&amp;Bem'!$BC$24*k_fi_UZ*'Hilfstabellen_Mat&amp;Bem'!$BC$22*k_modfi))+d_char_UZ)))/RUWE_UZ,0)*RUWE_UZ,200)</f>
        <v>320</v>
      </c>
      <c r="R31" s="921">
        <f ca="1">IFERROR(ROUNDUP((MAX((SQRT((3*(2*R10+5*R16/1000*R31/1000+0.3*2*R11)*((R13*1000)^2)*gamma_mfi)/(4*R30*k_modfi*k_fi_UZ*'Hilfstabellen_Mat&amp;Bem'!$BC$16))+d_char_UZ),
(((3*(2*R10+5*R16/1000*S38/1000+0.3*2*R11)*R13*1000*gamma_mfi)/(4*R30*'Hilfstabellen_Mat&amp;Bem'!$BC$24*k_fi_UZ*'Hilfstabellen_Mat&amp;Bem'!$BC$22*k_modfi))+d_char_UZ)))/RUWE_UZ,0)*RUWE_UZ,200)</f>
        <v>200</v>
      </c>
      <c r="S31">
        <f ca="1">IFERROR(ROUNDUP((MAX((SQRT((3*(2*S10+5*S16/1000*S31/1000+0.3*2*S11)*((S13*1000)^2)*gamma_mfi)/(4*S30*k_modfi*k_fi_UZ*'Hilfstabellen_Mat&amp;Bem'!$BC$16))+d_char_UZ),
(((3*(2*S10+5*S16/1000*T38/1000+0.3*2*S11)*S13*1000*gamma_mfi)/(4*S30*'Hilfstabellen_Mat&amp;Bem'!$BC$24*k_fi_UZ*'Hilfstabellen_Mat&amp;Bem'!$BC$22*k_modfi))+d_char_UZ)))/RUWE_UZ,0)*RUWE_UZ,200)</f>
        <v>200</v>
      </c>
      <c r="T31">
        <f ca="1">IFERROR(ROUNDUP((MAX((SQRT((3*(2*T10+5*T16/1000*T31/1000+0.3*2*T11)*((T13*1000)^2)*gamma_mfi)/(4*T30*k_modfi*k_fi_UZ*'Hilfstabellen_Mat&amp;Bem'!$BC$16))+d_char_UZ),
(((3*(2*T10+5*T16/1000*U38/1000+0.3*2*T11)*T13*1000*gamma_mfi)/(4*T30*'Hilfstabellen_Mat&amp;Bem'!$BC$24*k_fi_UZ*'Hilfstabellen_Mat&amp;Bem'!$BC$22*k_modfi))+d_char_UZ)))/RUWE_UZ,0)*RUWE_UZ,200)</f>
        <v>240</v>
      </c>
      <c r="U31">
        <f ca="1">IFERROR(ROUNDUP((MAX((SQRT((3*(2*U10+5*U16/1000*U31/1000+0.3*2*U11)*((U13*1000)^2)*gamma_mfi)/(4*U30*k_modfi*k_fi_UZ*'Hilfstabellen_Mat&amp;Bem'!$BC$16))+d_char_UZ),
(((3*(2*U10+5*U16/1000*V38/1000+0.3*2*U11)*U13*1000*gamma_mfi)/(4*U30*'Hilfstabellen_Mat&amp;Bem'!$BC$24*k_fi_UZ*'Hilfstabellen_Mat&amp;Bem'!$BC$22*k_modfi))+d_char_UZ)))/RUWE_UZ,0)*RUWE_UZ,200)</f>
        <v>280</v>
      </c>
      <c r="V31">
        <f ca="1">IFERROR(ROUNDUP((MAX((SQRT((3*(2*V10+5*V16/1000*V31/1000+0.3*2*V11)*((V13*1000)^2)*gamma_mfi)/(4*V30*k_modfi*k_fi_UZ*'Hilfstabellen_Mat&amp;Bem'!$BC$16))+d_char_UZ),
(((3*(2*V10+5*V16/1000*W38/1000+0.3*2*V11)*V13*1000*gamma_mfi)/(4*V30*'Hilfstabellen_Mat&amp;Bem'!$BC$24*k_fi_UZ*'Hilfstabellen_Mat&amp;Bem'!$BC$22*k_modfi))+d_char_UZ)))/RUWE_UZ,0)*RUWE_UZ,200)</f>
        <v>280</v>
      </c>
      <c r="W31">
        <f ca="1">IFERROR(ROUNDUP((MAX((SQRT((3*(2*W10+5*W16/1000*W31/1000+0.3*2*W11)*((W13*1000)^2)*gamma_mfi)/(4*W30*k_modfi*k_fi_UZ*'Hilfstabellen_Mat&amp;Bem'!$BC$16))+d_char_UZ),
(((3*(2*W10+5*W16/1000*X38/1000+0.3*2*W11)*W13*1000*gamma_mfi)/(4*W30*'Hilfstabellen_Mat&amp;Bem'!$BC$24*k_fi_UZ*'Hilfstabellen_Mat&amp;Bem'!$BC$22*k_modfi))+d_char_UZ)))/RUWE_UZ,0)*RUWE_UZ,200)</f>
        <v>280</v>
      </c>
      <c r="X31">
        <f ca="1">IFERROR(ROUNDUP((MAX((SQRT((3*(2*X10+5*X16/1000*X31/1000+0.3*2*X11)*((X13*1000)^2)*gamma_mfi)/(4*X30*k_modfi*k_fi_UZ*'Hilfstabellen_Mat&amp;Bem'!$BC$16))+d_char_UZ),
(((3*(2*X10+5*X16/1000*Y38/1000+0.3*2*X11)*X13*1000*gamma_mfi)/(4*X30*'Hilfstabellen_Mat&amp;Bem'!$BC$24*k_fi_UZ*'Hilfstabellen_Mat&amp;Bem'!$BC$22*k_modfi))+d_char_UZ)))/RUWE_UZ,0)*RUWE_UZ,200)</f>
        <v>320</v>
      </c>
      <c r="Y31">
        <f ca="1">IFERROR(ROUNDUP((MAX((SQRT((3*(2*Y10+5*Y16/1000*Y31/1000+0.3*2*Y11)*((Y13*1000)^2)*gamma_mfi)/(4*Y30*k_modfi*k_fi_UZ*'Hilfstabellen_Mat&amp;Bem'!$BC$16))+d_char_UZ),
(((3*(2*Y10+5*Y16/1000*Z38/1000+0.3*2*Y11)*Y13*1000*gamma_mfi)/(4*Y30*'Hilfstabellen_Mat&amp;Bem'!$BC$24*k_fi_UZ*'Hilfstabellen_Mat&amp;Bem'!$BC$22*k_modfi))+d_char_UZ)))/RUWE_UZ,0)*RUWE_UZ,200)</f>
        <v>320</v>
      </c>
      <c r="Z31">
        <f ca="1">IFERROR(ROUNDUP((MAX((SQRT((3*(2*Z10+5*Z16/1000*Z31/1000+0.3*2*Z11)*((Z13*1000)^2)*gamma_mfi)/(4*Z30*k_modfi*k_fi_UZ*'Hilfstabellen_Mat&amp;Bem'!$BC$16))+d_char_UZ),
(((3*(2*Z10+5*Z16/1000*AA38/1000+0.3*2*Z11)*Z13*1000*gamma_mfi)/(4*Z30*'Hilfstabellen_Mat&amp;Bem'!$BC$24*k_fi_UZ*'Hilfstabellen_Mat&amp;Bem'!$BC$22*k_modfi))+d_char_UZ)))/RUWE_UZ,0)*RUWE_UZ,200)</f>
        <v>320</v>
      </c>
      <c r="AA31" s="921">
        <f ca="1">IFERROR(ROUNDUP((MAX((SQRT((3*(2*AA10+5*AA16/1000*AA31/1000+0.3*2*AA11)*((AA13*1000)^2)*gamma_mfi)/(4*AA30*k_modfi*k_fi_UZ*'Hilfstabellen_Mat&amp;Bem'!$BC$16))+d_char_UZ),
(((3*(2*AA10+5*AA16/1000*AB38/1000+0.3*2*AA11)*AA13*1000*gamma_mfi)/(4*AA30*'Hilfstabellen_Mat&amp;Bem'!$BC$24*k_fi_UZ*'Hilfstabellen_Mat&amp;Bem'!$BC$22*k_modfi))+d_char_UZ)))/RUWE_UZ,0)*RUWE_UZ,200)</f>
        <v>200</v>
      </c>
      <c r="AB31">
        <f ca="1">IFERROR(ROUNDUP((MAX((SQRT((3*(2*AB10+5*AB16/1000*AB31/1000+0.3*2*AB11)*((AB13*1000)^2)*gamma_mfi)/(4*AB30*k_modfi*k_fi_UZ*'Hilfstabellen_Mat&amp;Bem'!$BC$16))+d_char_UZ),
(((3*(2*AB10+5*AB16/1000*AC38/1000+0.3*2*AB11)*AB13*1000*gamma_mfi)/(4*AB30*'Hilfstabellen_Mat&amp;Bem'!$BC$24*k_fi_UZ*'Hilfstabellen_Mat&amp;Bem'!$BC$22*k_modfi))+d_char_UZ)))/RUWE_UZ,0)*RUWE_UZ,200)</f>
        <v>200</v>
      </c>
      <c r="AC31">
        <f ca="1">IFERROR(ROUNDUP((MAX((SQRT((3*(2*AC10+5*AC16/1000*AC31/1000+0.3*2*AC11)*((AC13*1000)^2)*gamma_mfi)/(4*AC30*k_modfi*k_fi_UZ*'Hilfstabellen_Mat&amp;Bem'!$BC$16))+d_char_UZ),
(((3*(2*AC10+5*AC16/1000*AD38/1000+0.3*2*AC11)*AC13*1000*gamma_mfi)/(4*AC30*'Hilfstabellen_Mat&amp;Bem'!$BC$24*k_fi_UZ*'Hilfstabellen_Mat&amp;Bem'!$BC$22*k_modfi))+d_char_UZ)))/RUWE_UZ,0)*RUWE_UZ,200)</f>
        <v>240</v>
      </c>
      <c r="AD31">
        <f ca="1">IFERROR(ROUNDUP((MAX((SQRT((3*(2*AD10+5*AD16/1000*AD31/1000+0.3*2*AD11)*((AD13*1000)^2)*gamma_mfi)/(4*AD30*k_modfi*k_fi_UZ*'Hilfstabellen_Mat&amp;Bem'!$BC$16))+d_char_UZ),
(((3*(2*AD10+5*AD16/1000*AE38/1000+0.3*2*AD11)*AD13*1000*gamma_mfi)/(4*AD30*'Hilfstabellen_Mat&amp;Bem'!$BC$24*k_fi_UZ*'Hilfstabellen_Mat&amp;Bem'!$BC$22*k_modfi))+d_char_UZ)))/RUWE_UZ,0)*RUWE_UZ,200)</f>
        <v>280</v>
      </c>
      <c r="AE31">
        <f ca="1">IFERROR(ROUNDUP((MAX((SQRT((3*(2*AE10+5*AE16/1000*AE31/1000+0.3*2*AE11)*((AE13*1000)^2)*gamma_mfi)/(4*AE30*k_modfi*k_fi_UZ*'Hilfstabellen_Mat&amp;Bem'!$BC$16))+d_char_UZ),
(((3*(2*AE10+5*AE16/1000*AF38/1000+0.3*2*AE11)*AE13*1000*gamma_mfi)/(4*AE30*'Hilfstabellen_Mat&amp;Bem'!$BC$24*k_fi_UZ*'Hilfstabellen_Mat&amp;Bem'!$BC$22*k_modfi))+d_char_UZ)))/RUWE_UZ,0)*RUWE_UZ,200)</f>
        <v>280</v>
      </c>
      <c r="AF31">
        <f ca="1">IFERROR(ROUNDUP((MAX((SQRT((3*(2*AF10+5*AF16/1000*AF31/1000+0.3*2*AF11)*((AF13*1000)^2)*gamma_mfi)/(4*AF30*k_modfi*k_fi_UZ*'Hilfstabellen_Mat&amp;Bem'!$BC$16))+d_char_UZ),
(((3*(2*AF10+5*AF16/1000*AG38/1000+0.3*2*AF11)*AF13*1000*gamma_mfi)/(4*AF30*'Hilfstabellen_Mat&amp;Bem'!$BC$24*k_fi_UZ*'Hilfstabellen_Mat&amp;Bem'!$BC$22*k_modfi))+d_char_UZ)))/RUWE_UZ,0)*RUWE_UZ,200)</f>
        <v>280</v>
      </c>
      <c r="AG31">
        <f ca="1">IFERROR(ROUNDUP((MAX((SQRT((3*(2*AG10+5*AG16/1000*AG31/1000+0.3*2*AG11)*((AG13*1000)^2)*gamma_mfi)/(4*AG30*k_modfi*k_fi_UZ*'Hilfstabellen_Mat&amp;Bem'!$BC$16))+d_char_UZ),
(((3*(2*AG10+5*AG16/1000*AH38/1000+0.3*2*AG11)*AG13*1000*gamma_mfi)/(4*AG30*'Hilfstabellen_Mat&amp;Bem'!$BC$24*k_fi_UZ*'Hilfstabellen_Mat&amp;Bem'!$BC$22*k_modfi))+d_char_UZ)))/RUWE_UZ,0)*RUWE_UZ,200)</f>
        <v>320</v>
      </c>
      <c r="AH31">
        <f ca="1">IFERROR(ROUNDUP((MAX((SQRT((3*(2*AH10+5*AH16/1000*AH31/1000+0.3*2*AH11)*((AH13*1000)^2)*gamma_mfi)/(4*AH30*k_modfi*k_fi_UZ*'Hilfstabellen_Mat&amp;Bem'!$BC$16))+d_char_UZ),
(((3*(2*AH10+5*AH16/1000*AI38/1000+0.3*2*AH11)*AH13*1000*gamma_mfi)/(4*AH30*'Hilfstabellen_Mat&amp;Bem'!$BC$24*k_fi_UZ*'Hilfstabellen_Mat&amp;Bem'!$BC$22*k_modfi))+d_char_UZ)))/RUWE_UZ,0)*RUWE_UZ,200)</f>
        <v>320</v>
      </c>
      <c r="AI31">
        <f ca="1">IFERROR(ROUNDUP((MAX((SQRT((3*(2*AI10+5*AI16/1000*AI31/1000+0.3*2*AI11)*((AI13*1000)^2)*gamma_mfi)/(4*AI30*k_modfi*k_fi_UZ*'Hilfstabellen_Mat&amp;Bem'!$BC$16))+d_char_UZ),
(((3*(2*AI10+5*AI16/1000*AJ38/1000+0.3*2*AI11)*AI13*1000*gamma_mfi)/(4*AI30*'Hilfstabellen_Mat&amp;Bem'!$BC$24*k_fi_UZ*'Hilfstabellen_Mat&amp;Bem'!$BC$22*k_modfi))+d_char_UZ)))/RUWE_UZ,0)*RUWE_UZ,200)</f>
        <v>360</v>
      </c>
      <c r="AJ31" s="921">
        <f ca="1">IFERROR(ROUNDUP((MAX((SQRT((3*(2*AJ10+5*AJ16/1000*AJ31/1000+0.3*2*AJ11)*((AJ13*1000)^2)*gamma_mfi)/(4*AJ30*k_modfi*k_fi_UZ*'Hilfstabellen_Mat&amp;Bem'!$BC$16))+d_char_UZ),
(((3*(2*AJ10+5*AJ16/1000*AK38/1000+0.3*2*AJ11)*AJ13*1000*gamma_mfi)/(4*AJ30*'Hilfstabellen_Mat&amp;Bem'!$BC$24*k_fi_UZ*'Hilfstabellen_Mat&amp;Bem'!$BC$22*k_modfi))+d_char_UZ)))/RUWE_UZ,0)*RUWE_UZ,200)</f>
        <v>200</v>
      </c>
      <c r="AK31">
        <f ca="1">IFERROR(ROUNDUP((MAX((SQRT((3*(2*AK10+5*AK16/1000*AK31/1000+0.3*2*AK11)*((AK13*1000)^2)*gamma_mfi)/(4*AK30*k_modfi*k_fi_UZ*'Hilfstabellen_Mat&amp;Bem'!$BC$16))+d_char_UZ),
(((3*(2*AK10+5*AK16/1000*AL38/1000+0.3*2*AK11)*AK13*1000*gamma_mfi)/(4*AK30*'Hilfstabellen_Mat&amp;Bem'!$BC$24*k_fi_UZ*'Hilfstabellen_Mat&amp;Bem'!$BC$22*k_modfi))+d_char_UZ)))/RUWE_UZ,0)*RUWE_UZ,200)</f>
        <v>240</v>
      </c>
      <c r="AL31">
        <f ca="1">IFERROR(ROUNDUP((MAX((SQRT((3*(2*AL10+5*AL16/1000*AL31/1000+0.3*2*AL11)*((AL13*1000)^2)*gamma_mfi)/(4*AL30*k_modfi*k_fi_UZ*'Hilfstabellen_Mat&amp;Bem'!$BC$16))+d_char_UZ),
(((3*(2*AL10+5*AL16/1000*AM38/1000+0.3*2*AL11)*AL13*1000*gamma_mfi)/(4*AL30*'Hilfstabellen_Mat&amp;Bem'!$BC$24*k_fi_UZ*'Hilfstabellen_Mat&amp;Bem'!$BC$22*k_modfi))+d_char_UZ)))/RUWE_UZ,0)*RUWE_UZ,200)</f>
        <v>240</v>
      </c>
      <c r="AM31">
        <f ca="1">IFERROR(ROUNDUP((MAX((SQRT((3*(2*AM10+5*AM16/1000*AM31/1000+0.3*2*AM11)*((AM13*1000)^2)*gamma_mfi)/(4*AM30*k_modfi*k_fi_UZ*'Hilfstabellen_Mat&amp;Bem'!$BC$16))+d_char_UZ),
(((3*(2*AM10+5*AM16/1000*AN38/1000+0.3*2*AM11)*AM13*1000*gamma_mfi)/(4*AM30*'Hilfstabellen_Mat&amp;Bem'!$BC$24*k_fi_UZ*'Hilfstabellen_Mat&amp;Bem'!$BC$22*k_modfi))+d_char_UZ)))/RUWE_UZ,0)*RUWE_UZ,200)</f>
        <v>280</v>
      </c>
      <c r="AN31">
        <f ca="1">IFERROR(ROUNDUP((MAX((SQRT((3*(2*AN10+5*AN16/1000*AN31/1000+0.3*2*AN11)*((AN13*1000)^2)*gamma_mfi)/(4*AN30*k_modfi*k_fi_UZ*'Hilfstabellen_Mat&amp;Bem'!$BC$16))+d_char_UZ),
(((3*(2*AN10+5*AN16/1000*AO38/1000+0.3*2*AN11)*AN13*1000*gamma_mfi)/(4*AN30*'Hilfstabellen_Mat&amp;Bem'!$BC$24*k_fi_UZ*'Hilfstabellen_Mat&amp;Bem'!$BC$22*k_modfi))+d_char_UZ)))/RUWE_UZ,0)*RUWE_UZ,200)</f>
        <v>280</v>
      </c>
      <c r="AO31">
        <f ca="1">IFERROR(ROUNDUP((MAX((SQRT((3*(2*AO10+5*AO16/1000*AO31/1000+0.3*2*AO11)*((AO13*1000)^2)*gamma_mfi)/(4*AO30*k_modfi*k_fi_UZ*'Hilfstabellen_Mat&amp;Bem'!$BC$16))+d_char_UZ),
(((3*(2*AO10+5*AO16/1000*AP38/1000+0.3*2*AO11)*AO13*1000*gamma_mfi)/(4*AO30*'Hilfstabellen_Mat&amp;Bem'!$BC$24*k_fi_UZ*'Hilfstabellen_Mat&amp;Bem'!$BC$22*k_modfi))+d_char_UZ)))/RUWE_UZ,0)*RUWE_UZ,200)</f>
        <v>320</v>
      </c>
      <c r="AP31">
        <f ca="1">IFERROR(ROUNDUP((MAX((SQRT((3*(2*AP10+5*AP16/1000*AP31/1000+0.3*2*AP11)*((AP13*1000)^2)*gamma_mfi)/(4*AP30*k_modfi*k_fi_UZ*'Hilfstabellen_Mat&amp;Bem'!$BC$16))+d_char_UZ),
(((3*(2*AP10+5*AP16/1000*AQ38/1000+0.3*2*AP11)*AP13*1000*gamma_mfi)/(4*AP30*'Hilfstabellen_Mat&amp;Bem'!$BC$24*k_fi_UZ*'Hilfstabellen_Mat&amp;Bem'!$BC$22*k_modfi))+d_char_UZ)))/RUWE_UZ,0)*RUWE_UZ,200)</f>
        <v>320</v>
      </c>
      <c r="AQ31">
        <f ca="1">IFERROR(ROUNDUP((MAX((SQRT((3*(2*AQ10+5*AQ16/1000*AQ31/1000+0.3*2*AQ11)*((AQ13*1000)^2)*gamma_mfi)/(4*AQ30*k_modfi*k_fi_UZ*'Hilfstabellen_Mat&amp;Bem'!$BC$16))+d_char_UZ),
(((3*(2*AQ10+5*AQ16/1000*AR38/1000+0.3*2*AQ11)*AQ13*1000*gamma_mfi)/(4*AQ30*'Hilfstabellen_Mat&amp;Bem'!$BC$24*k_fi_UZ*'Hilfstabellen_Mat&amp;Bem'!$BC$22*k_modfi))+d_char_UZ)))/RUWE_UZ,0)*RUWE_UZ,200)</f>
        <v>360</v>
      </c>
      <c r="AR31">
        <f ca="1">IFERROR(ROUNDUP((MAX((SQRT((3*(2*AR10+5*AR16/1000*AR31/1000+0.3*2*AR11)*((AR13*1000)^2)*gamma_mfi)/(4*AR30*k_modfi*k_fi_UZ*'Hilfstabellen_Mat&amp;Bem'!$BC$16))+d_char_UZ),
(((3*(2*AR10+5*AR16/1000*AS38/1000+0.3*2*AR11)*AR13*1000*gamma_mfi)/(4*AR30*'Hilfstabellen_Mat&amp;Bem'!$BC$24*k_fi_UZ*'Hilfstabellen_Mat&amp;Bem'!$BC$22*k_modfi))+d_char_UZ)))/RUWE_UZ,0)*RUWE_UZ,200)</f>
        <v>360</v>
      </c>
      <c r="AS31" s="921">
        <f ca="1">IFERROR(ROUNDUP((MAX((SQRT((3*(2*AS10+5*AS16/1000*AS31/1000+0.3*2*AS11)*((AS13*1000)^2)*gamma_mfi)/(4*AS30*k_modfi*k_fi_UZ*'Hilfstabellen_Mat&amp;Bem'!$BC$16))+d_char_UZ),
(((3*(2*AS10+5*AS16/1000*AT38/1000+0.3*2*AS11)*AS13*1000*gamma_mfi)/(4*AS30*'Hilfstabellen_Mat&amp;Bem'!$BC$24*k_fi_UZ*'Hilfstabellen_Mat&amp;Bem'!$BC$22*k_modfi))+d_char_UZ)))/RUWE_UZ,0)*RUWE_UZ,200)</f>
        <v>240</v>
      </c>
      <c r="AT31">
        <f ca="1">IFERROR(ROUNDUP((MAX((SQRT((3*(2*AT10+5*AT16/1000*AT31/1000+0.3*2*AT11)*((AT13*1000)^2)*gamma_mfi)/(4*AT30*k_modfi*k_fi_UZ*'Hilfstabellen_Mat&amp;Bem'!$BC$16))+d_char_UZ),
(((3*(2*AT10+5*AT16/1000*AU38/1000+0.3*2*AT11)*AT13*1000*gamma_mfi)/(4*AT30*'Hilfstabellen_Mat&amp;Bem'!$BC$24*k_fi_UZ*'Hilfstabellen_Mat&amp;Bem'!$BC$22*k_modfi))+d_char_UZ)))/RUWE_UZ,0)*RUWE_UZ,200)</f>
        <v>240</v>
      </c>
      <c r="AU31">
        <f ca="1">IFERROR(ROUNDUP((MAX((SQRT((3*(2*AU10+5*AU16/1000*AU31/1000+0.3*2*AU11)*((AU13*1000)^2)*gamma_mfi)/(4*AU30*k_modfi*k_fi_UZ*'Hilfstabellen_Mat&amp;Bem'!$BC$16))+d_char_UZ),
(((3*(2*AU10+5*AU16/1000*AV38/1000+0.3*2*AU11)*AU13*1000*gamma_mfi)/(4*AU30*'Hilfstabellen_Mat&amp;Bem'!$BC$24*k_fi_UZ*'Hilfstabellen_Mat&amp;Bem'!$BC$22*k_modfi))+d_char_UZ)))/RUWE_UZ,0)*RUWE_UZ,200)</f>
        <v>240</v>
      </c>
      <c r="AV31">
        <f ca="1">IFERROR(ROUNDUP((MAX((SQRT((3*(2*AV10+5*AV16/1000*AV31/1000+0.3*2*AV11)*((AV13*1000)^2)*gamma_mfi)/(4*AV30*k_modfi*k_fi_UZ*'Hilfstabellen_Mat&amp;Bem'!$BC$16))+d_char_UZ),
(((3*(2*AV10+5*AV16/1000*AW38/1000+0.3*2*AV11)*AV13*1000*gamma_mfi)/(4*AV30*'Hilfstabellen_Mat&amp;Bem'!$BC$24*k_fi_UZ*'Hilfstabellen_Mat&amp;Bem'!$BC$22*k_modfi))+d_char_UZ)))/RUWE_UZ,0)*RUWE_UZ,200)</f>
        <v>280</v>
      </c>
      <c r="AW31">
        <f ca="1">IFERROR(ROUNDUP((MAX((SQRT((3*(2*AW10+5*AW16/1000*AW31/1000+0.3*2*AW11)*((AW13*1000)^2)*gamma_mfi)/(4*AW30*k_modfi*k_fi_UZ*'Hilfstabellen_Mat&amp;Bem'!$BC$16))+d_char_UZ),
(((3*(2*AW10+5*AW16/1000*AX38/1000+0.3*2*AW11)*AW13*1000*gamma_mfi)/(4*AW30*'Hilfstabellen_Mat&amp;Bem'!$BC$24*k_fi_UZ*'Hilfstabellen_Mat&amp;Bem'!$BC$22*k_modfi))+d_char_UZ)))/RUWE_UZ,0)*RUWE_UZ,200)</f>
        <v>320</v>
      </c>
      <c r="AX31">
        <f ca="1">IFERROR(ROUNDUP((MAX((SQRT((3*(2*AX10+5*AX16/1000*AX31/1000+0.3*2*AX11)*((AX13*1000)^2)*gamma_mfi)/(4*AX30*k_modfi*k_fi_UZ*'Hilfstabellen_Mat&amp;Bem'!$BC$16))+d_char_UZ),
(((3*(2*AX10+5*AX16/1000*AY38/1000+0.3*2*AX11)*AX13*1000*gamma_mfi)/(4*AX30*'Hilfstabellen_Mat&amp;Bem'!$BC$24*k_fi_UZ*'Hilfstabellen_Mat&amp;Bem'!$BC$22*k_modfi))+d_char_UZ)))/RUWE_UZ,0)*RUWE_UZ,200)</f>
        <v>320</v>
      </c>
      <c r="AY31">
        <f ca="1">IFERROR(ROUNDUP((MAX((SQRT((3*(2*AY10+5*AY16/1000*AY31/1000+0.3*2*AY11)*((AY13*1000)^2)*gamma_mfi)/(4*AY30*k_modfi*k_fi_UZ*'Hilfstabellen_Mat&amp;Bem'!$BC$16))+d_char_UZ),
(((3*(2*AY10+5*AY16/1000*AZ38/1000+0.3*2*AY11)*AY13*1000*gamma_mfi)/(4*AY30*'Hilfstabellen_Mat&amp;Bem'!$BC$24*k_fi_UZ*'Hilfstabellen_Mat&amp;Bem'!$BC$22*k_modfi))+d_char_UZ)))/RUWE_UZ,0)*RUWE_UZ,200)</f>
        <v>360</v>
      </c>
      <c r="AZ31">
        <f ca="1">IFERROR(ROUNDUP((MAX((SQRT((3*(2*AZ10+5*AZ16/1000*AZ31/1000+0.3*2*AZ11)*((AZ13*1000)^2)*gamma_mfi)/(4*AZ30*k_modfi*k_fi_UZ*'Hilfstabellen_Mat&amp;Bem'!$BC$16))+d_char_UZ),
(((3*(2*AZ10+5*AZ16/1000*BA38/1000+0.3*2*AZ11)*AZ13*1000*gamma_mfi)/(4*AZ30*'Hilfstabellen_Mat&amp;Bem'!$BC$24*k_fi_UZ*'Hilfstabellen_Mat&amp;Bem'!$BC$22*k_modfi))+d_char_UZ)))/RUWE_UZ,0)*RUWE_UZ,200)</f>
        <v>360</v>
      </c>
      <c r="BA31">
        <f ca="1">IFERROR(ROUNDUP((MAX((SQRT((3*(2*BA10+5*BA16/1000*BA31/1000+0.3*2*BA11)*((BA13*1000)^2)*gamma_mfi)/(4*BA30*k_modfi*k_fi_UZ*'Hilfstabellen_Mat&amp;Bem'!$BC$16))+d_char_UZ),
(((3*(2*BA10+5*BA16/1000*BB38/1000+0.3*2*BA11)*BA13*1000*gamma_mfi)/(4*BA30*'Hilfstabellen_Mat&amp;Bem'!$BC$24*k_fi_UZ*'Hilfstabellen_Mat&amp;Bem'!$BC$22*k_modfi))+d_char_UZ)))/RUWE_UZ,0)*RUWE_UZ,200)</f>
        <v>400</v>
      </c>
      <c r="BB31" s="921">
        <f ca="1">IFERROR(ROUNDUP((MAX((SQRT((3*(2*BB10+5*BB16/1000*BB31/1000+0.3*2*BB11)*((BB13*1000)^2)*gamma_mfi)/(4*BB30*k_modfi*k_fi_UZ*'Hilfstabellen_Mat&amp;Bem'!$BC$16))+d_char_UZ),
(((3*(2*BB10+5*BB16/1000*BC38/1000+0.3*2*BB11)*BB13*1000*gamma_mfi)/(4*BB30*'Hilfstabellen_Mat&amp;Bem'!$BC$24*k_fi_UZ*'Hilfstabellen_Mat&amp;Bem'!$BC$22*k_modfi))+d_char_UZ)))/RUWE_UZ,0)*RUWE_UZ,200)</f>
        <v>240</v>
      </c>
      <c r="BC31">
        <f ca="1">IFERROR(ROUNDUP((MAX((SQRT((3*(2*BC10+5*BC16/1000*BC31/1000+0.3*2*BC11)*((BC13*1000)^2)*gamma_mfi)/(4*BC30*k_modfi*k_fi_UZ*'Hilfstabellen_Mat&amp;Bem'!$BC$16))+d_char_UZ),
(((3*(2*BC10+5*BC16/1000*BD38/1000+0.3*2*BC11)*BC13*1000*gamma_mfi)/(4*BC30*'Hilfstabellen_Mat&amp;Bem'!$BC$24*k_fi_UZ*'Hilfstabellen_Mat&amp;Bem'!$BC$22*k_modfi))+d_char_UZ)))/RUWE_UZ,0)*RUWE_UZ,200)</f>
        <v>240</v>
      </c>
      <c r="BD31">
        <f ca="1">IFERROR(ROUNDUP((MAX((SQRT((3*(2*BD10+5*BD16/1000*BD31/1000+0.3*2*BD11)*((BD13*1000)^2)*gamma_mfi)/(4*BD30*k_modfi*k_fi_UZ*'Hilfstabellen_Mat&amp;Bem'!$BC$16))+d_char_UZ),
(((3*(2*BD10+5*BD16/1000*BE38/1000+0.3*2*BD11)*BD13*1000*gamma_mfi)/(4*BD30*'Hilfstabellen_Mat&amp;Bem'!$BC$24*k_fi_UZ*'Hilfstabellen_Mat&amp;Bem'!$BC$22*k_modfi))+d_char_UZ)))/RUWE_UZ,0)*RUWE_UZ,200)</f>
        <v>280</v>
      </c>
      <c r="BE31">
        <f ca="1">IFERROR(ROUNDUP((MAX((SQRT((3*(2*BE10+5*BE16/1000*BE31/1000+0.3*2*BE11)*((BE13*1000)^2)*gamma_mfi)/(4*BE30*k_modfi*k_fi_UZ*'Hilfstabellen_Mat&amp;Bem'!$BC$16))+d_char_UZ),
(((3*(2*BE10+5*BE16/1000*BF38/1000+0.3*2*BE11)*BE13*1000*gamma_mfi)/(4*BE30*'Hilfstabellen_Mat&amp;Bem'!$BC$24*k_fi_UZ*'Hilfstabellen_Mat&amp;Bem'!$BC$22*k_modfi))+d_char_UZ)))/RUWE_UZ,0)*RUWE_UZ,200)</f>
        <v>280</v>
      </c>
      <c r="BF31">
        <f ca="1">IFERROR(ROUNDUP((MAX((SQRT((3*(2*BF10+5*BF16/1000*BF31/1000+0.3*2*BF11)*((BF13*1000)^2)*gamma_mfi)/(4*BF30*k_modfi*k_fi_UZ*'Hilfstabellen_Mat&amp;Bem'!$BC$16))+d_char_UZ),
(((3*(2*BF10+5*BF16/1000*BG38/1000+0.3*2*BF11)*BF13*1000*gamma_mfi)/(4*BF30*'Hilfstabellen_Mat&amp;Bem'!$BC$24*k_fi_UZ*'Hilfstabellen_Mat&amp;Bem'!$BC$22*k_modfi))+d_char_UZ)))/RUWE_UZ,0)*RUWE_UZ,200)</f>
        <v>280</v>
      </c>
      <c r="BG31">
        <f ca="1">IFERROR(ROUNDUP((MAX((SQRT((3*(2*BG10+5*BG16/1000*BG31/1000+0.3*2*BG11)*((BG13*1000)^2)*gamma_mfi)/(4*BG30*k_modfi*k_fi_UZ*'Hilfstabellen_Mat&amp;Bem'!$BC$16))+d_char_UZ),
(((3*(2*BG10+5*BG16/1000*BH38/1000+0.3*2*BG11)*BG13*1000*gamma_mfi)/(4*BG30*'Hilfstabellen_Mat&amp;Bem'!$BC$24*k_fi_UZ*'Hilfstabellen_Mat&amp;Bem'!$BC$22*k_modfi))+d_char_UZ)))/RUWE_UZ,0)*RUWE_UZ,200)</f>
        <v>360</v>
      </c>
      <c r="BH31">
        <f ca="1">IFERROR(ROUNDUP((MAX((SQRT((3*(2*BH10+5*BH16/1000*BH31/1000+0.3*2*BH11)*((BH13*1000)^2)*gamma_mfi)/(4*BH30*k_modfi*k_fi_UZ*'Hilfstabellen_Mat&amp;Bem'!$BC$16))+d_char_UZ),
(((3*(2*BH10+5*BH16/1000*BI38/1000+0.3*2*BH11)*BH13*1000*gamma_mfi)/(4*BH30*'Hilfstabellen_Mat&amp;Bem'!$BC$24*k_fi_UZ*'Hilfstabellen_Mat&amp;Bem'!$BC$22*k_modfi))+d_char_UZ)))/RUWE_UZ,0)*RUWE_UZ,200)</f>
        <v>360</v>
      </c>
      <c r="BI31">
        <f ca="1">IFERROR(ROUNDUP((MAX((SQRT((3*(2*BI10+5*BI16/1000*BI31/1000+0.3*2*BI11)*((BI13*1000)^2)*gamma_mfi)/(4*BI30*k_modfi*k_fi_UZ*'Hilfstabellen_Mat&amp;Bem'!$BC$16))+d_char_UZ),
(((3*(2*BI10+5*BI16/1000*BJ38/1000+0.3*2*BI11)*BI13*1000*gamma_mfi)/(4*BI30*'Hilfstabellen_Mat&amp;Bem'!$BC$24*k_fi_UZ*'Hilfstabellen_Mat&amp;Bem'!$BC$22*k_modfi))+d_char_UZ)))/RUWE_UZ,0)*RUWE_UZ,200)</f>
        <v>360</v>
      </c>
      <c r="BJ31">
        <f ca="1">IFERROR(ROUNDUP((MAX((SQRT((3*(2*BJ10+5*BJ16/1000*BJ31/1000+0.3*2*BJ11)*((BJ13*1000)^2)*gamma_mfi)/(4*BJ30*k_modfi*k_fi_UZ*'Hilfstabellen_Mat&amp;Bem'!$BC$16))+d_char_UZ),
(((3*(2*BJ10+5*BJ16/1000*BK38/1000+0.3*2*BJ11)*BJ13*1000*gamma_mfi)/(4*BJ30*'Hilfstabellen_Mat&amp;Bem'!$BC$24*k_fi_UZ*'Hilfstabellen_Mat&amp;Bem'!$BC$22*k_modfi))+d_char_UZ)))/RUWE_UZ,0)*RUWE_UZ,200)</f>
        <v>360</v>
      </c>
      <c r="BK31" s="921">
        <f ca="1">IFERROR(ROUNDUP((MAX((SQRT((3*(2*BK10+5*BK16/1000*BK31/1000+0.3*2*BK11)*((BK13*1000)^2)*gamma_mfi)/(4*BK30*k_modfi*k_fi_UZ*'Hilfstabellen_Mat&amp;Bem'!$BC$16))+d_char_UZ),
(((3*(2*BK10+5*BK16/1000*BL38/1000+0.3*2*BK11)*BK13*1000*gamma_mfi)/(4*BK30*'Hilfstabellen_Mat&amp;Bem'!$BC$24*k_fi_UZ*'Hilfstabellen_Mat&amp;Bem'!$BC$22*k_modfi))+d_char_UZ)))/RUWE_UZ,0)*RUWE_UZ,200)</f>
        <v>240</v>
      </c>
      <c r="BL31">
        <f ca="1">IFERROR(ROUNDUP((MAX((SQRT((3*(2*BL10+5*BL16/1000*BL31/1000+0.3*2*BL11)*((BL13*1000)^2)*gamma_mfi)/(4*BL30*k_modfi*k_fi_UZ*'Hilfstabellen_Mat&amp;Bem'!$BC$16))+d_char_UZ),
(((3*(2*BL10+5*BL16/1000*BM38/1000+0.3*2*BL11)*BL13*1000*gamma_mfi)/(4*BL30*'Hilfstabellen_Mat&amp;Bem'!$BC$24*k_fi_UZ*'Hilfstabellen_Mat&amp;Bem'!$BC$22*k_modfi))+d_char_UZ)))/RUWE_UZ,0)*RUWE_UZ,200)</f>
        <v>240</v>
      </c>
      <c r="BM31">
        <f ca="1">IFERROR(ROUNDUP((MAX((SQRT((3*(2*BM10+5*BM16/1000*BM31/1000+0.3*2*BM11)*((BM13*1000)^2)*gamma_mfi)/(4*BM30*k_modfi*k_fi_UZ*'Hilfstabellen_Mat&amp;Bem'!$BC$16))+d_char_UZ),
(((3*(2*BM10+5*BM16/1000*BN38/1000+0.3*2*BM11)*BM13*1000*gamma_mfi)/(4*BM30*'Hilfstabellen_Mat&amp;Bem'!$BC$24*k_fi_UZ*'Hilfstabellen_Mat&amp;Bem'!$BC$22*k_modfi))+d_char_UZ)))/RUWE_UZ,0)*RUWE_UZ,200)</f>
        <v>240</v>
      </c>
      <c r="BN31">
        <f ca="1">IFERROR(ROUNDUP((MAX((SQRT((3*(2*BN10+5*BN16/1000*BN31/1000+0.3*2*BN11)*((BN13*1000)^2)*gamma_mfi)/(4*BN30*k_modfi*k_fi_UZ*'Hilfstabellen_Mat&amp;Bem'!$BC$16))+d_char_UZ),
(((3*(2*BN10+5*BN16/1000*BO38/1000+0.3*2*BN11)*BN13*1000*gamma_mfi)/(4*BN30*'Hilfstabellen_Mat&amp;Bem'!$BC$24*k_fi_UZ*'Hilfstabellen_Mat&amp;Bem'!$BC$22*k_modfi))+d_char_UZ)))/RUWE_UZ,0)*RUWE_UZ,200)</f>
        <v>280</v>
      </c>
      <c r="BO31">
        <f ca="1">IFERROR(ROUNDUP((MAX((SQRT((3*(2*BO10+5*BO16/1000*BO31/1000+0.3*2*BO11)*((BO13*1000)^2)*gamma_mfi)/(4*BO30*k_modfi*k_fi_UZ*'Hilfstabellen_Mat&amp;Bem'!$BC$16))+d_char_UZ),
(((3*(2*BO10+5*BO16/1000*BP38/1000+0.3*2*BO11)*BO13*1000*gamma_mfi)/(4*BO30*'Hilfstabellen_Mat&amp;Bem'!$BC$24*k_fi_UZ*'Hilfstabellen_Mat&amp;Bem'!$BC$22*k_modfi))+d_char_UZ)))/RUWE_UZ,0)*RUWE_UZ,200)</f>
        <v>320</v>
      </c>
      <c r="BP31">
        <f ca="1">IFERROR(ROUNDUP((MAX((SQRT((3*(2*BP10+5*BP16/1000*BP31/1000+0.3*2*BP11)*((BP13*1000)^2)*gamma_mfi)/(4*BP30*k_modfi*k_fi_UZ*'Hilfstabellen_Mat&amp;Bem'!$BC$16))+d_char_UZ),
(((3*(2*BP10+5*BP16/1000*BQ38/1000+0.3*2*BP11)*BP13*1000*gamma_mfi)/(4*BP30*'Hilfstabellen_Mat&amp;Bem'!$BC$24*k_fi_UZ*'Hilfstabellen_Mat&amp;Bem'!$BC$22*k_modfi))+d_char_UZ)))/RUWE_UZ,0)*RUWE_UZ,200)</f>
        <v>360</v>
      </c>
      <c r="BQ31">
        <f ca="1">IFERROR(ROUNDUP((MAX((SQRT((3*(2*BQ10+5*BQ16/1000*BQ31/1000+0.3*2*BQ11)*((BQ13*1000)^2)*gamma_mfi)/(4*BQ30*k_modfi*k_fi_UZ*'Hilfstabellen_Mat&amp;Bem'!$BC$16))+d_char_UZ),
(((3*(2*BQ10+5*BQ16/1000*BR38/1000+0.3*2*BQ11)*BQ13*1000*gamma_mfi)/(4*BQ30*'Hilfstabellen_Mat&amp;Bem'!$BC$24*k_fi_UZ*'Hilfstabellen_Mat&amp;Bem'!$BC$22*k_modfi))+d_char_UZ)))/RUWE_UZ,0)*RUWE_UZ,200)</f>
        <v>360</v>
      </c>
      <c r="BR31">
        <f ca="1">IFERROR(ROUNDUP((MAX((SQRT((3*(2*BR10+5*BR16/1000*BR31/1000+0.3*2*BR11)*((BR13*1000)^2)*gamma_mfi)/(4*BR30*k_modfi*k_fi_UZ*'Hilfstabellen_Mat&amp;Bem'!$BC$16))+d_char_UZ),
(((3*(2*BR10+5*BR16/1000*BS38/1000+0.3*2*BR11)*BR13*1000*gamma_mfi)/(4*BR30*'Hilfstabellen_Mat&amp;Bem'!$BC$24*k_fi_UZ*'Hilfstabellen_Mat&amp;Bem'!$BC$22*k_modfi))+d_char_UZ)))/RUWE_UZ,0)*RUWE_UZ,200)</f>
        <v>400</v>
      </c>
      <c r="BS31">
        <f ca="1">IFERROR(ROUNDUP((MAX((SQRT((3*(2*BS10+5*BS16/1000*BS31/1000+0.3*2*BS11)*((BS13*1000)^2)*gamma_mfi)/(4*BS30*k_modfi*k_fi_UZ*'Hilfstabellen_Mat&amp;Bem'!$BC$16))+d_char_UZ),
(((3*(2*BS10+5*BS16/1000*BT38/1000+0.3*2*BS11)*BS13*1000*gamma_mfi)/(4*BS30*'Hilfstabellen_Mat&amp;Bem'!$BC$24*k_fi_UZ*'Hilfstabellen_Mat&amp;Bem'!$BC$22*k_modfi))+d_char_UZ)))/RUWE_UZ,0)*RUWE_UZ,200)</f>
        <v>400</v>
      </c>
    </row>
    <row r="35" spans="1:71">
      <c r="A35" s="935" t="s">
        <v>878</v>
      </c>
      <c r="I35" s="921"/>
      <c r="R35" s="921"/>
      <c r="AA35" s="921"/>
      <c r="AJ35" s="921"/>
      <c r="AS35" s="921"/>
      <c r="BB35" s="921"/>
      <c r="BK35" s="921"/>
    </row>
    <row r="36" spans="1:71">
      <c r="A36" t="s">
        <v>1832</v>
      </c>
      <c r="B36">
        <f ca="1">IFERROR(ROUNDUP((
MAX((((1.6*(2*B10+5*B16/1000*B36/1000)+1.18*2*B11)*(5*w_fin_UZ*(B13*1000)^3)/(32*B16*'Hilfstabellen_Mat&amp;Bem'!$BC$25))^(1/3)),
((48*((2*B10+5*B16/1000*B36/1000)*100)*(B13*1000)^4*f_grenz_UZ^2)/(PI()^2*'Hilfstabellen_Mat&amp;Bem'!$BC$25*B16)/1000^2)^(1/3),
(((B13*1000)^3*1000)/('Hilfstabellen_Mat&amp;Bem'!$BC$25*B16))^(1/3)))
/RUWE_UZ,0)*RUWE_UZ,200)</f>
        <v>200</v>
      </c>
      <c r="C36">
        <f ca="1">IFERROR(ROUNDUP((
MAX((((1.6*(2*C10+5*C16/1000*C36/1000)+1.18*2*C11)*(5*w_fin_UZ*(C13*1000)^3)/(32*C16*'Hilfstabellen_Mat&amp;Bem'!$BC$25))^(1/3)),
((48*((2*C10+5*C16/1000*C36/1000)*100)*(C13*1000)^4*f_grenz_UZ^2)/(PI()^2*'Hilfstabellen_Mat&amp;Bem'!$BC$25*C16)/1000^2)^(1/3),
(((C13*1000)^3*1000)/('Hilfstabellen_Mat&amp;Bem'!$BC$25*C16))^(1/3)))
/RUWE_UZ,0)*RUWE_UZ,200)</f>
        <v>240</v>
      </c>
      <c r="D36">
        <f ca="1">IFERROR(ROUNDUP((
MAX((((1.6*(2*D10+5*D16/1000*D36/1000)+1.18*2*D11)*(5*w_fin_UZ*(D13*1000)^3)/(32*D16*'Hilfstabellen_Mat&amp;Bem'!$BC$25))^(1/3)),
((48*((2*D10+5*D16/1000*D36/1000)*100)*(D13*1000)^4*f_grenz_UZ^2)/(PI()^2*'Hilfstabellen_Mat&amp;Bem'!$BC$25*D16)/1000^2)^(1/3),
(((D13*1000)^3*1000)/('Hilfstabellen_Mat&amp;Bem'!$BC$25*D16))^(1/3)))
/RUWE_UZ,0)*RUWE_UZ,200)</f>
        <v>240</v>
      </c>
      <c r="E36">
        <f ca="1">IFERROR(ROUNDUP((
MAX((((1.6*(2*E10+5*E16/1000*E36/1000)+1.18*2*E11)*(5*w_fin_UZ*(E13*1000)^3)/(32*E16*'Hilfstabellen_Mat&amp;Bem'!$BC$25))^(1/3)),
((48*((2*E10+5*E16/1000*E36/1000)*100)*(E13*1000)^4*f_grenz_UZ^2)/(PI()^2*'Hilfstabellen_Mat&amp;Bem'!$BC$25*E16)/1000^2)^(1/3),
(((E13*1000)^3*1000)/('Hilfstabellen_Mat&amp;Bem'!$BC$25*E16))^(1/3)))
/RUWE_UZ,0)*RUWE_UZ,200)</f>
        <v>320</v>
      </c>
      <c r="F36">
        <f ca="1">IFERROR(ROUNDUP((
MAX((((1.6*(2*F10+5*F16/1000*F36/1000)+1.18*2*F11)*(5*w_fin_UZ*(F13*1000)^3)/(32*F16*'Hilfstabellen_Mat&amp;Bem'!$BC$25))^(1/3)),
((48*((2*F10+5*F16/1000*F36/1000)*100)*(F13*1000)^4*f_grenz_UZ^2)/(PI()^2*'Hilfstabellen_Mat&amp;Bem'!$BC$25*F16)/1000^2)^(1/3),
(((F13*1000)^3*1000)/('Hilfstabellen_Mat&amp;Bem'!$BC$25*F16))^(1/3)))
/RUWE_UZ,0)*RUWE_UZ,200)</f>
        <v>360</v>
      </c>
      <c r="G36">
        <f ca="1">IFERROR(ROUNDUP((
MAX((((1.6*(2*G10+5*G16/1000*G36/1000)+1.18*2*G11)*(5*w_fin_UZ*(G13*1000)^3)/(32*G16*'Hilfstabellen_Mat&amp;Bem'!$BC$25))^(1/3)),
((48*((2*G10+5*G16/1000*G36/1000)*100)*(G13*1000)^4*f_grenz_UZ^2)/(PI()^2*'Hilfstabellen_Mat&amp;Bem'!$BC$25*G16)/1000^2)^(1/3),
(((G13*1000)^3*1000)/('Hilfstabellen_Mat&amp;Bem'!$BC$25*G16))^(1/3)))
/RUWE_UZ,0)*RUWE_UZ,200)</f>
        <v>440</v>
      </c>
      <c r="H36">
        <f ca="1">IFERROR(ROUNDUP((
MAX((((1.6*(2*H10+5*H16/1000*H36/1000)+1.18*2*H11)*(5*w_fin_UZ*(H13*1000)^3)/(32*H16*'Hilfstabellen_Mat&amp;Bem'!$BC$25))^(1/3)),
((48*((2*H10+5*H16/1000*H36/1000)*100)*(H13*1000)^4*f_grenz_UZ^2)/(PI()^2*'Hilfstabellen_Mat&amp;Bem'!$BC$25*H16)/1000^2)^(1/3),
(((H13*1000)^3*1000)/('Hilfstabellen_Mat&amp;Bem'!$BC$25*H16))^(1/3)))
/RUWE_UZ,0)*RUWE_UZ,200)</f>
        <v>520</v>
      </c>
      <c r="I36" s="921">
        <f ca="1">IFERROR(ROUNDUP((
MAX((((1.6*(2*I10+5*I16/1000*I36/1000)+1.18*2*I11)*(5*w_fin_UZ*(I13*1000)^3)/(32*I16*'Hilfstabellen_Mat&amp;Bem'!$BC$25))^(1/3)),
((48*((2*I10+5*I16/1000*I36/1000)*100)*(I13*1000)^4*f_grenz_UZ^2)/(PI()^2*'Hilfstabellen_Mat&amp;Bem'!$BC$25*I16)/1000^2)^(1/3),
(((I13*1000)^3*1000)/('Hilfstabellen_Mat&amp;Bem'!$BC$25*I16))^(1/3)))
/RUWE_UZ,0)*RUWE_UZ,200)</f>
        <v>240</v>
      </c>
      <c r="J36">
        <f ca="1">IFERROR(ROUNDUP((
MAX((((1.6*(2*J10+5*J16/1000*J36/1000)+1.18*2*J11)*(5*w_fin_UZ*(J13*1000)^3)/(32*J16*'Hilfstabellen_Mat&amp;Bem'!$BC$25))^(1/3)),
((48*((2*J10+5*J16/1000*J36/1000)*100)*(J13*1000)^4*f_grenz_UZ^2)/(PI()^2*'Hilfstabellen_Mat&amp;Bem'!$BC$25*J16)/1000^2)^(1/3),
(((J13*1000)^3*1000)/('Hilfstabellen_Mat&amp;Bem'!$BC$25*J16))^(1/3)))
/RUWE_UZ,0)*RUWE_UZ,200)</f>
        <v>240</v>
      </c>
      <c r="K36">
        <f ca="1">IFERROR(ROUNDUP((
MAX((((1.6*(2*K10+5*K16/1000*K36/1000)+1.18*2*K11)*(5*w_fin_UZ*(K13*1000)^3)/(32*K16*'Hilfstabellen_Mat&amp;Bem'!$BC$25))^(1/3)),
((48*((2*K10+5*K16/1000*K36/1000)*100)*(K13*1000)^4*f_grenz_UZ^2)/(PI()^2*'Hilfstabellen_Mat&amp;Bem'!$BC$25*K16)/1000^2)^(1/3),
(((K13*1000)^3*1000)/('Hilfstabellen_Mat&amp;Bem'!$BC$25*K16))^(1/3)))
/RUWE_UZ,0)*RUWE_UZ,200)</f>
        <v>280</v>
      </c>
      <c r="L36">
        <f ca="1">IFERROR(ROUNDUP((
MAX((((1.6*(2*L10+5*L16/1000*L36/1000)+1.18*2*L11)*(5*w_fin_UZ*(L13*1000)^3)/(32*L16*'Hilfstabellen_Mat&amp;Bem'!$BC$25))^(1/3)),
((48*((2*L10+5*L16/1000*L36/1000)*100)*(L13*1000)^4*f_grenz_UZ^2)/(PI()^2*'Hilfstabellen_Mat&amp;Bem'!$BC$25*L16)/1000^2)^(1/3),
(((L13*1000)^3*1000)/('Hilfstabellen_Mat&amp;Bem'!$BC$25*L16))^(1/3)))
/RUWE_UZ,0)*RUWE_UZ,200)</f>
        <v>320</v>
      </c>
      <c r="M36">
        <f ca="1">IFERROR(ROUNDUP((
MAX((((1.6*(2*M10+5*M16/1000*M36/1000)+1.18*2*M11)*(5*w_fin_UZ*(M13*1000)^3)/(32*M16*'Hilfstabellen_Mat&amp;Bem'!$BC$25))^(1/3)),
((48*((2*M10+5*M16/1000*M36/1000)*100)*(M13*1000)^4*f_grenz_UZ^2)/(PI()^2*'Hilfstabellen_Mat&amp;Bem'!$BC$25*M16)/1000^2)^(1/3),
(((M13*1000)^3*1000)/('Hilfstabellen_Mat&amp;Bem'!$BC$25*M16))^(1/3)))
/RUWE_UZ,0)*RUWE_UZ,200)</f>
        <v>400</v>
      </c>
      <c r="N36">
        <f ca="1">IFERROR(ROUNDUP((
MAX((((1.6*(2*N10+5*N16/1000*N36/1000)+1.18*2*N11)*(5*w_fin_UZ*(N13*1000)^3)/(32*N16*'Hilfstabellen_Mat&amp;Bem'!$BC$25))^(1/3)),
((48*((2*N10+5*N16/1000*N36/1000)*100)*(N13*1000)^4*f_grenz_UZ^2)/(PI()^2*'Hilfstabellen_Mat&amp;Bem'!$BC$25*N16)/1000^2)^(1/3),
(((N13*1000)^3*1000)/('Hilfstabellen_Mat&amp;Bem'!$BC$25*N16))^(1/3)))
/RUWE_UZ,0)*RUWE_UZ,200)</f>
        <v>440</v>
      </c>
      <c r="O36">
        <f ca="1">IFERROR(ROUNDUP((
MAX((((1.6*(2*O10+5*O16/1000*O36/1000)+1.18*2*O11)*(5*w_fin_UZ*(O13*1000)^3)/(32*O16*'Hilfstabellen_Mat&amp;Bem'!$BC$25))^(1/3)),
((48*((2*O10+5*O16/1000*O36/1000)*100)*(O13*1000)^4*f_grenz_UZ^2)/(PI()^2*'Hilfstabellen_Mat&amp;Bem'!$BC$25*O16)/1000^2)^(1/3),
(((O13*1000)^3*1000)/('Hilfstabellen_Mat&amp;Bem'!$BC$25*O16))^(1/3)))
/RUWE_UZ,0)*RUWE_UZ,200)</f>
        <v>440</v>
      </c>
      <c r="P36">
        <f ca="1">IFERROR(ROUNDUP((
MAX((((1.6*(2*P10+5*P16/1000*P36/1000)+1.18*2*P11)*(5*w_fin_UZ*(P13*1000)^3)/(32*P16*'Hilfstabellen_Mat&amp;Bem'!$BC$25))^(1/3)),
((48*((2*P10+5*P16/1000*P36/1000)*100)*(P13*1000)^4*f_grenz_UZ^2)/(PI()^2*'Hilfstabellen_Mat&amp;Bem'!$BC$25*P16)/1000^2)^(1/3),
(((P13*1000)^3*1000)/('Hilfstabellen_Mat&amp;Bem'!$BC$25*P16))^(1/3)))
/RUWE_UZ,0)*RUWE_UZ,200)</f>
        <v>480</v>
      </c>
      <c r="Q36">
        <f ca="1">IFERROR(ROUNDUP((
MAX((((1.6*(2*Q10+5*Q16/1000*Q36/1000)+1.18*2*Q11)*(5*w_fin_UZ*(Q13*1000)^3)/(32*Q16*'Hilfstabellen_Mat&amp;Bem'!$BC$25))^(1/3)),
((48*((2*Q10+5*Q16/1000*Q36/1000)*100)*(Q13*1000)^4*f_grenz_UZ^2)/(PI()^2*'Hilfstabellen_Mat&amp;Bem'!$BC$25*Q16)/1000^2)^(1/3),
(((Q13*1000)^3*1000)/('Hilfstabellen_Mat&amp;Bem'!$BC$25*Q16))^(1/3)))
/RUWE_UZ,0)*RUWE_UZ,200)</f>
        <v>520</v>
      </c>
      <c r="R36" s="921">
        <f ca="1">IFERROR(ROUNDUP((
MAX((((1.6*(2*R10+5*R16/1000*R36/1000)+1.18*2*R11)*(5*w_fin_UZ*(R13*1000)^3)/(32*R16*'Hilfstabellen_Mat&amp;Bem'!$BC$25))^(1/3)),
((48*((2*R10+5*R16/1000*R36/1000)*100)*(R13*1000)^4*f_grenz_UZ^2)/(PI()^2*'Hilfstabellen_Mat&amp;Bem'!$BC$25*R16)/1000^2)^(1/3),
(((R13*1000)^3*1000)/('Hilfstabellen_Mat&amp;Bem'!$BC$25*R16))^(1/3)))
/RUWE_UZ,0)*RUWE_UZ,200)</f>
        <v>200</v>
      </c>
      <c r="S36">
        <f ca="1">IFERROR(ROUNDUP((
MAX((((1.6*(2*S10+5*S16/1000*S36/1000)+1.18*2*S11)*(5*w_fin_UZ*(S13*1000)^3)/(32*S16*'Hilfstabellen_Mat&amp;Bem'!$BC$25))^(1/3)),
((48*((2*S10+5*S16/1000*S36/1000)*100)*(S13*1000)^4*f_grenz_UZ^2)/(PI()^2*'Hilfstabellen_Mat&amp;Bem'!$BC$25*S16)/1000^2)^(1/3),
(((S13*1000)^3*1000)/('Hilfstabellen_Mat&amp;Bem'!$BC$25*S16))^(1/3)))
/RUWE_UZ,0)*RUWE_UZ,200)</f>
        <v>240</v>
      </c>
      <c r="T36">
        <f ca="1">IFERROR(ROUNDUP((
MAX((((1.6*(2*T10+5*T16/1000*T36/1000)+1.18*2*T11)*(5*w_fin_UZ*(T13*1000)^3)/(32*T16*'Hilfstabellen_Mat&amp;Bem'!$BC$25))^(1/3)),
((48*((2*T10+5*T16/1000*T36/1000)*100)*(T13*1000)^4*f_grenz_UZ^2)/(PI()^2*'Hilfstabellen_Mat&amp;Bem'!$BC$25*T16)/1000^2)^(1/3),
(((T13*1000)^3*1000)/('Hilfstabellen_Mat&amp;Bem'!$BC$25*T16))^(1/3)))
/RUWE_UZ,0)*RUWE_UZ,200)</f>
        <v>280</v>
      </c>
      <c r="U36">
        <f ca="1">IFERROR(ROUNDUP((
MAX((((1.6*(2*U10+5*U16/1000*U36/1000)+1.18*2*U11)*(5*w_fin_UZ*(U13*1000)^3)/(32*U16*'Hilfstabellen_Mat&amp;Bem'!$BC$25))^(1/3)),
((48*((2*U10+5*U16/1000*U36/1000)*100)*(U13*1000)^4*f_grenz_UZ^2)/(PI()^2*'Hilfstabellen_Mat&amp;Bem'!$BC$25*U16)/1000^2)^(1/3),
(((U13*1000)^3*1000)/('Hilfstabellen_Mat&amp;Bem'!$BC$25*U16))^(1/3)))
/RUWE_UZ,0)*RUWE_UZ,200)</f>
        <v>320</v>
      </c>
      <c r="V36">
        <f ca="1">IFERROR(ROUNDUP((
MAX((((1.6*(2*V10+5*V16/1000*V36/1000)+1.18*2*V11)*(5*w_fin_UZ*(V13*1000)^3)/(32*V16*'Hilfstabellen_Mat&amp;Bem'!$BC$25))^(1/3)),
((48*((2*V10+5*V16/1000*V36/1000)*100)*(V13*1000)^4*f_grenz_UZ^2)/(PI()^2*'Hilfstabellen_Mat&amp;Bem'!$BC$25*V16)/1000^2)^(1/3),
(((V13*1000)^3*1000)/('Hilfstabellen_Mat&amp;Bem'!$BC$25*V16))^(1/3)))
/RUWE_UZ,0)*RUWE_UZ,200)</f>
        <v>400</v>
      </c>
      <c r="W36">
        <f ca="1">IFERROR(ROUNDUP((
MAX((((1.6*(2*W10+5*W16/1000*W36/1000)+1.18*2*W11)*(5*w_fin_UZ*(W13*1000)^3)/(32*W16*'Hilfstabellen_Mat&amp;Bem'!$BC$25))^(1/3)),
((48*((2*W10+5*W16/1000*W36/1000)*100)*(W13*1000)^4*f_grenz_UZ^2)/(PI()^2*'Hilfstabellen_Mat&amp;Bem'!$BC$25*W16)/1000^2)^(1/3),
(((W13*1000)^3*1000)/('Hilfstabellen_Mat&amp;Bem'!$BC$25*W16))^(1/3)))
/RUWE_UZ,0)*RUWE_UZ,200)</f>
        <v>440</v>
      </c>
      <c r="X36">
        <f ca="1">IFERROR(ROUNDUP((
MAX((((1.6*(2*X10+5*X16/1000*X36/1000)+1.18*2*X11)*(5*w_fin_UZ*(X13*1000)^3)/(32*X16*'Hilfstabellen_Mat&amp;Bem'!$BC$25))^(1/3)),
((48*((2*X10+5*X16/1000*X36/1000)*100)*(X13*1000)^4*f_grenz_UZ^2)/(PI()^2*'Hilfstabellen_Mat&amp;Bem'!$BC$25*X16)/1000^2)^(1/3),
(((X13*1000)^3*1000)/('Hilfstabellen_Mat&amp;Bem'!$BC$25*X16))^(1/3)))
/RUWE_UZ,0)*RUWE_UZ,200)</f>
        <v>480</v>
      </c>
      <c r="Y36">
        <f ca="1">IFERROR(ROUNDUP((
MAX((((1.6*(2*Y10+5*Y16/1000*Y36/1000)+1.18*2*Y11)*(5*w_fin_UZ*(Y13*1000)^3)/(32*Y16*'Hilfstabellen_Mat&amp;Bem'!$BC$25))^(1/3)),
((48*((2*Y10+5*Y16/1000*Y36/1000)*100)*(Y13*1000)^4*f_grenz_UZ^2)/(PI()^2*'Hilfstabellen_Mat&amp;Bem'!$BC$25*Y16)/1000^2)^(1/3),
(((Y13*1000)^3*1000)/('Hilfstabellen_Mat&amp;Bem'!$BC$25*Y16))^(1/3)))
/RUWE_UZ,0)*RUWE_UZ,200)</f>
        <v>520</v>
      </c>
      <c r="Z36">
        <f ca="1">IFERROR(ROUNDUP((
MAX((((1.6*(2*Z10+5*Z16/1000*Z36/1000)+1.18*2*Z11)*(5*w_fin_UZ*(Z13*1000)^3)/(32*Z16*'Hilfstabellen_Mat&amp;Bem'!$BC$25))^(1/3)),
((48*((2*Z10+5*Z16/1000*Z36/1000)*100)*(Z13*1000)^4*f_grenz_UZ^2)/(PI()^2*'Hilfstabellen_Mat&amp;Bem'!$BC$25*Z16)/1000^2)^(1/3),
(((Z13*1000)^3*1000)/('Hilfstabellen_Mat&amp;Bem'!$BC$25*Z16))^(1/3)))
/RUWE_UZ,0)*RUWE_UZ,200)</f>
        <v>560</v>
      </c>
      <c r="AA36" s="921">
        <f ca="1">IFERROR(ROUNDUP((
MAX((((1.6*(2*AA10+5*AA16/1000*AA36/1000)+1.18*2*AA11)*(5*w_fin_UZ*(AA13*1000)^3)/(32*AA16*'Hilfstabellen_Mat&amp;Bem'!$BC$25))^(1/3)),
((48*((2*AA10+5*AA16/1000*AA36/1000)*100)*(AA13*1000)^4*f_grenz_UZ^2)/(PI()^2*'Hilfstabellen_Mat&amp;Bem'!$BC$25*AA16)/1000^2)^(1/3),
(((AA13*1000)^3*1000)/('Hilfstabellen_Mat&amp;Bem'!$BC$25*AA16))^(1/3)))
/RUWE_UZ,0)*RUWE_UZ,200)</f>
        <v>240</v>
      </c>
      <c r="AB36">
        <f ca="1">IFERROR(ROUNDUP((
MAX((((1.6*(2*AB10+5*AB16/1000*AB36/1000)+1.18*2*AB11)*(5*w_fin_UZ*(AB13*1000)^3)/(32*AB16*'Hilfstabellen_Mat&amp;Bem'!$BC$25))^(1/3)),
((48*((2*AB10+5*AB16/1000*AB36/1000)*100)*(AB13*1000)^4*f_grenz_UZ^2)/(PI()^2*'Hilfstabellen_Mat&amp;Bem'!$BC$25*AB16)/1000^2)^(1/3),
(((AB13*1000)^3*1000)/('Hilfstabellen_Mat&amp;Bem'!$BC$25*AB16))^(1/3)))
/RUWE_UZ,0)*RUWE_UZ,200)</f>
        <v>240</v>
      </c>
      <c r="AC36">
        <f ca="1">IFERROR(ROUNDUP((
MAX((((1.6*(2*AC10+5*AC16/1000*AC36/1000)+1.18*2*AC11)*(5*w_fin_UZ*(AC13*1000)^3)/(32*AC16*'Hilfstabellen_Mat&amp;Bem'!$BC$25))^(1/3)),
((48*((2*AC10+5*AC16/1000*AC36/1000)*100)*(AC13*1000)^4*f_grenz_UZ^2)/(PI()^2*'Hilfstabellen_Mat&amp;Bem'!$BC$25*AC16)/1000^2)^(1/3),
(((AC13*1000)^3*1000)/('Hilfstabellen_Mat&amp;Bem'!$BC$25*AC16))^(1/3)))
/RUWE_UZ,0)*RUWE_UZ,200)</f>
        <v>280</v>
      </c>
      <c r="AD36">
        <f ca="1">IFERROR(ROUNDUP((
MAX((((1.6*(2*AD10+5*AD16/1000*AD36/1000)+1.18*2*AD11)*(5*w_fin_UZ*(AD13*1000)^3)/(32*AD16*'Hilfstabellen_Mat&amp;Bem'!$BC$25))^(1/3)),
((48*((2*AD10+5*AD16/1000*AD36/1000)*100)*(AD13*1000)^4*f_grenz_UZ^2)/(PI()^2*'Hilfstabellen_Mat&amp;Bem'!$BC$25*AD16)/1000^2)^(1/3),
(((AD13*1000)^3*1000)/('Hilfstabellen_Mat&amp;Bem'!$BC$25*AD16))^(1/3)))
/RUWE_UZ,0)*RUWE_UZ,200)</f>
        <v>360</v>
      </c>
      <c r="AE36">
        <f ca="1">IFERROR(ROUNDUP((
MAX((((1.6*(2*AE10+5*AE16/1000*AE36/1000)+1.18*2*AE11)*(5*w_fin_UZ*(AE13*1000)^3)/(32*AE16*'Hilfstabellen_Mat&amp;Bem'!$BC$25))^(1/3)),
((48*((2*AE10+5*AE16/1000*AE36/1000)*100)*(AE13*1000)^4*f_grenz_UZ^2)/(PI()^2*'Hilfstabellen_Mat&amp;Bem'!$BC$25*AE16)/1000^2)^(1/3),
(((AE13*1000)^3*1000)/('Hilfstabellen_Mat&amp;Bem'!$BC$25*AE16))^(1/3)))
/RUWE_UZ,0)*RUWE_UZ,200)</f>
        <v>400</v>
      </c>
      <c r="AF36">
        <f ca="1">IFERROR(ROUNDUP((
MAX((((1.6*(2*AF10+5*AF16/1000*AF36/1000)+1.18*2*AF11)*(5*w_fin_UZ*(AF13*1000)^3)/(32*AF16*'Hilfstabellen_Mat&amp;Bem'!$BC$25))^(1/3)),
((48*((2*AF10+5*AF16/1000*AF36/1000)*100)*(AF13*1000)^4*f_grenz_UZ^2)/(PI()^2*'Hilfstabellen_Mat&amp;Bem'!$BC$25*AF16)/1000^2)^(1/3),
(((AF13*1000)^3*1000)/('Hilfstabellen_Mat&amp;Bem'!$BC$25*AF16))^(1/3)))
/RUWE_UZ,0)*RUWE_UZ,200)</f>
        <v>440</v>
      </c>
      <c r="AG36">
        <f ca="1">IFERROR(ROUNDUP((
MAX((((1.6*(2*AG10+5*AG16/1000*AG36/1000)+1.18*2*AG11)*(5*w_fin_UZ*(AG13*1000)^3)/(32*AG16*'Hilfstabellen_Mat&amp;Bem'!$BC$25))^(1/3)),
((48*((2*AG10+5*AG16/1000*AG36/1000)*100)*(AG13*1000)^4*f_grenz_UZ^2)/(PI()^2*'Hilfstabellen_Mat&amp;Bem'!$BC$25*AG16)/1000^2)^(1/3),
(((AG13*1000)^3*1000)/('Hilfstabellen_Mat&amp;Bem'!$BC$25*AG16))^(1/3)))
/RUWE_UZ,0)*RUWE_UZ,200)</f>
        <v>480</v>
      </c>
      <c r="AH36">
        <f ca="1">IFERROR(ROUNDUP((
MAX((((1.6*(2*AH10+5*AH16/1000*AH36/1000)+1.18*2*AH11)*(5*w_fin_UZ*(AH13*1000)^3)/(32*AH16*'Hilfstabellen_Mat&amp;Bem'!$BC$25))^(1/3)),
((48*((2*AH10+5*AH16/1000*AH36/1000)*100)*(AH13*1000)^4*f_grenz_UZ^2)/(PI()^2*'Hilfstabellen_Mat&amp;Bem'!$BC$25*AH16)/1000^2)^(1/3),
(((AH13*1000)^3*1000)/('Hilfstabellen_Mat&amp;Bem'!$BC$25*AH16))^(1/3)))
/RUWE_UZ,0)*RUWE_UZ,200)</f>
        <v>520</v>
      </c>
      <c r="AI36">
        <f ca="1">IFERROR(ROUNDUP((
MAX((((1.6*(2*AI10+5*AI16/1000*AI36/1000)+1.18*2*AI11)*(5*w_fin_UZ*(AI13*1000)^3)/(32*AI16*'Hilfstabellen_Mat&amp;Bem'!$BC$25))^(1/3)),
((48*((2*AI10+5*AI16/1000*AI36/1000)*100)*(AI13*1000)^4*f_grenz_UZ^2)/(PI()^2*'Hilfstabellen_Mat&amp;Bem'!$BC$25*AI16)/1000^2)^(1/3),
(((AI13*1000)^3*1000)/('Hilfstabellen_Mat&amp;Bem'!$BC$25*AI16))^(1/3)))
/RUWE_UZ,0)*RUWE_UZ,200)</f>
        <v>560</v>
      </c>
      <c r="AJ36" s="921">
        <f ca="1">IFERROR(ROUNDUP((
MAX((((1.6*(2*AJ10+5*AJ16/1000*AJ36/1000)+1.18*2*AJ11)*(5*w_fin_UZ*(AJ13*1000)^3)/(32*AJ16*'Hilfstabellen_Mat&amp;Bem'!$BC$25))^(1/3)),
((48*((2*AJ10+5*AJ16/1000*AJ36/1000)*100)*(AJ13*1000)^4*f_grenz_UZ^2)/(PI()^2*'Hilfstabellen_Mat&amp;Bem'!$BC$25*AJ16)/1000^2)^(1/3),
(((AJ13*1000)^3*1000)/('Hilfstabellen_Mat&amp;Bem'!$BC$25*AJ16))^(1/3)))
/RUWE_UZ,0)*RUWE_UZ,200)</f>
        <v>240</v>
      </c>
      <c r="AK36">
        <f ca="1">IFERROR(ROUNDUP((
MAX((((1.6*(2*AK10+5*AK16/1000*AK36/1000)+1.18*2*AK11)*(5*w_fin_UZ*(AK13*1000)^3)/(32*AK16*'Hilfstabellen_Mat&amp;Bem'!$BC$25))^(1/3)),
((48*((2*AK10+5*AK16/1000*AK36/1000)*100)*(AK13*1000)^4*f_grenz_UZ^2)/(PI()^2*'Hilfstabellen_Mat&amp;Bem'!$BC$25*AK16)/1000^2)^(1/3),
(((AK13*1000)^3*1000)/('Hilfstabellen_Mat&amp;Bem'!$BC$25*AK16))^(1/3)))
/RUWE_UZ,0)*RUWE_UZ,200)</f>
        <v>240</v>
      </c>
      <c r="AL36">
        <f ca="1">IFERROR(ROUNDUP((
MAX((((1.6*(2*AL10+5*AL16/1000*AL36/1000)+1.18*2*AL11)*(5*w_fin_UZ*(AL13*1000)^3)/(32*AL16*'Hilfstabellen_Mat&amp;Bem'!$BC$25))^(1/3)),
((48*((2*AL10+5*AL16/1000*AL36/1000)*100)*(AL13*1000)^4*f_grenz_UZ^2)/(PI()^2*'Hilfstabellen_Mat&amp;Bem'!$BC$25*AL16)/1000^2)^(1/3),
(((AL13*1000)^3*1000)/('Hilfstabellen_Mat&amp;Bem'!$BC$25*AL16))^(1/3)))
/RUWE_UZ,0)*RUWE_UZ,200)</f>
        <v>280</v>
      </c>
      <c r="AM36">
        <f ca="1">IFERROR(ROUNDUP((
MAX((((1.6*(2*AM10+5*AM16/1000*AM36/1000)+1.18*2*AM11)*(5*w_fin_UZ*(AM13*1000)^3)/(32*AM16*'Hilfstabellen_Mat&amp;Bem'!$BC$25))^(1/3)),
((48*((2*AM10+5*AM16/1000*AM36/1000)*100)*(AM13*1000)^4*f_grenz_UZ^2)/(PI()^2*'Hilfstabellen_Mat&amp;Bem'!$BC$25*AM16)/1000^2)^(1/3),
(((AM13*1000)^3*1000)/('Hilfstabellen_Mat&amp;Bem'!$BC$25*AM16))^(1/3)))
/RUWE_UZ,0)*RUWE_UZ,200)</f>
        <v>360</v>
      </c>
      <c r="AN36">
        <f ca="1">IFERROR(ROUNDUP((
MAX((((1.6*(2*AN10+5*AN16/1000*AN36/1000)+1.18*2*AN11)*(5*w_fin_UZ*(AN13*1000)^3)/(32*AN16*'Hilfstabellen_Mat&amp;Bem'!$BC$25))^(1/3)),
((48*((2*AN10+5*AN16/1000*AN36/1000)*100)*(AN13*1000)^4*f_grenz_UZ^2)/(PI()^2*'Hilfstabellen_Mat&amp;Bem'!$BC$25*AN16)/1000^2)^(1/3),
(((AN13*1000)^3*1000)/('Hilfstabellen_Mat&amp;Bem'!$BC$25*AN16))^(1/3)))
/RUWE_UZ,0)*RUWE_UZ,200)</f>
        <v>400</v>
      </c>
      <c r="AO36">
        <f ca="1">IFERROR(ROUNDUP((
MAX((((1.6*(2*AO10+5*AO16/1000*AO36/1000)+1.18*2*AO11)*(5*w_fin_UZ*(AO13*1000)^3)/(32*AO16*'Hilfstabellen_Mat&amp;Bem'!$BC$25))^(1/3)),
((48*((2*AO10+5*AO16/1000*AO36/1000)*100)*(AO13*1000)^4*f_grenz_UZ^2)/(PI()^2*'Hilfstabellen_Mat&amp;Bem'!$BC$25*AO16)/1000^2)^(1/3),
(((AO13*1000)^3*1000)/('Hilfstabellen_Mat&amp;Bem'!$BC$25*AO16))^(1/3)))
/RUWE_UZ,0)*RUWE_UZ,200)</f>
        <v>440</v>
      </c>
      <c r="AP36">
        <f ca="1">IFERROR(ROUNDUP((
MAX((((1.6*(2*AP10+5*AP16/1000*AP36/1000)+1.18*2*AP11)*(5*w_fin_UZ*(AP13*1000)^3)/(32*AP16*'Hilfstabellen_Mat&amp;Bem'!$BC$25))^(1/3)),
((48*((2*AP10+5*AP16/1000*AP36/1000)*100)*(AP13*1000)^4*f_grenz_UZ^2)/(PI()^2*'Hilfstabellen_Mat&amp;Bem'!$BC$25*AP16)/1000^2)^(1/3),
(((AP13*1000)^3*1000)/('Hilfstabellen_Mat&amp;Bem'!$BC$25*AP16))^(1/3)))
/RUWE_UZ,0)*RUWE_UZ,200)</f>
        <v>480</v>
      </c>
      <c r="AQ36">
        <f ca="1">IFERROR(ROUNDUP((
MAX((((1.6*(2*AQ10+5*AQ16/1000*AQ36/1000)+1.18*2*AQ11)*(5*w_fin_UZ*(AQ13*1000)^3)/(32*AQ16*'Hilfstabellen_Mat&amp;Bem'!$BC$25))^(1/3)),
((48*((2*AQ10+5*AQ16/1000*AQ36/1000)*100)*(AQ13*1000)^4*f_grenz_UZ^2)/(PI()^2*'Hilfstabellen_Mat&amp;Bem'!$BC$25*AQ16)/1000^2)^(1/3),
(((AQ13*1000)^3*1000)/('Hilfstabellen_Mat&amp;Bem'!$BC$25*AQ16))^(1/3)))
/RUWE_UZ,0)*RUWE_UZ,200)</f>
        <v>560</v>
      </c>
      <c r="AR36">
        <f ca="1">IFERROR(ROUNDUP((
MAX((((1.6*(2*AR10+5*AR16/1000*AR36/1000)+1.18*2*AR11)*(5*w_fin_UZ*(AR13*1000)^3)/(32*AR16*'Hilfstabellen_Mat&amp;Bem'!$BC$25))^(1/3)),
((48*((2*AR10+5*AR16/1000*AR36/1000)*100)*(AR13*1000)^4*f_grenz_UZ^2)/(PI()^2*'Hilfstabellen_Mat&amp;Bem'!$BC$25*AR16)/1000^2)^(1/3),
(((AR13*1000)^3*1000)/('Hilfstabellen_Mat&amp;Bem'!$BC$25*AR16))^(1/3)))
/RUWE_UZ,0)*RUWE_UZ,200)</f>
        <v>600</v>
      </c>
      <c r="AS36" s="921">
        <f ca="1">IFERROR(ROUNDUP((
MAX((((1.6*(2*AS10+5*AS16/1000*AS36/1000)+1.18*2*AS11)*(5*w_fin_UZ*(AS13*1000)^3)/(32*AS16*'Hilfstabellen_Mat&amp;Bem'!$BC$25))^(1/3)),
((48*((2*AS10+5*AS16/1000*AS36/1000)*100)*(AS13*1000)^4*f_grenz_UZ^2)/(PI()^2*'Hilfstabellen_Mat&amp;Bem'!$BC$25*AS16)/1000^2)^(1/3),
(((AS13*1000)^3*1000)/('Hilfstabellen_Mat&amp;Bem'!$BC$25*AS16))^(1/3)))
/RUWE_UZ,0)*RUWE_UZ,200)</f>
        <v>240</v>
      </c>
      <c r="AT36">
        <f ca="1">IFERROR(ROUNDUP((
MAX((((1.6*(2*AT10+5*AT16/1000*AT36/1000)+1.18*2*AT11)*(5*w_fin_UZ*(AT13*1000)^3)/(32*AT16*'Hilfstabellen_Mat&amp;Bem'!$BC$25))^(1/3)),
((48*((2*AT10+5*AT16/1000*AT36/1000)*100)*(AT13*1000)^4*f_grenz_UZ^2)/(PI()^2*'Hilfstabellen_Mat&amp;Bem'!$BC$25*AT16)/1000^2)^(1/3),
(((AT13*1000)^3*1000)/('Hilfstabellen_Mat&amp;Bem'!$BC$25*AT16))^(1/3)))
/RUWE_UZ,0)*RUWE_UZ,200)</f>
        <v>280</v>
      </c>
      <c r="AU36">
        <f ca="1">IFERROR(ROUNDUP((
MAX((((1.6*(2*AU10+5*AU16/1000*AU36/1000)+1.18*2*AU11)*(5*w_fin_UZ*(AU13*1000)^3)/(32*AU16*'Hilfstabellen_Mat&amp;Bem'!$BC$25))^(1/3)),
((48*((2*AU10+5*AU16/1000*AU36/1000)*100)*(AU13*1000)^4*f_grenz_UZ^2)/(PI()^2*'Hilfstabellen_Mat&amp;Bem'!$BC$25*AU16)/1000^2)^(1/3),
(((AU13*1000)^3*1000)/('Hilfstabellen_Mat&amp;Bem'!$BC$25*AU16))^(1/3)))
/RUWE_UZ,0)*RUWE_UZ,200)</f>
        <v>280</v>
      </c>
      <c r="AV36">
        <f ca="1">IFERROR(ROUNDUP((
MAX((((1.6*(2*AV10+5*AV16/1000*AV36/1000)+1.18*2*AV11)*(5*w_fin_UZ*(AV13*1000)^3)/(32*AV16*'Hilfstabellen_Mat&amp;Bem'!$BC$25))^(1/3)),
((48*((2*AV10+5*AV16/1000*AV36/1000)*100)*(AV13*1000)^4*f_grenz_UZ^2)/(PI()^2*'Hilfstabellen_Mat&amp;Bem'!$BC$25*AV16)/1000^2)^(1/3),
(((AV13*1000)^3*1000)/('Hilfstabellen_Mat&amp;Bem'!$BC$25*AV16))^(1/3)))
/RUWE_UZ,0)*RUWE_UZ,200)</f>
        <v>320</v>
      </c>
      <c r="AW36">
        <f ca="1">IFERROR(ROUNDUP((
MAX((((1.6*(2*AW10+5*AW16/1000*AW36/1000)+1.18*2*AW11)*(5*w_fin_UZ*(AW13*1000)^3)/(32*AW16*'Hilfstabellen_Mat&amp;Bem'!$BC$25))^(1/3)),
((48*((2*AW10+5*AW16/1000*AW36/1000)*100)*(AW13*1000)^4*f_grenz_UZ^2)/(PI()^2*'Hilfstabellen_Mat&amp;Bem'!$BC$25*AW16)/1000^2)^(1/3),
(((AW13*1000)^3*1000)/('Hilfstabellen_Mat&amp;Bem'!$BC$25*AW16))^(1/3)))
/RUWE_UZ,0)*RUWE_UZ,200)</f>
        <v>440</v>
      </c>
      <c r="AX36">
        <f ca="1">IFERROR(ROUNDUP((
MAX((((1.6*(2*AX10+5*AX16/1000*AX36/1000)+1.18*2*AX11)*(5*w_fin_UZ*(AX13*1000)^3)/(32*AX16*'Hilfstabellen_Mat&amp;Bem'!$BC$25))^(1/3)),
((48*((2*AX10+5*AX16/1000*AX36/1000)*100)*(AX13*1000)^4*f_grenz_UZ^2)/(PI()^2*'Hilfstabellen_Mat&amp;Bem'!$BC$25*AX16)/1000^2)^(1/3),
(((AX13*1000)^3*1000)/('Hilfstabellen_Mat&amp;Bem'!$BC$25*AX16))^(1/3)))
/RUWE_UZ,0)*RUWE_UZ,200)</f>
        <v>480</v>
      </c>
      <c r="AY36">
        <f ca="1">IFERROR(ROUNDUP((
MAX((((1.6*(2*AY10+5*AY16/1000*AY36/1000)+1.18*2*AY11)*(5*w_fin_UZ*(AY13*1000)^3)/(32*AY16*'Hilfstabellen_Mat&amp;Bem'!$BC$25))^(1/3)),
((48*((2*AY10+5*AY16/1000*AY36/1000)*100)*(AY13*1000)^4*f_grenz_UZ^2)/(PI()^2*'Hilfstabellen_Mat&amp;Bem'!$BC$25*AY16)/1000^2)^(1/3),
(((AY13*1000)^3*1000)/('Hilfstabellen_Mat&amp;Bem'!$BC$25*AY16))^(1/3)))
/RUWE_UZ,0)*RUWE_UZ,200)</f>
        <v>520</v>
      </c>
      <c r="AZ36">
        <f ca="1">IFERROR(ROUNDUP((
MAX((((1.6*(2*AZ10+5*AZ16/1000*AZ36/1000)+1.18*2*AZ11)*(5*w_fin_UZ*(AZ13*1000)^3)/(32*AZ16*'Hilfstabellen_Mat&amp;Bem'!$BC$25))^(1/3)),
((48*((2*AZ10+5*AZ16/1000*AZ36/1000)*100)*(AZ13*1000)^4*f_grenz_UZ^2)/(PI()^2*'Hilfstabellen_Mat&amp;Bem'!$BC$25*AZ16)/1000^2)^(1/3),
(((AZ13*1000)^3*1000)/('Hilfstabellen_Mat&amp;Bem'!$BC$25*AZ16))^(1/3)))
/RUWE_UZ,0)*RUWE_UZ,200)</f>
        <v>560</v>
      </c>
      <c r="BA36">
        <f ca="1">IFERROR(ROUNDUP((
MAX((((1.6*(2*BA10+5*BA16/1000*BA36/1000)+1.18*2*BA11)*(5*w_fin_UZ*(BA13*1000)^3)/(32*BA16*'Hilfstabellen_Mat&amp;Bem'!$BC$25))^(1/3)),
((48*((2*BA10+5*BA16/1000*BA36/1000)*100)*(BA13*1000)^4*f_grenz_UZ^2)/(PI()^2*'Hilfstabellen_Mat&amp;Bem'!$BC$25*BA16)/1000^2)^(1/3),
(((BA13*1000)^3*1000)/('Hilfstabellen_Mat&amp;Bem'!$BC$25*BA16))^(1/3)))
/RUWE_UZ,0)*RUWE_UZ,200)</f>
        <v>600</v>
      </c>
      <c r="BB36" s="921">
        <f ca="1">IFERROR(ROUNDUP((
MAX((((1.6*(2*BB10+5*BB16/1000*BB36/1000)+1.18*2*BB11)*(5*w_fin_UZ*(BB13*1000)^3)/(32*BB16*'Hilfstabellen_Mat&amp;Bem'!$BC$25))^(1/3)),
((48*((2*BB10+5*BB16/1000*BB36/1000)*100)*(BB13*1000)^4*f_grenz_UZ^2)/(PI()^2*'Hilfstabellen_Mat&amp;Bem'!$BC$25*BB16)/1000^2)^(1/3),
(((BB13*1000)^3*1000)/('Hilfstabellen_Mat&amp;Bem'!$BC$25*BB16))^(1/3)))
/RUWE_UZ,0)*RUWE_UZ,200)</f>
        <v>240</v>
      </c>
      <c r="BC36">
        <f ca="1">IFERROR(ROUNDUP((
MAX((((1.6*(2*BC10+5*BC16/1000*BC36/1000)+1.18*2*BC11)*(5*w_fin_UZ*(BC13*1000)^3)/(32*BC16*'Hilfstabellen_Mat&amp;Bem'!$BC$25))^(1/3)),
((48*((2*BC10+5*BC16/1000*BC36/1000)*100)*(BC13*1000)^4*f_grenz_UZ^2)/(PI()^2*'Hilfstabellen_Mat&amp;Bem'!$BC$25*BC16)/1000^2)^(1/3),
(((BC13*1000)^3*1000)/('Hilfstabellen_Mat&amp;Bem'!$BC$25*BC16))^(1/3)))
/RUWE_UZ,0)*RUWE_UZ,200)</f>
        <v>280</v>
      </c>
      <c r="BD36">
        <f ca="1">IFERROR(ROUNDUP((
MAX((((1.6*(2*BD10+5*BD16/1000*BD36/1000)+1.18*2*BD11)*(5*w_fin_UZ*(BD13*1000)^3)/(32*BD16*'Hilfstabellen_Mat&amp;Bem'!$BC$25))^(1/3)),
((48*((2*BD10+5*BD16/1000*BD36/1000)*100)*(BD13*1000)^4*f_grenz_UZ^2)/(PI()^2*'Hilfstabellen_Mat&amp;Bem'!$BC$25*BD16)/1000^2)^(1/3),
(((BD13*1000)^3*1000)/('Hilfstabellen_Mat&amp;Bem'!$BC$25*BD16))^(1/3)))
/RUWE_UZ,0)*RUWE_UZ,200)</f>
        <v>280</v>
      </c>
      <c r="BE36">
        <f ca="1">IFERROR(ROUNDUP((
MAX((((1.6*(2*BE10+5*BE16/1000*BE36/1000)+1.18*2*BE11)*(5*w_fin_UZ*(BE13*1000)^3)/(32*BE16*'Hilfstabellen_Mat&amp;Bem'!$BC$25))^(1/3)),
((48*((2*BE10+5*BE16/1000*BE36/1000)*100)*(BE13*1000)^4*f_grenz_UZ^2)/(PI()^2*'Hilfstabellen_Mat&amp;Bem'!$BC$25*BE16)/1000^2)^(1/3),
(((BE13*1000)^3*1000)/('Hilfstabellen_Mat&amp;Bem'!$BC$25*BE16))^(1/3)))
/RUWE_UZ,0)*RUWE_UZ,200)</f>
        <v>320</v>
      </c>
      <c r="BF36">
        <f ca="1">IFERROR(ROUNDUP((
MAX((((1.6*(2*BF10+5*BF16/1000*BF36/1000)+1.18*2*BF11)*(5*w_fin_UZ*(BF13*1000)^3)/(32*BF16*'Hilfstabellen_Mat&amp;Bem'!$BC$25))^(1/3)),
((48*((2*BF10+5*BF16/1000*BF36/1000)*100)*(BF13*1000)^4*f_grenz_UZ^2)/(PI()^2*'Hilfstabellen_Mat&amp;Bem'!$BC$25*BF16)/1000^2)^(1/3),
(((BF13*1000)^3*1000)/('Hilfstabellen_Mat&amp;Bem'!$BC$25*BF16))^(1/3)))
/RUWE_UZ,0)*RUWE_UZ,200)</f>
        <v>360</v>
      </c>
      <c r="BG36">
        <f ca="1">IFERROR(ROUNDUP((
MAX((((1.6*(2*BG10+5*BG16/1000*BG36/1000)+1.18*2*BG11)*(5*w_fin_UZ*(BG13*1000)^3)/(32*BG16*'Hilfstabellen_Mat&amp;Bem'!$BC$25))^(1/3)),
((48*((2*BG10+5*BG16/1000*BG36/1000)*100)*(BG13*1000)^4*f_grenz_UZ^2)/(PI()^2*'Hilfstabellen_Mat&amp;Bem'!$BC$25*BG16)/1000^2)^(1/3),
(((BG13*1000)^3*1000)/('Hilfstabellen_Mat&amp;Bem'!$BC$25*BG16))^(1/3)))
/RUWE_UZ,0)*RUWE_UZ,200)</f>
        <v>520</v>
      </c>
      <c r="BH36">
        <f ca="1">IFERROR(ROUNDUP((
MAX((((1.6*(2*BH10+5*BH16/1000*BH36/1000)+1.18*2*BH11)*(5*w_fin_UZ*(BH13*1000)^3)/(32*BH16*'Hilfstabellen_Mat&amp;Bem'!$BC$25))^(1/3)),
((48*((2*BH10+5*BH16/1000*BH36/1000)*100)*(BH13*1000)^4*f_grenz_UZ^2)/(PI()^2*'Hilfstabellen_Mat&amp;Bem'!$BC$25*BH16)/1000^2)^(1/3),
(((BH13*1000)^3*1000)/('Hilfstabellen_Mat&amp;Bem'!$BC$25*BH16))^(1/3)))
/RUWE_UZ,0)*RUWE_UZ,200)</f>
        <v>560</v>
      </c>
      <c r="BI36">
        <f ca="1">IFERROR(ROUNDUP((
MAX((((1.6*(2*BI10+5*BI16/1000*BI36/1000)+1.18*2*BI11)*(5*w_fin_UZ*(BI13*1000)^3)/(32*BI16*'Hilfstabellen_Mat&amp;Bem'!$BC$25))^(1/3)),
((48*((2*BI10+5*BI16/1000*BI36/1000)*100)*(BI13*1000)^4*f_grenz_UZ^2)/(PI()^2*'Hilfstabellen_Mat&amp;Bem'!$BC$25*BI16)/1000^2)^(1/3),
(((BI13*1000)^3*1000)/('Hilfstabellen_Mat&amp;Bem'!$BC$25*BI16))^(1/3)))
/RUWE_UZ,0)*RUWE_UZ,200)</f>
        <v>560</v>
      </c>
      <c r="BJ36">
        <f ca="1">IFERROR(ROUNDUP((
MAX((((1.6*(2*BJ10+5*BJ16/1000*BJ36/1000)+1.18*2*BJ11)*(5*w_fin_UZ*(BJ13*1000)^3)/(32*BJ16*'Hilfstabellen_Mat&amp;Bem'!$BC$25))^(1/3)),
((48*((2*BJ10+5*BJ16/1000*BJ36/1000)*100)*(BJ13*1000)^4*f_grenz_UZ^2)/(PI()^2*'Hilfstabellen_Mat&amp;Bem'!$BC$25*BJ16)/1000^2)^(1/3),
(((BJ13*1000)^3*1000)/('Hilfstabellen_Mat&amp;Bem'!$BC$25*BJ16))^(1/3)))
/RUWE_UZ,0)*RUWE_UZ,200)</f>
        <v>600</v>
      </c>
      <c r="BK36" s="921">
        <f ca="1">IFERROR(ROUNDUP((
MAX((((1.6*(2*BK10+5*BK16/1000*BK36/1000)+1.18*2*BK11)*(5*w_fin_UZ*(BK13*1000)^3)/(32*BK16*'Hilfstabellen_Mat&amp;Bem'!$BC$25))^(1/3)),
((48*((2*BK10+5*BK16/1000*BK36/1000)*100)*(BK13*1000)^4*f_grenz_UZ^2)/(PI()^2*'Hilfstabellen_Mat&amp;Bem'!$BC$25*BK16)/1000^2)^(1/3),
(((BK13*1000)^3*1000)/('Hilfstabellen_Mat&amp;Bem'!$BC$25*BK16))^(1/3)))
/RUWE_UZ,0)*RUWE_UZ,200)</f>
        <v>240</v>
      </c>
      <c r="BL36">
        <f ca="1">IFERROR(ROUNDUP((
MAX((((1.6*(2*BL10+5*BL16/1000*BL36/1000)+1.18*2*BL11)*(5*w_fin_UZ*(BL13*1000)^3)/(32*BL16*'Hilfstabellen_Mat&amp;Bem'!$BC$25))^(1/3)),
((48*((2*BL10+5*BL16/1000*BL36/1000)*100)*(BL13*1000)^4*f_grenz_UZ^2)/(PI()^2*'Hilfstabellen_Mat&amp;Bem'!$BC$25*BL16)/1000^2)^(1/3),
(((BL13*1000)^3*1000)/('Hilfstabellen_Mat&amp;Bem'!$BC$25*BL16))^(1/3)))
/RUWE_UZ,0)*RUWE_UZ,200)</f>
        <v>280</v>
      </c>
      <c r="BM36">
        <f ca="1">IFERROR(ROUNDUP((
MAX((((1.6*(2*BM10+5*BM16/1000*BM36/1000)+1.18*2*BM11)*(5*w_fin_UZ*(BM13*1000)^3)/(32*BM16*'Hilfstabellen_Mat&amp;Bem'!$BC$25))^(1/3)),
((48*((2*BM10+5*BM16/1000*BM36/1000)*100)*(BM13*1000)^4*f_grenz_UZ^2)/(PI()^2*'Hilfstabellen_Mat&amp;Bem'!$BC$25*BM16)/1000^2)^(1/3),
(((BM13*1000)^3*1000)/('Hilfstabellen_Mat&amp;Bem'!$BC$25*BM16))^(1/3)))
/RUWE_UZ,0)*RUWE_UZ,200)</f>
        <v>280</v>
      </c>
      <c r="BN36">
        <f ca="1">IFERROR(ROUNDUP((
MAX((((1.6*(2*BN10+5*BN16/1000*BN36/1000)+1.18*2*BN11)*(5*w_fin_UZ*(BN13*1000)^3)/(32*BN16*'Hilfstabellen_Mat&amp;Bem'!$BC$25))^(1/3)),
((48*((2*BN10+5*BN16/1000*BN36/1000)*100)*(BN13*1000)^4*f_grenz_UZ^2)/(PI()^2*'Hilfstabellen_Mat&amp;Bem'!$BC$25*BN16)/1000^2)^(1/3),
(((BN13*1000)^3*1000)/('Hilfstabellen_Mat&amp;Bem'!$BC$25*BN16))^(1/3)))
/RUWE_UZ,0)*RUWE_UZ,200)</f>
        <v>320</v>
      </c>
      <c r="BO36">
        <f ca="1">IFERROR(ROUNDUP((
MAX((((1.6*(2*BO10+5*BO16/1000*BO36/1000)+1.18*2*BO11)*(5*w_fin_UZ*(BO13*1000)^3)/(32*BO16*'Hilfstabellen_Mat&amp;Bem'!$BC$25))^(1/3)),
((48*((2*BO10+5*BO16/1000*BO36/1000)*100)*(BO13*1000)^4*f_grenz_UZ^2)/(PI()^2*'Hilfstabellen_Mat&amp;Bem'!$BC$25*BO16)/1000^2)^(1/3),
(((BO13*1000)^3*1000)/('Hilfstabellen_Mat&amp;Bem'!$BC$25*BO16))^(1/3)))
/RUWE_UZ,0)*RUWE_UZ,200)</f>
        <v>400</v>
      </c>
      <c r="BP36">
        <f ca="1">IFERROR(ROUNDUP((
MAX((((1.6*(2*BP10+5*BP16/1000*BP36/1000)+1.18*2*BP11)*(5*w_fin_UZ*(BP13*1000)^3)/(32*BP16*'Hilfstabellen_Mat&amp;Bem'!$BC$25))^(1/3)),
((48*((2*BP10+5*BP16/1000*BP36/1000)*100)*(BP13*1000)^4*f_grenz_UZ^2)/(PI()^2*'Hilfstabellen_Mat&amp;Bem'!$BC$25*BP16)/1000^2)^(1/3),
(((BP13*1000)^3*1000)/('Hilfstabellen_Mat&amp;Bem'!$BC$25*BP16))^(1/3)))
/RUWE_UZ,0)*RUWE_UZ,200)</f>
        <v>480</v>
      </c>
      <c r="BQ36">
        <f ca="1">IFERROR(ROUNDUP((
MAX((((1.6*(2*BQ10+5*BQ16/1000*BQ36/1000)+1.18*2*BQ11)*(5*w_fin_UZ*(BQ13*1000)^3)/(32*BQ16*'Hilfstabellen_Mat&amp;Bem'!$BC$25))^(1/3)),
((48*((2*BQ10+5*BQ16/1000*BQ36/1000)*100)*(BQ13*1000)^4*f_grenz_UZ^2)/(PI()^2*'Hilfstabellen_Mat&amp;Bem'!$BC$25*BQ16)/1000^2)^(1/3),
(((BQ13*1000)^3*1000)/('Hilfstabellen_Mat&amp;Bem'!$BC$25*BQ16))^(1/3)))
/RUWE_UZ,0)*RUWE_UZ,200)</f>
        <v>560</v>
      </c>
      <c r="BR36">
        <f ca="1">IFERROR(ROUNDUP((
MAX((((1.6*(2*BR10+5*BR16/1000*BR36/1000)+1.18*2*BR11)*(5*w_fin_UZ*(BR13*1000)^3)/(32*BR16*'Hilfstabellen_Mat&amp;Bem'!$BC$25))^(1/3)),
((48*((2*BR10+5*BR16/1000*BR36/1000)*100)*(BR13*1000)^4*f_grenz_UZ^2)/(PI()^2*'Hilfstabellen_Mat&amp;Bem'!$BC$25*BR16)/1000^2)^(1/3),
(((BR13*1000)^3*1000)/('Hilfstabellen_Mat&amp;Bem'!$BC$25*BR16))^(1/3)))
/RUWE_UZ,0)*RUWE_UZ,200)</f>
        <v>600</v>
      </c>
      <c r="BS36">
        <f ca="1">IFERROR(ROUNDUP((
MAX((((1.6*(2*BS10+5*BS16/1000*BS36/1000)+1.18*2*BS11)*(5*w_fin_UZ*(BS13*1000)^3)/(32*BS16*'Hilfstabellen_Mat&amp;Bem'!$BC$25))^(1/3)),
((48*((2*BS10+5*BS16/1000*BS36/1000)*100)*(BS13*1000)^4*f_grenz_UZ^2)/(PI()^2*'Hilfstabellen_Mat&amp;Bem'!$BC$25*BS16)/1000^2)^(1/3),
(((BS13*1000)^3*1000)/('Hilfstabellen_Mat&amp;Bem'!$BC$25*BS16))^(1/3)))
/RUWE_UZ,0)*RUWE_UZ,200)</f>
        <v>640</v>
      </c>
    </row>
    <row r="40" spans="1:71">
      <c r="A40" s="935" t="s">
        <v>1824</v>
      </c>
      <c r="I40" s="921"/>
      <c r="R40" s="921"/>
      <c r="AA40" s="921"/>
      <c r="AJ40" s="921"/>
      <c r="AS40" s="921"/>
      <c r="BB40" s="921"/>
      <c r="BK40" s="921"/>
    </row>
    <row r="41" spans="1:71">
      <c r="A41" t="s">
        <v>1831</v>
      </c>
      <c r="B41">
        <f ca="1">B16</f>
        <v>240</v>
      </c>
      <c r="C41">
        <f t="shared" ref="C41:BN41" ca="1" si="16">C16</f>
        <v>240</v>
      </c>
      <c r="D41">
        <f t="shared" ca="1" si="16"/>
        <v>240</v>
      </c>
      <c r="E41">
        <f t="shared" ca="1" si="16"/>
        <v>240</v>
      </c>
      <c r="F41">
        <f t="shared" ca="1" si="16"/>
        <v>280</v>
      </c>
      <c r="G41">
        <f t="shared" ca="1" si="16"/>
        <v>280</v>
      </c>
      <c r="H41">
        <f t="shared" ca="1" si="16"/>
        <v>320</v>
      </c>
      <c r="I41" s="921">
        <f t="shared" ca="1" si="16"/>
        <v>240</v>
      </c>
      <c r="J41">
        <f t="shared" ca="1" si="16"/>
        <v>240</v>
      </c>
      <c r="K41">
        <f t="shared" ca="1" si="16"/>
        <v>240</v>
      </c>
      <c r="L41">
        <f t="shared" ca="1" si="16"/>
        <v>240</v>
      </c>
      <c r="M41">
        <f t="shared" ca="1" si="16"/>
        <v>240</v>
      </c>
      <c r="N41">
        <f t="shared" ca="1" si="16"/>
        <v>240</v>
      </c>
      <c r="O41">
        <f t="shared" ca="1" si="16"/>
        <v>280</v>
      </c>
      <c r="P41">
        <f t="shared" ca="1" si="16"/>
        <v>280</v>
      </c>
      <c r="Q41">
        <f t="shared" ca="1" si="16"/>
        <v>280</v>
      </c>
      <c r="R41" s="921">
        <f t="shared" ca="1" si="16"/>
        <v>240</v>
      </c>
      <c r="S41">
        <f t="shared" ca="1" si="16"/>
        <v>240</v>
      </c>
      <c r="T41">
        <f t="shared" ca="1" si="16"/>
        <v>240</v>
      </c>
      <c r="U41">
        <f t="shared" ca="1" si="16"/>
        <v>240</v>
      </c>
      <c r="V41">
        <f t="shared" ca="1" si="16"/>
        <v>240</v>
      </c>
      <c r="W41">
        <f t="shared" ca="1" si="16"/>
        <v>280</v>
      </c>
      <c r="X41">
        <f t="shared" ca="1" si="16"/>
        <v>280</v>
      </c>
      <c r="Y41">
        <f t="shared" ca="1" si="16"/>
        <v>280</v>
      </c>
      <c r="Z41">
        <f t="shared" ca="1" si="16"/>
        <v>280</v>
      </c>
      <c r="AA41" s="921">
        <f t="shared" ca="1" si="16"/>
        <v>240</v>
      </c>
      <c r="AB41">
        <f t="shared" ca="1" si="16"/>
        <v>240</v>
      </c>
      <c r="AC41">
        <f t="shared" ca="1" si="16"/>
        <v>240</v>
      </c>
      <c r="AD41">
        <f t="shared" ca="1" si="16"/>
        <v>240</v>
      </c>
      <c r="AE41">
        <f t="shared" ca="1" si="16"/>
        <v>240</v>
      </c>
      <c r="AF41">
        <f t="shared" ca="1" si="16"/>
        <v>280</v>
      </c>
      <c r="AG41">
        <f t="shared" ca="1" si="16"/>
        <v>280</v>
      </c>
      <c r="AH41">
        <f t="shared" ca="1" si="16"/>
        <v>280</v>
      </c>
      <c r="AI41">
        <f t="shared" ca="1" si="16"/>
        <v>280</v>
      </c>
      <c r="AJ41" s="921">
        <f t="shared" ca="1" si="16"/>
        <v>240</v>
      </c>
      <c r="AK41">
        <f t="shared" ca="1" si="16"/>
        <v>240</v>
      </c>
      <c r="AL41">
        <f t="shared" ca="1" si="16"/>
        <v>240</v>
      </c>
      <c r="AM41">
        <f t="shared" ca="1" si="16"/>
        <v>280</v>
      </c>
      <c r="AN41">
        <f t="shared" ca="1" si="16"/>
        <v>280</v>
      </c>
      <c r="AO41">
        <f t="shared" ca="1" si="16"/>
        <v>280</v>
      </c>
      <c r="AP41">
        <f t="shared" ca="1" si="16"/>
        <v>280</v>
      </c>
      <c r="AQ41">
        <f t="shared" ca="1" si="16"/>
        <v>280</v>
      </c>
      <c r="AR41">
        <f t="shared" ca="1" si="16"/>
        <v>280</v>
      </c>
      <c r="AS41" s="921">
        <f t="shared" ca="1" si="16"/>
        <v>240</v>
      </c>
      <c r="AT41">
        <f t="shared" ca="1" si="16"/>
        <v>240</v>
      </c>
      <c r="AU41">
        <f t="shared" ca="1" si="16"/>
        <v>240</v>
      </c>
      <c r="AV41">
        <f t="shared" ca="1" si="16"/>
        <v>240</v>
      </c>
      <c r="AW41">
        <f t="shared" ca="1" si="16"/>
        <v>280</v>
      </c>
      <c r="AX41">
        <f t="shared" ca="1" si="16"/>
        <v>280</v>
      </c>
      <c r="AY41">
        <f t="shared" ca="1" si="16"/>
        <v>280</v>
      </c>
      <c r="AZ41">
        <f t="shared" ca="1" si="16"/>
        <v>280</v>
      </c>
      <c r="BA41">
        <f t="shared" ca="1" si="16"/>
        <v>280</v>
      </c>
      <c r="BB41" s="921">
        <f t="shared" ca="1" si="16"/>
        <v>240</v>
      </c>
      <c r="BC41">
        <f t="shared" ca="1" si="16"/>
        <v>240</v>
      </c>
      <c r="BD41">
        <f t="shared" ca="1" si="16"/>
        <v>240</v>
      </c>
      <c r="BE41">
        <f t="shared" ca="1" si="16"/>
        <v>280</v>
      </c>
      <c r="BF41">
        <f t="shared" ca="1" si="16"/>
        <v>280</v>
      </c>
      <c r="BG41">
        <f t="shared" ca="1" si="16"/>
        <v>280</v>
      </c>
      <c r="BH41">
        <f t="shared" ca="1" si="16"/>
        <v>280</v>
      </c>
      <c r="BI41">
        <f t="shared" ca="1" si="16"/>
        <v>320</v>
      </c>
      <c r="BJ41">
        <f t="shared" ca="1" si="16"/>
        <v>320</v>
      </c>
      <c r="BK41" s="921">
        <f t="shared" ca="1" si="16"/>
        <v>280</v>
      </c>
      <c r="BL41">
        <f t="shared" ca="1" si="16"/>
        <v>280</v>
      </c>
      <c r="BM41">
        <f t="shared" ca="1" si="16"/>
        <v>280</v>
      </c>
      <c r="BN41">
        <f t="shared" ca="1" si="16"/>
        <v>280</v>
      </c>
      <c r="BO41">
        <f ca="1">BO16</f>
        <v>280</v>
      </c>
      <c r="BP41">
        <f ca="1">BP16</f>
        <v>280</v>
      </c>
      <c r="BQ41">
        <f ca="1">BQ16</f>
        <v>320</v>
      </c>
      <c r="BR41">
        <f ca="1">BR16</f>
        <v>320</v>
      </c>
      <c r="BS41">
        <f ca="1">BS16</f>
        <v>320</v>
      </c>
    </row>
    <row r="42" spans="1:71">
      <c r="A42" t="s">
        <v>1832</v>
      </c>
      <c r="B42">
        <f ca="1">MAX(B21,B31,B36)</f>
        <v>200</v>
      </c>
      <c r="C42">
        <f t="shared" ref="C42:BN42" ca="1" si="17">MAX(C21,C31,C36)</f>
        <v>240</v>
      </c>
      <c r="D42">
        <f t="shared" ca="1" si="17"/>
        <v>240</v>
      </c>
      <c r="E42">
        <f t="shared" ca="1" si="17"/>
        <v>320</v>
      </c>
      <c r="F42">
        <f t="shared" ca="1" si="17"/>
        <v>360</v>
      </c>
      <c r="G42">
        <f t="shared" ca="1" si="17"/>
        <v>440</v>
      </c>
      <c r="H42">
        <f t="shared" ca="1" si="17"/>
        <v>520</v>
      </c>
      <c r="I42" s="921">
        <f t="shared" ca="1" si="17"/>
        <v>240</v>
      </c>
      <c r="J42">
        <f t="shared" ca="1" si="17"/>
        <v>240</v>
      </c>
      <c r="K42">
        <f t="shared" ca="1" si="17"/>
        <v>280</v>
      </c>
      <c r="L42">
        <f t="shared" ca="1" si="17"/>
        <v>320</v>
      </c>
      <c r="M42">
        <f t="shared" ca="1" si="17"/>
        <v>400</v>
      </c>
      <c r="N42">
        <f t="shared" ca="1" si="17"/>
        <v>440</v>
      </c>
      <c r="O42">
        <f t="shared" ca="1" si="17"/>
        <v>440</v>
      </c>
      <c r="P42">
        <f t="shared" ca="1" si="17"/>
        <v>480</v>
      </c>
      <c r="Q42">
        <f t="shared" ca="1" si="17"/>
        <v>520</v>
      </c>
      <c r="R42" s="921">
        <f t="shared" ca="1" si="17"/>
        <v>200</v>
      </c>
      <c r="S42">
        <f t="shared" ca="1" si="17"/>
        <v>240</v>
      </c>
      <c r="T42">
        <f t="shared" ca="1" si="17"/>
        <v>280</v>
      </c>
      <c r="U42">
        <f t="shared" ca="1" si="17"/>
        <v>320</v>
      </c>
      <c r="V42">
        <f t="shared" ca="1" si="17"/>
        <v>400</v>
      </c>
      <c r="W42">
        <f t="shared" ca="1" si="17"/>
        <v>440</v>
      </c>
      <c r="X42">
        <f t="shared" ca="1" si="17"/>
        <v>480</v>
      </c>
      <c r="Y42">
        <f t="shared" ca="1" si="17"/>
        <v>520</v>
      </c>
      <c r="Z42">
        <f t="shared" ca="1" si="17"/>
        <v>560</v>
      </c>
      <c r="AA42" s="921">
        <f t="shared" ca="1" si="17"/>
        <v>240</v>
      </c>
      <c r="AB42">
        <f t="shared" ca="1" si="17"/>
        <v>240</v>
      </c>
      <c r="AC42">
        <f t="shared" ca="1" si="17"/>
        <v>280</v>
      </c>
      <c r="AD42">
        <f t="shared" ca="1" si="17"/>
        <v>360</v>
      </c>
      <c r="AE42">
        <f t="shared" ca="1" si="17"/>
        <v>400</v>
      </c>
      <c r="AF42">
        <f t="shared" ca="1" si="17"/>
        <v>440</v>
      </c>
      <c r="AG42">
        <f t="shared" ca="1" si="17"/>
        <v>480</v>
      </c>
      <c r="AH42">
        <f t="shared" ca="1" si="17"/>
        <v>520</v>
      </c>
      <c r="AI42">
        <f t="shared" ca="1" si="17"/>
        <v>560</v>
      </c>
      <c r="AJ42" s="921">
        <f t="shared" ca="1" si="17"/>
        <v>240</v>
      </c>
      <c r="AK42">
        <f t="shared" ca="1" si="17"/>
        <v>240</v>
      </c>
      <c r="AL42">
        <f t="shared" ca="1" si="17"/>
        <v>280</v>
      </c>
      <c r="AM42">
        <f t="shared" ca="1" si="17"/>
        <v>360</v>
      </c>
      <c r="AN42">
        <f t="shared" ca="1" si="17"/>
        <v>400</v>
      </c>
      <c r="AO42">
        <f t="shared" ca="1" si="17"/>
        <v>440</v>
      </c>
      <c r="AP42">
        <f t="shared" ca="1" si="17"/>
        <v>480</v>
      </c>
      <c r="AQ42">
        <f t="shared" ca="1" si="17"/>
        <v>560</v>
      </c>
      <c r="AR42">
        <f t="shared" ca="1" si="17"/>
        <v>600</v>
      </c>
      <c r="AS42" s="921">
        <f t="shared" ca="1" si="17"/>
        <v>240</v>
      </c>
      <c r="AT42">
        <f t="shared" ca="1" si="17"/>
        <v>280</v>
      </c>
      <c r="AU42">
        <f t="shared" ca="1" si="17"/>
        <v>280</v>
      </c>
      <c r="AV42">
        <f t="shared" ca="1" si="17"/>
        <v>320</v>
      </c>
      <c r="AW42">
        <f t="shared" ca="1" si="17"/>
        <v>440</v>
      </c>
      <c r="AX42">
        <f t="shared" ca="1" si="17"/>
        <v>480</v>
      </c>
      <c r="AY42">
        <f t="shared" ca="1" si="17"/>
        <v>520</v>
      </c>
      <c r="AZ42">
        <f t="shared" ca="1" si="17"/>
        <v>560</v>
      </c>
      <c r="BA42">
        <f t="shared" ca="1" si="17"/>
        <v>600</v>
      </c>
      <c r="BB42" s="921">
        <f t="shared" ca="1" si="17"/>
        <v>280</v>
      </c>
      <c r="BC42">
        <f t="shared" ca="1" si="17"/>
        <v>280</v>
      </c>
      <c r="BD42">
        <f t="shared" ca="1" si="17"/>
        <v>280</v>
      </c>
      <c r="BE42">
        <f t="shared" ca="1" si="17"/>
        <v>320</v>
      </c>
      <c r="BF42">
        <f t="shared" ca="1" si="17"/>
        <v>360</v>
      </c>
      <c r="BG42">
        <f t="shared" ca="1" si="17"/>
        <v>520</v>
      </c>
      <c r="BH42">
        <f t="shared" ca="1" si="17"/>
        <v>560</v>
      </c>
      <c r="BI42">
        <f t="shared" ca="1" si="17"/>
        <v>560</v>
      </c>
      <c r="BJ42">
        <f t="shared" ca="1" si="17"/>
        <v>600</v>
      </c>
      <c r="BK42" s="921">
        <f t="shared" ca="1" si="17"/>
        <v>280</v>
      </c>
      <c r="BL42">
        <f t="shared" ca="1" si="17"/>
        <v>280</v>
      </c>
      <c r="BM42">
        <f t="shared" ca="1" si="17"/>
        <v>280</v>
      </c>
      <c r="BN42">
        <f t="shared" ca="1" si="17"/>
        <v>360</v>
      </c>
      <c r="BO42">
        <f ca="1">MAX(BO21,BO31,BO36)</f>
        <v>400</v>
      </c>
      <c r="BP42">
        <f ca="1">MAX(BP21,BP31,BP36)</f>
        <v>480</v>
      </c>
      <c r="BQ42">
        <f ca="1">MAX(BQ21,BQ31,BQ36)</f>
        <v>560</v>
      </c>
      <c r="BR42">
        <f ca="1">MAX(BR21,BR31,BR36)</f>
        <v>600</v>
      </c>
      <c r="BS42">
        <f ca="1">MAX(BS21,BS31,BS36)</f>
        <v>640</v>
      </c>
    </row>
  </sheetData>
  <sheetProtection algorithmName="SHA-512" hashValue="mmLra6XgONig5FlM8mSNYvUXg4vsR4HQ8j77iugSWxdR3ww8iAG7iNB2W0ACHK9PTH/Ka2QwM7BspERx3M9Cmw==" saltValue="pu9yI2CNMuZCWZqIhjjWtQ==" spinCount="100000" sheet="1" objects="1" scenarios="1"/>
  <mergeCells count="4">
    <mergeCell ref="D26:E26"/>
    <mergeCell ref="J27:N27"/>
    <mergeCell ref="E28:F28"/>
    <mergeCell ref="E29:F29"/>
  </mergeCells>
  <conditionalFormatting sqref="D7">
    <cfRule type="cellIs" dxfId="21" priority="1" operator="equal">
      <formula>""</formula>
    </cfRule>
  </conditionalFormatting>
  <dataValidations disablePrompts="1" count="1">
    <dataValidation type="list" allowBlank="1" showInputMessage="1" showErrorMessage="1" sqref="J27:N27" xr:uid="{00000000-0002-0000-1200-000000000000}">
      <formula1>Abbrandart</formula1>
    </dataValidation>
  </dataValidations>
  <pageMargins left="0.7" right="0.7" top="0.78740157499999996" bottom="0.78740157499999996" header="0.3" footer="0.3"/>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Tabelle18">
    <tabColor rgb="FFFF9999"/>
  </sheetPr>
  <dimension ref="A1:DN549"/>
  <sheetViews>
    <sheetView topLeftCell="A4" zoomScaleNormal="100" workbookViewId="0">
      <selection activeCell="AU17" sqref="AU17"/>
    </sheetView>
  </sheetViews>
  <sheetFormatPr baseColWidth="10" defaultColWidth="11.5" defaultRowHeight="15" customHeight="1"/>
  <cols>
    <col min="1" max="2" width="2.1640625" style="330" customWidth="1"/>
    <col min="3" max="4" width="4.5" style="330" customWidth="1"/>
    <col min="5" max="5" width="4.33203125" style="330" customWidth="1"/>
    <col min="6" max="14" width="4.5" style="330" customWidth="1"/>
    <col min="15" max="15" width="8.5" style="330" customWidth="1"/>
    <col min="16" max="16" width="4.5" style="330" customWidth="1"/>
    <col min="17" max="20" width="4.6640625" style="330" customWidth="1"/>
    <col min="21" max="21" width="6.5" style="330" bestFit="1" customWidth="1"/>
    <col min="22" max="22" width="4.6640625" style="330" customWidth="1"/>
    <col min="23" max="23" width="4" style="330" customWidth="1"/>
    <col min="24" max="24" width="5.1640625" style="330" customWidth="1"/>
    <col min="25" max="25" width="6.1640625" style="330" bestFit="1" customWidth="1"/>
    <col min="26" max="26" width="5.33203125" style="330" customWidth="1"/>
    <col min="27" max="27" width="4.5" style="330" customWidth="1"/>
    <col min="28" max="28" width="5.1640625" style="330" customWidth="1"/>
    <col min="29" max="29" width="5.5" style="330" bestFit="1" customWidth="1"/>
    <col min="30" max="30" width="4.83203125" style="330" customWidth="1"/>
    <col min="31" max="31" width="6" style="330" bestFit="1" customWidth="1"/>
    <col min="32" max="34" width="4.83203125" style="330" customWidth="1"/>
    <col min="35" max="36" width="5.5" style="330" customWidth="1"/>
    <col min="37" max="43" width="4" style="330" customWidth="1"/>
    <col min="44" max="44" width="6" style="330" bestFit="1" customWidth="1"/>
    <col min="45" max="49" width="6.33203125" style="330" bestFit="1" customWidth="1"/>
    <col min="50" max="51" width="6" style="330" bestFit="1" customWidth="1"/>
    <col min="52" max="52" width="16.6640625" style="347" customWidth="1"/>
    <col min="53" max="58" width="11.6640625" style="347" customWidth="1"/>
    <col min="59" max="59" width="10.83203125" style="330" customWidth="1"/>
    <col min="60" max="61" width="6.6640625" style="330" customWidth="1"/>
    <col min="62" max="62" width="6.6640625" style="347" customWidth="1"/>
    <col min="63" max="63" width="30.6640625" style="330" customWidth="1"/>
    <col min="64" max="69" width="12.6640625" style="330" customWidth="1"/>
    <col min="70" max="70" width="6.6640625" style="330" customWidth="1"/>
    <col min="71" max="76" width="16.6640625" style="330" customWidth="1"/>
    <col min="77" max="77" width="6.6640625" style="330" customWidth="1"/>
    <col min="78" max="78" width="18.5" style="330" bestFit="1" customWidth="1"/>
    <col min="79" max="79" width="6.6640625" style="330" customWidth="1"/>
    <col min="80" max="80" width="18.5" style="330" bestFit="1" customWidth="1"/>
    <col min="81" max="81" width="12.6640625" style="330" customWidth="1"/>
    <col min="82" max="82" width="18.6640625" style="330" bestFit="1" customWidth="1"/>
    <col min="83" max="90" width="12.6640625" style="330" customWidth="1"/>
    <col min="91" max="91" width="6.6640625" style="330" customWidth="1"/>
    <col min="92" max="92" width="15.6640625" style="375" customWidth="1"/>
    <col min="93" max="95" width="4.6640625" style="376" customWidth="1"/>
    <col min="96" max="96" width="7.33203125" style="376" customWidth="1"/>
    <col min="97" max="97" width="5.33203125" style="376" customWidth="1"/>
    <col min="98" max="98" width="7.33203125" style="376" customWidth="1"/>
    <col min="99" max="99" width="5.33203125" style="376" customWidth="1"/>
    <col min="100" max="100" width="7.33203125" style="376" customWidth="1"/>
    <col min="101" max="101" width="5.33203125" style="376" customWidth="1"/>
    <col min="102" max="102" width="7.33203125" style="376" customWidth="1"/>
    <col min="103" max="104" width="5.33203125" style="376" customWidth="1"/>
    <col min="105" max="105" width="7.33203125" style="376" customWidth="1"/>
    <col min="106" max="107" width="5.33203125" style="376" customWidth="1"/>
    <col min="108" max="108" width="7.33203125" style="376" customWidth="1"/>
    <col min="109" max="109" width="5.33203125" style="376" customWidth="1"/>
    <col min="110" max="110" width="7.33203125" style="376" customWidth="1"/>
    <col min="111" max="111" width="5.33203125" style="376" customWidth="1"/>
    <col min="112" max="112" width="2.6640625" style="376" customWidth="1"/>
    <col min="113" max="118" width="12.6640625" style="376" customWidth="1"/>
    <col min="119" max="16384" width="11.5" style="330"/>
  </cols>
  <sheetData>
    <row r="1" spans="1:118" ht="15" hidden="1" customHeight="1">
      <c r="A1" s="328" t="s">
        <v>63</v>
      </c>
      <c r="B1" s="328" t="s">
        <v>65</v>
      </c>
      <c r="C1" s="328" t="s">
        <v>67</v>
      </c>
      <c r="D1" s="328" t="s">
        <v>69</v>
      </c>
      <c r="E1" s="328" t="s">
        <v>71</v>
      </c>
      <c r="F1" s="328" t="s">
        <v>72</v>
      </c>
      <c r="G1" s="328" t="s">
        <v>74</v>
      </c>
      <c r="H1" s="328" t="s">
        <v>76</v>
      </c>
      <c r="I1" s="328" t="s">
        <v>78</v>
      </c>
      <c r="J1" s="328" t="s">
        <v>79</v>
      </c>
      <c r="K1" s="328" t="s">
        <v>81</v>
      </c>
      <c r="L1" s="328"/>
      <c r="M1" s="328"/>
      <c r="N1" s="328" t="s">
        <v>83</v>
      </c>
      <c r="O1" s="328" t="s">
        <v>85</v>
      </c>
      <c r="P1" s="328" t="s">
        <v>87</v>
      </c>
      <c r="Q1" s="779"/>
      <c r="R1" s="779"/>
      <c r="S1" s="779"/>
      <c r="T1" s="779"/>
      <c r="U1" s="328" t="s">
        <v>89</v>
      </c>
      <c r="V1" s="328" t="s">
        <v>91</v>
      </c>
      <c r="W1" s="328" t="s">
        <v>93</v>
      </c>
      <c r="X1" s="328" t="s">
        <v>95</v>
      </c>
      <c r="Y1" s="329" t="s">
        <v>97</v>
      </c>
      <c r="Z1" s="329" t="s">
        <v>99</v>
      </c>
      <c r="AA1" s="329" t="s">
        <v>101</v>
      </c>
      <c r="AB1" s="329" t="s">
        <v>103</v>
      </c>
      <c r="AC1" s="329" t="s">
        <v>105</v>
      </c>
      <c r="AD1" s="329" t="s">
        <v>106</v>
      </c>
      <c r="AE1" s="329" t="s">
        <v>107</v>
      </c>
      <c r="AF1" s="329" t="s">
        <v>109</v>
      </c>
      <c r="AG1" s="329" t="s">
        <v>308</v>
      </c>
      <c r="AH1" s="329" t="s">
        <v>309</v>
      </c>
      <c r="AI1" s="329" t="s">
        <v>310</v>
      </c>
      <c r="AJ1" s="329" t="s">
        <v>311</v>
      </c>
      <c r="AK1" s="329" t="s">
        <v>312</v>
      </c>
      <c r="AL1" s="329" t="s">
        <v>313</v>
      </c>
      <c r="AM1" s="329"/>
      <c r="AN1" s="329"/>
      <c r="AO1" s="781"/>
      <c r="AP1" s="781"/>
      <c r="AQ1" s="781"/>
      <c r="AR1" s="329"/>
      <c r="AS1" s="329"/>
      <c r="AT1" s="329"/>
      <c r="AU1" s="329"/>
      <c r="AV1" s="329"/>
      <c r="AW1" s="329"/>
      <c r="AX1" s="329"/>
      <c r="CN1" s="374"/>
      <c r="CO1" s="145"/>
      <c r="CP1" s="145"/>
      <c r="CQ1" s="145"/>
      <c r="CR1" s="145"/>
      <c r="CS1" s="145"/>
      <c r="CT1" s="145"/>
      <c r="CU1" s="145"/>
      <c r="CV1" s="145"/>
      <c r="CW1" s="145"/>
      <c r="CX1" s="145"/>
      <c r="CY1" s="145"/>
      <c r="CZ1" s="145"/>
      <c r="DA1" s="145"/>
      <c r="DB1" s="145"/>
      <c r="DC1" s="145"/>
      <c r="DD1" s="145"/>
      <c r="DE1" s="145"/>
      <c r="DF1" s="145"/>
      <c r="DG1" s="145"/>
      <c r="DH1" s="145"/>
      <c r="DI1" s="145"/>
      <c r="DJ1" s="145"/>
      <c r="DK1" s="145"/>
      <c r="DL1" s="145"/>
      <c r="DM1" s="145"/>
      <c r="DN1" s="145"/>
    </row>
    <row r="2" spans="1:118" ht="15" hidden="1" customHeight="1">
      <c r="A2" s="331"/>
      <c r="B2" s="331"/>
      <c r="C2" s="331"/>
      <c r="D2" s="331"/>
      <c r="E2" s="331"/>
      <c r="F2" s="331"/>
      <c r="G2" s="331"/>
      <c r="H2" s="331"/>
      <c r="I2" s="331"/>
      <c r="J2" s="331"/>
      <c r="K2" s="331"/>
      <c r="L2" s="331"/>
      <c r="M2" s="331"/>
      <c r="N2" s="331"/>
      <c r="O2" s="331"/>
      <c r="P2" s="331"/>
      <c r="Q2" s="780"/>
      <c r="R2" s="780"/>
      <c r="S2" s="780"/>
      <c r="T2" s="780"/>
      <c r="U2" s="331"/>
      <c r="V2" s="331"/>
      <c r="W2" s="331"/>
      <c r="X2" s="331"/>
      <c r="Y2" s="331"/>
      <c r="Z2" s="331"/>
      <c r="AA2" s="331"/>
      <c r="AB2" s="331"/>
      <c r="AC2" s="331"/>
      <c r="AD2" s="331"/>
      <c r="AE2" s="331"/>
      <c r="AF2" s="331"/>
      <c r="AG2" s="331"/>
      <c r="AH2" s="331"/>
      <c r="AI2" s="331"/>
      <c r="AJ2" s="331"/>
      <c r="AK2" s="331"/>
      <c r="AL2" s="331"/>
      <c r="AM2" s="331"/>
      <c r="AN2" s="331"/>
      <c r="AO2" s="780"/>
      <c r="AP2" s="780"/>
      <c r="AQ2" s="780"/>
      <c r="AR2" s="331"/>
      <c r="AS2" s="331"/>
      <c r="AT2" s="331"/>
      <c r="AU2" s="331"/>
      <c r="AV2" s="331"/>
      <c r="AW2" s="331"/>
      <c r="AX2" s="331"/>
      <c r="CN2" s="330"/>
      <c r="CO2" s="330"/>
      <c r="CP2" s="330"/>
      <c r="CQ2" s="330"/>
      <c r="CR2" s="330"/>
      <c r="CS2" s="330"/>
      <c r="CT2" s="330"/>
      <c r="CU2" s="330"/>
      <c r="CV2" s="330"/>
      <c r="CW2" s="330"/>
      <c r="CX2" s="330"/>
      <c r="CY2" s="330"/>
      <c r="CZ2" s="330"/>
      <c r="DA2" s="330"/>
      <c r="DB2" s="330"/>
      <c r="DC2" s="330"/>
      <c r="DD2" s="330"/>
      <c r="DE2" s="330"/>
      <c r="DF2" s="145"/>
      <c r="DG2" s="145"/>
      <c r="DH2" s="145"/>
      <c r="DI2" s="145"/>
      <c r="DJ2" s="145"/>
      <c r="DK2" s="145"/>
      <c r="DL2" s="145"/>
      <c r="DM2" s="145"/>
      <c r="DN2" s="145"/>
    </row>
    <row r="3" spans="1:118" ht="15" hidden="1" customHeight="1">
      <c r="A3" s="332">
        <v>1</v>
      </c>
      <c r="B3" s="332">
        <v>2</v>
      </c>
      <c r="C3" s="332">
        <v>3</v>
      </c>
      <c r="D3" s="332">
        <v>4</v>
      </c>
      <c r="E3" s="332">
        <v>5</v>
      </c>
      <c r="F3" s="332">
        <v>6</v>
      </c>
      <c r="G3" s="332">
        <v>7</v>
      </c>
      <c r="H3" s="332">
        <v>8</v>
      </c>
      <c r="I3" s="332">
        <v>9</v>
      </c>
      <c r="J3" s="332">
        <v>10</v>
      </c>
      <c r="K3" s="332">
        <v>11</v>
      </c>
      <c r="L3" s="332"/>
      <c r="M3" s="332"/>
      <c r="N3" s="332">
        <v>12</v>
      </c>
      <c r="O3" s="332">
        <v>13</v>
      </c>
      <c r="P3" s="332">
        <v>14</v>
      </c>
      <c r="Q3" s="332"/>
      <c r="R3" s="332"/>
      <c r="S3" s="332"/>
      <c r="T3" s="332"/>
      <c r="U3" s="332">
        <v>15</v>
      </c>
      <c r="V3" s="332">
        <v>16</v>
      </c>
      <c r="W3" s="332">
        <v>17</v>
      </c>
      <c r="X3" s="332">
        <v>18</v>
      </c>
      <c r="Y3" s="333">
        <v>19</v>
      </c>
      <c r="Z3" s="333">
        <v>20</v>
      </c>
      <c r="AA3" s="333">
        <v>21</v>
      </c>
      <c r="AB3" s="333">
        <v>22</v>
      </c>
      <c r="AC3" s="333">
        <v>23</v>
      </c>
      <c r="AD3" s="333">
        <v>24</v>
      </c>
      <c r="AE3" s="333">
        <v>25</v>
      </c>
      <c r="AF3" s="333">
        <v>26</v>
      </c>
      <c r="AG3" s="333">
        <v>27</v>
      </c>
      <c r="AH3" s="333">
        <v>28</v>
      </c>
      <c r="AI3" s="333">
        <v>29</v>
      </c>
      <c r="AJ3" s="333">
        <v>30</v>
      </c>
      <c r="AK3" s="333">
        <v>31</v>
      </c>
      <c r="AL3" s="333">
        <v>32</v>
      </c>
      <c r="AM3" s="333"/>
      <c r="AN3" s="333"/>
      <c r="AO3" s="333"/>
      <c r="AP3" s="333"/>
      <c r="AQ3" s="333"/>
      <c r="AR3" s="333"/>
      <c r="AS3" s="333"/>
      <c r="AT3" s="333"/>
      <c r="AU3" s="333"/>
      <c r="AV3" s="333"/>
      <c r="AW3" s="333"/>
      <c r="AX3" s="333"/>
      <c r="CN3" s="330"/>
      <c r="CO3" s="330"/>
      <c r="CP3" s="330"/>
      <c r="CQ3" s="330"/>
      <c r="CR3" s="330"/>
      <c r="CS3" s="330"/>
      <c r="CT3" s="330"/>
      <c r="CU3" s="330"/>
      <c r="CV3" s="330"/>
      <c r="CW3" s="330"/>
      <c r="CX3" s="330"/>
      <c r="CY3" s="330"/>
      <c r="CZ3" s="330"/>
      <c r="DA3" s="330"/>
      <c r="DB3" s="330"/>
      <c r="DC3" s="330"/>
      <c r="DD3" s="330"/>
      <c r="DE3" s="330"/>
      <c r="DF3" s="145"/>
      <c r="DG3" s="145"/>
      <c r="DH3" s="145"/>
      <c r="DI3" s="145"/>
      <c r="DJ3" s="145"/>
      <c r="DK3" s="145"/>
      <c r="DL3" s="145"/>
      <c r="DM3" s="145"/>
      <c r="DN3" s="145"/>
    </row>
    <row r="4" spans="1:118" ht="42" customHeight="1">
      <c r="A4" s="1472" t="s">
        <v>664</v>
      </c>
      <c r="B4" s="1472"/>
      <c r="C4" s="1472"/>
      <c r="D4" s="1472" t="s">
        <v>665</v>
      </c>
      <c r="E4" s="1472"/>
      <c r="F4" s="1472"/>
      <c r="G4" s="1472"/>
      <c r="H4" s="1472"/>
      <c r="I4" s="1472"/>
      <c r="J4" s="415"/>
      <c r="K4" s="415"/>
      <c r="L4" s="415"/>
      <c r="M4" s="415"/>
      <c r="N4" s="463" t="s">
        <v>666</v>
      </c>
      <c r="O4" s="415"/>
      <c r="P4" s="415"/>
      <c r="Q4" s="415"/>
      <c r="R4" s="415"/>
      <c r="S4" s="415"/>
      <c r="T4" s="415"/>
      <c r="U4" s="415"/>
      <c r="V4" s="463"/>
      <c r="W4" s="463" t="s">
        <v>667</v>
      </c>
      <c r="X4" s="463"/>
      <c r="Y4" s="463"/>
      <c r="Z4" s="463"/>
      <c r="AA4" s="463"/>
      <c r="AB4" s="463"/>
      <c r="AC4" s="463"/>
      <c r="AD4" s="463"/>
      <c r="AE4" s="463"/>
      <c r="AF4" s="463"/>
      <c r="AG4" s="463"/>
      <c r="AH4" s="463"/>
      <c r="AI4" s="463"/>
      <c r="AJ4" s="463"/>
      <c r="AK4" s="463"/>
      <c r="AL4" s="463"/>
      <c r="AM4" s="463"/>
      <c r="AN4" s="463"/>
      <c r="AO4" s="463"/>
      <c r="AP4" s="463"/>
      <c r="AQ4" s="463"/>
      <c r="AR4" s="463"/>
      <c r="AS4" s="463"/>
      <c r="AT4" s="463"/>
      <c r="AU4" s="463"/>
      <c r="AV4" s="463"/>
      <c r="AW4" s="463"/>
      <c r="AX4" s="463"/>
      <c r="AY4" s="463"/>
      <c r="CR4" s="395"/>
      <c r="CS4" s="377"/>
    </row>
    <row r="5" spans="1:118" ht="6" customHeight="1">
      <c r="A5" s="419"/>
      <c r="B5" s="419"/>
      <c r="C5" s="419"/>
      <c r="D5" s="419"/>
      <c r="E5" s="419"/>
      <c r="F5" s="419"/>
      <c r="G5" s="419"/>
      <c r="H5" s="419"/>
      <c r="I5" s="419"/>
      <c r="J5" s="419"/>
      <c r="K5" s="419"/>
      <c r="L5" s="419"/>
      <c r="M5" s="419"/>
      <c r="N5" s="419"/>
      <c r="O5" s="419"/>
      <c r="P5" s="419"/>
      <c r="Q5" s="419"/>
      <c r="R5" s="419"/>
      <c r="S5" s="419"/>
      <c r="T5" s="419"/>
      <c r="U5" s="419"/>
      <c r="V5" s="419"/>
      <c r="W5" s="419"/>
      <c r="X5" s="419"/>
      <c r="Y5" s="419"/>
      <c r="Z5" s="419"/>
      <c r="AA5" s="419"/>
      <c r="AB5" s="419"/>
      <c r="AC5" s="419"/>
      <c r="AD5" s="419"/>
      <c r="AE5" s="419"/>
      <c r="AF5" s="419"/>
      <c r="AG5" s="419"/>
      <c r="AH5" s="419"/>
      <c r="AI5" s="419"/>
      <c r="AJ5" s="419"/>
      <c r="AK5" s="419"/>
      <c r="AL5" s="419"/>
      <c r="AM5" s="419"/>
      <c r="AN5" s="419"/>
      <c r="AO5" s="419"/>
      <c r="AP5" s="419"/>
      <c r="AQ5" s="419"/>
      <c r="AR5" s="419"/>
      <c r="AS5" s="419"/>
      <c r="AT5" s="419"/>
      <c r="AU5" s="419"/>
      <c r="AV5" s="419"/>
      <c r="AW5" s="419"/>
      <c r="AX5" s="419"/>
      <c r="AY5" s="462"/>
      <c r="CR5" s="395"/>
      <c r="CS5" s="395"/>
    </row>
    <row r="6" spans="1:118" ht="15" customHeight="1">
      <c r="A6" s="466"/>
      <c r="B6" s="466"/>
      <c r="C6" s="466"/>
      <c r="D6" s="466"/>
      <c r="E6" s="466"/>
      <c r="F6" s="466"/>
      <c r="G6" s="466"/>
      <c r="H6" s="466"/>
      <c r="I6" s="466"/>
      <c r="J6" s="466"/>
      <c r="K6" s="466"/>
      <c r="L6" s="466"/>
      <c r="M6" s="466"/>
      <c r="N6" s="466"/>
      <c r="O6" s="466"/>
      <c r="P6" s="466"/>
      <c r="Q6" s="466"/>
      <c r="R6" s="466"/>
      <c r="S6" s="466"/>
      <c r="T6" s="466"/>
      <c r="U6" s="466"/>
      <c r="V6" s="466"/>
      <c r="W6" s="466"/>
      <c r="X6" s="466"/>
      <c r="Y6" s="466"/>
      <c r="Z6" s="466"/>
      <c r="AA6" s="466"/>
      <c r="AB6" s="466"/>
      <c r="AC6" s="466"/>
      <c r="AD6" s="466"/>
      <c r="AE6" s="466"/>
      <c r="AF6" s="466"/>
      <c r="AG6" s="466"/>
      <c r="AH6" s="466"/>
      <c r="AI6" s="466"/>
      <c r="AJ6" s="466"/>
      <c r="AK6" s="466"/>
      <c r="AL6" s="466"/>
      <c r="AM6" s="466"/>
      <c r="AN6" s="466"/>
      <c r="AO6" s="466"/>
      <c r="AP6" s="466"/>
      <c r="AQ6" s="466"/>
      <c r="AR6" s="466"/>
      <c r="AS6" s="466"/>
      <c r="AT6" s="466"/>
      <c r="AU6" s="466"/>
      <c r="AV6" s="466"/>
      <c r="AW6" s="466"/>
      <c r="AX6" s="466"/>
      <c r="AZ6" s="446" t="s">
        <v>819</v>
      </c>
      <c r="BJ6" s="330">
        <v>1</v>
      </c>
      <c r="BK6" s="362" t="s">
        <v>491</v>
      </c>
      <c r="BL6" s="334"/>
      <c r="BM6" s="363" t="s">
        <v>477</v>
      </c>
      <c r="BN6" s="363" t="s">
        <v>478</v>
      </c>
      <c r="BO6" s="363" t="s">
        <v>479</v>
      </c>
      <c r="BP6" s="363" t="s">
        <v>510</v>
      </c>
      <c r="BQ6" s="363" t="s">
        <v>511</v>
      </c>
      <c r="BR6"/>
      <c r="BS6" s="321" t="s">
        <v>480</v>
      </c>
      <c r="BT6" s="322"/>
      <c r="BU6" s="322"/>
      <c r="BV6" s="322"/>
      <c r="BW6" s="322"/>
      <c r="BX6" s="334"/>
      <c r="BZ6" s="321" t="s">
        <v>637</v>
      </c>
      <c r="CB6" s="1473" t="s">
        <v>661</v>
      </c>
      <c r="CC6" s="1474"/>
      <c r="CD6" s="1475"/>
      <c r="CE6" s="1473" t="s">
        <v>537</v>
      </c>
      <c r="CF6" s="1474"/>
      <c r="CG6" s="1475"/>
      <c r="CH6" s="109">
        <f>t.MAT.1</f>
        <v>100</v>
      </c>
      <c r="CI6" s="109">
        <f>t.MAT.2</f>
        <v>100</v>
      </c>
      <c r="CJ6" s="109">
        <f>t.MAT.3</f>
        <v>100</v>
      </c>
      <c r="CK6" s="109">
        <f>t.MAT.4</f>
        <v>100</v>
      </c>
      <c r="CL6" s="109">
        <f>t.MAT.5</f>
        <v>100</v>
      </c>
      <c r="CN6" s="395" t="s">
        <v>550</v>
      </c>
    </row>
    <row r="7" spans="1:118" ht="15" customHeight="1">
      <c r="A7" s="466"/>
      <c r="B7" s="466"/>
      <c r="C7" s="466"/>
      <c r="D7" s="466"/>
      <c r="E7" s="466"/>
      <c r="F7" s="466"/>
      <c r="G7" s="466"/>
      <c r="H7" s="466"/>
      <c r="I7" s="466"/>
      <c r="J7" s="466"/>
      <c r="K7" s="466"/>
      <c r="L7" s="466"/>
      <c r="M7" s="466"/>
      <c r="N7" s="466"/>
      <c r="O7" s="466"/>
      <c r="P7" s="466"/>
      <c r="Q7" s="466"/>
      <c r="R7" s="466"/>
      <c r="S7" s="466"/>
      <c r="T7" s="466"/>
      <c r="U7" s="466"/>
      <c r="V7" s="466"/>
      <c r="W7" s="466"/>
      <c r="X7" s="466"/>
      <c r="Y7" s="466"/>
      <c r="Z7" s="466"/>
      <c r="AA7" s="466"/>
      <c r="AB7" s="466"/>
      <c r="AC7" s="466"/>
      <c r="AD7" s="466"/>
      <c r="AE7" s="466"/>
      <c r="AF7" s="466"/>
      <c r="AG7" s="466"/>
      <c r="AH7" s="466"/>
      <c r="AI7" s="466"/>
      <c r="AJ7" s="466"/>
      <c r="AK7" s="466"/>
      <c r="AL7" s="466"/>
      <c r="AM7" s="466"/>
      <c r="AN7" s="466"/>
      <c r="AO7" s="466"/>
      <c r="AP7" s="466"/>
      <c r="AQ7" s="466"/>
      <c r="AR7" s="466"/>
      <c r="AS7" s="466"/>
      <c r="AT7" s="466"/>
      <c r="AU7" s="466"/>
      <c r="AV7" s="466"/>
      <c r="AW7" s="466"/>
      <c r="AX7" s="466"/>
      <c r="BJ7" s="330">
        <v>2</v>
      </c>
      <c r="BK7" s="283" t="s">
        <v>115</v>
      </c>
      <c r="BL7" s="283"/>
      <c r="BM7" s="286" t="str">
        <f>Mat_DE</f>
        <v>C24</v>
      </c>
      <c r="BN7" s="286" t="str">
        <f>Mat_UZ</f>
        <v>GL24h</v>
      </c>
      <c r="BO7" s="370" t="str">
        <f>Mat_ST</f>
        <v>GL24h</v>
      </c>
      <c r="BP7" s="370" t="str">
        <f>MAT.4</f>
        <v>GL32h</v>
      </c>
      <c r="BQ7" s="370" t="str">
        <f>MAT.5</f>
        <v>GL36h</v>
      </c>
      <c r="BR7"/>
      <c r="BS7" s="319" t="s">
        <v>113</v>
      </c>
      <c r="BT7" s="337" t="s">
        <v>473</v>
      </c>
      <c r="BU7" s="337" t="s">
        <v>474</v>
      </c>
      <c r="BV7" s="337" t="s">
        <v>49</v>
      </c>
      <c r="BW7" s="337" t="s">
        <v>475</v>
      </c>
      <c r="BX7" s="338" t="s">
        <v>486</v>
      </c>
      <c r="BZ7" s="324" t="s">
        <v>22</v>
      </c>
      <c r="CB7" s="1476" t="s">
        <v>113</v>
      </c>
      <c r="CC7" s="1478" t="s">
        <v>114</v>
      </c>
      <c r="CD7" s="1476" t="s">
        <v>115</v>
      </c>
      <c r="CE7" s="1476" t="s">
        <v>116</v>
      </c>
      <c r="CF7" s="1476"/>
      <c r="CG7" s="1476"/>
      <c r="CH7" s="1480" t="s">
        <v>344</v>
      </c>
      <c r="CI7" s="1480" t="s">
        <v>345</v>
      </c>
      <c r="CJ7" s="1480" t="s">
        <v>346</v>
      </c>
      <c r="CK7" s="1480" t="s">
        <v>512</v>
      </c>
      <c r="CL7" s="1480" t="s">
        <v>513</v>
      </c>
      <c r="CN7" s="145" t="s">
        <v>551</v>
      </c>
      <c r="CP7" s="396" t="s">
        <v>569</v>
      </c>
      <c r="CQ7" s="145">
        <v>0.67</v>
      </c>
    </row>
    <row r="8" spans="1:118" ht="15" customHeight="1">
      <c r="A8" s="466"/>
      <c r="B8" s="466"/>
      <c r="D8" s="491" t="s">
        <v>1499</v>
      </c>
      <c r="E8" s="466"/>
      <c r="F8" s="466"/>
      <c r="O8" s="491" t="s">
        <v>830</v>
      </c>
      <c r="P8" s="466"/>
      <c r="Q8" s="466"/>
      <c r="R8" s="466"/>
      <c r="S8" s="466"/>
      <c r="T8" s="466"/>
      <c r="U8" s="466"/>
      <c r="V8" s="466"/>
      <c r="W8" s="491" t="s">
        <v>1498</v>
      </c>
      <c r="X8" s="466"/>
      <c r="Y8" s="466"/>
      <c r="AB8" s="491" t="s">
        <v>828</v>
      </c>
      <c r="AC8" s="466"/>
      <c r="AD8" s="466"/>
      <c r="AE8" s="466"/>
      <c r="AG8" s="491" t="s">
        <v>47</v>
      </c>
      <c r="AH8" s="466"/>
      <c r="AI8" s="466"/>
      <c r="AJ8" s="466"/>
      <c r="AK8" s="466"/>
      <c r="AL8" s="491" t="s">
        <v>306</v>
      </c>
      <c r="AM8" s="466"/>
      <c r="AN8" s="466"/>
      <c r="AO8" s="466"/>
      <c r="AP8" s="466"/>
      <c r="AQ8" s="466"/>
      <c r="AR8" s="466"/>
      <c r="AS8" s="466"/>
      <c r="AT8" s="466"/>
      <c r="AU8" s="466"/>
      <c r="AV8" s="466"/>
      <c r="AW8" s="466"/>
      <c r="AX8" s="466"/>
      <c r="BJ8" s="330">
        <v>3</v>
      </c>
      <c r="BK8" s="283" t="s">
        <v>354</v>
      </c>
      <c r="BL8" s="283"/>
      <c r="BM8" s="286" t="str">
        <f>VLOOKUP(BM7,$CB$9:$CD$48,3,FALSE)</f>
        <v>Nadel - Schnittholz</v>
      </c>
      <c r="BN8" s="286" t="str">
        <f>VLOOKUP(BN7,$CB$9:$CD$48,3,FALSE)</f>
        <v>Nadel - Brettschichtholz</v>
      </c>
      <c r="BO8" s="286" t="str">
        <f>VLOOKUP(BO7,$CB$9:$CD$48,3,FALSE)</f>
        <v>Nadel - Brettschichtholz</v>
      </c>
      <c r="BP8" s="286" t="e">
        <f>VLOOKUP(BP7,$CB$9:$CD$48,3,FALSE)</f>
        <v>#N/A</v>
      </c>
      <c r="BQ8" s="286" t="e">
        <f>VLOOKUP(BQ7,$CB$9:$CD$48,3,FALSE)</f>
        <v>#N/A</v>
      </c>
      <c r="BR8"/>
      <c r="BS8" s="319" t="str">
        <f>MAT.1</f>
        <v>C24</v>
      </c>
      <c r="BT8" s="327" t="e">
        <f>INDEX(#REF!,MATCH(MAT.1,#REF!,0))</f>
        <v>#REF!</v>
      </c>
      <c r="BU8" s="323" t="e">
        <f>INDEX(#REF!,MATCH(BT8,#REF!,0))</f>
        <v>#REF!</v>
      </c>
      <c r="BV8" s="319" t="e">
        <f>INDEX(#REF!,MATCH(AC14,#REF!,0))</f>
        <v>#REF!</v>
      </c>
      <c r="BW8" s="323" t="e">
        <f>VALUE(BU8&amp;INDEX(#REF!,MATCH(AC14,#REF!,0)))</f>
        <v>#REF!</v>
      </c>
      <c r="BX8" s="325" t="e">
        <f>INDEX(#REF!,MATCH(BW8,#REF!,0))</f>
        <v>#REF!</v>
      </c>
      <c r="BZ8" s="324" t="str">
        <f>ALPHA_DEUT!Y114</f>
        <v>C14</v>
      </c>
      <c r="CB8" s="1477"/>
      <c r="CC8" s="1479"/>
      <c r="CD8" s="1477"/>
      <c r="CE8" s="1477"/>
      <c r="CF8" s="1477"/>
      <c r="CG8" s="1477"/>
      <c r="CH8" s="1478"/>
      <c r="CI8" s="1478"/>
      <c r="CJ8" s="1478"/>
      <c r="CK8" s="1478"/>
      <c r="CL8" s="1478"/>
      <c r="CN8" s="145" t="s">
        <v>552</v>
      </c>
      <c r="CP8" s="396" t="s">
        <v>553</v>
      </c>
      <c r="CQ8" s="373">
        <v>1.2</v>
      </c>
    </row>
    <row r="9" spans="1:118" ht="15" customHeight="1">
      <c r="A9" s="466"/>
      <c r="B9" s="466"/>
      <c r="O9" s="476" t="s">
        <v>1004</v>
      </c>
      <c r="P9" s="467"/>
      <c r="Q9" s="467"/>
      <c r="R9" s="467"/>
      <c r="S9" s="467"/>
      <c r="T9" s="467"/>
      <c r="U9" s="466" t="s">
        <v>1003</v>
      </c>
      <c r="V9" s="466"/>
      <c r="W9" s="476" t="s">
        <v>1004</v>
      </c>
      <c r="X9" s="467"/>
      <c r="Y9" s="466" t="s">
        <v>1003</v>
      </c>
      <c r="AB9" s="468"/>
      <c r="AC9" s="467"/>
      <c r="AD9" s="466"/>
      <c r="AE9" s="466"/>
      <c r="AG9" s="466"/>
      <c r="AH9" s="466"/>
      <c r="AI9" s="466"/>
      <c r="AJ9" s="466"/>
      <c r="AK9" s="466"/>
      <c r="AL9" s="468"/>
      <c r="AM9" s="466"/>
      <c r="AN9" s="466"/>
      <c r="AO9" s="466"/>
      <c r="AP9" s="466"/>
      <c r="AQ9" s="466"/>
      <c r="AR9" s="466"/>
      <c r="AS9" s="466"/>
      <c r="AT9" s="466"/>
      <c r="AU9" s="466"/>
      <c r="AV9" s="466"/>
      <c r="AW9" s="466"/>
      <c r="AX9" s="466"/>
      <c r="AY9" s="347"/>
      <c r="BF9" s="318"/>
      <c r="BJ9" s="330">
        <v>4</v>
      </c>
      <c r="BK9" s="283" t="s">
        <v>356</v>
      </c>
      <c r="BL9" s="283"/>
      <c r="BM9" s="286">
        <f>VLOOKUP(BM7,$CB$9:$CL$48,7,FALSE)</f>
        <v>1191</v>
      </c>
      <c r="BN9" s="286">
        <f>VLOOKUP(BN7,$CB$9:$CL$48,8,FALSE)</f>
        <v>1391</v>
      </c>
      <c r="BO9" s="286">
        <f>VLOOKUP(BO7,$CB$9:$CL$48,9,FALSE)</f>
        <v>1391</v>
      </c>
      <c r="BP9" s="286" t="e">
        <f>VLOOKUP(BP7,$CB$9:$CL$48,10,FALSE)</f>
        <v>#N/A</v>
      </c>
      <c r="BQ9" s="286" t="e">
        <f>VLOOKUP(BQ7,$CB$9:$CL$48,11,FALSE)</f>
        <v>#N/A</v>
      </c>
      <c r="BR9"/>
      <c r="BS9" s="326" t="s">
        <v>467</v>
      </c>
      <c r="BT9" s="324" t="s">
        <v>466</v>
      </c>
      <c r="BU9" s="324" t="s">
        <v>468</v>
      </c>
      <c r="BV9" s="323" t="s">
        <v>481</v>
      </c>
      <c r="BW9" s="327" t="s">
        <v>476</v>
      </c>
      <c r="BX9"/>
      <c r="BZ9" s="324" t="str">
        <f>ALPHA_DEUT!Y115</f>
        <v>C16</v>
      </c>
      <c r="CB9" s="12" t="str">
        <f>ALPHA_DEUT!Y114</f>
        <v>C14</v>
      </c>
      <c r="CC9" s="27">
        <f>ALPHA_DEUT!Z114</f>
        <v>114</v>
      </c>
      <c r="CD9" s="12" t="str">
        <f>ALPHA_DEUT!AA114</f>
        <v>Nadel - Schnittholz</v>
      </c>
      <c r="CE9" s="343">
        <v>1</v>
      </c>
      <c r="CF9" s="343"/>
      <c r="CG9" s="343"/>
      <c r="CH9" s="27">
        <f>VALUE(CC9&amp;MATCH($CH$6,CE9:CG9,1))</f>
        <v>1141</v>
      </c>
      <c r="CI9" s="27">
        <f t="shared" ref="CI9:CI45" si="0">VALUE(CC9&amp;MATCH($CI$6,CE9:CG9,1))</f>
        <v>1141</v>
      </c>
      <c r="CJ9" s="344">
        <f t="shared" ref="CJ9:CJ45" si="1">VALUE(CC9&amp;MATCH($CJ$6,CE9:CG9,1))</f>
        <v>1141</v>
      </c>
      <c r="CK9" s="344">
        <f t="shared" ref="CK9:CK45" si="2">VALUE(CC9&amp;MATCH($CK$6,CE9:CG9,1))</f>
        <v>1141</v>
      </c>
      <c r="CL9" s="344">
        <f t="shared" ref="CL9:CL45" si="3">VALUE(CC9&amp;MATCH($CL$6,CE9:CG9,1))</f>
        <v>1141</v>
      </c>
      <c r="CR9" s="399" t="s">
        <v>629</v>
      </c>
      <c r="CS9" s="399" t="s">
        <v>630</v>
      </c>
      <c r="CT9" s="399" t="s">
        <v>631</v>
      </c>
      <c r="CU9" s="399"/>
      <c r="CV9" s="399"/>
      <c r="CW9" s="399"/>
      <c r="CX9" s="399"/>
      <c r="CY9" s="398" t="s">
        <v>632</v>
      </c>
      <c r="CZ9" s="399" t="s">
        <v>633</v>
      </c>
      <c r="DA9" s="399"/>
      <c r="DB9" s="399"/>
      <c r="DC9" s="399"/>
      <c r="DD9" s="399" t="s">
        <v>634</v>
      </c>
      <c r="DE9" s="399"/>
      <c r="DF9" s="399" t="s">
        <v>635</v>
      </c>
      <c r="DG9" s="399" t="s">
        <v>636</v>
      </c>
    </row>
    <row r="10" spans="1:118" ht="15" customHeight="1">
      <c r="A10" s="466"/>
      <c r="B10" s="466"/>
      <c r="D10" s="476" t="s">
        <v>1004</v>
      </c>
      <c r="E10" s="467" t="s">
        <v>3</v>
      </c>
      <c r="AB10" s="468">
        <v>30</v>
      </c>
      <c r="AC10" s="467"/>
      <c r="AD10" s="466"/>
      <c r="AE10" s="466"/>
      <c r="AG10" s="466">
        <v>0.6</v>
      </c>
      <c r="AH10" s="466"/>
      <c r="AI10" s="466"/>
      <c r="AJ10" s="466"/>
      <c r="AK10" s="466"/>
      <c r="AL10" s="468">
        <v>100</v>
      </c>
      <c r="AM10" s="466"/>
      <c r="AN10" s="466"/>
      <c r="AO10" s="466"/>
      <c r="AP10" s="466"/>
      <c r="AQ10" s="466"/>
      <c r="AR10" s="466"/>
      <c r="AS10" s="466"/>
      <c r="AT10" s="466"/>
      <c r="AU10" s="466"/>
      <c r="AV10" s="466"/>
      <c r="AW10" s="466"/>
      <c r="AX10" s="466"/>
      <c r="AZ10" s="349" t="s">
        <v>529</v>
      </c>
      <c r="BA10" s="350" t="s">
        <v>530</v>
      </c>
      <c r="BB10" s="351" t="s">
        <v>531</v>
      </c>
      <c r="BF10" s="330"/>
      <c r="BJ10" s="330">
        <v>5</v>
      </c>
      <c r="BK10" s="436" t="s">
        <v>648</v>
      </c>
      <c r="BL10" s="436"/>
      <c r="BM10" s="400"/>
      <c r="BN10" s="400"/>
      <c r="BO10" s="400"/>
      <c r="BP10" s="400"/>
      <c r="BQ10" s="400"/>
      <c r="BR10"/>
      <c r="BS10" s="323" t="e">
        <f>#REF!</f>
        <v>#REF!</v>
      </c>
      <c r="BT10" s="325" t="e">
        <f>INDEX(#REF!,MATCH(BT8,#REF!,0))</f>
        <v>#REF!</v>
      </c>
      <c r="BU10" s="325" t="e">
        <f>VLOOKUP(BW8,#REF!,VALUE(1+MATCH(BS10,#REF!,0)),FALSE)</f>
        <v>#REF!</v>
      </c>
      <c r="BV10" s="325" t="e">
        <f>n.mod.1/g.M.1</f>
        <v>#REF!</v>
      </c>
      <c r="BW10" s="325" t="e">
        <f>INDEX(#REF!,MATCH(BW8,#REF!,0))</f>
        <v>#REF!</v>
      </c>
      <c r="BX10"/>
      <c r="BZ10" s="324" t="str">
        <f>ALPHA_DEUT!Y116</f>
        <v>C18</v>
      </c>
      <c r="CB10" s="14" t="str">
        <f>ALPHA_DEUT!Y115</f>
        <v>C16</v>
      </c>
      <c r="CC10" s="320">
        <f>ALPHA_DEUT!Z115</f>
        <v>115</v>
      </c>
      <c r="CD10" s="14" t="str">
        <f>ALPHA_DEUT!AA115</f>
        <v>Nadel - Schnittholz</v>
      </c>
      <c r="CE10" s="345">
        <v>1</v>
      </c>
      <c r="CF10" s="345"/>
      <c r="CG10" s="345"/>
      <c r="CH10" s="320">
        <f t="shared" ref="CH10:CH45" si="4">VALUE(CC10&amp;MATCH($CH$6,CE10:CG10,1))</f>
        <v>1151</v>
      </c>
      <c r="CI10" s="320">
        <f t="shared" si="0"/>
        <v>1151</v>
      </c>
      <c r="CJ10" s="346">
        <f t="shared" si="1"/>
        <v>1151</v>
      </c>
      <c r="CK10" s="346">
        <f t="shared" si="2"/>
        <v>1151</v>
      </c>
      <c r="CL10" s="346">
        <f t="shared" si="3"/>
        <v>1151</v>
      </c>
      <c r="CN10" s="1471" t="s">
        <v>554</v>
      </c>
      <c r="CO10" s="1471"/>
      <c r="CP10" s="1471"/>
      <c r="CQ10" s="1471"/>
      <c r="CR10" s="378" t="s">
        <v>570</v>
      </c>
      <c r="CS10" s="379" t="s">
        <v>571</v>
      </c>
      <c r="CT10" s="378" t="s">
        <v>572</v>
      </c>
      <c r="CU10" s="379" t="s">
        <v>573</v>
      </c>
      <c r="CV10" s="378" t="s">
        <v>570</v>
      </c>
      <c r="CW10" s="379" t="s">
        <v>571</v>
      </c>
      <c r="CX10" s="378" t="s">
        <v>574</v>
      </c>
      <c r="CY10" s="379" t="s">
        <v>575</v>
      </c>
      <c r="CZ10" s="379" t="s">
        <v>576</v>
      </c>
      <c r="DA10" s="378" t="s">
        <v>577</v>
      </c>
      <c r="DB10" s="379" t="s">
        <v>578</v>
      </c>
      <c r="DC10" s="379" t="s">
        <v>579</v>
      </c>
      <c r="DD10" s="378" t="s">
        <v>580</v>
      </c>
      <c r="DE10" s="379" t="s">
        <v>581</v>
      </c>
      <c r="DF10" s="378" t="s">
        <v>582</v>
      </c>
      <c r="DG10" s="379" t="s">
        <v>583</v>
      </c>
    </row>
    <row r="11" spans="1:118" ht="15" customHeight="1">
      <c r="A11" s="466"/>
      <c r="B11" s="466"/>
      <c r="D11" s="466" t="s">
        <v>1003</v>
      </c>
      <c r="E11" s="467" t="s">
        <v>4</v>
      </c>
      <c r="O11" s="468">
        <v>60</v>
      </c>
      <c r="P11" s="467"/>
      <c r="Q11" s="467"/>
      <c r="R11" s="467"/>
      <c r="S11" s="467"/>
      <c r="T11" s="467"/>
      <c r="U11" s="468">
        <v>60</v>
      </c>
      <c r="V11" s="466"/>
      <c r="W11" s="468">
        <v>60</v>
      </c>
      <c r="X11" s="467"/>
      <c r="Y11" s="468">
        <v>60</v>
      </c>
      <c r="AB11" s="468">
        <v>60</v>
      </c>
      <c r="AC11" s="467"/>
      <c r="AD11" s="466"/>
      <c r="AE11" s="466"/>
      <c r="AG11" s="466">
        <v>0.7</v>
      </c>
      <c r="AH11" s="466"/>
      <c r="AI11" s="466"/>
      <c r="AJ11" s="466"/>
      <c r="AK11" s="466"/>
      <c r="AL11" s="468">
        <v>150</v>
      </c>
      <c r="AM11" s="466"/>
      <c r="AN11" s="466"/>
      <c r="AO11" s="466"/>
      <c r="AP11" s="466"/>
      <c r="AQ11" s="466"/>
      <c r="AR11" s="466"/>
      <c r="AS11" s="466"/>
      <c r="AT11" s="466"/>
      <c r="AU11" s="466"/>
      <c r="AV11" s="466"/>
      <c r="AW11" s="466"/>
      <c r="AX11" s="466"/>
      <c r="AZ11" s="335" t="s">
        <v>532</v>
      </c>
      <c r="BA11" s="336">
        <v>11000</v>
      </c>
      <c r="BB11" s="336">
        <v>11000</v>
      </c>
      <c r="BJ11" s="330">
        <v>6</v>
      </c>
      <c r="BK11" s="4" t="str">
        <f>ALPHA_DEUT!AI204</f>
        <v>Biegung ll zur Faserrichtung</v>
      </c>
      <c r="BL11" s="40" t="str">
        <f>ALPHA_DEUT!AJ204</f>
        <v>fm,0,k [N/mm2]</v>
      </c>
      <c r="BM11" s="372">
        <f>IF($BM$7="DSP",CS20,INDEX(ALPHA_DEUT!204:204,MATCH($BM$9,ALPHA_DEUT!$202:$202,0)))</f>
        <v>24</v>
      </c>
      <c r="BN11" s="372">
        <f>IF($BN$7="DSP",CT20,INDEX(ALPHA_DEUT!204:204,MATCH($BN$9,ALPHA_DEUT!$202:$202,0)))</f>
        <v>24</v>
      </c>
      <c r="BO11" s="372">
        <f>IF($BO$7="DSP",CU20,INDEX(ALPHA_DEUT!204:204,MATCH($BO$9,ALPHA_DEUT!$202:$202,0)))</f>
        <v>24</v>
      </c>
      <c r="BP11" s="372" t="e">
        <f>IF($BP$7="DSP",CV20,INDEX(ALPHA_DEUT!204:204,MATCH($BP$9,ALPHA_DEUT!$202:$202,0)))</f>
        <v>#N/A</v>
      </c>
      <c r="BQ11" s="372" t="e">
        <f>IF($BQ$7="DSP",CW20,INDEX(ALPHA_DEUT!204:204,MATCH($BQ$9,ALPHA_DEUT!$202:$202,0)))</f>
        <v>#N/A</v>
      </c>
      <c r="BR11"/>
      <c r="BS11"/>
      <c r="BT11"/>
      <c r="BU11"/>
      <c r="BV11"/>
      <c r="BW11"/>
      <c r="BX11"/>
      <c r="BZ11" s="324" t="str">
        <f>ALPHA_DEUT!Y117</f>
        <v>C20</v>
      </c>
      <c r="CB11" s="14" t="str">
        <f>ALPHA_DEUT!Y116</f>
        <v>C18</v>
      </c>
      <c r="CC11" s="320">
        <f>ALPHA_DEUT!Z116</f>
        <v>116</v>
      </c>
      <c r="CD11" s="14" t="str">
        <f>ALPHA_DEUT!AA116</f>
        <v>Nadel - Schnittholz</v>
      </c>
      <c r="CE11" s="345">
        <v>1</v>
      </c>
      <c r="CF11" s="345"/>
      <c r="CG11" s="345"/>
      <c r="CH11" s="320">
        <f t="shared" si="4"/>
        <v>1161</v>
      </c>
      <c r="CI11" s="320">
        <f t="shared" si="0"/>
        <v>1161</v>
      </c>
      <c r="CJ11" s="346">
        <f t="shared" si="1"/>
        <v>1161</v>
      </c>
      <c r="CK11" s="346">
        <f t="shared" si="2"/>
        <v>1161</v>
      </c>
      <c r="CL11" s="346">
        <f t="shared" si="3"/>
        <v>1161</v>
      </c>
      <c r="CN11" s="1471"/>
      <c r="CO11" s="1471"/>
      <c r="CP11" s="1471"/>
      <c r="CQ11" s="1471"/>
      <c r="CR11" s="380">
        <v>11000</v>
      </c>
      <c r="CS11" s="381">
        <v>24</v>
      </c>
      <c r="CT11" s="380">
        <f>MIN(0,370)</f>
        <v>0</v>
      </c>
      <c r="CU11" s="381">
        <v>0</v>
      </c>
      <c r="CV11" s="380">
        <f>DSP.E.0.mean</f>
        <v>11000</v>
      </c>
      <c r="CW11" s="381">
        <f>DSP.f.m0k</f>
        <v>24</v>
      </c>
      <c r="CX11" s="380">
        <v>11000</v>
      </c>
      <c r="CY11" s="381">
        <v>14</v>
      </c>
      <c r="CZ11" s="381">
        <v>21</v>
      </c>
      <c r="DA11" s="380">
        <v>370</v>
      </c>
      <c r="DB11" s="381">
        <v>0.4</v>
      </c>
      <c r="DC11" s="381">
        <v>2.5</v>
      </c>
      <c r="DD11" s="380">
        <v>690</v>
      </c>
      <c r="DE11" s="381">
        <f>k.cr*4</f>
        <v>2.68</v>
      </c>
      <c r="DF11" s="380">
        <v>69</v>
      </c>
      <c r="DG11" s="381">
        <f>0.4*DE11</f>
        <v>1.0720000000000001</v>
      </c>
    </row>
    <row r="12" spans="1:118" ht="15" customHeight="1">
      <c r="A12" s="466"/>
      <c r="B12" s="466"/>
      <c r="E12" s="467" t="s">
        <v>688</v>
      </c>
      <c r="O12" s="468">
        <v>80</v>
      </c>
      <c r="P12" s="467"/>
      <c r="Q12" s="467"/>
      <c r="R12" s="467"/>
      <c r="S12" s="467"/>
      <c r="T12" s="467"/>
      <c r="U12" s="468">
        <v>80</v>
      </c>
      <c r="V12" s="466"/>
      <c r="W12" s="468">
        <v>80</v>
      </c>
      <c r="X12" s="467"/>
      <c r="Y12" s="468">
        <v>80</v>
      </c>
      <c r="AB12" s="468">
        <v>90</v>
      </c>
      <c r="AC12" s="467"/>
      <c r="AD12" s="466"/>
      <c r="AE12" s="466"/>
      <c r="AG12" s="466">
        <v>0.8</v>
      </c>
      <c r="AH12" s="466"/>
      <c r="AI12" s="466"/>
      <c r="AJ12" s="466"/>
      <c r="AK12" s="466"/>
      <c r="AL12" s="468">
        <v>200</v>
      </c>
      <c r="AM12" s="466"/>
      <c r="AN12" s="466"/>
      <c r="AO12" s="466"/>
      <c r="AP12" s="466"/>
      <c r="AQ12" s="466"/>
      <c r="AR12" s="466"/>
      <c r="AS12" s="466"/>
      <c r="AT12" s="466"/>
      <c r="AU12" s="466"/>
      <c r="AV12" s="466"/>
      <c r="AW12" s="466"/>
      <c r="AX12" s="466"/>
      <c r="AZ12" s="339" t="s">
        <v>533</v>
      </c>
      <c r="BA12" s="340">
        <v>1000</v>
      </c>
      <c r="BB12" s="340">
        <v>1000</v>
      </c>
      <c r="BJ12" s="330">
        <v>7</v>
      </c>
      <c r="BK12" s="4" t="str">
        <f>ALPHA_DEUT!AI205</f>
        <v xml:space="preserve">Biegung ^ zur  Faserrichtung </v>
      </c>
      <c r="BL12" s="40" t="str">
        <f>ALPHA_DEUT!AJ205</f>
        <v>fm,90,k [N/mm2]</v>
      </c>
      <c r="BM12" s="372">
        <f>IF($BM$7="DSP",CS20,INDEX(ALPHA_DEUT!205:205,MATCH($BM$9,ALPHA_DEUT!$202:$202,0)))</f>
        <v>0</v>
      </c>
      <c r="BN12" s="372">
        <f>IF($BN$7="DSP",CT20,INDEX(ALPHA_DEUT!205:205,MATCH($BN$9,ALPHA_DEUT!$202:$202,0)))</f>
        <v>0</v>
      </c>
      <c r="BO12" s="372">
        <f>IF($BO$7="DSP",CU20,INDEX(ALPHA_DEUT!205:205,MATCH($BO$9,ALPHA_DEUT!$202:$202,0)))</f>
        <v>0</v>
      </c>
      <c r="BP12" s="372" t="e">
        <f>IF($BP$7="DSP",CV20,INDEX(ALPHA_DEUT!205:205,MATCH($BP$9,ALPHA_DEUT!$202:$202,0)))</f>
        <v>#N/A</v>
      </c>
      <c r="BQ12" s="372" t="e">
        <f>IF($BQ$7="DSP",CW20,INDEX(ALPHA_DEUT!205:205,MATCH($BQ$9,ALPHA_DEUT!$202:$202,0)))</f>
        <v>#N/A</v>
      </c>
      <c r="BR12"/>
      <c r="BS12" s="321" t="s">
        <v>484</v>
      </c>
      <c r="BT12" s="322"/>
      <c r="BU12" s="322"/>
      <c r="BV12" s="322"/>
      <c r="BW12" s="322"/>
      <c r="BX12" s="334"/>
      <c r="BZ12" s="324" t="str">
        <f>ALPHA_DEUT!Y118</f>
        <v>C22</v>
      </c>
      <c r="CB12" s="14" t="str">
        <f>ALPHA_DEUT!Y117</f>
        <v>C20</v>
      </c>
      <c r="CC12" s="320">
        <f>ALPHA_DEUT!Z117</f>
        <v>117</v>
      </c>
      <c r="CD12" s="14" t="str">
        <f>ALPHA_DEUT!AA117</f>
        <v>Nadel - Schnittholz</v>
      </c>
      <c r="CE12" s="345">
        <v>1</v>
      </c>
      <c r="CF12" s="345"/>
      <c r="CG12" s="345"/>
      <c r="CH12" s="320">
        <f t="shared" si="4"/>
        <v>1171</v>
      </c>
      <c r="CI12" s="320">
        <f t="shared" si="0"/>
        <v>1171</v>
      </c>
      <c r="CJ12" s="346">
        <f t="shared" si="1"/>
        <v>1171</v>
      </c>
      <c r="CK12" s="346">
        <f t="shared" si="2"/>
        <v>1171</v>
      </c>
      <c r="CL12" s="346">
        <f t="shared" si="3"/>
        <v>1171</v>
      </c>
    </row>
    <row r="13" spans="1:118" ht="15" customHeight="1">
      <c r="A13" s="466"/>
      <c r="B13" s="466"/>
      <c r="O13" s="468">
        <v>100</v>
      </c>
      <c r="P13" s="467"/>
      <c r="Q13" s="467"/>
      <c r="R13" s="467"/>
      <c r="S13" s="467"/>
      <c r="T13" s="467"/>
      <c r="U13" s="468">
        <v>100</v>
      </c>
      <c r="V13" s="466"/>
      <c r="W13" s="468">
        <v>100</v>
      </c>
      <c r="X13" s="467"/>
      <c r="Y13" s="468">
        <v>100</v>
      </c>
      <c r="AB13" s="466"/>
      <c r="AC13" s="466"/>
      <c r="AD13" s="466"/>
      <c r="AE13" s="466"/>
      <c r="AG13" s="466">
        <v>0.9</v>
      </c>
      <c r="AH13" s="466"/>
      <c r="AI13" s="466"/>
      <c r="AJ13" s="466"/>
      <c r="AK13" s="466"/>
      <c r="AL13" s="468">
        <v>250</v>
      </c>
      <c r="AM13" s="466"/>
      <c r="AN13" s="466"/>
      <c r="AO13" s="466"/>
      <c r="AP13" s="466"/>
      <c r="AQ13" s="466"/>
      <c r="AR13" s="466"/>
      <c r="AS13" s="466"/>
      <c r="AT13" s="466"/>
      <c r="AU13" s="466"/>
      <c r="AV13" s="466"/>
      <c r="AW13" s="466"/>
      <c r="AX13" s="466"/>
      <c r="AY13" s="169"/>
      <c r="AZ13" s="341" t="s">
        <v>534</v>
      </c>
      <c r="BA13" s="342" t="e">
        <f>ROUND((12*EI.0/(BA11*BA12))^(1/3),0)</f>
        <v>#REF!</v>
      </c>
      <c r="BB13" s="342" t="e">
        <f>ROUND((12*EI.8/(BB11*BB12))^(1/3),0)</f>
        <v>#REF!</v>
      </c>
      <c r="BJ13" s="330">
        <v>8</v>
      </c>
      <c r="BK13" s="4" t="str">
        <f>ALPHA_DEUT!AI206</f>
        <v xml:space="preserve">Zug ll zur Faserrichtung </v>
      </c>
      <c r="BL13" s="40" t="str">
        <f>ALPHA_DEUT!AJ206</f>
        <v>ft,0,k [N/mm2]</v>
      </c>
      <c r="BM13" s="372">
        <f>IF($BM$7="DSP",CS21,INDEX(ALPHA_DEUT!206:206,MATCH($BM$9,ALPHA_DEUT!$202:$202,0)))</f>
        <v>14</v>
      </c>
      <c r="BN13" s="372">
        <f>IF($BN$7="DSP",CT21,INDEX(ALPHA_DEUT!206:206,MATCH($BN$9,ALPHA_DEUT!$202:$202,0)))</f>
        <v>19.2</v>
      </c>
      <c r="BO13" s="372">
        <f>IF($BO$7="DSP",CU21,INDEX(ALPHA_DEUT!206:206,MATCH($BO$9,ALPHA_DEUT!$202:$202,0)))</f>
        <v>19.2</v>
      </c>
      <c r="BP13" s="372" t="e">
        <f>IF($BP$7="DSP",CV21,INDEX(ALPHA_DEUT!206:206,MATCH($BP$9,ALPHA_DEUT!$202:$202,0)))</f>
        <v>#N/A</v>
      </c>
      <c r="BQ13" s="372" t="e">
        <f>IF($BQ$7="DSP",CW21,INDEX(ALPHA_DEUT!206:206,MATCH($BQ$9,ALPHA_DEUT!$202:$202,0)))</f>
        <v>#N/A</v>
      </c>
      <c r="BR13"/>
      <c r="BS13" s="319" t="s">
        <v>113</v>
      </c>
      <c r="BT13" s="337" t="s">
        <v>473</v>
      </c>
      <c r="BU13" s="337" t="s">
        <v>474</v>
      </c>
      <c r="BV13" s="337" t="s">
        <v>49</v>
      </c>
      <c r="BW13" s="337" t="s">
        <v>475</v>
      </c>
      <c r="BX13" s="338" t="s">
        <v>486</v>
      </c>
      <c r="BZ13" s="324" t="str">
        <f>ALPHA_DEUT!Y119</f>
        <v>C24</v>
      </c>
      <c r="CB13" s="14" t="str">
        <f>ALPHA_DEUT!Y118</f>
        <v>C22</v>
      </c>
      <c r="CC13" s="320">
        <f>ALPHA_DEUT!Z118</f>
        <v>118</v>
      </c>
      <c r="CD13" s="14" t="str">
        <f>ALPHA_DEUT!AA118</f>
        <v>Nadel - Schnittholz</v>
      </c>
      <c r="CE13" s="345">
        <v>1</v>
      </c>
      <c r="CF13" s="345"/>
      <c r="CG13" s="345"/>
      <c r="CH13" s="320">
        <f t="shared" si="4"/>
        <v>1181</v>
      </c>
      <c r="CI13" s="320">
        <f t="shared" si="0"/>
        <v>1181</v>
      </c>
      <c r="CJ13" s="346">
        <f t="shared" si="1"/>
        <v>1181</v>
      </c>
      <c r="CK13" s="346">
        <f t="shared" si="2"/>
        <v>1181</v>
      </c>
      <c r="CL13" s="346">
        <f t="shared" si="3"/>
        <v>1181</v>
      </c>
      <c r="CN13" s="1488" t="s">
        <v>555</v>
      </c>
      <c r="CO13" s="1489" t="s">
        <v>556</v>
      </c>
      <c r="CP13" s="1489" t="s">
        <v>557</v>
      </c>
      <c r="CQ13" s="1489" t="s">
        <v>558</v>
      </c>
      <c r="CR13" s="1491" t="s">
        <v>559</v>
      </c>
      <c r="CS13" s="1491"/>
      <c r="CT13" s="1491"/>
      <c r="CU13" s="1491"/>
      <c r="CV13" s="1491"/>
      <c r="CW13" s="1491"/>
      <c r="CX13" s="1491" t="s">
        <v>560</v>
      </c>
      <c r="CY13" s="1491"/>
      <c r="CZ13" s="1491"/>
      <c r="DA13" s="1491"/>
      <c r="DB13" s="1491"/>
      <c r="DC13" s="1491"/>
      <c r="DD13" s="1491" t="s">
        <v>16</v>
      </c>
      <c r="DE13" s="1491"/>
      <c r="DF13" s="1491"/>
      <c r="DG13" s="1491"/>
      <c r="DI13" s="1470" t="s">
        <v>561</v>
      </c>
      <c r="DJ13" s="1470"/>
      <c r="DK13" s="1470"/>
      <c r="DL13" s="1470"/>
      <c r="DM13" s="1470"/>
      <c r="DN13" s="1470"/>
    </row>
    <row r="14" spans="1:118" ht="15" customHeight="1">
      <c r="A14" s="466"/>
      <c r="B14" s="466"/>
      <c r="L14" s="466"/>
      <c r="M14" s="466"/>
      <c r="O14" s="468">
        <v>120</v>
      </c>
      <c r="P14" s="467"/>
      <c r="Q14" s="467"/>
      <c r="R14" s="467"/>
      <c r="S14" s="467"/>
      <c r="T14" s="467"/>
      <c r="U14" s="468">
        <v>120</v>
      </c>
      <c r="V14" s="466"/>
      <c r="W14" s="468">
        <v>120</v>
      </c>
      <c r="X14" s="467"/>
      <c r="Y14" s="468">
        <v>120</v>
      </c>
      <c r="AB14" s="466"/>
      <c r="AC14" s="466"/>
      <c r="AD14" s="466"/>
      <c r="AE14" s="466"/>
      <c r="AG14" s="466">
        <v>1</v>
      </c>
      <c r="AH14" s="466"/>
      <c r="AI14" s="466"/>
      <c r="AJ14" s="466"/>
      <c r="AK14" s="466"/>
      <c r="AL14" s="468">
        <v>300</v>
      </c>
      <c r="AM14" s="466"/>
      <c r="AN14" s="466"/>
      <c r="AO14" s="466"/>
      <c r="AP14" s="466"/>
      <c r="AQ14" s="466"/>
      <c r="AR14" s="466"/>
      <c r="AS14" s="466"/>
      <c r="AT14" s="466"/>
      <c r="AU14" s="466"/>
      <c r="AV14" s="466"/>
      <c r="AW14" s="466"/>
      <c r="AX14" s="466"/>
      <c r="AY14" s="169"/>
      <c r="BJ14" s="330">
        <v>9</v>
      </c>
      <c r="BK14" s="4" t="str">
        <f>ALPHA_DEUT!AI207</f>
        <v xml:space="preserve">Zug ^ zur  Faserrichtung </v>
      </c>
      <c r="BL14" s="40" t="str">
        <f>ALPHA_DEUT!AJ207</f>
        <v>ft,90,k [N/mm2]</v>
      </c>
      <c r="BM14" s="372">
        <f>IF($BM$7="DSP",CS22,INDEX(ALPHA_DEUT!207:207,MATCH($BM$9,ALPHA_DEUT!$202:$202,0)))</f>
        <v>0.4</v>
      </c>
      <c r="BN14" s="372">
        <f>IF($BN$7="DSP",CT22,INDEX(ALPHA_DEUT!207:207,MATCH($BN$9,ALPHA_DEUT!$202:$202,0)))</f>
        <v>0.5</v>
      </c>
      <c r="BO14" s="372">
        <f>IF($BO$7="DSP",CU22,INDEX(ALPHA_DEUT!207:207,MATCH($BO$9,ALPHA_DEUT!$202:$202,0)))</f>
        <v>0.5</v>
      </c>
      <c r="BP14" s="372" t="e">
        <f>IF($BP$7="DSP",CV22,INDEX(ALPHA_DEUT!207:207,MATCH($BP$9,ALPHA_DEUT!$202:$202,0)))</f>
        <v>#N/A</v>
      </c>
      <c r="BQ14" s="372" t="e">
        <f>IF($BQ$7="DSP",CW22,INDEX(ALPHA_DEUT!207:207,MATCH($BQ$9,ALPHA_DEUT!$202:$202,0)))</f>
        <v>#N/A</v>
      </c>
      <c r="BR14"/>
      <c r="BS14" s="319" t="str">
        <f>MAT.2</f>
        <v>GL24h</v>
      </c>
      <c r="BT14" s="327" t="e">
        <f>INDEX(#REF!,MATCH(MAT.2,#REF!,0))</f>
        <v>#REF!</v>
      </c>
      <c r="BU14" s="323" t="e">
        <f>INDEX(#REF!,MATCH(BT14,#REF!,0))</f>
        <v>#REF!</v>
      </c>
      <c r="BV14" s="319" t="e">
        <f>INDEX(#REF!,MATCH(AC14,#REF!,0))</f>
        <v>#REF!</v>
      </c>
      <c r="BW14" s="323" t="e">
        <f>VALUE(BU14&amp;INDEX(#REF!,MATCH(AC14,#REF!,0)))</f>
        <v>#REF!</v>
      </c>
      <c r="BX14" s="325" t="e">
        <f>INDEX(#REF!,MATCH(BW14,#REF!,0))</f>
        <v>#REF!</v>
      </c>
      <c r="BZ14" s="324" t="str">
        <f>ALPHA_DEUT!Y120</f>
        <v>C27</v>
      </c>
      <c r="CB14" s="14" t="str">
        <f>ALPHA_DEUT!Y119</f>
        <v>C24</v>
      </c>
      <c r="CC14" s="320">
        <f>ALPHA_DEUT!Z119</f>
        <v>119</v>
      </c>
      <c r="CD14" s="14" t="str">
        <f>ALPHA_DEUT!AA119</f>
        <v>Nadel - Schnittholz</v>
      </c>
      <c r="CE14" s="345">
        <v>1</v>
      </c>
      <c r="CF14" s="345"/>
      <c r="CG14" s="345"/>
      <c r="CH14" s="320">
        <f t="shared" si="4"/>
        <v>1191</v>
      </c>
      <c r="CI14" s="320">
        <f t="shared" si="0"/>
        <v>1191</v>
      </c>
      <c r="CJ14" s="346">
        <f t="shared" si="1"/>
        <v>1191</v>
      </c>
      <c r="CK14" s="346">
        <f t="shared" si="2"/>
        <v>1191</v>
      </c>
      <c r="CL14" s="346">
        <f t="shared" si="3"/>
        <v>1191</v>
      </c>
      <c r="CN14" s="1488"/>
      <c r="CO14" s="1489"/>
      <c r="CP14" s="1489"/>
      <c r="CQ14" s="1489"/>
      <c r="CR14" s="1481"/>
      <c r="CS14" s="1482"/>
      <c r="CT14" s="1481"/>
      <c r="CU14" s="1482"/>
      <c r="CV14" s="1481"/>
      <c r="CW14" s="1482"/>
      <c r="CX14" s="1481"/>
      <c r="CY14" s="1492"/>
      <c r="CZ14" s="1482"/>
      <c r="DA14" s="1481"/>
      <c r="DB14" s="1492"/>
      <c r="DC14" s="1482"/>
      <c r="DD14" s="1481"/>
      <c r="DE14" s="1482"/>
      <c r="DF14" s="1481"/>
      <c r="DG14" s="1482"/>
      <c r="DI14" s="1470"/>
      <c r="DJ14" s="1470"/>
      <c r="DK14" s="1470"/>
      <c r="DL14" s="1470"/>
      <c r="DM14" s="1470"/>
      <c r="DN14" s="1470"/>
    </row>
    <row r="15" spans="1:118" ht="15" customHeight="1">
      <c r="A15" s="466"/>
      <c r="B15" s="466"/>
      <c r="O15" s="468">
        <v>140</v>
      </c>
      <c r="P15" s="467"/>
      <c r="Q15" s="467"/>
      <c r="R15" s="467"/>
      <c r="S15" s="467"/>
      <c r="T15" s="467"/>
      <c r="U15" s="468">
        <v>140</v>
      </c>
      <c r="V15" s="466"/>
      <c r="W15" s="468">
        <v>140</v>
      </c>
      <c r="X15" s="467"/>
      <c r="Y15" s="468">
        <v>140</v>
      </c>
      <c r="AB15" s="466" t="s">
        <v>847</v>
      </c>
      <c r="AC15" s="466"/>
      <c r="AD15" s="466"/>
      <c r="AE15" s="466"/>
      <c r="AG15" s="466">
        <v>1.1000000000000001</v>
      </c>
      <c r="AH15" s="466"/>
      <c r="AI15" s="466"/>
      <c r="AJ15" s="466"/>
      <c r="AK15" s="466"/>
      <c r="AL15" s="468">
        <v>350</v>
      </c>
      <c r="AM15" s="466"/>
      <c r="AN15" s="466"/>
      <c r="AO15" s="466"/>
      <c r="AP15" s="466"/>
      <c r="AQ15" s="466"/>
      <c r="AR15" s="466"/>
      <c r="AS15" s="466"/>
      <c r="AT15" s="466"/>
      <c r="AU15" s="466"/>
      <c r="AV15" s="466"/>
      <c r="AW15" s="466"/>
      <c r="AX15" s="466"/>
      <c r="AY15" s="169"/>
      <c r="AZ15" s="352" t="s">
        <v>12</v>
      </c>
      <c r="BA15" s="353"/>
      <c r="BB15" s="354" t="s">
        <v>860</v>
      </c>
      <c r="BC15" s="354" t="s">
        <v>867</v>
      </c>
      <c r="BD15" s="354" t="s">
        <v>970</v>
      </c>
      <c r="BE15" s="354" t="s">
        <v>520</v>
      </c>
      <c r="BF15" s="397" t="s">
        <v>519</v>
      </c>
      <c r="BJ15" s="330">
        <v>10</v>
      </c>
      <c r="BK15" s="4" t="str">
        <f>ALPHA_DEUT!AI208</f>
        <v xml:space="preserve">Druck ll zur  Faserrichtung </v>
      </c>
      <c r="BL15" s="40" t="str">
        <f>ALPHA_DEUT!AJ208</f>
        <v>fc,0,k [N/mm2]</v>
      </c>
      <c r="BM15" s="372">
        <f>IF($BM$7="DSP",CS23,INDEX(ALPHA_DEUT!208:208,MATCH($BM$9,ALPHA_DEUT!$202:$202,0)))</f>
        <v>21</v>
      </c>
      <c r="BN15" s="372">
        <f>IF($BN$7="DSP",CT23,INDEX(ALPHA_DEUT!208:208,MATCH($BN$9,ALPHA_DEUT!$202:$202,0)))</f>
        <v>24</v>
      </c>
      <c r="BO15" s="372">
        <f>IF($BO$7="DSP",CU23,INDEX(ALPHA_DEUT!208:208,MATCH($BO$9,ALPHA_DEUT!$202:$202,0)))</f>
        <v>24</v>
      </c>
      <c r="BP15" s="372" t="e">
        <f>IF($BP$7="DSP",CV23,INDEX(ALPHA_DEUT!208:208,MATCH($BP$9,ALPHA_DEUT!$202:$202,0)))</f>
        <v>#N/A</v>
      </c>
      <c r="BQ15" s="372" t="e">
        <f>IF($BQ$7="DSP",CW23,INDEX(ALPHA_DEUT!208:208,MATCH($BQ$9,ALPHA_DEUT!$202:$202,0)))</f>
        <v>#N/A</v>
      </c>
      <c r="BR15"/>
      <c r="BS15" s="326" t="s">
        <v>467</v>
      </c>
      <c r="BT15" s="324" t="s">
        <v>466</v>
      </c>
      <c r="BU15" s="324" t="s">
        <v>468</v>
      </c>
      <c r="BV15" s="323" t="s">
        <v>481</v>
      </c>
      <c r="BW15" s="327" t="s">
        <v>476</v>
      </c>
      <c r="BX15"/>
      <c r="BZ15" s="324" t="str">
        <f>ALPHA_DEUT!Y121</f>
        <v>C30</v>
      </c>
      <c r="CB15" s="14" t="str">
        <f>ALPHA_DEUT!Y120</f>
        <v>C27</v>
      </c>
      <c r="CC15" s="320">
        <f>ALPHA_DEUT!Z120</f>
        <v>120</v>
      </c>
      <c r="CD15" s="14" t="str">
        <f>ALPHA_DEUT!AA120</f>
        <v>Nadel - Schnittholz</v>
      </c>
      <c r="CE15" s="345">
        <v>1</v>
      </c>
      <c r="CF15" s="345"/>
      <c r="CG15" s="345"/>
      <c r="CH15" s="320">
        <f t="shared" si="4"/>
        <v>1201</v>
      </c>
      <c r="CI15" s="320">
        <f t="shared" si="0"/>
        <v>1201</v>
      </c>
      <c r="CJ15" s="346">
        <f t="shared" si="1"/>
        <v>1201</v>
      </c>
      <c r="CK15" s="346">
        <f t="shared" si="2"/>
        <v>1201</v>
      </c>
      <c r="CL15" s="346">
        <f t="shared" si="3"/>
        <v>1201</v>
      </c>
      <c r="CN15" s="1488"/>
      <c r="CO15" s="1489"/>
      <c r="CP15" s="1489"/>
      <c r="CQ15" s="1489"/>
      <c r="CR15" s="1483"/>
      <c r="CS15" s="1484"/>
      <c r="CT15" s="1483"/>
      <c r="CU15" s="1484"/>
      <c r="CV15" s="1483"/>
      <c r="CW15" s="1484"/>
      <c r="CX15" s="1483"/>
      <c r="CY15" s="1493"/>
      <c r="CZ15" s="1484"/>
      <c r="DA15" s="1483"/>
      <c r="DB15" s="1493"/>
      <c r="DC15" s="1484"/>
      <c r="DD15" s="1483"/>
      <c r="DE15" s="1484"/>
      <c r="DF15" s="1483"/>
      <c r="DG15" s="1484"/>
      <c r="DI15" s="1470"/>
      <c r="DJ15" s="1470"/>
      <c r="DK15" s="1470"/>
      <c r="DL15" s="1470"/>
      <c r="DM15" s="1470"/>
      <c r="DN15" s="1470"/>
    </row>
    <row r="16" spans="1:118" ht="15" customHeight="1">
      <c r="A16" s="466"/>
      <c r="B16" s="466"/>
      <c r="D16" s="491" t="s">
        <v>1556</v>
      </c>
      <c r="O16" s="468">
        <v>160</v>
      </c>
      <c r="P16" s="467"/>
      <c r="Q16" s="467"/>
      <c r="R16" s="467"/>
      <c r="S16" s="467"/>
      <c r="T16" s="467"/>
      <c r="U16" s="468">
        <v>160</v>
      </c>
      <c r="V16" s="466"/>
      <c r="W16" s="468">
        <v>160</v>
      </c>
      <c r="X16" s="467"/>
      <c r="Y16" s="468">
        <v>160</v>
      </c>
      <c r="AB16" s="472"/>
      <c r="AC16" s="466"/>
      <c r="AD16" s="466"/>
      <c r="AE16" s="466"/>
      <c r="AG16" s="466"/>
      <c r="AH16" s="466"/>
      <c r="AI16" s="466"/>
      <c r="AJ16" s="466"/>
      <c r="AK16" s="466"/>
      <c r="AL16" s="468">
        <v>400</v>
      </c>
      <c r="AM16" s="466"/>
      <c r="AN16" s="466"/>
      <c r="AO16" s="466"/>
      <c r="AP16" s="466"/>
      <c r="AQ16" s="466"/>
      <c r="AR16" s="466"/>
      <c r="AS16" s="466"/>
      <c r="AT16" s="466"/>
      <c r="AU16" s="466"/>
      <c r="AV16" s="466"/>
      <c r="AW16" s="466"/>
      <c r="AX16" s="466"/>
      <c r="AY16" s="169"/>
      <c r="AZ16" s="366" t="s">
        <v>523</v>
      </c>
      <c r="BA16" s="367" t="s">
        <v>832</v>
      </c>
      <c r="BB16" s="368">
        <f t="shared" ref="BB16:BF17" si="5">BM11</f>
        <v>24</v>
      </c>
      <c r="BC16" s="368">
        <f t="shared" si="5"/>
        <v>24</v>
      </c>
      <c r="BD16" s="368">
        <f t="shared" si="5"/>
        <v>24</v>
      </c>
      <c r="BE16" s="368" t="e">
        <f t="shared" si="5"/>
        <v>#N/A</v>
      </c>
      <c r="BF16" s="369" t="e">
        <f t="shared" si="5"/>
        <v>#N/A</v>
      </c>
      <c r="BG16"/>
      <c r="BH16"/>
      <c r="BI16"/>
      <c r="BJ16" s="330">
        <v>11</v>
      </c>
      <c r="BK16" s="4" t="str">
        <f>ALPHA_DEUT!AI209</f>
        <v xml:space="preserve">Druck ^ zur  Faserrichtung </v>
      </c>
      <c r="BL16" s="40" t="str">
        <f>ALPHA_DEUT!AJ209</f>
        <v>fc,90,k [N/mm2]</v>
      </c>
      <c r="BM16" s="372">
        <f>IF($BM$7="DSP",CS24,INDEX(ALPHA_DEUT!209:209,MATCH($BM$9,ALPHA_DEUT!$202:$202,0)))</f>
        <v>2.5</v>
      </c>
      <c r="BN16" s="372">
        <f>IF($BN$7="DSP",CT24,INDEX(ALPHA_DEUT!209:209,MATCH($BN$9,ALPHA_DEUT!$202:$202,0)))</f>
        <v>2.5</v>
      </c>
      <c r="BO16" s="372">
        <f>IF($BO$7="DSP",CU24,INDEX(ALPHA_DEUT!209:209,MATCH($BO$9,ALPHA_DEUT!$202:$202,0)))</f>
        <v>2.5</v>
      </c>
      <c r="BP16" s="372" t="e">
        <f>IF($BP$7="DSP",CV24,INDEX(ALPHA_DEUT!209:209,MATCH($BP$9,ALPHA_DEUT!$202:$202,0)))</f>
        <v>#N/A</v>
      </c>
      <c r="BQ16" s="372" t="e">
        <f>IF($BQ$7="DSP",CW24,INDEX(ALPHA_DEUT!209:209,MATCH($BQ$9,ALPHA_DEUT!$202:$202,0)))</f>
        <v>#N/A</v>
      </c>
      <c r="BR16"/>
      <c r="BS16" s="323" t="e">
        <f>#REF!</f>
        <v>#REF!</v>
      </c>
      <c r="BT16" s="325" t="e">
        <f>INDEX(#REF!,MATCH(BT14,#REF!,0))</f>
        <v>#REF!</v>
      </c>
      <c r="BU16" s="325" t="e">
        <f>VLOOKUP(BW14,#REF!,VALUE(1+MATCH(BS16,#REF!,0)),FALSE)</f>
        <v>#REF!</v>
      </c>
      <c r="BV16" s="325" t="e">
        <f>n.mod.2/g.M.2</f>
        <v>#REF!</v>
      </c>
      <c r="BW16" s="325" t="e">
        <f>INDEX(#REF!,MATCH(BW14,#REF!,0))</f>
        <v>#REF!</v>
      </c>
      <c r="BX16"/>
      <c r="BZ16" s="324" t="str">
        <f>ALPHA_DEUT!Y122</f>
        <v>C35</v>
      </c>
      <c r="CB16" s="14" t="str">
        <f>ALPHA_DEUT!Y121</f>
        <v>C30</v>
      </c>
      <c r="CC16" s="320">
        <f>ALPHA_DEUT!Z121</f>
        <v>121</v>
      </c>
      <c r="CD16" s="14" t="str">
        <f>ALPHA_DEUT!AA121</f>
        <v>Nadel - Schnittholz</v>
      </c>
      <c r="CE16" s="345">
        <v>1</v>
      </c>
      <c r="CF16" s="345"/>
      <c r="CG16" s="345"/>
      <c r="CH16" s="320">
        <f t="shared" si="4"/>
        <v>1211</v>
      </c>
      <c r="CI16" s="320">
        <f t="shared" si="0"/>
        <v>1211</v>
      </c>
      <c r="CJ16" s="346">
        <f t="shared" si="1"/>
        <v>1211</v>
      </c>
      <c r="CK16" s="346">
        <f t="shared" si="2"/>
        <v>1211</v>
      </c>
      <c r="CL16" s="346">
        <f t="shared" si="3"/>
        <v>1211</v>
      </c>
      <c r="CN16" s="1488"/>
      <c r="CO16" s="1489"/>
      <c r="CP16" s="1489"/>
      <c r="CQ16" s="1489"/>
      <c r="CR16" s="1483"/>
      <c r="CS16" s="1484"/>
      <c r="CT16" s="1483"/>
      <c r="CU16" s="1484"/>
      <c r="CV16" s="1483"/>
      <c r="CW16" s="1484"/>
      <c r="CX16" s="1483"/>
      <c r="CY16" s="1493"/>
      <c r="CZ16" s="1484"/>
      <c r="DA16" s="1483"/>
      <c r="DB16" s="1493"/>
      <c r="DC16" s="1484"/>
      <c r="DD16" s="1483"/>
      <c r="DE16" s="1484"/>
      <c r="DF16" s="1483"/>
      <c r="DG16" s="1484"/>
      <c r="DI16" s="1470"/>
      <c r="DJ16" s="1470"/>
      <c r="DK16" s="1470"/>
      <c r="DL16" s="1470"/>
      <c r="DM16" s="1470"/>
      <c r="DN16" s="1470"/>
    </row>
    <row r="17" spans="1:118" ht="15" customHeight="1">
      <c r="A17" s="466"/>
      <c r="B17" s="466"/>
      <c r="K17" s="467"/>
      <c r="O17" s="468">
        <v>180</v>
      </c>
      <c r="P17" s="467"/>
      <c r="Q17" s="467"/>
      <c r="R17" s="467"/>
      <c r="S17" s="467"/>
      <c r="T17" s="467"/>
      <c r="U17" s="468">
        <v>180</v>
      </c>
      <c r="V17" s="466"/>
      <c r="W17" s="468">
        <v>180</v>
      </c>
      <c r="X17" s="467"/>
      <c r="Y17" s="468">
        <v>180</v>
      </c>
      <c r="AA17" s="466"/>
      <c r="AB17" s="472" t="s">
        <v>849</v>
      </c>
      <c r="AC17" s="466"/>
      <c r="AD17" s="466"/>
      <c r="AE17" s="466"/>
      <c r="AI17" s="466"/>
      <c r="AJ17" s="466"/>
      <c r="AK17" s="466"/>
      <c r="AL17" s="468">
        <v>450</v>
      </c>
      <c r="AM17" s="466"/>
      <c r="AN17" s="466"/>
      <c r="AO17" s="466"/>
      <c r="AP17" s="466"/>
      <c r="AQ17" s="466"/>
      <c r="AR17" s="466"/>
      <c r="AS17" s="466"/>
      <c r="AT17" s="466"/>
      <c r="AU17" s="466"/>
      <c r="AV17" s="466"/>
      <c r="AW17" s="466"/>
      <c r="AX17" s="466"/>
      <c r="AY17" s="169"/>
      <c r="AZ17" s="355" t="s">
        <v>837</v>
      </c>
      <c r="BA17" s="316" t="s">
        <v>838</v>
      </c>
      <c r="BB17" s="356">
        <f t="shared" si="5"/>
        <v>0</v>
      </c>
      <c r="BC17" s="356">
        <f t="shared" si="5"/>
        <v>0</v>
      </c>
      <c r="BD17" s="356">
        <f t="shared" si="5"/>
        <v>0</v>
      </c>
      <c r="BE17" s="356" t="e">
        <f t="shared" si="5"/>
        <v>#N/A</v>
      </c>
      <c r="BF17" s="356" t="e">
        <f t="shared" si="5"/>
        <v>#N/A</v>
      </c>
      <c r="BG17"/>
      <c r="BH17"/>
      <c r="BI17"/>
      <c r="BJ17" s="330">
        <v>12</v>
      </c>
      <c r="BK17" s="4" t="str">
        <f>ALPHA_DEUT!AI210</f>
        <v>Querdruck ^ - generell</v>
      </c>
      <c r="BL17" s="40" t="str">
        <f>ALPHA_DEUT!AJ210</f>
        <v>fc,90,k [N/mm2]</v>
      </c>
      <c r="BM17" s="372">
        <f>IF($BM$7="DSP",CS25,INDEX(ALPHA_DEUT!210:210,MATCH($BM$9,ALPHA_DEUT!$202:$202,0)))</f>
        <v>0</v>
      </c>
      <c r="BN17" s="372">
        <f>IF($BN$7="DSP",CT25,INDEX(ALPHA_DEUT!210:210,MATCH($BN$9,ALPHA_DEUT!$202:$202,0)))</f>
        <v>0</v>
      </c>
      <c r="BO17" s="372">
        <f>IF($BO$7="DSP",CU25,INDEX(ALPHA_DEUT!210:210,MATCH($BO$9,ALPHA_DEUT!$202:$202,0)))</f>
        <v>0</v>
      </c>
      <c r="BP17" s="372" t="e">
        <f>IF($BP$7="DSP",CV25,INDEX(ALPHA_DEUT!210:210,MATCH($BP$9,ALPHA_DEUT!$202:$202,0)))</f>
        <v>#N/A</v>
      </c>
      <c r="BQ17" s="372" t="e">
        <f>IF($BQ$7="DSP",CW25,INDEX(ALPHA_DEUT!210:210,MATCH($BQ$9,ALPHA_DEUT!$202:$202,0)))</f>
        <v>#N/A</v>
      </c>
      <c r="BR17"/>
      <c r="BS17"/>
      <c r="BT17"/>
      <c r="BU17"/>
      <c r="BV17"/>
      <c r="BW17"/>
      <c r="BX17"/>
      <c r="BZ17" s="324" t="str">
        <f>ALPHA_DEUT!Y123</f>
        <v>C40</v>
      </c>
      <c r="CB17" s="14" t="str">
        <f>ALPHA_DEUT!Y122</f>
        <v>C35</v>
      </c>
      <c r="CC17" s="320">
        <f>ALPHA_DEUT!Z122</f>
        <v>122</v>
      </c>
      <c r="CD17" s="14" t="str">
        <f>ALPHA_DEUT!AA122</f>
        <v>Nadel - Schnittholz</v>
      </c>
      <c r="CE17" s="345">
        <v>1</v>
      </c>
      <c r="CF17" s="345"/>
      <c r="CG17" s="345"/>
      <c r="CH17" s="320">
        <f t="shared" si="4"/>
        <v>1221</v>
      </c>
      <c r="CI17" s="320">
        <f t="shared" si="0"/>
        <v>1221</v>
      </c>
      <c r="CJ17" s="346">
        <f t="shared" si="1"/>
        <v>1221</v>
      </c>
      <c r="CK17" s="346">
        <f t="shared" si="2"/>
        <v>1221</v>
      </c>
      <c r="CL17" s="346">
        <f t="shared" si="3"/>
        <v>1221</v>
      </c>
      <c r="CN17" s="1488"/>
      <c r="CO17" s="1489"/>
      <c r="CP17" s="1489"/>
      <c r="CQ17" s="1489"/>
      <c r="CR17" s="1485"/>
      <c r="CS17" s="1486"/>
      <c r="CT17" s="1485"/>
      <c r="CU17" s="1486"/>
      <c r="CV17" s="1485"/>
      <c r="CW17" s="1486"/>
      <c r="CX17" s="1485"/>
      <c r="CY17" s="1494"/>
      <c r="CZ17" s="1486"/>
      <c r="DA17" s="1485"/>
      <c r="DB17" s="1494"/>
      <c r="DC17" s="1486"/>
      <c r="DD17" s="1485"/>
      <c r="DE17" s="1486"/>
      <c r="DF17" s="1485"/>
      <c r="DG17" s="1486"/>
      <c r="DI17" s="1470"/>
      <c r="DJ17" s="1470"/>
      <c r="DK17" s="1470"/>
      <c r="DL17" s="1470"/>
      <c r="DM17" s="1470"/>
      <c r="DN17" s="1470"/>
    </row>
    <row r="18" spans="1:118" ht="15" customHeight="1">
      <c r="A18" s="466"/>
      <c r="B18" s="466"/>
      <c r="D18" s="476" t="s">
        <v>1004</v>
      </c>
      <c r="E18" s="476">
        <v>20</v>
      </c>
      <c r="O18" s="468">
        <v>200</v>
      </c>
      <c r="P18" s="467"/>
      <c r="Q18" s="467"/>
      <c r="R18" s="467"/>
      <c r="S18" s="467"/>
      <c r="T18" s="467"/>
      <c r="U18" s="468">
        <v>200</v>
      </c>
      <c r="V18" s="466"/>
      <c r="W18" s="468">
        <v>200</v>
      </c>
      <c r="X18" s="467"/>
      <c r="Y18" s="468">
        <v>200</v>
      </c>
      <c r="AA18" s="466"/>
      <c r="AB18" s="472" t="s">
        <v>850</v>
      </c>
      <c r="AC18" s="466"/>
      <c r="AD18" s="466"/>
      <c r="AE18" s="466"/>
      <c r="AI18" s="466"/>
      <c r="AJ18" s="466"/>
      <c r="AK18" s="466"/>
      <c r="AL18" s="468">
        <v>500</v>
      </c>
      <c r="AM18" s="466"/>
      <c r="AN18" s="466"/>
      <c r="AO18" s="466"/>
      <c r="AP18" s="466"/>
      <c r="AQ18" s="466"/>
      <c r="AR18" s="466"/>
      <c r="AS18" s="466"/>
      <c r="AT18" s="466"/>
      <c r="AU18" s="466"/>
      <c r="AV18" s="466"/>
      <c r="AW18" s="466"/>
      <c r="AX18" s="466"/>
      <c r="AY18" s="169"/>
      <c r="AZ18" s="355" t="s">
        <v>157</v>
      </c>
      <c r="BA18" s="316" t="s">
        <v>833</v>
      </c>
      <c r="BB18" s="356">
        <f>BM44</f>
        <v>14</v>
      </c>
      <c r="BC18" s="356">
        <f>BN44</f>
        <v>19.2</v>
      </c>
      <c r="BD18" s="356">
        <f>BO44</f>
        <v>19.2</v>
      </c>
      <c r="BE18" s="356" t="e">
        <f>BP44</f>
        <v>#N/A</v>
      </c>
      <c r="BF18" s="356" t="e">
        <f>BQ44</f>
        <v>#N/A</v>
      </c>
      <c r="BG18"/>
      <c r="BH18"/>
      <c r="BI18"/>
      <c r="BJ18" s="330">
        <v>13</v>
      </c>
      <c r="BK18" s="4" t="str">
        <f>ALPHA_DEUT!AI211</f>
        <v>Querdruck ^ - mit Vorholz</v>
      </c>
      <c r="BL18" s="40" t="str">
        <f>ALPHA_DEUT!AJ211</f>
        <v>fc,90,k [N/mm2]</v>
      </c>
      <c r="BM18" s="372">
        <f>IF($BM$7="DSP",CS26,INDEX(ALPHA_DEUT!211:211,MATCH($BM$9,ALPHA_DEUT!$202:$202,0)))</f>
        <v>0</v>
      </c>
      <c r="BN18" s="372">
        <f>IF($BN$7="DSP",CT26,INDEX(ALPHA_DEUT!211:211,MATCH($BN$9,ALPHA_DEUT!$202:$202,0)))</f>
        <v>0</v>
      </c>
      <c r="BO18" s="372">
        <f>IF($BO$7="DSP",CU26,INDEX(ALPHA_DEUT!211:211,MATCH($BO$9,ALPHA_DEUT!$202:$202,0)))</f>
        <v>0</v>
      </c>
      <c r="BP18" s="372" t="e">
        <f>IF($BP$7="DSP",CV26,INDEX(ALPHA_DEUT!211:211,MATCH($BP$9,ALPHA_DEUT!$202:$202,0)))</f>
        <v>#N/A</v>
      </c>
      <c r="BQ18" s="372" t="e">
        <f>IF($BQ$7="DSP",CW26,INDEX(ALPHA_DEUT!211:211,MATCH($BQ$9,ALPHA_DEUT!$202:$202,0)))</f>
        <v>#N/A</v>
      </c>
      <c r="BR18"/>
      <c r="BS18" s="321" t="s">
        <v>485</v>
      </c>
      <c r="BT18" s="322"/>
      <c r="BU18" s="322"/>
      <c r="BV18" s="322"/>
      <c r="BW18" s="322"/>
      <c r="BX18" s="334"/>
      <c r="BZ18" s="324" t="str">
        <f>ALPHA_DEUT!Y124</f>
        <v>C45</v>
      </c>
      <c r="CB18" s="14" t="str">
        <f>ALPHA_DEUT!Y123</f>
        <v>C40</v>
      </c>
      <c r="CC18" s="320">
        <f>ALPHA_DEUT!Z123</f>
        <v>123</v>
      </c>
      <c r="CD18" s="14" t="str">
        <f>ALPHA_DEUT!AA123</f>
        <v>Nadel - Schnittholz</v>
      </c>
      <c r="CE18" s="345">
        <v>1</v>
      </c>
      <c r="CF18" s="345"/>
      <c r="CG18" s="345"/>
      <c r="CH18" s="320">
        <f t="shared" si="4"/>
        <v>1231</v>
      </c>
      <c r="CI18" s="320">
        <f t="shared" si="0"/>
        <v>1231</v>
      </c>
      <c r="CJ18" s="346">
        <f t="shared" si="1"/>
        <v>1231</v>
      </c>
      <c r="CK18" s="346">
        <f t="shared" si="2"/>
        <v>1231</v>
      </c>
      <c r="CL18" s="346">
        <f t="shared" si="3"/>
        <v>1231</v>
      </c>
      <c r="CN18" s="1488"/>
      <c r="CO18" s="1489"/>
      <c r="CP18" s="1489"/>
      <c r="CQ18" s="1489"/>
      <c r="CR18" s="382" t="s">
        <v>570</v>
      </c>
      <c r="CS18" s="383" t="s">
        <v>584</v>
      </c>
      <c r="CT18" s="382" t="s">
        <v>572</v>
      </c>
      <c r="CU18" s="383" t="s">
        <v>585</v>
      </c>
      <c r="CV18" s="382" t="s">
        <v>570</v>
      </c>
      <c r="CW18" s="383" t="s">
        <v>584</v>
      </c>
      <c r="CX18" s="382" t="s">
        <v>574</v>
      </c>
      <c r="CY18" s="383" t="s">
        <v>586</v>
      </c>
      <c r="CZ18" s="383" t="s">
        <v>587</v>
      </c>
      <c r="DA18" s="382" t="s">
        <v>577</v>
      </c>
      <c r="DB18" s="383" t="s">
        <v>588</v>
      </c>
      <c r="DC18" s="383" t="s">
        <v>589</v>
      </c>
      <c r="DD18" s="382" t="s">
        <v>580</v>
      </c>
      <c r="DE18" s="383" t="s">
        <v>590</v>
      </c>
      <c r="DF18" s="382" t="s">
        <v>582</v>
      </c>
      <c r="DG18" s="383" t="s">
        <v>591</v>
      </c>
      <c r="DI18" s="384"/>
      <c r="DJ18" s="384"/>
      <c r="DK18" s="384"/>
      <c r="DL18" s="384"/>
      <c r="DM18" s="384"/>
      <c r="DN18" s="384"/>
    </row>
    <row r="19" spans="1:118" ht="15" customHeight="1">
      <c r="A19" s="466"/>
      <c r="B19" s="466"/>
      <c r="D19" s="476" t="s">
        <v>1003</v>
      </c>
      <c r="E19" s="476">
        <v>40</v>
      </c>
      <c r="O19" s="468"/>
      <c r="P19" s="467"/>
      <c r="Q19" s="467"/>
      <c r="R19" s="467"/>
      <c r="S19" s="467"/>
      <c r="T19" s="467"/>
      <c r="U19" s="468">
        <v>220</v>
      </c>
      <c r="V19" s="466"/>
      <c r="W19" s="468">
        <v>220</v>
      </c>
      <c r="X19" s="467"/>
      <c r="Y19" s="468">
        <v>220</v>
      </c>
      <c r="AA19" s="466"/>
      <c r="AB19" s="466"/>
      <c r="AC19" s="466"/>
      <c r="AD19" s="466"/>
      <c r="AE19" s="466"/>
      <c r="AF19" s="466"/>
      <c r="AG19" s="466"/>
      <c r="AH19" s="466"/>
      <c r="AI19" s="466"/>
      <c r="AJ19" s="466"/>
      <c r="AK19" s="466"/>
      <c r="AL19" s="466"/>
      <c r="AM19" s="466"/>
      <c r="AN19" s="466"/>
      <c r="AO19" s="466"/>
      <c r="AP19" s="466"/>
      <c r="AQ19" s="466"/>
      <c r="AR19" s="466"/>
      <c r="AS19" s="466"/>
      <c r="AT19" s="466"/>
      <c r="AU19" s="466"/>
      <c r="AV19" s="466"/>
      <c r="AW19" s="466"/>
      <c r="AX19" s="466"/>
      <c r="AY19" s="169"/>
      <c r="AZ19" s="355" t="s">
        <v>839</v>
      </c>
      <c r="BA19" s="316" t="s">
        <v>840</v>
      </c>
      <c r="BB19" s="356">
        <f>BM45</f>
        <v>0.4</v>
      </c>
      <c r="BC19" s="356">
        <f t="shared" ref="BC19:BF22" si="6">BN45</f>
        <v>0.5</v>
      </c>
      <c r="BD19" s="356">
        <f t="shared" si="6"/>
        <v>0.5</v>
      </c>
      <c r="BE19" s="356" t="e">
        <f t="shared" si="6"/>
        <v>#N/A</v>
      </c>
      <c r="BF19" s="356" t="e">
        <f t="shared" si="6"/>
        <v>#N/A</v>
      </c>
      <c r="BG19"/>
      <c r="BH19"/>
      <c r="BI19"/>
      <c r="BJ19" s="330">
        <v>14</v>
      </c>
      <c r="BK19" s="4" t="str">
        <f>ALPHA_DEUT!AI212</f>
        <v>Querdruck ^ - Endauflagerung</v>
      </c>
      <c r="BL19" s="40" t="str">
        <f>ALPHA_DEUT!AJ212</f>
        <v>fc,90,k [N/mm2]</v>
      </c>
      <c r="BM19" s="372">
        <f>IF($BM$7="DSP",CS27,INDEX(ALPHA_DEUT!212:212,MATCH($BM$9,ALPHA_DEUT!$202:$202,0)))</f>
        <v>0</v>
      </c>
      <c r="BN19" s="372">
        <f>IF($BN$7="DSP",CT27,INDEX(ALPHA_DEUT!212:212,MATCH($BN$9,ALPHA_DEUT!$202:$202,0)))</f>
        <v>0</v>
      </c>
      <c r="BO19" s="372">
        <f>IF($BO$7="DSP",CU27,INDEX(ALPHA_DEUT!212:212,MATCH($BO$9,ALPHA_DEUT!$202:$202,0)))</f>
        <v>0</v>
      </c>
      <c r="BP19" s="372" t="e">
        <f>IF($BP$7="DSP",CV27,INDEX(ALPHA_DEUT!212:212,MATCH($BP$9,ALPHA_DEUT!$202:$202,0)))</f>
        <v>#N/A</v>
      </c>
      <c r="BQ19" s="372" t="e">
        <f>IF($BQ$7="DSP",CW27,INDEX(ALPHA_DEUT!212:212,MATCH($BQ$9,ALPHA_DEUT!$202:$202,0)))</f>
        <v>#N/A</v>
      </c>
      <c r="BR19"/>
      <c r="BS19" s="319" t="s">
        <v>113</v>
      </c>
      <c r="BT19" s="337" t="s">
        <v>473</v>
      </c>
      <c r="BU19" s="337" t="s">
        <v>474</v>
      </c>
      <c r="BV19" s="337" t="s">
        <v>49</v>
      </c>
      <c r="BW19" s="337" t="s">
        <v>475</v>
      </c>
      <c r="BX19" s="338" t="s">
        <v>486</v>
      </c>
      <c r="BZ19" s="324" t="str">
        <f>ALPHA_DEUT!Y125</f>
        <v>C50</v>
      </c>
      <c r="CB19" s="14" t="str">
        <f>ALPHA_DEUT!Y124</f>
        <v>C45</v>
      </c>
      <c r="CC19" s="320">
        <f>ALPHA_DEUT!Z124</f>
        <v>124</v>
      </c>
      <c r="CD19" s="14" t="str">
        <f>ALPHA_DEUT!AA124</f>
        <v>Nadel - Schnittholz</v>
      </c>
      <c r="CE19" s="345">
        <v>1</v>
      </c>
      <c r="CF19" s="345"/>
      <c r="CG19" s="345"/>
      <c r="CH19" s="320">
        <f t="shared" si="4"/>
        <v>1241</v>
      </c>
      <c r="CI19" s="320">
        <f t="shared" si="0"/>
        <v>1241</v>
      </c>
      <c r="CJ19" s="346">
        <f t="shared" si="1"/>
        <v>1241</v>
      </c>
      <c r="CK19" s="346">
        <f t="shared" si="2"/>
        <v>1241</v>
      </c>
      <c r="CL19" s="346">
        <f t="shared" si="3"/>
        <v>1241</v>
      </c>
      <c r="CN19" s="1488"/>
      <c r="CO19" s="385" t="s">
        <v>562</v>
      </c>
      <c r="CP19" s="385" t="s">
        <v>562</v>
      </c>
      <c r="CQ19" s="385" t="s">
        <v>562</v>
      </c>
      <c r="CR19" s="1487" t="s">
        <v>592</v>
      </c>
      <c r="CS19" s="1487"/>
      <c r="CT19" s="1487"/>
      <c r="CU19" s="1487"/>
      <c r="CV19" s="1487"/>
      <c r="CW19" s="1487"/>
      <c r="CX19" s="1490" t="s">
        <v>592</v>
      </c>
      <c r="CY19" s="1490"/>
      <c r="CZ19" s="1490"/>
      <c r="DA19" s="1490"/>
      <c r="DB19" s="1490"/>
      <c r="DC19" s="1490"/>
      <c r="DD19" s="1487" t="s">
        <v>592</v>
      </c>
      <c r="DE19" s="1487"/>
      <c r="DF19" s="1487"/>
      <c r="DG19" s="1487"/>
      <c r="DI19" s="386" t="s">
        <v>563</v>
      </c>
      <c r="DJ19" s="386" t="s">
        <v>564</v>
      </c>
      <c r="DK19" s="386" t="s">
        <v>565</v>
      </c>
      <c r="DL19" s="386" t="s">
        <v>566</v>
      </c>
      <c r="DM19" s="386" t="s">
        <v>567</v>
      </c>
      <c r="DN19" s="386" t="s">
        <v>568</v>
      </c>
    </row>
    <row r="20" spans="1:118" ht="15" customHeight="1">
      <c r="A20" s="466"/>
      <c r="B20" s="466"/>
      <c r="O20" s="468"/>
      <c r="P20" s="467"/>
      <c r="Q20" s="467"/>
      <c r="R20" s="467"/>
      <c r="S20" s="467"/>
      <c r="T20" s="467"/>
      <c r="U20" s="468">
        <v>240</v>
      </c>
      <c r="V20" s="466"/>
      <c r="W20" s="468">
        <v>240</v>
      </c>
      <c r="X20" s="467"/>
      <c r="Y20" s="468">
        <v>240</v>
      </c>
      <c r="AA20" s="466"/>
      <c r="AB20" s="466"/>
      <c r="AC20" s="466"/>
      <c r="AD20" s="466"/>
      <c r="AE20" s="466"/>
      <c r="AF20" s="466"/>
      <c r="AG20" s="466"/>
      <c r="AH20" s="466"/>
      <c r="AI20" s="466"/>
      <c r="AJ20" s="466"/>
      <c r="AK20" s="466"/>
      <c r="AL20" s="466"/>
      <c r="AM20" s="466"/>
      <c r="AN20" s="466"/>
      <c r="AO20" s="466"/>
      <c r="AP20" s="466"/>
      <c r="AQ20" s="466"/>
      <c r="AR20" s="466"/>
      <c r="AS20" s="466"/>
      <c r="AT20" s="466"/>
      <c r="AU20" s="466"/>
      <c r="AV20" s="466"/>
      <c r="AW20" s="466"/>
      <c r="AX20" s="466"/>
      <c r="AY20" s="169"/>
      <c r="AZ20" s="355" t="s">
        <v>10</v>
      </c>
      <c r="BA20" s="316" t="s">
        <v>834</v>
      </c>
      <c r="BB20" s="356">
        <f>BM46</f>
        <v>21</v>
      </c>
      <c r="BC20" s="356">
        <f t="shared" si="6"/>
        <v>24</v>
      </c>
      <c r="BD20" s="356">
        <f t="shared" si="6"/>
        <v>24</v>
      </c>
      <c r="BE20" s="356" t="e">
        <f t="shared" si="6"/>
        <v>#N/A</v>
      </c>
      <c r="BF20" s="356" t="e">
        <f t="shared" si="6"/>
        <v>#N/A</v>
      </c>
      <c r="BG20"/>
      <c r="BH20"/>
      <c r="BI20"/>
      <c r="BJ20" s="330">
        <v>15</v>
      </c>
      <c r="BK20" s="4" t="str">
        <f>ALPHA_DEUT!AI213</f>
        <v>Schub</v>
      </c>
      <c r="BL20" s="40" t="str">
        <f>ALPHA_DEUT!AJ213</f>
        <v>fv,k [N/mm2]</v>
      </c>
      <c r="BM20" s="372">
        <f>IF($BM$7="DSP",CS28,INDEX(ALPHA_DEUT!213:213,MATCH($BM$9,ALPHA_DEUT!$202:$202,0)))</f>
        <v>4</v>
      </c>
      <c r="BN20" s="372">
        <f>IF($BN$7="DSP",CT28,INDEX(ALPHA_DEUT!213:213,MATCH($BN$9,ALPHA_DEUT!$202:$202,0)))</f>
        <v>3.5</v>
      </c>
      <c r="BO20" s="372">
        <f>IF($BO$7="DSP",CU28,INDEX(ALPHA_DEUT!213:213,MATCH($BO$9,ALPHA_DEUT!$202:$202,0)))</f>
        <v>3.5</v>
      </c>
      <c r="BP20" s="372" t="e">
        <f>IF($BP$7="DSP",CV28,INDEX(ALPHA_DEUT!213:213,MATCH($BP$9,ALPHA_DEUT!$202:$202,0)))</f>
        <v>#N/A</v>
      </c>
      <c r="BQ20" s="372" t="e">
        <f>IF($BQ$7="DSP",CW28,INDEX(ALPHA_DEUT!213:213,MATCH($BQ$9,ALPHA_DEUT!$202:$202,0)))</f>
        <v>#N/A</v>
      </c>
      <c r="BR20"/>
      <c r="BS20" s="319" t="str">
        <f>MAT.3</f>
        <v>OSB/3</v>
      </c>
      <c r="BT20" s="327" t="e">
        <f>INDEX(#REF!,MATCH(MAT.3,#REF!,0))</f>
        <v>#REF!</v>
      </c>
      <c r="BU20" s="323" t="e">
        <f>INDEX(#REF!,MATCH(BT20,#REF!,0))</f>
        <v>#REF!</v>
      </c>
      <c r="BV20" s="319" t="e">
        <f>INDEX(#REF!,MATCH(AC14,#REF!,0))</f>
        <v>#REF!</v>
      </c>
      <c r="BW20" s="323" t="e">
        <f>VALUE(BU20&amp;INDEX(#REF!,MATCH(AC14,#REF!,0)))</f>
        <v>#REF!</v>
      </c>
      <c r="BX20" s="325" t="e">
        <f>INDEX(#REF!,MATCH(BW20,#REF!,0))</f>
        <v>#REF!</v>
      </c>
      <c r="BZ20" s="324" t="str">
        <f>ALPHA_DEUT!Y126</f>
        <v>D18</v>
      </c>
      <c r="CB20" s="14" t="str">
        <f>ALPHA_DEUT!Y125</f>
        <v>C50</v>
      </c>
      <c r="CC20" s="320">
        <f>ALPHA_DEUT!Z125</f>
        <v>125</v>
      </c>
      <c r="CD20" s="14" t="str">
        <f>ALPHA_DEUT!AA125</f>
        <v>Nadel - Schnittholz</v>
      </c>
      <c r="CE20" s="345">
        <v>1</v>
      </c>
      <c r="CF20" s="345"/>
      <c r="CG20" s="345"/>
      <c r="CH20" s="320">
        <f t="shared" si="4"/>
        <v>1251</v>
      </c>
      <c r="CI20" s="320">
        <f t="shared" si="0"/>
        <v>1251</v>
      </c>
      <c r="CJ20" s="346">
        <f t="shared" si="1"/>
        <v>1251</v>
      </c>
      <c r="CK20" s="346">
        <f t="shared" si="2"/>
        <v>1251</v>
      </c>
      <c r="CL20" s="346">
        <f t="shared" si="3"/>
        <v>1251</v>
      </c>
      <c r="CN20" s="387" t="s">
        <v>477</v>
      </c>
      <c r="CO20" s="388">
        <v>27</v>
      </c>
      <c r="CP20" s="410">
        <f>t.DL.1</f>
        <v>9</v>
      </c>
      <c r="CQ20" s="410">
        <f>CO20-2*CP20</f>
        <v>9</v>
      </c>
      <c r="CR20" s="389">
        <f>DI20*DSP.E.0.mean</f>
        <v>10592.592592592593</v>
      </c>
      <c r="CS20" s="390" t="e">
        <f>k.sys*n.mod.1/g.M.1*DI20*DSP.f.m0k</f>
        <v>#REF!</v>
      </c>
      <c r="CT20" s="389">
        <f>DSP.E.0.mean*DJ20</f>
        <v>407.40740740740739</v>
      </c>
      <c r="CU20" s="390" t="e">
        <f>k.sys*n.mod.1/g.M.1*DJ20*DSP.f.m0k</f>
        <v>#REF!</v>
      </c>
      <c r="CV20" s="389">
        <f>DM20*DSP.E.0.mean</f>
        <v>7333.3333333333339</v>
      </c>
      <c r="CW20" s="390" t="e">
        <f>k.sys*n.mod.1/g.M.1*DK20*DSP.f.m0k</f>
        <v>#REF!</v>
      </c>
      <c r="CX20" s="389">
        <f>DK20*DSP.E.0.mean</f>
        <v>7333.3333333333339</v>
      </c>
      <c r="CY20" s="390" t="e">
        <f>n.mod.1/g.M.1*DM20*DSP.f.t0k</f>
        <v>#REF!</v>
      </c>
      <c r="CZ20" s="390" t="e">
        <f>n.mod.1/g.M.1*DM20*DSP.f.c0k</f>
        <v>#REF!</v>
      </c>
      <c r="DA20" s="389">
        <f>DN20*DSP.E.0.mean</f>
        <v>3666.6666666666665</v>
      </c>
      <c r="DB20" s="390" t="e">
        <f>n.mod.1/g.M.1*DN20*DSP.f.t0k</f>
        <v>#REF!</v>
      </c>
      <c r="DC20" s="390" t="e">
        <f>n.mod.1/g.M.1*DN20*DSP.f.c0k</f>
        <v>#REF!</v>
      </c>
      <c r="DD20" s="389">
        <f>DSP.G.0.mean</f>
        <v>690</v>
      </c>
      <c r="DE20" s="390" t="e">
        <f>k.sys*n.mod.1/g.M.1*3.5</f>
        <v>#REF!</v>
      </c>
      <c r="DF20" s="389">
        <f>DSP.G.R.man</f>
        <v>69</v>
      </c>
      <c r="DG20" s="390" t="e">
        <f>k.sys*n.mod.1/g.M.1*DSP.f.vRk</f>
        <v>#REF!</v>
      </c>
      <c r="DI20" s="384">
        <f>1-(1-DSP.E.90.mean/DSP.E.0.mean)*CQ20^3/CO20^3</f>
        <v>0.96296296296296302</v>
      </c>
      <c r="DJ20" s="384">
        <f>DSP.E.90.mean/DSP.E.0.mean+(1-DSP.E.90.mean/DSP.E.0.mean)*CQ20^3/CO20^3</f>
        <v>3.7037037037037035E-2</v>
      </c>
      <c r="DK20" s="384">
        <f>1-(1-DSP.E.90.mean/DSP.E.0.mean)*CQ20/CO20</f>
        <v>0.66666666666666674</v>
      </c>
      <c r="DL20" s="384">
        <f>DSP.E.90.mean/DSP.E.0.mean+(1-DSP.E.90.mean/DSP.E.0.mean)*CQ20/CO20</f>
        <v>0.33333333333333331</v>
      </c>
      <c r="DM20" s="384">
        <f>1-(1-DSP.E.90.mean/DSP.E.0.mean)*CQ20/CO20</f>
        <v>0.66666666666666674</v>
      </c>
      <c r="DN20" s="384">
        <f>DSP.E.90.mean/DSP.E.0.mean+(1-DSP.E.90.mean/DSP.E.0.mean)*CQ20/CO20</f>
        <v>0.33333333333333331</v>
      </c>
    </row>
    <row r="21" spans="1:118" ht="15" customHeight="1">
      <c r="A21" s="466"/>
      <c r="B21" s="466"/>
      <c r="O21" s="468"/>
      <c r="P21" s="467"/>
      <c r="Q21" s="467"/>
      <c r="R21" s="467"/>
      <c r="S21" s="467"/>
      <c r="T21" s="467"/>
      <c r="U21" s="468"/>
      <c r="V21" s="466"/>
      <c r="W21" s="468">
        <v>280</v>
      </c>
      <c r="X21" s="466"/>
      <c r="Y21" s="468">
        <v>280</v>
      </c>
      <c r="AA21" s="466"/>
      <c r="AB21" s="466"/>
      <c r="AC21" s="466"/>
      <c r="AD21" s="466"/>
      <c r="AE21" s="466"/>
      <c r="AF21" s="466"/>
      <c r="AG21" s="466"/>
      <c r="AH21" s="466"/>
      <c r="AI21" s="466"/>
      <c r="AJ21" s="466"/>
      <c r="AK21" s="466"/>
      <c r="AL21" s="491" t="s">
        <v>1584</v>
      </c>
      <c r="AM21" s="466"/>
      <c r="AN21" s="466"/>
      <c r="AO21" s="466"/>
      <c r="AP21" s="466"/>
      <c r="AQ21" s="466"/>
      <c r="AR21" s="466"/>
      <c r="AS21" s="466"/>
      <c r="AT21" s="466"/>
      <c r="AU21" s="466"/>
      <c r="AV21" s="466"/>
      <c r="AW21" s="466"/>
      <c r="AX21" s="466"/>
      <c r="AY21" s="169"/>
      <c r="AZ21" s="355" t="s">
        <v>841</v>
      </c>
      <c r="BA21" s="316" t="s">
        <v>842</v>
      </c>
      <c r="BB21" s="356">
        <f>BM47</f>
        <v>2.5</v>
      </c>
      <c r="BC21" s="356">
        <f t="shared" si="6"/>
        <v>2.5</v>
      </c>
      <c r="BD21" s="356">
        <f t="shared" si="6"/>
        <v>2.5</v>
      </c>
      <c r="BE21" s="356" t="e">
        <f t="shared" si="6"/>
        <v>#N/A</v>
      </c>
      <c r="BF21" s="356" t="e">
        <f t="shared" si="6"/>
        <v>#N/A</v>
      </c>
      <c r="BG21"/>
      <c r="BH21"/>
      <c r="BI21"/>
      <c r="BJ21" s="330">
        <v>16</v>
      </c>
      <c r="BK21" s="4" t="str">
        <f>ALPHA_DEUT!AI214</f>
        <v>Abscheren</v>
      </c>
      <c r="BL21" s="40" t="str">
        <f>ALPHA_DEUT!AJ214</f>
        <v>fA,k [N/mm2]</v>
      </c>
      <c r="BM21" s="372">
        <f>IF($BM$7="DSP",CS29,INDEX(ALPHA_DEUT!214:214,MATCH($BM$9,ALPHA_DEUT!$202:$202,0)))</f>
        <v>0</v>
      </c>
      <c r="BN21" s="372">
        <f>IF($BN$7="DSP",CT29,INDEX(ALPHA_DEUT!214:214,MATCH($BN$9,ALPHA_DEUT!$202:$202,0)))</f>
        <v>0</v>
      </c>
      <c r="BO21" s="372">
        <f>IF($BO$7="DSP",CU29,INDEX(ALPHA_DEUT!214:214,MATCH($BO$9,ALPHA_DEUT!$202:$202,0)))</f>
        <v>0</v>
      </c>
      <c r="BP21" s="372" t="e">
        <f>IF($BP$7="DSP",CV29,INDEX(ALPHA_DEUT!214:214,MATCH($BP$9,ALPHA_DEUT!$202:$202,0)))</f>
        <v>#N/A</v>
      </c>
      <c r="BQ21" s="372" t="e">
        <f>IF($BQ$7="DSP",CW29,INDEX(ALPHA_DEUT!214:214,MATCH($BQ$9,ALPHA_DEUT!$202:$202,0)))</f>
        <v>#N/A</v>
      </c>
      <c r="BR21"/>
      <c r="BS21" s="326" t="s">
        <v>467</v>
      </c>
      <c r="BT21" s="324" t="s">
        <v>466</v>
      </c>
      <c r="BU21" s="324" t="s">
        <v>468</v>
      </c>
      <c r="BV21" s="323" t="s">
        <v>481</v>
      </c>
      <c r="BW21" s="327" t="s">
        <v>476</v>
      </c>
      <c r="BX21"/>
      <c r="BZ21" s="324" t="str">
        <f>ALPHA_DEUT!Y127</f>
        <v>D24</v>
      </c>
      <c r="CB21" s="14" t="str">
        <f>ALPHA_DEUT!Y126</f>
        <v>D18</v>
      </c>
      <c r="CC21" s="320">
        <f>ALPHA_DEUT!Z126</f>
        <v>126</v>
      </c>
      <c r="CD21" s="14" t="str">
        <f>ALPHA_DEUT!AA126</f>
        <v>Laub - Schnittholz</v>
      </c>
      <c r="CE21" s="345">
        <v>1</v>
      </c>
      <c r="CF21" s="345"/>
      <c r="CG21" s="345"/>
      <c r="CH21" s="320">
        <f t="shared" si="4"/>
        <v>1261</v>
      </c>
      <c r="CI21" s="320">
        <f t="shared" si="0"/>
        <v>1261</v>
      </c>
      <c r="CJ21" s="346">
        <f t="shared" si="1"/>
        <v>1261</v>
      </c>
      <c r="CK21" s="346">
        <f t="shared" si="2"/>
        <v>1261</v>
      </c>
      <c r="CL21" s="346">
        <f t="shared" si="3"/>
        <v>1261</v>
      </c>
      <c r="CN21" s="391" t="s">
        <v>478</v>
      </c>
      <c r="CO21" s="392">
        <v>27</v>
      </c>
      <c r="CP21" s="411">
        <f>t.DL.2</f>
        <v>2</v>
      </c>
      <c r="CQ21" s="411">
        <f>CO21-2*CP21</f>
        <v>23</v>
      </c>
      <c r="CR21" s="393">
        <f>DI21*DSP.E.0.mean</f>
        <v>4200.3759589493466</v>
      </c>
      <c r="CS21" s="394" t="e">
        <f>k.sys*n.mod.2/g.M.2*DI21*DSP.f.m0k</f>
        <v>#REF!</v>
      </c>
      <c r="CT21" s="393">
        <f>DSP.E.0.mean*DJ21</f>
        <v>6799.6240410506534</v>
      </c>
      <c r="CU21" s="394" t="e">
        <f>k.sys*n.mod.2/g.M.2*DJ21*DSP.f.m0k</f>
        <v>#REF!</v>
      </c>
      <c r="CV21" s="393">
        <f>DM21*DSP.E.0.mean</f>
        <v>1629.6296296296296</v>
      </c>
      <c r="CW21" s="394" t="e">
        <f>k.sys*n.mod.2/g.M.2*DK21*DSP.f.m0k</f>
        <v>#REF!</v>
      </c>
      <c r="CX21" s="393">
        <f>DK21*DSP.E.0.mean</f>
        <v>1629.6296296296296</v>
      </c>
      <c r="CY21" s="394" t="e">
        <f>n.mod.2/g.M.2*DM21*DSP.f.t0k</f>
        <v>#REF!</v>
      </c>
      <c r="CZ21" s="394" t="e">
        <f>n.mod.2/g.M.2*DM21*DSP.f.c0k</f>
        <v>#REF!</v>
      </c>
      <c r="DA21" s="393">
        <f>DN21*DSP.E.0.mean</f>
        <v>9370.3703703703704</v>
      </c>
      <c r="DB21" s="394" t="e">
        <f>n.mod.2/g.M.2*DN21*DSP.f.t0k</f>
        <v>#REF!</v>
      </c>
      <c r="DC21" s="394" t="e">
        <f>n.mod.2/g.M.2*DN21*DSP.f.c0k</f>
        <v>#REF!</v>
      </c>
      <c r="DD21" s="393">
        <f>DSP.G.0.mean</f>
        <v>690</v>
      </c>
      <c r="DE21" s="394" t="e">
        <f>k.sys*n.mod.2/g.M.2*3.5</f>
        <v>#REF!</v>
      </c>
      <c r="DF21" s="393">
        <f>DSP.G.R.man</f>
        <v>69</v>
      </c>
      <c r="DG21" s="394" t="e">
        <f>k.sys*n.mod.2/g.M.2*DSP.f.vRk</f>
        <v>#REF!</v>
      </c>
      <c r="DI21" s="384">
        <f>1-(1-DSP.E.90.mean/DSP.E.0.mean)*CQ21^3/CO21^3</f>
        <v>0.38185235990448607</v>
      </c>
      <c r="DJ21" s="384">
        <f>DSP.E.90.mean/DSP.E.0.mean+(1-DSP.E.90.mean/DSP.E.0.mean)*CQ21^3/CO21^3</f>
        <v>0.61814764009551393</v>
      </c>
      <c r="DK21" s="384">
        <f>1-(1-DSP.E.90.mean/DSP.E.0.mean)*CQ21/CO21</f>
        <v>0.14814814814814814</v>
      </c>
      <c r="DL21" s="384">
        <f>DSP.E.90.mean/DSP.E.0.mean+(1-DSP.E.90.mean/DSP.E.0.mean)*CQ21/CO21</f>
        <v>0.85185185185185186</v>
      </c>
      <c r="DM21" s="384">
        <f>1-(1-DSP.E.90.mean/DSP.E.0.mean)*CQ21/CO21</f>
        <v>0.14814814814814814</v>
      </c>
      <c r="DN21" s="384">
        <f>DSP.E.90.mean/DSP.E.0.mean+(1-DSP.E.90.mean/DSP.E.0.mean)*CQ21/CO21</f>
        <v>0.85185185185185186</v>
      </c>
    </row>
    <row r="22" spans="1:118" ht="15" customHeight="1">
      <c r="A22" s="466"/>
      <c r="B22" s="466"/>
      <c r="O22" s="468"/>
      <c r="P22" s="467"/>
      <c r="Q22" s="467"/>
      <c r="R22" s="467"/>
      <c r="S22" s="467"/>
      <c r="T22" s="467"/>
      <c r="U22" s="468"/>
      <c r="V22" s="466"/>
      <c r="W22" s="466"/>
      <c r="X22" s="466"/>
      <c r="Y22" s="468">
        <v>320</v>
      </c>
      <c r="AA22" s="466"/>
      <c r="AB22" s="466" t="s">
        <v>845</v>
      </c>
      <c r="AC22" s="466"/>
      <c r="AD22" s="466"/>
      <c r="AE22" s="466"/>
      <c r="AF22" s="466"/>
      <c r="AG22" s="466"/>
      <c r="AH22" s="466"/>
      <c r="AI22" s="466"/>
      <c r="AJ22" s="466"/>
      <c r="AK22" s="466"/>
      <c r="AL22" s="466"/>
      <c r="AM22" s="466"/>
      <c r="AN22" s="466"/>
      <c r="AO22" s="466"/>
      <c r="AP22" s="466"/>
      <c r="AQ22" s="466"/>
      <c r="AR22" s="466"/>
      <c r="AS22" s="466"/>
      <c r="AT22" s="466"/>
      <c r="AU22" s="466"/>
      <c r="AV22" s="466"/>
      <c r="AW22" s="466"/>
      <c r="AX22" s="466"/>
      <c r="AY22" s="169"/>
      <c r="AZ22" s="355" t="s">
        <v>522</v>
      </c>
      <c r="BA22" s="316" t="s">
        <v>835</v>
      </c>
      <c r="BB22" s="356">
        <f>BM48</f>
        <v>4</v>
      </c>
      <c r="BC22" s="356">
        <f t="shared" si="6"/>
        <v>3.5</v>
      </c>
      <c r="BD22" s="356">
        <f t="shared" si="6"/>
        <v>3.5</v>
      </c>
      <c r="BE22" s="356" t="e">
        <f t="shared" si="6"/>
        <v>#N/A</v>
      </c>
      <c r="BF22" s="356" t="e">
        <f t="shared" si="6"/>
        <v>#N/A</v>
      </c>
      <c r="BG22"/>
      <c r="BH22"/>
      <c r="BI22"/>
      <c r="BJ22" s="330">
        <v>17</v>
      </c>
      <c r="BK22" s="4" t="str">
        <f>ALPHA_DEUT!AI215</f>
        <v>Rollschub</v>
      </c>
      <c r="BL22" s="40" t="str">
        <f>ALPHA_DEUT!AJ215</f>
        <v>fR,k [N/mm2]</v>
      </c>
      <c r="BM22" s="372">
        <f>IF($BM$7="DSP",CS30,INDEX(ALPHA_DEUT!215:215,MATCH($BM$9,ALPHA_DEUT!$202:$202,0)))</f>
        <v>1</v>
      </c>
      <c r="BN22" s="372">
        <f>IF($BN$7="DSP",CT30,INDEX(ALPHA_DEUT!215:215,MATCH($BN$9,ALPHA_DEUT!$202:$202,0)))</f>
        <v>1.2</v>
      </c>
      <c r="BO22" s="372">
        <f>IF($BO$7="DSP",CU30,INDEX(ALPHA_DEUT!215:215,MATCH($BO$9,ALPHA_DEUT!$202:$202,0)))</f>
        <v>1.2</v>
      </c>
      <c r="BP22" s="372" t="e">
        <f>IF($BP$7="DSP",CV30,INDEX(ALPHA_DEUT!215:215,MATCH($BP$9,ALPHA_DEUT!$202:$202,0)))</f>
        <v>#N/A</v>
      </c>
      <c r="BQ22" s="372" t="e">
        <f>IF($BQ$7="DSP",CW30,INDEX(ALPHA_DEUT!215:215,MATCH($BQ$9,ALPHA_DEUT!$202:$202,0)))</f>
        <v>#N/A</v>
      </c>
      <c r="BR22"/>
      <c r="BS22" s="323" t="e">
        <f>#REF!</f>
        <v>#REF!</v>
      </c>
      <c r="BT22" s="325" t="e">
        <f>INDEX(#REF!,MATCH(BT20,#REF!,0))</f>
        <v>#REF!</v>
      </c>
      <c r="BU22" s="325" t="e">
        <f>VLOOKUP(BW20,#REF!,VALUE(1+MATCH(BS22,#REF!,0)),FALSE)</f>
        <v>#REF!</v>
      </c>
      <c r="BV22" s="325" t="e">
        <f>n.mod.3/g.M.3</f>
        <v>#REF!</v>
      </c>
      <c r="BW22" s="325" t="e">
        <f>INDEX(#REF!,MATCH(BW20,#REF!,0))</f>
        <v>#REF!</v>
      </c>
      <c r="BX22"/>
      <c r="BZ22" s="324" t="str">
        <f>ALPHA_DEUT!Y128</f>
        <v>D30 Eiche/Ahorn</v>
      </c>
      <c r="CB22" s="14" t="str">
        <f>ALPHA_DEUT!Y127</f>
        <v>D24</v>
      </c>
      <c r="CC22" s="320">
        <f>ALPHA_DEUT!Z127</f>
        <v>127</v>
      </c>
      <c r="CD22" s="14" t="str">
        <f>ALPHA_DEUT!AA127</f>
        <v>Laub - Schnittholz</v>
      </c>
      <c r="CE22" s="345">
        <v>1</v>
      </c>
      <c r="CF22" s="345"/>
      <c r="CG22" s="345"/>
      <c r="CH22" s="320">
        <f t="shared" si="4"/>
        <v>1271</v>
      </c>
      <c r="CI22" s="320">
        <f t="shared" si="0"/>
        <v>1271</v>
      </c>
      <c r="CJ22" s="346">
        <f t="shared" si="1"/>
        <v>1271</v>
      </c>
      <c r="CK22" s="346">
        <f t="shared" si="2"/>
        <v>1271</v>
      </c>
      <c r="CL22" s="346">
        <f t="shared" si="3"/>
        <v>1271</v>
      </c>
      <c r="CN22" s="387" t="s">
        <v>479</v>
      </c>
      <c r="CO22" s="388">
        <v>35</v>
      </c>
      <c r="CP22" s="410">
        <f>t.DL.3</f>
        <v>3</v>
      </c>
      <c r="CQ22" s="410">
        <f>CO22-2*CP22</f>
        <v>29</v>
      </c>
      <c r="CR22" s="389">
        <f>DI22*DSP.E.0.mean</f>
        <v>4742.7638483965011</v>
      </c>
      <c r="CS22" s="390" t="e">
        <f>k.sys*n.mod.3/g.M.3*DI22*DSP.f.m0k</f>
        <v>#REF!</v>
      </c>
      <c r="CT22" s="389">
        <f>DSP.E.0.mean*DJ22</f>
        <v>6257.2361516034989</v>
      </c>
      <c r="CU22" s="390" t="e">
        <f>k.sys*n.mod.3/g.M.3*DJ22*DSP.f.m0k</f>
        <v>#REF!</v>
      </c>
      <c r="CV22" s="389">
        <f>DM22*DSP.E.0.mean</f>
        <v>1885.7142857142851</v>
      </c>
      <c r="CW22" s="390" t="e">
        <f>k.sys*n.mod.3/g.M.3*DK22*DSP.f.m0k</f>
        <v>#REF!</v>
      </c>
      <c r="CX22" s="389">
        <f>DK22*DSP.E.0.mean</f>
        <v>1885.7142857142851</v>
      </c>
      <c r="CY22" s="390" t="e">
        <f>n.mod.3/g.M.3*DM22*DSP.f.t0k</f>
        <v>#REF!</v>
      </c>
      <c r="CZ22" s="390" t="e">
        <f>n.mod.3/g.M.3*DM22*DSP.f.c0k</f>
        <v>#REF!</v>
      </c>
      <c r="DA22" s="389">
        <f>DN22*DSP.E.0.mean</f>
        <v>9114.2857142857156</v>
      </c>
      <c r="DB22" s="390" t="e">
        <f>n.mod.3/g.M.3*DN22*DSP.f.t0k</f>
        <v>#REF!</v>
      </c>
      <c r="DC22" s="390" t="e">
        <f>n.mod.3/g.M.3*DN22*DSP.f.c0k</f>
        <v>#REF!</v>
      </c>
      <c r="DD22" s="389">
        <f>DSP.G.0.mean</f>
        <v>690</v>
      </c>
      <c r="DE22" s="390" t="e">
        <f>k.sys*n.mod.3/g.M.3*3.5</f>
        <v>#REF!</v>
      </c>
      <c r="DF22" s="389">
        <f>DSP.G.R.man</f>
        <v>69</v>
      </c>
      <c r="DG22" s="390" t="e">
        <f>k.sys*n.mod.3/g.M.3*DSP.f.vRk</f>
        <v>#REF!</v>
      </c>
      <c r="DI22" s="384">
        <f>1-(1-DSP.E.90.mean/DSP.E.0.mean)*CQ22^3/CO22^3</f>
        <v>0.43116034985422735</v>
      </c>
      <c r="DJ22" s="384">
        <f>DSP.E.90.mean/DSP.E.0.mean+(1-DSP.E.90.mean/DSP.E.0.mean)*CQ22^3/CO22^3</f>
        <v>0.56883965014577265</v>
      </c>
      <c r="DK22" s="384">
        <f>1-(1-DSP.E.90.mean/DSP.E.0.mean)*CQ22/CO22</f>
        <v>0.17142857142857137</v>
      </c>
      <c r="DL22" s="384">
        <f>DSP.E.90.mean/DSP.E.0.mean+(1-DSP.E.90.mean/DSP.E.0.mean)*CQ22/CO22</f>
        <v>0.82857142857142863</v>
      </c>
      <c r="DM22" s="384">
        <f>1-(1-DSP.E.90.mean/DSP.E.0.mean)*CQ22/CO22</f>
        <v>0.17142857142857137</v>
      </c>
      <c r="DN22" s="384">
        <f>DSP.E.90.mean/DSP.E.0.mean+(1-DSP.E.90.mean/DSP.E.0.mean)*CQ22/CO22</f>
        <v>0.82857142857142863</v>
      </c>
    </row>
    <row r="23" spans="1:118" ht="15" customHeight="1">
      <c r="A23" s="466"/>
      <c r="B23" s="466"/>
      <c r="O23" s="468"/>
      <c r="P23" s="467"/>
      <c r="Q23" s="467"/>
      <c r="R23" s="467"/>
      <c r="S23" s="467"/>
      <c r="T23" s="467"/>
      <c r="U23" s="466"/>
      <c r="V23" s="466"/>
      <c r="W23" s="466"/>
      <c r="X23" s="466"/>
      <c r="Y23" s="468">
        <v>360</v>
      </c>
      <c r="AA23" s="466"/>
      <c r="AB23" s="466" t="s">
        <v>846</v>
      </c>
      <c r="AC23" s="466"/>
      <c r="AD23" s="466"/>
      <c r="AE23" s="466"/>
      <c r="AF23" s="466"/>
      <c r="AG23" s="466"/>
      <c r="AH23" s="466"/>
      <c r="AI23" s="466"/>
      <c r="AJ23" s="466"/>
      <c r="AK23" s="466"/>
      <c r="AL23" s="788">
        <v>4.5</v>
      </c>
      <c r="AM23" s="466"/>
      <c r="AN23" s="466"/>
      <c r="AO23" s="466"/>
      <c r="AP23" s="466"/>
      <c r="AQ23" s="466"/>
      <c r="AR23" s="466"/>
      <c r="AS23" s="466"/>
      <c r="AT23" s="466"/>
      <c r="AU23" s="466"/>
      <c r="AV23" s="466"/>
      <c r="AW23" s="466"/>
      <c r="AX23" s="466"/>
      <c r="AY23" s="169"/>
      <c r="AZ23" s="357" t="s">
        <v>521</v>
      </c>
      <c r="BA23" s="317" t="s">
        <v>836</v>
      </c>
      <c r="BB23" s="358">
        <f>IF(BM21=0,f.vd.1,BM21)</f>
        <v>0.4</v>
      </c>
      <c r="BC23" s="358">
        <f>IF(BN21=0,f.vd.2,BN21)</f>
        <v>0.5</v>
      </c>
      <c r="BD23" s="358">
        <f>IF(BO21=0,f.vd.3,BO21)</f>
        <v>0.5</v>
      </c>
      <c r="BE23" s="358" t="e">
        <f>IF(BP21=0,f.vd.4,BP21)</f>
        <v>#N/A</v>
      </c>
      <c r="BF23" s="358" t="e">
        <f>IF(BQ21=0,f.vd.5,BQ21)</f>
        <v>#N/A</v>
      </c>
      <c r="BG23"/>
      <c r="BH23"/>
      <c r="BI23"/>
      <c r="BJ23" s="330">
        <v>18</v>
      </c>
      <c r="BK23" s="4" t="str">
        <f>ALPHA_DEUT!AI216</f>
        <v>Schubrissfaktor</v>
      </c>
      <c r="BL23" s="40" t="str">
        <f>ALPHA_DEUT!AJ216</f>
        <v>kcr [-]</v>
      </c>
      <c r="BM23" s="372">
        <f>IF($BM$7="DSP",CS31,INDEX(ALPHA_DEUT!216:216,MATCH($BM$9,ALPHA_DEUT!$202:$202,0)))</f>
        <v>0.5</v>
      </c>
      <c r="BN23" s="372">
        <f>IF($BN$7="DSP",CT31,INDEX(ALPHA_DEUT!216:216,MATCH($BN$9,ALPHA_DEUT!$202:$202,0)))</f>
        <v>0.71</v>
      </c>
      <c r="BO23" s="372">
        <f>IF($BO$7="DSP",CU31,INDEX(ALPHA_DEUT!216:216,MATCH($BO$9,ALPHA_DEUT!$202:$202,0)))</f>
        <v>0.71</v>
      </c>
      <c r="BP23" s="372" t="e">
        <f>IF($BP$7="DSP",CV31,INDEX(ALPHA_DEUT!216:216,MATCH($BP$9,ALPHA_DEUT!$202:$202,0)))</f>
        <v>#N/A</v>
      </c>
      <c r="BQ23" s="372" t="e">
        <f>IF($BQ$7="DSP",CW31,INDEX(ALPHA_DEUT!216:216,MATCH($BQ$9,ALPHA_DEUT!$202:$202,0)))</f>
        <v>#N/A</v>
      </c>
      <c r="BR23"/>
      <c r="BS23"/>
      <c r="BT23"/>
      <c r="BU23"/>
      <c r="BV23"/>
      <c r="BW23"/>
      <c r="BX23"/>
      <c r="BZ23" s="324" t="str">
        <f>ALPHA_DEUT!Y129</f>
        <v>D35 Buche</v>
      </c>
      <c r="CB23" s="14" t="str">
        <f>ALPHA_DEUT!Y128</f>
        <v>D30 Eiche/Ahorn</v>
      </c>
      <c r="CC23" s="320">
        <f>ALPHA_DEUT!Z128</f>
        <v>128</v>
      </c>
      <c r="CD23" s="14" t="str">
        <f>ALPHA_DEUT!AA128</f>
        <v>Laub - Schnittholz</v>
      </c>
      <c r="CE23" s="345">
        <v>1</v>
      </c>
      <c r="CF23" s="345"/>
      <c r="CG23" s="345"/>
      <c r="CH23" s="320">
        <f t="shared" si="4"/>
        <v>1281</v>
      </c>
      <c r="CI23" s="320">
        <f t="shared" si="0"/>
        <v>1281</v>
      </c>
      <c r="CJ23" s="346">
        <f t="shared" si="1"/>
        <v>1281</v>
      </c>
      <c r="CK23" s="346">
        <f t="shared" si="2"/>
        <v>1281</v>
      </c>
      <c r="CL23" s="346">
        <f t="shared" si="3"/>
        <v>1281</v>
      </c>
      <c r="CN23" s="391" t="s">
        <v>510</v>
      </c>
      <c r="CO23" s="392">
        <v>42</v>
      </c>
      <c r="CP23" s="411">
        <f>t.DL.4</f>
        <v>4</v>
      </c>
      <c r="CQ23" s="411">
        <f>CO23-2*CP23</f>
        <v>34</v>
      </c>
      <c r="CR23" s="393">
        <f>DI23*DSP.E.0.mean</f>
        <v>5164.4530828204297</v>
      </c>
      <c r="CS23" s="394" t="e">
        <f>k.sys*n.mod.4/g.M.4*DI23*DSP.f.m0k</f>
        <v>#REF!</v>
      </c>
      <c r="CT23" s="393">
        <f>DSP.E.0.mean*DJ23</f>
        <v>5835.5469171795703</v>
      </c>
      <c r="CU23" s="394" t="e">
        <f>k.sys*n.mod.4/g.M.4*DJ23*DSP.f.m0k</f>
        <v>#REF!</v>
      </c>
      <c r="CV23" s="393">
        <f>DM23*DSP.E.0.mean</f>
        <v>2095.238095238095</v>
      </c>
      <c r="CW23" s="394" t="e">
        <f>k.sys*n.mod.4/g.M.4*DK23*DSP.f.m0k</f>
        <v>#REF!</v>
      </c>
      <c r="CX23" s="393">
        <f>DK23*DSP.E.0.mean</f>
        <v>2095.238095238095</v>
      </c>
      <c r="CY23" s="394" t="e">
        <f>n.mod.4/g.M.4*DM23*DSP.f.t0k</f>
        <v>#REF!</v>
      </c>
      <c r="CZ23" s="394" t="e">
        <f>n.mod.4/g.M.4*DM23*DSP.f.c0k</f>
        <v>#REF!</v>
      </c>
      <c r="DA23" s="393">
        <f>DN23*DSP.E.0.mean</f>
        <v>8904.7619047619046</v>
      </c>
      <c r="DB23" s="394" t="e">
        <f>n.mod.4/g.M.4*DN23*DSP.f.t0k</f>
        <v>#REF!</v>
      </c>
      <c r="DC23" s="394" t="e">
        <f>n.mod.4/g.M.4*DN23*DSP.f.c0k</f>
        <v>#REF!</v>
      </c>
      <c r="DD23" s="393">
        <f>DSP.G.0.mean</f>
        <v>690</v>
      </c>
      <c r="DE23" s="394" t="e">
        <f>k.sys*n.mod.4/g.M.4*3.5</f>
        <v>#REF!</v>
      </c>
      <c r="DF23" s="393">
        <f>DSP.G.R.man</f>
        <v>69</v>
      </c>
      <c r="DG23" s="394" t="e">
        <f>k.sys*n.mod.4/g.M.4*DSP.f.vRk</f>
        <v>#REF!</v>
      </c>
      <c r="DI23" s="384">
        <f>1-(1-DSP.E.90.mean/DSP.E.0.mean)*CQ23^3/CO23^3</f>
        <v>0.46949573480185725</v>
      </c>
      <c r="DJ23" s="384">
        <f>DSP.E.90.mean/DSP.E.0.mean+(1-DSP.E.90.mean/DSP.E.0.mean)*CQ23^3/CO23^3</f>
        <v>0.53050426519814275</v>
      </c>
      <c r="DK23" s="384">
        <f>1-(1-DSP.E.90.mean/DSP.E.0.mean)*CQ23/CO23</f>
        <v>0.19047619047619047</v>
      </c>
      <c r="DL23" s="384">
        <f>DSP.E.90.mean/DSP.E.0.mean+(1-DSP.E.90.mean/DSP.E.0.mean)*CQ23/CO23</f>
        <v>0.80952380952380953</v>
      </c>
      <c r="DM23" s="384">
        <f>1-(1-DSP.E.90.mean/DSP.E.0.mean)*CQ23/CO23</f>
        <v>0.19047619047619047</v>
      </c>
      <c r="DN23" s="384">
        <f>DSP.E.90.mean/DSP.E.0.mean+(1-DSP.E.90.mean/DSP.E.0.mean)*CQ23/CO23</f>
        <v>0.80952380952380953</v>
      </c>
    </row>
    <row r="24" spans="1:118" ht="15" customHeight="1">
      <c r="A24" s="466"/>
      <c r="B24" s="466"/>
      <c r="K24" s="466"/>
      <c r="L24" s="466"/>
      <c r="M24" s="466"/>
      <c r="O24" s="468"/>
      <c r="P24" s="467"/>
      <c r="Q24" s="467"/>
      <c r="R24" s="467"/>
      <c r="S24" s="467"/>
      <c r="T24" s="467"/>
      <c r="U24" s="466"/>
      <c r="V24" s="466"/>
      <c r="W24" s="466"/>
      <c r="X24" s="466"/>
      <c r="Y24" s="468">
        <v>400</v>
      </c>
      <c r="Z24" s="466"/>
      <c r="AA24" s="466"/>
      <c r="AB24" s="466"/>
      <c r="AC24" s="466"/>
      <c r="AD24" s="466"/>
      <c r="AE24" s="466"/>
      <c r="AF24" s="466"/>
      <c r="AG24" s="466"/>
      <c r="AH24" s="466"/>
      <c r="AI24" s="466"/>
      <c r="AJ24" s="466"/>
      <c r="AK24" s="466"/>
      <c r="AL24" s="788">
        <v>6</v>
      </c>
      <c r="AM24" s="466"/>
      <c r="AN24" s="466"/>
      <c r="AO24" s="466"/>
      <c r="AP24" s="466"/>
      <c r="AQ24" s="466"/>
      <c r="AR24" s="466"/>
      <c r="AS24" s="466"/>
      <c r="AT24" s="466"/>
      <c r="AU24" s="466"/>
      <c r="AV24" s="466"/>
      <c r="AW24" s="466"/>
      <c r="AX24" s="466"/>
      <c r="AY24" s="169"/>
      <c r="AZ24" s="357" t="s">
        <v>551</v>
      </c>
      <c r="BA24" s="317" t="s">
        <v>843</v>
      </c>
      <c r="BB24" s="358">
        <f>BM23</f>
        <v>0.5</v>
      </c>
      <c r="BC24" s="358">
        <f>BN23</f>
        <v>0.71</v>
      </c>
      <c r="BD24" s="358">
        <f>BO23</f>
        <v>0.71</v>
      </c>
      <c r="BE24" s="358" t="e">
        <f>BP23</f>
        <v>#N/A</v>
      </c>
      <c r="BF24" s="358" t="e">
        <f>BQ23</f>
        <v>#N/A</v>
      </c>
      <c r="BG24"/>
      <c r="BH24"/>
      <c r="BI24"/>
      <c r="BJ24" s="330">
        <v>19</v>
      </c>
      <c r="BK24" s="283" t="str">
        <f>ALPHA_DEUT!AI217</f>
        <v>Steifigkeit</v>
      </c>
      <c r="BL24" s="470"/>
      <c r="BM24" s="372"/>
      <c r="BN24" s="372"/>
      <c r="BO24" s="372"/>
      <c r="BP24" s="372"/>
      <c r="BQ24" s="372"/>
      <c r="BR24"/>
      <c r="BS24" s="321" t="s">
        <v>508</v>
      </c>
      <c r="BT24" s="322"/>
      <c r="BU24" s="322"/>
      <c r="BV24" s="322"/>
      <c r="BW24" s="322"/>
      <c r="BX24" s="334"/>
      <c r="BZ24" s="324" t="str">
        <f>ALPHA_DEUT!Y130</f>
        <v>D40 Buche/Esche</v>
      </c>
      <c r="CB24" s="14" t="str">
        <f>ALPHA_DEUT!Y129</f>
        <v>D35 Buche</v>
      </c>
      <c r="CC24" s="320">
        <f>ALPHA_DEUT!Z129</f>
        <v>129</v>
      </c>
      <c r="CD24" s="14" t="str">
        <f>ALPHA_DEUT!AA129</f>
        <v>Laub - Schnittholz</v>
      </c>
      <c r="CE24" s="345">
        <v>1</v>
      </c>
      <c r="CF24" s="345"/>
      <c r="CG24" s="345"/>
      <c r="CH24" s="320">
        <f t="shared" si="4"/>
        <v>1291</v>
      </c>
      <c r="CI24" s="320">
        <f t="shared" si="0"/>
        <v>1291</v>
      </c>
      <c r="CJ24" s="346">
        <f t="shared" si="1"/>
        <v>1291</v>
      </c>
      <c r="CK24" s="346">
        <f t="shared" si="2"/>
        <v>1291</v>
      </c>
      <c r="CL24" s="346">
        <f t="shared" si="3"/>
        <v>1291</v>
      </c>
      <c r="CN24" s="387" t="s">
        <v>511</v>
      </c>
      <c r="CO24" s="388">
        <v>60</v>
      </c>
      <c r="CP24" s="410">
        <f>t.DL.5</f>
        <v>5</v>
      </c>
      <c r="CQ24" s="410">
        <f>CO24-2*CP24</f>
        <v>50</v>
      </c>
      <c r="CR24" s="389">
        <f>DI24*DSP.E.0.mean</f>
        <v>4634.2592592592591</v>
      </c>
      <c r="CS24" s="390" t="e">
        <f>k.sys*n.mod.5/g.M.5*DI24*DSP.f.m0k</f>
        <v>#REF!</v>
      </c>
      <c r="CT24" s="389">
        <f>DSP.E.0.mean*DJ24</f>
        <v>6365.7407407407409</v>
      </c>
      <c r="CU24" s="390" t="e">
        <f>k.sys*n.mod.5/g.M.5*DJ24*DSP.f.m0k</f>
        <v>#REF!</v>
      </c>
      <c r="CV24" s="389">
        <f>DM24*DSP.E.0.mean</f>
        <v>1833.333333333333</v>
      </c>
      <c r="CW24" s="390" t="e">
        <f>k.sys*n.mod.5/g.M.5*DK24*DSP.f.m0k</f>
        <v>#REF!</v>
      </c>
      <c r="CX24" s="389">
        <f>DK24*DSP.E.0.mean</f>
        <v>1833.333333333333</v>
      </c>
      <c r="CY24" s="390" t="e">
        <f>n.mod.5/g.M.5*DM24*DSP.f.t0k</f>
        <v>#REF!</v>
      </c>
      <c r="CZ24" s="390" t="e">
        <f>n.mod.5/g.M.5*DM24*DSP.f.c0k</f>
        <v>#REF!</v>
      </c>
      <c r="DA24" s="389">
        <f>DN24*DSP.E.0.mean</f>
        <v>9166.6666666666679</v>
      </c>
      <c r="DB24" s="390" t="e">
        <f>n.mod.5/g.M.5*DN24*DSP.f.t0k</f>
        <v>#REF!</v>
      </c>
      <c r="DC24" s="390" t="e">
        <f>n.mod.5/g.M.5*DN24*DSP.f.c0k</f>
        <v>#REF!</v>
      </c>
      <c r="DD24" s="389">
        <f>DSP.G.0.mean</f>
        <v>690</v>
      </c>
      <c r="DE24" s="390" t="e">
        <f>k.sys*n.mod.5/g.M.5*3.5</f>
        <v>#REF!</v>
      </c>
      <c r="DF24" s="389">
        <f>DSP.G.R.man</f>
        <v>69</v>
      </c>
      <c r="DG24" s="390" t="e">
        <f>k.sys*n.mod.5/g.M.5*DSP.f.vRk</f>
        <v>#REF!</v>
      </c>
      <c r="DI24" s="384">
        <f>1-(1-DSP.E.90.mean/DSP.E.0.mean)*CQ24^3/CO24^3</f>
        <v>0.42129629629629628</v>
      </c>
      <c r="DJ24" s="384">
        <f>DSP.E.90.mean/DSP.E.0.mean+(1-DSP.E.90.mean/DSP.E.0.mean)*CQ24^3/CO24^3</f>
        <v>0.57870370370370372</v>
      </c>
      <c r="DK24" s="384">
        <f>1-(1-DSP.E.90.mean/DSP.E.0.mean)*CQ24/CO24</f>
        <v>0.16666666666666663</v>
      </c>
      <c r="DL24" s="384">
        <f>DSP.E.90.mean/DSP.E.0.mean+(1-DSP.E.90.mean/DSP.E.0.mean)*CQ24/CO24</f>
        <v>0.83333333333333337</v>
      </c>
      <c r="DM24" s="384">
        <f>1-(1-DSP.E.90.mean/DSP.E.0.mean)*CQ24/CO24</f>
        <v>0.16666666666666663</v>
      </c>
      <c r="DN24" s="384">
        <f>DSP.E.90.mean/DSP.E.0.mean+(1-DSP.E.90.mean/DSP.E.0.mean)*CQ24/CO24</f>
        <v>0.83333333333333337</v>
      </c>
    </row>
    <row r="25" spans="1:118" ht="15" customHeight="1">
      <c r="A25" s="466"/>
      <c r="P25" s="466"/>
      <c r="Q25" s="466"/>
      <c r="R25" s="466"/>
      <c r="S25" s="466"/>
      <c r="T25" s="466"/>
      <c r="U25" s="466"/>
      <c r="V25" s="466"/>
      <c r="W25" s="466"/>
      <c r="X25" s="466"/>
      <c r="Y25" s="466"/>
      <c r="Z25" s="466"/>
      <c r="AA25" s="466"/>
      <c r="AB25" s="466"/>
      <c r="AC25" s="466"/>
      <c r="AL25" s="788">
        <v>6.5</v>
      </c>
      <c r="AV25" s="466"/>
      <c r="AW25" s="466"/>
      <c r="AX25" s="466"/>
      <c r="AY25" s="169"/>
      <c r="AZ25" s="355" t="s">
        <v>258</v>
      </c>
      <c r="BA25" s="316" t="s">
        <v>844</v>
      </c>
      <c r="BB25" s="356">
        <f>BM25</f>
        <v>11000</v>
      </c>
      <c r="BC25" s="356">
        <f>BN25</f>
        <v>11500</v>
      </c>
      <c r="BD25" s="356">
        <f>BO25</f>
        <v>11500</v>
      </c>
      <c r="BE25" s="356" t="e">
        <f>BP25</f>
        <v>#N/A</v>
      </c>
      <c r="BF25" s="356" t="e">
        <f>BQ25</f>
        <v>#N/A</v>
      </c>
      <c r="BG25"/>
      <c r="BH25"/>
      <c r="BI25"/>
      <c r="BJ25" s="330">
        <v>20</v>
      </c>
      <c r="BK25" s="4" t="str">
        <f>ALPHA_DEUT!AI218</f>
        <v>Mittelwert - Biege-E-Modul ll</v>
      </c>
      <c r="BL25" s="40" t="str">
        <f>ALPHA_DEUT!AJ218</f>
        <v>E0,mean [N/mm2]</v>
      </c>
      <c r="BM25" s="372">
        <f>IF($BM$7="DSP",CS33,INDEX(ALPHA_DEUT!218:218,MATCH($BM$9,ALPHA_DEUT!$202:$202,0)))</f>
        <v>11000</v>
      </c>
      <c r="BN25" s="372">
        <f>IF($BN$7="DSP",CT33,INDEX(ALPHA_DEUT!218:218,MATCH($BN$9,ALPHA_DEUT!$202:$202,0)))</f>
        <v>11500</v>
      </c>
      <c r="BO25" s="372">
        <f>IF($BO$7="DSP",CU33,INDEX(ALPHA_DEUT!218:218,MATCH($BO$9,ALPHA_DEUT!$202:$202,0)))</f>
        <v>11500</v>
      </c>
      <c r="BP25" s="372" t="e">
        <f>IF($BP$7="DSP",CV33,INDEX(ALPHA_DEUT!218:218,MATCH($BP$9,ALPHA_DEUT!$202:$202,0)))</f>
        <v>#N/A</v>
      </c>
      <c r="BQ25" s="372" t="e">
        <f>IF($BQ$7="DSP",CW33,INDEX(ALPHA_DEUT!218:218,MATCH($BQ$9,ALPHA_DEUT!$202:$202,0)))</f>
        <v>#N/A</v>
      </c>
      <c r="BR25"/>
      <c r="BS25" s="319" t="s">
        <v>113</v>
      </c>
      <c r="BT25" s="337" t="s">
        <v>473</v>
      </c>
      <c r="BU25" s="337" t="s">
        <v>474</v>
      </c>
      <c r="BV25" s="337" t="s">
        <v>49</v>
      </c>
      <c r="BW25" s="337" t="s">
        <v>475</v>
      </c>
      <c r="BX25" s="338" t="s">
        <v>486</v>
      </c>
      <c r="BZ25" s="324" t="str">
        <f>ALPHA_DEUT!Y131</f>
        <v>D50</v>
      </c>
      <c r="CB25" s="14" t="str">
        <f>ALPHA_DEUT!Y130</f>
        <v>D40 Buche/Esche</v>
      </c>
      <c r="CC25" s="320">
        <f>ALPHA_DEUT!Z130</f>
        <v>130</v>
      </c>
      <c r="CD25" s="14" t="str">
        <f>ALPHA_DEUT!AA130</f>
        <v>Laub - Schnittholz</v>
      </c>
      <c r="CE25" s="345">
        <v>1</v>
      </c>
      <c r="CF25" s="345"/>
      <c r="CG25" s="345"/>
      <c r="CH25" s="320">
        <f t="shared" si="4"/>
        <v>1301</v>
      </c>
      <c r="CI25" s="320">
        <f t="shared" si="0"/>
        <v>1301</v>
      </c>
      <c r="CJ25" s="346">
        <f t="shared" si="1"/>
        <v>1301</v>
      </c>
      <c r="CK25" s="346">
        <f t="shared" si="2"/>
        <v>1301</v>
      </c>
      <c r="CL25" s="346">
        <f t="shared" si="3"/>
        <v>1301</v>
      </c>
    </row>
    <row r="26" spans="1:118" ht="15" customHeight="1">
      <c r="A26" s="466"/>
      <c r="D26" s="491" t="s">
        <v>1500</v>
      </c>
      <c r="E26" s="466"/>
      <c r="F26" s="466"/>
      <c r="O26" s="491" t="s">
        <v>1503</v>
      </c>
      <c r="P26" s="466"/>
      <c r="Q26" s="466"/>
      <c r="R26" s="466"/>
      <c r="S26" s="466"/>
      <c r="T26" s="466"/>
      <c r="U26" s="466"/>
      <c r="V26" s="466"/>
      <c r="W26" s="491" t="s">
        <v>1504</v>
      </c>
      <c r="X26" s="466"/>
      <c r="Y26" s="466"/>
      <c r="Z26" s="466"/>
      <c r="AA26" s="466"/>
      <c r="AB26" s="466"/>
      <c r="AC26" s="466"/>
      <c r="AL26" s="788">
        <v>8</v>
      </c>
      <c r="AV26" s="466"/>
      <c r="AW26" s="466"/>
      <c r="AX26" s="466"/>
      <c r="AY26" s="169"/>
      <c r="AZ26" s="355" t="s">
        <v>336</v>
      </c>
      <c r="BA26" s="316" t="str">
        <f>ALPHA_DEUT!AJ242</f>
        <v>bn [mm/Min]</v>
      </c>
      <c r="BB26" s="356">
        <f t="shared" ref="BB26:BF28" si="7">BM58</f>
        <v>0.8</v>
      </c>
      <c r="BC26" s="356">
        <f t="shared" si="7"/>
        <v>0.7</v>
      </c>
      <c r="BD26" s="356">
        <f t="shared" si="7"/>
        <v>0.7</v>
      </c>
      <c r="BE26" s="356" t="e">
        <f t="shared" si="7"/>
        <v>#N/A</v>
      </c>
      <c r="BF26" s="356" t="e">
        <f t="shared" si="7"/>
        <v>#N/A</v>
      </c>
      <c r="BG26"/>
      <c r="BH26"/>
      <c r="BI26"/>
      <c r="BJ26" s="330">
        <v>21</v>
      </c>
      <c r="BK26" s="4" t="str">
        <f>ALPHA_DEUT!AI219</f>
        <v>Mittelwert - Biege-E-Modul ^</v>
      </c>
      <c r="BL26" s="40" t="str">
        <f>ALPHA_DEUT!AJ219</f>
        <v>E90,mean [N/mm2]</v>
      </c>
      <c r="BM26" s="372">
        <f>IF($BM$7="DSP",CS43,INDEX(ALPHA_DEUT!219:219,MATCH($BM$9,ALPHA_DEUT!$202:$202,0)))</f>
        <v>370</v>
      </c>
      <c r="BN26" s="372">
        <f>IF($BN$7="DSP",CT43,INDEX(ALPHA_DEUT!219:219,MATCH($BN$9,ALPHA_DEUT!$202:$202,0)))</f>
        <v>300</v>
      </c>
      <c r="BO26" s="372">
        <f>IF($BO$7="DSP",CU43,INDEX(ALPHA_DEUT!219:219,MATCH($BO$9,ALPHA_DEUT!$202:$202,0)))</f>
        <v>300</v>
      </c>
      <c r="BP26" s="372" t="e">
        <f>IF($BP$7="DSP",CV43,INDEX(ALPHA_DEUT!219:219,MATCH($BP$9,ALPHA_DEUT!$202:$202,0)))</f>
        <v>#N/A</v>
      </c>
      <c r="BQ26" s="372" t="e">
        <f>IF($BQ$7="DSP",CW43,INDEX(ALPHA_DEUT!219:219,MATCH($BQ$9,ALPHA_DEUT!$202:$202,0)))</f>
        <v>#N/A</v>
      </c>
      <c r="BR26"/>
      <c r="BS26" s="319" t="str">
        <f>MAT.4</f>
        <v>GL32h</v>
      </c>
      <c r="BT26" s="327" t="e">
        <f>INDEX(#REF!,MATCH(MAT.4,#REF!,0))</f>
        <v>#REF!</v>
      </c>
      <c r="BU26" s="323" t="e">
        <f>INDEX(#REF!,MATCH(BT26,#REF!,0))</f>
        <v>#REF!</v>
      </c>
      <c r="BV26" s="319" t="e">
        <f>INDEX(#REF!,MATCH(AC14,#REF!,0))</f>
        <v>#REF!</v>
      </c>
      <c r="BW26" s="323" t="e">
        <f>VALUE(BU26&amp;INDEX(#REF!,MATCH(AC14,#REF!,0)))</f>
        <v>#REF!</v>
      </c>
      <c r="BX26" s="325" t="e">
        <f>INDEX(#REF!,MATCH(BW26,#REF!,0))</f>
        <v>#REF!</v>
      </c>
      <c r="BZ26" s="324" t="str">
        <f>ALPHA_DEUT!Y132</f>
        <v>D60</v>
      </c>
      <c r="CB26" s="14" t="str">
        <f>ALPHA_DEUT!Y131</f>
        <v>D50</v>
      </c>
      <c r="CC26" s="320">
        <f>ALPHA_DEUT!Z131</f>
        <v>131</v>
      </c>
      <c r="CD26" s="14" t="str">
        <f>ALPHA_DEUT!AA131</f>
        <v>Laub - Schnittholz</v>
      </c>
      <c r="CE26" s="345">
        <v>1</v>
      </c>
      <c r="CF26" s="345"/>
      <c r="CG26" s="345"/>
      <c r="CH26" s="320">
        <f t="shared" si="4"/>
        <v>1311</v>
      </c>
      <c r="CI26" s="320">
        <f t="shared" si="0"/>
        <v>1311</v>
      </c>
      <c r="CJ26" s="346">
        <f t="shared" si="1"/>
        <v>1311</v>
      </c>
      <c r="CK26" s="346">
        <f t="shared" si="2"/>
        <v>1311</v>
      </c>
      <c r="CL26" s="346">
        <f t="shared" si="3"/>
        <v>1311</v>
      </c>
      <c r="CN26" s="330"/>
      <c r="CO26" s="330"/>
      <c r="CP26" s="330"/>
      <c r="CQ26" s="330"/>
      <c r="CR26" s="330"/>
      <c r="CS26" s="330"/>
      <c r="CT26" s="330"/>
      <c r="CU26" s="330"/>
      <c r="CV26" s="330"/>
      <c r="CW26" s="330"/>
      <c r="CX26" s="330"/>
      <c r="CY26" s="330"/>
      <c r="CZ26" s="330"/>
      <c r="DA26" s="330"/>
      <c r="DB26" s="330"/>
      <c r="DC26" s="330"/>
      <c r="DD26" s="330"/>
      <c r="DE26" s="330"/>
    </row>
    <row r="27" spans="1:118" ht="15" customHeight="1">
      <c r="A27" s="466"/>
      <c r="E27" s="467"/>
      <c r="O27" s="476" t="s">
        <v>1004</v>
      </c>
      <c r="P27" s="467"/>
      <c r="Q27" s="467"/>
      <c r="R27" s="467"/>
      <c r="S27" s="467"/>
      <c r="T27" s="467"/>
      <c r="U27" s="466" t="s">
        <v>1003</v>
      </c>
      <c r="V27" s="466"/>
      <c r="W27" s="476" t="s">
        <v>1004</v>
      </c>
      <c r="X27" s="467"/>
      <c r="Y27" s="466" t="s">
        <v>1003</v>
      </c>
      <c r="Z27" s="466"/>
      <c r="AA27" s="466"/>
      <c r="AB27" s="466"/>
      <c r="AC27" s="466"/>
      <c r="AV27" s="466"/>
      <c r="AW27" s="466"/>
      <c r="AX27" s="466"/>
      <c r="AY27" s="169"/>
      <c r="AZ27" s="355" t="s">
        <v>673</v>
      </c>
      <c r="BA27" s="316" t="str">
        <f>ALPHA_DEUT!AJ243</f>
        <v>b0 [mm/Min]</v>
      </c>
      <c r="BB27" s="356">
        <f t="shared" si="7"/>
        <v>0.65</v>
      </c>
      <c r="BC27" s="356">
        <f t="shared" si="7"/>
        <v>0.65</v>
      </c>
      <c r="BD27" s="356">
        <f t="shared" si="7"/>
        <v>0.65</v>
      </c>
      <c r="BE27" s="356" t="e">
        <f t="shared" si="7"/>
        <v>#N/A</v>
      </c>
      <c r="BF27" s="356" t="e">
        <f t="shared" si="7"/>
        <v>#N/A</v>
      </c>
      <c r="BG27"/>
      <c r="BH27"/>
      <c r="BI27"/>
      <c r="BJ27" s="330">
        <v>22</v>
      </c>
      <c r="BK27" s="4" t="str">
        <f>ALPHA_DEUT!AI220</f>
        <v>Fraktilwert - Biege-E-Modul ll</v>
      </c>
      <c r="BL27" s="40" t="str">
        <f>ALPHA_DEUT!AJ220</f>
        <v>E0,0.05 [N/mm2]</v>
      </c>
      <c r="BM27" s="372">
        <f>IF($BM$7="DSP",CS44,INDEX(ALPHA_DEUT!220:220,MATCH($BM$9,ALPHA_DEUT!$202:$202,0)))</f>
        <v>7400</v>
      </c>
      <c r="BN27" s="372">
        <f>IF($BN$7="DSP",CT44,INDEX(ALPHA_DEUT!220:220,MATCH($BN$9,ALPHA_DEUT!$202:$202,0)))</f>
        <v>9600</v>
      </c>
      <c r="BO27" s="372">
        <f>IF($BO$7="DSP",CU44,INDEX(ALPHA_DEUT!220:220,MATCH($BO$9,ALPHA_DEUT!$202:$202,0)))</f>
        <v>9600</v>
      </c>
      <c r="BP27" s="372" t="e">
        <f>IF($BP$7="DSP",CV44,INDEX(ALPHA_DEUT!220:220,MATCH($BP$9,ALPHA_DEUT!$202:$202,0)))</f>
        <v>#N/A</v>
      </c>
      <c r="BQ27" s="372" t="e">
        <f>IF($BQ$7="DSP",CW44,INDEX(ALPHA_DEUT!220:220,MATCH($BQ$9,ALPHA_DEUT!$202:$202,0)))</f>
        <v>#N/A</v>
      </c>
      <c r="BR27"/>
      <c r="BS27" s="326" t="s">
        <v>467</v>
      </c>
      <c r="BT27" s="324" t="s">
        <v>466</v>
      </c>
      <c r="BU27" s="324" t="s">
        <v>468</v>
      </c>
      <c r="BV27" s="323" t="s">
        <v>481</v>
      </c>
      <c r="BW27" s="327" t="s">
        <v>476</v>
      </c>
      <c r="BX27"/>
      <c r="BZ27" s="324" t="str">
        <f>ALPHA_DEUT!Y133</f>
        <v>D70</v>
      </c>
      <c r="CB27" s="14" t="str">
        <f>ALPHA_DEUT!Y132</f>
        <v>D60</v>
      </c>
      <c r="CC27" s="320">
        <f>ALPHA_DEUT!Z132</f>
        <v>132</v>
      </c>
      <c r="CD27" s="14" t="str">
        <f>ALPHA_DEUT!AA132</f>
        <v>Laub - Schnittholz</v>
      </c>
      <c r="CE27" s="345">
        <v>1</v>
      </c>
      <c r="CF27" s="345"/>
      <c r="CG27" s="345"/>
      <c r="CH27" s="320">
        <f t="shared" si="4"/>
        <v>1321</v>
      </c>
      <c r="CI27" s="320">
        <f t="shared" si="0"/>
        <v>1321</v>
      </c>
      <c r="CJ27" s="346">
        <f t="shared" si="1"/>
        <v>1321</v>
      </c>
      <c r="CK27" s="346">
        <f t="shared" si="2"/>
        <v>1321</v>
      </c>
      <c r="CL27" s="346">
        <f t="shared" si="3"/>
        <v>1321</v>
      </c>
      <c r="CN27" s="330"/>
      <c r="CO27" s="330"/>
      <c r="CP27" s="330"/>
      <c r="CQ27" s="330"/>
      <c r="CR27" s="330"/>
      <c r="CS27" s="330"/>
      <c r="CT27" s="330"/>
      <c r="CU27" s="330"/>
      <c r="CV27" s="330"/>
      <c r="CW27" s="330"/>
      <c r="CX27" s="330"/>
      <c r="CY27" s="330"/>
      <c r="CZ27" s="330"/>
      <c r="DA27" s="330"/>
      <c r="DB27" s="330"/>
      <c r="DC27" s="330"/>
      <c r="DD27" s="330"/>
      <c r="DE27" s="330"/>
    </row>
    <row r="28" spans="1:118" ht="15" customHeight="1">
      <c r="A28" s="466"/>
      <c r="D28" s="476" t="s">
        <v>1004</v>
      </c>
      <c r="E28" s="467" t="s">
        <v>3</v>
      </c>
      <c r="P28" s="466"/>
      <c r="Q28" s="466"/>
      <c r="R28" s="466"/>
      <c r="S28" s="466"/>
      <c r="T28" s="466"/>
      <c r="U28" s="466"/>
      <c r="V28" s="466"/>
      <c r="X28" s="466"/>
      <c r="Y28" s="466"/>
      <c r="Z28" s="466"/>
      <c r="AA28" s="466"/>
      <c r="AB28" s="466"/>
      <c r="AC28" s="466"/>
      <c r="AV28" s="466"/>
      <c r="AW28" s="466"/>
      <c r="AX28" s="466"/>
      <c r="AY28" s="169"/>
      <c r="AZ28" s="355" t="s">
        <v>670</v>
      </c>
      <c r="BA28" s="316" t="str">
        <f>ALPHA_DEUT!AJ244</f>
        <v>kfi [-]</v>
      </c>
      <c r="BB28" s="356">
        <f t="shared" si="7"/>
        <v>1.25</v>
      </c>
      <c r="BC28" s="356">
        <f t="shared" si="7"/>
        <v>1.1499999999999999</v>
      </c>
      <c r="BD28" s="356">
        <f t="shared" si="7"/>
        <v>1.1499999999999999</v>
      </c>
      <c r="BE28" s="356" t="e">
        <f t="shared" si="7"/>
        <v>#N/A</v>
      </c>
      <c r="BF28" s="356" t="e">
        <f t="shared" si="7"/>
        <v>#N/A</v>
      </c>
      <c r="BG28"/>
      <c r="BH28"/>
      <c r="BI28"/>
      <c r="BJ28" s="330">
        <v>23</v>
      </c>
      <c r="BK28" s="4" t="str">
        <f>ALPHA_DEUT!AI221</f>
        <v>Fraktilwert - Biege-E-Modul ^</v>
      </c>
      <c r="BL28" s="40" t="str">
        <f>ALPHA_DEUT!AJ221</f>
        <v>E90,0.05 [N/mm2]</v>
      </c>
      <c r="BM28" s="372">
        <f>IF($BM$7="DSP",CS45,INDEX(ALPHA_DEUT!221:221,MATCH($BM$9,ALPHA_DEUT!$202:$202,0)))</f>
        <v>0</v>
      </c>
      <c r="BN28" s="372">
        <f>IF($BN$7="DSP",CT45,INDEX(ALPHA_DEUT!221:221,MATCH($BN$9,ALPHA_DEUT!$202:$202,0)))</f>
        <v>250</v>
      </c>
      <c r="BO28" s="372">
        <f>IF($BO$7="DSP",CU45,INDEX(ALPHA_DEUT!221:221,MATCH($BO$9,ALPHA_DEUT!$202:$202,0)))</f>
        <v>250</v>
      </c>
      <c r="BP28" s="372" t="e">
        <f>IF($BP$7="DSP",CV45,INDEX(ALPHA_DEUT!221:221,MATCH($BP$9,ALPHA_DEUT!$202:$202,0)))</f>
        <v>#N/A</v>
      </c>
      <c r="BQ28" s="372" t="e">
        <f>IF($BQ$7="DSP",CW45,INDEX(ALPHA_DEUT!221:221,MATCH($BQ$9,ALPHA_DEUT!$202:$202,0)))</f>
        <v>#N/A</v>
      </c>
      <c r="BR28"/>
      <c r="BS28" s="323" t="e">
        <f>#REF!</f>
        <v>#REF!</v>
      </c>
      <c r="BT28" s="325" t="e">
        <f>INDEX(#REF!,MATCH(BT26,#REF!,0))</f>
        <v>#REF!</v>
      </c>
      <c r="BU28" s="325" t="e">
        <f>VLOOKUP(BW26,#REF!,VALUE(1+MATCH(BS28,#REF!,0)),FALSE)</f>
        <v>#REF!</v>
      </c>
      <c r="BV28" s="325" t="e">
        <f>n.mod.4/g.M.4</f>
        <v>#REF!</v>
      </c>
      <c r="BW28" s="325" t="e">
        <f>INDEX(#REF!,MATCH(BW26,#REF!,0))</f>
        <v>#REF!</v>
      </c>
      <c r="BX28"/>
      <c r="BZ28" s="324" t="str">
        <f>ALPHA_DEUT!Y134</f>
        <v>GL20c</v>
      </c>
      <c r="CB28" s="14" t="str">
        <f>ALPHA_DEUT!Y133</f>
        <v>D70</v>
      </c>
      <c r="CC28" s="320">
        <f>ALPHA_DEUT!Z133</f>
        <v>133</v>
      </c>
      <c r="CD28" s="14" t="str">
        <f>ALPHA_DEUT!AA133</f>
        <v>Laub - Schnittholz</v>
      </c>
      <c r="CE28" s="345">
        <v>1</v>
      </c>
      <c r="CF28" s="345"/>
      <c r="CG28" s="345"/>
      <c r="CH28" s="320">
        <f t="shared" si="4"/>
        <v>1331</v>
      </c>
      <c r="CI28" s="320">
        <f t="shared" si="0"/>
        <v>1331</v>
      </c>
      <c r="CJ28" s="346">
        <f t="shared" si="1"/>
        <v>1331</v>
      </c>
      <c r="CK28" s="346">
        <f t="shared" si="2"/>
        <v>1331</v>
      </c>
      <c r="CL28" s="346">
        <f t="shared" si="3"/>
        <v>1331</v>
      </c>
      <c r="CN28" s="330"/>
      <c r="CO28" s="330"/>
      <c r="CP28" s="330"/>
      <c r="CQ28" s="330"/>
      <c r="CR28" s="330"/>
      <c r="CS28" s="330"/>
      <c r="CT28" s="330"/>
      <c r="CU28" s="330"/>
      <c r="CV28" s="330"/>
      <c r="CW28" s="330"/>
      <c r="CX28" s="330"/>
      <c r="CY28" s="330"/>
      <c r="CZ28" s="330"/>
      <c r="DA28" s="330"/>
      <c r="DB28" s="330"/>
      <c r="DC28" s="330"/>
      <c r="DD28" s="330"/>
      <c r="DE28" s="330"/>
    </row>
    <row r="29" spans="1:118" ht="15" customHeight="1">
      <c r="A29" s="466"/>
      <c r="D29" s="466" t="s">
        <v>1003</v>
      </c>
      <c r="E29" s="467" t="s">
        <v>4</v>
      </c>
      <c r="O29" s="468">
        <v>120</v>
      </c>
      <c r="P29" s="466"/>
      <c r="Q29" s="466"/>
      <c r="R29" s="466"/>
      <c r="S29" s="466"/>
      <c r="T29" s="466"/>
      <c r="U29" s="468">
        <v>120</v>
      </c>
      <c r="W29" s="468">
        <v>120</v>
      </c>
      <c r="X29" s="466"/>
      <c r="Y29" s="468">
        <v>120</v>
      </c>
      <c r="Z29" s="466"/>
      <c r="AA29" s="466"/>
      <c r="AB29" s="466"/>
      <c r="AC29" s="466"/>
      <c r="AV29" s="466"/>
      <c r="AW29" s="466"/>
      <c r="AX29" s="466"/>
      <c r="AY29" s="169"/>
      <c r="AZ29" s="355" t="s">
        <v>931</v>
      </c>
      <c r="BA29" s="316" t="s">
        <v>932</v>
      </c>
      <c r="BB29" s="356">
        <f>BM29</f>
        <v>690</v>
      </c>
      <c r="BC29" s="356">
        <f>BN29</f>
        <v>650</v>
      </c>
      <c r="BD29" s="356">
        <f>BO29</f>
        <v>650</v>
      </c>
      <c r="BE29" s="356" t="e">
        <f>BP29</f>
        <v>#N/A</v>
      </c>
      <c r="BF29" s="356" t="e">
        <f>BQ29</f>
        <v>#N/A</v>
      </c>
      <c r="BG29"/>
      <c r="BH29"/>
      <c r="BI29"/>
      <c r="BJ29" s="330">
        <v>24</v>
      </c>
      <c r="BK29" s="4" t="str">
        <f>ALPHA_DEUT!AI222</f>
        <v>Schubmodul</v>
      </c>
      <c r="BL29" s="40" t="str">
        <f>ALPHA_DEUT!AJ222</f>
        <v>Gmean [N/mm2]</v>
      </c>
      <c r="BM29" s="372">
        <f>IF($BM$7="DSP",CS46,INDEX(ALPHA_DEUT!222:222,MATCH($BM$9,ALPHA_DEUT!$202:$202,0)))</f>
        <v>690</v>
      </c>
      <c r="BN29" s="372">
        <f>IF($BN$7="DSP",CT46,INDEX(ALPHA_DEUT!222:222,MATCH($BN$9,ALPHA_DEUT!$202:$202,0)))</f>
        <v>650</v>
      </c>
      <c r="BO29" s="372">
        <f>IF($BO$7="DSP",CU46,INDEX(ALPHA_DEUT!222:222,MATCH($BO$9,ALPHA_DEUT!$202:$202,0)))</f>
        <v>650</v>
      </c>
      <c r="BP29" s="372" t="e">
        <f>IF($BP$7="DSP",CV46,INDEX(ALPHA_DEUT!222:222,MATCH($BP$9,ALPHA_DEUT!$202:$202,0)))</f>
        <v>#N/A</v>
      </c>
      <c r="BQ29" s="372" t="e">
        <f>IF($BQ$7="DSP",CW46,INDEX(ALPHA_DEUT!222:222,MATCH($BQ$9,ALPHA_DEUT!$202:$202,0)))</f>
        <v>#N/A</v>
      </c>
      <c r="BR29"/>
      <c r="BS29"/>
      <c r="BT29"/>
      <c r="BU29"/>
      <c r="BV29"/>
      <c r="BW29"/>
      <c r="BX29"/>
      <c r="BZ29" s="324" t="str">
        <f>ALPHA_DEUT!Y135</f>
        <v>GL20h</v>
      </c>
      <c r="CB29" s="14" t="str">
        <f>ALPHA_DEUT!Y134</f>
        <v>GL20c</v>
      </c>
      <c r="CC29" s="320">
        <f>ALPHA_DEUT!Z134</f>
        <v>134</v>
      </c>
      <c r="CD29" s="14" t="str">
        <f>ALPHA_DEUT!AA134</f>
        <v>Nadel - Brettschichtholz</v>
      </c>
      <c r="CE29" s="345">
        <v>1</v>
      </c>
      <c r="CF29" s="345"/>
      <c r="CG29" s="345"/>
      <c r="CH29" s="320">
        <f t="shared" si="4"/>
        <v>1341</v>
      </c>
      <c r="CI29" s="320">
        <f t="shared" si="0"/>
        <v>1341</v>
      </c>
      <c r="CJ29" s="346">
        <f t="shared" si="1"/>
        <v>1341</v>
      </c>
      <c r="CK29" s="346">
        <f t="shared" si="2"/>
        <v>1341</v>
      </c>
      <c r="CL29" s="346">
        <f t="shared" si="3"/>
        <v>1341</v>
      </c>
    </row>
    <row r="30" spans="1:118" ht="15" customHeight="1">
      <c r="A30" s="466"/>
      <c r="O30" s="468">
        <v>140</v>
      </c>
      <c r="U30" s="468">
        <v>140</v>
      </c>
      <c r="W30" s="468">
        <v>140</v>
      </c>
      <c r="Y30" s="468">
        <v>140</v>
      </c>
      <c r="AL30" s="491" t="s">
        <v>1632</v>
      </c>
      <c r="AV30" s="466"/>
      <c r="AW30" s="466"/>
      <c r="AX30" s="466"/>
      <c r="AY30" s="169"/>
      <c r="AZ30" s="355" t="s">
        <v>977</v>
      </c>
      <c r="BA30" s="316" t="s">
        <v>974</v>
      </c>
      <c r="BB30" s="356">
        <f>BM27</f>
        <v>7400</v>
      </c>
      <c r="BC30" s="356">
        <f>BN27</f>
        <v>9600</v>
      </c>
      <c r="BD30" s="356">
        <f>BO27</f>
        <v>9600</v>
      </c>
      <c r="BE30" s="356" t="e">
        <f>BP27</f>
        <v>#N/A</v>
      </c>
      <c r="BF30" s="356" t="e">
        <f>BQ27</f>
        <v>#N/A</v>
      </c>
      <c r="BG30"/>
      <c r="BH30"/>
      <c r="BI30"/>
      <c r="BJ30" s="330">
        <v>25</v>
      </c>
      <c r="BK30" s="4" t="str">
        <f>ALPHA_DEUT!AI223</f>
        <v>Fraktilwert - Schubmodul</v>
      </c>
      <c r="BL30" s="40" t="str">
        <f>ALPHA_DEUT!AJ223</f>
        <v>G0,0.05 [N/mm2]</v>
      </c>
      <c r="BM30" s="372">
        <f>IF($BM$7="DSP",CS47,INDEX(ALPHA_DEUT!223:223,MATCH($BM$9,ALPHA_DEUT!$202:$202,0)))</f>
        <v>0</v>
      </c>
      <c r="BN30" s="372">
        <f>IF($BN$7="DSP",CT47,INDEX(ALPHA_DEUT!223:223,MATCH($BN$9,ALPHA_DEUT!$202:$202,0)))</f>
        <v>540</v>
      </c>
      <c r="BO30" s="372">
        <f>IF($BO$7="DSP",CU47,INDEX(ALPHA_DEUT!223:223,MATCH($BO$9,ALPHA_DEUT!$202:$202,0)))</f>
        <v>540</v>
      </c>
      <c r="BP30" s="372" t="e">
        <f>IF($BP$7="DSP",CV47,INDEX(ALPHA_DEUT!223:223,MATCH($BP$9,ALPHA_DEUT!$202:$202,0)))</f>
        <v>#N/A</v>
      </c>
      <c r="BQ30" s="372" t="e">
        <f>IF($BQ$7="DSP",CW47,INDEX(ALPHA_DEUT!223:223,MATCH($BQ$9,ALPHA_DEUT!$202:$202,0)))</f>
        <v>#N/A</v>
      </c>
      <c r="BR30"/>
      <c r="BS30" s="321" t="s">
        <v>509</v>
      </c>
      <c r="BT30" s="322"/>
      <c r="BU30" s="322"/>
      <c r="BV30" s="322"/>
      <c r="BW30" s="322"/>
      <c r="BX30" s="334"/>
      <c r="BZ30" s="324" t="str">
        <f>ALPHA_DEUT!Y136</f>
        <v>GL22c</v>
      </c>
      <c r="CB30" s="14" t="str">
        <f>ALPHA_DEUT!Y135</f>
        <v>GL20h</v>
      </c>
      <c r="CC30" s="320">
        <f>ALPHA_DEUT!Z135</f>
        <v>135</v>
      </c>
      <c r="CD30" s="14" t="str">
        <f>ALPHA_DEUT!AA135</f>
        <v>Nadel - Brettschichtholz</v>
      </c>
      <c r="CE30" s="345">
        <v>1</v>
      </c>
      <c r="CF30" s="345"/>
      <c r="CG30" s="345"/>
      <c r="CH30" s="320">
        <f t="shared" si="4"/>
        <v>1351</v>
      </c>
      <c r="CI30" s="320">
        <f t="shared" si="0"/>
        <v>1351</v>
      </c>
      <c r="CJ30" s="346">
        <f t="shared" si="1"/>
        <v>1351</v>
      </c>
      <c r="CK30" s="346">
        <f t="shared" si="2"/>
        <v>1351</v>
      </c>
      <c r="CL30" s="346">
        <f t="shared" si="3"/>
        <v>1351</v>
      </c>
    </row>
    <row r="31" spans="1:118" ht="15" customHeight="1">
      <c r="A31" s="466"/>
      <c r="O31" s="468">
        <v>160</v>
      </c>
      <c r="U31" s="468">
        <v>160</v>
      </c>
      <c r="W31" s="468">
        <v>160</v>
      </c>
      <c r="Y31" s="468">
        <v>160</v>
      </c>
      <c r="AV31" s="466"/>
      <c r="AW31" s="466"/>
      <c r="AX31" s="466"/>
      <c r="AY31" s="169"/>
      <c r="AZ31" s="355" t="s">
        <v>976</v>
      </c>
      <c r="BA31" s="544" t="s">
        <v>978</v>
      </c>
      <c r="BB31" s="356">
        <f>BM72</f>
        <v>0.2</v>
      </c>
      <c r="BC31" s="356">
        <f>BN72</f>
        <v>0.1</v>
      </c>
      <c r="BD31" s="356">
        <f>BO72</f>
        <v>0.1</v>
      </c>
      <c r="BE31" s="356" t="e">
        <f>BP72</f>
        <v>#N/A</v>
      </c>
      <c r="BF31" s="356" t="e">
        <f>BQ72</f>
        <v>#N/A</v>
      </c>
      <c r="BG31"/>
      <c r="BH31"/>
      <c r="BI31"/>
      <c r="BJ31" s="330">
        <v>26</v>
      </c>
      <c r="BK31" s="4" t="str">
        <f>ALPHA_DEUT!AI224</f>
        <v>Rollschubmodul</v>
      </c>
      <c r="BL31" s="40" t="str">
        <f>ALPHA_DEUT!AJ224</f>
        <v>GR,mean [N/mm2]</v>
      </c>
      <c r="BM31" s="372">
        <f>IF($BM$7="DSP",CS48,INDEX(ALPHA_DEUT!224:224,MATCH($BM$9,ALPHA_DEUT!$202:$202,0)))</f>
        <v>0</v>
      </c>
      <c r="BN31" s="372">
        <f>IF($BN$7="DSP",CT48,INDEX(ALPHA_DEUT!224:224,MATCH($BN$9,ALPHA_DEUT!$202:$202,0)))</f>
        <v>65</v>
      </c>
      <c r="BO31" s="372">
        <f>IF($BO$7="DSP",CU48,INDEX(ALPHA_DEUT!224:224,MATCH($BO$9,ALPHA_DEUT!$202:$202,0)))</f>
        <v>65</v>
      </c>
      <c r="BP31" s="372" t="e">
        <f>IF($BP$7="DSP",CV48,INDEX(ALPHA_DEUT!224:224,MATCH($BP$9,ALPHA_DEUT!$202:$202,0)))</f>
        <v>#N/A</v>
      </c>
      <c r="BQ31" s="372" t="e">
        <f>IF($BQ$7="DSP",CW48,INDEX(ALPHA_DEUT!224:224,MATCH($BQ$9,ALPHA_DEUT!$202:$202,0)))</f>
        <v>#N/A</v>
      </c>
      <c r="BR31"/>
      <c r="BS31" s="319" t="s">
        <v>113</v>
      </c>
      <c r="BT31" s="337" t="s">
        <v>473</v>
      </c>
      <c r="BU31" s="337" t="s">
        <v>474</v>
      </c>
      <c r="BV31" s="337" t="s">
        <v>49</v>
      </c>
      <c r="BW31" s="337" t="s">
        <v>475</v>
      </c>
      <c r="BX31" s="338" t="s">
        <v>486</v>
      </c>
      <c r="BZ31" s="324" t="str">
        <f>ALPHA_DEUT!Y137</f>
        <v>GL22h</v>
      </c>
      <c r="CB31" s="14" t="str">
        <f>ALPHA_DEUT!Y136</f>
        <v>GL22c</v>
      </c>
      <c r="CC31" s="320">
        <f>ALPHA_DEUT!Z136</f>
        <v>136</v>
      </c>
      <c r="CD31" s="14" t="str">
        <f>ALPHA_DEUT!AA136</f>
        <v>Nadel - Brettschichtholz</v>
      </c>
      <c r="CE31" s="345">
        <v>1</v>
      </c>
      <c r="CF31" s="345"/>
      <c r="CG31" s="345"/>
      <c r="CH31" s="320">
        <f>VALUE(CC31&amp;MATCH($CH$6,CE31:CG31,1))</f>
        <v>1361</v>
      </c>
      <c r="CI31" s="320">
        <f t="shared" si="0"/>
        <v>1361</v>
      </c>
      <c r="CJ31" s="346">
        <f t="shared" si="1"/>
        <v>1361</v>
      </c>
      <c r="CK31" s="346">
        <f t="shared" si="2"/>
        <v>1361</v>
      </c>
      <c r="CL31" s="346">
        <f t="shared" si="3"/>
        <v>1361</v>
      </c>
    </row>
    <row r="32" spans="1:118" ht="15" customHeight="1">
      <c r="A32" s="466"/>
      <c r="O32" s="468">
        <v>180</v>
      </c>
      <c r="U32" s="468">
        <v>180</v>
      </c>
      <c r="W32" s="468">
        <v>180</v>
      </c>
      <c r="Y32" s="468">
        <v>180</v>
      </c>
      <c r="AL32" s="289" t="s">
        <v>1633</v>
      </c>
      <c r="AV32" s="466"/>
      <c r="AW32" s="466"/>
      <c r="AX32" s="466"/>
      <c r="AY32" s="169"/>
      <c r="BG32"/>
      <c r="BH32"/>
      <c r="BI32"/>
      <c r="BJ32" s="330">
        <v>27</v>
      </c>
      <c r="BK32" s="4" t="str">
        <f>ALPHA_DEUT!AI225</f>
        <v>Fraktilwert - Rollschubmodul</v>
      </c>
      <c r="BL32" s="40" t="str">
        <f>ALPHA_DEUT!AJ225</f>
        <v>GR,0,05 [N/mm2]</v>
      </c>
      <c r="BM32" s="372">
        <f>IF($BM$7="DSP",CS49,INDEX(ALPHA_DEUT!225:225,MATCH($BM$9,ALPHA_DEUT!$202:$202,0)))</f>
        <v>0</v>
      </c>
      <c r="BN32" s="372">
        <f>IF($BN$7="DSP",CT49,INDEX(ALPHA_DEUT!225:225,MATCH($BN$9,ALPHA_DEUT!$202:$202,0)))</f>
        <v>54</v>
      </c>
      <c r="BO32" s="372">
        <f>IF($BO$7="DSP",CU49,INDEX(ALPHA_DEUT!225:225,MATCH($BO$9,ALPHA_DEUT!$202:$202,0)))</f>
        <v>54</v>
      </c>
      <c r="BP32" s="372" t="e">
        <f>IF($BP$7="DSP",CV49,INDEX(ALPHA_DEUT!225:225,MATCH($BP$9,ALPHA_DEUT!$202:$202,0)))</f>
        <v>#N/A</v>
      </c>
      <c r="BQ32" s="372" t="e">
        <f>IF($BQ$7="DSP",CW49,INDEX(ALPHA_DEUT!225:225,MATCH($BQ$9,ALPHA_DEUT!$202:$202,0)))</f>
        <v>#N/A</v>
      </c>
      <c r="BR32"/>
      <c r="BS32" s="319" t="str">
        <f>MAT.5</f>
        <v>GL36h</v>
      </c>
      <c r="BT32" s="327" t="e">
        <f>INDEX(#REF!,MATCH(MAT.5,#REF!,0))</f>
        <v>#REF!</v>
      </c>
      <c r="BU32" s="323" t="e">
        <f>INDEX(#REF!,MATCH(BT32,#REF!,0))</f>
        <v>#REF!</v>
      </c>
      <c r="BV32" s="319" t="e">
        <f>INDEX(#REF!,MATCH(AC14,#REF!,0))</f>
        <v>#REF!</v>
      </c>
      <c r="BW32" s="323" t="e">
        <f>VALUE(BU32&amp;INDEX(#REF!,MATCH(AC14,#REF!,0)))</f>
        <v>#REF!</v>
      </c>
      <c r="BX32" s="325" t="e">
        <f>INDEX(#REF!,MATCH(BW32,#REF!,0))</f>
        <v>#REF!</v>
      </c>
      <c r="BZ32" s="324" t="str">
        <f>ALPHA_DEUT!Y138</f>
        <v>GL24c</v>
      </c>
      <c r="CB32" s="14" t="str">
        <f>ALPHA_DEUT!Y137</f>
        <v>GL22h</v>
      </c>
      <c r="CC32" s="320">
        <f>ALPHA_DEUT!Z137</f>
        <v>137</v>
      </c>
      <c r="CD32" s="14" t="str">
        <f>ALPHA_DEUT!AA137</f>
        <v>Nadel - Brettschichtholz</v>
      </c>
      <c r="CE32" s="345">
        <v>1</v>
      </c>
      <c r="CF32" s="345"/>
      <c r="CG32" s="345"/>
      <c r="CH32" s="320">
        <f t="shared" si="4"/>
        <v>1371</v>
      </c>
      <c r="CI32" s="320">
        <f t="shared" si="0"/>
        <v>1371</v>
      </c>
      <c r="CJ32" s="346">
        <f t="shared" si="1"/>
        <v>1371</v>
      </c>
      <c r="CK32" s="346">
        <f t="shared" si="2"/>
        <v>1371</v>
      </c>
      <c r="CL32" s="346">
        <f t="shared" si="3"/>
        <v>1371</v>
      </c>
    </row>
    <row r="33" spans="1:90" ht="15" customHeight="1">
      <c r="A33" s="466"/>
      <c r="O33" s="468">
        <v>200</v>
      </c>
      <c r="U33" s="468">
        <v>200</v>
      </c>
      <c r="W33" s="468">
        <v>200</v>
      </c>
      <c r="Y33" s="468">
        <v>200</v>
      </c>
      <c r="AD33" s="466"/>
      <c r="AL33" s="289" t="s">
        <v>1634</v>
      </c>
      <c r="AT33" s="466"/>
      <c r="AU33" s="466"/>
      <c r="AV33" s="466"/>
      <c r="AW33" s="466"/>
      <c r="AX33" s="466"/>
      <c r="AY33" s="169"/>
      <c r="BG33"/>
      <c r="BH33"/>
      <c r="BI33"/>
      <c r="BJ33" s="330">
        <v>28</v>
      </c>
      <c r="BK33" s="436" t="str">
        <f>ALPHA_DEUT!AI226</f>
        <v>Beanspruchungsart: Scheibe / axiale Zug- und Druckstäbe</v>
      </c>
      <c r="BL33" s="436"/>
      <c r="BM33" s="400"/>
      <c r="BN33" s="400"/>
      <c r="BO33" s="400"/>
      <c r="BP33" s="400"/>
      <c r="BQ33" s="400"/>
      <c r="BR33"/>
      <c r="BS33" s="326" t="s">
        <v>467</v>
      </c>
      <c r="BT33" s="324" t="s">
        <v>466</v>
      </c>
      <c r="BU33" s="324" t="s">
        <v>468</v>
      </c>
      <c r="BV33" s="323" t="s">
        <v>481</v>
      </c>
      <c r="BW33" s="327" t="s">
        <v>476</v>
      </c>
      <c r="BX33"/>
      <c r="BZ33" s="324" t="str">
        <f>ALPHA_DEUT!Y139</f>
        <v>GL24h</v>
      </c>
      <c r="CB33" s="14" t="str">
        <f>ALPHA_DEUT!Y138</f>
        <v>GL24c</v>
      </c>
      <c r="CC33" s="320">
        <f>ALPHA_DEUT!Z138</f>
        <v>138</v>
      </c>
      <c r="CD33" s="14" t="str">
        <f>ALPHA_DEUT!AA138</f>
        <v>Nadel - Brettschichtholz</v>
      </c>
      <c r="CE33" s="345">
        <v>1</v>
      </c>
      <c r="CF33" s="345"/>
      <c r="CG33" s="345"/>
      <c r="CH33" s="320">
        <f t="shared" si="4"/>
        <v>1381</v>
      </c>
      <c r="CI33" s="320">
        <f t="shared" si="0"/>
        <v>1381</v>
      </c>
      <c r="CJ33" s="346">
        <f t="shared" si="1"/>
        <v>1381</v>
      </c>
      <c r="CK33" s="346">
        <f t="shared" si="2"/>
        <v>1381</v>
      </c>
      <c r="CL33" s="346">
        <f t="shared" si="3"/>
        <v>1381</v>
      </c>
    </row>
    <row r="34" spans="1:90" ht="15" customHeight="1">
      <c r="A34" s="466"/>
      <c r="O34" s="468"/>
      <c r="U34" s="468">
        <v>220</v>
      </c>
      <c r="Y34" s="468">
        <v>220</v>
      </c>
      <c r="AD34" s="466"/>
      <c r="AT34" s="466"/>
      <c r="AU34" s="466"/>
      <c r="AV34" s="466"/>
      <c r="AW34" s="466"/>
      <c r="AX34" s="466"/>
      <c r="AY34" s="169"/>
      <c r="BG34"/>
      <c r="BH34"/>
      <c r="BI34"/>
      <c r="BJ34" s="330"/>
      <c r="BK34" s="436"/>
      <c r="BL34" s="436"/>
      <c r="BM34" s="400"/>
      <c r="BN34" s="400"/>
      <c r="BO34" s="400"/>
      <c r="BP34" s="400"/>
      <c r="BQ34" s="400"/>
      <c r="BR34"/>
      <c r="BS34" s="326"/>
      <c r="BT34" s="324"/>
      <c r="BU34" s="324"/>
      <c r="BV34" s="323"/>
      <c r="BW34" s="327"/>
      <c r="BX34"/>
      <c r="BZ34" s="324"/>
      <c r="CB34" s="14"/>
      <c r="CC34" s="320"/>
      <c r="CD34" s="14"/>
      <c r="CE34" s="345"/>
      <c r="CF34" s="345"/>
      <c r="CG34" s="345"/>
      <c r="CH34" s="320"/>
      <c r="CI34" s="320"/>
      <c r="CJ34" s="346"/>
      <c r="CK34" s="346"/>
      <c r="CL34" s="346"/>
    </row>
    <row r="35" spans="1:90" ht="15" customHeight="1">
      <c r="A35" s="466"/>
      <c r="O35" s="468"/>
      <c r="U35" s="468">
        <v>240</v>
      </c>
      <c r="Y35" s="468">
        <v>240</v>
      </c>
      <c r="AD35" s="466"/>
      <c r="AT35" s="466"/>
      <c r="AU35" s="466"/>
      <c r="AV35" s="466"/>
      <c r="AW35" s="466"/>
      <c r="AX35" s="466"/>
      <c r="AY35" s="169"/>
      <c r="BG35"/>
      <c r="BH35"/>
      <c r="BI35"/>
      <c r="BJ35" s="330"/>
      <c r="BK35" s="436"/>
      <c r="BL35" s="436"/>
      <c r="BM35" s="400"/>
      <c r="BN35" s="400"/>
      <c r="BO35" s="400"/>
      <c r="BP35" s="400"/>
      <c r="BQ35" s="400"/>
      <c r="BR35"/>
      <c r="BS35" s="326"/>
      <c r="BT35" s="324"/>
      <c r="BU35" s="324"/>
      <c r="BV35" s="323"/>
      <c r="BW35" s="327"/>
      <c r="BX35"/>
      <c r="BZ35" s="324"/>
      <c r="CB35" s="14"/>
      <c r="CC35" s="320"/>
      <c r="CD35" s="14"/>
      <c r="CE35" s="345"/>
      <c r="CF35" s="345"/>
      <c r="CG35" s="345"/>
      <c r="CH35" s="320"/>
      <c r="CI35" s="320"/>
      <c r="CJ35" s="346"/>
      <c r="CK35" s="346"/>
      <c r="CL35" s="346"/>
    </row>
    <row r="36" spans="1:90" ht="15" customHeight="1">
      <c r="A36" s="466"/>
      <c r="O36" s="468"/>
      <c r="U36" s="468"/>
      <c r="W36" s="468"/>
      <c r="Y36" s="468"/>
      <c r="AD36" s="466"/>
      <c r="AT36" s="466"/>
      <c r="AU36" s="466"/>
      <c r="AV36" s="466"/>
      <c r="AW36" s="466"/>
      <c r="AX36" s="466"/>
      <c r="AY36" s="169"/>
      <c r="BG36"/>
      <c r="BH36"/>
      <c r="BI36"/>
      <c r="BJ36" s="330"/>
      <c r="BK36" s="436"/>
      <c r="BL36" s="436"/>
      <c r="BM36" s="400"/>
      <c r="BN36" s="400"/>
      <c r="BO36" s="400"/>
      <c r="BP36" s="400"/>
      <c r="BQ36" s="400"/>
      <c r="BR36"/>
      <c r="BS36" s="326"/>
      <c r="BT36" s="324"/>
      <c r="BU36" s="324"/>
      <c r="BV36" s="323"/>
      <c r="BW36" s="327"/>
      <c r="BX36"/>
      <c r="BZ36" s="324"/>
      <c r="CB36" s="14"/>
      <c r="CC36" s="320"/>
      <c r="CD36" s="14"/>
      <c r="CE36" s="345"/>
      <c r="CF36" s="345"/>
      <c r="CG36" s="345"/>
      <c r="CH36" s="320"/>
      <c r="CI36" s="320"/>
      <c r="CJ36" s="346"/>
      <c r="CK36" s="346"/>
      <c r="CL36" s="346"/>
    </row>
    <row r="37" spans="1:90" ht="15" customHeight="1">
      <c r="A37" s="466"/>
      <c r="O37" s="468"/>
      <c r="U37" s="468"/>
      <c r="W37" s="468"/>
      <c r="Y37" s="468"/>
      <c r="AD37" s="466"/>
      <c r="AT37" s="466"/>
      <c r="AU37" s="466"/>
      <c r="AV37" s="466"/>
      <c r="AW37" s="466"/>
      <c r="AX37" s="466"/>
      <c r="AY37" s="169"/>
      <c r="BG37"/>
      <c r="BH37"/>
      <c r="BI37"/>
      <c r="BJ37" s="330"/>
      <c r="BK37" s="436"/>
      <c r="BL37" s="436"/>
      <c r="BM37" s="400"/>
      <c r="BN37" s="400"/>
      <c r="BO37" s="400"/>
      <c r="BP37" s="400"/>
      <c r="BQ37" s="400"/>
      <c r="BR37"/>
      <c r="BS37" s="326"/>
      <c r="BT37" s="324"/>
      <c r="BU37" s="324"/>
      <c r="BV37" s="323"/>
      <c r="BW37" s="327"/>
      <c r="BX37"/>
      <c r="BZ37" s="324"/>
      <c r="CB37" s="14"/>
      <c r="CC37" s="320"/>
      <c r="CD37" s="14"/>
      <c r="CE37" s="345"/>
      <c r="CF37" s="345"/>
      <c r="CG37" s="345"/>
      <c r="CH37" s="320"/>
      <c r="CI37" s="320"/>
      <c r="CJ37" s="346"/>
      <c r="CK37" s="346"/>
      <c r="CL37" s="346"/>
    </row>
    <row r="38" spans="1:90" ht="15" customHeight="1">
      <c r="A38" s="466"/>
      <c r="D38" s="541" t="s">
        <v>1566</v>
      </c>
      <c r="O38" s="468"/>
      <c r="U38" s="468"/>
      <c r="W38" s="468"/>
      <c r="Y38" s="468"/>
      <c r="AD38" s="466"/>
      <c r="AT38" s="466"/>
      <c r="AU38" s="466"/>
      <c r="AV38" s="466"/>
      <c r="AW38" s="466"/>
      <c r="AX38" s="466"/>
      <c r="AY38" s="169"/>
      <c r="BG38"/>
      <c r="BH38"/>
      <c r="BI38"/>
      <c r="BJ38" s="330"/>
      <c r="BK38" s="436"/>
      <c r="BL38" s="436"/>
      <c r="BM38" s="400"/>
      <c r="BN38" s="400"/>
      <c r="BO38" s="400"/>
      <c r="BP38" s="400"/>
      <c r="BQ38" s="400"/>
      <c r="BR38"/>
      <c r="BS38" s="326"/>
      <c r="BT38" s="324"/>
      <c r="BU38" s="324"/>
      <c r="BV38" s="323"/>
      <c r="BW38" s="327"/>
      <c r="BX38"/>
      <c r="BZ38" s="324"/>
      <c r="CB38" s="14"/>
      <c r="CC38" s="320"/>
      <c r="CD38" s="14"/>
      <c r="CE38" s="345"/>
      <c r="CF38" s="345"/>
      <c r="CG38" s="345"/>
      <c r="CH38" s="320"/>
      <c r="CI38" s="320"/>
      <c r="CJ38" s="346"/>
      <c r="CK38" s="346"/>
      <c r="CL38" s="346"/>
    </row>
    <row r="39" spans="1:90" ht="15" customHeight="1">
      <c r="A39" s="466"/>
      <c r="O39" s="468"/>
      <c r="U39" s="468"/>
      <c r="W39" s="468"/>
      <c r="Y39" s="468"/>
      <c r="AD39" s="466"/>
      <c r="AT39" s="466"/>
      <c r="AU39" s="466"/>
      <c r="AV39" s="466"/>
      <c r="AW39" s="466"/>
      <c r="AX39" s="466"/>
      <c r="AY39" s="169"/>
      <c r="BG39"/>
      <c r="BH39"/>
      <c r="BI39"/>
      <c r="BJ39" s="330"/>
      <c r="BK39" s="436"/>
      <c r="BL39" s="436"/>
      <c r="BM39" s="400"/>
      <c r="BN39" s="400"/>
      <c r="BO39" s="400"/>
      <c r="BP39" s="400"/>
      <c r="BQ39" s="400"/>
      <c r="BR39"/>
      <c r="BS39" s="326"/>
      <c r="BT39" s="324"/>
      <c r="BU39" s="324"/>
      <c r="BV39" s="323"/>
      <c r="BW39" s="327"/>
      <c r="BX39"/>
      <c r="BZ39" s="324"/>
      <c r="CB39" s="14"/>
      <c r="CC39" s="320"/>
      <c r="CD39" s="14"/>
      <c r="CE39" s="345"/>
      <c r="CF39" s="345"/>
      <c r="CG39" s="345"/>
      <c r="CH39" s="320"/>
      <c r="CI39" s="320"/>
      <c r="CJ39" s="346"/>
      <c r="CK39" s="346"/>
      <c r="CL39" s="346"/>
    </row>
    <row r="40" spans="1:90" ht="15" customHeight="1">
      <c r="A40" s="466"/>
      <c r="D40" s="496"/>
      <c r="E40" s="494">
        <f>S50</f>
        <v>2.5</v>
      </c>
      <c r="F40" s="495">
        <f t="shared" ref="F40:O40" si="8">T50</f>
        <v>2.65</v>
      </c>
      <c r="G40" s="495">
        <f t="shared" si="8"/>
        <v>2.85</v>
      </c>
      <c r="H40" s="494">
        <f t="shared" si="8"/>
        <v>3</v>
      </c>
      <c r="I40" s="494">
        <f t="shared" si="8"/>
        <v>3.5</v>
      </c>
      <c r="J40" s="494">
        <f t="shared" si="8"/>
        <v>4</v>
      </c>
      <c r="K40" s="494">
        <f t="shared" si="8"/>
        <v>4.5</v>
      </c>
      <c r="L40" s="494">
        <f t="shared" si="8"/>
        <v>5</v>
      </c>
      <c r="M40" s="494">
        <f t="shared" si="8"/>
        <v>5.3</v>
      </c>
      <c r="N40" s="494">
        <f t="shared" si="8"/>
        <v>5.7</v>
      </c>
      <c r="O40" s="494">
        <f t="shared" si="8"/>
        <v>6</v>
      </c>
      <c r="U40" s="468"/>
      <c r="W40" s="468"/>
      <c r="Y40" s="468"/>
      <c r="AD40" s="466"/>
      <c r="AT40" s="466"/>
      <c r="AU40" s="466"/>
      <c r="AV40" s="466"/>
      <c r="AW40" s="466"/>
      <c r="AX40" s="466"/>
      <c r="AY40" s="169"/>
      <c r="BG40"/>
      <c r="BH40"/>
      <c r="BI40"/>
      <c r="BJ40" s="330"/>
      <c r="BK40" s="436"/>
      <c r="BL40" s="436"/>
      <c r="BM40" s="400"/>
      <c r="BN40" s="400"/>
      <c r="BO40" s="400"/>
      <c r="BP40" s="400"/>
      <c r="BQ40" s="400"/>
      <c r="BR40"/>
      <c r="BS40" s="326"/>
      <c r="BT40" s="324"/>
      <c r="BU40" s="324"/>
      <c r="BV40" s="323"/>
      <c r="BW40" s="327"/>
      <c r="BX40"/>
      <c r="BZ40" s="324"/>
      <c r="CB40" s="14"/>
      <c r="CC40" s="320"/>
      <c r="CD40" s="14"/>
      <c r="CE40" s="345"/>
      <c r="CF40" s="345"/>
      <c r="CG40" s="345"/>
      <c r="CH40" s="320"/>
      <c r="CI40" s="320"/>
      <c r="CJ40" s="346"/>
      <c r="CK40" s="346"/>
      <c r="CL40" s="346"/>
    </row>
    <row r="41" spans="1:90" ht="15" customHeight="1">
      <c r="A41" s="466"/>
      <c r="D41" s="497" t="s">
        <v>1567</v>
      </c>
      <c r="E41" s="348">
        <f ca="1">a_k+5*'Rasterbemessung DE UZ ST'!C12/1000</f>
        <v>3.7</v>
      </c>
      <c r="F41" s="348">
        <f ca="1">a_k+5*'Rasterbemessung DE UZ ST'!D12/1000</f>
        <v>3.7</v>
      </c>
      <c r="G41" s="348">
        <f ca="1">a_k+5*'Rasterbemessung DE UZ ST'!E12/1000</f>
        <v>3.7</v>
      </c>
      <c r="H41" s="348">
        <f ca="1">a_k+5*'Rasterbemessung DE UZ ST'!F12/1000</f>
        <v>3.7</v>
      </c>
      <c r="I41" s="348">
        <f ca="1">a_k+5*'Rasterbemessung DE UZ ST'!G12/1000</f>
        <v>3.8</v>
      </c>
      <c r="J41" s="348">
        <f ca="1">a_k+5*'Rasterbemessung DE UZ ST'!H12/1000</f>
        <v>3.9000000000000004</v>
      </c>
      <c r="K41" s="348">
        <f ca="1">a_k+5*'Rasterbemessung DE UZ ST'!I12/1000</f>
        <v>4</v>
      </c>
      <c r="L41" s="348">
        <f ca="1">a_k+5*'Rasterbemessung DE UZ ST'!J12/1000</f>
        <v>4.2</v>
      </c>
      <c r="M41" s="348">
        <f ca="1">a_k+5*'Rasterbemessung DE UZ ST'!K12/1000</f>
        <v>4.2</v>
      </c>
      <c r="N41" s="348">
        <f ca="1">a_k+5*'Rasterbemessung DE UZ ST'!L12/1000</f>
        <v>3.9000000000000004</v>
      </c>
      <c r="O41" s="348">
        <f ca="1">a_k+5*'Rasterbemessung DE UZ ST'!M12/1000</f>
        <v>3.9000000000000004</v>
      </c>
      <c r="U41" s="468"/>
      <c r="W41" s="468"/>
      <c r="Y41" s="468"/>
      <c r="AD41" s="466"/>
      <c r="AT41" s="466"/>
      <c r="AU41" s="466"/>
      <c r="AV41" s="466"/>
      <c r="AW41" s="466"/>
      <c r="AX41" s="466"/>
      <c r="AY41" s="169"/>
      <c r="BG41"/>
      <c r="BH41"/>
      <c r="BI41"/>
      <c r="BJ41" s="330"/>
      <c r="BK41" s="436"/>
      <c r="BL41" s="436"/>
      <c r="BM41" s="400"/>
      <c r="BN41" s="400"/>
      <c r="BO41" s="400"/>
      <c r="BP41" s="400"/>
      <c r="BQ41" s="400"/>
      <c r="BR41"/>
      <c r="BS41" s="326"/>
      <c r="BT41" s="324"/>
      <c r="BU41" s="324"/>
      <c r="BV41" s="323"/>
      <c r="BW41" s="327"/>
      <c r="BX41"/>
      <c r="BZ41" s="324"/>
      <c r="CB41" s="14"/>
      <c r="CC41" s="320"/>
      <c r="CD41" s="14"/>
      <c r="CE41" s="345"/>
      <c r="CF41" s="345"/>
      <c r="CG41" s="345"/>
      <c r="CH41" s="320"/>
      <c r="CI41" s="320"/>
      <c r="CJ41" s="346"/>
      <c r="CK41" s="346"/>
      <c r="CL41" s="346"/>
    </row>
    <row r="42" spans="1:90" ht="15" customHeight="1">
      <c r="A42" s="466"/>
      <c r="D42" s="497" t="s">
        <v>1568</v>
      </c>
      <c r="E42" s="348">
        <f t="shared" ref="E42:O42" si="9">q_k</f>
        <v>2.2999999999999998</v>
      </c>
      <c r="F42" s="348">
        <f t="shared" si="9"/>
        <v>2.2999999999999998</v>
      </c>
      <c r="G42" s="348">
        <f t="shared" si="9"/>
        <v>2.2999999999999998</v>
      </c>
      <c r="H42" s="348">
        <f t="shared" si="9"/>
        <v>2.2999999999999998</v>
      </c>
      <c r="I42" s="348">
        <f t="shared" si="9"/>
        <v>2.2999999999999998</v>
      </c>
      <c r="J42" s="348">
        <f t="shared" si="9"/>
        <v>2.2999999999999998</v>
      </c>
      <c r="K42" s="348">
        <f t="shared" si="9"/>
        <v>2.2999999999999998</v>
      </c>
      <c r="L42" s="348">
        <f t="shared" si="9"/>
        <v>2.2999999999999998</v>
      </c>
      <c r="M42" s="348">
        <f t="shared" si="9"/>
        <v>2.2999999999999998</v>
      </c>
      <c r="N42" s="348">
        <f t="shared" si="9"/>
        <v>2.2999999999999998</v>
      </c>
      <c r="O42" s="348">
        <f t="shared" si="9"/>
        <v>2.2999999999999998</v>
      </c>
      <c r="U42" s="468"/>
      <c r="W42" s="468"/>
      <c r="Y42" s="468"/>
      <c r="AD42" s="466"/>
      <c r="AT42" s="466"/>
      <c r="AU42" s="466"/>
      <c r="AV42" s="466"/>
      <c r="AW42" s="466"/>
      <c r="AX42" s="466"/>
      <c r="AY42" s="169"/>
      <c r="BG42"/>
      <c r="BH42"/>
      <c r="BI42"/>
      <c r="BJ42" s="330"/>
      <c r="BK42" s="436"/>
      <c r="BL42" s="436"/>
      <c r="BM42" s="400"/>
      <c r="BN42" s="400"/>
      <c r="BO42" s="400"/>
      <c r="BP42" s="400"/>
      <c r="BQ42" s="400"/>
      <c r="BR42"/>
      <c r="BS42" s="326"/>
      <c r="BT42" s="324"/>
      <c r="BU42" s="324"/>
      <c r="BV42" s="323"/>
      <c r="BW42" s="327"/>
      <c r="BX42"/>
      <c r="BZ42" s="324"/>
      <c r="CB42" s="14"/>
      <c r="CC42" s="320"/>
      <c r="CD42" s="14"/>
      <c r="CE42" s="345"/>
      <c r="CF42" s="345"/>
      <c r="CG42" s="345"/>
      <c r="CH42" s="320"/>
      <c r="CI42" s="320"/>
      <c r="CJ42" s="346"/>
      <c r="CK42" s="346"/>
      <c r="CL42" s="346"/>
    </row>
    <row r="43" spans="1:90" ht="15" customHeight="1">
      <c r="A43" s="466"/>
      <c r="D43" s="497" t="s">
        <v>1569</v>
      </c>
      <c r="E43" s="348">
        <f ca="1">1.35*g_k_250+1.5*E42</f>
        <v>8.4450000000000003</v>
      </c>
      <c r="F43" s="348">
        <f ca="1">1.35*g_k_265+1.5*F42</f>
        <v>8.4450000000000003</v>
      </c>
      <c r="G43" s="348">
        <f ca="1">1.35*g_k_285+1.5*G42</f>
        <v>8.4450000000000003</v>
      </c>
      <c r="H43" s="348">
        <f ca="1">1.35*g_k_300+1.5*H42</f>
        <v>8.4450000000000003</v>
      </c>
      <c r="I43" s="348">
        <f ca="1">1.35*g_k_350+1.5*I42</f>
        <v>8.58</v>
      </c>
      <c r="J43" s="348">
        <f ca="1">1.35*g_k_400+1.5*J42</f>
        <v>8.7149999999999999</v>
      </c>
      <c r="K43" s="348">
        <f ca="1">1.35*g_k_450+1.5*K42</f>
        <v>8.85</v>
      </c>
      <c r="L43" s="348">
        <f ca="1">1.35*g_k_500+1.5*L42</f>
        <v>9.120000000000001</v>
      </c>
      <c r="M43" s="348">
        <f ca="1">1.35*g_k_530+1.5*M42</f>
        <v>9.120000000000001</v>
      </c>
      <c r="N43" s="348">
        <f ca="1">1.35*g_k_570+1.5*N42</f>
        <v>8.7149999999999999</v>
      </c>
      <c r="O43" s="348">
        <f ca="1">1.35*g_k_600+1.5*O42</f>
        <v>8.7149999999999999</v>
      </c>
      <c r="AD43" s="466"/>
      <c r="AT43" s="466"/>
      <c r="AU43" s="466"/>
      <c r="AV43" s="466"/>
      <c r="AW43" s="466"/>
      <c r="AX43" s="466"/>
      <c r="AY43" s="169"/>
      <c r="AZ43" s="499" t="s">
        <v>731</v>
      </c>
      <c r="BG43"/>
      <c r="BH43"/>
      <c r="BI43"/>
      <c r="BJ43" s="330">
        <v>29</v>
      </c>
      <c r="BK43" s="4" t="str">
        <f>ALPHA_DEUT!AI227</f>
        <v xml:space="preserve">Biegung </v>
      </c>
      <c r="BL43" s="40" t="str">
        <f>ALPHA_DEUT!AJ227</f>
        <v>fm,k [N/mm2]</v>
      </c>
      <c r="BM43" s="372">
        <f>IF($BM$7="DSP",CS51,INDEX(ALPHA_DEUT!227:227,MATCH($BM$9,ALPHA_DEUT!$202:$202,0)))</f>
        <v>24</v>
      </c>
      <c r="BN43" s="372">
        <f>IF($BN$7="DSP",CT51,INDEX(ALPHA_DEUT!227:227,MATCH($BN$9,ALPHA_DEUT!$202:$202,0)))</f>
        <v>24</v>
      </c>
      <c r="BO43" s="372">
        <f>IF($BO$7="DSP",CU51,INDEX(ALPHA_DEUT!227:227,MATCH($BO$9,ALPHA_DEUT!$202:$202,0)))</f>
        <v>24</v>
      </c>
      <c r="BP43" s="372" t="e">
        <f>IF($BP$7="DSP",CV51,INDEX(ALPHA_DEUT!227:227,MATCH($BP$9,ALPHA_DEUT!$202:$202,0)))</f>
        <v>#N/A</v>
      </c>
      <c r="BQ43" s="372" t="e">
        <f>IF($BQ$7="DSP",CW51,INDEX(ALPHA_DEUT!227:227,MATCH($BQ$9,ALPHA_DEUT!$202:$202,0)))</f>
        <v>#N/A</v>
      </c>
      <c r="BR43"/>
      <c r="BS43" s="323" t="e">
        <f>#REF!</f>
        <v>#REF!</v>
      </c>
      <c r="BT43" s="325" t="e">
        <f>INDEX(#REF!,MATCH(BT32,#REF!,0))</f>
        <v>#REF!</v>
      </c>
      <c r="BU43" s="325" t="e">
        <f>VLOOKUP(BW32,#REF!,VALUE(1+MATCH(BS43,#REF!,0)),FALSE)</f>
        <v>#REF!</v>
      </c>
      <c r="BV43" s="325" t="e">
        <f>n.mod.5/g.M.5</f>
        <v>#REF!</v>
      </c>
      <c r="BW43" s="325" t="e">
        <f>INDEX(#REF!,MATCH(BW32,#REF!,0))</f>
        <v>#REF!</v>
      </c>
      <c r="BX43"/>
      <c r="BZ43" s="324" t="str">
        <f>ALPHA_DEUT!Y140</f>
        <v>GL26c</v>
      </c>
      <c r="CB43" s="14" t="str">
        <f>ALPHA_DEUT!Y139</f>
        <v>GL24h</v>
      </c>
      <c r="CC43" s="320">
        <f>ALPHA_DEUT!Z139</f>
        <v>139</v>
      </c>
      <c r="CD43" s="14" t="str">
        <f>ALPHA_DEUT!AA139</f>
        <v>Nadel - Brettschichtholz</v>
      </c>
      <c r="CE43" s="345">
        <v>1</v>
      </c>
      <c r="CF43" s="345"/>
      <c r="CG43" s="345"/>
      <c r="CH43" s="320">
        <f t="shared" si="4"/>
        <v>1391</v>
      </c>
      <c r="CI43" s="320">
        <f t="shared" si="0"/>
        <v>1391</v>
      </c>
      <c r="CJ43" s="346">
        <f t="shared" si="1"/>
        <v>1391</v>
      </c>
      <c r="CK43" s="346">
        <f t="shared" si="2"/>
        <v>1391</v>
      </c>
      <c r="CL43" s="346">
        <f t="shared" si="3"/>
        <v>1391</v>
      </c>
    </row>
    <row r="44" spans="1:90" ht="15" customHeight="1">
      <c r="A44" s="466"/>
      <c r="D44" s="497" t="s">
        <v>1570</v>
      </c>
      <c r="E44" s="348">
        <f ca="1">1*g_k_250+psi_2*E42</f>
        <v>4.3900000000000006</v>
      </c>
      <c r="F44" s="348">
        <f ca="1">1*g_k_265+psi_2*F42</f>
        <v>4.3900000000000006</v>
      </c>
      <c r="G44" s="348">
        <f ca="1">1*g_k_285+psi_2*G42</f>
        <v>4.3900000000000006</v>
      </c>
      <c r="H44" s="348">
        <f ca="1">1*g_k_300+psi_2*H42</f>
        <v>4.3900000000000006</v>
      </c>
      <c r="I44" s="348">
        <f ca="1">1*g_k_350+psi_2*I42</f>
        <v>4.49</v>
      </c>
      <c r="J44" s="348">
        <f ca="1">1*g_k_400+psi_2*J42</f>
        <v>4.59</v>
      </c>
      <c r="K44" s="348">
        <f ca="1">1*g_k_450+psi_2*K42</f>
        <v>4.6899999999999995</v>
      </c>
      <c r="L44" s="348">
        <f ca="1">1*g_k_500+psi_2*L42</f>
        <v>4.8900000000000006</v>
      </c>
      <c r="M44" s="348">
        <f ca="1">1*g_k_530+psi_2*M42</f>
        <v>4.8900000000000006</v>
      </c>
      <c r="N44" s="348">
        <f ca="1">1*g_k_570+psi_2*N42</f>
        <v>4.59</v>
      </c>
      <c r="O44" s="348">
        <f ca="1">1*g_k_600+psi_2*O42</f>
        <v>4.59</v>
      </c>
      <c r="AD44" s="466"/>
      <c r="AT44" s="466"/>
      <c r="AU44" s="466"/>
      <c r="AV44" s="466"/>
      <c r="AW44" s="466"/>
      <c r="AX44" s="466"/>
      <c r="AY44" s="169"/>
      <c r="AZ44" s="498" t="s">
        <v>911</v>
      </c>
      <c r="BA44" s="330" t="s">
        <v>902</v>
      </c>
      <c r="BB44" s="330" t="s">
        <v>903</v>
      </c>
      <c r="BC44" s="330" t="s">
        <v>904</v>
      </c>
      <c r="BD44" s="330" t="s">
        <v>905</v>
      </c>
      <c r="BE44" s="330" t="s">
        <v>906</v>
      </c>
      <c r="BF44" s="330" t="s">
        <v>907</v>
      </c>
      <c r="BG44" s="330" t="s">
        <v>984</v>
      </c>
      <c r="BH44"/>
      <c r="BI44"/>
      <c r="BJ44" s="330">
        <v>30</v>
      </c>
      <c r="BK44" s="4" t="str">
        <f>ALPHA_DEUT!AI228</f>
        <v xml:space="preserve">Zug ll zur Faserrichtung </v>
      </c>
      <c r="BL44" s="40" t="str">
        <f>ALPHA_DEUT!AJ228</f>
        <v>ft,0,k [N/mm2]</v>
      </c>
      <c r="BM44" s="372">
        <f>IF($BM$7="DSP",CS52,INDEX(ALPHA_DEUT!228:228,MATCH($BM$9,ALPHA_DEUT!$202:$202,0)))</f>
        <v>14</v>
      </c>
      <c r="BN44" s="372">
        <f>IF($BN$7="DSP",CT52,INDEX(ALPHA_DEUT!228:228,MATCH($BN$9,ALPHA_DEUT!$202:$202,0)))</f>
        <v>19.2</v>
      </c>
      <c r="BO44" s="372">
        <f>IF($BO$7="DSP",CU52,INDEX(ALPHA_DEUT!228:228,MATCH($BO$9,ALPHA_DEUT!$202:$202,0)))</f>
        <v>19.2</v>
      </c>
      <c r="BP44" s="372" t="e">
        <f>IF($BP$7="DSP",CV52,INDEX(ALPHA_DEUT!228:228,MATCH($BP$9,ALPHA_DEUT!$202:$202,0)))</f>
        <v>#N/A</v>
      </c>
      <c r="BQ44" s="372" t="e">
        <f>IF($BQ$7="DSP",CW52,INDEX(ALPHA_DEUT!228:228,MATCH($BQ$9,ALPHA_DEUT!$202:$202,0)))</f>
        <v>#N/A</v>
      </c>
      <c r="BR44"/>
      <c r="BS44"/>
      <c r="BT44" s="348"/>
      <c r="BU44"/>
      <c r="BV44"/>
      <c r="BW44"/>
      <c r="BX44"/>
      <c r="BZ44" s="324" t="str">
        <f>ALPHA_DEUT!Y141</f>
        <v>GL26h</v>
      </c>
      <c r="CB44" s="14" t="str">
        <f>ALPHA_DEUT!Y140</f>
        <v>GL26c</v>
      </c>
      <c r="CC44" s="320">
        <f>ALPHA_DEUT!Z140</f>
        <v>140</v>
      </c>
      <c r="CD44" s="14" t="str">
        <f>ALPHA_DEUT!AA140</f>
        <v>Nadel - Brettschichtholz</v>
      </c>
      <c r="CE44" s="345">
        <v>1</v>
      </c>
      <c r="CF44" s="345"/>
      <c r="CG44" s="345"/>
      <c r="CH44" s="320">
        <f t="shared" si="4"/>
        <v>1401</v>
      </c>
      <c r="CI44" s="320">
        <f t="shared" si="0"/>
        <v>1401</v>
      </c>
      <c r="CJ44" s="346">
        <f t="shared" si="1"/>
        <v>1401</v>
      </c>
      <c r="CK44" s="346">
        <f t="shared" si="2"/>
        <v>1401</v>
      </c>
      <c r="CL44" s="346">
        <f t="shared" si="3"/>
        <v>1401</v>
      </c>
    </row>
    <row r="45" spans="1:90" ht="15" customHeight="1">
      <c r="A45" s="466"/>
      <c r="D45" s="497" t="s">
        <v>1600</v>
      </c>
      <c r="E45" s="348">
        <f ca="1">(1+k_def)*g_k_250+(1+psi_2*k_def)*E42</f>
        <v>8.6340000000000003</v>
      </c>
      <c r="F45" s="348">
        <f ca="1">(1+k_def)*g_k_265+(1+psi_2*k_def)*F42</f>
        <v>8.6340000000000003</v>
      </c>
      <c r="G45" s="348">
        <f ca="1">(1+k_def)*g_k_285+(1+psi_2*k_def)*G42</f>
        <v>8.6340000000000003</v>
      </c>
      <c r="H45" s="348">
        <f ca="1">(1+k_def)*g_k_300+(1+psi_2*k_def)*H42</f>
        <v>8.6340000000000003</v>
      </c>
      <c r="I45" s="348">
        <f ca="1">(1+k_def)*g_k_350+(1+psi_2*k_def)*I42</f>
        <v>8.7940000000000005</v>
      </c>
      <c r="J45" s="348">
        <f ca="1">(1+k_def)*g_k_400+(1+psi_2*k_def)*J42</f>
        <v>8.9540000000000006</v>
      </c>
      <c r="K45" s="348">
        <f ca="1">(1+k_def)*g_k_450+(1+psi_2*k_def)*K42</f>
        <v>9.1140000000000008</v>
      </c>
      <c r="L45" s="348">
        <f ca="1">(1+k_def)*g_k_500+(1+psi_2*k_def)*L42</f>
        <v>9.4340000000000011</v>
      </c>
      <c r="M45" s="348">
        <f ca="1">(1+k_def)*g_k_530+(1+psi_2*k_def)*M42</f>
        <v>9.4340000000000011</v>
      </c>
      <c r="N45" s="348">
        <f ca="1">(1+k_def)*g_k_570+(1+psi_2*k_def)*N42</f>
        <v>8.9540000000000006</v>
      </c>
      <c r="O45" s="348">
        <f ca="1">(1+k_def)*g_k_600+(1+psi_2*k_def)*O42</f>
        <v>8.9540000000000006</v>
      </c>
      <c r="AD45" s="466"/>
      <c r="AT45" s="466"/>
      <c r="AU45" s="466"/>
      <c r="AV45" s="466"/>
      <c r="AW45" s="466"/>
      <c r="AX45" s="466"/>
      <c r="AY45" s="169"/>
      <c r="AZ45" s="498" t="s">
        <v>912</v>
      </c>
      <c r="BA45" s="330" t="s">
        <v>895</v>
      </c>
      <c r="BB45" s="330" t="s">
        <v>908</v>
      </c>
      <c r="BC45" s="330" t="s">
        <v>909</v>
      </c>
      <c r="BD45" s="330" t="s">
        <v>900</v>
      </c>
      <c r="BE45" s="330" t="s">
        <v>910</v>
      </c>
      <c r="BF45" s="330" t="s">
        <v>901</v>
      </c>
      <c r="BG45" s="330" t="s">
        <v>985</v>
      </c>
      <c r="BH45"/>
      <c r="BI45"/>
      <c r="BJ45" s="330">
        <v>31</v>
      </c>
      <c r="BK45" s="4" t="str">
        <f>ALPHA_DEUT!AI229</f>
        <v xml:space="preserve">Zug ^ zur  Faserrichtung </v>
      </c>
      <c r="BL45" s="40" t="str">
        <f>ALPHA_DEUT!AJ229</f>
        <v>ft,90,k [N/mm2]</v>
      </c>
      <c r="BM45" s="372">
        <f>IF($BM$7="DSP",CS53,INDEX(ALPHA_DEUT!229:229,MATCH($BM$9,ALPHA_DEUT!$202:$202,0)))</f>
        <v>0.4</v>
      </c>
      <c r="BN45" s="372">
        <f>IF($BN$7="DSP",CT53,INDEX(ALPHA_DEUT!229:229,MATCH($BN$9,ALPHA_DEUT!$202:$202,0)))</f>
        <v>0.5</v>
      </c>
      <c r="BO45" s="372">
        <f>IF($BO$7="DSP",CU53,INDEX(ALPHA_DEUT!229:229,MATCH($BO$9,ALPHA_DEUT!$202:$202,0)))</f>
        <v>0.5</v>
      </c>
      <c r="BP45" s="372" t="e">
        <f>IF($BP$7="DSP",CV53,INDEX(ALPHA_DEUT!229:229,MATCH($BP$9,ALPHA_DEUT!$202:$202,0)))</f>
        <v>#N/A</v>
      </c>
      <c r="BQ45" s="372" t="e">
        <f>IF($BQ$7="DSP",CW53,INDEX(ALPHA_DEUT!229:229,MATCH($BQ$9,ALPHA_DEUT!$202:$202,0)))</f>
        <v>#N/A</v>
      </c>
      <c r="BR45"/>
      <c r="BS45" s="321" t="s">
        <v>536</v>
      </c>
      <c r="BT45" s="321"/>
      <c r="BU45" s="321"/>
      <c r="BV45"/>
      <c r="BW45"/>
      <c r="BX45"/>
      <c r="BZ45" s="324" t="str">
        <f>ALPHA_DEUT!Y142</f>
        <v>GL28c</v>
      </c>
      <c r="CB45" s="14" t="str">
        <f>ALPHA_DEUT!Y141</f>
        <v>GL26h</v>
      </c>
      <c r="CC45" s="320">
        <f>ALPHA_DEUT!Z141</f>
        <v>141</v>
      </c>
      <c r="CD45" s="14" t="str">
        <f>ALPHA_DEUT!AA141</f>
        <v>Nadel - Brettschichtholz</v>
      </c>
      <c r="CE45" s="345">
        <v>1</v>
      </c>
      <c r="CF45" s="345"/>
      <c r="CG45" s="345"/>
      <c r="CH45" s="320">
        <f t="shared" si="4"/>
        <v>1411</v>
      </c>
      <c r="CI45" s="320">
        <f t="shared" si="0"/>
        <v>1411</v>
      </c>
      <c r="CJ45" s="346">
        <f t="shared" si="1"/>
        <v>1411</v>
      </c>
      <c r="CK45" s="346">
        <f t="shared" si="2"/>
        <v>1411</v>
      </c>
      <c r="CL45" s="346">
        <f t="shared" si="3"/>
        <v>1411</v>
      </c>
    </row>
    <row r="46" spans="1:90" ht="15" customHeight="1" thickBot="1">
      <c r="A46" s="466"/>
      <c r="B46" s="466"/>
      <c r="C46" s="466"/>
      <c r="D46" s="466"/>
      <c r="E46" s="466"/>
      <c r="F46" s="466"/>
      <c r="G46" s="466"/>
      <c r="H46" s="466"/>
      <c r="I46" s="466"/>
      <c r="J46" s="466"/>
      <c r="K46" s="466"/>
      <c r="L46" s="466"/>
      <c r="M46" s="466"/>
      <c r="N46" s="466"/>
      <c r="O46" s="466"/>
      <c r="AD46" s="466"/>
      <c r="AT46" s="466"/>
      <c r="AU46" s="466"/>
      <c r="AV46" s="466"/>
      <c r="AW46" s="466"/>
      <c r="AX46" s="466"/>
      <c r="AY46" s="169"/>
      <c r="AZ46" s="499" t="s">
        <v>913</v>
      </c>
      <c r="BC46" s="466"/>
      <c r="BD46" s="466"/>
      <c r="BG46"/>
      <c r="BH46"/>
      <c r="BI46"/>
      <c r="BJ46" s="330">
        <v>32</v>
      </c>
      <c r="BK46" s="4" t="str">
        <f>ALPHA_DEUT!AI230</f>
        <v xml:space="preserve">Druck ll zur  Faserrichtung </v>
      </c>
      <c r="BL46" s="40" t="str">
        <f>ALPHA_DEUT!AJ230</f>
        <v>fc,0,k [N/mm2]</v>
      </c>
      <c r="BM46" s="372">
        <f>IF($BM$7="DSP",CS54,INDEX(ALPHA_DEUT!230:230,MATCH($BM$9,ALPHA_DEUT!$202:$202,0)))</f>
        <v>21</v>
      </c>
      <c r="BN46" s="372">
        <f>IF($BN$7="DSP",CT54,INDEX(ALPHA_DEUT!230:230,MATCH($BN$9,ALPHA_DEUT!$202:$202,0)))</f>
        <v>24</v>
      </c>
      <c r="BO46" s="372">
        <f>IF($BO$7="DSP",CU54,INDEX(ALPHA_DEUT!230:230,MATCH($BO$9,ALPHA_DEUT!$202:$202,0)))</f>
        <v>24</v>
      </c>
      <c r="BP46" s="372" t="e">
        <f>IF($BP$7="DSP",CV54,INDEX(ALPHA_DEUT!230:230,MATCH($BP$9,ALPHA_DEUT!$202:$202,0)))</f>
        <v>#N/A</v>
      </c>
      <c r="BQ46" s="372" t="e">
        <f>IF($BQ$7="DSP",CW54,INDEX(ALPHA_DEUT!230:230,MATCH($BQ$9,ALPHA_DEUT!$202:$202,0)))</f>
        <v>#N/A</v>
      </c>
      <c r="BR46"/>
      <c r="BS46" s="327" t="s">
        <v>538</v>
      </c>
      <c r="BT46" s="327" t="s">
        <v>483</v>
      </c>
      <c r="BU46" s="323" t="s">
        <v>482</v>
      </c>
      <c r="BV46"/>
      <c r="BW46"/>
      <c r="BX46"/>
      <c r="BZ46" s="324" t="str">
        <f>ALPHA_DEUT!Y143</f>
        <v>GL28h</v>
      </c>
      <c r="CB46" s="14" t="str">
        <f>ALPHA_DEUT!Y142</f>
        <v>GL28c</v>
      </c>
      <c r="CC46" s="320">
        <f>ALPHA_DEUT!Z142</f>
        <v>142</v>
      </c>
      <c r="CD46" s="14" t="str">
        <f>ALPHA_DEUT!AA142</f>
        <v>Nadel - Brettschichtholz</v>
      </c>
      <c r="CE46" s="345">
        <v>1</v>
      </c>
      <c r="CF46" s="345"/>
      <c r="CG46" s="345"/>
      <c r="CH46" s="320">
        <f t="shared" ref="CH46:CH69" si="10">VALUE(CC46&amp;MATCH($CH$6,CE46:CG46,1))</f>
        <v>1421</v>
      </c>
      <c r="CI46" s="320">
        <f t="shared" ref="CI46:CI69" si="11">VALUE(CC46&amp;MATCH($CI$6,CE46:CG46,1))</f>
        <v>1421</v>
      </c>
      <c r="CJ46" s="346">
        <f t="shared" ref="CJ46:CJ69" si="12">VALUE(CC46&amp;MATCH($CJ$6,CE46:CG46,1))</f>
        <v>1421</v>
      </c>
      <c r="CK46" s="346">
        <f t="shared" ref="CK46:CK69" si="13">VALUE(CC46&amp;MATCH($CK$6,CE46:CG46,1))</f>
        <v>1421</v>
      </c>
      <c r="CL46" s="346">
        <f t="shared" ref="CL46:CL69" si="14">VALUE(CC46&amp;MATCH($CL$6,CE46:CG46,1))</f>
        <v>1421</v>
      </c>
    </row>
    <row r="47" spans="1:90" ht="15" customHeight="1">
      <c r="A47" s="466"/>
      <c r="B47" s="466"/>
      <c r="C47" s="537"/>
      <c r="D47" s="509"/>
      <c r="E47" s="509"/>
      <c r="F47" s="509"/>
      <c r="G47" s="509"/>
      <c r="H47" s="509"/>
      <c r="I47" s="509"/>
      <c r="J47" s="509"/>
      <c r="K47" s="509"/>
      <c r="L47" s="509"/>
      <c r="M47" s="509"/>
      <c r="N47" s="511"/>
      <c r="O47" s="466"/>
      <c r="AD47" s="466"/>
      <c r="AE47" s="466"/>
      <c r="AF47" s="466"/>
      <c r="AG47" s="466"/>
      <c r="AH47" s="466"/>
      <c r="AI47" s="466"/>
      <c r="AJ47" s="466"/>
      <c r="AK47" s="466"/>
      <c r="AL47" s="466"/>
      <c r="AM47" s="466"/>
      <c r="AN47" s="466"/>
      <c r="AO47" s="466"/>
      <c r="AP47" s="466"/>
      <c r="AQ47" s="466"/>
      <c r="AR47" s="466"/>
      <c r="AS47" s="466"/>
      <c r="AT47" s="466"/>
      <c r="AU47" s="466"/>
      <c r="AV47" s="466"/>
      <c r="AW47" s="466"/>
      <c r="AX47" s="466"/>
      <c r="AY47" s="169"/>
      <c r="AZ47" s="498" t="s">
        <v>914</v>
      </c>
      <c r="BA47" s="330">
        <v>17.2</v>
      </c>
      <c r="BB47" s="330">
        <v>22.2</v>
      </c>
      <c r="BC47" s="330">
        <v>21.5</v>
      </c>
      <c r="BD47" s="330">
        <v>20.3</v>
      </c>
      <c r="BE47" s="330">
        <v>19.2</v>
      </c>
      <c r="BF47" s="330">
        <v>22</v>
      </c>
      <c r="BG47" s="330">
        <v>21.2</v>
      </c>
      <c r="BH47"/>
      <c r="BI47"/>
      <c r="BJ47" s="330">
        <v>33</v>
      </c>
      <c r="BK47" s="4" t="str">
        <f>ALPHA_DEUT!AI231</f>
        <v xml:space="preserve">Druck ^ zur  Faserrichtung </v>
      </c>
      <c r="BL47" s="40" t="str">
        <f>ALPHA_DEUT!AJ231</f>
        <v>fc,90,k [N/mm2]</v>
      </c>
      <c r="BM47" s="372">
        <f>IF($BM$7="DSP",CS55,INDEX(ALPHA_DEUT!231:231,MATCH($BM$9,ALPHA_DEUT!$202:$202,0)))</f>
        <v>2.5</v>
      </c>
      <c r="BN47" s="372">
        <f>IF($BN$7="DSP",CT55,INDEX(ALPHA_DEUT!231:231,MATCH($BN$9,ALPHA_DEUT!$202:$202,0)))</f>
        <v>2.5</v>
      </c>
      <c r="BO47" s="372">
        <f>IF($BO$7="DSP",CU55,INDEX(ALPHA_DEUT!231:231,MATCH($BO$9,ALPHA_DEUT!$202:$202,0)))</f>
        <v>2.5</v>
      </c>
      <c r="BP47" s="372" t="e">
        <f>IF($BP$7="DSP",CV55,INDEX(ALPHA_DEUT!231:231,MATCH($BP$9,ALPHA_DEUT!$202:$202,0)))</f>
        <v>#N/A</v>
      </c>
      <c r="BQ47" s="372" t="e">
        <f>IF($BQ$7="DSP",CW55,INDEX(ALPHA_DEUT!231:231,MATCH($BQ$9,ALPHA_DEUT!$202:$202,0)))</f>
        <v>#N/A</v>
      </c>
      <c r="BR47"/>
      <c r="BS47" s="325" t="e">
        <f>n.w</f>
        <v>#REF!</v>
      </c>
      <c r="BT47" s="325" t="e">
        <f>n.t</f>
        <v>#REF!</v>
      </c>
      <c r="BU47" s="325" t="e">
        <f>n.t*n.w</f>
        <v>#REF!</v>
      </c>
      <c r="BV47"/>
      <c r="BW47"/>
      <c r="BX47"/>
      <c r="BZ47" s="324" t="str">
        <f>ALPHA_DEUT!Y144</f>
        <v>GL30c</v>
      </c>
      <c r="CB47" s="14" t="str">
        <f>ALPHA_DEUT!Y143</f>
        <v>GL28h</v>
      </c>
      <c r="CC47" s="320">
        <f>ALPHA_DEUT!Z143</f>
        <v>143</v>
      </c>
      <c r="CD47" s="14" t="str">
        <f>ALPHA_DEUT!AA143</f>
        <v>Nadel - Brettschichtholz</v>
      </c>
      <c r="CE47" s="345">
        <v>1</v>
      </c>
      <c r="CF47" s="345"/>
      <c r="CG47" s="345"/>
      <c r="CH47" s="320">
        <f t="shared" si="10"/>
        <v>1431</v>
      </c>
      <c r="CI47" s="320">
        <f t="shared" si="11"/>
        <v>1431</v>
      </c>
      <c r="CJ47" s="346">
        <f t="shared" si="12"/>
        <v>1431</v>
      </c>
      <c r="CK47" s="346">
        <f t="shared" si="13"/>
        <v>1431</v>
      </c>
      <c r="CL47" s="346">
        <f t="shared" si="14"/>
        <v>1431</v>
      </c>
    </row>
    <row r="48" spans="1:90" ht="15" customHeight="1">
      <c r="A48" s="466"/>
      <c r="B48" s="466"/>
      <c r="C48" s="538"/>
      <c r="D48" s="541" t="s">
        <v>969</v>
      </c>
      <c r="I48" s="466"/>
      <c r="J48" s="466"/>
      <c r="K48" s="466"/>
      <c r="L48" s="466"/>
      <c r="M48" s="466"/>
      <c r="N48" s="514"/>
      <c r="O48" s="466"/>
      <c r="P48" s="466"/>
      <c r="Q48" s="466"/>
      <c r="R48" s="466"/>
      <c r="S48" s="466"/>
      <c r="T48" s="466"/>
      <c r="Y48" s="466"/>
      <c r="Z48" s="466"/>
      <c r="AA48" s="466"/>
      <c r="AB48" s="466"/>
      <c r="AC48" s="466"/>
      <c r="AD48" s="466"/>
      <c r="AE48" s="466"/>
      <c r="AF48" s="466"/>
      <c r="AG48" s="466"/>
      <c r="AH48" s="466"/>
      <c r="AI48" s="466"/>
      <c r="AJ48" s="466"/>
      <c r="AK48" s="466"/>
      <c r="AL48" s="466"/>
      <c r="AM48" s="466"/>
      <c r="AN48" s="466"/>
      <c r="AO48" s="466"/>
      <c r="AP48" s="466"/>
      <c r="AQ48" s="466"/>
      <c r="AR48" s="466"/>
      <c r="AS48" s="466"/>
      <c r="AT48" s="466"/>
      <c r="AU48" s="466"/>
      <c r="AV48" s="466"/>
      <c r="AW48" s="466"/>
      <c r="AX48" s="466"/>
      <c r="AY48" s="169"/>
      <c r="AZ48" s="498" t="s">
        <v>915</v>
      </c>
      <c r="BA48" s="330">
        <v>11.4</v>
      </c>
      <c r="BB48" s="211">
        <v>6</v>
      </c>
      <c r="BC48" s="330">
        <v>6.7</v>
      </c>
      <c r="BD48" s="330">
        <v>8.1999999999999993</v>
      </c>
      <c r="BE48" s="330">
        <v>9.4</v>
      </c>
      <c r="BF48" s="330">
        <v>6.3</v>
      </c>
      <c r="BG48" s="330">
        <v>7.2</v>
      </c>
      <c r="BH48"/>
      <c r="BI48"/>
      <c r="BJ48" s="330">
        <v>34</v>
      </c>
      <c r="BK48" s="4" t="str">
        <f>ALPHA_DEUT!AI232</f>
        <v>Schub</v>
      </c>
      <c r="BL48" s="40" t="str">
        <f>ALPHA_DEUT!AJ232</f>
        <v>fv,k [N/mm2]</v>
      </c>
      <c r="BM48" s="372">
        <f>IF($BM$7="DSP",CS56,INDEX(ALPHA_DEUT!232:232,MATCH($BM$9,ALPHA_DEUT!$202:$202,0)))</f>
        <v>4</v>
      </c>
      <c r="BN48" s="372">
        <f>IF($BN$7="DSP",CT56,INDEX(ALPHA_DEUT!232:232,MATCH($BN$9,ALPHA_DEUT!$202:$202,0)))</f>
        <v>3.5</v>
      </c>
      <c r="BO48" s="372">
        <f>IF($BO$7="DSP",CU56,INDEX(ALPHA_DEUT!232:232,MATCH($BO$9,ALPHA_DEUT!$202:$202,0)))</f>
        <v>3.5</v>
      </c>
      <c r="BP48" s="372" t="e">
        <f>IF($BP$7="DSP",CV56,INDEX(ALPHA_DEUT!232:232,MATCH($BP$9,ALPHA_DEUT!$202:$202,0)))</f>
        <v>#N/A</v>
      </c>
      <c r="BQ48" s="372" t="e">
        <f>IF($BQ$7="DSP",CW56,INDEX(ALPHA_DEUT!232:232,MATCH($BQ$9,ALPHA_DEUT!$202:$202,0)))</f>
        <v>#N/A</v>
      </c>
      <c r="BR48"/>
      <c r="BS48"/>
      <c r="BT48"/>
      <c r="BU48"/>
      <c r="BV48"/>
      <c r="BW48"/>
      <c r="BX48"/>
      <c r="BZ48" s="324" t="str">
        <f>ALPHA_DEUT!Y145</f>
        <v>GL30h</v>
      </c>
      <c r="CB48" s="14" t="str">
        <f>ALPHA_DEUT!Y144</f>
        <v>GL30c</v>
      </c>
      <c r="CC48" s="320">
        <f>ALPHA_DEUT!Z144</f>
        <v>144</v>
      </c>
      <c r="CD48" s="14" t="str">
        <f>ALPHA_DEUT!AA144</f>
        <v>Nadel - Brettschichtholz</v>
      </c>
      <c r="CE48" s="345">
        <v>1</v>
      </c>
      <c r="CF48" s="345"/>
      <c r="CG48" s="345"/>
      <c r="CH48" s="320">
        <f t="shared" si="10"/>
        <v>1441</v>
      </c>
      <c r="CI48" s="320">
        <f t="shared" si="11"/>
        <v>1441</v>
      </c>
      <c r="CJ48" s="346">
        <f t="shared" si="12"/>
        <v>1441</v>
      </c>
      <c r="CK48" s="346">
        <f t="shared" si="13"/>
        <v>1441</v>
      </c>
      <c r="CL48" s="346">
        <f t="shared" si="14"/>
        <v>1441</v>
      </c>
    </row>
    <row r="49" spans="1:91" ht="15" customHeight="1">
      <c r="A49" s="466"/>
      <c r="B49" s="466"/>
      <c r="C49" s="538"/>
      <c r="I49" s="466"/>
      <c r="J49" s="466"/>
      <c r="K49" s="466"/>
      <c r="L49" s="466"/>
      <c r="M49" s="466"/>
      <c r="N49" s="514"/>
      <c r="O49" s="466"/>
      <c r="R49" s="466" t="s">
        <v>892</v>
      </c>
      <c r="S49" s="466"/>
      <c r="T49" s="466"/>
      <c r="U49" s="466"/>
      <c r="V49" s="466"/>
      <c r="AA49" s="466"/>
      <c r="AB49" s="466"/>
      <c r="AC49" s="466"/>
      <c r="AD49" s="466"/>
      <c r="AE49" s="466"/>
      <c r="AF49" s="466"/>
      <c r="AG49" s="466"/>
      <c r="AH49" s="466"/>
      <c r="AI49" s="466"/>
      <c r="AJ49" s="466"/>
      <c r="AK49" s="466"/>
      <c r="AL49" s="466"/>
      <c r="AM49" s="466"/>
      <c r="AN49" s="466"/>
      <c r="AO49" s="466"/>
      <c r="AP49" s="466"/>
      <c r="AQ49" s="466"/>
      <c r="AR49" s="466"/>
      <c r="AS49" s="466"/>
      <c r="AT49" s="466"/>
      <c r="AU49" s="466"/>
      <c r="AV49" s="466"/>
      <c r="AW49" s="466"/>
      <c r="AX49" s="466"/>
      <c r="AY49" s="169"/>
      <c r="AZ49" s="498" t="s">
        <v>916</v>
      </c>
      <c r="BA49" s="211">
        <v>1</v>
      </c>
      <c r="BB49" s="211">
        <v>1</v>
      </c>
      <c r="BC49" s="211">
        <v>1</v>
      </c>
      <c r="BD49" s="211">
        <v>1</v>
      </c>
      <c r="BE49" s="211">
        <v>1</v>
      </c>
      <c r="BF49" s="211">
        <v>1</v>
      </c>
      <c r="BG49" s="211">
        <v>1</v>
      </c>
      <c r="BH49"/>
      <c r="BI49"/>
      <c r="BJ49" s="330">
        <v>35</v>
      </c>
      <c r="BK49" s="283" t="str">
        <f>ALPHA_DEUT!AI233</f>
        <v>Steifigkeit</v>
      </c>
      <c r="BL49" s="470"/>
      <c r="BM49" s="372"/>
      <c r="BN49" s="372"/>
      <c r="BO49" s="372"/>
      <c r="BP49" s="372"/>
      <c r="BQ49" s="372"/>
      <c r="BR49"/>
      <c r="BS49" s="321" t="s">
        <v>535</v>
      </c>
      <c r="BT49" s="321"/>
      <c r="BU49" s="321"/>
      <c r="BV49" s="321"/>
      <c r="BW49"/>
      <c r="BX49"/>
      <c r="BZ49" s="324" t="str">
        <f>ALPHA_DEUT!Y146</f>
        <v>GL32c</v>
      </c>
      <c r="CB49" s="14" t="str">
        <f>ALPHA_DEUT!Y145</f>
        <v>GL30h</v>
      </c>
      <c r="CC49" s="320">
        <f>ALPHA_DEUT!Z145</f>
        <v>145</v>
      </c>
      <c r="CD49" s="14" t="str">
        <f>ALPHA_DEUT!AA145</f>
        <v>Nadel - Brettschichtholz</v>
      </c>
      <c r="CE49" s="345">
        <v>1</v>
      </c>
      <c r="CF49" s="345"/>
      <c r="CG49" s="345"/>
      <c r="CH49" s="320">
        <f t="shared" si="10"/>
        <v>1451</v>
      </c>
      <c r="CI49" s="320">
        <f t="shared" si="11"/>
        <v>1451</v>
      </c>
      <c r="CJ49" s="346">
        <f t="shared" si="12"/>
        <v>1451</v>
      </c>
      <c r="CK49" s="346">
        <f t="shared" si="13"/>
        <v>1451</v>
      </c>
      <c r="CL49" s="346">
        <f t="shared" si="14"/>
        <v>1451</v>
      </c>
      <c r="CM49" s="376"/>
    </row>
    <row r="50" spans="1:91" ht="15" customHeight="1">
      <c r="A50" s="466"/>
      <c r="B50" s="466"/>
      <c r="C50" s="516"/>
      <c r="D50" s="491" t="s">
        <v>967</v>
      </c>
      <c r="E50" s="466"/>
      <c r="G50" s="491" t="s">
        <v>968</v>
      </c>
      <c r="J50" s="491" t="s">
        <v>961</v>
      </c>
      <c r="L50" s="491" t="s">
        <v>999</v>
      </c>
      <c r="N50" s="515"/>
      <c r="O50" s="466"/>
      <c r="R50" s="496"/>
      <c r="S50" s="494">
        <f>D51</f>
        <v>2.5</v>
      </c>
      <c r="T50" s="495">
        <f>D52</f>
        <v>2.65</v>
      </c>
      <c r="U50" s="495">
        <f>D53</f>
        <v>2.85</v>
      </c>
      <c r="V50" s="494">
        <f>D54</f>
        <v>3</v>
      </c>
      <c r="W50" s="494">
        <f>D55</f>
        <v>3.5</v>
      </c>
      <c r="X50" s="494">
        <f>D56</f>
        <v>4</v>
      </c>
      <c r="Y50" s="494">
        <f>D57</f>
        <v>4.5</v>
      </c>
      <c r="Z50" s="494">
        <f>D58</f>
        <v>5</v>
      </c>
      <c r="AA50" s="494">
        <f>D59</f>
        <v>5.3</v>
      </c>
      <c r="AB50" s="494">
        <f>D60</f>
        <v>5.7</v>
      </c>
      <c r="AC50" s="494">
        <f>D61</f>
        <v>6</v>
      </c>
      <c r="AD50" s="466"/>
      <c r="AE50" s="466"/>
      <c r="AG50" s="782"/>
      <c r="AH50" s="783"/>
      <c r="AI50" s="783"/>
      <c r="AJ50" s="466"/>
      <c r="AK50" s="466"/>
      <c r="AL50" s="466"/>
      <c r="AM50" s="466"/>
      <c r="AN50" s="466"/>
      <c r="AO50" s="466"/>
      <c r="AP50" s="466"/>
      <c r="AQ50" s="466"/>
      <c r="AR50" s="466"/>
      <c r="AS50" s="466"/>
      <c r="AT50" s="466"/>
      <c r="AU50" s="466"/>
      <c r="AV50" s="466"/>
      <c r="AW50" s="466"/>
      <c r="AX50" s="466"/>
      <c r="AY50" s="169"/>
      <c r="AZ50" s="498" t="s">
        <v>920</v>
      </c>
      <c r="BA50" s="330">
        <v>7900</v>
      </c>
      <c r="BB50" s="330">
        <v>10194</v>
      </c>
      <c r="BC50" s="330">
        <v>9837</v>
      </c>
      <c r="BD50" s="330">
        <v>9294</v>
      </c>
      <c r="BE50" s="330">
        <v>8789</v>
      </c>
      <c r="BF50" s="330">
        <v>10066</v>
      </c>
      <c r="BG50" s="330">
        <v>9720</v>
      </c>
      <c r="BH50"/>
      <c r="BI50"/>
      <c r="BJ50" s="330">
        <v>36</v>
      </c>
      <c r="BK50" s="4" t="str">
        <f>ALPHA_DEUT!AI234</f>
        <v>Mittelwert - Biege-E-Modul ll</v>
      </c>
      <c r="BL50" s="40" t="str">
        <f>ALPHA_DEUT!AJ234</f>
        <v>E0,mean [N/mm2]</v>
      </c>
      <c r="BM50" s="372">
        <f>IF($BM$7="DSP",CS58,INDEX(ALPHA_DEUT!234:234,MATCH($BM$9,ALPHA_DEUT!$202:$202,0)))</f>
        <v>11000</v>
      </c>
      <c r="BN50" s="372">
        <f>IF($BN$7="DSP",CT58,INDEX(ALPHA_DEUT!234:234,MATCH($BN$9,ALPHA_DEUT!$202:$202,0)))</f>
        <v>11500</v>
      </c>
      <c r="BO50" s="372">
        <f>IF($BO$7="DSP",CU58,INDEX(ALPHA_DEUT!234:234,MATCH($BO$9,ALPHA_DEUT!$202:$202,0)))</f>
        <v>11500</v>
      </c>
      <c r="BP50" s="372" t="e">
        <f>IF($BP$7="DSP",CV58,INDEX(ALPHA_DEUT!234:234,MATCH($BP$9,ALPHA_DEUT!$202:$202,0)))</f>
        <v>#N/A</v>
      </c>
      <c r="BQ50" s="372" t="e">
        <f>IF($BQ$7="DSP",CW58,INDEX(ALPHA_DEUT!234:234,MATCH($BQ$9,ALPHA_DEUT!$202:$202,0)))</f>
        <v>#N/A</v>
      </c>
      <c r="BR50"/>
      <c r="BS50" s="359"/>
      <c r="BT50" s="359" t="s">
        <v>524</v>
      </c>
      <c r="BU50" s="359" t="s">
        <v>525</v>
      </c>
      <c r="BV50" s="359" t="s">
        <v>526</v>
      </c>
      <c r="BW50"/>
      <c r="BX50"/>
      <c r="BZ50" s="324" t="str">
        <f>ALPHA_DEUT!Y147</f>
        <v>GL32h</v>
      </c>
      <c r="CB50" s="14" t="str">
        <f>ALPHA_DEUT!Y146</f>
        <v>GL32c</v>
      </c>
      <c r="CC50" s="320">
        <f>ALPHA_DEUT!Z146</f>
        <v>146</v>
      </c>
      <c r="CD50" s="14" t="str">
        <f>ALPHA_DEUT!AA146</f>
        <v>Nadel - Brettschichtholz</v>
      </c>
      <c r="CE50" s="345">
        <v>1</v>
      </c>
      <c r="CF50" s="345"/>
      <c r="CG50" s="345"/>
      <c r="CH50" s="320">
        <f t="shared" si="10"/>
        <v>1461</v>
      </c>
      <c r="CI50" s="320">
        <f t="shared" si="11"/>
        <v>1461</v>
      </c>
      <c r="CJ50" s="346">
        <f t="shared" si="12"/>
        <v>1461</v>
      </c>
      <c r="CK50" s="346">
        <f t="shared" si="13"/>
        <v>1461</v>
      </c>
      <c r="CL50" s="346">
        <f t="shared" si="14"/>
        <v>1461</v>
      </c>
      <c r="CM50" s="376"/>
    </row>
    <row r="51" spans="1:91" ht="15" customHeight="1">
      <c r="A51" s="466"/>
      <c r="B51" s="466"/>
      <c r="C51" s="516"/>
      <c r="D51" s="466">
        <v>2.5</v>
      </c>
      <c r="E51" s="466"/>
      <c r="G51" s="466">
        <v>2.5</v>
      </c>
      <c r="J51" s="466">
        <v>2.8</v>
      </c>
      <c r="L51" s="468">
        <v>1</v>
      </c>
      <c r="N51" s="515"/>
      <c r="O51" s="466"/>
      <c r="R51" s="497" t="s">
        <v>888</v>
      </c>
      <c r="S51" s="348">
        <f ca="1">E43*S50^2/8</f>
        <v>6.59765625</v>
      </c>
      <c r="T51" s="348">
        <f t="shared" ref="T51:AC51" ca="1" si="15">F43*T50^2/8</f>
        <v>7.4131265625000005</v>
      </c>
      <c r="U51" s="348">
        <f t="shared" ca="1" si="15"/>
        <v>8.5743140625000009</v>
      </c>
      <c r="V51" s="348">
        <f t="shared" ca="1" si="15"/>
        <v>9.5006249999999994</v>
      </c>
      <c r="W51" s="348">
        <f t="shared" ca="1" si="15"/>
        <v>13.138125</v>
      </c>
      <c r="X51" s="348">
        <f t="shared" ca="1" si="15"/>
        <v>17.43</v>
      </c>
      <c r="Y51" s="348">
        <f t="shared" ca="1" si="15"/>
        <v>22.401562500000001</v>
      </c>
      <c r="Z51" s="348">
        <f t="shared" ca="1" si="15"/>
        <v>28.500000000000004</v>
      </c>
      <c r="AA51" s="348">
        <f t="shared" ca="1" si="15"/>
        <v>32.022600000000004</v>
      </c>
      <c r="AB51" s="348">
        <f ca="1">N43*AB50^2/8</f>
        <v>35.39379375</v>
      </c>
      <c r="AC51" s="348">
        <f t="shared" ca="1" si="15"/>
        <v>39.217500000000001</v>
      </c>
      <c r="AD51" s="466"/>
      <c r="AE51" s="466"/>
      <c r="AF51" s="466"/>
      <c r="AG51" s="466"/>
      <c r="AH51" s="466"/>
      <c r="AI51" s="466"/>
      <c r="AJ51" s="466"/>
      <c r="AK51" s="466"/>
      <c r="AL51" s="466"/>
      <c r="AM51" s="466"/>
      <c r="AN51" s="466"/>
      <c r="AO51" s="466"/>
      <c r="AP51" s="466"/>
      <c r="AQ51" s="466"/>
      <c r="AR51" s="466"/>
      <c r="AS51" s="466"/>
      <c r="AT51" s="466"/>
      <c r="AU51" s="466"/>
      <c r="AV51" s="466"/>
      <c r="AW51" s="466"/>
      <c r="AX51" s="466"/>
      <c r="AY51" s="169"/>
      <c r="AZ51" s="498" t="s">
        <v>919</v>
      </c>
      <c r="BA51" s="330">
        <v>3470</v>
      </c>
      <c r="BB51" s="330">
        <v>1176</v>
      </c>
      <c r="BC51" s="330">
        <v>1533</v>
      </c>
      <c r="BD51" s="330">
        <v>2076</v>
      </c>
      <c r="BE51" s="330">
        <v>2581</v>
      </c>
      <c r="BF51" s="330">
        <v>1304</v>
      </c>
      <c r="BG51" s="330">
        <v>1650</v>
      </c>
      <c r="BH51"/>
      <c r="BI51"/>
      <c r="BJ51" s="330">
        <v>37</v>
      </c>
      <c r="BK51" s="4" t="str">
        <f>ALPHA_DEUT!AI235</f>
        <v>Mittelwert - Biege-E-Modul ^</v>
      </c>
      <c r="BL51" s="40" t="str">
        <f>ALPHA_DEUT!AJ235</f>
        <v>E90,mean [N/mm2]</v>
      </c>
      <c r="BM51" s="372">
        <f>IF($BM$7="DSP",CS59,INDEX(ALPHA_DEUT!235:235,MATCH($BM$9,ALPHA_DEUT!$202:$202,0)))</f>
        <v>370</v>
      </c>
      <c r="BN51" s="372">
        <f>IF($BN$7="DSP",CT59,INDEX(ALPHA_DEUT!235:235,MATCH($BN$9,ALPHA_DEUT!$202:$202,0)))</f>
        <v>300</v>
      </c>
      <c r="BO51" s="372">
        <f>IF($BO$7="DSP",CU59,INDEX(ALPHA_DEUT!235:235,MATCH($BO$9,ALPHA_DEUT!$202:$202,0)))</f>
        <v>300</v>
      </c>
      <c r="BP51" s="372" t="e">
        <f>IF($BP$7="DSP",CV59,INDEX(ALPHA_DEUT!235:235,MATCH($BP$9,ALPHA_DEUT!$202:$202,0)))</f>
        <v>#N/A</v>
      </c>
      <c r="BQ51" s="372" t="e">
        <f>IF($BQ$7="DSP",CW59,INDEX(ALPHA_DEUT!235:235,MATCH($BQ$9,ALPHA_DEUT!$202:$202,0)))</f>
        <v>#N/A</v>
      </c>
      <c r="BR51"/>
      <c r="BS51" s="359" t="s">
        <v>517</v>
      </c>
      <c r="BT51" s="360" t="e">
        <f>#REF!*(1+nq.2*(1/BV53-1))+#REF!*(ns.0+ns.2*(1/BV53-1))</f>
        <v>#REF!</v>
      </c>
      <c r="BU51" s="360" t="e">
        <f>#REF!*(nq.1+nq.2*(1/BV53-1))+#REF!*(ns.2+ns.2*(1/BV53-1))</f>
        <v>#REF!</v>
      </c>
      <c r="BV51" s="360" t="e">
        <f>(#REF!*nq.2+#REF!*ns.2)*(1/BV53)</f>
        <v>#REF!</v>
      </c>
      <c r="BW51"/>
      <c r="BX51"/>
      <c r="BZ51" s="324" t="str">
        <f>ALPHA_DEUT!Y150</f>
        <v>GL36c</v>
      </c>
      <c r="CB51" s="14" t="str">
        <f>ALPHA_DEUT!Y147</f>
        <v>GL32h</v>
      </c>
      <c r="CC51" s="320">
        <f>ALPHA_DEUT!Z147</f>
        <v>147</v>
      </c>
      <c r="CD51" s="14" t="str">
        <f>ALPHA_DEUT!AA147</f>
        <v>Nadel - Brettschichtholz</v>
      </c>
      <c r="CE51" s="345">
        <v>1</v>
      </c>
      <c r="CF51" s="345"/>
      <c r="CG51" s="345"/>
      <c r="CH51" s="320">
        <f t="shared" si="10"/>
        <v>1471</v>
      </c>
      <c r="CI51" s="320">
        <f t="shared" si="11"/>
        <v>1471</v>
      </c>
      <c r="CJ51" s="346">
        <f t="shared" si="12"/>
        <v>1471</v>
      </c>
      <c r="CK51" s="346">
        <f t="shared" si="13"/>
        <v>1471</v>
      </c>
      <c r="CL51" s="346">
        <f t="shared" si="14"/>
        <v>1471</v>
      </c>
    </row>
    <row r="52" spans="1:91" ht="15" customHeight="1">
      <c r="A52" s="466"/>
      <c r="B52" s="466"/>
      <c r="C52" s="516"/>
      <c r="D52" s="466">
        <v>2.65</v>
      </c>
      <c r="G52" s="466">
        <v>2.65</v>
      </c>
      <c r="J52" s="466">
        <v>2.9</v>
      </c>
      <c r="L52" s="468">
        <v>2</v>
      </c>
      <c r="N52" s="515"/>
      <c r="O52" s="466"/>
      <c r="R52" s="497" t="s">
        <v>889</v>
      </c>
      <c r="S52" s="348">
        <f ca="1">E44*S50^2/8</f>
        <v>3.4296875000000004</v>
      </c>
      <c r="T52" s="348">
        <f t="shared" ref="T52:AC52" ca="1" si="16">F44*T50^2/8</f>
        <v>3.8535968750000005</v>
      </c>
      <c r="U52" s="348">
        <f t="shared" ca="1" si="16"/>
        <v>4.457221875000001</v>
      </c>
      <c r="V52" s="348">
        <f t="shared" ca="1" si="16"/>
        <v>4.9387500000000006</v>
      </c>
      <c r="W52" s="348">
        <f t="shared" ca="1" si="16"/>
        <v>6.8753125000000006</v>
      </c>
      <c r="X52" s="348">
        <f t="shared" ca="1" si="16"/>
        <v>9.18</v>
      </c>
      <c r="Y52" s="348">
        <f t="shared" ca="1" si="16"/>
        <v>11.8715625</v>
      </c>
      <c r="Z52" s="348">
        <f t="shared" ca="1" si="16"/>
        <v>15.281250000000002</v>
      </c>
      <c r="AA52" s="348">
        <f t="shared" ca="1" si="16"/>
        <v>17.170012500000002</v>
      </c>
      <c r="AB52" s="348">
        <f t="shared" ca="1" si="16"/>
        <v>18.641137499999999</v>
      </c>
      <c r="AC52" s="348">
        <f t="shared" ca="1" si="16"/>
        <v>20.655000000000001</v>
      </c>
      <c r="AD52" s="466"/>
      <c r="AT52" s="466"/>
      <c r="AU52" s="466"/>
      <c r="AV52" s="466"/>
      <c r="AW52" s="466"/>
      <c r="AX52" s="466"/>
      <c r="AY52" s="169"/>
      <c r="AZ52" s="498" t="s">
        <v>922</v>
      </c>
      <c r="BA52" s="330">
        <v>120</v>
      </c>
      <c r="BB52" s="330">
        <v>140</v>
      </c>
      <c r="BC52" s="330">
        <v>160</v>
      </c>
      <c r="BD52" s="330">
        <v>180</v>
      </c>
      <c r="BE52" s="330">
        <v>200</v>
      </c>
      <c r="BF52" s="330">
        <v>220</v>
      </c>
      <c r="BG52" s="330">
        <v>240</v>
      </c>
      <c r="BH52"/>
      <c r="BI52"/>
      <c r="BJ52" s="330">
        <v>38</v>
      </c>
      <c r="BK52" s="4" t="str">
        <f>ALPHA_DEUT!AI236</f>
        <v>Fraktilwert - Biege-E-Modul ll</v>
      </c>
      <c r="BL52" s="40" t="str">
        <f>ALPHA_DEUT!AJ236</f>
        <v>E0,0.05 [N/mm2]</v>
      </c>
      <c r="BM52" s="372">
        <f>IF($BM$7="DSP",CS60,INDEX(ALPHA_DEUT!236:236,MATCH($BM$9,ALPHA_DEUT!$202:$202,0)))</f>
        <v>7400</v>
      </c>
      <c r="BN52" s="372">
        <f>IF($BN$7="DSP",CT60,INDEX(ALPHA_DEUT!236:236,MATCH($BN$9,ALPHA_DEUT!$202:$202,0)))</f>
        <v>9600</v>
      </c>
      <c r="BO52" s="372">
        <f>IF($BO$7="DSP",CU60,INDEX(ALPHA_DEUT!236:236,MATCH($BO$9,ALPHA_DEUT!$202:$202,0)))</f>
        <v>9600</v>
      </c>
      <c r="BP52" s="372" t="e">
        <f>IF($BP$7="DSP",CV60,INDEX(ALPHA_DEUT!236:236,MATCH($BP$9,ALPHA_DEUT!$202:$202,0)))</f>
        <v>#N/A</v>
      </c>
      <c r="BQ52" s="372" t="e">
        <f>IF($BQ$7="DSP",CW60,INDEX(ALPHA_DEUT!236:236,MATCH($BQ$9,ALPHA_DEUT!$202:$202,0)))</f>
        <v>#N/A</v>
      </c>
      <c r="BR52"/>
      <c r="BS52" s="359" t="s">
        <v>527</v>
      </c>
      <c r="BT52" s="360" t="e">
        <f>#REF!*(1+ns.2*(1/BV53-1))+#REF!*(nq.0+nq.2*(1/BV53-1))</f>
        <v>#REF!</v>
      </c>
      <c r="BU52" s="360" t="e">
        <f>#REF!*(ns.1+ns.2*(1/BV53-1))+#REF!*(nq.2+nq.2*(1/BV53-1))</f>
        <v>#REF!</v>
      </c>
      <c r="BV52" s="360" t="e">
        <f>(#REF!*ns.2+#REF!*nq.2)*(1/BV53)</f>
        <v>#REF!</v>
      </c>
      <c r="BW52"/>
      <c r="BX52"/>
      <c r="BZ52" s="324" t="str">
        <f>ALPHA_DEUT!Y151</f>
        <v>GL36h</v>
      </c>
      <c r="CB52" s="14" t="str">
        <f>ALPHA_DEUT!Y148</f>
        <v>GL34c</v>
      </c>
      <c r="CC52" s="320">
        <f>ALPHA_DEUT!Z148</f>
        <v>148</v>
      </c>
      <c r="CD52" s="14" t="str">
        <f>ALPHA_DEUT!AA148</f>
        <v>Nadel - Brettschichtholz</v>
      </c>
      <c r="CE52" s="345">
        <v>1</v>
      </c>
      <c r="CF52" s="345"/>
      <c r="CG52" s="345"/>
      <c r="CH52" s="320">
        <f t="shared" si="10"/>
        <v>1481</v>
      </c>
      <c r="CI52" s="320">
        <f t="shared" si="11"/>
        <v>1481</v>
      </c>
      <c r="CJ52" s="346">
        <f t="shared" si="12"/>
        <v>1481</v>
      </c>
      <c r="CK52" s="346">
        <f t="shared" si="13"/>
        <v>1481</v>
      </c>
      <c r="CL52" s="346">
        <f t="shared" si="14"/>
        <v>1481</v>
      </c>
    </row>
    <row r="53" spans="1:91" ht="15" customHeight="1">
      <c r="A53" s="466"/>
      <c r="B53" s="466"/>
      <c r="C53" s="516"/>
      <c r="D53" s="466">
        <v>2.85</v>
      </c>
      <c r="G53" s="466">
        <v>2.85</v>
      </c>
      <c r="J53" s="466">
        <v>3</v>
      </c>
      <c r="L53" s="468">
        <v>3</v>
      </c>
      <c r="N53" s="515"/>
      <c r="O53" s="465"/>
      <c r="R53" s="466"/>
      <c r="S53" s="466"/>
      <c r="T53" s="466"/>
      <c r="U53" s="466"/>
      <c r="V53" s="466"/>
      <c r="AA53" s="466"/>
      <c r="AB53" s="466"/>
      <c r="AC53" s="466"/>
      <c r="AD53" s="466"/>
      <c r="AT53" s="466"/>
      <c r="AU53" s="466"/>
      <c r="AV53" s="466"/>
      <c r="AW53" s="466"/>
      <c r="AX53" s="466"/>
      <c r="AY53" s="169"/>
      <c r="AZ53" s="498" t="s">
        <v>929</v>
      </c>
      <c r="BA53" s="501">
        <f>1000*20^3/12*3+1000*20*50^2*2</f>
        <v>102000000</v>
      </c>
      <c r="BB53" s="501">
        <f>1000*20^3/12+1000*40^3/12*2+1000*40*50^2*2</f>
        <v>211333333.33333334</v>
      </c>
      <c r="BC53" s="501">
        <f>1000*40^3/12*3+1000*40*60^2*2</f>
        <v>304000000</v>
      </c>
      <c r="BD53" s="501">
        <f>1000*40^3/12*3+1000*40*70^2*2</f>
        <v>408000000</v>
      </c>
      <c r="BE53" s="501">
        <f>1000*40^3/12*3+1000*40*80^2*2</f>
        <v>528000000</v>
      </c>
      <c r="BF53" s="501">
        <f>1000*40^3/12+1000*60^3/12*2+1000*60*80^2*2</f>
        <v>809333333.33333337</v>
      </c>
      <c r="BG53" s="501">
        <f>1000*40^3/12+1000*60^3/12*2+1000*60*90^2*2</f>
        <v>1013333333.3333334</v>
      </c>
      <c r="BH53"/>
      <c r="BI53"/>
      <c r="BJ53" s="330">
        <v>39</v>
      </c>
      <c r="BK53" s="4" t="str">
        <f>ALPHA_DEUT!AI237</f>
        <v>Schubmodul</v>
      </c>
      <c r="BL53" s="40" t="str">
        <f>ALPHA_DEUT!AJ237</f>
        <v>Gmean [N/mm2]</v>
      </c>
      <c r="BM53" s="372">
        <f>IF($BM$7="DSP",CS61,INDEX(ALPHA_DEUT!237:237,MATCH($BM$9,ALPHA_DEUT!$202:$202,0)))</f>
        <v>690</v>
      </c>
      <c r="BN53" s="372">
        <f>IF($BN$7="DSP",CT61,INDEX(ALPHA_DEUT!237:237,MATCH($BN$9,ALPHA_DEUT!$202:$202,0)))</f>
        <v>650</v>
      </c>
      <c r="BO53" s="372">
        <f>IF($BO$7="DSP",CU61,INDEX(ALPHA_DEUT!237:237,MATCH($BO$9,ALPHA_DEUT!$202:$202,0)))</f>
        <v>650</v>
      </c>
      <c r="BP53" s="372" t="e">
        <f>IF($BP$7="DSP",CV61,INDEX(ALPHA_DEUT!237:237,MATCH($BP$9,ALPHA_DEUT!$202:$202,0)))</f>
        <v>#N/A</v>
      </c>
      <c r="BQ53" s="372" t="e">
        <f>IF($BQ$7="DSP",CW61,INDEX(ALPHA_DEUT!237:237,MATCH($BQ$9,ALPHA_DEUT!$202:$202,0)))</f>
        <v>#N/A</v>
      </c>
      <c r="BR53"/>
      <c r="BS53" s="337" t="s">
        <v>528</v>
      </c>
      <c r="BT53" s="319"/>
      <c r="BU53" s="319"/>
      <c r="BV53" s="361" t="e">
        <f>I.eff.y8/I.eff.y0</f>
        <v>#NAME?</v>
      </c>
      <c r="BW53"/>
      <c r="BX53"/>
      <c r="BZ53" s="324" t="str">
        <f>ALPHA_DEUT!Y152</f>
        <v>GL40c</v>
      </c>
      <c r="CB53" s="14" t="str">
        <f>ALPHA_DEUT!Y149</f>
        <v>GL34h</v>
      </c>
      <c r="CC53" s="320">
        <f>ALPHA_DEUT!Z149</f>
        <v>149</v>
      </c>
      <c r="CD53" s="14" t="str">
        <f>ALPHA_DEUT!AA149</f>
        <v>Nadel - Brettschichtholz</v>
      </c>
      <c r="CE53" s="345">
        <v>1</v>
      </c>
      <c r="CF53" s="345"/>
      <c r="CG53" s="345"/>
      <c r="CH53" s="320">
        <f t="shared" si="10"/>
        <v>1491</v>
      </c>
      <c r="CI53" s="320">
        <f t="shared" si="11"/>
        <v>1491</v>
      </c>
      <c r="CJ53" s="346">
        <f t="shared" si="12"/>
        <v>1491</v>
      </c>
      <c r="CK53" s="346">
        <f t="shared" si="13"/>
        <v>1491</v>
      </c>
      <c r="CL53" s="346">
        <f t="shared" si="14"/>
        <v>1491</v>
      </c>
    </row>
    <row r="54" spans="1:91" ht="15" customHeight="1">
      <c r="A54" s="466"/>
      <c r="B54" s="466"/>
      <c r="C54" s="516"/>
      <c r="D54" s="466">
        <v>3</v>
      </c>
      <c r="G54" s="466">
        <v>3</v>
      </c>
      <c r="J54" s="466">
        <v>3.1</v>
      </c>
      <c r="L54" s="468">
        <v>4</v>
      </c>
      <c r="N54" s="515"/>
      <c r="O54" s="477"/>
      <c r="R54" s="466"/>
      <c r="S54" s="466"/>
      <c r="T54" s="466"/>
      <c r="U54" s="466"/>
      <c r="V54" s="466"/>
      <c r="AA54" s="466"/>
      <c r="AB54" s="466"/>
      <c r="AC54" s="466"/>
      <c r="AD54" s="211"/>
      <c r="AT54" s="466"/>
      <c r="AU54" s="466"/>
      <c r="AV54" s="466"/>
      <c r="AW54" s="466"/>
      <c r="AX54" s="466"/>
      <c r="AY54" s="169"/>
      <c r="AZ54" s="498" t="s">
        <v>930</v>
      </c>
      <c r="BA54" s="501">
        <f>1000*30^3/12*2+1000*30*25^2*2</f>
        <v>42000000</v>
      </c>
      <c r="BB54" s="501">
        <f>1000*20^3/12*2+1000*20*20^2*2</f>
        <v>17333333.333333332</v>
      </c>
      <c r="BC54" s="501">
        <f>1000*20^3/12*2+1000*20*30^2*2</f>
        <v>37333333.333333336</v>
      </c>
      <c r="BD54" s="501">
        <f>1000*30^3/12*2+1000*30*35^2*2</f>
        <v>78000000</v>
      </c>
      <c r="BE54" s="501">
        <f>1000*40^3/12*2+1000*40*40^2*2</f>
        <v>138666666.66666666</v>
      </c>
      <c r="BF54" s="501">
        <f>1000*30^3/12*2+1000*30*35^2*2</f>
        <v>78000000</v>
      </c>
      <c r="BG54" s="501">
        <f>1000*40^3/12*2+1000*40*40^2*2</f>
        <v>138666666.66666666</v>
      </c>
      <c r="BH54"/>
      <c r="BI54"/>
      <c r="BJ54" s="330">
        <v>40</v>
      </c>
      <c r="BK54" s="436" t="str">
        <f>ALPHA_DEUT!AI238</f>
        <v>weitere Kennwerte für die Bemessung</v>
      </c>
      <c r="BL54" s="436"/>
      <c r="BM54" s="400"/>
      <c r="BN54" s="400"/>
      <c r="BO54" s="400"/>
      <c r="BP54" s="400"/>
      <c r="BQ54" s="400"/>
      <c r="BZ54" s="324" t="str">
        <f>ALPHA_DEUT!Y153</f>
        <v>GL40h</v>
      </c>
      <c r="CB54" s="14" t="str">
        <f>ALPHA_DEUT!Y150</f>
        <v>GL36c</v>
      </c>
      <c r="CC54" s="320">
        <f>ALPHA_DEUT!Z150</f>
        <v>150</v>
      </c>
      <c r="CD54" s="14" t="str">
        <f>ALPHA_DEUT!AA150</f>
        <v>Nadel - Brettschichtholz</v>
      </c>
      <c r="CE54" s="345">
        <v>1</v>
      </c>
      <c r="CF54" s="345"/>
      <c r="CG54" s="345"/>
      <c r="CH54" s="320">
        <f t="shared" si="10"/>
        <v>1501</v>
      </c>
      <c r="CI54" s="320">
        <f t="shared" si="11"/>
        <v>1501</v>
      </c>
      <c r="CJ54" s="346">
        <f t="shared" si="12"/>
        <v>1501</v>
      </c>
      <c r="CK54" s="346">
        <f t="shared" si="13"/>
        <v>1501</v>
      </c>
      <c r="CL54" s="346">
        <f t="shared" si="14"/>
        <v>1501</v>
      </c>
    </row>
    <row r="55" spans="1:91" ht="15" customHeight="1">
      <c r="A55" s="466"/>
      <c r="B55" s="466"/>
      <c r="C55" s="516"/>
      <c r="D55" s="466">
        <v>3.5</v>
      </c>
      <c r="G55" s="466">
        <v>3.5</v>
      </c>
      <c r="J55" s="466">
        <v>3.2</v>
      </c>
      <c r="L55" s="468">
        <v>5</v>
      </c>
      <c r="N55" s="515"/>
      <c r="O55" s="477"/>
      <c r="R55" s="466" t="s">
        <v>893</v>
      </c>
      <c r="S55" s="466"/>
      <c r="T55" s="466"/>
      <c r="U55" s="466"/>
      <c r="V55" s="466"/>
      <c r="AA55" s="466"/>
      <c r="AB55" s="466"/>
      <c r="AC55" s="466"/>
      <c r="AD55" s="466"/>
      <c r="AS55" s="466"/>
      <c r="AT55" s="466"/>
      <c r="AU55" s="466"/>
      <c r="AV55" s="466"/>
      <c r="AW55" s="466"/>
      <c r="AX55" s="466"/>
      <c r="AY55" s="169"/>
      <c r="BG55"/>
      <c r="BH55"/>
      <c r="BI55"/>
      <c r="BJ55" s="330">
        <v>41</v>
      </c>
      <c r="BK55" s="4" t="str">
        <f>ALPHA_DEUT!AI239</f>
        <v>charakteristische Rohdichte</v>
      </c>
      <c r="BL55" s="40" t="str">
        <f>ALPHA_DEUT!AJ239</f>
        <v>rk [kg/m3]</v>
      </c>
      <c r="BM55" s="372">
        <f>IF($BM$7="DSP",CS67,INDEX(ALPHA_DEUT!239:239,MATCH($BM$9,ALPHA_DEUT!$202:$202,0)))</f>
        <v>350</v>
      </c>
      <c r="BN55" s="372">
        <f>IF($BN$7="DSP",CT67,INDEX(ALPHA_DEUT!239:239,MATCH($BN$9,ALPHA_DEUT!$202:$202,0)))</f>
        <v>385</v>
      </c>
      <c r="BO55" s="372">
        <f>IF($BO$7="DSP",CU67,INDEX(ALPHA_DEUT!239:239,MATCH($BO$9,ALPHA_DEUT!$202:$202,0)))</f>
        <v>385</v>
      </c>
      <c r="BP55" s="372" t="e">
        <f>IF($BP$7="DSP",CV67,INDEX(ALPHA_DEUT!239:239,MATCH($BP$9,ALPHA_DEUT!$202:$202,0)))</f>
        <v>#N/A</v>
      </c>
      <c r="BQ55" s="372" t="e">
        <f>IF($BQ$7="DSP",CW67,INDEX(ALPHA_DEUT!239:239,MATCH($BQ$9,ALPHA_DEUT!$202:$202,0)))</f>
        <v>#N/A</v>
      </c>
      <c r="BZ55" s="324" t="str">
        <f>ALPHA_DEUT!Y154</f>
        <v>GL48c</v>
      </c>
      <c r="CB55" s="14" t="str">
        <f>ALPHA_DEUT!Y151</f>
        <v>GL36h</v>
      </c>
      <c r="CC55" s="320">
        <f>ALPHA_DEUT!Z151</f>
        <v>151</v>
      </c>
      <c r="CD55" s="14" t="str">
        <f>ALPHA_DEUT!AA151</f>
        <v>Nadel - Brettschichtholz</v>
      </c>
      <c r="CE55" s="345">
        <v>1</v>
      </c>
      <c r="CF55" s="345"/>
      <c r="CG55" s="345"/>
      <c r="CH55" s="320">
        <f t="shared" si="10"/>
        <v>1511</v>
      </c>
      <c r="CI55" s="320">
        <f t="shared" si="11"/>
        <v>1511</v>
      </c>
      <c r="CJ55" s="346">
        <f t="shared" si="12"/>
        <v>1511</v>
      </c>
      <c r="CK55" s="346">
        <f t="shared" si="13"/>
        <v>1511</v>
      </c>
      <c r="CL55" s="346">
        <f t="shared" si="14"/>
        <v>1511</v>
      </c>
    </row>
    <row r="56" spans="1:91" ht="15" customHeight="1">
      <c r="A56" s="466"/>
      <c r="B56" s="466"/>
      <c r="C56" s="516"/>
      <c r="D56" s="466">
        <v>4</v>
      </c>
      <c r="G56" s="466">
        <v>4</v>
      </c>
      <c r="J56" s="466">
        <v>3.3</v>
      </c>
      <c r="L56" s="468">
        <v>6</v>
      </c>
      <c r="N56" s="515"/>
      <c r="O56" s="466"/>
      <c r="R56" s="496"/>
      <c r="S56" s="494">
        <f>S50</f>
        <v>2.5</v>
      </c>
      <c r="T56" s="494">
        <f t="shared" ref="T56:AC56" si="17">T50</f>
        <v>2.65</v>
      </c>
      <c r="U56" s="494">
        <f t="shared" si="17"/>
        <v>2.85</v>
      </c>
      <c r="V56" s="494">
        <f t="shared" si="17"/>
        <v>3</v>
      </c>
      <c r="W56" s="494">
        <f t="shared" si="17"/>
        <v>3.5</v>
      </c>
      <c r="X56" s="494">
        <f t="shared" si="17"/>
        <v>4</v>
      </c>
      <c r="Y56" s="494">
        <f t="shared" si="17"/>
        <v>4.5</v>
      </c>
      <c r="Z56" s="494">
        <f t="shared" si="17"/>
        <v>5</v>
      </c>
      <c r="AA56" s="494">
        <f>AA50</f>
        <v>5.3</v>
      </c>
      <c r="AB56" s="494">
        <f t="shared" si="17"/>
        <v>5.7</v>
      </c>
      <c r="AC56" s="494">
        <f t="shared" si="17"/>
        <v>6</v>
      </c>
      <c r="AD56" s="466"/>
      <c r="AE56" s="466"/>
      <c r="AF56" s="466"/>
      <c r="AG56" s="466"/>
      <c r="AH56" s="760"/>
      <c r="AI56" s="466"/>
      <c r="AJ56" s="466"/>
      <c r="AK56" s="466"/>
      <c r="AL56" s="466"/>
      <c r="AM56" s="466"/>
      <c r="AN56" s="466"/>
      <c r="AO56" s="466"/>
      <c r="AP56" s="466"/>
      <c r="AQ56" s="466"/>
      <c r="AR56" s="466"/>
      <c r="AS56" s="466"/>
      <c r="AT56" s="466"/>
      <c r="AU56" s="466"/>
      <c r="AV56" s="466"/>
      <c r="AW56" s="466"/>
      <c r="AX56" s="466"/>
      <c r="AY56" s="169"/>
      <c r="BG56"/>
      <c r="BH56"/>
      <c r="BI56"/>
      <c r="BJ56" s="330">
        <v>42</v>
      </c>
      <c r="BK56" s="4" t="str">
        <f>ALPHA_DEUT!AI240</f>
        <v>Rohdichte</v>
      </c>
      <c r="BL56" s="40" t="str">
        <f>ALPHA_DEUT!AJ240</f>
        <v>rmean [kg/m3]</v>
      </c>
      <c r="BM56" s="372">
        <f>IF($BM$7="DSP",CS68,INDEX(ALPHA_DEUT!240:240,MATCH($BM$9,ALPHA_DEUT!$202:$202,0)))</f>
        <v>420</v>
      </c>
      <c r="BN56" s="372">
        <f>IF($BN$7="DSP",CT68,INDEX(ALPHA_DEUT!240:240,MATCH($BN$9,ALPHA_DEUT!$202:$202,0)))</f>
        <v>420</v>
      </c>
      <c r="BO56" s="372">
        <f>IF($BO$7="DSP",CU68,INDEX(ALPHA_DEUT!240:240,MATCH($BO$9,ALPHA_DEUT!$202:$202,0)))</f>
        <v>420</v>
      </c>
      <c r="BP56" s="372" t="e">
        <f>IF($BP$7="DSP",CV68,INDEX(ALPHA_DEUT!240:240,MATCH($BP$9,ALPHA_DEUT!$202:$202,0)))</f>
        <v>#N/A</v>
      </c>
      <c r="BQ56" s="372" t="e">
        <f>IF($BQ$7="DSP",CW68,INDEX(ALPHA_DEUT!240:240,MATCH($BQ$9,ALPHA_DEUT!$202:$202,0)))</f>
        <v>#N/A</v>
      </c>
      <c r="BZ56" s="324" t="str">
        <f>ALPHA_DEUT!Y155</f>
        <v>GL48h</v>
      </c>
      <c r="CB56" s="14" t="str">
        <f>ALPHA_DEUT!Y152</f>
        <v>GL40c</v>
      </c>
      <c r="CC56" s="320">
        <f>ALPHA_DEUT!Z152</f>
        <v>152</v>
      </c>
      <c r="CD56" s="14" t="str">
        <f>ALPHA_DEUT!AA152</f>
        <v>Laub - Brettschichtholz</v>
      </c>
      <c r="CE56" s="345">
        <v>1</v>
      </c>
      <c r="CF56" s="345"/>
      <c r="CG56" s="345"/>
      <c r="CH56" s="320">
        <f t="shared" si="10"/>
        <v>1521</v>
      </c>
      <c r="CI56" s="320">
        <f t="shared" si="11"/>
        <v>1521</v>
      </c>
      <c r="CJ56" s="346">
        <f t="shared" si="12"/>
        <v>1521</v>
      </c>
      <c r="CK56" s="346">
        <f t="shared" si="13"/>
        <v>1521</v>
      </c>
      <c r="CL56" s="346">
        <f t="shared" si="14"/>
        <v>1521</v>
      </c>
    </row>
    <row r="57" spans="1:91" ht="15" customHeight="1">
      <c r="A57" s="466"/>
      <c r="B57" s="466"/>
      <c r="C57" s="516"/>
      <c r="D57" s="466">
        <v>4.5</v>
      </c>
      <c r="G57" s="466">
        <v>4.5</v>
      </c>
      <c r="J57" s="466">
        <v>3.4</v>
      </c>
      <c r="L57" s="468">
        <v>7</v>
      </c>
      <c r="N57" s="515"/>
      <c r="O57" s="466"/>
      <c r="R57" s="497" t="s">
        <v>890</v>
      </c>
      <c r="S57" s="348">
        <f ca="1">E43*S56/2</f>
        <v>10.55625</v>
      </c>
      <c r="T57" s="348">
        <f t="shared" ref="T57:AC57" ca="1" si="18">F43*T56/2</f>
        <v>11.189624999999999</v>
      </c>
      <c r="U57" s="348">
        <f t="shared" ca="1" si="18"/>
        <v>12.034125000000001</v>
      </c>
      <c r="V57" s="348">
        <f t="shared" ca="1" si="18"/>
        <v>12.6675</v>
      </c>
      <c r="W57" s="348">
        <f t="shared" ca="1" si="18"/>
        <v>15.015000000000001</v>
      </c>
      <c r="X57" s="348">
        <f t="shared" ca="1" si="18"/>
        <v>17.43</v>
      </c>
      <c r="Y57" s="348">
        <f t="shared" ca="1" si="18"/>
        <v>19.912499999999998</v>
      </c>
      <c r="Z57" s="348">
        <f t="shared" ca="1" si="18"/>
        <v>22.800000000000004</v>
      </c>
      <c r="AA57" s="348">
        <f t="shared" ca="1" si="18"/>
        <v>24.168000000000003</v>
      </c>
      <c r="AB57" s="348">
        <f t="shared" ca="1" si="18"/>
        <v>24.83775</v>
      </c>
      <c r="AC57" s="348">
        <f t="shared" ca="1" si="18"/>
        <v>26.145</v>
      </c>
      <c r="AD57" s="466"/>
      <c r="AE57" s="466"/>
      <c r="AF57" s="466"/>
      <c r="AK57" s="466"/>
      <c r="AL57" s="466"/>
      <c r="AM57" s="466"/>
      <c r="AN57" s="466"/>
      <c r="AO57" s="466"/>
      <c r="AP57" s="466"/>
      <c r="AQ57" s="466"/>
      <c r="AR57" s="466"/>
      <c r="AS57" s="466"/>
      <c r="AT57" s="466"/>
      <c r="AU57" s="466"/>
      <c r="AV57" s="466"/>
      <c r="AW57" s="466"/>
      <c r="AX57" s="466"/>
      <c r="AY57" s="169"/>
      <c r="BG57"/>
      <c r="BH57"/>
      <c r="BI57"/>
      <c r="BJ57" s="330">
        <v>43</v>
      </c>
      <c r="BK57" s="4" t="str">
        <f>ALPHA_DEUT!AI241</f>
        <v>Abbrand Reduktionsbeiwert Festigkeit/ Steifigkeit</v>
      </c>
      <c r="BL57" s="40" t="str">
        <f>ALPHA_DEUT!AJ241</f>
        <v>dred [mm]</v>
      </c>
      <c r="BM57" s="372">
        <f>IF($BM$7="DSP",CS69,INDEX(ALPHA_DEUT!241:241,MATCH($BM$9,ALPHA_DEUT!$202:$202,0)))</f>
        <v>7</v>
      </c>
      <c r="BN57" s="372">
        <f>IF($BN$7="DSP",CT69,INDEX(ALPHA_DEUT!241:241,MATCH($BN$9,ALPHA_DEUT!$202:$202,0)))</f>
        <v>7</v>
      </c>
      <c r="BO57" s="372">
        <f>IF($BO$7="DSP",CU69,INDEX(ALPHA_DEUT!241:241,MATCH($BO$9,ALPHA_DEUT!$202:$202,0)))</f>
        <v>7</v>
      </c>
      <c r="BP57" s="372" t="e">
        <f>IF($BP$7="DSP",CV69,INDEX(ALPHA_DEUT!241:241,MATCH($BP$9,ALPHA_DEUT!$202:$202,0)))</f>
        <v>#N/A</v>
      </c>
      <c r="BQ57" s="372" t="e">
        <f>IF($BQ$7="DSP",CW69,INDEX(ALPHA_DEUT!241:241,MATCH($BQ$9,ALPHA_DEUT!$202:$202,0)))</f>
        <v>#N/A</v>
      </c>
      <c r="BZ57" s="324" t="str">
        <f>ALPHA_DEUT!Y156</f>
        <v>nicht wirksam</v>
      </c>
      <c r="CB57" s="14" t="str">
        <f>ALPHA_DEUT!Y153</f>
        <v>GL40h</v>
      </c>
      <c r="CC57" s="320">
        <f>ALPHA_DEUT!Z153</f>
        <v>153</v>
      </c>
      <c r="CD57" s="14" t="str">
        <f>ALPHA_DEUT!AA153</f>
        <v>Laub - Brettschichtholz</v>
      </c>
      <c r="CE57" s="345">
        <v>1</v>
      </c>
      <c r="CF57" s="345"/>
      <c r="CG57" s="345"/>
      <c r="CH57" s="320">
        <f t="shared" si="10"/>
        <v>1531</v>
      </c>
      <c r="CI57" s="320">
        <f t="shared" si="11"/>
        <v>1531</v>
      </c>
      <c r="CJ57" s="346">
        <f t="shared" si="12"/>
        <v>1531</v>
      </c>
      <c r="CK57" s="346">
        <f t="shared" si="13"/>
        <v>1531</v>
      </c>
      <c r="CL57" s="346">
        <f t="shared" si="14"/>
        <v>1531</v>
      </c>
    </row>
    <row r="58" spans="1:91" ht="15" customHeight="1">
      <c r="A58" s="466"/>
      <c r="B58" s="466"/>
      <c r="C58" s="516"/>
      <c r="D58" s="466">
        <v>5</v>
      </c>
      <c r="G58" s="466">
        <v>5</v>
      </c>
      <c r="J58" s="466">
        <v>3.5</v>
      </c>
      <c r="N58" s="515"/>
      <c r="O58" s="466"/>
      <c r="R58" s="497" t="s">
        <v>891</v>
      </c>
      <c r="S58" s="348">
        <f ca="1">E44*S56/2</f>
        <v>5.4875000000000007</v>
      </c>
      <c r="T58" s="348">
        <f t="shared" ref="T58:AC58" ca="1" si="19">F44*T56/2</f>
        <v>5.8167500000000008</v>
      </c>
      <c r="U58" s="348">
        <f t="shared" ca="1" si="19"/>
        <v>6.2557500000000008</v>
      </c>
      <c r="V58" s="348">
        <f t="shared" ca="1" si="19"/>
        <v>6.5850000000000009</v>
      </c>
      <c r="W58" s="348">
        <f t="shared" ca="1" si="19"/>
        <v>7.8574999999999999</v>
      </c>
      <c r="X58" s="348">
        <f t="shared" ca="1" si="19"/>
        <v>9.18</v>
      </c>
      <c r="Y58" s="348">
        <f t="shared" ca="1" si="19"/>
        <v>10.552499999999998</v>
      </c>
      <c r="Z58" s="348">
        <f t="shared" ca="1" si="19"/>
        <v>12.225000000000001</v>
      </c>
      <c r="AA58" s="348">
        <f t="shared" ca="1" si="19"/>
        <v>12.958500000000001</v>
      </c>
      <c r="AB58" s="348">
        <f t="shared" ca="1" si="19"/>
        <v>13.0815</v>
      </c>
      <c r="AC58" s="348">
        <f t="shared" ca="1" si="19"/>
        <v>13.77</v>
      </c>
      <c r="AD58" s="466"/>
      <c r="AE58" s="466"/>
      <c r="AF58" s="465"/>
      <c r="AG58" s="211"/>
      <c r="AH58" s="211"/>
      <c r="AI58" s="211"/>
      <c r="AJ58" s="211"/>
      <c r="AK58" s="211"/>
      <c r="AL58" s="211"/>
      <c r="AM58" s="211"/>
      <c r="AN58" s="211"/>
      <c r="AO58" s="211"/>
      <c r="AP58" s="211"/>
      <c r="AQ58" s="211"/>
      <c r="AR58" s="466"/>
      <c r="AS58" s="466"/>
      <c r="AT58" s="466"/>
      <c r="AU58" s="466"/>
      <c r="AV58" s="466"/>
      <c r="AW58" s="466"/>
      <c r="AX58" s="466"/>
      <c r="AY58" s="169"/>
      <c r="AZ58" s="475"/>
      <c r="BG58"/>
      <c r="BH58"/>
      <c r="BI58"/>
      <c r="BJ58" s="330">
        <v>44</v>
      </c>
      <c r="BK58" s="4" t="str">
        <f>ALPHA_DEUT!AI242</f>
        <v>ideelle Abbrandrate</v>
      </c>
      <c r="BL58" s="40" t="str">
        <f>ALPHA_DEUT!AJ242</f>
        <v>bn [mm/Min]</v>
      </c>
      <c r="BM58" s="372">
        <f>IF($BM$7="DSP",CS70,INDEX(ALPHA_DEUT!242:242,MATCH($BM$9,ALPHA_DEUT!$202:$202,0)))</f>
        <v>0.8</v>
      </c>
      <c r="BN58" s="372">
        <f>IF($BN$7="DSP",CT70,INDEX(ALPHA_DEUT!242:242,MATCH($BN$9,ALPHA_DEUT!$202:$202,0)))</f>
        <v>0.7</v>
      </c>
      <c r="BO58" s="372">
        <f>IF($BO$7="DSP",CU70,INDEX(ALPHA_DEUT!242:242,MATCH($BO$9,ALPHA_DEUT!$202:$202,0)))</f>
        <v>0.7</v>
      </c>
      <c r="BP58" s="372" t="e">
        <f>IF($BP$7="DSP",CV70,INDEX(ALPHA_DEUT!242:242,MATCH($BP$9,ALPHA_DEUT!$202:$202,0)))</f>
        <v>#N/A</v>
      </c>
      <c r="BQ58" s="372" t="e">
        <f>IF($BQ$7="DSP",CW70,INDEX(ALPHA_DEUT!242:242,MATCH($BQ$9,ALPHA_DEUT!$202:$202,0)))</f>
        <v>#N/A</v>
      </c>
      <c r="BZ58" s="324" t="str">
        <f>ALPHA_DEUT!Y157</f>
        <v>DSP</v>
      </c>
      <c r="CB58" s="14" t="str">
        <f>ALPHA_DEUT!Y154</f>
        <v>GL48c</v>
      </c>
      <c r="CC58" s="320">
        <f>ALPHA_DEUT!Z154</f>
        <v>154</v>
      </c>
      <c r="CD58" s="14" t="str">
        <f>ALPHA_DEUT!AA154</f>
        <v>Laub - Brettschichtholz</v>
      </c>
      <c r="CE58" s="345">
        <v>1</v>
      </c>
      <c r="CF58" s="345"/>
      <c r="CG58" s="345"/>
      <c r="CH58" s="320">
        <f t="shared" si="10"/>
        <v>1541</v>
      </c>
      <c r="CI58" s="320">
        <f t="shared" si="11"/>
        <v>1541</v>
      </c>
      <c r="CJ58" s="346">
        <f t="shared" si="12"/>
        <v>1541</v>
      </c>
      <c r="CK58" s="346">
        <f t="shared" si="13"/>
        <v>1541</v>
      </c>
      <c r="CL58" s="346">
        <f t="shared" si="14"/>
        <v>1541</v>
      </c>
    </row>
    <row r="59" spans="1:91" ht="15" customHeight="1">
      <c r="A59" s="466"/>
      <c r="B59" s="466"/>
      <c r="C59" s="516"/>
      <c r="D59" s="466">
        <v>5.3</v>
      </c>
      <c r="G59" s="466">
        <v>5.3</v>
      </c>
      <c r="J59" s="466">
        <v>3.6</v>
      </c>
      <c r="N59" s="515"/>
      <c r="O59" s="466"/>
      <c r="P59" s="466"/>
      <c r="Q59" s="466"/>
      <c r="R59" s="466"/>
      <c r="S59" s="466"/>
      <c r="T59" s="466"/>
      <c r="Y59" s="466"/>
      <c r="Z59" s="466"/>
      <c r="AA59" s="466"/>
      <c r="AB59" s="466"/>
      <c r="AC59" s="466"/>
      <c r="AD59" s="466"/>
      <c r="AE59" s="466"/>
      <c r="AF59" s="475"/>
      <c r="AG59" s="348"/>
      <c r="AH59" s="348"/>
      <c r="AI59" s="348"/>
      <c r="AJ59" s="348"/>
      <c r="AK59" s="348"/>
      <c r="AL59" s="348"/>
      <c r="AM59" s="348"/>
      <c r="AN59" s="348"/>
      <c r="AO59" s="348"/>
      <c r="AP59" s="348"/>
      <c r="AQ59" s="348"/>
      <c r="AR59" s="466"/>
      <c r="AS59" s="466"/>
      <c r="AT59" s="466"/>
      <c r="AU59" s="466"/>
      <c r="AV59" s="466"/>
      <c r="AW59" s="466"/>
      <c r="AX59" s="466"/>
      <c r="AY59" s="169"/>
      <c r="AZ59" s="499" t="s">
        <v>917</v>
      </c>
      <c r="BA59" s="330"/>
      <c r="BB59" s="330"/>
      <c r="BC59" s="330"/>
      <c r="BD59" s="330"/>
      <c r="BE59" s="330"/>
      <c r="BF59" s="330"/>
      <c r="BG59"/>
      <c r="BH59"/>
      <c r="BI59"/>
      <c r="BJ59" s="330">
        <v>45</v>
      </c>
      <c r="BK59" s="4" t="str">
        <f>ALPHA_DEUT!AI243</f>
        <v>eindimensionale Abbrandrate</v>
      </c>
      <c r="BL59" s="40" t="str">
        <f>ALPHA_DEUT!AJ243</f>
        <v>b0 [mm/Min]</v>
      </c>
      <c r="BM59" s="372">
        <f>IF($BM$7="DSP",CS71,INDEX(ALPHA_DEUT!243:243,MATCH($BM$9,ALPHA_DEUT!$202:$202,0)))</f>
        <v>0.65</v>
      </c>
      <c r="BN59" s="372">
        <f>IF($BN$7="DSP",CT71,INDEX(ALPHA_DEUT!243:243,MATCH($BN$9,ALPHA_DEUT!$202:$202,0)))</f>
        <v>0.65</v>
      </c>
      <c r="BO59" s="372">
        <f>IF($BO$7="DSP",CU71,INDEX(ALPHA_DEUT!243:243,MATCH($BO$9,ALPHA_DEUT!$202:$202,0)))</f>
        <v>0.65</v>
      </c>
      <c r="BP59" s="372" t="e">
        <f>IF($BP$7="DSP",CV71,INDEX(ALPHA_DEUT!243:243,MATCH($BP$9,ALPHA_DEUT!$202:$202,0)))</f>
        <v>#N/A</v>
      </c>
      <c r="BQ59" s="372" t="e">
        <f>IF($BQ$7="DSP",CW71,INDEX(ALPHA_DEUT!243:243,MATCH($BQ$9,ALPHA_DEUT!$202:$202,0)))</f>
        <v>#N/A</v>
      </c>
      <c r="BZ59" s="324" t="str">
        <f>ALPHA_DEUT!Y158</f>
        <v>Kerto S</v>
      </c>
      <c r="CB59" s="14" t="str">
        <f>ALPHA_DEUT!Y155</f>
        <v>GL48h</v>
      </c>
      <c r="CC59" s="320">
        <f>ALPHA_DEUT!Z155</f>
        <v>155</v>
      </c>
      <c r="CD59" s="14" t="str">
        <f>ALPHA_DEUT!AA155</f>
        <v>Laub - Brettschichtholz</v>
      </c>
      <c r="CE59" s="345">
        <v>1</v>
      </c>
      <c r="CF59" s="345"/>
      <c r="CG59" s="345"/>
      <c r="CH59" s="320">
        <f t="shared" si="10"/>
        <v>1551</v>
      </c>
      <c r="CI59" s="320">
        <f t="shared" si="11"/>
        <v>1551</v>
      </c>
      <c r="CJ59" s="346">
        <f t="shared" si="12"/>
        <v>1551</v>
      </c>
      <c r="CK59" s="346">
        <f t="shared" si="13"/>
        <v>1551</v>
      </c>
      <c r="CL59" s="346">
        <f t="shared" si="14"/>
        <v>1551</v>
      </c>
    </row>
    <row r="60" spans="1:91" ht="15" customHeight="1">
      <c r="B60" s="466"/>
      <c r="C60" s="516"/>
      <c r="D60" s="466">
        <v>5.7</v>
      </c>
      <c r="G60" s="466">
        <v>5.7</v>
      </c>
      <c r="J60" s="466">
        <v>3.7</v>
      </c>
      <c r="N60" s="515"/>
      <c r="O60" s="466"/>
      <c r="P60" s="466"/>
      <c r="Q60" s="466"/>
      <c r="R60" s="466"/>
      <c r="S60" s="466"/>
      <c r="T60" s="466"/>
      <c r="Y60" s="466"/>
      <c r="Z60" s="466"/>
      <c r="AA60" s="466"/>
      <c r="AB60" s="466"/>
      <c r="AC60" s="466"/>
      <c r="AE60" s="466"/>
      <c r="AF60" s="475"/>
      <c r="AG60" s="348"/>
      <c r="AH60" s="348"/>
      <c r="AI60" s="348"/>
      <c r="AJ60" s="348"/>
      <c r="AK60" s="348"/>
      <c r="AL60" s="348"/>
      <c r="AM60" s="348"/>
      <c r="AN60" s="348"/>
      <c r="AO60" s="348"/>
      <c r="AP60" s="348"/>
      <c r="AQ60" s="348"/>
      <c r="AR60" s="466"/>
      <c r="AS60" s="466"/>
      <c r="AY60" s="169"/>
      <c r="AZ60" s="498" t="s">
        <v>918</v>
      </c>
      <c r="BA60" s="330">
        <v>11000</v>
      </c>
      <c r="BB60" s="330">
        <v>11000</v>
      </c>
      <c r="BC60" s="330">
        <v>11000</v>
      </c>
      <c r="BD60" s="330">
        <v>11000</v>
      </c>
      <c r="BE60" s="330">
        <v>11000</v>
      </c>
      <c r="BF60" s="330">
        <v>11000</v>
      </c>
      <c r="BG60" s="330">
        <v>11000</v>
      </c>
      <c r="BH60"/>
      <c r="BI60"/>
      <c r="BJ60" s="330">
        <v>46</v>
      </c>
      <c r="BK60" s="4" t="str">
        <f>ALPHA_DEUT!AI244</f>
        <v>Umrechnungsfaktor</v>
      </c>
      <c r="BL60" s="40" t="str">
        <f>ALPHA_DEUT!AJ244</f>
        <v>kfi [-]</v>
      </c>
      <c r="BM60" s="372">
        <f>IF($BM$7="DSP",CS72,INDEX(ALPHA_DEUT!244:244,MATCH($BM$9,ALPHA_DEUT!$202:$202,0)))</f>
        <v>1.25</v>
      </c>
      <c r="BN60" s="372">
        <f>IF($BN$7="DSP",CT72,INDEX(ALPHA_DEUT!244:244,MATCH($BN$9,ALPHA_DEUT!$202:$202,0)))</f>
        <v>1.1499999999999999</v>
      </c>
      <c r="BO60" s="372">
        <f>IF($BO$7="DSP",CU72,INDEX(ALPHA_DEUT!244:244,MATCH($BO$9,ALPHA_DEUT!$202:$202,0)))</f>
        <v>1.1499999999999999</v>
      </c>
      <c r="BP60" s="372" t="e">
        <f>IF($BP$7="DSP",CV72,INDEX(ALPHA_DEUT!244:244,MATCH($BP$9,ALPHA_DEUT!$202:$202,0)))</f>
        <v>#N/A</v>
      </c>
      <c r="BQ60" s="372" t="e">
        <f>IF($BQ$7="DSP",CW72,INDEX(ALPHA_DEUT!244:244,MATCH($BQ$9,ALPHA_DEUT!$202:$202,0)))</f>
        <v>#N/A</v>
      </c>
      <c r="BZ60" s="324" t="str">
        <f>ALPHA_DEUT!Y159</f>
        <v>Kerto Q</v>
      </c>
      <c r="CB60" s="14" t="str">
        <f>ALPHA_DEUT!Y156</f>
        <v>nicht wirksam</v>
      </c>
      <c r="CC60" s="320">
        <f>ALPHA_DEUT!Z156</f>
        <v>156</v>
      </c>
      <c r="CD60" s="14" t="str">
        <f>ALPHA_DEUT!AA156</f>
        <v>nicht tragend</v>
      </c>
      <c r="CE60" s="345">
        <v>1</v>
      </c>
      <c r="CF60" s="345"/>
      <c r="CG60" s="345"/>
      <c r="CH60" s="320">
        <f t="shared" si="10"/>
        <v>1561</v>
      </c>
      <c r="CI60" s="320">
        <f t="shared" si="11"/>
        <v>1561</v>
      </c>
      <c r="CJ60" s="346">
        <f t="shared" si="12"/>
        <v>1561</v>
      </c>
      <c r="CK60" s="346">
        <f t="shared" si="13"/>
        <v>1561</v>
      </c>
      <c r="CL60" s="346">
        <f t="shared" si="14"/>
        <v>1561</v>
      </c>
    </row>
    <row r="61" spans="1:91" ht="15" customHeight="1">
      <c r="B61" s="466"/>
      <c r="C61" s="516"/>
      <c r="D61" s="466">
        <v>6</v>
      </c>
      <c r="G61" s="466">
        <v>6</v>
      </c>
      <c r="J61" s="466">
        <v>3.8</v>
      </c>
      <c r="N61" s="515"/>
      <c r="O61" s="466"/>
      <c r="AE61" s="466"/>
      <c r="AF61" s="466"/>
      <c r="AG61" s="466"/>
      <c r="AH61" s="466"/>
      <c r="AI61" s="466"/>
      <c r="AJ61" s="466"/>
      <c r="AK61" s="466"/>
      <c r="AL61" s="466"/>
      <c r="AM61" s="466"/>
      <c r="AN61" s="466"/>
      <c r="AO61" s="466"/>
      <c r="AP61" s="466"/>
      <c r="AQ61" s="466"/>
      <c r="AR61" s="466"/>
      <c r="AS61" s="466"/>
      <c r="AY61" s="169"/>
      <c r="AZ61" s="498" t="s">
        <v>921</v>
      </c>
      <c r="BA61" s="330">
        <v>107</v>
      </c>
      <c r="BB61" s="330">
        <v>136</v>
      </c>
      <c r="BC61" s="330">
        <v>154</v>
      </c>
      <c r="BD61" s="330">
        <v>170</v>
      </c>
      <c r="BE61" s="330">
        <v>186</v>
      </c>
      <c r="BF61" s="330">
        <v>214</v>
      </c>
      <c r="BG61" s="330">
        <v>230</v>
      </c>
      <c r="BH61"/>
      <c r="BI61"/>
      <c r="BJ61" s="330">
        <v>47</v>
      </c>
      <c r="BK61" s="4" t="str">
        <f>ALPHA_DEUT!AI245</f>
        <v>Wärmeleitfähigkeit ^</v>
      </c>
      <c r="BL61" s="40" t="str">
        <f>ALPHA_DEUT!AJ245</f>
        <v>l [W/mK]</v>
      </c>
      <c r="BM61" s="372">
        <f>IF($BM$7="DSP",CS73,INDEX(ALPHA_DEUT!245:245,MATCH($BM$9,ALPHA_DEUT!$202:$202,0)))</f>
        <v>0.12</v>
      </c>
      <c r="BN61" s="372">
        <f>IF($BN$7="DSP",CT73,INDEX(ALPHA_DEUT!245:245,MATCH($BN$9,ALPHA_DEUT!$202:$202,0)))</f>
        <v>0.12</v>
      </c>
      <c r="BO61" s="372">
        <f>IF($BO$7="DSP",CU73,INDEX(ALPHA_DEUT!245:245,MATCH($BO$9,ALPHA_DEUT!$202:$202,0)))</f>
        <v>0.12</v>
      </c>
      <c r="BP61" s="372" t="e">
        <f>IF($BP$7="DSP",CV73,INDEX(ALPHA_DEUT!245:245,MATCH($BP$9,ALPHA_DEUT!$202:$202,0)))</f>
        <v>#N/A</v>
      </c>
      <c r="BQ61" s="372" t="e">
        <f>IF($BQ$7="DSP",CW73,INDEX(ALPHA_DEUT!245:245,MATCH($BQ$9,ALPHA_DEUT!$202:$202,0)))</f>
        <v>#N/A</v>
      </c>
      <c r="BZ61" s="324" t="str">
        <f>ALPHA_DEUT!Y160</f>
        <v>Kerto QP</v>
      </c>
      <c r="CB61" s="14" t="str">
        <f>ALPHA_DEUT!Y157</f>
        <v>DSP</v>
      </c>
      <c r="CC61" s="320">
        <f>ALPHA_DEUT!Z157</f>
        <v>157</v>
      </c>
      <c r="CD61" s="14" t="str">
        <f>ALPHA_DEUT!AA157</f>
        <v>Brettsperrholz</v>
      </c>
      <c r="CE61" s="345">
        <v>1</v>
      </c>
      <c r="CF61" s="345"/>
      <c r="CG61" s="345"/>
      <c r="CH61" s="320">
        <f t="shared" si="10"/>
        <v>1571</v>
      </c>
      <c r="CI61" s="320">
        <f t="shared" si="11"/>
        <v>1571</v>
      </c>
      <c r="CJ61" s="346">
        <f t="shared" si="12"/>
        <v>1571</v>
      </c>
      <c r="CK61" s="346">
        <f t="shared" si="13"/>
        <v>1571</v>
      </c>
      <c r="CL61" s="346">
        <f t="shared" si="14"/>
        <v>1571</v>
      </c>
    </row>
    <row r="62" spans="1:91" ht="15" customHeight="1">
      <c r="B62" s="466"/>
      <c r="C62" s="516"/>
      <c r="G62" s="466"/>
      <c r="J62" s="466">
        <v>3.9</v>
      </c>
      <c r="N62" s="515"/>
      <c r="O62" s="466"/>
      <c r="AE62" s="466"/>
      <c r="AF62" s="466"/>
      <c r="AG62" s="466"/>
      <c r="AH62" s="466"/>
      <c r="AI62" s="466"/>
      <c r="AJ62" s="466"/>
      <c r="AK62" s="466"/>
      <c r="AL62" s="466"/>
      <c r="AM62" s="466"/>
      <c r="AN62" s="466"/>
      <c r="AO62" s="466"/>
      <c r="AP62" s="466"/>
      <c r="AQ62" s="466"/>
      <c r="AR62" s="466"/>
      <c r="AS62" s="466"/>
      <c r="AY62" s="169"/>
      <c r="AZ62" s="498"/>
      <c r="BA62" s="330"/>
      <c r="BB62" s="330"/>
      <c r="BC62" s="330"/>
      <c r="BD62" s="330"/>
      <c r="BE62" s="330"/>
      <c r="BF62" s="330"/>
      <c r="BH62"/>
      <c r="BI62"/>
      <c r="BJ62" s="330"/>
      <c r="BK62" s="4"/>
      <c r="BL62" s="40"/>
      <c r="BM62" s="372"/>
      <c r="BN62" s="372"/>
      <c r="BO62" s="372"/>
      <c r="BP62" s="372"/>
      <c r="BQ62" s="372"/>
      <c r="BZ62" s="324"/>
      <c r="CB62" s="14"/>
      <c r="CC62" s="320"/>
      <c r="CD62" s="14"/>
      <c r="CE62" s="469"/>
      <c r="CF62" s="345"/>
      <c r="CG62" s="345"/>
      <c r="CH62" s="320"/>
      <c r="CI62" s="320"/>
      <c r="CJ62" s="346"/>
      <c r="CK62" s="346"/>
      <c r="CL62" s="346"/>
    </row>
    <row r="63" spans="1:91" ht="15" customHeight="1">
      <c r="B63" s="466"/>
      <c r="C63" s="516"/>
      <c r="G63" s="466"/>
      <c r="J63" s="466">
        <v>4</v>
      </c>
      <c r="N63" s="515"/>
      <c r="O63" s="466"/>
      <c r="AE63" s="466"/>
      <c r="AF63" s="466"/>
      <c r="AG63" s="466"/>
      <c r="AH63" s="466"/>
      <c r="AI63" s="466"/>
      <c r="AJ63" s="466"/>
      <c r="AK63" s="466"/>
      <c r="AL63" s="466"/>
      <c r="AM63" s="466"/>
      <c r="AN63" s="466"/>
      <c r="AO63" s="466"/>
      <c r="AP63" s="466"/>
      <c r="AQ63" s="466"/>
      <c r="AR63" s="466"/>
      <c r="AS63" s="466"/>
      <c r="AY63" s="169"/>
      <c r="AZ63" s="498"/>
      <c r="BA63" s="330"/>
      <c r="BB63" s="330"/>
      <c r="BC63" s="330"/>
      <c r="BD63" s="330"/>
      <c r="BE63" s="330"/>
      <c r="BF63" s="330"/>
      <c r="BH63"/>
      <c r="BI63"/>
      <c r="BJ63" s="330"/>
      <c r="BK63" s="4"/>
      <c r="BL63" s="40"/>
      <c r="BM63" s="372"/>
      <c r="BN63" s="372"/>
      <c r="BO63" s="372"/>
      <c r="BP63" s="372"/>
      <c r="BQ63" s="372"/>
      <c r="BZ63" s="324"/>
      <c r="CB63" s="14"/>
      <c r="CC63" s="320"/>
      <c r="CD63" s="14"/>
      <c r="CE63" s="469"/>
      <c r="CF63" s="345"/>
      <c r="CG63" s="345"/>
      <c r="CH63" s="320"/>
      <c r="CI63" s="320"/>
      <c r="CJ63" s="346"/>
      <c r="CK63" s="346"/>
      <c r="CL63" s="346"/>
    </row>
    <row r="64" spans="1:91" ht="15" customHeight="1">
      <c r="B64" s="466"/>
      <c r="C64" s="516"/>
      <c r="G64" s="466"/>
      <c r="J64" s="466">
        <v>4.0999999999999996</v>
      </c>
      <c r="N64" s="515"/>
      <c r="O64" s="466"/>
      <c r="R64" s="491" t="s">
        <v>898</v>
      </c>
      <c r="AE64" s="466"/>
      <c r="AF64" s="466"/>
      <c r="AG64" s="466"/>
      <c r="AH64" s="466"/>
      <c r="AI64" s="466"/>
      <c r="AJ64" s="466"/>
      <c r="AK64" s="466"/>
      <c r="AL64" s="466"/>
      <c r="AM64" s="466"/>
      <c r="AN64" s="466"/>
      <c r="AO64" s="466"/>
      <c r="AP64" s="466"/>
      <c r="AQ64" s="466"/>
      <c r="AR64" s="466"/>
      <c r="AS64" s="466"/>
      <c r="AY64" s="169"/>
      <c r="AZ64" s="498"/>
      <c r="BA64" s="330"/>
      <c r="BB64" s="330"/>
      <c r="BC64" s="330"/>
      <c r="BD64" s="330"/>
      <c r="BE64" s="330"/>
      <c r="BF64" s="330"/>
      <c r="BH64"/>
      <c r="BI64"/>
      <c r="BJ64" s="330"/>
      <c r="BK64" s="4"/>
      <c r="BL64" s="40"/>
      <c r="BM64" s="372"/>
      <c r="BN64" s="372"/>
      <c r="BO64" s="372"/>
      <c r="BP64" s="372"/>
      <c r="BQ64" s="372"/>
      <c r="BZ64" s="324"/>
      <c r="CB64" s="14"/>
      <c r="CC64" s="320"/>
      <c r="CD64" s="14"/>
      <c r="CE64" s="469"/>
      <c r="CF64" s="345"/>
      <c r="CG64" s="345"/>
      <c r="CH64" s="320"/>
      <c r="CI64" s="320"/>
      <c r="CJ64" s="346"/>
      <c r="CK64" s="346"/>
      <c r="CL64" s="346"/>
    </row>
    <row r="65" spans="2:90" ht="15" customHeight="1">
      <c r="B65" s="466"/>
      <c r="C65" s="516"/>
      <c r="G65" s="466"/>
      <c r="J65" s="466">
        <v>4.2</v>
      </c>
      <c r="N65" s="515"/>
      <c r="O65" s="466"/>
      <c r="S65" s="466"/>
      <c r="X65" s="476"/>
      <c r="Y65" s="466"/>
      <c r="AE65" s="466"/>
      <c r="AF65" s="466"/>
      <c r="AG65" s="466"/>
      <c r="AH65" s="466"/>
      <c r="AI65" s="466"/>
      <c r="AJ65" s="466"/>
      <c r="AK65" s="466"/>
      <c r="AL65" s="466"/>
      <c r="AM65" s="466"/>
      <c r="AN65" s="466"/>
      <c r="AO65" s="466"/>
      <c r="AP65" s="466"/>
      <c r="AQ65" s="466"/>
      <c r="AR65" s="466"/>
      <c r="AS65" s="466"/>
      <c r="AY65" s="169"/>
      <c r="AZ65" s="498"/>
      <c r="BA65" s="330"/>
      <c r="BB65" s="330"/>
      <c r="BC65" s="330"/>
      <c r="BD65" s="330"/>
      <c r="BE65" s="330"/>
      <c r="BF65" s="330"/>
      <c r="BH65"/>
      <c r="BI65"/>
      <c r="BJ65" s="330"/>
      <c r="BK65" s="4"/>
      <c r="BL65" s="40"/>
      <c r="BM65" s="372"/>
      <c r="BN65" s="372"/>
      <c r="BO65" s="372"/>
      <c r="BP65" s="372"/>
      <c r="BQ65" s="372"/>
      <c r="BZ65" s="324"/>
      <c r="CB65" s="14"/>
      <c r="CC65" s="320"/>
      <c r="CD65" s="14"/>
      <c r="CE65" s="469"/>
      <c r="CF65" s="345"/>
      <c r="CG65" s="345"/>
      <c r="CH65" s="320"/>
      <c r="CI65" s="320"/>
      <c r="CJ65" s="346"/>
      <c r="CK65" s="346"/>
      <c r="CL65" s="346"/>
    </row>
    <row r="66" spans="2:90" ht="15" customHeight="1" thickBot="1">
      <c r="B66" s="466"/>
      <c r="C66" s="539"/>
      <c r="D66" s="525"/>
      <c r="E66" s="525"/>
      <c r="F66" s="525"/>
      <c r="G66" s="525"/>
      <c r="H66" s="525"/>
      <c r="I66" s="525"/>
      <c r="J66" s="525"/>
      <c r="K66" s="525"/>
      <c r="L66" s="525"/>
      <c r="M66" s="525"/>
      <c r="N66" s="540"/>
      <c r="O66" s="466"/>
      <c r="R66" s="496"/>
      <c r="S66" s="495">
        <f t="shared" ref="S66:AC66" si="20">S50</f>
        <v>2.5</v>
      </c>
      <c r="T66" s="495">
        <f t="shared" si="20"/>
        <v>2.65</v>
      </c>
      <c r="U66" s="495">
        <f t="shared" si="20"/>
        <v>2.85</v>
      </c>
      <c r="V66" s="495">
        <f t="shared" si="20"/>
        <v>3</v>
      </c>
      <c r="W66" s="495">
        <f t="shared" si="20"/>
        <v>3.5</v>
      </c>
      <c r="X66" s="495">
        <f t="shared" si="20"/>
        <v>4</v>
      </c>
      <c r="Y66" s="495">
        <f t="shared" si="20"/>
        <v>4.5</v>
      </c>
      <c r="Z66" s="495">
        <f t="shared" si="20"/>
        <v>5</v>
      </c>
      <c r="AA66" s="495">
        <f t="shared" si="20"/>
        <v>5.3</v>
      </c>
      <c r="AB66" s="495">
        <f t="shared" si="20"/>
        <v>5.7</v>
      </c>
      <c r="AC66" s="495">
        <f t="shared" si="20"/>
        <v>6</v>
      </c>
      <c r="AE66" s="1502" t="s">
        <v>1649</v>
      </c>
      <c r="AF66" s="1502"/>
      <c r="AG66" s="1502"/>
      <c r="AH66" s="1502"/>
      <c r="AI66" s="1502"/>
      <c r="AJ66" s="1502"/>
      <c r="AK66" s="1502"/>
      <c r="AL66" s="1502"/>
      <c r="AM66" s="1502"/>
      <c r="AN66" s="1502"/>
      <c r="AO66" s="1502"/>
      <c r="AP66" s="1502"/>
      <c r="AQ66" s="1502"/>
      <c r="AR66" s="1502"/>
      <c r="AS66" s="1502"/>
      <c r="AT66" s="1502"/>
      <c r="AU66" s="1502"/>
      <c r="AV66" s="1502"/>
      <c r="AW66" s="1502"/>
      <c r="AX66" s="1502"/>
      <c r="AY66" s="169"/>
      <c r="BG66"/>
      <c r="BH66"/>
      <c r="BI66"/>
      <c r="BJ66" s="330">
        <v>48</v>
      </c>
      <c r="BK66" s="4" t="str">
        <f>ALPHA_DEUT!AI246</f>
        <v>spezifisches Schwind- u. Quellmass längs</v>
      </c>
      <c r="BL66" s="40" t="str">
        <f>ALPHA_DEUT!AJ246</f>
        <v>all</v>
      </c>
      <c r="BM66" s="372">
        <f>IF($BM$7="DSP",CS74,INDEX(ALPHA_DEUT!246:246,MATCH($BM$9,ALPHA_DEUT!$202:$202,0)))</f>
        <v>0.01</v>
      </c>
      <c r="BN66" s="372">
        <f>IF($BN$7="DSP",CT74,INDEX(ALPHA_DEUT!246:246,MATCH($BN$9,ALPHA_DEUT!$202:$202,0)))</f>
        <v>0.01</v>
      </c>
      <c r="BO66" s="372">
        <f>IF($BO$7="DSP",CU74,INDEX(ALPHA_DEUT!246:246,MATCH($BO$9,ALPHA_DEUT!$202:$202,0)))</f>
        <v>0.01</v>
      </c>
      <c r="BP66" s="372" t="e">
        <f>IF($BP$7="DSP",CV74,INDEX(ALPHA_DEUT!246:246,MATCH($BP$9,ALPHA_DEUT!$202:$202,0)))</f>
        <v>#N/A</v>
      </c>
      <c r="BQ66" s="372" t="e">
        <f>IF($BQ$7="DSP",CW74,INDEX(ALPHA_DEUT!246:246,MATCH($BQ$9,ALPHA_DEUT!$202:$202,0)))</f>
        <v>#N/A</v>
      </c>
      <c r="BZ66" s="324" t="str">
        <f>ALPHA_DEUT!Y161</f>
        <v>Ultralam-R / Steico-LVL R</v>
      </c>
      <c r="CB66" s="14" t="str">
        <f>ALPHA_DEUT!Y158</f>
        <v>Kerto S</v>
      </c>
      <c r="CC66" s="320">
        <f>ALPHA_DEUT!Z158</f>
        <v>158</v>
      </c>
      <c r="CD66" s="14" t="str">
        <f>ALPHA_DEUT!AA158</f>
        <v>Nadel - Furnierschichtholz</v>
      </c>
      <c r="CE66" s="469">
        <v>21</v>
      </c>
      <c r="CF66" s="345"/>
      <c r="CG66" s="345"/>
      <c r="CH66" s="320">
        <f t="shared" si="10"/>
        <v>1581</v>
      </c>
      <c r="CI66" s="320">
        <f t="shared" si="11"/>
        <v>1581</v>
      </c>
      <c r="CJ66" s="346">
        <f t="shared" si="12"/>
        <v>1581</v>
      </c>
      <c r="CK66" s="346">
        <f t="shared" si="13"/>
        <v>1581</v>
      </c>
      <c r="CL66" s="346">
        <f t="shared" si="14"/>
        <v>1581</v>
      </c>
    </row>
    <row r="67" spans="2:90" ht="15" customHeight="1" thickBot="1">
      <c r="B67" s="466"/>
      <c r="P67" s="466" t="s">
        <v>928</v>
      </c>
      <c r="Q67" s="330" t="s">
        <v>883</v>
      </c>
      <c r="R67" s="503">
        <v>120</v>
      </c>
      <c r="S67" s="348">
        <f>MAX(2,S$66/1.1*($BA$54/$BA$53)^(1/4))</f>
        <v>2</v>
      </c>
      <c r="T67" s="348">
        <f t="shared" ref="T67:AC67" si="21">MAX(2,T$66/1.1*($BA$54/$BA$53)^(1/4))</f>
        <v>2</v>
      </c>
      <c r="U67" s="348">
        <f t="shared" si="21"/>
        <v>2.0754604148123419</v>
      </c>
      <c r="V67" s="348">
        <f t="shared" si="21"/>
        <v>2.1846951734866757</v>
      </c>
      <c r="W67" s="348">
        <f t="shared" si="21"/>
        <v>2.5488110357344551</v>
      </c>
      <c r="X67" s="348">
        <f t="shared" si="21"/>
        <v>2.9129268979822345</v>
      </c>
      <c r="Y67" s="348">
        <f t="shared" si="21"/>
        <v>3.2770427602300134</v>
      </c>
      <c r="Z67" s="348">
        <f t="shared" si="21"/>
        <v>3.6411586224777928</v>
      </c>
      <c r="AA67" s="348">
        <f t="shared" si="21"/>
        <v>3.85962813982646</v>
      </c>
      <c r="AB67" s="348">
        <f t="shared" si="21"/>
        <v>4.1509208296246838</v>
      </c>
      <c r="AC67" s="348">
        <f t="shared" si="21"/>
        <v>4.3693903469733515</v>
      </c>
      <c r="AE67" s="1502"/>
      <c r="AF67" s="1502"/>
      <c r="AG67" s="1502"/>
      <c r="AH67" s="1502"/>
      <c r="AI67" s="1502"/>
      <c r="AJ67" s="1502"/>
      <c r="AK67" s="1502"/>
      <c r="AL67" s="1502"/>
      <c r="AM67" s="1502"/>
      <c r="AN67" s="1502"/>
      <c r="AO67" s="1502"/>
      <c r="AP67" s="1502"/>
      <c r="AQ67" s="1502"/>
      <c r="AR67" s="1502"/>
      <c r="AS67" s="1502"/>
      <c r="AT67" s="1502"/>
      <c r="AU67" s="1502"/>
      <c r="AV67" s="1502"/>
      <c r="AW67" s="1502"/>
      <c r="AX67" s="1502"/>
      <c r="AY67" s="169"/>
      <c r="BG67"/>
      <c r="BH67"/>
      <c r="BI67"/>
      <c r="BJ67" s="330">
        <v>49</v>
      </c>
      <c r="BK67" s="4" t="str">
        <f>ALPHA_DEUT!AI247</f>
        <v>spezifisches Schwind- u. Quellmass quer</v>
      </c>
      <c r="BL67" s="40" t="str">
        <f>ALPHA_DEUT!AJ247</f>
        <v>a^</v>
      </c>
      <c r="BM67" s="372">
        <f>IF($BM$7="DSP",CS75,INDEX(ALPHA_DEUT!247:247,MATCH($BM$9,ALPHA_DEUT!$202:$202,0)))</f>
        <v>0.25</v>
      </c>
      <c r="BN67" s="372">
        <f>IF($BN$7="DSP",CT75,INDEX(ALPHA_DEUT!247:247,MATCH($BN$9,ALPHA_DEUT!$202:$202,0)))</f>
        <v>0.25</v>
      </c>
      <c r="BO67" s="372">
        <f>IF($BO$7="DSP",CU75,INDEX(ALPHA_DEUT!247:247,MATCH($BO$9,ALPHA_DEUT!$202:$202,0)))</f>
        <v>0.25</v>
      </c>
      <c r="BP67" s="372" t="e">
        <f>IF($BP$7="DSP",CV75,INDEX(ALPHA_DEUT!247:247,MATCH($BP$9,ALPHA_DEUT!$202:$202,0)))</f>
        <v>#N/A</v>
      </c>
      <c r="BQ67" s="372" t="e">
        <f>IF($BQ$7="DSP",CW75,INDEX(ALPHA_DEUT!247:247,MATCH($BQ$9,ALPHA_DEUT!$202:$202,0)))</f>
        <v>#N/A</v>
      </c>
      <c r="BZ67" s="324" t="str">
        <f>ALPHA_DEUT!Y162</f>
        <v>Ultralam-R-S / Steico-LVL RS</v>
      </c>
      <c r="CB67" s="14" t="str">
        <f>ALPHA_DEUT!Y159</f>
        <v>Kerto Q</v>
      </c>
      <c r="CC67" s="320">
        <f>ALPHA_DEUT!Z159</f>
        <v>159</v>
      </c>
      <c r="CD67" s="14" t="str">
        <f>ALPHA_DEUT!AA159</f>
        <v>Nadel - Furnierschichtholz</v>
      </c>
      <c r="CE67" s="469">
        <v>21</v>
      </c>
      <c r="CF67" s="345">
        <v>27</v>
      </c>
      <c r="CG67" s="345"/>
      <c r="CH67" s="320">
        <f t="shared" si="10"/>
        <v>1592</v>
      </c>
      <c r="CI67" s="320">
        <f t="shared" si="11"/>
        <v>1592</v>
      </c>
      <c r="CJ67" s="346">
        <f t="shared" si="12"/>
        <v>1592</v>
      </c>
      <c r="CK67" s="346">
        <f t="shared" si="13"/>
        <v>1592</v>
      </c>
      <c r="CL67" s="346">
        <f t="shared" si="14"/>
        <v>1592</v>
      </c>
    </row>
    <row r="68" spans="2:90" ht="15" customHeight="1">
      <c r="B68" s="466"/>
      <c r="C68" s="508" t="s">
        <v>894</v>
      </c>
      <c r="D68" s="509"/>
      <c r="E68" s="509"/>
      <c r="F68" s="509"/>
      <c r="G68" s="509"/>
      <c r="H68" s="509"/>
      <c r="I68" s="509"/>
      <c r="J68" s="509"/>
      <c r="K68" s="509"/>
      <c r="L68" s="511"/>
      <c r="M68" s="466"/>
      <c r="R68" s="503">
        <v>140</v>
      </c>
      <c r="S68" s="348">
        <f t="shared" ref="S68:AC73" si="22">MAX(2,S$66/1.1*($BA$54/$BA$53)^(1/4))</f>
        <v>2</v>
      </c>
      <c r="T68" s="348">
        <f t="shared" si="22"/>
        <v>2</v>
      </c>
      <c r="U68" s="348">
        <f t="shared" si="22"/>
        <v>2.0754604148123419</v>
      </c>
      <c r="V68" s="348">
        <f t="shared" si="22"/>
        <v>2.1846951734866757</v>
      </c>
      <c r="W68" s="348">
        <f t="shared" si="22"/>
        <v>2.5488110357344551</v>
      </c>
      <c r="X68" s="348">
        <f t="shared" si="22"/>
        <v>2.9129268979822345</v>
      </c>
      <c r="Y68" s="348">
        <f t="shared" si="22"/>
        <v>3.2770427602300134</v>
      </c>
      <c r="Z68" s="348">
        <f t="shared" si="22"/>
        <v>3.6411586224777928</v>
      </c>
      <c r="AA68" s="348">
        <f t="shared" si="22"/>
        <v>3.85962813982646</v>
      </c>
      <c r="AB68" s="348">
        <f t="shared" si="22"/>
        <v>4.1509208296246838</v>
      </c>
      <c r="AC68" s="348">
        <f t="shared" si="22"/>
        <v>4.3693903469733515</v>
      </c>
      <c r="AE68" s="792" t="s">
        <v>1647</v>
      </c>
      <c r="AK68" s="466"/>
      <c r="AL68" s="466"/>
      <c r="AM68" s="466"/>
      <c r="AN68" s="466"/>
      <c r="AO68" s="466"/>
      <c r="AP68" s="466"/>
      <c r="AQ68" s="466"/>
      <c r="AR68" s="466"/>
      <c r="AS68" s="466"/>
      <c r="AY68" s="169"/>
      <c r="BJ68" s="330">
        <v>50</v>
      </c>
      <c r="BK68" s="4" t="str">
        <f>ALPHA_DEUT!AI248</f>
        <v>Temperaturausdehnungskoeffizient tangential</v>
      </c>
      <c r="BL68" s="40" t="str">
        <f>ALPHA_DEUT!AJ248</f>
        <v>aT,t [1/K]</v>
      </c>
      <c r="BM68" s="372">
        <f>IF($BM$7="DSP",CS93,INDEX(ALPHA_DEUT!248:248,MATCH($BM$9,ALPHA_DEUT!$202:$202,0)))</f>
        <v>4.2499999999999996E-5</v>
      </c>
      <c r="BN68" s="372">
        <f>IF($BN$7="DSP",CT93,INDEX(ALPHA_DEUT!248:248,MATCH($BN$9,ALPHA_DEUT!$202:$202,0)))</f>
        <v>4.2499999999999996E-5</v>
      </c>
      <c r="BO68" s="372">
        <f>IF($BO$7="DSP",CU93,INDEX(ALPHA_DEUT!248:248,MATCH($BO$9,ALPHA_DEUT!$202:$202,0)))</f>
        <v>4.2499999999999996E-5</v>
      </c>
      <c r="BP68" s="372" t="e">
        <f>IF($BP$7="DSP",CV93,INDEX(ALPHA_DEUT!248:248,MATCH($BP$9,ALPHA_DEUT!$202:$202,0)))</f>
        <v>#N/A</v>
      </c>
      <c r="BQ68" s="372" t="e">
        <f>IF($BQ$7="DSP",CW93,INDEX(ALPHA_DEUT!248:248,MATCH($BQ$9,ALPHA_DEUT!$202:$202,0)))</f>
        <v>#N/A</v>
      </c>
      <c r="BZ68" s="324" t="str">
        <f>ALPHA_DEUT!Y163</f>
        <v>Ultralam-X / Steico-LVL X</v>
      </c>
      <c r="CB68" s="14" t="str">
        <f>ALPHA_DEUT!Y160</f>
        <v>Kerto QP</v>
      </c>
      <c r="CC68" s="320">
        <f>ALPHA_DEUT!Z160</f>
        <v>160</v>
      </c>
      <c r="CD68" s="14" t="str">
        <f>ALPHA_DEUT!AA160</f>
        <v>Nadel - Furnierschichtholz</v>
      </c>
      <c r="CE68" s="469">
        <v>39</v>
      </c>
      <c r="CF68" s="345">
        <v>54</v>
      </c>
      <c r="CG68" s="345"/>
      <c r="CH68" s="320">
        <f t="shared" si="10"/>
        <v>1602</v>
      </c>
      <c r="CI68" s="320">
        <f t="shared" si="11"/>
        <v>1602</v>
      </c>
      <c r="CJ68" s="346">
        <f t="shared" si="12"/>
        <v>1602</v>
      </c>
      <c r="CK68" s="346">
        <f t="shared" si="13"/>
        <v>1602</v>
      </c>
      <c r="CL68" s="346">
        <f t="shared" si="14"/>
        <v>1602</v>
      </c>
    </row>
    <row r="69" spans="2:90" ht="15" customHeight="1">
      <c r="B69" s="466"/>
      <c r="C69" s="516"/>
      <c r="D69" s="536" t="s">
        <v>964</v>
      </c>
      <c r="G69" s="465"/>
      <c r="H69" s="465"/>
      <c r="I69" s="465"/>
      <c r="J69" s="465"/>
      <c r="K69" s="465"/>
      <c r="L69" s="521"/>
      <c r="M69" s="465"/>
      <c r="R69" s="503">
        <v>160</v>
      </c>
      <c r="S69" s="348">
        <f t="shared" si="22"/>
        <v>2</v>
      </c>
      <c r="T69" s="348">
        <f t="shared" si="22"/>
        <v>2</v>
      </c>
      <c r="U69" s="348">
        <f t="shared" si="22"/>
        <v>2.0754604148123419</v>
      </c>
      <c r="V69" s="348">
        <f t="shared" si="22"/>
        <v>2.1846951734866757</v>
      </c>
      <c r="W69" s="348">
        <f t="shared" si="22"/>
        <v>2.5488110357344551</v>
      </c>
      <c r="X69" s="348">
        <f t="shared" si="22"/>
        <v>2.9129268979822345</v>
      </c>
      <c r="Y69" s="348">
        <f t="shared" si="22"/>
        <v>3.2770427602300134</v>
      </c>
      <c r="Z69" s="348">
        <f t="shared" si="22"/>
        <v>3.6411586224777928</v>
      </c>
      <c r="AA69" s="348">
        <f t="shared" si="22"/>
        <v>3.85962813982646</v>
      </c>
      <c r="AB69" s="348">
        <f t="shared" si="22"/>
        <v>4.1509208296246838</v>
      </c>
      <c r="AC69" s="348">
        <f t="shared" si="22"/>
        <v>4.3693903469733515</v>
      </c>
      <c r="AJ69" s="211"/>
      <c r="AK69" s="211"/>
      <c r="AL69" s="211"/>
      <c r="AM69" s="211"/>
      <c r="AN69" s="211"/>
      <c r="AO69" s="211"/>
      <c r="AP69" s="211"/>
      <c r="AQ69" s="211"/>
      <c r="AR69" s="466"/>
      <c r="AS69" s="466"/>
      <c r="AY69" s="169"/>
      <c r="AZ69" s="499" t="s">
        <v>939</v>
      </c>
      <c r="BJ69" s="330">
        <v>51</v>
      </c>
      <c r="BK69" s="4" t="str">
        <f>ALPHA_DEUT!AI249</f>
        <v>Temperaturausdehnungskoeffizient radial</v>
      </c>
      <c r="BL69" s="40" t="str">
        <f>ALPHA_DEUT!AJ249</f>
        <v>aT,r [1/K]</v>
      </c>
      <c r="BM69" s="372">
        <f>IF($BM$7="DSP",CS208,INDEX(ALPHA_DEUT!249:249,MATCH($BM$9,ALPHA_DEUT!$202:$202,0)))</f>
        <v>2.9999999999999997E-5</v>
      </c>
      <c r="BN69" s="372">
        <f>IF($BN$7="DSP",CT208,INDEX(ALPHA_DEUT!249:249,MATCH($BN$9,ALPHA_DEUT!$202:$202,0)))</f>
        <v>2.9999999999999997E-5</v>
      </c>
      <c r="BO69" s="372">
        <f>IF($BO$7="DSP",CU208,INDEX(ALPHA_DEUT!249:249,MATCH($BO$9,ALPHA_DEUT!$202:$202,0)))</f>
        <v>2.9999999999999997E-5</v>
      </c>
      <c r="BP69" s="372" t="e">
        <f>IF($BP$7="DSP",CV208,INDEX(ALPHA_DEUT!249:249,MATCH($BP$9,ALPHA_DEUT!$202:$202,0)))</f>
        <v>#N/A</v>
      </c>
      <c r="BQ69" s="372" t="e">
        <f>IF($BQ$7="DSP",CW208,INDEX(ALPHA_DEUT!249:249,MATCH($BQ$9,ALPHA_DEUT!$202:$202,0)))</f>
        <v>#N/A</v>
      </c>
      <c r="BZ69" s="324" t="str">
        <f>ALPHA_DEUT!Y164</f>
        <v>BauBuche S-Platte</v>
      </c>
      <c r="CB69" s="14" t="str">
        <f>ALPHA_DEUT!Y161</f>
        <v>Ultralam-R / Steico-LVL R</v>
      </c>
      <c r="CC69" s="320">
        <f>ALPHA_DEUT!Z161</f>
        <v>161</v>
      </c>
      <c r="CD69" s="14" t="str">
        <f>ALPHA_DEUT!AA161</f>
        <v>Nadel - Furnierschichtholz</v>
      </c>
      <c r="CE69" s="469">
        <v>19</v>
      </c>
      <c r="CF69" s="345"/>
      <c r="CG69" s="345"/>
      <c r="CH69" s="320">
        <f t="shared" si="10"/>
        <v>1611</v>
      </c>
      <c r="CI69" s="320">
        <f t="shared" si="11"/>
        <v>1611</v>
      </c>
      <c r="CJ69" s="346">
        <f t="shared" si="12"/>
        <v>1611</v>
      </c>
      <c r="CK69" s="346">
        <f t="shared" si="13"/>
        <v>1611</v>
      </c>
      <c r="CL69" s="346">
        <f t="shared" si="14"/>
        <v>1611</v>
      </c>
    </row>
    <row r="70" spans="2:90" ht="15" customHeight="1">
      <c r="B70" s="466"/>
      <c r="C70" s="516"/>
      <c r="L70" s="515"/>
      <c r="R70" s="503">
        <v>180</v>
      </c>
      <c r="S70" s="348">
        <f t="shared" si="22"/>
        <v>2</v>
      </c>
      <c r="T70" s="348">
        <f t="shared" si="22"/>
        <v>2</v>
      </c>
      <c r="U70" s="348">
        <f t="shared" si="22"/>
        <v>2.0754604148123419</v>
      </c>
      <c r="V70" s="348">
        <f t="shared" si="22"/>
        <v>2.1846951734866757</v>
      </c>
      <c r="W70" s="348">
        <f t="shared" si="22"/>
        <v>2.5488110357344551</v>
      </c>
      <c r="X70" s="348">
        <f t="shared" si="22"/>
        <v>2.9129268979822345</v>
      </c>
      <c r="Y70" s="348">
        <f t="shared" si="22"/>
        <v>3.2770427602300134</v>
      </c>
      <c r="Z70" s="348">
        <f t="shared" si="22"/>
        <v>3.6411586224777928</v>
      </c>
      <c r="AA70" s="348">
        <f t="shared" si="22"/>
        <v>3.85962813982646</v>
      </c>
      <c r="AB70" s="348">
        <f t="shared" si="22"/>
        <v>4.1509208296246838</v>
      </c>
      <c r="AC70" s="348">
        <f t="shared" si="22"/>
        <v>4.3693903469733515</v>
      </c>
      <c r="AJ70" s="348"/>
      <c r="AK70" s="348"/>
      <c r="AL70" s="348"/>
      <c r="AM70" s="348"/>
      <c r="AN70" s="348"/>
      <c r="AO70" s="348"/>
      <c r="AP70" s="348"/>
      <c r="AQ70" s="348"/>
      <c r="AR70" s="466"/>
      <c r="AS70" s="466"/>
      <c r="AY70" s="169"/>
      <c r="AZ70" s="347" t="s">
        <v>936</v>
      </c>
      <c r="BJ70" s="330">
        <v>52</v>
      </c>
      <c r="BK70" s="4" t="str">
        <f>ALPHA_DEUT!AI250</f>
        <v>Temperaturausdehnungskoeffizient längs</v>
      </c>
      <c r="BL70" s="40" t="str">
        <f>ALPHA_DEUT!AJ250</f>
        <v>aT,l [1/K]</v>
      </c>
      <c r="BM70" s="372">
        <f>IF($BM$7="DSP",CS209,INDEX(ALPHA_DEUT!250:250,MATCH($BM$9,ALPHA_DEUT!$202:$202,0)))</f>
        <v>4.5000000000000001E-6</v>
      </c>
      <c r="BN70" s="372">
        <f>IF($BN$7="DSP",CT209,INDEX(ALPHA_DEUT!250:250,MATCH($BN$9,ALPHA_DEUT!$202:$202,0)))</f>
        <v>4.5000000000000001E-6</v>
      </c>
      <c r="BO70" s="372">
        <f>IF($BO$7="DSP",CU209,INDEX(ALPHA_DEUT!250:250,MATCH($BO$9,ALPHA_DEUT!$202:$202,0)))</f>
        <v>4.5000000000000001E-6</v>
      </c>
      <c r="BP70" s="372" t="e">
        <f>IF($BP$7="DSP",CV209,INDEX(ALPHA_DEUT!250:250,MATCH($BP$9,ALPHA_DEUT!$202:$202,0)))</f>
        <v>#N/A</v>
      </c>
      <c r="BQ70" s="372" t="e">
        <f>IF($BQ$7="DSP",CW209,INDEX(ALPHA_DEUT!250:250,MATCH($BQ$9,ALPHA_DEUT!$202:$202,0)))</f>
        <v>#N/A</v>
      </c>
      <c r="BZ70" s="324" t="str">
        <f>ALPHA_DEUT!Y165</f>
        <v>BauBuche Q-Platte</v>
      </c>
      <c r="CB70" s="14" t="str">
        <f>ALPHA_DEUT!Y162</f>
        <v>Ultralam-R-S / Steico-LVL RS</v>
      </c>
      <c r="CC70" s="320">
        <f>ALPHA_DEUT!Z162</f>
        <v>162</v>
      </c>
      <c r="CD70" s="14" t="str">
        <f>ALPHA_DEUT!AA162</f>
        <v>Nadel - Furnierschichtholz</v>
      </c>
      <c r="CE70" s="469">
        <v>19</v>
      </c>
      <c r="CF70" s="345"/>
      <c r="CG70" s="345"/>
      <c r="CH70" s="320">
        <f t="shared" ref="CH70:CH75" si="23">VALUE(CC70&amp;MATCH($CH$6,CE70:CG70,1))</f>
        <v>1621</v>
      </c>
      <c r="CI70" s="320">
        <f t="shared" ref="CI70:CI75" si="24">VALUE(CC70&amp;MATCH($CI$6,CE70:CG70,1))</f>
        <v>1621</v>
      </c>
      <c r="CJ70" s="346">
        <f t="shared" ref="CJ70:CJ75" si="25">VALUE(CC70&amp;MATCH($CJ$6,CE70:CG70,1))</f>
        <v>1621</v>
      </c>
      <c r="CK70" s="346">
        <f t="shared" ref="CK70:CK75" si="26">VALUE(CC70&amp;MATCH($CK$6,CE70:CG70,1))</f>
        <v>1621</v>
      </c>
      <c r="CL70" s="346">
        <f t="shared" ref="CL70:CL75" si="27">VALUE(CC70&amp;MATCH($CL$6,CE70:CG70,1))</f>
        <v>1621</v>
      </c>
    </row>
    <row r="71" spans="2:90" ht="15" customHeight="1">
      <c r="B71" s="466"/>
      <c r="C71" s="516"/>
      <c r="L71" s="515"/>
      <c r="R71" s="503">
        <v>200</v>
      </c>
      <c r="S71" s="348">
        <f t="shared" si="22"/>
        <v>2</v>
      </c>
      <c r="T71" s="348">
        <f t="shared" si="22"/>
        <v>2</v>
      </c>
      <c r="U71" s="348">
        <f t="shared" si="22"/>
        <v>2.0754604148123419</v>
      </c>
      <c r="V71" s="348">
        <f t="shared" si="22"/>
        <v>2.1846951734866757</v>
      </c>
      <c r="W71" s="348">
        <f t="shared" si="22"/>
        <v>2.5488110357344551</v>
      </c>
      <c r="X71" s="348">
        <f t="shared" si="22"/>
        <v>2.9129268979822345</v>
      </c>
      <c r="Y71" s="348">
        <f t="shared" si="22"/>
        <v>3.2770427602300134</v>
      </c>
      <c r="Z71" s="348">
        <f t="shared" si="22"/>
        <v>3.6411586224777928</v>
      </c>
      <c r="AA71" s="348">
        <f t="shared" si="22"/>
        <v>3.85962813982646</v>
      </c>
      <c r="AB71" s="348">
        <f t="shared" si="22"/>
        <v>4.1509208296246838</v>
      </c>
      <c r="AC71" s="348">
        <f t="shared" si="22"/>
        <v>4.3693903469733515</v>
      </c>
      <c r="AI71" s="169"/>
      <c r="AJ71" s="348"/>
      <c r="AK71" s="348"/>
      <c r="AL71" s="348"/>
      <c r="AM71" s="348"/>
      <c r="AN71" s="348"/>
      <c r="AO71" s="348"/>
      <c r="AP71" s="348"/>
      <c r="AQ71" s="348"/>
      <c r="AR71" s="466"/>
      <c r="AS71" s="466"/>
      <c r="AY71" s="169"/>
      <c r="AZ71" s="498" t="s">
        <v>937</v>
      </c>
      <c r="BA71" s="330">
        <v>93.5</v>
      </c>
      <c r="BB71" s="330">
        <v>113.5</v>
      </c>
      <c r="BC71" s="330">
        <v>133.5</v>
      </c>
      <c r="BD71" s="330">
        <v>153.5</v>
      </c>
      <c r="BE71" s="330">
        <v>173.5</v>
      </c>
      <c r="BF71" s="330">
        <v>193.5</v>
      </c>
      <c r="BG71" s="330">
        <v>231.5</v>
      </c>
      <c r="BJ71" s="330">
        <v>53</v>
      </c>
      <c r="BK71" s="4" t="str">
        <f>ALPHA_DEUT!AI251</f>
        <v>Materialbeiwert für Ausklinkungen</v>
      </c>
      <c r="BL71" s="40" t="str">
        <f>ALPHA_DEUT!AJ251</f>
        <v>kn [-]</v>
      </c>
      <c r="BM71" s="372">
        <f>IF($BM$7="DSP",CS210,INDEX(ALPHA_DEUT!251:251,MATCH($BM$9,ALPHA_DEUT!$202:$202,0)))</f>
        <v>5</v>
      </c>
      <c r="BN71" s="372">
        <f>IF($BN$7="DSP",CT210,INDEX(ALPHA_DEUT!251:251,MATCH($BN$9,ALPHA_DEUT!$202:$202,0)))</f>
        <v>6.5</v>
      </c>
      <c r="BO71" s="372">
        <f>IF($BO$7="DSP",CU210,INDEX(ALPHA_DEUT!251:251,MATCH($BO$9,ALPHA_DEUT!$202:$202,0)))</f>
        <v>6.5</v>
      </c>
      <c r="BP71" s="372" t="e">
        <f>IF($BP$7="DSP",CV210,INDEX(ALPHA_DEUT!251:251,MATCH($BP$9,ALPHA_DEUT!$202:$202,0)))</f>
        <v>#N/A</v>
      </c>
      <c r="BQ71" s="372" t="e">
        <f>IF($BQ$7="DSP",CW210,INDEX(ALPHA_DEUT!251:251,MATCH($BQ$9,ALPHA_DEUT!$202:$202,0)))</f>
        <v>#N/A</v>
      </c>
      <c r="BZ71" s="324" t="str">
        <f>ALPHA_DEUT!Y166</f>
        <v>BauBuche Q-Platte</v>
      </c>
      <c r="CB71" s="14" t="str">
        <f>ALPHA_DEUT!Y163</f>
        <v>Ultralam-X / Steico-LVL X</v>
      </c>
      <c r="CC71" s="320">
        <f>ALPHA_DEUT!Z163</f>
        <v>163</v>
      </c>
      <c r="CD71" s="14" t="str">
        <f>ALPHA_DEUT!AA163</f>
        <v>Nadel - Furnierschichtholz</v>
      </c>
      <c r="CE71" s="469">
        <v>19</v>
      </c>
      <c r="CF71" s="345">
        <v>24</v>
      </c>
      <c r="CG71" s="345"/>
      <c r="CH71" s="320">
        <f t="shared" si="23"/>
        <v>1632</v>
      </c>
      <c r="CI71" s="320">
        <f t="shared" si="24"/>
        <v>1632</v>
      </c>
      <c r="CJ71" s="346">
        <f t="shared" si="25"/>
        <v>1632</v>
      </c>
      <c r="CK71" s="346">
        <f t="shared" si="26"/>
        <v>1632</v>
      </c>
      <c r="CL71" s="346">
        <f t="shared" si="27"/>
        <v>1632</v>
      </c>
    </row>
    <row r="72" spans="2:90" ht="15" customHeight="1">
      <c r="B72" s="466"/>
      <c r="C72" s="520"/>
      <c r="D72" s="531" t="s">
        <v>874</v>
      </c>
      <c r="E72" s="534" t="s">
        <v>875</v>
      </c>
      <c r="J72" s="477"/>
      <c r="K72" s="477"/>
      <c r="L72" s="522"/>
      <c r="M72" s="477"/>
      <c r="R72" s="503">
        <v>220</v>
      </c>
      <c r="S72" s="348">
        <f t="shared" si="22"/>
        <v>2</v>
      </c>
      <c r="T72" s="348">
        <f t="shared" si="22"/>
        <v>2</v>
      </c>
      <c r="U72" s="348">
        <f t="shared" si="22"/>
        <v>2.0754604148123419</v>
      </c>
      <c r="V72" s="348">
        <f t="shared" si="22"/>
        <v>2.1846951734866757</v>
      </c>
      <c r="W72" s="348">
        <f t="shared" si="22"/>
        <v>2.5488110357344551</v>
      </c>
      <c r="X72" s="348">
        <f t="shared" si="22"/>
        <v>2.9129268979822345</v>
      </c>
      <c r="Y72" s="348">
        <f t="shared" si="22"/>
        <v>3.2770427602300134</v>
      </c>
      <c r="Z72" s="348">
        <f t="shared" si="22"/>
        <v>3.6411586224777928</v>
      </c>
      <c r="AA72" s="348">
        <f t="shared" si="22"/>
        <v>3.85962813982646</v>
      </c>
      <c r="AB72" s="348">
        <f t="shared" si="22"/>
        <v>4.1509208296246838</v>
      </c>
      <c r="AC72" s="348">
        <f t="shared" si="22"/>
        <v>4.3693903469733515</v>
      </c>
      <c r="AI72" s="169"/>
      <c r="AJ72" s="466"/>
      <c r="AK72" s="466"/>
      <c r="AL72" s="466"/>
      <c r="AM72" s="466"/>
      <c r="AN72" s="466"/>
      <c r="AO72" s="466"/>
      <c r="AP72" s="466"/>
      <c r="AQ72" s="466"/>
      <c r="AR72" s="466"/>
      <c r="AS72" s="466"/>
      <c r="AY72" s="169"/>
      <c r="AZ72" s="498" t="s">
        <v>912</v>
      </c>
      <c r="BA72" s="330" t="s">
        <v>938</v>
      </c>
      <c r="BB72" s="330" t="s">
        <v>943</v>
      </c>
      <c r="BC72" s="330" t="s">
        <v>945</v>
      </c>
      <c r="BD72" s="330" t="s">
        <v>948</v>
      </c>
      <c r="BE72" s="330" t="s">
        <v>951</v>
      </c>
      <c r="BF72" s="330" t="s">
        <v>953</v>
      </c>
      <c r="BG72" s="330" t="s">
        <v>986</v>
      </c>
      <c r="BJ72" s="330">
        <v>54</v>
      </c>
      <c r="BK72" s="4"/>
      <c r="BL72" s="40" t="str">
        <f>ALPHA_DEUT!AJ252</f>
        <v>bc</v>
      </c>
      <c r="BM72" s="372">
        <f>IF($BM$7="DSP",CS211,INDEX(ALPHA_DEUT!252:252,MATCH($BM$9,ALPHA_DEUT!$202:$202,0)))</f>
        <v>0.2</v>
      </c>
      <c r="BN72" s="372">
        <f>IF($BN$7="DSP",CT211,INDEX(ALPHA_DEUT!252:252,MATCH($BN$9,ALPHA_DEUT!$202:$202,0)))</f>
        <v>0.1</v>
      </c>
      <c r="BO72" s="372">
        <f>IF($BO$7="DSP",CU211,INDEX(ALPHA_DEUT!252:252,MATCH($BO$9,ALPHA_DEUT!$202:$202,0)))</f>
        <v>0.1</v>
      </c>
      <c r="BP72" s="372" t="e">
        <f>IF($BP$7="DSP",CV211,INDEX(ALPHA_DEUT!252:252,MATCH($BP$9,ALPHA_DEUT!$202:$202,0)))</f>
        <v>#N/A</v>
      </c>
      <c r="BQ72" s="372" t="e">
        <f>IF($BQ$7="DSP",CW211,INDEX(ALPHA_DEUT!252:252,MATCH($BQ$9,ALPHA_DEUT!$202:$202,0)))</f>
        <v>#N/A</v>
      </c>
      <c r="BZ72" s="324" t="str">
        <f>ALPHA_DEUT!Y167</f>
        <v>BauBuche GL70 - NKL1</v>
      </c>
      <c r="CB72" s="14" t="str">
        <f>ALPHA_DEUT!Y164</f>
        <v>BauBuche S-Platte</v>
      </c>
      <c r="CC72" s="320">
        <f>ALPHA_DEUT!Z164</f>
        <v>164</v>
      </c>
      <c r="CD72" s="14" t="str">
        <f>ALPHA_DEUT!AA164</f>
        <v>Laub - Furnierschichtholz</v>
      </c>
      <c r="CE72" s="469">
        <v>20</v>
      </c>
      <c r="CF72" s="345"/>
      <c r="CG72" s="345"/>
      <c r="CH72" s="320">
        <f t="shared" si="23"/>
        <v>1641</v>
      </c>
      <c r="CI72" s="320">
        <f t="shared" si="24"/>
        <v>1641</v>
      </c>
      <c r="CJ72" s="346">
        <f t="shared" si="25"/>
        <v>1641</v>
      </c>
      <c r="CK72" s="346">
        <f t="shared" si="26"/>
        <v>1641</v>
      </c>
      <c r="CL72" s="346">
        <f t="shared" si="27"/>
        <v>1641</v>
      </c>
    </row>
    <row r="73" spans="2:90" ht="15" customHeight="1">
      <c r="B73" s="466"/>
      <c r="C73" s="513">
        <f t="shared" ref="C73:C79" si="28">$D51</f>
        <v>2.5</v>
      </c>
      <c r="D73" s="477">
        <f ca="1">g_k_250*$C73/2</f>
        <v>4.625</v>
      </c>
      <c r="E73" s="477">
        <f>q_k*$C73/2</f>
        <v>2.875</v>
      </c>
      <c r="J73" s="477"/>
      <c r="K73" s="477"/>
      <c r="L73" s="522"/>
      <c r="M73" s="477"/>
      <c r="R73" s="504">
        <v>240</v>
      </c>
      <c r="S73" s="791">
        <f t="shared" si="22"/>
        <v>2</v>
      </c>
      <c r="T73" s="502">
        <f t="shared" si="22"/>
        <v>2</v>
      </c>
      <c r="U73" s="502">
        <f t="shared" si="22"/>
        <v>2.0754604148123419</v>
      </c>
      <c r="V73" s="502">
        <f t="shared" si="22"/>
        <v>2.1846951734866757</v>
      </c>
      <c r="W73" s="502">
        <f t="shared" si="22"/>
        <v>2.5488110357344551</v>
      </c>
      <c r="X73" s="502">
        <f t="shared" si="22"/>
        <v>2.9129268979822345</v>
      </c>
      <c r="Y73" s="502">
        <f t="shared" si="22"/>
        <v>3.2770427602300134</v>
      </c>
      <c r="Z73" s="502">
        <f t="shared" si="22"/>
        <v>3.6411586224777928</v>
      </c>
      <c r="AA73" s="502">
        <f t="shared" si="22"/>
        <v>3.85962813982646</v>
      </c>
      <c r="AB73" s="502">
        <f t="shared" si="22"/>
        <v>4.1509208296246838</v>
      </c>
      <c r="AC73" s="502">
        <f t="shared" si="22"/>
        <v>4.3693903469733515</v>
      </c>
      <c r="AI73" s="169"/>
      <c r="AS73" s="466"/>
      <c r="AY73" s="169"/>
      <c r="AZ73" s="498" t="s">
        <v>914</v>
      </c>
      <c r="BA73" s="330">
        <v>22.2</v>
      </c>
      <c r="BB73" s="330">
        <v>16.7</v>
      </c>
      <c r="BC73" s="330">
        <v>15.5</v>
      </c>
      <c r="BD73" s="330">
        <v>13.4</v>
      </c>
      <c r="BE73" s="330">
        <v>11.9</v>
      </c>
      <c r="BF73" s="330">
        <v>19.3</v>
      </c>
      <c r="BG73" s="330">
        <v>18.100000000000001</v>
      </c>
      <c r="BJ73" s="330"/>
      <c r="BK73" s="4"/>
      <c r="BL73" s="40"/>
      <c r="BM73" s="372"/>
      <c r="BN73" s="372"/>
      <c r="BO73" s="372"/>
      <c r="BP73" s="372"/>
      <c r="BQ73" s="372"/>
      <c r="BZ73" s="324" t="str">
        <f>ALPHA_DEUT!Y168</f>
        <v>BauBuche GL70 - NKL2</v>
      </c>
      <c r="CB73" s="14" t="str">
        <f>ALPHA_DEUT!Y165</f>
        <v>BauBuche Q-Platte</v>
      </c>
      <c r="CC73" s="320">
        <f>ALPHA_DEUT!Z165</f>
        <v>165</v>
      </c>
      <c r="CD73" s="14" t="str">
        <f>ALPHA_DEUT!AA165</f>
        <v>Laub - Furnierschichtholz</v>
      </c>
      <c r="CE73" s="469">
        <v>20</v>
      </c>
      <c r="CF73" s="345">
        <v>30</v>
      </c>
      <c r="CG73" s="345"/>
      <c r="CH73" s="320">
        <f t="shared" si="23"/>
        <v>1652</v>
      </c>
      <c r="CI73" s="320">
        <f t="shared" si="24"/>
        <v>1652</v>
      </c>
      <c r="CJ73" s="346">
        <f t="shared" si="25"/>
        <v>1652</v>
      </c>
      <c r="CK73" s="346">
        <f t="shared" si="26"/>
        <v>1652</v>
      </c>
      <c r="CL73" s="346">
        <f t="shared" si="27"/>
        <v>1652</v>
      </c>
    </row>
    <row r="74" spans="2:90" ht="15" customHeight="1">
      <c r="B74" s="466"/>
      <c r="C74" s="513">
        <f t="shared" si="28"/>
        <v>2.65</v>
      </c>
      <c r="D74" s="477">
        <f ca="1">g_k_265*$C74/2</f>
        <v>4.9024999999999999</v>
      </c>
      <c r="E74" s="477">
        <f t="shared" ref="E74:E83" si="29">q_k*$C74/2</f>
        <v>3.0474999999999999</v>
      </c>
      <c r="J74" s="466"/>
      <c r="K74" s="466"/>
      <c r="L74" s="514"/>
      <c r="M74" s="466"/>
      <c r="P74" s="466" t="s">
        <v>899</v>
      </c>
      <c r="Q74" s="330" t="s">
        <v>562</v>
      </c>
      <c r="R74" s="503">
        <v>120</v>
      </c>
      <c r="S74" s="348">
        <f>2000*(S$66*1000)^3/(4*11000*S$67*1000*$BA$61^3)</f>
        <v>0.28987850741862642</v>
      </c>
      <c r="T74" s="348">
        <f t="shared" ref="T74:AC74" si="30">2000*(T$66*1000)^3/(4*11000*T$67*1000*$BA$61^3)</f>
        <v>0.34524994039170276</v>
      </c>
      <c r="U74" s="348">
        <f>2000*(U$66*1000)^3/(4*11000*U$67*1000*$BA$61^3)</f>
        <v>0.41385300372867179</v>
      </c>
      <c r="V74" s="348">
        <f t="shared" si="30"/>
        <v>0.45856288501791892</v>
      </c>
      <c r="W74" s="348">
        <f t="shared" si="30"/>
        <v>0.62415503794105631</v>
      </c>
      <c r="X74" s="348">
        <f t="shared" si="30"/>
        <v>0.81522290669852238</v>
      </c>
      <c r="Y74" s="348">
        <f t="shared" si="30"/>
        <v>1.0317664912903175</v>
      </c>
      <c r="Z74" s="348">
        <f t="shared" si="30"/>
        <v>1.2737857917164415</v>
      </c>
      <c r="AA74" s="348">
        <f t="shared" si="30"/>
        <v>1.431225715572594</v>
      </c>
      <c r="AB74" s="348">
        <f t="shared" si="30"/>
        <v>1.6554120149146871</v>
      </c>
      <c r="AC74" s="348">
        <f t="shared" si="30"/>
        <v>1.8342515400716757</v>
      </c>
      <c r="AI74" s="169"/>
      <c r="AJ74" s="466"/>
      <c r="AK74" s="466"/>
      <c r="AL74" s="466"/>
      <c r="AM74" s="466"/>
      <c r="AN74" s="466"/>
      <c r="AO74" s="466"/>
      <c r="AP74" s="466"/>
      <c r="AQ74" s="466"/>
      <c r="AR74" s="466"/>
      <c r="AY74" s="169"/>
      <c r="AZ74" s="498" t="s">
        <v>955</v>
      </c>
      <c r="BA74" s="330">
        <v>70</v>
      </c>
      <c r="BB74" s="330">
        <v>87</v>
      </c>
      <c r="BC74" s="330">
        <v>107</v>
      </c>
      <c r="BD74" s="330">
        <v>127</v>
      </c>
      <c r="BE74" s="330">
        <v>147</v>
      </c>
      <c r="BF74" s="330">
        <v>167</v>
      </c>
      <c r="BG74" s="330">
        <v>187</v>
      </c>
      <c r="BJ74" s="330"/>
      <c r="BK74" s="4"/>
      <c r="BL74" s="40"/>
      <c r="BM74" s="372"/>
      <c r="BN74" s="372"/>
      <c r="BO74" s="372"/>
      <c r="BP74" s="372"/>
      <c r="BQ74" s="372"/>
      <c r="BZ74" s="324" t="str">
        <f>ALPHA_DEUT!Y169</f>
        <v>F-Sperrholz 400 +</v>
      </c>
      <c r="CB74" s="14" t="str">
        <f>ALPHA_DEUT!Y166</f>
        <v>BauBuche Q-Platte</v>
      </c>
      <c r="CC74" s="320">
        <f>ALPHA_DEUT!Z166</f>
        <v>166</v>
      </c>
      <c r="CD74" s="14" t="str">
        <f>ALPHA_DEUT!AA166</f>
        <v>Laub - Furnierschichtholz</v>
      </c>
      <c r="CE74" s="469">
        <v>30</v>
      </c>
      <c r="CF74" s="345"/>
      <c r="CG74" s="345"/>
      <c r="CH74" s="320">
        <f t="shared" si="23"/>
        <v>1661</v>
      </c>
      <c r="CI74" s="320">
        <f t="shared" si="24"/>
        <v>1661</v>
      </c>
      <c r="CJ74" s="346">
        <f t="shared" si="25"/>
        <v>1661</v>
      </c>
      <c r="CK74" s="346">
        <f t="shared" si="26"/>
        <v>1661</v>
      </c>
      <c r="CL74" s="346">
        <f t="shared" si="27"/>
        <v>1661</v>
      </c>
    </row>
    <row r="75" spans="2:90" ht="15" customHeight="1">
      <c r="B75" s="466"/>
      <c r="C75" s="513">
        <f t="shared" si="28"/>
        <v>2.85</v>
      </c>
      <c r="D75" s="477">
        <f ca="1">g_k_285*$C75/2</f>
        <v>5.2725000000000009</v>
      </c>
      <c r="E75" s="477">
        <f t="shared" si="29"/>
        <v>3.2774999999999999</v>
      </c>
      <c r="J75" s="466"/>
      <c r="K75" s="466"/>
      <c r="L75" s="514"/>
      <c r="M75" s="466"/>
      <c r="R75" s="503">
        <v>140</v>
      </c>
      <c r="S75" s="348">
        <f t="shared" ref="S75:AC75" si="31">2000*(S$66*1000)^3/(4*11000*S$68*1000*$BB$61^3)</f>
        <v>0.14117266863886166</v>
      </c>
      <c r="T75" s="348">
        <f t="shared" si="31"/>
        <v>0.16813890711158244</v>
      </c>
      <c r="U75" s="348">
        <f t="shared" si="31"/>
        <v>0.20154903335489999</v>
      </c>
      <c r="V75" s="348">
        <f t="shared" si="31"/>
        <v>0.22332302864808865</v>
      </c>
      <c r="W75" s="348">
        <f t="shared" si="31"/>
        <v>0.30396745565989841</v>
      </c>
      <c r="X75" s="348">
        <f t="shared" si="31"/>
        <v>0.39701871759660201</v>
      </c>
      <c r="Y75" s="348">
        <f t="shared" si="31"/>
        <v>0.50247681445819947</v>
      </c>
      <c r="Z75" s="348">
        <f t="shared" si="31"/>
        <v>0.62034174624469063</v>
      </c>
      <c r="AA75" s="348">
        <f t="shared" si="31"/>
        <v>0.69701598608053461</v>
      </c>
      <c r="AB75" s="348">
        <f t="shared" si="31"/>
        <v>0.80619613341959995</v>
      </c>
      <c r="AC75" s="348">
        <f t="shared" si="31"/>
        <v>0.89329211459235458</v>
      </c>
      <c r="AI75" s="169"/>
      <c r="AJ75" s="466"/>
      <c r="AK75" s="466"/>
      <c r="AL75" s="466"/>
      <c r="AM75" s="466"/>
      <c r="AN75" s="466"/>
      <c r="AO75" s="466"/>
      <c r="AP75" s="466"/>
      <c r="AQ75" s="466"/>
      <c r="AR75" s="466"/>
      <c r="AY75" s="169"/>
      <c r="AZ75" s="498" t="s">
        <v>921</v>
      </c>
      <c r="BA75" s="330">
        <v>68</v>
      </c>
      <c r="BB75" s="330">
        <v>77</v>
      </c>
      <c r="BC75" s="330">
        <v>93</v>
      </c>
      <c r="BD75" s="330">
        <v>105</v>
      </c>
      <c r="BE75" s="330">
        <v>116</v>
      </c>
      <c r="BF75" s="330">
        <v>155</v>
      </c>
      <c r="BG75" s="330">
        <v>170</v>
      </c>
      <c r="BK75" s="4"/>
      <c r="BZ75" s="324" t="str">
        <f>ALPHA_DEUT!Y173</f>
        <v>F-Sperrholz 600 +</v>
      </c>
      <c r="CB75" s="14" t="str">
        <f>ALPHA_DEUT!Y167</f>
        <v>BauBuche GL70 - NKL1</v>
      </c>
      <c r="CC75" s="320">
        <f>ALPHA_DEUT!Z167</f>
        <v>167</v>
      </c>
      <c r="CD75" s="14" t="str">
        <f>ALPHA_DEUT!AA167</f>
        <v>Laub - Furnierschichtholz</v>
      </c>
      <c r="CE75" s="469">
        <v>1</v>
      </c>
      <c r="CF75" s="345"/>
      <c r="CG75" s="345"/>
      <c r="CH75" s="320">
        <f t="shared" si="23"/>
        <v>1671</v>
      </c>
      <c r="CI75" s="320">
        <f t="shared" si="24"/>
        <v>1671</v>
      </c>
      <c r="CJ75" s="346">
        <f t="shared" si="25"/>
        <v>1671</v>
      </c>
      <c r="CK75" s="346">
        <f t="shared" si="26"/>
        <v>1671</v>
      </c>
      <c r="CL75" s="346">
        <f t="shared" si="27"/>
        <v>1671</v>
      </c>
    </row>
    <row r="76" spans="2:90" ht="15" customHeight="1">
      <c r="C76" s="513">
        <f t="shared" si="28"/>
        <v>3</v>
      </c>
      <c r="D76" s="477">
        <f ca="1">g_k_300*$C76/2</f>
        <v>5.5500000000000007</v>
      </c>
      <c r="E76" s="477">
        <f t="shared" si="29"/>
        <v>3.4499999999999997</v>
      </c>
      <c r="J76" s="466"/>
      <c r="K76" s="466"/>
      <c r="L76" s="514"/>
      <c r="M76" s="466"/>
      <c r="R76" s="503">
        <v>160</v>
      </c>
      <c r="S76" s="348">
        <f t="shared" ref="S76:AC76" si="32">2000*(S$66*1000)^3/(4*11000*S$69*1000*$BC$61^3)</f>
        <v>9.7231097303928843E-2</v>
      </c>
      <c r="T76" s="348">
        <f t="shared" si="32"/>
        <v>0.11580379258653611</v>
      </c>
      <c r="U76" s="348">
        <f t="shared" si="32"/>
        <v>0.13881464353255496</v>
      </c>
      <c r="V76" s="348">
        <f t="shared" si="32"/>
        <v>0.15381123937125202</v>
      </c>
      <c r="W76" s="348">
        <f t="shared" si="32"/>
        <v>0.20935418692198193</v>
      </c>
      <c r="X76" s="348">
        <f t="shared" si="32"/>
        <v>0.27344220332667024</v>
      </c>
      <c r="Y76" s="348">
        <f t="shared" si="32"/>
        <v>0.34607528858531711</v>
      </c>
      <c r="Z76" s="348">
        <f t="shared" si="32"/>
        <v>0.42725344269792237</v>
      </c>
      <c r="AA76" s="348">
        <f t="shared" si="32"/>
        <v>0.4800619682153856</v>
      </c>
      <c r="AB76" s="348">
        <f t="shared" si="32"/>
        <v>0.55525857413021984</v>
      </c>
      <c r="AC76" s="348">
        <f t="shared" si="32"/>
        <v>0.61524495748500807</v>
      </c>
      <c r="AI76" s="169"/>
      <c r="AJ76" s="466"/>
      <c r="AK76" s="466"/>
      <c r="AL76" s="476"/>
      <c r="AM76" s="466"/>
      <c r="AN76" s="466"/>
      <c r="AO76" s="466"/>
      <c r="AP76" s="466"/>
      <c r="AQ76" s="466"/>
      <c r="AR76" s="466"/>
      <c r="AY76" s="169"/>
      <c r="AZ76" s="330"/>
      <c r="BA76" s="330"/>
      <c r="BB76" s="330"/>
      <c r="BC76" s="330"/>
      <c r="BD76" s="330"/>
      <c r="BE76" s="330"/>
      <c r="BF76" s="330"/>
      <c r="BK76" s="4"/>
      <c r="BZ76" s="324"/>
      <c r="CB76" s="14"/>
      <c r="CC76" s="320"/>
      <c r="CD76" s="14"/>
      <c r="CE76" s="469"/>
      <c r="CF76" s="345"/>
      <c r="CG76" s="345"/>
      <c r="CH76" s="320"/>
      <c r="CI76" s="320"/>
      <c r="CJ76" s="346"/>
      <c r="CK76" s="346"/>
      <c r="CL76" s="346"/>
    </row>
    <row r="77" spans="2:90" ht="15" customHeight="1">
      <c r="C77" s="513">
        <f t="shared" si="28"/>
        <v>3.5</v>
      </c>
      <c r="D77" s="477">
        <f ca="1">g_k_350*$C77/2</f>
        <v>6.6499999999999995</v>
      </c>
      <c r="E77" s="477">
        <f t="shared" si="29"/>
        <v>4.0249999999999995</v>
      </c>
      <c r="J77" s="466"/>
      <c r="K77" s="466"/>
      <c r="L77" s="514"/>
      <c r="M77" s="466"/>
      <c r="R77" s="503">
        <v>180</v>
      </c>
      <c r="S77" s="348">
        <f t="shared" ref="S77:AC77" si="33">2000*(S$66*1000)^3/(4*11000*S$70*1000*$BD$61^3)</f>
        <v>7.2280406343097167E-2</v>
      </c>
      <c r="T77" s="348">
        <f t="shared" si="33"/>
        <v>8.6087120441130205E-2</v>
      </c>
      <c r="U77" s="348">
        <f t="shared" si="33"/>
        <v>0.10319310507770879</v>
      </c>
      <c r="V77" s="348">
        <f t="shared" si="33"/>
        <v>0.11434139066782137</v>
      </c>
      <c r="W77" s="348">
        <f t="shared" si="33"/>
        <v>0.15563133729786799</v>
      </c>
      <c r="X77" s="348">
        <f t="shared" si="33"/>
        <v>0.20327358340946022</v>
      </c>
      <c r="Y77" s="348">
        <f t="shared" si="33"/>
        <v>0.2572681290025981</v>
      </c>
      <c r="Z77" s="348">
        <f t="shared" si="33"/>
        <v>0.31761497407728156</v>
      </c>
      <c r="AA77" s="348">
        <f t="shared" si="33"/>
        <v>0.35687218487323374</v>
      </c>
      <c r="AB77" s="348">
        <f t="shared" si="33"/>
        <v>0.41277242031083516</v>
      </c>
      <c r="AC77" s="348">
        <f t="shared" si="33"/>
        <v>0.45736556267128547</v>
      </c>
      <c r="AI77" s="169"/>
      <c r="AK77" s="475"/>
      <c r="AL77" s="782"/>
      <c r="AR77" s="466"/>
      <c r="AY77" s="169"/>
      <c r="AZ77" s="347" t="s">
        <v>940</v>
      </c>
      <c r="BK77" s="4"/>
      <c r="BZ77" s="324"/>
      <c r="CB77" s="14"/>
      <c r="CC77" s="320"/>
      <c r="CD77" s="14"/>
      <c r="CE77" s="469"/>
      <c r="CF77" s="345"/>
      <c r="CG77" s="345"/>
      <c r="CH77" s="320"/>
      <c r="CI77" s="320"/>
      <c r="CJ77" s="346"/>
      <c r="CK77" s="346"/>
      <c r="CL77" s="346"/>
    </row>
    <row r="78" spans="2:90" ht="15" customHeight="1">
      <c r="C78" s="513">
        <f t="shared" si="28"/>
        <v>4</v>
      </c>
      <c r="D78" s="477">
        <f ca="1">g_k_400*$C78/2</f>
        <v>7.8000000000000007</v>
      </c>
      <c r="E78" s="477">
        <f t="shared" si="29"/>
        <v>4.5999999999999996</v>
      </c>
      <c r="J78" s="466"/>
      <c r="K78" s="466"/>
      <c r="L78" s="514"/>
      <c r="M78" s="466"/>
      <c r="R78" s="503">
        <v>200</v>
      </c>
      <c r="S78" s="348">
        <f t="shared" ref="S78:AC78" si="34">2000*(S$66*1000)^3/(4*11000*S$71*1000*$BE$61^3)</f>
        <v>5.5185949205955251E-2</v>
      </c>
      <c r="T78" s="348">
        <f t="shared" si="34"/>
        <v>6.5727348479480002E-2</v>
      </c>
      <c r="U78" s="348">
        <f t="shared" si="34"/>
        <v>7.8787734371489171E-2</v>
      </c>
      <c r="V78" s="348">
        <f t="shared" si="34"/>
        <v>8.7299428666470003E-2</v>
      </c>
      <c r="W78" s="348">
        <f t="shared" si="34"/>
        <v>0.11882422235158417</v>
      </c>
      <c r="X78" s="348">
        <f t="shared" si="34"/>
        <v>0.15519898429594664</v>
      </c>
      <c r="Y78" s="348">
        <f t="shared" si="34"/>
        <v>0.19642371449955748</v>
      </c>
      <c r="Z78" s="348">
        <f t="shared" si="34"/>
        <v>0.24249841296241664</v>
      </c>
      <c r="AA78" s="348">
        <f t="shared" si="34"/>
        <v>0.27247121680457143</v>
      </c>
      <c r="AB78" s="348">
        <f t="shared" si="34"/>
        <v>0.31515093748595668</v>
      </c>
      <c r="AC78" s="348">
        <f t="shared" si="34"/>
        <v>0.34919771466588001</v>
      </c>
      <c r="AI78" s="169"/>
      <c r="AJ78" s="211"/>
      <c r="AK78" s="211"/>
      <c r="AL78" s="211"/>
      <c r="AM78" s="211"/>
      <c r="AN78" s="211"/>
      <c r="AO78" s="211"/>
      <c r="AP78" s="211"/>
      <c r="AQ78" s="211"/>
      <c r="AR78" s="348"/>
      <c r="AY78" s="169"/>
      <c r="AZ78" s="498" t="s">
        <v>937</v>
      </c>
      <c r="BA78" s="505">
        <v>60</v>
      </c>
      <c r="BB78" s="505">
        <v>94</v>
      </c>
      <c r="BC78" s="505">
        <v>114</v>
      </c>
      <c r="BD78" s="505">
        <v>134</v>
      </c>
      <c r="BE78" s="505">
        <v>154</v>
      </c>
      <c r="BF78" s="505">
        <v>174</v>
      </c>
      <c r="BG78" s="330">
        <v>194</v>
      </c>
      <c r="BK78" s="4"/>
      <c r="BZ78" s="324"/>
      <c r="CB78" s="14"/>
      <c r="CC78" s="320"/>
      <c r="CD78" s="14"/>
      <c r="CE78" s="469"/>
      <c r="CF78" s="345"/>
      <c r="CG78" s="345"/>
      <c r="CH78" s="320"/>
      <c r="CI78" s="320"/>
      <c r="CJ78" s="346"/>
      <c r="CK78" s="346"/>
      <c r="CL78" s="346"/>
    </row>
    <row r="79" spans="2:90" ht="15" customHeight="1">
      <c r="C79" s="513">
        <f t="shared" si="28"/>
        <v>4.5</v>
      </c>
      <c r="D79" s="477">
        <f ca="1">g_k_450*$C79/2</f>
        <v>9</v>
      </c>
      <c r="E79" s="477">
        <f t="shared" si="29"/>
        <v>5.1749999999999998</v>
      </c>
      <c r="J79" s="466"/>
      <c r="K79" s="466"/>
      <c r="L79" s="514"/>
      <c r="M79" s="466"/>
      <c r="R79" s="503">
        <v>220</v>
      </c>
      <c r="S79" s="348">
        <f t="shared" ref="S79:AC79" si="35">2000*(S$66*1000)^3/(4*11000*S$72*1000*$BF$61^3)</f>
        <v>3.6234813427328302E-2</v>
      </c>
      <c r="T79" s="348">
        <f t="shared" si="35"/>
        <v>4.3156242548962845E-2</v>
      </c>
      <c r="U79" s="348">
        <f t="shared" si="35"/>
        <v>5.1731625466083973E-2</v>
      </c>
      <c r="V79" s="348">
        <f t="shared" si="35"/>
        <v>5.7320360627239865E-2</v>
      </c>
      <c r="W79" s="348">
        <f t="shared" si="35"/>
        <v>7.8019379742632039E-2</v>
      </c>
      <c r="X79" s="348">
        <f t="shared" si="35"/>
        <v>0.1019028633373153</v>
      </c>
      <c r="Y79" s="348">
        <f t="shared" si="35"/>
        <v>0.12897081141128969</v>
      </c>
      <c r="Z79" s="348">
        <f t="shared" si="35"/>
        <v>0.15922322396455518</v>
      </c>
      <c r="AA79" s="348">
        <f t="shared" si="35"/>
        <v>0.17890321444657425</v>
      </c>
      <c r="AB79" s="348">
        <f t="shared" si="35"/>
        <v>0.20692650186433589</v>
      </c>
      <c r="AC79" s="348">
        <f t="shared" si="35"/>
        <v>0.22928144250895946</v>
      </c>
      <c r="AI79" s="169"/>
      <c r="AJ79" s="348"/>
      <c r="AK79" s="348"/>
      <c r="AL79" s="348"/>
      <c r="AM79" s="348"/>
      <c r="AN79" s="348"/>
      <c r="AO79" s="348"/>
      <c r="AP79" s="348"/>
      <c r="AQ79" s="348"/>
      <c r="AR79" s="466"/>
      <c r="AY79" s="169"/>
      <c r="AZ79" s="498" t="s">
        <v>912</v>
      </c>
      <c r="BA79" s="330" t="s">
        <v>942</v>
      </c>
      <c r="BB79" s="330" t="s">
        <v>944</v>
      </c>
      <c r="BC79" s="330" t="s">
        <v>946</v>
      </c>
      <c r="BD79" s="330" t="s">
        <v>949</v>
      </c>
      <c r="BE79" s="330" t="s">
        <v>952</v>
      </c>
      <c r="BF79" s="330" t="s">
        <v>954</v>
      </c>
      <c r="BG79" s="330" t="s">
        <v>987</v>
      </c>
      <c r="BK79" s="4"/>
      <c r="BZ79" s="324"/>
      <c r="CB79" s="14"/>
      <c r="CC79" s="320"/>
      <c r="CD79" s="14"/>
      <c r="CE79" s="469"/>
      <c r="CF79" s="345"/>
      <c r="CG79" s="345"/>
      <c r="CH79" s="320"/>
      <c r="CI79" s="320"/>
      <c r="CJ79" s="346"/>
      <c r="CK79" s="346"/>
      <c r="CL79" s="346"/>
    </row>
    <row r="80" spans="2:90" ht="15" customHeight="1">
      <c r="C80" s="513">
        <f>$D58</f>
        <v>5</v>
      </c>
      <c r="D80" s="477">
        <f ca="1">g_k_500*$C80/2</f>
        <v>10.5</v>
      </c>
      <c r="E80" s="477">
        <f t="shared" si="29"/>
        <v>5.75</v>
      </c>
      <c r="J80" s="466"/>
      <c r="K80" s="466"/>
      <c r="L80" s="514"/>
      <c r="M80" s="466"/>
      <c r="R80" s="504">
        <v>240</v>
      </c>
      <c r="S80" s="502">
        <f>2000*(S$66*1000)^3/(4*11000*S$73*1000*$BG$61^3)</f>
        <v>2.9186622533380155E-2</v>
      </c>
      <c r="T80" s="502">
        <f t="shared" ref="T80:AC80" si="36">2000*(T$66*1000)^3/(4*11000*T$73*1000*$BG$61^3)</f>
        <v>3.4761734423216298E-2</v>
      </c>
      <c r="U80" s="502">
        <f t="shared" si="36"/>
        <v>4.1669082374191119E-2</v>
      </c>
      <c r="V80" s="502">
        <f t="shared" si="36"/>
        <v>4.6170728392455528E-2</v>
      </c>
      <c r="W80" s="502">
        <f t="shared" si="36"/>
        <v>6.2843491423064474E-2</v>
      </c>
      <c r="X80" s="502">
        <f t="shared" si="36"/>
        <v>8.2081294919920944E-2</v>
      </c>
      <c r="Y80" s="502">
        <f t="shared" si="36"/>
        <v>0.10388413888302495</v>
      </c>
      <c r="Z80" s="502">
        <f t="shared" si="36"/>
        <v>0.12825202331237648</v>
      </c>
      <c r="AA80" s="502">
        <f t="shared" si="36"/>
        <v>0.14410397339378625</v>
      </c>
      <c r="AB80" s="502">
        <f t="shared" si="36"/>
        <v>0.16667632949676447</v>
      </c>
      <c r="AC80" s="502">
        <f t="shared" si="36"/>
        <v>0.18468291356982211</v>
      </c>
      <c r="AI80" s="169"/>
      <c r="AJ80" s="348"/>
      <c r="AK80" s="348"/>
      <c r="AL80" s="348"/>
      <c r="AM80" s="348"/>
      <c r="AN80" s="348"/>
      <c r="AO80" s="348"/>
      <c r="AP80" s="348"/>
      <c r="AQ80" s="348"/>
      <c r="AR80" s="466"/>
      <c r="AY80" s="169"/>
      <c r="AZ80" s="498" t="s">
        <v>914</v>
      </c>
      <c r="BA80" s="211">
        <v>19</v>
      </c>
      <c r="BB80" s="211">
        <v>23.1</v>
      </c>
      <c r="BC80" s="211">
        <v>19.100000000000001</v>
      </c>
      <c r="BD80" s="211">
        <v>23.5</v>
      </c>
      <c r="BE80" s="211">
        <v>23.1</v>
      </c>
      <c r="BF80" s="211">
        <v>13.6</v>
      </c>
      <c r="BG80" s="330">
        <v>12.1</v>
      </c>
      <c r="BK80" s="4"/>
      <c r="BZ80" s="324"/>
      <c r="CB80" s="14"/>
      <c r="CC80" s="320"/>
      <c r="CD80" s="14"/>
      <c r="CE80" s="469"/>
      <c r="CF80" s="345"/>
      <c r="CG80" s="345"/>
      <c r="CH80" s="320"/>
      <c r="CI80" s="320"/>
      <c r="CJ80" s="346"/>
      <c r="CK80" s="346"/>
      <c r="CL80" s="346"/>
    </row>
    <row r="81" spans="1:90" ht="15" customHeight="1">
      <c r="C81" s="513">
        <f>$D59</f>
        <v>5.3</v>
      </c>
      <c r="D81" s="477">
        <f ca="1">g_k_530*$C81/2</f>
        <v>11.13</v>
      </c>
      <c r="E81" s="477">
        <f t="shared" si="29"/>
        <v>6.0949999999999998</v>
      </c>
      <c r="J81" s="466"/>
      <c r="K81" s="466"/>
      <c r="L81" s="514"/>
      <c r="M81" s="466"/>
      <c r="P81" s="330" t="s">
        <v>1564</v>
      </c>
      <c r="Q81" s="330" t="s">
        <v>562</v>
      </c>
      <c r="R81" s="475"/>
      <c r="S81" s="505">
        <f>IF(S74&lt;0.5,$R$74,
IF(S75&lt;0.5,$R$75,
IF(S76&lt;0.5,$R$76,
IF(S77&lt;0.5,$R$77,
IF(S78&lt;0.5,$R$78,
IF(S79&lt;0.5,$R$79,
IF(S80&lt;0.5,$R$80,"Fehler!!!")))))))</f>
        <v>120</v>
      </c>
      <c r="T81" s="505">
        <f t="shared" ref="T81:AC81" si="37">IF(T74&lt;0.5,$R$74,
IF(T75&lt;0.5,$R$75,
IF(T76&lt;0.5,$R$76,
IF(T77&lt;0.5,$R$77,
IF(T78&lt;0.5,$R$78,
IF(T79&lt;0.5,$R$79,
IF(T80&lt;0.5,$R$80,"Fehler!!!")))))))</f>
        <v>120</v>
      </c>
      <c r="U81" s="505">
        <f t="shared" si="37"/>
        <v>120</v>
      </c>
      <c r="V81" s="505">
        <f t="shared" si="37"/>
        <v>120</v>
      </c>
      <c r="W81" s="505">
        <f t="shared" si="37"/>
        <v>140</v>
      </c>
      <c r="X81" s="505">
        <f t="shared" si="37"/>
        <v>140</v>
      </c>
      <c r="Y81" s="505">
        <f t="shared" si="37"/>
        <v>160</v>
      </c>
      <c r="Z81" s="505">
        <f t="shared" si="37"/>
        <v>160</v>
      </c>
      <c r="AA81" s="505">
        <f t="shared" si="37"/>
        <v>160</v>
      </c>
      <c r="AB81" s="505">
        <f t="shared" si="37"/>
        <v>180</v>
      </c>
      <c r="AC81" s="505">
        <f t="shared" si="37"/>
        <v>180</v>
      </c>
      <c r="AI81" s="169"/>
      <c r="AJ81" s="348"/>
      <c r="AK81" s="348"/>
      <c r="AL81" s="348"/>
      <c r="AM81" s="348"/>
      <c r="AN81" s="348"/>
      <c r="AO81" s="348"/>
      <c r="AP81" s="348"/>
      <c r="AQ81" s="348"/>
      <c r="AR81" s="466"/>
      <c r="AY81" s="169"/>
      <c r="AZ81" s="498"/>
      <c r="BA81" s="211"/>
      <c r="BB81" s="211"/>
      <c r="BC81" s="211"/>
      <c r="BD81" s="211"/>
      <c r="BE81" s="211"/>
      <c r="BF81" s="211"/>
      <c r="BK81" s="4"/>
      <c r="BZ81" s="324"/>
      <c r="CB81" s="14"/>
      <c r="CC81" s="320"/>
      <c r="CD81" s="14"/>
      <c r="CE81" s="469"/>
      <c r="CF81" s="345"/>
      <c r="CG81" s="345"/>
      <c r="CH81" s="320"/>
      <c r="CI81" s="320"/>
      <c r="CJ81" s="346"/>
      <c r="CK81" s="346"/>
      <c r="CL81" s="346"/>
    </row>
    <row r="82" spans="1:90" ht="15" customHeight="1">
      <c r="C82" s="513">
        <f>$D60</f>
        <v>5.7</v>
      </c>
      <c r="D82" s="477">
        <f ca="1">g_k_570*$C82/2</f>
        <v>11.115000000000002</v>
      </c>
      <c r="E82" s="477">
        <f t="shared" si="29"/>
        <v>6.5549999999999997</v>
      </c>
      <c r="J82" s="466"/>
      <c r="K82" s="466"/>
      <c r="L82" s="514"/>
      <c r="M82" s="466"/>
      <c r="AI82" s="169"/>
      <c r="AJ82" s="348"/>
      <c r="AK82" s="348"/>
      <c r="AL82" s="348"/>
      <c r="AM82" s="348"/>
      <c r="AN82" s="348"/>
      <c r="AO82" s="348"/>
      <c r="AP82" s="348"/>
      <c r="AQ82" s="348"/>
      <c r="AR82" s="466"/>
      <c r="AY82" s="169"/>
      <c r="AZ82" s="498"/>
      <c r="BA82" s="211"/>
      <c r="BB82" s="211"/>
      <c r="BC82" s="211"/>
      <c r="BD82" s="211"/>
      <c r="BE82" s="211"/>
      <c r="BF82" s="211"/>
      <c r="BK82" s="4"/>
      <c r="BZ82" s="324"/>
      <c r="CB82" s="14"/>
      <c r="CC82" s="320"/>
      <c r="CD82" s="14"/>
      <c r="CE82" s="469"/>
      <c r="CF82" s="345"/>
      <c r="CG82" s="345"/>
      <c r="CH82" s="320"/>
      <c r="CI82" s="320"/>
      <c r="CJ82" s="346"/>
      <c r="CK82" s="346"/>
      <c r="CL82" s="346"/>
    </row>
    <row r="83" spans="1:90" ht="15" customHeight="1">
      <c r="C83" s="513">
        <f>$D61</f>
        <v>6</v>
      </c>
      <c r="D83" s="477">
        <f ca="1">g_k_600*$C83/2</f>
        <v>11.700000000000001</v>
      </c>
      <c r="E83" s="477">
        <f t="shared" si="29"/>
        <v>6.8999999999999995</v>
      </c>
      <c r="J83" s="466"/>
      <c r="K83" s="466"/>
      <c r="L83" s="514"/>
      <c r="M83" s="466"/>
      <c r="AI83" s="169"/>
      <c r="AJ83" s="348"/>
      <c r="AK83" s="348"/>
      <c r="AL83" s="348"/>
      <c r="AM83" s="348"/>
      <c r="AN83" s="348"/>
      <c r="AO83" s="348"/>
      <c r="AP83" s="348"/>
      <c r="AQ83" s="348"/>
      <c r="AR83" s="466"/>
      <c r="AY83" s="169"/>
      <c r="AZ83" s="498"/>
      <c r="BA83" s="211"/>
      <c r="BB83" s="211"/>
      <c r="BC83" s="211"/>
      <c r="BD83" s="211"/>
      <c r="BE83" s="211"/>
      <c r="BF83" s="211"/>
      <c r="BK83" s="4"/>
      <c r="BZ83" s="324"/>
      <c r="CB83" s="14"/>
      <c r="CC83" s="320"/>
      <c r="CD83" s="14"/>
      <c r="CE83" s="469"/>
      <c r="CF83" s="345"/>
      <c r="CG83" s="345"/>
      <c r="CH83" s="320"/>
      <c r="CI83" s="320"/>
      <c r="CJ83" s="346"/>
      <c r="CK83" s="346"/>
      <c r="CL83" s="346"/>
    </row>
    <row r="84" spans="1:90" ht="15" customHeight="1" thickBot="1">
      <c r="C84" s="523"/>
      <c r="D84" s="524"/>
      <c r="E84" s="524"/>
      <c r="F84" s="525"/>
      <c r="G84" s="478"/>
      <c r="H84" s="478"/>
      <c r="I84" s="478"/>
      <c r="J84" s="478"/>
      <c r="K84" s="478"/>
      <c r="L84" s="526"/>
      <c r="M84" s="466"/>
      <c r="AI84" s="169"/>
      <c r="AJ84" s="348"/>
      <c r="AK84" s="348"/>
      <c r="AL84" s="348"/>
      <c r="AM84" s="348"/>
      <c r="AN84" s="348"/>
      <c r="AO84" s="348"/>
      <c r="AP84" s="348"/>
      <c r="AQ84" s="348"/>
      <c r="AR84" s="466"/>
      <c r="AY84" s="169"/>
      <c r="AZ84" s="498" t="s">
        <v>955</v>
      </c>
      <c r="BA84" s="330">
        <v>50</v>
      </c>
      <c r="BB84" s="330">
        <v>60</v>
      </c>
      <c r="BC84" s="330">
        <v>100</v>
      </c>
      <c r="BD84" s="330">
        <v>110</v>
      </c>
      <c r="BE84" s="330">
        <v>120</v>
      </c>
      <c r="BF84" s="330">
        <v>128</v>
      </c>
      <c r="BG84" s="330">
        <v>148</v>
      </c>
      <c r="BK84" s="4"/>
      <c r="BZ84" s="324"/>
      <c r="CB84" s="14"/>
      <c r="CC84" s="320"/>
      <c r="CD84" s="14"/>
      <c r="CE84" s="469"/>
      <c r="CF84" s="345"/>
      <c r="CG84" s="345"/>
      <c r="CH84" s="320"/>
      <c r="CI84" s="320"/>
      <c r="CJ84" s="346"/>
      <c r="CK84" s="346"/>
      <c r="CL84" s="346"/>
    </row>
    <row r="85" spans="1:90" ht="15" customHeight="1">
      <c r="G85" s="466"/>
      <c r="H85" s="466"/>
      <c r="I85" s="466"/>
      <c r="J85" s="466"/>
      <c r="K85" s="466"/>
      <c r="L85" s="466"/>
      <c r="M85" s="466"/>
      <c r="AI85" s="169"/>
      <c r="AJ85" s="466"/>
      <c r="AK85" s="466"/>
      <c r="AL85" s="466"/>
      <c r="AM85" s="466"/>
      <c r="AN85" s="466"/>
      <c r="AO85" s="466"/>
      <c r="AP85" s="466"/>
      <c r="AQ85" s="466"/>
      <c r="AR85" s="466"/>
      <c r="AY85" s="169"/>
      <c r="AZ85" s="498" t="s">
        <v>921</v>
      </c>
      <c r="BA85" s="330">
        <v>46</v>
      </c>
      <c r="BB85" s="330">
        <v>59</v>
      </c>
      <c r="BC85" s="330">
        <v>100</v>
      </c>
      <c r="BD85" s="330">
        <v>109</v>
      </c>
      <c r="BE85" s="330">
        <v>119</v>
      </c>
      <c r="BF85" s="330">
        <v>106</v>
      </c>
      <c r="BG85" s="330">
        <v>118</v>
      </c>
      <c r="BK85" s="4"/>
      <c r="BZ85" s="324"/>
      <c r="CB85" s="14"/>
      <c r="CC85" s="320"/>
      <c r="CD85" s="14"/>
      <c r="CE85" s="469"/>
      <c r="CF85" s="345"/>
      <c r="CG85" s="345"/>
      <c r="CH85" s="320"/>
      <c r="CI85" s="320"/>
      <c r="CJ85" s="346"/>
      <c r="CK85" s="346"/>
      <c r="CL85" s="346"/>
    </row>
    <row r="86" spans="1:90" ht="15" customHeight="1">
      <c r="AI86" s="169"/>
      <c r="AJ86" s="348"/>
      <c r="AK86" s="348"/>
      <c r="AL86" s="348"/>
      <c r="AM86" s="348"/>
      <c r="AN86" s="348"/>
      <c r="AO86" s="348"/>
      <c r="AP86" s="348"/>
      <c r="AQ86" s="348"/>
      <c r="AY86" s="169"/>
      <c r="AZ86" s="330"/>
      <c r="BA86" s="330"/>
      <c r="BB86" s="330"/>
      <c r="BC86" s="330"/>
      <c r="BD86" s="330"/>
      <c r="BE86" s="330"/>
      <c r="BF86" s="330"/>
      <c r="BK86" s="4"/>
      <c r="BZ86" s="324"/>
      <c r="CB86" s="14"/>
      <c r="CC86" s="320"/>
      <c r="CD86" s="14"/>
      <c r="CE86" s="469"/>
      <c r="CF86" s="345"/>
      <c r="CG86" s="345"/>
      <c r="CH86" s="320"/>
      <c r="CI86" s="320"/>
      <c r="CJ86" s="346"/>
      <c r="CK86" s="346"/>
      <c r="CL86" s="346"/>
    </row>
    <row r="87" spans="1:90" ht="15" customHeight="1" thickBot="1">
      <c r="AI87" s="169"/>
      <c r="AY87" s="169"/>
      <c r="AZ87" s="347" t="s">
        <v>941</v>
      </c>
      <c r="BK87" s="4"/>
      <c r="BZ87" s="324"/>
      <c r="CB87" s="14"/>
      <c r="CC87" s="320"/>
      <c r="CD87" s="14"/>
      <c r="CE87" s="469"/>
      <c r="CF87" s="345"/>
      <c r="CG87" s="345"/>
      <c r="CH87" s="320"/>
      <c r="CI87" s="320"/>
      <c r="CJ87" s="346"/>
      <c r="CK87" s="346"/>
      <c r="CL87" s="346"/>
    </row>
    <row r="88" spans="1:90" ht="15" customHeight="1">
      <c r="C88" s="508" t="s">
        <v>962</v>
      </c>
      <c r="D88" s="509"/>
      <c r="E88" s="509"/>
      <c r="F88" s="510"/>
      <c r="G88" s="509"/>
      <c r="H88" s="509"/>
      <c r="I88" s="509"/>
      <c r="J88" s="509"/>
      <c r="K88" s="509"/>
      <c r="L88" s="509"/>
      <c r="M88" s="509"/>
      <c r="N88" s="509"/>
      <c r="O88" s="511"/>
      <c r="AY88" s="169"/>
      <c r="AZ88" s="498" t="s">
        <v>937</v>
      </c>
      <c r="BA88" s="505">
        <v>43</v>
      </c>
      <c r="BB88" s="505">
        <v>56</v>
      </c>
      <c r="BC88" s="505">
        <v>76</v>
      </c>
      <c r="BD88" s="505">
        <v>101</v>
      </c>
      <c r="BE88" s="505">
        <v>122</v>
      </c>
      <c r="BF88" s="505">
        <v>154.5</v>
      </c>
      <c r="BG88" s="330">
        <v>174.5</v>
      </c>
      <c r="BK88" s="4"/>
      <c r="BZ88" s="324"/>
      <c r="CB88" s="14"/>
      <c r="CC88" s="320"/>
      <c r="CD88" s="14"/>
      <c r="CE88" s="469"/>
      <c r="CF88" s="345"/>
      <c r="CG88" s="345"/>
      <c r="CH88" s="320"/>
      <c r="CI88" s="320"/>
      <c r="CJ88" s="346"/>
      <c r="CK88" s="346"/>
      <c r="CL88" s="346"/>
    </row>
    <row r="89" spans="1:90" ht="15" customHeight="1">
      <c r="C89" s="516"/>
      <c r="D89" s="536" t="s">
        <v>963</v>
      </c>
      <c r="O89" s="512"/>
      <c r="AY89" s="169"/>
      <c r="AZ89" s="498" t="s">
        <v>912</v>
      </c>
      <c r="BA89" s="330">
        <v>20</v>
      </c>
      <c r="BB89" s="330">
        <v>40</v>
      </c>
      <c r="BC89" s="330" t="s">
        <v>947</v>
      </c>
      <c r="BD89" s="330" t="s">
        <v>950</v>
      </c>
      <c r="BE89" s="330" t="s">
        <v>952</v>
      </c>
      <c r="BF89" s="330" t="s">
        <v>949</v>
      </c>
      <c r="BG89" s="330" t="s">
        <v>952</v>
      </c>
      <c r="BK89" s="4"/>
      <c r="BZ89" s="324"/>
      <c r="CB89" s="14"/>
      <c r="CC89" s="320"/>
      <c r="CD89" s="14"/>
      <c r="CE89" s="469"/>
      <c r="CF89" s="345"/>
      <c r="CG89" s="345"/>
      <c r="CH89" s="320"/>
      <c r="CI89" s="320"/>
      <c r="CJ89" s="346"/>
      <c r="CK89" s="346"/>
      <c r="CL89" s="346"/>
    </row>
    <row r="90" spans="1:90" ht="15" customHeight="1">
      <c r="C90" s="516"/>
      <c r="D90" s="347" t="s">
        <v>971</v>
      </c>
      <c r="O90" s="514"/>
      <c r="AY90" s="169"/>
      <c r="AZ90" s="498" t="s">
        <v>914</v>
      </c>
      <c r="BA90" s="211">
        <v>24</v>
      </c>
      <c r="BB90" s="211">
        <v>24</v>
      </c>
      <c r="BC90" s="211">
        <v>22.7</v>
      </c>
      <c r="BD90" s="211">
        <v>23.2</v>
      </c>
      <c r="BE90" s="211">
        <v>23.1</v>
      </c>
      <c r="BF90" s="211">
        <v>23.5</v>
      </c>
      <c r="BG90" s="330">
        <v>23.1</v>
      </c>
      <c r="BK90" s="4"/>
      <c r="BZ90" s="324"/>
      <c r="CB90" s="14"/>
      <c r="CC90" s="320"/>
      <c r="CD90" s="14"/>
      <c r="CE90" s="469"/>
      <c r="CF90" s="345"/>
      <c r="CG90" s="345"/>
      <c r="CH90" s="320"/>
      <c r="CI90" s="320"/>
      <c r="CJ90" s="346"/>
      <c r="CK90" s="346"/>
      <c r="CL90" s="346"/>
    </row>
    <row r="91" spans="1:90" ht="15" customHeight="1">
      <c r="C91" s="516"/>
      <c r="O91" s="514"/>
      <c r="AY91" s="169"/>
      <c r="AZ91" s="498" t="s">
        <v>955</v>
      </c>
      <c r="BA91" s="330">
        <v>20</v>
      </c>
      <c r="BB91" s="330">
        <v>40</v>
      </c>
      <c r="BC91" s="330">
        <v>52</v>
      </c>
      <c r="BD91" s="330">
        <v>92</v>
      </c>
      <c r="BE91" s="330">
        <v>120</v>
      </c>
      <c r="BF91" s="330">
        <v>110</v>
      </c>
      <c r="BG91" s="330">
        <v>120</v>
      </c>
      <c r="BK91" s="4"/>
      <c r="BZ91" s="324"/>
      <c r="CB91" s="14"/>
      <c r="CC91" s="320"/>
      <c r="CD91" s="14"/>
      <c r="CE91" s="469"/>
      <c r="CF91" s="345"/>
      <c r="CG91" s="345"/>
      <c r="CH91" s="320"/>
      <c r="CI91" s="320"/>
      <c r="CJ91" s="346"/>
      <c r="CK91" s="346"/>
      <c r="CL91" s="346"/>
    </row>
    <row r="92" spans="1:90" ht="15" customHeight="1">
      <c r="C92" s="530" t="s">
        <v>973</v>
      </c>
      <c r="D92" s="531">
        <f>G51</f>
        <v>2.5</v>
      </c>
      <c r="E92" s="531">
        <f>G52</f>
        <v>2.65</v>
      </c>
      <c r="F92" s="531">
        <f>G53</f>
        <v>2.85</v>
      </c>
      <c r="G92" s="531">
        <f>G54</f>
        <v>3</v>
      </c>
      <c r="H92" s="531">
        <f>G55</f>
        <v>3.5</v>
      </c>
      <c r="I92" s="531">
        <f>G56</f>
        <v>4</v>
      </c>
      <c r="J92" s="531">
        <f>G57</f>
        <v>4.5</v>
      </c>
      <c r="K92" s="531">
        <f>G58</f>
        <v>5</v>
      </c>
      <c r="L92" s="531">
        <f>G59</f>
        <v>5.3</v>
      </c>
      <c r="M92" s="531">
        <f>G60</f>
        <v>5.7</v>
      </c>
      <c r="N92" s="531">
        <f>G61</f>
        <v>6</v>
      </c>
      <c r="O92" s="514"/>
      <c r="AY92" s="169"/>
      <c r="AZ92" s="498" t="s">
        <v>921</v>
      </c>
      <c r="BA92" s="330">
        <v>20</v>
      </c>
      <c r="BB92" s="330">
        <v>40</v>
      </c>
      <c r="BC92" s="330">
        <v>51</v>
      </c>
      <c r="BD92" s="330">
        <v>91</v>
      </c>
      <c r="BE92" s="330">
        <v>119</v>
      </c>
      <c r="BF92" s="330">
        <v>109</v>
      </c>
      <c r="BG92" s="330">
        <v>119</v>
      </c>
      <c r="BK92" s="4"/>
      <c r="BZ92" s="324"/>
      <c r="CB92" s="14"/>
      <c r="CC92" s="320"/>
      <c r="CD92" s="14"/>
      <c r="CE92" s="469"/>
      <c r="CF92" s="345"/>
      <c r="CG92" s="345"/>
      <c r="CH92" s="320"/>
      <c r="CI92" s="320"/>
      <c r="CJ92" s="346"/>
      <c r="CK92" s="346"/>
      <c r="CL92" s="346"/>
    </row>
    <row r="93" spans="1:90" ht="15" customHeight="1">
      <c r="A93" s="169"/>
      <c r="C93" s="532">
        <f t="shared" ref="C93:C100" si="38">$D51</f>
        <v>2.5</v>
      </c>
      <c r="D93" s="477">
        <f ca="1">((g_k_250*$C93/2)*2+5*b_UZ/1000*'Rasterbemessung DE UZ ST'!C65/1000)*'Hilfstabellen_Mat&amp;Bem'!D$92/2</f>
        <v>11.862500000000001</v>
      </c>
      <c r="E93" s="477">
        <f ca="1">((g_k_250*$C93/2)*2+5*b_UZ/1000*'Rasterbemessung DE UZ ST'!D65/1000)*'Hilfstabellen_Mat&amp;Bem'!E$92/2</f>
        <v>12.574249999999999</v>
      </c>
      <c r="F93" s="477">
        <f ca="1">((g_k_250*$C93/2)*2+5*b_UZ/1000*'Rasterbemessung DE UZ ST'!E65/1000)*'Hilfstabellen_Mat&amp;Bem'!F$92/2</f>
        <v>13.591650000000001</v>
      </c>
      <c r="G93" s="477">
        <f ca="1">((g_k_250*$C93/2)*2+5*b_UZ/1000*'Rasterbemessung DE UZ ST'!F65/1000)*'Hilfstabellen_Mat&amp;Bem'!G$92/2</f>
        <v>14.307</v>
      </c>
      <c r="H93" s="477">
        <f ca="1">((g_k_250*$C93/2)*2+5*b_UZ/1000*'Rasterbemessung DE UZ ST'!G65/1000)*'Hilfstabellen_Mat&amp;Bem'!H$92/2</f>
        <v>16.775500000000001</v>
      </c>
      <c r="I93" s="477">
        <f ca="1">((g_k_250*$C93/2)*2+5*b_UZ/1000*'Rasterbemessung DE UZ ST'!H65/1000)*'Hilfstabellen_Mat&amp;Bem'!I$92/2</f>
        <v>19.268000000000001</v>
      </c>
      <c r="J93" s="477">
        <f ca="1">((g_k_250*$C93/2)*2+5*b_UZ/1000*'Rasterbemessung DE UZ ST'!I65/1000)*'Hilfstabellen_Mat&amp;Bem'!J$92/2</f>
        <v>21.784500000000001</v>
      </c>
      <c r="K93" s="477">
        <f ca="1">((g_k_250*$C93/2)*2+5*b_UZ/1000*'Rasterbemessung DE UZ ST'!J65/1000)*'Hilfstabellen_Mat&amp;Bem'!K$92/2</f>
        <v>24.445</v>
      </c>
      <c r="L93" s="477">
        <f ca="1">((g_k_250*$C93/2)*2+5*b_UZ/1000*'Rasterbemessung DE UZ ST'!K65/1000)*'Hilfstabellen_Mat&amp;Bem'!L$92/2</f>
        <v>26.038900000000002</v>
      </c>
      <c r="M93" s="477">
        <f ca="1">((g_k_250*$C93/2)*2+5*b_UZ/1000*'Rasterbemessung DE UZ ST'!L65/1000)*'Hilfstabellen_Mat&amp;Bem'!M$92/2</f>
        <v>28.140900000000002</v>
      </c>
      <c r="N93" s="477">
        <f ca="1">((g_k_250*$C93/2)*2+5*b_UZ/1000*'Rasterbemessung DE UZ ST'!M65/1000)*'Hilfstabellen_Mat&amp;Bem'!N$92/2</f>
        <v>29.766000000000002</v>
      </c>
      <c r="O93" s="514"/>
      <c r="P93" s="169"/>
      <c r="Q93" s="169"/>
      <c r="R93" s="169"/>
      <c r="S93" s="169"/>
      <c r="T93" s="169"/>
      <c r="U93" s="169"/>
      <c r="V93" s="169"/>
      <c r="W93" s="169"/>
      <c r="X93" s="169"/>
      <c r="Y93" s="169"/>
      <c r="AT93" s="169"/>
      <c r="AU93" s="169"/>
      <c r="AV93" s="169"/>
      <c r="AW93" s="169"/>
      <c r="AX93" s="169"/>
      <c r="AY93" s="169"/>
      <c r="BK93" s="4"/>
      <c r="BZ93" s="324" t="str">
        <f>ALPHA_DEUT!Y179</f>
        <v>OSB/3</v>
      </c>
      <c r="CB93" s="14" t="str">
        <f>ALPHA_DEUT!Y168</f>
        <v>BauBuche GL70 - NKL2</v>
      </c>
      <c r="CC93" s="320">
        <f>ALPHA_DEUT!Z168</f>
        <v>168</v>
      </c>
      <c r="CD93" s="14" t="str">
        <f>ALPHA_DEUT!AA168</f>
        <v>Laub - Furnierschichtholz</v>
      </c>
      <c r="CE93" s="469">
        <v>1</v>
      </c>
      <c r="CF93" s="345"/>
      <c r="CG93" s="345"/>
      <c r="CH93" s="320">
        <f>VALUE(CC93&amp;MATCH($CH$6,CE93:CG93,1))</f>
        <v>1681</v>
      </c>
      <c r="CI93" s="320">
        <f>VALUE(CC93&amp;MATCH($CI$6,CE93:CG93,1))</f>
        <v>1681</v>
      </c>
      <c r="CJ93" s="346">
        <f>VALUE(CC93&amp;MATCH($CJ$6,CE93:CG93,1))</f>
        <v>1681</v>
      </c>
      <c r="CK93" s="346">
        <f>VALUE(CC93&amp;MATCH($CK$6,CE93:CG93,1))</f>
        <v>1681</v>
      </c>
      <c r="CL93" s="346">
        <f>VALUE(CC93&amp;MATCH($CL$6,CE93:CG93,1))</f>
        <v>1681</v>
      </c>
    </row>
    <row r="94" spans="1:90" ht="15" customHeight="1">
      <c r="A94" s="169"/>
      <c r="C94" s="532">
        <f t="shared" si="38"/>
        <v>2.65</v>
      </c>
      <c r="D94" s="477">
        <f ca="1">((g_k_265*$C94/2)*2+5*b_UZ/1000*'Rasterbemessung DE UZ ST'!C66/1000)*'Hilfstabellen_Mat&amp;Bem'!D$92/2</f>
        <v>12.55625</v>
      </c>
      <c r="E94" s="477">
        <f ca="1">((g_k_265*$C94/2)*2+5*b_UZ/1000*'Rasterbemessung DE UZ ST'!D66/1000)*'Hilfstabellen_Mat&amp;Bem'!E$92/2</f>
        <v>13.309624999999999</v>
      </c>
      <c r="F94" s="477">
        <f ca="1">((g_k_265*$C94/2)*2+5*b_UZ/1000*'Rasterbemessung DE UZ ST'!E66/1000)*'Hilfstabellen_Mat&amp;Bem'!F$92/2</f>
        <v>14.382525000000001</v>
      </c>
      <c r="G94" s="477">
        <f ca="1">((g_k_265*$C94/2)*2+5*b_UZ/1000*'Rasterbemessung DE UZ ST'!F66/1000)*'Hilfstabellen_Mat&amp;Bem'!G$92/2</f>
        <v>15.1395</v>
      </c>
      <c r="H94" s="477">
        <f ca="1">((g_k_265*$C94/2)*2+5*b_UZ/1000*'Rasterbemessung DE UZ ST'!G66/1000)*'Hilfstabellen_Mat&amp;Bem'!H$92/2</f>
        <v>17.746749999999999</v>
      </c>
      <c r="I94" s="477">
        <f ca="1">((g_k_265*$C94/2)*2+5*b_UZ/1000*'Rasterbemessung DE UZ ST'!H66/1000)*'Hilfstabellen_Mat&amp;Bem'!I$92/2</f>
        <v>20.378</v>
      </c>
      <c r="J94" s="477">
        <f ca="1">((g_k_265*$C94/2)*2+5*b_UZ/1000*'Rasterbemessung DE UZ ST'!I66/1000)*'Hilfstabellen_Mat&amp;Bem'!J$92/2</f>
        <v>23.141249999999999</v>
      </c>
      <c r="K94" s="477">
        <f ca="1">((g_k_265*$C94/2)*2+5*b_UZ/1000*'Rasterbemessung DE UZ ST'!J66/1000)*'Hilfstabellen_Mat&amp;Bem'!K$92/2</f>
        <v>25.8325</v>
      </c>
      <c r="L94" s="477">
        <f ca="1">((g_k_265*$C94/2)*2+5*b_UZ/1000*'Rasterbemessung DE UZ ST'!K66/1000)*'Hilfstabellen_Mat&amp;Bem'!L$92/2</f>
        <v>27.509650000000001</v>
      </c>
      <c r="M94" s="477">
        <f ca="1">((g_k_265*$C94/2)*2+5*b_UZ/1000*'Rasterbemessung DE UZ ST'!L66/1000)*'Hilfstabellen_Mat&amp;Bem'!M$92/2</f>
        <v>29.722650000000002</v>
      </c>
      <c r="N94" s="477">
        <f ca="1">((g_k_265*$C94/2)*2+5*b_UZ/1000*'Rasterbemessung DE UZ ST'!M66/1000)*'Hilfstabellen_Mat&amp;Bem'!N$92/2</f>
        <v>31.431000000000001</v>
      </c>
      <c r="O94" s="514"/>
      <c r="P94" s="169"/>
      <c r="Q94" s="169"/>
      <c r="R94" s="169"/>
      <c r="S94" s="169"/>
      <c r="T94" s="169"/>
      <c r="U94" s="169"/>
      <c r="V94" s="169"/>
      <c r="W94" s="169"/>
      <c r="X94" s="169"/>
      <c r="Y94" s="169"/>
      <c r="AT94" s="169"/>
      <c r="AU94" s="169"/>
      <c r="AV94" s="169"/>
      <c r="AW94" s="169"/>
      <c r="AX94" s="169"/>
      <c r="AY94" s="169"/>
      <c r="BK94" s="4"/>
      <c r="BZ94" s="324"/>
      <c r="CB94" s="14"/>
      <c r="CC94" s="320"/>
      <c r="CD94" s="14"/>
      <c r="CE94" s="469"/>
      <c r="CF94" s="345"/>
      <c r="CG94" s="345"/>
      <c r="CH94" s="320"/>
      <c r="CI94" s="320"/>
      <c r="CJ94" s="346"/>
      <c r="CK94" s="346"/>
      <c r="CL94" s="346"/>
    </row>
    <row r="95" spans="1:90" ht="15" customHeight="1">
      <c r="A95" s="169"/>
      <c r="C95" s="532">
        <f t="shared" si="38"/>
        <v>2.85</v>
      </c>
      <c r="D95" s="477">
        <f ca="1">((g_k_285*$C95/2)*2+5*b_UZ/1000*'Rasterbemessung DE UZ ST'!C67/1000)*'Hilfstabellen_Mat&amp;Bem'!D$92/2</f>
        <v>13.481250000000003</v>
      </c>
      <c r="E95" s="477">
        <f ca="1">((g_k_285*$C95/2)*2+5*b_UZ/1000*'Rasterbemessung DE UZ ST'!D67/1000)*'Hilfstabellen_Mat&amp;Bem'!E$92/2</f>
        <v>14.290125000000002</v>
      </c>
      <c r="F95" s="477">
        <f ca="1">((g_k_285*$C95/2)*2+5*b_UZ/1000*'Rasterbemessung DE UZ ST'!E67/1000)*'Hilfstabellen_Mat&amp;Bem'!F$92/2</f>
        <v>15.437025000000004</v>
      </c>
      <c r="G95" s="477">
        <f ca="1">((g_k_285*$C95/2)*2+5*b_UZ/1000*'Rasterbemessung DE UZ ST'!F67/1000)*'Hilfstabellen_Mat&amp;Bem'!G$92/2</f>
        <v>16.249500000000005</v>
      </c>
      <c r="H95" s="477">
        <f ca="1">((g_k_285*$C95/2)*2+5*b_UZ/1000*'Rasterbemessung DE UZ ST'!G67/1000)*'Hilfstabellen_Mat&amp;Bem'!H$92/2</f>
        <v>19.041750000000004</v>
      </c>
      <c r="I95" s="477">
        <f ca="1">((g_k_285*$C95/2)*2+5*b_UZ/1000*'Rasterbemessung DE UZ ST'!H67/1000)*'Hilfstabellen_Mat&amp;Bem'!I$92/2</f>
        <v>21.858000000000004</v>
      </c>
      <c r="J95" s="477">
        <f ca="1">((g_k_285*$C95/2)*2+5*b_UZ/1000*'Rasterbemessung DE UZ ST'!I67/1000)*'Hilfstabellen_Mat&amp;Bem'!J$92/2</f>
        <v>24.806250000000006</v>
      </c>
      <c r="K95" s="477">
        <f ca="1">((g_k_285*$C95/2)*2+5*b_UZ/1000*'Rasterbemessung DE UZ ST'!J67/1000)*'Hilfstabellen_Mat&amp;Bem'!K$92/2</f>
        <v>27.682500000000005</v>
      </c>
      <c r="L95" s="477">
        <f ca="1">((g_k_285*$C95/2)*2+5*b_UZ/1000*'Rasterbemessung DE UZ ST'!K67/1000)*'Hilfstabellen_Mat&amp;Bem'!L$92/2</f>
        <v>29.470650000000006</v>
      </c>
      <c r="M95" s="477">
        <f ca="1">((g_k_285*$C95/2)*2+5*b_UZ/1000*'Rasterbemessung DE UZ ST'!L67/1000)*'Hilfstabellen_Mat&amp;Bem'!M$92/2</f>
        <v>31.831650000000007</v>
      </c>
      <c r="N95" s="477">
        <f ca="1">((g_k_285*$C95/2)*2+5*b_UZ/1000*'Rasterbemessung DE UZ ST'!M67/1000)*'Hilfstabellen_Mat&amp;Bem'!N$92/2</f>
        <v>33.65100000000001</v>
      </c>
      <c r="O95" s="515"/>
      <c r="AT95" s="169"/>
      <c r="AU95" s="169"/>
      <c r="AV95" s="169"/>
      <c r="AW95" s="169"/>
      <c r="AX95" s="169"/>
      <c r="AY95" s="169"/>
      <c r="BK95" s="4"/>
      <c r="BZ95" s="324"/>
      <c r="CB95" s="14"/>
      <c r="CC95" s="320"/>
      <c r="CD95" s="14"/>
      <c r="CE95" s="469"/>
      <c r="CF95" s="345"/>
      <c r="CG95" s="345"/>
      <c r="CH95" s="320"/>
      <c r="CI95" s="320"/>
      <c r="CJ95" s="346"/>
      <c r="CK95" s="346"/>
      <c r="CL95" s="346"/>
    </row>
    <row r="96" spans="1:90" ht="15" customHeight="1">
      <c r="A96" s="169"/>
      <c r="C96" s="532">
        <f t="shared" si="38"/>
        <v>3</v>
      </c>
      <c r="D96" s="477">
        <f ca="1">((g_k_300*$C96/2)*2+5*b_UZ/1000*'Rasterbemessung DE UZ ST'!C68/1000)*'Hilfstabellen_Mat&amp;Bem'!D$92/2</f>
        <v>14.175000000000002</v>
      </c>
      <c r="E96" s="477">
        <f ca="1">((g_k_300*$C96/2)*2+5*b_UZ/1000*'Rasterbemessung DE UZ ST'!D68/1000)*'Hilfstabellen_Mat&amp;Bem'!E$92/2</f>
        <v>15.089100000000002</v>
      </c>
      <c r="F96" s="477">
        <f ca="1">((g_k_300*$C96/2)*2+5*b_UZ/1000*'Rasterbemessung DE UZ ST'!E68/1000)*'Hilfstabellen_Mat&amp;Bem'!F$92/2</f>
        <v>16.227900000000002</v>
      </c>
      <c r="G96" s="477">
        <f ca="1">((g_k_300*$C96/2)*2+5*b_UZ/1000*'Rasterbemessung DE UZ ST'!F68/1000)*'Hilfstabellen_Mat&amp;Bem'!G$92/2</f>
        <v>17.082000000000001</v>
      </c>
      <c r="H96" s="477">
        <f ca="1">((g_k_300*$C96/2)*2+5*b_UZ/1000*'Rasterbemessung DE UZ ST'!G68/1000)*'Hilfstabellen_Mat&amp;Bem'!H$92/2</f>
        <v>20.013000000000002</v>
      </c>
      <c r="I96" s="477">
        <f ca="1">((g_k_300*$C96/2)*2+5*b_UZ/1000*'Rasterbemessung DE UZ ST'!H68/1000)*'Hilfstabellen_Mat&amp;Bem'!I$92/2</f>
        <v>23.064000000000004</v>
      </c>
      <c r="J96" s="477">
        <f ca="1">((g_k_300*$C96/2)*2+5*b_UZ/1000*'Rasterbemessung DE UZ ST'!I68/1000)*'Hilfstabellen_Mat&amp;Bem'!J$92/2</f>
        <v>26.055000000000003</v>
      </c>
      <c r="K96" s="477">
        <f ca="1">((g_k_300*$C96/2)*2+5*b_UZ/1000*'Rasterbemessung DE UZ ST'!J68/1000)*'Hilfstabellen_Mat&amp;Bem'!K$92/2</f>
        <v>29.070000000000004</v>
      </c>
      <c r="L96" s="477">
        <f ca="1">((g_k_300*$C96/2)*2+5*b_UZ/1000*'Rasterbemessung DE UZ ST'!K68/1000)*'Hilfstabellen_Mat&amp;Bem'!L$92/2</f>
        <v>30.941400000000005</v>
      </c>
      <c r="M96" s="477">
        <f ca="1">((g_k_300*$C96/2)*2+5*b_UZ/1000*'Rasterbemessung DE UZ ST'!L68/1000)*'Hilfstabellen_Mat&amp;Bem'!M$92/2</f>
        <v>33.41340000000001</v>
      </c>
      <c r="N96" s="477">
        <f ca="1">((g_k_300*$C96/2)*2+5*b_UZ/1000*'Rasterbemessung DE UZ ST'!M68/1000)*'Hilfstabellen_Mat&amp;Bem'!N$92/2</f>
        <v>35.316000000000003</v>
      </c>
      <c r="O96" s="515"/>
      <c r="AT96" s="169"/>
      <c r="AU96" s="169"/>
      <c r="AV96" s="169"/>
      <c r="AW96" s="169"/>
      <c r="AX96" s="169"/>
      <c r="AY96" s="169"/>
      <c r="BK96" s="4"/>
      <c r="BZ96" s="324"/>
      <c r="CB96" s="14"/>
      <c r="CC96" s="320"/>
      <c r="CD96" s="14"/>
      <c r="CE96" s="469"/>
      <c r="CF96" s="345"/>
      <c r="CG96" s="345"/>
      <c r="CH96" s="320"/>
      <c r="CI96" s="320"/>
      <c r="CJ96" s="346"/>
      <c r="CK96" s="346"/>
      <c r="CL96" s="346"/>
    </row>
    <row r="97" spans="1:90" ht="15" customHeight="1">
      <c r="A97" s="169"/>
      <c r="C97" s="532">
        <f t="shared" si="38"/>
        <v>3.5</v>
      </c>
      <c r="D97" s="477">
        <f ca="1">((g_k_350*$C97/2)*2+5*b_UZ/1000*'Rasterbemessung DE UZ ST'!C69/1000)*'Hilfstabellen_Mat&amp;Bem'!D$92/2</f>
        <v>16.984999999999999</v>
      </c>
      <c r="E97" s="477">
        <f ca="1">((g_k_350*$C97/2)*2+5*b_UZ/1000*'Rasterbemessung DE UZ ST'!D69/1000)*'Hilfstabellen_Mat&amp;Bem'!E$92/2</f>
        <v>18.004099999999998</v>
      </c>
      <c r="F97" s="477">
        <f ca="1">((g_k_350*$C97/2)*2+5*b_UZ/1000*'Rasterbemessung DE UZ ST'!E69/1000)*'Hilfstabellen_Mat&amp;Bem'!F$92/2</f>
        <v>19.3629</v>
      </c>
      <c r="G97" s="477">
        <f ca="1">((g_k_350*$C97/2)*2+5*b_UZ/1000*'Rasterbemessung DE UZ ST'!F69/1000)*'Hilfstabellen_Mat&amp;Bem'!G$92/2</f>
        <v>20.454000000000001</v>
      </c>
      <c r="H97" s="477">
        <f ca="1">((g_k_350*$C97/2)*2+5*b_UZ/1000*'Rasterbemessung DE UZ ST'!G69/1000)*'Hilfstabellen_Mat&amp;Bem'!H$92/2</f>
        <v>23.946999999999999</v>
      </c>
      <c r="I97" s="477">
        <f ca="1">((g_k_350*$C97/2)*2+5*b_UZ/1000*'Rasterbemessung DE UZ ST'!H69/1000)*'Hilfstabellen_Mat&amp;Bem'!I$92/2</f>
        <v>27.463999999999999</v>
      </c>
      <c r="J97" s="477">
        <f ca="1">((g_k_350*$C97/2)*2+5*b_UZ/1000*'Rasterbemessung DE UZ ST'!I69/1000)*'Hilfstabellen_Mat&amp;Bem'!J$92/2</f>
        <v>31.004999999999999</v>
      </c>
      <c r="K97" s="477">
        <f ca="1">((g_k_350*$C97/2)*2+5*b_UZ/1000*'Rasterbemessung DE UZ ST'!J69/1000)*'Hilfstabellen_Mat&amp;Bem'!K$92/2</f>
        <v>34.69</v>
      </c>
      <c r="L97" s="477">
        <f ca="1">((g_k_350*$C97/2)*2+5*b_UZ/1000*'Rasterbemessung DE UZ ST'!K69/1000)*'Hilfstabellen_Mat&amp;Bem'!L$92/2</f>
        <v>36.898599999999995</v>
      </c>
      <c r="M97" s="477">
        <f ca="1">((g_k_350*$C97/2)*2+5*b_UZ/1000*'Rasterbemessung DE UZ ST'!L69/1000)*'Hilfstabellen_Mat&amp;Bem'!M$92/2</f>
        <v>39.8202</v>
      </c>
      <c r="N97" s="477">
        <f ca="1">((g_k_350*$C97/2)*2+5*b_UZ/1000*'Rasterbemessung DE UZ ST'!M69/1000)*'Hilfstabellen_Mat&amp;Bem'!N$92/2</f>
        <v>42.06</v>
      </c>
      <c r="O97" s="515"/>
      <c r="AT97" s="169"/>
      <c r="AU97" s="169"/>
      <c r="AV97" s="169"/>
      <c r="AW97" s="169"/>
      <c r="AX97" s="169"/>
      <c r="AY97" s="169"/>
      <c r="BK97" s="4"/>
      <c r="BZ97" s="324"/>
      <c r="CB97" s="14"/>
      <c r="CC97" s="320"/>
      <c r="CD97" s="14"/>
      <c r="CE97" s="469"/>
      <c r="CF97" s="345"/>
      <c r="CG97" s="345"/>
      <c r="CH97" s="320"/>
      <c r="CI97" s="320"/>
      <c r="CJ97" s="346"/>
      <c r="CK97" s="346"/>
      <c r="CL97" s="346"/>
    </row>
    <row r="98" spans="1:90" ht="15" customHeight="1">
      <c r="A98" s="169"/>
      <c r="C98" s="532">
        <f t="shared" si="38"/>
        <v>4</v>
      </c>
      <c r="D98" s="477">
        <f ca="1">((g_k_400*$C98/2)*2+5*b_UZ/1000*'Rasterbemessung DE UZ ST'!C70/1000)*'Hilfstabellen_Mat&amp;Bem'!D$92/2</f>
        <v>19.860000000000003</v>
      </c>
      <c r="E98" s="477">
        <f ca="1">((g_k_400*$C98/2)*2+5*b_UZ/1000*'Rasterbemessung DE UZ ST'!D70/1000)*'Hilfstabellen_Mat&amp;Bem'!E$92/2</f>
        <v>21.051600000000001</v>
      </c>
      <c r="F98" s="477">
        <f ca="1">((g_k_400*$C98/2)*2+5*b_UZ/1000*'Rasterbemessung DE UZ ST'!E70/1000)*'Hilfstabellen_Mat&amp;Bem'!F$92/2</f>
        <v>22.708800000000004</v>
      </c>
      <c r="G98" s="477">
        <f ca="1">((g_k_400*$C98/2)*2+5*b_UZ/1000*'Rasterbemessung DE UZ ST'!F70/1000)*'Hilfstabellen_Mat&amp;Bem'!G$92/2</f>
        <v>23.904000000000003</v>
      </c>
      <c r="H98" s="477">
        <f ca="1">((g_k_400*$C98/2)*2+5*b_UZ/1000*'Rasterbemessung DE UZ ST'!G70/1000)*'Hilfstabellen_Mat&amp;Bem'!H$92/2</f>
        <v>27.972000000000001</v>
      </c>
      <c r="I98" s="477">
        <f ca="1">((g_k_400*$C98/2)*2+5*b_UZ/1000*'Rasterbemessung DE UZ ST'!H70/1000)*'Hilfstabellen_Mat&amp;Bem'!I$92/2</f>
        <v>32.064</v>
      </c>
      <c r="J98" s="477">
        <f ca="1">((g_k_400*$C98/2)*2+5*b_UZ/1000*'Rasterbemessung DE UZ ST'!I70/1000)*'Hilfstabellen_Mat&amp;Bem'!J$92/2</f>
        <v>36.287999999999997</v>
      </c>
      <c r="K98" s="477">
        <f ca="1">((g_k_400*$C98/2)*2+5*b_UZ/1000*'Rasterbemessung DE UZ ST'!J70/1000)*'Hilfstabellen_Mat&amp;Bem'!K$92/2</f>
        <v>40.56</v>
      </c>
      <c r="L98" s="477">
        <f ca="1">((g_k_400*$C98/2)*2+5*b_UZ/1000*'Rasterbemessung DE UZ ST'!K70/1000)*'Hilfstabellen_Mat&amp;Bem'!L$92/2</f>
        <v>43.120800000000003</v>
      </c>
      <c r="M98" s="477">
        <f ca="1">((g_k_400*$C98/2)*2+5*b_UZ/1000*'Rasterbemessung DE UZ ST'!L70/1000)*'Hilfstabellen_Mat&amp;Bem'!M$92/2</f>
        <v>46.512</v>
      </c>
      <c r="N98" s="477">
        <f ca="1">((g_k_400*$C98/2)*2+5*b_UZ/1000*'Rasterbemessung DE UZ ST'!M70/1000)*'Hilfstabellen_Mat&amp;Bem'!N$92/2</f>
        <v>49.104000000000006</v>
      </c>
      <c r="O98" s="515"/>
      <c r="AT98" s="169"/>
      <c r="AU98" s="169"/>
      <c r="AV98" s="169"/>
      <c r="AW98" s="169"/>
      <c r="AX98" s="169"/>
      <c r="AY98" s="169"/>
      <c r="BK98" s="4"/>
      <c r="BZ98" s="324"/>
      <c r="CB98" s="14"/>
      <c r="CC98" s="320"/>
      <c r="CD98" s="14"/>
      <c r="CE98" s="469"/>
      <c r="CF98" s="345"/>
      <c r="CG98" s="345"/>
      <c r="CH98" s="320"/>
      <c r="CI98" s="320"/>
      <c r="CJ98" s="346"/>
      <c r="CK98" s="346"/>
      <c r="CL98" s="346"/>
    </row>
    <row r="99" spans="1:90" ht="15" customHeight="1">
      <c r="A99" s="169"/>
      <c r="C99" s="532">
        <f t="shared" si="38"/>
        <v>4.5</v>
      </c>
      <c r="D99" s="477">
        <f ca="1">((g_k_450*$C99/2)*2+5*b_UZ/1000*'Rasterbemessung DE UZ ST'!C71/1000)*'Hilfstabellen_Mat&amp;Bem'!D$92/2</f>
        <v>22.86</v>
      </c>
      <c r="E99" s="477">
        <f ca="1">((g_k_450*$C99/2)*2+5*b_UZ/1000*'Rasterbemessung DE UZ ST'!D71/1000)*'Hilfstabellen_Mat&amp;Bem'!E$92/2</f>
        <v>24.295199999999998</v>
      </c>
      <c r="F99" s="477">
        <f ca="1">((g_k_450*$C99/2)*2+5*b_UZ/1000*'Rasterbemessung DE UZ ST'!E71/1000)*'Hilfstabellen_Mat&amp;Bem'!F$92/2</f>
        <v>26.128799999999998</v>
      </c>
      <c r="G99" s="477">
        <f ca="1">((g_k_450*$C99/2)*2+5*b_UZ/1000*'Rasterbemessung DE UZ ST'!F71/1000)*'Hilfstabellen_Mat&amp;Bem'!G$92/2</f>
        <v>27.503999999999998</v>
      </c>
      <c r="H99" s="477">
        <f ca="1">((g_k_450*$C99/2)*2+5*b_UZ/1000*'Rasterbemessung DE UZ ST'!G71/1000)*'Hilfstabellen_Mat&amp;Bem'!H$92/2</f>
        <v>32.256</v>
      </c>
      <c r="I99" s="477">
        <f ca="1">((g_k_450*$C99/2)*2+5*b_UZ/1000*'Rasterbemessung DE UZ ST'!H71/1000)*'Hilfstabellen_Mat&amp;Bem'!I$92/2</f>
        <v>36.96</v>
      </c>
      <c r="J99" s="477">
        <f ca="1">((g_k_450*$C99/2)*2+5*b_UZ/1000*'Rasterbemessung DE UZ ST'!I71/1000)*'Hilfstabellen_Mat&amp;Bem'!J$92/2</f>
        <v>41.795999999999999</v>
      </c>
      <c r="K99" s="477">
        <f ca="1">((g_k_450*$C99/2)*2+5*b_UZ/1000*'Rasterbemessung DE UZ ST'!J71/1000)*'Hilfstabellen_Mat&amp;Bem'!K$92/2</f>
        <v>46.559999999999995</v>
      </c>
      <c r="L99" s="477">
        <f ca="1">((g_k_450*$C99/2)*2+5*b_UZ/1000*'Rasterbemessung DE UZ ST'!K71/1000)*'Hilfstabellen_Mat&amp;Bem'!L$92/2</f>
        <v>49.480800000000002</v>
      </c>
      <c r="M99" s="477">
        <f ca="1">((g_k_450*$C99/2)*2+5*b_UZ/1000*'Rasterbemessung DE UZ ST'!L71/1000)*'Hilfstabellen_Mat&amp;Bem'!M$92/2</f>
        <v>53.488800000000005</v>
      </c>
      <c r="N99" s="477">
        <f ca="1">((g_k_450*$C99/2)*2+5*b_UZ/1000*'Rasterbemessung DE UZ ST'!M71/1000)*'Hilfstabellen_Mat&amp;Bem'!N$92/2</f>
        <v>56.447999999999993</v>
      </c>
      <c r="O99" s="515"/>
      <c r="AT99" s="169"/>
      <c r="AU99" s="169"/>
      <c r="AV99" s="169"/>
      <c r="AW99" s="169"/>
      <c r="AX99" s="169"/>
      <c r="AY99" s="169"/>
      <c r="BK99" s="4"/>
      <c r="BZ99" s="324"/>
      <c r="CB99" s="14"/>
      <c r="CC99" s="320"/>
      <c r="CD99" s="14"/>
      <c r="CE99" s="469"/>
      <c r="CF99" s="345"/>
      <c r="CG99" s="345"/>
      <c r="CH99" s="320"/>
      <c r="CI99" s="320"/>
      <c r="CJ99" s="346"/>
      <c r="CK99" s="346"/>
      <c r="CL99" s="346"/>
    </row>
    <row r="100" spans="1:90" ht="15" customHeight="1">
      <c r="A100" s="169"/>
      <c r="C100" s="532">
        <f t="shared" si="38"/>
        <v>5</v>
      </c>
      <c r="D100" s="477">
        <f ca="1">((g_k_500*$C100/2)*2+5*b_UZ/1000*'Rasterbemessung DE UZ ST'!C72/1000)*'Hilfstabellen_Mat&amp;Bem'!D$92/2</f>
        <v>26.669999999999998</v>
      </c>
      <c r="E100" s="477">
        <f ca="1">((g_k_500*$C100/2)*2+5*b_UZ/1000*'Rasterbemessung DE UZ ST'!D72/1000)*'Hilfstabellen_Mat&amp;Bem'!E$92/2</f>
        <v>28.270199999999996</v>
      </c>
      <c r="F100" s="477">
        <f ca="1">((g_k_500*$C100/2)*2+5*b_UZ/1000*'Rasterbemessung DE UZ ST'!E72/1000)*'Hilfstabellen_Mat&amp;Bem'!F$92/2</f>
        <v>30.472200000000001</v>
      </c>
      <c r="G100" s="477">
        <f ca="1">((g_k_500*$C100/2)*2+5*b_UZ/1000*'Rasterbemessung DE UZ ST'!F72/1000)*'Hilfstabellen_Mat&amp;Bem'!G$92/2</f>
        <v>32.076000000000001</v>
      </c>
      <c r="H100" s="477">
        <f ca="1">((g_k_500*$C100/2)*2+5*b_UZ/1000*'Rasterbemessung DE UZ ST'!G72/1000)*'Hilfstabellen_Mat&amp;Bem'!H$92/2</f>
        <v>37.506</v>
      </c>
      <c r="I100" s="477">
        <f ca="1">((g_k_500*$C100/2)*2+5*b_UZ/1000*'Rasterbemessung DE UZ ST'!H72/1000)*'Hilfstabellen_Mat&amp;Bem'!I$92/2</f>
        <v>42.96</v>
      </c>
      <c r="J100" s="477">
        <f ca="1">((g_k_500*$C100/2)*2+5*b_UZ/1000*'Rasterbemessung DE UZ ST'!I72/1000)*'Hilfstabellen_Mat&amp;Bem'!J$92/2</f>
        <v>48.545999999999999</v>
      </c>
      <c r="K100" s="477">
        <f ca="1">((g_k_500*$C100/2)*2+5*b_UZ/1000*'Rasterbemessung DE UZ ST'!J72/1000)*'Hilfstabellen_Mat&amp;Bem'!K$92/2</f>
        <v>54.18</v>
      </c>
      <c r="L100" s="477">
        <f ca="1">((g_k_500*$C100/2)*2+5*b_UZ/1000*'Rasterbemessung DE UZ ST'!K72/1000)*'Hilfstabellen_Mat&amp;Bem'!L$92/2</f>
        <v>57.557999999999993</v>
      </c>
      <c r="M100" s="477">
        <f ca="1">((g_k_500*$C100/2)*2+5*b_UZ/1000*'Rasterbemessung DE UZ ST'!L72/1000)*'Hilfstabellen_Mat&amp;Bem'!M$92/2</f>
        <v>62.038800000000002</v>
      </c>
      <c r="N100" s="477">
        <f ca="1">((g_k_500*$C100/2)*2+5*b_UZ/1000*'Rasterbemessung DE UZ ST'!M72/1000)*'Hilfstabellen_Mat&amp;Bem'!N$92/2</f>
        <v>65.591999999999999</v>
      </c>
      <c r="O100" s="515"/>
      <c r="AT100" s="169"/>
      <c r="AU100" s="169"/>
      <c r="AV100" s="169"/>
      <c r="AW100" s="169"/>
      <c r="AX100" s="169"/>
      <c r="AY100" s="169"/>
      <c r="BK100" s="4"/>
      <c r="BZ100" s="324"/>
      <c r="CB100" s="14"/>
      <c r="CC100" s="320"/>
      <c r="CD100" s="14"/>
      <c r="CE100" s="469"/>
      <c r="CF100" s="345"/>
      <c r="CG100" s="345"/>
      <c r="CH100" s="320"/>
      <c r="CI100" s="320"/>
      <c r="CJ100" s="346"/>
      <c r="CK100" s="346"/>
      <c r="CL100" s="346"/>
    </row>
    <row r="101" spans="1:90" ht="15" customHeight="1">
      <c r="A101" s="169"/>
      <c r="C101" s="532">
        <f>$D59</f>
        <v>5.3</v>
      </c>
      <c r="D101" s="477">
        <f ca="1">((g_k_530*$C101/2)*2+5*b_UZ/1000*'Rasterbemessung DE UZ ST'!C73/1000)*'Hilfstabellen_Mat&amp;Bem'!D$92/2</f>
        <v>28.245000000000001</v>
      </c>
      <c r="E101" s="477">
        <f ca="1">((g_k_530*$C101/2)*2+5*b_UZ/1000*'Rasterbemessung DE UZ ST'!D73/1000)*'Hilfstabellen_Mat&amp;Bem'!E$92/2</f>
        <v>29.939699999999998</v>
      </c>
      <c r="F101" s="477">
        <f ca="1">((g_k_530*$C101/2)*2+5*b_UZ/1000*'Rasterbemessung DE UZ ST'!E73/1000)*'Hilfstabellen_Mat&amp;Bem'!F$92/2</f>
        <v>32.267700000000005</v>
      </c>
      <c r="G101" s="477">
        <f ca="1">((g_k_530*$C101/2)*2+5*b_UZ/1000*'Rasterbemessung DE UZ ST'!F73/1000)*'Hilfstabellen_Mat&amp;Bem'!G$92/2</f>
        <v>33.966000000000001</v>
      </c>
      <c r="H101" s="477">
        <f ca="1">((g_k_530*$C101/2)*2+5*b_UZ/1000*'Rasterbemessung DE UZ ST'!G73/1000)*'Hilfstabellen_Mat&amp;Bem'!H$92/2</f>
        <v>39.710999999999999</v>
      </c>
      <c r="I101" s="477">
        <f ca="1">((g_k_530*$C101/2)*2+5*b_UZ/1000*'Rasterbemessung DE UZ ST'!H73/1000)*'Hilfstabellen_Mat&amp;Bem'!I$92/2</f>
        <v>45.576000000000001</v>
      </c>
      <c r="J101" s="477">
        <f ca="1">((g_k_530*$C101/2)*2+5*b_UZ/1000*'Rasterbemessung DE UZ ST'!I73/1000)*'Hilfstabellen_Mat&amp;Bem'!J$92/2</f>
        <v>51.381000000000007</v>
      </c>
      <c r="K101" s="477">
        <f ca="1">((g_k_530*$C101/2)*2+5*b_UZ/1000*'Rasterbemessung DE UZ ST'!J73/1000)*'Hilfstabellen_Mat&amp;Bem'!K$92/2</f>
        <v>57.330000000000005</v>
      </c>
      <c r="L101" s="477">
        <f ca="1">((g_k_530*$C101/2)*2+5*b_UZ/1000*'Rasterbemessung DE UZ ST'!K73/1000)*'Hilfstabellen_Mat&amp;Bem'!L$92/2</f>
        <v>60.896999999999998</v>
      </c>
      <c r="M101" s="477">
        <f ca="1">((g_k_530*$C101/2)*2+5*b_UZ/1000*'Rasterbemessung DE UZ ST'!L73/1000)*'Hilfstabellen_Mat&amp;Bem'!M$92/2</f>
        <v>65.766599999999997</v>
      </c>
      <c r="N101" s="477">
        <f ca="1">((g_k_530*$C101/2)*2+5*b_UZ/1000*'Rasterbemessung DE UZ ST'!M73/1000)*'Hilfstabellen_Mat&amp;Bem'!N$92/2</f>
        <v>69.372000000000014</v>
      </c>
      <c r="O101" s="515"/>
      <c r="AT101" s="169"/>
      <c r="AU101" s="169"/>
      <c r="AV101" s="169"/>
      <c r="AW101" s="169"/>
      <c r="AX101" s="169"/>
      <c r="AY101" s="169"/>
      <c r="BK101" s="4"/>
      <c r="BZ101" s="324"/>
      <c r="CB101" s="14"/>
      <c r="CC101" s="320"/>
      <c r="CD101" s="14"/>
      <c r="CE101" s="469"/>
      <c r="CF101" s="345"/>
      <c r="CG101" s="345"/>
      <c r="CH101" s="320"/>
      <c r="CI101" s="320"/>
      <c r="CJ101" s="346"/>
      <c r="CK101" s="346"/>
      <c r="CL101" s="346"/>
    </row>
    <row r="102" spans="1:90" ht="15" customHeight="1">
      <c r="A102" s="169"/>
      <c r="C102" s="532">
        <f>$D60</f>
        <v>5.7</v>
      </c>
      <c r="D102" s="477">
        <f ca="1">((g_k_570*$C102/2)*2+5*b_UZ/1000*'Rasterbemessung DE UZ ST'!C74/1000)*'Hilfstabellen_Mat&amp;Bem'!D$92/2</f>
        <v>28.207500000000003</v>
      </c>
      <c r="E102" s="477">
        <f ca="1">((g_k_570*$C102/2)*2+5*b_UZ/1000*'Rasterbemessung DE UZ ST'!D74/1000)*'Hilfstabellen_Mat&amp;Bem'!E$92/2</f>
        <v>29.963550000000005</v>
      </c>
      <c r="F102" s="477">
        <f ca="1">((g_k_570*$C102/2)*2+5*b_UZ/1000*'Rasterbemessung DE UZ ST'!E74/1000)*'Hilfstabellen_Mat&amp;Bem'!F$92/2</f>
        <v>32.224950000000007</v>
      </c>
      <c r="G102" s="477">
        <f ca="1">((g_k_570*$C102/2)*2+5*b_UZ/1000*'Rasterbemessung DE UZ ST'!F74/1000)*'Hilfstabellen_Mat&amp;Bem'!G$92/2</f>
        <v>33.993000000000002</v>
      </c>
      <c r="H102" s="477">
        <f ca="1">((g_k_570*$C102/2)*2+5*b_UZ/1000*'Rasterbemessung DE UZ ST'!G74/1000)*'Hilfstabellen_Mat&amp;Bem'!H$92/2</f>
        <v>39.742500000000007</v>
      </c>
      <c r="I102" s="477">
        <f ca="1">((g_k_570*$C102/2)*2+5*b_UZ/1000*'Rasterbemessung DE UZ ST'!H74/1000)*'Hilfstabellen_Mat&amp;Bem'!I$92/2</f>
        <v>45.516000000000005</v>
      </c>
      <c r="J102" s="477">
        <f ca="1">((g_k_570*$C102/2)*2+5*b_UZ/1000*'Rasterbemessung DE UZ ST'!I74/1000)*'Hilfstabellen_Mat&amp;Bem'!J$92/2</f>
        <v>51.421500000000009</v>
      </c>
      <c r="K102" s="477">
        <f ca="1">((g_k_570*$C102/2)*2+5*b_UZ/1000*'Rasterbemessung DE UZ ST'!J74/1000)*'Hilfstabellen_Mat&amp;Bem'!K$92/2</f>
        <v>57.375000000000007</v>
      </c>
      <c r="L102" s="477">
        <f ca="1">((g_k_570*$C102/2)*2+5*b_UZ/1000*'Rasterbemessung DE UZ ST'!K74/1000)*'Hilfstabellen_Mat&amp;Bem'!L$92/2</f>
        <v>60.944700000000012</v>
      </c>
      <c r="M102" s="477">
        <f ca="1">((g_k_570*$C102/2)*2+5*b_UZ/1000*'Rasterbemessung DE UZ ST'!L74/1000)*'Hilfstabellen_Mat&amp;Bem'!M$92/2</f>
        <v>65.681100000000015</v>
      </c>
      <c r="N102" s="477">
        <f ca="1">((g_k_570*$C102/2)*2+5*b_UZ/1000*'Rasterbemessung DE UZ ST'!M74/1000)*'Hilfstabellen_Mat&amp;Bem'!N$92/2</f>
        <v>69.282000000000011</v>
      </c>
      <c r="O102" s="515"/>
      <c r="AT102" s="169"/>
      <c r="AU102" s="169"/>
      <c r="AV102" s="169"/>
      <c r="AW102" s="169"/>
      <c r="AX102" s="169"/>
      <c r="AY102" s="169"/>
      <c r="BK102" s="4"/>
      <c r="BZ102" s="324"/>
      <c r="CB102" s="14"/>
      <c r="CC102" s="320"/>
      <c r="CD102" s="14"/>
      <c r="CE102" s="469"/>
      <c r="CF102" s="345"/>
      <c r="CG102" s="345"/>
      <c r="CH102" s="320"/>
      <c r="CI102" s="320"/>
      <c r="CJ102" s="346"/>
      <c r="CK102" s="346"/>
      <c r="CL102" s="346"/>
    </row>
    <row r="103" spans="1:90" ht="15" customHeight="1">
      <c r="A103" s="169"/>
      <c r="C103" s="532">
        <f>$D61</f>
        <v>6</v>
      </c>
      <c r="D103" s="477">
        <f ca="1">((g_k_600*$C103/2)*2+5*b_UZ/1000*'Rasterbemessung DE UZ ST'!C75/1000)*'Hilfstabellen_Mat&amp;Bem'!D$92/2</f>
        <v>29.67</v>
      </c>
      <c r="E103" s="477">
        <f ca="1">((g_k_600*$C103/2)*2+5*b_UZ/1000*'Rasterbemessung DE UZ ST'!D75/1000)*'Hilfstabellen_Mat&amp;Bem'!E$92/2</f>
        <v>31.513800000000003</v>
      </c>
      <c r="F103" s="477">
        <f ca="1">((g_k_600*$C103/2)*2+5*b_UZ/1000*'Rasterbemessung DE UZ ST'!E75/1000)*'Hilfstabellen_Mat&amp;Bem'!F$92/2</f>
        <v>33.892200000000003</v>
      </c>
      <c r="G103" s="477">
        <f ca="1">((g_k_600*$C103/2)*2+5*b_UZ/1000*'Rasterbemessung DE UZ ST'!F75/1000)*'Hilfstabellen_Mat&amp;Bem'!G$92/2</f>
        <v>35.748000000000005</v>
      </c>
      <c r="H103" s="477">
        <f ca="1">((g_k_600*$C103/2)*2+5*b_UZ/1000*'Rasterbemessung DE UZ ST'!G75/1000)*'Hilfstabellen_Mat&amp;Bem'!H$92/2</f>
        <v>41.790000000000006</v>
      </c>
      <c r="I103" s="477">
        <f ca="1">((g_k_600*$C103/2)*2+5*b_UZ/1000*'Rasterbemessung DE UZ ST'!H75/1000)*'Hilfstabellen_Mat&amp;Bem'!I$92/2</f>
        <v>47.856000000000002</v>
      </c>
      <c r="J103" s="477">
        <f ca="1">((g_k_600*$C103/2)*2+5*b_UZ/1000*'Rasterbemessung DE UZ ST'!I75/1000)*'Hilfstabellen_Mat&amp;Bem'!J$92/2</f>
        <v>54.054000000000002</v>
      </c>
      <c r="K103" s="477">
        <f ca="1">((g_k_600*$C103/2)*2+5*b_UZ/1000*'Rasterbemessung DE UZ ST'!J75/1000)*'Hilfstabellen_Mat&amp;Bem'!K$92/2</f>
        <v>60.180000000000007</v>
      </c>
      <c r="L103" s="477">
        <f ca="1">((g_k_600*$C103/2)*2+5*b_UZ/1000*'Rasterbemessung DE UZ ST'!K75/1000)*'Hilfstabellen_Mat&amp;Bem'!L$92/2</f>
        <v>63.917999999999999</v>
      </c>
      <c r="M103" s="477">
        <f ca="1">((g_k_600*$C103/2)*2+5*b_UZ/1000*'Rasterbemessung DE UZ ST'!L75/1000)*'Hilfstabellen_Mat&amp;Bem'!M$92/2</f>
        <v>69.015600000000006</v>
      </c>
      <c r="N103" s="477">
        <f ca="1">((g_k_600*$C103/2)*2+5*b_UZ/1000*'Rasterbemessung DE UZ ST'!M75/1000)*'Hilfstabellen_Mat&amp;Bem'!N$92/2</f>
        <v>72.792000000000002</v>
      </c>
      <c r="O103" s="515"/>
      <c r="AT103" s="169"/>
      <c r="AU103" s="169"/>
      <c r="AV103" s="169"/>
      <c r="AW103" s="169"/>
      <c r="AX103" s="169"/>
      <c r="AY103" s="169"/>
      <c r="BK103" s="4"/>
      <c r="BZ103" s="324"/>
      <c r="CB103" s="14"/>
      <c r="CC103" s="320"/>
      <c r="CD103" s="14"/>
      <c r="CE103" s="469"/>
      <c r="CF103" s="345"/>
      <c r="CG103" s="345"/>
      <c r="CH103" s="320"/>
      <c r="CI103" s="320"/>
      <c r="CJ103" s="346"/>
      <c r="CK103" s="346"/>
      <c r="CL103" s="346"/>
    </row>
    <row r="104" spans="1:90" ht="15" customHeight="1">
      <c r="A104" s="169"/>
      <c r="C104" s="516"/>
      <c r="O104" s="515"/>
      <c r="AT104" s="169"/>
      <c r="AU104" s="169"/>
      <c r="AV104" s="169"/>
      <c r="AW104" s="169"/>
      <c r="AX104" s="169"/>
      <c r="AY104" s="169"/>
      <c r="BK104" s="4"/>
      <c r="BZ104" s="324"/>
      <c r="CB104" s="14"/>
      <c r="CC104" s="320"/>
      <c r="CD104" s="14"/>
      <c r="CE104" s="469"/>
      <c r="CF104" s="345"/>
      <c r="CG104" s="345"/>
      <c r="CH104" s="320"/>
      <c r="CI104" s="320"/>
      <c r="CJ104" s="346"/>
      <c r="CK104" s="346"/>
      <c r="CL104" s="346"/>
    </row>
    <row r="105" spans="1:90" ht="15" customHeight="1">
      <c r="A105" s="169"/>
      <c r="C105" s="533" t="s">
        <v>972</v>
      </c>
      <c r="D105" s="534">
        <f>D92</f>
        <v>2.5</v>
      </c>
      <c r="E105" s="534">
        <f t="shared" ref="E105:K105" si="39">E92</f>
        <v>2.65</v>
      </c>
      <c r="F105" s="534">
        <f t="shared" si="39"/>
        <v>2.85</v>
      </c>
      <c r="G105" s="534">
        <f t="shared" si="39"/>
        <v>3</v>
      </c>
      <c r="H105" s="534">
        <f t="shared" si="39"/>
        <v>3.5</v>
      </c>
      <c r="I105" s="534">
        <f t="shared" si="39"/>
        <v>4</v>
      </c>
      <c r="J105" s="534">
        <f t="shared" si="39"/>
        <v>4.5</v>
      </c>
      <c r="K105" s="534">
        <f t="shared" si="39"/>
        <v>5</v>
      </c>
      <c r="L105" s="534">
        <f>L92</f>
        <v>5.3</v>
      </c>
      <c r="M105" s="534">
        <f>M92</f>
        <v>5.7</v>
      </c>
      <c r="N105" s="534">
        <f>N92</f>
        <v>6</v>
      </c>
      <c r="O105" s="515"/>
      <c r="AT105" s="169"/>
      <c r="AU105" s="169"/>
      <c r="AV105" s="169"/>
      <c r="AW105" s="169"/>
      <c r="AX105" s="169"/>
      <c r="AY105" s="169"/>
      <c r="BK105" s="4"/>
      <c r="BZ105" s="324"/>
      <c r="CB105" s="14"/>
      <c r="CC105" s="320"/>
      <c r="CD105" s="14"/>
      <c r="CE105" s="469"/>
      <c r="CF105" s="345"/>
      <c r="CG105" s="345"/>
      <c r="CH105" s="320"/>
      <c r="CI105" s="320"/>
      <c r="CJ105" s="346"/>
      <c r="CK105" s="346"/>
      <c r="CL105" s="346"/>
    </row>
    <row r="106" spans="1:90" ht="15" customHeight="1">
      <c r="A106" s="169"/>
      <c r="C106" s="535">
        <f t="shared" ref="C106:C113" si="40">$D51</f>
        <v>2.5</v>
      </c>
      <c r="D106" s="477">
        <f>((q_k*$C106/2)*2)*'Hilfstabellen_Mat&amp;Bem'!D$92/2</f>
        <v>7.1875</v>
      </c>
      <c r="E106" s="477">
        <f>((q_k*$C106/2)*2)*'Hilfstabellen_Mat&amp;Bem'!E$92/2</f>
        <v>7.6187499999999995</v>
      </c>
      <c r="F106" s="477">
        <f>((q_k*$C106/2)*2)*'Hilfstabellen_Mat&amp;Bem'!F$92/2</f>
        <v>8.1937499999999996</v>
      </c>
      <c r="G106" s="477">
        <f>((q_k*$C106/2)*2)*'Hilfstabellen_Mat&amp;Bem'!G$92/2</f>
        <v>8.625</v>
      </c>
      <c r="H106" s="477">
        <f>((q_k*$C106/2)*2)*'Hilfstabellen_Mat&amp;Bem'!H$92/2</f>
        <v>10.0625</v>
      </c>
      <c r="I106" s="477">
        <f>((q_k*$C106/2)*2)*'Hilfstabellen_Mat&amp;Bem'!I$92/2</f>
        <v>11.5</v>
      </c>
      <c r="J106" s="477">
        <f>((q_k*$C106/2)*2)*'Hilfstabellen_Mat&amp;Bem'!J$92/2</f>
        <v>12.9375</v>
      </c>
      <c r="K106" s="477">
        <f>((q_k*$C106/2)*2)*'Hilfstabellen_Mat&amp;Bem'!K$92/2</f>
        <v>14.375</v>
      </c>
      <c r="L106" s="477">
        <f>((q_k*$C106/2)*2)*'Hilfstabellen_Mat&amp;Bem'!L$92/2</f>
        <v>15.237499999999999</v>
      </c>
      <c r="M106" s="477">
        <f>((q_k*$C106/2)*2)*'Hilfstabellen_Mat&amp;Bem'!M$92/2</f>
        <v>16.387499999999999</v>
      </c>
      <c r="N106" s="477">
        <f>((q_k*$C106/2)*2)*'Hilfstabellen_Mat&amp;Bem'!N$92/2</f>
        <v>17.25</v>
      </c>
      <c r="O106" s="515"/>
      <c r="AT106" s="169"/>
      <c r="AU106" s="169"/>
      <c r="AV106" s="169"/>
      <c r="AW106" s="169"/>
      <c r="AX106" s="169"/>
      <c r="AY106" s="169"/>
      <c r="BK106" s="4"/>
      <c r="BZ106" s="324"/>
      <c r="CB106" s="14"/>
      <c r="CC106" s="320"/>
      <c r="CD106" s="14"/>
      <c r="CE106" s="469"/>
      <c r="CF106" s="345"/>
      <c r="CG106" s="345"/>
      <c r="CH106" s="320"/>
      <c r="CI106" s="320"/>
      <c r="CJ106" s="346"/>
      <c r="CK106" s="346"/>
      <c r="CL106" s="346"/>
    </row>
    <row r="107" spans="1:90" ht="15" customHeight="1">
      <c r="A107" s="169"/>
      <c r="C107" s="535">
        <f t="shared" si="40"/>
        <v>2.65</v>
      </c>
      <c r="D107" s="477">
        <f>((q_k*$C107/2)*2)*'Hilfstabellen_Mat&amp;Bem'!D$92/2</f>
        <v>7.6187499999999995</v>
      </c>
      <c r="E107" s="477">
        <f>((q_k*$C107/2)*2)*'Hilfstabellen_Mat&amp;Bem'!E$92/2</f>
        <v>8.0758749999999999</v>
      </c>
      <c r="F107" s="477">
        <f>((q_k*$C107/2)*2)*'Hilfstabellen_Mat&amp;Bem'!F$92/2</f>
        <v>8.6853750000000005</v>
      </c>
      <c r="G107" s="477">
        <f>((q_k*$C107/2)*2)*'Hilfstabellen_Mat&amp;Bem'!G$92/2</f>
        <v>9.1425000000000001</v>
      </c>
      <c r="H107" s="477">
        <f>((q_k*$C107/2)*2)*'Hilfstabellen_Mat&amp;Bem'!H$92/2</f>
        <v>10.66625</v>
      </c>
      <c r="I107" s="477">
        <f>((q_k*$C107/2)*2)*'Hilfstabellen_Mat&amp;Bem'!I$92/2</f>
        <v>12.19</v>
      </c>
      <c r="J107" s="477">
        <f>((q_k*$C107/2)*2)*'Hilfstabellen_Mat&amp;Bem'!J$92/2</f>
        <v>13.713749999999999</v>
      </c>
      <c r="K107" s="477">
        <f>((q_k*$C107/2)*2)*'Hilfstabellen_Mat&amp;Bem'!K$92/2</f>
        <v>15.237499999999999</v>
      </c>
      <c r="L107" s="477">
        <f>((q_k*$C107/2)*2)*'Hilfstabellen_Mat&amp;Bem'!L$92/2</f>
        <v>16.15175</v>
      </c>
      <c r="M107" s="477">
        <f>((q_k*$C107/2)*2)*'Hilfstabellen_Mat&amp;Bem'!M$92/2</f>
        <v>17.370750000000001</v>
      </c>
      <c r="N107" s="477">
        <f>((q_k*$C107/2)*2)*'Hilfstabellen_Mat&amp;Bem'!N$92/2</f>
        <v>18.285</v>
      </c>
      <c r="O107" s="515"/>
      <c r="AT107" s="169"/>
      <c r="AU107" s="169"/>
      <c r="AV107" s="169"/>
      <c r="AW107" s="169"/>
      <c r="AX107" s="169"/>
      <c r="AY107" s="169"/>
      <c r="BK107" s="4"/>
      <c r="BZ107" s="324"/>
      <c r="CB107" s="14"/>
      <c r="CC107" s="320"/>
      <c r="CD107" s="14"/>
      <c r="CE107" s="469"/>
      <c r="CF107" s="345"/>
      <c r="CG107" s="345"/>
      <c r="CH107" s="320"/>
      <c r="CI107" s="320"/>
      <c r="CJ107" s="346"/>
      <c r="CK107" s="346"/>
      <c r="CL107" s="346"/>
    </row>
    <row r="108" spans="1:90" ht="15" customHeight="1">
      <c r="A108" s="169"/>
      <c r="C108" s="535">
        <f t="shared" si="40"/>
        <v>2.85</v>
      </c>
      <c r="D108" s="477">
        <f>((q_k*$C108/2)*2)*'Hilfstabellen_Mat&amp;Bem'!D$92/2</f>
        <v>8.1937499999999996</v>
      </c>
      <c r="E108" s="477">
        <f>((q_k*$C108/2)*2)*'Hilfstabellen_Mat&amp;Bem'!E$92/2</f>
        <v>8.6853749999999987</v>
      </c>
      <c r="F108" s="477">
        <f>((q_k*$C108/2)*2)*'Hilfstabellen_Mat&amp;Bem'!F$92/2</f>
        <v>9.3408750000000005</v>
      </c>
      <c r="G108" s="477">
        <f>((q_k*$C108/2)*2)*'Hilfstabellen_Mat&amp;Bem'!G$92/2</f>
        <v>9.8324999999999996</v>
      </c>
      <c r="H108" s="477">
        <f>((q_k*$C108/2)*2)*'Hilfstabellen_Mat&amp;Bem'!H$92/2</f>
        <v>11.47125</v>
      </c>
      <c r="I108" s="477">
        <f>((q_k*$C108/2)*2)*'Hilfstabellen_Mat&amp;Bem'!I$92/2</f>
        <v>13.11</v>
      </c>
      <c r="J108" s="477">
        <f>((q_k*$C108/2)*2)*'Hilfstabellen_Mat&amp;Bem'!J$92/2</f>
        <v>14.748749999999999</v>
      </c>
      <c r="K108" s="477">
        <f>((q_k*$C108/2)*2)*'Hilfstabellen_Mat&amp;Bem'!K$92/2</f>
        <v>16.387499999999999</v>
      </c>
      <c r="L108" s="477">
        <f>((q_k*$C108/2)*2)*'Hilfstabellen_Mat&amp;Bem'!L$92/2</f>
        <v>17.370749999999997</v>
      </c>
      <c r="M108" s="477">
        <f>((q_k*$C108/2)*2)*'Hilfstabellen_Mat&amp;Bem'!M$92/2</f>
        <v>18.681750000000001</v>
      </c>
      <c r="N108" s="477">
        <f>((q_k*$C108/2)*2)*'Hilfstabellen_Mat&amp;Bem'!N$92/2</f>
        <v>19.664999999999999</v>
      </c>
      <c r="O108" s="515"/>
      <c r="AT108" s="169"/>
      <c r="AU108" s="169"/>
      <c r="AV108" s="169"/>
      <c r="AW108" s="169"/>
      <c r="AX108" s="169"/>
      <c r="AY108" s="169"/>
      <c r="BK108" s="4"/>
      <c r="BZ108" s="324"/>
      <c r="CB108" s="14"/>
      <c r="CC108" s="320"/>
      <c r="CD108" s="14"/>
      <c r="CE108" s="469"/>
      <c r="CF108" s="345"/>
      <c r="CG108" s="345"/>
      <c r="CH108" s="320"/>
      <c r="CI108" s="320"/>
      <c r="CJ108" s="346"/>
      <c r="CK108" s="346"/>
      <c r="CL108" s="346"/>
    </row>
    <row r="109" spans="1:90" ht="15" customHeight="1">
      <c r="A109" s="169"/>
      <c r="C109" s="535">
        <f t="shared" si="40"/>
        <v>3</v>
      </c>
      <c r="D109" s="477">
        <f>((q_k*$C109/2)*2)*'Hilfstabellen_Mat&amp;Bem'!D$92/2</f>
        <v>8.625</v>
      </c>
      <c r="E109" s="477">
        <f>((q_k*$C109/2)*2)*'Hilfstabellen_Mat&amp;Bem'!E$92/2</f>
        <v>9.1424999999999983</v>
      </c>
      <c r="F109" s="477">
        <f>((q_k*$C109/2)*2)*'Hilfstabellen_Mat&amp;Bem'!F$92/2</f>
        <v>9.8324999999999996</v>
      </c>
      <c r="G109" s="477">
        <f>((q_k*$C109/2)*2)*'Hilfstabellen_Mat&amp;Bem'!G$92/2</f>
        <v>10.35</v>
      </c>
      <c r="H109" s="477">
        <f>((q_k*$C109/2)*2)*'Hilfstabellen_Mat&amp;Bem'!H$92/2</f>
        <v>12.074999999999999</v>
      </c>
      <c r="I109" s="477">
        <f>((q_k*$C109/2)*2)*'Hilfstabellen_Mat&amp;Bem'!I$92/2</f>
        <v>13.799999999999999</v>
      </c>
      <c r="J109" s="477">
        <f>((q_k*$C109/2)*2)*'Hilfstabellen_Mat&amp;Bem'!J$92/2</f>
        <v>15.524999999999999</v>
      </c>
      <c r="K109" s="477">
        <f>((q_k*$C109/2)*2)*'Hilfstabellen_Mat&amp;Bem'!K$92/2</f>
        <v>17.25</v>
      </c>
      <c r="L109" s="477">
        <f>((q_k*$C109/2)*2)*'Hilfstabellen_Mat&amp;Bem'!L$92/2</f>
        <v>18.284999999999997</v>
      </c>
      <c r="M109" s="477">
        <f>((q_k*$C109/2)*2)*'Hilfstabellen_Mat&amp;Bem'!M$92/2</f>
        <v>19.664999999999999</v>
      </c>
      <c r="N109" s="477">
        <f>((q_k*$C109/2)*2)*'Hilfstabellen_Mat&amp;Bem'!N$92/2</f>
        <v>20.7</v>
      </c>
      <c r="O109" s="515"/>
      <c r="AT109" s="169"/>
      <c r="AU109" s="169"/>
      <c r="AV109" s="169"/>
      <c r="AW109" s="169"/>
      <c r="AX109" s="169"/>
      <c r="AY109" s="169"/>
      <c r="BK109" s="4"/>
      <c r="BZ109" s="324"/>
      <c r="CB109" s="14"/>
      <c r="CC109" s="320"/>
      <c r="CD109" s="14"/>
      <c r="CE109" s="469"/>
      <c r="CF109" s="345"/>
      <c r="CG109" s="345"/>
      <c r="CH109" s="320"/>
      <c r="CI109" s="320"/>
      <c r="CJ109" s="346"/>
      <c r="CK109" s="346"/>
      <c r="CL109" s="346"/>
    </row>
    <row r="110" spans="1:90" ht="15" customHeight="1">
      <c r="A110" s="169"/>
      <c r="B110" s="169"/>
      <c r="C110" s="535">
        <f t="shared" si="40"/>
        <v>3.5</v>
      </c>
      <c r="D110" s="477">
        <f>((q_k*$C110/2)*2)*'Hilfstabellen_Mat&amp;Bem'!D$92/2</f>
        <v>10.062499999999998</v>
      </c>
      <c r="E110" s="477">
        <f>((q_k*$C110/2)*2)*'Hilfstabellen_Mat&amp;Bem'!E$92/2</f>
        <v>10.666249999999998</v>
      </c>
      <c r="F110" s="477">
        <f>((q_k*$C110/2)*2)*'Hilfstabellen_Mat&amp;Bem'!F$92/2</f>
        <v>11.47125</v>
      </c>
      <c r="G110" s="477">
        <f>((q_k*$C110/2)*2)*'Hilfstabellen_Mat&amp;Bem'!G$92/2</f>
        <v>12.074999999999999</v>
      </c>
      <c r="H110" s="477">
        <f>((q_k*$C110/2)*2)*'Hilfstabellen_Mat&amp;Bem'!H$92/2</f>
        <v>14.087499999999999</v>
      </c>
      <c r="I110" s="477">
        <f>((q_k*$C110/2)*2)*'Hilfstabellen_Mat&amp;Bem'!I$92/2</f>
        <v>16.099999999999998</v>
      </c>
      <c r="J110" s="477">
        <f>((q_k*$C110/2)*2)*'Hilfstabellen_Mat&amp;Bem'!J$92/2</f>
        <v>18.112499999999997</v>
      </c>
      <c r="K110" s="477">
        <f>((q_k*$C110/2)*2)*'Hilfstabellen_Mat&amp;Bem'!K$92/2</f>
        <v>20.124999999999996</v>
      </c>
      <c r="L110" s="477">
        <f>((q_k*$C110/2)*2)*'Hilfstabellen_Mat&amp;Bem'!L$92/2</f>
        <v>21.332499999999996</v>
      </c>
      <c r="M110" s="477">
        <f>((q_k*$C110/2)*2)*'Hilfstabellen_Mat&amp;Bem'!M$92/2</f>
        <v>22.942499999999999</v>
      </c>
      <c r="N110" s="477">
        <f>((q_k*$C110/2)*2)*'Hilfstabellen_Mat&amp;Bem'!N$92/2</f>
        <v>24.15</v>
      </c>
      <c r="O110" s="515"/>
      <c r="AX110" s="169"/>
      <c r="AY110" s="169"/>
      <c r="BK110" s="4"/>
      <c r="BZ110" s="324"/>
      <c r="CB110" s="14"/>
      <c r="CC110" s="320"/>
      <c r="CD110" s="14"/>
      <c r="CE110" s="469"/>
      <c r="CF110" s="345"/>
      <c r="CG110" s="345"/>
      <c r="CH110" s="320"/>
      <c r="CI110" s="320"/>
      <c r="CJ110" s="346"/>
      <c r="CK110" s="346"/>
      <c r="CL110" s="346"/>
    </row>
    <row r="111" spans="1:90" ht="15" customHeight="1">
      <c r="B111" s="169"/>
      <c r="C111" s="535">
        <f t="shared" si="40"/>
        <v>4</v>
      </c>
      <c r="D111" s="477">
        <f>((q_k*$C111/2)*2)*'Hilfstabellen_Mat&amp;Bem'!D$92/2</f>
        <v>11.5</v>
      </c>
      <c r="E111" s="477">
        <f>((q_k*$C111/2)*2)*'Hilfstabellen_Mat&amp;Bem'!E$92/2</f>
        <v>12.19</v>
      </c>
      <c r="F111" s="477">
        <f>((q_k*$C111/2)*2)*'Hilfstabellen_Mat&amp;Bem'!F$92/2</f>
        <v>13.11</v>
      </c>
      <c r="G111" s="477">
        <f>((q_k*$C111/2)*2)*'Hilfstabellen_Mat&amp;Bem'!G$92/2</f>
        <v>13.799999999999999</v>
      </c>
      <c r="H111" s="477">
        <f>((q_k*$C111/2)*2)*'Hilfstabellen_Mat&amp;Bem'!H$92/2</f>
        <v>16.099999999999998</v>
      </c>
      <c r="I111" s="477">
        <f>((q_k*$C111/2)*2)*'Hilfstabellen_Mat&amp;Bem'!I$92/2</f>
        <v>18.399999999999999</v>
      </c>
      <c r="J111" s="477">
        <f>((q_k*$C111/2)*2)*'Hilfstabellen_Mat&amp;Bem'!J$92/2</f>
        <v>20.7</v>
      </c>
      <c r="K111" s="477">
        <f>((q_k*$C111/2)*2)*'Hilfstabellen_Mat&amp;Bem'!K$92/2</f>
        <v>23</v>
      </c>
      <c r="L111" s="477">
        <f>((q_k*$C111/2)*2)*'Hilfstabellen_Mat&amp;Bem'!L$92/2</f>
        <v>24.38</v>
      </c>
      <c r="M111" s="477">
        <f>((q_k*$C111/2)*2)*'Hilfstabellen_Mat&amp;Bem'!M$92/2</f>
        <v>26.22</v>
      </c>
      <c r="N111" s="477">
        <f>((q_k*$C111/2)*2)*'Hilfstabellen_Mat&amp;Bem'!N$92/2</f>
        <v>27.599999999999998</v>
      </c>
      <c r="O111" s="515"/>
      <c r="AX111" s="169"/>
      <c r="AY111" s="169"/>
      <c r="BK111" s="4"/>
      <c r="BZ111" s="324"/>
      <c r="CB111" s="14"/>
      <c r="CC111" s="320"/>
      <c r="CD111" s="14"/>
      <c r="CE111" s="469"/>
      <c r="CF111" s="345"/>
      <c r="CG111" s="345"/>
      <c r="CH111" s="320"/>
      <c r="CI111" s="320"/>
      <c r="CJ111" s="346"/>
      <c r="CK111" s="346"/>
      <c r="CL111" s="346"/>
    </row>
    <row r="112" spans="1:90" ht="15" customHeight="1">
      <c r="B112" s="169"/>
      <c r="C112" s="535">
        <f t="shared" si="40"/>
        <v>4.5</v>
      </c>
      <c r="D112" s="477">
        <f>((q_k*$C112/2)*2)*'Hilfstabellen_Mat&amp;Bem'!D$92/2</f>
        <v>12.9375</v>
      </c>
      <c r="E112" s="477">
        <f>((q_k*$C112/2)*2)*'Hilfstabellen_Mat&amp;Bem'!E$92/2</f>
        <v>13.713749999999999</v>
      </c>
      <c r="F112" s="477">
        <f>((q_k*$C112/2)*2)*'Hilfstabellen_Mat&amp;Bem'!F$92/2</f>
        <v>14.748749999999999</v>
      </c>
      <c r="G112" s="477">
        <f>((q_k*$C112/2)*2)*'Hilfstabellen_Mat&amp;Bem'!G$92/2</f>
        <v>15.524999999999999</v>
      </c>
      <c r="H112" s="477">
        <f>((q_k*$C112/2)*2)*'Hilfstabellen_Mat&amp;Bem'!H$92/2</f>
        <v>18.112500000000001</v>
      </c>
      <c r="I112" s="477">
        <f>((q_k*$C112/2)*2)*'Hilfstabellen_Mat&amp;Bem'!I$92/2</f>
        <v>20.7</v>
      </c>
      <c r="J112" s="477">
        <f>((q_k*$C112/2)*2)*'Hilfstabellen_Mat&amp;Bem'!J$92/2</f>
        <v>23.287499999999998</v>
      </c>
      <c r="K112" s="477">
        <f>((q_k*$C112/2)*2)*'Hilfstabellen_Mat&amp;Bem'!K$92/2</f>
        <v>25.875</v>
      </c>
      <c r="L112" s="477">
        <f>((q_k*$C112/2)*2)*'Hilfstabellen_Mat&amp;Bem'!L$92/2</f>
        <v>27.427499999999998</v>
      </c>
      <c r="M112" s="477">
        <f>((q_k*$C112/2)*2)*'Hilfstabellen_Mat&amp;Bem'!M$92/2</f>
        <v>29.497499999999999</v>
      </c>
      <c r="N112" s="477">
        <f>((q_k*$C112/2)*2)*'Hilfstabellen_Mat&amp;Bem'!N$92/2</f>
        <v>31.049999999999997</v>
      </c>
      <c r="O112" s="515"/>
      <c r="AH112" s="169"/>
      <c r="AX112" s="169"/>
      <c r="AY112" s="169"/>
      <c r="BK112" s="4"/>
      <c r="BZ112" s="324"/>
      <c r="CB112" s="14"/>
      <c r="CC112" s="320"/>
      <c r="CD112" s="14"/>
      <c r="CE112" s="469"/>
      <c r="CF112" s="345"/>
      <c r="CG112" s="345"/>
      <c r="CH112" s="320"/>
      <c r="CI112" s="320"/>
      <c r="CJ112" s="346"/>
      <c r="CK112" s="346"/>
      <c r="CL112" s="346"/>
    </row>
    <row r="113" spans="2:90" ht="15" customHeight="1">
      <c r="B113" s="169"/>
      <c r="C113" s="535">
        <f t="shared" si="40"/>
        <v>5</v>
      </c>
      <c r="D113" s="477">
        <f>((q_k*$C113/2)*2)*'Hilfstabellen_Mat&amp;Bem'!D$92/2</f>
        <v>14.375</v>
      </c>
      <c r="E113" s="477">
        <f>((q_k*$C113/2)*2)*'Hilfstabellen_Mat&amp;Bem'!E$92/2</f>
        <v>15.237499999999999</v>
      </c>
      <c r="F113" s="477">
        <f>((q_k*$C113/2)*2)*'Hilfstabellen_Mat&amp;Bem'!F$92/2</f>
        <v>16.387499999999999</v>
      </c>
      <c r="G113" s="477">
        <f>((q_k*$C113/2)*2)*'Hilfstabellen_Mat&amp;Bem'!G$92/2</f>
        <v>17.25</v>
      </c>
      <c r="H113" s="477">
        <f>((q_k*$C113/2)*2)*'Hilfstabellen_Mat&amp;Bem'!H$92/2</f>
        <v>20.125</v>
      </c>
      <c r="I113" s="477">
        <f>((q_k*$C113/2)*2)*'Hilfstabellen_Mat&amp;Bem'!I$92/2</f>
        <v>23</v>
      </c>
      <c r="J113" s="477">
        <f>((q_k*$C113/2)*2)*'Hilfstabellen_Mat&amp;Bem'!J$92/2</f>
        <v>25.875</v>
      </c>
      <c r="K113" s="477">
        <f>((q_k*$C113/2)*2)*'Hilfstabellen_Mat&amp;Bem'!K$92/2</f>
        <v>28.75</v>
      </c>
      <c r="L113" s="477">
        <f>((q_k*$C113/2)*2)*'Hilfstabellen_Mat&amp;Bem'!L$92/2</f>
        <v>30.474999999999998</v>
      </c>
      <c r="M113" s="477">
        <f>((q_k*$C113/2)*2)*'Hilfstabellen_Mat&amp;Bem'!M$92/2</f>
        <v>32.774999999999999</v>
      </c>
      <c r="N113" s="477">
        <f>((q_k*$C113/2)*2)*'Hilfstabellen_Mat&amp;Bem'!N$92/2</f>
        <v>34.5</v>
      </c>
      <c r="O113" s="515"/>
      <c r="P113" s="169"/>
      <c r="Q113" s="169"/>
      <c r="R113" s="169"/>
      <c r="S113" s="169"/>
      <c r="T113" s="169"/>
      <c r="U113" s="169"/>
      <c r="V113" s="169"/>
      <c r="W113" s="169"/>
      <c r="X113" s="169"/>
      <c r="Y113" s="169"/>
      <c r="Z113" s="169"/>
      <c r="AA113" s="169"/>
      <c r="AB113" s="169"/>
      <c r="AC113" s="169"/>
      <c r="AD113" s="169"/>
      <c r="AE113" s="169"/>
      <c r="AF113" s="169"/>
      <c r="AG113" s="169"/>
      <c r="AH113" s="169"/>
      <c r="AX113" s="169"/>
      <c r="AY113" s="169"/>
      <c r="BK113" s="4"/>
      <c r="BZ113" s="324"/>
      <c r="CB113" s="14"/>
      <c r="CC113" s="320"/>
      <c r="CD113" s="14"/>
      <c r="CE113" s="469"/>
      <c r="CF113" s="345"/>
      <c r="CG113" s="345"/>
      <c r="CH113" s="320"/>
      <c r="CI113" s="320"/>
      <c r="CJ113" s="346"/>
      <c r="CK113" s="346"/>
      <c r="CL113" s="346"/>
    </row>
    <row r="114" spans="2:90" ht="15" customHeight="1">
      <c r="B114" s="169"/>
      <c r="C114" s="535">
        <f>$D59</f>
        <v>5.3</v>
      </c>
      <c r="D114" s="477">
        <f>((q_k*$C114/2)*2)*'Hilfstabellen_Mat&amp;Bem'!D$92/2</f>
        <v>15.237499999999999</v>
      </c>
      <c r="E114" s="477">
        <f>((q_k*$C114/2)*2)*'Hilfstabellen_Mat&amp;Bem'!E$92/2</f>
        <v>16.15175</v>
      </c>
      <c r="F114" s="477">
        <f>((q_k*$C114/2)*2)*'Hilfstabellen_Mat&amp;Bem'!F$92/2</f>
        <v>17.370750000000001</v>
      </c>
      <c r="G114" s="477">
        <f>((q_k*$C114/2)*2)*'Hilfstabellen_Mat&amp;Bem'!G$92/2</f>
        <v>18.285</v>
      </c>
      <c r="H114" s="477">
        <f>((q_k*$C114/2)*2)*'Hilfstabellen_Mat&amp;Bem'!H$92/2</f>
        <v>21.3325</v>
      </c>
      <c r="I114" s="477">
        <f>((q_k*$C114/2)*2)*'Hilfstabellen_Mat&amp;Bem'!I$92/2</f>
        <v>24.38</v>
      </c>
      <c r="J114" s="477">
        <f>((q_k*$C114/2)*2)*'Hilfstabellen_Mat&amp;Bem'!J$92/2</f>
        <v>27.427499999999998</v>
      </c>
      <c r="K114" s="477">
        <f>((q_k*$C114/2)*2)*'Hilfstabellen_Mat&amp;Bem'!K$92/2</f>
        <v>30.474999999999998</v>
      </c>
      <c r="L114" s="477">
        <f>((q_k*$C114/2)*2)*'Hilfstabellen_Mat&amp;Bem'!L$92/2</f>
        <v>32.3035</v>
      </c>
      <c r="M114" s="477">
        <f>((q_k*$C114/2)*2)*'Hilfstabellen_Mat&amp;Bem'!M$92/2</f>
        <v>34.741500000000002</v>
      </c>
      <c r="N114" s="477">
        <f>((q_k*$C114/2)*2)*'Hilfstabellen_Mat&amp;Bem'!N$92/2</f>
        <v>36.57</v>
      </c>
      <c r="O114" s="515"/>
      <c r="P114" s="169"/>
      <c r="Q114" s="169"/>
      <c r="R114" s="169"/>
      <c r="S114" s="169"/>
      <c r="T114" s="169"/>
      <c r="U114" s="169"/>
      <c r="V114" s="169"/>
      <c r="W114" s="169"/>
      <c r="X114" s="169"/>
      <c r="Y114" s="169"/>
      <c r="Z114" s="169"/>
      <c r="AA114" s="169"/>
      <c r="AB114" s="169"/>
      <c r="AC114" s="169"/>
      <c r="AD114" s="169"/>
      <c r="AE114" s="169"/>
      <c r="AF114" s="169"/>
      <c r="AG114" s="169"/>
      <c r="AH114" s="169"/>
      <c r="AX114" s="169"/>
      <c r="AY114" s="169"/>
      <c r="BK114" s="4"/>
      <c r="BZ114" s="324"/>
      <c r="CB114" s="14"/>
      <c r="CC114" s="320"/>
      <c r="CD114" s="14"/>
      <c r="CE114" s="469"/>
      <c r="CF114" s="345"/>
      <c r="CG114" s="345"/>
      <c r="CH114" s="320"/>
      <c r="CI114" s="320"/>
      <c r="CJ114" s="346"/>
      <c r="CK114" s="346"/>
      <c r="CL114" s="346"/>
    </row>
    <row r="115" spans="2:90" ht="15" customHeight="1">
      <c r="B115" s="169"/>
      <c r="C115" s="535">
        <f>$D60</f>
        <v>5.7</v>
      </c>
      <c r="D115" s="477">
        <f>((q_k*$C115/2)*2)*'Hilfstabellen_Mat&amp;Bem'!D$92/2</f>
        <v>16.387499999999999</v>
      </c>
      <c r="E115" s="477">
        <f>((q_k*$C115/2)*2)*'Hilfstabellen_Mat&amp;Bem'!E$92/2</f>
        <v>17.370749999999997</v>
      </c>
      <c r="F115" s="477">
        <f>((q_k*$C115/2)*2)*'Hilfstabellen_Mat&amp;Bem'!F$92/2</f>
        <v>18.681750000000001</v>
      </c>
      <c r="G115" s="477">
        <f>((q_k*$C115/2)*2)*'Hilfstabellen_Mat&amp;Bem'!G$92/2</f>
        <v>19.664999999999999</v>
      </c>
      <c r="H115" s="477">
        <f>((q_k*$C115/2)*2)*'Hilfstabellen_Mat&amp;Bem'!H$92/2</f>
        <v>22.942499999999999</v>
      </c>
      <c r="I115" s="477">
        <f>((q_k*$C115/2)*2)*'Hilfstabellen_Mat&amp;Bem'!I$92/2</f>
        <v>26.22</v>
      </c>
      <c r="J115" s="477">
        <f>((q_k*$C115/2)*2)*'Hilfstabellen_Mat&amp;Bem'!J$92/2</f>
        <v>29.497499999999999</v>
      </c>
      <c r="K115" s="477">
        <f>((q_k*$C115/2)*2)*'Hilfstabellen_Mat&amp;Bem'!K$92/2</f>
        <v>32.774999999999999</v>
      </c>
      <c r="L115" s="477">
        <f>((q_k*$C115/2)*2)*'Hilfstabellen_Mat&amp;Bem'!L$92/2</f>
        <v>34.741499999999995</v>
      </c>
      <c r="M115" s="477">
        <f>((q_k*$C115/2)*2)*'Hilfstabellen_Mat&amp;Bem'!M$92/2</f>
        <v>37.363500000000002</v>
      </c>
      <c r="N115" s="477">
        <f>((q_k*$C115/2)*2)*'Hilfstabellen_Mat&amp;Bem'!N$92/2</f>
        <v>39.33</v>
      </c>
      <c r="O115" s="515"/>
      <c r="P115" s="169"/>
      <c r="Q115" s="169"/>
      <c r="R115" s="169"/>
      <c r="S115" s="169"/>
      <c r="T115" s="169"/>
      <c r="U115" s="169"/>
      <c r="V115" s="169"/>
      <c r="W115" s="169"/>
      <c r="X115" s="169"/>
      <c r="Y115" s="169"/>
      <c r="Z115" s="169"/>
      <c r="AA115" s="169"/>
      <c r="AB115" s="169"/>
      <c r="AC115" s="169"/>
      <c r="AD115" s="169"/>
      <c r="AE115" s="169"/>
      <c r="AF115" s="169"/>
      <c r="AG115" s="169"/>
      <c r="AH115" s="169"/>
      <c r="AX115" s="169"/>
      <c r="AY115" s="169"/>
      <c r="BK115" s="4"/>
      <c r="BZ115" s="324"/>
      <c r="CB115" s="14"/>
      <c r="CC115" s="320"/>
      <c r="CD115" s="14"/>
      <c r="CE115" s="469"/>
      <c r="CF115" s="345"/>
      <c r="CG115" s="345"/>
      <c r="CH115" s="320"/>
      <c r="CI115" s="320"/>
      <c r="CJ115" s="346"/>
      <c r="CK115" s="346"/>
      <c r="CL115" s="346"/>
    </row>
    <row r="116" spans="2:90" ht="15" customHeight="1">
      <c r="B116" s="169"/>
      <c r="C116" s="535">
        <f>$D61</f>
        <v>6</v>
      </c>
      <c r="D116" s="477">
        <f>((q_k*$C116/2)*2)*'Hilfstabellen_Mat&amp;Bem'!D$92/2</f>
        <v>17.25</v>
      </c>
      <c r="E116" s="477">
        <f>((q_k*$C116/2)*2)*'Hilfstabellen_Mat&amp;Bem'!E$92/2</f>
        <v>18.284999999999997</v>
      </c>
      <c r="F116" s="477">
        <f>((q_k*$C116/2)*2)*'Hilfstabellen_Mat&amp;Bem'!F$92/2</f>
        <v>19.664999999999999</v>
      </c>
      <c r="G116" s="477">
        <f>((q_k*$C116/2)*2)*'Hilfstabellen_Mat&amp;Bem'!G$92/2</f>
        <v>20.7</v>
      </c>
      <c r="H116" s="477">
        <f>((q_k*$C116/2)*2)*'Hilfstabellen_Mat&amp;Bem'!H$92/2</f>
        <v>24.15</v>
      </c>
      <c r="I116" s="477">
        <f>((q_k*$C116/2)*2)*'Hilfstabellen_Mat&amp;Bem'!I$92/2</f>
        <v>27.599999999999998</v>
      </c>
      <c r="J116" s="477">
        <f>((q_k*$C116/2)*2)*'Hilfstabellen_Mat&amp;Bem'!J$92/2</f>
        <v>31.049999999999997</v>
      </c>
      <c r="K116" s="477">
        <f>((q_k*$C116/2)*2)*'Hilfstabellen_Mat&amp;Bem'!K$92/2</f>
        <v>34.5</v>
      </c>
      <c r="L116" s="477">
        <f>((q_k*$C116/2)*2)*'Hilfstabellen_Mat&amp;Bem'!L$92/2</f>
        <v>36.569999999999993</v>
      </c>
      <c r="M116" s="477">
        <f>((q_k*$C116/2)*2)*'Hilfstabellen_Mat&amp;Bem'!M$92/2</f>
        <v>39.33</v>
      </c>
      <c r="N116" s="477">
        <f>((q_k*$C116/2)*2)*'Hilfstabellen_Mat&amp;Bem'!N$92/2</f>
        <v>41.4</v>
      </c>
      <c r="O116" s="515"/>
      <c r="P116" s="169"/>
      <c r="Q116" s="169"/>
      <c r="R116" s="169"/>
      <c r="S116" s="169"/>
      <c r="T116" s="169"/>
      <c r="U116" s="169"/>
      <c r="V116" s="169"/>
      <c r="W116" s="169"/>
      <c r="X116" s="169"/>
      <c r="Y116" s="169"/>
      <c r="Z116" s="169"/>
      <c r="AA116" s="169"/>
      <c r="AB116" s="169"/>
      <c r="AC116" s="169"/>
      <c r="AD116" s="169"/>
      <c r="AE116" s="169"/>
      <c r="AF116" s="169"/>
      <c r="AG116" s="169"/>
      <c r="AH116" s="169"/>
      <c r="AX116" s="169"/>
      <c r="AY116" s="169"/>
      <c r="BK116" s="4"/>
      <c r="BZ116" s="324"/>
      <c r="CB116" s="14"/>
      <c r="CC116" s="320"/>
      <c r="CD116" s="14"/>
      <c r="CE116" s="469"/>
      <c r="CF116" s="345"/>
      <c r="CG116" s="345"/>
      <c r="CH116" s="320"/>
      <c r="CI116" s="320"/>
      <c r="CJ116" s="346"/>
      <c r="CK116" s="346"/>
      <c r="CL116" s="346"/>
    </row>
    <row r="117" spans="2:90" ht="15" customHeight="1">
      <c r="B117" s="169"/>
      <c r="C117" s="516"/>
      <c r="O117" s="515"/>
      <c r="P117" s="169"/>
      <c r="Q117" s="169"/>
      <c r="R117" s="169"/>
      <c r="S117" s="169"/>
      <c r="T117" s="169"/>
      <c r="U117" s="169"/>
      <c r="V117" s="169"/>
      <c r="W117" s="169"/>
      <c r="X117" s="491" t="s">
        <v>961</v>
      </c>
      <c r="Y117" s="169"/>
      <c r="Z117" s="169"/>
      <c r="AA117" s="169"/>
      <c r="AB117" s="169"/>
      <c r="AC117" s="169"/>
      <c r="AD117" s="169"/>
      <c r="AE117" s="169"/>
      <c r="AF117" s="169"/>
      <c r="AG117" s="169"/>
      <c r="AH117" s="169"/>
      <c r="AX117" s="169"/>
      <c r="AY117" s="169"/>
      <c r="BK117" s="4"/>
      <c r="BZ117" s="324"/>
      <c r="CB117" s="14"/>
      <c r="CC117" s="320"/>
      <c r="CD117" s="14"/>
      <c r="CE117" s="469"/>
      <c r="CF117" s="345"/>
      <c r="CG117" s="345"/>
      <c r="CH117" s="320"/>
      <c r="CI117" s="320"/>
      <c r="CJ117" s="346"/>
      <c r="CK117" s="346"/>
      <c r="CL117" s="346"/>
    </row>
    <row r="118" spans="2:90" ht="15" customHeight="1">
      <c r="B118" s="169"/>
      <c r="C118" s="527" t="s">
        <v>1496</v>
      </c>
      <c r="D118" s="528">
        <f>D92</f>
        <v>2.5</v>
      </c>
      <c r="E118" s="528">
        <f t="shared" ref="E118:K118" si="41">E92</f>
        <v>2.65</v>
      </c>
      <c r="F118" s="528">
        <f t="shared" si="41"/>
        <v>2.85</v>
      </c>
      <c r="G118" s="528">
        <f t="shared" si="41"/>
        <v>3</v>
      </c>
      <c r="H118" s="528">
        <f t="shared" si="41"/>
        <v>3.5</v>
      </c>
      <c r="I118" s="528">
        <f t="shared" si="41"/>
        <v>4</v>
      </c>
      <c r="J118" s="528">
        <f t="shared" si="41"/>
        <v>4.5</v>
      </c>
      <c r="K118" s="528">
        <f t="shared" si="41"/>
        <v>5</v>
      </c>
      <c r="L118" s="528">
        <f>L92</f>
        <v>5.3</v>
      </c>
      <c r="M118" s="528">
        <f>M92</f>
        <v>5.7</v>
      </c>
      <c r="N118" s="528">
        <f>N92</f>
        <v>6</v>
      </c>
      <c r="O118" s="515"/>
      <c r="P118" s="169"/>
      <c r="Q118" s="169"/>
      <c r="R118" s="169"/>
      <c r="S118" s="169"/>
      <c r="T118" s="169"/>
      <c r="U118" s="169"/>
      <c r="V118" s="169"/>
      <c r="W118" s="169"/>
      <c r="X118" s="169"/>
      <c r="Y118" s="169"/>
      <c r="Z118" s="169"/>
      <c r="AA118" s="169"/>
      <c r="AB118" s="169"/>
      <c r="AC118" s="169"/>
      <c r="AD118" s="169"/>
      <c r="AE118" s="169"/>
      <c r="AF118" s="169"/>
      <c r="AG118" s="169"/>
      <c r="AH118" s="169"/>
      <c r="AX118" s="169"/>
      <c r="AY118" s="169"/>
      <c r="BK118" s="4"/>
      <c r="BZ118" s="324"/>
      <c r="CB118" s="14"/>
      <c r="CC118" s="320"/>
      <c r="CD118" s="14"/>
      <c r="CE118" s="469"/>
      <c r="CF118" s="345"/>
      <c r="CG118" s="345"/>
      <c r="CH118" s="320"/>
      <c r="CI118" s="320"/>
      <c r="CJ118" s="346"/>
      <c r="CK118" s="346"/>
      <c r="CL118" s="346"/>
    </row>
    <row r="119" spans="2:90" ht="15" customHeight="1">
      <c r="B119" s="169"/>
      <c r="C119" s="529">
        <f t="shared" ref="C119:C126" si="42">$D51</f>
        <v>2.5</v>
      </c>
      <c r="D119" s="477">
        <f t="shared" ref="D119:K126" ca="1" si="43">(1.35*D93+1.5*D106)</f>
        <v>26.795625000000001</v>
      </c>
      <c r="E119" s="477">
        <f t="shared" ca="1" si="43"/>
        <v>28.4033625</v>
      </c>
      <c r="F119" s="477">
        <f t="shared" ca="1" si="43"/>
        <v>30.639352500000001</v>
      </c>
      <c r="G119" s="477">
        <f t="shared" ca="1" si="43"/>
        <v>32.251950000000001</v>
      </c>
      <c r="H119" s="477">
        <f t="shared" ca="1" si="43"/>
        <v>37.740675000000003</v>
      </c>
      <c r="I119" s="477">
        <f t="shared" ca="1" si="43"/>
        <v>43.261800000000001</v>
      </c>
      <c r="J119" s="477">
        <f t="shared" ca="1" si="43"/>
        <v>48.815325000000001</v>
      </c>
      <c r="K119" s="477">
        <f t="shared" ca="1" si="43"/>
        <v>54.563250000000004</v>
      </c>
      <c r="L119" s="477">
        <f t="shared" ref="L119:N126" ca="1" si="44">(1.35*L93+1.5*L106)</f>
        <v>58.008765000000011</v>
      </c>
      <c r="M119" s="477">
        <f t="shared" ca="1" si="44"/>
        <v>62.571465000000003</v>
      </c>
      <c r="N119" s="477">
        <f t="shared" ca="1" si="44"/>
        <v>66.059100000000001</v>
      </c>
      <c r="O119" s="515"/>
      <c r="P119" s="169"/>
      <c r="Q119" s="169"/>
      <c r="R119" s="169"/>
      <c r="S119" s="169"/>
      <c r="T119" s="169"/>
      <c r="U119" s="169"/>
      <c r="V119" s="169"/>
      <c r="W119" s="169"/>
      <c r="Y119" s="542">
        <f t="shared" ref="Y119:AI119" si="45">D$118</f>
        <v>2.5</v>
      </c>
      <c r="Z119" s="542">
        <f t="shared" si="45"/>
        <v>2.65</v>
      </c>
      <c r="AA119" s="542">
        <f t="shared" si="45"/>
        <v>2.85</v>
      </c>
      <c r="AB119" s="542">
        <f t="shared" si="45"/>
        <v>3</v>
      </c>
      <c r="AC119" s="542">
        <f t="shared" si="45"/>
        <v>3.5</v>
      </c>
      <c r="AD119" s="542">
        <f t="shared" si="45"/>
        <v>4</v>
      </c>
      <c r="AE119" s="542">
        <f t="shared" si="45"/>
        <v>4.5</v>
      </c>
      <c r="AF119" s="542">
        <f t="shared" si="45"/>
        <v>5</v>
      </c>
      <c r="AG119" s="542">
        <f t="shared" si="45"/>
        <v>5.3</v>
      </c>
      <c r="AH119" s="542">
        <f t="shared" si="45"/>
        <v>5.7</v>
      </c>
      <c r="AI119" s="542">
        <f t="shared" si="45"/>
        <v>6</v>
      </c>
      <c r="AX119" s="169"/>
      <c r="AY119" s="169"/>
      <c r="BK119" s="4"/>
      <c r="BZ119" s="324"/>
      <c r="CB119" s="14"/>
      <c r="CC119" s="320"/>
      <c r="CD119" s="14"/>
      <c r="CE119" s="469"/>
      <c r="CF119" s="345"/>
      <c r="CG119" s="345"/>
      <c r="CH119" s="320"/>
      <c r="CI119" s="320"/>
      <c r="CJ119" s="346"/>
      <c r="CK119" s="346"/>
      <c r="CL119" s="346"/>
    </row>
    <row r="120" spans="2:90" ht="15" customHeight="1">
      <c r="B120" s="169"/>
      <c r="C120" s="529">
        <f t="shared" si="42"/>
        <v>2.65</v>
      </c>
      <c r="D120" s="477">
        <f t="shared" ca="1" si="43"/>
        <v>28.379062500000003</v>
      </c>
      <c r="E120" s="477">
        <f t="shared" ca="1" si="43"/>
        <v>30.08180625</v>
      </c>
      <c r="F120" s="477">
        <f t="shared" ca="1" si="43"/>
        <v>32.444471250000007</v>
      </c>
      <c r="G120" s="477">
        <f t="shared" ca="1" si="43"/>
        <v>34.152075000000004</v>
      </c>
      <c r="H120" s="477">
        <f t="shared" ca="1" si="43"/>
        <v>39.957487499999999</v>
      </c>
      <c r="I120" s="477">
        <f t="shared" ca="1" si="43"/>
        <v>45.795299999999997</v>
      </c>
      <c r="J120" s="477">
        <f t="shared" ca="1" si="43"/>
        <v>51.8113125</v>
      </c>
      <c r="K120" s="477">
        <f t="shared" ca="1" si="43"/>
        <v>57.730125000000001</v>
      </c>
      <c r="L120" s="477">
        <f t="shared" ca="1" si="44"/>
        <v>61.365652499999996</v>
      </c>
      <c r="M120" s="477">
        <f t="shared" ca="1" si="44"/>
        <v>66.1817025</v>
      </c>
      <c r="N120" s="477">
        <f t="shared" ca="1" si="44"/>
        <v>69.859350000000006</v>
      </c>
      <c r="O120" s="515"/>
      <c r="P120" s="169"/>
      <c r="Q120" s="169"/>
      <c r="R120" s="169"/>
      <c r="S120" s="169"/>
      <c r="T120" s="169"/>
      <c r="U120" s="169"/>
      <c r="V120" s="169"/>
      <c r="W120" s="169"/>
      <c r="X120" s="407" t="s">
        <v>989</v>
      </c>
      <c r="Y120" s="555">
        <f ca="1">(INDEX($C$118:$N$126,MATCH('Rasterbemessung DE UZ ST'!$D$14,'Hilfstabellen_Mat&amp;Bem'!$C$118:$C$126,0),MATCH('Hilfstabellen_Mat&amp;Bem'!Y$119,'Hilfstabellen_Mat&amp;Bem'!$C$118:$N$118,0))*2*10^3*n_GESCHOSSE)*gamma_m/
(k_mod*'Hilfstabellen_Mat&amp;Bem'!f.Rd.3)</f>
        <v>20644.482421875004</v>
      </c>
      <c r="Z120" s="555">
        <f ca="1">(INDEX($C$118:$N$126,MATCH('Rasterbemessung DE UZ ST'!$D$14,'Hilfstabellen_Mat&amp;Bem'!$C$118:$C$126,0),MATCH('Hilfstabellen_Mat&amp;Bem'!Z$119,'Hilfstabellen_Mat&amp;Bem'!$C$118:$N$118,0))*2*10^3*n_GESCHOSSE)*gamma_m/
(k_mod*'Hilfstabellen_Mat&amp;Bem'!f.Rd.3)</f>
        <v>21883.1513671875</v>
      </c>
      <c r="AA120" s="555">
        <f ca="1">(INDEX($C$118:$N$126,MATCH('Rasterbemessung DE UZ ST'!$D$14,'Hilfstabellen_Mat&amp;Bem'!$C$118:$C$126,0),MATCH('Hilfstabellen_Mat&amp;Bem'!AA$119,'Hilfstabellen_Mat&amp;Bem'!$C$118:$N$118,0))*2*10^3*n_GESCHOSSE)*gamma_m/
(k_mod*'Hilfstabellen_Mat&amp;Bem'!f.Rd.3)</f>
        <v>23597.231835937502</v>
      </c>
      <c r="AB120" s="555">
        <f ca="1">(INDEX($C$118:$N$126,MATCH('Rasterbemessung DE UZ ST'!$D$14,'Hilfstabellen_Mat&amp;Bem'!$C$118:$C$126,0),MATCH('Hilfstabellen_Mat&amp;Bem'!AB$119,'Hilfstabellen_Mat&amp;Bem'!$C$118:$N$118,0))*2*10^3*n_GESCHOSSE)*gamma_m/
(k_mod*'Hilfstabellen_Mat&amp;Bem'!f.Rd.3)</f>
        <v>24839.19140625</v>
      </c>
      <c r="AC120" s="555">
        <f ca="1">(INDEX($C$118:$N$126,MATCH('Rasterbemessung DE UZ ST'!$D$14,'Hilfstabellen_Mat&amp;Bem'!$C$118:$C$126,0),MATCH('Hilfstabellen_Mat&amp;Bem'!AC$119,'Hilfstabellen_Mat&amp;Bem'!$C$118:$N$118,0))*2*10^3*n_GESCHOSSE)*gamma_m/
(k_mod*'Hilfstabellen_Mat&amp;Bem'!f.Rd.3)</f>
        <v>29055.837890625004</v>
      </c>
      <c r="AD120" s="555">
        <f ca="1">(INDEX($C$118:$N$126,MATCH('Rasterbemessung DE UZ ST'!$D$14,'Hilfstabellen_Mat&amp;Bem'!$C$118:$C$126,0),MATCH('Hilfstabellen_Mat&amp;Bem'!AD$119,'Hilfstabellen_Mat&amp;Bem'!$C$118:$N$118,0))*2*10^3*n_GESCHOSSE)*gamma_m/
(k_mod*'Hilfstabellen_Mat&amp;Bem'!f.Rd.3)</f>
        <v>33294.421875</v>
      </c>
      <c r="AE120" s="555">
        <f ca="1">(INDEX($C$118:$N$126,MATCH('Rasterbemessung DE UZ ST'!$D$14,'Hilfstabellen_Mat&amp;Bem'!$C$118:$C$126,0),MATCH('Hilfstabellen_Mat&amp;Bem'!AE$119,'Hilfstabellen_Mat&amp;Bem'!$C$118:$N$118,0))*2*10^3*n_GESCHOSSE)*gamma_m/
(k_mod*'Hilfstabellen_Mat&amp;Bem'!f.Rd.3)</f>
        <v>37653.662109375007</v>
      </c>
      <c r="AF120" s="555">
        <f ca="1">(INDEX($C$118:$N$126,MATCH('Rasterbemessung DE UZ ST'!$D$14,'Hilfstabellen_Mat&amp;Bem'!$C$118:$C$126,0),MATCH('Hilfstabellen_Mat&amp;Bem'!AF$119,'Hilfstabellen_Mat&amp;Bem'!$C$118:$N$118,0))*2*10^3*n_GESCHOSSE)*gamma_m/
(k_mod*'Hilfstabellen_Mat&amp;Bem'!f.Rd.3)</f>
        <v>41947.089843750007</v>
      </c>
      <c r="AG120" s="555">
        <f ca="1">(INDEX($C$118:$N$126,MATCH('Rasterbemessung DE UZ ST'!$D$14,'Hilfstabellen_Mat&amp;Bem'!$C$118:$C$126,0),MATCH('Hilfstabellen_Mat&amp;Bem'!AG$119,'Hilfstabellen_Mat&amp;Bem'!$C$118:$N$118,0))*2*10^3*n_GESCHOSSE)*gamma_m/
(k_mod*'Hilfstabellen_Mat&amp;Bem'!f.Rd.3)</f>
        <v>44580.183984374999</v>
      </c>
      <c r="AH120" s="555">
        <f ca="1">(INDEX($C$118:$N$126,MATCH('Rasterbemessung DE UZ ST'!$D$14,'Hilfstabellen_Mat&amp;Bem'!$C$118:$C$126,0),MATCH('Hilfstabellen_Mat&amp;Bem'!AH$119,'Hilfstabellen_Mat&amp;Bem'!$C$118:$N$118,0))*2*10^3*n_GESCHOSSE)*gamma_m/
(k_mod*'Hilfstabellen_Mat&amp;Bem'!f.Rd.3)</f>
        <v>48069.769921875006</v>
      </c>
      <c r="AI120" s="555">
        <f ca="1">(INDEX($C$118:$N$126,MATCH('Rasterbemessung DE UZ ST'!$D$14,'Hilfstabellen_Mat&amp;Bem'!$C$118:$C$126,0),MATCH('Hilfstabellen_Mat&amp;Bem'!AI$119,'Hilfstabellen_Mat&amp;Bem'!$C$118:$N$118,0))*2*10^3*n_GESCHOSSE)*gamma_m/
(k_mod*'Hilfstabellen_Mat&amp;Bem'!f.Rd.3)</f>
        <v>50731.382812500007</v>
      </c>
      <c r="AX120" s="169"/>
      <c r="AY120" s="169"/>
      <c r="BK120" s="4"/>
      <c r="BZ120" s="324"/>
      <c r="CB120" s="14"/>
      <c r="CC120" s="320"/>
      <c r="CD120" s="14"/>
      <c r="CE120" s="469"/>
      <c r="CF120" s="345"/>
      <c r="CG120" s="345"/>
      <c r="CH120" s="320"/>
      <c r="CI120" s="320"/>
      <c r="CJ120" s="346"/>
      <c r="CK120" s="346"/>
      <c r="CL120" s="346"/>
    </row>
    <row r="121" spans="2:90" ht="15" customHeight="1">
      <c r="B121" s="169"/>
      <c r="C121" s="529">
        <f t="shared" si="42"/>
        <v>2.85</v>
      </c>
      <c r="D121" s="477">
        <f t="shared" ca="1" si="43"/>
        <v>30.490312500000005</v>
      </c>
      <c r="E121" s="477">
        <f t="shared" ca="1" si="43"/>
        <v>32.319731250000004</v>
      </c>
      <c r="F121" s="477">
        <f t="shared" ca="1" si="43"/>
        <v>34.851296250000004</v>
      </c>
      <c r="G121" s="477">
        <f t="shared" ca="1" si="43"/>
        <v>36.685575000000007</v>
      </c>
      <c r="H121" s="477">
        <f t="shared" ca="1" si="43"/>
        <v>42.913237500000008</v>
      </c>
      <c r="I121" s="477">
        <f t="shared" ca="1" si="43"/>
        <v>49.173300000000012</v>
      </c>
      <c r="J121" s="477">
        <f t="shared" ca="1" si="43"/>
        <v>55.611562500000005</v>
      </c>
      <c r="K121" s="477">
        <f t="shared" ca="1" si="43"/>
        <v>61.952625000000005</v>
      </c>
      <c r="L121" s="477">
        <f t="shared" ca="1" si="44"/>
        <v>65.841502500000004</v>
      </c>
      <c r="M121" s="477">
        <f t="shared" ca="1" si="44"/>
        <v>70.99535250000001</v>
      </c>
      <c r="N121" s="477">
        <f t="shared" ca="1" si="44"/>
        <v>74.926350000000014</v>
      </c>
      <c r="O121" s="515"/>
      <c r="P121" s="169"/>
      <c r="Q121" s="169"/>
      <c r="R121" s="169"/>
      <c r="S121" s="169"/>
      <c r="T121" s="169"/>
      <c r="V121" s="498" t="s">
        <v>982</v>
      </c>
      <c r="W121" s="169"/>
      <c r="X121" s="554">
        <f>J51</f>
        <v>2.8</v>
      </c>
      <c r="Y121" s="555">
        <f ca="1">INDEX('kc-Wert für Stützen'!$C:$C,MATCH('Hilfstabellen_Mat&amp;Bem'!Y$120,'kc-Wert für Stützen'!$I:$I,1)+1)</f>
        <v>161</v>
      </c>
      <c r="Z121" s="555">
        <f ca="1">INDEX('kc-Wert für Stützen'!$C:$C,MATCH('Hilfstabellen_Mat&amp;Bem'!Z$120,'kc-Wert für Stützen'!$I:$I,1)+1)</f>
        <v>165</v>
      </c>
      <c r="AA121" s="555">
        <f ca="1">INDEX('kc-Wert für Stützen'!$C:$C,MATCH('Hilfstabellen_Mat&amp;Bem'!AA$120,'kc-Wert für Stützen'!$I:$I,1)+1)</f>
        <v>169</v>
      </c>
      <c r="AB121" s="555">
        <f ca="1">INDEX('kc-Wert für Stützen'!$C:$C,MATCH('Hilfstabellen_Mat&amp;Bem'!AB$120,'kc-Wert für Stützen'!$I:$I,1)+1)</f>
        <v>172</v>
      </c>
      <c r="AC121" s="555">
        <f ca="1">INDEX('kc-Wert für Stützen'!$C:$C,MATCH('Hilfstabellen_Mat&amp;Bem'!AC$120,'kc-Wert für Stützen'!$I:$I,1)+1)</f>
        <v>183</v>
      </c>
      <c r="AD121" s="555">
        <f ca="1">INDEX('kc-Wert für Stützen'!$C:$C,MATCH('Hilfstabellen_Mat&amp;Bem'!AD$120,'kc-Wert für Stützen'!$I:$I,1)+1)</f>
        <v>193</v>
      </c>
      <c r="AE121" s="555">
        <f ca="1">INDEX('kc-Wert für Stützen'!$C:$C,MATCH('Hilfstabellen_Mat&amp;Bem'!AE$120,'kc-Wert für Stützen'!$I:$I,1)+1)</f>
        <v>204</v>
      </c>
      <c r="AF121" s="555">
        <f ca="1">INDEX('kc-Wert für Stützen'!$C:$C,MATCH('Hilfstabellen_Mat&amp;Bem'!AF$120,'kc-Wert für Stützen'!$I:$I,1)+1)</f>
        <v>214</v>
      </c>
      <c r="AG121" s="555">
        <f ca="1">INDEX('kc-Wert für Stützen'!$C:$C,MATCH('Hilfstabellen_Mat&amp;Bem'!AG$120,'kc-Wert für Stützen'!$I:$I,1)+1)</f>
        <v>219</v>
      </c>
      <c r="AH121" s="555">
        <f ca="1">INDEX('kc-Wert für Stützen'!$C:$C,MATCH('Hilfstabellen_Mat&amp;Bem'!AH$120,'kc-Wert für Stützen'!$I:$I,1)+1)</f>
        <v>227</v>
      </c>
      <c r="AI121" s="555">
        <f ca="1">INDEX('kc-Wert für Stützen'!$C:$C,MATCH('Hilfstabellen_Mat&amp;Bem'!AI$120,'kc-Wert für Stützen'!$I:$I,1)+1)</f>
        <v>233</v>
      </c>
      <c r="AX121" s="169"/>
      <c r="AY121" s="169"/>
      <c r="BK121" s="4"/>
      <c r="BZ121" s="324"/>
      <c r="CB121" s="14"/>
      <c r="CC121" s="320"/>
      <c r="CD121" s="14"/>
      <c r="CE121" s="469"/>
      <c r="CF121" s="345"/>
      <c r="CG121" s="345"/>
      <c r="CH121" s="320"/>
      <c r="CI121" s="320"/>
      <c r="CJ121" s="346"/>
      <c r="CK121" s="346"/>
      <c r="CL121" s="346"/>
    </row>
    <row r="122" spans="2:90" ht="15" customHeight="1">
      <c r="B122" s="169"/>
      <c r="C122" s="529">
        <f t="shared" si="42"/>
        <v>3</v>
      </c>
      <c r="D122" s="477">
        <f t="shared" ca="1" si="43"/>
        <v>32.073750000000004</v>
      </c>
      <c r="E122" s="477">
        <f t="shared" ca="1" si="43"/>
        <v>34.084035</v>
      </c>
      <c r="F122" s="477">
        <f t="shared" ca="1" si="43"/>
        <v>36.656415000000003</v>
      </c>
      <c r="G122" s="477">
        <f t="shared" ca="1" si="43"/>
        <v>38.585700000000003</v>
      </c>
      <c r="H122" s="477">
        <f t="shared" ca="1" si="43"/>
        <v>45.130049999999997</v>
      </c>
      <c r="I122" s="477">
        <f t="shared" ca="1" si="43"/>
        <v>51.836400000000005</v>
      </c>
      <c r="J122" s="477">
        <f t="shared" ca="1" si="43"/>
        <v>58.461750000000009</v>
      </c>
      <c r="K122" s="477">
        <f t="shared" ca="1" si="43"/>
        <v>65.119500000000016</v>
      </c>
      <c r="L122" s="477">
        <f t="shared" ca="1" si="44"/>
        <v>69.198390000000003</v>
      </c>
      <c r="M122" s="477">
        <f t="shared" ca="1" si="44"/>
        <v>74.605590000000021</v>
      </c>
      <c r="N122" s="477">
        <f t="shared" ca="1" si="44"/>
        <v>78.726600000000005</v>
      </c>
      <c r="O122" s="515"/>
      <c r="P122" s="169"/>
      <c r="Q122" s="169"/>
      <c r="R122" s="169"/>
      <c r="S122" s="169"/>
      <c r="T122" s="169"/>
      <c r="U122" s="169"/>
      <c r="V122" s="169"/>
      <c r="W122" s="169"/>
      <c r="X122" s="554">
        <f>J52</f>
        <v>2.9</v>
      </c>
      <c r="Y122" s="555">
        <f ca="1">INDEX('kc-Wert für Stützen'!$M:$M,MATCH('Hilfstabellen_Mat&amp;Bem'!Y$120,'kc-Wert für Stützen'!$S:$S,1)+1)</f>
        <v>163</v>
      </c>
      <c r="Z122" s="555">
        <f ca="1">INDEX('kc-Wert für Stützen'!$M:$M,MATCH('Hilfstabellen_Mat&amp;Bem'!Z$120,'kc-Wert für Stützen'!$S:$S,1)+1)</f>
        <v>166</v>
      </c>
      <c r="AA122" s="555">
        <f ca="1">INDEX('kc-Wert für Stützen'!$M:$M,MATCH('Hilfstabellen_Mat&amp;Bem'!AA$120,'kc-Wert für Stützen'!$S:$S,1)+1)</f>
        <v>171</v>
      </c>
      <c r="AB122" s="555">
        <f ca="1">INDEX('kc-Wert für Stützen'!$M:$M,MATCH('Hilfstabellen_Mat&amp;Bem'!AB$120,'kc-Wert für Stützen'!$S:$S,1)+1)</f>
        <v>174</v>
      </c>
      <c r="AC122" s="555">
        <f ca="1">INDEX('kc-Wert für Stützen'!$M:$M,MATCH('Hilfstabellen_Mat&amp;Bem'!AC$120,'kc-Wert für Stützen'!$S:$S,1)+1)</f>
        <v>184</v>
      </c>
      <c r="AD122" s="555">
        <f ca="1">INDEX('kc-Wert für Stützen'!$M:$M,MATCH('Hilfstabellen_Mat&amp;Bem'!AD$120,'kc-Wert für Stützen'!$S:$S,1)+1)</f>
        <v>195</v>
      </c>
      <c r="AE122" s="555">
        <f ca="1">INDEX('kc-Wert für Stützen'!$M:$M,MATCH('Hilfstabellen_Mat&amp;Bem'!AE$120,'kc-Wert für Stützen'!$S:$S,1)+1)</f>
        <v>205</v>
      </c>
      <c r="AF122" s="555">
        <f ca="1">INDEX('kc-Wert für Stützen'!$M:$M,MATCH('Hilfstabellen_Mat&amp;Bem'!AF$120,'kc-Wert für Stützen'!$S:$S,1)+1)</f>
        <v>214</v>
      </c>
      <c r="AG122" s="555">
        <f ca="1">INDEX('kc-Wert für Stützen'!$M:$M,MATCH('Hilfstabellen_Mat&amp;Bem'!AG$120,'kc-Wert für Stützen'!$S:$S,1)+1)</f>
        <v>220</v>
      </c>
      <c r="AH122" s="555">
        <f ca="1">INDEX('kc-Wert für Stützen'!$M:$M,MATCH('Hilfstabellen_Mat&amp;Bem'!AH$120,'kc-Wert für Stützen'!$S:$S,1)+1)</f>
        <v>228</v>
      </c>
      <c r="AI122" s="555">
        <f ca="1">INDEX('kc-Wert für Stützen'!$M:$M,MATCH('Hilfstabellen_Mat&amp;Bem'!AI$120,'kc-Wert für Stützen'!$S:$S,1)+1)</f>
        <v>233</v>
      </c>
      <c r="AJ122" s="169"/>
      <c r="AK122" s="169"/>
      <c r="AL122" s="169"/>
      <c r="AM122" s="169"/>
      <c r="AN122" s="169"/>
      <c r="AO122" s="169"/>
      <c r="AP122" s="169"/>
      <c r="AQ122" s="169"/>
      <c r="AR122" s="169"/>
      <c r="AS122" s="169"/>
      <c r="AT122" s="169"/>
      <c r="AU122" s="169"/>
      <c r="AV122" s="169"/>
      <c r="AW122" s="169"/>
      <c r="AX122" s="169"/>
      <c r="AY122" s="169"/>
      <c r="BK122" s="4"/>
      <c r="BZ122" s="324"/>
      <c r="CB122" s="14"/>
      <c r="CC122" s="320"/>
      <c r="CD122" s="14"/>
      <c r="CE122" s="469"/>
      <c r="CF122" s="345"/>
      <c r="CG122" s="345"/>
      <c r="CH122" s="320"/>
      <c r="CI122" s="320"/>
      <c r="CJ122" s="346"/>
      <c r="CK122" s="346"/>
      <c r="CL122" s="346"/>
    </row>
    <row r="123" spans="2:90" ht="15" customHeight="1">
      <c r="B123" s="169"/>
      <c r="C123" s="529">
        <f t="shared" si="42"/>
        <v>3.5</v>
      </c>
      <c r="D123" s="477">
        <f t="shared" ca="1" si="43"/>
        <v>38.023499999999999</v>
      </c>
      <c r="E123" s="477">
        <f t="shared" ca="1" si="43"/>
        <v>40.304909999999992</v>
      </c>
      <c r="F123" s="477">
        <f t="shared" ca="1" si="43"/>
        <v>43.346789999999999</v>
      </c>
      <c r="G123" s="477">
        <f t="shared" ca="1" si="43"/>
        <v>45.7254</v>
      </c>
      <c r="H123" s="477">
        <f t="shared" ca="1" si="43"/>
        <v>53.459699999999998</v>
      </c>
      <c r="I123" s="477">
        <f t="shared" ca="1" si="43"/>
        <v>61.226399999999998</v>
      </c>
      <c r="J123" s="477">
        <f t="shared" ca="1" si="43"/>
        <v>69.025499999999994</v>
      </c>
      <c r="K123" s="477">
        <f t="shared" ca="1" si="43"/>
        <v>77.018999999999991</v>
      </c>
      <c r="L123" s="477">
        <f t="shared" ca="1" si="44"/>
        <v>81.811859999999996</v>
      </c>
      <c r="M123" s="477">
        <f t="shared" ca="1" si="44"/>
        <v>88.171019999999999</v>
      </c>
      <c r="N123" s="477">
        <f t="shared" ca="1" si="44"/>
        <v>93.006</v>
      </c>
      <c r="O123" s="515"/>
      <c r="P123" s="169"/>
      <c r="Q123" s="169"/>
      <c r="R123" s="169"/>
      <c r="S123" s="169"/>
      <c r="T123" s="169"/>
      <c r="U123" s="169"/>
      <c r="V123" s="169"/>
      <c r="W123" s="169"/>
      <c r="X123" s="554">
        <f>J53</f>
        <v>3</v>
      </c>
      <c r="Y123" s="555">
        <f ca="1">INDEX('kc-Wert für Stützen'!$W:$W,MATCH('Hilfstabellen_Mat&amp;Bem'!Y$120,'kc-Wert für Stützen'!$AC:$AC,1)+1)</f>
        <v>165</v>
      </c>
      <c r="Z123" s="555">
        <f ca="1">INDEX('kc-Wert für Stützen'!$W:$W,MATCH('Hilfstabellen_Mat&amp;Bem'!Z$120,'kc-Wert für Stützen'!$AC:$AC,1)+1)</f>
        <v>168</v>
      </c>
      <c r="AA123" s="555">
        <f ca="1">INDEX('kc-Wert für Stützen'!$W:$W,MATCH('Hilfstabellen_Mat&amp;Bem'!AA$120,'kc-Wert für Stützen'!$AC:$AC,1)+1)</f>
        <v>172</v>
      </c>
      <c r="AB123" s="555">
        <f ca="1">INDEX('kc-Wert für Stützen'!$W:$W,MATCH('Hilfstabellen_Mat&amp;Bem'!AB$120,'kc-Wert für Stützen'!$AC:$AC,1)+1)</f>
        <v>176</v>
      </c>
      <c r="AC123" s="555">
        <f ca="1">INDEX('kc-Wert für Stützen'!$W:$W,MATCH('Hilfstabellen_Mat&amp;Bem'!AC$120,'kc-Wert für Stützen'!$AC:$AC,1)+1)</f>
        <v>186</v>
      </c>
      <c r="AD123" s="555">
        <f ca="1">INDEX('kc-Wert für Stützen'!$W:$W,MATCH('Hilfstabellen_Mat&amp;Bem'!AD$120,'kc-Wert für Stützen'!$AC:$AC,1)+1)</f>
        <v>196</v>
      </c>
      <c r="AE123" s="555">
        <f ca="1">INDEX('kc-Wert für Stützen'!$W:$W,MATCH('Hilfstabellen_Mat&amp;Bem'!AE$120,'kc-Wert für Stützen'!$AC:$AC,1)+1)</f>
        <v>206</v>
      </c>
      <c r="AF123" s="555">
        <f ca="1">INDEX('kc-Wert für Stützen'!$W:$W,MATCH('Hilfstabellen_Mat&amp;Bem'!AF$120,'kc-Wert für Stützen'!$AC:$AC,1)+1)</f>
        <v>215</v>
      </c>
      <c r="AG123" s="555">
        <f ca="1">INDEX('kc-Wert für Stützen'!$W:$W,MATCH('Hilfstabellen_Mat&amp;Bem'!AG$120,'kc-Wert für Stützen'!$AC:$AC,1)+1)</f>
        <v>221</v>
      </c>
      <c r="AH123" s="555">
        <f ca="1">INDEX('kc-Wert für Stützen'!$W:$W,MATCH('Hilfstabellen_Mat&amp;Bem'!AH$120,'kc-Wert für Stützen'!$AC:$AC,1)+1)</f>
        <v>229</v>
      </c>
      <c r="AI123" s="555">
        <f ca="1">INDEX('kc-Wert für Stützen'!$W:$W,MATCH('Hilfstabellen_Mat&amp;Bem'!AI$120,'kc-Wert für Stützen'!$AC:$AC,1)+1)</f>
        <v>234</v>
      </c>
      <c r="AJ123" s="169"/>
      <c r="AK123" s="169"/>
      <c r="AL123" s="169"/>
      <c r="AM123" s="169"/>
      <c r="AN123" s="169"/>
      <c r="AO123" s="169"/>
      <c r="AP123" s="169"/>
      <c r="AQ123" s="169"/>
      <c r="AR123" s="169"/>
      <c r="AS123" s="169"/>
      <c r="AT123" s="169"/>
      <c r="AU123" s="169"/>
      <c r="AV123" s="169"/>
      <c r="AW123" s="169"/>
      <c r="AX123" s="169"/>
      <c r="AY123" s="169"/>
      <c r="BK123" s="4"/>
      <c r="BZ123" s="324"/>
      <c r="CB123" s="14"/>
      <c r="CC123" s="320"/>
      <c r="CD123" s="14"/>
      <c r="CE123" s="469"/>
      <c r="CF123" s="345"/>
      <c r="CG123" s="345"/>
      <c r="CH123" s="320"/>
      <c r="CI123" s="320"/>
      <c r="CJ123" s="346"/>
      <c r="CK123" s="346"/>
      <c r="CL123" s="346"/>
    </row>
    <row r="124" spans="2:90" ht="15" customHeight="1">
      <c r="B124" s="169"/>
      <c r="C124" s="529">
        <f t="shared" si="42"/>
        <v>4</v>
      </c>
      <c r="D124" s="477">
        <f t="shared" ca="1" si="43"/>
        <v>44.061000000000007</v>
      </c>
      <c r="E124" s="477">
        <f t="shared" ca="1" si="43"/>
        <v>46.704660000000004</v>
      </c>
      <c r="F124" s="477">
        <f t="shared" ca="1" si="43"/>
        <v>50.321880000000007</v>
      </c>
      <c r="G124" s="477">
        <f t="shared" ca="1" si="43"/>
        <v>52.970400000000012</v>
      </c>
      <c r="H124" s="477">
        <f t="shared" ca="1" si="43"/>
        <v>61.912200000000006</v>
      </c>
      <c r="I124" s="477">
        <f t="shared" ca="1" si="43"/>
        <v>70.886399999999995</v>
      </c>
      <c r="J124" s="477">
        <f t="shared" ca="1" si="43"/>
        <v>80.038799999999995</v>
      </c>
      <c r="K124" s="477">
        <f t="shared" ca="1" si="43"/>
        <v>89.256</v>
      </c>
      <c r="L124" s="477">
        <f t="shared" ca="1" si="44"/>
        <v>94.783080000000012</v>
      </c>
      <c r="M124" s="467">
        <f t="shared" ca="1" si="44"/>
        <v>102.1212</v>
      </c>
      <c r="N124" s="467">
        <f t="shared" ca="1" si="44"/>
        <v>107.69040000000001</v>
      </c>
      <c r="O124" s="515"/>
      <c r="P124" s="169"/>
      <c r="Q124" s="169"/>
      <c r="R124" s="169"/>
      <c r="S124" s="169"/>
      <c r="T124" s="169"/>
      <c r="U124" s="169"/>
      <c r="V124" s="169"/>
      <c r="W124" s="169"/>
      <c r="X124" s="554">
        <f>J54</f>
        <v>3.1</v>
      </c>
      <c r="Y124" s="555">
        <f ca="1">INDEX('kc-Wert für Stützen'!$AG:$AG,MATCH('Hilfstabellen_Mat&amp;Bem'!Y$120,'kc-Wert für Stützen'!$AM:$AM,1)+1)</f>
        <v>167</v>
      </c>
      <c r="Z124" s="555">
        <f ca="1">INDEX('kc-Wert für Stützen'!$AG:$AG,MATCH('Hilfstabellen_Mat&amp;Bem'!Z$120,'kc-Wert für Stützen'!$AM:$AM,1)+1)</f>
        <v>170</v>
      </c>
      <c r="AA124" s="555">
        <f ca="1">INDEX('kc-Wert für Stützen'!$AG:$AG,MATCH('Hilfstabellen_Mat&amp;Bem'!AA$120,'kc-Wert für Stützen'!$AM:$AM,1)+1)</f>
        <v>174</v>
      </c>
      <c r="AB124" s="555">
        <f ca="1">INDEX('kc-Wert für Stützen'!$AG:$AG,MATCH('Hilfstabellen_Mat&amp;Bem'!AB$120,'kc-Wert für Stützen'!$AM:$AM,1)+1)</f>
        <v>177</v>
      </c>
      <c r="AC124" s="555">
        <f ca="1">INDEX('kc-Wert für Stützen'!$AG:$AG,MATCH('Hilfstabellen_Mat&amp;Bem'!AC$120,'kc-Wert für Stützen'!$AM:$AM,1)+1)</f>
        <v>187</v>
      </c>
      <c r="AD124" s="555">
        <f ca="1">INDEX('kc-Wert für Stützen'!$AG:$AG,MATCH('Hilfstabellen_Mat&amp;Bem'!AD$120,'kc-Wert für Stützen'!$AM:$AM,1)+1)</f>
        <v>197</v>
      </c>
      <c r="AE124" s="555">
        <f ca="1">INDEX('kc-Wert für Stützen'!$AG:$AG,MATCH('Hilfstabellen_Mat&amp;Bem'!AE$120,'kc-Wert für Stützen'!$AM:$AM,1)+1)</f>
        <v>207</v>
      </c>
      <c r="AF124" s="555">
        <f ca="1">INDEX('kc-Wert für Stützen'!$AG:$AG,MATCH('Hilfstabellen_Mat&amp;Bem'!AF$120,'kc-Wert für Stützen'!$AM:$AM,1)+1)</f>
        <v>217</v>
      </c>
      <c r="AG124" s="555">
        <f ca="1">INDEX('kc-Wert für Stützen'!$AG:$AG,MATCH('Hilfstabellen_Mat&amp;Bem'!AG$120,'kc-Wert für Stützen'!$AM:$AM,1)+1)</f>
        <v>222</v>
      </c>
      <c r="AH124" s="555">
        <f ca="1">INDEX('kc-Wert für Stützen'!$AG:$AG,MATCH('Hilfstabellen_Mat&amp;Bem'!AH$120,'kc-Wert für Stützen'!$AM:$AM,1)+1)</f>
        <v>230</v>
      </c>
      <c r="AI124" s="555">
        <f ca="1">INDEX('kc-Wert für Stützen'!$AG:$AG,MATCH('Hilfstabellen_Mat&amp;Bem'!AI$120,'kc-Wert für Stützen'!$AM:$AM,1)+1)</f>
        <v>235</v>
      </c>
      <c r="AJ124" s="169"/>
      <c r="AK124" s="169"/>
      <c r="AL124" s="169"/>
      <c r="AM124" s="169"/>
      <c r="AN124" s="169"/>
      <c r="AO124" s="169"/>
      <c r="AP124" s="169"/>
      <c r="AQ124" s="169"/>
      <c r="AR124" s="169"/>
      <c r="AS124" s="169"/>
      <c r="AT124" s="169"/>
      <c r="AU124" s="169"/>
      <c r="AV124" s="169"/>
      <c r="AW124" s="169"/>
      <c r="AX124" s="169"/>
      <c r="AY124" s="169"/>
      <c r="BK124" s="4"/>
      <c r="BZ124" s="324"/>
      <c r="CB124" s="14"/>
      <c r="CC124" s="320"/>
      <c r="CD124" s="14"/>
      <c r="CE124" s="469"/>
      <c r="CF124" s="345"/>
      <c r="CG124" s="345"/>
      <c r="CH124" s="320"/>
      <c r="CI124" s="320"/>
      <c r="CJ124" s="346"/>
      <c r="CK124" s="346"/>
      <c r="CL124" s="346"/>
    </row>
    <row r="125" spans="2:90" ht="15" customHeight="1">
      <c r="B125" s="169"/>
      <c r="C125" s="529">
        <f t="shared" si="42"/>
        <v>4.5</v>
      </c>
      <c r="D125" s="477">
        <f t="shared" ca="1" si="43"/>
        <v>50.267250000000004</v>
      </c>
      <c r="E125" s="477">
        <f t="shared" ca="1" si="43"/>
        <v>53.369144999999996</v>
      </c>
      <c r="F125" s="477">
        <f t="shared" ca="1" si="43"/>
        <v>57.397004999999993</v>
      </c>
      <c r="G125" s="477">
        <f t="shared" ca="1" si="43"/>
        <v>60.417900000000003</v>
      </c>
      <c r="H125" s="477">
        <f t="shared" ca="1" si="43"/>
        <v>70.714349999999996</v>
      </c>
      <c r="I125" s="477">
        <f t="shared" ca="1" si="43"/>
        <v>80.945999999999998</v>
      </c>
      <c r="J125" s="477">
        <f t="shared" ca="1" si="43"/>
        <v>91.355850000000004</v>
      </c>
      <c r="K125" s="467">
        <f t="shared" ca="1" si="43"/>
        <v>101.66849999999999</v>
      </c>
      <c r="L125" s="467">
        <f t="shared" ca="1" si="44"/>
        <v>107.94033</v>
      </c>
      <c r="M125" s="467">
        <f t="shared" ca="1" si="44"/>
        <v>116.45613</v>
      </c>
      <c r="N125" s="467">
        <f t="shared" ca="1" si="44"/>
        <v>122.77979999999999</v>
      </c>
      <c r="O125" s="515"/>
      <c r="P125" s="169"/>
      <c r="Q125" s="169"/>
      <c r="R125" s="169"/>
      <c r="S125" s="169"/>
      <c r="T125" s="169"/>
      <c r="U125" s="169"/>
      <c r="V125" s="169"/>
      <c r="W125" s="169"/>
      <c r="X125" s="554">
        <f>J55</f>
        <v>3.2</v>
      </c>
      <c r="Y125" s="555">
        <f ca="1">INDEX('kc-Wert für Stützen'!$AQ:$AQ,MATCH('Hilfstabellen_Mat&amp;Bem'!Y$120,'kc-Wert für Stützen'!$AW:$AW,1)+1)</f>
        <v>169</v>
      </c>
      <c r="Z125" s="555">
        <f ca="1">INDEX('kc-Wert für Stützen'!$AQ:$AQ,MATCH('Hilfstabellen_Mat&amp;Bem'!Z$120,'kc-Wert für Stützen'!$AW:$AW,1)+1)</f>
        <v>172</v>
      </c>
      <c r="AA125" s="555">
        <f ca="1">INDEX('kc-Wert für Stützen'!$AQ:$AQ,MATCH('Hilfstabellen_Mat&amp;Bem'!AA$120,'kc-Wert für Stützen'!$AW:$AW,1)+1)</f>
        <v>176</v>
      </c>
      <c r="AB125" s="555">
        <f ca="1">INDEX('kc-Wert für Stützen'!$AQ:$AQ,MATCH('Hilfstabellen_Mat&amp;Bem'!AB$120,'kc-Wert für Stützen'!$AW:$AW,1)+1)</f>
        <v>179</v>
      </c>
      <c r="AC125" s="555">
        <f ca="1">INDEX('kc-Wert für Stützen'!$AQ:$AQ,MATCH('Hilfstabellen_Mat&amp;Bem'!AC$120,'kc-Wert für Stützen'!$AW:$AW,1)+1)</f>
        <v>189</v>
      </c>
      <c r="AD125" s="555">
        <f ca="1">INDEX('kc-Wert für Stützen'!$AQ:$AQ,MATCH('Hilfstabellen_Mat&amp;Bem'!AD$120,'kc-Wert für Stützen'!$AW:$AW,1)+1)</f>
        <v>199</v>
      </c>
      <c r="AE125" s="555">
        <f ca="1">INDEX('kc-Wert für Stützen'!$AQ:$AQ,MATCH('Hilfstabellen_Mat&amp;Bem'!AE$120,'kc-Wert für Stützen'!$AW:$AW,1)+1)</f>
        <v>208</v>
      </c>
      <c r="AF125" s="555">
        <f ca="1">INDEX('kc-Wert für Stützen'!$AQ:$AQ,MATCH('Hilfstabellen_Mat&amp;Bem'!AF$120,'kc-Wert für Stützen'!$AW:$AW,1)+1)</f>
        <v>218</v>
      </c>
      <c r="AG125" s="555">
        <f ca="1">INDEX('kc-Wert für Stützen'!$AQ:$AQ,MATCH('Hilfstabellen_Mat&amp;Bem'!AG$120,'kc-Wert für Stützen'!$AW:$AW,1)+1)</f>
        <v>223</v>
      </c>
      <c r="AH125" s="555">
        <f ca="1">INDEX('kc-Wert für Stützen'!$AQ:$AQ,MATCH('Hilfstabellen_Mat&amp;Bem'!AH$120,'kc-Wert für Stützen'!$AW:$AW,1)+1)</f>
        <v>230</v>
      </c>
      <c r="AI125" s="555">
        <f ca="1">INDEX('kc-Wert für Stützen'!$AQ:$AQ,MATCH('Hilfstabellen_Mat&amp;Bem'!AI$120,'kc-Wert für Stützen'!$AW:$AW,1)+1)</f>
        <v>236</v>
      </c>
      <c r="AJ125" s="169"/>
      <c r="AK125" s="169"/>
      <c r="AL125" s="169"/>
      <c r="AM125" s="169"/>
      <c r="AN125" s="169"/>
      <c r="AO125" s="169"/>
      <c r="AP125" s="169"/>
      <c r="AQ125" s="169"/>
      <c r="AR125" s="169"/>
      <c r="AS125" s="169"/>
      <c r="AT125" s="169"/>
      <c r="AU125" s="169"/>
      <c r="AV125" s="169"/>
      <c r="AW125" s="169"/>
      <c r="AX125" s="169"/>
      <c r="AY125" s="169"/>
      <c r="BK125" s="4"/>
      <c r="BZ125" s="324"/>
      <c r="CB125" s="14"/>
      <c r="CC125" s="320"/>
      <c r="CD125" s="14"/>
      <c r="CE125" s="469"/>
      <c r="CF125" s="345"/>
      <c r="CG125" s="345"/>
      <c r="CH125" s="320"/>
      <c r="CI125" s="320"/>
      <c r="CJ125" s="346"/>
      <c r="CK125" s="346"/>
      <c r="CL125" s="346"/>
    </row>
    <row r="126" spans="2:90" ht="15" customHeight="1">
      <c r="B126" s="169"/>
      <c r="C126" s="529">
        <f t="shared" si="42"/>
        <v>5</v>
      </c>
      <c r="D126" s="477">
        <f t="shared" ca="1" si="43"/>
        <v>57.567</v>
      </c>
      <c r="E126" s="477">
        <f t="shared" ca="1" si="43"/>
        <v>61.021019999999993</v>
      </c>
      <c r="F126" s="477">
        <f t="shared" ca="1" si="43"/>
        <v>65.71871999999999</v>
      </c>
      <c r="G126" s="477">
        <f t="shared" ca="1" si="43"/>
        <v>69.177600000000012</v>
      </c>
      <c r="H126" s="477">
        <f t="shared" ca="1" si="43"/>
        <v>80.820600000000013</v>
      </c>
      <c r="I126" s="477">
        <f t="shared" ca="1" si="43"/>
        <v>92.496000000000009</v>
      </c>
      <c r="J126" s="467">
        <f t="shared" ca="1" si="43"/>
        <v>104.34960000000001</v>
      </c>
      <c r="K126" s="467">
        <f t="shared" ca="1" si="43"/>
        <v>116.268</v>
      </c>
      <c r="L126" s="467">
        <f t="shared" ca="1" si="44"/>
        <v>123.41579999999999</v>
      </c>
      <c r="M126" s="467">
        <f t="shared" ca="1" si="44"/>
        <v>132.91487999999998</v>
      </c>
      <c r="N126" s="467">
        <f t="shared" ca="1" si="44"/>
        <v>140.29919999999998</v>
      </c>
      <c r="O126" s="515"/>
      <c r="P126" s="169"/>
      <c r="Q126" s="169"/>
      <c r="R126" s="169"/>
      <c r="S126" s="169"/>
      <c r="T126" s="169"/>
      <c r="AG126" s="169"/>
      <c r="AH126" s="169"/>
      <c r="AI126" s="169"/>
      <c r="AJ126" s="169"/>
      <c r="AK126" s="169"/>
      <c r="AL126" s="169"/>
      <c r="AM126" s="169"/>
      <c r="AN126" s="169"/>
      <c r="AO126" s="169"/>
      <c r="AP126" s="169"/>
      <c r="AQ126" s="169"/>
      <c r="AR126" s="169"/>
      <c r="AS126" s="169"/>
      <c r="AT126" s="169"/>
      <c r="AU126" s="169"/>
      <c r="AV126" s="169"/>
      <c r="AW126" s="169"/>
      <c r="AX126" s="169"/>
      <c r="AY126" s="169"/>
      <c r="BK126" s="4"/>
      <c r="BZ126" s="324"/>
      <c r="CB126" s="14"/>
      <c r="CC126" s="320"/>
      <c r="CD126" s="14"/>
      <c r="CE126" s="469"/>
      <c r="CF126" s="345"/>
      <c r="CG126" s="345"/>
      <c r="CH126" s="320"/>
      <c r="CI126" s="320"/>
      <c r="CJ126" s="346"/>
      <c r="CK126" s="346"/>
      <c r="CL126" s="346"/>
    </row>
    <row r="127" spans="2:90" ht="15" customHeight="1">
      <c r="B127" s="169"/>
      <c r="C127" s="529">
        <f>$D59</f>
        <v>5.3</v>
      </c>
      <c r="D127" s="477">
        <f t="shared" ref="D127:N127" ca="1" si="46">(1.35*D101+1.5*D114)</f>
        <v>60.987000000000009</v>
      </c>
      <c r="E127" s="477">
        <f t="shared" ca="1" si="46"/>
        <v>64.64622</v>
      </c>
      <c r="F127" s="477">
        <f t="shared" ca="1" si="46"/>
        <v>69.617520000000013</v>
      </c>
      <c r="G127" s="477">
        <f t="shared" ca="1" si="46"/>
        <v>73.281599999999997</v>
      </c>
      <c r="H127" s="477">
        <f t="shared" ca="1" si="46"/>
        <v>85.608599999999996</v>
      </c>
      <c r="I127" s="477">
        <f t="shared" ca="1" si="46"/>
        <v>98.0976</v>
      </c>
      <c r="J127" s="467">
        <f t="shared" ca="1" si="46"/>
        <v>110.50560000000002</v>
      </c>
      <c r="K127" s="467">
        <f t="shared" ca="1" si="46"/>
        <v>123.108</v>
      </c>
      <c r="L127" s="467">
        <f t="shared" ca="1" si="46"/>
        <v>130.6662</v>
      </c>
      <c r="M127" s="467">
        <f t="shared" ca="1" si="46"/>
        <v>140.89715999999999</v>
      </c>
      <c r="N127" s="467">
        <f t="shared" ca="1" si="46"/>
        <v>148.50720000000001</v>
      </c>
      <c r="O127" s="515"/>
      <c r="P127" s="169"/>
      <c r="Q127" s="169"/>
      <c r="R127" s="169"/>
      <c r="S127" s="169"/>
      <c r="T127" s="169"/>
      <c r="AG127" s="169"/>
      <c r="AH127" s="169"/>
      <c r="AI127" s="169"/>
      <c r="AJ127" s="169"/>
      <c r="AK127" s="169"/>
      <c r="AL127" s="169"/>
      <c r="AM127" s="169"/>
      <c r="AN127" s="169"/>
      <c r="AO127" s="169"/>
      <c r="AP127" s="169"/>
      <c r="AQ127" s="169"/>
      <c r="AR127" s="169"/>
      <c r="AS127" s="169"/>
      <c r="AT127" s="169"/>
      <c r="AU127" s="169"/>
      <c r="AV127" s="169"/>
      <c r="AW127" s="169"/>
      <c r="AX127" s="169"/>
      <c r="AY127" s="169"/>
      <c r="BK127" s="4"/>
      <c r="BZ127" s="324"/>
      <c r="CB127" s="14"/>
      <c r="CC127" s="320"/>
      <c r="CD127" s="14"/>
      <c r="CE127" s="469"/>
      <c r="CF127" s="345"/>
      <c r="CG127" s="345"/>
      <c r="CH127" s="320"/>
      <c r="CI127" s="320"/>
      <c r="CJ127" s="346"/>
      <c r="CK127" s="346"/>
      <c r="CL127" s="346"/>
    </row>
    <row r="128" spans="2:90" ht="15" customHeight="1">
      <c r="B128" s="169"/>
      <c r="C128" s="529">
        <f>$D60</f>
        <v>5.7</v>
      </c>
      <c r="D128" s="477">
        <f t="shared" ref="D128:N128" ca="1" si="47">(1.35*D102+1.5*D115)</f>
        <v>62.661375000000007</v>
      </c>
      <c r="E128" s="477">
        <f t="shared" ca="1" si="47"/>
        <v>66.506917500000014</v>
      </c>
      <c r="F128" s="477">
        <f t="shared" ca="1" si="47"/>
        <v>71.526307500000016</v>
      </c>
      <c r="G128" s="477">
        <f t="shared" ca="1" si="47"/>
        <v>75.388050000000007</v>
      </c>
      <c r="H128" s="477">
        <f t="shared" ca="1" si="47"/>
        <v>88.066125000000014</v>
      </c>
      <c r="I128" s="467">
        <f t="shared" ca="1" si="47"/>
        <v>100.7766</v>
      </c>
      <c r="J128" s="467">
        <f t="shared" ca="1" si="47"/>
        <v>113.66527500000001</v>
      </c>
      <c r="K128" s="467">
        <f t="shared" ca="1" si="47"/>
        <v>126.61875000000001</v>
      </c>
      <c r="L128" s="467">
        <f t="shared" ca="1" si="47"/>
        <v>134.387595</v>
      </c>
      <c r="M128" s="467">
        <f t="shared" ca="1" si="47"/>
        <v>144.71473500000002</v>
      </c>
      <c r="N128" s="467">
        <f t="shared" ca="1" si="47"/>
        <v>152.52570000000003</v>
      </c>
      <c r="O128" s="515"/>
      <c r="P128" s="169"/>
      <c r="Q128" s="169"/>
      <c r="R128" s="169"/>
      <c r="S128" s="169"/>
      <c r="T128" s="169"/>
      <c r="AG128" s="169"/>
      <c r="AH128" s="169"/>
      <c r="AI128" s="169"/>
      <c r="AJ128" s="169"/>
      <c r="AK128" s="169"/>
      <c r="AL128" s="169"/>
      <c r="AM128" s="169"/>
      <c r="AN128" s="169"/>
      <c r="AO128" s="169"/>
      <c r="AP128" s="169"/>
      <c r="AQ128" s="169"/>
      <c r="AR128" s="169"/>
      <c r="AS128" s="169"/>
      <c r="AT128" s="169"/>
      <c r="AU128" s="169"/>
      <c r="AV128" s="169"/>
      <c r="AW128" s="169"/>
      <c r="AX128" s="169"/>
      <c r="AY128" s="169"/>
      <c r="BK128" s="4"/>
      <c r="BZ128" s="324"/>
      <c r="CB128" s="14"/>
      <c r="CC128" s="320"/>
      <c r="CD128" s="14"/>
      <c r="CE128" s="469"/>
      <c r="CF128" s="345"/>
      <c r="CG128" s="345"/>
      <c r="CH128" s="320"/>
      <c r="CI128" s="320"/>
      <c r="CJ128" s="346"/>
      <c r="CK128" s="346"/>
      <c r="CL128" s="346"/>
    </row>
    <row r="129" spans="1:90" ht="15" customHeight="1">
      <c r="B129" s="169"/>
      <c r="C129" s="529">
        <f>$D61</f>
        <v>6</v>
      </c>
      <c r="D129" s="477">
        <f t="shared" ref="D129:N129" ca="1" si="48">(1.35*D103+1.5*D116)</f>
        <v>65.929500000000004</v>
      </c>
      <c r="E129" s="477">
        <f t="shared" ca="1" si="48"/>
        <v>69.971130000000002</v>
      </c>
      <c r="F129" s="477">
        <f t="shared" ca="1" si="48"/>
        <v>75.25197</v>
      </c>
      <c r="G129" s="477">
        <f t="shared" ca="1" si="48"/>
        <v>79.30980000000001</v>
      </c>
      <c r="H129" s="477">
        <f t="shared" ca="1" si="48"/>
        <v>92.641500000000008</v>
      </c>
      <c r="I129" s="467">
        <f t="shared" ca="1" si="48"/>
        <v>106.00560000000002</v>
      </c>
      <c r="J129" s="467">
        <f t="shared" ca="1" si="48"/>
        <v>119.5479</v>
      </c>
      <c r="K129" s="467">
        <f t="shared" ca="1" si="48"/>
        <v>132.99299999999999</v>
      </c>
      <c r="L129" s="467">
        <f t="shared" ca="1" si="48"/>
        <v>141.14429999999999</v>
      </c>
      <c r="M129" s="467">
        <f t="shared" ca="1" si="48"/>
        <v>152.16606000000002</v>
      </c>
      <c r="N129" s="467">
        <f t="shared" ca="1" si="48"/>
        <v>160.36920000000001</v>
      </c>
      <c r="O129" s="515"/>
      <c r="P129" s="169"/>
      <c r="Q129" s="169"/>
      <c r="R129" s="169"/>
      <c r="S129" s="169"/>
      <c r="T129" s="169"/>
      <c r="AG129" s="169"/>
      <c r="AH129" s="169"/>
      <c r="AI129" s="169"/>
      <c r="AJ129" s="169"/>
      <c r="AK129" s="169"/>
      <c r="AL129" s="169"/>
      <c r="AM129" s="169"/>
      <c r="AN129" s="169"/>
      <c r="AO129" s="169"/>
      <c r="AP129" s="169"/>
      <c r="AQ129" s="169"/>
      <c r="AR129" s="169"/>
      <c r="AS129" s="169"/>
      <c r="AT129" s="169"/>
      <c r="AU129" s="169"/>
      <c r="AV129" s="169"/>
      <c r="AW129" s="169"/>
      <c r="AX129" s="169"/>
      <c r="AY129" s="169"/>
      <c r="BK129" s="4"/>
      <c r="BZ129" s="324"/>
      <c r="CB129" s="14"/>
      <c r="CC129" s="320"/>
      <c r="CD129" s="14"/>
      <c r="CE129" s="469"/>
      <c r="CF129" s="345"/>
      <c r="CG129" s="345"/>
      <c r="CH129" s="320"/>
      <c r="CI129" s="320"/>
      <c r="CJ129" s="346"/>
      <c r="CK129" s="346"/>
      <c r="CL129" s="346"/>
    </row>
    <row r="130" spans="1:90" ht="15" customHeight="1" thickBot="1">
      <c r="B130" s="169"/>
      <c r="C130" s="517"/>
      <c r="D130" s="518"/>
      <c r="E130" s="518"/>
      <c r="F130" s="518"/>
      <c r="G130" s="518"/>
      <c r="H130" s="518"/>
      <c r="I130" s="518"/>
      <c r="J130" s="518"/>
      <c r="K130" s="518"/>
      <c r="L130" s="518"/>
      <c r="M130" s="518"/>
      <c r="N130" s="518"/>
      <c r="O130" s="519"/>
      <c r="P130" s="169"/>
      <c r="Q130" s="169"/>
      <c r="R130" s="169"/>
      <c r="S130" s="169"/>
      <c r="T130" s="169"/>
      <c r="AG130" s="169"/>
      <c r="AH130" s="169"/>
      <c r="AW130" s="169"/>
      <c r="AX130" s="169"/>
      <c r="AY130" s="169"/>
      <c r="BK130" s="4"/>
      <c r="BZ130" s="324"/>
      <c r="CB130" s="14"/>
      <c r="CC130" s="320"/>
      <c r="CD130" s="14"/>
      <c r="CE130" s="469"/>
      <c r="CF130" s="345"/>
      <c r="CG130" s="345"/>
      <c r="CH130" s="320"/>
      <c r="CI130" s="320"/>
      <c r="CJ130" s="346"/>
      <c r="CK130" s="346"/>
      <c r="CL130" s="346"/>
    </row>
    <row r="131" spans="1:90" ht="15" customHeight="1">
      <c r="A131" s="169"/>
      <c r="N131" s="169"/>
      <c r="O131" s="169"/>
      <c r="P131" s="169"/>
      <c r="Q131" s="169"/>
      <c r="R131" s="169"/>
      <c r="S131" s="169"/>
      <c r="T131" s="169"/>
      <c r="U131" s="169"/>
      <c r="V131" s="169"/>
      <c r="W131" s="169"/>
      <c r="X131" s="169"/>
      <c r="Y131" s="169"/>
      <c r="Z131" s="169"/>
      <c r="AA131" s="169"/>
      <c r="AB131" s="169"/>
      <c r="AC131" s="169"/>
      <c r="AD131" s="169"/>
      <c r="AE131" s="169"/>
      <c r="AF131" s="169"/>
      <c r="AG131" s="169"/>
      <c r="AH131" s="169"/>
      <c r="AW131" s="169"/>
      <c r="AX131" s="169"/>
      <c r="AY131" s="169"/>
      <c r="BK131" s="4"/>
      <c r="BZ131" s="324"/>
      <c r="CB131" s="14"/>
      <c r="CC131" s="320"/>
      <c r="CD131" s="14"/>
      <c r="CE131" s="469"/>
      <c r="CF131" s="345"/>
      <c r="CG131" s="345"/>
      <c r="CH131" s="320"/>
      <c r="CI131" s="320"/>
      <c r="CJ131" s="346"/>
      <c r="CK131" s="346"/>
      <c r="CL131" s="346"/>
    </row>
    <row r="132" spans="1:90" ht="15" customHeight="1" thickBot="1">
      <c r="A132" s="169"/>
      <c r="B132" s="169"/>
      <c r="C132" s="169"/>
      <c r="D132" s="169"/>
      <c r="E132" s="169"/>
      <c r="F132" s="169"/>
      <c r="G132" s="169"/>
      <c r="H132" s="169"/>
      <c r="I132" s="169"/>
      <c r="J132" s="169"/>
      <c r="K132" s="169"/>
      <c r="L132" s="169"/>
      <c r="M132" s="169"/>
      <c r="O132" s="169"/>
      <c r="AH132" s="169"/>
      <c r="AW132" s="169"/>
      <c r="AX132" s="169"/>
      <c r="AY132" s="169"/>
      <c r="BK132" s="4"/>
      <c r="BZ132" s="324"/>
      <c r="CB132" s="14"/>
      <c r="CC132" s="320"/>
      <c r="CD132" s="14"/>
      <c r="CE132" s="469"/>
      <c r="CF132" s="345"/>
      <c r="CG132" s="345"/>
      <c r="CH132" s="320"/>
      <c r="CI132" s="320"/>
      <c r="CJ132" s="346"/>
      <c r="CK132" s="346"/>
      <c r="CL132" s="346"/>
    </row>
    <row r="133" spans="1:90" ht="15" customHeight="1">
      <c r="A133" s="169"/>
      <c r="B133" s="169"/>
      <c r="C133" s="559"/>
      <c r="D133" s="560"/>
      <c r="E133" s="560"/>
      <c r="F133" s="560"/>
      <c r="G133" s="560"/>
      <c r="H133" s="560"/>
      <c r="I133" s="560"/>
      <c r="J133" s="560"/>
      <c r="K133" s="560"/>
      <c r="L133" s="560"/>
      <c r="M133" s="560"/>
      <c r="N133" s="560"/>
      <c r="O133" s="561"/>
      <c r="P133" s="169"/>
      <c r="Q133" s="169"/>
      <c r="R133" s="169"/>
      <c r="S133" s="169"/>
      <c r="T133" s="169"/>
      <c r="U133" s="169"/>
      <c r="V133" s="169"/>
      <c r="W133" s="169"/>
      <c r="X133" s="169"/>
      <c r="Y133" s="169"/>
      <c r="Z133" s="169"/>
      <c r="AA133" s="169"/>
      <c r="AB133" s="169"/>
      <c r="AC133" s="169"/>
      <c r="AD133" s="169"/>
      <c r="AE133" s="169"/>
      <c r="AF133" s="169"/>
      <c r="AG133" s="169"/>
      <c r="AW133" s="169"/>
      <c r="AX133" s="169"/>
      <c r="AY133" s="169"/>
      <c r="BK133" s="4"/>
      <c r="BZ133" s="324"/>
      <c r="CB133" s="14"/>
      <c r="CC133" s="320"/>
      <c r="CD133" s="14"/>
      <c r="CE133" s="469"/>
      <c r="CF133" s="345"/>
      <c r="CG133" s="345"/>
      <c r="CH133" s="320"/>
      <c r="CI133" s="320"/>
      <c r="CJ133" s="346"/>
      <c r="CK133" s="346"/>
      <c r="CL133" s="346"/>
    </row>
    <row r="134" spans="1:90" ht="15" customHeight="1">
      <c r="A134" s="169"/>
      <c r="B134" s="169"/>
      <c r="C134" s="562"/>
      <c r="D134" s="169"/>
      <c r="E134" s="169"/>
      <c r="F134" s="169"/>
      <c r="G134" s="169"/>
      <c r="H134" s="169"/>
      <c r="I134" s="169"/>
      <c r="J134" s="169"/>
      <c r="K134" s="169"/>
      <c r="L134" s="169"/>
      <c r="M134" s="169"/>
      <c r="N134" s="169"/>
      <c r="O134" s="563"/>
      <c r="P134" s="169"/>
      <c r="Q134" s="169"/>
      <c r="R134" s="169"/>
      <c r="S134" s="169"/>
      <c r="T134" s="169"/>
      <c r="U134" s="169"/>
      <c r="V134" s="169"/>
      <c r="W134" s="169"/>
      <c r="X134" s="169"/>
      <c r="Y134" s="169"/>
      <c r="Z134" s="169"/>
      <c r="AA134" s="169"/>
      <c r="AB134" s="169"/>
      <c r="AC134" s="169"/>
      <c r="AD134" s="169"/>
      <c r="AE134" s="169"/>
      <c r="AF134" s="169"/>
      <c r="AG134" s="169"/>
      <c r="AW134" s="169"/>
      <c r="AX134" s="169"/>
      <c r="AY134" s="169"/>
      <c r="BK134" s="4"/>
      <c r="BZ134" s="324"/>
      <c r="CB134" s="14"/>
      <c r="CC134" s="320"/>
      <c r="CD134" s="14"/>
      <c r="CE134" s="469"/>
      <c r="CF134" s="345"/>
      <c r="CG134" s="345"/>
      <c r="CH134" s="320"/>
      <c r="CI134" s="320"/>
      <c r="CJ134" s="346"/>
      <c r="CK134" s="346"/>
      <c r="CL134" s="346"/>
    </row>
    <row r="135" spans="1:90" ht="15" customHeight="1">
      <c r="A135" s="169"/>
      <c r="B135" s="169"/>
      <c r="C135" s="556" t="s">
        <v>1497</v>
      </c>
      <c r="D135" s="557">
        <f t="shared" ref="D135:K135" si="49">D92</f>
        <v>2.5</v>
      </c>
      <c r="E135" s="557">
        <f t="shared" si="49"/>
        <v>2.65</v>
      </c>
      <c r="F135" s="557">
        <f t="shared" si="49"/>
        <v>2.85</v>
      </c>
      <c r="G135" s="557">
        <f t="shared" si="49"/>
        <v>3</v>
      </c>
      <c r="H135" s="557">
        <f t="shared" si="49"/>
        <v>3.5</v>
      </c>
      <c r="I135" s="557">
        <f t="shared" si="49"/>
        <v>4</v>
      </c>
      <c r="J135" s="557">
        <f t="shared" si="49"/>
        <v>4.5</v>
      </c>
      <c r="K135" s="557">
        <f t="shared" si="49"/>
        <v>5</v>
      </c>
      <c r="L135" s="557">
        <f>L92</f>
        <v>5.3</v>
      </c>
      <c r="M135" s="557">
        <f>M92</f>
        <v>5.7</v>
      </c>
      <c r="N135" s="557">
        <f>N92</f>
        <v>6</v>
      </c>
      <c r="O135" s="515"/>
      <c r="V135" s="169"/>
      <c r="W135" s="169"/>
      <c r="Y135" s="542">
        <f t="shared" ref="Y135:AI135" si="50">D$118</f>
        <v>2.5</v>
      </c>
      <c r="Z135" s="542">
        <f t="shared" si="50"/>
        <v>2.65</v>
      </c>
      <c r="AA135" s="542">
        <f t="shared" si="50"/>
        <v>2.85</v>
      </c>
      <c r="AB135" s="542">
        <f t="shared" si="50"/>
        <v>3</v>
      </c>
      <c r="AC135" s="542">
        <f t="shared" si="50"/>
        <v>3.5</v>
      </c>
      <c r="AD135" s="542">
        <f t="shared" si="50"/>
        <v>4</v>
      </c>
      <c r="AE135" s="542">
        <f t="shared" si="50"/>
        <v>4.5</v>
      </c>
      <c r="AF135" s="542">
        <f t="shared" si="50"/>
        <v>5</v>
      </c>
      <c r="AG135" s="542">
        <f t="shared" si="50"/>
        <v>5.3</v>
      </c>
      <c r="AH135" s="542">
        <f t="shared" si="50"/>
        <v>5.7</v>
      </c>
      <c r="AI135" s="542">
        <f t="shared" si="50"/>
        <v>6</v>
      </c>
      <c r="AW135" s="169"/>
      <c r="AX135" s="169"/>
      <c r="AY135" s="169"/>
      <c r="BK135" s="4"/>
      <c r="BZ135" s="324"/>
      <c r="CB135" s="14"/>
      <c r="CC135" s="320"/>
      <c r="CD135" s="14"/>
      <c r="CE135" s="469"/>
      <c r="CF135" s="345"/>
      <c r="CG135" s="345"/>
      <c r="CH135" s="320"/>
      <c r="CI135" s="320"/>
      <c r="CJ135" s="346"/>
      <c r="CK135" s="346"/>
      <c r="CL135" s="346"/>
    </row>
    <row r="136" spans="1:90" ht="15" customHeight="1">
      <c r="A136" s="169"/>
      <c r="B136" s="169"/>
      <c r="C136" s="558">
        <f t="shared" ref="C136:C143" si="51">$D51</f>
        <v>2.5</v>
      </c>
      <c r="D136" s="477">
        <f t="shared" ref="D136:K143" ca="1" si="52">(1*D93+0.3*D106)</f>
        <v>14.018750000000001</v>
      </c>
      <c r="E136" s="477">
        <f t="shared" ca="1" si="52"/>
        <v>14.859874999999999</v>
      </c>
      <c r="F136" s="477">
        <f t="shared" ca="1" si="52"/>
        <v>16.049775</v>
      </c>
      <c r="G136" s="477">
        <f t="shared" ca="1" si="52"/>
        <v>16.894500000000001</v>
      </c>
      <c r="H136" s="477">
        <f t="shared" ca="1" si="52"/>
        <v>19.794250000000002</v>
      </c>
      <c r="I136" s="477">
        <f t="shared" ca="1" si="52"/>
        <v>22.718</v>
      </c>
      <c r="J136" s="477">
        <f t="shared" ca="1" si="52"/>
        <v>25.665750000000003</v>
      </c>
      <c r="K136" s="477">
        <f t="shared" ca="1" si="52"/>
        <v>28.7575</v>
      </c>
      <c r="L136" s="477">
        <f t="shared" ref="L136:N143" ca="1" si="53">(1*L93+0.3*L106)</f>
        <v>30.610150000000001</v>
      </c>
      <c r="M136" s="477">
        <f t="shared" ca="1" si="53"/>
        <v>33.05715</v>
      </c>
      <c r="N136" s="477">
        <f t="shared" ca="1" si="53"/>
        <v>34.941000000000003</v>
      </c>
      <c r="O136" s="515"/>
      <c r="V136" s="169"/>
      <c r="W136" s="169"/>
      <c r="X136" s="407" t="s">
        <v>989</v>
      </c>
      <c r="Y136" s="555">
        <f ca="1">(INDEX($C$135:$N$143,MATCH('Rasterbemessung DE UZ ST'!$D$14,$C$135:$C$143,0),MATCH('Hilfstabellen_Mat&amp;Bem'!Y$135,$C$135:$N$135,0))*2*10^3*n_GESCHOSSE)*gamma_mfi/
(k_modfi*k_fi_ST*'Hilfstabellen_Mat&amp;Bem'!f.Rd.3)</f>
        <v>5775.1358695652189</v>
      </c>
      <c r="Z136" s="555">
        <f ca="1">(INDEX($C$135:$N$143,MATCH('Rasterbemessung DE UZ ST'!$D$14,$C$135:$C$143,0),MATCH('Hilfstabellen_Mat&amp;Bem'!Z$135,$C$135:$N$135,0))*2*10^3*n_GESCHOSSE)*gamma_mfi/
(k_modfi*k_fi_ST*'Hilfstabellen_Mat&amp;Bem'!f.Rd.3)</f>
        <v>6121.6440217391319</v>
      </c>
      <c r="AA136" s="555">
        <f ca="1">(INDEX($C$135:$N$143,MATCH('Rasterbemessung DE UZ ST'!$D$14,$C$135:$C$143,0),MATCH('Hilfstabellen_Mat&amp;Bem'!AA$135,$C$135:$N$135,0))*2*10^3*n_GESCHOSSE)*gamma_mfi/
(k_modfi*k_fi_ST*'Hilfstabellen_Mat&amp;Bem'!f.Rd.3)</f>
        <v>6608.4375000000018</v>
      </c>
      <c r="AB136" s="555">
        <f ca="1">(INDEX($C$135:$N$143,MATCH('Rasterbemessung DE UZ ST'!$D$14,$C$135:$C$143,0),MATCH('Hilfstabellen_Mat&amp;Bem'!AB$135,$C$135:$N$135,0))*2*10^3*n_GESCHOSSE)*gamma_mfi/
(k_modfi*k_fi_ST*'Hilfstabellen_Mat&amp;Bem'!f.Rd.3)</f>
        <v>6956.2500000000027</v>
      </c>
      <c r="AC136" s="555">
        <f ca="1">(INDEX($C$135:$N$143,MATCH('Rasterbemessung DE UZ ST'!$D$14,$C$135:$C$143,0),MATCH('Hilfstabellen_Mat&amp;Bem'!AC$135,$C$135:$N$135,0))*2*10^3*n_GESCHOSSE)*gamma_mfi/
(k_modfi*k_fi_ST*'Hilfstabellen_Mat&amp;Bem'!f.Rd.3)</f>
        <v>8146.0597826086978</v>
      </c>
      <c r="AD136" s="555">
        <f ca="1">(INDEX($C$135:$N$143,MATCH('Rasterbemessung DE UZ ST'!$D$14,$C$135:$C$143,0),MATCH('Hilfstabellen_Mat&amp;Bem'!AD$135,$C$135:$N$135,0))*2*10^3*n_GESCHOSSE)*gamma_mfi/
(k_modfi*k_fi_ST*'Hilfstabellen_Mat&amp;Bem'!f.Rd.3)</f>
        <v>9344.5652173913059</v>
      </c>
      <c r="AE136" s="555">
        <f ca="1">(INDEX($C$135:$N$143,MATCH('Rasterbemessung DE UZ ST'!$D$14,$C$135:$C$143,0),MATCH('Hilfstabellen_Mat&amp;Bem'!AE$135,$C$135:$N$135,0))*2*10^3*n_GESCHOSSE)*gamma_mfi/
(k_modfi*k_fi_ST*'Hilfstabellen_Mat&amp;Bem'!f.Rd.3)</f>
        <v>10590.896739130438</v>
      </c>
      <c r="AF136" s="555">
        <f ca="1">(INDEX($C$135:$N$143,MATCH('Rasterbemessung DE UZ ST'!$D$14,$C$135:$C$143,0),MATCH('Hilfstabellen_Mat&amp;Bem'!AF$135,$C$135:$N$135,0))*2*10^3*n_GESCHOSSE)*gamma_mfi/
(k_modfi*k_fi_ST*'Hilfstabellen_Mat&amp;Bem'!f.Rd.3)</f>
        <v>11811.14130434783</v>
      </c>
      <c r="AG136" s="555">
        <f ca="1">(INDEX($C$135:$N$143,MATCH('Rasterbemessung DE UZ ST'!$D$14,$C$135:$C$143,0),MATCH('Hilfstabellen_Mat&amp;Bem'!AG$135,$C$135:$N$135,0))*2*10^3*n_GESCHOSSE)*gamma_mfi/
(k_modfi*k_fi_ST*'Hilfstabellen_Mat&amp;Bem'!f.Rd.3)</f>
        <v>12565.896739130438</v>
      </c>
      <c r="AH136" s="555">
        <f ca="1">(INDEX($C$135:$N$143,MATCH('Rasterbemessung DE UZ ST'!$D$14,$C$135:$C$143,0),MATCH('Hilfstabellen_Mat&amp;Bem'!AH$135,$C$135:$N$135,0))*2*10^3*n_GESCHOSSE)*gamma_mfi/
(k_modfi*k_fi_ST*'Hilfstabellen_Mat&amp;Bem'!f.Rd.3)</f>
        <v>13563.831521739132</v>
      </c>
      <c r="AI136" s="555">
        <f ca="1">(INDEX($C$135:$N$143,MATCH('Rasterbemessung DE UZ ST'!$D$14,$C$135:$C$143,0),MATCH('Hilfstabellen_Mat&amp;Bem'!AI$135,$C$135:$N$135,0))*2*10^3*n_GESCHOSSE)*gamma_mfi/
(k_modfi*k_fi_ST*'Hilfstabellen_Mat&amp;Bem'!f.Rd.3)</f>
        <v>14329.891304347831</v>
      </c>
      <c r="AW136" s="169"/>
      <c r="AX136" s="169"/>
      <c r="AY136" s="169"/>
      <c r="BK136" s="4"/>
      <c r="BZ136" s="324"/>
      <c r="CB136" s="14"/>
      <c r="CC136" s="320"/>
      <c r="CD136" s="14"/>
      <c r="CE136" s="469"/>
      <c r="CF136" s="345"/>
      <c r="CG136" s="345"/>
      <c r="CH136" s="320"/>
      <c r="CI136" s="320"/>
      <c r="CJ136" s="346"/>
      <c r="CK136" s="346"/>
      <c r="CL136" s="346"/>
    </row>
    <row r="137" spans="1:90" ht="15" customHeight="1">
      <c r="A137" s="169"/>
      <c r="B137" s="169"/>
      <c r="C137" s="558">
        <f t="shared" si="51"/>
        <v>2.65</v>
      </c>
      <c r="D137" s="477">
        <f t="shared" ca="1" si="52"/>
        <v>14.841875</v>
      </c>
      <c r="E137" s="477">
        <f t="shared" ca="1" si="52"/>
        <v>15.732387499999998</v>
      </c>
      <c r="F137" s="477">
        <f t="shared" ca="1" si="52"/>
        <v>16.988137500000001</v>
      </c>
      <c r="G137" s="477">
        <f t="shared" ca="1" si="52"/>
        <v>17.882249999999999</v>
      </c>
      <c r="H137" s="477">
        <f t="shared" ca="1" si="52"/>
        <v>20.946624999999997</v>
      </c>
      <c r="I137" s="477">
        <f t="shared" ca="1" si="52"/>
        <v>24.035</v>
      </c>
      <c r="J137" s="477">
        <f t="shared" ca="1" si="52"/>
        <v>27.255375000000001</v>
      </c>
      <c r="K137" s="477">
        <f t="shared" ca="1" si="52"/>
        <v>30.403749999999999</v>
      </c>
      <c r="L137" s="477">
        <f t="shared" ca="1" si="53"/>
        <v>32.355175000000003</v>
      </c>
      <c r="M137" s="477">
        <f t="shared" ca="1" si="53"/>
        <v>34.933875</v>
      </c>
      <c r="N137" s="477">
        <f t="shared" ca="1" si="53"/>
        <v>36.916499999999999</v>
      </c>
      <c r="O137" s="515"/>
      <c r="V137" s="498" t="s">
        <v>991</v>
      </c>
      <c r="X137" s="554">
        <f>J51</f>
        <v>2.8</v>
      </c>
      <c r="Y137" s="330">
        <f ca="1">INDEX('kc-Wert für Heißbem-Stützen'!$C:$C,MATCH('Hilfstabellen_Mat&amp;Bem'!Y$136,'kc-Wert für Heißbem-Stützen'!$I:$I,1)+1)</f>
        <v>112</v>
      </c>
      <c r="Z137" s="330">
        <f ca="1">INDEX('kc-Wert für Heißbem-Stützen'!$C:$C,MATCH('Hilfstabellen_Mat&amp;Bem'!Z$136,'kc-Wert für Heißbem-Stützen'!$I:$I,1)+1)</f>
        <v>113</v>
      </c>
      <c r="AA137" s="330">
        <f ca="1">INDEX('kc-Wert für Heißbem-Stützen'!$C:$C,MATCH('Hilfstabellen_Mat&amp;Bem'!AA$136,'kc-Wert für Heißbem-Stützen'!$I:$I,1)+1)</f>
        <v>116</v>
      </c>
      <c r="AB137" s="330">
        <f ca="1">INDEX('kc-Wert für Heißbem-Stützen'!$C:$C,MATCH('Hilfstabellen_Mat&amp;Bem'!AB$136,'kc-Wert für Heißbem-Stützen'!$I:$I,1)+1)</f>
        <v>117</v>
      </c>
      <c r="AC137" s="330">
        <f ca="1">INDEX('kc-Wert für Heißbem-Stützen'!$C:$C,MATCH('Hilfstabellen_Mat&amp;Bem'!AC$136,'kc-Wert für Heißbem-Stützen'!$I:$I,1)+1)</f>
        <v>122</v>
      </c>
      <c r="AD137" s="330">
        <f ca="1">INDEX('kc-Wert für Heißbem-Stützen'!$C:$C,MATCH('Hilfstabellen_Mat&amp;Bem'!AD$136,'kc-Wert für Heißbem-Stützen'!$I:$I,1)+1)</f>
        <v>127</v>
      </c>
      <c r="AE137" s="330">
        <f ca="1">INDEX('kc-Wert für Heißbem-Stützen'!$C:$C,MATCH('Hilfstabellen_Mat&amp;Bem'!AE$136,'kc-Wert für Heißbem-Stützen'!$I:$I,1)+1)</f>
        <v>131</v>
      </c>
      <c r="AF137" s="330">
        <f ca="1">INDEX('kc-Wert für Heißbem-Stützen'!$C:$C,MATCH('Hilfstabellen_Mat&amp;Bem'!AF$136,'kc-Wert für Heißbem-Stützen'!$I:$I,1)+1)</f>
        <v>136</v>
      </c>
      <c r="AG137" s="330">
        <f ca="1">INDEX('kc-Wert für Heißbem-Stützen'!$C:$C,MATCH('Hilfstabellen_Mat&amp;Bem'!AG$136,'kc-Wert für Heißbem-Stützen'!$I:$I,1)+1)</f>
        <v>138</v>
      </c>
      <c r="AH137" s="330">
        <f ca="1">INDEX('kc-Wert für Heißbem-Stützen'!$C:$C,MATCH('Hilfstabellen_Mat&amp;Bem'!AH$136,'kc-Wert für Heißbem-Stützen'!$I:$I,1)+1)</f>
        <v>141</v>
      </c>
      <c r="AI137" s="330">
        <f ca="1">INDEX('kc-Wert für Heißbem-Stützen'!$C:$C,MATCH('Hilfstabellen_Mat&amp;Bem'!AI$136,'kc-Wert für Heißbem-Stützen'!$I:$I,1)+1)</f>
        <v>143</v>
      </c>
      <c r="AW137" s="169"/>
      <c r="AX137" s="169"/>
      <c r="AY137" s="169"/>
      <c r="BK137" s="4"/>
      <c r="BZ137" s="324"/>
      <c r="CB137" s="14"/>
      <c r="CC137" s="320"/>
      <c r="CD137" s="14"/>
      <c r="CE137" s="469"/>
      <c r="CF137" s="345"/>
      <c r="CG137" s="345"/>
      <c r="CH137" s="320"/>
      <c r="CI137" s="320"/>
      <c r="CJ137" s="346"/>
      <c r="CK137" s="346"/>
      <c r="CL137" s="346"/>
    </row>
    <row r="138" spans="1:90" ht="15" customHeight="1">
      <c r="A138" s="169"/>
      <c r="B138" s="169"/>
      <c r="C138" s="558">
        <f t="shared" si="51"/>
        <v>2.85</v>
      </c>
      <c r="D138" s="477">
        <f t="shared" ca="1" si="52"/>
        <v>15.939375000000002</v>
      </c>
      <c r="E138" s="477">
        <f t="shared" ca="1" si="52"/>
        <v>16.895737500000003</v>
      </c>
      <c r="F138" s="477">
        <f t="shared" ca="1" si="52"/>
        <v>18.239287500000003</v>
      </c>
      <c r="G138" s="477">
        <f t="shared" ca="1" si="52"/>
        <v>19.199250000000006</v>
      </c>
      <c r="H138" s="477">
        <f t="shared" ca="1" si="52"/>
        <v>22.483125000000005</v>
      </c>
      <c r="I138" s="477">
        <f t="shared" ca="1" si="52"/>
        <v>25.791000000000004</v>
      </c>
      <c r="J138" s="477">
        <f t="shared" ca="1" si="52"/>
        <v>29.230875000000005</v>
      </c>
      <c r="K138" s="477">
        <f t="shared" ca="1" si="52"/>
        <v>32.598750000000003</v>
      </c>
      <c r="L138" s="477">
        <f t="shared" ca="1" si="53"/>
        <v>34.681875000000005</v>
      </c>
      <c r="M138" s="477">
        <f t="shared" ca="1" si="53"/>
        <v>37.436175000000006</v>
      </c>
      <c r="N138" s="477">
        <f t="shared" ca="1" si="53"/>
        <v>39.550500000000014</v>
      </c>
      <c r="O138" s="515"/>
      <c r="X138" s="554">
        <f>J52</f>
        <v>2.9</v>
      </c>
      <c r="Y138" s="555">
        <f ca="1">INDEX('kc-Wert für Heißbem-Stützen'!$M:$M,MATCH('Hilfstabellen_Mat&amp;Bem'!Y$136,'kc-Wert für Heißbem-Stützen'!$S:$S,1)+1)</f>
        <v>113</v>
      </c>
      <c r="Z138" s="555">
        <f ca="1">INDEX('kc-Wert für Heißbem-Stützen'!$M:$M,MATCH('Hilfstabellen_Mat&amp;Bem'!Z$136,'kc-Wert für Heißbem-Stützen'!$S:$S,1)+1)</f>
        <v>115</v>
      </c>
      <c r="AA138" s="555">
        <f ca="1">INDEX('kc-Wert für Heißbem-Stützen'!$M:$M,MATCH('Hilfstabellen_Mat&amp;Bem'!AA$136,'kc-Wert für Heißbem-Stützen'!$S:$S,1)+1)</f>
        <v>118</v>
      </c>
      <c r="AB138" s="555">
        <f ca="1">INDEX('kc-Wert für Heißbem-Stützen'!$M:$M,MATCH('Hilfstabellen_Mat&amp;Bem'!AB$136,'kc-Wert für Heißbem-Stützen'!$S:$S,1)+1)</f>
        <v>119</v>
      </c>
      <c r="AC138" s="555">
        <f ca="1">INDEX('kc-Wert für Heißbem-Stützen'!$M:$M,MATCH('Hilfstabellen_Mat&amp;Bem'!AC$136,'kc-Wert für Heißbem-Stützen'!$S:$S,1)+1)</f>
        <v>124</v>
      </c>
      <c r="AD138" s="555">
        <f ca="1">INDEX('kc-Wert für Heißbem-Stützen'!$M:$M,MATCH('Hilfstabellen_Mat&amp;Bem'!AD$136,'kc-Wert für Heißbem-Stützen'!$S:$S,1)+1)</f>
        <v>129</v>
      </c>
      <c r="AE138" s="555">
        <f ca="1">INDEX('kc-Wert für Heißbem-Stützen'!$M:$M,MATCH('Hilfstabellen_Mat&amp;Bem'!AE$136,'kc-Wert für Heißbem-Stützen'!$S:$S,1)+1)</f>
        <v>133</v>
      </c>
      <c r="AF138" s="555">
        <f ca="1">INDEX('kc-Wert für Heißbem-Stützen'!$M:$M,MATCH('Hilfstabellen_Mat&amp;Bem'!AF$136,'kc-Wert für Heißbem-Stützen'!$S:$S,1)+1)</f>
        <v>138</v>
      </c>
      <c r="AG138" s="555">
        <f ca="1">INDEX('kc-Wert für Heißbem-Stützen'!$M:$M,MATCH('Hilfstabellen_Mat&amp;Bem'!AG$136,'kc-Wert für Heißbem-Stützen'!$S:$S,1)+1)</f>
        <v>140</v>
      </c>
      <c r="AH138" s="555">
        <f ca="1">INDEX('kc-Wert für Heißbem-Stützen'!$M:$M,MATCH('Hilfstabellen_Mat&amp;Bem'!AH$136,'kc-Wert für Heißbem-Stützen'!$S:$S,1)+1)</f>
        <v>143</v>
      </c>
      <c r="AI138" s="555">
        <f ca="1">INDEX('kc-Wert für Heißbem-Stützen'!$M:$M,MATCH('Hilfstabellen_Mat&amp;Bem'!AI$136,'kc-Wert für Heißbem-Stützen'!$S:$S,1)+1)</f>
        <v>146</v>
      </c>
      <c r="AW138" s="169"/>
      <c r="AX138" s="169"/>
      <c r="AY138" s="169"/>
      <c r="BK138" s="4"/>
      <c r="BZ138" s="324"/>
      <c r="CB138" s="14"/>
      <c r="CC138" s="320"/>
      <c r="CD138" s="14"/>
      <c r="CE138" s="469"/>
      <c r="CF138" s="345"/>
      <c r="CG138" s="345"/>
      <c r="CH138" s="320"/>
      <c r="CI138" s="320"/>
      <c r="CJ138" s="346"/>
      <c r="CK138" s="346"/>
      <c r="CL138" s="346"/>
    </row>
    <row r="139" spans="1:90" ht="15" customHeight="1">
      <c r="A139" s="169"/>
      <c r="B139" s="169"/>
      <c r="C139" s="558">
        <f t="shared" si="51"/>
        <v>3</v>
      </c>
      <c r="D139" s="477">
        <f t="shared" ca="1" si="52"/>
        <v>16.762500000000003</v>
      </c>
      <c r="E139" s="477">
        <f t="shared" ca="1" si="52"/>
        <v>17.831850000000003</v>
      </c>
      <c r="F139" s="477">
        <f t="shared" ca="1" si="52"/>
        <v>19.17765</v>
      </c>
      <c r="G139" s="477">
        <f t="shared" ca="1" si="52"/>
        <v>20.187000000000001</v>
      </c>
      <c r="H139" s="477">
        <f t="shared" ca="1" si="52"/>
        <v>23.6355</v>
      </c>
      <c r="I139" s="477">
        <f t="shared" ca="1" si="52"/>
        <v>27.204000000000004</v>
      </c>
      <c r="J139" s="477">
        <f t="shared" ca="1" si="52"/>
        <v>30.712500000000002</v>
      </c>
      <c r="K139" s="477">
        <f t="shared" ca="1" si="52"/>
        <v>34.245000000000005</v>
      </c>
      <c r="L139" s="477">
        <f t="shared" ca="1" si="53"/>
        <v>36.426900000000003</v>
      </c>
      <c r="M139" s="477">
        <f t="shared" ca="1" si="53"/>
        <v>39.312900000000013</v>
      </c>
      <c r="N139" s="477">
        <f t="shared" ca="1" si="53"/>
        <v>41.526000000000003</v>
      </c>
      <c r="O139" s="515"/>
      <c r="X139" s="554">
        <f>J53</f>
        <v>3</v>
      </c>
      <c r="Y139" s="555">
        <f ca="1">INDEX('kc-Wert für Heißbem-Stützen'!$W:$W,MATCH('Hilfstabellen_Mat&amp;Bem'!Y$136,'kc-Wert für Heißbem-Stützen'!$AC:$AC,1)+1)</f>
        <v>115</v>
      </c>
      <c r="Z139" s="555">
        <f ca="1">INDEX('kc-Wert für Heißbem-Stützen'!$W:$W,MATCH('Hilfstabellen_Mat&amp;Bem'!Z$136,'kc-Wert für Heißbem-Stützen'!$AC:$AC,1)+1)</f>
        <v>117</v>
      </c>
      <c r="AA139" s="555">
        <f ca="1">INDEX('kc-Wert für Heißbem-Stützen'!$W:$W,MATCH('Hilfstabellen_Mat&amp;Bem'!AA$136,'kc-Wert für Heißbem-Stützen'!$AC:$AC,1)+1)</f>
        <v>119</v>
      </c>
      <c r="AB139" s="555">
        <f ca="1">INDEX('kc-Wert für Heißbem-Stützen'!$W:$W,MATCH('Hilfstabellen_Mat&amp;Bem'!AB$136,'kc-Wert für Heißbem-Stützen'!$AC:$AC,1)+1)</f>
        <v>121</v>
      </c>
      <c r="AC139" s="555">
        <f ca="1">INDEX('kc-Wert für Heißbem-Stützen'!$W:$W,MATCH('Hilfstabellen_Mat&amp;Bem'!AC$136,'kc-Wert für Heißbem-Stützen'!$AC:$AC,1)+1)</f>
        <v>126</v>
      </c>
      <c r="AD139" s="555">
        <f ca="1">INDEX('kc-Wert für Heißbem-Stützen'!$W:$W,MATCH('Hilfstabellen_Mat&amp;Bem'!AD$136,'kc-Wert für Heißbem-Stützen'!$AC:$AC,1)+1)</f>
        <v>131</v>
      </c>
      <c r="AE139" s="555">
        <f ca="1">INDEX('kc-Wert für Heißbem-Stützen'!$W:$W,MATCH('Hilfstabellen_Mat&amp;Bem'!AE$136,'kc-Wert für Heißbem-Stützen'!$AC:$AC,1)+1)</f>
        <v>136</v>
      </c>
      <c r="AF139" s="555">
        <f ca="1">INDEX('kc-Wert für Heißbem-Stützen'!$W:$W,MATCH('Hilfstabellen_Mat&amp;Bem'!AF$136,'kc-Wert für Heißbem-Stützen'!$AC:$AC,1)+1)</f>
        <v>140</v>
      </c>
      <c r="AG139" s="555">
        <f ca="1">INDEX('kc-Wert für Heißbem-Stützen'!$W:$W,MATCH('Hilfstabellen_Mat&amp;Bem'!AG$136,'kc-Wert für Heißbem-Stützen'!$AC:$AC,1)+1)</f>
        <v>142</v>
      </c>
      <c r="AH139" s="555">
        <f ca="1">INDEX('kc-Wert für Heißbem-Stützen'!$W:$W,MATCH('Hilfstabellen_Mat&amp;Bem'!AH$136,'kc-Wert für Heißbem-Stützen'!$AC:$AC,1)+1)</f>
        <v>145</v>
      </c>
      <c r="AI139" s="555">
        <f ca="1">INDEX('kc-Wert für Heißbem-Stützen'!$W:$W,MATCH('Hilfstabellen_Mat&amp;Bem'!AI$136,'kc-Wert für Heißbem-Stützen'!$AC:$AC,1)+1)</f>
        <v>148</v>
      </c>
      <c r="AJ139" s="169"/>
      <c r="AK139" s="169"/>
      <c r="AL139" s="169"/>
      <c r="AM139" s="169"/>
      <c r="AN139" s="169"/>
      <c r="AO139" s="169"/>
      <c r="AP139" s="169"/>
      <c r="AQ139" s="169"/>
      <c r="AR139" s="169"/>
      <c r="AS139" s="169"/>
      <c r="AT139" s="169"/>
      <c r="AU139" s="169"/>
      <c r="AV139" s="169"/>
      <c r="AW139" s="169"/>
      <c r="AX139" s="169"/>
      <c r="AY139" s="169"/>
      <c r="BK139" s="4"/>
      <c r="BZ139" s="324"/>
      <c r="CB139" s="14"/>
      <c r="CC139" s="320"/>
      <c r="CD139" s="14"/>
      <c r="CE139" s="469"/>
      <c r="CF139" s="345"/>
      <c r="CG139" s="345"/>
      <c r="CH139" s="320"/>
      <c r="CI139" s="320"/>
      <c r="CJ139" s="346"/>
      <c r="CK139" s="346"/>
      <c r="CL139" s="346"/>
    </row>
    <row r="140" spans="1:90" ht="15" customHeight="1">
      <c r="A140" s="169"/>
      <c r="B140" s="169"/>
      <c r="C140" s="558">
        <f t="shared" si="51"/>
        <v>3.5</v>
      </c>
      <c r="D140" s="477">
        <f t="shared" ca="1" si="52"/>
        <v>20.00375</v>
      </c>
      <c r="E140" s="477">
        <f t="shared" ca="1" si="52"/>
        <v>21.203974999999996</v>
      </c>
      <c r="F140" s="477">
        <f t="shared" ca="1" si="52"/>
        <v>22.804275000000001</v>
      </c>
      <c r="G140" s="477">
        <f t="shared" ca="1" si="52"/>
        <v>24.076499999999999</v>
      </c>
      <c r="H140" s="477">
        <f t="shared" ca="1" si="52"/>
        <v>28.173249999999999</v>
      </c>
      <c r="I140" s="477">
        <f t="shared" ca="1" si="52"/>
        <v>32.293999999999997</v>
      </c>
      <c r="J140" s="477">
        <f t="shared" ca="1" si="52"/>
        <v>36.438749999999999</v>
      </c>
      <c r="K140" s="477">
        <f t="shared" ca="1" si="52"/>
        <v>40.727499999999999</v>
      </c>
      <c r="L140" s="477">
        <f t="shared" ca="1" si="53"/>
        <v>43.298349999999992</v>
      </c>
      <c r="M140" s="477">
        <f t="shared" ca="1" si="53"/>
        <v>46.702950000000001</v>
      </c>
      <c r="N140" s="477">
        <f t="shared" ca="1" si="53"/>
        <v>49.305</v>
      </c>
      <c r="O140" s="515"/>
      <c r="X140" s="554">
        <f>J54</f>
        <v>3.1</v>
      </c>
      <c r="Y140" s="555">
        <f ca="1">INDEX('kc-Wert für Heißbem-Stützen'!$AG:$AG,MATCH('Hilfstabellen_Mat&amp;Bem'!Y$136,'kc-Wert für Heißbem-Stützen'!$AM:$AM,1)+1)</f>
        <v>117</v>
      </c>
      <c r="Z140" s="555">
        <f ca="1">INDEX('kc-Wert für Heißbem-Stützen'!$AG:$AG,MATCH('Hilfstabellen_Mat&amp;Bem'!Z$136,'kc-Wert für Heißbem-Stützen'!$AM:$AM,1)+1)</f>
        <v>119</v>
      </c>
      <c r="AA140" s="555">
        <f ca="1">INDEX('kc-Wert für Heißbem-Stützen'!$AG:$AG,MATCH('Hilfstabellen_Mat&amp;Bem'!AA$136,'kc-Wert für Heißbem-Stützen'!$AM:$AM,1)+1)</f>
        <v>121</v>
      </c>
      <c r="AB140" s="555">
        <f ca="1">INDEX('kc-Wert für Heißbem-Stützen'!$AG:$AG,MATCH('Hilfstabellen_Mat&amp;Bem'!AB$136,'kc-Wert für Heißbem-Stützen'!$AM:$AM,1)+1)</f>
        <v>123</v>
      </c>
      <c r="AC140" s="555">
        <f ca="1">INDEX('kc-Wert für Heißbem-Stützen'!$AG:$AG,MATCH('Hilfstabellen_Mat&amp;Bem'!AC$136,'kc-Wert für Heißbem-Stützen'!$AM:$AM,1)+1)</f>
        <v>128</v>
      </c>
      <c r="AD140" s="555">
        <f ca="1">INDEX('kc-Wert für Heißbem-Stützen'!$AG:$AG,MATCH('Hilfstabellen_Mat&amp;Bem'!AD$136,'kc-Wert für Heißbem-Stützen'!$AM:$AM,1)+1)</f>
        <v>133</v>
      </c>
      <c r="AE140" s="555">
        <f ca="1">INDEX('kc-Wert für Heißbem-Stützen'!$AG:$AG,MATCH('Hilfstabellen_Mat&amp;Bem'!AE$136,'kc-Wert für Heißbem-Stützen'!$AM:$AM,1)+1)</f>
        <v>138</v>
      </c>
      <c r="AF140" s="555">
        <f ca="1">INDEX('kc-Wert für Heißbem-Stützen'!$AG:$AG,MATCH('Hilfstabellen_Mat&amp;Bem'!AF$136,'kc-Wert für Heißbem-Stützen'!$AM:$AM,1)+1)</f>
        <v>142</v>
      </c>
      <c r="AG140" s="555">
        <f ca="1">INDEX('kc-Wert für Heißbem-Stützen'!$AG:$AG,MATCH('Hilfstabellen_Mat&amp;Bem'!AG$136,'kc-Wert für Heißbem-Stützen'!$AM:$AM,1)+1)</f>
        <v>144</v>
      </c>
      <c r="AH140" s="555">
        <f ca="1">INDEX('kc-Wert für Heißbem-Stützen'!$AG:$AG,MATCH('Hilfstabellen_Mat&amp;Bem'!AH$136,'kc-Wert für Heißbem-Stützen'!$AM:$AM,1)+1)</f>
        <v>147</v>
      </c>
      <c r="AI140" s="555">
        <f ca="1">INDEX('kc-Wert für Heißbem-Stützen'!$AG:$AG,MATCH('Hilfstabellen_Mat&amp;Bem'!AI$136,'kc-Wert für Heißbem-Stützen'!$AM:$AM,1)+1)</f>
        <v>150</v>
      </c>
      <c r="AJ140" s="169"/>
      <c r="AK140" s="169"/>
      <c r="AL140" s="169"/>
      <c r="AM140" s="169"/>
      <c r="AN140" s="169"/>
      <c r="AO140" s="169"/>
      <c r="AP140" s="169"/>
      <c r="AQ140" s="169"/>
      <c r="AR140" s="169"/>
      <c r="AS140" s="169"/>
      <c r="AT140" s="169"/>
      <c r="AU140" s="169"/>
      <c r="AV140" s="169"/>
      <c r="AW140" s="169"/>
      <c r="AX140" s="169"/>
      <c r="AY140" s="169"/>
      <c r="BK140" s="4"/>
      <c r="BZ140" s="324"/>
      <c r="CB140" s="14"/>
      <c r="CC140" s="320"/>
      <c r="CD140" s="14"/>
      <c r="CE140" s="469"/>
      <c r="CF140" s="345"/>
      <c r="CG140" s="345"/>
      <c r="CH140" s="320"/>
      <c r="CI140" s="320"/>
      <c r="CJ140" s="346"/>
      <c r="CK140" s="346"/>
      <c r="CL140" s="346"/>
    </row>
    <row r="141" spans="1:90" ht="15" customHeight="1">
      <c r="A141" s="169"/>
      <c r="B141" s="169"/>
      <c r="C141" s="558">
        <f t="shared" si="51"/>
        <v>4</v>
      </c>
      <c r="D141" s="477">
        <f t="shared" ca="1" si="52"/>
        <v>23.310000000000002</v>
      </c>
      <c r="E141" s="477">
        <f t="shared" ca="1" si="52"/>
        <v>24.708600000000001</v>
      </c>
      <c r="F141" s="477">
        <f t="shared" ca="1" si="52"/>
        <v>26.641800000000003</v>
      </c>
      <c r="G141" s="477">
        <f t="shared" ca="1" si="52"/>
        <v>28.044000000000004</v>
      </c>
      <c r="H141" s="477">
        <f t="shared" ca="1" si="52"/>
        <v>32.802</v>
      </c>
      <c r="I141" s="477">
        <f t="shared" ca="1" si="52"/>
        <v>37.584000000000003</v>
      </c>
      <c r="J141" s="477">
        <f t="shared" ca="1" si="52"/>
        <v>42.497999999999998</v>
      </c>
      <c r="K141" s="477">
        <f t="shared" ca="1" si="52"/>
        <v>47.46</v>
      </c>
      <c r="L141" s="477">
        <f t="shared" ca="1" si="53"/>
        <v>50.434800000000003</v>
      </c>
      <c r="M141" s="477">
        <f t="shared" ca="1" si="53"/>
        <v>54.378</v>
      </c>
      <c r="N141" s="477">
        <f t="shared" ca="1" si="53"/>
        <v>57.384000000000007</v>
      </c>
      <c r="O141" s="515"/>
      <c r="X141" s="554">
        <f>J55</f>
        <v>3.2</v>
      </c>
      <c r="Y141" s="555">
        <f ca="1">INDEX('kc-Wert für Heißbem-Stützen'!$AQ:$AQ,MATCH('Hilfstabellen_Mat&amp;Bem'!Y$136,'kc-Wert für Heißbem-Stützen'!$AW:$AW,1)+1)</f>
        <v>119</v>
      </c>
      <c r="Z141" s="555">
        <f ca="1">INDEX('kc-Wert für Heißbem-Stützen'!$AQ:$AQ,MATCH('Hilfstabellen_Mat&amp;Bem'!Z$136,'kc-Wert für Heißbem-Stützen'!$AW:$AW,1)+1)</f>
        <v>121</v>
      </c>
      <c r="AA141" s="555">
        <f ca="1">INDEX('kc-Wert für Heißbem-Stützen'!$AQ:$AQ,MATCH('Hilfstabellen_Mat&amp;Bem'!AA$136,'kc-Wert für Heißbem-Stützen'!$AW:$AW,1)+1)</f>
        <v>123</v>
      </c>
      <c r="AB141" s="555">
        <f ca="1">INDEX('kc-Wert für Heißbem-Stützen'!$AQ:$AQ,MATCH('Hilfstabellen_Mat&amp;Bem'!AB$136,'kc-Wert für Heißbem-Stützen'!$AW:$AW,1)+1)</f>
        <v>125</v>
      </c>
      <c r="AC141" s="555">
        <f ca="1">INDEX('kc-Wert für Heißbem-Stützen'!$AQ:$AQ,MATCH('Hilfstabellen_Mat&amp;Bem'!AC$136,'kc-Wert für Heißbem-Stützen'!$AW:$AW,1)+1)</f>
        <v>130</v>
      </c>
      <c r="AD141" s="555">
        <f ca="1">INDEX('kc-Wert für Heißbem-Stützen'!$AQ:$AQ,MATCH('Hilfstabellen_Mat&amp;Bem'!AD$136,'kc-Wert für Heißbem-Stützen'!$AW:$AW,1)+1)</f>
        <v>135</v>
      </c>
      <c r="AE141" s="555">
        <f ca="1">INDEX('kc-Wert für Heißbem-Stützen'!$AQ:$AQ,MATCH('Hilfstabellen_Mat&amp;Bem'!AE$136,'kc-Wert für Heißbem-Stützen'!$AW:$AW,1)+1)</f>
        <v>140</v>
      </c>
      <c r="AF141" s="555">
        <f ca="1">INDEX('kc-Wert für Heißbem-Stützen'!$AQ:$AQ,MATCH('Hilfstabellen_Mat&amp;Bem'!AF$136,'kc-Wert für Heißbem-Stützen'!$AW:$AW,1)+1)</f>
        <v>144</v>
      </c>
      <c r="AG141" s="555">
        <f ca="1">INDEX('kc-Wert für Heißbem-Stützen'!$AQ:$AQ,MATCH('Hilfstabellen_Mat&amp;Bem'!AG$136,'kc-Wert für Heißbem-Stützen'!$AW:$AW,1)+1)</f>
        <v>146</v>
      </c>
      <c r="AH141" s="555">
        <f ca="1">INDEX('kc-Wert für Heißbem-Stützen'!$AQ:$AQ,MATCH('Hilfstabellen_Mat&amp;Bem'!AH$136,'kc-Wert für Heißbem-Stützen'!$AW:$AW,1)+1)</f>
        <v>149</v>
      </c>
      <c r="AI141" s="555">
        <f ca="1">INDEX('kc-Wert für Heißbem-Stützen'!$AQ:$AQ,MATCH('Hilfstabellen_Mat&amp;Bem'!AI$136,'kc-Wert für Heißbem-Stützen'!$AW:$AW,1)+1)</f>
        <v>152</v>
      </c>
      <c r="AJ141" s="169"/>
      <c r="AK141" s="169"/>
      <c r="AL141" s="169"/>
      <c r="AM141" s="169"/>
      <c r="AN141" s="169"/>
      <c r="AO141" s="169"/>
      <c r="AP141" s="169"/>
      <c r="AQ141" s="169"/>
      <c r="AR141" s="169"/>
      <c r="AS141" s="169"/>
      <c r="AT141" s="169"/>
      <c r="AU141" s="169"/>
      <c r="AV141" s="169"/>
      <c r="AW141" s="169"/>
      <c r="AX141" s="169"/>
      <c r="AY141" s="169"/>
      <c r="BK141" s="4"/>
      <c r="BZ141" s="324"/>
      <c r="CB141" s="14"/>
      <c r="CC141" s="320"/>
      <c r="CD141" s="14"/>
      <c r="CE141" s="469"/>
      <c r="CF141" s="345"/>
      <c r="CG141" s="345"/>
      <c r="CH141" s="320"/>
      <c r="CI141" s="320"/>
      <c r="CJ141" s="346"/>
      <c r="CK141" s="346"/>
      <c r="CL141" s="346"/>
    </row>
    <row r="142" spans="1:90" ht="15" customHeight="1">
      <c r="A142" s="169"/>
      <c r="B142" s="169"/>
      <c r="C142" s="558">
        <f t="shared" si="51"/>
        <v>4.5</v>
      </c>
      <c r="D142" s="477">
        <f t="shared" ca="1" si="52"/>
        <v>26.741250000000001</v>
      </c>
      <c r="E142" s="477">
        <f t="shared" ca="1" si="52"/>
        <v>28.409324999999995</v>
      </c>
      <c r="F142" s="477">
        <f t="shared" ca="1" si="52"/>
        <v>30.553424999999997</v>
      </c>
      <c r="G142" s="477">
        <f t="shared" ca="1" si="52"/>
        <v>32.161499999999997</v>
      </c>
      <c r="H142" s="477">
        <f t="shared" ca="1" si="52"/>
        <v>37.689750000000004</v>
      </c>
      <c r="I142" s="477">
        <f t="shared" ca="1" si="52"/>
        <v>43.17</v>
      </c>
      <c r="J142" s="477">
        <f t="shared" ca="1" si="52"/>
        <v>48.782249999999998</v>
      </c>
      <c r="K142" s="477">
        <f t="shared" ca="1" si="52"/>
        <v>54.322499999999991</v>
      </c>
      <c r="L142" s="477">
        <f t="shared" ca="1" si="53"/>
        <v>57.709050000000005</v>
      </c>
      <c r="M142" s="477">
        <f t="shared" ca="1" si="53"/>
        <v>62.338050000000003</v>
      </c>
      <c r="N142" s="477">
        <f t="shared" ca="1" si="53"/>
        <v>65.762999999999991</v>
      </c>
      <c r="O142" s="515"/>
      <c r="AG142" s="169"/>
      <c r="AH142" s="169"/>
      <c r="AI142" s="169"/>
      <c r="AJ142" s="169"/>
      <c r="AK142" s="169"/>
      <c r="AL142" s="169"/>
      <c r="AM142" s="169"/>
      <c r="AN142" s="169"/>
      <c r="AO142" s="169"/>
      <c r="AP142" s="169"/>
      <c r="AQ142" s="169"/>
      <c r="AR142" s="169"/>
      <c r="AS142" s="169"/>
      <c r="AT142" s="169"/>
      <c r="AU142" s="169"/>
      <c r="AV142" s="169"/>
      <c r="AW142" s="169"/>
      <c r="AX142" s="169"/>
      <c r="AY142" s="169"/>
      <c r="BK142" s="4"/>
      <c r="BZ142" s="324"/>
      <c r="CB142" s="14"/>
      <c r="CC142" s="320"/>
      <c r="CD142" s="14"/>
      <c r="CE142" s="469"/>
      <c r="CF142" s="345"/>
      <c r="CG142" s="345"/>
      <c r="CH142" s="320"/>
      <c r="CI142" s="320"/>
      <c r="CJ142" s="346"/>
      <c r="CK142" s="346"/>
      <c r="CL142" s="346"/>
    </row>
    <row r="143" spans="1:90" ht="15" customHeight="1">
      <c r="A143" s="169"/>
      <c r="B143" s="169"/>
      <c r="C143" s="558">
        <f t="shared" si="51"/>
        <v>5</v>
      </c>
      <c r="D143" s="477">
        <f t="shared" ca="1" si="52"/>
        <v>30.982499999999998</v>
      </c>
      <c r="E143" s="477">
        <f t="shared" ca="1" si="52"/>
        <v>32.841449999999995</v>
      </c>
      <c r="F143" s="477">
        <f t="shared" ca="1" si="52"/>
        <v>35.388449999999999</v>
      </c>
      <c r="G143" s="477">
        <f t="shared" ca="1" si="52"/>
        <v>37.250999999999998</v>
      </c>
      <c r="H143" s="477">
        <f t="shared" ca="1" si="52"/>
        <v>43.543500000000002</v>
      </c>
      <c r="I143" s="477">
        <f t="shared" ca="1" si="52"/>
        <v>49.86</v>
      </c>
      <c r="J143" s="477">
        <f t="shared" ca="1" si="52"/>
        <v>56.308499999999995</v>
      </c>
      <c r="K143" s="477">
        <f t="shared" ca="1" si="52"/>
        <v>62.805</v>
      </c>
      <c r="L143" s="477">
        <f t="shared" ca="1" si="53"/>
        <v>66.700499999999991</v>
      </c>
      <c r="M143" s="477">
        <f t="shared" ca="1" si="53"/>
        <v>71.871300000000005</v>
      </c>
      <c r="N143" s="477">
        <f t="shared" ca="1" si="53"/>
        <v>75.941999999999993</v>
      </c>
      <c r="O143" s="515"/>
      <c r="AG143" s="169"/>
      <c r="AH143" s="169"/>
      <c r="AI143" s="169"/>
      <c r="AJ143" s="169"/>
      <c r="AK143" s="169"/>
      <c r="AL143" s="169"/>
      <c r="AM143" s="169"/>
      <c r="AN143" s="169"/>
      <c r="AO143" s="169"/>
      <c r="AP143" s="169"/>
      <c r="AQ143" s="169"/>
      <c r="AR143" s="169"/>
      <c r="AS143" s="169"/>
      <c r="AT143" s="169"/>
      <c r="AU143" s="169"/>
      <c r="AV143" s="169"/>
      <c r="AW143" s="169"/>
      <c r="AX143" s="169"/>
      <c r="AY143" s="169"/>
      <c r="BK143" s="4"/>
      <c r="BZ143" s="324"/>
      <c r="CB143" s="14"/>
      <c r="CC143" s="320"/>
      <c r="CD143" s="14"/>
      <c r="CE143" s="469"/>
      <c r="CF143" s="345"/>
      <c r="CG143" s="345"/>
      <c r="CH143" s="320"/>
      <c r="CI143" s="320"/>
      <c r="CJ143" s="346"/>
      <c r="CK143" s="346"/>
      <c r="CL143" s="346"/>
    </row>
    <row r="144" spans="1:90" ht="15" customHeight="1">
      <c r="A144" s="169"/>
      <c r="B144" s="169"/>
      <c r="C144" s="558">
        <f>$D59</f>
        <v>5.3</v>
      </c>
      <c r="D144" s="477">
        <f t="shared" ref="D144:N144" ca="1" si="54">(1*D101+0.3*D114)</f>
        <v>32.816249999999997</v>
      </c>
      <c r="E144" s="477">
        <f t="shared" ca="1" si="54"/>
        <v>34.785224999999997</v>
      </c>
      <c r="F144" s="477">
        <f t="shared" ca="1" si="54"/>
        <v>37.478925000000004</v>
      </c>
      <c r="G144" s="477">
        <f t="shared" ca="1" si="54"/>
        <v>39.451500000000003</v>
      </c>
      <c r="H144" s="477">
        <f t="shared" ca="1" si="54"/>
        <v>46.110749999999996</v>
      </c>
      <c r="I144" s="477">
        <f t="shared" ca="1" si="54"/>
        <v>52.89</v>
      </c>
      <c r="J144" s="477">
        <f t="shared" ca="1" si="54"/>
        <v>59.609250000000003</v>
      </c>
      <c r="K144" s="477">
        <f t="shared" ca="1" si="54"/>
        <v>66.472499999999997</v>
      </c>
      <c r="L144" s="477">
        <f t="shared" ca="1" si="54"/>
        <v>70.588049999999996</v>
      </c>
      <c r="M144" s="477">
        <f t="shared" ca="1" si="54"/>
        <v>76.189049999999995</v>
      </c>
      <c r="N144" s="477">
        <f t="shared" ca="1" si="54"/>
        <v>80.343000000000018</v>
      </c>
      <c r="O144" s="515"/>
      <c r="AG144" s="169"/>
      <c r="AH144" s="169"/>
      <c r="AI144" s="169"/>
      <c r="AJ144" s="169"/>
      <c r="AK144" s="169"/>
      <c r="AL144" s="169"/>
      <c r="AM144" s="169"/>
      <c r="AN144" s="169"/>
      <c r="AO144" s="169"/>
      <c r="AP144" s="169"/>
      <c r="AQ144" s="169"/>
      <c r="AR144" s="169"/>
      <c r="AS144" s="169"/>
      <c r="AT144" s="169"/>
      <c r="AU144" s="169"/>
      <c r="AV144" s="169"/>
      <c r="AW144" s="169"/>
      <c r="AX144" s="169"/>
      <c r="AY144" s="169"/>
      <c r="BK144" s="4"/>
      <c r="BZ144" s="324"/>
      <c r="CB144" s="14"/>
      <c r="CC144" s="320"/>
      <c r="CD144" s="14"/>
      <c r="CE144" s="469"/>
      <c r="CF144" s="345"/>
      <c r="CG144" s="345"/>
      <c r="CH144" s="320"/>
      <c r="CI144" s="320"/>
      <c r="CJ144" s="346"/>
      <c r="CK144" s="346"/>
      <c r="CL144" s="346"/>
    </row>
    <row r="145" spans="1:90" ht="15" customHeight="1">
      <c r="A145" s="169"/>
      <c r="B145" s="169"/>
      <c r="C145" s="558">
        <f>$D60</f>
        <v>5.7</v>
      </c>
      <c r="D145" s="477">
        <f t="shared" ref="D145:N145" ca="1" si="55">(1*D102+0.3*D115)</f>
        <v>33.123750000000001</v>
      </c>
      <c r="E145" s="477">
        <f t="shared" ca="1" si="55"/>
        <v>35.174775000000004</v>
      </c>
      <c r="F145" s="477">
        <f t="shared" ca="1" si="55"/>
        <v>37.829475000000009</v>
      </c>
      <c r="G145" s="477">
        <f t="shared" ca="1" si="55"/>
        <v>39.892499999999998</v>
      </c>
      <c r="H145" s="477">
        <f t="shared" ca="1" si="55"/>
        <v>46.625250000000008</v>
      </c>
      <c r="I145" s="477">
        <f t="shared" ca="1" si="55"/>
        <v>53.382000000000005</v>
      </c>
      <c r="J145" s="477">
        <f t="shared" ca="1" si="55"/>
        <v>60.270750000000007</v>
      </c>
      <c r="K145" s="477">
        <f t="shared" ca="1" si="55"/>
        <v>67.20750000000001</v>
      </c>
      <c r="L145" s="477">
        <f t="shared" ca="1" si="55"/>
        <v>71.367150000000009</v>
      </c>
      <c r="M145" s="477">
        <f t="shared" ca="1" si="55"/>
        <v>76.89015000000002</v>
      </c>
      <c r="N145" s="477">
        <f t="shared" ca="1" si="55"/>
        <v>81.081000000000017</v>
      </c>
      <c r="O145" s="515"/>
      <c r="AG145" s="169"/>
      <c r="AH145" s="169"/>
      <c r="AI145" s="169"/>
      <c r="AJ145" s="169"/>
      <c r="AK145" s="169"/>
      <c r="AL145" s="169"/>
      <c r="AM145" s="169"/>
      <c r="AN145" s="169"/>
      <c r="AO145" s="169"/>
      <c r="AP145" s="169"/>
      <c r="AQ145" s="169"/>
      <c r="AR145" s="169"/>
      <c r="AS145" s="169"/>
      <c r="AT145" s="169"/>
      <c r="AU145" s="169"/>
      <c r="AV145" s="169"/>
      <c r="AW145" s="169"/>
      <c r="AX145" s="169"/>
      <c r="AY145" s="169"/>
      <c r="BK145" s="4"/>
      <c r="BZ145" s="324"/>
      <c r="CB145" s="14"/>
      <c r="CC145" s="320"/>
      <c r="CD145" s="14"/>
      <c r="CE145" s="469"/>
      <c r="CF145" s="345"/>
      <c r="CG145" s="345"/>
      <c r="CH145" s="320"/>
      <c r="CI145" s="320"/>
      <c r="CJ145" s="346"/>
      <c r="CK145" s="346"/>
      <c r="CL145" s="346"/>
    </row>
    <row r="146" spans="1:90" ht="15" customHeight="1">
      <c r="A146" s="169"/>
      <c r="B146" s="169"/>
      <c r="C146" s="558">
        <f>$D61</f>
        <v>6</v>
      </c>
      <c r="D146" s="477">
        <f t="shared" ref="D146:N146" ca="1" si="56">(1*D103+0.3*D116)</f>
        <v>34.844999999999999</v>
      </c>
      <c r="E146" s="477">
        <f t="shared" ca="1" si="56"/>
        <v>36.999300000000005</v>
      </c>
      <c r="F146" s="477">
        <f t="shared" ca="1" si="56"/>
        <v>39.791700000000006</v>
      </c>
      <c r="G146" s="477">
        <f t="shared" ca="1" si="56"/>
        <v>41.958000000000006</v>
      </c>
      <c r="H146" s="477">
        <f t="shared" ca="1" si="56"/>
        <v>49.035000000000004</v>
      </c>
      <c r="I146" s="477">
        <f t="shared" ca="1" si="56"/>
        <v>56.136000000000003</v>
      </c>
      <c r="J146" s="477">
        <f t="shared" ca="1" si="56"/>
        <v>63.369</v>
      </c>
      <c r="K146" s="477">
        <f t="shared" ca="1" si="56"/>
        <v>70.53</v>
      </c>
      <c r="L146" s="477">
        <f t="shared" ca="1" si="56"/>
        <v>74.888999999999996</v>
      </c>
      <c r="M146" s="477">
        <f t="shared" ca="1" si="56"/>
        <v>80.814600000000013</v>
      </c>
      <c r="N146" s="477">
        <f t="shared" ca="1" si="56"/>
        <v>85.212000000000003</v>
      </c>
      <c r="O146" s="515"/>
      <c r="AG146" s="169"/>
      <c r="AH146" s="169"/>
      <c r="AI146" s="169"/>
      <c r="AJ146" s="169"/>
      <c r="AK146" s="169"/>
      <c r="AL146" s="169"/>
      <c r="AM146" s="169"/>
      <c r="AN146" s="169"/>
      <c r="AO146" s="169"/>
      <c r="AP146" s="169"/>
      <c r="AQ146" s="169"/>
      <c r="AR146" s="169"/>
      <c r="AS146" s="169"/>
      <c r="AT146" s="169"/>
      <c r="AU146" s="169"/>
      <c r="AV146" s="169"/>
      <c r="AW146" s="169"/>
      <c r="AX146" s="169"/>
      <c r="AY146" s="169"/>
      <c r="BK146" s="4"/>
      <c r="BZ146" s="324"/>
      <c r="CB146" s="14"/>
      <c r="CC146" s="320"/>
      <c r="CD146" s="14"/>
      <c r="CE146" s="469"/>
      <c r="CF146" s="345"/>
      <c r="CG146" s="345"/>
      <c r="CH146" s="320"/>
      <c r="CI146" s="320"/>
      <c r="CJ146" s="346"/>
      <c r="CK146" s="346"/>
      <c r="CL146" s="346"/>
    </row>
    <row r="147" spans="1:90" ht="15" customHeight="1">
      <c r="A147" s="169"/>
      <c r="B147" s="169"/>
      <c r="C147" s="562"/>
      <c r="D147" s="169"/>
      <c r="E147" s="169"/>
      <c r="F147" s="169"/>
      <c r="G147" s="169"/>
      <c r="H147" s="169"/>
      <c r="I147" s="169"/>
      <c r="J147" s="169"/>
      <c r="K147" s="169"/>
      <c r="L147" s="169"/>
      <c r="M147" s="169"/>
      <c r="N147" s="169"/>
      <c r="O147" s="563"/>
      <c r="P147" s="169"/>
      <c r="Q147" s="169"/>
      <c r="R147" s="169"/>
      <c r="S147" s="169"/>
      <c r="T147" s="169"/>
      <c r="U147" s="542"/>
      <c r="V147" s="3"/>
      <c r="W147" s="3"/>
      <c r="X147" s="3"/>
      <c r="Y147" s="3"/>
      <c r="Z147" s="3"/>
      <c r="AA147" s="3"/>
      <c r="AB147" s="3"/>
      <c r="AC147" s="3"/>
      <c r="AD147" s="169"/>
      <c r="AE147" s="169"/>
      <c r="AF147" s="169"/>
      <c r="AG147" s="169"/>
      <c r="AH147" s="169"/>
      <c r="AI147" s="169"/>
      <c r="AJ147" s="169"/>
      <c r="AK147" s="169"/>
      <c r="AL147" s="169"/>
      <c r="AM147" s="169"/>
      <c r="AN147" s="169"/>
      <c r="AO147" s="169"/>
      <c r="AP147" s="169"/>
      <c r="AQ147" s="169"/>
      <c r="AR147" s="169"/>
      <c r="AS147" s="169"/>
      <c r="AT147" s="169"/>
      <c r="AU147" s="169"/>
      <c r="AV147" s="169"/>
      <c r="AW147" s="169"/>
      <c r="AX147" s="169"/>
      <c r="AY147" s="169"/>
      <c r="BK147" s="4"/>
      <c r="BZ147" s="324"/>
      <c r="CB147" s="14"/>
      <c r="CC147" s="320"/>
      <c r="CD147" s="14"/>
      <c r="CE147" s="469"/>
      <c r="CF147" s="345"/>
      <c r="CG147" s="345"/>
      <c r="CH147" s="320"/>
      <c r="CI147" s="320"/>
      <c r="CJ147" s="346"/>
      <c r="CK147" s="346"/>
      <c r="CL147" s="346"/>
    </row>
    <row r="148" spans="1:90" ht="15" customHeight="1" thickBot="1">
      <c r="A148" s="169"/>
      <c r="B148" s="169"/>
      <c r="C148" s="517"/>
      <c r="D148" s="518"/>
      <c r="E148" s="518"/>
      <c r="F148" s="518"/>
      <c r="G148" s="518"/>
      <c r="H148" s="518"/>
      <c r="I148" s="518"/>
      <c r="J148" s="518"/>
      <c r="K148" s="518"/>
      <c r="L148" s="518"/>
      <c r="M148" s="518"/>
      <c r="N148" s="518"/>
      <c r="O148" s="519"/>
      <c r="P148" s="169"/>
      <c r="Q148" s="169"/>
      <c r="R148" s="169"/>
      <c r="S148" s="169"/>
      <c r="T148" s="169"/>
      <c r="U148" s="542"/>
      <c r="V148" s="169"/>
      <c r="W148" s="169"/>
      <c r="X148" s="169"/>
      <c r="Y148" s="169"/>
      <c r="Z148" s="169"/>
      <c r="AA148" s="169"/>
      <c r="AB148" s="169"/>
      <c r="AC148" s="169"/>
      <c r="AD148" s="169"/>
      <c r="AE148" s="169"/>
      <c r="AF148" s="169"/>
      <c r="AG148" s="169"/>
      <c r="AH148" s="169"/>
      <c r="AI148" s="169"/>
      <c r="AJ148" s="169"/>
      <c r="AK148" s="169"/>
      <c r="AL148" s="169"/>
      <c r="AM148" s="169"/>
      <c r="AN148" s="169"/>
      <c r="AO148" s="169"/>
      <c r="AP148" s="169"/>
      <c r="AQ148" s="169"/>
      <c r="AR148" s="169"/>
      <c r="AS148" s="169"/>
      <c r="AT148" s="169"/>
      <c r="AU148" s="169"/>
      <c r="AV148" s="169"/>
      <c r="AW148" s="169"/>
      <c r="AX148" s="169"/>
      <c r="AY148" s="169"/>
      <c r="BK148" s="4"/>
      <c r="BZ148" s="324"/>
      <c r="CB148" s="14"/>
      <c r="CC148" s="320"/>
      <c r="CD148" s="14"/>
      <c r="CE148" s="469"/>
      <c r="CF148" s="345"/>
      <c r="CG148" s="345"/>
      <c r="CH148" s="320"/>
      <c r="CI148" s="320"/>
      <c r="CJ148" s="346"/>
      <c r="CK148" s="346"/>
      <c r="CL148" s="346"/>
    </row>
    <row r="149" spans="1:90" ht="15" customHeight="1">
      <c r="A149" s="169"/>
      <c r="B149" s="169"/>
      <c r="C149" s="169"/>
      <c r="D149" s="169"/>
      <c r="E149" s="169"/>
      <c r="F149" s="169"/>
      <c r="G149" s="169"/>
      <c r="H149" s="169"/>
      <c r="I149" s="169"/>
      <c r="J149" s="169"/>
      <c r="K149" s="169"/>
      <c r="L149" s="169"/>
      <c r="M149" s="169"/>
      <c r="N149" s="169"/>
      <c r="O149" s="169"/>
      <c r="P149" s="169"/>
      <c r="Q149" s="169"/>
      <c r="R149" s="169"/>
      <c r="S149" s="169"/>
      <c r="T149" s="169"/>
      <c r="U149" s="542"/>
      <c r="V149" s="169"/>
      <c r="W149" s="169"/>
      <c r="X149" s="169"/>
      <c r="Y149" s="169"/>
      <c r="Z149" s="169"/>
      <c r="AA149" s="169"/>
      <c r="AB149" s="169"/>
      <c r="AC149" s="169"/>
      <c r="AD149" s="169"/>
      <c r="AE149" s="169"/>
      <c r="AF149" s="169"/>
      <c r="AG149" s="169"/>
      <c r="AH149" s="169"/>
      <c r="AI149" s="169"/>
      <c r="AJ149" s="169"/>
      <c r="AK149" s="169"/>
      <c r="AL149" s="169"/>
      <c r="AM149" s="169"/>
      <c r="AN149" s="169"/>
      <c r="AO149" s="169"/>
      <c r="AP149" s="169"/>
      <c r="AQ149" s="169"/>
      <c r="AR149" s="169"/>
      <c r="AS149" s="169"/>
      <c r="AT149" s="169"/>
      <c r="AU149" s="169"/>
      <c r="AV149" s="169"/>
      <c r="AW149" s="169"/>
      <c r="AX149" s="169"/>
      <c r="AY149" s="169"/>
      <c r="BK149" s="4"/>
      <c r="BZ149" s="324"/>
      <c r="CB149" s="14"/>
      <c r="CC149" s="320"/>
      <c r="CD149" s="14"/>
      <c r="CE149" s="469"/>
      <c r="CF149" s="345"/>
      <c r="CG149" s="345"/>
      <c r="CH149" s="320"/>
      <c r="CI149" s="320"/>
      <c r="CJ149" s="346"/>
      <c r="CK149" s="346"/>
      <c r="CL149" s="346"/>
    </row>
    <row r="150" spans="1:90" ht="15" customHeight="1">
      <c r="A150" s="169"/>
      <c r="B150" s="169"/>
      <c r="C150" s="169"/>
      <c r="D150" s="169"/>
      <c r="E150" s="169"/>
      <c r="F150" s="169"/>
      <c r="G150" s="169"/>
      <c r="H150" s="169"/>
      <c r="I150" s="169"/>
      <c r="J150" s="169"/>
      <c r="K150" s="169"/>
      <c r="L150" s="169"/>
      <c r="M150" s="169"/>
      <c r="N150" s="169"/>
      <c r="O150" s="169"/>
      <c r="P150" s="169"/>
      <c r="Q150" s="169"/>
      <c r="R150" s="169"/>
      <c r="S150" s="169"/>
      <c r="T150" s="169"/>
      <c r="U150" s="542"/>
      <c r="V150" s="169"/>
      <c r="W150" s="169"/>
      <c r="X150" s="169"/>
      <c r="Y150" s="169"/>
      <c r="Z150" s="169"/>
      <c r="AA150" s="169"/>
      <c r="AB150" s="169"/>
      <c r="AC150" s="169"/>
      <c r="AD150" s="169"/>
      <c r="AE150" s="169"/>
      <c r="AF150" s="169"/>
      <c r="AG150" s="169"/>
      <c r="AH150" s="169"/>
      <c r="AI150" s="169"/>
      <c r="AJ150" s="169"/>
      <c r="AK150" s="169"/>
      <c r="AL150" s="169"/>
      <c r="AM150" s="169"/>
      <c r="AN150" s="169"/>
      <c r="AO150" s="169"/>
      <c r="AP150" s="169"/>
      <c r="AQ150" s="169"/>
      <c r="AR150" s="169"/>
      <c r="AS150" s="169"/>
      <c r="AT150" s="169"/>
      <c r="AU150" s="169"/>
      <c r="AV150" s="169"/>
      <c r="AW150" s="169"/>
      <c r="AX150" s="169"/>
      <c r="AY150" s="169"/>
      <c r="BK150" s="4"/>
      <c r="BZ150" s="324"/>
      <c r="CB150" s="14"/>
      <c r="CC150" s="320"/>
      <c r="CD150" s="14"/>
      <c r="CE150" s="469"/>
      <c r="CF150" s="345"/>
      <c r="CG150" s="345"/>
      <c r="CH150" s="320"/>
      <c r="CI150" s="320"/>
      <c r="CJ150" s="346"/>
      <c r="CK150" s="346"/>
      <c r="CL150" s="346"/>
    </row>
    <row r="151" spans="1:90" ht="15" customHeight="1">
      <c r="A151" s="169"/>
      <c r="B151" s="169"/>
      <c r="C151" s="169"/>
      <c r="D151" s="169"/>
      <c r="E151" s="169"/>
      <c r="F151" s="169"/>
      <c r="G151" s="169"/>
      <c r="H151" s="169"/>
      <c r="I151" s="169"/>
      <c r="J151" s="169"/>
      <c r="K151" s="169"/>
      <c r="L151" s="169"/>
      <c r="M151" s="169"/>
      <c r="N151" s="169"/>
      <c r="O151" s="169"/>
      <c r="P151" s="169"/>
      <c r="Q151" s="169"/>
      <c r="R151" s="169"/>
      <c r="S151" s="169"/>
      <c r="T151" s="169"/>
      <c r="U151" s="542"/>
      <c r="V151" s="169"/>
      <c r="W151" s="169"/>
      <c r="X151" s="169"/>
      <c r="Y151" s="169"/>
      <c r="Z151" s="169"/>
      <c r="AA151" s="169"/>
      <c r="AB151" s="169"/>
      <c r="AC151" s="169"/>
      <c r="AD151" s="169"/>
      <c r="AE151" s="169"/>
      <c r="AF151" s="169"/>
      <c r="AG151" s="169"/>
      <c r="AH151" s="169"/>
      <c r="AI151" s="169"/>
      <c r="AJ151" s="169"/>
      <c r="AK151" s="169"/>
      <c r="AL151" s="169"/>
      <c r="AM151" s="169"/>
      <c r="AN151" s="169"/>
      <c r="AO151" s="169"/>
      <c r="AP151" s="169"/>
      <c r="AQ151" s="169"/>
      <c r="AR151" s="169"/>
      <c r="AS151" s="169"/>
      <c r="AT151" s="169"/>
      <c r="AU151" s="169"/>
      <c r="AV151" s="169"/>
      <c r="AW151" s="169"/>
      <c r="AX151" s="169"/>
      <c r="AY151" s="169"/>
      <c r="BK151" s="4"/>
      <c r="BZ151" s="324"/>
      <c r="CB151" s="14"/>
      <c r="CC151" s="320"/>
      <c r="CD151" s="14"/>
      <c r="CE151" s="469"/>
      <c r="CF151" s="345"/>
      <c r="CG151" s="345"/>
      <c r="CH151" s="320"/>
      <c r="CI151" s="320"/>
      <c r="CJ151" s="346"/>
      <c r="CK151" s="346"/>
      <c r="CL151" s="346"/>
    </row>
    <row r="152" spans="1:90" ht="15" customHeight="1">
      <c r="A152" s="169"/>
      <c r="B152" s="169"/>
      <c r="C152" s="491" t="s">
        <v>961</v>
      </c>
      <c r="D152" s="169"/>
      <c r="E152" s="169"/>
      <c r="F152" s="169"/>
      <c r="G152" s="169" t="s">
        <v>999</v>
      </c>
      <c r="H152" s="169"/>
      <c r="I152" s="169"/>
      <c r="J152" s="777">
        <f>'Eingabe und Ergebnis'!B27</f>
        <v>5</v>
      </c>
      <c r="K152" s="169"/>
      <c r="L152" s="169"/>
      <c r="M152" s="169"/>
      <c r="N152" s="169"/>
      <c r="O152" s="169"/>
      <c r="P152" s="169"/>
      <c r="Q152" s="169"/>
      <c r="R152" s="169"/>
      <c r="S152" s="169"/>
      <c r="T152" s="169"/>
      <c r="U152" s="169"/>
      <c r="V152" s="169"/>
      <c r="W152" s="169"/>
      <c r="X152" s="169"/>
      <c r="Y152" s="169"/>
      <c r="Z152" s="169"/>
      <c r="AA152" s="169"/>
      <c r="AB152" s="169"/>
      <c r="AC152" s="169"/>
      <c r="AD152" s="169"/>
      <c r="AE152" s="169"/>
      <c r="AF152" s="169"/>
      <c r="AG152" s="169"/>
      <c r="AH152" s="169"/>
      <c r="AI152" s="169"/>
      <c r="AJ152" s="169"/>
      <c r="AK152" s="169"/>
      <c r="AL152" s="169"/>
      <c r="AM152" s="169"/>
      <c r="AN152" s="169"/>
      <c r="AO152" s="169"/>
      <c r="AP152" s="169"/>
      <c r="AQ152" s="169"/>
      <c r="AR152" s="169"/>
      <c r="AS152" s="169"/>
      <c r="AT152" s="169"/>
      <c r="AU152" s="169"/>
      <c r="AV152" s="169"/>
      <c r="AW152" s="169"/>
      <c r="AX152" s="169"/>
      <c r="AY152" s="169"/>
      <c r="BK152" s="4"/>
      <c r="BZ152" s="324"/>
      <c r="CB152" s="14"/>
      <c r="CC152" s="320"/>
      <c r="CD152" s="14"/>
      <c r="CE152" s="469"/>
      <c r="CF152" s="345"/>
      <c r="CG152" s="345"/>
      <c r="CH152" s="320"/>
      <c r="CI152" s="320"/>
      <c r="CJ152" s="346"/>
      <c r="CK152" s="346"/>
      <c r="CL152" s="346"/>
    </row>
    <row r="153" spans="1:90" ht="15" customHeight="1">
      <c r="A153" s="169"/>
      <c r="B153" s="169"/>
      <c r="C153" s="169"/>
      <c r="D153" s="169"/>
      <c r="E153" s="169"/>
      <c r="F153" s="169"/>
      <c r="G153" s="169"/>
      <c r="H153" s="169"/>
      <c r="I153" s="169"/>
      <c r="J153" s="169"/>
      <c r="K153" s="169"/>
      <c r="L153" s="169"/>
      <c r="M153" s="169"/>
      <c r="N153" s="169"/>
      <c r="O153" s="169"/>
      <c r="P153" s="169"/>
      <c r="Q153" s="169"/>
      <c r="R153" s="169"/>
      <c r="S153" s="169"/>
      <c r="T153" s="169"/>
      <c r="U153" s="169"/>
      <c r="V153" s="169"/>
      <c r="W153" s="169"/>
      <c r="X153" s="169"/>
      <c r="Y153" s="169"/>
      <c r="Z153" s="169"/>
      <c r="AA153" s="169"/>
      <c r="AB153" s="169"/>
      <c r="AC153" s="169"/>
      <c r="AD153" s="169"/>
      <c r="AE153" s="169"/>
      <c r="AF153" s="169"/>
      <c r="AG153" s="169"/>
      <c r="AH153" s="169"/>
      <c r="AI153" s="169"/>
      <c r="AJ153" s="169"/>
      <c r="AK153" s="169"/>
      <c r="AL153" s="169"/>
      <c r="AM153" s="169"/>
      <c r="AN153" s="169"/>
      <c r="AO153" s="169"/>
      <c r="AP153" s="169"/>
      <c r="AQ153" s="169"/>
      <c r="AR153" s="169"/>
      <c r="AS153" s="169"/>
      <c r="AT153" s="169"/>
      <c r="AU153" s="169"/>
      <c r="AV153" s="169"/>
      <c r="AW153" s="169"/>
      <c r="AX153" s="169"/>
      <c r="AY153" s="169"/>
      <c r="BK153" s="4"/>
      <c r="BZ153" s="324"/>
      <c r="CB153" s="14"/>
      <c r="CC153" s="320"/>
      <c r="CD153" s="14"/>
      <c r="CE153" s="469"/>
      <c r="CF153" s="345"/>
      <c r="CG153" s="345"/>
      <c r="CH153" s="320"/>
      <c r="CI153" s="320"/>
      <c r="CJ153" s="346"/>
      <c r="CK153" s="346"/>
      <c r="CL153" s="346"/>
    </row>
    <row r="154" spans="1:90" ht="15" customHeight="1">
      <c r="A154" s="169"/>
      <c r="B154" s="169"/>
      <c r="C154" s="491" t="s">
        <v>1551</v>
      </c>
      <c r="D154" s="169"/>
      <c r="E154" s="169"/>
      <c r="F154" s="169"/>
      <c r="G154" s="169"/>
      <c r="H154" s="169"/>
      <c r="I154" s="169"/>
      <c r="J154" s="169"/>
      <c r="K154" s="169"/>
      <c r="L154" s="169"/>
      <c r="M154" s="169"/>
      <c r="N154" s="169"/>
      <c r="O154" s="169"/>
      <c r="P154" s="169"/>
      <c r="Q154" s="169"/>
      <c r="R154" s="169"/>
      <c r="S154" s="169"/>
      <c r="T154" s="169"/>
      <c r="AL154" s="169"/>
      <c r="AM154" s="169"/>
      <c r="AN154" s="169"/>
      <c r="AO154" s="169"/>
      <c r="AP154" s="169"/>
      <c r="AQ154" s="169"/>
      <c r="AR154" s="169"/>
      <c r="AS154" s="169"/>
      <c r="AT154" s="169"/>
      <c r="AU154" s="169"/>
      <c r="AV154" s="169"/>
      <c r="AW154" s="169"/>
      <c r="AX154" s="169"/>
      <c r="AY154" s="169"/>
      <c r="BK154" s="4"/>
      <c r="BZ154" s="324"/>
      <c r="CB154" s="14"/>
      <c r="CC154" s="320"/>
      <c r="CD154" s="14"/>
      <c r="CE154" s="469"/>
      <c r="CF154" s="345"/>
      <c r="CG154" s="345"/>
      <c r="CH154" s="320"/>
      <c r="CI154" s="320"/>
      <c r="CJ154" s="346"/>
      <c r="CK154" s="346"/>
      <c r="CL154" s="346"/>
    </row>
    <row r="155" spans="1:90" ht="15" customHeight="1">
      <c r="A155" s="169"/>
      <c r="B155" s="169"/>
      <c r="C155" s="407" t="s">
        <v>989</v>
      </c>
      <c r="D155" s="542">
        <f>D92</f>
        <v>2.5</v>
      </c>
      <c r="E155" s="542">
        <f t="shared" ref="E155:N155" si="57">E92</f>
        <v>2.65</v>
      </c>
      <c r="F155" s="542">
        <f t="shared" si="57"/>
        <v>2.85</v>
      </c>
      <c r="G155" s="542">
        <f t="shared" si="57"/>
        <v>3</v>
      </c>
      <c r="H155" s="542">
        <f t="shared" si="57"/>
        <v>3.5</v>
      </c>
      <c r="I155" s="542">
        <f t="shared" si="57"/>
        <v>4</v>
      </c>
      <c r="J155" s="542">
        <f t="shared" si="57"/>
        <v>4.5</v>
      </c>
      <c r="K155" s="542">
        <f t="shared" si="57"/>
        <v>5</v>
      </c>
      <c r="L155" s="542">
        <f t="shared" si="57"/>
        <v>5.3</v>
      </c>
      <c r="M155" s="542">
        <f t="shared" si="57"/>
        <v>5.7</v>
      </c>
      <c r="N155" s="542">
        <f t="shared" si="57"/>
        <v>6</v>
      </c>
      <c r="O155" s="169"/>
      <c r="P155" s="169"/>
      <c r="Q155" s="774" t="s">
        <v>1614</v>
      </c>
      <c r="R155" s="169"/>
      <c r="S155" s="169"/>
      <c r="T155" s="169"/>
      <c r="AL155" s="169"/>
      <c r="AM155" s="169"/>
      <c r="AN155" s="169"/>
      <c r="AO155" s="169"/>
      <c r="AP155" s="169"/>
      <c r="AQ155" s="169"/>
      <c r="AR155" s="169"/>
      <c r="AS155" s="169"/>
      <c r="AT155" s="169"/>
      <c r="AU155" s="169"/>
      <c r="AV155" s="169"/>
      <c r="AW155" s="169"/>
      <c r="AX155" s="169"/>
      <c r="AY155" s="169"/>
      <c r="BK155" s="4"/>
      <c r="BZ155" s="324"/>
      <c r="CB155" s="14"/>
      <c r="CC155" s="320"/>
      <c r="CD155" s="14"/>
      <c r="CE155" s="469"/>
      <c r="CF155" s="345"/>
      <c r="CG155" s="345"/>
      <c r="CH155" s="320"/>
      <c r="CI155" s="320"/>
      <c r="CJ155" s="346"/>
      <c r="CK155" s="346"/>
      <c r="CL155" s="346"/>
    </row>
    <row r="156" spans="1:90" ht="15" customHeight="1">
      <c r="A156" s="169"/>
      <c r="B156" s="169"/>
      <c r="C156" s="542">
        <f t="shared" ref="C156:C163" si="58">$D51</f>
        <v>2.5</v>
      </c>
      <c r="D156" s="169">
        <f ca="1">(INDEX($C$118:$N$129,MATCH($C156,'Hilfstabellen_Mat&amp;Bem'!$C$118:$C$129,0),MATCH(D$155,'Hilfstabellen_Mat&amp;Bem'!$C$118:$N$118,0))*2*10^3*n_GESCHOSSE)*gamma_m/
(k_mod*'Hilfstabellen_Mat&amp;Bem'!f.Rd.3)</f>
        <v>18142.871093749996</v>
      </c>
      <c r="E156" s="169">
        <f ca="1">(INDEX($C$118:$N$129,MATCH($C156,'Hilfstabellen_Mat&amp;Bem'!$C$118:$C$129,0),MATCH(E$155,'Hilfstabellen_Mat&amp;Bem'!$C$118:$N$118,0))*2*10^3*n_GESCHOSSE)*gamma_m/
(k_mod*'Hilfstabellen_Mat&amp;Bem'!f.Rd.3)</f>
        <v>19231.443359375</v>
      </c>
      <c r="F156" s="169">
        <f ca="1">(INDEX($C$118:$N$129,MATCH($C156,'Hilfstabellen_Mat&amp;Bem'!$C$118:$C$129,0),MATCH(F$155,'Hilfstabellen_Mat&amp;Bem'!$C$118:$N$118,0))*2*10^3*n_GESCHOSSE)*gamma_m/
(k_mod*'Hilfstabellen_Mat&amp;Bem'!f.Rd.3)</f>
        <v>20745.394921874999</v>
      </c>
      <c r="G156" s="169">
        <f ca="1">(INDEX($C$118:$N$129,MATCH($C156,'Hilfstabellen_Mat&amp;Bem'!$C$118:$C$129,0),MATCH(G$155,'Hilfstabellen_Mat&amp;Bem'!$C$118:$N$118,0))*2*10^3*n_GESCHOSSE)*gamma_m/
(k_mod*'Hilfstabellen_Mat&amp;Bem'!f.Rd.3)</f>
        <v>21837.2578125</v>
      </c>
      <c r="H156" s="169">
        <f ca="1">(INDEX($C$118:$N$129,MATCH($C156,'Hilfstabellen_Mat&amp;Bem'!$C$118:$C$129,0),MATCH(H$155,'Hilfstabellen_Mat&amp;Bem'!$C$118:$N$118,0))*2*10^3*n_GESCHOSSE)*gamma_m/
(k_mod*'Hilfstabellen_Mat&amp;Bem'!f.Rd.3)</f>
        <v>25553.582031249996</v>
      </c>
      <c r="I156" s="169">
        <f ca="1">(INDEX($C$118:$N$129,MATCH($C156,'Hilfstabellen_Mat&amp;Bem'!$C$118:$C$129,0),MATCH(I$155,'Hilfstabellen_Mat&amp;Bem'!$C$118:$N$118,0))*2*10^3*n_GESCHOSSE)*gamma_m/
(k_mod*'Hilfstabellen_Mat&amp;Bem'!f.Rd.3)</f>
        <v>29291.843749999996</v>
      </c>
      <c r="J156" s="169">
        <f ca="1">(INDEX($C$118:$N$129,MATCH($C156,'Hilfstabellen_Mat&amp;Bem'!$C$118:$C$129,0),MATCH(J$155,'Hilfstabellen_Mat&amp;Bem'!$C$118:$N$118,0))*2*10^3*n_GESCHOSSE)*gamma_m/
(k_mod*'Hilfstabellen_Mat&amp;Bem'!f.Rd.3)</f>
        <v>33052.04296875</v>
      </c>
      <c r="K156" s="169">
        <f ca="1">(INDEX($C$118:$N$129,MATCH($C156,'Hilfstabellen_Mat&amp;Bem'!$C$118:$C$129,0),MATCH(K$155,'Hilfstabellen_Mat&amp;Bem'!$C$118:$N$118,0))*2*10^3*n_GESCHOSSE)*gamma_m/
(k_mod*'Hilfstabellen_Mat&amp;Bem'!f.Rd.3)</f>
        <v>36943.867187499993</v>
      </c>
      <c r="L156" s="169">
        <f ca="1">(INDEX($C$118:$N$129,MATCH($C156,'Hilfstabellen_Mat&amp;Bem'!$C$118:$C$129,0),MATCH(L$155,'Hilfstabellen_Mat&amp;Bem'!$C$118:$N$118,0))*2*10^3*n_GESCHOSSE)*gamma_m/
(k_mod*'Hilfstabellen_Mat&amp;Bem'!f.Rd.3)</f>
        <v>39276.767968750006</v>
      </c>
      <c r="M156" s="169">
        <f ca="1">(INDEX($C$118:$N$129,MATCH($C156,'Hilfstabellen_Mat&amp;Bem'!$C$118:$C$129,0),MATCH(M$155,'Hilfstabellen_Mat&amp;Bem'!$C$118:$N$118,0))*2*10^3*n_GESCHOSSE)*gamma_m/
(k_mod*'Hilfstabellen_Mat&amp;Bem'!f.Rd.3)</f>
        <v>42366.096093749999</v>
      </c>
      <c r="N156" s="169">
        <f ca="1">(INDEX($C$118:$N$129,MATCH($C156,'Hilfstabellen_Mat&amp;Bem'!$C$118:$C$129,0),MATCH(N$155,'Hilfstabellen_Mat&amp;Bem'!$C$118:$N$118,0))*2*10^3*n_GESCHOSSE)*gamma_m/
(k_mod*'Hilfstabellen_Mat&amp;Bem'!f.Rd.3)</f>
        <v>44727.515624999993</v>
      </c>
      <c r="O156" s="169"/>
      <c r="P156" s="169"/>
      <c r="Q156" s="169"/>
      <c r="R156" s="169"/>
      <c r="S156" s="169"/>
      <c r="T156" s="169"/>
      <c r="AL156" s="169"/>
      <c r="AM156" s="169"/>
      <c r="AN156" s="169"/>
      <c r="AO156" s="169"/>
      <c r="AP156" s="169"/>
      <c r="AQ156" s="169"/>
      <c r="AR156" s="169"/>
      <c r="AS156" s="169"/>
      <c r="AT156" s="169"/>
      <c r="AU156" s="169"/>
      <c r="AV156" s="169"/>
      <c r="AW156" s="169"/>
      <c r="AX156" s="169"/>
      <c r="AY156" s="169"/>
      <c r="BK156" s="4"/>
      <c r="BZ156" s="324"/>
      <c r="CB156" s="14"/>
      <c r="CC156" s="320"/>
      <c r="CD156" s="14"/>
      <c r="CE156" s="469"/>
      <c r="CF156" s="345"/>
      <c r="CG156" s="345"/>
      <c r="CH156" s="320"/>
      <c r="CI156" s="320"/>
      <c r="CJ156" s="346"/>
      <c r="CK156" s="346"/>
      <c r="CL156" s="346"/>
    </row>
    <row r="157" spans="1:90" ht="15" customHeight="1">
      <c r="A157" s="169"/>
      <c r="B157" s="169"/>
      <c r="C157" s="542">
        <f t="shared" si="58"/>
        <v>2.65</v>
      </c>
      <c r="D157" s="169">
        <f ca="1">(INDEX($C$118:$N$129,MATCH($C157,'Hilfstabellen_Mat&amp;Bem'!$C$118:$C$129,0),MATCH(D$155,'Hilfstabellen_Mat&amp;Bem'!$C$118:$N$118,0))*2*10^3*n_GESCHOSSE)*gamma_m/
(k_mod*'Hilfstabellen_Mat&amp;Bem'!f.Rd.3)</f>
        <v>19214.990234375004</v>
      </c>
      <c r="E157" s="169">
        <f ca="1">(INDEX($C$118:$N$129,MATCH($C157,'Hilfstabellen_Mat&amp;Bem'!$C$118:$C$129,0),MATCH(E$155,'Hilfstabellen_Mat&amp;Bem'!$C$118:$N$118,0))*2*10^3*n_GESCHOSSE)*gamma_m/
(k_mod*'Hilfstabellen_Mat&amp;Bem'!f.Rd.3)</f>
        <v>20367.889648437496</v>
      </c>
      <c r="F157" s="169">
        <f ca="1">(INDEX($C$118:$N$129,MATCH($C157,'Hilfstabellen_Mat&amp;Bem'!$C$118:$C$129,0),MATCH(F$155,'Hilfstabellen_Mat&amp;Bem'!$C$118:$N$118,0))*2*10^3*n_GESCHOSSE)*gamma_m/
(k_mod*'Hilfstabellen_Mat&amp;Bem'!f.Rd.3)</f>
        <v>21967.610742187506</v>
      </c>
      <c r="G157" s="169">
        <f ca="1">(INDEX($C$118:$N$129,MATCH($C157,'Hilfstabellen_Mat&amp;Bem'!$C$118:$C$129,0),MATCH(G$155,'Hilfstabellen_Mat&amp;Bem'!$C$118:$N$118,0))*2*10^3*n_GESCHOSSE)*gamma_m/
(k_mod*'Hilfstabellen_Mat&amp;Bem'!f.Rd.3)</f>
        <v>23123.80078125</v>
      </c>
      <c r="H157" s="169">
        <f ca="1">(INDEX($C$118:$N$129,MATCH($C157,'Hilfstabellen_Mat&amp;Bem'!$C$118:$C$129,0),MATCH(H$155,'Hilfstabellen_Mat&amp;Bem'!$C$118:$N$118,0))*2*10^3*n_GESCHOSSE)*gamma_m/
(k_mod*'Hilfstabellen_Mat&amp;Bem'!f.Rd.3)</f>
        <v>27054.548828124993</v>
      </c>
      <c r="I157" s="169">
        <f ca="1">(INDEX($C$118:$N$129,MATCH($C157,'Hilfstabellen_Mat&amp;Bem'!$C$118:$C$129,0),MATCH(I$155,'Hilfstabellen_Mat&amp;Bem'!$C$118:$N$118,0))*2*10^3*n_GESCHOSSE)*gamma_m/
(k_mod*'Hilfstabellen_Mat&amp;Bem'!f.Rd.3)</f>
        <v>31007.234374999989</v>
      </c>
      <c r="J157" s="169">
        <f ca="1">(INDEX($C$118:$N$129,MATCH($C157,'Hilfstabellen_Mat&amp;Bem'!$C$118:$C$129,0),MATCH(J$155,'Hilfstabellen_Mat&amp;Bem'!$C$118:$N$118,0))*2*10^3*n_GESCHOSSE)*gamma_m/
(k_mod*'Hilfstabellen_Mat&amp;Bem'!f.Rd.3)</f>
        <v>35080.576171874993</v>
      </c>
      <c r="K157" s="169">
        <f ca="1">(INDEX($C$118:$N$129,MATCH($C157,'Hilfstabellen_Mat&amp;Bem'!$C$118:$C$129,0),MATCH(K$155,'Hilfstabellen_Mat&amp;Bem'!$C$118:$N$118,0))*2*10^3*n_GESCHOSSE)*gamma_m/
(k_mod*'Hilfstabellen_Mat&amp;Bem'!f.Rd.3)</f>
        <v>39088.105468749993</v>
      </c>
      <c r="L157" s="169">
        <f ca="1">(INDEX($C$118:$N$129,MATCH($C157,'Hilfstabellen_Mat&amp;Bem'!$C$118:$C$129,0),MATCH(L$155,'Hilfstabellen_Mat&amp;Bem'!$C$118:$N$118,0))*2*10^3*n_GESCHOSSE)*gamma_m/
(k_mod*'Hilfstabellen_Mat&amp;Bem'!f.Rd.3)</f>
        <v>41549.660546874991</v>
      </c>
      <c r="M157" s="169">
        <f ca="1">(INDEX($C$118:$N$129,MATCH($C157,'Hilfstabellen_Mat&amp;Bem'!$C$118:$C$129,0),MATCH(M$155,'Hilfstabellen_Mat&amp;Bem'!$C$118:$N$118,0))*2*10^3*n_GESCHOSSE)*gamma_m/
(k_mod*'Hilfstabellen_Mat&amp;Bem'!f.Rd.3)</f>
        <v>44810.527734374999</v>
      </c>
      <c r="N157" s="169">
        <f ca="1">(INDEX($C$118:$N$129,MATCH($C157,'Hilfstabellen_Mat&amp;Bem'!$C$118:$C$129,0),MATCH(N$155,'Hilfstabellen_Mat&amp;Bem'!$C$118:$N$118,0))*2*10^3*n_GESCHOSSE)*gamma_m/
(k_mod*'Hilfstabellen_Mat&amp;Bem'!f.Rd.3)</f>
        <v>47300.601562499993</v>
      </c>
      <c r="O157" s="169"/>
      <c r="P157" s="169"/>
      <c r="Q157" s="169"/>
      <c r="R157" s="169"/>
      <c r="S157" s="169"/>
      <c r="T157" s="169"/>
      <c r="AL157" s="169"/>
      <c r="AM157" s="169"/>
      <c r="AN157" s="169"/>
      <c r="AO157" s="169"/>
      <c r="AP157" s="169"/>
      <c r="AQ157" s="169"/>
      <c r="AR157" s="169"/>
      <c r="AS157" s="169"/>
      <c r="AT157" s="169"/>
      <c r="AU157" s="169"/>
      <c r="AV157" s="169"/>
      <c r="AW157" s="169"/>
      <c r="AX157" s="169"/>
      <c r="AY157" s="169"/>
      <c r="BK157" s="4"/>
      <c r="BZ157" s="324"/>
      <c r="CB157" s="14"/>
      <c r="CC157" s="320"/>
      <c r="CD157" s="14"/>
      <c r="CE157" s="469"/>
      <c r="CF157" s="345"/>
      <c r="CG157" s="345"/>
      <c r="CH157" s="320"/>
      <c r="CI157" s="320"/>
      <c r="CJ157" s="346"/>
      <c r="CK157" s="346"/>
      <c r="CL157" s="346"/>
    </row>
    <row r="158" spans="1:90" ht="15" customHeight="1">
      <c r="A158" s="169"/>
      <c r="B158" s="169"/>
      <c r="C158" s="542">
        <f t="shared" si="58"/>
        <v>2.85</v>
      </c>
      <c r="D158" s="169">
        <f ca="1">(INDEX($C$118:$N$129,MATCH($C158,'Hilfstabellen_Mat&amp;Bem'!$C$118:$C$129,0),MATCH(D$155,'Hilfstabellen_Mat&amp;Bem'!$C$118:$N$118,0))*2*10^3*n_GESCHOSSE)*gamma_m/
(k_mod*'Hilfstabellen_Mat&amp;Bem'!f.Rd.3)</f>
        <v>20644.482421875004</v>
      </c>
      <c r="E158" s="169">
        <f ca="1">(INDEX($C$118:$N$129,MATCH($C158,'Hilfstabellen_Mat&amp;Bem'!$C$118:$C$129,0),MATCH(E$155,'Hilfstabellen_Mat&amp;Bem'!$C$118:$N$118,0))*2*10^3*n_GESCHOSSE)*gamma_m/
(k_mod*'Hilfstabellen_Mat&amp;Bem'!f.Rd.3)</f>
        <v>21883.1513671875</v>
      </c>
      <c r="F158" s="169">
        <f ca="1">(INDEX($C$118:$N$129,MATCH($C158,'Hilfstabellen_Mat&amp;Bem'!$C$118:$C$129,0),MATCH(F$155,'Hilfstabellen_Mat&amp;Bem'!$C$118:$N$118,0))*2*10^3*n_GESCHOSSE)*gamma_m/
(k_mod*'Hilfstabellen_Mat&amp;Bem'!f.Rd.3)</f>
        <v>23597.231835937502</v>
      </c>
      <c r="G158" s="169">
        <f ca="1">(INDEX($C$118:$N$129,MATCH($C158,'Hilfstabellen_Mat&amp;Bem'!$C$118:$C$129,0),MATCH(G$155,'Hilfstabellen_Mat&amp;Bem'!$C$118:$N$118,0))*2*10^3*n_GESCHOSSE)*gamma_m/
(k_mod*'Hilfstabellen_Mat&amp;Bem'!f.Rd.3)</f>
        <v>24839.19140625</v>
      </c>
      <c r="H158" s="169">
        <f ca="1">(INDEX($C$118:$N$129,MATCH($C158,'Hilfstabellen_Mat&amp;Bem'!$C$118:$C$129,0),MATCH(H$155,'Hilfstabellen_Mat&amp;Bem'!$C$118:$N$118,0))*2*10^3*n_GESCHOSSE)*gamma_m/
(k_mod*'Hilfstabellen_Mat&amp;Bem'!f.Rd.3)</f>
        <v>29055.837890625004</v>
      </c>
      <c r="I158" s="169">
        <f ca="1">(INDEX($C$118:$N$129,MATCH($C158,'Hilfstabellen_Mat&amp;Bem'!$C$118:$C$129,0),MATCH(I$155,'Hilfstabellen_Mat&amp;Bem'!$C$118:$N$118,0))*2*10^3*n_GESCHOSSE)*gamma_m/
(k_mod*'Hilfstabellen_Mat&amp;Bem'!f.Rd.3)</f>
        <v>33294.421875</v>
      </c>
      <c r="J158" s="169">
        <f ca="1">(INDEX($C$118:$N$129,MATCH($C158,'Hilfstabellen_Mat&amp;Bem'!$C$118:$C$129,0),MATCH(J$155,'Hilfstabellen_Mat&amp;Bem'!$C$118:$N$118,0))*2*10^3*n_GESCHOSSE)*gamma_m/
(k_mod*'Hilfstabellen_Mat&amp;Bem'!f.Rd.3)</f>
        <v>37653.662109375007</v>
      </c>
      <c r="K158" s="169">
        <f ca="1">(INDEX($C$118:$N$129,MATCH($C158,'Hilfstabellen_Mat&amp;Bem'!$C$118:$C$129,0),MATCH(K$155,'Hilfstabellen_Mat&amp;Bem'!$C$118:$N$118,0))*2*10^3*n_GESCHOSSE)*gamma_m/
(k_mod*'Hilfstabellen_Mat&amp;Bem'!f.Rd.3)</f>
        <v>41947.089843750007</v>
      </c>
      <c r="L158" s="169">
        <f ca="1">(INDEX($C$118:$N$129,MATCH($C158,'Hilfstabellen_Mat&amp;Bem'!$C$118:$C$129,0),MATCH(L$155,'Hilfstabellen_Mat&amp;Bem'!$C$118:$N$118,0))*2*10^3*n_GESCHOSSE)*gamma_m/
(k_mod*'Hilfstabellen_Mat&amp;Bem'!f.Rd.3)</f>
        <v>44580.183984374999</v>
      </c>
      <c r="M158" s="169">
        <f ca="1">(INDEX($C$118:$N$129,MATCH($C158,'Hilfstabellen_Mat&amp;Bem'!$C$118:$C$129,0),MATCH(M$155,'Hilfstabellen_Mat&amp;Bem'!$C$118:$N$118,0))*2*10^3*n_GESCHOSSE)*gamma_m/
(k_mod*'Hilfstabellen_Mat&amp;Bem'!f.Rd.3)</f>
        <v>48069.769921875006</v>
      </c>
      <c r="N158" s="169">
        <f ca="1">(INDEX($C$118:$N$129,MATCH($C158,'Hilfstabellen_Mat&amp;Bem'!$C$118:$C$129,0),MATCH(N$155,'Hilfstabellen_Mat&amp;Bem'!$C$118:$N$118,0))*2*10^3*n_GESCHOSSE)*gamma_m/
(k_mod*'Hilfstabellen_Mat&amp;Bem'!f.Rd.3)</f>
        <v>50731.382812500007</v>
      </c>
      <c r="O158" s="169"/>
      <c r="P158" s="169"/>
      <c r="Q158" s="169"/>
      <c r="R158" s="169"/>
      <c r="S158" s="169"/>
      <c r="T158" s="169"/>
      <c r="AL158" s="169"/>
      <c r="AM158" s="169"/>
      <c r="AN158" s="169"/>
      <c r="AO158" s="169"/>
      <c r="AP158" s="169"/>
      <c r="AQ158" s="169"/>
      <c r="AR158" s="169"/>
      <c r="AS158" s="169"/>
      <c r="AT158" s="169"/>
      <c r="AU158" s="169"/>
      <c r="AV158" s="169"/>
      <c r="AW158" s="169"/>
      <c r="AX158" s="169"/>
      <c r="AY158" s="169"/>
      <c r="BK158" s="4"/>
      <c r="BZ158" s="324"/>
      <c r="CB158" s="14"/>
      <c r="CC158" s="320"/>
      <c r="CD158" s="14"/>
      <c r="CE158" s="469"/>
      <c r="CF158" s="345"/>
      <c r="CG158" s="345"/>
      <c r="CH158" s="320"/>
      <c r="CI158" s="320"/>
      <c r="CJ158" s="346"/>
      <c r="CK158" s="346"/>
      <c r="CL158" s="346"/>
    </row>
    <row r="159" spans="1:90" ht="15" customHeight="1">
      <c r="A159" s="169"/>
      <c r="B159" s="169"/>
      <c r="C159" s="542">
        <f t="shared" si="58"/>
        <v>3</v>
      </c>
      <c r="D159" s="169">
        <f ca="1">(INDEX($C$118:$N$129,MATCH($C159,'Hilfstabellen_Mat&amp;Bem'!$C$118:$C$129,0),MATCH(D$155,'Hilfstabellen_Mat&amp;Bem'!$C$118:$N$118,0))*2*10^3*n_GESCHOSSE)*gamma_m/
(k_mod*'Hilfstabellen_Mat&amp;Bem'!f.Rd.3)</f>
        <v>21716.601562500004</v>
      </c>
      <c r="E159" s="169">
        <f ca="1">(INDEX($C$118:$N$129,MATCH($C159,'Hilfstabellen_Mat&amp;Bem'!$C$118:$C$129,0),MATCH(E$155,'Hilfstabellen_Mat&amp;Bem'!$C$118:$N$118,0))*2*10^3*n_GESCHOSSE)*gamma_m/
(k_mod*'Hilfstabellen_Mat&amp;Bem'!f.Rd.3)</f>
        <v>23077.732031250001</v>
      </c>
      <c r="F159" s="169">
        <f ca="1">(INDEX($C$118:$N$129,MATCH($C159,'Hilfstabellen_Mat&amp;Bem'!$C$118:$C$129,0),MATCH(F$155,'Hilfstabellen_Mat&amp;Bem'!$C$118:$N$118,0))*2*10^3*n_GESCHOSSE)*gamma_m/
(k_mod*'Hilfstabellen_Mat&amp;Bem'!f.Rd.3)</f>
        <v>24819.447656249999</v>
      </c>
      <c r="G159" s="169">
        <f ca="1">(INDEX($C$118:$N$129,MATCH($C159,'Hilfstabellen_Mat&amp;Bem'!$C$118:$C$129,0),MATCH(G$155,'Hilfstabellen_Mat&amp;Bem'!$C$118:$N$118,0))*2*10^3*n_GESCHOSSE)*gamma_m/
(k_mod*'Hilfstabellen_Mat&amp;Bem'!f.Rd.3)</f>
        <v>26125.734375</v>
      </c>
      <c r="H159" s="169">
        <f ca="1">(INDEX($C$118:$N$129,MATCH($C159,'Hilfstabellen_Mat&amp;Bem'!$C$118:$C$129,0),MATCH(H$155,'Hilfstabellen_Mat&amp;Bem'!$C$118:$N$118,0))*2*10^3*n_GESCHOSSE)*gamma_m/
(k_mod*'Hilfstabellen_Mat&amp;Bem'!f.Rd.3)</f>
        <v>30556.804687499989</v>
      </c>
      <c r="I159" s="169">
        <f ca="1">(INDEX($C$118:$N$129,MATCH($C159,'Hilfstabellen_Mat&amp;Bem'!$C$118:$C$129,0),MATCH(I$155,'Hilfstabellen_Mat&amp;Bem'!$C$118:$N$118,0))*2*10^3*n_GESCHOSSE)*gamma_m/
(k_mod*'Hilfstabellen_Mat&amp;Bem'!f.Rd.3)</f>
        <v>35097.5625</v>
      </c>
      <c r="J159" s="169">
        <f ca="1">(INDEX($C$118:$N$129,MATCH($C159,'Hilfstabellen_Mat&amp;Bem'!$C$118:$C$129,0),MATCH(J$155,'Hilfstabellen_Mat&amp;Bem'!$C$118:$N$118,0))*2*10^3*n_GESCHOSSE)*gamma_m/
(k_mod*'Hilfstabellen_Mat&amp;Bem'!f.Rd.3)</f>
        <v>39583.476562500007</v>
      </c>
      <c r="K159" s="169">
        <f ca="1">(INDEX($C$118:$N$129,MATCH($C159,'Hilfstabellen_Mat&amp;Bem'!$C$118:$C$129,0),MATCH(K$155,'Hilfstabellen_Mat&amp;Bem'!$C$118:$N$118,0))*2*10^3*n_GESCHOSSE)*gamma_m/
(k_mod*'Hilfstabellen_Mat&amp;Bem'!f.Rd.3)</f>
        <v>44091.328125000007</v>
      </c>
      <c r="L159" s="169">
        <f ca="1">(INDEX($C$118:$N$129,MATCH($C159,'Hilfstabellen_Mat&amp;Bem'!$C$118:$C$129,0),MATCH(L$155,'Hilfstabellen_Mat&amp;Bem'!$C$118:$N$118,0))*2*10^3*n_GESCHOSSE)*gamma_m/
(k_mod*'Hilfstabellen_Mat&amp;Bem'!f.Rd.3)</f>
        <v>46853.076562499999</v>
      </c>
      <c r="M159" s="169">
        <f ca="1">(INDEX($C$118:$N$129,MATCH($C159,'Hilfstabellen_Mat&amp;Bem'!$C$118:$C$129,0),MATCH(M$155,'Hilfstabellen_Mat&amp;Bem'!$C$118:$N$118,0))*2*10^3*n_GESCHOSSE)*gamma_m/
(k_mod*'Hilfstabellen_Mat&amp;Bem'!f.Rd.3)</f>
        <v>50514.201562500013</v>
      </c>
      <c r="N159" s="169">
        <f ca="1">(INDEX($C$118:$N$129,MATCH($C159,'Hilfstabellen_Mat&amp;Bem'!$C$118:$C$129,0),MATCH(N$155,'Hilfstabellen_Mat&amp;Bem'!$C$118:$N$118,0))*2*10^3*n_GESCHOSSE)*gamma_m/
(k_mod*'Hilfstabellen_Mat&amp;Bem'!f.Rd.3)</f>
        <v>53304.468749999993</v>
      </c>
      <c r="O159" s="169"/>
      <c r="P159" s="169"/>
      <c r="Q159" s="169"/>
      <c r="R159" s="169"/>
      <c r="S159" s="169"/>
      <c r="T159" s="169"/>
      <c r="AL159" s="169"/>
      <c r="AM159" s="169"/>
      <c r="AN159" s="169"/>
      <c r="AO159" s="169"/>
      <c r="AP159" s="169"/>
      <c r="AQ159" s="169"/>
      <c r="AR159" s="169"/>
      <c r="AS159" s="169"/>
      <c r="AT159" s="169"/>
      <c r="AU159" s="169"/>
      <c r="AV159" s="169"/>
      <c r="AW159" s="169"/>
      <c r="AX159" s="169"/>
      <c r="AY159" s="169"/>
      <c r="BK159" s="4"/>
      <c r="BZ159" s="324"/>
      <c r="CB159" s="14"/>
      <c r="CC159" s="320"/>
      <c r="CD159" s="14"/>
      <c r="CE159" s="469"/>
      <c r="CF159" s="345"/>
      <c r="CG159" s="345"/>
      <c r="CH159" s="320"/>
      <c r="CI159" s="320"/>
      <c r="CJ159" s="346"/>
      <c r="CK159" s="346"/>
      <c r="CL159" s="346"/>
    </row>
    <row r="160" spans="1:90" ht="15" customHeight="1">
      <c r="A160" s="169"/>
      <c r="B160" s="169"/>
      <c r="C160" s="542">
        <f t="shared" si="58"/>
        <v>3.5</v>
      </c>
      <c r="D160" s="169">
        <f ca="1">(INDEX($C$118:$N$129,MATCH($C160,'Hilfstabellen_Mat&amp;Bem'!$C$118:$C$129,0),MATCH(D$155,'Hilfstabellen_Mat&amp;Bem'!$C$118:$N$118,0))*2*10^3*n_GESCHOSSE)*gamma_m/
(k_mod*'Hilfstabellen_Mat&amp;Bem'!f.Rd.3)</f>
        <v>25745.078124999996</v>
      </c>
      <c r="E160" s="169">
        <f ca="1">(INDEX($C$118:$N$129,MATCH($C160,'Hilfstabellen_Mat&amp;Bem'!$C$118:$C$129,0),MATCH(E$155,'Hilfstabellen_Mat&amp;Bem'!$C$118:$N$118,0))*2*10^3*n_GESCHOSSE)*gamma_m/
(k_mod*'Hilfstabellen_Mat&amp;Bem'!f.Rd.3)</f>
        <v>27289.782812499987</v>
      </c>
      <c r="F160" s="169">
        <f ca="1">(INDEX($C$118:$N$129,MATCH($C160,'Hilfstabellen_Mat&amp;Bem'!$C$118:$C$129,0),MATCH(F$155,'Hilfstabellen_Mat&amp;Bem'!$C$118:$N$118,0))*2*10^3*n_GESCHOSSE)*gamma_m/
(k_mod*'Hilfstabellen_Mat&amp;Bem'!f.Rd.3)</f>
        <v>29349.389062499995</v>
      </c>
      <c r="G160" s="169">
        <f ca="1">(INDEX($C$118:$N$129,MATCH($C160,'Hilfstabellen_Mat&amp;Bem'!$C$118:$C$129,0),MATCH(G$155,'Hilfstabellen_Mat&amp;Bem'!$C$118:$N$118,0))*2*10^3*n_GESCHOSSE)*gamma_m/
(k_mod*'Hilfstabellen_Mat&amp;Bem'!f.Rd.3)</f>
        <v>30959.90625</v>
      </c>
      <c r="H160" s="169">
        <f ca="1">(INDEX($C$118:$N$129,MATCH($C160,'Hilfstabellen_Mat&amp;Bem'!$C$118:$C$129,0),MATCH(H$155,'Hilfstabellen_Mat&amp;Bem'!$C$118:$N$118,0))*2*10^3*n_GESCHOSSE)*gamma_m/
(k_mod*'Hilfstabellen_Mat&amp;Bem'!f.Rd.3)</f>
        <v>36196.671874999993</v>
      </c>
      <c r="I160" s="169">
        <f ca="1">(INDEX($C$118:$N$129,MATCH($C160,'Hilfstabellen_Mat&amp;Bem'!$C$118:$C$129,0),MATCH(I$155,'Hilfstabellen_Mat&amp;Bem'!$C$118:$N$118,0))*2*10^3*n_GESCHOSSE)*gamma_m/
(k_mod*'Hilfstabellen_Mat&amp;Bem'!f.Rd.3)</f>
        <v>41455.375</v>
      </c>
      <c r="J160" s="169">
        <f ca="1">(INDEX($C$118:$N$129,MATCH($C160,'Hilfstabellen_Mat&amp;Bem'!$C$118:$C$129,0),MATCH(J$155,'Hilfstabellen_Mat&amp;Bem'!$C$118:$N$118,0))*2*10^3*n_GESCHOSSE)*gamma_m/
(k_mod*'Hilfstabellen_Mat&amp;Bem'!f.Rd.3)</f>
        <v>46736.015624999993</v>
      </c>
      <c r="K160" s="169">
        <f ca="1">(INDEX($C$118:$N$129,MATCH($C160,'Hilfstabellen_Mat&amp;Bem'!$C$118:$C$129,0),MATCH(K$155,'Hilfstabellen_Mat&amp;Bem'!$C$118:$N$118,0))*2*10^3*n_GESCHOSSE)*gamma_m/
(k_mod*'Hilfstabellen_Mat&amp;Bem'!f.Rd.3)</f>
        <v>52148.281249999985</v>
      </c>
      <c r="L160" s="169">
        <f ca="1">(INDEX($C$118:$N$129,MATCH($C160,'Hilfstabellen_Mat&amp;Bem'!$C$118:$C$129,0),MATCH(L$155,'Hilfstabellen_Mat&amp;Bem'!$C$118:$N$118,0))*2*10^3*n_GESCHOSSE)*gamma_m/
(k_mod*'Hilfstabellen_Mat&amp;Bem'!f.Rd.3)</f>
        <v>55393.446874999987</v>
      </c>
      <c r="M160" s="169">
        <f ca="1">(INDEX($C$118:$N$129,MATCH($C160,'Hilfstabellen_Mat&amp;Bem'!$C$118:$C$129,0),MATCH(M$155,'Hilfstabellen_Mat&amp;Bem'!$C$118:$N$118,0))*2*10^3*n_GESCHOSSE)*gamma_m/
(k_mod*'Hilfstabellen_Mat&amp;Bem'!f.Rd.3)</f>
        <v>59699.128125000003</v>
      </c>
      <c r="N160" s="169">
        <f ca="1">(INDEX($C$118:$N$129,MATCH($C160,'Hilfstabellen_Mat&amp;Bem'!$C$118:$C$129,0),MATCH(N$155,'Hilfstabellen_Mat&amp;Bem'!$C$118:$N$118,0))*2*10^3*n_GESCHOSSE)*gamma_m/
(k_mod*'Hilfstabellen_Mat&amp;Bem'!f.Rd.3)</f>
        <v>62972.812499999993</v>
      </c>
      <c r="O160" s="169"/>
      <c r="P160" s="169"/>
      <c r="Q160" s="169"/>
      <c r="R160" s="169"/>
      <c r="S160" s="169"/>
      <c r="T160" s="169"/>
      <c r="AL160" s="169"/>
      <c r="AM160" s="169"/>
      <c r="AN160" s="169"/>
      <c r="AO160" s="169"/>
      <c r="AP160" s="169"/>
      <c r="AQ160" s="169"/>
      <c r="AR160" s="169"/>
      <c r="AS160" s="169"/>
      <c r="AT160" s="169"/>
      <c r="AU160" s="169"/>
      <c r="AV160" s="169"/>
      <c r="AW160" s="169"/>
      <c r="AX160" s="169"/>
      <c r="AY160" s="169"/>
      <c r="BK160" s="4"/>
      <c r="BZ160" s="324"/>
      <c r="CB160" s="14"/>
      <c r="CC160" s="320"/>
      <c r="CD160" s="14"/>
      <c r="CE160" s="469"/>
      <c r="CF160" s="345"/>
      <c r="CG160" s="345"/>
      <c r="CH160" s="320"/>
      <c r="CI160" s="320"/>
      <c r="CJ160" s="346"/>
      <c r="CK160" s="346"/>
      <c r="CL160" s="346"/>
    </row>
    <row r="161" spans="1:90" ht="15" customHeight="1">
      <c r="A161" s="169"/>
      <c r="B161" s="169"/>
      <c r="C161" s="542">
        <f t="shared" si="58"/>
        <v>4</v>
      </c>
      <c r="D161" s="169">
        <f ca="1">(INDEX($C$118:$N$129,MATCH($C161,'Hilfstabellen_Mat&amp;Bem'!$C$118:$C$129,0),MATCH(D$155,'Hilfstabellen_Mat&amp;Bem'!$C$118:$N$118,0))*2*10^3*n_GESCHOSSE)*gamma_m/
(k_mod*'Hilfstabellen_Mat&amp;Bem'!f.Rd.3)</f>
        <v>29832.96875</v>
      </c>
      <c r="E161" s="169">
        <f ca="1">(INDEX($C$118:$N$129,MATCH($C161,'Hilfstabellen_Mat&amp;Bem'!$C$118:$C$129,0),MATCH(E$155,'Hilfstabellen_Mat&amp;Bem'!$C$118:$N$118,0))*2*10^3*n_GESCHOSSE)*gamma_m/
(k_mod*'Hilfstabellen_Mat&amp;Bem'!f.Rd.3)</f>
        <v>31622.946874999998</v>
      </c>
      <c r="F161" s="169">
        <f ca="1">(INDEX($C$118:$N$129,MATCH($C161,'Hilfstabellen_Mat&amp;Bem'!$C$118:$C$129,0),MATCH(F$155,'Hilfstabellen_Mat&amp;Bem'!$C$118:$N$118,0))*2*10^3*n_GESCHOSSE)*gamma_m/
(k_mod*'Hilfstabellen_Mat&amp;Bem'!f.Rd.3)</f>
        <v>34072.106249999997</v>
      </c>
      <c r="G161" s="169">
        <f ca="1">(INDEX($C$118:$N$129,MATCH($C161,'Hilfstabellen_Mat&amp;Bem'!$C$118:$C$129,0),MATCH(G$155,'Hilfstabellen_Mat&amp;Bem'!$C$118:$N$118,0))*2*10^3*n_GESCHOSSE)*gamma_m/
(k_mod*'Hilfstabellen_Mat&amp;Bem'!f.Rd.3)</f>
        <v>35865.375000000007</v>
      </c>
      <c r="H161" s="169">
        <f ca="1">(INDEX($C$118:$N$129,MATCH($C161,'Hilfstabellen_Mat&amp;Bem'!$C$118:$C$129,0),MATCH(H$155,'Hilfstabellen_Mat&amp;Bem'!$C$118:$N$118,0))*2*10^3*n_GESCHOSSE)*gamma_m/
(k_mod*'Hilfstabellen_Mat&amp;Bem'!f.Rd.3)</f>
        <v>41919.718749999993</v>
      </c>
      <c r="I161" s="169">
        <f ca="1">(INDEX($C$118:$N$129,MATCH($C161,'Hilfstabellen_Mat&amp;Bem'!$C$118:$C$129,0),MATCH(I$155,'Hilfstabellen_Mat&amp;Bem'!$C$118:$N$118,0))*2*10^3*n_GESCHOSSE)*gamma_m/
(k_mod*'Hilfstabellen_Mat&amp;Bem'!f.Rd.3)</f>
        <v>47996</v>
      </c>
      <c r="J161" s="169">
        <f ca="1">(INDEX($C$118:$N$129,MATCH($C161,'Hilfstabellen_Mat&amp;Bem'!$C$118:$C$129,0),MATCH(J$155,'Hilfstabellen_Mat&amp;Bem'!$C$118:$N$118,0))*2*10^3*n_GESCHOSSE)*gamma_m/
(k_mod*'Hilfstabellen_Mat&amp;Bem'!f.Rd.3)</f>
        <v>54192.937499999985</v>
      </c>
      <c r="K161" s="169">
        <f ca="1">(INDEX($C$118:$N$129,MATCH($C161,'Hilfstabellen_Mat&amp;Bem'!$C$118:$C$129,0),MATCH(K$155,'Hilfstabellen_Mat&amp;Bem'!$C$118:$N$118,0))*2*10^3*n_GESCHOSSE)*gamma_m/
(k_mod*'Hilfstabellen_Mat&amp;Bem'!f.Rd.3)</f>
        <v>60433.749999999993</v>
      </c>
      <c r="L161" s="169">
        <f ca="1">(INDEX($C$118:$N$129,MATCH($C161,'Hilfstabellen_Mat&amp;Bem'!$C$118:$C$129,0),MATCH(L$155,'Hilfstabellen_Mat&amp;Bem'!$C$118:$N$118,0))*2*10^3*n_GESCHOSSE)*gamma_m/
(k_mod*'Hilfstabellen_Mat&amp;Bem'!f.Rd.3)</f>
        <v>64176.043750000004</v>
      </c>
      <c r="M161" s="169">
        <f ca="1">(INDEX($C$118:$N$129,MATCH($C161,'Hilfstabellen_Mat&amp;Bem'!$C$118:$C$129,0),MATCH(M$155,'Hilfstabellen_Mat&amp;Bem'!$C$118:$N$118,0))*2*10^3*n_GESCHOSSE)*gamma_m/
(k_mod*'Hilfstabellen_Mat&amp;Bem'!f.Rd.3)</f>
        <v>69144.5625</v>
      </c>
      <c r="N161" s="169">
        <f ca="1">(INDEX($C$118:$N$129,MATCH($C161,'Hilfstabellen_Mat&amp;Bem'!$C$118:$C$129,0),MATCH(N$155,'Hilfstabellen_Mat&amp;Bem'!$C$118:$N$118,0))*2*10^3*n_GESCHOSSE)*gamma_m/
(k_mod*'Hilfstabellen_Mat&amp;Bem'!f.Rd.3)</f>
        <v>72915.374999999985</v>
      </c>
      <c r="O161" s="169"/>
      <c r="P161" s="169"/>
      <c r="Q161" s="169"/>
      <c r="R161" s="169"/>
      <c r="S161" s="169"/>
      <c r="T161" s="169"/>
      <c r="AL161" s="169"/>
      <c r="AM161" s="169"/>
      <c r="AN161" s="169"/>
      <c r="AO161" s="169"/>
      <c r="AP161" s="169"/>
      <c r="AQ161" s="169"/>
      <c r="AR161" s="169"/>
      <c r="AS161" s="169"/>
      <c r="AT161" s="169"/>
      <c r="AU161" s="169"/>
      <c r="AV161" s="169"/>
      <c r="AW161" s="169"/>
      <c r="AX161" s="169"/>
      <c r="AY161" s="169"/>
      <c r="BK161" s="4"/>
      <c r="BZ161" s="324"/>
      <c r="CB161" s="14"/>
      <c r="CC161" s="320"/>
      <c r="CD161" s="14"/>
      <c r="CE161" s="469"/>
      <c r="CF161" s="345"/>
      <c r="CG161" s="345"/>
      <c r="CH161" s="320"/>
      <c r="CI161" s="320"/>
      <c r="CJ161" s="346"/>
      <c r="CK161" s="346"/>
      <c r="CL161" s="346"/>
    </row>
    <row r="162" spans="1:90" ht="15" customHeight="1">
      <c r="A162" s="169"/>
      <c r="B162" s="169"/>
      <c r="C162" s="542">
        <f t="shared" si="58"/>
        <v>4.5</v>
      </c>
      <c r="D162" s="169">
        <f ca="1">(INDEX($C$118:$N$129,MATCH($C162,'Hilfstabellen_Mat&amp;Bem'!$C$118:$C$129,0),MATCH(D$155,'Hilfstabellen_Mat&amp;Bem'!$C$118:$N$118,0))*2*10^3*n_GESCHOSSE)*gamma_m/
(k_mod*'Hilfstabellen_Mat&amp;Bem'!f.Rd.3)</f>
        <v>34035.1171875</v>
      </c>
      <c r="E162" s="169">
        <f ca="1">(INDEX($C$118:$N$129,MATCH($C162,'Hilfstabellen_Mat&amp;Bem'!$C$118:$C$129,0),MATCH(E$155,'Hilfstabellen_Mat&amp;Bem'!$C$118:$N$118,0))*2*10^3*n_GESCHOSSE)*gamma_m/
(k_mod*'Hilfstabellen_Mat&amp;Bem'!f.Rd.3)</f>
        <v>36135.358593749996</v>
      </c>
      <c r="F162" s="169">
        <f ca="1">(INDEX($C$118:$N$129,MATCH($C162,'Hilfstabellen_Mat&amp;Bem'!$C$118:$C$129,0),MATCH(F$155,'Hilfstabellen_Mat&amp;Bem'!$C$118:$N$118,0))*2*10^3*n_GESCHOSSE)*gamma_m/
(k_mod*'Hilfstabellen_Mat&amp;Bem'!f.Rd.3)</f>
        <v>38862.55546874999</v>
      </c>
      <c r="G162" s="169">
        <f ca="1">(INDEX($C$118:$N$129,MATCH($C162,'Hilfstabellen_Mat&amp;Bem'!$C$118:$C$129,0),MATCH(G$155,'Hilfstabellen_Mat&amp;Bem'!$C$118:$N$118,0))*2*10^3*n_GESCHOSSE)*gamma_m/
(k_mod*'Hilfstabellen_Mat&amp;Bem'!f.Rd.3)</f>
        <v>40907.953125</v>
      </c>
      <c r="H162" s="169">
        <f ca="1">(INDEX($C$118:$N$129,MATCH($C162,'Hilfstabellen_Mat&amp;Bem'!$C$118:$C$129,0),MATCH(H$155,'Hilfstabellen_Mat&amp;Bem'!$C$118:$N$118,0))*2*10^3*n_GESCHOSSE)*gamma_m/
(k_mod*'Hilfstabellen_Mat&amp;Bem'!f.Rd.3)</f>
        <v>47879.507812499993</v>
      </c>
      <c r="I162" s="169">
        <f ca="1">(INDEX($C$118:$N$129,MATCH($C162,'Hilfstabellen_Mat&amp;Bem'!$C$118:$C$129,0),MATCH(I$155,'Hilfstabellen_Mat&amp;Bem'!$C$118:$N$118,0))*2*10^3*n_GESCHOSSE)*gamma_m/
(k_mod*'Hilfstabellen_Mat&amp;Bem'!f.Rd.3)</f>
        <v>54807.187499999993</v>
      </c>
      <c r="J162" s="169">
        <f ca="1">(INDEX($C$118:$N$129,MATCH($C162,'Hilfstabellen_Mat&amp;Bem'!$C$118:$C$129,0),MATCH(J$155,'Hilfstabellen_Mat&amp;Bem'!$C$118:$N$118,0))*2*10^3*n_GESCHOSSE)*gamma_m/
(k_mod*'Hilfstabellen_Mat&amp;Bem'!f.Rd.3)</f>
        <v>61855.523437499993</v>
      </c>
      <c r="K162" s="169">
        <f ca="1">(INDEX($C$118:$N$129,MATCH($C162,'Hilfstabellen_Mat&amp;Bem'!$C$118:$C$129,0),MATCH(K$155,'Hilfstabellen_Mat&amp;Bem'!$C$118:$N$118,0))*2*10^3*n_GESCHOSSE)*gamma_m/
(k_mod*'Hilfstabellen_Mat&amp;Bem'!f.Rd.3)</f>
        <v>68838.046874999985</v>
      </c>
      <c r="L162" s="169">
        <f ca="1">(INDEX($C$118:$N$129,MATCH($C162,'Hilfstabellen_Mat&amp;Bem'!$C$118:$C$129,0),MATCH(L$155,'Hilfstabellen_Mat&amp;Bem'!$C$118:$N$118,0))*2*10^3*n_GESCHOSSE)*gamma_m/
(k_mod*'Hilfstabellen_Mat&amp;Bem'!f.Rd.3)</f>
        <v>73084.598437499997</v>
      </c>
      <c r="M162" s="169">
        <f ca="1">(INDEX($C$118:$N$129,MATCH($C162,'Hilfstabellen_Mat&amp;Bem'!$C$118:$C$129,0),MATCH(M$155,'Hilfstabellen_Mat&amp;Bem'!$C$118:$N$118,0))*2*10^3*n_GESCHOSSE)*gamma_m/
(k_mod*'Hilfstabellen_Mat&amp;Bem'!f.Rd.3)</f>
        <v>78850.504687499997</v>
      </c>
      <c r="N162" s="169">
        <f ca="1">(INDEX($C$118:$N$129,MATCH($C162,'Hilfstabellen_Mat&amp;Bem'!$C$118:$C$129,0),MATCH(N$155,'Hilfstabellen_Mat&amp;Bem'!$C$118:$N$118,0))*2*10^3*n_GESCHOSSE)*gamma_m/
(k_mod*'Hilfstabellen_Mat&amp;Bem'!f.Rd.3)</f>
        <v>83132.15625</v>
      </c>
      <c r="O162" s="169"/>
      <c r="P162" s="169"/>
      <c r="Q162" s="169"/>
      <c r="R162" s="169"/>
      <c r="S162" s="169"/>
      <c r="T162" s="169"/>
      <c r="AL162" s="169"/>
      <c r="AM162" s="169"/>
      <c r="AN162" s="169"/>
      <c r="AO162" s="169"/>
      <c r="AP162" s="169"/>
      <c r="AQ162" s="169"/>
      <c r="AR162" s="169"/>
      <c r="AS162" s="169"/>
      <c r="AT162" s="169"/>
      <c r="AU162" s="169"/>
      <c r="AV162" s="169"/>
      <c r="AW162" s="169"/>
      <c r="AX162" s="169"/>
      <c r="AY162" s="169"/>
      <c r="BK162" s="4"/>
      <c r="BZ162" s="324"/>
      <c r="CB162" s="14"/>
      <c r="CC162" s="320"/>
      <c r="CD162" s="14"/>
      <c r="CE162" s="469"/>
      <c r="CF162" s="345"/>
      <c r="CG162" s="345"/>
      <c r="CH162" s="320"/>
      <c r="CI162" s="320"/>
      <c r="CJ162" s="346"/>
      <c r="CK162" s="346"/>
      <c r="CL162" s="346"/>
    </row>
    <row r="163" spans="1:90" ht="15" customHeight="1">
      <c r="A163" s="169"/>
      <c r="B163" s="169"/>
      <c r="C163" s="542">
        <f t="shared" si="58"/>
        <v>5</v>
      </c>
      <c r="D163" s="169">
        <f ca="1">(INDEX($C$118:$N$129,MATCH($C163,'Hilfstabellen_Mat&amp;Bem'!$C$118:$C$129,0),MATCH(D$155,'Hilfstabellen_Mat&amp;Bem'!$C$118:$N$118,0))*2*10^3*n_GESCHOSSE)*gamma_m/
(k_mod*'Hilfstabellen_Mat&amp;Bem'!f.Rd.3)</f>
        <v>38977.656249999993</v>
      </c>
      <c r="E163" s="169">
        <f ca="1">(INDEX($C$118:$N$129,MATCH($C163,'Hilfstabellen_Mat&amp;Bem'!$C$118:$C$129,0),MATCH(E$155,'Hilfstabellen_Mat&amp;Bem'!$C$118:$N$118,0))*2*10^3*n_GESCHOSSE)*gamma_m/
(k_mod*'Hilfstabellen_Mat&amp;Bem'!f.Rd.3)</f>
        <v>41316.315624999996</v>
      </c>
      <c r="F163" s="169">
        <f ca="1">(INDEX($C$118:$N$129,MATCH($C163,'Hilfstabellen_Mat&amp;Bem'!$C$118:$C$129,0),MATCH(F$155,'Hilfstabellen_Mat&amp;Bem'!$C$118:$N$118,0))*2*10^3*n_GESCHOSSE)*gamma_m/
(k_mod*'Hilfstabellen_Mat&amp;Bem'!f.Rd.3)</f>
        <v>44497.049999999988</v>
      </c>
      <c r="G163" s="169">
        <f ca="1">(INDEX($C$118:$N$129,MATCH($C163,'Hilfstabellen_Mat&amp;Bem'!$C$118:$C$129,0),MATCH(G$155,'Hilfstabellen_Mat&amp;Bem'!$C$118:$N$118,0))*2*10^3*n_GESCHOSSE)*gamma_m/
(k_mod*'Hilfstabellen_Mat&amp;Bem'!f.Rd.3)</f>
        <v>46838.999999999993</v>
      </c>
      <c r="H163" s="169">
        <f ca="1">(INDEX($C$118:$N$129,MATCH($C163,'Hilfstabellen_Mat&amp;Bem'!$C$118:$C$129,0),MATCH(H$155,'Hilfstabellen_Mat&amp;Bem'!$C$118:$N$118,0))*2*10^3*n_GESCHOSSE)*gamma_m/
(k_mod*'Hilfstabellen_Mat&amp;Bem'!f.Rd.3)</f>
        <v>54722.281249999993</v>
      </c>
      <c r="I163" s="169">
        <f ca="1">(INDEX($C$118:$N$129,MATCH($C163,'Hilfstabellen_Mat&amp;Bem'!$C$118:$C$129,0),MATCH(I$155,'Hilfstabellen_Mat&amp;Bem'!$C$118:$N$118,0))*2*10^3*n_GESCHOSSE)*gamma_m/
(k_mod*'Hilfstabellen_Mat&amp;Bem'!f.Rd.3)</f>
        <v>62627.5</v>
      </c>
      <c r="J163" s="169">
        <f ca="1">(INDEX($C$118:$N$129,MATCH($C163,'Hilfstabellen_Mat&amp;Bem'!$C$118:$C$129,0),MATCH(J$155,'Hilfstabellen_Mat&amp;Bem'!$C$118:$N$118,0))*2*10^3*n_GESCHOSSE)*gamma_m/
(k_mod*'Hilfstabellen_Mat&amp;Bem'!f.Rd.3)</f>
        <v>70653.374999999985</v>
      </c>
      <c r="K163" s="169">
        <f ca="1">(INDEX($C$118:$N$129,MATCH($C163,'Hilfstabellen_Mat&amp;Bem'!$C$118:$C$129,0),MATCH(K$155,'Hilfstabellen_Mat&amp;Bem'!$C$118:$N$118,0))*2*10^3*n_GESCHOSSE)*gamma_m/
(k_mod*'Hilfstabellen_Mat&amp;Bem'!f.Rd.3)</f>
        <v>78723.124999999985</v>
      </c>
      <c r="L163" s="169">
        <f ca="1">(INDEX($C$118:$N$129,MATCH($C163,'Hilfstabellen_Mat&amp;Bem'!$C$118:$C$129,0),MATCH(L$155,'Hilfstabellen_Mat&amp;Bem'!$C$118:$N$118,0))*2*10^3*n_GESCHOSSE)*gamma_m/
(k_mod*'Hilfstabellen_Mat&amp;Bem'!f.Rd.3)</f>
        <v>83562.78125</v>
      </c>
      <c r="M163" s="169">
        <f ca="1">(INDEX($C$118:$N$129,MATCH($C163,'Hilfstabellen_Mat&amp;Bem'!$C$118:$C$129,0),MATCH(M$155,'Hilfstabellen_Mat&amp;Bem'!$C$118:$N$118,0))*2*10^3*n_GESCHOSSE)*gamma_m/
(k_mod*'Hilfstabellen_Mat&amp;Bem'!f.Rd.3)</f>
        <v>89994.449999999968</v>
      </c>
      <c r="N163" s="169">
        <f ca="1">(INDEX($C$118:$N$129,MATCH($C163,'Hilfstabellen_Mat&amp;Bem'!$C$118:$C$129,0),MATCH(N$155,'Hilfstabellen_Mat&amp;Bem'!$C$118:$N$118,0))*2*10^3*n_GESCHOSSE)*gamma_m/
(k_mod*'Hilfstabellen_Mat&amp;Bem'!f.Rd.3)</f>
        <v>94994.249999999985</v>
      </c>
      <c r="O163" s="169"/>
      <c r="P163" s="169"/>
      <c r="Q163" s="169"/>
      <c r="R163" s="169"/>
      <c r="S163" s="169"/>
      <c r="T163" s="169"/>
      <c r="AL163" s="169"/>
      <c r="AM163" s="169"/>
      <c r="AN163" s="169"/>
      <c r="AO163" s="169"/>
      <c r="AP163" s="169"/>
      <c r="AQ163" s="169"/>
      <c r="AR163" s="169"/>
      <c r="AS163" s="169"/>
      <c r="AT163" s="169"/>
      <c r="AU163" s="169"/>
      <c r="AV163" s="169"/>
      <c r="AW163" s="169"/>
      <c r="AX163" s="169"/>
      <c r="AY163" s="169"/>
      <c r="BK163" s="4"/>
      <c r="BZ163" s="324"/>
      <c r="CB163" s="14"/>
      <c r="CC163" s="320"/>
      <c r="CD163" s="14"/>
      <c r="CE163" s="469"/>
      <c r="CF163" s="345"/>
      <c r="CG163" s="345"/>
      <c r="CH163" s="320"/>
      <c r="CI163" s="320"/>
      <c r="CJ163" s="346"/>
      <c r="CK163" s="346"/>
      <c r="CL163" s="346"/>
    </row>
    <row r="164" spans="1:90" ht="15" customHeight="1">
      <c r="A164" s="169"/>
      <c r="B164" s="169"/>
      <c r="C164" s="542">
        <f>$D59</f>
        <v>5.3</v>
      </c>
      <c r="D164" s="169">
        <f ca="1">(INDEX($C$118:$N$129,MATCH($C164,'Hilfstabellen_Mat&amp;Bem'!$C$118:$C$129,0),MATCH(D$155,'Hilfstabellen_Mat&amp;Bem'!$C$118:$N$118,0))*2*10^3*n_GESCHOSSE)*gamma_m/
(k_mod*'Hilfstabellen_Mat&amp;Bem'!f.Rd.3)</f>
        <v>41293.281250000007</v>
      </c>
      <c r="E164" s="169">
        <f ca="1">(INDEX($C$118:$N$129,MATCH($C164,'Hilfstabellen_Mat&amp;Bem'!$C$118:$C$129,0),MATCH(E$155,'Hilfstabellen_Mat&amp;Bem'!$C$118:$N$118,0))*2*10^3*n_GESCHOSSE)*gamma_m/
(k_mod*'Hilfstabellen_Mat&amp;Bem'!f.Rd.3)</f>
        <v>43770.878124999996</v>
      </c>
      <c r="F164" s="169">
        <f ca="1">(INDEX($C$118:$N$129,MATCH($C164,'Hilfstabellen_Mat&amp;Bem'!$C$118:$C$129,0),MATCH(F$155,'Hilfstabellen_Mat&amp;Bem'!$C$118:$N$118,0))*2*10^3*n_GESCHOSSE)*gamma_m/
(k_mod*'Hilfstabellen_Mat&amp;Bem'!f.Rd.3)</f>
        <v>47136.862500000003</v>
      </c>
      <c r="G164" s="169">
        <f ca="1">(INDEX($C$118:$N$129,MATCH($C164,'Hilfstabellen_Mat&amp;Bem'!$C$118:$C$129,0),MATCH(G$155,'Hilfstabellen_Mat&amp;Bem'!$C$118:$N$118,0))*2*10^3*n_GESCHOSSE)*gamma_m/
(k_mod*'Hilfstabellen_Mat&amp;Bem'!f.Rd.3)</f>
        <v>49617.749999999985</v>
      </c>
      <c r="H164" s="169">
        <f ca="1">(INDEX($C$118:$N$129,MATCH($C164,'Hilfstabellen_Mat&amp;Bem'!$C$118:$C$129,0),MATCH(H$155,'Hilfstabellen_Mat&amp;Bem'!$C$118:$N$118,0))*2*10^3*n_GESCHOSSE)*gamma_m/
(k_mod*'Hilfstabellen_Mat&amp;Bem'!f.Rd.3)</f>
        <v>57964.156249999978</v>
      </c>
      <c r="I164" s="169">
        <f ca="1">(INDEX($C$118:$N$129,MATCH($C164,'Hilfstabellen_Mat&amp;Bem'!$C$118:$C$129,0),MATCH(I$155,'Hilfstabellen_Mat&amp;Bem'!$C$118:$N$118,0))*2*10^3*n_GESCHOSSE)*gamma_m/
(k_mod*'Hilfstabellen_Mat&amp;Bem'!f.Rd.3)</f>
        <v>66420.249999999985</v>
      </c>
      <c r="J164" s="169">
        <f ca="1">(INDEX($C$118:$N$129,MATCH($C164,'Hilfstabellen_Mat&amp;Bem'!$C$118:$C$129,0),MATCH(J$155,'Hilfstabellen_Mat&amp;Bem'!$C$118:$N$118,0))*2*10^3*n_GESCHOSSE)*gamma_m/
(k_mod*'Hilfstabellen_Mat&amp;Bem'!f.Rd.3)</f>
        <v>74821.5</v>
      </c>
      <c r="K164" s="169">
        <f ca="1">(INDEX($C$118:$N$129,MATCH($C164,'Hilfstabellen_Mat&amp;Bem'!$C$118:$C$129,0),MATCH(K$155,'Hilfstabellen_Mat&amp;Bem'!$C$118:$N$118,0))*2*10^3*n_GESCHOSSE)*gamma_m/
(k_mod*'Hilfstabellen_Mat&amp;Bem'!f.Rd.3)</f>
        <v>83354.374999999985</v>
      </c>
      <c r="L164" s="169">
        <f ca="1">(INDEX($C$118:$N$129,MATCH($C164,'Hilfstabellen_Mat&amp;Bem'!$C$118:$C$129,0),MATCH(L$155,'Hilfstabellen_Mat&amp;Bem'!$C$118:$N$118,0))*2*10^3*n_GESCHOSSE)*gamma_m/
(k_mod*'Hilfstabellen_Mat&amp;Bem'!f.Rd.3)</f>
        <v>88471.906249999985</v>
      </c>
      <c r="M164" s="169">
        <f ca="1">(INDEX($C$118:$N$129,MATCH($C164,'Hilfstabellen_Mat&amp;Bem'!$C$118:$C$129,0),MATCH(M$155,'Hilfstabellen_Mat&amp;Bem'!$C$118:$N$118,0))*2*10^3*n_GESCHOSSE)*gamma_m/
(k_mod*'Hilfstabellen_Mat&amp;Bem'!f.Rd.3)</f>
        <v>95399.118749999965</v>
      </c>
      <c r="N164" s="169">
        <f ca="1">(INDEX($C$118:$N$129,MATCH($C164,'Hilfstabellen_Mat&amp;Bem'!$C$118:$C$129,0),MATCH(N$155,'Hilfstabellen_Mat&amp;Bem'!$C$118:$N$118,0))*2*10^3*n_GESCHOSSE)*gamma_m/
(k_mod*'Hilfstabellen_Mat&amp;Bem'!f.Rd.3)</f>
        <v>100551.74999999999</v>
      </c>
      <c r="O164" s="169"/>
      <c r="P164" s="169"/>
      <c r="Q164" s="169"/>
      <c r="R164" s="169"/>
      <c r="S164" s="169"/>
      <c r="T164" s="169"/>
      <c r="AL164" s="169"/>
      <c r="AM164" s="169"/>
      <c r="AN164" s="169"/>
      <c r="AO164" s="169"/>
      <c r="AP164" s="169"/>
      <c r="AQ164" s="169"/>
      <c r="AR164" s="169"/>
      <c r="AS164" s="169"/>
      <c r="AT164" s="169"/>
      <c r="AU164" s="169"/>
      <c r="AV164" s="169"/>
      <c r="AW164" s="169"/>
      <c r="AX164" s="169"/>
      <c r="AY164" s="169"/>
      <c r="BK164" s="4"/>
      <c r="BZ164" s="324"/>
      <c r="CB164" s="14"/>
      <c r="CC164" s="320"/>
      <c r="CD164" s="14"/>
      <c r="CE164" s="469"/>
      <c r="CF164" s="345"/>
      <c r="CG164" s="345"/>
      <c r="CH164" s="320"/>
      <c r="CI164" s="320"/>
      <c r="CJ164" s="346"/>
      <c r="CK164" s="346"/>
      <c r="CL164" s="346"/>
    </row>
    <row r="165" spans="1:90" ht="15" customHeight="1">
      <c r="A165" s="169"/>
      <c r="B165" s="169"/>
      <c r="C165" s="542">
        <f>$D60</f>
        <v>5.7</v>
      </c>
      <c r="D165" s="169">
        <f ca="1">(INDEX($C$118:$N$129,MATCH($C165,'Hilfstabellen_Mat&amp;Bem'!$C$118:$C$129,0),MATCH(D$155,'Hilfstabellen_Mat&amp;Bem'!$C$118:$N$118,0))*2*10^3*n_GESCHOSSE)*gamma_m/
(k_mod*'Hilfstabellen_Mat&amp;Bem'!f.Rd.3)</f>
        <v>42426.972656250007</v>
      </c>
      <c r="E165" s="169">
        <f ca="1">(INDEX($C$118:$N$129,MATCH($C165,'Hilfstabellen_Mat&amp;Bem'!$C$118:$C$129,0),MATCH(E$155,'Hilfstabellen_Mat&amp;Bem'!$C$118:$N$118,0))*2*10^3*n_GESCHOSSE)*gamma_m/
(k_mod*'Hilfstabellen_Mat&amp;Bem'!f.Rd.3)</f>
        <v>45030.725390624997</v>
      </c>
      <c r="F165" s="169">
        <f ca="1">(INDEX($C$118:$N$129,MATCH($C165,'Hilfstabellen_Mat&amp;Bem'!$C$118:$C$129,0),MATCH(F$155,'Hilfstabellen_Mat&amp;Bem'!$C$118:$N$118,0))*2*10^3*n_GESCHOSSE)*gamma_m/
(k_mod*'Hilfstabellen_Mat&amp;Bem'!f.Rd.3)</f>
        <v>48429.270703125003</v>
      </c>
      <c r="G165" s="169">
        <f ca="1">(INDEX($C$118:$N$129,MATCH($C165,'Hilfstabellen_Mat&amp;Bem'!$C$118:$C$129,0),MATCH(G$155,'Hilfstabellen_Mat&amp;Bem'!$C$118:$N$118,0))*2*10^3*n_GESCHOSSE)*gamma_m/
(k_mod*'Hilfstabellen_Mat&amp;Bem'!f.Rd.3)</f>
        <v>51043.992187499993</v>
      </c>
      <c r="H165" s="169">
        <f ca="1">(INDEX($C$118:$N$129,MATCH($C165,'Hilfstabellen_Mat&amp;Bem'!$C$118:$C$129,0),MATCH(H$155,'Hilfstabellen_Mat&amp;Bem'!$C$118:$N$118,0))*2*10^3*n_GESCHOSSE)*gamma_m/
(k_mod*'Hilfstabellen_Mat&amp;Bem'!f.Rd.3)</f>
        <v>59628.10546875</v>
      </c>
      <c r="I165" s="169">
        <f ca="1">(INDEX($C$118:$N$129,MATCH($C165,'Hilfstabellen_Mat&amp;Bem'!$C$118:$C$129,0),MATCH(I$155,'Hilfstabellen_Mat&amp;Bem'!$C$118:$N$118,0))*2*10^3*n_GESCHOSSE)*gamma_m/
(k_mod*'Hilfstabellen_Mat&amp;Bem'!f.Rd.3)</f>
        <v>68234.156249999985</v>
      </c>
      <c r="J165" s="169">
        <f ca="1">(INDEX($C$118:$N$129,MATCH($C165,'Hilfstabellen_Mat&amp;Bem'!$C$118:$C$129,0),MATCH(J$155,'Hilfstabellen_Mat&amp;Bem'!$C$118:$N$118,0))*2*10^3*n_GESCHOSSE)*gamma_m/
(k_mod*'Hilfstabellen_Mat&amp;Bem'!f.Rd.3)</f>
        <v>76960.863281249985</v>
      </c>
      <c r="K165" s="169">
        <f ca="1">(INDEX($C$118:$N$129,MATCH($C165,'Hilfstabellen_Mat&amp;Bem'!$C$118:$C$129,0),MATCH(K$155,'Hilfstabellen_Mat&amp;Bem'!$C$118:$N$118,0))*2*10^3*n_GESCHOSSE)*gamma_m/
(k_mod*'Hilfstabellen_Mat&amp;Bem'!f.Rd.3)</f>
        <v>85731.445312499985</v>
      </c>
      <c r="L165" s="169">
        <f ca="1">(INDEX($C$118:$N$129,MATCH($C165,'Hilfstabellen_Mat&amp;Bem'!$C$118:$C$129,0),MATCH(L$155,'Hilfstabellen_Mat&amp;Bem'!$C$118:$N$118,0))*2*10^3*n_GESCHOSSE)*gamma_m/
(k_mod*'Hilfstabellen_Mat&amp;Bem'!f.Rd.3)</f>
        <v>90991.600781249988</v>
      </c>
      <c r="M165" s="169">
        <f ca="1">(INDEX($C$118:$N$129,MATCH($C165,'Hilfstabellen_Mat&amp;Bem'!$C$118:$C$129,0),MATCH(M$155,'Hilfstabellen_Mat&amp;Bem'!$C$118:$N$118,0))*2*10^3*n_GESCHOSSE)*gamma_m/
(k_mod*'Hilfstabellen_Mat&amp;Bem'!f.Rd.3)</f>
        <v>97983.935156249994</v>
      </c>
      <c r="N165" s="169">
        <f ca="1">(INDEX($C$118:$N$129,MATCH($C165,'Hilfstabellen_Mat&amp;Bem'!$C$118:$C$129,0),MATCH(N$155,'Hilfstabellen_Mat&amp;Bem'!$C$118:$N$118,0))*2*10^3*n_GESCHOSSE)*gamma_m/
(k_mod*'Hilfstabellen_Mat&amp;Bem'!f.Rd.3)</f>
        <v>103272.60937500001</v>
      </c>
      <c r="O165" s="169"/>
      <c r="P165" s="169"/>
      <c r="Q165" s="169"/>
      <c r="R165" s="169"/>
      <c r="S165" s="169"/>
      <c r="T165" s="169"/>
      <c r="AL165" s="169"/>
      <c r="AM165" s="169"/>
      <c r="AN165" s="169"/>
      <c r="AO165" s="169"/>
      <c r="AP165" s="169"/>
      <c r="AQ165" s="169"/>
      <c r="AR165" s="169"/>
      <c r="AS165" s="169"/>
      <c r="AT165" s="169"/>
      <c r="AU165" s="169"/>
      <c r="AV165" s="169"/>
      <c r="AW165" s="169"/>
      <c r="AX165" s="169"/>
      <c r="AY165" s="169"/>
      <c r="BK165" s="4"/>
      <c r="BZ165" s="324"/>
      <c r="CB165" s="14"/>
      <c r="CC165" s="320"/>
      <c r="CD165" s="14"/>
      <c r="CE165" s="469"/>
      <c r="CF165" s="345"/>
      <c r="CG165" s="345"/>
      <c r="CH165" s="320"/>
      <c r="CI165" s="320"/>
      <c r="CJ165" s="346"/>
      <c r="CK165" s="346"/>
      <c r="CL165" s="346"/>
    </row>
    <row r="166" spans="1:90" ht="15" customHeight="1">
      <c r="A166" s="169"/>
      <c r="B166" s="169"/>
      <c r="C166" s="542">
        <f>$D61</f>
        <v>6</v>
      </c>
      <c r="D166" s="169">
        <f ca="1">(INDEX($C$118:$N$129,MATCH($C166,'Hilfstabellen_Mat&amp;Bem'!$C$118:$C$129,0),MATCH(D$155,'Hilfstabellen_Mat&amp;Bem'!$C$118:$N$118,0))*2*10^3*n_GESCHOSSE)*gamma_m/
(k_mod*'Hilfstabellen_Mat&amp;Bem'!f.Rd.3)</f>
        <v>44639.765624999993</v>
      </c>
      <c r="E166" s="169">
        <f ca="1">(INDEX($C$118:$N$129,MATCH($C166,'Hilfstabellen_Mat&amp;Bem'!$C$118:$C$129,0),MATCH(E$155,'Hilfstabellen_Mat&amp;Bem'!$C$118:$N$118,0))*2*10^3*n_GESCHOSSE)*gamma_m/
(k_mod*'Hilfstabellen_Mat&amp;Bem'!f.Rd.3)</f>
        <v>47376.285937499997</v>
      </c>
      <c r="F166" s="169">
        <f ca="1">(INDEX($C$118:$N$129,MATCH($C166,'Hilfstabellen_Mat&amp;Bem'!$C$118:$C$129,0),MATCH(F$155,'Hilfstabellen_Mat&amp;Bem'!$C$118:$N$118,0))*2*10^3*n_GESCHOSSE)*gamma_m/
(k_mod*'Hilfstabellen_Mat&amp;Bem'!f.Rd.3)</f>
        <v>50951.854687499988</v>
      </c>
      <c r="G166" s="169">
        <f ca="1">(INDEX($C$118:$N$129,MATCH($C166,'Hilfstabellen_Mat&amp;Bem'!$C$118:$C$129,0),MATCH(G$155,'Hilfstabellen_Mat&amp;Bem'!$C$118:$N$118,0))*2*10^3*n_GESCHOSSE)*gamma_m/
(k_mod*'Hilfstabellen_Mat&amp;Bem'!f.Rd.3)</f>
        <v>53699.343749999993</v>
      </c>
      <c r="H166" s="169">
        <f ca="1">(INDEX($C$118:$N$129,MATCH($C166,'Hilfstabellen_Mat&amp;Bem'!$C$118:$C$129,0),MATCH(H$155,'Hilfstabellen_Mat&amp;Bem'!$C$118:$N$118,0))*2*10^3*n_GESCHOSSE)*gamma_m/
(k_mod*'Hilfstabellen_Mat&amp;Bem'!f.Rd.3)</f>
        <v>62726.015625</v>
      </c>
      <c r="I166" s="169">
        <f ca="1">(INDEX($C$118:$N$129,MATCH($C166,'Hilfstabellen_Mat&amp;Bem'!$C$118:$C$129,0),MATCH(I$155,'Hilfstabellen_Mat&amp;Bem'!$C$118:$N$118,0))*2*10^3*n_GESCHOSSE)*gamma_m/
(k_mod*'Hilfstabellen_Mat&amp;Bem'!f.Rd.3)</f>
        <v>71774.625</v>
      </c>
      <c r="J166" s="169">
        <f ca="1">(INDEX($C$118:$N$129,MATCH($C166,'Hilfstabellen_Mat&amp;Bem'!$C$118:$C$129,0),MATCH(J$155,'Hilfstabellen_Mat&amp;Bem'!$C$118:$N$118,0))*2*10^3*n_GESCHOSSE)*gamma_m/
(k_mod*'Hilfstabellen_Mat&amp;Bem'!f.Rd.3)</f>
        <v>80943.890624999985</v>
      </c>
      <c r="K166" s="169">
        <f ca="1">(INDEX($C$118:$N$129,MATCH($C166,'Hilfstabellen_Mat&amp;Bem'!$C$118:$C$129,0),MATCH(K$155,'Hilfstabellen_Mat&amp;Bem'!$C$118:$N$118,0))*2*10^3*n_GESCHOSSE)*gamma_m/
(k_mod*'Hilfstabellen_Mat&amp;Bem'!f.Rd.3)</f>
        <v>90047.343749999985</v>
      </c>
      <c r="L166" s="169">
        <f ca="1">(INDEX($C$118:$N$129,MATCH($C166,'Hilfstabellen_Mat&amp;Bem'!$C$118:$C$129,0),MATCH(L$155,'Hilfstabellen_Mat&amp;Bem'!$C$118:$N$118,0))*2*10^3*n_GESCHOSSE)*gamma_m/
(k_mod*'Hilfstabellen_Mat&amp;Bem'!f.Rd.3)</f>
        <v>95566.453125</v>
      </c>
      <c r="M166" s="169">
        <f ca="1">(INDEX($C$118:$N$129,MATCH($C166,'Hilfstabellen_Mat&amp;Bem'!$C$118:$C$129,0),MATCH(M$155,'Hilfstabellen_Mat&amp;Bem'!$C$118:$N$118,0))*2*10^3*n_GESCHOSSE)*gamma_m/
(k_mod*'Hilfstabellen_Mat&amp;Bem'!f.Rd.3)</f>
        <v>103029.10312500001</v>
      </c>
      <c r="N166" s="169">
        <f ca="1">(INDEX($C$118:$N$129,MATCH($C166,'Hilfstabellen_Mat&amp;Bem'!$C$118:$C$129,0),MATCH(N$155,'Hilfstabellen_Mat&amp;Bem'!$C$118:$N$118,0))*2*10^3*n_GESCHOSSE)*gamma_m/
(k_mod*'Hilfstabellen_Mat&amp;Bem'!f.Rd.3)</f>
        <v>108583.31249999999</v>
      </c>
      <c r="O166" s="169"/>
      <c r="P166" s="169"/>
      <c r="Q166" s="169"/>
      <c r="R166" s="169"/>
      <c r="S166" s="169"/>
      <c r="T166" s="169"/>
      <c r="AL166" s="169"/>
      <c r="AM166" s="169"/>
      <c r="AN166" s="169"/>
      <c r="AO166" s="169"/>
      <c r="AP166" s="169"/>
      <c r="AQ166" s="169"/>
      <c r="AR166" s="169"/>
      <c r="AS166" s="169"/>
      <c r="AT166" s="169"/>
      <c r="AU166" s="169"/>
      <c r="AV166" s="169"/>
      <c r="AW166" s="169"/>
      <c r="AX166" s="169"/>
      <c r="AY166" s="169"/>
      <c r="BK166" s="4"/>
      <c r="BZ166" s="324"/>
      <c r="CB166" s="14"/>
      <c r="CC166" s="320"/>
      <c r="CD166" s="14"/>
      <c r="CE166" s="469"/>
      <c r="CF166" s="345"/>
      <c r="CG166" s="345"/>
      <c r="CH166" s="320"/>
      <c r="CI166" s="320"/>
      <c r="CJ166" s="346"/>
      <c r="CK166" s="346"/>
      <c r="CL166" s="346"/>
    </row>
    <row r="167" spans="1:90" ht="15" customHeight="1">
      <c r="A167" s="169"/>
      <c r="B167" s="169"/>
      <c r="C167" s="169"/>
      <c r="D167" s="169"/>
      <c r="E167" s="169"/>
      <c r="F167" s="169"/>
      <c r="G167" s="169"/>
      <c r="H167" s="169"/>
      <c r="I167" s="169"/>
      <c r="J167" s="169"/>
      <c r="K167" s="169"/>
      <c r="L167" s="169"/>
      <c r="M167" s="169"/>
      <c r="N167" s="169"/>
      <c r="O167" s="169"/>
      <c r="P167" s="169"/>
      <c r="Q167" s="169"/>
      <c r="R167" s="169"/>
      <c r="S167" s="169"/>
      <c r="T167" s="169"/>
      <c r="AL167" s="169"/>
      <c r="AM167" s="169"/>
      <c r="AN167" s="169"/>
      <c r="AO167" s="169"/>
      <c r="AP167" s="169"/>
      <c r="AQ167" s="169"/>
      <c r="AR167" s="169"/>
      <c r="AS167" s="169"/>
      <c r="AT167" s="169"/>
      <c r="AU167" s="169"/>
      <c r="AV167" s="169"/>
      <c r="AW167" s="169"/>
      <c r="AX167" s="169"/>
      <c r="AY167" s="169"/>
      <c r="BK167" s="4"/>
      <c r="BZ167" s="324"/>
      <c r="CB167" s="14"/>
      <c r="CC167" s="320"/>
      <c r="CD167" s="14"/>
      <c r="CE167" s="469"/>
      <c r="CF167" s="345"/>
      <c r="CG167" s="345"/>
      <c r="CH167" s="320"/>
      <c r="CI167" s="320"/>
      <c r="CJ167" s="346"/>
      <c r="CK167" s="346"/>
      <c r="CL167" s="346"/>
    </row>
    <row r="168" spans="1:90" ht="15" customHeight="1">
      <c r="A168" s="169"/>
      <c r="B168" s="169"/>
      <c r="C168" s="169"/>
      <c r="D168" s="169"/>
      <c r="E168" s="169"/>
      <c r="F168" s="169"/>
      <c r="G168" s="169"/>
      <c r="H168" s="169"/>
      <c r="I168" s="169"/>
      <c r="J168" s="169"/>
      <c r="K168" s="169"/>
      <c r="L168" s="169"/>
      <c r="M168" s="169"/>
      <c r="N168" s="169"/>
      <c r="O168" s="169"/>
      <c r="P168" s="169"/>
      <c r="Q168" s="169"/>
      <c r="R168" s="169"/>
      <c r="S168" s="169"/>
      <c r="T168" s="169"/>
      <c r="AL168" s="169"/>
      <c r="AM168" s="169"/>
      <c r="AN168" s="169"/>
      <c r="AO168" s="169"/>
      <c r="AP168" s="169"/>
      <c r="AQ168" s="169"/>
      <c r="AR168" s="169"/>
      <c r="AS168" s="169"/>
      <c r="AT168" s="169"/>
      <c r="AU168" s="169"/>
      <c r="AV168" s="169"/>
      <c r="AW168" s="169"/>
      <c r="AX168" s="169"/>
      <c r="AY168" s="169"/>
      <c r="BK168" s="4"/>
      <c r="BZ168" s="324"/>
      <c r="CB168" s="14"/>
      <c r="CC168" s="320"/>
      <c r="CD168" s="14"/>
      <c r="CE168" s="469"/>
      <c r="CF168" s="345"/>
      <c r="CG168" s="345"/>
      <c r="CH168" s="320"/>
      <c r="CI168" s="320"/>
      <c r="CJ168" s="346"/>
      <c r="CK168" s="346"/>
      <c r="CL168" s="346"/>
    </row>
    <row r="169" spans="1:90" ht="15" customHeight="1">
      <c r="A169" s="169"/>
      <c r="B169" s="169"/>
      <c r="C169" s="774" t="s">
        <v>1546</v>
      </c>
      <c r="D169" s="775">
        <f>Datenbank!C24</f>
        <v>2.65</v>
      </c>
      <c r="E169" s="775">
        <f>Datenbank!D24</f>
        <v>2.85</v>
      </c>
      <c r="F169" s="775">
        <f>Datenbank!E24</f>
        <v>3</v>
      </c>
      <c r="G169" s="775">
        <f>Datenbank!F24</f>
        <v>3.5</v>
      </c>
      <c r="H169" s="775">
        <f>Datenbank!G24</f>
        <v>4</v>
      </c>
      <c r="I169" s="775">
        <f>Datenbank!H24</f>
        <v>4.5</v>
      </c>
      <c r="J169" s="775">
        <f>Datenbank!I24</f>
        <v>5</v>
      </c>
      <c r="K169" s="797">
        <f>Datenbank!J24</f>
        <v>2.65</v>
      </c>
      <c r="L169" s="775">
        <f>Datenbank!K24</f>
        <v>2.65</v>
      </c>
      <c r="M169" s="775">
        <f>Datenbank!L24</f>
        <v>2.65</v>
      </c>
      <c r="N169" s="775">
        <f>Datenbank!M24</f>
        <v>2.65</v>
      </c>
      <c r="O169" s="775">
        <f>Datenbank!N24</f>
        <v>2.65</v>
      </c>
      <c r="P169" s="775">
        <f>Datenbank!O24</f>
        <v>2.65</v>
      </c>
      <c r="Q169" s="775">
        <f>Datenbank!P24</f>
        <v>2.65</v>
      </c>
      <c r="R169" s="775">
        <f>Datenbank!Q24</f>
        <v>2.65</v>
      </c>
      <c r="S169" s="775">
        <f>Datenbank!R24</f>
        <v>2.65</v>
      </c>
      <c r="T169" s="797">
        <f>Datenbank!S24</f>
        <v>2.85</v>
      </c>
      <c r="U169" s="775">
        <f>Datenbank!T24</f>
        <v>2.85</v>
      </c>
      <c r="V169" s="775">
        <f>Datenbank!U24</f>
        <v>2.85</v>
      </c>
      <c r="W169" s="775">
        <f>Datenbank!V24</f>
        <v>2.85</v>
      </c>
      <c r="X169" s="775">
        <f>Datenbank!W24</f>
        <v>2.85</v>
      </c>
      <c r="Y169" s="775">
        <f>Datenbank!X24</f>
        <v>2.85</v>
      </c>
      <c r="Z169" s="775">
        <f>Datenbank!Y24</f>
        <v>2.85</v>
      </c>
      <c r="AA169" s="775">
        <f>Datenbank!Z24</f>
        <v>2.85</v>
      </c>
      <c r="AB169" s="775">
        <f>Datenbank!AA24</f>
        <v>2.85</v>
      </c>
      <c r="AC169" s="797">
        <f>Datenbank!AB24</f>
        <v>3</v>
      </c>
      <c r="AD169" s="775">
        <f>Datenbank!AC24</f>
        <v>3</v>
      </c>
      <c r="AE169" s="775">
        <f>Datenbank!AD24</f>
        <v>3</v>
      </c>
      <c r="AF169" s="775">
        <f>Datenbank!AE24</f>
        <v>3</v>
      </c>
      <c r="AG169" s="775">
        <f>Datenbank!AF24</f>
        <v>3</v>
      </c>
      <c r="AH169" s="775">
        <f>Datenbank!AG24</f>
        <v>3</v>
      </c>
      <c r="AI169" s="775">
        <f>Datenbank!AH24</f>
        <v>3</v>
      </c>
      <c r="AJ169" s="775">
        <f>Datenbank!AI24</f>
        <v>3</v>
      </c>
      <c r="AK169" s="775">
        <f>Datenbank!AJ24</f>
        <v>3</v>
      </c>
      <c r="AL169" s="797">
        <f>Datenbank!AK24</f>
        <v>3.5</v>
      </c>
      <c r="AM169" s="775">
        <f>Datenbank!AL24</f>
        <v>3.5</v>
      </c>
      <c r="AN169" s="775">
        <f>Datenbank!AM24</f>
        <v>3.5</v>
      </c>
      <c r="AO169" s="775">
        <f>Datenbank!AN24</f>
        <v>3.5</v>
      </c>
      <c r="AP169" s="775">
        <f>Datenbank!AO24</f>
        <v>3.5</v>
      </c>
      <c r="AQ169" s="775">
        <f>Datenbank!AP24</f>
        <v>3.5</v>
      </c>
      <c r="AR169" s="775">
        <f>Datenbank!AQ24</f>
        <v>3.5</v>
      </c>
      <c r="AS169" s="775">
        <f>Datenbank!AR24</f>
        <v>3.5</v>
      </c>
      <c r="AT169" s="775">
        <f>Datenbank!AS24</f>
        <v>3.5</v>
      </c>
      <c r="AU169" s="797">
        <f>Datenbank!AT24</f>
        <v>4</v>
      </c>
      <c r="AV169" s="775">
        <f>Datenbank!AU24</f>
        <v>4</v>
      </c>
      <c r="AW169" s="775">
        <f>Datenbank!AV24</f>
        <v>4</v>
      </c>
      <c r="AX169" s="775">
        <f>Datenbank!AW24</f>
        <v>4</v>
      </c>
      <c r="AY169" s="775">
        <f>Datenbank!AX24</f>
        <v>4</v>
      </c>
      <c r="AZ169" s="775">
        <f>Datenbank!AY24</f>
        <v>4</v>
      </c>
      <c r="BA169" s="775">
        <f>Datenbank!AZ24</f>
        <v>4</v>
      </c>
      <c r="BB169" s="775">
        <f>Datenbank!BA24</f>
        <v>4</v>
      </c>
      <c r="BC169" s="775">
        <f>Datenbank!BB24</f>
        <v>4</v>
      </c>
      <c r="BD169" s="797">
        <f>Datenbank!BC24</f>
        <v>4.5</v>
      </c>
      <c r="BE169" s="775">
        <f>Datenbank!BD24</f>
        <v>4.5</v>
      </c>
      <c r="BF169" s="775">
        <f>Datenbank!BE24</f>
        <v>4.5</v>
      </c>
      <c r="BG169" s="775">
        <f>Datenbank!BF24</f>
        <v>4.5</v>
      </c>
      <c r="BH169" s="775">
        <f>Datenbank!BG24</f>
        <v>4.5</v>
      </c>
      <c r="BI169" s="775">
        <f>Datenbank!BH24</f>
        <v>4.5</v>
      </c>
      <c r="BJ169" s="775">
        <f>Datenbank!BI24</f>
        <v>4.5</v>
      </c>
      <c r="BK169" s="775">
        <f>Datenbank!BJ24</f>
        <v>4.5</v>
      </c>
      <c r="BL169" s="775">
        <f>Datenbank!BK24</f>
        <v>4.5</v>
      </c>
      <c r="BM169" s="797">
        <f>Datenbank!BL24</f>
        <v>5</v>
      </c>
      <c r="BN169" s="775">
        <f>Datenbank!BM24</f>
        <v>5</v>
      </c>
      <c r="BO169" s="775">
        <f>Datenbank!BN24</f>
        <v>5</v>
      </c>
      <c r="BP169" s="775">
        <f>Datenbank!BO24</f>
        <v>5</v>
      </c>
      <c r="BQ169" s="775">
        <f>Datenbank!BP24</f>
        <v>5</v>
      </c>
      <c r="BR169" s="775">
        <f>Datenbank!BQ24</f>
        <v>5</v>
      </c>
      <c r="BS169" s="775">
        <f>Datenbank!BR24</f>
        <v>5</v>
      </c>
      <c r="BT169" s="775">
        <f>Datenbank!BS24</f>
        <v>5</v>
      </c>
      <c r="BU169" s="775">
        <f>Datenbank!BT24</f>
        <v>5</v>
      </c>
      <c r="BV169" s="775"/>
      <c r="BW169" s="775"/>
      <c r="BZ169" s="324"/>
      <c r="CB169" s="14"/>
      <c r="CC169" s="320"/>
      <c r="CD169" s="14"/>
      <c r="CE169" s="469"/>
      <c r="CF169" s="345"/>
      <c r="CG169" s="345"/>
      <c r="CH169" s="320"/>
      <c r="CI169" s="320"/>
      <c r="CJ169" s="346"/>
      <c r="CK169" s="346"/>
      <c r="CL169" s="346"/>
    </row>
    <row r="170" spans="1:90" ht="15" customHeight="1">
      <c r="A170" s="169"/>
      <c r="B170" s="169"/>
      <c r="C170" s="774" t="s">
        <v>1547</v>
      </c>
      <c r="D170" s="775">
        <f>Datenbank!C25</f>
        <v>2.65</v>
      </c>
      <c r="E170" s="775">
        <f>Datenbank!D25</f>
        <v>2.85</v>
      </c>
      <c r="F170" s="775">
        <f>Datenbank!E25</f>
        <v>3</v>
      </c>
      <c r="G170" s="775">
        <f>Datenbank!F25</f>
        <v>3.5</v>
      </c>
      <c r="H170" s="775">
        <f>Datenbank!G25</f>
        <v>4</v>
      </c>
      <c r="I170" s="775">
        <f>Datenbank!H25</f>
        <v>4.5</v>
      </c>
      <c r="J170" s="775">
        <f>Datenbank!I25</f>
        <v>5</v>
      </c>
      <c r="K170" s="797">
        <f>Datenbank!J25</f>
        <v>2.85</v>
      </c>
      <c r="L170" s="775">
        <f>Datenbank!K25</f>
        <v>3</v>
      </c>
      <c r="M170" s="775">
        <f>Datenbank!L25</f>
        <v>3.5</v>
      </c>
      <c r="N170" s="775">
        <f>Datenbank!M25</f>
        <v>4</v>
      </c>
      <c r="O170" s="775">
        <f>Datenbank!N25</f>
        <v>4.5</v>
      </c>
      <c r="P170" s="775">
        <f>Datenbank!O25</f>
        <v>5</v>
      </c>
      <c r="Q170" s="775">
        <f>Datenbank!P25</f>
        <v>5.3</v>
      </c>
      <c r="R170" s="775">
        <f>Datenbank!Q25</f>
        <v>5.7</v>
      </c>
      <c r="S170" s="775">
        <f>Datenbank!R25</f>
        <v>6</v>
      </c>
      <c r="T170" s="797">
        <f>Datenbank!S25</f>
        <v>2.65</v>
      </c>
      <c r="U170" s="775">
        <f>Datenbank!T25</f>
        <v>3</v>
      </c>
      <c r="V170" s="775">
        <f>Datenbank!U25</f>
        <v>3.5</v>
      </c>
      <c r="W170" s="775">
        <f>Datenbank!V25</f>
        <v>4</v>
      </c>
      <c r="X170" s="775">
        <f>Datenbank!W25</f>
        <v>4.5</v>
      </c>
      <c r="Y170" s="775">
        <f>Datenbank!X25</f>
        <v>5</v>
      </c>
      <c r="Z170" s="775">
        <f>Datenbank!Y25</f>
        <v>5.3</v>
      </c>
      <c r="AA170" s="775">
        <f>Datenbank!Z25</f>
        <v>5.7</v>
      </c>
      <c r="AB170" s="775">
        <f>Datenbank!AA25</f>
        <v>6</v>
      </c>
      <c r="AC170" s="797">
        <f>Datenbank!AB25</f>
        <v>2.65</v>
      </c>
      <c r="AD170" s="775">
        <f>Datenbank!AC25</f>
        <v>2.85</v>
      </c>
      <c r="AE170" s="775">
        <f>Datenbank!AD25</f>
        <v>3.5</v>
      </c>
      <c r="AF170" s="775">
        <f>Datenbank!AE25</f>
        <v>4</v>
      </c>
      <c r="AG170" s="775">
        <f>Datenbank!AF25</f>
        <v>4.5</v>
      </c>
      <c r="AH170" s="775">
        <f>Datenbank!AG25</f>
        <v>5</v>
      </c>
      <c r="AI170" s="775">
        <f>Datenbank!AH25</f>
        <v>5.3</v>
      </c>
      <c r="AJ170" s="775">
        <f>Datenbank!AI25</f>
        <v>5.7</v>
      </c>
      <c r="AK170" s="775">
        <f>Datenbank!AJ25</f>
        <v>6</v>
      </c>
      <c r="AL170" s="797">
        <f>Datenbank!AK25</f>
        <v>2.65</v>
      </c>
      <c r="AM170" s="775">
        <f>Datenbank!AL25</f>
        <v>2.85</v>
      </c>
      <c r="AN170" s="775">
        <f>Datenbank!AM25</f>
        <v>3</v>
      </c>
      <c r="AO170" s="775">
        <f>Datenbank!AN25</f>
        <v>4</v>
      </c>
      <c r="AP170" s="775">
        <f>Datenbank!AO25</f>
        <v>4.5</v>
      </c>
      <c r="AQ170" s="775">
        <f>Datenbank!AP25</f>
        <v>5</v>
      </c>
      <c r="AR170" s="775">
        <f>Datenbank!AQ25</f>
        <v>5.3</v>
      </c>
      <c r="AS170" s="775">
        <f>Datenbank!AR25</f>
        <v>5.7</v>
      </c>
      <c r="AT170" s="775">
        <f>Datenbank!AS25</f>
        <v>6</v>
      </c>
      <c r="AU170" s="797">
        <f>Datenbank!AT25</f>
        <v>2.65</v>
      </c>
      <c r="AV170" s="775">
        <f>Datenbank!AU25</f>
        <v>2.85</v>
      </c>
      <c r="AW170" s="775">
        <f>Datenbank!AV25</f>
        <v>3</v>
      </c>
      <c r="AX170" s="775">
        <f>Datenbank!AW25</f>
        <v>3.5</v>
      </c>
      <c r="AY170" s="775">
        <f>Datenbank!AX25</f>
        <v>4.5</v>
      </c>
      <c r="AZ170" s="775">
        <f>Datenbank!AY25</f>
        <v>5</v>
      </c>
      <c r="BA170" s="775">
        <f>Datenbank!AZ25</f>
        <v>5.3</v>
      </c>
      <c r="BB170" s="775">
        <f>Datenbank!BA25</f>
        <v>5.7</v>
      </c>
      <c r="BC170" s="775">
        <f>Datenbank!BB25</f>
        <v>6</v>
      </c>
      <c r="BD170" s="797">
        <f>Datenbank!BC25</f>
        <v>2.65</v>
      </c>
      <c r="BE170" s="775">
        <f>Datenbank!BD25</f>
        <v>2.85</v>
      </c>
      <c r="BF170" s="775">
        <f>Datenbank!BE25</f>
        <v>3</v>
      </c>
      <c r="BG170" s="775">
        <f>Datenbank!BF25</f>
        <v>3.5</v>
      </c>
      <c r="BH170" s="775">
        <f>Datenbank!BG25</f>
        <v>4</v>
      </c>
      <c r="BI170" s="775">
        <f>Datenbank!BH25</f>
        <v>5</v>
      </c>
      <c r="BJ170" s="775">
        <f>Datenbank!BI25</f>
        <v>5.3</v>
      </c>
      <c r="BK170" s="775">
        <f>Datenbank!BJ25</f>
        <v>5.7</v>
      </c>
      <c r="BL170" s="775">
        <f>Datenbank!BK25</f>
        <v>6</v>
      </c>
      <c r="BM170" s="797">
        <f>Datenbank!BL25</f>
        <v>2.65</v>
      </c>
      <c r="BN170" s="775">
        <f>Datenbank!BM25</f>
        <v>2.85</v>
      </c>
      <c r="BO170" s="775">
        <f>Datenbank!BN25</f>
        <v>3</v>
      </c>
      <c r="BP170" s="775">
        <f>Datenbank!BO25</f>
        <v>3.5</v>
      </c>
      <c r="BQ170" s="775">
        <f>Datenbank!BP25</f>
        <v>4</v>
      </c>
      <c r="BR170" s="775">
        <f>Datenbank!BQ25</f>
        <v>4.5</v>
      </c>
      <c r="BS170" s="775">
        <f>Datenbank!BR25</f>
        <v>5.3</v>
      </c>
      <c r="BT170" s="775">
        <f>Datenbank!BS25</f>
        <v>5.7</v>
      </c>
      <c r="BU170" s="775">
        <f>Datenbank!BT25</f>
        <v>6</v>
      </c>
      <c r="BV170" s="775"/>
      <c r="BW170" s="775"/>
      <c r="BZ170" s="324"/>
      <c r="CB170" s="14"/>
      <c r="CC170" s="320"/>
      <c r="CD170" s="14"/>
      <c r="CE170" s="469"/>
      <c r="CF170" s="345"/>
      <c r="CG170" s="345"/>
      <c r="CH170" s="320"/>
      <c r="CI170" s="320"/>
      <c r="CJ170" s="346"/>
      <c r="CK170" s="346"/>
      <c r="CL170" s="346"/>
    </row>
    <row r="171" spans="1:90" ht="15" customHeight="1">
      <c r="A171" s="169"/>
      <c r="B171" s="169"/>
      <c r="C171" s="774" t="s">
        <v>1548</v>
      </c>
      <c r="D171" s="775">
        <f ca="1">Datenbank!C26</f>
        <v>3</v>
      </c>
      <c r="E171" s="775">
        <f ca="1">Datenbank!D26</f>
        <v>3</v>
      </c>
      <c r="F171" s="775">
        <f ca="1">Datenbank!E26</f>
        <v>3</v>
      </c>
      <c r="G171" s="775">
        <f ca="1">Datenbank!F26</f>
        <v>3.1</v>
      </c>
      <c r="H171" s="775">
        <f ca="1">Datenbank!G26</f>
        <v>3.2</v>
      </c>
      <c r="I171" s="775">
        <f ca="1">Datenbank!H26</f>
        <v>3.3000000000000003</v>
      </c>
      <c r="J171" s="775">
        <f ca="1">Datenbank!I26</f>
        <v>3.4</v>
      </c>
      <c r="K171" s="797">
        <f ca="1">Datenbank!J26</f>
        <v>3</v>
      </c>
      <c r="L171" s="775">
        <f ca="1">Datenbank!K26</f>
        <v>3</v>
      </c>
      <c r="M171" s="775">
        <f ca="1">Datenbank!L26</f>
        <v>3.1</v>
      </c>
      <c r="N171" s="775">
        <f ca="1">Datenbank!M26</f>
        <v>3.1</v>
      </c>
      <c r="O171" s="775">
        <f ca="1">Datenbank!N26</f>
        <v>3.2</v>
      </c>
      <c r="P171" s="775">
        <f ca="1">Datenbank!O26</f>
        <v>3.2</v>
      </c>
      <c r="Q171" s="775">
        <f ca="1">Datenbank!P26</f>
        <v>3.3000000000000003</v>
      </c>
      <c r="R171" s="775">
        <f ca="1">Datenbank!Q26</f>
        <v>3.3000000000000003</v>
      </c>
      <c r="S171" s="775">
        <f ca="1">Datenbank!R26</f>
        <v>3.3000000000000003</v>
      </c>
      <c r="T171" s="797">
        <f ca="1">Datenbank!S26</f>
        <v>3</v>
      </c>
      <c r="U171" s="775">
        <f ca="1">Datenbank!T26</f>
        <v>3</v>
      </c>
      <c r="V171" s="775">
        <f ca="1">Datenbank!U26</f>
        <v>3.1</v>
      </c>
      <c r="W171" s="775">
        <f ca="1">Datenbank!V26</f>
        <v>3.1</v>
      </c>
      <c r="X171" s="775">
        <f ca="1">Datenbank!W26</f>
        <v>3.2</v>
      </c>
      <c r="Y171" s="775">
        <f ca="1">Datenbank!X26</f>
        <v>3.2</v>
      </c>
      <c r="Z171" s="775">
        <f ca="1">Datenbank!Y26</f>
        <v>3.3000000000000003</v>
      </c>
      <c r="AA171" s="775">
        <f ca="1">Datenbank!Z26</f>
        <v>3.3000000000000003</v>
      </c>
      <c r="AB171" s="775">
        <f ca="1">Datenbank!AA26</f>
        <v>3.3000000000000003</v>
      </c>
      <c r="AC171" s="797">
        <f ca="1">Datenbank!AB26</f>
        <v>3</v>
      </c>
      <c r="AD171" s="775">
        <f ca="1">Datenbank!AC26</f>
        <v>3</v>
      </c>
      <c r="AE171" s="775">
        <f ca="1">Datenbank!AD26</f>
        <v>3.1</v>
      </c>
      <c r="AF171" s="775">
        <f ca="1">Datenbank!AE26</f>
        <v>3.1</v>
      </c>
      <c r="AG171" s="775">
        <f ca="1">Datenbank!AF26</f>
        <v>3.2</v>
      </c>
      <c r="AH171" s="775">
        <f ca="1">Datenbank!AG26</f>
        <v>3.2</v>
      </c>
      <c r="AI171" s="775">
        <f ca="1">Datenbank!AH26</f>
        <v>3.3000000000000003</v>
      </c>
      <c r="AJ171" s="775">
        <f ca="1">Datenbank!AI26</f>
        <v>3.3000000000000003</v>
      </c>
      <c r="AK171" s="775">
        <f ca="1">Datenbank!AJ26</f>
        <v>3.3000000000000003</v>
      </c>
      <c r="AL171" s="797">
        <f ca="1">Datenbank!AK26</f>
        <v>3</v>
      </c>
      <c r="AM171" s="775">
        <f ca="1">Datenbank!AL26</f>
        <v>3</v>
      </c>
      <c r="AN171" s="775">
        <f ca="1">Datenbank!AM26</f>
        <v>3.1</v>
      </c>
      <c r="AO171" s="775">
        <f ca="1">Datenbank!AN26</f>
        <v>3.2</v>
      </c>
      <c r="AP171" s="775">
        <f ca="1">Datenbank!AO26</f>
        <v>3.2</v>
      </c>
      <c r="AQ171" s="775">
        <f ca="1">Datenbank!AP26</f>
        <v>3.3000000000000003</v>
      </c>
      <c r="AR171" s="775">
        <f ca="1">Datenbank!AQ26</f>
        <v>3.3000000000000003</v>
      </c>
      <c r="AS171" s="775">
        <f ca="1">Datenbank!AR26</f>
        <v>3.4</v>
      </c>
      <c r="AT171" s="775">
        <f ca="1">Datenbank!AS26</f>
        <v>3.4</v>
      </c>
      <c r="AU171" s="797">
        <f ca="1">Datenbank!AT26</f>
        <v>3.1</v>
      </c>
      <c r="AV171" s="775">
        <f ca="1">Datenbank!AU26</f>
        <v>3.1</v>
      </c>
      <c r="AW171" s="775">
        <f ca="1">Datenbank!AV26</f>
        <v>3.1</v>
      </c>
      <c r="AX171" s="775">
        <f ca="1">Datenbank!AW26</f>
        <v>3.1</v>
      </c>
      <c r="AY171" s="775">
        <f ca="1">Datenbank!AX26</f>
        <v>3.3000000000000003</v>
      </c>
      <c r="AZ171" s="775">
        <f ca="1">Datenbank!AY26</f>
        <v>3.3000000000000003</v>
      </c>
      <c r="BA171" s="775">
        <f ca="1">Datenbank!AZ26</f>
        <v>3.4</v>
      </c>
      <c r="BB171" s="775">
        <f ca="1">Datenbank!BA26</f>
        <v>3.4</v>
      </c>
      <c r="BC171" s="775">
        <f ca="1">Datenbank!BB26</f>
        <v>3.5</v>
      </c>
      <c r="BD171" s="797">
        <f ca="1">Datenbank!BC26</f>
        <v>3.1</v>
      </c>
      <c r="BE171" s="775">
        <f ca="1">Datenbank!BD26</f>
        <v>3.1</v>
      </c>
      <c r="BF171" s="775">
        <f ca="1">Datenbank!BE26</f>
        <v>3.1</v>
      </c>
      <c r="BG171" s="775">
        <f ca="1">Datenbank!BF26</f>
        <v>3.2</v>
      </c>
      <c r="BH171" s="775">
        <f ca="1">Datenbank!BG26</f>
        <v>3.2</v>
      </c>
      <c r="BI171" s="775">
        <f ca="1">Datenbank!BH26</f>
        <v>3.4</v>
      </c>
      <c r="BJ171" s="775">
        <f ca="1">Datenbank!BI26</f>
        <v>3.4</v>
      </c>
      <c r="BK171" s="775">
        <f ca="1">Datenbank!BJ26</f>
        <v>3.5</v>
      </c>
      <c r="BL171" s="775">
        <f ca="1">Datenbank!BK26</f>
        <v>3.5</v>
      </c>
      <c r="BM171" s="797">
        <f ca="1">Datenbank!BL26</f>
        <v>3.2</v>
      </c>
      <c r="BN171" s="775">
        <f ca="1">Datenbank!BM26</f>
        <v>3.2</v>
      </c>
      <c r="BO171" s="775">
        <f ca="1">Datenbank!BN26</f>
        <v>3.2</v>
      </c>
      <c r="BP171" s="775">
        <f ca="1">Datenbank!BO26</f>
        <v>3.2</v>
      </c>
      <c r="BQ171" s="775">
        <f ca="1">Datenbank!BP26</f>
        <v>3.3000000000000003</v>
      </c>
      <c r="BR171" s="775">
        <f ca="1">Datenbank!BQ26</f>
        <v>3.4</v>
      </c>
      <c r="BS171" s="775">
        <f ca="1">Datenbank!BR26</f>
        <v>3.5</v>
      </c>
      <c r="BT171" s="775">
        <f ca="1">Datenbank!BS26</f>
        <v>3.5</v>
      </c>
      <c r="BU171" s="775">
        <f ca="1">Datenbank!BT26</f>
        <v>3.6</v>
      </c>
      <c r="BZ171" s="324"/>
      <c r="CB171" s="14"/>
      <c r="CC171" s="320"/>
      <c r="CD171" s="14"/>
      <c r="CE171" s="469"/>
      <c r="CF171" s="345"/>
      <c r="CG171" s="345"/>
      <c r="CH171" s="320"/>
      <c r="CI171" s="320"/>
      <c r="CJ171" s="346"/>
      <c r="CK171" s="346"/>
      <c r="CL171" s="346"/>
    </row>
    <row r="172" spans="1:90" ht="15" customHeight="1">
      <c r="A172" s="169"/>
      <c r="B172" s="169"/>
      <c r="C172" s="169"/>
      <c r="D172" s="169"/>
      <c r="E172" s="169"/>
      <c r="F172" s="169"/>
      <c r="G172" s="169"/>
      <c r="H172" s="169"/>
      <c r="I172" s="169"/>
      <c r="J172" s="169"/>
      <c r="K172" s="208"/>
      <c r="L172" s="169"/>
      <c r="M172" s="169"/>
      <c r="N172" s="169"/>
      <c r="O172" s="169"/>
      <c r="P172" s="169"/>
      <c r="Q172" s="169"/>
      <c r="R172" s="169"/>
      <c r="S172" s="169"/>
      <c r="T172" s="208"/>
      <c r="AC172" s="799"/>
      <c r="AL172" s="208"/>
      <c r="AM172" s="169"/>
      <c r="AN172" s="169"/>
      <c r="AO172" s="169"/>
      <c r="AP172" s="169"/>
      <c r="AQ172" s="169"/>
      <c r="AR172" s="169"/>
      <c r="AS172" s="169"/>
      <c r="AT172" s="169"/>
      <c r="AU172" s="208"/>
      <c r="AV172" s="169"/>
      <c r="AW172" s="169"/>
      <c r="AX172" s="169"/>
      <c r="AY172" s="169"/>
      <c r="BD172" s="406"/>
      <c r="BK172" s="4"/>
      <c r="BM172" s="799"/>
      <c r="BZ172" s="324"/>
      <c r="CB172" s="14"/>
      <c r="CC172" s="320"/>
      <c r="CD172" s="14"/>
      <c r="CE172" s="469"/>
      <c r="CF172" s="345"/>
      <c r="CG172" s="345"/>
      <c r="CH172" s="320"/>
      <c r="CI172" s="320"/>
      <c r="CJ172" s="346"/>
      <c r="CK172" s="346"/>
      <c r="CL172" s="346"/>
    </row>
    <row r="173" spans="1:90" ht="15" customHeight="1">
      <c r="A173" s="169"/>
      <c r="B173" s="169"/>
      <c r="C173" s="407" t="s">
        <v>989</v>
      </c>
      <c r="D173" s="169">
        <f ca="1">INDEX($C$155:$N$166,MATCH(D169,$C$155:$C$166,0),MATCH(D170,$C$155:$N$155,0))</f>
        <v>20367.889648437496</v>
      </c>
      <c r="E173" s="169">
        <f t="shared" ref="E173:L173" ca="1" si="59">INDEX($C$155:$N$166,MATCH(E169,$C$155:$C$166,0),MATCH(E170,$C$155:$N$155,0))</f>
        <v>23597.231835937502</v>
      </c>
      <c r="F173" s="169">
        <f t="shared" ca="1" si="59"/>
        <v>26125.734375</v>
      </c>
      <c r="G173" s="169">
        <f t="shared" ca="1" si="59"/>
        <v>36196.671874999993</v>
      </c>
      <c r="H173" s="169">
        <f t="shared" ca="1" si="59"/>
        <v>47996</v>
      </c>
      <c r="I173" s="169">
        <f t="shared" ca="1" si="59"/>
        <v>61855.523437499993</v>
      </c>
      <c r="J173" s="169">
        <f t="shared" ca="1" si="59"/>
        <v>78723.124999999985</v>
      </c>
      <c r="K173" s="208">
        <f t="shared" ca="1" si="59"/>
        <v>21967.610742187506</v>
      </c>
      <c r="L173" s="169">
        <f t="shared" ca="1" si="59"/>
        <v>23123.80078125</v>
      </c>
      <c r="M173" s="777">
        <f ca="1">INDEX($C$155:$N$166,MATCH(M169,$C$155:$C$166,0),MATCH(M170,$C$155:$N$155,0))</f>
        <v>27054.548828124993</v>
      </c>
      <c r="N173" s="777">
        <f t="shared" ref="N173:BU173" ca="1" si="60">INDEX($C$155:$N$166,MATCH(N169,$C$155:$C$166,0),MATCH(N170,$C$155:$N$155,0))</f>
        <v>31007.234374999989</v>
      </c>
      <c r="O173" s="777">
        <f t="shared" ca="1" si="60"/>
        <v>35080.576171874993</v>
      </c>
      <c r="P173" s="777">
        <f t="shared" ca="1" si="60"/>
        <v>39088.105468749993</v>
      </c>
      <c r="Q173" s="777">
        <f t="shared" ca="1" si="60"/>
        <v>41549.660546874991</v>
      </c>
      <c r="R173" s="777">
        <f t="shared" ca="1" si="60"/>
        <v>44810.527734374999</v>
      </c>
      <c r="S173" s="777">
        <f t="shared" ca="1" si="60"/>
        <v>47300.601562499993</v>
      </c>
      <c r="T173" s="798">
        <f t="shared" ca="1" si="60"/>
        <v>21883.1513671875</v>
      </c>
      <c r="U173" s="777">
        <f t="shared" ca="1" si="60"/>
        <v>24839.19140625</v>
      </c>
      <c r="V173" s="777">
        <f t="shared" ca="1" si="60"/>
        <v>29055.837890625004</v>
      </c>
      <c r="W173" s="777">
        <f t="shared" ca="1" si="60"/>
        <v>33294.421875</v>
      </c>
      <c r="X173" s="777">
        <f t="shared" ca="1" si="60"/>
        <v>37653.662109375007</v>
      </c>
      <c r="Y173" s="777">
        <f t="shared" ca="1" si="60"/>
        <v>41947.089843750007</v>
      </c>
      <c r="Z173" s="777">
        <f t="shared" ca="1" si="60"/>
        <v>44580.183984374999</v>
      </c>
      <c r="AA173" s="777">
        <f t="shared" ca="1" si="60"/>
        <v>48069.769921875006</v>
      </c>
      <c r="AB173" s="777">
        <f t="shared" ca="1" si="60"/>
        <v>50731.382812500007</v>
      </c>
      <c r="AC173" s="798">
        <f t="shared" ca="1" si="60"/>
        <v>23077.732031250001</v>
      </c>
      <c r="AD173" s="777">
        <f t="shared" ca="1" si="60"/>
        <v>24819.447656249999</v>
      </c>
      <c r="AE173" s="777">
        <f t="shared" ca="1" si="60"/>
        <v>30556.804687499989</v>
      </c>
      <c r="AF173" s="777">
        <f t="shared" ca="1" si="60"/>
        <v>35097.5625</v>
      </c>
      <c r="AG173" s="777">
        <f t="shared" ca="1" si="60"/>
        <v>39583.476562500007</v>
      </c>
      <c r="AH173" s="777">
        <f t="shared" ca="1" si="60"/>
        <v>44091.328125000007</v>
      </c>
      <c r="AI173" s="777">
        <f t="shared" ca="1" si="60"/>
        <v>46853.076562499999</v>
      </c>
      <c r="AJ173" s="777">
        <f t="shared" ca="1" si="60"/>
        <v>50514.201562500013</v>
      </c>
      <c r="AK173" s="777">
        <f ca="1">INDEX($C$155:$N$166,MATCH(AK169,$C$155:$C$166,0),MATCH(AK170,$C$155:$N$155,0))</f>
        <v>53304.468749999993</v>
      </c>
      <c r="AL173" s="798">
        <f t="shared" ca="1" si="60"/>
        <v>27289.782812499987</v>
      </c>
      <c r="AM173" s="777">
        <f t="shared" ca="1" si="60"/>
        <v>29349.389062499995</v>
      </c>
      <c r="AN173" s="777">
        <f t="shared" ca="1" si="60"/>
        <v>30959.90625</v>
      </c>
      <c r="AO173" s="777">
        <f t="shared" ca="1" si="60"/>
        <v>41455.375</v>
      </c>
      <c r="AP173" s="777">
        <f t="shared" ca="1" si="60"/>
        <v>46736.015624999993</v>
      </c>
      <c r="AQ173" s="777">
        <f t="shared" ca="1" si="60"/>
        <v>52148.281249999985</v>
      </c>
      <c r="AR173" s="777">
        <f t="shared" ca="1" si="60"/>
        <v>55393.446874999987</v>
      </c>
      <c r="AS173" s="777">
        <f t="shared" ca="1" si="60"/>
        <v>59699.128125000003</v>
      </c>
      <c r="AT173" s="777">
        <f t="shared" ca="1" si="60"/>
        <v>62972.812499999993</v>
      </c>
      <c r="AU173" s="798">
        <f t="shared" ca="1" si="60"/>
        <v>31622.946874999998</v>
      </c>
      <c r="AV173" s="777">
        <f t="shared" ca="1" si="60"/>
        <v>34072.106249999997</v>
      </c>
      <c r="AW173" s="777">
        <f t="shared" ca="1" si="60"/>
        <v>35865.375000000007</v>
      </c>
      <c r="AX173" s="777">
        <f t="shared" ca="1" si="60"/>
        <v>41919.718749999993</v>
      </c>
      <c r="AY173" s="777">
        <f t="shared" ca="1" si="60"/>
        <v>54192.937499999985</v>
      </c>
      <c r="AZ173" s="777">
        <f ca="1">INDEX($C$155:$N$166,MATCH(AZ169,$C$155:$C$166,0),MATCH(AZ170,$C$155:$N$155,0))</f>
        <v>60433.749999999993</v>
      </c>
      <c r="BA173" s="777">
        <f t="shared" ca="1" si="60"/>
        <v>64176.043750000004</v>
      </c>
      <c r="BB173" s="777">
        <f t="shared" ca="1" si="60"/>
        <v>69144.5625</v>
      </c>
      <c r="BC173" s="777">
        <f t="shared" ca="1" si="60"/>
        <v>72915.374999999985</v>
      </c>
      <c r="BD173" s="798">
        <f t="shared" ca="1" si="60"/>
        <v>36135.358593749996</v>
      </c>
      <c r="BE173" s="777">
        <f t="shared" ca="1" si="60"/>
        <v>38862.55546874999</v>
      </c>
      <c r="BF173" s="777">
        <f t="shared" ca="1" si="60"/>
        <v>40907.953125</v>
      </c>
      <c r="BG173" s="777">
        <f t="shared" ca="1" si="60"/>
        <v>47879.507812499993</v>
      </c>
      <c r="BH173" s="777">
        <f t="shared" ca="1" si="60"/>
        <v>54807.187499999993</v>
      </c>
      <c r="BI173" s="777">
        <f t="shared" ca="1" si="60"/>
        <v>68838.046874999985</v>
      </c>
      <c r="BJ173" s="777">
        <f t="shared" ca="1" si="60"/>
        <v>73084.598437499997</v>
      </c>
      <c r="BK173" s="777">
        <f t="shared" ca="1" si="60"/>
        <v>78850.504687499997</v>
      </c>
      <c r="BL173" s="777">
        <f t="shared" ca="1" si="60"/>
        <v>83132.15625</v>
      </c>
      <c r="BM173" s="798">
        <f t="shared" ca="1" si="60"/>
        <v>41316.315624999996</v>
      </c>
      <c r="BN173" s="777">
        <f t="shared" ca="1" si="60"/>
        <v>44497.049999999988</v>
      </c>
      <c r="BO173" s="777">
        <f t="shared" ca="1" si="60"/>
        <v>46838.999999999993</v>
      </c>
      <c r="BP173" s="777">
        <f t="shared" ca="1" si="60"/>
        <v>54722.281249999993</v>
      </c>
      <c r="BQ173" s="777">
        <f t="shared" ca="1" si="60"/>
        <v>62627.5</v>
      </c>
      <c r="BR173" s="777">
        <f t="shared" ca="1" si="60"/>
        <v>70653.374999999985</v>
      </c>
      <c r="BS173" s="777">
        <f t="shared" ca="1" si="60"/>
        <v>83562.78125</v>
      </c>
      <c r="BT173" s="777">
        <f t="shared" ca="1" si="60"/>
        <v>89994.449999999968</v>
      </c>
      <c r="BU173" s="777">
        <f t="shared" ca="1" si="60"/>
        <v>94994.249999999985</v>
      </c>
      <c r="BZ173" s="324"/>
      <c r="CB173" s="14"/>
      <c r="CC173" s="320"/>
      <c r="CD173" s="14"/>
      <c r="CE173" s="469"/>
      <c r="CF173" s="345"/>
      <c r="CG173" s="345"/>
      <c r="CH173" s="320"/>
      <c r="CI173" s="320"/>
      <c r="CJ173" s="346"/>
      <c r="CK173" s="346"/>
      <c r="CL173" s="346"/>
    </row>
    <row r="174" spans="1:90" ht="15" customHeight="1">
      <c r="A174" s="169"/>
      <c r="B174" s="169"/>
      <c r="C174" s="498" t="s">
        <v>982</v>
      </c>
      <c r="D174" s="169">
        <f ca="1">INDEX('kc x h²-Wert für Stützen'!$A:$A,MATCH('Hilfstabellen_Mat&amp;Bem'!D173,'kc x h²-Wert für Stützen'!S:S,1)+1)</f>
        <v>164</v>
      </c>
      <c r="E174" s="169">
        <f ca="1">INDEX('kc x h²-Wert für Stützen'!$A:$A,MATCH('Hilfstabellen_Mat&amp;Bem'!E173,'kc x h²-Wert für Stützen'!T:T,1)+1)</f>
        <v>172</v>
      </c>
      <c r="F174" s="169">
        <f ca="1">INDEX('kc x h²-Wert für Stützen'!$A:$A,MATCH('Hilfstabellen_Mat&amp;Bem'!F173,'kc x h²-Wert für Stützen'!U:U,1)+1)</f>
        <v>179</v>
      </c>
      <c r="G174" s="169">
        <f ca="1">INDEX('kc x h²-Wert für Stützen'!$A:$A,MATCH('Hilfstabellen_Mat&amp;Bem'!G173,'kc x h²-Wert für Stützen'!V:V,1)+1)</f>
        <v>204</v>
      </c>
      <c r="H174" s="169">
        <f ca="1">INDEX('kc x h²-Wert für Stützen'!$A:$A,MATCH('Hilfstabellen_Mat&amp;Bem'!H173,'kc x h²-Wert für Stützen'!W:W,1)+1)</f>
        <v>230</v>
      </c>
      <c r="I174" s="169">
        <f ca="1">INDEX('kc x h²-Wert für Stützen'!$A:$A,MATCH('Hilfstabellen_Mat&amp;Bem'!I173,'kc x h²-Wert für Stützen'!X:X,1)+1)</f>
        <v>258</v>
      </c>
      <c r="J174" s="169">
        <f ca="1">INDEX('kc x h²-Wert für Stützen'!$A:$A,MATCH('Hilfstabellen_Mat&amp;Bem'!J173,'kc x h²-Wert für Stützen'!Y:Y,1)+1)</f>
        <v>289</v>
      </c>
      <c r="K174" s="208">
        <f ca="1">INDEX('kc x h²-Wert für Stützen'!$A:$A,MATCH('Hilfstabellen_Mat&amp;Bem'!K173,'kc x h²-Wert für Stützen'!Z:Z,1)+1)</f>
        <v>168</v>
      </c>
      <c r="L174" s="169">
        <f ca="1">INDEX('kc x h²-Wert für Stützen'!$A:$A,MATCH('Hilfstabellen_Mat&amp;Bem'!L173,'kc x h²-Wert für Stützen'!AA:AA,1)+1)</f>
        <v>171</v>
      </c>
      <c r="M174" s="169">
        <f ca="1">INDEX('kc x h²-Wert für Stützen'!$A:$A,MATCH('Hilfstabellen_Mat&amp;Bem'!M173,'kc x h²-Wert für Stützen'!AB:AB,1)+1)</f>
        <v>183</v>
      </c>
      <c r="N174" s="169">
        <f ca="1">INDEX('kc x h²-Wert für Stützen'!$A:$A,MATCH('Hilfstabellen_Mat&amp;Bem'!N173,'kc x h²-Wert für Stützen'!AC:AC,1)+1)</f>
        <v>192</v>
      </c>
      <c r="O174" s="169">
        <f ca="1">INDEX('kc x h²-Wert für Stützen'!$A:$A,MATCH('Hilfstabellen_Mat&amp;Bem'!O173,'kc x h²-Wert für Stützen'!AD:AD,1)+1)</f>
        <v>203</v>
      </c>
      <c r="P174" s="169">
        <f ca="1">INDEX('kc x h²-Wert für Stützen'!$A:$A,MATCH('Hilfstabellen_Mat&amp;Bem'!P173,'kc x h²-Wert für Stützen'!AE:AE,1)+1)</f>
        <v>211</v>
      </c>
      <c r="Q174" s="169">
        <f ca="1">INDEX('kc x h²-Wert für Stützen'!$A:$A,MATCH('Hilfstabellen_Mat&amp;Bem'!Q173,'kc x h²-Wert für Stützen'!AF:AF,1)+1)</f>
        <v>218</v>
      </c>
      <c r="R174" s="169">
        <f ca="1">INDEX('kc x h²-Wert für Stützen'!$A:$A,MATCH('Hilfstabellen_Mat&amp;Bem'!R173,'kc x h²-Wert für Stützen'!AG:AG,1)+1)</f>
        <v>225</v>
      </c>
      <c r="S174" s="169">
        <f ca="1">INDEX('kc x h²-Wert für Stützen'!$A:$A,MATCH('Hilfstabellen_Mat&amp;Bem'!S173,'kc x h²-Wert für Stützen'!AH:AH,1)+1)</f>
        <v>230</v>
      </c>
      <c r="T174" s="208">
        <f ca="1">INDEX('kc x h²-Wert für Stützen'!$A:$A,MATCH('Hilfstabellen_Mat&amp;Bem'!T173,'kc x h²-Wert für Stützen'!AI:AI,1)+1)</f>
        <v>168</v>
      </c>
      <c r="U174" s="169">
        <f ca="1">INDEX('kc x h²-Wert für Stützen'!$A:$A,MATCH('Hilfstabellen_Mat&amp;Bem'!U173,'kc x h²-Wert für Stützen'!AJ:AJ,1)+1)</f>
        <v>176</v>
      </c>
      <c r="V174" s="169">
        <f ca="1">INDEX('kc x h²-Wert für Stützen'!$A:$A,MATCH('Hilfstabellen_Mat&amp;Bem'!V173,'kc x h²-Wert für Stützen'!AK:AK,1)+1)</f>
        <v>187</v>
      </c>
      <c r="W174" s="169">
        <f ca="1">INDEX('kc x h²-Wert für Stützen'!$A:$A,MATCH('Hilfstabellen_Mat&amp;Bem'!W173,'kc x h²-Wert für Stützen'!AL:AL,1)+1)</f>
        <v>197</v>
      </c>
      <c r="X174" s="169">
        <f ca="1">INDEX('kc x h²-Wert für Stützen'!$A:$A,MATCH('Hilfstabellen_Mat&amp;Bem'!X173,'kc x h²-Wert für Stützen'!AM:AM,1)+1)</f>
        <v>208</v>
      </c>
      <c r="Y174" s="169">
        <f ca="1">INDEX('kc x h²-Wert für Stützen'!$A:$A,MATCH('Hilfstabellen_Mat&amp;Bem'!Y173,'kc x h²-Wert für Stützen'!AN:AN,1)+1)</f>
        <v>218</v>
      </c>
      <c r="Z174" s="169">
        <f ca="1">INDEX('kc x h²-Wert für Stützen'!$A:$A,MATCH('Hilfstabellen_Mat&amp;Bem'!Z173,'kc x h²-Wert für Stützen'!AO:AO,1)+1)</f>
        <v>224</v>
      </c>
      <c r="AA174" s="169">
        <f ca="1">INDEX('kc x h²-Wert für Stützen'!$A:$A,MATCH('Hilfstabellen_Mat&amp;Bem'!AA173,'kc x h²-Wert für Stützen'!AP:AP,1)+1)</f>
        <v>232</v>
      </c>
      <c r="AB174" s="169">
        <f ca="1">INDEX('kc x h²-Wert für Stützen'!$A:$A,MATCH('Hilfstabellen_Mat&amp;Bem'!AB173,'kc x h²-Wert für Stützen'!AQ:AQ,1)+1)</f>
        <v>237</v>
      </c>
      <c r="AC174" s="208">
        <f ca="1">INDEX('kc x h²-Wert für Stützen'!$A:$A,MATCH('Hilfstabellen_Mat&amp;Bem'!AC173,'kc x h²-Wert für Stützen'!AR:AR,1)+1)</f>
        <v>171</v>
      </c>
      <c r="AD174" s="169">
        <f ca="1">INDEX('kc x h²-Wert für Stützen'!$A:$A,MATCH('Hilfstabellen_Mat&amp;Bem'!AD173,'kc x h²-Wert für Stützen'!AS:AS,1)+1)</f>
        <v>175</v>
      </c>
      <c r="AE174" s="169">
        <f ca="1">INDEX('kc x h²-Wert für Stützen'!$A:$A,MATCH('Hilfstabellen_Mat&amp;Bem'!AE173,'kc x h²-Wert für Stützen'!AT:AT,1)+1)</f>
        <v>191</v>
      </c>
      <c r="AF174" s="169">
        <f ca="1">INDEX('kc x h²-Wert für Stützen'!$A:$A,MATCH('Hilfstabellen_Mat&amp;Bem'!AF173,'kc x h²-Wert für Stützen'!AU:AU,1)+1)</f>
        <v>201</v>
      </c>
      <c r="AG174" s="169">
        <f ca="1">INDEX('kc x h²-Wert für Stützen'!$A:$A,MATCH('Hilfstabellen_Mat&amp;Bem'!AG173,'kc x h²-Wert für Stützen'!AV:AV,1)+1)</f>
        <v>213</v>
      </c>
      <c r="AH174" s="169">
        <f ca="1">INDEX('kc x h²-Wert für Stützen'!$A:$A,MATCH('Hilfstabellen_Mat&amp;Bem'!AH173,'kc x h²-Wert für Stützen'!AW:AW,1)+1)</f>
        <v>222</v>
      </c>
      <c r="AI174" s="169">
        <f ca="1">INDEX('kc x h²-Wert für Stützen'!$A:$A,MATCH('Hilfstabellen_Mat&amp;Bem'!AI173,'kc x h²-Wert für Stützen'!AX:AX,1)+1)</f>
        <v>229</v>
      </c>
      <c r="AJ174" s="169">
        <f ca="1">INDEX('kc x h²-Wert für Stützen'!$A:$A,MATCH('Hilfstabellen_Mat&amp;Bem'!AJ173,'kc x h²-Wert für Stützen'!AY:AY,1)+1)</f>
        <v>236</v>
      </c>
      <c r="AK174" s="169">
        <f ca="1">INDEX('kc x h²-Wert für Stützen'!$A:$A,MATCH('Hilfstabellen_Mat&amp;Bem'!AK173,'kc x h²-Wert für Stützen'!AZ:AZ,1)+1)</f>
        <v>242</v>
      </c>
      <c r="AL174" s="208">
        <f ca="1">INDEX('kc x h²-Wert für Stützen'!$A:$A,MATCH('Hilfstabellen_Mat&amp;Bem'!AL173,'kc x h²-Wert für Stützen'!BA:BA,1)+1)</f>
        <v>182</v>
      </c>
      <c r="AM174" s="169">
        <f ca="1">INDEX('kc x h²-Wert für Stützen'!$A:$A,MATCH('Hilfstabellen_Mat&amp;Bem'!AM173,'kc x h²-Wert für Stützen'!BB:BB,1)+1)</f>
        <v>187</v>
      </c>
      <c r="AN174" s="169">
        <f ca="1">INDEX('kc x h²-Wert für Stützen'!$A:$A,MATCH('Hilfstabellen_Mat&amp;Bem'!AN173,'kc x h²-Wert für Stützen'!BC:BC,1)+1)</f>
        <v>192</v>
      </c>
      <c r="AO174" s="169">
        <f ca="1">INDEX('kc x h²-Wert für Stützen'!$A:$A,MATCH('Hilfstabellen_Mat&amp;Bem'!AO173,'kc x h²-Wert für Stützen'!BD:BD,1)+1)</f>
        <v>217</v>
      </c>
      <c r="AP174" s="169">
        <f ca="1">INDEX('kc x h²-Wert für Stützen'!$A:$A,MATCH('Hilfstabellen_Mat&amp;Bem'!AP173,'kc x h²-Wert für Stützen'!BE:BE,1)+1)</f>
        <v>228</v>
      </c>
      <c r="AQ174" s="169">
        <f ca="1">INDEX('kc x h²-Wert für Stützen'!$A:$A,MATCH('Hilfstabellen_Mat&amp;Bem'!AQ173,'kc x h²-Wert für Stützen'!BF:BF,1)+1)</f>
        <v>240</v>
      </c>
      <c r="AR174" s="169">
        <f ca="1">INDEX('kc x h²-Wert für Stützen'!$A:$A,MATCH('Hilfstabellen_Mat&amp;Bem'!AR173,'kc x h²-Wert für Stützen'!BG:BG,1)+1)</f>
        <v>246</v>
      </c>
      <c r="AS174" s="169">
        <f ca="1">INDEX('kc x h²-Wert für Stützen'!$A:$A,MATCH('Hilfstabellen_Mat&amp;Bem'!AS173,'kc x h²-Wert für Stützen'!BH:BH,1)+1)</f>
        <v>255</v>
      </c>
      <c r="AT174" s="169">
        <f ca="1">INDEX('kc x h²-Wert für Stützen'!$A:$A,MATCH('Hilfstabellen_Mat&amp;Bem'!AT173,'kc x h²-Wert für Stützen'!BI:BI,1)+1)</f>
        <v>261</v>
      </c>
      <c r="AU174" s="208">
        <f ca="1">INDEX('kc x h²-Wert für Stützen'!$A:$A,MATCH('Hilfstabellen_Mat&amp;Bem'!AU173,'kc x h²-Wert für Stützen'!BJ:BJ,1)+1)</f>
        <v>193</v>
      </c>
      <c r="AV174" s="169">
        <f ca="1">INDEX('kc x h²-Wert für Stützen'!$A:$A,MATCH('Hilfstabellen_Mat&amp;Bem'!AV173,'kc x h²-Wert für Stützen'!BK:BK,1)+1)</f>
        <v>199</v>
      </c>
      <c r="AW174" s="169">
        <f ca="1">INDEX('kc x h²-Wert für Stützen'!$A:$A,MATCH('Hilfstabellen_Mat&amp;Bem'!AW173,'kc x h²-Wert für Stützen'!BL:BL,1)+1)</f>
        <v>203</v>
      </c>
      <c r="AX174" s="169">
        <f ca="1">INDEX('kc x h²-Wert für Stützen'!$A:$A,MATCH('Hilfstabellen_Mat&amp;Bem'!AX173,'kc x h²-Wert für Stützen'!BM:BM,1)+1)</f>
        <v>216</v>
      </c>
      <c r="AY174" s="169">
        <f ca="1">INDEX('kc x h²-Wert für Stützen'!$A:$A,MATCH('Hilfstabellen_Mat&amp;Bem'!AY173,'kc x h²-Wert für Stützen'!BN:BN,1)+1)</f>
        <v>244</v>
      </c>
      <c r="AZ174" s="169">
        <f ca="1">INDEX('kc x h²-Wert für Stützen'!$A:$A,MATCH('Hilfstabellen_Mat&amp;Bem'!AZ173,'kc x h²-Wert für Stützen'!BO:BO,1)+1)</f>
        <v>256</v>
      </c>
      <c r="BA174" s="169">
        <f ca="1">INDEX('kc x h²-Wert für Stützen'!$A:$A,MATCH('Hilfstabellen_Mat&amp;Bem'!BA173,'kc x h²-Wert für Stützen'!BP:BP,1)+1)</f>
        <v>264</v>
      </c>
      <c r="BB174" s="169">
        <f ca="1">INDEX('kc x h²-Wert für Stützen'!$A:$A,MATCH('Hilfstabellen_Mat&amp;Bem'!BB173,'kc x h²-Wert für Stützen'!BQ:BQ,1)+1)</f>
        <v>272</v>
      </c>
      <c r="BC174" s="169">
        <f ca="1">INDEX('kc x h²-Wert für Stützen'!$A:$A,MATCH('Hilfstabellen_Mat&amp;Bem'!BC173,'kc x h²-Wert für Stützen'!BR:BR,1)+1)</f>
        <v>280</v>
      </c>
      <c r="BD174" s="208">
        <f ca="1">INDEX('kc x h²-Wert für Stützen'!$A:$A,MATCH('Hilfstabellen_Mat&amp;Bem'!BD173,'kc x h²-Wert für Stützen'!BS:BS,1)+1)</f>
        <v>204</v>
      </c>
      <c r="BE174" s="169">
        <f ca="1">INDEX('kc x h²-Wert für Stützen'!$A:$A,MATCH('Hilfstabellen_Mat&amp;Bem'!BE173,'kc x h²-Wert für Stützen'!BT:BT,1)+1)</f>
        <v>210</v>
      </c>
      <c r="BF174" s="169">
        <f ca="1">INDEX('kc x h²-Wert für Stützen'!$A:$A,MATCH('Hilfstabellen_Mat&amp;Bem'!BF173,'kc x h²-Wert für Stützen'!BU:BU,1)+1)</f>
        <v>214</v>
      </c>
      <c r="BG174" s="169">
        <f ca="1">INDEX('kc x h²-Wert für Stützen'!$A:$A,MATCH('Hilfstabellen_Mat&amp;Bem'!BG173,'kc x h²-Wert für Stützen'!BV:BV,1)+1)</f>
        <v>230</v>
      </c>
      <c r="BH174" s="169">
        <f ca="1">INDEX('kc x h²-Wert für Stützen'!$A:$A,MATCH('Hilfstabellen_Mat&amp;Bem'!BH173,'kc x h²-Wert für Stützen'!BW:BW,1)+1)</f>
        <v>244</v>
      </c>
      <c r="BI174" s="169">
        <f ca="1">INDEX('kc x h²-Wert für Stützen'!$A:$A,MATCH('Hilfstabellen_Mat&amp;Bem'!BI173,'kc x h²-Wert für Stützen'!BX:BX,1)+1)</f>
        <v>272</v>
      </c>
      <c r="BJ174" s="169">
        <f ca="1">INDEX('kc x h²-Wert für Stützen'!$A:$A,MATCH('Hilfstabellen_Mat&amp;Bem'!BJ173,'kc x h²-Wert für Stützen'!BY:BY,1)+1)</f>
        <v>279</v>
      </c>
      <c r="BK174" s="169">
        <f ca="1">INDEX('kc x h²-Wert für Stützen'!$A:$A,MATCH('Hilfstabellen_Mat&amp;Bem'!BK173,'kc x h²-Wert für Stützen'!BZ:BZ,1)+1)</f>
        <v>290</v>
      </c>
      <c r="BL174" s="169">
        <f ca="1">INDEX('kc x h²-Wert für Stützen'!$A:$A,MATCH('Hilfstabellen_Mat&amp;Bem'!BL173,'kc x h²-Wert für Stützen'!CA:CA,1)+1)</f>
        <v>297</v>
      </c>
      <c r="BM174" s="208">
        <f ca="1">INDEX('kc x h²-Wert für Stützen'!$A:$A,MATCH('Hilfstabellen_Mat&amp;Bem'!BM173,'kc x h²-Wert für Stützen'!CB:CB,1)+1)</f>
        <v>216</v>
      </c>
      <c r="BN174" s="169">
        <f ca="1">INDEX('kc x h²-Wert für Stützen'!$A:$A,MATCH('Hilfstabellen_Mat&amp;Bem'!BN173,'kc x h²-Wert für Stützen'!CC:CC,1)+1)</f>
        <v>223</v>
      </c>
      <c r="BO174" s="169">
        <f ca="1">INDEX('kc x h²-Wert für Stützen'!$A:$A,MATCH('Hilfstabellen_Mat&amp;Bem'!BO173,'kc x h²-Wert für Stützen'!CD:CD,1)+1)</f>
        <v>228</v>
      </c>
      <c r="BP174" s="169">
        <f ca="1">INDEX('kc x h²-Wert für Stützen'!$A:$A,MATCH('Hilfstabellen_Mat&amp;Bem'!BP173,'kc x h²-Wert für Stützen'!CE:CE,1)+1)</f>
        <v>244</v>
      </c>
      <c r="BQ174" s="169">
        <f ca="1">INDEX('kc x h²-Wert für Stützen'!$A:$A,MATCH('Hilfstabellen_Mat&amp;Bem'!BQ173,'kc x h²-Wert für Stützen'!CF:CF,1)+1)</f>
        <v>260</v>
      </c>
      <c r="BR174" s="169">
        <f ca="1">INDEX('kc x h²-Wert für Stützen'!$A:$A,MATCH('Hilfstabellen_Mat&amp;Bem'!BR173,'kc x h²-Wert für Stützen'!CG:CG,1)+1)</f>
        <v>275</v>
      </c>
      <c r="BS174" s="169">
        <f ca="1">INDEX('kc x h²-Wert für Stützen'!$A:$A,MATCH('Hilfstabellen_Mat&amp;Bem'!BS173,'kc x h²-Wert für Stützen'!CH:CH,1)+1)</f>
        <v>298</v>
      </c>
      <c r="BT174" s="169">
        <f ca="1">INDEX('kc x h²-Wert für Stützen'!$A:$A,MATCH('Hilfstabellen_Mat&amp;Bem'!BT173,'kc x h²-Wert für Stützen'!CI:CI,1)+1)</f>
        <v>308</v>
      </c>
      <c r="BU174" s="169">
        <f ca="1">INDEX('kc x h²-Wert für Stützen'!$A:$A,MATCH('Hilfstabellen_Mat&amp;Bem'!BU173,'kc x h²-Wert für Stützen'!CJ:CJ,1)+1)</f>
        <v>317</v>
      </c>
      <c r="BZ174" s="324"/>
      <c r="CB174" s="14"/>
      <c r="CC174" s="320"/>
      <c r="CD174" s="14"/>
      <c r="CE174" s="469"/>
      <c r="CF174" s="345"/>
      <c r="CG174" s="345"/>
      <c r="CH174" s="320"/>
      <c r="CI174" s="320"/>
      <c r="CJ174" s="346"/>
      <c r="CK174" s="346"/>
      <c r="CL174" s="346"/>
    </row>
    <row r="175" spans="1:90" ht="15" customHeight="1">
      <c r="A175" s="169"/>
      <c r="B175" s="169"/>
      <c r="C175" s="498" t="s">
        <v>1554</v>
      </c>
      <c r="D175" s="169">
        <f t="shared" ref="D175:AI175" ca="1" si="61">ROUNDUP(D174/RUWE_ST,0)*RUWE_ST</f>
        <v>200</v>
      </c>
      <c r="E175" s="169">
        <f t="shared" ca="1" si="61"/>
        <v>200</v>
      </c>
      <c r="F175" s="169">
        <f t="shared" ca="1" si="61"/>
        <v>200</v>
      </c>
      <c r="G175" s="169">
        <f t="shared" ca="1" si="61"/>
        <v>240</v>
      </c>
      <c r="H175" s="169">
        <f t="shared" ca="1" si="61"/>
        <v>240</v>
      </c>
      <c r="I175" s="169">
        <f t="shared" ca="1" si="61"/>
        <v>280</v>
      </c>
      <c r="J175" s="169">
        <f t="shared" ca="1" si="61"/>
        <v>320</v>
      </c>
      <c r="K175" s="208">
        <f t="shared" ca="1" si="61"/>
        <v>200</v>
      </c>
      <c r="L175" s="169">
        <f t="shared" ca="1" si="61"/>
        <v>200</v>
      </c>
      <c r="M175" s="169">
        <f t="shared" ca="1" si="61"/>
        <v>200</v>
      </c>
      <c r="N175" s="169">
        <f t="shared" ca="1" si="61"/>
        <v>200</v>
      </c>
      <c r="O175" s="169">
        <f t="shared" ca="1" si="61"/>
        <v>240</v>
      </c>
      <c r="P175" s="169">
        <f t="shared" ca="1" si="61"/>
        <v>240</v>
      </c>
      <c r="Q175" s="169">
        <f t="shared" ca="1" si="61"/>
        <v>240</v>
      </c>
      <c r="R175" s="169">
        <f t="shared" ca="1" si="61"/>
        <v>240</v>
      </c>
      <c r="S175" s="169">
        <f t="shared" ca="1" si="61"/>
        <v>240</v>
      </c>
      <c r="T175" s="208">
        <f t="shared" ca="1" si="61"/>
        <v>200</v>
      </c>
      <c r="U175" s="169">
        <f t="shared" ca="1" si="61"/>
        <v>200</v>
      </c>
      <c r="V175" s="169">
        <f t="shared" ca="1" si="61"/>
        <v>200</v>
      </c>
      <c r="W175" s="169">
        <f t="shared" ca="1" si="61"/>
        <v>200</v>
      </c>
      <c r="X175" s="169">
        <f t="shared" ca="1" si="61"/>
        <v>240</v>
      </c>
      <c r="Y175" s="169">
        <f t="shared" ca="1" si="61"/>
        <v>240</v>
      </c>
      <c r="Z175" s="169">
        <f t="shared" ca="1" si="61"/>
        <v>240</v>
      </c>
      <c r="AA175" s="169">
        <f t="shared" ca="1" si="61"/>
        <v>240</v>
      </c>
      <c r="AB175" s="169">
        <f t="shared" ca="1" si="61"/>
        <v>240</v>
      </c>
      <c r="AC175" s="208">
        <f t="shared" ca="1" si="61"/>
        <v>200</v>
      </c>
      <c r="AD175" s="169">
        <f t="shared" ca="1" si="61"/>
        <v>200</v>
      </c>
      <c r="AE175" s="169">
        <f t="shared" ca="1" si="61"/>
        <v>200</v>
      </c>
      <c r="AF175" s="169">
        <f t="shared" ca="1" si="61"/>
        <v>240</v>
      </c>
      <c r="AG175" s="169">
        <f t="shared" ca="1" si="61"/>
        <v>240</v>
      </c>
      <c r="AH175" s="169">
        <f t="shared" ca="1" si="61"/>
        <v>240</v>
      </c>
      <c r="AI175" s="169">
        <f t="shared" ca="1" si="61"/>
        <v>240</v>
      </c>
      <c r="AJ175" s="169">
        <f t="shared" ref="AJ175:BO175" ca="1" si="62">ROUNDUP(AJ174/RUWE_ST,0)*RUWE_ST</f>
        <v>240</v>
      </c>
      <c r="AK175" s="169">
        <f t="shared" ca="1" si="62"/>
        <v>280</v>
      </c>
      <c r="AL175" s="208">
        <f t="shared" ca="1" si="62"/>
        <v>200</v>
      </c>
      <c r="AM175" s="169">
        <f t="shared" ca="1" si="62"/>
        <v>200</v>
      </c>
      <c r="AN175" s="169">
        <f t="shared" ca="1" si="62"/>
        <v>200</v>
      </c>
      <c r="AO175" s="169">
        <f t="shared" ca="1" si="62"/>
        <v>240</v>
      </c>
      <c r="AP175" s="169">
        <f t="shared" ca="1" si="62"/>
        <v>240</v>
      </c>
      <c r="AQ175" s="169">
        <f t="shared" ca="1" si="62"/>
        <v>240</v>
      </c>
      <c r="AR175" s="169">
        <f t="shared" ca="1" si="62"/>
        <v>280</v>
      </c>
      <c r="AS175" s="169">
        <f t="shared" ca="1" si="62"/>
        <v>280</v>
      </c>
      <c r="AT175" s="169">
        <f t="shared" ca="1" si="62"/>
        <v>280</v>
      </c>
      <c r="AU175" s="208">
        <f t="shared" ca="1" si="62"/>
        <v>200</v>
      </c>
      <c r="AV175" s="169">
        <f t="shared" ca="1" si="62"/>
        <v>200</v>
      </c>
      <c r="AW175" s="169">
        <f t="shared" ca="1" si="62"/>
        <v>240</v>
      </c>
      <c r="AX175" s="169">
        <f t="shared" ca="1" si="62"/>
        <v>240</v>
      </c>
      <c r="AY175" s="169">
        <f t="shared" ca="1" si="62"/>
        <v>280</v>
      </c>
      <c r="AZ175" s="169">
        <f t="shared" ca="1" si="62"/>
        <v>280</v>
      </c>
      <c r="BA175" s="169">
        <f t="shared" ca="1" si="62"/>
        <v>280</v>
      </c>
      <c r="BB175" s="169">
        <f t="shared" ca="1" si="62"/>
        <v>280</v>
      </c>
      <c r="BC175" s="169">
        <f t="shared" ca="1" si="62"/>
        <v>280</v>
      </c>
      <c r="BD175" s="208">
        <f t="shared" ca="1" si="62"/>
        <v>240</v>
      </c>
      <c r="BE175" s="169">
        <f t="shared" ca="1" si="62"/>
        <v>240</v>
      </c>
      <c r="BF175" s="169">
        <f t="shared" ca="1" si="62"/>
        <v>240</v>
      </c>
      <c r="BG175" s="169">
        <f t="shared" ca="1" si="62"/>
        <v>240</v>
      </c>
      <c r="BH175" s="169">
        <f t="shared" ca="1" si="62"/>
        <v>280</v>
      </c>
      <c r="BI175" s="169">
        <f t="shared" ca="1" si="62"/>
        <v>280</v>
      </c>
      <c r="BJ175" s="169">
        <f t="shared" ca="1" si="62"/>
        <v>280</v>
      </c>
      <c r="BK175" s="169">
        <f t="shared" ca="1" si="62"/>
        <v>320</v>
      </c>
      <c r="BL175" s="169">
        <f t="shared" ca="1" si="62"/>
        <v>320</v>
      </c>
      <c r="BM175" s="208">
        <f t="shared" ca="1" si="62"/>
        <v>240</v>
      </c>
      <c r="BN175" s="169">
        <f t="shared" ca="1" si="62"/>
        <v>240</v>
      </c>
      <c r="BO175" s="169">
        <f t="shared" ca="1" si="62"/>
        <v>240</v>
      </c>
      <c r="BP175" s="169">
        <f t="shared" ref="BP175:BU175" ca="1" si="63">ROUNDUP(BP174/RUWE_ST,0)*RUWE_ST</f>
        <v>280</v>
      </c>
      <c r="BQ175" s="169">
        <f t="shared" ca="1" si="63"/>
        <v>280</v>
      </c>
      <c r="BR175" s="169">
        <f t="shared" ca="1" si="63"/>
        <v>280</v>
      </c>
      <c r="BS175" s="169">
        <f t="shared" ca="1" si="63"/>
        <v>320</v>
      </c>
      <c r="BT175" s="169">
        <f t="shared" ca="1" si="63"/>
        <v>320</v>
      </c>
      <c r="BU175" s="169">
        <f t="shared" ca="1" si="63"/>
        <v>320</v>
      </c>
      <c r="BZ175" s="324"/>
      <c r="CB175" s="14"/>
      <c r="CC175" s="320"/>
      <c r="CD175" s="14"/>
      <c r="CE175" s="469"/>
      <c r="CF175" s="345"/>
      <c r="CG175" s="345"/>
      <c r="CH175" s="320"/>
      <c r="CI175" s="320"/>
      <c r="CJ175" s="346"/>
      <c r="CK175" s="346"/>
      <c r="CL175" s="346"/>
    </row>
    <row r="176" spans="1:90" ht="15" customHeight="1">
      <c r="A176" s="169"/>
      <c r="B176" s="169"/>
      <c r="C176" s="169"/>
      <c r="D176" s="169"/>
      <c r="E176" s="169"/>
      <c r="F176" s="169"/>
      <c r="G176" s="169"/>
      <c r="H176" s="169"/>
      <c r="I176" s="169"/>
      <c r="J176" s="169"/>
      <c r="K176" s="169"/>
      <c r="L176" s="169"/>
      <c r="M176" s="169"/>
      <c r="N176" s="169"/>
      <c r="O176" s="169"/>
      <c r="P176" s="169"/>
      <c r="Q176" s="169"/>
      <c r="R176" s="169"/>
      <c r="S176" s="169"/>
      <c r="T176" s="169"/>
      <c r="U176" s="169"/>
      <c r="V176" s="169"/>
      <c r="W176" s="169"/>
      <c r="X176" s="169"/>
      <c r="Y176" s="169"/>
      <c r="Z176" s="169"/>
      <c r="AA176" s="169"/>
      <c r="AB176" s="169"/>
      <c r="AC176" s="169"/>
      <c r="AD176" s="169"/>
      <c r="AE176" s="169"/>
      <c r="AF176" s="169"/>
      <c r="AG176" s="169"/>
      <c r="AH176" s="169"/>
      <c r="AI176" s="169"/>
      <c r="AJ176" s="169"/>
      <c r="AK176" s="169"/>
      <c r="AL176" s="169"/>
      <c r="AM176" s="169"/>
      <c r="AN176" s="169"/>
      <c r="AO176" s="169"/>
      <c r="AP176" s="169"/>
      <c r="AQ176" s="169"/>
      <c r="AR176" s="169"/>
      <c r="AS176" s="169"/>
      <c r="AT176" s="169"/>
      <c r="AU176" s="169"/>
      <c r="AV176" s="169"/>
      <c r="AW176" s="169"/>
      <c r="AX176" s="169"/>
      <c r="AY176" s="169"/>
      <c r="BK176" s="4"/>
      <c r="BZ176" s="324"/>
      <c r="CB176" s="14"/>
      <c r="CC176" s="320"/>
      <c r="CD176" s="14"/>
      <c r="CE176" s="469"/>
      <c r="CF176" s="345"/>
      <c r="CG176" s="345"/>
      <c r="CH176" s="320"/>
      <c r="CI176" s="320"/>
      <c r="CJ176" s="346"/>
      <c r="CK176" s="346"/>
      <c r="CL176" s="346"/>
    </row>
    <row r="177" spans="1:90" ht="15" customHeight="1">
      <c r="A177" s="169"/>
      <c r="B177" s="169"/>
      <c r="C177" s="169"/>
      <c r="D177" s="169"/>
      <c r="E177" s="169"/>
      <c r="F177" s="169"/>
      <c r="G177" s="169"/>
      <c r="H177" s="169"/>
      <c r="I177" s="169"/>
      <c r="J177" s="169"/>
      <c r="K177" s="169"/>
      <c r="L177" s="169"/>
      <c r="M177" s="169"/>
      <c r="N177" s="169"/>
      <c r="O177" s="169"/>
      <c r="P177" s="169"/>
      <c r="Q177" s="169"/>
      <c r="R177" s="169"/>
      <c r="S177" s="169"/>
      <c r="T177" s="169"/>
      <c r="U177" s="169"/>
      <c r="V177" s="169"/>
      <c r="W177" s="169"/>
      <c r="X177" s="169"/>
      <c r="Y177" s="169"/>
      <c r="Z177" s="169"/>
      <c r="AA177" s="169"/>
      <c r="AB177" s="169"/>
      <c r="AC177" s="169"/>
      <c r="AD177" s="169"/>
      <c r="AE177" s="169"/>
      <c r="AF177" s="169"/>
      <c r="AG177" s="169"/>
      <c r="AH177" s="169"/>
      <c r="AI177" s="169"/>
      <c r="AJ177" s="169"/>
      <c r="AK177" s="169"/>
      <c r="AL177" s="169"/>
      <c r="AM177" s="169"/>
      <c r="AN177" s="169"/>
      <c r="AO177" s="169"/>
      <c r="AP177" s="169"/>
      <c r="AQ177" s="169"/>
      <c r="AR177" s="169"/>
      <c r="AS177" s="169"/>
      <c r="AT177" s="169"/>
      <c r="AU177" s="169"/>
      <c r="AV177" s="169"/>
      <c r="AW177" s="169"/>
      <c r="AX177" s="169"/>
      <c r="AY177" s="169"/>
      <c r="BK177" s="4"/>
      <c r="BZ177" s="324"/>
      <c r="CB177" s="14"/>
      <c r="CC177" s="320"/>
      <c r="CD177" s="14"/>
      <c r="CE177" s="469"/>
      <c r="CF177" s="345"/>
      <c r="CG177" s="345"/>
      <c r="CH177" s="320"/>
      <c r="CI177" s="320"/>
      <c r="CJ177" s="346"/>
      <c r="CK177" s="346"/>
      <c r="CL177" s="346"/>
    </row>
    <row r="178" spans="1:90" ht="15" customHeight="1">
      <c r="A178" s="169"/>
      <c r="B178" s="169"/>
      <c r="C178" s="169"/>
      <c r="D178" s="169"/>
      <c r="E178" s="169"/>
      <c r="F178" s="169"/>
      <c r="G178" s="169"/>
      <c r="H178" s="169"/>
      <c r="I178" s="169"/>
      <c r="J178" s="169"/>
      <c r="K178" s="169"/>
      <c r="L178" s="169"/>
      <c r="M178" s="169"/>
      <c r="N178" s="169"/>
      <c r="O178" s="169"/>
      <c r="P178" s="169"/>
      <c r="Q178" s="169"/>
      <c r="R178" s="169"/>
      <c r="S178" s="169"/>
      <c r="T178" s="169"/>
      <c r="U178" s="169"/>
      <c r="V178" s="169"/>
      <c r="W178" s="169"/>
      <c r="X178" s="169"/>
      <c r="Y178" s="169"/>
      <c r="Z178" s="169"/>
      <c r="AA178" s="169"/>
      <c r="AB178" s="169"/>
      <c r="AC178" s="169"/>
      <c r="AD178" s="169"/>
      <c r="AE178" s="169"/>
      <c r="AF178" s="169"/>
      <c r="AG178" s="169"/>
      <c r="AH178" s="169"/>
      <c r="AI178" s="169"/>
      <c r="AJ178" s="169"/>
      <c r="AK178" s="169"/>
      <c r="AL178" s="169"/>
      <c r="AM178" s="169"/>
      <c r="AN178" s="169"/>
      <c r="AO178" s="169"/>
      <c r="AP178" s="169"/>
      <c r="AQ178" s="169"/>
      <c r="AR178" s="169"/>
      <c r="AS178" s="169"/>
      <c r="AT178" s="169"/>
      <c r="AU178" s="169"/>
      <c r="AV178" s="169"/>
      <c r="AW178" s="169"/>
      <c r="AX178" s="169"/>
      <c r="AY178" s="169"/>
      <c r="BK178" s="4"/>
      <c r="BZ178" s="324"/>
      <c r="CB178" s="14"/>
      <c r="CC178" s="320"/>
      <c r="CD178" s="14"/>
      <c r="CE178" s="469"/>
      <c r="CF178" s="345"/>
      <c r="CG178" s="345"/>
      <c r="CH178" s="320"/>
      <c r="CI178" s="320"/>
      <c r="CJ178" s="346"/>
      <c r="CK178" s="346"/>
      <c r="CL178" s="346"/>
    </row>
    <row r="179" spans="1:90" ht="15" customHeight="1">
      <c r="A179" s="542"/>
      <c r="B179" s="542"/>
      <c r="C179" s="491" t="s">
        <v>1552</v>
      </c>
      <c r="D179" s="542"/>
      <c r="E179" s="542"/>
      <c r="F179" s="542"/>
      <c r="G179" s="542"/>
      <c r="H179" s="542"/>
      <c r="I179" s="169"/>
      <c r="J179" s="169"/>
      <c r="K179" s="169"/>
      <c r="L179" s="169"/>
      <c r="M179" s="169"/>
      <c r="N179" s="169"/>
      <c r="O179" s="169"/>
      <c r="P179" s="169"/>
      <c r="Q179" s="169"/>
      <c r="R179" s="169"/>
      <c r="S179" s="169"/>
      <c r="U179" s="169"/>
      <c r="V179" s="169"/>
      <c r="W179" s="169"/>
      <c r="X179" s="169"/>
      <c r="Y179" s="169"/>
      <c r="Z179" s="169"/>
      <c r="AA179" s="169"/>
      <c r="AB179" s="169"/>
      <c r="AC179" s="169"/>
      <c r="AD179" s="169"/>
      <c r="AE179" s="169"/>
      <c r="AF179" s="169"/>
      <c r="AG179" s="169"/>
      <c r="AH179" s="169"/>
      <c r="AI179" s="169"/>
      <c r="AJ179" s="169"/>
      <c r="AK179" s="169"/>
      <c r="AL179" s="169"/>
      <c r="AM179" s="169"/>
      <c r="AN179" s="169"/>
      <c r="AO179" s="169"/>
      <c r="AP179" s="169"/>
      <c r="AQ179" s="169"/>
      <c r="AR179" s="169"/>
      <c r="AS179" s="169"/>
      <c r="AT179" s="169"/>
      <c r="AU179" s="169"/>
      <c r="AV179" s="169"/>
      <c r="AW179" s="169"/>
      <c r="AX179" s="169"/>
      <c r="AY179" s="169"/>
      <c r="BK179" s="4"/>
      <c r="BZ179" s="324"/>
      <c r="CB179" s="14"/>
      <c r="CC179" s="320"/>
      <c r="CD179" s="14"/>
      <c r="CE179" s="469"/>
      <c r="CF179" s="345"/>
      <c r="CG179" s="345"/>
      <c r="CH179" s="320"/>
      <c r="CI179" s="320"/>
      <c r="CJ179" s="346"/>
      <c r="CK179" s="346"/>
      <c r="CL179" s="346"/>
    </row>
    <row r="180" spans="1:90" ht="15" customHeight="1">
      <c r="A180" s="545"/>
      <c r="B180" s="545"/>
      <c r="C180" s="407" t="s">
        <v>989</v>
      </c>
      <c r="D180" s="545">
        <f t="shared" ref="D180:N180" si="64">D92</f>
        <v>2.5</v>
      </c>
      <c r="E180" s="545">
        <f t="shared" si="64"/>
        <v>2.65</v>
      </c>
      <c r="F180" s="545">
        <f t="shared" si="64"/>
        <v>2.85</v>
      </c>
      <c r="G180" s="545">
        <f t="shared" si="64"/>
        <v>3</v>
      </c>
      <c r="H180" s="545">
        <f t="shared" si="64"/>
        <v>3.5</v>
      </c>
      <c r="I180" s="545">
        <f t="shared" si="64"/>
        <v>4</v>
      </c>
      <c r="J180" s="545">
        <f t="shared" si="64"/>
        <v>4.5</v>
      </c>
      <c r="K180" s="545">
        <f t="shared" si="64"/>
        <v>5</v>
      </c>
      <c r="L180" s="545">
        <f t="shared" si="64"/>
        <v>5.3</v>
      </c>
      <c r="M180" s="545">
        <f t="shared" si="64"/>
        <v>5.7</v>
      </c>
      <c r="N180" s="545">
        <f t="shared" si="64"/>
        <v>6</v>
      </c>
      <c r="O180" s="169"/>
      <c r="P180" s="169"/>
      <c r="Q180" s="169"/>
      <c r="R180" s="169"/>
      <c r="S180" s="169"/>
      <c r="U180" s="169"/>
      <c r="V180" s="169"/>
      <c r="W180" s="169"/>
      <c r="X180" s="169"/>
      <c r="Y180" s="169"/>
      <c r="Z180" s="169"/>
      <c r="AA180" s="169"/>
      <c r="AB180" s="169"/>
      <c r="AC180" s="169"/>
      <c r="AD180" s="169"/>
      <c r="AE180" s="169"/>
      <c r="AF180" s="169"/>
      <c r="AG180" s="169"/>
      <c r="AH180" s="169"/>
      <c r="AI180" s="169"/>
      <c r="AJ180" s="169"/>
      <c r="AK180" s="169"/>
      <c r="AL180" s="169"/>
      <c r="AM180" s="169"/>
      <c r="AN180" s="169"/>
      <c r="AO180" s="169"/>
      <c r="AP180" s="169"/>
      <c r="AQ180" s="169"/>
      <c r="AR180" s="169"/>
      <c r="AS180" s="169"/>
      <c r="AT180" s="169"/>
      <c r="AU180" s="169"/>
      <c r="AV180" s="169"/>
      <c r="AW180" s="169"/>
      <c r="AX180" s="169"/>
      <c r="AY180" s="169"/>
      <c r="BK180" s="4"/>
      <c r="BZ180" s="324"/>
      <c r="CB180" s="14"/>
      <c r="CC180" s="320"/>
      <c r="CD180" s="14"/>
      <c r="CE180" s="469"/>
      <c r="CF180" s="345"/>
      <c r="CG180" s="345"/>
      <c r="CH180" s="320"/>
      <c r="CI180" s="320"/>
      <c r="CJ180" s="346"/>
      <c r="CK180" s="346"/>
      <c r="CL180" s="346"/>
    </row>
    <row r="181" spans="1:90" ht="15" customHeight="1">
      <c r="A181" s="545"/>
      <c r="B181" s="545"/>
      <c r="C181" s="542">
        <f t="shared" ref="C181:C191" si="65">$D51</f>
        <v>2.5</v>
      </c>
      <c r="D181" s="777">
        <f ca="1">(INDEX($C$135:$N$146,MATCH($C181,$C$135:$C$146,0),MATCH(D$180,$C$135:$N$135,0))*2*10^3*n_GESCHOSSE)*gamma_mfi/
(k_modfi*k_fi_ST*'Hilfstabellen_Mat&amp;Bem'!f.Rd.3)</f>
        <v>5079.257246376812</v>
      </c>
      <c r="E181" s="777">
        <f ca="1">(INDEX($C$135:$N$146,MATCH($C181,$C$135:$C$146,0),MATCH(E$180,$C$135:$N$135,0))*2*10^3*n_GESCHOSSE)*gamma_mfi/
(k_modfi*k_fi_ST*'Hilfstabellen_Mat&amp;Bem'!f.Rd.3)</f>
        <v>5384.01268115942</v>
      </c>
      <c r="F181" s="777">
        <f ca="1">(INDEX($C$135:$N$146,MATCH($C181,$C$135:$C$146,0),MATCH(F$180,$C$135:$N$135,0))*2*10^3*n_GESCHOSSE)*gamma_mfi/
(k_modfi*k_fi_ST*'Hilfstabellen_Mat&amp;Bem'!f.Rd.3)</f>
        <v>5815.1358695652179</v>
      </c>
      <c r="G181" s="777">
        <f ca="1">(INDEX($C$135:$N$146,MATCH($C181,$C$135:$C$146,0),MATCH(G$180,$C$135:$N$135,0))*2*10^3*n_GESCHOSSE)*gamma_mfi/
(k_modfi*k_fi_ST*'Hilfstabellen_Mat&amp;Bem'!f.Rd.3)</f>
        <v>6121.1956521739139</v>
      </c>
      <c r="H181" s="777">
        <f ca="1">(INDEX($C$135:$N$146,MATCH($C181,$C$135:$C$146,0),MATCH(H$180,$C$135:$N$135,0))*2*10^3*n_GESCHOSSE)*gamma_mfi/
(k_modfi*k_fi_ST*'Hilfstabellen_Mat&amp;Bem'!f.Rd.3)</f>
        <v>7171.829710144928</v>
      </c>
      <c r="I181" s="777">
        <f ca="1">(INDEX($C$135:$N$146,MATCH($C181,$C$135:$C$146,0),MATCH(I$180,$C$135:$N$135,0))*2*10^3*n_GESCHOSSE)*gamma_mfi/
(k_modfi*k_fi_ST*'Hilfstabellen_Mat&amp;Bem'!f.Rd.3)</f>
        <v>8231.1594202898559</v>
      </c>
      <c r="J181" s="777">
        <f ca="1">(INDEX($C$135:$N$146,MATCH($C181,$C$135:$C$146,0),MATCH(J$180,$C$135:$N$135,0))*2*10^3*n_GESCHOSSE)*gamma_mfi/
(k_modfi*k_fi_ST*'Hilfstabellen_Mat&amp;Bem'!f.Rd.3)</f>
        <v>9299.1847826086978</v>
      </c>
      <c r="K181" s="777">
        <f ca="1">(INDEX($C$135:$N$146,MATCH($C181,$C$135:$C$146,0),MATCH(K$180,$C$135:$N$135,0))*2*10^3*n_GESCHOSSE)*gamma_mfi/
(k_modfi*k_fi_ST*'Hilfstabellen_Mat&amp;Bem'!f.Rd.3)</f>
        <v>10419.384057971016</v>
      </c>
      <c r="L181" s="777">
        <f ca="1">(INDEX($C$135:$N$146,MATCH($C181,$C$135:$C$146,0),MATCH(L$180,$C$135:$N$135,0))*2*10^3*n_GESCHOSSE)*gamma_mfi/
(k_modfi*k_fi_ST*'Hilfstabellen_Mat&amp;Bem'!f.Rd.3)</f>
        <v>11090.634057971016</v>
      </c>
      <c r="M181" s="777">
        <f ca="1">(INDEX($C$135:$N$146,MATCH($C181,$C$135:$C$146,0),MATCH(M$180,$C$135:$N$135,0))*2*10^3*n_GESCHOSSE)*gamma_mfi/
(k_modfi*k_fi_ST*'Hilfstabellen_Mat&amp;Bem'!f.Rd.3)</f>
        <v>11977.228260869566</v>
      </c>
      <c r="N181" s="777">
        <f ca="1">(INDEX($C$135:$N$146,MATCH($C181,$C$135:$C$146,0),MATCH(N$180,$C$135:$N$135,0))*2*10^3*n_GESCHOSSE)*gamma_mfi/
(k_modfi*k_fi_ST*'Hilfstabellen_Mat&amp;Bem'!f.Rd.3)</f>
        <v>12659.782608695654</v>
      </c>
      <c r="O181" s="169"/>
      <c r="P181" s="169"/>
      <c r="Q181" s="169"/>
      <c r="R181" s="169"/>
      <c r="S181" s="169"/>
      <c r="U181" s="169"/>
      <c r="V181" s="169"/>
      <c r="W181" s="169"/>
      <c r="X181" s="169"/>
      <c r="Y181" s="169"/>
      <c r="Z181" s="169"/>
      <c r="AA181" s="169"/>
      <c r="AB181" s="169"/>
      <c r="AC181" s="169"/>
      <c r="AD181" s="169"/>
      <c r="AE181" s="169"/>
      <c r="AF181" s="169"/>
      <c r="AG181" s="169"/>
      <c r="AH181" s="169"/>
      <c r="AI181" s="169"/>
      <c r="AJ181" s="169"/>
      <c r="AK181" s="169"/>
      <c r="AL181" s="169"/>
      <c r="AM181" s="169"/>
      <c r="AN181" s="169"/>
      <c r="AO181" s="169"/>
      <c r="AP181" s="169"/>
      <c r="AQ181" s="169"/>
      <c r="AR181" s="169"/>
      <c r="AS181" s="169"/>
      <c r="AT181" s="169"/>
      <c r="AU181" s="169"/>
      <c r="AV181" s="169"/>
      <c r="AW181" s="169"/>
      <c r="AX181" s="169"/>
      <c r="AY181" s="169"/>
      <c r="BK181" s="4"/>
      <c r="BZ181" s="324"/>
      <c r="CB181" s="14"/>
      <c r="CC181" s="320"/>
      <c r="CD181" s="14"/>
      <c r="CE181" s="469"/>
      <c r="CF181" s="345"/>
      <c r="CG181" s="345"/>
      <c r="CH181" s="320"/>
      <c r="CI181" s="320"/>
      <c r="CJ181" s="346"/>
      <c r="CK181" s="346"/>
      <c r="CL181" s="346"/>
    </row>
    <row r="182" spans="1:90" ht="15" customHeight="1">
      <c r="A182" s="545"/>
      <c r="B182" s="545"/>
      <c r="C182" s="542">
        <f t="shared" si="65"/>
        <v>2.65</v>
      </c>
      <c r="D182" s="777">
        <f ca="1">(INDEX($C$135:$N$146,MATCH($C182,$C$135:$C$146,0),MATCH(D$180,$C$135:$N$135,0))*2*10^3*n_GESCHOSSE)*gamma_mfi/
(k_modfi*k_fi_ST*'Hilfstabellen_Mat&amp;Bem'!f.Rd.3)</f>
        <v>5377.490942028986</v>
      </c>
      <c r="E182" s="777">
        <f ca="1">(INDEX($C$135:$N$146,MATCH($C182,$C$135:$C$146,0),MATCH(E$180,$C$135:$N$135,0))*2*10^3*n_GESCHOSSE)*gamma_mfi/
(k_modfi*k_fi_ST*'Hilfstabellen_Mat&amp;Bem'!f.Rd.3)</f>
        <v>5700.1403985507241</v>
      </c>
      <c r="F182" s="777">
        <f ca="1">(INDEX($C$135:$N$146,MATCH($C182,$C$135:$C$146,0),MATCH(F$180,$C$135:$N$135,0))*2*10^3*n_GESCHOSSE)*gamma_mfi/
(k_modfi*k_fi_ST*'Hilfstabellen_Mat&amp;Bem'!f.Rd.3)</f>
        <v>6155.122282608696</v>
      </c>
      <c r="G182" s="777">
        <f ca="1">(INDEX($C$135:$N$146,MATCH($C182,$C$135:$C$146,0),MATCH(G$180,$C$135:$N$135,0))*2*10^3*n_GESCHOSSE)*gamma_mfi/
(k_modfi*k_fi_ST*'Hilfstabellen_Mat&amp;Bem'!f.Rd.3)</f>
        <v>6479.076086956522</v>
      </c>
      <c r="H182" s="777">
        <f ca="1">(INDEX($C$135:$N$146,MATCH($C182,$C$135:$C$146,0),MATCH(H$180,$C$135:$N$135,0))*2*10^3*n_GESCHOSSE)*gamma_mfi/
(k_modfi*k_fi_ST*'Hilfstabellen_Mat&amp;Bem'!f.Rd.3)</f>
        <v>7589.3568840579701</v>
      </c>
      <c r="I182" s="777">
        <f ca="1">(INDEX($C$135:$N$146,MATCH($C182,$C$135:$C$146,0),MATCH(I$180,$C$135:$N$135,0))*2*10^3*n_GESCHOSSE)*gamma_mfi/
(k_modfi*k_fi_ST*'Hilfstabellen_Mat&amp;Bem'!f.Rd.3)</f>
        <v>8708.3333333333339</v>
      </c>
      <c r="J182" s="777">
        <f ca="1">(INDEX($C$135:$N$146,MATCH($C182,$C$135:$C$146,0),MATCH(J$180,$C$135:$N$135,0))*2*10^3*n_GESCHOSSE)*gamma_mfi/
(k_modfi*k_fi_ST*'Hilfstabellen_Mat&amp;Bem'!f.Rd.3)</f>
        <v>9875.1358695652179</v>
      </c>
      <c r="K182" s="777">
        <f ca="1">(INDEX($C$135:$N$146,MATCH($C182,$C$135:$C$146,0),MATCH(K$180,$C$135:$N$135,0))*2*10^3*n_GESCHOSSE)*gamma_mfi/
(k_modfi*k_fi_ST*'Hilfstabellen_Mat&amp;Bem'!f.Rd.3)</f>
        <v>11015.851449275364</v>
      </c>
      <c r="L182" s="777">
        <f ca="1">(INDEX($C$135:$N$146,MATCH($C182,$C$135:$C$146,0),MATCH(L$180,$C$135:$N$135,0))*2*10^3*n_GESCHOSSE)*gamma_mfi/
(k_modfi*k_fi_ST*'Hilfstabellen_Mat&amp;Bem'!f.Rd.3)</f>
        <v>11722.889492753624</v>
      </c>
      <c r="M182" s="777">
        <f ca="1">(INDEX($C$135:$N$146,MATCH($C182,$C$135:$C$146,0),MATCH(M$180,$C$135:$N$135,0))*2*10^3*n_GESCHOSSE)*gamma_mfi/
(k_modfi*k_fi_ST*'Hilfstabellen_Mat&amp;Bem'!f.Rd.3)</f>
        <v>12657.201086956522</v>
      </c>
      <c r="N182" s="777">
        <f ca="1">(INDEX($C$135:$N$146,MATCH($C182,$C$135:$C$146,0),MATCH(N$180,$C$135:$N$135,0))*2*10^3*n_GESCHOSSE)*gamma_mfi/
(k_modfi*k_fi_ST*'Hilfstabellen_Mat&amp;Bem'!f.Rd.3)</f>
        <v>13375.54347826087</v>
      </c>
      <c r="O182" s="169"/>
      <c r="P182" s="169"/>
      <c r="Q182" s="169"/>
      <c r="R182" s="169"/>
      <c r="S182" s="169"/>
      <c r="U182" s="169"/>
      <c r="V182" s="169"/>
      <c r="W182" s="169"/>
      <c r="X182" s="169"/>
      <c r="Y182" s="169"/>
      <c r="Z182" s="169"/>
      <c r="AA182" s="169"/>
      <c r="AB182" s="169"/>
      <c r="AC182" s="169"/>
      <c r="AD182" s="169"/>
      <c r="AE182" s="169"/>
      <c r="AF182" s="169"/>
      <c r="AG182" s="169"/>
      <c r="AH182" s="169"/>
      <c r="AI182" s="169"/>
      <c r="AJ182" s="169"/>
      <c r="AK182" s="169"/>
      <c r="AL182" s="169"/>
      <c r="AM182" s="169"/>
      <c r="AN182" s="169"/>
      <c r="AO182" s="169"/>
      <c r="AP182" s="169"/>
      <c r="AQ182" s="169"/>
      <c r="AR182" s="169"/>
      <c r="AS182" s="169"/>
      <c r="AT182" s="169"/>
      <c r="AU182" s="169"/>
      <c r="AV182" s="169"/>
      <c r="AW182" s="169"/>
      <c r="AX182" s="169"/>
      <c r="AY182" s="169"/>
      <c r="BK182" s="4"/>
      <c r="BZ182" s="324"/>
      <c r="CB182" s="14"/>
      <c r="CC182" s="320"/>
      <c r="CD182" s="14"/>
      <c r="CE182" s="469"/>
      <c r="CF182" s="345"/>
      <c r="CG182" s="345"/>
      <c r="CH182" s="320"/>
      <c r="CI182" s="320"/>
      <c r="CJ182" s="346"/>
      <c r="CK182" s="346"/>
      <c r="CL182" s="346"/>
    </row>
    <row r="183" spans="1:90" ht="15" customHeight="1">
      <c r="A183" s="545"/>
      <c r="B183" s="545"/>
      <c r="C183" s="542">
        <f t="shared" si="65"/>
        <v>2.85</v>
      </c>
      <c r="D183" s="777">
        <f ca="1">(INDEX($C$135:$N$146,MATCH($C183,$C$135:$C$146,0),MATCH(D$180,$C$135:$N$135,0))*2*10^3*n_GESCHOSSE)*gamma_mfi/
(k_modfi*k_fi_ST*'Hilfstabellen_Mat&amp;Bem'!f.Rd.3)</f>
        <v>5775.1358695652189</v>
      </c>
      <c r="E183" s="777">
        <f ca="1">(INDEX($C$135:$N$146,MATCH($C183,$C$135:$C$146,0),MATCH(E$180,$C$135:$N$135,0))*2*10^3*n_GESCHOSSE)*gamma_mfi/
(k_modfi*k_fi_ST*'Hilfstabellen_Mat&amp;Bem'!f.Rd.3)</f>
        <v>6121.6440217391319</v>
      </c>
      <c r="F183" s="777">
        <f ca="1">(INDEX($C$135:$N$146,MATCH($C183,$C$135:$C$146,0),MATCH(F$180,$C$135:$N$135,0))*2*10^3*n_GESCHOSSE)*gamma_mfi/
(k_modfi*k_fi_ST*'Hilfstabellen_Mat&amp;Bem'!f.Rd.3)</f>
        <v>6608.4375000000018</v>
      </c>
      <c r="G183" s="777">
        <f ca="1">(INDEX($C$135:$N$146,MATCH($C183,$C$135:$C$146,0),MATCH(G$180,$C$135:$N$135,0))*2*10^3*n_GESCHOSSE)*gamma_mfi/
(k_modfi*k_fi_ST*'Hilfstabellen_Mat&amp;Bem'!f.Rd.3)</f>
        <v>6956.2500000000027</v>
      </c>
      <c r="H183" s="777">
        <f ca="1">(INDEX($C$135:$N$146,MATCH($C183,$C$135:$C$146,0),MATCH(H$180,$C$135:$N$135,0))*2*10^3*n_GESCHOSSE)*gamma_mfi/
(k_modfi*k_fi_ST*'Hilfstabellen_Mat&amp;Bem'!f.Rd.3)</f>
        <v>8146.0597826086978</v>
      </c>
      <c r="I183" s="777">
        <f ca="1">(INDEX($C$135:$N$146,MATCH($C183,$C$135:$C$146,0),MATCH(I$180,$C$135:$N$135,0))*2*10^3*n_GESCHOSSE)*gamma_mfi/
(k_modfi*k_fi_ST*'Hilfstabellen_Mat&amp;Bem'!f.Rd.3)</f>
        <v>9344.5652173913059</v>
      </c>
      <c r="J183" s="777">
        <f ca="1">(INDEX($C$135:$N$146,MATCH($C183,$C$135:$C$146,0),MATCH(J$180,$C$135:$N$135,0))*2*10^3*n_GESCHOSSE)*gamma_mfi/
(k_modfi*k_fi_ST*'Hilfstabellen_Mat&amp;Bem'!f.Rd.3)</f>
        <v>10590.896739130438</v>
      </c>
      <c r="K183" s="777">
        <f ca="1">(INDEX($C$135:$N$146,MATCH($C183,$C$135:$C$146,0),MATCH(K$180,$C$135:$N$135,0))*2*10^3*n_GESCHOSSE)*gamma_mfi/
(k_modfi*k_fi_ST*'Hilfstabellen_Mat&amp;Bem'!f.Rd.3)</f>
        <v>11811.14130434783</v>
      </c>
      <c r="L183" s="777">
        <f ca="1">(INDEX($C$135:$N$146,MATCH($C183,$C$135:$C$146,0),MATCH(L$180,$C$135:$N$135,0))*2*10^3*n_GESCHOSSE)*gamma_mfi/
(k_modfi*k_fi_ST*'Hilfstabellen_Mat&amp;Bem'!f.Rd.3)</f>
        <v>12565.896739130438</v>
      </c>
      <c r="M183" s="777">
        <f ca="1">(INDEX($C$135:$N$146,MATCH($C183,$C$135:$C$146,0),MATCH(M$180,$C$135:$N$135,0))*2*10^3*n_GESCHOSSE)*gamma_mfi/
(k_modfi*k_fi_ST*'Hilfstabellen_Mat&amp;Bem'!f.Rd.3)</f>
        <v>13563.831521739132</v>
      </c>
      <c r="N183" s="777">
        <f ca="1">(INDEX($C$135:$N$146,MATCH($C183,$C$135:$C$146,0),MATCH(N$180,$C$135:$N$135,0))*2*10^3*n_GESCHOSSE)*gamma_mfi/
(k_modfi*k_fi_ST*'Hilfstabellen_Mat&amp;Bem'!f.Rd.3)</f>
        <v>14329.891304347831</v>
      </c>
      <c r="O183" s="169"/>
      <c r="P183" s="169"/>
      <c r="Q183" s="169"/>
      <c r="R183" s="169"/>
      <c r="S183" s="169"/>
      <c r="U183" s="169"/>
      <c r="V183" s="169"/>
      <c r="W183" s="169"/>
      <c r="X183" s="169"/>
      <c r="Y183" s="169"/>
      <c r="Z183" s="169"/>
      <c r="AA183" s="169"/>
      <c r="AB183" s="169"/>
      <c r="AC183" s="169"/>
      <c r="AD183" s="169"/>
      <c r="AE183" s="169"/>
      <c r="AF183" s="169"/>
      <c r="AG183" s="169"/>
      <c r="AH183" s="169"/>
      <c r="AI183" s="169"/>
      <c r="AJ183" s="169"/>
      <c r="AK183" s="169"/>
      <c r="AL183" s="169"/>
      <c r="AM183" s="169"/>
      <c r="AN183" s="169"/>
      <c r="AO183" s="169"/>
      <c r="AP183" s="169"/>
      <c r="AQ183" s="169"/>
      <c r="AR183" s="169"/>
      <c r="AS183" s="169"/>
      <c r="AT183" s="169"/>
      <c r="AU183" s="169"/>
      <c r="AV183" s="169"/>
      <c r="AW183" s="169"/>
      <c r="AX183" s="169"/>
      <c r="AY183" s="169"/>
      <c r="BK183" s="4"/>
      <c r="BZ183" s="324"/>
      <c r="CB183" s="14"/>
      <c r="CC183" s="320"/>
      <c r="CD183" s="14"/>
      <c r="CE183" s="469"/>
      <c r="CF183" s="345"/>
      <c r="CG183" s="345"/>
      <c r="CH183" s="320"/>
      <c r="CI183" s="320"/>
      <c r="CJ183" s="346"/>
      <c r="CK183" s="346"/>
      <c r="CL183" s="346"/>
    </row>
    <row r="184" spans="1:90" ht="15" customHeight="1">
      <c r="A184" s="545"/>
      <c r="B184" s="545"/>
      <c r="C184" s="542">
        <f t="shared" si="65"/>
        <v>3</v>
      </c>
      <c r="D184" s="777">
        <f ca="1">(INDEX($C$135:$N$146,MATCH($C184,$C$135:$C$146,0),MATCH(D$180,$C$135:$N$135,0))*2*10^3*n_GESCHOSSE)*gamma_mfi/
(k_modfi*k_fi_ST*'Hilfstabellen_Mat&amp;Bem'!f.Rd.3)</f>
        <v>6073.3695652173928</v>
      </c>
      <c r="E184" s="777">
        <f ca="1">(INDEX($C$135:$N$146,MATCH($C184,$C$135:$C$146,0),MATCH(E$180,$C$135:$N$135,0))*2*10^3*n_GESCHOSSE)*gamma_mfi/
(k_modfi*k_fi_ST*'Hilfstabellen_Mat&amp;Bem'!f.Rd.3)</f>
        <v>6460.8152173913059</v>
      </c>
      <c r="F184" s="777">
        <f ca="1">(INDEX($C$135:$N$146,MATCH($C184,$C$135:$C$146,0),MATCH(F$180,$C$135:$N$135,0))*2*10^3*n_GESCHOSSE)*gamma_mfi/
(k_modfi*k_fi_ST*'Hilfstabellen_Mat&amp;Bem'!f.Rd.3)</f>
        <v>6948.4239130434789</v>
      </c>
      <c r="G184" s="777">
        <f ca="1">(INDEX($C$135:$N$146,MATCH($C184,$C$135:$C$146,0),MATCH(G$180,$C$135:$N$135,0))*2*10^3*n_GESCHOSSE)*gamma_mfi/
(k_modfi*k_fi_ST*'Hilfstabellen_Mat&amp;Bem'!f.Rd.3)</f>
        <v>7314.130434782609</v>
      </c>
      <c r="H184" s="777">
        <f ca="1">(INDEX($C$135:$N$146,MATCH($C184,$C$135:$C$146,0),MATCH(H$180,$C$135:$N$135,0))*2*10^3*n_GESCHOSSE)*gamma_mfi/
(k_modfi*k_fi_ST*'Hilfstabellen_Mat&amp;Bem'!f.Rd.3)</f>
        <v>8563.5869565217399</v>
      </c>
      <c r="I184" s="777">
        <f ca="1">(INDEX($C$135:$N$146,MATCH($C184,$C$135:$C$146,0),MATCH(I$180,$C$135:$N$135,0))*2*10^3*n_GESCHOSSE)*gamma_mfi/
(k_modfi*k_fi_ST*'Hilfstabellen_Mat&amp;Bem'!f.Rd.3)</f>
        <v>9856.5217391304377</v>
      </c>
      <c r="J184" s="777">
        <f ca="1">(INDEX($C$135:$N$146,MATCH($C184,$C$135:$C$146,0),MATCH(J$180,$C$135:$N$135,0))*2*10^3*n_GESCHOSSE)*gamma_mfi/
(k_modfi*k_fi_ST*'Hilfstabellen_Mat&amp;Bem'!f.Rd.3)</f>
        <v>11127.717391304352</v>
      </c>
      <c r="K184" s="777">
        <f ca="1">(INDEX($C$135:$N$146,MATCH($C184,$C$135:$C$146,0),MATCH(K$180,$C$135:$N$135,0))*2*10^3*n_GESCHOSSE)*gamma_mfi/
(k_modfi*k_fi_ST*'Hilfstabellen_Mat&amp;Bem'!f.Rd.3)</f>
        <v>12407.608695652178</v>
      </c>
      <c r="L184" s="777">
        <f ca="1">(INDEX($C$135:$N$146,MATCH($C184,$C$135:$C$146,0),MATCH(L$180,$C$135:$N$135,0))*2*10^3*n_GESCHOSSE)*gamma_mfi/
(k_modfi*k_fi_ST*'Hilfstabellen_Mat&amp;Bem'!f.Rd.3)</f>
        <v>13198.152173913044</v>
      </c>
      <c r="M184" s="777">
        <f ca="1">(INDEX($C$135:$N$146,MATCH($C184,$C$135:$C$146,0),MATCH(M$180,$C$135:$N$135,0))*2*10^3*n_GESCHOSSE)*gamma_mfi/
(k_modfi*k_fi_ST*'Hilfstabellen_Mat&amp;Bem'!f.Rd.3)</f>
        <v>14243.804347826095</v>
      </c>
      <c r="N184" s="777">
        <f ca="1">(INDEX($C$135:$N$146,MATCH($C184,$C$135:$C$146,0),MATCH(N$180,$C$135:$N$135,0))*2*10^3*n_GESCHOSSE)*gamma_mfi/
(k_modfi*k_fi_ST*'Hilfstabellen_Mat&amp;Bem'!f.Rd.3)</f>
        <v>15045.652173913044</v>
      </c>
      <c r="O184" s="169"/>
      <c r="P184" s="169"/>
      <c r="Q184" s="169"/>
      <c r="R184" s="169"/>
      <c r="S184" s="169"/>
      <c r="U184" s="169"/>
      <c r="V184" s="169"/>
      <c r="W184" s="169"/>
      <c r="X184" s="169"/>
      <c r="Y184" s="169"/>
      <c r="Z184" s="169"/>
      <c r="AA184" s="169"/>
      <c r="AB184" s="169"/>
      <c r="AC184" s="169"/>
      <c r="AD184" s="169"/>
      <c r="AE184" s="169"/>
      <c r="AF184" s="169"/>
      <c r="AG184" s="169"/>
      <c r="AH184" s="169"/>
      <c r="AI184" s="169"/>
      <c r="AJ184" s="169"/>
      <c r="AK184" s="169"/>
      <c r="AL184" s="169"/>
      <c r="AM184" s="169"/>
      <c r="AN184" s="169"/>
      <c r="AO184" s="169"/>
      <c r="AP184" s="169"/>
      <c r="AQ184" s="169"/>
      <c r="AR184" s="169"/>
      <c r="AS184" s="169"/>
      <c r="AT184" s="169"/>
      <c r="AU184" s="169"/>
      <c r="AV184" s="169"/>
      <c r="AW184" s="169"/>
      <c r="AX184" s="169"/>
      <c r="AY184" s="169"/>
      <c r="BK184" s="4"/>
      <c r="BZ184" s="324"/>
      <c r="CB184" s="14"/>
      <c r="CC184" s="320"/>
      <c r="CD184" s="14"/>
      <c r="CE184" s="469"/>
      <c r="CF184" s="345"/>
      <c r="CG184" s="345"/>
      <c r="CH184" s="320"/>
      <c r="CI184" s="320"/>
      <c r="CJ184" s="346"/>
      <c r="CK184" s="346"/>
      <c r="CL184" s="346"/>
    </row>
    <row r="185" spans="1:90" ht="15" customHeight="1">
      <c r="A185" s="169"/>
      <c r="B185" s="169"/>
      <c r="C185" s="542">
        <f t="shared" si="65"/>
        <v>3.5</v>
      </c>
      <c r="D185" s="777">
        <f ca="1">(INDEX($C$135:$N$146,MATCH($C185,$C$135:$C$146,0),MATCH(D$180,$C$135:$N$135,0))*2*10^3*n_GESCHOSSE)*gamma_mfi/
(k_modfi*k_fi_ST*'Hilfstabellen_Mat&amp;Bem'!f.Rd.3)</f>
        <v>7247.735507246377</v>
      </c>
      <c r="E185" s="777">
        <f ca="1">(INDEX($C$135:$N$146,MATCH($C185,$C$135:$C$146,0),MATCH(E$180,$C$135:$N$135,0))*2*10^3*n_GESCHOSSE)*gamma_mfi/
(k_modfi*k_fi_ST*'Hilfstabellen_Mat&amp;Bem'!f.Rd.3)</f>
        <v>7682.5996376811581</v>
      </c>
      <c r="F185" s="777">
        <f ca="1">(INDEX($C$135:$N$146,MATCH($C185,$C$135:$C$146,0),MATCH(F$180,$C$135:$N$135,0))*2*10^3*n_GESCHOSSE)*gamma_mfi/
(k_modfi*k_fi_ST*'Hilfstabellen_Mat&amp;Bem'!f.Rd.3)</f>
        <v>8262.41847826087</v>
      </c>
      <c r="G185" s="777">
        <f ca="1">(INDEX($C$135:$N$146,MATCH($C185,$C$135:$C$146,0),MATCH(G$180,$C$135:$N$135,0))*2*10^3*n_GESCHOSSE)*gamma_mfi/
(k_modfi*k_fi_ST*'Hilfstabellen_Mat&amp;Bem'!f.Rd.3)</f>
        <v>8723.3695652173919</v>
      </c>
      <c r="H185" s="777">
        <f ca="1">(INDEX($C$135:$N$146,MATCH($C185,$C$135:$C$146,0),MATCH(H$180,$C$135:$N$135,0))*2*10^3*n_GESCHOSSE)*gamma_mfi/
(k_modfi*k_fi_ST*'Hilfstabellen_Mat&amp;Bem'!f.Rd.3)</f>
        <v>10207.69927536232</v>
      </c>
      <c r="I185" s="777">
        <f ca="1">(INDEX($C$135:$N$146,MATCH($C185,$C$135:$C$146,0),MATCH(I$180,$C$135:$N$135,0))*2*10^3*n_GESCHOSSE)*gamma_mfi/
(k_modfi*k_fi_ST*'Hilfstabellen_Mat&amp;Bem'!f.Rd.3)</f>
        <v>11700.724637681158</v>
      </c>
      <c r="J185" s="777">
        <f ca="1">(INDEX($C$135:$N$146,MATCH($C185,$C$135:$C$146,0),MATCH(J$180,$C$135:$N$135,0))*2*10^3*n_GESCHOSSE)*gamma_mfi/
(k_modfi*k_fi_ST*'Hilfstabellen_Mat&amp;Bem'!f.Rd.3)</f>
        <v>13202.445652173914</v>
      </c>
      <c r="K185" s="777">
        <f ca="1">(INDEX($C$135:$N$146,MATCH($C185,$C$135:$C$146,0),MATCH(K$180,$C$135:$N$135,0))*2*10^3*n_GESCHOSSE)*gamma_mfi/
(k_modfi*k_fi_ST*'Hilfstabellen_Mat&amp;Bem'!f.Rd.3)</f>
        <v>14756.340579710146</v>
      </c>
      <c r="L185" s="777">
        <f ca="1">(INDEX($C$135:$N$146,MATCH($C185,$C$135:$C$146,0),MATCH(L$180,$C$135:$N$135,0))*2*10^3*n_GESCHOSSE)*gamma_mfi/
(k_modfi*k_fi_ST*'Hilfstabellen_Mat&amp;Bem'!f.Rd.3)</f>
        <v>15687.80797101449</v>
      </c>
      <c r="M185" s="777">
        <f ca="1">(INDEX($C$135:$N$146,MATCH($C185,$C$135:$C$146,0),MATCH(M$180,$C$135:$N$135,0))*2*10^3*n_GESCHOSSE)*gamma_mfi/
(k_modfi*k_fi_ST*'Hilfstabellen_Mat&amp;Bem'!f.Rd.3)</f>
        <v>16921.358695652176</v>
      </c>
      <c r="N185" s="777">
        <f ca="1">(INDEX($C$135:$N$146,MATCH($C185,$C$135:$C$146,0),MATCH(N$180,$C$135:$N$135,0))*2*10^3*n_GESCHOSSE)*gamma_mfi/
(k_modfi*k_fi_ST*'Hilfstabellen_Mat&amp;Bem'!f.Rd.3)</f>
        <v>17864.130434782612</v>
      </c>
      <c r="O185" s="169"/>
      <c r="P185" s="169"/>
      <c r="Q185" s="169"/>
      <c r="R185" s="169"/>
      <c r="S185" s="169"/>
      <c r="U185" s="169"/>
      <c r="V185" s="169"/>
      <c r="W185" s="169"/>
      <c r="X185" s="169"/>
      <c r="Y185" s="169"/>
      <c r="Z185" s="169"/>
      <c r="AA185" s="169"/>
      <c r="AB185" s="169"/>
      <c r="AC185" s="169"/>
      <c r="AD185" s="169"/>
      <c r="AE185" s="169"/>
      <c r="AF185" s="169"/>
      <c r="AG185" s="169"/>
      <c r="AH185" s="169"/>
      <c r="AI185" s="169"/>
      <c r="AJ185" s="169"/>
      <c r="AK185" s="169"/>
      <c r="AL185" s="169"/>
      <c r="AM185" s="169"/>
      <c r="AN185" s="169"/>
      <c r="AO185" s="169"/>
      <c r="AP185" s="169"/>
      <c r="AQ185" s="169"/>
      <c r="AR185" s="169"/>
      <c r="AS185" s="169"/>
      <c r="AT185" s="169"/>
      <c r="AU185" s="169"/>
      <c r="AV185" s="169"/>
      <c r="AW185" s="169"/>
      <c r="AX185" s="169"/>
      <c r="AY185" s="169"/>
      <c r="BK185" s="4"/>
      <c r="BZ185" s="324"/>
      <c r="CB185" s="14"/>
      <c r="CC185" s="320"/>
      <c r="CD185" s="14"/>
      <c r="CE185" s="469"/>
      <c r="CF185" s="345"/>
      <c r="CG185" s="345"/>
      <c r="CH185" s="320"/>
      <c r="CI185" s="320"/>
      <c r="CJ185" s="346"/>
      <c r="CK185" s="346"/>
      <c r="CL185" s="346"/>
    </row>
    <row r="186" spans="1:90" ht="15" customHeight="1">
      <c r="A186" s="169"/>
      <c r="B186" s="169"/>
      <c r="C186" s="542">
        <f t="shared" si="65"/>
        <v>4</v>
      </c>
      <c r="D186" s="777">
        <f ca="1">(INDEX($C$135:$N$146,MATCH($C186,$C$135:$C$146,0),MATCH(D$180,$C$135:$N$135,0))*2*10^3*n_GESCHOSSE)*gamma_mfi/
(k_modfi*k_fi_ST*'Hilfstabellen_Mat&amp;Bem'!f.Rd.3)</f>
        <v>8445.6521739130458</v>
      </c>
      <c r="E186" s="777">
        <f ca="1">(INDEX($C$135:$N$146,MATCH($C186,$C$135:$C$146,0),MATCH(E$180,$C$135:$N$135,0))*2*10^3*n_GESCHOSSE)*gamma_mfi/
(k_modfi*k_fi_ST*'Hilfstabellen_Mat&amp;Bem'!f.Rd.3)</f>
        <v>8952.3913043478278</v>
      </c>
      <c r="F186" s="777">
        <f ca="1">(INDEX($C$135:$N$146,MATCH($C186,$C$135:$C$146,0),MATCH(F$180,$C$135:$N$135,0))*2*10^3*n_GESCHOSSE)*gamma_mfi/
(k_modfi*k_fi_ST*'Hilfstabellen_Mat&amp;Bem'!f.Rd.3)</f>
        <v>9652.826086956522</v>
      </c>
      <c r="G186" s="777">
        <f ca="1">(INDEX($C$135:$N$146,MATCH($C186,$C$135:$C$146,0),MATCH(G$180,$C$135:$N$135,0))*2*10^3*n_GESCHOSSE)*gamma_mfi/
(k_modfi*k_fi_ST*'Hilfstabellen_Mat&amp;Bem'!f.Rd.3)</f>
        <v>10160.869565217394</v>
      </c>
      <c r="H186" s="777">
        <f ca="1">(INDEX($C$135:$N$146,MATCH($C186,$C$135:$C$146,0),MATCH(H$180,$C$135:$N$135,0))*2*10^3*n_GESCHOSSE)*gamma_mfi/
(k_modfi*k_fi_ST*'Hilfstabellen_Mat&amp;Bem'!f.Rd.3)</f>
        <v>11884.782608695654</v>
      </c>
      <c r="I186" s="777">
        <f ca="1">(INDEX($C$135:$N$146,MATCH($C186,$C$135:$C$146,0),MATCH(I$180,$C$135:$N$135,0))*2*10^3*n_GESCHOSSE)*gamma_mfi/
(k_modfi*k_fi_ST*'Hilfstabellen_Mat&amp;Bem'!f.Rd.3)</f>
        <v>13617.391304347828</v>
      </c>
      <c r="J186" s="777">
        <f ca="1">(INDEX($C$135:$N$146,MATCH($C186,$C$135:$C$146,0),MATCH(J$180,$C$135:$N$135,0))*2*10^3*n_GESCHOSSE)*gamma_mfi/
(k_modfi*k_fi_ST*'Hilfstabellen_Mat&amp;Bem'!f.Rd.3)</f>
        <v>15397.826086956524</v>
      </c>
      <c r="K186" s="777">
        <f ca="1">(INDEX($C$135:$N$146,MATCH($C186,$C$135:$C$146,0),MATCH(K$180,$C$135:$N$135,0))*2*10^3*n_GESCHOSSE)*gamma_mfi/
(k_modfi*k_fi_ST*'Hilfstabellen_Mat&amp;Bem'!f.Rd.3)</f>
        <v>17195.652173913044</v>
      </c>
      <c r="L186" s="777">
        <f ca="1">(INDEX($C$135:$N$146,MATCH($C186,$C$135:$C$146,0),MATCH(L$180,$C$135:$N$135,0))*2*10^3*n_GESCHOSSE)*gamma_mfi/
(k_modfi*k_fi_ST*'Hilfstabellen_Mat&amp;Bem'!f.Rd.3)</f>
        <v>18273.478260869568</v>
      </c>
      <c r="M186" s="777">
        <f ca="1">(INDEX($C$135:$N$146,MATCH($C186,$C$135:$C$146,0),MATCH(M$180,$C$135:$N$135,0))*2*10^3*n_GESCHOSSE)*gamma_mfi/
(k_modfi*k_fi_ST*'Hilfstabellen_Mat&amp;Bem'!f.Rd.3)</f>
        <v>19702.17391304348</v>
      </c>
      <c r="N186" s="777">
        <f ca="1">(INDEX($C$135:$N$146,MATCH($C186,$C$135:$C$146,0),MATCH(N$180,$C$135:$N$135,0))*2*10^3*n_GESCHOSSE)*gamma_mfi/
(k_modfi*k_fi_ST*'Hilfstabellen_Mat&amp;Bem'!f.Rd.3)</f>
        <v>20791.304347826092</v>
      </c>
      <c r="O186" s="169"/>
      <c r="P186" s="169"/>
      <c r="Q186" s="169"/>
      <c r="R186" s="169"/>
      <c r="S186" s="169"/>
      <c r="U186" s="169"/>
      <c r="V186" s="169"/>
      <c r="W186" s="169"/>
      <c r="X186" s="169"/>
      <c r="Y186" s="169"/>
      <c r="Z186" s="169"/>
      <c r="AA186" s="169"/>
      <c r="AB186" s="169"/>
      <c r="AC186" s="169"/>
      <c r="AD186" s="169"/>
      <c r="AE186" s="169"/>
      <c r="AF186" s="169"/>
      <c r="AG186" s="169"/>
      <c r="AH186" s="169"/>
      <c r="AI186" s="169"/>
      <c r="AJ186" s="169"/>
      <c r="AK186" s="169"/>
      <c r="AL186" s="169"/>
      <c r="AM186" s="169"/>
      <c r="AN186" s="169"/>
      <c r="AO186" s="169"/>
      <c r="AP186" s="169"/>
      <c r="AQ186" s="169"/>
      <c r="AR186" s="169"/>
      <c r="AS186" s="169"/>
      <c r="AT186" s="169"/>
      <c r="AU186" s="169"/>
      <c r="AV186" s="169"/>
      <c r="AW186" s="169"/>
      <c r="AX186" s="169"/>
      <c r="AY186" s="169"/>
      <c r="BK186" s="4"/>
      <c r="BZ186" s="324"/>
      <c r="CB186" s="14"/>
      <c r="CC186" s="320"/>
      <c r="CD186" s="14"/>
      <c r="CE186" s="469"/>
      <c r="CF186" s="345"/>
      <c r="CG186" s="345"/>
      <c r="CH186" s="320"/>
      <c r="CI186" s="320"/>
      <c r="CJ186" s="346"/>
      <c r="CK186" s="346"/>
      <c r="CL186" s="346"/>
    </row>
    <row r="187" spans="1:90" ht="15" customHeight="1">
      <c r="A187" s="542"/>
      <c r="B187" s="542"/>
      <c r="C187" s="542">
        <f t="shared" si="65"/>
        <v>4.5</v>
      </c>
      <c r="D187" s="777">
        <f ca="1">(INDEX($C$135:$N$146,MATCH($C187,$C$135:$C$146,0),MATCH(D$180,$C$135:$N$135,0))*2*10^3*n_GESCHOSSE)*gamma_mfi/
(k_modfi*k_fi_ST*'Hilfstabellen_Mat&amp;Bem'!f.Rd.3)</f>
        <v>9688.858695652174</v>
      </c>
      <c r="E187" s="777">
        <f ca="1">(INDEX($C$135:$N$146,MATCH($C187,$C$135:$C$146,0),MATCH(E$180,$C$135:$N$135,0))*2*10^3*n_GESCHOSSE)*gamma_mfi/
(k_modfi*k_fi_ST*'Hilfstabellen_Mat&amp;Bem'!f.Rd.3)</f>
        <v>10293.233695652174</v>
      </c>
      <c r="F187" s="777">
        <f ca="1">(INDEX($C$135:$N$146,MATCH($C187,$C$135:$C$146,0),MATCH(F$180,$C$135:$N$135,0))*2*10^3*n_GESCHOSSE)*gamma_mfi/
(k_modfi*k_fi_ST*'Hilfstabellen_Mat&amp;Bem'!f.Rd.3)</f>
        <v>11070.08152173913</v>
      </c>
      <c r="G187" s="777">
        <f ca="1">(INDEX($C$135:$N$146,MATCH($C187,$C$135:$C$146,0),MATCH(G$180,$C$135:$N$135,0))*2*10^3*n_GESCHOSSE)*gamma_mfi/
(k_modfi*k_fi_ST*'Hilfstabellen_Mat&amp;Bem'!f.Rd.3)</f>
        <v>11652.717391304346</v>
      </c>
      <c r="H187" s="777">
        <f ca="1">(INDEX($C$135:$N$146,MATCH($C187,$C$135:$C$146,0),MATCH(H$180,$C$135:$N$135,0))*2*10^3*n_GESCHOSSE)*gamma_mfi/
(k_modfi*k_fi_ST*'Hilfstabellen_Mat&amp;Bem'!f.Rd.3)</f>
        <v>13655.706521739132</v>
      </c>
      <c r="I187" s="777">
        <f ca="1">(INDEX($C$135:$N$146,MATCH($C187,$C$135:$C$146,0),MATCH(I$180,$C$135:$N$135,0))*2*10^3*n_GESCHOSSE)*gamma_mfi/
(k_modfi*k_fi_ST*'Hilfstabellen_Mat&amp;Bem'!f.Rd.3)</f>
        <v>15641.304347826088</v>
      </c>
      <c r="J187" s="777">
        <f ca="1">(INDEX($C$135:$N$146,MATCH($C187,$C$135:$C$146,0),MATCH(J$180,$C$135:$N$135,0))*2*10^3*n_GESCHOSSE)*gamma_mfi/
(k_modfi*k_fi_ST*'Hilfstabellen_Mat&amp;Bem'!f.Rd.3)</f>
        <v>17674.728260869568</v>
      </c>
      <c r="K187" s="777">
        <f ca="1">(INDEX($C$135:$N$146,MATCH($C187,$C$135:$C$146,0),MATCH(K$180,$C$135:$N$135,0))*2*10^3*n_GESCHOSSE)*gamma_mfi/
(k_modfi*k_fi_ST*'Hilfstabellen_Mat&amp;Bem'!f.Rd.3)</f>
        <v>19682.0652173913</v>
      </c>
      <c r="L187" s="777">
        <f ca="1">(INDEX($C$135:$N$146,MATCH($C187,$C$135:$C$146,0),MATCH(L$180,$C$135:$N$135,0))*2*10^3*n_GESCHOSSE)*gamma_mfi/
(k_modfi*k_fi_ST*'Hilfstabellen_Mat&amp;Bem'!f.Rd.3)</f>
        <v>20909.076086956524</v>
      </c>
      <c r="M187" s="777">
        <f ca="1">(INDEX($C$135:$N$146,MATCH($C187,$C$135:$C$146,0),MATCH(M$180,$C$135:$N$135,0))*2*10^3*n_GESCHOSSE)*gamma_mfi/
(k_modfi*k_fi_ST*'Hilfstabellen_Mat&amp;Bem'!f.Rd.3)</f>
        <v>22586.25</v>
      </c>
      <c r="N187" s="777">
        <f ca="1">(INDEX($C$135:$N$146,MATCH($C187,$C$135:$C$146,0),MATCH(N$180,$C$135:$N$135,0))*2*10^3*n_GESCHOSSE)*gamma_mfi/
(k_modfi*k_fi_ST*'Hilfstabellen_Mat&amp;Bem'!f.Rd.3)</f>
        <v>23827.173913043476</v>
      </c>
      <c r="O187" s="169"/>
      <c r="P187" s="169"/>
      <c r="Q187" s="169"/>
      <c r="R187" s="169"/>
      <c r="S187" s="169"/>
      <c r="U187" s="169"/>
      <c r="V187" s="169"/>
      <c r="W187" s="169"/>
      <c r="X187" s="169"/>
      <c r="Y187" s="169"/>
      <c r="Z187" s="169"/>
      <c r="AA187" s="169"/>
      <c r="AB187" s="169"/>
      <c r="AC187" s="169"/>
      <c r="AD187" s="169"/>
      <c r="AE187" s="169"/>
      <c r="AF187" s="169"/>
      <c r="AG187" s="169"/>
      <c r="AH187" s="169"/>
      <c r="AI187" s="169"/>
      <c r="AJ187" s="169"/>
      <c r="AK187" s="169"/>
      <c r="AL187" s="169"/>
      <c r="AM187" s="169"/>
      <c r="AN187" s="169"/>
      <c r="AO187" s="169"/>
      <c r="AP187" s="169"/>
      <c r="AQ187" s="169"/>
      <c r="AR187" s="169"/>
      <c r="AS187" s="169"/>
      <c r="AT187" s="169"/>
      <c r="AU187" s="169"/>
      <c r="AV187" s="169"/>
      <c r="AW187" s="169"/>
      <c r="AX187" s="169"/>
      <c r="AY187" s="169"/>
      <c r="BK187" s="4"/>
      <c r="BZ187" s="324"/>
      <c r="CB187" s="14"/>
      <c r="CC187" s="320"/>
      <c r="CD187" s="14"/>
      <c r="CE187" s="469"/>
      <c r="CF187" s="345"/>
      <c r="CG187" s="345"/>
      <c r="CH187" s="320"/>
      <c r="CI187" s="320"/>
      <c r="CJ187" s="346"/>
      <c r="CK187" s="346"/>
      <c r="CL187" s="346"/>
    </row>
    <row r="188" spans="1:90" ht="15" customHeight="1">
      <c r="A188" s="543"/>
      <c r="B188" s="543"/>
      <c r="C188" s="542">
        <f t="shared" si="65"/>
        <v>5</v>
      </c>
      <c r="D188" s="777">
        <f ca="1">(INDEX($C$135:$N$146,MATCH($C188,$C$135:$C$146,0),MATCH(D$180,$C$135:$N$135,0))*2*10^3*n_GESCHOSSE)*gamma_mfi/
(k_modfi*k_fi_ST*'Hilfstabellen_Mat&amp;Bem'!f.Rd.3)</f>
        <v>11225.543478260868</v>
      </c>
      <c r="E188" s="777">
        <f ca="1">(INDEX($C$135:$N$146,MATCH($C188,$C$135:$C$146,0),MATCH(E$180,$C$135:$N$135,0))*2*10^3*n_GESCHOSSE)*gamma_mfi/
(k_modfi*k_fi_ST*'Hilfstabellen_Mat&amp;Bem'!f.Rd.3)</f>
        <v>11899.076086956522</v>
      </c>
      <c r="F188" s="777">
        <f ca="1">(INDEX($C$135:$N$146,MATCH($C188,$C$135:$C$146,0),MATCH(F$180,$C$135:$N$135,0))*2*10^3*n_GESCHOSSE)*gamma_mfi/
(k_modfi*k_fi_ST*'Hilfstabellen_Mat&amp;Bem'!f.Rd.3)</f>
        <v>12821.902173913044</v>
      </c>
      <c r="G188" s="777">
        <f ca="1">(INDEX($C$135:$N$146,MATCH($C188,$C$135:$C$146,0),MATCH(G$180,$C$135:$N$135,0))*2*10^3*n_GESCHOSSE)*gamma_mfi/
(k_modfi*k_fi_ST*'Hilfstabellen_Mat&amp;Bem'!f.Rd.3)</f>
        <v>13496.739130434784</v>
      </c>
      <c r="H188" s="777">
        <f ca="1">(INDEX($C$135:$N$146,MATCH($C188,$C$135:$C$146,0),MATCH(H$180,$C$135:$N$135,0))*2*10^3*n_GESCHOSSE)*gamma_mfi/
(k_modfi*k_fi_ST*'Hilfstabellen_Mat&amp;Bem'!f.Rd.3)</f>
        <v>15776.63043478261</v>
      </c>
      <c r="I188" s="777">
        <f ca="1">(INDEX($C$135:$N$146,MATCH($C188,$C$135:$C$146,0),MATCH(I$180,$C$135:$N$135,0))*2*10^3*n_GESCHOSSE)*gamma_mfi/
(k_modfi*k_fi_ST*'Hilfstabellen_Mat&amp;Bem'!f.Rd.3)</f>
        <v>18065.217391304348</v>
      </c>
      <c r="J188" s="777">
        <f ca="1">(INDEX($C$135:$N$146,MATCH($C188,$C$135:$C$146,0),MATCH(J$180,$C$135:$N$135,0))*2*10^3*n_GESCHOSSE)*gamma_mfi/
(k_modfi*k_fi_ST*'Hilfstabellen_Mat&amp;Bem'!f.Rd.3)</f>
        <v>20401.630434782604</v>
      </c>
      <c r="K188" s="777">
        <f ca="1">(INDEX($C$135:$N$146,MATCH($C188,$C$135:$C$146,0),MATCH(K$180,$C$135:$N$135,0))*2*10^3*n_GESCHOSSE)*gamma_mfi/
(k_modfi*k_fi_ST*'Hilfstabellen_Mat&amp;Bem'!f.Rd.3)</f>
        <v>22755.434782608696</v>
      </c>
      <c r="L188" s="777">
        <f ca="1">(INDEX($C$135:$N$146,MATCH($C188,$C$135:$C$146,0),MATCH(L$180,$C$135:$N$135,0))*2*10^3*n_GESCHOSSE)*gamma_mfi/
(k_modfi*k_fi_ST*'Hilfstabellen_Mat&amp;Bem'!f.Rd.3)</f>
        <v>24166.847826086952</v>
      </c>
      <c r="M188" s="777">
        <f ca="1">(INDEX($C$135:$N$146,MATCH($C188,$C$135:$C$146,0),MATCH(M$180,$C$135:$N$135,0))*2*10^3*n_GESCHOSSE)*gamma_mfi/
(k_modfi*k_fi_ST*'Hilfstabellen_Mat&amp;Bem'!f.Rd.3)</f>
        <v>26040.326086956524</v>
      </c>
      <c r="N188" s="777">
        <f ca="1">(INDEX($C$135:$N$146,MATCH($C188,$C$135:$C$146,0),MATCH(N$180,$C$135:$N$135,0))*2*10^3*n_GESCHOSSE)*gamma_mfi/
(k_modfi*k_fi_ST*'Hilfstabellen_Mat&amp;Bem'!f.Rd.3)</f>
        <v>27515.217391304352</v>
      </c>
      <c r="O188" s="169"/>
      <c r="P188" s="169"/>
      <c r="Q188" s="169"/>
      <c r="R188" s="169"/>
      <c r="S188" s="169"/>
      <c r="U188" s="169"/>
      <c r="V188" s="169"/>
      <c r="W188" s="169"/>
      <c r="X188" s="169"/>
      <c r="Y188" s="169"/>
      <c r="Z188" s="169"/>
      <c r="AA188" s="169"/>
      <c r="AB188" s="169"/>
      <c r="AC188" s="169"/>
      <c r="AD188" s="169"/>
      <c r="AE188" s="169"/>
      <c r="AF188" s="169"/>
      <c r="AG188" s="169"/>
      <c r="AH188" s="169"/>
      <c r="AI188" s="169"/>
      <c r="AJ188" s="169"/>
      <c r="AK188" s="169"/>
      <c r="AL188" s="169"/>
      <c r="AM188" s="169"/>
      <c r="AN188" s="169"/>
      <c r="AO188" s="169"/>
      <c r="AP188" s="169"/>
      <c r="AQ188" s="169"/>
      <c r="AR188" s="169"/>
      <c r="AS188" s="169"/>
      <c r="AT188" s="169"/>
      <c r="AU188" s="169"/>
      <c r="AV188" s="169"/>
      <c r="AW188" s="169"/>
      <c r="AX188" s="169"/>
      <c r="AY188" s="169"/>
      <c r="BK188" s="4"/>
      <c r="BZ188" s="324"/>
      <c r="CB188" s="14"/>
      <c r="CC188" s="320"/>
      <c r="CD188" s="14"/>
      <c r="CE188" s="469"/>
      <c r="CF188" s="345"/>
      <c r="CG188" s="345"/>
      <c r="CH188" s="320"/>
      <c r="CI188" s="320"/>
      <c r="CJ188" s="346"/>
      <c r="CK188" s="346"/>
      <c r="CL188" s="346"/>
    </row>
    <row r="189" spans="1:90" ht="15" customHeight="1">
      <c r="A189" s="543"/>
      <c r="B189" s="543"/>
      <c r="C189" s="542">
        <f t="shared" si="65"/>
        <v>5.3</v>
      </c>
      <c r="D189" s="777">
        <f ca="1">(INDEX($C$135:$N$146,MATCH($C189,$C$135:$C$146,0),MATCH(D$180,$C$135:$N$135,0))*2*10^3*n_GESCHOSSE)*gamma_mfi/
(k_modfi*k_fi_ST*'Hilfstabellen_Mat&amp;Bem'!f.Rd.3)</f>
        <v>11889.945652173914</v>
      </c>
      <c r="E189" s="777">
        <f ca="1">(INDEX($C$135:$N$146,MATCH($C189,$C$135:$C$146,0),MATCH(E$180,$C$135:$N$135,0))*2*10^3*n_GESCHOSSE)*gamma_mfi/
(k_modfi*k_fi_ST*'Hilfstabellen_Mat&amp;Bem'!f.Rd.3)</f>
        <v>12603.342391304348</v>
      </c>
      <c r="F189" s="777">
        <f ca="1">(INDEX($C$135:$N$146,MATCH($C189,$C$135:$C$146,0),MATCH(F$180,$C$135:$N$135,0))*2*10^3*n_GESCHOSSE)*gamma_mfi/
(k_modfi*k_fi_ST*'Hilfstabellen_Mat&amp;Bem'!f.Rd.3)</f>
        <v>13579.320652173914</v>
      </c>
      <c r="G189" s="777">
        <f ca="1">(INDEX($C$135:$N$146,MATCH($C189,$C$135:$C$146,0),MATCH(G$180,$C$135:$N$135,0))*2*10^3*n_GESCHOSSE)*gamma_mfi/
(k_modfi*k_fi_ST*'Hilfstabellen_Mat&amp;Bem'!f.Rd.3)</f>
        <v>14294.021739130436</v>
      </c>
      <c r="H189" s="777">
        <f ca="1">(INDEX($C$135:$N$146,MATCH($C189,$C$135:$C$146,0),MATCH(H$180,$C$135:$N$135,0))*2*10^3*n_GESCHOSSE)*gamma_mfi/
(k_modfi*k_fi_ST*'Hilfstabellen_Mat&amp;Bem'!f.Rd.3)</f>
        <v>16706.793478260868</v>
      </c>
      <c r="I189" s="777">
        <f ca="1">(INDEX($C$135:$N$146,MATCH($C189,$C$135:$C$146,0),MATCH(I$180,$C$135:$N$135,0))*2*10^3*n_GESCHOSSE)*gamma_mfi/
(k_modfi*k_fi_ST*'Hilfstabellen_Mat&amp;Bem'!f.Rd.3)</f>
        <v>19163.043478260872</v>
      </c>
      <c r="J189" s="777">
        <f ca="1">(INDEX($C$135:$N$146,MATCH($C189,$C$135:$C$146,0),MATCH(J$180,$C$135:$N$135,0))*2*10^3*n_GESCHOSSE)*gamma_mfi/
(k_modfi*k_fi_ST*'Hilfstabellen_Mat&amp;Bem'!f.Rd.3)</f>
        <v>21597.554347826088</v>
      </c>
      <c r="K189" s="777">
        <f ca="1">(INDEX($C$135:$N$146,MATCH($C189,$C$135:$C$146,0),MATCH(K$180,$C$135:$N$135,0))*2*10^3*n_GESCHOSSE)*gamma_mfi/
(k_modfi*k_fi_ST*'Hilfstabellen_Mat&amp;Bem'!f.Rd.3)</f>
        <v>24084.239130434784</v>
      </c>
      <c r="L189" s="777">
        <f ca="1">(INDEX($C$135:$N$146,MATCH($C189,$C$135:$C$146,0),MATCH(L$180,$C$135:$N$135,0))*2*10^3*n_GESCHOSSE)*gamma_mfi/
(k_modfi*k_fi_ST*'Hilfstabellen_Mat&amp;Bem'!f.Rd.3)</f>
        <v>25575.380434782608</v>
      </c>
      <c r="M189" s="777">
        <f ca="1">(INDEX($C$135:$N$146,MATCH($C189,$C$135:$C$146,0),MATCH(M$180,$C$135:$N$135,0))*2*10^3*n_GESCHOSSE)*gamma_mfi/
(k_modfi*k_fi_ST*'Hilfstabellen_Mat&amp;Bem'!f.Rd.3)</f>
        <v>27604.728260869564</v>
      </c>
      <c r="N189" s="777">
        <f ca="1">(INDEX($C$135:$N$146,MATCH($C189,$C$135:$C$146,0),MATCH(N$180,$C$135:$N$135,0))*2*10^3*n_GESCHOSSE)*gamma_mfi/
(k_modfi*k_fi_ST*'Hilfstabellen_Mat&amp;Bem'!f.Rd.3)</f>
        <v>29109.782608695659</v>
      </c>
      <c r="O189" s="169"/>
      <c r="P189" s="169"/>
      <c r="Q189" s="169"/>
      <c r="R189" s="169"/>
      <c r="S189" s="169"/>
      <c r="U189" s="169"/>
      <c r="V189" s="169"/>
      <c r="W189" s="169"/>
      <c r="X189" s="169"/>
      <c r="Y189" s="169"/>
      <c r="Z189" s="169"/>
      <c r="AA189" s="169"/>
      <c r="AB189" s="169"/>
      <c r="AC189" s="169"/>
      <c r="AD189" s="169"/>
      <c r="AE189" s="169"/>
      <c r="AF189" s="169"/>
      <c r="AG189" s="169"/>
      <c r="AH189" s="169"/>
      <c r="AI189" s="169"/>
      <c r="AJ189" s="169"/>
      <c r="AK189" s="169"/>
      <c r="AL189" s="169"/>
      <c r="AM189" s="169"/>
      <c r="AN189" s="169"/>
      <c r="AO189" s="169"/>
      <c r="AP189" s="169"/>
      <c r="AQ189" s="169"/>
      <c r="AR189" s="169"/>
      <c r="AS189" s="169"/>
      <c r="AT189" s="169"/>
      <c r="AU189" s="169"/>
      <c r="AV189" s="169"/>
      <c r="AW189" s="169"/>
      <c r="AX189" s="169"/>
      <c r="AY189" s="169"/>
      <c r="BK189" s="4"/>
      <c r="BZ189" s="324"/>
      <c r="CB189" s="14"/>
      <c r="CC189" s="320"/>
      <c r="CD189" s="14"/>
      <c r="CE189" s="469"/>
      <c r="CF189" s="345"/>
      <c r="CG189" s="345"/>
      <c r="CH189" s="320"/>
      <c r="CI189" s="320"/>
      <c r="CJ189" s="346"/>
      <c r="CK189" s="346"/>
      <c r="CL189" s="346"/>
    </row>
    <row r="190" spans="1:90" ht="15" customHeight="1">
      <c r="A190" s="543"/>
      <c r="B190" s="543"/>
      <c r="C190" s="542">
        <f t="shared" si="65"/>
        <v>5.7</v>
      </c>
      <c r="D190" s="777">
        <f ca="1">(INDEX($C$135:$N$146,MATCH($C190,$C$135:$C$146,0),MATCH(D$180,$C$135:$N$135,0))*2*10^3*n_GESCHOSSE)*gamma_mfi/
(k_modfi*k_fi_ST*'Hilfstabellen_Mat&amp;Bem'!f.Rd.3)</f>
        <v>12001.358695652174</v>
      </c>
      <c r="E190" s="777">
        <f ca="1">(INDEX($C$135:$N$146,MATCH($C190,$C$135:$C$146,0),MATCH(E$180,$C$135:$N$135,0))*2*10^3*n_GESCHOSSE)*gamma_mfi/
(k_modfi*k_fi_ST*'Hilfstabellen_Mat&amp;Bem'!f.Rd.3)</f>
        <v>12744.483695652174</v>
      </c>
      <c r="F190" s="777">
        <f ca="1">(INDEX($C$135:$N$146,MATCH($C190,$C$135:$C$146,0),MATCH(F$180,$C$135:$N$135,0))*2*10^3*n_GESCHOSSE)*gamma_mfi/
(k_modfi*k_fi_ST*'Hilfstabellen_Mat&amp;Bem'!f.Rd.3)</f>
        <v>13706.331521739134</v>
      </c>
      <c r="G190" s="777">
        <f ca="1">(INDEX($C$135:$N$146,MATCH($C190,$C$135:$C$146,0),MATCH(G$180,$C$135:$N$135,0))*2*10^3*n_GESCHOSSE)*gamma_mfi/
(k_modfi*k_fi_ST*'Hilfstabellen_Mat&amp;Bem'!f.Rd.3)</f>
        <v>14453.804347826088</v>
      </c>
      <c r="H190" s="777">
        <f ca="1">(INDEX($C$135:$N$146,MATCH($C190,$C$135:$C$146,0),MATCH(H$180,$C$135:$N$135,0))*2*10^3*n_GESCHOSSE)*gamma_mfi/
(k_modfi*k_fi_ST*'Hilfstabellen_Mat&amp;Bem'!f.Rd.3)</f>
        <v>16893.206521739135</v>
      </c>
      <c r="I190" s="777">
        <f ca="1">(INDEX($C$135:$N$146,MATCH($C190,$C$135:$C$146,0),MATCH(I$180,$C$135:$N$135,0))*2*10^3*n_GESCHOSSE)*gamma_mfi/
(k_modfi*k_fi_ST*'Hilfstabellen_Mat&amp;Bem'!f.Rd.3)</f>
        <v>19341.304347826092</v>
      </c>
      <c r="J190" s="777">
        <f ca="1">(INDEX($C$135:$N$146,MATCH($C190,$C$135:$C$146,0),MATCH(J$180,$C$135:$N$135,0))*2*10^3*n_GESCHOSSE)*gamma_mfi/
(k_modfi*k_fi_ST*'Hilfstabellen_Mat&amp;Bem'!f.Rd.3)</f>
        <v>21837.228260869571</v>
      </c>
      <c r="K190" s="777">
        <f ca="1">(INDEX($C$135:$N$146,MATCH($C190,$C$135:$C$146,0),MATCH(K$180,$C$135:$N$135,0))*2*10^3*n_GESCHOSSE)*gamma_mfi/
(k_modfi*k_fi_ST*'Hilfstabellen_Mat&amp;Bem'!f.Rd.3)</f>
        <v>24350.543478260875</v>
      </c>
      <c r="L190" s="777">
        <f ca="1">(INDEX($C$135:$N$146,MATCH($C190,$C$135:$C$146,0),MATCH(L$180,$C$135:$N$135,0))*2*10^3*n_GESCHOSSE)*gamma_mfi/
(k_modfi*k_fi_ST*'Hilfstabellen_Mat&amp;Bem'!f.Rd.3)</f>
        <v>25857.663043478267</v>
      </c>
      <c r="M190" s="777">
        <f ca="1">(INDEX($C$135:$N$146,MATCH($C190,$C$135:$C$146,0),MATCH(M$180,$C$135:$N$135,0))*2*10^3*n_GESCHOSSE)*gamma_mfi/
(k_modfi*k_fi_ST*'Hilfstabellen_Mat&amp;Bem'!f.Rd.3)</f>
        <v>27858.750000000011</v>
      </c>
      <c r="N190" s="777">
        <f ca="1">(INDEX($C$135:$N$146,MATCH($C190,$C$135:$C$146,0),MATCH(N$180,$C$135:$N$135,0))*2*10^3*n_GESCHOSSE)*gamma_mfi/
(k_modfi*k_fi_ST*'Hilfstabellen_Mat&amp;Bem'!f.Rd.3)</f>
        <v>29377.173913043483</v>
      </c>
      <c r="O190" s="169"/>
      <c r="P190" s="169"/>
      <c r="Q190" s="169"/>
      <c r="R190" s="169"/>
      <c r="S190" s="169"/>
      <c r="U190" s="169"/>
      <c r="V190" s="169"/>
      <c r="W190" s="169"/>
      <c r="X190" s="169"/>
      <c r="Y190" s="169"/>
      <c r="Z190" s="169"/>
      <c r="AA190" s="169"/>
      <c r="AB190" s="169"/>
      <c r="AC190" s="169"/>
      <c r="AD190" s="169"/>
      <c r="AE190" s="169"/>
      <c r="AF190" s="169"/>
      <c r="AG190" s="169"/>
      <c r="AH190" s="169"/>
      <c r="AI190" s="169"/>
      <c r="AJ190" s="169"/>
      <c r="AK190" s="169"/>
      <c r="AL190" s="169"/>
      <c r="AM190" s="169"/>
      <c r="AN190" s="169"/>
      <c r="AO190" s="169"/>
      <c r="AP190" s="169"/>
      <c r="AQ190" s="169"/>
      <c r="AR190" s="169"/>
      <c r="AS190" s="169"/>
      <c r="AT190" s="169"/>
      <c r="AU190" s="169"/>
      <c r="AV190" s="169"/>
      <c r="AW190" s="169"/>
      <c r="AX190" s="169"/>
      <c r="AY190" s="169"/>
      <c r="BK190" s="4"/>
      <c r="BZ190" s="324"/>
      <c r="CB190" s="14"/>
      <c r="CC190" s="320"/>
      <c r="CD190" s="14"/>
      <c r="CE190" s="469"/>
      <c r="CF190" s="345"/>
      <c r="CG190" s="345"/>
      <c r="CH190" s="320"/>
      <c r="CI190" s="320"/>
      <c r="CJ190" s="346"/>
      <c r="CK190" s="346"/>
      <c r="CL190" s="346"/>
    </row>
    <row r="191" spans="1:90" ht="15" customHeight="1">
      <c r="A191" s="543"/>
      <c r="B191" s="543"/>
      <c r="C191" s="542">
        <f t="shared" si="65"/>
        <v>6</v>
      </c>
      <c r="D191" s="777">
        <f ca="1">(INDEX($C$135:$N$146,MATCH($C191,$C$135:$C$146,0),MATCH(D$180,$C$135:$N$135,0))*2*10^3*n_GESCHOSSE)*gamma_mfi/
(k_modfi*k_fi_ST*'Hilfstabellen_Mat&amp;Bem'!f.Rd.3)</f>
        <v>12625.000000000002</v>
      </c>
      <c r="E191" s="777">
        <f ca="1">(INDEX($C$135:$N$146,MATCH($C191,$C$135:$C$146,0),MATCH(E$180,$C$135:$N$135,0))*2*10^3*n_GESCHOSSE)*gamma_mfi/
(k_modfi*k_fi_ST*'Hilfstabellen_Mat&amp;Bem'!f.Rd.3)</f>
        <v>13405.54347826087</v>
      </c>
      <c r="F191" s="777">
        <f ca="1">(INDEX($C$135:$N$146,MATCH($C191,$C$135:$C$146,0),MATCH(F$180,$C$135:$N$135,0))*2*10^3*n_GESCHOSSE)*gamma_mfi/
(k_modfi*k_fi_ST*'Hilfstabellen_Mat&amp;Bem'!f.Rd.3)</f>
        <v>14417.282608695656</v>
      </c>
      <c r="G191" s="777">
        <f ca="1">(INDEX($C$135:$N$146,MATCH($C191,$C$135:$C$146,0),MATCH(G$180,$C$135:$N$135,0))*2*10^3*n_GESCHOSSE)*gamma_mfi/
(k_modfi*k_fi_ST*'Hilfstabellen_Mat&amp;Bem'!f.Rd.3)</f>
        <v>15202.173913043482</v>
      </c>
      <c r="H191" s="777">
        <f ca="1">(INDEX($C$135:$N$146,MATCH($C191,$C$135:$C$146,0),MATCH(H$180,$C$135:$N$135,0))*2*10^3*n_GESCHOSSE)*gamma_mfi/
(k_modfi*k_fi_ST*'Hilfstabellen_Mat&amp;Bem'!f.Rd.3)</f>
        <v>17766.304347826092</v>
      </c>
      <c r="I191" s="777">
        <f ca="1">(INDEX($C$135:$N$146,MATCH($C191,$C$135:$C$146,0),MATCH(I$180,$C$135:$N$135,0))*2*10^3*n_GESCHOSSE)*gamma_mfi/
(k_modfi*k_fi_ST*'Hilfstabellen_Mat&amp;Bem'!f.Rd.3)</f>
        <v>20339.130434782612</v>
      </c>
      <c r="J191" s="777">
        <f ca="1">(INDEX($C$135:$N$146,MATCH($C191,$C$135:$C$146,0),MATCH(J$180,$C$135:$N$135,0))*2*10^3*n_GESCHOSSE)*gamma_mfi/
(k_modfi*k_fi_ST*'Hilfstabellen_Mat&amp;Bem'!f.Rd.3)</f>
        <v>22959.782608695656</v>
      </c>
      <c r="K191" s="777">
        <f ca="1">(INDEX($C$135:$N$146,MATCH($C191,$C$135:$C$146,0),MATCH(K$180,$C$135:$N$135,0))*2*10^3*n_GESCHOSSE)*gamma_mfi/
(k_modfi*k_fi_ST*'Hilfstabellen_Mat&amp;Bem'!f.Rd.3)</f>
        <v>25554.34782608696</v>
      </c>
      <c r="L191" s="777">
        <f ca="1">(INDEX($C$135:$N$146,MATCH($C191,$C$135:$C$146,0),MATCH(L$180,$C$135:$N$135,0))*2*10^3*n_GESCHOSSE)*gamma_mfi/
(k_modfi*k_fi_ST*'Hilfstabellen_Mat&amp;Bem'!f.Rd.3)</f>
        <v>27133.695652173916</v>
      </c>
      <c r="M191" s="777">
        <f ca="1">(INDEX($C$135:$N$146,MATCH($C191,$C$135:$C$146,0),MATCH(M$180,$C$135:$N$135,0))*2*10^3*n_GESCHOSSE)*gamma_mfi/
(k_modfi*k_fi_ST*'Hilfstabellen_Mat&amp;Bem'!f.Rd.3)</f>
        <v>29280.652173913044</v>
      </c>
      <c r="N191" s="777">
        <f ca="1">(INDEX($C$135:$N$146,MATCH($C191,$C$135:$C$146,0),MATCH(N$180,$C$135:$N$135,0))*2*10^3*n_GESCHOSSE)*gamma_mfi/
(k_modfi*k_fi_ST*'Hilfstabellen_Mat&amp;Bem'!f.Rd.3)</f>
        <v>30873.913043478264</v>
      </c>
      <c r="O191" s="169"/>
      <c r="P191" s="169"/>
      <c r="Q191" s="169"/>
      <c r="R191" s="169"/>
      <c r="S191" s="169"/>
      <c r="U191" s="169"/>
      <c r="V191" s="169"/>
      <c r="W191" s="169"/>
      <c r="X191" s="169"/>
      <c r="Y191" s="169"/>
      <c r="Z191" s="169"/>
      <c r="AA191" s="169"/>
      <c r="AB191" s="169"/>
      <c r="AC191" s="169"/>
      <c r="AD191" s="169"/>
      <c r="AE191" s="169"/>
      <c r="AF191" s="169"/>
      <c r="AG191" s="169"/>
      <c r="AH191" s="169"/>
      <c r="AI191" s="169"/>
      <c r="AJ191" s="169"/>
      <c r="AK191" s="169"/>
      <c r="AL191" s="169"/>
      <c r="AM191" s="169"/>
      <c r="AN191" s="169"/>
      <c r="AO191" s="169"/>
      <c r="AP191" s="169"/>
      <c r="AQ191" s="169"/>
      <c r="AR191" s="169"/>
      <c r="AS191" s="169"/>
      <c r="AT191" s="169"/>
      <c r="AU191" s="169"/>
      <c r="AV191" s="169"/>
      <c r="AW191" s="169"/>
      <c r="AX191" s="169"/>
      <c r="AY191" s="169"/>
      <c r="BK191" s="4"/>
      <c r="BZ191" s="324"/>
      <c r="CB191" s="14"/>
      <c r="CC191" s="320"/>
      <c r="CD191" s="14"/>
      <c r="CE191" s="469"/>
      <c r="CF191" s="345"/>
      <c r="CG191" s="345"/>
      <c r="CH191" s="320"/>
      <c r="CI191" s="320"/>
      <c r="CJ191" s="346"/>
      <c r="CK191" s="346"/>
      <c r="CL191" s="346"/>
    </row>
    <row r="192" spans="1:90" ht="15" customHeight="1">
      <c r="A192" s="543"/>
      <c r="B192" s="543"/>
      <c r="C192" s="543"/>
      <c r="D192" s="543"/>
      <c r="E192" s="543"/>
      <c r="F192" s="543"/>
      <c r="G192" s="543"/>
      <c r="H192" s="543"/>
      <c r="I192" s="169"/>
      <c r="J192" s="169"/>
      <c r="K192" s="169"/>
      <c r="L192" s="169"/>
      <c r="M192" s="169"/>
      <c r="N192" s="169"/>
      <c r="O192" s="169"/>
      <c r="P192" s="169"/>
      <c r="Q192" s="169"/>
      <c r="R192" s="169"/>
      <c r="S192" s="169"/>
      <c r="U192" s="169"/>
      <c r="V192" s="169"/>
      <c r="W192" s="169"/>
      <c r="X192" s="169"/>
      <c r="Y192" s="169"/>
      <c r="Z192" s="169"/>
      <c r="AA192" s="169"/>
      <c r="AB192" s="169"/>
      <c r="AC192" s="169"/>
      <c r="AD192" s="169"/>
      <c r="AE192" s="169"/>
      <c r="AF192" s="169"/>
      <c r="AG192" s="169"/>
      <c r="AH192" s="169"/>
      <c r="AI192" s="169"/>
      <c r="AJ192" s="169"/>
      <c r="AK192" s="169"/>
      <c r="AL192" s="169"/>
      <c r="AM192" s="169"/>
      <c r="AN192" s="169"/>
      <c r="AO192" s="169"/>
      <c r="AP192" s="169"/>
      <c r="AQ192" s="169"/>
      <c r="AR192" s="169"/>
      <c r="AS192" s="169"/>
      <c r="AT192" s="169"/>
      <c r="AU192" s="169"/>
      <c r="AV192" s="169"/>
      <c r="AW192" s="169"/>
      <c r="AX192" s="169"/>
      <c r="AY192" s="169"/>
      <c r="BK192" s="4"/>
      <c r="BZ192" s="324"/>
      <c r="CB192" s="14"/>
      <c r="CC192" s="320"/>
      <c r="CD192" s="14"/>
      <c r="CE192" s="469"/>
      <c r="CF192" s="345"/>
      <c r="CG192" s="345"/>
      <c r="CH192" s="320"/>
      <c r="CI192" s="320"/>
      <c r="CJ192" s="346"/>
      <c r="CK192" s="346"/>
      <c r="CL192" s="346"/>
    </row>
    <row r="193" spans="1:90" ht="15" customHeight="1">
      <c r="A193" s="543"/>
      <c r="B193" s="543"/>
      <c r="C193" s="543"/>
      <c r="D193" s="543"/>
      <c r="E193" s="543"/>
      <c r="F193" s="543"/>
      <c r="G193" s="543"/>
      <c r="H193" s="543"/>
      <c r="I193" s="169"/>
      <c r="J193" s="169"/>
      <c r="K193" s="169"/>
      <c r="L193" s="169"/>
      <c r="M193" s="169"/>
      <c r="N193" s="169"/>
      <c r="O193" s="169"/>
      <c r="P193" s="169"/>
      <c r="Q193" s="169"/>
      <c r="R193" s="169"/>
      <c r="S193" s="169"/>
      <c r="U193" s="169"/>
      <c r="V193" s="169"/>
      <c r="W193" s="169"/>
      <c r="X193" s="169"/>
      <c r="Y193" s="169"/>
      <c r="Z193" s="169"/>
      <c r="AA193" s="169"/>
      <c r="AB193" s="169"/>
      <c r="AC193" s="169"/>
      <c r="AD193" s="169"/>
      <c r="AE193" s="169"/>
      <c r="AF193" s="169"/>
      <c r="AG193" s="169"/>
      <c r="AH193" s="169"/>
      <c r="AI193" s="169"/>
      <c r="AJ193" s="169"/>
      <c r="AK193" s="169"/>
      <c r="AL193" s="169"/>
      <c r="AM193" s="169"/>
      <c r="AN193" s="169"/>
      <c r="AO193" s="169"/>
      <c r="AP193" s="169"/>
      <c r="AQ193" s="169"/>
      <c r="AR193" s="169"/>
      <c r="AS193" s="169"/>
      <c r="AT193" s="169"/>
      <c r="AU193" s="169"/>
      <c r="AV193" s="169"/>
      <c r="AW193" s="169"/>
      <c r="AX193" s="169"/>
      <c r="AY193" s="169"/>
      <c r="BK193" s="4"/>
      <c r="BZ193" s="324"/>
      <c r="CB193" s="14"/>
      <c r="CC193" s="320"/>
      <c r="CD193" s="14"/>
      <c r="CE193" s="469"/>
      <c r="CF193" s="345"/>
      <c r="CG193" s="345"/>
      <c r="CH193" s="320"/>
      <c r="CI193" s="320"/>
      <c r="CJ193" s="346"/>
      <c r="CK193" s="346"/>
      <c r="CL193" s="346"/>
    </row>
    <row r="194" spans="1:90" ht="15" customHeight="1">
      <c r="A194" s="543"/>
      <c r="B194" s="543"/>
      <c r="C194" s="774" t="s">
        <v>1546</v>
      </c>
      <c r="D194" s="775">
        <f>Datenbank!C24</f>
        <v>2.65</v>
      </c>
      <c r="E194" s="775">
        <f>Datenbank!D24</f>
        <v>2.85</v>
      </c>
      <c r="F194" s="775">
        <f>Datenbank!E24</f>
        <v>3</v>
      </c>
      <c r="G194" s="775">
        <f>Datenbank!F24</f>
        <v>3.5</v>
      </c>
      <c r="H194" s="775">
        <f>Datenbank!G24</f>
        <v>4</v>
      </c>
      <c r="I194" s="775">
        <f>Datenbank!H24</f>
        <v>4.5</v>
      </c>
      <c r="J194" s="775">
        <f>Datenbank!I24</f>
        <v>5</v>
      </c>
      <c r="K194" s="797">
        <f>Datenbank!J24</f>
        <v>2.65</v>
      </c>
      <c r="L194" s="775">
        <f>Datenbank!K24</f>
        <v>2.65</v>
      </c>
      <c r="M194" s="775">
        <f>Datenbank!L24</f>
        <v>2.65</v>
      </c>
      <c r="N194" s="775">
        <f>Datenbank!M24</f>
        <v>2.65</v>
      </c>
      <c r="O194" s="775">
        <f>Datenbank!N24</f>
        <v>2.65</v>
      </c>
      <c r="P194" s="775">
        <f>Datenbank!O24</f>
        <v>2.65</v>
      </c>
      <c r="Q194" s="775">
        <f>Datenbank!P24</f>
        <v>2.65</v>
      </c>
      <c r="R194" s="775">
        <f>Datenbank!Q24</f>
        <v>2.65</v>
      </c>
      <c r="S194" s="775">
        <f>Datenbank!R24</f>
        <v>2.65</v>
      </c>
      <c r="T194" s="797">
        <f>Datenbank!S24</f>
        <v>2.85</v>
      </c>
      <c r="U194" s="775">
        <f>Datenbank!T24</f>
        <v>2.85</v>
      </c>
      <c r="V194" s="775">
        <f>Datenbank!U24</f>
        <v>2.85</v>
      </c>
      <c r="W194" s="775">
        <f>Datenbank!V24</f>
        <v>2.85</v>
      </c>
      <c r="X194" s="775">
        <f>Datenbank!W24</f>
        <v>2.85</v>
      </c>
      <c r="Y194" s="775">
        <f>Datenbank!X24</f>
        <v>2.85</v>
      </c>
      <c r="Z194" s="775">
        <f>Datenbank!Y24</f>
        <v>2.85</v>
      </c>
      <c r="AA194" s="775">
        <f>Datenbank!Z24</f>
        <v>2.85</v>
      </c>
      <c r="AB194" s="775">
        <f>Datenbank!AA24</f>
        <v>2.85</v>
      </c>
      <c r="AC194" s="797">
        <f>Datenbank!AB24</f>
        <v>3</v>
      </c>
      <c r="AD194" s="775">
        <f>Datenbank!AC24</f>
        <v>3</v>
      </c>
      <c r="AE194" s="775">
        <f>Datenbank!AD24</f>
        <v>3</v>
      </c>
      <c r="AF194" s="775">
        <f>Datenbank!AE24</f>
        <v>3</v>
      </c>
      <c r="AG194" s="775">
        <f>Datenbank!AF24</f>
        <v>3</v>
      </c>
      <c r="AH194" s="775">
        <f>Datenbank!AG24</f>
        <v>3</v>
      </c>
      <c r="AI194" s="775">
        <f>Datenbank!AH24</f>
        <v>3</v>
      </c>
      <c r="AJ194" s="775">
        <f>Datenbank!AI24</f>
        <v>3</v>
      </c>
      <c r="AK194" s="775">
        <f>Datenbank!AJ24</f>
        <v>3</v>
      </c>
      <c r="AL194" s="797">
        <f>Datenbank!AK24</f>
        <v>3.5</v>
      </c>
      <c r="AM194" s="775">
        <f>Datenbank!AL24</f>
        <v>3.5</v>
      </c>
      <c r="AN194" s="775">
        <f>Datenbank!AM24</f>
        <v>3.5</v>
      </c>
      <c r="AO194" s="775">
        <f>Datenbank!AN24</f>
        <v>3.5</v>
      </c>
      <c r="AP194" s="775">
        <f>Datenbank!AO24</f>
        <v>3.5</v>
      </c>
      <c r="AQ194" s="775">
        <f>Datenbank!AP24</f>
        <v>3.5</v>
      </c>
      <c r="AR194" s="775">
        <f>Datenbank!AQ24</f>
        <v>3.5</v>
      </c>
      <c r="AS194" s="775">
        <f>Datenbank!AR24</f>
        <v>3.5</v>
      </c>
      <c r="AT194" s="775">
        <f>Datenbank!AS24</f>
        <v>3.5</v>
      </c>
      <c r="AU194" s="797">
        <f>Datenbank!AT24</f>
        <v>4</v>
      </c>
      <c r="AV194" s="775">
        <f>Datenbank!AU24</f>
        <v>4</v>
      </c>
      <c r="AW194" s="775">
        <f>Datenbank!AV24</f>
        <v>4</v>
      </c>
      <c r="AX194" s="775">
        <f>Datenbank!AW24</f>
        <v>4</v>
      </c>
      <c r="AY194" s="775">
        <f>Datenbank!AX24</f>
        <v>4</v>
      </c>
      <c r="AZ194" s="775">
        <f>Datenbank!AY24</f>
        <v>4</v>
      </c>
      <c r="BA194" s="775">
        <f>Datenbank!AZ24</f>
        <v>4</v>
      </c>
      <c r="BB194" s="775">
        <f>Datenbank!BA24</f>
        <v>4</v>
      </c>
      <c r="BC194" s="775">
        <f>Datenbank!BB24</f>
        <v>4</v>
      </c>
      <c r="BD194" s="797">
        <f>Datenbank!BC24</f>
        <v>4.5</v>
      </c>
      <c r="BE194" s="775">
        <f>Datenbank!BD24</f>
        <v>4.5</v>
      </c>
      <c r="BF194" s="775">
        <f>Datenbank!BE24</f>
        <v>4.5</v>
      </c>
      <c r="BG194" s="775">
        <f>Datenbank!BF24</f>
        <v>4.5</v>
      </c>
      <c r="BH194" s="775">
        <f>Datenbank!BG24</f>
        <v>4.5</v>
      </c>
      <c r="BI194" s="775">
        <f>Datenbank!BH24</f>
        <v>4.5</v>
      </c>
      <c r="BJ194" s="775">
        <f>Datenbank!BI24</f>
        <v>4.5</v>
      </c>
      <c r="BK194" s="775">
        <f>Datenbank!BJ24</f>
        <v>4.5</v>
      </c>
      <c r="BL194" s="775">
        <f>Datenbank!BK24</f>
        <v>4.5</v>
      </c>
      <c r="BM194" s="797">
        <f>Datenbank!BL24</f>
        <v>5</v>
      </c>
      <c r="BN194" s="775">
        <f>Datenbank!BM24</f>
        <v>5</v>
      </c>
      <c r="BO194" s="775">
        <f>Datenbank!BN24</f>
        <v>5</v>
      </c>
      <c r="BP194" s="775">
        <f>Datenbank!BO24</f>
        <v>5</v>
      </c>
      <c r="BQ194" s="775">
        <f>Datenbank!BP24</f>
        <v>5</v>
      </c>
      <c r="BR194" s="775">
        <f>Datenbank!BQ24</f>
        <v>5</v>
      </c>
      <c r="BS194" s="775">
        <f>Datenbank!BR24</f>
        <v>5</v>
      </c>
      <c r="BT194" s="775">
        <f>Datenbank!BS24</f>
        <v>5</v>
      </c>
      <c r="BU194" s="775">
        <f>Datenbank!BT24</f>
        <v>5</v>
      </c>
      <c r="BZ194" s="324"/>
      <c r="CB194" s="14"/>
      <c r="CC194" s="320"/>
      <c r="CD194" s="14"/>
      <c r="CE194" s="469"/>
      <c r="CF194" s="345"/>
      <c r="CG194" s="345"/>
      <c r="CH194" s="320"/>
      <c r="CI194" s="320"/>
      <c r="CJ194" s="346"/>
      <c r="CK194" s="346"/>
      <c r="CL194" s="346"/>
    </row>
    <row r="195" spans="1:90" ht="15" customHeight="1">
      <c r="A195" s="543"/>
      <c r="B195" s="543"/>
      <c r="C195" s="774" t="s">
        <v>1547</v>
      </c>
      <c r="D195" s="775">
        <f>Datenbank!C25</f>
        <v>2.65</v>
      </c>
      <c r="E195" s="775">
        <f>Datenbank!D25</f>
        <v>2.85</v>
      </c>
      <c r="F195" s="775">
        <f>Datenbank!E25</f>
        <v>3</v>
      </c>
      <c r="G195" s="775">
        <f>Datenbank!F25</f>
        <v>3.5</v>
      </c>
      <c r="H195" s="775">
        <f>Datenbank!G25</f>
        <v>4</v>
      </c>
      <c r="I195" s="775">
        <f>Datenbank!H25</f>
        <v>4.5</v>
      </c>
      <c r="J195" s="775">
        <f>Datenbank!I25</f>
        <v>5</v>
      </c>
      <c r="K195" s="797">
        <f>Datenbank!J25</f>
        <v>2.85</v>
      </c>
      <c r="L195" s="775">
        <f>Datenbank!K25</f>
        <v>3</v>
      </c>
      <c r="M195" s="775">
        <f>Datenbank!L25</f>
        <v>3.5</v>
      </c>
      <c r="N195" s="775">
        <f>Datenbank!M25</f>
        <v>4</v>
      </c>
      <c r="O195" s="775">
        <f>Datenbank!N25</f>
        <v>4.5</v>
      </c>
      <c r="P195" s="775">
        <f>Datenbank!O25</f>
        <v>5</v>
      </c>
      <c r="Q195" s="775">
        <f>Datenbank!P25</f>
        <v>5.3</v>
      </c>
      <c r="R195" s="775">
        <f>Datenbank!Q25</f>
        <v>5.7</v>
      </c>
      <c r="S195" s="775">
        <f>Datenbank!R25</f>
        <v>6</v>
      </c>
      <c r="T195" s="797">
        <f>Datenbank!S25</f>
        <v>2.65</v>
      </c>
      <c r="U195" s="775">
        <f>Datenbank!T25</f>
        <v>3</v>
      </c>
      <c r="V195" s="775">
        <f>Datenbank!U25</f>
        <v>3.5</v>
      </c>
      <c r="W195" s="775">
        <f>Datenbank!V25</f>
        <v>4</v>
      </c>
      <c r="X195" s="775">
        <f>Datenbank!W25</f>
        <v>4.5</v>
      </c>
      <c r="Y195" s="775">
        <f>Datenbank!X25</f>
        <v>5</v>
      </c>
      <c r="Z195" s="775">
        <f>Datenbank!Y25</f>
        <v>5.3</v>
      </c>
      <c r="AA195" s="775">
        <f>Datenbank!Z25</f>
        <v>5.7</v>
      </c>
      <c r="AB195" s="775">
        <f>Datenbank!AA25</f>
        <v>6</v>
      </c>
      <c r="AC195" s="797">
        <f>Datenbank!AB25</f>
        <v>2.65</v>
      </c>
      <c r="AD195" s="775">
        <f>Datenbank!AC25</f>
        <v>2.85</v>
      </c>
      <c r="AE195" s="775">
        <f>Datenbank!AD25</f>
        <v>3.5</v>
      </c>
      <c r="AF195" s="775">
        <f>Datenbank!AE25</f>
        <v>4</v>
      </c>
      <c r="AG195" s="775">
        <f>Datenbank!AF25</f>
        <v>4.5</v>
      </c>
      <c r="AH195" s="775">
        <f>Datenbank!AG25</f>
        <v>5</v>
      </c>
      <c r="AI195" s="775">
        <f>Datenbank!AH25</f>
        <v>5.3</v>
      </c>
      <c r="AJ195" s="775">
        <f>Datenbank!AI25</f>
        <v>5.7</v>
      </c>
      <c r="AK195" s="775">
        <f>Datenbank!AJ25</f>
        <v>6</v>
      </c>
      <c r="AL195" s="797">
        <f>Datenbank!AK25</f>
        <v>2.65</v>
      </c>
      <c r="AM195" s="775">
        <f>Datenbank!AL25</f>
        <v>2.85</v>
      </c>
      <c r="AN195" s="775">
        <f>Datenbank!AM25</f>
        <v>3</v>
      </c>
      <c r="AO195" s="775">
        <f>Datenbank!AN25</f>
        <v>4</v>
      </c>
      <c r="AP195" s="775">
        <f>Datenbank!AO25</f>
        <v>4.5</v>
      </c>
      <c r="AQ195" s="775">
        <f>Datenbank!AP25</f>
        <v>5</v>
      </c>
      <c r="AR195" s="775">
        <f>Datenbank!AQ25</f>
        <v>5.3</v>
      </c>
      <c r="AS195" s="775">
        <f>Datenbank!AR25</f>
        <v>5.7</v>
      </c>
      <c r="AT195" s="775">
        <f>Datenbank!AS25</f>
        <v>6</v>
      </c>
      <c r="AU195" s="797">
        <f>Datenbank!AT25</f>
        <v>2.65</v>
      </c>
      <c r="AV195" s="775">
        <f>Datenbank!AU25</f>
        <v>2.85</v>
      </c>
      <c r="AW195" s="775">
        <f>Datenbank!AV25</f>
        <v>3</v>
      </c>
      <c r="AX195" s="775">
        <f>Datenbank!AW25</f>
        <v>3.5</v>
      </c>
      <c r="AY195" s="775">
        <f>Datenbank!AX25</f>
        <v>4.5</v>
      </c>
      <c r="AZ195" s="775">
        <f>Datenbank!AY25</f>
        <v>5</v>
      </c>
      <c r="BA195" s="775">
        <f>Datenbank!AZ25</f>
        <v>5.3</v>
      </c>
      <c r="BB195" s="775">
        <f>Datenbank!BA25</f>
        <v>5.7</v>
      </c>
      <c r="BC195" s="775">
        <f>Datenbank!BB25</f>
        <v>6</v>
      </c>
      <c r="BD195" s="797">
        <f>Datenbank!BC25</f>
        <v>2.65</v>
      </c>
      <c r="BE195" s="775">
        <f>Datenbank!BD25</f>
        <v>2.85</v>
      </c>
      <c r="BF195" s="775">
        <f>Datenbank!BE25</f>
        <v>3</v>
      </c>
      <c r="BG195" s="775">
        <f>Datenbank!BF25</f>
        <v>3.5</v>
      </c>
      <c r="BH195" s="775">
        <f>Datenbank!BG25</f>
        <v>4</v>
      </c>
      <c r="BI195" s="775">
        <f>Datenbank!BH25</f>
        <v>5</v>
      </c>
      <c r="BJ195" s="775">
        <f>Datenbank!BI25</f>
        <v>5.3</v>
      </c>
      <c r="BK195" s="775">
        <f>Datenbank!BJ25</f>
        <v>5.7</v>
      </c>
      <c r="BL195" s="775">
        <f>Datenbank!BK25</f>
        <v>6</v>
      </c>
      <c r="BM195" s="797">
        <f>Datenbank!BL25</f>
        <v>2.65</v>
      </c>
      <c r="BN195" s="775">
        <f>Datenbank!BM25</f>
        <v>2.85</v>
      </c>
      <c r="BO195" s="775">
        <f>Datenbank!BN25</f>
        <v>3</v>
      </c>
      <c r="BP195" s="775">
        <f>Datenbank!BO25</f>
        <v>3.5</v>
      </c>
      <c r="BQ195" s="775">
        <f>Datenbank!BP25</f>
        <v>4</v>
      </c>
      <c r="BR195" s="775">
        <f>Datenbank!BQ25</f>
        <v>4.5</v>
      </c>
      <c r="BS195" s="775">
        <f>Datenbank!BR25</f>
        <v>5.3</v>
      </c>
      <c r="BT195" s="775">
        <f>Datenbank!BS25</f>
        <v>5.7</v>
      </c>
      <c r="BU195" s="775">
        <f>Datenbank!BT25</f>
        <v>6</v>
      </c>
      <c r="BZ195" s="324"/>
      <c r="CB195" s="14"/>
      <c r="CC195" s="320"/>
      <c r="CD195" s="14"/>
      <c r="CE195" s="469"/>
      <c r="CF195" s="345"/>
      <c r="CG195" s="345"/>
      <c r="CH195" s="320"/>
      <c r="CI195" s="320"/>
      <c r="CJ195" s="346"/>
      <c r="CK195" s="346"/>
      <c r="CL195" s="346"/>
    </row>
    <row r="196" spans="1:90" ht="15" customHeight="1">
      <c r="A196" s="543"/>
      <c r="B196" s="543"/>
      <c r="C196" s="774" t="s">
        <v>1548</v>
      </c>
      <c r="D196" s="775">
        <f ca="1">Datenbank!C26</f>
        <v>3</v>
      </c>
      <c r="E196" s="775">
        <f ca="1">Datenbank!D26</f>
        <v>3</v>
      </c>
      <c r="F196" s="775">
        <f ca="1">Datenbank!E26</f>
        <v>3</v>
      </c>
      <c r="G196" s="775">
        <f ca="1">Datenbank!F26</f>
        <v>3.1</v>
      </c>
      <c r="H196" s="775">
        <f ca="1">Datenbank!G26</f>
        <v>3.2</v>
      </c>
      <c r="I196" s="775">
        <f ca="1">Datenbank!H26</f>
        <v>3.3000000000000003</v>
      </c>
      <c r="J196" s="775">
        <f ca="1">Datenbank!I26</f>
        <v>3.4</v>
      </c>
      <c r="K196" s="797">
        <f ca="1">Datenbank!J26</f>
        <v>3</v>
      </c>
      <c r="L196" s="775">
        <f ca="1">Datenbank!K26</f>
        <v>3</v>
      </c>
      <c r="M196" s="775">
        <f ca="1">Datenbank!L26</f>
        <v>3.1</v>
      </c>
      <c r="N196" s="775">
        <f ca="1">Datenbank!M26</f>
        <v>3.1</v>
      </c>
      <c r="O196" s="775">
        <f ca="1">Datenbank!N26</f>
        <v>3.2</v>
      </c>
      <c r="P196" s="775">
        <f ca="1">Datenbank!O26</f>
        <v>3.2</v>
      </c>
      <c r="Q196" s="775">
        <f ca="1">Datenbank!P26</f>
        <v>3.3000000000000003</v>
      </c>
      <c r="R196" s="775">
        <f ca="1">Datenbank!Q26</f>
        <v>3.3000000000000003</v>
      </c>
      <c r="S196" s="775">
        <f ca="1">Datenbank!R26</f>
        <v>3.3000000000000003</v>
      </c>
      <c r="T196" s="797">
        <f ca="1">Datenbank!S26</f>
        <v>3</v>
      </c>
      <c r="U196" s="775">
        <f ca="1">Datenbank!T26</f>
        <v>3</v>
      </c>
      <c r="V196" s="775">
        <f ca="1">Datenbank!U26</f>
        <v>3.1</v>
      </c>
      <c r="W196" s="775">
        <f ca="1">Datenbank!V26</f>
        <v>3.1</v>
      </c>
      <c r="X196" s="775">
        <f ca="1">Datenbank!W26</f>
        <v>3.2</v>
      </c>
      <c r="Y196" s="775">
        <f ca="1">Datenbank!X26</f>
        <v>3.2</v>
      </c>
      <c r="Z196" s="775">
        <f ca="1">Datenbank!Y26</f>
        <v>3.3000000000000003</v>
      </c>
      <c r="AA196" s="775">
        <f ca="1">Datenbank!Z26</f>
        <v>3.3000000000000003</v>
      </c>
      <c r="AB196" s="775">
        <f ca="1">Datenbank!AA26</f>
        <v>3.3000000000000003</v>
      </c>
      <c r="AC196" s="797">
        <f ca="1">Datenbank!AB26</f>
        <v>3</v>
      </c>
      <c r="AD196" s="775">
        <f ca="1">Datenbank!AC26</f>
        <v>3</v>
      </c>
      <c r="AE196" s="775">
        <f ca="1">Datenbank!AD26</f>
        <v>3.1</v>
      </c>
      <c r="AF196" s="775">
        <f ca="1">Datenbank!AE26</f>
        <v>3.1</v>
      </c>
      <c r="AG196" s="775">
        <f ca="1">Datenbank!AF26</f>
        <v>3.2</v>
      </c>
      <c r="AH196" s="775">
        <f ca="1">Datenbank!AG26</f>
        <v>3.2</v>
      </c>
      <c r="AI196" s="775">
        <f ca="1">Datenbank!AH26</f>
        <v>3.3000000000000003</v>
      </c>
      <c r="AJ196" s="775">
        <f ca="1">Datenbank!AI26</f>
        <v>3.3000000000000003</v>
      </c>
      <c r="AK196" s="775">
        <f ca="1">Datenbank!AJ26</f>
        <v>3.3000000000000003</v>
      </c>
      <c r="AL196" s="797">
        <f ca="1">Datenbank!AK26</f>
        <v>3</v>
      </c>
      <c r="AM196" s="775">
        <f ca="1">Datenbank!AL26</f>
        <v>3</v>
      </c>
      <c r="AN196" s="775">
        <f ca="1">Datenbank!AM26</f>
        <v>3.1</v>
      </c>
      <c r="AO196" s="775">
        <f ca="1">Datenbank!AN26</f>
        <v>3.2</v>
      </c>
      <c r="AP196" s="775">
        <f ca="1">Datenbank!AO26</f>
        <v>3.2</v>
      </c>
      <c r="AQ196" s="775">
        <f ca="1">Datenbank!AP26</f>
        <v>3.3000000000000003</v>
      </c>
      <c r="AR196" s="775">
        <f ca="1">Datenbank!AQ26</f>
        <v>3.3000000000000003</v>
      </c>
      <c r="AS196" s="775">
        <f ca="1">Datenbank!AR26</f>
        <v>3.4</v>
      </c>
      <c r="AT196" s="775">
        <f ca="1">Datenbank!AS26</f>
        <v>3.4</v>
      </c>
      <c r="AU196" s="797">
        <f ca="1">Datenbank!AT26</f>
        <v>3.1</v>
      </c>
      <c r="AV196" s="775">
        <f ca="1">Datenbank!AU26</f>
        <v>3.1</v>
      </c>
      <c r="AW196" s="775">
        <f ca="1">Datenbank!AV26</f>
        <v>3.1</v>
      </c>
      <c r="AX196" s="775">
        <f ca="1">Datenbank!AW26</f>
        <v>3.1</v>
      </c>
      <c r="AY196" s="775">
        <f ca="1">Datenbank!AX26</f>
        <v>3.3000000000000003</v>
      </c>
      <c r="AZ196" s="775">
        <f ca="1">Datenbank!AY26</f>
        <v>3.3000000000000003</v>
      </c>
      <c r="BA196" s="775">
        <f ca="1">Datenbank!AZ26</f>
        <v>3.4</v>
      </c>
      <c r="BB196" s="775">
        <f ca="1">Datenbank!BA26</f>
        <v>3.4</v>
      </c>
      <c r="BC196" s="775">
        <f ca="1">Datenbank!BB26</f>
        <v>3.5</v>
      </c>
      <c r="BD196" s="797">
        <f ca="1">Datenbank!BC26</f>
        <v>3.1</v>
      </c>
      <c r="BE196" s="775">
        <f ca="1">Datenbank!BD26</f>
        <v>3.1</v>
      </c>
      <c r="BF196" s="775">
        <f ca="1">Datenbank!BE26</f>
        <v>3.1</v>
      </c>
      <c r="BG196" s="775">
        <f ca="1">Datenbank!BF26</f>
        <v>3.2</v>
      </c>
      <c r="BH196" s="775">
        <f ca="1">Datenbank!BG26</f>
        <v>3.2</v>
      </c>
      <c r="BI196" s="775">
        <f ca="1">Datenbank!BH26</f>
        <v>3.4</v>
      </c>
      <c r="BJ196" s="775">
        <f ca="1">Datenbank!BI26</f>
        <v>3.4</v>
      </c>
      <c r="BK196" s="775">
        <f ca="1">Datenbank!BJ26</f>
        <v>3.5</v>
      </c>
      <c r="BL196" s="775">
        <f ca="1">Datenbank!BK26</f>
        <v>3.5</v>
      </c>
      <c r="BM196" s="797">
        <f ca="1">Datenbank!BL26</f>
        <v>3.2</v>
      </c>
      <c r="BN196" s="775">
        <f ca="1">Datenbank!BM26</f>
        <v>3.2</v>
      </c>
      <c r="BO196" s="775">
        <f ca="1">Datenbank!BN26</f>
        <v>3.2</v>
      </c>
      <c r="BP196" s="775">
        <f ca="1">Datenbank!BO26</f>
        <v>3.2</v>
      </c>
      <c r="BQ196" s="775">
        <f ca="1">Datenbank!BP26</f>
        <v>3.3000000000000003</v>
      </c>
      <c r="BR196" s="775">
        <f ca="1">Datenbank!BQ26</f>
        <v>3.4</v>
      </c>
      <c r="BS196" s="775">
        <f ca="1">Datenbank!BR26</f>
        <v>3.5</v>
      </c>
      <c r="BT196" s="775">
        <f ca="1">Datenbank!BS26</f>
        <v>3.5</v>
      </c>
      <c r="BU196" s="775">
        <f ca="1">Datenbank!BT26</f>
        <v>3.6</v>
      </c>
      <c r="BZ196" s="324"/>
      <c r="CB196" s="14"/>
      <c r="CC196" s="320"/>
      <c r="CD196" s="14"/>
      <c r="CE196" s="469"/>
      <c r="CF196" s="345"/>
      <c r="CG196" s="345"/>
      <c r="CH196" s="320"/>
      <c r="CI196" s="320"/>
      <c r="CJ196" s="346"/>
      <c r="CK196" s="346"/>
      <c r="CL196" s="346"/>
    </row>
    <row r="197" spans="1:90" ht="15" customHeight="1">
      <c r="A197" s="543"/>
      <c r="B197" s="543"/>
      <c r="C197" s="543"/>
      <c r="D197" s="543"/>
      <c r="E197" s="543"/>
      <c r="F197" s="543"/>
      <c r="G197" s="543"/>
      <c r="H197" s="543"/>
      <c r="I197" s="169"/>
      <c r="J197" s="169"/>
      <c r="K197" s="208"/>
      <c r="L197" s="169"/>
      <c r="M197" s="169"/>
      <c r="N197" s="169"/>
      <c r="O197" s="169"/>
      <c r="P197" s="169"/>
      <c r="Q197" s="169"/>
      <c r="R197" s="169"/>
      <c r="S197" s="169"/>
      <c r="T197" s="799"/>
      <c r="U197" s="169"/>
      <c r="V197" s="169"/>
      <c r="W197" s="169"/>
      <c r="X197" s="169"/>
      <c r="Y197" s="169"/>
      <c r="Z197" s="169"/>
      <c r="AA197" s="169"/>
      <c r="AB197" s="169"/>
      <c r="AC197" s="208"/>
      <c r="AD197" s="169"/>
      <c r="AE197" s="169"/>
      <c r="AF197" s="169"/>
      <c r="AG197" s="169"/>
      <c r="AH197" s="169"/>
      <c r="AI197" s="169"/>
      <c r="AJ197" s="169"/>
      <c r="AK197" s="169"/>
      <c r="AL197" s="208"/>
      <c r="AM197" s="169"/>
      <c r="AN197" s="169"/>
      <c r="AO197" s="169"/>
      <c r="AP197" s="169"/>
      <c r="AQ197" s="169"/>
      <c r="AR197" s="169"/>
      <c r="AS197" s="169"/>
      <c r="AT197" s="169"/>
      <c r="AU197" s="208"/>
      <c r="AV197" s="169"/>
      <c r="AW197" s="169"/>
      <c r="AX197" s="169"/>
      <c r="AY197" s="169"/>
      <c r="BD197" s="406"/>
      <c r="BK197" s="4"/>
      <c r="BM197" s="799"/>
      <c r="BZ197" s="324"/>
      <c r="CB197" s="14"/>
      <c r="CC197" s="320"/>
      <c r="CD197" s="14"/>
      <c r="CE197" s="469"/>
      <c r="CF197" s="345"/>
      <c r="CG197" s="345"/>
      <c r="CH197" s="320"/>
      <c r="CI197" s="320"/>
      <c r="CJ197" s="346"/>
      <c r="CK197" s="346"/>
      <c r="CL197" s="346"/>
    </row>
    <row r="198" spans="1:90" ht="15" customHeight="1">
      <c r="A198" s="543"/>
      <c r="B198" s="543"/>
      <c r="C198" s="407" t="s">
        <v>989</v>
      </c>
      <c r="D198" s="777">
        <f ca="1">INDEX($C$180:$N$191,MATCH(D194,$C$180:$C$191,0),MATCH(D195,$C$180:$N$180,0))</f>
        <v>5700.1403985507241</v>
      </c>
      <c r="E198" s="777">
        <f t="shared" ref="E198:BP198" ca="1" si="66">INDEX($C$180:$N$191,MATCH(E194,$C$180:$C$191,0),MATCH(E195,$C$180:$N$180,0))</f>
        <v>6608.4375000000018</v>
      </c>
      <c r="F198" s="777">
        <f t="shared" ca="1" si="66"/>
        <v>7314.130434782609</v>
      </c>
      <c r="G198" s="777">
        <f t="shared" ca="1" si="66"/>
        <v>10207.69927536232</v>
      </c>
      <c r="H198" s="777">
        <f t="shared" ca="1" si="66"/>
        <v>13617.391304347828</v>
      </c>
      <c r="I198" s="777">
        <f t="shared" ca="1" si="66"/>
        <v>17674.728260869568</v>
      </c>
      <c r="J198" s="777">
        <f t="shared" ca="1" si="66"/>
        <v>22755.434782608696</v>
      </c>
      <c r="K198" s="798">
        <f t="shared" ca="1" si="66"/>
        <v>6155.122282608696</v>
      </c>
      <c r="L198" s="777">
        <f t="shared" ca="1" si="66"/>
        <v>6479.076086956522</v>
      </c>
      <c r="M198" s="777">
        <f t="shared" ca="1" si="66"/>
        <v>7589.3568840579701</v>
      </c>
      <c r="N198" s="777">
        <f t="shared" ca="1" si="66"/>
        <v>8708.3333333333339</v>
      </c>
      <c r="O198" s="777">
        <f t="shared" ca="1" si="66"/>
        <v>9875.1358695652179</v>
      </c>
      <c r="P198" s="777">
        <f t="shared" ca="1" si="66"/>
        <v>11015.851449275364</v>
      </c>
      <c r="Q198" s="777">
        <f t="shared" ca="1" si="66"/>
        <v>11722.889492753624</v>
      </c>
      <c r="R198" s="777">
        <f t="shared" ca="1" si="66"/>
        <v>12657.201086956522</v>
      </c>
      <c r="S198" s="777">
        <f t="shared" ca="1" si="66"/>
        <v>13375.54347826087</v>
      </c>
      <c r="T198" s="798">
        <f t="shared" ca="1" si="66"/>
        <v>6121.6440217391319</v>
      </c>
      <c r="U198" s="777">
        <f t="shared" ca="1" si="66"/>
        <v>6956.2500000000027</v>
      </c>
      <c r="V198" s="777">
        <f t="shared" ca="1" si="66"/>
        <v>8146.0597826086978</v>
      </c>
      <c r="W198" s="777">
        <f t="shared" ca="1" si="66"/>
        <v>9344.5652173913059</v>
      </c>
      <c r="X198" s="777">
        <f t="shared" ca="1" si="66"/>
        <v>10590.896739130438</v>
      </c>
      <c r="Y198" s="777">
        <f t="shared" ca="1" si="66"/>
        <v>11811.14130434783</v>
      </c>
      <c r="Z198" s="777">
        <f t="shared" ca="1" si="66"/>
        <v>12565.896739130438</v>
      </c>
      <c r="AA198" s="777">
        <f t="shared" ca="1" si="66"/>
        <v>13563.831521739132</v>
      </c>
      <c r="AB198" s="777">
        <f t="shared" ca="1" si="66"/>
        <v>14329.891304347831</v>
      </c>
      <c r="AC198" s="798">
        <f t="shared" ca="1" si="66"/>
        <v>6460.8152173913059</v>
      </c>
      <c r="AD198" s="777">
        <f t="shared" ca="1" si="66"/>
        <v>6948.4239130434789</v>
      </c>
      <c r="AE198" s="777">
        <f t="shared" ca="1" si="66"/>
        <v>8563.5869565217399</v>
      </c>
      <c r="AF198" s="777">
        <f t="shared" ca="1" si="66"/>
        <v>9856.5217391304377</v>
      </c>
      <c r="AG198" s="777">
        <f t="shared" ca="1" si="66"/>
        <v>11127.717391304352</v>
      </c>
      <c r="AH198" s="777">
        <f t="shared" ca="1" si="66"/>
        <v>12407.608695652178</v>
      </c>
      <c r="AI198" s="777">
        <f t="shared" ca="1" si="66"/>
        <v>13198.152173913044</v>
      </c>
      <c r="AJ198" s="777">
        <f t="shared" ca="1" si="66"/>
        <v>14243.804347826095</v>
      </c>
      <c r="AK198" s="777">
        <f t="shared" ca="1" si="66"/>
        <v>15045.652173913044</v>
      </c>
      <c r="AL198" s="798">
        <f t="shared" ca="1" si="66"/>
        <v>7682.5996376811581</v>
      </c>
      <c r="AM198" s="777">
        <f t="shared" ca="1" si="66"/>
        <v>8262.41847826087</v>
      </c>
      <c r="AN198" s="777">
        <f t="shared" ca="1" si="66"/>
        <v>8723.3695652173919</v>
      </c>
      <c r="AO198" s="777">
        <f t="shared" ca="1" si="66"/>
        <v>11700.724637681158</v>
      </c>
      <c r="AP198" s="777">
        <f t="shared" ca="1" si="66"/>
        <v>13202.445652173914</v>
      </c>
      <c r="AQ198" s="777">
        <f t="shared" ca="1" si="66"/>
        <v>14756.340579710146</v>
      </c>
      <c r="AR198" s="777">
        <f t="shared" ca="1" si="66"/>
        <v>15687.80797101449</v>
      </c>
      <c r="AS198" s="777">
        <f t="shared" ca="1" si="66"/>
        <v>16921.358695652176</v>
      </c>
      <c r="AT198" s="777">
        <f t="shared" ca="1" si="66"/>
        <v>17864.130434782612</v>
      </c>
      <c r="AU198" s="798">
        <f t="shared" ca="1" si="66"/>
        <v>8952.3913043478278</v>
      </c>
      <c r="AV198" s="777">
        <f t="shared" ca="1" si="66"/>
        <v>9652.826086956522</v>
      </c>
      <c r="AW198" s="777">
        <f t="shared" ca="1" si="66"/>
        <v>10160.869565217394</v>
      </c>
      <c r="AX198" s="777">
        <f t="shared" ca="1" si="66"/>
        <v>11884.782608695654</v>
      </c>
      <c r="AY198" s="777">
        <f t="shared" ca="1" si="66"/>
        <v>15397.826086956524</v>
      </c>
      <c r="AZ198" s="777">
        <f t="shared" ca="1" si="66"/>
        <v>17195.652173913044</v>
      </c>
      <c r="BA198" s="777">
        <f t="shared" ca="1" si="66"/>
        <v>18273.478260869568</v>
      </c>
      <c r="BB198" s="777">
        <f t="shared" ca="1" si="66"/>
        <v>19702.17391304348</v>
      </c>
      <c r="BC198" s="777">
        <f t="shared" ca="1" si="66"/>
        <v>20791.304347826092</v>
      </c>
      <c r="BD198" s="798">
        <f t="shared" ca="1" si="66"/>
        <v>10293.233695652174</v>
      </c>
      <c r="BE198" s="777">
        <f t="shared" ca="1" si="66"/>
        <v>11070.08152173913</v>
      </c>
      <c r="BF198" s="777">
        <f t="shared" ca="1" si="66"/>
        <v>11652.717391304346</v>
      </c>
      <c r="BG198" s="777">
        <f t="shared" ca="1" si="66"/>
        <v>13655.706521739132</v>
      </c>
      <c r="BH198" s="777">
        <f t="shared" ca="1" si="66"/>
        <v>15641.304347826088</v>
      </c>
      <c r="BI198" s="777">
        <f t="shared" ca="1" si="66"/>
        <v>19682.0652173913</v>
      </c>
      <c r="BJ198" s="777">
        <f t="shared" ca="1" si="66"/>
        <v>20909.076086956524</v>
      </c>
      <c r="BK198" s="777">
        <f t="shared" ca="1" si="66"/>
        <v>22586.25</v>
      </c>
      <c r="BL198" s="777">
        <f t="shared" ca="1" si="66"/>
        <v>23827.173913043476</v>
      </c>
      <c r="BM198" s="798">
        <f t="shared" ca="1" si="66"/>
        <v>11899.076086956522</v>
      </c>
      <c r="BN198" s="777">
        <f t="shared" ca="1" si="66"/>
        <v>12821.902173913044</v>
      </c>
      <c r="BO198" s="777">
        <f t="shared" ca="1" si="66"/>
        <v>13496.739130434784</v>
      </c>
      <c r="BP198" s="777">
        <f t="shared" ca="1" si="66"/>
        <v>15776.63043478261</v>
      </c>
      <c r="BQ198" s="777">
        <f ca="1">INDEX($C$180:$N$191,MATCH(BQ194,$C$180:$C$191,0),MATCH(BQ195,$C$180:$N$180,0))</f>
        <v>18065.217391304348</v>
      </c>
      <c r="BR198" s="777">
        <f ca="1">INDEX($C$180:$N$191,MATCH(BR194,$C$180:$C$191,0),MATCH(BR195,$C$180:$N$180,0))</f>
        <v>20401.630434782604</v>
      </c>
      <c r="BS198" s="777">
        <f ca="1">INDEX($C$180:$N$191,MATCH(BS194,$C$180:$C$191,0),MATCH(BS195,$C$180:$N$180,0))</f>
        <v>24166.847826086952</v>
      </c>
      <c r="BT198" s="777">
        <f ca="1">INDEX($C$180:$N$191,MATCH(BT194,$C$180:$C$191,0),MATCH(BT195,$C$180:$N$180,0))</f>
        <v>26040.326086956524</v>
      </c>
      <c r="BU198" s="777">
        <f ca="1">INDEX($C$180:$N$191,MATCH(BU194,$C$180:$C$191,0),MATCH(BU195,$C$180:$N$180,0))</f>
        <v>27515.217391304352</v>
      </c>
      <c r="BZ198" s="324"/>
      <c r="CB198" s="14"/>
      <c r="CC198" s="320"/>
      <c r="CD198" s="14"/>
      <c r="CE198" s="469"/>
      <c r="CF198" s="345"/>
      <c r="CG198" s="345"/>
      <c r="CH198" s="320"/>
      <c r="CI198" s="320"/>
      <c r="CJ198" s="346"/>
      <c r="CK198" s="346"/>
      <c r="CL198" s="346"/>
    </row>
    <row r="199" spans="1:90" ht="15" customHeight="1">
      <c r="A199" s="543"/>
      <c r="B199" s="543"/>
      <c r="C199" s="498" t="s">
        <v>991</v>
      </c>
      <c r="D199" s="777">
        <f ca="1">INDEX('kc x h²-Wert für Stützen'!$A:$A,MATCH('Hilfstabellen_Mat&amp;Bem'!D198,'kc x h²-Wert für Stützen'!S:S,1)+1)</f>
        <v>115</v>
      </c>
      <c r="E199" s="777">
        <f ca="1">INDEX('kc x h²-Wert für Stützen'!$A:$A,MATCH('Hilfstabellen_Mat&amp;Bem'!E198,'kc x h²-Wert für Stützen'!T:T,1)+1)</f>
        <v>119</v>
      </c>
      <c r="F199" s="777">
        <f ca="1">INDEX('kc x h²-Wert für Stützen'!$A:$A,MATCH('Hilfstabellen_Mat&amp;Bem'!F198,'kc x h²-Wert für Stützen'!U:U,1)+1)</f>
        <v>123</v>
      </c>
      <c r="G199" s="777">
        <f ca="1">INDEX('kc x h²-Wert für Stützen'!$A:$A,MATCH('Hilfstabellen_Mat&amp;Bem'!G198,'kc x h²-Wert für Stützen'!V:V,1)+1)</f>
        <v>136</v>
      </c>
      <c r="H199" s="777">
        <f ca="1">INDEX('kc x h²-Wert für Stützen'!$A:$A,MATCH('Hilfstabellen_Mat&amp;Bem'!H198,'kc x h²-Wert für Stützen'!W:W,1)+1)</f>
        <v>150</v>
      </c>
      <c r="I199" s="777">
        <f ca="1">INDEX('kc x h²-Wert für Stützen'!$A:$A,MATCH('Hilfstabellen_Mat&amp;Bem'!I198,'kc x h²-Wert für Stützen'!X:X,1)+1)</f>
        <v>163</v>
      </c>
      <c r="J199" s="777">
        <f ca="1">INDEX('kc x h²-Wert für Stützen'!$A:$A,MATCH('Hilfstabellen_Mat&amp;Bem'!J198,'kc x h²-Wert für Stützen'!Y:Y,1)+1)</f>
        <v>178</v>
      </c>
      <c r="K199" s="798">
        <f ca="1">INDEX('kc x h²-Wert für Stützen'!$A:$A,MATCH('Hilfstabellen_Mat&amp;Bem'!K198,'kc x h²-Wert für Stützen'!Z:Z,1)+1)</f>
        <v>117</v>
      </c>
      <c r="L199" s="777">
        <f ca="1">INDEX('kc x h²-Wert für Stützen'!$A:$A,MATCH('Hilfstabellen_Mat&amp;Bem'!L198,'kc x h²-Wert für Stützen'!AA:AA,1)+1)</f>
        <v>119</v>
      </c>
      <c r="M199" s="777">
        <f ca="1">INDEX('kc x h²-Wert für Stützen'!$A:$A,MATCH('Hilfstabellen_Mat&amp;Bem'!M198,'kc x h²-Wert für Stützen'!AB:AB,1)+1)</f>
        <v>126</v>
      </c>
      <c r="N199" s="777">
        <f ca="1">INDEX('kc x h²-Wert für Stützen'!$A:$A,MATCH('Hilfstabellen_Mat&amp;Bem'!N198,'kc x h²-Wert für Stützen'!AC:AC,1)+1)</f>
        <v>130</v>
      </c>
      <c r="O199" s="777">
        <f ca="1">INDEX('kc x h²-Wert für Stützen'!$A:$A,MATCH('Hilfstabellen_Mat&amp;Bem'!O198,'kc x h²-Wert für Stützen'!AD:AD,1)+1)</f>
        <v>137</v>
      </c>
      <c r="P199" s="777">
        <f ca="1">INDEX('kc x h²-Wert für Stützen'!$A:$A,MATCH('Hilfstabellen_Mat&amp;Bem'!P198,'kc x h²-Wert für Stützen'!AE:AE,1)+1)</f>
        <v>141</v>
      </c>
      <c r="Q199" s="777">
        <f ca="1">INDEX('kc x h²-Wert für Stützen'!$A:$A,MATCH('Hilfstabellen_Mat&amp;Bem'!Q198,'kc x h²-Wert für Stützen'!AF:AF,1)+1)</f>
        <v>145</v>
      </c>
      <c r="R199" s="777">
        <f ca="1">INDEX('kc x h²-Wert für Stützen'!$A:$A,MATCH('Hilfstabellen_Mat&amp;Bem'!R198,'kc x h²-Wert für Stützen'!AG:AG,1)+1)</f>
        <v>149</v>
      </c>
      <c r="S199" s="777">
        <f ca="1">INDEX('kc x h²-Wert für Stützen'!$A:$A,MATCH('Hilfstabellen_Mat&amp;Bem'!S198,'kc x h²-Wert für Stützen'!AH:AH,1)+1)</f>
        <v>151</v>
      </c>
      <c r="T199" s="798">
        <f ca="1">INDEX('kc x h²-Wert für Stützen'!$A:$A,MATCH('Hilfstabellen_Mat&amp;Bem'!T198,'kc x h²-Wert für Stützen'!AI:AI,1)+1)</f>
        <v>117</v>
      </c>
      <c r="U199" s="777">
        <f ca="1">INDEX('kc x h²-Wert für Stützen'!$A:$A,MATCH('Hilfstabellen_Mat&amp;Bem'!U198,'kc x h²-Wert für Stützen'!AJ:AJ,1)+1)</f>
        <v>121</v>
      </c>
      <c r="V199" s="777">
        <f ca="1">INDEX('kc x h²-Wert für Stützen'!$A:$A,MATCH('Hilfstabellen_Mat&amp;Bem'!V198,'kc x h²-Wert für Stützen'!AK:AK,1)+1)</f>
        <v>128</v>
      </c>
      <c r="W199" s="777">
        <f ca="1">INDEX('kc x h²-Wert für Stützen'!$A:$A,MATCH('Hilfstabellen_Mat&amp;Bem'!W198,'kc x h²-Wert für Stützen'!AL:AL,1)+1)</f>
        <v>133</v>
      </c>
      <c r="X199" s="777">
        <f ca="1">INDEX('kc x h²-Wert für Stützen'!$A:$A,MATCH('Hilfstabellen_Mat&amp;Bem'!X198,'kc x h²-Wert für Stützen'!AM:AM,1)+1)</f>
        <v>140</v>
      </c>
      <c r="Y199" s="777">
        <f ca="1">INDEX('kc x h²-Wert für Stützen'!$A:$A,MATCH('Hilfstabellen_Mat&amp;Bem'!Y198,'kc x h²-Wert für Stützen'!AN:AN,1)+1)</f>
        <v>144</v>
      </c>
      <c r="Z199" s="777">
        <f ca="1">INDEX('kc x h²-Wert für Stützen'!$A:$A,MATCH('Hilfstabellen_Mat&amp;Bem'!Z198,'kc x h²-Wert für Stützen'!AO:AO,1)+1)</f>
        <v>148</v>
      </c>
      <c r="AA199" s="777">
        <f ca="1">INDEX('kc x h²-Wert für Stützen'!$A:$A,MATCH('Hilfstabellen_Mat&amp;Bem'!AA198,'kc x h²-Wert für Stützen'!AP:AP,1)+1)</f>
        <v>151</v>
      </c>
      <c r="AB199" s="777">
        <f ca="1">INDEX('kc x h²-Wert für Stützen'!$A:$A,MATCH('Hilfstabellen_Mat&amp;Bem'!AB198,'kc x h²-Wert für Stützen'!AQ:AQ,1)+1)</f>
        <v>154</v>
      </c>
      <c r="AC199" s="798">
        <f ca="1">INDEX('kc x h²-Wert für Stützen'!$A:$A,MATCH('Hilfstabellen_Mat&amp;Bem'!AC198,'kc x h²-Wert für Stützen'!AR:AR,1)+1)</f>
        <v>119</v>
      </c>
      <c r="AD199" s="777">
        <f ca="1">INDEX('kc x h²-Wert für Stützen'!$A:$A,MATCH('Hilfstabellen_Mat&amp;Bem'!AD198,'kc x h²-Wert für Stützen'!AS:AS,1)+1)</f>
        <v>121</v>
      </c>
      <c r="AE199" s="777">
        <f ca="1">INDEX('kc x h²-Wert für Stützen'!$A:$A,MATCH('Hilfstabellen_Mat&amp;Bem'!AE198,'kc x h²-Wert für Stützen'!AT:AT,1)+1)</f>
        <v>130</v>
      </c>
      <c r="AF199" s="777">
        <f ca="1">INDEX('kc x h²-Wert für Stützen'!$A:$A,MATCH('Hilfstabellen_Mat&amp;Bem'!AF198,'kc x h²-Wert für Stützen'!AU:AU,1)+1)</f>
        <v>135</v>
      </c>
      <c r="AG199" s="777">
        <f ca="1">INDEX('kc x h²-Wert für Stützen'!$A:$A,MATCH('Hilfstabellen_Mat&amp;Bem'!AG198,'kc x h²-Wert für Stützen'!AV:AV,1)+1)</f>
        <v>141</v>
      </c>
      <c r="AH199" s="777">
        <f ca="1">INDEX('kc x h²-Wert für Stützen'!$A:$A,MATCH('Hilfstabellen_Mat&amp;Bem'!AH198,'kc x h²-Wert für Stützen'!AW:AW,1)+1)</f>
        <v>146</v>
      </c>
      <c r="AI199" s="777">
        <f ca="1">INDEX('kc x h²-Wert für Stützen'!$A:$A,MATCH('Hilfstabellen_Mat&amp;Bem'!AI198,'kc x h²-Wert für Stützen'!AX:AX,1)+1)</f>
        <v>150</v>
      </c>
      <c r="AJ199" s="777">
        <f ca="1">INDEX('kc x h²-Wert für Stützen'!$A:$A,MATCH('Hilfstabellen_Mat&amp;Bem'!AJ198,'kc x h²-Wert für Stützen'!AY:AY,1)+1)</f>
        <v>153</v>
      </c>
      <c r="AK199" s="777">
        <f ca="1">INDEX('kc x h²-Wert für Stützen'!$A:$A,MATCH('Hilfstabellen_Mat&amp;Bem'!AK198,'kc x h²-Wert für Stützen'!AZ:AZ,1)+1)</f>
        <v>156</v>
      </c>
      <c r="AL199" s="798">
        <f ca="1">INDEX('kc x h²-Wert für Stützen'!$A:$A,MATCH('Hilfstabellen_Mat&amp;Bem'!AL198,'kc x h²-Wert für Stützen'!BA:BA,1)+1)</f>
        <v>124</v>
      </c>
      <c r="AM199" s="777">
        <f ca="1">INDEX('kc x h²-Wert für Stützen'!$A:$A,MATCH('Hilfstabellen_Mat&amp;Bem'!AM198,'kc x h²-Wert für Stützen'!BB:BB,1)+1)</f>
        <v>127</v>
      </c>
      <c r="AN199" s="777">
        <f ca="1">INDEX('kc x h²-Wert für Stützen'!$A:$A,MATCH('Hilfstabellen_Mat&amp;Bem'!AN198,'kc x h²-Wert für Stützen'!BC:BC,1)+1)</f>
        <v>131</v>
      </c>
      <c r="AO199" s="777">
        <f ca="1">INDEX('kc x h²-Wert für Stützen'!$A:$A,MATCH('Hilfstabellen_Mat&amp;Bem'!AO198,'kc x h²-Wert für Stützen'!BD:BD,1)+1)</f>
        <v>143</v>
      </c>
      <c r="AP199" s="777">
        <f ca="1">INDEX('kc x h²-Wert für Stützen'!$A:$A,MATCH('Hilfstabellen_Mat&amp;Bem'!AP198,'kc x h²-Wert für Stützen'!BE:BE,1)+1)</f>
        <v>148</v>
      </c>
      <c r="AQ199" s="777">
        <f ca="1">INDEX('kc x h²-Wert für Stützen'!$A:$A,MATCH('Hilfstabellen_Mat&amp;Bem'!AQ198,'kc x h²-Wert für Stützen'!BF:BF,1)+1)</f>
        <v>155</v>
      </c>
      <c r="AR199" s="777">
        <f ca="1">INDEX('kc x h²-Wert für Stützen'!$A:$A,MATCH('Hilfstabellen_Mat&amp;Bem'!AR198,'kc x h²-Wert für Stützen'!BG:BG,1)+1)</f>
        <v>158</v>
      </c>
      <c r="AS199" s="777">
        <f ca="1">INDEX('kc x h²-Wert für Stützen'!$A:$A,MATCH('Hilfstabellen_Mat&amp;Bem'!AS198,'kc x h²-Wert für Stützen'!BH:BH,1)+1)</f>
        <v>163</v>
      </c>
      <c r="AT199" s="777">
        <f ca="1">INDEX('kc x h²-Wert für Stützen'!$A:$A,MATCH('Hilfstabellen_Mat&amp;Bem'!AT198,'kc x h²-Wert für Stützen'!BI:BI,1)+1)</f>
        <v>166</v>
      </c>
      <c r="AU199" s="798">
        <f ca="1">INDEX('kc x h²-Wert für Stützen'!$A:$A,MATCH('Hilfstabellen_Mat&amp;Bem'!AU198,'kc x h²-Wert für Stützen'!BJ:BJ,1)+1)</f>
        <v>131</v>
      </c>
      <c r="AV199" s="777">
        <f ca="1">INDEX('kc x h²-Wert für Stützen'!$A:$A,MATCH('Hilfstabellen_Mat&amp;Bem'!AV198,'kc x h²-Wert für Stützen'!BK:BK,1)+1)</f>
        <v>134</v>
      </c>
      <c r="AW199" s="777">
        <f ca="1">INDEX('kc x h²-Wert für Stützen'!$A:$A,MATCH('Hilfstabellen_Mat&amp;Bem'!AW198,'kc x h²-Wert für Stützen'!BL:BL,1)+1)</f>
        <v>136</v>
      </c>
      <c r="AX199" s="777">
        <f ca="1">INDEX('kc x h²-Wert für Stützen'!$A:$A,MATCH('Hilfstabellen_Mat&amp;Bem'!AX198,'kc x h²-Wert für Stützen'!BM:BM,1)+1)</f>
        <v>142</v>
      </c>
      <c r="AY199" s="777">
        <f ca="1">INDEX('kc x h²-Wert für Stützen'!$A:$A,MATCH('Hilfstabellen_Mat&amp;Bem'!AY198,'kc x h²-Wert für Stützen'!BN:BN,1)+1)</f>
        <v>157</v>
      </c>
      <c r="AZ199" s="777">
        <f ca="1">INDEX('kc x h²-Wert für Stützen'!$A:$A,MATCH('Hilfstabellen_Mat&amp;Bem'!AZ198,'kc x h²-Wert für Stützen'!BO:BO,1)+1)</f>
        <v>162</v>
      </c>
      <c r="BA199" s="777">
        <f ca="1">INDEX('kc x h²-Wert für Stützen'!$A:$A,MATCH('Hilfstabellen_Mat&amp;Bem'!BA198,'kc x h²-Wert für Stützen'!BP:BP,1)+1)</f>
        <v>167</v>
      </c>
      <c r="BB199" s="777">
        <f ca="1">INDEX('kc x h²-Wert für Stützen'!$A:$A,MATCH('Hilfstabellen_Mat&amp;Bem'!BB198,'kc x h²-Wert für Stützen'!BQ:BQ,1)+1)</f>
        <v>171</v>
      </c>
      <c r="BC199" s="777">
        <f ca="1">INDEX('kc x h²-Wert für Stützen'!$A:$A,MATCH('Hilfstabellen_Mat&amp;Bem'!BC198,'kc x h²-Wert für Stützen'!BR:BR,1)+1)</f>
        <v>175</v>
      </c>
      <c r="BD199" s="798">
        <f ca="1">INDEX('kc x h²-Wert für Stützen'!$A:$A,MATCH('Hilfstabellen_Mat&amp;Bem'!BD198,'kc x h²-Wert für Stützen'!BS:BS,1)+1)</f>
        <v>136</v>
      </c>
      <c r="BE199" s="777">
        <f ca="1">INDEX('kc x h²-Wert für Stützen'!$A:$A,MATCH('Hilfstabellen_Mat&amp;Bem'!BE198,'kc x h²-Wert für Stützen'!BT:BT,1)+1)</f>
        <v>139</v>
      </c>
      <c r="BF199" s="777">
        <f ca="1">INDEX('kc x h²-Wert für Stützen'!$A:$A,MATCH('Hilfstabellen_Mat&amp;Bem'!BF198,'kc x h²-Wert für Stützen'!BU:BU,1)+1)</f>
        <v>141</v>
      </c>
      <c r="BG199" s="777">
        <f ca="1">INDEX('kc x h²-Wert für Stützen'!$A:$A,MATCH('Hilfstabellen_Mat&amp;Bem'!BG198,'kc x h²-Wert für Stützen'!BV:BV,1)+1)</f>
        <v>150</v>
      </c>
      <c r="BH199" s="777">
        <f ca="1">INDEX('kc x h²-Wert für Stützen'!$A:$A,MATCH('Hilfstabellen_Mat&amp;Bem'!BH198,'kc x h²-Wert für Stützen'!BW:BW,1)+1)</f>
        <v>155</v>
      </c>
      <c r="BI199" s="777">
        <f ca="1">INDEX('kc x h²-Wert für Stützen'!$A:$A,MATCH('Hilfstabellen_Mat&amp;Bem'!BI198,'kc x h²-Wert für Stützen'!BX:BX,1)+1)</f>
        <v>170</v>
      </c>
      <c r="BJ199" s="777">
        <f ca="1">INDEX('kc x h²-Wert für Stützen'!$A:$A,MATCH('Hilfstabellen_Mat&amp;Bem'!BJ198,'kc x h²-Wert für Stützen'!BY:BY,1)+1)</f>
        <v>174</v>
      </c>
      <c r="BK199" s="777">
        <f ca="1">INDEX('kc x h²-Wert für Stützen'!$A:$A,MATCH('Hilfstabellen_Mat&amp;Bem'!BK198,'kc x h²-Wert für Stützen'!BZ:BZ,1)+1)</f>
        <v>180</v>
      </c>
      <c r="BL199" s="777">
        <f ca="1">INDEX('kc x h²-Wert für Stützen'!$A:$A,MATCH('Hilfstabellen_Mat&amp;Bem'!BL198,'kc x h²-Wert für Stützen'!CA:CA,1)+1)</f>
        <v>183</v>
      </c>
      <c r="BM199" s="798">
        <f ca="1">INDEX('kc x h²-Wert für Stützen'!$A:$A,MATCH('Hilfstabellen_Mat&amp;Bem'!BM198,'kc x h²-Wert für Stützen'!CB:CB,1)+1)</f>
        <v>144</v>
      </c>
      <c r="BN199" s="777">
        <f ca="1">INDEX('kc x h²-Wert für Stützen'!$A:$A,MATCH('Hilfstabellen_Mat&amp;Bem'!BN198,'kc x h²-Wert für Stützen'!CC:CC,1)+1)</f>
        <v>147</v>
      </c>
      <c r="BO199" s="777">
        <f ca="1">INDEX('kc x h²-Wert für Stützen'!$A:$A,MATCH('Hilfstabellen_Mat&amp;Bem'!BO198,'kc x h²-Wert für Stützen'!CD:CD,1)+1)</f>
        <v>149</v>
      </c>
      <c r="BP199" s="777">
        <f ca="1">INDEX('kc x h²-Wert für Stützen'!$A:$A,MATCH('Hilfstabellen_Mat&amp;Bem'!BP198,'kc x h²-Wert für Stützen'!CE:CE,1)+1)</f>
        <v>156</v>
      </c>
      <c r="BQ199" s="777">
        <f ca="1">INDEX('kc x h²-Wert für Stützen'!$A:$A,MATCH('Hilfstabellen_Mat&amp;Bem'!BQ198,'kc x h²-Wert für Stützen'!CF:CF,1)+1)</f>
        <v>164</v>
      </c>
      <c r="BR199" s="777">
        <f ca="1">INDEX('kc x h²-Wert für Stützen'!$A:$A,MATCH('Hilfstabellen_Mat&amp;Bem'!BR198,'kc x h²-Wert für Stützen'!CG:CG,1)+1)</f>
        <v>172</v>
      </c>
      <c r="BS199" s="777">
        <f ca="1">INDEX('kc x h²-Wert für Stützen'!$A:$A,MATCH('Hilfstabellen_Mat&amp;Bem'!BS198,'kc x h²-Wert für Stützen'!CH:CH,1)+1)</f>
        <v>183</v>
      </c>
      <c r="BT199" s="777">
        <f ca="1">INDEX('kc x h²-Wert für Stützen'!$A:$A,MATCH('Hilfstabellen_Mat&amp;Bem'!BT198,'kc x h²-Wert für Stützen'!CI:CI,1)+1)</f>
        <v>188</v>
      </c>
      <c r="BU199" s="777">
        <f ca="1">INDEX('kc x h²-Wert für Stützen'!$A:$A,MATCH('Hilfstabellen_Mat&amp;Bem'!BU198,'kc x h²-Wert für Stützen'!CJ:CJ,1)+1)</f>
        <v>193</v>
      </c>
      <c r="BZ199" s="324"/>
      <c r="CB199" s="14"/>
      <c r="CC199" s="320"/>
      <c r="CD199" s="14"/>
      <c r="CE199" s="469"/>
      <c r="CF199" s="345"/>
      <c r="CG199" s="345"/>
      <c r="CH199" s="320"/>
      <c r="CI199" s="320"/>
      <c r="CJ199" s="346"/>
      <c r="CK199" s="346"/>
      <c r="CL199" s="346"/>
    </row>
    <row r="200" spans="1:90" ht="15" customHeight="1">
      <c r="A200" s="543"/>
      <c r="B200" s="543"/>
      <c r="C200" s="498" t="s">
        <v>1553</v>
      </c>
      <c r="D200" s="777">
        <f t="shared" ref="D200:AI200" ca="1" si="67">ROUNDUP((IF(brand_ST=0,D199,(D199+2*d_char_ST)))/RUWE_ST,0)*RUWE_ST</f>
        <v>240</v>
      </c>
      <c r="E200" s="777">
        <f t="shared" ca="1" si="67"/>
        <v>240</v>
      </c>
      <c r="F200" s="777">
        <f t="shared" ca="1" si="67"/>
        <v>240</v>
      </c>
      <c r="G200" s="777">
        <f t="shared" ca="1" si="67"/>
        <v>240</v>
      </c>
      <c r="H200" s="777">
        <f t="shared" ca="1" si="67"/>
        <v>280</v>
      </c>
      <c r="I200" s="777">
        <f t="shared" ca="1" si="67"/>
        <v>280</v>
      </c>
      <c r="J200" s="777">
        <f t="shared" ca="1" si="67"/>
        <v>280</v>
      </c>
      <c r="K200" s="798">
        <f t="shared" ca="1" si="67"/>
        <v>240</v>
      </c>
      <c r="L200" s="777">
        <f t="shared" ca="1" si="67"/>
        <v>240</v>
      </c>
      <c r="M200" s="777">
        <f t="shared" ca="1" si="67"/>
        <v>240</v>
      </c>
      <c r="N200" s="777">
        <f t="shared" ca="1" si="67"/>
        <v>240</v>
      </c>
      <c r="O200" s="777">
        <f t="shared" ca="1" si="67"/>
        <v>240</v>
      </c>
      <c r="P200" s="777">
        <f t="shared" ca="1" si="67"/>
        <v>240</v>
      </c>
      <c r="Q200" s="777">
        <f t="shared" ca="1" si="67"/>
        <v>280</v>
      </c>
      <c r="R200" s="777">
        <f t="shared" ca="1" si="67"/>
        <v>280</v>
      </c>
      <c r="S200" s="777">
        <f t="shared" ca="1" si="67"/>
        <v>280</v>
      </c>
      <c r="T200" s="798">
        <f t="shared" ca="1" si="67"/>
        <v>240</v>
      </c>
      <c r="U200" s="777">
        <f t="shared" ca="1" si="67"/>
        <v>240</v>
      </c>
      <c r="V200" s="777">
        <f t="shared" ca="1" si="67"/>
        <v>240</v>
      </c>
      <c r="W200" s="777">
        <f t="shared" ca="1" si="67"/>
        <v>240</v>
      </c>
      <c r="X200" s="777">
        <f t="shared" ca="1" si="67"/>
        <v>240</v>
      </c>
      <c r="Y200" s="777">
        <f t="shared" ca="1" si="67"/>
        <v>280</v>
      </c>
      <c r="Z200" s="777">
        <f t="shared" ca="1" si="67"/>
        <v>280</v>
      </c>
      <c r="AA200" s="777">
        <f t="shared" ca="1" si="67"/>
        <v>280</v>
      </c>
      <c r="AB200" s="777">
        <f t="shared" ca="1" si="67"/>
        <v>280</v>
      </c>
      <c r="AC200" s="798">
        <f t="shared" ca="1" si="67"/>
        <v>240</v>
      </c>
      <c r="AD200" s="777">
        <f t="shared" ca="1" si="67"/>
        <v>240</v>
      </c>
      <c r="AE200" s="777">
        <f t="shared" ca="1" si="67"/>
        <v>240</v>
      </c>
      <c r="AF200" s="777">
        <f t="shared" ca="1" si="67"/>
        <v>240</v>
      </c>
      <c r="AG200" s="777">
        <f t="shared" ca="1" si="67"/>
        <v>240</v>
      </c>
      <c r="AH200" s="777">
        <f t="shared" ca="1" si="67"/>
        <v>280</v>
      </c>
      <c r="AI200" s="777">
        <f t="shared" ca="1" si="67"/>
        <v>280</v>
      </c>
      <c r="AJ200" s="777">
        <f t="shared" ref="AJ200:BO200" ca="1" si="68">ROUNDUP((IF(brand_ST=0,AJ199,(AJ199+2*d_char_ST)))/RUWE_ST,0)*RUWE_ST</f>
        <v>280</v>
      </c>
      <c r="AK200" s="777">
        <f t="shared" ca="1" si="68"/>
        <v>280</v>
      </c>
      <c r="AL200" s="798">
        <f t="shared" ca="1" si="68"/>
        <v>240</v>
      </c>
      <c r="AM200" s="777">
        <f t="shared" ca="1" si="68"/>
        <v>240</v>
      </c>
      <c r="AN200" s="777">
        <f t="shared" ca="1" si="68"/>
        <v>240</v>
      </c>
      <c r="AO200" s="777">
        <f t="shared" ca="1" si="68"/>
        <v>280</v>
      </c>
      <c r="AP200" s="777">
        <f t="shared" ca="1" si="68"/>
        <v>280</v>
      </c>
      <c r="AQ200" s="777">
        <f t="shared" ca="1" si="68"/>
        <v>280</v>
      </c>
      <c r="AR200" s="777">
        <f t="shared" ca="1" si="68"/>
        <v>280</v>
      </c>
      <c r="AS200" s="777">
        <f t="shared" ca="1" si="68"/>
        <v>280</v>
      </c>
      <c r="AT200" s="777">
        <f t="shared" ca="1" si="68"/>
        <v>280</v>
      </c>
      <c r="AU200" s="798">
        <f t="shared" ca="1" si="68"/>
        <v>240</v>
      </c>
      <c r="AV200" s="777">
        <f t="shared" ca="1" si="68"/>
        <v>240</v>
      </c>
      <c r="AW200" s="777">
        <f t="shared" ca="1" si="68"/>
        <v>240</v>
      </c>
      <c r="AX200" s="777">
        <f t="shared" ca="1" si="68"/>
        <v>240</v>
      </c>
      <c r="AY200" s="777">
        <f t="shared" ca="1" si="68"/>
        <v>280</v>
      </c>
      <c r="AZ200" s="777">
        <f t="shared" ca="1" si="68"/>
        <v>280</v>
      </c>
      <c r="BA200" s="777">
        <f t="shared" ca="1" si="68"/>
        <v>280</v>
      </c>
      <c r="BB200" s="777">
        <f t="shared" ca="1" si="68"/>
        <v>280</v>
      </c>
      <c r="BC200" s="777">
        <f t="shared" ca="1" si="68"/>
        <v>280</v>
      </c>
      <c r="BD200" s="798">
        <f t="shared" ca="1" si="68"/>
        <v>240</v>
      </c>
      <c r="BE200" s="777">
        <f t="shared" ca="1" si="68"/>
        <v>240</v>
      </c>
      <c r="BF200" s="777">
        <f t="shared" ca="1" si="68"/>
        <v>240</v>
      </c>
      <c r="BG200" s="777">
        <f t="shared" ca="1" si="68"/>
        <v>280</v>
      </c>
      <c r="BH200" s="777">
        <f t="shared" ca="1" si="68"/>
        <v>280</v>
      </c>
      <c r="BI200" s="777">
        <f t="shared" ca="1" si="68"/>
        <v>280</v>
      </c>
      <c r="BJ200" s="777">
        <f t="shared" ca="1" si="68"/>
        <v>280</v>
      </c>
      <c r="BK200" s="777">
        <f t="shared" ca="1" si="68"/>
        <v>280</v>
      </c>
      <c r="BL200" s="777">
        <f t="shared" ca="1" si="68"/>
        <v>320</v>
      </c>
      <c r="BM200" s="798">
        <f t="shared" ca="1" si="68"/>
        <v>280</v>
      </c>
      <c r="BN200" s="777">
        <f t="shared" ca="1" si="68"/>
        <v>280</v>
      </c>
      <c r="BO200" s="777">
        <f t="shared" ca="1" si="68"/>
        <v>280</v>
      </c>
      <c r="BP200" s="777">
        <f t="shared" ref="BP200:BU200" ca="1" si="69">ROUNDUP((IF(brand_ST=0,BP199,(BP199+2*d_char_ST)))/RUWE_ST,0)*RUWE_ST</f>
        <v>280</v>
      </c>
      <c r="BQ200" s="777">
        <f t="shared" ca="1" si="69"/>
        <v>280</v>
      </c>
      <c r="BR200" s="777">
        <f t="shared" ca="1" si="69"/>
        <v>280</v>
      </c>
      <c r="BS200" s="777">
        <f t="shared" ca="1" si="69"/>
        <v>320</v>
      </c>
      <c r="BT200" s="777">
        <f t="shared" ca="1" si="69"/>
        <v>320</v>
      </c>
      <c r="BU200" s="777">
        <f t="shared" ca="1" si="69"/>
        <v>320</v>
      </c>
      <c r="BZ200" s="324"/>
      <c r="CB200" s="14"/>
      <c r="CC200" s="320"/>
      <c r="CD200" s="14"/>
      <c r="CE200" s="469"/>
      <c r="CF200" s="345"/>
      <c r="CG200" s="345"/>
      <c r="CH200" s="320"/>
      <c r="CI200" s="320"/>
      <c r="CJ200" s="346"/>
      <c r="CK200" s="346"/>
      <c r="CL200" s="346"/>
    </row>
    <row r="201" spans="1:90" ht="15" customHeight="1">
      <c r="A201" s="169"/>
      <c r="B201" s="169"/>
      <c r="C201" s="169"/>
      <c r="D201" s="169"/>
      <c r="E201" s="169"/>
      <c r="F201" s="169"/>
      <c r="G201" s="169"/>
      <c r="H201" s="169"/>
      <c r="I201" s="169"/>
      <c r="J201" s="169"/>
      <c r="K201" s="169"/>
      <c r="L201" s="169"/>
      <c r="M201" s="169"/>
      <c r="N201" s="169"/>
      <c r="O201" s="169"/>
      <c r="P201" s="169"/>
      <c r="Q201" s="169"/>
      <c r="R201" s="169"/>
      <c r="S201" s="169"/>
      <c r="T201" s="169"/>
      <c r="U201" s="169"/>
      <c r="V201" s="169"/>
      <c r="W201" s="169"/>
      <c r="X201" s="169"/>
      <c r="Y201" s="169"/>
      <c r="Z201" s="169"/>
      <c r="AA201" s="169"/>
      <c r="AB201" s="169"/>
      <c r="AC201" s="169"/>
      <c r="AD201" s="169"/>
      <c r="AE201" s="169"/>
      <c r="AF201" s="169"/>
      <c r="AG201" s="169"/>
      <c r="AH201" s="169"/>
      <c r="AI201" s="169"/>
      <c r="AJ201" s="169"/>
      <c r="AK201" s="169"/>
      <c r="AL201" s="169"/>
      <c r="AM201" s="169"/>
      <c r="AN201" s="169"/>
      <c r="AO201" s="169"/>
      <c r="AP201" s="169"/>
      <c r="AQ201" s="169"/>
      <c r="AR201" s="169"/>
      <c r="AS201" s="169"/>
      <c r="AT201" s="169"/>
      <c r="AU201" s="169"/>
      <c r="AV201" s="169"/>
      <c r="AW201" s="169"/>
      <c r="AX201" s="169"/>
      <c r="AY201" s="169"/>
      <c r="BK201" s="4"/>
      <c r="BZ201" s="324"/>
      <c r="CB201" s="14"/>
      <c r="CC201" s="320"/>
      <c r="CD201" s="14"/>
      <c r="CE201" s="469"/>
      <c r="CF201" s="345"/>
      <c r="CG201" s="345"/>
      <c r="CH201" s="320"/>
      <c r="CI201" s="320"/>
      <c r="CJ201" s="346"/>
      <c r="CK201" s="346"/>
      <c r="CL201" s="346"/>
    </row>
    <row r="202" spans="1:90" ht="15" customHeight="1">
      <c r="A202" s="169"/>
      <c r="B202" s="169"/>
      <c r="C202" s="169"/>
      <c r="D202" s="169"/>
      <c r="E202" s="169"/>
      <c r="F202" s="169"/>
      <c r="G202" s="169"/>
      <c r="H202" s="169"/>
      <c r="I202" s="169"/>
      <c r="J202" s="169"/>
      <c r="K202" s="169"/>
      <c r="L202" s="169"/>
      <c r="M202" s="169"/>
      <c r="N202" s="169"/>
      <c r="O202" s="169"/>
      <c r="P202" s="169"/>
      <c r="Q202" s="169"/>
      <c r="R202" s="169"/>
      <c r="S202" s="169"/>
      <c r="T202" s="169"/>
      <c r="U202" s="169"/>
      <c r="V202" s="169"/>
      <c r="W202" s="169"/>
      <c r="X202" s="169"/>
      <c r="Y202" s="169"/>
      <c r="Z202" s="169"/>
      <c r="AA202" s="169"/>
      <c r="AB202" s="169"/>
      <c r="AC202" s="169"/>
      <c r="AD202" s="169"/>
      <c r="AE202" s="169"/>
      <c r="AF202" s="169"/>
      <c r="AG202" s="169"/>
      <c r="AH202" s="169"/>
      <c r="AI202" s="169"/>
      <c r="AJ202" s="169"/>
      <c r="AK202" s="169"/>
      <c r="AL202" s="169"/>
      <c r="AM202" s="169"/>
      <c r="AN202" s="169"/>
      <c r="AO202" s="169"/>
      <c r="AP202" s="169"/>
      <c r="AQ202" s="169"/>
      <c r="AR202" s="169"/>
      <c r="AS202" s="169"/>
      <c r="AT202" s="169"/>
      <c r="AU202" s="169"/>
      <c r="AV202" s="169"/>
      <c r="AW202" s="169"/>
      <c r="AX202" s="169"/>
      <c r="AY202" s="169"/>
      <c r="BK202" s="4"/>
      <c r="BZ202" s="324"/>
      <c r="CB202" s="14"/>
      <c r="CC202" s="320"/>
      <c r="CD202" s="14"/>
      <c r="CE202" s="469"/>
      <c r="CF202" s="345"/>
      <c r="CG202" s="345"/>
      <c r="CH202" s="320"/>
      <c r="CI202" s="320"/>
      <c r="CJ202" s="346"/>
      <c r="CK202" s="346"/>
      <c r="CL202" s="346"/>
    </row>
    <row r="203" spans="1:90" ht="15" customHeight="1">
      <c r="A203" s="169"/>
      <c r="B203" s="169"/>
      <c r="C203" s="169"/>
      <c r="D203" s="169"/>
      <c r="E203" s="169"/>
      <c r="F203" s="169"/>
      <c r="G203" s="169"/>
      <c r="H203" s="169"/>
      <c r="I203" s="169"/>
      <c r="J203" s="169"/>
      <c r="K203" s="169"/>
      <c r="L203" s="169"/>
      <c r="M203" s="169"/>
      <c r="N203" s="169"/>
      <c r="O203" s="169"/>
      <c r="P203" s="169"/>
      <c r="Q203" s="169"/>
      <c r="R203" s="169"/>
      <c r="S203" s="169"/>
      <c r="T203" s="169"/>
      <c r="U203" s="169"/>
      <c r="V203" s="169"/>
      <c r="W203" s="169"/>
      <c r="X203" s="169"/>
      <c r="Y203" s="169"/>
      <c r="Z203" s="169"/>
      <c r="AA203" s="169"/>
      <c r="AB203" s="169"/>
      <c r="AC203" s="169"/>
      <c r="AD203" s="169"/>
      <c r="AE203" s="169"/>
      <c r="AF203" s="169"/>
      <c r="AG203" s="169"/>
      <c r="AH203" s="169"/>
      <c r="AI203" s="169"/>
      <c r="AJ203" s="169"/>
      <c r="AK203" s="169"/>
      <c r="AL203" s="169"/>
      <c r="AM203" s="169"/>
      <c r="AN203" s="169"/>
      <c r="AO203" s="169"/>
      <c r="AP203" s="169"/>
      <c r="AQ203" s="169"/>
      <c r="AR203" s="169"/>
      <c r="AS203" s="169"/>
      <c r="AT203" s="169"/>
      <c r="AU203" s="169"/>
      <c r="AV203" s="169"/>
      <c r="AW203" s="169"/>
      <c r="AX203" s="169"/>
      <c r="AY203" s="169"/>
      <c r="BK203" s="4"/>
      <c r="BZ203" s="324"/>
      <c r="CB203" s="14"/>
      <c r="CC203" s="320"/>
      <c r="CD203" s="14"/>
      <c r="CE203" s="469"/>
      <c r="CF203" s="345"/>
      <c r="CG203" s="345"/>
      <c r="CH203" s="320"/>
      <c r="CI203" s="320"/>
      <c r="CJ203" s="346"/>
      <c r="CK203" s="346"/>
      <c r="CL203" s="346"/>
    </row>
    <row r="204" spans="1:90" ht="15" customHeight="1">
      <c r="A204" s="169"/>
      <c r="B204" s="169"/>
      <c r="C204" s="169"/>
      <c r="D204" s="169"/>
      <c r="E204" s="169"/>
      <c r="F204" s="169"/>
      <c r="G204" s="169"/>
      <c r="H204" s="169"/>
      <c r="I204" s="169"/>
      <c r="J204" s="169"/>
      <c r="K204" s="169"/>
      <c r="L204" s="169"/>
      <c r="M204" s="169"/>
      <c r="N204" s="169"/>
      <c r="O204" s="169"/>
      <c r="P204" s="169"/>
      <c r="Q204" s="169"/>
      <c r="R204" s="169"/>
      <c r="S204" s="169"/>
      <c r="T204" s="169"/>
      <c r="U204" s="169"/>
      <c r="V204" s="169"/>
      <c r="W204" s="169"/>
      <c r="X204" s="169"/>
      <c r="Y204" s="169"/>
      <c r="Z204" s="169"/>
      <c r="AA204" s="169"/>
      <c r="AB204" s="169"/>
      <c r="AC204" s="169"/>
      <c r="AD204" s="169"/>
      <c r="AE204" s="169"/>
      <c r="AF204" s="169"/>
      <c r="AG204" s="169"/>
      <c r="AH204" s="169"/>
      <c r="AI204" s="169"/>
      <c r="AJ204" s="169"/>
      <c r="AK204" s="169"/>
      <c r="AL204" s="169"/>
      <c r="AM204" s="169"/>
      <c r="AN204" s="169"/>
      <c r="AO204" s="169"/>
      <c r="AP204" s="169"/>
      <c r="AQ204" s="169"/>
      <c r="AR204" s="169"/>
      <c r="AS204" s="169"/>
      <c r="AT204" s="169"/>
      <c r="AU204" s="169"/>
      <c r="AV204" s="169"/>
      <c r="AW204" s="169"/>
      <c r="AX204" s="169"/>
      <c r="AY204" s="169"/>
      <c r="BK204" s="4"/>
      <c r="BZ204" s="324"/>
      <c r="CB204" s="14"/>
      <c r="CC204" s="320"/>
      <c r="CD204" s="14"/>
      <c r="CE204" s="469"/>
      <c r="CF204" s="345"/>
      <c r="CG204" s="345"/>
      <c r="CH204" s="320"/>
      <c r="CI204" s="320"/>
      <c r="CJ204" s="346"/>
      <c r="CK204" s="346"/>
      <c r="CL204" s="346"/>
    </row>
    <row r="205" spans="1:90" ht="15" customHeight="1">
      <c r="A205" s="169"/>
      <c r="B205" s="169"/>
      <c r="C205" s="169"/>
      <c r="D205" s="169"/>
      <c r="E205" s="169"/>
      <c r="F205" s="169"/>
      <c r="G205" s="169"/>
      <c r="H205" s="169"/>
      <c r="I205" s="169"/>
      <c r="J205" s="169"/>
      <c r="K205" s="169"/>
      <c r="L205" s="169"/>
      <c r="M205" s="169"/>
      <c r="N205" s="169"/>
      <c r="O205" s="169"/>
      <c r="P205" s="169"/>
      <c r="Q205" s="169"/>
      <c r="R205" s="169"/>
      <c r="S205" s="169"/>
      <c r="T205" s="169"/>
      <c r="U205" s="169"/>
      <c r="V205" s="169"/>
      <c r="W205" s="169"/>
      <c r="X205" s="169"/>
      <c r="Y205" s="169"/>
      <c r="Z205" s="169"/>
      <c r="AA205" s="169"/>
      <c r="AB205" s="169"/>
      <c r="AC205" s="169"/>
      <c r="AD205" s="169"/>
      <c r="AE205" s="169"/>
      <c r="AF205" s="169"/>
      <c r="AG205" s="169"/>
      <c r="AH205" s="169"/>
      <c r="AI205" s="169"/>
      <c r="AJ205" s="169"/>
      <c r="AK205" s="169"/>
      <c r="AL205" s="169"/>
      <c r="AM205" s="169"/>
      <c r="AN205" s="169"/>
      <c r="AO205" s="169"/>
      <c r="AP205" s="169"/>
      <c r="AQ205" s="169"/>
      <c r="AR205" s="169"/>
      <c r="AS205" s="169"/>
      <c r="AT205" s="169"/>
      <c r="AU205" s="169"/>
      <c r="AV205" s="169"/>
      <c r="AW205" s="169"/>
      <c r="AX205" s="169"/>
      <c r="AY205" s="169"/>
      <c r="BK205" s="4"/>
      <c r="BZ205" s="324"/>
      <c r="CB205" s="14"/>
      <c r="CC205" s="320"/>
      <c r="CD205" s="14"/>
      <c r="CE205" s="469"/>
      <c r="CF205" s="345"/>
      <c r="CG205" s="345"/>
      <c r="CH205" s="320"/>
      <c r="CI205" s="320"/>
      <c r="CJ205" s="346"/>
      <c r="CK205" s="346"/>
      <c r="CL205" s="346"/>
    </row>
    <row r="206" spans="1:90" ht="15" customHeight="1">
      <c r="A206" s="169"/>
      <c r="B206" s="169"/>
      <c r="C206" s="169"/>
      <c r="D206" s="169"/>
      <c r="E206" s="169"/>
      <c r="F206" s="169"/>
      <c r="G206" s="169"/>
      <c r="H206" s="169"/>
      <c r="I206" s="169"/>
      <c r="J206" s="169"/>
      <c r="K206" s="169"/>
      <c r="L206" s="169"/>
      <c r="M206" s="169"/>
      <c r="N206" s="169"/>
      <c r="O206" s="169"/>
      <c r="P206" s="169"/>
      <c r="Q206" s="169"/>
      <c r="R206" s="169"/>
      <c r="S206" s="169"/>
      <c r="T206" s="169"/>
      <c r="U206" s="169"/>
      <c r="V206" s="169"/>
      <c r="W206" s="169"/>
      <c r="X206" s="169"/>
      <c r="Y206" s="169"/>
      <c r="Z206" s="169"/>
      <c r="AA206" s="169"/>
      <c r="AB206" s="169"/>
      <c r="AC206" s="169"/>
      <c r="AD206" s="169"/>
      <c r="AE206" s="169"/>
      <c r="AF206" s="169"/>
      <c r="AG206" s="169"/>
      <c r="AH206" s="169"/>
      <c r="AI206" s="169"/>
      <c r="AJ206" s="169"/>
      <c r="AK206" s="169"/>
      <c r="AL206" s="169"/>
      <c r="AM206" s="169"/>
      <c r="AN206" s="169"/>
      <c r="AO206" s="169"/>
      <c r="AP206" s="169"/>
      <c r="AQ206" s="169"/>
      <c r="AR206" s="169"/>
      <c r="AS206" s="169"/>
      <c r="AT206" s="169"/>
      <c r="AU206" s="169"/>
      <c r="AV206" s="169"/>
      <c r="AW206" s="169"/>
      <c r="AX206" s="169"/>
      <c r="AY206" s="169"/>
      <c r="BK206" s="4"/>
      <c r="BZ206" s="324"/>
      <c r="CB206" s="14"/>
      <c r="CC206" s="320"/>
      <c r="CD206" s="14"/>
      <c r="CE206" s="469"/>
      <c r="CF206" s="345"/>
      <c r="CG206" s="345"/>
      <c r="CH206" s="320"/>
      <c r="CI206" s="320"/>
      <c r="CJ206" s="346"/>
      <c r="CK206" s="346"/>
      <c r="CL206" s="346"/>
    </row>
    <row r="207" spans="1:90" ht="15" customHeight="1">
      <c r="A207" s="169"/>
      <c r="B207" s="169"/>
      <c r="C207" s="169"/>
      <c r="D207" s="169"/>
      <c r="E207" s="169"/>
      <c r="F207" s="169"/>
      <c r="G207" s="169"/>
      <c r="H207" s="169"/>
      <c r="I207" s="169"/>
      <c r="J207" s="169"/>
      <c r="K207" s="169"/>
      <c r="L207" s="169"/>
      <c r="M207" s="169"/>
      <c r="N207" s="169"/>
      <c r="O207" s="169"/>
      <c r="P207" s="169"/>
      <c r="Q207" s="169"/>
      <c r="R207" s="169"/>
      <c r="S207" s="169"/>
      <c r="T207" s="169"/>
      <c r="U207" s="169"/>
      <c r="V207" s="169"/>
      <c r="W207" s="169"/>
      <c r="X207" s="169"/>
      <c r="Y207" s="169"/>
      <c r="Z207" s="169"/>
      <c r="AA207" s="169"/>
      <c r="AB207" s="169"/>
      <c r="AC207" s="169"/>
      <c r="AD207" s="169"/>
      <c r="AE207" s="169"/>
      <c r="AF207" s="169"/>
      <c r="AG207" s="169"/>
      <c r="AH207" s="169"/>
      <c r="AI207" s="169"/>
      <c r="AJ207" s="169"/>
      <c r="AK207" s="169"/>
      <c r="AL207" s="169"/>
      <c r="AM207" s="169"/>
      <c r="AN207" s="169"/>
      <c r="AO207" s="169"/>
      <c r="AP207" s="169"/>
      <c r="AQ207" s="169"/>
      <c r="AR207" s="169"/>
      <c r="AS207" s="169"/>
      <c r="AT207" s="169"/>
      <c r="AU207" s="169"/>
      <c r="AV207" s="169"/>
      <c r="AW207" s="169"/>
      <c r="AX207" s="169"/>
      <c r="AY207" s="169"/>
      <c r="BK207" s="4"/>
      <c r="BZ207" s="324"/>
      <c r="CB207" s="14"/>
      <c r="CC207" s="320"/>
      <c r="CD207" s="14"/>
      <c r="CE207" s="469"/>
      <c r="CF207" s="345"/>
      <c r="CG207" s="345"/>
      <c r="CH207" s="320"/>
      <c r="CI207" s="320"/>
      <c r="CJ207" s="346"/>
      <c r="CK207" s="346"/>
      <c r="CL207" s="346"/>
    </row>
    <row r="208" spans="1:90" ht="15" customHeight="1">
      <c r="A208" s="417"/>
      <c r="B208" s="417"/>
      <c r="C208" s="417"/>
      <c r="D208" s="417"/>
      <c r="E208" s="464"/>
      <c r="F208" s="417"/>
      <c r="G208" s="417"/>
      <c r="H208" s="417"/>
      <c r="I208" s="416"/>
      <c r="J208" s="416"/>
      <c r="K208" s="416"/>
      <c r="L208" s="416"/>
      <c r="M208" s="416"/>
      <c r="N208" s="416"/>
      <c r="O208" s="416"/>
      <c r="P208" s="416"/>
      <c r="Q208" s="416"/>
      <c r="R208" s="416"/>
      <c r="S208" s="416"/>
      <c r="T208" s="416"/>
      <c r="U208" s="416"/>
      <c r="V208" s="416"/>
      <c r="W208" s="416"/>
      <c r="X208" s="416"/>
      <c r="Y208" s="416"/>
      <c r="Z208" s="416"/>
      <c r="AA208" s="416"/>
      <c r="AB208" s="416"/>
      <c r="AC208" s="416"/>
      <c r="AD208" s="416"/>
      <c r="AE208" s="416"/>
      <c r="AF208" s="416"/>
      <c r="AG208" s="416"/>
      <c r="AH208" s="418"/>
      <c r="AI208" s="416"/>
      <c r="AJ208" s="416"/>
      <c r="AK208" s="416"/>
      <c r="AL208" s="416"/>
      <c r="AM208" s="416"/>
      <c r="AN208" s="402"/>
      <c r="AO208" s="402"/>
      <c r="AP208" s="402"/>
      <c r="AQ208" s="402"/>
      <c r="AR208" s="402"/>
      <c r="AS208" s="402"/>
      <c r="AT208" s="402"/>
      <c r="AU208" s="402"/>
      <c r="AV208" s="402"/>
      <c r="AW208" s="402"/>
      <c r="AX208" s="402"/>
      <c r="AY208" s="169"/>
      <c r="BK208" s="4"/>
      <c r="BZ208" s="324" t="str">
        <f>ALPHA_DEUT!Y180</f>
        <v>OSB/4</v>
      </c>
      <c r="CB208" s="14" t="str">
        <f>ALPHA_DEUT!Y169</f>
        <v>F-Sperrholz 400 +</v>
      </c>
      <c r="CC208" s="320">
        <f>ALPHA_DEUT!Z169</f>
        <v>169</v>
      </c>
      <c r="CD208" s="14" t="str">
        <f>ALPHA_DEUT!AA169</f>
        <v>Nadel - Furniersperrholz</v>
      </c>
      <c r="CE208" s="469">
        <v>3</v>
      </c>
      <c r="CF208" s="345"/>
      <c r="CG208" s="345"/>
      <c r="CH208" s="320">
        <f t="shared" ref="CH208:CH221" si="70">VALUE(CC208&amp;MATCH($CH$6,CE208:CG208,1))</f>
        <v>1691</v>
      </c>
      <c r="CI208" s="320">
        <f t="shared" ref="CI208:CI221" si="71">VALUE(CC208&amp;MATCH($CI$6,CE208:CG208,1))</f>
        <v>1691</v>
      </c>
      <c r="CJ208" s="346">
        <f t="shared" ref="CJ208:CJ221" si="72">VALUE(CC208&amp;MATCH($CJ$6,CE208:CG208,1))</f>
        <v>1691</v>
      </c>
      <c r="CK208" s="346">
        <f t="shared" ref="CK208:CK221" si="73">VALUE(CC208&amp;MATCH($CK$6,CE208:CG208,1))</f>
        <v>1691</v>
      </c>
      <c r="CL208" s="346">
        <f t="shared" ref="CL208:CL221" si="74">VALUE(CC208&amp;MATCH($CL$6,CE208:CG208,1))</f>
        <v>1691</v>
      </c>
    </row>
    <row r="209" spans="1:90" ht="15" customHeight="1">
      <c r="A209" s="417"/>
      <c r="B209" s="417"/>
      <c r="C209" s="417"/>
      <c r="D209" s="417"/>
      <c r="E209" s="464"/>
      <c r="F209" s="417"/>
      <c r="G209" s="417"/>
      <c r="H209" s="417"/>
      <c r="I209" s="416"/>
      <c r="J209" s="416"/>
      <c r="K209" s="416"/>
      <c r="L209" s="416"/>
      <c r="M209" s="416"/>
      <c r="N209" s="416"/>
      <c r="O209" s="416"/>
      <c r="P209" s="416"/>
      <c r="Q209" s="416"/>
      <c r="R209" s="416"/>
      <c r="S209" s="416"/>
      <c r="T209" s="416"/>
      <c r="U209" s="416"/>
      <c r="V209" s="416"/>
      <c r="W209" s="416"/>
      <c r="X209" s="416"/>
      <c r="Y209" s="416"/>
      <c r="Z209" s="416"/>
      <c r="AA209" s="416"/>
      <c r="AB209" s="416"/>
      <c r="AC209" s="416"/>
      <c r="AD209" s="416"/>
      <c r="AE209" s="416"/>
      <c r="AF209" s="416"/>
      <c r="AG209" s="416"/>
      <c r="AH209" s="418"/>
      <c r="AI209" s="416"/>
      <c r="AJ209" s="416"/>
      <c r="AK209" s="416"/>
      <c r="AL209" s="416"/>
      <c r="AM209" s="416"/>
      <c r="AN209" s="169"/>
      <c r="AO209" s="169"/>
      <c r="AP209" s="169"/>
      <c r="AQ209" s="169"/>
      <c r="AR209" s="169"/>
      <c r="AS209" s="169"/>
      <c r="AT209" s="169"/>
      <c r="AU209" s="169"/>
      <c r="AV209" s="169"/>
      <c r="AW209" s="169"/>
      <c r="AX209" s="169"/>
      <c r="AY209" s="169"/>
      <c r="BK209" s="4"/>
      <c r="BZ209" s="324" t="str">
        <f>ALPHA_DEUT!Y181</f>
        <v>GFP - Fermacell</v>
      </c>
      <c r="CB209" s="14" t="str">
        <f>ALPHA_DEUT!Y170</f>
        <v xml:space="preserve">F-Sperrholz </v>
      </c>
      <c r="CC209" s="320">
        <f>ALPHA_DEUT!Z170</f>
        <v>170</v>
      </c>
      <c r="CD209" s="14" t="str">
        <f>ALPHA_DEUT!AA170</f>
        <v>Nadel - Furniersperrholz</v>
      </c>
      <c r="CE209" s="469">
        <v>3</v>
      </c>
      <c r="CF209" s="345"/>
      <c r="CG209" s="345"/>
      <c r="CH209" s="320">
        <f t="shared" si="70"/>
        <v>1701</v>
      </c>
      <c r="CI209" s="320">
        <f t="shared" si="71"/>
        <v>1701</v>
      </c>
      <c r="CJ209" s="346">
        <f t="shared" si="72"/>
        <v>1701</v>
      </c>
      <c r="CK209" s="346">
        <f t="shared" si="73"/>
        <v>1701</v>
      </c>
      <c r="CL209" s="346">
        <f t="shared" si="74"/>
        <v>1701</v>
      </c>
    </row>
    <row r="210" spans="1:90" ht="15" customHeight="1">
      <c r="A210" s="208"/>
      <c r="B210" s="169"/>
      <c r="C210" s="169"/>
      <c r="D210" s="169"/>
      <c r="E210" s="169"/>
      <c r="F210" s="169"/>
      <c r="G210" s="169"/>
      <c r="H210" s="169"/>
      <c r="I210" s="169"/>
      <c r="J210" s="169"/>
      <c r="K210" s="169"/>
      <c r="L210" s="169"/>
      <c r="M210" s="169"/>
      <c r="N210" s="169"/>
      <c r="O210" s="169"/>
      <c r="P210" s="169"/>
      <c r="Q210" s="169"/>
      <c r="R210" s="169"/>
      <c r="S210" s="169"/>
      <c r="T210" s="169"/>
      <c r="U210" s="169"/>
      <c r="V210" s="169"/>
      <c r="W210" s="169"/>
      <c r="X210" s="169"/>
      <c r="Y210" s="169"/>
      <c r="Z210" s="1498" t="s">
        <v>141</v>
      </c>
      <c r="AA210" s="1498"/>
      <c r="AB210" s="1498"/>
      <c r="AC210" s="1498"/>
      <c r="AD210" s="1498"/>
      <c r="AH210" s="407" t="s">
        <v>460</v>
      </c>
      <c r="AI210" s="1496" t="e">
        <f>INDEX(#REF!,MATCH(AC14,#REF!,0))</f>
        <v>#REF!</v>
      </c>
      <c r="AJ210" s="1496"/>
      <c r="AK210" s="169"/>
      <c r="AL210" s="169"/>
      <c r="AM210" s="169"/>
      <c r="AN210" s="169"/>
      <c r="AO210" s="169"/>
      <c r="AP210" s="169"/>
      <c r="AQ210" s="169"/>
      <c r="AR210" s="169"/>
      <c r="AS210" s="169"/>
      <c r="AT210" s="169"/>
      <c r="AU210" s="169"/>
      <c r="AV210" s="169"/>
      <c r="AW210" s="169"/>
      <c r="AX210" s="169"/>
      <c r="AY210" s="169"/>
      <c r="BK210" s="4"/>
      <c r="BZ210" s="324" t="str">
        <f>ALPHA_DEUT!Y182</f>
        <v>GFP - Knauf</v>
      </c>
      <c r="CB210" s="14" t="str">
        <f>ALPHA_DEUT!Y171</f>
        <v xml:space="preserve">F-Sperrholz </v>
      </c>
      <c r="CC210" s="320">
        <f>ALPHA_DEUT!Z171</f>
        <v>171</v>
      </c>
      <c r="CD210" s="14" t="str">
        <f>ALPHA_DEUT!AA171</f>
        <v>Nadel - Furniersperrholz</v>
      </c>
      <c r="CE210" s="469">
        <v>3</v>
      </c>
      <c r="CF210" s="345"/>
      <c r="CG210" s="345"/>
      <c r="CH210" s="320">
        <f t="shared" si="70"/>
        <v>1711</v>
      </c>
      <c r="CI210" s="320">
        <f t="shared" si="71"/>
        <v>1711</v>
      </c>
      <c r="CJ210" s="346">
        <f t="shared" si="72"/>
        <v>1711</v>
      </c>
      <c r="CK210" s="346">
        <f t="shared" si="73"/>
        <v>1711</v>
      </c>
      <c r="CL210" s="346">
        <f t="shared" si="74"/>
        <v>1711</v>
      </c>
    </row>
    <row r="211" spans="1:90" ht="15" customHeight="1">
      <c r="A211" s="208"/>
      <c r="B211" s="169"/>
      <c r="C211" s="169"/>
      <c r="D211" s="169"/>
      <c r="E211" s="169"/>
      <c r="F211" s="169"/>
      <c r="G211" s="169"/>
      <c r="H211" s="169"/>
      <c r="I211" s="169"/>
      <c r="J211" s="169"/>
      <c r="K211" s="169"/>
      <c r="L211" s="169"/>
      <c r="M211" s="169"/>
      <c r="N211" s="169"/>
      <c r="O211" s="169"/>
      <c r="P211" s="169"/>
      <c r="Q211" s="169"/>
      <c r="R211" s="169"/>
      <c r="S211" s="169"/>
      <c r="T211" s="169"/>
      <c r="U211" s="169"/>
      <c r="V211" s="169"/>
      <c r="W211" s="169"/>
      <c r="X211" s="169"/>
      <c r="Y211" s="169"/>
      <c r="Z211" s="1498" t="s">
        <v>158</v>
      </c>
      <c r="AA211" s="1498"/>
      <c r="AB211" s="1498"/>
      <c r="AC211" s="1498"/>
      <c r="AD211" s="1498"/>
      <c r="AH211" s="407" t="s">
        <v>461</v>
      </c>
      <c r="AI211" s="1496" t="e">
        <f>IF(NOT(#REF!="sehr kurz"),1,INDEX(#REF!,MATCH(Z210,#REF!,0)))</f>
        <v>#REF!</v>
      </c>
      <c r="AJ211" s="1496"/>
      <c r="AK211" s="169"/>
      <c r="AL211" s="169"/>
      <c r="AM211" s="169"/>
      <c r="AN211" s="169"/>
      <c r="AO211" s="169"/>
      <c r="AP211" s="169"/>
      <c r="AQ211" s="169"/>
      <c r="AR211" s="169"/>
      <c r="AS211" s="169"/>
      <c r="AT211" s="169"/>
      <c r="AU211" s="169"/>
      <c r="AV211" s="169"/>
      <c r="AW211" s="169"/>
      <c r="AX211" s="169"/>
      <c r="AY211" s="169"/>
      <c r="CB211" s="14" t="str">
        <f>ALPHA_DEUT!Y172</f>
        <v xml:space="preserve">F-Sperrholz </v>
      </c>
      <c r="CC211" s="320">
        <f>ALPHA_DEUT!Z172</f>
        <v>172</v>
      </c>
      <c r="CD211" s="14" t="str">
        <f>ALPHA_DEUT!AA172</f>
        <v>Nadel - Furniersperrholz</v>
      </c>
      <c r="CE211" s="469">
        <v>3</v>
      </c>
      <c r="CF211" s="345"/>
      <c r="CG211" s="345"/>
      <c r="CH211" s="320">
        <f t="shared" si="70"/>
        <v>1721</v>
      </c>
      <c r="CI211" s="320">
        <f t="shared" si="71"/>
        <v>1721</v>
      </c>
      <c r="CJ211" s="346">
        <f t="shared" si="72"/>
        <v>1721</v>
      </c>
      <c r="CK211" s="346">
        <f t="shared" si="73"/>
        <v>1721</v>
      </c>
      <c r="CL211" s="346">
        <f t="shared" si="74"/>
        <v>1721</v>
      </c>
    </row>
    <row r="212" spans="1:90" ht="15" customHeight="1">
      <c r="A212" s="208"/>
      <c r="B212" s="169"/>
      <c r="C212" s="169"/>
      <c r="D212" s="169"/>
      <c r="E212" s="169"/>
      <c r="F212" s="169"/>
      <c r="G212" s="169"/>
      <c r="H212" s="169"/>
      <c r="I212" s="169"/>
      <c r="J212" s="169"/>
      <c r="K212" s="169"/>
      <c r="L212" s="169"/>
      <c r="M212" s="169"/>
      <c r="N212" s="169"/>
      <c r="O212" s="169"/>
      <c r="P212" s="169"/>
      <c r="Q212" s="169"/>
      <c r="R212" s="169"/>
      <c r="S212" s="169"/>
      <c r="T212" s="169"/>
      <c r="U212" s="169"/>
      <c r="V212" s="169"/>
      <c r="W212" s="169"/>
      <c r="X212" s="169"/>
      <c r="Y212" s="169"/>
      <c r="AI212" s="347"/>
      <c r="AJ212" s="347"/>
      <c r="AK212" s="169"/>
      <c r="AL212" s="169"/>
      <c r="AM212" s="169"/>
      <c r="AN212" s="169"/>
      <c r="AO212" s="169"/>
      <c r="AP212" s="169"/>
      <c r="AQ212" s="169"/>
      <c r="AR212" s="169"/>
      <c r="AS212" s="169"/>
      <c r="AT212" s="169"/>
      <c r="AU212" s="169"/>
      <c r="AV212" s="169"/>
      <c r="AW212" s="169"/>
      <c r="AX212" s="169"/>
      <c r="AY212" s="169"/>
      <c r="CB212" s="14" t="str">
        <f>ALPHA_DEUT!Y173</f>
        <v>F-Sperrholz 600 +</v>
      </c>
      <c r="CC212" s="320">
        <f>ALPHA_DEUT!Z173</f>
        <v>173</v>
      </c>
      <c r="CD212" s="14" t="str">
        <f>ALPHA_DEUT!AA173</f>
        <v>Laub - Furniersperrholz</v>
      </c>
      <c r="CE212" s="469">
        <v>3</v>
      </c>
      <c r="CF212" s="345"/>
      <c r="CG212" s="345"/>
      <c r="CH212" s="320">
        <f t="shared" si="70"/>
        <v>1731</v>
      </c>
      <c r="CI212" s="320">
        <f t="shared" si="71"/>
        <v>1731</v>
      </c>
      <c r="CJ212" s="346">
        <f t="shared" si="72"/>
        <v>1731</v>
      </c>
      <c r="CK212" s="346">
        <f t="shared" si="73"/>
        <v>1731</v>
      </c>
      <c r="CL212" s="346">
        <f t="shared" si="74"/>
        <v>1731</v>
      </c>
    </row>
    <row r="213" spans="1:90" ht="15" customHeight="1">
      <c r="A213" s="405" t="s">
        <v>652</v>
      </c>
      <c r="K213" s="169"/>
      <c r="L213" s="169"/>
      <c r="M213" s="169"/>
      <c r="N213" s="169"/>
      <c r="O213" s="169"/>
      <c r="P213" s="169"/>
      <c r="Q213" s="169"/>
      <c r="R213" s="169"/>
      <c r="S213" s="169"/>
      <c r="T213" s="169"/>
      <c r="U213" s="169"/>
      <c r="V213" s="169"/>
      <c r="W213" s="169"/>
      <c r="X213" s="169"/>
      <c r="Y213" s="169"/>
      <c r="AI213" s="347"/>
      <c r="AJ213" s="347"/>
      <c r="AK213" s="169"/>
      <c r="AL213" s="169"/>
      <c r="AM213" s="169"/>
      <c r="AN213" s="169"/>
      <c r="AO213" s="169"/>
      <c r="AP213" s="169"/>
      <c r="AQ213" s="169"/>
      <c r="AR213" s="169"/>
      <c r="AS213" s="169"/>
      <c r="AT213" s="169"/>
      <c r="AU213" s="169"/>
      <c r="AV213" s="169"/>
      <c r="AW213" s="169"/>
      <c r="AX213" s="169"/>
      <c r="AY213" s="169"/>
      <c r="CB213" s="14" t="str">
        <f>ALPHA_DEUT!Y174</f>
        <v xml:space="preserve">F-Sperrholz </v>
      </c>
      <c r="CC213" s="320">
        <f>ALPHA_DEUT!Z174</f>
        <v>174</v>
      </c>
      <c r="CD213" s="14" t="str">
        <f>ALPHA_DEUT!AA174</f>
        <v>Laub - Furniersperrholz</v>
      </c>
      <c r="CE213" s="469">
        <v>3</v>
      </c>
      <c r="CF213" s="345"/>
      <c r="CG213" s="345"/>
      <c r="CH213" s="320">
        <f t="shared" si="70"/>
        <v>1741</v>
      </c>
      <c r="CI213" s="320">
        <f t="shared" si="71"/>
        <v>1741</v>
      </c>
      <c r="CJ213" s="346">
        <f t="shared" si="72"/>
        <v>1741</v>
      </c>
      <c r="CK213" s="346">
        <f t="shared" si="73"/>
        <v>1741</v>
      </c>
      <c r="CL213" s="346">
        <f t="shared" si="74"/>
        <v>1741</v>
      </c>
    </row>
    <row r="214" spans="1:90" ht="15" customHeight="1">
      <c r="A214" s="409" t="s">
        <v>518</v>
      </c>
      <c r="K214" s="169"/>
      <c r="L214" s="169"/>
      <c r="M214" s="169"/>
      <c r="N214" s="169"/>
      <c r="O214" s="169"/>
      <c r="P214" s="169"/>
      <c r="Q214" s="169"/>
      <c r="R214" s="169"/>
      <c r="S214" s="169"/>
      <c r="T214" s="169"/>
      <c r="U214" s="169"/>
      <c r="V214" s="169"/>
      <c r="W214" s="169"/>
      <c r="X214" s="169"/>
      <c r="Y214" s="169"/>
      <c r="Z214" s="408" t="s">
        <v>628</v>
      </c>
      <c r="AA214" s="169"/>
      <c r="AB214" s="169"/>
      <c r="AC214" s="169"/>
      <c r="AD214" s="169"/>
      <c r="AE214" s="169"/>
      <c r="AF214" s="169"/>
      <c r="AG214" s="169"/>
      <c r="AH214" s="169"/>
      <c r="AI214" s="169"/>
      <c r="AJ214" s="169"/>
      <c r="AK214" s="169"/>
      <c r="AL214" s="169"/>
      <c r="AM214" s="169"/>
      <c r="AN214" s="169"/>
      <c r="AO214" s="169"/>
      <c r="AP214" s="169"/>
      <c r="AQ214" s="169"/>
      <c r="AR214" s="169"/>
      <c r="AS214" s="169"/>
      <c r="AT214" s="169"/>
      <c r="AU214" s="169"/>
      <c r="AV214" s="169"/>
      <c r="AW214" s="169"/>
      <c r="AX214" s="169"/>
      <c r="AY214" s="169"/>
      <c r="CB214" s="14" t="str">
        <f>ALPHA_DEUT!Y175</f>
        <v xml:space="preserve">F-Sperrholz </v>
      </c>
      <c r="CC214" s="320">
        <f>ALPHA_DEUT!Z175</f>
        <v>175</v>
      </c>
      <c r="CD214" s="14" t="str">
        <f>ALPHA_DEUT!AA175</f>
        <v>Laub - Furniersperrholz</v>
      </c>
      <c r="CE214" s="469">
        <v>3</v>
      </c>
      <c r="CF214" s="345"/>
      <c r="CG214" s="345"/>
      <c r="CH214" s="320">
        <f t="shared" si="70"/>
        <v>1751</v>
      </c>
      <c r="CI214" s="320">
        <f t="shared" si="71"/>
        <v>1751</v>
      </c>
      <c r="CJ214" s="346">
        <f t="shared" si="72"/>
        <v>1751</v>
      </c>
      <c r="CK214" s="346">
        <f t="shared" si="73"/>
        <v>1751</v>
      </c>
      <c r="CL214" s="346">
        <f t="shared" si="74"/>
        <v>1751</v>
      </c>
    </row>
    <row r="215" spans="1:90" ht="15" customHeight="1">
      <c r="A215" s="1499" t="s">
        <v>3</v>
      </c>
      <c r="B215" s="1500"/>
      <c r="C215" s="1500"/>
      <c r="D215" s="1500"/>
      <c r="E215" s="1500"/>
      <c r="F215" s="347"/>
      <c r="G215" s="347"/>
      <c r="H215" s="347"/>
      <c r="I215" s="169" t="s">
        <v>47</v>
      </c>
      <c r="J215" s="169"/>
      <c r="K215" s="169"/>
      <c r="L215" s="169"/>
      <c r="M215" s="169"/>
      <c r="N215" s="169"/>
      <c r="O215" s="169"/>
      <c r="P215" s="169"/>
      <c r="Q215" s="169"/>
      <c r="R215" s="169"/>
      <c r="S215" s="169"/>
      <c r="T215" s="169"/>
      <c r="U215" s="93"/>
      <c r="V215" s="407" t="s">
        <v>314</v>
      </c>
      <c r="W215" s="1496" t="e">
        <f>BU10</f>
        <v>#REF!</v>
      </c>
      <c r="X215" s="1497"/>
      <c r="Y215" s="347"/>
      <c r="Z215" s="4" t="s">
        <v>653</v>
      </c>
      <c r="AA215" s="4"/>
      <c r="AB215" s="4"/>
      <c r="AC215" s="4"/>
      <c r="AD215" s="4"/>
      <c r="AE215" s="169"/>
      <c r="AF215" s="169"/>
      <c r="AG215" s="4"/>
      <c r="AH215" s="407" t="s">
        <v>654</v>
      </c>
      <c r="AI215" s="1501">
        <v>9</v>
      </c>
      <c r="AJ215" s="1501"/>
      <c r="AK215" s="169"/>
      <c r="AL215" s="169"/>
      <c r="AM215" s="169"/>
      <c r="AN215" s="169"/>
      <c r="AO215" s="169"/>
      <c r="AP215" s="169"/>
      <c r="AQ215" s="169"/>
      <c r="AR215" s="169"/>
      <c r="AS215" s="169"/>
      <c r="AT215" s="169"/>
      <c r="AU215" s="169"/>
      <c r="AV215" s="169"/>
      <c r="AW215" s="169"/>
      <c r="AX215" s="169"/>
      <c r="AY215" s="169"/>
      <c r="CB215" s="14" t="str">
        <f>ALPHA_DEUT!Y176</f>
        <v xml:space="preserve">F-Sperrholz </v>
      </c>
      <c r="CC215" s="320">
        <f>ALPHA_DEUT!Z176</f>
        <v>176</v>
      </c>
      <c r="CD215" s="14" t="str">
        <f>ALPHA_DEUT!AA176</f>
        <v>Laub - Furniersperrholz</v>
      </c>
      <c r="CE215" s="469">
        <v>3</v>
      </c>
      <c r="CF215" s="345"/>
      <c r="CG215" s="345"/>
      <c r="CH215" s="320">
        <f t="shared" si="70"/>
        <v>1761</v>
      </c>
      <c r="CI215" s="320">
        <f t="shared" si="71"/>
        <v>1761</v>
      </c>
      <c r="CJ215" s="346">
        <f t="shared" si="72"/>
        <v>1761</v>
      </c>
      <c r="CK215" s="346">
        <f t="shared" si="73"/>
        <v>1761</v>
      </c>
      <c r="CL215" s="346">
        <f t="shared" si="74"/>
        <v>1761</v>
      </c>
    </row>
    <row r="216" spans="1:90" ht="15" customHeight="1">
      <c r="A216" s="406" t="s">
        <v>502</v>
      </c>
      <c r="D216" s="1495">
        <v>100</v>
      </c>
      <c r="E216" s="1495"/>
      <c r="F216" s="347"/>
      <c r="G216" s="347"/>
      <c r="H216" s="347"/>
      <c r="I216" s="169" t="s">
        <v>315</v>
      </c>
      <c r="J216" s="169"/>
      <c r="K216" s="169"/>
      <c r="L216" s="169"/>
      <c r="M216" s="169"/>
      <c r="N216" s="169"/>
      <c r="O216" s="169"/>
      <c r="P216" s="169"/>
      <c r="Q216" s="169"/>
      <c r="R216" s="169"/>
      <c r="S216" s="169"/>
      <c r="T216" s="169"/>
      <c r="U216" s="4"/>
      <c r="V216" s="407" t="s">
        <v>316</v>
      </c>
      <c r="W216" s="1496" t="e">
        <f>BT10</f>
        <v>#REF!</v>
      </c>
      <c r="X216" s="1496"/>
      <c r="Y216" s="347"/>
      <c r="Z216" s="93"/>
      <c r="AE216" s="169"/>
      <c r="AF216" s="169"/>
      <c r="AG216" s="169"/>
      <c r="AH216" s="169"/>
      <c r="AI216" s="169"/>
      <c r="AJ216" s="169"/>
      <c r="AK216" s="169"/>
      <c r="AL216" s="169"/>
      <c r="AM216" s="169"/>
      <c r="AN216" s="169"/>
      <c r="AO216" s="169"/>
      <c r="AP216" s="169"/>
      <c r="AQ216" s="169"/>
      <c r="AR216" s="169"/>
      <c r="AS216" s="169"/>
      <c r="AT216" s="169"/>
      <c r="AU216" s="169"/>
      <c r="AV216" s="169"/>
      <c r="AW216" s="169"/>
      <c r="AX216" s="169"/>
      <c r="AY216" s="169"/>
      <c r="CB216" s="14" t="str">
        <f>ALPHA_DEUT!Y177</f>
        <v xml:space="preserve">F-Sperrholz </v>
      </c>
      <c r="CC216" s="320">
        <f>ALPHA_DEUT!Z177</f>
        <v>177</v>
      </c>
      <c r="CD216" s="14" t="str">
        <f>ALPHA_DEUT!AA177</f>
        <v>Laub - Furniersperrholz</v>
      </c>
      <c r="CE216" s="469">
        <v>3</v>
      </c>
      <c r="CF216" s="345"/>
      <c r="CG216" s="345"/>
      <c r="CH216" s="320">
        <f t="shared" si="70"/>
        <v>1771</v>
      </c>
      <c r="CI216" s="320">
        <f t="shared" si="71"/>
        <v>1771</v>
      </c>
      <c r="CJ216" s="346">
        <f t="shared" si="72"/>
        <v>1771</v>
      </c>
      <c r="CK216" s="346">
        <f t="shared" si="73"/>
        <v>1771</v>
      </c>
      <c r="CL216" s="346">
        <f t="shared" si="74"/>
        <v>1771</v>
      </c>
    </row>
    <row r="217" spans="1:90" ht="15" customHeight="1">
      <c r="A217" s="409" t="s">
        <v>620</v>
      </c>
      <c r="F217" s="347"/>
      <c r="G217" s="347"/>
      <c r="H217" s="347"/>
      <c r="I217" s="347"/>
      <c r="J217" s="347"/>
      <c r="K217" s="347"/>
      <c r="L217" s="347"/>
      <c r="M217" s="347"/>
      <c r="N217" s="347"/>
      <c r="O217" s="347"/>
      <c r="P217" s="347"/>
      <c r="Q217" s="347"/>
      <c r="R217" s="347"/>
      <c r="S217" s="347"/>
      <c r="T217" s="347"/>
      <c r="Y217" s="347"/>
      <c r="Z217" s="169"/>
      <c r="AA217" s="169"/>
      <c r="AB217" s="169"/>
      <c r="AC217" s="169"/>
      <c r="AD217" s="169"/>
      <c r="AE217" s="169"/>
      <c r="AF217" s="169"/>
      <c r="AG217" s="169"/>
      <c r="AH217" s="169"/>
      <c r="AI217" s="169"/>
      <c r="AJ217" s="169"/>
      <c r="AK217" s="169"/>
      <c r="AL217" s="169"/>
      <c r="AM217" s="169"/>
      <c r="AN217" s="169"/>
      <c r="AO217" s="169"/>
      <c r="AP217" s="169"/>
      <c r="AQ217" s="169"/>
      <c r="AR217" s="169"/>
      <c r="AS217" s="169"/>
      <c r="AT217" s="169"/>
      <c r="AU217" s="169"/>
      <c r="AV217" s="169"/>
      <c r="AW217" s="169"/>
      <c r="AX217" s="169"/>
      <c r="AY217" s="169"/>
      <c r="CB217" s="14" t="str">
        <f>ALPHA_DEUT!Y178</f>
        <v xml:space="preserve">F-Sperrholz </v>
      </c>
      <c r="CC217" s="320">
        <f>ALPHA_DEUT!Z178</f>
        <v>178</v>
      </c>
      <c r="CD217" s="14" t="str">
        <f>ALPHA_DEUT!AA178</f>
        <v>Laub - Furniersperrholz</v>
      </c>
      <c r="CE217" s="469">
        <v>3</v>
      </c>
      <c r="CF217" s="345"/>
      <c r="CG217" s="345"/>
      <c r="CH217" s="320">
        <f t="shared" si="70"/>
        <v>1781</v>
      </c>
      <c r="CI217" s="320">
        <f t="shared" si="71"/>
        <v>1781</v>
      </c>
      <c r="CJ217" s="346">
        <f t="shared" si="72"/>
        <v>1781</v>
      </c>
      <c r="CK217" s="346">
        <f t="shared" si="73"/>
        <v>1781</v>
      </c>
      <c r="CL217" s="346">
        <f t="shared" si="74"/>
        <v>1781</v>
      </c>
    </row>
    <row r="218" spans="1:90" ht="15" customHeight="1">
      <c r="A218" s="1499" t="s">
        <v>4</v>
      </c>
      <c r="B218" s="1500"/>
      <c r="C218" s="1500"/>
      <c r="D218" s="1500"/>
      <c r="E218" s="1500"/>
      <c r="F218" s="347"/>
      <c r="G218" s="347"/>
      <c r="H218" s="347"/>
      <c r="I218" s="169" t="s">
        <v>47</v>
      </c>
      <c r="J218" s="169"/>
      <c r="K218" s="169"/>
      <c r="L218" s="169"/>
      <c r="M218" s="169"/>
      <c r="N218" s="169"/>
      <c r="O218" s="169"/>
      <c r="P218" s="169"/>
      <c r="Q218" s="169"/>
      <c r="R218" s="169"/>
      <c r="S218" s="169"/>
      <c r="T218" s="169"/>
      <c r="U218" s="93"/>
      <c r="V218" s="407" t="s">
        <v>487</v>
      </c>
      <c r="W218" s="1496" t="e">
        <f>BU16</f>
        <v>#REF!</v>
      </c>
      <c r="X218" s="1497"/>
      <c r="Y218" s="347"/>
      <c r="Z218" s="4" t="s">
        <v>653</v>
      </c>
      <c r="AA218" s="4"/>
      <c r="AB218" s="4"/>
      <c r="AC218" s="4"/>
      <c r="AD218" s="4"/>
      <c r="AE218" s="169"/>
      <c r="AF218" s="169"/>
      <c r="AG218" s="4"/>
      <c r="AH218" s="407" t="s">
        <v>655</v>
      </c>
      <c r="AI218" s="1501">
        <v>2</v>
      </c>
      <c r="AJ218" s="1501"/>
      <c r="AK218" s="169"/>
      <c r="AL218" s="169"/>
      <c r="AM218" s="169"/>
      <c r="AN218" s="169"/>
      <c r="AO218" s="169"/>
      <c r="AP218" s="169"/>
      <c r="AQ218" s="169"/>
      <c r="AR218" s="169"/>
      <c r="AS218" s="169"/>
      <c r="AT218" s="169"/>
      <c r="AU218" s="169"/>
      <c r="AV218" s="169"/>
      <c r="AW218" s="169"/>
      <c r="AX218" s="169"/>
      <c r="AY218" s="169"/>
      <c r="CB218" s="14" t="str">
        <f>ALPHA_DEUT!Y179</f>
        <v>OSB/3</v>
      </c>
      <c r="CC218" s="320">
        <f>ALPHA_DEUT!Z179</f>
        <v>179</v>
      </c>
      <c r="CD218" s="14" t="str">
        <f>ALPHA_DEUT!AA179</f>
        <v>OSB/3</v>
      </c>
      <c r="CE218" s="469">
        <v>6</v>
      </c>
      <c r="CF218" s="345">
        <v>11</v>
      </c>
      <c r="CG218" s="345">
        <v>19</v>
      </c>
      <c r="CH218" s="320">
        <f t="shared" si="70"/>
        <v>1793</v>
      </c>
      <c r="CI218" s="320">
        <f t="shared" si="71"/>
        <v>1793</v>
      </c>
      <c r="CJ218" s="346">
        <f t="shared" si="72"/>
        <v>1793</v>
      </c>
      <c r="CK218" s="346">
        <f t="shared" si="73"/>
        <v>1793</v>
      </c>
      <c r="CL218" s="346">
        <f t="shared" si="74"/>
        <v>1793</v>
      </c>
    </row>
    <row r="219" spans="1:90" ht="15" customHeight="1">
      <c r="A219" s="406" t="s">
        <v>503</v>
      </c>
      <c r="D219" s="1495">
        <v>100</v>
      </c>
      <c r="E219" s="1495"/>
      <c r="F219" s="347"/>
      <c r="G219" s="347"/>
      <c r="H219" s="347"/>
      <c r="I219" s="169" t="s">
        <v>315</v>
      </c>
      <c r="J219" s="169"/>
      <c r="K219" s="169"/>
      <c r="L219" s="169"/>
      <c r="M219" s="169"/>
      <c r="N219" s="169"/>
      <c r="O219" s="169"/>
      <c r="P219" s="169"/>
      <c r="Q219" s="169"/>
      <c r="R219" s="169"/>
      <c r="S219" s="169"/>
      <c r="T219" s="169"/>
      <c r="U219" s="4"/>
      <c r="V219" s="407" t="s">
        <v>488</v>
      </c>
      <c r="W219" s="1496" t="e">
        <f>BT16</f>
        <v>#REF!</v>
      </c>
      <c r="X219" s="1497"/>
      <c r="Y219" s="347"/>
      <c r="Z219" s="347"/>
      <c r="AA219" s="347"/>
      <c r="AB219" s="347"/>
      <c r="AC219" s="347"/>
      <c r="AD219" s="347"/>
      <c r="AE219" s="347"/>
      <c r="AF219" s="347"/>
      <c r="AG219" s="347"/>
      <c r="AH219" s="347"/>
      <c r="AI219" s="347"/>
      <c r="AJ219" s="347"/>
      <c r="AK219" s="169"/>
      <c r="AL219" s="169"/>
      <c r="AM219" s="169"/>
      <c r="AN219" s="169"/>
      <c r="AO219" s="169"/>
      <c r="AP219" s="169"/>
      <c r="AQ219" s="169"/>
      <c r="AR219" s="169"/>
      <c r="AS219" s="169"/>
      <c r="AT219" s="169"/>
      <c r="AU219" s="169"/>
      <c r="AV219" s="169"/>
      <c r="AW219" s="169"/>
      <c r="AX219" s="169"/>
      <c r="AY219" s="169"/>
      <c r="CB219" s="14" t="str">
        <f>ALPHA_DEUT!Y180</f>
        <v>OSB/4</v>
      </c>
      <c r="CC219" s="320">
        <f>ALPHA_DEUT!Z180</f>
        <v>180</v>
      </c>
      <c r="CD219" s="14" t="str">
        <f>ALPHA_DEUT!AA180</f>
        <v>OSB/4</v>
      </c>
      <c r="CE219" s="469">
        <v>6</v>
      </c>
      <c r="CF219" s="345">
        <v>11</v>
      </c>
      <c r="CG219" s="345">
        <v>19</v>
      </c>
      <c r="CH219" s="320">
        <f t="shared" si="70"/>
        <v>1803</v>
      </c>
      <c r="CI219" s="320">
        <f t="shared" si="71"/>
        <v>1803</v>
      </c>
      <c r="CJ219" s="346">
        <f t="shared" si="72"/>
        <v>1803</v>
      </c>
      <c r="CK219" s="346">
        <f t="shared" si="73"/>
        <v>1803</v>
      </c>
      <c r="CL219" s="346">
        <f t="shared" si="74"/>
        <v>1803</v>
      </c>
    </row>
    <row r="220" spans="1:90" ht="15" customHeight="1">
      <c r="A220" s="409" t="s">
        <v>621</v>
      </c>
      <c r="F220" s="347"/>
      <c r="G220" s="347"/>
      <c r="H220" s="347"/>
      <c r="I220" s="347"/>
      <c r="J220" s="347"/>
      <c r="K220" s="347"/>
      <c r="L220" s="347"/>
      <c r="M220" s="347"/>
      <c r="N220" s="347"/>
      <c r="O220" s="347"/>
      <c r="P220" s="347"/>
      <c r="Q220" s="347"/>
      <c r="R220" s="347"/>
      <c r="S220" s="347"/>
      <c r="T220" s="347"/>
      <c r="Y220" s="347"/>
      <c r="Z220" s="347"/>
      <c r="AA220" s="347"/>
      <c r="AB220" s="347"/>
      <c r="AC220" s="347"/>
      <c r="AD220" s="347"/>
      <c r="AE220" s="347"/>
      <c r="AF220" s="347"/>
      <c r="AG220" s="347"/>
      <c r="AH220" s="347"/>
      <c r="AI220" s="347"/>
      <c r="AJ220" s="347"/>
      <c r="AK220" s="169"/>
      <c r="AL220" s="169"/>
      <c r="AM220" s="169"/>
      <c r="AN220" s="169"/>
      <c r="AO220" s="169"/>
      <c r="AP220" s="169"/>
      <c r="AQ220" s="169"/>
      <c r="AR220" s="169"/>
      <c r="AS220" s="169"/>
      <c r="AT220" s="169"/>
      <c r="AU220" s="169"/>
      <c r="AV220" s="169"/>
      <c r="AW220" s="169"/>
      <c r="AX220" s="169"/>
      <c r="AY220" s="169"/>
      <c r="CB220" s="14" t="str">
        <f>ALPHA_DEUT!Y181</f>
        <v>GFP - Fermacell</v>
      </c>
      <c r="CC220" s="320">
        <f>ALPHA_DEUT!Z181</f>
        <v>181</v>
      </c>
      <c r="CD220" s="14" t="str">
        <f>ALPHA_DEUT!AA181</f>
        <v>Gipsfaserplatten</v>
      </c>
      <c r="CE220" s="469">
        <v>10</v>
      </c>
      <c r="CF220" s="345"/>
      <c r="CG220" s="345"/>
      <c r="CH220" s="320">
        <f t="shared" si="70"/>
        <v>1811</v>
      </c>
      <c r="CI220" s="320">
        <f t="shared" si="71"/>
        <v>1811</v>
      </c>
      <c r="CJ220" s="346">
        <f t="shared" si="72"/>
        <v>1811</v>
      </c>
      <c r="CK220" s="346">
        <f t="shared" si="73"/>
        <v>1811</v>
      </c>
      <c r="CL220" s="346">
        <f t="shared" si="74"/>
        <v>1811</v>
      </c>
    </row>
    <row r="221" spans="1:90" ht="15" customHeight="1">
      <c r="A221" s="1499" t="s">
        <v>126</v>
      </c>
      <c r="B221" s="1500"/>
      <c r="C221" s="1500"/>
      <c r="D221" s="1500"/>
      <c r="E221" s="1500"/>
      <c r="F221" s="347"/>
      <c r="G221" s="347"/>
      <c r="H221" s="347"/>
      <c r="I221" s="169" t="s">
        <v>47</v>
      </c>
      <c r="J221" s="169"/>
      <c r="K221" s="169"/>
      <c r="L221" s="169"/>
      <c r="M221" s="169"/>
      <c r="N221" s="169"/>
      <c r="O221" s="169"/>
      <c r="P221" s="169"/>
      <c r="Q221" s="169"/>
      <c r="R221" s="169"/>
      <c r="S221" s="169"/>
      <c r="T221" s="169"/>
      <c r="U221" s="93"/>
      <c r="V221" s="407" t="s">
        <v>489</v>
      </c>
      <c r="W221" s="1496" t="e">
        <f>BU22</f>
        <v>#REF!</v>
      </c>
      <c r="X221" s="1497"/>
      <c r="Y221" s="347"/>
      <c r="Z221" s="4" t="s">
        <v>653</v>
      </c>
      <c r="AA221" s="4"/>
      <c r="AB221" s="4"/>
      <c r="AC221" s="4"/>
      <c r="AD221" s="4"/>
      <c r="AE221" s="169"/>
      <c r="AF221" s="169"/>
      <c r="AG221" s="4"/>
      <c r="AH221" s="407" t="s">
        <v>656</v>
      </c>
      <c r="AI221" s="1501">
        <v>3</v>
      </c>
      <c r="AJ221" s="1501"/>
      <c r="AK221" s="169"/>
      <c r="AL221" s="169"/>
      <c r="AM221" s="169"/>
      <c r="AN221" s="169"/>
      <c r="AO221" s="169"/>
      <c r="AP221" s="169"/>
      <c r="AQ221" s="169"/>
      <c r="AR221" s="169"/>
      <c r="AS221" s="169"/>
      <c r="AT221" s="169"/>
      <c r="AU221" s="169"/>
      <c r="AV221" s="169"/>
      <c r="AW221" s="169"/>
      <c r="AX221" s="169"/>
      <c r="AY221" s="169"/>
      <c r="CB221" s="14" t="str">
        <f>ALPHA_DEUT!Y182</f>
        <v>GFP - Knauf</v>
      </c>
      <c r="CC221" s="320">
        <f>ALPHA_DEUT!Z182</f>
        <v>182</v>
      </c>
      <c r="CD221" s="14" t="str">
        <f>ALPHA_DEUT!AA182</f>
        <v>Gipsfaserplatten</v>
      </c>
      <c r="CE221" s="469">
        <v>10</v>
      </c>
      <c r="CF221" s="345"/>
      <c r="CG221" s="345"/>
      <c r="CH221" s="320">
        <f t="shared" si="70"/>
        <v>1821</v>
      </c>
      <c r="CI221" s="320">
        <f t="shared" si="71"/>
        <v>1821</v>
      </c>
      <c r="CJ221" s="346">
        <f t="shared" si="72"/>
        <v>1821</v>
      </c>
      <c r="CK221" s="346">
        <f t="shared" si="73"/>
        <v>1821</v>
      </c>
      <c r="CL221" s="346">
        <f t="shared" si="74"/>
        <v>1821</v>
      </c>
    </row>
    <row r="222" spans="1:90" ht="15" customHeight="1">
      <c r="A222" s="406" t="s">
        <v>504</v>
      </c>
      <c r="D222" s="1495">
        <v>100</v>
      </c>
      <c r="E222" s="1495"/>
      <c r="F222" s="347"/>
      <c r="G222" s="347"/>
      <c r="H222" s="347"/>
      <c r="I222" s="169" t="s">
        <v>315</v>
      </c>
      <c r="J222" s="169"/>
      <c r="K222" s="169"/>
      <c r="L222" s="169"/>
      <c r="M222" s="169"/>
      <c r="N222" s="169"/>
      <c r="O222" s="169"/>
      <c r="P222" s="169"/>
      <c r="Q222" s="169"/>
      <c r="R222" s="169"/>
      <c r="S222" s="169"/>
      <c r="T222" s="169"/>
      <c r="U222" s="4"/>
      <c r="V222" s="407" t="s">
        <v>490</v>
      </c>
      <c r="W222" s="1496" t="e">
        <f>BT22</f>
        <v>#REF!</v>
      </c>
      <c r="X222" s="1497"/>
      <c r="Y222" s="347"/>
      <c r="Z222" s="347"/>
      <c r="AA222" s="347"/>
      <c r="AB222" s="347"/>
      <c r="AC222" s="347"/>
      <c r="AD222" s="347"/>
      <c r="AE222" s="347"/>
      <c r="AF222" s="347"/>
      <c r="AG222" s="347"/>
      <c r="AH222" s="347"/>
      <c r="AI222" s="347"/>
      <c r="AJ222" s="347"/>
      <c r="AK222" s="169"/>
      <c r="AL222" s="169"/>
      <c r="AM222" s="169"/>
      <c r="AN222" s="169"/>
      <c r="AO222" s="169"/>
      <c r="AP222" s="169"/>
      <c r="AQ222" s="169"/>
      <c r="AR222" s="169"/>
      <c r="AS222" s="169"/>
      <c r="AT222" s="169"/>
      <c r="AU222" s="169"/>
      <c r="AV222" s="169"/>
      <c r="AW222" s="169"/>
      <c r="AX222" s="169"/>
      <c r="AY222" s="169"/>
      <c r="CB222" s="4"/>
      <c r="CC222" s="3"/>
      <c r="CD222" s="4"/>
      <c r="CE222" s="469"/>
      <c r="CF222" s="469"/>
      <c r="CG222" s="469"/>
      <c r="CH222" s="3"/>
      <c r="CI222" s="3"/>
    </row>
    <row r="223" spans="1:90" ht="15" customHeight="1">
      <c r="A223" s="409" t="s">
        <v>622</v>
      </c>
      <c r="F223" s="347"/>
      <c r="G223" s="347"/>
      <c r="H223" s="347"/>
      <c r="I223" s="347"/>
      <c r="J223" s="347"/>
      <c r="K223" s="347"/>
      <c r="L223" s="347"/>
      <c r="M223" s="347"/>
      <c r="N223" s="347"/>
      <c r="O223" s="347"/>
      <c r="P223" s="347"/>
      <c r="Q223" s="347"/>
      <c r="R223" s="347"/>
      <c r="S223" s="347"/>
      <c r="T223" s="347"/>
      <c r="Y223" s="347"/>
      <c r="Z223" s="347"/>
      <c r="AA223" s="347"/>
      <c r="AB223" s="347"/>
      <c r="AC223" s="347"/>
      <c r="AD223" s="347"/>
      <c r="AE223" s="347"/>
      <c r="AF223" s="347"/>
      <c r="AG223" s="347"/>
      <c r="AH223" s="347"/>
      <c r="AI223" s="347"/>
      <c r="AJ223" s="347"/>
      <c r="AK223" s="169"/>
      <c r="AL223" s="169"/>
      <c r="AM223" s="169"/>
      <c r="AN223" s="169"/>
      <c r="AO223" s="169"/>
      <c r="AP223" s="169"/>
      <c r="AQ223" s="169"/>
      <c r="AR223" s="169"/>
      <c r="AS223" s="169"/>
      <c r="AT223" s="169"/>
      <c r="AU223" s="169"/>
      <c r="AV223" s="169"/>
      <c r="AW223" s="169"/>
      <c r="AX223" s="169"/>
      <c r="AY223" s="169"/>
      <c r="CB223" s="4"/>
      <c r="CC223" s="3"/>
      <c r="CD223" s="4"/>
      <c r="CE223" s="469"/>
      <c r="CF223" s="469"/>
      <c r="CG223" s="469"/>
      <c r="CH223" s="3"/>
      <c r="CI223" s="3"/>
    </row>
    <row r="224" spans="1:90" ht="15" customHeight="1">
      <c r="A224" s="1499" t="s">
        <v>6</v>
      </c>
      <c r="B224" s="1500"/>
      <c r="C224" s="1500"/>
      <c r="D224" s="1500"/>
      <c r="E224" s="1500"/>
      <c r="F224" s="347"/>
      <c r="G224" s="347"/>
      <c r="H224" s="347"/>
      <c r="I224" s="169" t="s">
        <v>47</v>
      </c>
      <c r="J224" s="169"/>
      <c r="K224" s="169"/>
      <c r="L224" s="169"/>
      <c r="M224" s="169"/>
      <c r="N224" s="169"/>
      <c r="O224" s="169"/>
      <c r="P224" s="169"/>
      <c r="Q224" s="169"/>
      <c r="R224" s="169"/>
      <c r="S224" s="169"/>
      <c r="T224" s="169"/>
      <c r="U224" s="93"/>
      <c r="V224" s="407" t="s">
        <v>624</v>
      </c>
      <c r="W224" s="1496" t="e">
        <f>BU28</f>
        <v>#REF!</v>
      </c>
      <c r="X224" s="1497"/>
      <c r="Y224" s="347"/>
      <c r="Z224" s="4" t="s">
        <v>653</v>
      </c>
      <c r="AA224" s="4"/>
      <c r="AB224" s="4"/>
      <c r="AC224" s="4"/>
      <c r="AD224" s="4"/>
      <c r="AE224" s="169"/>
      <c r="AF224" s="169"/>
      <c r="AG224" s="4"/>
      <c r="AH224" s="407" t="s">
        <v>657</v>
      </c>
      <c r="AI224" s="1501">
        <v>4</v>
      </c>
      <c r="AJ224" s="1501"/>
      <c r="AK224" s="169"/>
      <c r="AL224" s="169"/>
      <c r="AM224" s="169"/>
      <c r="AN224" s="169"/>
      <c r="AO224" s="169"/>
      <c r="AP224" s="169"/>
      <c r="AQ224" s="169"/>
      <c r="AR224" s="169"/>
      <c r="AS224" s="169"/>
      <c r="AT224" s="169"/>
      <c r="AU224" s="169"/>
      <c r="AV224" s="169"/>
      <c r="AW224" s="169"/>
      <c r="AX224" s="169"/>
      <c r="AY224" s="169"/>
      <c r="CB224" s="4"/>
      <c r="CC224" s="3"/>
      <c r="CD224" s="4"/>
      <c r="CE224" s="469"/>
      <c r="CF224" s="469"/>
      <c r="CG224" s="469"/>
      <c r="CH224" s="3"/>
      <c r="CI224" s="3"/>
    </row>
    <row r="225" spans="1:87" ht="15" customHeight="1">
      <c r="A225" s="406" t="s">
        <v>618</v>
      </c>
      <c r="D225" s="1495">
        <v>100</v>
      </c>
      <c r="E225" s="1495"/>
      <c r="F225" s="347"/>
      <c r="G225" s="347"/>
      <c r="H225" s="347"/>
      <c r="I225" s="169" t="s">
        <v>315</v>
      </c>
      <c r="J225" s="169"/>
      <c r="K225" s="169"/>
      <c r="L225" s="169"/>
      <c r="M225" s="169"/>
      <c r="N225" s="169"/>
      <c r="O225" s="169"/>
      <c r="P225" s="169"/>
      <c r="Q225" s="169"/>
      <c r="R225" s="169"/>
      <c r="S225" s="169"/>
      <c r="T225" s="169"/>
      <c r="U225" s="4"/>
      <c r="V225" s="407" t="s">
        <v>625</v>
      </c>
      <c r="W225" s="1496" t="e">
        <f>BT28</f>
        <v>#REF!</v>
      </c>
      <c r="X225" s="1497"/>
      <c r="Y225" s="347"/>
      <c r="Z225" s="347"/>
      <c r="AA225" s="347"/>
      <c r="AB225" s="347"/>
      <c r="AC225" s="347"/>
      <c r="AD225" s="347"/>
      <c r="AE225" s="347"/>
      <c r="AF225" s="347"/>
      <c r="AG225" s="347"/>
      <c r="AH225" s="347"/>
      <c r="AI225" s="347"/>
      <c r="AJ225" s="347"/>
      <c r="AK225" s="169"/>
      <c r="AL225" s="169"/>
      <c r="AM225" s="169"/>
      <c r="AN225" s="169"/>
      <c r="AO225" s="169"/>
      <c r="AP225" s="169"/>
      <c r="AQ225" s="169"/>
      <c r="AR225" s="169"/>
      <c r="AS225" s="169"/>
      <c r="AT225" s="169"/>
      <c r="AU225" s="169"/>
      <c r="AV225" s="169"/>
      <c r="AW225" s="169"/>
      <c r="AX225" s="169"/>
      <c r="AY225" s="169"/>
      <c r="CB225" s="4"/>
      <c r="CC225" s="3"/>
      <c r="CD225" s="4"/>
      <c r="CE225" s="469"/>
      <c r="CF225" s="469"/>
      <c r="CG225" s="469"/>
      <c r="CH225" s="3"/>
      <c r="CI225" s="3"/>
    </row>
    <row r="226" spans="1:87" ht="15" customHeight="1">
      <c r="A226" s="409" t="s">
        <v>623</v>
      </c>
      <c r="F226" s="347"/>
      <c r="G226" s="347"/>
      <c r="H226" s="347"/>
      <c r="I226" s="347"/>
      <c r="J226" s="347"/>
      <c r="K226" s="347"/>
      <c r="L226" s="347"/>
      <c r="M226" s="347"/>
      <c r="N226" s="347"/>
      <c r="O226" s="347"/>
      <c r="P226" s="347"/>
      <c r="Q226" s="347"/>
      <c r="R226" s="347"/>
      <c r="S226" s="347"/>
      <c r="T226" s="347"/>
      <c r="Y226" s="347"/>
      <c r="Z226" s="347"/>
      <c r="AA226" s="347"/>
      <c r="AB226" s="347"/>
      <c r="AC226" s="347"/>
      <c r="AD226" s="347"/>
      <c r="AE226" s="347"/>
      <c r="AF226" s="347"/>
      <c r="AG226" s="347"/>
      <c r="AH226" s="347"/>
      <c r="AI226" s="347"/>
      <c r="AJ226" s="347"/>
      <c r="AK226" s="169"/>
      <c r="AL226" s="169"/>
      <c r="AM226" s="169"/>
      <c r="AN226" s="169"/>
      <c r="AO226" s="169"/>
      <c r="AP226" s="169"/>
      <c r="AQ226" s="169"/>
      <c r="AR226" s="169"/>
      <c r="AS226" s="169"/>
      <c r="AT226" s="169"/>
      <c r="AU226" s="169"/>
      <c r="AV226" s="169"/>
      <c r="AW226" s="169"/>
      <c r="AX226" s="169"/>
      <c r="AY226" s="169"/>
      <c r="CB226" s="4"/>
      <c r="CC226" s="3"/>
      <c r="CD226" s="4"/>
      <c r="CE226" s="469"/>
      <c r="CF226" s="469"/>
      <c r="CG226" s="469"/>
      <c r="CH226" s="3"/>
      <c r="CI226" s="3"/>
    </row>
    <row r="227" spans="1:87" ht="15" customHeight="1">
      <c r="A227" s="1499" t="s">
        <v>7</v>
      </c>
      <c r="B227" s="1500"/>
      <c r="C227" s="1500"/>
      <c r="D227" s="1500"/>
      <c r="E227" s="1500"/>
      <c r="F227" s="347"/>
      <c r="G227" s="347"/>
      <c r="H227" s="347"/>
      <c r="I227" s="169" t="s">
        <v>47</v>
      </c>
      <c r="J227" s="169"/>
      <c r="K227" s="169"/>
      <c r="L227" s="169"/>
      <c r="M227" s="169"/>
      <c r="N227" s="169"/>
      <c r="O227" s="169"/>
      <c r="P227" s="169"/>
      <c r="Q227" s="169"/>
      <c r="R227" s="169"/>
      <c r="S227" s="169"/>
      <c r="T227" s="169"/>
      <c r="U227" s="93"/>
      <c r="V227" s="407" t="s">
        <v>626</v>
      </c>
      <c r="W227" s="1496" t="e">
        <f>BU43</f>
        <v>#REF!</v>
      </c>
      <c r="X227" s="1497"/>
      <c r="Y227" s="347"/>
      <c r="Z227" s="4" t="s">
        <v>653</v>
      </c>
      <c r="AA227" s="4"/>
      <c r="AB227" s="4"/>
      <c r="AC227" s="4"/>
      <c r="AD227" s="4"/>
      <c r="AE227" s="169"/>
      <c r="AF227" s="169"/>
      <c r="AG227" s="4"/>
      <c r="AH227" s="407" t="s">
        <v>658</v>
      </c>
      <c r="AI227" s="1501">
        <v>5</v>
      </c>
      <c r="AJ227" s="1501"/>
      <c r="AK227" s="169"/>
      <c r="AL227" s="169"/>
      <c r="AM227" s="169"/>
      <c r="AN227" s="169"/>
      <c r="AO227" s="169"/>
      <c r="AP227" s="169"/>
      <c r="AQ227" s="169"/>
      <c r="AR227" s="169"/>
      <c r="AS227" s="169"/>
      <c r="AT227" s="169"/>
      <c r="AU227" s="169"/>
      <c r="AV227" s="169"/>
      <c r="AW227" s="169"/>
      <c r="AX227" s="169"/>
      <c r="AY227" s="169"/>
      <c r="CB227" s="4"/>
      <c r="CC227" s="3"/>
      <c r="CD227" s="4"/>
      <c r="CE227" s="469"/>
      <c r="CF227" s="469"/>
      <c r="CG227" s="469"/>
      <c r="CH227" s="3"/>
      <c r="CI227" s="3"/>
    </row>
    <row r="228" spans="1:87" ht="15" customHeight="1">
      <c r="A228" s="406" t="s">
        <v>619</v>
      </c>
      <c r="D228" s="1495">
        <v>100</v>
      </c>
      <c r="E228" s="1495"/>
      <c r="F228" s="347"/>
      <c r="G228" s="347"/>
      <c r="H228" s="347"/>
      <c r="I228" s="169" t="s">
        <v>315</v>
      </c>
      <c r="J228" s="169"/>
      <c r="K228" s="169"/>
      <c r="L228" s="169"/>
      <c r="M228" s="169"/>
      <c r="N228" s="169"/>
      <c r="O228" s="169"/>
      <c r="P228" s="169"/>
      <c r="Q228" s="169"/>
      <c r="R228" s="169"/>
      <c r="S228" s="169"/>
      <c r="T228" s="169"/>
      <c r="U228" s="4"/>
      <c r="V228" s="407" t="s">
        <v>627</v>
      </c>
      <c r="W228" s="1496" t="e">
        <f>BT43</f>
        <v>#REF!</v>
      </c>
      <c r="X228" s="1497"/>
      <c r="Y228" s="347"/>
      <c r="Z228" s="347"/>
      <c r="AA228" s="347"/>
      <c r="AB228" s="347"/>
      <c r="AC228" s="347"/>
      <c r="AD228" s="347"/>
      <c r="AE228" s="347"/>
      <c r="AF228" s="347"/>
      <c r="AG228" s="347"/>
      <c r="AH228" s="347"/>
      <c r="AI228" s="347"/>
      <c r="AJ228" s="347"/>
      <c r="AK228" s="169"/>
      <c r="AL228" s="169"/>
      <c r="AM228" s="169"/>
      <c r="AN228" s="169"/>
      <c r="AO228" s="169"/>
      <c r="AP228" s="169"/>
      <c r="AQ228" s="169"/>
      <c r="AR228" s="169"/>
      <c r="AS228" s="169"/>
      <c r="AT228" s="169"/>
      <c r="AU228" s="169"/>
      <c r="AV228" s="169"/>
      <c r="AW228" s="169"/>
      <c r="AX228" s="169"/>
      <c r="AY228" s="169"/>
      <c r="CB228" s="4"/>
      <c r="CC228" s="3"/>
      <c r="CD228" s="4"/>
      <c r="CE228" s="469"/>
      <c r="CF228" s="469"/>
      <c r="CG228" s="469"/>
      <c r="CH228" s="3"/>
      <c r="CI228" s="3"/>
    </row>
    <row r="229" spans="1:87" ht="15" customHeight="1">
      <c r="A229" s="404"/>
      <c r="B229" s="403"/>
      <c r="C229" s="403"/>
      <c r="D229" s="403"/>
      <c r="E229" s="403"/>
      <c r="F229" s="403"/>
      <c r="G229" s="403"/>
      <c r="H229" s="403"/>
      <c r="I229" s="403"/>
      <c r="J229" s="403"/>
      <c r="K229" s="403"/>
      <c r="L229" s="403"/>
      <c r="M229" s="403"/>
      <c r="N229" s="403"/>
      <c r="O229" s="403"/>
      <c r="P229" s="403"/>
      <c r="Q229" s="403"/>
      <c r="R229" s="403"/>
      <c r="S229" s="403"/>
      <c r="T229" s="403"/>
      <c r="U229" s="403"/>
      <c r="V229" s="403"/>
      <c r="W229" s="403"/>
      <c r="X229" s="403"/>
      <c r="Y229" s="403"/>
      <c r="Z229" s="403"/>
      <c r="AA229" s="403"/>
      <c r="AB229" s="403"/>
      <c r="AC229" s="403"/>
      <c r="AD229" s="403"/>
      <c r="AE229" s="403"/>
      <c r="AF229" s="403"/>
      <c r="AG229" s="403"/>
      <c r="AH229" s="403"/>
      <c r="AI229" s="403"/>
      <c r="AJ229" s="403"/>
      <c r="AK229" s="403"/>
      <c r="AL229" s="403"/>
      <c r="AM229" s="403"/>
      <c r="AN229" s="403"/>
      <c r="AO229" s="403"/>
      <c r="AP229" s="403"/>
      <c r="AQ229" s="403"/>
      <c r="AR229" s="403"/>
      <c r="AS229" s="403"/>
      <c r="AT229" s="403"/>
      <c r="AU229" s="403"/>
      <c r="AV229" s="403"/>
      <c r="AW229" s="403"/>
      <c r="AX229" s="403"/>
      <c r="AY229" s="169"/>
      <c r="CB229" s="4"/>
      <c r="CC229" s="3"/>
      <c r="CD229" s="4"/>
      <c r="CE229" s="469"/>
      <c r="CF229" s="469"/>
      <c r="CG229" s="469"/>
      <c r="CH229" s="3"/>
      <c r="CI229" s="3"/>
    </row>
    <row r="230" spans="1:87" ht="15" customHeight="1">
      <c r="A230" s="169"/>
      <c r="B230" s="169"/>
      <c r="C230" s="169"/>
      <c r="D230" s="169"/>
      <c r="E230" s="169"/>
      <c r="F230" s="169"/>
      <c r="G230" s="169"/>
      <c r="H230" s="169"/>
      <c r="I230" s="169"/>
      <c r="J230" s="169"/>
      <c r="K230" s="169"/>
      <c r="L230" s="169"/>
      <c r="M230" s="169"/>
      <c r="N230" s="169"/>
      <c r="O230" s="169"/>
      <c r="P230" s="169"/>
      <c r="Q230" s="169"/>
      <c r="R230" s="169"/>
      <c r="S230" s="169"/>
      <c r="T230" s="169"/>
      <c r="U230" s="169"/>
      <c r="V230" s="169"/>
      <c r="W230" s="169"/>
      <c r="X230" s="169"/>
      <c r="Y230" s="169"/>
      <c r="Z230" s="169"/>
      <c r="AA230" s="169"/>
      <c r="AB230" s="169"/>
      <c r="AC230" s="169"/>
      <c r="AD230" s="169"/>
      <c r="AE230" s="169"/>
      <c r="AF230" s="169"/>
      <c r="AG230" s="169"/>
      <c r="AH230" s="169"/>
      <c r="AI230" s="169"/>
      <c r="AJ230" s="169"/>
      <c r="AK230" s="169"/>
      <c r="AL230" s="169"/>
      <c r="AM230" s="169"/>
      <c r="AN230" s="169"/>
      <c r="AO230" s="169"/>
      <c r="AP230" s="169"/>
      <c r="AQ230" s="169"/>
      <c r="AR230" s="169"/>
      <c r="AS230" s="169"/>
      <c r="AT230" s="169"/>
      <c r="AU230" s="169"/>
      <c r="AV230" s="169"/>
      <c r="AW230" s="169"/>
      <c r="AX230" s="169"/>
      <c r="AY230" s="169"/>
      <c r="CB230" s="4"/>
      <c r="CC230" s="3"/>
      <c r="CD230" s="4"/>
      <c r="CE230" s="469"/>
      <c r="CF230" s="469"/>
      <c r="CG230" s="469"/>
      <c r="CH230" s="3"/>
      <c r="CI230" s="3"/>
    </row>
    <row r="231" spans="1:87" ht="15" customHeight="1">
      <c r="A231" s="169"/>
      <c r="B231" s="169"/>
      <c r="C231" s="169"/>
      <c r="D231" s="169"/>
      <c r="E231" s="169"/>
      <c r="F231" s="169"/>
      <c r="G231" s="169"/>
      <c r="H231" s="169"/>
      <c r="I231" s="169"/>
      <c r="J231" s="169"/>
      <c r="K231" s="169"/>
      <c r="L231" s="169"/>
      <c r="M231" s="169"/>
      <c r="N231" s="169"/>
      <c r="O231" s="169"/>
      <c r="P231" s="169"/>
      <c r="Q231" s="169"/>
      <c r="R231" s="169"/>
      <c r="S231" s="169"/>
      <c r="T231" s="169"/>
      <c r="U231" s="169"/>
      <c r="V231" s="169"/>
      <c r="W231" s="169"/>
      <c r="X231" s="169"/>
      <c r="Y231" s="169"/>
      <c r="Z231" s="169"/>
      <c r="AA231" s="169"/>
      <c r="AB231" s="169"/>
      <c r="AC231" s="169"/>
      <c r="AD231" s="169"/>
      <c r="AE231" s="169"/>
      <c r="AF231" s="169"/>
      <c r="AG231" s="169"/>
      <c r="AH231" s="169"/>
      <c r="AI231" s="169"/>
      <c r="AJ231" s="169"/>
      <c r="AK231" s="169"/>
      <c r="AL231" s="169"/>
      <c r="AM231" s="169"/>
      <c r="AN231" s="169"/>
      <c r="AO231" s="169"/>
      <c r="AP231" s="169"/>
      <c r="AQ231" s="169"/>
      <c r="AR231" s="169"/>
      <c r="AS231" s="169"/>
      <c r="AT231" s="169"/>
      <c r="AU231" s="169"/>
      <c r="AV231" s="169"/>
      <c r="AW231" s="169"/>
      <c r="AX231" s="169"/>
      <c r="AY231" s="169"/>
      <c r="CB231" s="4"/>
      <c r="CC231" s="3"/>
      <c r="CD231" s="4"/>
      <c r="CE231" s="469"/>
      <c r="CF231" s="469"/>
      <c r="CG231" s="469"/>
      <c r="CH231" s="3"/>
      <c r="CI231" s="3"/>
    </row>
    <row r="232" spans="1:87" ht="15" customHeight="1">
      <c r="A232" s="169"/>
      <c r="B232" s="169"/>
      <c r="C232" s="169"/>
      <c r="D232" s="169"/>
      <c r="E232" s="169"/>
      <c r="F232" s="169"/>
      <c r="G232" s="169"/>
      <c r="H232" s="169"/>
      <c r="I232" s="169"/>
      <c r="J232" s="169"/>
      <c r="K232" s="169"/>
      <c r="L232" s="169"/>
      <c r="M232" s="169"/>
      <c r="N232" s="169"/>
      <c r="O232" s="169"/>
      <c r="P232" s="169"/>
      <c r="Q232" s="169"/>
      <c r="R232" s="169"/>
      <c r="S232" s="169"/>
      <c r="T232" s="169"/>
      <c r="U232" s="169"/>
      <c r="V232" s="169"/>
      <c r="W232" s="169"/>
      <c r="X232" s="169"/>
      <c r="Y232" s="169"/>
      <c r="Z232" s="169"/>
      <c r="AA232" s="169"/>
      <c r="AB232" s="169"/>
      <c r="AC232" s="169"/>
      <c r="AD232" s="169"/>
      <c r="AE232" s="169"/>
      <c r="AF232" s="169"/>
      <c r="AG232" s="169"/>
      <c r="AH232" s="169"/>
      <c r="AI232" s="169"/>
      <c r="AJ232" s="169"/>
      <c r="AK232" s="169"/>
      <c r="AL232" s="169"/>
      <c r="AM232" s="169"/>
      <c r="AN232" s="169"/>
      <c r="AO232" s="169"/>
      <c r="AP232" s="169"/>
      <c r="AQ232" s="169"/>
      <c r="AR232" s="169"/>
      <c r="AS232" s="169"/>
      <c r="AT232" s="169"/>
      <c r="AU232" s="169"/>
      <c r="AV232" s="169"/>
      <c r="AW232" s="169"/>
      <c r="AX232" s="169"/>
      <c r="AY232" s="169"/>
      <c r="CB232" s="4"/>
      <c r="CC232" s="3"/>
      <c r="CD232" s="4"/>
      <c r="CE232" s="469"/>
      <c r="CF232" s="469"/>
      <c r="CG232" s="469"/>
      <c r="CH232" s="3"/>
      <c r="CI232" s="3"/>
    </row>
    <row r="233" spans="1:87" ht="15" customHeight="1">
      <c r="A233" s="169"/>
      <c r="B233" s="169"/>
      <c r="C233" s="169"/>
      <c r="D233" s="169"/>
      <c r="E233" s="169"/>
      <c r="F233" s="169"/>
      <c r="G233" s="169"/>
      <c r="H233" s="169"/>
      <c r="I233" s="169"/>
      <c r="J233" s="169"/>
      <c r="K233" s="169"/>
      <c r="L233" s="169"/>
      <c r="M233" s="169"/>
      <c r="N233" s="169"/>
      <c r="O233" s="169"/>
      <c r="P233" s="169"/>
      <c r="Q233" s="169"/>
      <c r="R233" s="169"/>
      <c r="S233" s="169"/>
      <c r="T233" s="169"/>
      <c r="U233" s="169"/>
      <c r="V233" s="169"/>
      <c r="W233" s="169"/>
      <c r="X233" s="169"/>
      <c r="Y233" s="169"/>
      <c r="Z233" s="169"/>
      <c r="AA233" s="169"/>
      <c r="AB233" s="169"/>
      <c r="AC233" s="169"/>
      <c r="AD233" s="169"/>
      <c r="AE233" s="169"/>
      <c r="AF233" s="169"/>
      <c r="AG233" s="169"/>
      <c r="AH233" s="169"/>
      <c r="AI233" s="169"/>
      <c r="AJ233" s="169"/>
      <c r="AK233" s="169"/>
      <c r="AL233" s="169"/>
      <c r="AM233" s="169"/>
      <c r="AN233" s="169"/>
      <c r="AO233" s="169"/>
      <c r="AP233" s="169"/>
      <c r="AQ233" s="169"/>
      <c r="AR233" s="169"/>
      <c r="AS233" s="169"/>
      <c r="AT233" s="169"/>
      <c r="AU233" s="169"/>
      <c r="AV233" s="169"/>
      <c r="AW233" s="169"/>
      <c r="AX233" s="169"/>
      <c r="AY233" s="169"/>
      <c r="CB233" s="4"/>
      <c r="CC233" s="3"/>
      <c r="CD233" s="4"/>
      <c r="CE233" s="469"/>
      <c r="CF233" s="469"/>
      <c r="CG233" s="469"/>
      <c r="CH233" s="3"/>
      <c r="CI233" s="3"/>
    </row>
    <row r="234" spans="1:87" ht="15" customHeight="1">
      <c r="A234" s="169"/>
      <c r="B234" s="169"/>
      <c r="C234" s="169"/>
      <c r="D234" s="169"/>
      <c r="E234" s="169"/>
      <c r="F234" s="169"/>
      <c r="G234" s="169"/>
      <c r="H234" s="169"/>
      <c r="I234" s="169"/>
      <c r="J234" s="169"/>
      <c r="K234" s="169"/>
      <c r="L234" s="169"/>
      <c r="M234" s="169"/>
      <c r="N234" s="169"/>
      <c r="O234" s="169"/>
      <c r="P234" s="169"/>
      <c r="Q234" s="169"/>
      <c r="R234" s="169"/>
      <c r="S234" s="169"/>
      <c r="T234" s="169"/>
      <c r="U234" s="169"/>
      <c r="V234" s="169"/>
      <c r="W234" s="169"/>
      <c r="X234" s="169"/>
      <c r="Y234" s="169"/>
      <c r="Z234" s="169"/>
      <c r="AA234" s="169"/>
      <c r="AB234" s="169"/>
      <c r="AC234" s="169"/>
      <c r="AD234" s="169"/>
      <c r="AE234" s="169"/>
      <c r="AF234" s="169"/>
      <c r="AG234" s="169"/>
      <c r="AH234" s="169"/>
      <c r="AI234" s="169"/>
      <c r="AJ234" s="169"/>
      <c r="AK234" s="169"/>
      <c r="AL234" s="169"/>
      <c r="AM234" s="169"/>
      <c r="AN234" s="169"/>
      <c r="AO234" s="169"/>
      <c r="AP234" s="169"/>
      <c r="AQ234" s="169"/>
      <c r="AR234" s="169"/>
      <c r="AS234" s="169"/>
      <c r="AT234" s="169"/>
      <c r="AU234" s="169"/>
      <c r="AV234" s="169"/>
      <c r="AW234" s="169"/>
      <c r="AX234" s="169"/>
      <c r="AY234" s="169"/>
      <c r="CB234" s="4"/>
      <c r="CC234" s="3"/>
      <c r="CD234" s="4"/>
      <c r="CE234" s="469"/>
      <c r="CF234" s="469"/>
      <c r="CG234" s="469"/>
      <c r="CH234" s="3"/>
      <c r="CI234" s="3"/>
    </row>
    <row r="235" spans="1:87" ht="15" customHeight="1">
      <c r="A235" s="169"/>
      <c r="B235" s="169"/>
      <c r="C235" s="169"/>
      <c r="D235" s="169"/>
      <c r="E235" s="169"/>
      <c r="F235" s="169"/>
      <c r="G235" s="169"/>
      <c r="H235" s="169"/>
      <c r="I235" s="169"/>
      <c r="J235" s="169"/>
      <c r="K235" s="169"/>
      <c r="L235" s="169"/>
      <c r="M235" s="169"/>
      <c r="N235" s="169"/>
      <c r="O235" s="169"/>
      <c r="P235" s="169"/>
      <c r="Q235" s="169"/>
      <c r="R235" s="169"/>
      <c r="S235" s="169"/>
      <c r="T235" s="169"/>
      <c r="U235" s="169"/>
      <c r="V235" s="169"/>
      <c r="W235" s="169"/>
      <c r="X235" s="169"/>
      <c r="Y235" s="169"/>
      <c r="Z235" s="169"/>
      <c r="AA235" s="169"/>
      <c r="AB235" s="169"/>
      <c r="AC235" s="169"/>
      <c r="AD235" s="169"/>
      <c r="AE235" s="169"/>
      <c r="AF235" s="169"/>
      <c r="AG235" s="169"/>
      <c r="AH235" s="169"/>
      <c r="AI235" s="169"/>
      <c r="AJ235" s="169"/>
      <c r="AK235" s="169"/>
      <c r="AL235" s="169"/>
      <c r="AM235" s="169"/>
      <c r="AN235" s="169"/>
      <c r="AO235" s="169"/>
      <c r="AP235" s="169"/>
      <c r="AQ235" s="169"/>
      <c r="AR235" s="169"/>
      <c r="AS235" s="169"/>
      <c r="AT235" s="169"/>
      <c r="AU235" s="169"/>
      <c r="AV235" s="169"/>
      <c r="AW235" s="169"/>
      <c r="AX235" s="169"/>
      <c r="AY235" s="169"/>
      <c r="CB235" s="4"/>
      <c r="CC235" s="3"/>
      <c r="CD235" s="4"/>
      <c r="CE235" s="469"/>
      <c r="CF235" s="469"/>
      <c r="CG235" s="469"/>
      <c r="CH235" s="3"/>
      <c r="CI235" s="3"/>
    </row>
    <row r="236" spans="1:87" ht="15" customHeight="1">
      <c r="A236" s="169"/>
      <c r="B236" s="169"/>
      <c r="C236" s="169"/>
      <c r="D236" s="169"/>
      <c r="E236" s="169"/>
      <c r="F236" s="169"/>
      <c r="G236" s="169"/>
      <c r="H236" s="169"/>
      <c r="I236" s="169"/>
      <c r="J236" s="169"/>
      <c r="K236" s="169"/>
      <c r="L236" s="169"/>
      <c r="M236" s="169"/>
      <c r="N236" s="169"/>
      <c r="O236" s="169"/>
      <c r="P236" s="169"/>
      <c r="Q236" s="169"/>
      <c r="R236" s="169"/>
      <c r="S236" s="169"/>
      <c r="T236" s="169"/>
      <c r="U236" s="169"/>
      <c r="V236" s="169"/>
      <c r="W236" s="169"/>
      <c r="X236" s="169"/>
      <c r="Y236" s="169"/>
      <c r="Z236" s="169"/>
      <c r="AA236" s="169"/>
      <c r="AB236" s="169"/>
      <c r="AC236" s="169"/>
      <c r="AD236" s="169"/>
      <c r="AE236" s="169"/>
      <c r="AF236" s="169"/>
      <c r="AG236" s="169"/>
      <c r="AH236" s="169"/>
      <c r="AI236" s="169"/>
      <c r="AJ236" s="169"/>
      <c r="AK236" s="169"/>
      <c r="AL236" s="169"/>
      <c r="AM236" s="169"/>
      <c r="AN236" s="169"/>
      <c r="AO236" s="169"/>
      <c r="AP236" s="169"/>
      <c r="AQ236" s="169"/>
      <c r="AR236" s="169"/>
      <c r="AS236" s="169"/>
      <c r="AT236" s="169"/>
      <c r="AU236" s="169"/>
      <c r="AV236" s="169"/>
      <c r="AW236" s="169"/>
      <c r="AX236" s="169"/>
      <c r="AY236" s="169"/>
      <c r="CB236" s="4"/>
      <c r="CC236" s="3"/>
      <c r="CD236" s="4"/>
      <c r="CE236" s="469"/>
      <c r="CF236" s="469"/>
      <c r="CG236" s="469"/>
      <c r="CH236" s="3"/>
      <c r="CI236" s="3"/>
    </row>
    <row r="237" spans="1:87" ht="15" customHeight="1">
      <c r="A237" s="169"/>
      <c r="B237" s="169"/>
      <c r="C237" s="169"/>
      <c r="D237" s="169"/>
      <c r="E237" s="169"/>
      <c r="F237" s="169"/>
      <c r="G237" s="169"/>
      <c r="H237" s="169"/>
      <c r="I237" s="169"/>
      <c r="J237" s="169"/>
      <c r="K237" s="169"/>
      <c r="L237" s="169"/>
      <c r="M237" s="169"/>
      <c r="N237" s="169"/>
      <c r="O237" s="169"/>
      <c r="P237" s="169"/>
      <c r="Q237" s="169"/>
      <c r="R237" s="169"/>
      <c r="S237" s="169"/>
      <c r="T237" s="169"/>
      <c r="U237" s="169"/>
      <c r="V237" s="169"/>
      <c r="W237" s="169"/>
      <c r="X237" s="169"/>
      <c r="Y237" s="169"/>
      <c r="Z237" s="169"/>
      <c r="AA237" s="169"/>
      <c r="AB237" s="169"/>
      <c r="AC237" s="169"/>
      <c r="AD237" s="169"/>
      <c r="AE237" s="169"/>
      <c r="AF237" s="169"/>
      <c r="AG237" s="169"/>
      <c r="AH237" s="169"/>
      <c r="AI237" s="169"/>
      <c r="AJ237" s="169"/>
      <c r="AK237" s="169"/>
      <c r="AL237" s="169"/>
      <c r="AM237" s="169"/>
      <c r="AN237" s="169"/>
      <c r="AO237" s="169"/>
      <c r="AP237" s="169"/>
      <c r="AQ237" s="169"/>
      <c r="AR237" s="169"/>
      <c r="AS237" s="169"/>
      <c r="AT237" s="169"/>
      <c r="AU237" s="169"/>
      <c r="AV237" s="169"/>
      <c r="AW237" s="169"/>
      <c r="AX237" s="169"/>
      <c r="AY237" s="169"/>
      <c r="CB237" s="4"/>
      <c r="CC237" s="3"/>
      <c r="CD237" s="4"/>
      <c r="CE237" s="469"/>
      <c r="CF237" s="469"/>
      <c r="CG237" s="469"/>
      <c r="CH237" s="3"/>
      <c r="CI237" s="3"/>
    </row>
    <row r="238" spans="1:87" ht="15" customHeight="1">
      <c r="A238" s="169"/>
      <c r="B238" s="169"/>
      <c r="C238" s="169"/>
      <c r="D238" s="169"/>
      <c r="E238" s="169"/>
      <c r="F238" s="169"/>
      <c r="G238" s="169"/>
      <c r="H238" s="169"/>
      <c r="I238" s="169"/>
      <c r="J238" s="169"/>
      <c r="K238" s="169"/>
      <c r="L238" s="169"/>
      <c r="M238" s="169"/>
      <c r="N238" s="169"/>
      <c r="O238" s="169"/>
      <c r="P238" s="169"/>
      <c r="Q238" s="169"/>
      <c r="R238" s="169"/>
      <c r="S238" s="169"/>
      <c r="T238" s="169"/>
      <c r="U238" s="169"/>
      <c r="V238" s="169"/>
      <c r="W238" s="169"/>
      <c r="X238" s="169"/>
      <c r="Y238" s="169"/>
      <c r="Z238" s="169"/>
      <c r="AA238" s="169"/>
      <c r="AB238" s="169"/>
      <c r="AC238" s="169"/>
      <c r="AD238" s="169"/>
      <c r="AE238" s="169"/>
      <c r="AF238" s="169"/>
      <c r="AG238" s="169"/>
      <c r="AH238" s="169"/>
      <c r="AI238" s="169"/>
      <c r="AJ238" s="169"/>
      <c r="AK238" s="169"/>
      <c r="AL238" s="169"/>
      <c r="AM238" s="169"/>
      <c r="AN238" s="169"/>
      <c r="AO238" s="169"/>
      <c r="AP238" s="169"/>
      <c r="AQ238" s="169"/>
      <c r="AR238" s="169"/>
      <c r="AS238" s="169"/>
      <c r="AT238" s="169"/>
      <c r="AU238" s="169"/>
      <c r="AV238" s="169"/>
      <c r="AW238" s="169"/>
      <c r="AX238" s="169"/>
      <c r="AY238" s="169"/>
      <c r="CB238" s="4"/>
      <c r="CC238" s="3"/>
      <c r="CD238" s="4"/>
      <c r="CE238" s="469"/>
      <c r="CF238" s="469"/>
      <c r="CG238" s="469"/>
      <c r="CH238" s="3"/>
      <c r="CI238" s="3"/>
    </row>
    <row r="239" spans="1:87" ht="15" customHeight="1">
      <c r="A239" s="169"/>
      <c r="B239" s="169"/>
      <c r="C239" s="169"/>
      <c r="D239" s="169"/>
      <c r="E239" s="169"/>
      <c r="F239" s="169"/>
      <c r="G239" s="169"/>
      <c r="H239" s="169"/>
      <c r="I239" s="169"/>
      <c r="J239" s="169"/>
      <c r="K239" s="169"/>
      <c r="L239" s="169"/>
      <c r="M239" s="169"/>
      <c r="N239" s="169"/>
      <c r="O239" s="169"/>
      <c r="P239" s="169"/>
      <c r="Q239" s="169"/>
      <c r="R239" s="169"/>
      <c r="S239" s="169"/>
      <c r="T239" s="169"/>
      <c r="U239" s="169"/>
      <c r="V239" s="169"/>
      <c r="W239" s="169"/>
      <c r="X239" s="169"/>
      <c r="Y239" s="169"/>
      <c r="Z239" s="169"/>
      <c r="AA239" s="169"/>
      <c r="AB239" s="169"/>
      <c r="AC239" s="169"/>
      <c r="AD239" s="169"/>
      <c r="AE239" s="169"/>
      <c r="AF239" s="169"/>
      <c r="AG239" s="169"/>
      <c r="AH239" s="169"/>
      <c r="AI239" s="169"/>
      <c r="AJ239" s="169"/>
      <c r="AK239" s="169"/>
      <c r="AL239" s="169"/>
      <c r="AM239" s="169"/>
      <c r="AN239" s="169"/>
      <c r="AO239" s="169"/>
      <c r="AP239" s="169"/>
      <c r="AQ239" s="169"/>
      <c r="AR239" s="169"/>
      <c r="AS239" s="169"/>
      <c r="AT239" s="169"/>
      <c r="AU239" s="169"/>
      <c r="AV239" s="169"/>
      <c r="AW239" s="169"/>
      <c r="AX239" s="169"/>
      <c r="AY239" s="169"/>
      <c r="CB239" s="4"/>
      <c r="CC239" s="3"/>
      <c r="CD239" s="4"/>
      <c r="CE239" s="469"/>
      <c r="CF239" s="469"/>
      <c r="CG239" s="469"/>
      <c r="CH239" s="3"/>
      <c r="CI239" s="3"/>
    </row>
    <row r="240" spans="1:87" ht="15" customHeight="1">
      <c r="A240" s="169"/>
      <c r="B240" s="169"/>
      <c r="C240" s="169"/>
      <c r="D240" s="169"/>
      <c r="E240" s="169"/>
      <c r="F240" s="169"/>
      <c r="G240" s="169"/>
      <c r="H240" s="169"/>
      <c r="I240" s="169"/>
      <c r="J240" s="169"/>
      <c r="K240" s="169"/>
      <c r="L240" s="169"/>
      <c r="M240" s="169"/>
      <c r="N240" s="169"/>
      <c r="O240" s="169"/>
      <c r="P240" s="169"/>
      <c r="Q240" s="169"/>
      <c r="R240" s="169"/>
      <c r="S240" s="169"/>
      <c r="T240" s="169"/>
      <c r="U240" s="169"/>
      <c r="V240" s="169"/>
      <c r="W240" s="169"/>
      <c r="X240" s="169"/>
      <c r="Y240" s="169"/>
      <c r="Z240" s="169"/>
      <c r="AA240" s="169"/>
      <c r="AB240" s="169"/>
      <c r="AC240" s="169"/>
      <c r="AD240" s="169"/>
      <c r="AE240" s="169"/>
      <c r="AF240" s="169"/>
      <c r="AG240" s="169"/>
      <c r="AH240" s="169"/>
      <c r="AI240" s="169"/>
      <c r="AJ240" s="169"/>
      <c r="AK240" s="169"/>
      <c r="AL240" s="169"/>
      <c r="AM240" s="169"/>
      <c r="AN240" s="169"/>
      <c r="AO240" s="169"/>
      <c r="AP240" s="169"/>
      <c r="AQ240" s="169"/>
      <c r="AR240" s="169"/>
      <c r="AS240" s="169"/>
      <c r="AT240" s="169"/>
      <c r="AU240" s="169"/>
      <c r="AV240" s="169"/>
      <c r="AW240" s="169"/>
      <c r="AX240" s="169"/>
      <c r="AY240" s="169"/>
      <c r="CB240" s="4"/>
      <c r="CC240" s="3"/>
      <c r="CD240" s="4"/>
      <c r="CE240" s="469"/>
      <c r="CF240" s="469"/>
      <c r="CG240" s="469"/>
      <c r="CH240" s="3"/>
      <c r="CI240" s="3"/>
    </row>
    <row r="241" spans="1:87" ht="15" customHeight="1">
      <c r="A241" s="169"/>
      <c r="B241" s="169"/>
      <c r="C241" s="169"/>
      <c r="D241" s="169"/>
      <c r="E241" s="169"/>
      <c r="F241" s="169"/>
      <c r="G241" s="169"/>
      <c r="H241" s="169"/>
      <c r="I241" s="169"/>
      <c r="J241" s="169"/>
      <c r="K241" s="169"/>
      <c r="L241" s="169"/>
      <c r="M241" s="169"/>
      <c r="N241" s="169"/>
      <c r="O241" s="169"/>
      <c r="P241" s="169"/>
      <c r="Q241" s="169"/>
      <c r="R241" s="169"/>
      <c r="S241" s="169"/>
      <c r="T241" s="169"/>
      <c r="U241" s="169"/>
      <c r="V241" s="169"/>
      <c r="W241" s="169"/>
      <c r="X241" s="169"/>
      <c r="Y241" s="169"/>
      <c r="Z241" s="169"/>
      <c r="AA241" s="169"/>
      <c r="AB241" s="169"/>
      <c r="AC241" s="169"/>
      <c r="AD241" s="169"/>
      <c r="AE241" s="169"/>
      <c r="AF241" s="169"/>
      <c r="AG241" s="169"/>
      <c r="AH241" s="169"/>
      <c r="AI241" s="169"/>
      <c r="AJ241" s="169"/>
      <c r="AK241" s="169"/>
      <c r="AL241" s="169"/>
      <c r="AM241" s="169"/>
      <c r="AN241" s="169"/>
      <c r="AO241" s="169"/>
      <c r="AP241" s="169"/>
      <c r="AQ241" s="169"/>
      <c r="AR241" s="169"/>
      <c r="AS241" s="169"/>
      <c r="AT241" s="169"/>
      <c r="AU241" s="169"/>
      <c r="AV241" s="169"/>
      <c r="AW241" s="169"/>
      <c r="AX241" s="169"/>
      <c r="AY241" s="169"/>
      <c r="CB241" s="4"/>
      <c r="CC241" s="3"/>
      <c r="CD241" s="4"/>
      <c r="CE241" s="469"/>
      <c r="CF241" s="469"/>
      <c r="CG241" s="469"/>
      <c r="CH241" s="3"/>
      <c r="CI241" s="3"/>
    </row>
    <row r="242" spans="1:87" ht="15" customHeight="1">
      <c r="A242" s="169"/>
      <c r="B242" s="169"/>
      <c r="C242" s="169"/>
      <c r="D242" s="169"/>
      <c r="E242" s="169"/>
      <c r="F242" s="169"/>
      <c r="G242" s="169"/>
      <c r="H242" s="169"/>
      <c r="I242" s="169"/>
      <c r="J242" s="169"/>
      <c r="K242" s="169"/>
      <c r="L242" s="169"/>
      <c r="M242" s="169"/>
      <c r="N242" s="169"/>
      <c r="O242" s="169"/>
      <c r="P242" s="169"/>
      <c r="Q242" s="169"/>
      <c r="R242" s="169"/>
      <c r="S242" s="169"/>
      <c r="T242" s="169"/>
      <c r="U242" s="169"/>
      <c r="V242" s="169"/>
      <c r="W242" s="169"/>
      <c r="X242" s="169"/>
      <c r="Y242" s="169"/>
      <c r="Z242" s="169"/>
      <c r="AA242" s="169"/>
      <c r="AB242" s="169"/>
      <c r="AC242" s="169"/>
      <c r="AD242" s="169"/>
      <c r="AE242" s="169"/>
      <c r="AF242" s="169"/>
      <c r="AG242" s="169"/>
      <c r="AH242" s="169"/>
      <c r="AI242" s="169"/>
      <c r="AJ242" s="169"/>
      <c r="AK242" s="169"/>
      <c r="AL242" s="169"/>
      <c r="AM242" s="169"/>
      <c r="AN242" s="169"/>
      <c r="AO242" s="169"/>
      <c r="AP242" s="169"/>
      <c r="AQ242" s="169"/>
      <c r="AR242" s="169"/>
      <c r="AS242" s="169"/>
      <c r="AT242" s="169"/>
      <c r="AU242" s="169"/>
      <c r="AV242" s="169"/>
      <c r="AW242" s="169"/>
      <c r="AX242" s="169"/>
      <c r="AY242" s="169"/>
      <c r="CB242" s="4"/>
      <c r="CC242" s="3"/>
      <c r="CD242" s="4"/>
      <c r="CE242" s="469"/>
      <c r="CF242" s="469"/>
      <c r="CG242" s="469"/>
      <c r="CH242" s="3"/>
      <c r="CI242" s="3"/>
    </row>
    <row r="243" spans="1:87" ht="15" customHeight="1">
      <c r="A243" s="169"/>
      <c r="B243" s="169"/>
      <c r="C243" s="169"/>
      <c r="D243" s="169"/>
      <c r="E243" s="169"/>
      <c r="F243" s="169"/>
      <c r="G243" s="169"/>
      <c r="H243" s="169"/>
      <c r="I243" s="169"/>
      <c r="J243" s="169"/>
      <c r="K243" s="169"/>
      <c r="L243" s="169"/>
      <c r="M243" s="169"/>
      <c r="N243" s="169"/>
      <c r="O243" s="169"/>
      <c r="P243" s="169"/>
      <c r="Q243" s="169"/>
      <c r="R243" s="169"/>
      <c r="S243" s="169"/>
      <c r="T243" s="169"/>
      <c r="U243" s="169"/>
      <c r="V243" s="169"/>
      <c r="W243" s="169"/>
      <c r="X243" s="169"/>
      <c r="Y243" s="169"/>
      <c r="Z243" s="169"/>
      <c r="AA243" s="169"/>
      <c r="AB243" s="169"/>
      <c r="AC243" s="169"/>
      <c r="AD243" s="169"/>
      <c r="AE243" s="169"/>
      <c r="AF243" s="169"/>
      <c r="AG243" s="169"/>
      <c r="AH243" s="169"/>
      <c r="AI243" s="169"/>
      <c r="AJ243" s="169"/>
      <c r="AK243" s="169"/>
      <c r="AL243" s="169"/>
      <c r="AM243" s="169"/>
      <c r="AN243" s="169"/>
      <c r="AO243" s="169"/>
      <c r="AP243" s="169"/>
      <c r="AQ243" s="169"/>
      <c r="AR243" s="169"/>
      <c r="AS243" s="169"/>
      <c r="AT243" s="169"/>
      <c r="AU243" s="169"/>
      <c r="AV243" s="169"/>
      <c r="AW243" s="169"/>
      <c r="AX243" s="169"/>
      <c r="AY243" s="169"/>
      <c r="CB243" s="4"/>
      <c r="CC243" s="3"/>
      <c r="CD243" s="4"/>
      <c r="CE243" s="469"/>
      <c r="CF243" s="469"/>
      <c r="CG243" s="469"/>
      <c r="CH243" s="3"/>
      <c r="CI243" s="3"/>
    </row>
    <row r="244" spans="1:87" ht="15" customHeight="1">
      <c r="A244" s="169"/>
      <c r="B244" s="169"/>
      <c r="C244" s="169"/>
      <c r="D244" s="169"/>
      <c r="E244" s="169"/>
      <c r="F244" s="169"/>
      <c r="G244" s="169"/>
      <c r="H244" s="169"/>
      <c r="I244" s="169"/>
      <c r="J244" s="169"/>
      <c r="K244" s="169"/>
      <c r="L244" s="169"/>
      <c r="M244" s="169"/>
      <c r="N244" s="169"/>
      <c r="O244" s="169"/>
      <c r="P244" s="169"/>
      <c r="Q244" s="169"/>
      <c r="R244" s="169"/>
      <c r="S244" s="169"/>
      <c r="T244" s="169"/>
      <c r="U244" s="169"/>
      <c r="V244" s="169"/>
      <c r="W244" s="169"/>
      <c r="X244" s="169"/>
      <c r="Y244" s="169"/>
      <c r="Z244" s="169"/>
      <c r="AA244" s="169"/>
      <c r="AB244" s="169"/>
      <c r="AC244" s="169"/>
      <c r="AD244" s="169"/>
      <c r="AE244" s="169"/>
      <c r="AF244" s="169"/>
      <c r="AG244" s="169"/>
      <c r="AH244" s="169"/>
      <c r="AI244" s="169"/>
      <c r="AJ244" s="169"/>
      <c r="AK244" s="169"/>
      <c r="AL244" s="169"/>
      <c r="AM244" s="169"/>
      <c r="AN244" s="169"/>
      <c r="AO244" s="169"/>
      <c r="AP244" s="169"/>
      <c r="AQ244" s="169"/>
      <c r="AR244" s="169"/>
      <c r="AS244" s="169"/>
      <c r="AT244" s="169"/>
      <c r="AU244" s="169"/>
      <c r="AV244" s="169"/>
      <c r="AW244" s="169"/>
      <c r="AX244" s="169"/>
      <c r="AY244" s="169"/>
      <c r="CB244" s="4"/>
      <c r="CC244" s="3"/>
      <c r="CD244" s="4"/>
      <c r="CE244" s="469"/>
      <c r="CF244" s="469"/>
      <c r="CG244" s="469"/>
      <c r="CH244" s="3"/>
      <c r="CI244" s="3"/>
    </row>
    <row r="245" spans="1:87" ht="15" customHeight="1">
      <c r="A245" s="169"/>
      <c r="B245" s="169"/>
      <c r="C245" s="169"/>
      <c r="D245" s="169"/>
      <c r="E245" s="169"/>
      <c r="F245" s="169"/>
      <c r="G245" s="169"/>
      <c r="H245" s="169"/>
      <c r="I245" s="169"/>
      <c r="J245" s="169"/>
      <c r="K245" s="169"/>
      <c r="L245" s="169"/>
      <c r="M245" s="169"/>
      <c r="N245" s="169"/>
      <c r="O245" s="169"/>
      <c r="P245" s="169"/>
      <c r="Q245" s="169"/>
      <c r="R245" s="169"/>
      <c r="S245" s="169"/>
      <c r="T245" s="169"/>
      <c r="U245" s="169"/>
      <c r="V245" s="169"/>
      <c r="W245" s="169"/>
      <c r="X245" s="169"/>
      <c r="Y245" s="169"/>
      <c r="Z245" s="169"/>
      <c r="AA245" s="169"/>
      <c r="AB245" s="169"/>
      <c r="AC245" s="169"/>
      <c r="AD245" s="169"/>
      <c r="AE245" s="169"/>
      <c r="AF245" s="169"/>
      <c r="AG245" s="169"/>
      <c r="AH245" s="169"/>
      <c r="AI245" s="169"/>
      <c r="AJ245" s="169"/>
      <c r="AK245" s="169"/>
      <c r="AL245" s="169"/>
      <c r="AM245" s="169"/>
      <c r="AN245" s="169"/>
      <c r="AO245" s="169"/>
      <c r="AP245" s="169"/>
      <c r="AQ245" s="169"/>
      <c r="AR245" s="169"/>
      <c r="AS245" s="169"/>
      <c r="AT245" s="169"/>
      <c r="AU245" s="169"/>
      <c r="AV245" s="169"/>
      <c r="AW245" s="169"/>
      <c r="AX245" s="169"/>
      <c r="AY245" s="169"/>
      <c r="CB245" s="4"/>
      <c r="CC245" s="3"/>
      <c r="CD245" s="4"/>
      <c r="CE245" s="469"/>
      <c r="CF245" s="469"/>
      <c r="CG245" s="469"/>
      <c r="CH245" s="3"/>
      <c r="CI245" s="3"/>
    </row>
    <row r="246" spans="1:87" ht="15" customHeight="1">
      <c r="A246" s="169"/>
      <c r="B246" s="169"/>
      <c r="C246" s="169"/>
      <c r="D246" s="169"/>
      <c r="E246" s="169"/>
      <c r="F246" s="169"/>
      <c r="G246" s="169"/>
      <c r="H246" s="169"/>
      <c r="I246" s="169"/>
      <c r="J246" s="169"/>
      <c r="K246" s="169"/>
      <c r="L246" s="169"/>
      <c r="M246" s="169"/>
      <c r="N246" s="169"/>
      <c r="O246" s="169"/>
      <c r="P246" s="169"/>
      <c r="Q246" s="169"/>
      <c r="R246" s="169"/>
      <c r="S246" s="169"/>
      <c r="T246" s="169"/>
      <c r="U246" s="169"/>
      <c r="V246" s="169"/>
      <c r="W246" s="169"/>
      <c r="X246" s="169"/>
      <c r="Y246" s="169"/>
      <c r="Z246" s="169"/>
      <c r="AA246" s="169"/>
      <c r="AB246" s="169"/>
      <c r="AC246" s="169"/>
      <c r="AD246" s="169"/>
      <c r="AE246" s="169"/>
      <c r="AF246" s="169"/>
      <c r="AG246" s="169"/>
      <c r="AH246" s="169"/>
      <c r="AI246" s="169"/>
      <c r="AJ246" s="169"/>
      <c r="AK246" s="169"/>
      <c r="AL246" s="169"/>
      <c r="AM246" s="169"/>
      <c r="AN246" s="169"/>
      <c r="AO246" s="169"/>
      <c r="AP246" s="169"/>
      <c r="AQ246" s="169"/>
      <c r="AR246" s="169"/>
      <c r="AS246" s="169"/>
      <c r="AT246" s="169"/>
      <c r="AU246" s="169"/>
      <c r="AV246" s="169"/>
      <c r="AW246" s="169"/>
      <c r="AX246" s="169"/>
      <c r="AY246" s="169"/>
      <c r="CB246" s="4"/>
      <c r="CC246" s="3"/>
      <c r="CD246" s="4"/>
      <c r="CE246" s="469"/>
      <c r="CF246" s="469"/>
      <c r="CG246" s="469"/>
      <c r="CH246" s="3"/>
      <c r="CI246" s="3"/>
    </row>
    <row r="247" spans="1:87" ht="15" customHeight="1">
      <c r="A247" s="169"/>
      <c r="B247" s="169"/>
      <c r="C247" s="169"/>
      <c r="D247" s="169"/>
      <c r="E247" s="169"/>
      <c r="F247" s="169"/>
      <c r="G247" s="169"/>
      <c r="H247" s="169"/>
      <c r="I247" s="169"/>
      <c r="J247" s="169"/>
      <c r="K247" s="169"/>
      <c r="L247" s="169"/>
      <c r="M247" s="169"/>
      <c r="N247" s="169"/>
      <c r="O247" s="169"/>
      <c r="P247" s="169"/>
      <c r="Q247" s="169"/>
      <c r="R247" s="169"/>
      <c r="S247" s="169"/>
      <c r="T247" s="169"/>
      <c r="U247" s="169"/>
      <c r="V247" s="169"/>
      <c r="W247" s="169"/>
      <c r="X247" s="169"/>
      <c r="Y247" s="169"/>
      <c r="Z247" s="169"/>
      <c r="AA247" s="169"/>
      <c r="AB247" s="169"/>
      <c r="AC247" s="169"/>
      <c r="AD247" s="169"/>
      <c r="AE247" s="169"/>
      <c r="AF247" s="169"/>
      <c r="AG247" s="169"/>
      <c r="AH247" s="169"/>
      <c r="AI247" s="169"/>
      <c r="AJ247" s="169"/>
      <c r="AK247" s="169"/>
      <c r="AL247" s="169"/>
      <c r="AM247" s="169"/>
      <c r="AN247" s="169"/>
      <c r="AO247" s="169"/>
      <c r="AP247" s="169"/>
      <c r="AQ247" s="169"/>
      <c r="AR247" s="169"/>
      <c r="AS247" s="169"/>
      <c r="AT247" s="169"/>
      <c r="AU247" s="169"/>
      <c r="AV247" s="169"/>
      <c r="AW247" s="169"/>
      <c r="AX247" s="169"/>
      <c r="AY247" s="169"/>
      <c r="CB247" s="4"/>
      <c r="CC247" s="3"/>
      <c r="CD247" s="4"/>
      <c r="CE247" s="469"/>
      <c r="CF247" s="469"/>
      <c r="CG247" s="469"/>
      <c r="CH247" s="3"/>
      <c r="CI247" s="3"/>
    </row>
    <row r="248" spans="1:87" ht="15" customHeight="1">
      <c r="A248" s="169"/>
      <c r="B248" s="169"/>
      <c r="C248" s="169"/>
      <c r="D248" s="169"/>
      <c r="E248" s="169"/>
      <c r="F248" s="169"/>
      <c r="G248" s="169"/>
      <c r="H248" s="169"/>
      <c r="I248" s="169"/>
      <c r="J248" s="169"/>
      <c r="K248" s="169"/>
      <c r="L248" s="169"/>
      <c r="M248" s="169"/>
      <c r="N248" s="169"/>
      <c r="O248" s="169"/>
      <c r="P248" s="169"/>
      <c r="Q248" s="169"/>
      <c r="R248" s="169"/>
      <c r="S248" s="169"/>
      <c r="T248" s="169"/>
      <c r="U248" s="169"/>
      <c r="V248" s="169"/>
      <c r="W248" s="169"/>
      <c r="X248" s="169"/>
      <c r="Y248" s="169"/>
      <c r="Z248" s="169"/>
      <c r="AA248" s="169"/>
      <c r="AB248" s="169"/>
      <c r="AC248" s="169"/>
      <c r="AD248" s="169"/>
      <c r="AE248" s="169"/>
      <c r="AF248" s="169"/>
      <c r="AG248" s="169"/>
      <c r="AH248" s="169"/>
      <c r="AI248" s="169"/>
      <c r="AJ248" s="169"/>
      <c r="AK248" s="169"/>
      <c r="AL248" s="169"/>
      <c r="AM248" s="169"/>
      <c r="AN248" s="169"/>
      <c r="AO248" s="169"/>
      <c r="AP248" s="169"/>
      <c r="AQ248" s="169"/>
      <c r="AR248" s="169"/>
      <c r="AS248" s="169"/>
      <c r="AT248" s="169"/>
      <c r="AU248" s="169"/>
      <c r="AV248" s="169"/>
      <c r="AW248" s="169"/>
      <c r="AX248" s="169"/>
      <c r="AY248" s="169"/>
      <c r="CB248" s="4"/>
    </row>
    <row r="249" spans="1:87" ht="15" customHeight="1">
      <c r="A249" s="169"/>
      <c r="B249" s="169"/>
      <c r="C249" s="169"/>
      <c r="D249" s="169"/>
      <c r="E249" s="169"/>
      <c r="F249" s="169"/>
      <c r="G249" s="169"/>
      <c r="H249" s="169"/>
      <c r="I249" s="169"/>
      <c r="J249" s="169"/>
      <c r="K249" s="169"/>
      <c r="L249" s="169"/>
      <c r="M249" s="169"/>
      <c r="N249" s="169"/>
      <c r="O249" s="169"/>
      <c r="P249" s="169"/>
      <c r="Q249" s="169"/>
      <c r="R249" s="169"/>
      <c r="S249" s="169"/>
      <c r="T249" s="169"/>
      <c r="U249" s="169"/>
      <c r="V249" s="169"/>
      <c r="W249" s="169"/>
      <c r="X249" s="169"/>
      <c r="Y249" s="169"/>
      <c r="Z249" s="169"/>
      <c r="AA249" s="169"/>
      <c r="AB249" s="169"/>
      <c r="AC249" s="169"/>
      <c r="AD249" s="169"/>
      <c r="AE249" s="169"/>
      <c r="AF249" s="169"/>
      <c r="AG249" s="169"/>
      <c r="AH249" s="169"/>
      <c r="AI249" s="169"/>
      <c r="AJ249" s="169"/>
      <c r="AK249" s="169"/>
      <c r="AL249" s="169"/>
      <c r="AM249" s="169"/>
      <c r="AN249" s="169"/>
      <c r="AO249" s="169"/>
      <c r="AP249" s="169"/>
      <c r="AQ249" s="169"/>
      <c r="AR249" s="169"/>
      <c r="AS249" s="169"/>
      <c r="AT249" s="169"/>
      <c r="AU249" s="169"/>
      <c r="AV249" s="169"/>
      <c r="AW249" s="169"/>
      <c r="AX249" s="169"/>
      <c r="AY249" s="169"/>
      <c r="CB249" s="4"/>
    </row>
    <row r="250" spans="1:87" ht="15" customHeight="1">
      <c r="A250" s="169"/>
      <c r="B250" s="169"/>
      <c r="C250" s="169"/>
      <c r="D250" s="169"/>
      <c r="E250" s="169"/>
      <c r="F250" s="169"/>
      <c r="G250" s="169"/>
      <c r="H250" s="169"/>
      <c r="I250" s="169"/>
      <c r="J250" s="169"/>
      <c r="K250" s="169"/>
      <c r="L250" s="169"/>
      <c r="M250" s="169"/>
      <c r="N250" s="169"/>
      <c r="O250" s="169"/>
      <c r="P250" s="169"/>
      <c r="Q250" s="169"/>
      <c r="R250" s="169"/>
      <c r="S250" s="169"/>
      <c r="T250" s="169"/>
      <c r="U250" s="169"/>
      <c r="V250" s="169"/>
      <c r="W250" s="169"/>
      <c r="X250" s="169"/>
      <c r="Y250" s="169"/>
      <c r="Z250" s="169"/>
      <c r="AA250" s="169"/>
      <c r="AB250" s="169"/>
      <c r="AC250" s="169"/>
      <c r="AD250" s="169"/>
      <c r="AE250" s="169"/>
      <c r="AF250" s="169"/>
      <c r="AG250" s="169"/>
      <c r="AH250" s="169"/>
      <c r="AI250" s="169"/>
      <c r="AJ250" s="169"/>
      <c r="AK250" s="169"/>
      <c r="AL250" s="169"/>
      <c r="AM250" s="169"/>
      <c r="AN250" s="169"/>
      <c r="AO250" s="169"/>
      <c r="AP250" s="169"/>
      <c r="AQ250" s="169"/>
      <c r="AR250" s="169"/>
      <c r="AS250" s="169"/>
      <c r="AT250" s="169"/>
      <c r="AU250" s="169"/>
      <c r="AV250" s="169"/>
      <c r="AW250" s="169"/>
      <c r="AX250" s="169"/>
      <c r="AY250" s="169"/>
    </row>
    <row r="251" spans="1:87" ht="15" customHeight="1">
      <c r="A251" s="169"/>
      <c r="B251" s="169"/>
      <c r="C251" s="169"/>
      <c r="D251" s="169"/>
      <c r="E251" s="169"/>
      <c r="F251" s="169"/>
      <c r="G251" s="169"/>
      <c r="H251" s="169"/>
      <c r="I251" s="169"/>
      <c r="J251" s="169"/>
      <c r="K251" s="169"/>
      <c r="L251" s="169"/>
      <c r="M251" s="169"/>
      <c r="N251" s="169"/>
      <c r="O251" s="169"/>
      <c r="P251" s="169"/>
      <c r="Q251" s="169"/>
      <c r="R251" s="169"/>
      <c r="S251" s="169"/>
      <c r="T251" s="169"/>
      <c r="U251" s="169"/>
      <c r="V251" s="169"/>
      <c r="W251" s="169"/>
      <c r="X251" s="169"/>
      <c r="Y251" s="169"/>
      <c r="Z251" s="169"/>
      <c r="AA251" s="169"/>
      <c r="AB251" s="169"/>
      <c r="AC251" s="169"/>
      <c r="AD251" s="169"/>
      <c r="AE251" s="169"/>
      <c r="AF251" s="169"/>
      <c r="AG251" s="169"/>
      <c r="AH251" s="169"/>
      <c r="AI251" s="169"/>
      <c r="AJ251" s="169"/>
      <c r="AK251" s="169"/>
      <c r="AL251" s="169"/>
      <c r="AM251" s="169"/>
      <c r="AN251" s="169"/>
      <c r="AO251" s="169"/>
      <c r="AP251" s="169"/>
      <c r="AQ251" s="169"/>
      <c r="AR251" s="169"/>
      <c r="AS251" s="169"/>
      <c r="AT251" s="169"/>
      <c r="AU251" s="169"/>
      <c r="AV251" s="169"/>
      <c r="AW251" s="169"/>
      <c r="AX251" s="169"/>
      <c r="AY251" s="169"/>
    </row>
    <row r="252" spans="1:87" ht="15" customHeight="1">
      <c r="A252" s="169"/>
      <c r="B252" s="169"/>
      <c r="C252" s="169"/>
      <c r="D252" s="169"/>
      <c r="E252" s="169"/>
      <c r="F252" s="169"/>
      <c r="G252" s="169"/>
      <c r="H252" s="169"/>
      <c r="I252" s="169"/>
      <c r="J252" s="169"/>
      <c r="K252" s="169"/>
      <c r="L252" s="169"/>
      <c r="M252" s="169"/>
      <c r="N252" s="169"/>
      <c r="O252" s="169"/>
      <c r="P252" s="169"/>
      <c r="Q252" s="169"/>
      <c r="R252" s="169"/>
      <c r="S252" s="169"/>
      <c r="T252" s="169"/>
      <c r="U252" s="169"/>
      <c r="V252" s="169"/>
      <c r="W252" s="169"/>
      <c r="X252" s="169"/>
      <c r="Y252" s="169"/>
      <c r="Z252" s="169"/>
      <c r="AA252" s="169"/>
      <c r="AB252" s="169"/>
      <c r="AC252" s="169"/>
      <c r="AD252" s="169"/>
      <c r="AE252" s="169"/>
      <c r="AF252" s="169"/>
      <c r="AG252" s="169"/>
      <c r="AH252" s="169"/>
      <c r="AI252" s="169"/>
      <c r="AJ252" s="169"/>
      <c r="AK252" s="169"/>
      <c r="AL252" s="169"/>
      <c r="AM252" s="169"/>
      <c r="AN252" s="169"/>
      <c r="AO252" s="169"/>
      <c r="AP252" s="169"/>
      <c r="AQ252" s="169"/>
      <c r="AR252" s="169"/>
      <c r="AS252" s="169"/>
      <c r="AT252" s="169"/>
      <c r="AU252" s="169"/>
      <c r="AV252" s="169"/>
      <c r="AW252" s="169"/>
      <c r="AX252" s="169"/>
      <c r="AY252" s="169"/>
    </row>
    <row r="253" spans="1:87" ht="15" customHeight="1">
      <c r="A253" s="169"/>
      <c r="B253" s="169"/>
      <c r="C253" s="169"/>
      <c r="D253" s="169"/>
      <c r="E253" s="169"/>
      <c r="F253" s="169"/>
      <c r="G253" s="169"/>
      <c r="H253" s="169"/>
      <c r="I253" s="169"/>
      <c r="J253" s="169"/>
      <c r="K253" s="169"/>
      <c r="L253" s="169"/>
      <c r="M253" s="169"/>
      <c r="N253" s="169"/>
      <c r="O253" s="169"/>
      <c r="P253" s="169"/>
      <c r="Q253" s="169"/>
      <c r="R253" s="169"/>
      <c r="S253" s="169"/>
      <c r="T253" s="169"/>
      <c r="U253" s="169"/>
      <c r="V253" s="169"/>
      <c r="W253" s="169"/>
      <c r="X253" s="169"/>
      <c r="Y253" s="169"/>
      <c r="Z253" s="169"/>
      <c r="AA253" s="169"/>
      <c r="AB253" s="169"/>
      <c r="AC253" s="169"/>
      <c r="AD253" s="169"/>
      <c r="AE253" s="169"/>
      <c r="AF253" s="169"/>
      <c r="AG253" s="169"/>
      <c r="AH253" s="169"/>
      <c r="AI253" s="169"/>
      <c r="AJ253" s="169"/>
      <c r="AK253" s="169"/>
      <c r="AL253" s="169"/>
      <c r="AM253" s="169"/>
      <c r="AN253" s="169"/>
      <c r="AO253" s="169"/>
      <c r="AP253" s="169"/>
      <c r="AQ253" s="169"/>
      <c r="AR253" s="169"/>
      <c r="AS253" s="169"/>
      <c r="AT253" s="169"/>
      <c r="AU253" s="169"/>
      <c r="AV253" s="169"/>
      <c r="AW253" s="169"/>
      <c r="AX253" s="169"/>
      <c r="AY253" s="169"/>
    </row>
    <row r="254" spans="1:87" ht="15" customHeight="1">
      <c r="A254" s="169"/>
      <c r="B254" s="169"/>
      <c r="C254" s="169"/>
      <c r="D254" s="169"/>
      <c r="E254" s="169"/>
      <c r="F254" s="169"/>
      <c r="G254" s="169"/>
      <c r="H254" s="169"/>
      <c r="I254" s="169"/>
      <c r="J254" s="169"/>
      <c r="K254" s="169"/>
      <c r="L254" s="169"/>
      <c r="M254" s="169"/>
      <c r="N254" s="169"/>
      <c r="O254" s="169"/>
      <c r="P254" s="169"/>
      <c r="Q254" s="169"/>
      <c r="R254" s="169"/>
      <c r="S254" s="169"/>
      <c r="T254" s="169"/>
      <c r="U254" s="169"/>
      <c r="V254" s="169"/>
      <c r="W254" s="169"/>
      <c r="X254" s="169"/>
      <c r="Y254" s="169"/>
      <c r="Z254" s="169"/>
      <c r="AA254" s="169"/>
      <c r="AB254" s="169"/>
      <c r="AC254" s="169"/>
      <c r="AD254" s="169"/>
      <c r="AE254" s="169"/>
      <c r="AF254" s="169"/>
      <c r="AG254" s="169"/>
      <c r="AH254" s="169"/>
      <c r="AI254" s="169"/>
      <c r="AJ254" s="169"/>
      <c r="AK254" s="169"/>
      <c r="AL254" s="169"/>
      <c r="AM254" s="169"/>
      <c r="AN254" s="169"/>
      <c r="AO254" s="169"/>
      <c r="AP254" s="169"/>
      <c r="AQ254" s="169"/>
      <c r="AR254" s="169"/>
      <c r="AS254" s="169"/>
      <c r="AT254" s="169"/>
      <c r="AU254" s="169"/>
      <c r="AV254" s="169"/>
      <c r="AW254" s="169"/>
      <c r="AX254" s="169"/>
      <c r="AY254" s="169"/>
    </row>
    <row r="255" spans="1:87" ht="15" customHeight="1">
      <c r="A255" s="169"/>
      <c r="B255" s="169"/>
      <c r="C255" s="169"/>
      <c r="D255" s="169"/>
      <c r="E255" s="169"/>
      <c r="F255" s="169"/>
      <c r="G255" s="169"/>
      <c r="H255" s="169"/>
      <c r="I255" s="169"/>
      <c r="J255" s="169"/>
      <c r="K255" s="169"/>
      <c r="L255" s="169"/>
      <c r="M255" s="169"/>
      <c r="N255" s="169"/>
      <c r="O255" s="169"/>
      <c r="P255" s="169"/>
      <c r="Q255" s="169"/>
      <c r="R255" s="169"/>
      <c r="S255" s="169"/>
      <c r="T255" s="169"/>
      <c r="U255" s="169"/>
      <c r="V255" s="169"/>
      <c r="W255" s="169"/>
      <c r="X255" s="169"/>
      <c r="Y255" s="169"/>
      <c r="Z255" s="169"/>
      <c r="AA255" s="169"/>
      <c r="AB255" s="169"/>
      <c r="AC255" s="169"/>
      <c r="AD255" s="169"/>
      <c r="AE255" s="169"/>
      <c r="AF255" s="169"/>
      <c r="AG255" s="169"/>
      <c r="AH255" s="169"/>
      <c r="AI255" s="169"/>
      <c r="AJ255" s="169"/>
      <c r="AK255" s="169"/>
      <c r="AL255" s="169"/>
      <c r="AM255" s="169"/>
      <c r="AN255" s="169"/>
      <c r="AO255" s="169"/>
      <c r="AP255" s="169"/>
      <c r="AQ255" s="169"/>
      <c r="AR255" s="169"/>
      <c r="AS255" s="169"/>
      <c r="AT255" s="169"/>
      <c r="AU255" s="169"/>
      <c r="AV255" s="169"/>
      <c r="AW255" s="169"/>
      <c r="AX255" s="169"/>
      <c r="AY255" s="169"/>
    </row>
    <row r="256" spans="1:87" ht="15" customHeight="1">
      <c r="A256" s="169"/>
      <c r="B256" s="169"/>
      <c r="C256" s="169"/>
      <c r="D256" s="169"/>
      <c r="E256" s="169"/>
      <c r="F256" s="169"/>
      <c r="G256" s="169"/>
      <c r="H256" s="169"/>
      <c r="I256" s="169"/>
      <c r="J256" s="169"/>
      <c r="K256" s="169"/>
      <c r="L256" s="169"/>
      <c r="M256" s="169"/>
      <c r="N256" s="169"/>
      <c r="O256" s="169"/>
      <c r="P256" s="169"/>
      <c r="Q256" s="169"/>
      <c r="R256" s="169"/>
      <c r="S256" s="169"/>
      <c r="T256" s="169"/>
      <c r="U256" s="169"/>
      <c r="V256" s="169"/>
      <c r="W256" s="169"/>
      <c r="X256" s="169"/>
      <c r="Y256" s="169"/>
      <c r="Z256" s="169"/>
      <c r="AA256" s="169"/>
      <c r="AB256" s="169"/>
      <c r="AC256" s="169"/>
      <c r="AD256" s="169"/>
      <c r="AE256" s="169"/>
      <c r="AF256" s="169"/>
      <c r="AG256" s="169"/>
      <c r="AH256" s="169"/>
      <c r="AI256" s="169"/>
      <c r="AJ256" s="169"/>
      <c r="AK256" s="169"/>
      <c r="AL256" s="169"/>
      <c r="AM256" s="169"/>
      <c r="AN256" s="169"/>
      <c r="AO256" s="169"/>
      <c r="AP256" s="169"/>
      <c r="AQ256" s="169"/>
      <c r="AR256" s="169"/>
      <c r="AS256" s="169"/>
      <c r="AT256" s="169"/>
      <c r="AU256" s="169"/>
      <c r="AV256" s="169"/>
      <c r="AW256" s="169"/>
      <c r="AX256" s="169"/>
      <c r="AY256" s="169"/>
    </row>
    <row r="257" spans="1:51" ht="15" customHeight="1">
      <c r="A257" s="169"/>
      <c r="B257" s="169"/>
      <c r="C257" s="169"/>
      <c r="D257" s="169"/>
      <c r="E257" s="169"/>
      <c r="F257" s="169"/>
      <c r="G257" s="169"/>
      <c r="H257" s="169"/>
      <c r="I257" s="169"/>
      <c r="J257" s="169"/>
      <c r="K257" s="169"/>
      <c r="L257" s="169"/>
      <c r="M257" s="169"/>
      <c r="N257" s="169"/>
      <c r="O257" s="169"/>
      <c r="P257" s="169"/>
      <c r="Q257" s="169"/>
      <c r="R257" s="169"/>
      <c r="S257" s="169"/>
      <c r="T257" s="169"/>
      <c r="U257" s="169"/>
      <c r="V257" s="169"/>
      <c r="W257" s="169"/>
      <c r="X257" s="169"/>
      <c r="Y257" s="169"/>
      <c r="Z257" s="169"/>
      <c r="AA257" s="169"/>
      <c r="AB257" s="169"/>
      <c r="AC257" s="169"/>
      <c r="AD257" s="169"/>
      <c r="AE257" s="169"/>
      <c r="AF257" s="169"/>
      <c r="AG257" s="169"/>
      <c r="AH257" s="169"/>
      <c r="AI257" s="169"/>
      <c r="AJ257" s="169"/>
      <c r="AK257" s="169"/>
      <c r="AL257" s="169"/>
      <c r="AM257" s="169"/>
      <c r="AN257" s="169"/>
      <c r="AO257" s="169"/>
      <c r="AP257" s="169"/>
      <c r="AQ257" s="169"/>
      <c r="AR257" s="169"/>
      <c r="AS257" s="169"/>
      <c r="AT257" s="169"/>
      <c r="AU257" s="169"/>
      <c r="AV257" s="169"/>
      <c r="AW257" s="169"/>
      <c r="AX257" s="169"/>
      <c r="AY257" s="169"/>
    </row>
    <row r="258" spans="1:51" ht="15" customHeight="1">
      <c r="A258" s="169"/>
      <c r="B258" s="169"/>
      <c r="C258" s="169"/>
      <c r="D258" s="169"/>
      <c r="E258" s="169"/>
      <c r="F258" s="169"/>
      <c r="G258" s="169"/>
      <c r="H258" s="169"/>
      <c r="I258" s="169"/>
      <c r="J258" s="169"/>
      <c r="K258" s="169"/>
      <c r="L258" s="169"/>
      <c r="M258" s="169"/>
      <c r="N258" s="169"/>
      <c r="O258" s="169"/>
      <c r="P258" s="169"/>
      <c r="Q258" s="169"/>
      <c r="R258" s="169"/>
      <c r="S258" s="169"/>
      <c r="T258" s="169"/>
      <c r="U258" s="169"/>
      <c r="V258" s="169"/>
      <c r="W258" s="169"/>
      <c r="X258" s="169"/>
      <c r="Y258" s="169"/>
      <c r="Z258" s="169"/>
      <c r="AA258" s="169"/>
      <c r="AB258" s="169"/>
      <c r="AC258" s="169"/>
      <c r="AD258" s="169"/>
      <c r="AE258" s="169"/>
      <c r="AF258" s="169"/>
      <c r="AG258" s="169"/>
      <c r="AH258" s="169"/>
      <c r="AI258" s="169"/>
      <c r="AJ258" s="169"/>
      <c r="AK258" s="169"/>
      <c r="AL258" s="169"/>
      <c r="AM258" s="169"/>
      <c r="AN258" s="169"/>
      <c r="AO258" s="169"/>
      <c r="AP258" s="169"/>
      <c r="AQ258" s="169"/>
      <c r="AR258" s="169"/>
      <c r="AS258" s="169"/>
      <c r="AT258" s="169"/>
      <c r="AU258" s="169"/>
      <c r="AV258" s="169"/>
      <c r="AW258" s="169"/>
      <c r="AX258" s="169"/>
      <c r="AY258" s="169"/>
    </row>
    <row r="259" spans="1:51" ht="15" customHeight="1">
      <c r="A259" s="169"/>
      <c r="B259" s="169"/>
      <c r="C259" s="169"/>
      <c r="D259" s="169"/>
      <c r="E259" s="169"/>
      <c r="F259" s="169"/>
      <c r="G259" s="169"/>
      <c r="H259" s="169"/>
      <c r="I259" s="169"/>
      <c r="J259" s="169"/>
      <c r="K259" s="169"/>
      <c r="L259" s="169"/>
      <c r="M259" s="169"/>
      <c r="N259" s="169"/>
      <c r="O259" s="169"/>
      <c r="P259" s="169"/>
      <c r="Q259" s="169"/>
      <c r="R259" s="169"/>
      <c r="S259" s="169"/>
      <c r="T259" s="169"/>
      <c r="U259" s="169"/>
      <c r="V259" s="169"/>
      <c r="W259" s="169"/>
      <c r="X259" s="169"/>
      <c r="Y259" s="169"/>
      <c r="Z259" s="169"/>
      <c r="AA259" s="169"/>
      <c r="AB259" s="169"/>
      <c r="AC259" s="169"/>
      <c r="AD259" s="169"/>
      <c r="AE259" s="169"/>
      <c r="AF259" s="169"/>
      <c r="AG259" s="169"/>
      <c r="AH259" s="169"/>
      <c r="AI259" s="169"/>
      <c r="AJ259" s="169"/>
      <c r="AK259" s="169"/>
      <c r="AL259" s="169"/>
      <c r="AM259" s="169"/>
      <c r="AN259" s="169"/>
      <c r="AO259" s="169"/>
      <c r="AP259" s="169"/>
      <c r="AQ259" s="169"/>
      <c r="AR259" s="169"/>
      <c r="AS259" s="169"/>
      <c r="AT259" s="169"/>
      <c r="AU259" s="169"/>
      <c r="AV259" s="169"/>
      <c r="AW259" s="169"/>
      <c r="AX259" s="169"/>
      <c r="AY259" s="169"/>
    </row>
    <row r="260" spans="1:51" ht="15" customHeight="1">
      <c r="A260" s="169"/>
      <c r="B260" s="169"/>
      <c r="C260" s="169"/>
      <c r="D260" s="169"/>
      <c r="E260" s="169"/>
      <c r="F260" s="169"/>
      <c r="G260" s="169"/>
      <c r="H260" s="169"/>
      <c r="I260" s="169"/>
      <c r="J260" s="169"/>
      <c r="K260" s="169"/>
      <c r="L260" s="169"/>
      <c r="M260" s="169"/>
      <c r="N260" s="169"/>
      <c r="O260" s="169"/>
      <c r="P260" s="169"/>
      <c r="Q260" s="169"/>
      <c r="R260" s="169"/>
      <c r="S260" s="169"/>
      <c r="T260" s="169"/>
      <c r="U260" s="169"/>
      <c r="V260" s="169"/>
      <c r="W260" s="169"/>
      <c r="X260" s="169"/>
      <c r="Y260" s="169"/>
      <c r="Z260" s="169"/>
      <c r="AA260" s="169"/>
      <c r="AB260" s="169"/>
      <c r="AC260" s="169"/>
      <c r="AD260" s="169"/>
      <c r="AE260" s="169"/>
      <c r="AF260" s="169"/>
      <c r="AG260" s="169"/>
      <c r="AH260" s="169"/>
      <c r="AI260" s="169"/>
      <c r="AJ260" s="169"/>
      <c r="AK260" s="169"/>
      <c r="AL260" s="169"/>
      <c r="AM260" s="169"/>
      <c r="AN260" s="169"/>
      <c r="AO260" s="169"/>
      <c r="AP260" s="169"/>
      <c r="AQ260" s="169"/>
      <c r="AR260" s="169"/>
      <c r="AS260" s="169"/>
      <c r="AT260" s="169"/>
      <c r="AU260" s="169"/>
      <c r="AV260" s="169"/>
      <c r="AW260" s="169"/>
      <c r="AX260" s="169"/>
      <c r="AY260" s="169"/>
    </row>
    <row r="261" spans="1:51" ht="15" customHeight="1">
      <c r="A261" s="169"/>
      <c r="B261" s="169"/>
      <c r="C261" s="169"/>
      <c r="D261" s="169"/>
      <c r="E261" s="169"/>
      <c r="F261" s="169"/>
      <c r="G261" s="169"/>
      <c r="H261" s="169"/>
      <c r="I261" s="169"/>
      <c r="J261" s="169"/>
      <c r="K261" s="169"/>
      <c r="L261" s="169"/>
      <c r="M261" s="169"/>
      <c r="N261" s="169"/>
      <c r="O261" s="169"/>
      <c r="P261" s="169"/>
      <c r="Q261" s="169"/>
      <c r="R261" s="169"/>
      <c r="S261" s="169"/>
      <c r="T261" s="169"/>
      <c r="U261" s="169"/>
      <c r="V261" s="169"/>
      <c r="W261" s="169"/>
      <c r="X261" s="169"/>
      <c r="Y261" s="169"/>
      <c r="Z261" s="169"/>
      <c r="AA261" s="169"/>
      <c r="AB261" s="169"/>
      <c r="AC261" s="169"/>
      <c r="AD261" s="169"/>
      <c r="AE261" s="169"/>
      <c r="AF261" s="169"/>
      <c r="AG261" s="169"/>
      <c r="AH261" s="169"/>
      <c r="AI261" s="169"/>
      <c r="AJ261" s="169"/>
      <c r="AK261" s="169"/>
      <c r="AL261" s="169"/>
      <c r="AM261" s="169"/>
      <c r="AN261" s="169"/>
      <c r="AO261" s="169"/>
      <c r="AP261" s="169"/>
      <c r="AQ261" s="169"/>
      <c r="AR261" s="169"/>
      <c r="AS261" s="169"/>
      <c r="AT261" s="169"/>
      <c r="AU261" s="169"/>
      <c r="AV261" s="169"/>
      <c r="AW261" s="169"/>
      <c r="AX261" s="169"/>
      <c r="AY261" s="169"/>
    </row>
    <row r="262" spans="1:51" ht="15" customHeight="1">
      <c r="A262" s="169"/>
      <c r="B262" s="169"/>
      <c r="C262" s="169"/>
      <c r="D262" s="169"/>
      <c r="E262" s="169"/>
      <c r="F262" s="169"/>
      <c r="G262" s="169"/>
      <c r="H262" s="169"/>
      <c r="I262" s="169"/>
      <c r="J262" s="169"/>
      <c r="K262" s="169"/>
      <c r="L262" s="169"/>
      <c r="M262" s="169"/>
      <c r="N262" s="169"/>
      <c r="O262" s="169"/>
      <c r="P262" s="169"/>
      <c r="Q262" s="169"/>
      <c r="R262" s="169"/>
      <c r="S262" s="169"/>
      <c r="T262" s="169"/>
      <c r="U262" s="169"/>
      <c r="V262" s="169"/>
      <c r="W262" s="169"/>
      <c r="X262" s="169"/>
      <c r="Y262" s="169"/>
      <c r="Z262" s="169"/>
      <c r="AA262" s="169"/>
      <c r="AB262" s="169"/>
      <c r="AC262" s="169"/>
      <c r="AD262" s="169"/>
      <c r="AE262" s="169"/>
      <c r="AF262" s="169"/>
      <c r="AG262" s="169"/>
      <c r="AH262" s="169"/>
      <c r="AI262" s="169"/>
      <c r="AJ262" s="169"/>
      <c r="AK262" s="169"/>
      <c r="AL262" s="169"/>
      <c r="AM262" s="169"/>
      <c r="AN262" s="169"/>
      <c r="AO262" s="169"/>
      <c r="AP262" s="169"/>
      <c r="AQ262" s="169"/>
      <c r="AR262" s="169"/>
      <c r="AS262" s="169"/>
      <c r="AT262" s="169"/>
      <c r="AU262" s="169"/>
      <c r="AV262" s="169"/>
      <c r="AW262" s="169"/>
      <c r="AX262" s="169"/>
      <c r="AY262" s="169"/>
    </row>
    <row r="263" spans="1:51" ht="15" customHeight="1">
      <c r="A263" s="169"/>
      <c r="B263" s="169"/>
      <c r="C263" s="169"/>
      <c r="D263" s="169"/>
      <c r="E263" s="169"/>
      <c r="F263" s="169"/>
      <c r="G263" s="169"/>
      <c r="H263" s="169"/>
      <c r="I263" s="169"/>
      <c r="J263" s="169"/>
      <c r="K263" s="169"/>
      <c r="L263" s="169"/>
      <c r="M263" s="169"/>
      <c r="N263" s="169"/>
      <c r="O263" s="169"/>
      <c r="P263" s="169"/>
      <c r="Q263" s="169"/>
      <c r="R263" s="169"/>
      <c r="S263" s="169"/>
      <c r="T263" s="169"/>
      <c r="U263" s="169"/>
      <c r="V263" s="169"/>
      <c r="W263" s="169"/>
      <c r="X263" s="169"/>
      <c r="Y263" s="169"/>
      <c r="Z263" s="169"/>
      <c r="AA263" s="169"/>
      <c r="AB263" s="169"/>
      <c r="AC263" s="169"/>
      <c r="AD263" s="169"/>
      <c r="AE263" s="169"/>
      <c r="AF263" s="169"/>
      <c r="AG263" s="169"/>
      <c r="AH263" s="169"/>
      <c r="AI263" s="169"/>
      <c r="AJ263" s="169"/>
      <c r="AK263" s="169"/>
      <c r="AL263" s="169"/>
      <c r="AM263" s="169"/>
      <c r="AN263" s="169"/>
      <c r="AO263" s="169"/>
      <c r="AP263" s="169"/>
      <c r="AQ263" s="169"/>
      <c r="AR263" s="169"/>
      <c r="AS263" s="169"/>
      <c r="AT263" s="169"/>
      <c r="AU263" s="169"/>
      <c r="AV263" s="169"/>
      <c r="AW263" s="169"/>
      <c r="AX263" s="169"/>
      <c r="AY263" s="169"/>
    </row>
    <row r="264" spans="1:51" ht="15" customHeight="1">
      <c r="A264" s="169"/>
      <c r="B264" s="169"/>
      <c r="O264" s="169"/>
      <c r="P264" s="169"/>
      <c r="Q264" s="169"/>
      <c r="R264" s="169"/>
      <c r="S264" s="169"/>
      <c r="T264" s="169"/>
      <c r="U264" s="169"/>
      <c r="V264" s="169"/>
      <c r="W264" s="169"/>
      <c r="X264" s="169"/>
      <c r="Y264" s="169"/>
      <c r="Z264" s="169"/>
      <c r="AA264" s="169"/>
      <c r="AB264" s="169"/>
      <c r="AC264" s="169"/>
      <c r="AD264" s="169"/>
      <c r="AE264" s="169"/>
      <c r="AF264" s="169"/>
      <c r="AG264" s="169"/>
      <c r="AH264" s="169"/>
      <c r="AI264" s="169"/>
      <c r="AJ264" s="169"/>
      <c r="AK264" s="169"/>
      <c r="AL264" s="169"/>
      <c r="AM264" s="169"/>
      <c r="AN264" s="169"/>
      <c r="AO264" s="169"/>
      <c r="AP264" s="169"/>
      <c r="AQ264" s="169"/>
      <c r="AR264" s="169"/>
      <c r="AS264" s="169"/>
      <c r="AT264" s="169"/>
      <c r="AU264" s="169"/>
      <c r="AV264" s="169"/>
      <c r="AW264" s="169"/>
      <c r="AX264" s="169"/>
      <c r="AY264" s="169"/>
    </row>
    <row r="265" spans="1:51" ht="15" customHeight="1">
      <c r="A265" s="169"/>
      <c r="B265" s="169"/>
      <c r="O265" s="169"/>
      <c r="P265" s="169"/>
      <c r="Q265" s="169"/>
      <c r="R265" s="169"/>
      <c r="S265" s="169"/>
      <c r="T265" s="169"/>
      <c r="U265" s="169"/>
      <c r="V265" s="169"/>
      <c r="W265" s="169"/>
      <c r="X265" s="169"/>
      <c r="Y265" s="169"/>
      <c r="Z265" s="169"/>
      <c r="AA265" s="169"/>
      <c r="AB265" s="169"/>
      <c r="AC265" s="169"/>
      <c r="AD265" s="169"/>
      <c r="AE265" s="169"/>
      <c r="AF265" s="169"/>
      <c r="AG265" s="169"/>
      <c r="AH265" s="169"/>
      <c r="AI265" s="169"/>
      <c r="AJ265" s="169"/>
      <c r="AK265" s="169"/>
      <c r="AL265" s="169"/>
      <c r="AM265" s="169"/>
      <c r="AN265" s="169"/>
      <c r="AO265" s="169"/>
      <c r="AP265" s="169"/>
      <c r="AQ265" s="169"/>
      <c r="AR265" s="169"/>
      <c r="AS265" s="169"/>
      <c r="AT265" s="169"/>
      <c r="AU265" s="169"/>
      <c r="AV265" s="169"/>
      <c r="AW265" s="169"/>
      <c r="AX265" s="169"/>
      <c r="AY265" s="169"/>
    </row>
    <row r="266" spans="1:51" ht="15" customHeight="1">
      <c r="A266" s="169"/>
      <c r="B266" s="169"/>
      <c r="O266" s="169"/>
      <c r="P266" s="169"/>
      <c r="Q266" s="169"/>
      <c r="R266" s="169"/>
      <c r="S266" s="169"/>
      <c r="T266" s="169"/>
      <c r="U266" s="169"/>
      <c r="V266" s="169"/>
      <c r="W266" s="169"/>
      <c r="X266" s="169"/>
      <c r="Y266" s="169"/>
      <c r="Z266" s="169"/>
      <c r="AA266" s="169"/>
      <c r="AB266" s="169"/>
      <c r="AC266" s="169"/>
      <c r="AD266" s="169"/>
      <c r="AE266" s="169"/>
      <c r="AF266" s="169"/>
      <c r="AG266" s="169"/>
      <c r="AH266" s="169"/>
      <c r="AI266" s="169"/>
      <c r="AJ266" s="169"/>
      <c r="AK266" s="169"/>
      <c r="AL266" s="169"/>
      <c r="AM266" s="169"/>
      <c r="AN266" s="169"/>
      <c r="AO266" s="169"/>
      <c r="AP266" s="169"/>
      <c r="AQ266" s="169"/>
      <c r="AR266" s="169"/>
      <c r="AS266" s="169"/>
      <c r="AT266" s="169"/>
      <c r="AU266" s="169"/>
      <c r="AV266" s="169"/>
      <c r="AW266" s="169"/>
      <c r="AX266" s="169"/>
      <c r="AY266" s="169"/>
    </row>
    <row r="267" spans="1:51" ht="15" customHeight="1">
      <c r="A267" s="169"/>
      <c r="B267" s="169"/>
      <c r="O267" s="169"/>
      <c r="P267" s="169"/>
      <c r="Q267" s="169"/>
      <c r="R267" s="169"/>
      <c r="S267" s="169"/>
      <c r="T267" s="169"/>
      <c r="U267" s="169"/>
      <c r="V267" s="169"/>
      <c r="W267" s="169"/>
      <c r="X267" s="169"/>
      <c r="Y267" s="169"/>
      <c r="Z267" s="169"/>
      <c r="AA267" s="169"/>
      <c r="AB267" s="169"/>
      <c r="AC267" s="169"/>
      <c r="AD267" s="169"/>
      <c r="AE267" s="169"/>
      <c r="AF267" s="169"/>
      <c r="AG267" s="169"/>
      <c r="AH267" s="169"/>
      <c r="AI267" s="169"/>
      <c r="AJ267" s="169"/>
      <c r="AK267" s="169"/>
      <c r="AL267" s="169"/>
      <c r="AM267" s="169"/>
      <c r="AN267" s="169"/>
      <c r="AO267" s="169"/>
      <c r="AP267" s="169"/>
      <c r="AQ267" s="169"/>
      <c r="AR267" s="169"/>
      <c r="AS267" s="169"/>
      <c r="AT267" s="169"/>
      <c r="AU267" s="169"/>
      <c r="AV267" s="169"/>
      <c r="AW267" s="169"/>
      <c r="AX267" s="169"/>
      <c r="AY267" s="169"/>
    </row>
    <row r="268" spans="1:51" ht="15" customHeight="1">
      <c r="A268" s="169"/>
      <c r="B268" s="169"/>
      <c r="O268" s="169"/>
      <c r="P268" s="169"/>
      <c r="Q268" s="169"/>
      <c r="R268" s="169"/>
      <c r="S268" s="169"/>
      <c r="T268" s="169"/>
      <c r="U268" s="169"/>
      <c r="V268" s="169"/>
      <c r="W268" s="169"/>
      <c r="X268" s="169"/>
      <c r="Y268" s="169"/>
      <c r="Z268" s="169"/>
      <c r="AA268" s="169"/>
      <c r="AB268" s="169"/>
      <c r="AC268" s="169"/>
      <c r="AD268" s="169"/>
      <c r="AE268" s="169"/>
      <c r="AF268" s="169"/>
      <c r="AG268" s="169"/>
      <c r="AH268" s="169"/>
      <c r="AI268" s="169"/>
      <c r="AJ268" s="169"/>
      <c r="AK268" s="169"/>
      <c r="AL268" s="169"/>
      <c r="AM268" s="169"/>
      <c r="AN268" s="169"/>
      <c r="AO268" s="169"/>
      <c r="AP268" s="169"/>
      <c r="AQ268" s="169"/>
      <c r="AR268" s="169"/>
      <c r="AS268" s="169"/>
      <c r="AT268" s="169"/>
      <c r="AU268" s="169"/>
      <c r="AV268" s="169"/>
      <c r="AW268" s="169"/>
      <c r="AX268" s="169"/>
      <c r="AY268" s="169"/>
    </row>
    <row r="269" spans="1:51" ht="15" customHeight="1">
      <c r="A269" s="169"/>
      <c r="B269" s="169"/>
      <c r="O269" s="169"/>
      <c r="P269" s="169"/>
      <c r="Q269" s="169"/>
      <c r="R269" s="169"/>
      <c r="S269" s="169"/>
      <c r="T269" s="169"/>
      <c r="U269" s="169"/>
      <c r="V269" s="169"/>
      <c r="W269" s="169"/>
      <c r="X269" s="169"/>
      <c r="Y269" s="169"/>
      <c r="Z269" s="169"/>
      <c r="AA269" s="169"/>
      <c r="AB269" s="169"/>
      <c r="AC269" s="169"/>
      <c r="AD269" s="169"/>
      <c r="AE269" s="169"/>
      <c r="AF269" s="169"/>
      <c r="AG269" s="169"/>
      <c r="AH269" s="169"/>
      <c r="AI269" s="169"/>
      <c r="AJ269" s="169"/>
      <c r="AK269" s="169"/>
      <c r="AL269" s="169"/>
      <c r="AM269" s="169"/>
      <c r="AN269" s="169"/>
      <c r="AO269" s="169"/>
      <c r="AP269" s="169"/>
      <c r="AQ269" s="169"/>
      <c r="AR269" s="169"/>
      <c r="AS269" s="169"/>
      <c r="AT269" s="169"/>
      <c r="AU269" s="169"/>
      <c r="AV269" s="169"/>
      <c r="AW269" s="169"/>
      <c r="AX269" s="169"/>
      <c r="AY269" s="169"/>
    </row>
    <row r="270" spans="1:51" ht="15" customHeight="1">
      <c r="A270" s="169"/>
      <c r="B270" s="169"/>
      <c r="O270" s="169"/>
      <c r="P270" s="169"/>
      <c r="Q270" s="169"/>
      <c r="R270" s="169"/>
      <c r="S270" s="169"/>
      <c r="T270" s="169"/>
      <c r="U270" s="169"/>
      <c r="V270" s="169"/>
      <c r="W270" s="169"/>
      <c r="X270" s="169"/>
      <c r="Y270" s="169"/>
      <c r="Z270" s="169"/>
      <c r="AA270" s="169"/>
      <c r="AB270" s="169"/>
      <c r="AC270" s="169"/>
      <c r="AD270" s="169"/>
      <c r="AE270" s="169"/>
      <c r="AF270" s="169"/>
      <c r="AG270" s="169"/>
      <c r="AH270" s="169"/>
      <c r="AI270" s="169"/>
      <c r="AJ270" s="169"/>
      <c r="AK270" s="169"/>
      <c r="AL270" s="169"/>
      <c r="AM270" s="169"/>
      <c r="AN270" s="169"/>
      <c r="AO270" s="169"/>
      <c r="AP270" s="169"/>
      <c r="AQ270" s="169"/>
      <c r="AR270" s="169"/>
      <c r="AS270" s="169"/>
      <c r="AT270" s="169"/>
      <c r="AU270" s="169"/>
      <c r="AV270" s="169"/>
      <c r="AW270" s="169"/>
      <c r="AX270" s="169"/>
      <c r="AY270" s="169"/>
    </row>
    <row r="271" spans="1:51" ht="15" customHeight="1">
      <c r="A271" s="169"/>
      <c r="B271" s="169"/>
      <c r="O271" s="169"/>
      <c r="P271" s="169"/>
      <c r="Q271" s="169"/>
      <c r="R271" s="169"/>
      <c r="S271" s="169"/>
      <c r="T271" s="169"/>
      <c r="U271" s="169"/>
      <c r="V271" s="169"/>
      <c r="W271" s="169"/>
      <c r="X271" s="169"/>
      <c r="Y271" s="169"/>
      <c r="Z271" s="169"/>
      <c r="AA271" s="169"/>
      <c r="AB271" s="169"/>
      <c r="AC271" s="169"/>
      <c r="AD271" s="169"/>
      <c r="AE271" s="169"/>
      <c r="AF271" s="169"/>
      <c r="AG271" s="169"/>
      <c r="AH271" s="169"/>
      <c r="AI271" s="169"/>
      <c r="AJ271" s="169"/>
      <c r="AK271" s="169"/>
      <c r="AL271" s="169"/>
      <c r="AM271" s="169"/>
      <c r="AN271" s="169"/>
      <c r="AO271" s="169"/>
      <c r="AP271" s="169"/>
      <c r="AQ271" s="169"/>
      <c r="AR271" s="169"/>
      <c r="AS271" s="169"/>
      <c r="AT271" s="169"/>
      <c r="AU271" s="169"/>
      <c r="AV271" s="169"/>
      <c r="AW271" s="169"/>
      <c r="AX271" s="169"/>
      <c r="AY271" s="169"/>
    </row>
    <row r="272" spans="1:51" ht="15" customHeight="1">
      <c r="A272" s="169"/>
      <c r="B272" s="169"/>
      <c r="O272" s="169"/>
      <c r="P272" s="169"/>
      <c r="Q272" s="169"/>
      <c r="R272" s="169"/>
      <c r="S272" s="169"/>
      <c r="T272" s="169"/>
      <c r="U272" s="169"/>
      <c r="V272" s="169"/>
      <c r="W272" s="169"/>
      <c r="X272" s="169"/>
      <c r="Y272" s="169"/>
      <c r="Z272" s="169"/>
      <c r="AA272" s="169"/>
      <c r="AB272" s="169"/>
      <c r="AC272" s="169"/>
      <c r="AD272" s="169"/>
      <c r="AE272" s="169"/>
      <c r="AF272" s="169"/>
      <c r="AG272" s="169"/>
      <c r="AH272" s="169"/>
      <c r="AI272" s="169"/>
      <c r="AJ272" s="169"/>
      <c r="AK272" s="169"/>
      <c r="AL272" s="169"/>
      <c r="AM272" s="169"/>
      <c r="AN272" s="169"/>
      <c r="AO272" s="169"/>
      <c r="AP272" s="169"/>
      <c r="AQ272" s="169"/>
      <c r="AR272" s="169"/>
      <c r="AS272" s="169"/>
      <c r="AT272" s="169"/>
      <c r="AU272" s="169"/>
      <c r="AV272" s="169"/>
      <c r="AW272" s="169"/>
      <c r="AX272" s="169"/>
      <c r="AY272" s="169"/>
    </row>
    <row r="273" spans="1:52" ht="15" customHeight="1">
      <c r="A273" s="169"/>
      <c r="B273" s="169"/>
      <c r="O273" s="169"/>
      <c r="P273" s="169"/>
      <c r="Q273" s="169"/>
      <c r="R273" s="169"/>
      <c r="S273" s="169"/>
      <c r="T273" s="169"/>
      <c r="U273" s="169"/>
      <c r="V273" s="169"/>
      <c r="W273" s="169"/>
      <c r="X273" s="169"/>
      <c r="Y273" s="169"/>
      <c r="Z273" s="169"/>
      <c r="AA273" s="169"/>
      <c r="AB273" s="169"/>
      <c r="AC273" s="169"/>
      <c r="AD273" s="169"/>
      <c r="AE273" s="169"/>
      <c r="AF273" s="169"/>
      <c r="AG273" s="169"/>
      <c r="AH273" s="169"/>
      <c r="AI273" s="169"/>
      <c r="AJ273" s="169"/>
      <c r="AK273" s="169"/>
      <c r="AL273" s="169"/>
      <c r="AM273" s="169"/>
      <c r="AN273" s="169"/>
      <c r="AO273" s="169"/>
      <c r="AP273" s="169"/>
      <c r="AQ273" s="169"/>
      <c r="AR273" s="169"/>
      <c r="AS273" s="169"/>
      <c r="AT273" s="169"/>
      <c r="AU273" s="169"/>
      <c r="AV273" s="169"/>
      <c r="AW273" s="169"/>
      <c r="AX273" s="169"/>
      <c r="AY273" s="169"/>
    </row>
    <row r="274" spans="1:52" ht="15" customHeight="1">
      <c r="A274" s="169"/>
      <c r="B274" s="169"/>
      <c r="O274" s="169"/>
      <c r="P274" s="169"/>
      <c r="Q274" s="169"/>
      <c r="R274" s="169"/>
      <c r="S274" s="169"/>
      <c r="T274" s="169"/>
      <c r="U274" s="169"/>
      <c r="V274" s="169"/>
      <c r="W274" s="169"/>
      <c r="X274" s="169"/>
      <c r="Y274" s="169"/>
      <c r="Z274" s="169"/>
      <c r="AA274" s="169"/>
      <c r="AB274" s="169"/>
      <c r="AC274" s="169"/>
      <c r="AD274" s="169"/>
      <c r="AE274" s="169"/>
      <c r="AF274" s="169"/>
      <c r="AG274" s="169"/>
      <c r="AH274" s="169"/>
      <c r="AI274" s="169"/>
      <c r="AJ274" s="169"/>
      <c r="AK274" s="169"/>
      <c r="AL274" s="169"/>
      <c r="AM274" s="169"/>
      <c r="AN274" s="169"/>
      <c r="AO274" s="169"/>
      <c r="AP274" s="169"/>
      <c r="AQ274" s="169"/>
      <c r="AR274" s="169"/>
      <c r="AS274" s="169"/>
      <c r="AT274" s="169"/>
      <c r="AU274" s="169"/>
      <c r="AV274" s="169"/>
      <c r="AW274" s="169"/>
      <c r="AX274" s="169"/>
      <c r="AY274" s="169"/>
      <c r="AZ274" s="330"/>
    </row>
    <row r="275" spans="1:52" ht="15" customHeight="1">
      <c r="A275" s="169"/>
      <c r="B275" s="169"/>
      <c r="O275" s="169"/>
      <c r="P275" s="169"/>
      <c r="Q275" s="169"/>
      <c r="R275" s="169"/>
      <c r="S275" s="169"/>
      <c r="T275" s="169"/>
      <c r="U275" s="169"/>
      <c r="V275" s="169"/>
      <c r="W275" s="169"/>
      <c r="X275" s="169"/>
      <c r="Y275" s="169"/>
      <c r="Z275" s="169"/>
      <c r="AA275" s="169"/>
      <c r="AB275" s="169"/>
      <c r="AC275" s="169"/>
      <c r="AD275" s="169"/>
      <c r="AE275" s="169"/>
      <c r="AF275" s="169"/>
      <c r="AG275" s="169"/>
      <c r="AH275" s="169"/>
      <c r="AI275" s="169"/>
      <c r="AJ275" s="169"/>
      <c r="AK275" s="169"/>
      <c r="AL275" s="169"/>
      <c r="AM275" s="169"/>
      <c r="AN275" s="169"/>
      <c r="AO275" s="169"/>
      <c r="AP275" s="169"/>
      <c r="AQ275" s="169"/>
      <c r="AR275" s="169"/>
      <c r="AS275" s="169"/>
      <c r="AT275" s="169"/>
      <c r="AU275" s="169"/>
      <c r="AV275" s="169"/>
      <c r="AW275" s="169"/>
      <c r="AX275" s="169"/>
      <c r="AY275" s="169"/>
      <c r="AZ275" s="330"/>
    </row>
    <row r="276" spans="1:52" ht="15" customHeight="1">
      <c r="A276" s="169"/>
      <c r="B276" s="169"/>
      <c r="O276" s="169"/>
      <c r="P276" s="169"/>
      <c r="Q276" s="169"/>
      <c r="R276" s="169"/>
      <c r="S276" s="169"/>
      <c r="T276" s="169"/>
      <c r="U276" s="169"/>
      <c r="V276" s="169"/>
      <c r="W276" s="169"/>
      <c r="X276" s="169"/>
      <c r="Y276" s="169"/>
      <c r="Z276" s="169"/>
      <c r="AA276" s="169"/>
      <c r="AB276" s="169"/>
      <c r="AC276" s="169"/>
      <c r="AD276" s="169"/>
      <c r="AE276" s="169"/>
      <c r="AF276" s="169"/>
      <c r="AG276" s="169"/>
      <c r="AH276" s="169"/>
      <c r="AI276" s="169"/>
      <c r="AJ276" s="169"/>
      <c r="AK276" s="169"/>
      <c r="AL276" s="169"/>
      <c r="AM276" s="169"/>
      <c r="AN276" s="169"/>
      <c r="AO276" s="169"/>
      <c r="AP276" s="169"/>
      <c r="AQ276" s="169"/>
      <c r="AR276" s="169"/>
      <c r="AS276" s="169"/>
      <c r="AT276" s="169"/>
      <c r="AU276" s="169"/>
      <c r="AV276" s="169"/>
      <c r="AW276" s="169"/>
      <c r="AX276" s="169"/>
      <c r="AY276" s="169"/>
      <c r="AZ276" s="330"/>
    </row>
    <row r="277" spans="1:52" ht="15" customHeight="1">
      <c r="A277" s="169"/>
      <c r="B277" s="169"/>
      <c r="O277" s="169"/>
      <c r="P277" s="169"/>
      <c r="Q277" s="169"/>
      <c r="R277" s="169"/>
      <c r="S277" s="169"/>
      <c r="T277" s="169"/>
      <c r="U277" s="169"/>
      <c r="V277" s="169"/>
      <c r="W277" s="169"/>
      <c r="X277" s="169"/>
      <c r="Y277" s="169"/>
      <c r="Z277" s="169"/>
      <c r="AA277" s="169"/>
      <c r="AB277" s="169"/>
      <c r="AC277" s="169"/>
      <c r="AD277" s="169"/>
      <c r="AE277" s="169"/>
      <c r="AF277" s="169"/>
      <c r="AG277" s="169"/>
      <c r="AH277" s="169"/>
      <c r="AI277" s="169"/>
      <c r="AJ277" s="169"/>
      <c r="AK277" s="169"/>
      <c r="AL277" s="169"/>
      <c r="AM277" s="169"/>
      <c r="AN277" s="169"/>
      <c r="AO277" s="169"/>
      <c r="AP277" s="169"/>
      <c r="AQ277" s="169"/>
      <c r="AR277" s="169"/>
      <c r="AS277" s="169"/>
      <c r="AT277" s="169"/>
      <c r="AU277" s="169"/>
      <c r="AV277" s="169"/>
      <c r="AW277" s="169"/>
      <c r="AX277" s="169"/>
      <c r="AY277" s="169"/>
      <c r="AZ277" s="330"/>
    </row>
    <row r="278" spans="1:52" ht="15" customHeight="1">
      <c r="A278" s="169"/>
      <c r="B278" s="169"/>
      <c r="O278" s="169"/>
      <c r="P278" s="169"/>
      <c r="Q278" s="169"/>
      <c r="R278" s="169"/>
      <c r="S278" s="169"/>
      <c r="T278" s="169"/>
      <c r="U278" s="169"/>
      <c r="V278" s="169"/>
      <c r="W278" s="169"/>
      <c r="X278" s="169"/>
      <c r="Y278" s="169"/>
      <c r="Z278" s="169"/>
      <c r="AA278" s="169"/>
      <c r="AB278" s="169"/>
      <c r="AC278" s="169"/>
      <c r="AD278" s="169"/>
      <c r="AE278" s="169"/>
      <c r="AF278" s="169"/>
      <c r="AG278" s="169"/>
      <c r="AH278" s="169"/>
      <c r="AI278" s="169"/>
      <c r="AJ278" s="169"/>
      <c r="AK278" s="169"/>
      <c r="AL278" s="169"/>
      <c r="AM278" s="169"/>
      <c r="AN278" s="169"/>
      <c r="AO278" s="169"/>
      <c r="AP278" s="169"/>
      <c r="AQ278" s="169"/>
      <c r="AR278" s="169"/>
      <c r="AS278" s="169"/>
      <c r="AT278" s="169"/>
      <c r="AU278" s="169"/>
      <c r="AV278" s="169"/>
      <c r="AW278" s="169"/>
      <c r="AX278" s="169"/>
      <c r="AY278" s="169"/>
    </row>
    <row r="279" spans="1:52" ht="15" customHeight="1">
      <c r="A279" s="169"/>
      <c r="B279" s="169"/>
      <c r="O279" s="169"/>
      <c r="P279" s="169"/>
      <c r="Q279" s="169"/>
      <c r="R279" s="169"/>
      <c r="S279" s="169"/>
      <c r="T279" s="169"/>
      <c r="U279" s="169"/>
      <c r="V279" s="169"/>
      <c r="W279" s="169"/>
      <c r="X279" s="169"/>
      <c r="Y279" s="169"/>
      <c r="Z279" s="169"/>
      <c r="AA279" s="169"/>
      <c r="AB279" s="169"/>
      <c r="AC279" s="169"/>
      <c r="AD279" s="169"/>
      <c r="AE279" s="169"/>
      <c r="AF279" s="169"/>
      <c r="AG279" s="169"/>
      <c r="AH279" s="169"/>
      <c r="AI279" s="169"/>
      <c r="AJ279" s="169"/>
      <c r="AK279" s="169"/>
      <c r="AL279" s="169"/>
      <c r="AM279" s="169"/>
      <c r="AN279" s="169"/>
      <c r="AO279" s="169"/>
      <c r="AP279" s="169"/>
      <c r="AQ279" s="169"/>
      <c r="AR279" s="169"/>
      <c r="AS279" s="169"/>
      <c r="AT279" s="169"/>
      <c r="AU279" s="169"/>
      <c r="AV279" s="169"/>
      <c r="AW279" s="169"/>
      <c r="AX279" s="169"/>
      <c r="AY279" s="169"/>
    </row>
    <row r="280" spans="1:52" ht="15" customHeight="1">
      <c r="A280" s="169"/>
      <c r="B280" s="169"/>
      <c r="O280" s="169"/>
      <c r="P280" s="169"/>
      <c r="Q280" s="169"/>
      <c r="R280" s="169"/>
      <c r="S280" s="169"/>
      <c r="T280" s="169"/>
      <c r="U280" s="169"/>
      <c r="V280" s="169"/>
      <c r="W280" s="169"/>
      <c r="X280" s="169"/>
      <c r="Y280" s="169"/>
      <c r="Z280" s="169"/>
      <c r="AA280" s="169"/>
      <c r="AB280" s="169"/>
      <c r="AC280" s="169"/>
      <c r="AD280" s="169"/>
      <c r="AE280" s="169"/>
      <c r="AF280" s="169"/>
      <c r="AG280" s="169"/>
      <c r="AH280" s="169"/>
      <c r="AI280" s="169"/>
      <c r="AJ280" s="169"/>
      <c r="AK280" s="169"/>
      <c r="AL280" s="169"/>
      <c r="AM280" s="169"/>
      <c r="AN280" s="169"/>
      <c r="AO280" s="169"/>
      <c r="AP280" s="169"/>
      <c r="AQ280" s="169"/>
      <c r="AR280" s="169"/>
      <c r="AS280" s="169"/>
      <c r="AT280" s="169"/>
      <c r="AU280" s="169"/>
      <c r="AV280" s="169"/>
      <c r="AW280" s="169"/>
      <c r="AX280" s="169"/>
      <c r="AY280" s="169"/>
    </row>
    <row r="281" spans="1:52" ht="15" customHeight="1">
      <c r="A281" s="169"/>
      <c r="B281" s="169"/>
      <c r="O281" s="169"/>
      <c r="P281" s="169"/>
      <c r="Q281" s="169"/>
      <c r="R281" s="169"/>
      <c r="S281" s="169"/>
      <c r="T281" s="169"/>
      <c r="U281" s="169"/>
      <c r="V281" s="169"/>
      <c r="W281" s="169"/>
      <c r="X281" s="169"/>
      <c r="Y281" s="169"/>
      <c r="Z281" s="169"/>
      <c r="AA281" s="169"/>
      <c r="AB281" s="169"/>
      <c r="AC281" s="169"/>
      <c r="AD281" s="169"/>
      <c r="AE281" s="169"/>
      <c r="AF281" s="169"/>
      <c r="AG281" s="169"/>
      <c r="AH281" s="169"/>
      <c r="AI281" s="169"/>
      <c r="AJ281" s="169"/>
      <c r="AK281" s="169"/>
      <c r="AL281" s="169"/>
      <c r="AM281" s="169"/>
      <c r="AN281" s="169"/>
      <c r="AO281" s="169"/>
      <c r="AP281" s="169"/>
      <c r="AQ281" s="169"/>
      <c r="AR281" s="169"/>
      <c r="AS281" s="169"/>
      <c r="AT281" s="169"/>
      <c r="AU281" s="169"/>
      <c r="AV281" s="169"/>
      <c r="AW281" s="169"/>
      <c r="AX281" s="169"/>
      <c r="AY281" s="169"/>
    </row>
    <row r="282" spans="1:52" ht="15" customHeight="1">
      <c r="A282" s="169"/>
      <c r="B282" s="169"/>
      <c r="O282" s="169"/>
      <c r="P282" s="169"/>
      <c r="Q282" s="169"/>
      <c r="R282" s="169"/>
      <c r="S282" s="169"/>
      <c r="T282" s="169"/>
      <c r="U282" s="169"/>
      <c r="V282" s="169"/>
      <c r="W282" s="169"/>
      <c r="X282" s="169"/>
      <c r="Y282" s="169"/>
      <c r="Z282" s="169"/>
      <c r="AA282" s="169"/>
      <c r="AB282" s="169"/>
      <c r="AC282" s="169"/>
      <c r="AD282" s="169"/>
      <c r="AE282" s="169"/>
      <c r="AF282" s="169"/>
      <c r="AG282" s="169"/>
      <c r="AH282" s="169"/>
      <c r="AI282" s="169"/>
      <c r="AJ282" s="169"/>
      <c r="AK282" s="169"/>
      <c r="AL282" s="169"/>
      <c r="AM282" s="169"/>
      <c r="AN282" s="169"/>
      <c r="AO282" s="169"/>
      <c r="AP282" s="169"/>
      <c r="AQ282" s="169"/>
      <c r="AR282" s="169"/>
      <c r="AS282" s="169"/>
      <c r="AT282" s="169"/>
      <c r="AU282" s="169"/>
      <c r="AV282" s="169"/>
      <c r="AW282" s="169"/>
      <c r="AX282" s="169"/>
      <c r="AY282" s="169"/>
    </row>
    <row r="283" spans="1:52" ht="15" customHeight="1">
      <c r="A283" s="169"/>
      <c r="B283" s="169"/>
      <c r="O283" s="169"/>
      <c r="P283" s="169"/>
      <c r="Q283" s="169"/>
      <c r="R283" s="169"/>
      <c r="S283" s="169"/>
      <c r="T283" s="169"/>
      <c r="U283" s="169"/>
      <c r="V283" s="169"/>
      <c r="W283" s="169"/>
      <c r="X283" s="169"/>
      <c r="Y283" s="169"/>
      <c r="Z283" s="169"/>
      <c r="AA283" s="169"/>
      <c r="AB283" s="169"/>
      <c r="AC283" s="169"/>
      <c r="AD283" s="169"/>
      <c r="AE283" s="169"/>
      <c r="AF283" s="169"/>
      <c r="AG283" s="169"/>
      <c r="AH283" s="169"/>
      <c r="AI283" s="169"/>
      <c r="AJ283" s="169"/>
      <c r="AK283" s="169"/>
      <c r="AL283" s="169"/>
      <c r="AM283" s="169"/>
      <c r="AN283" s="169"/>
      <c r="AO283" s="169"/>
      <c r="AP283" s="169"/>
      <c r="AQ283" s="169"/>
      <c r="AR283" s="169"/>
      <c r="AS283" s="169"/>
      <c r="AT283" s="169"/>
      <c r="AU283" s="169"/>
      <c r="AV283" s="169"/>
      <c r="AW283" s="169"/>
      <c r="AX283" s="169"/>
      <c r="AY283" s="169"/>
    </row>
    <row r="284" spans="1:52" ht="15" customHeight="1">
      <c r="A284" s="169"/>
      <c r="B284" s="169"/>
      <c r="O284" s="169"/>
      <c r="P284" s="169"/>
      <c r="Q284" s="169"/>
      <c r="R284" s="169"/>
      <c r="S284" s="169"/>
      <c r="T284" s="169"/>
      <c r="U284" s="169"/>
      <c r="V284" s="169"/>
      <c r="W284" s="169"/>
      <c r="X284" s="169"/>
      <c r="Y284" s="169"/>
      <c r="Z284" s="169"/>
      <c r="AA284" s="169"/>
      <c r="AB284" s="169"/>
      <c r="AC284" s="169"/>
      <c r="AD284" s="169"/>
      <c r="AE284" s="169"/>
      <c r="AF284" s="169"/>
      <c r="AG284" s="169"/>
      <c r="AH284" s="169"/>
      <c r="AI284" s="169"/>
      <c r="AJ284" s="169"/>
      <c r="AK284" s="169"/>
      <c r="AL284" s="169"/>
      <c r="AM284" s="169"/>
      <c r="AN284" s="169"/>
      <c r="AO284" s="169"/>
      <c r="AP284" s="169"/>
      <c r="AQ284" s="169"/>
      <c r="AR284" s="169"/>
      <c r="AS284" s="169"/>
      <c r="AT284" s="169"/>
      <c r="AU284" s="169"/>
      <c r="AV284" s="169"/>
      <c r="AW284" s="169"/>
      <c r="AX284" s="169"/>
      <c r="AY284" s="169"/>
    </row>
    <row r="285" spans="1:52" ht="15" customHeight="1">
      <c r="A285" s="169"/>
      <c r="B285" s="169"/>
      <c r="O285" s="169"/>
      <c r="P285" s="169"/>
      <c r="Q285" s="169"/>
      <c r="R285" s="169"/>
      <c r="S285" s="169"/>
      <c r="T285" s="169"/>
      <c r="U285" s="169"/>
      <c r="V285" s="169"/>
      <c r="W285" s="169"/>
      <c r="X285" s="169"/>
      <c r="Y285" s="169"/>
      <c r="Z285" s="169"/>
      <c r="AA285" s="169"/>
      <c r="AB285" s="169"/>
      <c r="AC285" s="169"/>
      <c r="AD285" s="169"/>
      <c r="AE285" s="169"/>
      <c r="AF285" s="169"/>
      <c r="AG285" s="169"/>
      <c r="AH285" s="169"/>
      <c r="AI285" s="169"/>
      <c r="AJ285" s="169"/>
      <c r="AK285" s="169"/>
      <c r="AL285" s="169"/>
      <c r="AM285" s="169"/>
      <c r="AN285" s="169"/>
      <c r="AO285" s="169"/>
      <c r="AP285" s="169"/>
      <c r="AQ285" s="169"/>
      <c r="AR285" s="169"/>
      <c r="AS285" s="169"/>
      <c r="AT285" s="169"/>
      <c r="AU285" s="169"/>
      <c r="AV285" s="169"/>
      <c r="AW285" s="169"/>
      <c r="AX285" s="169"/>
      <c r="AY285" s="169"/>
    </row>
    <row r="286" spans="1:52" ht="15" customHeight="1">
      <c r="A286" s="169"/>
      <c r="B286" s="169"/>
      <c r="O286" s="169"/>
      <c r="P286" s="169"/>
      <c r="Q286" s="169"/>
      <c r="R286" s="169"/>
      <c r="S286" s="169"/>
      <c r="T286" s="169"/>
      <c r="U286" s="169"/>
      <c r="V286" s="169"/>
      <c r="W286" s="169"/>
      <c r="X286" s="169"/>
      <c r="Y286" s="169"/>
      <c r="Z286" s="169"/>
      <c r="AA286" s="169"/>
      <c r="AB286" s="169"/>
      <c r="AC286" s="169"/>
      <c r="AD286" s="169"/>
      <c r="AE286" s="169"/>
      <c r="AF286" s="169"/>
      <c r="AG286" s="169"/>
      <c r="AH286" s="169"/>
      <c r="AI286" s="169"/>
      <c r="AJ286" s="169"/>
      <c r="AK286" s="169"/>
      <c r="AL286" s="169"/>
      <c r="AM286" s="169"/>
      <c r="AN286" s="169"/>
      <c r="AO286" s="169"/>
      <c r="AP286" s="169"/>
      <c r="AQ286" s="169"/>
      <c r="AR286" s="169"/>
      <c r="AS286" s="169"/>
      <c r="AT286" s="169"/>
      <c r="AU286" s="169"/>
      <c r="AV286" s="169"/>
      <c r="AW286" s="169"/>
      <c r="AX286" s="169"/>
      <c r="AY286" s="169"/>
    </row>
    <row r="287" spans="1:52" ht="15" customHeight="1">
      <c r="A287" s="169"/>
      <c r="B287" s="169"/>
      <c r="O287" s="169"/>
      <c r="P287" s="169"/>
      <c r="Q287" s="169"/>
      <c r="R287" s="169"/>
      <c r="S287" s="169"/>
      <c r="T287" s="169"/>
      <c r="U287" s="169"/>
      <c r="V287" s="169"/>
      <c r="W287" s="169"/>
      <c r="X287" s="169"/>
      <c r="Y287" s="169"/>
      <c r="Z287" s="169"/>
      <c r="AA287" s="169"/>
      <c r="AB287" s="169"/>
      <c r="AC287" s="169"/>
      <c r="AD287" s="169"/>
      <c r="AE287" s="169"/>
      <c r="AF287" s="169"/>
      <c r="AG287" s="169"/>
      <c r="AH287" s="169"/>
      <c r="AI287" s="169"/>
      <c r="AJ287" s="169"/>
      <c r="AK287" s="169"/>
      <c r="AL287" s="169"/>
      <c r="AM287" s="169"/>
      <c r="AN287" s="169"/>
      <c r="AO287" s="169"/>
      <c r="AP287" s="169"/>
      <c r="AQ287" s="169"/>
      <c r="AR287" s="169"/>
      <c r="AS287" s="169"/>
      <c r="AT287" s="169"/>
      <c r="AU287" s="169"/>
      <c r="AV287" s="169"/>
      <c r="AW287" s="169"/>
      <c r="AX287" s="169"/>
      <c r="AY287" s="169"/>
    </row>
    <row r="288" spans="1:52" ht="15" customHeight="1">
      <c r="A288" s="169"/>
      <c r="B288" s="169"/>
      <c r="O288" s="169"/>
      <c r="P288" s="169"/>
      <c r="Q288" s="169"/>
      <c r="R288" s="169"/>
      <c r="S288" s="169"/>
      <c r="T288" s="169"/>
      <c r="U288" s="169"/>
      <c r="V288" s="169"/>
      <c r="W288" s="169"/>
      <c r="X288" s="169"/>
      <c r="Y288" s="169"/>
      <c r="Z288" s="169"/>
      <c r="AA288" s="169"/>
      <c r="AB288" s="169"/>
      <c r="AC288" s="169"/>
      <c r="AD288" s="169"/>
      <c r="AE288" s="169"/>
      <c r="AF288" s="169"/>
      <c r="AG288" s="169"/>
      <c r="AH288" s="169"/>
      <c r="AI288" s="169"/>
      <c r="AJ288" s="169"/>
      <c r="AK288" s="169"/>
      <c r="AL288" s="169"/>
      <c r="AM288" s="169"/>
      <c r="AN288" s="169"/>
      <c r="AO288" s="169"/>
      <c r="AP288" s="169"/>
      <c r="AQ288" s="169"/>
      <c r="AR288" s="169"/>
      <c r="AS288" s="169"/>
      <c r="AT288" s="169"/>
      <c r="AU288" s="169"/>
      <c r="AV288" s="169"/>
      <c r="AW288" s="169"/>
      <c r="AX288" s="169"/>
      <c r="AY288" s="169"/>
    </row>
    <row r="289" spans="1:56" ht="15" customHeight="1">
      <c r="A289" s="169"/>
      <c r="B289" s="169"/>
      <c r="O289" s="169"/>
      <c r="P289" s="169"/>
      <c r="Q289" s="169"/>
      <c r="R289" s="169"/>
      <c r="S289" s="169"/>
      <c r="T289" s="169"/>
      <c r="U289" s="169"/>
      <c r="V289" s="169"/>
      <c r="W289" s="169"/>
      <c r="X289" s="169"/>
      <c r="Y289" s="169"/>
      <c r="Z289" s="169"/>
      <c r="AA289" s="169"/>
      <c r="AB289" s="169"/>
      <c r="AC289" s="169"/>
      <c r="AD289" s="169"/>
      <c r="AE289" s="169"/>
      <c r="AF289" s="169"/>
      <c r="AG289" s="169"/>
      <c r="AH289" s="169"/>
      <c r="AI289" s="169"/>
      <c r="AJ289" s="169"/>
      <c r="AK289" s="169"/>
      <c r="AL289" s="169"/>
      <c r="AM289" s="169"/>
      <c r="AN289" s="169"/>
      <c r="AO289" s="169"/>
      <c r="AP289" s="169"/>
      <c r="AQ289" s="169"/>
      <c r="AR289" s="169"/>
      <c r="AS289" s="169"/>
      <c r="AT289" s="169"/>
      <c r="AU289" s="169"/>
      <c r="AV289" s="169"/>
      <c r="AW289" s="169"/>
      <c r="AX289" s="169"/>
      <c r="AY289" s="169"/>
    </row>
    <row r="290" spans="1:56" ht="15" customHeight="1">
      <c r="A290" s="169"/>
      <c r="B290" s="169"/>
      <c r="O290" s="169"/>
      <c r="P290" s="169"/>
      <c r="Q290" s="169"/>
      <c r="R290" s="169"/>
      <c r="S290" s="169"/>
      <c r="T290" s="169"/>
      <c r="U290" s="169"/>
      <c r="V290" s="169"/>
      <c r="W290" s="169"/>
      <c r="X290" s="169"/>
      <c r="Y290" s="169"/>
      <c r="Z290" s="169"/>
      <c r="AA290" s="169"/>
      <c r="AB290" s="169"/>
      <c r="AC290" s="169"/>
      <c r="AD290" s="169"/>
      <c r="AE290" s="169"/>
      <c r="AF290" s="169"/>
      <c r="AG290" s="169"/>
      <c r="AH290" s="169"/>
      <c r="AI290" s="169"/>
      <c r="AJ290" s="169"/>
      <c r="AK290" s="169"/>
      <c r="AL290" s="169"/>
      <c r="AM290" s="169"/>
      <c r="AN290" s="169"/>
      <c r="AO290" s="169"/>
      <c r="AP290" s="169"/>
      <c r="AQ290" s="169"/>
      <c r="AR290" s="169"/>
      <c r="AS290" s="169"/>
      <c r="AT290" s="169"/>
      <c r="AU290" s="169"/>
      <c r="AV290" s="169"/>
      <c r="AW290" s="169"/>
      <c r="AX290" s="169"/>
      <c r="AY290" s="169"/>
    </row>
    <row r="291" spans="1:56" ht="15" customHeight="1">
      <c r="A291" s="169"/>
      <c r="B291" s="169"/>
      <c r="O291" s="169"/>
      <c r="P291" s="169"/>
      <c r="Q291" s="169"/>
      <c r="R291" s="169"/>
      <c r="S291" s="169"/>
      <c r="T291" s="169"/>
      <c r="U291" s="169"/>
      <c r="V291" s="169"/>
      <c r="W291" s="169"/>
      <c r="X291" s="169"/>
      <c r="Y291" s="169"/>
      <c r="Z291" s="169"/>
      <c r="AA291" s="169"/>
      <c r="AB291" s="169"/>
      <c r="AC291" s="169"/>
      <c r="AD291" s="169"/>
      <c r="AE291" s="169"/>
      <c r="AF291" s="169"/>
      <c r="AG291" s="169"/>
      <c r="AH291" s="169"/>
      <c r="AI291" s="169"/>
      <c r="AJ291" s="169"/>
      <c r="AK291" s="169"/>
      <c r="AL291" s="169"/>
      <c r="AM291" s="169"/>
      <c r="AN291" s="169"/>
      <c r="AO291" s="169"/>
      <c r="AP291" s="169"/>
      <c r="AQ291" s="169"/>
      <c r="AR291" s="169"/>
      <c r="AS291" s="169"/>
      <c r="AT291" s="169"/>
      <c r="AU291" s="169"/>
      <c r="AV291" s="169"/>
      <c r="AW291" s="169"/>
      <c r="AX291" s="169"/>
      <c r="AY291" s="169"/>
    </row>
    <row r="292" spans="1:56" ht="15" customHeight="1">
      <c r="A292" s="169"/>
      <c r="B292" s="169"/>
      <c r="O292" s="169"/>
      <c r="P292" s="169"/>
      <c r="Q292" s="169"/>
      <c r="R292" s="169"/>
      <c r="S292" s="169"/>
      <c r="T292" s="169"/>
      <c r="U292" s="169"/>
      <c r="V292" s="169"/>
      <c r="W292" s="169"/>
      <c r="X292" s="169"/>
      <c r="Y292" s="169"/>
      <c r="Z292" s="169"/>
      <c r="AA292" s="169"/>
      <c r="AB292" s="169"/>
      <c r="AC292" s="169"/>
      <c r="AD292" s="169"/>
      <c r="AE292" s="169"/>
      <c r="AF292" s="169"/>
      <c r="AG292" s="169"/>
      <c r="AH292" s="169"/>
      <c r="AI292" s="169"/>
      <c r="AJ292" s="169"/>
      <c r="AK292" s="169"/>
      <c r="AL292" s="169"/>
      <c r="AM292" s="169"/>
      <c r="AN292" s="169"/>
      <c r="AO292" s="169"/>
      <c r="AP292" s="169"/>
      <c r="AQ292" s="169"/>
      <c r="AR292" s="169"/>
      <c r="AS292" s="169"/>
      <c r="AT292" s="169"/>
      <c r="AU292" s="169"/>
      <c r="AV292" s="169"/>
      <c r="AW292" s="169"/>
      <c r="AX292" s="169"/>
      <c r="AY292" s="169"/>
      <c r="AZ292" s="364"/>
      <c r="BA292" s="364"/>
      <c r="BB292" s="364"/>
      <c r="BC292" s="364"/>
      <c r="BD292" s="364"/>
    </row>
    <row r="293" spans="1:56" ht="15" customHeight="1">
      <c r="A293" s="169"/>
      <c r="B293" s="169"/>
      <c r="O293" s="169"/>
      <c r="P293" s="169"/>
      <c r="Q293" s="169"/>
      <c r="R293" s="169"/>
      <c r="S293" s="169"/>
      <c r="T293" s="169"/>
      <c r="U293" s="169"/>
      <c r="V293" s="169"/>
      <c r="W293" s="169"/>
      <c r="X293" s="169"/>
      <c r="Y293" s="169"/>
      <c r="Z293" s="169"/>
      <c r="AA293" s="169"/>
      <c r="AB293" s="169"/>
      <c r="AC293" s="169"/>
      <c r="AD293" s="169"/>
      <c r="AE293" s="169"/>
      <c r="AF293" s="169"/>
      <c r="AG293" s="169"/>
      <c r="AH293" s="169"/>
      <c r="AI293" s="169"/>
      <c r="AJ293" s="169"/>
      <c r="AK293" s="169"/>
      <c r="AL293" s="169"/>
      <c r="AM293" s="169"/>
      <c r="AN293" s="169"/>
      <c r="AO293" s="169"/>
      <c r="AP293" s="169"/>
      <c r="AQ293" s="169"/>
      <c r="AR293" s="169"/>
      <c r="AS293" s="169"/>
      <c r="AT293" s="169"/>
      <c r="AU293" s="169"/>
      <c r="AV293" s="169"/>
      <c r="AW293" s="169"/>
      <c r="AX293" s="169"/>
      <c r="AY293" s="169"/>
    </row>
    <row r="294" spans="1:56" ht="15" customHeight="1">
      <c r="A294" s="169"/>
      <c r="B294" s="169"/>
      <c r="O294" s="169"/>
      <c r="P294" s="169"/>
      <c r="Q294" s="169"/>
      <c r="R294" s="169"/>
      <c r="S294" s="169"/>
      <c r="T294" s="169"/>
      <c r="U294" s="169"/>
      <c r="V294" s="169"/>
      <c r="W294" s="169"/>
      <c r="X294" s="169"/>
      <c r="Y294" s="169"/>
      <c r="Z294" s="169"/>
      <c r="AA294" s="169"/>
      <c r="AB294" s="169"/>
      <c r="AC294" s="169"/>
      <c r="AD294" s="169"/>
      <c r="AE294" s="169"/>
      <c r="AF294" s="169"/>
      <c r="AG294" s="169"/>
      <c r="AH294" s="169"/>
      <c r="AI294" s="169"/>
      <c r="AJ294" s="169"/>
      <c r="AK294" s="169"/>
      <c r="AL294" s="169"/>
      <c r="AM294" s="169"/>
      <c r="AN294" s="169"/>
      <c r="AO294" s="169"/>
      <c r="AP294" s="169"/>
      <c r="AQ294" s="169"/>
      <c r="AR294" s="169"/>
      <c r="AS294" s="169"/>
      <c r="AT294" s="169"/>
      <c r="AU294" s="169"/>
      <c r="AV294" s="169"/>
      <c r="AW294" s="169"/>
      <c r="AX294" s="169"/>
      <c r="AY294" s="169"/>
    </row>
    <row r="295" spans="1:56" ht="15" customHeight="1">
      <c r="A295" s="169"/>
      <c r="B295" s="169"/>
      <c r="O295" s="169"/>
      <c r="P295" s="169"/>
      <c r="Q295" s="169"/>
      <c r="R295" s="169"/>
      <c r="S295" s="169"/>
      <c r="T295" s="169"/>
      <c r="U295" s="169"/>
      <c r="V295" s="169"/>
      <c r="W295" s="169"/>
      <c r="X295" s="169"/>
      <c r="Y295" s="169"/>
      <c r="Z295" s="169"/>
      <c r="AA295" s="169"/>
      <c r="AB295" s="169"/>
      <c r="AC295" s="169"/>
      <c r="AD295" s="169"/>
      <c r="AE295" s="169"/>
      <c r="AF295" s="169"/>
      <c r="AG295" s="169"/>
      <c r="AH295" s="169"/>
      <c r="AI295" s="169"/>
      <c r="AJ295" s="169"/>
      <c r="AK295" s="169"/>
      <c r="AL295" s="169"/>
      <c r="AM295" s="169"/>
      <c r="AN295" s="169"/>
      <c r="AO295" s="169"/>
      <c r="AP295" s="169"/>
      <c r="AQ295" s="169"/>
      <c r="AR295" s="169"/>
      <c r="AS295" s="169"/>
      <c r="AT295" s="169"/>
      <c r="AU295" s="169"/>
      <c r="AV295" s="169"/>
      <c r="AW295" s="169"/>
      <c r="AX295" s="169"/>
      <c r="AY295" s="169"/>
    </row>
    <row r="296" spans="1:56" ht="15" customHeight="1">
      <c r="A296" s="169"/>
      <c r="B296" s="169"/>
      <c r="O296" s="169"/>
      <c r="P296" s="169"/>
      <c r="Q296" s="169"/>
      <c r="R296" s="169"/>
      <c r="S296" s="169"/>
      <c r="T296" s="169"/>
      <c r="U296" s="169"/>
      <c r="V296" s="169"/>
      <c r="W296" s="169"/>
      <c r="X296" s="169"/>
      <c r="Y296" s="169"/>
      <c r="Z296" s="169"/>
      <c r="AA296" s="169"/>
      <c r="AB296" s="169"/>
      <c r="AC296" s="169"/>
      <c r="AD296" s="169"/>
      <c r="AE296" s="169"/>
      <c r="AF296" s="169"/>
      <c r="AG296" s="169"/>
      <c r="AH296" s="169"/>
      <c r="AI296" s="169"/>
      <c r="AJ296" s="169"/>
      <c r="AK296" s="169"/>
      <c r="AL296" s="169"/>
      <c r="AM296" s="169"/>
      <c r="AN296" s="169"/>
      <c r="AO296" s="169"/>
      <c r="AP296" s="169"/>
      <c r="AQ296" s="169"/>
      <c r="AR296" s="169"/>
      <c r="AS296" s="169"/>
      <c r="AT296" s="169"/>
      <c r="AU296" s="169"/>
      <c r="AV296" s="169"/>
      <c r="AW296" s="169"/>
      <c r="AX296" s="169"/>
      <c r="AY296" s="169"/>
    </row>
    <row r="297" spans="1:56" ht="15" customHeight="1">
      <c r="A297" s="169"/>
      <c r="B297" s="169"/>
      <c r="O297" s="169"/>
      <c r="P297" s="169"/>
      <c r="Q297" s="169"/>
      <c r="R297" s="169"/>
      <c r="S297" s="169"/>
      <c r="T297" s="169"/>
      <c r="U297" s="169"/>
      <c r="V297" s="169"/>
      <c r="W297" s="169"/>
      <c r="X297" s="169"/>
      <c r="Y297" s="169"/>
      <c r="Z297" s="169"/>
      <c r="AA297" s="169"/>
      <c r="AB297" s="169"/>
      <c r="AC297" s="169"/>
      <c r="AD297" s="169"/>
      <c r="AE297" s="169"/>
      <c r="AF297" s="169"/>
      <c r="AG297" s="169"/>
      <c r="AH297" s="169"/>
      <c r="AI297" s="169"/>
      <c r="AJ297" s="169"/>
      <c r="AK297" s="169"/>
      <c r="AL297" s="169"/>
      <c r="AM297" s="169"/>
      <c r="AN297" s="169"/>
      <c r="AO297" s="169"/>
      <c r="AP297" s="169"/>
      <c r="AQ297" s="169"/>
      <c r="AR297" s="169"/>
      <c r="AS297" s="169"/>
      <c r="AT297" s="169"/>
      <c r="AU297" s="169"/>
      <c r="AV297" s="169"/>
      <c r="AW297" s="169"/>
      <c r="AX297" s="169"/>
      <c r="AY297" s="169"/>
    </row>
    <row r="298" spans="1:56" ht="15" customHeight="1">
      <c r="A298" s="169"/>
      <c r="B298" s="169"/>
      <c r="O298" s="169"/>
      <c r="P298" s="169"/>
      <c r="Q298" s="169"/>
      <c r="R298" s="169"/>
      <c r="S298" s="169"/>
      <c r="T298" s="169"/>
      <c r="U298" s="169"/>
      <c r="V298" s="169"/>
      <c r="W298" s="169"/>
      <c r="X298" s="169"/>
      <c r="Y298" s="169"/>
      <c r="Z298" s="169"/>
      <c r="AA298" s="169"/>
      <c r="AB298" s="169"/>
      <c r="AC298" s="169"/>
      <c r="AD298" s="169"/>
      <c r="AE298" s="169"/>
      <c r="AF298" s="169"/>
      <c r="AG298" s="169"/>
      <c r="AH298" s="169"/>
      <c r="AI298" s="169"/>
      <c r="AJ298" s="169"/>
      <c r="AK298" s="169"/>
      <c r="AL298" s="169"/>
      <c r="AM298" s="169"/>
      <c r="AN298" s="169"/>
      <c r="AO298" s="169"/>
      <c r="AP298" s="169"/>
      <c r="AQ298" s="169"/>
      <c r="AR298" s="169"/>
      <c r="AS298" s="169"/>
      <c r="AT298" s="169"/>
      <c r="AU298" s="169"/>
      <c r="AV298" s="169"/>
      <c r="AW298" s="169"/>
      <c r="AX298" s="169"/>
      <c r="AY298" s="169"/>
    </row>
    <row r="299" spans="1:56" ht="15" customHeight="1">
      <c r="A299" s="169"/>
      <c r="B299" s="169"/>
      <c r="O299" s="169"/>
      <c r="P299" s="169"/>
      <c r="Q299" s="169"/>
      <c r="R299" s="169"/>
      <c r="S299" s="169"/>
      <c r="T299" s="169"/>
      <c r="U299" s="169"/>
      <c r="V299" s="169"/>
      <c r="W299" s="169"/>
      <c r="X299" s="169"/>
      <c r="Y299" s="169"/>
      <c r="Z299" s="169"/>
      <c r="AA299" s="169"/>
      <c r="AB299" s="169"/>
      <c r="AC299" s="169"/>
      <c r="AD299" s="169"/>
      <c r="AE299" s="169"/>
      <c r="AF299" s="169"/>
      <c r="AG299" s="169"/>
      <c r="AH299" s="169"/>
      <c r="AI299" s="169"/>
      <c r="AJ299" s="169"/>
      <c r="AK299" s="169"/>
      <c r="AL299" s="169"/>
      <c r="AM299" s="169"/>
      <c r="AN299" s="169"/>
      <c r="AO299" s="169"/>
      <c r="AP299" s="169"/>
      <c r="AQ299" s="169"/>
      <c r="AR299" s="169"/>
      <c r="AS299" s="169"/>
      <c r="AT299" s="169"/>
      <c r="AU299" s="169"/>
      <c r="AV299" s="169"/>
      <c r="AW299" s="169"/>
      <c r="AX299" s="169"/>
      <c r="AY299" s="169"/>
    </row>
    <row r="300" spans="1:56" ht="15" customHeight="1">
      <c r="A300" s="169"/>
      <c r="B300" s="169"/>
      <c r="O300" s="169"/>
      <c r="P300" s="169"/>
      <c r="Q300" s="169"/>
      <c r="R300" s="169"/>
      <c r="S300" s="169"/>
      <c r="T300" s="169"/>
      <c r="U300" s="169"/>
      <c r="V300" s="169"/>
      <c r="W300" s="169"/>
      <c r="X300" s="169"/>
      <c r="Y300" s="169"/>
      <c r="Z300" s="169"/>
      <c r="AA300" s="169"/>
      <c r="AB300" s="169"/>
      <c r="AC300" s="169"/>
      <c r="AD300" s="169"/>
      <c r="AE300" s="169"/>
      <c r="AF300" s="169"/>
      <c r="AG300" s="169"/>
      <c r="AH300" s="169"/>
      <c r="AI300" s="169"/>
      <c r="AJ300" s="169"/>
      <c r="AK300" s="169"/>
      <c r="AL300" s="169"/>
      <c r="AM300" s="169"/>
      <c r="AN300" s="169"/>
      <c r="AO300" s="169"/>
      <c r="AP300" s="169"/>
      <c r="AQ300" s="169"/>
      <c r="AR300" s="169"/>
      <c r="AS300" s="169"/>
      <c r="AT300" s="169"/>
      <c r="AU300" s="169"/>
      <c r="AV300" s="169"/>
      <c r="AW300" s="169"/>
      <c r="AX300" s="169"/>
      <c r="AY300" s="169"/>
    </row>
    <row r="301" spans="1:56" ht="15" customHeight="1">
      <c r="A301" s="169"/>
      <c r="B301" s="169"/>
      <c r="O301" s="169"/>
      <c r="P301" s="169"/>
      <c r="Q301" s="169"/>
      <c r="R301" s="169"/>
      <c r="S301" s="169"/>
      <c r="T301" s="169"/>
      <c r="U301" s="169"/>
      <c r="V301" s="169"/>
      <c r="W301" s="169"/>
      <c r="X301" s="169"/>
      <c r="Y301" s="169"/>
      <c r="Z301" s="169"/>
      <c r="AA301" s="169"/>
      <c r="AB301" s="169"/>
      <c r="AC301" s="169"/>
      <c r="AD301" s="169"/>
      <c r="AE301" s="169"/>
      <c r="AF301" s="169"/>
      <c r="AG301" s="169"/>
      <c r="AH301" s="169"/>
      <c r="AI301" s="169"/>
      <c r="AJ301" s="169"/>
      <c r="AK301" s="169"/>
      <c r="AL301" s="169"/>
      <c r="AM301" s="169"/>
      <c r="AN301" s="169"/>
      <c r="AO301" s="169"/>
      <c r="AP301" s="169"/>
      <c r="AQ301" s="169"/>
      <c r="AR301" s="169"/>
      <c r="AS301" s="169"/>
      <c r="AT301" s="169"/>
      <c r="AU301" s="169"/>
      <c r="AV301" s="169"/>
      <c r="AW301" s="169"/>
      <c r="AX301" s="169"/>
      <c r="AY301" s="169"/>
    </row>
    <row r="302" spans="1:56" ht="15" customHeight="1">
      <c r="A302" s="169"/>
      <c r="B302" s="169"/>
      <c r="O302" s="169"/>
      <c r="P302" s="169"/>
      <c r="Q302" s="169"/>
      <c r="R302" s="169"/>
      <c r="S302" s="169"/>
      <c r="T302" s="169"/>
      <c r="U302" s="169"/>
      <c r="V302" s="169"/>
      <c r="W302" s="169"/>
      <c r="X302" s="169"/>
      <c r="Y302" s="169"/>
      <c r="Z302" s="169"/>
      <c r="AA302" s="169"/>
      <c r="AB302" s="169"/>
      <c r="AC302" s="169"/>
      <c r="AD302" s="169"/>
      <c r="AE302" s="169"/>
      <c r="AF302" s="169"/>
      <c r="AG302" s="169"/>
      <c r="AH302" s="169"/>
      <c r="AI302" s="169"/>
      <c r="AJ302" s="169"/>
      <c r="AK302" s="169"/>
      <c r="AL302" s="169"/>
      <c r="AM302" s="169"/>
      <c r="AN302" s="169"/>
      <c r="AO302" s="169"/>
      <c r="AP302" s="169"/>
      <c r="AQ302" s="169"/>
      <c r="AR302" s="169"/>
      <c r="AS302" s="169"/>
      <c r="AT302" s="169"/>
      <c r="AU302" s="169"/>
      <c r="AV302" s="169"/>
      <c r="AW302" s="169"/>
      <c r="AX302" s="169"/>
      <c r="AY302" s="169"/>
    </row>
    <row r="303" spans="1:56" ht="15" customHeight="1">
      <c r="A303" s="169"/>
      <c r="B303" s="169"/>
      <c r="O303" s="169"/>
      <c r="P303" s="169"/>
      <c r="Q303" s="169"/>
      <c r="R303" s="169"/>
      <c r="S303" s="169"/>
      <c r="T303" s="169"/>
      <c r="U303" s="169"/>
      <c r="V303" s="169"/>
      <c r="W303" s="169"/>
      <c r="X303" s="169"/>
      <c r="Y303" s="169"/>
      <c r="Z303" s="169"/>
      <c r="AA303" s="169"/>
      <c r="AB303" s="169"/>
      <c r="AC303" s="169"/>
      <c r="AD303" s="169"/>
      <c r="AE303" s="169"/>
      <c r="AF303" s="169"/>
      <c r="AG303" s="169"/>
      <c r="AH303" s="169"/>
      <c r="AI303" s="169"/>
      <c r="AJ303" s="169"/>
      <c r="AK303" s="169"/>
      <c r="AL303" s="169"/>
      <c r="AM303" s="169"/>
      <c r="AN303" s="169"/>
      <c r="AO303" s="169"/>
      <c r="AP303" s="169"/>
      <c r="AQ303" s="169"/>
      <c r="AR303" s="169"/>
      <c r="AS303" s="169"/>
      <c r="AT303" s="169"/>
      <c r="AU303" s="169"/>
      <c r="AV303" s="169"/>
      <c r="AW303" s="169"/>
      <c r="AX303" s="169"/>
      <c r="AY303" s="169"/>
    </row>
    <row r="304" spans="1:56" ht="15" customHeight="1">
      <c r="A304" s="169"/>
      <c r="B304" s="169"/>
      <c r="O304" s="169"/>
      <c r="P304" s="169"/>
      <c r="Q304" s="169"/>
      <c r="R304" s="169"/>
      <c r="S304" s="169"/>
      <c r="T304" s="169"/>
      <c r="U304" s="169"/>
      <c r="V304" s="169"/>
      <c r="W304" s="169"/>
      <c r="X304" s="169"/>
      <c r="Y304" s="169"/>
      <c r="Z304" s="169"/>
      <c r="AA304" s="169"/>
      <c r="AB304" s="169"/>
      <c r="AC304" s="169"/>
      <c r="AD304" s="169"/>
      <c r="AE304" s="169"/>
      <c r="AF304" s="169"/>
      <c r="AG304" s="169"/>
      <c r="AH304" s="169"/>
      <c r="AI304" s="169"/>
      <c r="AJ304" s="169"/>
      <c r="AK304" s="169"/>
      <c r="AL304" s="169"/>
      <c r="AM304" s="169"/>
      <c r="AN304" s="169"/>
      <c r="AO304" s="169"/>
      <c r="AP304" s="169"/>
      <c r="AQ304" s="169"/>
      <c r="AR304" s="169"/>
      <c r="AS304" s="169"/>
      <c r="AT304" s="169"/>
      <c r="AU304" s="169"/>
      <c r="AV304" s="169"/>
      <c r="AW304" s="169"/>
      <c r="AX304" s="169"/>
      <c r="AY304" s="169"/>
    </row>
    <row r="305" spans="1:52" ht="15" customHeight="1">
      <c r="A305" s="169"/>
      <c r="B305" s="169"/>
      <c r="O305" s="169"/>
      <c r="P305" s="169"/>
      <c r="Q305" s="169"/>
      <c r="R305" s="169"/>
      <c r="S305" s="169"/>
      <c r="T305" s="169"/>
      <c r="U305" s="169"/>
      <c r="V305" s="169"/>
      <c r="W305" s="169"/>
      <c r="X305" s="169"/>
      <c r="Y305" s="169"/>
      <c r="Z305" s="169"/>
      <c r="AA305" s="169"/>
      <c r="AB305" s="169"/>
      <c r="AC305" s="169"/>
      <c r="AD305" s="169"/>
      <c r="AE305" s="169"/>
      <c r="AF305" s="169"/>
      <c r="AG305" s="169"/>
      <c r="AH305" s="169"/>
      <c r="AI305" s="169"/>
      <c r="AJ305" s="169"/>
      <c r="AK305" s="169"/>
      <c r="AL305" s="169"/>
      <c r="AM305" s="169"/>
      <c r="AN305" s="169"/>
      <c r="AO305" s="169"/>
      <c r="AP305" s="169"/>
      <c r="AQ305" s="169"/>
      <c r="AR305" s="169"/>
      <c r="AS305" s="169"/>
      <c r="AT305" s="169"/>
      <c r="AU305" s="169"/>
      <c r="AV305" s="169"/>
      <c r="AW305" s="169"/>
      <c r="AX305" s="169"/>
      <c r="AY305" s="169"/>
    </row>
    <row r="306" spans="1:52" ht="15" customHeight="1">
      <c r="A306" s="169"/>
      <c r="B306" s="169"/>
      <c r="O306" s="169"/>
      <c r="P306" s="169"/>
      <c r="Q306" s="169"/>
      <c r="R306" s="169"/>
      <c r="S306" s="169"/>
      <c r="T306" s="169"/>
      <c r="U306" s="169"/>
      <c r="V306" s="169"/>
      <c r="W306" s="169"/>
      <c r="X306" s="169"/>
      <c r="Y306" s="169"/>
      <c r="Z306" s="169"/>
      <c r="AA306" s="169"/>
      <c r="AB306" s="169"/>
      <c r="AC306" s="169"/>
      <c r="AD306" s="169"/>
      <c r="AE306" s="169"/>
      <c r="AF306" s="169"/>
      <c r="AG306" s="169"/>
      <c r="AH306" s="169"/>
      <c r="AI306" s="169"/>
      <c r="AJ306" s="169"/>
      <c r="AK306" s="169"/>
      <c r="AL306" s="169"/>
      <c r="AM306" s="169"/>
      <c r="AN306" s="169"/>
      <c r="AO306" s="169"/>
      <c r="AP306" s="169"/>
      <c r="AQ306" s="169"/>
      <c r="AR306" s="169"/>
      <c r="AS306" s="169"/>
      <c r="AT306" s="169"/>
      <c r="AU306" s="169"/>
      <c r="AV306" s="169"/>
      <c r="AW306" s="169"/>
      <c r="AX306" s="169"/>
      <c r="AY306" s="169"/>
    </row>
    <row r="307" spans="1:52" ht="15" customHeight="1">
      <c r="A307" s="169"/>
      <c r="B307" s="169"/>
      <c r="O307" s="169"/>
      <c r="P307" s="169"/>
      <c r="Q307" s="169"/>
      <c r="R307" s="169"/>
      <c r="S307" s="169"/>
      <c r="T307" s="169"/>
      <c r="U307" s="169"/>
      <c r="V307" s="169"/>
      <c r="W307" s="169"/>
      <c r="X307" s="169"/>
      <c r="Y307" s="169"/>
      <c r="Z307" s="169"/>
      <c r="AA307" s="169"/>
      <c r="AB307" s="169"/>
      <c r="AC307" s="169"/>
      <c r="AD307" s="169"/>
      <c r="AE307" s="169"/>
      <c r="AF307" s="169"/>
      <c r="AG307" s="169"/>
      <c r="AH307" s="169"/>
      <c r="AI307" s="169"/>
      <c r="AJ307" s="169"/>
      <c r="AK307" s="169"/>
      <c r="AL307" s="169"/>
      <c r="AM307" s="169"/>
      <c r="AN307" s="169"/>
      <c r="AO307" s="169"/>
      <c r="AP307" s="169"/>
      <c r="AQ307" s="169"/>
      <c r="AR307" s="169"/>
      <c r="AS307" s="169"/>
      <c r="AT307" s="169"/>
      <c r="AU307" s="169"/>
      <c r="AV307" s="169"/>
      <c r="AW307" s="169"/>
      <c r="AX307" s="169"/>
      <c r="AY307" s="169"/>
    </row>
    <row r="308" spans="1:52" ht="15" customHeight="1">
      <c r="A308" s="169"/>
      <c r="B308" s="169"/>
      <c r="O308" s="169"/>
      <c r="P308" s="169"/>
      <c r="Q308" s="169"/>
      <c r="R308" s="169"/>
      <c r="S308" s="169"/>
      <c r="T308" s="169"/>
      <c r="U308" s="169"/>
      <c r="V308" s="169"/>
      <c r="W308" s="169"/>
      <c r="X308" s="169"/>
      <c r="Y308" s="169"/>
      <c r="Z308" s="169"/>
      <c r="AA308" s="169"/>
      <c r="AB308" s="169"/>
      <c r="AC308" s="169"/>
      <c r="AD308" s="169"/>
      <c r="AE308" s="169"/>
      <c r="AF308" s="169"/>
      <c r="AG308" s="169"/>
      <c r="AH308" s="169"/>
      <c r="AI308" s="169"/>
      <c r="AJ308" s="169"/>
      <c r="AK308" s="169"/>
      <c r="AL308" s="169"/>
      <c r="AM308" s="169"/>
      <c r="AN308" s="169"/>
      <c r="AO308" s="169"/>
      <c r="AP308" s="169"/>
      <c r="AQ308" s="169"/>
      <c r="AR308" s="169"/>
      <c r="AS308" s="169"/>
      <c r="AT308" s="169"/>
      <c r="AU308" s="169"/>
      <c r="AV308" s="169"/>
      <c r="AW308" s="169"/>
      <c r="AX308" s="169"/>
      <c r="AY308" s="169"/>
    </row>
    <row r="309" spans="1:52" ht="15" customHeight="1">
      <c r="A309" s="169"/>
      <c r="B309" s="169"/>
      <c r="O309" s="169"/>
      <c r="P309" s="169"/>
      <c r="Q309" s="169"/>
      <c r="R309" s="169"/>
      <c r="S309" s="169"/>
      <c r="T309" s="169"/>
      <c r="U309" s="169"/>
      <c r="V309" s="169"/>
      <c r="W309" s="169"/>
      <c r="X309" s="169"/>
      <c r="Y309" s="169"/>
      <c r="Z309" s="169"/>
      <c r="AA309" s="169"/>
      <c r="AB309" s="169"/>
      <c r="AC309" s="169"/>
      <c r="AD309" s="169"/>
      <c r="AE309" s="169"/>
      <c r="AF309" s="169"/>
      <c r="AG309" s="169"/>
      <c r="AH309" s="169"/>
      <c r="AI309" s="169"/>
      <c r="AJ309" s="169"/>
      <c r="AK309" s="169"/>
      <c r="AL309" s="169"/>
      <c r="AM309" s="169"/>
      <c r="AN309" s="169"/>
      <c r="AO309" s="169"/>
      <c r="AP309" s="169"/>
      <c r="AQ309" s="169"/>
      <c r="AR309" s="169"/>
      <c r="AS309" s="169"/>
      <c r="AT309" s="169"/>
      <c r="AU309" s="169"/>
      <c r="AV309" s="169"/>
      <c r="AW309" s="169"/>
      <c r="AX309" s="169"/>
      <c r="AY309" s="169"/>
    </row>
    <row r="310" spans="1:52" ht="15" customHeight="1">
      <c r="A310" s="169"/>
      <c r="B310" s="169"/>
      <c r="O310" s="169"/>
      <c r="P310" s="169"/>
      <c r="Q310" s="169"/>
      <c r="R310" s="169"/>
      <c r="S310" s="169"/>
      <c r="T310" s="169"/>
      <c r="U310" s="169"/>
      <c r="V310" s="169"/>
      <c r="W310" s="169"/>
      <c r="X310" s="169"/>
      <c r="Y310" s="169"/>
      <c r="Z310" s="169"/>
      <c r="AA310" s="169"/>
      <c r="AB310" s="169"/>
      <c r="AC310" s="169"/>
      <c r="AD310" s="169"/>
      <c r="AE310" s="169"/>
      <c r="AF310" s="169"/>
      <c r="AG310" s="169"/>
      <c r="AH310" s="169"/>
      <c r="AI310" s="169"/>
      <c r="AJ310" s="169"/>
      <c r="AK310" s="169"/>
      <c r="AL310" s="169"/>
      <c r="AM310" s="169"/>
      <c r="AN310" s="169"/>
      <c r="AO310" s="169"/>
      <c r="AP310" s="169"/>
      <c r="AQ310" s="169"/>
      <c r="AR310" s="169"/>
      <c r="AS310" s="169"/>
      <c r="AT310" s="169"/>
      <c r="AU310" s="169"/>
      <c r="AV310" s="169"/>
      <c r="AW310" s="169"/>
      <c r="AX310" s="169"/>
      <c r="AY310" s="169"/>
    </row>
    <row r="311" spans="1:52" ht="15" customHeight="1">
      <c r="A311" s="169"/>
      <c r="B311" s="169"/>
      <c r="O311" s="169"/>
      <c r="P311" s="169"/>
      <c r="Q311" s="169"/>
      <c r="R311" s="169"/>
      <c r="S311" s="169"/>
      <c r="T311" s="169"/>
      <c r="U311" s="169"/>
      <c r="V311" s="169"/>
      <c r="W311" s="169"/>
      <c r="X311" s="169"/>
      <c r="Y311" s="169"/>
      <c r="Z311" s="169"/>
      <c r="AA311" s="169"/>
      <c r="AB311" s="169"/>
      <c r="AC311" s="169"/>
      <c r="AD311" s="169"/>
      <c r="AE311" s="169"/>
      <c r="AF311" s="169"/>
      <c r="AG311" s="169"/>
      <c r="AH311" s="169"/>
      <c r="AI311" s="169"/>
      <c r="AJ311" s="169"/>
      <c r="AK311" s="169"/>
      <c r="AL311" s="169"/>
      <c r="AM311" s="169"/>
      <c r="AN311" s="169"/>
      <c r="AO311" s="169"/>
      <c r="AP311" s="169"/>
      <c r="AQ311" s="169"/>
      <c r="AR311" s="169"/>
      <c r="AS311" s="169"/>
      <c r="AT311" s="169"/>
      <c r="AU311" s="169"/>
      <c r="AV311" s="169"/>
      <c r="AW311" s="169"/>
      <c r="AX311" s="169"/>
      <c r="AY311" s="169"/>
    </row>
    <row r="312" spans="1:52" ht="15" customHeight="1">
      <c r="A312" s="169"/>
      <c r="B312" s="169"/>
      <c r="O312" s="169"/>
      <c r="P312" s="169"/>
      <c r="Q312" s="169"/>
      <c r="R312" s="169"/>
      <c r="S312" s="169"/>
      <c r="T312" s="169"/>
      <c r="U312" s="169"/>
      <c r="V312" s="169"/>
      <c r="W312" s="169"/>
      <c r="X312" s="169"/>
      <c r="Y312" s="169"/>
      <c r="Z312" s="169"/>
      <c r="AA312" s="169"/>
      <c r="AB312" s="169"/>
      <c r="AC312" s="169"/>
      <c r="AD312" s="169"/>
      <c r="AE312" s="169"/>
      <c r="AF312" s="169"/>
      <c r="AG312" s="169"/>
      <c r="AH312" s="169"/>
      <c r="AI312" s="169"/>
      <c r="AJ312" s="169"/>
      <c r="AK312" s="169"/>
      <c r="AL312" s="169"/>
      <c r="AM312" s="169"/>
      <c r="AN312" s="169"/>
      <c r="AO312" s="169"/>
      <c r="AP312" s="169"/>
      <c r="AQ312" s="169"/>
      <c r="AR312" s="169"/>
      <c r="AS312" s="169"/>
      <c r="AT312" s="169"/>
      <c r="AU312" s="169"/>
      <c r="AV312" s="169"/>
      <c r="AW312" s="169"/>
      <c r="AX312" s="169"/>
      <c r="AY312" s="169"/>
    </row>
    <row r="313" spans="1:52" ht="15" customHeight="1">
      <c r="A313" s="169"/>
      <c r="B313" s="169"/>
      <c r="C313" s="169"/>
      <c r="D313" s="169"/>
      <c r="E313" s="169"/>
      <c r="F313" s="169"/>
      <c r="G313" s="169"/>
      <c r="H313" s="169"/>
      <c r="I313" s="169"/>
      <c r="J313" s="169"/>
      <c r="K313" s="169"/>
      <c r="L313" s="169"/>
      <c r="M313" s="169"/>
      <c r="N313" s="169"/>
      <c r="O313" s="169"/>
      <c r="P313" s="169"/>
      <c r="Q313" s="169"/>
      <c r="R313" s="169"/>
      <c r="S313" s="169"/>
      <c r="T313" s="169"/>
      <c r="U313" s="169"/>
      <c r="V313" s="169"/>
      <c r="W313" s="169"/>
      <c r="X313" s="169"/>
      <c r="Y313" s="169"/>
      <c r="Z313" s="169"/>
      <c r="AA313" s="169"/>
      <c r="AB313" s="169"/>
      <c r="AC313" s="169"/>
      <c r="AD313" s="169"/>
      <c r="AE313" s="169"/>
      <c r="AF313" s="169"/>
      <c r="AG313" s="169"/>
      <c r="AH313" s="169"/>
      <c r="AI313" s="169"/>
      <c r="AJ313" s="169"/>
      <c r="AK313" s="169"/>
      <c r="AL313" s="169"/>
      <c r="AM313" s="169"/>
      <c r="AN313" s="169"/>
      <c r="AO313" s="169"/>
      <c r="AP313" s="169"/>
      <c r="AQ313" s="169"/>
      <c r="AR313" s="169"/>
      <c r="AS313" s="169"/>
      <c r="AT313" s="169"/>
      <c r="AU313" s="169"/>
      <c r="AV313" s="169"/>
      <c r="AW313" s="169"/>
      <c r="AX313" s="169"/>
      <c r="AY313" s="169"/>
    </row>
    <row r="314" spans="1:52" ht="15" customHeight="1">
      <c r="A314" s="169"/>
      <c r="B314" s="169"/>
      <c r="C314" s="169"/>
      <c r="D314" s="169"/>
      <c r="E314" s="169"/>
      <c r="F314" s="169"/>
      <c r="G314" s="169"/>
      <c r="H314" s="169"/>
      <c r="I314" s="169"/>
      <c r="J314" s="169"/>
      <c r="K314" s="169"/>
      <c r="L314" s="169"/>
      <c r="M314" s="169"/>
      <c r="N314" s="169"/>
      <c r="O314" s="169"/>
      <c r="P314" s="169"/>
      <c r="Q314" s="169"/>
      <c r="R314" s="169"/>
      <c r="S314" s="169"/>
      <c r="T314" s="169"/>
      <c r="U314" s="169"/>
      <c r="V314" s="169"/>
      <c r="W314" s="169"/>
      <c r="X314" s="169"/>
      <c r="Y314" s="169"/>
      <c r="Z314" s="169"/>
      <c r="AA314" s="169"/>
      <c r="AB314" s="169"/>
      <c r="AC314" s="169"/>
      <c r="AD314" s="169"/>
      <c r="AE314" s="169"/>
      <c r="AF314" s="169"/>
      <c r="AG314" s="169"/>
      <c r="AH314" s="169"/>
      <c r="AI314" s="169"/>
      <c r="AJ314" s="169"/>
      <c r="AK314" s="169"/>
      <c r="AL314" s="169"/>
      <c r="AM314" s="169"/>
      <c r="AN314" s="169"/>
      <c r="AO314" s="169"/>
      <c r="AP314" s="169"/>
      <c r="AQ314" s="169"/>
      <c r="AR314" s="169"/>
      <c r="AS314" s="169"/>
      <c r="AT314" s="169"/>
      <c r="AU314" s="169"/>
      <c r="AV314" s="169"/>
      <c r="AW314" s="169"/>
      <c r="AX314" s="169"/>
      <c r="AY314" s="169"/>
      <c r="AZ314" s="330"/>
    </row>
    <row r="315" spans="1:52" ht="15" customHeight="1">
      <c r="A315" s="169"/>
      <c r="B315" s="169"/>
      <c r="C315" s="169"/>
      <c r="D315" s="169"/>
      <c r="E315" s="169"/>
      <c r="F315" s="169"/>
      <c r="G315" s="169"/>
      <c r="H315" s="169"/>
      <c r="I315" s="169"/>
      <c r="J315" s="169"/>
      <c r="K315" s="169"/>
      <c r="L315" s="169"/>
      <c r="M315" s="169"/>
      <c r="N315" s="169"/>
      <c r="O315" s="169"/>
      <c r="P315" s="169"/>
      <c r="Q315" s="169"/>
      <c r="R315" s="169"/>
      <c r="S315" s="169"/>
      <c r="T315" s="169"/>
      <c r="U315" s="169"/>
      <c r="V315" s="169"/>
      <c r="W315" s="169"/>
      <c r="X315" s="169"/>
      <c r="Y315" s="169"/>
      <c r="Z315" s="169"/>
      <c r="AA315" s="169"/>
      <c r="AB315" s="169"/>
      <c r="AC315" s="169"/>
      <c r="AD315" s="169"/>
      <c r="AE315" s="169"/>
      <c r="AF315" s="169"/>
      <c r="AG315" s="169"/>
      <c r="AH315" s="169"/>
      <c r="AI315" s="169"/>
      <c r="AJ315" s="169"/>
      <c r="AK315" s="169"/>
      <c r="AL315" s="169"/>
      <c r="AM315" s="169"/>
      <c r="AN315" s="169"/>
      <c r="AO315" s="169"/>
      <c r="AP315" s="169"/>
      <c r="AQ315" s="169"/>
      <c r="AR315" s="169"/>
      <c r="AS315" s="169"/>
      <c r="AT315" s="169"/>
      <c r="AU315" s="169"/>
      <c r="AV315" s="169"/>
      <c r="AW315" s="169"/>
      <c r="AX315" s="169"/>
      <c r="AY315" s="169"/>
      <c r="AZ315" s="330"/>
    </row>
    <row r="316" spans="1:52" ht="15" customHeight="1">
      <c r="A316" s="169"/>
      <c r="B316" s="169"/>
      <c r="C316" s="169"/>
      <c r="D316" s="169"/>
      <c r="E316" s="169"/>
      <c r="F316" s="169"/>
      <c r="G316" s="169"/>
      <c r="H316" s="169"/>
      <c r="I316" s="169"/>
      <c r="J316" s="169"/>
      <c r="K316" s="169"/>
      <c r="L316" s="169"/>
      <c r="M316" s="169"/>
      <c r="N316" s="169"/>
      <c r="O316" s="169"/>
      <c r="P316" s="169"/>
      <c r="Q316" s="169"/>
      <c r="R316" s="169"/>
      <c r="S316" s="169"/>
      <c r="T316" s="169"/>
      <c r="U316" s="169"/>
      <c r="V316" s="169"/>
      <c r="W316" s="169"/>
      <c r="X316" s="169"/>
      <c r="Y316" s="169"/>
      <c r="Z316" s="169"/>
      <c r="AA316" s="169"/>
      <c r="AB316" s="169"/>
      <c r="AC316" s="169"/>
      <c r="AD316" s="169"/>
      <c r="AE316" s="169"/>
      <c r="AF316" s="169"/>
      <c r="AG316" s="169"/>
      <c r="AH316" s="169"/>
      <c r="AI316" s="169"/>
      <c r="AJ316" s="169"/>
      <c r="AK316" s="169"/>
      <c r="AL316" s="169"/>
      <c r="AM316" s="169"/>
      <c r="AN316" s="169"/>
      <c r="AO316" s="169"/>
      <c r="AP316" s="169"/>
      <c r="AQ316" s="169"/>
      <c r="AR316" s="169"/>
      <c r="AS316" s="169"/>
      <c r="AT316" s="169"/>
      <c r="AU316" s="169"/>
      <c r="AV316" s="169"/>
      <c r="AW316" s="169"/>
      <c r="AX316" s="169"/>
      <c r="AY316" s="169"/>
      <c r="AZ316" s="330"/>
    </row>
    <row r="317" spans="1:52" ht="15" customHeight="1">
      <c r="A317" s="169"/>
      <c r="B317" s="169"/>
      <c r="C317" s="169"/>
      <c r="D317" s="169"/>
      <c r="E317" s="169"/>
      <c r="F317" s="169"/>
      <c r="G317" s="169"/>
      <c r="H317" s="169"/>
      <c r="I317" s="169"/>
      <c r="J317" s="169"/>
      <c r="K317" s="169"/>
      <c r="L317" s="169"/>
      <c r="M317" s="169"/>
      <c r="N317" s="169"/>
      <c r="O317" s="169"/>
      <c r="P317" s="169"/>
      <c r="Q317" s="169"/>
      <c r="R317" s="169"/>
      <c r="S317" s="169"/>
      <c r="T317" s="169"/>
      <c r="U317" s="169"/>
      <c r="V317" s="169"/>
      <c r="W317" s="169"/>
      <c r="X317" s="169"/>
      <c r="Y317" s="169"/>
      <c r="Z317" s="169"/>
      <c r="AA317" s="169"/>
      <c r="AB317" s="169"/>
      <c r="AC317" s="169"/>
      <c r="AD317" s="169"/>
      <c r="AE317" s="169"/>
      <c r="AF317" s="169"/>
      <c r="AG317" s="169"/>
      <c r="AH317" s="169"/>
      <c r="AI317" s="169"/>
      <c r="AJ317" s="169"/>
      <c r="AK317" s="169"/>
      <c r="AL317" s="169"/>
      <c r="AM317" s="169"/>
      <c r="AN317" s="169"/>
      <c r="AO317" s="169"/>
      <c r="AP317" s="169"/>
      <c r="AQ317" s="169"/>
      <c r="AR317" s="169"/>
      <c r="AS317" s="169"/>
      <c r="AT317" s="169"/>
      <c r="AU317" s="169"/>
      <c r="AV317" s="169"/>
      <c r="AW317" s="169"/>
      <c r="AX317" s="169"/>
      <c r="AY317" s="169"/>
      <c r="AZ317" s="330"/>
    </row>
    <row r="318" spans="1:52" ht="15" customHeight="1">
      <c r="A318" s="169"/>
      <c r="B318" s="169"/>
      <c r="C318" s="169"/>
      <c r="D318" s="169"/>
      <c r="E318" s="169"/>
      <c r="F318" s="169"/>
      <c r="G318" s="169"/>
      <c r="H318" s="169"/>
      <c r="I318" s="169"/>
      <c r="J318" s="169"/>
      <c r="K318" s="169"/>
      <c r="L318" s="169"/>
      <c r="M318" s="169"/>
      <c r="N318" s="169"/>
      <c r="O318" s="169"/>
      <c r="P318" s="169"/>
      <c r="Q318" s="169"/>
      <c r="R318" s="169"/>
      <c r="S318" s="169"/>
      <c r="T318" s="169"/>
      <c r="U318" s="169"/>
      <c r="V318" s="169"/>
      <c r="W318" s="169"/>
      <c r="X318" s="169"/>
      <c r="Y318" s="169"/>
      <c r="Z318" s="169"/>
      <c r="AA318" s="169"/>
      <c r="AB318" s="169"/>
      <c r="AC318" s="169"/>
      <c r="AD318" s="169"/>
      <c r="AE318" s="169"/>
      <c r="AF318" s="169"/>
      <c r="AG318" s="169"/>
      <c r="AH318" s="169"/>
      <c r="AI318" s="169"/>
      <c r="AJ318" s="169"/>
      <c r="AK318" s="169"/>
      <c r="AL318" s="169"/>
      <c r="AM318" s="169"/>
      <c r="AN318" s="169"/>
      <c r="AO318" s="169"/>
      <c r="AP318" s="169"/>
      <c r="AQ318" s="169"/>
      <c r="AR318" s="169"/>
      <c r="AS318" s="169"/>
      <c r="AT318" s="169"/>
      <c r="AU318" s="169"/>
      <c r="AV318" s="169"/>
      <c r="AW318" s="169"/>
      <c r="AX318" s="169"/>
      <c r="AY318" s="169"/>
      <c r="AZ318" s="330"/>
    </row>
    <row r="319" spans="1:52" ht="15" customHeight="1">
      <c r="A319" s="169"/>
      <c r="B319" s="169"/>
      <c r="C319" s="169"/>
      <c r="D319" s="169"/>
      <c r="E319" s="169"/>
      <c r="F319" s="169"/>
      <c r="G319" s="169"/>
      <c r="H319" s="169"/>
      <c r="I319" s="169"/>
      <c r="J319" s="169"/>
      <c r="K319" s="169"/>
      <c r="L319" s="169"/>
      <c r="M319" s="169"/>
      <c r="N319" s="169"/>
      <c r="O319" s="169"/>
      <c r="P319" s="169"/>
      <c r="Q319" s="169"/>
      <c r="R319" s="169"/>
      <c r="S319" s="169"/>
      <c r="T319" s="169"/>
      <c r="U319" s="169"/>
      <c r="V319" s="169"/>
      <c r="W319" s="169"/>
      <c r="X319" s="169"/>
      <c r="Y319" s="169"/>
      <c r="Z319" s="169"/>
      <c r="AA319" s="169"/>
      <c r="AB319" s="169"/>
      <c r="AC319" s="169"/>
      <c r="AD319" s="169"/>
      <c r="AE319" s="169"/>
      <c r="AF319" s="169"/>
      <c r="AG319" s="169"/>
      <c r="AH319" s="169"/>
      <c r="AI319" s="169"/>
      <c r="AJ319" s="169"/>
      <c r="AK319" s="169"/>
      <c r="AL319" s="169"/>
      <c r="AM319" s="169"/>
      <c r="AN319" s="169"/>
      <c r="AO319" s="169"/>
      <c r="AP319" s="169"/>
      <c r="AQ319" s="169"/>
      <c r="AR319" s="169"/>
      <c r="AS319" s="169"/>
      <c r="AT319" s="169"/>
      <c r="AU319" s="169"/>
      <c r="AV319" s="169"/>
      <c r="AW319" s="169"/>
      <c r="AX319" s="169"/>
      <c r="AY319" s="169"/>
    </row>
    <row r="320" spans="1:52" ht="15" customHeight="1">
      <c r="A320" s="169"/>
      <c r="B320" s="169"/>
      <c r="C320" s="169"/>
      <c r="D320" s="169"/>
      <c r="E320" s="169"/>
      <c r="F320" s="169"/>
      <c r="G320" s="169"/>
      <c r="H320" s="169"/>
      <c r="I320" s="169"/>
      <c r="J320" s="169"/>
      <c r="K320" s="169"/>
      <c r="L320" s="169"/>
      <c r="M320" s="169"/>
      <c r="N320" s="169"/>
      <c r="O320" s="169"/>
      <c r="P320" s="169"/>
      <c r="Q320" s="169"/>
      <c r="R320" s="169"/>
      <c r="S320" s="169"/>
      <c r="T320" s="169"/>
      <c r="U320" s="169"/>
      <c r="V320" s="169"/>
      <c r="W320" s="169"/>
      <c r="X320" s="169"/>
      <c r="Y320" s="169"/>
      <c r="Z320" s="169"/>
      <c r="AA320" s="169"/>
      <c r="AB320" s="169"/>
      <c r="AC320" s="169"/>
      <c r="AD320" s="169"/>
      <c r="AE320" s="169"/>
      <c r="AF320" s="169"/>
      <c r="AG320" s="169"/>
      <c r="AH320" s="169"/>
      <c r="AI320" s="169"/>
      <c r="AJ320" s="169"/>
      <c r="AK320" s="169"/>
      <c r="AL320" s="169"/>
      <c r="AM320" s="169"/>
      <c r="AN320" s="169"/>
      <c r="AO320" s="169"/>
      <c r="AP320" s="169"/>
      <c r="AQ320" s="169"/>
      <c r="AR320" s="169"/>
      <c r="AS320" s="169"/>
      <c r="AT320" s="169"/>
      <c r="AU320" s="169"/>
      <c r="AV320" s="169"/>
      <c r="AW320" s="169"/>
      <c r="AX320" s="169"/>
      <c r="AY320" s="169"/>
    </row>
    <row r="321" spans="1:51" ht="15" customHeight="1">
      <c r="A321" s="169"/>
      <c r="B321" s="169"/>
      <c r="C321" s="169"/>
      <c r="D321" s="169"/>
      <c r="E321" s="169"/>
      <c r="F321" s="169"/>
      <c r="G321" s="169"/>
      <c r="H321" s="169"/>
      <c r="I321" s="169"/>
      <c r="J321" s="169"/>
      <c r="K321" s="169"/>
      <c r="L321" s="169"/>
      <c r="M321" s="169"/>
      <c r="N321" s="169"/>
      <c r="O321" s="169"/>
      <c r="P321" s="169"/>
      <c r="Q321" s="169"/>
      <c r="R321" s="169"/>
      <c r="S321" s="169"/>
      <c r="T321" s="169"/>
      <c r="U321" s="169"/>
      <c r="V321" s="169"/>
      <c r="W321" s="169"/>
      <c r="X321" s="169"/>
      <c r="Y321" s="169"/>
      <c r="Z321" s="169"/>
      <c r="AA321" s="169"/>
      <c r="AB321" s="169"/>
      <c r="AC321" s="169"/>
      <c r="AD321" s="169"/>
      <c r="AE321" s="169"/>
      <c r="AF321" s="169"/>
      <c r="AG321" s="169"/>
      <c r="AH321" s="169"/>
      <c r="AI321" s="169"/>
      <c r="AJ321" s="169"/>
      <c r="AK321" s="169"/>
      <c r="AL321" s="169"/>
      <c r="AM321" s="169"/>
      <c r="AN321" s="169"/>
      <c r="AO321" s="169"/>
      <c r="AP321" s="169"/>
      <c r="AQ321" s="169"/>
      <c r="AR321" s="169"/>
      <c r="AS321" s="169"/>
      <c r="AT321" s="169"/>
      <c r="AU321" s="169"/>
      <c r="AV321" s="169"/>
      <c r="AW321" s="169"/>
      <c r="AX321" s="169"/>
      <c r="AY321" s="169"/>
    </row>
    <row r="322" spans="1:51" ht="15" customHeight="1">
      <c r="A322" s="169"/>
      <c r="B322" s="169"/>
      <c r="C322" s="169"/>
      <c r="D322" s="169"/>
      <c r="E322" s="169"/>
      <c r="F322" s="169"/>
      <c r="G322" s="169"/>
      <c r="H322" s="169"/>
      <c r="I322" s="169"/>
      <c r="J322" s="169"/>
      <c r="K322" s="169"/>
      <c r="L322" s="169"/>
      <c r="M322" s="169"/>
      <c r="N322" s="169"/>
      <c r="O322" s="169"/>
      <c r="P322" s="169"/>
      <c r="Q322" s="169"/>
      <c r="R322" s="169"/>
      <c r="S322" s="169"/>
      <c r="T322" s="169"/>
      <c r="U322" s="169"/>
      <c r="V322" s="169"/>
      <c r="W322" s="169"/>
      <c r="X322" s="169"/>
      <c r="Y322" s="169"/>
      <c r="Z322" s="169"/>
      <c r="AA322" s="169"/>
      <c r="AB322" s="169"/>
      <c r="AC322" s="169"/>
      <c r="AD322" s="169"/>
      <c r="AE322" s="169"/>
      <c r="AF322" s="169"/>
      <c r="AG322" s="169"/>
      <c r="AH322" s="169"/>
      <c r="AI322" s="169"/>
      <c r="AJ322" s="169"/>
      <c r="AK322" s="169"/>
      <c r="AL322" s="169"/>
      <c r="AM322" s="169"/>
      <c r="AN322" s="169"/>
      <c r="AO322" s="169"/>
      <c r="AP322" s="169"/>
      <c r="AQ322" s="169"/>
      <c r="AR322" s="169"/>
      <c r="AS322" s="169"/>
      <c r="AT322" s="169"/>
      <c r="AU322" s="169"/>
      <c r="AV322" s="169"/>
      <c r="AW322" s="169"/>
      <c r="AX322" s="169"/>
      <c r="AY322" s="169"/>
    </row>
    <row r="323" spans="1:51" ht="15" customHeight="1">
      <c r="A323" s="169"/>
      <c r="B323" s="169"/>
      <c r="C323" s="169"/>
      <c r="D323" s="169"/>
      <c r="E323" s="169"/>
      <c r="F323" s="169"/>
      <c r="G323" s="169"/>
      <c r="H323" s="169"/>
      <c r="I323" s="169"/>
      <c r="J323" s="169"/>
      <c r="K323" s="169"/>
      <c r="L323" s="169"/>
      <c r="M323" s="169"/>
      <c r="N323" s="169"/>
      <c r="O323" s="169"/>
      <c r="P323" s="169"/>
      <c r="Q323" s="169"/>
      <c r="R323" s="169"/>
      <c r="S323" s="169"/>
      <c r="T323" s="169"/>
      <c r="U323" s="169"/>
      <c r="V323" s="169"/>
      <c r="W323" s="169"/>
      <c r="X323" s="169"/>
      <c r="Y323" s="169"/>
      <c r="Z323" s="169"/>
      <c r="AA323" s="169"/>
      <c r="AB323" s="169"/>
      <c r="AC323" s="169"/>
      <c r="AD323" s="169"/>
      <c r="AE323" s="169"/>
      <c r="AF323" s="169"/>
      <c r="AG323" s="169"/>
      <c r="AH323" s="169"/>
      <c r="AI323" s="169"/>
      <c r="AJ323" s="169"/>
      <c r="AK323" s="169"/>
      <c r="AL323" s="169"/>
      <c r="AM323" s="169"/>
      <c r="AN323" s="169"/>
      <c r="AO323" s="169"/>
      <c r="AP323" s="169"/>
      <c r="AQ323" s="169"/>
      <c r="AR323" s="169"/>
      <c r="AS323" s="169"/>
      <c r="AT323" s="169"/>
      <c r="AU323" s="169"/>
      <c r="AV323" s="169"/>
      <c r="AW323" s="169"/>
      <c r="AX323" s="169"/>
      <c r="AY323" s="169"/>
    </row>
    <row r="324" spans="1:51" ht="15" customHeight="1">
      <c r="A324" s="169"/>
      <c r="B324" s="169"/>
      <c r="C324" s="169"/>
      <c r="D324" s="169"/>
      <c r="E324" s="169"/>
      <c r="F324" s="169"/>
      <c r="G324" s="169"/>
      <c r="H324" s="169"/>
      <c r="I324" s="169"/>
      <c r="J324" s="169"/>
      <c r="K324" s="169"/>
      <c r="L324" s="169"/>
      <c r="M324" s="169"/>
      <c r="N324" s="169"/>
      <c r="O324" s="169"/>
      <c r="P324" s="169"/>
      <c r="Q324" s="169"/>
      <c r="R324" s="169"/>
      <c r="S324" s="169"/>
      <c r="T324" s="169"/>
      <c r="U324" s="169"/>
      <c r="V324" s="169"/>
      <c r="W324" s="169"/>
      <c r="X324" s="169"/>
      <c r="Y324" s="169"/>
      <c r="Z324" s="169"/>
      <c r="AA324" s="169"/>
      <c r="AB324" s="169"/>
      <c r="AC324" s="169"/>
      <c r="AD324" s="169"/>
      <c r="AE324" s="169"/>
      <c r="AF324" s="169"/>
      <c r="AG324" s="169"/>
      <c r="AH324" s="169"/>
      <c r="AI324" s="169"/>
      <c r="AJ324" s="169"/>
      <c r="AK324" s="169"/>
      <c r="AL324" s="169"/>
      <c r="AM324" s="169"/>
      <c r="AN324" s="169"/>
      <c r="AO324" s="169"/>
      <c r="AP324" s="169"/>
      <c r="AQ324" s="169"/>
      <c r="AR324" s="169"/>
      <c r="AS324" s="169"/>
      <c r="AT324" s="169"/>
      <c r="AU324" s="169"/>
      <c r="AV324" s="169"/>
      <c r="AW324" s="169"/>
      <c r="AX324" s="169"/>
      <c r="AY324" s="169"/>
    </row>
    <row r="325" spans="1:51" ht="15" customHeight="1">
      <c r="A325" s="169"/>
      <c r="B325" s="169"/>
      <c r="C325" s="169"/>
      <c r="D325" s="169"/>
      <c r="E325" s="169"/>
      <c r="F325" s="169"/>
      <c r="G325" s="169"/>
      <c r="H325" s="169"/>
      <c r="I325" s="169"/>
      <c r="J325" s="169"/>
      <c r="K325" s="169"/>
      <c r="L325" s="169"/>
      <c r="M325" s="169"/>
      <c r="N325" s="169"/>
      <c r="O325" s="169"/>
      <c r="P325" s="169"/>
      <c r="Q325" s="169"/>
      <c r="R325" s="169"/>
      <c r="S325" s="169"/>
      <c r="T325" s="169"/>
      <c r="U325" s="169"/>
      <c r="V325" s="169"/>
      <c r="W325" s="169"/>
      <c r="X325" s="169"/>
      <c r="Y325" s="169"/>
      <c r="Z325" s="169"/>
      <c r="AA325" s="169"/>
      <c r="AB325" s="169"/>
      <c r="AC325" s="169"/>
      <c r="AD325" s="169"/>
      <c r="AE325" s="169"/>
      <c r="AF325" s="169"/>
      <c r="AG325" s="169"/>
      <c r="AH325" s="169"/>
      <c r="AI325" s="169"/>
      <c r="AJ325" s="169"/>
      <c r="AK325" s="169"/>
      <c r="AL325" s="169"/>
      <c r="AM325" s="169"/>
      <c r="AN325" s="169"/>
      <c r="AO325" s="169"/>
      <c r="AP325" s="169"/>
      <c r="AQ325" s="169"/>
      <c r="AR325" s="169"/>
      <c r="AS325" s="169"/>
      <c r="AT325" s="169"/>
      <c r="AU325" s="169"/>
      <c r="AV325" s="169"/>
      <c r="AW325" s="169"/>
      <c r="AX325" s="169"/>
      <c r="AY325" s="169"/>
    </row>
    <row r="326" spans="1:51" ht="15" customHeight="1">
      <c r="A326" s="169"/>
      <c r="B326" s="169"/>
      <c r="C326" s="169"/>
      <c r="D326" s="169"/>
      <c r="E326" s="169"/>
      <c r="F326" s="169"/>
      <c r="G326" s="169"/>
      <c r="H326" s="169"/>
      <c r="I326" s="169"/>
      <c r="J326" s="169"/>
      <c r="K326" s="169"/>
      <c r="L326" s="169"/>
      <c r="M326" s="169"/>
      <c r="N326" s="169"/>
      <c r="O326" s="169"/>
      <c r="P326" s="169"/>
      <c r="Q326" s="169"/>
      <c r="R326" s="169"/>
      <c r="S326" s="169"/>
      <c r="T326" s="169"/>
      <c r="U326" s="169"/>
      <c r="V326" s="169"/>
      <c r="W326" s="169"/>
      <c r="X326" s="169"/>
      <c r="Y326" s="169"/>
      <c r="Z326" s="169"/>
      <c r="AA326" s="169"/>
      <c r="AB326" s="169"/>
      <c r="AC326" s="169"/>
      <c r="AD326" s="169"/>
      <c r="AE326" s="169"/>
      <c r="AF326" s="169"/>
      <c r="AG326" s="169"/>
      <c r="AH326" s="169"/>
      <c r="AI326" s="169"/>
      <c r="AJ326" s="169"/>
      <c r="AK326" s="169"/>
      <c r="AL326" s="169"/>
      <c r="AM326" s="169"/>
      <c r="AN326" s="169"/>
      <c r="AO326" s="169"/>
      <c r="AP326" s="169"/>
      <c r="AQ326" s="169"/>
      <c r="AR326" s="169"/>
      <c r="AS326" s="169"/>
      <c r="AT326" s="169"/>
      <c r="AU326" s="169"/>
      <c r="AV326" s="169"/>
      <c r="AW326" s="169"/>
      <c r="AX326" s="169"/>
      <c r="AY326" s="169"/>
    </row>
    <row r="327" spans="1:51" ht="15" customHeight="1">
      <c r="A327" s="169"/>
      <c r="B327" s="169"/>
      <c r="C327" s="169"/>
      <c r="D327" s="169"/>
      <c r="E327" s="169"/>
      <c r="F327" s="169"/>
      <c r="G327" s="169"/>
      <c r="H327" s="169"/>
      <c r="I327" s="169"/>
      <c r="J327" s="169"/>
      <c r="K327" s="169"/>
      <c r="L327" s="169"/>
      <c r="M327" s="169"/>
      <c r="N327" s="169"/>
      <c r="O327" s="169"/>
      <c r="P327" s="169"/>
      <c r="Q327" s="169"/>
      <c r="R327" s="169"/>
      <c r="S327" s="169"/>
      <c r="T327" s="169"/>
      <c r="U327" s="169"/>
      <c r="V327" s="169"/>
      <c r="W327" s="169"/>
      <c r="X327" s="169"/>
      <c r="Y327" s="169"/>
      <c r="Z327" s="169"/>
      <c r="AA327" s="169"/>
      <c r="AB327" s="169"/>
      <c r="AC327" s="169"/>
      <c r="AD327" s="169"/>
      <c r="AE327" s="169"/>
      <c r="AF327" s="169"/>
      <c r="AG327" s="169"/>
      <c r="AH327" s="169"/>
      <c r="AI327" s="169"/>
      <c r="AJ327" s="169"/>
      <c r="AK327" s="169"/>
      <c r="AL327" s="169"/>
      <c r="AM327" s="169"/>
      <c r="AN327" s="169"/>
      <c r="AO327" s="169"/>
      <c r="AP327" s="169"/>
      <c r="AQ327" s="169"/>
      <c r="AR327" s="169"/>
      <c r="AS327" s="169"/>
      <c r="AT327" s="169"/>
      <c r="AU327" s="169"/>
      <c r="AV327" s="169"/>
      <c r="AW327" s="169"/>
      <c r="AX327" s="169"/>
      <c r="AY327" s="169"/>
    </row>
    <row r="328" spans="1:51" ht="15" customHeight="1">
      <c r="A328" s="169"/>
      <c r="B328" s="169"/>
      <c r="C328" s="169"/>
      <c r="D328" s="169"/>
      <c r="E328" s="169"/>
      <c r="F328" s="169"/>
      <c r="G328" s="169"/>
      <c r="H328" s="169"/>
      <c r="I328" s="169"/>
      <c r="J328" s="169"/>
      <c r="K328" s="169"/>
      <c r="L328" s="169"/>
      <c r="M328" s="169"/>
      <c r="N328" s="169"/>
      <c r="O328" s="169"/>
      <c r="P328" s="169"/>
      <c r="Q328" s="169"/>
      <c r="R328" s="169"/>
      <c r="S328" s="169"/>
      <c r="T328" s="169"/>
      <c r="U328" s="169"/>
      <c r="V328" s="169"/>
      <c r="W328" s="169"/>
      <c r="X328" s="169"/>
      <c r="Y328" s="169"/>
      <c r="Z328" s="169"/>
      <c r="AA328" s="169"/>
      <c r="AB328" s="169"/>
      <c r="AC328" s="169"/>
      <c r="AD328" s="169"/>
      <c r="AE328" s="169"/>
      <c r="AF328" s="169"/>
      <c r="AG328" s="169"/>
      <c r="AH328" s="169"/>
      <c r="AI328" s="169"/>
      <c r="AJ328" s="169"/>
      <c r="AK328" s="169"/>
      <c r="AL328" s="169"/>
      <c r="AM328" s="169"/>
      <c r="AN328" s="169"/>
      <c r="AO328" s="169"/>
      <c r="AP328" s="169"/>
      <c r="AQ328" s="169"/>
      <c r="AR328" s="169"/>
      <c r="AS328" s="169"/>
      <c r="AT328" s="169"/>
      <c r="AU328" s="169"/>
      <c r="AV328" s="169"/>
      <c r="AW328" s="169"/>
      <c r="AX328" s="169"/>
      <c r="AY328" s="169"/>
    </row>
    <row r="329" spans="1:51" ht="15" customHeight="1">
      <c r="A329" s="169"/>
      <c r="B329" s="169"/>
      <c r="C329" s="169"/>
      <c r="D329" s="169"/>
      <c r="E329" s="169"/>
      <c r="F329" s="169"/>
      <c r="G329" s="169"/>
      <c r="H329" s="169"/>
      <c r="I329" s="169"/>
      <c r="J329" s="169"/>
      <c r="K329" s="169"/>
      <c r="L329" s="169"/>
      <c r="M329" s="169"/>
      <c r="N329" s="169"/>
      <c r="O329" s="169"/>
      <c r="P329" s="169"/>
      <c r="Q329" s="169"/>
      <c r="R329" s="169"/>
      <c r="S329" s="169"/>
      <c r="T329" s="169"/>
      <c r="U329" s="169"/>
      <c r="V329" s="169"/>
      <c r="W329" s="169"/>
      <c r="X329" s="169"/>
      <c r="Y329" s="169"/>
      <c r="Z329" s="169"/>
      <c r="AA329" s="169"/>
      <c r="AB329" s="169"/>
      <c r="AC329" s="169"/>
      <c r="AD329" s="169"/>
      <c r="AE329" s="169"/>
      <c r="AF329" s="169"/>
      <c r="AG329" s="169"/>
      <c r="AH329" s="169"/>
      <c r="AI329" s="169"/>
      <c r="AJ329" s="169"/>
      <c r="AK329" s="169"/>
      <c r="AL329" s="169"/>
      <c r="AM329" s="169"/>
      <c r="AN329" s="169"/>
      <c r="AO329" s="169"/>
      <c r="AP329" s="169"/>
      <c r="AQ329" s="169"/>
      <c r="AR329" s="169"/>
      <c r="AS329" s="169"/>
      <c r="AT329" s="169"/>
      <c r="AU329" s="169"/>
      <c r="AV329" s="169"/>
      <c r="AW329" s="169"/>
      <c r="AX329" s="169"/>
      <c r="AY329" s="169"/>
    </row>
    <row r="330" spans="1:51" ht="15" customHeight="1">
      <c r="A330" s="169"/>
      <c r="B330" s="169"/>
      <c r="C330" s="169"/>
      <c r="D330" s="169"/>
      <c r="E330" s="169"/>
      <c r="F330" s="169"/>
      <c r="G330" s="169"/>
      <c r="H330" s="169"/>
      <c r="I330" s="169"/>
      <c r="J330" s="169"/>
      <c r="K330" s="169"/>
      <c r="L330" s="169"/>
      <c r="M330" s="169"/>
      <c r="N330" s="169"/>
      <c r="O330" s="169"/>
      <c r="P330" s="169"/>
      <c r="Q330" s="169"/>
      <c r="R330" s="169"/>
      <c r="S330" s="169"/>
      <c r="T330" s="169"/>
      <c r="U330" s="169"/>
      <c r="V330" s="169"/>
      <c r="W330" s="169"/>
      <c r="X330" s="169"/>
      <c r="Y330" s="169"/>
      <c r="Z330" s="169"/>
      <c r="AA330" s="169"/>
      <c r="AB330" s="169"/>
      <c r="AC330" s="169"/>
      <c r="AD330" s="169"/>
      <c r="AE330" s="169"/>
      <c r="AF330" s="169"/>
      <c r="AG330" s="169"/>
      <c r="AH330" s="169"/>
      <c r="AI330" s="169"/>
      <c r="AJ330" s="169"/>
      <c r="AK330" s="169"/>
      <c r="AL330" s="169"/>
      <c r="AM330" s="169"/>
      <c r="AN330" s="169"/>
      <c r="AO330" s="169"/>
      <c r="AP330" s="169"/>
      <c r="AQ330" s="169"/>
      <c r="AR330" s="169"/>
      <c r="AS330" s="169"/>
      <c r="AT330" s="169"/>
      <c r="AU330" s="169"/>
      <c r="AV330" s="169"/>
      <c r="AW330" s="169"/>
      <c r="AX330" s="169"/>
      <c r="AY330" s="169"/>
    </row>
    <row r="331" spans="1:51" ht="15" customHeight="1">
      <c r="A331" s="169"/>
      <c r="B331" s="169"/>
      <c r="C331" s="169"/>
      <c r="D331" s="169"/>
      <c r="E331" s="169"/>
      <c r="F331" s="169"/>
      <c r="G331" s="169"/>
      <c r="H331" s="169"/>
      <c r="I331" s="169"/>
      <c r="J331" s="169"/>
      <c r="K331" s="169"/>
      <c r="L331" s="169"/>
      <c r="M331" s="169"/>
      <c r="N331" s="169"/>
      <c r="O331" s="169"/>
      <c r="P331" s="169"/>
      <c r="Q331" s="169"/>
      <c r="R331" s="169"/>
      <c r="S331" s="169"/>
      <c r="T331" s="169"/>
      <c r="U331" s="169"/>
      <c r="V331" s="169"/>
      <c r="W331" s="169"/>
      <c r="X331" s="169"/>
      <c r="Y331" s="169"/>
      <c r="Z331" s="169"/>
      <c r="AA331" s="169"/>
      <c r="AB331" s="169"/>
      <c r="AC331" s="169"/>
      <c r="AD331" s="169"/>
      <c r="AE331" s="169"/>
      <c r="AF331" s="169"/>
      <c r="AG331" s="169"/>
      <c r="AH331" s="169"/>
      <c r="AI331" s="169"/>
      <c r="AJ331" s="169"/>
      <c r="AK331" s="169"/>
      <c r="AL331" s="169"/>
      <c r="AM331" s="169"/>
      <c r="AN331" s="169"/>
      <c r="AO331" s="169"/>
      <c r="AP331" s="169"/>
      <c r="AQ331" s="169"/>
      <c r="AR331" s="169"/>
      <c r="AS331" s="169"/>
      <c r="AT331" s="169"/>
      <c r="AU331" s="169"/>
      <c r="AV331" s="169"/>
      <c r="AW331" s="169"/>
      <c r="AX331" s="169"/>
      <c r="AY331" s="169"/>
    </row>
    <row r="332" spans="1:51" ht="15" customHeight="1">
      <c r="A332" s="169"/>
      <c r="B332" s="169"/>
      <c r="C332" s="169"/>
      <c r="D332" s="169"/>
      <c r="E332" s="169"/>
      <c r="F332" s="169"/>
      <c r="G332" s="169"/>
      <c r="H332" s="169"/>
      <c r="I332" s="169"/>
      <c r="J332" s="169"/>
      <c r="K332" s="169"/>
      <c r="L332" s="169"/>
      <c r="M332" s="169"/>
      <c r="N332" s="169"/>
      <c r="O332" s="169"/>
      <c r="P332" s="169"/>
      <c r="Q332" s="169"/>
      <c r="R332" s="169"/>
      <c r="S332" s="169"/>
      <c r="T332" s="169"/>
      <c r="U332" s="169"/>
      <c r="V332" s="169"/>
      <c r="W332" s="169"/>
      <c r="X332" s="169"/>
      <c r="Y332" s="169"/>
      <c r="Z332" s="169"/>
      <c r="AA332" s="169"/>
      <c r="AB332" s="169"/>
      <c r="AC332" s="169"/>
      <c r="AD332" s="169"/>
      <c r="AE332" s="169"/>
      <c r="AF332" s="169"/>
      <c r="AG332" s="169"/>
      <c r="AH332" s="169"/>
      <c r="AI332" s="169"/>
      <c r="AJ332" s="169"/>
      <c r="AK332" s="169"/>
      <c r="AL332" s="169"/>
      <c r="AM332" s="169"/>
      <c r="AN332" s="169"/>
      <c r="AO332" s="169"/>
      <c r="AP332" s="169"/>
      <c r="AQ332" s="169"/>
      <c r="AR332" s="169"/>
      <c r="AS332" s="169"/>
      <c r="AT332" s="169"/>
      <c r="AU332" s="169"/>
      <c r="AV332" s="169"/>
      <c r="AW332" s="169"/>
      <c r="AX332" s="169"/>
      <c r="AY332" s="169"/>
    </row>
    <row r="333" spans="1:51" ht="15" customHeight="1">
      <c r="A333" s="169"/>
      <c r="B333" s="169"/>
      <c r="C333" s="169"/>
      <c r="D333" s="169"/>
      <c r="E333" s="169"/>
      <c r="F333" s="169"/>
      <c r="G333" s="169"/>
      <c r="H333" s="169"/>
      <c r="I333" s="169"/>
      <c r="J333" s="169"/>
      <c r="K333" s="169"/>
      <c r="L333" s="169"/>
      <c r="M333" s="169"/>
      <c r="N333" s="169"/>
      <c r="O333" s="169"/>
      <c r="P333" s="169"/>
      <c r="Q333" s="169"/>
      <c r="R333" s="169"/>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row>
    <row r="334" spans="1:51" ht="15" customHeight="1">
      <c r="A334" s="169"/>
      <c r="B334" s="169"/>
      <c r="C334" s="169"/>
      <c r="D334" s="169"/>
      <c r="E334" s="169"/>
      <c r="F334" s="169"/>
      <c r="G334" s="169"/>
      <c r="H334" s="169"/>
      <c r="I334" s="169"/>
      <c r="J334" s="169"/>
      <c r="K334" s="169"/>
      <c r="L334" s="169"/>
      <c r="M334" s="169"/>
      <c r="N334" s="169"/>
      <c r="O334" s="169"/>
      <c r="P334" s="169"/>
      <c r="Q334" s="169"/>
      <c r="R334" s="169"/>
      <c r="S334" s="169"/>
      <c r="T334" s="169"/>
      <c r="U334" s="169"/>
      <c r="V334" s="169"/>
      <c r="W334" s="169"/>
      <c r="X334" s="169"/>
      <c r="Y334" s="169"/>
      <c r="Z334" s="169"/>
      <c r="AA334" s="169"/>
      <c r="AB334" s="169"/>
      <c r="AC334" s="169"/>
      <c r="AD334" s="169"/>
      <c r="AE334" s="169"/>
      <c r="AF334" s="169"/>
      <c r="AG334" s="169"/>
      <c r="AH334" s="169"/>
      <c r="AI334" s="169"/>
      <c r="AJ334" s="169"/>
      <c r="AK334" s="169"/>
      <c r="AL334" s="169"/>
      <c r="AM334" s="169"/>
      <c r="AN334" s="169"/>
      <c r="AO334" s="169"/>
      <c r="AP334" s="169"/>
      <c r="AQ334" s="169"/>
      <c r="AR334" s="169"/>
      <c r="AS334" s="169"/>
      <c r="AT334" s="169"/>
      <c r="AU334" s="169"/>
      <c r="AV334" s="169"/>
      <c r="AW334" s="169"/>
      <c r="AX334" s="169"/>
      <c r="AY334" s="169"/>
    </row>
    <row r="335" spans="1:51" ht="15" customHeight="1">
      <c r="A335" s="169"/>
      <c r="B335" s="169"/>
      <c r="C335" s="169"/>
      <c r="D335" s="169"/>
      <c r="E335" s="169"/>
      <c r="F335" s="169"/>
      <c r="G335" s="169"/>
      <c r="H335" s="169"/>
      <c r="I335" s="169"/>
      <c r="J335" s="169"/>
      <c r="K335" s="169"/>
      <c r="L335" s="169"/>
      <c r="M335" s="169"/>
      <c r="N335" s="169"/>
      <c r="O335" s="169"/>
      <c r="P335" s="169"/>
      <c r="Q335" s="169"/>
      <c r="R335" s="169"/>
      <c r="S335" s="169"/>
      <c r="T335" s="169"/>
      <c r="U335" s="169"/>
      <c r="V335" s="169"/>
      <c r="W335" s="169"/>
      <c r="X335" s="169"/>
      <c r="Y335" s="169"/>
      <c r="Z335" s="169"/>
      <c r="AA335" s="169"/>
      <c r="AB335" s="169"/>
      <c r="AC335" s="169"/>
      <c r="AD335" s="169"/>
      <c r="AE335" s="169"/>
      <c r="AF335" s="169"/>
      <c r="AG335" s="169"/>
      <c r="AH335" s="169"/>
      <c r="AI335" s="169"/>
      <c r="AJ335" s="169"/>
      <c r="AK335" s="169"/>
      <c r="AL335" s="169"/>
      <c r="AM335" s="169"/>
      <c r="AN335" s="169"/>
      <c r="AO335" s="169"/>
      <c r="AP335" s="169"/>
      <c r="AQ335" s="169"/>
      <c r="AR335" s="169"/>
      <c r="AS335" s="169"/>
      <c r="AT335" s="169"/>
      <c r="AU335" s="169"/>
      <c r="AV335" s="169"/>
      <c r="AW335" s="169"/>
      <c r="AX335" s="169"/>
      <c r="AY335" s="169"/>
    </row>
    <row r="336" spans="1:51" ht="15" customHeight="1">
      <c r="A336" s="169"/>
      <c r="B336" s="169"/>
      <c r="C336" s="169"/>
      <c r="D336" s="169"/>
      <c r="E336" s="169"/>
      <c r="F336" s="169"/>
      <c r="G336" s="169"/>
      <c r="H336" s="169"/>
      <c r="I336" s="169"/>
      <c r="J336" s="169"/>
      <c r="K336" s="169"/>
      <c r="L336" s="169"/>
      <c r="M336" s="169"/>
      <c r="N336" s="169"/>
      <c r="O336" s="169"/>
      <c r="P336" s="169"/>
      <c r="Q336" s="169"/>
      <c r="R336" s="169"/>
      <c r="S336" s="169"/>
      <c r="T336" s="169"/>
      <c r="U336" s="169"/>
      <c r="V336" s="169"/>
      <c r="W336" s="169"/>
      <c r="X336" s="169"/>
      <c r="Y336" s="169"/>
      <c r="Z336" s="169"/>
      <c r="AA336" s="169"/>
      <c r="AB336" s="169"/>
      <c r="AC336" s="169"/>
      <c r="AD336" s="169"/>
      <c r="AE336" s="169"/>
      <c r="AF336" s="169"/>
      <c r="AG336" s="169"/>
      <c r="AH336" s="169"/>
      <c r="AI336" s="169"/>
      <c r="AJ336" s="169"/>
      <c r="AK336" s="169"/>
      <c r="AL336" s="169"/>
      <c r="AM336" s="169"/>
      <c r="AN336" s="169"/>
      <c r="AO336" s="169"/>
      <c r="AP336" s="169"/>
      <c r="AQ336" s="169"/>
      <c r="AR336" s="169"/>
      <c r="AS336" s="169"/>
      <c r="AT336" s="169"/>
      <c r="AU336" s="169"/>
      <c r="AV336" s="169"/>
      <c r="AW336" s="169"/>
      <c r="AX336" s="169"/>
      <c r="AY336" s="169"/>
    </row>
    <row r="337" spans="1:51" ht="15" customHeight="1">
      <c r="A337" s="169"/>
      <c r="B337" s="169"/>
      <c r="C337" s="169"/>
      <c r="D337" s="169"/>
      <c r="E337" s="169"/>
      <c r="F337" s="169"/>
      <c r="G337" s="169"/>
      <c r="H337" s="169"/>
      <c r="I337" s="169"/>
      <c r="J337" s="169"/>
      <c r="K337" s="169"/>
      <c r="L337" s="169"/>
      <c r="M337" s="169"/>
      <c r="N337" s="169"/>
      <c r="O337" s="169"/>
      <c r="P337" s="169"/>
      <c r="Q337" s="169"/>
      <c r="R337" s="169"/>
      <c r="S337" s="169"/>
      <c r="T337" s="169"/>
      <c r="U337" s="169"/>
      <c r="V337" s="169"/>
      <c r="W337" s="169"/>
      <c r="X337" s="169"/>
      <c r="Y337" s="169"/>
      <c r="Z337" s="169"/>
      <c r="AA337" s="169"/>
      <c r="AB337" s="169"/>
      <c r="AC337" s="169"/>
      <c r="AD337" s="169"/>
      <c r="AE337" s="169"/>
      <c r="AF337" s="169"/>
      <c r="AG337" s="169"/>
      <c r="AH337" s="169"/>
      <c r="AI337" s="169"/>
      <c r="AJ337" s="169"/>
      <c r="AK337" s="169"/>
      <c r="AL337" s="169"/>
      <c r="AM337" s="169"/>
      <c r="AN337" s="169"/>
      <c r="AO337" s="169"/>
      <c r="AP337" s="169"/>
      <c r="AQ337" s="169"/>
      <c r="AR337" s="169"/>
      <c r="AS337" s="169"/>
      <c r="AT337" s="169"/>
      <c r="AU337" s="169"/>
      <c r="AV337" s="169"/>
      <c r="AW337" s="169"/>
      <c r="AX337" s="169"/>
      <c r="AY337" s="169"/>
    </row>
    <row r="338" spans="1:51" ht="15" customHeight="1">
      <c r="A338" s="169"/>
      <c r="B338" s="169"/>
      <c r="C338" s="169"/>
      <c r="D338" s="169"/>
      <c r="E338" s="169"/>
      <c r="F338" s="169"/>
      <c r="G338" s="169"/>
      <c r="H338" s="169"/>
      <c r="I338" s="169"/>
      <c r="J338" s="169"/>
      <c r="K338" s="169"/>
      <c r="L338" s="169"/>
      <c r="M338" s="169"/>
      <c r="N338" s="169"/>
      <c r="O338" s="169"/>
      <c r="P338" s="169"/>
      <c r="Q338" s="169"/>
      <c r="R338" s="169"/>
      <c r="S338" s="169"/>
      <c r="T338" s="169"/>
      <c r="U338" s="169"/>
      <c r="V338" s="169"/>
      <c r="W338" s="169"/>
      <c r="X338" s="169"/>
      <c r="Y338" s="169"/>
      <c r="Z338" s="169"/>
      <c r="AA338" s="169"/>
      <c r="AB338" s="169"/>
      <c r="AC338" s="169"/>
      <c r="AD338" s="169"/>
      <c r="AE338" s="169"/>
      <c r="AF338" s="169"/>
      <c r="AG338" s="169"/>
      <c r="AH338" s="169"/>
      <c r="AI338" s="169"/>
      <c r="AJ338" s="169"/>
      <c r="AK338" s="169"/>
      <c r="AL338" s="169"/>
      <c r="AM338" s="169"/>
      <c r="AN338" s="169"/>
      <c r="AO338" s="169"/>
      <c r="AP338" s="169"/>
      <c r="AQ338" s="169"/>
      <c r="AR338" s="169"/>
      <c r="AS338" s="169"/>
      <c r="AT338" s="169"/>
      <c r="AU338" s="169"/>
      <c r="AV338" s="169"/>
      <c r="AW338" s="169"/>
      <c r="AX338" s="169"/>
      <c r="AY338" s="169"/>
    </row>
    <row r="339" spans="1:51" ht="15" customHeight="1">
      <c r="A339" s="169"/>
      <c r="B339" s="169"/>
      <c r="C339" s="169"/>
      <c r="D339" s="169"/>
      <c r="E339" s="169"/>
      <c r="F339" s="169"/>
      <c r="G339" s="169"/>
      <c r="H339" s="169"/>
      <c r="I339" s="169"/>
      <c r="J339" s="169"/>
      <c r="K339" s="169"/>
      <c r="L339" s="169"/>
      <c r="M339" s="169"/>
      <c r="N339" s="169"/>
      <c r="O339" s="169"/>
      <c r="P339" s="169"/>
      <c r="Q339" s="169"/>
      <c r="R339" s="169"/>
      <c r="S339" s="169"/>
      <c r="T339" s="169"/>
      <c r="U339" s="169"/>
      <c r="V339" s="169"/>
      <c r="W339" s="169"/>
      <c r="X339" s="169"/>
      <c r="Y339" s="169"/>
      <c r="Z339" s="169"/>
      <c r="AA339" s="169"/>
      <c r="AB339" s="169"/>
      <c r="AC339" s="169"/>
      <c r="AD339" s="169"/>
      <c r="AE339" s="169"/>
      <c r="AF339" s="169"/>
      <c r="AG339" s="169"/>
      <c r="AH339" s="169"/>
      <c r="AI339" s="169"/>
      <c r="AJ339" s="169"/>
      <c r="AK339" s="169"/>
      <c r="AL339" s="169"/>
      <c r="AM339" s="169"/>
      <c r="AN339" s="169"/>
      <c r="AO339" s="169"/>
      <c r="AP339" s="169"/>
      <c r="AQ339" s="169"/>
      <c r="AR339" s="169"/>
      <c r="AS339" s="169"/>
      <c r="AT339" s="169"/>
      <c r="AU339" s="169"/>
      <c r="AV339" s="169"/>
      <c r="AW339" s="169"/>
      <c r="AX339" s="169"/>
      <c r="AY339" s="169"/>
    </row>
    <row r="340" spans="1:51" ht="15" customHeight="1">
      <c r="A340" s="169"/>
      <c r="B340" s="169"/>
      <c r="C340" s="169"/>
      <c r="D340" s="169"/>
      <c r="E340" s="169"/>
      <c r="F340" s="169"/>
      <c r="G340" s="169"/>
      <c r="H340" s="169"/>
      <c r="I340" s="169"/>
      <c r="J340" s="169"/>
      <c r="K340" s="169"/>
      <c r="L340" s="169"/>
      <c r="M340" s="169"/>
      <c r="N340" s="169"/>
      <c r="O340" s="169"/>
      <c r="P340" s="169"/>
      <c r="Q340" s="169"/>
      <c r="R340" s="169"/>
      <c r="S340" s="169"/>
      <c r="T340" s="169"/>
      <c r="U340" s="169"/>
      <c r="V340" s="169"/>
      <c r="W340" s="169"/>
      <c r="X340" s="169"/>
      <c r="Y340" s="169"/>
      <c r="Z340" s="169"/>
      <c r="AA340" s="169"/>
      <c r="AB340" s="169"/>
      <c r="AC340" s="169"/>
      <c r="AD340" s="169"/>
      <c r="AE340" s="169"/>
      <c r="AF340" s="169"/>
      <c r="AG340" s="169"/>
      <c r="AH340" s="169"/>
      <c r="AI340" s="169"/>
      <c r="AJ340" s="169"/>
      <c r="AK340" s="169"/>
      <c r="AL340" s="169"/>
      <c r="AM340" s="169"/>
      <c r="AN340" s="169"/>
      <c r="AO340" s="169"/>
      <c r="AP340" s="169"/>
      <c r="AQ340" s="169"/>
      <c r="AR340" s="169"/>
      <c r="AS340" s="169"/>
      <c r="AT340" s="169"/>
      <c r="AU340" s="169"/>
      <c r="AV340" s="169"/>
      <c r="AW340" s="169"/>
      <c r="AX340" s="169"/>
      <c r="AY340" s="169"/>
    </row>
    <row r="341" spans="1:51" ht="15" customHeight="1">
      <c r="A341" s="169"/>
      <c r="B341" s="169"/>
      <c r="C341" s="169"/>
      <c r="D341" s="169"/>
      <c r="E341" s="169"/>
      <c r="F341" s="169"/>
      <c r="G341" s="169"/>
      <c r="H341" s="169"/>
      <c r="I341" s="169"/>
      <c r="J341" s="169"/>
      <c r="K341" s="169"/>
      <c r="L341" s="169"/>
      <c r="M341" s="169"/>
      <c r="N341" s="169"/>
      <c r="O341" s="169"/>
      <c r="P341" s="169"/>
      <c r="Q341" s="169"/>
      <c r="R341" s="169"/>
      <c r="S341" s="169"/>
      <c r="T341" s="169"/>
      <c r="U341" s="169"/>
      <c r="V341" s="169"/>
      <c r="W341" s="169"/>
      <c r="X341" s="169"/>
      <c r="Y341" s="169"/>
      <c r="Z341" s="169"/>
      <c r="AA341" s="169"/>
      <c r="AB341" s="169"/>
      <c r="AC341" s="169"/>
      <c r="AD341" s="169"/>
      <c r="AE341" s="169"/>
      <c r="AF341" s="169"/>
      <c r="AG341" s="169"/>
      <c r="AH341" s="169"/>
      <c r="AI341" s="169"/>
      <c r="AJ341" s="169"/>
      <c r="AK341" s="169"/>
      <c r="AL341" s="169"/>
      <c r="AM341" s="169"/>
      <c r="AN341" s="169"/>
      <c r="AO341" s="169"/>
      <c r="AP341" s="169"/>
      <c r="AQ341" s="169"/>
      <c r="AR341" s="169"/>
      <c r="AS341" s="169"/>
      <c r="AT341" s="169"/>
      <c r="AU341" s="169"/>
      <c r="AV341" s="169"/>
      <c r="AW341" s="169"/>
      <c r="AX341" s="169"/>
      <c r="AY341" s="169"/>
    </row>
    <row r="342" spans="1:51" ht="15" customHeight="1">
      <c r="A342" s="169"/>
      <c r="B342" s="169"/>
      <c r="C342" s="169"/>
      <c r="D342" s="169"/>
      <c r="E342" s="169"/>
      <c r="F342" s="169"/>
      <c r="G342" s="169"/>
      <c r="H342" s="169"/>
      <c r="I342" s="169"/>
      <c r="J342" s="169"/>
      <c r="K342" s="169"/>
      <c r="L342" s="169"/>
      <c r="M342" s="169"/>
      <c r="N342" s="169"/>
      <c r="O342" s="169"/>
      <c r="P342" s="169"/>
      <c r="Q342" s="169"/>
      <c r="R342" s="169"/>
      <c r="S342" s="169"/>
      <c r="T342" s="169"/>
      <c r="U342" s="169"/>
      <c r="V342" s="169"/>
      <c r="W342" s="169"/>
      <c r="X342" s="169"/>
      <c r="Y342" s="169"/>
      <c r="Z342" s="169"/>
      <c r="AA342" s="169"/>
      <c r="AB342" s="169"/>
      <c r="AC342" s="169"/>
      <c r="AD342" s="169"/>
      <c r="AE342" s="169"/>
      <c r="AF342" s="169"/>
      <c r="AG342" s="169"/>
      <c r="AH342" s="169"/>
      <c r="AI342" s="169"/>
      <c r="AJ342" s="169"/>
      <c r="AK342" s="169"/>
      <c r="AL342" s="169"/>
      <c r="AM342" s="169"/>
      <c r="AN342" s="169"/>
      <c r="AO342" s="169"/>
      <c r="AP342" s="169"/>
      <c r="AQ342" s="169"/>
      <c r="AR342" s="169"/>
      <c r="AS342" s="169"/>
      <c r="AT342" s="169"/>
      <c r="AU342" s="169"/>
      <c r="AV342" s="169"/>
      <c r="AW342" s="169"/>
      <c r="AX342" s="169"/>
      <c r="AY342" s="169"/>
    </row>
    <row r="343" spans="1:51" ht="15" customHeight="1">
      <c r="A343" s="169"/>
      <c r="B343" s="169"/>
      <c r="C343" s="169"/>
      <c r="D343" s="169"/>
      <c r="E343" s="169"/>
      <c r="F343" s="169"/>
      <c r="G343" s="169"/>
      <c r="H343" s="169"/>
      <c r="I343" s="169"/>
      <c r="J343" s="169"/>
      <c r="K343" s="169"/>
      <c r="L343" s="169"/>
      <c r="M343" s="169"/>
      <c r="N343" s="169"/>
      <c r="O343" s="169"/>
      <c r="P343" s="169"/>
      <c r="Q343" s="169"/>
      <c r="R343" s="169"/>
      <c r="S343" s="169"/>
      <c r="T343" s="169"/>
      <c r="U343" s="169"/>
      <c r="V343" s="169"/>
      <c r="W343" s="169"/>
      <c r="X343" s="169"/>
      <c r="Y343" s="169"/>
      <c r="Z343" s="169"/>
      <c r="AA343" s="169"/>
      <c r="AB343" s="169"/>
      <c r="AC343" s="169"/>
      <c r="AD343" s="169"/>
      <c r="AE343" s="169"/>
      <c r="AF343" s="169"/>
      <c r="AG343" s="169"/>
      <c r="AH343" s="169"/>
      <c r="AI343" s="169"/>
      <c r="AJ343" s="169"/>
      <c r="AK343" s="169"/>
      <c r="AL343" s="169"/>
      <c r="AM343" s="169"/>
      <c r="AN343" s="169"/>
      <c r="AO343" s="169"/>
      <c r="AP343" s="169"/>
      <c r="AQ343" s="169"/>
      <c r="AR343" s="169"/>
      <c r="AS343" s="169"/>
      <c r="AT343" s="169"/>
      <c r="AU343" s="169"/>
      <c r="AV343" s="169"/>
      <c r="AW343" s="169"/>
      <c r="AX343" s="169"/>
      <c r="AY343" s="169"/>
    </row>
    <row r="344" spans="1:51" ht="15" customHeight="1">
      <c r="A344" s="169"/>
      <c r="B344" s="169"/>
      <c r="C344" s="169"/>
      <c r="D344" s="169"/>
      <c r="E344" s="169"/>
      <c r="F344" s="169"/>
      <c r="G344" s="169"/>
      <c r="H344" s="169"/>
      <c r="I344" s="169"/>
      <c r="J344" s="169"/>
      <c r="K344" s="169"/>
      <c r="L344" s="169"/>
      <c r="M344" s="169"/>
      <c r="N344" s="169"/>
      <c r="O344" s="169"/>
      <c r="P344" s="169"/>
      <c r="Q344" s="169"/>
      <c r="R344" s="169"/>
      <c r="S344" s="169"/>
      <c r="T344" s="169"/>
      <c r="U344" s="169"/>
      <c r="V344" s="169"/>
      <c r="W344" s="169"/>
      <c r="X344" s="169"/>
      <c r="Y344" s="169"/>
      <c r="Z344" s="169"/>
      <c r="AA344" s="169"/>
      <c r="AB344" s="169"/>
      <c r="AC344" s="169"/>
      <c r="AD344" s="169"/>
      <c r="AE344" s="169"/>
      <c r="AF344" s="169"/>
      <c r="AG344" s="169"/>
      <c r="AH344" s="169"/>
      <c r="AI344" s="169"/>
      <c r="AJ344" s="169"/>
      <c r="AK344" s="169"/>
      <c r="AL344" s="169"/>
      <c r="AM344" s="169"/>
      <c r="AN344" s="169"/>
      <c r="AO344" s="169"/>
      <c r="AP344" s="169"/>
      <c r="AQ344" s="169"/>
      <c r="AR344" s="169"/>
      <c r="AS344" s="169"/>
      <c r="AT344" s="169"/>
      <c r="AU344" s="169"/>
      <c r="AV344" s="169"/>
      <c r="AW344" s="169"/>
      <c r="AX344" s="169"/>
      <c r="AY344" s="169"/>
    </row>
    <row r="345" spans="1:51" ht="15" customHeight="1">
      <c r="A345" s="169"/>
      <c r="B345" s="169"/>
      <c r="C345" s="169"/>
      <c r="D345" s="169"/>
      <c r="E345" s="169"/>
      <c r="F345" s="169"/>
      <c r="G345" s="169"/>
      <c r="H345" s="169"/>
      <c r="I345" s="169"/>
      <c r="J345" s="169"/>
      <c r="K345" s="169"/>
      <c r="L345" s="169"/>
      <c r="M345" s="169"/>
      <c r="N345" s="169"/>
      <c r="O345" s="169"/>
      <c r="P345" s="169"/>
      <c r="Q345" s="169"/>
      <c r="R345" s="169"/>
      <c r="S345" s="169"/>
      <c r="T345" s="169"/>
      <c r="U345" s="169"/>
      <c r="V345" s="169"/>
      <c r="W345" s="169"/>
      <c r="X345" s="169"/>
      <c r="Y345" s="169"/>
      <c r="Z345" s="169"/>
      <c r="AA345" s="169"/>
      <c r="AB345" s="169"/>
      <c r="AC345" s="169"/>
      <c r="AD345" s="169"/>
      <c r="AE345" s="169"/>
      <c r="AF345" s="169"/>
      <c r="AG345" s="169"/>
      <c r="AH345" s="169"/>
      <c r="AI345" s="169"/>
      <c r="AJ345" s="169"/>
      <c r="AK345" s="169"/>
      <c r="AL345" s="169"/>
      <c r="AM345" s="169"/>
      <c r="AN345" s="169"/>
      <c r="AO345" s="169"/>
      <c r="AP345" s="169"/>
      <c r="AQ345" s="169"/>
      <c r="AR345" s="169"/>
      <c r="AS345" s="169"/>
      <c r="AT345" s="169"/>
      <c r="AU345" s="169"/>
      <c r="AV345" s="169"/>
      <c r="AW345" s="169"/>
      <c r="AX345" s="169"/>
      <c r="AY345" s="169"/>
    </row>
    <row r="346" spans="1:51" ht="15" customHeight="1">
      <c r="A346" s="169"/>
      <c r="B346" s="169"/>
      <c r="C346" s="169"/>
      <c r="D346" s="169"/>
      <c r="E346" s="169"/>
      <c r="F346" s="169"/>
      <c r="G346" s="169"/>
      <c r="H346" s="169"/>
      <c r="I346" s="169"/>
      <c r="J346" s="169"/>
      <c r="K346" s="169"/>
      <c r="L346" s="169"/>
      <c r="M346" s="169"/>
      <c r="N346" s="169"/>
      <c r="O346" s="169"/>
      <c r="P346" s="169"/>
      <c r="Q346" s="169"/>
      <c r="R346" s="169"/>
      <c r="S346" s="169"/>
      <c r="T346" s="169"/>
      <c r="U346" s="169"/>
      <c r="V346" s="169"/>
      <c r="W346" s="169"/>
      <c r="X346" s="169"/>
      <c r="Y346" s="169"/>
      <c r="Z346" s="169"/>
      <c r="AA346" s="169"/>
      <c r="AB346" s="169"/>
      <c r="AC346" s="169"/>
      <c r="AD346" s="169"/>
      <c r="AE346" s="169"/>
      <c r="AF346" s="169"/>
      <c r="AG346" s="169"/>
      <c r="AH346" s="169"/>
      <c r="AI346" s="169"/>
      <c r="AJ346" s="169"/>
      <c r="AK346" s="169"/>
      <c r="AL346" s="169"/>
      <c r="AM346" s="169"/>
      <c r="AN346" s="169"/>
      <c r="AO346" s="169"/>
      <c r="AP346" s="169"/>
      <c r="AQ346" s="169"/>
      <c r="AR346" s="169"/>
      <c r="AS346" s="169"/>
      <c r="AT346" s="169"/>
      <c r="AU346" s="169"/>
      <c r="AV346" s="169"/>
      <c r="AW346" s="169"/>
      <c r="AX346" s="169"/>
      <c r="AY346" s="169"/>
    </row>
    <row r="347" spans="1:51" s="347" customFormat="1" ht="15" customHeight="1">
      <c r="A347" s="169"/>
      <c r="B347" s="169"/>
      <c r="C347" s="169"/>
      <c r="D347" s="169"/>
      <c r="E347" s="169"/>
      <c r="F347" s="169"/>
      <c r="G347" s="169"/>
      <c r="H347" s="169"/>
      <c r="I347" s="169"/>
      <c r="J347" s="169"/>
      <c r="K347" s="169"/>
      <c r="L347" s="169"/>
      <c r="M347" s="169"/>
      <c r="N347" s="169"/>
      <c r="O347" s="169"/>
      <c r="P347" s="169"/>
      <c r="Q347" s="169"/>
      <c r="R347" s="169"/>
      <c r="S347" s="169"/>
      <c r="T347" s="169"/>
      <c r="U347" s="169"/>
      <c r="V347" s="169"/>
      <c r="W347" s="169"/>
      <c r="X347" s="169"/>
      <c r="Y347" s="169"/>
      <c r="Z347" s="169"/>
      <c r="AA347" s="169"/>
      <c r="AB347" s="169"/>
      <c r="AC347" s="169"/>
      <c r="AD347" s="169"/>
      <c r="AE347" s="169"/>
      <c r="AF347" s="169"/>
      <c r="AG347" s="169"/>
      <c r="AH347" s="169"/>
      <c r="AI347" s="169"/>
      <c r="AJ347" s="169"/>
      <c r="AK347" s="169"/>
      <c r="AL347" s="169"/>
      <c r="AM347" s="169"/>
      <c r="AN347" s="169"/>
      <c r="AO347" s="169"/>
      <c r="AP347" s="169"/>
      <c r="AQ347" s="169"/>
      <c r="AR347" s="169"/>
      <c r="AS347" s="169"/>
      <c r="AT347" s="169"/>
      <c r="AU347" s="169"/>
      <c r="AV347" s="169"/>
      <c r="AW347" s="169"/>
      <c r="AX347" s="169"/>
      <c r="AY347" s="169"/>
    </row>
    <row r="348" spans="1:51" s="347" customFormat="1" ht="15" customHeight="1">
      <c r="A348" s="169"/>
      <c r="B348" s="169"/>
      <c r="C348" s="169"/>
      <c r="D348" s="169"/>
      <c r="E348" s="169"/>
      <c r="F348" s="169"/>
      <c r="G348" s="169"/>
      <c r="H348" s="169"/>
      <c r="I348" s="169"/>
      <c r="J348" s="169"/>
      <c r="K348" s="169"/>
      <c r="L348" s="169"/>
      <c r="M348" s="169"/>
      <c r="N348" s="169"/>
      <c r="O348" s="169"/>
      <c r="P348" s="169"/>
      <c r="Q348" s="169"/>
      <c r="R348" s="169"/>
      <c r="S348" s="169"/>
      <c r="T348" s="169"/>
      <c r="U348" s="169"/>
      <c r="V348" s="169"/>
      <c r="W348" s="169"/>
      <c r="X348" s="169"/>
      <c r="Y348" s="169"/>
      <c r="Z348" s="169"/>
      <c r="AA348" s="169"/>
      <c r="AB348" s="169"/>
      <c r="AC348" s="169"/>
      <c r="AD348" s="169"/>
      <c r="AE348" s="169"/>
      <c r="AF348" s="169"/>
      <c r="AG348" s="169"/>
      <c r="AH348" s="169"/>
      <c r="AI348" s="169"/>
      <c r="AJ348" s="169"/>
      <c r="AK348" s="169"/>
      <c r="AL348" s="169"/>
      <c r="AM348" s="169"/>
      <c r="AN348" s="169"/>
      <c r="AO348" s="169"/>
      <c r="AP348" s="169"/>
      <c r="AQ348" s="169"/>
      <c r="AR348" s="169"/>
      <c r="AS348" s="169"/>
      <c r="AT348" s="169"/>
      <c r="AU348" s="169"/>
      <c r="AV348" s="169"/>
      <c r="AW348" s="169"/>
      <c r="AX348" s="169"/>
      <c r="AY348" s="169"/>
    </row>
    <row r="349" spans="1:51" s="347" customFormat="1" ht="15" customHeight="1">
      <c r="A349" s="169"/>
      <c r="B349" s="169"/>
      <c r="C349" s="169"/>
      <c r="D349" s="169"/>
      <c r="E349" s="169"/>
      <c r="F349" s="169"/>
      <c r="G349" s="169"/>
      <c r="H349" s="169"/>
      <c r="I349" s="169"/>
      <c r="J349" s="169"/>
      <c r="K349" s="169"/>
      <c r="L349" s="169"/>
      <c r="M349" s="169"/>
      <c r="N349" s="169"/>
      <c r="O349" s="169"/>
      <c r="P349" s="169"/>
      <c r="Q349" s="169"/>
      <c r="R349" s="169"/>
      <c r="S349" s="169"/>
      <c r="T349" s="169"/>
      <c r="U349" s="169"/>
      <c r="V349" s="169"/>
      <c r="W349" s="169"/>
      <c r="X349" s="169"/>
      <c r="Y349" s="169"/>
      <c r="Z349" s="169"/>
      <c r="AA349" s="169"/>
      <c r="AB349" s="169"/>
      <c r="AC349" s="169"/>
      <c r="AD349" s="169"/>
      <c r="AE349" s="169"/>
      <c r="AF349" s="169"/>
      <c r="AG349" s="169"/>
      <c r="AH349" s="169"/>
      <c r="AI349" s="169"/>
      <c r="AJ349" s="169"/>
      <c r="AK349" s="169"/>
      <c r="AL349" s="169"/>
      <c r="AM349" s="169"/>
      <c r="AN349" s="169"/>
      <c r="AO349" s="169"/>
      <c r="AP349" s="169"/>
      <c r="AQ349" s="169"/>
      <c r="AR349" s="169"/>
      <c r="AS349" s="169"/>
      <c r="AT349" s="169"/>
      <c r="AU349" s="169"/>
      <c r="AV349" s="169"/>
      <c r="AW349" s="169"/>
      <c r="AX349" s="169"/>
      <c r="AY349" s="169"/>
    </row>
    <row r="350" spans="1:51" s="347" customFormat="1" ht="15" customHeight="1">
      <c r="A350" s="169"/>
      <c r="B350" s="169"/>
      <c r="C350" s="169"/>
      <c r="D350" s="169"/>
      <c r="E350" s="169"/>
      <c r="F350" s="169"/>
      <c r="G350" s="169"/>
      <c r="H350" s="169"/>
      <c r="I350" s="169"/>
      <c r="J350" s="169"/>
      <c r="K350" s="169"/>
      <c r="L350" s="169"/>
      <c r="M350" s="169"/>
      <c r="N350" s="169"/>
      <c r="O350" s="169"/>
      <c r="P350" s="169"/>
      <c r="Q350" s="169"/>
      <c r="R350" s="169"/>
      <c r="S350" s="169"/>
      <c r="T350" s="169"/>
      <c r="U350" s="169"/>
      <c r="V350" s="169"/>
      <c r="W350" s="169"/>
      <c r="X350" s="169"/>
      <c r="Y350" s="169"/>
      <c r="Z350" s="169"/>
      <c r="AA350" s="169"/>
      <c r="AB350" s="169"/>
      <c r="AC350" s="169"/>
      <c r="AD350" s="169"/>
      <c r="AE350" s="169"/>
      <c r="AF350" s="169"/>
      <c r="AG350" s="169"/>
      <c r="AH350" s="169"/>
      <c r="AI350" s="169"/>
      <c r="AJ350" s="169"/>
      <c r="AK350" s="169"/>
      <c r="AL350" s="169"/>
      <c r="AM350" s="169"/>
      <c r="AN350" s="169"/>
      <c r="AO350" s="169"/>
      <c r="AP350" s="169"/>
      <c r="AQ350" s="169"/>
      <c r="AR350" s="169"/>
      <c r="AS350" s="169"/>
      <c r="AT350" s="169"/>
      <c r="AU350" s="169"/>
      <c r="AV350" s="169"/>
      <c r="AW350" s="169"/>
      <c r="AX350" s="169"/>
      <c r="AY350" s="169"/>
    </row>
    <row r="351" spans="1:51" s="347" customFormat="1" ht="15" customHeight="1">
      <c r="A351" s="169"/>
      <c r="B351" s="169"/>
      <c r="C351" s="169"/>
      <c r="D351" s="169"/>
      <c r="E351" s="169"/>
      <c r="F351" s="169"/>
      <c r="G351" s="169"/>
      <c r="H351" s="169"/>
      <c r="I351" s="169"/>
      <c r="J351" s="169"/>
      <c r="K351" s="169"/>
      <c r="L351" s="169"/>
      <c r="M351" s="169"/>
      <c r="N351" s="169"/>
      <c r="O351" s="169"/>
      <c r="P351" s="169"/>
      <c r="Q351" s="169"/>
      <c r="R351" s="169"/>
      <c r="S351" s="169"/>
      <c r="T351" s="169"/>
      <c r="U351" s="169"/>
      <c r="V351" s="169"/>
      <c r="W351" s="169"/>
      <c r="X351" s="169"/>
      <c r="Y351" s="169"/>
      <c r="Z351" s="169"/>
      <c r="AA351" s="169"/>
      <c r="AB351" s="169"/>
      <c r="AC351" s="169"/>
      <c r="AD351" s="169"/>
      <c r="AE351" s="169"/>
      <c r="AF351" s="169"/>
      <c r="AG351" s="169"/>
      <c r="AH351" s="169"/>
      <c r="AI351" s="169"/>
      <c r="AJ351" s="169"/>
      <c r="AK351" s="169"/>
      <c r="AL351" s="169"/>
      <c r="AM351" s="169"/>
      <c r="AN351" s="169"/>
      <c r="AO351" s="169"/>
      <c r="AP351" s="169"/>
      <c r="AQ351" s="169"/>
      <c r="AR351" s="169"/>
      <c r="AS351" s="169"/>
      <c r="AT351" s="169"/>
      <c r="AU351" s="169"/>
      <c r="AV351" s="169"/>
      <c r="AW351" s="169"/>
      <c r="AX351" s="169"/>
      <c r="AY351" s="169"/>
    </row>
    <row r="352" spans="1:51" ht="15" customHeight="1">
      <c r="A352" s="169"/>
      <c r="B352" s="169"/>
      <c r="C352" s="169"/>
      <c r="D352" s="169"/>
      <c r="E352" s="169"/>
      <c r="F352" s="169"/>
      <c r="G352" s="169"/>
      <c r="H352" s="169"/>
      <c r="I352" s="169"/>
      <c r="J352" s="169"/>
      <c r="K352" s="169"/>
      <c r="L352" s="169"/>
      <c r="M352" s="169"/>
      <c r="N352" s="169"/>
      <c r="O352" s="169"/>
      <c r="P352" s="169"/>
      <c r="Q352" s="169"/>
      <c r="R352" s="169"/>
      <c r="S352" s="169"/>
      <c r="T352" s="169"/>
      <c r="U352" s="169"/>
      <c r="V352" s="169"/>
      <c r="W352" s="169"/>
      <c r="X352" s="169"/>
      <c r="Y352" s="169"/>
      <c r="Z352" s="169"/>
      <c r="AA352" s="169"/>
      <c r="AB352" s="169"/>
      <c r="AC352" s="169"/>
      <c r="AD352" s="169"/>
      <c r="AE352" s="169"/>
      <c r="AF352" s="169"/>
      <c r="AG352" s="169"/>
      <c r="AH352" s="169"/>
      <c r="AI352" s="169"/>
      <c r="AJ352" s="169"/>
      <c r="AK352" s="169"/>
      <c r="AL352" s="169"/>
      <c r="AM352" s="169"/>
      <c r="AN352" s="169"/>
      <c r="AO352" s="169"/>
      <c r="AP352" s="169"/>
      <c r="AQ352" s="169"/>
      <c r="AR352" s="169"/>
      <c r="AS352" s="169"/>
      <c r="AT352" s="169"/>
      <c r="AU352" s="169"/>
      <c r="AV352" s="169"/>
      <c r="AW352" s="169"/>
      <c r="AX352" s="169"/>
      <c r="AY352" s="169"/>
    </row>
    <row r="353" spans="1:51" ht="15" customHeight="1">
      <c r="A353" s="169"/>
      <c r="B353" s="169"/>
      <c r="C353" s="169"/>
      <c r="D353" s="169"/>
      <c r="E353" s="169"/>
      <c r="F353" s="169"/>
      <c r="G353" s="169"/>
      <c r="H353" s="169"/>
      <c r="I353" s="169"/>
      <c r="J353" s="169"/>
      <c r="K353" s="169"/>
      <c r="L353" s="169"/>
      <c r="M353" s="169"/>
      <c r="N353" s="169"/>
      <c r="O353" s="169"/>
      <c r="P353" s="169"/>
      <c r="Q353" s="169"/>
      <c r="R353" s="169"/>
      <c r="S353" s="169"/>
      <c r="T353" s="169"/>
      <c r="U353" s="169"/>
      <c r="V353" s="169"/>
      <c r="W353" s="169"/>
      <c r="X353" s="169"/>
      <c r="Y353" s="169"/>
      <c r="Z353" s="169"/>
      <c r="AA353" s="169"/>
      <c r="AB353" s="169"/>
      <c r="AC353" s="169"/>
      <c r="AD353" s="169"/>
      <c r="AE353" s="169"/>
      <c r="AF353" s="169"/>
      <c r="AG353" s="169"/>
      <c r="AH353" s="169"/>
      <c r="AI353" s="169"/>
      <c r="AJ353" s="169"/>
      <c r="AK353" s="169"/>
      <c r="AL353" s="169"/>
      <c r="AM353" s="169"/>
      <c r="AN353" s="169"/>
      <c r="AO353" s="169"/>
      <c r="AP353" s="169"/>
      <c r="AQ353" s="169"/>
      <c r="AR353" s="169"/>
      <c r="AS353" s="169"/>
      <c r="AT353" s="169"/>
      <c r="AU353" s="169"/>
      <c r="AV353" s="169"/>
      <c r="AW353" s="169"/>
      <c r="AX353" s="169"/>
      <c r="AY353" s="169"/>
    </row>
    <row r="354" spans="1:51" ht="15" customHeight="1">
      <c r="A354" s="169"/>
      <c r="B354" s="169"/>
      <c r="C354" s="169"/>
      <c r="D354" s="169"/>
      <c r="E354" s="169"/>
      <c r="F354" s="169"/>
      <c r="G354" s="169"/>
      <c r="H354" s="169"/>
      <c r="I354" s="169"/>
      <c r="J354" s="169"/>
      <c r="K354" s="169"/>
      <c r="L354" s="169"/>
      <c r="M354" s="169"/>
      <c r="N354" s="169"/>
      <c r="O354" s="169"/>
      <c r="P354" s="169"/>
      <c r="Q354" s="169"/>
      <c r="R354" s="169"/>
      <c r="S354" s="169"/>
      <c r="T354" s="169"/>
      <c r="U354" s="169"/>
      <c r="V354" s="169"/>
      <c r="W354" s="169"/>
      <c r="X354" s="169"/>
      <c r="Y354" s="169"/>
      <c r="Z354" s="169"/>
      <c r="AA354" s="169"/>
      <c r="AB354" s="169"/>
      <c r="AC354" s="169"/>
      <c r="AD354" s="169"/>
      <c r="AE354" s="169"/>
      <c r="AF354" s="169"/>
      <c r="AG354" s="169"/>
      <c r="AH354" s="169"/>
      <c r="AI354" s="169"/>
      <c r="AJ354" s="169"/>
      <c r="AK354" s="169"/>
      <c r="AL354" s="169"/>
      <c r="AM354" s="169"/>
      <c r="AN354" s="169"/>
      <c r="AO354" s="169"/>
      <c r="AP354" s="169"/>
      <c r="AQ354" s="169"/>
      <c r="AR354" s="169"/>
      <c r="AS354" s="169"/>
      <c r="AT354" s="169"/>
      <c r="AU354" s="169"/>
      <c r="AV354" s="169"/>
      <c r="AW354" s="169"/>
      <c r="AX354" s="169"/>
      <c r="AY354" s="169"/>
    </row>
    <row r="355" spans="1:51" ht="15" customHeight="1">
      <c r="A355" s="169"/>
      <c r="B355" s="169"/>
      <c r="C355" s="169"/>
      <c r="D355" s="169"/>
      <c r="E355" s="169"/>
      <c r="F355" s="169"/>
      <c r="G355" s="169"/>
      <c r="H355" s="169"/>
      <c r="I355" s="169"/>
      <c r="J355" s="169"/>
      <c r="K355" s="169"/>
      <c r="L355" s="169"/>
      <c r="M355" s="169"/>
      <c r="N355" s="169"/>
      <c r="O355" s="169"/>
      <c r="P355" s="169"/>
      <c r="Q355" s="169"/>
      <c r="R355" s="169"/>
      <c r="S355" s="169"/>
      <c r="T355" s="169"/>
      <c r="U355" s="169"/>
      <c r="V355" s="169"/>
      <c r="W355" s="169"/>
      <c r="X355" s="169"/>
      <c r="Y355" s="169"/>
      <c r="Z355" s="169"/>
      <c r="AA355" s="169"/>
      <c r="AB355" s="169"/>
      <c r="AC355" s="169"/>
      <c r="AD355" s="169"/>
      <c r="AE355" s="169"/>
      <c r="AF355" s="169"/>
      <c r="AG355" s="169"/>
      <c r="AH355" s="169"/>
      <c r="AI355" s="169"/>
      <c r="AJ355" s="169"/>
      <c r="AK355" s="169"/>
      <c r="AL355" s="169"/>
      <c r="AM355" s="169"/>
      <c r="AN355" s="169"/>
      <c r="AO355" s="169"/>
      <c r="AP355" s="169"/>
      <c r="AQ355" s="169"/>
      <c r="AR355" s="169"/>
      <c r="AS355" s="169"/>
      <c r="AT355" s="169"/>
      <c r="AU355" s="169"/>
      <c r="AV355" s="169"/>
      <c r="AW355" s="169"/>
      <c r="AX355" s="169"/>
      <c r="AY355" s="169"/>
    </row>
    <row r="356" spans="1:51" ht="15" customHeight="1">
      <c r="A356" s="169"/>
      <c r="B356" s="169"/>
      <c r="C356" s="169"/>
      <c r="D356" s="169"/>
      <c r="E356" s="169"/>
      <c r="F356" s="169"/>
      <c r="G356" s="169"/>
      <c r="H356" s="169"/>
      <c r="I356" s="169"/>
      <c r="J356" s="169"/>
      <c r="K356" s="169"/>
      <c r="L356" s="169"/>
      <c r="M356" s="169"/>
      <c r="N356" s="169"/>
      <c r="O356" s="169"/>
      <c r="P356" s="169"/>
      <c r="Q356" s="169"/>
      <c r="R356" s="169"/>
      <c r="S356" s="169"/>
      <c r="T356" s="169"/>
      <c r="U356" s="169"/>
      <c r="V356" s="169"/>
      <c r="W356" s="169"/>
      <c r="X356" s="169"/>
      <c r="Y356" s="169"/>
      <c r="Z356" s="169"/>
      <c r="AA356" s="169"/>
      <c r="AB356" s="169"/>
      <c r="AC356" s="169"/>
      <c r="AD356" s="169"/>
      <c r="AE356" s="169"/>
      <c r="AF356" s="169"/>
      <c r="AG356" s="169"/>
      <c r="AH356" s="169"/>
      <c r="AI356" s="169"/>
      <c r="AJ356" s="169"/>
      <c r="AK356" s="169"/>
      <c r="AL356" s="169"/>
      <c r="AM356" s="169"/>
      <c r="AN356" s="169"/>
      <c r="AO356" s="169"/>
      <c r="AP356" s="169"/>
      <c r="AQ356" s="169"/>
      <c r="AR356" s="169"/>
      <c r="AS356" s="169"/>
      <c r="AT356" s="169"/>
      <c r="AU356" s="169"/>
      <c r="AV356" s="169"/>
      <c r="AW356" s="169"/>
      <c r="AX356" s="169"/>
      <c r="AY356" s="169"/>
    </row>
    <row r="357" spans="1:51" ht="15" customHeight="1">
      <c r="A357" s="169"/>
      <c r="B357" s="169"/>
      <c r="C357" s="169"/>
      <c r="D357" s="169"/>
      <c r="E357" s="169"/>
      <c r="F357" s="169"/>
      <c r="G357" s="169"/>
      <c r="H357" s="169"/>
      <c r="I357" s="169"/>
      <c r="J357" s="169"/>
      <c r="K357" s="169"/>
      <c r="L357" s="169"/>
      <c r="M357" s="169"/>
      <c r="N357" s="169"/>
      <c r="O357" s="169"/>
      <c r="P357" s="169"/>
      <c r="Q357" s="169"/>
      <c r="R357" s="169"/>
      <c r="S357" s="169"/>
      <c r="T357" s="169"/>
      <c r="U357" s="169"/>
      <c r="V357" s="169"/>
      <c r="W357" s="169"/>
      <c r="X357" s="169"/>
      <c r="Y357" s="169"/>
      <c r="Z357" s="169"/>
      <c r="AA357" s="169"/>
      <c r="AB357" s="169"/>
      <c r="AC357" s="169"/>
      <c r="AD357" s="169"/>
      <c r="AE357" s="169"/>
      <c r="AF357" s="169"/>
      <c r="AG357" s="169"/>
      <c r="AH357" s="169"/>
      <c r="AI357" s="169"/>
      <c r="AJ357" s="169"/>
      <c r="AK357" s="169"/>
      <c r="AL357" s="169"/>
      <c r="AM357" s="169"/>
      <c r="AN357" s="169"/>
      <c r="AO357" s="169"/>
      <c r="AP357" s="169"/>
      <c r="AQ357" s="169"/>
      <c r="AR357" s="169"/>
      <c r="AS357" s="169"/>
      <c r="AT357" s="169"/>
      <c r="AU357" s="169"/>
      <c r="AV357" s="169"/>
      <c r="AW357" s="169"/>
      <c r="AX357" s="169"/>
      <c r="AY357" s="169"/>
    </row>
    <row r="358" spans="1:51" ht="15" customHeight="1">
      <c r="A358" s="169"/>
      <c r="B358" s="169"/>
      <c r="C358" s="169"/>
      <c r="D358" s="169"/>
      <c r="E358" s="169"/>
      <c r="F358" s="169"/>
      <c r="G358" s="169"/>
      <c r="H358" s="169"/>
      <c r="I358" s="169"/>
      <c r="J358" s="169"/>
      <c r="K358" s="169"/>
      <c r="L358" s="169"/>
      <c r="M358" s="169"/>
      <c r="N358" s="169"/>
      <c r="O358" s="169"/>
      <c r="P358" s="169"/>
      <c r="Q358" s="169"/>
      <c r="R358" s="169"/>
      <c r="S358" s="169"/>
      <c r="T358" s="169"/>
      <c r="U358" s="169"/>
      <c r="V358" s="169"/>
      <c r="W358" s="169"/>
      <c r="X358" s="169"/>
      <c r="Y358" s="169"/>
      <c r="Z358" s="169"/>
      <c r="AA358" s="169"/>
      <c r="AB358" s="169"/>
      <c r="AC358" s="169"/>
      <c r="AD358" s="169"/>
      <c r="AE358" s="169"/>
      <c r="AF358" s="169"/>
      <c r="AG358" s="169"/>
      <c r="AH358" s="169"/>
      <c r="AI358" s="169"/>
      <c r="AJ358" s="169"/>
      <c r="AK358" s="169"/>
      <c r="AL358" s="169"/>
      <c r="AM358" s="169"/>
      <c r="AN358" s="169"/>
      <c r="AO358" s="169"/>
      <c r="AP358" s="169"/>
      <c r="AQ358" s="169"/>
      <c r="AR358" s="169"/>
      <c r="AS358" s="169"/>
      <c r="AT358" s="169"/>
      <c r="AU358" s="169"/>
      <c r="AV358" s="169"/>
      <c r="AW358" s="169"/>
      <c r="AX358" s="169"/>
      <c r="AY358" s="169"/>
    </row>
    <row r="359" spans="1:51" ht="15" customHeight="1">
      <c r="A359" s="169"/>
      <c r="B359" s="169"/>
      <c r="C359" s="169"/>
      <c r="D359" s="169"/>
      <c r="E359" s="169"/>
      <c r="F359" s="169"/>
      <c r="G359" s="169"/>
      <c r="H359" s="169"/>
      <c r="I359" s="169"/>
      <c r="J359" s="169"/>
      <c r="K359" s="169"/>
      <c r="L359" s="169"/>
      <c r="M359" s="169"/>
      <c r="N359" s="169"/>
      <c r="O359" s="169"/>
      <c r="P359" s="169"/>
      <c r="Q359" s="169"/>
      <c r="R359" s="169"/>
      <c r="S359" s="169"/>
      <c r="T359" s="169"/>
      <c r="U359" s="169"/>
      <c r="V359" s="169"/>
      <c r="W359" s="169"/>
      <c r="X359" s="169"/>
      <c r="Y359" s="169"/>
      <c r="Z359" s="169"/>
      <c r="AA359" s="169"/>
      <c r="AB359" s="169"/>
      <c r="AC359" s="169"/>
      <c r="AD359" s="169"/>
      <c r="AE359" s="169"/>
      <c r="AF359" s="169"/>
      <c r="AG359" s="169"/>
      <c r="AH359" s="169"/>
      <c r="AI359" s="169"/>
      <c r="AJ359" s="169"/>
      <c r="AK359" s="169"/>
      <c r="AL359" s="169"/>
      <c r="AM359" s="169"/>
      <c r="AN359" s="169"/>
      <c r="AO359" s="169"/>
      <c r="AP359" s="169"/>
      <c r="AQ359" s="169"/>
      <c r="AR359" s="169"/>
      <c r="AS359" s="169"/>
      <c r="AT359" s="169"/>
      <c r="AU359" s="169"/>
      <c r="AV359" s="169"/>
      <c r="AW359" s="169"/>
      <c r="AX359" s="169"/>
      <c r="AY359" s="169"/>
    </row>
    <row r="360" spans="1:51" ht="15" customHeight="1">
      <c r="A360" s="169"/>
      <c r="B360" s="169"/>
      <c r="C360" s="169"/>
      <c r="D360" s="169"/>
      <c r="E360" s="169"/>
      <c r="F360" s="169"/>
      <c r="G360" s="169"/>
      <c r="H360" s="169"/>
      <c r="I360" s="169"/>
      <c r="J360" s="169"/>
      <c r="K360" s="169"/>
      <c r="L360" s="169"/>
      <c r="M360" s="169"/>
      <c r="N360" s="169"/>
      <c r="O360" s="169"/>
      <c r="P360" s="169"/>
      <c r="Q360" s="169"/>
      <c r="R360" s="169"/>
      <c r="S360" s="169"/>
      <c r="T360" s="169"/>
      <c r="U360" s="169"/>
      <c r="V360" s="169"/>
      <c r="W360" s="169"/>
      <c r="X360" s="169"/>
      <c r="Y360" s="169"/>
      <c r="Z360" s="169"/>
      <c r="AA360" s="169"/>
      <c r="AB360" s="169"/>
      <c r="AC360" s="169"/>
      <c r="AD360" s="169"/>
      <c r="AE360" s="169"/>
      <c r="AF360" s="169"/>
      <c r="AG360" s="169"/>
      <c r="AH360" s="169"/>
      <c r="AI360" s="169"/>
      <c r="AJ360" s="169"/>
      <c r="AK360" s="169"/>
      <c r="AL360" s="169"/>
      <c r="AM360" s="169"/>
      <c r="AN360" s="169"/>
      <c r="AO360" s="169"/>
      <c r="AP360" s="169"/>
      <c r="AQ360" s="169"/>
      <c r="AR360" s="169"/>
      <c r="AS360" s="169"/>
      <c r="AT360" s="169"/>
      <c r="AU360" s="169"/>
      <c r="AV360" s="169"/>
      <c r="AW360" s="169"/>
      <c r="AX360" s="169"/>
      <c r="AY360" s="169"/>
    </row>
    <row r="361" spans="1:51" ht="15" customHeight="1">
      <c r="A361" s="169"/>
      <c r="B361" s="169"/>
      <c r="C361" s="169"/>
      <c r="D361" s="169"/>
      <c r="E361" s="169"/>
      <c r="F361" s="169"/>
      <c r="G361" s="169"/>
      <c r="H361" s="169"/>
      <c r="I361" s="169"/>
      <c r="J361" s="169"/>
      <c r="K361" s="169"/>
      <c r="L361" s="169"/>
      <c r="M361" s="169"/>
      <c r="N361" s="169"/>
      <c r="O361" s="169"/>
      <c r="P361" s="169"/>
      <c r="Q361" s="169"/>
      <c r="R361" s="169"/>
      <c r="S361" s="169"/>
      <c r="T361" s="169"/>
      <c r="U361" s="169"/>
      <c r="V361" s="169"/>
      <c r="W361" s="169"/>
      <c r="X361" s="169"/>
      <c r="Y361" s="169"/>
      <c r="Z361" s="169"/>
      <c r="AA361" s="169"/>
      <c r="AB361" s="169"/>
      <c r="AC361" s="169"/>
      <c r="AD361" s="169"/>
      <c r="AE361" s="169"/>
      <c r="AF361" s="169"/>
      <c r="AG361" s="169"/>
      <c r="AH361" s="169"/>
      <c r="AI361" s="169"/>
      <c r="AJ361" s="169"/>
      <c r="AK361" s="169"/>
      <c r="AL361" s="169"/>
      <c r="AM361" s="169"/>
      <c r="AN361" s="169"/>
      <c r="AO361" s="169"/>
      <c r="AP361" s="169"/>
      <c r="AQ361" s="169"/>
      <c r="AR361" s="169"/>
      <c r="AS361" s="169"/>
      <c r="AT361" s="169"/>
      <c r="AU361" s="169"/>
      <c r="AV361" s="169"/>
      <c r="AW361" s="169"/>
      <c r="AX361" s="169"/>
      <c r="AY361" s="169"/>
    </row>
    <row r="362" spans="1:51" ht="15" customHeight="1">
      <c r="A362" s="169"/>
      <c r="B362" s="169"/>
      <c r="C362" s="169"/>
      <c r="D362" s="169"/>
      <c r="E362" s="169"/>
      <c r="F362" s="169"/>
      <c r="G362" s="169"/>
      <c r="H362" s="169"/>
      <c r="I362" s="169"/>
      <c r="J362" s="169"/>
      <c r="K362" s="169"/>
      <c r="L362" s="169"/>
      <c r="M362" s="169"/>
      <c r="N362" s="169"/>
      <c r="O362" s="169"/>
      <c r="P362" s="169"/>
      <c r="Q362" s="169"/>
      <c r="R362" s="169"/>
      <c r="S362" s="169"/>
      <c r="T362" s="169"/>
      <c r="U362" s="169"/>
      <c r="V362" s="169"/>
      <c r="W362" s="169"/>
      <c r="X362" s="169"/>
      <c r="Y362" s="169"/>
      <c r="Z362" s="169"/>
      <c r="AA362" s="169"/>
      <c r="AB362" s="169"/>
      <c r="AC362" s="169"/>
      <c r="AD362" s="169"/>
      <c r="AE362" s="169"/>
      <c r="AF362" s="169"/>
      <c r="AG362" s="169"/>
      <c r="AH362" s="169"/>
      <c r="AI362" s="169"/>
      <c r="AJ362" s="169"/>
      <c r="AK362" s="169"/>
      <c r="AL362" s="169"/>
      <c r="AM362" s="169"/>
      <c r="AN362" s="169"/>
      <c r="AO362" s="169"/>
      <c r="AP362" s="169"/>
      <c r="AQ362" s="169"/>
      <c r="AR362" s="169"/>
      <c r="AS362" s="169"/>
      <c r="AT362" s="169"/>
      <c r="AU362" s="169"/>
      <c r="AV362" s="169"/>
      <c r="AW362" s="169"/>
      <c r="AX362" s="169"/>
      <c r="AY362" s="169"/>
    </row>
    <row r="363" spans="1:51" ht="15" customHeight="1">
      <c r="A363" s="169"/>
      <c r="B363" s="169"/>
      <c r="C363" s="169"/>
      <c r="D363" s="169"/>
      <c r="E363" s="169"/>
      <c r="F363" s="169"/>
      <c r="G363" s="169"/>
      <c r="H363" s="169"/>
      <c r="I363" s="169"/>
      <c r="J363" s="169"/>
      <c r="K363" s="169"/>
      <c r="L363" s="169"/>
      <c r="M363" s="169"/>
      <c r="N363" s="169"/>
      <c r="O363" s="169"/>
      <c r="P363" s="169"/>
      <c r="Q363" s="169"/>
      <c r="R363" s="169"/>
      <c r="S363" s="169"/>
      <c r="T363" s="169"/>
      <c r="U363" s="169"/>
      <c r="V363" s="169"/>
      <c r="W363" s="169"/>
      <c r="X363" s="169"/>
      <c r="Y363" s="169"/>
      <c r="Z363" s="169"/>
      <c r="AA363" s="169"/>
      <c r="AB363" s="169"/>
      <c r="AC363" s="169"/>
      <c r="AD363" s="169"/>
      <c r="AE363" s="169"/>
      <c r="AF363" s="169"/>
      <c r="AG363" s="169"/>
      <c r="AH363" s="169"/>
      <c r="AI363" s="169"/>
      <c r="AJ363" s="169"/>
      <c r="AK363" s="169"/>
      <c r="AL363" s="169"/>
      <c r="AM363" s="169"/>
      <c r="AN363" s="169"/>
      <c r="AO363" s="169"/>
      <c r="AP363" s="169"/>
      <c r="AQ363" s="169"/>
      <c r="AR363" s="169"/>
      <c r="AS363" s="169"/>
      <c r="AT363" s="169"/>
      <c r="AU363" s="169"/>
      <c r="AV363" s="169"/>
      <c r="AW363" s="169"/>
      <c r="AX363" s="169"/>
      <c r="AY363" s="169"/>
    </row>
    <row r="364" spans="1:51" ht="15" customHeight="1">
      <c r="A364" s="169"/>
      <c r="B364" s="169"/>
      <c r="C364" s="169"/>
      <c r="D364" s="169"/>
      <c r="E364" s="169"/>
      <c r="F364" s="169"/>
      <c r="G364" s="169"/>
      <c r="H364" s="169"/>
      <c r="I364" s="169"/>
      <c r="J364" s="169"/>
      <c r="K364" s="169"/>
      <c r="L364" s="169"/>
      <c r="M364" s="169"/>
      <c r="N364" s="169"/>
      <c r="O364" s="169"/>
      <c r="P364" s="169"/>
      <c r="Q364" s="169"/>
      <c r="R364" s="169"/>
      <c r="S364" s="169"/>
      <c r="T364" s="169"/>
      <c r="U364" s="169"/>
      <c r="V364" s="169"/>
      <c r="W364" s="169"/>
      <c r="X364" s="169"/>
      <c r="Y364" s="169"/>
      <c r="Z364" s="169"/>
      <c r="AA364" s="169"/>
      <c r="AB364" s="169"/>
      <c r="AC364" s="169"/>
      <c r="AD364" s="169"/>
      <c r="AE364" s="169"/>
      <c r="AF364" s="169"/>
      <c r="AG364" s="169"/>
      <c r="AH364" s="169"/>
      <c r="AI364" s="169"/>
      <c r="AJ364" s="169"/>
      <c r="AK364" s="169"/>
      <c r="AL364" s="169"/>
      <c r="AM364" s="169"/>
      <c r="AN364" s="169"/>
      <c r="AO364" s="169"/>
      <c r="AP364" s="169"/>
      <c r="AQ364" s="169"/>
      <c r="AR364" s="169"/>
      <c r="AS364" s="169"/>
      <c r="AT364" s="169"/>
      <c r="AU364" s="169"/>
      <c r="AV364" s="169"/>
      <c r="AW364" s="169"/>
      <c r="AX364" s="169"/>
      <c r="AY364" s="169"/>
    </row>
    <row r="365" spans="1:51" ht="15" customHeight="1">
      <c r="A365" s="169"/>
      <c r="B365" s="169"/>
      <c r="C365" s="169"/>
      <c r="D365" s="169"/>
      <c r="E365" s="169"/>
      <c r="F365" s="169"/>
      <c r="G365" s="169"/>
      <c r="H365" s="169"/>
      <c r="I365" s="169"/>
      <c r="J365" s="169"/>
      <c r="K365" s="169"/>
      <c r="L365" s="169"/>
      <c r="M365" s="169"/>
      <c r="N365" s="169"/>
      <c r="O365" s="169"/>
      <c r="P365" s="169"/>
      <c r="Q365" s="169"/>
      <c r="R365" s="169"/>
      <c r="S365" s="169"/>
      <c r="T365" s="169"/>
      <c r="U365" s="169"/>
      <c r="V365" s="169"/>
      <c r="W365" s="169"/>
      <c r="X365" s="169"/>
      <c r="Y365" s="169"/>
      <c r="Z365" s="169"/>
      <c r="AA365" s="169"/>
      <c r="AB365" s="169"/>
      <c r="AC365" s="169"/>
      <c r="AD365" s="169"/>
      <c r="AE365" s="169"/>
      <c r="AF365" s="169"/>
      <c r="AG365" s="169"/>
      <c r="AH365" s="169"/>
      <c r="AI365" s="169"/>
      <c r="AJ365" s="169"/>
      <c r="AK365" s="169"/>
      <c r="AL365" s="169"/>
      <c r="AM365" s="169"/>
      <c r="AN365" s="169"/>
      <c r="AO365" s="169"/>
      <c r="AP365" s="169"/>
      <c r="AQ365" s="169"/>
      <c r="AR365" s="169"/>
      <c r="AS365" s="169"/>
      <c r="AT365" s="169"/>
      <c r="AU365" s="169"/>
      <c r="AV365" s="169"/>
      <c r="AW365" s="169"/>
      <c r="AX365" s="169"/>
      <c r="AY365" s="169"/>
    </row>
    <row r="366" spans="1:51" ht="15" customHeight="1">
      <c r="A366" s="169"/>
      <c r="B366" s="169"/>
      <c r="C366" s="169"/>
      <c r="D366" s="169"/>
      <c r="E366" s="169"/>
      <c r="F366" s="169"/>
      <c r="G366" s="169"/>
      <c r="H366" s="169"/>
      <c r="I366" s="169"/>
      <c r="J366" s="169"/>
      <c r="K366" s="169"/>
      <c r="L366" s="169"/>
      <c r="M366" s="169"/>
      <c r="N366" s="169"/>
      <c r="O366" s="169"/>
      <c r="P366" s="169"/>
      <c r="Q366" s="169"/>
      <c r="R366" s="169"/>
      <c r="S366" s="169"/>
      <c r="T366" s="169"/>
      <c r="U366" s="169"/>
      <c r="V366" s="169"/>
      <c r="W366" s="169"/>
      <c r="X366" s="169"/>
      <c r="Y366" s="169"/>
      <c r="Z366" s="169"/>
      <c r="AA366" s="169"/>
      <c r="AB366" s="169"/>
      <c r="AC366" s="169"/>
      <c r="AD366" s="169"/>
      <c r="AE366" s="169"/>
      <c r="AF366" s="169"/>
      <c r="AG366" s="169"/>
      <c r="AH366" s="169"/>
      <c r="AI366" s="169"/>
      <c r="AJ366" s="169"/>
      <c r="AK366" s="169"/>
      <c r="AL366" s="169"/>
      <c r="AM366" s="169"/>
      <c r="AN366" s="169"/>
      <c r="AO366" s="169"/>
      <c r="AP366" s="169"/>
      <c r="AQ366" s="169"/>
      <c r="AR366" s="169"/>
      <c r="AS366" s="169"/>
      <c r="AT366" s="169"/>
      <c r="AU366" s="169"/>
      <c r="AV366" s="169"/>
      <c r="AW366" s="169"/>
      <c r="AX366" s="169"/>
      <c r="AY366" s="169"/>
    </row>
    <row r="367" spans="1:51" ht="15" customHeight="1">
      <c r="A367" s="169"/>
      <c r="B367" s="169"/>
      <c r="C367" s="169"/>
      <c r="D367" s="169"/>
      <c r="E367" s="169"/>
      <c r="F367" s="169"/>
      <c r="G367" s="169"/>
      <c r="H367" s="169"/>
      <c r="I367" s="169"/>
      <c r="J367" s="169"/>
      <c r="K367" s="169"/>
      <c r="L367" s="169"/>
      <c r="M367" s="169"/>
      <c r="N367" s="169"/>
      <c r="O367" s="169"/>
      <c r="P367" s="169"/>
      <c r="Q367" s="169"/>
      <c r="R367" s="169"/>
      <c r="S367" s="169"/>
      <c r="T367" s="169"/>
      <c r="U367" s="169"/>
      <c r="V367" s="169"/>
      <c r="W367" s="169"/>
      <c r="X367" s="169"/>
      <c r="Y367" s="169"/>
      <c r="Z367" s="169"/>
      <c r="AA367" s="169"/>
      <c r="AB367" s="169"/>
      <c r="AC367" s="169"/>
      <c r="AD367" s="169"/>
      <c r="AE367" s="169"/>
      <c r="AF367" s="169"/>
      <c r="AG367" s="169"/>
      <c r="AH367" s="169"/>
      <c r="AI367" s="169"/>
      <c r="AJ367" s="169"/>
      <c r="AK367" s="169"/>
      <c r="AL367" s="169"/>
      <c r="AM367" s="169"/>
      <c r="AN367" s="169"/>
      <c r="AO367" s="169"/>
      <c r="AP367" s="169"/>
      <c r="AQ367" s="169"/>
      <c r="AR367" s="169"/>
      <c r="AS367" s="169"/>
      <c r="AT367" s="169"/>
      <c r="AU367" s="169"/>
      <c r="AV367" s="169"/>
      <c r="AW367" s="169"/>
      <c r="AX367" s="169"/>
      <c r="AY367" s="169"/>
    </row>
    <row r="368" spans="1:51" ht="15" customHeight="1">
      <c r="A368" s="169"/>
      <c r="B368" s="169"/>
      <c r="C368" s="169"/>
      <c r="D368" s="169"/>
      <c r="E368" s="169"/>
      <c r="F368" s="169"/>
      <c r="G368" s="169"/>
      <c r="H368" s="169"/>
      <c r="I368" s="169"/>
      <c r="J368" s="169"/>
      <c r="K368" s="169"/>
      <c r="L368" s="169"/>
      <c r="M368" s="169"/>
      <c r="N368" s="169"/>
      <c r="O368" s="169"/>
      <c r="P368" s="169"/>
      <c r="Q368" s="169"/>
      <c r="R368" s="169"/>
      <c r="S368" s="169"/>
      <c r="T368" s="169"/>
      <c r="U368" s="169"/>
      <c r="V368" s="169"/>
      <c r="W368" s="169"/>
      <c r="X368" s="169"/>
      <c r="Y368" s="169"/>
      <c r="Z368" s="169"/>
      <c r="AA368" s="169"/>
      <c r="AB368" s="169"/>
      <c r="AC368" s="169"/>
      <c r="AD368" s="169"/>
      <c r="AE368" s="169"/>
      <c r="AF368" s="169"/>
      <c r="AG368" s="169"/>
      <c r="AH368" s="169"/>
      <c r="AI368" s="169"/>
      <c r="AJ368" s="169"/>
      <c r="AK368" s="169"/>
      <c r="AL368" s="169"/>
      <c r="AM368" s="169"/>
      <c r="AN368" s="169"/>
      <c r="AO368" s="169"/>
      <c r="AP368" s="169"/>
      <c r="AQ368" s="169"/>
      <c r="AR368" s="169"/>
      <c r="AS368" s="169"/>
      <c r="AT368" s="169"/>
      <c r="AU368" s="169"/>
      <c r="AV368" s="169"/>
      <c r="AW368" s="169"/>
      <c r="AX368" s="169"/>
      <c r="AY368" s="169"/>
    </row>
    <row r="369" spans="1:51" ht="15" customHeight="1">
      <c r="A369" s="169"/>
      <c r="B369" s="169"/>
      <c r="C369" s="169"/>
      <c r="D369" s="169"/>
      <c r="E369" s="169"/>
      <c r="F369" s="169"/>
      <c r="G369" s="169"/>
      <c r="H369" s="169"/>
      <c r="I369" s="169"/>
      <c r="J369" s="169"/>
      <c r="K369" s="169"/>
      <c r="L369" s="169"/>
      <c r="M369" s="169"/>
      <c r="N369" s="169"/>
      <c r="O369" s="169"/>
      <c r="P369" s="169"/>
      <c r="Q369" s="169"/>
      <c r="R369" s="169"/>
      <c r="S369" s="169"/>
      <c r="T369" s="169"/>
      <c r="U369" s="169"/>
      <c r="V369" s="169"/>
      <c r="W369" s="169"/>
      <c r="X369" s="169"/>
      <c r="Y369" s="169"/>
      <c r="Z369" s="169"/>
      <c r="AA369" s="169"/>
      <c r="AB369" s="169"/>
      <c r="AC369" s="169"/>
      <c r="AD369" s="169"/>
      <c r="AE369" s="169"/>
      <c r="AF369" s="169"/>
      <c r="AG369" s="169"/>
      <c r="AH369" s="169"/>
      <c r="AI369" s="169"/>
      <c r="AJ369" s="169"/>
      <c r="AK369" s="169"/>
      <c r="AL369" s="169"/>
      <c r="AM369" s="169"/>
      <c r="AN369" s="169"/>
      <c r="AO369" s="169"/>
      <c r="AP369" s="169"/>
      <c r="AQ369" s="169"/>
      <c r="AR369" s="169"/>
      <c r="AS369" s="169"/>
      <c r="AT369" s="169"/>
      <c r="AU369" s="169"/>
      <c r="AV369" s="169"/>
      <c r="AW369" s="169"/>
      <c r="AX369" s="169"/>
      <c r="AY369" s="169"/>
    </row>
    <row r="370" spans="1:51" ht="15" customHeight="1">
      <c r="A370" s="169"/>
      <c r="B370" s="169"/>
      <c r="C370" s="169"/>
      <c r="D370" s="169"/>
      <c r="E370" s="169"/>
      <c r="F370" s="169"/>
      <c r="G370" s="169"/>
      <c r="H370" s="169"/>
      <c r="I370" s="169"/>
      <c r="J370" s="169"/>
      <c r="K370" s="169"/>
      <c r="L370" s="169"/>
      <c r="M370" s="169"/>
      <c r="N370" s="169"/>
      <c r="O370" s="169"/>
      <c r="P370" s="169"/>
      <c r="Q370" s="169"/>
      <c r="R370" s="169"/>
      <c r="S370" s="169"/>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row>
    <row r="371" spans="1:51" ht="15" customHeight="1">
      <c r="A371" s="169"/>
      <c r="B371" s="169"/>
      <c r="C371" s="169"/>
      <c r="D371" s="169"/>
      <c r="E371" s="169"/>
      <c r="F371" s="169"/>
      <c r="G371" s="169"/>
      <c r="H371" s="169"/>
      <c r="I371" s="169"/>
      <c r="J371" s="169"/>
      <c r="K371" s="169"/>
      <c r="L371" s="169"/>
      <c r="M371" s="169"/>
      <c r="N371" s="169"/>
      <c r="O371" s="169"/>
      <c r="P371" s="169"/>
      <c r="Q371" s="169"/>
      <c r="R371" s="169"/>
      <c r="S371" s="169"/>
      <c r="T371" s="169"/>
      <c r="U371" s="169"/>
      <c r="V371" s="169"/>
      <c r="W371" s="169"/>
      <c r="X371" s="169"/>
      <c r="Y371" s="169"/>
      <c r="Z371" s="169"/>
      <c r="AA371" s="169"/>
      <c r="AB371" s="169"/>
      <c r="AC371" s="169"/>
      <c r="AD371" s="169"/>
      <c r="AE371" s="169"/>
      <c r="AF371" s="169"/>
      <c r="AG371" s="169"/>
      <c r="AH371" s="169"/>
      <c r="AI371" s="169"/>
      <c r="AJ371" s="169"/>
      <c r="AK371" s="169"/>
      <c r="AL371" s="169"/>
      <c r="AM371" s="169"/>
      <c r="AN371" s="169"/>
      <c r="AO371" s="169"/>
      <c r="AP371" s="169"/>
      <c r="AQ371" s="169"/>
      <c r="AR371" s="169"/>
      <c r="AS371" s="169"/>
      <c r="AT371" s="169"/>
      <c r="AU371" s="169"/>
      <c r="AV371" s="169"/>
      <c r="AW371" s="169"/>
      <c r="AX371" s="169"/>
      <c r="AY371" s="169"/>
    </row>
    <row r="372" spans="1:51" ht="15" customHeight="1">
      <c r="A372" s="169"/>
      <c r="B372" s="169"/>
      <c r="C372" s="169"/>
      <c r="D372" s="169"/>
      <c r="E372" s="169"/>
      <c r="F372" s="169"/>
      <c r="G372" s="169"/>
      <c r="H372" s="169"/>
      <c r="I372" s="169"/>
      <c r="J372" s="169"/>
      <c r="K372" s="169"/>
      <c r="L372" s="169"/>
      <c r="M372" s="169"/>
      <c r="N372" s="169"/>
      <c r="O372" s="169"/>
      <c r="P372" s="169"/>
      <c r="Q372" s="169"/>
      <c r="R372" s="169"/>
      <c r="S372" s="169"/>
      <c r="T372" s="169"/>
      <c r="U372" s="169"/>
      <c r="V372" s="169"/>
      <c r="W372" s="169"/>
      <c r="X372" s="169"/>
      <c r="Y372" s="169"/>
      <c r="Z372" s="169"/>
      <c r="AA372" s="169"/>
      <c r="AB372" s="169"/>
      <c r="AC372" s="169"/>
      <c r="AD372" s="169"/>
      <c r="AE372" s="169"/>
      <c r="AF372" s="169"/>
      <c r="AG372" s="169"/>
      <c r="AH372" s="169"/>
      <c r="AI372" s="169"/>
      <c r="AJ372" s="169"/>
      <c r="AK372" s="169"/>
      <c r="AL372" s="169"/>
      <c r="AM372" s="169"/>
      <c r="AN372" s="169"/>
      <c r="AO372" s="169"/>
      <c r="AP372" s="169"/>
      <c r="AQ372" s="169"/>
      <c r="AR372" s="169"/>
      <c r="AS372" s="169"/>
      <c r="AT372" s="169"/>
      <c r="AU372" s="169"/>
      <c r="AV372" s="169"/>
      <c r="AW372" s="169"/>
      <c r="AX372" s="169"/>
      <c r="AY372" s="169"/>
    </row>
    <row r="373" spans="1:51" ht="15" customHeight="1">
      <c r="A373" s="169"/>
      <c r="B373" s="169"/>
      <c r="C373" s="169"/>
      <c r="D373" s="169"/>
      <c r="E373" s="169"/>
      <c r="F373" s="169"/>
      <c r="G373" s="169"/>
      <c r="H373" s="169"/>
      <c r="I373" s="169"/>
      <c r="J373" s="169"/>
      <c r="K373" s="169"/>
      <c r="L373" s="169"/>
      <c r="M373" s="169"/>
      <c r="N373" s="169"/>
      <c r="O373" s="169"/>
      <c r="P373" s="169"/>
      <c r="Q373" s="169"/>
      <c r="R373" s="169"/>
      <c r="S373" s="169"/>
      <c r="T373" s="169"/>
      <c r="U373" s="169"/>
      <c r="V373" s="169"/>
      <c r="W373" s="169"/>
      <c r="X373" s="169"/>
      <c r="Y373" s="169"/>
      <c r="Z373" s="169"/>
      <c r="AA373" s="169"/>
      <c r="AB373" s="169"/>
      <c r="AC373" s="169"/>
      <c r="AD373" s="169"/>
      <c r="AE373" s="169"/>
      <c r="AF373" s="169"/>
      <c r="AG373" s="169"/>
      <c r="AH373" s="169"/>
      <c r="AI373" s="169"/>
      <c r="AJ373" s="169"/>
      <c r="AK373" s="169"/>
      <c r="AL373" s="169"/>
      <c r="AM373" s="169"/>
      <c r="AN373" s="169"/>
      <c r="AO373" s="169"/>
      <c r="AP373" s="169"/>
      <c r="AQ373" s="169"/>
      <c r="AR373" s="169"/>
      <c r="AS373" s="169"/>
      <c r="AT373" s="169"/>
      <c r="AU373" s="169"/>
      <c r="AV373" s="169"/>
      <c r="AW373" s="169"/>
      <c r="AX373" s="169"/>
      <c r="AY373" s="169"/>
    </row>
    <row r="374" spans="1:51" ht="15" customHeight="1">
      <c r="A374" s="169"/>
      <c r="B374" s="169"/>
      <c r="C374" s="169"/>
      <c r="D374" s="169"/>
      <c r="E374" s="169"/>
      <c r="F374" s="169"/>
      <c r="G374" s="169"/>
      <c r="H374" s="169"/>
      <c r="I374" s="169"/>
      <c r="J374" s="169"/>
      <c r="K374" s="169"/>
      <c r="L374" s="169"/>
      <c r="M374" s="169"/>
      <c r="N374" s="169"/>
      <c r="O374" s="169"/>
      <c r="P374" s="169"/>
      <c r="Q374" s="169"/>
      <c r="R374" s="169"/>
      <c r="S374" s="169"/>
      <c r="T374" s="169"/>
      <c r="U374" s="169"/>
      <c r="V374" s="169"/>
      <c r="W374" s="169"/>
      <c r="X374" s="169"/>
      <c r="Y374" s="169"/>
      <c r="Z374" s="169"/>
      <c r="AA374" s="169"/>
      <c r="AB374" s="169"/>
      <c r="AC374" s="169"/>
      <c r="AD374" s="169"/>
      <c r="AE374" s="169"/>
      <c r="AF374" s="169"/>
      <c r="AG374" s="169"/>
      <c r="AH374" s="169"/>
      <c r="AI374" s="169"/>
      <c r="AJ374" s="169"/>
      <c r="AK374" s="169"/>
      <c r="AL374" s="169"/>
      <c r="AM374" s="169"/>
      <c r="AN374" s="169"/>
      <c r="AO374" s="169"/>
      <c r="AP374" s="169"/>
      <c r="AQ374" s="169"/>
      <c r="AR374" s="169"/>
      <c r="AS374" s="169"/>
      <c r="AT374" s="169"/>
      <c r="AU374" s="169"/>
      <c r="AV374" s="169"/>
      <c r="AW374" s="169"/>
      <c r="AX374" s="169"/>
      <c r="AY374" s="169"/>
    </row>
    <row r="375" spans="1:51" ht="15" customHeight="1">
      <c r="A375" s="169"/>
      <c r="B375" s="169"/>
      <c r="C375" s="169"/>
      <c r="D375" s="169"/>
      <c r="E375" s="169"/>
      <c r="F375" s="169"/>
      <c r="G375" s="169"/>
      <c r="H375" s="169"/>
      <c r="I375" s="169"/>
      <c r="J375" s="169"/>
      <c r="K375" s="169"/>
      <c r="L375" s="169"/>
      <c r="M375" s="169"/>
      <c r="N375" s="169"/>
      <c r="O375" s="169"/>
      <c r="P375" s="169"/>
      <c r="Q375" s="169"/>
      <c r="R375" s="169"/>
      <c r="S375" s="169"/>
      <c r="T375" s="169"/>
      <c r="U375" s="169"/>
      <c r="V375" s="169"/>
      <c r="W375" s="169"/>
      <c r="X375" s="169"/>
      <c r="Y375" s="169"/>
      <c r="Z375" s="169"/>
      <c r="AA375" s="169"/>
      <c r="AB375" s="169"/>
      <c r="AC375" s="169"/>
      <c r="AD375" s="169"/>
      <c r="AE375" s="169"/>
      <c r="AF375" s="169"/>
      <c r="AG375" s="169"/>
      <c r="AH375" s="169"/>
      <c r="AI375" s="169"/>
      <c r="AJ375" s="169"/>
      <c r="AK375" s="169"/>
      <c r="AL375" s="169"/>
      <c r="AM375" s="169"/>
      <c r="AN375" s="169"/>
      <c r="AO375" s="169"/>
      <c r="AP375" s="169"/>
      <c r="AQ375" s="169"/>
      <c r="AR375" s="169"/>
      <c r="AS375" s="169"/>
      <c r="AT375" s="169"/>
      <c r="AU375" s="169"/>
      <c r="AV375" s="169"/>
      <c r="AW375" s="169"/>
      <c r="AX375" s="169"/>
      <c r="AY375" s="169"/>
    </row>
    <row r="376" spans="1:51" ht="15" customHeight="1">
      <c r="A376" s="169"/>
      <c r="B376" s="169"/>
      <c r="C376" s="169"/>
      <c r="D376" s="169"/>
      <c r="E376" s="169"/>
      <c r="F376" s="169"/>
      <c r="G376" s="169"/>
      <c r="H376" s="169"/>
      <c r="I376" s="169"/>
      <c r="J376" s="169"/>
      <c r="K376" s="169"/>
      <c r="L376" s="169"/>
      <c r="M376" s="169"/>
      <c r="N376" s="169"/>
      <c r="O376" s="169"/>
      <c r="P376" s="169"/>
      <c r="Q376" s="169"/>
      <c r="R376" s="169"/>
      <c r="S376" s="169"/>
      <c r="T376" s="169"/>
      <c r="U376" s="169"/>
      <c r="V376" s="169"/>
      <c r="W376" s="169"/>
      <c r="X376" s="169"/>
      <c r="Y376" s="169"/>
      <c r="Z376" s="169"/>
      <c r="AA376" s="169"/>
      <c r="AB376" s="169"/>
      <c r="AC376" s="169"/>
      <c r="AD376" s="169"/>
      <c r="AE376" s="169"/>
      <c r="AF376" s="169"/>
      <c r="AG376" s="169"/>
      <c r="AH376" s="169"/>
      <c r="AI376" s="169"/>
      <c r="AJ376" s="169"/>
      <c r="AK376" s="169"/>
      <c r="AL376" s="169"/>
      <c r="AM376" s="169"/>
      <c r="AN376" s="169"/>
      <c r="AO376" s="169"/>
      <c r="AP376" s="169"/>
      <c r="AQ376" s="169"/>
      <c r="AR376" s="169"/>
      <c r="AS376" s="169"/>
      <c r="AT376" s="169"/>
      <c r="AU376" s="169"/>
      <c r="AV376" s="169"/>
      <c r="AW376" s="169"/>
      <c r="AX376" s="169"/>
      <c r="AY376" s="169"/>
    </row>
    <row r="377" spans="1:51" ht="15" customHeight="1">
      <c r="A377" s="169"/>
      <c r="B377" s="169"/>
      <c r="C377" s="169"/>
      <c r="D377" s="169"/>
      <c r="E377" s="169"/>
      <c r="F377" s="169"/>
      <c r="G377" s="169"/>
      <c r="H377" s="169"/>
      <c r="I377" s="169"/>
      <c r="J377" s="169"/>
      <c r="K377" s="169"/>
      <c r="L377" s="169"/>
      <c r="M377" s="169"/>
      <c r="N377" s="169"/>
      <c r="O377" s="169"/>
      <c r="P377" s="169"/>
      <c r="Q377" s="169"/>
      <c r="R377" s="169"/>
      <c r="S377" s="169"/>
      <c r="T377" s="169"/>
      <c r="U377" s="169"/>
      <c r="V377" s="169"/>
      <c r="W377" s="169"/>
      <c r="X377" s="169"/>
      <c r="Y377" s="169"/>
      <c r="Z377" s="169"/>
      <c r="AA377" s="169"/>
      <c r="AB377" s="169"/>
      <c r="AC377" s="169"/>
      <c r="AD377" s="169"/>
      <c r="AE377" s="169"/>
      <c r="AF377" s="169"/>
      <c r="AG377" s="169"/>
      <c r="AH377" s="169"/>
      <c r="AI377" s="169"/>
      <c r="AJ377" s="169"/>
      <c r="AK377" s="169"/>
      <c r="AL377" s="169"/>
      <c r="AM377" s="169"/>
      <c r="AN377" s="169"/>
      <c r="AO377" s="169"/>
      <c r="AP377" s="169"/>
      <c r="AQ377" s="169"/>
      <c r="AR377" s="169"/>
      <c r="AS377" s="169"/>
      <c r="AT377" s="169"/>
      <c r="AU377" s="169"/>
      <c r="AV377" s="169"/>
      <c r="AW377" s="169"/>
      <c r="AX377" s="169"/>
      <c r="AY377" s="169"/>
    </row>
    <row r="378" spans="1:51" ht="15" customHeight="1">
      <c r="A378" s="169"/>
      <c r="B378" s="169"/>
      <c r="C378" s="169"/>
      <c r="D378" s="169"/>
      <c r="E378" s="169"/>
      <c r="F378" s="169"/>
      <c r="G378" s="169"/>
      <c r="H378" s="169"/>
      <c r="I378" s="169"/>
      <c r="J378" s="169"/>
      <c r="K378" s="169"/>
      <c r="L378" s="169"/>
      <c r="M378" s="169"/>
      <c r="N378" s="169"/>
      <c r="O378" s="169"/>
      <c r="P378" s="169"/>
      <c r="Q378" s="169"/>
      <c r="R378" s="169"/>
      <c r="S378" s="169"/>
      <c r="T378" s="169"/>
      <c r="U378" s="169"/>
      <c r="V378" s="169"/>
      <c r="W378" s="169"/>
      <c r="X378" s="169"/>
      <c r="Y378" s="169"/>
      <c r="Z378" s="169"/>
      <c r="AA378" s="169"/>
      <c r="AB378" s="169"/>
      <c r="AC378" s="169"/>
      <c r="AD378" s="169"/>
      <c r="AE378" s="169"/>
      <c r="AF378" s="169"/>
      <c r="AG378" s="169"/>
      <c r="AH378" s="169"/>
      <c r="AI378" s="169"/>
      <c r="AJ378" s="169"/>
      <c r="AK378" s="169"/>
      <c r="AL378" s="169"/>
      <c r="AM378" s="169"/>
      <c r="AN378" s="169"/>
      <c r="AO378" s="169"/>
      <c r="AP378" s="169"/>
      <c r="AQ378" s="169"/>
      <c r="AR378" s="169"/>
      <c r="AS378" s="169"/>
      <c r="AT378" s="169"/>
      <c r="AU378" s="169"/>
      <c r="AV378" s="169"/>
      <c r="AW378" s="169"/>
      <c r="AX378" s="169"/>
      <c r="AY378" s="169"/>
    </row>
    <row r="379" spans="1:51" ht="15" customHeight="1">
      <c r="A379" s="169"/>
      <c r="B379" s="169"/>
      <c r="C379" s="169"/>
      <c r="D379" s="169"/>
      <c r="E379" s="169"/>
      <c r="F379" s="169"/>
      <c r="G379" s="169"/>
      <c r="H379" s="169"/>
      <c r="I379" s="169"/>
      <c r="J379" s="169"/>
      <c r="K379" s="169"/>
      <c r="L379" s="169"/>
      <c r="M379" s="169"/>
      <c r="N379" s="169"/>
      <c r="O379" s="169"/>
      <c r="P379" s="169"/>
      <c r="Q379" s="169"/>
      <c r="R379" s="169"/>
      <c r="S379" s="169"/>
      <c r="T379" s="169"/>
      <c r="U379" s="169"/>
      <c r="V379" s="169"/>
      <c r="W379" s="169"/>
      <c r="X379" s="169"/>
      <c r="Y379" s="169"/>
      <c r="Z379" s="169"/>
      <c r="AA379" s="169"/>
      <c r="AB379" s="169"/>
      <c r="AC379" s="169"/>
      <c r="AD379" s="169"/>
      <c r="AE379" s="169"/>
      <c r="AF379" s="169"/>
      <c r="AG379" s="169"/>
      <c r="AH379" s="169"/>
      <c r="AI379" s="169"/>
      <c r="AJ379" s="169"/>
      <c r="AK379" s="169"/>
      <c r="AL379" s="169"/>
      <c r="AM379" s="169"/>
      <c r="AN379" s="169"/>
      <c r="AO379" s="169"/>
      <c r="AP379" s="169"/>
      <c r="AQ379" s="169"/>
      <c r="AR379" s="169"/>
      <c r="AS379" s="169"/>
      <c r="AT379" s="169"/>
      <c r="AU379" s="169"/>
      <c r="AV379" s="169"/>
      <c r="AW379" s="169"/>
      <c r="AX379" s="169"/>
      <c r="AY379" s="169"/>
    </row>
    <row r="380" spans="1:51" ht="15" customHeight="1">
      <c r="A380" s="169"/>
      <c r="B380" s="169"/>
      <c r="C380" s="169"/>
      <c r="D380" s="169"/>
      <c r="E380" s="169"/>
      <c r="F380" s="169"/>
      <c r="G380" s="169"/>
      <c r="H380" s="169"/>
      <c r="I380" s="169"/>
      <c r="J380" s="169"/>
      <c r="K380" s="169"/>
      <c r="L380" s="169"/>
      <c r="M380" s="169"/>
      <c r="N380" s="169"/>
      <c r="O380" s="169"/>
      <c r="P380" s="169"/>
      <c r="Q380" s="169"/>
      <c r="R380" s="169"/>
      <c r="S380" s="169"/>
      <c r="T380" s="169"/>
      <c r="U380" s="169"/>
      <c r="V380" s="169"/>
      <c r="W380" s="169"/>
      <c r="X380" s="169"/>
      <c r="Y380" s="169"/>
      <c r="Z380" s="169"/>
      <c r="AA380" s="169"/>
      <c r="AB380" s="169"/>
      <c r="AC380" s="169"/>
      <c r="AD380" s="169"/>
      <c r="AE380" s="169"/>
      <c r="AF380" s="169"/>
      <c r="AG380" s="169"/>
      <c r="AH380" s="169"/>
      <c r="AI380" s="169"/>
      <c r="AJ380" s="169"/>
      <c r="AK380" s="169"/>
      <c r="AL380" s="169"/>
      <c r="AM380" s="169"/>
      <c r="AN380" s="169"/>
      <c r="AO380" s="169"/>
      <c r="AP380" s="169"/>
      <c r="AQ380" s="169"/>
      <c r="AR380" s="169"/>
      <c r="AS380" s="169"/>
      <c r="AT380" s="169"/>
      <c r="AU380" s="169"/>
      <c r="AV380" s="169"/>
      <c r="AW380" s="169"/>
      <c r="AX380" s="169"/>
      <c r="AY380" s="169"/>
    </row>
    <row r="381" spans="1:51" ht="15" customHeight="1">
      <c r="A381" s="169"/>
      <c r="B381" s="169"/>
      <c r="C381" s="169"/>
      <c r="D381" s="169"/>
      <c r="E381" s="169"/>
      <c r="F381" s="169"/>
      <c r="G381" s="169"/>
      <c r="H381" s="169"/>
      <c r="I381" s="169"/>
      <c r="J381" s="169"/>
      <c r="K381" s="169"/>
      <c r="L381" s="169"/>
      <c r="M381" s="169"/>
      <c r="N381" s="169"/>
      <c r="O381" s="169"/>
      <c r="P381" s="169"/>
      <c r="Q381" s="169"/>
      <c r="R381" s="169"/>
      <c r="S381" s="169"/>
      <c r="T381" s="169"/>
      <c r="U381" s="169"/>
      <c r="V381" s="169"/>
      <c r="W381" s="169"/>
      <c r="X381" s="169"/>
      <c r="Y381" s="169"/>
      <c r="Z381" s="169"/>
      <c r="AA381" s="169"/>
      <c r="AB381" s="169"/>
      <c r="AC381" s="169"/>
      <c r="AD381" s="169"/>
      <c r="AE381" s="169"/>
      <c r="AF381" s="169"/>
      <c r="AG381" s="169"/>
      <c r="AH381" s="169"/>
      <c r="AI381" s="169"/>
      <c r="AJ381" s="169"/>
      <c r="AK381" s="169"/>
      <c r="AL381" s="169"/>
      <c r="AM381" s="169"/>
      <c r="AN381" s="169"/>
      <c r="AO381" s="169"/>
      <c r="AP381" s="169"/>
      <c r="AQ381" s="169"/>
      <c r="AR381" s="169"/>
      <c r="AS381" s="169"/>
      <c r="AT381" s="169"/>
      <c r="AU381" s="169"/>
      <c r="AV381" s="169"/>
      <c r="AW381" s="169"/>
      <c r="AX381" s="169"/>
      <c r="AY381" s="169"/>
    </row>
    <row r="382" spans="1:51" ht="15" customHeight="1">
      <c r="A382" s="169"/>
      <c r="B382" s="169"/>
      <c r="C382" s="169"/>
      <c r="D382" s="169"/>
      <c r="E382" s="169"/>
      <c r="F382" s="169"/>
      <c r="G382" s="169"/>
      <c r="H382" s="169"/>
      <c r="I382" s="169"/>
      <c r="J382" s="169"/>
      <c r="K382" s="169"/>
      <c r="L382" s="169"/>
      <c r="M382" s="169"/>
      <c r="N382" s="169"/>
      <c r="O382" s="169"/>
      <c r="P382" s="169"/>
      <c r="Q382" s="169"/>
      <c r="R382" s="169"/>
      <c r="S382" s="169"/>
      <c r="T382" s="169"/>
      <c r="U382" s="169"/>
      <c r="V382" s="169"/>
      <c r="W382" s="169"/>
      <c r="X382" s="169"/>
      <c r="Y382" s="169"/>
      <c r="Z382" s="169"/>
      <c r="AA382" s="169"/>
      <c r="AB382" s="169"/>
      <c r="AC382" s="169"/>
      <c r="AD382" s="169"/>
      <c r="AE382" s="169"/>
      <c r="AF382" s="169"/>
      <c r="AG382" s="169"/>
      <c r="AH382" s="169"/>
      <c r="AI382" s="169"/>
      <c r="AJ382" s="169"/>
      <c r="AK382" s="169"/>
      <c r="AL382" s="169"/>
      <c r="AM382" s="169"/>
      <c r="AN382" s="169"/>
      <c r="AO382" s="169"/>
      <c r="AP382" s="169"/>
      <c r="AQ382" s="169"/>
      <c r="AR382" s="169"/>
      <c r="AS382" s="169"/>
      <c r="AT382" s="169"/>
      <c r="AU382" s="169"/>
      <c r="AV382" s="169"/>
      <c r="AW382" s="169"/>
      <c r="AX382" s="169"/>
      <c r="AY382" s="169"/>
    </row>
    <row r="383" spans="1:51" ht="15" customHeight="1">
      <c r="A383" s="169"/>
      <c r="B383" s="169"/>
      <c r="C383" s="169"/>
      <c r="D383" s="169"/>
      <c r="E383" s="169"/>
      <c r="F383" s="169"/>
      <c r="G383" s="169"/>
      <c r="H383" s="169"/>
      <c r="I383" s="169"/>
      <c r="J383" s="169"/>
      <c r="K383" s="169"/>
      <c r="L383" s="169"/>
      <c r="M383" s="169"/>
      <c r="N383" s="169"/>
      <c r="O383" s="169"/>
      <c r="P383" s="169"/>
      <c r="Q383" s="169"/>
      <c r="R383" s="169"/>
      <c r="S383" s="169"/>
      <c r="T383" s="169"/>
      <c r="U383" s="169"/>
      <c r="V383" s="169"/>
      <c r="W383" s="169"/>
      <c r="X383" s="169"/>
      <c r="Y383" s="169"/>
      <c r="Z383" s="169"/>
      <c r="AA383" s="169"/>
      <c r="AB383" s="169"/>
      <c r="AC383" s="169"/>
      <c r="AD383" s="169"/>
      <c r="AE383" s="169"/>
      <c r="AF383" s="169"/>
      <c r="AG383" s="169"/>
      <c r="AH383" s="169"/>
      <c r="AI383" s="169"/>
      <c r="AJ383" s="169"/>
      <c r="AK383" s="169"/>
      <c r="AL383" s="169"/>
      <c r="AM383" s="169"/>
      <c r="AN383" s="169"/>
      <c r="AO383" s="169"/>
      <c r="AP383" s="169"/>
      <c r="AQ383" s="169"/>
      <c r="AR383" s="169"/>
      <c r="AS383" s="169"/>
      <c r="AT383" s="169"/>
      <c r="AU383" s="169"/>
      <c r="AV383" s="169"/>
      <c r="AW383" s="169"/>
      <c r="AX383" s="169"/>
      <c r="AY383" s="169"/>
    </row>
    <row r="384" spans="1:51" ht="15" customHeight="1">
      <c r="A384" s="169"/>
      <c r="B384" s="169"/>
      <c r="C384" s="169"/>
      <c r="D384" s="169"/>
      <c r="E384" s="169"/>
      <c r="F384" s="169"/>
      <c r="G384" s="169"/>
      <c r="H384" s="169"/>
      <c r="I384" s="169"/>
      <c r="J384" s="169"/>
      <c r="K384" s="169"/>
      <c r="L384" s="169"/>
      <c r="M384" s="169"/>
      <c r="N384" s="169"/>
      <c r="O384" s="169"/>
      <c r="P384" s="169"/>
      <c r="Q384" s="169"/>
      <c r="R384" s="169"/>
      <c r="S384" s="169"/>
      <c r="T384" s="169"/>
      <c r="U384" s="169"/>
      <c r="V384" s="169"/>
      <c r="W384" s="169"/>
      <c r="X384" s="169"/>
      <c r="Y384" s="169"/>
      <c r="Z384" s="169"/>
      <c r="AA384" s="169"/>
      <c r="AB384" s="169"/>
      <c r="AC384" s="169"/>
      <c r="AD384" s="169"/>
      <c r="AE384" s="169"/>
      <c r="AF384" s="169"/>
      <c r="AG384" s="169"/>
      <c r="AH384" s="169"/>
      <c r="AI384" s="169"/>
      <c r="AJ384" s="169"/>
      <c r="AK384" s="169"/>
      <c r="AL384" s="169"/>
      <c r="AM384" s="169"/>
      <c r="AN384" s="169"/>
      <c r="AO384" s="169"/>
      <c r="AP384" s="169"/>
      <c r="AQ384" s="169"/>
      <c r="AR384" s="169"/>
      <c r="AS384" s="169"/>
      <c r="AT384" s="169"/>
      <c r="AU384" s="169"/>
      <c r="AV384" s="169"/>
      <c r="AW384" s="169"/>
      <c r="AX384" s="169"/>
      <c r="AY384" s="169"/>
    </row>
    <row r="385" spans="1:51" ht="15" customHeight="1">
      <c r="A385" s="169"/>
      <c r="B385" s="169"/>
      <c r="C385" s="169"/>
      <c r="D385" s="169"/>
      <c r="E385" s="169"/>
      <c r="F385" s="169"/>
      <c r="G385" s="169"/>
      <c r="H385" s="169"/>
      <c r="I385" s="169"/>
      <c r="J385" s="169"/>
      <c r="K385" s="169"/>
      <c r="L385" s="169"/>
      <c r="M385" s="169"/>
      <c r="N385" s="169"/>
      <c r="O385" s="169"/>
      <c r="P385" s="169"/>
      <c r="Q385" s="169"/>
      <c r="R385" s="169"/>
      <c r="S385" s="169"/>
      <c r="T385" s="169"/>
      <c r="U385" s="169"/>
      <c r="V385" s="169"/>
      <c r="W385" s="169"/>
      <c r="X385" s="169"/>
      <c r="Y385" s="169"/>
      <c r="Z385" s="169"/>
      <c r="AA385" s="169"/>
      <c r="AB385" s="169"/>
      <c r="AC385" s="169"/>
      <c r="AD385" s="169"/>
      <c r="AE385" s="169"/>
      <c r="AF385" s="169"/>
      <c r="AG385" s="169"/>
      <c r="AH385" s="169"/>
      <c r="AI385" s="169"/>
      <c r="AJ385" s="169"/>
      <c r="AK385" s="169"/>
      <c r="AL385" s="169"/>
      <c r="AM385" s="169"/>
      <c r="AN385" s="169"/>
      <c r="AO385" s="169"/>
      <c r="AP385" s="169"/>
      <c r="AQ385" s="169"/>
      <c r="AR385" s="169"/>
      <c r="AS385" s="169"/>
      <c r="AT385" s="169"/>
      <c r="AU385" s="169"/>
      <c r="AV385" s="169"/>
      <c r="AW385" s="169"/>
      <c r="AX385" s="169"/>
      <c r="AY385" s="169"/>
    </row>
    <row r="386" spans="1:51" ht="15" customHeight="1">
      <c r="A386" s="169"/>
      <c r="B386" s="169"/>
      <c r="C386" s="169"/>
      <c r="D386" s="169"/>
      <c r="E386" s="169"/>
      <c r="F386" s="169"/>
      <c r="G386" s="169"/>
      <c r="H386" s="169"/>
      <c r="I386" s="169"/>
      <c r="J386" s="169"/>
      <c r="K386" s="169"/>
      <c r="L386" s="169"/>
      <c r="M386" s="169"/>
      <c r="N386" s="169"/>
      <c r="O386" s="169"/>
      <c r="P386" s="169"/>
      <c r="Q386" s="169"/>
      <c r="R386" s="169"/>
      <c r="S386" s="169"/>
      <c r="T386" s="169"/>
      <c r="U386" s="169"/>
      <c r="V386" s="169"/>
      <c r="W386" s="169"/>
      <c r="X386" s="169"/>
      <c r="Y386" s="169"/>
      <c r="Z386" s="169"/>
      <c r="AA386" s="169"/>
      <c r="AB386" s="169"/>
      <c r="AC386" s="169"/>
      <c r="AD386" s="169"/>
      <c r="AE386" s="169"/>
      <c r="AF386" s="169"/>
      <c r="AG386" s="169"/>
      <c r="AH386" s="169"/>
      <c r="AI386" s="169"/>
      <c r="AJ386" s="169"/>
      <c r="AK386" s="169"/>
      <c r="AL386" s="169"/>
      <c r="AM386" s="169"/>
      <c r="AN386" s="169"/>
      <c r="AO386" s="169"/>
      <c r="AP386" s="169"/>
      <c r="AQ386" s="169"/>
      <c r="AR386" s="169"/>
      <c r="AS386" s="169"/>
      <c r="AT386" s="169"/>
      <c r="AU386" s="169"/>
      <c r="AV386" s="169"/>
      <c r="AW386" s="169"/>
      <c r="AX386" s="169"/>
      <c r="AY386" s="169"/>
    </row>
    <row r="387" spans="1:51" ht="15" customHeight="1">
      <c r="A387" s="169"/>
      <c r="B387" s="169"/>
      <c r="C387" s="169"/>
      <c r="D387" s="169"/>
      <c r="E387" s="169"/>
      <c r="F387" s="169"/>
      <c r="G387" s="169"/>
      <c r="H387" s="169"/>
      <c r="I387" s="169"/>
      <c r="J387" s="169"/>
      <c r="K387" s="169"/>
      <c r="L387" s="169"/>
      <c r="M387" s="169"/>
      <c r="N387" s="169"/>
      <c r="O387" s="169"/>
      <c r="P387" s="169"/>
      <c r="Q387" s="169"/>
      <c r="R387" s="169"/>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row>
    <row r="388" spans="1:51" ht="15" customHeight="1">
      <c r="A388" s="169"/>
      <c r="B388" s="169"/>
      <c r="C388" s="169"/>
      <c r="D388" s="169"/>
      <c r="E388" s="169"/>
      <c r="F388" s="169"/>
      <c r="G388" s="169"/>
      <c r="H388" s="169"/>
      <c r="I388" s="169"/>
      <c r="J388" s="169"/>
      <c r="K388" s="169"/>
      <c r="L388" s="169"/>
      <c r="M388" s="169"/>
      <c r="N388" s="169"/>
      <c r="O388" s="169"/>
      <c r="P388" s="169"/>
      <c r="Q388" s="169"/>
      <c r="R388" s="169"/>
      <c r="S388" s="169"/>
      <c r="T388" s="169"/>
      <c r="U388" s="169"/>
      <c r="V388" s="169"/>
      <c r="W388" s="169"/>
      <c r="X388" s="169"/>
      <c r="Y388" s="169"/>
      <c r="Z388" s="169"/>
      <c r="AA388" s="169"/>
      <c r="AB388" s="169"/>
      <c r="AC388" s="169"/>
      <c r="AD388" s="169"/>
      <c r="AE388" s="169"/>
      <c r="AF388" s="169"/>
      <c r="AG388" s="169"/>
      <c r="AH388" s="169"/>
      <c r="AI388" s="169"/>
      <c r="AJ388" s="169"/>
      <c r="AK388" s="169"/>
      <c r="AL388" s="169"/>
      <c r="AM388" s="169"/>
      <c r="AN388" s="169"/>
      <c r="AO388" s="169"/>
      <c r="AP388" s="169"/>
      <c r="AQ388" s="169"/>
      <c r="AR388" s="169"/>
      <c r="AS388" s="169"/>
      <c r="AT388" s="169"/>
      <c r="AU388" s="169"/>
      <c r="AV388" s="169"/>
      <c r="AW388" s="169"/>
      <c r="AX388" s="169"/>
      <c r="AY388" s="169"/>
    </row>
    <row r="407" spans="56:118" ht="15" customHeight="1">
      <c r="BD407" s="169"/>
    </row>
    <row r="411" spans="56:118" s="347" customFormat="1" ht="15" customHeight="1">
      <c r="BY411" s="330"/>
      <c r="BZ411" s="330"/>
      <c r="CA411" s="330"/>
      <c r="CB411" s="330"/>
      <c r="CC411" s="330"/>
      <c r="CD411" s="330"/>
      <c r="CE411" s="330"/>
      <c r="CF411" s="330"/>
      <c r="CG411" s="330"/>
      <c r="CH411" s="330"/>
      <c r="CI411" s="330"/>
      <c r="CJ411" s="330"/>
      <c r="CK411" s="330"/>
      <c r="CL411" s="330"/>
      <c r="CM411" s="330"/>
      <c r="CN411" s="375"/>
      <c r="CO411" s="376"/>
      <c r="CP411" s="376"/>
      <c r="CQ411" s="376"/>
      <c r="CR411" s="376"/>
      <c r="CS411" s="376"/>
      <c r="CT411" s="376"/>
      <c r="CU411" s="376"/>
      <c r="CV411" s="376"/>
      <c r="CW411" s="376"/>
      <c r="CX411" s="376"/>
      <c r="CY411" s="376"/>
      <c r="CZ411" s="376"/>
      <c r="DA411" s="376"/>
      <c r="DB411" s="376"/>
      <c r="DC411" s="376"/>
      <c r="DD411" s="376"/>
      <c r="DE411" s="376"/>
      <c r="DF411" s="376"/>
      <c r="DG411" s="376"/>
      <c r="DH411" s="376"/>
      <c r="DI411" s="376"/>
      <c r="DJ411" s="376"/>
      <c r="DK411" s="376"/>
      <c r="DL411" s="376"/>
      <c r="DM411" s="376"/>
      <c r="DN411" s="376"/>
    </row>
    <row r="412" spans="56:118" s="347" customFormat="1" ht="15" customHeight="1">
      <c r="BY412" s="330"/>
      <c r="BZ412" s="330"/>
      <c r="CA412" s="330"/>
      <c r="CB412" s="330"/>
      <c r="CC412" s="330"/>
      <c r="CD412" s="330"/>
      <c r="CE412" s="330"/>
      <c r="CF412" s="330"/>
      <c r="CG412" s="330"/>
      <c r="CH412" s="330"/>
      <c r="CI412" s="330"/>
      <c r="CJ412" s="330"/>
      <c r="CK412" s="330"/>
      <c r="CL412" s="330"/>
      <c r="CM412" s="330"/>
      <c r="CN412" s="375"/>
      <c r="CO412" s="376"/>
      <c r="CP412" s="376"/>
      <c r="CQ412" s="376"/>
      <c r="CR412" s="376"/>
      <c r="CS412" s="376"/>
      <c r="CT412" s="376"/>
      <c r="CU412" s="376"/>
      <c r="CV412" s="376"/>
      <c r="CW412" s="376"/>
      <c r="CX412" s="376"/>
      <c r="CY412" s="376"/>
      <c r="CZ412" s="376"/>
      <c r="DA412" s="376"/>
      <c r="DB412" s="376"/>
      <c r="DC412" s="376"/>
      <c r="DD412" s="376"/>
      <c r="DE412" s="376"/>
      <c r="DF412" s="376"/>
      <c r="DG412" s="376"/>
      <c r="DH412" s="376"/>
      <c r="DI412" s="376"/>
      <c r="DJ412" s="376"/>
      <c r="DK412" s="376"/>
      <c r="DL412" s="376"/>
      <c r="DM412" s="376"/>
      <c r="DN412" s="376"/>
    </row>
    <row r="413" spans="56:118" s="347" customFormat="1" ht="15" customHeight="1">
      <c r="BY413" s="330"/>
      <c r="BZ413" s="330"/>
      <c r="CA413" s="330"/>
      <c r="CB413" s="330"/>
      <c r="CC413" s="330"/>
      <c r="CD413" s="330"/>
      <c r="CE413" s="330"/>
      <c r="CF413" s="330"/>
      <c r="CG413" s="330"/>
      <c r="CH413" s="330"/>
      <c r="CI413" s="330"/>
      <c r="CJ413" s="330"/>
      <c r="CK413" s="330"/>
      <c r="CL413" s="330"/>
      <c r="CM413" s="330"/>
      <c r="CN413" s="375"/>
      <c r="CO413" s="376"/>
      <c r="CP413" s="376"/>
      <c r="CQ413" s="376"/>
      <c r="CR413" s="376"/>
      <c r="CS413" s="376"/>
      <c r="CT413" s="376"/>
      <c r="CU413" s="376"/>
      <c r="CV413" s="376"/>
      <c r="CW413" s="376"/>
      <c r="CX413" s="376"/>
      <c r="CY413" s="376"/>
      <c r="CZ413" s="376"/>
      <c r="DA413" s="376"/>
      <c r="DB413" s="376"/>
      <c r="DC413" s="376"/>
      <c r="DD413" s="376"/>
      <c r="DE413" s="376"/>
      <c r="DF413" s="376"/>
      <c r="DG413" s="376"/>
      <c r="DH413" s="376"/>
      <c r="DI413" s="376"/>
      <c r="DJ413" s="376"/>
      <c r="DK413" s="376"/>
      <c r="DL413" s="376"/>
      <c r="DM413" s="376"/>
      <c r="DN413" s="376"/>
    </row>
    <row r="414" spans="56:118" s="347" customFormat="1" ht="15" customHeight="1">
      <c r="BY414" s="330"/>
      <c r="BZ414" s="330"/>
      <c r="CA414" s="330"/>
      <c r="CB414" s="330"/>
      <c r="CC414" s="330"/>
      <c r="CD414" s="330"/>
      <c r="CE414" s="330"/>
      <c r="CF414" s="330"/>
      <c r="CG414" s="330"/>
      <c r="CH414" s="330"/>
      <c r="CI414" s="330"/>
      <c r="CJ414" s="330"/>
      <c r="CK414" s="330"/>
      <c r="CL414" s="330"/>
      <c r="CM414" s="330"/>
      <c r="CN414" s="375"/>
      <c r="CO414" s="376"/>
      <c r="CP414" s="376"/>
      <c r="CQ414" s="376"/>
      <c r="CR414" s="376"/>
      <c r="CS414" s="376"/>
      <c r="CT414" s="376"/>
      <c r="CU414" s="376"/>
      <c r="CV414" s="376"/>
      <c r="CW414" s="376"/>
      <c r="CX414" s="376"/>
      <c r="CY414" s="376"/>
      <c r="CZ414" s="376"/>
      <c r="DA414" s="376"/>
      <c r="DB414" s="376"/>
      <c r="DC414" s="376"/>
      <c r="DD414" s="376"/>
      <c r="DE414" s="376"/>
      <c r="DF414" s="376"/>
      <c r="DG414" s="376"/>
      <c r="DH414" s="376"/>
      <c r="DI414" s="376"/>
      <c r="DJ414" s="376"/>
      <c r="DK414" s="376"/>
      <c r="DL414" s="376"/>
      <c r="DM414" s="376"/>
      <c r="DN414" s="376"/>
    </row>
    <row r="415" spans="56:118" s="347" customFormat="1" ht="15" customHeight="1">
      <c r="CN415" s="375"/>
      <c r="CO415" s="376"/>
      <c r="CP415" s="376"/>
      <c r="CQ415" s="376"/>
      <c r="CR415" s="376"/>
      <c r="CS415" s="376"/>
      <c r="CT415" s="376"/>
      <c r="CU415" s="376"/>
      <c r="CV415" s="376"/>
      <c r="CW415" s="376"/>
      <c r="CX415" s="376"/>
      <c r="CY415" s="376"/>
      <c r="CZ415" s="376"/>
      <c r="DA415" s="376"/>
      <c r="DB415" s="376"/>
      <c r="DC415" s="376"/>
      <c r="DD415" s="376"/>
      <c r="DE415" s="376"/>
      <c r="DF415" s="376"/>
      <c r="DG415" s="376"/>
      <c r="DH415" s="376"/>
      <c r="DI415" s="376"/>
      <c r="DJ415" s="376"/>
      <c r="DK415" s="376"/>
      <c r="DL415" s="376"/>
      <c r="DM415" s="376"/>
      <c r="DN415" s="376"/>
    </row>
    <row r="416" spans="56:118" s="347" customFormat="1" ht="15" customHeight="1">
      <c r="CN416" s="375"/>
      <c r="CO416" s="376"/>
      <c r="CP416" s="376"/>
      <c r="CQ416" s="376"/>
      <c r="CR416" s="376"/>
      <c r="CS416" s="376"/>
      <c r="CT416" s="376"/>
      <c r="CU416" s="376"/>
      <c r="CV416" s="376"/>
      <c r="CW416" s="376"/>
      <c r="CX416" s="376"/>
      <c r="CY416" s="376"/>
      <c r="CZ416" s="376"/>
      <c r="DA416" s="376"/>
      <c r="DB416" s="376"/>
      <c r="DC416" s="376"/>
      <c r="DD416" s="376"/>
      <c r="DE416" s="376"/>
      <c r="DF416" s="376"/>
      <c r="DG416" s="376"/>
      <c r="DH416" s="376"/>
      <c r="DI416" s="376"/>
      <c r="DJ416" s="376"/>
      <c r="DK416" s="376"/>
      <c r="DL416" s="376"/>
      <c r="DM416" s="376"/>
      <c r="DN416" s="376"/>
    </row>
    <row r="417" spans="92:118" s="347" customFormat="1" ht="15" customHeight="1">
      <c r="CN417" s="375"/>
      <c r="CO417" s="376"/>
      <c r="CP417" s="376"/>
      <c r="CQ417" s="376"/>
      <c r="CR417" s="376"/>
      <c r="CS417" s="376"/>
      <c r="CT417" s="376"/>
      <c r="CU417" s="376"/>
      <c r="CV417" s="376"/>
      <c r="CW417" s="376"/>
      <c r="CX417" s="376"/>
      <c r="CY417" s="376"/>
      <c r="CZ417" s="376"/>
      <c r="DA417" s="376"/>
      <c r="DB417" s="376"/>
      <c r="DC417" s="376"/>
      <c r="DD417" s="376"/>
      <c r="DE417" s="376"/>
      <c r="DF417" s="376"/>
      <c r="DG417" s="376"/>
      <c r="DH417" s="376"/>
      <c r="DI417" s="376"/>
      <c r="DJ417" s="376"/>
      <c r="DK417" s="376"/>
      <c r="DL417" s="376"/>
      <c r="DM417" s="376"/>
      <c r="DN417" s="376"/>
    </row>
    <row r="418" spans="92:118" s="347" customFormat="1" ht="15" customHeight="1">
      <c r="CN418" s="375"/>
      <c r="CO418" s="376"/>
      <c r="CP418" s="376"/>
      <c r="CQ418" s="376"/>
      <c r="CR418" s="376"/>
      <c r="CS418" s="376"/>
      <c r="CT418" s="376"/>
      <c r="CU418" s="376"/>
      <c r="CV418" s="376"/>
      <c r="CW418" s="376"/>
      <c r="CX418" s="376"/>
      <c r="CY418" s="376"/>
      <c r="CZ418" s="376"/>
      <c r="DA418" s="376"/>
      <c r="DB418" s="376"/>
      <c r="DC418" s="376"/>
      <c r="DD418" s="376"/>
      <c r="DE418" s="376"/>
      <c r="DF418" s="376"/>
      <c r="DG418" s="376"/>
      <c r="DH418" s="376"/>
      <c r="DI418" s="376"/>
      <c r="DJ418" s="376"/>
      <c r="DK418" s="376"/>
      <c r="DL418" s="376"/>
      <c r="DM418" s="376"/>
      <c r="DN418" s="376"/>
    </row>
    <row r="419" spans="92:118" s="347" customFormat="1" ht="15" customHeight="1">
      <c r="CN419" s="375"/>
      <c r="CO419" s="376"/>
      <c r="CP419" s="376"/>
      <c r="CQ419" s="376"/>
      <c r="CR419" s="376"/>
      <c r="CS419" s="376"/>
      <c r="CT419" s="376"/>
      <c r="CU419" s="376"/>
      <c r="CV419" s="376"/>
      <c r="CW419" s="376"/>
      <c r="CX419" s="376"/>
      <c r="CY419" s="376"/>
      <c r="CZ419" s="376"/>
      <c r="DA419" s="376"/>
      <c r="DB419" s="376"/>
      <c r="DC419" s="376"/>
      <c r="DD419" s="376"/>
      <c r="DE419" s="376"/>
      <c r="DF419" s="376"/>
      <c r="DG419" s="376"/>
      <c r="DH419" s="376"/>
      <c r="DI419" s="376"/>
      <c r="DJ419" s="376"/>
      <c r="DK419" s="376"/>
      <c r="DL419" s="376"/>
      <c r="DM419" s="376"/>
      <c r="DN419" s="376"/>
    </row>
    <row r="420" spans="92:118" s="347" customFormat="1" ht="15" customHeight="1">
      <c r="CN420" s="375"/>
      <c r="CO420" s="376"/>
      <c r="CP420" s="376"/>
      <c r="CQ420" s="376"/>
      <c r="CR420" s="376"/>
      <c r="CS420" s="376"/>
      <c r="CT420" s="376"/>
      <c r="CU420" s="376"/>
      <c r="CV420" s="376"/>
      <c r="CW420" s="376"/>
      <c r="CX420" s="376"/>
      <c r="CY420" s="376"/>
      <c r="CZ420" s="376"/>
      <c r="DA420" s="376"/>
      <c r="DB420" s="376"/>
      <c r="DC420" s="376"/>
      <c r="DD420" s="376"/>
      <c r="DE420" s="376"/>
      <c r="DF420" s="376"/>
      <c r="DG420" s="376"/>
      <c r="DH420" s="376"/>
      <c r="DI420" s="376"/>
      <c r="DJ420" s="376"/>
      <c r="DK420" s="376"/>
      <c r="DL420" s="376"/>
      <c r="DM420" s="376"/>
      <c r="DN420" s="376"/>
    </row>
    <row r="421" spans="92:118" s="347" customFormat="1" ht="15" customHeight="1">
      <c r="CN421" s="375"/>
      <c r="CO421" s="376"/>
      <c r="CP421" s="376"/>
      <c r="CQ421" s="376"/>
      <c r="CR421" s="376"/>
      <c r="CS421" s="376"/>
      <c r="CT421" s="376"/>
      <c r="CU421" s="376"/>
      <c r="CV421" s="376"/>
      <c r="CW421" s="376"/>
      <c r="CX421" s="376"/>
      <c r="CY421" s="376"/>
      <c r="CZ421" s="376"/>
      <c r="DA421" s="376"/>
      <c r="DB421" s="376"/>
      <c r="DC421" s="376"/>
      <c r="DD421" s="376"/>
      <c r="DE421" s="376"/>
      <c r="DF421" s="376"/>
      <c r="DG421" s="376"/>
      <c r="DH421" s="376"/>
      <c r="DI421" s="376"/>
      <c r="DJ421" s="376"/>
      <c r="DK421" s="376"/>
      <c r="DL421" s="376"/>
      <c r="DM421" s="376"/>
      <c r="DN421" s="376"/>
    </row>
    <row r="422" spans="92:118" s="347" customFormat="1" ht="15" customHeight="1">
      <c r="CN422" s="375"/>
      <c r="CO422" s="376"/>
      <c r="CP422" s="376"/>
      <c r="CQ422" s="376"/>
      <c r="CR422" s="376"/>
      <c r="CS422" s="376"/>
      <c r="CT422" s="376"/>
      <c r="CU422" s="376"/>
      <c r="CV422" s="376"/>
      <c r="CW422" s="376"/>
      <c r="CX422" s="376"/>
      <c r="CY422" s="376"/>
      <c r="CZ422" s="376"/>
      <c r="DA422" s="376"/>
      <c r="DB422" s="376"/>
      <c r="DC422" s="376"/>
      <c r="DD422" s="376"/>
      <c r="DE422" s="376"/>
      <c r="DF422" s="376"/>
      <c r="DG422" s="376"/>
      <c r="DH422" s="376"/>
      <c r="DI422" s="376"/>
      <c r="DJ422" s="376"/>
      <c r="DK422" s="376"/>
      <c r="DL422" s="376"/>
      <c r="DM422" s="376"/>
      <c r="DN422" s="376"/>
    </row>
    <row r="423" spans="92:118" s="347" customFormat="1" ht="15" customHeight="1">
      <c r="CN423" s="375"/>
      <c r="CO423" s="376"/>
      <c r="CP423" s="376"/>
      <c r="CQ423" s="376"/>
      <c r="CR423" s="376"/>
      <c r="CS423" s="376"/>
      <c r="CT423" s="376"/>
      <c r="CU423" s="376"/>
      <c r="CV423" s="376"/>
      <c r="CW423" s="376"/>
      <c r="CX423" s="376"/>
      <c r="CY423" s="376"/>
      <c r="CZ423" s="376"/>
      <c r="DA423" s="376"/>
      <c r="DB423" s="376"/>
      <c r="DC423" s="376"/>
      <c r="DD423" s="376"/>
      <c r="DE423" s="376"/>
      <c r="DF423" s="376"/>
      <c r="DG423" s="376"/>
      <c r="DH423" s="376"/>
      <c r="DI423" s="376"/>
      <c r="DJ423" s="376"/>
      <c r="DK423" s="376"/>
      <c r="DL423" s="376"/>
      <c r="DM423" s="376"/>
      <c r="DN423" s="376"/>
    </row>
    <row r="424" spans="92:118" s="347" customFormat="1" ht="15" customHeight="1">
      <c r="CN424" s="375"/>
      <c r="CO424" s="376"/>
      <c r="CP424" s="376"/>
      <c r="CQ424" s="376"/>
      <c r="CR424" s="376"/>
      <c r="CS424" s="376"/>
      <c r="CT424" s="376"/>
      <c r="CU424" s="376"/>
      <c r="CV424" s="376"/>
      <c r="CW424" s="376"/>
      <c r="CX424" s="376"/>
      <c r="CY424" s="376"/>
      <c r="CZ424" s="376"/>
      <c r="DA424" s="376"/>
      <c r="DB424" s="376"/>
      <c r="DC424" s="376"/>
      <c r="DD424" s="376"/>
      <c r="DE424" s="376"/>
      <c r="DF424" s="376"/>
      <c r="DG424" s="376"/>
      <c r="DH424" s="376"/>
      <c r="DI424" s="376"/>
      <c r="DJ424" s="376"/>
      <c r="DK424" s="376"/>
      <c r="DL424" s="376"/>
      <c r="DM424" s="376"/>
      <c r="DN424" s="376"/>
    </row>
    <row r="425" spans="92:118" s="347" customFormat="1" ht="15" customHeight="1">
      <c r="CN425" s="375"/>
      <c r="CO425" s="376"/>
      <c r="CP425" s="376"/>
      <c r="CQ425" s="376"/>
      <c r="CR425" s="376"/>
      <c r="CS425" s="376"/>
      <c r="CT425" s="376"/>
      <c r="CU425" s="376"/>
      <c r="CV425" s="376"/>
      <c r="CW425" s="376"/>
      <c r="CX425" s="376"/>
      <c r="CY425" s="376"/>
      <c r="CZ425" s="376"/>
      <c r="DA425" s="376"/>
      <c r="DB425" s="376"/>
      <c r="DC425" s="376"/>
      <c r="DD425" s="376"/>
      <c r="DE425" s="376"/>
      <c r="DF425" s="376"/>
      <c r="DG425" s="376"/>
      <c r="DH425" s="376"/>
      <c r="DI425" s="376"/>
      <c r="DJ425" s="376"/>
      <c r="DK425" s="376"/>
      <c r="DL425" s="376"/>
      <c r="DM425" s="376"/>
      <c r="DN425" s="376"/>
    </row>
    <row r="426" spans="92:118" s="347" customFormat="1" ht="15" customHeight="1">
      <c r="CN426" s="375"/>
      <c r="CO426" s="376"/>
      <c r="CP426" s="376"/>
      <c r="CQ426" s="376"/>
      <c r="CR426" s="376"/>
      <c r="CS426" s="376"/>
      <c r="CT426" s="376"/>
      <c r="CU426" s="376"/>
      <c r="CV426" s="376"/>
      <c r="CW426" s="376"/>
      <c r="CX426" s="376"/>
      <c r="CY426" s="376"/>
      <c r="CZ426" s="376"/>
      <c r="DA426" s="376"/>
      <c r="DB426" s="376"/>
      <c r="DC426" s="376"/>
      <c r="DD426" s="376"/>
      <c r="DE426" s="376"/>
      <c r="DF426" s="376"/>
      <c r="DG426" s="376"/>
      <c r="DH426" s="376"/>
      <c r="DI426" s="376"/>
      <c r="DJ426" s="376"/>
      <c r="DK426" s="376"/>
      <c r="DL426" s="376"/>
      <c r="DM426" s="376"/>
      <c r="DN426" s="376"/>
    </row>
    <row r="427" spans="92:118" s="347" customFormat="1" ht="15" customHeight="1">
      <c r="CN427" s="375"/>
      <c r="CO427" s="376"/>
      <c r="CP427" s="376"/>
      <c r="CQ427" s="376"/>
      <c r="CR427" s="376"/>
      <c r="CS427" s="376"/>
      <c r="CT427" s="376"/>
      <c r="CU427" s="376"/>
      <c r="CV427" s="376"/>
      <c r="CW427" s="376"/>
      <c r="CX427" s="376"/>
      <c r="CY427" s="376"/>
      <c r="CZ427" s="376"/>
      <c r="DA427" s="376"/>
      <c r="DB427" s="376"/>
      <c r="DC427" s="376"/>
      <c r="DD427" s="376"/>
      <c r="DE427" s="376"/>
      <c r="DF427" s="376"/>
      <c r="DG427" s="376"/>
      <c r="DH427" s="376"/>
      <c r="DI427" s="376"/>
      <c r="DJ427" s="376"/>
      <c r="DK427" s="376"/>
      <c r="DL427" s="376"/>
      <c r="DM427" s="376"/>
      <c r="DN427" s="376"/>
    </row>
    <row r="428" spans="92:118" s="347" customFormat="1" ht="15" customHeight="1">
      <c r="CN428" s="375"/>
      <c r="CO428" s="376"/>
      <c r="CP428" s="376"/>
      <c r="CQ428" s="376"/>
      <c r="CR428" s="376"/>
      <c r="CS428" s="376"/>
      <c r="CT428" s="376"/>
      <c r="CU428" s="376"/>
      <c r="CV428" s="376"/>
      <c r="CW428" s="376"/>
      <c r="CX428" s="376"/>
      <c r="CY428" s="376"/>
      <c r="CZ428" s="376"/>
      <c r="DA428" s="376"/>
      <c r="DB428" s="376"/>
      <c r="DC428" s="376"/>
      <c r="DD428" s="376"/>
      <c r="DE428" s="376"/>
      <c r="DF428" s="376"/>
      <c r="DG428" s="376"/>
      <c r="DH428" s="376"/>
      <c r="DI428" s="376"/>
      <c r="DJ428" s="376"/>
      <c r="DK428" s="376"/>
      <c r="DL428" s="376"/>
      <c r="DM428" s="376"/>
      <c r="DN428" s="376"/>
    </row>
    <row r="429" spans="92:118" s="347" customFormat="1" ht="15" customHeight="1">
      <c r="CN429" s="375"/>
      <c r="CO429" s="376"/>
      <c r="CP429" s="376"/>
      <c r="CQ429" s="376"/>
      <c r="CR429" s="376"/>
      <c r="CS429" s="376"/>
      <c r="CT429" s="376"/>
      <c r="CU429" s="376"/>
      <c r="CV429" s="376"/>
      <c r="CW429" s="376"/>
      <c r="CX429" s="376"/>
      <c r="CY429" s="376"/>
      <c r="CZ429" s="376"/>
      <c r="DA429" s="376"/>
      <c r="DB429" s="376"/>
      <c r="DC429" s="376"/>
      <c r="DD429" s="376"/>
      <c r="DE429" s="376"/>
      <c r="DF429" s="376"/>
      <c r="DG429" s="376"/>
      <c r="DH429" s="376"/>
      <c r="DI429" s="376"/>
      <c r="DJ429" s="376"/>
      <c r="DK429" s="376"/>
      <c r="DL429" s="376"/>
      <c r="DM429" s="376"/>
      <c r="DN429" s="376"/>
    </row>
    <row r="430" spans="92:118" s="347" customFormat="1" ht="15" customHeight="1">
      <c r="CN430" s="375"/>
      <c r="CO430" s="376"/>
      <c r="CP430" s="376"/>
      <c r="CQ430" s="376"/>
      <c r="CR430" s="376"/>
      <c r="CS430" s="376"/>
      <c r="CT430" s="376"/>
      <c r="CU430" s="376"/>
      <c r="CV430" s="376"/>
      <c r="CW430" s="376"/>
      <c r="CX430" s="376"/>
      <c r="CY430" s="376"/>
      <c r="CZ430" s="376"/>
      <c r="DA430" s="376"/>
      <c r="DB430" s="376"/>
      <c r="DC430" s="376"/>
      <c r="DD430" s="376"/>
      <c r="DE430" s="376"/>
      <c r="DF430" s="376"/>
      <c r="DG430" s="376"/>
      <c r="DH430" s="376"/>
      <c r="DI430" s="376"/>
      <c r="DJ430" s="376"/>
      <c r="DK430" s="376"/>
      <c r="DL430" s="376"/>
      <c r="DM430" s="376"/>
      <c r="DN430" s="376"/>
    </row>
    <row r="431" spans="92:118" s="347" customFormat="1" ht="15" customHeight="1">
      <c r="CN431" s="375"/>
      <c r="CO431" s="376"/>
      <c r="CP431" s="376"/>
      <c r="CQ431" s="376"/>
      <c r="CR431" s="376"/>
      <c r="CS431" s="376"/>
      <c r="CT431" s="376"/>
      <c r="CU431" s="376"/>
      <c r="CV431" s="376"/>
      <c r="CW431" s="376"/>
      <c r="CX431" s="376"/>
      <c r="CY431" s="376"/>
      <c r="CZ431" s="376"/>
      <c r="DA431" s="376"/>
      <c r="DB431" s="376"/>
      <c r="DC431" s="376"/>
      <c r="DD431" s="376"/>
      <c r="DE431" s="376"/>
      <c r="DF431" s="376"/>
      <c r="DG431" s="376"/>
      <c r="DH431" s="376"/>
      <c r="DI431" s="376"/>
      <c r="DJ431" s="376"/>
      <c r="DK431" s="376"/>
      <c r="DL431" s="376"/>
      <c r="DM431" s="376"/>
      <c r="DN431" s="376"/>
    </row>
    <row r="432" spans="92:118" s="347" customFormat="1" ht="15" customHeight="1">
      <c r="CN432" s="375"/>
      <c r="CO432" s="376"/>
      <c r="CP432" s="376"/>
      <c r="CQ432" s="376"/>
      <c r="CR432" s="376"/>
      <c r="CS432" s="376"/>
      <c r="CT432" s="376"/>
      <c r="CU432" s="376"/>
      <c r="CV432" s="376"/>
      <c r="CW432" s="376"/>
      <c r="CX432" s="376"/>
      <c r="CY432" s="376"/>
      <c r="CZ432" s="376"/>
      <c r="DA432" s="376"/>
      <c r="DB432" s="376"/>
      <c r="DC432" s="376"/>
      <c r="DD432" s="376"/>
      <c r="DE432" s="376"/>
      <c r="DF432" s="376"/>
      <c r="DG432" s="376"/>
      <c r="DH432" s="376"/>
      <c r="DI432" s="376"/>
      <c r="DJ432" s="376"/>
      <c r="DK432" s="376"/>
      <c r="DL432" s="376"/>
      <c r="DM432" s="376"/>
      <c r="DN432" s="376"/>
    </row>
    <row r="433" spans="92:118" s="347" customFormat="1" ht="15" customHeight="1">
      <c r="CN433" s="375"/>
      <c r="CO433" s="376"/>
      <c r="CP433" s="376"/>
      <c r="CQ433" s="376"/>
      <c r="CR433" s="376"/>
      <c r="CS433" s="376"/>
      <c r="CT433" s="376"/>
      <c r="CU433" s="376"/>
      <c r="CV433" s="376"/>
      <c r="CW433" s="376"/>
      <c r="CX433" s="376"/>
      <c r="CY433" s="376"/>
      <c r="CZ433" s="376"/>
      <c r="DA433" s="376"/>
      <c r="DB433" s="376"/>
      <c r="DC433" s="376"/>
      <c r="DD433" s="376"/>
      <c r="DE433" s="376"/>
      <c r="DF433" s="376"/>
      <c r="DG433" s="376"/>
      <c r="DH433" s="376"/>
      <c r="DI433" s="376"/>
      <c r="DJ433" s="376"/>
      <c r="DK433" s="376"/>
      <c r="DL433" s="376"/>
      <c r="DM433" s="376"/>
      <c r="DN433" s="376"/>
    </row>
    <row r="434" spans="92:118" s="347" customFormat="1" ht="15" customHeight="1">
      <c r="CN434" s="375"/>
      <c r="CO434" s="376"/>
      <c r="CP434" s="376"/>
      <c r="CQ434" s="376"/>
      <c r="CR434" s="376"/>
      <c r="CS434" s="376"/>
      <c r="CT434" s="376"/>
      <c r="CU434" s="376"/>
      <c r="CV434" s="376"/>
      <c r="CW434" s="376"/>
      <c r="CX434" s="376"/>
      <c r="CY434" s="376"/>
      <c r="CZ434" s="376"/>
      <c r="DA434" s="376"/>
      <c r="DB434" s="376"/>
      <c r="DC434" s="376"/>
      <c r="DD434" s="376"/>
      <c r="DE434" s="376"/>
      <c r="DF434" s="376"/>
      <c r="DG434" s="376"/>
      <c r="DH434" s="376"/>
      <c r="DI434" s="376"/>
      <c r="DJ434" s="376"/>
      <c r="DK434" s="376"/>
      <c r="DL434" s="376"/>
      <c r="DM434" s="376"/>
      <c r="DN434" s="376"/>
    </row>
    <row r="435" spans="92:118" s="347" customFormat="1" ht="15" customHeight="1">
      <c r="CN435" s="375"/>
      <c r="CO435" s="376"/>
      <c r="CP435" s="376"/>
      <c r="CQ435" s="376"/>
      <c r="CR435" s="376"/>
      <c r="CS435" s="376"/>
      <c r="CT435" s="376"/>
      <c r="CU435" s="376"/>
      <c r="CV435" s="376"/>
      <c r="CW435" s="376"/>
      <c r="CX435" s="376"/>
      <c r="CY435" s="376"/>
      <c r="CZ435" s="376"/>
      <c r="DA435" s="376"/>
      <c r="DB435" s="376"/>
      <c r="DC435" s="376"/>
      <c r="DD435" s="376"/>
      <c r="DE435" s="376"/>
      <c r="DF435" s="376"/>
      <c r="DG435" s="376"/>
      <c r="DH435" s="376"/>
      <c r="DI435" s="376"/>
      <c r="DJ435" s="376"/>
      <c r="DK435" s="376"/>
      <c r="DL435" s="376"/>
      <c r="DM435" s="376"/>
      <c r="DN435" s="376"/>
    </row>
    <row r="436" spans="92:118" s="347" customFormat="1" ht="15" customHeight="1">
      <c r="CN436" s="375"/>
      <c r="CO436" s="376"/>
      <c r="CP436" s="376"/>
      <c r="CQ436" s="376"/>
      <c r="CR436" s="376"/>
      <c r="CS436" s="376"/>
      <c r="CT436" s="376"/>
      <c r="CU436" s="376"/>
      <c r="CV436" s="376"/>
      <c r="CW436" s="376"/>
      <c r="CX436" s="376"/>
      <c r="CY436" s="376"/>
      <c r="CZ436" s="376"/>
      <c r="DA436" s="376"/>
      <c r="DB436" s="376"/>
      <c r="DC436" s="376"/>
      <c r="DD436" s="376"/>
      <c r="DE436" s="376"/>
      <c r="DF436" s="376"/>
      <c r="DG436" s="376"/>
      <c r="DH436" s="376"/>
      <c r="DI436" s="376"/>
      <c r="DJ436" s="376"/>
      <c r="DK436" s="376"/>
      <c r="DL436" s="376"/>
      <c r="DM436" s="376"/>
      <c r="DN436" s="376"/>
    </row>
    <row r="437" spans="92:118" s="347" customFormat="1" ht="15" customHeight="1">
      <c r="CN437" s="375"/>
      <c r="CO437" s="376"/>
      <c r="CP437" s="376"/>
      <c r="CQ437" s="376"/>
      <c r="CR437" s="376"/>
      <c r="CS437" s="376"/>
      <c r="CT437" s="376"/>
      <c r="CU437" s="376"/>
      <c r="CV437" s="376"/>
      <c r="CW437" s="376"/>
      <c r="CX437" s="376"/>
      <c r="CY437" s="376"/>
      <c r="CZ437" s="376"/>
      <c r="DA437" s="376"/>
      <c r="DB437" s="376"/>
      <c r="DC437" s="376"/>
      <c r="DD437" s="376"/>
      <c r="DE437" s="376"/>
      <c r="DF437" s="376"/>
      <c r="DG437" s="376"/>
      <c r="DH437" s="376"/>
      <c r="DI437" s="376"/>
      <c r="DJ437" s="376"/>
      <c r="DK437" s="376"/>
      <c r="DL437" s="376"/>
      <c r="DM437" s="376"/>
      <c r="DN437" s="376"/>
    </row>
    <row r="438" spans="92:118" s="347" customFormat="1" ht="15" customHeight="1">
      <c r="CN438" s="375"/>
      <c r="CO438" s="376"/>
      <c r="CP438" s="376"/>
      <c r="CQ438" s="376"/>
      <c r="CR438" s="376"/>
      <c r="CS438" s="376"/>
      <c r="CT438" s="376"/>
      <c r="CU438" s="376"/>
      <c r="CV438" s="376"/>
      <c r="CW438" s="376"/>
      <c r="CX438" s="376"/>
      <c r="CY438" s="376"/>
      <c r="CZ438" s="376"/>
      <c r="DA438" s="376"/>
      <c r="DB438" s="376"/>
      <c r="DC438" s="376"/>
      <c r="DD438" s="376"/>
      <c r="DE438" s="376"/>
      <c r="DF438" s="376"/>
      <c r="DG438" s="376"/>
      <c r="DH438" s="376"/>
      <c r="DI438" s="376"/>
      <c r="DJ438" s="376"/>
      <c r="DK438" s="376"/>
      <c r="DL438" s="376"/>
      <c r="DM438" s="376"/>
      <c r="DN438" s="376"/>
    </row>
    <row r="439" spans="92:118" s="347" customFormat="1" ht="15" customHeight="1">
      <c r="CN439" s="375"/>
      <c r="CO439" s="376"/>
      <c r="CP439" s="376"/>
      <c r="CQ439" s="376"/>
      <c r="CR439" s="376"/>
      <c r="CS439" s="376"/>
      <c r="CT439" s="376"/>
      <c r="CU439" s="376"/>
      <c r="CV439" s="376"/>
      <c r="CW439" s="376"/>
      <c r="CX439" s="376"/>
      <c r="CY439" s="376"/>
      <c r="CZ439" s="376"/>
      <c r="DA439" s="376"/>
      <c r="DB439" s="376"/>
      <c r="DC439" s="376"/>
      <c r="DD439" s="376"/>
      <c r="DE439" s="376"/>
      <c r="DF439" s="376"/>
      <c r="DG439" s="376"/>
      <c r="DH439" s="376"/>
      <c r="DI439" s="376"/>
      <c r="DJ439" s="376"/>
      <c r="DK439" s="376"/>
      <c r="DL439" s="376"/>
      <c r="DM439" s="376"/>
      <c r="DN439" s="376"/>
    </row>
    <row r="440" spans="92:118" s="347" customFormat="1" ht="15" customHeight="1">
      <c r="CN440" s="375"/>
      <c r="CO440" s="376"/>
      <c r="CP440" s="376"/>
      <c r="CQ440" s="376"/>
      <c r="CR440" s="376"/>
      <c r="CS440" s="376"/>
      <c r="CT440" s="376"/>
      <c r="CU440" s="376"/>
      <c r="CV440" s="376"/>
      <c r="CW440" s="376"/>
      <c r="CX440" s="376"/>
      <c r="CY440" s="376"/>
      <c r="CZ440" s="376"/>
      <c r="DA440" s="376"/>
      <c r="DB440" s="376"/>
      <c r="DC440" s="376"/>
      <c r="DD440" s="376"/>
      <c r="DE440" s="376"/>
      <c r="DF440" s="376"/>
      <c r="DG440" s="376"/>
      <c r="DH440" s="376"/>
      <c r="DI440" s="376"/>
      <c r="DJ440" s="376"/>
      <c r="DK440" s="376"/>
      <c r="DL440" s="376"/>
      <c r="DM440" s="376"/>
      <c r="DN440" s="376"/>
    </row>
    <row r="441" spans="92:118" s="347" customFormat="1" ht="15" customHeight="1">
      <c r="CN441" s="375"/>
      <c r="CO441" s="376"/>
      <c r="CP441" s="376"/>
      <c r="CQ441" s="376"/>
      <c r="CR441" s="376"/>
      <c r="CS441" s="376"/>
      <c r="CT441" s="376"/>
      <c r="CU441" s="376"/>
      <c r="CV441" s="376"/>
      <c r="CW441" s="376"/>
      <c r="CX441" s="376"/>
      <c r="CY441" s="376"/>
      <c r="CZ441" s="376"/>
      <c r="DA441" s="376"/>
      <c r="DB441" s="376"/>
      <c r="DC441" s="376"/>
      <c r="DD441" s="376"/>
      <c r="DE441" s="376"/>
      <c r="DF441" s="376"/>
      <c r="DG441" s="376"/>
      <c r="DH441" s="376"/>
      <c r="DI441" s="376"/>
      <c r="DJ441" s="376"/>
      <c r="DK441" s="376"/>
      <c r="DL441" s="376"/>
      <c r="DM441" s="376"/>
      <c r="DN441" s="376"/>
    </row>
    <row r="442" spans="92:118" s="347" customFormat="1" ht="15" customHeight="1">
      <c r="CN442" s="375"/>
      <c r="CO442" s="376"/>
      <c r="CP442" s="376"/>
      <c r="CQ442" s="376"/>
      <c r="CR442" s="376"/>
      <c r="CS442" s="376"/>
      <c r="CT442" s="376"/>
      <c r="CU442" s="376"/>
      <c r="CV442" s="376"/>
      <c r="CW442" s="376"/>
      <c r="CX442" s="376"/>
      <c r="CY442" s="376"/>
      <c r="CZ442" s="376"/>
      <c r="DA442" s="376"/>
      <c r="DB442" s="376"/>
      <c r="DC442" s="376"/>
      <c r="DD442" s="376"/>
      <c r="DE442" s="376"/>
      <c r="DF442" s="376"/>
      <c r="DG442" s="376"/>
      <c r="DH442" s="376"/>
      <c r="DI442" s="376"/>
      <c r="DJ442" s="376"/>
      <c r="DK442" s="376"/>
      <c r="DL442" s="376"/>
      <c r="DM442" s="376"/>
      <c r="DN442" s="376"/>
    </row>
    <row r="443" spans="92:118" s="347" customFormat="1" ht="15" customHeight="1">
      <c r="CN443" s="375"/>
      <c r="CO443" s="376"/>
      <c r="CP443" s="376"/>
      <c r="CQ443" s="376"/>
      <c r="CR443" s="376"/>
      <c r="CS443" s="376"/>
      <c r="CT443" s="376"/>
      <c r="CU443" s="376"/>
      <c r="CV443" s="376"/>
      <c r="CW443" s="376"/>
      <c r="CX443" s="376"/>
      <c r="CY443" s="376"/>
      <c r="CZ443" s="376"/>
      <c r="DA443" s="376"/>
      <c r="DB443" s="376"/>
      <c r="DC443" s="376"/>
      <c r="DD443" s="376"/>
      <c r="DE443" s="376"/>
      <c r="DF443" s="376"/>
      <c r="DG443" s="376"/>
      <c r="DH443" s="376"/>
      <c r="DI443" s="376"/>
      <c r="DJ443" s="376"/>
      <c r="DK443" s="376"/>
      <c r="DL443" s="376"/>
      <c r="DM443" s="376"/>
      <c r="DN443" s="376"/>
    </row>
    <row r="444" spans="92:118" s="347" customFormat="1" ht="15" customHeight="1">
      <c r="CN444" s="375"/>
      <c r="CO444" s="376"/>
      <c r="CP444" s="376"/>
      <c r="CQ444" s="376"/>
      <c r="CR444" s="376"/>
      <c r="CS444" s="376"/>
      <c r="CT444" s="376"/>
      <c r="CU444" s="376"/>
      <c r="CV444" s="376"/>
      <c r="CW444" s="376"/>
      <c r="CX444" s="376"/>
      <c r="CY444" s="376"/>
      <c r="CZ444" s="376"/>
      <c r="DA444" s="376"/>
      <c r="DB444" s="376"/>
      <c r="DC444" s="376"/>
      <c r="DD444" s="376"/>
      <c r="DE444" s="376"/>
      <c r="DF444" s="376"/>
      <c r="DG444" s="376"/>
      <c r="DH444" s="376"/>
      <c r="DI444" s="376"/>
      <c r="DJ444" s="376"/>
      <c r="DK444" s="376"/>
      <c r="DL444" s="376"/>
      <c r="DM444" s="376"/>
      <c r="DN444" s="376"/>
    </row>
    <row r="445" spans="92:118" s="347" customFormat="1" ht="15" customHeight="1">
      <c r="CN445" s="375"/>
      <c r="CO445" s="376"/>
      <c r="CP445" s="376"/>
      <c r="CQ445" s="376"/>
      <c r="CR445" s="376"/>
      <c r="CS445" s="376"/>
      <c r="CT445" s="376"/>
      <c r="CU445" s="376"/>
      <c r="CV445" s="376"/>
      <c r="CW445" s="376"/>
      <c r="CX445" s="376"/>
      <c r="CY445" s="376"/>
      <c r="CZ445" s="376"/>
      <c r="DA445" s="376"/>
      <c r="DB445" s="376"/>
      <c r="DC445" s="376"/>
      <c r="DD445" s="376"/>
      <c r="DE445" s="376"/>
      <c r="DF445" s="376"/>
      <c r="DG445" s="376"/>
      <c r="DH445" s="376"/>
      <c r="DI445" s="376"/>
      <c r="DJ445" s="376"/>
      <c r="DK445" s="376"/>
      <c r="DL445" s="376"/>
      <c r="DM445" s="376"/>
      <c r="DN445" s="376"/>
    </row>
    <row r="446" spans="92:118" s="347" customFormat="1" ht="15" customHeight="1">
      <c r="CN446" s="375"/>
      <c r="CO446" s="376"/>
      <c r="CP446" s="376"/>
      <c r="CQ446" s="376"/>
      <c r="CR446" s="376"/>
      <c r="CS446" s="376"/>
      <c r="CT446" s="376"/>
      <c r="CU446" s="376"/>
      <c r="CV446" s="376"/>
      <c r="CW446" s="376"/>
      <c r="CX446" s="376"/>
      <c r="CY446" s="376"/>
      <c r="CZ446" s="376"/>
      <c r="DA446" s="376"/>
      <c r="DB446" s="376"/>
      <c r="DC446" s="376"/>
      <c r="DD446" s="376"/>
      <c r="DE446" s="376"/>
      <c r="DF446" s="376"/>
      <c r="DG446" s="376"/>
      <c r="DH446" s="376"/>
      <c r="DI446" s="376"/>
      <c r="DJ446" s="376"/>
      <c r="DK446" s="376"/>
      <c r="DL446" s="376"/>
      <c r="DM446" s="376"/>
      <c r="DN446" s="376"/>
    </row>
    <row r="447" spans="92:118" s="347" customFormat="1" ht="15" customHeight="1">
      <c r="CN447" s="375"/>
      <c r="CO447" s="376"/>
      <c r="CP447" s="376"/>
      <c r="CQ447" s="376"/>
      <c r="CR447" s="376"/>
      <c r="CS447" s="376"/>
      <c r="CT447" s="376"/>
      <c r="CU447" s="376"/>
      <c r="CV447" s="376"/>
      <c r="CW447" s="376"/>
      <c r="CX447" s="376"/>
      <c r="CY447" s="376"/>
      <c r="CZ447" s="376"/>
      <c r="DA447" s="376"/>
      <c r="DB447" s="376"/>
      <c r="DC447" s="376"/>
      <c r="DD447" s="376"/>
      <c r="DE447" s="376"/>
      <c r="DF447" s="376"/>
      <c r="DG447" s="376"/>
      <c r="DH447" s="376"/>
      <c r="DI447" s="376"/>
      <c r="DJ447" s="376"/>
      <c r="DK447" s="376"/>
      <c r="DL447" s="376"/>
      <c r="DM447" s="376"/>
      <c r="DN447" s="376"/>
    </row>
    <row r="448" spans="92:118" s="347" customFormat="1" ht="15" customHeight="1">
      <c r="CN448" s="375"/>
      <c r="CO448" s="376"/>
      <c r="CP448" s="376"/>
      <c r="CQ448" s="376"/>
      <c r="CR448" s="376"/>
      <c r="CS448" s="376"/>
      <c r="CT448" s="376"/>
      <c r="CU448" s="376"/>
      <c r="CV448" s="376"/>
      <c r="CW448" s="376"/>
      <c r="CX448" s="376"/>
      <c r="CY448" s="376"/>
      <c r="CZ448" s="376"/>
      <c r="DA448" s="376"/>
      <c r="DB448" s="376"/>
      <c r="DC448" s="376"/>
      <c r="DD448" s="376"/>
      <c r="DE448" s="376"/>
      <c r="DF448" s="376"/>
      <c r="DG448" s="376"/>
      <c r="DH448" s="376"/>
      <c r="DI448" s="376"/>
      <c r="DJ448" s="376"/>
      <c r="DK448" s="376"/>
      <c r="DL448" s="376"/>
      <c r="DM448" s="376"/>
      <c r="DN448" s="376"/>
    </row>
    <row r="449" spans="92:118" s="347" customFormat="1" ht="15" customHeight="1">
      <c r="CN449" s="375"/>
      <c r="CO449" s="376"/>
      <c r="CP449" s="376"/>
      <c r="CQ449" s="376"/>
      <c r="CR449" s="376"/>
      <c r="CS449" s="376"/>
      <c r="CT449" s="376"/>
      <c r="CU449" s="376"/>
      <c r="CV449" s="376"/>
      <c r="CW449" s="376"/>
      <c r="CX449" s="376"/>
      <c r="CY449" s="376"/>
      <c r="CZ449" s="376"/>
      <c r="DA449" s="376"/>
      <c r="DB449" s="376"/>
      <c r="DC449" s="376"/>
      <c r="DD449" s="376"/>
      <c r="DE449" s="376"/>
      <c r="DF449" s="376"/>
      <c r="DG449" s="376"/>
      <c r="DH449" s="376"/>
      <c r="DI449" s="376"/>
      <c r="DJ449" s="376"/>
      <c r="DK449" s="376"/>
      <c r="DL449" s="376"/>
      <c r="DM449" s="376"/>
      <c r="DN449" s="376"/>
    </row>
    <row r="450" spans="92:118" s="347" customFormat="1" ht="15" customHeight="1">
      <c r="CN450" s="375"/>
      <c r="CO450" s="376"/>
      <c r="CP450" s="376"/>
      <c r="CQ450" s="376"/>
      <c r="CR450" s="376"/>
      <c r="CS450" s="376"/>
      <c r="CT450" s="376"/>
      <c r="CU450" s="376"/>
      <c r="CV450" s="376"/>
      <c r="CW450" s="376"/>
      <c r="CX450" s="376"/>
      <c r="CY450" s="376"/>
      <c r="CZ450" s="376"/>
      <c r="DA450" s="376"/>
      <c r="DB450" s="376"/>
      <c r="DC450" s="376"/>
      <c r="DD450" s="376"/>
      <c r="DE450" s="376"/>
      <c r="DF450" s="376"/>
      <c r="DG450" s="376"/>
      <c r="DH450" s="376"/>
      <c r="DI450" s="376"/>
      <c r="DJ450" s="376"/>
      <c r="DK450" s="376"/>
      <c r="DL450" s="376"/>
      <c r="DM450" s="376"/>
      <c r="DN450" s="376"/>
    </row>
    <row r="451" spans="92:118" s="347" customFormat="1" ht="15" customHeight="1">
      <c r="CN451" s="375"/>
      <c r="CO451" s="376"/>
      <c r="CP451" s="376"/>
      <c r="CQ451" s="376"/>
      <c r="CR451" s="376"/>
      <c r="CS451" s="376"/>
      <c r="CT451" s="376"/>
      <c r="CU451" s="376"/>
      <c r="CV451" s="376"/>
      <c r="CW451" s="376"/>
      <c r="CX451" s="376"/>
      <c r="CY451" s="376"/>
      <c r="CZ451" s="376"/>
      <c r="DA451" s="376"/>
      <c r="DB451" s="376"/>
      <c r="DC451" s="376"/>
      <c r="DD451" s="376"/>
      <c r="DE451" s="376"/>
      <c r="DF451" s="376"/>
      <c r="DG451" s="376"/>
      <c r="DH451" s="376"/>
      <c r="DI451" s="376"/>
      <c r="DJ451" s="376"/>
      <c r="DK451" s="376"/>
      <c r="DL451" s="376"/>
      <c r="DM451" s="376"/>
      <c r="DN451" s="376"/>
    </row>
    <row r="452" spans="92:118" s="347" customFormat="1" ht="15" customHeight="1">
      <c r="CN452" s="375"/>
      <c r="CO452" s="376"/>
      <c r="CP452" s="376"/>
      <c r="CQ452" s="376"/>
      <c r="CR452" s="376"/>
      <c r="CS452" s="376"/>
      <c r="CT452" s="376"/>
      <c r="CU452" s="376"/>
      <c r="CV452" s="376"/>
      <c r="CW452" s="376"/>
      <c r="CX452" s="376"/>
      <c r="CY452" s="376"/>
      <c r="CZ452" s="376"/>
      <c r="DA452" s="376"/>
      <c r="DB452" s="376"/>
      <c r="DC452" s="376"/>
      <c r="DD452" s="376"/>
      <c r="DE452" s="376"/>
      <c r="DF452" s="376"/>
      <c r="DG452" s="376"/>
      <c r="DH452" s="376"/>
      <c r="DI452" s="376"/>
      <c r="DJ452" s="376"/>
      <c r="DK452" s="376"/>
      <c r="DL452" s="376"/>
      <c r="DM452" s="376"/>
      <c r="DN452" s="376"/>
    </row>
    <row r="453" spans="92:118" s="347" customFormat="1" ht="15" customHeight="1">
      <c r="CN453" s="375"/>
      <c r="CO453" s="376"/>
      <c r="CP453" s="376"/>
      <c r="CQ453" s="376"/>
      <c r="CR453" s="376"/>
      <c r="CS453" s="376"/>
      <c r="CT453" s="376"/>
      <c r="CU453" s="376"/>
      <c r="CV453" s="376"/>
      <c r="CW453" s="376"/>
      <c r="CX453" s="376"/>
      <c r="CY453" s="376"/>
      <c r="CZ453" s="376"/>
      <c r="DA453" s="376"/>
      <c r="DB453" s="376"/>
      <c r="DC453" s="376"/>
      <c r="DD453" s="376"/>
      <c r="DE453" s="376"/>
      <c r="DF453" s="376"/>
      <c r="DG453" s="376"/>
      <c r="DH453" s="376"/>
      <c r="DI453" s="376"/>
      <c r="DJ453" s="376"/>
      <c r="DK453" s="376"/>
      <c r="DL453" s="376"/>
      <c r="DM453" s="376"/>
      <c r="DN453" s="376"/>
    </row>
    <row r="454" spans="92:118" s="347" customFormat="1" ht="15" customHeight="1">
      <c r="CN454" s="375"/>
      <c r="CO454" s="376"/>
      <c r="CP454" s="376"/>
      <c r="CQ454" s="376"/>
      <c r="CR454" s="376"/>
      <c r="CS454" s="376"/>
      <c r="CT454" s="376"/>
      <c r="CU454" s="376"/>
      <c r="CV454" s="376"/>
      <c r="CW454" s="376"/>
      <c r="CX454" s="376"/>
      <c r="CY454" s="376"/>
      <c r="CZ454" s="376"/>
      <c r="DA454" s="376"/>
      <c r="DB454" s="376"/>
      <c r="DC454" s="376"/>
      <c r="DD454" s="376"/>
      <c r="DE454" s="376"/>
      <c r="DF454" s="376"/>
      <c r="DG454" s="376"/>
      <c r="DH454" s="376"/>
      <c r="DI454" s="376"/>
      <c r="DJ454" s="376"/>
      <c r="DK454" s="376"/>
      <c r="DL454" s="376"/>
      <c r="DM454" s="376"/>
      <c r="DN454" s="376"/>
    </row>
    <row r="455" spans="92:118" s="347" customFormat="1" ht="15" customHeight="1">
      <c r="CN455" s="375"/>
      <c r="CO455" s="376"/>
      <c r="CP455" s="376"/>
      <c r="CQ455" s="376"/>
      <c r="CR455" s="376"/>
      <c r="CS455" s="376"/>
      <c r="CT455" s="376"/>
      <c r="CU455" s="376"/>
      <c r="CV455" s="376"/>
      <c r="CW455" s="376"/>
      <c r="CX455" s="376"/>
      <c r="CY455" s="376"/>
      <c r="CZ455" s="376"/>
      <c r="DA455" s="376"/>
      <c r="DB455" s="376"/>
      <c r="DC455" s="376"/>
      <c r="DD455" s="376"/>
      <c r="DE455" s="376"/>
      <c r="DF455" s="376"/>
      <c r="DG455" s="376"/>
      <c r="DH455" s="376"/>
      <c r="DI455" s="376"/>
      <c r="DJ455" s="376"/>
      <c r="DK455" s="376"/>
      <c r="DL455" s="376"/>
      <c r="DM455" s="376"/>
      <c r="DN455" s="376"/>
    </row>
    <row r="456" spans="92:118" s="347" customFormat="1" ht="15" customHeight="1">
      <c r="CN456" s="375"/>
      <c r="CO456" s="376"/>
      <c r="CP456" s="376"/>
      <c r="CQ456" s="376"/>
      <c r="CR456" s="376"/>
      <c r="CS456" s="376"/>
      <c r="CT456" s="376"/>
      <c r="CU456" s="376"/>
      <c r="CV456" s="376"/>
      <c r="CW456" s="376"/>
      <c r="CX456" s="376"/>
      <c r="CY456" s="376"/>
      <c r="CZ456" s="376"/>
      <c r="DA456" s="376"/>
      <c r="DB456" s="376"/>
      <c r="DC456" s="376"/>
      <c r="DD456" s="376"/>
      <c r="DE456" s="376"/>
      <c r="DF456" s="376"/>
      <c r="DG456" s="376"/>
      <c r="DH456" s="376"/>
      <c r="DI456" s="376"/>
      <c r="DJ456" s="376"/>
      <c r="DK456" s="376"/>
      <c r="DL456" s="376"/>
      <c r="DM456" s="376"/>
      <c r="DN456" s="376"/>
    </row>
    <row r="457" spans="92:118" s="347" customFormat="1" ht="15" customHeight="1">
      <c r="CN457" s="375"/>
      <c r="CO457" s="376"/>
      <c r="CP457" s="376"/>
      <c r="CQ457" s="376"/>
      <c r="CR457" s="376"/>
      <c r="CS457" s="376"/>
      <c r="CT457" s="376"/>
      <c r="CU457" s="376"/>
      <c r="CV457" s="376"/>
      <c r="CW457" s="376"/>
      <c r="CX457" s="376"/>
      <c r="CY457" s="376"/>
      <c r="CZ457" s="376"/>
      <c r="DA457" s="376"/>
      <c r="DB457" s="376"/>
      <c r="DC457" s="376"/>
      <c r="DD457" s="376"/>
      <c r="DE457" s="376"/>
      <c r="DF457" s="376"/>
      <c r="DG457" s="376"/>
      <c r="DH457" s="376"/>
      <c r="DI457" s="376"/>
      <c r="DJ457" s="376"/>
      <c r="DK457" s="376"/>
      <c r="DL457" s="376"/>
      <c r="DM457" s="376"/>
      <c r="DN457" s="376"/>
    </row>
    <row r="458" spans="92:118" s="347" customFormat="1" ht="15" customHeight="1">
      <c r="CN458" s="375"/>
      <c r="CO458" s="376"/>
      <c r="CP458" s="376"/>
      <c r="CQ458" s="376"/>
      <c r="CR458" s="376"/>
      <c r="CS458" s="376"/>
      <c r="CT458" s="376"/>
      <c r="CU458" s="376"/>
      <c r="CV458" s="376"/>
      <c r="CW458" s="376"/>
      <c r="CX458" s="376"/>
      <c r="CY458" s="376"/>
      <c r="CZ458" s="376"/>
      <c r="DA458" s="376"/>
      <c r="DB458" s="376"/>
      <c r="DC458" s="376"/>
      <c r="DD458" s="376"/>
      <c r="DE458" s="376"/>
      <c r="DF458" s="376"/>
      <c r="DG458" s="376"/>
      <c r="DH458" s="376"/>
      <c r="DI458" s="376"/>
      <c r="DJ458" s="376"/>
      <c r="DK458" s="376"/>
      <c r="DL458" s="376"/>
      <c r="DM458" s="376"/>
      <c r="DN458" s="376"/>
    </row>
    <row r="459" spans="92:118" s="347" customFormat="1" ht="15" customHeight="1">
      <c r="CN459" s="375"/>
      <c r="CO459" s="376"/>
      <c r="CP459" s="376"/>
      <c r="CQ459" s="376"/>
      <c r="CR459" s="376"/>
      <c r="CS459" s="376"/>
      <c r="CT459" s="376"/>
      <c r="CU459" s="376"/>
      <c r="CV459" s="376"/>
      <c r="CW459" s="376"/>
      <c r="CX459" s="376"/>
      <c r="CY459" s="376"/>
      <c r="CZ459" s="376"/>
      <c r="DA459" s="376"/>
      <c r="DB459" s="376"/>
      <c r="DC459" s="376"/>
      <c r="DD459" s="376"/>
      <c r="DE459" s="376"/>
      <c r="DF459" s="376"/>
      <c r="DG459" s="376"/>
      <c r="DH459" s="376"/>
      <c r="DI459" s="376"/>
      <c r="DJ459" s="376"/>
      <c r="DK459" s="376"/>
      <c r="DL459" s="376"/>
      <c r="DM459" s="376"/>
      <c r="DN459" s="376"/>
    </row>
    <row r="460" spans="92:118" s="347" customFormat="1" ht="15" customHeight="1">
      <c r="CN460" s="375"/>
      <c r="CO460" s="376"/>
      <c r="CP460" s="376"/>
      <c r="CQ460" s="376"/>
      <c r="CR460" s="376"/>
      <c r="CS460" s="376"/>
      <c r="CT460" s="376"/>
      <c r="CU460" s="376"/>
      <c r="CV460" s="376"/>
      <c r="CW460" s="376"/>
      <c r="CX460" s="376"/>
      <c r="CY460" s="376"/>
      <c r="CZ460" s="376"/>
      <c r="DA460" s="376"/>
      <c r="DB460" s="376"/>
      <c r="DC460" s="376"/>
      <c r="DD460" s="376"/>
      <c r="DE460" s="376"/>
      <c r="DF460" s="376"/>
      <c r="DG460" s="376"/>
      <c r="DH460" s="376"/>
      <c r="DI460" s="376"/>
      <c r="DJ460" s="376"/>
      <c r="DK460" s="376"/>
      <c r="DL460" s="376"/>
      <c r="DM460" s="376"/>
      <c r="DN460" s="376"/>
    </row>
    <row r="461" spans="92:118" s="347" customFormat="1" ht="15" customHeight="1">
      <c r="CN461" s="375"/>
      <c r="CO461" s="376"/>
      <c r="CP461" s="376"/>
      <c r="CQ461" s="376"/>
      <c r="CR461" s="376"/>
      <c r="CS461" s="376"/>
      <c r="CT461" s="376"/>
      <c r="CU461" s="376"/>
      <c r="CV461" s="376"/>
      <c r="CW461" s="376"/>
      <c r="CX461" s="376"/>
      <c r="CY461" s="376"/>
      <c r="CZ461" s="376"/>
      <c r="DA461" s="376"/>
      <c r="DB461" s="376"/>
      <c r="DC461" s="376"/>
      <c r="DD461" s="376"/>
      <c r="DE461" s="376"/>
      <c r="DF461" s="376"/>
      <c r="DG461" s="376"/>
      <c r="DH461" s="376"/>
      <c r="DI461" s="376"/>
      <c r="DJ461" s="376"/>
      <c r="DK461" s="376"/>
      <c r="DL461" s="376"/>
      <c r="DM461" s="376"/>
      <c r="DN461" s="376"/>
    </row>
    <row r="462" spans="92:118" s="347" customFormat="1" ht="15" customHeight="1">
      <c r="CN462" s="375"/>
      <c r="CO462" s="376"/>
      <c r="CP462" s="376"/>
      <c r="CQ462" s="376"/>
      <c r="CR462" s="376"/>
      <c r="CS462" s="376"/>
      <c r="CT462" s="376"/>
      <c r="CU462" s="376"/>
      <c r="CV462" s="376"/>
      <c r="CW462" s="376"/>
      <c r="CX462" s="376"/>
      <c r="CY462" s="376"/>
      <c r="CZ462" s="376"/>
      <c r="DA462" s="376"/>
      <c r="DB462" s="376"/>
      <c r="DC462" s="376"/>
      <c r="DD462" s="376"/>
      <c r="DE462" s="376"/>
      <c r="DF462" s="376"/>
      <c r="DG462" s="376"/>
      <c r="DH462" s="376"/>
      <c r="DI462" s="376"/>
      <c r="DJ462" s="376"/>
      <c r="DK462" s="376"/>
      <c r="DL462" s="376"/>
      <c r="DM462" s="376"/>
      <c r="DN462" s="376"/>
    </row>
    <row r="463" spans="92:118" s="347" customFormat="1" ht="15" customHeight="1">
      <c r="CN463" s="375"/>
      <c r="CO463" s="376"/>
      <c r="CP463" s="376"/>
      <c r="CQ463" s="376"/>
      <c r="CR463" s="376"/>
      <c r="CS463" s="376"/>
      <c r="CT463" s="376"/>
      <c r="CU463" s="376"/>
      <c r="CV463" s="376"/>
      <c r="CW463" s="376"/>
      <c r="CX463" s="376"/>
      <c r="CY463" s="376"/>
      <c r="CZ463" s="376"/>
      <c r="DA463" s="376"/>
      <c r="DB463" s="376"/>
      <c r="DC463" s="376"/>
      <c r="DD463" s="376"/>
      <c r="DE463" s="376"/>
      <c r="DF463" s="376"/>
      <c r="DG463" s="376"/>
      <c r="DH463" s="376"/>
      <c r="DI463" s="376"/>
      <c r="DJ463" s="376"/>
      <c r="DK463" s="376"/>
      <c r="DL463" s="376"/>
      <c r="DM463" s="376"/>
      <c r="DN463" s="376"/>
    </row>
    <row r="464" spans="92:118" s="347" customFormat="1" ht="15" customHeight="1">
      <c r="CN464" s="375"/>
      <c r="CO464" s="376"/>
      <c r="CP464" s="376"/>
      <c r="CQ464" s="376"/>
      <c r="CR464" s="376"/>
      <c r="CS464" s="376"/>
      <c r="CT464" s="376"/>
      <c r="CU464" s="376"/>
      <c r="CV464" s="376"/>
      <c r="CW464" s="376"/>
      <c r="CX464" s="376"/>
      <c r="CY464" s="376"/>
      <c r="CZ464" s="376"/>
      <c r="DA464" s="376"/>
      <c r="DB464" s="376"/>
      <c r="DC464" s="376"/>
      <c r="DD464" s="376"/>
      <c r="DE464" s="376"/>
      <c r="DF464" s="376"/>
      <c r="DG464" s="376"/>
      <c r="DH464" s="376"/>
      <c r="DI464" s="376"/>
      <c r="DJ464" s="376"/>
      <c r="DK464" s="376"/>
      <c r="DL464" s="376"/>
      <c r="DM464" s="376"/>
      <c r="DN464" s="376"/>
    </row>
    <row r="465" spans="92:118" s="347" customFormat="1" ht="15" customHeight="1">
      <c r="CN465" s="375"/>
      <c r="CO465" s="376"/>
      <c r="CP465" s="376"/>
      <c r="CQ465" s="376"/>
      <c r="CR465" s="376"/>
      <c r="CS465" s="376"/>
      <c r="CT465" s="376"/>
      <c r="CU465" s="376"/>
      <c r="CV465" s="376"/>
      <c r="CW465" s="376"/>
      <c r="CX465" s="376"/>
      <c r="CY465" s="376"/>
      <c r="CZ465" s="376"/>
      <c r="DA465" s="376"/>
      <c r="DB465" s="376"/>
      <c r="DC465" s="376"/>
      <c r="DD465" s="376"/>
      <c r="DE465" s="376"/>
      <c r="DF465" s="376"/>
      <c r="DG465" s="376"/>
      <c r="DH465" s="376"/>
      <c r="DI465" s="376"/>
      <c r="DJ465" s="376"/>
      <c r="DK465" s="376"/>
      <c r="DL465" s="376"/>
      <c r="DM465" s="376"/>
      <c r="DN465" s="376"/>
    </row>
    <row r="466" spans="92:118" s="347" customFormat="1" ht="15" customHeight="1">
      <c r="CN466" s="375"/>
      <c r="CO466" s="376"/>
      <c r="CP466" s="376"/>
      <c r="CQ466" s="376"/>
      <c r="CR466" s="376"/>
      <c r="CS466" s="376"/>
      <c r="CT466" s="376"/>
      <c r="CU466" s="376"/>
      <c r="CV466" s="376"/>
      <c r="CW466" s="376"/>
      <c r="CX466" s="376"/>
      <c r="CY466" s="376"/>
      <c r="CZ466" s="376"/>
      <c r="DA466" s="376"/>
      <c r="DB466" s="376"/>
      <c r="DC466" s="376"/>
      <c r="DD466" s="376"/>
      <c r="DE466" s="376"/>
      <c r="DF466" s="376"/>
      <c r="DG466" s="376"/>
      <c r="DH466" s="376"/>
      <c r="DI466" s="376"/>
      <c r="DJ466" s="376"/>
      <c r="DK466" s="376"/>
      <c r="DL466" s="376"/>
      <c r="DM466" s="376"/>
      <c r="DN466" s="376"/>
    </row>
    <row r="467" spans="92:118" s="347" customFormat="1" ht="15" customHeight="1">
      <c r="CN467" s="375"/>
      <c r="CO467" s="376"/>
      <c r="CP467" s="376"/>
      <c r="CQ467" s="376"/>
      <c r="CR467" s="376"/>
      <c r="CS467" s="376"/>
      <c r="CT467" s="376"/>
      <c r="CU467" s="376"/>
      <c r="CV467" s="376"/>
      <c r="CW467" s="376"/>
      <c r="CX467" s="376"/>
      <c r="CY467" s="376"/>
      <c r="CZ467" s="376"/>
      <c r="DA467" s="376"/>
      <c r="DB467" s="376"/>
      <c r="DC467" s="376"/>
      <c r="DD467" s="376"/>
      <c r="DE467" s="376"/>
      <c r="DF467" s="376"/>
      <c r="DG467" s="376"/>
      <c r="DH467" s="376"/>
      <c r="DI467" s="376"/>
      <c r="DJ467" s="376"/>
      <c r="DK467" s="376"/>
      <c r="DL467" s="376"/>
      <c r="DM467" s="376"/>
      <c r="DN467" s="376"/>
    </row>
    <row r="468" spans="92:118" s="347" customFormat="1" ht="15" customHeight="1">
      <c r="CN468" s="375"/>
      <c r="CO468" s="376"/>
      <c r="CP468" s="376"/>
      <c r="CQ468" s="376"/>
      <c r="CR468" s="376"/>
      <c r="CS468" s="376"/>
      <c r="CT468" s="376"/>
      <c r="CU468" s="376"/>
      <c r="CV468" s="376"/>
      <c r="CW468" s="376"/>
      <c r="CX468" s="376"/>
      <c r="CY468" s="376"/>
      <c r="CZ468" s="376"/>
      <c r="DA468" s="376"/>
      <c r="DB468" s="376"/>
      <c r="DC468" s="376"/>
      <c r="DD468" s="376"/>
      <c r="DE468" s="376"/>
      <c r="DF468" s="376"/>
      <c r="DG468" s="376"/>
      <c r="DH468" s="376"/>
      <c r="DI468" s="376"/>
      <c r="DJ468" s="376"/>
      <c r="DK468" s="376"/>
      <c r="DL468" s="376"/>
      <c r="DM468" s="376"/>
      <c r="DN468" s="376"/>
    </row>
    <row r="469" spans="92:118" s="347" customFormat="1" ht="15" customHeight="1">
      <c r="CN469" s="375"/>
      <c r="CO469" s="376"/>
      <c r="CP469" s="376"/>
      <c r="CQ469" s="376"/>
      <c r="CR469" s="376"/>
      <c r="CS469" s="376"/>
      <c r="CT469" s="376"/>
      <c r="CU469" s="376"/>
      <c r="CV469" s="376"/>
      <c r="CW469" s="376"/>
      <c r="CX469" s="376"/>
      <c r="CY469" s="376"/>
      <c r="CZ469" s="376"/>
      <c r="DA469" s="376"/>
      <c r="DB469" s="376"/>
      <c r="DC469" s="376"/>
      <c r="DD469" s="376"/>
      <c r="DE469" s="376"/>
      <c r="DF469" s="376"/>
      <c r="DG469" s="376"/>
      <c r="DH469" s="376"/>
      <c r="DI469" s="376"/>
      <c r="DJ469" s="376"/>
      <c r="DK469" s="376"/>
      <c r="DL469" s="376"/>
      <c r="DM469" s="376"/>
      <c r="DN469" s="376"/>
    </row>
    <row r="470" spans="92:118" s="347" customFormat="1" ht="15" customHeight="1">
      <c r="CN470" s="375"/>
      <c r="CO470" s="376"/>
      <c r="CP470" s="376"/>
      <c r="CQ470" s="376"/>
      <c r="CR470" s="376"/>
      <c r="CS470" s="376"/>
      <c r="CT470" s="376"/>
      <c r="CU470" s="376"/>
      <c r="CV470" s="376"/>
      <c r="CW470" s="376"/>
      <c r="CX470" s="376"/>
      <c r="CY470" s="376"/>
      <c r="CZ470" s="376"/>
      <c r="DA470" s="376"/>
      <c r="DB470" s="376"/>
      <c r="DC470" s="376"/>
      <c r="DD470" s="376"/>
      <c r="DE470" s="376"/>
      <c r="DF470" s="376"/>
      <c r="DG470" s="376"/>
      <c r="DH470" s="376"/>
      <c r="DI470" s="376"/>
      <c r="DJ470" s="376"/>
      <c r="DK470" s="376"/>
      <c r="DL470" s="376"/>
      <c r="DM470" s="376"/>
      <c r="DN470" s="376"/>
    </row>
    <row r="471" spans="92:118" s="347" customFormat="1" ht="15" customHeight="1">
      <c r="CN471" s="375"/>
      <c r="CO471" s="376"/>
      <c r="CP471" s="376"/>
      <c r="CQ471" s="376"/>
      <c r="CR471" s="376"/>
      <c r="CS471" s="376"/>
      <c r="CT471" s="376"/>
      <c r="CU471" s="376"/>
      <c r="CV471" s="376"/>
      <c r="CW471" s="376"/>
      <c r="CX471" s="376"/>
      <c r="CY471" s="376"/>
      <c r="CZ471" s="376"/>
      <c r="DA471" s="376"/>
      <c r="DB471" s="376"/>
      <c r="DC471" s="376"/>
      <c r="DD471" s="376"/>
      <c r="DE471" s="376"/>
      <c r="DF471" s="376"/>
      <c r="DG471" s="376"/>
      <c r="DH471" s="376"/>
      <c r="DI471" s="376"/>
      <c r="DJ471" s="376"/>
      <c r="DK471" s="376"/>
      <c r="DL471" s="376"/>
      <c r="DM471" s="376"/>
      <c r="DN471" s="376"/>
    </row>
    <row r="472" spans="92:118" s="347" customFormat="1" ht="15" customHeight="1">
      <c r="CN472" s="375"/>
      <c r="CO472" s="376"/>
      <c r="CP472" s="376"/>
      <c r="CQ472" s="376"/>
      <c r="CR472" s="376"/>
      <c r="CS472" s="376"/>
      <c r="CT472" s="376"/>
      <c r="CU472" s="376"/>
      <c r="CV472" s="376"/>
      <c r="CW472" s="376"/>
      <c r="CX472" s="376"/>
      <c r="CY472" s="376"/>
      <c r="CZ472" s="376"/>
      <c r="DA472" s="376"/>
      <c r="DB472" s="376"/>
      <c r="DC472" s="376"/>
      <c r="DD472" s="376"/>
      <c r="DE472" s="376"/>
      <c r="DF472" s="376"/>
      <c r="DG472" s="376"/>
      <c r="DH472" s="376"/>
      <c r="DI472" s="376"/>
      <c r="DJ472" s="376"/>
      <c r="DK472" s="376"/>
      <c r="DL472" s="376"/>
      <c r="DM472" s="376"/>
      <c r="DN472" s="376"/>
    </row>
    <row r="473" spans="92:118" s="347" customFormat="1" ht="15" customHeight="1">
      <c r="CN473" s="375"/>
      <c r="CO473" s="376"/>
      <c r="CP473" s="376"/>
      <c r="CQ473" s="376"/>
      <c r="CR473" s="376"/>
      <c r="CS473" s="376"/>
      <c r="CT473" s="376"/>
      <c r="CU473" s="376"/>
      <c r="CV473" s="376"/>
      <c r="CW473" s="376"/>
      <c r="CX473" s="376"/>
      <c r="CY473" s="376"/>
      <c r="CZ473" s="376"/>
      <c r="DA473" s="376"/>
      <c r="DB473" s="376"/>
      <c r="DC473" s="376"/>
      <c r="DD473" s="376"/>
      <c r="DE473" s="376"/>
      <c r="DF473" s="376"/>
      <c r="DG473" s="376"/>
      <c r="DH473" s="376"/>
      <c r="DI473" s="376"/>
      <c r="DJ473" s="376"/>
      <c r="DK473" s="376"/>
      <c r="DL473" s="376"/>
      <c r="DM473" s="376"/>
      <c r="DN473" s="376"/>
    </row>
    <row r="474" spans="92:118" s="347" customFormat="1" ht="15" customHeight="1">
      <c r="CN474" s="375"/>
      <c r="CO474" s="376"/>
      <c r="CP474" s="376"/>
      <c r="CQ474" s="376"/>
      <c r="CR474" s="376"/>
      <c r="CS474" s="376"/>
      <c r="CT474" s="376"/>
      <c r="CU474" s="376"/>
      <c r="CV474" s="376"/>
      <c r="CW474" s="376"/>
      <c r="CX474" s="376"/>
      <c r="CY474" s="376"/>
      <c r="CZ474" s="376"/>
      <c r="DA474" s="376"/>
      <c r="DB474" s="376"/>
      <c r="DC474" s="376"/>
      <c r="DD474" s="376"/>
      <c r="DE474" s="376"/>
      <c r="DF474" s="376"/>
      <c r="DG474" s="376"/>
      <c r="DH474" s="376"/>
      <c r="DI474" s="376"/>
      <c r="DJ474" s="376"/>
      <c r="DK474" s="376"/>
      <c r="DL474" s="376"/>
      <c r="DM474" s="376"/>
      <c r="DN474" s="376"/>
    </row>
    <row r="475" spans="92:118" s="347" customFormat="1" ht="15" customHeight="1">
      <c r="CN475" s="375"/>
      <c r="CO475" s="376"/>
      <c r="CP475" s="376"/>
      <c r="CQ475" s="376"/>
      <c r="CR475" s="376"/>
      <c r="CS475" s="376"/>
      <c r="CT475" s="376"/>
      <c r="CU475" s="376"/>
      <c r="CV475" s="376"/>
      <c r="CW475" s="376"/>
      <c r="CX475" s="376"/>
      <c r="CY475" s="376"/>
      <c r="CZ475" s="376"/>
      <c r="DA475" s="376"/>
      <c r="DB475" s="376"/>
      <c r="DC475" s="376"/>
      <c r="DD475" s="376"/>
      <c r="DE475" s="376"/>
      <c r="DF475" s="376"/>
      <c r="DG475" s="376"/>
      <c r="DH475" s="376"/>
      <c r="DI475" s="376"/>
      <c r="DJ475" s="376"/>
      <c r="DK475" s="376"/>
      <c r="DL475" s="376"/>
      <c r="DM475" s="376"/>
      <c r="DN475" s="376"/>
    </row>
    <row r="476" spans="92:118" s="347" customFormat="1" ht="15" customHeight="1">
      <c r="CN476" s="375"/>
      <c r="CO476" s="376"/>
      <c r="CP476" s="376"/>
      <c r="CQ476" s="376"/>
      <c r="CR476" s="376"/>
      <c r="CS476" s="376"/>
      <c r="CT476" s="376"/>
      <c r="CU476" s="376"/>
      <c r="CV476" s="376"/>
      <c r="CW476" s="376"/>
      <c r="CX476" s="376"/>
      <c r="CY476" s="376"/>
      <c r="CZ476" s="376"/>
      <c r="DA476" s="376"/>
      <c r="DB476" s="376"/>
      <c r="DC476" s="376"/>
      <c r="DD476" s="376"/>
      <c r="DE476" s="376"/>
      <c r="DF476" s="376"/>
      <c r="DG476" s="376"/>
      <c r="DH476" s="376"/>
      <c r="DI476" s="376"/>
      <c r="DJ476" s="376"/>
      <c r="DK476" s="376"/>
      <c r="DL476" s="376"/>
      <c r="DM476" s="376"/>
      <c r="DN476" s="376"/>
    </row>
    <row r="477" spans="92:118" s="347" customFormat="1" ht="15" customHeight="1">
      <c r="CN477" s="375"/>
      <c r="CO477" s="376"/>
      <c r="CP477" s="376"/>
      <c r="CQ477" s="376"/>
      <c r="CR477" s="376"/>
      <c r="CS477" s="376"/>
      <c r="CT477" s="376"/>
      <c r="CU477" s="376"/>
      <c r="CV477" s="376"/>
      <c r="CW477" s="376"/>
      <c r="CX477" s="376"/>
      <c r="CY477" s="376"/>
      <c r="CZ477" s="376"/>
      <c r="DA477" s="376"/>
      <c r="DB477" s="376"/>
      <c r="DC477" s="376"/>
      <c r="DD477" s="376"/>
      <c r="DE477" s="376"/>
      <c r="DF477" s="376"/>
      <c r="DG477" s="376"/>
      <c r="DH477" s="376"/>
      <c r="DI477" s="376"/>
      <c r="DJ477" s="376"/>
      <c r="DK477" s="376"/>
      <c r="DL477" s="376"/>
      <c r="DM477" s="376"/>
      <c r="DN477" s="376"/>
    </row>
    <row r="478" spans="92:118" s="347" customFormat="1" ht="15" customHeight="1">
      <c r="CN478" s="375"/>
      <c r="CO478" s="376"/>
      <c r="CP478" s="376"/>
      <c r="CQ478" s="376"/>
      <c r="CR478" s="376"/>
      <c r="CS478" s="376"/>
      <c r="CT478" s="376"/>
      <c r="CU478" s="376"/>
      <c r="CV478" s="376"/>
      <c r="CW478" s="376"/>
      <c r="CX478" s="376"/>
      <c r="CY478" s="376"/>
      <c r="CZ478" s="376"/>
      <c r="DA478" s="376"/>
      <c r="DB478" s="376"/>
      <c r="DC478" s="376"/>
      <c r="DD478" s="376"/>
      <c r="DE478" s="376"/>
      <c r="DF478" s="376"/>
      <c r="DG478" s="376"/>
      <c r="DH478" s="376"/>
      <c r="DI478" s="376"/>
      <c r="DJ478" s="376"/>
      <c r="DK478" s="376"/>
      <c r="DL478" s="376"/>
      <c r="DM478" s="376"/>
      <c r="DN478" s="376"/>
    </row>
    <row r="479" spans="92:118" s="347" customFormat="1" ht="15" customHeight="1">
      <c r="CN479" s="375"/>
      <c r="CO479" s="376"/>
      <c r="CP479" s="376"/>
      <c r="CQ479" s="376"/>
      <c r="CR479" s="376"/>
      <c r="CS479" s="376"/>
      <c r="CT479" s="376"/>
      <c r="CU479" s="376"/>
      <c r="CV479" s="376"/>
      <c r="CW479" s="376"/>
      <c r="CX479" s="376"/>
      <c r="CY479" s="376"/>
      <c r="CZ479" s="376"/>
      <c r="DA479" s="376"/>
      <c r="DB479" s="376"/>
      <c r="DC479" s="376"/>
      <c r="DD479" s="376"/>
      <c r="DE479" s="376"/>
      <c r="DF479" s="376"/>
      <c r="DG479" s="376"/>
      <c r="DH479" s="376"/>
      <c r="DI479" s="376"/>
      <c r="DJ479" s="376"/>
      <c r="DK479" s="376"/>
      <c r="DL479" s="376"/>
      <c r="DM479" s="376"/>
      <c r="DN479" s="376"/>
    </row>
    <row r="480" spans="92:118" s="347" customFormat="1" ht="15" customHeight="1">
      <c r="CN480" s="375"/>
      <c r="CO480" s="376"/>
      <c r="CP480" s="376"/>
      <c r="CQ480" s="376"/>
      <c r="CR480" s="376"/>
      <c r="CS480" s="376"/>
      <c r="CT480" s="376"/>
      <c r="CU480" s="376"/>
      <c r="CV480" s="376"/>
      <c r="CW480" s="376"/>
      <c r="CX480" s="376"/>
      <c r="CY480" s="376"/>
      <c r="CZ480" s="376"/>
      <c r="DA480" s="376"/>
      <c r="DB480" s="376"/>
      <c r="DC480" s="376"/>
      <c r="DD480" s="376"/>
      <c r="DE480" s="376"/>
      <c r="DF480" s="376"/>
      <c r="DG480" s="376"/>
      <c r="DH480" s="376"/>
      <c r="DI480" s="376"/>
      <c r="DJ480" s="376"/>
      <c r="DK480" s="376"/>
      <c r="DL480" s="376"/>
      <c r="DM480" s="376"/>
      <c r="DN480" s="376"/>
    </row>
    <row r="481" spans="92:118" s="347" customFormat="1" ht="15" customHeight="1">
      <c r="CN481" s="375"/>
      <c r="CO481" s="376"/>
      <c r="CP481" s="376"/>
      <c r="CQ481" s="376"/>
      <c r="CR481" s="376"/>
      <c r="CS481" s="376"/>
      <c r="CT481" s="376"/>
      <c r="CU481" s="376"/>
      <c r="CV481" s="376"/>
      <c r="CW481" s="376"/>
      <c r="CX481" s="376"/>
      <c r="CY481" s="376"/>
      <c r="CZ481" s="376"/>
      <c r="DA481" s="376"/>
      <c r="DB481" s="376"/>
      <c r="DC481" s="376"/>
      <c r="DD481" s="376"/>
      <c r="DE481" s="376"/>
      <c r="DF481" s="376"/>
      <c r="DG481" s="376"/>
      <c r="DH481" s="376"/>
      <c r="DI481" s="376"/>
      <c r="DJ481" s="376"/>
      <c r="DK481" s="376"/>
      <c r="DL481" s="376"/>
      <c r="DM481" s="376"/>
      <c r="DN481" s="376"/>
    </row>
    <row r="482" spans="92:118" s="347" customFormat="1" ht="15" customHeight="1">
      <c r="CN482" s="375"/>
      <c r="CO482" s="376"/>
      <c r="CP482" s="376"/>
      <c r="CQ482" s="376"/>
      <c r="CR482" s="376"/>
      <c r="CS482" s="376"/>
      <c r="CT482" s="376"/>
      <c r="CU482" s="376"/>
      <c r="CV482" s="376"/>
      <c r="CW482" s="376"/>
      <c r="CX482" s="376"/>
      <c r="CY482" s="376"/>
      <c r="CZ482" s="376"/>
      <c r="DA482" s="376"/>
      <c r="DB482" s="376"/>
      <c r="DC482" s="376"/>
      <c r="DD482" s="376"/>
      <c r="DE482" s="376"/>
      <c r="DF482" s="376"/>
      <c r="DG482" s="376"/>
      <c r="DH482" s="376"/>
      <c r="DI482" s="376"/>
      <c r="DJ482" s="376"/>
      <c r="DK482" s="376"/>
      <c r="DL482" s="376"/>
      <c r="DM482" s="376"/>
      <c r="DN482" s="376"/>
    </row>
    <row r="483" spans="92:118" s="347" customFormat="1" ht="15" customHeight="1">
      <c r="CN483" s="375"/>
      <c r="CO483" s="376"/>
      <c r="CP483" s="376"/>
      <c r="CQ483" s="376"/>
      <c r="CR483" s="376"/>
      <c r="CS483" s="376"/>
      <c r="CT483" s="376"/>
      <c r="CU483" s="376"/>
      <c r="CV483" s="376"/>
      <c r="CW483" s="376"/>
      <c r="CX483" s="376"/>
      <c r="CY483" s="376"/>
      <c r="CZ483" s="376"/>
      <c r="DA483" s="376"/>
      <c r="DB483" s="376"/>
      <c r="DC483" s="376"/>
      <c r="DD483" s="376"/>
      <c r="DE483" s="376"/>
      <c r="DF483" s="376"/>
      <c r="DG483" s="376"/>
      <c r="DH483" s="376"/>
      <c r="DI483" s="376"/>
      <c r="DJ483" s="376"/>
      <c r="DK483" s="376"/>
      <c r="DL483" s="376"/>
      <c r="DM483" s="376"/>
      <c r="DN483" s="376"/>
    </row>
    <row r="484" spans="92:118" s="347" customFormat="1" ht="15" customHeight="1">
      <c r="CN484" s="375"/>
      <c r="CO484" s="376"/>
      <c r="CP484" s="376"/>
      <c r="CQ484" s="376"/>
      <c r="CR484" s="376"/>
      <c r="CS484" s="376"/>
      <c r="CT484" s="376"/>
      <c r="CU484" s="376"/>
      <c r="CV484" s="376"/>
      <c r="CW484" s="376"/>
      <c r="CX484" s="376"/>
      <c r="CY484" s="376"/>
      <c r="CZ484" s="376"/>
      <c r="DA484" s="376"/>
      <c r="DB484" s="376"/>
      <c r="DC484" s="376"/>
      <c r="DD484" s="376"/>
      <c r="DE484" s="376"/>
      <c r="DF484" s="376"/>
      <c r="DG484" s="376"/>
      <c r="DH484" s="376"/>
      <c r="DI484" s="376"/>
      <c r="DJ484" s="376"/>
      <c r="DK484" s="376"/>
      <c r="DL484" s="376"/>
      <c r="DM484" s="376"/>
      <c r="DN484" s="376"/>
    </row>
    <row r="485" spans="92:118" s="347" customFormat="1" ht="15" customHeight="1">
      <c r="CN485" s="375"/>
      <c r="CO485" s="376"/>
      <c r="CP485" s="376"/>
      <c r="CQ485" s="376"/>
      <c r="CR485" s="376"/>
      <c r="CS485" s="376"/>
      <c r="CT485" s="376"/>
      <c r="CU485" s="376"/>
      <c r="CV485" s="376"/>
      <c r="CW485" s="376"/>
      <c r="CX485" s="376"/>
      <c r="CY485" s="376"/>
      <c r="CZ485" s="376"/>
      <c r="DA485" s="376"/>
      <c r="DB485" s="376"/>
      <c r="DC485" s="376"/>
      <c r="DD485" s="376"/>
      <c r="DE485" s="376"/>
      <c r="DF485" s="376"/>
      <c r="DG485" s="376"/>
      <c r="DH485" s="376"/>
      <c r="DI485" s="376"/>
      <c r="DJ485" s="376"/>
      <c r="DK485" s="376"/>
      <c r="DL485" s="376"/>
      <c r="DM485" s="376"/>
      <c r="DN485" s="376"/>
    </row>
    <row r="486" spans="92:118" s="347" customFormat="1" ht="15" customHeight="1">
      <c r="CN486" s="375"/>
      <c r="CO486" s="376"/>
      <c r="CP486" s="376"/>
      <c r="CQ486" s="376"/>
      <c r="CR486" s="376"/>
      <c r="CS486" s="376"/>
      <c r="CT486" s="376"/>
      <c r="CU486" s="376"/>
      <c r="CV486" s="376"/>
      <c r="CW486" s="376"/>
      <c r="CX486" s="376"/>
      <c r="CY486" s="376"/>
      <c r="CZ486" s="376"/>
      <c r="DA486" s="376"/>
      <c r="DB486" s="376"/>
      <c r="DC486" s="376"/>
      <c r="DD486" s="376"/>
      <c r="DE486" s="376"/>
      <c r="DF486" s="376"/>
      <c r="DG486" s="376"/>
      <c r="DH486" s="376"/>
      <c r="DI486" s="376"/>
      <c r="DJ486" s="376"/>
      <c r="DK486" s="376"/>
      <c r="DL486" s="376"/>
      <c r="DM486" s="376"/>
      <c r="DN486" s="376"/>
    </row>
    <row r="487" spans="92:118" s="347" customFormat="1" ht="15" customHeight="1">
      <c r="CN487" s="375"/>
      <c r="CO487" s="376"/>
      <c r="CP487" s="376"/>
      <c r="CQ487" s="376"/>
      <c r="CR487" s="376"/>
      <c r="CS487" s="376"/>
      <c r="CT487" s="376"/>
      <c r="CU487" s="376"/>
      <c r="CV487" s="376"/>
      <c r="CW487" s="376"/>
      <c r="CX487" s="376"/>
      <c r="CY487" s="376"/>
      <c r="CZ487" s="376"/>
      <c r="DA487" s="376"/>
      <c r="DB487" s="376"/>
      <c r="DC487" s="376"/>
      <c r="DD487" s="376"/>
      <c r="DE487" s="376"/>
      <c r="DF487" s="376"/>
      <c r="DG487" s="376"/>
      <c r="DH487" s="376"/>
      <c r="DI487" s="376"/>
      <c r="DJ487" s="376"/>
      <c r="DK487" s="376"/>
      <c r="DL487" s="376"/>
      <c r="DM487" s="376"/>
      <c r="DN487" s="376"/>
    </row>
    <row r="488" spans="92:118" s="347" customFormat="1" ht="15" customHeight="1">
      <c r="CN488" s="375"/>
      <c r="CO488" s="376"/>
      <c r="CP488" s="376"/>
      <c r="CQ488" s="376"/>
      <c r="CR488" s="376"/>
      <c r="CS488" s="376"/>
      <c r="CT488" s="376"/>
      <c r="CU488" s="376"/>
      <c r="CV488" s="376"/>
      <c r="CW488" s="376"/>
      <c r="CX488" s="376"/>
      <c r="CY488" s="376"/>
      <c r="CZ488" s="376"/>
      <c r="DA488" s="376"/>
      <c r="DB488" s="376"/>
      <c r="DC488" s="376"/>
      <c r="DD488" s="376"/>
      <c r="DE488" s="376"/>
      <c r="DF488" s="376"/>
      <c r="DG488" s="376"/>
      <c r="DH488" s="376"/>
      <c r="DI488" s="376"/>
      <c r="DJ488" s="376"/>
      <c r="DK488" s="376"/>
      <c r="DL488" s="376"/>
      <c r="DM488" s="376"/>
      <c r="DN488" s="376"/>
    </row>
    <row r="489" spans="92:118" s="347" customFormat="1" ht="15" customHeight="1">
      <c r="CN489" s="375"/>
      <c r="CO489" s="376"/>
      <c r="CP489" s="376"/>
      <c r="CQ489" s="376"/>
      <c r="CR489" s="376"/>
      <c r="CS489" s="376"/>
      <c r="CT489" s="376"/>
      <c r="CU489" s="376"/>
      <c r="CV489" s="376"/>
      <c r="CW489" s="376"/>
      <c r="CX489" s="376"/>
      <c r="CY489" s="376"/>
      <c r="CZ489" s="376"/>
      <c r="DA489" s="376"/>
      <c r="DB489" s="376"/>
      <c r="DC489" s="376"/>
      <c r="DD489" s="376"/>
      <c r="DE489" s="376"/>
      <c r="DF489" s="376"/>
      <c r="DG489" s="376"/>
      <c r="DH489" s="376"/>
      <c r="DI489" s="376"/>
      <c r="DJ489" s="376"/>
      <c r="DK489" s="376"/>
      <c r="DL489" s="376"/>
      <c r="DM489" s="376"/>
      <c r="DN489" s="376"/>
    </row>
    <row r="490" spans="92:118" s="347" customFormat="1" ht="15" customHeight="1">
      <c r="CN490" s="375"/>
      <c r="CO490" s="376"/>
      <c r="CP490" s="376"/>
      <c r="CQ490" s="376"/>
      <c r="CR490" s="376"/>
      <c r="CS490" s="376"/>
      <c r="CT490" s="376"/>
      <c r="CU490" s="376"/>
      <c r="CV490" s="376"/>
      <c r="CW490" s="376"/>
      <c r="CX490" s="376"/>
      <c r="CY490" s="376"/>
      <c r="CZ490" s="376"/>
      <c r="DA490" s="376"/>
      <c r="DB490" s="376"/>
      <c r="DC490" s="376"/>
      <c r="DD490" s="376"/>
      <c r="DE490" s="376"/>
      <c r="DF490" s="376"/>
      <c r="DG490" s="376"/>
      <c r="DH490" s="376"/>
      <c r="DI490" s="376"/>
      <c r="DJ490" s="376"/>
      <c r="DK490" s="376"/>
      <c r="DL490" s="376"/>
      <c r="DM490" s="376"/>
      <c r="DN490" s="376"/>
    </row>
    <row r="491" spans="92:118" s="347" customFormat="1" ht="15" customHeight="1">
      <c r="CN491" s="375"/>
      <c r="CO491" s="376"/>
      <c r="CP491" s="376"/>
      <c r="CQ491" s="376"/>
      <c r="CR491" s="376"/>
      <c r="CS491" s="376"/>
      <c r="CT491" s="376"/>
      <c r="CU491" s="376"/>
      <c r="CV491" s="376"/>
      <c r="CW491" s="376"/>
      <c r="CX491" s="376"/>
      <c r="CY491" s="376"/>
      <c r="CZ491" s="376"/>
      <c r="DA491" s="376"/>
      <c r="DB491" s="376"/>
      <c r="DC491" s="376"/>
      <c r="DD491" s="376"/>
      <c r="DE491" s="376"/>
      <c r="DF491" s="376"/>
      <c r="DG491" s="376"/>
      <c r="DH491" s="376"/>
      <c r="DI491" s="376"/>
      <c r="DJ491" s="376"/>
      <c r="DK491" s="376"/>
      <c r="DL491" s="376"/>
      <c r="DM491" s="376"/>
      <c r="DN491" s="376"/>
    </row>
    <row r="492" spans="92:118" s="347" customFormat="1" ht="15" customHeight="1">
      <c r="CN492" s="375"/>
      <c r="CO492" s="376"/>
      <c r="CP492" s="376"/>
      <c r="CQ492" s="376"/>
      <c r="CR492" s="376"/>
      <c r="CS492" s="376"/>
      <c r="CT492" s="376"/>
      <c r="CU492" s="376"/>
      <c r="CV492" s="376"/>
      <c r="CW492" s="376"/>
      <c r="CX492" s="376"/>
      <c r="CY492" s="376"/>
      <c r="CZ492" s="376"/>
      <c r="DA492" s="376"/>
      <c r="DB492" s="376"/>
      <c r="DC492" s="376"/>
      <c r="DD492" s="376"/>
      <c r="DE492" s="376"/>
      <c r="DF492" s="376"/>
      <c r="DG492" s="376"/>
      <c r="DH492" s="376"/>
      <c r="DI492" s="376"/>
      <c r="DJ492" s="376"/>
      <c r="DK492" s="376"/>
      <c r="DL492" s="376"/>
      <c r="DM492" s="376"/>
      <c r="DN492" s="376"/>
    </row>
    <row r="493" spans="92:118" s="347" customFormat="1" ht="15" customHeight="1">
      <c r="CN493" s="375"/>
      <c r="CO493" s="376"/>
      <c r="CP493" s="376"/>
      <c r="CQ493" s="376"/>
      <c r="CR493" s="376"/>
      <c r="CS493" s="376"/>
      <c r="CT493" s="376"/>
      <c r="CU493" s="376"/>
      <c r="CV493" s="376"/>
      <c r="CW493" s="376"/>
      <c r="CX493" s="376"/>
      <c r="CY493" s="376"/>
      <c r="CZ493" s="376"/>
      <c r="DA493" s="376"/>
      <c r="DB493" s="376"/>
      <c r="DC493" s="376"/>
      <c r="DD493" s="376"/>
      <c r="DE493" s="376"/>
      <c r="DF493" s="376"/>
      <c r="DG493" s="376"/>
      <c r="DH493" s="376"/>
      <c r="DI493" s="376"/>
      <c r="DJ493" s="376"/>
      <c r="DK493" s="376"/>
      <c r="DL493" s="376"/>
      <c r="DM493" s="376"/>
      <c r="DN493" s="376"/>
    </row>
    <row r="494" spans="92:118" s="347" customFormat="1" ht="15" customHeight="1">
      <c r="CN494" s="375"/>
      <c r="CO494" s="376"/>
      <c r="CP494" s="376"/>
      <c r="CQ494" s="376"/>
      <c r="CR494" s="376"/>
      <c r="CS494" s="376"/>
      <c r="CT494" s="376"/>
      <c r="CU494" s="376"/>
      <c r="CV494" s="376"/>
      <c r="CW494" s="376"/>
      <c r="CX494" s="376"/>
      <c r="CY494" s="376"/>
      <c r="CZ494" s="376"/>
      <c r="DA494" s="376"/>
      <c r="DB494" s="376"/>
      <c r="DC494" s="376"/>
      <c r="DD494" s="376"/>
      <c r="DE494" s="376"/>
      <c r="DF494" s="376"/>
      <c r="DG494" s="376"/>
      <c r="DH494" s="376"/>
      <c r="DI494" s="376"/>
      <c r="DJ494" s="376"/>
      <c r="DK494" s="376"/>
      <c r="DL494" s="376"/>
      <c r="DM494" s="376"/>
      <c r="DN494" s="376"/>
    </row>
    <row r="495" spans="92:118" s="347" customFormat="1" ht="15" customHeight="1">
      <c r="CN495" s="375"/>
      <c r="CO495" s="376"/>
      <c r="CP495" s="376"/>
      <c r="CQ495" s="376"/>
      <c r="CR495" s="376"/>
      <c r="CS495" s="376"/>
      <c r="CT495" s="376"/>
      <c r="CU495" s="376"/>
      <c r="CV495" s="376"/>
      <c r="CW495" s="376"/>
      <c r="CX495" s="376"/>
      <c r="CY495" s="376"/>
      <c r="CZ495" s="376"/>
      <c r="DA495" s="376"/>
      <c r="DB495" s="376"/>
      <c r="DC495" s="376"/>
      <c r="DD495" s="376"/>
      <c r="DE495" s="376"/>
      <c r="DF495" s="376"/>
      <c r="DG495" s="376"/>
      <c r="DH495" s="376"/>
      <c r="DI495" s="376"/>
      <c r="DJ495" s="376"/>
      <c r="DK495" s="376"/>
      <c r="DL495" s="376"/>
      <c r="DM495" s="376"/>
      <c r="DN495" s="376"/>
    </row>
    <row r="496" spans="92:118" s="347" customFormat="1" ht="15" customHeight="1">
      <c r="CN496" s="375"/>
      <c r="CO496" s="376"/>
      <c r="CP496" s="376"/>
      <c r="CQ496" s="376"/>
      <c r="CR496" s="376"/>
      <c r="CS496" s="376"/>
      <c r="CT496" s="376"/>
      <c r="CU496" s="376"/>
      <c r="CV496" s="376"/>
      <c r="CW496" s="376"/>
      <c r="CX496" s="376"/>
      <c r="CY496" s="376"/>
      <c r="CZ496" s="376"/>
      <c r="DA496" s="376"/>
      <c r="DB496" s="376"/>
      <c r="DC496" s="376"/>
      <c r="DD496" s="376"/>
      <c r="DE496" s="376"/>
      <c r="DF496" s="376"/>
      <c r="DG496" s="376"/>
      <c r="DH496" s="376"/>
      <c r="DI496" s="376"/>
      <c r="DJ496" s="376"/>
      <c r="DK496" s="376"/>
      <c r="DL496" s="376"/>
      <c r="DM496" s="376"/>
      <c r="DN496" s="376"/>
    </row>
    <row r="497" spans="92:118" s="347" customFormat="1" ht="15" customHeight="1">
      <c r="CN497" s="375"/>
      <c r="CO497" s="376"/>
      <c r="CP497" s="376"/>
      <c r="CQ497" s="376"/>
      <c r="CR497" s="376"/>
      <c r="CS497" s="376"/>
      <c r="CT497" s="376"/>
      <c r="CU497" s="376"/>
      <c r="CV497" s="376"/>
      <c r="CW497" s="376"/>
      <c r="CX497" s="376"/>
      <c r="CY497" s="376"/>
      <c r="CZ497" s="376"/>
      <c r="DA497" s="376"/>
      <c r="DB497" s="376"/>
      <c r="DC497" s="376"/>
      <c r="DD497" s="376"/>
      <c r="DE497" s="376"/>
      <c r="DF497" s="376"/>
      <c r="DG497" s="376"/>
      <c r="DH497" s="376"/>
      <c r="DI497" s="376"/>
      <c r="DJ497" s="376"/>
      <c r="DK497" s="376"/>
      <c r="DL497" s="376"/>
      <c r="DM497" s="376"/>
      <c r="DN497" s="376"/>
    </row>
    <row r="498" spans="92:118" s="347" customFormat="1" ht="15" customHeight="1">
      <c r="CN498" s="375"/>
      <c r="CO498" s="376"/>
      <c r="CP498" s="376"/>
      <c r="CQ498" s="376"/>
      <c r="CR498" s="376"/>
      <c r="CS498" s="376"/>
      <c r="CT498" s="376"/>
      <c r="CU498" s="376"/>
      <c r="CV498" s="376"/>
      <c r="CW498" s="376"/>
      <c r="CX498" s="376"/>
      <c r="CY498" s="376"/>
      <c r="CZ498" s="376"/>
      <c r="DA498" s="376"/>
      <c r="DB498" s="376"/>
      <c r="DC498" s="376"/>
      <c r="DD498" s="376"/>
      <c r="DE498" s="376"/>
      <c r="DF498" s="376"/>
      <c r="DG498" s="376"/>
      <c r="DH498" s="376"/>
      <c r="DI498" s="376"/>
      <c r="DJ498" s="376"/>
      <c r="DK498" s="376"/>
      <c r="DL498" s="376"/>
      <c r="DM498" s="376"/>
      <c r="DN498" s="376"/>
    </row>
    <row r="499" spans="92:118" s="347" customFormat="1" ht="15" customHeight="1">
      <c r="CN499" s="375"/>
      <c r="CO499" s="376"/>
      <c r="CP499" s="376"/>
      <c r="CQ499" s="376"/>
      <c r="CR499" s="376"/>
      <c r="CS499" s="376"/>
      <c r="CT499" s="376"/>
      <c r="CU499" s="376"/>
      <c r="CV499" s="376"/>
      <c r="CW499" s="376"/>
      <c r="CX499" s="376"/>
      <c r="CY499" s="376"/>
      <c r="CZ499" s="376"/>
      <c r="DA499" s="376"/>
      <c r="DB499" s="376"/>
      <c r="DC499" s="376"/>
      <c r="DD499" s="376"/>
      <c r="DE499" s="376"/>
      <c r="DF499" s="376"/>
      <c r="DG499" s="376"/>
      <c r="DH499" s="376"/>
      <c r="DI499" s="376"/>
      <c r="DJ499" s="376"/>
      <c r="DK499" s="376"/>
      <c r="DL499" s="376"/>
      <c r="DM499" s="376"/>
      <c r="DN499" s="376"/>
    </row>
    <row r="500" spans="92:118" s="347" customFormat="1" ht="15" customHeight="1">
      <c r="CN500" s="375"/>
      <c r="CO500" s="376"/>
      <c r="CP500" s="376"/>
      <c r="CQ500" s="376"/>
      <c r="CR500" s="376"/>
      <c r="CS500" s="376"/>
      <c r="CT500" s="376"/>
      <c r="CU500" s="376"/>
      <c r="CV500" s="376"/>
      <c r="CW500" s="376"/>
      <c r="CX500" s="376"/>
      <c r="CY500" s="376"/>
      <c r="CZ500" s="376"/>
      <c r="DA500" s="376"/>
      <c r="DB500" s="376"/>
      <c r="DC500" s="376"/>
      <c r="DD500" s="376"/>
      <c r="DE500" s="376"/>
      <c r="DF500" s="376"/>
      <c r="DG500" s="376"/>
      <c r="DH500" s="376"/>
      <c r="DI500" s="376"/>
      <c r="DJ500" s="376"/>
      <c r="DK500" s="376"/>
      <c r="DL500" s="376"/>
      <c r="DM500" s="376"/>
      <c r="DN500" s="376"/>
    </row>
    <row r="501" spans="92:118" s="347" customFormat="1" ht="15" customHeight="1">
      <c r="CN501" s="375"/>
      <c r="CO501" s="376"/>
      <c r="CP501" s="376"/>
      <c r="CQ501" s="376"/>
      <c r="CR501" s="376"/>
      <c r="CS501" s="376"/>
      <c r="CT501" s="376"/>
      <c r="CU501" s="376"/>
      <c r="CV501" s="376"/>
      <c r="CW501" s="376"/>
      <c r="CX501" s="376"/>
      <c r="CY501" s="376"/>
      <c r="CZ501" s="376"/>
      <c r="DA501" s="376"/>
      <c r="DB501" s="376"/>
      <c r="DC501" s="376"/>
      <c r="DD501" s="376"/>
      <c r="DE501" s="376"/>
      <c r="DF501" s="376"/>
      <c r="DG501" s="376"/>
      <c r="DH501" s="376"/>
      <c r="DI501" s="376"/>
      <c r="DJ501" s="376"/>
      <c r="DK501" s="376"/>
      <c r="DL501" s="376"/>
      <c r="DM501" s="376"/>
      <c r="DN501" s="376"/>
    </row>
    <row r="502" spans="92:118" s="347" customFormat="1" ht="15" customHeight="1">
      <c r="CN502" s="375"/>
      <c r="CO502" s="376"/>
      <c r="CP502" s="376"/>
      <c r="CQ502" s="376"/>
      <c r="CR502" s="376"/>
      <c r="CS502" s="376"/>
      <c r="CT502" s="376"/>
      <c r="CU502" s="376"/>
      <c r="CV502" s="376"/>
      <c r="CW502" s="376"/>
      <c r="CX502" s="376"/>
      <c r="CY502" s="376"/>
      <c r="CZ502" s="376"/>
      <c r="DA502" s="376"/>
      <c r="DB502" s="376"/>
      <c r="DC502" s="376"/>
      <c r="DD502" s="376"/>
      <c r="DE502" s="376"/>
      <c r="DF502" s="376"/>
      <c r="DG502" s="376"/>
      <c r="DH502" s="376"/>
      <c r="DI502" s="376"/>
      <c r="DJ502" s="376"/>
      <c r="DK502" s="376"/>
      <c r="DL502" s="376"/>
      <c r="DM502" s="376"/>
      <c r="DN502" s="376"/>
    </row>
    <row r="503" spans="92:118" s="347" customFormat="1" ht="15" customHeight="1">
      <c r="CN503" s="375"/>
      <c r="CO503" s="376"/>
      <c r="CP503" s="376"/>
      <c r="CQ503" s="376"/>
      <c r="CR503" s="376"/>
      <c r="CS503" s="376"/>
      <c r="CT503" s="376"/>
      <c r="CU503" s="376"/>
      <c r="CV503" s="376"/>
      <c r="CW503" s="376"/>
      <c r="CX503" s="376"/>
      <c r="CY503" s="376"/>
      <c r="CZ503" s="376"/>
      <c r="DA503" s="376"/>
      <c r="DB503" s="376"/>
      <c r="DC503" s="376"/>
      <c r="DD503" s="376"/>
      <c r="DE503" s="376"/>
      <c r="DF503" s="376"/>
      <c r="DG503" s="376"/>
      <c r="DH503" s="376"/>
      <c r="DI503" s="376"/>
      <c r="DJ503" s="376"/>
      <c r="DK503" s="376"/>
      <c r="DL503" s="376"/>
      <c r="DM503" s="376"/>
      <c r="DN503" s="376"/>
    </row>
    <row r="504" spans="92:118" s="347" customFormat="1" ht="15" customHeight="1">
      <c r="CN504" s="375"/>
      <c r="CO504" s="376"/>
      <c r="CP504" s="376"/>
      <c r="CQ504" s="376"/>
      <c r="CR504" s="376"/>
      <c r="CS504" s="376"/>
      <c r="CT504" s="376"/>
      <c r="CU504" s="376"/>
      <c r="CV504" s="376"/>
      <c r="CW504" s="376"/>
      <c r="CX504" s="376"/>
      <c r="CY504" s="376"/>
      <c r="CZ504" s="376"/>
      <c r="DA504" s="376"/>
      <c r="DB504" s="376"/>
      <c r="DC504" s="376"/>
      <c r="DD504" s="376"/>
      <c r="DE504" s="376"/>
      <c r="DF504" s="376"/>
      <c r="DG504" s="376"/>
      <c r="DH504" s="376"/>
      <c r="DI504" s="376"/>
      <c r="DJ504" s="376"/>
      <c r="DK504" s="376"/>
      <c r="DL504" s="376"/>
      <c r="DM504" s="376"/>
      <c r="DN504" s="376"/>
    </row>
    <row r="505" spans="92:118" s="347" customFormat="1" ht="15" customHeight="1">
      <c r="CN505" s="375"/>
      <c r="CO505" s="376"/>
      <c r="CP505" s="376"/>
      <c r="CQ505" s="376"/>
      <c r="CR505" s="376"/>
      <c r="CS505" s="376"/>
      <c r="CT505" s="376"/>
      <c r="CU505" s="376"/>
      <c r="CV505" s="376"/>
      <c r="CW505" s="376"/>
      <c r="CX505" s="376"/>
      <c r="CY505" s="376"/>
      <c r="CZ505" s="376"/>
      <c r="DA505" s="376"/>
      <c r="DB505" s="376"/>
      <c r="DC505" s="376"/>
      <c r="DD505" s="376"/>
      <c r="DE505" s="376"/>
      <c r="DF505" s="376"/>
      <c r="DG505" s="376"/>
      <c r="DH505" s="376"/>
      <c r="DI505" s="376"/>
      <c r="DJ505" s="376"/>
      <c r="DK505" s="376"/>
      <c r="DL505" s="376"/>
      <c r="DM505" s="376"/>
      <c r="DN505" s="376"/>
    </row>
    <row r="506" spans="92:118" s="347" customFormat="1" ht="15" customHeight="1">
      <c r="CN506" s="375"/>
      <c r="CO506" s="376"/>
      <c r="CP506" s="376"/>
      <c r="CQ506" s="376"/>
      <c r="CR506" s="376"/>
      <c r="CS506" s="376"/>
      <c r="CT506" s="376"/>
      <c r="CU506" s="376"/>
      <c r="CV506" s="376"/>
      <c r="CW506" s="376"/>
      <c r="CX506" s="376"/>
      <c r="CY506" s="376"/>
      <c r="CZ506" s="376"/>
      <c r="DA506" s="376"/>
      <c r="DB506" s="376"/>
      <c r="DC506" s="376"/>
      <c r="DD506" s="376"/>
      <c r="DE506" s="376"/>
      <c r="DF506" s="376"/>
      <c r="DG506" s="376"/>
      <c r="DH506" s="376"/>
      <c r="DI506" s="376"/>
      <c r="DJ506" s="376"/>
      <c r="DK506" s="376"/>
      <c r="DL506" s="376"/>
      <c r="DM506" s="376"/>
      <c r="DN506" s="376"/>
    </row>
    <row r="507" spans="92:118" s="347" customFormat="1" ht="15" customHeight="1">
      <c r="CN507" s="375"/>
      <c r="CO507" s="376"/>
      <c r="CP507" s="376"/>
      <c r="CQ507" s="376"/>
      <c r="CR507" s="376"/>
      <c r="CS507" s="376"/>
      <c r="CT507" s="376"/>
      <c r="CU507" s="376"/>
      <c r="CV507" s="376"/>
      <c r="CW507" s="376"/>
      <c r="CX507" s="376"/>
      <c r="CY507" s="376"/>
      <c r="CZ507" s="376"/>
      <c r="DA507" s="376"/>
      <c r="DB507" s="376"/>
      <c r="DC507" s="376"/>
      <c r="DD507" s="376"/>
      <c r="DE507" s="376"/>
      <c r="DF507" s="376"/>
      <c r="DG507" s="376"/>
      <c r="DH507" s="376"/>
      <c r="DI507" s="376"/>
      <c r="DJ507" s="376"/>
      <c r="DK507" s="376"/>
      <c r="DL507" s="376"/>
      <c r="DM507" s="376"/>
      <c r="DN507" s="376"/>
    </row>
    <row r="508" spans="92:118" s="347" customFormat="1" ht="15" customHeight="1">
      <c r="CN508" s="375"/>
      <c r="CO508" s="376"/>
      <c r="CP508" s="376"/>
      <c r="CQ508" s="376"/>
      <c r="CR508" s="376"/>
      <c r="CS508" s="376"/>
      <c r="CT508" s="376"/>
      <c r="CU508" s="376"/>
      <c r="CV508" s="376"/>
      <c r="CW508" s="376"/>
      <c r="CX508" s="376"/>
      <c r="CY508" s="376"/>
      <c r="CZ508" s="376"/>
      <c r="DA508" s="376"/>
      <c r="DB508" s="376"/>
      <c r="DC508" s="376"/>
      <c r="DD508" s="376"/>
      <c r="DE508" s="376"/>
      <c r="DF508" s="376"/>
      <c r="DG508" s="376"/>
      <c r="DH508" s="376"/>
      <c r="DI508" s="376"/>
      <c r="DJ508" s="376"/>
      <c r="DK508" s="376"/>
      <c r="DL508" s="376"/>
      <c r="DM508" s="376"/>
      <c r="DN508" s="376"/>
    </row>
    <row r="509" spans="92:118" s="347" customFormat="1" ht="15" customHeight="1">
      <c r="CN509" s="375"/>
      <c r="CO509" s="376"/>
      <c r="CP509" s="376"/>
      <c r="CQ509" s="376"/>
      <c r="CR509" s="376"/>
      <c r="CS509" s="376"/>
      <c r="CT509" s="376"/>
      <c r="CU509" s="376"/>
      <c r="CV509" s="376"/>
      <c r="CW509" s="376"/>
      <c r="CX509" s="376"/>
      <c r="CY509" s="376"/>
      <c r="CZ509" s="376"/>
      <c r="DA509" s="376"/>
      <c r="DB509" s="376"/>
      <c r="DC509" s="376"/>
      <c r="DD509" s="376"/>
      <c r="DE509" s="376"/>
      <c r="DF509" s="376"/>
      <c r="DG509" s="376"/>
      <c r="DH509" s="376"/>
      <c r="DI509" s="376"/>
      <c r="DJ509" s="376"/>
      <c r="DK509" s="376"/>
      <c r="DL509" s="376"/>
      <c r="DM509" s="376"/>
      <c r="DN509" s="376"/>
    </row>
    <row r="510" spans="92:118" s="347" customFormat="1" ht="15" customHeight="1">
      <c r="CN510" s="375"/>
      <c r="CO510" s="376"/>
      <c r="CP510" s="376"/>
      <c r="CQ510" s="376"/>
      <c r="CR510" s="376"/>
      <c r="CS510" s="376"/>
      <c r="CT510" s="376"/>
      <c r="CU510" s="376"/>
      <c r="CV510" s="376"/>
      <c r="CW510" s="376"/>
      <c r="CX510" s="376"/>
      <c r="CY510" s="376"/>
      <c r="CZ510" s="376"/>
      <c r="DA510" s="376"/>
      <c r="DB510" s="376"/>
      <c r="DC510" s="376"/>
      <c r="DD510" s="376"/>
      <c r="DE510" s="376"/>
      <c r="DF510" s="376"/>
      <c r="DG510" s="376"/>
      <c r="DH510" s="376"/>
      <c r="DI510" s="376"/>
      <c r="DJ510" s="376"/>
      <c r="DK510" s="376"/>
      <c r="DL510" s="376"/>
      <c r="DM510" s="376"/>
      <c r="DN510" s="376"/>
    </row>
    <row r="511" spans="92:118" s="347" customFormat="1" ht="15" customHeight="1">
      <c r="CN511" s="375"/>
      <c r="CO511" s="376"/>
      <c r="CP511" s="376"/>
      <c r="CQ511" s="376"/>
      <c r="CR511" s="376"/>
      <c r="CS511" s="376"/>
      <c r="CT511" s="376"/>
      <c r="CU511" s="376"/>
      <c r="CV511" s="376"/>
      <c r="CW511" s="376"/>
      <c r="CX511" s="376"/>
      <c r="CY511" s="376"/>
      <c r="CZ511" s="376"/>
      <c r="DA511" s="376"/>
      <c r="DB511" s="376"/>
      <c r="DC511" s="376"/>
      <c r="DD511" s="376"/>
      <c r="DE511" s="376"/>
      <c r="DF511" s="376"/>
      <c r="DG511" s="376"/>
      <c r="DH511" s="376"/>
      <c r="DI511" s="376"/>
      <c r="DJ511" s="376"/>
      <c r="DK511" s="376"/>
      <c r="DL511" s="376"/>
      <c r="DM511" s="376"/>
      <c r="DN511" s="376"/>
    </row>
    <row r="512" spans="92:118" s="347" customFormat="1" ht="15" customHeight="1">
      <c r="CN512" s="375"/>
      <c r="CO512" s="376"/>
      <c r="CP512" s="376"/>
      <c r="CQ512" s="376"/>
      <c r="CR512" s="376"/>
      <c r="CS512" s="376"/>
      <c r="CT512" s="376"/>
      <c r="CU512" s="376"/>
      <c r="CV512" s="376"/>
      <c r="CW512" s="376"/>
      <c r="CX512" s="376"/>
      <c r="CY512" s="376"/>
      <c r="CZ512" s="376"/>
      <c r="DA512" s="376"/>
      <c r="DB512" s="376"/>
      <c r="DC512" s="376"/>
      <c r="DD512" s="376"/>
      <c r="DE512" s="376"/>
      <c r="DF512" s="376"/>
      <c r="DG512" s="376"/>
      <c r="DH512" s="376"/>
      <c r="DI512" s="376"/>
      <c r="DJ512" s="376"/>
      <c r="DK512" s="376"/>
      <c r="DL512" s="376"/>
      <c r="DM512" s="376"/>
      <c r="DN512" s="376"/>
    </row>
    <row r="513" spans="92:118" s="347" customFormat="1" ht="15" customHeight="1">
      <c r="CN513" s="375"/>
      <c r="CO513" s="376"/>
      <c r="CP513" s="376"/>
      <c r="CQ513" s="376"/>
      <c r="CR513" s="376"/>
      <c r="CS513" s="376"/>
      <c r="CT513" s="376"/>
      <c r="CU513" s="376"/>
      <c r="CV513" s="376"/>
      <c r="CW513" s="376"/>
      <c r="CX513" s="376"/>
      <c r="CY513" s="376"/>
      <c r="CZ513" s="376"/>
      <c r="DA513" s="376"/>
      <c r="DB513" s="376"/>
      <c r="DC513" s="376"/>
      <c r="DD513" s="376"/>
      <c r="DE513" s="376"/>
      <c r="DF513" s="376"/>
      <c r="DG513" s="376"/>
      <c r="DH513" s="376"/>
      <c r="DI513" s="376"/>
      <c r="DJ513" s="376"/>
      <c r="DK513" s="376"/>
      <c r="DL513" s="376"/>
      <c r="DM513" s="376"/>
      <c r="DN513" s="376"/>
    </row>
    <row r="514" spans="92:118" s="347" customFormat="1" ht="15" customHeight="1">
      <c r="CN514" s="375"/>
      <c r="CO514" s="376"/>
      <c r="CP514" s="376"/>
      <c r="CQ514" s="376"/>
      <c r="CR514" s="376"/>
      <c r="CS514" s="376"/>
      <c r="CT514" s="376"/>
      <c r="CU514" s="376"/>
      <c r="CV514" s="376"/>
      <c r="CW514" s="376"/>
      <c r="CX514" s="376"/>
      <c r="CY514" s="376"/>
      <c r="CZ514" s="376"/>
      <c r="DA514" s="376"/>
      <c r="DB514" s="376"/>
      <c r="DC514" s="376"/>
      <c r="DD514" s="376"/>
      <c r="DE514" s="376"/>
      <c r="DF514" s="376"/>
      <c r="DG514" s="376"/>
      <c r="DH514" s="376"/>
      <c r="DI514" s="376"/>
      <c r="DJ514" s="376"/>
      <c r="DK514" s="376"/>
      <c r="DL514" s="376"/>
      <c r="DM514" s="376"/>
      <c r="DN514" s="376"/>
    </row>
    <row r="515" spans="92:118" s="347" customFormat="1" ht="15" customHeight="1">
      <c r="CN515" s="375"/>
      <c r="CO515" s="376"/>
      <c r="CP515" s="376"/>
      <c r="CQ515" s="376"/>
      <c r="CR515" s="376"/>
      <c r="CS515" s="376"/>
      <c r="CT515" s="376"/>
      <c r="CU515" s="376"/>
      <c r="CV515" s="376"/>
      <c r="CW515" s="376"/>
      <c r="CX515" s="376"/>
      <c r="CY515" s="376"/>
      <c r="CZ515" s="376"/>
      <c r="DA515" s="376"/>
      <c r="DB515" s="376"/>
      <c r="DC515" s="376"/>
      <c r="DD515" s="376"/>
      <c r="DE515" s="376"/>
      <c r="DF515" s="376"/>
      <c r="DG515" s="376"/>
      <c r="DH515" s="376"/>
      <c r="DI515" s="376"/>
      <c r="DJ515" s="376"/>
      <c r="DK515" s="376"/>
      <c r="DL515" s="376"/>
      <c r="DM515" s="376"/>
      <c r="DN515" s="376"/>
    </row>
    <row r="516" spans="92:118" s="347" customFormat="1" ht="15" customHeight="1">
      <c r="CN516" s="375"/>
      <c r="CO516" s="376"/>
      <c r="CP516" s="376"/>
      <c r="CQ516" s="376"/>
      <c r="CR516" s="376"/>
      <c r="CS516" s="376"/>
      <c r="CT516" s="376"/>
      <c r="CU516" s="376"/>
      <c r="CV516" s="376"/>
      <c r="CW516" s="376"/>
      <c r="CX516" s="376"/>
      <c r="CY516" s="376"/>
      <c r="CZ516" s="376"/>
      <c r="DA516" s="376"/>
      <c r="DB516" s="376"/>
      <c r="DC516" s="376"/>
      <c r="DD516" s="376"/>
      <c r="DE516" s="376"/>
      <c r="DF516" s="376"/>
      <c r="DG516" s="376"/>
      <c r="DH516" s="376"/>
      <c r="DI516" s="376"/>
      <c r="DJ516" s="376"/>
      <c r="DK516" s="376"/>
      <c r="DL516" s="376"/>
      <c r="DM516" s="376"/>
      <c r="DN516" s="376"/>
    </row>
    <row r="517" spans="92:118" s="347" customFormat="1" ht="15" customHeight="1">
      <c r="CN517" s="375"/>
      <c r="CO517" s="376"/>
      <c r="CP517" s="376"/>
      <c r="CQ517" s="376"/>
      <c r="CR517" s="376"/>
      <c r="CS517" s="376"/>
      <c r="CT517" s="376"/>
      <c r="CU517" s="376"/>
      <c r="CV517" s="376"/>
      <c r="CW517" s="376"/>
      <c r="CX517" s="376"/>
      <c r="CY517" s="376"/>
      <c r="CZ517" s="376"/>
      <c r="DA517" s="376"/>
      <c r="DB517" s="376"/>
      <c r="DC517" s="376"/>
      <c r="DD517" s="376"/>
      <c r="DE517" s="376"/>
      <c r="DF517" s="376"/>
      <c r="DG517" s="376"/>
      <c r="DH517" s="376"/>
      <c r="DI517" s="376"/>
      <c r="DJ517" s="376"/>
      <c r="DK517" s="376"/>
      <c r="DL517" s="376"/>
      <c r="DM517" s="376"/>
      <c r="DN517" s="376"/>
    </row>
    <row r="518" spans="92:118" s="347" customFormat="1" ht="15" customHeight="1">
      <c r="CN518" s="375"/>
      <c r="CO518" s="376"/>
      <c r="CP518" s="376"/>
      <c r="CQ518" s="376"/>
      <c r="CR518" s="376"/>
      <c r="CS518" s="376"/>
      <c r="CT518" s="376"/>
      <c r="CU518" s="376"/>
      <c r="CV518" s="376"/>
      <c r="CW518" s="376"/>
      <c r="CX518" s="376"/>
      <c r="CY518" s="376"/>
      <c r="CZ518" s="376"/>
      <c r="DA518" s="376"/>
      <c r="DB518" s="376"/>
      <c r="DC518" s="376"/>
      <c r="DD518" s="376"/>
      <c r="DE518" s="376"/>
      <c r="DF518" s="376"/>
      <c r="DG518" s="376"/>
      <c r="DH518" s="376"/>
      <c r="DI518" s="376"/>
      <c r="DJ518" s="376"/>
      <c r="DK518" s="376"/>
      <c r="DL518" s="376"/>
      <c r="DM518" s="376"/>
      <c r="DN518" s="376"/>
    </row>
    <row r="519" spans="92:118" s="347" customFormat="1" ht="15" customHeight="1">
      <c r="CN519" s="375"/>
      <c r="CO519" s="376"/>
      <c r="CP519" s="376"/>
      <c r="CQ519" s="376"/>
      <c r="CR519" s="376"/>
      <c r="CS519" s="376"/>
      <c r="CT519" s="376"/>
      <c r="CU519" s="376"/>
      <c r="CV519" s="376"/>
      <c r="CW519" s="376"/>
      <c r="CX519" s="376"/>
      <c r="CY519" s="376"/>
      <c r="CZ519" s="376"/>
      <c r="DA519" s="376"/>
      <c r="DB519" s="376"/>
      <c r="DC519" s="376"/>
      <c r="DD519" s="376"/>
      <c r="DE519" s="376"/>
      <c r="DF519" s="376"/>
      <c r="DG519" s="376"/>
      <c r="DH519" s="376"/>
      <c r="DI519" s="376"/>
      <c r="DJ519" s="376"/>
      <c r="DK519" s="376"/>
      <c r="DL519" s="376"/>
      <c r="DM519" s="376"/>
      <c r="DN519" s="376"/>
    </row>
    <row r="520" spans="92:118" s="347" customFormat="1" ht="15" customHeight="1">
      <c r="CN520" s="375"/>
      <c r="CO520" s="376"/>
      <c r="CP520" s="376"/>
      <c r="CQ520" s="376"/>
      <c r="CR520" s="376"/>
      <c r="CS520" s="376"/>
      <c r="CT520" s="376"/>
      <c r="CU520" s="376"/>
      <c r="CV520" s="376"/>
      <c r="CW520" s="376"/>
      <c r="CX520" s="376"/>
      <c r="CY520" s="376"/>
      <c r="CZ520" s="376"/>
      <c r="DA520" s="376"/>
      <c r="DB520" s="376"/>
      <c r="DC520" s="376"/>
      <c r="DD520" s="376"/>
      <c r="DE520" s="376"/>
      <c r="DF520" s="376"/>
      <c r="DG520" s="376"/>
      <c r="DH520" s="376"/>
      <c r="DI520" s="376"/>
      <c r="DJ520" s="376"/>
      <c r="DK520" s="376"/>
      <c r="DL520" s="376"/>
      <c r="DM520" s="376"/>
      <c r="DN520" s="376"/>
    </row>
    <row r="521" spans="92:118" s="347" customFormat="1" ht="15" customHeight="1">
      <c r="CN521" s="375"/>
      <c r="CO521" s="376"/>
      <c r="CP521" s="376"/>
      <c r="CQ521" s="376"/>
      <c r="CR521" s="376"/>
      <c r="CS521" s="376"/>
      <c r="CT521" s="376"/>
      <c r="CU521" s="376"/>
      <c r="CV521" s="376"/>
      <c r="CW521" s="376"/>
      <c r="CX521" s="376"/>
      <c r="CY521" s="376"/>
      <c r="CZ521" s="376"/>
      <c r="DA521" s="376"/>
      <c r="DB521" s="376"/>
      <c r="DC521" s="376"/>
      <c r="DD521" s="376"/>
      <c r="DE521" s="376"/>
      <c r="DF521" s="376"/>
      <c r="DG521" s="376"/>
      <c r="DH521" s="376"/>
      <c r="DI521" s="376"/>
      <c r="DJ521" s="376"/>
      <c r="DK521" s="376"/>
      <c r="DL521" s="376"/>
      <c r="DM521" s="376"/>
      <c r="DN521" s="376"/>
    </row>
    <row r="522" spans="92:118" s="347" customFormat="1" ht="15" customHeight="1">
      <c r="CN522" s="375"/>
      <c r="CO522" s="376"/>
      <c r="CP522" s="376"/>
      <c r="CQ522" s="376"/>
      <c r="CR522" s="376"/>
      <c r="CS522" s="376"/>
      <c r="CT522" s="376"/>
      <c r="CU522" s="376"/>
      <c r="CV522" s="376"/>
      <c r="CW522" s="376"/>
      <c r="CX522" s="376"/>
      <c r="CY522" s="376"/>
      <c r="CZ522" s="376"/>
      <c r="DA522" s="376"/>
      <c r="DB522" s="376"/>
      <c r="DC522" s="376"/>
      <c r="DD522" s="376"/>
      <c r="DE522" s="376"/>
      <c r="DF522" s="376"/>
      <c r="DG522" s="376"/>
      <c r="DH522" s="376"/>
      <c r="DI522" s="376"/>
      <c r="DJ522" s="376"/>
      <c r="DK522" s="376"/>
      <c r="DL522" s="376"/>
      <c r="DM522" s="376"/>
      <c r="DN522" s="376"/>
    </row>
    <row r="523" spans="92:118" s="347" customFormat="1" ht="15" customHeight="1">
      <c r="CN523" s="375"/>
      <c r="CO523" s="376"/>
      <c r="CP523" s="376"/>
      <c r="CQ523" s="376"/>
      <c r="CR523" s="376"/>
      <c r="CS523" s="376"/>
      <c r="CT523" s="376"/>
      <c r="CU523" s="376"/>
      <c r="CV523" s="376"/>
      <c r="CW523" s="376"/>
      <c r="CX523" s="376"/>
      <c r="CY523" s="376"/>
      <c r="CZ523" s="376"/>
      <c r="DA523" s="376"/>
      <c r="DB523" s="376"/>
      <c r="DC523" s="376"/>
      <c r="DD523" s="376"/>
      <c r="DE523" s="376"/>
      <c r="DF523" s="376"/>
      <c r="DG523" s="376"/>
      <c r="DH523" s="376"/>
      <c r="DI523" s="376"/>
      <c r="DJ523" s="376"/>
      <c r="DK523" s="376"/>
      <c r="DL523" s="376"/>
      <c r="DM523" s="376"/>
      <c r="DN523" s="376"/>
    </row>
    <row r="524" spans="92:118" s="347" customFormat="1" ht="15" customHeight="1">
      <c r="CN524" s="375"/>
      <c r="CO524" s="376"/>
      <c r="CP524" s="376"/>
      <c r="CQ524" s="376"/>
      <c r="CR524" s="376"/>
      <c r="CS524" s="376"/>
      <c r="CT524" s="376"/>
      <c r="CU524" s="376"/>
      <c r="CV524" s="376"/>
      <c r="CW524" s="376"/>
      <c r="CX524" s="376"/>
      <c r="CY524" s="376"/>
      <c r="CZ524" s="376"/>
      <c r="DA524" s="376"/>
      <c r="DB524" s="376"/>
      <c r="DC524" s="376"/>
      <c r="DD524" s="376"/>
      <c r="DE524" s="376"/>
      <c r="DF524" s="376"/>
      <c r="DG524" s="376"/>
      <c r="DH524" s="376"/>
      <c r="DI524" s="376"/>
      <c r="DJ524" s="376"/>
      <c r="DK524" s="376"/>
      <c r="DL524" s="376"/>
      <c r="DM524" s="376"/>
      <c r="DN524" s="376"/>
    </row>
    <row r="525" spans="92:118" s="347" customFormat="1" ht="15" customHeight="1">
      <c r="CN525" s="375"/>
      <c r="CO525" s="376"/>
      <c r="CP525" s="376"/>
      <c r="CQ525" s="376"/>
      <c r="CR525" s="376"/>
      <c r="CS525" s="376"/>
      <c r="CT525" s="376"/>
      <c r="CU525" s="376"/>
      <c r="CV525" s="376"/>
      <c r="CW525" s="376"/>
      <c r="CX525" s="376"/>
      <c r="CY525" s="376"/>
      <c r="CZ525" s="376"/>
      <c r="DA525" s="376"/>
      <c r="DB525" s="376"/>
      <c r="DC525" s="376"/>
      <c r="DD525" s="376"/>
      <c r="DE525" s="376"/>
      <c r="DF525" s="376"/>
      <c r="DG525" s="376"/>
      <c r="DH525" s="376"/>
      <c r="DI525" s="376"/>
      <c r="DJ525" s="376"/>
      <c r="DK525" s="376"/>
      <c r="DL525" s="376"/>
      <c r="DM525" s="376"/>
      <c r="DN525" s="376"/>
    </row>
    <row r="526" spans="92:118" s="347" customFormat="1" ht="15" customHeight="1">
      <c r="CN526" s="375"/>
      <c r="CO526" s="376"/>
      <c r="CP526" s="376"/>
      <c r="CQ526" s="376"/>
      <c r="CR526" s="376"/>
      <c r="CS526" s="376"/>
      <c r="CT526" s="376"/>
      <c r="CU526" s="376"/>
      <c r="CV526" s="376"/>
      <c r="CW526" s="376"/>
      <c r="CX526" s="376"/>
      <c r="CY526" s="376"/>
      <c r="CZ526" s="376"/>
      <c r="DA526" s="376"/>
      <c r="DB526" s="376"/>
      <c r="DC526" s="376"/>
      <c r="DD526" s="376"/>
      <c r="DE526" s="376"/>
      <c r="DF526" s="376"/>
      <c r="DG526" s="376"/>
      <c r="DH526" s="376"/>
      <c r="DI526" s="376"/>
      <c r="DJ526" s="376"/>
      <c r="DK526" s="376"/>
      <c r="DL526" s="376"/>
      <c r="DM526" s="376"/>
      <c r="DN526" s="376"/>
    </row>
    <row r="527" spans="92:118" s="347" customFormat="1" ht="15" customHeight="1">
      <c r="CN527" s="375"/>
      <c r="CO527" s="376"/>
      <c r="CP527" s="376"/>
      <c r="CQ527" s="376"/>
      <c r="CR527" s="376"/>
      <c r="CS527" s="376"/>
      <c r="CT527" s="376"/>
      <c r="CU527" s="376"/>
      <c r="CV527" s="376"/>
      <c r="CW527" s="376"/>
      <c r="CX527" s="376"/>
      <c r="CY527" s="376"/>
      <c r="CZ527" s="376"/>
      <c r="DA527" s="376"/>
      <c r="DB527" s="376"/>
      <c r="DC527" s="376"/>
      <c r="DD527" s="376"/>
      <c r="DE527" s="376"/>
      <c r="DF527" s="376"/>
      <c r="DG527" s="376"/>
      <c r="DH527" s="376"/>
      <c r="DI527" s="376"/>
      <c r="DJ527" s="376"/>
      <c r="DK527" s="376"/>
      <c r="DL527" s="376"/>
      <c r="DM527" s="376"/>
      <c r="DN527" s="376"/>
    </row>
    <row r="528" spans="92:118" s="347" customFormat="1" ht="15" customHeight="1">
      <c r="CN528" s="375"/>
      <c r="CO528" s="376"/>
      <c r="CP528" s="376"/>
      <c r="CQ528" s="376"/>
      <c r="CR528" s="376"/>
      <c r="CS528" s="376"/>
      <c r="CT528" s="376"/>
      <c r="CU528" s="376"/>
      <c r="CV528" s="376"/>
      <c r="CW528" s="376"/>
      <c r="CX528" s="376"/>
      <c r="CY528" s="376"/>
      <c r="CZ528" s="376"/>
      <c r="DA528" s="376"/>
      <c r="DB528" s="376"/>
      <c r="DC528" s="376"/>
      <c r="DD528" s="376"/>
      <c r="DE528" s="376"/>
      <c r="DF528" s="376"/>
      <c r="DG528" s="376"/>
      <c r="DH528" s="376"/>
      <c r="DI528" s="376"/>
      <c r="DJ528" s="376"/>
      <c r="DK528" s="376"/>
      <c r="DL528" s="376"/>
      <c r="DM528" s="376"/>
      <c r="DN528" s="376"/>
    </row>
    <row r="529" spans="92:118" s="347" customFormat="1" ht="15" customHeight="1">
      <c r="CN529" s="375"/>
      <c r="CO529" s="376"/>
      <c r="CP529" s="376"/>
      <c r="CQ529" s="376"/>
      <c r="CR529" s="376"/>
      <c r="CS529" s="376"/>
      <c r="CT529" s="376"/>
      <c r="CU529" s="376"/>
      <c r="CV529" s="376"/>
      <c r="CW529" s="376"/>
      <c r="CX529" s="376"/>
      <c r="CY529" s="376"/>
      <c r="CZ529" s="376"/>
      <c r="DA529" s="376"/>
      <c r="DB529" s="376"/>
      <c r="DC529" s="376"/>
      <c r="DD529" s="376"/>
      <c r="DE529" s="376"/>
      <c r="DF529" s="376"/>
      <c r="DG529" s="376"/>
      <c r="DH529" s="376"/>
      <c r="DI529" s="376"/>
      <c r="DJ529" s="376"/>
      <c r="DK529" s="376"/>
      <c r="DL529" s="376"/>
      <c r="DM529" s="376"/>
      <c r="DN529" s="376"/>
    </row>
    <row r="530" spans="92:118" s="347" customFormat="1" ht="15" customHeight="1">
      <c r="CN530" s="375"/>
      <c r="CO530" s="376"/>
      <c r="CP530" s="376"/>
      <c r="CQ530" s="376"/>
      <c r="CR530" s="376"/>
      <c r="CS530" s="376"/>
      <c r="CT530" s="376"/>
      <c r="CU530" s="376"/>
      <c r="CV530" s="376"/>
      <c r="CW530" s="376"/>
      <c r="CX530" s="376"/>
      <c r="CY530" s="376"/>
      <c r="CZ530" s="376"/>
      <c r="DA530" s="376"/>
      <c r="DB530" s="376"/>
      <c r="DC530" s="376"/>
      <c r="DD530" s="376"/>
      <c r="DE530" s="376"/>
      <c r="DF530" s="376"/>
      <c r="DG530" s="376"/>
      <c r="DH530" s="376"/>
      <c r="DI530" s="376"/>
      <c r="DJ530" s="376"/>
      <c r="DK530" s="376"/>
      <c r="DL530" s="376"/>
      <c r="DM530" s="376"/>
      <c r="DN530" s="376"/>
    </row>
    <row r="531" spans="92:118" s="347" customFormat="1" ht="15" customHeight="1">
      <c r="CN531" s="375"/>
      <c r="CO531" s="376"/>
      <c r="CP531" s="376"/>
      <c r="CQ531" s="376"/>
      <c r="CR531" s="376"/>
      <c r="CS531" s="376"/>
      <c r="CT531" s="376"/>
      <c r="CU531" s="376"/>
      <c r="CV531" s="376"/>
      <c r="CW531" s="376"/>
      <c r="CX531" s="376"/>
      <c r="CY531" s="376"/>
      <c r="CZ531" s="376"/>
      <c r="DA531" s="376"/>
      <c r="DB531" s="376"/>
      <c r="DC531" s="376"/>
      <c r="DD531" s="376"/>
      <c r="DE531" s="376"/>
      <c r="DF531" s="376"/>
      <c r="DG531" s="376"/>
      <c r="DH531" s="376"/>
      <c r="DI531" s="376"/>
      <c r="DJ531" s="376"/>
      <c r="DK531" s="376"/>
      <c r="DL531" s="376"/>
      <c r="DM531" s="376"/>
      <c r="DN531" s="376"/>
    </row>
    <row r="532" spans="92:118" s="347" customFormat="1" ht="15" customHeight="1">
      <c r="CN532" s="375"/>
      <c r="CO532" s="376"/>
      <c r="CP532" s="376"/>
      <c r="CQ532" s="376"/>
      <c r="CR532" s="376"/>
      <c r="CS532" s="376"/>
      <c r="CT532" s="376"/>
      <c r="CU532" s="376"/>
      <c r="CV532" s="376"/>
      <c r="CW532" s="376"/>
      <c r="CX532" s="376"/>
      <c r="CY532" s="376"/>
      <c r="CZ532" s="376"/>
      <c r="DA532" s="376"/>
      <c r="DB532" s="376"/>
      <c r="DC532" s="376"/>
      <c r="DD532" s="376"/>
      <c r="DE532" s="376"/>
      <c r="DF532" s="376"/>
      <c r="DG532" s="376"/>
      <c r="DH532" s="376"/>
      <c r="DI532" s="376"/>
      <c r="DJ532" s="376"/>
      <c r="DK532" s="376"/>
      <c r="DL532" s="376"/>
      <c r="DM532" s="376"/>
      <c r="DN532" s="376"/>
    </row>
    <row r="533" spans="92:118" s="347" customFormat="1" ht="15" customHeight="1">
      <c r="CN533" s="375"/>
      <c r="CO533" s="376"/>
      <c r="CP533" s="376"/>
      <c r="CQ533" s="376"/>
      <c r="CR533" s="376"/>
      <c r="CS533" s="376"/>
      <c r="CT533" s="376"/>
      <c r="CU533" s="376"/>
      <c r="CV533" s="376"/>
      <c r="CW533" s="376"/>
      <c r="CX533" s="376"/>
      <c r="CY533" s="376"/>
      <c r="CZ533" s="376"/>
      <c r="DA533" s="376"/>
      <c r="DB533" s="376"/>
      <c r="DC533" s="376"/>
      <c r="DD533" s="376"/>
      <c r="DE533" s="376"/>
      <c r="DF533" s="376"/>
      <c r="DG533" s="376"/>
      <c r="DH533" s="376"/>
      <c r="DI533" s="376"/>
      <c r="DJ533" s="376"/>
      <c r="DK533" s="376"/>
      <c r="DL533" s="376"/>
      <c r="DM533" s="376"/>
      <c r="DN533" s="376"/>
    </row>
    <row r="534" spans="92:118" s="347" customFormat="1" ht="15" customHeight="1">
      <c r="CN534" s="375"/>
      <c r="CO534" s="376"/>
      <c r="CP534" s="376"/>
      <c r="CQ534" s="376"/>
      <c r="CR534" s="376"/>
      <c r="CS534" s="376"/>
      <c r="CT534" s="376"/>
      <c r="CU534" s="376"/>
      <c r="CV534" s="376"/>
      <c r="CW534" s="376"/>
      <c r="CX534" s="376"/>
      <c r="CY534" s="376"/>
      <c r="CZ534" s="376"/>
      <c r="DA534" s="376"/>
      <c r="DB534" s="376"/>
      <c r="DC534" s="376"/>
      <c r="DD534" s="376"/>
      <c r="DE534" s="376"/>
      <c r="DF534" s="376"/>
      <c r="DG534" s="376"/>
      <c r="DH534" s="376"/>
      <c r="DI534" s="376"/>
      <c r="DJ534" s="376"/>
      <c r="DK534" s="376"/>
      <c r="DL534" s="376"/>
      <c r="DM534" s="376"/>
      <c r="DN534" s="376"/>
    </row>
    <row r="535" spans="92:118" s="347" customFormat="1" ht="15" customHeight="1">
      <c r="CN535" s="375"/>
      <c r="CO535" s="376"/>
      <c r="CP535" s="376"/>
      <c r="CQ535" s="376"/>
      <c r="CR535" s="376"/>
      <c r="CS535" s="376"/>
      <c r="CT535" s="376"/>
      <c r="CU535" s="376"/>
      <c r="CV535" s="376"/>
      <c r="CW535" s="376"/>
      <c r="CX535" s="376"/>
      <c r="CY535" s="376"/>
      <c r="CZ535" s="376"/>
      <c r="DA535" s="376"/>
      <c r="DB535" s="376"/>
      <c r="DC535" s="376"/>
      <c r="DD535" s="376"/>
      <c r="DE535" s="376"/>
      <c r="DF535" s="376"/>
      <c r="DG535" s="376"/>
      <c r="DH535" s="376"/>
      <c r="DI535" s="376"/>
      <c r="DJ535" s="376"/>
      <c r="DK535" s="376"/>
      <c r="DL535" s="376"/>
      <c r="DM535" s="376"/>
      <c r="DN535" s="376"/>
    </row>
    <row r="536" spans="92:118" s="347" customFormat="1" ht="15" customHeight="1">
      <c r="CN536" s="375"/>
      <c r="CO536" s="376"/>
      <c r="CP536" s="376"/>
      <c r="CQ536" s="376"/>
      <c r="CR536" s="376"/>
      <c r="CS536" s="376"/>
      <c r="CT536" s="376"/>
      <c r="CU536" s="376"/>
      <c r="CV536" s="376"/>
      <c r="CW536" s="376"/>
      <c r="CX536" s="376"/>
      <c r="CY536" s="376"/>
      <c r="CZ536" s="376"/>
      <c r="DA536" s="376"/>
      <c r="DB536" s="376"/>
      <c r="DC536" s="376"/>
      <c r="DD536" s="376"/>
      <c r="DE536" s="376"/>
      <c r="DF536" s="376"/>
      <c r="DG536" s="376"/>
      <c r="DH536" s="376"/>
      <c r="DI536" s="376"/>
      <c r="DJ536" s="376"/>
      <c r="DK536" s="376"/>
      <c r="DL536" s="376"/>
      <c r="DM536" s="376"/>
      <c r="DN536" s="376"/>
    </row>
    <row r="537" spans="92:118" s="347" customFormat="1" ht="15" customHeight="1">
      <c r="CN537" s="375"/>
      <c r="CO537" s="376"/>
      <c r="CP537" s="376"/>
      <c r="CQ537" s="376"/>
      <c r="CR537" s="376"/>
      <c r="CS537" s="376"/>
      <c r="CT537" s="376"/>
      <c r="CU537" s="376"/>
      <c r="CV537" s="376"/>
      <c r="CW537" s="376"/>
      <c r="CX537" s="376"/>
      <c r="CY537" s="376"/>
      <c r="CZ537" s="376"/>
      <c r="DA537" s="376"/>
      <c r="DB537" s="376"/>
      <c r="DC537" s="376"/>
      <c r="DD537" s="376"/>
      <c r="DE537" s="376"/>
      <c r="DF537" s="376"/>
      <c r="DG537" s="376"/>
      <c r="DH537" s="376"/>
      <c r="DI537" s="376"/>
      <c r="DJ537" s="376"/>
      <c r="DK537" s="376"/>
      <c r="DL537" s="376"/>
      <c r="DM537" s="376"/>
      <c r="DN537" s="376"/>
    </row>
    <row r="538" spans="92:118" s="347" customFormat="1" ht="15" customHeight="1">
      <c r="CN538" s="375"/>
      <c r="CO538" s="376"/>
      <c r="CP538" s="376"/>
      <c r="CQ538" s="376"/>
      <c r="CR538" s="376"/>
      <c r="CS538" s="376"/>
      <c r="CT538" s="376"/>
      <c r="CU538" s="376"/>
      <c r="CV538" s="376"/>
      <c r="CW538" s="376"/>
      <c r="CX538" s="376"/>
      <c r="CY538" s="376"/>
      <c r="CZ538" s="376"/>
      <c r="DA538" s="376"/>
      <c r="DB538" s="376"/>
      <c r="DC538" s="376"/>
      <c r="DD538" s="376"/>
      <c r="DE538" s="376"/>
      <c r="DF538" s="376"/>
      <c r="DG538" s="376"/>
      <c r="DH538" s="376"/>
      <c r="DI538" s="376"/>
      <c r="DJ538" s="376"/>
      <c r="DK538" s="376"/>
      <c r="DL538" s="376"/>
      <c r="DM538" s="376"/>
      <c r="DN538" s="376"/>
    </row>
    <row r="539" spans="92:118" s="347" customFormat="1" ht="15" customHeight="1">
      <c r="CN539" s="375"/>
      <c r="CO539" s="376"/>
      <c r="CP539" s="376"/>
      <c r="CQ539" s="376"/>
      <c r="CR539" s="376"/>
      <c r="CS539" s="376"/>
      <c r="CT539" s="376"/>
      <c r="CU539" s="376"/>
      <c r="CV539" s="376"/>
      <c r="CW539" s="376"/>
      <c r="CX539" s="376"/>
      <c r="CY539" s="376"/>
      <c r="CZ539" s="376"/>
      <c r="DA539" s="376"/>
      <c r="DB539" s="376"/>
      <c r="DC539" s="376"/>
      <c r="DD539" s="376"/>
      <c r="DE539" s="376"/>
      <c r="DF539" s="376"/>
      <c r="DG539" s="376"/>
      <c r="DH539" s="376"/>
      <c r="DI539" s="376"/>
      <c r="DJ539" s="376"/>
      <c r="DK539" s="376"/>
      <c r="DL539" s="376"/>
      <c r="DM539" s="376"/>
      <c r="DN539" s="376"/>
    </row>
    <row r="540" spans="92:118" s="347" customFormat="1" ht="15" customHeight="1">
      <c r="CN540" s="375"/>
      <c r="CO540" s="376"/>
      <c r="CP540" s="376"/>
      <c r="CQ540" s="376"/>
      <c r="CR540" s="376"/>
      <c r="CS540" s="376"/>
      <c r="CT540" s="376"/>
      <c r="CU540" s="376"/>
      <c r="CV540" s="376"/>
      <c r="CW540" s="376"/>
      <c r="CX540" s="376"/>
      <c r="CY540" s="376"/>
      <c r="CZ540" s="376"/>
      <c r="DA540" s="376"/>
      <c r="DB540" s="376"/>
      <c r="DC540" s="376"/>
      <c r="DD540" s="376"/>
      <c r="DE540" s="376"/>
      <c r="DF540" s="376"/>
      <c r="DG540" s="376"/>
      <c r="DH540" s="376"/>
      <c r="DI540" s="376"/>
      <c r="DJ540" s="376"/>
      <c r="DK540" s="376"/>
      <c r="DL540" s="376"/>
      <c r="DM540" s="376"/>
      <c r="DN540" s="376"/>
    </row>
    <row r="541" spans="92:118" s="347" customFormat="1" ht="15" customHeight="1">
      <c r="CN541" s="375"/>
      <c r="CO541" s="376"/>
      <c r="CP541" s="376"/>
      <c r="CQ541" s="376"/>
      <c r="CR541" s="376"/>
      <c r="CS541" s="376"/>
      <c r="CT541" s="376"/>
      <c r="CU541" s="376"/>
      <c r="CV541" s="376"/>
      <c r="CW541" s="376"/>
      <c r="CX541" s="376"/>
      <c r="CY541" s="376"/>
      <c r="CZ541" s="376"/>
      <c r="DA541" s="376"/>
      <c r="DB541" s="376"/>
      <c r="DC541" s="376"/>
      <c r="DD541" s="376"/>
      <c r="DE541" s="376"/>
      <c r="DF541" s="376"/>
      <c r="DG541" s="376"/>
      <c r="DH541" s="376"/>
      <c r="DI541" s="376"/>
      <c r="DJ541" s="376"/>
      <c r="DK541" s="376"/>
      <c r="DL541" s="376"/>
      <c r="DM541" s="376"/>
      <c r="DN541" s="376"/>
    </row>
    <row r="542" spans="92:118" s="347" customFormat="1" ht="15" customHeight="1">
      <c r="CN542" s="375"/>
      <c r="CO542" s="376"/>
      <c r="CP542" s="376"/>
      <c r="CQ542" s="376"/>
      <c r="CR542" s="376"/>
      <c r="CS542" s="376"/>
      <c r="CT542" s="376"/>
      <c r="CU542" s="376"/>
      <c r="CV542" s="376"/>
      <c r="CW542" s="376"/>
      <c r="CX542" s="376"/>
      <c r="CY542" s="376"/>
      <c r="CZ542" s="376"/>
      <c r="DA542" s="376"/>
      <c r="DB542" s="376"/>
      <c r="DC542" s="376"/>
      <c r="DD542" s="376"/>
      <c r="DE542" s="376"/>
      <c r="DF542" s="376"/>
      <c r="DG542" s="376"/>
      <c r="DH542" s="376"/>
      <c r="DI542" s="376"/>
      <c r="DJ542" s="376"/>
      <c r="DK542" s="376"/>
      <c r="DL542" s="376"/>
      <c r="DM542" s="376"/>
      <c r="DN542" s="376"/>
    </row>
    <row r="543" spans="92:118" s="347" customFormat="1" ht="15" customHeight="1">
      <c r="CN543" s="375"/>
      <c r="CO543" s="376"/>
      <c r="CP543" s="376"/>
      <c r="CQ543" s="376"/>
      <c r="CR543" s="376"/>
      <c r="CS543" s="376"/>
      <c r="CT543" s="376"/>
      <c r="CU543" s="376"/>
      <c r="CV543" s="376"/>
      <c r="CW543" s="376"/>
      <c r="CX543" s="376"/>
      <c r="CY543" s="376"/>
      <c r="CZ543" s="376"/>
      <c r="DA543" s="376"/>
      <c r="DB543" s="376"/>
      <c r="DC543" s="376"/>
      <c r="DD543" s="376"/>
      <c r="DE543" s="376"/>
      <c r="DF543" s="376"/>
      <c r="DG543" s="376"/>
      <c r="DH543" s="376"/>
      <c r="DI543" s="376"/>
      <c r="DJ543" s="376"/>
      <c r="DK543" s="376"/>
      <c r="DL543" s="376"/>
      <c r="DM543" s="376"/>
      <c r="DN543" s="376"/>
    </row>
    <row r="544" spans="92:118" s="347" customFormat="1" ht="15" customHeight="1">
      <c r="CN544" s="375"/>
      <c r="CO544" s="376"/>
      <c r="CP544" s="376"/>
      <c r="CQ544" s="376"/>
      <c r="CR544" s="376"/>
      <c r="CS544" s="376"/>
      <c r="CT544" s="376"/>
      <c r="CU544" s="376"/>
      <c r="CV544" s="376"/>
      <c r="CW544" s="376"/>
      <c r="CX544" s="376"/>
      <c r="CY544" s="376"/>
      <c r="CZ544" s="376"/>
      <c r="DA544" s="376"/>
      <c r="DB544" s="376"/>
      <c r="DC544" s="376"/>
      <c r="DD544" s="376"/>
      <c r="DE544" s="376"/>
      <c r="DF544" s="376"/>
      <c r="DG544" s="376"/>
      <c r="DH544" s="376"/>
      <c r="DI544" s="376"/>
      <c r="DJ544" s="376"/>
      <c r="DK544" s="376"/>
      <c r="DL544" s="376"/>
      <c r="DM544" s="376"/>
      <c r="DN544" s="376"/>
    </row>
    <row r="545" spans="92:118" s="347" customFormat="1" ht="15" customHeight="1">
      <c r="CN545" s="375"/>
      <c r="CO545" s="376"/>
      <c r="CP545" s="376"/>
      <c r="CQ545" s="376"/>
      <c r="CR545" s="376"/>
      <c r="CS545" s="376"/>
      <c r="CT545" s="376"/>
      <c r="CU545" s="376"/>
      <c r="CV545" s="376"/>
      <c r="CW545" s="376"/>
      <c r="CX545" s="376"/>
      <c r="CY545" s="376"/>
      <c r="CZ545" s="376"/>
      <c r="DA545" s="376"/>
      <c r="DB545" s="376"/>
      <c r="DC545" s="376"/>
      <c r="DD545" s="376"/>
      <c r="DE545" s="376"/>
      <c r="DF545" s="376"/>
      <c r="DG545" s="376"/>
      <c r="DH545" s="376"/>
      <c r="DI545" s="376"/>
      <c r="DJ545" s="376"/>
      <c r="DK545" s="376"/>
      <c r="DL545" s="376"/>
      <c r="DM545" s="376"/>
      <c r="DN545" s="376"/>
    </row>
    <row r="546" spans="92:118" s="347" customFormat="1" ht="15" customHeight="1">
      <c r="CN546" s="375"/>
      <c r="CO546" s="376"/>
      <c r="CP546" s="376"/>
      <c r="CQ546" s="376"/>
      <c r="CR546" s="376"/>
      <c r="CS546" s="376"/>
      <c r="CT546" s="376"/>
      <c r="CU546" s="376"/>
      <c r="CV546" s="376"/>
      <c r="CW546" s="376"/>
      <c r="CX546" s="376"/>
      <c r="CY546" s="376"/>
      <c r="CZ546" s="376"/>
      <c r="DA546" s="376"/>
      <c r="DB546" s="376"/>
      <c r="DC546" s="376"/>
      <c r="DD546" s="376"/>
      <c r="DE546" s="376"/>
      <c r="DF546" s="376"/>
      <c r="DG546" s="376"/>
      <c r="DH546" s="376"/>
      <c r="DI546" s="376"/>
      <c r="DJ546" s="376"/>
      <c r="DK546" s="376"/>
      <c r="DL546" s="376"/>
      <c r="DM546" s="376"/>
      <c r="DN546" s="376"/>
    </row>
    <row r="547" spans="92:118" s="347" customFormat="1" ht="15" customHeight="1">
      <c r="CN547" s="375"/>
      <c r="CO547" s="376"/>
      <c r="CP547" s="376"/>
      <c r="CQ547" s="376"/>
      <c r="CR547" s="376"/>
      <c r="CS547" s="376"/>
      <c r="CT547" s="376"/>
      <c r="CU547" s="376"/>
      <c r="CV547" s="376"/>
      <c r="CW547" s="376"/>
      <c r="CX547" s="376"/>
      <c r="CY547" s="376"/>
      <c r="CZ547" s="376"/>
      <c r="DA547" s="376"/>
      <c r="DB547" s="376"/>
      <c r="DC547" s="376"/>
      <c r="DD547" s="376"/>
      <c r="DE547" s="376"/>
      <c r="DF547" s="376"/>
      <c r="DG547" s="376"/>
      <c r="DH547" s="376"/>
      <c r="DI547" s="376"/>
      <c r="DJ547" s="376"/>
      <c r="DK547" s="376"/>
      <c r="DL547" s="376"/>
      <c r="DM547" s="376"/>
      <c r="DN547" s="376"/>
    </row>
    <row r="548" spans="92:118" s="347" customFormat="1" ht="15" customHeight="1">
      <c r="CN548" s="375"/>
      <c r="CO548" s="376"/>
      <c r="CP548" s="376"/>
      <c r="CQ548" s="376"/>
      <c r="CR548" s="376"/>
      <c r="CS548" s="376"/>
      <c r="CT548" s="376"/>
      <c r="CU548" s="376"/>
      <c r="CV548" s="376"/>
      <c r="CW548" s="376"/>
      <c r="CX548" s="376"/>
      <c r="CY548" s="376"/>
      <c r="CZ548" s="376"/>
      <c r="DA548" s="376"/>
      <c r="DB548" s="376"/>
      <c r="DC548" s="376"/>
      <c r="DD548" s="376"/>
      <c r="DE548" s="376"/>
      <c r="DF548" s="376"/>
      <c r="DG548" s="376"/>
      <c r="DH548" s="376"/>
      <c r="DI548" s="376"/>
      <c r="DJ548" s="376"/>
      <c r="DK548" s="376"/>
      <c r="DL548" s="376"/>
      <c r="DM548" s="376"/>
      <c r="DN548" s="376"/>
    </row>
    <row r="549" spans="92:118" s="347" customFormat="1" ht="15" customHeight="1">
      <c r="CN549" s="375"/>
      <c r="CO549" s="376"/>
      <c r="CP549" s="376"/>
      <c r="CQ549" s="376"/>
      <c r="CR549" s="376"/>
      <c r="CS549" s="376"/>
      <c r="CT549" s="376"/>
      <c r="CU549" s="376"/>
      <c r="CV549" s="376"/>
      <c r="CW549" s="376"/>
      <c r="CX549" s="376"/>
      <c r="CY549" s="376"/>
      <c r="CZ549" s="376"/>
      <c r="DA549" s="376"/>
      <c r="DB549" s="376"/>
      <c r="DC549" s="376"/>
      <c r="DD549" s="376"/>
      <c r="DE549" s="376"/>
      <c r="DF549" s="376"/>
      <c r="DG549" s="376"/>
      <c r="DH549" s="376"/>
      <c r="DI549" s="376"/>
      <c r="DJ549" s="376"/>
      <c r="DK549" s="376"/>
      <c r="DL549" s="376"/>
      <c r="DM549" s="376"/>
      <c r="DN549" s="376"/>
    </row>
  </sheetData>
  <sheetProtection algorithmName="SHA-512" hashValue="Y+sJseipUSNtao+ZHdI4IelSfR0if6ZumPLZ9zls7XKhnx6d+PaXY3+JQ6THK/8iVMikAiomc2znpV7aPXriyA==" saltValue="s3DBYNfcl6edmqUtmZ56aQ==" spinCount="100000" sheet="1" objects="1" scenarios="1"/>
  <mergeCells count="68">
    <mergeCell ref="AE66:AX67"/>
    <mergeCell ref="D228:E228"/>
    <mergeCell ref="W228:X228"/>
    <mergeCell ref="A221:E221"/>
    <mergeCell ref="W221:X221"/>
    <mergeCell ref="AI221:AJ221"/>
    <mergeCell ref="D222:E222"/>
    <mergeCell ref="W222:X222"/>
    <mergeCell ref="A224:E224"/>
    <mergeCell ref="W224:X224"/>
    <mergeCell ref="AI224:AJ224"/>
    <mergeCell ref="D225:E225"/>
    <mergeCell ref="W225:X225"/>
    <mergeCell ref="A227:E227"/>
    <mergeCell ref="W227:X227"/>
    <mergeCell ref="AI227:AJ227"/>
    <mergeCell ref="D219:E219"/>
    <mergeCell ref="W219:X219"/>
    <mergeCell ref="Z210:AD210"/>
    <mergeCell ref="AI210:AJ210"/>
    <mergeCell ref="Z211:AD211"/>
    <mergeCell ref="AI211:AJ211"/>
    <mergeCell ref="A215:E215"/>
    <mergeCell ref="W215:X215"/>
    <mergeCell ref="AI215:AJ215"/>
    <mergeCell ref="D216:E216"/>
    <mergeCell ref="W216:X216"/>
    <mergeCell ref="A218:E218"/>
    <mergeCell ref="W218:X218"/>
    <mergeCell ref="AI218:AJ218"/>
    <mergeCell ref="DD19:DG19"/>
    <mergeCell ref="CN13:CN19"/>
    <mergeCell ref="CO13:CO18"/>
    <mergeCell ref="CP13:CP18"/>
    <mergeCell ref="CQ13:CQ18"/>
    <mergeCell ref="CR19:CW19"/>
    <mergeCell ref="CX19:DC19"/>
    <mergeCell ref="DD13:DG13"/>
    <mergeCell ref="CR14:CS17"/>
    <mergeCell ref="CT14:CU17"/>
    <mergeCell ref="CV14:CW17"/>
    <mergeCell ref="CX14:CZ17"/>
    <mergeCell ref="DA14:DC17"/>
    <mergeCell ref="DD14:DE17"/>
    <mergeCell ref="CR13:CW13"/>
    <mergeCell ref="CX13:DC13"/>
    <mergeCell ref="DN14:DN17"/>
    <mergeCell ref="DF14:DG17"/>
    <mergeCell ref="DI14:DI17"/>
    <mergeCell ref="DJ14:DJ17"/>
    <mergeCell ref="DK14:DK17"/>
    <mergeCell ref="DL14:DL17"/>
    <mergeCell ref="DM14:DM17"/>
    <mergeCell ref="DI13:DN13"/>
    <mergeCell ref="CN10:CQ11"/>
    <mergeCell ref="A4:C4"/>
    <mergeCell ref="D4:I4"/>
    <mergeCell ref="CB6:CD6"/>
    <mergeCell ref="CE6:CG6"/>
    <mergeCell ref="CB7:CB8"/>
    <mergeCell ref="CC7:CC8"/>
    <mergeCell ref="CD7:CD8"/>
    <mergeCell ref="CE7:CG8"/>
    <mergeCell ref="CH7:CH8"/>
    <mergeCell ref="CI7:CI8"/>
    <mergeCell ref="CJ7:CJ8"/>
    <mergeCell ref="CK7:CK8"/>
    <mergeCell ref="CL7:CL8"/>
  </mergeCells>
  <conditionalFormatting sqref="A215 Z210:AC211 A218 A221 A224 A227">
    <cfRule type="expression" dxfId="20" priority="9">
      <formula>ISBLANK(A210)</formula>
    </cfRule>
  </conditionalFormatting>
  <conditionalFormatting sqref="CE9:CG25 CE26:CE65 CF26:CG221">
    <cfRule type="expression" dxfId="19" priority="8">
      <formula>ISBLANK(CE9)</formula>
    </cfRule>
  </conditionalFormatting>
  <conditionalFormatting sqref="BM11:BQ32 BM43:BQ53 BM55:BQ72">
    <cfRule type="expression" dxfId="18" priority="6">
      <formula>ISBLANK(BM11)</formula>
    </cfRule>
  </conditionalFormatting>
  <conditionalFormatting sqref="BM11:BQ32 BM43:BQ53 BM55:BQ72">
    <cfRule type="expression" dxfId="17" priority="5">
      <formula>BM11=0</formula>
    </cfRule>
  </conditionalFormatting>
  <conditionalFormatting sqref="D4:I4">
    <cfRule type="cellIs" dxfId="16" priority="4" operator="equal">
      <formula>"Bauteil"</formula>
    </cfRule>
  </conditionalFormatting>
  <conditionalFormatting sqref="A4:C4">
    <cfRule type="cellIs" dxfId="15" priority="3" operator="equal">
      <formula>"Pos.Nr"</formula>
    </cfRule>
  </conditionalFormatting>
  <dataValidations count="2">
    <dataValidation type="list" allowBlank="1" showInputMessage="1" showErrorMessage="1" sqref="A227:D227 A221:D221 A224:D224 A218:D218 A215" xr:uid="{00000000-0002-0000-1300-000000000000}">
      <formula1>$BZ$7:$BZ$44</formula1>
    </dataValidation>
    <dataValidation type="list" allowBlank="1" showInputMessage="1" showErrorMessage="1" sqref="Z210:AD211 AM14:AM15 AE14:AE15 AC14:AD14" xr:uid="{00000000-0002-0000-1300-000001000000}">
      <formula1>#REF!</formula1>
    </dataValidation>
  </dataValidations>
  <pageMargins left="0.82677165354330717" right="0.39370078740157483" top="1.2204724409448819" bottom="0.39370078740157483" header="0.47244094488188981" footer="0.31496062992125984"/>
  <pageSetup paperSize="9" orientation="portrait" r:id="rId1"/>
  <headerFooter differentFirst="1" scaleWithDoc="0">
    <oddHeader>&amp;L&amp;G&amp;C&amp;"Univers LT 45 Light,Standard"     BBSR
                         Rasterbemessung&amp;R&amp;"Univers LT 45 Light,Standard" 517.1204
             tri/&amp;D</oddHeader>
    <firstHeader>&amp;L&amp;G&amp;C&amp;"Univers LT 45 Light,Standard"     Projekt&amp;R&amp;"Univers LT 45 Light,Standard" 515.xxxx
             xxx/&amp;D</firstHeader>
  </headerFooter>
  <ignoredErrors>
    <ignoredError sqref="BE54:BF54" formula="1"/>
  </ignoredErrors>
  <drawing r:id="rId2"/>
  <legacyDrawingHF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Tabelle1">
    <tabColor rgb="FFFF9999"/>
  </sheetPr>
  <dimension ref="A1:BF410"/>
  <sheetViews>
    <sheetView zoomScaleNormal="100" workbookViewId="0">
      <selection activeCell="D1" sqref="D1:E2"/>
    </sheetView>
  </sheetViews>
  <sheetFormatPr baseColWidth="10" defaultColWidth="11.5" defaultRowHeight="15" customHeight="1"/>
  <cols>
    <col min="1" max="7" width="2.1640625" style="330" customWidth="1"/>
    <col min="8" max="8" width="8.33203125" style="330" customWidth="1"/>
    <col min="9" max="9" width="5.33203125" style="330" customWidth="1"/>
    <col min="10" max="15" width="4.5" style="330" bestFit="1" customWidth="1"/>
    <col min="16" max="16" width="5.5" style="330" bestFit="1" customWidth="1"/>
    <col min="17" max="19" width="7.33203125" style="330" bestFit="1" customWidth="1"/>
    <col min="20" max="57" width="2.1640625" style="330" customWidth="1"/>
    <col min="58" max="58" width="1.5" style="330" customWidth="1"/>
    <col min="59" max="16384" width="11.5" style="330"/>
  </cols>
  <sheetData>
    <row r="1" spans="1:58" ht="15" customHeight="1">
      <c r="A1" s="466"/>
      <c r="U1" s="466"/>
      <c r="V1" s="466"/>
      <c r="W1" s="466"/>
      <c r="X1" s="466"/>
      <c r="Y1" s="466"/>
      <c r="Z1" s="466"/>
      <c r="AA1" s="466"/>
      <c r="AB1" s="466"/>
      <c r="AC1" s="466"/>
      <c r="AD1" s="466"/>
      <c r="AE1" s="466"/>
      <c r="AF1" s="466"/>
      <c r="AG1" s="466"/>
      <c r="AH1" s="466"/>
      <c r="AI1" s="466"/>
      <c r="AJ1" s="466"/>
      <c r="AK1" s="466"/>
      <c r="AL1" s="466"/>
      <c r="AM1" s="466"/>
      <c r="AN1" s="466"/>
      <c r="AO1" s="466"/>
      <c r="AP1" s="466"/>
      <c r="AQ1" s="466"/>
      <c r="AR1" s="466"/>
      <c r="AS1" s="466"/>
      <c r="AT1" s="466"/>
      <c r="AU1" s="466"/>
      <c r="AV1" s="466"/>
      <c r="AW1" s="466"/>
      <c r="AX1" s="466"/>
      <c r="AY1" s="466"/>
      <c r="AZ1" s="466"/>
      <c r="BA1" s="466"/>
      <c r="BB1" s="466"/>
      <c r="BC1" s="466"/>
      <c r="BD1" s="466"/>
      <c r="BE1" s="466"/>
      <c r="BF1" s="169"/>
    </row>
    <row r="2" spans="1:58" ht="15" customHeight="1">
      <c r="A2" s="466"/>
      <c r="B2" s="473" t="s">
        <v>860</v>
      </c>
      <c r="U2" s="466"/>
      <c r="V2" s="466"/>
      <c r="W2" s="466"/>
      <c r="X2" s="466"/>
      <c r="Y2" s="466"/>
      <c r="Z2" s="466"/>
      <c r="AA2" s="466"/>
      <c r="AB2" s="466"/>
      <c r="AC2" s="466"/>
      <c r="AD2" s="466"/>
      <c r="AE2" s="466"/>
      <c r="AF2" s="466"/>
      <c r="AG2" s="466"/>
      <c r="AH2" s="466"/>
      <c r="AI2" s="466"/>
      <c r="AJ2" s="466"/>
      <c r="AK2" s="466"/>
      <c r="AL2" s="466"/>
      <c r="AM2" s="466"/>
      <c r="AN2" s="466"/>
      <c r="AO2" s="466"/>
      <c r="AP2" s="466"/>
      <c r="AQ2" s="466"/>
      <c r="AR2" s="466"/>
      <c r="AS2" s="466"/>
      <c r="AT2" s="466"/>
      <c r="AU2" s="466"/>
      <c r="AV2" s="466"/>
      <c r="AW2" s="466"/>
      <c r="AX2" s="466"/>
      <c r="AY2" s="466"/>
      <c r="AZ2" s="466"/>
      <c r="BA2" s="466"/>
      <c r="BB2" s="466"/>
      <c r="BC2" s="466"/>
      <c r="BD2" s="466"/>
      <c r="BE2" s="466"/>
      <c r="BF2" s="169"/>
    </row>
    <row r="3" spans="1:58" ht="15" customHeight="1">
      <c r="A3" s="466"/>
      <c r="U3" s="467"/>
      <c r="V3" s="467"/>
      <c r="W3" s="467"/>
      <c r="X3" s="466"/>
      <c r="Y3" s="466"/>
      <c r="Z3" s="466"/>
      <c r="AA3" s="466"/>
      <c r="AB3" s="466"/>
      <c r="AC3" s="466"/>
      <c r="AD3" s="466"/>
      <c r="AE3" s="466"/>
      <c r="AF3" s="466"/>
      <c r="AG3" s="466"/>
      <c r="AH3" s="466"/>
      <c r="AI3" s="466"/>
      <c r="AJ3" s="466"/>
      <c r="AK3" s="466"/>
      <c r="AL3" s="466"/>
      <c r="AM3" s="466"/>
      <c r="AN3" s="466"/>
      <c r="AO3" s="466"/>
      <c r="AP3" s="466"/>
      <c r="AQ3" s="466"/>
      <c r="AR3" s="466"/>
      <c r="AS3" s="466"/>
      <c r="AT3" s="466"/>
      <c r="AU3" s="466"/>
      <c r="AV3" s="466"/>
      <c r="AW3" s="466"/>
      <c r="AX3" s="466"/>
      <c r="AY3" s="466"/>
      <c r="AZ3" s="466"/>
      <c r="BA3" s="466"/>
      <c r="BB3" s="466"/>
      <c r="BC3" s="466"/>
      <c r="BD3" s="466"/>
      <c r="BE3" s="466"/>
      <c r="BF3" s="169"/>
    </row>
    <row r="4" spans="1:58" ht="15" customHeight="1">
      <c r="A4" s="466"/>
      <c r="B4" s="466" t="s">
        <v>866</v>
      </c>
      <c r="C4" s="466"/>
      <c r="D4" s="466"/>
      <c r="E4" s="466"/>
      <c r="F4" s="466"/>
      <c r="G4" s="466"/>
      <c r="H4" s="466"/>
      <c r="I4" s="466" t="s">
        <v>829</v>
      </c>
      <c r="J4" s="466"/>
      <c r="K4" s="466"/>
      <c r="L4" s="466"/>
      <c r="M4" s="466"/>
      <c r="N4" s="466"/>
      <c r="O4" s="466"/>
      <c r="P4" s="466"/>
      <c r="Q4" s="466"/>
      <c r="R4" s="466"/>
      <c r="S4" s="466"/>
      <c r="T4" s="466"/>
      <c r="U4" s="466"/>
      <c r="V4" s="466"/>
      <c r="W4" s="466"/>
      <c r="X4" s="466"/>
      <c r="Y4" s="466"/>
      <c r="Z4" s="466"/>
      <c r="AA4" s="466"/>
      <c r="AB4" s="466"/>
      <c r="AC4" s="466"/>
      <c r="AD4" s="466"/>
      <c r="AE4" s="466"/>
      <c r="AF4" s="466"/>
      <c r="AG4" s="466"/>
      <c r="AH4" s="466"/>
      <c r="AI4" s="466"/>
      <c r="AJ4" s="466"/>
      <c r="AK4" s="466"/>
      <c r="AL4" s="466"/>
      <c r="AM4" s="466"/>
      <c r="AN4" s="466"/>
      <c r="AO4" s="466"/>
      <c r="AP4" s="466"/>
      <c r="AQ4" s="466"/>
      <c r="AR4" s="466"/>
      <c r="AS4" s="466"/>
      <c r="AT4" s="466"/>
      <c r="AU4" s="466"/>
      <c r="AV4" s="466"/>
      <c r="AW4" s="466"/>
      <c r="AX4" s="466"/>
      <c r="AY4" s="466"/>
      <c r="AZ4" s="466"/>
      <c r="BA4" s="466"/>
      <c r="BB4" s="466"/>
      <c r="BC4" s="466"/>
      <c r="BD4" s="466"/>
      <c r="BE4" s="466"/>
      <c r="BF4" s="169"/>
    </row>
    <row r="5" spans="1:58" ht="15" customHeight="1">
      <c r="A5" s="466"/>
      <c r="B5" s="466"/>
      <c r="C5" s="466"/>
      <c r="D5" s="466"/>
      <c r="E5" s="466"/>
      <c r="F5" s="466"/>
      <c r="G5" s="466"/>
      <c r="H5" s="466"/>
      <c r="J5" s="466"/>
      <c r="K5" s="466"/>
      <c r="L5" s="466"/>
      <c r="M5" s="466"/>
      <c r="N5" s="466"/>
      <c r="O5" s="466"/>
      <c r="P5" s="466"/>
      <c r="Q5" s="466"/>
      <c r="R5" s="466"/>
      <c r="S5" s="466"/>
      <c r="T5" s="466"/>
      <c r="U5" s="466"/>
      <c r="V5" s="466"/>
      <c r="W5" s="466"/>
      <c r="X5" s="466"/>
      <c r="Y5" s="466"/>
      <c r="Z5" s="466"/>
      <c r="AA5" s="466"/>
      <c r="AB5" s="466"/>
      <c r="AC5" s="466"/>
      <c r="AD5" s="466"/>
      <c r="AE5" s="466"/>
      <c r="AF5" s="466"/>
      <c r="AG5" s="466"/>
      <c r="AH5" s="466"/>
      <c r="AI5" s="466"/>
      <c r="AJ5" s="466"/>
      <c r="AK5" s="466"/>
      <c r="AL5" s="466"/>
      <c r="AM5" s="466"/>
      <c r="AN5" s="466"/>
      <c r="AO5" s="466"/>
      <c r="AP5" s="466"/>
      <c r="AQ5" s="466"/>
      <c r="AR5" s="466"/>
      <c r="AS5" s="466"/>
      <c r="AT5" s="466"/>
      <c r="AU5" s="466"/>
      <c r="AV5" s="466"/>
      <c r="AW5" s="466"/>
      <c r="AX5" s="466"/>
      <c r="AY5" s="466"/>
      <c r="AZ5" s="466"/>
      <c r="BA5" s="466"/>
      <c r="BB5" s="466"/>
      <c r="BC5" s="466"/>
      <c r="BD5" s="466"/>
      <c r="BE5" s="466"/>
      <c r="BF5" s="169"/>
    </row>
    <row r="6" spans="1:58" ht="15" customHeight="1">
      <c r="A6" s="466"/>
      <c r="C6" s="466"/>
      <c r="D6" s="466"/>
      <c r="E6" s="466"/>
      <c r="F6" s="466"/>
      <c r="G6" s="466"/>
      <c r="H6" s="466"/>
      <c r="I6" s="465">
        <f>'Hilfstabellen_Mat&amp;Bem'!D51</f>
        <v>2.5</v>
      </c>
      <c r="J6" s="465">
        <f>'Hilfstabellen_Mat&amp;Bem'!D52</f>
        <v>2.65</v>
      </c>
      <c r="K6" s="465">
        <f>'Hilfstabellen_Mat&amp;Bem'!D53</f>
        <v>2.85</v>
      </c>
      <c r="L6" s="465">
        <f>'Hilfstabellen_Mat&amp;Bem'!D54</f>
        <v>3</v>
      </c>
      <c r="M6" s="465">
        <f>'Hilfstabellen_Mat&amp;Bem'!D55</f>
        <v>3.5</v>
      </c>
      <c r="N6" s="465">
        <f>'Hilfstabellen_Mat&amp;Bem'!D56</f>
        <v>4</v>
      </c>
      <c r="O6" s="465">
        <f>'Hilfstabellen_Mat&amp;Bem'!D57</f>
        <v>4.5</v>
      </c>
      <c r="P6" s="465">
        <f>'Hilfstabellen_Mat&amp;Bem'!D58</f>
        <v>5</v>
      </c>
      <c r="Q6" s="465">
        <f>'Hilfstabellen_Mat&amp;Bem'!D59</f>
        <v>5.3</v>
      </c>
      <c r="R6" s="465">
        <f>'Hilfstabellen_Mat&amp;Bem'!D60</f>
        <v>5.7</v>
      </c>
      <c r="S6" s="465">
        <f>'Hilfstabellen_Mat&amp;Bem'!D61</f>
        <v>6</v>
      </c>
      <c r="T6" s="465"/>
      <c r="U6" s="465"/>
      <c r="V6" s="466"/>
      <c r="W6" s="466"/>
      <c r="X6" s="466"/>
      <c r="Y6" s="466"/>
      <c r="Z6" s="466"/>
      <c r="AA6" s="466"/>
      <c r="AB6" s="466"/>
      <c r="AC6" s="466"/>
      <c r="AD6" s="466"/>
      <c r="AE6" s="466"/>
      <c r="AF6" s="466"/>
      <c r="AG6" s="466"/>
      <c r="AH6" s="466"/>
      <c r="AI6" s="466"/>
      <c r="AJ6" s="466"/>
      <c r="AK6" s="466"/>
      <c r="AL6" s="466"/>
      <c r="AM6" s="466"/>
      <c r="AN6" s="466"/>
      <c r="AO6" s="466"/>
      <c r="AP6" s="466"/>
      <c r="AQ6" s="466"/>
      <c r="AR6" s="466"/>
      <c r="AS6" s="466"/>
      <c r="AT6" s="466"/>
      <c r="AU6" s="466"/>
      <c r="AV6" s="466"/>
      <c r="AW6" s="466"/>
      <c r="AX6" s="466"/>
      <c r="AY6" s="466"/>
      <c r="AZ6" s="466"/>
      <c r="BA6" s="466"/>
      <c r="BB6" s="466"/>
      <c r="BC6" s="466"/>
      <c r="BD6" s="466"/>
      <c r="BE6" s="466"/>
      <c r="BF6" s="169"/>
    </row>
    <row r="7" spans="1:58" ht="15" customHeight="1">
      <c r="A7" s="466"/>
      <c r="B7" s="466"/>
      <c r="C7" s="466"/>
      <c r="D7" s="466"/>
      <c r="E7" s="466"/>
      <c r="F7" s="466"/>
      <c r="G7" s="466"/>
      <c r="H7" s="466"/>
      <c r="I7" s="466"/>
      <c r="J7" s="466"/>
      <c r="K7" s="466"/>
      <c r="L7" s="466"/>
      <c r="M7" s="466"/>
      <c r="N7" s="466"/>
      <c r="O7" s="466"/>
      <c r="P7" s="466"/>
      <c r="Q7" s="466"/>
      <c r="R7" s="466"/>
      <c r="S7" s="466"/>
      <c r="T7" s="466"/>
      <c r="U7" s="466"/>
      <c r="V7" s="466"/>
      <c r="W7" s="466"/>
      <c r="X7" s="466"/>
      <c r="Y7" s="466"/>
      <c r="Z7" s="466"/>
      <c r="AA7" s="466"/>
      <c r="AB7" s="466"/>
      <c r="AC7" s="466"/>
      <c r="AD7" s="466"/>
      <c r="AE7" s="466"/>
      <c r="AF7" s="466"/>
      <c r="AG7" s="466"/>
      <c r="AH7" s="466"/>
      <c r="AI7" s="466"/>
      <c r="AJ7" s="466"/>
      <c r="AK7" s="466"/>
      <c r="AL7" s="466"/>
      <c r="AM7" s="466"/>
      <c r="AN7" s="466"/>
      <c r="AO7" s="466"/>
      <c r="AP7" s="466"/>
      <c r="AQ7" s="466"/>
      <c r="AR7" s="466"/>
      <c r="AS7" s="466"/>
      <c r="AT7" s="466"/>
      <c r="AU7" s="466"/>
      <c r="AV7" s="466"/>
      <c r="AW7" s="466"/>
      <c r="AX7" s="466"/>
      <c r="AY7" s="466"/>
      <c r="AZ7" s="466"/>
      <c r="BA7" s="466"/>
      <c r="BB7" s="466"/>
      <c r="BC7" s="466"/>
      <c r="BD7" s="466"/>
      <c r="BE7" s="466"/>
      <c r="BF7" s="169"/>
    </row>
    <row r="8" spans="1:58" ht="15" customHeight="1">
      <c r="A8" s="466"/>
      <c r="B8" s="466" t="s">
        <v>869</v>
      </c>
      <c r="C8" s="466"/>
      <c r="D8" s="466"/>
      <c r="E8" s="466"/>
      <c r="F8" s="466"/>
      <c r="G8" s="466"/>
      <c r="H8" s="466"/>
      <c r="I8" s="477">
        <f ca="1">g_k_250*I6/2</f>
        <v>4.625</v>
      </c>
      <c r="J8" s="477">
        <f ca="1">g_k_265*J6/2</f>
        <v>4.9024999999999999</v>
      </c>
      <c r="K8" s="477">
        <f ca="1">g_k_285*K6/2</f>
        <v>5.2725000000000009</v>
      </c>
      <c r="L8" s="477">
        <f ca="1">g_k_300*L6/2</f>
        <v>5.5500000000000007</v>
      </c>
      <c r="M8" s="477">
        <f ca="1">g_k_350*M6/2</f>
        <v>6.6499999999999995</v>
      </c>
      <c r="N8" s="477">
        <f ca="1">g_k_400*N6/2</f>
        <v>7.8000000000000007</v>
      </c>
      <c r="O8" s="477">
        <f ca="1">g_k_450*O6/2</f>
        <v>9</v>
      </c>
      <c r="P8" s="477">
        <f ca="1">g_k_500*P6/2</f>
        <v>10.5</v>
      </c>
      <c r="Q8" s="477">
        <f ca="1">g_k_530*Q6/2</f>
        <v>11.13</v>
      </c>
      <c r="R8" s="477">
        <f ca="1">g_k_570*R6/2</f>
        <v>12.254999999999999</v>
      </c>
      <c r="S8" s="477">
        <f ca="1">g_k_600*S6/2</f>
        <v>11.700000000000001</v>
      </c>
      <c r="T8" s="477"/>
      <c r="U8" s="477"/>
      <c r="V8" s="466"/>
      <c r="W8" s="466"/>
      <c r="X8" s="466"/>
      <c r="Y8" s="466"/>
      <c r="Z8" s="466"/>
      <c r="AA8" s="466"/>
      <c r="AB8" s="466"/>
      <c r="AC8" s="466"/>
      <c r="AD8" s="466"/>
      <c r="AE8" s="466"/>
      <c r="AF8" s="466"/>
      <c r="AG8" s="466"/>
      <c r="AH8" s="466"/>
      <c r="AI8" s="466"/>
      <c r="AJ8" s="466"/>
      <c r="AK8" s="466"/>
      <c r="AL8" s="466"/>
      <c r="AM8" s="466"/>
      <c r="AN8" s="466"/>
      <c r="AO8" s="466"/>
      <c r="AP8" s="466"/>
      <c r="AQ8" s="466"/>
      <c r="AR8" s="466"/>
      <c r="AS8" s="466"/>
      <c r="AT8" s="466"/>
      <c r="AU8" s="466"/>
      <c r="AV8" s="466"/>
      <c r="AW8" s="466"/>
      <c r="AX8" s="466"/>
      <c r="AY8" s="466"/>
      <c r="AZ8" s="466"/>
      <c r="BA8" s="466"/>
      <c r="BB8" s="466"/>
      <c r="BC8" s="466"/>
      <c r="BD8" s="466"/>
      <c r="BE8" s="466"/>
      <c r="BF8" s="169"/>
    </row>
    <row r="9" spans="1:58" ht="15" customHeight="1">
      <c r="A9" s="466"/>
      <c r="B9" s="466" t="s">
        <v>870</v>
      </c>
      <c r="C9" s="466"/>
      <c r="D9" s="466"/>
      <c r="E9" s="466"/>
      <c r="F9" s="466"/>
      <c r="G9" s="466"/>
      <c r="H9" s="466"/>
      <c r="I9" s="477">
        <f>q_k*I6/2</f>
        <v>2.875</v>
      </c>
      <c r="J9" s="477">
        <f t="shared" ref="J9:S9" si="0">q_k*J6/2</f>
        <v>3.0474999999999999</v>
      </c>
      <c r="K9" s="477">
        <f t="shared" si="0"/>
        <v>3.2774999999999999</v>
      </c>
      <c r="L9" s="477">
        <f t="shared" si="0"/>
        <v>3.4499999999999997</v>
      </c>
      <c r="M9" s="477">
        <f t="shared" si="0"/>
        <v>4.0249999999999995</v>
      </c>
      <c r="N9" s="477">
        <f t="shared" si="0"/>
        <v>4.5999999999999996</v>
      </c>
      <c r="O9" s="477">
        <f t="shared" si="0"/>
        <v>5.1749999999999998</v>
      </c>
      <c r="P9" s="477">
        <f t="shared" si="0"/>
        <v>5.75</v>
      </c>
      <c r="Q9" s="477">
        <f t="shared" si="0"/>
        <v>6.0949999999999998</v>
      </c>
      <c r="R9" s="477">
        <f t="shared" si="0"/>
        <v>6.5549999999999997</v>
      </c>
      <c r="S9" s="477">
        <f t="shared" si="0"/>
        <v>6.8999999999999995</v>
      </c>
      <c r="T9" s="477"/>
      <c r="U9" s="477"/>
      <c r="V9" s="466"/>
      <c r="W9" s="466"/>
      <c r="X9" s="466"/>
      <c r="Y9" s="466"/>
      <c r="Z9" s="466"/>
      <c r="AA9" s="466"/>
      <c r="AB9" s="466"/>
      <c r="AC9" s="466"/>
      <c r="AD9" s="466"/>
      <c r="AE9" s="466"/>
      <c r="AF9" s="466"/>
      <c r="AG9" s="466"/>
      <c r="AH9" s="466"/>
      <c r="AI9" s="466"/>
      <c r="AJ9" s="466"/>
      <c r="AK9" s="466"/>
      <c r="AL9" s="466"/>
      <c r="AM9" s="466"/>
      <c r="AN9" s="466"/>
      <c r="AO9" s="466"/>
      <c r="AP9" s="466"/>
      <c r="AQ9" s="466"/>
      <c r="AR9" s="466"/>
      <c r="AS9" s="466"/>
      <c r="AT9" s="466"/>
      <c r="AU9" s="466"/>
      <c r="AV9" s="466"/>
      <c r="AW9" s="466"/>
      <c r="AX9" s="466"/>
      <c r="AY9" s="466"/>
      <c r="AZ9" s="466"/>
      <c r="BA9" s="466"/>
      <c r="BB9" s="466"/>
      <c r="BC9" s="466"/>
      <c r="BD9" s="466"/>
      <c r="BE9" s="466"/>
      <c r="BF9" s="169"/>
    </row>
    <row r="10" spans="1:58" ht="15" customHeight="1">
      <c r="A10" s="466"/>
      <c r="B10" s="466" t="s">
        <v>868</v>
      </c>
      <c r="C10" s="466"/>
      <c r="D10" s="466"/>
      <c r="E10" s="466"/>
      <c r="F10" s="466"/>
      <c r="G10" s="466"/>
      <c r="H10" s="466"/>
      <c r="I10" s="477">
        <f ca="1">'Hilfstabellen_Mat&amp;Bem'!E43*I6/2</f>
        <v>10.55625</v>
      </c>
      <c r="J10" s="477">
        <f ca="1">'Hilfstabellen_Mat&amp;Bem'!F43*J6/2</f>
        <v>11.189624999999999</v>
      </c>
      <c r="K10" s="477">
        <f ca="1">'Hilfstabellen_Mat&amp;Bem'!G43*K6/2</f>
        <v>12.034125000000001</v>
      </c>
      <c r="L10" s="477">
        <f ca="1">'Hilfstabellen_Mat&amp;Bem'!H43*L6/2</f>
        <v>12.6675</v>
      </c>
      <c r="M10" s="477">
        <f ca="1">'Hilfstabellen_Mat&amp;Bem'!I43*M6/2</f>
        <v>15.015000000000001</v>
      </c>
      <c r="N10" s="477">
        <f ca="1">'Hilfstabellen_Mat&amp;Bem'!J43*N6/2</f>
        <v>17.43</v>
      </c>
      <c r="O10" s="477">
        <f ca="1">'Hilfstabellen_Mat&amp;Bem'!K43*O6/2</f>
        <v>19.912499999999998</v>
      </c>
      <c r="P10" s="477">
        <f ca="1">'Hilfstabellen_Mat&amp;Bem'!L43*P6/2</f>
        <v>22.800000000000004</v>
      </c>
      <c r="Q10" s="477">
        <f ca="1">'Hilfstabellen_Mat&amp;Bem'!M43*Q6/2</f>
        <v>24.168000000000003</v>
      </c>
      <c r="R10" s="477">
        <f ca="1">'Hilfstabellen_Mat&amp;Bem'!N43*R6/2</f>
        <v>26.376749999999998</v>
      </c>
      <c r="S10" s="477">
        <f ca="1">'Hilfstabellen_Mat&amp;Bem'!O43*S6/2</f>
        <v>26.145</v>
      </c>
      <c r="T10" s="477"/>
      <c r="U10" s="477"/>
      <c r="V10" s="466"/>
      <c r="W10" s="466"/>
      <c r="X10" s="466"/>
      <c r="Y10" s="466"/>
      <c r="Z10" s="466"/>
      <c r="AA10" s="466"/>
      <c r="AB10" s="466"/>
      <c r="AC10" s="466"/>
      <c r="AD10" s="466"/>
      <c r="AE10" s="466"/>
      <c r="AF10" s="466"/>
      <c r="AG10" s="466"/>
      <c r="AH10" s="466"/>
      <c r="AI10" s="466"/>
      <c r="AJ10" s="466"/>
      <c r="AK10" s="466"/>
      <c r="AL10" s="466"/>
      <c r="AM10" s="466"/>
      <c r="AN10" s="466"/>
      <c r="AO10" s="466"/>
      <c r="AP10" s="466"/>
      <c r="AQ10" s="466"/>
      <c r="AR10" s="466"/>
      <c r="AS10" s="466"/>
      <c r="AT10" s="466"/>
      <c r="AU10" s="466"/>
      <c r="AV10" s="466"/>
      <c r="AW10" s="466"/>
      <c r="AX10" s="466"/>
      <c r="AY10" s="466"/>
      <c r="AZ10" s="466"/>
      <c r="BA10" s="466"/>
      <c r="BB10" s="466"/>
      <c r="BC10" s="466"/>
      <c r="BD10" s="466"/>
      <c r="BE10" s="466"/>
      <c r="BF10" s="169"/>
    </row>
    <row r="11" spans="1:58" ht="15" customHeight="1">
      <c r="A11" s="466"/>
      <c r="B11" s="466"/>
      <c r="C11" s="466"/>
      <c r="D11" s="466"/>
      <c r="E11" s="466"/>
      <c r="F11" s="466"/>
      <c r="G11" s="466"/>
      <c r="H11" s="466"/>
      <c r="I11" s="466"/>
      <c r="J11" s="466"/>
      <c r="K11" s="466"/>
      <c r="L11" s="466"/>
      <c r="M11" s="466"/>
      <c r="N11" s="466"/>
      <c r="O11" s="466"/>
      <c r="P11" s="466"/>
      <c r="Q11" s="466"/>
      <c r="R11" s="466"/>
      <c r="S11" s="466"/>
      <c r="T11" s="466"/>
      <c r="U11" s="466"/>
      <c r="V11" s="466"/>
      <c r="W11" s="466"/>
      <c r="X11" s="466"/>
      <c r="Y11" s="466"/>
      <c r="Z11" s="466"/>
      <c r="AA11" s="466"/>
      <c r="AB11" s="466"/>
      <c r="AC11" s="466"/>
      <c r="AD11" s="466"/>
      <c r="AE11" s="466"/>
      <c r="AF11" s="466"/>
      <c r="AG11" s="466"/>
      <c r="AH11" s="466"/>
      <c r="AI11" s="466"/>
      <c r="AJ11" s="466"/>
      <c r="AK11" s="466"/>
      <c r="AL11" s="466"/>
      <c r="AM11" s="466"/>
      <c r="AN11" s="466"/>
      <c r="AO11" s="466"/>
      <c r="AP11" s="466"/>
      <c r="AQ11" s="466"/>
      <c r="AR11" s="466"/>
      <c r="AS11" s="466"/>
      <c r="AT11" s="466"/>
      <c r="AU11" s="466"/>
      <c r="AV11" s="466"/>
      <c r="AW11" s="466"/>
      <c r="AX11" s="466"/>
      <c r="AY11" s="466"/>
      <c r="AZ11" s="466"/>
      <c r="BA11" s="466"/>
      <c r="BB11" s="466"/>
      <c r="BC11" s="466"/>
      <c r="BD11" s="466"/>
      <c r="BE11" s="466"/>
      <c r="BF11" s="169"/>
    </row>
    <row r="12" spans="1:58" ht="15" customHeight="1">
      <c r="A12" s="466"/>
      <c r="B12" s="491" t="s">
        <v>820</v>
      </c>
      <c r="C12" s="466"/>
      <c r="D12" s="466"/>
      <c r="E12" s="466"/>
      <c r="F12" s="466"/>
      <c r="G12" s="466"/>
      <c r="H12" s="466"/>
      <c r="I12" s="466"/>
      <c r="J12" s="466"/>
      <c r="K12" s="466"/>
      <c r="L12" s="466"/>
      <c r="M12" s="466"/>
      <c r="N12" s="466"/>
      <c r="O12" s="466"/>
      <c r="P12" s="466"/>
      <c r="Q12" s="466"/>
      <c r="R12" s="466"/>
      <c r="S12" s="466"/>
      <c r="T12" s="466"/>
      <c r="U12" s="466"/>
      <c r="V12" s="466"/>
      <c r="W12" s="466"/>
      <c r="X12" s="466"/>
      <c r="Y12" s="466"/>
      <c r="Z12" s="466"/>
      <c r="AA12" s="466"/>
      <c r="AB12" s="466"/>
      <c r="AC12" s="466"/>
      <c r="AD12" s="466"/>
      <c r="AE12" s="466"/>
      <c r="AF12" s="466"/>
      <c r="AG12" s="466"/>
      <c r="AH12" s="466"/>
      <c r="AI12" s="466"/>
      <c r="AJ12" s="466"/>
      <c r="AK12" s="466"/>
      <c r="AL12" s="466"/>
      <c r="AM12" s="466"/>
      <c r="AN12" s="466"/>
      <c r="AO12" s="466"/>
      <c r="AP12" s="466"/>
      <c r="AQ12" s="466"/>
      <c r="AR12" s="466"/>
      <c r="AS12" s="466"/>
      <c r="AT12" s="466"/>
      <c r="AU12" s="466"/>
      <c r="AV12" s="466"/>
      <c r="AW12" s="466"/>
      <c r="AX12" s="466"/>
      <c r="AY12" s="466"/>
      <c r="AZ12" s="466"/>
      <c r="BA12" s="466"/>
      <c r="BB12" s="466"/>
      <c r="BC12" s="466"/>
      <c r="BD12" s="466"/>
      <c r="BE12" s="466"/>
      <c r="BF12" s="169"/>
    </row>
    <row r="13" spans="1:58" ht="15" customHeight="1">
      <c r="A13" s="466"/>
      <c r="B13" s="466" t="s">
        <v>821</v>
      </c>
      <c r="C13" s="466"/>
      <c r="D13" s="466"/>
      <c r="E13" s="466"/>
      <c r="F13" s="466"/>
      <c r="G13" s="466"/>
      <c r="H13" s="466"/>
      <c r="I13" s="467">
        <f ca="1">IF(I$14&lt;'Hilfstabellen_Mat&amp;Bem'!$BA$52,'Hilfstabellen_Mat&amp;Bem'!$BA$52,
IF(I$15&lt;'Hilfstabellen_Mat&amp;Bem'!$BB$52,'Hilfstabellen_Mat&amp;Bem'!$BB$52,
IF(I$16&lt;'Hilfstabellen_Mat&amp;Bem'!$BC$52,'Hilfstabellen_Mat&amp;Bem'!$BC$52,
IF(I$17&lt;'Hilfstabellen_Mat&amp;Bem'!$BD$52,'Hilfstabellen_Mat&amp;Bem'!$BD$52,
IF(I$18&lt;'Hilfstabellen_Mat&amp;Bem'!$BE$52,'Hilfstabellen_Mat&amp;Bem'!$BE$52,
IF(I$19&lt;'Hilfstabellen_Mat&amp;Bem'!$BF$52,'Hilfstabellen_Mat&amp;Bem'!$BF$52,
IF(I$20&lt;'Hilfstabellen_Mat&amp;Bem'!$BG$52,'Hilfstabellen_Mat&amp;Bem'!$BG$52,"Fehler!!!")))))))</f>
        <v>120</v>
      </c>
      <c r="J13" s="467">
        <f ca="1">IF(J$14&lt;'Hilfstabellen_Mat&amp;Bem'!$BA$52,'Hilfstabellen_Mat&amp;Bem'!$BA$52,
IF(J$15&lt;'Hilfstabellen_Mat&amp;Bem'!$BB$52,'Hilfstabellen_Mat&amp;Bem'!$BB$52,
IF(J$16&lt;'Hilfstabellen_Mat&amp;Bem'!$BC$52,'Hilfstabellen_Mat&amp;Bem'!$BC$52,
IF(J$17&lt;'Hilfstabellen_Mat&amp;Bem'!$BD$52,'Hilfstabellen_Mat&amp;Bem'!$BD$52,
IF(J$18&lt;'Hilfstabellen_Mat&amp;Bem'!$BE$52,'Hilfstabellen_Mat&amp;Bem'!$BE$52,
IF(J$19&lt;'Hilfstabellen_Mat&amp;Bem'!$BF$52,'Hilfstabellen_Mat&amp;Bem'!$BF$52,
IF(J$20&lt;'Hilfstabellen_Mat&amp;Bem'!$BG$52,'Hilfstabellen_Mat&amp;Bem'!$BG$52,"Fehler!!!")))))))</f>
        <v>120</v>
      </c>
      <c r="K13" s="467">
        <f ca="1">IF(K$14&lt;'Hilfstabellen_Mat&amp;Bem'!$BA$52,'Hilfstabellen_Mat&amp;Bem'!$BA$52,
IF(K$15&lt;'Hilfstabellen_Mat&amp;Bem'!$BB$52,'Hilfstabellen_Mat&amp;Bem'!$BB$52,
IF(K$16&lt;'Hilfstabellen_Mat&amp;Bem'!$BC$52,'Hilfstabellen_Mat&amp;Bem'!$BC$52,
IF(K$17&lt;'Hilfstabellen_Mat&amp;Bem'!$BD$52,'Hilfstabellen_Mat&amp;Bem'!$BD$52,
IF(K$18&lt;'Hilfstabellen_Mat&amp;Bem'!$BE$52,'Hilfstabellen_Mat&amp;Bem'!$BE$52,
IF(K$19&lt;'Hilfstabellen_Mat&amp;Bem'!$BF$52,'Hilfstabellen_Mat&amp;Bem'!$BF$52,
IF(K$20&lt;'Hilfstabellen_Mat&amp;Bem'!$BG$52,'Hilfstabellen_Mat&amp;Bem'!$BG$52,"Fehler!!!")))))))</f>
        <v>120</v>
      </c>
      <c r="L13" s="467">
        <f ca="1">IF(L$14&lt;'Hilfstabellen_Mat&amp;Bem'!$BA$52,'Hilfstabellen_Mat&amp;Bem'!$BA$52,
IF(L$15&lt;'Hilfstabellen_Mat&amp;Bem'!$BB$52,'Hilfstabellen_Mat&amp;Bem'!$BB$52,
IF(L$16&lt;'Hilfstabellen_Mat&amp;Bem'!$BC$52,'Hilfstabellen_Mat&amp;Bem'!$BC$52,
IF(L$17&lt;'Hilfstabellen_Mat&amp;Bem'!$BD$52,'Hilfstabellen_Mat&amp;Bem'!$BD$52,
IF(L$18&lt;'Hilfstabellen_Mat&amp;Bem'!$BE$52,'Hilfstabellen_Mat&amp;Bem'!$BE$52,
IF(L$19&lt;'Hilfstabellen_Mat&amp;Bem'!$BF$52,'Hilfstabellen_Mat&amp;Bem'!$BF$52,
IF(L$20&lt;'Hilfstabellen_Mat&amp;Bem'!$BG$52,'Hilfstabellen_Mat&amp;Bem'!$BG$52,"Fehler!!!")))))))</f>
        <v>120</v>
      </c>
      <c r="M13" s="467">
        <f ca="1">IF(M$14&lt;'Hilfstabellen_Mat&amp;Bem'!$BA$52,'Hilfstabellen_Mat&amp;Bem'!$BA$52,
IF(M$15&lt;'Hilfstabellen_Mat&amp;Bem'!$BB$52,'Hilfstabellen_Mat&amp;Bem'!$BB$52,
IF(M$16&lt;'Hilfstabellen_Mat&amp;Bem'!$BC$52,'Hilfstabellen_Mat&amp;Bem'!$BC$52,
IF(M$17&lt;'Hilfstabellen_Mat&amp;Bem'!$BD$52,'Hilfstabellen_Mat&amp;Bem'!$BD$52,
IF(M$18&lt;'Hilfstabellen_Mat&amp;Bem'!$BE$52,'Hilfstabellen_Mat&amp;Bem'!$BE$52,
IF(M$19&lt;'Hilfstabellen_Mat&amp;Bem'!$BF$52,'Hilfstabellen_Mat&amp;Bem'!$BF$52,
IF(M$20&lt;'Hilfstabellen_Mat&amp;Bem'!$BG$52,'Hilfstabellen_Mat&amp;Bem'!$BG$52,"Fehler!!!")))))))</f>
        <v>120</v>
      </c>
      <c r="N13" s="467">
        <f ca="1">IF(N$14&lt;'Hilfstabellen_Mat&amp;Bem'!$BA$52,'Hilfstabellen_Mat&amp;Bem'!$BA$52,
IF(N$15&lt;'Hilfstabellen_Mat&amp;Bem'!$BB$52,'Hilfstabellen_Mat&amp;Bem'!$BB$52,
IF(N$16&lt;'Hilfstabellen_Mat&amp;Bem'!$BC$52,'Hilfstabellen_Mat&amp;Bem'!$BC$52,
IF(N$17&lt;'Hilfstabellen_Mat&amp;Bem'!$BD$52,'Hilfstabellen_Mat&amp;Bem'!$BD$52,
IF(N$18&lt;'Hilfstabellen_Mat&amp;Bem'!$BE$52,'Hilfstabellen_Mat&amp;Bem'!$BE$52,
IF(N$19&lt;'Hilfstabellen_Mat&amp;Bem'!$BF$52,'Hilfstabellen_Mat&amp;Bem'!$BF$52,
IF(N$20&lt;'Hilfstabellen_Mat&amp;Bem'!$BG$52,'Hilfstabellen_Mat&amp;Bem'!$BG$52,"Fehler!!!")))))))</f>
        <v>120</v>
      </c>
      <c r="O13" s="467">
        <f ca="1">IF(O$14&lt;'Hilfstabellen_Mat&amp;Bem'!$BA$52,'Hilfstabellen_Mat&amp;Bem'!$BA$52,
IF(O$15&lt;'Hilfstabellen_Mat&amp;Bem'!$BB$52,'Hilfstabellen_Mat&amp;Bem'!$BB$52,
IF(O$16&lt;'Hilfstabellen_Mat&amp;Bem'!$BC$52,'Hilfstabellen_Mat&amp;Bem'!$BC$52,
IF(O$17&lt;'Hilfstabellen_Mat&amp;Bem'!$BD$52,'Hilfstabellen_Mat&amp;Bem'!$BD$52,
IF(O$18&lt;'Hilfstabellen_Mat&amp;Bem'!$BE$52,'Hilfstabellen_Mat&amp;Bem'!$BE$52,
IF(O$19&lt;'Hilfstabellen_Mat&amp;Bem'!$BF$52,'Hilfstabellen_Mat&amp;Bem'!$BF$52,
IF(O$20&lt;'Hilfstabellen_Mat&amp;Bem'!$BG$52,'Hilfstabellen_Mat&amp;Bem'!$BG$52,"Fehler!!!")))))))</f>
        <v>120</v>
      </c>
      <c r="P13" s="467">
        <f ca="1">IF(P$14&lt;'Hilfstabellen_Mat&amp;Bem'!$BA$52,'Hilfstabellen_Mat&amp;Bem'!$BA$52,
IF(P$15&lt;'Hilfstabellen_Mat&amp;Bem'!$BB$52,'Hilfstabellen_Mat&amp;Bem'!$BB$52,
IF(P$16&lt;'Hilfstabellen_Mat&amp;Bem'!$BC$52,'Hilfstabellen_Mat&amp;Bem'!$BC$52,
IF(P$17&lt;'Hilfstabellen_Mat&amp;Bem'!$BD$52,'Hilfstabellen_Mat&amp;Bem'!$BD$52,
IF(P$18&lt;'Hilfstabellen_Mat&amp;Bem'!$BE$52,'Hilfstabellen_Mat&amp;Bem'!$BE$52,
IF(P$19&lt;'Hilfstabellen_Mat&amp;Bem'!$BF$52,'Hilfstabellen_Mat&amp;Bem'!$BF$52,
IF(P$20&lt;'Hilfstabellen_Mat&amp;Bem'!$BG$52,'Hilfstabellen_Mat&amp;Bem'!$BG$52,"Fehler!!!")))))))</f>
        <v>140</v>
      </c>
      <c r="Q13" s="467">
        <f ca="1">IF(Q$14&lt;'Hilfstabellen_Mat&amp;Bem'!$BA$52,'Hilfstabellen_Mat&amp;Bem'!$BA$52,
IF(Q$15&lt;'Hilfstabellen_Mat&amp;Bem'!$BB$52,'Hilfstabellen_Mat&amp;Bem'!$BB$52,
IF(Q$16&lt;'Hilfstabellen_Mat&amp;Bem'!$BC$52,'Hilfstabellen_Mat&amp;Bem'!$BC$52,
IF(Q$17&lt;'Hilfstabellen_Mat&amp;Bem'!$BD$52,'Hilfstabellen_Mat&amp;Bem'!$BD$52,
IF(Q$18&lt;'Hilfstabellen_Mat&amp;Bem'!$BE$52,'Hilfstabellen_Mat&amp;Bem'!$BE$52,
IF(Q$19&lt;'Hilfstabellen_Mat&amp;Bem'!$BF$52,'Hilfstabellen_Mat&amp;Bem'!$BF$52,
IF(Q$20&lt;'Hilfstabellen_Mat&amp;Bem'!$BG$52,'Hilfstabellen_Mat&amp;Bem'!$BG$52,"Fehler!!!")))))))</f>
        <v>140</v>
      </c>
      <c r="R13" s="467">
        <f ca="1">IF(R$14&lt;'Hilfstabellen_Mat&amp;Bem'!$BA$52,'Hilfstabellen_Mat&amp;Bem'!$BA$52,
IF(R$15&lt;'Hilfstabellen_Mat&amp;Bem'!$BB$52,'Hilfstabellen_Mat&amp;Bem'!$BB$52,
IF(R$16&lt;'Hilfstabellen_Mat&amp;Bem'!$BC$52,'Hilfstabellen_Mat&amp;Bem'!$BC$52,
IF(R$17&lt;'Hilfstabellen_Mat&amp;Bem'!$BD$52,'Hilfstabellen_Mat&amp;Bem'!$BD$52,
IF(R$18&lt;'Hilfstabellen_Mat&amp;Bem'!$BE$52,'Hilfstabellen_Mat&amp;Bem'!$BE$52,
IF(R$19&lt;'Hilfstabellen_Mat&amp;Bem'!$BF$52,'Hilfstabellen_Mat&amp;Bem'!$BF$52,
IF(R$20&lt;'Hilfstabellen_Mat&amp;Bem'!$BG$52,'Hilfstabellen_Mat&amp;Bem'!$BG$52,"Fehler!!!")))))))</f>
        <v>140</v>
      </c>
      <c r="S13" s="467">
        <f ca="1">IF(S$14&lt;'Hilfstabellen_Mat&amp;Bem'!$BA$52,'Hilfstabellen_Mat&amp;Bem'!$BA$52,
IF(S$15&lt;'Hilfstabellen_Mat&amp;Bem'!$BB$52,'Hilfstabellen_Mat&amp;Bem'!$BB$52,
IF(S$16&lt;'Hilfstabellen_Mat&amp;Bem'!$BC$52,'Hilfstabellen_Mat&amp;Bem'!$BC$52,
IF(S$17&lt;'Hilfstabellen_Mat&amp;Bem'!$BD$52,'Hilfstabellen_Mat&amp;Bem'!$BD$52,
IF(S$18&lt;'Hilfstabellen_Mat&amp;Bem'!$BE$52,'Hilfstabellen_Mat&amp;Bem'!$BE$52,
IF(S$19&lt;'Hilfstabellen_Mat&amp;Bem'!$BF$52,'Hilfstabellen_Mat&amp;Bem'!$BF$52,
IF(S$20&lt;'Hilfstabellen_Mat&amp;Bem'!$BG$52,'Hilfstabellen_Mat&amp;Bem'!$BG$52,"Fehler!!!")))))))</f>
        <v>140</v>
      </c>
      <c r="T13" s="467"/>
      <c r="U13" s="467"/>
      <c r="V13" s="466"/>
      <c r="W13" s="466"/>
      <c r="X13" s="466"/>
      <c r="Y13" s="466"/>
      <c r="Z13" s="466"/>
      <c r="AA13" s="466" t="s">
        <v>1538</v>
      </c>
      <c r="AB13" s="466"/>
      <c r="AC13" s="466"/>
      <c r="AD13" s="466"/>
      <c r="AE13" s="466"/>
      <c r="AF13" s="466"/>
      <c r="AG13" s="466"/>
      <c r="AH13" s="466"/>
      <c r="AI13" s="466"/>
      <c r="AJ13" s="466"/>
      <c r="AK13" s="466"/>
      <c r="AL13" s="466"/>
      <c r="AM13" s="466"/>
      <c r="AN13" s="466"/>
      <c r="AO13" s="466"/>
      <c r="AP13" s="466"/>
      <c r="AQ13" s="466"/>
      <c r="AR13" s="466"/>
      <c r="AS13" s="466"/>
      <c r="AT13" s="466"/>
      <c r="AU13" s="466"/>
      <c r="AV13" s="466"/>
      <c r="AW13" s="466"/>
      <c r="AX13" s="466"/>
      <c r="AY13" s="466"/>
      <c r="AZ13" s="466"/>
      <c r="BA13" s="466"/>
      <c r="BB13" s="466"/>
      <c r="BC13" s="466"/>
      <c r="BD13" s="466"/>
      <c r="BE13" s="466"/>
      <c r="BF13" s="169"/>
    </row>
    <row r="14" spans="1:58" ht="15" customHeight="1">
      <c r="A14" s="466"/>
      <c r="B14" s="466"/>
      <c r="C14" s="1459" t="str">
        <f>'Hilfstabellen_Mat&amp;Bem'!$BA$44</f>
        <v>BSP 120</v>
      </c>
      <c r="D14" s="1459"/>
      <c r="E14" s="1459"/>
      <c r="F14" s="1459"/>
      <c r="G14" s="466"/>
      <c r="H14" s="466"/>
      <c r="I14" s="467">
        <f ca="1">SQRT((3*'Hilfstabellen_Mat&amp;Bem'!E$43*((I$6*1000)^2)*gamma_m)/(4*b_DE*k_mod*HLOOKUP($C14,'Hilfstabellen_Mat&amp;Bem'!$BA$44:$BG$61,4,0)))</f>
        <v>61.155134621324521</v>
      </c>
      <c r="J14" s="467">
        <f ca="1">SQRT((3*'Hilfstabellen_Mat&amp;Bem'!F$43*((J$6*1000)^2)*gamma_m)/(4*b_DE*k_mod*HLOOKUP($C14,'Hilfstabellen_Mat&amp;Bem'!$BA$44:$BG$61,4,0)))</f>
        <v>64.824442698603988</v>
      </c>
      <c r="K14" s="467">
        <f ca="1">SQRT((3*'Hilfstabellen_Mat&amp;Bem'!G$43*((K$6*1000)^2)*gamma_m)/(4*b_DE*k_mod*HLOOKUP($C14,'Hilfstabellen_Mat&amp;Bem'!$BA$44:$BG$61,4,0)))</f>
        <v>69.716853468309964</v>
      </c>
      <c r="L14" s="467">
        <f ca="1">SQRT((3*'Hilfstabellen_Mat&amp;Bem'!H$43*((L$6*1000)^2)*gamma_m)/(4*b_DE*k_mod*HLOOKUP($C14,'Hilfstabellen_Mat&amp;Bem'!$BA$44:$BG$61,4,0)))</f>
        <v>73.386161545589431</v>
      </c>
      <c r="M14" s="467">
        <f ca="1">SQRT((3*'Hilfstabellen_Mat&amp;Bem'!I$43*((M$6*1000)^2)*gamma_m)/(4*b_DE*k_mod*HLOOKUP($C14,'Hilfstabellen_Mat&amp;Bem'!$BA$44:$BG$61,4,0)))</f>
        <v>86.29880444279523</v>
      </c>
      <c r="N14" s="467">
        <f ca="1">SQRT((3*'Hilfstabellen_Mat&amp;Bem'!J$43*((N$6*1000)^2)*gamma_m)/(4*b_DE*k_mod*HLOOKUP($C14,'Hilfstabellen_Mat&amp;Bem'!$BA$44:$BG$61,4,0)))</f>
        <v>99.400090075294926</v>
      </c>
      <c r="O14" s="467">
        <f ca="1">SQRT((3*'Hilfstabellen_Mat&amp;Bem'!K$43*((O$6*1000)^2)*gamma_m)/(4*b_DE*k_mod*HLOOKUP($C14,'Hilfstabellen_Mat&amp;Bem'!$BA$44:$BG$61,4,0)))</f>
        <v>112.68788816053566</v>
      </c>
      <c r="P14" s="467">
        <f ca="1">SQRT((3*'Hilfstabellen_Mat&amp;Bem'!L$43*((P$6*1000)^2)*gamma_m)/(4*b_DE*k_mod*HLOOKUP($C14,'Hilfstabellen_Mat&amp;Bem'!$BA$44:$BG$61,4,0)))</f>
        <v>127.10437937307258</v>
      </c>
      <c r="Q14" s="467">
        <f ca="1">SQRT((3*'Hilfstabellen_Mat&amp;Bem'!M$43*((Q$6*1000)^2)*gamma_m)/(4*b_DE*k_mod*HLOOKUP($C14,'Hilfstabellen_Mat&amp;Bem'!$BA$44:$BG$61,4,0)))</f>
        <v>134.73064213545692</v>
      </c>
      <c r="R14" s="467">
        <f ca="1">SQRT((3*'Hilfstabellen_Mat&amp;Bem'!N$43*((R$6*1000)^2)*gamma_m)/(4*b_DE*k_mod*HLOOKUP($C14,'Hilfstabellen_Mat&amp;Bem'!$BA$44:$BG$61,4,0)))</f>
        <v>145.96749604583047</v>
      </c>
      <c r="S14" s="467">
        <f ca="1">SQRT((3*'Hilfstabellen_Mat&amp;Bem'!O$43*((S$6*1000)^2)*gamma_m)/(4*b_DE*k_mod*HLOOKUP($C14,'Hilfstabellen_Mat&amp;Bem'!$BA$44:$BG$61,4,0)))</f>
        <v>149.10013511294238</v>
      </c>
      <c r="T14" s="467"/>
      <c r="U14" s="467"/>
      <c r="V14" s="466"/>
      <c r="W14" s="466"/>
      <c r="X14" s="466"/>
      <c r="Y14" s="466"/>
      <c r="Z14" s="466"/>
      <c r="AA14" s="1466" t="s">
        <v>1539</v>
      </c>
      <c r="AB14" s="1466"/>
      <c r="AC14" s="1466"/>
      <c r="AD14" s="1466"/>
      <c r="AE14" s="1466"/>
      <c r="AF14" s="1466"/>
      <c r="AG14" s="1466"/>
      <c r="AH14" s="1466"/>
      <c r="AI14" s="1466"/>
      <c r="AJ14" s="1466"/>
      <c r="AK14" s="1466"/>
      <c r="AL14" s="1466"/>
      <c r="AM14" s="1466"/>
      <c r="AN14" s="1466"/>
      <c r="AO14" s="1466"/>
      <c r="AP14" s="1466"/>
      <c r="AQ14" s="1466"/>
      <c r="AR14" s="1466"/>
      <c r="AS14" s="1466"/>
      <c r="AT14" s="1466"/>
      <c r="AU14" s="1466"/>
      <c r="AV14" s="1466"/>
      <c r="AW14" s="1466"/>
      <c r="AX14" s="1466"/>
      <c r="AY14" s="1466"/>
      <c r="AZ14" s="1466"/>
      <c r="BA14" s="1466"/>
      <c r="BB14" s="466"/>
      <c r="BC14" s="466"/>
      <c r="BD14" s="466"/>
      <c r="BE14" s="466"/>
      <c r="BF14" s="169"/>
    </row>
    <row r="15" spans="1:58" ht="15" customHeight="1">
      <c r="A15" s="466"/>
      <c r="B15" s="466"/>
      <c r="C15" s="1459" t="str">
        <f>'Hilfstabellen_Mat&amp;Bem'!$BB$44</f>
        <v>BSP 140</v>
      </c>
      <c r="D15" s="1459"/>
      <c r="E15" s="1459"/>
      <c r="F15" s="1459"/>
      <c r="G15" s="466"/>
      <c r="H15" s="466"/>
      <c r="I15" s="467">
        <f ca="1">SQRT((3*'Hilfstabellen_Mat&amp;Bem'!E$43*((I$6*1000)^2)*gamma_m)/(4*b_DE*k_mod*HLOOKUP($C15,'Hilfstabellen_Mat&amp;Bem'!$BA$44:$BG$61,4,0)))</f>
        <v>53.829539278972902</v>
      </c>
      <c r="J15" s="467">
        <f ca="1">SQRT((3*'Hilfstabellen_Mat&amp;Bem'!F$43*((J$6*1000)^2)*gamma_m)/(4*b_DE*k_mod*HLOOKUP($C15,'Hilfstabellen_Mat&amp;Bem'!$BA$44:$BG$61,4,0)))</f>
        <v>57.059311635711275</v>
      </c>
      <c r="K15" s="467">
        <f ca="1">SQRT((3*'Hilfstabellen_Mat&amp;Bem'!G$43*((K$6*1000)^2)*gamma_m)/(4*b_DE*k_mod*HLOOKUP($C15,'Hilfstabellen_Mat&amp;Bem'!$BA$44:$BG$61,4,0)))</f>
        <v>61.36567477802911</v>
      </c>
      <c r="L15" s="467">
        <f ca="1">SQRT((3*'Hilfstabellen_Mat&amp;Bem'!H$43*((L$6*1000)^2)*gamma_m)/(4*b_DE*k_mod*HLOOKUP($C15,'Hilfstabellen_Mat&amp;Bem'!$BA$44:$BG$61,4,0)))</f>
        <v>64.595447134767483</v>
      </c>
      <c r="M15" s="467">
        <f ca="1">SQRT((3*'Hilfstabellen_Mat&amp;Bem'!I$43*((M$6*1000)^2)*gamma_m)/(4*b_DE*k_mod*HLOOKUP($C15,'Hilfstabellen_Mat&amp;Bem'!$BA$44:$BG$61,4,0)))</f>
        <v>75.961322172643989</v>
      </c>
      <c r="N15" s="467">
        <f ca="1">SQRT((3*'Hilfstabellen_Mat&amp;Bem'!J$43*((N$6*1000)^2)*gamma_m)/(4*b_DE*k_mod*HLOOKUP($C15,'Hilfstabellen_Mat&amp;Bem'!$BA$44:$BG$61,4,0)))</f>
        <v>87.493242982344455</v>
      </c>
      <c r="O15" s="467">
        <f ca="1">SQRT((3*'Hilfstabellen_Mat&amp;Bem'!K$43*((O$6*1000)^2)*gamma_m)/(4*b_DE*k_mod*HLOOKUP($C15,'Hilfstabellen_Mat&amp;Bem'!$BA$44:$BG$61,4,0)))</f>
        <v>99.189334461654425</v>
      </c>
      <c r="P15" s="467">
        <f ca="1">SQRT((3*'Hilfstabellen_Mat&amp;Bem'!L$43*((P$6*1000)^2)*gamma_m)/(4*b_DE*k_mod*HLOOKUP($C15,'Hilfstabellen_Mat&amp;Bem'!$BA$44:$BG$61,4,0)))</f>
        <v>111.87891620806798</v>
      </c>
      <c r="Q15" s="467">
        <f ca="1">SQRT((3*'Hilfstabellen_Mat&amp;Bem'!M$43*((Q$6*1000)^2)*gamma_m)/(4*b_DE*k_mod*HLOOKUP($C15,'Hilfstabellen_Mat&amp;Bem'!$BA$44:$BG$61,4,0)))</f>
        <v>118.59165118055205</v>
      </c>
      <c r="R15" s="467">
        <f ca="1">SQRT((3*'Hilfstabellen_Mat&amp;Bem'!N$43*((R$6*1000)^2)*gamma_m)/(4*b_DE*k_mod*HLOOKUP($C15,'Hilfstabellen_Mat&amp;Bem'!$BA$44:$BG$61,4,0)))</f>
        <v>128.48247511031602</v>
      </c>
      <c r="S15" s="467">
        <f ca="1">SQRT((3*'Hilfstabellen_Mat&amp;Bem'!O$43*((S$6*1000)^2)*gamma_m)/(4*b_DE*k_mod*HLOOKUP($C15,'Hilfstabellen_Mat&amp;Bem'!$BA$44:$BG$61,4,0)))</f>
        <v>131.23986447351669</v>
      </c>
      <c r="T15" s="467"/>
      <c r="U15" s="467"/>
      <c r="V15" s="466"/>
      <c r="W15" s="466"/>
      <c r="X15" s="466"/>
      <c r="Y15" s="466"/>
      <c r="Z15" s="466"/>
      <c r="AA15" s="1466"/>
      <c r="AB15" s="1466"/>
      <c r="AC15" s="1466"/>
      <c r="AD15" s="1466"/>
      <c r="AE15" s="1466"/>
      <c r="AF15" s="1466"/>
      <c r="AG15" s="1466"/>
      <c r="AH15" s="1466"/>
      <c r="AI15" s="1466"/>
      <c r="AJ15" s="1466"/>
      <c r="AK15" s="1466"/>
      <c r="AL15" s="1466"/>
      <c r="AM15" s="1466"/>
      <c r="AN15" s="1466"/>
      <c r="AO15" s="1466"/>
      <c r="AP15" s="1466"/>
      <c r="AQ15" s="1466"/>
      <c r="AR15" s="1466"/>
      <c r="AS15" s="1466"/>
      <c r="AT15" s="1466"/>
      <c r="AU15" s="1466"/>
      <c r="AV15" s="1466"/>
      <c r="AW15" s="1466"/>
      <c r="AX15" s="1466"/>
      <c r="AY15" s="1466"/>
      <c r="AZ15" s="1466"/>
      <c r="BA15" s="1466"/>
      <c r="BB15" s="466"/>
      <c r="BC15" s="466"/>
      <c r="BD15" s="466"/>
      <c r="BE15" s="466"/>
      <c r="BF15" s="169"/>
    </row>
    <row r="16" spans="1:58" ht="15" customHeight="1">
      <c r="A16" s="466"/>
      <c r="B16" s="466"/>
      <c r="C16" s="1459" t="str">
        <f>'Hilfstabellen_Mat&amp;Bem'!$BC$44</f>
        <v>BSP 160</v>
      </c>
      <c r="D16" s="1459"/>
      <c r="E16" s="1459"/>
      <c r="F16" s="1459"/>
      <c r="G16" s="466"/>
      <c r="H16" s="466"/>
      <c r="I16" s="467">
        <f ca="1">SQRT((3*'Hilfstabellen_Mat&amp;Bem'!E$43*((I$6*1000)^2)*gamma_m)/(4*b_DE*k_mod*HLOOKUP($C16,'Hilfstabellen_Mat&amp;Bem'!$BA$44:$BG$61,4,0)))</f>
        <v>54.698815274573001</v>
      </c>
      <c r="J16" s="467">
        <f ca="1">SQRT((3*'Hilfstabellen_Mat&amp;Bem'!F$43*((J$6*1000)^2)*gamma_m)/(4*b_DE*k_mod*HLOOKUP($C16,'Hilfstabellen_Mat&amp;Bem'!$BA$44:$BG$61,4,0)))</f>
        <v>57.980744191047378</v>
      </c>
      <c r="K16" s="467">
        <f ca="1">SQRT((3*'Hilfstabellen_Mat&amp;Bem'!G$43*((K$6*1000)^2)*gamma_m)/(4*b_DE*k_mod*HLOOKUP($C16,'Hilfstabellen_Mat&amp;Bem'!$BA$44:$BG$61,4,0)))</f>
        <v>62.356649413013216</v>
      </c>
      <c r="L16" s="467">
        <f ca="1">SQRT((3*'Hilfstabellen_Mat&amp;Bem'!H$43*((L$6*1000)^2)*gamma_m)/(4*b_DE*k_mod*HLOOKUP($C16,'Hilfstabellen_Mat&amp;Bem'!$BA$44:$BG$61,4,0)))</f>
        <v>65.638578329487601</v>
      </c>
      <c r="M16" s="467">
        <f ca="1">SQRT((3*'Hilfstabellen_Mat&amp;Bem'!I$43*((M$6*1000)^2)*gamma_m)/(4*b_DE*k_mod*HLOOKUP($C16,'Hilfstabellen_Mat&amp;Bem'!$BA$44:$BG$61,4,0)))</f>
        <v>77.187997244420401</v>
      </c>
      <c r="N16" s="467">
        <f ca="1">SQRT((3*'Hilfstabellen_Mat&amp;Bem'!J$43*((N$6*1000)^2)*gamma_m)/(4*b_DE*k_mod*HLOOKUP($C16,'Hilfstabellen_Mat&amp;Bem'!$BA$44:$BG$61,4,0)))</f>
        <v>88.906143351184653</v>
      </c>
      <c r="O16" s="467">
        <f ca="1">SQRT((3*'Hilfstabellen_Mat&amp;Bem'!K$43*((O$6*1000)^2)*gamma_m)/(4*b_DE*k_mod*HLOOKUP($C16,'Hilfstabellen_Mat&amp;Bem'!$BA$44:$BG$61,4,0)))</f>
        <v>100.79111126714059</v>
      </c>
      <c r="P16" s="467">
        <f ca="1">SQRT((3*'Hilfstabellen_Mat&amp;Bem'!L$43*((P$6*1000)^2)*gamma_m)/(4*b_DE*k_mod*HLOOKUP($C16,'Hilfstabellen_Mat&amp;Bem'!$BA$44:$BG$61,4,0)))</f>
        <v>113.68561300644495</v>
      </c>
      <c r="Q16" s="467">
        <f ca="1">SQRT((3*'Hilfstabellen_Mat&amp;Bem'!M$43*((Q$6*1000)^2)*gamma_m)/(4*b_DE*k_mod*HLOOKUP($C16,'Hilfstabellen_Mat&amp;Bem'!$BA$44:$BG$61,4,0)))</f>
        <v>120.50674978683165</v>
      </c>
      <c r="R16" s="467">
        <f ca="1">SQRT((3*'Hilfstabellen_Mat&amp;Bem'!N$43*((R$6*1000)^2)*gamma_m)/(4*b_DE*k_mod*HLOOKUP($C16,'Hilfstabellen_Mat&amp;Bem'!$BA$44:$BG$61,4,0)))</f>
        <v>130.55729746556349</v>
      </c>
      <c r="S16" s="467">
        <f ca="1">SQRT((3*'Hilfstabellen_Mat&amp;Bem'!O$43*((S$6*1000)^2)*gamma_m)/(4*b_DE*k_mod*HLOOKUP($C16,'Hilfstabellen_Mat&amp;Bem'!$BA$44:$BG$61,4,0)))</f>
        <v>133.35921502677698</v>
      </c>
      <c r="T16" s="467"/>
      <c r="U16" s="467"/>
      <c r="V16" s="466"/>
      <c r="W16" s="466"/>
      <c r="X16" s="466"/>
      <c r="Y16" s="466"/>
      <c r="Z16" s="466"/>
      <c r="AA16" s="1466"/>
      <c r="AB16" s="1466"/>
      <c r="AC16" s="1466"/>
      <c r="AD16" s="1466"/>
      <c r="AE16" s="1466"/>
      <c r="AF16" s="1466"/>
      <c r="AG16" s="1466"/>
      <c r="AH16" s="1466"/>
      <c r="AI16" s="1466"/>
      <c r="AJ16" s="1466"/>
      <c r="AK16" s="1466"/>
      <c r="AL16" s="1466"/>
      <c r="AM16" s="1466"/>
      <c r="AN16" s="1466"/>
      <c r="AO16" s="1466"/>
      <c r="AP16" s="1466"/>
      <c r="AQ16" s="1466"/>
      <c r="AR16" s="1466"/>
      <c r="AS16" s="1466"/>
      <c r="AT16" s="1466"/>
      <c r="AU16" s="1466"/>
      <c r="AV16" s="1466"/>
      <c r="AW16" s="1466"/>
      <c r="AX16" s="1466"/>
      <c r="AY16" s="1466"/>
      <c r="AZ16" s="1466"/>
      <c r="BA16" s="1466"/>
      <c r="BB16" s="466"/>
      <c r="BC16" s="466"/>
      <c r="BD16" s="466"/>
      <c r="BE16" s="466"/>
      <c r="BF16" s="169"/>
    </row>
    <row r="17" spans="1:58" ht="15" customHeight="1">
      <c r="A17" s="466"/>
      <c r="B17" s="466"/>
      <c r="C17" s="1459" t="str">
        <f>'Hilfstabellen_Mat&amp;Bem'!$BD$44</f>
        <v>BSP 180</v>
      </c>
      <c r="D17" s="1459"/>
      <c r="E17" s="1459"/>
      <c r="F17" s="1459"/>
      <c r="G17" s="466"/>
      <c r="H17" s="466"/>
      <c r="I17" s="467">
        <f ca="1">SQRT((3*'Hilfstabellen_Mat&amp;Bem'!E$43*((I$6*1000)^2)*gamma_m)/(4*b_DE*k_mod*HLOOKUP($C17,'Hilfstabellen_Mat&amp;Bem'!$BA$44:$BG$61,4,0)))</f>
        <v>56.292317825634662</v>
      </c>
      <c r="J17" s="467">
        <f ca="1">SQRT((3*'Hilfstabellen_Mat&amp;Bem'!F$43*((J$6*1000)^2)*gamma_m)/(4*b_DE*k_mod*HLOOKUP($C17,'Hilfstabellen_Mat&amp;Bem'!$BA$44:$BG$61,4,0)))</f>
        <v>59.669856895172742</v>
      </c>
      <c r="K17" s="467">
        <f ca="1">SQRT((3*'Hilfstabellen_Mat&amp;Bem'!G$43*((K$6*1000)^2)*gamma_m)/(4*b_DE*k_mod*HLOOKUP($C17,'Hilfstabellen_Mat&amp;Bem'!$BA$44:$BG$61,4,0)))</f>
        <v>64.173242321223512</v>
      </c>
      <c r="L17" s="467">
        <f ca="1">SQRT((3*'Hilfstabellen_Mat&amp;Bem'!H$43*((L$6*1000)^2)*gamma_m)/(4*b_DE*k_mod*HLOOKUP($C17,'Hilfstabellen_Mat&amp;Bem'!$BA$44:$BG$61,4,0)))</f>
        <v>67.5507813907616</v>
      </c>
      <c r="M17" s="467">
        <f ca="1">SQRT((3*'Hilfstabellen_Mat&amp;Bem'!I$43*((M$6*1000)^2)*gamma_m)/(4*b_DE*k_mod*HLOOKUP($C17,'Hilfstabellen_Mat&amp;Bem'!$BA$44:$BG$61,4,0)))</f>
        <v>79.436661496157882</v>
      </c>
      <c r="N17" s="467">
        <f ca="1">SQRT((3*'Hilfstabellen_Mat&amp;Bem'!J$43*((N$6*1000)^2)*gamma_m)/(4*b_DE*k_mod*HLOOKUP($C17,'Hilfstabellen_Mat&amp;Bem'!$BA$44:$BG$61,4,0)))</f>
        <v>91.496184205342303</v>
      </c>
      <c r="O17" s="467">
        <f ca="1">SQRT((3*'Hilfstabellen_Mat&amp;Bem'!K$43*((O$6*1000)^2)*gamma_m)/(4*b_DE*k_mod*HLOOKUP($C17,'Hilfstabellen_Mat&amp;Bem'!$BA$44:$BG$61,4,0)))</f>
        <v>103.72738862748754</v>
      </c>
      <c r="P17" s="467">
        <f ca="1">SQRT((3*'Hilfstabellen_Mat&amp;Bem'!L$43*((P$6*1000)^2)*gamma_m)/(4*b_DE*k_mod*HLOOKUP($C17,'Hilfstabellen_Mat&amp;Bem'!$BA$44:$BG$61,4,0)))</f>
        <v>116.99753691988649</v>
      </c>
      <c r="Q17" s="467">
        <f ca="1">SQRT((3*'Hilfstabellen_Mat&amp;Bem'!M$43*((Q$6*1000)^2)*gamma_m)/(4*b_DE*k_mod*HLOOKUP($C17,'Hilfstabellen_Mat&amp;Bem'!$BA$44:$BG$61,4,0)))</f>
        <v>124.01738913507967</v>
      </c>
      <c r="R17" s="467">
        <f ca="1">SQRT((3*'Hilfstabellen_Mat&amp;Bem'!N$43*((R$6*1000)^2)*gamma_m)/(4*b_DE*k_mod*HLOOKUP($C17,'Hilfstabellen_Mat&amp;Bem'!$BA$44:$BG$61,4,0)))</f>
        <v>134.36073243077746</v>
      </c>
      <c r="S17" s="467">
        <f ca="1">SQRT((3*'Hilfstabellen_Mat&amp;Bem'!O$43*((S$6*1000)^2)*gamma_m)/(4*b_DE*k_mod*HLOOKUP($C17,'Hilfstabellen_Mat&amp;Bem'!$BA$44:$BG$61,4,0)))</f>
        <v>137.24427630801347</v>
      </c>
      <c r="T17" s="467"/>
      <c r="U17" s="467"/>
      <c r="V17" s="466"/>
      <c r="W17" s="466"/>
      <c r="X17" s="466"/>
      <c r="Y17" s="466"/>
      <c r="Z17" s="466"/>
      <c r="AA17" s="1466"/>
      <c r="AB17" s="1466"/>
      <c r="AC17" s="1466"/>
      <c r="AD17" s="1466"/>
      <c r="AE17" s="1466"/>
      <c r="AF17" s="1466"/>
      <c r="AG17" s="1466"/>
      <c r="AH17" s="1466"/>
      <c r="AI17" s="1466"/>
      <c r="AJ17" s="1466"/>
      <c r="AK17" s="1466"/>
      <c r="AL17" s="1466"/>
      <c r="AM17" s="1466"/>
      <c r="AN17" s="1466"/>
      <c r="AO17" s="1466"/>
      <c r="AP17" s="1466"/>
      <c r="AQ17" s="1466"/>
      <c r="AR17" s="1466"/>
      <c r="AS17" s="1466"/>
      <c r="AT17" s="1466"/>
      <c r="AU17" s="1466"/>
      <c r="AV17" s="1466"/>
      <c r="AW17" s="1466"/>
      <c r="AX17" s="1466"/>
      <c r="AY17" s="1466"/>
      <c r="AZ17" s="1466"/>
      <c r="BA17" s="1466"/>
      <c r="BB17" s="466"/>
      <c r="BC17" s="466"/>
      <c r="BD17" s="466"/>
      <c r="BE17" s="466"/>
      <c r="BF17" s="169"/>
    </row>
    <row r="18" spans="1:58" ht="15" customHeight="1">
      <c r="A18" s="466"/>
      <c r="B18" s="466"/>
      <c r="C18" s="1459" t="str">
        <f>'Hilfstabellen_Mat&amp;Bem'!$BE$44</f>
        <v>BSP 200</v>
      </c>
      <c r="D18" s="1459"/>
      <c r="E18" s="1459"/>
      <c r="F18" s="1459"/>
      <c r="G18" s="466"/>
      <c r="H18" s="466"/>
      <c r="I18" s="467">
        <f ca="1">SQRT((3*'Hilfstabellen_Mat&amp;Bem'!E$43*((I$6*1000)^2)*gamma_m)/(4*b_DE*k_mod*HLOOKUP($C18,'Hilfstabellen_Mat&amp;Bem'!$BA$44:$BG$61,4,0)))</f>
        <v>57.882400731596519</v>
      </c>
      <c r="J18" s="467">
        <f ca="1">SQRT((3*'Hilfstabellen_Mat&amp;Bem'!F$43*((J$6*1000)^2)*gamma_m)/(4*b_DE*k_mod*HLOOKUP($C18,'Hilfstabellen_Mat&amp;Bem'!$BA$44:$BG$61,4,0)))</f>
        <v>61.355344775492306</v>
      </c>
      <c r="K18" s="467">
        <f ca="1">SQRT((3*'Hilfstabellen_Mat&amp;Bem'!G$43*((K$6*1000)^2)*gamma_m)/(4*b_DE*k_mod*HLOOKUP($C18,'Hilfstabellen_Mat&amp;Bem'!$BA$44:$BG$61,4,0)))</f>
        <v>65.985936834020023</v>
      </c>
      <c r="L18" s="467">
        <f ca="1">SQRT((3*'Hilfstabellen_Mat&amp;Bem'!H$43*((L$6*1000)^2)*gamma_m)/(4*b_DE*k_mod*HLOOKUP($C18,'Hilfstabellen_Mat&amp;Bem'!$BA$44:$BG$61,4,0)))</f>
        <v>69.458880877915817</v>
      </c>
      <c r="M18" s="467">
        <f ca="1">SQRT((3*'Hilfstabellen_Mat&amp;Bem'!I$43*((M$6*1000)^2)*gamma_m)/(4*b_DE*k_mod*HLOOKUP($C18,'Hilfstabellen_Mat&amp;Bem'!$BA$44:$BG$61,4,0)))</f>
        <v>81.68050013046259</v>
      </c>
      <c r="N18" s="467">
        <f ca="1">SQRT((3*'Hilfstabellen_Mat&amp;Bem'!J$43*((N$6*1000)^2)*gamma_m)/(4*b_DE*k_mod*HLOOKUP($C18,'Hilfstabellen_Mat&amp;Bem'!$BA$44:$BG$61,4,0)))</f>
        <v>94.080666850315211</v>
      </c>
      <c r="O18" s="467">
        <f ca="1">SQRT((3*'Hilfstabellen_Mat&amp;Bem'!K$43*((O$6*1000)^2)*gamma_m)/(4*b_DE*k_mod*HLOOKUP($C18,'Hilfstabellen_Mat&amp;Bem'!$BA$44:$BG$61,4,0)))</f>
        <v>106.65736475757897</v>
      </c>
      <c r="P18" s="467">
        <f ca="1">SQRT((3*'Hilfstabellen_Mat&amp;Bem'!L$43*((P$6*1000)^2)*gamma_m)/(4*b_DE*k_mod*HLOOKUP($C18,'Hilfstabellen_Mat&amp;Bem'!$BA$44:$BG$61,4,0)))</f>
        <v>120.302353468251</v>
      </c>
      <c r="Q18" s="467">
        <f ca="1">SQRT((3*'Hilfstabellen_Mat&amp;Bem'!M$43*((Q$6*1000)^2)*gamma_m)/(4*b_DE*k_mod*HLOOKUP($C18,'Hilfstabellen_Mat&amp;Bem'!$BA$44:$BG$61,4,0)))</f>
        <v>127.52049467634606</v>
      </c>
      <c r="R18" s="467">
        <f ca="1">SQRT((3*'Hilfstabellen_Mat&amp;Bem'!N$43*((R$6*1000)^2)*gamma_m)/(4*b_DE*k_mod*HLOOKUP($C18,'Hilfstabellen_Mat&amp;Bem'!$BA$44:$BG$61,4,0)))</f>
        <v>138.15600525170586</v>
      </c>
      <c r="S18" s="467">
        <f ca="1">SQRT((3*'Hilfstabellen_Mat&amp;Bem'!O$43*((S$6*1000)^2)*gamma_m)/(4*b_DE*k_mod*HLOOKUP($C18,'Hilfstabellen_Mat&amp;Bem'!$BA$44:$BG$61,4,0)))</f>
        <v>141.12100027547282</v>
      </c>
      <c r="T18" s="467"/>
      <c r="U18" s="467"/>
      <c r="V18" s="466"/>
      <c r="W18" s="466"/>
      <c r="X18" s="466"/>
      <c r="Y18" s="466"/>
      <c r="Z18" s="466"/>
      <c r="AA18" s="1466"/>
      <c r="AB18" s="1466"/>
      <c r="AC18" s="1466"/>
      <c r="AD18" s="1466"/>
      <c r="AE18" s="1466"/>
      <c r="AF18" s="1466"/>
      <c r="AG18" s="1466"/>
      <c r="AH18" s="1466"/>
      <c r="AI18" s="1466"/>
      <c r="AJ18" s="1466"/>
      <c r="AK18" s="1466"/>
      <c r="AL18" s="1466"/>
      <c r="AM18" s="1466"/>
      <c r="AN18" s="1466"/>
      <c r="AO18" s="1466"/>
      <c r="AP18" s="1466"/>
      <c r="AQ18" s="1466"/>
      <c r="AR18" s="1466"/>
      <c r="AS18" s="1466"/>
      <c r="AT18" s="1466"/>
      <c r="AU18" s="1466"/>
      <c r="AV18" s="1466"/>
      <c r="AW18" s="1466"/>
      <c r="AX18" s="1466"/>
      <c r="AY18" s="1466"/>
      <c r="AZ18" s="1466"/>
      <c r="BA18" s="1466"/>
      <c r="BB18" s="466"/>
      <c r="BC18" s="466"/>
      <c r="BD18" s="466"/>
      <c r="BE18" s="466"/>
      <c r="BF18" s="169"/>
    </row>
    <row r="19" spans="1:58" ht="15" customHeight="1">
      <c r="A19" s="466"/>
      <c r="B19" s="466"/>
      <c r="C19" s="1459" t="str">
        <f>'Hilfstabellen_Mat&amp;Bem'!$BF$44</f>
        <v>BSP 220</v>
      </c>
      <c r="D19" s="1459"/>
      <c r="E19" s="1459"/>
      <c r="F19" s="1459"/>
      <c r="G19" s="466"/>
      <c r="H19" s="466"/>
      <c r="I19" s="467">
        <f ca="1">SQRT((3*'Hilfstabellen_Mat&amp;Bem'!E$43*((I$6*1000)^2)*gamma_m)/(4*b_DE*k_mod*HLOOKUP($C19,'Hilfstabellen_Mat&amp;Bem'!$BA$44:$BG$61,4,0)))</f>
        <v>54.073665426098465</v>
      </c>
      <c r="J19" s="467">
        <f ca="1">SQRT((3*'Hilfstabellen_Mat&amp;Bem'!F$43*((J$6*1000)^2)*gamma_m)/(4*b_DE*k_mod*HLOOKUP($C19,'Hilfstabellen_Mat&amp;Bem'!$BA$44:$BG$61,4,0)))</f>
        <v>57.318085351664372</v>
      </c>
      <c r="K19" s="467">
        <f ca="1">SQRT((3*'Hilfstabellen_Mat&amp;Bem'!G$43*((K$6*1000)^2)*gamma_m)/(4*b_DE*k_mod*HLOOKUP($C19,'Hilfstabellen_Mat&amp;Bem'!$BA$44:$BG$61,4,0)))</f>
        <v>61.643978585752251</v>
      </c>
      <c r="L19" s="467">
        <f ca="1">SQRT((3*'Hilfstabellen_Mat&amp;Bem'!H$43*((L$6*1000)^2)*gamma_m)/(4*b_DE*k_mod*HLOOKUP($C19,'Hilfstabellen_Mat&amp;Bem'!$BA$44:$BG$61,4,0)))</f>
        <v>64.888398511318158</v>
      </c>
      <c r="M19" s="467">
        <f ca="1">SQRT((3*'Hilfstabellen_Mat&amp;Bem'!I$43*((M$6*1000)^2)*gamma_m)/(4*b_DE*k_mod*HLOOKUP($C19,'Hilfstabellen_Mat&amp;Bem'!$BA$44:$BG$61,4,0)))</f>
        <v>76.305819732180325</v>
      </c>
      <c r="N19" s="467">
        <f ca="1">SQRT((3*'Hilfstabellen_Mat&amp;Bem'!J$43*((N$6*1000)^2)*gamma_m)/(4*b_DE*k_mod*HLOOKUP($C19,'Hilfstabellen_Mat&amp;Bem'!$BA$44:$BG$61,4,0)))</f>
        <v>87.89003977077887</v>
      </c>
      <c r="O19" s="467">
        <f ca="1">SQRT((3*'Hilfstabellen_Mat&amp;Bem'!K$43*((O$6*1000)^2)*gamma_m)/(4*b_DE*k_mod*HLOOKUP($C19,'Hilfstabellen_Mat&amp;Bem'!$BA$44:$BG$61,4,0)))</f>
        <v>99.639175020990791</v>
      </c>
      <c r="P19" s="467">
        <f ca="1">SQRT((3*'Hilfstabellen_Mat&amp;Bem'!L$43*((P$6*1000)^2)*gamma_m)/(4*b_DE*k_mod*HLOOKUP($C19,'Hilfstabellen_Mat&amp;Bem'!$BA$44:$BG$61,4,0)))</f>
        <v>112.38630618621568</v>
      </c>
      <c r="Q19" s="467">
        <f ca="1">SQRT((3*'Hilfstabellen_Mat&amp;Bem'!M$43*((Q$6*1000)^2)*gamma_m)/(4*b_DE*k_mod*HLOOKUP($C19,'Hilfstabellen_Mat&amp;Bem'!$BA$44:$BG$61,4,0)))</f>
        <v>119.12948455738862</v>
      </c>
      <c r="R19" s="467">
        <f ca="1">SQRT((3*'Hilfstabellen_Mat&amp;Bem'!N$43*((R$6*1000)^2)*gamma_m)/(4*b_DE*k_mod*HLOOKUP($C19,'Hilfstabellen_Mat&amp;Bem'!$BA$44:$BG$61,4,0)))</f>
        <v>129.0651650616322</v>
      </c>
      <c r="S19" s="467">
        <f ca="1">SQRT((3*'Hilfstabellen_Mat&amp;Bem'!O$43*((S$6*1000)^2)*gamma_m)/(4*b_DE*k_mod*HLOOKUP($C19,'Hilfstabellen_Mat&amp;Bem'!$BA$44:$BG$61,4,0)))</f>
        <v>131.83505965616831</v>
      </c>
      <c r="T19" s="467"/>
      <c r="U19" s="467"/>
      <c r="V19" s="466"/>
      <c r="W19" s="466"/>
      <c r="X19" s="466"/>
      <c r="Y19" s="466"/>
      <c r="Z19" s="466"/>
      <c r="AA19" s="1466"/>
      <c r="AB19" s="1466"/>
      <c r="AC19" s="1466"/>
      <c r="AD19" s="1466"/>
      <c r="AE19" s="1466"/>
      <c r="AF19" s="1466"/>
      <c r="AG19" s="1466"/>
      <c r="AH19" s="1466"/>
      <c r="AI19" s="1466"/>
      <c r="AJ19" s="1466"/>
      <c r="AK19" s="1466"/>
      <c r="AL19" s="1466"/>
      <c r="AM19" s="1466"/>
      <c r="AN19" s="1466"/>
      <c r="AO19" s="1466"/>
      <c r="AP19" s="1466"/>
      <c r="AQ19" s="1466"/>
      <c r="AR19" s="1466"/>
      <c r="AS19" s="1466"/>
      <c r="AT19" s="1466"/>
      <c r="AU19" s="1466"/>
      <c r="AV19" s="1466"/>
      <c r="AW19" s="1466"/>
      <c r="AX19" s="1466"/>
      <c r="AY19" s="1466"/>
      <c r="AZ19" s="1466"/>
      <c r="BA19" s="1466"/>
      <c r="BB19" s="466"/>
      <c r="BC19" s="466"/>
      <c r="BD19" s="466"/>
      <c r="BE19" s="466"/>
      <c r="BF19" s="169"/>
    </row>
    <row r="20" spans="1:58" ht="15" customHeight="1">
      <c r="A20" s="466"/>
      <c r="B20" s="466"/>
      <c r="C20" s="1459" t="str">
        <f>'Hilfstabellen_Mat&amp;Bem'!$BG$44</f>
        <v>BSP 240</v>
      </c>
      <c r="D20" s="1459"/>
      <c r="E20" s="1459"/>
      <c r="F20" s="1459"/>
      <c r="G20" s="466"/>
      <c r="H20" s="466"/>
      <c r="I20" s="467">
        <f ca="1">SQRT((3*'Hilfstabellen_Mat&amp;Bem'!E$43*((I$6*1000)^2)*gamma_m)/(4*b_DE*k_mod*HLOOKUP($C20,'Hilfstabellen_Mat&amp;Bem'!$BA$44:$BG$61,4,0)))</f>
        <v>55.084475622438816</v>
      </c>
      <c r="J20" s="467">
        <f ca="1">SQRT((3*'Hilfstabellen_Mat&amp;Bem'!F$43*((J$6*1000)^2)*gamma_m)/(4*b_DE*k_mod*HLOOKUP($C20,'Hilfstabellen_Mat&amp;Bem'!$BA$44:$BG$61,4,0)))</f>
        <v>58.389544159785146</v>
      </c>
      <c r="K20" s="467">
        <f ca="1">SQRT((3*'Hilfstabellen_Mat&amp;Bem'!G$43*((K$6*1000)^2)*gamma_m)/(4*b_DE*k_mod*HLOOKUP($C20,'Hilfstabellen_Mat&amp;Bem'!$BA$44:$BG$61,4,0)))</f>
        <v>62.796302209580254</v>
      </c>
      <c r="L20" s="467">
        <f ca="1">SQRT((3*'Hilfstabellen_Mat&amp;Bem'!H$43*((L$6*1000)^2)*gamma_m)/(4*b_DE*k_mod*HLOOKUP($C20,'Hilfstabellen_Mat&amp;Bem'!$BA$44:$BG$61,4,0)))</f>
        <v>66.101370746926577</v>
      </c>
      <c r="M20" s="467">
        <f ca="1">SQRT((3*'Hilfstabellen_Mat&amp;Bem'!I$43*((M$6*1000)^2)*gamma_m)/(4*b_DE*k_mod*HLOOKUP($C20,'Hilfstabellen_Mat&amp;Bem'!$BA$44:$BG$61,4,0)))</f>
        <v>77.732220180857325</v>
      </c>
      <c r="N20" s="467">
        <f ca="1">SQRT((3*'Hilfstabellen_Mat&amp;Bem'!J$43*((N$6*1000)^2)*gamma_m)/(4*b_DE*k_mod*HLOOKUP($C20,'Hilfstabellen_Mat&amp;Bem'!$BA$44:$BG$61,4,0)))</f>
        <v>89.532986437275497</v>
      </c>
      <c r="O20" s="467">
        <f ca="1">SQRT((3*'Hilfstabellen_Mat&amp;Bem'!K$43*((O$6*1000)^2)*gamma_m)/(4*b_DE*k_mod*HLOOKUP($C20,'Hilfstabellen_Mat&amp;Bem'!$BA$44:$BG$61,4,0)))</f>
        <v>101.50175069941982</v>
      </c>
      <c r="P20" s="467">
        <f ca="1">SQRT((3*'Hilfstabellen_Mat&amp;Bem'!L$43*((P$6*1000)^2)*gamma_m)/(4*b_DE*k_mod*HLOOKUP($C20,'Hilfstabellen_Mat&amp;Bem'!$BA$44:$BG$61,4,0)))</f>
        <v>114.48716662034536</v>
      </c>
      <c r="Q20" s="467">
        <f ca="1">SQRT((3*'Hilfstabellen_Mat&amp;Bem'!M$43*((Q$6*1000)^2)*gamma_m)/(4*b_DE*k_mod*HLOOKUP($C20,'Hilfstabellen_Mat&amp;Bem'!$BA$44:$BG$61,4,0)))</f>
        <v>121.35639661756608</v>
      </c>
      <c r="R20" s="467">
        <f ca="1">SQRT((3*'Hilfstabellen_Mat&amp;Bem'!N$43*((R$6*1000)^2)*gamma_m)/(4*b_DE*k_mod*HLOOKUP($C20,'Hilfstabellen_Mat&amp;Bem'!$BA$44:$BG$61,4,0)))</f>
        <v>131.4778068496195</v>
      </c>
      <c r="S20" s="467">
        <f ca="1">SQRT((3*'Hilfstabellen_Mat&amp;Bem'!O$43*((S$6*1000)^2)*gamma_m)/(4*b_DE*k_mod*HLOOKUP($C20,'Hilfstabellen_Mat&amp;Bem'!$BA$44:$BG$61,4,0)))</f>
        <v>134.29947965591325</v>
      </c>
      <c r="T20" s="467"/>
      <c r="U20" s="467"/>
      <c r="V20" s="466"/>
      <c r="W20" s="466"/>
      <c r="X20" s="466"/>
      <c r="Y20" s="466"/>
      <c r="Z20" s="466"/>
      <c r="AA20" s="466"/>
      <c r="AB20" s="466"/>
      <c r="AC20" s="466"/>
      <c r="AD20" s="466"/>
      <c r="AE20" s="466"/>
      <c r="AF20" s="466"/>
      <c r="AG20" s="466"/>
      <c r="AH20" s="466"/>
      <c r="AI20" s="466"/>
      <c r="AJ20" s="466"/>
      <c r="AK20" s="466"/>
      <c r="AL20" s="466"/>
      <c r="AM20" s="466"/>
      <c r="AN20" s="466"/>
      <c r="AO20" s="466"/>
      <c r="AP20" s="466"/>
      <c r="AQ20" s="466"/>
      <c r="AR20" s="466"/>
      <c r="AS20" s="466"/>
      <c r="AT20" s="466"/>
      <c r="AU20" s="466"/>
      <c r="AV20" s="466"/>
      <c r="AW20" s="466"/>
      <c r="AX20" s="466"/>
      <c r="AY20" s="466"/>
      <c r="AZ20" s="466"/>
      <c r="BA20" s="466"/>
      <c r="BB20" s="466"/>
      <c r="BC20" s="466"/>
      <c r="BD20" s="466"/>
      <c r="BE20" s="466"/>
      <c r="BF20" s="169"/>
    </row>
    <row r="21" spans="1:58" ht="15" customHeight="1">
      <c r="A21" s="466"/>
      <c r="B21" s="466"/>
      <c r="C21" s="466"/>
      <c r="D21" s="466"/>
      <c r="E21" s="466"/>
      <c r="F21" s="466"/>
      <c r="G21" s="466"/>
      <c r="H21" s="466"/>
      <c r="I21" s="466"/>
      <c r="J21" s="466"/>
      <c r="K21" s="466"/>
      <c r="L21" s="466"/>
      <c r="M21" s="466"/>
      <c r="N21" s="466"/>
      <c r="O21" s="466"/>
      <c r="P21" s="466"/>
      <c r="Q21" s="466"/>
      <c r="R21" s="466"/>
      <c r="S21" s="466"/>
      <c r="T21" s="466"/>
      <c r="U21" s="466"/>
      <c r="V21" s="466"/>
      <c r="W21" s="466"/>
      <c r="X21" s="466"/>
      <c r="Y21" s="466"/>
      <c r="Z21" s="466"/>
      <c r="AA21" s="466"/>
      <c r="AB21" s="466"/>
      <c r="AC21" s="466"/>
      <c r="AD21" s="466"/>
      <c r="AE21" s="466"/>
      <c r="AF21" s="466"/>
      <c r="AG21" s="466"/>
      <c r="AH21" s="466"/>
      <c r="AI21" s="466"/>
      <c r="AJ21" s="466"/>
      <c r="AK21" s="466"/>
      <c r="AL21" s="466"/>
      <c r="AM21" s="466"/>
      <c r="AN21" s="466"/>
      <c r="AO21" s="466"/>
      <c r="AP21" s="466"/>
      <c r="AQ21" s="466"/>
      <c r="AR21" s="466"/>
      <c r="AS21" s="466"/>
      <c r="AT21" s="466"/>
      <c r="AU21" s="466"/>
      <c r="AV21" s="466"/>
      <c r="AW21" s="466"/>
      <c r="AX21" s="466"/>
      <c r="AY21" s="466"/>
      <c r="AZ21" s="466"/>
      <c r="BA21" s="466"/>
      <c r="BB21" s="466"/>
      <c r="BC21" s="466"/>
      <c r="BD21" s="466"/>
      <c r="BE21" s="466"/>
      <c r="BF21" s="169"/>
    </row>
    <row r="22" spans="1:58" ht="15" customHeight="1">
      <c r="A22" s="466"/>
      <c r="B22" s="466" t="s">
        <v>822</v>
      </c>
      <c r="C22" s="466"/>
      <c r="D22" s="466"/>
      <c r="E22" s="466"/>
      <c r="F22" s="466"/>
      <c r="G22" s="466"/>
      <c r="H22" s="466"/>
      <c r="I22" s="467">
        <f ca="1">IF(I$23&lt;'Hilfstabellen_Mat&amp;Bem'!$BA$52,'Hilfstabellen_Mat&amp;Bem'!$BA$52,
IF(I$24&lt;'Hilfstabellen_Mat&amp;Bem'!$BB$52,'Hilfstabellen_Mat&amp;Bem'!$BB$52,
IF(I$25&lt;'Hilfstabellen_Mat&amp;Bem'!$BC$52,'Hilfstabellen_Mat&amp;Bem'!$BC$52,
IF(I$26&lt;'Hilfstabellen_Mat&amp;Bem'!$BD$52,'Hilfstabellen_Mat&amp;Bem'!$BD$52,
IF(I$27&lt;'Hilfstabellen_Mat&amp;Bem'!$BE$52,'Hilfstabellen_Mat&amp;Bem'!$BE$52,
IF(I$28&lt;'Hilfstabellen_Mat&amp;Bem'!$BF$52,'Hilfstabellen_Mat&amp;Bem'!$BF$52,
IF(I$29&lt;'Hilfstabellen_Mat&amp;Bem'!$BG$52,'Hilfstabellen_Mat&amp;Bem'!$BG$52,"Fehler!!!")))))))</f>
        <v>120</v>
      </c>
      <c r="J22" s="467">
        <f ca="1">IF(J$23&lt;'Hilfstabellen_Mat&amp;Bem'!$BA$52,'Hilfstabellen_Mat&amp;Bem'!$BA$52,
IF(J$24&lt;'Hilfstabellen_Mat&amp;Bem'!$BB$52,'Hilfstabellen_Mat&amp;Bem'!$BB$52,
IF(J$25&lt;'Hilfstabellen_Mat&amp;Bem'!$BC$52,'Hilfstabellen_Mat&amp;Bem'!$BC$52,
IF(J$26&lt;'Hilfstabellen_Mat&amp;Bem'!$BD$52,'Hilfstabellen_Mat&amp;Bem'!$BD$52,
IF(J$27&lt;'Hilfstabellen_Mat&amp;Bem'!$BE$52,'Hilfstabellen_Mat&amp;Bem'!$BE$52,
IF(J$28&lt;'Hilfstabellen_Mat&amp;Bem'!$BF$52,'Hilfstabellen_Mat&amp;Bem'!$BF$52,
IF(J$29&lt;'Hilfstabellen_Mat&amp;Bem'!$BG$52,'Hilfstabellen_Mat&amp;Bem'!$BG$52,"Fehler!!!")))))))</f>
        <v>120</v>
      </c>
      <c r="K22" s="467">
        <f ca="1">IF(K$23&lt;'Hilfstabellen_Mat&amp;Bem'!$BA$52,'Hilfstabellen_Mat&amp;Bem'!$BA$52,
IF(K$24&lt;'Hilfstabellen_Mat&amp;Bem'!$BB$52,'Hilfstabellen_Mat&amp;Bem'!$BB$52,
IF(K$25&lt;'Hilfstabellen_Mat&amp;Bem'!$BC$52,'Hilfstabellen_Mat&amp;Bem'!$BC$52,
IF(K$26&lt;'Hilfstabellen_Mat&amp;Bem'!$BD$52,'Hilfstabellen_Mat&amp;Bem'!$BD$52,
IF(K$27&lt;'Hilfstabellen_Mat&amp;Bem'!$BE$52,'Hilfstabellen_Mat&amp;Bem'!$BE$52,
IF(K$28&lt;'Hilfstabellen_Mat&amp;Bem'!$BF$52,'Hilfstabellen_Mat&amp;Bem'!$BF$52,
IF(K$29&lt;'Hilfstabellen_Mat&amp;Bem'!$BG$52,'Hilfstabellen_Mat&amp;Bem'!$BG$52,"Fehler!!!")))))))</f>
        <v>120</v>
      </c>
      <c r="L22" s="467">
        <f ca="1">IF(L$23&lt;'Hilfstabellen_Mat&amp;Bem'!$BA$52,'Hilfstabellen_Mat&amp;Bem'!$BA$52,
IF(L$24&lt;'Hilfstabellen_Mat&amp;Bem'!$BB$52,'Hilfstabellen_Mat&amp;Bem'!$BB$52,
IF(L$25&lt;'Hilfstabellen_Mat&amp;Bem'!$BC$52,'Hilfstabellen_Mat&amp;Bem'!$BC$52,
IF(L$26&lt;'Hilfstabellen_Mat&amp;Bem'!$BD$52,'Hilfstabellen_Mat&amp;Bem'!$BD$52,
IF(L$27&lt;'Hilfstabellen_Mat&amp;Bem'!$BE$52,'Hilfstabellen_Mat&amp;Bem'!$BE$52,
IF(L$28&lt;'Hilfstabellen_Mat&amp;Bem'!$BF$52,'Hilfstabellen_Mat&amp;Bem'!$BF$52,
IF(L$29&lt;'Hilfstabellen_Mat&amp;Bem'!$BG$52,'Hilfstabellen_Mat&amp;Bem'!$BG$52,"Fehler!!!")))))))</f>
        <v>120</v>
      </c>
      <c r="M22" s="467">
        <f ca="1">IF(M$23&lt;'Hilfstabellen_Mat&amp;Bem'!$BA$52,'Hilfstabellen_Mat&amp;Bem'!$BA$52,
IF(M$24&lt;'Hilfstabellen_Mat&amp;Bem'!$BB$52,'Hilfstabellen_Mat&amp;Bem'!$BB$52,
IF(M$25&lt;'Hilfstabellen_Mat&amp;Bem'!$BC$52,'Hilfstabellen_Mat&amp;Bem'!$BC$52,
IF(M$26&lt;'Hilfstabellen_Mat&amp;Bem'!$BD$52,'Hilfstabellen_Mat&amp;Bem'!$BD$52,
IF(M$27&lt;'Hilfstabellen_Mat&amp;Bem'!$BE$52,'Hilfstabellen_Mat&amp;Bem'!$BE$52,
IF(M$28&lt;'Hilfstabellen_Mat&amp;Bem'!$BF$52,'Hilfstabellen_Mat&amp;Bem'!$BF$52,
IF(M$29&lt;'Hilfstabellen_Mat&amp;Bem'!$BG$52,'Hilfstabellen_Mat&amp;Bem'!$BG$52,"Fehler!!!")))))))</f>
        <v>120</v>
      </c>
      <c r="N22" s="467">
        <f ca="1">IF(N$23&lt;'Hilfstabellen_Mat&amp;Bem'!$BA$52,'Hilfstabellen_Mat&amp;Bem'!$BA$52,
IF(N$24&lt;'Hilfstabellen_Mat&amp;Bem'!$BB$52,'Hilfstabellen_Mat&amp;Bem'!$BB$52,
IF(N$25&lt;'Hilfstabellen_Mat&amp;Bem'!$BC$52,'Hilfstabellen_Mat&amp;Bem'!$BC$52,
IF(N$26&lt;'Hilfstabellen_Mat&amp;Bem'!$BD$52,'Hilfstabellen_Mat&amp;Bem'!$BD$52,
IF(N$27&lt;'Hilfstabellen_Mat&amp;Bem'!$BE$52,'Hilfstabellen_Mat&amp;Bem'!$BE$52,
IF(N$28&lt;'Hilfstabellen_Mat&amp;Bem'!$BF$52,'Hilfstabellen_Mat&amp;Bem'!$BF$52,
IF(N$29&lt;'Hilfstabellen_Mat&amp;Bem'!$BG$52,'Hilfstabellen_Mat&amp;Bem'!$BG$52,"Fehler!!!")))))))</f>
        <v>120</v>
      </c>
      <c r="O22" s="467">
        <f ca="1">IF(O$23&lt;'Hilfstabellen_Mat&amp;Bem'!$BA$52,'Hilfstabellen_Mat&amp;Bem'!$BA$52,
IF(O$24&lt;'Hilfstabellen_Mat&amp;Bem'!$BB$52,'Hilfstabellen_Mat&amp;Bem'!$BB$52,
IF(O$25&lt;'Hilfstabellen_Mat&amp;Bem'!$BC$52,'Hilfstabellen_Mat&amp;Bem'!$BC$52,
IF(O$26&lt;'Hilfstabellen_Mat&amp;Bem'!$BD$52,'Hilfstabellen_Mat&amp;Bem'!$BD$52,
IF(O$27&lt;'Hilfstabellen_Mat&amp;Bem'!$BE$52,'Hilfstabellen_Mat&amp;Bem'!$BE$52,
IF(O$28&lt;'Hilfstabellen_Mat&amp;Bem'!$BF$52,'Hilfstabellen_Mat&amp;Bem'!$BF$52,
IF(O$29&lt;'Hilfstabellen_Mat&amp;Bem'!$BG$52,'Hilfstabellen_Mat&amp;Bem'!$BG$52,"Fehler!!!")))))))</f>
        <v>120</v>
      </c>
      <c r="P22" s="467">
        <f ca="1">IF(P$23&lt;'Hilfstabellen_Mat&amp;Bem'!$BA$52,'Hilfstabellen_Mat&amp;Bem'!$BA$52,
IF(P$24&lt;'Hilfstabellen_Mat&amp;Bem'!$BB$52,'Hilfstabellen_Mat&amp;Bem'!$BB$52,
IF(P$25&lt;'Hilfstabellen_Mat&amp;Bem'!$BC$52,'Hilfstabellen_Mat&amp;Bem'!$BC$52,
IF(P$26&lt;'Hilfstabellen_Mat&amp;Bem'!$BD$52,'Hilfstabellen_Mat&amp;Bem'!$BD$52,
IF(P$27&lt;'Hilfstabellen_Mat&amp;Bem'!$BE$52,'Hilfstabellen_Mat&amp;Bem'!$BE$52,
IF(P$28&lt;'Hilfstabellen_Mat&amp;Bem'!$BF$52,'Hilfstabellen_Mat&amp;Bem'!$BF$52,
IF(P$29&lt;'Hilfstabellen_Mat&amp;Bem'!$BG$52,'Hilfstabellen_Mat&amp;Bem'!$BG$52,"Fehler!!!")))))))</f>
        <v>120</v>
      </c>
      <c r="Q22" s="467">
        <f ca="1">IF(Q$23&lt;'Hilfstabellen_Mat&amp;Bem'!$BA$52,'Hilfstabellen_Mat&amp;Bem'!$BA$52,
IF(Q$24&lt;'Hilfstabellen_Mat&amp;Bem'!$BB$52,'Hilfstabellen_Mat&amp;Bem'!$BB$52,
IF(Q$25&lt;'Hilfstabellen_Mat&amp;Bem'!$BC$52,'Hilfstabellen_Mat&amp;Bem'!$BC$52,
IF(Q$26&lt;'Hilfstabellen_Mat&amp;Bem'!$BD$52,'Hilfstabellen_Mat&amp;Bem'!$BD$52,
IF(Q$27&lt;'Hilfstabellen_Mat&amp;Bem'!$BE$52,'Hilfstabellen_Mat&amp;Bem'!$BE$52,
IF(Q$28&lt;'Hilfstabellen_Mat&amp;Bem'!$BF$52,'Hilfstabellen_Mat&amp;Bem'!$BF$52,
IF(Q$29&lt;'Hilfstabellen_Mat&amp;Bem'!$BG$52,'Hilfstabellen_Mat&amp;Bem'!$BG$52,"Fehler!!!")))))))</f>
        <v>120</v>
      </c>
      <c r="R22" s="467">
        <f ca="1">IF(R$23&lt;'Hilfstabellen_Mat&amp;Bem'!$BA$52,'Hilfstabellen_Mat&amp;Bem'!$BA$52,
IF(R$24&lt;'Hilfstabellen_Mat&amp;Bem'!$BB$52,'Hilfstabellen_Mat&amp;Bem'!$BB$52,
IF(R$25&lt;'Hilfstabellen_Mat&amp;Bem'!$BC$52,'Hilfstabellen_Mat&amp;Bem'!$BC$52,
IF(R$26&lt;'Hilfstabellen_Mat&amp;Bem'!$BD$52,'Hilfstabellen_Mat&amp;Bem'!$BD$52,
IF(R$27&lt;'Hilfstabellen_Mat&amp;Bem'!$BE$52,'Hilfstabellen_Mat&amp;Bem'!$BE$52,
IF(R$28&lt;'Hilfstabellen_Mat&amp;Bem'!$BF$52,'Hilfstabellen_Mat&amp;Bem'!$BF$52,
IF(R$29&lt;'Hilfstabellen_Mat&amp;Bem'!$BG$52,'Hilfstabellen_Mat&amp;Bem'!$BG$52,"Fehler!!!")))))))</f>
        <v>120</v>
      </c>
      <c r="S22" s="467">
        <f ca="1">IF(S$23&lt;'Hilfstabellen_Mat&amp;Bem'!$BA$52,'Hilfstabellen_Mat&amp;Bem'!$BA$52,
IF(S$24&lt;'Hilfstabellen_Mat&amp;Bem'!$BB$52,'Hilfstabellen_Mat&amp;Bem'!$BB$52,
IF(S$25&lt;'Hilfstabellen_Mat&amp;Bem'!$BC$52,'Hilfstabellen_Mat&amp;Bem'!$BC$52,
IF(S$26&lt;'Hilfstabellen_Mat&amp;Bem'!$BD$52,'Hilfstabellen_Mat&amp;Bem'!$BD$52,
IF(S$27&lt;'Hilfstabellen_Mat&amp;Bem'!$BE$52,'Hilfstabellen_Mat&amp;Bem'!$BE$52,
IF(S$28&lt;'Hilfstabellen_Mat&amp;Bem'!$BF$52,'Hilfstabellen_Mat&amp;Bem'!$BF$52,
IF(S$29&lt;'Hilfstabellen_Mat&amp;Bem'!$BG$52,'Hilfstabellen_Mat&amp;Bem'!$BG$52,"Fehler!!!")))))))</f>
        <v>120</v>
      </c>
      <c r="T22" s="467"/>
      <c r="U22" s="467"/>
      <c r="V22" s="466"/>
      <c r="W22" s="466"/>
      <c r="X22" s="466"/>
      <c r="Y22" s="466"/>
      <c r="Z22" s="466"/>
      <c r="AA22" s="466" t="s">
        <v>1536</v>
      </c>
      <c r="AB22" s="466"/>
      <c r="AC22" s="466"/>
      <c r="AD22" s="466"/>
      <c r="AE22" s="466"/>
      <c r="AF22" s="466"/>
      <c r="AG22" s="466"/>
      <c r="AH22" s="466"/>
      <c r="AI22" s="466"/>
      <c r="AJ22" s="466"/>
      <c r="AK22" s="466"/>
      <c r="AL22" s="466"/>
      <c r="AM22" s="466"/>
      <c r="AN22" s="466"/>
      <c r="AO22" s="466"/>
      <c r="AP22" s="466"/>
      <c r="AQ22" s="466"/>
      <c r="AR22" s="466"/>
      <c r="AS22" s="466"/>
      <c r="AT22" s="466"/>
      <c r="AU22" s="466"/>
      <c r="AV22" s="466"/>
      <c r="AW22" s="466"/>
      <c r="AX22" s="466"/>
      <c r="AY22" s="466"/>
      <c r="AZ22" s="466"/>
      <c r="BA22" s="466"/>
      <c r="BB22" s="466"/>
      <c r="BC22" s="466"/>
      <c r="BD22" s="466"/>
      <c r="BE22" s="466"/>
      <c r="BF22" s="169"/>
    </row>
    <row r="23" spans="1:58" ht="15" customHeight="1">
      <c r="A23" s="466"/>
      <c r="B23" s="466"/>
      <c r="C23" s="1459" t="str">
        <f>'Hilfstabellen_Mat&amp;Bem'!$BA$44</f>
        <v>BSP 120</v>
      </c>
      <c r="D23" s="1459"/>
      <c r="E23" s="1459"/>
      <c r="F23" s="1459"/>
      <c r="G23" s="466"/>
      <c r="H23" s="466"/>
      <c r="I23" s="467">
        <f ca="1">((3*'Hilfstabellen_Mat&amp;Bem'!E$43*I$6*1000*gamma_m)/(4*b_DE*'Hilfstabellen_Mat&amp;Bem'!$BA$49*k_mod))</f>
        <v>25.730859375000005</v>
      </c>
      <c r="J23" s="467">
        <f ca="1">((3*'Hilfstabellen_Mat&amp;Bem'!F$43*J$6*1000*gamma_m)/(4*b_DE*'Hilfstabellen_Mat&amp;Bem'!$BA$49*k_mod))</f>
        <v>27.2747109375</v>
      </c>
      <c r="K23" s="467">
        <f ca="1">((3*'Hilfstabellen_Mat&amp;Bem'!G$43*K$6*1000*gamma_m)/(4*b_DE*'Hilfstabellen_Mat&amp;Bem'!$BA$49*k_mod))</f>
        <v>29.333179687499999</v>
      </c>
      <c r="L23" s="467">
        <f ca="1">((3*'Hilfstabellen_Mat&amp;Bem'!H$43*L$6*1000*gamma_m)/(4*b_DE*'Hilfstabellen_Mat&amp;Bem'!$BA$49*k_mod))</f>
        <v>30.877031250000002</v>
      </c>
      <c r="M23" s="467">
        <f ca="1">((3*'Hilfstabellen_Mat&amp;Bem'!I$43*M$6*1000*gamma_m)/(4*b_DE*'Hilfstabellen_Mat&amp;Bem'!$BA$49*k_mod))</f>
        <v>36.599062500000002</v>
      </c>
      <c r="N23" s="467">
        <f ca="1">((3*'Hilfstabellen_Mat&amp;Bem'!J$43*N$6*1000*gamma_m)/(4*b_DE*'Hilfstabellen_Mat&amp;Bem'!$BA$49*k_mod))</f>
        <v>42.485624999999999</v>
      </c>
      <c r="O23" s="467">
        <f ca="1">((3*'Hilfstabellen_Mat&amp;Bem'!K$43*O$6*1000*gamma_m)/(4*b_DE*'Hilfstabellen_Mat&amp;Bem'!$BA$49*k_mod))</f>
        <v>48.536718749999999</v>
      </c>
      <c r="P23" s="467">
        <f ca="1">((3*'Hilfstabellen_Mat&amp;Bem'!L$43*P$6*1000*gamma_m)/(4*b_DE*'Hilfstabellen_Mat&amp;Bem'!$BA$49*k_mod))</f>
        <v>55.575000000000003</v>
      </c>
      <c r="Q23" s="467">
        <f ca="1">((3*'Hilfstabellen_Mat&amp;Bem'!M$43*Q$6*1000*gamma_m)/(4*b_DE*'Hilfstabellen_Mat&amp;Bem'!$BA$49*k_mod))</f>
        <v>58.909500000000001</v>
      </c>
      <c r="R23" s="467">
        <f ca="1">((3*'Hilfstabellen_Mat&amp;Bem'!N$43*R$6*1000*gamma_m)/(4*b_DE*'Hilfstabellen_Mat&amp;Bem'!$BA$49*k_mod))</f>
        <v>64.293328124999988</v>
      </c>
      <c r="S23" s="467">
        <f ca="1">((3*'Hilfstabellen_Mat&amp;Bem'!O$43*S$6*1000*gamma_m)/(4*b_DE*'Hilfstabellen_Mat&amp;Bem'!$BA$49*k_mod))</f>
        <v>63.728437499999998</v>
      </c>
      <c r="T23" s="467"/>
      <c r="U23" s="467"/>
      <c r="V23" s="466"/>
      <c r="W23" s="466"/>
      <c r="X23" s="466"/>
      <c r="Y23" s="466"/>
      <c r="Z23" s="466"/>
      <c r="AA23" s="1459" t="s">
        <v>1537</v>
      </c>
      <c r="AB23" s="1459"/>
      <c r="AC23" s="1459"/>
      <c r="AD23" s="1459"/>
      <c r="AE23" s="1459"/>
      <c r="AF23" s="1459"/>
      <c r="AG23" s="1459"/>
      <c r="AH23" s="1459"/>
      <c r="AI23" s="1459"/>
      <c r="AJ23" s="1459"/>
      <c r="AK23" s="1459"/>
      <c r="AL23" s="1459"/>
      <c r="AM23" s="1459"/>
      <c r="AN23" s="1459"/>
      <c r="AO23" s="1459"/>
      <c r="AP23" s="1459"/>
      <c r="AQ23" s="1459"/>
      <c r="AR23" s="1459"/>
      <c r="AS23" s="1459"/>
      <c r="AT23" s="1459"/>
      <c r="AU23" s="1459"/>
      <c r="AV23" s="1459"/>
      <c r="AW23" s="1459"/>
      <c r="AX23" s="1459"/>
      <c r="AY23" s="1459"/>
      <c r="AZ23" s="1459"/>
      <c r="BA23" s="1459"/>
      <c r="BB23" s="466"/>
      <c r="BC23" s="466"/>
      <c r="BD23" s="466"/>
      <c r="BE23" s="466"/>
      <c r="BF23" s="169"/>
    </row>
    <row r="24" spans="1:58" ht="15" customHeight="1">
      <c r="A24" s="466"/>
      <c r="B24" s="466"/>
      <c r="C24" s="1459" t="str">
        <f>'Hilfstabellen_Mat&amp;Bem'!$BB$44</f>
        <v>BSP 140</v>
      </c>
      <c r="D24" s="1459"/>
      <c r="E24" s="1459"/>
      <c r="F24" s="1459"/>
      <c r="G24" s="466"/>
      <c r="H24" s="466"/>
      <c r="I24" s="467">
        <f ca="1">((3*'Hilfstabellen_Mat&amp;Bem'!E$43*I$6*1000*gamma_m)/(4*b_DE*'Hilfstabellen_Mat&amp;Bem'!$BA$49*k_mod))</f>
        <v>25.730859375000005</v>
      </c>
      <c r="J24" s="467">
        <f ca="1">((3*'Hilfstabellen_Mat&amp;Bem'!F$43*J$6*1000*gamma_m)/(4*b_DE*'Hilfstabellen_Mat&amp;Bem'!$BA$49*k_mod))</f>
        <v>27.2747109375</v>
      </c>
      <c r="K24" s="467">
        <f ca="1">((3*'Hilfstabellen_Mat&amp;Bem'!G$43*K$6*1000*gamma_m)/(4*b_DE*'Hilfstabellen_Mat&amp;Bem'!$BA$49*k_mod))</f>
        <v>29.333179687499999</v>
      </c>
      <c r="L24" s="467">
        <f ca="1">((3*'Hilfstabellen_Mat&amp;Bem'!H$43*L$6*1000*gamma_m)/(4*b_DE*'Hilfstabellen_Mat&amp;Bem'!$BA$49*k_mod))</f>
        <v>30.877031250000002</v>
      </c>
      <c r="M24" s="467">
        <f ca="1">((3*'Hilfstabellen_Mat&amp;Bem'!I$43*M$6*1000*gamma_m)/(4*b_DE*'Hilfstabellen_Mat&amp;Bem'!$BA$49*k_mod))</f>
        <v>36.599062500000002</v>
      </c>
      <c r="N24" s="467">
        <f ca="1">((3*'Hilfstabellen_Mat&amp;Bem'!J$43*N$6*1000*gamma_m)/(4*b_DE*'Hilfstabellen_Mat&amp;Bem'!$BA$49*k_mod))</f>
        <v>42.485624999999999</v>
      </c>
      <c r="O24" s="467">
        <f ca="1">((3*'Hilfstabellen_Mat&amp;Bem'!K$43*O$6*1000*gamma_m)/(4*b_DE*'Hilfstabellen_Mat&amp;Bem'!$BA$49*k_mod))</f>
        <v>48.536718749999999</v>
      </c>
      <c r="P24" s="467">
        <f ca="1">((3*'Hilfstabellen_Mat&amp;Bem'!L$43*P$6*1000*gamma_m)/(4*b_DE*'Hilfstabellen_Mat&amp;Bem'!$BA$49*k_mod))</f>
        <v>55.575000000000003</v>
      </c>
      <c r="Q24" s="467">
        <f ca="1">((3*'Hilfstabellen_Mat&amp;Bem'!M$43*Q$6*1000*gamma_m)/(4*b_DE*'Hilfstabellen_Mat&amp;Bem'!$BA$49*k_mod))</f>
        <v>58.909500000000001</v>
      </c>
      <c r="R24" s="467">
        <f ca="1">((3*'Hilfstabellen_Mat&amp;Bem'!N$43*R$6*1000*gamma_m)/(4*b_DE*'Hilfstabellen_Mat&amp;Bem'!$BA$49*k_mod))</f>
        <v>64.293328124999988</v>
      </c>
      <c r="S24" s="467">
        <f ca="1">((3*'Hilfstabellen_Mat&amp;Bem'!O$43*S$6*1000*gamma_m)/(4*b_DE*'Hilfstabellen_Mat&amp;Bem'!$BA$49*k_mod))</f>
        <v>63.728437499999998</v>
      </c>
      <c r="T24" s="467"/>
      <c r="U24" s="467"/>
      <c r="V24" s="466"/>
      <c r="W24" s="466"/>
      <c r="X24" s="466"/>
      <c r="Y24" s="466"/>
      <c r="Z24" s="466"/>
      <c r="AA24" s="1459"/>
      <c r="AB24" s="1459"/>
      <c r="AC24" s="1459"/>
      <c r="AD24" s="1459"/>
      <c r="AE24" s="1459"/>
      <c r="AF24" s="1459"/>
      <c r="AG24" s="1459"/>
      <c r="AH24" s="1459"/>
      <c r="AI24" s="1459"/>
      <c r="AJ24" s="1459"/>
      <c r="AK24" s="1459"/>
      <c r="AL24" s="1459"/>
      <c r="AM24" s="1459"/>
      <c r="AN24" s="1459"/>
      <c r="AO24" s="1459"/>
      <c r="AP24" s="1459"/>
      <c r="AQ24" s="1459"/>
      <c r="AR24" s="1459"/>
      <c r="AS24" s="1459"/>
      <c r="AT24" s="1459"/>
      <c r="AU24" s="1459"/>
      <c r="AV24" s="1459"/>
      <c r="AW24" s="1459"/>
      <c r="AX24" s="1459"/>
      <c r="AY24" s="1459"/>
      <c r="AZ24" s="1459"/>
      <c r="BA24" s="1459"/>
      <c r="BB24" s="466"/>
      <c r="BC24" s="466"/>
      <c r="BD24" s="466"/>
      <c r="BE24" s="466"/>
      <c r="BF24" s="169"/>
    </row>
    <row r="25" spans="1:58" ht="15" customHeight="1">
      <c r="A25" s="466"/>
      <c r="B25" s="466"/>
      <c r="C25" s="1459" t="str">
        <f>'Hilfstabellen_Mat&amp;Bem'!$BC$44</f>
        <v>BSP 160</v>
      </c>
      <c r="D25" s="1459"/>
      <c r="E25" s="1459"/>
      <c r="F25" s="1459"/>
      <c r="G25" s="466"/>
      <c r="H25" s="466"/>
      <c r="I25" s="467">
        <f ca="1">((3*'Hilfstabellen_Mat&amp;Bem'!E$43*I$6*1000*gamma_m)/(4*b_DE*'Hilfstabellen_Mat&amp;Bem'!$BA$49*k_mod))</f>
        <v>25.730859375000005</v>
      </c>
      <c r="J25" s="467">
        <f ca="1">((3*'Hilfstabellen_Mat&amp;Bem'!F$43*J$6*1000*gamma_m)/(4*b_DE*'Hilfstabellen_Mat&amp;Bem'!$BA$49*k_mod))</f>
        <v>27.2747109375</v>
      </c>
      <c r="K25" s="467">
        <f ca="1">((3*'Hilfstabellen_Mat&amp;Bem'!G$43*K$6*1000*gamma_m)/(4*b_DE*'Hilfstabellen_Mat&amp;Bem'!$BA$49*k_mod))</f>
        <v>29.333179687499999</v>
      </c>
      <c r="L25" s="467">
        <f ca="1">((3*'Hilfstabellen_Mat&amp;Bem'!H$43*L$6*1000*gamma_m)/(4*b_DE*'Hilfstabellen_Mat&amp;Bem'!$BA$49*k_mod))</f>
        <v>30.877031250000002</v>
      </c>
      <c r="M25" s="467">
        <f ca="1">((3*'Hilfstabellen_Mat&amp;Bem'!I$43*M$6*1000*gamma_m)/(4*b_DE*'Hilfstabellen_Mat&amp;Bem'!$BA$49*k_mod))</f>
        <v>36.599062500000002</v>
      </c>
      <c r="N25" s="467">
        <f ca="1">((3*'Hilfstabellen_Mat&amp;Bem'!J$43*N$6*1000*gamma_m)/(4*b_DE*'Hilfstabellen_Mat&amp;Bem'!$BA$49*k_mod))</f>
        <v>42.485624999999999</v>
      </c>
      <c r="O25" s="467">
        <f ca="1">((3*'Hilfstabellen_Mat&amp;Bem'!K$43*O$6*1000*gamma_m)/(4*b_DE*'Hilfstabellen_Mat&amp;Bem'!$BA$49*k_mod))</f>
        <v>48.536718749999999</v>
      </c>
      <c r="P25" s="467">
        <f ca="1">((3*'Hilfstabellen_Mat&amp;Bem'!L$43*P$6*1000*gamma_m)/(4*b_DE*'Hilfstabellen_Mat&amp;Bem'!$BA$49*k_mod))</f>
        <v>55.575000000000003</v>
      </c>
      <c r="Q25" s="467">
        <f ca="1">((3*'Hilfstabellen_Mat&amp;Bem'!M$43*Q$6*1000*gamma_m)/(4*b_DE*'Hilfstabellen_Mat&amp;Bem'!$BA$49*k_mod))</f>
        <v>58.909500000000001</v>
      </c>
      <c r="R25" s="467">
        <f ca="1">((3*'Hilfstabellen_Mat&amp;Bem'!N$43*R$6*1000*gamma_m)/(4*b_DE*'Hilfstabellen_Mat&amp;Bem'!$BA$49*k_mod))</f>
        <v>64.293328124999988</v>
      </c>
      <c r="S25" s="467">
        <f ca="1">((3*'Hilfstabellen_Mat&amp;Bem'!O$43*S$6*1000*gamma_m)/(4*b_DE*'Hilfstabellen_Mat&amp;Bem'!$BA$49*k_mod))</f>
        <v>63.728437499999998</v>
      </c>
      <c r="T25" s="467"/>
      <c r="U25" s="467"/>
      <c r="V25" s="466"/>
      <c r="W25" s="466"/>
      <c r="X25" s="466"/>
      <c r="Y25" s="466"/>
      <c r="Z25" s="466"/>
      <c r="AA25" s="1459"/>
      <c r="AB25" s="1459"/>
      <c r="AC25" s="1459"/>
      <c r="AD25" s="1459"/>
      <c r="AE25" s="1459"/>
      <c r="AF25" s="1459"/>
      <c r="AG25" s="1459"/>
      <c r="AH25" s="1459"/>
      <c r="AI25" s="1459"/>
      <c r="AJ25" s="1459"/>
      <c r="AK25" s="1459"/>
      <c r="AL25" s="1459"/>
      <c r="AM25" s="1459"/>
      <c r="AN25" s="1459"/>
      <c r="AO25" s="1459"/>
      <c r="AP25" s="1459"/>
      <c r="AQ25" s="1459"/>
      <c r="AR25" s="1459"/>
      <c r="AS25" s="1459"/>
      <c r="AT25" s="1459"/>
      <c r="AU25" s="1459"/>
      <c r="AV25" s="1459"/>
      <c r="AW25" s="1459"/>
      <c r="AX25" s="1459"/>
      <c r="AY25" s="1459"/>
      <c r="AZ25" s="1459"/>
      <c r="BA25" s="1459"/>
      <c r="BB25" s="466"/>
      <c r="BC25" s="466"/>
      <c r="BD25" s="466"/>
      <c r="BE25" s="466"/>
      <c r="BF25" s="169"/>
    </row>
    <row r="26" spans="1:58" ht="15" customHeight="1">
      <c r="A26" s="466"/>
      <c r="B26" s="466"/>
      <c r="C26" s="1459" t="str">
        <f>'Hilfstabellen_Mat&amp;Bem'!$BD$44</f>
        <v>BSP 180</v>
      </c>
      <c r="D26" s="1459"/>
      <c r="E26" s="1459"/>
      <c r="F26" s="1459"/>
      <c r="G26" s="466"/>
      <c r="H26" s="466"/>
      <c r="I26" s="467">
        <f ca="1">((3*'Hilfstabellen_Mat&amp;Bem'!E$43*I$6*1000*gamma_m)/(4*b_DE*'Hilfstabellen_Mat&amp;Bem'!$BA$49*k_mod))</f>
        <v>25.730859375000005</v>
      </c>
      <c r="J26" s="467">
        <f ca="1">((3*'Hilfstabellen_Mat&amp;Bem'!F$43*J$6*1000*gamma_m)/(4*b_DE*'Hilfstabellen_Mat&amp;Bem'!$BA$49*k_mod))</f>
        <v>27.2747109375</v>
      </c>
      <c r="K26" s="467">
        <f ca="1">((3*'Hilfstabellen_Mat&amp;Bem'!G$43*K$6*1000*gamma_m)/(4*b_DE*'Hilfstabellen_Mat&amp;Bem'!$BA$49*k_mod))</f>
        <v>29.333179687499999</v>
      </c>
      <c r="L26" s="467">
        <f ca="1">((3*'Hilfstabellen_Mat&amp;Bem'!H$43*L$6*1000*gamma_m)/(4*b_DE*'Hilfstabellen_Mat&amp;Bem'!$BA$49*k_mod))</f>
        <v>30.877031250000002</v>
      </c>
      <c r="M26" s="467">
        <f ca="1">((3*'Hilfstabellen_Mat&amp;Bem'!I$43*M$6*1000*gamma_m)/(4*b_DE*'Hilfstabellen_Mat&amp;Bem'!$BA$49*k_mod))</f>
        <v>36.599062500000002</v>
      </c>
      <c r="N26" s="467">
        <f ca="1">((3*'Hilfstabellen_Mat&amp;Bem'!J$43*N$6*1000*gamma_m)/(4*b_DE*'Hilfstabellen_Mat&amp;Bem'!$BA$49*k_mod))</f>
        <v>42.485624999999999</v>
      </c>
      <c r="O26" s="467">
        <f ca="1">((3*'Hilfstabellen_Mat&amp;Bem'!K$43*O$6*1000*gamma_m)/(4*b_DE*'Hilfstabellen_Mat&amp;Bem'!$BA$49*k_mod))</f>
        <v>48.536718749999999</v>
      </c>
      <c r="P26" s="467">
        <f ca="1">((3*'Hilfstabellen_Mat&amp;Bem'!L$43*P$6*1000*gamma_m)/(4*b_DE*'Hilfstabellen_Mat&amp;Bem'!$BA$49*k_mod))</f>
        <v>55.575000000000003</v>
      </c>
      <c r="Q26" s="467">
        <f ca="1">((3*'Hilfstabellen_Mat&amp;Bem'!M$43*Q$6*1000*gamma_m)/(4*b_DE*'Hilfstabellen_Mat&amp;Bem'!$BA$49*k_mod))</f>
        <v>58.909500000000001</v>
      </c>
      <c r="R26" s="467">
        <f ca="1">((3*'Hilfstabellen_Mat&amp;Bem'!N$43*R$6*1000*gamma_m)/(4*b_DE*'Hilfstabellen_Mat&amp;Bem'!$BA$49*k_mod))</f>
        <v>64.293328124999988</v>
      </c>
      <c r="S26" s="467">
        <f ca="1">((3*'Hilfstabellen_Mat&amp;Bem'!O$43*S$6*1000*gamma_m)/(4*b_DE*'Hilfstabellen_Mat&amp;Bem'!$BA$49*k_mod))</f>
        <v>63.728437499999998</v>
      </c>
      <c r="T26" s="467"/>
      <c r="U26" s="467"/>
      <c r="V26" s="466"/>
      <c r="W26" s="466"/>
      <c r="X26" s="466"/>
      <c r="Y26" s="466"/>
      <c r="Z26" s="466"/>
      <c r="AA26" s="1459"/>
      <c r="AB26" s="1459"/>
      <c r="AC26" s="1459"/>
      <c r="AD26" s="1459"/>
      <c r="AE26" s="1459"/>
      <c r="AF26" s="1459"/>
      <c r="AG26" s="1459"/>
      <c r="AH26" s="1459"/>
      <c r="AI26" s="1459"/>
      <c r="AJ26" s="1459"/>
      <c r="AK26" s="1459"/>
      <c r="AL26" s="1459"/>
      <c r="AM26" s="1459"/>
      <c r="AN26" s="1459"/>
      <c r="AO26" s="1459"/>
      <c r="AP26" s="1459"/>
      <c r="AQ26" s="1459"/>
      <c r="AR26" s="1459"/>
      <c r="AS26" s="1459"/>
      <c r="AT26" s="1459"/>
      <c r="AU26" s="1459"/>
      <c r="AV26" s="1459"/>
      <c r="AW26" s="1459"/>
      <c r="AX26" s="1459"/>
      <c r="AY26" s="1459"/>
      <c r="AZ26" s="1459"/>
      <c r="BA26" s="1459"/>
      <c r="BB26" s="466"/>
      <c r="BC26" s="466"/>
      <c r="BD26" s="466"/>
      <c r="BE26" s="466"/>
      <c r="BF26" s="169"/>
    </row>
    <row r="27" spans="1:58" ht="15" customHeight="1">
      <c r="A27" s="466"/>
      <c r="B27" s="466"/>
      <c r="C27" s="1459" t="str">
        <f>'Hilfstabellen_Mat&amp;Bem'!$BE$44</f>
        <v>BSP 200</v>
      </c>
      <c r="D27" s="1459"/>
      <c r="E27" s="1459"/>
      <c r="F27" s="1459"/>
      <c r="G27" s="466"/>
      <c r="H27" s="466"/>
      <c r="I27" s="467">
        <f ca="1">((3*'Hilfstabellen_Mat&amp;Bem'!E$43*I$6*1000*gamma_m)/(4*b_DE*'Hilfstabellen_Mat&amp;Bem'!$BA$49*k_mod))</f>
        <v>25.730859375000005</v>
      </c>
      <c r="J27" s="467">
        <f ca="1">((3*'Hilfstabellen_Mat&amp;Bem'!F$43*J$6*1000*gamma_m)/(4*b_DE*'Hilfstabellen_Mat&amp;Bem'!$BA$49*k_mod))</f>
        <v>27.2747109375</v>
      </c>
      <c r="K27" s="467">
        <f ca="1">((3*'Hilfstabellen_Mat&amp;Bem'!G$43*K$6*1000*gamma_m)/(4*b_DE*'Hilfstabellen_Mat&amp;Bem'!$BA$49*k_mod))</f>
        <v>29.333179687499999</v>
      </c>
      <c r="L27" s="467">
        <f ca="1">((3*'Hilfstabellen_Mat&amp;Bem'!H$43*L$6*1000*gamma_m)/(4*b_DE*'Hilfstabellen_Mat&amp;Bem'!$BA$49*k_mod))</f>
        <v>30.877031250000002</v>
      </c>
      <c r="M27" s="467">
        <f ca="1">((3*'Hilfstabellen_Mat&amp;Bem'!I$43*M$6*1000*gamma_m)/(4*b_DE*'Hilfstabellen_Mat&amp;Bem'!$BA$49*k_mod))</f>
        <v>36.599062500000002</v>
      </c>
      <c r="N27" s="467">
        <f ca="1">((3*'Hilfstabellen_Mat&amp;Bem'!J$43*N$6*1000*gamma_m)/(4*b_DE*'Hilfstabellen_Mat&amp;Bem'!$BA$49*k_mod))</f>
        <v>42.485624999999999</v>
      </c>
      <c r="O27" s="467">
        <f ca="1">((3*'Hilfstabellen_Mat&amp;Bem'!K$43*O$6*1000*gamma_m)/(4*b_DE*'Hilfstabellen_Mat&amp;Bem'!$BA$49*k_mod))</f>
        <v>48.536718749999999</v>
      </c>
      <c r="P27" s="467">
        <f ca="1">((3*'Hilfstabellen_Mat&amp;Bem'!L$43*P$6*1000*gamma_m)/(4*b_DE*'Hilfstabellen_Mat&amp;Bem'!$BA$49*k_mod))</f>
        <v>55.575000000000003</v>
      </c>
      <c r="Q27" s="467">
        <f ca="1">((3*'Hilfstabellen_Mat&amp;Bem'!M$43*Q$6*1000*gamma_m)/(4*b_DE*'Hilfstabellen_Mat&amp;Bem'!$BA$49*k_mod))</f>
        <v>58.909500000000001</v>
      </c>
      <c r="R27" s="467">
        <f ca="1">((3*'Hilfstabellen_Mat&amp;Bem'!N$43*R$6*1000*gamma_m)/(4*b_DE*'Hilfstabellen_Mat&amp;Bem'!$BA$49*k_mod))</f>
        <v>64.293328124999988</v>
      </c>
      <c r="S27" s="467">
        <f ca="1">((3*'Hilfstabellen_Mat&amp;Bem'!O$43*S$6*1000*gamma_m)/(4*b_DE*'Hilfstabellen_Mat&amp;Bem'!$BA$49*k_mod))</f>
        <v>63.728437499999998</v>
      </c>
      <c r="T27" s="467"/>
      <c r="U27" s="467"/>
      <c r="V27" s="466"/>
      <c r="W27" s="466"/>
      <c r="X27" s="466"/>
      <c r="Y27" s="466"/>
      <c r="Z27" s="466"/>
      <c r="AA27" s="1459"/>
      <c r="AB27" s="1459"/>
      <c r="AC27" s="1459"/>
      <c r="AD27" s="1459"/>
      <c r="AE27" s="1459"/>
      <c r="AF27" s="1459"/>
      <c r="AG27" s="1459"/>
      <c r="AH27" s="1459"/>
      <c r="AI27" s="1459"/>
      <c r="AJ27" s="1459"/>
      <c r="AK27" s="1459"/>
      <c r="AL27" s="1459"/>
      <c r="AM27" s="1459"/>
      <c r="AN27" s="1459"/>
      <c r="AO27" s="1459"/>
      <c r="AP27" s="1459"/>
      <c r="AQ27" s="1459"/>
      <c r="AR27" s="1459"/>
      <c r="AS27" s="1459"/>
      <c r="AT27" s="1459"/>
      <c r="AU27" s="1459"/>
      <c r="AV27" s="1459"/>
      <c r="AW27" s="1459"/>
      <c r="AX27" s="1459"/>
      <c r="AY27" s="1459"/>
      <c r="AZ27" s="1459"/>
      <c r="BA27" s="1459"/>
      <c r="BB27" s="466"/>
      <c r="BC27" s="466"/>
      <c r="BD27" s="466"/>
      <c r="BE27" s="466"/>
      <c r="BF27" s="169"/>
    </row>
    <row r="28" spans="1:58" ht="15" customHeight="1">
      <c r="A28" s="466"/>
      <c r="B28" s="466"/>
      <c r="C28" s="1459" t="str">
        <f>'Hilfstabellen_Mat&amp;Bem'!$BF$44</f>
        <v>BSP 220</v>
      </c>
      <c r="D28" s="1459"/>
      <c r="E28" s="1459"/>
      <c r="F28" s="1459"/>
      <c r="G28" s="466"/>
      <c r="H28" s="466"/>
      <c r="I28" s="467">
        <f ca="1">((3*'Hilfstabellen_Mat&amp;Bem'!E$43*I$6*1000*gamma_m)/(4*b_DE*'Hilfstabellen_Mat&amp;Bem'!$BA$49*k_mod))</f>
        <v>25.730859375000005</v>
      </c>
      <c r="J28" s="467">
        <f ca="1">((3*'Hilfstabellen_Mat&amp;Bem'!F$43*J$6*1000*gamma_m)/(4*b_DE*'Hilfstabellen_Mat&amp;Bem'!$BA$49*k_mod))</f>
        <v>27.2747109375</v>
      </c>
      <c r="K28" s="467">
        <f ca="1">((3*'Hilfstabellen_Mat&amp;Bem'!G$43*K$6*1000*gamma_m)/(4*b_DE*'Hilfstabellen_Mat&amp;Bem'!$BA$49*k_mod))</f>
        <v>29.333179687499999</v>
      </c>
      <c r="L28" s="467">
        <f ca="1">((3*'Hilfstabellen_Mat&amp;Bem'!H$43*L$6*1000*gamma_m)/(4*b_DE*'Hilfstabellen_Mat&amp;Bem'!$BA$49*k_mod))</f>
        <v>30.877031250000002</v>
      </c>
      <c r="M28" s="467">
        <f ca="1">((3*'Hilfstabellen_Mat&amp;Bem'!I$43*M$6*1000*gamma_m)/(4*b_DE*'Hilfstabellen_Mat&amp;Bem'!$BA$49*k_mod))</f>
        <v>36.599062500000002</v>
      </c>
      <c r="N28" s="467">
        <f ca="1">((3*'Hilfstabellen_Mat&amp;Bem'!J$43*N$6*1000*gamma_m)/(4*b_DE*'Hilfstabellen_Mat&amp;Bem'!$BA$49*k_mod))</f>
        <v>42.485624999999999</v>
      </c>
      <c r="O28" s="467">
        <f ca="1">((3*'Hilfstabellen_Mat&amp;Bem'!K$43*O$6*1000*gamma_m)/(4*b_DE*'Hilfstabellen_Mat&amp;Bem'!$BA$49*k_mod))</f>
        <v>48.536718749999999</v>
      </c>
      <c r="P28" s="467">
        <f ca="1">((3*'Hilfstabellen_Mat&amp;Bem'!L$43*P$6*1000*gamma_m)/(4*b_DE*'Hilfstabellen_Mat&amp;Bem'!$BA$49*k_mod))</f>
        <v>55.575000000000003</v>
      </c>
      <c r="Q28" s="467">
        <f ca="1">((3*'Hilfstabellen_Mat&amp;Bem'!M$43*Q$6*1000*gamma_m)/(4*b_DE*'Hilfstabellen_Mat&amp;Bem'!$BA$49*k_mod))</f>
        <v>58.909500000000001</v>
      </c>
      <c r="R28" s="467">
        <f ca="1">((3*'Hilfstabellen_Mat&amp;Bem'!N$43*R$6*1000*gamma_m)/(4*b_DE*'Hilfstabellen_Mat&amp;Bem'!$BA$49*k_mod))</f>
        <v>64.293328124999988</v>
      </c>
      <c r="S28" s="467">
        <f ca="1">((3*'Hilfstabellen_Mat&amp;Bem'!O$43*S$6*1000*gamma_m)/(4*b_DE*'Hilfstabellen_Mat&amp;Bem'!$BA$49*k_mod))</f>
        <v>63.728437499999998</v>
      </c>
      <c r="T28" s="467"/>
      <c r="U28" s="467"/>
      <c r="V28" s="466"/>
      <c r="W28" s="466"/>
      <c r="X28" s="466"/>
      <c r="Y28" s="466"/>
      <c r="Z28" s="466"/>
      <c r="AA28" s="1459"/>
      <c r="AB28" s="1459"/>
      <c r="AC28" s="1459"/>
      <c r="AD28" s="1459"/>
      <c r="AE28" s="1459"/>
      <c r="AF28" s="1459"/>
      <c r="AG28" s="1459"/>
      <c r="AH28" s="1459"/>
      <c r="AI28" s="1459"/>
      <c r="AJ28" s="1459"/>
      <c r="AK28" s="1459"/>
      <c r="AL28" s="1459"/>
      <c r="AM28" s="1459"/>
      <c r="AN28" s="1459"/>
      <c r="AO28" s="1459"/>
      <c r="AP28" s="1459"/>
      <c r="AQ28" s="1459"/>
      <c r="AR28" s="1459"/>
      <c r="AS28" s="1459"/>
      <c r="AT28" s="1459"/>
      <c r="AU28" s="1459"/>
      <c r="AV28" s="1459"/>
      <c r="AW28" s="1459"/>
      <c r="AX28" s="1459"/>
      <c r="AY28" s="1459"/>
      <c r="AZ28" s="1459"/>
      <c r="BA28" s="1459"/>
      <c r="BB28" s="466"/>
      <c r="BC28" s="466"/>
      <c r="BD28" s="466"/>
      <c r="BE28" s="466"/>
      <c r="BF28" s="169"/>
    </row>
    <row r="29" spans="1:58" ht="15" customHeight="1">
      <c r="A29" s="466"/>
      <c r="B29" s="466"/>
      <c r="C29" s="1459" t="str">
        <f>'Hilfstabellen_Mat&amp;Bem'!$BG$44</f>
        <v>BSP 240</v>
      </c>
      <c r="D29" s="1459"/>
      <c r="E29" s="1459"/>
      <c r="F29" s="1459"/>
      <c r="G29" s="466"/>
      <c r="H29" s="466"/>
      <c r="I29" s="467">
        <f ca="1">((3*'Hilfstabellen_Mat&amp;Bem'!E$43*I$6*1000*gamma_m)/(4*b_DE*'Hilfstabellen_Mat&amp;Bem'!$BA$49*k_mod))</f>
        <v>25.730859375000005</v>
      </c>
      <c r="J29" s="467">
        <f ca="1">((3*'Hilfstabellen_Mat&amp;Bem'!F$43*J$6*1000*gamma_m)/(4*b_DE*'Hilfstabellen_Mat&amp;Bem'!$BA$49*k_mod))</f>
        <v>27.2747109375</v>
      </c>
      <c r="K29" s="467">
        <f ca="1">((3*'Hilfstabellen_Mat&amp;Bem'!G$43*K$6*1000*gamma_m)/(4*b_DE*'Hilfstabellen_Mat&amp;Bem'!$BA$49*k_mod))</f>
        <v>29.333179687499999</v>
      </c>
      <c r="L29" s="467">
        <f ca="1">((3*'Hilfstabellen_Mat&amp;Bem'!H$43*L$6*1000*gamma_m)/(4*b_DE*'Hilfstabellen_Mat&amp;Bem'!$BA$49*k_mod))</f>
        <v>30.877031250000002</v>
      </c>
      <c r="M29" s="467">
        <f ca="1">((3*'Hilfstabellen_Mat&amp;Bem'!I$43*M$6*1000*gamma_m)/(4*b_DE*'Hilfstabellen_Mat&amp;Bem'!$BA$49*k_mod))</f>
        <v>36.599062500000002</v>
      </c>
      <c r="N29" s="467">
        <f ca="1">((3*'Hilfstabellen_Mat&amp;Bem'!J$43*N$6*1000*gamma_m)/(4*b_DE*'Hilfstabellen_Mat&amp;Bem'!$BA$49*k_mod))</f>
        <v>42.485624999999999</v>
      </c>
      <c r="O29" s="467">
        <f ca="1">((3*'Hilfstabellen_Mat&amp;Bem'!K$43*O$6*1000*gamma_m)/(4*b_DE*'Hilfstabellen_Mat&amp;Bem'!$BA$49*k_mod))</f>
        <v>48.536718749999999</v>
      </c>
      <c r="P29" s="467">
        <f ca="1">((3*'Hilfstabellen_Mat&amp;Bem'!L$43*P$6*1000*gamma_m)/(4*b_DE*'Hilfstabellen_Mat&amp;Bem'!$BA$49*k_mod))</f>
        <v>55.575000000000003</v>
      </c>
      <c r="Q29" s="467">
        <f ca="1">((3*'Hilfstabellen_Mat&amp;Bem'!M$43*Q$6*1000*gamma_m)/(4*b_DE*'Hilfstabellen_Mat&amp;Bem'!$BA$49*k_mod))</f>
        <v>58.909500000000001</v>
      </c>
      <c r="R29" s="467">
        <f ca="1">((3*'Hilfstabellen_Mat&amp;Bem'!N$43*R$6*1000*gamma_m)/(4*b_DE*'Hilfstabellen_Mat&amp;Bem'!$BA$49*k_mod))</f>
        <v>64.293328124999988</v>
      </c>
      <c r="S29" s="467">
        <f ca="1">((3*'Hilfstabellen_Mat&amp;Bem'!O$43*S$6*1000*gamma_m)/(4*b_DE*'Hilfstabellen_Mat&amp;Bem'!$BA$49*k_mod))</f>
        <v>63.728437499999998</v>
      </c>
      <c r="T29" s="467"/>
      <c r="U29" s="467"/>
      <c r="V29" s="466"/>
      <c r="W29" s="466"/>
      <c r="X29" s="466"/>
      <c r="Y29" s="466"/>
      <c r="Z29" s="466"/>
      <c r="AA29" s="471"/>
      <c r="AB29" s="471"/>
      <c r="AC29" s="471"/>
      <c r="AD29" s="471"/>
      <c r="AE29" s="471"/>
      <c r="AF29" s="471"/>
      <c r="AG29" s="471"/>
      <c r="AH29" s="471"/>
      <c r="AI29" s="471"/>
      <c r="AJ29" s="471"/>
      <c r="AK29" s="471"/>
      <c r="AL29" s="471"/>
      <c r="AM29" s="471"/>
      <c r="AN29" s="471"/>
      <c r="AO29" s="471"/>
      <c r="AP29" s="471"/>
      <c r="AQ29" s="471"/>
      <c r="AR29" s="471"/>
      <c r="AS29" s="471"/>
      <c r="AT29" s="471"/>
      <c r="AU29" s="471"/>
      <c r="AV29" s="471"/>
      <c r="AW29" s="471"/>
      <c r="AX29" s="471"/>
      <c r="AY29" s="471"/>
      <c r="AZ29" s="471"/>
      <c r="BA29" s="471"/>
      <c r="BB29" s="466"/>
      <c r="BC29" s="466"/>
      <c r="BD29" s="466"/>
      <c r="BE29" s="466"/>
      <c r="BF29" s="169"/>
    </row>
    <row r="30" spans="1:58" ht="15" customHeight="1">
      <c r="A30" s="466"/>
      <c r="B30" s="466"/>
      <c r="C30" s="466"/>
      <c r="D30" s="466"/>
      <c r="E30" s="466"/>
      <c r="F30" s="466"/>
      <c r="G30" s="466"/>
      <c r="H30" s="466"/>
      <c r="I30" s="466"/>
      <c r="J30" s="466"/>
      <c r="K30" s="466"/>
      <c r="L30" s="466"/>
      <c r="M30" s="466"/>
      <c r="N30" s="466"/>
      <c r="O30" s="466"/>
      <c r="P30" s="466"/>
      <c r="Q30" s="466"/>
      <c r="R30" s="466"/>
      <c r="S30" s="466"/>
      <c r="T30" s="466"/>
      <c r="U30" s="466"/>
      <c r="V30" s="466"/>
      <c r="W30" s="466"/>
      <c r="X30" s="466"/>
      <c r="Y30" s="466"/>
      <c r="Z30" s="466"/>
      <c r="AA30" s="466"/>
      <c r="AB30" s="466"/>
      <c r="AC30" s="466"/>
      <c r="AD30" s="466"/>
      <c r="AE30" s="466"/>
      <c r="AF30" s="466"/>
      <c r="AG30" s="466"/>
      <c r="AH30" s="466"/>
      <c r="AI30" s="466"/>
      <c r="AJ30" s="466"/>
      <c r="AK30" s="466"/>
      <c r="AL30" s="466"/>
      <c r="AM30" s="466"/>
      <c r="AN30" s="466"/>
      <c r="AO30" s="466"/>
      <c r="AP30" s="466"/>
      <c r="AQ30" s="466"/>
      <c r="AR30" s="466"/>
      <c r="AS30" s="466"/>
      <c r="AT30" s="466"/>
      <c r="AU30" s="466"/>
      <c r="AV30" s="466"/>
      <c r="AW30" s="466"/>
      <c r="AX30" s="466"/>
      <c r="AY30" s="466"/>
      <c r="AZ30" s="466"/>
      <c r="BA30" s="466"/>
      <c r="BB30" s="466"/>
      <c r="BC30" s="466"/>
      <c r="BD30" s="466"/>
      <c r="BE30" s="466"/>
      <c r="BF30" s="169"/>
    </row>
    <row r="31" spans="1:58" ht="15" customHeight="1">
      <c r="A31" s="466"/>
      <c r="B31" s="491" t="s">
        <v>924</v>
      </c>
      <c r="C31" s="491"/>
      <c r="D31" s="491"/>
      <c r="E31" s="491"/>
      <c r="F31" s="491"/>
      <c r="G31" s="491"/>
      <c r="H31" s="491"/>
      <c r="I31" s="784">
        <f t="shared" ref="I31:P31" ca="1" si="1">MAX(I$13,I$22)</f>
        <v>120</v>
      </c>
      <c r="J31" s="784">
        <f t="shared" ca="1" si="1"/>
        <v>120</v>
      </c>
      <c r="K31" s="784">
        <f t="shared" ca="1" si="1"/>
        <v>120</v>
      </c>
      <c r="L31" s="784">
        <f t="shared" ca="1" si="1"/>
        <v>120</v>
      </c>
      <c r="M31" s="784">
        <f t="shared" ca="1" si="1"/>
        <v>120</v>
      </c>
      <c r="N31" s="784">
        <f t="shared" ca="1" si="1"/>
        <v>120</v>
      </c>
      <c r="O31" s="784">
        <f t="shared" ca="1" si="1"/>
        <v>120</v>
      </c>
      <c r="P31" s="784">
        <f t="shared" ca="1" si="1"/>
        <v>140</v>
      </c>
      <c r="Q31" s="784">
        <f ca="1">MAX(Q$13,Q$22)</f>
        <v>140</v>
      </c>
      <c r="R31" s="784">
        <f ca="1">MAX(R$13,R$22)</f>
        <v>140</v>
      </c>
      <c r="S31" s="784">
        <f ca="1">MAX(S$13,S$22)</f>
        <v>140</v>
      </c>
      <c r="T31" s="784"/>
      <c r="U31" s="784"/>
      <c r="V31" s="466"/>
      <c r="W31" s="466"/>
      <c r="X31" s="466"/>
      <c r="Y31" s="466"/>
      <c r="Z31" s="466"/>
      <c r="AA31" s="466"/>
      <c r="AB31" s="466"/>
      <c r="AC31" s="466"/>
      <c r="AD31" s="466"/>
      <c r="AE31" s="466"/>
      <c r="AF31" s="466"/>
      <c r="AG31" s="466"/>
      <c r="AH31" s="466"/>
      <c r="AI31" s="466"/>
      <c r="AJ31" s="466"/>
      <c r="AK31" s="466"/>
      <c r="AL31" s="466"/>
      <c r="AM31" s="466"/>
      <c r="AN31" s="466"/>
      <c r="AO31" s="466"/>
      <c r="AP31" s="466"/>
      <c r="AQ31" s="466"/>
      <c r="AR31" s="466"/>
      <c r="AS31" s="466"/>
      <c r="AT31" s="466"/>
      <c r="AU31" s="466"/>
      <c r="AV31" s="466"/>
      <c r="AW31" s="466"/>
      <c r="AX31" s="466"/>
      <c r="AY31" s="466"/>
      <c r="AZ31" s="466"/>
      <c r="BA31" s="466"/>
      <c r="BB31" s="466"/>
      <c r="BC31" s="466"/>
      <c r="BD31" s="466"/>
      <c r="BE31" s="466"/>
      <c r="BF31" s="169"/>
    </row>
    <row r="32" spans="1:58" ht="15" customHeight="1">
      <c r="A32" s="466"/>
      <c r="B32" s="466"/>
      <c r="C32" s="466"/>
      <c r="D32" s="466"/>
      <c r="E32" s="466"/>
      <c r="F32" s="466"/>
      <c r="G32" s="466"/>
      <c r="H32" s="466"/>
      <c r="I32" s="466"/>
      <c r="J32" s="466"/>
      <c r="K32" s="466"/>
      <c r="L32" s="466"/>
      <c r="M32" s="466"/>
      <c r="N32" s="466"/>
      <c r="O32" s="466"/>
      <c r="P32" s="466"/>
      <c r="Q32" s="466"/>
      <c r="R32" s="466"/>
      <c r="S32" s="466"/>
      <c r="T32" s="466"/>
      <c r="U32" s="466"/>
      <c r="V32" s="466"/>
      <c r="W32" s="466"/>
      <c r="X32" s="466"/>
      <c r="Y32" s="466"/>
      <c r="Z32" s="466"/>
      <c r="AA32" s="466"/>
      <c r="AB32" s="466"/>
      <c r="AC32" s="466"/>
      <c r="AD32" s="466"/>
      <c r="AE32" s="466"/>
      <c r="AF32" s="466"/>
      <c r="AG32" s="466"/>
      <c r="AH32" s="466"/>
      <c r="AI32" s="466"/>
      <c r="AJ32" s="466"/>
      <c r="AK32" s="466"/>
      <c r="AL32" s="466"/>
      <c r="AM32" s="466"/>
      <c r="AN32" s="466"/>
      <c r="AO32" s="466"/>
      <c r="AP32" s="466"/>
      <c r="AQ32" s="466"/>
      <c r="AR32" s="466"/>
      <c r="AS32" s="466"/>
      <c r="AT32" s="466"/>
      <c r="AU32" s="466"/>
      <c r="AV32" s="466"/>
      <c r="AW32" s="466"/>
      <c r="AX32" s="466"/>
      <c r="AY32" s="466"/>
      <c r="AZ32" s="466"/>
      <c r="BA32" s="466"/>
      <c r="BB32" s="466"/>
      <c r="BC32" s="466"/>
      <c r="BD32" s="466"/>
      <c r="BE32" s="466"/>
      <c r="BF32" s="169"/>
    </row>
    <row r="33" spans="1:58" ht="15" customHeight="1">
      <c r="A33" s="466"/>
      <c r="B33" s="466"/>
      <c r="C33" s="466"/>
      <c r="D33" s="466"/>
      <c r="E33" s="466"/>
      <c r="F33" s="466"/>
      <c r="G33" s="466"/>
      <c r="H33" s="466"/>
      <c r="I33" s="466"/>
      <c r="J33" s="466"/>
      <c r="K33" s="466"/>
      <c r="L33" s="466"/>
      <c r="M33" s="466"/>
      <c r="N33" s="466"/>
      <c r="O33" s="466"/>
      <c r="P33" s="466"/>
      <c r="Q33" s="466"/>
      <c r="R33" s="466"/>
      <c r="S33" s="466"/>
      <c r="T33" s="466"/>
      <c r="U33" s="466"/>
      <c r="V33" s="466"/>
      <c r="W33" s="466"/>
      <c r="X33" s="466"/>
      <c r="Y33" s="466"/>
      <c r="Z33" s="466"/>
      <c r="AA33" s="466"/>
      <c r="AB33" s="466"/>
      <c r="AC33" s="466"/>
      <c r="AD33" s="466"/>
      <c r="AE33" s="466"/>
      <c r="AF33" s="466"/>
      <c r="AG33" s="466"/>
      <c r="AH33" s="466"/>
      <c r="AI33" s="466"/>
      <c r="AJ33" s="466"/>
      <c r="AK33" s="466"/>
      <c r="AL33" s="466"/>
      <c r="AM33" s="466"/>
      <c r="AN33" s="466"/>
      <c r="AO33" s="466"/>
      <c r="AP33" s="466"/>
      <c r="AQ33" s="466"/>
      <c r="AR33" s="466"/>
      <c r="AS33" s="466"/>
      <c r="AT33" s="466"/>
      <c r="AU33" s="466"/>
      <c r="AV33" s="466"/>
      <c r="AW33" s="466"/>
      <c r="AX33" s="466"/>
      <c r="AY33" s="466"/>
      <c r="AZ33" s="466"/>
      <c r="BA33" s="466"/>
      <c r="BB33" s="466"/>
      <c r="BC33" s="466"/>
      <c r="BD33" s="466"/>
      <c r="BE33" s="466"/>
      <c r="BF33" s="169"/>
    </row>
    <row r="34" spans="1:58" ht="15" customHeight="1">
      <c r="A34" s="466"/>
      <c r="B34" s="466" t="s">
        <v>823</v>
      </c>
      <c r="C34" s="466"/>
      <c r="D34" s="466"/>
      <c r="E34" s="466"/>
      <c r="F34" s="466"/>
      <c r="G34" s="466"/>
      <c r="H34" s="466"/>
      <c r="I34" s="467">
        <f ca="1">ROUNDUP((((1.6*g_k_250+1.18*q_k)*(5*w_fin_DE*(I6*1000)^3)/(32*b_DE*'Hilfstabellen_Mat&amp;Bem'!$BB$25))^(1/3)),0)</f>
        <v>84</v>
      </c>
      <c r="J34" s="467">
        <f ca="1">ROUNDUP((((1.6*g_k_265+1.18*q_k)*(5*w_fin_DE*(J6*1000)^3)/(32*b_DE*'Hilfstabellen_Mat&amp;Bem'!$BB$25))^(1/3)),0)</f>
        <v>89</v>
      </c>
      <c r="K34" s="467">
        <f ca="1">ROUNDUP((((1.6*g_k_285+1.18*q_k)*(5*w_fin_DE*(K6*1000)^3)/(32*b_DE*'Hilfstabellen_Mat&amp;Bem'!$BB$25))^(1/3)),0)</f>
        <v>95</v>
      </c>
      <c r="L34" s="467">
        <f ca="1">ROUNDUP((((1.6*g_k_300+1.18*q_k)*(5*w_fin_DE*(L6*1000)^3)/(32*b_DE*'Hilfstabellen_Mat&amp;Bem'!$BB$25))^(1/3)),0)</f>
        <v>100</v>
      </c>
      <c r="M34" s="467">
        <f ca="1">ROUNDUP((((1.6*g_k_350+1.18*q_k)*(5*w_fin_DE*(M6*1000)^3)/(32*b_DE*'Hilfstabellen_Mat&amp;Bem'!$BB$25))^(1/3)),0)</f>
        <v>118</v>
      </c>
      <c r="N34" s="467">
        <f ca="1">ROUNDUP((((1.6*g_k_400+1.18*q_k)*(5*w_fin_DE*(N6*1000)^3)/(32*b_DE*'Hilfstabellen_Mat&amp;Bem'!$BB$25))^(1/3)),0)</f>
        <v>135</v>
      </c>
      <c r="O34" s="467">
        <f ca="1">ROUNDUP((((1.6*g_k_450+1.18*q_k)*(5*w_fin_DE*(O6*1000)^3)/(32*b_DE*'Hilfstabellen_Mat&amp;Bem'!$BB$25))^(1/3)),0)</f>
        <v>153</v>
      </c>
      <c r="P34" s="467">
        <f ca="1">ROUNDUP((((1.6*g_k_500+1.18*q_k)*(5*w_fin_DE*(P6*1000)^3)/(32*b_DE*'Hilfstabellen_Mat&amp;Bem'!$BB$25))^(1/3)),0)</f>
        <v>172</v>
      </c>
      <c r="Q34" s="467">
        <f ca="1">ROUNDUP((((1.6*g_k_530+1.18*q_k)*(5*w_fin_DE*(Q6*1000)^3)/(32*b_DE*'Hilfstabellen_Mat&amp;Bem'!$BB$25))^(1/3)),0)</f>
        <v>182</v>
      </c>
      <c r="R34" s="467">
        <f ca="1">ROUNDUP((((1.6*g_k_570+1.18*q_k)*(5*w_fin_DE*(R6*1000)^3)/(32*b_DE*'Hilfstabellen_Mat&amp;Bem'!$BB$25))^(1/3)),0)</f>
        <v>197</v>
      </c>
      <c r="S34" s="467">
        <f ca="1">ROUNDUP((((1.6*g_k_600+1.18*q_k)*(5*w_fin_DE*(S6*1000)^3)/(32*b_DE*'Hilfstabellen_Mat&amp;Bem'!$BB$25))^(1/3)),0)</f>
        <v>202</v>
      </c>
      <c r="T34" s="467"/>
      <c r="U34" s="467"/>
      <c r="V34" s="466"/>
      <c r="W34" s="466"/>
      <c r="X34" s="466"/>
      <c r="Y34" s="466"/>
      <c r="Z34" s="466"/>
      <c r="AA34" s="466" t="s">
        <v>1531</v>
      </c>
      <c r="AB34" s="466"/>
      <c r="AC34" s="466"/>
      <c r="AD34" s="466"/>
      <c r="AE34" s="466"/>
      <c r="AF34" s="466"/>
      <c r="AG34" s="466"/>
      <c r="AH34" s="466"/>
      <c r="AI34" s="466"/>
      <c r="AJ34" s="466"/>
      <c r="AK34" s="466"/>
      <c r="AL34" s="466"/>
      <c r="AM34" s="466"/>
      <c r="AN34" s="466"/>
      <c r="AO34" s="466"/>
      <c r="AP34" s="466"/>
      <c r="AQ34" s="466"/>
      <c r="AR34" s="466"/>
      <c r="AS34" s="466"/>
      <c r="AT34" s="466"/>
      <c r="AU34" s="466"/>
      <c r="AV34" s="466"/>
      <c r="AW34" s="466"/>
      <c r="AX34" s="466"/>
      <c r="AY34" s="466"/>
      <c r="AZ34" s="466"/>
      <c r="BA34" s="466"/>
      <c r="BB34" s="466"/>
      <c r="BC34" s="466"/>
      <c r="BD34" s="466"/>
      <c r="BE34" s="466"/>
      <c r="BF34" s="169"/>
    </row>
    <row r="35" spans="1:58" ht="15" customHeight="1">
      <c r="A35" s="466"/>
      <c r="B35" s="466"/>
      <c r="C35" s="466"/>
      <c r="D35" s="466"/>
      <c r="E35" s="466"/>
      <c r="F35" s="466"/>
      <c r="G35" s="466"/>
      <c r="H35" s="466"/>
      <c r="I35" s="468"/>
      <c r="J35" s="468"/>
      <c r="K35" s="468"/>
      <c r="L35" s="468"/>
      <c r="M35" s="468"/>
      <c r="N35" s="468"/>
      <c r="O35" s="468"/>
      <c r="P35" s="468"/>
      <c r="Q35" s="468"/>
      <c r="R35" s="468"/>
      <c r="S35" s="468"/>
      <c r="T35" s="468"/>
      <c r="U35" s="468"/>
      <c r="V35" s="466"/>
      <c r="W35" s="466"/>
      <c r="X35" s="466"/>
      <c r="Y35" s="466"/>
      <c r="Z35" s="466"/>
      <c r="AA35" s="466"/>
      <c r="AB35" s="466"/>
      <c r="AC35" s="466"/>
      <c r="AD35" s="466"/>
      <c r="AE35" s="466"/>
      <c r="AF35" s="466"/>
      <c r="AG35" s="466"/>
      <c r="AH35" s="466"/>
      <c r="AI35" s="466"/>
      <c r="AJ35" s="466"/>
      <c r="AK35" s="466"/>
      <c r="AL35" s="466"/>
      <c r="AM35" s="466"/>
      <c r="AN35" s="466"/>
      <c r="AO35" s="466"/>
      <c r="AP35" s="466"/>
      <c r="AQ35" s="466"/>
      <c r="AR35" s="466"/>
      <c r="AS35" s="466"/>
      <c r="AT35" s="466"/>
      <c r="AU35" s="466"/>
      <c r="AV35" s="466"/>
      <c r="AW35" s="466"/>
      <c r="AX35" s="466"/>
      <c r="AY35" s="466"/>
      <c r="AZ35" s="466"/>
      <c r="BA35" s="466"/>
      <c r="BB35" s="466"/>
      <c r="BC35" s="466"/>
      <c r="BD35" s="466"/>
      <c r="BE35" s="466"/>
      <c r="BF35" s="169"/>
    </row>
    <row r="36" spans="1:58" ht="15" customHeight="1">
      <c r="A36" s="466"/>
      <c r="B36" s="466"/>
      <c r="C36" s="466"/>
      <c r="D36" s="466"/>
      <c r="E36" s="466"/>
      <c r="F36" s="466"/>
      <c r="G36" s="466"/>
      <c r="H36" s="466"/>
      <c r="I36" s="468"/>
      <c r="J36" s="468"/>
      <c r="K36" s="468"/>
      <c r="L36" s="468"/>
      <c r="M36" s="468"/>
      <c r="N36" s="468"/>
      <c r="O36" s="468"/>
      <c r="P36" s="468"/>
      <c r="Q36" s="468"/>
      <c r="R36" s="468"/>
      <c r="S36" s="468"/>
      <c r="T36" s="468"/>
      <c r="U36" s="468"/>
      <c r="V36" s="466"/>
      <c r="W36" s="466"/>
      <c r="X36" s="466"/>
      <c r="Y36" s="466"/>
      <c r="Z36" s="466"/>
      <c r="AA36" s="466"/>
      <c r="AB36" s="466"/>
      <c r="AC36" s="466"/>
      <c r="AD36" s="466"/>
      <c r="AE36" s="466"/>
      <c r="AF36" s="466"/>
      <c r="AG36" s="466"/>
      <c r="AH36" s="466"/>
      <c r="AI36" s="466"/>
      <c r="AJ36" s="466"/>
      <c r="AK36" s="466"/>
      <c r="AL36" s="466"/>
      <c r="AM36" s="466"/>
      <c r="AN36" s="466"/>
      <c r="AO36" s="466"/>
      <c r="AP36" s="466"/>
      <c r="AQ36" s="466"/>
      <c r="AR36" s="466"/>
      <c r="AS36" s="466"/>
      <c r="AT36" s="466"/>
      <c r="AU36" s="466"/>
      <c r="AV36" s="466"/>
      <c r="AW36" s="466"/>
      <c r="AX36" s="466"/>
      <c r="AY36" s="466"/>
      <c r="AZ36" s="466"/>
      <c r="BA36" s="466"/>
      <c r="BB36" s="466"/>
      <c r="BC36" s="466"/>
      <c r="BD36" s="466"/>
      <c r="BE36" s="466"/>
      <c r="BF36" s="169"/>
    </row>
    <row r="37" spans="1:58" ht="15" customHeight="1">
      <c r="A37" s="466"/>
      <c r="B37" s="466"/>
      <c r="C37" s="466"/>
      <c r="D37" s="466" t="s">
        <v>933</v>
      </c>
      <c r="E37" s="466"/>
      <c r="F37" s="466"/>
      <c r="G37" s="466"/>
      <c r="H37" s="466"/>
      <c r="I37" s="477">
        <f ca="1">5/384*'Hilfstabellen_Mat&amp;Bem'!E$45*(I$6*1000)^4/(b_DE*'Hilfstabellen_Mat&amp;Bem'!$BB$25*I$34^3/12)</f>
        <v>8.0827949542574071</v>
      </c>
      <c r="J37" s="477">
        <f ca="1">5/384*'Hilfstabellen_Mat&amp;Bem'!F$45*(J$6*1000)^4/(b_DE*'Hilfstabellen_Mat&amp;Bem'!$BB$25*J$34^3/12)</f>
        <v>8.5793198837486759</v>
      </c>
      <c r="K37" s="477">
        <f ca="1">5/384*'Hilfstabellen_Mat&amp;Bem'!G$45*(K$6*1000)^4/(b_DE*'Hilfstabellen_Mat&amp;Bem'!$BB$25*K$34^3/12)</f>
        <v>9.4373053977272718</v>
      </c>
      <c r="L37" s="477">
        <f ca="1">5/384*'Hilfstabellen_Mat&amp;Bem'!H$45*(L$6*1000)^4/(b_DE*'Hilfstabellen_Mat&amp;Bem'!$BB$25*L$34^3/12)</f>
        <v>9.9340056818181814</v>
      </c>
      <c r="M37" s="477">
        <f ca="1">5/384*'Hilfstabellen_Mat&amp;Bem'!I$45*(M$6*1000)^4/(b_DE*'Hilfstabellen_Mat&amp;Bem'!$BB$25*M$34^3/12)</f>
        <v>11.408799757026257</v>
      </c>
      <c r="N37" s="477">
        <f ca="1">5/384*'Hilfstabellen_Mat&amp;Bem'!J$45*(N$6*1000)^4/(b_DE*'Hilfstabellen_Mat&amp;Bem'!$BB$25*N$34^3/12)</f>
        <v>13.233755017019766</v>
      </c>
      <c r="O37" s="477">
        <f ca="1">5/384*'Hilfstabellen_Mat&amp;Bem'!K$45*(O$6*1000)^4/(b_DE*'Hilfstabellen_Mat&amp;Bem'!$BB$25*O$34^3/12)</f>
        <v>14.822181526747222</v>
      </c>
      <c r="P37" s="477">
        <f ca="1">5/384*'Hilfstabellen_Mat&amp;Bem'!L$45*(P$6*1000)^4/(b_DE*'Hilfstabellen_Mat&amp;Bem'!$BB$25*P$34^3/12)</f>
        <v>16.459547417280014</v>
      </c>
      <c r="Q37" s="477">
        <f ca="1">5/384*'Hilfstabellen_Mat&amp;Bem'!M$45*(Q$6*1000)^4/(b_DE*'Hilfstabellen_Mat&amp;Bem'!$BB$25*Q$34^3/12)</f>
        <v>17.539310932188364</v>
      </c>
      <c r="R37" s="477">
        <f ca="1">5/384*'Hilfstabellen_Mat&amp;Bem'!N$45*(R$6*1000)^4/(b_DE*'Hilfstabellen_Mat&amp;Bem'!$BB$25*R$34^3/12)</f>
        <v>18.816021437306532</v>
      </c>
      <c r="S37" s="477">
        <f ca="1">5/384*'Hilfstabellen_Mat&amp;Bem'!O$45*(S$6*1000)^4/(b_DE*'Hilfstabellen_Mat&amp;Bem'!$BB$25*S$34^3/12)</f>
        <v>19.998403379206664</v>
      </c>
      <c r="T37" s="477"/>
      <c r="U37" s="477"/>
      <c r="V37" s="466"/>
      <c r="W37" s="466"/>
      <c r="X37" s="466"/>
      <c r="Y37" s="466"/>
      <c r="Z37" s="466"/>
      <c r="AA37" s="466" t="s">
        <v>1532</v>
      </c>
      <c r="AB37" s="466"/>
      <c r="AC37" s="466"/>
      <c r="AD37" s="466"/>
      <c r="AE37" s="466"/>
      <c r="AF37" s="466"/>
      <c r="AG37" s="466"/>
      <c r="AH37" s="466"/>
      <c r="AI37" s="466"/>
      <c r="AJ37" s="466"/>
      <c r="AK37" s="466"/>
      <c r="AL37" s="466"/>
      <c r="AM37" s="466"/>
      <c r="AN37" s="466"/>
      <c r="AO37" s="466"/>
      <c r="AP37" s="466"/>
      <c r="AQ37" s="466"/>
      <c r="AR37" s="466"/>
      <c r="AS37" s="466"/>
      <c r="AT37" s="466"/>
      <c r="AU37" s="466"/>
      <c r="AV37" s="466"/>
      <c r="AW37" s="466"/>
      <c r="AX37" s="466"/>
      <c r="AY37" s="466"/>
      <c r="AZ37" s="466"/>
      <c r="BA37" s="466"/>
      <c r="BB37" s="466"/>
      <c r="BC37" s="466"/>
      <c r="BD37" s="466"/>
      <c r="BE37" s="466"/>
      <c r="BF37" s="169"/>
    </row>
    <row r="38" spans="1:58" ht="15" customHeight="1">
      <c r="A38" s="466"/>
      <c r="B38" s="466"/>
      <c r="C38" s="1459" t="str">
        <f>'Hilfstabellen_Mat&amp;Bem'!$BA$44</f>
        <v>BSP 120</v>
      </c>
      <c r="D38" s="1459"/>
      <c r="E38" s="1459"/>
      <c r="F38" s="1459"/>
      <c r="G38" s="466"/>
      <c r="H38" s="466"/>
      <c r="I38" s="477">
        <f ca="1">5/384*'Hilfstabellen_Mat&amp;Bem'!E$45*(I$6*1000)^4/(b_DE*'Hilfstabellen_Mat&amp;Bem'!$BA$60*'Hilfstabellen_Mat&amp;Bem'!$BA$61^3/12)</f>
        <v>3.9106422391444071</v>
      </c>
      <c r="J38" s="477">
        <f ca="1">5/384*'Hilfstabellen_Mat&amp;Bem'!F$45*(J$6*1000)^4/(b_DE*'Hilfstabellen_Mat&amp;Bem'!$BA$60*'Hilfstabellen_Mat&amp;Bem'!$BA$61^3/12)</f>
        <v>4.9370957257226245</v>
      </c>
      <c r="K38" s="477">
        <f ca="1">5/384*'Hilfstabellen_Mat&amp;Bem'!G$45*(K$6*1000)^4/(b_DE*'Hilfstabellen_Mat&amp;Bem'!$BA$60*'Hilfstabellen_Mat&amp;Bem'!$BA$61^3/12)</f>
        <v>6.604918941928096</v>
      </c>
      <c r="L38" s="477">
        <f ca="1">5/384*'Hilfstabellen_Mat&amp;Bem'!H$45*(L$6*1000)^4/(b_DE*'Hilfstabellen_Mat&amp;Bem'!$BA$60*'Hilfstabellen_Mat&amp;Bem'!$BA$61^3/12)</f>
        <v>8.1091077470898423</v>
      </c>
      <c r="M38" s="477">
        <f ca="1">5/384*'Hilfstabellen_Mat&amp;Bem'!I$45*(M$6*1000)^4/(b_DE*'Hilfstabellen_Mat&amp;Bem'!$BA$60*'Hilfstabellen_Mat&amp;Bem'!$BA$61^3/12)</f>
        <v>15.301522544422006</v>
      </c>
      <c r="N38" s="477">
        <f ca="1">5/384*'Hilfstabellen_Mat&amp;Bem'!J$45*(N$6*1000)^4/(b_DE*'Hilfstabellen_Mat&amp;Bem'!$BA$60*'Hilfstabellen_Mat&amp;Bem'!$BA$61^3/12)</f>
        <v>26.578658871566148</v>
      </c>
      <c r="O38" s="477">
        <f ca="1">5/384*'Hilfstabellen_Mat&amp;Bem'!K$45*(O$6*1000)^4/(b_DE*'Hilfstabellen_Mat&amp;Bem'!$BA$60*'Hilfstabellen_Mat&amp;Bem'!$BA$61^3/12)</f>
        <v>43.334629434250665</v>
      </c>
      <c r="P38" s="477">
        <f ca="1">5/384*'Hilfstabellen_Mat&amp;Bem'!L$45*(P$6*1000)^4/(b_DE*'Hilfstabellen_Mat&amp;Bem'!$BA$60*'Hilfstabellen_Mat&amp;Bem'!$BA$61^3/12)</f>
        <v>68.367845974683064</v>
      </c>
      <c r="Q38" s="477">
        <f ca="1">5/384*'Hilfstabellen_Mat&amp;Bem'!M$45*(Q$6*1000)^4/(b_DE*'Hilfstabellen_Mat&amp;Bem'!$BA$60*'Hilfstabellen_Mat&amp;Bem'!$BA$61^3/12)</f>
        <v>86.312830347866111</v>
      </c>
      <c r="R38" s="477">
        <f ca="1">5/384*'Hilfstabellen_Mat&amp;Bem'!N$45*(R$6*1000)^4/(b_DE*'Hilfstabellen_Mat&amp;Bem'!$BA$60*'Hilfstabellen_Mat&amp;Bem'!$BA$61^3/12)</f>
        <v>117.42894107733733</v>
      </c>
      <c r="S38" s="477">
        <f ca="1">5/384*'Hilfstabellen_Mat&amp;Bem'!O$45*(S$6*1000)^4/(b_DE*'Hilfstabellen_Mat&amp;Bem'!$BA$60*'Hilfstabellen_Mat&amp;Bem'!$BA$61^3/12)</f>
        <v>134.55446053730361</v>
      </c>
      <c r="T38" s="477"/>
      <c r="U38" s="477"/>
      <c r="V38" s="466"/>
      <c r="W38" s="466"/>
      <c r="X38" s="466"/>
      <c r="Y38" s="466"/>
      <c r="Z38" s="466"/>
      <c r="AA38" s="466"/>
      <c r="AB38" s="466"/>
      <c r="AC38" s="466"/>
      <c r="AD38" s="466"/>
      <c r="AE38" s="466"/>
      <c r="AF38" s="466"/>
      <c r="AG38" s="466"/>
      <c r="AH38" s="466"/>
      <c r="AI38" s="466"/>
      <c r="AJ38" s="466"/>
      <c r="AK38" s="466"/>
      <c r="AL38" s="466"/>
      <c r="AM38" s="466"/>
      <c r="AN38" s="466"/>
      <c r="AO38" s="466"/>
      <c r="AP38" s="466"/>
      <c r="AQ38" s="466"/>
      <c r="AR38" s="466"/>
      <c r="AS38" s="466"/>
      <c r="AT38" s="466"/>
      <c r="AU38" s="466"/>
      <c r="AV38" s="466"/>
      <c r="AW38" s="466"/>
      <c r="AX38" s="466"/>
      <c r="AY38" s="466"/>
      <c r="AZ38" s="466"/>
      <c r="BA38" s="466"/>
      <c r="BB38" s="466"/>
      <c r="BC38" s="466"/>
      <c r="BD38" s="466"/>
      <c r="BE38" s="466"/>
      <c r="BF38" s="169"/>
    </row>
    <row r="39" spans="1:58" ht="15" customHeight="1">
      <c r="A39" s="466"/>
      <c r="B39" s="466"/>
      <c r="C39" s="1459" t="str">
        <f>'Hilfstabellen_Mat&amp;Bem'!$BB$44</f>
        <v>BSP 140</v>
      </c>
      <c r="D39" s="1459"/>
      <c r="E39" s="1459"/>
      <c r="F39" s="1459"/>
      <c r="G39" s="466"/>
      <c r="H39" s="466"/>
      <c r="I39" s="477">
        <f ca="1">5/384*'Hilfstabellen_Mat&amp;Bem'!E$45*(I$6*1000)^4/(b_DE*'Hilfstabellen_Mat&amp;Bem'!$BB$60*'Hilfstabellen_Mat&amp;Bem'!$BB$61^3/12)</f>
        <v>1.9045075328561429</v>
      </c>
      <c r="J39" s="477">
        <f ca="1">5/384*'Hilfstabellen_Mat&amp;Bem'!F$45*(J$6*1000)^4/(b_DE*'Hilfstabellen_Mat&amp;Bem'!$BB$60*'Hilfstabellen_Mat&amp;Bem'!$BB$61^3/12)</f>
        <v>2.4043968803773237</v>
      </c>
      <c r="K39" s="477">
        <f ca="1">5/384*'Hilfstabellen_Mat&amp;Bem'!G$45*(K$6*1000)^4/(b_DE*'Hilfstabellen_Mat&amp;Bem'!$BB$60*'Hilfstabellen_Mat&amp;Bem'!$BB$61^3/12)</f>
        <v>3.2166373474139167</v>
      </c>
      <c r="L39" s="477">
        <f ca="1">5/384*'Hilfstabellen_Mat&amp;Bem'!H$45*(L$6*1000)^4/(b_DE*'Hilfstabellen_Mat&amp;Bem'!$BB$60*'Hilfstabellen_Mat&amp;Bem'!$BB$61^3/12)</f>
        <v>3.9491868201304983</v>
      </c>
      <c r="M39" s="477">
        <f ca="1">5/384*'Hilfstabellen_Mat&amp;Bem'!I$45*(M$6*1000)^4/(b_DE*'Hilfstabellen_Mat&amp;Bem'!$BB$60*'Hilfstabellen_Mat&amp;Bem'!$BB$61^3/12)</f>
        <v>7.4519383691809233</v>
      </c>
      <c r="N39" s="477">
        <f ca="1">5/384*'Hilfstabellen_Mat&amp;Bem'!J$45*(N$6*1000)^4/(b_DE*'Hilfstabellen_Mat&amp;Bem'!$BB$60*'Hilfstabellen_Mat&amp;Bem'!$BB$61^3/12)</f>
        <v>12.943975167921844</v>
      </c>
      <c r="O39" s="477">
        <f ca="1">5/384*'Hilfstabellen_Mat&amp;Bem'!K$45*(O$6*1000)^4/(b_DE*'Hilfstabellen_Mat&amp;Bem'!$BB$60*'Hilfstabellen_Mat&amp;Bem'!$BB$61^3/12)</f>
        <v>21.104238931638136</v>
      </c>
      <c r="P39" s="477">
        <f ca="1">5/384*'Hilfstabellen_Mat&amp;Bem'!L$45*(P$6*1000)^4/(b_DE*'Hilfstabellen_Mat&amp;Bem'!$BB$60*'Hilfstabellen_Mat&amp;Bem'!$BB$61^3/12)</f>
        <v>33.295573898475531</v>
      </c>
      <c r="Q39" s="477">
        <f ca="1">5/384*'Hilfstabellen_Mat&amp;Bem'!M$45*(Q$6*1000)^4/(b_DE*'Hilfstabellen_Mat&amp;Bem'!$BB$60*'Hilfstabellen_Mat&amp;Bem'!$BB$61^3/12)</f>
        <v>42.034894916802735</v>
      </c>
      <c r="R39" s="477">
        <f ca="1">5/384*'Hilfstabellen_Mat&amp;Bem'!N$45*(R$6*1000)^4/(b_DE*'Hilfstabellen_Mat&amp;Bem'!$BB$60*'Hilfstabellen_Mat&amp;Bem'!$BB$61^3/12)</f>
        <v>57.188637870908714</v>
      </c>
      <c r="S39" s="477">
        <f ca="1">5/384*'Hilfstabellen_Mat&amp;Bem'!O$45*(S$6*1000)^4/(b_DE*'Hilfstabellen_Mat&amp;Bem'!$BB$60*'Hilfstabellen_Mat&amp;Bem'!$BB$61^3/12)</f>
        <v>65.528874287604339</v>
      </c>
      <c r="T39" s="477"/>
      <c r="U39" s="477"/>
      <c r="V39" s="466"/>
      <c r="W39" s="466"/>
      <c r="X39" s="466"/>
      <c r="Y39" s="466"/>
      <c r="Z39" s="466"/>
      <c r="AA39" s="466"/>
      <c r="AB39" s="466"/>
      <c r="AC39" s="466"/>
      <c r="AD39" s="466"/>
      <c r="AE39" s="466"/>
      <c r="AF39" s="466"/>
      <c r="AG39" s="466"/>
      <c r="AH39" s="466"/>
      <c r="AI39" s="466"/>
      <c r="AJ39" s="466"/>
      <c r="AK39" s="466"/>
      <c r="AL39" s="466"/>
      <c r="AM39" s="466"/>
      <c r="AN39" s="466"/>
      <c r="AO39" s="466"/>
      <c r="AP39" s="466"/>
      <c r="AQ39" s="466"/>
      <c r="AR39" s="466"/>
      <c r="AS39" s="466"/>
      <c r="AT39" s="466"/>
      <c r="AU39" s="466"/>
      <c r="AV39" s="466"/>
      <c r="AW39" s="466"/>
      <c r="AX39" s="466"/>
      <c r="AY39" s="466"/>
      <c r="AZ39" s="466"/>
      <c r="BA39" s="466"/>
      <c r="BB39" s="466"/>
      <c r="BC39" s="466"/>
      <c r="BD39" s="466"/>
      <c r="BE39" s="466"/>
      <c r="BF39" s="169"/>
    </row>
    <row r="40" spans="1:58" ht="15" customHeight="1">
      <c r="A40" s="466"/>
      <c r="B40" s="466"/>
      <c r="C40" s="1459" t="str">
        <f>'Hilfstabellen_Mat&amp;Bem'!$BC$44</f>
        <v>BSP 160</v>
      </c>
      <c r="D40" s="1459"/>
      <c r="E40" s="1459"/>
      <c r="F40" s="1459"/>
      <c r="G40" s="466"/>
      <c r="H40" s="466"/>
      <c r="I40" s="477">
        <f ca="1">5/384*'Hilfstabellen_Mat&amp;Bem'!E$45*(I$6*1000)^4/(b_DE*'Hilfstabellen_Mat&amp;Bem'!$BC$60*'Hilfstabellen_Mat&amp;Bem'!$BC$61^3/12)</f>
        <v>1.3117082720658151</v>
      </c>
      <c r="J40" s="477">
        <f ca="1">5/384*'Hilfstabellen_Mat&amp;Bem'!F$45*(J$6*1000)^4/(b_DE*'Hilfstabellen_Mat&amp;Bem'!$BC$60*'Hilfstabellen_Mat&amp;Bem'!$BC$61^3/12)</f>
        <v>1.6560014717245031</v>
      </c>
      <c r="K40" s="477">
        <f ca="1">5/384*'Hilfstabellen_Mat&amp;Bem'!G$45*(K$6*1000)^4/(b_DE*'Hilfstabellen_Mat&amp;Bem'!$BC$60*'Hilfstabellen_Mat&amp;Bem'!$BC$61^3/12)</f>
        <v>2.2154230130616024</v>
      </c>
      <c r="L40" s="477">
        <f ca="1">5/384*'Hilfstabellen_Mat&amp;Bem'!H$45*(L$6*1000)^4/(b_DE*'Hilfstabellen_Mat&amp;Bem'!$BC$60*'Hilfstabellen_Mat&amp;Bem'!$BC$61^3/12)</f>
        <v>2.7199582729556742</v>
      </c>
      <c r="M40" s="477">
        <f ca="1">5/384*'Hilfstabellen_Mat&amp;Bem'!I$45*(M$6*1000)^4/(b_DE*'Hilfstabellen_Mat&amp;Bem'!$BC$60*'Hilfstabellen_Mat&amp;Bem'!$BC$61^3/12)</f>
        <v>5.1324392438187294</v>
      </c>
      <c r="N40" s="477">
        <f ca="1">5/384*'Hilfstabellen_Mat&amp;Bem'!J$45*(N$6*1000)^4/(b_DE*'Hilfstabellen_Mat&amp;Bem'!$BC$60*'Hilfstabellen_Mat&amp;Bem'!$BC$61^3/12)</f>
        <v>8.915018191456042</v>
      </c>
      <c r="O40" s="477">
        <f ca="1">5/384*'Hilfstabellen_Mat&amp;Bem'!K$45*(O$6*1000)^4/(b_DE*'Hilfstabellen_Mat&amp;Bem'!$BC$60*'Hilfstabellen_Mat&amp;Bem'!$BC$61^3/12)</f>
        <v>14.535308632131395</v>
      </c>
      <c r="P40" s="477">
        <f ca="1">5/384*'Hilfstabellen_Mat&amp;Bem'!L$45*(P$6*1000)^4/(b_DE*'Hilfstabellen_Mat&amp;Bem'!$BC$60*'Hilfstabellen_Mat&amp;Bem'!$BC$61^3/12)</f>
        <v>22.931954299131625</v>
      </c>
      <c r="Q40" s="477">
        <f ca="1">5/384*'Hilfstabellen_Mat&amp;Bem'!M$45*(Q$6*1000)^4/(b_DE*'Hilfstabellen_Mat&amp;Bem'!$BC$60*'Hilfstabellen_Mat&amp;Bem'!$BC$61^3/12)</f>
        <v>28.951063950426622</v>
      </c>
      <c r="R40" s="477">
        <f ca="1">5/384*'Hilfstabellen_Mat&amp;Bem'!N$45*(R$6*1000)^4/(b_DE*'Hilfstabellen_Mat&amp;Bem'!$BC$60*'Hilfstabellen_Mat&amp;Bem'!$BC$61^3/12)</f>
        <v>39.388035000811705</v>
      </c>
      <c r="S40" s="477">
        <f ca="1">5/384*'Hilfstabellen_Mat&amp;Bem'!O$45*(S$6*1000)^4/(b_DE*'Hilfstabellen_Mat&amp;Bem'!$BC$60*'Hilfstabellen_Mat&amp;Bem'!$BC$61^3/12)</f>
        <v>45.132279594246214</v>
      </c>
      <c r="T40" s="477"/>
      <c r="U40" s="477"/>
      <c r="V40" s="466"/>
      <c r="W40" s="466"/>
      <c r="X40" s="466"/>
      <c r="Y40" s="466"/>
      <c r="Z40" s="466"/>
      <c r="AA40" s="466"/>
      <c r="AB40" s="466"/>
      <c r="AC40" s="466"/>
      <c r="AD40" s="466"/>
      <c r="AE40" s="466"/>
      <c r="AF40" s="466"/>
      <c r="AG40" s="466"/>
      <c r="AH40" s="466"/>
      <c r="AI40" s="466"/>
      <c r="AJ40" s="466"/>
      <c r="AK40" s="466"/>
      <c r="AL40" s="466"/>
      <c r="AM40" s="466"/>
      <c r="AN40" s="466"/>
      <c r="AO40" s="466"/>
      <c r="AP40" s="466"/>
      <c r="AQ40" s="466"/>
      <c r="AR40" s="466"/>
      <c r="AS40" s="466"/>
      <c r="AT40" s="466"/>
      <c r="AU40" s="466"/>
      <c r="AV40" s="466"/>
      <c r="AW40" s="466"/>
      <c r="AX40" s="466"/>
      <c r="AY40" s="466"/>
      <c r="AZ40" s="466"/>
      <c r="BA40" s="466"/>
      <c r="BB40" s="466"/>
      <c r="BC40" s="466"/>
      <c r="BD40" s="466"/>
      <c r="BE40" s="466"/>
      <c r="BF40" s="169"/>
    </row>
    <row r="41" spans="1:58" ht="15" customHeight="1">
      <c r="A41" s="466"/>
      <c r="B41" s="466"/>
      <c r="C41" s="1459" t="str">
        <f>'Hilfstabellen_Mat&amp;Bem'!$BD$44</f>
        <v>BSP 180</v>
      </c>
      <c r="D41" s="1459"/>
      <c r="E41" s="1459"/>
      <c r="F41" s="1459"/>
      <c r="G41" s="466"/>
      <c r="H41" s="466"/>
      <c r="I41" s="477">
        <f ca="1">5/384*'Hilfstabellen_Mat&amp;Bem'!E$45*(I$6*1000)^4/(b_DE*'Hilfstabellen_Mat&amp;Bem'!$BD$60*'Hilfstabellen_Mat&amp;Bem'!$BD$61^3/12)</f>
        <v>0.97510785682234524</v>
      </c>
      <c r="J41" s="477">
        <f ca="1">5/384*'Hilfstabellen_Mat&amp;Bem'!F$45*(J$6*1000)^4/(b_DE*'Hilfstabellen_Mat&amp;Bem'!$BD$60*'Hilfstabellen_Mat&amp;Bem'!$BD$61^3/12)</f>
        <v>1.2310512027531897</v>
      </c>
      <c r="K41" s="477">
        <f ca="1">5/384*'Hilfstabellen_Mat&amp;Bem'!G$45*(K$6*1000)^4/(b_DE*'Hilfstabellen_Mat&amp;Bem'!$BD$60*'Hilfstabellen_Mat&amp;Bem'!$BD$61^3/12)</f>
        <v>1.6469183218759254</v>
      </c>
      <c r="L41" s="477">
        <f ca="1">5/384*'Hilfstabellen_Mat&amp;Bem'!H$45*(L$6*1000)^4/(b_DE*'Hilfstabellen_Mat&amp;Bem'!$BD$60*'Hilfstabellen_Mat&amp;Bem'!$BD$61^3/12)</f>
        <v>2.0219836519068153</v>
      </c>
      <c r="M41" s="477">
        <f ca="1">5/384*'Hilfstabellen_Mat&amp;Bem'!I$45*(M$6*1000)^4/(b_DE*'Hilfstabellen_Mat&amp;Bem'!$BD$60*'Hilfstabellen_Mat&amp;Bem'!$BD$61^3/12)</f>
        <v>3.8153924450206325</v>
      </c>
      <c r="N41" s="477">
        <f ca="1">5/384*'Hilfstabellen_Mat&amp;Bem'!J$45*(N$6*1000)^4/(b_DE*'Hilfstabellen_Mat&amp;Bem'!$BD$60*'Hilfstabellen_Mat&amp;Bem'!$BD$61^3/12)</f>
        <v>6.6273152859759836</v>
      </c>
      <c r="O41" s="477">
        <f ca="1">5/384*'Hilfstabellen_Mat&amp;Bem'!K$45*(O$6*1000)^4/(b_DE*'Hilfstabellen_Mat&amp;Bem'!$BD$60*'Hilfstabellen_Mat&amp;Bem'!$BD$61^3/12)</f>
        <v>10.805370332998725</v>
      </c>
      <c r="P41" s="477">
        <f ca="1">5/384*'Hilfstabellen_Mat&amp;Bem'!L$45*(P$6*1000)^4/(b_DE*'Hilfstabellen_Mat&amp;Bem'!$BD$60*'Hilfstabellen_Mat&amp;Bem'!$BD$61^3/12)</f>
        <v>17.047333836019472</v>
      </c>
      <c r="Q41" s="477">
        <f ca="1">5/384*'Hilfstabellen_Mat&amp;Bem'!M$45*(Q$6*1000)^4/(b_DE*'Hilfstabellen_Mat&amp;Bem'!$BD$60*'Hilfstabellen_Mat&amp;Bem'!$BD$61^3/12)</f>
        <v>21.521866197403</v>
      </c>
      <c r="R41" s="477">
        <f ca="1">5/384*'Hilfstabellen_Mat&amp;Bem'!N$45*(R$6*1000)^4/(b_DE*'Hilfstabellen_Mat&amp;Bem'!$BD$60*'Hilfstabellen_Mat&amp;Bem'!$BD$61^3/12)</f>
        <v>29.280582589905261</v>
      </c>
      <c r="S41" s="477">
        <f ca="1">5/384*'Hilfstabellen_Mat&amp;Bem'!O$45*(S$6*1000)^4/(b_DE*'Hilfstabellen_Mat&amp;Bem'!$BD$60*'Hilfstabellen_Mat&amp;Bem'!$BD$61^3/12)</f>
        <v>33.550783635253417</v>
      </c>
      <c r="T41" s="477"/>
      <c r="U41" s="477"/>
      <c r="V41" s="466"/>
      <c r="W41" s="466"/>
      <c r="X41" s="466"/>
      <c r="Y41" s="466"/>
      <c r="Z41" s="466"/>
      <c r="AA41" s="466"/>
      <c r="AB41" s="466"/>
      <c r="AC41" s="466"/>
      <c r="AD41" s="466"/>
      <c r="AE41" s="466"/>
      <c r="AF41" s="466"/>
      <c r="AG41" s="466"/>
      <c r="AH41" s="466"/>
      <c r="AI41" s="466"/>
      <c r="AJ41" s="466"/>
      <c r="AK41" s="466"/>
      <c r="AL41" s="466"/>
      <c r="AM41" s="466"/>
      <c r="AN41" s="466"/>
      <c r="AO41" s="466"/>
      <c r="AP41" s="466"/>
      <c r="AQ41" s="466"/>
      <c r="AR41" s="466"/>
      <c r="AS41" s="466"/>
      <c r="AT41" s="466"/>
      <c r="AU41" s="466"/>
      <c r="AV41" s="466"/>
      <c r="AW41" s="466"/>
      <c r="AX41" s="466"/>
      <c r="AY41" s="466"/>
      <c r="AZ41" s="466"/>
      <c r="BA41" s="466"/>
      <c r="BB41" s="466"/>
      <c r="BC41" s="466"/>
      <c r="BD41" s="466"/>
      <c r="BE41" s="466"/>
      <c r="BF41" s="169"/>
    </row>
    <row r="42" spans="1:58" ht="15" customHeight="1">
      <c r="A42" s="466"/>
      <c r="B42" s="466"/>
      <c r="C42" s="1459" t="str">
        <f>'Hilfstabellen_Mat&amp;Bem'!$BE$44</f>
        <v>BSP 200</v>
      </c>
      <c r="D42" s="1459"/>
      <c r="E42" s="1459"/>
      <c r="F42" s="1459"/>
      <c r="G42" s="466"/>
      <c r="H42" s="466"/>
      <c r="I42" s="477">
        <f ca="1">5/384*'Hilfstabellen_Mat&amp;Bem'!E$45*(I$6*1000)^4/(b_DE*'Hilfstabellen_Mat&amp;Bem'!$BE$60*'Hilfstabellen_Mat&amp;Bem'!$BE$61^3/12)</f>
        <v>0.74449294600659</v>
      </c>
      <c r="J42" s="477">
        <f ca="1">5/384*'Hilfstabellen_Mat&amp;Bem'!F$45*(J$6*1000)^4/(b_DE*'Hilfstabellen_Mat&amp;Bem'!$BE$60*'Hilfstabellen_Mat&amp;Bem'!$BE$61^3/12)</f>
        <v>0.93990519121584393</v>
      </c>
      <c r="K42" s="477">
        <f ca="1">5/384*'Hilfstabellen_Mat&amp;Bem'!G$45*(K$6*1000)^4/(b_DE*'Hilfstabellen_Mat&amp;Bem'!$BE$60*'Hilfstabellen_Mat&amp;Bem'!$BE$61^3/12)</f>
        <v>1.2574189252061616</v>
      </c>
      <c r="L42" s="477">
        <f ca="1">5/384*'Hilfstabellen_Mat&amp;Bem'!H$45*(L$6*1000)^4/(b_DE*'Hilfstabellen_Mat&amp;Bem'!$BE$60*'Hilfstabellen_Mat&amp;Bem'!$BE$61^3/12)</f>
        <v>1.5437805728392651</v>
      </c>
      <c r="M42" s="477">
        <f ca="1">5/384*'Hilfstabellen_Mat&amp;Bem'!I$45*(M$6*1000)^4/(b_DE*'Hilfstabellen_Mat&amp;Bem'!$BE$60*'Hilfstabellen_Mat&amp;Bem'!$BE$61^3/12)</f>
        <v>2.913044686996316</v>
      </c>
      <c r="N42" s="477">
        <f ca="1">5/384*'Hilfstabellen_Mat&amp;Bem'!J$45*(N$6*1000)^4/(b_DE*'Hilfstabellen_Mat&amp;Bem'!$BE$60*'Hilfstabellen_Mat&amp;Bem'!$BE$61^3/12)</f>
        <v>5.0599422893068633</v>
      </c>
      <c r="O42" s="477">
        <f ca="1">5/384*'Hilfstabellen_Mat&amp;Bem'!K$45*(O$6*1000)^4/(b_DE*'Hilfstabellen_Mat&amp;Bem'!$BE$60*'Hilfstabellen_Mat&amp;Bem'!$BE$61^3/12)</f>
        <v>8.2498791652871084</v>
      </c>
      <c r="P42" s="477">
        <f ca="1">5/384*'Hilfstabellen_Mat&amp;Bem'!L$45*(P$6*1000)^4/(b_DE*'Hilfstabellen_Mat&amp;Bem'!$BE$60*'Hilfstabellen_Mat&amp;Bem'!$BE$61^3/12)</f>
        <v>13.015606120224549</v>
      </c>
      <c r="Q42" s="477">
        <f ca="1">5/384*'Hilfstabellen_Mat&amp;Bem'!M$45*(Q$6*1000)^4/(b_DE*'Hilfstabellen_Mat&amp;Bem'!$BE$60*'Hilfstabellen_Mat&amp;Bem'!$BE$61^3/12)</f>
        <v>16.431902847218481</v>
      </c>
      <c r="R42" s="477">
        <f ca="1">5/384*'Hilfstabellen_Mat&amp;Bem'!N$45*(R$6*1000)^4/(b_DE*'Hilfstabellen_Mat&amp;Bem'!$BE$60*'Hilfstabellen_Mat&amp;Bem'!$BE$61^3/12)</f>
        <v>22.355667673713995</v>
      </c>
      <c r="S42" s="477">
        <f ca="1">5/384*'Hilfstabellen_Mat&amp;Bem'!O$45*(S$6*1000)^4/(b_DE*'Hilfstabellen_Mat&amp;Bem'!$BE$60*'Hilfstabellen_Mat&amp;Bem'!$BE$61^3/12)</f>
        <v>25.615957839615998</v>
      </c>
      <c r="T42" s="477"/>
      <c r="U42" s="477"/>
      <c r="V42" s="466"/>
      <c r="W42" s="466"/>
      <c r="X42" s="466"/>
      <c r="Y42" s="466"/>
      <c r="Z42" s="466"/>
      <c r="AA42" s="466"/>
      <c r="AB42" s="466"/>
      <c r="AC42" s="466"/>
      <c r="AD42" s="466"/>
      <c r="AE42" s="466"/>
      <c r="AF42" s="466"/>
      <c r="AG42" s="466"/>
      <c r="AH42" s="466"/>
      <c r="AI42" s="466"/>
      <c r="AJ42" s="466"/>
      <c r="AK42" s="466"/>
      <c r="AL42" s="466"/>
      <c r="AM42" s="466"/>
      <c r="AN42" s="466"/>
      <c r="AO42" s="466"/>
      <c r="AP42" s="466"/>
      <c r="AQ42" s="466"/>
      <c r="AR42" s="466"/>
      <c r="AS42" s="466"/>
      <c r="AT42" s="466"/>
      <c r="AU42" s="466"/>
      <c r="AV42" s="466"/>
      <c r="AW42" s="466"/>
      <c r="AX42" s="466"/>
      <c r="AY42" s="466"/>
      <c r="AZ42" s="466"/>
      <c r="BA42" s="466"/>
      <c r="BB42" s="466"/>
      <c r="BC42" s="466"/>
      <c r="BD42" s="466"/>
      <c r="BE42" s="466"/>
      <c r="BF42" s="169"/>
    </row>
    <row r="43" spans="1:58" ht="15" customHeight="1">
      <c r="A43" s="466"/>
      <c r="B43" s="466"/>
      <c r="C43" s="1459" t="str">
        <f>'Hilfstabellen_Mat&amp;Bem'!$BF$44</f>
        <v>BSP 220</v>
      </c>
      <c r="D43" s="1459"/>
      <c r="E43" s="1459"/>
      <c r="F43" s="1459"/>
      <c r="G43" s="466"/>
      <c r="H43" s="466"/>
      <c r="I43" s="477">
        <f ca="1">5/384*'Hilfstabellen_Mat&amp;Bem'!E$45*(I$6*1000)^4/(b_DE*'Hilfstabellen_Mat&amp;Bem'!$BF$60*'Hilfstabellen_Mat&amp;Bem'!$BF$61^3/12)</f>
        <v>0.48883027989305089</v>
      </c>
      <c r="J43" s="477">
        <f ca="1">5/384*'Hilfstabellen_Mat&amp;Bem'!F$45*(J$6*1000)^4/(b_DE*'Hilfstabellen_Mat&amp;Bem'!$BF$60*'Hilfstabellen_Mat&amp;Bem'!$BF$61^3/12)</f>
        <v>0.61713696571532806</v>
      </c>
      <c r="K43" s="477">
        <f ca="1">5/384*'Hilfstabellen_Mat&amp;Bem'!G$45*(K$6*1000)^4/(b_DE*'Hilfstabellen_Mat&amp;Bem'!$BF$60*'Hilfstabellen_Mat&amp;Bem'!$BF$61^3/12)</f>
        <v>0.825614867741012</v>
      </c>
      <c r="L43" s="477">
        <f ca="1">5/384*'Hilfstabellen_Mat&amp;Bem'!H$45*(L$6*1000)^4/(b_DE*'Hilfstabellen_Mat&amp;Bem'!$BF$60*'Hilfstabellen_Mat&amp;Bem'!$BF$61^3/12)</f>
        <v>1.0136384683862303</v>
      </c>
      <c r="M43" s="477">
        <f ca="1">5/384*'Hilfstabellen_Mat&amp;Bem'!I$45*(M$6*1000)^4/(b_DE*'Hilfstabellen_Mat&amp;Bem'!$BF$60*'Hilfstabellen_Mat&amp;Bem'!$BF$61^3/12)</f>
        <v>1.9126903180527508</v>
      </c>
      <c r="N43" s="477">
        <f ca="1">5/384*'Hilfstabellen_Mat&amp;Bem'!J$45*(N$6*1000)^4/(b_DE*'Hilfstabellen_Mat&amp;Bem'!$BF$60*'Hilfstabellen_Mat&amp;Bem'!$BF$61^3/12)</f>
        <v>3.3223323589457685</v>
      </c>
      <c r="O43" s="477">
        <f ca="1">5/384*'Hilfstabellen_Mat&amp;Bem'!K$45*(O$6*1000)^4/(b_DE*'Hilfstabellen_Mat&amp;Bem'!$BF$60*'Hilfstabellen_Mat&amp;Bem'!$BF$61^3/12)</f>
        <v>5.4168286792813332</v>
      </c>
      <c r="P43" s="477">
        <f ca="1">5/384*'Hilfstabellen_Mat&amp;Bem'!L$45*(P$6*1000)^4/(b_DE*'Hilfstabellen_Mat&amp;Bem'!$BF$60*'Hilfstabellen_Mat&amp;Bem'!$BF$61^3/12)</f>
        <v>8.545980746835383</v>
      </c>
      <c r="Q43" s="477">
        <f ca="1">5/384*'Hilfstabellen_Mat&amp;Bem'!M$45*(Q$6*1000)^4/(b_DE*'Hilfstabellen_Mat&amp;Bem'!$BF$60*'Hilfstabellen_Mat&amp;Bem'!$BF$61^3/12)</f>
        <v>10.789103793483264</v>
      </c>
      <c r="R43" s="477">
        <f ca="1">5/384*'Hilfstabellen_Mat&amp;Bem'!N$45*(R$6*1000)^4/(b_DE*'Hilfstabellen_Mat&amp;Bem'!$BF$60*'Hilfstabellen_Mat&amp;Bem'!$BF$61^3/12)</f>
        <v>14.678617634667166</v>
      </c>
      <c r="S43" s="477">
        <f ca="1">5/384*'Hilfstabellen_Mat&amp;Bem'!O$45*(S$6*1000)^4/(b_DE*'Hilfstabellen_Mat&amp;Bem'!$BF$60*'Hilfstabellen_Mat&amp;Bem'!$BF$61^3/12)</f>
        <v>16.819307567162951</v>
      </c>
      <c r="T43" s="477"/>
      <c r="U43" s="477"/>
      <c r="V43" s="466"/>
      <c r="W43" s="466"/>
      <c r="X43" s="466"/>
      <c r="Y43" s="466"/>
      <c r="Z43" s="466"/>
      <c r="AA43" s="466"/>
      <c r="AB43" s="466"/>
      <c r="AC43" s="466"/>
      <c r="AD43" s="466"/>
      <c r="AE43" s="466"/>
      <c r="AF43" s="466"/>
      <c r="AG43" s="466"/>
      <c r="AH43" s="466"/>
      <c r="AI43" s="466"/>
      <c r="AJ43" s="466"/>
      <c r="AK43" s="466"/>
      <c r="AL43" s="466"/>
      <c r="AM43" s="466"/>
      <c r="AN43" s="466"/>
      <c r="AO43" s="466"/>
      <c r="AP43" s="466"/>
      <c r="AQ43" s="466"/>
      <c r="AR43" s="466"/>
      <c r="AS43" s="466"/>
      <c r="AT43" s="466"/>
      <c r="AU43" s="466"/>
      <c r="AV43" s="466"/>
      <c r="AW43" s="466"/>
      <c r="AX43" s="466"/>
      <c r="AY43" s="466"/>
      <c r="AZ43" s="466"/>
      <c r="BA43" s="466"/>
      <c r="BB43" s="466"/>
      <c r="BC43" s="466"/>
      <c r="BD43" s="466"/>
      <c r="BE43" s="466"/>
      <c r="BF43" s="169"/>
    </row>
    <row r="44" spans="1:58" ht="15" customHeight="1">
      <c r="A44" s="466"/>
      <c r="B44" s="466"/>
      <c r="C44" s="1459" t="str">
        <f>'Hilfstabellen_Mat&amp;Bem'!$BG$44</f>
        <v>BSP 240</v>
      </c>
      <c r="D44" s="1459"/>
      <c r="E44" s="1459"/>
      <c r="F44" s="1459"/>
      <c r="G44" s="466"/>
      <c r="H44" s="466"/>
      <c r="I44" s="477">
        <f ca="1">5/384*'Hilfstabellen_Mat&amp;Bem'!E$45*(I$6*1000)^4/(b_DE*'Hilfstabellen_Mat&amp;Bem'!$BG$60*'Hilfstabellen_Mat&amp;Bem'!$BG$61^3/12)</f>
        <v>0.39374577961438167</v>
      </c>
      <c r="J44" s="477">
        <f ca="1">5/384*'Hilfstabellen_Mat&amp;Bem'!F$45*(J$6*1000)^4/(b_DE*'Hilfstabellen_Mat&amp;Bem'!$BG$60*'Hilfstabellen_Mat&amp;Bem'!$BG$61^3/12)</f>
        <v>0.4970949748603945</v>
      </c>
      <c r="K44" s="477">
        <f ca="1">5/384*'Hilfstabellen_Mat&amp;Bem'!G$45*(K$6*1000)^4/(b_DE*'Hilfstabellen_Mat&amp;Bem'!$BG$60*'Hilfstabellen_Mat&amp;Bem'!$BG$61^3/12)</f>
        <v>0.66502093493683079</v>
      </c>
      <c r="L44" s="477">
        <f ca="1">5/384*'Hilfstabellen_Mat&amp;Bem'!H$45*(L$6*1000)^4/(b_DE*'Hilfstabellen_Mat&amp;Bem'!$BG$60*'Hilfstabellen_Mat&amp;Bem'!$BG$61^3/12)</f>
        <v>0.81647124860838183</v>
      </c>
      <c r="M44" s="477">
        <f ca="1">5/384*'Hilfstabellen_Mat&amp;Bem'!I$45*(M$6*1000)^4/(b_DE*'Hilfstabellen_Mat&amp;Bem'!$BG$60*'Hilfstabellen_Mat&amp;Bem'!$BG$61^3/12)</f>
        <v>1.540644619247667</v>
      </c>
      <c r="N44" s="477">
        <f ca="1">5/384*'Hilfstabellen_Mat&amp;Bem'!J$45*(N$6*1000)^4/(b_DE*'Hilfstabellen_Mat&amp;Bem'!$BG$60*'Hilfstabellen_Mat&amp;Bem'!$BG$61^3/12)</f>
        <v>2.6760910659981922</v>
      </c>
      <c r="O44" s="477">
        <f ca="1">5/384*'Hilfstabellen_Mat&amp;Bem'!K$45*(O$6*1000)^4/(b_DE*'Hilfstabellen_Mat&amp;Bem'!$BG$60*'Hilfstabellen_Mat&amp;Bem'!$BG$61^3/12)</f>
        <v>4.3631778126097425</v>
      </c>
      <c r="P44" s="477">
        <f ca="1">5/384*'Hilfstabellen_Mat&amp;Bem'!L$45*(P$6*1000)^4/(b_DE*'Hilfstabellen_Mat&amp;Bem'!$BG$60*'Hilfstabellen_Mat&amp;Bem'!$BG$61^3/12)</f>
        <v>6.8836649244977117</v>
      </c>
      <c r="Q44" s="477">
        <f ca="1">5/384*'Hilfstabellen_Mat&amp;Bem'!M$45*(Q$6*1000)^4/(b_DE*'Hilfstabellen_Mat&amp;Bem'!$BG$60*'Hilfstabellen_Mat&amp;Bem'!$BG$61^3/12)</f>
        <v>8.6904683675385002</v>
      </c>
      <c r="R44" s="477">
        <f ca="1">5/384*'Hilfstabellen_Mat&amp;Bem'!N$45*(R$6*1000)^4/(b_DE*'Hilfstabellen_Mat&amp;Bem'!$BG$60*'Hilfstabellen_Mat&amp;Bem'!$BG$61^3/12)</f>
        <v>11.823415982921389</v>
      </c>
      <c r="S44" s="477">
        <f ca="1">5/384*'Hilfstabellen_Mat&amp;Bem'!O$45*(S$6*1000)^4/(b_DE*'Hilfstabellen_Mat&amp;Bem'!$BG$60*'Hilfstabellen_Mat&amp;Bem'!$BG$61^3/12)</f>
        <v>13.547711021615848</v>
      </c>
      <c r="T44" s="477"/>
      <c r="U44" s="477"/>
      <c r="V44" s="466"/>
      <c r="W44" s="466"/>
      <c r="X44" s="466"/>
      <c r="Y44" s="466"/>
      <c r="Z44" s="466"/>
      <c r="AA44" s="466"/>
      <c r="AB44" s="466"/>
      <c r="AC44" s="466"/>
      <c r="AD44" s="466"/>
      <c r="AE44" s="466"/>
      <c r="AF44" s="466"/>
      <c r="AG44" s="466"/>
      <c r="AH44" s="466"/>
      <c r="AI44" s="466"/>
      <c r="AJ44" s="466"/>
      <c r="AK44" s="466"/>
      <c r="AL44" s="466"/>
      <c r="AM44" s="466"/>
      <c r="AN44" s="466"/>
      <c r="AO44" s="466"/>
      <c r="AP44" s="466"/>
      <c r="AQ44" s="466"/>
      <c r="AR44" s="466"/>
      <c r="AS44" s="466"/>
      <c r="AT44" s="466"/>
      <c r="AU44" s="466"/>
      <c r="AV44" s="466"/>
      <c r="AW44" s="466"/>
      <c r="AX44" s="466"/>
      <c r="AY44" s="466"/>
      <c r="AZ44" s="466"/>
      <c r="BA44" s="466"/>
      <c r="BB44" s="466"/>
      <c r="BC44" s="466"/>
      <c r="BD44" s="466"/>
      <c r="BE44" s="466"/>
      <c r="BF44" s="169"/>
    </row>
    <row r="45" spans="1:58" ht="15" customHeight="1">
      <c r="A45" s="466"/>
      <c r="B45" s="466"/>
      <c r="C45" s="466"/>
      <c r="D45" s="466"/>
      <c r="E45" s="466"/>
      <c r="F45" s="466"/>
      <c r="G45" s="466"/>
      <c r="H45" s="466"/>
      <c r="I45" s="778"/>
      <c r="J45" s="778"/>
      <c r="K45" s="778"/>
      <c r="L45" s="778"/>
      <c r="M45" s="778"/>
      <c r="N45" s="778"/>
      <c r="O45" s="778"/>
      <c r="P45" s="778"/>
      <c r="Q45" s="778"/>
      <c r="R45" s="778"/>
      <c r="S45" s="778"/>
      <c r="T45" s="778"/>
      <c r="U45" s="466"/>
      <c r="V45" s="466"/>
      <c r="W45" s="466"/>
      <c r="X45" s="466"/>
      <c r="Y45" s="466"/>
      <c r="Z45" s="466"/>
      <c r="AA45" s="466"/>
      <c r="AB45" s="466"/>
      <c r="AC45" s="466"/>
      <c r="AD45" s="466"/>
      <c r="AE45" s="466"/>
      <c r="AF45" s="466"/>
      <c r="AG45" s="466"/>
      <c r="AH45" s="466"/>
      <c r="AI45" s="466"/>
      <c r="AJ45" s="466"/>
      <c r="AK45" s="466"/>
      <c r="AL45" s="466"/>
      <c r="AM45" s="466"/>
      <c r="AN45" s="466"/>
      <c r="AO45" s="466"/>
      <c r="AP45" s="466"/>
      <c r="AQ45" s="466"/>
      <c r="AR45" s="466"/>
      <c r="AS45" s="466"/>
      <c r="AT45" s="466"/>
      <c r="AU45" s="466"/>
      <c r="AV45" s="466"/>
      <c r="AW45" s="466"/>
      <c r="AX45" s="466"/>
      <c r="AY45" s="466"/>
      <c r="AZ45" s="466"/>
      <c r="BA45" s="466"/>
      <c r="BB45" s="466"/>
      <c r="BC45" s="466"/>
      <c r="BD45" s="466"/>
      <c r="BE45" s="466"/>
      <c r="BF45" s="169"/>
    </row>
    <row r="46" spans="1:58" ht="15" customHeight="1">
      <c r="A46" s="466"/>
      <c r="B46" s="466"/>
      <c r="C46" s="466"/>
      <c r="D46" s="466" t="s">
        <v>934</v>
      </c>
      <c r="E46" s="466"/>
      <c r="F46" s="466"/>
      <c r="G46" s="466"/>
      <c r="H46" s="466"/>
      <c r="I46" s="465">
        <f ca="1">1/8*'Hilfstabellen_Mat&amp;Bem'!E$45*(I$6*1000)^2/(b_DE*'Hilfstabellen_Mat&amp;Bem'!$BB$29*I$34)</f>
        <v>0.11637875258799171</v>
      </c>
      <c r="J46" s="465">
        <f ca="1">1/8*'Hilfstabellen_Mat&amp;Bem'!F$45*(J$6*1000)^2/(b_DE*'Hilfstabellen_Mat&amp;Bem'!$BB$29*J$34)</f>
        <v>0.12341692110405471</v>
      </c>
      <c r="K46" s="465">
        <f ca="1">1/8*'Hilfstabellen_Mat&amp;Bem'!G$45*(K$6*1000)^2/(b_DE*'Hilfstabellen_Mat&amp;Bem'!$BB$29*K$34)</f>
        <v>0.13373315217391304</v>
      </c>
      <c r="L46" s="465">
        <f ca="1">1/8*'Hilfstabellen_Mat&amp;Bem'!H$45*(L$6*1000)^2/(b_DE*'Hilfstabellen_Mat&amp;Bem'!$BB$29*L$34)</f>
        <v>0.14077173913043478</v>
      </c>
      <c r="M46" s="465">
        <f ca="1">1/8*'Hilfstabellen_Mat&amp;Bem'!I$45*(M$6*1000)^2/(b_DE*'Hilfstabellen_Mat&amp;Bem'!$BB$29*M$34)</f>
        <v>0.165387036354704</v>
      </c>
      <c r="N46" s="465">
        <f ca="1">1/8*'Hilfstabellen_Mat&amp;Bem'!J$45*(N$6*1000)^2/(b_DE*'Hilfstabellen_Mat&amp;Bem'!$BB$29*N$34)</f>
        <v>0.19224906065485775</v>
      </c>
      <c r="O46" s="465">
        <f ca="1">1/8*'Hilfstabellen_Mat&amp;Bem'!K$45*(O$6*1000)^2/(b_DE*'Hilfstabellen_Mat&amp;Bem'!$BB$29*O$34)</f>
        <v>0.21852621483375961</v>
      </c>
      <c r="P46" s="465">
        <f ca="1">1/8*'Hilfstabellen_Mat&amp;Bem'!L$45*(P$6*1000)^2/(b_DE*'Hilfstabellen_Mat&amp;Bem'!$BB$29*P$34)</f>
        <v>0.24840958881024608</v>
      </c>
      <c r="Q46" s="465">
        <f ca="1">1/8*'Hilfstabellen_Mat&amp;Bem'!M$45*(Q$6*1000)^2/(b_DE*'Hilfstabellen_Mat&amp;Bem'!$BB$29*Q$34)</f>
        <v>0.2637771340977863</v>
      </c>
      <c r="R46" s="465">
        <f ca="1">1/8*'Hilfstabellen_Mat&amp;Bem'!N$45*(R$6*1000)^2/(b_DE*'Hilfstabellen_Mat&amp;Bem'!$BB$29*R$34)</f>
        <v>0.28664483557713527</v>
      </c>
      <c r="S46" s="465">
        <f ca="1">1/8*'Hilfstabellen_Mat&amp;Bem'!O$45*(S$6*1000)^2/(b_DE*'Hilfstabellen_Mat&amp;Bem'!$BB$29*S$34)</f>
        <v>0.28908738699956954</v>
      </c>
      <c r="T46" s="465"/>
      <c r="U46" s="465"/>
      <c r="V46" s="466"/>
      <c r="W46" s="466"/>
      <c r="X46" s="466"/>
      <c r="Y46" s="466"/>
      <c r="Z46" s="466"/>
      <c r="AA46" s="466" t="s">
        <v>1533</v>
      </c>
      <c r="AB46" s="466"/>
      <c r="AC46" s="466"/>
      <c r="AD46" s="466"/>
      <c r="AE46" s="466"/>
      <c r="AF46" s="466"/>
      <c r="AG46" s="466"/>
      <c r="AH46" s="466"/>
      <c r="AI46" s="466"/>
      <c r="AJ46" s="466"/>
      <c r="AK46" s="466"/>
      <c r="AL46" s="466"/>
      <c r="AM46" s="466"/>
      <c r="AN46" s="466"/>
      <c r="AO46" s="466"/>
      <c r="AP46" s="466"/>
      <c r="AQ46" s="466"/>
      <c r="AR46" s="466"/>
      <c r="AS46" s="466"/>
      <c r="AT46" s="466"/>
      <c r="AU46" s="466"/>
      <c r="AV46" s="466"/>
      <c r="AW46" s="466"/>
      <c r="AX46" s="466"/>
      <c r="AY46" s="466"/>
      <c r="AZ46" s="466"/>
      <c r="BA46" s="466"/>
      <c r="BB46" s="466"/>
      <c r="BC46" s="466"/>
      <c r="BD46" s="466"/>
      <c r="BE46" s="466"/>
      <c r="BF46" s="169"/>
    </row>
    <row r="47" spans="1:58" ht="15" customHeight="1">
      <c r="A47" s="466"/>
      <c r="B47" s="466"/>
      <c r="C47" s="1459" t="str">
        <f>'Hilfstabellen_Mat&amp;Bem'!$BA$44</f>
        <v>BSP 120</v>
      </c>
      <c r="D47" s="1459"/>
      <c r="E47" s="1459"/>
      <c r="F47" s="1459"/>
      <c r="G47" s="466"/>
      <c r="H47" s="466"/>
      <c r="I47" s="465">
        <f ca="1">1/8*'Hilfstabellen_Mat&amp;Bem'!E$45*(I$6*1000)^2/(b_DE*'Hilfstabellen_Mat&amp;Bem'!$BB$29*'Hilfstabellen_Mat&amp;Bem'!$BA$61)</f>
        <v>9.1362759041040228E-2</v>
      </c>
      <c r="J47" s="465">
        <f ca="1">1/8*'Hilfstabellen_Mat&amp;Bem'!F$45*(J$6*1000)^2/(b_DE*'Hilfstabellen_Mat&amp;Bem'!$BB$29*'Hilfstabellen_Mat&amp;Bem'!$BA$61)</f>
        <v>0.1026551960585128</v>
      </c>
      <c r="K47" s="465">
        <f ca="1">1/8*'Hilfstabellen_Mat&amp;Bem'!G$45*(K$6*1000)^2/(b_DE*'Hilfstabellen_Mat&amp;Bem'!$BB$29*'Hilfstabellen_Mat&amp;Bem'!$BA$61)</f>
        <v>0.11873504164973588</v>
      </c>
      <c r="L47" s="465">
        <f ca="1">1/8*'Hilfstabellen_Mat&amp;Bem'!H$45*(L$6*1000)^2/(b_DE*'Hilfstabellen_Mat&amp;Bem'!$BB$29*'Hilfstabellen_Mat&amp;Bem'!$BA$61)</f>
        <v>0.13156237301909793</v>
      </c>
      <c r="M47" s="465">
        <f ca="1">1/8*'Hilfstabellen_Mat&amp;Bem'!I$45*(M$6*1000)^2/(b_DE*'Hilfstabellen_Mat&amp;Bem'!$BB$29*'Hilfstabellen_Mat&amp;Bem'!$BA$61)</f>
        <v>0.18238944196126236</v>
      </c>
      <c r="N47" s="465">
        <f ca="1">1/8*'Hilfstabellen_Mat&amp;Bem'!J$45*(N$6*1000)^2/(b_DE*'Hilfstabellen_Mat&amp;Bem'!$BB$29*'Hilfstabellen_Mat&amp;Bem'!$BA$61)</f>
        <v>0.24255722605986726</v>
      </c>
      <c r="O47" s="465">
        <f ca="1">1/8*'Hilfstabellen_Mat&amp;Bem'!K$45*(O$6*1000)^2/(b_DE*'Hilfstabellen_Mat&amp;Bem'!$BB$29*'Hilfstabellen_Mat&amp;Bem'!$BA$61)</f>
        <v>0.31247206420154416</v>
      </c>
      <c r="P47" s="465">
        <f ca="1">1/8*'Hilfstabellen_Mat&amp;Bem'!L$45*(P$6*1000)^2/(b_DE*'Hilfstabellen_Mat&amp;Bem'!$BB$29*'Hilfstabellen_Mat&amp;Bem'!$BA$61)</f>
        <v>0.3993126100501152</v>
      </c>
      <c r="Q47" s="465">
        <f ca="1">1/8*'Hilfstabellen_Mat&amp;Bem'!M$45*(Q$6*1000)^2/(b_DE*'Hilfstabellen_Mat&amp;Bem'!$BB$29*'Hilfstabellen_Mat&amp;Bem'!$BA$61)</f>
        <v>0.4486676486523094</v>
      </c>
      <c r="R47" s="465">
        <f ca="1">1/8*'Hilfstabellen_Mat&amp;Bem'!N$45*(R$6*1000)^2/(b_DE*'Hilfstabellen_Mat&amp;Bem'!$BB$29*'Hilfstabellen_Mat&amp;Bem'!$BA$61)</f>
        <v>0.52774796830556681</v>
      </c>
      <c r="S47" s="465">
        <f ca="1">1/8*'Hilfstabellen_Mat&amp;Bem'!O$45*(S$6*1000)^2/(b_DE*'Hilfstabellen_Mat&amp;Bem'!$BB$29*'Hilfstabellen_Mat&amp;Bem'!$BA$61)</f>
        <v>0.54575375863470132</v>
      </c>
      <c r="T47" s="465"/>
      <c r="U47" s="465"/>
      <c r="V47" s="466"/>
      <c r="W47" s="466"/>
      <c r="X47" s="466"/>
      <c r="Y47" s="466"/>
      <c r="Z47" s="466"/>
      <c r="AA47" s="466"/>
      <c r="AB47" s="466"/>
      <c r="AC47" s="466"/>
      <c r="AD47" s="466"/>
      <c r="AE47" s="466"/>
      <c r="AF47" s="466"/>
      <c r="AG47" s="466"/>
      <c r="AH47" s="466"/>
      <c r="AI47" s="466"/>
      <c r="AJ47" s="466"/>
      <c r="AK47" s="466"/>
      <c r="AL47" s="466"/>
      <c r="AM47" s="466"/>
      <c r="AN47" s="466"/>
      <c r="AO47" s="466"/>
      <c r="AP47" s="466"/>
      <c r="AQ47" s="466"/>
      <c r="AR47" s="466"/>
      <c r="AS47" s="466"/>
      <c r="AT47" s="466"/>
      <c r="AU47" s="466"/>
      <c r="AV47" s="466"/>
      <c r="AW47" s="466"/>
      <c r="AX47" s="466"/>
      <c r="AY47" s="466"/>
      <c r="AZ47" s="466"/>
      <c r="BA47" s="466"/>
      <c r="BB47" s="466"/>
      <c r="BC47" s="466"/>
      <c r="BD47" s="466"/>
      <c r="BE47" s="466"/>
      <c r="BF47" s="169"/>
    </row>
    <row r="48" spans="1:58" ht="15" customHeight="1">
      <c r="A48" s="466"/>
      <c r="B48" s="466"/>
      <c r="C48" s="1459" t="str">
        <f>'Hilfstabellen_Mat&amp;Bem'!$BB$44</f>
        <v>BSP 140</v>
      </c>
      <c r="D48" s="1459"/>
      <c r="E48" s="1459"/>
      <c r="F48" s="1459"/>
      <c r="G48" s="466"/>
      <c r="H48" s="466"/>
      <c r="I48" s="465">
        <f ca="1">1/8*'Hilfstabellen_Mat&amp;Bem'!E$45*(I$6*1000)^2/(b_DE*'Hilfstabellen_Mat&amp;Bem'!$BB$29*'Hilfstabellen_Mat&amp;Bem'!$BB$61)</f>
        <v>7.1880994245524299E-2</v>
      </c>
      <c r="J48" s="465">
        <f ca="1">1/8*'Hilfstabellen_Mat&amp;Bem'!F$45*(J$6*1000)^2/(b_DE*'Hilfstabellen_Mat&amp;Bem'!$BB$29*'Hilfstabellen_Mat&amp;Bem'!$BB$61)</f>
        <v>8.0765485134271106E-2</v>
      </c>
      <c r="K48" s="465">
        <f ca="1">1/8*'Hilfstabellen_Mat&amp;Bem'!G$45*(K$6*1000)^2/(b_DE*'Hilfstabellen_Mat&amp;Bem'!$BB$29*'Hilfstabellen_Mat&amp;Bem'!$BB$61)</f>
        <v>9.3416540121483371E-2</v>
      </c>
      <c r="L48" s="465">
        <f ca="1">1/8*'Hilfstabellen_Mat&amp;Bem'!H$45*(L$6*1000)^2/(b_DE*'Hilfstabellen_Mat&amp;Bem'!$BB$29*'Hilfstabellen_Mat&amp;Bem'!$BB$61)</f>
        <v>0.10350863171355498</v>
      </c>
      <c r="M48" s="465">
        <f ca="1">1/8*'Hilfstabellen_Mat&amp;Bem'!I$45*(M$6*1000)^2/(b_DE*'Hilfstabellen_Mat&amp;Bem'!$BB$29*'Hilfstabellen_Mat&amp;Bem'!$BB$61)</f>
        <v>0.14349757566069907</v>
      </c>
      <c r="N48" s="465">
        <f ca="1">1/8*'Hilfstabellen_Mat&amp;Bem'!J$45*(N$6*1000)^2/(b_DE*'Hilfstabellen_Mat&amp;Bem'!$BB$29*'Hilfstabellen_Mat&amp;Bem'!$BB$61)</f>
        <v>0.19083546462063086</v>
      </c>
      <c r="O48" s="465">
        <f ca="1">1/8*'Hilfstabellen_Mat&amp;Bem'!K$45*(O$6*1000)^2/(b_DE*'Hilfstabellen_Mat&amp;Bem'!$BB$29*'Hilfstabellen_Mat&amp;Bem'!$BB$61)</f>
        <v>0.24584199168797957</v>
      </c>
      <c r="P48" s="465">
        <f ca="1">1/8*'Hilfstabellen_Mat&amp;Bem'!L$45*(P$6*1000)^2/(b_DE*'Hilfstabellen_Mat&amp;Bem'!$BB$29*'Hilfstabellen_Mat&amp;Bem'!$BB$61)</f>
        <v>0.31416506820119355</v>
      </c>
      <c r="Q48" s="465">
        <f ca="1">1/8*'Hilfstabellen_Mat&amp;Bem'!M$45*(Q$6*1000)^2/(b_DE*'Hilfstabellen_Mat&amp;Bem'!$BB$29*'Hilfstabellen_Mat&amp;Bem'!$BB$61)</f>
        <v>0.35299587063086107</v>
      </c>
      <c r="R48" s="465">
        <f ca="1">1/8*'Hilfstabellen_Mat&amp;Bem'!N$45*(R$6*1000)^2/(b_DE*'Hilfstabellen_Mat&amp;Bem'!$BB$29*'Hilfstabellen_Mat&amp;Bem'!$BB$61)</f>
        <v>0.41521347506393863</v>
      </c>
      <c r="S48" s="465">
        <f ca="1">1/8*'Hilfstabellen_Mat&amp;Bem'!O$45*(S$6*1000)^2/(b_DE*'Hilfstabellen_Mat&amp;Bem'!$BB$29*'Hilfstabellen_Mat&amp;Bem'!$BB$61)</f>
        <v>0.42937979539641946</v>
      </c>
      <c r="T48" s="465"/>
      <c r="U48" s="465"/>
      <c r="V48" s="466"/>
      <c r="W48" s="466"/>
      <c r="X48" s="466"/>
      <c r="Y48" s="466"/>
      <c r="Z48" s="466"/>
      <c r="AA48" s="466"/>
      <c r="AB48" s="466"/>
      <c r="AC48" s="466"/>
      <c r="AD48" s="466"/>
      <c r="AE48" s="466"/>
      <c r="AF48" s="466"/>
      <c r="AG48" s="466"/>
      <c r="AH48" s="466"/>
      <c r="AI48" s="466"/>
      <c r="AJ48" s="466"/>
      <c r="AK48" s="466"/>
      <c r="AL48" s="466"/>
      <c r="AM48" s="466"/>
      <c r="AN48" s="466"/>
      <c r="AO48" s="466"/>
      <c r="AP48" s="466"/>
      <c r="AQ48" s="466"/>
      <c r="AR48" s="466"/>
      <c r="AS48" s="466"/>
      <c r="AT48" s="466"/>
      <c r="AU48" s="466"/>
      <c r="AV48" s="466"/>
      <c r="AW48" s="466"/>
      <c r="AX48" s="466"/>
      <c r="AY48" s="466"/>
      <c r="AZ48" s="466"/>
      <c r="BA48" s="466"/>
      <c r="BB48" s="466"/>
      <c r="BC48" s="466"/>
      <c r="BD48" s="466"/>
      <c r="BE48" s="466"/>
      <c r="BF48" s="169"/>
    </row>
    <row r="49" spans="1:58" ht="15" customHeight="1">
      <c r="A49" s="466"/>
      <c r="B49" s="466"/>
      <c r="C49" s="1459" t="str">
        <f>'Hilfstabellen_Mat&amp;Bem'!$BC$44</f>
        <v>BSP 160</v>
      </c>
      <c r="D49" s="1459"/>
      <c r="E49" s="1459"/>
      <c r="F49" s="1459"/>
      <c r="G49" s="466"/>
      <c r="H49" s="466"/>
      <c r="I49" s="465">
        <f ca="1">1/8*'Hilfstabellen_Mat&amp;Bem'!E$45*(I$6*1000)^2/(b_DE*'Hilfstabellen_Mat&amp;Bem'!$BB$29*'Hilfstabellen_Mat&amp;Bem'!$BC$61)</f>
        <v>6.3479319593450032E-2</v>
      </c>
      <c r="J49" s="465">
        <f ca="1">1/8*'Hilfstabellen_Mat&amp;Bem'!F$45*(J$6*1000)^2/(b_DE*'Hilfstabellen_Mat&amp;Bem'!$BB$29*'Hilfstabellen_Mat&amp;Bem'!$BC$61)</f>
        <v>7.1325363495200453E-2</v>
      </c>
      <c r="K49" s="465">
        <f ca="1">1/8*'Hilfstabellen_Mat&amp;Bem'!G$45*(K$6*1000)^2/(b_DE*'Hilfstabellen_Mat&amp;Bem'!$BB$29*'Hilfstabellen_Mat&amp;Bem'!$BC$61)</f>
        <v>8.2497723743647652E-2</v>
      </c>
      <c r="L49" s="465">
        <f ca="1">1/8*'Hilfstabellen_Mat&amp;Bem'!H$45*(L$6*1000)^2/(b_DE*'Hilfstabellen_Mat&amp;Bem'!$BB$29*'Hilfstabellen_Mat&amp;Bem'!$BC$61)</f>
        <v>9.1410220214568044E-2</v>
      </c>
      <c r="M49" s="465">
        <f ca="1">1/8*'Hilfstabellen_Mat&amp;Bem'!I$45*(M$6*1000)^2/(b_DE*'Hilfstabellen_Mat&amp;Bem'!$BB$29*'Hilfstabellen_Mat&amp;Bem'!$BC$61)</f>
        <v>0.12672513175230565</v>
      </c>
      <c r="N49" s="465">
        <f ca="1">1/8*'Hilfstabellen_Mat&amp;Bem'!J$45*(N$6*1000)^2/(b_DE*'Hilfstabellen_Mat&amp;Bem'!$BB$29*'Hilfstabellen_Mat&amp;Bem'!$BC$61)</f>
        <v>0.16853002070393375</v>
      </c>
      <c r="O49" s="465">
        <f ca="1">1/8*'Hilfstabellen_Mat&amp;Bem'!K$45*(O$6*1000)^2/(b_DE*'Hilfstabellen_Mat&amp;Bem'!$BB$29*'Hilfstabellen_Mat&amp;Bem'!$BC$61)</f>
        <v>0.21710721343873521</v>
      </c>
      <c r="P49" s="465">
        <f ca="1">1/8*'Hilfstabellen_Mat&amp;Bem'!L$45*(P$6*1000)^2/(b_DE*'Hilfstabellen_Mat&amp;Bem'!$BB$29*'Hilfstabellen_Mat&amp;Bem'!$BC$61)</f>
        <v>0.27744447581404108</v>
      </c>
      <c r="Q49" s="465">
        <f ca="1">1/8*'Hilfstabellen_Mat&amp;Bem'!M$45*(Q$6*1000)^2/(b_DE*'Hilfstabellen_Mat&amp;Bem'!$BB$29*'Hilfstabellen_Mat&amp;Bem'!$BC$61)</f>
        <v>0.31173661302465655</v>
      </c>
      <c r="R49" s="465">
        <f ca="1">1/8*'Hilfstabellen_Mat&amp;Bem'!N$45*(R$6*1000)^2/(b_DE*'Hilfstabellen_Mat&amp;Bem'!$BB$29*'Hilfstabellen_Mat&amp;Bem'!$BC$61)</f>
        <v>0.36668202992659515</v>
      </c>
      <c r="S49" s="465">
        <f ca="1">1/8*'Hilfstabellen_Mat&amp;Bem'!O$45*(S$6*1000)^2/(b_DE*'Hilfstabellen_Mat&amp;Bem'!$BB$29*'Hilfstabellen_Mat&amp;Bem'!$BC$61)</f>
        <v>0.37919254658385093</v>
      </c>
      <c r="T49" s="465"/>
      <c r="U49" s="465"/>
      <c r="V49" s="466"/>
      <c r="W49" s="466"/>
      <c r="X49" s="466"/>
      <c r="Y49" s="466"/>
      <c r="Z49" s="466"/>
      <c r="AA49" s="466"/>
      <c r="AB49" s="466"/>
      <c r="AC49" s="466"/>
      <c r="AD49" s="466"/>
      <c r="AE49" s="466"/>
      <c r="AF49" s="466"/>
      <c r="AG49" s="466"/>
      <c r="AH49" s="466"/>
      <c r="AI49" s="466"/>
      <c r="AJ49" s="466"/>
      <c r="AK49" s="466"/>
      <c r="AL49" s="466"/>
      <c r="AM49" s="466"/>
      <c r="AN49" s="466"/>
      <c r="AO49" s="466"/>
      <c r="AP49" s="466"/>
      <c r="AQ49" s="466"/>
      <c r="AR49" s="466"/>
      <c r="AS49" s="466"/>
      <c r="AT49" s="466"/>
      <c r="AU49" s="466"/>
      <c r="AV49" s="466"/>
      <c r="AW49" s="466"/>
      <c r="AX49" s="466"/>
      <c r="AY49" s="466"/>
      <c r="AZ49" s="466"/>
      <c r="BA49" s="466"/>
      <c r="BB49" s="466"/>
      <c r="BC49" s="466"/>
      <c r="BD49" s="466"/>
      <c r="BE49" s="466"/>
      <c r="BF49" s="169"/>
    </row>
    <row r="50" spans="1:58" ht="15" customHeight="1">
      <c r="A50" s="466"/>
      <c r="B50" s="466"/>
      <c r="C50" s="1459" t="str">
        <f>'Hilfstabellen_Mat&amp;Bem'!$BD$44</f>
        <v>BSP 180</v>
      </c>
      <c r="D50" s="1459"/>
      <c r="E50" s="1459"/>
      <c r="F50" s="1459"/>
      <c r="G50" s="466"/>
      <c r="H50" s="466"/>
      <c r="I50" s="465">
        <f ca="1">1/8*'Hilfstabellen_Mat&amp;Bem'!E$45*(I$6*1000)^2/(b_DE*'Hilfstabellen_Mat&amp;Bem'!$BB$29*'Hilfstabellen_Mat&amp;Bem'!$BD$61)</f>
        <v>5.7504795396419436E-2</v>
      </c>
      <c r="J50" s="465">
        <f ca="1">1/8*'Hilfstabellen_Mat&amp;Bem'!F$45*(J$6*1000)^2/(b_DE*'Hilfstabellen_Mat&amp;Bem'!$BB$29*'Hilfstabellen_Mat&amp;Bem'!$BD$61)</f>
        <v>6.4612388107416874E-2</v>
      </c>
      <c r="K50" s="465">
        <f ca="1">1/8*'Hilfstabellen_Mat&amp;Bem'!G$45*(K$6*1000)^2/(b_DE*'Hilfstabellen_Mat&amp;Bem'!$BB$29*'Hilfstabellen_Mat&amp;Bem'!$BD$61)</f>
        <v>7.47332320971867E-2</v>
      </c>
      <c r="L50" s="465">
        <f ca="1">1/8*'Hilfstabellen_Mat&amp;Bem'!H$45*(L$6*1000)^2/(b_DE*'Hilfstabellen_Mat&amp;Bem'!$BB$29*'Hilfstabellen_Mat&amp;Bem'!$BD$61)</f>
        <v>8.2806905370843994E-2</v>
      </c>
      <c r="M50" s="465">
        <f ca="1">1/8*'Hilfstabellen_Mat&amp;Bem'!I$45*(M$6*1000)^2/(b_DE*'Hilfstabellen_Mat&amp;Bem'!$BB$29*'Hilfstabellen_Mat&amp;Bem'!$BD$61)</f>
        <v>0.11479806052855925</v>
      </c>
      <c r="N50" s="465">
        <f ca="1">1/8*'Hilfstabellen_Mat&amp;Bem'!J$45*(N$6*1000)^2/(b_DE*'Hilfstabellen_Mat&amp;Bem'!$BB$29*'Hilfstabellen_Mat&amp;Bem'!$BD$61)</f>
        <v>0.15266837169650468</v>
      </c>
      <c r="O50" s="465">
        <f ca="1">1/8*'Hilfstabellen_Mat&amp;Bem'!K$45*(O$6*1000)^2/(b_DE*'Hilfstabellen_Mat&amp;Bem'!$BB$29*'Hilfstabellen_Mat&amp;Bem'!$BD$61)</f>
        <v>0.19667359335038367</v>
      </c>
      <c r="P50" s="465">
        <f ca="1">1/8*'Hilfstabellen_Mat&amp;Bem'!L$45*(P$6*1000)^2/(b_DE*'Hilfstabellen_Mat&amp;Bem'!$BB$29*'Hilfstabellen_Mat&amp;Bem'!$BD$61)</f>
        <v>0.25133205456095487</v>
      </c>
      <c r="Q50" s="465">
        <f ca="1">1/8*'Hilfstabellen_Mat&amp;Bem'!M$45*(Q$6*1000)^2/(b_DE*'Hilfstabellen_Mat&amp;Bem'!$BB$29*'Hilfstabellen_Mat&amp;Bem'!$BD$61)</f>
        <v>0.28239669650468885</v>
      </c>
      <c r="R50" s="465">
        <f ca="1">1/8*'Hilfstabellen_Mat&amp;Bem'!N$45*(R$6*1000)^2/(b_DE*'Hilfstabellen_Mat&amp;Bem'!$BB$29*'Hilfstabellen_Mat&amp;Bem'!$BD$61)</f>
        <v>0.33217078005115092</v>
      </c>
      <c r="S50" s="465">
        <f ca="1">1/8*'Hilfstabellen_Mat&amp;Bem'!O$45*(S$6*1000)^2/(b_DE*'Hilfstabellen_Mat&amp;Bem'!$BB$29*'Hilfstabellen_Mat&amp;Bem'!$BD$61)</f>
        <v>0.34350383631713555</v>
      </c>
      <c r="T50" s="465"/>
      <c r="U50" s="465"/>
      <c r="V50" s="466"/>
      <c r="W50" s="466"/>
      <c r="X50" s="466"/>
      <c r="Y50" s="466"/>
      <c r="Z50" s="466"/>
      <c r="AA50" s="466"/>
      <c r="AB50" s="466"/>
      <c r="AC50" s="466"/>
      <c r="AD50" s="466"/>
      <c r="AE50" s="466"/>
      <c r="AF50" s="466"/>
      <c r="AG50" s="466"/>
      <c r="AH50" s="466"/>
      <c r="AI50" s="466"/>
      <c r="AJ50" s="466"/>
      <c r="AK50" s="466"/>
      <c r="AL50" s="466"/>
      <c r="AM50" s="466"/>
      <c r="AN50" s="466"/>
      <c r="AO50" s="466"/>
      <c r="AP50" s="466"/>
      <c r="AQ50" s="466"/>
      <c r="AR50" s="466"/>
      <c r="AS50" s="466"/>
      <c r="AT50" s="466"/>
      <c r="AU50" s="466"/>
      <c r="AV50" s="466"/>
      <c r="AW50" s="466"/>
      <c r="AX50" s="466"/>
      <c r="AY50" s="466"/>
      <c r="AZ50" s="466"/>
      <c r="BA50" s="466"/>
      <c r="BB50" s="466"/>
      <c r="BC50" s="466"/>
      <c r="BD50" s="466"/>
      <c r="BE50" s="466"/>
      <c r="BF50" s="169"/>
    </row>
    <row r="51" spans="1:58" ht="15" customHeight="1">
      <c r="A51" s="466"/>
      <c r="B51" s="466"/>
      <c r="C51" s="1459" t="str">
        <f>'Hilfstabellen_Mat&amp;Bem'!$BE$44</f>
        <v>BSP 200</v>
      </c>
      <c r="D51" s="1459"/>
      <c r="E51" s="1459"/>
      <c r="F51" s="1459"/>
      <c r="G51" s="466"/>
      <c r="H51" s="466"/>
      <c r="I51" s="465">
        <f ca="1">1/8*'Hilfstabellen_Mat&amp;Bem'!E$45*(I$6*1000)^2/(b_DE*'Hilfstabellen_Mat&amp;Bem'!$BB$29*'Hilfstabellen_Mat&amp;Bem'!$BE$61)</f>
        <v>5.2558146330060777E-2</v>
      </c>
      <c r="J51" s="465">
        <f ca="1">1/8*'Hilfstabellen_Mat&amp;Bem'!F$45*(J$6*1000)^2/(b_DE*'Hilfstabellen_Mat&amp;Bem'!$BB$29*'Hilfstabellen_Mat&amp;Bem'!$BE$61)</f>
        <v>5.9054333216456291E-2</v>
      </c>
      <c r="K51" s="465">
        <f ca="1">1/8*'Hilfstabellen_Mat&amp;Bem'!G$45*(K$6*1000)^2/(b_DE*'Hilfstabellen_Mat&amp;Bem'!$BB$29*'Hilfstabellen_Mat&amp;Bem'!$BE$61)</f>
        <v>6.8304566970546987E-2</v>
      </c>
      <c r="L51" s="465">
        <f ca="1">1/8*'Hilfstabellen_Mat&amp;Bem'!H$45*(L$6*1000)^2/(b_DE*'Hilfstabellen_Mat&amp;Bem'!$BB$29*'Hilfstabellen_Mat&amp;Bem'!$BE$61)</f>
        <v>7.5683730715287514E-2</v>
      </c>
      <c r="M51" s="465">
        <f ca="1">1/8*'Hilfstabellen_Mat&amp;Bem'!I$45*(M$6*1000)^2/(b_DE*'Hilfstabellen_Mat&amp;Bem'!$BB$29*'Hilfstabellen_Mat&amp;Bem'!$BE$61)</f>
        <v>0.10492295854760791</v>
      </c>
      <c r="N51" s="465">
        <f ca="1">1/8*'Hilfstabellen_Mat&amp;Bem'!J$45*(N$6*1000)^2/(b_DE*'Hilfstabellen_Mat&amp;Bem'!$BB$29*'Hilfstabellen_Mat&amp;Bem'!$BE$61)</f>
        <v>0.13953560853981611</v>
      </c>
      <c r="O51" s="465">
        <f ca="1">1/8*'Hilfstabellen_Mat&amp;Bem'!K$45*(O$6*1000)^2/(b_DE*'Hilfstabellen_Mat&amp;Bem'!$BB$29*'Hilfstabellen_Mat&amp;Bem'!$BE$61)</f>
        <v>0.17975543478260872</v>
      </c>
      <c r="P51" s="465">
        <f ca="1">1/8*'Hilfstabellen_Mat&amp;Bem'!L$45*(P$6*1000)^2/(b_DE*'Hilfstabellen_Mat&amp;Bem'!$BB$29*'Hilfstabellen_Mat&amp;Bem'!$BE$61)</f>
        <v>0.22971209287829206</v>
      </c>
      <c r="Q51" s="465">
        <f ca="1">1/8*'Hilfstabellen_Mat&amp;Bem'!M$45*(Q$6*1000)^2/(b_DE*'Hilfstabellen_Mat&amp;Bem'!$BB$29*'Hilfstabellen_Mat&amp;Bem'!$BE$61)</f>
        <v>0.25810450755804898</v>
      </c>
      <c r="R51" s="465">
        <f ca="1">1/8*'Hilfstabellen_Mat&amp;Bem'!N$45*(R$6*1000)^2/(b_DE*'Hilfstabellen_Mat&amp;Bem'!$BB$29*'Hilfstabellen_Mat&amp;Bem'!$BE$61)</f>
        <v>0.30359694950911642</v>
      </c>
      <c r="S51" s="465">
        <f ca="1">1/8*'Hilfstabellen_Mat&amp;Bem'!O$45*(S$6*1000)^2/(b_DE*'Hilfstabellen_Mat&amp;Bem'!$BB$29*'Hilfstabellen_Mat&amp;Bem'!$BE$61)</f>
        <v>0.31395511921458624</v>
      </c>
      <c r="T51" s="465"/>
      <c r="U51" s="465"/>
      <c r="V51" s="466"/>
      <c r="W51" s="466"/>
      <c r="X51" s="466"/>
      <c r="Y51" s="466"/>
      <c r="Z51" s="466"/>
      <c r="AA51" s="466"/>
      <c r="AB51" s="466"/>
      <c r="AC51" s="466"/>
      <c r="AD51" s="466"/>
      <c r="AE51" s="466"/>
      <c r="AF51" s="466"/>
      <c r="AG51" s="466"/>
      <c r="AH51" s="466"/>
      <c r="AI51" s="466"/>
      <c r="AJ51" s="466"/>
      <c r="AK51" s="466"/>
      <c r="AL51" s="466"/>
      <c r="AM51" s="466"/>
      <c r="AN51" s="466"/>
      <c r="AO51" s="466"/>
      <c r="AP51" s="466"/>
      <c r="AQ51" s="466"/>
      <c r="AR51" s="466"/>
      <c r="AS51" s="466"/>
      <c r="AT51" s="466"/>
      <c r="AU51" s="466"/>
      <c r="AV51" s="466"/>
      <c r="AW51" s="466"/>
      <c r="AX51" s="466"/>
      <c r="AY51" s="466"/>
      <c r="AZ51" s="466"/>
      <c r="BA51" s="466"/>
      <c r="BB51" s="466"/>
      <c r="BC51" s="466"/>
      <c r="BD51" s="466"/>
      <c r="BE51" s="466"/>
      <c r="BF51" s="169"/>
    </row>
    <row r="52" spans="1:58" ht="15" customHeight="1">
      <c r="A52" s="466"/>
      <c r="B52" s="466"/>
      <c r="C52" s="1459" t="str">
        <f>'Hilfstabellen_Mat&amp;Bem'!$BF$44</f>
        <v>BSP 220</v>
      </c>
      <c r="D52" s="1459"/>
      <c r="E52" s="1459"/>
      <c r="F52" s="1459"/>
      <c r="G52" s="466"/>
      <c r="H52" s="466"/>
      <c r="I52" s="465">
        <f ca="1">1/8*'Hilfstabellen_Mat&amp;Bem'!E$45*(I$6*1000)^2/(b_DE*'Hilfstabellen_Mat&amp;Bem'!$BB$29*'Hilfstabellen_Mat&amp;Bem'!$BF$61)</f>
        <v>4.5681379520520114E-2</v>
      </c>
      <c r="J52" s="465">
        <f ca="1">1/8*'Hilfstabellen_Mat&amp;Bem'!F$45*(J$6*1000)^2/(b_DE*'Hilfstabellen_Mat&amp;Bem'!$BB$29*'Hilfstabellen_Mat&amp;Bem'!$BF$61)</f>
        <v>5.1327598029256398E-2</v>
      </c>
      <c r="K52" s="465">
        <f ca="1">1/8*'Hilfstabellen_Mat&amp;Bem'!G$45*(K$6*1000)^2/(b_DE*'Hilfstabellen_Mat&amp;Bem'!$BB$29*'Hilfstabellen_Mat&amp;Bem'!$BF$61)</f>
        <v>5.9367520824867938E-2</v>
      </c>
      <c r="L52" s="465">
        <f ca="1">1/8*'Hilfstabellen_Mat&amp;Bem'!H$45*(L$6*1000)^2/(b_DE*'Hilfstabellen_Mat&amp;Bem'!$BB$29*'Hilfstabellen_Mat&amp;Bem'!$BF$61)</f>
        <v>6.5781186509548964E-2</v>
      </c>
      <c r="M52" s="465">
        <f ca="1">1/8*'Hilfstabellen_Mat&amp;Bem'!I$45*(M$6*1000)^2/(b_DE*'Hilfstabellen_Mat&amp;Bem'!$BB$29*'Hilfstabellen_Mat&amp;Bem'!$BF$61)</f>
        <v>9.119472098063118E-2</v>
      </c>
      <c r="N52" s="465">
        <f ca="1">1/8*'Hilfstabellen_Mat&amp;Bem'!J$45*(N$6*1000)^2/(b_DE*'Hilfstabellen_Mat&amp;Bem'!$BB$29*'Hilfstabellen_Mat&amp;Bem'!$BF$61)</f>
        <v>0.12127861302993363</v>
      </c>
      <c r="O52" s="465">
        <f ca="1">1/8*'Hilfstabellen_Mat&amp;Bem'!K$45*(O$6*1000)^2/(b_DE*'Hilfstabellen_Mat&amp;Bem'!$BB$29*'Hilfstabellen_Mat&amp;Bem'!$BF$61)</f>
        <v>0.15623603210077208</v>
      </c>
      <c r="P52" s="465">
        <f ca="1">1/8*'Hilfstabellen_Mat&amp;Bem'!L$45*(P$6*1000)^2/(b_DE*'Hilfstabellen_Mat&amp;Bem'!$BB$29*'Hilfstabellen_Mat&amp;Bem'!$BF$61)</f>
        <v>0.1996563050250576</v>
      </c>
      <c r="Q52" s="465">
        <f ca="1">1/8*'Hilfstabellen_Mat&amp;Bem'!M$45*(Q$6*1000)^2/(b_DE*'Hilfstabellen_Mat&amp;Bem'!$BB$29*'Hilfstabellen_Mat&amp;Bem'!$BF$61)</f>
        <v>0.2243338243261547</v>
      </c>
      <c r="R52" s="465">
        <f ca="1">1/8*'Hilfstabellen_Mat&amp;Bem'!N$45*(R$6*1000)^2/(b_DE*'Hilfstabellen_Mat&amp;Bem'!$BB$29*'Hilfstabellen_Mat&amp;Bem'!$BF$61)</f>
        <v>0.2638739841527834</v>
      </c>
      <c r="S52" s="465">
        <f ca="1">1/8*'Hilfstabellen_Mat&amp;Bem'!O$45*(S$6*1000)^2/(b_DE*'Hilfstabellen_Mat&amp;Bem'!$BB$29*'Hilfstabellen_Mat&amp;Bem'!$BF$61)</f>
        <v>0.27287687931735066</v>
      </c>
      <c r="T52" s="465"/>
      <c r="U52" s="465"/>
      <c r="V52" s="466"/>
      <c r="W52" s="466"/>
      <c r="X52" s="466"/>
      <c r="Y52" s="466"/>
      <c r="Z52" s="466"/>
      <c r="AA52" s="466"/>
      <c r="AB52" s="466"/>
      <c r="AC52" s="466"/>
      <c r="AD52" s="466"/>
      <c r="AE52" s="466"/>
      <c r="AF52" s="466"/>
      <c r="AG52" s="466"/>
      <c r="AH52" s="466"/>
      <c r="AI52" s="466"/>
      <c r="AJ52" s="466"/>
      <c r="AK52" s="466"/>
      <c r="AL52" s="466"/>
      <c r="AM52" s="466"/>
      <c r="AN52" s="466"/>
      <c r="AO52" s="466"/>
      <c r="AP52" s="466"/>
      <c r="AQ52" s="466"/>
      <c r="AR52" s="466"/>
      <c r="AS52" s="466"/>
      <c r="AT52" s="466"/>
      <c r="AU52" s="466"/>
      <c r="AV52" s="466"/>
      <c r="AW52" s="466"/>
      <c r="AX52" s="466"/>
      <c r="AY52" s="466"/>
      <c r="AZ52" s="466"/>
      <c r="BA52" s="466"/>
      <c r="BB52" s="466"/>
      <c r="BC52" s="466"/>
      <c r="BD52" s="466"/>
      <c r="BE52" s="466"/>
      <c r="BF52" s="169"/>
    </row>
    <row r="53" spans="1:58" ht="15" customHeight="1">
      <c r="A53" s="466"/>
      <c r="B53" s="466"/>
      <c r="C53" s="1459" t="str">
        <f>'Hilfstabellen_Mat&amp;Bem'!$BG$44</f>
        <v>BSP 240</v>
      </c>
      <c r="D53" s="1459"/>
      <c r="E53" s="1459"/>
      <c r="F53" s="1459"/>
      <c r="G53" s="466"/>
      <c r="H53" s="466"/>
      <c r="I53" s="465">
        <f ca="1">1/8*'Hilfstabellen_Mat&amp;Bem'!E$45*(I$6*1000)^2/(b_DE*'Hilfstabellen_Mat&amp;Bem'!$BB$29*'Hilfstabellen_Mat&amp;Bem'!$BG$61)</f>
        <v>4.2503544423440454E-2</v>
      </c>
      <c r="J53" s="465">
        <f ca="1">1/8*'Hilfstabellen_Mat&amp;Bem'!F$45*(J$6*1000)^2/(b_DE*'Hilfstabellen_Mat&amp;Bem'!$BB$29*'Hilfstabellen_Mat&amp;Bem'!$BG$61)</f>
        <v>4.7756982514177697E-2</v>
      </c>
      <c r="K53" s="465">
        <f ca="1">1/8*'Hilfstabellen_Mat&amp;Bem'!G$45*(K$6*1000)^2/(b_DE*'Hilfstabellen_Mat&amp;Bem'!$BB$29*'Hilfstabellen_Mat&amp;Bem'!$BG$61)</f>
        <v>5.5237606332703214E-2</v>
      </c>
      <c r="L53" s="465">
        <f ca="1">1/8*'Hilfstabellen_Mat&amp;Bem'!H$45*(L$6*1000)^2/(b_DE*'Hilfstabellen_Mat&amp;Bem'!$BB$29*'Hilfstabellen_Mat&amp;Bem'!$BG$61)</f>
        <v>6.1205103969754253E-2</v>
      </c>
      <c r="M53" s="465">
        <f ca="1">1/8*'Hilfstabellen_Mat&amp;Bem'!I$45*(M$6*1000)^2/(b_DE*'Hilfstabellen_Mat&amp;Bem'!$BB$29*'Hilfstabellen_Mat&amp;Bem'!$BG$61)</f>
        <v>8.4850740390674223E-2</v>
      </c>
      <c r="N53" s="465">
        <f ca="1">1/8*'Hilfstabellen_Mat&amp;Bem'!J$45*(N$6*1000)^2/(b_DE*'Hilfstabellen_Mat&amp;Bem'!$BB$29*'Hilfstabellen_Mat&amp;Bem'!$BG$61)</f>
        <v>0.11284183994959042</v>
      </c>
      <c r="O53" s="465">
        <f ca="1">1/8*'Hilfstabellen_Mat&amp;Bem'!K$45*(O$6*1000)^2/(b_DE*'Hilfstabellen_Mat&amp;Bem'!$BB$29*'Hilfstabellen_Mat&amp;Bem'!$BG$61)</f>
        <v>0.14536743856332707</v>
      </c>
      <c r="P53" s="465">
        <f ca="1">1/8*'Hilfstabellen_Mat&amp;Bem'!L$45*(P$6*1000)^2/(b_DE*'Hilfstabellen_Mat&amp;Bem'!$BB$29*'Hilfstabellen_Mat&amp;Bem'!$BG$61)</f>
        <v>0.18576717076244489</v>
      </c>
      <c r="Q53" s="465">
        <f ca="1">1/8*'Hilfstabellen_Mat&amp;Bem'!M$45*(Q$6*1000)^2/(b_DE*'Hilfstabellen_Mat&amp;Bem'!$BB$29*'Hilfstabellen_Mat&amp;Bem'!$BG$61)</f>
        <v>0.20872799306868306</v>
      </c>
      <c r="R53" s="465">
        <f ca="1">1/8*'Hilfstabellen_Mat&amp;Bem'!N$45*(R$6*1000)^2/(b_DE*'Hilfstabellen_Mat&amp;Bem'!$BB$29*'Hilfstabellen_Mat&amp;Bem'!$BG$61)</f>
        <v>0.24551753308128543</v>
      </c>
      <c r="S53" s="465">
        <f ca="1">1/8*'Hilfstabellen_Mat&amp;Bem'!O$45*(S$6*1000)^2/(b_DE*'Hilfstabellen_Mat&amp;Bem'!$BB$29*'Hilfstabellen_Mat&amp;Bem'!$BG$61)</f>
        <v>0.25389413988657844</v>
      </c>
      <c r="T53" s="465"/>
      <c r="U53" s="465"/>
      <c r="V53" s="466"/>
      <c r="W53" s="466"/>
      <c r="X53" s="466"/>
      <c r="Y53" s="466"/>
      <c r="Z53" s="466"/>
      <c r="AA53" s="466"/>
      <c r="AB53" s="466"/>
      <c r="AC53" s="466"/>
      <c r="AD53" s="466"/>
      <c r="AE53" s="466"/>
      <c r="AF53" s="466"/>
      <c r="AG53" s="466"/>
      <c r="AH53" s="466"/>
      <c r="AI53" s="466"/>
      <c r="AJ53" s="466"/>
      <c r="AK53" s="466"/>
      <c r="AL53" s="466"/>
      <c r="AM53" s="466"/>
      <c r="AN53" s="466"/>
      <c r="AO53" s="466"/>
      <c r="AP53" s="466"/>
      <c r="AQ53" s="466"/>
      <c r="AR53" s="466"/>
      <c r="AS53" s="466"/>
      <c r="AT53" s="466"/>
      <c r="AU53" s="466"/>
      <c r="AV53" s="466"/>
      <c r="AW53" s="466"/>
      <c r="AX53" s="466"/>
      <c r="AY53" s="466"/>
      <c r="AZ53" s="466"/>
      <c r="BA53" s="466"/>
      <c r="BB53" s="466"/>
      <c r="BC53" s="466"/>
      <c r="BD53" s="466"/>
      <c r="BE53" s="466"/>
      <c r="BF53" s="169"/>
    </row>
    <row r="54" spans="1:58" ht="15" customHeight="1">
      <c r="A54" s="466"/>
      <c r="B54" s="466"/>
      <c r="C54" s="471"/>
      <c r="D54" s="471"/>
      <c r="E54" s="471"/>
      <c r="F54" s="471"/>
      <c r="G54" s="466"/>
      <c r="H54" s="466"/>
      <c r="I54" s="471"/>
      <c r="J54" s="471"/>
      <c r="K54" s="471"/>
      <c r="L54" s="471"/>
      <c r="M54" s="471"/>
      <c r="N54" s="471"/>
      <c r="O54" s="471"/>
      <c r="P54" s="471"/>
      <c r="Q54" s="471"/>
      <c r="R54" s="471"/>
      <c r="S54" s="471"/>
      <c r="T54" s="471"/>
      <c r="U54" s="466"/>
      <c r="V54" s="466"/>
      <c r="W54" s="466"/>
      <c r="X54" s="466"/>
      <c r="Y54" s="466"/>
      <c r="Z54" s="466"/>
      <c r="AA54" s="466"/>
      <c r="AB54" s="466"/>
      <c r="AC54" s="466"/>
      <c r="AD54" s="466"/>
      <c r="AE54" s="466"/>
      <c r="AF54" s="466"/>
      <c r="AG54" s="466"/>
      <c r="AH54" s="466"/>
      <c r="AI54" s="466"/>
      <c r="AJ54" s="466"/>
      <c r="AK54" s="466"/>
      <c r="AL54" s="466"/>
      <c r="AM54" s="466"/>
      <c r="AN54" s="466"/>
      <c r="AO54" s="466"/>
      <c r="AP54" s="466"/>
      <c r="AQ54" s="466"/>
      <c r="AR54" s="466"/>
      <c r="AS54" s="466"/>
      <c r="AT54" s="466"/>
      <c r="AU54" s="466"/>
      <c r="AV54" s="466"/>
      <c r="AW54" s="466"/>
      <c r="AX54" s="466"/>
      <c r="AY54" s="466"/>
      <c r="AZ54" s="466"/>
      <c r="BA54" s="466"/>
      <c r="BB54" s="466"/>
      <c r="BC54" s="466"/>
      <c r="BD54" s="466"/>
      <c r="BE54" s="466"/>
      <c r="BF54" s="169"/>
    </row>
    <row r="55" spans="1:58" ht="15" customHeight="1">
      <c r="A55" s="466"/>
      <c r="B55" s="466"/>
      <c r="C55" s="466"/>
      <c r="D55" s="466" t="s">
        <v>935</v>
      </c>
      <c r="E55" s="466"/>
      <c r="F55" s="466"/>
      <c r="G55" s="466"/>
      <c r="H55" s="466"/>
      <c r="I55" s="465">
        <f t="shared" ref="I55:P55" ca="1" si="2">I46/I37*100</f>
        <v>1.4398330434782607</v>
      </c>
      <c r="J55" s="465">
        <f t="shared" ca="1" si="2"/>
        <v>1.4385396835224253</v>
      </c>
      <c r="K55" s="465">
        <f t="shared" ca="1" si="2"/>
        <v>1.4170692431561998</v>
      </c>
      <c r="L55" s="465">
        <f t="shared" ca="1" si="2"/>
        <v>1.4170692431561998</v>
      </c>
      <c r="M55" s="465">
        <f t="shared" ca="1" si="2"/>
        <v>1.4496444838805087</v>
      </c>
      <c r="N55" s="465">
        <f t="shared" ca="1" si="2"/>
        <v>1.4527173913043474</v>
      </c>
      <c r="O55" s="465">
        <f t="shared" ca="1" si="2"/>
        <v>1.4743188405797101</v>
      </c>
      <c r="P55" s="465">
        <f t="shared" ca="1" si="2"/>
        <v>1.5092127536231883</v>
      </c>
      <c r="Q55" s="465">
        <f t="shared" ref="Q55:S56" ca="1" si="3">Q46/Q37*100</f>
        <v>1.5039195959158189</v>
      </c>
      <c r="R55" s="465">
        <f t="shared" ca="1" si="3"/>
        <v>1.5234083173863975</v>
      </c>
      <c r="S55" s="465">
        <f t="shared" ca="1" si="3"/>
        <v>1.445552334943639</v>
      </c>
      <c r="T55" s="465"/>
      <c r="U55" s="465"/>
      <c r="V55" s="466"/>
      <c r="W55" s="466"/>
      <c r="X55" s="466"/>
      <c r="Y55" s="466"/>
      <c r="Z55" s="466"/>
      <c r="AA55" s="466" t="s">
        <v>1534</v>
      </c>
      <c r="AB55" s="466"/>
      <c r="AC55" s="466"/>
      <c r="AD55" s="466"/>
      <c r="AE55" s="466"/>
      <c r="AF55" s="466"/>
      <c r="AG55" s="466"/>
      <c r="AH55" s="466"/>
      <c r="AI55" s="466"/>
      <c r="AJ55" s="466"/>
      <c r="AK55" s="466"/>
      <c r="AL55" s="466"/>
      <c r="AM55" s="466"/>
      <c r="AN55" s="466"/>
      <c r="AO55" s="466"/>
      <c r="AP55" s="466"/>
      <c r="AQ55" s="466"/>
      <c r="AR55" s="466"/>
      <c r="AS55" s="466"/>
      <c r="AT55" s="466"/>
      <c r="AU55" s="466"/>
      <c r="AV55" s="466"/>
      <c r="AW55" s="466"/>
      <c r="AX55" s="466"/>
      <c r="AY55" s="466"/>
      <c r="AZ55" s="466"/>
      <c r="BA55" s="466"/>
      <c r="BB55" s="466"/>
      <c r="BC55" s="466"/>
      <c r="BD55" s="466"/>
      <c r="BE55" s="466"/>
      <c r="BF55" s="169"/>
    </row>
    <row r="56" spans="1:58" ht="15" customHeight="1">
      <c r="A56" s="466"/>
      <c r="B56" s="466"/>
      <c r="C56" s="1459" t="str">
        <f>'Hilfstabellen_Mat&amp;Bem'!$BA$44</f>
        <v>BSP 120</v>
      </c>
      <c r="D56" s="1459"/>
      <c r="E56" s="1459"/>
      <c r="F56" s="1459"/>
      <c r="G56" s="466"/>
      <c r="H56" s="466"/>
      <c r="I56" s="465">
        <f t="shared" ref="I56:P56" ca="1" si="4">I47/I38*100</f>
        <v>2.3362597101449274</v>
      </c>
      <c r="J56" s="465">
        <f t="shared" ca="1" si="4"/>
        <v>2.0792628249776852</v>
      </c>
      <c r="K56" s="465">
        <f t="shared" ca="1" si="4"/>
        <v>1.7976759850299535</v>
      </c>
      <c r="L56" s="465">
        <f t="shared" ca="1" si="4"/>
        <v>1.6224025764895331</v>
      </c>
      <c r="M56" s="465">
        <f t="shared" ca="1" si="4"/>
        <v>1.1919692398698607</v>
      </c>
      <c r="N56" s="465">
        <f t="shared" ca="1" si="4"/>
        <v>0.91260144927536213</v>
      </c>
      <c r="O56" s="465">
        <f t="shared" ca="1" si="4"/>
        <v>0.72106781177312573</v>
      </c>
      <c r="P56" s="465">
        <f t="shared" ca="1" si="4"/>
        <v>0.58406492753623174</v>
      </c>
      <c r="Q56" s="465">
        <f t="shared" ca="1" si="3"/>
        <v>0.51981570624442131</v>
      </c>
      <c r="R56" s="465">
        <f t="shared" ca="1" si="3"/>
        <v>0.44941899625748838</v>
      </c>
      <c r="S56" s="465">
        <f t="shared" ca="1" si="3"/>
        <v>0.40560064412238317</v>
      </c>
      <c r="T56" s="465"/>
      <c r="U56" s="465"/>
      <c r="V56" s="466"/>
      <c r="W56" s="466"/>
      <c r="X56" s="466"/>
      <c r="Y56" s="466"/>
      <c r="Z56" s="466"/>
      <c r="AA56" s="466"/>
      <c r="AB56" s="466"/>
      <c r="AC56" s="466"/>
      <c r="AD56" s="466"/>
      <c r="AE56" s="466"/>
      <c r="AF56" s="466"/>
      <c r="AG56" s="466"/>
      <c r="AH56" s="466"/>
      <c r="AI56" s="466"/>
      <c r="AJ56" s="466"/>
      <c r="AK56" s="466"/>
      <c r="AL56" s="466"/>
      <c r="AM56" s="466"/>
      <c r="AN56" s="466"/>
      <c r="AO56" s="466"/>
      <c r="AP56" s="466"/>
      <c r="AQ56" s="466"/>
      <c r="AR56" s="466"/>
      <c r="AS56" s="466"/>
      <c r="AT56" s="466"/>
      <c r="AU56" s="466"/>
      <c r="AV56" s="466"/>
      <c r="AW56" s="466"/>
      <c r="AX56" s="466"/>
      <c r="AY56" s="466"/>
      <c r="AZ56" s="466"/>
      <c r="BA56" s="466"/>
      <c r="BB56" s="466"/>
      <c r="BC56" s="466"/>
      <c r="BD56" s="466"/>
      <c r="BE56" s="466"/>
      <c r="BF56" s="169"/>
    </row>
    <row r="57" spans="1:58" ht="15" customHeight="1">
      <c r="A57" s="466"/>
      <c r="B57" s="466"/>
      <c r="C57" s="1459" t="str">
        <f>'Hilfstabellen_Mat&amp;Bem'!$BB$44</f>
        <v>BSP 140</v>
      </c>
      <c r="D57" s="1459"/>
      <c r="E57" s="1459"/>
      <c r="F57" s="1459"/>
      <c r="G57" s="466"/>
      <c r="H57" s="466"/>
      <c r="I57" s="465">
        <f t="shared" ref="I57:I62" ca="1" si="5">I48/I39*100</f>
        <v>3.774256231884058</v>
      </c>
      <c r="J57" s="465">
        <f t="shared" ref="J57:S61" ca="1" si="6">J48/J39*100</f>
        <v>3.359074610078371</v>
      </c>
      <c r="K57" s="465">
        <f t="shared" ca="1" si="6"/>
        <v>2.9041676145614477</v>
      </c>
      <c r="L57" s="465">
        <f t="shared" ca="1" si="6"/>
        <v>2.6210112721417067</v>
      </c>
      <c r="M57" s="465">
        <f t="shared" ca="1" si="6"/>
        <v>1.925640934634723</v>
      </c>
      <c r="N57" s="465">
        <f t="shared" ca="1" si="6"/>
        <v>1.4743188405797099</v>
      </c>
      <c r="O57" s="465">
        <f t="shared" ca="1" si="6"/>
        <v>1.1648938987296475</v>
      </c>
      <c r="P57" s="465">
        <f t="shared" ca="1" si="6"/>
        <v>0.94356405797101428</v>
      </c>
      <c r="Q57" s="465">
        <f t="shared" ca="1" si="6"/>
        <v>0.83976865251959265</v>
      </c>
      <c r="R57" s="465">
        <f t="shared" ca="1" si="6"/>
        <v>0.72604190364036203</v>
      </c>
      <c r="S57" s="465">
        <f t="shared" ca="1" si="6"/>
        <v>0.65525281803542657</v>
      </c>
      <c r="T57" s="465"/>
      <c r="U57" s="465"/>
      <c r="V57" s="466"/>
      <c r="W57" s="466"/>
      <c r="X57" s="466"/>
      <c r="Y57" s="466"/>
      <c r="Z57" s="466"/>
      <c r="AA57" s="466"/>
      <c r="AB57" s="466"/>
      <c r="AC57" s="466"/>
      <c r="AD57" s="466"/>
      <c r="AE57" s="466"/>
      <c r="AF57" s="466"/>
      <c r="AG57" s="466"/>
      <c r="AH57" s="466"/>
      <c r="AI57" s="466"/>
      <c r="AJ57" s="466"/>
      <c r="AK57" s="466"/>
      <c r="AL57" s="466"/>
      <c r="AM57" s="466"/>
      <c r="AN57" s="466"/>
      <c r="AO57" s="466"/>
      <c r="AP57" s="466"/>
      <c r="AQ57" s="466"/>
      <c r="AR57" s="466"/>
      <c r="AS57" s="466"/>
      <c r="AT57" s="466"/>
      <c r="AU57" s="466"/>
      <c r="AV57" s="466"/>
      <c r="AW57" s="466"/>
      <c r="AX57" s="466"/>
      <c r="AY57" s="466"/>
      <c r="AZ57" s="466"/>
      <c r="BA57" s="466"/>
      <c r="BB57" s="466"/>
      <c r="BC57" s="466"/>
      <c r="BD57" s="466"/>
      <c r="BE57" s="466"/>
      <c r="BF57" s="169"/>
    </row>
    <row r="58" spans="1:58" ht="15" customHeight="1">
      <c r="A58" s="466"/>
      <c r="B58" s="466"/>
      <c r="C58" s="1459" t="str">
        <f>'Hilfstabellen_Mat&amp;Bem'!$BC$44</f>
        <v>BSP 160</v>
      </c>
      <c r="D58" s="1459"/>
      <c r="E58" s="1459"/>
      <c r="F58" s="1459"/>
      <c r="G58" s="466"/>
      <c r="H58" s="466"/>
      <c r="I58" s="465">
        <f t="shared" ca="1" si="5"/>
        <v>4.8394388405797102</v>
      </c>
      <c r="J58" s="465">
        <f t="shared" ca="1" si="6"/>
        <v>4.307083339782583</v>
      </c>
      <c r="K58" s="465">
        <f t="shared" ca="1" si="6"/>
        <v>3.7237910438440367</v>
      </c>
      <c r="L58" s="465">
        <f t="shared" ca="1" si="6"/>
        <v>3.360721417069243</v>
      </c>
      <c r="M58" s="465">
        <f t="shared" ca="1" si="6"/>
        <v>2.4691014492753616</v>
      </c>
      <c r="N58" s="465">
        <f t="shared" ca="1" si="6"/>
        <v>1.8904057971014485</v>
      </c>
      <c r="O58" s="465">
        <f t="shared" ca="1" si="6"/>
        <v>1.4936539631418859</v>
      </c>
      <c r="P58" s="465">
        <f t="shared" ca="1" si="6"/>
        <v>1.2098597101449273</v>
      </c>
      <c r="Q58" s="465">
        <f t="shared" ca="1" si="6"/>
        <v>1.0767708349456455</v>
      </c>
      <c r="R58" s="465">
        <f t="shared" ca="1" si="6"/>
        <v>0.93094776096100917</v>
      </c>
      <c r="S58" s="465">
        <f t="shared" ca="1" si="6"/>
        <v>0.84018035426731053</v>
      </c>
      <c r="T58" s="465"/>
      <c r="U58" s="465"/>
      <c r="V58" s="466"/>
      <c r="W58" s="466"/>
      <c r="X58" s="466"/>
      <c r="Y58" s="466"/>
      <c r="Z58" s="466"/>
      <c r="AA58" s="466"/>
      <c r="AB58" s="466"/>
      <c r="AC58" s="466"/>
      <c r="AD58" s="466"/>
      <c r="AE58" s="466"/>
      <c r="AF58" s="466"/>
      <c r="AG58" s="466"/>
      <c r="AH58" s="466"/>
      <c r="AI58" s="466"/>
      <c r="AJ58" s="466"/>
      <c r="AK58" s="466"/>
      <c r="AL58" s="466"/>
      <c r="AM58" s="466"/>
      <c r="AN58" s="466"/>
      <c r="AO58" s="466"/>
      <c r="AP58" s="466"/>
      <c r="AQ58" s="466"/>
      <c r="AR58" s="466"/>
      <c r="AS58" s="466"/>
      <c r="AT58" s="466"/>
      <c r="AU58" s="466"/>
      <c r="AV58" s="466"/>
      <c r="AW58" s="466"/>
      <c r="AX58" s="466"/>
      <c r="AY58" s="466"/>
      <c r="AZ58" s="466"/>
      <c r="BA58" s="466"/>
      <c r="BB58" s="466"/>
      <c r="BC58" s="466"/>
      <c r="BD58" s="466"/>
      <c r="BE58" s="466"/>
      <c r="BF58" s="169"/>
    </row>
    <row r="59" spans="1:58" ht="15" customHeight="1">
      <c r="A59" s="466"/>
      <c r="B59" s="466"/>
      <c r="C59" s="1459" t="str">
        <f>'Hilfstabellen_Mat&amp;Bem'!$BD$44</f>
        <v>BSP 180</v>
      </c>
      <c r="D59" s="1459"/>
      <c r="E59" s="1459"/>
      <c r="F59" s="1459"/>
      <c r="G59" s="466"/>
      <c r="H59" s="466"/>
      <c r="I59" s="465">
        <f t="shared" ca="1" si="5"/>
        <v>5.8972753623188403</v>
      </c>
      <c r="J59" s="465">
        <f t="shared" ca="1" si="6"/>
        <v>5.2485540782474542</v>
      </c>
      <c r="K59" s="465">
        <f t="shared" ca="1" si="6"/>
        <v>4.5377618977522616</v>
      </c>
      <c r="L59" s="465">
        <f t="shared" ca="1" si="6"/>
        <v>4.0953301127214168</v>
      </c>
      <c r="M59" s="465">
        <f t="shared" ca="1" si="6"/>
        <v>3.0088139603667545</v>
      </c>
      <c r="N59" s="465">
        <f t="shared" ca="1" si="6"/>
        <v>2.3036231884057967</v>
      </c>
      <c r="O59" s="465">
        <f t="shared" ca="1" si="6"/>
        <v>1.8201467167650742</v>
      </c>
      <c r="P59" s="465">
        <f t="shared" ca="1" si="6"/>
        <v>1.4743188405797099</v>
      </c>
      <c r="Q59" s="465">
        <f t="shared" ca="1" si="6"/>
        <v>1.3121385195618636</v>
      </c>
      <c r="R59" s="465">
        <f t="shared" ca="1" si="6"/>
        <v>1.1344404744380656</v>
      </c>
      <c r="S59" s="465">
        <f t="shared" ca="1" si="6"/>
        <v>1.023832528180354</v>
      </c>
      <c r="T59" s="465"/>
      <c r="U59" s="465"/>
      <c r="V59" s="466"/>
      <c r="W59" s="466"/>
      <c r="X59" s="466"/>
      <c r="Y59" s="466"/>
      <c r="Z59" s="466"/>
      <c r="AA59" s="466"/>
      <c r="AB59" s="466"/>
      <c r="AC59" s="466"/>
      <c r="AD59" s="466"/>
      <c r="AE59" s="466"/>
      <c r="AF59" s="466"/>
      <c r="AG59" s="466"/>
      <c r="AH59" s="466"/>
      <c r="AI59" s="466"/>
      <c r="AJ59" s="466"/>
      <c r="AK59" s="466"/>
      <c r="AL59" s="466"/>
      <c r="AM59" s="466"/>
      <c r="AN59" s="466"/>
      <c r="AO59" s="466"/>
      <c r="AP59" s="466"/>
      <c r="AQ59" s="466"/>
      <c r="AR59" s="466"/>
      <c r="AS59" s="466"/>
      <c r="AT59" s="466"/>
      <c r="AU59" s="466"/>
      <c r="AV59" s="466"/>
      <c r="AW59" s="466"/>
      <c r="AX59" s="466"/>
      <c r="AY59" s="466"/>
      <c r="AZ59" s="466"/>
      <c r="BA59" s="466"/>
      <c r="BB59" s="466"/>
      <c r="BC59" s="466"/>
      <c r="BD59" s="466"/>
      <c r="BE59" s="466"/>
      <c r="BF59" s="169"/>
    </row>
    <row r="60" spans="1:58" ht="15" customHeight="1">
      <c r="A60" s="466"/>
      <c r="B60" s="466"/>
      <c r="C60" s="1459" t="str">
        <f>'Hilfstabellen_Mat&amp;Bem'!$BE$44</f>
        <v>BSP 200</v>
      </c>
      <c r="D60" s="1459"/>
      <c r="E60" s="1459"/>
      <c r="F60" s="1459"/>
      <c r="G60" s="466"/>
      <c r="H60" s="466"/>
      <c r="I60" s="465">
        <f t="shared" ca="1" si="5"/>
        <v>7.0595895652173919</v>
      </c>
      <c r="J60" s="465">
        <f t="shared" ca="1" si="6"/>
        <v>6.2830095810051541</v>
      </c>
      <c r="K60" s="465">
        <f t="shared" ca="1" si="6"/>
        <v>5.4321249347625358</v>
      </c>
      <c r="L60" s="465">
        <f t="shared" ca="1" si="6"/>
        <v>4.9024927536231884</v>
      </c>
      <c r="M60" s="465">
        <f t="shared" ca="1" si="6"/>
        <v>3.6018314108251994</v>
      </c>
      <c r="N60" s="465">
        <f t="shared" ca="1" si="6"/>
        <v>2.7576521739130428</v>
      </c>
      <c r="O60" s="465">
        <f t="shared" ca="1" si="6"/>
        <v>2.1788856682769726</v>
      </c>
      <c r="P60" s="465">
        <f t="shared" ca="1" si="6"/>
        <v>1.7648973913043475</v>
      </c>
      <c r="Q60" s="465">
        <f t="shared" ca="1" si="6"/>
        <v>1.5707523952512885</v>
      </c>
      <c r="R60" s="465">
        <f t="shared" ca="1" si="6"/>
        <v>1.3580312336906339</v>
      </c>
      <c r="S60" s="465">
        <f t="shared" ca="1" si="6"/>
        <v>1.2256231884057966</v>
      </c>
      <c r="T60" s="465"/>
      <c r="U60" s="465"/>
      <c r="V60" s="466"/>
      <c r="W60" s="466"/>
      <c r="X60" s="466"/>
      <c r="Y60" s="466"/>
      <c r="Z60" s="466"/>
      <c r="AA60" s="466"/>
      <c r="AB60" s="466"/>
      <c r="AC60" s="466"/>
      <c r="AD60" s="466"/>
      <c r="AE60" s="466"/>
      <c r="AF60" s="466"/>
      <c r="AG60" s="466"/>
      <c r="AH60" s="466"/>
      <c r="AI60" s="466"/>
      <c r="AJ60" s="466"/>
      <c r="AK60" s="466"/>
      <c r="AL60" s="466"/>
      <c r="AM60" s="466"/>
      <c r="AN60" s="466"/>
      <c r="AO60" s="466"/>
      <c r="AP60" s="466"/>
      <c r="AQ60" s="466"/>
      <c r="AR60" s="466"/>
      <c r="AS60" s="466"/>
      <c r="AT60" s="466"/>
      <c r="AU60" s="466"/>
      <c r="AV60" s="466"/>
      <c r="AW60" s="466"/>
      <c r="AX60" s="466"/>
      <c r="AY60" s="466"/>
      <c r="AZ60" s="466"/>
      <c r="BA60" s="466"/>
      <c r="BB60" s="466"/>
      <c r="BC60" s="466"/>
      <c r="BD60" s="466"/>
      <c r="BE60" s="466"/>
      <c r="BF60" s="169"/>
    </row>
    <row r="61" spans="1:58" ht="15" customHeight="1">
      <c r="A61" s="466"/>
      <c r="B61" s="466"/>
      <c r="C61" s="1459" t="str">
        <f>'Hilfstabellen_Mat&amp;Bem'!$BF$44</f>
        <v>BSP 220</v>
      </c>
      <c r="D61" s="1459"/>
      <c r="E61" s="1459"/>
      <c r="F61" s="1459"/>
      <c r="G61" s="466"/>
      <c r="H61" s="466"/>
      <c r="I61" s="465">
        <f t="shared" ca="1" si="5"/>
        <v>9.3450388405797096</v>
      </c>
      <c r="J61" s="465">
        <f t="shared" ca="1" si="6"/>
        <v>8.3170512999107409</v>
      </c>
      <c r="K61" s="465">
        <f t="shared" ca="1" si="6"/>
        <v>7.1907039401198141</v>
      </c>
      <c r="L61" s="465">
        <f t="shared" ca="1" si="6"/>
        <v>6.4896103059581325</v>
      </c>
      <c r="M61" s="465">
        <f t="shared" ca="1" si="6"/>
        <v>4.7678769594794428</v>
      </c>
      <c r="N61" s="465">
        <f t="shared" ca="1" si="6"/>
        <v>3.6504057971014485</v>
      </c>
      <c r="O61" s="465">
        <f t="shared" ca="1" si="6"/>
        <v>2.8842712470925029</v>
      </c>
      <c r="P61" s="465">
        <f t="shared" ca="1" si="6"/>
        <v>2.3362597101449269</v>
      </c>
      <c r="Q61" s="465">
        <f t="shared" ca="1" si="6"/>
        <v>2.0792628249776852</v>
      </c>
      <c r="R61" s="465">
        <f t="shared" ca="1" si="6"/>
        <v>1.7976759850299535</v>
      </c>
      <c r="S61" s="465">
        <f t="shared" ca="1" si="6"/>
        <v>1.6224025764895327</v>
      </c>
      <c r="T61" s="465"/>
      <c r="U61" s="465"/>
      <c r="V61" s="466"/>
      <c r="W61" s="466"/>
      <c r="X61" s="466"/>
      <c r="Y61" s="466"/>
      <c r="Z61" s="466"/>
      <c r="AA61" s="466"/>
      <c r="AB61" s="466"/>
      <c r="AC61" s="466"/>
      <c r="AD61" s="466"/>
      <c r="AE61" s="466"/>
      <c r="AF61" s="466"/>
      <c r="AG61" s="466"/>
      <c r="AH61" s="466"/>
      <c r="AI61" s="466"/>
      <c r="AJ61" s="466"/>
      <c r="AK61" s="466"/>
      <c r="AL61" s="466"/>
      <c r="AM61" s="466"/>
      <c r="AN61" s="466"/>
      <c r="AO61" s="466"/>
      <c r="AP61" s="466"/>
      <c r="AQ61" s="466"/>
      <c r="AR61" s="466"/>
      <c r="AS61" s="466"/>
      <c r="AT61" s="466"/>
      <c r="AU61" s="466"/>
      <c r="AV61" s="466"/>
      <c r="AW61" s="466"/>
      <c r="AX61" s="466"/>
      <c r="AY61" s="466"/>
      <c r="AZ61" s="466"/>
      <c r="BA61" s="466"/>
      <c r="BB61" s="466"/>
      <c r="BC61" s="466"/>
      <c r="BD61" s="466"/>
      <c r="BE61" s="466"/>
      <c r="BF61" s="169"/>
    </row>
    <row r="62" spans="1:58" ht="15" customHeight="1">
      <c r="A62" s="466"/>
      <c r="B62" s="466"/>
      <c r="C62" s="1459" t="str">
        <f>'Hilfstabellen_Mat&amp;Bem'!$BG$44</f>
        <v>BSP 240</v>
      </c>
      <c r="D62" s="1459"/>
      <c r="E62" s="1459"/>
      <c r="F62" s="1459"/>
      <c r="G62" s="466"/>
      <c r="H62" s="466"/>
      <c r="I62" s="465">
        <f t="shared" ca="1" si="5"/>
        <v>10.794666666666666</v>
      </c>
      <c r="J62" s="465">
        <f t="shared" ref="J62:S62" ca="1" si="7">J53/J44*100</f>
        <v>9.6072149044737163</v>
      </c>
      <c r="K62" s="465">
        <f t="shared" ca="1" si="7"/>
        <v>8.3061454806607156</v>
      </c>
      <c r="L62" s="465">
        <f t="shared" ca="1" si="7"/>
        <v>7.4962962962962969</v>
      </c>
      <c r="M62" s="465">
        <f t="shared" ca="1" si="7"/>
        <v>5.5074829931972786</v>
      </c>
      <c r="N62" s="465">
        <f t="shared" ca="1" si="7"/>
        <v>4.2166666666666659</v>
      </c>
      <c r="O62" s="465">
        <f t="shared" ca="1" si="7"/>
        <v>3.3316872427983544</v>
      </c>
      <c r="P62" s="465">
        <f t="shared" ca="1" si="7"/>
        <v>2.6986666666666661</v>
      </c>
      <c r="Q62" s="465">
        <f t="shared" ca="1" si="7"/>
        <v>2.4018037261184286</v>
      </c>
      <c r="R62" s="465">
        <f t="shared" ca="1" si="7"/>
        <v>2.0765363701651789</v>
      </c>
      <c r="S62" s="465">
        <f t="shared" ca="1" si="7"/>
        <v>1.8740740740740738</v>
      </c>
      <c r="T62" s="465"/>
      <c r="U62" s="465"/>
      <c r="V62" s="466"/>
      <c r="W62" s="466"/>
      <c r="X62" s="466"/>
      <c r="Y62" s="466"/>
      <c r="Z62" s="466"/>
      <c r="AA62" s="466"/>
      <c r="AB62" s="466"/>
      <c r="AC62" s="466"/>
      <c r="AD62" s="466"/>
      <c r="AE62" s="466"/>
      <c r="AF62" s="466"/>
      <c r="AG62" s="466"/>
      <c r="AH62" s="466"/>
      <c r="AI62" s="466"/>
      <c r="AJ62" s="466"/>
      <c r="AK62" s="466"/>
      <c r="AL62" s="466"/>
      <c r="AM62" s="466"/>
      <c r="AN62" s="466"/>
      <c r="AO62" s="466"/>
      <c r="AP62" s="466"/>
      <c r="AQ62" s="466"/>
      <c r="AR62" s="466"/>
      <c r="AS62" s="466"/>
      <c r="AT62" s="466"/>
      <c r="AU62" s="466"/>
      <c r="AV62" s="466"/>
      <c r="AW62" s="466"/>
      <c r="AX62" s="466"/>
      <c r="AY62" s="466"/>
      <c r="AZ62" s="466"/>
      <c r="BA62" s="466"/>
      <c r="BB62" s="466"/>
      <c r="BC62" s="466"/>
      <c r="BD62" s="466"/>
      <c r="BE62" s="466"/>
      <c r="BF62" s="169"/>
    </row>
    <row r="63" spans="1:58" ht="15" customHeight="1">
      <c r="A63" s="466"/>
      <c r="B63" s="466"/>
      <c r="C63" s="466"/>
      <c r="D63" s="466"/>
      <c r="E63" s="466"/>
      <c r="F63" s="466"/>
      <c r="G63" s="466"/>
      <c r="H63" s="466"/>
      <c r="I63" s="471"/>
      <c r="J63" s="471"/>
      <c r="K63" s="471"/>
      <c r="L63" s="471"/>
      <c r="M63" s="471"/>
      <c r="N63" s="471"/>
      <c r="O63" s="471"/>
      <c r="P63" s="471"/>
      <c r="Q63" s="471"/>
      <c r="R63" s="471"/>
      <c r="S63" s="471"/>
      <c r="T63" s="471"/>
      <c r="U63" s="466"/>
      <c r="V63" s="466"/>
      <c r="W63" s="466"/>
      <c r="X63" s="466"/>
      <c r="Y63" s="466"/>
      <c r="Z63" s="466"/>
      <c r="AA63" s="466"/>
      <c r="AB63" s="466"/>
      <c r="AC63" s="466"/>
      <c r="AD63" s="466"/>
      <c r="AE63" s="466"/>
      <c r="AF63" s="466"/>
      <c r="AG63" s="466"/>
      <c r="AH63" s="466"/>
      <c r="AI63" s="466"/>
      <c r="AJ63" s="466"/>
      <c r="AK63" s="466"/>
      <c r="AL63" s="466"/>
      <c r="AM63" s="466"/>
      <c r="AN63" s="466"/>
      <c r="AO63" s="466"/>
      <c r="AP63" s="466"/>
      <c r="AQ63" s="466"/>
      <c r="AR63" s="466"/>
      <c r="AS63" s="466"/>
      <c r="AT63" s="466"/>
      <c r="AU63" s="466"/>
      <c r="AV63" s="466"/>
      <c r="AW63" s="466"/>
      <c r="AX63" s="466"/>
      <c r="AY63" s="466"/>
      <c r="AZ63" s="466"/>
      <c r="BA63" s="466"/>
      <c r="BB63" s="466"/>
      <c r="BC63" s="466"/>
      <c r="BD63" s="466"/>
      <c r="BE63" s="466"/>
      <c r="BF63" s="169"/>
    </row>
    <row r="64" spans="1:58" ht="15" customHeight="1">
      <c r="A64" s="466"/>
      <c r="B64" s="466"/>
      <c r="C64" s="466"/>
      <c r="D64" s="466"/>
      <c r="E64" s="466"/>
      <c r="F64" s="466"/>
      <c r="G64" s="466"/>
      <c r="H64" s="466"/>
      <c r="I64" s="471"/>
      <c r="J64" s="471"/>
      <c r="K64" s="471"/>
      <c r="L64" s="471"/>
      <c r="M64" s="471"/>
      <c r="N64" s="471"/>
      <c r="O64" s="471"/>
      <c r="P64" s="471"/>
      <c r="Q64" s="471"/>
      <c r="R64" s="471"/>
      <c r="S64" s="471"/>
      <c r="T64" s="471"/>
      <c r="U64" s="466"/>
      <c r="V64" s="466"/>
      <c r="W64" s="466"/>
      <c r="X64" s="466"/>
      <c r="Y64" s="466"/>
      <c r="Z64" s="466"/>
      <c r="AA64" s="466"/>
      <c r="AB64" s="466"/>
      <c r="AC64" s="466"/>
      <c r="AD64" s="466"/>
      <c r="AE64" s="466"/>
      <c r="AF64" s="466"/>
      <c r="AG64" s="466"/>
      <c r="AH64" s="466"/>
      <c r="AI64" s="466"/>
      <c r="AJ64" s="466"/>
      <c r="AK64" s="466"/>
      <c r="AL64" s="466"/>
      <c r="AM64" s="466"/>
      <c r="AN64" s="466"/>
      <c r="AO64" s="466"/>
      <c r="AP64" s="466"/>
      <c r="AQ64" s="466"/>
      <c r="AR64" s="466"/>
      <c r="AS64" s="466"/>
      <c r="AT64" s="466"/>
      <c r="AU64" s="466"/>
      <c r="AV64" s="466"/>
      <c r="AW64" s="466"/>
      <c r="AX64" s="466"/>
      <c r="AY64" s="466"/>
      <c r="AZ64" s="466"/>
      <c r="BA64" s="466"/>
      <c r="BB64" s="466"/>
      <c r="BC64" s="466"/>
      <c r="BD64" s="466"/>
      <c r="BE64" s="466"/>
      <c r="BF64" s="169"/>
    </row>
    <row r="65" spans="1:58" ht="15" customHeight="1">
      <c r="A65" s="466"/>
      <c r="B65" s="466" t="s">
        <v>824</v>
      </c>
      <c r="C65" s="466"/>
      <c r="D65" s="466"/>
      <c r="E65" s="466"/>
      <c r="F65" s="466"/>
      <c r="G65" s="466"/>
      <c r="H65" s="466"/>
      <c r="I65" s="467">
        <f ca="1">((48*g_k_250*100*(I6*1000)^4*f_grenz_DE^2)/(PI()^2*'Hilfstabellen_Mat&amp;Bem'!$BB$25*b_DE)/1000^2)^(1/3)</f>
        <v>74.227274312490977</v>
      </c>
      <c r="J65" s="467">
        <f ca="1">((48*g_k_265*100*(J6*1000)^4*f_grenz_DE^2)/(PI()^2*'Hilfstabellen_Mat&amp;Bem'!$BB$25*b_DE)/1000^2)^(1/3)</f>
        <v>80.224065502215097</v>
      </c>
      <c r="K65" s="467">
        <f ca="1">((48*g_k_285*100*(K6*1000)^4*f_grenz_DE^2)/(PI()^2*'Hilfstabellen_Mat&amp;Bem'!$BB$25*b_DE)/1000^2)^(1/3)</f>
        <v>88.396821299234588</v>
      </c>
      <c r="L65" s="467">
        <f ca="1">((48*g_k_300*100*(L6*1000)^4*f_grenz_DE^2)/(PI()^2*'Hilfstabellen_Mat&amp;Bem'!$BB$25*b_DE)/1000^2)^(1/3)</f>
        <v>94.653898938284271</v>
      </c>
      <c r="M65" s="467">
        <f ca="1">((48*g_k_350*100*(M6*1000)^4*f_grenz_DE^2)/(PI()^2*'Hilfstabellen_Mat&amp;Bem'!$BB$25*b_DE)/1000^2)^(1/3)</f>
        <v>117.29014367533571</v>
      </c>
      <c r="N65" s="467">
        <f ca="1">((48*g_k_400*100*(N6*1000)^4*f_grenz_DE^2)/(PI()^2*'Hilfstabellen_Mat&amp;Bem'!$BB$25*b_DE)/1000^2)^(1/3)</f>
        <v>141.36583118913569</v>
      </c>
      <c r="O65" s="467">
        <f ca="1">((48*g_k_450*100*(O6*1000)^4*f_grenz_DE^2)/(PI()^2*'Hilfstabellen_Mat&amp;Bem'!$BB$25*b_DE)/1000^2)^(1/3)</f>
        <v>166.8064894362839</v>
      </c>
      <c r="P65" s="467">
        <f ca="1">((48*g_k_500*100*(P6*1000)^4*f_grenz_DE^2)/(PI()^2*'Hilfstabellen_Mat&amp;Bem'!$BB$25*b_DE)/1000^2)^(1/3)</f>
        <v>195.11292046337766</v>
      </c>
      <c r="Q65" s="467">
        <f ca="1">((48*g_k_530*100*(Q6*1000)^4*f_grenz_DE^2)/(PI()^2*'Hilfstabellen_Mat&amp;Bem'!$BB$25*b_DE)/1000^2)^(1/3)</f>
        <v>210.87601365618826</v>
      </c>
      <c r="R65" s="467">
        <f ca="1">((48*g_k_570*100*(R6*1000)^4*f_grenz_DE^2)/(PI()^2*'Hilfstabellen_Mat&amp;Bem'!$BB$25*b_DE)/1000^2)^(1/3)</f>
        <v>234.18849359396489</v>
      </c>
      <c r="S65" s="467">
        <f ca="1">((48*g_k_600*100*(S6*1000)^4*f_grenz_DE^2)/(PI()^2*'Hilfstabellen_Mat&amp;Bem'!$BB$25*b_DE)/1000^2)^(1/3)</f>
        <v>242.73522055889038</v>
      </c>
      <c r="T65" s="467"/>
      <c r="U65" s="467"/>
      <c r="V65" s="466"/>
      <c r="W65" s="466"/>
      <c r="X65" s="466"/>
      <c r="Y65" s="466"/>
      <c r="Z65" s="466"/>
      <c r="AA65" s="466" t="s">
        <v>1530</v>
      </c>
      <c r="AB65" s="466"/>
      <c r="AC65" s="466"/>
      <c r="AD65" s="466"/>
      <c r="AE65" s="466"/>
      <c r="AF65" s="466"/>
      <c r="AG65" s="466"/>
      <c r="AH65" s="466"/>
      <c r="AI65" s="466"/>
      <c r="AJ65" s="466"/>
      <c r="AK65" s="466"/>
      <c r="AL65" s="466"/>
      <c r="AM65" s="466"/>
      <c r="AN65" s="466"/>
      <c r="AO65" s="466"/>
      <c r="AP65" s="466"/>
      <c r="AQ65" s="466"/>
      <c r="AR65" s="466"/>
      <c r="AS65" s="466"/>
      <c r="AT65" s="466"/>
      <c r="AU65" s="466"/>
      <c r="AV65" s="466"/>
      <c r="AW65" s="466"/>
      <c r="AX65" s="466"/>
      <c r="AY65" s="466"/>
      <c r="AZ65" s="466"/>
      <c r="BA65" s="466"/>
      <c r="BB65" s="466"/>
      <c r="BC65" s="466"/>
      <c r="BD65" s="466"/>
      <c r="BE65" s="466"/>
      <c r="BF65" s="169"/>
    </row>
    <row r="66" spans="1:58" ht="15" customHeight="1">
      <c r="A66" s="466"/>
      <c r="B66" s="466"/>
      <c r="C66" s="466"/>
      <c r="D66" s="466"/>
      <c r="E66" s="466"/>
      <c r="F66" s="466"/>
      <c r="G66" s="466"/>
      <c r="H66" s="466"/>
      <c r="I66" s="466"/>
      <c r="J66" s="466"/>
      <c r="K66" s="466"/>
      <c r="L66" s="466"/>
      <c r="M66" s="466"/>
      <c r="N66" s="466"/>
      <c r="O66" s="466"/>
      <c r="P66" s="466"/>
      <c r="Q66" s="466"/>
      <c r="R66" s="466"/>
      <c r="S66" s="466"/>
      <c r="T66" s="466"/>
      <c r="U66" s="466"/>
      <c r="V66" s="466"/>
      <c r="W66" s="466"/>
      <c r="X66" s="466"/>
      <c r="Y66" s="466"/>
      <c r="Z66" s="466"/>
      <c r="AA66" s="466"/>
      <c r="AB66" s="466"/>
      <c r="AC66" s="466"/>
      <c r="AD66" s="466"/>
      <c r="AE66" s="466"/>
      <c r="AF66" s="466"/>
      <c r="AG66" s="466"/>
      <c r="AH66" s="466"/>
      <c r="AI66" s="466"/>
      <c r="AJ66" s="466"/>
      <c r="AK66" s="466"/>
      <c r="AL66" s="466"/>
      <c r="AM66" s="466"/>
      <c r="AN66" s="466"/>
      <c r="AO66" s="466"/>
      <c r="AP66" s="466"/>
      <c r="AQ66" s="466"/>
      <c r="AR66" s="466"/>
      <c r="AS66" s="466"/>
      <c r="AT66" s="466"/>
      <c r="AU66" s="466"/>
      <c r="AV66" s="466"/>
      <c r="AW66" s="466"/>
      <c r="AX66" s="466"/>
      <c r="AY66" s="466"/>
      <c r="AZ66" s="466"/>
      <c r="BA66" s="466"/>
      <c r="BB66" s="466"/>
      <c r="BC66" s="466"/>
      <c r="BD66" s="466"/>
      <c r="BE66" s="466"/>
      <c r="BF66" s="169"/>
    </row>
    <row r="67" spans="1:58" ht="15" customHeight="1">
      <c r="A67" s="466"/>
      <c r="B67" s="466" t="s">
        <v>1609</v>
      </c>
      <c r="C67" s="466"/>
      <c r="D67" s="466"/>
      <c r="E67" s="466"/>
      <c r="F67" s="466"/>
      <c r="G67" s="466"/>
      <c r="H67" s="466"/>
      <c r="I67" s="467">
        <f ca="1">IF(MAX(I34,I65)&lt;'Hilfstabellen_Mat&amp;Bem'!$BA$61,'Hilfstabellen_Mat&amp;Bem'!$BA$52,
IF(MAX(I34,I65)&lt;'Hilfstabellen_Mat&amp;Bem'!$BB$61,'Hilfstabellen_Mat&amp;Bem'!$BB$52,
IF(MAX(I34,I65)&lt;'Hilfstabellen_Mat&amp;Bem'!$BC$61,'Hilfstabellen_Mat&amp;Bem'!$BC$52,
IF(MAX(I34,I65)&lt;'Hilfstabellen_Mat&amp;Bem'!$BD$61,'Hilfstabellen_Mat&amp;Bem'!$BD$52,
IF(MAX(I34,I65)&lt;'Hilfstabellen_Mat&amp;Bem'!$BE$61,'Hilfstabellen_Mat&amp;Bem'!$BE$52,
IF(MAX(I34,I65)&lt;'Hilfstabellen_Mat&amp;Bem'!$BF$61,'Hilfstabellen_Mat&amp;Bem'!$BF$52,
IF(MAX(I34,I65)&lt;'Hilfstabellen_Mat&amp;Bem'!$BG$61,'Hilfstabellen_Mat&amp;Bem'!$BG$52,"Fehler!!!")))))))</f>
        <v>120</v>
      </c>
      <c r="J67" s="467">
        <f ca="1">IF(MAX(J34,J65)&lt;'Hilfstabellen_Mat&amp;Bem'!$BA$61,'Hilfstabellen_Mat&amp;Bem'!$BA$52,
IF(MAX(J34,J65)&lt;'Hilfstabellen_Mat&amp;Bem'!$BB$61,'Hilfstabellen_Mat&amp;Bem'!$BB$52,
IF(MAX(J34,J65)&lt;'Hilfstabellen_Mat&amp;Bem'!$BC$61,'Hilfstabellen_Mat&amp;Bem'!$BC$52,
IF(MAX(J34,J65)&lt;'Hilfstabellen_Mat&amp;Bem'!$BD$61,'Hilfstabellen_Mat&amp;Bem'!$BD$52,
IF(MAX(J34,J65)&lt;'Hilfstabellen_Mat&amp;Bem'!$BE$61,'Hilfstabellen_Mat&amp;Bem'!$BE$52,
IF(MAX(J34,J65)&lt;'Hilfstabellen_Mat&amp;Bem'!$BF$61,'Hilfstabellen_Mat&amp;Bem'!$BF$52,
IF(MAX(J34,J65)&lt;'Hilfstabellen_Mat&amp;Bem'!$BG$61,'Hilfstabellen_Mat&amp;Bem'!$BG$52,"Fehler!!!")))))))</f>
        <v>120</v>
      </c>
      <c r="K67" s="467">
        <f ca="1">IF(MAX(K34,K65)&lt;'Hilfstabellen_Mat&amp;Bem'!$BA$61,'Hilfstabellen_Mat&amp;Bem'!$BA$52,
IF(MAX(K34,K65)&lt;'Hilfstabellen_Mat&amp;Bem'!$BB$61,'Hilfstabellen_Mat&amp;Bem'!$BB$52,
IF(MAX(K34,K65)&lt;'Hilfstabellen_Mat&amp;Bem'!$BC$61,'Hilfstabellen_Mat&amp;Bem'!$BC$52,
IF(MAX(K34,K65)&lt;'Hilfstabellen_Mat&amp;Bem'!$BD$61,'Hilfstabellen_Mat&amp;Bem'!$BD$52,
IF(MAX(K34,K65)&lt;'Hilfstabellen_Mat&amp;Bem'!$BE$61,'Hilfstabellen_Mat&amp;Bem'!$BE$52,
IF(MAX(K34,K65)&lt;'Hilfstabellen_Mat&amp;Bem'!$BF$61,'Hilfstabellen_Mat&amp;Bem'!$BF$52,
IF(MAX(K34,K65)&lt;'Hilfstabellen_Mat&amp;Bem'!$BG$61,'Hilfstabellen_Mat&amp;Bem'!$BG$52,"Fehler!!!")))))))</f>
        <v>120</v>
      </c>
      <c r="L67" s="467">
        <f ca="1">IF(MAX(L34,L65)&lt;'Hilfstabellen_Mat&amp;Bem'!$BA$61,'Hilfstabellen_Mat&amp;Bem'!$BA$52,
IF(MAX(L34,L65)&lt;'Hilfstabellen_Mat&amp;Bem'!$BB$61,'Hilfstabellen_Mat&amp;Bem'!$BB$52,
IF(MAX(L34,L65)&lt;'Hilfstabellen_Mat&amp;Bem'!$BC$61,'Hilfstabellen_Mat&amp;Bem'!$BC$52,
IF(MAX(L34,L65)&lt;'Hilfstabellen_Mat&amp;Bem'!$BD$61,'Hilfstabellen_Mat&amp;Bem'!$BD$52,
IF(MAX(L34,L65)&lt;'Hilfstabellen_Mat&amp;Bem'!$BE$61,'Hilfstabellen_Mat&amp;Bem'!$BE$52,
IF(MAX(L34,L65)&lt;'Hilfstabellen_Mat&amp;Bem'!$BF$61,'Hilfstabellen_Mat&amp;Bem'!$BF$52,
IF(MAX(L34,L65)&lt;'Hilfstabellen_Mat&amp;Bem'!$BG$61,'Hilfstabellen_Mat&amp;Bem'!$BG$52,"Fehler!!!")))))))</f>
        <v>120</v>
      </c>
      <c r="M67" s="467">
        <f ca="1">IF(MAX(M34,M65)&lt;'Hilfstabellen_Mat&amp;Bem'!$BA$61,'Hilfstabellen_Mat&amp;Bem'!$BA$52,
IF(MAX(M34,M65)&lt;'Hilfstabellen_Mat&amp;Bem'!$BB$61,'Hilfstabellen_Mat&amp;Bem'!$BB$52,
IF(MAX(M34,M65)&lt;'Hilfstabellen_Mat&amp;Bem'!$BC$61,'Hilfstabellen_Mat&amp;Bem'!$BC$52,
IF(MAX(M34,M65)&lt;'Hilfstabellen_Mat&amp;Bem'!$BD$61,'Hilfstabellen_Mat&amp;Bem'!$BD$52,
IF(MAX(M34,M65)&lt;'Hilfstabellen_Mat&amp;Bem'!$BE$61,'Hilfstabellen_Mat&amp;Bem'!$BE$52,
IF(MAX(M34,M65)&lt;'Hilfstabellen_Mat&amp;Bem'!$BF$61,'Hilfstabellen_Mat&amp;Bem'!$BF$52,
IF(MAX(M34,M65)&lt;'Hilfstabellen_Mat&amp;Bem'!$BG$61,'Hilfstabellen_Mat&amp;Bem'!$BG$52,"Fehler!!!")))))))</f>
        <v>140</v>
      </c>
      <c r="N67" s="467">
        <f ca="1">IF(MAX(N34,N65)&lt;'Hilfstabellen_Mat&amp;Bem'!$BA$61,'Hilfstabellen_Mat&amp;Bem'!$BA$52,
IF(MAX(N34,N65)&lt;'Hilfstabellen_Mat&amp;Bem'!$BB$61,'Hilfstabellen_Mat&amp;Bem'!$BB$52,
IF(MAX(N34,N65)&lt;'Hilfstabellen_Mat&amp;Bem'!$BC$61,'Hilfstabellen_Mat&amp;Bem'!$BC$52,
IF(MAX(N34,N65)&lt;'Hilfstabellen_Mat&amp;Bem'!$BD$61,'Hilfstabellen_Mat&amp;Bem'!$BD$52,
IF(MAX(N34,N65)&lt;'Hilfstabellen_Mat&amp;Bem'!$BE$61,'Hilfstabellen_Mat&amp;Bem'!$BE$52,
IF(MAX(N34,N65)&lt;'Hilfstabellen_Mat&amp;Bem'!$BF$61,'Hilfstabellen_Mat&amp;Bem'!$BF$52,
IF(MAX(N34,N65)&lt;'Hilfstabellen_Mat&amp;Bem'!$BG$61,'Hilfstabellen_Mat&amp;Bem'!$BG$52,"Fehler!!!")))))))</f>
        <v>160</v>
      </c>
      <c r="O67" s="467">
        <f ca="1">IF(MAX(O34,O65)&lt;'Hilfstabellen_Mat&amp;Bem'!$BA$61,'Hilfstabellen_Mat&amp;Bem'!$BA$52,
IF(MAX(O34,O65)&lt;'Hilfstabellen_Mat&amp;Bem'!$BB$61,'Hilfstabellen_Mat&amp;Bem'!$BB$52,
IF(MAX(O34,O65)&lt;'Hilfstabellen_Mat&amp;Bem'!$BC$61,'Hilfstabellen_Mat&amp;Bem'!$BC$52,
IF(MAX(O34,O65)&lt;'Hilfstabellen_Mat&amp;Bem'!$BD$61,'Hilfstabellen_Mat&amp;Bem'!$BD$52,
IF(MAX(O34,O65)&lt;'Hilfstabellen_Mat&amp;Bem'!$BE$61,'Hilfstabellen_Mat&amp;Bem'!$BE$52,
IF(MAX(O34,O65)&lt;'Hilfstabellen_Mat&amp;Bem'!$BF$61,'Hilfstabellen_Mat&amp;Bem'!$BF$52,
IF(MAX(O34,O65)&lt;'Hilfstabellen_Mat&amp;Bem'!$BG$61,'Hilfstabellen_Mat&amp;Bem'!$BG$52,"Fehler!!!")))))))</f>
        <v>180</v>
      </c>
      <c r="P67" s="467">
        <f ca="1">IF(MAX(P34,P65)&lt;'Hilfstabellen_Mat&amp;Bem'!$BA$61,'Hilfstabellen_Mat&amp;Bem'!$BA$52,
IF(MAX(P34,P65)&lt;'Hilfstabellen_Mat&amp;Bem'!$BB$61,'Hilfstabellen_Mat&amp;Bem'!$BB$52,
IF(MAX(P34,P65)&lt;'Hilfstabellen_Mat&amp;Bem'!$BC$61,'Hilfstabellen_Mat&amp;Bem'!$BC$52,
IF(MAX(P34,P65)&lt;'Hilfstabellen_Mat&amp;Bem'!$BD$61,'Hilfstabellen_Mat&amp;Bem'!$BD$52,
IF(MAX(P34,P65)&lt;'Hilfstabellen_Mat&amp;Bem'!$BE$61,'Hilfstabellen_Mat&amp;Bem'!$BE$52,
IF(MAX(P34,P65)&lt;'Hilfstabellen_Mat&amp;Bem'!$BF$61,'Hilfstabellen_Mat&amp;Bem'!$BF$52,
IF(MAX(P34,P65)&lt;'Hilfstabellen_Mat&amp;Bem'!$BG$61,'Hilfstabellen_Mat&amp;Bem'!$BG$52,"Fehler!!!")))))))</f>
        <v>220</v>
      </c>
      <c r="Q67" s="467">
        <f ca="1">IF(MAX(Q34,Q65)&lt;'Hilfstabellen_Mat&amp;Bem'!$BA$61,'Hilfstabellen_Mat&amp;Bem'!$BA$52,
IF(MAX(Q34,Q65)&lt;'Hilfstabellen_Mat&amp;Bem'!$BB$61,'Hilfstabellen_Mat&amp;Bem'!$BB$52,
IF(MAX(Q34,Q65)&lt;'Hilfstabellen_Mat&amp;Bem'!$BC$61,'Hilfstabellen_Mat&amp;Bem'!$BC$52,
IF(MAX(Q34,Q65)&lt;'Hilfstabellen_Mat&amp;Bem'!$BD$61,'Hilfstabellen_Mat&amp;Bem'!$BD$52,
IF(MAX(Q34,Q65)&lt;'Hilfstabellen_Mat&amp;Bem'!$BE$61,'Hilfstabellen_Mat&amp;Bem'!$BE$52,
IF(MAX(Q34,Q65)&lt;'Hilfstabellen_Mat&amp;Bem'!$BF$61,'Hilfstabellen_Mat&amp;Bem'!$BF$52,
IF(MAX(Q34,Q65)&lt;'Hilfstabellen_Mat&amp;Bem'!$BG$61,'Hilfstabellen_Mat&amp;Bem'!$BG$52,"Fehler!!!")))))))</f>
        <v>220</v>
      </c>
      <c r="R67" s="467" t="str">
        <f ca="1">IF(MAX(R34,R65)&lt;'Hilfstabellen_Mat&amp;Bem'!$BA$61,'Hilfstabellen_Mat&amp;Bem'!$BA$52,
IF(MAX(R34,R65)&lt;'Hilfstabellen_Mat&amp;Bem'!$BB$61,'Hilfstabellen_Mat&amp;Bem'!$BB$52,
IF(MAX(R34,R65)&lt;'Hilfstabellen_Mat&amp;Bem'!$BC$61,'Hilfstabellen_Mat&amp;Bem'!$BC$52,
IF(MAX(R34,R65)&lt;'Hilfstabellen_Mat&amp;Bem'!$BD$61,'Hilfstabellen_Mat&amp;Bem'!$BD$52,
IF(MAX(R34,R65)&lt;'Hilfstabellen_Mat&amp;Bem'!$BE$61,'Hilfstabellen_Mat&amp;Bem'!$BE$52,
IF(MAX(R34,R65)&lt;'Hilfstabellen_Mat&amp;Bem'!$BF$61,'Hilfstabellen_Mat&amp;Bem'!$BF$52,
IF(MAX(R34,R65)&lt;'Hilfstabellen_Mat&amp;Bem'!$BG$61,'Hilfstabellen_Mat&amp;Bem'!$BG$52,"Fehler!!!")))))))</f>
        <v>Fehler!!!</v>
      </c>
      <c r="S67" s="467" t="str">
        <f ca="1">IF(MAX(S34,S65)&lt;'Hilfstabellen_Mat&amp;Bem'!$BA$61,'Hilfstabellen_Mat&amp;Bem'!$BA$52,
IF(MAX(S34,S65)&lt;'Hilfstabellen_Mat&amp;Bem'!$BB$61,'Hilfstabellen_Mat&amp;Bem'!$BB$52,
IF(MAX(S34,S65)&lt;'Hilfstabellen_Mat&amp;Bem'!$BC$61,'Hilfstabellen_Mat&amp;Bem'!$BC$52,
IF(MAX(S34,S65)&lt;'Hilfstabellen_Mat&amp;Bem'!$BD$61,'Hilfstabellen_Mat&amp;Bem'!$BD$52,
IF(MAX(S34,S65)&lt;'Hilfstabellen_Mat&amp;Bem'!$BE$61,'Hilfstabellen_Mat&amp;Bem'!$BE$52,
IF(MAX(S34,S65)&lt;'Hilfstabellen_Mat&amp;Bem'!$BF$61,'Hilfstabellen_Mat&amp;Bem'!$BF$52,
IF(MAX(S34,S65)&lt;'Hilfstabellen_Mat&amp;Bem'!$BG$61,'Hilfstabellen_Mat&amp;Bem'!$BG$52,"Fehler!!!")))))))</f>
        <v>Fehler!!!</v>
      </c>
      <c r="T67" s="466"/>
      <c r="U67" s="466"/>
      <c r="V67" s="466"/>
      <c r="W67" s="466"/>
      <c r="X67" s="466"/>
      <c r="Y67" s="466"/>
      <c r="Z67" s="466"/>
      <c r="AA67" s="466" t="s">
        <v>1610</v>
      </c>
      <c r="AB67" s="466"/>
      <c r="AC67" s="466"/>
      <c r="AD67" s="466"/>
      <c r="AE67" s="466"/>
      <c r="AF67" s="466"/>
      <c r="AG67" s="466"/>
      <c r="AH67" s="466"/>
      <c r="AI67" s="466"/>
      <c r="AJ67" s="466"/>
      <c r="AK67" s="466"/>
      <c r="AL67" s="466"/>
      <c r="AM67" s="466"/>
      <c r="AN67" s="466"/>
      <c r="AO67" s="466"/>
      <c r="AP67" s="466"/>
      <c r="AQ67" s="466"/>
      <c r="AR67" s="466"/>
      <c r="AS67" s="466"/>
      <c r="AT67" s="466"/>
      <c r="AU67" s="466"/>
      <c r="AV67" s="466"/>
      <c r="AW67" s="466"/>
      <c r="AX67" s="466"/>
      <c r="AY67" s="466"/>
      <c r="AZ67" s="466"/>
      <c r="BA67" s="466"/>
      <c r="BB67" s="466"/>
      <c r="BC67" s="466"/>
      <c r="BD67" s="466"/>
      <c r="BE67" s="466"/>
      <c r="BF67" s="169"/>
    </row>
    <row r="68" spans="1:58" ht="15" customHeight="1">
      <c r="A68" s="466"/>
      <c r="B68" s="466"/>
      <c r="C68" s="466"/>
      <c r="D68" s="466"/>
      <c r="E68" s="466"/>
      <c r="F68" s="466"/>
      <c r="G68" s="466"/>
      <c r="H68" s="466"/>
      <c r="I68" s="467"/>
      <c r="J68" s="467"/>
      <c r="K68" s="467"/>
      <c r="L68" s="467"/>
      <c r="M68" s="467"/>
      <c r="N68" s="467"/>
      <c r="O68" s="467"/>
      <c r="P68" s="467"/>
      <c r="Q68" s="467"/>
      <c r="R68" s="467"/>
      <c r="S68" s="467"/>
      <c r="T68" s="466"/>
      <c r="U68" s="466"/>
      <c r="V68" s="466"/>
      <c r="W68" s="466"/>
      <c r="X68" s="466"/>
      <c r="Y68" s="466"/>
      <c r="Z68" s="466"/>
      <c r="AA68" s="466"/>
      <c r="AB68" s="466"/>
      <c r="AC68" s="466"/>
      <c r="AD68" s="466"/>
      <c r="AE68" s="466"/>
      <c r="AF68" s="466"/>
      <c r="AG68" s="466"/>
      <c r="AH68" s="466"/>
      <c r="AI68" s="466"/>
      <c r="AJ68" s="466"/>
      <c r="AK68" s="466"/>
      <c r="AL68" s="466"/>
      <c r="AM68" s="466"/>
      <c r="AN68" s="466"/>
      <c r="AO68" s="466"/>
      <c r="AP68" s="466"/>
      <c r="AQ68" s="466"/>
      <c r="AR68" s="466"/>
      <c r="AS68" s="466"/>
      <c r="AT68" s="466"/>
      <c r="AU68" s="466"/>
      <c r="AV68" s="466"/>
      <c r="AW68" s="466"/>
      <c r="AX68" s="466"/>
      <c r="AY68" s="466"/>
      <c r="AZ68" s="466"/>
      <c r="BA68" s="466"/>
      <c r="BB68" s="466"/>
      <c r="BC68" s="466"/>
      <c r="BD68" s="466"/>
      <c r="BE68" s="466"/>
      <c r="BF68" s="169"/>
    </row>
    <row r="69" spans="1:58" ht="15" customHeight="1">
      <c r="A69" s="466"/>
      <c r="B69" s="466" t="s">
        <v>897</v>
      </c>
      <c r="C69" s="466"/>
      <c r="D69" s="466"/>
      <c r="E69" s="466"/>
      <c r="F69" s="466"/>
      <c r="G69" s="466"/>
      <c r="H69" s="466"/>
      <c r="I69" s="467">
        <f>(((I6*1000)^3*2*1000*12)/('Hilfstabellen_Mat&amp;Bem'!$BB$25*48*b_DE*0.5))^(1/3)</f>
        <v>112.41107825565231</v>
      </c>
      <c r="J69" s="467">
        <f>(((J6*1000)^3*2*1000*12)/('Hilfstabellen_Mat&amp;Bem'!$BB$25*48*b_DE*0.5))^(1/3)</f>
        <v>119.15574295099137</v>
      </c>
      <c r="K69" s="467">
        <f>(((K6*1000)^3*2*1000*12)/('Hilfstabellen_Mat&amp;Bem'!$BB$25*48*b_DE*0.5))^(1/3)</f>
        <v>128.14862921144359</v>
      </c>
      <c r="L69" s="467">
        <f>(((L6*1000)^3*2*1000*12)/('Hilfstabellen_Mat&amp;Bem'!$BB$25*48*b_DE*0.5))^(1/3)</f>
        <v>134.89329390678267</v>
      </c>
      <c r="M69" s="467">
        <f>(((M6*1000)^3*2*1000*12)/('Hilfstabellen_Mat&amp;Bem'!$BB$25*48*b_DE*0.5))^(1/3)</f>
        <v>157.37550955791309</v>
      </c>
      <c r="N69" s="467">
        <f>(((N6*1000)^3*2*1000*12)/('Hilfstabellen_Mat&amp;Bem'!$BB$25*48*b_DE*0.5))^(1/3)</f>
        <v>179.85772520904356</v>
      </c>
      <c r="O69" s="467">
        <f>(((O6*1000)^3*2*1000*12)/('Hilfstabellen_Mat&amp;Bem'!$BB$25*48*b_DE*0.5))^(1/3)</f>
        <v>202.33994086017407</v>
      </c>
      <c r="P69" s="467">
        <f>(((P6*1000)^3*2*1000*12)/('Hilfstabellen_Mat&amp;Bem'!$BB$25*48*b_DE*0.5))^(1/3)</f>
        <v>224.82215651130443</v>
      </c>
      <c r="Q69" s="467">
        <f>(((Q6*1000)^3*2*1000*12)/('Hilfstabellen_Mat&amp;Bem'!$BB$25*48*b_DE*0.5))^(1/3)</f>
        <v>238.31148590198296</v>
      </c>
      <c r="R69" s="467">
        <f>(((R6*1000)^3*2*1000*12)/('Hilfstabellen_Mat&amp;Bem'!$BB$25*48*b_DE*0.5))^(1/3)</f>
        <v>256.29725842288701</v>
      </c>
      <c r="S69" s="467">
        <f>(((S6*1000)^3*2*1000*12)/('Hilfstabellen_Mat&amp;Bem'!$BB$25*48*b_DE*0.5))^(1/3)</f>
        <v>269.7865878135654</v>
      </c>
      <c r="T69" s="467"/>
      <c r="U69" s="467"/>
      <c r="V69" s="466"/>
      <c r="W69" s="466"/>
      <c r="X69" s="466"/>
      <c r="Y69" s="466"/>
      <c r="Z69" s="466"/>
      <c r="AA69" s="466" t="s">
        <v>1535</v>
      </c>
      <c r="AB69" s="466"/>
      <c r="AC69" s="466"/>
      <c r="AD69" s="466"/>
      <c r="AE69" s="466"/>
      <c r="AF69" s="466"/>
      <c r="AG69" s="466"/>
      <c r="AH69" s="466"/>
      <c r="AI69" s="466"/>
      <c r="AJ69" s="466"/>
      <c r="AK69" s="466"/>
      <c r="AL69" s="466"/>
      <c r="AM69" s="466"/>
      <c r="AN69" s="466"/>
      <c r="AO69" s="466"/>
      <c r="AP69" s="466"/>
      <c r="AQ69" s="466"/>
      <c r="AR69" s="466"/>
      <c r="AS69" s="466"/>
      <c r="AT69" s="466"/>
      <c r="AU69" s="466"/>
      <c r="AV69" s="466"/>
      <c r="AW69" s="466"/>
      <c r="AX69" s="466"/>
      <c r="AY69" s="466"/>
      <c r="AZ69" s="466"/>
      <c r="BA69" s="466"/>
      <c r="BB69" s="466"/>
      <c r="BC69" s="466"/>
      <c r="BD69" s="466"/>
      <c r="BE69" s="466"/>
      <c r="BF69" s="169"/>
    </row>
    <row r="70" spans="1:58" ht="15" customHeight="1">
      <c r="A70" s="466"/>
      <c r="B70" s="466" t="s">
        <v>897</v>
      </c>
      <c r="C70" s="466"/>
      <c r="D70" s="466"/>
      <c r="E70" s="466"/>
      <c r="F70" s="466"/>
      <c r="G70" s="466"/>
      <c r="H70" s="466"/>
      <c r="I70" s="467">
        <f>IF(I69&lt;'Hilfstabellen_Mat&amp;Bem'!$BA$61,'Hilfstabellen_Mat&amp;Bem'!$BA$52,
IF(I69&lt;'Hilfstabellen_Mat&amp;Bem'!$BB$61,'Hilfstabellen_Mat&amp;Bem'!$BB$52,
IF(I69&lt;'Hilfstabellen_Mat&amp;Bem'!$BC$61,'Hilfstabellen_Mat&amp;Bem'!$BC$52,
IF(I69&lt;'Hilfstabellen_Mat&amp;Bem'!$BD$61,'Hilfstabellen_Mat&amp;Bem'!$BD$52,
IF(I69&lt;'Hilfstabellen_Mat&amp;Bem'!$BE$61,'Hilfstabellen_Mat&amp;Bem'!$BE$52,
IF(I69&lt;'Hilfstabellen_Mat&amp;Bem'!$BF$61,'Hilfstabellen_Mat&amp;Bem'!$BF$52,
IF(I69&lt;'Hilfstabellen_Mat&amp;Bem'!$BG$61,'Hilfstabellen_Mat&amp;Bem'!$BG$52,"Fehler!!!")))))))</f>
        <v>140</v>
      </c>
      <c r="J70" s="467">
        <f>IF(J69&lt;'Hilfstabellen_Mat&amp;Bem'!$BA$61,'Hilfstabellen_Mat&amp;Bem'!$BA$52,
IF(J69&lt;'Hilfstabellen_Mat&amp;Bem'!$BB$61,'Hilfstabellen_Mat&amp;Bem'!$BB$52,
IF(J69&lt;'Hilfstabellen_Mat&amp;Bem'!$BC$61,'Hilfstabellen_Mat&amp;Bem'!$BC$52,
IF(J69&lt;'Hilfstabellen_Mat&amp;Bem'!$BD$61,'Hilfstabellen_Mat&amp;Bem'!$BD$52,
IF(J69&lt;'Hilfstabellen_Mat&amp;Bem'!$BE$61,'Hilfstabellen_Mat&amp;Bem'!$BE$52,
IF(J69&lt;'Hilfstabellen_Mat&amp;Bem'!$BF$61,'Hilfstabellen_Mat&amp;Bem'!$BF$52,
IF(J69&lt;'Hilfstabellen_Mat&amp;Bem'!$BG$61,'Hilfstabellen_Mat&amp;Bem'!$BG$52,"Fehler!!!")))))))</f>
        <v>140</v>
      </c>
      <c r="K70" s="467">
        <f>IF(K69&lt;'Hilfstabellen_Mat&amp;Bem'!$BA$61,'Hilfstabellen_Mat&amp;Bem'!$BA$52,
IF(K69&lt;'Hilfstabellen_Mat&amp;Bem'!$BB$61,'Hilfstabellen_Mat&amp;Bem'!$BB$52,
IF(K69&lt;'Hilfstabellen_Mat&amp;Bem'!$BC$61,'Hilfstabellen_Mat&amp;Bem'!$BC$52,
IF(K69&lt;'Hilfstabellen_Mat&amp;Bem'!$BD$61,'Hilfstabellen_Mat&amp;Bem'!$BD$52,
IF(K69&lt;'Hilfstabellen_Mat&amp;Bem'!$BE$61,'Hilfstabellen_Mat&amp;Bem'!$BE$52,
IF(K69&lt;'Hilfstabellen_Mat&amp;Bem'!$BF$61,'Hilfstabellen_Mat&amp;Bem'!$BF$52,
IF(K69&lt;'Hilfstabellen_Mat&amp;Bem'!$BG$61,'Hilfstabellen_Mat&amp;Bem'!$BG$52,"Fehler!!!")))))))</f>
        <v>140</v>
      </c>
      <c r="L70" s="467">
        <f>IF(L69&lt;'Hilfstabellen_Mat&amp;Bem'!$BA$61,'Hilfstabellen_Mat&amp;Bem'!$BA$52,
IF(L69&lt;'Hilfstabellen_Mat&amp;Bem'!$BB$61,'Hilfstabellen_Mat&amp;Bem'!$BB$52,
IF(L69&lt;'Hilfstabellen_Mat&amp;Bem'!$BC$61,'Hilfstabellen_Mat&amp;Bem'!$BC$52,
IF(L69&lt;'Hilfstabellen_Mat&amp;Bem'!$BD$61,'Hilfstabellen_Mat&amp;Bem'!$BD$52,
IF(L69&lt;'Hilfstabellen_Mat&amp;Bem'!$BE$61,'Hilfstabellen_Mat&amp;Bem'!$BE$52,
IF(L69&lt;'Hilfstabellen_Mat&amp;Bem'!$BF$61,'Hilfstabellen_Mat&amp;Bem'!$BF$52,
IF(L69&lt;'Hilfstabellen_Mat&amp;Bem'!$BG$61,'Hilfstabellen_Mat&amp;Bem'!$BG$52,"Fehler!!!")))))))</f>
        <v>140</v>
      </c>
      <c r="M70" s="467">
        <f>IF(M69&lt;'Hilfstabellen_Mat&amp;Bem'!$BA$61,'Hilfstabellen_Mat&amp;Bem'!$BA$52,
IF(M69&lt;'Hilfstabellen_Mat&amp;Bem'!$BB$61,'Hilfstabellen_Mat&amp;Bem'!$BB$52,
IF(M69&lt;'Hilfstabellen_Mat&amp;Bem'!$BC$61,'Hilfstabellen_Mat&amp;Bem'!$BC$52,
IF(M69&lt;'Hilfstabellen_Mat&amp;Bem'!$BD$61,'Hilfstabellen_Mat&amp;Bem'!$BD$52,
IF(M69&lt;'Hilfstabellen_Mat&amp;Bem'!$BE$61,'Hilfstabellen_Mat&amp;Bem'!$BE$52,
IF(M69&lt;'Hilfstabellen_Mat&amp;Bem'!$BF$61,'Hilfstabellen_Mat&amp;Bem'!$BF$52,
IF(M69&lt;'Hilfstabellen_Mat&amp;Bem'!$BG$61,'Hilfstabellen_Mat&amp;Bem'!$BG$52,"Fehler!!!")))))))</f>
        <v>180</v>
      </c>
      <c r="N70" s="467">
        <f>IF(N69&lt;'Hilfstabellen_Mat&amp;Bem'!$BA$61,'Hilfstabellen_Mat&amp;Bem'!$BA$52,
IF(N69&lt;'Hilfstabellen_Mat&amp;Bem'!$BB$61,'Hilfstabellen_Mat&amp;Bem'!$BB$52,
IF(N69&lt;'Hilfstabellen_Mat&amp;Bem'!$BC$61,'Hilfstabellen_Mat&amp;Bem'!$BC$52,
IF(N69&lt;'Hilfstabellen_Mat&amp;Bem'!$BD$61,'Hilfstabellen_Mat&amp;Bem'!$BD$52,
IF(N69&lt;'Hilfstabellen_Mat&amp;Bem'!$BE$61,'Hilfstabellen_Mat&amp;Bem'!$BE$52,
IF(N69&lt;'Hilfstabellen_Mat&amp;Bem'!$BF$61,'Hilfstabellen_Mat&amp;Bem'!$BF$52,
IF(N69&lt;'Hilfstabellen_Mat&amp;Bem'!$BG$61,'Hilfstabellen_Mat&amp;Bem'!$BG$52,"Fehler!!!")))))))</f>
        <v>200</v>
      </c>
      <c r="O70" s="467">
        <f>IF(O69&lt;'Hilfstabellen_Mat&amp;Bem'!$BA$61,'Hilfstabellen_Mat&amp;Bem'!$BA$52,
IF(O69&lt;'Hilfstabellen_Mat&amp;Bem'!$BB$61,'Hilfstabellen_Mat&amp;Bem'!$BB$52,
IF(O69&lt;'Hilfstabellen_Mat&amp;Bem'!$BC$61,'Hilfstabellen_Mat&amp;Bem'!$BC$52,
IF(O69&lt;'Hilfstabellen_Mat&amp;Bem'!$BD$61,'Hilfstabellen_Mat&amp;Bem'!$BD$52,
IF(O69&lt;'Hilfstabellen_Mat&amp;Bem'!$BE$61,'Hilfstabellen_Mat&amp;Bem'!$BE$52,
IF(O69&lt;'Hilfstabellen_Mat&amp;Bem'!$BF$61,'Hilfstabellen_Mat&amp;Bem'!$BF$52,
IF(O69&lt;'Hilfstabellen_Mat&amp;Bem'!$BG$61,'Hilfstabellen_Mat&amp;Bem'!$BG$52,"Fehler!!!")))))))</f>
        <v>220</v>
      </c>
      <c r="P70" s="467">
        <f>IF(P69&lt;'Hilfstabellen_Mat&amp;Bem'!$BA$61,'Hilfstabellen_Mat&amp;Bem'!$BA$52,
IF(P69&lt;'Hilfstabellen_Mat&amp;Bem'!$BB$61,'Hilfstabellen_Mat&amp;Bem'!$BB$52,
IF(P69&lt;'Hilfstabellen_Mat&amp;Bem'!$BC$61,'Hilfstabellen_Mat&amp;Bem'!$BC$52,
IF(P69&lt;'Hilfstabellen_Mat&amp;Bem'!$BD$61,'Hilfstabellen_Mat&amp;Bem'!$BD$52,
IF(P69&lt;'Hilfstabellen_Mat&amp;Bem'!$BE$61,'Hilfstabellen_Mat&amp;Bem'!$BE$52,
IF(P69&lt;'Hilfstabellen_Mat&amp;Bem'!$BF$61,'Hilfstabellen_Mat&amp;Bem'!$BF$52,
IF(P69&lt;'Hilfstabellen_Mat&amp;Bem'!$BG$61,'Hilfstabellen_Mat&amp;Bem'!$BG$52,"Fehler!!!")))))))</f>
        <v>240</v>
      </c>
      <c r="Q70" s="467" t="str">
        <f>IF(Q69&lt;'Hilfstabellen_Mat&amp;Bem'!$BA$61,'Hilfstabellen_Mat&amp;Bem'!$BA$52,
IF(Q69&lt;'Hilfstabellen_Mat&amp;Bem'!$BB$61,'Hilfstabellen_Mat&amp;Bem'!$BB$52,
IF(Q69&lt;'Hilfstabellen_Mat&amp;Bem'!$BC$61,'Hilfstabellen_Mat&amp;Bem'!$BC$52,
IF(Q69&lt;'Hilfstabellen_Mat&amp;Bem'!$BD$61,'Hilfstabellen_Mat&amp;Bem'!$BD$52,
IF(Q69&lt;'Hilfstabellen_Mat&amp;Bem'!$BE$61,'Hilfstabellen_Mat&amp;Bem'!$BE$52,
IF(Q69&lt;'Hilfstabellen_Mat&amp;Bem'!$BF$61,'Hilfstabellen_Mat&amp;Bem'!$BF$52,
IF(Q69&lt;'Hilfstabellen_Mat&amp;Bem'!$BG$61,'Hilfstabellen_Mat&amp;Bem'!$BG$52,"Fehler!!!")))))))</f>
        <v>Fehler!!!</v>
      </c>
      <c r="R70" s="467" t="str">
        <f>IF(R69&lt;'Hilfstabellen_Mat&amp;Bem'!$BA$61,'Hilfstabellen_Mat&amp;Bem'!$BA$52,
IF(R69&lt;'Hilfstabellen_Mat&amp;Bem'!$BB$61,'Hilfstabellen_Mat&amp;Bem'!$BB$52,
IF(R69&lt;'Hilfstabellen_Mat&amp;Bem'!$BC$61,'Hilfstabellen_Mat&amp;Bem'!$BC$52,
IF(R69&lt;'Hilfstabellen_Mat&amp;Bem'!$BD$61,'Hilfstabellen_Mat&amp;Bem'!$BD$52,
IF(R69&lt;'Hilfstabellen_Mat&amp;Bem'!$BE$61,'Hilfstabellen_Mat&amp;Bem'!$BE$52,
IF(R69&lt;'Hilfstabellen_Mat&amp;Bem'!$BF$61,'Hilfstabellen_Mat&amp;Bem'!$BF$52,
IF(R69&lt;'Hilfstabellen_Mat&amp;Bem'!$BG$61,'Hilfstabellen_Mat&amp;Bem'!$BG$52,"Fehler!!!")))))))</f>
        <v>Fehler!!!</v>
      </c>
      <c r="S70" s="467" t="str">
        <f>IF(S69&lt;'Hilfstabellen_Mat&amp;Bem'!$BA$61,'Hilfstabellen_Mat&amp;Bem'!$BA$52,
IF(S69&lt;'Hilfstabellen_Mat&amp;Bem'!$BB$61,'Hilfstabellen_Mat&amp;Bem'!$BB$52,
IF(S69&lt;'Hilfstabellen_Mat&amp;Bem'!$BC$61,'Hilfstabellen_Mat&amp;Bem'!$BC$52,
IF(S69&lt;'Hilfstabellen_Mat&amp;Bem'!$BD$61,'Hilfstabellen_Mat&amp;Bem'!$BD$52,
IF(S69&lt;'Hilfstabellen_Mat&amp;Bem'!$BE$61,'Hilfstabellen_Mat&amp;Bem'!$BE$52,
IF(S69&lt;'Hilfstabellen_Mat&amp;Bem'!$BF$61,'Hilfstabellen_Mat&amp;Bem'!$BF$52,
IF(S69&lt;'Hilfstabellen_Mat&amp;Bem'!$BG$61,'Hilfstabellen_Mat&amp;Bem'!$BG$52,"Fehler!!!")))))))</f>
        <v>Fehler!!!</v>
      </c>
      <c r="T70" s="467"/>
      <c r="U70" s="467"/>
      <c r="V70" s="466"/>
      <c r="W70" s="466"/>
      <c r="X70" s="466"/>
      <c r="Y70" s="466"/>
      <c r="Z70" s="466"/>
      <c r="AA70" s="466" t="s">
        <v>1648</v>
      </c>
      <c r="AB70" s="466"/>
      <c r="AC70" s="466"/>
      <c r="AD70" s="466"/>
      <c r="AE70" s="466"/>
      <c r="AF70" s="466"/>
      <c r="AG70" s="466"/>
      <c r="AH70" s="466"/>
      <c r="AI70" s="466"/>
      <c r="AJ70" s="466"/>
      <c r="AK70" s="466"/>
      <c r="AL70" s="466"/>
      <c r="AM70" s="466"/>
      <c r="AN70" s="466"/>
      <c r="AO70" s="466"/>
      <c r="AP70" s="466"/>
      <c r="AQ70" s="466"/>
      <c r="AR70" s="466"/>
      <c r="AS70" s="466"/>
      <c r="AT70" s="466"/>
      <c r="AU70" s="466"/>
      <c r="AV70" s="466"/>
      <c r="AW70" s="466"/>
      <c r="AX70" s="466"/>
      <c r="AY70" s="466"/>
      <c r="AZ70" s="466"/>
      <c r="BA70" s="466"/>
      <c r="BB70" s="466"/>
      <c r="BC70" s="466"/>
      <c r="BD70" s="466"/>
      <c r="BE70" s="466"/>
      <c r="BF70" s="169"/>
    </row>
    <row r="71" spans="1:58" ht="15" customHeight="1">
      <c r="A71" s="466"/>
      <c r="B71" s="466" t="s">
        <v>897</v>
      </c>
      <c r="C71" s="466"/>
      <c r="D71" s="466"/>
      <c r="E71" s="466"/>
      <c r="F71" s="466"/>
      <c r="G71" s="466"/>
      <c r="H71" s="466"/>
      <c r="I71" s="467">
        <f>HLOOKUP(I$6,'Hilfstabellen_Mat&amp;Bem'!$S$66:$AC$81,16,0)</f>
        <v>120</v>
      </c>
      <c r="J71" s="467">
        <f>HLOOKUP(J$6,'Hilfstabellen_Mat&amp;Bem'!$S$66:$AC$81,16,0)</f>
        <v>120</v>
      </c>
      <c r="K71" s="467">
        <f>HLOOKUP(K$6,'Hilfstabellen_Mat&amp;Bem'!$S$66:$AC$81,16,0)</f>
        <v>120</v>
      </c>
      <c r="L71" s="467">
        <f>HLOOKUP(L$6,'Hilfstabellen_Mat&amp;Bem'!$S$66:$AC$81,16,0)</f>
        <v>120</v>
      </c>
      <c r="M71" s="467">
        <f>HLOOKUP(M$6,'Hilfstabellen_Mat&amp;Bem'!$S$66:$AC$81,16,0)</f>
        <v>140</v>
      </c>
      <c r="N71" s="467">
        <f>HLOOKUP(N$6,'Hilfstabellen_Mat&amp;Bem'!$S$66:$AC$81,16,0)</f>
        <v>140</v>
      </c>
      <c r="O71" s="467">
        <f>HLOOKUP(O$6,'Hilfstabellen_Mat&amp;Bem'!$S$66:$AC$81,16,0)</f>
        <v>160</v>
      </c>
      <c r="P71" s="467">
        <f>HLOOKUP(P$6,'Hilfstabellen_Mat&amp;Bem'!$S$66:$AC$81,16,0)</f>
        <v>160</v>
      </c>
      <c r="Q71" s="467">
        <f>HLOOKUP(Q$6,'Hilfstabellen_Mat&amp;Bem'!$S$66:$AC$81,16,0)</f>
        <v>160</v>
      </c>
      <c r="R71" s="467">
        <f>HLOOKUP(R$6,'Hilfstabellen_Mat&amp;Bem'!$S$66:$AC$81,16,0)</f>
        <v>180</v>
      </c>
      <c r="S71" s="467">
        <f>HLOOKUP(S$6,'Hilfstabellen_Mat&amp;Bem'!$S$66:$AC$81,16,0)</f>
        <v>180</v>
      </c>
      <c r="T71" s="467"/>
      <c r="U71" s="467"/>
      <c r="V71" s="466"/>
      <c r="W71" s="466"/>
      <c r="X71" s="466"/>
      <c r="Y71" s="466"/>
      <c r="Z71" s="466"/>
      <c r="AA71" s="466" t="s">
        <v>1611</v>
      </c>
      <c r="AB71" s="466"/>
      <c r="AC71" s="466"/>
      <c r="AD71" s="466"/>
      <c r="AE71" s="466"/>
      <c r="AF71" s="466"/>
      <c r="AG71" s="466"/>
      <c r="AH71" s="466"/>
      <c r="AI71" s="466"/>
      <c r="AJ71" s="466"/>
      <c r="AK71" s="466"/>
      <c r="AL71" s="466"/>
      <c r="AM71" s="466"/>
      <c r="AN71" s="466"/>
      <c r="AO71" s="466"/>
      <c r="AP71" s="466"/>
      <c r="AQ71" s="466"/>
      <c r="AR71" s="466"/>
      <c r="AS71" s="466"/>
      <c r="AT71" s="466"/>
      <c r="AU71" s="466"/>
      <c r="AV71" s="466"/>
      <c r="AW71" s="466"/>
      <c r="AX71" s="466"/>
      <c r="AY71" s="466"/>
      <c r="AZ71" s="466"/>
      <c r="BA71" s="466"/>
      <c r="BB71" s="466"/>
      <c r="BC71" s="466"/>
      <c r="BD71" s="466"/>
      <c r="BE71" s="466"/>
      <c r="BF71" s="169"/>
    </row>
    <row r="72" spans="1:58" ht="15" customHeight="1">
      <c r="A72" s="466"/>
      <c r="B72" s="466"/>
      <c r="C72" s="466"/>
      <c r="D72" s="466"/>
      <c r="E72" s="466"/>
      <c r="F72" s="466"/>
      <c r="G72" s="466"/>
      <c r="H72" s="466"/>
      <c r="I72" s="467"/>
      <c r="J72" s="467"/>
      <c r="K72" s="467"/>
      <c r="L72" s="467"/>
      <c r="M72" s="467"/>
      <c r="N72" s="467"/>
      <c r="O72" s="467"/>
      <c r="P72" s="467"/>
      <c r="Q72" s="467"/>
      <c r="R72" s="467"/>
      <c r="S72" s="467"/>
      <c r="T72" s="466"/>
      <c r="U72" s="466"/>
      <c r="V72" s="466"/>
      <c r="W72" s="466"/>
      <c r="X72" s="466"/>
      <c r="Y72" s="466"/>
      <c r="Z72" s="466"/>
      <c r="AA72" s="466"/>
      <c r="AB72" s="466"/>
      <c r="AC72" s="466"/>
      <c r="AD72" s="466"/>
      <c r="AE72" s="466"/>
      <c r="AF72" s="466"/>
      <c r="AG72" s="466"/>
      <c r="AH72" s="466"/>
      <c r="AI72" s="466"/>
      <c r="AJ72" s="466"/>
      <c r="AK72" s="466"/>
      <c r="AL72" s="466"/>
      <c r="AM72" s="466"/>
      <c r="AN72" s="466"/>
      <c r="AO72" s="466"/>
      <c r="AP72" s="466"/>
      <c r="AQ72" s="466"/>
      <c r="AR72" s="466"/>
      <c r="AS72" s="466"/>
      <c r="AT72" s="466"/>
      <c r="AU72" s="466"/>
      <c r="AV72" s="466"/>
      <c r="AW72" s="466"/>
      <c r="AX72" s="466"/>
      <c r="AY72" s="466"/>
      <c r="AZ72" s="466"/>
      <c r="BA72" s="466"/>
      <c r="BB72" s="466"/>
      <c r="BC72" s="466"/>
      <c r="BD72" s="466"/>
      <c r="BE72" s="466"/>
      <c r="BF72" s="169"/>
    </row>
    <row r="73" spans="1:58" ht="15" customHeight="1">
      <c r="A73" s="466"/>
      <c r="B73" s="491" t="s">
        <v>923</v>
      </c>
      <c r="C73" s="491"/>
      <c r="D73" s="491"/>
      <c r="E73" s="491"/>
      <c r="F73" s="491"/>
      <c r="G73" s="491"/>
      <c r="H73" s="491"/>
      <c r="I73" s="784">
        <f t="shared" ref="I73:S73" ca="1" si="8">MAX(I71,I67)</f>
        <v>120</v>
      </c>
      <c r="J73" s="784">
        <f t="shared" ca="1" si="8"/>
        <v>120</v>
      </c>
      <c r="K73" s="784">
        <f t="shared" ca="1" si="8"/>
        <v>120</v>
      </c>
      <c r="L73" s="784">
        <f t="shared" ca="1" si="8"/>
        <v>120</v>
      </c>
      <c r="M73" s="784">
        <f t="shared" ca="1" si="8"/>
        <v>140</v>
      </c>
      <c r="N73" s="784">
        <f t="shared" ca="1" si="8"/>
        <v>160</v>
      </c>
      <c r="O73" s="784">
        <f t="shared" ca="1" si="8"/>
        <v>180</v>
      </c>
      <c r="P73" s="784">
        <f t="shared" ca="1" si="8"/>
        <v>220</v>
      </c>
      <c r="Q73" s="784">
        <f t="shared" ca="1" si="8"/>
        <v>220</v>
      </c>
      <c r="R73" s="784">
        <f t="shared" ca="1" si="8"/>
        <v>180</v>
      </c>
      <c r="S73" s="784">
        <f t="shared" ca="1" si="8"/>
        <v>180</v>
      </c>
      <c r="T73" s="784"/>
      <c r="U73" s="784"/>
      <c r="V73" s="466"/>
      <c r="W73" s="466"/>
      <c r="X73" s="466"/>
      <c r="Y73" s="466"/>
      <c r="Z73" s="466"/>
      <c r="AA73" s="466" t="s">
        <v>1610</v>
      </c>
      <c r="AB73" s="466"/>
      <c r="AC73" s="466"/>
      <c r="AD73" s="466"/>
      <c r="AE73" s="466"/>
      <c r="AF73" s="466"/>
      <c r="AG73" s="466"/>
      <c r="AH73" s="466"/>
      <c r="AI73" s="466"/>
      <c r="AJ73" s="466"/>
      <c r="AK73" s="466"/>
      <c r="AL73" s="466"/>
      <c r="AM73" s="466"/>
      <c r="AN73" s="466"/>
      <c r="AO73" s="466"/>
      <c r="AP73" s="466"/>
      <c r="AQ73" s="466"/>
      <c r="AR73" s="466"/>
      <c r="AS73" s="466"/>
      <c r="AT73" s="466"/>
      <c r="AU73" s="466"/>
      <c r="AV73" s="466"/>
      <c r="AW73" s="466"/>
      <c r="AX73" s="466"/>
      <c r="AY73" s="466"/>
      <c r="AZ73" s="466"/>
      <c r="BA73" s="466"/>
      <c r="BB73" s="466"/>
      <c r="BC73" s="466"/>
      <c r="BD73" s="466"/>
      <c r="BE73" s="466"/>
      <c r="BF73" s="169"/>
    </row>
    <row r="74" spans="1:58" ht="15" customHeight="1">
      <c r="A74" s="466"/>
      <c r="B74" s="466"/>
      <c r="C74" s="466"/>
      <c r="D74" s="466"/>
      <c r="E74" s="466"/>
      <c r="F74" s="466"/>
      <c r="G74" s="466"/>
      <c r="H74" s="466"/>
      <c r="I74" s="466"/>
      <c r="J74" s="466"/>
      <c r="K74" s="466"/>
      <c r="L74" s="466"/>
      <c r="M74" s="466"/>
      <c r="N74" s="466"/>
      <c r="O74" s="466"/>
      <c r="P74" s="466"/>
      <c r="Q74" s="466"/>
      <c r="R74" s="466"/>
      <c r="S74" s="466"/>
      <c r="T74" s="466"/>
      <c r="U74" s="466"/>
      <c r="V74" s="466"/>
      <c r="W74" s="466"/>
      <c r="X74" s="466"/>
      <c r="Y74" s="466"/>
      <c r="Z74" s="466"/>
      <c r="AA74" s="466"/>
      <c r="AB74" s="466"/>
      <c r="AC74" s="466"/>
      <c r="AD74" s="466"/>
      <c r="AE74" s="466"/>
      <c r="AF74" s="466"/>
      <c r="AG74" s="466"/>
      <c r="AH74" s="466"/>
      <c r="AI74" s="466"/>
      <c r="AJ74" s="466"/>
      <c r="AK74" s="466"/>
      <c r="AL74" s="466"/>
      <c r="AM74" s="466"/>
      <c r="AN74" s="466"/>
      <c r="AO74" s="466"/>
      <c r="AP74" s="466"/>
      <c r="AQ74" s="466"/>
      <c r="AR74" s="466"/>
      <c r="AS74" s="466"/>
      <c r="AT74" s="466"/>
      <c r="AU74" s="466"/>
      <c r="AV74" s="466"/>
      <c r="AW74" s="466"/>
      <c r="AX74" s="466"/>
      <c r="AY74" s="466"/>
      <c r="AZ74" s="466"/>
      <c r="BA74" s="466"/>
      <c r="BB74" s="466"/>
      <c r="BC74" s="466"/>
      <c r="BD74" s="466"/>
      <c r="BE74" s="466"/>
      <c r="BF74" s="169"/>
    </row>
    <row r="75" spans="1:58" ht="15" customHeight="1">
      <c r="A75" s="466"/>
      <c r="B75" s="466" t="s">
        <v>825</v>
      </c>
      <c r="C75" s="466"/>
      <c r="D75" s="466"/>
      <c r="E75" s="466"/>
      <c r="F75" s="466"/>
      <c r="G75" s="466"/>
      <c r="H75" s="466"/>
      <c r="I75" s="467">
        <f t="shared" ref="I75:S75" ca="1" si="9">IF(I$76&lt;1,120,
IF(I$77&lt;1,140,
IF(I$78&lt;1,160,
IF(I$79&lt;1,180,
IF(I$80&lt;1,200,
IF(I$81&lt;1,220,
IF(I$82&lt;1,220,"Fehler!!!")))))))</f>
        <v>120</v>
      </c>
      <c r="J75" s="467">
        <f t="shared" ca="1" si="9"/>
        <v>120</v>
      </c>
      <c r="K75" s="467">
        <f t="shared" ca="1" si="9"/>
        <v>120</v>
      </c>
      <c r="L75" s="467">
        <f t="shared" ca="1" si="9"/>
        <v>120</v>
      </c>
      <c r="M75" s="467">
        <f t="shared" ca="1" si="9"/>
        <v>120</v>
      </c>
      <c r="N75" s="467">
        <f t="shared" ca="1" si="9"/>
        <v>120</v>
      </c>
      <c r="O75" s="467">
        <f t="shared" ca="1" si="9"/>
        <v>140</v>
      </c>
      <c r="P75" s="467">
        <f t="shared" ca="1" si="9"/>
        <v>140</v>
      </c>
      <c r="Q75" s="467">
        <f t="shared" ca="1" si="9"/>
        <v>140</v>
      </c>
      <c r="R75" s="467">
        <f t="shared" ca="1" si="9"/>
        <v>160</v>
      </c>
      <c r="S75" s="467">
        <f t="shared" ca="1" si="9"/>
        <v>160</v>
      </c>
      <c r="T75" s="467"/>
      <c r="U75" s="467"/>
      <c r="V75" s="466"/>
      <c r="W75" s="466"/>
      <c r="X75" s="466"/>
      <c r="Y75" s="466"/>
      <c r="Z75" s="466"/>
      <c r="AA75" s="466" t="s">
        <v>1540</v>
      </c>
      <c r="AB75" s="466"/>
      <c r="AC75" s="466"/>
      <c r="AD75" s="466"/>
      <c r="AE75" s="466"/>
      <c r="AF75" s="466"/>
      <c r="AG75" s="466"/>
      <c r="AH75" s="466"/>
      <c r="AI75" s="466"/>
      <c r="AJ75" s="466"/>
      <c r="AK75" s="466"/>
      <c r="AL75" s="466"/>
      <c r="AM75" s="466"/>
      <c r="AN75" s="466"/>
      <c r="AO75" s="466"/>
      <c r="AP75" s="466"/>
      <c r="AQ75" s="466"/>
      <c r="AR75" s="466"/>
      <c r="AS75" s="466"/>
      <c r="AT75" s="466"/>
      <c r="AU75" s="466"/>
      <c r="AV75" s="466"/>
      <c r="AW75" s="466"/>
      <c r="AX75" s="466"/>
      <c r="AY75" s="466"/>
      <c r="AZ75" s="466"/>
      <c r="BA75" s="466"/>
      <c r="BB75" s="466"/>
      <c r="BC75" s="466"/>
      <c r="BD75" s="466"/>
      <c r="BE75" s="466"/>
      <c r="BF75" s="169"/>
    </row>
    <row r="76" spans="1:58" ht="15" customHeight="1">
      <c r="A76" s="466"/>
      <c r="B76" s="466"/>
      <c r="C76" s="1459" t="str">
        <f>'Hilfstabellen_Mat&amp;Bem'!$BA$44</f>
        <v>BSP 120</v>
      </c>
      <c r="D76" s="1459"/>
      <c r="E76" s="1459"/>
      <c r="F76" s="1459"/>
      <c r="G76" s="466"/>
      <c r="H76" s="466"/>
      <c r="I76" s="465">
        <f ca="1">(6*'Hilfstabellen_Mat&amp;Bem'!E$44*((I$6*1000)^2))/(8*b_ef_DE*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0.3465789473684211</v>
      </c>
      <c r="J76" s="465">
        <f ca="1">(6*'Hilfstabellen_Mat&amp;Bem'!F$44*((J$6*1000)^2))/(8*b_ef_DE*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0.38941610526315795</v>
      </c>
      <c r="K76" s="465">
        <f ca="1">(6*'Hilfstabellen_Mat&amp;Bem'!G$44*((K$6*1000)^2))/(8*b_ef_DE*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0.45041400000000009</v>
      </c>
      <c r="L76" s="465">
        <f ca="1">(6*'Hilfstabellen_Mat&amp;Bem'!H$44*((L$6*1000)^2))/(8*b_ef_DE*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0.49907368421052639</v>
      </c>
      <c r="M76" s="465">
        <f ca="1">(6*'Hilfstabellen_Mat&amp;Bem'!I$44*((M$6*1000)^2))/(8*b_ef_DE*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0.69476842105263159</v>
      </c>
      <c r="N76" s="465">
        <f ca="1">(6*'Hilfstabellen_Mat&amp;Bem'!J$44*((N$6*1000)^2))/(8*b_ef_DE*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0.92766315789473686</v>
      </c>
      <c r="O76" s="465">
        <f ca="1">(6*'Hilfstabellen_Mat&amp;Bem'!K$44*((O$6*1000)^2))/(8*b_ef_DE*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1.1996526315789471</v>
      </c>
      <c r="P76" s="465">
        <f ca="1">(6*'Hilfstabellen_Mat&amp;Bem'!L$44*((P$6*1000)^2))/(8*b_ef_DE*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1.5442105263157897</v>
      </c>
      <c r="Q76" s="465">
        <f ca="1">(6*'Hilfstabellen_Mat&amp;Bem'!M$44*((Q$6*1000)^2))/(8*b_ef_DE*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1.7350749473684215</v>
      </c>
      <c r="R76" s="465">
        <f ca="1">(6*'Hilfstabellen_Mat&amp;Bem'!N$44*((R$6*1000)^2))/(8*b_ef_DE*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2.0478959999999997</v>
      </c>
      <c r="S76" s="465">
        <f ca="1">(6*'Hilfstabellen_Mat&amp;Bem'!O$44*((S$6*1000)^2))/(8*b_ef_DE*
(IF(brand_DE="",'Hilfstabellen_Mat&amp;Bem'!$BA$52,
IF(brand_DE=30,'Hilfstabellen_Mat&amp;Bem'!$BA$74,
IF(brand_DE=60,'Hilfstabellen_Mat&amp;Bem'!$BA$84,
IF(brand_DE=90,'Hilfstabellen_Mat&amp;Bem'!$BA$91,"Fehler!!!")))))^2)/
(k_modfi*k_fi_DE/gamma_mfi*
(IF(brand_DE="",'Hilfstabellen_Mat&amp;Bem'!$BA$47,
IF(brand_DE=30,'Hilfstabellen_Mat&amp;Bem'!$BA$73,
IF(brand_DE=60,'Hilfstabellen_Mat&amp;Bem'!$BA$80,
IF(brand_DE=90,'Hilfstabellen_Mat&amp;Bem'!$BA$90,"Fehler!!!"))))))</f>
        <v>2.087242105263158</v>
      </c>
      <c r="T76" s="465"/>
      <c r="U76" s="465"/>
      <c r="V76" s="466"/>
      <c r="W76" s="466"/>
      <c r="X76" s="466"/>
      <c r="Y76" s="466"/>
      <c r="Z76" s="466"/>
      <c r="AA76" s="1466" t="s">
        <v>1541</v>
      </c>
      <c r="AB76" s="1466"/>
      <c r="AC76" s="1466"/>
      <c r="AD76" s="1466"/>
      <c r="AE76" s="1466"/>
      <c r="AF76" s="1466"/>
      <c r="AG76" s="1466"/>
      <c r="AH76" s="1466"/>
      <c r="AI76" s="1466"/>
      <c r="AJ76" s="1466"/>
      <c r="AK76" s="1466"/>
      <c r="AL76" s="1466"/>
      <c r="AM76" s="1466"/>
      <c r="AN76" s="1466"/>
      <c r="AO76" s="1466"/>
      <c r="AP76" s="1466"/>
      <c r="AQ76" s="1466"/>
      <c r="AR76" s="1466"/>
      <c r="AS76" s="1466"/>
      <c r="AT76" s="1466"/>
      <c r="AU76" s="1466"/>
      <c r="AV76" s="1466"/>
      <c r="AW76" s="1466"/>
      <c r="AX76" s="1466"/>
      <c r="AY76" s="1466"/>
      <c r="AZ76" s="1466"/>
      <c r="BA76" s="1466"/>
      <c r="BB76" s="466"/>
      <c r="BC76" s="466"/>
      <c r="BD76" s="466"/>
      <c r="BE76" s="466"/>
      <c r="BF76" s="169"/>
    </row>
    <row r="77" spans="1:58" ht="15" customHeight="1">
      <c r="A77" s="466"/>
      <c r="B77" s="466"/>
      <c r="C77" s="1459" t="str">
        <f>'Hilfstabellen_Mat&amp;Bem'!$BB$44</f>
        <v>BSP 140</v>
      </c>
      <c r="D77" s="1459"/>
      <c r="E77" s="1459"/>
      <c r="F77" s="1459"/>
      <c r="G77" s="466"/>
      <c r="H77" s="466"/>
      <c r="I77" s="465">
        <f ca="1">(6*'Hilfstabellen_Mat&amp;Bem'!E$44*((I$6*1000)^2))/(8*b_ef_DE*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0.19796176046176048</v>
      </c>
      <c r="J77" s="465">
        <f ca="1">(6*'Hilfstabellen_Mat&amp;Bem'!F$44*((J$6*1000)^2))/(8*b_ef_DE*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0.2224298340548341</v>
      </c>
      <c r="K77" s="465">
        <f ca="1">(6*'Hilfstabellen_Mat&amp;Bem'!G$44*((K$6*1000)^2))/(8*b_ef_DE*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0.25727110389610391</v>
      </c>
      <c r="L77" s="465">
        <f ca="1">(6*'Hilfstabellen_Mat&amp;Bem'!H$44*((L$6*1000)^2))/(8*b_ef_DE*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0.28506493506493508</v>
      </c>
      <c r="M77" s="465">
        <f ca="1">(6*'Hilfstabellen_Mat&amp;Bem'!I$44*((M$6*1000)^2))/(8*b_ef_DE*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0.39684343434343433</v>
      </c>
      <c r="N77" s="465">
        <f ca="1">(6*'Hilfstabellen_Mat&amp;Bem'!J$44*((N$6*1000)^2))/(8*b_ef_DE*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0.52987012987012994</v>
      </c>
      <c r="O77" s="465">
        <f ca="1">(6*'Hilfstabellen_Mat&amp;Bem'!K$44*((O$6*1000)^2))/(8*b_ef_DE*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0.68522727272727257</v>
      </c>
      <c r="P77" s="465">
        <f ca="1">(6*'Hilfstabellen_Mat&amp;Bem'!L$44*((P$6*1000)^2))/(8*b_ef_DE*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0.88203463203463217</v>
      </c>
      <c r="Q77" s="465">
        <f ca="1">(6*'Hilfstabellen_Mat&amp;Bem'!M$44*((Q$6*1000)^2))/(8*b_ef_DE*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0.99105411255411269</v>
      </c>
      <c r="R77" s="465">
        <f ca="1">(6*'Hilfstabellen_Mat&amp;Bem'!N$44*((R$6*1000)^2))/(8*b_ef_DE*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1.1697337662337663</v>
      </c>
      <c r="S77" s="465">
        <f ca="1">(6*'Hilfstabellen_Mat&amp;Bem'!O$44*((S$6*1000)^2))/(8*b_ef_DE*
(IF(brand_DE="",'Hilfstabellen_Mat&amp;Bem'!$BB$52,
IF(brand_DE=30,'Hilfstabellen_Mat&amp;Bem'!$BB$74,
IF(brand_DE=60,'Hilfstabellen_Mat&amp;Bem'!$BB$84,
IF(brand_DE=90,'Hilfstabellen_Mat&amp;Bem'!$BB$91,"Fehler!!!")))))^2)/
(k_modfi*k_fi_DE/gamma_mfi*
(IF(brand_DE="",'Hilfstabellen_Mat&amp;Bem'!$BB$47,
IF(brand_DE=30,'Hilfstabellen_Mat&amp;Bem'!$BB$73,
IF(brand_DE=60,'Hilfstabellen_Mat&amp;Bem'!$BB$80,
IF(brand_DE=90,'Hilfstabellen_Mat&amp;Bem'!$BB$90,"Fehler!!!"))))))</f>
        <v>1.192207792207792</v>
      </c>
      <c r="T77" s="465"/>
      <c r="U77" s="465"/>
      <c r="V77" s="466"/>
      <c r="W77" s="466"/>
      <c r="X77" s="466"/>
      <c r="Y77" s="466"/>
      <c r="Z77" s="466"/>
      <c r="AA77" s="1466"/>
      <c r="AB77" s="1466"/>
      <c r="AC77" s="1466"/>
      <c r="AD77" s="1466"/>
      <c r="AE77" s="1466"/>
      <c r="AF77" s="1466"/>
      <c r="AG77" s="1466"/>
      <c r="AH77" s="1466"/>
      <c r="AI77" s="1466"/>
      <c r="AJ77" s="1466"/>
      <c r="AK77" s="1466"/>
      <c r="AL77" s="1466"/>
      <c r="AM77" s="1466"/>
      <c r="AN77" s="1466"/>
      <c r="AO77" s="1466"/>
      <c r="AP77" s="1466"/>
      <c r="AQ77" s="1466"/>
      <c r="AR77" s="1466"/>
      <c r="AS77" s="1466"/>
      <c r="AT77" s="1466"/>
      <c r="AU77" s="1466"/>
      <c r="AV77" s="1466"/>
      <c r="AW77" s="1466"/>
      <c r="AX77" s="1466"/>
      <c r="AY77" s="1466"/>
      <c r="AZ77" s="1466"/>
      <c r="BA77" s="1466"/>
      <c r="BB77" s="466"/>
      <c r="BC77" s="466"/>
      <c r="BD77" s="466"/>
      <c r="BE77" s="466"/>
      <c r="BF77" s="169"/>
    </row>
    <row r="78" spans="1:58" ht="15" customHeight="1">
      <c r="A78" s="466"/>
      <c r="B78" s="466"/>
      <c r="C78" s="1459" t="str">
        <f>'Hilfstabellen_Mat&amp;Bem'!$BC$44</f>
        <v>BSP 160</v>
      </c>
      <c r="D78" s="1459"/>
      <c r="E78" s="1459"/>
      <c r="F78" s="1459"/>
      <c r="G78" s="466"/>
      <c r="H78" s="466"/>
      <c r="I78" s="465">
        <f ca="1">(6*'Hilfstabellen_Mat&amp;Bem'!E$44*((I$6*1000)^2))/(8*b_ef_DE*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8.6191099476439798E-2</v>
      </c>
      <c r="J78" s="465">
        <f ca="1">(6*'Hilfstabellen_Mat&amp;Bem'!F$44*((J$6*1000)^2))/(8*b_ef_DE*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9.6844319371727758E-2</v>
      </c>
      <c r="K78" s="465">
        <f ca="1">(6*'Hilfstabellen_Mat&amp;Bem'!G$44*((K$6*1000)^2))/(8*b_ef_DE*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0.11201395287958117</v>
      </c>
      <c r="L78" s="465">
        <f ca="1">(6*'Hilfstabellen_Mat&amp;Bem'!H$44*((L$6*1000)^2))/(8*b_ef_DE*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0.12411518324607332</v>
      </c>
      <c r="M78" s="465">
        <f ca="1">(6*'Hilfstabellen_Mat&amp;Bem'!I$44*((M$6*1000)^2))/(8*b_ef_DE*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0.17278272251308902</v>
      </c>
      <c r="N78" s="465">
        <f ca="1">(6*'Hilfstabellen_Mat&amp;Bem'!J$44*((N$6*1000)^2))/(8*b_ef_DE*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0.23070157068062827</v>
      </c>
      <c r="O78" s="465">
        <f ca="1">(6*'Hilfstabellen_Mat&amp;Bem'!K$44*((O$6*1000)^2))/(8*b_ef_DE*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0.29834293193717271</v>
      </c>
      <c r="P78" s="465">
        <f ca="1">(6*'Hilfstabellen_Mat&amp;Bem'!L$44*((P$6*1000)^2))/(8*b_ef_DE*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0.38403141361256549</v>
      </c>
      <c r="Q78" s="465">
        <f ca="1">(6*'Hilfstabellen_Mat&amp;Bem'!M$44*((Q$6*1000)^2))/(8*b_ef_DE*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0.43149769633507862</v>
      </c>
      <c r="R78" s="465">
        <f ca="1">(6*'Hilfstabellen_Mat&amp;Bem'!N$44*((R$6*1000)^2))/(8*b_ef_DE*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0.5092935078534031</v>
      </c>
      <c r="S78" s="465">
        <f ca="1">(6*'Hilfstabellen_Mat&amp;Bem'!O$44*((S$6*1000)^2))/(8*b_ef_DE*
(IF(brand_DE="",'Hilfstabellen_Mat&amp;Bem'!$BC$52,
IF(brand_DE=30,'Hilfstabellen_Mat&amp;Bem'!$BC$74,
IF(brand_DE=60,'Hilfstabellen_Mat&amp;Bem'!$BC$84,
IF(brand_DE=90,'Hilfstabellen_Mat&amp;Bem'!$BC$91,"Fehler!!!")))))^2)/
(k_modfi*k_fi_DE/gamma_mfi*
(IF(brand_DE="",'Hilfstabellen_Mat&amp;Bem'!$BC$47,
IF(brand_DE=30,'Hilfstabellen_Mat&amp;Bem'!$BC$73,
IF(brand_DE=60,'Hilfstabellen_Mat&amp;Bem'!$BC$80,
IF(brand_DE=90,'Hilfstabellen_Mat&amp;Bem'!$BC$90,"Fehler!!!"))))))</f>
        <v>0.51907853403141369</v>
      </c>
      <c r="T78" s="465"/>
      <c r="U78" s="465"/>
      <c r="V78" s="466"/>
      <c r="W78" s="466"/>
      <c r="X78" s="466"/>
      <c r="Y78" s="466"/>
      <c r="Z78" s="466"/>
      <c r="AA78" s="1466"/>
      <c r="AB78" s="1466"/>
      <c r="AC78" s="1466"/>
      <c r="AD78" s="1466"/>
      <c r="AE78" s="1466"/>
      <c r="AF78" s="1466"/>
      <c r="AG78" s="1466"/>
      <c r="AH78" s="1466"/>
      <c r="AI78" s="1466"/>
      <c r="AJ78" s="1466"/>
      <c r="AK78" s="1466"/>
      <c r="AL78" s="1466"/>
      <c r="AM78" s="1466"/>
      <c r="AN78" s="1466"/>
      <c r="AO78" s="1466"/>
      <c r="AP78" s="1466"/>
      <c r="AQ78" s="1466"/>
      <c r="AR78" s="1466"/>
      <c r="AS78" s="1466"/>
      <c r="AT78" s="1466"/>
      <c r="AU78" s="1466"/>
      <c r="AV78" s="1466"/>
      <c r="AW78" s="1466"/>
      <c r="AX78" s="1466"/>
      <c r="AY78" s="1466"/>
      <c r="AZ78" s="1466"/>
      <c r="BA78" s="1466"/>
      <c r="BB78" s="466"/>
      <c r="BC78" s="466"/>
      <c r="BD78" s="466"/>
      <c r="BE78" s="466"/>
      <c r="BF78" s="169"/>
    </row>
    <row r="79" spans="1:58" ht="15" customHeight="1">
      <c r="A79" s="466"/>
      <c r="B79" s="466"/>
      <c r="C79" s="1459" t="str">
        <f>'Hilfstabellen_Mat&amp;Bem'!$BD$44</f>
        <v>BSP 180</v>
      </c>
      <c r="D79" s="1459"/>
      <c r="E79" s="1459"/>
      <c r="F79" s="1459"/>
      <c r="G79" s="466"/>
      <c r="H79" s="466"/>
      <c r="I79" s="465">
        <f ca="1">(6*'Hilfstabellen_Mat&amp;Bem'!E$44*((I$6*1000)^2))/(8*b_ef_DE*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5.7895199577984884E-2</v>
      </c>
      <c r="J79" s="465">
        <f ca="1">(6*'Hilfstabellen_Mat&amp;Bem'!F$44*((J$6*1000)^2))/(8*b_ef_DE*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6.5051046245823821E-2</v>
      </c>
      <c r="K79" s="465">
        <f ca="1">(6*'Hilfstabellen_Mat&amp;Bem'!G$44*((K$6*1000)^2))/(8*b_ef_DE*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7.5240601371549157E-2</v>
      </c>
      <c r="L79" s="465">
        <f ca="1">(6*'Hilfstabellen_Mat&amp;Bem'!H$44*((L$6*1000)^2))/(8*b_ef_DE*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8.3369087392298244E-2</v>
      </c>
      <c r="M79" s="465">
        <f ca="1">(6*'Hilfstabellen_Mat&amp;Bem'!I$44*((M$6*1000)^2))/(8*b_ef_DE*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0.1160594337963777</v>
      </c>
      <c r="N79" s="465">
        <f ca="1">(6*'Hilfstabellen_Mat&amp;Bem'!J$44*((N$6*1000)^2))/(8*b_ef_DE*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0.15496395287497802</v>
      </c>
      <c r="O79" s="465">
        <f ca="1">(6*'Hilfstabellen_Mat&amp;Bem'!K$44*((O$6*1000)^2))/(8*b_ef_DE*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0.20039915596975555</v>
      </c>
      <c r="P79" s="465">
        <f ca="1">(6*'Hilfstabellen_Mat&amp;Bem'!L$44*((P$6*1000)^2))/(8*b_ef_DE*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0.25795674344997366</v>
      </c>
      <c r="Q79" s="465">
        <f ca="1">(6*'Hilfstabellen_Mat&amp;Bem'!M$44*((Q$6*1000)^2))/(8*b_ef_DE*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0.28984019694039043</v>
      </c>
      <c r="R79" s="465">
        <f ca="1">(6*'Hilfstabellen_Mat&amp;Bem'!N$44*((R$6*1000)^2))/(8*b_ef_DE*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0.34209621944786356</v>
      </c>
      <c r="S79" s="465">
        <f ca="1">(6*'Hilfstabellen_Mat&amp;Bem'!O$44*((S$6*1000)^2))/(8*b_ef_DE*
(IF(brand_DE="",'Hilfstabellen_Mat&amp;Bem'!$BD$52,
IF(brand_DE=30,'Hilfstabellen_Mat&amp;Bem'!$BD$74,
IF(brand_DE=60,'Hilfstabellen_Mat&amp;Bem'!$BD$84,
IF(brand_DE=90,'Hilfstabellen_Mat&amp;Bem'!$BD$91,"Fehler!!!")))))^2)/
(k_modfi*k_fi_DE/gamma_mfi*
(IF(brand_DE="",'Hilfstabellen_Mat&amp;Bem'!$BD$47,
IF(brand_DE=30,'Hilfstabellen_Mat&amp;Bem'!$BD$73,
IF(brand_DE=60,'Hilfstabellen_Mat&amp;Bem'!$BD$80,
IF(brand_DE=90,'Hilfstabellen_Mat&amp;Bem'!$BD$90,"Fehler!!!"))))))</f>
        <v>0.34866889396870054</v>
      </c>
      <c r="T79" s="465"/>
      <c r="U79" s="465"/>
      <c r="V79" s="466"/>
      <c r="W79" s="466"/>
      <c r="X79" s="466"/>
      <c r="Y79" s="466"/>
      <c r="Z79" s="466"/>
      <c r="AA79" s="1466"/>
      <c r="AB79" s="1466"/>
      <c r="AC79" s="1466"/>
      <c r="AD79" s="1466"/>
      <c r="AE79" s="1466"/>
      <c r="AF79" s="1466"/>
      <c r="AG79" s="1466"/>
      <c r="AH79" s="1466"/>
      <c r="AI79" s="1466"/>
      <c r="AJ79" s="1466"/>
      <c r="AK79" s="1466"/>
      <c r="AL79" s="1466"/>
      <c r="AM79" s="1466"/>
      <c r="AN79" s="1466"/>
      <c r="AO79" s="1466"/>
      <c r="AP79" s="1466"/>
      <c r="AQ79" s="1466"/>
      <c r="AR79" s="1466"/>
      <c r="AS79" s="1466"/>
      <c r="AT79" s="1466"/>
      <c r="AU79" s="1466"/>
      <c r="AV79" s="1466"/>
      <c r="AW79" s="1466"/>
      <c r="AX79" s="1466"/>
      <c r="AY79" s="1466"/>
      <c r="AZ79" s="1466"/>
      <c r="BA79" s="1466"/>
      <c r="BB79" s="466"/>
      <c r="BC79" s="466"/>
      <c r="BD79" s="466"/>
      <c r="BE79" s="466"/>
      <c r="BF79" s="169"/>
    </row>
    <row r="80" spans="1:58" ht="15" customHeight="1">
      <c r="A80" s="466"/>
      <c r="B80" s="466"/>
      <c r="C80" s="1459" t="str">
        <f>'Hilfstabellen_Mat&amp;Bem'!$BE$44</f>
        <v>BSP 200</v>
      </c>
      <c r="D80" s="1459"/>
      <c r="E80" s="1459"/>
      <c r="F80" s="1459"/>
      <c r="G80" s="466"/>
      <c r="H80" s="466"/>
      <c r="I80" s="465">
        <f ca="1">(6*'Hilfstabellen_Mat&amp;Bem'!E$44*((I$6*1000)^2))/(8*b_ef_DE*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4.9490440115440119E-2</v>
      </c>
      <c r="J80" s="465">
        <f ca="1">(6*'Hilfstabellen_Mat&amp;Bem'!F$44*((J$6*1000)^2))/(8*b_ef_DE*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5.5607458513708526E-2</v>
      </c>
      <c r="K80" s="465">
        <f ca="1">(6*'Hilfstabellen_Mat&amp;Bem'!G$44*((K$6*1000)^2))/(8*b_ef_DE*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6.4317775974025979E-2</v>
      </c>
      <c r="L80" s="465">
        <f ca="1">(6*'Hilfstabellen_Mat&amp;Bem'!H$44*((L$6*1000)^2))/(8*b_ef_DE*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7.1266233766233769E-2</v>
      </c>
      <c r="M80" s="465">
        <f ca="1">(6*'Hilfstabellen_Mat&amp;Bem'!I$44*((M$6*1000)^2))/(8*b_ef_DE*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9.9210858585858583E-2</v>
      </c>
      <c r="N80" s="465">
        <f ca="1">(6*'Hilfstabellen_Mat&amp;Bem'!J$44*((N$6*1000)^2))/(8*b_ef_DE*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0.13246753246753248</v>
      </c>
      <c r="O80" s="465">
        <f ca="1">(6*'Hilfstabellen_Mat&amp;Bem'!K$44*((O$6*1000)^2))/(8*b_ef_DE*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0.17130681818181814</v>
      </c>
      <c r="P80" s="465">
        <f ca="1">(6*'Hilfstabellen_Mat&amp;Bem'!L$44*((P$6*1000)^2))/(8*b_ef_DE*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0.22050865800865804</v>
      </c>
      <c r="Q80" s="465">
        <f ca="1">(6*'Hilfstabellen_Mat&amp;Bem'!M$44*((Q$6*1000)^2))/(8*b_ef_DE*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0.24776352813852817</v>
      </c>
      <c r="R80" s="465">
        <f ca="1">(6*'Hilfstabellen_Mat&amp;Bem'!N$44*((R$6*1000)^2))/(8*b_ef_DE*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0.29243344155844159</v>
      </c>
      <c r="S80" s="465">
        <f ca="1">(6*'Hilfstabellen_Mat&amp;Bem'!O$44*((S$6*1000)^2))/(8*b_ef_DE*
(IF(brand_DE="",'Hilfstabellen_Mat&amp;Bem'!$BE$52,
IF(brand_DE=30,'Hilfstabellen_Mat&amp;Bem'!$BE$74,
IF(brand_DE=60,'Hilfstabellen_Mat&amp;Bem'!$BE$84,
IF(brand_DE=90,'Hilfstabellen_Mat&amp;Bem'!$BE$91,"Fehler!!!")))))^2)/
(k_modfi*k_fi_DE/gamma_mfi*
(IF(brand_DE="",'Hilfstabellen_Mat&amp;Bem'!$BE$47,
IF(brand_DE=30,'Hilfstabellen_Mat&amp;Bem'!$BE$73,
IF(brand_DE=60,'Hilfstabellen_Mat&amp;Bem'!$BE$80,
IF(brand_DE=90,'Hilfstabellen_Mat&amp;Bem'!$BE$90,"Fehler!!!"))))))</f>
        <v>0.29805194805194801</v>
      </c>
      <c r="T80" s="465"/>
      <c r="U80" s="465"/>
      <c r="V80" s="466"/>
      <c r="W80" s="466"/>
      <c r="X80" s="466"/>
      <c r="Y80" s="466"/>
      <c r="Z80" s="466"/>
      <c r="AA80" s="1466"/>
      <c r="AB80" s="1466"/>
      <c r="AC80" s="1466"/>
      <c r="AD80" s="1466"/>
      <c r="AE80" s="1466"/>
      <c r="AF80" s="1466"/>
      <c r="AG80" s="1466"/>
      <c r="AH80" s="1466"/>
      <c r="AI80" s="1466"/>
      <c r="AJ80" s="1466"/>
      <c r="AK80" s="1466"/>
      <c r="AL80" s="1466"/>
      <c r="AM80" s="1466"/>
      <c r="AN80" s="1466"/>
      <c r="AO80" s="1466"/>
      <c r="AP80" s="1466"/>
      <c r="AQ80" s="1466"/>
      <c r="AR80" s="1466"/>
      <c r="AS80" s="1466"/>
      <c r="AT80" s="1466"/>
      <c r="AU80" s="1466"/>
      <c r="AV80" s="1466"/>
      <c r="AW80" s="1466"/>
      <c r="AX80" s="1466"/>
      <c r="AY80" s="1466"/>
      <c r="AZ80" s="1466"/>
      <c r="BA80" s="1466"/>
      <c r="BB80" s="466"/>
      <c r="BC80" s="466"/>
      <c r="BD80" s="466"/>
      <c r="BE80" s="466"/>
      <c r="BF80" s="169"/>
    </row>
    <row r="81" spans="1:58" ht="15" customHeight="1">
      <c r="A81" s="466"/>
      <c r="B81" s="466"/>
      <c r="C81" s="1459" t="str">
        <f>'Hilfstabellen_Mat&amp;Bem'!$BF$44</f>
        <v>BSP 220</v>
      </c>
      <c r="D81" s="1459"/>
      <c r="E81" s="1459"/>
      <c r="F81" s="1459"/>
      <c r="G81" s="466"/>
      <c r="H81" s="466"/>
      <c r="I81" s="465">
        <f ca="1">(6*'Hilfstabellen_Mat&amp;Bem'!E$44*((I$6*1000)^2))/(8*b_ef_DE*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7.3881710276884199E-2</v>
      </c>
      <c r="J81" s="465">
        <f ca="1">(6*'Hilfstabellen_Mat&amp;Bem'!F$44*((J$6*1000)^2))/(8*b_ef_DE*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8.3013489667107088E-2</v>
      </c>
      <c r="K81" s="465">
        <f ca="1">(6*'Hilfstabellen_Mat&amp;Bem'!G$44*((K$6*1000)^2))/(8*b_ef_DE*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9.6016670675838703E-2</v>
      </c>
      <c r="L81" s="465">
        <f ca="1">(6*'Hilfstabellen_Mat&amp;Bem'!H$44*((L$6*1000)^2))/(8*b_ef_DE*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0.10638966279871324</v>
      </c>
      <c r="M81" s="465">
        <f ca="1">(6*'Hilfstabellen_Mat&amp;Bem'!I$44*((M$6*1000)^2))/(8*b_ef_DE*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0.14810674330767462</v>
      </c>
      <c r="N81" s="465">
        <f ca="1">(6*'Hilfstabellen_Mat&amp;Bem'!J$44*((N$6*1000)^2))/(8*b_ef_DE*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0.19775390625</v>
      </c>
      <c r="O81" s="465">
        <f ca="1">(6*'Hilfstabellen_Mat&amp;Bem'!K$44*((O$6*1000)^2))/(8*b_ef_DE*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0.25573506074793195</v>
      </c>
      <c r="P81" s="465">
        <f ca="1">(6*'Hilfstabellen_Mat&amp;Bem'!L$44*((P$6*1000)^2))/(8*b_ef_DE*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0.32918593462775741</v>
      </c>
      <c r="Q81" s="465">
        <f ca="1">(6*'Hilfstabellen_Mat&amp;Bem'!M$44*((Q$6*1000)^2))/(8*b_ef_DE*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0.36987331614774821</v>
      </c>
      <c r="R81" s="465">
        <f ca="1">(6*'Hilfstabellen_Mat&amp;Bem'!N$44*((R$6*1000)^2))/(8*b_ef_DE*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0.43655871223000919</v>
      </c>
      <c r="S81" s="465">
        <f ca="1">(6*'Hilfstabellen_Mat&amp;Bem'!O$44*((S$6*1000)^2))/(8*b_ef_DE*
(IF(brand_DE="",'Hilfstabellen_Mat&amp;Bem'!$BF$52,
IF(brand_DE=30,'Hilfstabellen_Mat&amp;Bem'!$BF$74,
IF(brand_DE=60,'Hilfstabellen_Mat&amp;Bem'!$BF$84,
IF(brand_DE=90,'Hilfstabellen_Mat&amp;Bem'!$BF$91,"Fehler!!!")))))^2)/
(k_modfi*k_fi_DE/gamma_mfi*
(IF(brand_DE="",'Hilfstabellen_Mat&amp;Bem'!$BF$47,
IF(brand_DE=30,'Hilfstabellen_Mat&amp;Bem'!$BF$73,
IF(brand_DE=60,'Hilfstabellen_Mat&amp;Bem'!$BF$80,
IF(brand_DE=90,'Hilfstabellen_Mat&amp;Bem'!$BF$90,"Fehler!!!"))))))</f>
        <v>0.4449462890625</v>
      </c>
      <c r="T81" s="465"/>
      <c r="U81" s="465"/>
      <c r="V81" s="466"/>
      <c r="W81" s="466"/>
      <c r="X81" s="466"/>
      <c r="Y81" s="466"/>
      <c r="Z81" s="466"/>
      <c r="AA81" s="1466"/>
      <c r="AB81" s="1466"/>
      <c r="AC81" s="1466"/>
      <c r="AD81" s="1466"/>
      <c r="AE81" s="1466"/>
      <c r="AF81" s="1466"/>
      <c r="AG81" s="1466"/>
      <c r="AH81" s="1466"/>
      <c r="AI81" s="1466"/>
      <c r="AJ81" s="1466"/>
      <c r="AK81" s="1466"/>
      <c r="AL81" s="1466"/>
      <c r="AM81" s="1466"/>
      <c r="AN81" s="1466"/>
      <c r="AO81" s="1466"/>
      <c r="AP81" s="1466"/>
      <c r="AQ81" s="1466"/>
      <c r="AR81" s="1466"/>
      <c r="AS81" s="1466"/>
      <c r="AT81" s="1466"/>
      <c r="AU81" s="1466"/>
      <c r="AV81" s="1466"/>
      <c r="AW81" s="1466"/>
      <c r="AX81" s="1466"/>
      <c r="AY81" s="1466"/>
      <c r="AZ81" s="1466"/>
      <c r="BA81" s="1466"/>
      <c r="BB81" s="466"/>
      <c r="BC81" s="466"/>
      <c r="BD81" s="466"/>
      <c r="BE81" s="466"/>
      <c r="BF81" s="169"/>
    </row>
    <row r="82" spans="1:58" ht="15" customHeight="1">
      <c r="A82" s="466"/>
      <c r="B82" s="466"/>
      <c r="C82" s="1459" t="str">
        <f>'Hilfstabellen_Mat&amp;Bem'!$BG$44</f>
        <v>BSP 240</v>
      </c>
      <c r="D82" s="1459"/>
      <c r="E82" s="1459"/>
      <c r="F82" s="1459"/>
      <c r="G82" s="466"/>
      <c r="H82" s="466"/>
      <c r="I82" s="465">
        <f ca="1">(6*'Hilfstabellen_Mat&amp;Bem'!E$44*((I$6*1000)^2))/(8*b_ef_DE*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6.2113640891282185E-2</v>
      </c>
      <c r="J82" s="465">
        <f ca="1">(6*'Hilfstabellen_Mat&amp;Bem'!F$44*((J$6*1000)^2))/(8*b_ef_DE*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6.979088690544466E-2</v>
      </c>
      <c r="K82" s="465">
        <f ca="1">(6*'Hilfstabellen_Mat&amp;Bem'!G$44*((K$6*1000)^2))/(8*b_ef_DE*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8.0722887702310328E-2</v>
      </c>
      <c r="L82" s="465">
        <f ca="1">(6*'Hilfstabellen_Mat&amp;Bem'!H$44*((L$6*1000)^2))/(8*b_ef_DE*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8.9443642883446334E-2</v>
      </c>
      <c r="M82" s="465">
        <f ca="1">(6*'Hilfstabellen_Mat&amp;Bem'!I$44*((M$6*1000)^2))/(8*b_ef_DE*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0.12451591920265138</v>
      </c>
      <c r="N82" s="465">
        <f ca="1">(6*'Hilfstabellen_Mat&amp;Bem'!J$44*((N$6*1000)^2))/(8*b_ef_DE*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0.16625515397014168</v>
      </c>
      <c r="O82" s="465">
        <f ca="1">(6*'Hilfstabellen_Mat&amp;Bem'!K$44*((O$6*1000)^2))/(8*b_ef_DE*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0.21500092062131371</v>
      </c>
      <c r="P82" s="465">
        <f ca="1">(6*'Hilfstabellen_Mat&amp;Bem'!L$44*((P$6*1000)^2))/(8*b_ef_DE*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0.27675234984817298</v>
      </c>
      <c r="Q82" s="465">
        <f ca="1">(6*'Hilfstabellen_Mat&amp;Bem'!M$44*((Q$6*1000)^2))/(8*b_ef_DE*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0.31095894028940718</v>
      </c>
      <c r="R82" s="465">
        <f ca="1">(6*'Hilfstabellen_Mat&amp;Bem'!N$44*((R$6*1000)^2))/(8*b_ef_DE*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0.36702251447337442</v>
      </c>
      <c r="S82" s="465">
        <f ca="1">(6*'Hilfstabellen_Mat&amp;Bem'!O$44*((S$6*1000)^2))/(8*b_ef_DE*
(IF(brand_DE="",'Hilfstabellen_Mat&amp;Bem'!$BG$52,
IF(brand_DE=30,'Hilfstabellen_Mat&amp;Bem'!$BG$74,
IF(brand_DE=60,'Hilfstabellen_Mat&amp;Bem'!$BG$84,
IF(brand_DE=90,'Hilfstabellen_Mat&amp;Bem'!$BG$91,"Fehler!!!")))))^2)/
(k_modfi*k_fi_DE/gamma_mfi*
(IF(brand_DE="",'Hilfstabellen_Mat&amp;Bem'!$BG$47,
IF(brand_DE=30,'Hilfstabellen_Mat&amp;Bem'!$BG$73,
IF(brand_DE=60,'Hilfstabellen_Mat&amp;Bem'!$BG$80,
IF(brand_DE=90,'Hilfstabellen_Mat&amp;Bem'!$BG$90,"Fehler!!!"))))))</f>
        <v>0.3740740964328188</v>
      </c>
      <c r="T82" s="465"/>
      <c r="U82" s="465"/>
      <c r="V82" s="466"/>
      <c r="W82" s="466"/>
      <c r="X82" s="466"/>
      <c r="Y82" s="466"/>
      <c r="Z82" s="466"/>
      <c r="AA82" s="1466"/>
      <c r="AB82" s="1466"/>
      <c r="AC82" s="1466"/>
      <c r="AD82" s="1466"/>
      <c r="AE82" s="1466"/>
      <c r="AF82" s="1466"/>
      <c r="AG82" s="1466"/>
      <c r="AH82" s="1466"/>
      <c r="AI82" s="1466"/>
      <c r="AJ82" s="1466"/>
      <c r="AK82" s="1466"/>
      <c r="AL82" s="1466"/>
      <c r="AM82" s="1466"/>
      <c r="AN82" s="1466"/>
      <c r="AO82" s="1466"/>
      <c r="AP82" s="1466"/>
      <c r="AQ82" s="1466"/>
      <c r="AR82" s="1466"/>
      <c r="AS82" s="1466"/>
      <c r="AT82" s="1466"/>
      <c r="AU82" s="1466"/>
      <c r="AV82" s="1466"/>
      <c r="AW82" s="1466"/>
      <c r="AX82" s="1466"/>
      <c r="AY82" s="1466"/>
      <c r="AZ82" s="1466"/>
      <c r="BA82" s="1466"/>
      <c r="BB82" s="466"/>
      <c r="BC82" s="466"/>
      <c r="BD82" s="466"/>
      <c r="BE82" s="466"/>
      <c r="BF82" s="169"/>
    </row>
    <row r="83" spans="1:58" ht="15" customHeight="1">
      <c r="A83" s="466"/>
      <c r="B83" s="466"/>
      <c r="C83" s="471"/>
      <c r="D83" s="471"/>
      <c r="E83" s="471"/>
      <c r="F83" s="471"/>
      <c r="G83" s="466"/>
      <c r="H83" s="466"/>
      <c r="I83" s="466"/>
      <c r="J83" s="466"/>
      <c r="K83" s="466"/>
      <c r="L83" s="466"/>
      <c r="M83" s="466"/>
      <c r="N83" s="466"/>
      <c r="O83" s="466"/>
      <c r="P83" s="466"/>
      <c r="Q83" s="466"/>
      <c r="R83" s="466"/>
      <c r="S83" s="466"/>
      <c r="T83" s="466"/>
      <c r="U83" s="466"/>
      <c r="V83" s="466"/>
      <c r="W83" s="466"/>
      <c r="X83" s="466"/>
      <c r="Y83" s="466"/>
      <c r="Z83" s="466"/>
      <c r="AA83" s="466"/>
      <c r="AB83" s="466"/>
      <c r="AC83" s="466"/>
      <c r="AD83" s="466"/>
      <c r="AE83" s="466"/>
      <c r="AF83" s="466"/>
      <c r="AG83" s="466"/>
      <c r="AH83" s="466"/>
      <c r="AI83" s="466"/>
      <c r="AJ83" s="466"/>
      <c r="AK83" s="466"/>
      <c r="AL83" s="466"/>
      <c r="AM83" s="466"/>
      <c r="AN83" s="466"/>
      <c r="AO83" s="466"/>
      <c r="AP83" s="466"/>
      <c r="AQ83" s="466"/>
      <c r="AR83" s="466"/>
      <c r="AS83" s="466"/>
      <c r="AT83" s="466"/>
      <c r="AU83" s="466"/>
      <c r="AV83" s="466"/>
      <c r="AW83" s="466"/>
      <c r="AX83" s="466"/>
      <c r="AY83" s="466"/>
      <c r="AZ83" s="466"/>
      <c r="BA83" s="466"/>
      <c r="BB83" s="466"/>
      <c r="BC83" s="466"/>
      <c r="BD83" s="466"/>
      <c r="BE83" s="466"/>
      <c r="BF83" s="169"/>
    </row>
    <row r="84" spans="1:58" ht="15" customHeight="1">
      <c r="A84" s="466"/>
      <c r="B84" s="466" t="s">
        <v>826</v>
      </c>
      <c r="C84" s="466"/>
      <c r="D84" s="466"/>
      <c r="E84" s="466"/>
      <c r="F84" s="466"/>
      <c r="G84" s="466"/>
      <c r="H84" s="466"/>
      <c r="I84" s="467">
        <f t="shared" ref="I84:S84" ca="1" si="10">IF(I$85&lt;1,120,
IF(I$86&lt;1,140,
IF(I$87&lt;1,160,
IF(I$88&lt;1,180,
IF(I$89&lt;1,200,
IF(I$90&lt;1,220,
IF(I$91&lt;1,220,"Fehler!!!")))))))</f>
        <v>120</v>
      </c>
      <c r="J84" s="467">
        <f t="shared" ca="1" si="10"/>
        <v>120</v>
      </c>
      <c r="K84" s="467">
        <f t="shared" ca="1" si="10"/>
        <v>120</v>
      </c>
      <c r="L84" s="467">
        <f t="shared" ca="1" si="10"/>
        <v>120</v>
      </c>
      <c r="M84" s="467">
        <f t="shared" ca="1" si="10"/>
        <v>120</v>
      </c>
      <c r="N84" s="467">
        <f t="shared" ca="1" si="10"/>
        <v>120</v>
      </c>
      <c r="O84" s="467">
        <f t="shared" ca="1" si="10"/>
        <v>120</v>
      </c>
      <c r="P84" s="467">
        <f t="shared" ca="1" si="10"/>
        <v>120</v>
      </c>
      <c r="Q84" s="467">
        <f t="shared" ca="1" si="10"/>
        <v>120</v>
      </c>
      <c r="R84" s="467">
        <f t="shared" ca="1" si="10"/>
        <v>120</v>
      </c>
      <c r="S84" s="467">
        <f t="shared" ca="1" si="10"/>
        <v>120</v>
      </c>
      <c r="T84" s="467"/>
      <c r="U84" s="467"/>
      <c r="V84" s="466"/>
      <c r="W84" s="466"/>
      <c r="X84" s="466"/>
      <c r="Y84" s="466"/>
      <c r="Z84" s="466"/>
      <c r="AA84" s="466" t="s">
        <v>1542</v>
      </c>
      <c r="AB84" s="466"/>
      <c r="AC84" s="466"/>
      <c r="AD84" s="466"/>
      <c r="AE84" s="466"/>
      <c r="AF84" s="466"/>
      <c r="AG84" s="466"/>
      <c r="AH84" s="466"/>
      <c r="AI84" s="466"/>
      <c r="AJ84" s="466"/>
      <c r="AK84" s="466"/>
      <c r="AL84" s="466"/>
      <c r="AM84" s="466"/>
      <c r="AN84" s="466"/>
      <c r="AO84" s="466"/>
      <c r="AP84" s="466"/>
      <c r="AQ84" s="466"/>
      <c r="AR84" s="466"/>
      <c r="AS84" s="466"/>
      <c r="AT84" s="466"/>
      <c r="AU84" s="466"/>
      <c r="AV84" s="466"/>
      <c r="AW84" s="466"/>
      <c r="AX84" s="466"/>
      <c r="AY84" s="466"/>
      <c r="AZ84" s="466"/>
      <c r="BA84" s="466"/>
      <c r="BB84" s="466"/>
      <c r="BC84" s="466"/>
      <c r="BD84" s="466"/>
      <c r="BE84" s="466"/>
      <c r="BF84" s="169"/>
    </row>
    <row r="85" spans="1:58" ht="15" customHeight="1">
      <c r="A85" s="466"/>
      <c r="B85" s="466"/>
      <c r="C85" s="1459" t="str">
        <f>'Hilfstabellen_Mat&amp;Bem'!$BA$44</f>
        <v>BSP 120</v>
      </c>
      <c r="D85" s="1459"/>
      <c r="E85" s="1459"/>
      <c r="F85" s="1459"/>
      <c r="G85" s="466"/>
      <c r="H85" s="466"/>
      <c r="I85" s="465">
        <f ca="1">(3*'Hilfstabellen_Mat&amp;Bem'!E$44*I$6*1000)/(4*b_ef_DE*
(IF(brand_DE="",'Hilfstabellen_Mat&amp;Bem'!$BA$52,
IF(brand_DE=30,'Hilfstabellen_Mat&amp;Bem'!$BA$74,
IF(brand_DE=60,'Hilfstabellen_Mat&amp;Bem'!$BA$84,
IF(brand_DE=90,'Hilfstabellen_Mat&amp;Bem'!$BA$91,"Fehler!!!"))))))/
(k_modfi*k_fi_DE/gamma_mfi*'Hilfstabellen_Mat&amp;Bem'!$BA$49)</f>
        <v>0.13170000000000004</v>
      </c>
      <c r="J85" s="465">
        <f ca="1">(3*'Hilfstabellen_Mat&amp;Bem'!F$44*J$6*1000)/(4*b_ef_DE*
(IF(brand_DE="",'Hilfstabellen_Mat&amp;Bem'!$BA$52,
IF(brand_DE=30,'Hilfstabellen_Mat&amp;Bem'!$BA$74,
IF(brand_DE=60,'Hilfstabellen_Mat&amp;Bem'!$BA$84,
IF(brand_DE=90,'Hilfstabellen_Mat&amp;Bem'!$BA$91,"Fehler!!!"))))))/
(k_modfi*k_fi_DE/gamma_mfi*'Hilfstabellen_Mat&amp;Bem'!$BA$49)</f>
        <v>0.139602</v>
      </c>
      <c r="K85" s="465">
        <f ca="1">(3*'Hilfstabellen_Mat&amp;Bem'!G$44*K$6*1000)/(4*b_ef_DE*
(IF(brand_DE="",'Hilfstabellen_Mat&amp;Bem'!$BA$52,
IF(brand_DE=30,'Hilfstabellen_Mat&amp;Bem'!$BA$74,
IF(brand_DE=60,'Hilfstabellen_Mat&amp;Bem'!$BA$84,
IF(brand_DE=90,'Hilfstabellen_Mat&amp;Bem'!$BA$91,"Fehler!!!"))))))/
(k_modfi*k_fi_DE/gamma_mfi*'Hilfstabellen_Mat&amp;Bem'!$BA$49)</f>
        <v>0.15013800000000005</v>
      </c>
      <c r="L85" s="465">
        <f ca="1">(3*'Hilfstabellen_Mat&amp;Bem'!H$44*L$6*1000)/(4*b_ef_DE*
(IF(brand_DE="",'Hilfstabellen_Mat&amp;Bem'!$BA$52,
IF(brand_DE=30,'Hilfstabellen_Mat&amp;Bem'!$BA$74,
IF(brand_DE=60,'Hilfstabellen_Mat&amp;Bem'!$BA$84,
IF(brand_DE=90,'Hilfstabellen_Mat&amp;Bem'!$BA$91,"Fehler!!!"))))))/
(k_modfi*k_fi_DE/gamma_mfi*'Hilfstabellen_Mat&amp;Bem'!$BA$49)</f>
        <v>0.15804000000000001</v>
      </c>
      <c r="M85" s="465">
        <f ca="1">(3*'Hilfstabellen_Mat&amp;Bem'!I$44*M$6*1000)/(4*b_ef_DE*
(IF(brand_DE="",'Hilfstabellen_Mat&amp;Bem'!$BA$52,
IF(brand_DE=30,'Hilfstabellen_Mat&amp;Bem'!$BA$74,
IF(brand_DE=60,'Hilfstabellen_Mat&amp;Bem'!$BA$84,
IF(brand_DE=90,'Hilfstabellen_Mat&amp;Bem'!$BA$91,"Fehler!!!"))))))/
(k_modfi*k_fi_DE/gamma_mfi*'Hilfstabellen_Mat&amp;Bem'!$BA$49)</f>
        <v>0.18858</v>
      </c>
      <c r="N85" s="465">
        <f ca="1">(3*'Hilfstabellen_Mat&amp;Bem'!J$44*N$6*1000)/(4*b_ef_DE*
(IF(brand_DE="",'Hilfstabellen_Mat&amp;Bem'!$BA$52,
IF(brand_DE=30,'Hilfstabellen_Mat&amp;Bem'!$BA$74,
IF(brand_DE=60,'Hilfstabellen_Mat&amp;Bem'!$BA$84,
IF(brand_DE=90,'Hilfstabellen_Mat&amp;Bem'!$BA$91,"Fehler!!!"))))))/
(k_modfi*k_fi_DE/gamma_mfi*'Hilfstabellen_Mat&amp;Bem'!$BA$49)</f>
        <v>0.22031999999999999</v>
      </c>
      <c r="O85" s="465">
        <f ca="1">(3*'Hilfstabellen_Mat&amp;Bem'!K$44*O$6*1000)/(4*b_ef_DE*
(IF(brand_DE="",'Hilfstabellen_Mat&amp;Bem'!$BA$52,
IF(brand_DE=30,'Hilfstabellen_Mat&amp;Bem'!$BA$74,
IF(brand_DE=60,'Hilfstabellen_Mat&amp;Bem'!$BA$84,
IF(brand_DE=90,'Hilfstabellen_Mat&amp;Bem'!$BA$91,"Fehler!!!"))))))/
(k_modfi*k_fi_DE/gamma_mfi*'Hilfstabellen_Mat&amp;Bem'!$BA$49)</f>
        <v>0.25325999999999993</v>
      </c>
      <c r="P85" s="465">
        <f ca="1">(3*'Hilfstabellen_Mat&amp;Bem'!L$44*P$6*1000)/(4*b_ef_DE*
(IF(brand_DE="",'Hilfstabellen_Mat&amp;Bem'!$BA$52,
IF(brand_DE=30,'Hilfstabellen_Mat&amp;Bem'!$BA$74,
IF(brand_DE=60,'Hilfstabellen_Mat&amp;Bem'!$BA$84,
IF(brand_DE=90,'Hilfstabellen_Mat&amp;Bem'!$BA$91,"Fehler!!!"))))))/
(k_modfi*k_fi_DE/gamma_mfi*'Hilfstabellen_Mat&amp;Bem'!$BA$49)</f>
        <v>0.29340000000000005</v>
      </c>
      <c r="Q85" s="465">
        <f ca="1">(3*'Hilfstabellen_Mat&amp;Bem'!M$44*Q$6*1000)/(4*b_ef_DE*
(IF(brand_DE="",'Hilfstabellen_Mat&amp;Bem'!$BA$52,
IF(brand_DE=30,'Hilfstabellen_Mat&amp;Bem'!$BA$74,
IF(brand_DE=60,'Hilfstabellen_Mat&amp;Bem'!$BA$84,
IF(brand_DE=90,'Hilfstabellen_Mat&amp;Bem'!$BA$91,"Fehler!!!"))))))/
(k_modfi*k_fi_DE/gamma_mfi*'Hilfstabellen_Mat&amp;Bem'!$BA$49)</f>
        <v>0.311004</v>
      </c>
      <c r="R85" s="465">
        <f ca="1">(3*'Hilfstabellen_Mat&amp;Bem'!N$44*R$6*1000)/(4*b_ef_DE*
(IF(brand_DE="",'Hilfstabellen_Mat&amp;Bem'!$BA$52,
IF(brand_DE=30,'Hilfstabellen_Mat&amp;Bem'!$BA$74,
IF(brand_DE=60,'Hilfstabellen_Mat&amp;Bem'!$BA$84,
IF(brand_DE=90,'Hilfstabellen_Mat&amp;Bem'!$BA$91,"Fehler!!!"))))))/
(k_modfi*k_fi_DE/gamma_mfi*'Hilfstabellen_Mat&amp;Bem'!$BA$49)</f>
        <v>0.34131600000000006</v>
      </c>
      <c r="S85" s="465">
        <f ca="1">(3*'Hilfstabellen_Mat&amp;Bem'!O$44*S$6*1000)/(4*b_ef_DE*
(IF(brand_DE="",'Hilfstabellen_Mat&amp;Bem'!$BA$52,
IF(brand_DE=30,'Hilfstabellen_Mat&amp;Bem'!$BA$74,
IF(brand_DE=60,'Hilfstabellen_Mat&amp;Bem'!$BA$84,
IF(brand_DE=90,'Hilfstabellen_Mat&amp;Bem'!$BA$91,"Fehler!!!"))))))/
(k_modfi*k_fi_DE/gamma_mfi*'Hilfstabellen_Mat&amp;Bem'!$BA$49)</f>
        <v>0.33048</v>
      </c>
      <c r="T85" s="465"/>
      <c r="U85" s="465"/>
      <c r="V85" s="466"/>
      <c r="W85" s="466"/>
      <c r="X85" s="466"/>
      <c r="Y85" s="466"/>
      <c r="Z85" s="466"/>
      <c r="AA85" s="1466" t="s">
        <v>1541</v>
      </c>
      <c r="AB85" s="1466"/>
      <c r="AC85" s="1466"/>
      <c r="AD85" s="1466"/>
      <c r="AE85" s="1466"/>
      <c r="AF85" s="1466"/>
      <c r="AG85" s="1466"/>
      <c r="AH85" s="1466"/>
      <c r="AI85" s="1466"/>
      <c r="AJ85" s="1466"/>
      <c r="AK85" s="1466"/>
      <c r="AL85" s="1466"/>
      <c r="AM85" s="1466"/>
      <c r="AN85" s="1466"/>
      <c r="AO85" s="1466"/>
      <c r="AP85" s="1466"/>
      <c r="AQ85" s="1466"/>
      <c r="AR85" s="1466"/>
      <c r="AS85" s="1466"/>
      <c r="AT85" s="1466"/>
      <c r="AU85" s="1466"/>
      <c r="AV85" s="1466"/>
      <c r="AW85" s="1466"/>
      <c r="AX85" s="1466"/>
      <c r="AY85" s="1466"/>
      <c r="AZ85" s="1466"/>
      <c r="BA85" s="1466"/>
      <c r="BB85" s="466"/>
      <c r="BC85" s="466"/>
      <c r="BD85" s="466"/>
      <c r="BE85" s="466"/>
      <c r="BF85" s="169"/>
    </row>
    <row r="86" spans="1:58" ht="15" customHeight="1">
      <c r="A86" s="466"/>
      <c r="B86" s="466"/>
      <c r="C86" s="1459" t="str">
        <f>'Hilfstabellen_Mat&amp;Bem'!$BB$44</f>
        <v>BSP 140</v>
      </c>
      <c r="D86" s="1459"/>
      <c r="E86" s="1459"/>
      <c r="F86" s="1459"/>
      <c r="G86" s="466"/>
      <c r="H86" s="466"/>
      <c r="I86" s="465">
        <f ca="1">(3*'Hilfstabellen_Mat&amp;Bem'!E$44*I$6*1000)/(4*b_ef_DE*
(IF(brand_DE="",'Hilfstabellen_Mat&amp;Bem'!$BB$52,
IF(brand_DE=30,'Hilfstabellen_Mat&amp;Bem'!$BB$74,
IF(brand_DE=60,'Hilfstabellen_Mat&amp;Bem'!$BB$84,
IF(brand_DE=90,'Hilfstabellen_Mat&amp;Bem'!$BB$91,"Fehler!!!"))))))/
(k_modfi*k_fi_DE/gamma_mfi*'Hilfstabellen_Mat&amp;Bem'!$BA$49)</f>
        <v>0.10975000000000001</v>
      </c>
      <c r="J86" s="465">
        <f ca="1">(3*'Hilfstabellen_Mat&amp;Bem'!F$44*J$6*1000)/(4*b_ef_DE*
(IF(brand_DE="",'Hilfstabellen_Mat&amp;Bem'!$BB$52,
IF(brand_DE=30,'Hilfstabellen_Mat&amp;Bem'!$BB$74,
IF(brand_DE=60,'Hilfstabellen_Mat&amp;Bem'!$BB$84,
IF(brand_DE=90,'Hilfstabellen_Mat&amp;Bem'!$BB$91,"Fehler!!!"))))))/
(k_modfi*k_fi_DE/gamma_mfi*'Hilfstabellen_Mat&amp;Bem'!$BA$49)</f>
        <v>0.11633500000000001</v>
      </c>
      <c r="K86" s="465">
        <f ca="1">(3*'Hilfstabellen_Mat&amp;Bem'!G$44*K$6*1000)/(4*b_ef_DE*
(IF(brand_DE="",'Hilfstabellen_Mat&amp;Bem'!$BB$52,
IF(brand_DE=30,'Hilfstabellen_Mat&amp;Bem'!$BB$74,
IF(brand_DE=60,'Hilfstabellen_Mat&amp;Bem'!$BB$84,
IF(brand_DE=90,'Hilfstabellen_Mat&amp;Bem'!$BB$91,"Fehler!!!"))))))/
(k_modfi*k_fi_DE/gamma_mfi*'Hilfstabellen_Mat&amp;Bem'!$BA$49)</f>
        <v>0.12511500000000003</v>
      </c>
      <c r="L86" s="465">
        <f ca="1">(3*'Hilfstabellen_Mat&amp;Bem'!H$44*L$6*1000)/(4*b_ef_DE*
(IF(brand_DE="",'Hilfstabellen_Mat&amp;Bem'!$BB$52,
IF(brand_DE=30,'Hilfstabellen_Mat&amp;Bem'!$BB$74,
IF(brand_DE=60,'Hilfstabellen_Mat&amp;Bem'!$BB$84,
IF(brand_DE=90,'Hilfstabellen_Mat&amp;Bem'!$BB$91,"Fehler!!!"))))))/
(k_modfi*k_fi_DE/gamma_mfi*'Hilfstabellen_Mat&amp;Bem'!$BA$49)</f>
        <v>0.13170000000000001</v>
      </c>
      <c r="M86" s="465">
        <f ca="1">(3*'Hilfstabellen_Mat&amp;Bem'!I$44*M$6*1000)/(4*b_ef_DE*
(IF(brand_DE="",'Hilfstabellen_Mat&amp;Bem'!$BB$52,
IF(brand_DE=30,'Hilfstabellen_Mat&amp;Bem'!$BB$74,
IF(brand_DE=60,'Hilfstabellen_Mat&amp;Bem'!$BB$84,
IF(brand_DE=90,'Hilfstabellen_Mat&amp;Bem'!$BB$91,"Fehler!!!"))))))/
(k_modfi*k_fi_DE/gamma_mfi*'Hilfstabellen_Mat&amp;Bem'!$BA$49)</f>
        <v>0.15714999999999998</v>
      </c>
      <c r="N86" s="465">
        <f ca="1">(3*'Hilfstabellen_Mat&amp;Bem'!J$44*N$6*1000)/(4*b_ef_DE*
(IF(brand_DE="",'Hilfstabellen_Mat&amp;Bem'!$BB$52,
IF(brand_DE=30,'Hilfstabellen_Mat&amp;Bem'!$BB$74,
IF(brand_DE=60,'Hilfstabellen_Mat&amp;Bem'!$BB$84,
IF(brand_DE=90,'Hilfstabellen_Mat&amp;Bem'!$BB$91,"Fehler!!!"))))))/
(k_modfi*k_fi_DE/gamma_mfi*'Hilfstabellen_Mat&amp;Bem'!$BA$49)</f>
        <v>0.18360000000000001</v>
      </c>
      <c r="O86" s="465">
        <f ca="1">(3*'Hilfstabellen_Mat&amp;Bem'!K$44*O$6*1000)/(4*b_ef_DE*
(IF(brand_DE="",'Hilfstabellen_Mat&amp;Bem'!$BB$52,
IF(brand_DE=30,'Hilfstabellen_Mat&amp;Bem'!$BB$74,
IF(brand_DE=60,'Hilfstabellen_Mat&amp;Bem'!$BB$84,
IF(brand_DE=90,'Hilfstabellen_Mat&amp;Bem'!$BB$91,"Fehler!!!"))))))/
(k_modfi*k_fi_DE/gamma_mfi*'Hilfstabellen_Mat&amp;Bem'!$BA$49)</f>
        <v>0.21104999999999996</v>
      </c>
      <c r="P86" s="465">
        <f ca="1">(3*'Hilfstabellen_Mat&amp;Bem'!L$44*P$6*1000)/(4*b_ef_DE*
(IF(brand_DE="",'Hilfstabellen_Mat&amp;Bem'!$BB$52,
IF(brand_DE=30,'Hilfstabellen_Mat&amp;Bem'!$BB$74,
IF(brand_DE=60,'Hilfstabellen_Mat&amp;Bem'!$BB$84,
IF(brand_DE=90,'Hilfstabellen_Mat&amp;Bem'!$BB$91,"Fehler!!!"))))))/
(k_modfi*k_fi_DE/gamma_mfi*'Hilfstabellen_Mat&amp;Bem'!$BA$49)</f>
        <v>0.24450000000000002</v>
      </c>
      <c r="Q86" s="465">
        <f ca="1">(3*'Hilfstabellen_Mat&amp;Bem'!M$44*Q$6*1000)/(4*b_ef_DE*
(IF(brand_DE="",'Hilfstabellen_Mat&amp;Bem'!$BB$52,
IF(brand_DE=30,'Hilfstabellen_Mat&amp;Bem'!$BB$74,
IF(brand_DE=60,'Hilfstabellen_Mat&amp;Bem'!$BB$84,
IF(brand_DE=90,'Hilfstabellen_Mat&amp;Bem'!$BB$91,"Fehler!!!"))))))/
(k_modfi*k_fi_DE/gamma_mfi*'Hilfstabellen_Mat&amp;Bem'!$BA$49)</f>
        <v>0.25917000000000001</v>
      </c>
      <c r="R86" s="465">
        <f ca="1">(3*'Hilfstabellen_Mat&amp;Bem'!N$44*R$6*1000)/(4*b_ef_DE*
(IF(brand_DE="",'Hilfstabellen_Mat&amp;Bem'!$BB$52,
IF(brand_DE=30,'Hilfstabellen_Mat&amp;Bem'!$BB$74,
IF(brand_DE=60,'Hilfstabellen_Mat&amp;Bem'!$BB$84,
IF(brand_DE=90,'Hilfstabellen_Mat&amp;Bem'!$BB$91,"Fehler!!!"))))))/
(k_modfi*k_fi_DE/gamma_mfi*'Hilfstabellen_Mat&amp;Bem'!$BA$49)</f>
        <v>0.28443000000000007</v>
      </c>
      <c r="S86" s="465">
        <f ca="1">(3*'Hilfstabellen_Mat&amp;Bem'!O$44*S$6*1000)/(4*b_ef_DE*
(IF(brand_DE="",'Hilfstabellen_Mat&amp;Bem'!$BB$52,
IF(brand_DE=30,'Hilfstabellen_Mat&amp;Bem'!$BB$74,
IF(brand_DE=60,'Hilfstabellen_Mat&amp;Bem'!$BB$84,
IF(brand_DE=90,'Hilfstabellen_Mat&amp;Bem'!$BB$91,"Fehler!!!"))))))/
(k_modfi*k_fi_DE/gamma_mfi*'Hilfstabellen_Mat&amp;Bem'!$BA$49)</f>
        <v>0.27539999999999998</v>
      </c>
      <c r="T86" s="465"/>
      <c r="U86" s="465"/>
      <c r="V86" s="466"/>
      <c r="W86" s="466"/>
      <c r="X86" s="466"/>
      <c r="Y86" s="466"/>
      <c r="Z86" s="466"/>
      <c r="AA86" s="1466"/>
      <c r="AB86" s="1466"/>
      <c r="AC86" s="1466"/>
      <c r="AD86" s="1466"/>
      <c r="AE86" s="1466"/>
      <c r="AF86" s="1466"/>
      <c r="AG86" s="1466"/>
      <c r="AH86" s="1466"/>
      <c r="AI86" s="1466"/>
      <c r="AJ86" s="1466"/>
      <c r="AK86" s="1466"/>
      <c r="AL86" s="1466"/>
      <c r="AM86" s="1466"/>
      <c r="AN86" s="1466"/>
      <c r="AO86" s="1466"/>
      <c r="AP86" s="1466"/>
      <c r="AQ86" s="1466"/>
      <c r="AR86" s="1466"/>
      <c r="AS86" s="1466"/>
      <c r="AT86" s="1466"/>
      <c r="AU86" s="1466"/>
      <c r="AV86" s="1466"/>
      <c r="AW86" s="1466"/>
      <c r="AX86" s="1466"/>
      <c r="AY86" s="1466"/>
      <c r="AZ86" s="1466"/>
      <c r="BA86" s="1466"/>
      <c r="BB86" s="466"/>
      <c r="BC86" s="466"/>
      <c r="BD86" s="466"/>
      <c r="BE86" s="466"/>
      <c r="BF86" s="169"/>
    </row>
    <row r="87" spans="1:58" ht="15" customHeight="1">
      <c r="A87" s="466"/>
      <c r="B87" s="466"/>
      <c r="C87" s="1459" t="str">
        <f>'Hilfstabellen_Mat&amp;Bem'!$BC$44</f>
        <v>BSP 160</v>
      </c>
      <c r="D87" s="1459"/>
      <c r="E87" s="1459"/>
      <c r="F87" s="1459"/>
      <c r="G87" s="466"/>
      <c r="H87" s="466"/>
      <c r="I87" s="465">
        <f ca="1">(3*'Hilfstabellen_Mat&amp;Bem'!E$44*I$6*1000)/(4*b_ef_DE*
(IF(brand_DE="",'Hilfstabellen_Mat&amp;Bem'!$BC$52,
IF(brand_DE=30,'Hilfstabellen_Mat&amp;Bem'!$BC$74,
IF(brand_DE=60,'Hilfstabellen_Mat&amp;Bem'!$BC$84,
IF(brand_DE=90,'Hilfstabellen_Mat&amp;Bem'!$BC$91,"Fehler!!!"))))))/
(k_modfi*k_fi_DE/gamma_mfi*'Hilfstabellen_Mat&amp;Bem'!$BA$49)</f>
        <v>6.585000000000002E-2</v>
      </c>
      <c r="J87" s="465">
        <f ca="1">(3*'Hilfstabellen_Mat&amp;Bem'!F$44*J$6*1000)/(4*b_ef_DE*
(IF(brand_DE="",'Hilfstabellen_Mat&amp;Bem'!$BC$52,
IF(brand_DE=30,'Hilfstabellen_Mat&amp;Bem'!$BC$74,
IF(brand_DE=60,'Hilfstabellen_Mat&amp;Bem'!$BC$84,
IF(brand_DE=90,'Hilfstabellen_Mat&amp;Bem'!$BC$91,"Fehler!!!"))))))/
(k_modfi*k_fi_DE/gamma_mfi*'Hilfstabellen_Mat&amp;Bem'!$BA$49)</f>
        <v>6.9801000000000002E-2</v>
      </c>
      <c r="K87" s="465">
        <f ca="1">(3*'Hilfstabellen_Mat&amp;Bem'!G$44*K$6*1000)/(4*b_ef_DE*
(IF(brand_DE="",'Hilfstabellen_Mat&amp;Bem'!$BC$52,
IF(brand_DE=30,'Hilfstabellen_Mat&amp;Bem'!$BC$74,
IF(brand_DE=60,'Hilfstabellen_Mat&amp;Bem'!$BC$84,
IF(brand_DE=90,'Hilfstabellen_Mat&amp;Bem'!$BC$91,"Fehler!!!"))))))/
(k_modfi*k_fi_DE/gamma_mfi*'Hilfstabellen_Mat&amp;Bem'!$BA$49)</f>
        <v>7.5069000000000025E-2</v>
      </c>
      <c r="L87" s="465">
        <f ca="1">(3*'Hilfstabellen_Mat&amp;Bem'!H$44*L$6*1000)/(4*b_ef_DE*
(IF(brand_DE="",'Hilfstabellen_Mat&amp;Bem'!$BC$52,
IF(brand_DE=30,'Hilfstabellen_Mat&amp;Bem'!$BC$74,
IF(brand_DE=60,'Hilfstabellen_Mat&amp;Bem'!$BC$84,
IF(brand_DE=90,'Hilfstabellen_Mat&amp;Bem'!$BC$91,"Fehler!!!"))))))/
(k_modfi*k_fi_DE/gamma_mfi*'Hilfstabellen_Mat&amp;Bem'!$BA$49)</f>
        <v>7.9020000000000007E-2</v>
      </c>
      <c r="M87" s="465">
        <f ca="1">(3*'Hilfstabellen_Mat&amp;Bem'!I$44*M$6*1000)/(4*b_ef_DE*
(IF(brand_DE="",'Hilfstabellen_Mat&amp;Bem'!$BC$52,
IF(brand_DE=30,'Hilfstabellen_Mat&amp;Bem'!$BC$74,
IF(brand_DE=60,'Hilfstabellen_Mat&amp;Bem'!$BC$84,
IF(brand_DE=90,'Hilfstabellen_Mat&amp;Bem'!$BC$91,"Fehler!!!"))))))/
(k_modfi*k_fi_DE/gamma_mfi*'Hilfstabellen_Mat&amp;Bem'!$BA$49)</f>
        <v>9.4289999999999999E-2</v>
      </c>
      <c r="N87" s="465">
        <f ca="1">(3*'Hilfstabellen_Mat&amp;Bem'!J$44*N$6*1000)/(4*b_ef_DE*
(IF(brand_DE="",'Hilfstabellen_Mat&amp;Bem'!$BC$52,
IF(brand_DE=30,'Hilfstabellen_Mat&amp;Bem'!$BC$74,
IF(brand_DE=60,'Hilfstabellen_Mat&amp;Bem'!$BC$84,
IF(brand_DE=90,'Hilfstabellen_Mat&amp;Bem'!$BC$91,"Fehler!!!"))))))/
(k_modfi*k_fi_DE/gamma_mfi*'Hilfstabellen_Mat&amp;Bem'!$BA$49)</f>
        <v>0.11015999999999999</v>
      </c>
      <c r="O87" s="465">
        <f ca="1">(3*'Hilfstabellen_Mat&amp;Bem'!K$44*O$6*1000)/(4*b_ef_DE*
(IF(brand_DE="",'Hilfstabellen_Mat&amp;Bem'!$BC$52,
IF(brand_DE=30,'Hilfstabellen_Mat&amp;Bem'!$BC$74,
IF(brand_DE=60,'Hilfstabellen_Mat&amp;Bem'!$BC$84,
IF(brand_DE=90,'Hilfstabellen_Mat&amp;Bem'!$BC$91,"Fehler!!!"))))))/
(k_modfi*k_fi_DE/gamma_mfi*'Hilfstabellen_Mat&amp;Bem'!$BA$49)</f>
        <v>0.12662999999999996</v>
      </c>
      <c r="P87" s="465">
        <f ca="1">(3*'Hilfstabellen_Mat&amp;Bem'!L$44*P$6*1000)/(4*b_ef_DE*
(IF(brand_DE="",'Hilfstabellen_Mat&amp;Bem'!$BC$52,
IF(brand_DE=30,'Hilfstabellen_Mat&amp;Bem'!$BC$74,
IF(brand_DE=60,'Hilfstabellen_Mat&amp;Bem'!$BC$84,
IF(brand_DE=90,'Hilfstabellen_Mat&amp;Bem'!$BC$91,"Fehler!!!"))))))/
(k_modfi*k_fi_DE/gamma_mfi*'Hilfstabellen_Mat&amp;Bem'!$BA$49)</f>
        <v>0.14670000000000002</v>
      </c>
      <c r="Q87" s="465">
        <f ca="1">(3*'Hilfstabellen_Mat&amp;Bem'!M$44*Q$6*1000)/(4*b_ef_DE*
(IF(brand_DE="",'Hilfstabellen_Mat&amp;Bem'!$BC$52,
IF(brand_DE=30,'Hilfstabellen_Mat&amp;Bem'!$BC$74,
IF(brand_DE=60,'Hilfstabellen_Mat&amp;Bem'!$BC$84,
IF(brand_DE=90,'Hilfstabellen_Mat&amp;Bem'!$BC$91,"Fehler!!!"))))))/
(k_modfi*k_fi_DE/gamma_mfi*'Hilfstabellen_Mat&amp;Bem'!$BA$49)</f>
        <v>0.155502</v>
      </c>
      <c r="R87" s="465">
        <f ca="1">(3*'Hilfstabellen_Mat&amp;Bem'!N$44*R$6*1000)/(4*b_ef_DE*
(IF(brand_DE="",'Hilfstabellen_Mat&amp;Bem'!$BC$52,
IF(brand_DE=30,'Hilfstabellen_Mat&amp;Bem'!$BC$74,
IF(brand_DE=60,'Hilfstabellen_Mat&amp;Bem'!$BC$84,
IF(brand_DE=90,'Hilfstabellen_Mat&amp;Bem'!$BC$91,"Fehler!!!"))))))/
(k_modfi*k_fi_DE/gamma_mfi*'Hilfstabellen_Mat&amp;Bem'!$BA$49)</f>
        <v>0.17065800000000003</v>
      </c>
      <c r="S87" s="465">
        <f ca="1">(3*'Hilfstabellen_Mat&amp;Bem'!O$44*S$6*1000)/(4*b_ef_DE*
(IF(brand_DE="",'Hilfstabellen_Mat&amp;Bem'!$BC$52,
IF(brand_DE=30,'Hilfstabellen_Mat&amp;Bem'!$BC$74,
IF(brand_DE=60,'Hilfstabellen_Mat&amp;Bem'!$BC$84,
IF(brand_DE=90,'Hilfstabellen_Mat&amp;Bem'!$BC$91,"Fehler!!!"))))))/
(k_modfi*k_fi_DE/gamma_mfi*'Hilfstabellen_Mat&amp;Bem'!$BA$49)</f>
        <v>0.16524</v>
      </c>
      <c r="T87" s="465"/>
      <c r="U87" s="465"/>
      <c r="V87" s="466"/>
      <c r="W87" s="466"/>
      <c r="X87" s="466"/>
      <c r="Y87" s="466"/>
      <c r="Z87" s="466"/>
      <c r="AA87" s="1466"/>
      <c r="AB87" s="1466"/>
      <c r="AC87" s="1466"/>
      <c r="AD87" s="1466"/>
      <c r="AE87" s="1466"/>
      <c r="AF87" s="1466"/>
      <c r="AG87" s="1466"/>
      <c r="AH87" s="1466"/>
      <c r="AI87" s="1466"/>
      <c r="AJ87" s="1466"/>
      <c r="AK87" s="1466"/>
      <c r="AL87" s="1466"/>
      <c r="AM87" s="1466"/>
      <c r="AN87" s="1466"/>
      <c r="AO87" s="1466"/>
      <c r="AP87" s="1466"/>
      <c r="AQ87" s="1466"/>
      <c r="AR87" s="1466"/>
      <c r="AS87" s="1466"/>
      <c r="AT87" s="1466"/>
      <c r="AU87" s="1466"/>
      <c r="AV87" s="1466"/>
      <c r="AW87" s="1466"/>
      <c r="AX87" s="1466"/>
      <c r="AY87" s="1466"/>
      <c r="AZ87" s="1466"/>
      <c r="BA87" s="1466"/>
      <c r="BB87" s="466"/>
      <c r="BC87" s="466"/>
      <c r="BD87" s="466"/>
      <c r="BE87" s="466"/>
      <c r="BF87" s="169"/>
    </row>
    <row r="88" spans="1:58" ht="15" customHeight="1">
      <c r="A88" s="466"/>
      <c r="B88" s="466"/>
      <c r="C88" s="1459" t="str">
        <f>'Hilfstabellen_Mat&amp;Bem'!$BD$44</f>
        <v>BSP 180</v>
      </c>
      <c r="D88" s="1459"/>
      <c r="E88" s="1459"/>
      <c r="F88" s="1459"/>
      <c r="G88" s="466"/>
      <c r="H88" s="466"/>
      <c r="I88" s="465">
        <f ca="1">(3*'Hilfstabellen_Mat&amp;Bem'!E$44*I$6*1000)/(4*b_ef_DE*
(IF(brand_DE="",'Hilfstabellen_Mat&amp;Bem'!$BD$52,
IF(brand_DE=30,'Hilfstabellen_Mat&amp;Bem'!$BD$74,
IF(brand_DE=60,'Hilfstabellen_Mat&amp;Bem'!$BD$84,
IF(brand_DE=90,'Hilfstabellen_Mat&amp;Bem'!$BD$91,"Fehler!!!"))))))/
(k_modfi*k_fi_DE/gamma_mfi*'Hilfstabellen_Mat&amp;Bem'!$BA$49)</f>
        <v>5.9863636363636376E-2</v>
      </c>
      <c r="J88" s="465">
        <f ca="1">(3*'Hilfstabellen_Mat&amp;Bem'!F$44*J$6*1000)/(4*b_ef_DE*
(IF(brand_DE="",'Hilfstabellen_Mat&amp;Bem'!$BD$52,
IF(brand_DE=30,'Hilfstabellen_Mat&amp;Bem'!$BD$74,
IF(brand_DE=60,'Hilfstabellen_Mat&amp;Bem'!$BD$84,
IF(brand_DE=90,'Hilfstabellen_Mat&amp;Bem'!$BD$91,"Fehler!!!"))))))/
(k_modfi*k_fi_DE/gamma_mfi*'Hilfstabellen_Mat&amp;Bem'!$BA$49)</f>
        <v>6.3455454545454551E-2</v>
      </c>
      <c r="K88" s="465">
        <f ca="1">(3*'Hilfstabellen_Mat&amp;Bem'!G$44*K$6*1000)/(4*b_ef_DE*
(IF(brand_DE="",'Hilfstabellen_Mat&amp;Bem'!$BD$52,
IF(brand_DE=30,'Hilfstabellen_Mat&amp;Bem'!$BD$74,
IF(brand_DE=60,'Hilfstabellen_Mat&amp;Bem'!$BD$84,
IF(brand_DE=90,'Hilfstabellen_Mat&amp;Bem'!$BD$91,"Fehler!!!"))))))/
(k_modfi*k_fi_DE/gamma_mfi*'Hilfstabellen_Mat&amp;Bem'!$BA$49)</f>
        <v>6.8244545454545474E-2</v>
      </c>
      <c r="L88" s="465">
        <f ca="1">(3*'Hilfstabellen_Mat&amp;Bem'!H$44*L$6*1000)/(4*b_ef_DE*
(IF(brand_DE="",'Hilfstabellen_Mat&amp;Bem'!$BD$52,
IF(brand_DE=30,'Hilfstabellen_Mat&amp;Bem'!$BD$74,
IF(brand_DE=60,'Hilfstabellen_Mat&amp;Bem'!$BD$84,
IF(brand_DE=90,'Hilfstabellen_Mat&amp;Bem'!$BD$91,"Fehler!!!"))))))/
(k_modfi*k_fi_DE/gamma_mfi*'Hilfstabellen_Mat&amp;Bem'!$BA$49)</f>
        <v>7.1836363636363657E-2</v>
      </c>
      <c r="M88" s="465">
        <f ca="1">(3*'Hilfstabellen_Mat&amp;Bem'!I$44*M$6*1000)/(4*b_ef_DE*
(IF(brand_DE="",'Hilfstabellen_Mat&amp;Bem'!$BD$52,
IF(brand_DE=30,'Hilfstabellen_Mat&amp;Bem'!$BD$74,
IF(brand_DE=60,'Hilfstabellen_Mat&amp;Bem'!$BD$84,
IF(brand_DE=90,'Hilfstabellen_Mat&amp;Bem'!$BD$91,"Fehler!!!"))))))/
(k_modfi*k_fi_DE/gamma_mfi*'Hilfstabellen_Mat&amp;Bem'!$BA$49)</f>
        <v>8.5718181818181818E-2</v>
      </c>
      <c r="N88" s="465">
        <f ca="1">(3*'Hilfstabellen_Mat&amp;Bem'!J$44*N$6*1000)/(4*b_ef_DE*
(IF(brand_DE="",'Hilfstabellen_Mat&amp;Bem'!$BD$52,
IF(brand_DE=30,'Hilfstabellen_Mat&amp;Bem'!$BD$74,
IF(brand_DE=60,'Hilfstabellen_Mat&amp;Bem'!$BD$84,
IF(brand_DE=90,'Hilfstabellen_Mat&amp;Bem'!$BD$91,"Fehler!!!"))))))/
(k_modfi*k_fi_DE/gamma_mfi*'Hilfstabellen_Mat&amp;Bem'!$BA$49)</f>
        <v>0.10014545454545454</v>
      </c>
      <c r="O88" s="465">
        <f ca="1">(3*'Hilfstabellen_Mat&amp;Bem'!K$44*O$6*1000)/(4*b_ef_DE*
(IF(brand_DE="",'Hilfstabellen_Mat&amp;Bem'!$BD$52,
IF(brand_DE=30,'Hilfstabellen_Mat&amp;Bem'!$BD$74,
IF(brand_DE=60,'Hilfstabellen_Mat&amp;Bem'!$BD$84,
IF(brand_DE=90,'Hilfstabellen_Mat&amp;Bem'!$BD$91,"Fehler!!!"))))))/
(k_modfi*k_fi_DE/gamma_mfi*'Hilfstabellen_Mat&amp;Bem'!$BA$49)</f>
        <v>0.11511818181818181</v>
      </c>
      <c r="P88" s="465">
        <f ca="1">(3*'Hilfstabellen_Mat&amp;Bem'!L$44*P$6*1000)/(4*b_ef_DE*
(IF(brand_DE="",'Hilfstabellen_Mat&amp;Bem'!$BD$52,
IF(brand_DE=30,'Hilfstabellen_Mat&amp;Bem'!$BD$74,
IF(brand_DE=60,'Hilfstabellen_Mat&amp;Bem'!$BD$84,
IF(brand_DE=90,'Hilfstabellen_Mat&amp;Bem'!$BD$91,"Fehler!!!"))))))/
(k_modfi*k_fi_DE/gamma_mfi*'Hilfstabellen_Mat&amp;Bem'!$BA$49)</f>
        <v>0.13336363636363641</v>
      </c>
      <c r="Q88" s="465">
        <f ca="1">(3*'Hilfstabellen_Mat&amp;Bem'!M$44*Q$6*1000)/(4*b_ef_DE*
(IF(brand_DE="",'Hilfstabellen_Mat&amp;Bem'!$BD$52,
IF(brand_DE=30,'Hilfstabellen_Mat&amp;Bem'!$BD$74,
IF(brand_DE=60,'Hilfstabellen_Mat&amp;Bem'!$BD$84,
IF(brand_DE=90,'Hilfstabellen_Mat&amp;Bem'!$BD$91,"Fehler!!!"))))))/
(k_modfi*k_fi_DE/gamma_mfi*'Hilfstabellen_Mat&amp;Bem'!$BA$49)</f>
        <v>0.14136545454545454</v>
      </c>
      <c r="R88" s="465">
        <f ca="1">(3*'Hilfstabellen_Mat&amp;Bem'!N$44*R$6*1000)/(4*b_ef_DE*
(IF(brand_DE="",'Hilfstabellen_Mat&amp;Bem'!$BD$52,
IF(brand_DE=30,'Hilfstabellen_Mat&amp;Bem'!$BD$74,
IF(brand_DE=60,'Hilfstabellen_Mat&amp;Bem'!$BD$84,
IF(brand_DE=90,'Hilfstabellen_Mat&amp;Bem'!$BD$91,"Fehler!!!"))))))/
(k_modfi*k_fi_DE/gamma_mfi*'Hilfstabellen_Mat&amp;Bem'!$BA$49)</f>
        <v>0.1551436363636364</v>
      </c>
      <c r="S88" s="465">
        <f ca="1">(3*'Hilfstabellen_Mat&amp;Bem'!O$44*S$6*1000)/(4*b_ef_DE*
(IF(brand_DE="",'Hilfstabellen_Mat&amp;Bem'!$BD$52,
IF(brand_DE=30,'Hilfstabellen_Mat&amp;Bem'!$BD$74,
IF(brand_DE=60,'Hilfstabellen_Mat&amp;Bem'!$BD$84,
IF(brand_DE=90,'Hilfstabellen_Mat&amp;Bem'!$BD$91,"Fehler!!!"))))))/
(k_modfi*k_fi_DE/gamma_mfi*'Hilfstabellen_Mat&amp;Bem'!$BA$49)</f>
        <v>0.15021818181818183</v>
      </c>
      <c r="T88" s="465"/>
      <c r="U88" s="465"/>
      <c r="V88" s="466"/>
      <c r="W88" s="466"/>
      <c r="X88" s="466"/>
      <c r="Y88" s="466"/>
      <c r="Z88" s="466"/>
      <c r="AA88" s="1466"/>
      <c r="AB88" s="1466"/>
      <c r="AC88" s="1466"/>
      <c r="AD88" s="1466"/>
      <c r="AE88" s="1466"/>
      <c r="AF88" s="1466"/>
      <c r="AG88" s="1466"/>
      <c r="AH88" s="1466"/>
      <c r="AI88" s="1466"/>
      <c r="AJ88" s="1466"/>
      <c r="AK88" s="1466"/>
      <c r="AL88" s="1466"/>
      <c r="AM88" s="1466"/>
      <c r="AN88" s="1466"/>
      <c r="AO88" s="1466"/>
      <c r="AP88" s="1466"/>
      <c r="AQ88" s="1466"/>
      <c r="AR88" s="1466"/>
      <c r="AS88" s="1466"/>
      <c r="AT88" s="1466"/>
      <c r="AU88" s="1466"/>
      <c r="AV88" s="1466"/>
      <c r="AW88" s="1466"/>
      <c r="AX88" s="1466"/>
      <c r="AY88" s="1466"/>
      <c r="AZ88" s="1466"/>
      <c r="BA88" s="1466"/>
      <c r="BB88" s="466"/>
      <c r="BC88" s="466"/>
      <c r="BD88" s="466"/>
      <c r="BE88" s="466"/>
      <c r="BF88" s="169"/>
    </row>
    <row r="89" spans="1:58" ht="15" customHeight="1">
      <c r="A89" s="466"/>
      <c r="B89" s="466"/>
      <c r="C89" s="1459" t="str">
        <f>'Hilfstabellen_Mat&amp;Bem'!$BE$44</f>
        <v>BSP 200</v>
      </c>
      <c r="D89" s="1459"/>
      <c r="E89" s="1459"/>
      <c r="F89" s="1459"/>
      <c r="G89" s="466"/>
      <c r="H89" s="466"/>
      <c r="I89" s="465">
        <f ca="1">(3*'Hilfstabellen_Mat&amp;Bem'!E$44*I$6*1000)/(4*b_ef_DE*
(IF(brand_DE="",'Hilfstabellen_Mat&amp;Bem'!$BE$52,
IF(brand_DE=30,'Hilfstabellen_Mat&amp;Bem'!$BE$74,
IF(brand_DE=60,'Hilfstabellen_Mat&amp;Bem'!$BE$84,
IF(brand_DE=90,'Hilfstabellen_Mat&amp;Bem'!$BE$91,"Fehler!!!"))))))/
(k_modfi*k_fi_DE/gamma_mfi*'Hilfstabellen_Mat&amp;Bem'!$BA$49)</f>
        <v>5.4875000000000007E-2</v>
      </c>
      <c r="J89" s="465">
        <f ca="1">(3*'Hilfstabellen_Mat&amp;Bem'!F$44*J$6*1000)/(4*b_ef_DE*
(IF(brand_DE="",'Hilfstabellen_Mat&amp;Bem'!$BE$52,
IF(brand_DE=30,'Hilfstabellen_Mat&amp;Bem'!$BE$74,
IF(brand_DE=60,'Hilfstabellen_Mat&amp;Bem'!$BE$84,
IF(brand_DE=90,'Hilfstabellen_Mat&amp;Bem'!$BE$91,"Fehler!!!"))))))/
(k_modfi*k_fi_DE/gamma_mfi*'Hilfstabellen_Mat&amp;Bem'!$BA$49)</f>
        <v>5.8167500000000004E-2</v>
      </c>
      <c r="K89" s="465">
        <f ca="1">(3*'Hilfstabellen_Mat&amp;Bem'!G$44*K$6*1000)/(4*b_ef_DE*
(IF(brand_DE="",'Hilfstabellen_Mat&amp;Bem'!$BE$52,
IF(brand_DE=30,'Hilfstabellen_Mat&amp;Bem'!$BE$74,
IF(brand_DE=60,'Hilfstabellen_Mat&amp;Bem'!$BE$84,
IF(brand_DE=90,'Hilfstabellen_Mat&amp;Bem'!$BE$91,"Fehler!!!"))))))/
(k_modfi*k_fi_DE/gamma_mfi*'Hilfstabellen_Mat&amp;Bem'!$BA$49)</f>
        <v>6.2557500000000016E-2</v>
      </c>
      <c r="L89" s="465">
        <f ca="1">(3*'Hilfstabellen_Mat&amp;Bem'!H$44*L$6*1000)/(4*b_ef_DE*
(IF(brand_DE="",'Hilfstabellen_Mat&amp;Bem'!$BE$52,
IF(brand_DE=30,'Hilfstabellen_Mat&amp;Bem'!$BE$74,
IF(brand_DE=60,'Hilfstabellen_Mat&amp;Bem'!$BE$84,
IF(brand_DE=90,'Hilfstabellen_Mat&amp;Bem'!$BE$91,"Fehler!!!"))))))/
(k_modfi*k_fi_DE/gamma_mfi*'Hilfstabellen_Mat&amp;Bem'!$BA$49)</f>
        <v>6.5850000000000006E-2</v>
      </c>
      <c r="M89" s="465">
        <f ca="1">(3*'Hilfstabellen_Mat&amp;Bem'!I$44*M$6*1000)/(4*b_ef_DE*
(IF(brand_DE="",'Hilfstabellen_Mat&amp;Bem'!$BE$52,
IF(brand_DE=30,'Hilfstabellen_Mat&amp;Bem'!$BE$74,
IF(brand_DE=60,'Hilfstabellen_Mat&amp;Bem'!$BE$84,
IF(brand_DE=90,'Hilfstabellen_Mat&amp;Bem'!$BE$91,"Fehler!!!"))))))/
(k_modfi*k_fi_DE/gamma_mfi*'Hilfstabellen_Mat&amp;Bem'!$BA$49)</f>
        <v>7.8574999999999992E-2</v>
      </c>
      <c r="N89" s="465">
        <f ca="1">(3*'Hilfstabellen_Mat&amp;Bem'!J$44*N$6*1000)/(4*b_ef_DE*
(IF(brand_DE="",'Hilfstabellen_Mat&amp;Bem'!$BE$52,
IF(brand_DE=30,'Hilfstabellen_Mat&amp;Bem'!$BE$74,
IF(brand_DE=60,'Hilfstabellen_Mat&amp;Bem'!$BE$84,
IF(brand_DE=90,'Hilfstabellen_Mat&amp;Bem'!$BE$91,"Fehler!!!"))))))/
(k_modfi*k_fi_DE/gamma_mfi*'Hilfstabellen_Mat&amp;Bem'!$BA$49)</f>
        <v>9.1800000000000007E-2</v>
      </c>
      <c r="O89" s="465">
        <f ca="1">(3*'Hilfstabellen_Mat&amp;Bem'!K$44*O$6*1000)/(4*b_ef_DE*
(IF(brand_DE="",'Hilfstabellen_Mat&amp;Bem'!$BE$52,
IF(brand_DE=30,'Hilfstabellen_Mat&amp;Bem'!$BE$74,
IF(brand_DE=60,'Hilfstabellen_Mat&amp;Bem'!$BE$84,
IF(brand_DE=90,'Hilfstabellen_Mat&amp;Bem'!$BE$91,"Fehler!!!"))))))/
(k_modfi*k_fi_DE/gamma_mfi*'Hilfstabellen_Mat&amp;Bem'!$BA$49)</f>
        <v>0.10552499999999998</v>
      </c>
      <c r="P89" s="465">
        <f ca="1">(3*'Hilfstabellen_Mat&amp;Bem'!L$44*P$6*1000)/(4*b_ef_DE*
(IF(brand_DE="",'Hilfstabellen_Mat&amp;Bem'!$BE$52,
IF(brand_DE=30,'Hilfstabellen_Mat&amp;Bem'!$BE$74,
IF(brand_DE=60,'Hilfstabellen_Mat&amp;Bem'!$BE$84,
IF(brand_DE=90,'Hilfstabellen_Mat&amp;Bem'!$BE$91,"Fehler!!!"))))))/
(k_modfi*k_fi_DE/gamma_mfi*'Hilfstabellen_Mat&amp;Bem'!$BA$49)</f>
        <v>0.12225000000000001</v>
      </c>
      <c r="Q89" s="465">
        <f ca="1">(3*'Hilfstabellen_Mat&amp;Bem'!M$44*Q$6*1000)/(4*b_ef_DE*
(IF(brand_DE="",'Hilfstabellen_Mat&amp;Bem'!$BE$52,
IF(brand_DE=30,'Hilfstabellen_Mat&amp;Bem'!$BE$74,
IF(brand_DE=60,'Hilfstabellen_Mat&amp;Bem'!$BE$84,
IF(brand_DE=90,'Hilfstabellen_Mat&amp;Bem'!$BE$91,"Fehler!!!"))))))/
(k_modfi*k_fi_DE/gamma_mfi*'Hilfstabellen_Mat&amp;Bem'!$BA$49)</f>
        <v>0.12958500000000001</v>
      </c>
      <c r="R89" s="465">
        <f ca="1">(3*'Hilfstabellen_Mat&amp;Bem'!N$44*R$6*1000)/(4*b_ef_DE*
(IF(brand_DE="",'Hilfstabellen_Mat&amp;Bem'!$BE$52,
IF(brand_DE=30,'Hilfstabellen_Mat&amp;Bem'!$BE$74,
IF(brand_DE=60,'Hilfstabellen_Mat&amp;Bem'!$BE$84,
IF(brand_DE=90,'Hilfstabellen_Mat&amp;Bem'!$BE$91,"Fehler!!!"))))))/
(k_modfi*k_fi_DE/gamma_mfi*'Hilfstabellen_Mat&amp;Bem'!$BA$49)</f>
        <v>0.14221500000000004</v>
      </c>
      <c r="S89" s="465">
        <f ca="1">(3*'Hilfstabellen_Mat&amp;Bem'!O$44*S$6*1000)/(4*b_ef_DE*
(IF(brand_DE="",'Hilfstabellen_Mat&amp;Bem'!$BE$52,
IF(brand_DE=30,'Hilfstabellen_Mat&amp;Bem'!$BE$74,
IF(brand_DE=60,'Hilfstabellen_Mat&amp;Bem'!$BE$84,
IF(brand_DE=90,'Hilfstabellen_Mat&amp;Bem'!$BE$91,"Fehler!!!"))))))/
(k_modfi*k_fi_DE/gamma_mfi*'Hilfstabellen_Mat&amp;Bem'!$BA$49)</f>
        <v>0.13769999999999999</v>
      </c>
      <c r="T89" s="465"/>
      <c r="U89" s="465"/>
      <c r="V89" s="466"/>
      <c r="W89" s="466"/>
      <c r="X89" s="466"/>
      <c r="Y89" s="466"/>
      <c r="Z89" s="466"/>
      <c r="AA89" s="1466"/>
      <c r="AB89" s="1466"/>
      <c r="AC89" s="1466"/>
      <c r="AD89" s="1466"/>
      <c r="AE89" s="1466"/>
      <c r="AF89" s="1466"/>
      <c r="AG89" s="1466"/>
      <c r="AH89" s="1466"/>
      <c r="AI89" s="1466"/>
      <c r="AJ89" s="1466"/>
      <c r="AK89" s="1466"/>
      <c r="AL89" s="1466"/>
      <c r="AM89" s="1466"/>
      <c r="AN89" s="1466"/>
      <c r="AO89" s="1466"/>
      <c r="AP89" s="1466"/>
      <c r="AQ89" s="1466"/>
      <c r="AR89" s="1466"/>
      <c r="AS89" s="1466"/>
      <c r="AT89" s="1466"/>
      <c r="AU89" s="1466"/>
      <c r="AV89" s="1466"/>
      <c r="AW89" s="1466"/>
      <c r="AX89" s="1466"/>
      <c r="AY89" s="1466"/>
      <c r="AZ89" s="1466"/>
      <c r="BA89" s="1466"/>
      <c r="BB89" s="466"/>
      <c r="BC89" s="466"/>
      <c r="BD89" s="466"/>
      <c r="BE89" s="466"/>
      <c r="BF89" s="169"/>
    </row>
    <row r="90" spans="1:58" ht="15" customHeight="1">
      <c r="A90" s="466"/>
      <c r="B90" s="466"/>
      <c r="C90" s="1459" t="str">
        <f>'Hilfstabellen_Mat&amp;Bem'!$BF$44</f>
        <v>BSP 220</v>
      </c>
      <c r="D90" s="1459"/>
      <c r="E90" s="1459"/>
      <c r="F90" s="1459"/>
      <c r="G90" s="466"/>
      <c r="H90" s="466"/>
      <c r="I90" s="465">
        <f ca="1">(3*'Hilfstabellen_Mat&amp;Bem'!E$44*I$6*1000)/(4*b_ef_DE*
(IF(brand_DE="",'Hilfstabellen_Mat&amp;Bem'!$BF$52,
IF(brand_DE=30,'Hilfstabellen_Mat&amp;Bem'!$BF$74,
IF(brand_DE=60,'Hilfstabellen_Mat&amp;Bem'!$BF$84,
IF(brand_DE=90,'Hilfstabellen_Mat&amp;Bem'!$BF$91,"Fehler!!!"))))))/
(k_modfi*k_fi_DE/gamma_mfi*'Hilfstabellen_Mat&amp;Bem'!$BA$49)</f>
        <v>5.1445312500000007E-2</v>
      </c>
      <c r="J90" s="465">
        <f ca="1">(3*'Hilfstabellen_Mat&amp;Bem'!F$44*J$6*1000)/(4*b_ef_DE*
(IF(brand_DE="",'Hilfstabellen_Mat&amp;Bem'!$BF$52,
IF(brand_DE=30,'Hilfstabellen_Mat&amp;Bem'!$BF$74,
IF(brand_DE=60,'Hilfstabellen_Mat&amp;Bem'!$BF$84,
IF(brand_DE=90,'Hilfstabellen_Mat&amp;Bem'!$BF$91,"Fehler!!!"))))))/
(k_modfi*k_fi_DE/gamma_mfi*'Hilfstabellen_Mat&amp;Bem'!$BA$49)</f>
        <v>5.4532031250000002E-2</v>
      </c>
      <c r="K90" s="465">
        <f ca="1">(3*'Hilfstabellen_Mat&amp;Bem'!G$44*K$6*1000)/(4*b_ef_DE*
(IF(brand_DE="",'Hilfstabellen_Mat&amp;Bem'!$BF$52,
IF(brand_DE=30,'Hilfstabellen_Mat&amp;Bem'!$BF$74,
IF(brand_DE=60,'Hilfstabellen_Mat&amp;Bem'!$BF$84,
IF(brand_DE=90,'Hilfstabellen_Mat&amp;Bem'!$BF$91,"Fehler!!!"))))))/
(k_modfi*k_fi_DE/gamma_mfi*'Hilfstabellen_Mat&amp;Bem'!$BA$49)</f>
        <v>5.8647656250000013E-2</v>
      </c>
      <c r="L90" s="465">
        <f ca="1">(3*'Hilfstabellen_Mat&amp;Bem'!H$44*L$6*1000)/(4*b_ef_DE*
(IF(brand_DE="",'Hilfstabellen_Mat&amp;Bem'!$BF$52,
IF(brand_DE=30,'Hilfstabellen_Mat&amp;Bem'!$BF$74,
IF(brand_DE=60,'Hilfstabellen_Mat&amp;Bem'!$BF$84,
IF(brand_DE=90,'Hilfstabellen_Mat&amp;Bem'!$BF$91,"Fehler!!!"))))))/
(k_modfi*k_fi_DE/gamma_mfi*'Hilfstabellen_Mat&amp;Bem'!$BA$49)</f>
        <v>6.1734375000000008E-2</v>
      </c>
      <c r="M90" s="465">
        <f ca="1">(3*'Hilfstabellen_Mat&amp;Bem'!I$44*M$6*1000)/(4*b_ef_DE*
(IF(brand_DE="",'Hilfstabellen_Mat&amp;Bem'!$BF$52,
IF(brand_DE=30,'Hilfstabellen_Mat&amp;Bem'!$BF$74,
IF(brand_DE=60,'Hilfstabellen_Mat&amp;Bem'!$BF$84,
IF(brand_DE=90,'Hilfstabellen_Mat&amp;Bem'!$BF$91,"Fehler!!!"))))))/
(k_modfi*k_fi_DE/gamma_mfi*'Hilfstabellen_Mat&amp;Bem'!$BA$49)</f>
        <v>7.3664062500000002E-2</v>
      </c>
      <c r="N90" s="465">
        <f ca="1">(3*'Hilfstabellen_Mat&amp;Bem'!J$44*N$6*1000)/(4*b_ef_DE*
(IF(brand_DE="",'Hilfstabellen_Mat&amp;Bem'!$BF$52,
IF(brand_DE=30,'Hilfstabellen_Mat&amp;Bem'!$BF$74,
IF(brand_DE=60,'Hilfstabellen_Mat&amp;Bem'!$BF$84,
IF(brand_DE=90,'Hilfstabellen_Mat&amp;Bem'!$BF$91,"Fehler!!!"))))))/
(k_modfi*k_fi_DE/gamma_mfi*'Hilfstabellen_Mat&amp;Bem'!$BA$49)</f>
        <v>8.60625E-2</v>
      </c>
      <c r="O90" s="465">
        <f ca="1">(3*'Hilfstabellen_Mat&amp;Bem'!K$44*O$6*1000)/(4*b_ef_DE*
(IF(brand_DE="",'Hilfstabellen_Mat&amp;Bem'!$BF$52,
IF(brand_DE=30,'Hilfstabellen_Mat&amp;Bem'!$BF$74,
IF(brand_DE=60,'Hilfstabellen_Mat&amp;Bem'!$BF$84,
IF(brand_DE=90,'Hilfstabellen_Mat&amp;Bem'!$BF$91,"Fehler!!!"))))))/
(k_modfi*k_fi_DE/gamma_mfi*'Hilfstabellen_Mat&amp;Bem'!$BA$49)</f>
        <v>9.8929687499999988E-2</v>
      </c>
      <c r="P90" s="465">
        <f ca="1">(3*'Hilfstabellen_Mat&amp;Bem'!L$44*P$6*1000)/(4*b_ef_DE*
(IF(brand_DE="",'Hilfstabellen_Mat&amp;Bem'!$BF$52,
IF(brand_DE=30,'Hilfstabellen_Mat&amp;Bem'!$BF$74,
IF(brand_DE=60,'Hilfstabellen_Mat&amp;Bem'!$BF$84,
IF(brand_DE=90,'Hilfstabellen_Mat&amp;Bem'!$BF$91,"Fehler!!!"))))))/
(k_modfi*k_fi_DE/gamma_mfi*'Hilfstabellen_Mat&amp;Bem'!$BA$49)</f>
        <v>0.11460937500000001</v>
      </c>
      <c r="Q90" s="465">
        <f ca="1">(3*'Hilfstabellen_Mat&amp;Bem'!M$44*Q$6*1000)/(4*b_ef_DE*
(IF(brand_DE="",'Hilfstabellen_Mat&amp;Bem'!$BF$52,
IF(brand_DE=30,'Hilfstabellen_Mat&amp;Bem'!$BF$74,
IF(brand_DE=60,'Hilfstabellen_Mat&amp;Bem'!$BF$84,
IF(brand_DE=90,'Hilfstabellen_Mat&amp;Bem'!$BF$91,"Fehler!!!"))))))/
(k_modfi*k_fi_DE/gamma_mfi*'Hilfstabellen_Mat&amp;Bem'!$BA$49)</f>
        <v>0.1214859375</v>
      </c>
      <c r="R90" s="465">
        <f ca="1">(3*'Hilfstabellen_Mat&amp;Bem'!N$44*R$6*1000)/(4*b_ef_DE*
(IF(brand_DE="",'Hilfstabellen_Mat&amp;Bem'!$BF$52,
IF(brand_DE=30,'Hilfstabellen_Mat&amp;Bem'!$BF$74,
IF(brand_DE=60,'Hilfstabellen_Mat&amp;Bem'!$BF$84,
IF(brand_DE=90,'Hilfstabellen_Mat&amp;Bem'!$BF$91,"Fehler!!!"))))))/
(k_modfi*k_fi_DE/gamma_mfi*'Hilfstabellen_Mat&amp;Bem'!$BA$49)</f>
        <v>0.13332656250000002</v>
      </c>
      <c r="S90" s="465">
        <f ca="1">(3*'Hilfstabellen_Mat&amp;Bem'!O$44*S$6*1000)/(4*b_ef_DE*
(IF(brand_DE="",'Hilfstabellen_Mat&amp;Bem'!$BF$52,
IF(brand_DE=30,'Hilfstabellen_Mat&amp;Bem'!$BF$74,
IF(brand_DE=60,'Hilfstabellen_Mat&amp;Bem'!$BF$84,
IF(brand_DE=90,'Hilfstabellen_Mat&amp;Bem'!$BF$91,"Fehler!!!"))))))/
(k_modfi*k_fi_DE/gamma_mfi*'Hilfstabellen_Mat&amp;Bem'!$BA$49)</f>
        <v>0.12909375000000001</v>
      </c>
      <c r="T90" s="465"/>
      <c r="U90" s="465"/>
      <c r="V90" s="466"/>
      <c r="W90" s="466"/>
      <c r="X90" s="466"/>
      <c r="Y90" s="466"/>
      <c r="Z90" s="466"/>
      <c r="AA90" s="1466"/>
      <c r="AB90" s="1466"/>
      <c r="AC90" s="1466"/>
      <c r="AD90" s="1466"/>
      <c r="AE90" s="1466"/>
      <c r="AF90" s="1466"/>
      <c r="AG90" s="1466"/>
      <c r="AH90" s="1466"/>
      <c r="AI90" s="1466"/>
      <c r="AJ90" s="1466"/>
      <c r="AK90" s="1466"/>
      <c r="AL90" s="1466"/>
      <c r="AM90" s="1466"/>
      <c r="AN90" s="1466"/>
      <c r="AO90" s="1466"/>
      <c r="AP90" s="1466"/>
      <c r="AQ90" s="1466"/>
      <c r="AR90" s="1466"/>
      <c r="AS90" s="1466"/>
      <c r="AT90" s="1466"/>
      <c r="AU90" s="1466"/>
      <c r="AV90" s="1466"/>
      <c r="AW90" s="1466"/>
      <c r="AX90" s="1466"/>
      <c r="AY90" s="1466"/>
      <c r="AZ90" s="1466"/>
      <c r="BA90" s="1466"/>
      <c r="BB90" s="466"/>
      <c r="BC90" s="466"/>
      <c r="BD90" s="466"/>
      <c r="BE90" s="466"/>
      <c r="BF90" s="169"/>
    </row>
    <row r="91" spans="1:58" ht="15" customHeight="1">
      <c r="A91" s="466"/>
      <c r="B91" s="466"/>
      <c r="C91" s="1459" t="str">
        <f>'Hilfstabellen_Mat&amp;Bem'!$BG$44</f>
        <v>BSP 240</v>
      </c>
      <c r="D91" s="1459"/>
      <c r="E91" s="1459"/>
      <c r="F91" s="1459"/>
      <c r="G91" s="466"/>
      <c r="H91" s="466"/>
      <c r="I91" s="465">
        <f ca="1">(3*'Hilfstabellen_Mat&amp;Bem'!E$44*I$6*1000)/(4*b_ef_DE*
(IF(brand_DE="",'Hilfstabellen_Mat&amp;Bem'!$BG$52,
IF(brand_DE=30,'Hilfstabellen_Mat&amp;Bem'!$BG$74,
IF(brand_DE=60,'Hilfstabellen_Mat&amp;Bem'!$BG$84,
IF(brand_DE=90,'Hilfstabellen_Mat&amp;Bem'!$BG$91,"Fehler!!!"))))))/
(k_modfi*k_fi_DE/gamma_mfi*'Hilfstabellen_Mat&amp;Bem'!$BG$49)</f>
        <v>4.4493243243243254E-2</v>
      </c>
      <c r="J91" s="465">
        <f ca="1">(3*'Hilfstabellen_Mat&amp;Bem'!F$44*J$6*1000)/(4*b_ef_DE*
(IF(brand_DE="",'Hilfstabellen_Mat&amp;Bem'!$BG$52,
IF(brand_DE=30,'Hilfstabellen_Mat&amp;Bem'!$BG$74,
IF(brand_DE=60,'Hilfstabellen_Mat&amp;Bem'!$BG$84,
IF(brand_DE=90,'Hilfstabellen_Mat&amp;Bem'!$BG$91,"Fehler!!!"))))))/
(k_modfi*k_fi_DE/gamma_mfi*'Hilfstabellen_Mat&amp;Bem'!$BG$49)</f>
        <v>4.716283783783784E-2</v>
      </c>
      <c r="K91" s="465">
        <f ca="1">(3*'Hilfstabellen_Mat&amp;Bem'!G$44*K$6*1000)/(4*b_ef_DE*
(IF(brand_DE="",'Hilfstabellen_Mat&amp;Bem'!$BG$52,
IF(brand_DE=30,'Hilfstabellen_Mat&amp;Bem'!$BG$74,
IF(brand_DE=60,'Hilfstabellen_Mat&amp;Bem'!$BG$84,
IF(brand_DE=90,'Hilfstabellen_Mat&amp;Bem'!$BG$91,"Fehler!!!"))))))/
(k_modfi*k_fi_DE/gamma_mfi*'Hilfstabellen_Mat&amp;Bem'!$BG$49)</f>
        <v>5.0722297297297304E-2</v>
      </c>
      <c r="L91" s="465">
        <f ca="1">(3*'Hilfstabellen_Mat&amp;Bem'!H$44*L$6*1000)/(4*b_ef_DE*
(IF(brand_DE="",'Hilfstabellen_Mat&amp;Bem'!$BG$52,
IF(brand_DE=30,'Hilfstabellen_Mat&amp;Bem'!$BG$74,
IF(brand_DE=60,'Hilfstabellen_Mat&amp;Bem'!$BG$84,
IF(brand_DE=90,'Hilfstabellen_Mat&amp;Bem'!$BG$91,"Fehler!!!"))))))/
(k_modfi*k_fi_DE/gamma_mfi*'Hilfstabellen_Mat&amp;Bem'!$BG$49)</f>
        <v>5.3391891891891904E-2</v>
      </c>
      <c r="M91" s="465">
        <f ca="1">(3*'Hilfstabellen_Mat&amp;Bem'!I$44*M$6*1000)/(4*b_ef_DE*
(IF(brand_DE="",'Hilfstabellen_Mat&amp;Bem'!$BG$52,
IF(brand_DE=30,'Hilfstabellen_Mat&amp;Bem'!$BG$74,
IF(brand_DE=60,'Hilfstabellen_Mat&amp;Bem'!$BG$84,
IF(brand_DE=90,'Hilfstabellen_Mat&amp;Bem'!$BG$91,"Fehler!!!"))))))/
(k_modfi*k_fi_DE/gamma_mfi*'Hilfstabellen_Mat&amp;Bem'!$BG$49)</f>
        <v>6.3709459459459467E-2</v>
      </c>
      <c r="N91" s="465">
        <f ca="1">(3*'Hilfstabellen_Mat&amp;Bem'!J$44*N$6*1000)/(4*b_ef_DE*
(IF(brand_DE="",'Hilfstabellen_Mat&amp;Bem'!$BG$52,
IF(brand_DE=30,'Hilfstabellen_Mat&amp;Bem'!$BG$74,
IF(brand_DE=60,'Hilfstabellen_Mat&amp;Bem'!$BG$84,
IF(brand_DE=90,'Hilfstabellen_Mat&amp;Bem'!$BG$91,"Fehler!!!"))))))/
(k_modfi*k_fi_DE/gamma_mfi*'Hilfstabellen_Mat&amp;Bem'!$BG$49)</f>
        <v>7.443243243243243E-2</v>
      </c>
      <c r="O91" s="465">
        <f ca="1">(3*'Hilfstabellen_Mat&amp;Bem'!K$44*O$6*1000)/(4*b_ef_DE*
(IF(brand_DE="",'Hilfstabellen_Mat&amp;Bem'!$BG$52,
IF(brand_DE=30,'Hilfstabellen_Mat&amp;Bem'!$BG$74,
IF(brand_DE=60,'Hilfstabellen_Mat&amp;Bem'!$BG$84,
IF(brand_DE=90,'Hilfstabellen_Mat&amp;Bem'!$BG$91,"Fehler!!!"))))))/
(k_modfi*k_fi_DE/gamma_mfi*'Hilfstabellen_Mat&amp;Bem'!$BG$49)</f>
        <v>8.5560810810810808E-2</v>
      </c>
      <c r="P91" s="465">
        <f ca="1">(3*'Hilfstabellen_Mat&amp;Bem'!L$44*P$6*1000)/(4*b_ef_DE*
(IF(brand_DE="",'Hilfstabellen_Mat&amp;Bem'!$BG$52,
IF(brand_DE=30,'Hilfstabellen_Mat&amp;Bem'!$BG$74,
IF(brand_DE=60,'Hilfstabellen_Mat&amp;Bem'!$BG$84,
IF(brand_DE=90,'Hilfstabellen_Mat&amp;Bem'!$BG$91,"Fehler!!!"))))))/
(k_modfi*k_fi_DE/gamma_mfi*'Hilfstabellen_Mat&amp;Bem'!$BG$49)</f>
        <v>9.9121621621621636E-2</v>
      </c>
      <c r="Q91" s="465">
        <f ca="1">(3*'Hilfstabellen_Mat&amp;Bem'!M$44*Q$6*1000)/(4*b_ef_DE*
(IF(brand_DE="",'Hilfstabellen_Mat&amp;Bem'!$BG$52,
IF(brand_DE=30,'Hilfstabellen_Mat&amp;Bem'!$BG$74,
IF(brand_DE=60,'Hilfstabellen_Mat&amp;Bem'!$BG$84,
IF(brand_DE=90,'Hilfstabellen_Mat&amp;Bem'!$BG$91,"Fehler!!!"))))))/
(k_modfi*k_fi_DE/gamma_mfi*'Hilfstabellen_Mat&amp;Bem'!$BG$49)</f>
        <v>0.10506891891891892</v>
      </c>
      <c r="R91" s="465">
        <f ca="1">(3*'Hilfstabellen_Mat&amp;Bem'!N$44*R$6*1000)/(4*b_ef_DE*
(IF(brand_DE="",'Hilfstabellen_Mat&amp;Bem'!$BG$52,
IF(brand_DE=30,'Hilfstabellen_Mat&amp;Bem'!$BG$74,
IF(brand_DE=60,'Hilfstabellen_Mat&amp;Bem'!$BG$84,
IF(brand_DE=90,'Hilfstabellen_Mat&amp;Bem'!$BG$91,"Fehler!!!"))))))/
(k_modfi*k_fi_DE/gamma_mfi*'Hilfstabellen_Mat&amp;Bem'!$BG$49)</f>
        <v>0.11530945945945947</v>
      </c>
      <c r="S91" s="465">
        <f ca="1">(3*'Hilfstabellen_Mat&amp;Bem'!O$44*S$6*1000)/(4*b_ef_DE*
(IF(brand_DE="",'Hilfstabellen_Mat&amp;Bem'!$BG$52,
IF(brand_DE=30,'Hilfstabellen_Mat&amp;Bem'!$BG$74,
IF(brand_DE=60,'Hilfstabellen_Mat&amp;Bem'!$BG$84,
IF(brand_DE=90,'Hilfstabellen_Mat&amp;Bem'!$BG$91,"Fehler!!!"))))))/
(k_modfi*k_fi_DE/gamma_mfi*'Hilfstabellen_Mat&amp;Bem'!$BG$49)</f>
        <v>0.11164864864864865</v>
      </c>
      <c r="T91" s="465"/>
      <c r="U91" s="465"/>
      <c r="V91" s="466"/>
      <c r="W91" s="466"/>
      <c r="X91" s="466"/>
      <c r="Y91" s="466"/>
      <c r="Z91" s="466"/>
      <c r="AA91" s="1466"/>
      <c r="AB91" s="1466"/>
      <c r="AC91" s="1466"/>
      <c r="AD91" s="1466"/>
      <c r="AE91" s="1466"/>
      <c r="AF91" s="1466"/>
      <c r="AG91" s="1466"/>
      <c r="AH91" s="1466"/>
      <c r="AI91" s="1466"/>
      <c r="AJ91" s="1466"/>
      <c r="AK91" s="1466"/>
      <c r="AL91" s="1466"/>
      <c r="AM91" s="1466"/>
      <c r="AN91" s="1466"/>
      <c r="AO91" s="1466"/>
      <c r="AP91" s="1466"/>
      <c r="AQ91" s="1466"/>
      <c r="AR91" s="1466"/>
      <c r="AS91" s="1466"/>
      <c r="AT91" s="1466"/>
      <c r="AU91" s="1466"/>
      <c r="AV91" s="1466"/>
      <c r="AW91" s="1466"/>
      <c r="AX91" s="1466"/>
      <c r="AY91" s="1466"/>
      <c r="AZ91" s="1466"/>
      <c r="BA91" s="1466"/>
      <c r="BB91" s="466"/>
      <c r="BC91" s="466"/>
      <c r="BD91" s="466"/>
      <c r="BE91" s="466"/>
      <c r="BF91" s="169"/>
    </row>
    <row r="92" spans="1:58" ht="15" customHeight="1">
      <c r="A92" s="466"/>
      <c r="B92" s="466"/>
      <c r="C92" s="466"/>
      <c r="D92" s="466"/>
      <c r="E92" s="466"/>
      <c r="F92" s="466"/>
      <c r="G92" s="466"/>
      <c r="H92" s="466"/>
      <c r="I92" s="466"/>
      <c r="J92" s="466"/>
      <c r="K92" s="466"/>
      <c r="L92" s="466"/>
      <c r="M92" s="466"/>
      <c r="N92" s="466"/>
      <c r="O92" s="466"/>
      <c r="P92" s="466"/>
      <c r="Q92" s="466"/>
      <c r="R92" s="466"/>
      <c r="S92" s="466"/>
      <c r="T92" s="466"/>
      <c r="U92" s="466"/>
      <c r="V92" s="466"/>
      <c r="W92" s="466"/>
      <c r="X92" s="466"/>
      <c r="Y92" s="466"/>
      <c r="Z92" s="466"/>
      <c r="AA92" s="466"/>
      <c r="AB92" s="466"/>
      <c r="AC92" s="466"/>
      <c r="AD92" s="466"/>
      <c r="AE92" s="466"/>
      <c r="AF92" s="466"/>
      <c r="AG92" s="466"/>
      <c r="AH92" s="466"/>
      <c r="AI92" s="466"/>
      <c r="AJ92" s="466"/>
      <c r="AK92" s="466"/>
      <c r="AL92" s="466"/>
      <c r="AM92" s="466"/>
      <c r="AN92" s="466"/>
      <c r="AO92" s="466"/>
      <c r="AP92" s="466"/>
      <c r="AQ92" s="466"/>
      <c r="AR92" s="466"/>
      <c r="AS92" s="466"/>
      <c r="AT92" s="466"/>
      <c r="AU92" s="466"/>
      <c r="AV92" s="466"/>
      <c r="AW92" s="466"/>
      <c r="AX92" s="466"/>
      <c r="AY92" s="466"/>
      <c r="AZ92" s="466"/>
      <c r="BA92" s="466"/>
      <c r="BB92" s="466"/>
      <c r="BC92" s="466"/>
      <c r="BD92" s="466"/>
      <c r="BE92" s="466"/>
      <c r="BF92" s="169"/>
    </row>
    <row r="93" spans="1:58" ht="15" customHeight="1">
      <c r="A93" s="466"/>
      <c r="B93" s="491" t="s">
        <v>925</v>
      </c>
      <c r="C93" s="466"/>
      <c r="D93" s="466"/>
      <c r="E93" s="466"/>
      <c r="F93" s="466"/>
      <c r="G93" s="466"/>
      <c r="H93" s="466"/>
      <c r="I93" s="784">
        <f t="shared" ref="I93:P93" ca="1" si="11">MAX(I75,I84)</f>
        <v>120</v>
      </c>
      <c r="J93" s="784">
        <f t="shared" ca="1" si="11"/>
        <v>120</v>
      </c>
      <c r="K93" s="784">
        <f t="shared" ca="1" si="11"/>
        <v>120</v>
      </c>
      <c r="L93" s="784">
        <f t="shared" ca="1" si="11"/>
        <v>120</v>
      </c>
      <c r="M93" s="784">
        <f t="shared" ca="1" si="11"/>
        <v>120</v>
      </c>
      <c r="N93" s="784">
        <f t="shared" ca="1" si="11"/>
        <v>120</v>
      </c>
      <c r="O93" s="784">
        <f t="shared" ca="1" si="11"/>
        <v>140</v>
      </c>
      <c r="P93" s="784">
        <f t="shared" ca="1" si="11"/>
        <v>140</v>
      </c>
      <c r="Q93" s="784">
        <f ca="1">MAX(Q75,Q84)</f>
        <v>140</v>
      </c>
      <c r="R93" s="784">
        <f ca="1">MAX(R75,R84)</f>
        <v>160</v>
      </c>
      <c r="S93" s="784">
        <f ca="1">MAX(S75,S84)</f>
        <v>160</v>
      </c>
      <c r="T93" s="784"/>
      <c r="U93" s="784"/>
      <c r="V93" s="466"/>
      <c r="W93" s="466"/>
      <c r="X93" s="466"/>
      <c r="Y93" s="466"/>
      <c r="Z93" s="466"/>
      <c r="AA93" s="491" t="s">
        <v>1544</v>
      </c>
      <c r="AB93" s="466"/>
      <c r="AC93" s="466"/>
      <c r="AD93" s="466"/>
      <c r="AE93" s="466"/>
      <c r="AF93" s="466"/>
      <c r="AG93" s="466"/>
      <c r="AH93" s="466"/>
      <c r="AI93" s="466"/>
      <c r="AJ93" s="466"/>
      <c r="AK93" s="466"/>
      <c r="AL93" s="466"/>
      <c r="AM93" s="466"/>
      <c r="AN93" s="466"/>
      <c r="AO93" s="466"/>
      <c r="AP93" s="466"/>
      <c r="AQ93" s="466"/>
      <c r="AR93" s="466"/>
      <c r="AS93" s="466"/>
      <c r="AT93" s="466"/>
      <c r="AU93" s="466"/>
      <c r="AV93" s="466"/>
      <c r="AW93" s="466"/>
      <c r="AX93" s="466"/>
      <c r="AY93" s="466"/>
      <c r="AZ93" s="466"/>
      <c r="BA93" s="466"/>
      <c r="BB93" s="466"/>
      <c r="BC93" s="466"/>
      <c r="BD93" s="466"/>
      <c r="BE93" s="466"/>
      <c r="BF93" s="169"/>
    </row>
    <row r="94" spans="1:58" ht="15" customHeight="1">
      <c r="A94" s="466"/>
      <c r="B94" s="466"/>
      <c r="C94" s="466"/>
      <c r="D94" s="466"/>
      <c r="E94" s="466"/>
      <c r="F94" s="466"/>
      <c r="G94" s="466"/>
      <c r="H94" s="466"/>
      <c r="I94" s="466"/>
      <c r="J94" s="466"/>
      <c r="K94" s="466"/>
      <c r="L94" s="466"/>
      <c r="M94" s="466"/>
      <c r="N94" s="466"/>
      <c r="O94" s="466"/>
      <c r="P94" s="466"/>
      <c r="Q94" s="466"/>
      <c r="R94" s="466"/>
      <c r="S94" s="466"/>
      <c r="T94" s="466"/>
      <c r="U94" s="466"/>
      <c r="V94" s="466"/>
      <c r="W94" s="466"/>
      <c r="X94" s="466"/>
      <c r="Y94" s="466"/>
      <c r="Z94" s="466"/>
      <c r="AA94" s="466"/>
      <c r="AB94" s="466"/>
      <c r="AC94" s="466"/>
      <c r="AD94" s="466"/>
      <c r="AE94" s="466"/>
      <c r="AF94" s="466"/>
      <c r="AG94" s="466"/>
      <c r="AH94" s="466"/>
      <c r="AI94" s="466"/>
      <c r="AJ94" s="466"/>
      <c r="AK94" s="466"/>
      <c r="AL94" s="466"/>
      <c r="AM94" s="466"/>
      <c r="AN94" s="466"/>
      <c r="AO94" s="466"/>
      <c r="AP94" s="466"/>
      <c r="AQ94" s="466"/>
      <c r="AR94" s="466"/>
      <c r="AS94" s="466"/>
      <c r="AT94" s="466"/>
      <c r="AU94" s="466"/>
      <c r="AV94" s="466"/>
      <c r="AW94" s="466"/>
      <c r="AX94" s="466"/>
      <c r="AY94" s="466"/>
      <c r="AZ94" s="466"/>
      <c r="BA94" s="466"/>
      <c r="BB94" s="466"/>
      <c r="BC94" s="466"/>
      <c r="BD94" s="466"/>
      <c r="BE94" s="466"/>
      <c r="BF94" s="169"/>
    </row>
    <row r="95" spans="1:58" ht="15" customHeight="1">
      <c r="A95" s="466"/>
      <c r="B95" s="466"/>
      <c r="C95" s="466"/>
      <c r="D95" s="466"/>
      <c r="E95" s="466"/>
      <c r="F95" s="466"/>
      <c r="G95" s="466"/>
      <c r="H95" s="466"/>
      <c r="I95" s="466"/>
      <c r="J95" s="466"/>
      <c r="K95" s="466"/>
      <c r="L95" s="466"/>
      <c r="M95" s="466"/>
      <c r="N95" s="466"/>
      <c r="O95" s="466"/>
      <c r="P95" s="466"/>
      <c r="Q95" s="466"/>
      <c r="R95" s="466"/>
      <c r="S95" s="466"/>
      <c r="T95" s="466"/>
      <c r="U95" s="466"/>
      <c r="V95" s="466"/>
      <c r="W95" s="466"/>
      <c r="X95" s="466"/>
      <c r="Y95" s="466"/>
      <c r="Z95" s="466"/>
      <c r="AA95" s="466"/>
      <c r="AB95" s="466"/>
      <c r="AC95" s="466"/>
      <c r="AD95" s="466"/>
      <c r="AE95" s="466"/>
      <c r="AF95" s="466"/>
      <c r="AG95" s="466"/>
      <c r="AH95" s="466"/>
      <c r="AI95" s="466"/>
      <c r="AJ95" s="466"/>
      <c r="AK95" s="466"/>
      <c r="AL95" s="466"/>
      <c r="AM95" s="466"/>
      <c r="AN95" s="466"/>
      <c r="AO95" s="466"/>
      <c r="AP95" s="466"/>
      <c r="AQ95" s="466"/>
      <c r="AR95" s="466"/>
      <c r="AS95" s="466"/>
      <c r="AT95" s="466"/>
      <c r="AU95" s="466"/>
      <c r="AV95" s="466"/>
      <c r="AW95" s="466"/>
      <c r="AX95" s="466"/>
      <c r="AY95" s="466"/>
      <c r="AZ95" s="466"/>
      <c r="BA95" s="466"/>
      <c r="BB95" s="466"/>
      <c r="BC95" s="466"/>
      <c r="BD95" s="466"/>
      <c r="BE95" s="466"/>
      <c r="BF95" s="169"/>
    </row>
    <row r="96" spans="1:58" ht="15" customHeight="1">
      <c r="A96" s="466"/>
      <c r="B96" s="491" t="s">
        <v>927</v>
      </c>
      <c r="C96" s="491"/>
      <c r="D96" s="491"/>
      <c r="E96" s="491"/>
      <c r="F96" s="491"/>
      <c r="G96" s="491"/>
      <c r="H96" s="491"/>
      <c r="I96" s="784">
        <f t="shared" ref="I96:S96" ca="1" si="12">MAX(I31,I67,I93)</f>
        <v>120</v>
      </c>
      <c r="J96" s="784">
        <f t="shared" ca="1" si="12"/>
        <v>120</v>
      </c>
      <c r="K96" s="784">
        <f t="shared" ca="1" si="12"/>
        <v>120</v>
      </c>
      <c r="L96" s="784">
        <f t="shared" ca="1" si="12"/>
        <v>120</v>
      </c>
      <c r="M96" s="784">
        <f t="shared" ca="1" si="12"/>
        <v>140</v>
      </c>
      <c r="N96" s="784">
        <f t="shared" ca="1" si="12"/>
        <v>160</v>
      </c>
      <c r="O96" s="784">
        <f t="shared" ca="1" si="12"/>
        <v>180</v>
      </c>
      <c r="P96" s="784">
        <f t="shared" ca="1" si="12"/>
        <v>220</v>
      </c>
      <c r="Q96" s="784">
        <f t="shared" ca="1" si="12"/>
        <v>220</v>
      </c>
      <c r="R96" s="784">
        <f t="shared" ca="1" si="12"/>
        <v>160</v>
      </c>
      <c r="S96" s="784">
        <f t="shared" ca="1" si="12"/>
        <v>160</v>
      </c>
      <c r="T96" s="784"/>
      <c r="U96" s="784"/>
      <c r="V96" s="466"/>
      <c r="W96" s="466"/>
      <c r="X96" s="466"/>
      <c r="Y96" s="466"/>
      <c r="Z96" s="466"/>
      <c r="AA96" s="491" t="s">
        <v>1543</v>
      </c>
      <c r="AB96" s="466"/>
      <c r="AC96" s="466"/>
      <c r="AD96" s="466"/>
      <c r="AE96" s="466"/>
      <c r="AF96" s="466"/>
      <c r="AG96" s="466"/>
      <c r="AH96" s="466"/>
      <c r="AI96" s="466"/>
      <c r="AJ96" s="466"/>
      <c r="AK96" s="466"/>
      <c r="AL96" s="466"/>
      <c r="AM96" s="466"/>
      <c r="AN96" s="466"/>
      <c r="AO96" s="466"/>
      <c r="AP96" s="466"/>
      <c r="AQ96" s="466"/>
      <c r="AR96" s="466"/>
      <c r="AS96" s="466"/>
      <c r="AT96" s="466"/>
      <c r="AU96" s="466"/>
      <c r="AV96" s="466"/>
      <c r="AW96" s="466"/>
      <c r="AX96" s="466"/>
      <c r="AY96" s="466"/>
      <c r="AZ96" s="466"/>
      <c r="BA96" s="466"/>
      <c r="BB96" s="466"/>
      <c r="BC96" s="466"/>
      <c r="BD96" s="466"/>
      <c r="BE96" s="466"/>
      <c r="BF96" s="169"/>
    </row>
    <row r="97" spans="1:58" ht="15" customHeight="1">
      <c r="A97" s="466"/>
      <c r="B97" s="466"/>
      <c r="C97" s="466"/>
      <c r="D97" s="466"/>
      <c r="E97" s="466"/>
      <c r="F97" s="466"/>
      <c r="G97" s="466"/>
      <c r="H97" s="466"/>
      <c r="I97" s="466"/>
      <c r="J97" s="466"/>
      <c r="K97" s="466"/>
      <c r="L97" s="466"/>
      <c r="M97" s="466"/>
      <c r="N97" s="466"/>
      <c r="O97" s="466"/>
      <c r="P97" s="466"/>
      <c r="Q97" s="466"/>
      <c r="R97" s="466"/>
      <c r="S97" s="466"/>
      <c r="T97" s="466"/>
      <c r="U97" s="466"/>
      <c r="V97" s="466"/>
      <c r="W97" s="466"/>
      <c r="X97" s="466"/>
      <c r="Y97" s="466"/>
      <c r="Z97" s="466"/>
      <c r="AA97" s="466"/>
      <c r="AB97" s="466"/>
      <c r="AC97" s="466"/>
      <c r="AD97" s="466"/>
      <c r="AE97" s="466"/>
      <c r="AF97" s="466"/>
      <c r="AG97" s="466"/>
      <c r="AH97" s="466"/>
      <c r="AI97" s="466"/>
      <c r="AJ97" s="466"/>
      <c r="AK97" s="466"/>
      <c r="AL97" s="466"/>
      <c r="AM97" s="466"/>
      <c r="AN97" s="466"/>
      <c r="AO97" s="466"/>
      <c r="AP97" s="466"/>
      <c r="AQ97" s="466"/>
      <c r="AR97" s="466"/>
      <c r="AS97" s="466"/>
      <c r="AT97" s="466"/>
      <c r="AU97" s="466"/>
      <c r="AV97" s="466"/>
      <c r="AW97" s="466"/>
      <c r="AX97" s="466"/>
      <c r="AY97" s="466"/>
      <c r="AZ97" s="466"/>
      <c r="BA97" s="466"/>
      <c r="BB97" s="466"/>
      <c r="BC97" s="466"/>
      <c r="BD97" s="466"/>
      <c r="BE97" s="466"/>
      <c r="BF97" s="169"/>
    </row>
    <row r="98" spans="1:58" ht="15" customHeight="1">
      <c r="A98" s="474"/>
      <c r="B98" s="474"/>
      <c r="C98" s="474"/>
      <c r="D98" s="474"/>
      <c r="E98" s="474"/>
      <c r="F98" s="474"/>
      <c r="G98" s="474"/>
      <c r="H98" s="474"/>
      <c r="I98" s="474"/>
      <c r="J98" s="474"/>
      <c r="K98" s="474"/>
      <c r="L98" s="474"/>
      <c r="M98" s="474"/>
      <c r="N98" s="474"/>
      <c r="O98" s="474"/>
      <c r="P98" s="474"/>
      <c r="Q98" s="474"/>
      <c r="R98" s="474"/>
      <c r="S98" s="474"/>
      <c r="T98" s="474"/>
      <c r="U98" s="474"/>
      <c r="V98" s="474"/>
      <c r="W98" s="474"/>
      <c r="X98" s="474"/>
      <c r="Y98" s="474"/>
      <c r="Z98" s="474"/>
      <c r="AA98" s="474"/>
      <c r="AB98" s="474"/>
      <c r="AC98" s="474"/>
      <c r="AD98" s="474"/>
      <c r="AE98" s="474"/>
      <c r="AF98" s="474"/>
      <c r="AG98" s="474"/>
      <c r="AH98" s="474"/>
      <c r="AI98" s="474"/>
      <c r="AJ98" s="474"/>
      <c r="AK98" s="474"/>
      <c r="AL98" s="474"/>
      <c r="AM98" s="474"/>
      <c r="AN98" s="474"/>
      <c r="AO98" s="474"/>
      <c r="AP98" s="474"/>
      <c r="AQ98" s="474"/>
      <c r="AR98" s="474"/>
      <c r="AS98" s="474"/>
      <c r="AT98" s="474"/>
      <c r="AU98" s="474"/>
      <c r="AV98" s="474"/>
      <c r="AW98" s="474"/>
      <c r="AX98" s="474"/>
      <c r="AY98" s="474"/>
      <c r="AZ98" s="474"/>
      <c r="BA98" s="474"/>
      <c r="BB98" s="474"/>
      <c r="BC98" s="474"/>
      <c r="BD98" s="474"/>
      <c r="BE98" s="474"/>
      <c r="BF98" s="403"/>
    </row>
    <row r="99" spans="1:58" ht="15" customHeight="1">
      <c r="A99" s="466"/>
      <c r="B99" s="466"/>
      <c r="C99" s="466"/>
      <c r="D99" s="466"/>
      <c r="E99" s="466"/>
      <c r="F99" s="466"/>
      <c r="G99" s="466"/>
      <c r="H99" s="466"/>
      <c r="I99" s="466"/>
      <c r="J99" s="466"/>
      <c r="K99" s="466"/>
      <c r="L99" s="466"/>
      <c r="M99" s="466"/>
      <c r="N99" s="466"/>
      <c r="O99" s="466"/>
      <c r="P99" s="466"/>
      <c r="Q99" s="466"/>
      <c r="R99" s="466"/>
      <c r="S99" s="466"/>
      <c r="T99" s="466"/>
      <c r="U99" s="466"/>
      <c r="V99" s="466"/>
      <c r="W99" s="466"/>
      <c r="X99" s="466"/>
      <c r="Y99" s="466"/>
      <c r="Z99" s="466"/>
      <c r="AA99" s="466"/>
      <c r="AB99" s="466"/>
      <c r="AC99" s="466"/>
      <c r="AD99" s="466"/>
      <c r="AE99" s="466"/>
      <c r="AF99" s="466"/>
      <c r="AG99" s="466"/>
      <c r="AH99" s="466"/>
      <c r="AI99" s="466"/>
      <c r="AJ99" s="466"/>
      <c r="AK99" s="466"/>
      <c r="AL99" s="466"/>
      <c r="AM99" s="466"/>
      <c r="AN99" s="466"/>
      <c r="AO99" s="466"/>
      <c r="AP99" s="466"/>
      <c r="AQ99" s="466"/>
      <c r="AR99" s="466"/>
      <c r="AS99" s="466"/>
      <c r="AT99" s="466"/>
      <c r="AU99" s="466"/>
      <c r="AV99" s="466"/>
      <c r="AW99" s="466"/>
      <c r="AX99" s="466"/>
      <c r="AY99" s="466"/>
      <c r="AZ99" s="466"/>
      <c r="BA99" s="466"/>
      <c r="BB99" s="466"/>
      <c r="BC99" s="466"/>
      <c r="BD99" s="466"/>
      <c r="BE99" s="466"/>
      <c r="BF99" s="169"/>
    </row>
    <row r="100" spans="1:58" ht="15" customHeight="1">
      <c r="A100" s="466"/>
      <c r="B100" s="466"/>
      <c r="C100" s="466"/>
      <c r="D100" s="466"/>
      <c r="E100" s="466"/>
      <c r="F100" s="466"/>
      <c r="G100" s="466"/>
      <c r="H100" s="466"/>
      <c r="I100" s="466"/>
      <c r="J100" s="466"/>
      <c r="K100" s="466"/>
      <c r="L100" s="466"/>
      <c r="M100" s="466"/>
      <c r="N100" s="466"/>
      <c r="O100" s="466"/>
      <c r="P100" s="466"/>
      <c r="Q100" s="466"/>
      <c r="R100" s="466"/>
      <c r="S100" s="466"/>
      <c r="T100" s="466"/>
      <c r="U100" s="466"/>
      <c r="V100" s="466"/>
      <c r="W100" s="466"/>
      <c r="X100" s="466"/>
      <c r="Y100" s="466"/>
      <c r="Z100" s="466"/>
      <c r="AA100" s="466"/>
      <c r="AB100" s="466"/>
      <c r="AC100" s="466"/>
      <c r="AD100" s="466"/>
      <c r="AE100" s="466"/>
      <c r="AF100" s="466"/>
      <c r="AG100" s="466"/>
      <c r="AH100" s="466"/>
      <c r="AI100" s="466"/>
      <c r="AJ100" s="466"/>
      <c r="AK100" s="466"/>
      <c r="AL100" s="466"/>
      <c r="AM100" s="466"/>
      <c r="AN100" s="466"/>
      <c r="AO100" s="466"/>
      <c r="AP100" s="466"/>
      <c r="AQ100" s="466"/>
      <c r="AR100" s="466"/>
      <c r="AS100" s="466"/>
      <c r="AT100" s="466"/>
      <c r="AU100" s="466"/>
      <c r="AV100" s="466"/>
      <c r="AW100" s="466"/>
      <c r="AX100" s="466"/>
      <c r="AY100" s="466"/>
      <c r="AZ100" s="466"/>
      <c r="BA100" s="466"/>
      <c r="BB100" s="466"/>
      <c r="BC100" s="466"/>
      <c r="BD100" s="466"/>
      <c r="BE100" s="466"/>
      <c r="BF100" s="169"/>
    </row>
    <row r="101" spans="1:58" ht="15" customHeight="1">
      <c r="A101" s="466"/>
      <c r="B101" s="466"/>
      <c r="C101" s="466"/>
      <c r="D101" s="466"/>
      <c r="E101" s="466"/>
      <c r="F101" s="466"/>
      <c r="G101" s="466"/>
      <c r="H101" s="466"/>
      <c r="I101" s="466"/>
      <c r="J101" s="466"/>
      <c r="K101" s="466"/>
      <c r="L101" s="466"/>
      <c r="M101" s="466"/>
      <c r="N101" s="466"/>
      <c r="O101" s="466"/>
      <c r="P101" s="466"/>
      <c r="Q101" s="466"/>
      <c r="R101" s="466"/>
      <c r="S101" s="466"/>
      <c r="T101" s="466"/>
      <c r="U101" s="466"/>
      <c r="V101" s="466"/>
      <c r="W101" s="466"/>
      <c r="X101" s="466"/>
      <c r="Y101" s="466"/>
      <c r="Z101" s="466"/>
      <c r="AA101" s="466"/>
      <c r="AB101" s="466"/>
      <c r="AC101" s="466"/>
      <c r="AD101" s="466"/>
      <c r="AE101" s="466"/>
      <c r="AF101" s="466"/>
      <c r="AG101" s="466"/>
      <c r="AH101" s="466"/>
      <c r="AI101" s="466"/>
      <c r="AJ101" s="466"/>
      <c r="AK101" s="466"/>
      <c r="AL101" s="466"/>
      <c r="AM101" s="466"/>
      <c r="AN101" s="466"/>
      <c r="AO101" s="466"/>
      <c r="AP101" s="466"/>
      <c r="AQ101" s="466"/>
      <c r="AR101" s="466"/>
      <c r="AS101" s="466"/>
      <c r="AT101" s="466"/>
      <c r="AU101" s="466"/>
      <c r="AV101" s="466"/>
      <c r="AW101" s="466"/>
      <c r="AX101" s="466"/>
      <c r="AY101" s="466"/>
      <c r="AZ101" s="466"/>
      <c r="BA101" s="466"/>
      <c r="BB101" s="466"/>
      <c r="BC101" s="466"/>
      <c r="BD101" s="466"/>
      <c r="BE101" s="466"/>
      <c r="BF101" s="169"/>
    </row>
    <row r="102" spans="1:58" ht="15" customHeight="1">
      <c r="A102" s="466"/>
      <c r="B102" s="466"/>
      <c r="C102" s="466"/>
      <c r="D102" s="466"/>
      <c r="E102" s="466"/>
      <c r="F102" s="466"/>
      <c r="G102" s="466"/>
      <c r="H102" s="466"/>
      <c r="I102" s="466"/>
      <c r="J102" s="466"/>
      <c r="K102" s="466"/>
      <c r="L102" s="466"/>
      <c r="M102" s="466"/>
      <c r="N102" s="466"/>
      <c r="O102" s="466"/>
      <c r="P102" s="466"/>
      <c r="Q102" s="466"/>
      <c r="R102" s="466"/>
      <c r="S102" s="466"/>
      <c r="T102" s="466"/>
      <c r="U102" s="466"/>
      <c r="V102" s="466"/>
      <c r="W102" s="466"/>
      <c r="X102" s="466"/>
      <c r="Y102" s="466"/>
      <c r="Z102" s="466"/>
      <c r="AA102" s="466"/>
      <c r="AB102" s="466"/>
      <c r="AC102" s="466"/>
      <c r="AD102" s="466"/>
      <c r="AE102" s="466"/>
      <c r="AF102" s="466"/>
      <c r="AG102" s="466"/>
      <c r="AH102" s="466"/>
      <c r="AI102" s="466"/>
      <c r="AJ102" s="466"/>
      <c r="AK102" s="466"/>
      <c r="AL102" s="466"/>
      <c r="AM102" s="466"/>
      <c r="AN102" s="466"/>
      <c r="AO102" s="466"/>
      <c r="AP102" s="466"/>
      <c r="AQ102" s="466"/>
      <c r="AR102" s="466"/>
      <c r="AS102" s="466"/>
      <c r="AT102" s="466"/>
      <c r="AU102" s="466"/>
      <c r="AV102" s="466"/>
      <c r="AW102" s="466"/>
      <c r="AX102" s="466"/>
      <c r="AY102" s="466"/>
      <c r="AZ102" s="466"/>
      <c r="BA102" s="466"/>
      <c r="BB102" s="466"/>
      <c r="BC102" s="466"/>
      <c r="BD102" s="466"/>
      <c r="BE102" s="466"/>
      <c r="BF102" s="169"/>
    </row>
    <row r="103" spans="1:58" ht="15" customHeight="1">
      <c r="A103" s="169"/>
      <c r="B103" s="169"/>
      <c r="C103" s="169"/>
      <c r="D103" s="169"/>
      <c r="E103" s="169"/>
      <c r="F103" s="169"/>
      <c r="G103" s="169"/>
      <c r="H103" s="169"/>
      <c r="I103" s="169"/>
      <c r="J103" s="169"/>
      <c r="K103" s="169"/>
      <c r="L103" s="169"/>
      <c r="M103" s="169"/>
      <c r="N103" s="169"/>
      <c r="O103" s="169"/>
      <c r="P103" s="169"/>
      <c r="Q103" s="169"/>
      <c r="R103" s="169"/>
      <c r="S103" s="169"/>
      <c r="T103" s="169"/>
      <c r="U103" s="169"/>
      <c r="V103" s="169"/>
      <c r="W103" s="169"/>
      <c r="X103" s="169"/>
      <c r="Y103" s="169"/>
      <c r="Z103" s="169"/>
      <c r="AA103" s="169"/>
      <c r="AB103" s="169"/>
      <c r="AC103" s="169"/>
      <c r="AD103" s="169"/>
      <c r="AE103" s="169"/>
      <c r="AF103" s="169"/>
      <c r="AG103" s="169"/>
      <c r="AH103" s="169"/>
      <c r="AI103" s="169"/>
      <c r="AJ103" s="169"/>
      <c r="AK103" s="169"/>
      <c r="AL103" s="169"/>
      <c r="AM103" s="169"/>
      <c r="AN103" s="169"/>
      <c r="AO103" s="169"/>
      <c r="AP103" s="169"/>
      <c r="AQ103" s="169"/>
      <c r="AR103" s="169"/>
      <c r="AS103" s="169"/>
      <c r="AT103" s="169"/>
      <c r="AU103" s="169"/>
      <c r="AV103" s="169"/>
      <c r="AW103" s="169"/>
      <c r="AX103" s="169"/>
      <c r="AY103" s="169"/>
      <c r="AZ103" s="169"/>
      <c r="BA103" s="169"/>
      <c r="BB103" s="169"/>
      <c r="BC103" s="169"/>
      <c r="BD103" s="169"/>
      <c r="BE103" s="169"/>
      <c r="BF103" s="169"/>
    </row>
    <row r="104" spans="1:58" ht="15" customHeight="1">
      <c r="A104" s="169"/>
      <c r="B104" s="169"/>
      <c r="C104" s="169"/>
      <c r="D104" s="169"/>
      <c r="E104" s="169"/>
      <c r="F104" s="169"/>
      <c r="G104" s="169"/>
      <c r="H104" s="169"/>
      <c r="I104" s="169"/>
      <c r="J104" s="169"/>
      <c r="K104" s="169"/>
      <c r="L104" s="169"/>
      <c r="M104" s="169"/>
      <c r="N104" s="169"/>
      <c r="O104" s="169"/>
      <c r="P104" s="169"/>
      <c r="Q104" s="169"/>
      <c r="R104" s="169"/>
      <c r="S104" s="169"/>
      <c r="T104" s="169"/>
      <c r="U104" s="169"/>
      <c r="V104" s="169"/>
      <c r="W104" s="169"/>
      <c r="X104" s="169"/>
      <c r="Y104" s="169"/>
      <c r="Z104" s="169"/>
      <c r="AA104" s="169"/>
      <c r="AB104" s="169"/>
      <c r="AC104" s="169"/>
      <c r="AD104" s="169"/>
      <c r="AE104" s="169"/>
      <c r="AF104" s="169"/>
      <c r="AG104" s="169"/>
      <c r="AH104" s="169"/>
      <c r="AI104" s="169"/>
      <c r="AJ104" s="169"/>
      <c r="AK104" s="169"/>
      <c r="AL104" s="169"/>
      <c r="AM104" s="169"/>
      <c r="AN104" s="169"/>
      <c r="AO104" s="169"/>
      <c r="AP104" s="169"/>
      <c r="AQ104" s="169"/>
      <c r="AR104" s="169"/>
      <c r="AS104" s="169"/>
      <c r="AT104" s="169"/>
      <c r="AU104" s="169"/>
      <c r="AV104" s="169"/>
      <c r="AW104" s="169"/>
      <c r="AX104" s="169"/>
      <c r="AY104" s="169"/>
      <c r="AZ104" s="169"/>
      <c r="BA104" s="169"/>
      <c r="BB104" s="169"/>
      <c r="BC104" s="169"/>
      <c r="BD104" s="169"/>
      <c r="BE104" s="169"/>
      <c r="BF104" s="169"/>
    </row>
    <row r="105" spans="1:58" ht="15" customHeight="1">
      <c r="A105" s="169"/>
      <c r="B105" s="169"/>
      <c r="C105" s="169"/>
      <c r="D105" s="169"/>
      <c r="E105" s="169"/>
      <c r="F105" s="169"/>
      <c r="G105" s="169"/>
      <c r="H105" s="169"/>
      <c r="I105" s="169"/>
      <c r="J105" s="169"/>
      <c r="K105" s="169"/>
      <c r="L105" s="169"/>
      <c r="M105" s="169"/>
      <c r="N105" s="169"/>
      <c r="O105" s="169"/>
      <c r="P105" s="169"/>
      <c r="Q105" s="169"/>
      <c r="R105" s="169"/>
      <c r="S105" s="169"/>
      <c r="T105" s="169"/>
      <c r="U105" s="169"/>
      <c r="V105" s="169"/>
      <c r="W105" s="169"/>
      <c r="X105" s="169"/>
      <c r="Y105" s="169"/>
      <c r="Z105" s="169"/>
      <c r="AA105" s="169"/>
      <c r="AB105" s="169"/>
      <c r="AC105" s="169"/>
      <c r="AD105" s="169"/>
      <c r="AE105" s="169"/>
      <c r="AF105" s="169"/>
      <c r="AG105" s="169"/>
      <c r="AH105" s="169"/>
      <c r="AI105" s="169"/>
      <c r="AJ105" s="169"/>
      <c r="AK105" s="169"/>
      <c r="AL105" s="169"/>
      <c r="AM105" s="169"/>
      <c r="AN105" s="169"/>
      <c r="AO105" s="169"/>
      <c r="AP105" s="169"/>
      <c r="AQ105" s="169"/>
      <c r="AR105" s="169"/>
      <c r="AS105" s="169"/>
      <c r="AT105" s="169"/>
      <c r="AU105" s="169"/>
      <c r="AV105" s="169"/>
      <c r="AW105" s="169"/>
      <c r="AX105" s="169"/>
      <c r="AY105" s="169"/>
      <c r="AZ105" s="169"/>
      <c r="BA105" s="169"/>
      <c r="BB105" s="169"/>
      <c r="BC105" s="169"/>
      <c r="BD105" s="169"/>
      <c r="BE105" s="169"/>
      <c r="BF105" s="169"/>
    </row>
    <row r="106" spans="1:58" ht="15" customHeight="1">
      <c r="A106" s="169"/>
      <c r="B106" s="169"/>
      <c r="C106" s="169"/>
      <c r="D106" s="169"/>
      <c r="E106" s="169"/>
      <c r="F106" s="169"/>
      <c r="G106" s="169"/>
      <c r="H106" s="169"/>
      <c r="I106" s="169"/>
      <c r="J106" s="169"/>
      <c r="K106" s="169"/>
      <c r="L106" s="169"/>
      <c r="M106" s="169"/>
      <c r="N106" s="169"/>
      <c r="O106" s="169"/>
      <c r="P106" s="169"/>
      <c r="Q106" s="169"/>
      <c r="R106" s="169"/>
      <c r="S106" s="169"/>
      <c r="T106" s="169"/>
      <c r="U106" s="169"/>
      <c r="V106" s="169"/>
      <c r="W106" s="169"/>
      <c r="X106" s="169"/>
      <c r="Y106" s="169"/>
      <c r="Z106" s="169"/>
      <c r="AA106" s="169"/>
      <c r="AB106" s="169"/>
      <c r="AC106" s="169"/>
      <c r="AD106" s="169"/>
      <c r="AE106" s="169"/>
      <c r="AF106" s="169"/>
      <c r="AG106" s="169"/>
      <c r="AH106" s="169"/>
      <c r="AI106" s="169"/>
      <c r="AJ106" s="169"/>
      <c r="AK106" s="169"/>
      <c r="AL106" s="169"/>
      <c r="AM106" s="169"/>
      <c r="AN106" s="169"/>
      <c r="AO106" s="169"/>
      <c r="AP106" s="169"/>
      <c r="AQ106" s="169"/>
      <c r="AR106" s="169"/>
      <c r="AS106" s="169"/>
      <c r="AT106" s="169"/>
      <c r="AU106" s="169"/>
      <c r="AV106" s="169"/>
      <c r="AW106" s="169"/>
      <c r="AX106" s="169"/>
      <c r="AY106" s="169"/>
      <c r="AZ106" s="169"/>
      <c r="BA106" s="169"/>
      <c r="BB106" s="169"/>
      <c r="BC106" s="169"/>
      <c r="BD106" s="169"/>
      <c r="BE106" s="169"/>
      <c r="BF106" s="169"/>
    </row>
    <row r="107" spans="1:58" ht="15" customHeight="1">
      <c r="A107" s="169"/>
      <c r="B107" s="169"/>
      <c r="C107" s="169"/>
      <c r="D107" s="169"/>
      <c r="E107" s="169"/>
      <c r="F107" s="169"/>
      <c r="G107" s="169"/>
      <c r="H107" s="169"/>
      <c r="I107" s="169"/>
      <c r="J107" s="169"/>
      <c r="K107" s="169"/>
      <c r="L107" s="169"/>
      <c r="M107" s="169"/>
      <c r="N107" s="169"/>
      <c r="O107" s="169"/>
      <c r="P107" s="169"/>
      <c r="Q107" s="169"/>
      <c r="R107" s="169"/>
      <c r="S107" s="169"/>
      <c r="T107" s="169"/>
      <c r="U107" s="169"/>
      <c r="V107" s="169"/>
      <c r="W107" s="169"/>
      <c r="X107" s="169"/>
      <c r="Y107" s="169"/>
      <c r="Z107" s="169"/>
      <c r="AA107" s="169"/>
      <c r="AB107" s="169"/>
      <c r="AC107" s="169"/>
      <c r="AD107" s="169"/>
      <c r="AE107" s="169"/>
      <c r="AF107" s="169"/>
      <c r="AG107" s="169"/>
      <c r="AH107" s="169"/>
      <c r="AI107" s="169"/>
      <c r="AJ107" s="169"/>
      <c r="AK107" s="169"/>
      <c r="AL107" s="169"/>
      <c r="AM107" s="169"/>
      <c r="AN107" s="169"/>
      <c r="AO107" s="169"/>
      <c r="AP107" s="169"/>
      <c r="AQ107" s="169"/>
      <c r="AR107" s="169"/>
      <c r="AS107" s="169"/>
      <c r="AT107" s="169"/>
      <c r="AU107" s="169"/>
      <c r="AV107" s="169"/>
      <c r="AW107" s="169"/>
      <c r="AX107" s="169"/>
      <c r="AY107" s="169"/>
      <c r="AZ107" s="169"/>
      <c r="BA107" s="169"/>
      <c r="BB107" s="169"/>
      <c r="BC107" s="169"/>
      <c r="BD107" s="169"/>
      <c r="BE107" s="169"/>
      <c r="BF107" s="169"/>
    </row>
    <row r="108" spans="1:58" ht="15" customHeight="1">
      <c r="A108" s="169"/>
      <c r="B108" s="169"/>
      <c r="C108" s="169"/>
      <c r="D108" s="169"/>
      <c r="E108" s="169"/>
      <c r="F108" s="169"/>
      <c r="G108" s="169"/>
      <c r="H108" s="169"/>
      <c r="I108" s="169"/>
      <c r="J108" s="169"/>
      <c r="K108" s="169"/>
      <c r="L108" s="169"/>
      <c r="M108" s="169"/>
      <c r="N108" s="169"/>
      <c r="O108" s="169"/>
      <c r="P108" s="169"/>
      <c r="Q108" s="169"/>
      <c r="R108" s="169"/>
      <c r="S108" s="169"/>
      <c r="T108" s="169"/>
      <c r="U108" s="169"/>
      <c r="V108" s="169"/>
      <c r="W108" s="169"/>
      <c r="X108" s="169"/>
      <c r="Y108" s="169"/>
      <c r="Z108" s="169"/>
      <c r="AA108" s="169"/>
      <c r="AB108" s="169"/>
      <c r="AC108" s="169"/>
      <c r="AD108" s="169"/>
      <c r="AE108" s="169"/>
      <c r="AF108" s="169"/>
      <c r="AG108" s="169"/>
      <c r="AH108" s="169"/>
      <c r="AI108" s="169"/>
      <c r="AJ108" s="169"/>
      <c r="AK108" s="169"/>
      <c r="AL108" s="169"/>
      <c r="AM108" s="169"/>
      <c r="AN108" s="169"/>
      <c r="AO108" s="169"/>
      <c r="AP108" s="169"/>
      <c r="AQ108" s="169"/>
      <c r="AR108" s="169"/>
      <c r="AS108" s="169"/>
      <c r="AT108" s="169"/>
      <c r="AU108" s="169"/>
      <c r="AV108" s="169"/>
      <c r="AW108" s="169"/>
      <c r="AX108" s="169"/>
      <c r="AY108" s="169"/>
      <c r="AZ108" s="169"/>
      <c r="BA108" s="169"/>
      <c r="BB108" s="169"/>
      <c r="BC108" s="169"/>
      <c r="BD108" s="169"/>
      <c r="BE108" s="169"/>
      <c r="BF108" s="169"/>
    </row>
    <row r="109" spans="1:58" ht="15" customHeight="1">
      <c r="A109" s="169"/>
      <c r="B109" s="169"/>
      <c r="C109" s="169"/>
      <c r="D109" s="169"/>
      <c r="E109" s="169"/>
      <c r="F109" s="169"/>
      <c r="G109" s="169"/>
      <c r="H109" s="169"/>
      <c r="I109" s="169"/>
      <c r="J109" s="169"/>
      <c r="K109" s="169"/>
      <c r="L109" s="169"/>
      <c r="M109" s="169"/>
      <c r="N109" s="169"/>
      <c r="O109" s="169"/>
      <c r="P109" s="169"/>
      <c r="Q109" s="169"/>
      <c r="R109" s="169"/>
      <c r="S109" s="169"/>
      <c r="T109" s="169"/>
      <c r="U109" s="169"/>
      <c r="V109" s="169"/>
      <c r="W109" s="169"/>
      <c r="X109" s="169"/>
      <c r="Y109" s="169"/>
      <c r="Z109" s="169"/>
      <c r="AA109" s="169"/>
      <c r="AB109" s="169"/>
      <c r="AC109" s="169"/>
      <c r="AD109" s="169"/>
      <c r="AE109" s="169"/>
      <c r="AF109" s="169"/>
      <c r="AG109" s="169"/>
      <c r="AH109" s="169"/>
      <c r="AI109" s="169"/>
      <c r="AJ109" s="169"/>
      <c r="AK109" s="169"/>
      <c r="AL109" s="169"/>
      <c r="AM109" s="169"/>
      <c r="AN109" s="169"/>
      <c r="AO109" s="169"/>
      <c r="AP109" s="169"/>
      <c r="AQ109" s="169"/>
      <c r="AR109" s="169"/>
      <c r="AS109" s="169"/>
      <c r="AT109" s="169"/>
      <c r="AU109" s="169"/>
      <c r="AV109" s="169"/>
      <c r="AW109" s="169"/>
      <c r="AX109" s="169"/>
      <c r="AY109" s="169"/>
      <c r="AZ109" s="169"/>
      <c r="BA109" s="169"/>
      <c r="BB109" s="169"/>
      <c r="BC109" s="169"/>
      <c r="BD109" s="169"/>
      <c r="BE109" s="169"/>
      <c r="BF109" s="169"/>
    </row>
    <row r="110" spans="1:58" ht="15" customHeight="1">
      <c r="A110" s="169"/>
      <c r="B110" s="169"/>
      <c r="C110" s="169"/>
      <c r="D110" s="169"/>
      <c r="E110" s="169"/>
      <c r="F110" s="169"/>
      <c r="G110" s="169"/>
      <c r="H110" s="169"/>
      <c r="I110" s="169"/>
      <c r="J110" s="169"/>
      <c r="K110" s="169"/>
      <c r="L110" s="169"/>
      <c r="M110" s="169"/>
      <c r="N110" s="169"/>
      <c r="O110" s="169"/>
      <c r="P110" s="169"/>
      <c r="Q110" s="169"/>
      <c r="R110" s="169"/>
      <c r="S110" s="169"/>
      <c r="T110" s="169"/>
      <c r="U110" s="169"/>
      <c r="V110" s="169"/>
      <c r="W110" s="169"/>
      <c r="X110" s="169"/>
      <c r="Y110" s="169"/>
      <c r="Z110" s="169"/>
      <c r="AA110" s="169"/>
      <c r="AB110" s="169"/>
      <c r="AC110" s="169"/>
      <c r="AD110" s="169"/>
      <c r="AE110" s="169"/>
      <c r="AF110" s="169"/>
      <c r="AG110" s="169"/>
      <c r="AH110" s="169"/>
      <c r="AI110" s="169"/>
      <c r="AJ110" s="169"/>
      <c r="AK110" s="169"/>
      <c r="AL110" s="169"/>
      <c r="AM110" s="169"/>
      <c r="AN110" s="169"/>
      <c r="AO110" s="169"/>
      <c r="AP110" s="169"/>
      <c r="AQ110" s="169"/>
      <c r="AR110" s="169"/>
      <c r="AS110" s="169"/>
      <c r="AT110" s="169"/>
      <c r="AU110" s="169"/>
      <c r="AV110" s="169"/>
      <c r="AW110" s="169"/>
      <c r="AX110" s="169"/>
      <c r="AY110" s="169"/>
      <c r="AZ110" s="169"/>
      <c r="BA110" s="169"/>
      <c r="BB110" s="169"/>
      <c r="BC110" s="169"/>
      <c r="BD110" s="169"/>
      <c r="BE110" s="169"/>
      <c r="BF110" s="169"/>
    </row>
    <row r="111" spans="1:58" ht="15" customHeight="1">
      <c r="A111" s="169"/>
      <c r="B111" s="169"/>
      <c r="C111" s="169"/>
      <c r="D111" s="169"/>
      <c r="E111" s="169"/>
      <c r="F111" s="169"/>
      <c r="G111" s="169"/>
      <c r="H111" s="169"/>
      <c r="I111" s="169"/>
      <c r="J111" s="169"/>
      <c r="K111" s="169"/>
      <c r="L111" s="169"/>
      <c r="M111" s="169"/>
      <c r="N111" s="169"/>
      <c r="O111" s="169"/>
      <c r="P111" s="169"/>
      <c r="Q111" s="169"/>
      <c r="R111" s="169"/>
      <c r="S111" s="169"/>
      <c r="T111" s="169"/>
      <c r="U111" s="169"/>
      <c r="V111" s="169"/>
      <c r="W111" s="169"/>
      <c r="X111" s="169"/>
      <c r="Y111" s="169"/>
      <c r="Z111" s="169"/>
      <c r="AA111" s="169"/>
      <c r="AB111" s="169"/>
      <c r="AC111" s="169"/>
      <c r="AD111" s="169"/>
      <c r="AE111" s="169"/>
      <c r="AF111" s="169"/>
      <c r="AG111" s="169"/>
      <c r="AH111" s="169"/>
      <c r="AI111" s="169"/>
      <c r="AJ111" s="169"/>
      <c r="AK111" s="169"/>
      <c r="AL111" s="169"/>
      <c r="AM111" s="169"/>
      <c r="AN111" s="169"/>
      <c r="AO111" s="169"/>
      <c r="AP111" s="169"/>
      <c r="AQ111" s="169"/>
      <c r="AR111" s="169"/>
      <c r="AS111" s="169"/>
      <c r="AT111" s="169"/>
      <c r="AU111" s="169"/>
      <c r="AV111" s="169"/>
      <c r="AW111" s="169"/>
      <c r="AX111" s="169"/>
      <c r="AY111" s="169"/>
      <c r="AZ111" s="169"/>
      <c r="BA111" s="169"/>
      <c r="BB111" s="169"/>
      <c r="BC111" s="169"/>
      <c r="BD111" s="169"/>
      <c r="BE111" s="169"/>
      <c r="BF111" s="169"/>
    </row>
    <row r="112" spans="1:58" ht="15" customHeight="1">
      <c r="A112" s="169"/>
      <c r="B112" s="169"/>
      <c r="C112" s="169"/>
      <c r="D112" s="169"/>
      <c r="E112" s="169"/>
      <c r="F112" s="169"/>
      <c r="G112" s="169"/>
      <c r="H112" s="169"/>
      <c r="I112" s="169"/>
      <c r="J112" s="169"/>
      <c r="K112" s="169"/>
      <c r="L112" s="169"/>
      <c r="M112" s="169"/>
      <c r="N112" s="169"/>
      <c r="O112" s="169"/>
      <c r="P112" s="169"/>
      <c r="Q112" s="169"/>
      <c r="R112" s="169"/>
      <c r="S112" s="169"/>
      <c r="T112" s="169"/>
      <c r="U112" s="169"/>
      <c r="V112" s="169"/>
      <c r="W112" s="169"/>
      <c r="X112" s="169"/>
      <c r="Y112" s="169"/>
      <c r="Z112" s="169"/>
      <c r="AA112" s="169"/>
      <c r="AB112" s="169"/>
      <c r="AC112" s="169"/>
      <c r="AD112" s="169"/>
      <c r="AE112" s="169"/>
      <c r="AF112" s="169"/>
      <c r="AG112" s="169"/>
      <c r="AH112" s="169"/>
      <c r="AI112" s="169"/>
      <c r="AJ112" s="169"/>
      <c r="AK112" s="169"/>
      <c r="AL112" s="169"/>
      <c r="AM112" s="169"/>
      <c r="AN112" s="169"/>
      <c r="AO112" s="169"/>
      <c r="AP112" s="169"/>
      <c r="AQ112" s="169"/>
      <c r="AR112" s="169"/>
      <c r="AS112" s="169"/>
      <c r="AT112" s="169"/>
      <c r="AU112" s="169"/>
      <c r="AV112" s="169"/>
      <c r="AW112" s="169"/>
      <c r="AX112" s="169"/>
      <c r="AY112" s="169"/>
      <c r="AZ112" s="169"/>
      <c r="BA112" s="169"/>
      <c r="BB112" s="169"/>
      <c r="BC112" s="169"/>
      <c r="BD112" s="169"/>
      <c r="BE112" s="169"/>
      <c r="BF112" s="169"/>
    </row>
    <row r="113" spans="1:58" ht="15" customHeight="1">
      <c r="A113" s="169"/>
      <c r="B113" s="169"/>
      <c r="C113" s="169"/>
      <c r="D113" s="169"/>
      <c r="E113" s="169"/>
      <c r="F113" s="169"/>
      <c r="G113" s="169"/>
      <c r="H113" s="169"/>
      <c r="I113" s="169"/>
      <c r="J113" s="169"/>
      <c r="K113" s="169"/>
      <c r="L113" s="169"/>
      <c r="M113" s="169"/>
      <c r="N113" s="169"/>
      <c r="O113" s="169"/>
      <c r="P113" s="169"/>
      <c r="Q113" s="169"/>
      <c r="R113" s="169"/>
      <c r="S113" s="169"/>
      <c r="T113" s="169"/>
      <c r="U113" s="169"/>
      <c r="V113" s="169"/>
      <c r="W113" s="169"/>
      <c r="X113" s="169"/>
      <c r="Y113" s="169"/>
      <c r="Z113" s="169"/>
      <c r="AA113" s="169"/>
      <c r="AB113" s="169"/>
      <c r="AC113" s="169"/>
      <c r="AD113" s="169"/>
      <c r="AE113" s="169"/>
      <c r="AF113" s="169"/>
      <c r="AG113" s="169"/>
      <c r="AH113" s="169"/>
      <c r="AI113" s="169"/>
      <c r="AJ113" s="169"/>
      <c r="AK113" s="169"/>
      <c r="AL113" s="169"/>
      <c r="AM113" s="169"/>
      <c r="AN113" s="169"/>
      <c r="AO113" s="169"/>
      <c r="AP113" s="169"/>
      <c r="AQ113" s="169"/>
      <c r="AR113" s="169"/>
      <c r="AS113" s="169"/>
      <c r="AT113" s="169"/>
      <c r="AU113" s="169"/>
      <c r="AV113" s="169"/>
      <c r="AW113" s="169"/>
      <c r="AX113" s="169"/>
      <c r="AY113" s="169"/>
      <c r="AZ113" s="169"/>
      <c r="BA113" s="169"/>
      <c r="BB113" s="169"/>
      <c r="BC113" s="169"/>
      <c r="BD113" s="169"/>
      <c r="BE113" s="169"/>
      <c r="BF113" s="169"/>
    </row>
    <row r="114" spans="1:58" ht="15" customHeight="1">
      <c r="A114" s="169"/>
      <c r="B114" s="169"/>
      <c r="C114" s="169"/>
      <c r="D114" s="169"/>
      <c r="E114" s="169"/>
      <c r="F114" s="169"/>
      <c r="G114" s="169"/>
      <c r="H114" s="169"/>
      <c r="I114" s="169"/>
      <c r="J114" s="169"/>
      <c r="K114" s="169"/>
      <c r="L114" s="169"/>
      <c r="M114" s="169"/>
      <c r="N114" s="169"/>
      <c r="O114" s="169"/>
      <c r="P114" s="169"/>
      <c r="Q114" s="169"/>
      <c r="R114" s="169"/>
      <c r="S114" s="169"/>
      <c r="T114" s="169"/>
      <c r="U114" s="169"/>
      <c r="V114" s="169"/>
      <c r="W114" s="169"/>
      <c r="X114" s="169"/>
      <c r="Y114" s="169"/>
      <c r="Z114" s="169"/>
      <c r="AA114" s="169"/>
      <c r="AB114" s="169"/>
      <c r="AC114" s="169"/>
      <c r="AD114" s="169"/>
      <c r="AE114" s="169"/>
      <c r="AF114" s="169"/>
      <c r="AG114" s="169"/>
      <c r="AH114" s="169"/>
      <c r="AI114" s="169"/>
      <c r="AJ114" s="169"/>
      <c r="AK114" s="169"/>
      <c r="AL114" s="169"/>
      <c r="AM114" s="169"/>
      <c r="AN114" s="169"/>
      <c r="AO114" s="169"/>
      <c r="AP114" s="169"/>
      <c r="AQ114" s="169"/>
      <c r="AR114" s="169"/>
      <c r="AS114" s="169"/>
      <c r="AT114" s="169"/>
      <c r="AU114" s="169"/>
      <c r="AV114" s="169"/>
      <c r="AW114" s="169"/>
      <c r="AX114" s="169"/>
      <c r="AY114" s="169"/>
      <c r="AZ114" s="169"/>
      <c r="BA114" s="169"/>
      <c r="BB114" s="169"/>
      <c r="BC114" s="169"/>
      <c r="BD114" s="169"/>
      <c r="BE114" s="169"/>
      <c r="BF114" s="169"/>
    </row>
    <row r="115" spans="1:58" ht="15" customHeight="1">
      <c r="A115" s="169"/>
      <c r="B115" s="169"/>
      <c r="C115" s="169"/>
      <c r="D115" s="169"/>
      <c r="E115" s="169"/>
      <c r="F115" s="169"/>
      <c r="G115" s="169"/>
      <c r="H115" s="169"/>
      <c r="I115" s="169"/>
      <c r="J115" s="169"/>
      <c r="K115" s="169"/>
      <c r="L115" s="169"/>
      <c r="M115" s="169"/>
      <c r="N115" s="169"/>
      <c r="O115" s="169"/>
      <c r="P115" s="169"/>
      <c r="Q115" s="169"/>
      <c r="R115" s="169"/>
      <c r="S115" s="169"/>
      <c r="T115" s="169"/>
      <c r="U115" s="169"/>
      <c r="V115" s="169"/>
      <c r="W115" s="169"/>
      <c r="X115" s="169"/>
      <c r="Y115" s="169"/>
      <c r="Z115" s="169"/>
      <c r="AA115" s="169"/>
      <c r="AB115" s="169"/>
      <c r="AC115" s="169"/>
      <c r="AD115" s="169"/>
      <c r="AE115" s="169"/>
      <c r="AF115" s="169"/>
      <c r="AG115" s="169"/>
      <c r="AH115" s="169"/>
      <c r="AI115" s="169"/>
      <c r="AJ115" s="169"/>
      <c r="AK115" s="169"/>
      <c r="AL115" s="169"/>
      <c r="AM115" s="169"/>
      <c r="AN115" s="169"/>
      <c r="AO115" s="169"/>
      <c r="AP115" s="169"/>
      <c r="AQ115" s="169"/>
      <c r="AR115" s="169"/>
      <c r="AS115" s="169"/>
      <c r="AT115" s="169"/>
      <c r="AU115" s="169"/>
      <c r="AV115" s="169"/>
      <c r="AW115" s="169"/>
      <c r="AX115" s="169"/>
      <c r="AY115" s="169"/>
      <c r="AZ115" s="169"/>
      <c r="BA115" s="169"/>
      <c r="BB115" s="169"/>
      <c r="BC115" s="169"/>
      <c r="BD115" s="169"/>
      <c r="BE115" s="169"/>
      <c r="BF115" s="169"/>
    </row>
    <row r="116" spans="1:58" ht="15" customHeight="1">
      <c r="A116" s="169"/>
      <c r="B116" s="169"/>
      <c r="C116" s="169"/>
      <c r="D116" s="169"/>
      <c r="E116" s="169"/>
      <c r="F116" s="169"/>
      <c r="G116" s="169"/>
      <c r="H116" s="169"/>
      <c r="I116" s="169"/>
      <c r="J116" s="169"/>
      <c r="K116" s="169"/>
      <c r="L116" s="169"/>
      <c r="M116" s="169"/>
      <c r="N116" s="169"/>
      <c r="O116" s="169"/>
      <c r="P116" s="169"/>
      <c r="Q116" s="169"/>
      <c r="R116" s="169"/>
      <c r="S116" s="169"/>
      <c r="T116" s="169"/>
      <c r="U116" s="169"/>
      <c r="V116" s="169"/>
      <c r="W116" s="169"/>
      <c r="X116" s="169"/>
      <c r="Y116" s="169"/>
      <c r="Z116" s="169"/>
      <c r="AA116" s="169"/>
      <c r="AB116" s="169"/>
      <c r="AC116" s="169"/>
      <c r="AD116" s="169"/>
      <c r="AE116" s="169"/>
      <c r="AF116" s="169"/>
      <c r="AG116" s="169"/>
      <c r="AH116" s="169"/>
      <c r="AI116" s="169"/>
      <c r="AJ116" s="169"/>
      <c r="AK116" s="169"/>
      <c r="AL116" s="169"/>
      <c r="AM116" s="169"/>
      <c r="AN116" s="169"/>
      <c r="AO116" s="169"/>
      <c r="AP116" s="169"/>
      <c r="AQ116" s="169"/>
      <c r="AR116" s="169"/>
      <c r="AS116" s="169"/>
      <c r="AT116" s="169"/>
      <c r="AU116" s="169"/>
      <c r="AV116" s="169"/>
      <c r="AW116" s="169"/>
      <c r="AX116" s="169"/>
      <c r="AY116" s="169"/>
      <c r="AZ116" s="169"/>
      <c r="BA116" s="169"/>
      <c r="BB116" s="169"/>
      <c r="BC116" s="169"/>
      <c r="BD116" s="169"/>
      <c r="BE116" s="169"/>
      <c r="BF116" s="169"/>
    </row>
    <row r="117" spans="1:58" ht="15" customHeight="1">
      <c r="A117" s="169"/>
      <c r="B117" s="169"/>
      <c r="C117" s="169"/>
      <c r="D117" s="169"/>
      <c r="E117" s="169"/>
      <c r="F117" s="169"/>
      <c r="G117" s="169"/>
      <c r="H117" s="169"/>
      <c r="I117" s="169"/>
      <c r="J117" s="169"/>
      <c r="K117" s="169"/>
      <c r="L117" s="169"/>
      <c r="M117" s="169"/>
      <c r="N117" s="169"/>
      <c r="O117" s="169"/>
      <c r="P117" s="169"/>
      <c r="Q117" s="169"/>
      <c r="R117" s="169"/>
      <c r="S117" s="169"/>
      <c r="T117" s="169"/>
      <c r="U117" s="169"/>
      <c r="V117" s="169"/>
      <c r="W117" s="169"/>
      <c r="X117" s="169"/>
      <c r="Y117" s="169"/>
      <c r="Z117" s="169"/>
      <c r="AA117" s="169"/>
      <c r="AB117" s="169"/>
      <c r="AC117" s="169"/>
      <c r="AD117" s="169"/>
      <c r="AE117" s="169"/>
      <c r="AF117" s="169"/>
      <c r="AG117" s="169"/>
      <c r="AH117" s="169"/>
      <c r="AI117" s="169"/>
      <c r="AJ117" s="169"/>
      <c r="AK117" s="169"/>
      <c r="AL117" s="169"/>
      <c r="AM117" s="169"/>
      <c r="AN117" s="169"/>
      <c r="AO117" s="169"/>
      <c r="AP117" s="169"/>
      <c r="AQ117" s="169"/>
      <c r="AR117" s="169"/>
      <c r="AS117" s="169"/>
      <c r="AT117" s="169"/>
      <c r="AU117" s="169"/>
      <c r="AV117" s="169"/>
      <c r="AW117" s="169"/>
      <c r="AX117" s="169"/>
      <c r="AY117" s="169"/>
      <c r="AZ117" s="169"/>
      <c r="BA117" s="169"/>
      <c r="BB117" s="169"/>
      <c r="BC117" s="169"/>
      <c r="BD117" s="169"/>
      <c r="BE117" s="169"/>
      <c r="BF117" s="169"/>
    </row>
    <row r="118" spans="1:58" ht="15" customHeight="1">
      <c r="A118" s="169"/>
      <c r="B118" s="169"/>
      <c r="C118" s="169"/>
      <c r="D118" s="169"/>
      <c r="E118" s="169"/>
      <c r="F118" s="169"/>
      <c r="G118" s="169"/>
      <c r="H118" s="169"/>
      <c r="I118" s="169"/>
      <c r="J118" s="169"/>
      <c r="K118" s="169"/>
      <c r="L118" s="169"/>
      <c r="M118" s="169"/>
      <c r="N118" s="169"/>
      <c r="O118" s="169"/>
      <c r="P118" s="169"/>
      <c r="Q118" s="169"/>
      <c r="R118" s="169"/>
      <c r="S118" s="169"/>
      <c r="T118" s="169"/>
      <c r="U118" s="169"/>
      <c r="V118" s="169"/>
      <c r="W118" s="169"/>
      <c r="X118" s="169"/>
      <c r="Y118" s="169"/>
      <c r="Z118" s="169"/>
      <c r="AA118" s="169"/>
      <c r="AB118" s="169"/>
      <c r="AC118" s="169"/>
      <c r="AD118" s="169"/>
      <c r="AE118" s="169"/>
      <c r="AF118" s="169"/>
      <c r="AG118" s="169"/>
      <c r="AH118" s="169"/>
      <c r="AI118" s="169"/>
      <c r="AJ118" s="169"/>
      <c r="AK118" s="169"/>
      <c r="AL118" s="169"/>
      <c r="AM118" s="169"/>
      <c r="AN118" s="169"/>
      <c r="AO118" s="169"/>
      <c r="AP118" s="169"/>
      <c r="AQ118" s="169"/>
      <c r="AR118" s="169"/>
      <c r="AS118" s="169"/>
      <c r="AT118" s="169"/>
      <c r="AU118" s="169"/>
      <c r="AV118" s="169"/>
      <c r="AW118" s="169"/>
      <c r="AX118" s="169"/>
      <c r="AY118" s="169"/>
      <c r="AZ118" s="169"/>
      <c r="BA118" s="169"/>
      <c r="BB118" s="169"/>
      <c r="BC118" s="169"/>
      <c r="BD118" s="169"/>
      <c r="BE118" s="169"/>
      <c r="BF118" s="169"/>
    </row>
    <row r="119" spans="1:58" ht="15" customHeight="1">
      <c r="A119" s="169"/>
      <c r="B119" s="169"/>
      <c r="C119" s="169"/>
      <c r="D119" s="169"/>
      <c r="E119" s="169"/>
      <c r="F119" s="169"/>
      <c r="G119" s="169"/>
      <c r="H119" s="169"/>
      <c r="I119" s="169"/>
      <c r="J119" s="169"/>
      <c r="K119" s="169"/>
      <c r="L119" s="169"/>
      <c r="M119" s="169"/>
      <c r="N119" s="169"/>
      <c r="O119" s="169"/>
      <c r="P119" s="169"/>
      <c r="Q119" s="169"/>
      <c r="R119" s="169"/>
      <c r="S119" s="169"/>
      <c r="T119" s="169"/>
      <c r="U119" s="169"/>
      <c r="V119" s="169"/>
      <c r="W119" s="169"/>
      <c r="X119" s="169"/>
      <c r="Y119" s="169"/>
      <c r="Z119" s="169"/>
      <c r="AA119" s="169"/>
      <c r="AB119" s="169"/>
      <c r="AC119" s="169"/>
      <c r="AD119" s="169"/>
      <c r="AE119" s="169"/>
      <c r="AF119" s="169"/>
      <c r="AG119" s="169"/>
      <c r="AH119" s="169"/>
      <c r="AI119" s="169"/>
      <c r="AJ119" s="169"/>
      <c r="AK119" s="169"/>
      <c r="AL119" s="169"/>
      <c r="AM119" s="169"/>
      <c r="AN119" s="169"/>
      <c r="AO119" s="169"/>
      <c r="AP119" s="169"/>
      <c r="AQ119" s="169"/>
      <c r="AR119" s="169"/>
      <c r="AS119" s="169"/>
      <c r="AT119" s="169"/>
      <c r="AU119" s="169"/>
      <c r="AV119" s="169"/>
      <c r="AW119" s="169"/>
      <c r="AX119" s="169"/>
      <c r="AY119" s="169"/>
      <c r="AZ119" s="169"/>
      <c r="BA119" s="169"/>
      <c r="BB119" s="169"/>
      <c r="BC119" s="169"/>
      <c r="BD119" s="169"/>
      <c r="BE119" s="169"/>
      <c r="BF119" s="169"/>
    </row>
    <row r="120" spans="1:58" ht="15" customHeight="1">
      <c r="A120" s="169"/>
      <c r="B120" s="169"/>
      <c r="C120" s="169"/>
      <c r="D120" s="169"/>
      <c r="E120" s="169"/>
      <c r="F120" s="169"/>
      <c r="G120" s="169"/>
      <c r="H120" s="169"/>
      <c r="I120" s="169"/>
      <c r="J120" s="169"/>
      <c r="K120" s="169"/>
      <c r="L120" s="169"/>
      <c r="M120" s="169"/>
      <c r="N120" s="169"/>
      <c r="O120" s="169"/>
      <c r="P120" s="169"/>
      <c r="Q120" s="169"/>
      <c r="R120" s="169"/>
      <c r="S120" s="169"/>
      <c r="T120" s="169"/>
      <c r="U120" s="169"/>
      <c r="V120" s="169"/>
      <c r="W120" s="169"/>
      <c r="X120" s="169"/>
      <c r="Y120" s="169"/>
      <c r="Z120" s="169"/>
      <c r="AA120" s="169"/>
      <c r="AB120" s="169"/>
      <c r="AC120" s="169"/>
      <c r="AD120" s="169"/>
      <c r="AE120" s="169"/>
      <c r="AF120" s="169"/>
      <c r="AG120" s="169"/>
      <c r="AH120" s="169"/>
      <c r="AI120" s="169"/>
      <c r="AJ120" s="169"/>
      <c r="AK120" s="169"/>
      <c r="AL120" s="169"/>
      <c r="AM120" s="169"/>
      <c r="AN120" s="169"/>
      <c r="AO120" s="169"/>
      <c r="AP120" s="169"/>
      <c r="AQ120" s="169"/>
      <c r="AR120" s="169"/>
      <c r="AS120" s="169"/>
      <c r="AT120" s="169"/>
      <c r="AU120" s="169"/>
      <c r="AV120" s="169"/>
      <c r="AW120" s="169"/>
      <c r="AX120" s="169"/>
      <c r="AY120" s="169"/>
      <c r="AZ120" s="169"/>
      <c r="BA120" s="169"/>
      <c r="BB120" s="169"/>
      <c r="BC120" s="169"/>
      <c r="BD120" s="169"/>
      <c r="BE120" s="169"/>
      <c r="BF120" s="169"/>
    </row>
    <row r="121" spans="1:58" ht="15" customHeight="1">
      <c r="A121" s="169"/>
      <c r="B121" s="169"/>
      <c r="C121" s="169"/>
      <c r="D121" s="169"/>
      <c r="E121" s="169"/>
      <c r="F121" s="169"/>
      <c r="G121" s="169"/>
      <c r="H121" s="169"/>
      <c r="I121" s="169"/>
      <c r="J121" s="169"/>
      <c r="K121" s="169"/>
      <c r="L121" s="169"/>
      <c r="M121" s="169"/>
      <c r="N121" s="169"/>
      <c r="O121" s="169"/>
      <c r="P121" s="169"/>
      <c r="Q121" s="169"/>
      <c r="R121" s="169"/>
      <c r="S121" s="169"/>
      <c r="T121" s="169"/>
      <c r="U121" s="169"/>
      <c r="V121" s="169"/>
      <c r="W121" s="169"/>
      <c r="X121" s="169"/>
      <c r="Y121" s="169"/>
      <c r="Z121" s="169"/>
      <c r="AA121" s="169"/>
      <c r="AB121" s="169"/>
      <c r="AC121" s="169"/>
      <c r="AD121" s="169"/>
      <c r="AE121" s="169"/>
      <c r="AF121" s="169"/>
      <c r="AG121" s="169"/>
      <c r="AH121" s="169"/>
      <c r="AI121" s="169"/>
      <c r="AJ121" s="169"/>
      <c r="AK121" s="169"/>
      <c r="AL121" s="169"/>
      <c r="AM121" s="169"/>
      <c r="AN121" s="169"/>
      <c r="AO121" s="169"/>
      <c r="AP121" s="169"/>
      <c r="AQ121" s="169"/>
      <c r="AR121" s="169"/>
      <c r="AS121" s="169"/>
      <c r="AT121" s="169"/>
      <c r="AU121" s="169"/>
      <c r="AV121" s="169"/>
      <c r="AW121" s="169"/>
      <c r="AX121" s="169"/>
      <c r="AY121" s="169"/>
      <c r="AZ121" s="169"/>
      <c r="BA121" s="169"/>
      <c r="BB121" s="169"/>
      <c r="BC121" s="169"/>
      <c r="BD121" s="169"/>
      <c r="BE121" s="169"/>
      <c r="BF121" s="169"/>
    </row>
    <row r="122" spans="1:58" ht="15" customHeight="1">
      <c r="A122" s="169"/>
      <c r="B122" s="169"/>
      <c r="C122" s="169"/>
      <c r="D122" s="169"/>
      <c r="E122" s="169"/>
      <c r="F122" s="169"/>
      <c r="G122" s="169"/>
      <c r="H122" s="169"/>
      <c r="I122" s="169"/>
      <c r="J122" s="169"/>
      <c r="K122" s="169"/>
      <c r="L122" s="169"/>
      <c r="M122" s="169"/>
      <c r="N122" s="169"/>
      <c r="O122" s="169"/>
      <c r="P122" s="169"/>
      <c r="Q122" s="169"/>
      <c r="R122" s="169"/>
      <c r="S122" s="169"/>
      <c r="T122" s="169"/>
      <c r="U122" s="169"/>
      <c r="V122" s="169"/>
      <c r="W122" s="169"/>
      <c r="X122" s="169"/>
      <c r="Y122" s="169"/>
      <c r="Z122" s="169"/>
      <c r="AA122" s="169"/>
      <c r="AB122" s="169"/>
      <c r="AC122" s="169"/>
      <c r="AD122" s="169"/>
      <c r="AE122" s="169"/>
      <c r="AF122" s="169"/>
      <c r="AG122" s="169"/>
      <c r="AH122" s="169"/>
      <c r="AI122" s="169"/>
      <c r="AJ122" s="169"/>
      <c r="AK122" s="169"/>
      <c r="AL122" s="169"/>
      <c r="AM122" s="169"/>
      <c r="AN122" s="169"/>
      <c r="AO122" s="169"/>
      <c r="AP122" s="169"/>
      <c r="AQ122" s="169"/>
      <c r="AR122" s="169"/>
      <c r="AS122" s="169"/>
      <c r="AT122" s="169"/>
      <c r="AU122" s="169"/>
      <c r="AV122" s="169"/>
      <c r="AW122" s="169"/>
      <c r="AX122" s="169"/>
      <c r="AY122" s="169"/>
      <c r="AZ122" s="169"/>
      <c r="BA122" s="169"/>
      <c r="BB122" s="169"/>
      <c r="BC122" s="169"/>
      <c r="BD122" s="169"/>
      <c r="BE122" s="169"/>
      <c r="BF122" s="169"/>
    </row>
    <row r="123" spans="1:58" ht="15" customHeight="1">
      <c r="A123" s="169"/>
      <c r="B123" s="169"/>
      <c r="C123" s="169"/>
      <c r="D123" s="169"/>
      <c r="E123" s="169"/>
      <c r="F123" s="169"/>
      <c r="G123" s="169"/>
      <c r="H123" s="169"/>
      <c r="I123" s="169"/>
      <c r="J123" s="169"/>
      <c r="K123" s="169"/>
      <c r="L123" s="169"/>
      <c r="M123" s="169"/>
      <c r="N123" s="169"/>
      <c r="O123" s="169"/>
      <c r="P123" s="169"/>
      <c r="Q123" s="169"/>
      <c r="R123" s="169"/>
      <c r="S123" s="169"/>
      <c r="T123" s="169"/>
      <c r="U123" s="169"/>
      <c r="V123" s="169"/>
      <c r="W123" s="169"/>
      <c r="X123" s="169"/>
      <c r="Y123" s="169"/>
      <c r="Z123" s="169"/>
      <c r="AA123" s="169"/>
      <c r="AB123" s="169"/>
      <c r="AC123" s="169"/>
      <c r="AD123" s="169"/>
      <c r="AE123" s="169"/>
      <c r="AF123" s="169"/>
      <c r="AG123" s="169"/>
      <c r="AH123" s="169"/>
      <c r="AI123" s="169"/>
      <c r="AJ123" s="169"/>
      <c r="AK123" s="169"/>
      <c r="AL123" s="169"/>
      <c r="AM123" s="169"/>
      <c r="AN123" s="169"/>
      <c r="AO123" s="169"/>
      <c r="AP123" s="169"/>
      <c r="AQ123" s="169"/>
      <c r="AR123" s="169"/>
      <c r="AS123" s="169"/>
      <c r="AT123" s="169"/>
      <c r="AU123" s="169"/>
      <c r="AV123" s="169"/>
      <c r="AW123" s="169"/>
      <c r="AX123" s="169"/>
      <c r="AY123" s="169"/>
      <c r="AZ123" s="169"/>
      <c r="BA123" s="169"/>
      <c r="BB123" s="169"/>
      <c r="BC123" s="169"/>
      <c r="BD123" s="169"/>
      <c r="BE123" s="169"/>
      <c r="BF123" s="169"/>
    </row>
    <row r="124" spans="1:58" ht="15" customHeight="1">
      <c r="A124" s="169"/>
      <c r="B124" s="169"/>
      <c r="C124" s="169"/>
      <c r="D124" s="169"/>
      <c r="E124" s="169"/>
      <c r="F124" s="169"/>
      <c r="G124" s="169"/>
      <c r="H124" s="169"/>
      <c r="I124" s="169"/>
      <c r="J124" s="169"/>
      <c r="K124" s="169"/>
      <c r="L124" s="169"/>
      <c r="M124" s="169"/>
      <c r="N124" s="169"/>
      <c r="O124" s="169"/>
      <c r="P124" s="169"/>
      <c r="Q124" s="169"/>
      <c r="R124" s="169"/>
      <c r="S124" s="169"/>
      <c r="T124" s="169"/>
      <c r="U124" s="169"/>
      <c r="V124" s="169"/>
      <c r="W124" s="169"/>
      <c r="X124" s="169"/>
      <c r="Y124" s="169"/>
      <c r="Z124" s="169"/>
      <c r="AA124" s="169"/>
      <c r="AB124" s="169"/>
      <c r="AC124" s="169"/>
      <c r="AD124" s="169"/>
      <c r="AE124" s="169"/>
      <c r="AF124" s="169"/>
      <c r="AG124" s="169"/>
      <c r="AH124" s="169"/>
      <c r="AI124" s="169"/>
      <c r="AJ124" s="169"/>
      <c r="AK124" s="169"/>
      <c r="AL124" s="169"/>
      <c r="AM124" s="169"/>
      <c r="AN124" s="169"/>
      <c r="AO124" s="169"/>
      <c r="AP124" s="169"/>
      <c r="AQ124" s="169"/>
      <c r="AR124" s="169"/>
      <c r="AS124" s="169"/>
      <c r="AT124" s="169"/>
      <c r="AU124" s="169"/>
      <c r="AV124" s="169"/>
      <c r="AW124" s="169"/>
      <c r="AX124" s="169"/>
      <c r="AY124" s="169"/>
      <c r="AZ124" s="169"/>
      <c r="BA124" s="169"/>
      <c r="BB124" s="169"/>
      <c r="BC124" s="169"/>
      <c r="BD124" s="169"/>
      <c r="BE124" s="169"/>
      <c r="BF124" s="169"/>
    </row>
    <row r="125" spans="1:58" ht="15" customHeight="1">
      <c r="A125" s="169"/>
      <c r="B125" s="169"/>
      <c r="C125" s="169"/>
      <c r="D125" s="169"/>
      <c r="E125" s="169"/>
      <c r="F125" s="169"/>
      <c r="G125" s="169"/>
      <c r="H125" s="169"/>
      <c r="I125" s="169"/>
      <c r="J125" s="169"/>
      <c r="K125" s="169"/>
      <c r="L125" s="169"/>
      <c r="M125" s="169"/>
      <c r="N125" s="169"/>
      <c r="O125" s="169"/>
      <c r="P125" s="169"/>
      <c r="Q125" s="169"/>
      <c r="R125" s="169"/>
      <c r="S125" s="169"/>
      <c r="T125" s="169"/>
      <c r="U125" s="169"/>
      <c r="V125" s="169"/>
      <c r="W125" s="169"/>
      <c r="X125" s="169"/>
      <c r="Y125" s="169"/>
      <c r="Z125" s="169"/>
      <c r="AA125" s="169"/>
      <c r="AB125" s="169"/>
      <c r="AC125" s="169"/>
      <c r="AD125" s="169"/>
      <c r="AE125" s="169"/>
      <c r="AF125" s="169"/>
      <c r="AG125" s="169"/>
      <c r="AH125" s="169"/>
      <c r="AI125" s="169"/>
      <c r="AJ125" s="169"/>
      <c r="AK125" s="169"/>
      <c r="AL125" s="169"/>
      <c r="AM125" s="169"/>
      <c r="AN125" s="169"/>
      <c r="AO125" s="169"/>
      <c r="AP125" s="169"/>
      <c r="AQ125" s="169"/>
      <c r="AR125" s="169"/>
      <c r="AS125" s="169"/>
      <c r="AT125" s="169"/>
      <c r="AU125" s="169"/>
      <c r="AV125" s="169"/>
      <c r="AW125" s="169"/>
      <c r="AX125" s="169"/>
      <c r="AY125" s="169"/>
      <c r="AZ125" s="169"/>
      <c r="BA125" s="169"/>
      <c r="BB125" s="169"/>
      <c r="BC125" s="169"/>
      <c r="BD125" s="169"/>
      <c r="BE125" s="169"/>
      <c r="BF125" s="169"/>
    </row>
    <row r="126" spans="1:58" ht="15" customHeight="1">
      <c r="A126" s="169"/>
      <c r="B126" s="169"/>
      <c r="C126" s="169"/>
      <c r="D126" s="169"/>
      <c r="E126" s="169"/>
      <c r="F126" s="169"/>
      <c r="G126" s="169"/>
      <c r="H126" s="169"/>
      <c r="I126" s="169"/>
      <c r="J126" s="169"/>
      <c r="K126" s="169"/>
      <c r="L126" s="169"/>
      <c r="M126" s="169"/>
      <c r="N126" s="169"/>
      <c r="O126" s="169"/>
      <c r="P126" s="169"/>
      <c r="Q126" s="169"/>
      <c r="R126" s="169"/>
      <c r="S126" s="169"/>
      <c r="T126" s="169"/>
      <c r="U126" s="169"/>
      <c r="V126" s="169"/>
      <c r="W126" s="169"/>
      <c r="X126" s="169"/>
      <c r="Y126" s="169"/>
      <c r="Z126" s="169"/>
      <c r="AA126" s="169"/>
      <c r="AB126" s="169"/>
      <c r="AC126" s="169"/>
      <c r="AD126" s="169"/>
      <c r="AE126" s="169"/>
      <c r="AF126" s="169"/>
      <c r="AG126" s="169"/>
      <c r="AH126" s="169"/>
      <c r="AI126" s="169"/>
      <c r="AJ126" s="169"/>
      <c r="AK126" s="169"/>
      <c r="AL126" s="169"/>
      <c r="AM126" s="169"/>
      <c r="AN126" s="169"/>
      <c r="AO126" s="169"/>
      <c r="AP126" s="169"/>
      <c r="AQ126" s="169"/>
      <c r="AR126" s="169"/>
      <c r="AS126" s="169"/>
      <c r="AT126" s="169"/>
      <c r="AU126" s="169"/>
      <c r="AV126" s="169"/>
      <c r="AW126" s="169"/>
      <c r="AX126" s="169"/>
      <c r="AY126" s="169"/>
      <c r="AZ126" s="169"/>
      <c r="BA126" s="169"/>
      <c r="BB126" s="169"/>
      <c r="BC126" s="169"/>
      <c r="BD126" s="169"/>
      <c r="BE126" s="169"/>
      <c r="BF126" s="169"/>
    </row>
    <row r="127" spans="1:58" ht="15" customHeight="1">
      <c r="A127" s="169"/>
      <c r="B127" s="169"/>
      <c r="C127" s="169"/>
      <c r="D127" s="169"/>
      <c r="E127" s="169"/>
      <c r="F127" s="169"/>
      <c r="G127" s="169"/>
      <c r="H127" s="169"/>
      <c r="I127" s="169"/>
      <c r="J127" s="169"/>
      <c r="K127" s="169"/>
      <c r="L127" s="169"/>
      <c r="M127" s="169"/>
      <c r="N127" s="169"/>
      <c r="O127" s="169"/>
      <c r="P127" s="169"/>
      <c r="Q127" s="169"/>
      <c r="R127" s="169"/>
      <c r="S127" s="169"/>
      <c r="T127" s="169"/>
      <c r="U127" s="169"/>
      <c r="V127" s="169"/>
      <c r="W127" s="169"/>
      <c r="X127" s="169"/>
      <c r="Y127" s="169"/>
      <c r="Z127" s="169"/>
      <c r="AA127" s="169"/>
      <c r="AB127" s="169"/>
      <c r="AC127" s="169"/>
      <c r="AD127" s="169"/>
      <c r="AE127" s="169"/>
      <c r="AF127" s="169"/>
      <c r="AG127" s="169"/>
      <c r="AH127" s="169"/>
      <c r="AI127" s="169"/>
      <c r="AJ127" s="169"/>
      <c r="AK127" s="169"/>
      <c r="AL127" s="169"/>
      <c r="AM127" s="169"/>
      <c r="AN127" s="169"/>
      <c r="AO127" s="169"/>
      <c r="AP127" s="169"/>
      <c r="AQ127" s="169"/>
      <c r="AR127" s="169"/>
      <c r="AS127" s="169"/>
      <c r="AT127" s="169"/>
      <c r="AU127" s="169"/>
      <c r="AV127" s="169"/>
      <c r="AW127" s="169"/>
      <c r="AX127" s="169"/>
      <c r="AY127" s="169"/>
      <c r="AZ127" s="169"/>
      <c r="BA127" s="169"/>
      <c r="BB127" s="169"/>
      <c r="BC127" s="169"/>
      <c r="BD127" s="169"/>
      <c r="BE127" s="169"/>
      <c r="BF127" s="169"/>
    </row>
    <row r="128" spans="1:58" ht="15" customHeight="1">
      <c r="A128" s="169"/>
      <c r="B128" s="169"/>
      <c r="C128" s="169"/>
      <c r="D128" s="169"/>
      <c r="E128" s="169"/>
      <c r="F128" s="169"/>
      <c r="G128" s="169"/>
      <c r="H128" s="169"/>
      <c r="I128" s="169"/>
      <c r="J128" s="169"/>
      <c r="K128" s="169"/>
      <c r="L128" s="169"/>
      <c r="M128" s="169"/>
      <c r="N128" s="169"/>
      <c r="O128" s="169"/>
      <c r="P128" s="169"/>
      <c r="Q128" s="169"/>
      <c r="R128" s="169"/>
      <c r="S128" s="169"/>
      <c r="T128" s="169"/>
      <c r="U128" s="169"/>
      <c r="V128" s="169"/>
      <c r="W128" s="169"/>
      <c r="X128" s="169"/>
      <c r="Y128" s="169"/>
      <c r="Z128" s="169"/>
      <c r="AA128" s="169"/>
      <c r="AB128" s="169"/>
      <c r="AC128" s="169"/>
      <c r="AD128" s="169"/>
      <c r="AE128" s="169"/>
      <c r="AF128" s="169"/>
      <c r="AG128" s="169"/>
      <c r="AH128" s="169"/>
      <c r="AI128" s="169"/>
      <c r="AJ128" s="169"/>
      <c r="AK128" s="169"/>
      <c r="AL128" s="169"/>
      <c r="AM128" s="169"/>
      <c r="AN128" s="169"/>
      <c r="AO128" s="169"/>
      <c r="AP128" s="169"/>
      <c r="AQ128" s="169"/>
      <c r="AR128" s="169"/>
      <c r="AS128" s="169"/>
      <c r="AT128" s="169"/>
      <c r="AU128" s="169"/>
      <c r="AV128" s="169"/>
      <c r="AW128" s="169"/>
      <c r="AX128" s="169"/>
      <c r="AY128" s="169"/>
      <c r="AZ128" s="169"/>
      <c r="BA128" s="169"/>
      <c r="BB128" s="169"/>
      <c r="BC128" s="169"/>
      <c r="BD128" s="169"/>
      <c r="BE128" s="169"/>
      <c r="BF128" s="169"/>
    </row>
    <row r="129" spans="1:58" ht="15" customHeight="1">
      <c r="A129" s="169"/>
      <c r="B129" s="169"/>
      <c r="C129" s="169"/>
      <c r="D129" s="169"/>
      <c r="E129" s="169"/>
      <c r="F129" s="169"/>
      <c r="G129" s="169"/>
      <c r="H129" s="169"/>
      <c r="I129" s="169"/>
      <c r="J129" s="169"/>
      <c r="K129" s="169"/>
      <c r="L129" s="169"/>
      <c r="M129" s="169"/>
      <c r="N129" s="169"/>
      <c r="O129" s="169"/>
      <c r="P129" s="169"/>
      <c r="Q129" s="169"/>
      <c r="R129" s="169"/>
      <c r="S129" s="169"/>
      <c r="T129" s="169"/>
      <c r="U129" s="169"/>
      <c r="V129" s="169"/>
      <c r="W129" s="169"/>
      <c r="X129" s="169"/>
      <c r="Y129" s="169"/>
      <c r="Z129" s="169"/>
      <c r="AA129" s="169"/>
      <c r="AB129" s="169"/>
      <c r="AC129" s="169"/>
      <c r="AD129" s="169"/>
      <c r="AE129" s="169"/>
      <c r="AF129" s="169"/>
      <c r="AG129" s="169"/>
      <c r="AH129" s="169"/>
      <c r="AI129" s="169"/>
      <c r="AJ129" s="169"/>
      <c r="AK129" s="169"/>
      <c r="AL129" s="169"/>
      <c r="AM129" s="169"/>
      <c r="AN129" s="169"/>
      <c r="AO129" s="169"/>
      <c r="AP129" s="169"/>
      <c r="AQ129" s="169"/>
      <c r="AR129" s="169"/>
      <c r="AS129" s="169"/>
      <c r="AT129" s="169"/>
      <c r="AU129" s="169"/>
      <c r="AV129" s="169"/>
      <c r="AW129" s="169"/>
      <c r="AX129" s="169"/>
      <c r="AY129" s="169"/>
      <c r="AZ129" s="169"/>
      <c r="BA129" s="169"/>
      <c r="BB129" s="169"/>
      <c r="BC129" s="169"/>
      <c r="BD129" s="169"/>
      <c r="BE129" s="169"/>
      <c r="BF129" s="169"/>
    </row>
    <row r="130" spans="1:58" ht="15" customHeight="1">
      <c r="A130" s="169"/>
      <c r="B130" s="169"/>
      <c r="C130" s="169"/>
      <c r="D130" s="169"/>
      <c r="E130" s="169"/>
      <c r="F130" s="169"/>
      <c r="G130" s="169"/>
      <c r="H130" s="169"/>
      <c r="I130" s="169"/>
      <c r="J130" s="169"/>
      <c r="K130" s="169"/>
      <c r="L130" s="169"/>
      <c r="M130" s="169"/>
      <c r="N130" s="169"/>
      <c r="O130" s="169"/>
      <c r="P130" s="169"/>
      <c r="Q130" s="169"/>
      <c r="R130" s="169"/>
      <c r="S130" s="169"/>
      <c r="T130" s="169"/>
      <c r="U130" s="169"/>
      <c r="V130" s="169"/>
      <c r="W130" s="169"/>
      <c r="X130" s="169"/>
      <c r="Y130" s="169"/>
      <c r="Z130" s="169"/>
      <c r="AA130" s="169"/>
      <c r="AB130" s="169"/>
      <c r="AC130" s="169"/>
      <c r="AD130" s="169"/>
      <c r="AE130" s="169"/>
      <c r="AF130" s="169"/>
      <c r="AG130" s="169"/>
      <c r="AH130" s="169"/>
      <c r="AI130" s="169"/>
      <c r="AJ130" s="169"/>
      <c r="AK130" s="169"/>
      <c r="AL130" s="169"/>
      <c r="AM130" s="169"/>
      <c r="AN130" s="169"/>
      <c r="AO130" s="169"/>
      <c r="AP130" s="169"/>
      <c r="AQ130" s="169"/>
      <c r="AR130" s="169"/>
      <c r="AS130" s="169"/>
      <c r="AT130" s="169"/>
      <c r="AU130" s="169"/>
      <c r="AV130" s="169"/>
      <c r="AW130" s="169"/>
      <c r="AX130" s="169"/>
      <c r="AY130" s="169"/>
      <c r="AZ130" s="169"/>
      <c r="BA130" s="169"/>
      <c r="BB130" s="169"/>
      <c r="BC130" s="169"/>
      <c r="BD130" s="169"/>
      <c r="BE130" s="169"/>
      <c r="BF130" s="169"/>
    </row>
    <row r="131" spans="1:58" ht="15" customHeight="1">
      <c r="A131" s="169"/>
      <c r="B131" s="169"/>
      <c r="C131" s="169"/>
      <c r="D131" s="169"/>
      <c r="E131" s="169"/>
      <c r="F131" s="169"/>
      <c r="G131" s="169"/>
      <c r="H131" s="169"/>
      <c r="I131" s="169"/>
      <c r="J131" s="169"/>
      <c r="K131" s="169"/>
      <c r="L131" s="169"/>
      <c r="M131" s="169"/>
      <c r="N131" s="169"/>
      <c r="O131" s="169"/>
      <c r="P131" s="169"/>
      <c r="Q131" s="169"/>
      <c r="R131" s="169"/>
      <c r="S131" s="169"/>
      <c r="T131" s="169"/>
      <c r="U131" s="169"/>
      <c r="V131" s="169"/>
      <c r="W131" s="169"/>
      <c r="X131" s="169"/>
      <c r="Y131" s="169"/>
      <c r="Z131" s="169"/>
      <c r="AA131" s="169"/>
      <c r="AB131" s="169"/>
      <c r="AC131" s="169"/>
      <c r="AD131" s="169"/>
      <c r="AE131" s="169"/>
      <c r="AF131" s="169"/>
      <c r="AG131" s="169"/>
      <c r="AH131" s="169"/>
      <c r="AI131" s="169"/>
      <c r="AJ131" s="169"/>
      <c r="AK131" s="169"/>
      <c r="AL131" s="169"/>
      <c r="AM131" s="169"/>
      <c r="AN131" s="169"/>
      <c r="AO131" s="169"/>
      <c r="AP131" s="169"/>
      <c r="AQ131" s="169"/>
      <c r="AR131" s="169"/>
      <c r="AS131" s="169"/>
      <c r="AT131" s="169"/>
      <c r="AU131" s="169"/>
      <c r="AV131" s="169"/>
      <c r="AW131" s="169"/>
      <c r="AX131" s="169"/>
      <c r="AY131" s="169"/>
      <c r="AZ131" s="169"/>
      <c r="BA131" s="169"/>
      <c r="BB131" s="169"/>
      <c r="BC131" s="169"/>
      <c r="BD131" s="169"/>
      <c r="BE131" s="169"/>
      <c r="BF131" s="169"/>
    </row>
    <row r="132" spans="1:58" ht="15" customHeight="1">
      <c r="A132" s="169"/>
      <c r="B132" s="169"/>
      <c r="C132" s="169"/>
      <c r="D132" s="169"/>
      <c r="E132" s="169"/>
      <c r="F132" s="169"/>
      <c r="G132" s="169"/>
      <c r="H132" s="169"/>
      <c r="I132" s="169"/>
      <c r="J132" s="169"/>
      <c r="K132" s="169"/>
      <c r="L132" s="169"/>
      <c r="M132" s="169"/>
      <c r="N132" s="169"/>
      <c r="O132" s="169"/>
      <c r="P132" s="169"/>
      <c r="Q132" s="169"/>
      <c r="R132" s="169"/>
      <c r="S132" s="169"/>
      <c r="T132" s="169"/>
      <c r="U132" s="169"/>
      <c r="V132" s="169"/>
      <c r="W132" s="169"/>
      <c r="X132" s="169"/>
      <c r="Y132" s="169"/>
      <c r="Z132" s="169"/>
      <c r="AA132" s="169"/>
      <c r="AB132" s="169"/>
      <c r="AC132" s="169"/>
      <c r="AD132" s="169"/>
      <c r="AE132" s="169"/>
      <c r="AF132" s="169"/>
      <c r="AG132" s="169"/>
      <c r="AH132" s="169"/>
      <c r="AI132" s="169"/>
      <c r="AJ132" s="169"/>
      <c r="AK132" s="169"/>
      <c r="AL132" s="169"/>
      <c r="AM132" s="169"/>
      <c r="AN132" s="169"/>
      <c r="AO132" s="169"/>
      <c r="AP132" s="169"/>
      <c r="AQ132" s="169"/>
      <c r="AR132" s="169"/>
      <c r="AS132" s="169"/>
      <c r="AT132" s="169"/>
      <c r="AU132" s="169"/>
      <c r="AV132" s="169"/>
      <c r="AW132" s="169"/>
      <c r="AX132" s="169"/>
      <c r="AY132" s="169"/>
      <c r="AZ132" s="169"/>
      <c r="BA132" s="169"/>
      <c r="BB132" s="169"/>
      <c r="BC132" s="169"/>
      <c r="BD132" s="169"/>
      <c r="BE132" s="169"/>
      <c r="BF132" s="169"/>
    </row>
    <row r="133" spans="1:58" ht="15" customHeight="1">
      <c r="A133" s="169"/>
      <c r="B133" s="169"/>
      <c r="C133" s="169"/>
      <c r="D133" s="169"/>
      <c r="E133" s="169"/>
      <c r="F133" s="169"/>
      <c r="G133" s="169"/>
      <c r="H133" s="169"/>
      <c r="I133" s="169"/>
      <c r="J133" s="169"/>
      <c r="K133" s="169"/>
      <c r="L133" s="169"/>
      <c r="M133" s="169"/>
      <c r="N133" s="169"/>
      <c r="O133" s="169"/>
      <c r="P133" s="169"/>
      <c r="Q133" s="169"/>
      <c r="R133" s="169"/>
      <c r="S133" s="169"/>
      <c r="T133" s="169"/>
      <c r="U133" s="169"/>
      <c r="V133" s="169"/>
      <c r="W133" s="169"/>
      <c r="X133" s="169"/>
      <c r="Y133" s="169"/>
      <c r="Z133" s="169"/>
      <c r="AA133" s="169"/>
      <c r="AB133" s="169"/>
      <c r="AC133" s="169"/>
      <c r="AD133" s="169"/>
      <c r="AE133" s="169"/>
      <c r="AF133" s="169"/>
      <c r="AG133" s="169"/>
      <c r="AH133" s="169"/>
      <c r="AI133" s="169"/>
      <c r="AJ133" s="169"/>
      <c r="AK133" s="169"/>
      <c r="AL133" s="169"/>
      <c r="AM133" s="169"/>
      <c r="AN133" s="169"/>
      <c r="AO133" s="169"/>
      <c r="AP133" s="169"/>
      <c r="AQ133" s="169"/>
      <c r="AR133" s="169"/>
      <c r="AS133" s="169"/>
      <c r="AT133" s="169"/>
      <c r="AU133" s="169"/>
      <c r="AV133" s="169"/>
      <c r="AW133" s="169"/>
      <c r="AX133" s="169"/>
      <c r="AY133" s="169"/>
      <c r="AZ133" s="169"/>
      <c r="BA133" s="169"/>
      <c r="BB133" s="169"/>
      <c r="BC133" s="169"/>
      <c r="BD133" s="169"/>
      <c r="BE133" s="169"/>
      <c r="BF133" s="169"/>
    </row>
    <row r="134" spans="1:58" ht="15" customHeight="1">
      <c r="A134" s="169"/>
      <c r="B134" s="169"/>
      <c r="C134" s="169"/>
      <c r="D134" s="169"/>
      <c r="E134" s="169"/>
      <c r="F134" s="169"/>
      <c r="G134" s="169"/>
      <c r="H134" s="169"/>
      <c r="I134" s="169"/>
      <c r="J134" s="169"/>
      <c r="K134" s="169"/>
      <c r="L134" s="169"/>
      <c r="M134" s="169"/>
      <c r="N134" s="169"/>
      <c r="O134" s="169"/>
      <c r="P134" s="169"/>
      <c r="Q134" s="169"/>
      <c r="R134" s="169"/>
      <c r="S134" s="169"/>
      <c r="T134" s="169"/>
      <c r="U134" s="169"/>
      <c r="V134" s="169"/>
      <c r="W134" s="169"/>
      <c r="X134" s="169"/>
      <c r="Y134" s="169"/>
      <c r="Z134" s="169"/>
      <c r="AA134" s="169"/>
      <c r="AB134" s="169"/>
      <c r="AC134" s="169"/>
      <c r="AD134" s="169"/>
      <c r="AE134" s="169"/>
      <c r="AF134" s="169"/>
      <c r="AG134" s="169"/>
      <c r="AH134" s="169"/>
      <c r="AI134" s="169"/>
      <c r="AJ134" s="169"/>
      <c r="AK134" s="169"/>
      <c r="AL134" s="169"/>
      <c r="AM134" s="169"/>
      <c r="AN134" s="169"/>
      <c r="AO134" s="169"/>
      <c r="AP134" s="169"/>
      <c r="AQ134" s="169"/>
      <c r="AR134" s="169"/>
      <c r="AS134" s="169"/>
      <c r="AT134" s="169"/>
      <c r="AU134" s="169"/>
      <c r="AV134" s="169"/>
      <c r="AW134" s="169"/>
      <c r="AX134" s="169"/>
      <c r="AY134" s="169"/>
      <c r="AZ134" s="169"/>
      <c r="BA134" s="169"/>
      <c r="BB134" s="169"/>
      <c r="BC134" s="169"/>
      <c r="BD134" s="169"/>
      <c r="BE134" s="169"/>
      <c r="BF134" s="169"/>
    </row>
    <row r="135" spans="1:58" ht="15" customHeight="1">
      <c r="A135" s="169"/>
      <c r="B135" s="169"/>
      <c r="C135" s="169"/>
      <c r="D135" s="169"/>
      <c r="E135" s="169"/>
      <c r="F135" s="169"/>
      <c r="G135" s="169"/>
      <c r="H135" s="169"/>
      <c r="I135" s="169"/>
      <c r="J135" s="169"/>
      <c r="K135" s="169"/>
      <c r="L135" s="169"/>
      <c r="M135" s="169"/>
      <c r="N135" s="169"/>
      <c r="O135" s="169"/>
      <c r="P135" s="169"/>
      <c r="Q135" s="169"/>
      <c r="R135" s="169"/>
      <c r="S135" s="169"/>
      <c r="T135" s="169"/>
      <c r="U135" s="169"/>
      <c r="V135" s="169"/>
      <c r="W135" s="169"/>
      <c r="X135" s="169"/>
      <c r="Y135" s="169"/>
      <c r="Z135" s="169"/>
      <c r="AA135" s="169"/>
      <c r="AB135" s="169"/>
      <c r="AC135" s="169"/>
      <c r="AD135" s="169"/>
      <c r="AE135" s="169"/>
      <c r="AF135" s="169"/>
      <c r="AG135" s="169"/>
      <c r="AH135" s="169"/>
      <c r="AI135" s="169"/>
      <c r="AJ135" s="169"/>
      <c r="AK135" s="169"/>
      <c r="AL135" s="169"/>
      <c r="AM135" s="169"/>
      <c r="AN135" s="169"/>
      <c r="AO135" s="169"/>
      <c r="AP135" s="169"/>
      <c r="AQ135" s="169"/>
      <c r="AR135" s="169"/>
      <c r="AS135" s="169"/>
      <c r="AT135" s="169"/>
      <c r="AU135" s="169"/>
      <c r="AV135" s="169"/>
      <c r="AW135" s="169"/>
      <c r="AX135" s="169"/>
      <c r="AY135" s="169"/>
      <c r="AZ135" s="169"/>
      <c r="BA135" s="169"/>
      <c r="BB135" s="169"/>
      <c r="BC135" s="169"/>
      <c r="BD135" s="169"/>
      <c r="BE135" s="169"/>
      <c r="BF135" s="169"/>
    </row>
    <row r="136" spans="1:58" ht="15" customHeight="1">
      <c r="A136" s="169"/>
      <c r="B136" s="169"/>
      <c r="C136" s="169"/>
      <c r="D136" s="169"/>
      <c r="E136" s="169"/>
      <c r="F136" s="169"/>
      <c r="G136" s="169"/>
      <c r="H136" s="169"/>
      <c r="I136" s="169"/>
      <c r="J136" s="169"/>
      <c r="K136" s="169"/>
      <c r="L136" s="169"/>
      <c r="M136" s="169"/>
      <c r="N136" s="169"/>
      <c r="O136" s="169"/>
      <c r="P136" s="169"/>
      <c r="Q136" s="169"/>
      <c r="R136" s="169"/>
      <c r="S136" s="169"/>
      <c r="T136" s="169"/>
      <c r="U136" s="169"/>
      <c r="V136" s="169"/>
      <c r="W136" s="169"/>
      <c r="X136" s="169"/>
      <c r="Y136" s="169"/>
      <c r="Z136" s="169"/>
      <c r="AA136" s="169"/>
      <c r="AB136" s="169"/>
      <c r="AC136" s="169"/>
      <c r="AD136" s="169"/>
      <c r="AE136" s="169"/>
      <c r="AF136" s="169"/>
      <c r="AG136" s="169"/>
      <c r="AH136" s="169"/>
      <c r="AI136" s="169"/>
      <c r="AJ136" s="169"/>
      <c r="AK136" s="169"/>
      <c r="AL136" s="169"/>
      <c r="AM136" s="169"/>
      <c r="AN136" s="169"/>
      <c r="AO136" s="169"/>
      <c r="AP136" s="169"/>
      <c r="AQ136" s="169"/>
      <c r="AR136" s="169"/>
      <c r="AS136" s="169"/>
      <c r="AT136" s="169"/>
      <c r="AU136" s="169"/>
      <c r="AV136" s="169"/>
      <c r="AW136" s="169"/>
      <c r="AX136" s="169"/>
      <c r="AY136" s="169"/>
      <c r="AZ136" s="169"/>
      <c r="BA136" s="169"/>
      <c r="BB136" s="169"/>
      <c r="BC136" s="169"/>
      <c r="BD136" s="169"/>
      <c r="BE136" s="169"/>
      <c r="BF136" s="169"/>
    </row>
    <row r="137" spans="1:58" ht="15" customHeight="1">
      <c r="A137" s="169"/>
      <c r="B137" s="169"/>
      <c r="C137" s="169"/>
      <c r="D137" s="169"/>
      <c r="E137" s="169"/>
      <c r="F137" s="169"/>
      <c r="G137" s="169"/>
      <c r="H137" s="169"/>
      <c r="I137" s="169"/>
      <c r="J137" s="169"/>
      <c r="K137" s="169"/>
      <c r="L137" s="169"/>
      <c r="M137" s="169"/>
      <c r="N137" s="169"/>
      <c r="O137" s="169"/>
      <c r="P137" s="169"/>
      <c r="Q137" s="169"/>
      <c r="R137" s="169"/>
      <c r="S137" s="169"/>
      <c r="T137" s="169"/>
      <c r="U137" s="169"/>
      <c r="V137" s="169"/>
      <c r="W137" s="169"/>
      <c r="X137" s="169"/>
      <c r="Y137" s="169"/>
      <c r="Z137" s="169"/>
      <c r="AA137" s="169"/>
      <c r="AB137" s="169"/>
      <c r="AC137" s="169"/>
      <c r="AD137" s="169"/>
      <c r="AE137" s="169"/>
      <c r="AF137" s="169"/>
      <c r="AG137" s="169"/>
      <c r="AH137" s="169"/>
      <c r="AI137" s="169"/>
      <c r="AJ137" s="169"/>
      <c r="AK137" s="169"/>
      <c r="AL137" s="169"/>
      <c r="AM137" s="169"/>
      <c r="AN137" s="169"/>
      <c r="AO137" s="169"/>
      <c r="AP137" s="169"/>
      <c r="AQ137" s="169"/>
      <c r="AR137" s="169"/>
      <c r="AS137" s="169"/>
      <c r="AT137" s="169"/>
      <c r="AU137" s="169"/>
      <c r="AV137" s="169"/>
      <c r="AW137" s="169"/>
      <c r="AX137" s="169"/>
      <c r="AY137" s="169"/>
      <c r="AZ137" s="169"/>
      <c r="BA137" s="169"/>
      <c r="BB137" s="169"/>
      <c r="BC137" s="169"/>
      <c r="BD137" s="169"/>
      <c r="BE137" s="169"/>
      <c r="BF137" s="169"/>
    </row>
    <row r="138" spans="1:58" ht="15" customHeight="1">
      <c r="A138" s="169"/>
      <c r="B138" s="169"/>
      <c r="C138" s="169"/>
      <c r="D138" s="169"/>
      <c r="E138" s="169"/>
      <c r="F138" s="169"/>
      <c r="G138" s="169"/>
      <c r="H138" s="169"/>
      <c r="I138" s="169"/>
      <c r="J138" s="169"/>
      <c r="K138" s="169"/>
      <c r="L138" s="169"/>
      <c r="M138" s="169"/>
      <c r="N138" s="169"/>
      <c r="O138" s="169"/>
      <c r="P138" s="169"/>
      <c r="Q138" s="169"/>
      <c r="R138" s="169"/>
      <c r="S138" s="169"/>
      <c r="T138" s="169"/>
      <c r="U138" s="169"/>
      <c r="V138" s="169"/>
      <c r="W138" s="169"/>
      <c r="X138" s="169"/>
      <c r="Y138" s="169"/>
      <c r="Z138" s="169"/>
      <c r="AA138" s="169"/>
      <c r="AB138" s="169"/>
      <c r="AC138" s="169"/>
      <c r="AD138" s="169"/>
      <c r="AE138" s="169"/>
      <c r="AF138" s="169"/>
      <c r="AG138" s="169"/>
      <c r="AH138" s="169"/>
      <c r="AI138" s="169"/>
      <c r="AJ138" s="169"/>
      <c r="AK138" s="169"/>
      <c r="AL138" s="169"/>
      <c r="AM138" s="169"/>
      <c r="AN138" s="169"/>
      <c r="AO138" s="169"/>
      <c r="AP138" s="169"/>
      <c r="AQ138" s="169"/>
      <c r="AR138" s="169"/>
      <c r="AS138" s="169"/>
      <c r="AT138" s="169"/>
      <c r="AU138" s="169"/>
      <c r="AV138" s="169"/>
      <c r="AW138" s="169"/>
      <c r="AX138" s="169"/>
      <c r="AY138" s="169"/>
      <c r="AZ138" s="169"/>
      <c r="BA138" s="169"/>
      <c r="BB138" s="169"/>
      <c r="BC138" s="169"/>
      <c r="BD138" s="169"/>
      <c r="BE138" s="169"/>
      <c r="BF138" s="169"/>
    </row>
    <row r="139" spans="1:58" ht="15" customHeight="1">
      <c r="A139" s="169"/>
      <c r="B139" s="169"/>
      <c r="C139" s="169"/>
      <c r="D139" s="169"/>
      <c r="E139" s="169"/>
      <c r="F139" s="169"/>
      <c r="G139" s="169"/>
      <c r="H139" s="169"/>
      <c r="I139" s="169"/>
      <c r="J139" s="169"/>
      <c r="K139" s="169"/>
      <c r="L139" s="169"/>
      <c r="M139" s="169"/>
      <c r="N139" s="169"/>
      <c r="O139" s="169"/>
      <c r="P139" s="169"/>
      <c r="Q139" s="169"/>
      <c r="R139" s="169"/>
      <c r="S139" s="169"/>
      <c r="T139" s="169"/>
      <c r="U139" s="169"/>
      <c r="V139" s="169"/>
      <c r="W139" s="169"/>
      <c r="X139" s="169"/>
      <c r="Y139" s="169"/>
      <c r="Z139" s="169"/>
      <c r="AA139" s="169"/>
      <c r="AB139" s="169"/>
      <c r="AC139" s="169"/>
      <c r="AD139" s="169"/>
      <c r="AE139" s="169"/>
      <c r="AF139" s="169"/>
      <c r="AG139" s="169"/>
      <c r="AH139" s="169"/>
      <c r="AI139" s="169"/>
      <c r="AJ139" s="169"/>
      <c r="AK139" s="169"/>
      <c r="AL139" s="169"/>
      <c r="AM139" s="169"/>
      <c r="AN139" s="169"/>
      <c r="AO139" s="169"/>
      <c r="AP139" s="169"/>
      <c r="AQ139" s="169"/>
      <c r="AR139" s="169"/>
      <c r="AS139" s="169"/>
      <c r="AT139" s="169"/>
      <c r="AU139" s="169"/>
      <c r="AV139" s="169"/>
      <c r="AW139" s="169"/>
      <c r="AX139" s="169"/>
      <c r="AY139" s="169"/>
      <c r="AZ139" s="169"/>
      <c r="BA139" s="169"/>
      <c r="BB139" s="169"/>
      <c r="BC139" s="169"/>
      <c r="BD139" s="169"/>
      <c r="BE139" s="169"/>
      <c r="BF139" s="169"/>
    </row>
    <row r="140" spans="1:58" ht="15" customHeight="1">
      <c r="A140" s="169"/>
      <c r="B140" s="169"/>
      <c r="C140" s="169"/>
      <c r="D140" s="169"/>
      <c r="E140" s="169"/>
      <c r="F140" s="169"/>
      <c r="G140" s="169"/>
      <c r="H140" s="169"/>
      <c r="I140" s="169"/>
      <c r="J140" s="169"/>
      <c r="K140" s="169"/>
      <c r="L140" s="169"/>
      <c r="M140" s="169"/>
      <c r="N140" s="169"/>
      <c r="O140" s="169"/>
      <c r="P140" s="169"/>
      <c r="Q140" s="169"/>
      <c r="R140" s="169"/>
      <c r="S140" s="169"/>
      <c r="T140" s="169"/>
      <c r="U140" s="169"/>
      <c r="V140" s="169"/>
      <c r="W140" s="169"/>
      <c r="X140" s="169"/>
      <c r="Y140" s="169"/>
      <c r="Z140" s="169"/>
      <c r="AA140" s="169"/>
      <c r="AB140" s="169"/>
      <c r="AC140" s="169"/>
      <c r="AD140" s="169"/>
      <c r="AE140" s="169"/>
      <c r="AF140" s="169"/>
      <c r="AG140" s="169"/>
      <c r="AH140" s="169"/>
      <c r="AI140" s="169"/>
      <c r="AJ140" s="169"/>
      <c r="AK140" s="169"/>
      <c r="AL140" s="169"/>
      <c r="AM140" s="169"/>
      <c r="AN140" s="169"/>
      <c r="AO140" s="169"/>
      <c r="AP140" s="169"/>
      <c r="AQ140" s="169"/>
      <c r="AR140" s="169"/>
      <c r="AS140" s="169"/>
      <c r="AT140" s="169"/>
      <c r="AU140" s="169"/>
      <c r="AV140" s="169"/>
      <c r="AW140" s="169"/>
      <c r="AX140" s="169"/>
      <c r="AY140" s="169"/>
      <c r="AZ140" s="169"/>
      <c r="BA140" s="169"/>
      <c r="BB140" s="169"/>
      <c r="BC140" s="169"/>
      <c r="BD140" s="169"/>
      <c r="BE140" s="169"/>
      <c r="BF140" s="169"/>
    </row>
    <row r="141" spans="1:58" ht="15" customHeight="1">
      <c r="A141" s="169"/>
      <c r="B141" s="169"/>
      <c r="C141" s="169"/>
      <c r="D141" s="169"/>
      <c r="E141" s="169"/>
      <c r="F141" s="169"/>
      <c r="G141" s="169"/>
      <c r="H141" s="169"/>
      <c r="I141" s="169"/>
      <c r="J141" s="169"/>
      <c r="K141" s="169"/>
      <c r="L141" s="169"/>
      <c r="M141" s="169"/>
      <c r="N141" s="169"/>
      <c r="O141" s="169"/>
      <c r="P141" s="169"/>
      <c r="Q141" s="169"/>
      <c r="R141" s="169"/>
      <c r="S141" s="169"/>
      <c r="T141" s="169"/>
      <c r="U141" s="169"/>
      <c r="V141" s="169"/>
      <c r="W141" s="169"/>
      <c r="X141" s="169"/>
      <c r="Y141" s="169"/>
      <c r="Z141" s="169"/>
      <c r="AA141" s="169"/>
      <c r="AB141" s="169"/>
      <c r="AC141" s="169"/>
      <c r="AD141" s="169"/>
      <c r="AE141" s="169"/>
      <c r="AF141" s="169"/>
      <c r="AG141" s="169"/>
      <c r="AH141" s="169"/>
      <c r="AI141" s="169"/>
      <c r="AJ141" s="169"/>
      <c r="AK141" s="169"/>
      <c r="AL141" s="169"/>
      <c r="AM141" s="169"/>
      <c r="AN141" s="169"/>
      <c r="AO141" s="169"/>
      <c r="AP141" s="169"/>
      <c r="AQ141" s="169"/>
      <c r="AR141" s="169"/>
      <c r="AS141" s="169"/>
      <c r="AT141" s="169"/>
      <c r="AU141" s="169"/>
      <c r="AV141" s="169"/>
      <c r="AW141" s="169"/>
      <c r="AX141" s="169"/>
      <c r="AY141" s="169"/>
      <c r="AZ141" s="169"/>
      <c r="BA141" s="169"/>
      <c r="BB141" s="169"/>
      <c r="BC141" s="169"/>
      <c r="BD141" s="169"/>
      <c r="BE141" s="169"/>
      <c r="BF141" s="169"/>
    </row>
    <row r="142" spans="1:58" ht="15" customHeight="1">
      <c r="A142" s="169"/>
      <c r="B142" s="169"/>
      <c r="C142" s="169"/>
      <c r="D142" s="169"/>
      <c r="E142" s="169"/>
      <c r="F142" s="169"/>
      <c r="G142" s="169"/>
      <c r="H142" s="169"/>
      <c r="I142" s="169"/>
      <c r="J142" s="169"/>
      <c r="K142" s="169"/>
      <c r="L142" s="169"/>
      <c r="M142" s="169"/>
      <c r="N142" s="169"/>
      <c r="O142" s="169"/>
      <c r="P142" s="169"/>
      <c r="Q142" s="169"/>
      <c r="R142" s="169"/>
      <c r="S142" s="169"/>
      <c r="T142" s="169"/>
      <c r="U142" s="169"/>
      <c r="V142" s="169"/>
      <c r="W142" s="169"/>
      <c r="X142" s="169"/>
      <c r="Y142" s="169"/>
      <c r="Z142" s="169"/>
      <c r="AA142" s="169"/>
      <c r="AB142" s="169"/>
      <c r="AC142" s="169"/>
      <c r="AD142" s="169"/>
      <c r="AE142" s="169"/>
      <c r="AF142" s="169"/>
      <c r="AG142" s="169"/>
      <c r="AH142" s="169"/>
      <c r="AI142" s="169"/>
      <c r="AJ142" s="169"/>
      <c r="AK142" s="169"/>
      <c r="AL142" s="169"/>
      <c r="AM142" s="169"/>
      <c r="AN142" s="169"/>
      <c r="AO142" s="169"/>
      <c r="AP142" s="169"/>
      <c r="AQ142" s="169"/>
      <c r="AR142" s="169"/>
      <c r="AS142" s="169"/>
      <c r="AT142" s="169"/>
      <c r="AU142" s="169"/>
      <c r="AV142" s="169"/>
      <c r="AW142" s="169"/>
      <c r="AX142" s="169"/>
      <c r="AY142" s="169"/>
      <c r="AZ142" s="169"/>
      <c r="BA142" s="169"/>
      <c r="BB142" s="169"/>
      <c r="BC142" s="169"/>
      <c r="BD142" s="169"/>
      <c r="BE142" s="169"/>
      <c r="BF142" s="169"/>
    </row>
    <row r="143" spans="1:58" ht="15" customHeight="1">
      <c r="A143" s="169"/>
      <c r="B143" s="169"/>
      <c r="C143" s="169"/>
      <c r="D143" s="169"/>
      <c r="E143" s="169"/>
      <c r="F143" s="169"/>
      <c r="G143" s="169"/>
      <c r="H143" s="169"/>
      <c r="I143" s="169"/>
      <c r="J143" s="169"/>
      <c r="K143" s="169"/>
      <c r="L143" s="169"/>
      <c r="M143" s="169"/>
      <c r="N143" s="169"/>
      <c r="O143" s="169"/>
      <c r="P143" s="169"/>
      <c r="Q143" s="169"/>
      <c r="R143" s="169"/>
      <c r="S143" s="169"/>
      <c r="T143" s="169"/>
      <c r="U143" s="169"/>
      <c r="V143" s="169"/>
      <c r="W143" s="169"/>
      <c r="X143" s="169"/>
      <c r="Y143" s="169"/>
      <c r="Z143" s="169"/>
      <c r="AA143" s="169"/>
      <c r="AB143" s="169"/>
      <c r="AC143" s="169"/>
      <c r="AD143" s="169"/>
      <c r="AE143" s="169"/>
      <c r="AF143" s="169"/>
      <c r="AG143" s="169"/>
      <c r="AH143" s="169"/>
      <c r="AI143" s="169"/>
      <c r="AJ143" s="169"/>
      <c r="AK143" s="169"/>
      <c r="AL143" s="169"/>
      <c r="AM143" s="169"/>
      <c r="AN143" s="169"/>
      <c r="AO143" s="169"/>
      <c r="AP143" s="169"/>
      <c r="AQ143" s="169"/>
      <c r="AR143" s="169"/>
      <c r="AS143" s="169"/>
      <c r="AT143" s="169"/>
      <c r="AU143" s="169"/>
      <c r="AV143" s="169"/>
      <c r="AW143" s="169"/>
      <c r="AX143" s="169"/>
      <c r="AY143" s="169"/>
      <c r="AZ143" s="169"/>
      <c r="BA143" s="169"/>
      <c r="BB143" s="169"/>
      <c r="BC143" s="169"/>
      <c r="BD143" s="169"/>
      <c r="BE143" s="169"/>
      <c r="BF143" s="169"/>
    </row>
    <row r="144" spans="1:58" ht="15" customHeight="1">
      <c r="A144" s="169"/>
      <c r="B144" s="169"/>
      <c r="C144" s="169"/>
      <c r="D144" s="169"/>
      <c r="E144" s="169"/>
      <c r="F144" s="169"/>
      <c r="G144" s="169"/>
      <c r="H144" s="169"/>
      <c r="I144" s="169"/>
      <c r="J144" s="169"/>
      <c r="K144" s="169"/>
      <c r="L144" s="169"/>
      <c r="M144" s="169"/>
      <c r="N144" s="169"/>
      <c r="O144" s="169"/>
      <c r="P144" s="169"/>
      <c r="Q144" s="169"/>
      <c r="R144" s="169"/>
      <c r="S144" s="169"/>
      <c r="T144" s="169"/>
      <c r="U144" s="169"/>
      <c r="V144" s="169"/>
      <c r="W144" s="169"/>
      <c r="X144" s="169"/>
      <c r="Y144" s="169"/>
      <c r="Z144" s="169"/>
      <c r="AA144" s="169"/>
      <c r="AB144" s="169"/>
      <c r="AC144" s="169"/>
      <c r="AD144" s="169"/>
      <c r="AE144" s="169"/>
      <c r="AF144" s="169"/>
      <c r="AG144" s="169"/>
      <c r="AH144" s="169"/>
      <c r="AI144" s="169"/>
      <c r="AJ144" s="169"/>
      <c r="AK144" s="169"/>
      <c r="AL144" s="169"/>
      <c r="AM144" s="169"/>
      <c r="AN144" s="169"/>
      <c r="AO144" s="169"/>
      <c r="AP144" s="169"/>
      <c r="AQ144" s="169"/>
      <c r="AR144" s="169"/>
      <c r="AS144" s="169"/>
      <c r="AT144" s="169"/>
      <c r="AU144" s="169"/>
      <c r="AV144" s="169"/>
      <c r="AW144" s="169"/>
      <c r="AX144" s="169"/>
      <c r="AY144" s="169"/>
      <c r="AZ144" s="169"/>
      <c r="BA144" s="169"/>
      <c r="BB144" s="169"/>
      <c r="BC144" s="169"/>
      <c r="BD144" s="169"/>
      <c r="BE144" s="169"/>
      <c r="BF144" s="169"/>
    </row>
    <row r="145" spans="1:58" ht="15" customHeight="1">
      <c r="A145" s="169"/>
      <c r="B145" s="169"/>
      <c r="C145" s="169"/>
      <c r="D145" s="169"/>
      <c r="E145" s="169"/>
      <c r="F145" s="169"/>
      <c r="G145" s="169"/>
      <c r="H145" s="169"/>
      <c r="I145" s="169"/>
      <c r="J145" s="169"/>
      <c r="K145" s="169"/>
      <c r="L145" s="169"/>
      <c r="M145" s="169"/>
      <c r="N145" s="169"/>
      <c r="O145" s="169"/>
      <c r="P145" s="169"/>
      <c r="Q145" s="169"/>
      <c r="R145" s="169"/>
      <c r="S145" s="169"/>
      <c r="T145" s="169"/>
      <c r="U145" s="169"/>
      <c r="V145" s="169"/>
      <c r="W145" s="169"/>
      <c r="X145" s="169"/>
      <c r="Y145" s="169"/>
      <c r="Z145" s="169"/>
      <c r="AA145" s="169"/>
      <c r="AB145" s="169"/>
      <c r="AC145" s="169"/>
      <c r="AD145" s="169"/>
      <c r="AE145" s="169"/>
      <c r="AF145" s="169"/>
      <c r="AG145" s="169"/>
      <c r="AH145" s="169"/>
      <c r="AI145" s="169"/>
      <c r="AJ145" s="169"/>
      <c r="AK145" s="169"/>
      <c r="AL145" s="169"/>
      <c r="AM145" s="169"/>
      <c r="AN145" s="169"/>
      <c r="AO145" s="169"/>
      <c r="AP145" s="169"/>
      <c r="AQ145" s="169"/>
      <c r="AR145" s="169"/>
      <c r="AS145" s="169"/>
      <c r="AT145" s="169"/>
      <c r="AU145" s="169"/>
      <c r="AV145" s="169"/>
      <c r="AW145" s="169"/>
      <c r="AX145" s="169"/>
      <c r="AY145" s="169"/>
      <c r="AZ145" s="169"/>
      <c r="BA145" s="169"/>
      <c r="BB145" s="169"/>
      <c r="BC145" s="169"/>
      <c r="BD145" s="169"/>
      <c r="BE145" s="169"/>
      <c r="BF145" s="169"/>
    </row>
    <row r="146" spans="1:58" ht="15" customHeight="1">
      <c r="A146" s="169"/>
      <c r="B146" s="169"/>
      <c r="C146" s="169"/>
      <c r="D146" s="169"/>
      <c r="E146" s="169"/>
      <c r="F146" s="169"/>
      <c r="G146" s="169"/>
      <c r="H146" s="169"/>
      <c r="I146" s="169"/>
      <c r="J146" s="169"/>
      <c r="K146" s="169"/>
      <c r="L146" s="169"/>
      <c r="M146" s="169"/>
      <c r="N146" s="169"/>
      <c r="O146" s="169"/>
      <c r="P146" s="169"/>
      <c r="Q146" s="169"/>
      <c r="R146" s="169"/>
      <c r="S146" s="169"/>
      <c r="T146" s="169"/>
      <c r="U146" s="169"/>
      <c r="V146" s="169"/>
      <c r="W146" s="169"/>
      <c r="X146" s="169"/>
      <c r="Y146" s="169"/>
      <c r="Z146" s="169"/>
      <c r="AA146" s="169"/>
      <c r="AB146" s="169"/>
      <c r="AC146" s="169"/>
      <c r="AD146" s="169"/>
      <c r="AE146" s="169"/>
      <c r="AF146" s="169"/>
      <c r="AG146" s="169"/>
      <c r="AH146" s="169"/>
      <c r="AI146" s="169"/>
      <c r="AJ146" s="169"/>
      <c r="AK146" s="169"/>
      <c r="AL146" s="169"/>
      <c r="AM146" s="169"/>
      <c r="AN146" s="169"/>
      <c r="AO146" s="169"/>
      <c r="AP146" s="169"/>
      <c r="AQ146" s="169"/>
      <c r="AR146" s="169"/>
      <c r="AS146" s="169"/>
      <c r="AT146" s="169"/>
      <c r="AU146" s="169"/>
      <c r="AV146" s="169"/>
      <c r="AW146" s="169"/>
      <c r="AX146" s="169"/>
      <c r="AY146" s="169"/>
      <c r="AZ146" s="169"/>
      <c r="BA146" s="169"/>
      <c r="BB146" s="169"/>
      <c r="BC146" s="169"/>
      <c r="BD146" s="169"/>
      <c r="BE146" s="169"/>
      <c r="BF146" s="169"/>
    </row>
    <row r="147" spans="1:58" ht="15" customHeight="1">
      <c r="A147" s="169"/>
      <c r="B147" s="169"/>
      <c r="C147" s="169"/>
      <c r="D147" s="169"/>
      <c r="E147" s="169"/>
      <c r="F147" s="169"/>
      <c r="G147" s="169"/>
      <c r="H147" s="169"/>
      <c r="I147" s="169"/>
      <c r="J147" s="169"/>
      <c r="K147" s="169"/>
      <c r="L147" s="169"/>
      <c r="M147" s="169"/>
      <c r="N147" s="169"/>
      <c r="O147" s="169"/>
      <c r="P147" s="169"/>
      <c r="Q147" s="169"/>
      <c r="R147" s="169"/>
      <c r="S147" s="169"/>
      <c r="T147" s="169"/>
      <c r="U147" s="169"/>
      <c r="V147" s="169"/>
      <c r="W147" s="169"/>
      <c r="X147" s="169"/>
      <c r="Y147" s="169"/>
      <c r="Z147" s="169"/>
      <c r="AA147" s="169"/>
      <c r="AB147" s="169"/>
      <c r="AC147" s="169"/>
      <c r="AD147" s="169"/>
      <c r="AE147" s="169"/>
      <c r="AF147" s="169"/>
      <c r="AG147" s="169"/>
      <c r="AH147" s="169"/>
      <c r="AI147" s="169"/>
      <c r="AJ147" s="169"/>
      <c r="AK147" s="169"/>
      <c r="AL147" s="169"/>
      <c r="AM147" s="169"/>
      <c r="AN147" s="169"/>
      <c r="AO147" s="169"/>
      <c r="AP147" s="169"/>
      <c r="AQ147" s="169"/>
      <c r="AR147" s="169"/>
      <c r="AS147" s="169"/>
      <c r="AT147" s="169"/>
      <c r="AU147" s="169"/>
      <c r="AV147" s="169"/>
      <c r="AW147" s="169"/>
      <c r="AX147" s="169"/>
      <c r="AY147" s="169"/>
      <c r="AZ147" s="169"/>
      <c r="BA147" s="169"/>
      <c r="BB147" s="169"/>
      <c r="BC147" s="169"/>
      <c r="BD147" s="169"/>
      <c r="BE147" s="169"/>
      <c r="BF147" s="169"/>
    </row>
    <row r="148" spans="1:58" ht="15" customHeight="1">
      <c r="A148" s="169"/>
      <c r="B148" s="169"/>
      <c r="C148" s="169"/>
      <c r="D148" s="169"/>
      <c r="E148" s="169"/>
      <c r="F148" s="169"/>
      <c r="G148" s="169"/>
      <c r="H148" s="169"/>
      <c r="I148" s="169"/>
      <c r="J148" s="169"/>
      <c r="K148" s="169"/>
      <c r="L148" s="169"/>
      <c r="M148" s="169"/>
      <c r="N148" s="169"/>
      <c r="O148" s="169"/>
      <c r="P148" s="169"/>
      <c r="Q148" s="169"/>
      <c r="R148" s="169"/>
      <c r="S148" s="169"/>
      <c r="T148" s="169"/>
      <c r="U148" s="169"/>
      <c r="V148" s="169"/>
      <c r="W148" s="169"/>
      <c r="X148" s="169"/>
      <c r="Y148" s="169"/>
      <c r="Z148" s="169"/>
      <c r="AA148" s="169"/>
      <c r="AB148" s="169"/>
      <c r="AC148" s="169"/>
      <c r="AD148" s="169"/>
      <c r="AE148" s="169"/>
      <c r="AF148" s="169"/>
      <c r="AG148" s="169"/>
      <c r="AH148" s="169"/>
      <c r="AI148" s="169"/>
      <c r="AJ148" s="169"/>
      <c r="AK148" s="169"/>
      <c r="AL148" s="169"/>
      <c r="AM148" s="169"/>
      <c r="AN148" s="169"/>
      <c r="AO148" s="169"/>
      <c r="AP148" s="169"/>
      <c r="AQ148" s="169"/>
      <c r="AR148" s="169"/>
      <c r="AS148" s="169"/>
      <c r="AT148" s="169"/>
      <c r="AU148" s="169"/>
      <c r="AV148" s="169"/>
      <c r="AW148" s="169"/>
      <c r="AX148" s="169"/>
      <c r="AY148" s="169"/>
      <c r="AZ148" s="169"/>
      <c r="BA148" s="169"/>
      <c r="BB148" s="169"/>
      <c r="BC148" s="169"/>
      <c r="BD148" s="169"/>
      <c r="BE148" s="169"/>
      <c r="BF148" s="169"/>
    </row>
    <row r="149" spans="1:58" ht="15" customHeight="1">
      <c r="A149" s="169"/>
      <c r="B149" s="169"/>
      <c r="C149" s="169"/>
      <c r="D149" s="169"/>
      <c r="E149" s="169"/>
      <c r="F149" s="169"/>
      <c r="G149" s="169"/>
      <c r="H149" s="169"/>
      <c r="I149" s="169"/>
      <c r="J149" s="169"/>
      <c r="K149" s="169"/>
      <c r="L149" s="169"/>
      <c r="M149" s="169"/>
      <c r="N149" s="169"/>
      <c r="O149" s="169"/>
      <c r="P149" s="169"/>
      <c r="Q149" s="169"/>
      <c r="R149" s="169"/>
      <c r="S149" s="169"/>
      <c r="T149" s="169"/>
      <c r="U149" s="169"/>
      <c r="V149" s="169"/>
      <c r="W149" s="169"/>
      <c r="X149" s="169"/>
      <c r="Y149" s="169"/>
      <c r="Z149" s="169"/>
      <c r="AA149" s="169"/>
      <c r="AB149" s="169"/>
      <c r="AC149" s="169"/>
      <c r="AD149" s="169"/>
      <c r="AE149" s="169"/>
      <c r="AF149" s="169"/>
      <c r="AG149" s="169"/>
      <c r="AH149" s="169"/>
      <c r="AI149" s="169"/>
      <c r="AJ149" s="169"/>
      <c r="AK149" s="169"/>
      <c r="AL149" s="169"/>
      <c r="AM149" s="169"/>
      <c r="AN149" s="169"/>
      <c r="AO149" s="169"/>
      <c r="AP149" s="169"/>
      <c r="AQ149" s="169"/>
      <c r="AR149" s="169"/>
      <c r="AS149" s="169"/>
      <c r="AT149" s="169"/>
      <c r="AU149" s="169"/>
      <c r="AV149" s="169"/>
      <c r="AW149" s="169"/>
      <c r="AX149" s="169"/>
      <c r="AY149" s="169"/>
      <c r="AZ149" s="169"/>
      <c r="BA149" s="169"/>
      <c r="BB149" s="169"/>
      <c r="BC149" s="169"/>
      <c r="BD149" s="169"/>
      <c r="BE149" s="169"/>
      <c r="BF149" s="169"/>
    </row>
    <row r="150" spans="1:58" ht="15" customHeight="1">
      <c r="A150" s="169"/>
      <c r="B150" s="169"/>
      <c r="C150" s="169"/>
      <c r="D150" s="169"/>
      <c r="E150" s="169"/>
      <c r="F150" s="169"/>
      <c r="G150" s="169"/>
      <c r="H150" s="169"/>
      <c r="I150" s="169"/>
      <c r="J150" s="169"/>
      <c r="K150" s="169"/>
      <c r="L150" s="169"/>
      <c r="M150" s="169"/>
      <c r="N150" s="169"/>
      <c r="O150" s="169"/>
      <c r="P150" s="169"/>
      <c r="Q150" s="169"/>
      <c r="R150" s="169"/>
      <c r="S150" s="169"/>
      <c r="T150" s="169"/>
      <c r="U150" s="169"/>
      <c r="V150" s="169"/>
      <c r="W150" s="169"/>
      <c r="X150" s="169"/>
      <c r="Y150" s="169"/>
      <c r="Z150" s="169"/>
      <c r="AA150" s="169"/>
      <c r="AB150" s="169"/>
      <c r="AC150" s="169"/>
      <c r="AD150" s="169"/>
      <c r="AE150" s="169"/>
      <c r="AF150" s="169"/>
      <c r="AG150" s="169"/>
      <c r="AH150" s="169"/>
      <c r="AI150" s="169"/>
      <c r="AJ150" s="169"/>
      <c r="AK150" s="169"/>
      <c r="AL150" s="169"/>
      <c r="AM150" s="169"/>
      <c r="AN150" s="169"/>
      <c r="AO150" s="169"/>
      <c r="AP150" s="169"/>
      <c r="AQ150" s="169"/>
      <c r="AR150" s="169"/>
      <c r="AS150" s="169"/>
      <c r="AT150" s="169"/>
      <c r="AU150" s="169"/>
      <c r="AV150" s="169"/>
      <c r="AW150" s="169"/>
      <c r="AX150" s="169"/>
      <c r="AY150" s="169"/>
      <c r="AZ150" s="169"/>
      <c r="BA150" s="169"/>
      <c r="BB150" s="169"/>
      <c r="BC150" s="169"/>
      <c r="BD150" s="169"/>
      <c r="BE150" s="169"/>
      <c r="BF150" s="169"/>
    </row>
    <row r="151" spans="1:58" ht="15" customHeight="1">
      <c r="A151" s="169"/>
      <c r="B151" s="169"/>
      <c r="C151" s="169"/>
      <c r="D151" s="169"/>
      <c r="E151" s="169"/>
      <c r="F151" s="169"/>
      <c r="G151" s="169"/>
      <c r="H151" s="169"/>
      <c r="I151" s="169"/>
      <c r="J151" s="169"/>
      <c r="K151" s="169"/>
      <c r="L151" s="169"/>
      <c r="M151" s="169"/>
      <c r="N151" s="169"/>
      <c r="O151" s="169"/>
      <c r="P151" s="169"/>
      <c r="Q151" s="169"/>
      <c r="R151" s="169"/>
      <c r="S151" s="169"/>
      <c r="T151" s="169"/>
      <c r="U151" s="169"/>
      <c r="V151" s="169"/>
      <c r="W151" s="169"/>
      <c r="X151" s="169"/>
      <c r="Y151" s="169"/>
      <c r="Z151" s="169"/>
      <c r="AA151" s="169"/>
      <c r="AB151" s="169"/>
      <c r="AC151" s="169"/>
      <c r="AD151" s="169"/>
      <c r="AE151" s="169"/>
      <c r="AF151" s="169"/>
      <c r="AG151" s="169"/>
      <c r="AH151" s="169"/>
      <c r="AI151" s="169"/>
      <c r="AJ151" s="169"/>
      <c r="AK151" s="169"/>
      <c r="AL151" s="169"/>
      <c r="AM151" s="169"/>
      <c r="AN151" s="169"/>
      <c r="AO151" s="169"/>
      <c r="AP151" s="169"/>
      <c r="AQ151" s="169"/>
      <c r="AR151" s="169"/>
      <c r="AS151" s="169"/>
      <c r="AT151" s="169"/>
      <c r="AU151" s="169"/>
      <c r="AV151" s="169"/>
      <c r="AW151" s="169"/>
      <c r="AX151" s="169"/>
      <c r="AY151" s="169"/>
      <c r="AZ151" s="169"/>
      <c r="BA151" s="169"/>
      <c r="BB151" s="169"/>
      <c r="BC151" s="169"/>
      <c r="BD151" s="169"/>
      <c r="BE151" s="169"/>
      <c r="BF151" s="169"/>
    </row>
    <row r="152" spans="1:58" ht="15" customHeight="1">
      <c r="A152" s="169"/>
      <c r="B152" s="169"/>
      <c r="C152" s="169"/>
      <c r="D152" s="169"/>
      <c r="E152" s="169"/>
      <c r="F152" s="169"/>
      <c r="G152" s="169"/>
      <c r="H152" s="169"/>
      <c r="I152" s="169"/>
      <c r="J152" s="169"/>
      <c r="K152" s="169"/>
      <c r="L152" s="169"/>
      <c r="M152" s="169"/>
      <c r="N152" s="169"/>
      <c r="O152" s="169"/>
      <c r="P152" s="169"/>
      <c r="Q152" s="169"/>
      <c r="R152" s="169"/>
      <c r="S152" s="169"/>
      <c r="T152" s="169"/>
      <c r="U152" s="169"/>
      <c r="V152" s="169"/>
      <c r="W152" s="169"/>
      <c r="X152" s="169"/>
      <c r="Y152" s="169"/>
      <c r="Z152" s="169"/>
      <c r="AA152" s="169"/>
      <c r="AB152" s="169"/>
      <c r="AC152" s="169"/>
      <c r="AD152" s="169"/>
      <c r="AE152" s="169"/>
      <c r="AF152" s="169"/>
      <c r="AG152" s="169"/>
      <c r="AH152" s="169"/>
      <c r="AI152" s="169"/>
      <c r="AJ152" s="169"/>
      <c r="AK152" s="169"/>
      <c r="AL152" s="169"/>
      <c r="AM152" s="169"/>
      <c r="AN152" s="169"/>
      <c r="AO152" s="169"/>
      <c r="AP152" s="169"/>
      <c r="AQ152" s="169"/>
      <c r="AR152" s="169"/>
      <c r="AS152" s="169"/>
      <c r="AT152" s="169"/>
      <c r="AU152" s="169"/>
      <c r="AV152" s="169"/>
      <c r="AW152" s="169"/>
      <c r="AX152" s="169"/>
      <c r="AY152" s="169"/>
      <c r="AZ152" s="169"/>
      <c r="BA152" s="169"/>
      <c r="BB152" s="169"/>
      <c r="BC152" s="169"/>
      <c r="BD152" s="169"/>
      <c r="BE152" s="169"/>
      <c r="BF152" s="169"/>
    </row>
    <row r="153" spans="1:58" ht="15" customHeight="1">
      <c r="A153" s="169"/>
      <c r="B153" s="169"/>
      <c r="C153" s="169"/>
      <c r="D153" s="169"/>
      <c r="E153" s="169"/>
      <c r="F153" s="169"/>
      <c r="G153" s="169"/>
      <c r="H153" s="169"/>
      <c r="I153" s="169"/>
      <c r="J153" s="169"/>
      <c r="K153" s="169"/>
      <c r="L153" s="169"/>
      <c r="M153" s="169"/>
      <c r="N153" s="169"/>
      <c r="O153" s="169"/>
      <c r="P153" s="169"/>
      <c r="Q153" s="169"/>
      <c r="R153" s="169"/>
      <c r="S153" s="169"/>
      <c r="T153" s="169"/>
      <c r="U153" s="169"/>
      <c r="V153" s="169"/>
      <c r="W153" s="169"/>
      <c r="X153" s="169"/>
      <c r="Y153" s="169"/>
      <c r="Z153" s="169"/>
      <c r="AA153" s="169"/>
      <c r="AB153" s="169"/>
      <c r="AC153" s="169"/>
      <c r="AD153" s="169"/>
      <c r="AE153" s="169"/>
      <c r="AF153" s="169"/>
      <c r="AG153" s="169"/>
      <c r="AH153" s="169"/>
      <c r="AI153" s="169"/>
      <c r="AJ153" s="169"/>
      <c r="AK153" s="169"/>
      <c r="AL153" s="169"/>
      <c r="AM153" s="169"/>
      <c r="AN153" s="169"/>
      <c r="AO153" s="169"/>
      <c r="AP153" s="169"/>
      <c r="AQ153" s="169"/>
      <c r="AR153" s="169"/>
      <c r="AS153" s="169"/>
      <c r="AT153" s="169"/>
      <c r="AU153" s="169"/>
      <c r="AV153" s="169"/>
      <c r="AW153" s="169"/>
      <c r="AX153" s="169"/>
      <c r="AY153" s="169"/>
      <c r="AZ153" s="169"/>
      <c r="BA153" s="169"/>
      <c r="BB153" s="169"/>
      <c r="BC153" s="169"/>
      <c r="BD153" s="169"/>
      <c r="BE153" s="169"/>
      <c r="BF153" s="169"/>
    </row>
    <row r="154" spans="1:58" ht="15" customHeight="1">
      <c r="A154" s="169"/>
      <c r="B154" s="169"/>
      <c r="C154" s="169"/>
      <c r="D154" s="169"/>
      <c r="E154" s="169"/>
      <c r="F154" s="169"/>
      <c r="G154" s="169"/>
      <c r="H154" s="169"/>
      <c r="I154" s="169"/>
      <c r="J154" s="169"/>
      <c r="K154" s="169"/>
      <c r="L154" s="169"/>
      <c r="M154" s="169"/>
      <c r="N154" s="169"/>
      <c r="O154" s="169"/>
      <c r="P154" s="169"/>
      <c r="Q154" s="169"/>
      <c r="R154" s="169"/>
      <c r="S154" s="169"/>
      <c r="T154" s="169"/>
      <c r="U154" s="169"/>
      <c r="V154" s="169"/>
      <c r="W154" s="169"/>
      <c r="X154" s="169"/>
      <c r="Y154" s="169"/>
      <c r="Z154" s="169"/>
      <c r="AA154" s="169"/>
      <c r="AB154" s="169"/>
      <c r="AC154" s="169"/>
      <c r="AD154" s="169"/>
      <c r="AE154" s="169"/>
      <c r="AF154" s="169"/>
      <c r="AG154" s="169"/>
      <c r="AH154" s="169"/>
      <c r="AI154" s="169"/>
      <c r="AJ154" s="169"/>
      <c r="AK154" s="169"/>
      <c r="AL154" s="169"/>
      <c r="AM154" s="169"/>
      <c r="AN154" s="169"/>
      <c r="AO154" s="169"/>
      <c r="AP154" s="169"/>
      <c r="AQ154" s="169"/>
      <c r="AR154" s="169"/>
      <c r="AS154" s="169"/>
      <c r="AT154" s="169"/>
      <c r="AU154" s="169"/>
      <c r="AV154" s="169"/>
      <c r="AW154" s="169"/>
      <c r="AX154" s="169"/>
      <c r="AY154" s="169"/>
      <c r="AZ154" s="169"/>
      <c r="BA154" s="169"/>
      <c r="BB154" s="169"/>
      <c r="BC154" s="169"/>
      <c r="BD154" s="169"/>
      <c r="BE154" s="169"/>
      <c r="BF154" s="169"/>
    </row>
    <row r="155" spans="1:58" ht="15" customHeight="1">
      <c r="A155" s="169"/>
      <c r="B155" s="169"/>
      <c r="C155" s="169"/>
      <c r="D155" s="169"/>
      <c r="E155" s="169"/>
      <c r="F155" s="169"/>
      <c r="G155" s="169"/>
      <c r="H155" s="169"/>
      <c r="I155" s="169"/>
      <c r="J155" s="169"/>
      <c r="K155" s="169"/>
      <c r="L155" s="169"/>
      <c r="M155" s="169"/>
      <c r="N155" s="169"/>
      <c r="O155" s="169"/>
      <c r="P155" s="169"/>
      <c r="Q155" s="169"/>
      <c r="R155" s="169"/>
      <c r="S155" s="169"/>
      <c r="T155" s="169"/>
      <c r="U155" s="169"/>
      <c r="V155" s="169"/>
      <c r="W155" s="169"/>
      <c r="X155" s="169"/>
      <c r="Y155" s="169"/>
      <c r="Z155" s="169"/>
      <c r="AA155" s="169"/>
      <c r="AB155" s="169"/>
      <c r="AC155" s="169"/>
      <c r="AD155" s="169"/>
      <c r="AE155" s="169"/>
      <c r="AF155" s="169"/>
      <c r="AG155" s="169"/>
      <c r="AH155" s="169"/>
      <c r="AI155" s="169"/>
      <c r="AJ155" s="169"/>
      <c r="AK155" s="169"/>
      <c r="AL155" s="169"/>
      <c r="AM155" s="169"/>
      <c r="AN155" s="169"/>
      <c r="AO155" s="169"/>
      <c r="AP155" s="169"/>
      <c r="AQ155" s="169"/>
      <c r="AR155" s="169"/>
      <c r="AS155" s="169"/>
      <c r="AT155" s="169"/>
      <c r="AU155" s="169"/>
      <c r="AV155" s="169"/>
      <c r="AW155" s="169"/>
      <c r="AX155" s="169"/>
      <c r="AY155" s="169"/>
      <c r="AZ155" s="169"/>
      <c r="BA155" s="169"/>
      <c r="BB155" s="169"/>
      <c r="BC155" s="169"/>
      <c r="BD155" s="169"/>
      <c r="BE155" s="169"/>
      <c r="BF155" s="169"/>
    </row>
    <row r="156" spans="1:58" ht="15" customHeight="1">
      <c r="A156" s="169"/>
      <c r="B156" s="169"/>
      <c r="C156" s="169"/>
      <c r="D156" s="169"/>
      <c r="E156" s="169"/>
      <c r="F156" s="169"/>
      <c r="G156" s="169"/>
      <c r="H156" s="169"/>
      <c r="I156" s="169"/>
      <c r="J156" s="169"/>
      <c r="K156" s="169"/>
      <c r="L156" s="169"/>
      <c r="M156" s="169"/>
      <c r="N156" s="169"/>
      <c r="O156" s="169"/>
      <c r="P156" s="169"/>
      <c r="Q156" s="169"/>
      <c r="R156" s="169"/>
      <c r="S156" s="169"/>
      <c r="T156" s="169"/>
      <c r="U156" s="169"/>
      <c r="V156" s="169"/>
      <c r="W156" s="169"/>
      <c r="X156" s="169"/>
      <c r="Y156" s="169"/>
      <c r="Z156" s="169"/>
      <c r="AA156" s="169"/>
      <c r="AB156" s="169"/>
      <c r="AC156" s="169"/>
      <c r="AD156" s="169"/>
      <c r="AE156" s="169"/>
      <c r="AF156" s="169"/>
      <c r="AG156" s="169"/>
      <c r="AH156" s="169"/>
      <c r="AI156" s="169"/>
      <c r="AJ156" s="169"/>
      <c r="AK156" s="169"/>
      <c r="AL156" s="169"/>
      <c r="AM156" s="169"/>
      <c r="AN156" s="169"/>
      <c r="AO156" s="169"/>
      <c r="AP156" s="169"/>
      <c r="AQ156" s="169"/>
      <c r="AR156" s="169"/>
      <c r="AS156" s="169"/>
      <c r="AT156" s="169"/>
      <c r="AU156" s="169"/>
      <c r="AV156" s="169"/>
      <c r="AW156" s="169"/>
      <c r="AX156" s="169"/>
      <c r="AY156" s="169"/>
      <c r="AZ156" s="169"/>
      <c r="BA156" s="169"/>
      <c r="BB156" s="169"/>
      <c r="BC156" s="169"/>
      <c r="BD156" s="169"/>
      <c r="BE156" s="169"/>
      <c r="BF156" s="169"/>
    </row>
    <row r="157" spans="1:58" ht="15" customHeight="1">
      <c r="A157" s="169"/>
      <c r="B157" s="169"/>
      <c r="C157" s="169"/>
      <c r="D157" s="169"/>
      <c r="E157" s="169"/>
      <c r="F157" s="169"/>
      <c r="G157" s="169"/>
      <c r="H157" s="169"/>
      <c r="I157" s="169"/>
      <c r="J157" s="169"/>
      <c r="K157" s="169"/>
      <c r="L157" s="169"/>
      <c r="M157" s="169"/>
      <c r="N157" s="169"/>
      <c r="O157" s="169"/>
      <c r="P157" s="169"/>
      <c r="Q157" s="169"/>
      <c r="R157" s="169"/>
      <c r="S157" s="169"/>
      <c r="T157" s="169"/>
      <c r="U157" s="169"/>
      <c r="V157" s="169"/>
      <c r="W157" s="169"/>
      <c r="X157" s="169"/>
      <c r="Y157" s="169"/>
      <c r="Z157" s="169"/>
      <c r="AA157" s="169"/>
      <c r="AB157" s="169"/>
      <c r="AC157" s="169"/>
      <c r="AD157" s="169"/>
      <c r="AE157" s="169"/>
      <c r="AF157" s="169"/>
      <c r="AG157" s="169"/>
      <c r="AH157" s="169"/>
      <c r="AI157" s="169"/>
      <c r="AJ157" s="169"/>
      <c r="AK157" s="169"/>
      <c r="AL157" s="169"/>
      <c r="AM157" s="169"/>
      <c r="AN157" s="169"/>
      <c r="AO157" s="169"/>
      <c r="AP157" s="169"/>
      <c r="AQ157" s="169"/>
      <c r="AR157" s="169"/>
      <c r="AS157" s="169"/>
      <c r="AT157" s="169"/>
      <c r="AU157" s="169"/>
      <c r="AV157" s="169"/>
      <c r="AW157" s="169"/>
      <c r="AX157" s="169"/>
      <c r="AY157" s="169"/>
      <c r="AZ157" s="169"/>
      <c r="BA157" s="169"/>
      <c r="BB157" s="169"/>
      <c r="BC157" s="169"/>
      <c r="BD157" s="169"/>
      <c r="BE157" s="169"/>
      <c r="BF157" s="169"/>
    </row>
    <row r="158" spans="1:58" ht="15" customHeight="1">
      <c r="A158" s="169"/>
      <c r="B158" s="169"/>
      <c r="C158" s="169"/>
      <c r="D158" s="169"/>
      <c r="E158" s="169"/>
      <c r="F158" s="169"/>
      <c r="G158" s="169"/>
      <c r="H158" s="169"/>
      <c r="I158" s="169"/>
      <c r="J158" s="169"/>
      <c r="K158" s="169"/>
      <c r="L158" s="169"/>
      <c r="M158" s="169"/>
      <c r="N158" s="169"/>
      <c r="O158" s="169"/>
      <c r="P158" s="169"/>
      <c r="Q158" s="169"/>
      <c r="R158" s="169"/>
      <c r="S158" s="169"/>
      <c r="T158" s="169"/>
      <c r="U158" s="169"/>
      <c r="V158" s="169"/>
      <c r="W158" s="169"/>
      <c r="X158" s="169"/>
      <c r="Y158" s="169"/>
      <c r="Z158" s="169"/>
      <c r="AA158" s="169"/>
      <c r="AB158" s="169"/>
      <c r="AC158" s="169"/>
      <c r="AD158" s="169"/>
      <c r="AE158" s="169"/>
      <c r="AF158" s="169"/>
      <c r="AG158" s="169"/>
      <c r="AH158" s="169"/>
      <c r="AI158" s="169"/>
      <c r="AJ158" s="169"/>
      <c r="AK158" s="169"/>
      <c r="AL158" s="169"/>
      <c r="AM158" s="169"/>
      <c r="AN158" s="169"/>
      <c r="AO158" s="169"/>
      <c r="AP158" s="169"/>
      <c r="AQ158" s="169"/>
      <c r="AR158" s="169"/>
      <c r="AS158" s="169"/>
      <c r="AT158" s="169"/>
      <c r="AU158" s="169"/>
      <c r="AV158" s="169"/>
      <c r="AW158" s="169"/>
      <c r="AX158" s="169"/>
      <c r="AY158" s="169"/>
      <c r="AZ158" s="169"/>
      <c r="BA158" s="169"/>
      <c r="BB158" s="169"/>
      <c r="BC158" s="169"/>
      <c r="BD158" s="169"/>
      <c r="BE158" s="169"/>
      <c r="BF158" s="169"/>
    </row>
    <row r="159" spans="1:58" ht="15" customHeight="1">
      <c r="A159" s="169"/>
      <c r="B159" s="169"/>
      <c r="C159" s="169"/>
      <c r="D159" s="169"/>
      <c r="E159" s="169"/>
      <c r="F159" s="169"/>
      <c r="G159" s="169"/>
      <c r="H159" s="169"/>
      <c r="I159" s="169"/>
      <c r="J159" s="169"/>
      <c r="K159" s="169"/>
      <c r="L159" s="169"/>
      <c r="M159" s="169"/>
      <c r="N159" s="169"/>
      <c r="O159" s="169"/>
      <c r="P159" s="169"/>
      <c r="Q159" s="169"/>
      <c r="R159" s="169"/>
      <c r="S159" s="169"/>
      <c r="T159" s="169"/>
      <c r="U159" s="169"/>
      <c r="V159" s="169"/>
      <c r="W159" s="169"/>
      <c r="X159" s="169"/>
      <c r="Y159" s="169"/>
      <c r="Z159" s="169"/>
      <c r="AA159" s="169"/>
      <c r="AB159" s="169"/>
      <c r="AC159" s="169"/>
      <c r="AD159" s="169"/>
      <c r="AE159" s="169"/>
      <c r="AF159" s="169"/>
      <c r="AG159" s="169"/>
      <c r="AH159" s="169"/>
      <c r="AI159" s="169"/>
      <c r="AJ159" s="169"/>
      <c r="AK159" s="169"/>
      <c r="AL159" s="169"/>
      <c r="AM159" s="169"/>
      <c r="AN159" s="169"/>
      <c r="AO159" s="169"/>
      <c r="AP159" s="169"/>
      <c r="AQ159" s="169"/>
      <c r="AR159" s="169"/>
      <c r="AS159" s="169"/>
      <c r="AT159" s="169"/>
      <c r="AU159" s="169"/>
      <c r="AV159" s="169"/>
      <c r="AW159" s="169"/>
      <c r="AX159" s="169"/>
      <c r="AY159" s="169"/>
      <c r="AZ159" s="169"/>
      <c r="BA159" s="169"/>
      <c r="BB159" s="169"/>
      <c r="BC159" s="169"/>
      <c r="BD159" s="169"/>
      <c r="BE159" s="169"/>
      <c r="BF159" s="169"/>
    </row>
    <row r="160" spans="1:58" ht="15" customHeight="1">
      <c r="A160" s="169"/>
      <c r="B160" s="169"/>
      <c r="C160" s="169"/>
      <c r="D160" s="169"/>
      <c r="E160" s="169"/>
      <c r="F160" s="169"/>
      <c r="G160" s="169"/>
      <c r="H160" s="169"/>
      <c r="I160" s="169"/>
      <c r="J160" s="169"/>
      <c r="K160" s="169"/>
      <c r="L160" s="169"/>
      <c r="M160" s="169"/>
      <c r="N160" s="169"/>
      <c r="O160" s="169"/>
      <c r="P160" s="169"/>
      <c r="Q160" s="169"/>
      <c r="R160" s="169"/>
      <c r="S160" s="169"/>
      <c r="T160" s="169"/>
      <c r="U160" s="169"/>
      <c r="V160" s="169"/>
      <c r="W160" s="169"/>
      <c r="X160" s="169"/>
      <c r="Y160" s="169"/>
      <c r="Z160" s="169"/>
      <c r="AA160" s="169"/>
      <c r="AB160" s="169"/>
      <c r="AC160" s="169"/>
      <c r="AD160" s="169"/>
      <c r="AE160" s="169"/>
      <c r="AF160" s="169"/>
      <c r="AG160" s="169"/>
      <c r="AH160" s="169"/>
      <c r="AI160" s="169"/>
      <c r="AJ160" s="169"/>
      <c r="AK160" s="169"/>
      <c r="AL160" s="169"/>
      <c r="AM160" s="169"/>
      <c r="AN160" s="169"/>
      <c r="AO160" s="169"/>
      <c r="AP160" s="169"/>
      <c r="AQ160" s="169"/>
      <c r="AR160" s="169"/>
      <c r="AS160" s="169"/>
      <c r="AT160" s="169"/>
      <c r="AU160" s="169"/>
      <c r="AV160" s="169"/>
      <c r="AW160" s="169"/>
      <c r="AX160" s="169"/>
      <c r="AY160" s="169"/>
      <c r="AZ160" s="169"/>
      <c r="BA160" s="169"/>
      <c r="BB160" s="169"/>
      <c r="BC160" s="169"/>
      <c r="BD160" s="169"/>
      <c r="BE160" s="169"/>
      <c r="BF160" s="169"/>
    </row>
    <row r="161" spans="1:58" ht="15" customHeight="1">
      <c r="A161" s="169"/>
      <c r="B161" s="169"/>
      <c r="C161" s="169"/>
      <c r="D161" s="169"/>
      <c r="E161" s="169"/>
      <c r="F161" s="169"/>
      <c r="G161" s="169"/>
      <c r="H161" s="169"/>
      <c r="I161" s="169"/>
      <c r="J161" s="169"/>
      <c r="K161" s="169"/>
      <c r="L161" s="169"/>
      <c r="M161" s="169"/>
      <c r="N161" s="169"/>
      <c r="O161" s="169"/>
      <c r="P161" s="169"/>
      <c r="Q161" s="169"/>
      <c r="R161" s="169"/>
      <c r="S161" s="169"/>
      <c r="T161" s="169"/>
      <c r="U161" s="169"/>
      <c r="V161" s="169"/>
      <c r="W161" s="169"/>
      <c r="X161" s="169"/>
      <c r="Y161" s="169"/>
      <c r="Z161" s="169"/>
      <c r="AA161" s="169"/>
      <c r="AB161" s="169"/>
      <c r="AC161" s="169"/>
      <c r="AD161" s="169"/>
      <c r="AE161" s="169"/>
      <c r="AF161" s="169"/>
      <c r="AG161" s="169"/>
      <c r="AH161" s="169"/>
      <c r="AI161" s="169"/>
      <c r="AJ161" s="169"/>
      <c r="AK161" s="169"/>
      <c r="AL161" s="169"/>
      <c r="AM161" s="169"/>
      <c r="AN161" s="169"/>
      <c r="AO161" s="169"/>
      <c r="AP161" s="169"/>
      <c r="AQ161" s="169"/>
      <c r="AR161" s="169"/>
      <c r="AS161" s="169"/>
      <c r="AT161" s="169"/>
      <c r="AU161" s="169"/>
      <c r="AV161" s="169"/>
      <c r="AW161" s="169"/>
      <c r="AX161" s="169"/>
      <c r="AY161" s="169"/>
      <c r="AZ161" s="169"/>
      <c r="BA161" s="169"/>
      <c r="BB161" s="169"/>
      <c r="BC161" s="169"/>
      <c r="BD161" s="169"/>
      <c r="BE161" s="169"/>
      <c r="BF161" s="169"/>
    </row>
    <row r="162" spans="1:58" ht="15" customHeight="1">
      <c r="A162" s="169"/>
      <c r="B162" s="169"/>
      <c r="C162" s="169"/>
      <c r="D162" s="169"/>
      <c r="E162" s="169"/>
      <c r="F162" s="169"/>
      <c r="G162" s="169"/>
      <c r="H162" s="169"/>
      <c r="I162" s="169"/>
      <c r="J162" s="169"/>
      <c r="K162" s="169"/>
      <c r="L162" s="169"/>
      <c r="M162" s="169"/>
      <c r="N162" s="169"/>
      <c r="O162" s="169"/>
      <c r="P162" s="169"/>
      <c r="Q162" s="169"/>
      <c r="R162" s="169"/>
      <c r="S162" s="169"/>
      <c r="T162" s="169"/>
      <c r="U162" s="169"/>
      <c r="V162" s="169"/>
      <c r="W162" s="169"/>
      <c r="X162" s="169"/>
      <c r="Y162" s="169"/>
      <c r="Z162" s="169"/>
      <c r="AA162" s="169"/>
      <c r="AB162" s="169"/>
      <c r="AC162" s="169"/>
      <c r="AD162" s="169"/>
      <c r="AE162" s="169"/>
      <c r="AF162" s="169"/>
      <c r="AG162" s="169"/>
      <c r="AH162" s="169"/>
      <c r="AI162" s="169"/>
      <c r="AJ162" s="169"/>
      <c r="AK162" s="169"/>
      <c r="AL162" s="169"/>
      <c r="AM162" s="169"/>
      <c r="AN162" s="169"/>
      <c r="AO162" s="169"/>
      <c r="AP162" s="169"/>
      <c r="AQ162" s="169"/>
      <c r="AR162" s="169"/>
      <c r="AS162" s="169"/>
      <c r="AT162" s="169"/>
      <c r="AU162" s="169"/>
      <c r="AV162" s="169"/>
      <c r="AW162" s="169"/>
      <c r="AX162" s="169"/>
      <c r="AY162" s="169"/>
      <c r="AZ162" s="169"/>
      <c r="BA162" s="169"/>
      <c r="BB162" s="169"/>
      <c r="BC162" s="169"/>
      <c r="BD162" s="169"/>
      <c r="BE162" s="169"/>
      <c r="BF162" s="169"/>
    </row>
    <row r="163" spans="1:58" ht="15" customHeight="1">
      <c r="A163" s="169"/>
      <c r="B163" s="169"/>
      <c r="C163" s="169"/>
      <c r="D163" s="169"/>
      <c r="E163" s="169"/>
      <c r="F163" s="169"/>
      <c r="G163" s="169"/>
      <c r="H163" s="169"/>
      <c r="I163" s="169"/>
      <c r="J163" s="169"/>
      <c r="K163" s="169"/>
      <c r="L163" s="169"/>
      <c r="M163" s="169"/>
      <c r="N163" s="169"/>
      <c r="O163" s="169"/>
      <c r="P163" s="169"/>
      <c r="Q163" s="169"/>
      <c r="R163" s="169"/>
      <c r="S163" s="169"/>
      <c r="T163" s="169"/>
      <c r="U163" s="169"/>
      <c r="V163" s="169"/>
      <c r="W163" s="169"/>
      <c r="X163" s="169"/>
      <c r="Y163" s="169"/>
      <c r="Z163" s="169"/>
      <c r="AA163" s="169"/>
      <c r="AB163" s="169"/>
      <c r="AC163" s="169"/>
      <c r="AD163" s="169"/>
      <c r="AE163" s="169"/>
      <c r="AF163" s="169"/>
      <c r="AG163" s="169"/>
      <c r="AH163" s="169"/>
      <c r="AI163" s="169"/>
      <c r="AJ163" s="169"/>
      <c r="AK163" s="169"/>
      <c r="AL163" s="169"/>
      <c r="AM163" s="169"/>
      <c r="AN163" s="169"/>
      <c r="AO163" s="169"/>
      <c r="AP163" s="169"/>
      <c r="AQ163" s="169"/>
      <c r="AR163" s="169"/>
      <c r="AS163" s="169"/>
      <c r="AT163" s="169"/>
      <c r="AU163" s="169"/>
      <c r="AV163" s="169"/>
      <c r="AW163" s="169"/>
      <c r="AX163" s="169"/>
      <c r="AY163" s="169"/>
      <c r="AZ163" s="169"/>
      <c r="BA163" s="169"/>
      <c r="BB163" s="169"/>
      <c r="BC163" s="169"/>
      <c r="BD163" s="169"/>
      <c r="BE163" s="169"/>
      <c r="BF163" s="169"/>
    </row>
    <row r="164" spans="1:58" ht="15" customHeight="1">
      <c r="A164" s="169"/>
      <c r="B164" s="169"/>
      <c r="C164" s="169"/>
      <c r="D164" s="169"/>
      <c r="E164" s="169"/>
      <c r="F164" s="169"/>
      <c r="G164" s="169"/>
      <c r="H164" s="169"/>
      <c r="I164" s="169"/>
      <c r="J164" s="169"/>
      <c r="K164" s="169"/>
      <c r="L164" s="169"/>
      <c r="M164" s="169"/>
      <c r="N164" s="169"/>
      <c r="O164" s="169"/>
      <c r="P164" s="169"/>
      <c r="Q164" s="169"/>
      <c r="R164" s="169"/>
      <c r="S164" s="169"/>
      <c r="T164" s="169"/>
      <c r="U164" s="169"/>
      <c r="V164" s="169"/>
      <c r="W164" s="169"/>
      <c r="X164" s="169"/>
      <c r="Y164" s="169"/>
      <c r="Z164" s="169"/>
      <c r="AA164" s="169"/>
      <c r="AB164" s="169"/>
      <c r="AC164" s="169"/>
      <c r="AD164" s="169"/>
      <c r="AE164" s="169"/>
      <c r="AF164" s="169"/>
      <c r="AG164" s="169"/>
      <c r="AH164" s="169"/>
      <c r="AI164" s="169"/>
      <c r="AJ164" s="169"/>
      <c r="AK164" s="169"/>
      <c r="AL164" s="169"/>
      <c r="AM164" s="169"/>
      <c r="AN164" s="169"/>
      <c r="AO164" s="169"/>
      <c r="AP164" s="169"/>
      <c r="AQ164" s="169"/>
      <c r="AR164" s="169"/>
      <c r="AS164" s="169"/>
      <c r="AT164" s="169"/>
      <c r="AU164" s="169"/>
      <c r="AV164" s="169"/>
      <c r="AW164" s="169"/>
      <c r="AX164" s="169"/>
      <c r="AY164" s="169"/>
      <c r="AZ164" s="169"/>
      <c r="BA164" s="169"/>
      <c r="BB164" s="169"/>
      <c r="BC164" s="169"/>
      <c r="BD164" s="169"/>
      <c r="BE164" s="169"/>
      <c r="BF164" s="169"/>
    </row>
    <row r="165" spans="1:58" ht="15" customHeight="1">
      <c r="A165" s="169"/>
      <c r="B165" s="169"/>
      <c r="C165" s="169"/>
      <c r="D165" s="169"/>
      <c r="E165" s="169"/>
      <c r="F165" s="169"/>
      <c r="G165" s="169"/>
      <c r="H165" s="169"/>
      <c r="I165" s="169"/>
      <c r="J165" s="169"/>
      <c r="K165" s="169"/>
      <c r="L165" s="169"/>
      <c r="M165" s="169"/>
      <c r="N165" s="169"/>
      <c r="O165" s="169"/>
      <c r="P165" s="169"/>
      <c r="Q165" s="169"/>
      <c r="R165" s="169"/>
      <c r="S165" s="169"/>
      <c r="T165" s="169"/>
      <c r="U165" s="169"/>
      <c r="V165" s="169"/>
      <c r="W165" s="169"/>
      <c r="X165" s="169"/>
      <c r="Y165" s="169"/>
      <c r="Z165" s="169"/>
      <c r="AA165" s="169"/>
      <c r="AB165" s="169"/>
      <c r="AC165" s="169"/>
      <c r="AD165" s="169"/>
      <c r="AE165" s="169"/>
      <c r="AF165" s="169"/>
      <c r="AG165" s="169"/>
      <c r="AH165" s="169"/>
      <c r="AI165" s="169"/>
      <c r="AJ165" s="169"/>
      <c r="AK165" s="169"/>
      <c r="AL165" s="169"/>
      <c r="AM165" s="169"/>
      <c r="AN165" s="169"/>
      <c r="AO165" s="169"/>
      <c r="AP165" s="169"/>
      <c r="AQ165" s="169"/>
      <c r="AR165" s="169"/>
      <c r="AS165" s="169"/>
      <c r="AT165" s="169"/>
      <c r="AU165" s="169"/>
      <c r="AV165" s="169"/>
      <c r="AW165" s="169"/>
      <c r="AX165" s="169"/>
      <c r="AY165" s="169"/>
      <c r="AZ165" s="169"/>
      <c r="BA165" s="169"/>
      <c r="BB165" s="169"/>
      <c r="BC165" s="169"/>
      <c r="BD165" s="169"/>
      <c r="BE165" s="169"/>
      <c r="BF165" s="169"/>
    </row>
    <row r="166" spans="1:58" ht="15" customHeight="1">
      <c r="A166" s="169"/>
      <c r="B166" s="169"/>
      <c r="C166" s="169"/>
      <c r="D166" s="169"/>
      <c r="E166" s="169"/>
      <c r="F166" s="169"/>
      <c r="G166" s="169"/>
      <c r="H166" s="169"/>
      <c r="I166" s="169"/>
      <c r="J166" s="169"/>
      <c r="K166" s="169"/>
      <c r="L166" s="169"/>
      <c r="M166" s="169"/>
      <c r="N166" s="169"/>
      <c r="O166" s="169"/>
      <c r="P166" s="169"/>
      <c r="Q166" s="169"/>
      <c r="R166" s="169"/>
      <c r="S166" s="169"/>
      <c r="T166" s="169"/>
      <c r="U166" s="169"/>
      <c r="V166" s="169"/>
      <c r="W166" s="169"/>
      <c r="X166" s="169"/>
      <c r="Y166" s="169"/>
      <c r="Z166" s="169"/>
      <c r="AA166" s="169"/>
      <c r="AB166" s="169"/>
      <c r="AC166" s="169"/>
      <c r="AD166" s="169"/>
      <c r="AE166" s="169"/>
      <c r="AF166" s="169"/>
      <c r="AG166" s="169"/>
      <c r="AH166" s="169"/>
      <c r="AI166" s="169"/>
      <c r="AJ166" s="169"/>
      <c r="AK166" s="169"/>
      <c r="AL166" s="169"/>
      <c r="AM166" s="169"/>
      <c r="AN166" s="169"/>
      <c r="AO166" s="169"/>
      <c r="AP166" s="169"/>
      <c r="AQ166" s="169"/>
      <c r="AR166" s="169"/>
      <c r="AS166" s="169"/>
      <c r="AT166" s="169"/>
      <c r="AU166" s="169"/>
      <c r="AV166" s="169"/>
      <c r="AW166" s="169"/>
      <c r="AX166" s="169"/>
      <c r="AY166" s="169"/>
      <c r="AZ166" s="169"/>
      <c r="BA166" s="169"/>
      <c r="BB166" s="169"/>
      <c r="BC166" s="169"/>
      <c r="BD166" s="169"/>
      <c r="BE166" s="169"/>
      <c r="BF166" s="169"/>
    </row>
    <row r="167" spans="1:58" ht="15" customHeight="1">
      <c r="A167" s="169"/>
      <c r="B167" s="169"/>
      <c r="C167" s="169"/>
      <c r="D167" s="169"/>
      <c r="E167" s="169"/>
      <c r="F167" s="169"/>
      <c r="G167" s="169"/>
      <c r="H167" s="169"/>
      <c r="I167" s="169"/>
      <c r="J167" s="169"/>
      <c r="K167" s="169"/>
      <c r="L167" s="169"/>
      <c r="M167" s="169"/>
      <c r="N167" s="169"/>
      <c r="O167" s="169"/>
      <c r="P167" s="169"/>
      <c r="Q167" s="169"/>
      <c r="R167" s="169"/>
      <c r="S167" s="169"/>
      <c r="T167" s="169"/>
      <c r="U167" s="169"/>
      <c r="V167" s="169"/>
      <c r="W167" s="169"/>
      <c r="X167" s="169"/>
      <c r="Y167" s="169"/>
      <c r="Z167" s="169"/>
      <c r="AA167" s="169"/>
      <c r="AB167" s="169"/>
      <c r="AC167" s="169"/>
      <c r="AD167" s="169"/>
      <c r="AE167" s="169"/>
      <c r="AF167" s="169"/>
      <c r="AG167" s="169"/>
      <c r="AH167" s="169"/>
      <c r="AI167" s="169"/>
      <c r="AJ167" s="169"/>
      <c r="AK167" s="169"/>
      <c r="AL167" s="169"/>
      <c r="AM167" s="169"/>
      <c r="AN167" s="169"/>
      <c r="AO167" s="169"/>
      <c r="AP167" s="169"/>
      <c r="AQ167" s="169"/>
      <c r="AR167" s="169"/>
      <c r="AS167" s="169"/>
      <c r="AT167" s="169"/>
      <c r="AU167" s="169"/>
      <c r="AV167" s="169"/>
      <c r="AW167" s="169"/>
      <c r="AX167" s="169"/>
      <c r="AY167" s="169"/>
      <c r="AZ167" s="169"/>
      <c r="BA167" s="169"/>
      <c r="BB167" s="169"/>
      <c r="BC167" s="169"/>
      <c r="BD167" s="169"/>
      <c r="BE167" s="169"/>
      <c r="BF167" s="169"/>
    </row>
    <row r="168" spans="1:58" ht="15" customHeight="1">
      <c r="A168" s="169"/>
      <c r="B168" s="169"/>
      <c r="C168" s="169"/>
      <c r="D168" s="169"/>
      <c r="E168" s="169"/>
      <c r="F168" s="169"/>
      <c r="G168" s="169"/>
      <c r="H168" s="169"/>
      <c r="I168" s="169"/>
      <c r="J168" s="169"/>
      <c r="K168" s="169"/>
      <c r="L168" s="169"/>
      <c r="M168" s="169"/>
      <c r="N168" s="169"/>
      <c r="O168" s="169"/>
      <c r="P168" s="169"/>
      <c r="Q168" s="169"/>
      <c r="R168" s="169"/>
      <c r="S168" s="169"/>
      <c r="T168" s="169"/>
      <c r="U168" s="169"/>
      <c r="V168" s="169"/>
      <c r="W168" s="169"/>
      <c r="X168" s="169"/>
      <c r="Y168" s="169"/>
      <c r="Z168" s="169"/>
      <c r="AA168" s="169"/>
      <c r="AB168" s="169"/>
      <c r="AC168" s="169"/>
      <c r="AD168" s="169"/>
      <c r="AE168" s="169"/>
      <c r="AF168" s="169"/>
      <c r="AG168" s="169"/>
      <c r="AH168" s="169"/>
      <c r="AI168" s="169"/>
      <c r="AJ168" s="169"/>
      <c r="AK168" s="169"/>
      <c r="AL168" s="169"/>
      <c r="AM168" s="169"/>
      <c r="AN168" s="169"/>
      <c r="AO168" s="169"/>
      <c r="AP168" s="169"/>
      <c r="AQ168" s="169"/>
      <c r="AR168" s="169"/>
      <c r="AS168" s="169"/>
      <c r="AT168" s="169"/>
      <c r="AU168" s="169"/>
      <c r="AV168" s="169"/>
      <c r="AW168" s="169"/>
      <c r="AX168" s="169"/>
      <c r="AY168" s="169"/>
      <c r="AZ168" s="169"/>
      <c r="BA168" s="169"/>
      <c r="BB168" s="169"/>
      <c r="BC168" s="169"/>
      <c r="BD168" s="169"/>
      <c r="BE168" s="169"/>
      <c r="BF168" s="169"/>
    </row>
    <row r="169" spans="1:58" ht="15" customHeight="1">
      <c r="A169" s="169"/>
      <c r="B169" s="169"/>
      <c r="C169" s="169"/>
      <c r="D169" s="169"/>
      <c r="E169" s="169"/>
      <c r="F169" s="169"/>
      <c r="G169" s="169"/>
      <c r="H169" s="169"/>
      <c r="I169" s="169"/>
      <c r="J169" s="169"/>
      <c r="K169" s="169"/>
      <c r="L169" s="169"/>
      <c r="M169" s="169"/>
      <c r="N169" s="169"/>
      <c r="O169" s="169"/>
      <c r="P169" s="169"/>
      <c r="Q169" s="169"/>
      <c r="R169" s="169"/>
      <c r="S169" s="169"/>
      <c r="T169" s="169"/>
      <c r="U169" s="169"/>
      <c r="V169" s="169"/>
      <c r="W169" s="169"/>
      <c r="X169" s="169"/>
      <c r="Y169" s="169"/>
      <c r="Z169" s="169"/>
      <c r="AA169" s="169"/>
      <c r="AB169" s="169"/>
      <c r="AC169" s="169"/>
      <c r="AD169" s="169"/>
      <c r="AE169" s="169"/>
      <c r="AF169" s="169"/>
      <c r="AG169" s="169"/>
      <c r="AH169" s="169"/>
      <c r="AI169" s="169"/>
      <c r="AJ169" s="169"/>
      <c r="AK169" s="169"/>
      <c r="AL169" s="169"/>
      <c r="AM169" s="169"/>
      <c r="AN169" s="169"/>
      <c r="AO169" s="169"/>
      <c r="AP169" s="169"/>
      <c r="AQ169" s="169"/>
      <c r="AR169" s="169"/>
      <c r="AS169" s="169"/>
      <c r="AT169" s="169"/>
      <c r="AU169" s="169"/>
      <c r="AV169" s="169"/>
      <c r="AW169" s="169"/>
      <c r="AX169" s="169"/>
      <c r="AY169" s="169"/>
      <c r="AZ169" s="169"/>
      <c r="BA169" s="169"/>
      <c r="BB169" s="169"/>
      <c r="BC169" s="169"/>
      <c r="BD169" s="169"/>
      <c r="BE169" s="169"/>
      <c r="BF169" s="169"/>
    </row>
    <row r="170" spans="1:58" ht="15" customHeight="1">
      <c r="A170" s="169"/>
      <c r="B170" s="169"/>
      <c r="C170" s="169"/>
      <c r="D170" s="169"/>
      <c r="E170" s="169"/>
      <c r="F170" s="169"/>
      <c r="G170" s="169"/>
      <c r="H170" s="169"/>
      <c r="I170" s="169"/>
      <c r="J170" s="169"/>
      <c r="K170" s="169"/>
      <c r="L170" s="169"/>
      <c r="M170" s="169"/>
      <c r="N170" s="169"/>
      <c r="O170" s="169"/>
      <c r="P170" s="169"/>
      <c r="Q170" s="169"/>
      <c r="R170" s="169"/>
      <c r="S170" s="169"/>
      <c r="T170" s="169"/>
      <c r="U170" s="169"/>
      <c r="V170" s="169"/>
      <c r="W170" s="169"/>
      <c r="X170" s="169"/>
      <c r="Y170" s="169"/>
      <c r="Z170" s="169"/>
      <c r="AA170" s="169"/>
      <c r="AB170" s="169"/>
      <c r="AC170" s="169"/>
      <c r="AD170" s="169"/>
      <c r="AE170" s="169"/>
      <c r="AF170" s="169"/>
      <c r="AG170" s="169"/>
      <c r="AH170" s="169"/>
      <c r="AI170" s="169"/>
      <c r="AJ170" s="169"/>
      <c r="AK170" s="169"/>
      <c r="AL170" s="169"/>
      <c r="AM170" s="169"/>
      <c r="AN170" s="169"/>
      <c r="AO170" s="169"/>
      <c r="AP170" s="169"/>
      <c r="AQ170" s="169"/>
      <c r="AR170" s="169"/>
      <c r="AS170" s="169"/>
      <c r="AT170" s="169"/>
      <c r="AU170" s="169"/>
      <c r="AV170" s="169"/>
      <c r="AW170" s="169"/>
      <c r="AX170" s="169"/>
      <c r="AY170" s="169"/>
      <c r="AZ170" s="169"/>
      <c r="BA170" s="169"/>
      <c r="BB170" s="169"/>
      <c r="BC170" s="169"/>
      <c r="BD170" s="169"/>
      <c r="BE170" s="169"/>
      <c r="BF170" s="169"/>
    </row>
    <row r="171" spans="1:58" ht="15" customHeight="1">
      <c r="A171" s="169"/>
      <c r="B171" s="169"/>
      <c r="C171" s="169"/>
      <c r="D171" s="169"/>
      <c r="E171" s="169"/>
      <c r="F171" s="169"/>
      <c r="G171" s="169"/>
      <c r="H171" s="169"/>
      <c r="I171" s="169"/>
      <c r="J171" s="169"/>
      <c r="K171" s="169"/>
      <c r="L171" s="169"/>
      <c r="M171" s="169"/>
      <c r="N171" s="169"/>
      <c r="O171" s="169"/>
      <c r="P171" s="169"/>
      <c r="Q171" s="169"/>
      <c r="R171" s="169"/>
      <c r="S171" s="169"/>
      <c r="T171" s="169"/>
      <c r="U171" s="169"/>
      <c r="V171" s="169"/>
      <c r="W171" s="169"/>
      <c r="X171" s="169"/>
      <c r="Y171" s="169"/>
      <c r="Z171" s="169"/>
      <c r="AA171" s="169"/>
      <c r="AB171" s="169"/>
      <c r="AC171" s="169"/>
      <c r="AD171" s="169"/>
      <c r="AE171" s="169"/>
      <c r="AF171" s="169"/>
      <c r="AG171" s="169"/>
      <c r="AH171" s="169"/>
      <c r="AI171" s="169"/>
      <c r="AJ171" s="169"/>
      <c r="AK171" s="169"/>
      <c r="AL171" s="169"/>
      <c r="AM171" s="169"/>
      <c r="AN171" s="169"/>
      <c r="AO171" s="169"/>
      <c r="AP171" s="169"/>
      <c r="AQ171" s="169"/>
      <c r="AR171" s="169"/>
      <c r="AS171" s="169"/>
      <c r="AT171" s="169"/>
      <c r="AU171" s="169"/>
      <c r="AV171" s="169"/>
      <c r="AW171" s="169"/>
      <c r="AX171" s="169"/>
      <c r="AY171" s="169"/>
      <c r="AZ171" s="169"/>
      <c r="BA171" s="169"/>
      <c r="BB171" s="169"/>
      <c r="BC171" s="169"/>
      <c r="BD171" s="169"/>
      <c r="BE171" s="169"/>
      <c r="BF171" s="169"/>
    </row>
    <row r="172" spans="1:58" ht="15" customHeight="1">
      <c r="A172" s="169"/>
      <c r="B172" s="169"/>
      <c r="C172" s="169"/>
      <c r="D172" s="169"/>
      <c r="E172" s="169"/>
      <c r="F172" s="169"/>
      <c r="G172" s="169"/>
      <c r="H172" s="169"/>
      <c r="I172" s="169"/>
      <c r="J172" s="169"/>
      <c r="K172" s="169"/>
      <c r="L172" s="169"/>
      <c r="M172" s="169"/>
      <c r="N172" s="169"/>
      <c r="O172" s="169"/>
      <c r="P172" s="169"/>
      <c r="Q172" s="169"/>
      <c r="R172" s="169"/>
      <c r="S172" s="169"/>
      <c r="T172" s="169"/>
      <c r="U172" s="169"/>
      <c r="V172" s="169"/>
      <c r="W172" s="169"/>
      <c r="X172" s="169"/>
      <c r="Y172" s="169"/>
      <c r="Z172" s="169"/>
      <c r="AA172" s="169"/>
      <c r="AB172" s="169"/>
      <c r="AC172" s="169"/>
      <c r="AD172" s="169"/>
      <c r="AE172" s="169"/>
      <c r="AF172" s="169"/>
      <c r="AG172" s="169"/>
      <c r="AH172" s="169"/>
      <c r="AI172" s="169"/>
      <c r="AJ172" s="169"/>
      <c r="AK172" s="169"/>
      <c r="AL172" s="169"/>
      <c r="AM172" s="169"/>
      <c r="AN172" s="169"/>
      <c r="AO172" s="169"/>
      <c r="AP172" s="169"/>
      <c r="AQ172" s="169"/>
      <c r="AR172" s="169"/>
      <c r="AS172" s="169"/>
      <c r="AT172" s="169"/>
      <c r="AU172" s="169"/>
      <c r="AV172" s="169"/>
      <c r="AW172" s="169"/>
      <c r="AX172" s="169"/>
      <c r="AY172" s="169"/>
      <c r="AZ172" s="169"/>
      <c r="BA172" s="169"/>
      <c r="BB172" s="169"/>
      <c r="BC172" s="169"/>
      <c r="BD172" s="169"/>
      <c r="BE172" s="169"/>
      <c r="BF172" s="169"/>
    </row>
    <row r="173" spans="1:58" ht="15" customHeight="1">
      <c r="A173" s="169"/>
      <c r="B173" s="169"/>
      <c r="C173" s="169"/>
      <c r="D173" s="169"/>
      <c r="E173" s="169"/>
      <c r="F173" s="169"/>
      <c r="G173" s="169"/>
      <c r="H173" s="169"/>
      <c r="I173" s="169"/>
      <c r="J173" s="169"/>
      <c r="K173" s="169"/>
      <c r="L173" s="169"/>
      <c r="M173" s="169"/>
      <c r="N173" s="169"/>
      <c r="O173" s="169"/>
      <c r="P173" s="169"/>
      <c r="Q173" s="169"/>
      <c r="R173" s="169"/>
      <c r="S173" s="169"/>
      <c r="T173" s="169"/>
      <c r="U173" s="169"/>
      <c r="V173" s="169"/>
      <c r="W173" s="169"/>
      <c r="X173" s="169"/>
      <c r="Y173" s="169"/>
      <c r="Z173" s="169"/>
      <c r="AA173" s="169"/>
      <c r="AB173" s="169"/>
      <c r="AC173" s="169"/>
      <c r="AD173" s="169"/>
      <c r="AE173" s="169"/>
      <c r="AF173" s="169"/>
      <c r="AG173" s="169"/>
      <c r="AH173" s="169"/>
      <c r="AI173" s="169"/>
      <c r="AJ173" s="169"/>
      <c r="AK173" s="169"/>
      <c r="AL173" s="169"/>
      <c r="AM173" s="169"/>
      <c r="AN173" s="169"/>
      <c r="AO173" s="169"/>
      <c r="AP173" s="169"/>
      <c r="AQ173" s="169"/>
      <c r="AR173" s="169"/>
      <c r="AS173" s="169"/>
      <c r="AT173" s="169"/>
      <c r="AU173" s="169"/>
      <c r="AV173" s="169"/>
      <c r="AW173" s="169"/>
      <c r="AX173" s="169"/>
      <c r="AY173" s="169"/>
      <c r="AZ173" s="169"/>
      <c r="BA173" s="169"/>
      <c r="BB173" s="169"/>
      <c r="BC173" s="169"/>
      <c r="BD173" s="169"/>
      <c r="BE173" s="169"/>
      <c r="BF173" s="169"/>
    </row>
    <row r="174" spans="1:58" ht="15" customHeight="1">
      <c r="A174" s="169"/>
      <c r="B174" s="169"/>
      <c r="C174" s="169"/>
      <c r="D174" s="169"/>
      <c r="E174" s="169"/>
      <c r="F174" s="169"/>
      <c r="G174" s="169"/>
      <c r="H174" s="169"/>
      <c r="I174" s="169"/>
      <c r="J174" s="169"/>
      <c r="K174" s="169"/>
      <c r="L174" s="169"/>
      <c r="M174" s="169"/>
      <c r="N174" s="169"/>
      <c r="O174" s="169"/>
      <c r="P174" s="169"/>
      <c r="Q174" s="169"/>
      <c r="R174" s="169"/>
      <c r="S174" s="169"/>
      <c r="T174" s="169"/>
      <c r="U174" s="169"/>
      <c r="V174" s="169"/>
      <c r="W174" s="169"/>
      <c r="X174" s="169"/>
      <c r="Y174" s="169"/>
      <c r="Z174" s="169"/>
      <c r="AA174" s="169"/>
      <c r="AB174" s="169"/>
      <c r="AC174" s="169"/>
      <c r="AD174" s="169"/>
      <c r="AE174" s="169"/>
      <c r="AF174" s="169"/>
      <c r="AG174" s="169"/>
      <c r="AH174" s="169"/>
      <c r="AI174" s="169"/>
      <c r="AJ174" s="169"/>
      <c r="AK174" s="169"/>
      <c r="AL174" s="169"/>
      <c r="AM174" s="169"/>
      <c r="AN174" s="169"/>
      <c r="AO174" s="169"/>
      <c r="AP174" s="169"/>
      <c r="AQ174" s="169"/>
      <c r="AR174" s="169"/>
      <c r="AS174" s="169"/>
      <c r="AT174" s="169"/>
      <c r="AU174" s="169"/>
      <c r="AV174" s="169"/>
      <c r="AW174" s="169"/>
      <c r="AX174" s="169"/>
      <c r="AY174" s="169"/>
      <c r="AZ174" s="169"/>
      <c r="BA174" s="169"/>
      <c r="BB174" s="169"/>
      <c r="BC174" s="169"/>
      <c r="BD174" s="169"/>
      <c r="BE174" s="169"/>
      <c r="BF174" s="169"/>
    </row>
    <row r="175" spans="1:58" ht="15" customHeight="1">
      <c r="A175" s="169"/>
      <c r="B175" s="169"/>
      <c r="C175" s="169"/>
      <c r="D175" s="169"/>
      <c r="E175" s="169"/>
      <c r="F175" s="169"/>
      <c r="G175" s="169"/>
      <c r="H175" s="169"/>
      <c r="I175" s="169"/>
      <c r="J175" s="169"/>
      <c r="K175" s="169"/>
      <c r="L175" s="169"/>
      <c r="M175" s="169"/>
      <c r="N175" s="169"/>
      <c r="O175" s="169"/>
      <c r="P175" s="169"/>
      <c r="Q175" s="169"/>
      <c r="R175" s="169"/>
      <c r="S175" s="169"/>
      <c r="T175" s="169"/>
      <c r="U175" s="169"/>
      <c r="V175" s="169"/>
      <c r="W175" s="169"/>
      <c r="X175" s="169"/>
      <c r="Y175" s="169"/>
      <c r="Z175" s="169"/>
      <c r="AA175" s="169"/>
      <c r="AB175" s="169"/>
      <c r="AC175" s="169"/>
      <c r="AD175" s="169"/>
      <c r="AE175" s="169"/>
      <c r="AF175" s="169"/>
      <c r="AG175" s="169"/>
      <c r="AH175" s="169"/>
      <c r="AI175" s="169"/>
      <c r="AJ175" s="169"/>
      <c r="AK175" s="169"/>
      <c r="AL175" s="169"/>
      <c r="AM175" s="169"/>
      <c r="AN175" s="169"/>
      <c r="AO175" s="169"/>
      <c r="AP175" s="169"/>
      <c r="AQ175" s="169"/>
      <c r="AR175" s="169"/>
      <c r="AS175" s="169"/>
      <c r="AT175" s="169"/>
      <c r="AU175" s="169"/>
      <c r="AV175" s="169"/>
      <c r="AW175" s="169"/>
      <c r="AX175" s="169"/>
      <c r="AY175" s="169"/>
      <c r="AZ175" s="169"/>
      <c r="BA175" s="169"/>
      <c r="BB175" s="169"/>
      <c r="BC175" s="169"/>
      <c r="BD175" s="169"/>
      <c r="BE175" s="169"/>
      <c r="BF175" s="169"/>
    </row>
    <row r="176" spans="1:58" ht="15" customHeight="1">
      <c r="A176" s="169"/>
      <c r="B176" s="169"/>
      <c r="C176" s="169"/>
      <c r="D176" s="169"/>
      <c r="E176" s="169"/>
      <c r="F176" s="169"/>
      <c r="G176" s="169"/>
      <c r="H176" s="169"/>
      <c r="I176" s="169"/>
      <c r="J176" s="169"/>
      <c r="K176" s="169"/>
      <c r="L176" s="169"/>
      <c r="M176" s="169"/>
      <c r="N176" s="169"/>
      <c r="O176" s="169"/>
      <c r="P176" s="169"/>
      <c r="Q176" s="169"/>
      <c r="R176" s="169"/>
      <c r="S176" s="169"/>
      <c r="T176" s="169"/>
      <c r="U176" s="169"/>
      <c r="V176" s="169"/>
      <c r="W176" s="169"/>
      <c r="X176" s="169"/>
      <c r="Y176" s="169"/>
      <c r="Z176" s="169"/>
      <c r="AA176" s="169"/>
      <c r="AB176" s="169"/>
      <c r="AC176" s="169"/>
      <c r="AD176" s="169"/>
      <c r="AE176" s="169"/>
      <c r="AF176" s="169"/>
      <c r="AG176" s="169"/>
      <c r="AH176" s="169"/>
      <c r="AI176" s="169"/>
      <c r="AJ176" s="169"/>
      <c r="AK176" s="169"/>
      <c r="AL176" s="169"/>
      <c r="AM176" s="169"/>
      <c r="AN176" s="169"/>
      <c r="AO176" s="169"/>
      <c r="AP176" s="169"/>
      <c r="AQ176" s="169"/>
      <c r="AR176" s="169"/>
      <c r="AS176" s="169"/>
      <c r="AT176" s="169"/>
      <c r="AU176" s="169"/>
      <c r="AV176" s="169"/>
      <c r="AW176" s="169"/>
      <c r="AX176" s="169"/>
      <c r="AY176" s="169"/>
      <c r="AZ176" s="169"/>
      <c r="BA176" s="169"/>
      <c r="BB176" s="169"/>
      <c r="BC176" s="169"/>
      <c r="BD176" s="169"/>
      <c r="BE176" s="169"/>
      <c r="BF176" s="169"/>
    </row>
    <row r="177" spans="1:58" ht="15" customHeight="1">
      <c r="A177" s="169"/>
      <c r="B177" s="169"/>
      <c r="C177" s="169"/>
      <c r="D177" s="169"/>
      <c r="E177" s="169"/>
      <c r="F177" s="169"/>
      <c r="G177" s="169"/>
      <c r="H177" s="169"/>
      <c r="I177" s="169"/>
      <c r="J177" s="169"/>
      <c r="K177" s="169"/>
      <c r="L177" s="169"/>
      <c r="M177" s="169"/>
      <c r="N177" s="169"/>
      <c r="O177" s="169"/>
      <c r="P177" s="169"/>
      <c r="Q177" s="169"/>
      <c r="R177" s="169"/>
      <c r="S177" s="169"/>
      <c r="T177" s="169"/>
      <c r="U177" s="169"/>
      <c r="V177" s="169"/>
      <c r="W177" s="169"/>
      <c r="X177" s="169"/>
      <c r="Y177" s="169"/>
      <c r="Z177" s="169"/>
      <c r="AA177" s="169"/>
      <c r="AB177" s="169"/>
      <c r="AC177" s="169"/>
      <c r="AD177" s="169"/>
      <c r="AE177" s="169"/>
      <c r="AF177" s="169"/>
      <c r="AG177" s="169"/>
      <c r="AH177" s="169"/>
      <c r="AI177" s="169"/>
      <c r="AJ177" s="169"/>
      <c r="AK177" s="169"/>
      <c r="AL177" s="169"/>
      <c r="AM177" s="169"/>
      <c r="AN177" s="169"/>
      <c r="AO177" s="169"/>
      <c r="AP177" s="169"/>
      <c r="AQ177" s="169"/>
      <c r="AR177" s="169"/>
      <c r="AS177" s="169"/>
      <c r="AT177" s="169"/>
      <c r="AU177" s="169"/>
      <c r="AV177" s="169"/>
      <c r="AW177" s="169"/>
      <c r="AX177" s="169"/>
      <c r="AY177" s="169"/>
      <c r="AZ177" s="169"/>
      <c r="BA177" s="169"/>
      <c r="BB177" s="169"/>
      <c r="BC177" s="169"/>
      <c r="BD177" s="169"/>
      <c r="BE177" s="169"/>
      <c r="BF177" s="169"/>
    </row>
    <row r="178" spans="1:58" ht="15" customHeight="1">
      <c r="A178" s="169"/>
      <c r="B178" s="169"/>
      <c r="C178" s="169"/>
      <c r="D178" s="169"/>
      <c r="E178" s="169"/>
      <c r="F178" s="169"/>
      <c r="G178" s="169"/>
      <c r="H178" s="169"/>
      <c r="I178" s="169"/>
      <c r="J178" s="169"/>
      <c r="K178" s="169"/>
      <c r="L178" s="169"/>
      <c r="M178" s="169"/>
      <c r="N178" s="169"/>
      <c r="O178" s="169"/>
      <c r="P178" s="169"/>
      <c r="Q178" s="169"/>
      <c r="R178" s="169"/>
      <c r="S178" s="169"/>
      <c r="T178" s="169"/>
      <c r="U178" s="169"/>
      <c r="V178" s="169"/>
      <c r="W178" s="169"/>
      <c r="X178" s="169"/>
      <c r="Y178" s="169"/>
      <c r="Z178" s="169"/>
      <c r="AA178" s="169"/>
      <c r="AB178" s="169"/>
      <c r="AC178" s="169"/>
      <c r="AD178" s="169"/>
      <c r="AE178" s="169"/>
      <c r="AF178" s="169"/>
      <c r="AG178" s="169"/>
      <c r="AH178" s="169"/>
      <c r="AI178" s="169"/>
      <c r="AJ178" s="169"/>
      <c r="AK178" s="169"/>
      <c r="AL178" s="169"/>
      <c r="AM178" s="169"/>
      <c r="AN178" s="169"/>
      <c r="AO178" s="169"/>
      <c r="AP178" s="169"/>
      <c r="AQ178" s="169"/>
      <c r="AR178" s="169"/>
      <c r="AS178" s="169"/>
      <c r="AT178" s="169"/>
      <c r="AU178" s="169"/>
      <c r="AV178" s="169"/>
      <c r="AW178" s="169"/>
      <c r="AX178" s="169"/>
      <c r="AY178" s="169"/>
      <c r="AZ178" s="169"/>
      <c r="BA178" s="169"/>
      <c r="BB178" s="169"/>
      <c r="BC178" s="169"/>
      <c r="BD178" s="169"/>
      <c r="BE178" s="169"/>
      <c r="BF178" s="169"/>
    </row>
    <row r="179" spans="1:58" ht="15" customHeight="1">
      <c r="A179" s="169"/>
      <c r="B179" s="169"/>
      <c r="C179" s="169"/>
      <c r="D179" s="169"/>
      <c r="E179" s="169"/>
      <c r="F179" s="169"/>
      <c r="G179" s="169"/>
      <c r="H179" s="169"/>
      <c r="I179" s="169"/>
      <c r="J179" s="169"/>
      <c r="K179" s="169"/>
      <c r="L179" s="169"/>
      <c r="M179" s="169"/>
      <c r="N179" s="169"/>
      <c r="O179" s="169"/>
      <c r="P179" s="169"/>
      <c r="Q179" s="169"/>
      <c r="R179" s="169"/>
      <c r="S179" s="169"/>
      <c r="T179" s="169"/>
      <c r="U179" s="169"/>
      <c r="V179" s="169"/>
      <c r="W179" s="169"/>
      <c r="X179" s="169"/>
      <c r="Y179" s="169"/>
      <c r="Z179" s="169"/>
      <c r="AA179" s="169"/>
      <c r="AB179" s="169"/>
      <c r="AC179" s="169"/>
      <c r="AD179" s="169"/>
      <c r="AE179" s="169"/>
      <c r="AF179" s="169"/>
      <c r="AG179" s="169"/>
      <c r="AH179" s="169"/>
      <c r="AI179" s="169"/>
      <c r="AJ179" s="169"/>
      <c r="AK179" s="169"/>
      <c r="AL179" s="169"/>
      <c r="AM179" s="169"/>
      <c r="AN179" s="169"/>
      <c r="AO179" s="169"/>
      <c r="AP179" s="169"/>
      <c r="AQ179" s="169"/>
      <c r="AR179" s="169"/>
      <c r="AS179" s="169"/>
      <c r="AT179" s="169"/>
      <c r="AU179" s="169"/>
      <c r="AV179" s="169"/>
      <c r="AW179" s="169"/>
      <c r="AX179" s="169"/>
      <c r="AY179" s="169"/>
      <c r="AZ179" s="169"/>
      <c r="BA179" s="169"/>
      <c r="BB179" s="169"/>
      <c r="BC179" s="169"/>
      <c r="BD179" s="169"/>
      <c r="BE179" s="169"/>
      <c r="BF179" s="169"/>
    </row>
    <row r="180" spans="1:58" ht="15" customHeight="1">
      <c r="A180" s="169"/>
      <c r="B180" s="169"/>
      <c r="C180" s="169"/>
      <c r="D180" s="169"/>
      <c r="E180" s="169"/>
      <c r="F180" s="169"/>
      <c r="G180" s="169"/>
      <c r="H180" s="169"/>
      <c r="I180" s="169"/>
      <c r="J180" s="169"/>
      <c r="K180" s="169"/>
      <c r="L180" s="169"/>
      <c r="M180" s="169"/>
      <c r="N180" s="169"/>
      <c r="O180" s="169"/>
      <c r="P180" s="169"/>
      <c r="Q180" s="169"/>
      <c r="R180" s="169"/>
      <c r="S180" s="169"/>
      <c r="T180" s="169"/>
      <c r="U180" s="169"/>
      <c r="V180" s="169"/>
      <c r="W180" s="169"/>
      <c r="X180" s="169"/>
      <c r="Y180" s="169"/>
      <c r="Z180" s="169"/>
      <c r="AA180" s="169"/>
      <c r="AB180" s="169"/>
      <c r="AC180" s="169"/>
      <c r="AD180" s="169"/>
      <c r="AE180" s="169"/>
      <c r="AF180" s="169"/>
      <c r="AG180" s="169"/>
      <c r="AH180" s="169"/>
      <c r="AI180" s="169"/>
      <c r="AJ180" s="169"/>
      <c r="AK180" s="169"/>
      <c r="AL180" s="169"/>
      <c r="AM180" s="169"/>
      <c r="AN180" s="169"/>
      <c r="AO180" s="169"/>
      <c r="AP180" s="169"/>
      <c r="AQ180" s="169"/>
      <c r="AR180" s="169"/>
      <c r="AS180" s="169"/>
      <c r="AT180" s="169"/>
      <c r="AU180" s="169"/>
      <c r="AV180" s="169"/>
      <c r="AW180" s="169"/>
      <c r="AX180" s="169"/>
      <c r="AY180" s="169"/>
      <c r="AZ180" s="169"/>
      <c r="BA180" s="169"/>
      <c r="BB180" s="169"/>
      <c r="BC180" s="169"/>
      <c r="BD180" s="169"/>
      <c r="BE180" s="169"/>
      <c r="BF180" s="169"/>
    </row>
    <row r="181" spans="1:58" ht="15" customHeight="1">
      <c r="A181" s="169"/>
      <c r="B181" s="169"/>
      <c r="C181" s="169"/>
      <c r="D181" s="169"/>
      <c r="E181" s="169"/>
      <c r="F181" s="169"/>
      <c r="G181" s="169"/>
      <c r="H181" s="169"/>
      <c r="I181" s="169"/>
      <c r="J181" s="169"/>
      <c r="K181" s="169"/>
      <c r="L181" s="169"/>
      <c r="M181" s="169"/>
      <c r="N181" s="169"/>
      <c r="O181" s="169"/>
      <c r="P181" s="169"/>
      <c r="Q181" s="169"/>
      <c r="R181" s="169"/>
      <c r="S181" s="169"/>
      <c r="T181" s="169"/>
      <c r="U181" s="169"/>
      <c r="V181" s="169"/>
      <c r="W181" s="169"/>
      <c r="X181" s="169"/>
      <c r="Y181" s="169"/>
      <c r="Z181" s="169"/>
      <c r="AA181" s="169"/>
      <c r="AB181" s="169"/>
      <c r="AC181" s="169"/>
      <c r="AD181" s="169"/>
      <c r="AE181" s="169"/>
      <c r="AF181" s="169"/>
      <c r="AG181" s="169"/>
      <c r="AH181" s="169"/>
      <c r="AI181" s="169"/>
      <c r="AJ181" s="169"/>
      <c r="AK181" s="169"/>
      <c r="AL181" s="169"/>
      <c r="AM181" s="169"/>
      <c r="AN181" s="169"/>
      <c r="AO181" s="169"/>
      <c r="AP181" s="169"/>
      <c r="AQ181" s="169"/>
      <c r="AR181" s="169"/>
      <c r="AS181" s="169"/>
      <c r="AT181" s="169"/>
      <c r="AU181" s="169"/>
      <c r="AV181" s="169"/>
      <c r="AW181" s="169"/>
      <c r="AX181" s="169"/>
      <c r="AY181" s="169"/>
      <c r="AZ181" s="169"/>
      <c r="BA181" s="169"/>
      <c r="BB181" s="169"/>
      <c r="BC181" s="169"/>
      <c r="BD181" s="169"/>
      <c r="BE181" s="169"/>
      <c r="BF181" s="169"/>
    </row>
    <row r="182" spans="1:58" ht="15" customHeight="1">
      <c r="A182" s="169"/>
      <c r="B182" s="169"/>
      <c r="C182" s="169"/>
      <c r="D182" s="169"/>
      <c r="E182" s="169"/>
      <c r="F182" s="169"/>
      <c r="G182" s="169"/>
      <c r="H182" s="169"/>
      <c r="I182" s="169"/>
      <c r="J182" s="169"/>
      <c r="K182" s="169"/>
      <c r="L182" s="169"/>
      <c r="M182" s="169"/>
      <c r="N182" s="169"/>
      <c r="O182" s="169"/>
      <c r="P182" s="169"/>
      <c r="Q182" s="169"/>
      <c r="R182" s="169"/>
      <c r="S182" s="169"/>
      <c r="T182" s="169"/>
      <c r="U182" s="169"/>
      <c r="V182" s="169"/>
      <c r="W182" s="169"/>
      <c r="X182" s="169"/>
      <c r="Y182" s="169"/>
      <c r="Z182" s="169"/>
      <c r="AA182" s="169"/>
      <c r="AB182" s="169"/>
      <c r="AC182" s="169"/>
      <c r="AD182" s="169"/>
      <c r="AE182" s="169"/>
      <c r="AF182" s="169"/>
      <c r="AG182" s="169"/>
      <c r="AH182" s="169"/>
      <c r="AI182" s="169"/>
      <c r="AJ182" s="169"/>
      <c r="AK182" s="169"/>
      <c r="AL182" s="169"/>
      <c r="AM182" s="169"/>
      <c r="AN182" s="169"/>
      <c r="AO182" s="169"/>
      <c r="AP182" s="169"/>
      <c r="AQ182" s="169"/>
      <c r="AR182" s="169"/>
      <c r="AS182" s="169"/>
      <c r="AT182" s="169"/>
      <c r="AU182" s="169"/>
      <c r="AV182" s="169"/>
      <c r="AW182" s="169"/>
      <c r="AX182" s="169"/>
      <c r="AY182" s="169"/>
      <c r="AZ182" s="169"/>
      <c r="BA182" s="169"/>
      <c r="BB182" s="169"/>
      <c r="BC182" s="169"/>
      <c r="BD182" s="169"/>
      <c r="BE182" s="169"/>
      <c r="BF182" s="169"/>
    </row>
    <row r="183" spans="1:58" ht="15" customHeight="1">
      <c r="A183" s="169"/>
      <c r="B183" s="169"/>
      <c r="C183" s="169"/>
      <c r="D183" s="169"/>
      <c r="E183" s="169"/>
      <c r="F183" s="169"/>
      <c r="G183" s="169"/>
      <c r="H183" s="169"/>
      <c r="I183" s="169"/>
      <c r="J183" s="169"/>
      <c r="K183" s="169"/>
      <c r="L183" s="169"/>
      <c r="M183" s="169"/>
      <c r="N183" s="169"/>
      <c r="O183" s="169"/>
      <c r="P183" s="169"/>
      <c r="Q183" s="169"/>
      <c r="R183" s="169"/>
      <c r="S183" s="169"/>
      <c r="T183" s="169"/>
      <c r="U183" s="169"/>
      <c r="V183" s="169"/>
      <c r="W183" s="169"/>
      <c r="X183" s="169"/>
      <c r="Y183" s="169"/>
      <c r="Z183" s="169"/>
      <c r="AA183" s="169"/>
      <c r="AB183" s="169"/>
      <c r="AC183" s="169"/>
      <c r="AD183" s="169"/>
      <c r="AE183" s="169"/>
      <c r="AF183" s="169"/>
      <c r="AG183" s="169"/>
      <c r="AH183" s="169"/>
      <c r="AI183" s="169"/>
      <c r="AJ183" s="169"/>
      <c r="AK183" s="169"/>
      <c r="AL183" s="169"/>
      <c r="AM183" s="169"/>
      <c r="AN183" s="169"/>
      <c r="AO183" s="169"/>
      <c r="AP183" s="169"/>
      <c r="AQ183" s="169"/>
      <c r="AR183" s="169"/>
      <c r="AS183" s="169"/>
      <c r="AT183" s="169"/>
      <c r="AU183" s="169"/>
      <c r="AV183" s="169"/>
      <c r="AW183" s="169"/>
      <c r="AX183" s="169"/>
      <c r="AY183" s="169"/>
      <c r="AZ183" s="169"/>
      <c r="BA183" s="169"/>
      <c r="BB183" s="169"/>
      <c r="BC183" s="169"/>
      <c r="BD183" s="169"/>
      <c r="BE183" s="169"/>
      <c r="BF183" s="169"/>
    </row>
    <row r="184" spans="1:58" ht="15" customHeight="1">
      <c r="A184" s="169"/>
      <c r="B184" s="169"/>
      <c r="C184" s="169"/>
      <c r="D184" s="169"/>
      <c r="E184" s="169"/>
      <c r="F184" s="169"/>
      <c r="G184" s="169"/>
      <c r="H184" s="169"/>
      <c r="I184" s="169"/>
      <c r="J184" s="169"/>
      <c r="K184" s="169"/>
      <c r="L184" s="169"/>
      <c r="M184" s="169"/>
      <c r="N184" s="169"/>
      <c r="O184" s="169"/>
      <c r="P184" s="169"/>
      <c r="Q184" s="169"/>
      <c r="R184" s="169"/>
      <c r="S184" s="169"/>
      <c r="T184" s="169"/>
      <c r="U184" s="169"/>
      <c r="V184" s="169"/>
      <c r="W184" s="169"/>
      <c r="X184" s="169"/>
      <c r="Y184" s="169"/>
      <c r="Z184" s="169"/>
      <c r="AA184" s="169"/>
      <c r="AB184" s="169"/>
      <c r="AC184" s="169"/>
      <c r="AD184" s="169"/>
      <c r="AE184" s="169"/>
      <c r="AF184" s="169"/>
      <c r="AG184" s="169"/>
      <c r="AH184" s="169"/>
      <c r="AI184" s="169"/>
      <c r="AJ184" s="169"/>
      <c r="AK184" s="169"/>
      <c r="AL184" s="169"/>
      <c r="AM184" s="169"/>
      <c r="AN184" s="169"/>
      <c r="AO184" s="169"/>
      <c r="AP184" s="169"/>
      <c r="AQ184" s="169"/>
      <c r="AR184" s="169"/>
      <c r="AS184" s="169"/>
      <c r="AT184" s="169"/>
      <c r="AU184" s="169"/>
      <c r="AV184" s="169"/>
      <c r="AW184" s="169"/>
      <c r="AX184" s="169"/>
      <c r="AY184" s="169"/>
      <c r="AZ184" s="169"/>
      <c r="BA184" s="169"/>
      <c r="BB184" s="169"/>
      <c r="BC184" s="169"/>
      <c r="BD184" s="169"/>
      <c r="BE184" s="169"/>
      <c r="BF184" s="169"/>
    </row>
    <row r="185" spans="1:58" ht="15" customHeight="1">
      <c r="A185" s="169"/>
      <c r="B185" s="169"/>
      <c r="C185" s="169"/>
      <c r="D185" s="169"/>
      <c r="E185" s="169"/>
      <c r="F185" s="169"/>
      <c r="G185" s="169"/>
      <c r="H185" s="169"/>
      <c r="I185" s="169"/>
      <c r="J185" s="169"/>
      <c r="K185" s="169"/>
      <c r="L185" s="169"/>
      <c r="M185" s="169"/>
      <c r="N185" s="169"/>
      <c r="O185" s="169"/>
      <c r="P185" s="169"/>
      <c r="Q185" s="169"/>
      <c r="R185" s="169"/>
      <c r="S185" s="169"/>
      <c r="T185" s="169"/>
      <c r="U185" s="169"/>
      <c r="V185" s="169"/>
      <c r="W185" s="169"/>
      <c r="X185" s="169"/>
      <c r="Y185" s="169"/>
      <c r="Z185" s="169"/>
      <c r="AA185" s="169"/>
      <c r="AB185" s="169"/>
      <c r="AC185" s="169"/>
      <c r="AD185" s="169"/>
      <c r="AE185" s="169"/>
      <c r="AF185" s="169"/>
      <c r="AG185" s="169"/>
      <c r="AH185" s="169"/>
      <c r="AI185" s="169"/>
      <c r="AJ185" s="169"/>
      <c r="AK185" s="169"/>
      <c r="AL185" s="169"/>
      <c r="AM185" s="169"/>
      <c r="AN185" s="169"/>
      <c r="AO185" s="169"/>
      <c r="AP185" s="169"/>
      <c r="AQ185" s="169"/>
      <c r="AR185" s="169"/>
      <c r="AS185" s="169"/>
      <c r="AT185" s="169"/>
      <c r="AU185" s="169"/>
      <c r="AV185" s="169"/>
      <c r="AW185" s="169"/>
      <c r="AX185" s="169"/>
      <c r="AY185" s="169"/>
      <c r="AZ185" s="169"/>
      <c r="BA185" s="169"/>
      <c r="BB185" s="169"/>
      <c r="BC185" s="169"/>
      <c r="BD185" s="169"/>
      <c r="BE185" s="169"/>
      <c r="BF185" s="169"/>
    </row>
    <row r="186" spans="1:58" ht="15" customHeight="1">
      <c r="A186" s="169"/>
      <c r="B186" s="169"/>
      <c r="C186" s="169"/>
      <c r="D186" s="169"/>
      <c r="E186" s="169"/>
      <c r="F186" s="169"/>
      <c r="G186" s="169"/>
      <c r="H186" s="169"/>
      <c r="I186" s="169"/>
      <c r="J186" s="169"/>
      <c r="K186" s="169"/>
      <c r="L186" s="169"/>
      <c r="M186" s="169"/>
      <c r="N186" s="169"/>
      <c r="O186" s="169"/>
      <c r="P186" s="169"/>
      <c r="Q186" s="169"/>
      <c r="R186" s="169"/>
      <c r="S186" s="169"/>
      <c r="T186" s="169"/>
      <c r="U186" s="169"/>
      <c r="V186" s="169"/>
      <c r="W186" s="169"/>
      <c r="X186" s="169"/>
      <c r="Y186" s="169"/>
      <c r="Z186" s="169"/>
      <c r="AA186" s="169"/>
      <c r="AB186" s="169"/>
      <c r="AC186" s="169"/>
      <c r="AD186" s="169"/>
      <c r="AE186" s="169"/>
      <c r="AF186" s="169"/>
      <c r="AG186" s="169"/>
      <c r="AH186" s="169"/>
      <c r="AI186" s="169"/>
      <c r="AJ186" s="169"/>
      <c r="AK186" s="169"/>
      <c r="AL186" s="169"/>
      <c r="AM186" s="169"/>
      <c r="AN186" s="169"/>
      <c r="AO186" s="169"/>
      <c r="AP186" s="169"/>
      <c r="AQ186" s="169"/>
      <c r="AR186" s="169"/>
      <c r="AS186" s="169"/>
      <c r="AT186" s="169"/>
      <c r="AU186" s="169"/>
      <c r="AV186" s="169"/>
      <c r="AW186" s="169"/>
      <c r="AX186" s="169"/>
      <c r="AY186" s="169"/>
      <c r="AZ186" s="169"/>
      <c r="BA186" s="169"/>
      <c r="BB186" s="169"/>
      <c r="BC186" s="169"/>
      <c r="BD186" s="169"/>
      <c r="BE186" s="169"/>
      <c r="BF186" s="169"/>
    </row>
    <row r="187" spans="1:58" ht="15" customHeight="1">
      <c r="A187" s="169"/>
      <c r="B187" s="169"/>
      <c r="C187" s="169"/>
      <c r="D187" s="169"/>
      <c r="E187" s="169"/>
      <c r="F187" s="169"/>
      <c r="G187" s="169"/>
      <c r="H187" s="169"/>
      <c r="I187" s="169"/>
      <c r="J187" s="169"/>
      <c r="K187" s="169"/>
      <c r="L187" s="169"/>
      <c r="M187" s="169"/>
      <c r="N187" s="169"/>
      <c r="O187" s="169"/>
      <c r="P187" s="169"/>
      <c r="Q187" s="169"/>
      <c r="R187" s="169"/>
      <c r="S187" s="169"/>
      <c r="T187" s="169"/>
      <c r="U187" s="169"/>
      <c r="V187" s="169"/>
      <c r="W187" s="169"/>
      <c r="X187" s="169"/>
      <c r="Y187" s="169"/>
      <c r="Z187" s="169"/>
      <c r="AA187" s="169"/>
      <c r="AB187" s="169"/>
      <c r="AC187" s="169"/>
      <c r="AD187" s="169"/>
      <c r="AE187" s="169"/>
      <c r="AF187" s="169"/>
      <c r="AG187" s="169"/>
      <c r="AH187" s="169"/>
      <c r="AI187" s="169"/>
      <c r="AJ187" s="169"/>
      <c r="AK187" s="169"/>
      <c r="AL187" s="169"/>
      <c r="AM187" s="169"/>
      <c r="AN187" s="169"/>
      <c r="AO187" s="169"/>
      <c r="AP187" s="169"/>
      <c r="AQ187" s="169"/>
      <c r="AR187" s="169"/>
      <c r="AS187" s="169"/>
      <c r="AT187" s="169"/>
      <c r="AU187" s="169"/>
      <c r="AV187" s="169"/>
      <c r="AW187" s="169"/>
      <c r="AX187" s="169"/>
      <c r="AY187" s="169"/>
      <c r="AZ187" s="169"/>
      <c r="BA187" s="169"/>
      <c r="BB187" s="169"/>
      <c r="BC187" s="169"/>
      <c r="BD187" s="169"/>
      <c r="BE187" s="169"/>
      <c r="BF187" s="169"/>
    </row>
    <row r="188" spans="1:58" ht="15" customHeight="1">
      <c r="A188" s="169"/>
      <c r="B188" s="169"/>
      <c r="C188" s="169"/>
      <c r="D188" s="169"/>
      <c r="E188" s="169"/>
      <c r="F188" s="169"/>
      <c r="G188" s="169"/>
      <c r="H188" s="169"/>
      <c r="I188" s="169"/>
      <c r="J188" s="169"/>
      <c r="K188" s="169"/>
      <c r="L188" s="169"/>
      <c r="M188" s="169"/>
      <c r="N188" s="169"/>
      <c r="O188" s="169"/>
      <c r="P188" s="169"/>
      <c r="Q188" s="169"/>
      <c r="R188" s="169"/>
      <c r="S188" s="169"/>
      <c r="T188" s="169"/>
      <c r="U188" s="169"/>
      <c r="V188" s="169"/>
      <c r="W188" s="169"/>
      <c r="X188" s="169"/>
      <c r="Y188" s="169"/>
      <c r="Z188" s="169"/>
      <c r="AA188" s="169"/>
      <c r="AB188" s="169"/>
      <c r="AC188" s="169"/>
      <c r="AD188" s="169"/>
      <c r="AE188" s="169"/>
      <c r="AF188" s="169"/>
      <c r="AG188" s="169"/>
      <c r="AH188" s="169"/>
      <c r="AI188" s="169"/>
      <c r="AJ188" s="169"/>
      <c r="AK188" s="169"/>
      <c r="AL188" s="169"/>
      <c r="AM188" s="169"/>
      <c r="AN188" s="169"/>
      <c r="AO188" s="169"/>
      <c r="AP188" s="169"/>
      <c r="AQ188" s="169"/>
      <c r="AR188" s="169"/>
      <c r="AS188" s="169"/>
      <c r="AT188" s="169"/>
      <c r="AU188" s="169"/>
      <c r="AV188" s="169"/>
      <c r="AW188" s="169"/>
      <c r="AX188" s="169"/>
      <c r="AY188" s="169"/>
      <c r="AZ188" s="169"/>
      <c r="BA188" s="169"/>
      <c r="BB188" s="169"/>
      <c r="BC188" s="169"/>
      <c r="BD188" s="169"/>
      <c r="BE188" s="169"/>
      <c r="BF188" s="169"/>
    </row>
    <row r="189" spans="1:58" ht="15" customHeight="1">
      <c r="A189" s="169"/>
      <c r="B189" s="169"/>
      <c r="C189" s="169"/>
      <c r="D189" s="169"/>
      <c r="E189" s="169"/>
      <c r="F189" s="169"/>
      <c r="G189" s="169"/>
      <c r="H189" s="169"/>
      <c r="I189" s="169"/>
      <c r="J189" s="169"/>
      <c r="K189" s="169"/>
      <c r="L189" s="169"/>
      <c r="M189" s="169"/>
      <c r="N189" s="169"/>
      <c r="O189" s="169"/>
      <c r="P189" s="169"/>
      <c r="Q189" s="169"/>
      <c r="R189" s="169"/>
      <c r="S189" s="169"/>
      <c r="T189" s="169"/>
      <c r="U189" s="169"/>
      <c r="V189" s="169"/>
      <c r="W189" s="169"/>
      <c r="X189" s="169"/>
      <c r="Y189" s="169"/>
      <c r="Z189" s="169"/>
      <c r="AA189" s="169"/>
      <c r="AB189" s="169"/>
      <c r="AC189" s="169"/>
      <c r="AD189" s="169"/>
      <c r="AE189" s="169"/>
      <c r="AF189" s="169"/>
      <c r="AG189" s="169"/>
      <c r="AH189" s="169"/>
      <c r="AI189" s="169"/>
      <c r="AJ189" s="169"/>
      <c r="AK189" s="169"/>
      <c r="AL189" s="169"/>
      <c r="AM189" s="169"/>
      <c r="AN189" s="169"/>
      <c r="AO189" s="169"/>
      <c r="AP189" s="169"/>
      <c r="AQ189" s="169"/>
      <c r="AR189" s="169"/>
      <c r="AS189" s="169"/>
      <c r="AT189" s="169"/>
      <c r="AU189" s="169"/>
      <c r="AV189" s="169"/>
      <c r="AW189" s="169"/>
      <c r="AX189" s="169"/>
      <c r="AY189" s="169"/>
      <c r="AZ189" s="169"/>
      <c r="BA189" s="169"/>
      <c r="BB189" s="169"/>
      <c r="BC189" s="169"/>
      <c r="BD189" s="169"/>
      <c r="BE189" s="169"/>
      <c r="BF189" s="169"/>
    </row>
    <row r="190" spans="1:58" ht="15" customHeight="1">
      <c r="A190" s="169"/>
      <c r="B190" s="169"/>
      <c r="C190" s="169"/>
      <c r="D190" s="169"/>
      <c r="E190" s="169"/>
      <c r="F190" s="169"/>
      <c r="G190" s="169"/>
      <c r="H190" s="169"/>
      <c r="I190" s="169"/>
      <c r="J190" s="169"/>
      <c r="K190" s="169"/>
      <c r="L190" s="169"/>
      <c r="M190" s="169"/>
      <c r="N190" s="169"/>
      <c r="O190" s="169"/>
      <c r="P190" s="169"/>
      <c r="Q190" s="169"/>
      <c r="R190" s="169"/>
      <c r="S190" s="169"/>
      <c r="T190" s="169"/>
      <c r="U190" s="169"/>
      <c r="V190" s="169"/>
      <c r="W190" s="169"/>
      <c r="X190" s="169"/>
      <c r="Y190" s="169"/>
      <c r="Z190" s="169"/>
      <c r="AA190" s="169"/>
      <c r="AB190" s="169"/>
      <c r="AC190" s="169"/>
      <c r="AD190" s="169"/>
      <c r="AE190" s="169"/>
      <c r="AF190" s="169"/>
      <c r="AG190" s="169"/>
      <c r="AH190" s="169"/>
      <c r="AI190" s="169"/>
      <c r="AJ190" s="169"/>
      <c r="AK190" s="169"/>
      <c r="AL190" s="169"/>
      <c r="AM190" s="169"/>
      <c r="AN190" s="169"/>
      <c r="AO190" s="169"/>
      <c r="AP190" s="169"/>
      <c r="AQ190" s="169"/>
      <c r="AR190" s="169"/>
      <c r="AS190" s="169"/>
      <c r="AT190" s="169"/>
      <c r="AU190" s="169"/>
      <c r="AV190" s="169"/>
      <c r="AW190" s="169"/>
      <c r="AX190" s="169"/>
      <c r="AY190" s="169"/>
      <c r="AZ190" s="169"/>
      <c r="BA190" s="169"/>
      <c r="BB190" s="169"/>
      <c r="BC190" s="169"/>
      <c r="BD190" s="169"/>
      <c r="BE190" s="169"/>
      <c r="BF190" s="169"/>
    </row>
    <row r="191" spans="1:58" ht="15" customHeight="1">
      <c r="A191" s="169"/>
      <c r="B191" s="169"/>
      <c r="C191" s="169"/>
      <c r="D191" s="169"/>
      <c r="E191" s="169"/>
      <c r="F191" s="169"/>
      <c r="G191" s="169"/>
      <c r="H191" s="169"/>
      <c r="I191" s="169"/>
      <c r="J191" s="169"/>
      <c r="K191" s="169"/>
      <c r="L191" s="169"/>
      <c r="M191" s="169"/>
      <c r="N191" s="169"/>
      <c r="O191" s="169"/>
      <c r="P191" s="169"/>
      <c r="Q191" s="169"/>
      <c r="R191" s="169"/>
      <c r="S191" s="169"/>
      <c r="T191" s="169"/>
      <c r="U191" s="169"/>
      <c r="V191" s="169"/>
      <c r="W191" s="169"/>
      <c r="X191" s="169"/>
      <c r="Y191" s="169"/>
      <c r="Z191" s="169"/>
      <c r="AA191" s="169"/>
      <c r="AB191" s="169"/>
      <c r="AC191" s="169"/>
      <c r="AD191" s="169"/>
      <c r="AE191" s="169"/>
      <c r="AF191" s="169"/>
      <c r="AG191" s="169"/>
      <c r="AH191" s="169"/>
      <c r="AI191" s="169"/>
      <c r="AJ191" s="169"/>
      <c r="AK191" s="169"/>
      <c r="AL191" s="169"/>
      <c r="AM191" s="169"/>
      <c r="AN191" s="169"/>
      <c r="AO191" s="169"/>
      <c r="AP191" s="169"/>
      <c r="AQ191" s="169"/>
      <c r="AR191" s="169"/>
      <c r="AS191" s="169"/>
      <c r="AT191" s="169"/>
      <c r="AU191" s="169"/>
      <c r="AV191" s="169"/>
      <c r="AW191" s="169"/>
      <c r="AX191" s="169"/>
      <c r="AY191" s="169"/>
      <c r="AZ191" s="169"/>
      <c r="BA191" s="169"/>
      <c r="BB191" s="169"/>
      <c r="BC191" s="169"/>
      <c r="BD191" s="169"/>
      <c r="BE191" s="169"/>
      <c r="BF191" s="169"/>
    </row>
    <row r="192" spans="1:58" ht="15" customHeight="1">
      <c r="A192" s="169"/>
      <c r="B192" s="169"/>
      <c r="C192" s="169"/>
      <c r="D192" s="169"/>
      <c r="E192" s="169"/>
      <c r="F192" s="169"/>
      <c r="G192" s="169"/>
      <c r="H192" s="169"/>
      <c r="I192" s="169"/>
      <c r="J192" s="169"/>
      <c r="K192" s="169"/>
      <c r="L192" s="169"/>
      <c r="M192" s="169"/>
      <c r="N192" s="169"/>
      <c r="O192" s="169"/>
      <c r="P192" s="169"/>
      <c r="Q192" s="169"/>
      <c r="R192" s="169"/>
      <c r="S192" s="169"/>
      <c r="T192" s="169"/>
      <c r="U192" s="169"/>
      <c r="V192" s="169"/>
      <c r="W192" s="169"/>
      <c r="X192" s="169"/>
      <c r="Y192" s="169"/>
      <c r="Z192" s="169"/>
      <c r="AA192" s="169"/>
      <c r="AB192" s="169"/>
      <c r="AC192" s="169"/>
      <c r="AD192" s="169"/>
      <c r="AE192" s="169"/>
      <c r="AF192" s="169"/>
      <c r="AG192" s="169"/>
      <c r="AH192" s="169"/>
      <c r="AI192" s="169"/>
      <c r="AJ192" s="169"/>
      <c r="AK192" s="169"/>
      <c r="AL192" s="169"/>
      <c r="AM192" s="169"/>
      <c r="AN192" s="169"/>
      <c r="AO192" s="169"/>
      <c r="AP192" s="169"/>
      <c r="AQ192" s="169"/>
      <c r="AR192" s="169"/>
      <c r="AS192" s="169"/>
      <c r="AT192" s="169"/>
      <c r="AU192" s="169"/>
      <c r="AV192" s="169"/>
      <c r="AW192" s="169"/>
      <c r="AX192" s="169"/>
      <c r="AY192" s="169"/>
      <c r="AZ192" s="169"/>
      <c r="BA192" s="169"/>
      <c r="BB192" s="169"/>
      <c r="BC192" s="169"/>
      <c r="BD192" s="169"/>
      <c r="BE192" s="169"/>
      <c r="BF192" s="169"/>
    </row>
    <row r="193" spans="1:58" ht="15" customHeight="1">
      <c r="A193" s="169"/>
      <c r="B193" s="169"/>
      <c r="C193" s="169"/>
      <c r="D193" s="169"/>
      <c r="E193" s="169"/>
      <c r="F193" s="169"/>
      <c r="G193" s="169"/>
      <c r="H193" s="169"/>
      <c r="I193" s="169"/>
      <c r="J193" s="169"/>
      <c r="K193" s="169"/>
      <c r="L193" s="169"/>
      <c r="M193" s="169"/>
      <c r="N193" s="169"/>
      <c r="O193" s="169"/>
      <c r="P193" s="169"/>
      <c r="Q193" s="169"/>
      <c r="R193" s="169"/>
      <c r="S193" s="169"/>
      <c r="T193" s="169"/>
      <c r="U193" s="169"/>
      <c r="V193" s="169"/>
      <c r="W193" s="169"/>
      <c r="X193" s="169"/>
      <c r="Y193" s="169"/>
      <c r="Z193" s="169"/>
      <c r="AA193" s="169"/>
      <c r="AB193" s="169"/>
      <c r="AC193" s="169"/>
      <c r="AD193" s="169"/>
      <c r="AE193" s="169"/>
      <c r="AF193" s="169"/>
      <c r="AG193" s="169"/>
      <c r="AH193" s="169"/>
      <c r="AI193" s="169"/>
      <c r="AJ193" s="169"/>
      <c r="AK193" s="169"/>
      <c r="AL193" s="169"/>
      <c r="AM193" s="169"/>
      <c r="AN193" s="169"/>
      <c r="AO193" s="169"/>
      <c r="AP193" s="169"/>
      <c r="AQ193" s="169"/>
      <c r="AR193" s="169"/>
      <c r="AS193" s="169"/>
      <c r="AT193" s="169"/>
      <c r="AU193" s="169"/>
      <c r="AV193" s="169"/>
      <c r="AW193" s="169"/>
      <c r="AX193" s="169"/>
      <c r="AY193" s="169"/>
      <c r="AZ193" s="169"/>
      <c r="BA193" s="169"/>
      <c r="BB193" s="169"/>
      <c r="BC193" s="169"/>
      <c r="BD193" s="169"/>
      <c r="BE193" s="169"/>
      <c r="BF193" s="169"/>
    </row>
    <row r="194" spans="1:58" ht="15" customHeight="1">
      <c r="A194" s="169"/>
      <c r="B194" s="169"/>
      <c r="C194" s="169"/>
      <c r="D194" s="169"/>
      <c r="E194" s="169"/>
      <c r="F194" s="169"/>
      <c r="G194" s="169"/>
      <c r="H194" s="169"/>
      <c r="I194" s="169"/>
      <c r="J194" s="169"/>
      <c r="K194" s="169"/>
      <c r="L194" s="169"/>
      <c r="M194" s="169"/>
      <c r="N194" s="169"/>
      <c r="O194" s="169"/>
      <c r="P194" s="169"/>
      <c r="Q194" s="169"/>
      <c r="R194" s="169"/>
      <c r="S194" s="169"/>
      <c r="T194" s="169"/>
      <c r="U194" s="169"/>
      <c r="V194" s="169"/>
      <c r="W194" s="169"/>
      <c r="X194" s="169"/>
      <c r="Y194" s="169"/>
      <c r="Z194" s="169"/>
      <c r="AA194" s="169"/>
      <c r="AB194" s="169"/>
      <c r="AC194" s="169"/>
      <c r="AD194" s="169"/>
      <c r="AE194" s="169"/>
      <c r="AF194" s="169"/>
      <c r="AG194" s="169"/>
      <c r="AH194" s="169"/>
      <c r="AI194" s="169"/>
      <c r="AJ194" s="169"/>
      <c r="AK194" s="169"/>
      <c r="AL194" s="169"/>
      <c r="AM194" s="169"/>
      <c r="AN194" s="169"/>
      <c r="AO194" s="169"/>
      <c r="AP194" s="169"/>
      <c r="AQ194" s="169"/>
      <c r="AR194" s="169"/>
      <c r="AS194" s="169"/>
      <c r="AT194" s="169"/>
      <c r="AU194" s="169"/>
      <c r="AV194" s="169"/>
      <c r="AW194" s="169"/>
      <c r="AX194" s="169"/>
      <c r="AY194" s="169"/>
      <c r="AZ194" s="169"/>
      <c r="BA194" s="169"/>
      <c r="BB194" s="169"/>
      <c r="BC194" s="169"/>
      <c r="BD194" s="169"/>
      <c r="BE194" s="169"/>
      <c r="BF194" s="169"/>
    </row>
    <row r="195" spans="1:58" ht="15" customHeight="1">
      <c r="A195" s="169"/>
      <c r="B195" s="169"/>
      <c r="C195" s="169"/>
      <c r="D195" s="169"/>
      <c r="E195" s="169"/>
      <c r="F195" s="169"/>
      <c r="G195" s="169"/>
      <c r="H195" s="169"/>
      <c r="I195" s="169"/>
      <c r="J195" s="169"/>
      <c r="K195" s="169"/>
      <c r="L195" s="169"/>
      <c r="M195" s="169"/>
      <c r="N195" s="169"/>
      <c r="O195" s="169"/>
      <c r="P195" s="169"/>
      <c r="Q195" s="169"/>
      <c r="R195" s="169"/>
      <c r="S195" s="169"/>
      <c r="T195" s="169"/>
      <c r="U195" s="169"/>
      <c r="V195" s="169"/>
      <c r="W195" s="169"/>
      <c r="X195" s="169"/>
      <c r="Y195" s="169"/>
      <c r="Z195" s="169"/>
      <c r="AA195" s="169"/>
      <c r="AB195" s="169"/>
      <c r="AC195" s="169"/>
      <c r="AD195" s="169"/>
      <c r="AE195" s="169"/>
      <c r="AF195" s="169"/>
      <c r="AG195" s="169"/>
      <c r="AH195" s="169"/>
      <c r="AI195" s="169"/>
      <c r="AJ195" s="169"/>
      <c r="AK195" s="169"/>
      <c r="AL195" s="169"/>
      <c r="AM195" s="169"/>
      <c r="AN195" s="169"/>
      <c r="AO195" s="169"/>
      <c r="AP195" s="169"/>
      <c r="AQ195" s="169"/>
      <c r="AR195" s="169"/>
      <c r="AS195" s="169"/>
      <c r="AT195" s="169"/>
      <c r="AU195" s="169"/>
      <c r="AV195" s="169"/>
      <c r="AW195" s="169"/>
      <c r="AX195" s="169"/>
      <c r="AY195" s="169"/>
      <c r="AZ195" s="169"/>
      <c r="BA195" s="169"/>
      <c r="BB195" s="169"/>
      <c r="BC195" s="169"/>
      <c r="BD195" s="169"/>
      <c r="BE195" s="169"/>
      <c r="BF195" s="169"/>
    </row>
    <row r="196" spans="1:58" ht="15" customHeight="1">
      <c r="A196" s="169"/>
      <c r="B196" s="169"/>
      <c r="C196" s="169"/>
      <c r="D196" s="169"/>
      <c r="E196" s="169"/>
      <c r="F196" s="169"/>
      <c r="G196" s="169"/>
      <c r="H196" s="169"/>
      <c r="I196" s="169"/>
      <c r="J196" s="169"/>
      <c r="K196" s="169"/>
      <c r="L196" s="169"/>
      <c r="M196" s="169"/>
      <c r="N196" s="169"/>
      <c r="O196" s="169"/>
      <c r="P196" s="169"/>
      <c r="Q196" s="169"/>
      <c r="R196" s="169"/>
      <c r="S196" s="169"/>
      <c r="T196" s="169"/>
      <c r="U196" s="169"/>
      <c r="V196" s="169"/>
      <c r="W196" s="169"/>
      <c r="X196" s="169"/>
      <c r="Y196" s="169"/>
      <c r="Z196" s="169"/>
      <c r="AA196" s="169"/>
      <c r="AB196" s="169"/>
      <c r="AC196" s="169"/>
      <c r="AD196" s="169"/>
      <c r="AE196" s="169"/>
      <c r="AF196" s="169"/>
      <c r="AG196" s="169"/>
      <c r="AH196" s="169"/>
      <c r="AI196" s="169"/>
      <c r="AJ196" s="169"/>
      <c r="AK196" s="169"/>
      <c r="AL196" s="169"/>
      <c r="AM196" s="169"/>
      <c r="AN196" s="169"/>
      <c r="AO196" s="169"/>
      <c r="AP196" s="169"/>
      <c r="AQ196" s="169"/>
      <c r="AR196" s="169"/>
      <c r="AS196" s="169"/>
      <c r="AT196" s="169"/>
      <c r="AU196" s="169"/>
      <c r="AV196" s="169"/>
      <c r="AW196" s="169"/>
      <c r="AX196" s="169"/>
      <c r="AY196" s="169"/>
      <c r="AZ196" s="169"/>
      <c r="BA196" s="169"/>
      <c r="BB196" s="169"/>
      <c r="BC196" s="169"/>
      <c r="BD196" s="169"/>
      <c r="BE196" s="169"/>
      <c r="BF196" s="169"/>
    </row>
    <row r="197" spans="1:58" ht="15" customHeight="1">
      <c r="A197" s="169"/>
      <c r="B197" s="169"/>
      <c r="C197" s="169"/>
      <c r="D197" s="169"/>
      <c r="E197" s="169"/>
      <c r="F197" s="169"/>
      <c r="G197" s="169"/>
      <c r="H197" s="169"/>
      <c r="I197" s="169"/>
      <c r="J197" s="169"/>
      <c r="K197" s="169"/>
      <c r="L197" s="169"/>
      <c r="M197" s="169"/>
      <c r="N197" s="169"/>
      <c r="O197" s="169"/>
      <c r="P197" s="169"/>
      <c r="Q197" s="169"/>
      <c r="R197" s="169"/>
      <c r="S197" s="169"/>
      <c r="T197" s="169"/>
      <c r="U197" s="169"/>
      <c r="V197" s="169"/>
      <c r="W197" s="169"/>
      <c r="X197" s="169"/>
      <c r="Y197" s="169"/>
      <c r="Z197" s="169"/>
      <c r="AA197" s="169"/>
      <c r="AB197" s="169"/>
      <c r="AC197" s="169"/>
      <c r="AD197" s="169"/>
      <c r="AE197" s="169"/>
      <c r="AF197" s="169"/>
      <c r="AG197" s="169"/>
      <c r="AH197" s="169"/>
      <c r="AI197" s="169"/>
      <c r="AJ197" s="169"/>
      <c r="AK197" s="169"/>
      <c r="AL197" s="169"/>
      <c r="AM197" s="169"/>
      <c r="AN197" s="169"/>
      <c r="AO197" s="169"/>
      <c r="AP197" s="169"/>
      <c r="AQ197" s="169"/>
      <c r="AR197" s="169"/>
      <c r="AS197" s="169"/>
      <c r="AT197" s="169"/>
      <c r="AU197" s="169"/>
      <c r="AV197" s="169"/>
      <c r="AW197" s="169"/>
      <c r="AX197" s="169"/>
      <c r="AY197" s="169"/>
      <c r="AZ197" s="169"/>
      <c r="BA197" s="169"/>
      <c r="BB197" s="169"/>
      <c r="BC197" s="169"/>
      <c r="BD197" s="169"/>
      <c r="BE197" s="169"/>
      <c r="BF197" s="169"/>
    </row>
    <row r="198" spans="1:58" ht="15" customHeight="1">
      <c r="A198" s="169"/>
      <c r="B198" s="169"/>
      <c r="C198" s="169"/>
      <c r="D198" s="169"/>
      <c r="E198" s="169"/>
      <c r="F198" s="169"/>
      <c r="G198" s="169"/>
      <c r="H198" s="169"/>
      <c r="I198" s="169"/>
      <c r="J198" s="169"/>
      <c r="K198" s="169"/>
      <c r="L198" s="169"/>
      <c r="M198" s="169"/>
      <c r="N198" s="169"/>
      <c r="O198" s="169"/>
      <c r="P198" s="169"/>
      <c r="Q198" s="169"/>
      <c r="R198" s="169"/>
      <c r="S198" s="169"/>
      <c r="T198" s="169"/>
      <c r="U198" s="169"/>
      <c r="V198" s="169"/>
      <c r="W198" s="169"/>
      <c r="X198" s="169"/>
      <c r="Y198" s="169"/>
      <c r="Z198" s="169"/>
      <c r="AA198" s="169"/>
      <c r="AB198" s="169"/>
      <c r="AC198" s="169"/>
      <c r="AD198" s="169"/>
      <c r="AE198" s="169"/>
      <c r="AF198" s="169"/>
      <c r="AG198" s="169"/>
      <c r="AH198" s="169"/>
      <c r="AI198" s="169"/>
      <c r="AJ198" s="169"/>
      <c r="AK198" s="169"/>
      <c r="AL198" s="169"/>
      <c r="AM198" s="169"/>
      <c r="AN198" s="169"/>
      <c r="AO198" s="169"/>
      <c r="AP198" s="169"/>
      <c r="AQ198" s="169"/>
      <c r="AR198" s="169"/>
      <c r="AS198" s="169"/>
      <c r="AT198" s="169"/>
      <c r="AU198" s="169"/>
      <c r="AV198" s="169"/>
      <c r="AW198" s="169"/>
      <c r="AX198" s="169"/>
      <c r="AY198" s="169"/>
      <c r="AZ198" s="169"/>
      <c r="BA198" s="169"/>
      <c r="BB198" s="169"/>
      <c r="BC198" s="169"/>
      <c r="BD198" s="169"/>
      <c r="BE198" s="169"/>
      <c r="BF198" s="169"/>
    </row>
    <row r="199" spans="1:58" ht="15" customHeight="1">
      <c r="A199" s="169"/>
      <c r="B199" s="169"/>
      <c r="C199" s="169"/>
      <c r="D199" s="169"/>
      <c r="E199" s="169"/>
      <c r="F199" s="169"/>
      <c r="G199" s="169"/>
      <c r="H199" s="169"/>
      <c r="I199" s="169"/>
      <c r="J199" s="169"/>
      <c r="K199" s="169"/>
      <c r="L199" s="169"/>
      <c r="M199" s="169"/>
      <c r="N199" s="169"/>
      <c r="O199" s="169"/>
      <c r="P199" s="169"/>
      <c r="Q199" s="169"/>
      <c r="R199" s="169"/>
      <c r="S199" s="169"/>
      <c r="T199" s="169"/>
      <c r="U199" s="169"/>
      <c r="V199" s="169"/>
      <c r="W199" s="169"/>
      <c r="X199" s="169"/>
      <c r="Y199" s="169"/>
      <c r="Z199" s="169"/>
      <c r="AA199" s="169"/>
      <c r="AB199" s="169"/>
      <c r="AC199" s="169"/>
      <c r="AD199" s="169"/>
      <c r="AE199" s="169"/>
      <c r="AF199" s="169"/>
      <c r="AG199" s="169"/>
      <c r="AH199" s="169"/>
      <c r="AI199" s="169"/>
      <c r="AJ199" s="169"/>
      <c r="AK199" s="169"/>
      <c r="AL199" s="169"/>
      <c r="AM199" s="169"/>
      <c r="AN199" s="169"/>
      <c r="AO199" s="169"/>
      <c r="AP199" s="169"/>
      <c r="AQ199" s="169"/>
      <c r="AR199" s="169"/>
      <c r="AS199" s="169"/>
      <c r="AT199" s="169"/>
      <c r="AU199" s="169"/>
      <c r="AV199" s="169"/>
      <c r="AW199" s="169"/>
      <c r="AX199" s="169"/>
      <c r="AY199" s="169"/>
      <c r="AZ199" s="169"/>
      <c r="BA199" s="169"/>
      <c r="BB199" s="169"/>
      <c r="BC199" s="169"/>
      <c r="BD199" s="169"/>
      <c r="BE199" s="169"/>
      <c r="BF199" s="169"/>
    </row>
    <row r="200" spans="1:58" ht="15" customHeight="1">
      <c r="A200" s="169"/>
      <c r="B200" s="169"/>
      <c r="C200" s="169"/>
      <c r="D200" s="169"/>
      <c r="E200" s="169"/>
      <c r="F200" s="169"/>
      <c r="G200" s="169"/>
      <c r="H200" s="169"/>
      <c r="I200" s="169"/>
      <c r="J200" s="169"/>
      <c r="K200" s="169"/>
      <c r="L200" s="169"/>
      <c r="M200" s="169"/>
      <c r="N200" s="169"/>
      <c r="O200" s="169"/>
      <c r="P200" s="169"/>
      <c r="Q200" s="169"/>
      <c r="R200" s="169"/>
      <c r="S200" s="169"/>
      <c r="T200" s="169"/>
      <c r="U200" s="169"/>
      <c r="V200" s="169"/>
      <c r="W200" s="169"/>
      <c r="X200" s="169"/>
      <c r="Y200" s="169"/>
      <c r="Z200" s="169"/>
      <c r="AA200" s="169"/>
      <c r="AB200" s="169"/>
      <c r="AC200" s="169"/>
      <c r="AD200" s="169"/>
      <c r="AE200" s="169"/>
      <c r="AF200" s="169"/>
      <c r="AG200" s="169"/>
      <c r="AH200" s="169"/>
      <c r="AI200" s="169"/>
      <c r="AJ200" s="169"/>
      <c r="AK200" s="169"/>
      <c r="AL200" s="169"/>
      <c r="AM200" s="169"/>
      <c r="AN200" s="169"/>
      <c r="AO200" s="169"/>
      <c r="AP200" s="169"/>
      <c r="AQ200" s="169"/>
      <c r="AR200" s="169"/>
      <c r="AS200" s="169"/>
      <c r="AT200" s="169"/>
      <c r="AU200" s="169"/>
      <c r="AV200" s="169"/>
      <c r="AW200" s="169"/>
      <c r="AX200" s="169"/>
      <c r="AY200" s="169"/>
      <c r="AZ200" s="169"/>
      <c r="BA200" s="169"/>
      <c r="BB200" s="169"/>
      <c r="BC200" s="169"/>
      <c r="BD200" s="169"/>
      <c r="BE200" s="169"/>
      <c r="BF200" s="169"/>
    </row>
    <row r="201" spans="1:58" ht="15" customHeight="1">
      <c r="A201" s="169"/>
      <c r="B201" s="169"/>
      <c r="C201" s="169"/>
      <c r="D201" s="169"/>
      <c r="E201" s="169"/>
      <c r="F201" s="169"/>
      <c r="G201" s="169"/>
      <c r="H201" s="169"/>
      <c r="I201" s="169"/>
      <c r="J201" s="169"/>
      <c r="K201" s="169"/>
      <c r="L201" s="169"/>
      <c r="M201" s="169"/>
      <c r="N201" s="169"/>
      <c r="O201" s="169"/>
      <c r="P201" s="169"/>
      <c r="Q201" s="169"/>
      <c r="R201" s="169"/>
      <c r="S201" s="169"/>
      <c r="T201" s="169"/>
      <c r="U201" s="169"/>
      <c r="V201" s="169"/>
      <c r="W201" s="169"/>
      <c r="X201" s="169"/>
      <c r="Y201" s="169"/>
      <c r="Z201" s="169"/>
      <c r="AA201" s="169"/>
      <c r="AB201" s="169"/>
      <c r="AC201" s="169"/>
      <c r="AD201" s="169"/>
      <c r="AE201" s="169"/>
      <c r="AF201" s="169"/>
      <c r="AG201" s="169"/>
      <c r="AH201" s="169"/>
      <c r="AI201" s="169"/>
      <c r="AJ201" s="169"/>
      <c r="AK201" s="169"/>
      <c r="AL201" s="169"/>
      <c r="AM201" s="169"/>
      <c r="AN201" s="169"/>
      <c r="AO201" s="169"/>
      <c r="AP201" s="169"/>
      <c r="AQ201" s="169"/>
      <c r="AR201" s="169"/>
      <c r="AS201" s="169"/>
      <c r="AT201" s="169"/>
      <c r="AU201" s="169"/>
      <c r="AV201" s="169"/>
      <c r="AW201" s="169"/>
      <c r="AX201" s="169"/>
      <c r="AY201" s="169"/>
      <c r="AZ201" s="169"/>
      <c r="BA201" s="169"/>
      <c r="BB201" s="169"/>
      <c r="BC201" s="169"/>
      <c r="BD201" s="169"/>
      <c r="BE201" s="169"/>
      <c r="BF201" s="169"/>
    </row>
    <row r="202" spans="1:58" ht="15" customHeight="1">
      <c r="A202" s="169"/>
      <c r="B202" s="169"/>
      <c r="C202" s="169"/>
      <c r="D202" s="169"/>
      <c r="E202" s="169"/>
      <c r="F202" s="169"/>
      <c r="G202" s="169"/>
      <c r="H202" s="169"/>
      <c r="I202" s="169"/>
      <c r="J202" s="169"/>
      <c r="K202" s="169"/>
      <c r="L202" s="169"/>
      <c r="M202" s="169"/>
      <c r="N202" s="169"/>
      <c r="O202" s="169"/>
      <c r="P202" s="169"/>
      <c r="Q202" s="169"/>
      <c r="R202" s="169"/>
      <c r="S202" s="169"/>
      <c r="T202" s="169"/>
      <c r="U202" s="169"/>
      <c r="V202" s="169"/>
      <c r="W202" s="169"/>
      <c r="X202" s="169"/>
      <c r="Y202" s="169"/>
      <c r="Z202" s="169"/>
      <c r="AA202" s="169"/>
      <c r="AB202" s="169"/>
      <c r="AC202" s="169"/>
      <c r="AD202" s="169"/>
      <c r="AE202" s="169"/>
      <c r="AF202" s="169"/>
      <c r="AG202" s="169"/>
      <c r="AH202" s="169"/>
      <c r="AI202" s="169"/>
      <c r="AJ202" s="169"/>
      <c r="AK202" s="169"/>
      <c r="AL202" s="169"/>
      <c r="AM202" s="169"/>
      <c r="AN202" s="169"/>
      <c r="AO202" s="169"/>
      <c r="AP202" s="169"/>
      <c r="AQ202" s="169"/>
      <c r="AR202" s="169"/>
      <c r="AS202" s="169"/>
      <c r="AT202" s="169"/>
      <c r="AU202" s="169"/>
      <c r="AV202" s="169"/>
      <c r="AW202" s="169"/>
      <c r="AX202" s="169"/>
      <c r="AY202" s="169"/>
      <c r="AZ202" s="169"/>
      <c r="BA202" s="169"/>
      <c r="BB202" s="169"/>
      <c r="BC202" s="169"/>
      <c r="BD202" s="169"/>
      <c r="BE202" s="169"/>
      <c r="BF202" s="169"/>
    </row>
    <row r="203" spans="1:58" ht="15" customHeight="1">
      <c r="A203" s="169"/>
      <c r="B203" s="169"/>
      <c r="C203" s="169"/>
      <c r="D203" s="169"/>
      <c r="E203" s="169"/>
      <c r="F203" s="169"/>
      <c r="G203" s="169"/>
      <c r="H203" s="169"/>
      <c r="I203" s="169"/>
      <c r="J203" s="169"/>
      <c r="K203" s="169"/>
      <c r="L203" s="169"/>
      <c r="M203" s="169"/>
      <c r="N203" s="169"/>
      <c r="O203" s="169"/>
      <c r="P203" s="169"/>
      <c r="Q203" s="169"/>
      <c r="R203" s="169"/>
      <c r="S203" s="169"/>
      <c r="T203" s="169"/>
      <c r="U203" s="169"/>
      <c r="V203" s="169"/>
      <c r="W203" s="169"/>
      <c r="X203" s="169"/>
      <c r="Y203" s="169"/>
      <c r="Z203" s="169"/>
      <c r="AA203" s="169"/>
      <c r="AB203" s="169"/>
      <c r="AC203" s="169"/>
      <c r="AD203" s="169"/>
      <c r="AE203" s="169"/>
      <c r="AF203" s="169"/>
      <c r="AG203" s="169"/>
      <c r="AH203" s="169"/>
      <c r="AI203" s="169"/>
      <c r="AJ203" s="169"/>
      <c r="AK203" s="169"/>
      <c r="AL203" s="169"/>
      <c r="AM203" s="169"/>
      <c r="AN203" s="169"/>
      <c r="AO203" s="169"/>
      <c r="AP203" s="169"/>
      <c r="AQ203" s="169"/>
      <c r="AR203" s="169"/>
      <c r="AS203" s="169"/>
      <c r="AT203" s="169"/>
      <c r="AU203" s="169"/>
      <c r="AV203" s="169"/>
      <c r="AW203" s="169"/>
      <c r="AX203" s="169"/>
      <c r="AY203" s="169"/>
      <c r="AZ203" s="169"/>
      <c r="BA203" s="169"/>
      <c r="BB203" s="169"/>
      <c r="BC203" s="169"/>
      <c r="BD203" s="169"/>
      <c r="BE203" s="169"/>
      <c r="BF203" s="169"/>
    </row>
    <row r="204" spans="1:58" ht="15" customHeight="1">
      <c r="A204" s="169"/>
      <c r="B204" s="169"/>
      <c r="C204" s="169"/>
      <c r="D204" s="169"/>
      <c r="E204" s="169"/>
      <c r="F204" s="169"/>
      <c r="G204" s="169"/>
      <c r="H204" s="169"/>
      <c r="I204" s="169"/>
      <c r="J204" s="169"/>
      <c r="K204" s="169"/>
      <c r="L204" s="169"/>
      <c r="M204" s="169"/>
      <c r="N204" s="169"/>
      <c r="O204" s="169"/>
      <c r="P204" s="169"/>
      <c r="Q204" s="169"/>
      <c r="R204" s="169"/>
      <c r="S204" s="169"/>
      <c r="T204" s="169"/>
      <c r="U204" s="169"/>
      <c r="V204" s="169"/>
      <c r="W204" s="169"/>
      <c r="X204" s="169"/>
      <c r="Y204" s="169"/>
      <c r="Z204" s="169"/>
      <c r="AA204" s="169"/>
      <c r="AB204" s="169"/>
      <c r="AC204" s="169"/>
      <c r="AD204" s="169"/>
      <c r="AE204" s="169"/>
      <c r="AF204" s="169"/>
      <c r="AG204" s="169"/>
      <c r="AH204" s="169"/>
      <c r="AI204" s="169"/>
      <c r="AJ204" s="169"/>
      <c r="AK204" s="169"/>
      <c r="AL204" s="169"/>
      <c r="AM204" s="169"/>
      <c r="AN204" s="169"/>
      <c r="AO204" s="169"/>
      <c r="AP204" s="169"/>
      <c r="AQ204" s="169"/>
      <c r="AR204" s="169"/>
      <c r="AS204" s="169"/>
      <c r="AT204" s="169"/>
      <c r="AU204" s="169"/>
      <c r="AV204" s="169"/>
      <c r="AW204" s="169"/>
      <c r="AX204" s="169"/>
      <c r="AY204" s="169"/>
      <c r="AZ204" s="169"/>
      <c r="BA204" s="169"/>
      <c r="BB204" s="169"/>
      <c r="BC204" s="169"/>
      <c r="BD204" s="169"/>
      <c r="BE204" s="169"/>
      <c r="BF204" s="169"/>
    </row>
    <row r="205" spans="1:58" ht="15" customHeight="1">
      <c r="A205" s="169"/>
      <c r="B205" s="169"/>
      <c r="C205" s="169"/>
      <c r="D205" s="169"/>
      <c r="E205" s="169"/>
      <c r="F205" s="169"/>
      <c r="G205" s="169"/>
      <c r="H205" s="169"/>
      <c r="I205" s="169"/>
      <c r="J205" s="169"/>
      <c r="K205" s="169"/>
      <c r="L205" s="169"/>
      <c r="M205" s="169"/>
      <c r="N205" s="169"/>
      <c r="O205" s="169"/>
      <c r="P205" s="169"/>
      <c r="Q205" s="169"/>
      <c r="R205" s="169"/>
      <c r="S205" s="169"/>
      <c r="T205" s="169"/>
      <c r="U205" s="169"/>
      <c r="V205" s="169"/>
      <c r="W205" s="169"/>
      <c r="X205" s="169"/>
      <c r="Y205" s="169"/>
      <c r="Z205" s="169"/>
      <c r="AA205" s="169"/>
      <c r="AB205" s="169"/>
      <c r="AC205" s="169"/>
      <c r="AD205" s="169"/>
      <c r="AE205" s="169"/>
      <c r="AF205" s="169"/>
      <c r="AG205" s="169"/>
      <c r="AH205" s="169"/>
      <c r="AI205" s="169"/>
      <c r="AJ205" s="169"/>
      <c r="AK205" s="169"/>
      <c r="AL205" s="169"/>
      <c r="AM205" s="169"/>
      <c r="AN205" s="169"/>
      <c r="AO205" s="169"/>
      <c r="AP205" s="169"/>
      <c r="AQ205" s="169"/>
      <c r="AR205" s="169"/>
      <c r="AS205" s="169"/>
      <c r="AT205" s="169"/>
      <c r="AU205" s="169"/>
      <c r="AV205" s="169"/>
      <c r="AW205" s="169"/>
      <c r="AX205" s="169"/>
      <c r="AY205" s="169"/>
      <c r="AZ205" s="169"/>
      <c r="BA205" s="169"/>
      <c r="BB205" s="169"/>
      <c r="BC205" s="169"/>
      <c r="BD205" s="169"/>
      <c r="BE205" s="169"/>
      <c r="BF205" s="169"/>
    </row>
    <row r="206" spans="1:58" ht="15" customHeight="1">
      <c r="A206" s="169"/>
      <c r="B206" s="169"/>
      <c r="C206" s="169"/>
      <c r="D206" s="169"/>
      <c r="E206" s="169"/>
      <c r="F206" s="169"/>
      <c r="G206" s="169"/>
      <c r="H206" s="169"/>
      <c r="I206" s="169"/>
      <c r="J206" s="169"/>
      <c r="K206" s="169"/>
      <c r="L206" s="169"/>
      <c r="M206" s="169"/>
      <c r="N206" s="169"/>
      <c r="O206" s="169"/>
      <c r="P206" s="169"/>
      <c r="Q206" s="169"/>
      <c r="R206" s="169"/>
      <c r="S206" s="169"/>
      <c r="T206" s="169"/>
      <c r="U206" s="169"/>
      <c r="V206" s="169"/>
      <c r="W206" s="169"/>
      <c r="X206" s="169"/>
      <c r="Y206" s="169"/>
      <c r="Z206" s="169"/>
      <c r="AA206" s="169"/>
      <c r="AB206" s="169"/>
      <c r="AC206" s="169"/>
      <c r="AD206" s="169"/>
      <c r="AE206" s="169"/>
      <c r="AF206" s="169"/>
      <c r="AG206" s="169"/>
      <c r="AH206" s="169"/>
      <c r="AI206" s="169"/>
      <c r="AJ206" s="169"/>
      <c r="AK206" s="169"/>
      <c r="AL206" s="169"/>
      <c r="AM206" s="169"/>
      <c r="AN206" s="169"/>
      <c r="AO206" s="169"/>
      <c r="AP206" s="169"/>
      <c r="AQ206" s="169"/>
      <c r="AR206" s="169"/>
      <c r="AS206" s="169"/>
      <c r="AT206" s="169"/>
      <c r="AU206" s="169"/>
      <c r="AV206" s="169"/>
      <c r="AW206" s="169"/>
      <c r="AX206" s="169"/>
      <c r="AY206" s="169"/>
      <c r="AZ206" s="169"/>
      <c r="BA206" s="169"/>
      <c r="BB206" s="169"/>
      <c r="BC206" s="169"/>
      <c r="BD206" s="169"/>
      <c r="BE206" s="169"/>
      <c r="BF206" s="169"/>
    </row>
    <row r="207" spans="1:58" ht="15" customHeight="1">
      <c r="A207" s="169"/>
      <c r="B207" s="169"/>
      <c r="C207" s="169"/>
      <c r="D207" s="169"/>
      <c r="E207" s="169"/>
      <c r="F207" s="169"/>
      <c r="G207" s="169"/>
      <c r="H207" s="169"/>
      <c r="I207" s="169"/>
      <c r="J207" s="169"/>
      <c r="K207" s="169"/>
      <c r="L207" s="169"/>
      <c r="M207" s="169"/>
      <c r="N207" s="169"/>
      <c r="O207" s="169"/>
      <c r="P207" s="169"/>
      <c r="Q207" s="169"/>
      <c r="R207" s="169"/>
      <c r="S207" s="169"/>
      <c r="T207" s="169"/>
      <c r="U207" s="169"/>
      <c r="V207" s="169"/>
      <c r="W207" s="169"/>
      <c r="X207" s="169"/>
      <c r="Y207" s="169"/>
      <c r="Z207" s="169"/>
      <c r="AA207" s="169"/>
      <c r="AB207" s="169"/>
      <c r="AC207" s="169"/>
      <c r="AD207" s="169"/>
      <c r="AE207" s="169"/>
      <c r="AF207" s="169"/>
      <c r="AG207" s="169"/>
      <c r="AH207" s="169"/>
      <c r="AI207" s="169"/>
      <c r="AJ207" s="169"/>
      <c r="AK207" s="169"/>
      <c r="AL207" s="169"/>
      <c r="AM207" s="169"/>
      <c r="AN207" s="169"/>
      <c r="AO207" s="169"/>
      <c r="AP207" s="169"/>
      <c r="AQ207" s="169"/>
      <c r="AR207" s="169"/>
      <c r="AS207" s="169"/>
      <c r="AT207" s="169"/>
      <c r="AU207" s="169"/>
      <c r="AV207" s="169"/>
      <c r="AW207" s="169"/>
      <c r="AX207" s="169"/>
      <c r="AY207" s="169"/>
      <c r="AZ207" s="169"/>
      <c r="BA207" s="169"/>
      <c r="BB207" s="169"/>
      <c r="BC207" s="169"/>
      <c r="BD207" s="169"/>
      <c r="BE207" s="169"/>
      <c r="BF207" s="169"/>
    </row>
    <row r="208" spans="1:58" s="347" customFormat="1" ht="15" customHeight="1">
      <c r="A208" s="169"/>
      <c r="B208" s="169"/>
      <c r="C208" s="169"/>
      <c r="D208" s="169"/>
      <c r="E208" s="169"/>
      <c r="F208" s="169"/>
      <c r="G208" s="169"/>
      <c r="H208" s="169"/>
      <c r="I208" s="169"/>
      <c r="J208" s="169"/>
      <c r="K208" s="169"/>
      <c r="L208" s="169"/>
      <c r="M208" s="169"/>
      <c r="N208" s="169"/>
      <c r="O208" s="169"/>
      <c r="P208" s="169"/>
      <c r="Q208" s="169"/>
      <c r="R208" s="169"/>
      <c r="S208" s="169"/>
      <c r="T208" s="169"/>
      <c r="U208" s="169"/>
      <c r="V208" s="169"/>
      <c r="W208" s="169"/>
      <c r="X208" s="169"/>
      <c r="Y208" s="169"/>
      <c r="Z208" s="169"/>
      <c r="AA208" s="169"/>
      <c r="AB208" s="169"/>
      <c r="AC208" s="169"/>
      <c r="AD208" s="169"/>
      <c r="AE208" s="169"/>
      <c r="AF208" s="169"/>
      <c r="AG208" s="169"/>
      <c r="AH208" s="169"/>
      <c r="AI208" s="169"/>
      <c r="AJ208" s="169"/>
      <c r="AK208" s="169"/>
      <c r="AL208" s="169"/>
      <c r="AM208" s="169"/>
      <c r="AN208" s="169"/>
      <c r="AO208" s="169"/>
      <c r="AP208" s="169"/>
      <c r="AQ208" s="169"/>
      <c r="AR208" s="169"/>
      <c r="AS208" s="169"/>
      <c r="AT208" s="169"/>
      <c r="AU208" s="169"/>
      <c r="AV208" s="169"/>
      <c r="AW208" s="169"/>
      <c r="AX208" s="169"/>
      <c r="AY208" s="169"/>
      <c r="AZ208" s="169"/>
      <c r="BA208" s="169"/>
      <c r="BB208" s="169"/>
      <c r="BC208" s="169"/>
      <c r="BD208" s="169"/>
      <c r="BE208" s="169"/>
      <c r="BF208" s="169"/>
    </row>
    <row r="209" spans="1:58" s="347" customFormat="1" ht="15" customHeight="1">
      <c r="A209" s="169"/>
      <c r="B209" s="169"/>
      <c r="C209" s="169"/>
      <c r="D209" s="169"/>
      <c r="E209" s="169"/>
      <c r="F209" s="169"/>
      <c r="G209" s="169"/>
      <c r="H209" s="169"/>
      <c r="I209" s="169"/>
      <c r="J209" s="169"/>
      <c r="K209" s="169"/>
      <c r="L209" s="169"/>
      <c r="M209" s="169"/>
      <c r="N209" s="169"/>
      <c r="O209" s="169"/>
      <c r="P209" s="169"/>
      <c r="Q209" s="169"/>
      <c r="R209" s="169"/>
      <c r="S209" s="169"/>
      <c r="T209" s="169"/>
      <c r="U209" s="169"/>
      <c r="V209" s="169"/>
      <c r="W209" s="169"/>
      <c r="X209" s="169"/>
      <c r="Y209" s="169"/>
      <c r="Z209" s="169"/>
      <c r="AA209" s="169"/>
      <c r="AB209" s="169"/>
      <c r="AC209" s="169"/>
      <c r="AD209" s="169"/>
      <c r="AE209" s="169"/>
      <c r="AF209" s="169"/>
      <c r="AG209" s="169"/>
      <c r="AH209" s="169"/>
      <c r="AI209" s="169"/>
      <c r="AJ209" s="169"/>
      <c r="AK209" s="169"/>
      <c r="AL209" s="169"/>
      <c r="AM209" s="169"/>
      <c r="AN209" s="169"/>
      <c r="AO209" s="169"/>
      <c r="AP209" s="169"/>
      <c r="AQ209" s="169"/>
      <c r="AR209" s="169"/>
      <c r="AS209" s="169"/>
      <c r="AT209" s="169"/>
      <c r="AU209" s="169"/>
      <c r="AV209" s="169"/>
      <c r="AW209" s="169"/>
      <c r="AX209" s="169"/>
      <c r="AY209" s="169"/>
      <c r="AZ209" s="169"/>
      <c r="BA209" s="169"/>
      <c r="BB209" s="169"/>
      <c r="BC209" s="169"/>
      <c r="BD209" s="169"/>
      <c r="BE209" s="169"/>
      <c r="BF209" s="169"/>
    </row>
    <row r="210" spans="1:58" s="347" customFormat="1" ht="15" customHeight="1">
      <c r="A210" s="169"/>
      <c r="B210" s="169"/>
      <c r="C210" s="169"/>
      <c r="D210" s="169"/>
      <c r="E210" s="169"/>
      <c r="F210" s="169"/>
      <c r="G210" s="169"/>
      <c r="H210" s="169"/>
      <c r="I210" s="169"/>
      <c r="J210" s="169"/>
      <c r="K210" s="169"/>
      <c r="L210" s="169"/>
      <c r="M210" s="169"/>
      <c r="N210" s="169"/>
      <c r="O210" s="169"/>
      <c r="P210" s="169"/>
      <c r="Q210" s="169"/>
      <c r="R210" s="169"/>
      <c r="S210" s="169"/>
      <c r="T210" s="169"/>
      <c r="U210" s="169"/>
      <c r="V210" s="169"/>
      <c r="W210" s="169"/>
      <c r="X210" s="169"/>
      <c r="Y210" s="169"/>
      <c r="Z210" s="169"/>
      <c r="AA210" s="169"/>
      <c r="AB210" s="169"/>
      <c r="AC210" s="169"/>
      <c r="AD210" s="169"/>
      <c r="AE210" s="169"/>
      <c r="AF210" s="169"/>
      <c r="AG210" s="169"/>
      <c r="AH210" s="169"/>
      <c r="AI210" s="169"/>
      <c r="AJ210" s="169"/>
      <c r="AK210" s="169"/>
      <c r="AL210" s="169"/>
      <c r="AM210" s="169"/>
      <c r="AN210" s="169"/>
      <c r="AO210" s="169"/>
      <c r="AP210" s="169"/>
      <c r="AQ210" s="169"/>
      <c r="AR210" s="169"/>
      <c r="AS210" s="169"/>
      <c r="AT210" s="169"/>
      <c r="AU210" s="169"/>
      <c r="AV210" s="169"/>
      <c r="AW210" s="169"/>
      <c r="AX210" s="169"/>
      <c r="AY210" s="169"/>
      <c r="AZ210" s="169"/>
      <c r="BA210" s="169"/>
      <c r="BB210" s="169"/>
      <c r="BC210" s="169"/>
      <c r="BD210" s="169"/>
      <c r="BE210" s="169"/>
      <c r="BF210" s="169"/>
    </row>
    <row r="211" spans="1:58" s="347" customFormat="1" ht="15" customHeight="1">
      <c r="A211" s="169"/>
      <c r="B211" s="169"/>
      <c r="C211" s="169"/>
      <c r="D211" s="169"/>
      <c r="E211" s="169"/>
      <c r="F211" s="169"/>
      <c r="G211" s="169"/>
      <c r="H211" s="169"/>
      <c r="I211" s="169"/>
      <c r="J211" s="169"/>
      <c r="K211" s="169"/>
      <c r="L211" s="169"/>
      <c r="M211" s="169"/>
      <c r="N211" s="169"/>
      <c r="O211" s="169"/>
      <c r="P211" s="169"/>
      <c r="Q211" s="169"/>
      <c r="R211" s="169"/>
      <c r="S211" s="169"/>
      <c r="T211" s="169"/>
      <c r="U211" s="169"/>
      <c r="V211" s="169"/>
      <c r="W211" s="169"/>
      <c r="X211" s="169"/>
      <c r="Y211" s="169"/>
      <c r="Z211" s="169"/>
      <c r="AA211" s="169"/>
      <c r="AB211" s="169"/>
      <c r="AC211" s="169"/>
      <c r="AD211" s="169"/>
      <c r="AE211" s="169"/>
      <c r="AF211" s="169"/>
      <c r="AG211" s="169"/>
      <c r="AH211" s="169"/>
      <c r="AI211" s="169"/>
      <c r="AJ211" s="169"/>
      <c r="AK211" s="169"/>
      <c r="AL211" s="169"/>
      <c r="AM211" s="169"/>
      <c r="AN211" s="169"/>
      <c r="AO211" s="169"/>
      <c r="AP211" s="169"/>
      <c r="AQ211" s="169"/>
      <c r="AR211" s="169"/>
      <c r="AS211" s="169"/>
      <c r="AT211" s="169"/>
      <c r="AU211" s="169"/>
      <c r="AV211" s="169"/>
      <c r="AW211" s="169"/>
      <c r="AX211" s="169"/>
      <c r="AY211" s="169"/>
      <c r="AZ211" s="169"/>
      <c r="BA211" s="169"/>
      <c r="BB211" s="169"/>
      <c r="BC211" s="169"/>
      <c r="BD211" s="169"/>
      <c r="BE211" s="169"/>
      <c r="BF211" s="169"/>
    </row>
    <row r="212" spans="1:58" s="347" customFormat="1" ht="15" customHeight="1">
      <c r="A212" s="169"/>
      <c r="B212" s="169"/>
      <c r="C212" s="169"/>
      <c r="D212" s="169"/>
      <c r="E212" s="169"/>
      <c r="F212" s="169"/>
      <c r="G212" s="169"/>
      <c r="H212" s="169"/>
      <c r="I212" s="169"/>
      <c r="J212" s="169"/>
      <c r="K212" s="169"/>
      <c r="L212" s="169"/>
      <c r="M212" s="169"/>
      <c r="N212" s="169"/>
      <c r="O212" s="169"/>
      <c r="P212" s="169"/>
      <c r="Q212" s="169"/>
      <c r="R212" s="169"/>
      <c r="S212" s="169"/>
      <c r="T212" s="169"/>
      <c r="U212" s="169"/>
      <c r="V212" s="169"/>
      <c r="W212" s="169"/>
      <c r="X212" s="169"/>
      <c r="Y212" s="169"/>
      <c r="Z212" s="169"/>
      <c r="AA212" s="169"/>
      <c r="AB212" s="169"/>
      <c r="AC212" s="169"/>
      <c r="AD212" s="169"/>
      <c r="AE212" s="169"/>
      <c r="AF212" s="169"/>
      <c r="AG212" s="169"/>
      <c r="AH212" s="169"/>
      <c r="AI212" s="169"/>
      <c r="AJ212" s="169"/>
      <c r="AK212" s="169"/>
      <c r="AL212" s="169"/>
      <c r="AM212" s="169"/>
      <c r="AN212" s="169"/>
      <c r="AO212" s="169"/>
      <c r="AP212" s="169"/>
      <c r="AQ212" s="169"/>
      <c r="AR212" s="169"/>
      <c r="AS212" s="169"/>
      <c r="AT212" s="169"/>
      <c r="AU212" s="169"/>
      <c r="AV212" s="169"/>
      <c r="AW212" s="169"/>
      <c r="AX212" s="169"/>
      <c r="AY212" s="169"/>
      <c r="AZ212" s="169"/>
      <c r="BA212" s="169"/>
      <c r="BB212" s="169"/>
      <c r="BC212" s="169"/>
      <c r="BD212" s="169"/>
      <c r="BE212" s="169"/>
      <c r="BF212" s="169"/>
    </row>
    <row r="213" spans="1:58" ht="15" customHeight="1">
      <c r="A213" s="169"/>
      <c r="B213" s="169"/>
      <c r="C213" s="169"/>
      <c r="D213" s="169"/>
      <c r="E213" s="169"/>
      <c r="F213" s="169"/>
      <c r="G213" s="169"/>
      <c r="H213" s="169"/>
      <c r="I213" s="169"/>
      <c r="J213" s="169"/>
      <c r="K213" s="169"/>
      <c r="L213" s="169"/>
      <c r="M213" s="169"/>
      <c r="N213" s="169"/>
      <c r="O213" s="169"/>
      <c r="P213" s="169"/>
      <c r="Q213" s="169"/>
      <c r="R213" s="169"/>
      <c r="S213" s="169"/>
      <c r="T213" s="169"/>
      <c r="U213" s="169"/>
      <c r="V213" s="169"/>
      <c r="W213" s="169"/>
      <c r="X213" s="169"/>
      <c r="Y213" s="169"/>
      <c r="Z213" s="169"/>
      <c r="AA213" s="169"/>
      <c r="AB213" s="169"/>
      <c r="AC213" s="169"/>
      <c r="AD213" s="169"/>
      <c r="AE213" s="169"/>
      <c r="AF213" s="169"/>
      <c r="AG213" s="169"/>
      <c r="AH213" s="169"/>
      <c r="AI213" s="169"/>
      <c r="AJ213" s="169"/>
      <c r="AK213" s="169"/>
      <c r="AL213" s="169"/>
      <c r="AM213" s="169"/>
      <c r="AN213" s="169"/>
      <c r="AO213" s="169"/>
      <c r="AP213" s="169"/>
      <c r="AQ213" s="169"/>
      <c r="AR213" s="169"/>
      <c r="AS213" s="169"/>
      <c r="AT213" s="169"/>
      <c r="AU213" s="169"/>
      <c r="AV213" s="169"/>
      <c r="AW213" s="169"/>
      <c r="AX213" s="169"/>
      <c r="AY213" s="169"/>
      <c r="AZ213" s="169"/>
      <c r="BA213" s="169"/>
      <c r="BB213" s="169"/>
      <c r="BC213" s="169"/>
      <c r="BD213" s="169"/>
      <c r="BE213" s="169"/>
      <c r="BF213" s="169"/>
    </row>
    <row r="214" spans="1:58" ht="15" customHeight="1">
      <c r="A214" s="169"/>
      <c r="B214" s="169"/>
      <c r="C214" s="169"/>
      <c r="D214" s="169"/>
      <c r="E214" s="169"/>
      <c r="F214" s="169"/>
      <c r="G214" s="169"/>
      <c r="H214" s="169"/>
      <c r="I214" s="169"/>
      <c r="J214" s="169"/>
      <c r="K214" s="169"/>
      <c r="L214" s="169"/>
      <c r="M214" s="169"/>
      <c r="N214" s="169"/>
      <c r="O214" s="169"/>
      <c r="P214" s="169"/>
      <c r="Q214" s="169"/>
      <c r="R214" s="169"/>
      <c r="S214" s="169"/>
      <c r="T214" s="169"/>
      <c r="U214" s="169"/>
      <c r="V214" s="169"/>
      <c r="W214" s="169"/>
      <c r="X214" s="169"/>
      <c r="Y214" s="169"/>
      <c r="Z214" s="169"/>
      <c r="AA214" s="169"/>
      <c r="AB214" s="169"/>
      <c r="AC214" s="169"/>
      <c r="AD214" s="169"/>
      <c r="AE214" s="169"/>
      <c r="AF214" s="169"/>
      <c r="AG214" s="169"/>
      <c r="AH214" s="169"/>
      <c r="AI214" s="169"/>
      <c r="AJ214" s="169"/>
      <c r="AK214" s="169"/>
      <c r="AL214" s="169"/>
      <c r="AM214" s="169"/>
      <c r="AN214" s="169"/>
      <c r="AO214" s="169"/>
      <c r="AP214" s="169"/>
      <c r="AQ214" s="169"/>
      <c r="AR214" s="169"/>
      <c r="AS214" s="169"/>
      <c r="AT214" s="169"/>
      <c r="AU214" s="169"/>
      <c r="AV214" s="169"/>
      <c r="AW214" s="169"/>
      <c r="AX214" s="169"/>
      <c r="AY214" s="169"/>
      <c r="AZ214" s="169"/>
      <c r="BA214" s="169"/>
      <c r="BB214" s="169"/>
      <c r="BC214" s="169"/>
      <c r="BD214" s="169"/>
      <c r="BE214" s="169"/>
      <c r="BF214" s="169"/>
    </row>
    <row r="215" spans="1:58" ht="15" customHeight="1">
      <c r="A215" s="169"/>
      <c r="B215" s="169"/>
      <c r="C215" s="169"/>
      <c r="D215" s="169"/>
      <c r="E215" s="169"/>
      <c r="F215" s="169"/>
      <c r="G215" s="169"/>
      <c r="H215" s="169"/>
      <c r="I215" s="169"/>
      <c r="J215" s="169"/>
      <c r="K215" s="169"/>
      <c r="L215" s="169"/>
      <c r="M215" s="169"/>
      <c r="N215" s="169"/>
      <c r="O215" s="169"/>
      <c r="P215" s="169"/>
      <c r="Q215" s="169"/>
      <c r="R215" s="169"/>
      <c r="S215" s="169"/>
      <c r="T215" s="169"/>
      <c r="U215" s="169"/>
      <c r="V215" s="169"/>
      <c r="W215" s="169"/>
      <c r="X215" s="169"/>
      <c r="Y215" s="169"/>
      <c r="Z215" s="169"/>
      <c r="AA215" s="169"/>
      <c r="AB215" s="169"/>
      <c r="AC215" s="169"/>
      <c r="AD215" s="169"/>
      <c r="AE215" s="169"/>
      <c r="AF215" s="169"/>
      <c r="AG215" s="169"/>
      <c r="AH215" s="169"/>
      <c r="AI215" s="169"/>
      <c r="AJ215" s="169"/>
      <c r="AK215" s="169"/>
      <c r="AL215" s="169"/>
      <c r="AM215" s="169"/>
      <c r="AN215" s="169"/>
      <c r="AO215" s="169"/>
      <c r="AP215" s="169"/>
      <c r="AQ215" s="169"/>
      <c r="AR215" s="169"/>
      <c r="AS215" s="169"/>
      <c r="AT215" s="169"/>
      <c r="AU215" s="169"/>
      <c r="AV215" s="169"/>
      <c r="AW215" s="169"/>
      <c r="AX215" s="169"/>
      <c r="AY215" s="169"/>
      <c r="AZ215" s="169"/>
      <c r="BA215" s="169"/>
      <c r="BB215" s="169"/>
      <c r="BC215" s="169"/>
      <c r="BD215" s="169"/>
      <c r="BE215" s="169"/>
      <c r="BF215" s="169"/>
    </row>
    <row r="216" spans="1:58" ht="15" customHeight="1">
      <c r="A216" s="169"/>
      <c r="B216" s="169"/>
      <c r="C216" s="169"/>
      <c r="D216" s="169"/>
      <c r="E216" s="169"/>
      <c r="F216" s="169"/>
      <c r="G216" s="169"/>
      <c r="H216" s="169"/>
      <c r="I216" s="169"/>
      <c r="J216" s="169"/>
      <c r="K216" s="169"/>
      <c r="L216" s="169"/>
      <c r="M216" s="169"/>
      <c r="N216" s="169"/>
      <c r="O216" s="169"/>
      <c r="P216" s="169"/>
      <c r="Q216" s="169"/>
      <c r="R216" s="169"/>
      <c r="S216" s="169"/>
      <c r="T216" s="169"/>
      <c r="U216" s="169"/>
      <c r="V216" s="169"/>
      <c r="W216" s="169"/>
      <c r="X216" s="169"/>
      <c r="Y216" s="169"/>
      <c r="Z216" s="169"/>
      <c r="AA216" s="169"/>
      <c r="AB216" s="169"/>
      <c r="AC216" s="169"/>
      <c r="AD216" s="169"/>
      <c r="AE216" s="169"/>
      <c r="AF216" s="169"/>
      <c r="AG216" s="169"/>
      <c r="AH216" s="169"/>
      <c r="AI216" s="169"/>
      <c r="AJ216" s="169"/>
      <c r="AK216" s="169"/>
      <c r="AL216" s="169"/>
      <c r="AM216" s="169"/>
      <c r="AN216" s="169"/>
      <c r="AO216" s="169"/>
      <c r="AP216" s="169"/>
      <c r="AQ216" s="169"/>
      <c r="AR216" s="169"/>
      <c r="AS216" s="169"/>
      <c r="AT216" s="169"/>
      <c r="AU216" s="169"/>
      <c r="AV216" s="169"/>
      <c r="AW216" s="169"/>
      <c r="AX216" s="169"/>
      <c r="AY216" s="169"/>
      <c r="AZ216" s="169"/>
      <c r="BA216" s="169"/>
      <c r="BB216" s="169"/>
      <c r="BC216" s="169"/>
      <c r="BD216" s="169"/>
      <c r="BE216" s="169"/>
      <c r="BF216" s="169"/>
    </row>
    <row r="217" spans="1:58" ht="15" customHeight="1">
      <c r="A217" s="169"/>
      <c r="B217" s="169"/>
      <c r="C217" s="169"/>
      <c r="D217" s="169"/>
      <c r="E217" s="169"/>
      <c r="F217" s="169"/>
      <c r="G217" s="169"/>
      <c r="H217" s="169"/>
      <c r="I217" s="169"/>
      <c r="J217" s="169"/>
      <c r="K217" s="169"/>
      <c r="L217" s="169"/>
      <c r="M217" s="169"/>
      <c r="N217" s="169"/>
      <c r="O217" s="169"/>
      <c r="P217" s="169"/>
      <c r="Q217" s="169"/>
      <c r="R217" s="169"/>
      <c r="S217" s="169"/>
      <c r="T217" s="169"/>
      <c r="U217" s="169"/>
      <c r="V217" s="169"/>
      <c r="W217" s="169"/>
      <c r="X217" s="169"/>
      <c r="Y217" s="169"/>
      <c r="Z217" s="169"/>
      <c r="AA217" s="169"/>
      <c r="AB217" s="169"/>
      <c r="AC217" s="169"/>
      <c r="AD217" s="169"/>
      <c r="AE217" s="169"/>
      <c r="AF217" s="169"/>
      <c r="AG217" s="169"/>
      <c r="AH217" s="169"/>
      <c r="AI217" s="169"/>
      <c r="AJ217" s="169"/>
      <c r="AK217" s="169"/>
      <c r="AL217" s="169"/>
      <c r="AM217" s="169"/>
      <c r="AN217" s="169"/>
      <c r="AO217" s="169"/>
      <c r="AP217" s="169"/>
      <c r="AQ217" s="169"/>
      <c r="AR217" s="169"/>
      <c r="AS217" s="169"/>
      <c r="AT217" s="169"/>
      <c r="AU217" s="169"/>
      <c r="AV217" s="169"/>
      <c r="AW217" s="169"/>
      <c r="AX217" s="169"/>
      <c r="AY217" s="169"/>
      <c r="AZ217" s="169"/>
      <c r="BA217" s="169"/>
      <c r="BB217" s="169"/>
      <c r="BC217" s="169"/>
      <c r="BD217" s="169"/>
      <c r="BE217" s="169"/>
      <c r="BF217" s="169"/>
    </row>
    <row r="218" spans="1:58" ht="15" customHeight="1">
      <c r="A218" s="169"/>
      <c r="B218" s="169"/>
      <c r="C218" s="169"/>
      <c r="D218" s="169"/>
      <c r="E218" s="169"/>
      <c r="F218" s="169"/>
      <c r="G218" s="169"/>
      <c r="H218" s="169"/>
      <c r="I218" s="169"/>
      <c r="J218" s="169"/>
      <c r="K218" s="169"/>
      <c r="L218" s="169"/>
      <c r="M218" s="169"/>
      <c r="N218" s="169"/>
      <c r="O218" s="169"/>
      <c r="P218" s="169"/>
      <c r="Q218" s="169"/>
      <c r="R218" s="169"/>
      <c r="S218" s="169"/>
      <c r="T218" s="169"/>
      <c r="U218" s="169"/>
      <c r="V218" s="169"/>
      <c r="W218" s="169"/>
      <c r="X218" s="169"/>
      <c r="Y218" s="169"/>
      <c r="Z218" s="169"/>
      <c r="AA218" s="169"/>
      <c r="AB218" s="169"/>
      <c r="AC218" s="169"/>
      <c r="AD218" s="169"/>
      <c r="AE218" s="169"/>
      <c r="AF218" s="169"/>
      <c r="AG218" s="169"/>
      <c r="AH218" s="169"/>
      <c r="AI218" s="169"/>
      <c r="AJ218" s="169"/>
      <c r="AK218" s="169"/>
      <c r="AL218" s="169"/>
      <c r="AM218" s="169"/>
      <c r="AN218" s="169"/>
      <c r="AO218" s="169"/>
      <c r="AP218" s="169"/>
      <c r="AQ218" s="169"/>
      <c r="AR218" s="169"/>
      <c r="AS218" s="169"/>
      <c r="AT218" s="169"/>
      <c r="AU218" s="169"/>
      <c r="AV218" s="169"/>
      <c r="AW218" s="169"/>
      <c r="AX218" s="169"/>
      <c r="AY218" s="169"/>
      <c r="AZ218" s="169"/>
      <c r="BA218" s="169"/>
      <c r="BB218" s="169"/>
      <c r="BC218" s="169"/>
      <c r="BD218" s="169"/>
      <c r="BE218" s="169"/>
      <c r="BF218" s="169"/>
    </row>
    <row r="219" spans="1:58" ht="15" customHeight="1">
      <c r="A219" s="169"/>
      <c r="B219" s="169"/>
      <c r="C219" s="169"/>
      <c r="D219" s="169"/>
      <c r="E219" s="169"/>
      <c r="F219" s="169"/>
      <c r="G219" s="169"/>
      <c r="H219" s="169"/>
      <c r="I219" s="169"/>
      <c r="J219" s="169"/>
      <c r="K219" s="169"/>
      <c r="L219" s="169"/>
      <c r="M219" s="169"/>
      <c r="N219" s="169"/>
      <c r="O219" s="169"/>
      <c r="P219" s="169"/>
      <c r="Q219" s="169"/>
      <c r="R219" s="169"/>
      <c r="S219" s="169"/>
      <c r="T219" s="169"/>
      <c r="U219" s="169"/>
      <c r="V219" s="169"/>
      <c r="W219" s="169"/>
      <c r="X219" s="169"/>
      <c r="Y219" s="169"/>
      <c r="Z219" s="169"/>
      <c r="AA219" s="169"/>
      <c r="AB219" s="169"/>
      <c r="AC219" s="169"/>
      <c r="AD219" s="169"/>
      <c r="AE219" s="169"/>
      <c r="AF219" s="169"/>
      <c r="AG219" s="169"/>
      <c r="AH219" s="169"/>
      <c r="AI219" s="169"/>
      <c r="AJ219" s="169"/>
      <c r="AK219" s="169"/>
      <c r="AL219" s="169"/>
      <c r="AM219" s="169"/>
      <c r="AN219" s="169"/>
      <c r="AO219" s="169"/>
      <c r="AP219" s="169"/>
      <c r="AQ219" s="169"/>
      <c r="AR219" s="169"/>
      <c r="AS219" s="169"/>
      <c r="AT219" s="169"/>
      <c r="AU219" s="169"/>
      <c r="AV219" s="169"/>
      <c r="AW219" s="169"/>
      <c r="AX219" s="169"/>
      <c r="AY219" s="169"/>
      <c r="AZ219" s="169"/>
      <c r="BA219" s="169"/>
      <c r="BB219" s="169"/>
      <c r="BC219" s="169"/>
      <c r="BD219" s="169"/>
      <c r="BE219" s="169"/>
      <c r="BF219" s="169"/>
    </row>
    <row r="220" spans="1:58" ht="15" customHeight="1">
      <c r="A220" s="169"/>
      <c r="B220" s="169"/>
      <c r="C220" s="169"/>
      <c r="D220" s="169"/>
      <c r="E220" s="169"/>
      <c r="F220" s="169"/>
      <c r="G220" s="169"/>
      <c r="H220" s="169"/>
      <c r="I220" s="169"/>
      <c r="J220" s="169"/>
      <c r="K220" s="169"/>
      <c r="L220" s="169"/>
      <c r="M220" s="169"/>
      <c r="N220" s="169"/>
      <c r="O220" s="169"/>
      <c r="P220" s="169"/>
      <c r="Q220" s="169"/>
      <c r="R220" s="169"/>
      <c r="S220" s="169"/>
      <c r="T220" s="169"/>
      <c r="U220" s="169"/>
      <c r="V220" s="169"/>
      <c r="W220" s="169"/>
      <c r="X220" s="169"/>
      <c r="Y220" s="169"/>
      <c r="Z220" s="169"/>
      <c r="AA220" s="169"/>
      <c r="AB220" s="169"/>
      <c r="AC220" s="169"/>
      <c r="AD220" s="169"/>
      <c r="AE220" s="169"/>
      <c r="AF220" s="169"/>
      <c r="AG220" s="169"/>
      <c r="AH220" s="169"/>
      <c r="AI220" s="169"/>
      <c r="AJ220" s="169"/>
      <c r="AK220" s="169"/>
      <c r="AL220" s="169"/>
      <c r="AM220" s="169"/>
      <c r="AN220" s="169"/>
      <c r="AO220" s="169"/>
      <c r="AP220" s="169"/>
      <c r="AQ220" s="169"/>
      <c r="AR220" s="169"/>
      <c r="AS220" s="169"/>
      <c r="AT220" s="169"/>
      <c r="AU220" s="169"/>
      <c r="AV220" s="169"/>
      <c r="AW220" s="169"/>
      <c r="AX220" s="169"/>
      <c r="AY220" s="169"/>
      <c r="AZ220" s="169"/>
      <c r="BA220" s="169"/>
      <c r="BB220" s="169"/>
      <c r="BC220" s="169"/>
      <c r="BD220" s="169"/>
      <c r="BE220" s="169"/>
      <c r="BF220" s="169"/>
    </row>
    <row r="221" spans="1:58" ht="15" customHeight="1">
      <c r="A221" s="169"/>
      <c r="B221" s="169"/>
      <c r="C221" s="169"/>
      <c r="D221" s="169"/>
      <c r="E221" s="169"/>
      <c r="F221" s="169"/>
      <c r="G221" s="169"/>
      <c r="H221" s="169"/>
      <c r="I221" s="169"/>
      <c r="J221" s="169"/>
      <c r="K221" s="169"/>
      <c r="L221" s="169"/>
      <c r="M221" s="169"/>
      <c r="N221" s="169"/>
      <c r="O221" s="169"/>
      <c r="P221" s="169"/>
      <c r="Q221" s="169"/>
      <c r="R221" s="169"/>
      <c r="S221" s="169"/>
      <c r="T221" s="169"/>
      <c r="U221" s="169"/>
      <c r="V221" s="169"/>
      <c r="W221" s="169"/>
      <c r="X221" s="169"/>
      <c r="Y221" s="169"/>
      <c r="Z221" s="169"/>
      <c r="AA221" s="169"/>
      <c r="AB221" s="169"/>
      <c r="AC221" s="169"/>
      <c r="AD221" s="169"/>
      <c r="AE221" s="169"/>
      <c r="AF221" s="169"/>
      <c r="AG221" s="169"/>
      <c r="AH221" s="169"/>
      <c r="AI221" s="169"/>
      <c r="AJ221" s="169"/>
      <c r="AK221" s="169"/>
      <c r="AL221" s="169"/>
      <c r="AM221" s="169"/>
      <c r="AN221" s="169"/>
      <c r="AO221" s="169"/>
      <c r="AP221" s="169"/>
      <c r="AQ221" s="169"/>
      <c r="AR221" s="169"/>
      <c r="AS221" s="169"/>
      <c r="AT221" s="169"/>
      <c r="AU221" s="169"/>
      <c r="AV221" s="169"/>
      <c r="AW221" s="169"/>
      <c r="AX221" s="169"/>
      <c r="AY221" s="169"/>
      <c r="AZ221" s="169"/>
      <c r="BA221" s="169"/>
      <c r="BB221" s="169"/>
      <c r="BC221" s="169"/>
      <c r="BD221" s="169"/>
      <c r="BE221" s="169"/>
      <c r="BF221" s="169"/>
    </row>
    <row r="222" spans="1:58" ht="15" customHeight="1">
      <c r="A222" s="169"/>
      <c r="B222" s="169"/>
      <c r="C222" s="169"/>
      <c r="D222" s="169"/>
      <c r="E222" s="169"/>
      <c r="F222" s="169"/>
      <c r="G222" s="169"/>
      <c r="H222" s="169"/>
      <c r="I222" s="169"/>
      <c r="J222" s="169"/>
      <c r="K222" s="169"/>
      <c r="L222" s="169"/>
      <c r="M222" s="169"/>
      <c r="N222" s="169"/>
      <c r="O222" s="169"/>
      <c r="P222" s="169"/>
      <c r="Q222" s="169"/>
      <c r="R222" s="169"/>
      <c r="S222" s="169"/>
      <c r="T222" s="169"/>
      <c r="U222" s="169"/>
      <c r="V222" s="169"/>
      <c r="W222" s="169"/>
      <c r="X222" s="169"/>
      <c r="Y222" s="169"/>
      <c r="Z222" s="169"/>
      <c r="AA222" s="169"/>
      <c r="AB222" s="169"/>
      <c r="AC222" s="169"/>
      <c r="AD222" s="169"/>
      <c r="AE222" s="169"/>
      <c r="AF222" s="169"/>
      <c r="AG222" s="169"/>
      <c r="AH222" s="169"/>
      <c r="AI222" s="169"/>
      <c r="AJ222" s="169"/>
      <c r="AK222" s="169"/>
      <c r="AL222" s="169"/>
      <c r="AM222" s="169"/>
      <c r="AN222" s="169"/>
      <c r="AO222" s="169"/>
      <c r="AP222" s="169"/>
      <c r="AQ222" s="169"/>
      <c r="AR222" s="169"/>
      <c r="AS222" s="169"/>
      <c r="AT222" s="169"/>
      <c r="AU222" s="169"/>
      <c r="AV222" s="169"/>
      <c r="AW222" s="169"/>
      <c r="AX222" s="169"/>
      <c r="AY222" s="169"/>
      <c r="AZ222" s="169"/>
      <c r="BA222" s="169"/>
      <c r="BB222" s="169"/>
      <c r="BC222" s="169"/>
      <c r="BD222" s="169"/>
      <c r="BE222" s="169"/>
      <c r="BF222" s="169"/>
    </row>
    <row r="223" spans="1:58" ht="15" customHeight="1">
      <c r="A223" s="169"/>
      <c r="B223" s="169"/>
      <c r="C223" s="169"/>
      <c r="D223" s="169"/>
      <c r="E223" s="169"/>
      <c r="F223" s="169"/>
      <c r="G223" s="169"/>
      <c r="H223" s="169"/>
      <c r="I223" s="169"/>
      <c r="J223" s="169"/>
      <c r="K223" s="169"/>
      <c r="L223" s="169"/>
      <c r="M223" s="169"/>
      <c r="N223" s="169"/>
      <c r="O223" s="169"/>
      <c r="P223" s="169"/>
      <c r="Q223" s="169"/>
      <c r="R223" s="169"/>
      <c r="S223" s="169"/>
      <c r="T223" s="169"/>
      <c r="U223" s="169"/>
      <c r="V223" s="169"/>
      <c r="W223" s="169"/>
      <c r="X223" s="169"/>
      <c r="Y223" s="169"/>
      <c r="Z223" s="169"/>
      <c r="AA223" s="169"/>
      <c r="AB223" s="169"/>
      <c r="AC223" s="169"/>
      <c r="AD223" s="169"/>
      <c r="AE223" s="169"/>
      <c r="AF223" s="169"/>
      <c r="AG223" s="169"/>
      <c r="AH223" s="169"/>
      <c r="AI223" s="169"/>
      <c r="AJ223" s="169"/>
      <c r="AK223" s="169"/>
      <c r="AL223" s="169"/>
      <c r="AM223" s="169"/>
      <c r="AN223" s="169"/>
      <c r="AO223" s="169"/>
      <c r="AP223" s="169"/>
      <c r="AQ223" s="169"/>
      <c r="AR223" s="169"/>
      <c r="AS223" s="169"/>
      <c r="AT223" s="169"/>
      <c r="AU223" s="169"/>
      <c r="AV223" s="169"/>
      <c r="AW223" s="169"/>
      <c r="AX223" s="169"/>
      <c r="AY223" s="169"/>
      <c r="AZ223" s="169"/>
      <c r="BA223" s="169"/>
      <c r="BB223" s="169"/>
      <c r="BC223" s="169"/>
      <c r="BD223" s="169"/>
      <c r="BE223" s="169"/>
      <c r="BF223" s="169"/>
    </row>
    <row r="224" spans="1:58" ht="15" customHeight="1">
      <c r="A224" s="169"/>
      <c r="B224" s="169"/>
      <c r="C224" s="169"/>
      <c r="D224" s="169"/>
      <c r="E224" s="169"/>
      <c r="F224" s="169"/>
      <c r="G224" s="169"/>
      <c r="H224" s="169"/>
      <c r="I224" s="169"/>
      <c r="J224" s="169"/>
      <c r="K224" s="169"/>
      <c r="L224" s="169"/>
      <c r="M224" s="169"/>
      <c r="N224" s="169"/>
      <c r="O224" s="169"/>
      <c r="P224" s="169"/>
      <c r="Q224" s="169"/>
      <c r="R224" s="169"/>
      <c r="S224" s="169"/>
      <c r="T224" s="169"/>
      <c r="U224" s="169"/>
      <c r="V224" s="169"/>
      <c r="W224" s="169"/>
      <c r="X224" s="169"/>
      <c r="Y224" s="169"/>
      <c r="Z224" s="169"/>
      <c r="AA224" s="169"/>
      <c r="AB224" s="169"/>
      <c r="AC224" s="169"/>
      <c r="AD224" s="169"/>
      <c r="AE224" s="169"/>
      <c r="AF224" s="169"/>
      <c r="AG224" s="169"/>
      <c r="AH224" s="169"/>
      <c r="AI224" s="169"/>
      <c r="AJ224" s="169"/>
      <c r="AK224" s="169"/>
      <c r="AL224" s="169"/>
      <c r="AM224" s="169"/>
      <c r="AN224" s="169"/>
      <c r="AO224" s="169"/>
      <c r="AP224" s="169"/>
      <c r="AQ224" s="169"/>
      <c r="AR224" s="169"/>
      <c r="AS224" s="169"/>
      <c r="AT224" s="169"/>
      <c r="AU224" s="169"/>
      <c r="AV224" s="169"/>
      <c r="AW224" s="169"/>
      <c r="AX224" s="169"/>
      <c r="AY224" s="169"/>
      <c r="AZ224" s="169"/>
      <c r="BA224" s="169"/>
      <c r="BB224" s="169"/>
      <c r="BC224" s="169"/>
      <c r="BD224" s="169"/>
      <c r="BE224" s="169"/>
      <c r="BF224" s="169"/>
    </row>
    <row r="225" spans="1:58" ht="15" customHeight="1">
      <c r="A225" s="169"/>
      <c r="B225" s="169"/>
      <c r="C225" s="169"/>
      <c r="D225" s="169"/>
      <c r="E225" s="169"/>
      <c r="F225" s="169"/>
      <c r="G225" s="169"/>
      <c r="H225" s="169"/>
      <c r="I225" s="169"/>
      <c r="J225" s="169"/>
      <c r="K225" s="169"/>
      <c r="L225" s="169"/>
      <c r="M225" s="169"/>
      <c r="N225" s="169"/>
      <c r="O225" s="169"/>
      <c r="P225" s="169"/>
      <c r="Q225" s="169"/>
      <c r="R225" s="169"/>
      <c r="S225" s="169"/>
      <c r="T225" s="169"/>
      <c r="U225" s="169"/>
      <c r="V225" s="169"/>
      <c r="W225" s="169"/>
      <c r="X225" s="169"/>
      <c r="Y225" s="169"/>
      <c r="Z225" s="169"/>
      <c r="AA225" s="169"/>
      <c r="AB225" s="169"/>
      <c r="AC225" s="169"/>
      <c r="AD225" s="169"/>
      <c r="AE225" s="169"/>
      <c r="AF225" s="169"/>
      <c r="AG225" s="169"/>
      <c r="AH225" s="169"/>
      <c r="AI225" s="169"/>
      <c r="AJ225" s="169"/>
      <c r="AK225" s="169"/>
      <c r="AL225" s="169"/>
      <c r="AM225" s="169"/>
      <c r="AN225" s="169"/>
      <c r="AO225" s="169"/>
      <c r="AP225" s="169"/>
      <c r="AQ225" s="169"/>
      <c r="AR225" s="169"/>
      <c r="AS225" s="169"/>
      <c r="AT225" s="169"/>
      <c r="AU225" s="169"/>
      <c r="AV225" s="169"/>
      <c r="AW225" s="169"/>
      <c r="AX225" s="169"/>
      <c r="AY225" s="169"/>
      <c r="AZ225" s="169"/>
      <c r="BA225" s="169"/>
      <c r="BB225" s="169"/>
      <c r="BC225" s="169"/>
      <c r="BD225" s="169"/>
      <c r="BE225" s="169"/>
      <c r="BF225" s="169"/>
    </row>
    <row r="226" spans="1:58" ht="15" customHeight="1">
      <c r="A226" s="169"/>
      <c r="B226" s="169"/>
      <c r="C226" s="169"/>
      <c r="D226" s="169"/>
      <c r="E226" s="169"/>
      <c r="F226" s="169"/>
      <c r="G226" s="169"/>
      <c r="H226" s="169"/>
      <c r="I226" s="169"/>
      <c r="J226" s="169"/>
      <c r="K226" s="169"/>
      <c r="L226" s="169"/>
      <c r="M226" s="169"/>
      <c r="N226" s="169"/>
      <c r="O226" s="169"/>
      <c r="P226" s="169"/>
      <c r="Q226" s="169"/>
      <c r="R226" s="169"/>
      <c r="S226" s="169"/>
      <c r="T226" s="169"/>
      <c r="U226" s="169"/>
      <c r="V226" s="169"/>
      <c r="W226" s="169"/>
      <c r="X226" s="169"/>
      <c r="Y226" s="169"/>
      <c r="Z226" s="169"/>
      <c r="AA226" s="169"/>
      <c r="AB226" s="169"/>
      <c r="AC226" s="169"/>
      <c r="AD226" s="169"/>
      <c r="AE226" s="169"/>
      <c r="AF226" s="169"/>
      <c r="AG226" s="169"/>
      <c r="AH226" s="169"/>
      <c r="AI226" s="169"/>
      <c r="AJ226" s="169"/>
      <c r="AK226" s="169"/>
      <c r="AL226" s="169"/>
      <c r="AM226" s="169"/>
      <c r="AN226" s="169"/>
      <c r="AO226" s="169"/>
      <c r="AP226" s="169"/>
      <c r="AQ226" s="169"/>
      <c r="AR226" s="169"/>
      <c r="AS226" s="169"/>
      <c r="AT226" s="169"/>
      <c r="AU226" s="169"/>
      <c r="AV226" s="169"/>
      <c r="AW226" s="169"/>
      <c r="AX226" s="169"/>
      <c r="AY226" s="169"/>
      <c r="AZ226" s="169"/>
      <c r="BA226" s="169"/>
      <c r="BB226" s="169"/>
      <c r="BC226" s="169"/>
      <c r="BD226" s="169"/>
      <c r="BE226" s="169"/>
      <c r="BF226" s="169"/>
    </row>
    <row r="227" spans="1:58" ht="15" customHeight="1">
      <c r="A227" s="169"/>
      <c r="B227" s="169"/>
      <c r="C227" s="169"/>
      <c r="D227" s="169"/>
      <c r="E227" s="169"/>
      <c r="F227" s="169"/>
      <c r="G227" s="169"/>
      <c r="H227" s="169"/>
      <c r="I227" s="169"/>
      <c r="J227" s="169"/>
      <c r="K227" s="169"/>
      <c r="L227" s="169"/>
      <c r="M227" s="169"/>
      <c r="N227" s="169"/>
      <c r="O227" s="169"/>
      <c r="P227" s="169"/>
      <c r="Q227" s="169"/>
      <c r="R227" s="169"/>
      <c r="S227" s="169"/>
      <c r="T227" s="169"/>
      <c r="U227" s="169"/>
      <c r="V227" s="169"/>
      <c r="W227" s="169"/>
      <c r="X227" s="169"/>
      <c r="Y227" s="169"/>
      <c r="Z227" s="169"/>
      <c r="AA227" s="169"/>
      <c r="AB227" s="169"/>
      <c r="AC227" s="169"/>
      <c r="AD227" s="169"/>
      <c r="AE227" s="169"/>
      <c r="AF227" s="169"/>
      <c r="AG227" s="169"/>
      <c r="AH227" s="169"/>
      <c r="AI227" s="169"/>
      <c r="AJ227" s="169"/>
      <c r="AK227" s="169"/>
      <c r="AL227" s="169"/>
      <c r="AM227" s="169"/>
      <c r="AN227" s="169"/>
      <c r="AO227" s="169"/>
      <c r="AP227" s="169"/>
      <c r="AQ227" s="169"/>
      <c r="AR227" s="169"/>
      <c r="AS227" s="169"/>
      <c r="AT227" s="169"/>
      <c r="AU227" s="169"/>
      <c r="AV227" s="169"/>
      <c r="AW227" s="169"/>
      <c r="AX227" s="169"/>
      <c r="AY227" s="169"/>
      <c r="AZ227" s="169"/>
      <c r="BA227" s="169"/>
      <c r="BB227" s="169"/>
      <c r="BC227" s="169"/>
      <c r="BD227" s="169"/>
      <c r="BE227" s="169"/>
      <c r="BF227" s="169"/>
    </row>
    <row r="228" spans="1:58" ht="15" customHeight="1">
      <c r="A228" s="169"/>
      <c r="B228" s="169"/>
      <c r="C228" s="169"/>
      <c r="D228" s="169"/>
      <c r="E228" s="169"/>
      <c r="F228" s="169"/>
      <c r="G228" s="169"/>
      <c r="H228" s="169"/>
      <c r="I228" s="169"/>
      <c r="J228" s="169"/>
      <c r="K228" s="169"/>
      <c r="L228" s="169"/>
      <c r="M228" s="169"/>
      <c r="N228" s="169"/>
      <c r="O228" s="169"/>
      <c r="P228" s="169"/>
      <c r="Q228" s="169"/>
      <c r="R228" s="169"/>
      <c r="S228" s="169"/>
      <c r="T228" s="169"/>
      <c r="U228" s="169"/>
      <c r="V228" s="169"/>
      <c r="W228" s="169"/>
      <c r="X228" s="169"/>
      <c r="Y228" s="169"/>
      <c r="Z228" s="169"/>
      <c r="AA228" s="169"/>
      <c r="AB228" s="169"/>
      <c r="AC228" s="169"/>
      <c r="AD228" s="169"/>
      <c r="AE228" s="169"/>
      <c r="AF228" s="169"/>
      <c r="AG228" s="169"/>
      <c r="AH228" s="169"/>
      <c r="AI228" s="169"/>
      <c r="AJ228" s="169"/>
      <c r="AK228" s="169"/>
      <c r="AL228" s="169"/>
      <c r="AM228" s="169"/>
      <c r="AN228" s="169"/>
      <c r="AO228" s="169"/>
      <c r="AP228" s="169"/>
      <c r="AQ228" s="169"/>
      <c r="AR228" s="169"/>
      <c r="AS228" s="169"/>
      <c r="AT228" s="169"/>
      <c r="AU228" s="169"/>
      <c r="AV228" s="169"/>
      <c r="AW228" s="169"/>
      <c r="AX228" s="169"/>
      <c r="AY228" s="169"/>
      <c r="AZ228" s="169"/>
      <c r="BA228" s="169"/>
      <c r="BB228" s="169"/>
      <c r="BC228" s="169"/>
      <c r="BD228" s="169"/>
      <c r="BE228" s="169"/>
      <c r="BF228" s="169"/>
    </row>
    <row r="229" spans="1:58" ht="15" customHeight="1">
      <c r="A229" s="169"/>
      <c r="B229" s="169"/>
      <c r="C229" s="169"/>
      <c r="D229" s="169"/>
      <c r="E229" s="169"/>
      <c r="F229" s="169"/>
      <c r="G229" s="169"/>
      <c r="H229" s="169"/>
      <c r="I229" s="169"/>
      <c r="J229" s="169"/>
      <c r="K229" s="169"/>
      <c r="L229" s="169"/>
      <c r="M229" s="169"/>
      <c r="N229" s="169"/>
      <c r="O229" s="169"/>
      <c r="P229" s="169"/>
      <c r="Q229" s="169"/>
      <c r="R229" s="169"/>
      <c r="S229" s="169"/>
      <c r="T229" s="169"/>
      <c r="U229" s="169"/>
      <c r="V229" s="169"/>
      <c r="W229" s="169"/>
      <c r="X229" s="169"/>
      <c r="Y229" s="169"/>
      <c r="Z229" s="169"/>
      <c r="AA229" s="169"/>
      <c r="AB229" s="169"/>
      <c r="AC229" s="169"/>
      <c r="AD229" s="169"/>
      <c r="AE229" s="169"/>
      <c r="AF229" s="169"/>
      <c r="AG229" s="169"/>
      <c r="AH229" s="169"/>
      <c r="AI229" s="169"/>
      <c r="AJ229" s="169"/>
      <c r="AK229" s="169"/>
      <c r="AL229" s="169"/>
      <c r="AM229" s="169"/>
      <c r="AN229" s="169"/>
      <c r="AO229" s="169"/>
      <c r="AP229" s="169"/>
      <c r="AQ229" s="169"/>
      <c r="AR229" s="169"/>
      <c r="AS229" s="169"/>
      <c r="AT229" s="169"/>
      <c r="AU229" s="169"/>
      <c r="AV229" s="169"/>
      <c r="AW229" s="169"/>
      <c r="AX229" s="169"/>
      <c r="AY229" s="169"/>
      <c r="AZ229" s="169"/>
      <c r="BA229" s="169"/>
      <c r="BB229" s="169"/>
      <c r="BC229" s="169"/>
      <c r="BD229" s="169"/>
      <c r="BE229" s="169"/>
      <c r="BF229" s="169"/>
    </row>
    <row r="230" spans="1:58" ht="15" customHeight="1">
      <c r="A230" s="169"/>
      <c r="B230" s="169"/>
      <c r="C230" s="169"/>
      <c r="D230" s="169"/>
      <c r="E230" s="169"/>
      <c r="F230" s="169"/>
      <c r="G230" s="169"/>
      <c r="H230" s="169"/>
      <c r="I230" s="169"/>
      <c r="J230" s="169"/>
      <c r="K230" s="169"/>
      <c r="L230" s="169"/>
      <c r="M230" s="169"/>
      <c r="N230" s="169"/>
      <c r="O230" s="169"/>
      <c r="P230" s="169"/>
      <c r="Q230" s="169"/>
      <c r="R230" s="169"/>
      <c r="S230" s="169"/>
      <c r="T230" s="169"/>
      <c r="U230" s="169"/>
      <c r="V230" s="169"/>
      <c r="W230" s="169"/>
      <c r="X230" s="169"/>
      <c r="Y230" s="169"/>
      <c r="Z230" s="169"/>
      <c r="AA230" s="169"/>
      <c r="AB230" s="169"/>
      <c r="AC230" s="169"/>
      <c r="AD230" s="169"/>
      <c r="AE230" s="169"/>
      <c r="AF230" s="169"/>
      <c r="AG230" s="169"/>
      <c r="AH230" s="169"/>
      <c r="AI230" s="169"/>
      <c r="AJ230" s="169"/>
      <c r="AK230" s="169"/>
      <c r="AL230" s="169"/>
      <c r="AM230" s="169"/>
      <c r="AN230" s="169"/>
      <c r="AO230" s="169"/>
      <c r="AP230" s="169"/>
      <c r="AQ230" s="169"/>
      <c r="AR230" s="169"/>
      <c r="AS230" s="169"/>
      <c r="AT230" s="169"/>
      <c r="AU230" s="169"/>
      <c r="AV230" s="169"/>
      <c r="AW230" s="169"/>
      <c r="AX230" s="169"/>
      <c r="AY230" s="169"/>
      <c r="AZ230" s="169"/>
      <c r="BA230" s="169"/>
      <c r="BB230" s="169"/>
      <c r="BC230" s="169"/>
      <c r="BD230" s="169"/>
      <c r="BE230" s="169"/>
      <c r="BF230" s="169"/>
    </row>
    <row r="231" spans="1:58" ht="15" customHeight="1">
      <c r="A231" s="169"/>
      <c r="B231" s="169"/>
      <c r="C231" s="169"/>
      <c r="D231" s="169"/>
      <c r="E231" s="169"/>
      <c r="F231" s="169"/>
      <c r="G231" s="169"/>
      <c r="H231" s="169"/>
      <c r="I231" s="169"/>
      <c r="J231" s="169"/>
      <c r="K231" s="169"/>
      <c r="L231" s="169"/>
      <c r="M231" s="169"/>
      <c r="N231" s="169"/>
      <c r="O231" s="169"/>
      <c r="P231" s="169"/>
      <c r="Q231" s="169"/>
      <c r="R231" s="169"/>
      <c r="S231" s="169"/>
      <c r="T231" s="169"/>
      <c r="U231" s="169"/>
      <c r="V231" s="169"/>
      <c r="W231" s="169"/>
      <c r="X231" s="169"/>
      <c r="Y231" s="169"/>
      <c r="Z231" s="169"/>
      <c r="AA231" s="169"/>
      <c r="AB231" s="169"/>
      <c r="AC231" s="169"/>
      <c r="AD231" s="169"/>
      <c r="AE231" s="169"/>
      <c r="AF231" s="169"/>
      <c r="AG231" s="169"/>
      <c r="AH231" s="169"/>
      <c r="AI231" s="169"/>
      <c r="AJ231" s="169"/>
      <c r="AK231" s="169"/>
      <c r="AL231" s="169"/>
      <c r="AM231" s="169"/>
      <c r="AN231" s="169"/>
      <c r="AO231" s="169"/>
      <c r="AP231" s="169"/>
      <c r="AQ231" s="169"/>
      <c r="AR231" s="169"/>
      <c r="AS231" s="169"/>
      <c r="AT231" s="169"/>
      <c r="AU231" s="169"/>
      <c r="AV231" s="169"/>
      <c r="AW231" s="169"/>
      <c r="AX231" s="169"/>
      <c r="AY231" s="169"/>
      <c r="AZ231" s="169"/>
      <c r="BA231" s="169"/>
      <c r="BB231" s="169"/>
      <c r="BC231" s="169"/>
      <c r="BD231" s="169"/>
      <c r="BE231" s="169"/>
      <c r="BF231" s="169"/>
    </row>
    <row r="232" spans="1:58" ht="15" customHeight="1">
      <c r="A232" s="169"/>
      <c r="B232" s="169"/>
      <c r="C232" s="169"/>
      <c r="D232" s="169"/>
      <c r="E232" s="169"/>
      <c r="F232" s="169"/>
      <c r="G232" s="169"/>
      <c r="H232" s="169"/>
      <c r="I232" s="169"/>
      <c r="J232" s="169"/>
      <c r="K232" s="169"/>
      <c r="L232" s="169"/>
      <c r="M232" s="169"/>
      <c r="N232" s="169"/>
      <c r="O232" s="169"/>
      <c r="P232" s="169"/>
      <c r="Q232" s="169"/>
      <c r="R232" s="169"/>
      <c r="S232" s="169"/>
      <c r="T232" s="169"/>
      <c r="U232" s="169"/>
      <c r="V232" s="169"/>
      <c r="W232" s="169"/>
      <c r="X232" s="169"/>
      <c r="Y232" s="169"/>
      <c r="Z232" s="169"/>
      <c r="AA232" s="169"/>
      <c r="AB232" s="169"/>
      <c r="AC232" s="169"/>
      <c r="AD232" s="169"/>
      <c r="AE232" s="169"/>
      <c r="AF232" s="169"/>
      <c r="AG232" s="169"/>
      <c r="AH232" s="169"/>
      <c r="AI232" s="169"/>
      <c r="AJ232" s="169"/>
      <c r="AK232" s="169"/>
      <c r="AL232" s="169"/>
      <c r="AM232" s="169"/>
      <c r="AN232" s="169"/>
      <c r="AO232" s="169"/>
      <c r="AP232" s="169"/>
      <c r="AQ232" s="169"/>
      <c r="AR232" s="169"/>
      <c r="AS232" s="169"/>
      <c r="AT232" s="169"/>
      <c r="AU232" s="169"/>
      <c r="AV232" s="169"/>
      <c r="AW232" s="169"/>
      <c r="AX232" s="169"/>
      <c r="AY232" s="169"/>
      <c r="AZ232" s="169"/>
      <c r="BA232" s="169"/>
      <c r="BB232" s="169"/>
      <c r="BC232" s="169"/>
      <c r="BD232" s="169"/>
      <c r="BE232" s="169"/>
      <c r="BF232" s="169"/>
    </row>
    <row r="233" spans="1:58" ht="15" customHeight="1">
      <c r="A233" s="169"/>
      <c r="B233" s="169"/>
      <c r="C233" s="169"/>
      <c r="D233" s="169"/>
      <c r="E233" s="169"/>
      <c r="F233" s="169"/>
      <c r="G233" s="169"/>
      <c r="H233" s="169"/>
      <c r="I233" s="169"/>
      <c r="J233" s="169"/>
      <c r="K233" s="169"/>
      <c r="L233" s="169"/>
      <c r="M233" s="169"/>
      <c r="N233" s="169"/>
      <c r="O233" s="169"/>
      <c r="P233" s="169"/>
      <c r="Q233" s="169"/>
      <c r="R233" s="169"/>
      <c r="S233" s="169"/>
      <c r="T233" s="169"/>
      <c r="U233" s="169"/>
      <c r="V233" s="169"/>
      <c r="W233" s="169"/>
      <c r="X233" s="169"/>
      <c r="Y233" s="169"/>
      <c r="Z233" s="169"/>
      <c r="AA233" s="169"/>
      <c r="AB233" s="169"/>
      <c r="AC233" s="169"/>
      <c r="AD233" s="169"/>
      <c r="AE233" s="169"/>
      <c r="AF233" s="169"/>
      <c r="AG233" s="169"/>
      <c r="AH233" s="169"/>
      <c r="AI233" s="169"/>
      <c r="AJ233" s="169"/>
      <c r="AK233" s="169"/>
      <c r="AL233" s="169"/>
      <c r="AM233" s="169"/>
      <c r="AN233" s="169"/>
      <c r="AO233" s="169"/>
      <c r="AP233" s="169"/>
      <c r="AQ233" s="169"/>
      <c r="AR233" s="169"/>
      <c r="AS233" s="169"/>
      <c r="AT233" s="169"/>
      <c r="AU233" s="169"/>
      <c r="AV233" s="169"/>
      <c r="AW233" s="169"/>
      <c r="AX233" s="169"/>
      <c r="AY233" s="169"/>
      <c r="AZ233" s="169"/>
      <c r="BA233" s="169"/>
      <c r="BB233" s="169"/>
      <c r="BC233" s="169"/>
      <c r="BD233" s="169"/>
      <c r="BE233" s="169"/>
      <c r="BF233" s="169"/>
    </row>
    <row r="234" spans="1:58" ht="15" customHeight="1">
      <c r="A234" s="169"/>
      <c r="B234" s="169"/>
      <c r="C234" s="169"/>
      <c r="D234" s="169"/>
      <c r="E234" s="169"/>
      <c r="F234" s="169"/>
      <c r="G234" s="169"/>
      <c r="H234" s="169"/>
      <c r="I234" s="169"/>
      <c r="J234" s="169"/>
      <c r="K234" s="169"/>
      <c r="L234" s="169"/>
      <c r="M234" s="169"/>
      <c r="N234" s="169"/>
      <c r="O234" s="169"/>
      <c r="P234" s="169"/>
      <c r="Q234" s="169"/>
      <c r="R234" s="169"/>
      <c r="S234" s="169"/>
      <c r="T234" s="169"/>
      <c r="U234" s="169"/>
      <c r="V234" s="169"/>
      <c r="W234" s="169"/>
      <c r="X234" s="169"/>
      <c r="Y234" s="169"/>
      <c r="Z234" s="169"/>
      <c r="AA234" s="169"/>
      <c r="AB234" s="169"/>
      <c r="AC234" s="169"/>
      <c r="AD234" s="169"/>
      <c r="AE234" s="169"/>
      <c r="AF234" s="169"/>
      <c r="AG234" s="169"/>
      <c r="AH234" s="169"/>
      <c r="AI234" s="169"/>
      <c r="AJ234" s="169"/>
      <c r="AK234" s="169"/>
      <c r="AL234" s="169"/>
      <c r="AM234" s="169"/>
      <c r="AN234" s="169"/>
      <c r="AO234" s="169"/>
      <c r="AP234" s="169"/>
      <c r="AQ234" s="169"/>
      <c r="AR234" s="169"/>
      <c r="AS234" s="169"/>
      <c r="AT234" s="169"/>
      <c r="AU234" s="169"/>
      <c r="AV234" s="169"/>
      <c r="AW234" s="169"/>
      <c r="AX234" s="169"/>
      <c r="AY234" s="169"/>
      <c r="AZ234" s="169"/>
      <c r="BA234" s="169"/>
      <c r="BB234" s="169"/>
      <c r="BC234" s="169"/>
      <c r="BD234" s="169"/>
      <c r="BE234" s="169"/>
      <c r="BF234" s="169"/>
    </row>
    <row r="235" spans="1:58" ht="15" customHeight="1">
      <c r="A235" s="169"/>
      <c r="B235" s="169"/>
      <c r="C235" s="169"/>
      <c r="D235" s="169"/>
      <c r="E235" s="169"/>
      <c r="F235" s="169"/>
      <c r="G235" s="169"/>
      <c r="H235" s="169"/>
      <c r="I235" s="169"/>
      <c r="J235" s="169"/>
      <c r="K235" s="169"/>
      <c r="L235" s="169"/>
      <c r="M235" s="169"/>
      <c r="N235" s="169"/>
      <c r="O235" s="169"/>
      <c r="P235" s="169"/>
      <c r="Q235" s="169"/>
      <c r="R235" s="169"/>
      <c r="S235" s="169"/>
      <c r="T235" s="169"/>
      <c r="U235" s="169"/>
      <c r="V235" s="169"/>
      <c r="W235" s="169"/>
      <c r="X235" s="169"/>
      <c r="Y235" s="169"/>
      <c r="Z235" s="169"/>
      <c r="AA235" s="169"/>
      <c r="AB235" s="169"/>
      <c r="AC235" s="169"/>
      <c r="AD235" s="169"/>
      <c r="AE235" s="169"/>
      <c r="AF235" s="169"/>
      <c r="AG235" s="169"/>
      <c r="AH235" s="169"/>
      <c r="AI235" s="169"/>
      <c r="AJ235" s="169"/>
      <c r="AK235" s="169"/>
      <c r="AL235" s="169"/>
      <c r="AM235" s="169"/>
      <c r="AN235" s="169"/>
      <c r="AO235" s="169"/>
      <c r="AP235" s="169"/>
      <c r="AQ235" s="169"/>
      <c r="AR235" s="169"/>
      <c r="AS235" s="169"/>
      <c r="AT235" s="169"/>
      <c r="AU235" s="169"/>
      <c r="AV235" s="169"/>
      <c r="AW235" s="169"/>
      <c r="AX235" s="169"/>
      <c r="AY235" s="169"/>
      <c r="AZ235" s="169"/>
      <c r="BA235" s="169"/>
      <c r="BB235" s="169"/>
      <c r="BC235" s="169"/>
      <c r="BD235" s="169"/>
      <c r="BE235" s="169"/>
      <c r="BF235" s="169"/>
    </row>
    <row r="236" spans="1:58" ht="15" customHeight="1">
      <c r="A236" s="169"/>
      <c r="B236" s="169"/>
      <c r="C236" s="169"/>
      <c r="D236" s="169"/>
      <c r="E236" s="169"/>
      <c r="F236" s="169"/>
      <c r="G236" s="169"/>
      <c r="H236" s="169"/>
      <c r="I236" s="169"/>
      <c r="J236" s="169"/>
      <c r="K236" s="169"/>
      <c r="L236" s="169"/>
      <c r="M236" s="169"/>
      <c r="N236" s="169"/>
      <c r="O236" s="169"/>
      <c r="P236" s="169"/>
      <c r="Q236" s="169"/>
      <c r="R236" s="169"/>
      <c r="S236" s="169"/>
      <c r="T236" s="169"/>
      <c r="U236" s="169"/>
      <c r="V236" s="169"/>
      <c r="W236" s="169"/>
      <c r="X236" s="169"/>
      <c r="Y236" s="169"/>
      <c r="Z236" s="169"/>
      <c r="AA236" s="169"/>
      <c r="AB236" s="169"/>
      <c r="AC236" s="169"/>
      <c r="AD236" s="169"/>
      <c r="AE236" s="169"/>
      <c r="AF236" s="169"/>
      <c r="AG236" s="169"/>
      <c r="AH236" s="169"/>
      <c r="AI236" s="169"/>
      <c r="AJ236" s="169"/>
      <c r="AK236" s="169"/>
      <c r="AL236" s="169"/>
      <c r="AM236" s="169"/>
      <c r="AN236" s="169"/>
      <c r="AO236" s="169"/>
      <c r="AP236" s="169"/>
      <c r="AQ236" s="169"/>
      <c r="AR236" s="169"/>
      <c r="AS236" s="169"/>
      <c r="AT236" s="169"/>
      <c r="AU236" s="169"/>
      <c r="AV236" s="169"/>
      <c r="AW236" s="169"/>
      <c r="AX236" s="169"/>
      <c r="AY236" s="169"/>
      <c r="AZ236" s="169"/>
      <c r="BA236" s="169"/>
      <c r="BB236" s="169"/>
      <c r="BC236" s="169"/>
      <c r="BD236" s="169"/>
      <c r="BE236" s="169"/>
      <c r="BF236" s="169"/>
    </row>
    <row r="237" spans="1:58" ht="15" customHeight="1">
      <c r="A237" s="169"/>
      <c r="B237" s="169"/>
      <c r="C237" s="169"/>
      <c r="D237" s="169"/>
      <c r="E237" s="169"/>
      <c r="F237" s="169"/>
      <c r="G237" s="169"/>
      <c r="H237" s="169"/>
      <c r="I237" s="169"/>
      <c r="J237" s="169"/>
      <c r="K237" s="169"/>
      <c r="L237" s="169"/>
      <c r="M237" s="169"/>
      <c r="N237" s="169"/>
      <c r="O237" s="169"/>
      <c r="P237" s="169"/>
      <c r="Q237" s="169"/>
      <c r="R237" s="169"/>
      <c r="S237" s="169"/>
      <c r="T237" s="169"/>
      <c r="U237" s="169"/>
      <c r="V237" s="169"/>
      <c r="W237" s="169"/>
      <c r="X237" s="169"/>
      <c r="Y237" s="169"/>
      <c r="Z237" s="169"/>
      <c r="AA237" s="169"/>
      <c r="AB237" s="169"/>
      <c r="AC237" s="169"/>
      <c r="AD237" s="169"/>
      <c r="AE237" s="169"/>
      <c r="AF237" s="169"/>
      <c r="AG237" s="169"/>
      <c r="AH237" s="169"/>
      <c r="AI237" s="169"/>
      <c r="AJ237" s="169"/>
      <c r="AK237" s="169"/>
      <c r="AL237" s="169"/>
      <c r="AM237" s="169"/>
      <c r="AN237" s="169"/>
      <c r="AO237" s="169"/>
      <c r="AP237" s="169"/>
      <c r="AQ237" s="169"/>
      <c r="AR237" s="169"/>
      <c r="AS237" s="169"/>
      <c r="AT237" s="169"/>
      <c r="AU237" s="169"/>
      <c r="AV237" s="169"/>
      <c r="AW237" s="169"/>
      <c r="AX237" s="169"/>
      <c r="AY237" s="169"/>
      <c r="AZ237" s="169"/>
      <c r="BA237" s="169"/>
      <c r="BB237" s="169"/>
      <c r="BC237" s="169"/>
      <c r="BD237" s="169"/>
      <c r="BE237" s="169"/>
      <c r="BF237" s="169"/>
    </row>
    <row r="238" spans="1:58" ht="15" customHeight="1">
      <c r="A238" s="169"/>
      <c r="B238" s="169"/>
      <c r="C238" s="169"/>
      <c r="D238" s="169"/>
      <c r="E238" s="169"/>
      <c r="F238" s="169"/>
      <c r="G238" s="169"/>
      <c r="H238" s="169"/>
      <c r="I238" s="169"/>
      <c r="J238" s="169"/>
      <c r="K238" s="169"/>
      <c r="L238" s="169"/>
      <c r="M238" s="169"/>
      <c r="N238" s="169"/>
      <c r="O238" s="169"/>
      <c r="P238" s="169"/>
      <c r="Q238" s="169"/>
      <c r="R238" s="169"/>
      <c r="S238" s="169"/>
      <c r="T238" s="169"/>
      <c r="U238" s="169"/>
      <c r="V238" s="169"/>
      <c r="W238" s="169"/>
      <c r="X238" s="169"/>
      <c r="Y238" s="169"/>
      <c r="Z238" s="169"/>
      <c r="AA238" s="169"/>
      <c r="AB238" s="169"/>
      <c r="AC238" s="169"/>
      <c r="AD238" s="169"/>
      <c r="AE238" s="169"/>
      <c r="AF238" s="169"/>
      <c r="AG238" s="169"/>
      <c r="AH238" s="169"/>
      <c r="AI238" s="169"/>
      <c r="AJ238" s="169"/>
      <c r="AK238" s="169"/>
      <c r="AL238" s="169"/>
      <c r="AM238" s="169"/>
      <c r="AN238" s="169"/>
      <c r="AO238" s="169"/>
      <c r="AP238" s="169"/>
      <c r="AQ238" s="169"/>
      <c r="AR238" s="169"/>
      <c r="AS238" s="169"/>
      <c r="AT238" s="169"/>
      <c r="AU238" s="169"/>
      <c r="AV238" s="169"/>
      <c r="AW238" s="169"/>
      <c r="AX238" s="169"/>
      <c r="AY238" s="169"/>
      <c r="AZ238" s="169"/>
      <c r="BA238" s="169"/>
      <c r="BB238" s="169"/>
      <c r="BC238" s="169"/>
      <c r="BD238" s="169"/>
      <c r="BE238" s="169"/>
      <c r="BF238" s="169"/>
    </row>
    <row r="239" spans="1:58" ht="15" customHeight="1">
      <c r="A239" s="169"/>
      <c r="B239" s="169"/>
      <c r="C239" s="169"/>
      <c r="D239" s="169"/>
      <c r="E239" s="169"/>
      <c r="F239" s="169"/>
      <c r="G239" s="169"/>
      <c r="H239" s="169"/>
      <c r="I239" s="169"/>
      <c r="J239" s="169"/>
      <c r="K239" s="169"/>
      <c r="L239" s="169"/>
      <c r="M239" s="169"/>
      <c r="N239" s="169"/>
      <c r="O239" s="169"/>
      <c r="P239" s="169"/>
      <c r="Q239" s="169"/>
      <c r="R239" s="169"/>
      <c r="S239" s="169"/>
      <c r="T239" s="169"/>
      <c r="U239" s="169"/>
      <c r="V239" s="169"/>
      <c r="W239" s="169"/>
      <c r="X239" s="169"/>
      <c r="Y239" s="169"/>
      <c r="Z239" s="169"/>
      <c r="AA239" s="169"/>
      <c r="AB239" s="169"/>
      <c r="AC239" s="169"/>
      <c r="AD239" s="169"/>
      <c r="AE239" s="169"/>
      <c r="AF239" s="169"/>
      <c r="AG239" s="169"/>
      <c r="AH239" s="169"/>
      <c r="AI239" s="169"/>
      <c r="AJ239" s="169"/>
      <c r="AK239" s="169"/>
      <c r="AL239" s="169"/>
      <c r="AM239" s="169"/>
      <c r="AN239" s="169"/>
      <c r="AO239" s="169"/>
      <c r="AP239" s="169"/>
      <c r="AQ239" s="169"/>
      <c r="AR239" s="169"/>
      <c r="AS239" s="169"/>
      <c r="AT239" s="169"/>
      <c r="AU239" s="169"/>
      <c r="AV239" s="169"/>
      <c r="AW239" s="169"/>
      <c r="AX239" s="169"/>
      <c r="AY239" s="169"/>
      <c r="AZ239" s="169"/>
      <c r="BA239" s="169"/>
      <c r="BB239" s="169"/>
      <c r="BC239" s="169"/>
      <c r="BD239" s="169"/>
      <c r="BE239" s="169"/>
      <c r="BF239" s="169"/>
    </row>
    <row r="240" spans="1:58" ht="15" customHeight="1">
      <c r="A240" s="169"/>
      <c r="B240" s="169"/>
      <c r="C240" s="169"/>
      <c r="D240" s="169"/>
      <c r="E240" s="169"/>
      <c r="F240" s="169"/>
      <c r="G240" s="169"/>
      <c r="H240" s="169"/>
      <c r="I240" s="169"/>
      <c r="J240" s="169"/>
      <c r="K240" s="169"/>
      <c r="L240" s="169"/>
      <c r="M240" s="169"/>
      <c r="N240" s="169"/>
      <c r="O240" s="169"/>
      <c r="P240" s="169"/>
      <c r="Q240" s="169"/>
      <c r="R240" s="169"/>
      <c r="S240" s="169"/>
      <c r="T240" s="169"/>
      <c r="U240" s="169"/>
      <c r="V240" s="169"/>
      <c r="W240" s="169"/>
      <c r="X240" s="169"/>
      <c r="Y240" s="169"/>
      <c r="Z240" s="169"/>
      <c r="AA240" s="169"/>
      <c r="AB240" s="169"/>
      <c r="AC240" s="169"/>
      <c r="AD240" s="169"/>
      <c r="AE240" s="169"/>
      <c r="AF240" s="169"/>
      <c r="AG240" s="169"/>
      <c r="AH240" s="169"/>
      <c r="AI240" s="169"/>
      <c r="AJ240" s="169"/>
      <c r="AK240" s="169"/>
      <c r="AL240" s="169"/>
      <c r="AM240" s="169"/>
      <c r="AN240" s="169"/>
      <c r="AO240" s="169"/>
      <c r="AP240" s="169"/>
      <c r="AQ240" s="169"/>
      <c r="AR240" s="169"/>
      <c r="AS240" s="169"/>
      <c r="AT240" s="169"/>
      <c r="AU240" s="169"/>
      <c r="AV240" s="169"/>
      <c r="AW240" s="169"/>
      <c r="AX240" s="169"/>
      <c r="AY240" s="169"/>
      <c r="AZ240" s="169"/>
      <c r="BA240" s="169"/>
      <c r="BB240" s="169"/>
      <c r="BC240" s="169"/>
      <c r="BD240" s="169"/>
      <c r="BE240" s="169"/>
      <c r="BF240" s="169"/>
    </row>
    <row r="241" spans="1:58" ht="15" customHeight="1">
      <c r="A241" s="169"/>
      <c r="B241" s="169"/>
      <c r="C241" s="169"/>
      <c r="D241" s="169"/>
      <c r="E241" s="169"/>
      <c r="F241" s="169"/>
      <c r="G241" s="169"/>
      <c r="H241" s="169"/>
      <c r="I241" s="169"/>
      <c r="J241" s="169"/>
      <c r="K241" s="169"/>
      <c r="L241" s="169"/>
      <c r="M241" s="169"/>
      <c r="N241" s="169"/>
      <c r="O241" s="169"/>
      <c r="P241" s="169"/>
      <c r="Q241" s="169"/>
      <c r="R241" s="169"/>
      <c r="S241" s="169"/>
      <c r="T241" s="169"/>
      <c r="U241" s="169"/>
      <c r="V241" s="169"/>
      <c r="W241" s="169"/>
      <c r="X241" s="169"/>
      <c r="Y241" s="169"/>
      <c r="Z241" s="169"/>
      <c r="AA241" s="169"/>
      <c r="AB241" s="169"/>
      <c r="AC241" s="169"/>
      <c r="AD241" s="169"/>
      <c r="AE241" s="169"/>
      <c r="AF241" s="169"/>
      <c r="AG241" s="169"/>
      <c r="AH241" s="169"/>
      <c r="AI241" s="169"/>
      <c r="AJ241" s="169"/>
      <c r="AK241" s="169"/>
      <c r="AL241" s="169"/>
      <c r="AM241" s="169"/>
      <c r="AN241" s="169"/>
      <c r="AO241" s="169"/>
      <c r="AP241" s="169"/>
      <c r="AQ241" s="169"/>
      <c r="AR241" s="169"/>
      <c r="AS241" s="169"/>
      <c r="AT241" s="169"/>
      <c r="AU241" s="169"/>
      <c r="AV241" s="169"/>
      <c r="AW241" s="169"/>
      <c r="AX241" s="169"/>
      <c r="AY241" s="169"/>
      <c r="AZ241" s="169"/>
      <c r="BA241" s="169"/>
      <c r="BB241" s="169"/>
      <c r="BC241" s="169"/>
      <c r="BD241" s="169"/>
      <c r="BE241" s="169"/>
      <c r="BF241" s="169"/>
    </row>
    <row r="242" spans="1:58" ht="15" customHeight="1">
      <c r="A242" s="169"/>
      <c r="B242" s="169"/>
      <c r="C242" s="169"/>
      <c r="D242" s="169"/>
      <c r="E242" s="169"/>
      <c r="F242" s="169"/>
      <c r="G242" s="169"/>
      <c r="H242" s="169"/>
      <c r="I242" s="169"/>
      <c r="J242" s="169"/>
      <c r="K242" s="169"/>
      <c r="L242" s="169"/>
      <c r="M242" s="169"/>
      <c r="N242" s="169"/>
      <c r="O242" s="169"/>
      <c r="P242" s="169"/>
      <c r="Q242" s="169"/>
      <c r="R242" s="169"/>
      <c r="S242" s="169"/>
      <c r="T242" s="169"/>
      <c r="U242" s="169"/>
      <c r="V242" s="169"/>
      <c r="W242" s="169"/>
      <c r="X242" s="169"/>
      <c r="Y242" s="169"/>
      <c r="Z242" s="169"/>
      <c r="AA242" s="169"/>
      <c r="AB242" s="169"/>
      <c r="AC242" s="169"/>
      <c r="AD242" s="169"/>
      <c r="AE242" s="169"/>
      <c r="AF242" s="169"/>
      <c r="AG242" s="169"/>
      <c r="AH242" s="169"/>
      <c r="AI242" s="169"/>
      <c r="AJ242" s="169"/>
      <c r="AK242" s="169"/>
      <c r="AL242" s="169"/>
      <c r="AM242" s="169"/>
      <c r="AN242" s="169"/>
      <c r="AO242" s="169"/>
      <c r="AP242" s="169"/>
      <c r="AQ242" s="169"/>
      <c r="AR242" s="169"/>
      <c r="AS242" s="169"/>
      <c r="AT242" s="169"/>
      <c r="AU242" s="169"/>
      <c r="AV242" s="169"/>
      <c r="AW242" s="169"/>
      <c r="AX242" s="169"/>
      <c r="AY242" s="169"/>
      <c r="AZ242" s="169"/>
      <c r="BA242" s="169"/>
      <c r="BB242" s="169"/>
      <c r="BC242" s="169"/>
      <c r="BD242" s="169"/>
      <c r="BE242" s="169"/>
      <c r="BF242" s="169"/>
    </row>
    <row r="243" spans="1:58" ht="15" customHeight="1">
      <c r="A243" s="169"/>
      <c r="B243" s="169"/>
      <c r="C243" s="169"/>
      <c r="D243" s="169"/>
      <c r="E243" s="169"/>
      <c r="F243" s="169"/>
      <c r="G243" s="169"/>
      <c r="H243" s="169"/>
      <c r="I243" s="169"/>
      <c r="J243" s="169"/>
      <c r="K243" s="169"/>
      <c r="L243" s="169"/>
      <c r="M243" s="169"/>
      <c r="N243" s="169"/>
      <c r="O243" s="169"/>
      <c r="P243" s="169"/>
      <c r="Q243" s="169"/>
      <c r="R243" s="169"/>
      <c r="S243" s="169"/>
      <c r="T243" s="169"/>
      <c r="U243" s="169"/>
      <c r="V243" s="169"/>
      <c r="W243" s="169"/>
      <c r="X243" s="169"/>
      <c r="Y243" s="169"/>
      <c r="Z243" s="169"/>
      <c r="AA243" s="169"/>
      <c r="AB243" s="169"/>
      <c r="AC243" s="169"/>
      <c r="AD243" s="169"/>
      <c r="AE243" s="169"/>
      <c r="AF243" s="169"/>
      <c r="AG243" s="169"/>
      <c r="AH243" s="169"/>
      <c r="AI243" s="169"/>
      <c r="AJ243" s="169"/>
      <c r="AK243" s="169"/>
      <c r="AL243" s="169"/>
      <c r="AM243" s="169"/>
      <c r="AN243" s="169"/>
      <c r="AO243" s="169"/>
      <c r="AP243" s="169"/>
      <c r="AQ243" s="169"/>
      <c r="AR243" s="169"/>
      <c r="AS243" s="169"/>
      <c r="AT243" s="169"/>
      <c r="AU243" s="169"/>
      <c r="AV243" s="169"/>
      <c r="AW243" s="169"/>
      <c r="AX243" s="169"/>
      <c r="AY243" s="169"/>
      <c r="AZ243" s="169"/>
      <c r="BA243" s="169"/>
      <c r="BB243" s="169"/>
      <c r="BC243" s="169"/>
      <c r="BD243" s="169"/>
      <c r="BE243" s="169"/>
      <c r="BF243" s="169"/>
    </row>
    <row r="244" spans="1:58" ht="15" customHeight="1">
      <c r="A244" s="169"/>
      <c r="B244" s="169"/>
      <c r="C244" s="169"/>
      <c r="D244" s="169"/>
      <c r="E244" s="169"/>
      <c r="F244" s="169"/>
      <c r="G244" s="169"/>
      <c r="H244" s="169"/>
      <c r="I244" s="169"/>
      <c r="J244" s="169"/>
      <c r="K244" s="169"/>
      <c r="L244" s="169"/>
      <c r="M244" s="169"/>
      <c r="N244" s="169"/>
      <c r="O244" s="169"/>
      <c r="P244" s="169"/>
      <c r="Q244" s="169"/>
      <c r="R244" s="169"/>
      <c r="S244" s="169"/>
      <c r="T244" s="169"/>
      <c r="U244" s="169"/>
      <c r="V244" s="169"/>
      <c r="W244" s="169"/>
      <c r="X244" s="169"/>
      <c r="Y244" s="169"/>
      <c r="Z244" s="169"/>
      <c r="AA244" s="169"/>
      <c r="AB244" s="169"/>
      <c r="AC244" s="169"/>
      <c r="AD244" s="169"/>
      <c r="AE244" s="169"/>
      <c r="AF244" s="169"/>
      <c r="AG244" s="169"/>
      <c r="AH244" s="169"/>
      <c r="AI244" s="169"/>
      <c r="AJ244" s="169"/>
      <c r="AK244" s="169"/>
      <c r="AL244" s="169"/>
      <c r="AM244" s="169"/>
      <c r="AN244" s="169"/>
      <c r="AO244" s="169"/>
      <c r="AP244" s="169"/>
      <c r="AQ244" s="169"/>
      <c r="AR244" s="169"/>
      <c r="AS244" s="169"/>
      <c r="AT244" s="169"/>
      <c r="AU244" s="169"/>
      <c r="AV244" s="169"/>
      <c r="AW244" s="169"/>
      <c r="AX244" s="169"/>
      <c r="AY244" s="169"/>
      <c r="AZ244" s="169"/>
      <c r="BA244" s="169"/>
      <c r="BB244" s="169"/>
      <c r="BC244" s="169"/>
      <c r="BD244" s="169"/>
      <c r="BE244" s="169"/>
      <c r="BF244" s="169"/>
    </row>
    <row r="245" spans="1:58" ht="15" customHeight="1">
      <c r="A245" s="169"/>
      <c r="B245" s="169"/>
      <c r="C245" s="169"/>
      <c r="D245" s="169"/>
      <c r="E245" s="169"/>
      <c r="F245" s="169"/>
      <c r="G245" s="169"/>
      <c r="H245" s="169"/>
      <c r="I245" s="169"/>
      <c r="J245" s="169"/>
      <c r="K245" s="169"/>
      <c r="L245" s="169"/>
      <c r="M245" s="169"/>
      <c r="N245" s="169"/>
      <c r="O245" s="169"/>
      <c r="P245" s="169"/>
      <c r="Q245" s="169"/>
      <c r="R245" s="169"/>
      <c r="S245" s="169"/>
      <c r="T245" s="169"/>
      <c r="U245" s="169"/>
      <c r="V245" s="169"/>
      <c r="W245" s="169"/>
      <c r="X245" s="169"/>
      <c r="Y245" s="169"/>
      <c r="Z245" s="169"/>
      <c r="AA245" s="169"/>
      <c r="AB245" s="169"/>
      <c r="AC245" s="169"/>
      <c r="AD245" s="169"/>
      <c r="AE245" s="169"/>
      <c r="AF245" s="169"/>
      <c r="AG245" s="169"/>
      <c r="AH245" s="169"/>
      <c r="AI245" s="169"/>
      <c r="AJ245" s="169"/>
      <c r="AK245" s="169"/>
      <c r="AL245" s="169"/>
      <c r="AM245" s="169"/>
      <c r="AN245" s="169"/>
      <c r="AO245" s="169"/>
      <c r="AP245" s="169"/>
      <c r="AQ245" s="169"/>
      <c r="AR245" s="169"/>
      <c r="AS245" s="169"/>
      <c r="AT245" s="169"/>
      <c r="AU245" s="169"/>
      <c r="AV245" s="169"/>
      <c r="AW245" s="169"/>
      <c r="AX245" s="169"/>
      <c r="AY245" s="169"/>
      <c r="AZ245" s="169"/>
      <c r="BA245" s="169"/>
      <c r="BB245" s="169"/>
      <c r="BC245" s="169"/>
      <c r="BD245" s="169"/>
      <c r="BE245" s="169"/>
      <c r="BF245" s="169"/>
    </row>
    <row r="246" spans="1:58" ht="15" customHeight="1">
      <c r="A246" s="169"/>
      <c r="B246" s="169"/>
      <c r="C246" s="169"/>
      <c r="D246" s="169"/>
      <c r="E246" s="169"/>
      <c r="F246" s="169"/>
      <c r="G246" s="169"/>
      <c r="H246" s="169"/>
      <c r="I246" s="169"/>
      <c r="J246" s="169"/>
      <c r="K246" s="169"/>
      <c r="L246" s="169"/>
      <c r="M246" s="169"/>
      <c r="N246" s="169"/>
      <c r="O246" s="169"/>
      <c r="P246" s="169"/>
      <c r="Q246" s="169"/>
      <c r="R246" s="169"/>
      <c r="S246" s="169"/>
      <c r="T246" s="169"/>
      <c r="U246" s="169"/>
      <c r="V246" s="169"/>
      <c r="W246" s="169"/>
      <c r="X246" s="169"/>
      <c r="Y246" s="169"/>
      <c r="Z246" s="169"/>
      <c r="AA246" s="169"/>
      <c r="AB246" s="169"/>
      <c r="AC246" s="169"/>
      <c r="AD246" s="169"/>
      <c r="AE246" s="169"/>
      <c r="AF246" s="169"/>
      <c r="AG246" s="169"/>
      <c r="AH246" s="169"/>
      <c r="AI246" s="169"/>
      <c r="AJ246" s="169"/>
      <c r="AK246" s="169"/>
      <c r="AL246" s="169"/>
      <c r="AM246" s="169"/>
      <c r="AN246" s="169"/>
      <c r="AO246" s="169"/>
      <c r="AP246" s="169"/>
      <c r="AQ246" s="169"/>
      <c r="AR246" s="169"/>
      <c r="AS246" s="169"/>
      <c r="AT246" s="169"/>
      <c r="AU246" s="169"/>
      <c r="AV246" s="169"/>
      <c r="AW246" s="169"/>
      <c r="AX246" s="169"/>
      <c r="AY246" s="169"/>
      <c r="AZ246" s="169"/>
      <c r="BA246" s="169"/>
      <c r="BB246" s="169"/>
      <c r="BC246" s="169"/>
      <c r="BD246" s="169"/>
      <c r="BE246" s="169"/>
      <c r="BF246" s="169"/>
    </row>
    <row r="247" spans="1:58" ht="15" customHeight="1">
      <c r="A247" s="169"/>
      <c r="B247" s="169"/>
      <c r="C247" s="169"/>
      <c r="D247" s="169"/>
      <c r="E247" s="169"/>
      <c r="F247" s="169"/>
      <c r="G247" s="169"/>
      <c r="H247" s="169"/>
      <c r="I247" s="169"/>
      <c r="J247" s="169"/>
      <c r="K247" s="169"/>
      <c r="L247" s="169"/>
      <c r="M247" s="169"/>
      <c r="N247" s="169"/>
      <c r="O247" s="169"/>
      <c r="P247" s="169"/>
      <c r="Q247" s="169"/>
      <c r="R247" s="169"/>
      <c r="S247" s="169"/>
      <c r="T247" s="169"/>
      <c r="U247" s="169"/>
      <c r="V247" s="169"/>
      <c r="W247" s="169"/>
      <c r="X247" s="169"/>
      <c r="Y247" s="169"/>
      <c r="Z247" s="169"/>
      <c r="AA247" s="169"/>
      <c r="AB247" s="169"/>
      <c r="AC247" s="169"/>
      <c r="AD247" s="169"/>
      <c r="AE247" s="169"/>
      <c r="AF247" s="169"/>
      <c r="AG247" s="169"/>
      <c r="AH247" s="169"/>
      <c r="AI247" s="169"/>
      <c r="AJ247" s="169"/>
      <c r="AK247" s="169"/>
      <c r="AL247" s="169"/>
      <c r="AM247" s="169"/>
      <c r="AN247" s="169"/>
      <c r="AO247" s="169"/>
      <c r="AP247" s="169"/>
      <c r="AQ247" s="169"/>
      <c r="AR247" s="169"/>
      <c r="AS247" s="169"/>
      <c r="AT247" s="169"/>
      <c r="AU247" s="169"/>
      <c r="AV247" s="169"/>
      <c r="AW247" s="169"/>
      <c r="AX247" s="169"/>
      <c r="AY247" s="169"/>
      <c r="AZ247" s="169"/>
      <c r="BA247" s="169"/>
      <c r="BB247" s="169"/>
      <c r="BC247" s="169"/>
      <c r="BD247" s="169"/>
      <c r="BE247" s="169"/>
      <c r="BF247" s="169"/>
    </row>
    <row r="248" spans="1:58" ht="15" customHeight="1">
      <c r="A248" s="169"/>
      <c r="B248" s="169"/>
      <c r="C248" s="169"/>
      <c r="D248" s="169"/>
      <c r="E248" s="169"/>
      <c r="F248" s="169"/>
      <c r="G248" s="169"/>
      <c r="H248" s="169"/>
      <c r="I248" s="169"/>
      <c r="J248" s="169"/>
      <c r="K248" s="169"/>
      <c r="L248" s="169"/>
      <c r="M248" s="169"/>
      <c r="N248" s="169"/>
      <c r="O248" s="169"/>
      <c r="P248" s="169"/>
      <c r="Q248" s="169"/>
      <c r="R248" s="169"/>
      <c r="S248" s="169"/>
      <c r="T248" s="169"/>
      <c r="U248" s="169"/>
      <c r="V248" s="169"/>
      <c r="W248" s="169"/>
      <c r="X248" s="169"/>
      <c r="Y248" s="169"/>
      <c r="Z248" s="169"/>
      <c r="AA248" s="169"/>
      <c r="AB248" s="169"/>
      <c r="AC248" s="169"/>
      <c r="AD248" s="169"/>
      <c r="AE248" s="169"/>
      <c r="AF248" s="169"/>
      <c r="AG248" s="169"/>
      <c r="AH248" s="169"/>
      <c r="AI248" s="169"/>
      <c r="AJ248" s="169"/>
      <c r="AK248" s="169"/>
      <c r="AL248" s="169"/>
      <c r="AM248" s="169"/>
      <c r="AN248" s="169"/>
      <c r="AO248" s="169"/>
      <c r="AP248" s="169"/>
      <c r="AQ248" s="169"/>
      <c r="AR248" s="169"/>
      <c r="AS248" s="169"/>
      <c r="AT248" s="169"/>
      <c r="AU248" s="169"/>
      <c r="AV248" s="169"/>
      <c r="AW248" s="169"/>
      <c r="AX248" s="169"/>
      <c r="AY248" s="169"/>
      <c r="AZ248" s="169"/>
      <c r="BA248" s="169"/>
      <c r="BB248" s="169"/>
      <c r="BC248" s="169"/>
      <c r="BD248" s="169"/>
      <c r="BE248" s="169"/>
      <c r="BF248" s="169"/>
    </row>
    <row r="249" spans="1:58" ht="15" customHeight="1">
      <c r="A249" s="169"/>
      <c r="B249" s="169"/>
      <c r="C249" s="169"/>
      <c r="D249" s="169"/>
      <c r="E249" s="169"/>
      <c r="F249" s="169"/>
      <c r="G249" s="169"/>
      <c r="H249" s="169"/>
      <c r="I249" s="169"/>
      <c r="J249" s="169"/>
      <c r="K249" s="169"/>
      <c r="L249" s="169"/>
      <c r="M249" s="169"/>
      <c r="N249" s="169"/>
      <c r="O249" s="169"/>
      <c r="P249" s="169"/>
      <c r="Q249" s="169"/>
      <c r="R249" s="169"/>
      <c r="S249" s="169"/>
      <c r="T249" s="169"/>
      <c r="U249" s="169"/>
      <c r="V249" s="169"/>
      <c r="W249" s="169"/>
      <c r="X249" s="169"/>
      <c r="Y249" s="169"/>
      <c r="Z249" s="169"/>
      <c r="AA249" s="169"/>
      <c r="AB249" s="169"/>
      <c r="AC249" s="169"/>
      <c r="AD249" s="169"/>
      <c r="AE249" s="169"/>
      <c r="AF249" s="169"/>
      <c r="AG249" s="169"/>
      <c r="AH249" s="169"/>
      <c r="AI249" s="169"/>
      <c r="AJ249" s="169"/>
      <c r="AK249" s="169"/>
      <c r="AL249" s="169"/>
      <c r="AM249" s="169"/>
      <c r="AN249" s="169"/>
      <c r="AO249" s="169"/>
      <c r="AP249" s="169"/>
      <c r="AQ249" s="169"/>
      <c r="AR249" s="169"/>
      <c r="AS249" s="169"/>
      <c r="AT249" s="169"/>
      <c r="AU249" s="169"/>
      <c r="AV249" s="169"/>
      <c r="AW249" s="169"/>
      <c r="AX249" s="169"/>
      <c r="AY249" s="169"/>
      <c r="AZ249" s="169"/>
      <c r="BA249" s="169"/>
      <c r="BB249" s="169"/>
      <c r="BC249" s="169"/>
      <c r="BD249" s="169"/>
      <c r="BE249" s="169"/>
      <c r="BF249" s="169"/>
    </row>
    <row r="272" s="347" customFormat="1" ht="15" customHeight="1"/>
    <row r="273" s="347" customFormat="1" ht="15" customHeight="1"/>
    <row r="274" s="347" customFormat="1" ht="15" customHeight="1"/>
    <row r="275" s="347" customFormat="1" ht="15" customHeight="1"/>
    <row r="276" s="347" customFormat="1" ht="15" customHeight="1"/>
    <row r="277" s="347" customFormat="1" ht="15" customHeight="1"/>
    <row r="278" s="347" customFormat="1" ht="15" customHeight="1"/>
    <row r="279" s="347" customFormat="1" ht="15" customHeight="1"/>
    <row r="280" s="347" customFormat="1" ht="15" customHeight="1"/>
    <row r="281" s="347" customFormat="1" ht="15" customHeight="1"/>
    <row r="282" s="347" customFormat="1" ht="15" customHeight="1"/>
    <row r="283" s="347" customFormat="1" ht="15" customHeight="1"/>
    <row r="284" s="347" customFormat="1" ht="15" customHeight="1"/>
    <row r="285" s="347" customFormat="1" ht="15" customHeight="1"/>
    <row r="286" s="347" customFormat="1" ht="15" customHeight="1"/>
    <row r="287" s="347" customFormat="1" ht="15" customHeight="1"/>
    <row r="288" s="347" customFormat="1" ht="15" customHeight="1"/>
    <row r="289" s="347" customFormat="1" ht="15" customHeight="1"/>
    <row r="290" s="347" customFormat="1" ht="15" customHeight="1"/>
    <row r="291" s="347" customFormat="1" ht="15" customHeight="1"/>
    <row r="292" s="347" customFormat="1" ht="15" customHeight="1"/>
    <row r="293" s="347" customFormat="1" ht="15" customHeight="1"/>
    <row r="294" s="347" customFormat="1" ht="15" customHeight="1"/>
    <row r="295" s="347" customFormat="1" ht="15" customHeight="1"/>
    <row r="296" s="347" customFormat="1" ht="15" customHeight="1"/>
    <row r="297" s="347" customFormat="1" ht="15" customHeight="1"/>
    <row r="298" s="347" customFormat="1" ht="15" customHeight="1"/>
    <row r="299" s="347" customFormat="1" ht="15" customHeight="1"/>
    <row r="300" s="347" customFormat="1" ht="15" customHeight="1"/>
    <row r="301" s="347" customFormat="1" ht="15" customHeight="1"/>
    <row r="302" s="347" customFormat="1" ht="15" customHeight="1"/>
    <row r="303" s="347" customFormat="1" ht="15" customHeight="1"/>
    <row r="304" s="347" customFormat="1" ht="15" customHeight="1"/>
    <row r="305" s="347" customFormat="1" ht="15" customHeight="1"/>
    <row r="306" s="347" customFormat="1" ht="15" customHeight="1"/>
    <row r="307" s="347" customFormat="1" ht="15" customHeight="1"/>
    <row r="308" s="347" customFormat="1" ht="15" customHeight="1"/>
    <row r="309" s="347" customFormat="1" ht="15" customHeight="1"/>
    <row r="310" s="347" customFormat="1" ht="15" customHeight="1"/>
    <row r="311" s="347" customFormat="1" ht="15" customHeight="1"/>
    <row r="312" s="347" customFormat="1" ht="15" customHeight="1"/>
    <row r="313" s="347" customFormat="1" ht="15" customHeight="1"/>
    <row r="314" s="347" customFormat="1" ht="15" customHeight="1"/>
    <row r="315" s="347" customFormat="1" ht="15" customHeight="1"/>
    <row r="316" s="347" customFormat="1" ht="15" customHeight="1"/>
    <row r="317" s="347" customFormat="1" ht="15" customHeight="1"/>
    <row r="318" s="347" customFormat="1" ht="15" customHeight="1"/>
    <row r="319" s="347" customFormat="1" ht="15" customHeight="1"/>
    <row r="320" s="347" customFormat="1" ht="15" customHeight="1"/>
    <row r="321" s="347" customFormat="1" ht="15" customHeight="1"/>
    <row r="322" s="347" customFormat="1" ht="15" customHeight="1"/>
    <row r="323" s="347" customFormat="1" ht="15" customHeight="1"/>
    <row r="324" s="347" customFormat="1" ht="15" customHeight="1"/>
    <row r="325" s="347" customFormat="1" ht="15" customHeight="1"/>
    <row r="326" s="347" customFormat="1" ht="15" customHeight="1"/>
    <row r="327" s="347" customFormat="1" ht="15" customHeight="1"/>
    <row r="328" s="347" customFormat="1" ht="15" customHeight="1"/>
    <row r="329" s="347" customFormat="1" ht="15" customHeight="1"/>
    <row r="330" s="347" customFormat="1" ht="15" customHeight="1"/>
    <row r="331" s="347" customFormat="1" ht="15" customHeight="1"/>
    <row r="332" s="347" customFormat="1" ht="15" customHeight="1"/>
    <row r="333" s="347" customFormat="1" ht="15" customHeight="1"/>
    <row r="334" s="347" customFormat="1" ht="15" customHeight="1"/>
    <row r="335" s="347" customFormat="1" ht="15" customHeight="1"/>
    <row r="336" s="347" customFormat="1" ht="15" customHeight="1"/>
    <row r="337" s="347" customFormat="1" ht="15" customHeight="1"/>
    <row r="338" s="347" customFormat="1" ht="15" customHeight="1"/>
    <row r="339" s="347" customFormat="1" ht="15" customHeight="1"/>
    <row r="340" s="347" customFormat="1" ht="15" customHeight="1"/>
    <row r="341" s="347" customFormat="1" ht="15" customHeight="1"/>
    <row r="342" s="347" customFormat="1" ht="15" customHeight="1"/>
    <row r="343" s="347" customFormat="1" ht="15" customHeight="1"/>
    <row r="344" s="347" customFormat="1" ht="15" customHeight="1"/>
    <row r="345" s="347" customFormat="1" ht="15" customHeight="1"/>
    <row r="346" s="347" customFormat="1" ht="15" customHeight="1"/>
    <row r="347" s="347" customFormat="1" ht="15" customHeight="1"/>
    <row r="348" s="347" customFormat="1" ht="15" customHeight="1"/>
    <row r="349" s="347" customFormat="1" ht="15" customHeight="1"/>
    <row r="350" s="347" customFormat="1" ht="15" customHeight="1"/>
    <row r="351" s="347" customFormat="1" ht="15" customHeight="1"/>
    <row r="352" s="347" customFormat="1" ht="15" customHeight="1"/>
    <row r="353" s="347" customFormat="1" ht="15" customHeight="1"/>
    <row r="354" s="347" customFormat="1" ht="15" customHeight="1"/>
    <row r="355" s="347" customFormat="1" ht="15" customHeight="1"/>
    <row r="356" s="347" customFormat="1" ht="15" customHeight="1"/>
    <row r="357" s="347" customFormat="1" ht="15" customHeight="1"/>
    <row r="358" s="347" customFormat="1" ht="15" customHeight="1"/>
    <row r="359" s="347" customFormat="1" ht="15" customHeight="1"/>
    <row r="360" s="347" customFormat="1" ht="15" customHeight="1"/>
    <row r="361" s="347" customFormat="1" ht="15" customHeight="1"/>
    <row r="362" s="347" customFormat="1" ht="15" customHeight="1"/>
    <row r="363" s="347" customFormat="1" ht="15" customHeight="1"/>
    <row r="364" s="347" customFormat="1" ht="15" customHeight="1"/>
    <row r="365" s="347" customFormat="1" ht="15" customHeight="1"/>
    <row r="366" s="347" customFormat="1" ht="15" customHeight="1"/>
    <row r="367" s="347" customFormat="1" ht="15" customHeight="1"/>
    <row r="368" s="347" customFormat="1" ht="15" customHeight="1"/>
    <row r="369" s="347" customFormat="1" ht="15" customHeight="1"/>
    <row r="370" s="347" customFormat="1" ht="15" customHeight="1"/>
    <row r="371" s="347" customFormat="1" ht="15" customHeight="1"/>
    <row r="372" s="347" customFormat="1" ht="15" customHeight="1"/>
    <row r="373" s="347" customFormat="1" ht="15" customHeight="1"/>
    <row r="374" s="347" customFormat="1" ht="15" customHeight="1"/>
    <row r="375" s="347" customFormat="1" ht="15" customHeight="1"/>
    <row r="376" s="347" customFormat="1" ht="15" customHeight="1"/>
    <row r="377" s="347" customFormat="1" ht="15" customHeight="1"/>
    <row r="378" s="347" customFormat="1" ht="15" customHeight="1"/>
    <row r="379" s="347" customFormat="1" ht="15" customHeight="1"/>
    <row r="380" s="347" customFormat="1" ht="15" customHeight="1"/>
    <row r="381" s="347" customFormat="1" ht="15" customHeight="1"/>
    <row r="382" s="347" customFormat="1" ht="15" customHeight="1"/>
    <row r="383" s="347" customFormat="1" ht="15" customHeight="1"/>
    <row r="384" s="347" customFormat="1" ht="15" customHeight="1"/>
    <row r="385" s="347" customFormat="1" ht="15" customHeight="1"/>
    <row r="386" s="347" customFormat="1" ht="15" customHeight="1"/>
    <row r="387" s="347" customFormat="1" ht="15" customHeight="1"/>
    <row r="388" s="347" customFormat="1" ht="15" customHeight="1"/>
    <row r="389" s="347" customFormat="1" ht="15" customHeight="1"/>
    <row r="390" s="347" customFormat="1" ht="15" customHeight="1"/>
    <row r="391" s="347" customFormat="1" ht="15" customHeight="1"/>
    <row r="392" s="347" customFormat="1" ht="15" customHeight="1"/>
    <row r="393" s="347" customFormat="1" ht="15" customHeight="1"/>
    <row r="394" s="347" customFormat="1" ht="15" customHeight="1"/>
    <row r="395" s="347" customFormat="1" ht="15" customHeight="1"/>
    <row r="396" s="347" customFormat="1" ht="15" customHeight="1"/>
    <row r="397" s="347" customFormat="1" ht="15" customHeight="1"/>
    <row r="398" s="347" customFormat="1" ht="15" customHeight="1"/>
    <row r="399" s="347" customFormat="1" ht="15" customHeight="1"/>
    <row r="400" s="347" customFormat="1" ht="15" customHeight="1"/>
    <row r="401" s="347" customFormat="1" ht="15" customHeight="1"/>
    <row r="402" s="347" customFormat="1" ht="15" customHeight="1"/>
    <row r="403" s="347" customFormat="1" ht="15" customHeight="1"/>
    <row r="404" s="347" customFormat="1" ht="15" customHeight="1"/>
    <row r="405" s="347" customFormat="1" ht="15" customHeight="1"/>
    <row r="406" s="347" customFormat="1" ht="15" customHeight="1"/>
    <row r="407" s="347" customFormat="1" ht="15" customHeight="1"/>
    <row r="408" s="347" customFormat="1" ht="15" customHeight="1"/>
    <row r="409" s="347" customFormat="1" ht="15" customHeight="1"/>
    <row r="410" s="347" customFormat="1" ht="15" customHeight="1"/>
  </sheetData>
  <sheetProtection algorithmName="SHA-512" hashValue="JMgi2aKio06HNde3SDPhdoW4cDHEUmulL8BKey8Lmf449dMqKYOh9WkdfApDp3qnv+wZDBIfr0gK/YsSBgkmlw==" saltValue="onOUz0N0y1IwSC+nVW1tfw==" spinCount="100000" sheet="1" objects="1" scenarios="1"/>
  <mergeCells count="53">
    <mergeCell ref="AA14:BA19"/>
    <mergeCell ref="AA76:BA82"/>
    <mergeCell ref="AA85:BA91"/>
    <mergeCell ref="C85:F85"/>
    <mergeCell ref="C86:F86"/>
    <mergeCell ref="C87:F87"/>
    <mergeCell ref="C88:F88"/>
    <mergeCell ref="AA23:BA28"/>
    <mergeCell ref="C19:F19"/>
    <mergeCell ref="C23:F23"/>
    <mergeCell ref="C24:F24"/>
    <mergeCell ref="C25:F25"/>
    <mergeCell ref="C26:F26"/>
    <mergeCell ref="C14:F14"/>
    <mergeCell ref="C15:F15"/>
    <mergeCell ref="C16:F16"/>
    <mergeCell ref="C17:F17"/>
    <mergeCell ref="C18:F18"/>
    <mergeCell ref="C43:F43"/>
    <mergeCell ref="C44:F44"/>
    <mergeCell ref="C29:F29"/>
    <mergeCell ref="C20:F20"/>
    <mergeCell ref="C42:F42"/>
    <mergeCell ref="C91:F91"/>
    <mergeCell ref="C82:F82"/>
    <mergeCell ref="C27:F27"/>
    <mergeCell ref="C28:F28"/>
    <mergeCell ref="C76:F76"/>
    <mergeCell ref="C77:F77"/>
    <mergeCell ref="C78:F78"/>
    <mergeCell ref="C79:F79"/>
    <mergeCell ref="C80:F80"/>
    <mergeCell ref="C81:F81"/>
    <mergeCell ref="C89:F89"/>
    <mergeCell ref="C90:F90"/>
    <mergeCell ref="C38:F38"/>
    <mergeCell ref="C39:F39"/>
    <mergeCell ref="C40:F40"/>
    <mergeCell ref="C41:F41"/>
    <mergeCell ref="C61:F61"/>
    <mergeCell ref="C62:F62"/>
    <mergeCell ref="C47:F47"/>
    <mergeCell ref="C48:F48"/>
    <mergeCell ref="C49:F49"/>
    <mergeCell ref="C50:F50"/>
    <mergeCell ref="C51:F51"/>
    <mergeCell ref="C52:F52"/>
    <mergeCell ref="C53:F53"/>
    <mergeCell ref="C56:F56"/>
    <mergeCell ref="C57:F57"/>
    <mergeCell ref="C58:F58"/>
    <mergeCell ref="C59:F59"/>
    <mergeCell ref="C60:F60"/>
  </mergeCells>
  <pageMargins left="0.82677165354330717" right="0.39370078740157483" top="1.2204724409448819" bottom="0.39370078740157483" header="0.47244094488188981" footer="0.31496062992125984"/>
  <pageSetup paperSize="9" orientation="portrait" r:id="rId1"/>
  <headerFooter differentFirst="1" scaleWithDoc="0">
    <oddHeader>&amp;L&amp;G&amp;C&amp;"Univers LT 45 Light,Standard"     BBSR
                         Rasterbemessung&amp;R&amp;"Univers LT 45 Light,Standard" 517.1204
             tri/&amp;D</oddHeader>
    <firstHeader>&amp;L&amp;G&amp;C&amp;"Univers LT 45 Light,Standard"     Projekt&amp;R&amp;"Univers LT 45 Light,Standard" 515.xxxx
             xxx/&amp;D</firstHeader>
  </headerFooter>
  <legacyDrawingHF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Tabelle19">
    <tabColor rgb="FFFF9999"/>
  </sheetPr>
  <dimension ref="A1:I82"/>
  <sheetViews>
    <sheetView zoomScaleNormal="100" workbookViewId="0">
      <selection activeCell="D1" sqref="D1:E2"/>
    </sheetView>
  </sheetViews>
  <sheetFormatPr baseColWidth="10" defaultColWidth="10.83203125" defaultRowHeight="15"/>
  <cols>
    <col min="1" max="1" width="4.83203125" bestFit="1" customWidth="1"/>
    <col min="2" max="2" width="20.6640625" customWidth="1"/>
    <col min="3" max="3" width="15.6640625" customWidth="1"/>
    <col min="4" max="7" width="8.33203125" customWidth="1"/>
    <col min="8" max="9" width="15.6640625" customWidth="1"/>
  </cols>
  <sheetData>
    <row r="1" spans="1:9" ht="27" customHeight="1">
      <c r="A1" s="1589" t="s">
        <v>1005</v>
      </c>
      <c r="B1" s="570" t="s">
        <v>1006</v>
      </c>
      <c r="C1" s="1602">
        <v>1</v>
      </c>
      <c r="D1" s="1604">
        <v>2</v>
      </c>
      <c r="E1" s="1605"/>
      <c r="F1" s="1604">
        <v>3</v>
      </c>
      <c r="G1" s="1605"/>
      <c r="H1" s="1602">
        <v>4</v>
      </c>
      <c r="I1" s="1602">
        <v>5</v>
      </c>
    </row>
    <row r="2" spans="1:9" ht="17" thickBot="1">
      <c r="A2" s="1590"/>
      <c r="B2" s="571" t="s">
        <v>1007</v>
      </c>
      <c r="C2" s="1603"/>
      <c r="D2" s="1606"/>
      <c r="E2" s="1607"/>
      <c r="F2" s="1606"/>
      <c r="G2" s="1607"/>
      <c r="H2" s="1603"/>
      <c r="I2" s="1603"/>
    </row>
    <row r="3" spans="1:9" ht="43" thickBot="1">
      <c r="A3" s="572">
        <v>27</v>
      </c>
      <c r="B3" s="573" t="s">
        <v>1008</v>
      </c>
      <c r="C3" s="1599" t="s">
        <v>1009</v>
      </c>
      <c r="D3" s="1600"/>
      <c r="E3" s="1600"/>
      <c r="F3" s="1600"/>
      <c r="G3" s="1600"/>
      <c r="H3" s="1600"/>
      <c r="I3" s="1601"/>
    </row>
    <row r="4" spans="1:9" ht="25" thickBot="1">
      <c r="A4" s="574"/>
      <c r="B4" s="575" t="s">
        <v>1008</v>
      </c>
      <c r="C4" s="576" t="s">
        <v>1010</v>
      </c>
      <c r="D4" s="1559" t="s">
        <v>1011</v>
      </c>
      <c r="E4" s="1560"/>
      <c r="F4" s="1560"/>
      <c r="G4" s="1561"/>
      <c r="H4" s="576" t="s">
        <v>1012</v>
      </c>
      <c r="I4" s="576" t="s">
        <v>1013</v>
      </c>
    </row>
    <row r="5" spans="1:9" ht="25" thickBot="1">
      <c r="A5" s="574"/>
      <c r="B5" s="575" t="s">
        <v>1014</v>
      </c>
      <c r="C5" s="576" t="s">
        <v>1010</v>
      </c>
      <c r="D5" s="1559" t="s">
        <v>1011</v>
      </c>
      <c r="E5" s="1560"/>
      <c r="F5" s="1560"/>
      <c r="G5" s="1561"/>
      <c r="H5" s="576" t="s">
        <v>1012</v>
      </c>
      <c r="I5" s="576" t="s">
        <v>1013</v>
      </c>
    </row>
    <row r="6" spans="1:9" ht="16" thickBot="1">
      <c r="A6" s="574"/>
      <c r="B6" s="575" t="s">
        <v>1015</v>
      </c>
      <c r="C6" s="1559" t="s">
        <v>1010</v>
      </c>
      <c r="D6" s="1560"/>
      <c r="E6" s="1560"/>
      <c r="F6" s="1560"/>
      <c r="G6" s="1560"/>
      <c r="H6" s="1560"/>
      <c r="I6" s="1561"/>
    </row>
    <row r="7" spans="1:9" ht="37" thickBot="1">
      <c r="A7" s="574"/>
      <c r="B7" s="575" t="s">
        <v>1016</v>
      </c>
      <c r="C7" s="1559" t="s">
        <v>1010</v>
      </c>
      <c r="D7" s="1560"/>
      <c r="E7" s="1560"/>
      <c r="F7" s="1560"/>
      <c r="G7" s="1560"/>
      <c r="H7" s="1560"/>
      <c r="I7" s="1561"/>
    </row>
    <row r="8" spans="1:9" ht="16" thickBot="1">
      <c r="A8" s="574"/>
      <c r="B8" s="575" t="s">
        <v>1017</v>
      </c>
      <c r="C8" s="1559" t="s">
        <v>1011</v>
      </c>
      <c r="D8" s="1560"/>
      <c r="E8" s="1561"/>
      <c r="F8" s="1559" t="s">
        <v>1013</v>
      </c>
      <c r="G8" s="1560"/>
      <c r="H8" s="1560"/>
      <c r="I8" s="1561"/>
    </row>
    <row r="9" spans="1:9" ht="16" thickBot="1">
      <c r="A9" s="572">
        <v>28</v>
      </c>
      <c r="B9" s="573" t="s">
        <v>1018</v>
      </c>
      <c r="C9" s="1573"/>
      <c r="D9" s="1574"/>
      <c r="E9" s="1574"/>
      <c r="F9" s="1574"/>
      <c r="G9" s="1574"/>
      <c r="H9" s="1574"/>
      <c r="I9" s="1575"/>
    </row>
    <row r="10" spans="1:9" ht="25" thickBot="1">
      <c r="A10" s="577"/>
      <c r="B10" s="575" t="s">
        <v>1019</v>
      </c>
      <c r="C10" s="1559" t="s">
        <v>1010</v>
      </c>
      <c r="D10" s="1560"/>
      <c r="E10" s="1560"/>
      <c r="F10" s="1560"/>
      <c r="G10" s="1561"/>
      <c r="H10" s="1559" t="s">
        <v>1020</v>
      </c>
      <c r="I10" s="1561"/>
    </row>
    <row r="11" spans="1:9" ht="49" thickBot="1">
      <c r="A11" s="577"/>
      <c r="B11" s="575" t="s">
        <v>1021</v>
      </c>
      <c r="C11" s="1559" t="s">
        <v>1010</v>
      </c>
      <c r="D11" s="1560"/>
      <c r="E11" s="1560"/>
      <c r="F11" s="1560"/>
      <c r="G11" s="1561"/>
      <c r="H11" s="1559" t="s">
        <v>1022</v>
      </c>
      <c r="I11" s="1561"/>
    </row>
    <row r="12" spans="1:9" ht="16" thickBot="1">
      <c r="A12" s="572">
        <v>29</v>
      </c>
      <c r="B12" s="573" t="s">
        <v>1023</v>
      </c>
      <c r="C12" s="1573"/>
      <c r="D12" s="1574"/>
      <c r="E12" s="1574"/>
      <c r="F12" s="1574"/>
      <c r="G12" s="1574"/>
      <c r="H12" s="1574"/>
      <c r="I12" s="1575"/>
    </row>
    <row r="13" spans="1:9" ht="16" thickBot="1">
      <c r="A13" s="577"/>
      <c r="B13" s="575" t="s">
        <v>1023</v>
      </c>
      <c r="C13" s="1578" t="s">
        <v>1024</v>
      </c>
      <c r="D13" s="1597" t="s">
        <v>1025</v>
      </c>
      <c r="E13" s="1598"/>
      <c r="F13" s="1559" t="s">
        <v>1026</v>
      </c>
      <c r="G13" s="1561"/>
      <c r="H13" s="576" t="s">
        <v>1027</v>
      </c>
      <c r="I13" s="576" t="s">
        <v>1028</v>
      </c>
    </row>
    <row r="14" spans="1:9" ht="25" thickBot="1">
      <c r="A14" s="577"/>
      <c r="B14" s="575" t="s">
        <v>1029</v>
      </c>
      <c r="C14" s="1579"/>
      <c r="D14" s="1553"/>
      <c r="E14" s="1555"/>
      <c r="F14" s="1559" t="s">
        <v>1026</v>
      </c>
      <c r="G14" s="1560"/>
      <c r="H14" s="1560"/>
      <c r="I14" s="1561"/>
    </row>
    <row r="15" spans="1:9" ht="16" thickBot="1">
      <c r="A15" s="572">
        <v>30</v>
      </c>
      <c r="B15" s="573" t="s">
        <v>1030</v>
      </c>
      <c r="C15" s="1573"/>
      <c r="D15" s="1574"/>
      <c r="E15" s="1574"/>
      <c r="F15" s="1574"/>
      <c r="G15" s="1574"/>
      <c r="H15" s="1574"/>
      <c r="I15" s="1575"/>
    </row>
    <row r="16" spans="1:9" ht="16" thickBot="1">
      <c r="A16" s="577"/>
      <c r="B16" s="575" t="s">
        <v>1030</v>
      </c>
      <c r="C16" s="1559"/>
      <c r="D16" s="1560"/>
      <c r="E16" s="1560"/>
      <c r="F16" s="1560"/>
      <c r="G16" s="1560"/>
      <c r="H16" s="1561"/>
      <c r="I16" s="576" t="s">
        <v>1031</v>
      </c>
    </row>
    <row r="17" spans="1:9" ht="25" thickBot="1">
      <c r="A17" s="577"/>
      <c r="B17" s="575" t="s">
        <v>1032</v>
      </c>
      <c r="C17" s="1559" t="s">
        <v>1012</v>
      </c>
      <c r="D17" s="1560"/>
      <c r="E17" s="1560"/>
      <c r="F17" s="1560"/>
      <c r="G17" s="1561"/>
      <c r="H17" s="576" t="s">
        <v>1033</v>
      </c>
      <c r="I17" s="576"/>
    </row>
    <row r="18" spans="1:9" ht="16" thickBot="1">
      <c r="A18" s="577"/>
      <c r="B18" s="575" t="s">
        <v>1034</v>
      </c>
      <c r="C18" s="1559" t="s">
        <v>1035</v>
      </c>
      <c r="D18" s="1560"/>
      <c r="E18" s="1560"/>
      <c r="F18" s="1560"/>
      <c r="G18" s="1561"/>
      <c r="H18" s="576" t="s">
        <v>1033</v>
      </c>
      <c r="I18" s="576" t="s">
        <v>1031</v>
      </c>
    </row>
    <row r="19" spans="1:9" ht="48">
      <c r="A19" s="1589"/>
      <c r="B19" s="578" t="s">
        <v>1036</v>
      </c>
      <c r="C19" s="1580" t="s">
        <v>1013</v>
      </c>
      <c r="D19" s="1581"/>
      <c r="E19" s="1581"/>
      <c r="F19" s="1581"/>
      <c r="G19" s="1581"/>
      <c r="H19" s="1581"/>
      <c r="I19" s="1582"/>
    </row>
    <row r="20" spans="1:9" ht="16" thickBot="1">
      <c r="A20" s="1590"/>
      <c r="B20" s="575" t="s">
        <v>1037</v>
      </c>
      <c r="C20" s="1583"/>
      <c r="D20" s="1584"/>
      <c r="E20" s="1584"/>
      <c r="F20" s="1584"/>
      <c r="G20" s="1584"/>
      <c r="H20" s="1584"/>
      <c r="I20" s="1585"/>
    </row>
    <row r="21" spans="1:9" ht="49" thickBot="1">
      <c r="A21" s="577"/>
      <c r="B21" s="575" t="s">
        <v>1038</v>
      </c>
      <c r="C21" s="1559" t="s">
        <v>1039</v>
      </c>
      <c r="D21" s="1560"/>
      <c r="E21" s="1560"/>
      <c r="F21" s="1560"/>
      <c r="G21" s="1560"/>
      <c r="H21" s="1561"/>
      <c r="I21" s="576" t="s">
        <v>1040</v>
      </c>
    </row>
    <row r="22" spans="1:9" ht="16" thickBot="1">
      <c r="A22" s="572">
        <v>31</v>
      </c>
      <c r="B22" s="573" t="s">
        <v>967</v>
      </c>
      <c r="C22" s="1573"/>
      <c r="D22" s="1574"/>
      <c r="E22" s="1574"/>
      <c r="F22" s="1574"/>
      <c r="G22" s="1574"/>
      <c r="H22" s="1574"/>
      <c r="I22" s="1575"/>
    </row>
    <row r="23" spans="1:9" ht="16" thickBot="1">
      <c r="A23" s="577"/>
      <c r="B23" s="575" t="s">
        <v>967</v>
      </c>
      <c r="C23" s="576" t="s">
        <v>1010</v>
      </c>
      <c r="D23" s="1559" t="s">
        <v>1011</v>
      </c>
      <c r="E23" s="1560"/>
      <c r="F23" s="1560"/>
      <c r="G23" s="1561"/>
      <c r="H23" s="576" t="s">
        <v>1012</v>
      </c>
      <c r="I23" s="576" t="s">
        <v>1013</v>
      </c>
    </row>
    <row r="24" spans="1:9" ht="37" thickBot="1">
      <c r="A24" s="577"/>
      <c r="B24" s="575" t="s">
        <v>1041</v>
      </c>
      <c r="C24" s="1559" t="s">
        <v>1010</v>
      </c>
      <c r="D24" s="1560"/>
      <c r="E24" s="1560"/>
      <c r="F24" s="1560"/>
      <c r="G24" s="1560"/>
      <c r="H24" s="1560"/>
      <c r="I24" s="1561"/>
    </row>
    <row r="25" spans="1:9" ht="37" thickBot="1">
      <c r="A25" s="577"/>
      <c r="B25" s="575" t="s">
        <v>1042</v>
      </c>
      <c r="C25" s="576" t="s">
        <v>1010</v>
      </c>
      <c r="D25" s="1559" t="s">
        <v>1011</v>
      </c>
      <c r="E25" s="1560"/>
      <c r="F25" s="1560"/>
      <c r="G25" s="1561"/>
      <c r="H25" s="576" t="s">
        <v>1012</v>
      </c>
      <c r="I25" s="576" t="s">
        <v>1013</v>
      </c>
    </row>
    <row r="26" spans="1:9" ht="37" thickBot="1">
      <c r="A26" s="577"/>
      <c r="B26" s="575" t="s">
        <v>1043</v>
      </c>
      <c r="C26" s="1559" t="s">
        <v>1010</v>
      </c>
      <c r="D26" s="1560"/>
      <c r="E26" s="1560"/>
      <c r="F26" s="1560"/>
      <c r="G26" s="1560"/>
      <c r="H26" s="1560"/>
      <c r="I26" s="1561"/>
    </row>
    <row r="27" spans="1:9" ht="16" thickBot="1">
      <c r="A27" s="577"/>
      <c r="B27" s="575" t="s">
        <v>1044</v>
      </c>
      <c r="C27" s="1559" t="s">
        <v>1011</v>
      </c>
      <c r="D27" s="1560"/>
      <c r="E27" s="1561"/>
      <c r="F27" s="1559" t="s">
        <v>1013</v>
      </c>
      <c r="G27" s="1560"/>
      <c r="H27" s="1560"/>
      <c r="I27" s="1561"/>
    </row>
    <row r="28" spans="1:9" ht="25" thickBot="1">
      <c r="A28" s="577"/>
      <c r="B28" s="575" t="s">
        <v>1045</v>
      </c>
      <c r="C28" s="1586" t="s">
        <v>1046</v>
      </c>
      <c r="D28" s="1587"/>
      <c r="E28" s="1588"/>
      <c r="F28" s="1559" t="s">
        <v>1013</v>
      </c>
      <c r="G28" s="1560"/>
      <c r="H28" s="1560"/>
      <c r="I28" s="1561"/>
    </row>
    <row r="29" spans="1:9">
      <c r="A29" s="1589"/>
      <c r="B29" s="1578" t="s">
        <v>1047</v>
      </c>
      <c r="C29" s="1591"/>
      <c r="D29" s="1592"/>
      <c r="E29" s="1593"/>
      <c r="F29" s="1580" t="s">
        <v>1013</v>
      </c>
      <c r="G29" s="1581"/>
      <c r="H29" s="1581"/>
      <c r="I29" s="1582"/>
    </row>
    <row r="30" spans="1:9" ht="16" thickBot="1">
      <c r="A30" s="1590"/>
      <c r="B30" s="1579"/>
      <c r="C30" s="1594" t="s">
        <v>1046</v>
      </c>
      <c r="D30" s="1595"/>
      <c r="E30" s="1596"/>
      <c r="F30" s="1583"/>
      <c r="G30" s="1584"/>
      <c r="H30" s="1584"/>
      <c r="I30" s="1585"/>
    </row>
    <row r="31" spans="1:9" ht="37" thickBot="1">
      <c r="A31" s="577"/>
      <c r="B31" s="575" t="s">
        <v>1048</v>
      </c>
      <c r="C31" s="1559" t="s">
        <v>1013</v>
      </c>
      <c r="D31" s="1560"/>
      <c r="E31" s="1560"/>
      <c r="F31" s="1560"/>
      <c r="G31" s="1560"/>
      <c r="H31" s="1560"/>
      <c r="I31" s="1561"/>
    </row>
    <row r="32" spans="1:9">
      <c r="A32" s="579">
        <v>34</v>
      </c>
      <c r="B32" s="580" t="s">
        <v>1049</v>
      </c>
      <c r="C32" s="1567"/>
      <c r="D32" s="1568"/>
      <c r="E32" s="1568"/>
      <c r="F32" s="1568"/>
      <c r="G32" s="1568"/>
      <c r="H32" s="1568"/>
      <c r="I32" s="1569"/>
    </row>
    <row r="33" spans="1:9" ht="43" thickBot="1">
      <c r="A33" s="572">
        <v>35</v>
      </c>
      <c r="B33" s="573" t="s">
        <v>1050</v>
      </c>
      <c r="C33" s="1570"/>
      <c r="D33" s="1571"/>
      <c r="E33" s="1571"/>
      <c r="F33" s="1571"/>
      <c r="G33" s="1571"/>
      <c r="H33" s="1571"/>
      <c r="I33" s="1572"/>
    </row>
    <row r="34" spans="1:9" ht="16" thickBot="1">
      <c r="A34" s="577"/>
      <c r="B34" s="575" t="s">
        <v>1051</v>
      </c>
      <c r="C34" s="1559" t="s">
        <v>1010</v>
      </c>
      <c r="D34" s="1560"/>
      <c r="E34" s="1561"/>
      <c r="F34" s="1559" t="s">
        <v>1052</v>
      </c>
      <c r="G34" s="1561"/>
      <c r="H34" s="576" t="s">
        <v>1053</v>
      </c>
      <c r="I34" s="576" t="s">
        <v>1054</v>
      </c>
    </row>
    <row r="35" spans="1:9" ht="16" thickBot="1">
      <c r="A35" s="577"/>
      <c r="B35" s="575" t="s">
        <v>1055</v>
      </c>
      <c r="C35" s="1559" t="s">
        <v>1053</v>
      </c>
      <c r="D35" s="1560"/>
      <c r="E35" s="1560"/>
      <c r="F35" s="1560"/>
      <c r="G35" s="1560"/>
      <c r="H35" s="1560"/>
      <c r="I35" s="1561"/>
    </row>
    <row r="36" spans="1:9" ht="25" thickBot="1">
      <c r="A36" s="577"/>
      <c r="B36" s="575" t="s">
        <v>1056</v>
      </c>
      <c r="C36" s="1559"/>
      <c r="D36" s="1560"/>
      <c r="E36" s="1561"/>
      <c r="F36" s="1559" t="s">
        <v>1011</v>
      </c>
      <c r="G36" s="1561"/>
      <c r="H36" s="576" t="s">
        <v>1033</v>
      </c>
      <c r="I36" s="576" t="s">
        <v>1031</v>
      </c>
    </row>
    <row r="37" spans="1:9" ht="16" thickBot="1">
      <c r="A37" s="577"/>
      <c r="B37" s="575" t="s">
        <v>1057</v>
      </c>
      <c r="C37" s="1559"/>
      <c r="D37" s="1560"/>
      <c r="E37" s="1561"/>
      <c r="F37" s="1559" t="s">
        <v>1053</v>
      </c>
      <c r="G37" s="1560"/>
      <c r="H37" s="1560"/>
      <c r="I37" s="1561"/>
    </row>
    <row r="38" spans="1:9" ht="25" thickBot="1">
      <c r="A38" s="577"/>
      <c r="B38" s="575" t="s">
        <v>1058</v>
      </c>
      <c r="C38" s="1559"/>
      <c r="D38" s="1560"/>
      <c r="E38" s="1561"/>
      <c r="F38" s="1559" t="s">
        <v>1022</v>
      </c>
      <c r="G38" s="1561"/>
      <c r="H38" s="576"/>
      <c r="I38" s="576"/>
    </row>
    <row r="39" spans="1:9" ht="73" thickBot="1">
      <c r="A39" s="577"/>
      <c r="B39" s="575" t="s">
        <v>1059</v>
      </c>
      <c r="C39" s="1580"/>
      <c r="D39" s="1581"/>
      <c r="E39" s="1582"/>
      <c r="F39" s="1559" t="s">
        <v>1060</v>
      </c>
      <c r="G39" s="1560"/>
      <c r="H39" s="1560"/>
      <c r="I39" s="1561"/>
    </row>
    <row r="40" spans="1:9" ht="25" thickBot="1">
      <c r="A40" s="577"/>
      <c r="B40" s="575" t="s">
        <v>1061</v>
      </c>
      <c r="C40" s="1534"/>
      <c r="D40" s="1535"/>
      <c r="E40" s="1536"/>
      <c r="F40" s="1559" t="s">
        <v>1062</v>
      </c>
      <c r="G40" s="1560"/>
      <c r="H40" s="1560"/>
      <c r="I40" s="1561"/>
    </row>
    <row r="41" spans="1:9" ht="16" thickBot="1">
      <c r="A41" s="577"/>
      <c r="B41" s="575" t="s">
        <v>1063</v>
      </c>
      <c r="C41" s="1583"/>
      <c r="D41" s="1584"/>
      <c r="E41" s="1585"/>
      <c r="F41" s="1559" t="s">
        <v>1064</v>
      </c>
      <c r="G41" s="1560"/>
      <c r="H41" s="1560"/>
      <c r="I41" s="1561"/>
    </row>
    <row r="42" spans="1:9" ht="29" thickBot="1">
      <c r="A42" s="581">
        <v>36</v>
      </c>
      <c r="B42" s="582" t="s">
        <v>1065</v>
      </c>
      <c r="C42" s="1573"/>
      <c r="D42" s="1574"/>
      <c r="E42" s="1574"/>
      <c r="F42" s="1574"/>
      <c r="G42" s="1574"/>
      <c r="H42" s="1574"/>
      <c r="I42" s="1575"/>
    </row>
    <row r="43" spans="1:9" ht="16" thickBot="1">
      <c r="A43" s="574"/>
      <c r="B43" s="575" t="s">
        <v>1066</v>
      </c>
      <c r="C43" s="1559"/>
      <c r="D43" s="1560"/>
      <c r="E43" s="1561"/>
      <c r="F43" s="1559" t="s">
        <v>1011</v>
      </c>
      <c r="G43" s="1560"/>
      <c r="H43" s="1560"/>
      <c r="I43" s="1561"/>
    </row>
    <row r="44" spans="1:9" ht="25" thickBot="1">
      <c r="A44" s="574"/>
      <c r="B44" s="575" t="s">
        <v>1067</v>
      </c>
      <c r="C44" s="1586" t="s">
        <v>1024</v>
      </c>
      <c r="D44" s="1587"/>
      <c r="E44" s="1588"/>
      <c r="F44" s="1559" t="s">
        <v>1013</v>
      </c>
      <c r="G44" s="1560"/>
      <c r="H44" s="1560"/>
      <c r="I44" s="1561"/>
    </row>
    <row r="45" spans="1:9" ht="16" thickBot="1">
      <c r="A45" s="574"/>
      <c r="B45" s="575" t="s">
        <v>1068</v>
      </c>
      <c r="C45" s="1559"/>
      <c r="D45" s="1560"/>
      <c r="E45" s="1561"/>
      <c r="F45" s="1559" t="s">
        <v>1053</v>
      </c>
      <c r="G45" s="1560"/>
      <c r="H45" s="1560"/>
      <c r="I45" s="1561"/>
    </row>
    <row r="46" spans="1:9" ht="16" thickBot="1">
      <c r="A46" s="572">
        <v>39</v>
      </c>
      <c r="B46" s="573" t="s">
        <v>1069</v>
      </c>
      <c r="C46" s="1573"/>
      <c r="D46" s="1574"/>
      <c r="E46" s="1574"/>
      <c r="F46" s="1574"/>
      <c r="G46" s="1574"/>
      <c r="H46" s="1574"/>
      <c r="I46" s="1575"/>
    </row>
    <row r="47" spans="1:9" ht="16" thickBot="1">
      <c r="A47" s="574"/>
      <c r="B47" s="575" t="s">
        <v>1070</v>
      </c>
      <c r="C47" s="576"/>
      <c r="D47" s="1559"/>
      <c r="E47" s="1561"/>
      <c r="F47" s="1559" t="s">
        <v>1011</v>
      </c>
      <c r="G47" s="1561"/>
      <c r="H47" s="576" t="s">
        <v>1012</v>
      </c>
      <c r="I47" s="576" t="s">
        <v>1071</v>
      </c>
    </row>
    <row r="48" spans="1:9">
      <c r="A48" s="579">
        <v>40</v>
      </c>
      <c r="B48" s="1565" t="s">
        <v>1072</v>
      </c>
      <c r="C48" s="1567"/>
      <c r="D48" s="1568"/>
      <c r="E48" s="1568"/>
      <c r="F48" s="1568"/>
      <c r="G48" s="1568"/>
      <c r="H48" s="1568"/>
      <c r="I48" s="1569"/>
    </row>
    <row r="49" spans="1:9" ht="16" thickBot="1">
      <c r="A49" s="572">
        <v>41</v>
      </c>
      <c r="B49" s="1566"/>
      <c r="C49" s="1570"/>
      <c r="D49" s="1571"/>
      <c r="E49" s="1571"/>
      <c r="F49" s="1571"/>
      <c r="G49" s="1571"/>
      <c r="H49" s="1571"/>
      <c r="I49" s="1572"/>
    </row>
    <row r="50" spans="1:9">
      <c r="A50" s="1576"/>
      <c r="B50" s="1578" t="s">
        <v>1073</v>
      </c>
      <c r="C50" s="1580" t="s">
        <v>1010</v>
      </c>
      <c r="D50" s="1581"/>
      <c r="E50" s="1582"/>
      <c r="F50" s="1580" t="s">
        <v>1074</v>
      </c>
      <c r="G50" s="1581"/>
      <c r="H50" s="1581"/>
      <c r="I50" s="1582"/>
    </row>
    <row r="51" spans="1:9" ht="16" thickBot="1">
      <c r="A51" s="1577"/>
      <c r="B51" s="1579"/>
      <c r="C51" s="1583"/>
      <c r="D51" s="1584"/>
      <c r="E51" s="1585"/>
      <c r="F51" s="1583" t="s">
        <v>1075</v>
      </c>
      <c r="G51" s="1584"/>
      <c r="H51" s="1584"/>
      <c r="I51" s="1585"/>
    </row>
    <row r="52" spans="1:9" ht="37" thickBot="1">
      <c r="A52" s="574"/>
      <c r="B52" s="575" t="s">
        <v>1076</v>
      </c>
      <c r="C52" s="1559"/>
      <c r="D52" s="1560"/>
      <c r="E52" s="1560"/>
      <c r="F52" s="1560"/>
      <c r="G52" s="1560"/>
      <c r="H52" s="1560"/>
      <c r="I52" s="1561"/>
    </row>
    <row r="53" spans="1:9">
      <c r="A53" s="1565">
        <v>45</v>
      </c>
      <c r="B53" s="580" t="s">
        <v>1077</v>
      </c>
      <c r="C53" s="1567"/>
      <c r="D53" s="1568"/>
      <c r="E53" s="1568"/>
      <c r="F53" s="1568"/>
      <c r="G53" s="1568"/>
      <c r="H53" s="1568"/>
      <c r="I53" s="1569"/>
    </row>
    <row r="54" spans="1:9" ht="16" thickBot="1">
      <c r="A54" s="1566"/>
      <c r="B54" s="573" t="s">
        <v>1078</v>
      </c>
      <c r="C54" s="1570"/>
      <c r="D54" s="1571"/>
      <c r="E54" s="1571"/>
      <c r="F54" s="1571"/>
      <c r="G54" s="1571"/>
      <c r="H54" s="1571"/>
      <c r="I54" s="1572"/>
    </row>
    <row r="55" spans="1:9" ht="16" thickBot="1">
      <c r="A55" s="574"/>
      <c r="B55" s="575" t="s">
        <v>1079</v>
      </c>
      <c r="C55" s="1559"/>
      <c r="D55" s="1561"/>
      <c r="E55" s="576"/>
      <c r="F55" s="1559" t="s">
        <v>1080</v>
      </c>
      <c r="G55" s="1560"/>
      <c r="H55" s="1560"/>
      <c r="I55" s="1561"/>
    </row>
    <row r="56" spans="1:9">
      <c r="A56" s="1565">
        <v>26</v>
      </c>
      <c r="B56" s="1565" t="s">
        <v>1081</v>
      </c>
      <c r="C56" s="1567"/>
      <c r="D56" s="1568"/>
      <c r="E56" s="1568"/>
      <c r="F56" s="1568"/>
      <c r="G56" s="1568"/>
      <c r="H56" s="1568"/>
      <c r="I56" s="1569"/>
    </row>
    <row r="57" spans="1:9" ht="16" thickBot="1">
      <c r="A57" s="1566"/>
      <c r="B57" s="1566"/>
      <c r="C57" s="1570"/>
      <c r="D57" s="1571"/>
      <c r="E57" s="1571"/>
      <c r="F57" s="1571"/>
      <c r="G57" s="1571"/>
      <c r="H57" s="1571"/>
      <c r="I57" s="1572"/>
    </row>
    <row r="58" spans="1:9" ht="16" thickBot="1">
      <c r="A58" s="574"/>
      <c r="B58" s="575" t="s">
        <v>1082</v>
      </c>
      <c r="C58" s="1559" t="s">
        <v>65</v>
      </c>
      <c r="D58" s="1560"/>
      <c r="E58" s="1561"/>
      <c r="F58" s="1559" t="s">
        <v>65</v>
      </c>
      <c r="G58" s="1561"/>
      <c r="H58" s="576" t="s">
        <v>1083</v>
      </c>
      <c r="I58" s="576" t="s">
        <v>309</v>
      </c>
    </row>
    <row r="59" spans="1:9">
      <c r="A59" s="1511" t="s">
        <v>1084</v>
      </c>
      <c r="B59" s="1512"/>
      <c r="C59" s="1512"/>
      <c r="D59" s="1513"/>
      <c r="E59" s="1562"/>
      <c r="F59" s="1563"/>
      <c r="G59" s="1563"/>
      <c r="H59" s="1563"/>
      <c r="I59" s="1564"/>
    </row>
    <row r="60" spans="1:9">
      <c r="A60" s="1537"/>
      <c r="B60" s="1538"/>
      <c r="C60" s="1538"/>
      <c r="D60" s="1539"/>
      <c r="E60" s="1550" t="s">
        <v>1085</v>
      </c>
      <c r="F60" s="1551"/>
      <c r="G60" s="1551"/>
      <c r="H60" s="1551"/>
      <c r="I60" s="1552"/>
    </row>
    <row r="61" spans="1:9" ht="45" customHeight="1">
      <c r="A61" s="1537" t="s">
        <v>1086</v>
      </c>
      <c r="B61" s="1538"/>
      <c r="C61" s="1538"/>
      <c r="D61" s="1539"/>
      <c r="E61" s="1550"/>
      <c r="F61" s="1551"/>
      <c r="G61" s="1551"/>
      <c r="H61" s="1551"/>
      <c r="I61" s="1552"/>
    </row>
    <row r="62" spans="1:9" ht="16" thickBot="1">
      <c r="A62" s="1531"/>
      <c r="B62" s="1532"/>
      <c r="C62" s="1532"/>
      <c r="D62" s="1533"/>
      <c r="E62" s="1553" t="s">
        <v>1087</v>
      </c>
      <c r="F62" s="1554"/>
      <c r="G62" s="1554"/>
      <c r="H62" s="1554"/>
      <c r="I62" s="1555"/>
    </row>
    <row r="63" spans="1:9">
      <c r="A63" s="1511" t="s">
        <v>1088</v>
      </c>
      <c r="B63" s="1512"/>
      <c r="C63" s="1512"/>
      <c r="D63" s="1513"/>
      <c r="E63" s="1556" t="s">
        <v>1089</v>
      </c>
      <c r="F63" s="1557"/>
      <c r="G63" s="1556"/>
      <c r="H63" s="1558"/>
      <c r="I63" s="1557"/>
    </row>
    <row r="64" spans="1:9">
      <c r="A64" s="1537"/>
      <c r="B64" s="1538"/>
      <c r="C64" s="1538"/>
      <c r="D64" s="1539"/>
      <c r="E64" s="1540"/>
      <c r="F64" s="1541"/>
      <c r="G64" s="1542"/>
      <c r="H64" s="1543"/>
      <c r="I64" s="1544"/>
    </row>
    <row r="65" spans="1:9" ht="56.25" customHeight="1">
      <c r="A65" s="1537" t="s">
        <v>1090</v>
      </c>
      <c r="B65" s="1538"/>
      <c r="C65" s="1538"/>
      <c r="D65" s="1539"/>
      <c r="E65" s="1545" t="s">
        <v>1010</v>
      </c>
      <c r="F65" s="1546"/>
      <c r="G65" s="1547" t="s">
        <v>1091</v>
      </c>
      <c r="H65" s="1548"/>
      <c r="I65" s="1549"/>
    </row>
    <row r="66" spans="1:9">
      <c r="A66" s="1534"/>
      <c r="B66" s="1535"/>
      <c r="C66" s="1535"/>
      <c r="D66" s="1536"/>
      <c r="E66" s="1514" t="s">
        <v>1011</v>
      </c>
      <c r="F66" s="1515"/>
      <c r="G66" s="1528" t="s">
        <v>1092</v>
      </c>
      <c r="H66" s="1529"/>
      <c r="I66" s="1530"/>
    </row>
    <row r="67" spans="1:9">
      <c r="A67" s="1525"/>
      <c r="B67" s="1526"/>
      <c r="C67" s="1526"/>
      <c r="D67" s="1527"/>
      <c r="E67" s="1514" t="s">
        <v>1012</v>
      </c>
      <c r="F67" s="1515"/>
      <c r="G67" s="1528" t="s">
        <v>1093</v>
      </c>
      <c r="H67" s="1529"/>
      <c r="I67" s="1530"/>
    </row>
    <row r="68" spans="1:9">
      <c r="A68" s="1525"/>
      <c r="B68" s="1526"/>
      <c r="C68" s="1526"/>
      <c r="D68" s="1527"/>
      <c r="E68" s="1514" t="s">
        <v>1013</v>
      </c>
      <c r="F68" s="1515"/>
      <c r="G68" s="1528" t="s">
        <v>1094</v>
      </c>
      <c r="H68" s="1529"/>
      <c r="I68" s="1530"/>
    </row>
    <row r="69" spans="1:9" ht="24" customHeight="1">
      <c r="A69" s="1525"/>
      <c r="B69" s="1526"/>
      <c r="C69" s="1526"/>
      <c r="D69" s="1527"/>
      <c r="E69" s="1514" t="s">
        <v>1095</v>
      </c>
      <c r="F69" s="1515"/>
      <c r="G69" s="1528" t="s">
        <v>1096</v>
      </c>
      <c r="H69" s="1529"/>
      <c r="I69" s="1530"/>
    </row>
    <row r="70" spans="1:9">
      <c r="A70" s="1525"/>
      <c r="B70" s="1526"/>
      <c r="C70" s="1526"/>
      <c r="D70" s="1527"/>
      <c r="E70" s="1514" t="s">
        <v>1053</v>
      </c>
      <c r="F70" s="1515"/>
      <c r="G70" s="1528" t="s">
        <v>1097</v>
      </c>
      <c r="H70" s="1529"/>
      <c r="I70" s="1530"/>
    </row>
    <row r="71" spans="1:9">
      <c r="A71" s="1525"/>
      <c r="B71" s="1526"/>
      <c r="C71" s="1526"/>
      <c r="D71" s="1527"/>
      <c r="E71" s="1514" t="s">
        <v>1022</v>
      </c>
      <c r="F71" s="1515"/>
      <c r="G71" s="1528" t="s">
        <v>1098</v>
      </c>
      <c r="H71" s="1529"/>
      <c r="I71" s="1530"/>
    </row>
    <row r="72" spans="1:9">
      <c r="A72" s="1525"/>
      <c r="B72" s="1526"/>
      <c r="C72" s="1526"/>
      <c r="D72" s="1527"/>
      <c r="E72" s="1514" t="s">
        <v>1099</v>
      </c>
      <c r="F72" s="1515"/>
      <c r="G72" s="1528" t="s">
        <v>1100</v>
      </c>
      <c r="H72" s="1529"/>
      <c r="I72" s="1530"/>
    </row>
    <row r="73" spans="1:9">
      <c r="A73" s="1525"/>
      <c r="B73" s="1526"/>
      <c r="C73" s="1526"/>
      <c r="D73" s="1527"/>
      <c r="E73" s="1514" t="s">
        <v>1062</v>
      </c>
      <c r="F73" s="1515"/>
      <c r="G73" s="1528" t="s">
        <v>1101</v>
      </c>
      <c r="H73" s="1529"/>
      <c r="I73" s="1530"/>
    </row>
    <row r="74" spans="1:9">
      <c r="A74" s="1525"/>
      <c r="B74" s="1526"/>
      <c r="C74" s="1526"/>
      <c r="D74" s="1527"/>
      <c r="E74" s="1514" t="s">
        <v>1102</v>
      </c>
      <c r="F74" s="1515"/>
      <c r="G74" s="1528" t="s">
        <v>1103</v>
      </c>
      <c r="H74" s="1529"/>
      <c r="I74" s="1530"/>
    </row>
    <row r="75" spans="1:9">
      <c r="A75" s="1525"/>
      <c r="B75" s="1526"/>
      <c r="C75" s="1526"/>
      <c r="D75" s="1527"/>
      <c r="E75" s="1514" t="s">
        <v>1104</v>
      </c>
      <c r="F75" s="1515"/>
      <c r="G75" s="1528" t="s">
        <v>1105</v>
      </c>
      <c r="H75" s="1529"/>
      <c r="I75" s="1530"/>
    </row>
    <row r="76" spans="1:9">
      <c r="A76" s="1525"/>
      <c r="B76" s="1526"/>
      <c r="C76" s="1526"/>
      <c r="D76" s="1527"/>
      <c r="E76" s="1514" t="s">
        <v>1106</v>
      </c>
      <c r="F76" s="1515"/>
      <c r="G76" s="1528" t="s">
        <v>1107</v>
      </c>
      <c r="H76" s="1529"/>
      <c r="I76" s="1530"/>
    </row>
    <row r="77" spans="1:9" ht="16" thickBot="1">
      <c r="A77" s="1531"/>
      <c r="B77" s="1532"/>
      <c r="C77" s="1532"/>
      <c r="D77" s="1533"/>
      <c r="E77" s="1514" t="s">
        <v>1108</v>
      </c>
      <c r="F77" s="1515"/>
      <c r="G77" s="1528" t="s">
        <v>1109</v>
      </c>
      <c r="H77" s="1529"/>
      <c r="I77" s="1530"/>
    </row>
    <row r="78" spans="1:9">
      <c r="A78" s="1511" t="s">
        <v>1110</v>
      </c>
      <c r="B78" s="1512"/>
      <c r="C78" s="1512"/>
      <c r="D78" s="1513"/>
      <c r="E78" s="1514" t="s">
        <v>65</v>
      </c>
      <c r="F78" s="1515"/>
      <c r="G78" s="1516" t="s">
        <v>1111</v>
      </c>
      <c r="H78" s="1517"/>
      <c r="I78" s="1518"/>
    </row>
    <row r="79" spans="1:9" ht="75.75" customHeight="1" thickBot="1">
      <c r="A79" s="1519" t="s">
        <v>1112</v>
      </c>
      <c r="B79" s="1520"/>
      <c r="C79" s="1520"/>
      <c r="D79" s="1521"/>
      <c r="E79" s="1514" t="s">
        <v>1083</v>
      </c>
      <c r="F79" s="1515"/>
      <c r="G79" s="1522" t="s">
        <v>1113</v>
      </c>
      <c r="H79" s="1523"/>
      <c r="I79" s="1524"/>
    </row>
    <row r="80" spans="1:9" ht="64.5" customHeight="1" thickBot="1">
      <c r="A80" s="1503"/>
      <c r="B80" s="1504"/>
      <c r="C80" s="1504"/>
      <c r="D80" s="1505"/>
      <c r="E80" s="1506" t="s">
        <v>309</v>
      </c>
      <c r="F80" s="1507"/>
      <c r="G80" s="1508" t="s">
        <v>1114</v>
      </c>
      <c r="H80" s="1509"/>
      <c r="I80" s="1510"/>
    </row>
    <row r="81" spans="1:9">
      <c r="A81" s="583"/>
      <c r="B81" s="583"/>
      <c r="C81" s="583"/>
      <c r="D81" s="583"/>
      <c r="E81" s="583"/>
      <c r="F81" s="583"/>
      <c r="G81" s="583"/>
      <c r="H81" s="583"/>
      <c r="I81" s="583"/>
    </row>
    <row r="82" spans="1:9">
      <c r="A82" s="584"/>
    </row>
  </sheetData>
  <sheetProtection algorithmName="SHA-512" hashValue="XlI+H3pfeuopRkurlU8Yb7100FCaYhtg8Zg7mh5sk1wXLG0LrXnUQHzU+OyzzFst9rjnsdki6bX9RzyCy1f43A==" saltValue="R+SFeIUf5Cba2wzEUkyOGg==" spinCount="100000" sheet="1" objects="1" scenarios="1"/>
  <mergeCells count="148">
    <mergeCell ref="A1:A2"/>
    <mergeCell ref="C1:C2"/>
    <mergeCell ref="D1:E2"/>
    <mergeCell ref="F1:G2"/>
    <mergeCell ref="H1:H2"/>
    <mergeCell ref="I1:I2"/>
    <mergeCell ref="C9:I9"/>
    <mergeCell ref="C10:G10"/>
    <mergeCell ref="H10:I10"/>
    <mergeCell ref="C11:G11"/>
    <mergeCell ref="H11:I11"/>
    <mergeCell ref="C12:I12"/>
    <mergeCell ref="C3:I3"/>
    <mergeCell ref="D4:G4"/>
    <mergeCell ref="D5:G5"/>
    <mergeCell ref="C6:I6"/>
    <mergeCell ref="C7:I7"/>
    <mergeCell ref="C8:E8"/>
    <mergeCell ref="F8:I8"/>
    <mergeCell ref="C17:G17"/>
    <mergeCell ref="C18:G18"/>
    <mergeCell ref="A19:A20"/>
    <mergeCell ref="C19:I20"/>
    <mergeCell ref="C21:H21"/>
    <mergeCell ref="C22:I22"/>
    <mergeCell ref="C13:C14"/>
    <mergeCell ref="D13:E14"/>
    <mergeCell ref="F13:G13"/>
    <mergeCell ref="F14:I14"/>
    <mergeCell ref="C15:I15"/>
    <mergeCell ref="C16:H16"/>
    <mergeCell ref="A29:A30"/>
    <mergeCell ref="B29:B30"/>
    <mergeCell ref="C29:E29"/>
    <mergeCell ref="F29:I30"/>
    <mergeCell ref="C30:E30"/>
    <mergeCell ref="D23:G23"/>
    <mergeCell ref="C24:I24"/>
    <mergeCell ref="D25:G25"/>
    <mergeCell ref="C26:I26"/>
    <mergeCell ref="C27:E27"/>
    <mergeCell ref="F27:I27"/>
    <mergeCell ref="C31:I31"/>
    <mergeCell ref="C32:I33"/>
    <mergeCell ref="C34:E34"/>
    <mergeCell ref="F34:G34"/>
    <mergeCell ref="C35:I35"/>
    <mergeCell ref="C36:E36"/>
    <mergeCell ref="F36:G36"/>
    <mergeCell ref="C28:E28"/>
    <mergeCell ref="F28:I28"/>
    <mergeCell ref="C42:I42"/>
    <mergeCell ref="C43:E43"/>
    <mergeCell ref="F43:I43"/>
    <mergeCell ref="C44:E44"/>
    <mergeCell ref="F44:I44"/>
    <mergeCell ref="C45:E45"/>
    <mergeCell ref="F45:I45"/>
    <mergeCell ref="C37:E37"/>
    <mergeCell ref="F37:I37"/>
    <mergeCell ref="C38:E38"/>
    <mergeCell ref="F38:G38"/>
    <mergeCell ref="C39:E41"/>
    <mergeCell ref="F39:I39"/>
    <mergeCell ref="F40:I40"/>
    <mergeCell ref="F41:I41"/>
    <mergeCell ref="C46:I46"/>
    <mergeCell ref="D47:E47"/>
    <mergeCell ref="F47:G47"/>
    <mergeCell ref="B48:B49"/>
    <mergeCell ref="C48:I49"/>
    <mergeCell ref="A50:A51"/>
    <mergeCell ref="B50:B51"/>
    <mergeCell ref="C50:E51"/>
    <mergeCell ref="F50:I50"/>
    <mergeCell ref="F51:I51"/>
    <mergeCell ref="C58:E58"/>
    <mergeCell ref="F58:G58"/>
    <mergeCell ref="A59:D59"/>
    <mergeCell ref="E59:I59"/>
    <mergeCell ref="A60:D60"/>
    <mergeCell ref="E60:I60"/>
    <mergeCell ref="C52:I52"/>
    <mergeCell ref="A53:A54"/>
    <mergeCell ref="C53:I54"/>
    <mergeCell ref="C55:D55"/>
    <mergeCell ref="F55:I55"/>
    <mergeCell ref="A56:A57"/>
    <mergeCell ref="B56:B57"/>
    <mergeCell ref="C56:I57"/>
    <mergeCell ref="A64:D64"/>
    <mergeCell ref="E64:F64"/>
    <mergeCell ref="G64:I64"/>
    <mergeCell ref="A65:D65"/>
    <mergeCell ref="E65:F65"/>
    <mergeCell ref="G65:I65"/>
    <mergeCell ref="A61:D61"/>
    <mergeCell ref="E61:I61"/>
    <mergeCell ref="A62:D62"/>
    <mergeCell ref="E62:I62"/>
    <mergeCell ref="A63:D63"/>
    <mergeCell ref="E63:F63"/>
    <mergeCell ref="G63:I63"/>
    <mergeCell ref="A68:D68"/>
    <mergeCell ref="E68:F68"/>
    <mergeCell ref="G68:I68"/>
    <mergeCell ref="A69:D69"/>
    <mergeCell ref="E69:F69"/>
    <mergeCell ref="G69:I69"/>
    <mergeCell ref="A66:D66"/>
    <mergeCell ref="E66:F66"/>
    <mergeCell ref="G66:I66"/>
    <mergeCell ref="A67:D67"/>
    <mergeCell ref="E67:F67"/>
    <mergeCell ref="G67:I67"/>
    <mergeCell ref="A72:D72"/>
    <mergeCell ref="E72:F72"/>
    <mergeCell ref="G72:I72"/>
    <mergeCell ref="A73:D73"/>
    <mergeCell ref="E73:F73"/>
    <mergeCell ref="G73:I73"/>
    <mergeCell ref="A70:D70"/>
    <mergeCell ref="E70:F70"/>
    <mergeCell ref="G70:I70"/>
    <mergeCell ref="A71:D71"/>
    <mergeCell ref="E71:F71"/>
    <mergeCell ref="G71:I71"/>
    <mergeCell ref="A76:D76"/>
    <mergeCell ref="E76:F76"/>
    <mergeCell ref="G76:I76"/>
    <mergeCell ref="A77:D77"/>
    <mergeCell ref="E77:F77"/>
    <mergeCell ref="G77:I77"/>
    <mergeCell ref="A74:D74"/>
    <mergeCell ref="E74:F74"/>
    <mergeCell ref="G74:I74"/>
    <mergeCell ref="A75:D75"/>
    <mergeCell ref="E75:F75"/>
    <mergeCell ref="G75:I75"/>
    <mergeCell ref="A80:D80"/>
    <mergeCell ref="E80:F80"/>
    <mergeCell ref="G80:I80"/>
    <mergeCell ref="A78:D78"/>
    <mergeCell ref="E78:F78"/>
    <mergeCell ref="G78:I78"/>
    <mergeCell ref="A79:D79"/>
    <mergeCell ref="E79:F79"/>
    <mergeCell ref="G79:I79"/>
  </mergeCells>
  <pageMargins left="0.7" right="0.7" top="0.78740157499999996" bottom="0.78740157499999996" header="0.3" footer="0.3"/>
  <pageSetup paperSize="9" scale="64" orientation="portrait" r:id="rId1"/>
  <rowBreaks count="1" manualBreakCount="1">
    <brk id="41" max="16383"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Tabelle20">
    <tabColor rgb="FFFF9999"/>
  </sheetPr>
  <dimension ref="A1:G78"/>
  <sheetViews>
    <sheetView workbookViewId="0">
      <selection activeCell="D1" sqref="D1:E2"/>
    </sheetView>
  </sheetViews>
  <sheetFormatPr baseColWidth="10" defaultColWidth="10.83203125" defaultRowHeight="15"/>
  <sheetData>
    <row r="1" spans="1:7" ht="45">
      <c r="A1" s="1589" t="s">
        <v>1005</v>
      </c>
      <c r="B1" s="570" t="s">
        <v>1006</v>
      </c>
      <c r="C1" s="1602">
        <v>1</v>
      </c>
      <c r="D1" s="1604">
        <v>2</v>
      </c>
      <c r="E1" s="1604">
        <v>3</v>
      </c>
      <c r="F1" s="1602">
        <v>4</v>
      </c>
      <c r="G1" s="1602">
        <v>5</v>
      </c>
    </row>
    <row r="2" spans="1:7" ht="15.75" customHeight="1" thickBot="1">
      <c r="A2" s="1590"/>
      <c r="B2" s="571" t="s">
        <v>1007</v>
      </c>
      <c r="C2" s="1603"/>
      <c r="D2" s="1606"/>
      <c r="E2" s="1606"/>
      <c r="F2" s="1603"/>
      <c r="G2" s="1603"/>
    </row>
    <row r="3" spans="1:7" ht="71" thickBot="1">
      <c r="A3" s="572">
        <v>27</v>
      </c>
      <c r="B3" s="573" t="s">
        <v>1008</v>
      </c>
      <c r="C3" s="632" t="s">
        <v>1009</v>
      </c>
      <c r="D3" s="633"/>
      <c r="E3" s="633"/>
      <c r="F3" s="633"/>
      <c r="G3" s="634"/>
    </row>
    <row r="4" spans="1:7" ht="49" thickBot="1">
      <c r="A4" s="574"/>
      <c r="B4" s="644" t="s">
        <v>1008</v>
      </c>
      <c r="C4" s="576" t="str">
        <f ca="1">INDIRECT('Hilfstabelle Gebäudeklasse'!$N$4&amp;"!"&amp;ADDRESS(ROW(),COLUMN()))</f>
        <v>ohne</v>
      </c>
      <c r="D4" s="576" t="str">
        <f ca="1">INDIRECT('Hilfstabelle Gebäudeklasse'!$N$4&amp;"!"&amp;ADDRESS(ROW(),COLUMN()))</f>
        <v>fh</v>
      </c>
      <c r="E4" s="576" t="str">
        <f ca="1">INDIRECT('Hilfstabelle Gebäudeklasse'!$N$4&amp;"!"&amp;ADDRESS(ROW(),COLUMN()))</f>
        <v>fh</v>
      </c>
      <c r="F4" s="576" t="str">
        <f ca="1">INDIRECT('Hilfstabelle Gebäudeklasse'!$N$4&amp;"!"&amp;ADDRESS(ROW(),COLUMN()))</f>
        <v>hfh</v>
      </c>
      <c r="G4" s="576" t="str">
        <f ca="1">INDIRECT('Hilfstabelle Gebäudeklasse'!$N$4&amp;"!"&amp;ADDRESS(ROW(),COLUMN()))</f>
        <v>fb</v>
      </c>
    </row>
    <row r="5" spans="1:7" ht="73" thickBot="1">
      <c r="A5" s="574"/>
      <c r="B5" s="575" t="s">
        <v>1014</v>
      </c>
      <c r="C5" s="576" t="str">
        <f ca="1">INDIRECT('Hilfstabelle Gebäudeklasse'!$N$4&amp;"!"&amp;ADDRESS(ROW(),COLUMN()))</f>
        <v>ohne</v>
      </c>
      <c r="D5" s="576" t="str">
        <f ca="1">INDIRECT('Hilfstabelle Gebäudeklasse'!$N$4&amp;"!"&amp;ADDRESS(ROW(),COLUMN()))</f>
        <v>fh</v>
      </c>
      <c r="E5" s="576" t="str">
        <f ca="1">INDIRECT('Hilfstabelle Gebäudeklasse'!$N$4&amp;"!"&amp;ADDRESS(ROW(),COLUMN()))</f>
        <v>fh</v>
      </c>
      <c r="F5" s="576" t="str">
        <f ca="1">INDIRECT('Hilfstabelle Gebäudeklasse'!$N$4&amp;"!"&amp;ADDRESS(ROW(),COLUMN()))</f>
        <v>hfh</v>
      </c>
      <c r="G5" s="576" t="str">
        <f ca="1">INDIRECT('Hilfstabelle Gebäudeklasse'!$N$4&amp;"!"&amp;ADDRESS(ROW(),COLUMN()))</f>
        <v>fb</v>
      </c>
    </row>
    <row r="6" spans="1:7" ht="25" thickBot="1">
      <c r="A6" s="574"/>
      <c r="B6" s="575" t="s">
        <v>1015</v>
      </c>
      <c r="C6" s="576" t="str">
        <f ca="1">INDIRECT('Hilfstabelle Gebäudeklasse'!$N$4&amp;"!"&amp;ADDRESS(ROW(),COLUMN()))</f>
        <v>ohne</v>
      </c>
      <c r="D6" s="576" t="str">
        <f ca="1">INDIRECT('Hilfstabelle Gebäudeklasse'!$N$4&amp;"!"&amp;ADDRESS(ROW(),COLUMN()))</f>
        <v>ohne</v>
      </c>
      <c r="E6" s="576" t="str">
        <f ca="1">INDIRECT('Hilfstabelle Gebäudeklasse'!$N$4&amp;"!"&amp;ADDRESS(ROW(),COLUMN()))</f>
        <v>ohne</v>
      </c>
      <c r="F6" s="576" t="str">
        <f ca="1">INDIRECT('Hilfstabelle Gebäudeklasse'!$N$4&amp;"!"&amp;ADDRESS(ROW(),COLUMN()))</f>
        <v>ohne</v>
      </c>
      <c r="G6" s="576" t="str">
        <f ca="1">INDIRECT('Hilfstabelle Gebäudeklasse'!$N$4&amp;"!"&amp;ADDRESS(ROW(),COLUMN()))</f>
        <v>ohne</v>
      </c>
    </row>
    <row r="7" spans="1:7" ht="85" thickBot="1">
      <c r="A7" s="574"/>
      <c r="B7" s="575" t="s">
        <v>1016</v>
      </c>
      <c r="C7" s="576" t="str">
        <f ca="1">INDIRECT('Hilfstabelle Gebäudeklasse'!$N$4&amp;"!"&amp;ADDRESS(ROW(),COLUMN()))</f>
        <v>ohne</v>
      </c>
      <c r="D7" s="576" t="str">
        <f ca="1">INDIRECT('Hilfstabelle Gebäudeklasse'!$N$4&amp;"!"&amp;ADDRESS(ROW(),COLUMN()))</f>
        <v>ohne</v>
      </c>
      <c r="E7" s="576" t="str">
        <f ca="1">INDIRECT('Hilfstabelle Gebäudeklasse'!$N$4&amp;"!"&amp;ADDRESS(ROW(),COLUMN()))</f>
        <v>ohne</v>
      </c>
      <c r="F7" s="576" t="str">
        <f ca="1">INDIRECT('Hilfstabelle Gebäudeklasse'!$N$4&amp;"!"&amp;ADDRESS(ROW(),COLUMN()))</f>
        <v>ohne</v>
      </c>
      <c r="G7" s="576" t="str">
        <f ca="1">INDIRECT('Hilfstabelle Gebäudeklasse'!$N$4&amp;"!"&amp;ADDRESS(ROW(),COLUMN()))</f>
        <v>ohne</v>
      </c>
    </row>
    <row r="8" spans="1:7" ht="25" thickBot="1">
      <c r="A8" s="574"/>
      <c r="B8" s="575" t="s">
        <v>1017</v>
      </c>
      <c r="C8" s="576" t="str">
        <f ca="1">INDIRECT('Hilfstabelle Gebäudeklasse'!$N$4&amp;"!"&amp;ADDRESS(ROW(),COLUMN()))</f>
        <v>fh</v>
      </c>
      <c r="D8" s="576" t="str">
        <f ca="1">INDIRECT('Hilfstabelle Gebäudeklasse'!$N$4&amp;"!"&amp;ADDRESS(ROW(),COLUMN()))</f>
        <v>fh</v>
      </c>
      <c r="E8" s="576" t="str">
        <f ca="1">INDIRECT('Hilfstabelle Gebäudeklasse'!$N$4&amp;"!"&amp;ADDRESS(ROW(),COLUMN()))</f>
        <v>fb</v>
      </c>
      <c r="F8" s="576" t="str">
        <f ca="1">INDIRECT('Hilfstabelle Gebäudeklasse'!$N$4&amp;"!"&amp;ADDRESS(ROW(),COLUMN()))</f>
        <v>fb</v>
      </c>
      <c r="G8" s="576" t="str">
        <f ca="1">INDIRECT('Hilfstabelle Gebäudeklasse'!$N$4&amp;"!"&amp;ADDRESS(ROW(),COLUMN()))</f>
        <v>fb</v>
      </c>
    </row>
    <row r="9" spans="1:7" ht="29" thickBot="1">
      <c r="A9" s="572">
        <v>28</v>
      </c>
      <c r="B9" s="573" t="s">
        <v>1018</v>
      </c>
      <c r="C9" s="1573"/>
      <c r="D9" s="1574"/>
      <c r="E9" s="1574"/>
      <c r="F9" s="1574"/>
      <c r="G9" s="1575"/>
    </row>
    <row r="10" spans="1:7" ht="37" thickBot="1">
      <c r="A10" s="577"/>
      <c r="B10" s="644" t="s">
        <v>1019</v>
      </c>
      <c r="C10" s="645" t="str">
        <f ca="1">INDIRECT('Hilfstabelle Gebäudeklasse'!$N$4&amp;"!"&amp;ADDRESS(ROW(),COLUMN()))</f>
        <v>ohne</v>
      </c>
      <c r="D10" s="645" t="str">
        <f ca="1">INDIRECT('Hilfstabelle Gebäudeklasse'!$N$4&amp;"!"&amp;ADDRESS(ROW(),COLUMN()))</f>
        <v>ohne</v>
      </c>
      <c r="E10" s="645" t="str">
        <f ca="1">INDIRECT('Hilfstabelle Gebäudeklasse'!$N$4&amp;"!"&amp;ADDRESS(ROW(),COLUMN()))</f>
        <v>ohne</v>
      </c>
      <c r="F10" s="645" t="str">
        <f ca="1">INDIRECT('Hilfstabelle Gebäudeklasse'!$N$4&amp;"!"&amp;ADDRESS(ROW(),COLUMN()))</f>
        <v>nbr oder fh + rB</v>
      </c>
      <c r="G10" s="645" t="str">
        <f ca="1">INDIRECT('Hilfstabelle Gebäudeklasse'!$N$4&amp;"!"&amp;ADDRESS(ROW(),COLUMN()))</f>
        <v>nbr oder fh + rB</v>
      </c>
    </row>
    <row r="11" spans="1:7" ht="85" thickBot="1">
      <c r="A11" s="577"/>
      <c r="B11" s="646" t="s">
        <v>1021</v>
      </c>
      <c r="C11" s="645" t="str">
        <f ca="1">INDIRECT('Hilfstabelle Gebäudeklasse'!$N$4&amp;"!"&amp;ADDRESS(ROW(),COLUMN()))</f>
        <v>ohne</v>
      </c>
      <c r="D11" s="645" t="str">
        <f ca="1">INDIRECT('Hilfstabelle Gebäudeklasse'!$N$4&amp;"!"&amp;ADDRESS(ROW(),COLUMN()))</f>
        <v>ohne</v>
      </c>
      <c r="E11" s="645" t="str">
        <f ca="1">INDIRECT('Hilfstabelle Gebäudeklasse'!$N$4&amp;"!"&amp;ADDRESS(ROW(),COLUMN()))</f>
        <v>ohne</v>
      </c>
      <c r="F11" s="645" t="str">
        <f ca="1">INDIRECT('Hilfstabelle Gebäudeklasse'!$N$4&amp;"!"&amp;ADDRESS(ROW(),COLUMN()))</f>
        <v>sfl</v>
      </c>
      <c r="G11" s="645" t="str">
        <f ca="1">INDIRECT('Hilfstabelle Gebäudeklasse'!$N$4&amp;"!"&amp;ADDRESS(ROW(),COLUMN()))</f>
        <v>sfl</v>
      </c>
    </row>
    <row r="12" spans="1:7" ht="29" thickBot="1">
      <c r="A12" s="572">
        <v>29</v>
      </c>
      <c r="B12" s="573" t="s">
        <v>1023</v>
      </c>
      <c r="C12" s="629"/>
      <c r="D12" s="630"/>
      <c r="E12" s="630"/>
      <c r="F12" s="630"/>
      <c r="G12" s="631"/>
    </row>
    <row r="13" spans="1:7" ht="43" thickBot="1">
      <c r="A13" s="577"/>
      <c r="B13" s="644" t="s">
        <v>1023</v>
      </c>
      <c r="C13" s="645" t="str">
        <f ca="1">INDIRECT('Hilfstabelle Gebäudeklasse'!$N$4&amp;"!"&amp;ADDRESS(ROW(),COLUMN()))</f>
        <v>fh, bei Wohngebäuden ohne</v>
      </c>
      <c r="D13" s="645" t="str">
        <f ca="1">INDIRECT('Hilfstabelle Gebäudeklasse'!$N$4&amp;"!"&amp;ADDRESS(ROW(),COLUMN()))</f>
        <v>fh + rB, bei Wohngebäuden ohne</v>
      </c>
      <c r="E13" s="645" t="str">
        <f ca="1">INDIRECT('Hilfstabelle Gebäudeklasse'!$N$4&amp;"!"&amp;ADDRESS(ROW(),COLUMN()))</f>
        <v>fh+rB</v>
      </c>
      <c r="F13" s="645" t="str">
        <f ca="1">INDIRECT('Hilfstabelle Gebäudeklasse'!$N$4&amp;"!"&amp;ADDRESS(ROW(),COLUMN()))</f>
        <v>hfh+rB</v>
      </c>
      <c r="G13" s="645" t="str">
        <f ca="1">INDIRECT('Hilfstabelle Gebäudeklasse'!$N$4&amp;"!"&amp;ADDRESS(ROW(),COLUMN()))</f>
        <v>fb+rB</v>
      </c>
    </row>
    <row r="14" spans="1:7" ht="49" thickBot="1">
      <c r="A14" s="577"/>
      <c r="B14" s="575" t="s">
        <v>1029</v>
      </c>
      <c r="C14" s="645" t="str">
        <f ca="1">INDIRECT('Hilfstabelle Gebäudeklasse'!$N$4&amp;"!"&amp;ADDRESS(ROW(),COLUMN()))</f>
        <v>fh, bei Wohngebäuden ohne</v>
      </c>
      <c r="D14" s="645" t="str">
        <f ca="1">INDIRECT('Hilfstabelle Gebäudeklasse'!$N$4&amp;"!"&amp;ADDRESS(ROW(),COLUMN()))</f>
        <v>fh + rB, bei Wohngebäuden ohne</v>
      </c>
      <c r="E14" s="645" t="str">
        <f ca="1">INDIRECT('Hilfstabelle Gebäudeklasse'!$N$4&amp;"!"&amp;ADDRESS(ROW(),COLUMN()))</f>
        <v>fh+rB</v>
      </c>
      <c r="F14" s="645" t="str">
        <f ca="1">INDIRECT('Hilfstabelle Gebäudeklasse'!$N$4&amp;"!"&amp;ADDRESS(ROW(),COLUMN()))</f>
        <v>fh+rB</v>
      </c>
      <c r="G14" s="645" t="str">
        <f ca="1">INDIRECT('Hilfstabelle Gebäudeklasse'!$N$4&amp;"!"&amp;ADDRESS(ROW(),COLUMN()))</f>
        <v>fh+rB</v>
      </c>
    </row>
    <row r="15" spans="1:7" ht="29" thickBot="1">
      <c r="A15" s="572">
        <v>30</v>
      </c>
      <c r="B15" s="573" t="s">
        <v>1030</v>
      </c>
      <c r="C15" s="1573"/>
      <c r="D15" s="1574"/>
      <c r="E15" s="1574"/>
      <c r="F15" s="1574"/>
      <c r="G15" s="1575"/>
    </row>
    <row r="16" spans="1:7" ht="16" thickBot="1">
      <c r="A16" s="577"/>
      <c r="B16" s="575" t="s">
        <v>1030</v>
      </c>
      <c r="C16" s="576">
        <f ca="1">INDIRECT('Hilfstabelle Gebäudeklasse'!$N$4&amp;"!"&amp;ADDRESS(ROW(),COLUMN()))</f>
        <v>0</v>
      </c>
      <c r="D16" s="576">
        <f ca="1">INDIRECT('Hilfstabelle Gebäudeklasse'!$N$4&amp;"!"&amp;ADDRESS(ROW(),COLUMN()))</f>
        <v>0</v>
      </c>
      <c r="E16" s="576">
        <f ca="1">INDIRECT('Hilfstabelle Gebäudeklasse'!$N$4&amp;"!"&amp;ADDRESS(ROW(),COLUMN()))</f>
        <v>0</v>
      </c>
      <c r="F16" s="576">
        <f ca="1">INDIRECT('Hilfstabelle Gebäudeklasse'!$N$4&amp;"!"&amp;ADDRESS(ROW(),COLUMN()))</f>
        <v>0</v>
      </c>
      <c r="G16" s="576" t="str">
        <f ca="1">INDIRECT('Hilfstabelle Gebäudeklasse'!$N$4&amp;"!"&amp;ADDRESS(ROW(),COLUMN()))</f>
        <v>fb+M</v>
      </c>
    </row>
    <row r="17" spans="1:7" ht="37" thickBot="1">
      <c r="A17" s="577"/>
      <c r="B17" s="575" t="s">
        <v>1032</v>
      </c>
      <c r="C17" s="576" t="str">
        <f ca="1">INDIRECT('Hilfstabelle Gebäudeklasse'!$N$4&amp;"!"&amp;ADDRESS(ROW(),COLUMN()))</f>
        <v>hfh</v>
      </c>
      <c r="D17" s="576" t="str">
        <f ca="1">INDIRECT('Hilfstabelle Gebäudeklasse'!$N$4&amp;"!"&amp;ADDRESS(ROW(),COLUMN()))</f>
        <v>hfh</v>
      </c>
      <c r="E17" s="576" t="str">
        <f ca="1">INDIRECT('Hilfstabelle Gebäudeklasse'!$N$4&amp;"!"&amp;ADDRESS(ROW(),COLUMN()))</f>
        <v>hfh</v>
      </c>
      <c r="F17" s="576" t="str">
        <f ca="1">INDIRECT('Hilfstabelle Gebäudeklasse'!$N$4&amp;"!"&amp;ADDRESS(ROW(),COLUMN()))</f>
        <v>hfh+M</v>
      </c>
      <c r="G17" s="576">
        <f ca="1">INDIRECT('Hilfstabelle Gebäudeklasse'!$N$4&amp;"!"&amp;ADDRESS(ROW(),COLUMN()))</f>
        <v>0</v>
      </c>
    </row>
    <row r="18" spans="1:7" ht="25" thickBot="1">
      <c r="A18" s="577"/>
      <c r="B18" s="575" t="s">
        <v>1034</v>
      </c>
      <c r="C18" s="576" t="str">
        <f ca="1">INDIRECT('Hilfstabelle Gebäudeklasse'!$N$4&amp;"!"&amp;ADDRESS(ROW(),COLUMN()))</f>
        <v>ia:fh + ai:fb</v>
      </c>
      <c r="D18" s="576" t="str">
        <f ca="1">INDIRECT('Hilfstabelle Gebäudeklasse'!$N$4&amp;"!"&amp;ADDRESS(ROW(),COLUMN()))</f>
        <v>ia:fh + ai:fb</v>
      </c>
      <c r="E18" s="576" t="str">
        <f ca="1">INDIRECT('Hilfstabelle Gebäudeklasse'!$N$4&amp;"!"&amp;ADDRESS(ROW(),COLUMN()))</f>
        <v>ia:fh + ai:fb</v>
      </c>
      <c r="F18" s="576" t="str">
        <f ca="1">INDIRECT('Hilfstabelle Gebäudeklasse'!$N$4&amp;"!"&amp;ADDRESS(ROW(),COLUMN()))</f>
        <v>hfh+M</v>
      </c>
      <c r="G18" s="576" t="str">
        <f ca="1">INDIRECT('Hilfstabelle Gebäudeklasse'!$N$4&amp;"!"&amp;ADDRESS(ROW(),COLUMN()))</f>
        <v>fb+M</v>
      </c>
    </row>
    <row r="19" spans="1:7" ht="85" thickBot="1">
      <c r="A19" s="1589"/>
      <c r="B19" s="578" t="s">
        <v>1036</v>
      </c>
      <c r="C19" s="576" t="str">
        <f ca="1">INDIRECT('Hilfstabelle Gebäudeklasse'!$N$4&amp;"!"&amp;ADDRESS(ROW(),COLUMN()))</f>
        <v>fb</v>
      </c>
      <c r="D19" s="576" t="str">
        <f ca="1">INDIRECT('Hilfstabelle Gebäudeklasse'!$N$4&amp;"!"&amp;ADDRESS(ROW(),COLUMN()))</f>
        <v>fb</v>
      </c>
      <c r="E19" s="576" t="str">
        <f ca="1">INDIRECT('Hilfstabelle Gebäudeklasse'!$N$4&amp;"!"&amp;ADDRESS(ROW(),COLUMN()))</f>
        <v>fb</v>
      </c>
      <c r="F19" s="576" t="str">
        <f ca="1">INDIRECT('Hilfstabelle Gebäudeklasse'!$N$4&amp;"!"&amp;ADDRESS(ROW(),COLUMN()))</f>
        <v>fb</v>
      </c>
      <c r="G19" s="576" t="str">
        <f ca="1">INDIRECT('Hilfstabelle Gebäudeklasse'!$N$4&amp;"!"&amp;ADDRESS(ROW(),COLUMN()))</f>
        <v>fb</v>
      </c>
    </row>
    <row r="20" spans="1:7" ht="16" thickBot="1">
      <c r="A20" s="1590"/>
      <c r="B20" s="575" t="s">
        <v>1037</v>
      </c>
      <c r="C20" s="576">
        <f ca="1">INDIRECT('Hilfstabelle Gebäudeklasse'!$N$4&amp;"!"&amp;ADDRESS(ROW(),COLUMN()))</f>
        <v>0</v>
      </c>
      <c r="D20" s="576">
        <f ca="1">INDIRECT('Hilfstabelle Gebäudeklasse'!$N$4&amp;"!"&amp;ADDRESS(ROW(),COLUMN()))</f>
        <v>0</v>
      </c>
      <c r="E20" s="576">
        <f ca="1">INDIRECT('Hilfstabelle Gebäudeklasse'!$N$4&amp;"!"&amp;ADDRESS(ROW(),COLUMN()))</f>
        <v>0</v>
      </c>
      <c r="F20" s="576">
        <f ca="1">INDIRECT('Hilfstabelle Gebäudeklasse'!$N$4&amp;"!"&amp;ADDRESS(ROW(),COLUMN()))</f>
        <v>0</v>
      </c>
      <c r="G20" s="576">
        <f ca="1">INDIRECT('Hilfstabelle Gebäudeklasse'!$N$4&amp;"!"&amp;ADDRESS(ROW(),COLUMN()))</f>
        <v>0</v>
      </c>
    </row>
    <row r="21" spans="1:7" ht="109" thickBot="1">
      <c r="A21" s="577"/>
      <c r="B21" s="575" t="s">
        <v>1038</v>
      </c>
      <c r="C21" s="576" t="str">
        <f ca="1">INDIRECT('Hilfstabelle Gebäudeklasse'!$N$4&amp;"!"&amp;ADDRESS(ROW(),COLUMN()))</f>
        <v>hfh+dts</v>
      </c>
      <c r="D21" s="576" t="str">
        <f ca="1">INDIRECT('Hilfstabelle Gebäudeklasse'!$N$4&amp;"!"&amp;ADDRESS(ROW(),COLUMN()))</f>
        <v>hfh+dts</v>
      </c>
      <c r="E21" s="576" t="str">
        <f ca="1">INDIRECT('Hilfstabelle Gebäudeklasse'!$N$4&amp;"!"&amp;ADDRESS(ROW(),COLUMN()))</f>
        <v>hfh+dts</v>
      </c>
      <c r="F21" s="576" t="str">
        <f ca="1">INDIRECT('Hilfstabelle Gebäudeklasse'!$N$4&amp;"!"&amp;ADDRESS(ROW(),COLUMN()))</f>
        <v>hfh+dts</v>
      </c>
      <c r="G21" s="576" t="str">
        <f ca="1">INDIRECT('Hilfstabelle Gebäudeklasse'!$N$4&amp;"!"&amp;ADDRESS(ROW(),COLUMN()))</f>
        <v>fb+dts</v>
      </c>
    </row>
    <row r="22" spans="1:7" ht="16" thickBot="1">
      <c r="A22" s="572">
        <v>31</v>
      </c>
      <c r="B22" s="573" t="s">
        <v>967</v>
      </c>
      <c r="C22" s="629"/>
      <c r="D22" s="630"/>
      <c r="E22" s="630"/>
      <c r="F22" s="630"/>
      <c r="G22" s="631"/>
    </row>
    <row r="23" spans="1:7" ht="16" thickBot="1">
      <c r="A23" s="577"/>
      <c r="B23" s="644" t="s">
        <v>967</v>
      </c>
      <c r="C23" s="645" t="str">
        <f ca="1">INDIRECT('Hilfstabelle Gebäudeklasse'!$N$4&amp;"!"&amp;ADDRESS(ROW(),COLUMN()))</f>
        <v>ohne</v>
      </c>
      <c r="D23" s="645" t="str">
        <f ca="1">INDIRECT('Hilfstabelle Gebäudeklasse'!$N$4&amp;"!"&amp;ADDRESS(ROW(),COLUMN()))</f>
        <v>fh</v>
      </c>
      <c r="E23" s="645" t="str">
        <f ca="1">INDIRECT('Hilfstabelle Gebäudeklasse'!$N$4&amp;"!"&amp;ADDRESS(ROW(),COLUMN()))</f>
        <v>fh</v>
      </c>
      <c r="F23" s="645" t="str">
        <f ca="1">INDIRECT('Hilfstabelle Gebäudeklasse'!$N$4&amp;"!"&amp;ADDRESS(ROW(),COLUMN()))</f>
        <v>hfh</v>
      </c>
      <c r="G23" s="645" t="str">
        <f ca="1">INDIRECT('Hilfstabelle Gebäudeklasse'!$N$4&amp;"!"&amp;ADDRESS(ROW(),COLUMN()))</f>
        <v>fb</v>
      </c>
    </row>
    <row r="24" spans="1:7" ht="73" thickBot="1">
      <c r="A24" s="577"/>
      <c r="B24" s="644" t="s">
        <v>1041</v>
      </c>
      <c r="C24" s="645" t="str">
        <f ca="1">INDIRECT('Hilfstabelle Gebäudeklasse'!$N$4&amp;"!"&amp;ADDRESS(ROW(),COLUMN()))</f>
        <v>ohne</v>
      </c>
      <c r="D24" s="645" t="str">
        <f ca="1">INDIRECT('Hilfstabelle Gebäudeklasse'!$N$4&amp;"!"&amp;ADDRESS(ROW(),COLUMN()))</f>
        <v>ohne</v>
      </c>
      <c r="E24" s="645" t="str">
        <f ca="1">INDIRECT('Hilfstabelle Gebäudeklasse'!$N$4&amp;"!"&amp;ADDRESS(ROW(),COLUMN()))</f>
        <v>ohne</v>
      </c>
      <c r="F24" s="645" t="str">
        <f ca="1">INDIRECT('Hilfstabelle Gebäudeklasse'!$N$4&amp;"!"&amp;ADDRESS(ROW(),COLUMN()))</f>
        <v>ohne</v>
      </c>
      <c r="G24" s="645" t="str">
        <f ca="1">INDIRECT('Hilfstabelle Gebäudeklasse'!$N$4&amp;"!"&amp;ADDRESS(ROW(),COLUMN()))</f>
        <v>ohne</v>
      </c>
    </row>
    <row r="25" spans="1:7" ht="73" thickBot="1">
      <c r="A25" s="577"/>
      <c r="B25" s="644" t="s">
        <v>1042</v>
      </c>
      <c r="C25" s="645" t="str">
        <f ca="1">INDIRECT('Hilfstabelle Gebäudeklasse'!$N$4&amp;"!"&amp;ADDRESS(ROW(),COLUMN()))</f>
        <v>ohne</v>
      </c>
      <c r="D25" s="645" t="str">
        <f ca="1">INDIRECT('Hilfstabelle Gebäudeklasse'!$N$4&amp;"!"&amp;ADDRESS(ROW(),COLUMN()))</f>
        <v>fh</v>
      </c>
      <c r="E25" s="645" t="str">
        <f ca="1">INDIRECT('Hilfstabelle Gebäudeklasse'!$N$4&amp;"!"&amp;ADDRESS(ROW(),COLUMN()))</f>
        <v>fh</v>
      </c>
      <c r="F25" s="645" t="str">
        <f ca="1">INDIRECT('Hilfstabelle Gebäudeklasse'!$N$4&amp;"!"&amp;ADDRESS(ROW(),COLUMN()))</f>
        <v>hfh</v>
      </c>
      <c r="G25" s="645" t="str">
        <f ca="1">INDIRECT('Hilfstabelle Gebäudeklasse'!$N$4&amp;"!"&amp;ADDRESS(ROW(),COLUMN()))</f>
        <v>fb</v>
      </c>
    </row>
    <row r="26" spans="1:7" ht="61" thickBot="1">
      <c r="A26" s="577"/>
      <c r="B26" s="575" t="s">
        <v>1043</v>
      </c>
      <c r="C26" s="645" t="str">
        <f ca="1">INDIRECT('Hilfstabelle Gebäudeklasse'!$N$4&amp;"!"&amp;ADDRESS(ROW(),COLUMN()))</f>
        <v>ohne</v>
      </c>
      <c r="D26" s="645" t="str">
        <f ca="1">INDIRECT('Hilfstabelle Gebäudeklasse'!$N$4&amp;"!"&amp;ADDRESS(ROW(),COLUMN()))</f>
        <v>ohne</v>
      </c>
      <c r="E26" s="645" t="str">
        <f ca="1">INDIRECT('Hilfstabelle Gebäudeklasse'!$N$4&amp;"!"&amp;ADDRESS(ROW(),COLUMN()))</f>
        <v>ohne</v>
      </c>
      <c r="F26" s="645" t="str">
        <f ca="1">INDIRECT('Hilfstabelle Gebäudeklasse'!$N$4&amp;"!"&amp;ADDRESS(ROW(),COLUMN()))</f>
        <v>ohne</v>
      </c>
      <c r="G26" s="645" t="str">
        <f ca="1">INDIRECT('Hilfstabelle Gebäudeklasse'!$N$4&amp;"!"&amp;ADDRESS(ROW(),COLUMN()))</f>
        <v>ohne</v>
      </c>
    </row>
    <row r="27" spans="1:7" ht="25" thickBot="1">
      <c r="A27" s="577"/>
      <c r="B27" s="575" t="s">
        <v>1044</v>
      </c>
      <c r="C27" s="645" t="str">
        <f ca="1">INDIRECT('Hilfstabelle Gebäudeklasse'!$N$4&amp;"!"&amp;ADDRESS(ROW(),COLUMN()))</f>
        <v>fh</v>
      </c>
      <c r="D27" s="645" t="str">
        <f ca="1">INDIRECT('Hilfstabelle Gebäudeklasse'!$N$4&amp;"!"&amp;ADDRESS(ROW(),COLUMN()))</f>
        <v>fh</v>
      </c>
      <c r="E27" s="645" t="str">
        <f ca="1">INDIRECT('Hilfstabelle Gebäudeklasse'!$N$4&amp;"!"&amp;ADDRESS(ROW(),COLUMN()))</f>
        <v>fb</v>
      </c>
      <c r="F27" s="645" t="str">
        <f ca="1">INDIRECT('Hilfstabelle Gebäudeklasse'!$N$4&amp;"!"&amp;ADDRESS(ROW(),COLUMN()))</f>
        <v>fb</v>
      </c>
      <c r="G27" s="645" t="str">
        <f ca="1">INDIRECT('Hilfstabelle Gebäudeklasse'!$N$4&amp;"!"&amp;ADDRESS(ROW(),COLUMN()))</f>
        <v>fb</v>
      </c>
    </row>
    <row r="28" spans="1:7" ht="49" thickBot="1">
      <c r="A28" s="577"/>
      <c r="B28" s="575" t="s">
        <v>1045</v>
      </c>
      <c r="C28" s="645" t="str">
        <f ca="1">INDIRECT('Hilfstabelle Gebäudeklasse'!$N$4&amp;"!"&amp;ADDRESS(ROW(),COLUMN()))</f>
        <v>fb, bei Wohngebäuden ohne</v>
      </c>
      <c r="D28" s="645" t="str">
        <f ca="1">INDIRECT('Hilfstabelle Gebäudeklasse'!$N$4&amp;"!"&amp;ADDRESS(ROW(),COLUMN()))</f>
        <v>fb, bei Wohngebäuden ohne</v>
      </c>
      <c r="E28" s="645" t="str">
        <f ca="1">INDIRECT('Hilfstabelle Gebäudeklasse'!$N$4&amp;"!"&amp;ADDRESS(ROW(),COLUMN()))</f>
        <v>fb</v>
      </c>
      <c r="F28" s="645" t="str">
        <f ca="1">INDIRECT('Hilfstabelle Gebäudeklasse'!$N$4&amp;"!"&amp;ADDRESS(ROW(),COLUMN()))</f>
        <v>fb</v>
      </c>
      <c r="G28" s="645" t="str">
        <f ca="1">INDIRECT('Hilfstabelle Gebäudeklasse'!$N$4&amp;"!"&amp;ADDRESS(ROW(),COLUMN()))</f>
        <v>fb</v>
      </c>
    </row>
    <row r="29" spans="1:7" ht="73" thickBot="1">
      <c r="A29" s="577"/>
      <c r="B29" s="575" t="s">
        <v>1047</v>
      </c>
      <c r="C29" s="645" t="str">
        <f ca="1">INDIRECT('Hilfstabelle Gebäudeklasse'!$N$4&amp;"!"&amp;ADDRESS(ROW(),COLUMN()))</f>
        <v>fb, bei Wohngebäuden ohne</v>
      </c>
      <c r="D29" s="645" t="str">
        <f ca="1">INDIRECT('Hilfstabelle Gebäudeklasse'!$N$4&amp;"!"&amp;ADDRESS(ROW(),COLUMN()))</f>
        <v>fb, bei Wohngebäuden ohne</v>
      </c>
      <c r="E29" s="645" t="str">
        <f ca="1">INDIRECT('Hilfstabelle Gebäudeklasse'!$N$4&amp;"!"&amp;ADDRESS(ROW(),COLUMN()))</f>
        <v>fb</v>
      </c>
      <c r="F29" s="645" t="str">
        <f ca="1">INDIRECT('Hilfstabelle Gebäudeklasse'!$N$4&amp;"!"&amp;ADDRESS(ROW(),COLUMN()))</f>
        <v>fb</v>
      </c>
      <c r="G29" s="645" t="str">
        <f ca="1">INDIRECT('Hilfstabelle Gebäudeklasse'!$N$4&amp;"!"&amp;ADDRESS(ROW(),COLUMN()))</f>
        <v>fb</v>
      </c>
    </row>
    <row r="30" spans="1:7" ht="73" thickBot="1">
      <c r="A30" s="577"/>
      <c r="B30" s="575" t="s">
        <v>1048</v>
      </c>
      <c r="C30" s="645" t="str">
        <f ca="1">INDIRECT('Hilfstabelle Gebäudeklasse'!$N$4&amp;"!"&amp;ADDRESS(ROW(),COLUMN()))</f>
        <v>fb</v>
      </c>
      <c r="D30" s="645" t="str">
        <f ca="1">INDIRECT('Hilfstabelle Gebäudeklasse'!$N$4&amp;"!"&amp;ADDRESS(ROW(),COLUMN()))</f>
        <v>fb</v>
      </c>
      <c r="E30" s="645" t="str">
        <f ca="1">INDIRECT('Hilfstabelle Gebäudeklasse'!$N$4&amp;"!"&amp;ADDRESS(ROW(),COLUMN()))</f>
        <v>fb</v>
      </c>
      <c r="F30" s="645" t="str">
        <f ca="1">INDIRECT('Hilfstabelle Gebäudeklasse'!$N$4&amp;"!"&amp;ADDRESS(ROW(),COLUMN()))</f>
        <v>fb</v>
      </c>
      <c r="G30" s="645" t="str">
        <f ca="1">INDIRECT('Hilfstabelle Gebäudeklasse'!$N$4&amp;"!"&amp;ADDRESS(ROW(),COLUMN()))</f>
        <v>fb</v>
      </c>
    </row>
    <row r="31" spans="1:7" ht="28">
      <c r="A31" s="579">
        <v>34</v>
      </c>
      <c r="B31" s="580" t="s">
        <v>1049</v>
      </c>
      <c r="C31" s="635"/>
      <c r="D31" s="636"/>
      <c r="E31" s="636"/>
      <c r="F31" s="636"/>
      <c r="G31" s="637"/>
    </row>
    <row r="32" spans="1:7" ht="57" thickBot="1">
      <c r="A32" s="572">
        <v>35</v>
      </c>
      <c r="B32" s="573" t="s">
        <v>1050</v>
      </c>
      <c r="C32" s="638"/>
      <c r="D32" s="639"/>
      <c r="E32" s="639"/>
      <c r="F32" s="639"/>
      <c r="G32" s="640"/>
    </row>
    <row r="33" spans="1:7" ht="25" thickBot="1">
      <c r="A33" s="577"/>
      <c r="B33" s="575" t="s">
        <v>1051</v>
      </c>
      <c r="C33" s="576" t="str">
        <f ca="1">INDIRECT('Hilfstabelle Gebäudeklasse'!$N$4&amp;"!"&amp;ADDRESS(ROW(),COLUMN()))</f>
        <v>ohne</v>
      </c>
      <c r="D33" s="576" t="str">
        <f ca="1">INDIRECT('Hilfstabelle Gebäudeklasse'!$N$4&amp;"!"&amp;ADDRESS(ROW(),COLUMN()))</f>
        <v>ohne</v>
      </c>
      <c r="E33" s="576" t="str">
        <f ca="1">INDIRECT('Hilfstabelle Gebäudeklasse'!$N$4&amp;"!"&amp;ADDRESS(ROW(),COLUMN()))</f>
        <v>nbr oder fh</v>
      </c>
      <c r="F33" s="576" t="str">
        <f ca="1">INDIRECT('Hilfstabelle Gebäudeklasse'!$N$4&amp;"!"&amp;ADDRESS(ROW(),COLUMN()))</f>
        <v>nbr</v>
      </c>
      <c r="G33" s="576" t="str">
        <f ca="1">INDIRECT('Hilfstabelle Gebäudeklasse'!$N$4&amp;"!"&amp;ADDRESS(ROW(),COLUMN()))</f>
        <v>fh+nbr</v>
      </c>
    </row>
    <row r="34" spans="1:7" ht="25" thickBot="1">
      <c r="A34" s="577"/>
      <c r="B34" s="575" t="s">
        <v>1055</v>
      </c>
      <c r="C34" s="576" t="str">
        <f ca="1">INDIRECT('Hilfstabelle Gebäudeklasse'!$N$4&amp;"!"&amp;ADDRESS(ROW(),COLUMN()))</f>
        <v>nbr</v>
      </c>
      <c r="D34" s="576" t="str">
        <f ca="1">INDIRECT('Hilfstabelle Gebäudeklasse'!$N$4&amp;"!"&amp;ADDRESS(ROW(),COLUMN()))</f>
        <v>nbr</v>
      </c>
      <c r="E34" s="576" t="str">
        <f ca="1">INDIRECT('Hilfstabelle Gebäudeklasse'!$N$4&amp;"!"&amp;ADDRESS(ROW(),COLUMN()))</f>
        <v>nbr</v>
      </c>
      <c r="F34" s="576" t="str">
        <f ca="1">INDIRECT('Hilfstabelle Gebäudeklasse'!$N$4&amp;"!"&amp;ADDRESS(ROW(),COLUMN()))</f>
        <v>nbr</v>
      </c>
      <c r="G34" s="576" t="str">
        <f ca="1">INDIRECT('Hilfstabelle Gebäudeklasse'!$N$4&amp;"!"&amp;ADDRESS(ROW(),COLUMN()))</f>
        <v>nbr</v>
      </c>
    </row>
    <row r="35" spans="1:7" ht="37" thickBot="1">
      <c r="A35" s="577"/>
      <c r="B35" s="575" t="s">
        <v>1056</v>
      </c>
      <c r="C35" s="576">
        <f ca="1">INDIRECT('Hilfstabelle Gebäudeklasse'!$N$4&amp;"!"&amp;ADDRESS(ROW(),COLUMN()))</f>
        <v>0</v>
      </c>
      <c r="D35" s="576">
        <f ca="1">INDIRECT('Hilfstabelle Gebäudeklasse'!$N$4&amp;"!"&amp;ADDRESS(ROW(),COLUMN()))</f>
        <v>0</v>
      </c>
      <c r="E35" s="576" t="str">
        <f ca="1">INDIRECT('Hilfstabelle Gebäudeklasse'!$N$4&amp;"!"&amp;ADDRESS(ROW(),COLUMN()))</f>
        <v>fh</v>
      </c>
      <c r="F35" s="576" t="str">
        <f ca="1">INDIRECT('Hilfstabelle Gebäudeklasse'!$N$4&amp;"!"&amp;ADDRESS(ROW(),COLUMN()))</f>
        <v>hfh+M</v>
      </c>
      <c r="G35" s="576" t="str">
        <f ca="1">INDIRECT('Hilfstabelle Gebäudeklasse'!$N$4&amp;"!"&amp;ADDRESS(ROW(),COLUMN()))</f>
        <v>fb+M</v>
      </c>
    </row>
    <row r="36" spans="1:7" ht="25" thickBot="1">
      <c r="A36" s="577"/>
      <c r="B36" s="575" t="s">
        <v>1057</v>
      </c>
      <c r="C36" s="576">
        <f ca="1">INDIRECT('Hilfstabelle Gebäudeklasse'!$N$4&amp;"!"&amp;ADDRESS(ROW(),COLUMN()))</f>
        <v>0</v>
      </c>
      <c r="D36" s="576">
        <f ca="1">INDIRECT('Hilfstabelle Gebäudeklasse'!$N$4&amp;"!"&amp;ADDRESS(ROW(),COLUMN()))</f>
        <v>0</v>
      </c>
      <c r="E36" s="576" t="str">
        <f ca="1">INDIRECT('Hilfstabelle Gebäudeklasse'!$N$4&amp;"!"&amp;ADDRESS(ROW(),COLUMN()))</f>
        <v>nbr</v>
      </c>
      <c r="F36" s="576" t="str">
        <f ca="1">INDIRECT('Hilfstabelle Gebäudeklasse'!$N$4&amp;"!"&amp;ADDRESS(ROW(),COLUMN()))</f>
        <v>nbr</v>
      </c>
      <c r="G36" s="576" t="str">
        <f ca="1">INDIRECT('Hilfstabelle Gebäudeklasse'!$N$4&amp;"!"&amp;ADDRESS(ROW(),COLUMN()))</f>
        <v>nbr</v>
      </c>
    </row>
    <row r="37" spans="1:7" ht="37" thickBot="1">
      <c r="A37" s="577"/>
      <c r="B37" s="575" t="s">
        <v>1058</v>
      </c>
      <c r="C37" s="576">
        <f ca="1">INDIRECT('Hilfstabelle Gebäudeklasse'!$N$4&amp;"!"&amp;ADDRESS(ROW(),COLUMN()))</f>
        <v>0</v>
      </c>
      <c r="D37" s="576">
        <f ca="1">INDIRECT('Hilfstabelle Gebäudeklasse'!$N$4&amp;"!"&amp;ADDRESS(ROW(),COLUMN()))</f>
        <v>0</v>
      </c>
      <c r="E37" s="576" t="str">
        <f ca="1">INDIRECT('Hilfstabelle Gebäudeklasse'!$N$4&amp;"!"&amp;ADDRESS(ROW(),COLUMN()))</f>
        <v>sfl</v>
      </c>
      <c r="F37" s="576">
        <f ca="1">INDIRECT('Hilfstabelle Gebäudeklasse'!$N$4&amp;"!"&amp;ADDRESS(ROW(),COLUMN()))</f>
        <v>0</v>
      </c>
      <c r="G37" s="576">
        <f ca="1">INDIRECT('Hilfstabelle Gebäudeklasse'!$N$4&amp;"!"&amp;ADDRESS(ROW(),COLUMN()))</f>
        <v>0</v>
      </c>
    </row>
    <row r="38" spans="1:7" ht="157" thickBot="1">
      <c r="A38" s="577"/>
      <c r="B38" s="575" t="s">
        <v>1059</v>
      </c>
      <c r="C38" s="576">
        <f ca="1">INDIRECT('Hilfstabelle Gebäudeklasse'!$N$4&amp;"!"&amp;ADDRESS(ROW(),COLUMN()))</f>
        <v>0</v>
      </c>
      <c r="D38" s="576">
        <f ca="1">INDIRECT('Hilfstabelle Gebäudeklasse'!$N$4&amp;"!"&amp;ADDRESS(ROW(),COLUMN()))</f>
        <v>0</v>
      </c>
      <c r="E38" s="576" t="str">
        <f ca="1">INDIRECT('Hilfstabelle Gebäudeklasse'!$N$4&amp;"!"&amp;ADDRESS(ROW(),COLUMN()))</f>
        <v>fh+rdts</v>
      </c>
      <c r="F38" s="576" t="str">
        <f ca="1">INDIRECT('Hilfstabelle Gebäudeklasse'!$N$4&amp;"!"&amp;ADDRESS(ROW(),COLUMN()))</f>
        <v>fh+rdts</v>
      </c>
      <c r="G38" s="576" t="str">
        <f ca="1">INDIRECT('Hilfstabelle Gebäudeklasse'!$N$4&amp;"!"&amp;ADDRESS(ROW(),COLUMN()))</f>
        <v>fh+rdts</v>
      </c>
    </row>
    <row r="39" spans="1:7" ht="61" thickBot="1">
      <c r="A39" s="577"/>
      <c r="B39" s="575" t="s">
        <v>1061</v>
      </c>
      <c r="C39" s="576">
        <f ca="1">INDIRECT('Hilfstabelle Gebäudeklasse'!$N$4&amp;"!"&amp;ADDRESS(ROW(),COLUMN()))</f>
        <v>0</v>
      </c>
      <c r="D39" s="576">
        <f ca="1">INDIRECT('Hilfstabelle Gebäudeklasse'!$N$4&amp;"!"&amp;ADDRESS(ROW(),COLUMN()))</f>
        <v>0</v>
      </c>
      <c r="E39" s="576" t="str">
        <f ca="1">INDIRECT('Hilfstabelle Gebäudeklasse'!$N$4&amp;"!"&amp;ADDRESS(ROW(),COLUMN()))</f>
        <v>dts</v>
      </c>
      <c r="F39" s="576" t="str">
        <f ca="1">INDIRECT('Hilfstabelle Gebäudeklasse'!$N$4&amp;"!"&amp;ADDRESS(ROW(),COLUMN()))</f>
        <v>dts</v>
      </c>
      <c r="G39" s="576" t="str">
        <f ca="1">INDIRECT('Hilfstabelle Gebäudeklasse'!$N$4&amp;"!"&amp;ADDRESS(ROW(),COLUMN()))</f>
        <v>dts</v>
      </c>
    </row>
    <row r="40" spans="1:7" ht="37" thickBot="1">
      <c r="A40" s="577"/>
      <c r="B40" s="575" t="s">
        <v>1063</v>
      </c>
      <c r="C40" s="576">
        <f ca="1">INDIRECT('Hilfstabelle Gebäudeklasse'!$N$4&amp;"!"&amp;ADDRESS(ROW(),COLUMN()))</f>
        <v>0</v>
      </c>
      <c r="D40" s="576">
        <f ca="1">INDIRECT('Hilfstabelle Gebäudeklasse'!$N$4&amp;"!"&amp;ADDRESS(ROW(),COLUMN()))</f>
        <v>0</v>
      </c>
      <c r="E40" s="576" t="str">
        <f ca="1">INDIRECT('Hilfstabelle Gebäudeklasse'!$N$4&amp;"!"&amp;ADDRESS(ROW(),COLUMN()))</f>
        <v>rdts</v>
      </c>
      <c r="F40" s="576" t="str">
        <f ca="1">INDIRECT('Hilfstabelle Gebäudeklasse'!$N$4&amp;"!"&amp;ADDRESS(ROW(),COLUMN()))</f>
        <v>rdts</v>
      </c>
      <c r="G40" s="576" t="str">
        <f ca="1">INDIRECT('Hilfstabelle Gebäudeklasse'!$N$4&amp;"!"&amp;ADDRESS(ROW(),COLUMN()))</f>
        <v>rdts</v>
      </c>
    </row>
    <row r="41" spans="1:7" ht="57" thickBot="1">
      <c r="A41" s="581">
        <v>36</v>
      </c>
      <c r="B41" s="582" t="s">
        <v>1065</v>
      </c>
      <c r="C41" s="629"/>
      <c r="D41" s="630"/>
      <c r="E41" s="630"/>
      <c r="F41" s="630"/>
      <c r="G41" s="631"/>
    </row>
    <row r="42" spans="1:7" ht="37" thickBot="1">
      <c r="A42" s="574"/>
      <c r="B42" s="575" t="s">
        <v>1066</v>
      </c>
      <c r="C42" s="576">
        <f ca="1">INDIRECT('Hilfstabelle Gebäudeklasse'!$N$4&amp;"!"&amp;ADDRESS(ROW(),COLUMN()))</f>
        <v>0</v>
      </c>
      <c r="D42" s="576">
        <f ca="1">INDIRECT('Hilfstabelle Gebäudeklasse'!$N$4&amp;"!"&amp;ADDRESS(ROW(),COLUMN()))</f>
        <v>0</v>
      </c>
      <c r="E42" s="576" t="str">
        <f ca="1">INDIRECT('Hilfstabelle Gebäudeklasse'!$N$4&amp;"!"&amp;ADDRESS(ROW(),COLUMN()))</f>
        <v>fh</v>
      </c>
      <c r="F42" s="576" t="str">
        <f ca="1">INDIRECT('Hilfstabelle Gebäudeklasse'!$N$4&amp;"!"&amp;ADDRESS(ROW(),COLUMN()))</f>
        <v>fh</v>
      </c>
      <c r="G42" s="576" t="str">
        <f ca="1">INDIRECT('Hilfstabelle Gebäudeklasse'!$N$4&amp;"!"&amp;ADDRESS(ROW(),COLUMN()))</f>
        <v>fh</v>
      </c>
    </row>
    <row r="43" spans="1:7" ht="49" thickBot="1">
      <c r="A43" s="574"/>
      <c r="B43" s="575" t="s">
        <v>1067</v>
      </c>
      <c r="C43" s="576" t="str">
        <f ca="1">INDIRECT('Hilfstabelle Gebäudeklasse'!$N$4&amp;"!"&amp;ADDRESS(ROW(),COLUMN()))</f>
        <v>fh, bei Wohngebäuden ohne</v>
      </c>
      <c r="D43" s="576" t="str">
        <f ca="1">INDIRECT('Hilfstabelle Gebäudeklasse'!$N$4&amp;"!"&amp;ADDRESS(ROW(),COLUMN()))</f>
        <v>fh, bei Wohngebäuden ohne</v>
      </c>
      <c r="E43" s="576" t="str">
        <f ca="1">INDIRECT('Hilfstabelle Gebäudeklasse'!$N$4&amp;"!"&amp;ADDRESS(ROW(),COLUMN()))</f>
        <v>fb</v>
      </c>
      <c r="F43" s="576" t="str">
        <f ca="1">INDIRECT('Hilfstabelle Gebäudeklasse'!$N$4&amp;"!"&amp;ADDRESS(ROW(),COLUMN()))</f>
        <v>fb</v>
      </c>
      <c r="G43" s="576" t="str">
        <f ca="1">INDIRECT('Hilfstabelle Gebäudeklasse'!$N$4&amp;"!"&amp;ADDRESS(ROW(),COLUMN()))</f>
        <v>fb</v>
      </c>
    </row>
    <row r="44" spans="1:7" ht="25" thickBot="1">
      <c r="A44" s="574"/>
      <c r="B44" s="575" t="s">
        <v>1068</v>
      </c>
      <c r="C44" s="576">
        <f ca="1">INDIRECT('Hilfstabelle Gebäudeklasse'!$N$4&amp;"!"&amp;ADDRESS(ROW(),COLUMN()))</f>
        <v>0</v>
      </c>
      <c r="D44" s="576">
        <f ca="1">INDIRECT('Hilfstabelle Gebäudeklasse'!$N$4&amp;"!"&amp;ADDRESS(ROW(),COLUMN()))</f>
        <v>0</v>
      </c>
      <c r="E44" s="576" t="str">
        <f ca="1">INDIRECT('Hilfstabelle Gebäudeklasse'!$N$4&amp;"!"&amp;ADDRESS(ROW(),COLUMN()))</f>
        <v>nbr</v>
      </c>
      <c r="F44" s="576" t="str">
        <f ca="1">INDIRECT('Hilfstabelle Gebäudeklasse'!$N$4&amp;"!"&amp;ADDRESS(ROW(),COLUMN()))</f>
        <v>nbr</v>
      </c>
      <c r="G44" s="576" t="str">
        <f ca="1">INDIRECT('Hilfstabelle Gebäudeklasse'!$N$4&amp;"!"&amp;ADDRESS(ROW(),COLUMN()))</f>
        <v>nbr</v>
      </c>
    </row>
    <row r="45" spans="1:7" ht="16" thickBot="1">
      <c r="A45" s="572">
        <v>39</v>
      </c>
      <c r="B45" s="573" t="s">
        <v>1069</v>
      </c>
      <c r="C45" s="629"/>
      <c r="D45" s="630"/>
      <c r="E45" s="630"/>
      <c r="F45" s="630"/>
      <c r="G45" s="631"/>
    </row>
    <row r="46" spans="1:7" ht="25" thickBot="1">
      <c r="A46" s="574"/>
      <c r="B46" s="575" t="s">
        <v>1070</v>
      </c>
      <c r="C46" s="576">
        <f ca="1">INDIRECT('Hilfstabelle Gebäudeklasse'!$N$4&amp;"!"&amp;ADDRESS(ROW(),COLUMN()))</f>
        <v>0</v>
      </c>
      <c r="D46" s="576">
        <f ca="1">INDIRECT('Hilfstabelle Gebäudeklasse'!$N$4&amp;"!"&amp;ADDRESS(ROW(),COLUMN()))</f>
        <v>0</v>
      </c>
      <c r="E46" s="576" t="str">
        <f ca="1">INDIRECT('Hilfstabelle Gebäudeklasse'!$N$4&amp;"!"&amp;ADDRESS(ROW(),COLUMN()))</f>
        <v>fh</v>
      </c>
      <c r="F46" s="576" t="str">
        <f ca="1">INDIRECT('Hilfstabelle Gebäudeklasse'!$N$4&amp;"!"&amp;ADDRESS(ROW(),COLUMN()))</f>
        <v>hfh</v>
      </c>
      <c r="G46" s="576" t="str">
        <f ca="1">INDIRECT('Hilfstabelle Gebäudeklasse'!$N$4&amp;"!"&amp;ADDRESS(ROW(),COLUMN()))</f>
        <v>fb+nbr</v>
      </c>
    </row>
    <row r="47" spans="1:7" ht="15" customHeight="1">
      <c r="A47" s="579">
        <v>40</v>
      </c>
      <c r="B47" s="1565" t="s">
        <v>1072</v>
      </c>
      <c r="C47" s="635"/>
      <c r="D47" s="636"/>
      <c r="E47" s="636"/>
      <c r="F47" s="636"/>
      <c r="G47" s="637"/>
    </row>
    <row r="48" spans="1:7" ht="16" thickBot="1">
      <c r="A48" s="572">
        <v>41</v>
      </c>
      <c r="B48" s="1566"/>
      <c r="C48" s="638"/>
      <c r="D48" s="639"/>
      <c r="E48" s="639"/>
      <c r="F48" s="639"/>
      <c r="G48" s="640"/>
    </row>
    <row r="49" spans="1:7" ht="43" thickBot="1">
      <c r="A49" s="574"/>
      <c r="B49" s="575" t="s">
        <v>1073</v>
      </c>
      <c r="C49" s="576" t="str">
        <f ca="1">INDIRECT('Hilfstabelle Gebäudeklasse'!$N$4&amp;"!"&amp;ADDRESS(ROW(),COLUMN()))</f>
        <v>ohne</v>
      </c>
      <c r="D49" s="576" t="str">
        <f ca="1">INDIRECT('Hilfstabelle Gebäudeklasse'!$N$4&amp;"!"&amp;ADDRESS(ROW(),COLUMN()))</f>
        <v>ohne</v>
      </c>
      <c r="E49" s="576" t="str">
        <f ca="1">INDIRECT('Hilfstabelle Gebäudeklasse'!$N$4&amp;"!"&amp;ADDRESS(ROW(),COLUMN()))</f>
        <v>Leitungsanlagenrichtlinie</v>
      </c>
      <c r="F49" s="576" t="str">
        <f ca="1">INDIRECT('Hilfstabelle Gebäudeklasse'!$N$4&amp;"!"&amp;ADDRESS(ROW(),COLUMN()))</f>
        <v>Leitungsanlagenrichtlinie</v>
      </c>
      <c r="G49" s="576" t="str">
        <f ca="1">INDIRECT('Hilfstabelle Gebäudeklasse'!$N$4&amp;"!"&amp;ADDRESS(ROW(),COLUMN()))</f>
        <v>Leitungsanlagenrichtlinie</v>
      </c>
    </row>
    <row r="50" spans="1:7" ht="85" thickBot="1">
      <c r="A50" s="574"/>
      <c r="B50" s="575" t="s">
        <v>1076</v>
      </c>
      <c r="C50" s="576">
        <f ca="1">INDIRECT('Hilfstabelle Gebäudeklasse'!$N$4&amp;"!"&amp;ADDRESS(ROW(),COLUMN()))</f>
        <v>0</v>
      </c>
      <c r="D50" s="576">
        <f ca="1">INDIRECT('Hilfstabelle Gebäudeklasse'!$N$4&amp;"!"&amp;ADDRESS(ROW(),COLUMN()))</f>
        <v>0</v>
      </c>
      <c r="E50" s="576">
        <f ca="1">INDIRECT('Hilfstabelle Gebäudeklasse'!$N$4&amp;"!"&amp;ADDRESS(ROW(),COLUMN()))</f>
        <v>0</v>
      </c>
      <c r="F50" s="576">
        <f ca="1">INDIRECT('Hilfstabelle Gebäudeklasse'!$N$4&amp;"!"&amp;ADDRESS(ROW(),COLUMN()))</f>
        <v>0</v>
      </c>
      <c r="G50" s="576">
        <f ca="1">INDIRECT('Hilfstabelle Gebäudeklasse'!$N$4&amp;"!"&amp;ADDRESS(ROW(),COLUMN()))</f>
        <v>0</v>
      </c>
    </row>
    <row r="51" spans="1:7" ht="28">
      <c r="A51" s="1565">
        <v>45</v>
      </c>
      <c r="B51" s="580" t="s">
        <v>1077</v>
      </c>
      <c r="C51" s="635"/>
      <c r="D51" s="636"/>
      <c r="E51" s="636"/>
      <c r="F51" s="636"/>
      <c r="G51" s="637"/>
    </row>
    <row r="52" spans="1:7" ht="16" thickBot="1">
      <c r="A52" s="1566"/>
      <c r="B52" s="573" t="s">
        <v>1078</v>
      </c>
      <c r="C52" s="638"/>
      <c r="D52" s="639"/>
      <c r="E52" s="639"/>
      <c r="F52" s="639"/>
      <c r="G52" s="640"/>
    </row>
    <row r="53" spans="1:7" ht="43" thickBot="1">
      <c r="A53" s="574"/>
      <c r="B53" s="575" t="s">
        <v>1079</v>
      </c>
      <c r="C53" s="576">
        <f ca="1">INDIRECT('Hilfstabelle Gebäudeklasse'!$N$4&amp;"!"&amp;ADDRESS(ROW(),COLUMN()))</f>
        <v>0</v>
      </c>
      <c r="D53" s="576">
        <f ca="1">INDIRECT('Hilfstabelle Gebäudeklasse'!$N$4&amp;"!"&amp;ADDRESS(ROW(),COLUMN()))</f>
        <v>0</v>
      </c>
      <c r="E53" s="576" t="str">
        <f ca="1">INDIRECT('Hilfstabelle Gebäudeklasse'!$N$4&amp;"!"&amp;ADDRESS(ROW(),COLUMN()))</f>
        <v>wie Trennwände und Decken</v>
      </c>
      <c r="F53" s="576" t="str">
        <f ca="1">INDIRECT('Hilfstabelle Gebäudeklasse'!$N$4&amp;"!"&amp;ADDRESS(ROW(),COLUMN()))</f>
        <v>wie Trennwände und Decken</v>
      </c>
      <c r="G53" s="576" t="str">
        <f ca="1">INDIRECT('Hilfstabelle Gebäudeklasse'!$N$4&amp;"!"&amp;ADDRESS(ROW(),COLUMN()))</f>
        <v>wie Trennwände und Decken</v>
      </c>
    </row>
    <row r="54" spans="1:7" ht="15" customHeight="1">
      <c r="A54" s="1565">
        <v>26</v>
      </c>
      <c r="B54" s="1565" t="s">
        <v>1081</v>
      </c>
      <c r="C54" s="635"/>
      <c r="D54" s="636"/>
      <c r="E54" s="636"/>
      <c r="F54" s="636"/>
      <c r="G54" s="637"/>
    </row>
    <row r="55" spans="1:7" ht="16" thickBot="1">
      <c r="A55" s="1566"/>
      <c r="B55" s="1566"/>
      <c r="C55" s="638"/>
      <c r="D55" s="639"/>
      <c r="E55" s="639"/>
      <c r="F55" s="639"/>
      <c r="G55" s="640"/>
    </row>
    <row r="56" spans="1:7" ht="25" thickBot="1">
      <c r="A56" s="574"/>
      <c r="B56" s="575" t="s">
        <v>1082</v>
      </c>
      <c r="C56" s="576" t="str">
        <f ca="1">INDIRECT('Hilfstabelle Gebäudeklasse'!$N$4&amp;"!"&amp;ADDRESS(ROW(),COLUMN()))</f>
        <v>B</v>
      </c>
      <c r="D56" s="576" t="str">
        <f ca="1">INDIRECT('Hilfstabelle Gebäudeklasse'!$N$4&amp;"!"&amp;ADDRESS(ROW(),COLUMN()))</f>
        <v>B</v>
      </c>
      <c r="E56" s="576" t="str">
        <f ca="1">INDIRECT('Hilfstabelle Gebäudeklasse'!$N$4&amp;"!"&amp;ADDRESS(ROW(),COLUMN()))</f>
        <v>B</v>
      </c>
      <c r="F56" s="576" t="str">
        <f ca="1">INDIRECT('Hilfstabelle Gebäudeklasse'!$N$4&amp;"!"&amp;ADDRESS(ROW(),COLUMN()))</f>
        <v>BA</v>
      </c>
      <c r="G56" s="576" t="str">
        <f ca="1">INDIRECT('Hilfstabelle Gebäudeklasse'!$N$4&amp;"!"&amp;ADDRESS(ROW(),COLUMN()))</f>
        <v>AB</v>
      </c>
    </row>
    <row r="57" spans="1:7" ht="15" customHeight="1">
      <c r="A57" s="1511" t="s">
        <v>1084</v>
      </c>
      <c r="B57" s="1512"/>
      <c r="C57" s="1512"/>
      <c r="D57" s="1513"/>
      <c r="E57" s="607"/>
      <c r="F57" s="607"/>
      <c r="G57" s="608"/>
    </row>
    <row r="58" spans="1:7" ht="60">
      <c r="A58" s="1537"/>
      <c r="B58" s="1538"/>
      <c r="C58" s="1538"/>
      <c r="D58" s="1539"/>
      <c r="E58" s="600" t="s">
        <v>1085</v>
      </c>
      <c r="F58" s="601"/>
      <c r="G58" s="602"/>
    </row>
    <row r="59" spans="1:7" ht="15" customHeight="1">
      <c r="A59" s="1537" t="s">
        <v>1086</v>
      </c>
      <c r="B59" s="1538"/>
      <c r="C59" s="1538"/>
      <c r="D59" s="1539"/>
      <c r="E59" s="601"/>
      <c r="F59" s="601"/>
      <c r="G59" s="602"/>
    </row>
    <row r="60" spans="1:7" ht="49" thickBot="1">
      <c r="A60" s="1531"/>
      <c r="B60" s="1532"/>
      <c r="C60" s="1532"/>
      <c r="D60" s="1533"/>
      <c r="E60" s="603" t="s">
        <v>1087</v>
      </c>
      <c r="F60" s="604"/>
      <c r="G60" s="575"/>
    </row>
    <row r="61" spans="1:7" ht="15" customHeight="1">
      <c r="A61" s="1511" t="s">
        <v>1088</v>
      </c>
      <c r="B61" s="1512"/>
      <c r="C61" s="1512"/>
      <c r="D61" s="1513"/>
      <c r="E61" s="605" t="s">
        <v>1089</v>
      </c>
      <c r="F61" s="605"/>
      <c r="G61" s="606"/>
    </row>
    <row r="62" spans="1:7">
      <c r="A62" s="1537"/>
      <c r="B62" s="1538"/>
      <c r="C62" s="1538"/>
      <c r="D62" s="1539"/>
      <c r="E62" s="594"/>
      <c r="F62" s="595"/>
      <c r="G62" s="596"/>
    </row>
    <row r="63" spans="1:7" ht="36" customHeight="1">
      <c r="A63" s="1537" t="s">
        <v>1090</v>
      </c>
      <c r="B63" s="1538"/>
      <c r="C63" s="1538"/>
      <c r="D63" s="1539"/>
      <c r="E63" s="597" t="s">
        <v>1010</v>
      </c>
      <c r="F63" s="598" t="s">
        <v>1091</v>
      </c>
      <c r="G63" s="599"/>
    </row>
    <row r="64" spans="1:7" ht="26">
      <c r="A64" s="1534"/>
      <c r="B64" s="1535"/>
      <c r="C64" s="1535"/>
      <c r="D64" s="1536"/>
      <c r="E64" s="589" t="s">
        <v>1011</v>
      </c>
      <c r="F64" s="592" t="s">
        <v>1092</v>
      </c>
      <c r="G64" s="593"/>
    </row>
    <row r="65" spans="1:7" ht="26">
      <c r="A65" s="1525"/>
      <c r="B65" s="1526"/>
      <c r="C65" s="1526"/>
      <c r="D65" s="1527"/>
      <c r="E65" s="589" t="s">
        <v>1012</v>
      </c>
      <c r="F65" s="592" t="s">
        <v>1093</v>
      </c>
      <c r="G65" s="593"/>
    </row>
    <row r="66" spans="1:7" ht="26">
      <c r="A66" s="1525"/>
      <c r="B66" s="1526"/>
      <c r="C66" s="1526"/>
      <c r="D66" s="1527"/>
      <c r="E66" s="589" t="s">
        <v>1013</v>
      </c>
      <c r="F66" s="592" t="s">
        <v>1094</v>
      </c>
      <c r="G66" s="593"/>
    </row>
    <row r="67" spans="1:7" ht="65">
      <c r="A67" s="1525"/>
      <c r="B67" s="1526"/>
      <c r="C67" s="1526"/>
      <c r="D67" s="1527"/>
      <c r="E67" s="589" t="s">
        <v>1095</v>
      </c>
      <c r="F67" s="592" t="s">
        <v>1096</v>
      </c>
      <c r="G67" s="593"/>
    </row>
    <row r="68" spans="1:7">
      <c r="A68" s="1525"/>
      <c r="B68" s="1526"/>
      <c r="C68" s="1526"/>
      <c r="D68" s="1527"/>
      <c r="E68" s="589" t="s">
        <v>1053</v>
      </c>
      <c r="F68" s="592" t="s">
        <v>1097</v>
      </c>
      <c r="G68" s="593"/>
    </row>
    <row r="69" spans="1:7" ht="26">
      <c r="A69" s="1525"/>
      <c r="B69" s="1526"/>
      <c r="C69" s="1526"/>
      <c r="D69" s="1527"/>
      <c r="E69" s="589" t="s">
        <v>1022</v>
      </c>
      <c r="F69" s="592" t="s">
        <v>1098</v>
      </c>
      <c r="G69" s="593"/>
    </row>
    <row r="70" spans="1:7" ht="26">
      <c r="A70" s="1525"/>
      <c r="B70" s="1526"/>
      <c r="C70" s="1526"/>
      <c r="D70" s="1527"/>
      <c r="E70" s="589" t="s">
        <v>1099</v>
      </c>
      <c r="F70" s="592" t="s">
        <v>1100</v>
      </c>
      <c r="G70" s="593"/>
    </row>
    <row r="71" spans="1:7" ht="39">
      <c r="A71" s="1525"/>
      <c r="B71" s="1526"/>
      <c r="C71" s="1526"/>
      <c r="D71" s="1527"/>
      <c r="E71" s="589" t="s">
        <v>1062</v>
      </c>
      <c r="F71" s="592" t="s">
        <v>1101</v>
      </c>
      <c r="G71" s="593"/>
    </row>
    <row r="72" spans="1:7" ht="52">
      <c r="A72" s="1525"/>
      <c r="B72" s="1526"/>
      <c r="C72" s="1526"/>
      <c r="D72" s="1527"/>
      <c r="E72" s="589" t="s">
        <v>1102</v>
      </c>
      <c r="F72" s="592" t="s">
        <v>1103</v>
      </c>
      <c r="G72" s="593"/>
    </row>
    <row r="73" spans="1:7" ht="26">
      <c r="A73" s="1525"/>
      <c r="B73" s="1526"/>
      <c r="C73" s="1526"/>
      <c r="D73" s="1527"/>
      <c r="E73" s="589" t="s">
        <v>1104</v>
      </c>
      <c r="F73" s="592" t="s">
        <v>1105</v>
      </c>
      <c r="G73" s="593"/>
    </row>
    <row r="74" spans="1:7" ht="26">
      <c r="A74" s="1525"/>
      <c r="B74" s="1526"/>
      <c r="C74" s="1526"/>
      <c r="D74" s="1527"/>
      <c r="E74" s="589" t="s">
        <v>1106</v>
      </c>
      <c r="F74" s="592" t="s">
        <v>1107</v>
      </c>
      <c r="G74" s="593"/>
    </row>
    <row r="75" spans="1:7" ht="40" thickBot="1">
      <c r="A75" s="1531"/>
      <c r="B75" s="1532"/>
      <c r="C75" s="1532"/>
      <c r="D75" s="1533"/>
      <c r="E75" s="589" t="s">
        <v>1108</v>
      </c>
      <c r="F75" s="592" t="s">
        <v>1109</v>
      </c>
      <c r="G75" s="593"/>
    </row>
    <row r="76" spans="1:7" ht="33.75" customHeight="1">
      <c r="A76" s="1511" t="s">
        <v>1110</v>
      </c>
      <c r="B76" s="1512"/>
      <c r="C76" s="1512"/>
      <c r="D76" s="1513"/>
      <c r="E76" s="589" t="s">
        <v>65</v>
      </c>
      <c r="F76" s="590" t="s">
        <v>1111</v>
      </c>
      <c r="G76" s="591"/>
    </row>
    <row r="77" spans="1:7" ht="259.5" customHeight="1" thickBot="1">
      <c r="A77" s="1519" t="s">
        <v>1112</v>
      </c>
      <c r="B77" s="1520"/>
      <c r="C77" s="1520"/>
      <c r="D77" s="1521"/>
      <c r="E77" s="589" t="s">
        <v>1083</v>
      </c>
      <c r="F77" s="590" t="s">
        <v>1113</v>
      </c>
      <c r="G77" s="591"/>
    </row>
    <row r="78" spans="1:7" ht="193" thickBot="1">
      <c r="A78" s="1503"/>
      <c r="B78" s="1504"/>
      <c r="C78" s="1504"/>
      <c r="D78" s="1505"/>
      <c r="E78" s="586" t="s">
        <v>309</v>
      </c>
      <c r="F78" s="587" t="s">
        <v>1114</v>
      </c>
      <c r="G78" s="588"/>
    </row>
  </sheetData>
  <sheetProtection algorithmName="SHA-512" hashValue="D3c3IfDw3c5x7T70reL4YhWh5Hgu2zmM5cVqgp9gUtGN72FQhd0yVdJud6MwTVDSS+amVj2aqri6+mcZV/TRVg==" saltValue="vhkzagze2gsmZyYjvTE/qg==" spinCount="100000" sheet="1" objects="1" scenarios="1"/>
  <mergeCells count="35">
    <mergeCell ref="A75:D75"/>
    <mergeCell ref="A76:D76"/>
    <mergeCell ref="A77:D77"/>
    <mergeCell ref="A78:D78"/>
    <mergeCell ref="A69:D69"/>
    <mergeCell ref="A70:D70"/>
    <mergeCell ref="A71:D71"/>
    <mergeCell ref="A72:D72"/>
    <mergeCell ref="A73:D73"/>
    <mergeCell ref="A74:D74"/>
    <mergeCell ref="A68:D68"/>
    <mergeCell ref="A57:D57"/>
    <mergeCell ref="A58:D58"/>
    <mergeCell ref="A59:D59"/>
    <mergeCell ref="A60:D60"/>
    <mergeCell ref="A61:D61"/>
    <mergeCell ref="A62:D62"/>
    <mergeCell ref="A63:D63"/>
    <mergeCell ref="A64:D64"/>
    <mergeCell ref="A65:D65"/>
    <mergeCell ref="A66:D66"/>
    <mergeCell ref="A67:D67"/>
    <mergeCell ref="E1:E2"/>
    <mergeCell ref="F1:F2"/>
    <mergeCell ref="G1:G2"/>
    <mergeCell ref="A54:A55"/>
    <mergeCell ref="B54:B55"/>
    <mergeCell ref="A1:A2"/>
    <mergeCell ref="C1:C2"/>
    <mergeCell ref="D1:D2"/>
    <mergeCell ref="C9:G9"/>
    <mergeCell ref="C15:G15"/>
    <mergeCell ref="A19:A20"/>
    <mergeCell ref="B47:B48"/>
    <mergeCell ref="A51:A52"/>
  </mergeCells>
  <pageMargins left="0.7" right="0.7" top="0.78740157499999996" bottom="0.78740157499999996"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Tabelle21">
    <tabColor rgb="FFFF9999"/>
  </sheetPr>
  <dimension ref="A1:R97"/>
  <sheetViews>
    <sheetView topLeftCell="B1" zoomScale="85" zoomScaleNormal="85" workbookViewId="0">
      <selection activeCell="D1" sqref="D1:E2"/>
    </sheetView>
  </sheetViews>
  <sheetFormatPr baseColWidth="10" defaultRowHeight="15"/>
  <cols>
    <col min="1" max="1" width="0" hidden="1" customWidth="1"/>
    <col min="2" max="2" width="30.1640625" customWidth="1"/>
    <col min="4" max="4" width="11.5" customWidth="1"/>
    <col min="9" max="9" width="61" customWidth="1"/>
    <col min="10" max="10" width="55.5" customWidth="1"/>
    <col min="11" max="11" width="22" customWidth="1"/>
    <col min="12" max="12" width="18.5" customWidth="1"/>
    <col min="13" max="13" width="49.83203125" customWidth="1"/>
    <col min="14" max="14" width="18.5" bestFit="1" customWidth="1"/>
    <col min="15" max="15" width="17.83203125" customWidth="1"/>
    <col min="16" max="16" width="7.1640625" customWidth="1"/>
    <col min="17" max="17" width="7.33203125" customWidth="1"/>
    <col min="18" max="18" width="33.1640625" customWidth="1"/>
  </cols>
  <sheetData>
    <row r="1" spans="1:8" ht="24" customHeight="1">
      <c r="A1" s="888" t="s">
        <v>1005</v>
      </c>
      <c r="B1" s="892" t="s">
        <v>1702</v>
      </c>
      <c r="C1" s="893">
        <v>1</v>
      </c>
      <c r="D1" s="893">
        <v>2</v>
      </c>
      <c r="E1" s="893">
        <v>3</v>
      </c>
      <c r="F1" s="893">
        <v>4</v>
      </c>
      <c r="G1" s="893">
        <v>5</v>
      </c>
    </row>
    <row r="2" spans="1:8" ht="24" customHeight="1" thickBot="1">
      <c r="A2" s="889"/>
      <c r="B2" s="894" t="s">
        <v>1703</v>
      </c>
      <c r="C2" s="895"/>
      <c r="D2" s="895"/>
      <c r="E2" s="895"/>
      <c r="F2" s="895"/>
      <c r="G2" s="896"/>
    </row>
    <row r="3" spans="1:8" ht="39" customHeight="1" thickBot="1">
      <c r="A3" s="572">
        <v>27</v>
      </c>
      <c r="B3" s="1611" t="s">
        <v>1704</v>
      </c>
      <c r="C3" s="1612"/>
      <c r="D3" s="895"/>
      <c r="E3" s="895"/>
      <c r="F3" s="895"/>
      <c r="G3" s="896"/>
    </row>
    <row r="4" spans="1:8" ht="39" customHeight="1" thickBot="1">
      <c r="A4" s="574"/>
      <c r="B4" s="897" t="s">
        <v>1705</v>
      </c>
      <c r="C4" s="898" t="s">
        <v>1010</v>
      </c>
      <c r="D4" s="898" t="s">
        <v>1706</v>
      </c>
      <c r="E4" s="898" t="s">
        <v>1011</v>
      </c>
      <c r="F4" s="898" t="s">
        <v>1707</v>
      </c>
      <c r="G4" s="898" t="s">
        <v>1708</v>
      </c>
    </row>
    <row r="5" spans="1:8" ht="39" customHeight="1" thickBot="1">
      <c r="A5" s="574"/>
      <c r="B5" s="897" t="s">
        <v>1709</v>
      </c>
      <c r="C5" s="898" t="s">
        <v>1010</v>
      </c>
      <c r="D5" s="898" t="s">
        <v>1011</v>
      </c>
      <c r="E5" s="898" t="s">
        <v>1011</v>
      </c>
      <c r="F5" s="898" t="s">
        <v>1707</v>
      </c>
      <c r="G5" s="898" t="s">
        <v>1708</v>
      </c>
    </row>
    <row r="6" spans="1:8" ht="39" customHeight="1" thickBot="1">
      <c r="A6" s="572">
        <v>28</v>
      </c>
      <c r="B6" s="897" t="s">
        <v>1710</v>
      </c>
      <c r="C6" s="898" t="s">
        <v>1010</v>
      </c>
      <c r="D6" s="898" t="s">
        <v>1010</v>
      </c>
      <c r="E6" s="898" t="s">
        <v>1010</v>
      </c>
      <c r="F6" s="898" t="s">
        <v>1010</v>
      </c>
      <c r="G6" s="898" t="s">
        <v>1010</v>
      </c>
    </row>
    <row r="7" spans="1:8" ht="39" customHeight="1" thickBot="1">
      <c r="A7" s="577"/>
      <c r="B7" s="894" t="s">
        <v>1711</v>
      </c>
      <c r="C7" s="895"/>
      <c r="D7" s="895"/>
      <c r="E7" s="895"/>
      <c r="F7" s="895"/>
      <c r="G7" s="896"/>
    </row>
    <row r="8" spans="1:8" ht="39" customHeight="1" thickBot="1">
      <c r="A8" s="577"/>
      <c r="B8" s="897" t="s">
        <v>1712</v>
      </c>
      <c r="C8" s="898" t="s">
        <v>1010</v>
      </c>
      <c r="D8" s="898" t="s">
        <v>1010</v>
      </c>
      <c r="E8" s="898" t="s">
        <v>1010</v>
      </c>
      <c r="F8" s="898" t="s">
        <v>1020</v>
      </c>
      <c r="G8" s="898" t="s">
        <v>1020</v>
      </c>
    </row>
    <row r="9" spans="1:8" ht="39" customHeight="1" thickBot="1">
      <c r="A9" s="572">
        <v>29</v>
      </c>
      <c r="B9" s="897" t="s">
        <v>1713</v>
      </c>
      <c r="C9" s="898" t="s">
        <v>1010</v>
      </c>
      <c r="D9" s="898" t="s">
        <v>1010</v>
      </c>
      <c r="E9" s="898" t="s">
        <v>1010</v>
      </c>
      <c r="F9" s="898" t="s">
        <v>1022</v>
      </c>
      <c r="G9" s="898" t="s">
        <v>1022</v>
      </c>
    </row>
    <row r="10" spans="1:8" ht="39" customHeight="1" thickBot="1">
      <c r="A10" s="577"/>
      <c r="B10" s="894" t="s">
        <v>1714</v>
      </c>
      <c r="C10" s="895"/>
      <c r="D10" s="895"/>
      <c r="E10" s="895"/>
      <c r="F10" s="895"/>
      <c r="G10" s="896"/>
    </row>
    <row r="11" spans="1:8" ht="39" customHeight="1" thickBot="1">
      <c r="A11" s="577"/>
      <c r="B11" s="897" t="s">
        <v>1023</v>
      </c>
      <c r="C11" s="898" t="s">
        <v>1715</v>
      </c>
      <c r="D11" s="898" t="s">
        <v>1025</v>
      </c>
      <c r="E11" s="898" t="s">
        <v>1026</v>
      </c>
      <c r="F11" s="898" t="s">
        <v>1716</v>
      </c>
      <c r="G11" s="898" t="s">
        <v>1717</v>
      </c>
    </row>
    <row r="12" spans="1:8" ht="39" customHeight="1" thickBot="1">
      <c r="A12" s="572">
        <v>30</v>
      </c>
      <c r="B12" s="897" t="s">
        <v>1710</v>
      </c>
      <c r="C12" s="898" t="s">
        <v>1715</v>
      </c>
      <c r="D12" s="898" t="s">
        <v>1025</v>
      </c>
      <c r="E12" s="898" t="s">
        <v>1026</v>
      </c>
      <c r="F12" s="898" t="s">
        <v>1026</v>
      </c>
      <c r="G12" s="898" t="s">
        <v>1026</v>
      </c>
      <c r="H12" s="656" t="s">
        <v>1677</v>
      </c>
    </row>
    <row r="13" spans="1:8" ht="39" customHeight="1" thickBot="1">
      <c r="A13" s="577"/>
      <c r="B13" s="894" t="s">
        <v>1030</v>
      </c>
      <c r="C13" s="895"/>
      <c r="D13" s="895"/>
      <c r="E13" s="895"/>
      <c r="F13" s="895"/>
      <c r="G13" s="896"/>
    </row>
    <row r="14" spans="1:8" ht="39" customHeight="1" thickBot="1">
      <c r="A14" s="577"/>
      <c r="B14" s="897" t="s">
        <v>1030</v>
      </c>
      <c r="C14" s="898"/>
      <c r="D14" s="898"/>
      <c r="E14" s="898"/>
      <c r="F14" s="898"/>
      <c r="G14" s="898" t="s">
        <v>1718</v>
      </c>
      <c r="H14" s="879" t="s">
        <v>1678</v>
      </c>
    </row>
    <row r="15" spans="1:8" ht="39" customHeight="1" thickBot="1">
      <c r="A15" s="577"/>
      <c r="B15" s="897" t="s">
        <v>1719</v>
      </c>
      <c r="C15" s="898" t="s">
        <v>1707</v>
      </c>
      <c r="D15" s="898" t="s">
        <v>1707</v>
      </c>
      <c r="E15" s="898" t="s">
        <v>1707</v>
      </c>
      <c r="F15" s="898" t="s">
        <v>1720</v>
      </c>
      <c r="G15" s="898"/>
    </row>
    <row r="16" spans="1:8" ht="39" customHeight="1">
      <c r="A16" s="888"/>
      <c r="B16" s="897" t="s">
        <v>1721</v>
      </c>
      <c r="C16" s="898" t="s">
        <v>1035</v>
      </c>
      <c r="D16" s="898" t="s">
        <v>1035</v>
      </c>
      <c r="E16" s="898" t="s">
        <v>1035</v>
      </c>
      <c r="F16" s="898" t="s">
        <v>1720</v>
      </c>
      <c r="G16" s="898" t="s">
        <v>1718</v>
      </c>
      <c r="H16" s="656" t="s">
        <v>1679</v>
      </c>
    </row>
    <row r="17" spans="1:8" ht="39" hidden="1" customHeight="1" thickBot="1">
      <c r="A17" s="889"/>
      <c r="B17" s="899" t="s">
        <v>1036</v>
      </c>
      <c r="C17" s="900" t="s">
        <v>1687</v>
      </c>
      <c r="D17" s="900" t="s">
        <v>1687</v>
      </c>
      <c r="E17" s="900" t="s">
        <v>1687</v>
      </c>
      <c r="F17" s="900" t="s">
        <v>1687</v>
      </c>
      <c r="G17" s="901" t="s">
        <v>1687</v>
      </c>
      <c r="H17" s="656" t="s">
        <v>1679</v>
      </c>
    </row>
    <row r="18" spans="1:8" ht="39" hidden="1" customHeight="1" thickBot="1">
      <c r="A18" s="577"/>
      <c r="B18" s="899" t="s">
        <v>1037</v>
      </c>
      <c r="C18" s="902"/>
      <c r="D18" s="902"/>
      <c r="E18" s="902"/>
      <c r="F18" s="902"/>
      <c r="G18" s="903"/>
    </row>
    <row r="19" spans="1:8" ht="39" hidden="1" customHeight="1" thickBot="1">
      <c r="A19" s="572">
        <v>31</v>
      </c>
      <c r="B19" s="899" t="s">
        <v>1038</v>
      </c>
      <c r="C19" s="900" t="s">
        <v>1686</v>
      </c>
      <c r="D19" s="900" t="s">
        <v>1686</v>
      </c>
      <c r="E19" s="900" t="s">
        <v>1686</v>
      </c>
      <c r="F19" s="900" t="s">
        <v>1686</v>
      </c>
      <c r="G19" s="901" t="s">
        <v>1685</v>
      </c>
    </row>
    <row r="20" spans="1:8" ht="39" customHeight="1" thickBot="1">
      <c r="A20" s="577"/>
      <c r="B20" s="894" t="s">
        <v>967</v>
      </c>
      <c r="C20" s="895"/>
      <c r="D20" s="895"/>
      <c r="E20" s="895"/>
      <c r="F20" s="895"/>
      <c r="G20" s="896"/>
    </row>
    <row r="21" spans="1:8" ht="39" customHeight="1" thickBot="1">
      <c r="A21" s="577"/>
      <c r="B21" s="897" t="s">
        <v>1722</v>
      </c>
      <c r="C21" s="898" t="s">
        <v>1010</v>
      </c>
      <c r="D21" s="898" t="s">
        <v>1011</v>
      </c>
      <c r="E21" s="898" t="s">
        <v>1011</v>
      </c>
      <c r="F21" s="898" t="s">
        <v>1707</v>
      </c>
      <c r="G21" s="898" t="s">
        <v>1708</v>
      </c>
    </row>
    <row r="22" spans="1:8" ht="39" customHeight="1" thickBot="1">
      <c r="A22" s="577"/>
      <c r="B22" s="897" t="s">
        <v>1709</v>
      </c>
      <c r="C22" s="898" t="s">
        <v>1010</v>
      </c>
      <c r="D22" s="898" t="s">
        <v>1011</v>
      </c>
      <c r="E22" s="898" t="s">
        <v>1011</v>
      </c>
      <c r="F22" s="898" t="s">
        <v>1707</v>
      </c>
      <c r="G22" s="898" t="s">
        <v>1708</v>
      </c>
    </row>
    <row r="23" spans="1:8" ht="39" customHeight="1" thickBot="1">
      <c r="A23" s="577"/>
      <c r="B23" s="897" t="s">
        <v>1710</v>
      </c>
      <c r="C23" s="898" t="s">
        <v>1010</v>
      </c>
      <c r="D23" s="898" t="s">
        <v>1010</v>
      </c>
      <c r="E23" s="898" t="s">
        <v>1010</v>
      </c>
      <c r="F23" s="898" t="s">
        <v>1010</v>
      </c>
      <c r="G23" s="898" t="s">
        <v>1010</v>
      </c>
    </row>
    <row r="24" spans="1:8" ht="39" hidden="1" customHeight="1" thickBot="1">
      <c r="A24" s="581">
        <v>36</v>
      </c>
      <c r="B24" s="899" t="s">
        <v>1048</v>
      </c>
      <c r="C24" s="900" t="s">
        <v>1688</v>
      </c>
      <c r="D24" s="900" t="s">
        <v>1688</v>
      </c>
      <c r="E24" s="900" t="s">
        <v>1688</v>
      </c>
      <c r="F24" s="900" t="s">
        <v>1688</v>
      </c>
      <c r="G24" s="901" t="s">
        <v>1688</v>
      </c>
    </row>
    <row r="25" spans="1:8" ht="39" customHeight="1" thickBot="1">
      <c r="A25" s="574"/>
      <c r="B25" s="894" t="s">
        <v>1723</v>
      </c>
      <c r="C25" s="895"/>
      <c r="D25" s="895"/>
      <c r="E25" s="895"/>
      <c r="F25" s="895"/>
      <c r="G25" s="896"/>
    </row>
    <row r="26" spans="1:8" ht="39" customHeight="1" thickBot="1">
      <c r="A26" s="574"/>
      <c r="B26" s="897" t="s">
        <v>1724</v>
      </c>
      <c r="C26" s="898" t="s">
        <v>1010</v>
      </c>
      <c r="D26" s="898" t="s">
        <v>1010</v>
      </c>
      <c r="E26" s="898" t="s">
        <v>1052</v>
      </c>
      <c r="F26" s="898" t="s">
        <v>1053</v>
      </c>
      <c r="G26" s="898" t="s">
        <v>1054</v>
      </c>
      <c r="H26" s="656" t="s">
        <v>1725</v>
      </c>
    </row>
    <row r="27" spans="1:8" ht="39" customHeight="1">
      <c r="A27" s="890">
        <v>26</v>
      </c>
      <c r="B27" s="897" t="s">
        <v>1726</v>
      </c>
      <c r="C27" s="898" t="s">
        <v>1053</v>
      </c>
      <c r="D27" s="898" t="s">
        <v>1053</v>
      </c>
      <c r="E27" s="898" t="s">
        <v>1053</v>
      </c>
      <c r="F27" s="898" t="s">
        <v>1053</v>
      </c>
      <c r="G27" s="898" t="s">
        <v>1053</v>
      </c>
      <c r="H27" s="656" t="s">
        <v>1727</v>
      </c>
    </row>
    <row r="28" spans="1:8" ht="39" customHeight="1" thickBot="1">
      <c r="A28" s="891"/>
      <c r="B28" s="894" t="s">
        <v>1728</v>
      </c>
      <c r="C28" s="895"/>
      <c r="D28" s="895"/>
      <c r="E28" s="895"/>
      <c r="F28" s="895"/>
      <c r="G28" s="896"/>
    </row>
    <row r="29" spans="1:8" ht="39" customHeight="1" thickBot="1">
      <c r="A29" s="574"/>
      <c r="B29" s="897" t="s">
        <v>1729</v>
      </c>
      <c r="C29" s="898"/>
      <c r="D29" s="898"/>
      <c r="E29" s="898" t="s">
        <v>1011</v>
      </c>
      <c r="F29" s="898" t="s">
        <v>1033</v>
      </c>
      <c r="G29" s="898" t="s">
        <v>1031</v>
      </c>
      <c r="H29" s="656" t="s">
        <v>1725</v>
      </c>
    </row>
    <row r="30" spans="1:8" ht="39" customHeight="1">
      <c r="A30" s="880" t="s">
        <v>1084</v>
      </c>
      <c r="B30" s="897" t="s">
        <v>1730</v>
      </c>
      <c r="C30" s="898"/>
      <c r="D30" s="898"/>
      <c r="E30" s="898" t="s">
        <v>1011</v>
      </c>
      <c r="F30" s="898" t="s">
        <v>1012</v>
      </c>
      <c r="G30" s="898" t="s">
        <v>1013</v>
      </c>
      <c r="H30" s="656" t="s">
        <v>1725</v>
      </c>
    </row>
    <row r="31" spans="1:8" ht="39" customHeight="1">
      <c r="A31" s="883"/>
      <c r="B31" s="897" t="s">
        <v>1738</v>
      </c>
      <c r="C31" s="898"/>
      <c r="D31" s="898"/>
      <c r="E31" s="898" t="s">
        <v>1053</v>
      </c>
      <c r="F31" s="898" t="s">
        <v>1053</v>
      </c>
      <c r="G31" s="898" t="s">
        <v>1053</v>
      </c>
      <c r="H31" s="656" t="s">
        <v>1725</v>
      </c>
    </row>
    <row r="32" spans="1:8" ht="39" customHeight="1">
      <c r="A32" s="883" t="s">
        <v>1086</v>
      </c>
      <c r="B32" s="897" t="s">
        <v>1058</v>
      </c>
      <c r="C32" s="898"/>
      <c r="D32" s="898"/>
      <c r="E32" s="898" t="s">
        <v>1022</v>
      </c>
      <c r="F32" s="898"/>
      <c r="G32" s="898"/>
      <c r="H32" s="656" t="s">
        <v>1725</v>
      </c>
    </row>
    <row r="33" spans="1:8" ht="39" customHeight="1" thickBot="1">
      <c r="A33" s="882"/>
      <c r="B33" s="894" t="s">
        <v>1731</v>
      </c>
      <c r="C33" s="895"/>
      <c r="D33" s="895"/>
      <c r="E33" s="895"/>
      <c r="F33" s="895"/>
      <c r="G33" s="896"/>
    </row>
    <row r="34" spans="1:8" ht="39" customHeight="1">
      <c r="A34" s="880" t="s">
        <v>1088</v>
      </c>
      <c r="B34" s="897" t="s">
        <v>1732</v>
      </c>
      <c r="C34" s="898"/>
      <c r="D34" s="898"/>
      <c r="E34" s="898" t="s">
        <v>1011</v>
      </c>
      <c r="F34" s="898" t="s">
        <v>1733</v>
      </c>
      <c r="G34" s="898" t="s">
        <v>1733</v>
      </c>
      <c r="H34" s="904" t="s">
        <v>1727</v>
      </c>
    </row>
    <row r="35" spans="1:8" ht="39" customHeight="1">
      <c r="A35" s="883"/>
      <c r="B35" s="897" t="s">
        <v>1734</v>
      </c>
      <c r="C35" s="898"/>
      <c r="D35" s="898"/>
      <c r="E35" s="898" t="s">
        <v>1053</v>
      </c>
      <c r="F35" s="898" t="s">
        <v>1053</v>
      </c>
      <c r="G35" s="898" t="s">
        <v>1053</v>
      </c>
      <c r="H35" s="656" t="s">
        <v>1682</v>
      </c>
    </row>
    <row r="36" spans="1:8" ht="39" customHeight="1">
      <c r="A36" s="883" t="s">
        <v>1090</v>
      </c>
      <c r="B36" s="1613" t="s">
        <v>1081</v>
      </c>
      <c r="C36" s="1614"/>
      <c r="D36" s="914"/>
      <c r="E36" s="915"/>
      <c r="F36" s="915"/>
      <c r="G36" s="916"/>
    </row>
    <row r="37" spans="1:8" ht="39" customHeight="1">
      <c r="A37" s="881"/>
      <c r="B37" s="897" t="s">
        <v>1082</v>
      </c>
      <c r="C37" s="898" t="s">
        <v>65</v>
      </c>
      <c r="D37" s="898" t="s">
        <v>65</v>
      </c>
      <c r="E37" s="898" t="s">
        <v>65</v>
      </c>
      <c r="F37" s="898" t="s">
        <v>1735</v>
      </c>
      <c r="G37" s="898" t="s">
        <v>1736</v>
      </c>
    </row>
    <row r="38" spans="1:8" ht="17.25" customHeight="1">
      <c r="A38" s="881"/>
      <c r="B38" s="884"/>
      <c r="C38" s="905"/>
      <c r="D38" s="905"/>
      <c r="E38" s="905"/>
      <c r="F38" s="905"/>
      <c r="G38" s="905"/>
    </row>
    <row r="39" spans="1:8" ht="39" customHeight="1">
      <c r="A39" s="881"/>
      <c r="B39" s="922" t="s">
        <v>1764</v>
      </c>
      <c r="C39" s="923"/>
      <c r="D39" s="924"/>
      <c r="E39" s="924"/>
      <c r="F39" s="1608" t="s">
        <v>1768</v>
      </c>
      <c r="G39" s="1609"/>
    </row>
    <row r="40" spans="1:8">
      <c r="A40" s="881"/>
      <c r="B40" s="917" t="s">
        <v>1053</v>
      </c>
      <c r="C40" s="913" t="s">
        <v>1754</v>
      </c>
      <c r="E40" s="905"/>
      <c r="F40" s="919" t="s">
        <v>1755</v>
      </c>
      <c r="G40" s="905"/>
    </row>
    <row r="41" spans="1:8">
      <c r="A41" s="881"/>
      <c r="B41" s="917" t="s">
        <v>1022</v>
      </c>
      <c r="C41" s="913" t="s">
        <v>1672</v>
      </c>
      <c r="E41" s="905"/>
      <c r="F41" s="919" t="s">
        <v>1756</v>
      </c>
      <c r="G41" s="905"/>
    </row>
    <row r="42" spans="1:8">
      <c r="A42" s="881"/>
      <c r="B42" s="917" t="s">
        <v>1675</v>
      </c>
      <c r="C42" s="913" t="s">
        <v>1673</v>
      </c>
      <c r="E42" s="905"/>
      <c r="F42" s="919" t="s">
        <v>1757</v>
      </c>
      <c r="G42" s="905"/>
    </row>
    <row r="43" spans="1:8" ht="6.75" customHeight="1">
      <c r="A43" s="881"/>
      <c r="B43" s="917"/>
      <c r="C43" s="905"/>
      <c r="E43" s="905"/>
      <c r="F43" s="920"/>
      <c r="G43" s="905"/>
    </row>
    <row r="44" spans="1:8">
      <c r="A44" s="881"/>
      <c r="B44" s="917" t="s">
        <v>1011</v>
      </c>
      <c r="C44" s="913" t="s">
        <v>1092</v>
      </c>
      <c r="E44" s="905"/>
      <c r="F44" s="919" t="s">
        <v>1758</v>
      </c>
      <c r="G44" s="905"/>
    </row>
    <row r="45" spans="1:8">
      <c r="A45" s="881"/>
      <c r="B45" s="917" t="s">
        <v>1012</v>
      </c>
      <c r="C45" s="913" t="s">
        <v>1093</v>
      </c>
      <c r="E45" s="905"/>
      <c r="F45" s="919" t="s">
        <v>1762</v>
      </c>
      <c r="G45" s="905"/>
    </row>
    <row r="46" spans="1:8">
      <c r="A46" s="881"/>
      <c r="B46" s="917" t="s">
        <v>1013</v>
      </c>
      <c r="C46" s="913" t="s">
        <v>1094</v>
      </c>
      <c r="E46" s="905"/>
      <c r="F46" s="919" t="s">
        <v>1763</v>
      </c>
      <c r="G46" s="905"/>
    </row>
    <row r="47" spans="1:8" ht="6.75" customHeight="1">
      <c r="A47" s="881"/>
      <c r="B47" s="918"/>
      <c r="F47" s="921"/>
      <c r="G47" s="905"/>
    </row>
    <row r="48" spans="1:8">
      <c r="A48" s="881"/>
      <c r="B48" s="917" t="s">
        <v>1765</v>
      </c>
      <c r="C48" s="1610" t="s">
        <v>1766</v>
      </c>
      <c r="D48" s="1610"/>
      <c r="E48" s="1610"/>
      <c r="F48" s="919" t="s">
        <v>1767</v>
      </c>
      <c r="G48" s="905"/>
    </row>
    <row r="49" spans="1:7" ht="30" customHeight="1">
      <c r="A49" s="881"/>
      <c r="B49" s="917" t="s">
        <v>1769</v>
      </c>
      <c r="C49" s="1610" t="s">
        <v>1770</v>
      </c>
      <c r="D49" s="1610"/>
      <c r="E49" s="1610"/>
      <c r="F49" s="919" t="s">
        <v>1771</v>
      </c>
      <c r="G49" s="905"/>
    </row>
    <row r="50" spans="1:7" ht="30" customHeight="1">
      <c r="A50" s="881"/>
      <c r="B50" s="917" t="s">
        <v>1759</v>
      </c>
      <c r="C50" s="1610" t="s">
        <v>1760</v>
      </c>
      <c r="D50" s="1610"/>
      <c r="E50" s="1610"/>
      <c r="F50" s="919" t="s">
        <v>1761</v>
      </c>
      <c r="G50" s="905"/>
    </row>
    <row r="51" spans="1:7" ht="39" customHeight="1">
      <c r="A51" s="881"/>
      <c r="B51" s="884"/>
      <c r="C51" s="905"/>
      <c r="D51" s="905"/>
      <c r="E51" s="905"/>
      <c r="F51" s="905"/>
      <c r="G51" s="905"/>
    </row>
    <row r="52" spans="1:7" ht="39" customHeight="1">
      <c r="A52" s="881"/>
      <c r="B52" s="884"/>
      <c r="C52" s="905"/>
      <c r="D52" s="905"/>
      <c r="E52" s="905"/>
      <c r="F52" s="905"/>
      <c r="G52" s="905"/>
    </row>
    <row r="53" spans="1:7" ht="39" customHeight="1">
      <c r="A53" s="881"/>
      <c r="B53" s="884"/>
      <c r="C53" s="905"/>
      <c r="D53" s="905"/>
      <c r="E53" s="905"/>
      <c r="F53" s="905"/>
      <c r="G53" s="905"/>
    </row>
    <row r="54" spans="1:7" ht="39" customHeight="1">
      <c r="A54" s="881"/>
      <c r="B54" s="884"/>
      <c r="G54" s="905"/>
    </row>
    <row r="55" spans="1:7" ht="39" customHeight="1">
      <c r="A55" s="881"/>
      <c r="B55" s="884"/>
      <c r="C55" s="905"/>
      <c r="D55" s="905"/>
      <c r="E55" s="905"/>
      <c r="F55" s="905"/>
      <c r="G55" s="905"/>
    </row>
    <row r="56" spans="1:7" ht="39" customHeight="1">
      <c r="A56" s="881"/>
      <c r="B56" s="884"/>
      <c r="C56" s="905"/>
      <c r="D56" s="905"/>
      <c r="E56" s="905"/>
      <c r="F56" s="905"/>
      <c r="G56" s="905"/>
    </row>
    <row r="57" spans="1:7" ht="26">
      <c r="A57" s="1525"/>
      <c r="B57" s="1526"/>
      <c r="C57" s="1526"/>
      <c r="D57" s="1527"/>
      <c r="E57" s="589" t="s">
        <v>1013</v>
      </c>
      <c r="F57" s="592" t="s">
        <v>1094</v>
      </c>
      <c r="G57" s="593"/>
    </row>
    <row r="58" spans="1:7" ht="65">
      <c r="A58" s="1525"/>
      <c r="B58" s="1526"/>
      <c r="C58" s="1526"/>
      <c r="D58" s="1527"/>
      <c r="E58" s="589" t="s">
        <v>1095</v>
      </c>
      <c r="F58" s="592" t="s">
        <v>1096</v>
      </c>
      <c r="G58" s="593"/>
    </row>
    <row r="59" spans="1:7">
      <c r="A59" s="1525"/>
      <c r="B59" s="1526"/>
      <c r="C59" s="1526"/>
      <c r="D59" s="1527"/>
      <c r="E59" s="589"/>
      <c r="F59" s="592"/>
      <c r="G59" s="593"/>
    </row>
    <row r="60" spans="1:7">
      <c r="A60" s="1525"/>
      <c r="B60" s="1526"/>
      <c r="C60" s="1526"/>
      <c r="D60" s="1527"/>
      <c r="G60" s="593"/>
    </row>
    <row r="61" spans="1:7" ht="26">
      <c r="A61" s="1525"/>
      <c r="B61" s="1526"/>
      <c r="C61" s="1526"/>
      <c r="D61" s="1527"/>
      <c r="E61" s="589" t="s">
        <v>1099</v>
      </c>
      <c r="F61" s="592" t="s">
        <v>1100</v>
      </c>
      <c r="G61" s="593"/>
    </row>
    <row r="62" spans="1:7" ht="39">
      <c r="A62" s="1525"/>
      <c r="B62" s="1526"/>
      <c r="C62" s="1526"/>
      <c r="D62" s="1527"/>
      <c r="E62" s="589" t="s">
        <v>1062</v>
      </c>
      <c r="F62" s="592" t="s">
        <v>1101</v>
      </c>
      <c r="G62" s="593"/>
    </row>
    <row r="63" spans="1:7" ht="52">
      <c r="A63" s="1525"/>
      <c r="B63" s="1526"/>
      <c r="C63" s="1526"/>
      <c r="D63" s="1527"/>
      <c r="E63" s="589" t="s">
        <v>1102</v>
      </c>
      <c r="F63" s="592" t="s">
        <v>1103</v>
      </c>
      <c r="G63" s="593"/>
    </row>
    <row r="64" spans="1:7" ht="26">
      <c r="A64" s="1525"/>
      <c r="B64" s="1526"/>
      <c r="C64" s="1526"/>
      <c r="D64" s="1527"/>
      <c r="E64" s="589" t="s">
        <v>1104</v>
      </c>
      <c r="F64" s="592" t="s">
        <v>1105</v>
      </c>
      <c r="G64" s="593"/>
    </row>
    <row r="65" spans="1:18" ht="26">
      <c r="A65" s="1525"/>
      <c r="B65" s="1526"/>
      <c r="C65" s="1526"/>
      <c r="D65" s="1527"/>
      <c r="E65" s="589" t="s">
        <v>1106</v>
      </c>
      <c r="F65" s="592" t="s">
        <v>1107</v>
      </c>
      <c r="G65" s="593"/>
    </row>
    <row r="66" spans="1:18" ht="40" thickBot="1">
      <c r="A66" s="1531"/>
      <c r="B66" s="1532"/>
      <c r="C66" s="1532"/>
      <c r="D66" s="1533"/>
      <c r="E66" s="589" t="s">
        <v>1108</v>
      </c>
      <c r="F66" s="592" t="s">
        <v>1109</v>
      </c>
      <c r="G66" s="593"/>
    </row>
    <row r="67" spans="1:18" ht="36">
      <c r="A67" s="1511" t="s">
        <v>1110</v>
      </c>
      <c r="B67" s="1512"/>
      <c r="C67" s="1512"/>
      <c r="D67" s="1513"/>
      <c r="E67" s="589" t="s">
        <v>65</v>
      </c>
      <c r="F67" s="590" t="s">
        <v>1111</v>
      </c>
      <c r="G67" s="591"/>
    </row>
    <row r="68" spans="1:18" ht="217" thickBot="1">
      <c r="A68" s="1519" t="s">
        <v>1112</v>
      </c>
      <c r="B68" s="1520"/>
      <c r="C68" s="1520"/>
      <c r="D68" s="1521"/>
      <c r="E68" s="589" t="s">
        <v>1083</v>
      </c>
      <c r="F68" s="590" t="s">
        <v>1113</v>
      </c>
      <c r="G68" s="591"/>
    </row>
    <row r="69" spans="1:18" ht="193" thickBot="1">
      <c r="A69" s="1503"/>
      <c r="B69" s="1504"/>
      <c r="C69" s="1504"/>
      <c r="D69" s="1505"/>
      <c r="E69" s="586" t="s">
        <v>309</v>
      </c>
      <c r="F69" s="587" t="s">
        <v>1114</v>
      </c>
      <c r="G69" s="588"/>
    </row>
    <row r="77" spans="1:18" ht="24" customHeight="1">
      <c r="K77" s="906" t="s">
        <v>1737</v>
      </c>
      <c r="L77" s="907" t="s">
        <v>1741</v>
      </c>
      <c r="M77" s="907" t="s">
        <v>1742</v>
      </c>
      <c r="N77" s="907" t="s">
        <v>1743</v>
      </c>
      <c r="O77" s="907" t="s">
        <v>1744</v>
      </c>
      <c r="P77" s="907" t="s">
        <v>1745</v>
      </c>
      <c r="Q77" s="907" t="s">
        <v>1746</v>
      </c>
      <c r="R77" s="907" t="s">
        <v>1747</v>
      </c>
    </row>
    <row r="78" spans="1:18" ht="21" customHeight="1">
      <c r="K78" s="908" t="s">
        <v>1115</v>
      </c>
      <c r="L78" s="909"/>
      <c r="M78" s="909"/>
      <c r="N78" s="909"/>
      <c r="O78" s="909"/>
      <c r="P78" s="909"/>
      <c r="Q78" s="909"/>
      <c r="R78" s="909"/>
    </row>
    <row r="79" spans="1:18" ht="30" customHeight="1">
      <c r="K79" s="909" t="s">
        <v>1116</v>
      </c>
      <c r="L79" s="910" t="s">
        <v>1748</v>
      </c>
      <c r="M79" s="910" t="s">
        <v>1683</v>
      </c>
      <c r="N79" s="910"/>
      <c r="O79" s="910"/>
      <c r="P79" s="910"/>
      <c r="Q79" s="911"/>
      <c r="R79" s="911"/>
    </row>
    <row r="80" spans="1:18" ht="30" customHeight="1">
      <c r="K80" s="909" t="s">
        <v>1117</v>
      </c>
      <c r="L80" s="910" t="s">
        <v>1748</v>
      </c>
      <c r="M80" s="910"/>
      <c r="N80" s="910"/>
      <c r="O80" s="910"/>
      <c r="P80" s="910"/>
      <c r="Q80" s="911"/>
      <c r="R80" s="911"/>
    </row>
    <row r="81" spans="11:18" ht="30" customHeight="1">
      <c r="K81" s="909" t="s">
        <v>1118</v>
      </c>
      <c r="L81" s="910" t="s">
        <v>1748</v>
      </c>
      <c r="M81" s="910" t="s">
        <v>1684</v>
      </c>
      <c r="N81" s="910"/>
      <c r="O81" s="910"/>
      <c r="P81" s="910"/>
      <c r="Q81" s="911"/>
      <c r="R81" s="911"/>
    </row>
    <row r="82" spans="11:18" ht="30" customHeight="1">
      <c r="K82" s="909" t="s">
        <v>1119</v>
      </c>
      <c r="L82" s="910" t="s">
        <v>1748</v>
      </c>
      <c r="M82" s="910"/>
      <c r="N82" s="910"/>
      <c r="O82" s="910"/>
      <c r="P82" s="910"/>
      <c r="Q82" s="911"/>
      <c r="R82" s="911"/>
    </row>
    <row r="83" spans="11:18" ht="30" customHeight="1">
      <c r="K83" s="909" t="s">
        <v>1120</v>
      </c>
      <c r="L83" s="910" t="s">
        <v>1748</v>
      </c>
      <c r="M83" s="910"/>
      <c r="N83" s="910"/>
      <c r="O83" s="910"/>
      <c r="P83" s="910"/>
      <c r="Q83" s="911"/>
      <c r="R83" s="911"/>
    </row>
    <row r="84" spans="11:18" ht="93.75" customHeight="1">
      <c r="K84" s="909" t="s">
        <v>1121</v>
      </c>
      <c r="L84" s="910" t="s">
        <v>1748</v>
      </c>
      <c r="M84" s="910" t="s">
        <v>1751</v>
      </c>
      <c r="N84" s="910"/>
      <c r="O84" s="910"/>
      <c r="P84" s="910"/>
      <c r="Q84" s="911"/>
      <c r="R84" s="911"/>
    </row>
    <row r="85" spans="11:18" ht="131">
      <c r="K85" s="909" t="s">
        <v>1122</v>
      </c>
      <c r="L85" s="910" t="s">
        <v>1748</v>
      </c>
      <c r="M85" s="910"/>
      <c r="N85" s="910"/>
      <c r="O85" s="910"/>
      <c r="P85" s="910"/>
      <c r="Q85" s="911"/>
      <c r="R85" s="910" t="s">
        <v>1752</v>
      </c>
    </row>
    <row r="86" spans="11:18" ht="30" customHeight="1">
      <c r="K86" s="912" t="s">
        <v>1123</v>
      </c>
      <c r="L86" s="910" t="s">
        <v>1748</v>
      </c>
      <c r="M86" s="910"/>
      <c r="N86" s="910"/>
      <c r="O86" s="910"/>
      <c r="P86" s="910"/>
      <c r="Q86" s="911"/>
      <c r="R86" s="911"/>
    </row>
    <row r="87" spans="11:18" ht="30" customHeight="1">
      <c r="K87" s="909" t="s">
        <v>1124</v>
      </c>
      <c r="L87" s="910" t="s">
        <v>1748</v>
      </c>
      <c r="M87" s="910"/>
      <c r="N87" s="910"/>
      <c r="O87" s="910"/>
      <c r="P87" s="910"/>
      <c r="Q87" s="911"/>
      <c r="R87" s="911"/>
    </row>
    <row r="88" spans="11:18">
      <c r="K88" s="909" t="s">
        <v>1125</v>
      </c>
      <c r="L88" s="911" t="s">
        <v>1753</v>
      </c>
      <c r="M88" s="911" t="s">
        <v>1753</v>
      </c>
      <c r="N88" s="911" t="s">
        <v>1753</v>
      </c>
      <c r="O88" s="911" t="s">
        <v>1753</v>
      </c>
      <c r="P88" s="911" t="s">
        <v>1753</v>
      </c>
      <c r="Q88" s="911" t="s">
        <v>1753</v>
      </c>
      <c r="R88" s="911" t="s">
        <v>1753</v>
      </c>
    </row>
    <row r="89" spans="11:18" ht="60" customHeight="1">
      <c r="K89" s="909" t="s">
        <v>1126</v>
      </c>
      <c r="L89" s="910" t="s">
        <v>1749</v>
      </c>
      <c r="M89" s="910"/>
      <c r="N89" s="910"/>
      <c r="O89" s="910" t="s">
        <v>1680</v>
      </c>
      <c r="P89" s="910" t="s">
        <v>1217</v>
      </c>
      <c r="Q89" s="910" t="s">
        <v>1681</v>
      </c>
      <c r="R89" s="911"/>
    </row>
    <row r="90" spans="11:18" ht="30" customHeight="1">
      <c r="K90" s="909" t="s">
        <v>1127</v>
      </c>
      <c r="L90" s="910" t="s">
        <v>1750</v>
      </c>
      <c r="M90" s="910"/>
      <c r="N90" s="910"/>
      <c r="O90" s="910"/>
      <c r="P90" s="910"/>
      <c r="Q90" s="911"/>
      <c r="R90" s="911"/>
    </row>
    <row r="91" spans="11:18" ht="30" customHeight="1">
      <c r="K91" s="909" t="s">
        <v>1128</v>
      </c>
      <c r="L91" s="910" t="s">
        <v>1748</v>
      </c>
      <c r="M91" s="910"/>
      <c r="N91" s="910"/>
      <c r="O91" s="910"/>
      <c r="P91" s="910"/>
      <c r="Q91" s="911"/>
      <c r="R91" s="911"/>
    </row>
    <row r="92" spans="11:18" ht="39" customHeight="1">
      <c r="K92" s="909" t="s">
        <v>1129</v>
      </c>
      <c r="L92" s="910" t="s">
        <v>1748</v>
      </c>
      <c r="M92" s="910"/>
      <c r="N92" s="910" t="s">
        <v>1740</v>
      </c>
      <c r="O92" s="910"/>
      <c r="P92" s="910"/>
      <c r="Q92" s="911"/>
      <c r="R92" s="911"/>
    </row>
    <row r="93" spans="11:18" ht="30" customHeight="1">
      <c r="K93" s="909" t="s">
        <v>1130</v>
      </c>
      <c r="L93" s="910" t="s">
        <v>1748</v>
      </c>
      <c r="M93" s="910"/>
      <c r="N93" s="910"/>
      <c r="O93" s="910"/>
      <c r="P93" s="910"/>
      <c r="Q93" s="911"/>
      <c r="R93" s="911"/>
    </row>
    <row r="94" spans="11:18" ht="30" customHeight="1">
      <c r="K94" s="909" t="s">
        <v>1131</v>
      </c>
      <c r="L94" s="910" t="s">
        <v>1748</v>
      </c>
      <c r="M94" s="910"/>
      <c r="N94" s="910"/>
      <c r="O94" s="910"/>
      <c r="P94" s="910"/>
      <c r="Q94" s="911"/>
      <c r="R94" s="911"/>
    </row>
    <row r="95" spans="11:18" ht="39" customHeight="1"/>
    <row r="96" spans="11:18" ht="39" customHeight="1"/>
    <row r="97" ht="39" customHeight="1"/>
  </sheetData>
  <sheetProtection algorithmName="SHA-512" hashValue="j4bKYJZxd3s3YChxnweG8qJN1vk1O0TtNF84n5woYtAsIU5hYNtYQZv5KAMIYgbg0HTUHLdrLsX8pVRmmtXSAg==" saltValue="f8XsYs6GBFiNx5ervx7mbw==" spinCount="100000" sheet="1" objects="1" scenarios="1"/>
  <mergeCells count="19">
    <mergeCell ref="A68:D68"/>
    <mergeCell ref="A69:D69"/>
    <mergeCell ref="A60:D60"/>
    <mergeCell ref="A61:D61"/>
    <mergeCell ref="A62:D62"/>
    <mergeCell ref="A63:D63"/>
    <mergeCell ref="A64:D64"/>
    <mergeCell ref="A65:D65"/>
    <mergeCell ref="A59:D59"/>
    <mergeCell ref="A57:D57"/>
    <mergeCell ref="A58:D58"/>
    <mergeCell ref="A66:D66"/>
    <mergeCell ref="A67:D67"/>
    <mergeCell ref="F39:G39"/>
    <mergeCell ref="C50:E50"/>
    <mergeCell ref="C49:E49"/>
    <mergeCell ref="C48:E48"/>
    <mergeCell ref="B3:C3"/>
    <mergeCell ref="B36:C36"/>
  </mergeCells>
  <pageMargins left="0.7" right="0.7" top="0.78740157499999996" bottom="0.78740157499999996" header="0.3" footer="0.3"/>
  <pageSetup paperSize="9" scale="97"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Tabelle22">
    <tabColor rgb="FFFF9999"/>
  </sheetPr>
  <dimension ref="A1:K80"/>
  <sheetViews>
    <sheetView zoomScaleNormal="100" workbookViewId="0">
      <selection activeCell="D1" sqref="D1:E2"/>
    </sheetView>
  </sheetViews>
  <sheetFormatPr baseColWidth="10" defaultColWidth="10.83203125" defaultRowHeight="15"/>
  <cols>
    <col min="1" max="1" width="4.83203125" bestFit="1" customWidth="1"/>
    <col min="2" max="2" width="20.6640625" customWidth="1"/>
    <col min="3" max="7" width="15.6640625" customWidth="1"/>
  </cols>
  <sheetData>
    <row r="1" spans="1:11" ht="30">
      <c r="A1" s="1589" t="s">
        <v>1005</v>
      </c>
      <c r="B1" s="570" t="s">
        <v>1006</v>
      </c>
      <c r="C1" s="1602">
        <v>1</v>
      </c>
      <c r="D1" s="1604">
        <v>2</v>
      </c>
      <c r="E1" s="1604">
        <v>3</v>
      </c>
      <c r="F1" s="1602">
        <v>4</v>
      </c>
      <c r="G1" s="1602">
        <v>5</v>
      </c>
    </row>
    <row r="2" spans="1:11" ht="17" thickBot="1">
      <c r="A2" s="1590"/>
      <c r="B2" s="571" t="s">
        <v>1007</v>
      </c>
      <c r="C2" s="1603"/>
      <c r="D2" s="1606"/>
      <c r="E2" s="1606"/>
      <c r="F2" s="1603"/>
      <c r="G2" s="1603"/>
    </row>
    <row r="3" spans="1:11" ht="43" thickBot="1">
      <c r="A3" s="572">
        <v>27</v>
      </c>
      <c r="B3" s="573" t="s">
        <v>1008</v>
      </c>
      <c r="C3" s="632" t="s">
        <v>1009</v>
      </c>
      <c r="D3" s="633"/>
      <c r="E3" s="633"/>
      <c r="F3" s="633"/>
      <c r="G3" s="634"/>
    </row>
    <row r="4" spans="1:11" ht="25" thickBot="1">
      <c r="A4" s="574"/>
      <c r="B4" s="644" t="s">
        <v>1008</v>
      </c>
      <c r="C4" s="645" t="s">
        <v>1010</v>
      </c>
      <c r="D4" s="645" t="s">
        <v>1011</v>
      </c>
      <c r="E4" s="645" t="s">
        <v>1011</v>
      </c>
      <c r="F4" s="645" t="s">
        <v>1012</v>
      </c>
      <c r="G4" s="645" t="s">
        <v>1013</v>
      </c>
      <c r="J4" s="648"/>
      <c r="K4" t="s">
        <v>1214</v>
      </c>
    </row>
    <row r="5" spans="1:11" ht="25" thickBot="1">
      <c r="A5" s="574"/>
      <c r="B5" s="575" t="s">
        <v>1014</v>
      </c>
      <c r="C5" s="576" t="s">
        <v>1010</v>
      </c>
      <c r="D5" s="576" t="s">
        <v>1011</v>
      </c>
      <c r="E5" s="576" t="s">
        <v>1011</v>
      </c>
      <c r="F5" s="576" t="s">
        <v>1012</v>
      </c>
      <c r="G5" s="576" t="s">
        <v>1013</v>
      </c>
      <c r="J5" s="649"/>
      <c r="K5" t="s">
        <v>1215</v>
      </c>
    </row>
    <row r="6" spans="1:11" ht="16" thickBot="1">
      <c r="A6" s="574"/>
      <c r="B6" s="575" t="s">
        <v>1015</v>
      </c>
      <c r="C6" s="576" t="s">
        <v>1010</v>
      </c>
      <c r="D6" s="576" t="s">
        <v>1010</v>
      </c>
      <c r="E6" s="576" t="s">
        <v>1010</v>
      </c>
      <c r="F6" s="576" t="s">
        <v>1010</v>
      </c>
      <c r="G6" s="576" t="s">
        <v>1010</v>
      </c>
    </row>
    <row r="7" spans="1:11" ht="37" thickBot="1">
      <c r="A7" s="574"/>
      <c r="B7" s="575" t="s">
        <v>1016</v>
      </c>
      <c r="C7" s="576" t="s">
        <v>1010</v>
      </c>
      <c r="D7" s="576" t="s">
        <v>1010</v>
      </c>
      <c r="E7" s="576" t="s">
        <v>1010</v>
      </c>
      <c r="F7" s="576" t="s">
        <v>1010</v>
      </c>
      <c r="G7" s="576" t="s">
        <v>1010</v>
      </c>
    </row>
    <row r="8" spans="1:11" ht="16" thickBot="1">
      <c r="A8" s="574"/>
      <c r="B8" s="575" t="s">
        <v>1017</v>
      </c>
      <c r="C8" s="576" t="s">
        <v>1011</v>
      </c>
      <c r="D8" s="576" t="s">
        <v>1011</v>
      </c>
      <c r="E8" s="576" t="s">
        <v>1013</v>
      </c>
      <c r="F8" s="576" t="s">
        <v>1013</v>
      </c>
      <c r="G8" s="576" t="s">
        <v>1013</v>
      </c>
    </row>
    <row r="9" spans="1:11" ht="16" thickBot="1">
      <c r="A9" s="572">
        <v>28</v>
      </c>
      <c r="B9" s="573" t="s">
        <v>1018</v>
      </c>
      <c r="C9" s="1573"/>
      <c r="D9" s="1574"/>
      <c r="E9" s="1574"/>
      <c r="F9" s="1574"/>
      <c r="G9" s="1575"/>
    </row>
    <row r="10" spans="1:11" ht="25" thickBot="1">
      <c r="A10" s="577"/>
      <c r="B10" s="644" t="s">
        <v>1019</v>
      </c>
      <c r="C10" s="645" t="s">
        <v>1010</v>
      </c>
      <c r="D10" s="645" t="s">
        <v>1010</v>
      </c>
      <c r="E10" s="645" t="s">
        <v>1010</v>
      </c>
      <c r="F10" s="645" t="s">
        <v>1020</v>
      </c>
      <c r="G10" s="645" t="s">
        <v>1020</v>
      </c>
    </row>
    <row r="11" spans="1:11" ht="49" thickBot="1">
      <c r="A11" s="577"/>
      <c r="B11" s="646" t="s">
        <v>1021</v>
      </c>
      <c r="C11" s="647" t="s">
        <v>1010</v>
      </c>
      <c r="D11" s="647" t="s">
        <v>1010</v>
      </c>
      <c r="E11" s="647" t="s">
        <v>1010</v>
      </c>
      <c r="F11" s="647" t="s">
        <v>1022</v>
      </c>
      <c r="G11" s="647" t="s">
        <v>1022</v>
      </c>
    </row>
    <row r="12" spans="1:11" ht="16" thickBot="1">
      <c r="A12" s="572">
        <v>29</v>
      </c>
      <c r="B12" s="573" t="s">
        <v>1023</v>
      </c>
      <c r="C12" s="629"/>
      <c r="D12" s="630"/>
      <c r="E12" s="630"/>
      <c r="F12" s="630"/>
      <c r="G12" s="631"/>
    </row>
    <row r="13" spans="1:11" ht="43" thickBot="1">
      <c r="A13" s="577"/>
      <c r="B13" s="644" t="s">
        <v>1023</v>
      </c>
      <c r="C13" s="645" t="s">
        <v>1024</v>
      </c>
      <c r="D13" s="645" t="s">
        <v>1025</v>
      </c>
      <c r="E13" s="645" t="s">
        <v>1026</v>
      </c>
      <c r="F13" s="645" t="s">
        <v>1027</v>
      </c>
      <c r="G13" s="645" t="s">
        <v>1028</v>
      </c>
    </row>
    <row r="14" spans="1:11" ht="43" thickBot="1">
      <c r="A14" s="577"/>
      <c r="B14" s="575" t="s">
        <v>1029</v>
      </c>
      <c r="C14" s="576" t="s">
        <v>1024</v>
      </c>
      <c r="D14" s="576" t="s">
        <v>1025</v>
      </c>
      <c r="E14" s="576" t="s">
        <v>1026</v>
      </c>
      <c r="F14" s="576" t="s">
        <v>1026</v>
      </c>
      <c r="G14" s="576" t="s">
        <v>1026</v>
      </c>
    </row>
    <row r="15" spans="1:11" ht="16" thickBot="1">
      <c r="A15" s="572">
        <v>30</v>
      </c>
      <c r="B15" s="573" t="s">
        <v>1030</v>
      </c>
      <c r="C15" s="1573"/>
      <c r="D15" s="1574"/>
      <c r="E15" s="1574"/>
      <c r="F15" s="1574"/>
      <c r="G15" s="1575"/>
    </row>
    <row r="16" spans="1:11" ht="16" thickBot="1">
      <c r="A16" s="577"/>
      <c r="B16" s="575" t="s">
        <v>1030</v>
      </c>
      <c r="C16" s="576"/>
      <c r="D16" s="576"/>
      <c r="E16" s="576"/>
      <c r="F16" s="576"/>
      <c r="G16" s="576" t="s">
        <v>1031</v>
      </c>
    </row>
    <row r="17" spans="1:7" ht="25" thickBot="1">
      <c r="A17" s="577"/>
      <c r="B17" s="575" t="s">
        <v>1032</v>
      </c>
      <c r="C17" s="576" t="s">
        <v>1012</v>
      </c>
      <c r="D17" s="576" t="s">
        <v>1012</v>
      </c>
      <c r="E17" s="576" t="s">
        <v>1012</v>
      </c>
      <c r="F17" s="576" t="s">
        <v>1033</v>
      </c>
      <c r="G17" s="576"/>
    </row>
    <row r="18" spans="1:7" ht="16" thickBot="1">
      <c r="A18" s="577"/>
      <c r="B18" s="575" t="s">
        <v>1034</v>
      </c>
      <c r="C18" s="576" t="s">
        <v>1035</v>
      </c>
      <c r="D18" s="576" t="s">
        <v>1035</v>
      </c>
      <c r="E18" s="576" t="s">
        <v>1035</v>
      </c>
      <c r="F18" s="576" t="s">
        <v>1033</v>
      </c>
      <c r="G18" s="576" t="s">
        <v>1031</v>
      </c>
    </row>
    <row r="19" spans="1:7" ht="49" thickBot="1">
      <c r="A19" s="1589"/>
      <c r="B19" s="578" t="s">
        <v>1036</v>
      </c>
      <c r="C19" s="576" t="s">
        <v>1013</v>
      </c>
      <c r="D19" s="576" t="s">
        <v>1013</v>
      </c>
      <c r="E19" s="576" t="s">
        <v>1013</v>
      </c>
      <c r="F19" s="576" t="s">
        <v>1013</v>
      </c>
      <c r="G19" s="576" t="s">
        <v>1013</v>
      </c>
    </row>
    <row r="20" spans="1:7" ht="16" thickBot="1">
      <c r="A20" s="1590"/>
      <c r="B20" s="575" t="s">
        <v>1037</v>
      </c>
      <c r="C20" s="626"/>
      <c r="D20" s="627"/>
      <c r="E20" s="627"/>
      <c r="F20" s="627"/>
      <c r="G20" s="628"/>
    </row>
    <row r="21" spans="1:7" ht="49" thickBot="1">
      <c r="A21" s="577"/>
      <c r="B21" s="575" t="s">
        <v>1038</v>
      </c>
      <c r="C21" s="576" t="s">
        <v>1039</v>
      </c>
      <c r="D21" s="576" t="s">
        <v>1039</v>
      </c>
      <c r="E21" s="576" t="s">
        <v>1039</v>
      </c>
      <c r="F21" s="576" t="s">
        <v>1039</v>
      </c>
      <c r="G21" s="576" t="s">
        <v>1040</v>
      </c>
    </row>
    <row r="22" spans="1:7" ht="16" thickBot="1">
      <c r="A22" s="572">
        <v>31</v>
      </c>
      <c r="B22" s="573" t="s">
        <v>967</v>
      </c>
      <c r="C22" s="629"/>
      <c r="D22" s="630"/>
      <c r="E22" s="630"/>
      <c r="F22" s="630"/>
      <c r="G22" s="631"/>
    </row>
    <row r="23" spans="1:7" ht="16" thickBot="1">
      <c r="A23" s="577"/>
      <c r="B23" s="644" t="s">
        <v>967</v>
      </c>
      <c r="C23" s="645" t="s">
        <v>1010</v>
      </c>
      <c r="D23" s="645" t="s">
        <v>1011</v>
      </c>
      <c r="E23" s="645" t="s">
        <v>1011</v>
      </c>
      <c r="F23" s="645" t="s">
        <v>1012</v>
      </c>
      <c r="G23" s="645" t="s">
        <v>1013</v>
      </c>
    </row>
    <row r="24" spans="1:7" ht="37" thickBot="1">
      <c r="A24" s="577"/>
      <c r="B24" s="644" t="s">
        <v>1041</v>
      </c>
      <c r="C24" s="645" t="s">
        <v>1010</v>
      </c>
      <c r="D24" s="645" t="s">
        <v>1010</v>
      </c>
      <c r="E24" s="645" t="s">
        <v>1010</v>
      </c>
      <c r="F24" s="645" t="s">
        <v>1010</v>
      </c>
      <c r="G24" s="645" t="s">
        <v>1010</v>
      </c>
    </row>
    <row r="25" spans="1:7" ht="37" thickBot="1">
      <c r="A25" s="577"/>
      <c r="B25" s="644" t="s">
        <v>1042</v>
      </c>
      <c r="C25" s="645" t="s">
        <v>1010</v>
      </c>
      <c r="D25" s="645" t="s">
        <v>1011</v>
      </c>
      <c r="E25" s="645" t="s">
        <v>1011</v>
      </c>
      <c r="F25" s="645" t="s">
        <v>1012</v>
      </c>
      <c r="G25" s="645" t="s">
        <v>1013</v>
      </c>
    </row>
    <row r="26" spans="1:7" ht="37" thickBot="1">
      <c r="A26" s="577"/>
      <c r="B26" s="575" t="s">
        <v>1043</v>
      </c>
      <c r="C26" s="576" t="s">
        <v>1010</v>
      </c>
      <c r="D26" s="576" t="s">
        <v>1010</v>
      </c>
      <c r="E26" s="576" t="s">
        <v>1010</v>
      </c>
      <c r="F26" s="576" t="s">
        <v>1010</v>
      </c>
      <c r="G26" s="576" t="s">
        <v>1010</v>
      </c>
    </row>
    <row r="27" spans="1:7" ht="16" thickBot="1">
      <c r="A27" s="577"/>
      <c r="B27" s="575" t="s">
        <v>1044</v>
      </c>
      <c r="C27" s="576" t="s">
        <v>1011</v>
      </c>
      <c r="D27" s="576" t="s">
        <v>1011</v>
      </c>
      <c r="E27" s="576" t="s">
        <v>1013</v>
      </c>
      <c r="F27" s="576" t="s">
        <v>1013</v>
      </c>
      <c r="G27" s="576" t="s">
        <v>1013</v>
      </c>
    </row>
    <row r="28" spans="1:7" ht="43" thickBot="1">
      <c r="A28" s="577"/>
      <c r="B28" s="575" t="s">
        <v>1045</v>
      </c>
      <c r="C28" s="576" t="s">
        <v>1046</v>
      </c>
      <c r="D28" s="576" t="s">
        <v>1046</v>
      </c>
      <c r="E28" s="576" t="s">
        <v>1013</v>
      </c>
      <c r="F28" s="576" t="s">
        <v>1013</v>
      </c>
      <c r="G28" s="576" t="s">
        <v>1013</v>
      </c>
    </row>
    <row r="29" spans="1:7" ht="43" thickBot="1">
      <c r="A29" s="577"/>
      <c r="B29" s="575" t="s">
        <v>1047</v>
      </c>
      <c r="C29" s="576" t="s">
        <v>1046</v>
      </c>
      <c r="D29" s="576" t="s">
        <v>1046</v>
      </c>
      <c r="E29" s="576" t="s">
        <v>1013</v>
      </c>
      <c r="F29" s="576" t="s">
        <v>1013</v>
      </c>
      <c r="G29" s="576" t="s">
        <v>1013</v>
      </c>
    </row>
    <row r="30" spans="1:7" ht="37" thickBot="1">
      <c r="A30" s="577"/>
      <c r="B30" s="575" t="s">
        <v>1048</v>
      </c>
      <c r="C30" s="576" t="s">
        <v>1013</v>
      </c>
      <c r="D30" s="576" t="s">
        <v>1013</v>
      </c>
      <c r="E30" s="576" t="s">
        <v>1013</v>
      </c>
      <c r="F30" s="576" t="s">
        <v>1013</v>
      </c>
      <c r="G30" s="576" t="s">
        <v>1013</v>
      </c>
    </row>
    <row r="31" spans="1:7">
      <c r="A31" s="579">
        <v>34</v>
      </c>
      <c r="B31" s="580" t="s">
        <v>1049</v>
      </c>
      <c r="C31" s="635"/>
      <c r="D31" s="636"/>
      <c r="E31" s="636"/>
      <c r="F31" s="636"/>
      <c r="G31" s="637"/>
    </row>
    <row r="32" spans="1:7" ht="43" thickBot="1">
      <c r="A32" s="572">
        <v>35</v>
      </c>
      <c r="B32" s="573" t="s">
        <v>1050</v>
      </c>
      <c r="C32" s="638"/>
      <c r="D32" s="639"/>
      <c r="E32" s="639"/>
      <c r="F32" s="639"/>
      <c r="G32" s="640"/>
    </row>
    <row r="33" spans="1:7" ht="16" thickBot="1">
      <c r="A33" s="577"/>
      <c r="B33" s="575" t="s">
        <v>1051</v>
      </c>
      <c r="C33" s="576" t="s">
        <v>1010</v>
      </c>
      <c r="D33" s="576" t="s">
        <v>1010</v>
      </c>
      <c r="E33" s="576" t="s">
        <v>1052</v>
      </c>
      <c r="F33" s="576" t="s">
        <v>1053</v>
      </c>
      <c r="G33" s="576" t="s">
        <v>1054</v>
      </c>
    </row>
    <row r="34" spans="1:7" ht="16" thickBot="1">
      <c r="A34" s="577"/>
      <c r="B34" s="575" t="s">
        <v>1055</v>
      </c>
      <c r="C34" s="576" t="s">
        <v>1053</v>
      </c>
      <c r="D34" s="576" t="s">
        <v>1053</v>
      </c>
      <c r="E34" s="576" t="s">
        <v>1053</v>
      </c>
      <c r="F34" s="576" t="s">
        <v>1053</v>
      </c>
      <c r="G34" s="576" t="s">
        <v>1053</v>
      </c>
    </row>
    <row r="35" spans="1:7" ht="25" thickBot="1">
      <c r="A35" s="577"/>
      <c r="B35" s="575" t="s">
        <v>1056</v>
      </c>
      <c r="C35" s="576"/>
      <c r="D35" s="576"/>
      <c r="E35" s="576" t="s">
        <v>1011</v>
      </c>
      <c r="F35" s="576" t="s">
        <v>1033</v>
      </c>
      <c r="G35" s="576" t="s">
        <v>1031</v>
      </c>
    </row>
    <row r="36" spans="1:7" ht="16" thickBot="1">
      <c r="A36" s="577"/>
      <c r="B36" s="575" t="s">
        <v>1057</v>
      </c>
      <c r="C36" s="576"/>
      <c r="D36" s="576"/>
      <c r="E36" s="576" t="s">
        <v>1053</v>
      </c>
      <c r="F36" s="576" t="s">
        <v>1053</v>
      </c>
      <c r="G36" s="576" t="s">
        <v>1053</v>
      </c>
    </row>
    <row r="37" spans="1:7" ht="25" thickBot="1">
      <c r="A37" s="577"/>
      <c r="B37" s="575" t="s">
        <v>1058</v>
      </c>
      <c r="C37" s="576"/>
      <c r="D37" s="576"/>
      <c r="E37" s="576" t="s">
        <v>1022</v>
      </c>
      <c r="F37" s="576"/>
      <c r="G37" s="576"/>
    </row>
    <row r="38" spans="1:7" ht="73" thickBot="1">
      <c r="A38" s="577"/>
      <c r="B38" s="575" t="s">
        <v>1059</v>
      </c>
      <c r="C38" s="576"/>
      <c r="D38" s="576"/>
      <c r="E38" s="576" t="s">
        <v>1060</v>
      </c>
      <c r="F38" s="576" t="s">
        <v>1060</v>
      </c>
      <c r="G38" s="576" t="s">
        <v>1060</v>
      </c>
    </row>
    <row r="39" spans="1:7" ht="25" thickBot="1">
      <c r="A39" s="577"/>
      <c r="B39" s="575" t="s">
        <v>1061</v>
      </c>
      <c r="C39" s="576"/>
      <c r="D39" s="576"/>
      <c r="E39" s="576" t="s">
        <v>1062</v>
      </c>
      <c r="F39" s="576" t="s">
        <v>1062</v>
      </c>
      <c r="G39" s="576" t="s">
        <v>1062</v>
      </c>
    </row>
    <row r="40" spans="1:7" ht="16" thickBot="1">
      <c r="A40" s="577"/>
      <c r="B40" s="575" t="s">
        <v>1063</v>
      </c>
      <c r="C40" s="576"/>
      <c r="D40" s="576"/>
      <c r="E40" s="576" t="s">
        <v>1064</v>
      </c>
      <c r="F40" s="576" t="s">
        <v>1064</v>
      </c>
      <c r="G40" s="576" t="s">
        <v>1064</v>
      </c>
    </row>
    <row r="41" spans="1:7" ht="29" thickBot="1">
      <c r="A41" s="581">
        <v>36</v>
      </c>
      <c r="B41" s="582" t="s">
        <v>1065</v>
      </c>
      <c r="C41" s="629"/>
      <c r="D41" s="630"/>
      <c r="E41" s="630"/>
      <c r="F41" s="630"/>
      <c r="G41" s="631"/>
    </row>
    <row r="42" spans="1:7" ht="16" thickBot="1">
      <c r="A42" s="574"/>
      <c r="B42" s="575" t="s">
        <v>1066</v>
      </c>
      <c r="C42" s="576"/>
      <c r="D42" s="576"/>
      <c r="E42" s="576" t="s">
        <v>1011</v>
      </c>
      <c r="F42" s="576" t="s">
        <v>1011</v>
      </c>
      <c r="G42" s="576" t="s">
        <v>1011</v>
      </c>
    </row>
    <row r="43" spans="1:7" ht="43" thickBot="1">
      <c r="A43" s="574"/>
      <c r="B43" s="575" t="s">
        <v>1067</v>
      </c>
      <c r="C43" s="576" t="s">
        <v>1024</v>
      </c>
      <c r="D43" s="576" t="s">
        <v>1024</v>
      </c>
      <c r="E43" s="576" t="s">
        <v>1013</v>
      </c>
      <c r="F43" s="576" t="s">
        <v>1013</v>
      </c>
      <c r="G43" s="576" t="s">
        <v>1013</v>
      </c>
    </row>
    <row r="44" spans="1:7" ht="16" thickBot="1">
      <c r="A44" s="574"/>
      <c r="B44" s="575" t="s">
        <v>1068</v>
      </c>
      <c r="C44" s="576"/>
      <c r="D44" s="576"/>
      <c r="E44" s="576" t="s">
        <v>1053</v>
      </c>
      <c r="F44" s="576" t="s">
        <v>1053</v>
      </c>
      <c r="G44" s="576" t="s">
        <v>1053</v>
      </c>
    </row>
    <row r="45" spans="1:7" ht="16" thickBot="1">
      <c r="A45" s="572">
        <v>39</v>
      </c>
      <c r="B45" s="573" t="s">
        <v>1069</v>
      </c>
      <c r="C45" s="629"/>
      <c r="D45" s="630"/>
      <c r="E45" s="630"/>
      <c r="F45" s="630"/>
      <c r="G45" s="631"/>
    </row>
    <row r="46" spans="1:7" ht="16" thickBot="1">
      <c r="A46" s="574"/>
      <c r="B46" s="575" t="s">
        <v>1070</v>
      </c>
      <c r="C46" s="576"/>
      <c r="D46" s="576"/>
      <c r="E46" s="576" t="s">
        <v>1011</v>
      </c>
      <c r="F46" s="576" t="s">
        <v>1012</v>
      </c>
      <c r="G46" s="576" t="s">
        <v>1071</v>
      </c>
    </row>
    <row r="47" spans="1:7">
      <c r="A47" s="579">
        <v>40</v>
      </c>
      <c r="B47" s="1565" t="s">
        <v>1072</v>
      </c>
      <c r="C47" s="635"/>
      <c r="D47" s="636"/>
      <c r="E47" s="636"/>
      <c r="F47" s="636"/>
      <c r="G47" s="637"/>
    </row>
    <row r="48" spans="1:7" ht="16" thickBot="1">
      <c r="A48" s="572">
        <v>41</v>
      </c>
      <c r="B48" s="1566"/>
      <c r="C48" s="638"/>
      <c r="D48" s="639"/>
      <c r="E48" s="639"/>
      <c r="F48" s="639"/>
      <c r="G48" s="640"/>
    </row>
    <row r="49" spans="1:7" ht="29" thickBot="1">
      <c r="A49" s="574"/>
      <c r="B49" s="575" t="s">
        <v>1073</v>
      </c>
      <c r="C49" s="576" t="s">
        <v>1010</v>
      </c>
      <c r="D49" s="576" t="s">
        <v>1010</v>
      </c>
      <c r="E49" s="576" t="s">
        <v>1074</v>
      </c>
      <c r="F49" s="576" t="s">
        <v>1074</v>
      </c>
      <c r="G49" s="576" t="s">
        <v>1074</v>
      </c>
    </row>
    <row r="50" spans="1:7" ht="37" thickBot="1">
      <c r="A50" s="574"/>
      <c r="B50" s="575" t="s">
        <v>1076</v>
      </c>
      <c r="C50" s="576"/>
      <c r="D50" s="576"/>
      <c r="E50" s="576"/>
      <c r="F50" s="576"/>
      <c r="G50" s="576"/>
    </row>
    <row r="51" spans="1:7">
      <c r="A51" s="1565">
        <v>45</v>
      </c>
      <c r="B51" s="580" t="s">
        <v>1077</v>
      </c>
      <c r="C51" s="635"/>
      <c r="D51" s="636"/>
      <c r="E51" s="636"/>
      <c r="F51" s="636"/>
      <c r="G51" s="637"/>
    </row>
    <row r="52" spans="1:7" ht="16" thickBot="1">
      <c r="A52" s="1566"/>
      <c r="B52" s="573" t="s">
        <v>1078</v>
      </c>
      <c r="C52" s="638"/>
      <c r="D52" s="639"/>
      <c r="E52" s="639"/>
      <c r="F52" s="639"/>
      <c r="G52" s="640"/>
    </row>
    <row r="53" spans="1:7" ht="29" thickBot="1">
      <c r="A53" s="574"/>
      <c r="B53" s="575" t="s">
        <v>1079</v>
      </c>
      <c r="C53" s="576"/>
      <c r="D53" s="576"/>
      <c r="E53" s="576" t="s">
        <v>1080</v>
      </c>
      <c r="F53" s="576" t="s">
        <v>1080</v>
      </c>
      <c r="G53" s="576" t="s">
        <v>1080</v>
      </c>
    </row>
    <row r="54" spans="1:7">
      <c r="A54" s="1565">
        <v>26</v>
      </c>
      <c r="B54" s="1565" t="s">
        <v>1081</v>
      </c>
      <c r="C54" s="635"/>
      <c r="D54" s="636"/>
      <c r="E54" s="636"/>
      <c r="F54" s="636"/>
      <c r="G54" s="637"/>
    </row>
    <row r="55" spans="1:7" ht="16" thickBot="1">
      <c r="A55" s="1566"/>
      <c r="B55" s="1566"/>
      <c r="C55" s="638"/>
      <c r="D55" s="639"/>
      <c r="E55" s="639"/>
      <c r="F55" s="639"/>
      <c r="G55" s="640"/>
    </row>
    <row r="56" spans="1:7" ht="16" thickBot="1">
      <c r="A56" s="574"/>
      <c r="B56" s="575" t="s">
        <v>1082</v>
      </c>
      <c r="C56" s="576" t="s">
        <v>65</v>
      </c>
      <c r="D56" s="576" t="s">
        <v>65</v>
      </c>
      <c r="E56" s="576" t="s">
        <v>65</v>
      </c>
      <c r="F56" s="576" t="s">
        <v>1083</v>
      </c>
      <c r="G56" s="576" t="s">
        <v>309</v>
      </c>
    </row>
    <row r="57" spans="1:7">
      <c r="A57" s="1511" t="s">
        <v>1084</v>
      </c>
      <c r="B57" s="1512"/>
      <c r="C57" s="1512"/>
      <c r="D57" s="1513"/>
      <c r="E57" s="607"/>
      <c r="F57" s="607"/>
      <c r="G57" s="608"/>
    </row>
    <row r="58" spans="1:7" ht="48">
      <c r="A58" s="1537"/>
      <c r="B58" s="1538"/>
      <c r="C58" s="1538"/>
      <c r="D58" s="1539"/>
      <c r="E58" s="600" t="s">
        <v>1085</v>
      </c>
      <c r="F58" s="601"/>
      <c r="G58" s="602"/>
    </row>
    <row r="59" spans="1:7" ht="45" customHeight="1">
      <c r="A59" s="1537" t="s">
        <v>1086</v>
      </c>
      <c r="B59" s="1538"/>
      <c r="C59" s="1538"/>
      <c r="D59" s="1539"/>
      <c r="E59" s="601"/>
      <c r="F59" s="601"/>
      <c r="G59" s="602"/>
    </row>
    <row r="60" spans="1:7" ht="25" thickBot="1">
      <c r="A60" s="1531"/>
      <c r="B60" s="1532"/>
      <c r="C60" s="1532"/>
      <c r="D60" s="1533"/>
      <c r="E60" s="603" t="s">
        <v>1087</v>
      </c>
      <c r="F60" s="604"/>
      <c r="G60" s="575"/>
    </row>
    <row r="61" spans="1:7" ht="15" customHeight="1">
      <c r="A61" s="1511" t="s">
        <v>1088</v>
      </c>
      <c r="B61" s="1512"/>
      <c r="C61" s="1512"/>
      <c r="D61" s="1513"/>
      <c r="E61" s="605" t="s">
        <v>1089</v>
      </c>
      <c r="F61" s="605"/>
      <c r="G61" s="606"/>
    </row>
    <row r="62" spans="1:7">
      <c r="A62" s="1537"/>
      <c r="B62" s="1538"/>
      <c r="C62" s="1538"/>
      <c r="D62" s="1539"/>
      <c r="E62" s="594"/>
      <c r="F62" s="595"/>
      <c r="G62" s="596"/>
    </row>
    <row r="63" spans="1:7" ht="54" customHeight="1">
      <c r="A63" s="1537" t="s">
        <v>1090</v>
      </c>
      <c r="B63" s="1538"/>
      <c r="C63" s="1538"/>
      <c r="D63" s="1539"/>
      <c r="E63" s="597" t="s">
        <v>1010</v>
      </c>
      <c r="F63" s="598" t="s">
        <v>1091</v>
      </c>
      <c r="G63" s="599"/>
    </row>
    <row r="64" spans="1:7">
      <c r="A64" s="1534"/>
      <c r="B64" s="1535"/>
      <c r="C64" s="1535"/>
      <c r="D64" s="1536"/>
      <c r="E64" s="589" t="s">
        <v>1011</v>
      </c>
      <c r="F64" s="592" t="s">
        <v>1092</v>
      </c>
      <c r="G64" s="593"/>
    </row>
    <row r="65" spans="1:7">
      <c r="A65" s="1525"/>
      <c r="B65" s="1526"/>
      <c r="C65" s="1526"/>
      <c r="D65" s="1527"/>
      <c r="E65" s="589" t="s">
        <v>1012</v>
      </c>
      <c r="F65" s="592" t="s">
        <v>1093</v>
      </c>
      <c r="G65" s="593"/>
    </row>
    <row r="66" spans="1:7">
      <c r="A66" s="1525"/>
      <c r="B66" s="1526"/>
      <c r="C66" s="1526"/>
      <c r="D66" s="1527"/>
      <c r="E66" s="589" t="s">
        <v>1013</v>
      </c>
      <c r="F66" s="592" t="s">
        <v>1094</v>
      </c>
      <c r="G66" s="593"/>
    </row>
    <row r="67" spans="1:7" ht="39">
      <c r="A67" s="1525"/>
      <c r="B67" s="1526"/>
      <c r="C67" s="1526"/>
      <c r="D67" s="1527"/>
      <c r="E67" s="589" t="s">
        <v>1095</v>
      </c>
      <c r="F67" s="592" t="s">
        <v>1096</v>
      </c>
      <c r="G67" s="593"/>
    </row>
    <row r="68" spans="1:7">
      <c r="A68" s="1525"/>
      <c r="B68" s="1526"/>
      <c r="C68" s="1526"/>
      <c r="D68" s="1527"/>
      <c r="E68" s="589" t="s">
        <v>1053</v>
      </c>
      <c r="F68" s="592" t="s">
        <v>1097</v>
      </c>
      <c r="G68" s="593"/>
    </row>
    <row r="69" spans="1:7">
      <c r="A69" s="1525"/>
      <c r="B69" s="1526"/>
      <c r="C69" s="1526"/>
      <c r="D69" s="1527"/>
      <c r="E69" s="589" t="s">
        <v>1022</v>
      </c>
      <c r="F69" s="592" t="s">
        <v>1098</v>
      </c>
      <c r="G69" s="593"/>
    </row>
    <row r="70" spans="1:7">
      <c r="A70" s="1525"/>
      <c r="B70" s="1526"/>
      <c r="C70" s="1526"/>
      <c r="D70" s="1527"/>
      <c r="E70" s="589" t="s">
        <v>1099</v>
      </c>
      <c r="F70" s="592" t="s">
        <v>1100</v>
      </c>
      <c r="G70" s="593"/>
    </row>
    <row r="71" spans="1:7" ht="26">
      <c r="A71" s="1525"/>
      <c r="B71" s="1526"/>
      <c r="C71" s="1526"/>
      <c r="D71" s="1527"/>
      <c r="E71" s="589" t="s">
        <v>1062</v>
      </c>
      <c r="F71" s="592" t="s">
        <v>1101</v>
      </c>
      <c r="G71" s="593"/>
    </row>
    <row r="72" spans="1:7" ht="26">
      <c r="A72" s="1525"/>
      <c r="B72" s="1526"/>
      <c r="C72" s="1526"/>
      <c r="D72" s="1527"/>
      <c r="E72" s="589" t="s">
        <v>1102</v>
      </c>
      <c r="F72" s="592" t="s">
        <v>1103</v>
      </c>
      <c r="G72" s="593"/>
    </row>
    <row r="73" spans="1:7" ht="26">
      <c r="A73" s="1525"/>
      <c r="B73" s="1526"/>
      <c r="C73" s="1526"/>
      <c r="D73" s="1527"/>
      <c r="E73" s="589" t="s">
        <v>1104</v>
      </c>
      <c r="F73" s="592" t="s">
        <v>1105</v>
      </c>
      <c r="G73" s="593"/>
    </row>
    <row r="74" spans="1:7" ht="26">
      <c r="A74" s="1525"/>
      <c r="B74" s="1526"/>
      <c r="C74" s="1526"/>
      <c r="D74" s="1527"/>
      <c r="E74" s="589" t="s">
        <v>1106</v>
      </c>
      <c r="F74" s="592" t="s">
        <v>1107</v>
      </c>
      <c r="G74" s="593"/>
    </row>
    <row r="75" spans="1:7" ht="27" thickBot="1">
      <c r="A75" s="1531"/>
      <c r="B75" s="1532"/>
      <c r="C75" s="1532"/>
      <c r="D75" s="1533"/>
      <c r="E75" s="589" t="s">
        <v>1108</v>
      </c>
      <c r="F75" s="592" t="s">
        <v>1109</v>
      </c>
      <c r="G75" s="593"/>
    </row>
    <row r="76" spans="1:7" ht="24">
      <c r="A76" s="1511" t="s">
        <v>1110</v>
      </c>
      <c r="B76" s="1512"/>
      <c r="C76" s="1512"/>
      <c r="D76" s="1513"/>
      <c r="E76" s="589" t="s">
        <v>65</v>
      </c>
      <c r="F76" s="590" t="s">
        <v>1111</v>
      </c>
      <c r="G76" s="591"/>
    </row>
    <row r="77" spans="1:7" ht="145" thickBot="1">
      <c r="A77" s="1519" t="s">
        <v>1112</v>
      </c>
      <c r="B77" s="1520"/>
      <c r="C77" s="1520"/>
      <c r="D77" s="1521"/>
      <c r="E77" s="589" t="s">
        <v>1083</v>
      </c>
      <c r="F77" s="590" t="s">
        <v>1113</v>
      </c>
      <c r="G77" s="591"/>
    </row>
    <row r="78" spans="1:7" ht="133" thickBot="1">
      <c r="A78" s="1503"/>
      <c r="B78" s="1504"/>
      <c r="C78" s="1504"/>
      <c r="D78" s="1505"/>
      <c r="E78" s="586" t="s">
        <v>309</v>
      </c>
      <c r="F78" s="587" t="s">
        <v>1114</v>
      </c>
      <c r="G78" s="588"/>
    </row>
    <row r="79" spans="1:7">
      <c r="A79" s="583"/>
      <c r="B79" s="583"/>
      <c r="C79" s="583"/>
      <c r="D79" s="583"/>
      <c r="E79" s="583"/>
      <c r="F79" s="583"/>
      <c r="G79" s="583"/>
    </row>
    <row r="80" spans="1:7">
      <c r="A80" s="584"/>
    </row>
  </sheetData>
  <sheetProtection algorithmName="SHA-512" hashValue="BbpUUbUIUslxblvvljoTdr5pHQxBf+aukH4KBiL55dBlV0p84wy4pX992jr4GMe9XInef3hvGu9zc3YAN3rA1w==" saltValue="cb0dvWNTcvcHDSi0QaYpjQ==" spinCount="100000" sheet="1" objects="1" scenarios="1"/>
  <mergeCells count="35">
    <mergeCell ref="B47:B48"/>
    <mergeCell ref="A19:A20"/>
    <mergeCell ref="C15:G15"/>
    <mergeCell ref="C9:G9"/>
    <mergeCell ref="A1:A2"/>
    <mergeCell ref="C1:C2"/>
    <mergeCell ref="F1:F2"/>
    <mergeCell ref="G1:G2"/>
    <mergeCell ref="A57:D57"/>
    <mergeCell ref="A58:D58"/>
    <mergeCell ref="A51:A52"/>
    <mergeCell ref="A54:A55"/>
    <mergeCell ref="B54:B55"/>
    <mergeCell ref="A65:D65"/>
    <mergeCell ref="A62:D62"/>
    <mergeCell ref="A63:D63"/>
    <mergeCell ref="A59:D59"/>
    <mergeCell ref="A60:D60"/>
    <mergeCell ref="A61:D61"/>
    <mergeCell ref="A78:D78"/>
    <mergeCell ref="D1:D2"/>
    <mergeCell ref="E1:E2"/>
    <mergeCell ref="A76:D76"/>
    <mergeCell ref="A77:D77"/>
    <mergeCell ref="A74:D74"/>
    <mergeCell ref="A75:D75"/>
    <mergeCell ref="A72:D72"/>
    <mergeCell ref="A73:D73"/>
    <mergeCell ref="A70:D70"/>
    <mergeCell ref="A71:D71"/>
    <mergeCell ref="A68:D68"/>
    <mergeCell ref="A69:D69"/>
    <mergeCell ref="A66:D66"/>
    <mergeCell ref="A67:D67"/>
    <mergeCell ref="A64:D64"/>
  </mergeCells>
  <pageMargins left="0.70866141732283472" right="0.70866141732283472" top="0.78740157480314965" bottom="0.78740157480314965" header="0.31496062992125984" footer="0.31496062992125984"/>
  <pageSetup paperSize="9" scale="62" fitToHeight="0" orientation="portrait" r:id="rId1"/>
  <rowBreaks count="1" manualBreakCount="1">
    <brk id="40" max="16383"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Tabelle23">
    <tabColor rgb="FFFF9999"/>
  </sheetPr>
  <dimension ref="A1:H78"/>
  <sheetViews>
    <sheetView workbookViewId="0">
      <selection activeCell="D1" sqref="D1:E2"/>
    </sheetView>
  </sheetViews>
  <sheetFormatPr baseColWidth="10" defaultColWidth="10.83203125" defaultRowHeight="15"/>
  <cols>
    <col min="1" max="1" width="4.83203125" customWidth="1"/>
    <col min="2" max="2" width="21.1640625" customWidth="1"/>
  </cols>
  <sheetData>
    <row r="1" spans="1:8" ht="42" customHeight="1">
      <c r="A1" s="1589" t="s">
        <v>1005</v>
      </c>
      <c r="B1" s="570" t="s">
        <v>1006</v>
      </c>
      <c r="C1" s="1602">
        <v>1</v>
      </c>
      <c r="D1" s="1604">
        <v>2</v>
      </c>
      <c r="E1" s="1604">
        <v>3</v>
      </c>
      <c r="F1" s="1602">
        <v>4</v>
      </c>
      <c r="G1" s="1602">
        <v>5</v>
      </c>
    </row>
    <row r="2" spans="1:8" ht="15.75" customHeight="1" thickBot="1">
      <c r="A2" s="1590"/>
      <c r="B2" s="571" t="s">
        <v>1007</v>
      </c>
      <c r="C2" s="1603"/>
      <c r="D2" s="1606"/>
      <c r="E2" s="1606"/>
      <c r="F2" s="1603"/>
      <c r="G2" s="1603"/>
    </row>
    <row r="3" spans="1:8" ht="43" thickBot="1">
      <c r="A3" s="572">
        <v>27</v>
      </c>
      <c r="B3" s="573" t="s">
        <v>1008</v>
      </c>
      <c r="C3" s="632" t="s">
        <v>1009</v>
      </c>
      <c r="D3" s="633"/>
      <c r="E3" s="633"/>
      <c r="F3" s="633"/>
      <c r="G3" s="634"/>
    </row>
    <row r="4" spans="1:8" ht="29" thickBot="1">
      <c r="A4" s="574"/>
      <c r="B4" s="644" t="s">
        <v>1008</v>
      </c>
      <c r="C4" s="645" t="s">
        <v>1010</v>
      </c>
      <c r="D4" s="645" t="s">
        <v>1011</v>
      </c>
      <c r="E4" s="645" t="s">
        <v>1011</v>
      </c>
      <c r="F4" s="645" t="s">
        <v>1012</v>
      </c>
      <c r="G4" s="645" t="s">
        <v>1013</v>
      </c>
      <c r="H4" s="655" t="s">
        <v>1231</v>
      </c>
    </row>
    <row r="5" spans="1:8" ht="25" thickBot="1">
      <c r="A5" s="574"/>
      <c r="B5" s="575" t="s">
        <v>1014</v>
      </c>
      <c r="C5" s="576" t="s">
        <v>1010</v>
      </c>
      <c r="D5" s="576" t="s">
        <v>1011</v>
      </c>
      <c r="E5" s="576" t="s">
        <v>1011</v>
      </c>
      <c r="F5" s="576" t="s">
        <v>1012</v>
      </c>
      <c r="G5" s="576" t="s">
        <v>1013</v>
      </c>
    </row>
    <row r="6" spans="1:8" ht="16" thickBot="1">
      <c r="A6" s="574"/>
      <c r="B6" s="575" t="s">
        <v>1015</v>
      </c>
      <c r="C6" s="576" t="s">
        <v>1010</v>
      </c>
      <c r="D6" s="576" t="s">
        <v>1010</v>
      </c>
      <c r="E6" s="576" t="s">
        <v>1010</v>
      </c>
      <c r="F6" s="576" t="s">
        <v>1010</v>
      </c>
      <c r="G6" s="576" t="s">
        <v>1010</v>
      </c>
    </row>
    <row r="7" spans="1:8" ht="37" thickBot="1">
      <c r="A7" s="574"/>
      <c r="B7" s="575" t="s">
        <v>1016</v>
      </c>
      <c r="C7" s="576" t="s">
        <v>1010</v>
      </c>
      <c r="D7" s="576" t="s">
        <v>1010</v>
      </c>
      <c r="E7" s="576" t="s">
        <v>1010</v>
      </c>
      <c r="F7" s="576" t="s">
        <v>1010</v>
      </c>
      <c r="G7" s="576" t="s">
        <v>1010</v>
      </c>
    </row>
    <row r="8" spans="1:8" ht="34.5" customHeight="1" thickBot="1">
      <c r="A8" s="574"/>
      <c r="B8" s="575" t="s">
        <v>1017</v>
      </c>
      <c r="C8" s="576" t="s">
        <v>1011</v>
      </c>
      <c r="D8" s="576" t="s">
        <v>1011</v>
      </c>
      <c r="E8" s="576" t="s">
        <v>1013</v>
      </c>
      <c r="F8" s="576" t="s">
        <v>1013</v>
      </c>
      <c r="G8" s="576" t="s">
        <v>1013</v>
      </c>
    </row>
    <row r="9" spans="1:8" ht="26.25" customHeight="1" thickBot="1">
      <c r="A9" s="572">
        <v>28</v>
      </c>
      <c r="B9" s="573" t="s">
        <v>1018</v>
      </c>
      <c r="C9" s="1573"/>
      <c r="D9" s="1574"/>
      <c r="E9" s="1574"/>
      <c r="F9" s="1574"/>
      <c r="G9" s="1575"/>
    </row>
    <row r="10" spans="1:8" ht="34.5" customHeight="1" thickBot="1">
      <c r="A10" s="577"/>
      <c r="B10" s="644" t="s">
        <v>1019</v>
      </c>
      <c r="C10" s="645" t="s">
        <v>1010</v>
      </c>
      <c r="D10" s="645" t="s">
        <v>1010</v>
      </c>
      <c r="E10" s="645" t="s">
        <v>1010</v>
      </c>
      <c r="F10" s="645" t="s">
        <v>1020</v>
      </c>
      <c r="G10" s="645" t="s">
        <v>1020</v>
      </c>
    </row>
    <row r="11" spans="1:8" ht="102" customHeight="1" thickBot="1">
      <c r="A11" s="577"/>
      <c r="B11" s="646" t="s">
        <v>1021</v>
      </c>
      <c r="C11" s="647" t="s">
        <v>1010</v>
      </c>
      <c r="D11" s="647" t="s">
        <v>1010</v>
      </c>
      <c r="E11" s="647" t="s">
        <v>1010</v>
      </c>
      <c r="F11" s="647" t="s">
        <v>1022</v>
      </c>
      <c r="G11" s="647" t="s">
        <v>1022</v>
      </c>
    </row>
    <row r="12" spans="1:8" ht="26.25" customHeight="1" thickBot="1">
      <c r="A12" s="572">
        <v>29</v>
      </c>
      <c r="B12" s="573" t="s">
        <v>1023</v>
      </c>
      <c r="C12" s="629"/>
      <c r="D12" s="630"/>
      <c r="E12" s="630"/>
      <c r="F12" s="630"/>
      <c r="G12" s="631"/>
    </row>
    <row r="13" spans="1:8" ht="43" thickBot="1">
      <c r="A13" s="577"/>
      <c r="B13" s="644" t="s">
        <v>1023</v>
      </c>
      <c r="C13" s="645" t="s">
        <v>1024</v>
      </c>
      <c r="D13" s="645" t="s">
        <v>1025</v>
      </c>
      <c r="E13" s="645" t="s">
        <v>1026</v>
      </c>
      <c r="F13" s="645" t="s">
        <v>1027</v>
      </c>
      <c r="G13" s="645" t="s">
        <v>1028</v>
      </c>
    </row>
    <row r="14" spans="1:8" ht="57" customHeight="1" thickBot="1">
      <c r="A14" s="577"/>
      <c r="B14" s="575" t="s">
        <v>1029</v>
      </c>
      <c r="C14" s="576" t="s">
        <v>1024</v>
      </c>
      <c r="D14" s="576" t="s">
        <v>1025</v>
      </c>
      <c r="E14" s="576" t="s">
        <v>1026</v>
      </c>
      <c r="F14" s="576" t="s">
        <v>1026</v>
      </c>
      <c r="G14" s="576" t="s">
        <v>1026</v>
      </c>
    </row>
    <row r="15" spans="1:8" ht="26.25" customHeight="1" thickBot="1">
      <c r="A15" s="572">
        <v>30</v>
      </c>
      <c r="B15" s="573" t="s">
        <v>1030</v>
      </c>
      <c r="C15" s="1573"/>
      <c r="D15" s="1574"/>
      <c r="E15" s="1574"/>
      <c r="F15" s="1574"/>
      <c r="G15" s="1575"/>
    </row>
    <row r="16" spans="1:8" ht="16" thickBot="1">
      <c r="A16" s="577"/>
      <c r="B16" s="575" t="s">
        <v>1030</v>
      </c>
      <c r="C16" s="576"/>
      <c r="D16" s="576"/>
      <c r="E16" s="576"/>
      <c r="F16" s="576"/>
      <c r="G16" s="576"/>
    </row>
    <row r="17" spans="1:8" ht="45.75" customHeight="1" thickBot="1">
      <c r="A17" s="577"/>
      <c r="B17" s="575" t="s">
        <v>1032</v>
      </c>
      <c r="C17" s="576"/>
      <c r="D17" s="576"/>
      <c r="E17" s="576"/>
      <c r="F17" s="576"/>
      <c r="G17" s="576"/>
    </row>
    <row r="18" spans="1:8" ht="23.25" customHeight="1" thickBot="1">
      <c r="A18" s="577"/>
      <c r="B18" s="575" t="s">
        <v>1034</v>
      </c>
      <c r="C18" s="576"/>
      <c r="D18" s="576"/>
      <c r="E18" s="576"/>
      <c r="F18" s="576"/>
      <c r="G18" s="576"/>
    </row>
    <row r="19" spans="1:8" ht="113.25" customHeight="1" thickBot="1">
      <c r="A19" s="1589"/>
      <c r="B19" s="578" t="s">
        <v>1036</v>
      </c>
      <c r="C19" s="576"/>
      <c r="D19" s="576"/>
      <c r="E19" s="576"/>
      <c r="F19" s="576"/>
      <c r="G19" s="576"/>
    </row>
    <row r="20" spans="1:8" ht="16" thickBot="1">
      <c r="A20" s="1590"/>
      <c r="B20" s="575" t="s">
        <v>1037</v>
      </c>
      <c r="C20" s="626"/>
      <c r="D20" s="627"/>
      <c r="E20" s="627"/>
      <c r="F20" s="627"/>
      <c r="G20" s="628"/>
    </row>
    <row r="21" spans="1:8" ht="113.25" customHeight="1" thickBot="1">
      <c r="A21" s="577"/>
      <c r="B21" s="575" t="s">
        <v>1038</v>
      </c>
      <c r="C21" s="576"/>
      <c r="D21" s="576"/>
      <c r="E21" s="576"/>
      <c r="F21" s="576"/>
      <c r="G21" s="576"/>
    </row>
    <row r="22" spans="1:8" ht="16" thickBot="1">
      <c r="A22" s="572">
        <v>31</v>
      </c>
      <c r="B22" s="573" t="s">
        <v>967</v>
      </c>
      <c r="C22" s="629"/>
      <c r="D22" s="630"/>
      <c r="E22" s="630"/>
      <c r="F22" s="630"/>
      <c r="G22" s="631"/>
    </row>
    <row r="23" spans="1:8" ht="29" thickBot="1">
      <c r="A23" s="577"/>
      <c r="B23" s="644" t="s">
        <v>967</v>
      </c>
      <c r="C23" s="645" t="s">
        <v>1010</v>
      </c>
      <c r="D23" s="645" t="s">
        <v>1011</v>
      </c>
      <c r="E23" s="645" t="s">
        <v>1011</v>
      </c>
      <c r="F23" s="645" t="s">
        <v>1012</v>
      </c>
      <c r="G23" s="645" t="s">
        <v>1013</v>
      </c>
      <c r="H23" s="655" t="s">
        <v>1231</v>
      </c>
    </row>
    <row r="24" spans="1:8" ht="79.5" customHeight="1" thickBot="1">
      <c r="A24" s="577"/>
      <c r="B24" s="644" t="s">
        <v>1041</v>
      </c>
      <c r="C24" s="645" t="s">
        <v>1010</v>
      </c>
      <c r="D24" s="645" t="s">
        <v>1010</v>
      </c>
      <c r="E24" s="645" t="s">
        <v>1010</v>
      </c>
      <c r="F24" s="645" t="s">
        <v>1010</v>
      </c>
      <c r="G24" s="645" t="s">
        <v>1010</v>
      </c>
      <c r="H24" s="656" t="s">
        <v>1232</v>
      </c>
    </row>
    <row r="25" spans="1:8" ht="79.5" customHeight="1" thickBot="1">
      <c r="A25" s="577"/>
      <c r="B25" s="644" t="s">
        <v>1042</v>
      </c>
      <c r="C25" s="645" t="s">
        <v>1010</v>
      </c>
      <c r="D25" s="645" t="s">
        <v>1011</v>
      </c>
      <c r="E25" s="645" t="s">
        <v>1011</v>
      </c>
      <c r="F25" s="645" t="s">
        <v>1012</v>
      </c>
      <c r="G25" s="645" t="s">
        <v>1013</v>
      </c>
    </row>
    <row r="26" spans="1:8" ht="68.25" customHeight="1" thickBot="1">
      <c r="A26" s="577"/>
      <c r="B26" s="575" t="s">
        <v>1043</v>
      </c>
      <c r="C26" s="576" t="s">
        <v>1010</v>
      </c>
      <c r="D26" s="576" t="s">
        <v>1010</v>
      </c>
      <c r="E26" s="576" t="s">
        <v>1010</v>
      </c>
      <c r="F26" s="576" t="s">
        <v>1010</v>
      </c>
      <c r="G26" s="576" t="s">
        <v>1010</v>
      </c>
    </row>
    <row r="27" spans="1:8" ht="34.5" customHeight="1" thickBot="1">
      <c r="A27" s="577"/>
      <c r="B27" s="575" t="s">
        <v>1044</v>
      </c>
      <c r="C27" s="576" t="s">
        <v>1011</v>
      </c>
      <c r="D27" s="576" t="s">
        <v>1011</v>
      </c>
      <c r="E27" s="576" t="s">
        <v>1013</v>
      </c>
      <c r="F27" s="576" t="s">
        <v>1013</v>
      </c>
      <c r="G27" s="576" t="s">
        <v>1013</v>
      </c>
    </row>
    <row r="28" spans="1:8" ht="57" customHeight="1" thickBot="1">
      <c r="A28" s="577"/>
      <c r="B28" s="575" t="s">
        <v>1045</v>
      </c>
      <c r="C28" s="576" t="s">
        <v>1046</v>
      </c>
      <c r="D28" s="576" t="s">
        <v>1046</v>
      </c>
      <c r="E28" s="576" t="s">
        <v>1013</v>
      </c>
      <c r="F28" s="576" t="s">
        <v>1013</v>
      </c>
      <c r="G28" s="576" t="s">
        <v>1013</v>
      </c>
    </row>
    <row r="29" spans="1:8" ht="79.5" customHeight="1" thickBot="1">
      <c r="A29" s="577"/>
      <c r="B29" s="575" t="s">
        <v>1047</v>
      </c>
      <c r="C29" s="576" t="s">
        <v>1046</v>
      </c>
      <c r="D29" s="576" t="s">
        <v>1046</v>
      </c>
      <c r="E29" s="576" t="s">
        <v>1013</v>
      </c>
      <c r="F29" s="576" t="s">
        <v>1013</v>
      </c>
      <c r="G29" s="576" t="s">
        <v>1013</v>
      </c>
    </row>
    <row r="30" spans="1:8" ht="79.5" customHeight="1" thickBot="1">
      <c r="A30" s="577"/>
      <c r="B30" s="575" t="s">
        <v>1048</v>
      </c>
      <c r="C30" s="576" t="s">
        <v>1013</v>
      </c>
      <c r="D30" s="576" t="s">
        <v>1013</v>
      </c>
      <c r="E30" s="576" t="s">
        <v>1013</v>
      </c>
      <c r="F30" s="576" t="s">
        <v>1013</v>
      </c>
      <c r="G30" s="576" t="s">
        <v>1013</v>
      </c>
    </row>
    <row r="31" spans="1:8" ht="25.5" customHeight="1">
      <c r="A31" s="579">
        <v>34</v>
      </c>
      <c r="B31" s="580" t="s">
        <v>1049</v>
      </c>
      <c r="C31" s="635"/>
      <c r="D31" s="636"/>
      <c r="E31" s="636"/>
      <c r="F31" s="636"/>
      <c r="G31" s="637"/>
    </row>
    <row r="32" spans="1:8" ht="64.5" customHeight="1" thickBot="1">
      <c r="A32" s="572">
        <v>35</v>
      </c>
      <c r="B32" s="573" t="s">
        <v>1050</v>
      </c>
      <c r="C32" s="638"/>
      <c r="D32" s="639"/>
      <c r="E32" s="639"/>
      <c r="F32" s="639"/>
      <c r="G32" s="640"/>
    </row>
    <row r="33" spans="1:7" ht="34.5" customHeight="1" thickBot="1">
      <c r="A33" s="577"/>
      <c r="B33" s="575" t="s">
        <v>1051</v>
      </c>
      <c r="C33" s="576"/>
      <c r="D33" s="576"/>
      <c r="E33" s="576"/>
      <c r="F33" s="576"/>
      <c r="G33" s="576"/>
    </row>
    <row r="34" spans="1:7" ht="34.5" customHeight="1" thickBot="1">
      <c r="A34" s="577"/>
      <c r="B34" s="575" t="s">
        <v>1055</v>
      </c>
      <c r="C34" s="576"/>
      <c r="D34" s="576"/>
      <c r="E34" s="576"/>
      <c r="F34" s="576"/>
      <c r="G34" s="576"/>
    </row>
    <row r="35" spans="1:7" ht="57" customHeight="1" thickBot="1">
      <c r="A35" s="577"/>
      <c r="B35" s="575" t="s">
        <v>1056</v>
      </c>
      <c r="C35" s="576"/>
      <c r="D35" s="576"/>
      <c r="E35" s="576"/>
      <c r="F35" s="576"/>
      <c r="G35" s="576"/>
    </row>
    <row r="36" spans="1:7" ht="45.75" customHeight="1" thickBot="1">
      <c r="A36" s="577"/>
      <c r="B36" s="575" t="s">
        <v>1057</v>
      </c>
      <c r="C36" s="576"/>
      <c r="D36" s="576"/>
      <c r="E36" s="576"/>
      <c r="F36" s="576"/>
      <c r="G36" s="576"/>
    </row>
    <row r="37" spans="1:7" ht="45.75" customHeight="1" thickBot="1">
      <c r="A37" s="577"/>
      <c r="B37" s="575" t="s">
        <v>1058</v>
      </c>
      <c r="C37" s="576"/>
      <c r="D37" s="576"/>
      <c r="E37" s="576"/>
      <c r="F37" s="576"/>
      <c r="G37" s="576"/>
    </row>
    <row r="38" spans="1:7" ht="147" customHeight="1" thickBot="1">
      <c r="A38" s="577"/>
      <c r="B38" s="575" t="s">
        <v>1059</v>
      </c>
      <c r="C38" s="576"/>
      <c r="D38" s="576"/>
      <c r="E38" s="576"/>
      <c r="F38" s="576"/>
      <c r="G38" s="576"/>
    </row>
    <row r="39" spans="1:7" ht="57" customHeight="1" thickBot="1">
      <c r="A39" s="577"/>
      <c r="B39" s="575" t="s">
        <v>1061</v>
      </c>
      <c r="C39" s="576"/>
      <c r="D39" s="576"/>
      <c r="E39" s="576"/>
      <c r="F39" s="576"/>
      <c r="G39" s="576"/>
    </row>
    <row r="40" spans="1:7" ht="34.5" customHeight="1" thickBot="1">
      <c r="A40" s="577"/>
      <c r="B40" s="575" t="s">
        <v>1063</v>
      </c>
      <c r="C40" s="576"/>
      <c r="D40" s="576"/>
      <c r="E40" s="576"/>
      <c r="F40" s="576"/>
      <c r="G40" s="576"/>
    </row>
    <row r="41" spans="1:7" ht="51.75" customHeight="1" thickBot="1">
      <c r="A41" s="581">
        <v>36</v>
      </c>
      <c r="B41" s="582" t="s">
        <v>1065</v>
      </c>
      <c r="C41" s="629"/>
      <c r="D41" s="630"/>
      <c r="E41" s="630"/>
      <c r="F41" s="630"/>
      <c r="G41" s="631"/>
    </row>
    <row r="42" spans="1:7" ht="34.5" customHeight="1" thickBot="1">
      <c r="A42" s="574"/>
      <c r="B42" s="575" t="s">
        <v>1066</v>
      </c>
      <c r="C42" s="576"/>
      <c r="D42" s="576"/>
      <c r="E42" s="576"/>
      <c r="F42" s="576"/>
      <c r="G42" s="576"/>
    </row>
    <row r="43" spans="1:7" ht="57" customHeight="1" thickBot="1">
      <c r="A43" s="574"/>
      <c r="B43" s="575" t="s">
        <v>1067</v>
      </c>
      <c r="C43" s="576"/>
      <c r="D43" s="576"/>
      <c r="E43" s="576"/>
      <c r="F43" s="576"/>
      <c r="G43" s="576"/>
    </row>
    <row r="44" spans="1:7" ht="23.25" customHeight="1" thickBot="1">
      <c r="A44" s="574"/>
      <c r="B44" s="575" t="s">
        <v>1068</v>
      </c>
      <c r="C44" s="576"/>
      <c r="D44" s="576"/>
      <c r="E44" s="576"/>
      <c r="F44" s="576"/>
      <c r="G44" s="576"/>
    </row>
    <row r="45" spans="1:7" ht="16" thickBot="1">
      <c r="A45" s="572">
        <v>39</v>
      </c>
      <c r="B45" s="573" t="s">
        <v>1069</v>
      </c>
      <c r="C45" s="629"/>
      <c r="D45" s="630"/>
      <c r="E45" s="630"/>
      <c r="F45" s="630"/>
      <c r="G45" s="631"/>
    </row>
    <row r="46" spans="1:7" ht="23.25" customHeight="1" thickBot="1">
      <c r="A46" s="574"/>
      <c r="B46" s="575" t="s">
        <v>1070</v>
      </c>
      <c r="C46" s="576"/>
      <c r="D46" s="576"/>
      <c r="E46" s="576"/>
      <c r="F46" s="576"/>
      <c r="G46" s="576"/>
    </row>
    <row r="47" spans="1:7">
      <c r="A47" s="579">
        <v>40</v>
      </c>
      <c r="B47" s="1565" t="s">
        <v>1072</v>
      </c>
      <c r="C47" s="635"/>
      <c r="D47" s="636"/>
      <c r="E47" s="636"/>
      <c r="F47" s="636"/>
      <c r="G47" s="637"/>
    </row>
    <row r="48" spans="1:7" ht="16" thickBot="1">
      <c r="A48" s="572">
        <v>41</v>
      </c>
      <c r="B48" s="1566"/>
      <c r="C48" s="638"/>
      <c r="D48" s="639"/>
      <c r="E48" s="639"/>
      <c r="F48" s="639"/>
      <c r="G48" s="640"/>
    </row>
    <row r="49" spans="1:7" ht="45.75" customHeight="1" thickBot="1">
      <c r="A49" s="574"/>
      <c r="B49" s="575" t="s">
        <v>1073</v>
      </c>
      <c r="C49" s="576"/>
      <c r="D49" s="576"/>
      <c r="E49" s="576"/>
      <c r="F49" s="576"/>
      <c r="G49" s="576"/>
    </row>
    <row r="50" spans="1:7" ht="90.75" customHeight="1" thickBot="1">
      <c r="A50" s="574"/>
      <c r="B50" s="575" t="s">
        <v>1076</v>
      </c>
      <c r="C50" s="576"/>
      <c r="D50" s="576"/>
      <c r="E50" s="576"/>
      <c r="F50" s="576"/>
      <c r="G50" s="576"/>
    </row>
    <row r="51" spans="1:7" ht="25.5" customHeight="1">
      <c r="A51" s="1565">
        <v>45</v>
      </c>
      <c r="B51" s="580" t="s">
        <v>1077</v>
      </c>
      <c r="C51" s="635"/>
      <c r="D51" s="636"/>
      <c r="E51" s="636"/>
      <c r="F51" s="636"/>
      <c r="G51" s="637"/>
    </row>
    <row r="52" spans="1:7" ht="16" thickBot="1">
      <c r="A52" s="1566"/>
      <c r="B52" s="573" t="s">
        <v>1078</v>
      </c>
      <c r="C52" s="638"/>
      <c r="D52" s="639"/>
      <c r="E52" s="639"/>
      <c r="F52" s="639"/>
      <c r="G52" s="640"/>
    </row>
    <row r="53" spans="1:7" ht="16" thickBot="1">
      <c r="A53" s="574"/>
      <c r="B53" s="575" t="s">
        <v>1079</v>
      </c>
      <c r="C53" s="576"/>
      <c r="D53" s="576"/>
      <c r="E53" s="576"/>
      <c r="F53" s="576"/>
      <c r="G53" s="576"/>
    </row>
    <row r="54" spans="1:7">
      <c r="A54" s="1565">
        <v>26</v>
      </c>
      <c r="B54" s="1565" t="s">
        <v>1081</v>
      </c>
      <c r="C54" s="635"/>
      <c r="D54" s="636"/>
      <c r="E54" s="636"/>
      <c r="F54" s="636"/>
      <c r="G54" s="637"/>
    </row>
    <row r="55" spans="1:7" ht="16" thickBot="1">
      <c r="A55" s="1566"/>
      <c r="B55" s="1566"/>
      <c r="C55" s="638"/>
      <c r="D55" s="639"/>
      <c r="E55" s="639"/>
      <c r="F55" s="639"/>
      <c r="G55" s="640"/>
    </row>
    <row r="56" spans="1:7" ht="23.25" customHeight="1" thickBot="1">
      <c r="A56" s="574"/>
      <c r="B56" s="575" t="s">
        <v>1082</v>
      </c>
      <c r="C56" s="576"/>
      <c r="D56" s="576"/>
      <c r="E56" s="576"/>
      <c r="F56" s="576"/>
      <c r="G56" s="576"/>
    </row>
    <row r="57" spans="1:7" ht="15" customHeight="1">
      <c r="A57" s="1511" t="s">
        <v>1084</v>
      </c>
      <c r="B57" s="1512"/>
      <c r="C57" s="1512"/>
      <c r="D57" s="1513"/>
      <c r="E57" s="607"/>
      <c r="F57" s="607"/>
      <c r="G57" s="608"/>
    </row>
    <row r="58" spans="1:7" ht="60">
      <c r="A58" s="1537"/>
      <c r="B58" s="1538"/>
      <c r="C58" s="1538"/>
      <c r="D58" s="1539"/>
      <c r="E58" s="600" t="s">
        <v>1085</v>
      </c>
      <c r="F58" s="601"/>
      <c r="G58" s="602"/>
    </row>
    <row r="59" spans="1:7" ht="15" customHeight="1">
      <c r="A59" s="1537" t="s">
        <v>1086</v>
      </c>
      <c r="B59" s="1538"/>
      <c r="C59" s="1538"/>
      <c r="D59" s="1539"/>
      <c r="E59" s="601"/>
      <c r="F59" s="601"/>
      <c r="G59" s="602"/>
    </row>
    <row r="60" spans="1:7" ht="49" thickBot="1">
      <c r="A60" s="1531"/>
      <c r="B60" s="1532"/>
      <c r="C60" s="1532"/>
      <c r="D60" s="1533"/>
      <c r="E60" s="603" t="s">
        <v>1087</v>
      </c>
      <c r="F60" s="604"/>
      <c r="G60" s="575"/>
    </row>
    <row r="61" spans="1:7" ht="15" customHeight="1">
      <c r="A61" s="1511" t="s">
        <v>1088</v>
      </c>
      <c r="B61" s="1512"/>
      <c r="C61" s="1512"/>
      <c r="D61" s="1513"/>
      <c r="E61" s="605" t="s">
        <v>1089</v>
      </c>
      <c r="F61" s="605"/>
      <c r="G61" s="606"/>
    </row>
    <row r="62" spans="1:7">
      <c r="A62" s="1537"/>
      <c r="B62" s="1538"/>
      <c r="C62" s="1538"/>
      <c r="D62" s="1539"/>
      <c r="E62" s="594"/>
      <c r="F62" s="595"/>
      <c r="G62" s="596"/>
    </row>
    <row r="63" spans="1:7" ht="36" customHeight="1">
      <c r="A63" s="1537" t="s">
        <v>1090</v>
      </c>
      <c r="B63" s="1538"/>
      <c r="C63" s="1538"/>
      <c r="D63" s="1539"/>
      <c r="E63" s="597" t="s">
        <v>1010</v>
      </c>
      <c r="F63" s="598" t="s">
        <v>1091</v>
      </c>
      <c r="G63" s="599"/>
    </row>
    <row r="64" spans="1:7" ht="26">
      <c r="A64" s="1534"/>
      <c r="B64" s="1535"/>
      <c r="C64" s="1535"/>
      <c r="D64" s="1536"/>
      <c r="E64" s="589" t="s">
        <v>1011</v>
      </c>
      <c r="F64" s="592" t="s">
        <v>1092</v>
      </c>
      <c r="G64" s="593"/>
    </row>
    <row r="65" spans="1:7" ht="26">
      <c r="A65" s="1525"/>
      <c r="B65" s="1526"/>
      <c r="C65" s="1526"/>
      <c r="D65" s="1527"/>
      <c r="E65" s="589" t="s">
        <v>1012</v>
      </c>
      <c r="F65" s="592" t="s">
        <v>1093</v>
      </c>
      <c r="G65" s="593"/>
    </row>
    <row r="66" spans="1:7" ht="26">
      <c r="A66" s="1525"/>
      <c r="B66" s="1526"/>
      <c r="C66" s="1526"/>
      <c r="D66" s="1527"/>
      <c r="E66" s="589" t="s">
        <v>1013</v>
      </c>
      <c r="F66" s="592" t="s">
        <v>1094</v>
      </c>
      <c r="G66" s="593"/>
    </row>
    <row r="67" spans="1:7" ht="65">
      <c r="A67" s="1525"/>
      <c r="B67" s="1526"/>
      <c r="C67" s="1526"/>
      <c r="D67" s="1527"/>
      <c r="E67" s="589" t="s">
        <v>1095</v>
      </c>
      <c r="F67" s="592" t="s">
        <v>1096</v>
      </c>
      <c r="G67" s="593"/>
    </row>
    <row r="68" spans="1:7">
      <c r="A68" s="1525"/>
      <c r="B68" s="1526"/>
      <c r="C68" s="1526"/>
      <c r="D68" s="1527"/>
      <c r="E68" s="589" t="s">
        <v>1053</v>
      </c>
      <c r="F68" s="592" t="s">
        <v>1097</v>
      </c>
      <c r="G68" s="593"/>
    </row>
    <row r="69" spans="1:7" ht="26">
      <c r="A69" s="1525"/>
      <c r="B69" s="1526"/>
      <c r="C69" s="1526"/>
      <c r="D69" s="1527"/>
      <c r="E69" s="589" t="s">
        <v>1022</v>
      </c>
      <c r="F69" s="592" t="s">
        <v>1098</v>
      </c>
      <c r="G69" s="593"/>
    </row>
    <row r="70" spans="1:7" ht="26">
      <c r="A70" s="1525"/>
      <c r="B70" s="1526"/>
      <c r="C70" s="1526"/>
      <c r="D70" s="1527"/>
      <c r="E70" s="589" t="s">
        <v>1099</v>
      </c>
      <c r="F70" s="592" t="s">
        <v>1100</v>
      </c>
      <c r="G70" s="593"/>
    </row>
    <row r="71" spans="1:7" ht="39">
      <c r="A71" s="1525"/>
      <c r="B71" s="1526"/>
      <c r="C71" s="1526"/>
      <c r="D71" s="1527"/>
      <c r="E71" s="589" t="s">
        <v>1062</v>
      </c>
      <c r="F71" s="592" t="s">
        <v>1101</v>
      </c>
      <c r="G71" s="593"/>
    </row>
    <row r="72" spans="1:7" ht="52">
      <c r="A72" s="1525"/>
      <c r="B72" s="1526"/>
      <c r="C72" s="1526"/>
      <c r="D72" s="1527"/>
      <c r="E72" s="589" t="s">
        <v>1102</v>
      </c>
      <c r="F72" s="592" t="s">
        <v>1103</v>
      </c>
      <c r="G72" s="593"/>
    </row>
    <row r="73" spans="1:7" ht="26">
      <c r="A73" s="1525"/>
      <c r="B73" s="1526"/>
      <c r="C73" s="1526"/>
      <c r="D73" s="1527"/>
      <c r="E73" s="589" t="s">
        <v>1104</v>
      </c>
      <c r="F73" s="592" t="s">
        <v>1105</v>
      </c>
      <c r="G73" s="593"/>
    </row>
    <row r="74" spans="1:7" ht="26">
      <c r="A74" s="1525"/>
      <c r="B74" s="1526"/>
      <c r="C74" s="1526"/>
      <c r="D74" s="1527"/>
      <c r="E74" s="589" t="s">
        <v>1106</v>
      </c>
      <c r="F74" s="592" t="s">
        <v>1107</v>
      </c>
      <c r="G74" s="593"/>
    </row>
    <row r="75" spans="1:7" ht="40" thickBot="1">
      <c r="A75" s="1531"/>
      <c r="B75" s="1532"/>
      <c r="C75" s="1532"/>
      <c r="D75" s="1533"/>
      <c r="E75" s="589" t="s">
        <v>1108</v>
      </c>
      <c r="F75" s="592" t="s">
        <v>1109</v>
      </c>
      <c r="G75" s="593"/>
    </row>
    <row r="76" spans="1:7" ht="33.75" customHeight="1">
      <c r="A76" s="1511" t="s">
        <v>1110</v>
      </c>
      <c r="B76" s="1512"/>
      <c r="C76" s="1512"/>
      <c r="D76" s="1513"/>
      <c r="E76" s="589" t="s">
        <v>65</v>
      </c>
      <c r="F76" s="590" t="s">
        <v>1111</v>
      </c>
      <c r="G76" s="591"/>
    </row>
    <row r="77" spans="1:7" ht="259.5" customHeight="1" thickBot="1">
      <c r="A77" s="1519" t="s">
        <v>1112</v>
      </c>
      <c r="B77" s="1520"/>
      <c r="C77" s="1520"/>
      <c r="D77" s="1521"/>
      <c r="E77" s="589" t="s">
        <v>1083</v>
      </c>
      <c r="F77" s="590" t="s">
        <v>1113</v>
      </c>
      <c r="G77" s="591"/>
    </row>
    <row r="78" spans="1:7" ht="193" thickBot="1">
      <c r="A78" s="1503"/>
      <c r="B78" s="1504"/>
      <c r="C78" s="1504"/>
      <c r="D78" s="1505"/>
      <c r="E78" s="586" t="s">
        <v>309</v>
      </c>
      <c r="F78" s="587" t="s">
        <v>1114</v>
      </c>
      <c r="G78" s="588"/>
    </row>
  </sheetData>
  <sheetProtection algorithmName="SHA-512" hashValue="wmZlcs85A8f7b8apWH5HzSfoa8A5LLAanUnHU6P/mvjkkyOKej7Zp7A8ONhM0/da3/RoP2kMkOgZoEmnMrUH/g==" saltValue="zZ0kKsZp4Kv7bBw+jLnpIA==" spinCount="100000" sheet="1" objects="1" scenarios="1"/>
  <mergeCells count="35">
    <mergeCell ref="E1:E2"/>
    <mergeCell ref="F1:F2"/>
    <mergeCell ref="G1:G2"/>
    <mergeCell ref="A54:A55"/>
    <mergeCell ref="B54:B55"/>
    <mergeCell ref="A1:A2"/>
    <mergeCell ref="C1:C2"/>
    <mergeCell ref="D1:D2"/>
    <mergeCell ref="C9:G9"/>
    <mergeCell ref="C15:G15"/>
    <mergeCell ref="A19:A20"/>
    <mergeCell ref="B47:B48"/>
    <mergeCell ref="A51:A52"/>
    <mergeCell ref="A68:D68"/>
    <mergeCell ref="A57:D57"/>
    <mergeCell ref="A58:D58"/>
    <mergeCell ref="A59:D59"/>
    <mergeCell ref="A60:D60"/>
    <mergeCell ref="A61:D61"/>
    <mergeCell ref="A62:D62"/>
    <mergeCell ref="A63:D63"/>
    <mergeCell ref="A64:D64"/>
    <mergeCell ref="A65:D65"/>
    <mergeCell ref="A66:D66"/>
    <mergeCell ref="A67:D67"/>
    <mergeCell ref="A75:D75"/>
    <mergeCell ref="A76:D76"/>
    <mergeCell ref="A77:D77"/>
    <mergeCell ref="A78:D78"/>
    <mergeCell ref="A69:D69"/>
    <mergeCell ref="A70:D70"/>
    <mergeCell ref="A71:D71"/>
    <mergeCell ref="A72:D72"/>
    <mergeCell ref="A73:D73"/>
    <mergeCell ref="A74:D74"/>
  </mergeCells>
  <pageMargins left="0.7" right="0.7" top="0.78740157499999996" bottom="0.78740157499999996"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Tabelle24">
    <tabColor rgb="FFFF9999"/>
  </sheetPr>
  <dimension ref="A1:H78"/>
  <sheetViews>
    <sheetView workbookViewId="0">
      <selection activeCell="D1" sqref="D1:E2"/>
    </sheetView>
  </sheetViews>
  <sheetFormatPr baseColWidth="10" defaultColWidth="10.83203125" defaultRowHeight="15"/>
  <cols>
    <col min="1" max="1" width="4.83203125" customWidth="1"/>
    <col min="2" max="2" width="21.1640625" customWidth="1"/>
  </cols>
  <sheetData>
    <row r="1" spans="1:8" ht="42" customHeight="1">
      <c r="A1" s="1589" t="s">
        <v>1005</v>
      </c>
      <c r="B1" s="570" t="s">
        <v>1006</v>
      </c>
      <c r="C1" s="1602">
        <v>1</v>
      </c>
      <c r="D1" s="1604">
        <v>2</v>
      </c>
      <c r="E1" s="1604">
        <v>3</v>
      </c>
      <c r="F1" s="1602">
        <v>4</v>
      </c>
      <c r="G1" s="1602">
        <v>5</v>
      </c>
    </row>
    <row r="2" spans="1:8" ht="15.75" customHeight="1" thickBot="1">
      <c r="A2" s="1590"/>
      <c r="B2" s="571" t="s">
        <v>1007</v>
      </c>
      <c r="C2" s="1603"/>
      <c r="D2" s="1606"/>
      <c r="E2" s="1606"/>
      <c r="F2" s="1603"/>
      <c r="G2" s="1603"/>
    </row>
    <row r="3" spans="1:8" ht="43" thickBot="1">
      <c r="A3" s="572">
        <v>27</v>
      </c>
      <c r="B3" s="573" t="s">
        <v>1008</v>
      </c>
      <c r="C3" s="632" t="s">
        <v>1009</v>
      </c>
      <c r="D3" s="633"/>
      <c r="E3" s="633"/>
      <c r="F3" s="633"/>
      <c r="G3" s="634"/>
    </row>
    <row r="4" spans="1:8" ht="29" thickBot="1">
      <c r="A4" s="574"/>
      <c r="B4" s="644" t="s">
        <v>1008</v>
      </c>
      <c r="C4" s="645" t="s">
        <v>1010</v>
      </c>
      <c r="D4" s="645" t="s">
        <v>1011</v>
      </c>
      <c r="E4" s="645" t="s">
        <v>1011</v>
      </c>
      <c r="F4" s="645" t="s">
        <v>1012</v>
      </c>
      <c r="G4" s="645" t="s">
        <v>1013</v>
      </c>
      <c r="H4" s="655" t="s">
        <v>1231</v>
      </c>
    </row>
    <row r="5" spans="1:8" ht="25" thickBot="1">
      <c r="A5" s="574"/>
      <c r="B5" s="575" t="s">
        <v>1014</v>
      </c>
      <c r="C5" s="576" t="s">
        <v>1010</v>
      </c>
      <c r="D5" s="576" t="s">
        <v>1011</v>
      </c>
      <c r="E5" s="576" t="s">
        <v>1011</v>
      </c>
      <c r="F5" s="576" t="s">
        <v>1012</v>
      </c>
      <c r="G5" s="576" t="s">
        <v>1013</v>
      </c>
    </row>
    <row r="6" spans="1:8" ht="71" thickBot="1">
      <c r="A6" s="574"/>
      <c r="B6" s="575" t="s">
        <v>1015</v>
      </c>
      <c r="C6" s="576" t="s">
        <v>1010</v>
      </c>
      <c r="D6" s="576" t="s">
        <v>1010</v>
      </c>
      <c r="E6" s="576" t="s">
        <v>1010</v>
      </c>
      <c r="F6" s="576" t="s">
        <v>1010</v>
      </c>
      <c r="G6" s="576" t="s">
        <v>1010</v>
      </c>
      <c r="H6" s="656" t="s">
        <v>1232</v>
      </c>
    </row>
    <row r="7" spans="1:8" ht="37" thickBot="1">
      <c r="A7" s="574"/>
      <c r="B7" s="575" t="s">
        <v>1016</v>
      </c>
      <c r="C7" s="576" t="s">
        <v>1010</v>
      </c>
      <c r="D7" s="576" t="s">
        <v>1010</v>
      </c>
      <c r="E7" s="576" t="s">
        <v>1010</v>
      </c>
      <c r="F7" s="576" t="s">
        <v>1010</v>
      </c>
      <c r="G7" s="576" t="s">
        <v>1010</v>
      </c>
    </row>
    <row r="8" spans="1:8" ht="34.5" customHeight="1" thickBot="1">
      <c r="A8" s="574"/>
      <c r="B8" s="575" t="s">
        <v>1017</v>
      </c>
      <c r="C8" s="576" t="s">
        <v>1011</v>
      </c>
      <c r="D8" s="576" t="s">
        <v>1011</v>
      </c>
      <c r="E8" s="576" t="s">
        <v>1013</v>
      </c>
      <c r="F8" s="576" t="s">
        <v>1013</v>
      </c>
      <c r="G8" s="576" t="s">
        <v>1013</v>
      </c>
    </row>
    <row r="9" spans="1:8" ht="26.25" customHeight="1" thickBot="1">
      <c r="A9" s="572">
        <v>28</v>
      </c>
      <c r="B9" s="573" t="s">
        <v>1018</v>
      </c>
      <c r="C9" s="1573"/>
      <c r="D9" s="1574"/>
      <c r="E9" s="1574"/>
      <c r="F9" s="1574"/>
      <c r="G9" s="1575"/>
    </row>
    <row r="10" spans="1:8" ht="34.5" customHeight="1" thickBot="1">
      <c r="A10" s="577"/>
      <c r="B10" s="644" t="s">
        <v>1019</v>
      </c>
      <c r="C10" s="645" t="s">
        <v>1010</v>
      </c>
      <c r="D10" s="645" t="s">
        <v>1010</v>
      </c>
      <c r="E10" s="645" t="s">
        <v>1010</v>
      </c>
      <c r="F10" s="645" t="s">
        <v>1020</v>
      </c>
      <c r="G10" s="645" t="s">
        <v>1020</v>
      </c>
    </row>
    <row r="11" spans="1:8" ht="102" customHeight="1" thickBot="1">
      <c r="A11" s="577"/>
      <c r="B11" s="646" t="s">
        <v>1021</v>
      </c>
      <c r="C11" s="647" t="s">
        <v>1010</v>
      </c>
      <c r="D11" s="647" t="s">
        <v>1010</v>
      </c>
      <c r="E11" s="647" t="s">
        <v>1010</v>
      </c>
      <c r="F11" s="647" t="s">
        <v>1022</v>
      </c>
      <c r="G11" s="647" t="s">
        <v>1022</v>
      </c>
    </row>
    <row r="12" spans="1:8" ht="26.25" customHeight="1" thickBot="1">
      <c r="A12" s="572">
        <v>29</v>
      </c>
      <c r="B12" s="573" t="s">
        <v>1023</v>
      </c>
      <c r="C12" s="629"/>
      <c r="D12" s="630"/>
      <c r="E12" s="630"/>
      <c r="F12" s="630"/>
      <c r="G12" s="631"/>
    </row>
    <row r="13" spans="1:8" ht="43" thickBot="1">
      <c r="A13" s="577"/>
      <c r="B13" s="644" t="s">
        <v>1023</v>
      </c>
      <c r="C13" s="645" t="s">
        <v>1024</v>
      </c>
      <c r="D13" s="645" t="s">
        <v>1025</v>
      </c>
      <c r="E13" s="645" t="s">
        <v>1026</v>
      </c>
      <c r="F13" s="645" t="s">
        <v>1027</v>
      </c>
      <c r="G13" s="645" t="s">
        <v>1028</v>
      </c>
    </row>
    <row r="14" spans="1:8" ht="57" customHeight="1" thickBot="1">
      <c r="A14" s="577"/>
      <c r="B14" s="575" t="s">
        <v>1029</v>
      </c>
      <c r="C14" s="576" t="s">
        <v>1024</v>
      </c>
      <c r="D14" s="576" t="s">
        <v>1025</v>
      </c>
      <c r="E14" s="576" t="s">
        <v>1026</v>
      </c>
      <c r="F14" s="576" t="s">
        <v>1026</v>
      </c>
      <c r="G14" s="576" t="s">
        <v>1026</v>
      </c>
    </row>
    <row r="15" spans="1:8" ht="26.25" customHeight="1" thickBot="1">
      <c r="A15" s="572">
        <v>30</v>
      </c>
      <c r="B15" s="573" t="s">
        <v>1030</v>
      </c>
      <c r="C15" s="1573"/>
      <c r="D15" s="1574"/>
      <c r="E15" s="1574"/>
      <c r="F15" s="1574"/>
      <c r="G15" s="1575"/>
    </row>
    <row r="16" spans="1:8" ht="16" thickBot="1">
      <c r="A16" s="577"/>
      <c r="B16" s="575" t="s">
        <v>1030</v>
      </c>
      <c r="C16" s="576"/>
      <c r="D16" s="576"/>
      <c r="E16" s="576"/>
      <c r="F16" s="576"/>
      <c r="G16" s="576"/>
    </row>
    <row r="17" spans="1:8" ht="45.75" customHeight="1" thickBot="1">
      <c r="A17" s="577"/>
      <c r="B17" s="575" t="s">
        <v>1032</v>
      </c>
      <c r="C17" s="576"/>
      <c r="D17" s="576"/>
      <c r="E17" s="576"/>
      <c r="F17" s="576"/>
      <c r="G17" s="576"/>
    </row>
    <row r="18" spans="1:8" ht="23.25" customHeight="1" thickBot="1">
      <c r="A18" s="577"/>
      <c r="B18" s="575" t="s">
        <v>1034</v>
      </c>
      <c r="C18" s="576"/>
      <c r="D18" s="576"/>
      <c r="E18" s="576"/>
      <c r="F18" s="576"/>
      <c r="G18" s="576"/>
    </row>
    <row r="19" spans="1:8" ht="113.25" customHeight="1" thickBot="1">
      <c r="A19" s="1589"/>
      <c r="B19" s="578" t="s">
        <v>1036</v>
      </c>
      <c r="C19" s="576"/>
      <c r="D19" s="576"/>
      <c r="E19" s="576"/>
      <c r="F19" s="576"/>
      <c r="G19" s="576"/>
    </row>
    <row r="20" spans="1:8" ht="16" thickBot="1">
      <c r="A20" s="1590"/>
      <c r="B20" s="575" t="s">
        <v>1037</v>
      </c>
      <c r="C20" s="626"/>
      <c r="D20" s="627"/>
      <c r="E20" s="627"/>
      <c r="F20" s="627"/>
      <c r="G20" s="628"/>
    </row>
    <row r="21" spans="1:8" ht="113.25" customHeight="1" thickBot="1">
      <c r="A21" s="577"/>
      <c r="B21" s="575" t="s">
        <v>1038</v>
      </c>
      <c r="C21" s="576"/>
      <c r="D21" s="576"/>
      <c r="E21" s="576"/>
      <c r="F21" s="576"/>
      <c r="G21" s="576"/>
    </row>
    <row r="22" spans="1:8" ht="16" thickBot="1">
      <c r="A22" s="572">
        <v>31</v>
      </c>
      <c r="B22" s="573" t="s">
        <v>967</v>
      </c>
      <c r="C22" s="629"/>
      <c r="D22" s="630"/>
      <c r="E22" s="630"/>
      <c r="F22" s="630"/>
      <c r="G22" s="631"/>
    </row>
    <row r="23" spans="1:8" ht="29" thickBot="1">
      <c r="A23" s="577"/>
      <c r="B23" s="644" t="s">
        <v>967</v>
      </c>
      <c r="C23" s="645" t="s">
        <v>1010</v>
      </c>
      <c r="D23" s="645" t="s">
        <v>1011</v>
      </c>
      <c r="E23" s="645" t="s">
        <v>1011</v>
      </c>
      <c r="F23" s="645" t="s">
        <v>1012</v>
      </c>
      <c r="G23" s="645" t="s">
        <v>1013</v>
      </c>
      <c r="H23" s="655" t="s">
        <v>1231</v>
      </c>
    </row>
    <row r="24" spans="1:8" ht="79.5" customHeight="1" thickBot="1">
      <c r="A24" s="577"/>
      <c r="B24" s="644" t="s">
        <v>1041</v>
      </c>
      <c r="C24" s="645" t="s">
        <v>1010</v>
      </c>
      <c r="D24" s="645" t="s">
        <v>1010</v>
      </c>
      <c r="E24" s="645" t="s">
        <v>1010</v>
      </c>
      <c r="F24" s="645" t="s">
        <v>1010</v>
      </c>
      <c r="G24" s="645" t="s">
        <v>1010</v>
      </c>
      <c r="H24" s="656" t="s">
        <v>1232</v>
      </c>
    </row>
    <row r="25" spans="1:8" ht="79.5" customHeight="1" thickBot="1">
      <c r="A25" s="577"/>
      <c r="B25" s="644" t="s">
        <v>1042</v>
      </c>
      <c r="C25" s="645" t="s">
        <v>1010</v>
      </c>
      <c r="D25" s="645" t="s">
        <v>1011</v>
      </c>
      <c r="E25" s="645" t="s">
        <v>1011</v>
      </c>
      <c r="F25" s="645" t="s">
        <v>1012</v>
      </c>
      <c r="G25" s="645" t="s">
        <v>1013</v>
      </c>
    </row>
    <row r="26" spans="1:8" ht="68.25" customHeight="1" thickBot="1">
      <c r="A26" s="577"/>
      <c r="B26" s="575" t="s">
        <v>1043</v>
      </c>
      <c r="C26" s="576" t="s">
        <v>1010</v>
      </c>
      <c r="D26" s="576" t="s">
        <v>1010</v>
      </c>
      <c r="E26" s="576" t="s">
        <v>1010</v>
      </c>
      <c r="F26" s="576" t="s">
        <v>1010</v>
      </c>
      <c r="G26" s="576" t="s">
        <v>1010</v>
      </c>
    </row>
    <row r="27" spans="1:8" ht="34.5" customHeight="1" thickBot="1">
      <c r="A27" s="577"/>
      <c r="B27" s="575" t="s">
        <v>1044</v>
      </c>
      <c r="C27" s="576" t="s">
        <v>1011</v>
      </c>
      <c r="D27" s="576" t="s">
        <v>1011</v>
      </c>
      <c r="E27" s="576" t="s">
        <v>1013</v>
      </c>
      <c r="F27" s="576" t="s">
        <v>1013</v>
      </c>
      <c r="G27" s="576" t="s">
        <v>1013</v>
      </c>
    </row>
    <row r="28" spans="1:8" ht="57" customHeight="1" thickBot="1">
      <c r="A28" s="577"/>
      <c r="B28" s="575" t="s">
        <v>1045</v>
      </c>
      <c r="C28" s="576" t="s">
        <v>1046</v>
      </c>
      <c r="D28" s="576" t="s">
        <v>1046</v>
      </c>
      <c r="E28" s="576" t="s">
        <v>1013</v>
      </c>
      <c r="F28" s="576" t="s">
        <v>1013</v>
      </c>
      <c r="G28" s="576" t="s">
        <v>1013</v>
      </c>
    </row>
    <row r="29" spans="1:8" ht="79.5" customHeight="1" thickBot="1">
      <c r="A29" s="577"/>
      <c r="B29" s="575" t="s">
        <v>1047</v>
      </c>
      <c r="C29" s="576" t="s">
        <v>1046</v>
      </c>
      <c r="D29" s="576" t="s">
        <v>1046</v>
      </c>
      <c r="E29" s="576" t="s">
        <v>1013</v>
      </c>
      <c r="F29" s="576" t="s">
        <v>1013</v>
      </c>
      <c r="G29" s="576" t="s">
        <v>1013</v>
      </c>
    </row>
    <row r="30" spans="1:8" ht="79.5" customHeight="1" thickBot="1">
      <c r="A30" s="577"/>
      <c r="B30" s="575" t="s">
        <v>1048</v>
      </c>
      <c r="C30" s="576" t="s">
        <v>1013</v>
      </c>
      <c r="D30" s="576" t="s">
        <v>1013</v>
      </c>
      <c r="E30" s="576" t="s">
        <v>1013</v>
      </c>
      <c r="F30" s="576" t="s">
        <v>1013</v>
      </c>
      <c r="G30" s="576" t="s">
        <v>1013</v>
      </c>
    </row>
    <row r="31" spans="1:8" ht="25.5" customHeight="1">
      <c r="A31" s="579">
        <v>34</v>
      </c>
      <c r="B31" s="580" t="s">
        <v>1049</v>
      </c>
      <c r="C31" s="635"/>
      <c r="D31" s="636"/>
      <c r="E31" s="636"/>
      <c r="F31" s="636"/>
      <c r="G31" s="637"/>
    </row>
    <row r="32" spans="1:8" ht="64.5" customHeight="1" thickBot="1">
      <c r="A32" s="572">
        <v>35</v>
      </c>
      <c r="B32" s="573" t="s">
        <v>1050</v>
      </c>
      <c r="C32" s="638"/>
      <c r="D32" s="639"/>
      <c r="E32" s="639"/>
      <c r="F32" s="639"/>
      <c r="G32" s="640"/>
    </row>
    <row r="33" spans="1:7" ht="34.5" customHeight="1" thickBot="1">
      <c r="A33" s="577"/>
      <c r="B33" s="575" t="s">
        <v>1051</v>
      </c>
      <c r="C33" s="576"/>
      <c r="D33" s="576"/>
      <c r="E33" s="576"/>
      <c r="F33" s="576"/>
      <c r="G33" s="576"/>
    </row>
    <row r="34" spans="1:7" ht="34.5" customHeight="1" thickBot="1">
      <c r="A34" s="577"/>
      <c r="B34" s="575" t="s">
        <v>1055</v>
      </c>
      <c r="C34" s="576"/>
      <c r="D34" s="576"/>
      <c r="E34" s="576"/>
      <c r="F34" s="576"/>
      <c r="G34" s="576"/>
    </row>
    <row r="35" spans="1:7" ht="57" customHeight="1" thickBot="1">
      <c r="A35" s="577"/>
      <c r="B35" s="575" t="s">
        <v>1056</v>
      </c>
      <c r="C35" s="576"/>
      <c r="D35" s="576"/>
      <c r="E35" s="576"/>
      <c r="F35" s="576"/>
      <c r="G35" s="576"/>
    </row>
    <row r="36" spans="1:7" ht="45.75" customHeight="1" thickBot="1">
      <c r="A36" s="577"/>
      <c r="B36" s="575" t="s">
        <v>1057</v>
      </c>
      <c r="C36" s="576"/>
      <c r="D36" s="576"/>
      <c r="E36" s="576"/>
      <c r="F36" s="576"/>
      <c r="G36" s="576"/>
    </row>
    <row r="37" spans="1:7" ht="45.75" customHeight="1" thickBot="1">
      <c r="A37" s="577"/>
      <c r="B37" s="575" t="s">
        <v>1058</v>
      </c>
      <c r="C37" s="576"/>
      <c r="D37" s="576"/>
      <c r="E37" s="576"/>
      <c r="F37" s="576"/>
      <c r="G37" s="576"/>
    </row>
    <row r="38" spans="1:7" ht="147" customHeight="1" thickBot="1">
      <c r="A38" s="577"/>
      <c r="B38" s="575" t="s">
        <v>1059</v>
      </c>
      <c r="C38" s="576"/>
      <c r="D38" s="576"/>
      <c r="E38" s="576"/>
      <c r="F38" s="576"/>
      <c r="G38" s="576"/>
    </row>
    <row r="39" spans="1:7" ht="57" customHeight="1" thickBot="1">
      <c r="A39" s="577"/>
      <c r="B39" s="575" t="s">
        <v>1061</v>
      </c>
      <c r="C39" s="576"/>
      <c r="D39" s="576"/>
      <c r="E39" s="576"/>
      <c r="F39" s="576"/>
      <c r="G39" s="576"/>
    </row>
    <row r="40" spans="1:7" ht="34.5" customHeight="1" thickBot="1">
      <c r="A40" s="577"/>
      <c r="B40" s="575" t="s">
        <v>1063</v>
      </c>
      <c r="C40" s="576"/>
      <c r="D40" s="576"/>
      <c r="E40" s="576"/>
      <c r="F40" s="576"/>
      <c r="G40" s="576"/>
    </row>
    <row r="41" spans="1:7" ht="51.75" customHeight="1" thickBot="1">
      <c r="A41" s="581">
        <v>36</v>
      </c>
      <c r="B41" s="582" t="s">
        <v>1065</v>
      </c>
      <c r="C41" s="629"/>
      <c r="D41" s="630"/>
      <c r="E41" s="630"/>
      <c r="F41" s="630"/>
      <c r="G41" s="631"/>
    </row>
    <row r="42" spans="1:7" ht="34.5" customHeight="1" thickBot="1">
      <c r="A42" s="574"/>
      <c r="B42" s="575" t="s">
        <v>1066</v>
      </c>
      <c r="C42" s="576"/>
      <c r="D42" s="576"/>
      <c r="E42" s="576"/>
      <c r="F42" s="576"/>
      <c r="G42" s="576"/>
    </row>
    <row r="43" spans="1:7" ht="57" customHeight="1" thickBot="1">
      <c r="A43" s="574"/>
      <c r="B43" s="575" t="s">
        <v>1067</v>
      </c>
      <c r="C43" s="576"/>
      <c r="D43" s="576"/>
      <c r="E43" s="576"/>
      <c r="F43" s="576"/>
      <c r="G43" s="576"/>
    </row>
    <row r="44" spans="1:7" ht="23.25" customHeight="1" thickBot="1">
      <c r="A44" s="574"/>
      <c r="B44" s="575" t="s">
        <v>1068</v>
      </c>
      <c r="C44" s="576"/>
      <c r="D44" s="576"/>
      <c r="E44" s="576"/>
      <c r="F44" s="576"/>
      <c r="G44" s="576"/>
    </row>
    <row r="45" spans="1:7" ht="16" thickBot="1">
      <c r="A45" s="572">
        <v>39</v>
      </c>
      <c r="B45" s="573" t="s">
        <v>1069</v>
      </c>
      <c r="C45" s="629"/>
      <c r="D45" s="630"/>
      <c r="E45" s="630"/>
      <c r="F45" s="630"/>
      <c r="G45" s="631"/>
    </row>
    <row r="46" spans="1:7" ht="23.25" customHeight="1" thickBot="1">
      <c r="A46" s="574"/>
      <c r="B46" s="575" t="s">
        <v>1070</v>
      </c>
      <c r="C46" s="576"/>
      <c r="D46" s="576"/>
      <c r="E46" s="576"/>
      <c r="F46" s="576"/>
      <c r="G46" s="576"/>
    </row>
    <row r="47" spans="1:7">
      <c r="A47" s="579">
        <v>40</v>
      </c>
      <c r="B47" s="1565" t="s">
        <v>1072</v>
      </c>
      <c r="C47" s="635"/>
      <c r="D47" s="636"/>
      <c r="E47" s="636"/>
      <c r="F47" s="636"/>
      <c r="G47" s="637"/>
    </row>
    <row r="48" spans="1:7" ht="16" thickBot="1">
      <c r="A48" s="572">
        <v>41</v>
      </c>
      <c r="B48" s="1566"/>
      <c r="C48" s="638"/>
      <c r="D48" s="639"/>
      <c r="E48" s="639"/>
      <c r="F48" s="639"/>
      <c r="G48" s="640"/>
    </row>
    <row r="49" spans="1:7" ht="45.75" customHeight="1" thickBot="1">
      <c r="A49" s="574"/>
      <c r="B49" s="575" t="s">
        <v>1073</v>
      </c>
      <c r="C49" s="576"/>
      <c r="D49" s="576"/>
      <c r="E49" s="576"/>
      <c r="F49" s="576"/>
      <c r="G49" s="576"/>
    </row>
    <row r="50" spans="1:7" ht="90.75" customHeight="1" thickBot="1">
      <c r="A50" s="574"/>
      <c r="B50" s="575" t="s">
        <v>1076</v>
      </c>
      <c r="C50" s="576"/>
      <c r="D50" s="576"/>
      <c r="E50" s="576"/>
      <c r="F50" s="576"/>
      <c r="G50" s="576"/>
    </row>
    <row r="51" spans="1:7" ht="25.5" customHeight="1">
      <c r="A51" s="1565">
        <v>45</v>
      </c>
      <c r="B51" s="580" t="s">
        <v>1077</v>
      </c>
      <c r="C51" s="635"/>
      <c r="D51" s="636"/>
      <c r="E51" s="636"/>
      <c r="F51" s="636"/>
      <c r="G51" s="637"/>
    </row>
    <row r="52" spans="1:7" ht="16" thickBot="1">
      <c r="A52" s="1566"/>
      <c r="B52" s="573" t="s">
        <v>1078</v>
      </c>
      <c r="C52" s="638"/>
      <c r="D52" s="639"/>
      <c r="E52" s="639"/>
      <c r="F52" s="639"/>
      <c r="G52" s="640"/>
    </row>
    <row r="53" spans="1:7" ht="16" thickBot="1">
      <c r="A53" s="574"/>
      <c r="B53" s="575" t="s">
        <v>1079</v>
      </c>
      <c r="C53" s="576"/>
      <c r="D53" s="576"/>
      <c r="E53" s="576"/>
      <c r="F53" s="576"/>
      <c r="G53" s="576"/>
    </row>
    <row r="54" spans="1:7">
      <c r="A54" s="1565">
        <v>26</v>
      </c>
      <c r="B54" s="1565" t="s">
        <v>1081</v>
      </c>
      <c r="C54" s="635"/>
      <c r="D54" s="636"/>
      <c r="E54" s="636"/>
      <c r="F54" s="636"/>
      <c r="G54" s="637"/>
    </row>
    <row r="55" spans="1:7" ht="16" thickBot="1">
      <c r="A55" s="1566"/>
      <c r="B55" s="1566"/>
      <c r="C55" s="638"/>
      <c r="D55" s="639"/>
      <c r="E55" s="639"/>
      <c r="F55" s="639"/>
      <c r="G55" s="640"/>
    </row>
    <row r="56" spans="1:7" ht="23.25" customHeight="1" thickBot="1">
      <c r="A56" s="574"/>
      <c r="B56" s="575" t="s">
        <v>1082</v>
      </c>
      <c r="C56" s="576"/>
      <c r="D56" s="576"/>
      <c r="E56" s="576"/>
      <c r="F56" s="576"/>
      <c r="G56" s="576"/>
    </row>
    <row r="57" spans="1:7" ht="15" customHeight="1">
      <c r="A57" s="1511" t="s">
        <v>1084</v>
      </c>
      <c r="B57" s="1512"/>
      <c r="C57" s="1512"/>
      <c r="D57" s="1513"/>
      <c r="E57" s="607"/>
      <c r="F57" s="607"/>
      <c r="G57" s="608"/>
    </row>
    <row r="58" spans="1:7" ht="60">
      <c r="A58" s="1537"/>
      <c r="B58" s="1538"/>
      <c r="C58" s="1538"/>
      <c r="D58" s="1539"/>
      <c r="E58" s="600" t="s">
        <v>1085</v>
      </c>
      <c r="F58" s="601"/>
      <c r="G58" s="602"/>
    </row>
    <row r="59" spans="1:7" ht="15" customHeight="1">
      <c r="A59" s="1537" t="s">
        <v>1086</v>
      </c>
      <c r="B59" s="1538"/>
      <c r="C59" s="1538"/>
      <c r="D59" s="1539"/>
      <c r="E59" s="601"/>
      <c r="F59" s="601"/>
      <c r="G59" s="602"/>
    </row>
    <row r="60" spans="1:7" ht="49" thickBot="1">
      <c r="A60" s="1531"/>
      <c r="B60" s="1532"/>
      <c r="C60" s="1532"/>
      <c r="D60" s="1533"/>
      <c r="E60" s="603" t="s">
        <v>1087</v>
      </c>
      <c r="F60" s="604"/>
      <c r="G60" s="575"/>
    </row>
    <row r="61" spans="1:7" ht="15" customHeight="1">
      <c r="A61" s="1511" t="s">
        <v>1088</v>
      </c>
      <c r="B61" s="1512"/>
      <c r="C61" s="1512"/>
      <c r="D61" s="1513"/>
      <c r="E61" s="605" t="s">
        <v>1089</v>
      </c>
      <c r="F61" s="605"/>
      <c r="G61" s="606"/>
    </row>
    <row r="62" spans="1:7">
      <c r="A62" s="1537"/>
      <c r="B62" s="1538"/>
      <c r="C62" s="1538"/>
      <c r="D62" s="1539"/>
      <c r="E62" s="594"/>
      <c r="F62" s="595"/>
      <c r="G62" s="596"/>
    </row>
    <row r="63" spans="1:7" ht="36" customHeight="1">
      <c r="A63" s="1537" t="s">
        <v>1090</v>
      </c>
      <c r="B63" s="1538"/>
      <c r="C63" s="1538"/>
      <c r="D63" s="1539"/>
      <c r="E63" s="597" t="s">
        <v>1010</v>
      </c>
      <c r="F63" s="598" t="s">
        <v>1091</v>
      </c>
      <c r="G63" s="599"/>
    </row>
    <row r="64" spans="1:7" ht="26">
      <c r="A64" s="1534"/>
      <c r="B64" s="1535"/>
      <c r="C64" s="1535"/>
      <c r="D64" s="1536"/>
      <c r="E64" s="589" t="s">
        <v>1011</v>
      </c>
      <c r="F64" s="592" t="s">
        <v>1092</v>
      </c>
      <c r="G64" s="593"/>
    </row>
    <row r="65" spans="1:7" ht="26">
      <c r="A65" s="1525"/>
      <c r="B65" s="1526"/>
      <c r="C65" s="1526"/>
      <c r="D65" s="1527"/>
      <c r="E65" s="589" t="s">
        <v>1012</v>
      </c>
      <c r="F65" s="592" t="s">
        <v>1093</v>
      </c>
      <c r="G65" s="593"/>
    </row>
    <row r="66" spans="1:7" ht="26">
      <c r="A66" s="1525"/>
      <c r="B66" s="1526"/>
      <c r="C66" s="1526"/>
      <c r="D66" s="1527"/>
      <c r="E66" s="589" t="s">
        <v>1013</v>
      </c>
      <c r="F66" s="592" t="s">
        <v>1094</v>
      </c>
      <c r="G66" s="593"/>
    </row>
    <row r="67" spans="1:7" ht="65">
      <c r="A67" s="1525"/>
      <c r="B67" s="1526"/>
      <c r="C67" s="1526"/>
      <c r="D67" s="1527"/>
      <c r="E67" s="589" t="s">
        <v>1095</v>
      </c>
      <c r="F67" s="592" t="s">
        <v>1096</v>
      </c>
      <c r="G67" s="593"/>
    </row>
    <row r="68" spans="1:7">
      <c r="A68" s="1525"/>
      <c r="B68" s="1526"/>
      <c r="C68" s="1526"/>
      <c r="D68" s="1527"/>
      <c r="E68" s="589" t="s">
        <v>1053</v>
      </c>
      <c r="F68" s="592" t="s">
        <v>1097</v>
      </c>
      <c r="G68" s="593"/>
    </row>
    <row r="69" spans="1:7" ht="26">
      <c r="A69" s="1525"/>
      <c r="B69" s="1526"/>
      <c r="C69" s="1526"/>
      <c r="D69" s="1527"/>
      <c r="E69" s="589" t="s">
        <v>1022</v>
      </c>
      <c r="F69" s="592" t="s">
        <v>1098</v>
      </c>
      <c r="G69" s="593"/>
    </row>
    <row r="70" spans="1:7" ht="26">
      <c r="A70" s="1525"/>
      <c r="B70" s="1526"/>
      <c r="C70" s="1526"/>
      <c r="D70" s="1527"/>
      <c r="E70" s="589" t="s">
        <v>1099</v>
      </c>
      <c r="F70" s="592" t="s">
        <v>1100</v>
      </c>
      <c r="G70" s="593"/>
    </row>
    <row r="71" spans="1:7" ht="39">
      <c r="A71" s="1525"/>
      <c r="B71" s="1526"/>
      <c r="C71" s="1526"/>
      <c r="D71" s="1527"/>
      <c r="E71" s="589" t="s">
        <v>1062</v>
      </c>
      <c r="F71" s="592" t="s">
        <v>1101</v>
      </c>
      <c r="G71" s="593"/>
    </row>
    <row r="72" spans="1:7" ht="52">
      <c r="A72" s="1525"/>
      <c r="B72" s="1526"/>
      <c r="C72" s="1526"/>
      <c r="D72" s="1527"/>
      <c r="E72" s="589" t="s">
        <v>1102</v>
      </c>
      <c r="F72" s="592" t="s">
        <v>1103</v>
      </c>
      <c r="G72" s="593"/>
    </row>
    <row r="73" spans="1:7" ht="26">
      <c r="A73" s="1525"/>
      <c r="B73" s="1526"/>
      <c r="C73" s="1526"/>
      <c r="D73" s="1527"/>
      <c r="E73" s="589" t="s">
        <v>1104</v>
      </c>
      <c r="F73" s="592" t="s">
        <v>1105</v>
      </c>
      <c r="G73" s="593"/>
    </row>
    <row r="74" spans="1:7" ht="26">
      <c r="A74" s="1525"/>
      <c r="B74" s="1526"/>
      <c r="C74" s="1526"/>
      <c r="D74" s="1527"/>
      <c r="E74" s="589" t="s">
        <v>1106</v>
      </c>
      <c r="F74" s="592" t="s">
        <v>1107</v>
      </c>
      <c r="G74" s="593"/>
    </row>
    <row r="75" spans="1:7" ht="40" thickBot="1">
      <c r="A75" s="1531"/>
      <c r="B75" s="1532"/>
      <c r="C75" s="1532"/>
      <c r="D75" s="1533"/>
      <c r="E75" s="589" t="s">
        <v>1108</v>
      </c>
      <c r="F75" s="592" t="s">
        <v>1109</v>
      </c>
      <c r="G75" s="593"/>
    </row>
    <row r="76" spans="1:7" ht="33.75" customHeight="1">
      <c r="A76" s="1511" t="s">
        <v>1110</v>
      </c>
      <c r="B76" s="1512"/>
      <c r="C76" s="1512"/>
      <c r="D76" s="1513"/>
      <c r="E76" s="589" t="s">
        <v>65</v>
      </c>
      <c r="F76" s="590" t="s">
        <v>1111</v>
      </c>
      <c r="G76" s="591"/>
    </row>
    <row r="77" spans="1:7" ht="259.5" customHeight="1" thickBot="1">
      <c r="A77" s="1519" t="s">
        <v>1112</v>
      </c>
      <c r="B77" s="1520"/>
      <c r="C77" s="1520"/>
      <c r="D77" s="1521"/>
      <c r="E77" s="589" t="s">
        <v>1083</v>
      </c>
      <c r="F77" s="590" t="s">
        <v>1113</v>
      </c>
      <c r="G77" s="591"/>
    </row>
    <row r="78" spans="1:7" ht="193" thickBot="1">
      <c r="A78" s="1503"/>
      <c r="B78" s="1504"/>
      <c r="C78" s="1504"/>
      <c r="D78" s="1505"/>
      <c r="E78" s="586" t="s">
        <v>309</v>
      </c>
      <c r="F78" s="587" t="s">
        <v>1114</v>
      </c>
      <c r="G78" s="588"/>
    </row>
  </sheetData>
  <sheetProtection algorithmName="SHA-512" hashValue="gtAjp/Uvk9up3vx59hwX3SwiTVB5FuYxEloAOcF2PVAiLpM6zpFyMlgTOXY9PpP6tW1KsfdDvbi91cv/hrcuww==" saltValue="652xZ69S3oIC2K6zkgP/+w==" spinCount="100000" sheet="1" objects="1" scenarios="1"/>
  <mergeCells count="35">
    <mergeCell ref="E1:E2"/>
    <mergeCell ref="F1:F2"/>
    <mergeCell ref="G1:G2"/>
    <mergeCell ref="A54:A55"/>
    <mergeCell ref="B54:B55"/>
    <mergeCell ref="A1:A2"/>
    <mergeCell ref="C1:C2"/>
    <mergeCell ref="D1:D2"/>
    <mergeCell ref="C9:G9"/>
    <mergeCell ref="C15:G15"/>
    <mergeCell ref="A19:A20"/>
    <mergeCell ref="B47:B48"/>
    <mergeCell ref="A51:A52"/>
    <mergeCell ref="A68:D68"/>
    <mergeCell ref="A57:D57"/>
    <mergeCell ref="A58:D58"/>
    <mergeCell ref="A59:D59"/>
    <mergeCell ref="A60:D60"/>
    <mergeCell ref="A61:D61"/>
    <mergeCell ref="A62:D62"/>
    <mergeCell ref="A63:D63"/>
    <mergeCell ref="A64:D64"/>
    <mergeCell ref="A65:D65"/>
    <mergeCell ref="A66:D66"/>
    <mergeCell ref="A67:D67"/>
    <mergeCell ref="A75:D75"/>
    <mergeCell ref="A76:D76"/>
    <mergeCell ref="A77:D77"/>
    <mergeCell ref="A78:D78"/>
    <mergeCell ref="A69:D69"/>
    <mergeCell ref="A70:D70"/>
    <mergeCell ref="A71:D71"/>
    <mergeCell ref="A72:D72"/>
    <mergeCell ref="A73:D73"/>
    <mergeCell ref="A74:D74"/>
  </mergeCells>
  <pageMargins left="0.7" right="0.7" top="0.78740157499999996" bottom="0.78740157499999996"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Tabelle25">
    <tabColor rgb="FFFF9999"/>
  </sheetPr>
  <dimension ref="A3:AG54"/>
  <sheetViews>
    <sheetView zoomScaleNormal="100" workbookViewId="0">
      <selection activeCell="D1" sqref="D1:E2"/>
    </sheetView>
  </sheetViews>
  <sheetFormatPr baseColWidth="10" defaultColWidth="10.83203125" defaultRowHeight="15"/>
  <cols>
    <col min="1" max="1" width="3" style="548" bestFit="1" customWidth="1"/>
    <col min="2" max="2" width="25.5" bestFit="1" customWidth="1"/>
    <col min="3" max="3" width="40.83203125" customWidth="1"/>
    <col min="4" max="4" width="8.5" bestFit="1" customWidth="1"/>
    <col min="5" max="5" width="9.33203125" bestFit="1" customWidth="1"/>
    <col min="6" max="6" width="8.5" bestFit="1" customWidth="1"/>
    <col min="7" max="7" width="9.33203125" bestFit="1" customWidth="1"/>
    <col min="8" max="8" width="8.5" bestFit="1" customWidth="1"/>
    <col min="9" max="9" width="9.33203125" bestFit="1" customWidth="1"/>
    <col min="10" max="10" width="8.5" bestFit="1" customWidth="1"/>
    <col min="11" max="11" width="9.33203125" bestFit="1" customWidth="1"/>
    <col min="12" max="12" width="8.5" bestFit="1" customWidth="1"/>
    <col min="13" max="13" width="9.33203125" bestFit="1" customWidth="1"/>
    <col min="14" max="14" width="8.5" bestFit="1" customWidth="1"/>
    <col min="15" max="15" width="9.33203125" bestFit="1" customWidth="1"/>
    <col min="16" max="16" width="8.5" bestFit="1" customWidth="1"/>
    <col min="17" max="17" width="9.33203125" bestFit="1" customWidth="1"/>
    <col min="18" max="18" width="8.5" bestFit="1" customWidth="1"/>
    <col min="19" max="19" width="9.33203125" bestFit="1" customWidth="1"/>
    <col min="20" max="20" width="8.5" bestFit="1" customWidth="1"/>
    <col min="21" max="21" width="9.33203125" bestFit="1" customWidth="1"/>
    <col min="22" max="22" width="8.5" bestFit="1" customWidth="1"/>
    <col min="23" max="23" width="9.33203125" bestFit="1" customWidth="1"/>
    <col min="24" max="24" width="8.5" bestFit="1" customWidth="1"/>
    <col min="25" max="25" width="9.33203125" bestFit="1" customWidth="1"/>
    <col min="26" max="26" width="8.5" bestFit="1" customWidth="1"/>
    <col min="27" max="27" width="9.33203125" bestFit="1" customWidth="1"/>
    <col min="28" max="28" width="8.5" bestFit="1" customWidth="1"/>
    <col min="29" max="29" width="9.33203125" bestFit="1" customWidth="1"/>
    <col min="30" max="30" width="8.5" bestFit="1" customWidth="1"/>
    <col min="31" max="31" width="9.33203125" bestFit="1" customWidth="1"/>
    <col min="32" max="32" width="8.5" bestFit="1" customWidth="1"/>
    <col min="33" max="33" width="9.33203125" bestFit="1" customWidth="1"/>
  </cols>
  <sheetData>
    <row r="3" spans="2:20">
      <c r="B3" t="s">
        <v>1224</v>
      </c>
    </row>
    <row r="5" spans="2:20">
      <c r="B5" t="str">
        <f>D22</f>
        <v>DIN_4109-1</v>
      </c>
      <c r="D5" t="str">
        <f>D22</f>
        <v>DIN_4109-1</v>
      </c>
      <c r="F5" t="str">
        <f>F22</f>
        <v>DIN_4109-1__Bbl. 2</v>
      </c>
      <c r="H5" t="str">
        <f>H22</f>
        <v>VDI_4100__2007</v>
      </c>
      <c r="N5" t="str">
        <f>N22</f>
        <v>VDI_4100__2012</v>
      </c>
      <c r="T5" t="str">
        <f>T22</f>
        <v>DEGA_Empfehlung_103</v>
      </c>
    </row>
    <row r="6" spans="2:20">
      <c r="B6" t="str">
        <f>F22</f>
        <v>DIN_4109-1__Bbl. 2</v>
      </c>
    </row>
    <row r="7" spans="2:20">
      <c r="B7" t="str">
        <f>H22</f>
        <v>VDI_4100__2007</v>
      </c>
      <c r="H7" t="str">
        <f>H23</f>
        <v>SSt I</v>
      </c>
      <c r="N7" t="str">
        <f>N23</f>
        <v>SSt I</v>
      </c>
      <c r="T7" t="str">
        <f>AF23</f>
        <v>A*</v>
      </c>
    </row>
    <row r="8" spans="2:20">
      <c r="B8" t="str">
        <f>N22</f>
        <v>VDI_4100__2012</v>
      </c>
      <c r="H8" t="str">
        <f>J23</f>
        <v>SSt II</v>
      </c>
      <c r="N8" t="str">
        <f>P23</f>
        <v>SSt II</v>
      </c>
      <c r="T8" t="str">
        <f>AD23</f>
        <v>A</v>
      </c>
    </row>
    <row r="9" spans="2:20">
      <c r="B9" t="str">
        <f>T22</f>
        <v>DEGA_Empfehlung_103</v>
      </c>
      <c r="H9" t="str">
        <f>L23</f>
        <v>SSt III</v>
      </c>
      <c r="N9" t="str">
        <f>R23</f>
        <v>SSt III</v>
      </c>
      <c r="T9" t="str">
        <f>AB23</f>
        <v>B</v>
      </c>
    </row>
    <row r="10" spans="2:20">
      <c r="T10" t="str">
        <f>Z23</f>
        <v>C</v>
      </c>
    </row>
    <row r="11" spans="2:20">
      <c r="T11" t="str">
        <f>X23</f>
        <v>D</v>
      </c>
    </row>
    <row r="12" spans="2:20">
      <c r="T12" t="str">
        <f>V23</f>
        <v>E</v>
      </c>
    </row>
    <row r="13" spans="2:20">
      <c r="T13" t="str">
        <f>T23</f>
        <v>F</v>
      </c>
    </row>
    <row r="20" spans="2:33">
      <c r="B20" s="585"/>
      <c r="C20" s="585"/>
      <c r="F20" s="585"/>
      <c r="G20" s="585"/>
    </row>
    <row r="21" spans="2:33">
      <c r="B21" t="s">
        <v>1182</v>
      </c>
      <c r="C21" s="585"/>
    </row>
    <row r="22" spans="2:33">
      <c r="B22" s="585" t="s">
        <v>1184</v>
      </c>
      <c r="C22" s="549"/>
      <c r="D22" s="1615" t="s">
        <v>1225</v>
      </c>
      <c r="E22" s="1616"/>
      <c r="F22" s="1615" t="s">
        <v>1226</v>
      </c>
      <c r="G22" s="1616"/>
      <c r="H22" s="1615" t="s">
        <v>1227</v>
      </c>
      <c r="I22" s="1617"/>
      <c r="J22" s="1617"/>
      <c r="K22" s="1617"/>
      <c r="L22" s="1617"/>
      <c r="M22" s="1616"/>
      <c r="N22" s="1615" t="s">
        <v>1228</v>
      </c>
      <c r="O22" s="1617"/>
      <c r="P22" s="1617"/>
      <c r="Q22" s="1617"/>
      <c r="R22" s="1617"/>
      <c r="S22" s="1616"/>
      <c r="T22" s="1615" t="s">
        <v>1229</v>
      </c>
      <c r="U22" s="1617"/>
      <c r="V22" s="1617"/>
      <c r="W22" s="1617"/>
      <c r="X22" s="1617"/>
      <c r="Y22" s="1617"/>
      <c r="Z22" s="1617"/>
      <c r="AA22" s="1617"/>
      <c r="AB22" s="1617"/>
      <c r="AC22" s="1617"/>
      <c r="AD22" s="1617"/>
      <c r="AE22" s="1617"/>
      <c r="AF22" s="1617"/>
      <c r="AG22" s="1616"/>
    </row>
    <row r="23" spans="2:33">
      <c r="C23" s="549"/>
      <c r="D23" s="618"/>
      <c r="E23" s="619"/>
      <c r="F23" s="618"/>
      <c r="G23" s="619"/>
      <c r="H23" s="1615" t="s">
        <v>1175</v>
      </c>
      <c r="I23" s="1616"/>
      <c r="J23" s="1615" t="s">
        <v>1176</v>
      </c>
      <c r="K23" s="1616"/>
      <c r="L23" s="1615" t="s">
        <v>1177</v>
      </c>
      <c r="M23" s="1616"/>
      <c r="N23" s="1615" t="s">
        <v>1175</v>
      </c>
      <c r="O23" s="1616"/>
      <c r="P23" s="1615" t="s">
        <v>1176</v>
      </c>
      <c r="Q23" s="1616"/>
      <c r="R23" s="1615" t="s">
        <v>1177</v>
      </c>
      <c r="S23" s="1616"/>
      <c r="T23" s="1615" t="s">
        <v>72</v>
      </c>
      <c r="U23" s="1616"/>
      <c r="V23" s="1615" t="s">
        <v>71</v>
      </c>
      <c r="W23" s="1616"/>
      <c r="X23" s="1615" t="s">
        <v>69</v>
      </c>
      <c r="Y23" s="1616"/>
      <c r="Z23" s="1615" t="s">
        <v>67</v>
      </c>
      <c r="AA23" s="1616"/>
      <c r="AB23" s="1615" t="s">
        <v>65</v>
      </c>
      <c r="AC23" s="1616"/>
      <c r="AD23" s="1615" t="s">
        <v>63</v>
      </c>
      <c r="AE23" s="1616"/>
      <c r="AF23" s="1615" t="s">
        <v>1178</v>
      </c>
      <c r="AG23" s="1616"/>
    </row>
    <row r="24" spans="2:33">
      <c r="C24" s="549" t="s">
        <v>1190</v>
      </c>
      <c r="D24" s="624">
        <v>11</v>
      </c>
      <c r="E24" s="625">
        <v>12</v>
      </c>
      <c r="F24" s="624">
        <v>21</v>
      </c>
      <c r="G24" s="625">
        <v>22</v>
      </c>
      <c r="H24" s="624">
        <v>31</v>
      </c>
      <c r="I24" s="625">
        <v>32</v>
      </c>
      <c r="J24" s="624">
        <v>33</v>
      </c>
      <c r="K24" s="625">
        <v>34</v>
      </c>
      <c r="L24" s="624">
        <v>35</v>
      </c>
      <c r="M24" s="625">
        <v>36</v>
      </c>
      <c r="N24" s="624">
        <v>41</v>
      </c>
      <c r="O24" s="625">
        <v>42</v>
      </c>
      <c r="P24" s="624">
        <v>43</v>
      </c>
      <c r="Q24" s="625">
        <v>44</v>
      </c>
      <c r="R24" s="624">
        <v>45</v>
      </c>
      <c r="S24" s="625">
        <v>46</v>
      </c>
      <c r="T24" s="624">
        <v>51</v>
      </c>
      <c r="U24" s="625">
        <v>52</v>
      </c>
      <c r="V24" s="624">
        <v>53</v>
      </c>
      <c r="W24" s="625">
        <v>54</v>
      </c>
      <c r="X24" s="624">
        <v>55</v>
      </c>
      <c r="Y24" s="625">
        <v>56</v>
      </c>
      <c r="Z24" s="624">
        <v>57</v>
      </c>
      <c r="AA24" s="625">
        <v>58</v>
      </c>
      <c r="AB24" s="624">
        <v>59</v>
      </c>
      <c r="AC24" s="625">
        <v>60</v>
      </c>
      <c r="AD24" s="624">
        <v>61</v>
      </c>
      <c r="AE24" s="625">
        <v>62</v>
      </c>
      <c r="AF24" s="624">
        <v>63</v>
      </c>
      <c r="AG24" s="625">
        <v>64</v>
      </c>
    </row>
    <row r="25" spans="2:33" ht="17">
      <c r="B25" s="612" t="s">
        <v>1153</v>
      </c>
      <c r="C25" s="613" t="s">
        <v>1152</v>
      </c>
      <c r="D25" s="614" t="s">
        <v>1180</v>
      </c>
      <c r="E25" s="615" t="s">
        <v>1179</v>
      </c>
      <c r="F25" s="614" t="s">
        <v>1180</v>
      </c>
      <c r="G25" s="615" t="s">
        <v>1179</v>
      </c>
      <c r="H25" s="614" t="s">
        <v>1180</v>
      </c>
      <c r="I25" s="615" t="s">
        <v>1179</v>
      </c>
      <c r="J25" s="614" t="s">
        <v>1180</v>
      </c>
      <c r="K25" s="615" t="s">
        <v>1179</v>
      </c>
      <c r="L25" s="614" t="s">
        <v>1180</v>
      </c>
      <c r="M25" s="615" t="s">
        <v>1179</v>
      </c>
      <c r="N25" s="614" t="s">
        <v>1180</v>
      </c>
      <c r="O25" s="615" t="s">
        <v>1179</v>
      </c>
      <c r="P25" s="614" t="s">
        <v>1180</v>
      </c>
      <c r="Q25" s="615" t="s">
        <v>1179</v>
      </c>
      <c r="R25" s="614" t="s">
        <v>1180</v>
      </c>
      <c r="S25" s="615" t="s">
        <v>1179</v>
      </c>
      <c r="T25" s="614" t="s">
        <v>1180</v>
      </c>
      <c r="U25" s="615" t="s">
        <v>1179</v>
      </c>
      <c r="V25" s="614" t="s">
        <v>1180</v>
      </c>
      <c r="W25" s="615" t="s">
        <v>1179</v>
      </c>
      <c r="X25" s="614" t="s">
        <v>1180</v>
      </c>
      <c r="Y25" s="615" t="s">
        <v>1179</v>
      </c>
      <c r="Z25" s="614" t="s">
        <v>1180</v>
      </c>
      <c r="AA25" s="615" t="s">
        <v>1179</v>
      </c>
      <c r="AB25" s="614" t="s">
        <v>1180</v>
      </c>
      <c r="AC25" s="615" t="s">
        <v>1179</v>
      </c>
      <c r="AD25" s="614" t="s">
        <v>1180</v>
      </c>
      <c r="AE25" s="615" t="s">
        <v>1179</v>
      </c>
      <c r="AF25" s="614" t="s">
        <v>1180</v>
      </c>
      <c r="AG25" s="615" t="s">
        <v>1179</v>
      </c>
    </row>
    <row r="26" spans="2:33" ht="48">
      <c r="B26" s="1618" t="s">
        <v>1157</v>
      </c>
      <c r="C26" s="609" t="s">
        <v>1166</v>
      </c>
      <c r="D26" s="616">
        <v>53</v>
      </c>
      <c r="E26" s="617">
        <v>52</v>
      </c>
      <c r="F26" s="616"/>
      <c r="G26" s="617"/>
      <c r="H26" s="616">
        <f t="shared" ref="H26:I31" si="0">D26</f>
        <v>53</v>
      </c>
      <c r="I26" s="617">
        <f t="shared" si="0"/>
        <v>52</v>
      </c>
      <c r="J26" s="616">
        <v>57</v>
      </c>
      <c r="K26" s="617">
        <v>46</v>
      </c>
      <c r="L26" s="616"/>
      <c r="M26" s="617"/>
      <c r="N26" s="616"/>
      <c r="O26" s="617"/>
      <c r="P26" s="616"/>
      <c r="Q26" s="617"/>
      <c r="R26" s="616"/>
      <c r="S26" s="617"/>
      <c r="T26" s="616"/>
      <c r="U26" s="617"/>
      <c r="V26" s="616">
        <v>50</v>
      </c>
      <c r="W26" s="617">
        <v>60</v>
      </c>
      <c r="X26" s="616">
        <v>54</v>
      </c>
      <c r="Y26" s="617">
        <v>50</v>
      </c>
      <c r="Z26" s="616">
        <v>57</v>
      </c>
      <c r="AA26" s="617">
        <v>45</v>
      </c>
      <c r="AB26" s="616">
        <v>62</v>
      </c>
      <c r="AC26" s="617">
        <v>40</v>
      </c>
      <c r="AD26" s="616">
        <v>67</v>
      </c>
      <c r="AE26" s="617">
        <v>35</v>
      </c>
      <c r="AF26" s="616">
        <v>72</v>
      </c>
      <c r="AG26" s="617">
        <v>30</v>
      </c>
    </row>
    <row r="27" spans="2:33" ht="16">
      <c r="B27" s="1618"/>
      <c r="C27" s="609" t="s">
        <v>1162</v>
      </c>
      <c r="D27" s="616">
        <v>54</v>
      </c>
      <c r="E27" s="617">
        <v>50</v>
      </c>
      <c r="F27" s="616"/>
      <c r="G27" s="617"/>
      <c r="H27" s="616">
        <f t="shared" si="0"/>
        <v>54</v>
      </c>
      <c r="I27" s="617">
        <f t="shared" si="0"/>
        <v>50</v>
      </c>
      <c r="J27" s="616">
        <v>57</v>
      </c>
      <c r="K27" s="617">
        <v>46</v>
      </c>
      <c r="L27" s="616"/>
      <c r="M27" s="617"/>
      <c r="N27" s="616"/>
      <c r="O27" s="617"/>
      <c r="P27" s="616"/>
      <c r="Q27" s="617"/>
      <c r="R27" s="616"/>
      <c r="S27" s="617"/>
      <c r="T27" s="616"/>
      <c r="U27" s="617"/>
      <c r="V27" s="616">
        <v>50</v>
      </c>
      <c r="W27" s="617">
        <v>60</v>
      </c>
      <c r="X27" s="616">
        <v>54</v>
      </c>
      <c r="Y27" s="617">
        <v>50</v>
      </c>
      <c r="Z27" s="616">
        <v>57</v>
      </c>
      <c r="AA27" s="617">
        <v>45</v>
      </c>
      <c r="AB27" s="616">
        <v>62</v>
      </c>
      <c r="AC27" s="617">
        <v>40</v>
      </c>
      <c r="AD27" s="616">
        <v>67</v>
      </c>
      <c r="AE27" s="617">
        <v>35</v>
      </c>
      <c r="AF27" s="616">
        <v>72</v>
      </c>
      <c r="AG27" s="617">
        <v>30</v>
      </c>
    </row>
    <row r="28" spans="2:33" ht="48">
      <c r="B28" s="1618"/>
      <c r="C28" s="609" t="s">
        <v>1163</v>
      </c>
      <c r="D28" s="616">
        <v>54</v>
      </c>
      <c r="E28" s="617">
        <v>53</v>
      </c>
      <c r="F28" s="616"/>
      <c r="G28" s="617"/>
      <c r="H28" s="616">
        <f t="shared" si="0"/>
        <v>54</v>
      </c>
      <c r="I28" s="617">
        <f t="shared" si="0"/>
        <v>53</v>
      </c>
      <c r="J28" s="616">
        <v>57</v>
      </c>
      <c r="K28" s="617">
        <v>46</v>
      </c>
      <c r="L28" s="616"/>
      <c r="M28" s="617"/>
      <c r="N28" s="616"/>
      <c r="O28" s="617"/>
      <c r="P28" s="616"/>
      <c r="Q28" s="617"/>
      <c r="R28" s="616"/>
      <c r="S28" s="617"/>
      <c r="T28" s="616"/>
      <c r="U28" s="617"/>
      <c r="V28" s="616">
        <v>50</v>
      </c>
      <c r="W28" s="617">
        <v>60</v>
      </c>
      <c r="X28" s="616">
        <v>54</v>
      </c>
      <c r="Y28" s="617">
        <v>50</v>
      </c>
      <c r="Z28" s="616">
        <v>57</v>
      </c>
      <c r="AA28" s="617">
        <v>45</v>
      </c>
      <c r="AB28" s="616">
        <v>62</v>
      </c>
      <c r="AC28" s="617">
        <v>40</v>
      </c>
      <c r="AD28" s="616">
        <v>67</v>
      </c>
      <c r="AE28" s="617">
        <v>35</v>
      </c>
      <c r="AF28" s="616">
        <v>72</v>
      </c>
      <c r="AG28" s="617">
        <v>30</v>
      </c>
    </row>
    <row r="29" spans="2:33" ht="32">
      <c r="B29" s="1618"/>
      <c r="C29" s="609" t="s">
        <v>1164</v>
      </c>
      <c r="D29" s="616">
        <v>52</v>
      </c>
      <c r="E29" s="617">
        <v>50</v>
      </c>
      <c r="F29" s="616"/>
      <c r="G29" s="617"/>
      <c r="H29" s="616">
        <f t="shared" si="0"/>
        <v>52</v>
      </c>
      <c r="I29" s="617">
        <f t="shared" si="0"/>
        <v>50</v>
      </c>
      <c r="J29" s="616">
        <v>56</v>
      </c>
      <c r="K29" s="617"/>
      <c r="L29" s="616"/>
      <c r="M29" s="617"/>
      <c r="N29" s="616"/>
      <c r="O29" s="617"/>
      <c r="P29" s="616"/>
      <c r="Q29" s="617"/>
      <c r="R29" s="616"/>
      <c r="S29" s="617"/>
      <c r="T29" s="616"/>
      <c r="U29" s="617"/>
      <c r="V29" s="616">
        <v>50</v>
      </c>
      <c r="W29" s="617">
        <v>60</v>
      </c>
      <c r="X29" s="616">
        <v>54</v>
      </c>
      <c r="Y29" s="617">
        <v>50</v>
      </c>
      <c r="Z29" s="616">
        <v>57</v>
      </c>
      <c r="AA29" s="617">
        <v>45</v>
      </c>
      <c r="AB29" s="616">
        <v>62</v>
      </c>
      <c r="AC29" s="617">
        <v>40</v>
      </c>
      <c r="AD29" s="616">
        <v>67</v>
      </c>
      <c r="AE29" s="617">
        <v>35</v>
      </c>
      <c r="AF29" s="616">
        <v>72</v>
      </c>
      <c r="AG29" s="617">
        <v>30</v>
      </c>
    </row>
    <row r="30" spans="2:33" ht="48">
      <c r="B30" s="1618"/>
      <c r="C30" s="609" t="s">
        <v>1165</v>
      </c>
      <c r="D30" s="616">
        <v>55</v>
      </c>
      <c r="E30" s="617">
        <v>50</v>
      </c>
      <c r="F30" s="616"/>
      <c r="G30" s="617"/>
      <c r="H30" s="616">
        <f t="shared" si="0"/>
        <v>55</v>
      </c>
      <c r="I30" s="617">
        <f t="shared" si="0"/>
        <v>50</v>
      </c>
      <c r="J30" s="616">
        <v>57</v>
      </c>
      <c r="K30" s="617"/>
      <c r="L30" s="616"/>
      <c r="M30" s="617"/>
      <c r="N30" s="616"/>
      <c r="O30" s="617"/>
      <c r="P30" s="616"/>
      <c r="Q30" s="617"/>
      <c r="R30" s="616"/>
      <c r="S30" s="617"/>
      <c r="T30" s="616"/>
      <c r="U30" s="617"/>
      <c r="V30" s="616">
        <v>50</v>
      </c>
      <c r="W30" s="617">
        <v>60</v>
      </c>
      <c r="X30" s="616">
        <v>54</v>
      </c>
      <c r="Y30" s="617">
        <v>50</v>
      </c>
      <c r="Z30" s="616">
        <v>57</v>
      </c>
      <c r="AA30" s="617">
        <v>45</v>
      </c>
      <c r="AB30" s="616">
        <v>62</v>
      </c>
      <c r="AC30" s="617">
        <v>40</v>
      </c>
      <c r="AD30" s="616">
        <v>67</v>
      </c>
      <c r="AE30" s="617">
        <v>35</v>
      </c>
      <c r="AF30" s="616">
        <v>72</v>
      </c>
      <c r="AG30" s="617">
        <v>30</v>
      </c>
    </row>
    <row r="31" spans="2:33" ht="32">
      <c r="B31" s="1618"/>
      <c r="C31" s="609" t="s">
        <v>1167</v>
      </c>
      <c r="D31" s="616">
        <v>55</v>
      </c>
      <c r="E31" s="617">
        <v>46</v>
      </c>
      <c r="F31" s="616"/>
      <c r="G31" s="617"/>
      <c r="H31" s="616">
        <f t="shared" si="0"/>
        <v>55</v>
      </c>
      <c r="I31" s="617">
        <f t="shared" si="0"/>
        <v>46</v>
      </c>
      <c r="J31" s="616">
        <v>57</v>
      </c>
      <c r="K31" s="617">
        <v>46</v>
      </c>
      <c r="L31" s="616"/>
      <c r="M31" s="617"/>
      <c r="N31" s="616"/>
      <c r="O31" s="617"/>
      <c r="P31" s="616"/>
      <c r="Q31" s="617"/>
      <c r="R31" s="616"/>
      <c r="S31" s="617"/>
      <c r="T31" s="616"/>
      <c r="U31" s="617"/>
      <c r="V31" s="616">
        <v>50</v>
      </c>
      <c r="W31" s="617">
        <v>60</v>
      </c>
      <c r="X31" s="616">
        <v>54</v>
      </c>
      <c r="Y31" s="617">
        <v>50</v>
      </c>
      <c r="Z31" s="616">
        <v>57</v>
      </c>
      <c r="AA31" s="617">
        <v>45</v>
      </c>
      <c r="AB31" s="616">
        <v>62</v>
      </c>
      <c r="AC31" s="617">
        <v>40</v>
      </c>
      <c r="AD31" s="616">
        <v>67</v>
      </c>
      <c r="AE31" s="617">
        <v>35</v>
      </c>
      <c r="AF31" s="616">
        <v>72</v>
      </c>
      <c r="AG31" s="617">
        <v>30</v>
      </c>
    </row>
    <row r="32" spans="2:33" ht="32">
      <c r="B32" s="1618"/>
      <c r="C32" s="609" t="s">
        <v>1183</v>
      </c>
      <c r="D32" s="616" t="s">
        <v>1181</v>
      </c>
      <c r="E32" s="617">
        <v>50</v>
      </c>
      <c r="F32" s="616"/>
      <c r="G32" s="617"/>
      <c r="H32" s="616" t="str">
        <f t="shared" ref="H32:H51" si="1">D32</f>
        <v>-</v>
      </c>
      <c r="I32" s="617">
        <f t="shared" ref="I32:I51" si="2">E32</f>
        <v>50</v>
      </c>
      <c r="J32" s="616">
        <v>57</v>
      </c>
      <c r="K32" s="617">
        <v>46</v>
      </c>
      <c r="L32" s="616"/>
      <c r="M32" s="617"/>
      <c r="N32" s="616"/>
      <c r="O32" s="617"/>
      <c r="P32" s="616"/>
      <c r="Q32" s="617"/>
      <c r="R32" s="616"/>
      <c r="S32" s="617"/>
      <c r="T32" s="616"/>
      <c r="U32" s="617"/>
      <c r="V32" s="616">
        <v>50</v>
      </c>
      <c r="W32" s="617">
        <v>60</v>
      </c>
      <c r="X32" s="616">
        <v>54</v>
      </c>
      <c r="Y32" s="617">
        <v>50</v>
      </c>
      <c r="Z32" s="616">
        <v>57</v>
      </c>
      <c r="AA32" s="617">
        <v>45</v>
      </c>
      <c r="AB32" s="616">
        <v>62</v>
      </c>
      <c r="AC32" s="617">
        <v>40</v>
      </c>
      <c r="AD32" s="616">
        <v>67</v>
      </c>
      <c r="AE32" s="617">
        <v>35</v>
      </c>
      <c r="AF32" s="616">
        <v>72</v>
      </c>
      <c r="AG32" s="617">
        <v>30</v>
      </c>
    </row>
    <row r="33" spans="2:33" ht="16">
      <c r="B33" s="1618"/>
      <c r="C33" s="609" t="s">
        <v>1154</v>
      </c>
      <c r="D33" s="616" t="s">
        <v>1181</v>
      </c>
      <c r="E33" s="617">
        <v>53</v>
      </c>
      <c r="F33" s="616"/>
      <c r="G33" s="617"/>
      <c r="H33" s="616" t="str">
        <f t="shared" si="1"/>
        <v>-</v>
      </c>
      <c r="I33" s="617">
        <f t="shared" si="2"/>
        <v>53</v>
      </c>
      <c r="J33" s="616">
        <v>57</v>
      </c>
      <c r="K33" s="617"/>
      <c r="L33" s="616"/>
      <c r="M33" s="617"/>
      <c r="N33" s="616"/>
      <c r="O33" s="617"/>
      <c r="P33" s="616"/>
      <c r="Q33" s="617"/>
      <c r="R33" s="616"/>
      <c r="S33" s="617"/>
      <c r="T33" s="616"/>
      <c r="U33" s="617"/>
      <c r="V33" s="616">
        <v>50</v>
      </c>
      <c r="W33" s="617">
        <v>60</v>
      </c>
      <c r="X33" s="616">
        <v>54</v>
      </c>
      <c r="Y33" s="617">
        <v>50</v>
      </c>
      <c r="Z33" s="616">
        <v>57</v>
      </c>
      <c r="AA33" s="617">
        <v>45</v>
      </c>
      <c r="AB33" s="616">
        <v>62</v>
      </c>
      <c r="AC33" s="617">
        <v>40</v>
      </c>
      <c r="AD33" s="616">
        <v>67</v>
      </c>
      <c r="AE33" s="617">
        <v>35</v>
      </c>
      <c r="AF33" s="616">
        <v>72</v>
      </c>
      <c r="AG33" s="617">
        <v>30</v>
      </c>
    </row>
    <row r="34" spans="2:33" ht="32">
      <c r="B34" s="1618"/>
      <c r="C34" s="609" t="s">
        <v>1168</v>
      </c>
      <c r="D34" s="616" t="s">
        <v>1181</v>
      </c>
      <c r="E34" s="617">
        <v>50</v>
      </c>
      <c r="F34" s="616"/>
      <c r="G34" s="617"/>
      <c r="H34" s="616" t="str">
        <f t="shared" si="1"/>
        <v>-</v>
      </c>
      <c r="I34" s="617">
        <f t="shared" si="2"/>
        <v>50</v>
      </c>
      <c r="J34" s="616" t="s">
        <v>1181</v>
      </c>
      <c r="K34" s="617"/>
      <c r="L34" s="616"/>
      <c r="M34" s="617"/>
      <c r="N34" s="616"/>
      <c r="O34" s="617"/>
      <c r="P34" s="616"/>
      <c r="Q34" s="617"/>
      <c r="R34" s="616"/>
      <c r="S34" s="617"/>
      <c r="T34" s="616"/>
      <c r="U34" s="617"/>
      <c r="V34" s="616">
        <v>50</v>
      </c>
      <c r="W34" s="617">
        <v>60</v>
      </c>
      <c r="X34" s="616">
        <v>54</v>
      </c>
      <c r="Y34" s="617">
        <v>50</v>
      </c>
      <c r="Z34" s="616">
        <v>57</v>
      </c>
      <c r="AA34" s="617">
        <v>45</v>
      </c>
      <c r="AB34" s="616">
        <v>62</v>
      </c>
      <c r="AC34" s="617">
        <v>40</v>
      </c>
      <c r="AD34" s="616">
        <v>67</v>
      </c>
      <c r="AE34" s="617">
        <v>35</v>
      </c>
      <c r="AF34" s="616">
        <v>72</v>
      </c>
      <c r="AG34" s="617">
        <v>30</v>
      </c>
    </row>
    <row r="35" spans="2:33" ht="32">
      <c r="B35" s="1618"/>
      <c r="C35" s="609" t="s">
        <v>1155</v>
      </c>
      <c r="D35" s="616">
        <v>54</v>
      </c>
      <c r="E35" s="617">
        <v>53</v>
      </c>
      <c r="F35" s="616"/>
      <c r="G35" s="617"/>
      <c r="H35" s="616">
        <f t="shared" si="1"/>
        <v>54</v>
      </c>
      <c r="I35" s="617">
        <f t="shared" si="2"/>
        <v>53</v>
      </c>
      <c r="J35" s="616">
        <v>57</v>
      </c>
      <c r="K35" s="617"/>
      <c r="L35" s="616"/>
      <c r="M35" s="617"/>
      <c r="N35" s="616"/>
      <c r="O35" s="617"/>
      <c r="P35" s="616"/>
      <c r="Q35" s="617"/>
      <c r="R35" s="616"/>
      <c r="S35" s="617"/>
      <c r="T35" s="616"/>
      <c r="U35" s="617"/>
      <c r="V35" s="616">
        <v>50</v>
      </c>
      <c r="W35" s="617">
        <v>60</v>
      </c>
      <c r="X35" s="616">
        <v>54</v>
      </c>
      <c r="Y35" s="617">
        <v>50</v>
      </c>
      <c r="Z35" s="616">
        <v>57</v>
      </c>
      <c r="AA35" s="617">
        <v>45</v>
      </c>
      <c r="AB35" s="616">
        <v>62</v>
      </c>
      <c r="AC35" s="617">
        <v>40</v>
      </c>
      <c r="AD35" s="616">
        <v>67</v>
      </c>
      <c r="AE35" s="617">
        <v>35</v>
      </c>
      <c r="AF35" s="616">
        <v>72</v>
      </c>
      <c r="AG35" s="617">
        <v>30</v>
      </c>
    </row>
    <row r="36" spans="2:33" ht="16">
      <c r="B36" s="1618"/>
      <c r="C36" s="609" t="s">
        <v>1156</v>
      </c>
      <c r="D36" s="616" t="s">
        <v>1181</v>
      </c>
      <c r="E36" s="617">
        <v>50</v>
      </c>
      <c r="F36" s="616"/>
      <c r="G36" s="617"/>
      <c r="H36" s="616" t="str">
        <f t="shared" si="1"/>
        <v>-</v>
      </c>
      <c r="I36" s="617">
        <f t="shared" si="2"/>
        <v>50</v>
      </c>
      <c r="J36" s="616">
        <v>57</v>
      </c>
      <c r="K36" s="617">
        <v>53</v>
      </c>
      <c r="L36" s="616"/>
      <c r="M36" s="617"/>
      <c r="N36" s="616"/>
      <c r="O36" s="617"/>
      <c r="P36" s="616"/>
      <c r="Q36" s="617"/>
      <c r="R36" s="616"/>
      <c r="S36" s="617"/>
      <c r="T36" s="616"/>
      <c r="U36" s="617"/>
      <c r="V36" s="616">
        <v>50</v>
      </c>
      <c r="W36" s="617">
        <v>60</v>
      </c>
      <c r="X36" s="616">
        <v>54</v>
      </c>
      <c r="Y36" s="617">
        <v>50</v>
      </c>
      <c r="Z36" s="616">
        <v>57</v>
      </c>
      <c r="AA36" s="617">
        <v>45</v>
      </c>
      <c r="AB36" s="616">
        <v>62</v>
      </c>
      <c r="AC36" s="617">
        <v>40</v>
      </c>
      <c r="AD36" s="616">
        <v>67</v>
      </c>
      <c r="AE36" s="617">
        <v>35</v>
      </c>
      <c r="AF36" s="616">
        <v>72</v>
      </c>
      <c r="AG36" s="617">
        <v>30</v>
      </c>
    </row>
    <row r="37" spans="2:33" ht="16">
      <c r="B37" s="610"/>
      <c r="C37" s="609" t="s">
        <v>1187</v>
      </c>
      <c r="D37" s="616"/>
      <c r="E37" s="617"/>
      <c r="F37" s="616"/>
      <c r="G37" s="617"/>
      <c r="H37" s="616"/>
      <c r="I37" s="617"/>
      <c r="J37" s="616"/>
      <c r="K37" s="617"/>
      <c r="L37" s="616"/>
      <c r="M37" s="617"/>
      <c r="N37" s="616"/>
      <c r="O37" s="617"/>
      <c r="P37" s="616"/>
      <c r="Q37" s="617"/>
      <c r="R37" s="616"/>
      <c r="S37" s="617"/>
      <c r="T37" s="616"/>
      <c r="U37" s="617"/>
      <c r="V37" s="616">
        <v>50</v>
      </c>
      <c r="W37" s="617">
        <v>63</v>
      </c>
      <c r="X37" s="616">
        <v>54</v>
      </c>
      <c r="Y37" s="617">
        <v>58</v>
      </c>
      <c r="Z37" s="616">
        <v>57</v>
      </c>
      <c r="AA37" s="617">
        <v>48</v>
      </c>
      <c r="AB37" s="616">
        <v>62</v>
      </c>
      <c r="AC37" s="617">
        <v>43</v>
      </c>
      <c r="AD37" s="616">
        <v>67</v>
      </c>
      <c r="AE37" s="617">
        <v>38</v>
      </c>
      <c r="AF37" s="616">
        <v>72</v>
      </c>
      <c r="AG37" s="617">
        <v>33</v>
      </c>
    </row>
    <row r="38" spans="2:33" ht="16">
      <c r="B38" s="610"/>
      <c r="C38" s="609" t="s">
        <v>1188</v>
      </c>
      <c r="D38" s="616"/>
      <c r="E38" s="617"/>
      <c r="F38" s="616"/>
      <c r="G38" s="617"/>
      <c r="H38" s="616"/>
      <c r="I38" s="617"/>
      <c r="J38" s="616"/>
      <c r="K38" s="617"/>
      <c r="L38" s="616"/>
      <c r="M38" s="617"/>
      <c r="N38" s="616"/>
      <c r="O38" s="617"/>
      <c r="P38" s="616"/>
      <c r="Q38" s="617"/>
      <c r="R38" s="616"/>
      <c r="S38" s="617"/>
      <c r="T38" s="616"/>
      <c r="U38" s="617"/>
      <c r="V38" s="616">
        <v>50</v>
      </c>
      <c r="W38" s="617">
        <v>63</v>
      </c>
      <c r="X38" s="616">
        <v>54</v>
      </c>
      <c r="Y38" s="617">
        <v>50</v>
      </c>
      <c r="Z38" s="616">
        <v>57</v>
      </c>
      <c r="AA38" s="617">
        <v>48</v>
      </c>
      <c r="AB38" s="616">
        <v>62</v>
      </c>
      <c r="AC38" s="617">
        <v>43</v>
      </c>
      <c r="AD38" s="616">
        <v>67</v>
      </c>
      <c r="AE38" s="617">
        <v>38</v>
      </c>
      <c r="AF38" s="616">
        <v>72</v>
      </c>
      <c r="AG38" s="617">
        <v>33</v>
      </c>
    </row>
    <row r="39" spans="2:33" ht="16">
      <c r="B39" s="610"/>
      <c r="C39" s="609" t="s">
        <v>1191</v>
      </c>
      <c r="D39" s="616"/>
      <c r="E39" s="617"/>
      <c r="F39" s="616"/>
      <c r="G39" s="617"/>
      <c r="H39" s="616"/>
      <c r="I39" s="617"/>
      <c r="J39" s="616"/>
      <c r="K39" s="617"/>
      <c r="L39" s="616"/>
      <c r="M39" s="617"/>
      <c r="N39" s="616"/>
      <c r="O39" s="617"/>
      <c r="P39" s="616"/>
      <c r="Q39" s="617"/>
      <c r="R39" s="616"/>
      <c r="S39" s="617"/>
      <c r="T39" s="616"/>
      <c r="U39" s="617"/>
      <c r="V39" s="616">
        <v>50</v>
      </c>
      <c r="W39" s="617">
        <v>63</v>
      </c>
      <c r="X39" s="616">
        <v>54</v>
      </c>
      <c r="Y39" s="617">
        <v>53</v>
      </c>
      <c r="Z39" s="616">
        <v>57</v>
      </c>
      <c r="AA39" s="617">
        <v>48</v>
      </c>
      <c r="AB39" s="616">
        <v>62</v>
      </c>
      <c r="AC39" s="617">
        <v>43</v>
      </c>
      <c r="AD39" s="616">
        <v>67</v>
      </c>
      <c r="AE39" s="617">
        <v>38</v>
      </c>
      <c r="AF39" s="616">
        <v>72</v>
      </c>
      <c r="AG39" s="617">
        <v>33</v>
      </c>
    </row>
    <row r="40" spans="2:33" ht="16">
      <c r="B40" s="610"/>
      <c r="C40" s="609" t="s">
        <v>1189</v>
      </c>
      <c r="D40" s="616"/>
      <c r="E40" s="617"/>
      <c r="F40" s="616"/>
      <c r="G40" s="617"/>
      <c r="H40" s="616"/>
      <c r="I40" s="617"/>
      <c r="J40" s="616"/>
      <c r="K40" s="617"/>
      <c r="L40" s="616"/>
      <c r="M40" s="617"/>
      <c r="N40" s="616"/>
      <c r="O40" s="617"/>
      <c r="P40" s="616"/>
      <c r="Q40" s="617"/>
      <c r="R40" s="616"/>
      <c r="S40" s="617"/>
      <c r="T40" s="616"/>
      <c r="U40" s="617"/>
      <c r="V40" s="616">
        <v>50</v>
      </c>
      <c r="W40" s="617">
        <v>63</v>
      </c>
      <c r="X40" s="616">
        <v>54</v>
      </c>
      <c r="Y40" s="617">
        <v>50</v>
      </c>
      <c r="Z40" s="616">
        <v>57</v>
      </c>
      <c r="AA40" s="617">
        <v>48</v>
      </c>
      <c r="AB40" s="616">
        <v>62</v>
      </c>
      <c r="AC40" s="617">
        <v>43</v>
      </c>
      <c r="AD40" s="616">
        <v>67</v>
      </c>
      <c r="AE40" s="617">
        <v>38</v>
      </c>
      <c r="AF40" s="616">
        <v>72</v>
      </c>
      <c r="AG40" s="617">
        <v>33</v>
      </c>
    </row>
    <row r="41" spans="2:33">
      <c r="B41" s="620"/>
      <c r="C41" s="621"/>
      <c r="D41" s="622"/>
      <c r="E41" s="623"/>
      <c r="F41" s="622"/>
      <c r="G41" s="623"/>
      <c r="H41" s="622"/>
      <c r="I41" s="623"/>
      <c r="J41" s="622"/>
      <c r="K41" s="623"/>
      <c r="L41" s="622"/>
      <c r="M41" s="623"/>
      <c r="N41" s="622"/>
      <c r="O41" s="623"/>
      <c r="P41" s="622"/>
      <c r="Q41" s="623"/>
      <c r="R41" s="622"/>
      <c r="S41" s="623"/>
      <c r="T41" s="622"/>
      <c r="U41" s="623"/>
      <c r="V41" s="622"/>
      <c r="W41" s="623"/>
      <c r="X41" s="622"/>
      <c r="Y41" s="623"/>
      <c r="Z41" s="622"/>
      <c r="AA41" s="623"/>
      <c r="AB41" s="622"/>
      <c r="AC41" s="623"/>
      <c r="AD41" s="622"/>
      <c r="AE41" s="623"/>
      <c r="AF41" s="622"/>
      <c r="AG41" s="623"/>
    </row>
    <row r="42" spans="2:33" ht="16">
      <c r="B42" t="s">
        <v>1158</v>
      </c>
      <c r="C42" s="609" t="s">
        <v>1159</v>
      </c>
      <c r="D42" s="616" t="s">
        <v>1181</v>
      </c>
      <c r="E42" s="617">
        <v>53</v>
      </c>
      <c r="F42" s="616"/>
      <c r="G42" s="617"/>
      <c r="H42" s="616" t="str">
        <f t="shared" si="1"/>
        <v>-</v>
      </c>
      <c r="I42" s="617">
        <f t="shared" si="2"/>
        <v>53</v>
      </c>
      <c r="J42" s="616" t="s">
        <v>1181</v>
      </c>
      <c r="K42" s="617"/>
      <c r="L42" s="616"/>
      <c r="M42" s="617"/>
      <c r="N42" s="616"/>
      <c r="O42" s="617"/>
      <c r="P42" s="616"/>
      <c r="Q42" s="617"/>
      <c r="R42" s="616"/>
      <c r="S42" s="617"/>
      <c r="T42" s="616"/>
      <c r="U42" s="617"/>
      <c r="V42" s="616" t="s">
        <v>1181</v>
      </c>
      <c r="W42" s="617">
        <v>63</v>
      </c>
      <c r="X42" s="616" t="s">
        <v>1181</v>
      </c>
      <c r="Y42" s="617">
        <v>53</v>
      </c>
      <c r="Z42" s="616" t="s">
        <v>1181</v>
      </c>
      <c r="AA42" s="617">
        <v>48</v>
      </c>
      <c r="AB42" s="616" t="s">
        <v>1181</v>
      </c>
      <c r="AC42" s="617">
        <v>43</v>
      </c>
      <c r="AD42" s="616" t="s">
        <v>1181</v>
      </c>
      <c r="AE42" s="617">
        <v>38</v>
      </c>
      <c r="AF42" s="616" t="s">
        <v>1181</v>
      </c>
      <c r="AG42" s="617">
        <v>33</v>
      </c>
    </row>
    <row r="43" spans="2:33">
      <c r="B43" s="620"/>
      <c r="C43" s="621"/>
      <c r="D43" s="622"/>
      <c r="E43" s="623"/>
      <c r="F43" s="622"/>
      <c r="G43" s="623"/>
      <c r="H43" s="622"/>
      <c r="I43" s="623"/>
      <c r="J43" s="622"/>
      <c r="K43" s="623"/>
      <c r="L43" s="622"/>
      <c r="M43" s="623"/>
      <c r="N43" s="622"/>
      <c r="O43" s="623"/>
      <c r="P43" s="622"/>
      <c r="Q43" s="623"/>
      <c r="R43" s="622"/>
      <c r="S43" s="623"/>
      <c r="T43" s="622"/>
      <c r="U43" s="623"/>
      <c r="V43" s="622"/>
      <c r="W43" s="623"/>
      <c r="X43" s="622"/>
      <c r="Y43" s="623"/>
      <c r="Z43" s="622"/>
      <c r="AA43" s="623"/>
      <c r="AB43" s="622"/>
      <c r="AC43" s="623"/>
      <c r="AD43" s="622"/>
      <c r="AE43" s="623"/>
      <c r="AF43" s="622"/>
      <c r="AG43" s="623"/>
    </row>
    <row r="44" spans="2:33" ht="32">
      <c r="B44" s="1618" t="s">
        <v>1160</v>
      </c>
      <c r="C44" s="609" t="s">
        <v>1169</v>
      </c>
      <c r="D44" s="616">
        <v>53</v>
      </c>
      <c r="E44" s="617" t="s">
        <v>1181</v>
      </c>
      <c r="F44" s="616"/>
      <c r="G44" s="617"/>
      <c r="H44" s="616">
        <f t="shared" si="1"/>
        <v>53</v>
      </c>
      <c r="I44" s="617" t="str">
        <f t="shared" si="2"/>
        <v>-</v>
      </c>
      <c r="J44" s="616">
        <v>56</v>
      </c>
      <c r="K44" s="617"/>
      <c r="L44" s="616"/>
      <c r="M44" s="617"/>
      <c r="N44" s="616"/>
      <c r="O44" s="617"/>
      <c r="P44" s="616"/>
      <c r="Q44" s="617"/>
      <c r="R44" s="616"/>
      <c r="S44" s="617"/>
      <c r="T44" s="616"/>
      <c r="U44" s="617"/>
      <c r="V44" s="616">
        <v>50</v>
      </c>
      <c r="W44" s="617" t="s">
        <v>1181</v>
      </c>
      <c r="X44" s="616">
        <v>53</v>
      </c>
      <c r="Y44" s="617"/>
      <c r="Z44" s="616">
        <v>56</v>
      </c>
      <c r="AA44" s="617"/>
      <c r="AB44" s="616">
        <v>62</v>
      </c>
      <c r="AC44" s="617"/>
      <c r="AD44" s="616">
        <v>67</v>
      </c>
      <c r="AE44" s="617"/>
      <c r="AF44" s="616">
        <v>72</v>
      </c>
      <c r="AG44" s="617"/>
    </row>
    <row r="45" spans="2:33" ht="16">
      <c r="B45" s="1618"/>
      <c r="C45" s="609" t="s">
        <v>1170</v>
      </c>
      <c r="D45" s="616">
        <v>53</v>
      </c>
      <c r="E45" s="617" t="s">
        <v>1181</v>
      </c>
      <c r="F45" s="616"/>
      <c r="G45" s="617"/>
      <c r="H45" s="616">
        <f t="shared" si="1"/>
        <v>53</v>
      </c>
      <c r="I45" s="617" t="str">
        <f t="shared" si="2"/>
        <v>-</v>
      </c>
      <c r="J45" s="616">
        <v>56</v>
      </c>
      <c r="K45" s="617"/>
      <c r="L45" s="616"/>
      <c r="M45" s="617"/>
      <c r="N45" s="616"/>
      <c r="O45" s="617"/>
      <c r="P45" s="616"/>
      <c r="Q45" s="617"/>
      <c r="R45" s="616"/>
      <c r="S45" s="617"/>
      <c r="T45" s="616"/>
      <c r="U45" s="617"/>
      <c r="V45" s="616">
        <v>50</v>
      </c>
      <c r="W45" s="617" t="s">
        <v>1181</v>
      </c>
      <c r="X45" s="616">
        <v>53</v>
      </c>
      <c r="Y45" s="617"/>
      <c r="Z45" s="616">
        <v>56</v>
      </c>
      <c r="AA45" s="617"/>
      <c r="AB45" s="616">
        <v>62</v>
      </c>
      <c r="AC45" s="617"/>
      <c r="AD45" s="616">
        <v>67</v>
      </c>
      <c r="AE45" s="617"/>
      <c r="AF45" s="616">
        <v>72</v>
      </c>
      <c r="AG45" s="617"/>
    </row>
    <row r="46" spans="2:33" ht="32">
      <c r="B46" s="1618"/>
      <c r="C46" s="609" t="s">
        <v>1171</v>
      </c>
      <c r="D46" s="616">
        <v>55</v>
      </c>
      <c r="E46" s="617" t="s">
        <v>1181</v>
      </c>
      <c r="F46" s="616"/>
      <c r="G46" s="617"/>
      <c r="H46" s="616">
        <f t="shared" si="1"/>
        <v>55</v>
      </c>
      <c r="I46" s="617" t="str">
        <f t="shared" si="2"/>
        <v>-</v>
      </c>
      <c r="J46" s="616"/>
      <c r="K46" s="617"/>
      <c r="L46" s="616"/>
      <c r="M46" s="617"/>
      <c r="N46" s="616"/>
      <c r="O46" s="617"/>
      <c r="P46" s="616"/>
      <c r="Q46" s="617"/>
      <c r="R46" s="616"/>
      <c r="S46" s="617"/>
      <c r="T46" s="616"/>
      <c r="U46" s="617"/>
      <c r="V46" s="616">
        <v>50</v>
      </c>
      <c r="W46" s="617" t="s">
        <v>1181</v>
      </c>
      <c r="X46" s="616">
        <v>53</v>
      </c>
      <c r="Y46" s="617"/>
      <c r="Z46" s="616">
        <v>56</v>
      </c>
      <c r="AA46" s="617"/>
      <c r="AB46" s="616">
        <v>62</v>
      </c>
      <c r="AC46" s="617"/>
      <c r="AD46" s="616">
        <v>67</v>
      </c>
      <c r="AE46" s="617"/>
      <c r="AF46" s="616">
        <v>72</v>
      </c>
      <c r="AG46" s="617"/>
    </row>
    <row r="47" spans="2:33" ht="32">
      <c r="B47" s="1618"/>
      <c r="C47" s="609" t="s">
        <v>1172</v>
      </c>
      <c r="D47" s="616">
        <v>55</v>
      </c>
      <c r="E47" s="617" t="s">
        <v>1181</v>
      </c>
      <c r="F47" s="616"/>
      <c r="G47" s="617"/>
      <c r="H47" s="616">
        <f t="shared" si="1"/>
        <v>55</v>
      </c>
      <c r="I47" s="617" t="str">
        <f t="shared" si="2"/>
        <v>-</v>
      </c>
      <c r="J47" s="616">
        <v>56</v>
      </c>
      <c r="K47" s="617"/>
      <c r="L47" s="616"/>
      <c r="M47" s="617"/>
      <c r="N47" s="616"/>
      <c r="O47" s="617"/>
      <c r="P47" s="616"/>
      <c r="Q47" s="617"/>
      <c r="R47" s="616"/>
      <c r="S47" s="617"/>
      <c r="T47" s="616"/>
      <c r="U47" s="617"/>
      <c r="V47" s="616">
        <v>50</v>
      </c>
      <c r="W47" s="617" t="s">
        <v>1181</v>
      </c>
      <c r="X47" s="616">
        <v>53</v>
      </c>
      <c r="Y47" s="617"/>
      <c r="Z47" s="616">
        <v>56</v>
      </c>
      <c r="AA47" s="617"/>
      <c r="AB47" s="616">
        <v>62</v>
      </c>
      <c r="AC47" s="617"/>
      <c r="AD47" s="616">
        <v>67</v>
      </c>
      <c r="AE47" s="617"/>
      <c r="AF47" s="616">
        <v>72</v>
      </c>
      <c r="AG47" s="617"/>
    </row>
    <row r="48" spans="2:33" ht="32">
      <c r="B48" s="1618"/>
      <c r="C48" s="609" t="s">
        <v>1173</v>
      </c>
      <c r="D48" s="616">
        <v>57</v>
      </c>
      <c r="E48" s="617" t="s">
        <v>1181</v>
      </c>
      <c r="F48" s="616"/>
      <c r="G48" s="617"/>
      <c r="H48" s="616">
        <f t="shared" si="1"/>
        <v>57</v>
      </c>
      <c r="I48" s="617" t="str">
        <f t="shared" si="2"/>
        <v>-</v>
      </c>
      <c r="J48" s="616"/>
      <c r="K48" s="617"/>
      <c r="L48" s="616"/>
      <c r="M48" s="617"/>
      <c r="N48" s="616"/>
      <c r="O48" s="617"/>
      <c r="P48" s="616"/>
      <c r="Q48" s="617"/>
      <c r="R48" s="616"/>
      <c r="S48" s="617"/>
      <c r="T48" s="616"/>
      <c r="U48" s="617"/>
      <c r="V48" s="616">
        <v>50</v>
      </c>
      <c r="W48" s="617" t="s">
        <v>1181</v>
      </c>
      <c r="X48" s="616">
        <v>53</v>
      </c>
      <c r="Y48" s="617"/>
      <c r="Z48" s="616">
        <v>56</v>
      </c>
      <c r="AA48" s="617"/>
      <c r="AB48" s="616">
        <v>62</v>
      </c>
      <c r="AC48" s="617"/>
      <c r="AD48" s="616">
        <v>67</v>
      </c>
      <c r="AE48" s="617"/>
      <c r="AF48" s="616">
        <v>72</v>
      </c>
      <c r="AG48" s="617"/>
    </row>
    <row r="49" spans="2:33">
      <c r="B49" s="620"/>
      <c r="C49" s="621"/>
      <c r="D49" s="622"/>
      <c r="E49" s="623"/>
      <c r="F49" s="622"/>
      <c r="G49" s="623"/>
      <c r="H49" s="622"/>
      <c r="I49" s="623"/>
      <c r="J49" s="622"/>
      <c r="K49" s="623"/>
      <c r="L49" s="622"/>
      <c r="M49" s="623"/>
      <c r="N49" s="622"/>
      <c r="O49" s="623"/>
      <c r="P49" s="622"/>
      <c r="Q49" s="623"/>
      <c r="R49" s="622"/>
      <c r="S49" s="623"/>
      <c r="T49" s="622"/>
      <c r="U49" s="623"/>
      <c r="V49" s="622"/>
      <c r="W49" s="623"/>
      <c r="X49" s="622"/>
      <c r="Y49" s="623"/>
      <c r="Z49" s="622"/>
      <c r="AA49" s="623"/>
      <c r="AB49" s="622"/>
      <c r="AC49" s="623"/>
      <c r="AD49" s="622"/>
      <c r="AE49" s="623"/>
      <c r="AF49" s="622"/>
      <c r="AG49" s="623"/>
    </row>
    <row r="50" spans="2:33" ht="48">
      <c r="B50" s="1618" t="s">
        <v>1161</v>
      </c>
      <c r="C50" s="609" t="s">
        <v>1185</v>
      </c>
      <c r="D50" s="616">
        <v>27</v>
      </c>
      <c r="E50" s="617" t="s">
        <v>1181</v>
      </c>
      <c r="F50" s="616"/>
      <c r="G50" s="617"/>
      <c r="H50" s="616">
        <f t="shared" si="1"/>
        <v>27</v>
      </c>
      <c r="I50" s="617" t="str">
        <f t="shared" si="2"/>
        <v>-</v>
      </c>
      <c r="J50" s="616"/>
      <c r="K50" s="617"/>
      <c r="L50" s="616"/>
      <c r="M50" s="617"/>
      <c r="N50" s="616"/>
      <c r="O50" s="617"/>
      <c r="P50" s="616"/>
      <c r="Q50" s="617"/>
      <c r="R50" s="616"/>
      <c r="S50" s="617"/>
      <c r="T50" s="616"/>
      <c r="U50" s="617"/>
      <c r="V50" s="616">
        <v>22</v>
      </c>
      <c r="W50" s="617"/>
      <c r="X50" s="616">
        <v>27</v>
      </c>
      <c r="Y50" s="617"/>
      <c r="Z50" s="616">
        <v>32</v>
      </c>
      <c r="AA50" s="617"/>
      <c r="AB50" s="616">
        <v>37</v>
      </c>
      <c r="AC50" s="617"/>
      <c r="AD50" s="616">
        <v>40</v>
      </c>
      <c r="AE50" s="617"/>
      <c r="AF50" s="616">
        <v>40</v>
      </c>
      <c r="AG50" s="617"/>
    </row>
    <row r="51" spans="2:33" ht="48">
      <c r="B51" s="1618"/>
      <c r="C51" s="609" t="s">
        <v>1174</v>
      </c>
      <c r="D51" s="616">
        <v>37</v>
      </c>
      <c r="E51" s="617" t="s">
        <v>1181</v>
      </c>
      <c r="F51" s="616"/>
      <c r="G51" s="617"/>
      <c r="H51" s="616">
        <f t="shared" si="1"/>
        <v>37</v>
      </c>
      <c r="I51" s="617" t="str">
        <f t="shared" si="2"/>
        <v>-</v>
      </c>
      <c r="J51" s="616"/>
      <c r="K51" s="617"/>
      <c r="L51" s="616"/>
      <c r="M51" s="617"/>
      <c r="N51" s="616"/>
      <c r="O51" s="617"/>
      <c r="P51" s="616"/>
      <c r="Q51" s="617"/>
      <c r="R51" s="616"/>
      <c r="S51" s="617"/>
      <c r="T51" s="616"/>
      <c r="U51" s="617"/>
      <c r="V51" s="616">
        <v>32</v>
      </c>
      <c r="W51" s="617"/>
      <c r="X51" s="616">
        <v>37</v>
      </c>
      <c r="Y51" s="617"/>
      <c r="Z51" s="616">
        <v>42</v>
      </c>
      <c r="AA51" s="617"/>
      <c r="AB51" s="616" t="s">
        <v>1186</v>
      </c>
      <c r="AC51" s="617"/>
      <c r="AD51" s="616" t="s">
        <v>1186</v>
      </c>
      <c r="AE51" s="617"/>
      <c r="AF51" s="616" t="s">
        <v>1186</v>
      </c>
      <c r="AG51" s="617"/>
    </row>
    <row r="52" spans="2:33">
      <c r="C52" s="609"/>
    </row>
    <row r="53" spans="2:33">
      <c r="C53" s="609"/>
    </row>
    <row r="54" spans="2:33">
      <c r="C54" s="609"/>
    </row>
  </sheetData>
  <sheetProtection algorithmName="SHA-512" hashValue="yvoqWOkO17rn9RB7R7g4k4+ypx4ADnaSNHuTHJwPcHneY87DPdoOywVf5753fI4iCI8qErkjL9n6u7lYENQc7A==" saltValue="8Bcy6BUCwdMoBLqpL6op8A==" spinCount="100000" sheet="1" objects="1" scenarios="1"/>
  <mergeCells count="21">
    <mergeCell ref="T22:AG22"/>
    <mergeCell ref="F22:G22"/>
    <mergeCell ref="B50:B51"/>
    <mergeCell ref="B44:B48"/>
    <mergeCell ref="B26:B36"/>
    <mergeCell ref="D22:E22"/>
    <mergeCell ref="H23:I23"/>
    <mergeCell ref="J23:K23"/>
    <mergeCell ref="L23:M23"/>
    <mergeCell ref="N23:O23"/>
    <mergeCell ref="H22:M22"/>
    <mergeCell ref="N22:S22"/>
    <mergeCell ref="Z23:AA23"/>
    <mergeCell ref="AB23:AC23"/>
    <mergeCell ref="AD23:AE23"/>
    <mergeCell ref="AF23:AG23"/>
    <mergeCell ref="P23:Q23"/>
    <mergeCell ref="R23:S23"/>
    <mergeCell ref="T23:U23"/>
    <mergeCell ref="V23:W23"/>
    <mergeCell ref="X23:Y23"/>
  </mergeCells>
  <dataValidations count="1">
    <dataValidation type="list" allowBlank="1" showInputMessage="1" showErrorMessage="1" sqref="D3:E3" xr:uid="{00000000-0002-0000-1B00-000000000000}">
      <formula1>Gebäudeklasse</formula1>
    </dataValidation>
  </dataValidations>
  <pageMargins left="0.7" right="0.7" top="0.78740157499999996" bottom="0.78740157499999996" header="0.3" footer="0.3"/>
  <pageSetup paperSize="9" orientation="portrait" horizontalDpi="300"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Tabelle26">
    <tabColor rgb="FFFF9999"/>
  </sheetPr>
  <dimension ref="A5:ES348"/>
  <sheetViews>
    <sheetView topLeftCell="DI1" workbookViewId="0">
      <selection activeCell="D1" sqref="D1:E2"/>
    </sheetView>
  </sheetViews>
  <sheetFormatPr baseColWidth="10" defaultColWidth="10.83203125" defaultRowHeight="15"/>
  <cols>
    <col min="1" max="2" width="4.6640625" customWidth="1"/>
    <col min="3" max="3" width="5.1640625" customWidth="1"/>
    <col min="4" max="4" width="5.5" customWidth="1"/>
    <col min="5" max="5" width="5.6640625" customWidth="1"/>
    <col min="6" max="6" width="4.6640625" customWidth="1"/>
    <col min="7" max="7" width="5.83203125" customWidth="1"/>
    <col min="8" max="8" width="4.6640625" customWidth="1"/>
    <col min="9" max="9" width="7.33203125" customWidth="1"/>
    <col min="10" max="16" width="4.6640625" customWidth="1"/>
    <col min="17" max="17" width="6" customWidth="1"/>
    <col min="18" max="18" width="4.6640625" customWidth="1"/>
    <col min="19" max="19" width="7.33203125" customWidth="1"/>
    <col min="20" max="26" width="4.6640625" customWidth="1"/>
    <col min="27" max="27" width="6.1640625" customWidth="1"/>
    <col min="28" max="28" width="4.6640625" customWidth="1"/>
    <col min="29" max="29" width="7.5" customWidth="1"/>
    <col min="30" max="36" width="4.6640625" customWidth="1"/>
    <col min="37" max="37" width="5.5" bestFit="1" customWidth="1"/>
    <col min="38" max="38" width="4.6640625" customWidth="1"/>
    <col min="39" max="39" width="7.5" customWidth="1"/>
    <col min="40" max="46" width="4.6640625" customWidth="1"/>
    <col min="47" max="47" width="5.5" bestFit="1" customWidth="1"/>
    <col min="48" max="48" width="4.6640625" customWidth="1"/>
    <col min="49" max="49" width="7.33203125" customWidth="1"/>
    <col min="50" max="56" width="4.6640625" customWidth="1"/>
    <col min="57" max="57" width="6.5" customWidth="1"/>
    <col min="58" max="58" width="4.6640625" customWidth="1"/>
    <col min="59" max="59" width="7" bestFit="1" customWidth="1"/>
    <col min="60" max="66" width="4.6640625" customWidth="1"/>
    <col min="67" max="67" width="5.5" bestFit="1" customWidth="1"/>
    <col min="68" max="68" width="4.6640625" customWidth="1"/>
    <col min="69" max="69" width="7" bestFit="1" customWidth="1"/>
    <col min="70" max="76" width="4.6640625" customWidth="1"/>
    <col min="77" max="77" width="5.5" bestFit="1" customWidth="1"/>
    <col min="78" max="78" width="4.6640625" customWidth="1"/>
    <col min="79" max="79" width="7" bestFit="1" customWidth="1"/>
    <col min="80" max="86" width="4.6640625" customWidth="1"/>
    <col min="87" max="87" width="5.5" bestFit="1" customWidth="1"/>
    <col min="88" max="88" width="4.6640625" customWidth="1"/>
    <col min="89" max="89" width="7" bestFit="1" customWidth="1"/>
    <col min="90" max="96" width="4.6640625" customWidth="1"/>
    <col min="97" max="97" width="5.5" bestFit="1" customWidth="1"/>
    <col min="98" max="98" width="4.6640625" customWidth="1"/>
    <col min="99" max="99" width="7" bestFit="1" customWidth="1"/>
    <col min="100" max="106" width="4.6640625" customWidth="1"/>
    <col min="107" max="107" width="5.5" bestFit="1" customWidth="1"/>
    <col min="108" max="108" width="4.6640625" customWidth="1"/>
    <col min="109" max="109" width="7" bestFit="1" customWidth="1"/>
    <col min="110" max="116" width="4.6640625" customWidth="1"/>
    <col min="117" max="117" width="5.5" bestFit="1" customWidth="1"/>
    <col min="118" max="118" width="4.6640625" customWidth="1"/>
    <col min="119" max="119" width="7" bestFit="1" customWidth="1"/>
    <col min="120" max="126" width="4.6640625" customWidth="1"/>
    <col min="127" max="127" width="5.5" bestFit="1" customWidth="1"/>
    <col min="128" max="128" width="4.6640625" customWidth="1"/>
    <col min="129" max="129" width="7" bestFit="1" customWidth="1"/>
    <col min="130" max="136" width="4.6640625" customWidth="1"/>
    <col min="137" max="137" width="5.5" bestFit="1" customWidth="1"/>
    <col min="138" max="138" width="4.6640625" customWidth="1"/>
    <col min="139" max="139" width="7" bestFit="1" customWidth="1"/>
    <col min="140" max="146" width="4.6640625" customWidth="1"/>
    <col min="147" max="147" width="5.5" bestFit="1" customWidth="1"/>
    <col min="148" max="148" width="4.6640625" customWidth="1"/>
    <col min="149" max="149" width="7" bestFit="1" customWidth="1"/>
    <col min="150" max="180" width="4.6640625" customWidth="1"/>
  </cols>
  <sheetData>
    <row r="5" spans="1:149">
      <c r="A5" s="549" t="s">
        <v>827</v>
      </c>
      <c r="C5" t="str">
        <f>Mat_ST</f>
        <v>GL24h</v>
      </c>
    </row>
    <row r="7" spans="1:149" ht="17">
      <c r="B7" t="s">
        <v>981</v>
      </c>
      <c r="C7" s="548" t="s">
        <v>75</v>
      </c>
      <c r="D7" s="552" t="s">
        <v>82</v>
      </c>
      <c r="E7" s="552" t="s">
        <v>979</v>
      </c>
      <c r="F7" s="548" t="s">
        <v>80</v>
      </c>
      <c r="G7" s="548" t="s">
        <v>980</v>
      </c>
      <c r="I7" s="548" t="s">
        <v>990</v>
      </c>
      <c r="L7" t="s">
        <v>981</v>
      </c>
      <c r="M7" s="548" t="s">
        <v>75</v>
      </c>
      <c r="N7" s="552" t="s">
        <v>82</v>
      </c>
      <c r="O7" s="552" t="s">
        <v>979</v>
      </c>
      <c r="P7" s="548" t="s">
        <v>80</v>
      </c>
      <c r="Q7" s="548" t="s">
        <v>980</v>
      </c>
      <c r="S7" s="548" t="s">
        <v>990</v>
      </c>
      <c r="V7" t="s">
        <v>981</v>
      </c>
      <c r="W7" s="548" t="s">
        <v>75</v>
      </c>
      <c r="X7" s="552" t="s">
        <v>82</v>
      </c>
      <c r="Y7" s="552" t="s">
        <v>979</v>
      </c>
      <c r="Z7" s="548" t="s">
        <v>80</v>
      </c>
      <c r="AA7" s="548" t="s">
        <v>980</v>
      </c>
      <c r="AC7" s="548" t="s">
        <v>990</v>
      </c>
      <c r="AF7" t="s">
        <v>981</v>
      </c>
      <c r="AG7" s="548" t="s">
        <v>75</v>
      </c>
      <c r="AH7" s="552" t="s">
        <v>82</v>
      </c>
      <c r="AI7" s="552" t="s">
        <v>979</v>
      </c>
      <c r="AJ7" s="548" t="s">
        <v>80</v>
      </c>
      <c r="AK7" s="548" t="s">
        <v>980</v>
      </c>
      <c r="AM7" s="548" t="s">
        <v>990</v>
      </c>
      <c r="AP7" t="s">
        <v>981</v>
      </c>
      <c r="AQ7" s="548" t="s">
        <v>75</v>
      </c>
      <c r="AR7" s="552" t="s">
        <v>82</v>
      </c>
      <c r="AS7" s="552" t="s">
        <v>979</v>
      </c>
      <c r="AT7" s="548" t="s">
        <v>80</v>
      </c>
      <c r="AU7" s="548" t="s">
        <v>980</v>
      </c>
      <c r="AW7" s="548" t="s">
        <v>990</v>
      </c>
      <c r="AZ7" t="s">
        <v>981</v>
      </c>
      <c r="BA7" s="548" t="s">
        <v>75</v>
      </c>
      <c r="BB7" s="552" t="s">
        <v>82</v>
      </c>
      <c r="BC7" s="552" t="s">
        <v>979</v>
      </c>
      <c r="BD7" s="548" t="s">
        <v>80</v>
      </c>
      <c r="BE7" s="548" t="s">
        <v>980</v>
      </c>
      <c r="BG7" s="548" t="s">
        <v>990</v>
      </c>
      <c r="BJ7" t="s">
        <v>981</v>
      </c>
      <c r="BK7" s="548" t="s">
        <v>75</v>
      </c>
      <c r="BL7" s="552" t="s">
        <v>82</v>
      </c>
      <c r="BM7" s="552" t="s">
        <v>979</v>
      </c>
      <c r="BN7" s="548" t="s">
        <v>80</v>
      </c>
      <c r="BO7" s="548" t="s">
        <v>980</v>
      </c>
      <c r="BQ7" s="548" t="s">
        <v>990</v>
      </c>
      <c r="BT7" t="s">
        <v>981</v>
      </c>
      <c r="BU7" s="548" t="s">
        <v>75</v>
      </c>
      <c r="BV7" s="552" t="s">
        <v>82</v>
      </c>
      <c r="BW7" s="552" t="s">
        <v>979</v>
      </c>
      <c r="BX7" s="548" t="s">
        <v>80</v>
      </c>
      <c r="BY7" s="548" t="s">
        <v>980</v>
      </c>
      <c r="CA7" s="548" t="s">
        <v>990</v>
      </c>
      <c r="CD7" t="s">
        <v>981</v>
      </c>
      <c r="CE7" s="548" t="s">
        <v>75</v>
      </c>
      <c r="CF7" s="552" t="s">
        <v>82</v>
      </c>
      <c r="CG7" s="552" t="s">
        <v>979</v>
      </c>
      <c r="CH7" s="548" t="s">
        <v>80</v>
      </c>
      <c r="CI7" s="548" t="s">
        <v>980</v>
      </c>
      <c r="CK7" s="548" t="s">
        <v>990</v>
      </c>
      <c r="CN7" t="s">
        <v>981</v>
      </c>
      <c r="CO7" s="548" t="s">
        <v>75</v>
      </c>
      <c r="CP7" s="552" t="s">
        <v>82</v>
      </c>
      <c r="CQ7" s="552" t="s">
        <v>979</v>
      </c>
      <c r="CR7" s="548" t="s">
        <v>80</v>
      </c>
      <c r="CS7" s="548" t="s">
        <v>980</v>
      </c>
      <c r="CU7" s="548" t="s">
        <v>990</v>
      </c>
      <c r="CX7" t="s">
        <v>981</v>
      </c>
      <c r="CY7" s="548" t="s">
        <v>75</v>
      </c>
      <c r="CZ7" s="552" t="s">
        <v>82</v>
      </c>
      <c r="DA7" s="552" t="s">
        <v>979</v>
      </c>
      <c r="DB7" s="548" t="s">
        <v>80</v>
      </c>
      <c r="DC7" s="548" t="s">
        <v>980</v>
      </c>
      <c r="DE7" s="548" t="s">
        <v>990</v>
      </c>
      <c r="DH7" t="s">
        <v>981</v>
      </c>
      <c r="DI7" s="548" t="s">
        <v>75</v>
      </c>
      <c r="DJ7" s="552" t="s">
        <v>82</v>
      </c>
      <c r="DK7" s="552" t="s">
        <v>979</v>
      </c>
      <c r="DL7" s="548" t="s">
        <v>80</v>
      </c>
      <c r="DM7" s="548" t="s">
        <v>980</v>
      </c>
      <c r="DO7" s="548" t="s">
        <v>990</v>
      </c>
      <c r="DR7" t="s">
        <v>981</v>
      </c>
      <c r="DS7" s="548" t="s">
        <v>75</v>
      </c>
      <c r="DT7" s="552" t="s">
        <v>82</v>
      </c>
      <c r="DU7" s="552" t="s">
        <v>979</v>
      </c>
      <c r="DV7" s="548" t="s">
        <v>80</v>
      </c>
      <c r="DW7" s="548" t="s">
        <v>980</v>
      </c>
      <c r="DY7" s="548" t="s">
        <v>990</v>
      </c>
      <c r="EB7" t="s">
        <v>981</v>
      </c>
      <c r="EC7" s="548" t="s">
        <v>75</v>
      </c>
      <c r="ED7" s="552" t="s">
        <v>82</v>
      </c>
      <c r="EE7" s="552" t="s">
        <v>979</v>
      </c>
      <c r="EF7" s="548" t="s">
        <v>80</v>
      </c>
      <c r="EG7" s="548" t="s">
        <v>980</v>
      </c>
      <c r="EI7" s="548" t="s">
        <v>990</v>
      </c>
      <c r="EL7" t="s">
        <v>981</v>
      </c>
      <c r="EM7" s="548" t="s">
        <v>75</v>
      </c>
      <c r="EN7" s="552" t="s">
        <v>82</v>
      </c>
      <c r="EO7" s="552" t="s">
        <v>979</v>
      </c>
      <c r="EP7" s="548" t="s">
        <v>80</v>
      </c>
      <c r="EQ7" s="548" t="s">
        <v>980</v>
      </c>
      <c r="ES7" s="548" t="s">
        <v>990</v>
      </c>
    </row>
    <row r="8" spans="1:149">
      <c r="B8" s="547">
        <f>'Hilfstabellen_Mat&amp;Bem'!$J51</f>
        <v>2.8</v>
      </c>
      <c r="C8" s="546">
        <f>'Hilfstabellen_Mat&amp;Bem'!$O11</f>
        <v>60</v>
      </c>
      <c r="D8" s="551">
        <f>$B$8*10^3/$C8*SQRT(12)</f>
        <v>161.65807537309519</v>
      </c>
      <c r="E8" s="553">
        <f>$D8/PI()*SQRT('Hilfstabellen_Mat&amp;Bem'!f.Rd.3/'Hilfstabellen_Mat&amp;Bem'!$BD$30)</f>
        <v>2.5728681786350296</v>
      </c>
      <c r="F8" s="553">
        <f>0.5*(1+'Hilfstabellen_Mat&amp;Bem'!$BD$31*($E8-0.3)+$E8^2)</f>
        <v>3.9234687412481186</v>
      </c>
      <c r="G8" s="550">
        <f>MIN(1/($F8+SQRT($F8^2-$E8^2)),1)</f>
        <v>0.14523157076836962</v>
      </c>
      <c r="I8" s="551">
        <f>C8^2*G8</f>
        <v>522.83365476613062</v>
      </c>
      <c r="L8" s="547">
        <f>'Hilfstabellen_Mat&amp;Bem'!$J52</f>
        <v>2.9</v>
      </c>
      <c r="M8" s="546">
        <f>$C8</f>
        <v>60</v>
      </c>
      <c r="N8" s="551">
        <f t="shared" ref="N8:N71" si="0">$L$8*10^3/$M8*SQRT(12)</f>
        <v>167.43157806499147</v>
      </c>
      <c r="O8" s="553">
        <f>$N8/PI()*SQRT('Hilfstabellen_Mat&amp;Bem'!f.Rd.3/'Hilfstabellen_Mat&amp;Bem'!$BD$30)</f>
        <v>2.664756327871995</v>
      </c>
      <c r="P8" s="553">
        <f>0.5*(1+'Hilfstabellen_Mat&amp;Bem'!$BD$31*($O8-0.3)+$O8^2)</f>
        <v>4.1687009598605194</v>
      </c>
      <c r="Q8" s="550">
        <f t="shared" ref="Q8:Q71" si="1">MIN(1/($P8+SQRT($P8^2-$O8^2)),1)</f>
        <v>0.13560243115984322</v>
      </c>
      <c r="S8" s="551">
        <f>M8^2*Q8</f>
        <v>488.1687521754356</v>
      </c>
      <c r="V8" s="547">
        <f>'Hilfstabellen_Mat&amp;Bem'!$J53</f>
        <v>3</v>
      </c>
      <c r="W8" s="546">
        <f>$C8</f>
        <v>60</v>
      </c>
      <c r="X8" s="551">
        <f t="shared" ref="X8:X71" si="2">$V$8*10^3/$W8*SQRT(12)</f>
        <v>173.20508075688772</v>
      </c>
      <c r="Y8" s="553">
        <f>$X8/PI()*SQRT('Hilfstabellen_Mat&amp;Bem'!f.Rd.3/'Hilfstabellen_Mat&amp;Bem'!$BD$30)</f>
        <v>2.7566444771089604</v>
      </c>
      <c r="Z8" s="553">
        <f>0.5*(1+'Hilfstabellen_Mat&amp;Bem'!$BD$31*($Y8-0.3)+$Y8^2)</f>
        <v>4.4223766104431146</v>
      </c>
      <c r="AA8" s="550">
        <f t="shared" ref="AA8:AA71" si="3">MIN(1/($Z8+SQRT($Z8^2-$Y8^2)),1)</f>
        <v>0.12689617969031575</v>
      </c>
      <c r="AC8" s="551">
        <f>W8^2*AA8</f>
        <v>456.8262468851367</v>
      </c>
      <c r="AF8" s="547">
        <f>'Hilfstabellen_Mat&amp;Bem'!$J54</f>
        <v>3.1</v>
      </c>
      <c r="AG8" s="546">
        <f>$C8</f>
        <v>60</v>
      </c>
      <c r="AH8" s="551">
        <f t="shared" ref="AH8:AH71" si="4">$AF$8*10^3/$AG8*SQRT(12)</f>
        <v>178.97858344878398</v>
      </c>
      <c r="AI8" s="553">
        <f>$AH8/PI()*SQRT('Hilfstabellen_Mat&amp;Bem'!f.Rd.3/'Hilfstabellen_Mat&amp;Bem'!$BD$30)</f>
        <v>2.8485326263459259</v>
      </c>
      <c r="AJ8" s="553">
        <f>0.5*(1+'Hilfstabellen_Mat&amp;Bem'!$BD$31*($AI8-0.3)+$AI8^2)</f>
        <v>4.6844956929959052</v>
      </c>
      <c r="AK8" s="550">
        <f t="shared" ref="AK8:AK71" si="5">MIN(1/($AJ8+SQRT($AJ8^2-$AI8^2)),1)</f>
        <v>0.11899923835767784</v>
      </c>
      <c r="AM8" s="551">
        <f>AG8^2*AK8</f>
        <v>428.39725808764024</v>
      </c>
      <c r="AP8" s="547">
        <f>'Hilfstabellen_Mat&amp;Bem'!$J55</f>
        <v>3.2</v>
      </c>
      <c r="AQ8" s="546">
        <f>$C8</f>
        <v>60</v>
      </c>
      <c r="AR8" s="551">
        <f>$AP$8*10^3/$AQ8*SQRT(12)</f>
        <v>184.75208614068023</v>
      </c>
      <c r="AS8" s="553">
        <f>$AR8/PI()*SQRT('Hilfstabellen_Mat&amp;Bem'!f.Rd.3/'Hilfstabellen_Mat&amp;Bem'!$BD$30)</f>
        <v>2.9404207755828913</v>
      </c>
      <c r="AT8" s="553">
        <f>0.5*(1+'Hilfstabellen_Mat&amp;Bem'!$BD$31*($AS8-0.3)+$AS8^2)</f>
        <v>4.9550582075188903</v>
      </c>
      <c r="AU8" s="550">
        <f>MIN(1/($AT8+SQRT($AT8^2-$AS8^2)),1)</f>
        <v>0.11181483603698619</v>
      </c>
      <c r="AW8" s="551">
        <f>AQ8^2*AU8</f>
        <v>402.53340973315028</v>
      </c>
      <c r="AZ8" s="547">
        <f>'Hilfstabellen_Mat&amp;Bem'!$J56</f>
        <v>3.3</v>
      </c>
      <c r="BA8" s="546">
        <f>$C8</f>
        <v>60</v>
      </c>
      <c r="BB8" s="551">
        <f>$AZ$8*10^3/$BA8*SQRT(12)</f>
        <v>190.52558883257649</v>
      </c>
      <c r="BC8" s="553">
        <f>$BB8/PI()*SQRT('Hilfstabellen_Mat&amp;Bem'!f.Rd.3/'Hilfstabellen_Mat&amp;Bem'!$BD$30)</f>
        <v>3.0323089248198567</v>
      </c>
      <c r="BD8" s="553">
        <f>0.5*(1+'Hilfstabellen_Mat&amp;Bem'!$BD$31*($BC8-0.3)+$BC8^2)</f>
        <v>5.2340641540120698</v>
      </c>
      <c r="BE8" s="550">
        <f>MIN(1/($BD8+SQRT($BD8^2-$BC8^2)),1)</f>
        <v>0.10526014313384571</v>
      </c>
      <c r="BG8" s="551">
        <f>BA8^2*BE8</f>
        <v>378.93651528184455</v>
      </c>
      <c r="BJ8" s="547">
        <f>'Hilfstabellen_Mat&amp;Bem'!$J57</f>
        <v>3.4</v>
      </c>
      <c r="BK8" s="546">
        <f>$C8</f>
        <v>60</v>
      </c>
      <c r="BL8" s="551">
        <f>$BJ$8*10^3/$BK8*SQRT(12)</f>
        <v>196.29909152447274</v>
      </c>
      <c r="BM8" s="553">
        <f>$BL8/PI()*SQRT('Hilfstabellen_Mat&amp;Bem'!f.Rd.3/'Hilfstabellen_Mat&amp;Bem'!$BD$30)</f>
        <v>3.1241970740568217</v>
      </c>
      <c r="BN8" s="553">
        <f>0.5*(1+'Hilfstabellen_Mat&amp;Bem'!$BD$31*($BM8-0.3)+$BM8^2)</f>
        <v>5.5215135324754439</v>
      </c>
      <c r="BO8" s="550">
        <f>MIN(1/($BN8+SQRT($BN8^2-$BM8^2)),1)</f>
        <v>9.9263951772904827E-2</v>
      </c>
      <c r="BQ8" s="551">
        <f>BK8^2*BO8</f>
        <v>357.35022638245738</v>
      </c>
      <c r="BT8" s="547">
        <f>'Hilfstabellen_Mat&amp;Bem'!$J58</f>
        <v>3.5</v>
      </c>
      <c r="BU8" s="546">
        <f>$C8</f>
        <v>60</v>
      </c>
      <c r="BV8" s="551">
        <f>$BT$8*10^3/$BU8*SQRT(12)</f>
        <v>202.07259421636903</v>
      </c>
      <c r="BW8" s="553">
        <f>$BV8/PI()*SQRT('Hilfstabellen_Mat&amp;Bem'!f.Rd.3/'Hilfstabellen_Mat&amp;Bem'!$BD$30)</f>
        <v>3.2160852232937871</v>
      </c>
      <c r="BX8" s="553">
        <f>0.5*(1+'Hilfstabellen_Mat&amp;Bem'!$BD$31*($BW8-0.3)+$BW8^2)</f>
        <v>5.8174063429090133</v>
      </c>
      <c r="BY8" s="550">
        <f>MIN(1/($BX8+SQRT($BX8^2-$BW8^2)),1)</f>
        <v>9.3764788445477254E-2</v>
      </c>
      <c r="CA8" s="551">
        <f>BU8^2*BY8</f>
        <v>337.55323840371813</v>
      </c>
      <c r="CD8" s="547">
        <f>'Hilfstabellen_Mat&amp;Bem'!$J59</f>
        <v>3.6</v>
      </c>
      <c r="CE8" s="546">
        <f>$C8</f>
        <v>60</v>
      </c>
      <c r="CF8" s="551">
        <f>$CD$8*10^3/CE8*SQRT(12)</f>
        <v>207.84609690826525</v>
      </c>
      <c r="CG8" s="553">
        <f>CF8/PI()*SQRT('Hilfstabellen_Mat&amp;Bem'!f.Rd.3/'Hilfstabellen_Mat&amp;Bem'!$BD$30)</f>
        <v>3.3079733725307521</v>
      </c>
      <c r="CH8" s="553">
        <f>0.5*(1+'Hilfstabellen_Mat&amp;Bem'!$BD$31*(CG8-0.3)+CG8^2)</f>
        <v>6.1217425853127763</v>
      </c>
      <c r="CI8" s="550">
        <f>MIN(1/(CH8+SQRT(CH8^2-CG8^2)),1)</f>
        <v>8.8709370957235356E-2</v>
      </c>
      <c r="CK8" s="551">
        <f>CE8^2*CI8</f>
        <v>319.35373544604727</v>
      </c>
      <c r="CN8" s="547">
        <f>'Hilfstabellen_Mat&amp;Bem'!$J60</f>
        <v>3.7</v>
      </c>
      <c r="CO8" s="546">
        <f>$C8</f>
        <v>60</v>
      </c>
      <c r="CP8" s="551">
        <f>$CN$8*10^3/CO8*SQRT(12)</f>
        <v>213.61959960016151</v>
      </c>
      <c r="CQ8" s="553">
        <f>CP8/PI()*SQRT('Hilfstabellen_Mat&amp;Bem'!f.Rd.3/'Hilfstabellen_Mat&amp;Bem'!$BD$30)</f>
        <v>3.3998615217677179</v>
      </c>
      <c r="CR8" s="553">
        <f>0.5*(1+'Hilfstabellen_Mat&amp;Bem'!$BD$31*(CQ8-0.3)+CQ8^2)</f>
        <v>6.4345222596867373</v>
      </c>
      <c r="CS8" s="550">
        <f>MIN(1/(CR8+SQRT(CR8^2-CQ8^2)),1)</f>
        <v>8.4051340750394554E-2</v>
      </c>
      <c r="CU8" s="551">
        <f>CO8^2*CS8</f>
        <v>302.58482670142041</v>
      </c>
      <c r="CX8" s="547">
        <f>'Hilfstabellen_Mat&amp;Bem'!$J61</f>
        <v>3.8</v>
      </c>
      <c r="CY8" s="546">
        <f>$C8</f>
        <v>60</v>
      </c>
      <c r="CZ8" s="551">
        <f>$CX$8*10^3/CY8*SQRT(12)</f>
        <v>219.39310229205779</v>
      </c>
      <c r="DA8" s="553">
        <f>CZ8/PI()*SQRT('Hilfstabellen_Mat&amp;Bem'!f.Rd.3/'Hilfstabellen_Mat&amp;Bem'!$BD$30)</f>
        <v>3.4917496710046834</v>
      </c>
      <c r="DB8" s="553">
        <f>0.5*(1+'Hilfstabellen_Mat&amp;Bem'!$BD$31*(DA8-0.3)+DA8^2)</f>
        <v>6.7557453660308919</v>
      </c>
      <c r="DC8" s="550">
        <f>MIN(1/(DB8+SQRT(DB8^2-DA8^2)),1)</f>
        <v>7.9750216516235234E-2</v>
      </c>
      <c r="DE8" s="551">
        <f>CY8^2*DC8</f>
        <v>287.10077945844682</v>
      </c>
      <c r="DH8" s="547">
        <f>'Hilfstabellen_Mat&amp;Bem'!$J62</f>
        <v>3.9</v>
      </c>
      <c r="DI8" s="546">
        <f>$C8</f>
        <v>60</v>
      </c>
      <c r="DJ8" s="551">
        <f>$DH$8*10^3/DI8*SQRT(12)</f>
        <v>225.16660498395404</v>
      </c>
      <c r="DK8" s="553">
        <f>DJ8/PI()*SQRT('Hilfstabellen_Mat&amp;Bem'!f.Rd.3/'Hilfstabellen_Mat&amp;Bem'!$BD$30)</f>
        <v>3.5836378202416483</v>
      </c>
      <c r="DL8" s="553">
        <f>0.5*(1+'Hilfstabellen_Mat&amp;Bem'!$BD$31*(DK8-0.3)+DK8^2)</f>
        <v>7.0854119043452393</v>
      </c>
      <c r="DM8" s="550">
        <f>MIN(1/(DL8+SQRT(DL8^2-DK8^2)),1)</f>
        <v>7.5770526483970965E-2</v>
      </c>
      <c r="DO8" s="551">
        <f>DI8^2*DM8</f>
        <v>272.77389534229548</v>
      </c>
      <c r="DR8" s="547">
        <f>'Hilfstabellen_Mat&amp;Bem'!$J63</f>
        <v>4</v>
      </c>
      <c r="DS8" s="546">
        <f>$C8</f>
        <v>60</v>
      </c>
      <c r="DT8" s="551">
        <f>$DR$8*10^3/DS8*SQRT(12)</f>
        <v>230.9401076758503</v>
      </c>
      <c r="DU8" s="553">
        <f>DT8/PI()*SQRT('Hilfstabellen_Mat&amp;Bem'!f.Rd.3/'Hilfstabellen_Mat&amp;Bem'!$BD$30)</f>
        <v>3.6755259694786142</v>
      </c>
      <c r="DV8" s="553">
        <f>0.5*(1+'Hilfstabellen_Mat&amp;Bem'!$BD$31*(DU8-0.3)+DU8^2)</f>
        <v>7.4235218746297846</v>
      </c>
      <c r="DW8" s="550">
        <f>MIN(1/(DV8+SQRT(DV8^2-DU8^2)),1)</f>
        <v>7.2081085661061473E-2</v>
      </c>
      <c r="DY8" s="551">
        <f>DS8^2*DW8</f>
        <v>259.49190837982133</v>
      </c>
      <c r="EB8" s="547">
        <f>'Hilfstabellen_Mat&amp;Bem'!$J64</f>
        <v>4.0999999999999996</v>
      </c>
      <c r="EC8" s="546">
        <f>$C8</f>
        <v>60</v>
      </c>
      <c r="ED8" s="551">
        <f>$EB$8*10^3/EC8*SQRT(12)</f>
        <v>236.71361036774653</v>
      </c>
      <c r="EE8" s="553">
        <f>ED8/PI()*SQRT('Hilfstabellen_Mat&amp;Bem'!f.Rd.3/'Hilfstabellen_Mat&amp;Bem'!$BD$30)</f>
        <v>3.7674141187155783</v>
      </c>
      <c r="EF8" s="553">
        <f>0.5*(1+'Hilfstabellen_Mat&amp;Bem'!$BD$31*(EE8-0.3)+EE8^2)</f>
        <v>7.7700752768845174</v>
      </c>
      <c r="EG8" s="550">
        <f>MIN(1/(EF8+SQRT(EF8^2-EE8^2)),1)</f>
        <v>6.8654391213041954E-2</v>
      </c>
      <c r="EI8" s="551">
        <f>EC8^2*EG8</f>
        <v>247.15580836695102</v>
      </c>
      <c r="EL8" s="547">
        <f>'Hilfstabellen_Mat&amp;Bem'!$J65</f>
        <v>4.2</v>
      </c>
      <c r="EM8" s="546">
        <f>$C8</f>
        <v>60</v>
      </c>
      <c r="EN8" s="551">
        <f>$EL$8*10^3/EM8*SQRT(12)</f>
        <v>242.48711305964281</v>
      </c>
      <c r="EO8" s="553">
        <f>EN8/PI()*SQRT('Hilfstabellen_Mat&amp;Bem'!f.Rd.3/'Hilfstabellen_Mat&amp;Bem'!$BD$30)</f>
        <v>3.8593022679525442</v>
      </c>
      <c r="EP8" s="553">
        <f>0.5*(1+'Hilfstabellen_Mat&amp;Bem'!$BD$31*(EO8-0.3)+EO8^2)</f>
        <v>8.1250721111094535</v>
      </c>
      <c r="EQ8" s="550">
        <f>MIN(1/(EP8+SQRT(EP8^2-EO8^2)),1)</f>
        <v>6.5466114568471082E-2</v>
      </c>
      <c r="ES8" s="551">
        <f>EM8^2*EQ8</f>
        <v>235.6780124464959</v>
      </c>
    </row>
    <row r="9" spans="1:149">
      <c r="A9" s="547"/>
      <c r="C9" s="546">
        <v>61</v>
      </c>
      <c r="D9" s="551">
        <f t="shared" ref="D9:D72" si="6">$B$8*10^3/$C9*SQRT(12)</f>
        <v>159.00794298992969</v>
      </c>
      <c r="E9" s="553">
        <f>$D9/PI()*SQRT('Hilfstabellen_Mat&amp;Bem'!f.Rd.3/'Hilfstabellen_Mat&amp;Bem'!$BD$30)</f>
        <v>2.53069001177216</v>
      </c>
      <c r="F9" s="553">
        <f>0.5*(1+'Hilfstabellen_Mat&amp;Bem'!$BD$31*($E9-0.3)+$E9^2)</f>
        <v>3.813730468430296</v>
      </c>
      <c r="G9" s="550">
        <f t="shared" ref="G9:G72" si="7">MIN(1/($F9+SQRT($F9^2-$E9^2)),1)</f>
        <v>0.14999643859368517</v>
      </c>
      <c r="I9" s="551">
        <f t="shared" ref="I9:I72" si="8">C9^2*G9</f>
        <v>558.13674800710248</v>
      </c>
      <c r="M9" s="546">
        <f t="shared" ref="M9:M72" si="9">$C9</f>
        <v>61</v>
      </c>
      <c r="N9" s="551">
        <f t="shared" si="0"/>
        <v>164.68679809671292</v>
      </c>
      <c r="O9" s="553">
        <f>$N9/PI()*SQRT('Hilfstabellen_Mat&amp;Bem'!f.Rd.3/'Hilfstabellen_Mat&amp;Bem'!$BD$30)</f>
        <v>2.6210717979068807</v>
      </c>
      <c r="P9" s="553">
        <f>0.5*(1+'Hilfstabellen_Mat&amp;Bem'!$BD$31*($O9-0.3)+$O9^2)</f>
        <v>4.051062274786748</v>
      </c>
      <c r="Q9" s="550">
        <f t="shared" si="1"/>
        <v>0.1400574451804307</v>
      </c>
      <c r="S9" s="551">
        <f t="shared" ref="S9:S72" si="10">M9^2*Q9</f>
        <v>521.15375351638261</v>
      </c>
      <c r="W9" s="546">
        <f t="shared" ref="W9:W72" si="11">$C9</f>
        <v>61</v>
      </c>
      <c r="X9" s="551">
        <f t="shared" si="2"/>
        <v>170.36565320349612</v>
      </c>
      <c r="Y9" s="553">
        <f>$X9/PI()*SQRT('Hilfstabellen_Mat&amp;Bem'!f.Rd.3/'Hilfstabellen_Mat&amp;Bem'!$BD$30)</f>
        <v>2.7114535840416005</v>
      </c>
      <c r="Z9" s="553">
        <f>0.5*(1+'Hilfstabellen_Mat&amp;Bem'!$BD$31*($Y9-0.3)+$Y9^2)</f>
        <v>4.2965629484081003</v>
      </c>
      <c r="AA9" s="550">
        <f t="shared" si="3"/>
        <v>0.13107017973207083</v>
      </c>
      <c r="AC9" s="551">
        <f t="shared" ref="AC9:AC72" si="12">W9^2*AA9</f>
        <v>487.71213878303558</v>
      </c>
      <c r="AG9" s="546">
        <f t="shared" ref="AG9:AG72" si="13">$C9</f>
        <v>61</v>
      </c>
      <c r="AH9" s="551">
        <f t="shared" si="4"/>
        <v>176.04450831027933</v>
      </c>
      <c r="AI9" s="553">
        <f>$AH9/PI()*SQRT('Hilfstabellen_Mat&amp;Bem'!f.Rd.3/'Hilfstabellen_Mat&amp;Bem'!$BD$30)</f>
        <v>2.8018353701763203</v>
      </c>
      <c r="AJ9" s="553">
        <f>0.5*(1+'Hilfstabellen_Mat&amp;Bem'!$BD$31*($AI9-0.3)+$AI9^2)</f>
        <v>4.5502324892943555</v>
      </c>
      <c r="AK9" s="550">
        <f t="shared" si="5"/>
        <v>0.12291767235583489</v>
      </c>
      <c r="AM9" s="551">
        <f t="shared" ref="AM9:AM72" si="14">AG9^2*AK9</f>
        <v>457.37665883606167</v>
      </c>
      <c r="AQ9" s="546">
        <f t="shared" ref="AQ9:AQ72" si="15">$C9</f>
        <v>61</v>
      </c>
      <c r="AR9" s="551">
        <f t="shared" ref="AR9:AR71" si="16">$AP$8*10^3/$AQ9*SQRT(12)</f>
        <v>181.72336341706253</v>
      </c>
      <c r="AS9" s="553">
        <f>$AR9/PI()*SQRT('Hilfstabellen_Mat&amp;Bem'!f.Rd.3/'Hilfstabellen_Mat&amp;Bem'!$BD$30)</f>
        <v>2.8922171563110406</v>
      </c>
      <c r="AT9" s="553">
        <f>0.5*(1+'Hilfstabellen_Mat&amp;Bem'!$BD$31*($AS9-0.3)+$AS9^2)</f>
        <v>4.8120708974455138</v>
      </c>
      <c r="AU9" s="550">
        <f t="shared" ref="AU9:AU71" si="17">MIN(1/($AT9+SQRT($AT9^2-$AS9^2)),1)</f>
        <v>0.11550022722478248</v>
      </c>
      <c r="AW9" s="551">
        <f t="shared" ref="AW9:AW72" si="18">AQ9^2*AU9</f>
        <v>429.7763455034156</v>
      </c>
      <c r="BA9" s="546">
        <f>$C9</f>
        <v>61</v>
      </c>
      <c r="BB9" s="551">
        <f>$AZ$8*10^3/$BA9*SQRT(12)</f>
        <v>187.40221852384573</v>
      </c>
      <c r="BC9" s="553">
        <f>$BB9/PI()*SQRT('Hilfstabellen_Mat&amp;Bem'!f.Rd.3/'Hilfstabellen_Mat&amp;Bem'!$BD$30)</f>
        <v>2.9825989424457604</v>
      </c>
      <c r="BD9" s="553">
        <f>0.5*(1+'Hilfstabellen_Mat&amp;Bem'!$BD$31*($BC9-0.3)+$BC9^2)</f>
        <v>5.0820781728615723</v>
      </c>
      <c r="BE9" s="550">
        <f>MIN(1/($BD9+SQRT($BD9^2-$BC9^2)),1)</f>
        <v>0.10873248641905293</v>
      </c>
      <c r="BG9" s="551">
        <f>BA9^2*BE9</f>
        <v>404.59358196529598</v>
      </c>
      <c r="BK9" s="546">
        <f>$C9</f>
        <v>61</v>
      </c>
      <c r="BL9" s="551">
        <f>$BJ$8*10^3/$BK9*SQRT(12)</f>
        <v>193.08107363062894</v>
      </c>
      <c r="BM9" s="553">
        <f>$BL9/PI()*SQRT('Hilfstabellen_Mat&amp;Bem'!f.Rd.3/'Hilfstabellen_Mat&amp;Bem'!$BD$30)</f>
        <v>3.0729807285804807</v>
      </c>
      <c r="BN9" s="553">
        <f>0.5*(1+'Hilfstabellen_Mat&amp;Bem'!$BD$31*($BM9-0.3)+$BM9^2)</f>
        <v>5.3602543155425355</v>
      </c>
      <c r="BO9" s="550">
        <f>MIN(1/($BN9+SQRT($BN9^2-$BM9^2)),1)</f>
        <v>0.10254105025641014</v>
      </c>
      <c r="BQ9" s="551">
        <f>BK9^2*BO9</f>
        <v>381.55524800410211</v>
      </c>
      <c r="BU9" s="546">
        <f>$C9</f>
        <v>61</v>
      </c>
      <c r="BV9" s="551">
        <f>$BT$8*10^3/$BU9*SQRT(12)</f>
        <v>198.75992873741214</v>
      </c>
      <c r="BW9" s="553">
        <f>$BV9/PI()*SQRT('Hilfstabellen_Mat&amp;Bem'!f.Rd.3/'Hilfstabellen_Mat&amp;Bem'!$BD$30)</f>
        <v>3.1633625147152005</v>
      </c>
      <c r="BX9" s="553">
        <f>0.5*(1+'Hilfstabellen_Mat&amp;Bem'!$BD$31*($BW9-0.3)+$BW9^2)</f>
        <v>5.6465993254883982</v>
      </c>
      <c r="BY9" s="550">
        <f>MIN(1/($BX9+SQRT($BX9^2-$BW9^2)),1)</f>
        <v>9.6862539565956363E-2</v>
      </c>
      <c r="CA9" s="551">
        <f>BU9^2*BY9</f>
        <v>360.42550972492364</v>
      </c>
      <c r="CE9" s="546">
        <f>$C9</f>
        <v>61</v>
      </c>
      <c r="CF9" s="551">
        <f>$CD$8*10^3/CE9*SQRT(12)</f>
        <v>204.43878384419534</v>
      </c>
      <c r="CG9" s="553">
        <f>CF9/PI()*SQRT('Hilfstabellen_Mat&amp;Bem'!f.Rd.3/'Hilfstabellen_Mat&amp;Bem'!$BD$30)</f>
        <v>3.2537443008499203</v>
      </c>
      <c r="CH9" s="553">
        <f>0.5*(1+'Hilfstabellen_Mat&amp;Bem'!$BD$31*(CG9-0.3)+CG9^2)</f>
        <v>5.9411132026991647</v>
      </c>
      <c r="CI9" s="550">
        <f>MIN(1/(CH9+SQRT(CH9^2-CG9^2)),1)</f>
        <v>9.1642010321596842E-2</v>
      </c>
      <c r="CK9" s="551">
        <f>CE9^2*CI9</f>
        <v>340.99992040666183</v>
      </c>
      <c r="CO9" s="546">
        <f>$C9</f>
        <v>61</v>
      </c>
      <c r="CP9" s="551">
        <f>$CN$8*10^3/CO9*SQRT(12)</f>
        <v>210.11763895097855</v>
      </c>
      <c r="CQ9" s="553">
        <f>CP9/PI()*SQRT('Hilfstabellen_Mat&amp;Bem'!f.Rd.3/'Hilfstabellen_Mat&amp;Bem'!$BD$30)</f>
        <v>3.3441260869846405</v>
      </c>
      <c r="CR9" s="553">
        <f>0.5*(1+'Hilfstabellen_Mat&amp;Bem'!$BD$31*(CQ9-0.3)+CQ9^2)</f>
        <v>6.2437959471748332</v>
      </c>
      <c r="CS9" s="550">
        <f>MIN(1/(CR9+SQRT(CR9^2-CQ9^2)),1)</f>
        <v>8.6831650426547904E-2</v>
      </c>
      <c r="CU9" s="551">
        <f>CO9^2*CS9</f>
        <v>323.10057123718474</v>
      </c>
      <c r="CY9" s="546">
        <f>$C9</f>
        <v>61</v>
      </c>
      <c r="CZ9" s="551">
        <f>$CX$8*10^3/CY9*SQRT(12)</f>
        <v>215.79649405776175</v>
      </c>
      <c r="DA9" s="553">
        <f>CZ9/PI()*SQRT('Hilfstabellen_Mat&amp;Bem'!f.Rd.3/'Hilfstabellen_Mat&amp;Bem'!$BD$30)</f>
        <v>3.4345078731193603</v>
      </c>
      <c r="DB9" s="553">
        <f>0.5*(1+'Hilfstabellen_Mat&amp;Bem'!$BD$31*(DA9-0.3)+DA9^2)</f>
        <v>6.5546475589154038</v>
      </c>
      <c r="DC9" s="550">
        <f>MIN(1/(DB9+SQRT(DB9^2-DA9^2)),1)</f>
        <v>8.2389703452167243E-2</v>
      </c>
      <c r="DE9" s="551">
        <f>CY9^2*DC9</f>
        <v>306.57208654551431</v>
      </c>
      <c r="DI9" s="546">
        <f>$C9</f>
        <v>61</v>
      </c>
      <c r="DJ9" s="551">
        <f>$DH$8*10^3/DI9*SQRT(12)</f>
        <v>221.47534916454495</v>
      </c>
      <c r="DK9" s="553">
        <f>DJ9/PI()*SQRT('Hilfstabellen_Mat&amp;Bem'!f.Rd.3/'Hilfstabellen_Mat&amp;Bem'!$BD$30)</f>
        <v>3.5248896592540806</v>
      </c>
      <c r="DL9" s="553">
        <f>0.5*(1+'Hilfstabellen_Mat&amp;Bem'!$BD$31*(DK9-0.3)+DK9^2)</f>
        <v>6.8736680379208774</v>
      </c>
      <c r="DM9" s="550">
        <f>MIN(1/(DL9+SQRT(DL9^2-DK9^2)),1)</f>
        <v>7.8279575773184673E-2</v>
      </c>
      <c r="DO9" s="551">
        <f>DI9^2*DM9</f>
        <v>291.27830145202017</v>
      </c>
      <c r="DS9" s="546">
        <f>$C9</f>
        <v>61</v>
      </c>
      <c r="DT9" s="551">
        <f>$DR$8*10^3/DS9*SQRT(12)</f>
        <v>227.15420427132813</v>
      </c>
      <c r="DU9" s="553">
        <f>DT9/PI()*SQRT('Hilfstabellen_Mat&amp;Bem'!f.Rd.3/'Hilfstabellen_Mat&amp;Bem'!$BD$30)</f>
        <v>3.6152714453887995</v>
      </c>
      <c r="DV9" s="553">
        <f>0.5*(1+'Hilfstabellen_Mat&amp;Bem'!$BD$31*(DU9-0.3)+DU9^2)</f>
        <v>7.2008573841912495</v>
      </c>
      <c r="DW9" s="550">
        <f>MIN(1/(DV9+SQRT(DV9^2-DU9^2)),1)</f>
        <v>7.4469092583723098E-2</v>
      </c>
      <c r="DY9" s="551">
        <f>DS9^2*DW9</f>
        <v>277.09949350403366</v>
      </c>
      <c r="EC9" s="546">
        <f>$C9</f>
        <v>61</v>
      </c>
      <c r="ED9" s="551">
        <f>$EB$8*10^3/EC9*SQRT(12)</f>
        <v>232.83305937811136</v>
      </c>
      <c r="EE9" s="553">
        <f>ED9/PI()*SQRT('Hilfstabellen_Mat&amp;Bem'!f.Rd.3/'Hilfstabellen_Mat&amp;Bem'!$BD$30)</f>
        <v>3.7056532315235202</v>
      </c>
      <c r="EF9" s="553">
        <f>0.5*(1+'Hilfstabellen_Mat&amp;Bem'!$BD$31*(EE9-0.3)+EE9^2)</f>
        <v>7.5362155977265308</v>
      </c>
      <c r="EG9" s="550">
        <f>MIN(1/(EF9+SQRT(EF9^2-EE9^2)),1)</f>
        <v>7.0929875324734562E-2</v>
      </c>
      <c r="EI9" s="551">
        <f>EC9^2*EG9</f>
        <v>263.93006608333729</v>
      </c>
      <c r="EM9" s="546">
        <f>$C9</f>
        <v>61</v>
      </c>
      <c r="EN9" s="551">
        <f>$EL$8*10^3/EM9*SQRT(12)</f>
        <v>238.51191448489456</v>
      </c>
      <c r="EO9" s="553">
        <f>EN9/PI()*SQRT('Hilfstabellen_Mat&amp;Bem'!f.Rd.3/'Hilfstabellen_Mat&amp;Bem'!$BD$30)</f>
        <v>3.7960350176582405</v>
      </c>
      <c r="EP9" s="553">
        <f>0.5*(1+'Hilfstabellen_Mat&amp;Bem'!$BD$31*(EO9-0.3)+EO9^2)</f>
        <v>7.8797426785267106</v>
      </c>
      <c r="EQ9" s="550">
        <f>MIN(1/(EP9+SQRT(EP9^2-EO9^2)),1)</f>
        <v>6.7636818564042259E-2</v>
      </c>
      <c r="ES9" s="551">
        <f>EM9^2*EQ9</f>
        <v>251.67660187680124</v>
      </c>
    </row>
    <row r="10" spans="1:149">
      <c r="A10" s="547"/>
      <c r="C10" s="546">
        <v>62</v>
      </c>
      <c r="D10" s="551">
        <f t="shared" si="6"/>
        <v>156.44329874815665</v>
      </c>
      <c r="E10" s="553">
        <f>$D10/PI()*SQRT('Hilfstabellen_Mat&amp;Bem'!f.Rd.3/'Hilfstabellen_Mat&amp;Bem'!$BD$30)</f>
        <v>2.4898724309371256</v>
      </c>
      <c r="F10" s="553">
        <f>0.5*(1+'Hilfstabellen_Mat&amp;Bem'!$BD$31*($E10-0.3)+$E10^2)</f>
        <v>3.709225982717232</v>
      </c>
      <c r="G10" s="550">
        <f t="shared" si="7"/>
        <v>0.1548330351717187</v>
      </c>
      <c r="I10" s="551">
        <f t="shared" si="8"/>
        <v>595.17818720008665</v>
      </c>
      <c r="M10" s="546">
        <f t="shared" si="9"/>
        <v>62</v>
      </c>
      <c r="N10" s="551">
        <f t="shared" si="0"/>
        <v>162.03055941773368</v>
      </c>
      <c r="O10" s="553">
        <f>$N10/PI()*SQRT('Hilfstabellen_Mat&amp;Bem'!f.Rd.3/'Hilfstabellen_Mat&amp;Bem'!$BD$30)</f>
        <v>2.5787964463277375</v>
      </c>
      <c r="P10" s="553">
        <f>0.5*(1+'Hilfstabellen_Mat&amp;Bem'!$BD$31*($O10-0.3)+$O10^2)</f>
        <v>3.9390353781126706</v>
      </c>
      <c r="Q10" s="550">
        <f t="shared" si="1"/>
        <v>0.14457999630610729</v>
      </c>
      <c r="S10" s="551">
        <f t="shared" si="10"/>
        <v>555.76550580067646</v>
      </c>
      <c r="W10" s="546">
        <f t="shared" si="11"/>
        <v>62</v>
      </c>
      <c r="X10" s="551">
        <f t="shared" si="2"/>
        <v>167.61782008731072</v>
      </c>
      <c r="Y10" s="553">
        <f>$X10/PI()*SQRT('Hilfstabellen_Mat&amp;Bem'!f.Rd.3/'Hilfstabellen_Mat&amp;Bem'!$BD$30)</f>
        <v>2.667720461718349</v>
      </c>
      <c r="Z10" s="553">
        <f>0.5*(1+'Hilfstabellen_Mat&amp;Bem'!$BD$31*($Y10-0.3)+$Y10^2)</f>
        <v>4.1767522540212978</v>
      </c>
      <c r="AA10" s="550">
        <f t="shared" si="3"/>
        <v>0.13530783877920946</v>
      </c>
      <c r="AC10" s="551">
        <f t="shared" si="12"/>
        <v>520.12333226728117</v>
      </c>
      <c r="AG10" s="546">
        <f t="shared" si="13"/>
        <v>62</v>
      </c>
      <c r="AH10" s="551">
        <f t="shared" si="4"/>
        <v>173.20508075688772</v>
      </c>
      <c r="AI10" s="553">
        <f>$AH10/PI()*SQRT('Hilfstabellen_Mat&amp;Bem'!f.Rd.3/'Hilfstabellen_Mat&amp;Bem'!$BD$30)</f>
        <v>2.7566444771089604</v>
      </c>
      <c r="AJ10" s="553">
        <f>0.5*(1+'Hilfstabellen_Mat&amp;Bem'!$BD$31*($AI10-0.3)+$AI10^2)</f>
        <v>4.4223766104431146</v>
      </c>
      <c r="AK10" s="550">
        <f t="shared" si="5"/>
        <v>0.12689617969031575</v>
      </c>
      <c r="AM10" s="551">
        <f t="shared" si="14"/>
        <v>487.78891472957372</v>
      </c>
      <c r="AQ10" s="546">
        <f t="shared" si="15"/>
        <v>62</v>
      </c>
      <c r="AR10" s="551">
        <f t="shared" si="16"/>
        <v>178.79234142646473</v>
      </c>
      <c r="AS10" s="553">
        <f>$AR10/PI()*SQRT('Hilfstabellen_Mat&amp;Bem'!f.Rd.3/'Hilfstabellen_Mat&amp;Bem'!$BD$30)</f>
        <v>2.8455684924995719</v>
      </c>
      <c r="AT10" s="553">
        <f>0.5*(1+'Hilfstabellen_Mat&amp;Bem'!$BD$31*($AS10-0.3)+$AS10^2)</f>
        <v>4.6759084473781209</v>
      </c>
      <c r="AU10" s="550">
        <f t="shared" si="17"/>
        <v>0.11924237642267732</v>
      </c>
      <c r="AW10" s="551">
        <f t="shared" si="18"/>
        <v>458.36769496877162</v>
      </c>
      <c r="BA10" s="546">
        <f t="shared" ref="BA10:BA73" si="19">$C10</f>
        <v>62</v>
      </c>
      <c r="BB10" s="551">
        <f t="shared" ref="BB10:BB73" si="20">$AZ$8*10^3/$BA10*SQRT(12)</f>
        <v>184.37960209604176</v>
      </c>
      <c r="BC10" s="553">
        <f>$BB10/PI()*SQRT('Hilfstabellen_Mat&amp;Bem'!f.Rd.3/'Hilfstabellen_Mat&amp;Bem'!$BD$30)</f>
        <v>2.9344925078901838</v>
      </c>
      <c r="BD10" s="553">
        <f>0.5*(1+'Hilfstabellen_Mat&amp;Bem'!$BD$31*($BC10-0.3)+$BC10^2)</f>
        <v>4.9373477648263187</v>
      </c>
      <c r="BE10" s="550">
        <f t="shared" ref="BE10:BE73" si="21">MIN(1/($BD10+SQRT($BD10^2-$BC10^2)),1)</f>
        <v>0.11225852093277319</v>
      </c>
      <c r="BG10" s="551">
        <f t="shared" ref="BG10:BG73" si="22">BA10^2*BE10</f>
        <v>431.52175446558016</v>
      </c>
      <c r="BK10" s="546">
        <f t="shared" ref="BK10:BK73" si="23">$C10</f>
        <v>62</v>
      </c>
      <c r="BL10" s="551">
        <f t="shared" ref="BL10:BL73" si="24">$BJ$8*10^3/$BK10*SQRT(12)</f>
        <v>189.96686276561877</v>
      </c>
      <c r="BM10" s="553">
        <f>$BL10/PI()*SQRT('Hilfstabellen_Mat&amp;Bem'!f.Rd.3/'Hilfstabellen_Mat&amp;Bem'!$BD$30)</f>
        <v>3.0234165232807948</v>
      </c>
      <c r="BN10" s="553">
        <f>0.5*(1+'Hilfstabellen_Mat&amp;Bem'!$BD$31*($BM10-0.3)+$BM10^2)</f>
        <v>5.2066945627877033</v>
      </c>
      <c r="BO10" s="550">
        <f t="shared" ref="BO10:BO73" si="25">MIN(1/($BN10+SQRT($BN10^2-$BM10^2)),1)</f>
        <v>0.10586900091685081</v>
      </c>
      <c r="BQ10" s="551">
        <f t="shared" ref="BQ10:BQ73" si="26">BK10^2*BO10</f>
        <v>406.96043952437452</v>
      </c>
      <c r="BU10" s="546">
        <f t="shared" ref="BU10:BU73" si="27">$C10</f>
        <v>62</v>
      </c>
      <c r="BV10" s="551">
        <f t="shared" ref="BV10:BV73" si="28">$BT$8*10^3/$BU10*SQRT(12)</f>
        <v>195.55412343519581</v>
      </c>
      <c r="BW10" s="553">
        <f>$BV10/PI()*SQRT('Hilfstabellen_Mat&amp;Bem'!f.Rd.3/'Hilfstabellen_Mat&amp;Bem'!$BD$30)</f>
        <v>3.1123405386714067</v>
      </c>
      <c r="BX10" s="553">
        <f>0.5*(1+'Hilfstabellen_Mat&amp;Bem'!$BD$31*($BW10-0.3)+$BW10^2)</f>
        <v>5.4839488412622819</v>
      </c>
      <c r="BY10" s="550">
        <f t="shared" ref="BY10:BY73" si="29">MIN(1/($BX10+SQRT($BX10^2-$BW10^2)),1)</f>
        <v>0.10000851206279285</v>
      </c>
      <c r="CA10" s="551">
        <f t="shared" ref="CA10:CA73" si="30">BU10^2*BY10</f>
        <v>384.43272036937572</v>
      </c>
      <c r="CE10" s="546">
        <f t="shared" ref="CE10:CE73" si="31">$C10</f>
        <v>62</v>
      </c>
      <c r="CF10" s="551">
        <f t="shared" ref="CF10:CF73" si="32">$CD$8*10^3/CE10*SQRT(12)</f>
        <v>201.14138410477284</v>
      </c>
      <c r="CG10" s="553">
        <f>CF10/PI()*SQRT('Hilfstabellen_Mat&amp;Bem'!f.Rd.3/'Hilfstabellen_Mat&amp;Bem'!$BD$30)</f>
        <v>3.2012645540620186</v>
      </c>
      <c r="CH10" s="553">
        <f>0.5*(1+'Hilfstabellen_Mat&amp;Bem'!$BD$31*(CG10-0.3)+CG10^2)</f>
        <v>5.7691106002500483</v>
      </c>
      <c r="CI10" s="550">
        <f t="shared" ref="CI10:CI73" si="33">MIN(1/(CH10+SQRT(CH10^2-CG10^2)),1)</f>
        <v>9.4620430516152862E-2</v>
      </c>
      <c r="CK10" s="551">
        <f t="shared" ref="CK10:CK73" si="34">CE10^2*CI10</f>
        <v>363.72093490409162</v>
      </c>
      <c r="CO10" s="546">
        <f t="shared" ref="CO10:CO73" si="35">$C10</f>
        <v>62</v>
      </c>
      <c r="CP10" s="551">
        <f t="shared" ref="CP10:CP73" si="36">$CN$8*10^3/CO10*SQRT(12)</f>
        <v>206.72864477434987</v>
      </c>
      <c r="CQ10" s="553">
        <f>CP10/PI()*SQRT('Hilfstabellen_Mat&amp;Bem'!f.Rd.3/'Hilfstabellen_Mat&amp;Bem'!$BD$30)</f>
        <v>3.2901885694526301</v>
      </c>
      <c r="CR10" s="553">
        <f>0.5*(1+'Hilfstabellen_Mat&amp;Bem'!$BD$31*(CQ10-0.3)+CQ10^2)</f>
        <v>6.0621798397510034</v>
      </c>
      <c r="CS10" s="550">
        <f t="shared" ref="CS10:CS73" si="37">MIN(1/(CR10+SQRT(CR10^2-CQ10^2)),1)</f>
        <v>8.9655474152363315E-2</v>
      </c>
      <c r="CU10" s="551">
        <f t="shared" ref="CU10:CU73" si="38">CO10^2*CS10</f>
        <v>344.63564264168457</v>
      </c>
      <c r="CY10" s="546">
        <f t="shared" ref="CY10:CY73" si="39">$C10</f>
        <v>62</v>
      </c>
      <c r="CZ10" s="551">
        <f t="shared" ref="CZ10:CZ73" si="40">$CX$8*10^3/CY10*SQRT(12)</f>
        <v>212.31590544392688</v>
      </c>
      <c r="DA10" s="553">
        <f>CZ10/PI()*SQRT('Hilfstabellen_Mat&amp;Bem'!f.Rd.3/'Hilfstabellen_Mat&amp;Bem'!$BD$30)</f>
        <v>3.3791125848432415</v>
      </c>
      <c r="DB10" s="553">
        <f>0.5*(1+'Hilfstabellen_Mat&amp;Bem'!$BD$31*(DA10-0.3)+DA10^2)</f>
        <v>6.3631565597651489</v>
      </c>
      <c r="DC10" s="550">
        <f t="shared" ref="DC10:DC73" si="41">MIN(1/(DB10+SQRT(DB10^2-DA10^2)),1)</f>
        <v>8.5070596397511591E-2</v>
      </c>
      <c r="DE10" s="551">
        <f t="shared" ref="DE10:DE73" si="42">CY10^2*DC10</f>
        <v>327.01137255203457</v>
      </c>
      <c r="DI10" s="546">
        <f t="shared" ref="DI10:DI73" si="43">$C10</f>
        <v>62</v>
      </c>
      <c r="DJ10" s="551">
        <f t="shared" ref="DJ10:DJ73" si="44">$DH$8*10^3/DI10*SQRT(12)</f>
        <v>217.90316611350391</v>
      </c>
      <c r="DK10" s="553">
        <f>DJ10/PI()*SQRT('Hilfstabellen_Mat&amp;Bem'!f.Rd.3/'Hilfstabellen_Mat&amp;Bem'!$BD$30)</f>
        <v>3.4680366002338534</v>
      </c>
      <c r="DL10" s="553">
        <f>0.5*(1+'Hilfstabellen_Mat&amp;Bem'!$BD$31*(DK10-0.3)+DK10^2)</f>
        <v>6.6720407602924849</v>
      </c>
      <c r="DM10" s="550">
        <f t="shared" ref="DM10:DM73" si="45">MIN(1/(DL10+SQRT(DL10^2-DK10^2)),1)</f>
        <v>8.0828068127690611E-2</v>
      </c>
      <c r="DO10" s="551">
        <f t="shared" ref="DO10:DO73" si="46">DI10^2*DM10</f>
        <v>310.70309388284272</v>
      </c>
      <c r="DS10" s="546">
        <f t="shared" ref="DS10:DS73" si="47">$C10</f>
        <v>62</v>
      </c>
      <c r="DT10" s="551">
        <f t="shared" ref="DT10:DT73" si="48">$DR$8*10^3/DS10*SQRT(12)</f>
        <v>223.49042678308092</v>
      </c>
      <c r="DU10" s="553">
        <f>DT10/PI()*SQRT('Hilfstabellen_Mat&amp;Bem'!f.Rd.3/'Hilfstabellen_Mat&amp;Bem'!$BD$30)</f>
        <v>3.5569606156244649</v>
      </c>
      <c r="DV10" s="553">
        <f>0.5*(1+'Hilfstabellen_Mat&amp;Bem'!$BD$31*(DU10-0.3)+DU10^2)</f>
        <v>6.9888324413330096</v>
      </c>
      <c r="DW10" s="550">
        <f t="shared" ref="DW10:DW73" si="49">MIN(1/(DV10+SQRT(DV10^2-DU10^2)),1)</f>
        <v>7.689471236016214E-2</v>
      </c>
      <c r="DY10" s="551">
        <f t="shared" ref="DY10:DY73" si="50">DS10^2*DW10</f>
        <v>295.58327431246329</v>
      </c>
      <c r="EC10" s="546">
        <f t="shared" ref="EC10:EC73" si="51">$C10</f>
        <v>62</v>
      </c>
      <c r="ED10" s="551">
        <f t="shared" ref="ED10:ED73" si="52">$EB$8*10^3/EC10*SQRT(12)</f>
        <v>229.07768745265793</v>
      </c>
      <c r="EE10" s="553">
        <f>ED10/PI()*SQRT('Hilfstabellen_Mat&amp;Bem'!f.Rd.3/'Hilfstabellen_Mat&amp;Bem'!$BD$30)</f>
        <v>3.6458846310150763</v>
      </c>
      <c r="EF10" s="553">
        <f>0.5*(1+'Hilfstabellen_Mat&amp;Bem'!$BD$31*(EE10-0.3)+EE10^2)</f>
        <v>7.313531602886723</v>
      </c>
      <c r="EG10" s="550">
        <f t="shared" ref="EG10:EG73" si="53">MIN(1/(EF10+SQRT(EF10^2-EE10^2)),1)</f>
        <v>7.3241263621370248E-2</v>
      </c>
      <c r="EI10" s="551">
        <f t="shared" ref="EI10:EI73" si="54">EC10^2*EG10</f>
        <v>281.53941736054725</v>
      </c>
      <c r="EM10" s="546">
        <f t="shared" ref="EM10:EM73" si="55">$C10</f>
        <v>62</v>
      </c>
      <c r="EN10" s="551">
        <f t="shared" ref="EN10:EN73" si="56">$EL$8*10^3/EM10*SQRT(12)</f>
        <v>234.66494812223496</v>
      </c>
      <c r="EO10" s="553">
        <f>EN10/PI()*SQRT('Hilfstabellen_Mat&amp;Bem'!f.Rd.3/'Hilfstabellen_Mat&amp;Bem'!$BD$30)</f>
        <v>3.7348086464056878</v>
      </c>
      <c r="EP10" s="553">
        <f>0.5*(1+'Hilfstabellen_Mat&amp;Bem'!$BD$31*(EO10-0.3)+EO10^2)</f>
        <v>7.6461382449536268</v>
      </c>
      <c r="EQ10" s="550">
        <f t="shared" ref="EQ10:EQ73" si="57">MIN(1/(EP10+SQRT(EP10^2-EO10^2)),1)</f>
        <v>6.9841829495618665E-2</v>
      </c>
      <c r="ES10" s="551">
        <f t="shared" ref="ES10:ES73" si="58">EM10^2*EQ10</f>
        <v>268.47199258115813</v>
      </c>
    </row>
    <row r="11" spans="1:149">
      <c r="A11" s="547"/>
      <c r="C11" s="546">
        <v>63</v>
      </c>
      <c r="D11" s="551">
        <f t="shared" si="6"/>
        <v>153.96007178390019</v>
      </c>
      <c r="E11" s="553">
        <f>$D11/PI()*SQRT('Hilfstabellen_Mat&amp;Bem'!f.Rd.3/'Hilfstabellen_Mat&amp;Bem'!$BD$30)</f>
        <v>2.4503506463190758</v>
      </c>
      <c r="F11" s="553">
        <f>0.5*(1+'Hilfstabellen_Mat&amp;Bem'!$BD$31*($E11-0.3)+$E11^2)</f>
        <v>3.6096266772741101</v>
      </c>
      <c r="G11" s="550">
        <f t="shared" si="7"/>
        <v>0.15974100212602155</v>
      </c>
      <c r="I11" s="551">
        <f t="shared" si="8"/>
        <v>634.0120374381795</v>
      </c>
      <c r="M11" s="546">
        <f t="shared" si="9"/>
        <v>63</v>
      </c>
      <c r="N11" s="551">
        <f t="shared" si="0"/>
        <v>159.45864577618235</v>
      </c>
      <c r="O11" s="553">
        <f>$N11/PI()*SQRT('Hilfstabellen_Mat&amp;Bem'!f.Rd.3/'Hilfstabellen_Mat&amp;Bem'!$BD$30)</f>
        <v>2.5378631694019003</v>
      </c>
      <c r="P11" s="553">
        <f>0.5*(1+'Hilfstabellen_Mat&amp;Bem'!$BD$31*($O11-0.3)+$O11^2)</f>
        <v>3.8322678917734243</v>
      </c>
      <c r="Q11" s="550">
        <f t="shared" si="1"/>
        <v>0.14916978244523013</v>
      </c>
      <c r="S11" s="551">
        <f t="shared" si="10"/>
        <v>592.05486652511843</v>
      </c>
      <c r="W11" s="546">
        <f t="shared" si="11"/>
        <v>63</v>
      </c>
      <c r="X11" s="551">
        <f t="shared" si="2"/>
        <v>164.95721976846451</v>
      </c>
      <c r="Y11" s="553">
        <f>$X11/PI()*SQRT('Hilfstabellen_Mat&amp;Bem'!f.Rd.3/'Hilfstabellen_Mat&amp;Bem'!$BD$30)</f>
        <v>2.6253756924847242</v>
      </c>
      <c r="Z11" s="553">
        <f>0.5*(1+'Hilfstabellen_Mat&amp;Bem'!$BD$31*($Y11-0.3)+$Y11^2)</f>
        <v>4.0625675479690591</v>
      </c>
      <c r="AA11" s="550">
        <f t="shared" si="3"/>
        <v>0.13960889970069371</v>
      </c>
      <c r="AC11" s="551">
        <f t="shared" si="12"/>
        <v>554.1077229120533</v>
      </c>
      <c r="AG11" s="546">
        <f t="shared" si="13"/>
        <v>63</v>
      </c>
      <c r="AH11" s="551">
        <f t="shared" si="4"/>
        <v>170.45579376074664</v>
      </c>
      <c r="AI11" s="553">
        <f>$AH11/PI()*SQRT('Hilfstabellen_Mat&amp;Bem'!f.Rd.3/'Hilfstabellen_Mat&amp;Bem'!$BD$30)</f>
        <v>2.7128882155675482</v>
      </c>
      <c r="AJ11" s="553">
        <f>0.5*(1+'Hilfstabellen_Mat&amp;Bem'!$BD$31*($AI11-0.3)+$AI11^2)</f>
        <v>4.3005256458610157</v>
      </c>
      <c r="AK11" s="550">
        <f t="shared" si="5"/>
        <v>0.13093453957081208</v>
      </c>
      <c r="AM11" s="551">
        <f t="shared" si="14"/>
        <v>519.67918755655319</v>
      </c>
      <c r="AQ11" s="546">
        <f t="shared" si="15"/>
        <v>63</v>
      </c>
      <c r="AR11" s="551">
        <f t="shared" si="16"/>
        <v>175.95436775302878</v>
      </c>
      <c r="AS11" s="553">
        <f>$AR11/PI()*SQRT('Hilfstabellen_Mat&amp;Bem'!f.Rd.3/'Hilfstabellen_Mat&amp;Bem'!$BD$30)</f>
        <v>2.8004007386503722</v>
      </c>
      <c r="AT11" s="553">
        <f>0.5*(1+'Hilfstabellen_Mat&amp;Bem'!$BD$31*($AS11-0.3)+$AS11^2)</f>
        <v>4.5461421854492938</v>
      </c>
      <c r="AU11" s="550">
        <f t="shared" si="17"/>
        <v>0.12304109253105015</v>
      </c>
      <c r="AW11" s="551">
        <f t="shared" si="18"/>
        <v>488.35009625573804</v>
      </c>
      <c r="BA11" s="546">
        <f t="shared" si="19"/>
        <v>63</v>
      </c>
      <c r="BB11" s="551">
        <f t="shared" si="20"/>
        <v>181.45294174531094</v>
      </c>
      <c r="BC11" s="553">
        <f>$BB11/PI()*SQRT('Hilfstabellen_Mat&amp;Bem'!f.Rd.3/'Hilfstabellen_Mat&amp;Bem'!$BD$30)</f>
        <v>2.8879132617331962</v>
      </c>
      <c r="BD11" s="553">
        <f>0.5*(1+'Hilfstabellen_Mat&amp;Bem'!$BD$31*($BC11-0.3)+$BC11^2)</f>
        <v>4.7994171667338943</v>
      </c>
      <c r="BE11" s="550">
        <f t="shared" si="21"/>
        <v>0.11583808007225406</v>
      </c>
      <c r="BG11" s="551">
        <f t="shared" si="22"/>
        <v>459.76133980677639</v>
      </c>
      <c r="BK11" s="546">
        <f t="shared" si="23"/>
        <v>63</v>
      </c>
      <c r="BL11" s="551">
        <f t="shared" si="24"/>
        <v>186.9515157375931</v>
      </c>
      <c r="BM11" s="553">
        <f>$BL11/PI()*SQRT('Hilfstabellen_Mat&amp;Bem'!f.Rd.3/'Hilfstabellen_Mat&amp;Bem'!$BD$30)</f>
        <v>2.9754257848160206</v>
      </c>
      <c r="BN11" s="553">
        <f>0.5*(1+'Hilfstabellen_Mat&amp;Bem'!$BD$31*($BM11-0.3)+$BM11^2)</f>
        <v>5.0603505897148171</v>
      </c>
      <c r="BO11" s="550">
        <f t="shared" si="25"/>
        <v>0.10924765754580003</v>
      </c>
      <c r="BQ11" s="551">
        <f t="shared" si="26"/>
        <v>433.60395279928031</v>
      </c>
      <c r="BU11" s="546">
        <f t="shared" si="27"/>
        <v>63</v>
      </c>
      <c r="BV11" s="551">
        <f t="shared" si="28"/>
        <v>192.45008972987526</v>
      </c>
      <c r="BW11" s="553">
        <f>$BV11/PI()*SQRT('Hilfstabellen_Mat&amp;Bem'!f.Rd.3/'Hilfstabellen_Mat&amp;Bem'!$BD$30)</f>
        <v>3.062938307898845</v>
      </c>
      <c r="BX11" s="553">
        <f>0.5*(1+'Hilfstabellen_Mat&amp;Bem'!$BD$31*($BW11-0.3)+$BW11^2)</f>
        <v>5.3289424543920623</v>
      </c>
      <c r="BY11" s="550">
        <f t="shared" si="29"/>
        <v>0.10320257684745876</v>
      </c>
      <c r="CA11" s="551">
        <f t="shared" si="30"/>
        <v>409.61102750756385</v>
      </c>
      <c r="CE11" s="546">
        <f t="shared" si="31"/>
        <v>63</v>
      </c>
      <c r="CF11" s="551">
        <f t="shared" si="32"/>
        <v>197.94866372215739</v>
      </c>
      <c r="CG11" s="553">
        <f>CF11/PI()*SQRT('Hilfstabellen_Mat&amp;Bem'!f.Rd.3/'Hilfstabellen_Mat&amp;Bem'!$BD$30)</f>
        <v>3.150450830981669</v>
      </c>
      <c r="CH11" s="553">
        <f>0.5*(1+'Hilfstabellen_Mat&amp;Bem'!$BD$31*(CG11-0.3)+CG11^2)</f>
        <v>5.605192760765628</v>
      </c>
      <c r="CI11" s="550">
        <f t="shared" si="33"/>
        <v>9.7644516933586098E-2</v>
      </c>
      <c r="CK11" s="551">
        <f t="shared" si="34"/>
        <v>387.55108770940325</v>
      </c>
      <c r="CO11" s="546">
        <f t="shared" si="35"/>
        <v>63</v>
      </c>
      <c r="CP11" s="551">
        <f t="shared" si="36"/>
        <v>203.44723771443952</v>
      </c>
      <c r="CQ11" s="553">
        <f>CP11/PI()*SQRT('Hilfstabellen_Mat&amp;Bem'!f.Rd.3/'Hilfstabellen_Mat&amp;Bem'!$BD$30)</f>
        <v>3.2379633540644925</v>
      </c>
      <c r="CR11" s="553">
        <f>0.5*(1+'Hilfstabellen_Mat&amp;Bem'!$BD$31*(CQ11-0.3)+CQ11^2)</f>
        <v>5.8891015088355143</v>
      </c>
      <c r="CS11" s="550">
        <f t="shared" si="37"/>
        <v>9.2522709656368024E-2</v>
      </c>
      <c r="CU11" s="551">
        <f t="shared" si="38"/>
        <v>367.22263462612466</v>
      </c>
      <c r="CY11" s="546">
        <f t="shared" si="39"/>
        <v>63</v>
      </c>
      <c r="CZ11" s="551">
        <f t="shared" si="40"/>
        <v>208.94581170672168</v>
      </c>
      <c r="DA11" s="553">
        <f>CZ11/PI()*SQRT('Hilfstabellen_Mat&amp;Bem'!f.Rd.3/'Hilfstabellen_Mat&amp;Bem'!$BD$30)</f>
        <v>3.3254758771473174</v>
      </c>
      <c r="DB11" s="553">
        <f>0.5*(1+'Hilfstabellen_Mat&amp;Bem'!$BD$31*(DA11-0.3)+DA11^2)</f>
        <v>6.1806686986017265</v>
      </c>
      <c r="DC11" s="550">
        <f t="shared" si="41"/>
        <v>8.7792803657916779E-2</v>
      </c>
      <c r="DE11" s="551">
        <f t="shared" si="42"/>
        <v>348.44963771827167</v>
      </c>
      <c r="DI11" s="546">
        <f t="shared" si="43"/>
        <v>63</v>
      </c>
      <c r="DJ11" s="551">
        <f t="shared" si="44"/>
        <v>214.44438569900385</v>
      </c>
      <c r="DK11" s="553">
        <f>DJ11/PI()*SQRT('Hilfstabellen_Mat&amp;Bem'!f.Rd.3/'Hilfstabellen_Mat&amp;Bem'!$BD$30)</f>
        <v>3.4129884002301409</v>
      </c>
      <c r="DL11" s="553">
        <f>0.5*(1+'Hilfstabellen_Mat&amp;Bem'!$BD$31*(DK11-0.3)+DK11^2)</f>
        <v>6.4798943300642549</v>
      </c>
      <c r="DM11" s="550">
        <f t="shared" si="45"/>
        <v>8.3415920977392699E-2</v>
      </c>
      <c r="DO11" s="551">
        <f t="shared" si="46"/>
        <v>331.0777903592716</v>
      </c>
      <c r="DS11" s="546">
        <f t="shared" si="47"/>
        <v>63</v>
      </c>
      <c r="DT11" s="551">
        <f t="shared" si="48"/>
        <v>219.94295969128601</v>
      </c>
      <c r="DU11" s="553">
        <f>DT11/PI()*SQRT('Hilfstabellen_Mat&amp;Bem'!f.Rd.3/'Hilfstabellen_Mat&amp;Bem'!$BD$30)</f>
        <v>3.5005009233129658</v>
      </c>
      <c r="DV11" s="553">
        <f>0.5*(1+'Hilfstabellen_Mat&amp;Bem'!$BD$31*(DU11-0.3)+DU11^2)</f>
        <v>6.7867784032231118</v>
      </c>
      <c r="DW11" s="550">
        <f t="shared" si="49"/>
        <v>7.935787033572457E-2</v>
      </c>
      <c r="DY11" s="551">
        <f t="shared" si="50"/>
        <v>314.97138736249082</v>
      </c>
      <c r="EC11" s="546">
        <f t="shared" si="51"/>
        <v>63</v>
      </c>
      <c r="ED11" s="551">
        <f t="shared" si="52"/>
        <v>225.44153368356814</v>
      </c>
      <c r="EE11" s="553">
        <f>ED11/PI()*SQRT('Hilfstabellen_Mat&amp;Bem'!f.Rd.3/'Hilfstabellen_Mat&amp;Bem'!$BD$30)</f>
        <v>3.5880134463957898</v>
      </c>
      <c r="EF11" s="553">
        <f>0.5*(1+'Hilfstabellen_Mat&amp;Bem'!$BD$31*(EE11-0.3)+EE11^2)</f>
        <v>7.1013209180782866</v>
      </c>
      <c r="EG11" s="550">
        <f t="shared" si="53"/>
        <v>7.5588488351241004E-2</v>
      </c>
      <c r="EI11" s="551">
        <f t="shared" si="54"/>
        <v>300.01071026607553</v>
      </c>
      <c r="EM11" s="546">
        <f t="shared" si="55"/>
        <v>63</v>
      </c>
      <c r="EN11" s="551">
        <f t="shared" si="56"/>
        <v>230.9401076758503</v>
      </c>
      <c r="EO11" s="553">
        <f>EN11/PI()*SQRT('Hilfstabellen_Mat&amp;Bem'!f.Rd.3/'Hilfstabellen_Mat&amp;Bem'!$BD$30)</f>
        <v>3.6755259694786142</v>
      </c>
      <c r="EP11" s="553">
        <f>0.5*(1+'Hilfstabellen_Mat&amp;Bem'!$BD$31*(EO11-0.3)+EO11^2)</f>
        <v>7.4235218746297846</v>
      </c>
      <c r="EQ11" s="550">
        <f t="shared" si="57"/>
        <v>7.2081085661061473E-2</v>
      </c>
      <c r="ES11" s="551">
        <f t="shared" si="58"/>
        <v>286.08982898875297</v>
      </c>
    </row>
    <row r="12" spans="1:149">
      <c r="A12" s="547"/>
      <c r="C12" s="546">
        <v>64</v>
      </c>
      <c r="D12" s="551">
        <f t="shared" si="6"/>
        <v>151.55444566227675</v>
      </c>
      <c r="E12" s="553">
        <f>$D12/PI()*SQRT('Hilfstabellen_Mat&amp;Bem'!f.Rd.3/'Hilfstabellen_Mat&amp;Bem'!$BD$30)</f>
        <v>2.41206391747034</v>
      </c>
      <c r="F12" s="553">
        <f>0.5*(1+'Hilfstabellen_Mat&amp;Bem'!$BD$31*($E12-0.3)+$E12^2)</f>
        <v>3.5146293668546988</v>
      </c>
      <c r="G12" s="550">
        <f t="shared" si="7"/>
        <v>0.16471996958318572</v>
      </c>
      <c r="I12" s="551">
        <f t="shared" si="8"/>
        <v>674.69299541272869</v>
      </c>
      <c r="M12" s="546">
        <f t="shared" si="9"/>
        <v>64</v>
      </c>
      <c r="N12" s="551">
        <f t="shared" si="0"/>
        <v>156.96710443592949</v>
      </c>
      <c r="O12" s="553">
        <f>$N12/PI()*SQRT('Hilfstabellen_Mat&amp;Bem'!f.Rd.3/'Hilfstabellen_Mat&amp;Bem'!$BD$30)</f>
        <v>2.4982090573799951</v>
      </c>
      <c r="P12" s="553">
        <f>0.5*(1+'Hilfstabellen_Mat&amp;Bem'!$BD$31*($O12-0.3)+$O12^2)</f>
        <v>3.7304347000567217</v>
      </c>
      <c r="Q12" s="550">
        <f t="shared" si="1"/>
        <v>0.15382649242639287</v>
      </c>
      <c r="S12" s="551">
        <f t="shared" si="10"/>
        <v>630.07331297850521</v>
      </c>
      <c r="W12" s="546">
        <f t="shared" si="11"/>
        <v>64</v>
      </c>
      <c r="X12" s="551">
        <f t="shared" si="2"/>
        <v>162.37976320958225</v>
      </c>
      <c r="Y12" s="553">
        <f>$X12/PI()*SQRT('Hilfstabellen_Mat&amp;Bem'!f.Rd.3/'Hilfstabellen_Mat&amp;Bem'!$BD$30)</f>
        <v>2.5843541972896507</v>
      </c>
      <c r="Z12" s="553">
        <f>0.5*(1+'Hilfstabellen_Mat&amp;Bem'!$BD$31*($Y12-0.3)+$Y12^2)</f>
        <v>3.9536610183888001</v>
      </c>
      <c r="AA12" s="550">
        <f t="shared" si="3"/>
        <v>0.14397309811509865</v>
      </c>
      <c r="AC12" s="551">
        <f t="shared" si="12"/>
        <v>589.71380987944406</v>
      </c>
      <c r="AG12" s="546">
        <f t="shared" si="13"/>
        <v>64</v>
      </c>
      <c r="AH12" s="551">
        <f t="shared" si="4"/>
        <v>167.79242198323499</v>
      </c>
      <c r="AI12" s="553">
        <f>$AH12/PI()*SQRT('Hilfstabellen_Mat&amp;Bem'!f.Rd.3/'Hilfstabellen_Mat&amp;Bem'!$BD$30)</f>
        <v>2.6704993371993058</v>
      </c>
      <c r="AJ12" s="553">
        <f>0.5*(1+'Hilfstabellen_Mat&amp;Bem'!$BD$31*($AI12-0.3)+$AI12^2)</f>
        <v>4.1843083218509314</v>
      </c>
      <c r="AK12" s="550">
        <f t="shared" si="5"/>
        <v>0.13503252535910784</v>
      </c>
      <c r="AM12" s="551">
        <f t="shared" si="14"/>
        <v>553.09322387090572</v>
      </c>
      <c r="AQ12" s="546">
        <f t="shared" si="15"/>
        <v>64</v>
      </c>
      <c r="AR12" s="551">
        <f t="shared" si="16"/>
        <v>173.20508075688772</v>
      </c>
      <c r="AS12" s="553">
        <f>$AR12/PI()*SQRT('Hilfstabellen_Mat&amp;Bem'!f.Rd.3/'Hilfstabellen_Mat&amp;Bem'!$BD$30)</f>
        <v>2.7566444771089604</v>
      </c>
      <c r="AT12" s="553">
        <f>0.5*(1+'Hilfstabellen_Mat&amp;Bem'!$BD$31*($AS12-0.3)+$AS12^2)</f>
        <v>4.4223766104431146</v>
      </c>
      <c r="AU12" s="550">
        <f t="shared" si="17"/>
        <v>0.12689617969031575</v>
      </c>
      <c r="AW12" s="551">
        <f t="shared" si="18"/>
        <v>519.7667520115333</v>
      </c>
      <c r="BA12" s="546">
        <f t="shared" si="19"/>
        <v>64</v>
      </c>
      <c r="BB12" s="551">
        <f t="shared" si="20"/>
        <v>178.61773953054046</v>
      </c>
      <c r="BC12" s="553">
        <f>$BB12/PI()*SQRT('Hilfstabellen_Mat&amp;Bem'!f.Rd.3/'Hilfstabellen_Mat&amp;Bem'!$BD$30)</f>
        <v>2.8427896170186155</v>
      </c>
      <c r="BD12" s="553">
        <f>0.5*(1+'Hilfstabellen_Mat&amp;Bem'!$BD$31*($BC12-0.3)+$BC12^2)</f>
        <v>4.6678658841653533</v>
      </c>
      <c r="BE12" s="550">
        <f t="shared" si="21"/>
        <v>0.11947099332787893</v>
      </c>
      <c r="BG12" s="551">
        <f t="shared" si="22"/>
        <v>489.3531886709921</v>
      </c>
      <c r="BK12" s="546">
        <f t="shared" si="23"/>
        <v>64</v>
      </c>
      <c r="BL12" s="551">
        <f t="shared" si="24"/>
        <v>184.0303983041932</v>
      </c>
      <c r="BM12" s="553">
        <f>$BL12/PI()*SQRT('Hilfstabellen_Mat&amp;Bem'!f.Rd.3/'Hilfstabellen_Mat&amp;Bem'!$BD$30)</f>
        <v>2.9289347569282702</v>
      </c>
      <c r="BN12" s="553">
        <f>0.5*(1+'Hilfstabellen_Mat&amp;Bem'!$BD$31*($BM12-0.3)+$BM12^2)</f>
        <v>4.9207761430176467</v>
      </c>
      <c r="BO12" s="550">
        <f t="shared" si="25"/>
        <v>0.112676870703576</v>
      </c>
      <c r="BQ12" s="551">
        <f t="shared" si="26"/>
        <v>461.5244624018473</v>
      </c>
      <c r="BU12" s="546">
        <f t="shared" si="27"/>
        <v>64</v>
      </c>
      <c r="BV12" s="551">
        <f t="shared" si="28"/>
        <v>189.44305707784594</v>
      </c>
      <c r="BW12" s="553">
        <f>$BV12/PI()*SQRT('Hilfstabellen_Mat&amp;Bem'!f.Rd.3/'Hilfstabellen_Mat&amp;Bem'!$BD$30)</f>
        <v>3.0150798968379253</v>
      </c>
      <c r="BX12" s="553">
        <f>0.5*(1+'Hilfstabellen_Mat&amp;Bem'!$BD$31*($BW12-0.3)+$BW12^2)</f>
        <v>5.1811073869999937</v>
      </c>
      <c r="BY12" s="550">
        <f t="shared" si="29"/>
        <v>0.10644460214011385</v>
      </c>
      <c r="CA12" s="551">
        <f t="shared" si="30"/>
        <v>435.99709036590633</v>
      </c>
      <c r="CE12" s="546">
        <f t="shared" si="31"/>
        <v>64</v>
      </c>
      <c r="CF12" s="551">
        <f t="shared" si="32"/>
        <v>194.85571585149867</v>
      </c>
      <c r="CG12" s="553">
        <f>CF12/PI()*SQRT('Hilfstabellen_Mat&amp;Bem'!f.Rd.3/'Hilfstabellen_Mat&amp;Bem'!$BD$30)</f>
        <v>3.1012250367475804</v>
      </c>
      <c r="CH12" s="553">
        <f>0.5*(1+'Hilfstabellen_Mat&amp;Bem'!$BD$31*(CG12-0.3)+CG12^2)</f>
        <v>5.4488596161123946</v>
      </c>
      <c r="CI12" s="550">
        <f t="shared" si="33"/>
        <v>0.10071415271043072</v>
      </c>
      <c r="CK12" s="551">
        <f t="shared" si="34"/>
        <v>412.52516950192421</v>
      </c>
      <c r="CO12" s="546">
        <f t="shared" si="35"/>
        <v>64</v>
      </c>
      <c r="CP12" s="551">
        <f t="shared" si="36"/>
        <v>200.26837462515144</v>
      </c>
      <c r="CQ12" s="553">
        <f>CP12/PI()*SQRT('Hilfstabellen_Mat&amp;Bem'!f.Rd.3/'Hilfstabellen_Mat&amp;Bem'!$BD$30)</f>
        <v>3.1873701766572355</v>
      </c>
      <c r="CR12" s="553">
        <f>0.5*(1+'Hilfstabellen_Mat&amp;Bem'!$BD$31*(CQ12-0.3)+CQ12^2)</f>
        <v>5.7240328303548509</v>
      </c>
      <c r="CS12" s="550">
        <f t="shared" si="37"/>
        <v>9.5433252764396515E-2</v>
      </c>
      <c r="CU12" s="551">
        <f t="shared" si="38"/>
        <v>390.89460332296812</v>
      </c>
      <c r="CY12" s="546">
        <f t="shared" si="39"/>
        <v>64</v>
      </c>
      <c r="CZ12" s="551">
        <f t="shared" si="40"/>
        <v>205.68103339880417</v>
      </c>
      <c r="DA12" s="553">
        <f>CZ12/PI()*SQRT('Hilfstabellen_Mat&amp;Bem'!f.Rd.3/'Hilfstabellen_Mat&amp;Bem'!$BD$30)</f>
        <v>3.2735153165668907</v>
      </c>
      <c r="DB12" s="553">
        <f>0.5*(1+'Hilfstabellen_Mat&amp;Bem'!$BD$31*(DA12-0.3)+DA12^2)</f>
        <v>6.0066270297273601</v>
      </c>
      <c r="DC12" s="550">
        <f t="shared" si="41"/>
        <v>9.0556231925506284E-2</v>
      </c>
      <c r="DE12" s="551">
        <f t="shared" si="42"/>
        <v>370.91832596687374</v>
      </c>
      <c r="DI12" s="546">
        <f t="shared" si="43"/>
        <v>64</v>
      </c>
      <c r="DJ12" s="551">
        <f t="shared" si="44"/>
        <v>211.09369217245691</v>
      </c>
      <c r="DK12" s="553">
        <f>DJ12/PI()*SQRT('Hilfstabellen_Mat&amp;Bem'!f.Rd.3/'Hilfstabellen_Mat&amp;Bem'!$BD$30)</f>
        <v>3.3596604564765453</v>
      </c>
      <c r="DL12" s="553">
        <f>0.5*(1+'Hilfstabellen_Mat&amp;Bem'!$BD$31*(DK12-0.3)+DK12^2)</f>
        <v>6.2966422142299212</v>
      </c>
      <c r="DM12" s="550">
        <f t="shared" si="45"/>
        <v>8.6043050376832228E-2</v>
      </c>
      <c r="DO12" s="551">
        <f t="shared" si="46"/>
        <v>352.43233434350481</v>
      </c>
      <c r="DS12" s="546">
        <f t="shared" si="47"/>
        <v>64</v>
      </c>
      <c r="DT12" s="551">
        <f t="shared" si="48"/>
        <v>216.50635094610965</v>
      </c>
      <c r="DU12" s="553">
        <f>DT12/PI()*SQRT('Hilfstabellen_Mat&amp;Bem'!f.Rd.3/'Hilfstabellen_Mat&amp;Bem'!$BD$30)</f>
        <v>3.4458055963862004</v>
      </c>
      <c r="DV12" s="553">
        <f>0.5*(1+'Hilfstabellen_Mat&amp;Bem'!$BD$31*(DU12-0.3)+DU12^2)</f>
        <v>6.5940783838625396</v>
      </c>
      <c r="DW12" s="550">
        <f t="shared" si="49"/>
        <v>8.1858490677775925E-2</v>
      </c>
      <c r="DY12" s="551">
        <f t="shared" si="50"/>
        <v>335.29237781617019</v>
      </c>
      <c r="EC12" s="546">
        <f t="shared" si="51"/>
        <v>64</v>
      </c>
      <c r="ED12" s="551">
        <f t="shared" si="52"/>
        <v>221.91900971976239</v>
      </c>
      <c r="EE12" s="553">
        <f>ED12/PI()*SQRT('Hilfstabellen_Mat&amp;Bem'!f.Rd.3/'Hilfstabellen_Mat&amp;Bem'!$BD$30)</f>
        <v>3.5319507362958555</v>
      </c>
      <c r="EF12" s="553">
        <f>0.5*(1+'Hilfstabellen_Mat&amp;Bem'!$BD$31*(EE12-0.3)+EE12^2)</f>
        <v>6.8989355386252109</v>
      </c>
      <c r="EG12" s="550">
        <f t="shared" si="53"/>
        <v>7.7971480749198491E-2</v>
      </c>
      <c r="EI12" s="551">
        <f t="shared" si="54"/>
        <v>319.37118514871702</v>
      </c>
      <c r="EM12" s="546">
        <f t="shared" si="55"/>
        <v>64</v>
      </c>
      <c r="EN12" s="551">
        <f t="shared" si="56"/>
        <v>227.33166849341512</v>
      </c>
      <c r="EO12" s="553">
        <f>EN12/PI()*SQRT('Hilfstabellen_Mat&amp;Bem'!f.Rd.3/'Hilfstabellen_Mat&amp;Bem'!$BD$30)</f>
        <v>3.6180958762055102</v>
      </c>
      <c r="EP12" s="553">
        <f>0.5*(1+'Hilfstabellen_Mat&amp;Bem'!$BD$31*(EO12-0.3)+EO12^2)</f>
        <v>7.211213678517935</v>
      </c>
      <c r="EQ12" s="550">
        <f t="shared" si="57"/>
        <v>7.4354524482702494E-2</v>
      </c>
      <c r="ES12" s="551">
        <f t="shared" si="58"/>
        <v>304.55613228114942</v>
      </c>
    </row>
    <row r="13" spans="1:149">
      <c r="C13" s="546">
        <v>65</v>
      </c>
      <c r="D13" s="551">
        <f t="shared" si="6"/>
        <v>149.22283880593406</v>
      </c>
      <c r="E13" s="553">
        <f>$D13/PI()*SQRT('Hilfstabellen_Mat&amp;Bem'!f.Rd.3/'Hilfstabellen_Mat&amp;Bem'!$BD$30)</f>
        <v>2.3749552418169508</v>
      </c>
      <c r="F13" s="553">
        <f>0.5*(1+'Hilfstabellen_Mat&amp;Bem'!$BD$31*($E13-0.3)+$E13^2)</f>
        <v>3.4239539624077531</v>
      </c>
      <c r="G13" s="550">
        <f t="shared" si="7"/>
        <v>0.169769555646861</v>
      </c>
      <c r="I13" s="551">
        <f t="shared" si="8"/>
        <v>717.2763726079877</v>
      </c>
      <c r="M13" s="546">
        <f t="shared" si="9"/>
        <v>65</v>
      </c>
      <c r="N13" s="551">
        <f t="shared" si="0"/>
        <v>154.55222590614596</v>
      </c>
      <c r="O13" s="553">
        <f>$N13/PI()*SQRT('Hilfstabellen_Mat&amp;Bem'!f.Rd.3/'Hilfstabellen_Mat&amp;Bem'!$BD$30)</f>
        <v>2.4597750718818414</v>
      </c>
      <c r="P13" s="553">
        <f>0.5*(1+'Hilfstabellen_Mat&amp;Bem'!$BD$31*($O13-0.3)+$O13^2)</f>
        <v>3.6332354557197513</v>
      </c>
      <c r="Q13" s="550">
        <f t="shared" si="1"/>
        <v>0.15854980559757226</v>
      </c>
      <c r="S13" s="551">
        <f t="shared" si="10"/>
        <v>669.87292864974279</v>
      </c>
      <c r="W13" s="546">
        <f t="shared" si="11"/>
        <v>65</v>
      </c>
      <c r="X13" s="551">
        <f t="shared" si="2"/>
        <v>159.8816130063579</v>
      </c>
      <c r="Y13" s="553">
        <f>$X13/PI()*SQRT('Hilfstabellen_Mat&amp;Bem'!f.Rd.3/'Hilfstabellen_Mat&amp;Bem'!$BD$30)</f>
        <v>2.5445949019467324</v>
      </c>
      <c r="Z13" s="553">
        <f>0.5*(1+'Hilfstabellen_Mat&amp;Bem'!$BD$31*($Y13-0.3)+$Y13^2)</f>
        <v>3.849711352603987</v>
      </c>
      <c r="AA13" s="550">
        <f t="shared" si="3"/>
        <v>0.14840016208097459</v>
      </c>
      <c r="AC13" s="551">
        <f t="shared" si="12"/>
        <v>626.99068479211769</v>
      </c>
      <c r="AG13" s="546">
        <f t="shared" si="13"/>
        <v>65</v>
      </c>
      <c r="AH13" s="551">
        <f t="shared" si="4"/>
        <v>165.21100010656983</v>
      </c>
      <c r="AI13" s="553">
        <f>$AH13/PI()*SQRT('Hilfstabellen_Mat&amp;Bem'!f.Rd.3/'Hilfstabellen_Mat&amp;Bem'!$BD$30)</f>
        <v>2.6294147320116235</v>
      </c>
      <c r="AJ13" s="553">
        <f>0.5*(1+'Hilfstabellen_Mat&amp;Bem'!$BD$31*($AI13-0.3)+$AI13^2)</f>
        <v>4.0733816530604603</v>
      </c>
      <c r="AK13" s="550">
        <f t="shared" si="5"/>
        <v>0.13918990432691603</v>
      </c>
      <c r="AM13" s="551">
        <f t="shared" si="14"/>
        <v>588.07734578122017</v>
      </c>
      <c r="AQ13" s="546">
        <f t="shared" si="15"/>
        <v>65</v>
      </c>
      <c r="AR13" s="551">
        <f t="shared" si="16"/>
        <v>170.54038720678176</v>
      </c>
      <c r="AS13" s="553">
        <f>$AR13/PI()*SQRT('Hilfstabellen_Mat&amp;Bem'!f.Rd.3/'Hilfstabellen_Mat&amp;Bem'!$BD$30)</f>
        <v>2.7142345620765149</v>
      </c>
      <c r="AT13" s="553">
        <f>0.5*(1+'Hilfstabellen_Mat&amp;Bem'!$BD$31*($AS13-0.3)+$AS13^2)</f>
        <v>4.3042463570891716</v>
      </c>
      <c r="AU13" s="550">
        <f t="shared" si="17"/>
        <v>0.13080743708935566</v>
      </c>
      <c r="AW13" s="551">
        <f t="shared" si="18"/>
        <v>552.66142170252772</v>
      </c>
      <c r="BA13" s="546">
        <f t="shared" si="19"/>
        <v>65</v>
      </c>
      <c r="BB13" s="551">
        <f t="shared" si="20"/>
        <v>175.86977430699366</v>
      </c>
      <c r="BC13" s="553">
        <f>$BB13/PI()*SQRT('Hilfstabellen_Mat&amp;Bem'!f.Rd.3/'Hilfstabellen_Mat&amp;Bem'!$BD$30)</f>
        <v>2.7990543921414055</v>
      </c>
      <c r="BD13" s="553">
        <f>0.5*(1+'Hilfstabellen_Mat&amp;Bem'!$BD$31*($BC13-0.3)+$BC13^2)</f>
        <v>4.5423054646901164</v>
      </c>
      <c r="BE13" s="550">
        <f t="shared" si="21"/>
        <v>0.12315708613001798</v>
      </c>
      <c r="BG13" s="551">
        <f t="shared" si="22"/>
        <v>520.33868889932592</v>
      </c>
      <c r="BK13" s="546">
        <f t="shared" si="23"/>
        <v>65</v>
      </c>
      <c r="BL13" s="551">
        <f t="shared" si="24"/>
        <v>181.19916140720562</v>
      </c>
      <c r="BM13" s="553">
        <f>$BL13/PI()*SQRT('Hilfstabellen_Mat&amp;Bem'!f.Rd.3/'Hilfstabellen_Mat&amp;Bem'!$BD$30)</f>
        <v>2.883874222206297</v>
      </c>
      <c r="BN13" s="553">
        <f>0.5*(1+'Hilfstabellen_Mat&amp;Bem'!$BD$31*($BM13-0.3)+$BM13^2)</f>
        <v>4.7875589758633019</v>
      </c>
      <c r="BO13" s="550">
        <f t="shared" si="25"/>
        <v>0.11615648759560701</v>
      </c>
      <c r="BQ13" s="551">
        <f t="shared" si="26"/>
        <v>490.76116009143965</v>
      </c>
      <c r="BU13" s="546">
        <f t="shared" si="27"/>
        <v>65</v>
      </c>
      <c r="BV13" s="551">
        <f t="shared" si="28"/>
        <v>186.52854850741755</v>
      </c>
      <c r="BW13" s="553">
        <f>$BV13/PI()*SQRT('Hilfstabellen_Mat&amp;Bem'!f.Rd.3/'Hilfstabellen_Mat&amp;Bem'!$BD$30)</f>
        <v>2.968694052271188</v>
      </c>
      <c r="BX13" s="553">
        <f>0.5*(1+'Hilfstabellen_Mat&amp;Bem'!$BD$31*($BW13-0.3)+$BW13^2)</f>
        <v>5.0400068906087228</v>
      </c>
      <c r="BY13" s="550">
        <f t="shared" si="29"/>
        <v>0.10973445336889304</v>
      </c>
      <c r="CA13" s="551">
        <f t="shared" si="30"/>
        <v>463.6280654835731</v>
      </c>
      <c r="CE13" s="546">
        <f t="shared" si="31"/>
        <v>65</v>
      </c>
      <c r="CF13" s="551">
        <f t="shared" si="32"/>
        <v>191.85793560762949</v>
      </c>
      <c r="CG13" s="553">
        <f>CF13/PI()*SQRT('Hilfstabellen_Mat&amp;Bem'!f.Rd.3/'Hilfstabellen_Mat&amp;Bem'!$BD$30)</f>
        <v>3.0535138823360795</v>
      </c>
      <c r="CH13" s="553">
        <f>0.5*(1+'Hilfstabellen_Mat&amp;Bem'!$BD$31*(CG13-0.3)+CG13^2)</f>
        <v>5.2996492089263825</v>
      </c>
      <c r="CI13" s="550">
        <f t="shared" si="33"/>
        <v>0.10382921864434166</v>
      </c>
      <c r="CK13" s="551">
        <f t="shared" si="34"/>
        <v>438.67844877234353</v>
      </c>
      <c r="CO13" s="546">
        <f t="shared" si="35"/>
        <v>65</v>
      </c>
      <c r="CP13" s="551">
        <f t="shared" si="36"/>
        <v>197.18732270784139</v>
      </c>
      <c r="CQ13" s="553">
        <f>CP13/PI()*SQRT('Hilfstabellen_Mat&amp;Bem'!f.Rd.3/'Hilfstabellen_Mat&amp;Bem'!$BD$30)</f>
        <v>3.13833371240097</v>
      </c>
      <c r="CR13" s="553">
        <f>0.5*(1+'Hilfstabellen_Mat&amp;Bem'!$BD$31*(CQ13-0.3)+CQ13^2)</f>
        <v>5.5664859308162757</v>
      </c>
      <c r="CS13" s="550">
        <f t="shared" si="37"/>
        <v>9.8386997331099846E-2</v>
      </c>
      <c r="CU13" s="551">
        <f t="shared" si="38"/>
        <v>415.68506372389686</v>
      </c>
      <c r="CY13" s="546">
        <f t="shared" si="39"/>
        <v>65</v>
      </c>
      <c r="CZ13" s="551">
        <f t="shared" si="40"/>
        <v>202.51670980805332</v>
      </c>
      <c r="DA13" s="553">
        <f>CZ13/PI()*SQRT('Hilfstabellen_Mat&amp;Bem'!f.Rd.3/'Hilfstabellen_Mat&amp;Bem'!$BD$30)</f>
        <v>3.2231535424658611</v>
      </c>
      <c r="DB13" s="553">
        <f>0.5*(1+'Hilfstabellen_Mat&amp;Bem'!$BD$31*(DA13-0.3)+DA13^2)</f>
        <v>5.8405170562784079</v>
      </c>
      <c r="DC13" s="550">
        <f t="shared" si="41"/>
        <v>9.3360786221762956E-2</v>
      </c>
      <c r="DE13" s="551">
        <f t="shared" si="42"/>
        <v>394.44932178694847</v>
      </c>
      <c r="DI13" s="546">
        <f t="shared" si="43"/>
        <v>65</v>
      </c>
      <c r="DJ13" s="551">
        <f t="shared" si="44"/>
        <v>207.84609690826525</v>
      </c>
      <c r="DK13" s="553">
        <f>DJ13/PI()*SQRT('Hilfstabellen_Mat&amp;Bem'!f.Rd.3/'Hilfstabellen_Mat&amp;Bem'!$BD$30)</f>
        <v>3.3079733725307521</v>
      </c>
      <c r="DL13" s="553">
        <f>0.5*(1+'Hilfstabellen_Mat&amp;Bem'!$BD$31*(DK13-0.3)+DK13^2)</f>
        <v>6.1217425853127763</v>
      </c>
      <c r="DM13" s="550">
        <f t="shared" si="45"/>
        <v>8.8709370957235356E-2</v>
      </c>
      <c r="DO13" s="551">
        <f t="shared" si="46"/>
        <v>374.79709229431938</v>
      </c>
      <c r="DS13" s="546">
        <f t="shared" si="47"/>
        <v>65</v>
      </c>
      <c r="DT13" s="551">
        <f t="shared" si="48"/>
        <v>213.17548400847721</v>
      </c>
      <c r="DU13" s="553">
        <f>DT13/PI()*SQRT('Hilfstabellen_Mat&amp;Bem'!f.Rd.3/'Hilfstabellen_Mat&amp;Bem'!$BD$30)</f>
        <v>3.392793202595644</v>
      </c>
      <c r="DV13" s="553">
        <f>0.5*(1+'Hilfstabellen_Mat&amp;Bem'!$BD$31*(DU13-0.3)+DU13^2)</f>
        <v>6.4101625179193853</v>
      </c>
      <c r="DW13" s="550">
        <f t="shared" si="49"/>
        <v>8.4396496335185561E-2</v>
      </c>
      <c r="DY13" s="551">
        <f t="shared" si="50"/>
        <v>356.575197016159</v>
      </c>
      <c r="EC13" s="546">
        <f t="shared" si="51"/>
        <v>65</v>
      </c>
      <c r="ED13" s="551">
        <f t="shared" si="52"/>
        <v>218.50487110868914</v>
      </c>
      <c r="EE13" s="553">
        <f>ED13/PI()*SQRT('Hilfstabellen_Mat&amp;Bem'!f.Rd.3/'Hilfstabellen_Mat&amp;Bem'!$BD$30)</f>
        <v>3.477613032660535</v>
      </c>
      <c r="EF13" s="553">
        <f>0.5*(1+'Hilfstabellen_Mat&amp;Bem'!$BD$31*(EE13-0.3)+EE13^2)</f>
        <v>6.7057768540982279</v>
      </c>
      <c r="EG13" s="550">
        <f t="shared" si="53"/>
        <v>8.0390171002217972E-2</v>
      </c>
      <c r="EI13" s="551">
        <f t="shared" si="54"/>
        <v>339.64847248437093</v>
      </c>
      <c r="EM13" s="546">
        <f t="shared" si="55"/>
        <v>65</v>
      </c>
      <c r="EN13" s="551">
        <f t="shared" si="56"/>
        <v>223.83425820890105</v>
      </c>
      <c r="EO13" s="553">
        <f>EN13/PI()*SQRT('Hilfstabellen_Mat&amp;Bem'!f.Rd.3/'Hilfstabellen_Mat&amp;Bem'!$BD$30)</f>
        <v>3.5624328627254251</v>
      </c>
      <c r="EP13" s="553">
        <f>0.5*(1+'Hilfstabellen_Mat&amp;Bem'!$BD$31*(EO13-0.3)+EO13^2)</f>
        <v>7.0085855938493058</v>
      </c>
      <c r="EQ13" s="550">
        <f t="shared" si="57"/>
        <v>7.6662082477912633E-2</v>
      </c>
      <c r="ES13" s="551">
        <f t="shared" si="58"/>
        <v>323.8972984691809</v>
      </c>
    </row>
    <row r="14" spans="1:149">
      <c r="C14" s="546">
        <v>66</v>
      </c>
      <c r="D14" s="551">
        <f t="shared" si="6"/>
        <v>146.96188670281381</v>
      </c>
      <c r="E14" s="553">
        <f>$D14/PI()*SQRT('Hilfstabellen_Mat&amp;Bem'!f.Rd.3/'Hilfstabellen_Mat&amp;Bem'!$BD$30)</f>
        <v>2.3389710714863905</v>
      </c>
      <c r="F14" s="553">
        <f>0.5*(1+'Hilfstabellen_Mat&amp;Bem'!$BD$31*($E14-0.3)+$E14^2)</f>
        <v>3.3373413901994162</v>
      </c>
      <c r="G14" s="550">
        <f t="shared" si="7"/>
        <v>0.17488936584756271</v>
      </c>
      <c r="I14" s="551">
        <f t="shared" si="8"/>
        <v>761.8180776319831</v>
      </c>
      <c r="M14" s="546">
        <f t="shared" si="9"/>
        <v>66</v>
      </c>
      <c r="N14" s="551">
        <f t="shared" si="0"/>
        <v>152.2105255136286</v>
      </c>
      <c r="O14" s="553">
        <f>$N14/PI()*SQRT('Hilfstabellen_Mat&amp;Bem'!f.Rd.3/'Hilfstabellen_Mat&amp;Bem'!$BD$30)</f>
        <v>2.4225057526109044</v>
      </c>
      <c r="P14" s="553">
        <f>0.5*(1+'Hilfstabellen_Mat&amp;Bem'!$BD$31*($O14-0.3)+$O14^2)</f>
        <v>3.5403923483470074</v>
      </c>
      <c r="Q14" s="550">
        <f t="shared" si="1"/>
        <v>0.163339391407684</v>
      </c>
      <c r="S14" s="551">
        <f t="shared" si="10"/>
        <v>711.5063889718715</v>
      </c>
      <c r="W14" s="546">
        <f t="shared" si="11"/>
        <v>66</v>
      </c>
      <c r="X14" s="551">
        <f t="shared" si="2"/>
        <v>157.45916432444338</v>
      </c>
      <c r="Y14" s="553">
        <f>$X14/PI()*SQRT('Hilfstabellen_Mat&amp;Bem'!f.Rd.3/'Hilfstabellen_Mat&amp;Bem'!$BD$30)</f>
        <v>2.5060404337354183</v>
      </c>
      <c r="Z14" s="553">
        <f>0.5*(1+'Hilfstabellen_Mat&amp;Bem'!$BD$31*($Y14-0.3)+$Y14^2)</f>
        <v>3.7504213494451726</v>
      </c>
      <c r="AA14" s="550">
        <f t="shared" si="3"/>
        <v>0.15288981177425243</v>
      </c>
      <c r="AC14" s="551">
        <f t="shared" si="12"/>
        <v>665.98802008864357</v>
      </c>
      <c r="AG14" s="546">
        <f t="shared" si="13"/>
        <v>66</v>
      </c>
      <c r="AH14" s="551">
        <f t="shared" si="4"/>
        <v>162.70780313525816</v>
      </c>
      <c r="AI14" s="553">
        <f>$AH14/PI()*SQRT('Hilfstabellen_Mat&amp;Bem'!f.Rd.3/'Hilfstabellen_Mat&amp;Bem'!$BD$30)</f>
        <v>2.5895751148599326</v>
      </c>
      <c r="AJ14" s="553">
        <f>0.5*(1+'Hilfstabellen_Mat&amp;Bem'!$BD$31*($AI14-0.3)+$AI14^2)</f>
        <v>3.9674283934939134</v>
      </c>
      <c r="AK14" s="550">
        <f t="shared" si="5"/>
        <v>0.14340643740405165</v>
      </c>
      <c r="AM14" s="551">
        <f t="shared" si="14"/>
        <v>624.67844133204903</v>
      </c>
      <c r="AQ14" s="546">
        <f t="shared" si="15"/>
        <v>66</v>
      </c>
      <c r="AR14" s="551">
        <f t="shared" si="16"/>
        <v>167.95644194607294</v>
      </c>
      <c r="AS14" s="553">
        <f>$AR14/PI()*SQRT('Hilfstabellen_Mat&amp;Bem'!f.Rd.3/'Hilfstabellen_Mat&amp;Bem'!$BD$30)</f>
        <v>2.6731097959844465</v>
      </c>
      <c r="AT14" s="553">
        <f>0.5*(1+'Hilfstabellen_Mat&amp;Bem'!$BD$31*($AS14-0.3)+$AS14^2)</f>
        <v>4.1914134804932273</v>
      </c>
      <c r="AU14" s="550">
        <f t="shared" si="17"/>
        <v>0.13477465876665873</v>
      </c>
      <c r="AW14" s="551">
        <f t="shared" si="18"/>
        <v>587.07841358756536</v>
      </c>
      <c r="BA14" s="546">
        <f t="shared" si="19"/>
        <v>66</v>
      </c>
      <c r="BB14" s="551">
        <f t="shared" si="20"/>
        <v>173.20508075688772</v>
      </c>
      <c r="BC14" s="553">
        <f>$BB14/PI()*SQRT('Hilfstabellen_Mat&amp;Bem'!f.Rd.3/'Hilfstabellen_Mat&amp;Bem'!$BD$30)</f>
        <v>2.7566444771089604</v>
      </c>
      <c r="BD14" s="553">
        <f>0.5*(1+'Hilfstabellen_Mat&amp;Bem'!$BD$31*($BC14-0.3)+$BC14^2)</f>
        <v>4.4223766104431146</v>
      </c>
      <c r="BE14" s="550">
        <f t="shared" si="21"/>
        <v>0.12689617969031575</v>
      </c>
      <c r="BG14" s="551">
        <f t="shared" si="22"/>
        <v>552.75975873101538</v>
      </c>
      <c r="BK14" s="546">
        <f t="shared" si="23"/>
        <v>66</v>
      </c>
      <c r="BL14" s="551">
        <f t="shared" si="24"/>
        <v>178.45371956770251</v>
      </c>
      <c r="BM14" s="553">
        <f>$BL14/PI()*SQRT('Hilfstabellen_Mat&amp;Bem'!f.Rd.3/'Hilfstabellen_Mat&amp;Bem'!$BD$30)</f>
        <v>2.8401791582334743</v>
      </c>
      <c r="BN14" s="553">
        <f>0.5*(1+'Hilfstabellen_Mat&amp;Bem'!$BD$31*($BM14-0.3)+$BM14^2)</f>
        <v>4.6603177833435767</v>
      </c>
      <c r="BO14" s="550">
        <f t="shared" si="25"/>
        <v>0.11968635194451063</v>
      </c>
      <c r="BQ14" s="551">
        <f t="shared" si="26"/>
        <v>521.35374907028836</v>
      </c>
      <c r="BU14" s="546">
        <f t="shared" si="27"/>
        <v>66</v>
      </c>
      <c r="BV14" s="551">
        <f t="shared" si="28"/>
        <v>183.70235837851729</v>
      </c>
      <c r="BW14" s="553">
        <f>$BV14/PI()*SQRT('Hilfstabellen_Mat&amp;Bem'!f.Rd.3/'Hilfstabellen_Mat&amp;Bem'!$BD$30)</f>
        <v>2.9237138393579887</v>
      </c>
      <c r="BX14" s="553">
        <f>0.5*(1+'Hilfstabellen_Mat&amp;Bem'!$BD$31*($BW14-0.3)+$BW14^2)</f>
        <v>4.9052369991946145</v>
      </c>
      <c r="BY14" s="550">
        <f t="shared" si="29"/>
        <v>0.1130719930658594</v>
      </c>
      <c r="CA14" s="551">
        <f t="shared" si="30"/>
        <v>492.54160179488355</v>
      </c>
      <c r="CE14" s="546">
        <f t="shared" si="31"/>
        <v>66</v>
      </c>
      <c r="CF14" s="551">
        <f t="shared" si="32"/>
        <v>188.95099718933207</v>
      </c>
      <c r="CG14" s="553">
        <f>CF14/PI()*SQRT('Hilfstabellen_Mat&amp;Bem'!f.Rd.3/'Hilfstabellen_Mat&amp;Bem'!$BD$30)</f>
        <v>3.0072485204825021</v>
      </c>
      <c r="CH14" s="553">
        <f>0.5*(1+'Hilfstabellen_Mat&amp;Bem'!$BD$31*(CG14-0.3)+CG14^2)</f>
        <v>5.1571342579962245</v>
      </c>
      <c r="CI14" s="550">
        <f t="shared" si="33"/>
        <v>0.10698959310874759</v>
      </c>
      <c r="CK14" s="551">
        <f t="shared" si="34"/>
        <v>466.04666758170447</v>
      </c>
      <c r="CO14" s="546">
        <f t="shared" si="35"/>
        <v>66</v>
      </c>
      <c r="CP14" s="551">
        <f t="shared" si="36"/>
        <v>194.19963600014685</v>
      </c>
      <c r="CQ14" s="553">
        <f>CP14/PI()*SQRT('Hilfstabellen_Mat&amp;Bem'!f.Rd.3/'Hilfstabellen_Mat&amp;Bem'!$BD$30)</f>
        <v>3.0907832016070165</v>
      </c>
      <c r="CR14" s="553">
        <f>0.5*(1+'Hilfstabellen_Mat&amp;Bem'!$BD$31*(CQ14-0.3)+CQ14^2)</f>
        <v>5.4160095597484101</v>
      </c>
      <c r="CS14" s="550">
        <f t="shared" si="37"/>
        <v>0.1013838351693844</v>
      </c>
      <c r="CU14" s="551">
        <f t="shared" si="38"/>
        <v>441.62798599783844</v>
      </c>
      <c r="CY14" s="546">
        <f t="shared" si="39"/>
        <v>66</v>
      </c>
      <c r="CZ14" s="551">
        <f t="shared" si="40"/>
        <v>199.44827481096164</v>
      </c>
      <c r="DA14" s="553">
        <f>CZ14/PI()*SQRT('Hilfstabellen_Mat&amp;Bem'!f.Rd.3/'Hilfstabellen_Mat&amp;Bem'!$BD$30)</f>
        <v>3.1743178827315304</v>
      </c>
      <c r="DB14" s="553">
        <f>0.5*(1+'Hilfstabellen_Mat&amp;Bem'!$BD$31*(DA14-0.3)+DA14^2)</f>
        <v>5.6818629044511697</v>
      </c>
      <c r="DC14" s="550">
        <f t="shared" si="41"/>
        <v>9.6206369838764086E-2</v>
      </c>
      <c r="DE14" s="551">
        <f t="shared" si="42"/>
        <v>419.07494701765637</v>
      </c>
      <c r="DI14" s="546">
        <f t="shared" si="43"/>
        <v>66</v>
      </c>
      <c r="DJ14" s="551">
        <f t="shared" si="44"/>
        <v>204.69691362177642</v>
      </c>
      <c r="DK14" s="553">
        <f>DJ14/PI()*SQRT('Hilfstabellen_Mat&amp;Bem'!f.Rd.3/'Hilfstabellen_Mat&amp;Bem'!$BD$30)</f>
        <v>3.2578525638560443</v>
      </c>
      <c r="DL14" s="553">
        <f>0.5*(1+'Hilfstabellen_Mat&amp;Bem'!$BD$31*(DK14-0.3)+DK14^2)</f>
        <v>5.9546942921045032</v>
      </c>
      <c r="DM14" s="550">
        <f t="shared" si="45"/>
        <v>9.1414795877235902E-2</v>
      </c>
      <c r="DO14" s="551">
        <f t="shared" si="46"/>
        <v>398.20285084123958</v>
      </c>
      <c r="DS14" s="546">
        <f t="shared" si="47"/>
        <v>66</v>
      </c>
      <c r="DT14" s="551">
        <f t="shared" si="48"/>
        <v>209.9455524325912</v>
      </c>
      <c r="DU14" s="553">
        <f>DT14/PI()*SQRT('Hilfstabellen_Mat&amp;Bem'!f.Rd.3/'Hilfstabellen_Mat&amp;Bem'!$BD$30)</f>
        <v>3.3413872449805582</v>
      </c>
      <c r="DV14" s="553">
        <f>0.5*(1+'Hilfstabellen_Mat&amp;Bem'!$BD$31*(DU14-0.3)+DU14^2)</f>
        <v>6.2345037227084106</v>
      </c>
      <c r="DW14" s="550">
        <f t="shared" si="49"/>
        <v>8.6971808996741021E-2</v>
      </c>
      <c r="DY14" s="551">
        <f t="shared" si="50"/>
        <v>378.84919998980388</v>
      </c>
      <c r="EC14" s="546">
        <f t="shared" si="51"/>
        <v>66</v>
      </c>
      <c r="ED14" s="551">
        <f t="shared" si="52"/>
        <v>215.19419124340595</v>
      </c>
      <c r="EE14" s="553">
        <f>ED14/PI()*SQRT('Hilfstabellen_Mat&amp;Bem'!f.Rd.3/'Hilfstabellen_Mat&amp;Bem'!$BD$30)</f>
        <v>3.4249219261050721</v>
      </c>
      <c r="EF14" s="553">
        <f>0.5*(1+'Hilfstabellen_Mat&amp;Bem'!$BD$31*(EE14-0.3)+EE14^2)</f>
        <v>6.5212911962628919</v>
      </c>
      <c r="EG14" s="550">
        <f t="shared" si="53"/>
        <v>8.284448821409289E-2</v>
      </c>
      <c r="EI14" s="551">
        <f t="shared" si="54"/>
        <v>360.87059066058862</v>
      </c>
      <c r="EM14" s="546">
        <f t="shared" si="55"/>
        <v>66</v>
      </c>
      <c r="EN14" s="551">
        <f t="shared" si="56"/>
        <v>220.44283005422074</v>
      </c>
      <c r="EO14" s="553">
        <f>EN14/PI()*SQRT('Hilfstabellen_Mat&amp;Bem'!f.Rd.3/'Hilfstabellen_Mat&amp;Bem'!$BD$30)</f>
        <v>3.508456607229586</v>
      </c>
      <c r="EP14" s="553">
        <f>0.5*(1+'Hilfstabellen_Mat&amp;Bem'!$BD$31*(EO14-0.3)+EO14^2)</f>
        <v>6.815056712767948</v>
      </c>
      <c r="EQ14" s="550">
        <f t="shared" si="57"/>
        <v>7.9003695228959406E-2</v>
      </c>
      <c r="ES14" s="551">
        <f t="shared" si="58"/>
        <v>344.14009641734719</v>
      </c>
    </row>
    <row r="15" spans="1:149">
      <c r="C15" s="546">
        <v>67</v>
      </c>
      <c r="D15" s="551">
        <f t="shared" si="6"/>
        <v>144.76842570724943</v>
      </c>
      <c r="E15" s="553">
        <f>$D15/PI()*SQRT('Hilfstabellen_Mat&amp;Bem'!f.Rd.3/'Hilfstabellen_Mat&amp;Bem'!$BD$30)</f>
        <v>2.3040610554940564</v>
      </c>
      <c r="F15" s="553">
        <f>0.5*(1+'Hilfstabellen_Mat&amp;Bem'!$BD$31*($E15-0.3)+$E15^2)</f>
        <v>3.2545517264968953</v>
      </c>
      <c r="G15" s="550">
        <f t="shared" si="7"/>
        <v>0.18007899256703597</v>
      </c>
      <c r="I15" s="551">
        <f t="shared" si="8"/>
        <v>808.3745976334244</v>
      </c>
      <c r="M15" s="546">
        <f t="shared" si="9"/>
        <v>67</v>
      </c>
      <c r="N15" s="551">
        <f t="shared" si="0"/>
        <v>149.93872662536549</v>
      </c>
      <c r="O15" s="553">
        <f>$N15/PI()*SQRT('Hilfstabellen_Mat&amp;Bem'!f.Rd.3/'Hilfstabellen_Mat&amp;Bem'!$BD$30)</f>
        <v>2.3863489503331299</v>
      </c>
      <c r="P15" s="553">
        <f>0.5*(1+'Hilfstabellen_Mat&amp;Bem'!$BD$31*($O15-0.3)+$O15^2)</f>
        <v>3.451648103894672</v>
      </c>
      <c r="Q15" s="550">
        <f t="shared" si="1"/>
        <v>0.16819490896967318</v>
      </c>
      <c r="S15" s="551">
        <f t="shared" si="10"/>
        <v>755.02694636486285</v>
      </c>
      <c r="W15" s="546">
        <f t="shared" si="11"/>
        <v>67</v>
      </c>
      <c r="X15" s="551">
        <f t="shared" si="2"/>
        <v>155.10902754348155</v>
      </c>
      <c r="Y15" s="553">
        <f>$X15/PI()*SQRT('Hilfstabellen_Mat&amp;Bem'!f.Rd.3/'Hilfstabellen_Mat&amp;Bem'!$BD$30)</f>
        <v>2.4686368451722034</v>
      </c>
      <c r="Z15" s="553">
        <f>0.5*(1+'Hilfstabellen_Mat&amp;Bem'!$BD$31*($Y15-0.3)+$Y15^2)</f>
        <v>3.6555157789294945</v>
      </c>
      <c r="AA15" s="550">
        <f t="shared" si="3"/>
        <v>0.15744175915206715</v>
      </c>
      <c r="AC15" s="551">
        <f t="shared" si="12"/>
        <v>706.75605683362949</v>
      </c>
      <c r="AG15" s="546">
        <f t="shared" si="13"/>
        <v>67</v>
      </c>
      <c r="AH15" s="551">
        <f t="shared" si="4"/>
        <v>160.27932846159757</v>
      </c>
      <c r="AI15" s="553">
        <f>$AH15/PI()*SQRT('Hilfstabellen_Mat&amp;Bem'!f.Rd.3/'Hilfstabellen_Mat&amp;Bem'!$BD$30)</f>
        <v>2.5509247400112764</v>
      </c>
      <c r="AJ15" s="553">
        <f>0.5*(1+'Hilfstabellen_Mat&amp;Bem'!$BD$31*($AI15-0.3)+$AI15^2)</f>
        <v>3.8661547516013632</v>
      </c>
      <c r="AK15" s="550">
        <f t="shared" si="5"/>
        <v>0.14768187891648754</v>
      </c>
      <c r="AM15" s="551">
        <f t="shared" si="14"/>
        <v>662.94395445611258</v>
      </c>
      <c r="AQ15" s="546">
        <f t="shared" si="15"/>
        <v>67</v>
      </c>
      <c r="AR15" s="551">
        <f t="shared" si="16"/>
        <v>165.44962937971366</v>
      </c>
      <c r="AS15" s="553">
        <f>$AR15/PI()*SQRT('Hilfstabellen_Mat&amp;Bem'!f.Rd.3/'Hilfstabellen_Mat&amp;Bem'!$BD$30)</f>
        <v>2.6332126348503504</v>
      </c>
      <c r="AT15" s="553">
        <f>0.5*(1+'Hilfstabellen_Mat&amp;Bem'!$BD$31*($AS15-0.3)+$AS15^2)</f>
        <v>4.0835650219102799</v>
      </c>
      <c r="AU15" s="550">
        <f t="shared" si="17"/>
        <v>0.13879763340383411</v>
      </c>
      <c r="AW15" s="551">
        <f t="shared" si="18"/>
        <v>623.06257634981137</v>
      </c>
      <c r="BA15" s="546">
        <f t="shared" si="19"/>
        <v>67</v>
      </c>
      <c r="BB15" s="551">
        <f t="shared" si="20"/>
        <v>170.61993029782968</v>
      </c>
      <c r="BC15" s="553">
        <f>$BB15/PI()*SQRT('Hilfstabellen_Mat&amp;Bem'!f.Rd.3/'Hilfstabellen_Mat&amp;Bem'!$BD$30)</f>
        <v>2.7155005296894235</v>
      </c>
      <c r="BD15" s="553">
        <f>0.5*(1+'Hilfstabellen_Mat&amp;Bem'!$BD$31*($BC15-0.3)+$BC15^2)</f>
        <v>4.307746589856241</v>
      </c>
      <c r="BE15" s="550">
        <f t="shared" si="21"/>
        <v>0.13068809083716801</v>
      </c>
      <c r="BG15" s="551">
        <f t="shared" si="22"/>
        <v>586.65883976804719</v>
      </c>
      <c r="BK15" s="546">
        <f t="shared" si="23"/>
        <v>67</v>
      </c>
      <c r="BL15" s="551">
        <f t="shared" si="24"/>
        <v>175.79023121594574</v>
      </c>
      <c r="BM15" s="553">
        <f>$BL15/PI()*SQRT('Hilfstabellen_Mat&amp;Bem'!f.Rd.3/'Hilfstabellen_Mat&amp;Bem'!$BD$30)</f>
        <v>2.797788424528497</v>
      </c>
      <c r="BN15" s="553">
        <f>0.5*(1+'Hilfstabellen_Mat&amp;Bem'!$BD$31*($BM15-0.3)+$BM15^2)</f>
        <v>4.5386994554392492</v>
      </c>
      <c r="BO15" s="550">
        <f t="shared" si="25"/>
        <v>0.12326630385769906</v>
      </c>
      <c r="BQ15" s="551">
        <f t="shared" si="26"/>
        <v>553.34243801721107</v>
      </c>
      <c r="BU15" s="546">
        <f t="shared" si="27"/>
        <v>67</v>
      </c>
      <c r="BV15" s="551">
        <f t="shared" si="28"/>
        <v>180.96053213406179</v>
      </c>
      <c r="BW15" s="553">
        <f>$BV15/PI()*SQRT('Hilfstabellen_Mat&amp;Bem'!f.Rd.3/'Hilfstabellen_Mat&amp;Bem'!$BD$30)</f>
        <v>2.8800763193675705</v>
      </c>
      <c r="BX15" s="553">
        <f>0.5*(1+'Hilfstabellen_Mat&amp;Bem'!$BD$31*($BW15-0.3)+$BW15^2)</f>
        <v>4.7764236186593036</v>
      </c>
      <c r="BY15" s="550">
        <f t="shared" si="29"/>
        <v>0.11645708075948089</v>
      </c>
      <c r="CA15" s="551">
        <f t="shared" si="30"/>
        <v>522.77583552930969</v>
      </c>
      <c r="CE15" s="546">
        <f t="shared" si="31"/>
        <v>67</v>
      </c>
      <c r="CF15" s="551">
        <f t="shared" si="32"/>
        <v>186.13083305217785</v>
      </c>
      <c r="CG15" s="553">
        <f>CF15/PI()*SQRT('Hilfstabellen_Mat&amp;Bem'!f.Rd.3/'Hilfstabellen_Mat&amp;Bem'!$BD$30)</f>
        <v>2.962364214206644</v>
      </c>
      <c r="CH15" s="553">
        <f>0.5*(1+'Hilfstabellen_Mat&amp;Bem'!$BD$31*(CG15-0.3)+CG15^2)</f>
        <v>5.020919079516406</v>
      </c>
      <c r="CI15" s="550">
        <f t="shared" si="33"/>
        <v>0.11019515196477807</v>
      </c>
      <c r="CK15" s="551">
        <f t="shared" si="34"/>
        <v>494.66603716988874</v>
      </c>
      <c r="CO15" s="546">
        <f t="shared" si="35"/>
        <v>67</v>
      </c>
      <c r="CP15" s="551">
        <f t="shared" si="36"/>
        <v>191.3011339702939</v>
      </c>
      <c r="CQ15" s="553">
        <f>CP15/PI()*SQRT('Hilfstabellen_Mat&amp;Bem'!f.Rd.3/'Hilfstabellen_Mat&amp;Bem'!$BD$30)</f>
        <v>3.0446521090457175</v>
      </c>
      <c r="CR15" s="553">
        <f>0.5*(1+'Hilfstabellen_Mat&amp;Bem'!$BD$31*(CQ15-0.3)+CQ15^2)</f>
        <v>5.2721858380105537</v>
      </c>
      <c r="CS15" s="550">
        <f t="shared" si="37"/>
        <v>0.10442365597769751</v>
      </c>
      <c r="CU15" s="551">
        <f t="shared" si="38"/>
        <v>468.75779168388414</v>
      </c>
      <c r="CY15" s="546">
        <f t="shared" si="39"/>
        <v>67</v>
      </c>
      <c r="CZ15" s="551">
        <f t="shared" si="40"/>
        <v>196.47143488840996</v>
      </c>
      <c r="DA15" s="553">
        <f>CZ15/PI()*SQRT('Hilfstabellen_Mat&amp;Bem'!f.Rd.3/'Hilfstabellen_Mat&amp;Bem'!$BD$30)</f>
        <v>3.126940003884791</v>
      </c>
      <c r="DB15" s="553">
        <f>0.5*(1+'Hilfstabellen_Mat&amp;Bem'!$BD$31*(DA15-0.3)+DA15^2)</f>
        <v>5.5302238941417485</v>
      </c>
      <c r="DC15" s="550">
        <f t="shared" si="41"/>
        <v>9.909288427870086E-2</v>
      </c>
      <c r="DE15" s="551">
        <f t="shared" si="42"/>
        <v>444.82795752708819</v>
      </c>
      <c r="DI15" s="546">
        <f t="shared" si="43"/>
        <v>67</v>
      </c>
      <c r="DJ15" s="551">
        <f t="shared" si="44"/>
        <v>201.64173580652599</v>
      </c>
      <c r="DK15" s="553">
        <f>DJ15/PI()*SQRT('Hilfstabellen_Mat&amp;Bem'!f.Rd.3/'Hilfstabellen_Mat&amp;Bem'!$BD$30)</f>
        <v>3.2092278987238636</v>
      </c>
      <c r="DL15" s="553">
        <f>0.5*(1+'Hilfstabellen_Mat&amp;Bem'!$BD$31*(DK15-0.3)+DK15^2)</f>
        <v>5.795033247909986</v>
      </c>
      <c r="DM15" s="550">
        <f t="shared" si="45"/>
        <v>9.4159236772222404E-2</v>
      </c>
      <c r="DO15" s="551">
        <f t="shared" si="46"/>
        <v>422.68081387050637</v>
      </c>
      <c r="DS15" s="546">
        <f t="shared" si="47"/>
        <v>67</v>
      </c>
      <c r="DT15" s="551">
        <f t="shared" si="48"/>
        <v>206.81203672464207</v>
      </c>
      <c r="DU15" s="553">
        <f>DT15/PI()*SQRT('Hilfstabellen_Mat&amp;Bem'!f.Rd.3/'Hilfstabellen_Mat&amp;Bem'!$BD$30)</f>
        <v>3.2915157935629384</v>
      </c>
      <c r="DV15" s="553">
        <f>0.5*(1+'Hilfstabellen_Mat&amp;Bem'!$BD$31*(DU15-0.3)+DU15^2)</f>
        <v>6.0666138993152767</v>
      </c>
      <c r="DW15" s="550">
        <f t="shared" si="49"/>
        <v>8.958434904845064E-2</v>
      </c>
      <c r="DY15" s="551">
        <f t="shared" si="50"/>
        <v>402.1441428784949</v>
      </c>
      <c r="EC15" s="546">
        <f t="shared" si="51"/>
        <v>67</v>
      </c>
      <c r="ED15" s="551">
        <f t="shared" si="52"/>
        <v>211.9823376427581</v>
      </c>
      <c r="EE15" s="553">
        <f>ED15/PI()*SQRT('Hilfstabellen_Mat&amp;Bem'!f.Rd.3/'Hilfstabellen_Mat&amp;Bem'!$BD$30)</f>
        <v>3.3738036884020115</v>
      </c>
      <c r="EF15" s="553">
        <f>0.5*(1+'Hilfstabellen_Mat&amp;Bem'!$BD$31*(EE15-0.3)+EE15^2)</f>
        <v>6.3449658483576092</v>
      </c>
      <c r="EG15" s="550">
        <f t="shared" si="53"/>
        <v>8.5334360369225759E-2</v>
      </c>
      <c r="EI15" s="551">
        <f t="shared" si="54"/>
        <v>383.06594369745443</v>
      </c>
      <c r="EM15" s="546">
        <f t="shared" si="55"/>
        <v>67</v>
      </c>
      <c r="EN15" s="551">
        <f t="shared" si="56"/>
        <v>217.15263856087415</v>
      </c>
      <c r="EO15" s="553">
        <f>EN15/PI()*SQRT('Hilfstabellen_Mat&amp;Bem'!f.Rd.3/'Hilfstabellen_Mat&amp;Bem'!$BD$30)</f>
        <v>3.4560915832410846</v>
      </c>
      <c r="EP15" s="553">
        <f>0.5*(1+'Hilfstabellen_Mat&amp;Bem'!$BD$31*(EO15-0.3)+EO15^2)</f>
        <v>6.6300890950369871</v>
      </c>
      <c r="EQ15" s="550">
        <f t="shared" si="57"/>
        <v>8.1379297352125943E-2</v>
      </c>
      <c r="ES15" s="551">
        <f t="shared" si="58"/>
        <v>365.31166581369337</v>
      </c>
    </row>
    <row r="16" spans="1:149">
      <c r="C16" s="546">
        <v>68</v>
      </c>
      <c r="D16" s="551">
        <f t="shared" si="6"/>
        <v>142.63947827037813</v>
      </c>
      <c r="E16" s="553">
        <f>$D16/PI()*SQRT('Hilfstabellen_Mat&amp;Bem'!f.Rd.3/'Hilfstabellen_Mat&amp;Bem'!$BD$30)</f>
        <v>2.2701778046779673</v>
      </c>
      <c r="F16" s="553">
        <f>0.5*(1+'Hilfstabellen_Mat&amp;Bem'!$BD$31*($E16-0.3)+$E16^2)</f>
        <v>3.1753625226601359</v>
      </c>
      <c r="G16" s="550">
        <f t="shared" si="7"/>
        <v>0.18533801443588971</v>
      </c>
      <c r="I16" s="551">
        <f t="shared" si="8"/>
        <v>857.002978751554</v>
      </c>
      <c r="M16" s="546">
        <f t="shared" si="9"/>
        <v>68</v>
      </c>
      <c r="N16" s="551">
        <f t="shared" si="0"/>
        <v>147.73374535146306</v>
      </c>
      <c r="O16" s="553">
        <f>$N16/PI()*SQRT('Hilfstabellen_Mat&amp;Bem'!f.Rd.3/'Hilfstabellen_Mat&amp;Bem'!$BD$30)</f>
        <v>2.3512555834164663</v>
      </c>
      <c r="P16" s="553">
        <f>0.5*(1+'Hilfstabellen_Mat&amp;Bem'!$BD$31*($O16-0.3)+$O16^2)</f>
        <v>3.3667641884443769</v>
      </c>
      <c r="Q16" s="550">
        <f t="shared" si="1"/>
        <v>0.17311600660422768</v>
      </c>
      <c r="S16" s="551">
        <f t="shared" si="10"/>
        <v>800.48841453794887</v>
      </c>
      <c r="W16" s="546">
        <f t="shared" si="11"/>
        <v>68</v>
      </c>
      <c r="X16" s="551">
        <f t="shared" si="2"/>
        <v>152.82801243254798</v>
      </c>
      <c r="Y16" s="553">
        <f>$X16/PI()*SQRT('Hilfstabellen_Mat&amp;Bem'!f.Rd.3/'Hilfstabellen_Mat&amp;Bem'!$BD$30)</f>
        <v>2.432333362154965</v>
      </c>
      <c r="Z16" s="553">
        <f>0.5*(1+'Hilfstabellen_Mat&amp;Bem'!$BD$31*($Y16-0.3)+$Y16^2)</f>
        <v>3.5647394604337865</v>
      </c>
      <c r="AA16" s="550">
        <f t="shared" si="3"/>
        <v>0.16205570760234314</v>
      </c>
      <c r="AC16" s="551">
        <f t="shared" si="12"/>
        <v>749.3455919532347</v>
      </c>
      <c r="AG16" s="546">
        <f t="shared" si="13"/>
        <v>68</v>
      </c>
      <c r="AH16" s="551">
        <f t="shared" si="4"/>
        <v>157.9222795136329</v>
      </c>
      <c r="AI16" s="553">
        <f>$AH16/PI()*SQRT('Hilfstabellen_Mat&amp;Bem'!f.Rd.3/'Hilfstabellen_Mat&amp;Bem'!$BD$30)</f>
        <v>2.5134111408934636</v>
      </c>
      <c r="AJ16" s="553">
        <f>0.5*(1+'Hilfstabellen_Mat&amp;Bem'!$BD$31*($AI16-0.3)+$AI16^2)</f>
        <v>3.7692883386283644</v>
      </c>
      <c r="AK16" s="550">
        <f t="shared" si="5"/>
        <v>0.15201597631381519</v>
      </c>
      <c r="AM16" s="551">
        <f t="shared" si="14"/>
        <v>702.92187447508149</v>
      </c>
      <c r="AQ16" s="546">
        <f t="shared" si="15"/>
        <v>68</v>
      </c>
      <c r="AR16" s="551">
        <f t="shared" si="16"/>
        <v>163.01654659471785</v>
      </c>
      <c r="AS16" s="553">
        <f>$AR16/PI()*SQRT('Hilfstabellen_Mat&amp;Bem'!f.Rd.3/'Hilfstabellen_Mat&amp;Bem'!$BD$30)</f>
        <v>2.5944889196319627</v>
      </c>
      <c r="AT16" s="553">
        <f>0.5*(1+'Hilfstabellen_Mat&amp;Bem'!$BD$31*($AS16-0.3)+$AS16^2)</f>
        <v>3.9804108230281128</v>
      </c>
      <c r="AU16" s="550">
        <f t="shared" si="17"/>
        <v>0.14287614411114916</v>
      </c>
      <c r="AW16" s="551">
        <f t="shared" si="18"/>
        <v>660.65929036995374</v>
      </c>
      <c r="BA16" s="546">
        <f t="shared" si="19"/>
        <v>68</v>
      </c>
      <c r="BB16" s="551">
        <f t="shared" si="20"/>
        <v>168.1108136758028</v>
      </c>
      <c r="BC16" s="553">
        <f>$BB16/PI()*SQRT('Hilfstabellen_Mat&amp;Bem'!f.Rd.3/'Hilfstabellen_Mat&amp;Bem'!$BD$30)</f>
        <v>2.6755666983704618</v>
      </c>
      <c r="BD16" s="553">
        <f>0.5*(1+'Hilfstabellen_Mat&amp;Bem'!$BD$31*($BC16-0.3)+$BC16^2)</f>
        <v>4.1981069136330298</v>
      </c>
      <c r="BE16" s="550">
        <f t="shared" si="21"/>
        <v>0.13453263184512662</v>
      </c>
      <c r="BG16" s="551">
        <f t="shared" si="22"/>
        <v>622.07888965186555</v>
      </c>
      <c r="BK16" s="546">
        <f t="shared" si="23"/>
        <v>68</v>
      </c>
      <c r="BL16" s="551">
        <f t="shared" si="24"/>
        <v>173.20508075688772</v>
      </c>
      <c r="BM16" s="553">
        <f>$BL16/PI()*SQRT('Hilfstabellen_Mat&amp;Bem'!f.Rd.3/'Hilfstabellen_Mat&amp;Bem'!$BD$30)</f>
        <v>2.7566444771089604</v>
      </c>
      <c r="BN16" s="553">
        <f>0.5*(1+'Hilfstabellen_Mat&amp;Bem'!$BD$31*($BM16-0.3)+$BM16^2)</f>
        <v>4.4223766104431146</v>
      </c>
      <c r="BO16" s="550">
        <f t="shared" si="25"/>
        <v>0.12689617969031575</v>
      </c>
      <c r="BQ16" s="551">
        <f t="shared" si="26"/>
        <v>586.76793488802002</v>
      </c>
      <c r="BU16" s="546">
        <f t="shared" si="27"/>
        <v>68</v>
      </c>
      <c r="BV16" s="551">
        <f t="shared" si="28"/>
        <v>178.29934783797265</v>
      </c>
      <c r="BW16" s="553">
        <f>$BV16/PI()*SQRT('Hilfstabellen_Mat&amp;Bem'!f.Rd.3/'Hilfstabellen_Mat&amp;Bem'!$BD$30)</f>
        <v>2.8377222558474591</v>
      </c>
      <c r="BX16" s="553">
        <f>0.5*(1+'Hilfstabellen_Mat&amp;Bem'!$BD$31*($BW16-0.3)+$BW16^2)</f>
        <v>4.6532199134583685</v>
      </c>
      <c r="BY16" s="550">
        <f t="shared" si="29"/>
        <v>0.11988957286348216</v>
      </c>
      <c r="CA16" s="551">
        <f t="shared" si="30"/>
        <v>554.36938492074148</v>
      </c>
      <c r="CE16" s="546">
        <f t="shared" si="31"/>
        <v>68</v>
      </c>
      <c r="CF16" s="551">
        <f t="shared" si="32"/>
        <v>183.39361491905757</v>
      </c>
      <c r="CG16" s="553">
        <f>CF16/PI()*SQRT('Hilfstabellen_Mat&amp;Bem'!f.Rd.3/'Hilfstabellen_Mat&amp;Bem'!$BD$30)</f>
        <v>2.9188000345859577</v>
      </c>
      <c r="CH16" s="553">
        <f>0.5*(1+'Hilfstabellen_Mat&amp;Bem'!$BD$31*(CG16-0.3)+CG16^2)</f>
        <v>4.8906368226787915</v>
      </c>
      <c r="CI16" s="550">
        <f t="shared" si="33"/>
        <v>0.11344576847035256</v>
      </c>
      <c r="CK16" s="551">
        <f t="shared" si="34"/>
        <v>524.57323340691028</v>
      </c>
      <c r="CO16" s="546">
        <f t="shared" si="35"/>
        <v>68</v>
      </c>
      <c r="CP16" s="551">
        <f t="shared" si="36"/>
        <v>188.48788200014252</v>
      </c>
      <c r="CQ16" s="553">
        <f>CP16/PI()*SQRT('Hilfstabellen_Mat&amp;Bem'!f.Rd.3/'Hilfstabellen_Mat&amp;Bem'!$BD$30)</f>
        <v>2.9998778133244568</v>
      </c>
      <c r="CR16" s="553">
        <f>0.5*(1+'Hilfstabellen_Mat&amp;Bem'!$BD$31*(CQ16-0.3)+CQ16^2)</f>
        <v>5.1346273381043854</v>
      </c>
      <c r="CS16" s="550">
        <f t="shared" si="37"/>
        <v>0.10750634726507005</v>
      </c>
      <c r="CU16" s="551">
        <f t="shared" si="38"/>
        <v>497.10934975368394</v>
      </c>
      <c r="CY16" s="546">
        <f t="shared" si="39"/>
        <v>68</v>
      </c>
      <c r="CZ16" s="551">
        <f t="shared" si="40"/>
        <v>193.58214908122744</v>
      </c>
      <c r="DA16" s="553">
        <f>CZ16/PI()*SQRT('Hilfstabellen_Mat&amp;Bem'!f.Rd.3/'Hilfstabellen_Mat&amp;Bem'!$BD$30)</f>
        <v>3.0809555920629554</v>
      </c>
      <c r="DB16" s="553">
        <f>0.5*(1+'Hilfstabellen_Mat&amp;Bem'!$BD$31*(DA16-0.3)+DA16^2)</f>
        <v>5.3851914597351458</v>
      </c>
      <c r="DC16" s="550">
        <f t="shared" si="41"/>
        <v>0.10202022919161298</v>
      </c>
      <c r="DE16" s="551">
        <f t="shared" si="42"/>
        <v>471.74153978201844</v>
      </c>
      <c r="DI16" s="546">
        <f t="shared" si="43"/>
        <v>68</v>
      </c>
      <c r="DJ16" s="551">
        <f t="shared" si="44"/>
        <v>198.67641616231239</v>
      </c>
      <c r="DK16" s="553">
        <f>DJ16/PI()*SQRT('Hilfstabellen_Mat&amp;Bem'!f.Rd.3/'Hilfstabellen_Mat&amp;Bem'!$BD$30)</f>
        <v>3.1620333708014545</v>
      </c>
      <c r="DL16" s="553">
        <f>0.5*(1+'Hilfstabellen_Mat&amp;Bem'!$BD$31*(DK16-0.3)+DK16^2)</f>
        <v>5.642329187571077</v>
      </c>
      <c r="DM16" s="550">
        <f t="shared" si="45"/>
        <v>9.6942603702253966E-2</v>
      </c>
      <c r="DO16" s="551">
        <f t="shared" si="46"/>
        <v>448.26259951922236</v>
      </c>
      <c r="DS16" s="546">
        <f t="shared" si="47"/>
        <v>68</v>
      </c>
      <c r="DT16" s="551">
        <f t="shared" si="48"/>
        <v>203.77068324339731</v>
      </c>
      <c r="DU16" s="553">
        <f>DT16/PI()*SQRT('Hilfstabellen_Mat&amp;Bem'!f.Rd.3/'Hilfstabellen_Mat&amp;Bem'!$BD$30)</f>
        <v>3.2431111495399536</v>
      </c>
      <c r="DV16" s="553">
        <f>0.5*(1+'Hilfstabellen_Mat&amp;Bem'!$BD$31*(DU16-0.3)+DU16^2)</f>
        <v>5.9060405216121774</v>
      </c>
      <c r="DW16" s="550">
        <f t="shared" si="49"/>
        <v>9.2234035529692268E-2</v>
      </c>
      <c r="DY16" s="551">
        <f t="shared" si="50"/>
        <v>426.49018028929703</v>
      </c>
      <c r="EC16" s="546">
        <f t="shared" si="51"/>
        <v>68</v>
      </c>
      <c r="ED16" s="551">
        <f t="shared" si="52"/>
        <v>208.86495032448227</v>
      </c>
      <c r="EE16" s="553">
        <f>ED16/PI()*SQRT('Hilfstabellen_Mat&amp;Bem'!f.Rd.3/'Hilfstabellen_Mat&amp;Bem'!$BD$30)</f>
        <v>3.3241889282784522</v>
      </c>
      <c r="EF16" s="553">
        <f>0.5*(1+'Hilfstabellen_Mat&amp;Bem'!$BD$31*(EE16-0.3)+EE16^2)</f>
        <v>6.1763254618584451</v>
      </c>
      <c r="EG16" s="550">
        <f t="shared" si="53"/>
        <v>8.7859714295482005E-2</v>
      </c>
      <c r="EI16" s="551">
        <f t="shared" si="54"/>
        <v>406.26331890230881</v>
      </c>
      <c r="EM16" s="546">
        <f t="shared" si="55"/>
        <v>68</v>
      </c>
      <c r="EN16" s="551">
        <f t="shared" si="56"/>
        <v>213.95921740556719</v>
      </c>
      <c r="EO16" s="553">
        <f>EN16/PI()*SQRT('Hilfstabellen_Mat&amp;Bem'!f.Rd.3/'Hilfstabellen_Mat&amp;Bem'!$BD$30)</f>
        <v>3.4052667070169513</v>
      </c>
      <c r="EP16" s="553">
        <f>0.5*(1+'Hilfstabellen_Mat&amp;Bem'!$BD$31*(EO16-0.3)+EO16^2)</f>
        <v>6.4531840083098828</v>
      </c>
      <c r="EQ16" s="550">
        <f t="shared" si="57"/>
        <v>8.3788822466063867E-2</v>
      </c>
      <c r="ES16" s="551">
        <f t="shared" si="58"/>
        <v>387.4395150830793</v>
      </c>
    </row>
    <row r="17" spans="3:149">
      <c r="C17" s="546">
        <v>69</v>
      </c>
      <c r="D17" s="551">
        <f t="shared" si="6"/>
        <v>140.57223945486541</v>
      </c>
      <c r="E17" s="553">
        <f>$D17/PI()*SQRT('Hilfstabellen_Mat&amp;Bem'!f.Rd.3/'Hilfstabellen_Mat&amp;Bem'!$BD$30)</f>
        <v>2.2372766770739392</v>
      </c>
      <c r="F17" s="553">
        <f>0.5*(1+'Hilfstabellen_Mat&amp;Bem'!$BD$31*($E17-0.3)+$E17^2)</f>
        <v>3.0995672987432004</v>
      </c>
      <c r="G17" s="550">
        <f t="shared" si="7"/>
        <v>0.19066599570315113</v>
      </c>
      <c r="I17" s="551">
        <f t="shared" si="8"/>
        <v>907.76080554270254</v>
      </c>
      <c r="M17" s="546">
        <f t="shared" si="9"/>
        <v>69</v>
      </c>
      <c r="N17" s="551">
        <f t="shared" si="0"/>
        <v>145.59267657825345</v>
      </c>
      <c r="O17" s="553">
        <f>$N17/PI()*SQRT('Hilfstabellen_Mat&amp;Bem'!f.Rd.3/'Hilfstabellen_Mat&amp;Bem'!$BD$30)</f>
        <v>2.3171794155408652</v>
      </c>
      <c r="P17" s="553">
        <f>0.5*(1+'Hilfstabellen_Mat&amp;Bem'!$BD$31*($O17-0.3)+$O17^2)</f>
        <v>3.2855191926801961</v>
      </c>
      <c r="Q17" s="550">
        <f t="shared" si="1"/>
        <v>0.17810232136316001</v>
      </c>
      <c r="S17" s="551">
        <f t="shared" si="10"/>
        <v>847.94515201000479</v>
      </c>
      <c r="W17" s="546">
        <f t="shared" si="11"/>
        <v>69</v>
      </c>
      <c r="X17" s="551">
        <f t="shared" si="2"/>
        <v>150.61311370164151</v>
      </c>
      <c r="Y17" s="553">
        <f>$X17/PI()*SQRT('Hilfstabellen_Mat&amp;Bem'!f.Rd.3/'Hilfstabellen_Mat&amp;Bem'!$BD$30)</f>
        <v>2.397082154007792</v>
      </c>
      <c r="Z17" s="553">
        <f>0.5*(1+'Hilfstabellen_Mat&amp;Bem'!$BD$31*($Y17-0.3)+$Y17^2)</f>
        <v>3.4778555342317072</v>
      </c>
      <c r="AA17" s="550">
        <f t="shared" si="3"/>
        <v>0.16673135157845953</v>
      </c>
      <c r="AC17" s="551">
        <f t="shared" si="12"/>
        <v>793.80796486504585</v>
      </c>
      <c r="AG17" s="546">
        <f t="shared" si="13"/>
        <v>69</v>
      </c>
      <c r="AH17" s="551">
        <f t="shared" si="4"/>
        <v>155.63355082502954</v>
      </c>
      <c r="AI17" s="553">
        <f>$AH17/PI()*SQRT('Hilfstabellen_Mat&amp;Bem'!f.Rd.3/'Hilfstabellen_Mat&amp;Bem'!$BD$30)</f>
        <v>2.476984892474718</v>
      </c>
      <c r="AJ17" s="553">
        <f>0.5*(1+'Hilfstabellen_Mat&amp;Bem'!$BD$31*($AI17-0.3)+$AI17^2)</f>
        <v>3.6765763233977307</v>
      </c>
      <c r="AK17" s="550">
        <f t="shared" si="5"/>
        <v>0.15640846988561796</v>
      </c>
      <c r="AM17" s="551">
        <f t="shared" si="14"/>
        <v>744.66072512542712</v>
      </c>
      <c r="AQ17" s="546">
        <f t="shared" si="15"/>
        <v>69</v>
      </c>
      <c r="AR17" s="551">
        <f t="shared" si="16"/>
        <v>160.65398794841761</v>
      </c>
      <c r="AS17" s="553">
        <f>$AR17/PI()*SQRT('Hilfstabellen_Mat&amp;Bem'!f.Rd.3/'Hilfstabellen_Mat&amp;Bem'!$BD$30)</f>
        <v>2.5568876309416448</v>
      </c>
      <c r="AT17" s="553">
        <f>0.5*(1+'Hilfstabellen_Mat&amp;Bem'!$BD$31*($AS17-0.3)+$AS17^2)</f>
        <v>3.8816815601782708</v>
      </c>
      <c r="AU17" s="550">
        <f t="shared" si="17"/>
        <v>0.14700996820472786</v>
      </c>
      <c r="AW17" s="551">
        <f t="shared" si="18"/>
        <v>699.91445862270939</v>
      </c>
      <c r="BA17" s="546">
        <f t="shared" si="19"/>
        <v>69</v>
      </c>
      <c r="BB17" s="551">
        <f t="shared" si="20"/>
        <v>165.67442507180564</v>
      </c>
      <c r="BC17" s="553">
        <f>$BB17/PI()*SQRT('Hilfstabellen_Mat&amp;Bem'!f.Rd.3/'Hilfstabellen_Mat&amp;Bem'!$BD$30)</f>
        <v>2.6367903694085708</v>
      </c>
      <c r="BD17" s="553">
        <f>0.5*(1+'Hilfstabellen_Mat&amp;Bem'!$BD$31*($BC17-0.3)+$BC17^2)</f>
        <v>4.0931712445733224</v>
      </c>
      <c r="BE17" s="550">
        <f t="shared" si="21"/>
        <v>0.13842961025796457</v>
      </c>
      <c r="BG17" s="551">
        <f t="shared" si="22"/>
        <v>659.06337443816938</v>
      </c>
      <c r="BK17" s="546">
        <f t="shared" si="23"/>
        <v>69</v>
      </c>
      <c r="BL17" s="551">
        <f t="shared" si="24"/>
        <v>170.69486219519368</v>
      </c>
      <c r="BM17" s="553">
        <f>$BL17/PI()*SQRT('Hilfstabellen_Mat&amp;Bem'!f.Rd.3/'Hilfstabellen_Mat&amp;Bem'!$BD$30)</f>
        <v>2.7166931078754968</v>
      </c>
      <c r="BN17" s="553">
        <f>0.5*(1+'Hilfstabellen_Mat&amp;Bem'!$BD$31*($BM17-0.3)+$BM17^2)</f>
        <v>4.3110453765828876</v>
      </c>
      <c r="BO17" s="550">
        <f t="shared" si="25"/>
        <v>0.13057581190330128</v>
      </c>
      <c r="BQ17" s="551">
        <f t="shared" si="26"/>
        <v>621.67144047161742</v>
      </c>
      <c r="BU17" s="546">
        <f t="shared" si="27"/>
        <v>69</v>
      </c>
      <c r="BV17" s="551">
        <f t="shared" si="28"/>
        <v>175.71529931858174</v>
      </c>
      <c r="BW17" s="553">
        <f>$BV17/PI()*SQRT('Hilfstabellen_Mat&amp;Bem'!f.Rd.3/'Hilfstabellen_Mat&amp;Bem'!$BD$30)</f>
        <v>2.7965958463424236</v>
      </c>
      <c r="BX17" s="553">
        <f>0.5*(1+'Hilfstabellen_Mat&amp;Bem'!$BD$31*($BW17-0.3)+$BW17^2)</f>
        <v>4.5353039562069695</v>
      </c>
      <c r="BY17" s="550">
        <f t="shared" si="29"/>
        <v>0.12336932256191914</v>
      </c>
      <c r="CA17" s="551">
        <f t="shared" si="30"/>
        <v>587.36134471729702</v>
      </c>
      <c r="CE17" s="546">
        <f t="shared" si="31"/>
        <v>69</v>
      </c>
      <c r="CF17" s="551">
        <f t="shared" si="32"/>
        <v>180.73573644196978</v>
      </c>
      <c r="CG17" s="553">
        <f>CF17/PI()*SQRT('Hilfstabellen_Mat&amp;Bem'!f.Rd.3/'Hilfstabellen_Mat&amp;Bem'!$BD$30)</f>
        <v>2.8764985848093496</v>
      </c>
      <c r="CH17" s="553">
        <f>0.5*(1+'Hilfstabellen_Mat&amp;Bem'!$BD$31*(CG17-0.3)+CG17^2)</f>
        <v>4.7659469834455628</v>
      </c>
      <c r="CI17" s="550">
        <f t="shared" si="33"/>
        <v>0.11674131318631241</v>
      </c>
      <c r="CK17" s="551">
        <f t="shared" si="34"/>
        <v>555.80539208003336</v>
      </c>
      <c r="CO17" s="546">
        <f t="shared" si="35"/>
        <v>69</v>
      </c>
      <c r="CP17" s="551">
        <f t="shared" si="36"/>
        <v>185.75617356535784</v>
      </c>
      <c r="CQ17" s="553">
        <f>CP17/PI()*SQRT('Hilfstabellen_Mat&amp;Bem'!f.Rd.3/'Hilfstabellen_Mat&amp;Bem'!$BD$30)</f>
        <v>2.9564013232762765</v>
      </c>
      <c r="CR17" s="553">
        <f>0.5*(1+'Hilfstabellen_Mat&amp;Bem'!$BD$31*(CQ17-0.3)+CQ17^2)</f>
        <v>5.0029744582986728</v>
      </c>
      <c r="CS17" s="550">
        <f t="shared" si="37"/>
        <v>0.11063179427382726</v>
      </c>
      <c r="CU17" s="551">
        <f t="shared" si="38"/>
        <v>526.71797253769159</v>
      </c>
      <c r="CY17" s="546">
        <f t="shared" si="39"/>
        <v>69</v>
      </c>
      <c r="CZ17" s="551">
        <f t="shared" si="40"/>
        <v>190.7766106887459</v>
      </c>
      <c r="DA17" s="553">
        <f>CZ17/PI()*SQRT('Hilfstabellen_Mat&amp;Bem'!f.Rd.3/'Hilfstabellen_Mat&amp;Bem'!$BD$30)</f>
        <v>3.0363040617432029</v>
      </c>
      <c r="DB17" s="553">
        <f>0.5*(1+'Hilfstabellen_Mat&amp;Bem'!$BD$31*(DA17-0.3)+DA17^2)</f>
        <v>5.246386380766296</v>
      </c>
      <c r="DC17" s="550">
        <f t="shared" si="41"/>
        <v>0.10498830231126875</v>
      </c>
      <c r="DE17" s="551">
        <f t="shared" si="42"/>
        <v>499.84930730395052</v>
      </c>
      <c r="DI17" s="546">
        <f t="shared" si="43"/>
        <v>69</v>
      </c>
      <c r="DJ17" s="551">
        <f t="shared" si="44"/>
        <v>195.79704781213394</v>
      </c>
      <c r="DK17" s="553">
        <f>DJ17/PI()*SQRT('Hilfstabellen_Mat&amp;Bem'!f.Rd.3/'Hilfstabellen_Mat&amp;Bem'!$BD$30)</f>
        <v>3.1162068002101293</v>
      </c>
      <c r="DL17" s="553">
        <f>0.5*(1+'Hilfstabellen_Mat&amp;Bem'!$BD$31*(DK17-0.3)+DK17^2)</f>
        <v>5.4961827508484333</v>
      </c>
      <c r="DM17" s="550">
        <f t="shared" si="45"/>
        <v>9.9764805098491421E-2</v>
      </c>
      <c r="DO17" s="551">
        <f t="shared" si="46"/>
        <v>474.98023707391764</v>
      </c>
      <c r="DS17" s="546">
        <f t="shared" si="47"/>
        <v>69</v>
      </c>
      <c r="DT17" s="551">
        <f t="shared" si="48"/>
        <v>200.817484935522</v>
      </c>
      <c r="DU17" s="553">
        <f>DT17/PI()*SQRT('Hilfstabellen_Mat&amp;Bem'!f.Rd.3/'Hilfstabellen_Mat&amp;Bem'!$BD$30)</f>
        <v>3.1961095386770557</v>
      </c>
      <c r="DV17" s="553">
        <f>0.5*(1+'Hilfstabellen_Mat&amp;Bem'!$BD$31*(DU17-0.3)+DU17^2)</f>
        <v>5.7523635685450838</v>
      </c>
      <c r="DW17" s="550">
        <f t="shared" si="49"/>
        <v>9.4920786088163067E-2</v>
      </c>
      <c r="DY17" s="551">
        <f t="shared" si="50"/>
        <v>451.91786256574437</v>
      </c>
      <c r="EC17" s="546">
        <f t="shared" si="51"/>
        <v>69</v>
      </c>
      <c r="ED17" s="551">
        <f t="shared" si="52"/>
        <v>205.83792205891004</v>
      </c>
      <c r="EE17" s="553">
        <f>ED17/PI()*SQRT('Hilfstabellen_Mat&amp;Bem'!f.Rd.3/'Hilfstabellen_Mat&amp;Bem'!$BD$30)</f>
        <v>3.2760122771439821</v>
      </c>
      <c r="EF17" s="553">
        <f>0.5*(1+'Hilfstabellen_Mat&amp;Bem'!$BD$31*(EE17-0.3)+EE17^2)</f>
        <v>6.0149288338562492</v>
      </c>
      <c r="EG17" s="550">
        <f t="shared" si="53"/>
        <v>9.042047562607089E-2</v>
      </c>
      <c r="EI17" s="551">
        <f t="shared" si="54"/>
        <v>430.49188445572349</v>
      </c>
      <c r="EM17" s="546">
        <f t="shared" si="55"/>
        <v>69</v>
      </c>
      <c r="EN17" s="551">
        <f t="shared" si="56"/>
        <v>210.8583591822981</v>
      </c>
      <c r="EO17" s="553">
        <f>EN17/PI()*SQRT('Hilfstabellen_Mat&amp;Bem'!f.Rd.3/'Hilfstabellen_Mat&amp;Bem'!$BD$30)</f>
        <v>3.3559150156109085</v>
      </c>
      <c r="EP17" s="553">
        <f>0.5*(1+'Hilfstabellen_Mat&amp;Bem'!$BD$31*(EO17-0.3)+EO17^2)</f>
        <v>6.2838785467819278</v>
      </c>
      <c r="EQ17" s="550">
        <f t="shared" si="57"/>
        <v>8.6232203159352733E-2</v>
      </c>
      <c r="ES17" s="551">
        <f t="shared" si="58"/>
        <v>410.55151924167836</v>
      </c>
    </row>
    <row r="18" spans="3:149">
      <c r="C18" s="546">
        <v>70</v>
      </c>
      <c r="D18" s="551">
        <f t="shared" si="6"/>
        <v>138.56406460551017</v>
      </c>
      <c r="E18" s="553">
        <f>$D18/PI()*SQRT('Hilfstabellen_Mat&amp;Bem'!f.Rd.3/'Hilfstabellen_Mat&amp;Bem'!$BD$30)</f>
        <v>2.2053155816871679</v>
      </c>
      <c r="F18" s="553">
        <f>0.5*(1+'Hilfstabellen_Mat&amp;Bem'!$BD$31*($E18-0.3)+$E18^2)</f>
        <v>3.026974186500464</v>
      </c>
      <c r="G18" s="550">
        <f t="shared" si="7"/>
        <v>0.19606248557633724</v>
      </c>
      <c r="I18" s="551">
        <f t="shared" si="8"/>
        <v>960.70617932405241</v>
      </c>
      <c r="M18" s="546">
        <f t="shared" si="9"/>
        <v>70</v>
      </c>
      <c r="N18" s="551">
        <f t="shared" si="0"/>
        <v>143.51278119856411</v>
      </c>
      <c r="O18" s="553">
        <f>$N18/PI()*SQRT('Hilfstabellen_Mat&amp;Bem'!f.Rd.3/'Hilfstabellen_Mat&amp;Bem'!$BD$30)</f>
        <v>2.2840768524617103</v>
      </c>
      <c r="P18" s="553">
        <f>0.5*(1+'Hilfstabellen_Mat&amp;Bem'!$BD$31*($O18-0.3)+$O18^2)</f>
        <v>3.2077073765987825</v>
      </c>
      <c r="Q18" s="550">
        <f t="shared" si="1"/>
        <v>0.18315347853146255</v>
      </c>
      <c r="S18" s="551">
        <f t="shared" si="10"/>
        <v>897.45204480416646</v>
      </c>
      <c r="W18" s="546">
        <f t="shared" si="11"/>
        <v>70</v>
      </c>
      <c r="X18" s="551">
        <f t="shared" si="2"/>
        <v>148.46149779161803</v>
      </c>
      <c r="Y18" s="553">
        <f>$X18/PI()*SQRT('Hilfstabellen_Mat&amp;Bem'!f.Rd.3/'Hilfstabellen_Mat&amp;Bem'!$BD$30)</f>
        <v>2.3628381232362514</v>
      </c>
      <c r="Z18" s="553">
        <f>0.5*(1+'Hilfstabellen_Mat&amp;Bem'!$BD$31*($Y18-0.3)+$Y18^2)</f>
        <v>3.3946439044711179</v>
      </c>
      <c r="AA18" s="550">
        <f t="shared" si="3"/>
        <v>0.17146837621828159</v>
      </c>
      <c r="AC18" s="551">
        <f t="shared" si="12"/>
        <v>840.19504346957979</v>
      </c>
      <c r="AG18" s="546">
        <f t="shared" si="13"/>
        <v>70</v>
      </c>
      <c r="AH18" s="551">
        <f t="shared" si="4"/>
        <v>153.41021438467197</v>
      </c>
      <c r="AI18" s="553">
        <f>$AH18/PI()*SQRT('Hilfstabellen_Mat&amp;Bem'!f.Rd.3/'Hilfstabellen_Mat&amp;Bem'!$BD$30)</f>
        <v>2.4415993940107934</v>
      </c>
      <c r="AJ18" s="553">
        <f>0.5*(1+'Hilfstabellen_Mat&amp;Bem'!$BD$31*($AI18-0.3)+$AI18^2)</f>
        <v>3.5877837701174764</v>
      </c>
      <c r="AK18" s="550">
        <f t="shared" si="5"/>
        <v>0.16085909246623747</v>
      </c>
      <c r="AM18" s="551">
        <f t="shared" si="14"/>
        <v>788.20955308456359</v>
      </c>
      <c r="AQ18" s="546">
        <f t="shared" si="15"/>
        <v>70</v>
      </c>
      <c r="AR18" s="551">
        <f t="shared" si="16"/>
        <v>158.35893097772592</v>
      </c>
      <c r="AS18" s="553">
        <f>$AR18/PI()*SQRT('Hilfstabellen_Mat&amp;Bem'!f.Rd.3/'Hilfstabellen_Mat&amp;Bem'!$BD$30)</f>
        <v>2.5203606647853354</v>
      </c>
      <c r="AT18" s="553">
        <f>0.5*(1+'Hilfstabellen_Mat&amp;Bem'!$BD$31*($AS18-0.3)+$AS18^2)</f>
        <v>3.7871269735378554</v>
      </c>
      <c r="AU18" s="550">
        <f t="shared" si="17"/>
        <v>0.15119887697503148</v>
      </c>
      <c r="AW18" s="551">
        <f t="shared" si="18"/>
        <v>740.87449717765423</v>
      </c>
      <c r="BA18" s="546">
        <f t="shared" si="19"/>
        <v>70</v>
      </c>
      <c r="BB18" s="551">
        <f t="shared" si="20"/>
        <v>163.30764757077986</v>
      </c>
      <c r="BC18" s="553">
        <f>$BB18/PI()*SQRT('Hilfstabellen_Mat&amp;Bem'!f.Rd.3/'Hilfstabellen_Mat&amp;Bem'!$BD$30)</f>
        <v>2.5991219355598769</v>
      </c>
      <c r="BD18" s="553">
        <f>0.5*(1+'Hilfstabellen_Mat&amp;Bem'!$BD$31*($BC18-0.3)+$BC18^2)</f>
        <v>3.9926735147322545</v>
      </c>
      <c r="BE18" s="550">
        <f t="shared" si="21"/>
        <v>0.14237882870511853</v>
      </c>
      <c r="BG18" s="551">
        <f t="shared" si="22"/>
        <v>697.65626065508081</v>
      </c>
      <c r="BK18" s="546">
        <f t="shared" si="23"/>
        <v>70</v>
      </c>
      <c r="BL18" s="551">
        <f t="shared" si="24"/>
        <v>168.25636416383378</v>
      </c>
      <c r="BM18" s="553">
        <f>$BL18/PI()*SQRT('Hilfstabellen_Mat&amp;Bem'!f.Rd.3/'Hilfstabellen_Mat&amp;Bem'!$BD$30)</f>
        <v>2.6778832063344185</v>
      </c>
      <c r="BN18" s="553">
        <f>0.5*(1+'Hilfstabellen_Mat&amp;Bem'!$BD$31*($BM18-0.3)+$BM18^2)</f>
        <v>4.2044233937006741</v>
      </c>
      <c r="BO18" s="550">
        <f t="shared" si="25"/>
        <v>0.13430502891637738</v>
      </c>
      <c r="BQ18" s="551">
        <f t="shared" si="26"/>
        <v>658.0946416902492</v>
      </c>
      <c r="BU18" s="546">
        <f t="shared" si="27"/>
        <v>70</v>
      </c>
      <c r="BV18" s="551">
        <f t="shared" si="28"/>
        <v>173.20508075688772</v>
      </c>
      <c r="BW18" s="553">
        <f>$BV18/PI()*SQRT('Hilfstabellen_Mat&amp;Bem'!f.Rd.3/'Hilfstabellen_Mat&amp;Bem'!$BD$30)</f>
        <v>2.7566444771089604</v>
      </c>
      <c r="BX18" s="553">
        <f>0.5*(1+'Hilfstabellen_Mat&amp;Bem'!$BD$31*($BW18-0.3)+$BW18^2)</f>
        <v>4.4223766104431146</v>
      </c>
      <c r="BY18" s="550">
        <f t="shared" si="29"/>
        <v>0.12689617969031575</v>
      </c>
      <c r="CA18" s="551">
        <f t="shared" si="30"/>
        <v>621.79128048254711</v>
      </c>
      <c r="CE18" s="546">
        <f t="shared" si="31"/>
        <v>70</v>
      </c>
      <c r="CF18" s="551">
        <f t="shared" si="32"/>
        <v>178.15379734994167</v>
      </c>
      <c r="CG18" s="553">
        <f>CF18/PI()*SQRT('Hilfstabellen_Mat&amp;Bem'!f.Rd.3/'Hilfstabellen_Mat&amp;Bem'!$BD$30)</f>
        <v>2.8354057478835024</v>
      </c>
      <c r="CH18" s="553">
        <f>0.5*(1+'Hilfstabellen_Mat&amp;Bem'!$BD$31*(CG18-0.3)+CG18^2)</f>
        <v>4.6465331649595765</v>
      </c>
      <c r="CI18" s="550">
        <f t="shared" si="33"/>
        <v>0.12008165387947506</v>
      </c>
      <c r="CK18" s="551">
        <f t="shared" si="34"/>
        <v>588.40010400942776</v>
      </c>
      <c r="CO18" s="546">
        <f t="shared" si="35"/>
        <v>70</v>
      </c>
      <c r="CP18" s="551">
        <f t="shared" si="36"/>
        <v>183.10251394299559</v>
      </c>
      <c r="CQ18" s="553">
        <f>CP18/PI()*SQRT('Hilfstabellen_Mat&amp;Bem'!f.Rd.3/'Hilfstabellen_Mat&amp;Bem'!$BD$30)</f>
        <v>2.9141670186580435</v>
      </c>
      <c r="CR18" s="553">
        <f>0.5*(1+'Hilfstabellen_Mat&amp;Bem'!$BD$31*(CQ18-0.3)+CQ18^2)</f>
        <v>4.8768930572500571</v>
      </c>
      <c r="CS18" s="550">
        <f t="shared" si="37"/>
        <v>0.11379987989987189</v>
      </c>
      <c r="CU18" s="551">
        <f t="shared" si="38"/>
        <v>557.6194115093723</v>
      </c>
      <c r="CY18" s="546">
        <f t="shared" si="39"/>
        <v>70</v>
      </c>
      <c r="CZ18" s="551">
        <f t="shared" si="40"/>
        <v>188.05123053604953</v>
      </c>
      <c r="DA18" s="553">
        <f>CZ18/PI()*SQRT('Hilfstabellen_Mat&amp;Bem'!f.Rd.3/'Hilfstabellen_Mat&amp;Bem'!$BD$30)</f>
        <v>2.9929282894325855</v>
      </c>
      <c r="DB18" s="553">
        <f>0.5*(1+'Hilfstabellen_Mat&amp;Bem'!$BD$31*(DA18-0.3)+DA18^2)</f>
        <v>5.1134562873145608</v>
      </c>
      <c r="DC18" s="550">
        <f t="shared" si="41"/>
        <v>0.10799699938911671</v>
      </c>
      <c r="DE18" s="551">
        <f t="shared" si="42"/>
        <v>529.18529700667182</v>
      </c>
      <c r="DI18" s="546">
        <f t="shared" si="43"/>
        <v>70</v>
      </c>
      <c r="DJ18" s="551">
        <f t="shared" si="44"/>
        <v>192.99994712910348</v>
      </c>
      <c r="DK18" s="553">
        <f>DJ18/PI()*SQRT('Hilfstabellen_Mat&amp;Bem'!f.Rd.3/'Hilfstabellen_Mat&amp;Bem'!$BD$30)</f>
        <v>3.0716895602071275</v>
      </c>
      <c r="DL18" s="553">
        <f>0.5*(1+'Hilfstabellen_Mat&amp;Bem'!$BD$31*(DK18-0.3)+DK18^2)</f>
        <v>5.3562228551530842</v>
      </c>
      <c r="DM18" s="550">
        <f t="shared" si="45"/>
        <v>0.10262574770808391</v>
      </c>
      <c r="DO18" s="551">
        <f t="shared" si="46"/>
        <v>502.86616376961121</v>
      </c>
      <c r="DS18" s="546">
        <f t="shared" si="47"/>
        <v>70</v>
      </c>
      <c r="DT18" s="551">
        <f t="shared" si="48"/>
        <v>197.94866372215739</v>
      </c>
      <c r="DU18" s="553">
        <f>DT18/PI()*SQRT('Hilfstabellen_Mat&amp;Bem'!f.Rd.3/'Hilfstabellen_Mat&amp;Bem'!$BD$30)</f>
        <v>3.150450830981669</v>
      </c>
      <c r="DV18" s="553">
        <f>0.5*(1+'Hilfstabellen_Mat&amp;Bem'!$BD$31*(DU18-0.3)+DU18^2)</f>
        <v>5.605192760765628</v>
      </c>
      <c r="DW18" s="550">
        <f t="shared" si="49"/>
        <v>9.7644516933586098E-2</v>
      </c>
      <c r="DY18" s="551">
        <f t="shared" si="50"/>
        <v>478.45813297457187</v>
      </c>
      <c r="EC18" s="546">
        <f t="shared" si="51"/>
        <v>70</v>
      </c>
      <c r="ED18" s="551">
        <f t="shared" si="52"/>
        <v>202.89738031521131</v>
      </c>
      <c r="EE18" s="553">
        <f>ED18/PI()*SQRT('Hilfstabellen_Mat&amp;Bem'!f.Rd.3/'Hilfstabellen_Mat&amp;Bem'!$BD$30)</f>
        <v>3.2292121017562105</v>
      </c>
      <c r="EF18" s="553">
        <f>0.5*(1+'Hilfstabellen_Mat&amp;Bem'!$BD$31*(EE18-0.3)+EE18^2)</f>
        <v>5.8603660041521914</v>
      </c>
      <c r="EG18" s="550">
        <f t="shared" si="53"/>
        <v>9.3016568760417764E-2</v>
      </c>
      <c r="EI18" s="551">
        <f t="shared" si="54"/>
        <v>455.78118692604704</v>
      </c>
      <c r="EM18" s="546">
        <f t="shared" si="55"/>
        <v>70</v>
      </c>
      <c r="EN18" s="551">
        <f t="shared" si="56"/>
        <v>207.84609690826525</v>
      </c>
      <c r="EO18" s="553">
        <f>EN18/PI()*SQRT('Hilfstabellen_Mat&amp;Bem'!f.Rd.3/'Hilfstabellen_Mat&amp;Bem'!$BD$30)</f>
        <v>3.3079733725307521</v>
      </c>
      <c r="EP18" s="553">
        <f>0.5*(1+'Hilfstabellen_Mat&amp;Bem'!$BD$31*(EO18-0.3)+EO18^2)</f>
        <v>6.1217425853127763</v>
      </c>
      <c r="EQ18" s="550">
        <f t="shared" si="57"/>
        <v>8.8709370957235356E-2</v>
      </c>
      <c r="ES18" s="551">
        <f t="shared" si="58"/>
        <v>434.67591769045322</v>
      </c>
    </row>
    <row r="19" spans="3:149">
      <c r="C19" s="546">
        <v>71</v>
      </c>
      <c r="D19" s="551">
        <f t="shared" si="6"/>
        <v>136.61245806177058</v>
      </c>
      <c r="E19" s="553">
        <f>$D19/PI()*SQRT('Hilfstabellen_Mat&amp;Bem'!f.Rd.3/'Hilfstabellen_Mat&amp;Bem'!$BD$30)</f>
        <v>2.1742547988465035</v>
      </c>
      <c r="F19" s="553">
        <f>0.5*(1+'Hilfstabellen_Mat&amp;Bem'!$BD$31*($E19-0.3)+$E19^2)</f>
        <v>2.9574047050958501</v>
      </c>
      <c r="G19" s="550">
        <f t="shared" si="7"/>
        <v>0.20152701753057661</v>
      </c>
      <c r="I19" s="551">
        <f t="shared" si="8"/>
        <v>1015.8976953716367</v>
      </c>
      <c r="M19" s="546">
        <f t="shared" si="9"/>
        <v>71</v>
      </c>
      <c r="N19" s="551">
        <f t="shared" si="0"/>
        <v>141.49147442111953</v>
      </c>
      <c r="O19" s="553">
        <f>$N19/PI()*SQRT('Hilfstabellen_Mat&amp;Bem'!f.Rd.3/'Hilfstabellen_Mat&amp;Bem'!$BD$30)</f>
        <v>2.2519067559481645</v>
      </c>
      <c r="P19" s="553">
        <f>0.5*(1+'Hilfstabellen_Mat&amp;Bem'!$BD$31*($O19-0.3)+$O19^2)</f>
        <v>3.1331373565399012</v>
      </c>
      <c r="Q19" s="550">
        <f t="shared" si="1"/>
        <v>0.1882690911069983</v>
      </c>
      <c r="S19" s="551">
        <f t="shared" si="10"/>
        <v>949.06448827037843</v>
      </c>
      <c r="W19" s="546">
        <f t="shared" si="11"/>
        <v>71</v>
      </c>
      <c r="X19" s="551">
        <f t="shared" si="2"/>
        <v>146.37049078046849</v>
      </c>
      <c r="Y19" s="553">
        <f>$X19/PI()*SQRT('Hilfstabellen_Mat&amp;Bem'!f.Rd.3/'Hilfstabellen_Mat&amp;Bem'!$BD$30)</f>
        <v>2.3295587130498254</v>
      </c>
      <c r="Z19" s="553">
        <f>0.5*(1+'Hilfstabellen_Mat&amp;Bem'!$BD$31*($Y19-0.3)+$Y19^2)</f>
        <v>3.3148998344256704</v>
      </c>
      <c r="AA19" s="550">
        <f t="shared" si="3"/>
        <v>0.17626645694681373</v>
      </c>
      <c r="AC19" s="551">
        <f t="shared" si="12"/>
        <v>888.55920946888796</v>
      </c>
      <c r="AG19" s="546">
        <f t="shared" si="13"/>
        <v>71</v>
      </c>
      <c r="AH19" s="551">
        <f t="shared" si="4"/>
        <v>151.24950713981744</v>
      </c>
      <c r="AI19" s="553">
        <f>$AH19/PI()*SQRT('Hilfstabellen_Mat&amp;Bem'!f.Rd.3/'Hilfstabellen_Mat&amp;Bem'!$BD$30)</f>
        <v>2.4072106701514864</v>
      </c>
      <c r="AJ19" s="553">
        <f>0.5*(1+'Hilfstabellen_Mat&amp;Bem'!$BD$31*($AI19-0.3)+$AI19^2)</f>
        <v>3.5026921387531584</v>
      </c>
      <c r="AK19" s="550">
        <f t="shared" si="5"/>
        <v>0.16536756912739564</v>
      </c>
      <c r="AM19" s="551">
        <f t="shared" si="14"/>
        <v>833.61791597120146</v>
      </c>
      <c r="AQ19" s="546">
        <f t="shared" si="15"/>
        <v>71</v>
      </c>
      <c r="AR19" s="551">
        <f t="shared" si="16"/>
        <v>156.12852349916639</v>
      </c>
      <c r="AS19" s="553">
        <f>$AR19/PI()*SQRT('Hilfstabellen_Mat&amp;Bem'!f.Rd.3/'Hilfstabellen_Mat&amp;Bem'!$BD$30)</f>
        <v>2.4848626272531473</v>
      </c>
      <c r="AT19" s="553">
        <f>0.5*(1+'Hilfstabellen_Mat&amp;Bem'!$BD$31*($AS19-0.3)+$AS19^2)</f>
        <v>3.6965142695223645</v>
      </c>
      <c r="AU19" s="550">
        <f t="shared" si="17"/>
        <v>0.1554426354462253</v>
      </c>
      <c r="AW19" s="551">
        <f t="shared" si="18"/>
        <v>783.58632528442172</v>
      </c>
      <c r="BA19" s="546">
        <f t="shared" si="19"/>
        <v>71</v>
      </c>
      <c r="BB19" s="551">
        <f t="shared" si="20"/>
        <v>161.00753985851534</v>
      </c>
      <c r="BC19" s="553">
        <f>$BB19/PI()*SQRT('Hilfstabellen_Mat&amp;Bem'!f.Rd.3/'Hilfstabellen_Mat&amp;Bem'!$BD$30)</f>
        <v>2.5625145843548083</v>
      </c>
      <c r="BD19" s="553">
        <f>0.5*(1+'Hilfstabellen_Mat&amp;Bem'!$BD$31*($BC19-0.3)+$BC19^2)</f>
        <v>3.8963662267332886</v>
      </c>
      <c r="BE19" s="550">
        <f t="shared" si="21"/>
        <v>0.14638008471121744</v>
      </c>
      <c r="BG19" s="551">
        <f t="shared" si="22"/>
        <v>737.9020070292471</v>
      </c>
      <c r="BK19" s="546">
        <f t="shared" si="23"/>
        <v>71</v>
      </c>
      <c r="BL19" s="551">
        <f t="shared" si="24"/>
        <v>165.8865562178643</v>
      </c>
      <c r="BM19" s="553">
        <f>$BL19/PI()*SQRT('Hilfstabellen_Mat&amp;Bem'!f.Rd.3/'Hilfstabellen_Mat&amp;Bem'!$BD$30)</f>
        <v>2.6401665414564692</v>
      </c>
      <c r="BN19" s="553">
        <f>0.5*(1+'Hilfstabellen_Mat&amp;Bem'!$BD$31*($BM19-0.3)+$BM19^2)</f>
        <v>4.1022480103859307</v>
      </c>
      <c r="BO19" s="550">
        <f t="shared" si="25"/>
        <v>0.13808365495573019</v>
      </c>
      <c r="BQ19" s="551">
        <f t="shared" si="26"/>
        <v>696.07970463183585</v>
      </c>
      <c r="BU19" s="546">
        <f t="shared" si="27"/>
        <v>71</v>
      </c>
      <c r="BV19" s="551">
        <f t="shared" si="28"/>
        <v>170.76557257721322</v>
      </c>
      <c r="BW19" s="553">
        <f>$BV19/PI()*SQRT('Hilfstabellen_Mat&amp;Bem'!f.Rd.3/'Hilfstabellen_Mat&amp;Bem'!$BD$30)</f>
        <v>2.7178184985581293</v>
      </c>
      <c r="BX19" s="553">
        <f>0.5*(1+'Hilfstabellen_Mat&amp;Bem'!$BD$31*($BW19-0.3)+$BW19^2)</f>
        <v>4.3141596204802886</v>
      </c>
      <c r="BY19" s="550">
        <f t="shared" si="29"/>
        <v>0.13046999061269735</v>
      </c>
      <c r="CA19" s="551">
        <f t="shared" si="30"/>
        <v>657.69922267860727</v>
      </c>
      <c r="CE19" s="546">
        <f t="shared" si="31"/>
        <v>71</v>
      </c>
      <c r="CF19" s="551">
        <f t="shared" si="32"/>
        <v>175.6445889365622</v>
      </c>
      <c r="CG19" s="553">
        <f>CF19/PI()*SQRT('Hilfstabellen_Mat&amp;Bem'!f.Rd.3/'Hilfstabellen_Mat&amp;Bem'!$BD$30)</f>
        <v>2.7954704556597907</v>
      </c>
      <c r="CH19" s="553">
        <f>0.5*(1+'Hilfstabellen_Mat&amp;Bem'!$BD$31*(CG19-0.3)+CG19^2)</f>
        <v>4.5321010570163685</v>
      </c>
      <c r="CI19" s="550">
        <f t="shared" si="33"/>
        <v>0.12346665542248293</v>
      </c>
      <c r="CK19" s="551">
        <f t="shared" si="34"/>
        <v>622.39540998473649</v>
      </c>
      <c r="CO19" s="546">
        <f t="shared" si="35"/>
        <v>71</v>
      </c>
      <c r="CP19" s="551">
        <f t="shared" si="36"/>
        <v>180.52360529591115</v>
      </c>
      <c r="CQ19" s="553">
        <f>CP19/PI()*SQRT('Hilfstabellen_Mat&amp;Bem'!f.Rd.3/'Hilfstabellen_Mat&amp;Bem'!$BD$30)</f>
        <v>2.8731224127614521</v>
      </c>
      <c r="CR19" s="553">
        <f>0.5*(1+'Hilfstabellen_Mat&amp;Bem'!$BD$31*(CQ19-0.3)+CQ19^2)</f>
        <v>4.7560723199941659</v>
      </c>
      <c r="CS19" s="550">
        <f t="shared" si="37"/>
        <v>0.11701048461044294</v>
      </c>
      <c r="CU19" s="551">
        <f t="shared" si="38"/>
        <v>589.84985292124293</v>
      </c>
      <c r="CY19" s="546">
        <f t="shared" si="39"/>
        <v>71</v>
      </c>
      <c r="CZ19" s="551">
        <f t="shared" si="40"/>
        <v>185.40262165526011</v>
      </c>
      <c r="DA19" s="553">
        <f>CZ19/PI()*SQRT('Hilfstabellen_Mat&amp;Bem'!f.Rd.3/'Hilfstabellen_Mat&amp;Bem'!$BD$30)</f>
        <v>2.9507743698631126</v>
      </c>
      <c r="DB19" s="553">
        <f>0.5*(1+'Hilfstabellen_Mat&amp;Bem'!$BD$31*(DA19-0.3)+DA19^2)</f>
        <v>4.9860734094136809</v>
      </c>
      <c r="DC19" s="550">
        <f t="shared" si="41"/>
        <v>0.11104621412623238</v>
      </c>
      <c r="DE19" s="551">
        <f t="shared" si="42"/>
        <v>559.78396541033737</v>
      </c>
      <c r="DI19" s="546">
        <f t="shared" si="43"/>
        <v>71</v>
      </c>
      <c r="DJ19" s="551">
        <f t="shared" si="44"/>
        <v>190.28163801460906</v>
      </c>
      <c r="DK19" s="553">
        <f>DJ19/PI()*SQRT('Hilfstabellen_Mat&amp;Bem'!f.Rd.3/'Hilfstabellen_Mat&amp;Bem'!$BD$30)</f>
        <v>3.0284263269647735</v>
      </c>
      <c r="DL19" s="553">
        <f>0.5*(1+'Hilfstabellen_Mat&amp;Bem'!$BD$31*(DK19-0.3)+DK19^2)</f>
        <v>5.2221043252749135</v>
      </c>
      <c r="DM19" s="550">
        <f t="shared" si="45"/>
        <v>0.10552533653745275</v>
      </c>
      <c r="DO19" s="551">
        <f t="shared" si="46"/>
        <v>531.95322148529931</v>
      </c>
      <c r="DS19" s="546">
        <f t="shared" si="47"/>
        <v>71</v>
      </c>
      <c r="DT19" s="551">
        <f t="shared" si="48"/>
        <v>195.16065437395801</v>
      </c>
      <c r="DU19" s="553">
        <f>DT19/PI()*SQRT('Hilfstabellen_Mat&amp;Bem'!f.Rd.3/'Hilfstabellen_Mat&amp;Bem'!$BD$30)</f>
        <v>3.1060782840664345</v>
      </c>
      <c r="DV19" s="553">
        <f>0.5*(1+'Hilfstabellen_Mat&amp;Bem'!$BD$31*(DU19-0.3)+DU19^2)</f>
        <v>5.4641650675778646</v>
      </c>
      <c r="DW19" s="550">
        <f t="shared" si="49"/>
        <v>0.10040514279012488</v>
      </c>
      <c r="DY19" s="551">
        <f t="shared" si="50"/>
        <v>506.14232480501954</v>
      </c>
      <c r="EC19" s="546">
        <f t="shared" si="51"/>
        <v>71</v>
      </c>
      <c r="ED19" s="551">
        <f t="shared" si="52"/>
        <v>200.03967073330696</v>
      </c>
      <c r="EE19" s="553">
        <f>ED19/PI()*SQRT('Hilfstabellen_Mat&amp;Bem'!f.Rd.3/'Hilfstabellen_Mat&amp;Bem'!$BD$30)</f>
        <v>3.1837302411680954</v>
      </c>
      <c r="EF19" s="553">
        <f>0.5*(1+'Hilfstabellen_Mat&amp;Bem'!$BD$31*(EE19-0.3)+EE19^2)</f>
        <v>5.7122556363225341</v>
      </c>
      <c r="EG19" s="550">
        <f t="shared" si="53"/>
        <v>9.564791682398914E-2</v>
      </c>
      <c r="EI19" s="551">
        <f t="shared" si="54"/>
        <v>482.16114870972928</v>
      </c>
      <c r="EM19" s="546">
        <f t="shared" si="55"/>
        <v>71</v>
      </c>
      <c r="EN19" s="551">
        <f t="shared" si="56"/>
        <v>204.91868709265592</v>
      </c>
      <c r="EO19" s="553">
        <f>EN19/PI()*SQRT('Hilfstabellen_Mat&amp;Bem'!f.Rd.3/'Hilfstabellen_Mat&amp;Bem'!$BD$30)</f>
        <v>3.2613821982697559</v>
      </c>
      <c r="EP19" s="553">
        <f>0.5*(1+'Hilfstabellen_Mat&amp;Bem'!$BD$31*(EO19-0.3)+EO19^2)</f>
        <v>5.9663760315089203</v>
      </c>
      <c r="EQ19" s="550">
        <f t="shared" si="57"/>
        <v>9.1220256287499871E-2</v>
      </c>
      <c r="ES19" s="551">
        <f t="shared" si="58"/>
        <v>459.84131194528686</v>
      </c>
    </row>
    <row r="20" spans="3:149">
      <c r="C20" s="546">
        <v>72</v>
      </c>
      <c r="D20" s="551">
        <f t="shared" si="6"/>
        <v>134.71506281091266</v>
      </c>
      <c r="E20" s="553">
        <f>$D20/PI()*SQRT('Hilfstabellen_Mat&amp;Bem'!f.Rd.3/'Hilfstabellen_Mat&amp;Bem'!$BD$30)</f>
        <v>2.1440568155291913</v>
      </c>
      <c r="F20" s="553">
        <f>0.5*(1+'Hilfstabellen_Mat&amp;Bem'!$BD$31*($E20-0.3)+$E20^2)</f>
        <v>2.8906926548850476</v>
      </c>
      <c r="G20" s="550">
        <f t="shared" si="7"/>
        <v>0.20705910858525886</v>
      </c>
      <c r="I20" s="551">
        <f t="shared" si="8"/>
        <v>1073.3944189059819</v>
      </c>
      <c r="M20" s="546">
        <f t="shared" si="9"/>
        <v>72</v>
      </c>
      <c r="N20" s="551">
        <f t="shared" si="0"/>
        <v>139.52631505415957</v>
      </c>
      <c r="O20" s="553">
        <f>$N20/PI()*SQRT('Hilfstabellen_Mat&amp;Bem'!f.Rd.3/'Hilfstabellen_Mat&amp;Bem'!$BD$30)</f>
        <v>2.2206302732266625</v>
      </c>
      <c r="P20" s="553">
        <f>0.5*(1+'Hilfstabellen_Mat&amp;Bem'!$BD$31*($O20-0.3)+$O20^2)</f>
        <v>3.0616309188466939</v>
      </c>
      <c r="Q20" s="550">
        <f t="shared" si="1"/>
        <v>0.19344875925674268</v>
      </c>
      <c r="S20" s="551">
        <f t="shared" si="10"/>
        <v>1002.838367986954</v>
      </c>
      <c r="W20" s="546">
        <f t="shared" si="11"/>
        <v>72</v>
      </c>
      <c r="X20" s="551">
        <f t="shared" si="2"/>
        <v>144.33756729740642</v>
      </c>
      <c r="Y20" s="553">
        <f>$X20/PI()*SQRT('Hilfstabellen_Mat&amp;Bem'!f.Rd.3/'Hilfstabellen_Mat&amp;Bem'!$BD$30)</f>
        <v>2.2972037309241333</v>
      </c>
      <c r="Z20" s="553">
        <f>0.5*(1+'Hilfstabellen_Mat&amp;Bem'!$BD$31*($Y20-0.3)+$Y20^2)</f>
        <v>3.2384326772320855</v>
      </c>
      <c r="AA20" s="550">
        <f t="shared" si="3"/>
        <v>0.18112525906170046</v>
      </c>
      <c r="AC20" s="551">
        <f t="shared" si="12"/>
        <v>938.95334297585521</v>
      </c>
      <c r="AG20" s="546">
        <f t="shared" si="13"/>
        <v>72</v>
      </c>
      <c r="AH20" s="551">
        <f t="shared" si="4"/>
        <v>149.14881954065331</v>
      </c>
      <c r="AI20" s="553">
        <f>$AH20/PI()*SQRT('Hilfstabellen_Mat&amp;Bem'!f.Rd.3/'Hilfstabellen_Mat&amp;Bem'!$BD$30)</f>
        <v>2.3737771886216046</v>
      </c>
      <c r="AJ20" s="553">
        <f>0.5*(1+'Hilfstabellen_Mat&amp;Bem'!$BD$31*($AI20-0.3)+$AI20^2)</f>
        <v>3.421097930041225</v>
      </c>
      <c r="AK20" s="550">
        <f t="shared" si="5"/>
        <v>0.16993361685810954</v>
      </c>
      <c r="AM20" s="551">
        <f t="shared" si="14"/>
        <v>880.9358697924398</v>
      </c>
      <c r="AQ20" s="546">
        <f t="shared" si="15"/>
        <v>72</v>
      </c>
      <c r="AR20" s="551">
        <f t="shared" si="16"/>
        <v>153.96007178390019</v>
      </c>
      <c r="AS20" s="553">
        <f>$AR20/PI()*SQRT('Hilfstabellen_Mat&amp;Bem'!f.Rd.3/'Hilfstabellen_Mat&amp;Bem'!$BD$30)</f>
        <v>2.4503506463190758</v>
      </c>
      <c r="AT20" s="553">
        <f>0.5*(1+'Hilfstabellen_Mat&amp;Bem'!$BD$31*($AS20-0.3)+$AS20^2)</f>
        <v>3.6096266772741101</v>
      </c>
      <c r="AU20" s="550">
        <f t="shared" si="17"/>
        <v>0.15974100212602155</v>
      </c>
      <c r="AW20" s="551">
        <f t="shared" si="18"/>
        <v>828.0973550212957</v>
      </c>
      <c r="BA20" s="546">
        <f t="shared" si="19"/>
        <v>72</v>
      </c>
      <c r="BB20" s="551">
        <f t="shared" si="20"/>
        <v>158.77132402714707</v>
      </c>
      <c r="BC20" s="553">
        <f>$BB20/PI()*SQRT('Hilfstabellen_Mat&amp;Bem'!f.Rd.3/'Hilfstabellen_Mat&amp;Bem'!$BD$30)</f>
        <v>2.5269241040165471</v>
      </c>
      <c r="BD20" s="553">
        <f>0.5*(1+'Hilfstabellen_Mat&amp;Bem'!$BD$31*($BC20-0.3)+$BC20^2)</f>
        <v>3.8040189189307423</v>
      </c>
      <c r="BE20" s="550">
        <f t="shared" si="21"/>
        <v>0.15043317049839167</v>
      </c>
      <c r="BG20" s="551">
        <f t="shared" si="22"/>
        <v>779.84555586366241</v>
      </c>
      <c r="BK20" s="546">
        <f t="shared" si="23"/>
        <v>72</v>
      </c>
      <c r="BL20" s="551">
        <f t="shared" si="24"/>
        <v>163.58257627039396</v>
      </c>
      <c r="BM20" s="553">
        <f>$BL20/PI()*SQRT('Hilfstabellen_Mat&amp;Bem'!f.Rd.3/'Hilfstabellen_Mat&amp;Bem'!$BD$30)</f>
        <v>2.6034975617140184</v>
      </c>
      <c r="BN20" s="553">
        <f>0.5*(1+'Hilfstabellen_Mat&amp;Bem'!$BD$31*($BM20-0.3)+$BM20^2)</f>
        <v>4.0042746550111206</v>
      </c>
      <c r="BO20" s="550">
        <f t="shared" si="25"/>
        <v>0.14191150989616497</v>
      </c>
      <c r="BQ20" s="551">
        <f t="shared" si="26"/>
        <v>735.66926730171917</v>
      </c>
      <c r="BU20" s="546">
        <f t="shared" si="27"/>
        <v>72</v>
      </c>
      <c r="BV20" s="551">
        <f t="shared" si="28"/>
        <v>168.39382851364084</v>
      </c>
      <c r="BW20" s="553">
        <f>$BV20/PI()*SQRT('Hilfstabellen_Mat&amp;Bem'!f.Rd.3/'Hilfstabellen_Mat&amp;Bem'!$BD$30)</f>
        <v>2.6800710194114892</v>
      </c>
      <c r="BX20" s="553">
        <f>0.5*(1+'Hilfstabellen_Mat&amp;Bem'!$BD$31*($BW20-0.3)+$BW20^2)</f>
        <v>4.2103938855152441</v>
      </c>
      <c r="BY20" s="550">
        <f t="shared" si="29"/>
        <v>0.1340905980943489</v>
      </c>
      <c r="CA20" s="551">
        <f t="shared" si="30"/>
        <v>695.12566052110469</v>
      </c>
      <c r="CE20" s="546">
        <f t="shared" si="31"/>
        <v>72</v>
      </c>
      <c r="CF20" s="551">
        <f t="shared" si="32"/>
        <v>173.20508075688772</v>
      </c>
      <c r="CG20" s="553">
        <f>CF20/PI()*SQRT('Hilfstabellen_Mat&amp;Bem'!f.Rd.3/'Hilfstabellen_Mat&amp;Bem'!$BD$30)</f>
        <v>2.7566444771089604</v>
      </c>
      <c r="CH20" s="553">
        <f>0.5*(1+'Hilfstabellen_Mat&amp;Bem'!$BD$31*(CG20-0.3)+CG20^2)</f>
        <v>4.4223766104431146</v>
      </c>
      <c r="CI20" s="550">
        <f t="shared" si="33"/>
        <v>0.12689617969031575</v>
      </c>
      <c r="CK20" s="551">
        <f t="shared" si="34"/>
        <v>657.82979551459687</v>
      </c>
      <c r="CO20" s="546">
        <f t="shared" si="35"/>
        <v>72</v>
      </c>
      <c r="CP20" s="551">
        <f t="shared" si="36"/>
        <v>178.01633300013458</v>
      </c>
      <c r="CQ20" s="553">
        <f>CP20/PI()*SQRT('Hilfstabellen_Mat&amp;Bem'!f.Rd.3/'Hilfstabellen_Mat&amp;Bem'!$BD$30)</f>
        <v>2.8332179348064312</v>
      </c>
      <c r="CR20" s="553">
        <f>0.5*(1+'Hilfstabellen_Mat&amp;Bem'!$BD$31*(CQ20-0.3)+CQ20^2)</f>
        <v>4.6402228297947312</v>
      </c>
      <c r="CS20" s="550">
        <f t="shared" si="37"/>
        <v>0.12026348635924894</v>
      </c>
      <c r="CU20" s="551">
        <f t="shared" si="38"/>
        <v>623.44591328634647</v>
      </c>
      <c r="CY20" s="546">
        <f t="shared" si="39"/>
        <v>72</v>
      </c>
      <c r="CZ20" s="551">
        <f t="shared" si="40"/>
        <v>182.82758524338149</v>
      </c>
      <c r="DA20" s="553">
        <f>CZ20/PI()*SQRT('Hilfstabellen_Mat&amp;Bem'!f.Rd.3/'Hilfstabellen_Mat&amp;Bem'!$BD$30)</f>
        <v>2.909791392503903</v>
      </c>
      <c r="DB20" s="553">
        <f>0.5*(1+'Hilfstabellen_Mat&amp;Bem'!$BD$31*(DA20-0.3)+DA20^2)</f>
        <v>4.8639325435700957</v>
      </c>
      <c r="DC20" s="550">
        <f t="shared" si="41"/>
        <v>0.11413583810318254</v>
      </c>
      <c r="DE20" s="551">
        <f t="shared" si="42"/>
        <v>591.68018472689823</v>
      </c>
      <c r="DI20" s="546">
        <f t="shared" si="43"/>
        <v>72</v>
      </c>
      <c r="DJ20" s="551">
        <f t="shared" si="44"/>
        <v>187.63883748662835</v>
      </c>
      <c r="DK20" s="553">
        <f>DJ20/PI()*SQRT('Hilfstabellen_Mat&amp;Bem'!f.Rd.3/'Hilfstabellen_Mat&amp;Bem'!$BD$30)</f>
        <v>2.9863648502013733</v>
      </c>
      <c r="DL20" s="553">
        <f>0.5*(1+'Hilfstabellen_Mat&amp;Bem'!$BD$31*(DK20-0.3)+DK20^2)</f>
        <v>5.0935057517692037</v>
      </c>
      <c r="DM20" s="550">
        <f t="shared" si="45"/>
        <v>0.10846347479391016</v>
      </c>
      <c r="DO20" s="551">
        <f t="shared" si="46"/>
        <v>562.27465333163025</v>
      </c>
      <c r="DS20" s="546">
        <f t="shared" si="47"/>
        <v>72</v>
      </c>
      <c r="DT20" s="551">
        <f t="shared" si="48"/>
        <v>192.45008972987526</v>
      </c>
      <c r="DU20" s="553">
        <f>DT20/PI()*SQRT('Hilfstabellen_Mat&amp;Bem'!f.Rd.3/'Hilfstabellen_Mat&amp;Bem'!$BD$30)</f>
        <v>3.062938307898845</v>
      </c>
      <c r="DV20" s="553">
        <f>0.5*(1+'Hilfstabellen_Mat&amp;Bem'!$BD$31*(DU20-0.3)+DU20^2)</f>
        <v>5.3289424543920623</v>
      </c>
      <c r="DW20" s="550">
        <f t="shared" si="49"/>
        <v>0.10320257684745876</v>
      </c>
      <c r="DY20" s="551">
        <f t="shared" si="50"/>
        <v>535.00215837722624</v>
      </c>
      <c r="EC20" s="546">
        <f t="shared" si="51"/>
        <v>72</v>
      </c>
      <c r="ED20" s="551">
        <f t="shared" si="52"/>
        <v>197.26134197312211</v>
      </c>
      <c r="EE20" s="553">
        <f>ED20/PI()*SQRT('Hilfstabellen_Mat&amp;Bem'!f.Rd.3/'Hilfstabellen_Mat&amp;Bem'!$BD$30)</f>
        <v>3.1395117655963158</v>
      </c>
      <c r="EF20" s="553">
        <f>0.5*(1+'Hilfstabellen_Mat&amp;Bem'!$BD$31*(EE20-0.3)+EE20^2)</f>
        <v>5.5702426514386634</v>
      </c>
      <c r="EG20" s="550">
        <f t="shared" si="53"/>
        <v>9.8314441627032984E-2</v>
      </c>
      <c r="EI20" s="551">
        <f t="shared" si="54"/>
        <v>509.66206539453901</v>
      </c>
      <c r="EM20" s="546">
        <f t="shared" si="55"/>
        <v>72</v>
      </c>
      <c r="EN20" s="551">
        <f t="shared" si="56"/>
        <v>202.07259421636903</v>
      </c>
      <c r="EO20" s="553">
        <f>EN20/PI()*SQRT('Hilfstabellen_Mat&amp;Bem'!f.Rd.3/'Hilfstabellen_Mat&amp;Bem'!$BD$30)</f>
        <v>3.2160852232937871</v>
      </c>
      <c r="EP20" s="553">
        <f>0.5*(1+'Hilfstabellen_Mat&amp;Bem'!$BD$31*(EO20-0.3)+EO20^2)</f>
        <v>5.8174063429090133</v>
      </c>
      <c r="EQ20" s="550">
        <f t="shared" si="57"/>
        <v>9.3764788445477254E-2</v>
      </c>
      <c r="ES20" s="551">
        <f t="shared" si="58"/>
        <v>486.07666330135407</v>
      </c>
    </row>
    <row r="21" spans="3:149">
      <c r="C21" s="546">
        <v>73</v>
      </c>
      <c r="D21" s="551">
        <f t="shared" si="6"/>
        <v>132.86965099158508</v>
      </c>
      <c r="E21" s="553">
        <f>$D21/PI()*SQRT('Hilfstabellen_Mat&amp;Bem'!f.Rd.3/'Hilfstabellen_Mat&amp;Bem'!$BD$30)</f>
        <v>2.114686174220572</v>
      </c>
      <c r="F21" s="553">
        <f>0.5*(1+'Hilfstabellen_Mat&amp;Bem'!$BD$31*($E21-0.3)+$E21^2)</f>
        <v>2.8266831164308486</v>
      </c>
      <c r="G21" s="550">
        <f t="shared" si="7"/>
        <v>0.21265825854662085</v>
      </c>
      <c r="I21" s="551">
        <f t="shared" si="8"/>
        <v>1133.2558597949426</v>
      </c>
      <c r="M21" s="546">
        <f t="shared" si="9"/>
        <v>73</v>
      </c>
      <c r="N21" s="551">
        <f t="shared" si="0"/>
        <v>137.614995669856</v>
      </c>
      <c r="O21" s="553">
        <f>$N21/PI()*SQRT('Hilfstabellen_Mat&amp;Bem'!f.Rd.3/'Hilfstabellen_Mat&amp;Bem'!$BD$30)</f>
        <v>2.1902106804427355</v>
      </c>
      <c r="P21" s="553">
        <f>0.5*(1+'Hilfstabellen_Mat&amp;Bem'!$BD$31*($O21-0.3)+$O21^2)</f>
        <v>2.993021946384852</v>
      </c>
      <c r="Q21" s="550">
        <f t="shared" si="1"/>
        <v>0.19869206974845233</v>
      </c>
      <c r="S21" s="551">
        <f t="shared" si="10"/>
        <v>1058.8300396895024</v>
      </c>
      <c r="W21" s="546">
        <f t="shared" si="11"/>
        <v>73</v>
      </c>
      <c r="X21" s="551">
        <f t="shared" si="2"/>
        <v>142.3603403481269</v>
      </c>
      <c r="Y21" s="553">
        <f>$X21/PI()*SQRT('Hilfstabellen_Mat&amp;Bem'!f.Rd.3/'Hilfstabellen_Mat&amp;Bem'!$BD$30)</f>
        <v>2.2657351866648989</v>
      </c>
      <c r="Z21" s="553">
        <f>0.5*(1+'Hilfstabellen_Mat&amp;Bem'!$BD$31*($Y21-0.3)+$Y21^2)</f>
        <v>3.1650647273789572</v>
      </c>
      <c r="AA21" s="550">
        <f t="shared" si="3"/>
        <v>0.18604443730076434</v>
      </c>
      <c r="AC21" s="551">
        <f t="shared" si="12"/>
        <v>991.43080637577316</v>
      </c>
      <c r="AG21" s="546">
        <f t="shared" si="13"/>
        <v>73</v>
      </c>
      <c r="AH21" s="551">
        <f t="shared" si="4"/>
        <v>147.10568502639779</v>
      </c>
      <c r="AI21" s="553">
        <f>$AH21/PI()*SQRT('Hilfstabellen_Mat&amp;Bem'!f.Rd.3/'Hilfstabellen_Mat&amp;Bem'!$BD$30)</f>
        <v>2.3412596928870619</v>
      </c>
      <c r="AJ21" s="553">
        <f>0.5*(1+'Hilfstabellen_Mat&amp;Bem'!$BD$31*($AI21-0.3)+$AI21^2)</f>
        <v>3.3428114594131628</v>
      </c>
      <c r="AK21" s="550">
        <f t="shared" si="5"/>
        <v>0.17455694423131438</v>
      </c>
      <c r="AM21" s="551">
        <f t="shared" si="14"/>
        <v>930.21395580867431</v>
      </c>
      <c r="AQ21" s="546">
        <f t="shared" si="15"/>
        <v>73</v>
      </c>
      <c r="AR21" s="551">
        <f t="shared" si="16"/>
        <v>151.85102970466869</v>
      </c>
      <c r="AS21" s="553">
        <f>$AR21/PI()*SQRT('Hilfstabellen_Mat&amp;Bem'!f.Rd.3/'Hilfstabellen_Mat&amp;Bem'!$BD$30)</f>
        <v>2.4167841991092254</v>
      </c>
      <c r="AT21" s="553">
        <f>0.5*(1+'Hilfstabellen_Mat&amp;Bem'!$BD$31*($AS21-0.3)+$AS21^2)</f>
        <v>3.5262621424874716</v>
      </c>
      <c r="AU21" s="550">
        <f t="shared" si="17"/>
        <v>0.16409372874556835</v>
      </c>
      <c r="AW21" s="551">
        <f t="shared" si="18"/>
        <v>874.45548048513376</v>
      </c>
      <c r="BA21" s="546">
        <f t="shared" si="19"/>
        <v>73</v>
      </c>
      <c r="BB21" s="551">
        <f t="shared" si="20"/>
        <v>156.59637438293959</v>
      </c>
      <c r="BC21" s="553">
        <f>$BB21/PI()*SQRT('Hilfstabellen_Mat&amp;Bem'!f.Rd.3/'Hilfstabellen_Mat&amp;Bem'!$BD$30)</f>
        <v>2.4923087053313893</v>
      </c>
      <c r="BD21" s="553">
        <f>0.5*(1+'Hilfstabellen_Mat&amp;Bem'!$BD$31*($BC21-0.3)+$BC21^2)</f>
        <v>3.7154167766018826</v>
      </c>
      <c r="BE21" s="550">
        <f t="shared" si="21"/>
        <v>0.1545378727810465</v>
      </c>
      <c r="BG21" s="551">
        <f t="shared" si="22"/>
        <v>823.53232405019673</v>
      </c>
      <c r="BK21" s="546">
        <f t="shared" si="23"/>
        <v>73</v>
      </c>
      <c r="BL21" s="551">
        <f t="shared" si="24"/>
        <v>161.34171906121048</v>
      </c>
      <c r="BM21" s="553">
        <f>$BL21/PI()*SQRT('Hilfstabellen_Mat&amp;Bem'!f.Rd.3/'Hilfstabellen_Mat&amp;Bem'!$BD$30)</f>
        <v>2.5678332115535523</v>
      </c>
      <c r="BN21" s="553">
        <f>0.5*(1+'Hilfstabellen_Mat&amp;Bem'!$BD$31*($BM21-0.3)+$BM21^2)</f>
        <v>3.9102753617563932</v>
      </c>
      <c r="BO21" s="550">
        <f t="shared" si="25"/>
        <v>0.14578840909749491</v>
      </c>
      <c r="BQ21" s="551">
        <f t="shared" si="26"/>
        <v>776.90643208055042</v>
      </c>
      <c r="BU21" s="546">
        <f t="shared" si="27"/>
        <v>73</v>
      </c>
      <c r="BV21" s="551">
        <f t="shared" si="28"/>
        <v>166.08706373948138</v>
      </c>
      <c r="BW21" s="553">
        <f>$BV21/PI()*SQRT('Hilfstabellen_Mat&amp;Bem'!f.Rd.3/'Hilfstabellen_Mat&amp;Bem'!$BD$30)</f>
        <v>2.6433577177757157</v>
      </c>
      <c r="BX21" s="553">
        <f>0.5*(1+'Hilfstabellen_Mat&amp;Bem'!$BD$31*($BW21-0.3)+$BW21^2)</f>
        <v>4.1108378979510061</v>
      </c>
      <c r="BY21" s="550">
        <f t="shared" si="29"/>
        <v>0.13775784117011886</v>
      </c>
      <c r="CA21" s="551">
        <f t="shared" si="30"/>
        <v>734.1115355955634</v>
      </c>
      <c r="CE21" s="546">
        <f t="shared" si="31"/>
        <v>73</v>
      </c>
      <c r="CF21" s="551">
        <f t="shared" si="32"/>
        <v>170.83240841775228</v>
      </c>
      <c r="CG21" s="553">
        <f>CF21/PI()*SQRT('Hilfstabellen_Mat&amp;Bem'!f.Rd.3/'Hilfstabellen_Mat&amp;Bem'!$BD$30)</f>
        <v>2.7188822239978787</v>
      </c>
      <c r="CH21" s="553">
        <f>0.5*(1+'Hilfstabellen_Mat&amp;Bem'!$BD$31*(CG21-0.3)+CG21^2)</f>
        <v>4.3171043851857194</v>
      </c>
      <c r="CI21" s="550">
        <f t="shared" si="33"/>
        <v>0.13037008545332995</v>
      </c>
      <c r="CK21" s="551">
        <f t="shared" si="34"/>
        <v>694.74218538079538</v>
      </c>
      <c r="CO21" s="546">
        <f t="shared" si="35"/>
        <v>73</v>
      </c>
      <c r="CP21" s="551">
        <f t="shared" si="36"/>
        <v>175.57775309602317</v>
      </c>
      <c r="CQ21" s="553">
        <f>CP21/PI()*SQRT('Hilfstabellen_Mat&amp;Bem'!f.Rd.3/'Hilfstabellen_Mat&amp;Bem'!$BD$30)</f>
        <v>2.7944067302200422</v>
      </c>
      <c r="CR21" s="553">
        <f>0.5*(1+'Hilfstabellen_Mat&amp;Bem'!$BD$31*(CQ21-0.3)+CQ21^2)</f>
        <v>4.5290748234605358</v>
      </c>
      <c r="CS21" s="550">
        <f t="shared" si="37"/>
        <v>0.12355876049886903</v>
      </c>
      <c r="CU21" s="551">
        <f t="shared" si="38"/>
        <v>658.44463469847312</v>
      </c>
      <c r="CY21" s="546">
        <f t="shared" si="39"/>
        <v>73</v>
      </c>
      <c r="CZ21" s="551">
        <f t="shared" si="40"/>
        <v>180.32309777429407</v>
      </c>
      <c r="DA21" s="553">
        <f>CZ21/PI()*SQRT('Hilfstabellen_Mat&amp;Bem'!f.Rd.3/'Hilfstabellen_Mat&amp;Bem'!$BD$30)</f>
        <v>2.8699312364422056</v>
      </c>
      <c r="DB21" s="553">
        <f>0.5*(1+'Hilfstabellen_Mat&amp;Bem'!$BD$31*(DA21-0.3)+DA21^2)</f>
        <v>4.7467492127754536</v>
      </c>
      <c r="DC21" s="550">
        <f t="shared" si="41"/>
        <v>0.11726576070772385</v>
      </c>
      <c r="DE21" s="551">
        <f t="shared" si="42"/>
        <v>624.90923881146034</v>
      </c>
      <c r="DI21" s="546">
        <f t="shared" si="43"/>
        <v>73</v>
      </c>
      <c r="DJ21" s="551">
        <f t="shared" si="44"/>
        <v>185.06844245256497</v>
      </c>
      <c r="DK21" s="553">
        <f>DJ21/PI()*SQRT('Hilfstabellen_Mat&amp;Bem'!f.Rd.3/'Hilfstabellen_Mat&amp;Bem'!$BD$30)</f>
        <v>2.9454557426643686</v>
      </c>
      <c r="DL21" s="553">
        <f>0.5*(1+'Hilfstabellen_Mat&amp;Bem'!$BD$31*(DK21-0.3)+DK21^2)</f>
        <v>4.9701275531304718</v>
      </c>
      <c r="DM21" s="550">
        <f t="shared" si="45"/>
        <v>0.11144006382554932</v>
      </c>
      <c r="DO21" s="551">
        <f t="shared" si="46"/>
        <v>593.86410012635235</v>
      </c>
      <c r="DS21" s="546">
        <f t="shared" si="47"/>
        <v>73</v>
      </c>
      <c r="DT21" s="551">
        <f t="shared" si="48"/>
        <v>189.81378713083586</v>
      </c>
      <c r="DU21" s="553">
        <f>DT21/PI()*SQRT('Hilfstabellen_Mat&amp;Bem'!f.Rd.3/'Hilfstabellen_Mat&amp;Bem'!$BD$30)</f>
        <v>3.020980248886532</v>
      </c>
      <c r="DV21" s="553">
        <f>0.5*(1+'Hilfstabellen_Mat&amp;Bem'!$BD$31*(DU21-0.3)+DU21^2)</f>
        <v>5.1992098445255932</v>
      </c>
      <c r="DW21" s="550">
        <f t="shared" si="49"/>
        <v>0.10603673071046733</v>
      </c>
      <c r="DY21" s="551">
        <f t="shared" si="50"/>
        <v>565.06973795608042</v>
      </c>
      <c r="EC21" s="546">
        <f t="shared" si="51"/>
        <v>73</v>
      </c>
      <c r="ED21" s="551">
        <f t="shared" si="52"/>
        <v>194.55913180910676</v>
      </c>
      <c r="EE21" s="553">
        <f>ED21/PI()*SQRT('Hilfstabellen_Mat&amp;Bem'!f.Rd.3/'Hilfstabellen_Mat&amp;Bem'!$BD$30)</f>
        <v>3.0965047551086951</v>
      </c>
      <c r="EF21" s="553">
        <f>0.5*(1+'Hilfstabellen_Mat&amp;Bem'!$BD$31*(EE21-0.3)+EE21^2)</f>
        <v>5.433996086960815</v>
      </c>
      <c r="EG21" s="550">
        <f t="shared" si="53"/>
        <v>0.10101606362219272</v>
      </c>
      <c r="EI21" s="551">
        <f t="shared" si="54"/>
        <v>538.314603042665</v>
      </c>
      <c r="EM21" s="546">
        <f t="shared" si="55"/>
        <v>73</v>
      </c>
      <c r="EN21" s="551">
        <f t="shared" si="56"/>
        <v>199.30447648737766</v>
      </c>
      <c r="EO21" s="553">
        <f>EN21/PI()*SQRT('Hilfstabellen_Mat&amp;Bem'!f.Rd.3/'Hilfstabellen_Mat&amp;Bem'!$BD$30)</f>
        <v>3.1720292613308585</v>
      </c>
      <c r="EP21" s="553">
        <f>0.5*(1+'Hilfstabellen_Mat&amp;Bem'!$BD$31*(EO21-0.3)+EO21^2)</f>
        <v>5.6744862804361382</v>
      </c>
      <c r="EQ21" s="550">
        <f t="shared" si="57"/>
        <v>9.6342895558121783E-2</v>
      </c>
      <c r="ES21" s="551">
        <f t="shared" si="58"/>
        <v>513.41129042923103</v>
      </c>
    </row>
    <row r="22" spans="3:149">
      <c r="C22" s="546">
        <v>74</v>
      </c>
      <c r="D22" s="551">
        <f t="shared" si="6"/>
        <v>131.07411516737449</v>
      </c>
      <c r="E22" s="553">
        <f>$D22/PI()*SQRT('Hilfstabellen_Mat&amp;Bem'!f.Rd.3/'Hilfstabellen_Mat&amp;Bem'!$BD$30)</f>
        <v>2.0861093340284023</v>
      </c>
      <c r="F22" s="553">
        <f>0.5*(1+'Hilfstabellen_Mat&amp;Bem'!$BD$31*($E22-0.3)+$E22^2)</f>
        <v>2.7652315434616321</v>
      </c>
      <c r="G22" s="550">
        <f t="shared" si="7"/>
        <v>0.21832394921462536</v>
      </c>
      <c r="I22" s="551">
        <f t="shared" si="8"/>
        <v>1195.5419458992885</v>
      </c>
      <c r="M22" s="546">
        <f t="shared" si="9"/>
        <v>74</v>
      </c>
      <c r="N22" s="551">
        <f t="shared" si="0"/>
        <v>135.75533356620929</v>
      </c>
      <c r="O22" s="553">
        <f>$N22/PI()*SQRT('Hilfstabellen_Mat&amp;Bem'!f.Rd.3/'Hilfstabellen_Mat&amp;Bem'!$BD$30)</f>
        <v>2.1606132388151309</v>
      </c>
      <c r="P22" s="553">
        <f>0.5*(1+'Hilfstabellen_Mat&amp;Bem'!$BD$31*($O22-0.3)+$O22^2)</f>
        <v>2.9271554458123616</v>
      </c>
      <c r="Q22" s="550">
        <f t="shared" si="1"/>
        <v>0.20399859535658438</v>
      </c>
      <c r="S22" s="551">
        <f t="shared" si="10"/>
        <v>1117.0963081726561</v>
      </c>
      <c r="W22" s="546">
        <f t="shared" si="11"/>
        <v>74</v>
      </c>
      <c r="X22" s="551">
        <f t="shared" si="2"/>
        <v>140.43655196504409</v>
      </c>
      <c r="Y22" s="553">
        <f>$X22/PI()*SQRT('Hilfstabellen_Mat&amp;Bem'!f.Rd.3/'Hilfstabellen_Mat&amp;Bem'!$BD$30)</f>
        <v>2.2351171436018595</v>
      </c>
      <c r="Z22" s="553">
        <f>0.5*(1+'Hilfstabellen_Mat&amp;Bem'!$BD$31*($Y22-0.3)+$Y22^2)</f>
        <v>3.0946301799915608</v>
      </c>
      <c r="AA22" s="550">
        <f t="shared" si="3"/>
        <v>0.19102363539074144</v>
      </c>
      <c r="AC22" s="551">
        <f t="shared" si="12"/>
        <v>1046.0454273997002</v>
      </c>
      <c r="AG22" s="546">
        <f t="shared" si="13"/>
        <v>74</v>
      </c>
      <c r="AH22" s="551">
        <f t="shared" si="4"/>
        <v>145.11777036387892</v>
      </c>
      <c r="AI22" s="553">
        <f>$AH22/PI()*SQRT('Hilfstabellen_Mat&amp;Bem'!f.Rd.3/'Hilfstabellen_Mat&amp;Bem'!$BD$30)</f>
        <v>2.3096210483885886</v>
      </c>
      <c r="AJ22" s="553">
        <f>0.5*(1+'Hilfstabellen_Mat&amp;Bem'!$BD$31*($AI22-0.3)+$AI22^2)</f>
        <v>3.2676557459992313</v>
      </c>
      <c r="AK22" s="550">
        <f t="shared" si="5"/>
        <v>0.17923725105658425</v>
      </c>
      <c r="AM22" s="551">
        <f t="shared" si="14"/>
        <v>981.50318678585541</v>
      </c>
      <c r="AQ22" s="546">
        <f t="shared" si="15"/>
        <v>74</v>
      </c>
      <c r="AR22" s="551">
        <f t="shared" si="16"/>
        <v>149.79898876271369</v>
      </c>
      <c r="AS22" s="553">
        <f>$AR22/PI()*SQRT('Hilfstabellen_Mat&amp;Bem'!f.Rd.3/'Hilfstabellen_Mat&amp;Bem'!$BD$30)</f>
        <v>2.3841249531753168</v>
      </c>
      <c r="AT22" s="553">
        <f>0.5*(1+'Hilfstabellen_Mat&amp;Bem'!$BD$31*($AS22-0.3)+$AS22^2)</f>
        <v>3.4462321438353691</v>
      </c>
      <c r="AU22" s="550">
        <f t="shared" si="17"/>
        <v>0.16850055998894031</v>
      </c>
      <c r="AW22" s="551">
        <f t="shared" si="18"/>
        <v>922.7090664994372</v>
      </c>
      <c r="BA22" s="546">
        <f t="shared" si="19"/>
        <v>74</v>
      </c>
      <c r="BB22" s="551">
        <f t="shared" si="20"/>
        <v>154.48020716154852</v>
      </c>
      <c r="BC22" s="553">
        <f>$BB22/PI()*SQRT('Hilfstabellen_Mat&amp;Bem'!f.Rd.3/'Hilfstabellen_Mat&amp;Bem'!$BD$30)</f>
        <v>2.4586288579620459</v>
      </c>
      <c r="BD22" s="553">
        <f>0.5*(1+'Hilfstabellen_Mat&amp;Bem'!$BD$31*($BC22-0.3)+$BC22^2)</f>
        <v>3.6303593734999793</v>
      </c>
      <c r="BE22" s="550">
        <f t="shared" si="21"/>
        <v>0.15869397255276946</v>
      </c>
      <c r="BG22" s="551">
        <f t="shared" si="22"/>
        <v>869.00819369896556</v>
      </c>
      <c r="BK22" s="546">
        <f t="shared" si="23"/>
        <v>74</v>
      </c>
      <c r="BL22" s="551">
        <f t="shared" si="24"/>
        <v>159.16142556038329</v>
      </c>
      <c r="BM22" s="553">
        <f>$BL22/PI()*SQRT('Hilfstabellen_Mat&amp;Bem'!f.Rd.3/'Hilfstabellen_Mat&amp;Bem'!$BD$30)</f>
        <v>2.5331327627487741</v>
      </c>
      <c r="BN22" s="553">
        <f>0.5*(1+'Hilfstabellen_Mat&amp;Bem'!$BD$31*($BM22-0.3)+$BM22^2)</f>
        <v>3.8200374349930573</v>
      </c>
      <c r="BO22" s="550">
        <f t="shared" si="25"/>
        <v>0.14971416323491782</v>
      </c>
      <c r="BQ22" s="551">
        <f t="shared" si="26"/>
        <v>819.83475787441</v>
      </c>
      <c r="BU22" s="546">
        <f t="shared" si="27"/>
        <v>74</v>
      </c>
      <c r="BV22" s="551">
        <f t="shared" si="28"/>
        <v>163.84264395921812</v>
      </c>
      <c r="BW22" s="553">
        <f>$BV22/PI()*SQRT('Hilfstabellen_Mat&amp;Bem'!f.Rd.3/'Hilfstabellen_Mat&amp;Bem'!$BD$30)</f>
        <v>2.6076366675355032</v>
      </c>
      <c r="BX22" s="553">
        <f>0.5*(1+'Hilfstabellen_Mat&amp;Bem'!$BD$31*($BW22-0.3)+$BW22^2)</f>
        <v>4.0152663283146071</v>
      </c>
      <c r="BY22" s="550">
        <f t="shared" si="29"/>
        <v>0.14147155500808212</v>
      </c>
      <c r="CA22" s="551">
        <f t="shared" si="30"/>
        <v>774.6982352242577</v>
      </c>
      <c r="CE22" s="546">
        <f t="shared" si="31"/>
        <v>74</v>
      </c>
      <c r="CF22" s="551">
        <f t="shared" si="32"/>
        <v>168.5238623580529</v>
      </c>
      <c r="CG22" s="553">
        <f>CF22/PI()*SQRT('Hilfstabellen_Mat&amp;Bem'!f.Rd.3/'Hilfstabellen_Mat&amp;Bem'!$BD$30)</f>
        <v>2.6821405723222314</v>
      </c>
      <c r="CH22" s="553">
        <f>0.5*(1+'Hilfstabellen_Mat&amp;Bem'!$BD$31*(CG22-0.3)+CG22^2)</f>
        <v>4.2160460534646251</v>
      </c>
      <c r="CI22" s="550">
        <f t="shared" si="33"/>
        <v>0.1338882282666837</v>
      </c>
      <c r="CK22" s="551">
        <f t="shared" si="34"/>
        <v>733.1719379883599</v>
      </c>
      <c r="CO22" s="546">
        <f t="shared" si="35"/>
        <v>74</v>
      </c>
      <c r="CP22" s="551">
        <f t="shared" si="36"/>
        <v>173.20508075688772</v>
      </c>
      <c r="CQ22" s="553">
        <f>CP22/PI()*SQRT('Hilfstabellen_Mat&amp;Bem'!f.Rd.3/'Hilfstabellen_Mat&amp;Bem'!$BD$30)</f>
        <v>2.7566444771089604</v>
      </c>
      <c r="CR22" s="553">
        <f>0.5*(1+'Hilfstabellen_Mat&amp;Bem'!$BD$31*(CQ22-0.3)+CQ22^2)</f>
        <v>4.4223766104431146</v>
      </c>
      <c r="CS22" s="550">
        <f t="shared" si="37"/>
        <v>0.12689617969031575</v>
      </c>
      <c r="CU22" s="551">
        <f t="shared" si="38"/>
        <v>694.88347998416907</v>
      </c>
      <c r="CY22" s="546">
        <f t="shared" si="39"/>
        <v>74</v>
      </c>
      <c r="CZ22" s="551">
        <f t="shared" si="40"/>
        <v>177.88629915572253</v>
      </c>
      <c r="DA22" s="553">
        <f>CZ22/PI()*SQRT('Hilfstabellen_Mat&amp;Bem'!f.Rd.3/'Hilfstabellen_Mat&amp;Bem'!$BD$30)</f>
        <v>2.8311483818956891</v>
      </c>
      <c r="DB22" s="553">
        <f>0.5*(1+'Hilfstabellen_Mat&amp;Bem'!$BD$31*(DA22-0.3)+DA22^2)</f>
        <v>4.6342579992500736</v>
      </c>
      <c r="DC22" s="550">
        <f t="shared" si="41"/>
        <v>0.12043586906025322</v>
      </c>
      <c r="DE22" s="551">
        <f t="shared" si="42"/>
        <v>659.50681897394668</v>
      </c>
      <c r="DI22" s="546">
        <f t="shared" si="43"/>
        <v>74</v>
      </c>
      <c r="DJ22" s="551">
        <f t="shared" si="44"/>
        <v>182.56751755455733</v>
      </c>
      <c r="DK22" s="553">
        <f>DJ22/PI()*SQRT('Hilfstabellen_Mat&amp;Bem'!f.Rd.3/'Hilfstabellen_Mat&amp;Bem'!$BD$30)</f>
        <v>2.9056522866824177</v>
      </c>
      <c r="DL22" s="553">
        <f>0.5*(1+'Hilfstabellen_Mat&amp;Bem'!$BD$31*(DK22-0.3)+DK22^2)</f>
        <v>4.8516902198855023</v>
      </c>
      <c r="DM22" s="550">
        <f t="shared" si="45"/>
        <v>0.11445500305933973</v>
      </c>
      <c r="DO22" s="551">
        <f t="shared" si="46"/>
        <v>626.75559675294437</v>
      </c>
      <c r="DS22" s="546">
        <f t="shared" si="47"/>
        <v>74</v>
      </c>
      <c r="DT22" s="551">
        <f t="shared" si="48"/>
        <v>187.24873595339213</v>
      </c>
      <c r="DU22" s="553">
        <f>DT22/PI()*SQRT('Hilfstabellen_Mat&amp;Bem'!f.Rd.3/'Hilfstabellen_Mat&amp;Bem'!$BD$30)</f>
        <v>2.9801561914691463</v>
      </c>
      <c r="DV22" s="553">
        <f>0.5*(1+'Hilfstabellen_Mat&amp;Bem'!$BD$31*(DU22-0.3)+DU22^2)</f>
        <v>5.0746732723494015</v>
      </c>
      <c r="DW22" s="550">
        <f t="shared" si="49"/>
        <v>0.10890751434747287</v>
      </c>
      <c r="DY22" s="551">
        <f t="shared" si="50"/>
        <v>596.37754856676145</v>
      </c>
      <c r="EC22" s="546">
        <f t="shared" si="51"/>
        <v>74</v>
      </c>
      <c r="ED22" s="551">
        <f t="shared" si="52"/>
        <v>191.92995435222693</v>
      </c>
      <c r="EE22" s="553">
        <f>ED22/PI()*SQRT('Hilfstabellen_Mat&amp;Bem'!f.Rd.3/'Hilfstabellen_Mat&amp;Bem'!$BD$30)</f>
        <v>3.054660096255875</v>
      </c>
      <c r="EF22" s="553">
        <f>0.5*(1+'Hilfstabellen_Mat&amp;Bem'!$BD$31*(EE22-0.3)+EE22^2)</f>
        <v>5.3032071566417693</v>
      </c>
      <c r="EG22" s="550">
        <f t="shared" si="53"/>
        <v>0.10375270186095528</v>
      </c>
      <c r="EI22" s="551">
        <f t="shared" si="54"/>
        <v>568.14979539059118</v>
      </c>
      <c r="EM22" s="546">
        <f t="shared" si="55"/>
        <v>74</v>
      </c>
      <c r="EN22" s="551">
        <f t="shared" si="56"/>
        <v>196.61117275106173</v>
      </c>
      <c r="EO22" s="553">
        <f>EN22/PI()*SQRT('Hilfstabellen_Mat&amp;Bem'!f.Rd.3/'Hilfstabellen_Mat&amp;Bem'!$BD$30)</f>
        <v>3.1291640010426036</v>
      </c>
      <c r="EP22" s="553">
        <f>0.5*(1+'Hilfstabellen_Mat&amp;Bem'!$BD$31*(EO22-0.3)+EO22^2)</f>
        <v>5.5372918727626086</v>
      </c>
      <c r="EQ22" s="550">
        <f t="shared" si="57"/>
        <v>9.8954504547141553E-2</v>
      </c>
      <c r="ES22" s="551">
        <f t="shared" si="58"/>
        <v>541.87486690014714</v>
      </c>
    </row>
    <row r="23" spans="3:149">
      <c r="C23" s="546">
        <v>75</v>
      </c>
      <c r="D23" s="551">
        <f t="shared" si="6"/>
        <v>129.32646029847618</v>
      </c>
      <c r="E23" s="553">
        <f>$D23/PI()*SQRT('Hilfstabellen_Mat&amp;Bem'!f.Rd.3/'Hilfstabellen_Mat&amp;Bem'!$BD$30)</f>
        <v>2.0582945429080239</v>
      </c>
      <c r="F23" s="553">
        <f>0.5*(1+'Hilfstabellen_Mat&amp;Bem'!$BD$31*($E23-0.3)+$E23^2)</f>
        <v>2.7062029398278771</v>
      </c>
      <c r="G23" s="550">
        <f t="shared" si="7"/>
        <v>0.22405564355242191</v>
      </c>
      <c r="I23" s="551">
        <f t="shared" si="8"/>
        <v>1260.3129949823733</v>
      </c>
      <c r="M23" s="546">
        <f t="shared" si="9"/>
        <v>75</v>
      </c>
      <c r="N23" s="551">
        <f t="shared" si="0"/>
        <v>133.94526245199316</v>
      </c>
      <c r="O23" s="553">
        <f>$N23/PI()*SQRT('Hilfstabellen_Mat&amp;Bem'!f.Rd.3/'Hilfstabellen_Mat&amp;Bem'!$BD$30)</f>
        <v>2.1318050622975959</v>
      </c>
      <c r="P23" s="553">
        <f>0.5*(1+'Hilfstabellen_Mat&amp;Bem'!$BD$31*($O23-0.3)+$O23^2)</f>
        <v>2.863886664933708</v>
      </c>
      <c r="Q23" s="550">
        <f t="shared" si="1"/>
        <v>0.20936789424125024</v>
      </c>
      <c r="S23" s="551">
        <f t="shared" si="10"/>
        <v>1177.6944051070327</v>
      </c>
      <c r="W23" s="546">
        <f t="shared" si="11"/>
        <v>75</v>
      </c>
      <c r="X23" s="551">
        <f t="shared" si="2"/>
        <v>138.56406460551017</v>
      </c>
      <c r="Y23" s="553">
        <f>$X23/PI()*SQRT('Hilfstabellen_Mat&amp;Bem'!f.Rd.3/'Hilfstabellen_Mat&amp;Bem'!$BD$30)</f>
        <v>2.2053155816871679</v>
      </c>
      <c r="Z23" s="553">
        <f>0.5*(1+'Hilfstabellen_Mat&amp;Bem'!$BD$31*($Y23-0.3)+$Y23^2)</f>
        <v>3.026974186500464</v>
      </c>
      <c r="AA23" s="550">
        <f t="shared" si="3"/>
        <v>0.19606248557633724</v>
      </c>
      <c r="AC23" s="551">
        <f t="shared" si="12"/>
        <v>1102.8514813668969</v>
      </c>
      <c r="AG23" s="546">
        <f t="shared" si="13"/>
        <v>75</v>
      </c>
      <c r="AH23" s="551">
        <f t="shared" si="4"/>
        <v>143.18286675902718</v>
      </c>
      <c r="AI23" s="553">
        <f>$AH23/PI()*SQRT('Hilfstabellen_Mat&amp;Bem'!f.Rd.3/'Hilfstabellen_Mat&amp;Bem'!$BD$30)</f>
        <v>2.2788261010767403</v>
      </c>
      <c r="AJ23" s="553">
        <f>0.5*(1+'Hilfstabellen_Mat&amp;Bem'!$BD$31*($AI23-0.3)+$AI23^2)</f>
        <v>3.1954655045281459</v>
      </c>
      <c r="AK23" s="550">
        <f t="shared" si="5"/>
        <v>0.18397422801831761</v>
      </c>
      <c r="AM23" s="551">
        <f t="shared" si="14"/>
        <v>1034.8550326030365</v>
      </c>
      <c r="AQ23" s="546">
        <f t="shared" si="15"/>
        <v>75</v>
      </c>
      <c r="AR23" s="551">
        <f t="shared" si="16"/>
        <v>147.80166891254419</v>
      </c>
      <c r="AS23" s="553">
        <f>$AR23/PI()*SQRT('Hilfstabellen_Mat&amp;Bem'!f.Rd.3/'Hilfstabellen_Mat&amp;Bem'!$BD$30)</f>
        <v>2.3523366204663128</v>
      </c>
      <c r="AT23" s="553">
        <f>0.5*(1+'Hilfstabellen_Mat&amp;Bem'!$BD$31*($AS23-0.3)+$AS23^2)</f>
        <v>3.3693606190167524</v>
      </c>
      <c r="AU23" s="550">
        <f t="shared" si="17"/>
        <v>0.17296123321176426</v>
      </c>
      <c r="AW23" s="551">
        <f t="shared" si="18"/>
        <v>972.90693681617404</v>
      </c>
      <c r="BA23" s="546">
        <f t="shared" si="19"/>
        <v>75</v>
      </c>
      <c r="BB23" s="551">
        <f t="shared" si="20"/>
        <v>152.4204710660612</v>
      </c>
      <c r="BC23" s="553">
        <f>$BB23/PI()*SQRT('Hilfstabellen_Mat&amp;Bem'!f.Rd.3/'Hilfstabellen_Mat&amp;Bem'!$BD$30)</f>
        <v>2.4258471398558852</v>
      </c>
      <c r="BD23" s="553">
        <f>0.5*(1+'Hilfstabellen_Mat&amp;Bem'!$BD$31*($BC23-0.3)+$BC23^2)</f>
        <v>3.5486595299662835</v>
      </c>
      <c r="BE23" s="550">
        <f t="shared" si="21"/>
        <v>0.16290124486502808</v>
      </c>
      <c r="BG23" s="551">
        <f t="shared" si="22"/>
        <v>916.31950236578291</v>
      </c>
      <c r="BK23" s="546">
        <f t="shared" si="23"/>
        <v>75</v>
      </c>
      <c r="BL23" s="551">
        <f t="shared" si="24"/>
        <v>157.03927321957821</v>
      </c>
      <c r="BM23" s="553">
        <f>$BL23/PI()*SQRT('Hilfstabellen_Mat&amp;Bem'!f.Rd.3/'Hilfstabellen_Mat&amp;Bem'!$BD$30)</f>
        <v>2.4993576592454576</v>
      </c>
      <c r="BN23" s="553">
        <f>0.5*(1+'Hilfstabellen_Mat&amp;Bem'!$BD$31*($BM23-0.3)+$BM23^2)</f>
        <v>3.7333622373767392</v>
      </c>
      <c r="BO23" s="550">
        <f t="shared" si="25"/>
        <v>0.15368857812312445</v>
      </c>
      <c r="BQ23" s="551">
        <f t="shared" si="26"/>
        <v>864.49825194257505</v>
      </c>
      <c r="BU23" s="546">
        <f t="shared" si="27"/>
        <v>75</v>
      </c>
      <c r="BV23" s="551">
        <f t="shared" si="28"/>
        <v>161.65807537309519</v>
      </c>
      <c r="BW23" s="553">
        <f>$BV23/PI()*SQRT('Hilfstabellen_Mat&amp;Bem'!f.Rd.3/'Hilfstabellen_Mat&amp;Bem'!$BD$30)</f>
        <v>2.5728681786350296</v>
      </c>
      <c r="BX23" s="553">
        <f>0.5*(1+'Hilfstabellen_Mat&amp;Bem'!$BD$31*($BW23-0.3)+$BW23^2)</f>
        <v>3.9234687412481186</v>
      </c>
      <c r="BY23" s="550">
        <f t="shared" si="29"/>
        <v>0.14523157076836962</v>
      </c>
      <c r="CA23" s="551">
        <f t="shared" si="30"/>
        <v>816.92758557207912</v>
      </c>
      <c r="CE23" s="546">
        <f t="shared" si="31"/>
        <v>75</v>
      </c>
      <c r="CF23" s="551">
        <f t="shared" si="32"/>
        <v>166.27687752661222</v>
      </c>
      <c r="CG23" s="553">
        <f>CF23/PI()*SQRT('Hilfstabellen_Mat&amp;Bem'!f.Rd.3/'Hilfstabellen_Mat&amp;Bem'!$BD$30)</f>
        <v>2.646378698024602</v>
      </c>
      <c r="CH23" s="553">
        <f>0.5*(1+'Hilfstabellen_Mat&amp;Bem'!$BD$31*(CG23-0.3)+CG23^2)</f>
        <v>4.1189790415804239</v>
      </c>
      <c r="CI23" s="550">
        <f t="shared" si="33"/>
        <v>0.13745046035599973</v>
      </c>
      <c r="CK23" s="551">
        <f t="shared" si="34"/>
        <v>773.15883950249849</v>
      </c>
      <c r="CO23" s="546">
        <f t="shared" si="35"/>
        <v>75</v>
      </c>
      <c r="CP23" s="551">
        <f t="shared" si="36"/>
        <v>170.89567968012923</v>
      </c>
      <c r="CQ23" s="553">
        <f>CP23/PI()*SQRT('Hilfstabellen_Mat&amp;Bem'!f.Rd.3/'Hilfstabellen_Mat&amp;Bem'!$BD$30)</f>
        <v>2.7198892174141744</v>
      </c>
      <c r="CR23" s="553">
        <f>0.5*(1+'Hilfstabellen_Mat&amp;Bem'!$BD$31*(CQ23-0.3)+CQ23^2)</f>
        <v>4.3198931383736543</v>
      </c>
      <c r="CS23" s="550">
        <f t="shared" si="37"/>
        <v>0.13027561380964336</v>
      </c>
      <c r="CU23" s="551">
        <f t="shared" si="38"/>
        <v>732.80032767924388</v>
      </c>
      <c r="CY23" s="546">
        <f t="shared" si="39"/>
        <v>75</v>
      </c>
      <c r="CZ23" s="551">
        <f t="shared" si="40"/>
        <v>175.51448183364622</v>
      </c>
      <c r="DA23" s="553">
        <f>CZ23/PI()*SQRT('Hilfstabellen_Mat&amp;Bem'!f.Rd.3/'Hilfstabellen_Mat&amp;Bem'!$BD$30)</f>
        <v>2.7933997368037464</v>
      </c>
      <c r="DB23" s="553">
        <f>0.5*(1+'Hilfstabellen_Mat&amp;Bem'!$BD$31*(DA23-0.3)+DA23^2)</f>
        <v>4.526211031627807</v>
      </c>
      <c r="DC23" s="550">
        <f t="shared" si="41"/>
        <v>0.1236460479369208</v>
      </c>
      <c r="DE23" s="551">
        <f t="shared" si="42"/>
        <v>695.50901964517948</v>
      </c>
      <c r="DI23" s="546">
        <f t="shared" si="43"/>
        <v>75</v>
      </c>
      <c r="DJ23" s="551">
        <f t="shared" si="44"/>
        <v>180.13328398716322</v>
      </c>
      <c r="DK23" s="553">
        <f>DJ23/PI()*SQRT('Hilfstabellen_Mat&amp;Bem'!f.Rd.3/'Hilfstabellen_Mat&amp;Bem'!$BD$30)</f>
        <v>2.8669102561933189</v>
      </c>
      <c r="DL23" s="553">
        <f>0.5*(1+'Hilfstabellen_Mat&amp;Bem'!$BD$31*(DK23-0.3)+DK23^2)</f>
        <v>4.7379327213428866</v>
      </c>
      <c r="DM23" s="550">
        <f t="shared" si="45"/>
        <v>0.11750818993735891</v>
      </c>
      <c r="DO23" s="551">
        <f t="shared" si="46"/>
        <v>660.98356839764392</v>
      </c>
      <c r="DS23" s="546">
        <f t="shared" si="47"/>
        <v>75</v>
      </c>
      <c r="DT23" s="551">
        <f t="shared" si="48"/>
        <v>184.75208614068023</v>
      </c>
      <c r="DU23" s="553">
        <f>DT23/PI()*SQRT('Hilfstabellen_Mat&amp;Bem'!f.Rd.3/'Hilfstabellen_Mat&amp;Bem'!$BD$30)</f>
        <v>2.9404207755828913</v>
      </c>
      <c r="DV23" s="553">
        <f>0.5*(1+'Hilfstabellen_Mat&amp;Bem'!$BD$31*(DU23-0.3)+DU23^2)</f>
        <v>4.9550582075188903</v>
      </c>
      <c r="DW23" s="550">
        <f t="shared" si="49"/>
        <v>0.11181483603698619</v>
      </c>
      <c r="DY23" s="551">
        <f t="shared" si="50"/>
        <v>628.95845270804739</v>
      </c>
      <c r="EC23" s="546">
        <f t="shared" si="51"/>
        <v>75</v>
      </c>
      <c r="ED23" s="551">
        <f t="shared" si="52"/>
        <v>189.37088829419724</v>
      </c>
      <c r="EE23" s="553">
        <f>ED23/PI()*SQRT('Hilfstabellen_Mat&amp;Bem'!f.Rd.3/'Hilfstabellen_Mat&amp;Bem'!$BD$30)</f>
        <v>3.0139312949724637</v>
      </c>
      <c r="EF23" s="553">
        <f>0.5*(1+'Hilfstabellen_Mat&amp;Bem'!$BD$31*(EE23-0.3)+EE23^2)</f>
        <v>5.177587490155819</v>
      </c>
      <c r="EG23" s="550">
        <f t="shared" si="53"/>
        <v>0.10652427394888839</v>
      </c>
      <c r="EI23" s="551">
        <f t="shared" si="54"/>
        <v>599.19904096249718</v>
      </c>
      <c r="EM23" s="546">
        <f t="shared" si="55"/>
        <v>75</v>
      </c>
      <c r="EN23" s="551">
        <f t="shared" si="56"/>
        <v>193.98969044771425</v>
      </c>
      <c r="EO23" s="553">
        <f>EN23/PI()*SQRT('Hilfstabellen_Mat&amp;Bem'!f.Rd.3/'Hilfstabellen_Mat&amp;Bem'!$BD$30)</f>
        <v>3.0874418143620357</v>
      </c>
      <c r="EP23" s="553">
        <f>0.5*(1+'Hilfstabellen_Mat&amp;Bem'!$BD$31*(EO23-0.3)+EO23^2)</f>
        <v>5.405520569253671</v>
      </c>
      <c r="EQ23" s="550">
        <f t="shared" si="57"/>
        <v>0.10159954109114522</v>
      </c>
      <c r="ES23" s="551">
        <f t="shared" si="58"/>
        <v>571.49741863769179</v>
      </c>
    </row>
    <row r="24" spans="3:149">
      <c r="C24" s="546">
        <v>76</v>
      </c>
      <c r="D24" s="551">
        <f t="shared" si="6"/>
        <v>127.62479634718044</v>
      </c>
      <c r="E24" s="553">
        <f>$D24/PI()*SQRT('Hilfstabellen_Mat&amp;Bem'!f.Rd.3/'Hilfstabellen_Mat&amp;Bem'!$BD$30)</f>
        <v>2.0312117199750235</v>
      </c>
      <c r="F24" s="553">
        <f>0.5*(1+'Hilfstabellen_Mat&amp;Bem'!$BD$31*($E24-0.3)+$E24^2)</f>
        <v>2.6494711116806977</v>
      </c>
      <c r="G24" s="550">
        <f t="shared" si="7"/>
        <v>0.22985278481662202</v>
      </c>
      <c r="I24" s="551">
        <f t="shared" si="8"/>
        <v>1327.6296851008087</v>
      </c>
      <c r="M24" s="546">
        <f t="shared" si="9"/>
        <v>76</v>
      </c>
      <c r="N24" s="551">
        <f t="shared" si="0"/>
        <v>132.18282478815115</v>
      </c>
      <c r="O24" s="553">
        <f>$N24/PI()*SQRT('Hilfstabellen_Mat&amp;Bem'!f.Rd.3/'Hilfstabellen_Mat&amp;Bem'!$BD$30)</f>
        <v>2.103754995688417</v>
      </c>
      <c r="P24" s="553">
        <f>0.5*(1+'Hilfstabellen_Mat&amp;Bem'!$BD$31*($O24-0.3)+$O24^2)</f>
        <v>2.8030802907264061</v>
      </c>
      <c r="Q24" s="550">
        <f t="shared" si="1"/>
        <v>0.21479950929893704</v>
      </c>
      <c r="S24" s="551">
        <f t="shared" si="10"/>
        <v>1240.6819657106603</v>
      </c>
      <c r="W24" s="546">
        <f t="shared" si="11"/>
        <v>76</v>
      </c>
      <c r="X24" s="551">
        <f t="shared" si="2"/>
        <v>136.74085322912188</v>
      </c>
      <c r="Y24" s="553">
        <f>$X24/PI()*SQRT('Hilfstabellen_Mat&amp;Bem'!f.Rd.3/'Hilfstabellen_Mat&amp;Bem'!$BD$30)</f>
        <v>2.1762982714018109</v>
      </c>
      <c r="Z24" s="553">
        <f>0.5*(1+'Hilfstabellen_Mat&amp;Bem'!$BD$31*($Y24-0.3)+$Y24^2)</f>
        <v>2.9619519966233456</v>
      </c>
      <c r="AA24" s="550">
        <f t="shared" si="3"/>
        <v>0.20116060812869457</v>
      </c>
      <c r="AC24" s="551">
        <f t="shared" si="12"/>
        <v>1161.9036725513399</v>
      </c>
      <c r="AG24" s="546">
        <f t="shared" si="13"/>
        <v>76</v>
      </c>
      <c r="AH24" s="551">
        <f t="shared" si="4"/>
        <v>141.29888167009261</v>
      </c>
      <c r="AI24" s="553">
        <f>$AH24/PI()*SQRT('Hilfstabellen_Mat&amp;Bem'!f.Rd.3/'Hilfstabellen_Mat&amp;Bem'!$BD$30)</f>
        <v>2.2488415471152048</v>
      </c>
      <c r="AJ24" s="553">
        <f>0.5*(1+'Hilfstabellen_Mat&amp;Bem'!$BD$31*($AI24-0.3)+$AI24^2)</f>
        <v>3.1260862293715146</v>
      </c>
      <c r="AK24" s="550">
        <f t="shared" si="5"/>
        <v>0.18876755629872444</v>
      </c>
      <c r="AM24" s="551">
        <f t="shared" si="14"/>
        <v>1090.3214051814323</v>
      </c>
      <c r="AQ24" s="546">
        <f t="shared" si="15"/>
        <v>76</v>
      </c>
      <c r="AR24" s="551">
        <f t="shared" si="16"/>
        <v>145.85691011106334</v>
      </c>
      <c r="AS24" s="553">
        <f>$AR24/PI()*SQRT('Hilfstabellen_Mat&amp;Bem'!f.Rd.3/'Hilfstabellen_Mat&amp;Bem'!$BD$30)</f>
        <v>2.3213848228285978</v>
      </c>
      <c r="AT24" s="553">
        <f>0.5*(1+'Hilfstabellen_Mat&amp;Bem'!$BD$31*($AS24-0.3)+$AS24^2)</f>
        <v>3.2954829889709099</v>
      </c>
      <c r="AU24" s="550">
        <f t="shared" si="17"/>
        <v>0.17747547814850007</v>
      </c>
      <c r="AW24" s="551">
        <f t="shared" si="18"/>
        <v>1025.0983617857364</v>
      </c>
      <c r="BA24" s="546">
        <f t="shared" si="19"/>
        <v>76</v>
      </c>
      <c r="BB24" s="551">
        <f t="shared" si="20"/>
        <v>150.41493855203407</v>
      </c>
      <c r="BC24" s="553">
        <f>$BB24/PI()*SQRT('Hilfstabellen_Mat&amp;Bem'!f.Rd.3/'Hilfstabellen_Mat&amp;Bem'!$BD$30)</f>
        <v>2.3939280985419917</v>
      </c>
      <c r="BD24" s="553">
        <f>0.5*(1+'Hilfstabellen_Mat&amp;Bem'!$BD$31*($BC24-0.3)+$BC24^2)</f>
        <v>3.4701422754215376</v>
      </c>
      <c r="BE24" s="550">
        <f t="shared" si="21"/>
        <v>0.16715945859730275</v>
      </c>
      <c r="BG24" s="551">
        <f t="shared" si="22"/>
        <v>965.51303285802067</v>
      </c>
      <c r="BK24" s="546">
        <f t="shared" si="23"/>
        <v>76</v>
      </c>
      <c r="BL24" s="551">
        <f t="shared" si="24"/>
        <v>154.9729669930048</v>
      </c>
      <c r="BM24" s="553">
        <f>$BL24/PI()*SQRT('Hilfstabellen_Mat&amp;Bem'!f.Rd.3/'Hilfstabellen_Mat&amp;Bem'!$BD$30)</f>
        <v>2.4664713742553857</v>
      </c>
      <c r="BN24" s="553">
        <f>0.5*(1+'Hilfstabellen_Mat&amp;Bem'!$BD$31*($BM24-0.3)+$BM24^2)</f>
        <v>3.6500640887233944</v>
      </c>
      <c r="BO24" s="550">
        <f t="shared" si="25"/>
        <v>0.15771145453387281</v>
      </c>
      <c r="BQ24" s="551">
        <f t="shared" si="26"/>
        <v>910.94136138764929</v>
      </c>
      <c r="BU24" s="546">
        <f t="shared" si="27"/>
        <v>76</v>
      </c>
      <c r="BV24" s="551">
        <f t="shared" si="28"/>
        <v>159.53099543397553</v>
      </c>
      <c r="BW24" s="553">
        <f>$BV24/PI()*SQRT('Hilfstabellen_Mat&amp;Bem'!f.Rd.3/'Hilfstabellen_Mat&amp;Bem'!$BD$30)</f>
        <v>2.5390146499687791</v>
      </c>
      <c r="BX24" s="553">
        <f>0.5*(1+'Hilfstabellen_Mat&amp;Bem'!$BD$31*($BW24-0.3)+$BW24^2)</f>
        <v>3.8352484288764801</v>
      </c>
      <c r="BY24" s="550">
        <f t="shared" si="29"/>
        <v>0.14903771545696395</v>
      </c>
      <c r="CA24" s="551">
        <f t="shared" si="30"/>
        <v>860.8418444794238</v>
      </c>
      <c r="CE24" s="546">
        <f t="shared" si="31"/>
        <v>76</v>
      </c>
      <c r="CF24" s="551">
        <f t="shared" si="32"/>
        <v>164.08902387494626</v>
      </c>
      <c r="CG24" s="553">
        <f>CF24/PI()*SQRT('Hilfstabellen_Mat&amp;Bem'!f.Rd.3/'Hilfstabellen_Mat&amp;Bem'!$BD$30)</f>
        <v>2.611557925682173</v>
      </c>
      <c r="CH24" s="553">
        <f>0.5*(1+'Hilfstabellen_Mat&amp;Bem'!$BD$31*(CG24-0.3)+CG24^2)</f>
        <v>4.0256952958807961</v>
      </c>
      <c r="CI24" s="550">
        <f t="shared" si="33"/>
        <v>0.14105663049911443</v>
      </c>
      <c r="CK24" s="551">
        <f t="shared" si="34"/>
        <v>814.74309776288499</v>
      </c>
      <c r="CO24" s="546">
        <f t="shared" si="35"/>
        <v>76</v>
      </c>
      <c r="CP24" s="551">
        <f t="shared" si="36"/>
        <v>168.64705231591699</v>
      </c>
      <c r="CQ24" s="553">
        <f>CP24/PI()*SQRT('Hilfstabellen_Mat&amp;Bem'!f.Rd.3/'Hilfstabellen_Mat&amp;Bem'!$BD$30)</f>
        <v>2.684101201395567</v>
      </c>
      <c r="CR24" s="553">
        <f>0.5*(1+'Hilfstabellen_Mat&amp;Bem'!$BD$31*(CQ24-0.3)+CQ24^2)</f>
        <v>4.2214046897363415</v>
      </c>
      <c r="CS24" s="550">
        <f t="shared" si="37"/>
        <v>0.13369692985148779</v>
      </c>
      <c r="CU24" s="551">
        <f t="shared" si="38"/>
        <v>772.23346682219346</v>
      </c>
      <c r="CY24" s="546">
        <f t="shared" si="39"/>
        <v>76</v>
      </c>
      <c r="CZ24" s="551">
        <f t="shared" si="40"/>
        <v>173.20508075688772</v>
      </c>
      <c r="DA24" s="553">
        <f>CZ24/PI()*SQRT('Hilfstabellen_Mat&amp;Bem'!f.Rd.3/'Hilfstabellen_Mat&amp;Bem'!$BD$30)</f>
        <v>2.7566444771089604</v>
      </c>
      <c r="DB24" s="553">
        <f>0.5*(1+'Hilfstabellen_Mat&amp;Bem'!$BD$31*(DA24-0.3)+DA24^2)</f>
        <v>4.4223766104431146</v>
      </c>
      <c r="DC24" s="550">
        <f t="shared" si="41"/>
        <v>0.12689617969031575</v>
      </c>
      <c r="DE24" s="551">
        <f t="shared" si="42"/>
        <v>732.95233389126372</v>
      </c>
      <c r="DI24" s="546">
        <f t="shared" si="43"/>
        <v>76</v>
      </c>
      <c r="DJ24" s="551">
        <f t="shared" si="44"/>
        <v>177.76310919785845</v>
      </c>
      <c r="DK24" s="553">
        <f>DJ24/PI()*SQRT('Hilfstabellen_Mat&amp;Bem'!f.Rd.3/'Hilfstabellen_Mat&amp;Bem'!$BD$30)</f>
        <v>2.8291877528223544</v>
      </c>
      <c r="DL24" s="553">
        <f>0.5*(1+'Hilfstabellen_Mat&amp;Bem'!$BD$31*(DK24-0.3)+DK24^2)</f>
        <v>4.6286110580011197</v>
      </c>
      <c r="DM24" s="550">
        <f t="shared" si="45"/>
        <v>0.12059951985109046</v>
      </c>
      <c r="DO24" s="551">
        <f t="shared" si="46"/>
        <v>696.5828266598985</v>
      </c>
      <c r="DS24" s="546">
        <f t="shared" si="47"/>
        <v>76</v>
      </c>
      <c r="DT24" s="551">
        <f t="shared" si="48"/>
        <v>182.32113763882916</v>
      </c>
      <c r="DU24" s="553">
        <f>DT24/PI()*SQRT('Hilfstabellen_Mat&amp;Bem'!f.Rd.3/'Hilfstabellen_Mat&amp;Bem'!$BD$30)</f>
        <v>2.9017310285357474</v>
      </c>
      <c r="DV24" s="553">
        <f>0.5*(1+'Hilfstabellen_Mat&amp;Bem'!$BD$31*(DU24-0.3)+DU24^2)</f>
        <v>4.8401080324103507</v>
      </c>
      <c r="DW24" s="550">
        <f t="shared" si="49"/>
        <v>0.11475860231290073</v>
      </c>
      <c r="DY24" s="551">
        <f t="shared" si="50"/>
        <v>662.84568695931466</v>
      </c>
      <c r="EC24" s="546">
        <f t="shared" si="51"/>
        <v>76</v>
      </c>
      <c r="ED24" s="551">
        <f t="shared" si="52"/>
        <v>186.87916607979992</v>
      </c>
      <c r="EE24" s="553">
        <f>ED24/PI()*SQRT('Hilfstabellen_Mat&amp;Bem'!f.Rd.3/'Hilfstabellen_Mat&amp;Bem'!$BD$30)</f>
        <v>2.9742743042491417</v>
      </c>
      <c r="EF24" s="553">
        <f>0.5*(1+'Hilfstabellen_Mat&amp;Bem'!$BD$31*(EE24-0.3)+EE24^2)</f>
        <v>5.0568675336708155</v>
      </c>
      <c r="EG24" s="550">
        <f t="shared" si="53"/>
        <v>0.10933069599962489</v>
      </c>
      <c r="EI24" s="551">
        <f t="shared" si="54"/>
        <v>631.49410009383337</v>
      </c>
      <c r="EM24" s="546">
        <f t="shared" si="55"/>
        <v>76</v>
      </c>
      <c r="EN24" s="551">
        <f t="shared" si="56"/>
        <v>191.43719452077065</v>
      </c>
      <c r="EO24" s="553">
        <f>EN24/PI()*SQRT('Hilfstabellen_Mat&amp;Bem'!f.Rd.3/'Hilfstabellen_Mat&amp;Bem'!$BD$30)</f>
        <v>3.0468175799625352</v>
      </c>
      <c r="EP24" s="553">
        <f>0.5*(1+'Hilfstabellen_Mat&amp;Bem'!$BD$31*(EO24-0.3)+EO24^2)</f>
        <v>5.2788895617825062</v>
      </c>
      <c r="EQ24" s="550">
        <f t="shared" si="57"/>
        <v>0.10427792958676889</v>
      </c>
      <c r="ES24" s="551">
        <f t="shared" si="58"/>
        <v>602.30932129317705</v>
      </c>
    </row>
    <row r="25" spans="3:149">
      <c r="C25" s="546">
        <v>77</v>
      </c>
      <c r="D25" s="551">
        <f t="shared" si="6"/>
        <v>125.96733145955471</v>
      </c>
      <c r="E25" s="553">
        <f>$D25/PI()*SQRT('Hilfstabellen_Mat&amp;Bem'!f.Rd.3/'Hilfstabellen_Mat&amp;Bem'!$BD$30)</f>
        <v>2.0048323469883349</v>
      </c>
      <c r="F25" s="553">
        <f>0.5*(1+'Hilfstabellen_Mat&amp;Bem'!$BD$31*($E25-0.3)+$E25^2)</f>
        <v>2.5949179871147945</v>
      </c>
      <c r="G25" s="550">
        <f t="shared" si="7"/>
        <v>0.23571479564656136</v>
      </c>
      <c r="I25" s="551">
        <f t="shared" si="8"/>
        <v>1397.5530233884624</v>
      </c>
      <c r="M25" s="546">
        <f t="shared" si="9"/>
        <v>77</v>
      </c>
      <c r="N25" s="551">
        <f t="shared" si="0"/>
        <v>130.46616472596739</v>
      </c>
      <c r="O25" s="553">
        <f>$N25/PI()*SQRT('Hilfstabellen_Mat&amp;Bem'!f.Rd.3/'Hilfstabellen_Mat&amp;Bem'!$BD$30)</f>
        <v>2.0764335022379181</v>
      </c>
      <c r="P25" s="553">
        <f>0.5*(1+'Hilfstabellen_Mat&amp;Bem'!$BD$31*($O25-0.3)+$O25^2)</f>
        <v>2.7446097197199091</v>
      </c>
      <c r="Q25" s="550">
        <f t="shared" si="1"/>
        <v>0.2202929674836866</v>
      </c>
      <c r="S25" s="551">
        <f t="shared" si="10"/>
        <v>1306.1170042107778</v>
      </c>
      <c r="W25" s="546">
        <f t="shared" si="11"/>
        <v>77</v>
      </c>
      <c r="X25" s="551">
        <f t="shared" si="2"/>
        <v>134.96499799238003</v>
      </c>
      <c r="Y25" s="553">
        <f>$X25/PI()*SQRT('Hilfstabellen_Mat&amp;Bem'!f.Rd.3/'Hilfstabellen_Mat&amp;Bem'!$BD$30)</f>
        <v>2.1480346574875013</v>
      </c>
      <c r="Z25" s="553">
        <f>0.5*(1+'Hilfstabellen_Mat&amp;Bem'!$BD$31*($Y25-0.3)+$Y25^2)</f>
        <v>2.8994281777580988</v>
      </c>
      <c r="AA25" s="550">
        <f t="shared" si="3"/>
        <v>0.20631761083232777</v>
      </c>
      <c r="AC25" s="551">
        <f t="shared" si="12"/>
        <v>1223.2571146248713</v>
      </c>
      <c r="AG25" s="546">
        <f t="shared" si="13"/>
        <v>77</v>
      </c>
      <c r="AH25" s="551">
        <f t="shared" si="4"/>
        <v>139.46383125879271</v>
      </c>
      <c r="AI25" s="553">
        <f>$AH25/PI()*SQRT('Hilfstabellen_Mat&amp;Bem'!f.Rd.3/'Hilfstabellen_Mat&amp;Bem'!$BD$30)</f>
        <v>2.219635812737085</v>
      </c>
      <c r="AJ25" s="553">
        <f>0.5*(1+'Hilfstabellen_Mat&amp;Bem'!$BD$31*($AI25-0.3)+$AI25^2)</f>
        <v>3.0593733612293641</v>
      </c>
      <c r="AK25" s="550">
        <f t="shared" si="5"/>
        <v>0.19361690718493457</v>
      </c>
      <c r="AM25" s="551">
        <f t="shared" si="14"/>
        <v>1147.9546426994771</v>
      </c>
      <c r="AQ25" s="546">
        <f t="shared" si="15"/>
        <v>77</v>
      </c>
      <c r="AR25" s="551">
        <f t="shared" si="16"/>
        <v>143.96266452520538</v>
      </c>
      <c r="AS25" s="553">
        <f>$AR25/PI()*SQRT('Hilfstabellen_Mat&amp;Bem'!f.Rd.3/'Hilfstabellen_Mat&amp;Bem'!$BD$30)</f>
        <v>2.2912369679866682</v>
      </c>
      <c r="AT25" s="553">
        <f>0.5*(1+'Hilfstabellen_Mat&amp;Bem'!$BD$31*($AS25-0.3)+$AS25^2)</f>
        <v>3.2244452701337036</v>
      </c>
      <c r="AU25" s="550">
        <f t="shared" si="17"/>
        <v>0.18204301660787126</v>
      </c>
      <c r="AW25" s="551">
        <f t="shared" si="18"/>
        <v>1079.3330454680686</v>
      </c>
      <c r="BA25" s="546">
        <f t="shared" si="19"/>
        <v>77</v>
      </c>
      <c r="BB25" s="551">
        <f t="shared" si="20"/>
        <v>148.46149779161803</v>
      </c>
      <c r="BC25" s="553">
        <f>$BB25/PI()*SQRT('Hilfstabellen_Mat&amp;Bem'!f.Rd.3/'Hilfstabellen_Mat&amp;Bem'!$BD$30)</f>
        <v>2.3628381232362514</v>
      </c>
      <c r="BD25" s="553">
        <f>0.5*(1+'Hilfstabellen_Mat&amp;Bem'!$BD$31*($BC25-0.3)+$BC25^2)</f>
        <v>3.3946439044711179</v>
      </c>
      <c r="BE25" s="550">
        <f t="shared" si="21"/>
        <v>0.17146837621828159</v>
      </c>
      <c r="BG25" s="551">
        <f t="shared" si="22"/>
        <v>1016.6360025981916</v>
      </c>
      <c r="BK25" s="546">
        <f t="shared" si="23"/>
        <v>77</v>
      </c>
      <c r="BL25" s="551">
        <f t="shared" si="24"/>
        <v>152.9603310580307</v>
      </c>
      <c r="BM25" s="553">
        <f>$BL25/PI()*SQRT('Hilfstabellen_Mat&amp;Bem'!f.Rd.3/'Hilfstabellen_Mat&amp;Bem'!$BD$30)</f>
        <v>2.4344392784858351</v>
      </c>
      <c r="BN25" s="553">
        <f>0.5*(1+'Hilfstabellen_Mat&amp;Bem'!$BD$31*($BM25-0.3)+$BM25^2)</f>
        <v>3.5699692642416085</v>
      </c>
      <c r="BO25" s="550">
        <f t="shared" si="25"/>
        <v>0.16178258800675005</v>
      </c>
      <c r="BQ25" s="551">
        <f t="shared" si="26"/>
        <v>959.20896429202105</v>
      </c>
      <c r="BU25" s="546">
        <f t="shared" si="27"/>
        <v>77</v>
      </c>
      <c r="BV25" s="551">
        <f t="shared" si="28"/>
        <v>157.45916432444338</v>
      </c>
      <c r="BW25" s="553">
        <f>$BV25/PI()*SQRT('Hilfstabellen_Mat&amp;Bem'!f.Rd.3/'Hilfstabellen_Mat&amp;Bem'!$BD$30)</f>
        <v>2.5060404337354183</v>
      </c>
      <c r="BX25" s="553">
        <f>0.5*(1+'Hilfstabellen_Mat&amp;Bem'!$BD$31*($BW25-0.3)+$BW25^2)</f>
        <v>3.7504213494451726</v>
      </c>
      <c r="BY25" s="550">
        <f t="shared" si="29"/>
        <v>0.15288981177425243</v>
      </c>
      <c r="CA25" s="551">
        <f t="shared" si="30"/>
        <v>906.48369400954266</v>
      </c>
      <c r="CE25" s="546">
        <f t="shared" si="31"/>
        <v>77</v>
      </c>
      <c r="CF25" s="551">
        <f t="shared" si="32"/>
        <v>161.95799759085605</v>
      </c>
      <c r="CG25" s="553">
        <f>CF25/PI()*SQRT('Hilfstabellen_Mat&amp;Bem'!f.Rd.3/'Hilfstabellen_Mat&amp;Bem'!$BD$30)</f>
        <v>2.577641588985002</v>
      </c>
      <c r="CH25" s="553">
        <f>0.5*(1+'Hilfstabellen_Mat&amp;Bem'!$BD$31*(CG25-0.3)+CG25^2)</f>
        <v>3.9360001600818131</v>
      </c>
      <c r="CI25" s="550">
        <f t="shared" si="33"/>
        <v>0.14470658390375418</v>
      </c>
      <c r="CK25" s="551">
        <f t="shared" si="34"/>
        <v>857.96533596535858</v>
      </c>
      <c r="CO25" s="546">
        <f t="shared" si="35"/>
        <v>77</v>
      </c>
      <c r="CP25" s="551">
        <f t="shared" si="36"/>
        <v>166.45683085726873</v>
      </c>
      <c r="CQ25" s="553">
        <f>CP25/PI()*SQRT('Hilfstabellen_Mat&amp;Bem'!f.Rd.3/'Hilfstabellen_Mat&amp;Bem'!$BD$30)</f>
        <v>2.6492427442345856</v>
      </c>
      <c r="CR25" s="553">
        <f>0.5*(1+'Hilfstabellen_Mat&amp;Bem'!$BD$31*(CQ25-0.3)+CQ25^2)</f>
        <v>4.1267056961515287</v>
      </c>
      <c r="CS25" s="550">
        <f t="shared" si="37"/>
        <v>0.1371599918294138</v>
      </c>
      <c r="CU25" s="551">
        <f t="shared" si="38"/>
        <v>813.22159155659438</v>
      </c>
      <c r="CY25" s="546">
        <f t="shared" si="39"/>
        <v>77</v>
      </c>
      <c r="CZ25" s="551">
        <f t="shared" si="40"/>
        <v>170.95566412368137</v>
      </c>
      <c r="DA25" s="553">
        <f>CZ25/PI()*SQRT('Hilfstabellen_Mat&amp;Bem'!f.Rd.3/'Hilfstabellen_Mat&amp;Bem'!$BD$30)</f>
        <v>2.7208438994841684</v>
      </c>
      <c r="DB25" s="553">
        <f>0.5*(1+'Hilfstabellen_Mat&amp;Bem'!$BD$31*(DA25-0.3)+DA25^2)</f>
        <v>4.3225379576543155</v>
      </c>
      <c r="DC25" s="550">
        <f t="shared" si="41"/>
        <v>0.13018614416763083</v>
      </c>
      <c r="DE25" s="551">
        <f t="shared" si="42"/>
        <v>771.87364876988318</v>
      </c>
      <c r="DI25" s="546">
        <f t="shared" si="43"/>
        <v>77</v>
      </c>
      <c r="DJ25" s="551">
        <f t="shared" si="44"/>
        <v>175.45449739009405</v>
      </c>
      <c r="DK25" s="553">
        <f>DJ25/PI()*SQRT('Hilfstabellen_Mat&amp;Bem'!f.Rd.3/'Hilfstabellen_Mat&amp;Bem'!$BD$30)</f>
        <v>2.792445054733752</v>
      </c>
      <c r="DL25" s="553">
        <f>0.5*(1+'Hilfstabellen_Mat&amp;Bem'!$BD$31*(DK25-0.3)+DK25^2)</f>
        <v>4.5234969445901818</v>
      </c>
      <c r="DM25" s="550">
        <f t="shared" si="45"/>
        <v>0.12372888607371466</v>
      </c>
      <c r="DO25" s="551">
        <f t="shared" si="46"/>
        <v>733.5885655310542</v>
      </c>
      <c r="DS25" s="546">
        <f t="shared" si="47"/>
        <v>77</v>
      </c>
      <c r="DT25" s="551">
        <f t="shared" si="48"/>
        <v>179.95333065650672</v>
      </c>
      <c r="DU25" s="553">
        <f>DT25/PI()*SQRT('Hilfstabellen_Mat&amp;Bem'!f.Rd.3/'Hilfstabellen_Mat&amp;Bem'!$BD$30)</f>
        <v>2.8640462099833357</v>
      </c>
      <c r="DV25" s="553">
        <f>0.5*(1+'Hilfstabellen_Mat&amp;Bem'!$BD$31*(DU25-0.3)+DU25^2)</f>
        <v>4.7295826569591215</v>
      </c>
      <c r="DW25" s="550">
        <f t="shared" si="49"/>
        <v>0.11773871790807658</v>
      </c>
      <c r="DY25" s="551">
        <f t="shared" si="50"/>
        <v>698.07285847698608</v>
      </c>
      <c r="EC25" s="546">
        <f t="shared" si="51"/>
        <v>77</v>
      </c>
      <c r="ED25" s="551">
        <f t="shared" si="52"/>
        <v>184.45216392291937</v>
      </c>
      <c r="EE25" s="553">
        <f>ED25/PI()*SQRT('Hilfstabellen_Mat&amp;Bem'!f.Rd.3/'Hilfstabellen_Mat&amp;Bem'!$BD$30)</f>
        <v>2.9356473652329185</v>
      </c>
      <c r="EF25" s="553">
        <f>0.5*(1+'Hilfstabellen_Mat&amp;Bem'!$BD$31*(EE25-0.3)+EE25^2)</f>
        <v>4.9407950947611337</v>
      </c>
      <c r="EG25" s="550">
        <f t="shared" si="53"/>
        <v>0.11217188258754714</v>
      </c>
      <c r="EI25" s="551">
        <f t="shared" si="54"/>
        <v>665.06709186156695</v>
      </c>
      <c r="EM25" s="546">
        <f t="shared" si="55"/>
        <v>77</v>
      </c>
      <c r="EN25" s="551">
        <f t="shared" si="56"/>
        <v>188.95099718933207</v>
      </c>
      <c r="EO25" s="553">
        <f>EN25/PI()*SQRT('Hilfstabellen_Mat&amp;Bem'!f.Rd.3/'Hilfstabellen_Mat&amp;Bem'!$BD$30)</f>
        <v>3.0072485204825021</v>
      </c>
      <c r="EP25" s="553">
        <f>0.5*(1+'Hilfstabellen_Mat&amp;Bem'!$BD$31*(EO25-0.3)+EO25^2)</f>
        <v>5.1571342579962245</v>
      </c>
      <c r="EQ25" s="550">
        <f t="shared" si="57"/>
        <v>0.10698959310874759</v>
      </c>
      <c r="ES25" s="551">
        <f t="shared" si="58"/>
        <v>634.34129754176445</v>
      </c>
    </row>
    <row r="26" spans="3:149">
      <c r="C26" s="546">
        <v>78</v>
      </c>
      <c r="D26" s="551">
        <f t="shared" si="6"/>
        <v>124.35236567161169</v>
      </c>
      <c r="E26" s="553">
        <f>$D26/PI()*SQRT('Hilfstabellen_Mat&amp;Bem'!f.Rd.3/'Hilfstabellen_Mat&amp;Bem'!$BD$30)</f>
        <v>1.979129368180792</v>
      </c>
      <c r="F26" s="553">
        <f>0.5*(1+'Hilfstabellen_Mat&amp;Bem'!$BD$31*($E26-0.3)+$E26^2)</f>
        <v>2.5424329964068901</v>
      </c>
      <c r="G26" s="550">
        <f t="shared" si="7"/>
        <v>0.24164107711066929</v>
      </c>
      <c r="I26" s="551">
        <f t="shared" si="8"/>
        <v>1470.1443131413118</v>
      </c>
      <c r="M26" s="546">
        <f t="shared" si="9"/>
        <v>78</v>
      </c>
      <c r="N26" s="551">
        <f t="shared" si="0"/>
        <v>128.79352158845498</v>
      </c>
      <c r="O26" s="553">
        <f>$N26/PI()*SQRT('Hilfstabellen_Mat&amp;Bem'!f.Rd.3/'Hilfstabellen_Mat&amp;Bem'!$BD$30)</f>
        <v>2.0498125599015347</v>
      </c>
      <c r="P26" s="553">
        <f>0.5*(1+'Hilfstabellen_Mat&amp;Bem'!$BD$31*($O26-0.3)+$O26^2)</f>
        <v>2.688356393360118</v>
      </c>
      <c r="Q26" s="550">
        <f t="shared" si="1"/>
        <v>0.22584777909737527</v>
      </c>
      <c r="S26" s="551">
        <f t="shared" si="10"/>
        <v>1374.0578880284311</v>
      </c>
      <c r="W26" s="546">
        <f t="shared" si="11"/>
        <v>78</v>
      </c>
      <c r="X26" s="551">
        <f t="shared" si="2"/>
        <v>133.23467750529824</v>
      </c>
      <c r="Y26" s="553">
        <f>$X26/PI()*SQRT('Hilfstabellen_Mat&amp;Bem'!f.Rd.3/'Hilfstabellen_Mat&amp;Bem'!$BD$30)</f>
        <v>2.1204957516222769</v>
      </c>
      <c r="Z26" s="553">
        <f>0.5*(1+'Hilfstabellen_Mat&amp;Bem'!$BD$31*($Y26-0.3)+$Y26^2)</f>
        <v>2.8392759039051763</v>
      </c>
      <c r="AA26" s="550">
        <f t="shared" si="3"/>
        <v>0.2115330884495415</v>
      </c>
      <c r="AC26" s="551">
        <f t="shared" si="12"/>
        <v>1286.9673101270105</v>
      </c>
      <c r="AG26" s="546">
        <f t="shared" si="13"/>
        <v>78</v>
      </c>
      <c r="AH26" s="551">
        <f t="shared" si="4"/>
        <v>137.67583342214152</v>
      </c>
      <c r="AI26" s="553">
        <f>$AH26/PI()*SQRT('Hilfstabellen_Mat&amp;Bem'!f.Rd.3/'Hilfstabellen_Mat&amp;Bem'!$BD$30)</f>
        <v>2.19117894334302</v>
      </c>
      <c r="AJ26" s="553">
        <f>0.5*(1+'Hilfstabellen_Mat&amp;Bem'!$BD$31*($AI26-0.3)+$AI26^2)</f>
        <v>2.995191528042068</v>
      </c>
      <c r="AK26" s="550">
        <f t="shared" si="5"/>
        <v>0.19852194165950793</v>
      </c>
      <c r="AM26" s="551">
        <f t="shared" si="14"/>
        <v>1207.8074930564462</v>
      </c>
      <c r="AQ26" s="546">
        <f t="shared" si="15"/>
        <v>78</v>
      </c>
      <c r="AR26" s="551">
        <f t="shared" si="16"/>
        <v>142.11698933898481</v>
      </c>
      <c r="AS26" s="553">
        <f>$AR26/PI()*SQRT('Hilfstabellen_Mat&amp;Bem'!f.Rd.3/'Hilfstabellen_Mat&amp;Bem'!$BD$30)</f>
        <v>2.2618621350637627</v>
      </c>
      <c r="AT26" s="553">
        <f>0.5*(1+'Hilfstabellen_Mat&amp;Bem'!$BD$31*($AS26-0.3)+$AS26^2)</f>
        <v>3.1561032657707897</v>
      </c>
      <c r="AU26" s="550">
        <f t="shared" si="17"/>
        <v>0.18666356215592703</v>
      </c>
      <c r="AW26" s="551">
        <f t="shared" si="18"/>
        <v>1135.66111215666</v>
      </c>
      <c r="BA26" s="546">
        <f t="shared" si="19"/>
        <v>78</v>
      </c>
      <c r="BB26" s="551">
        <f t="shared" si="20"/>
        <v>146.55814525582807</v>
      </c>
      <c r="BC26" s="553">
        <f>$BB26/PI()*SQRT('Hilfstabellen_Mat&amp;Bem'!f.Rd.3/'Hilfstabellen_Mat&amp;Bem'!$BD$30)</f>
        <v>2.3325453267845049</v>
      </c>
      <c r="BD26" s="553">
        <f>0.5*(1+'Hilfstabellen_Mat&amp;Bem'!$BD$31*($BC26-0.3)+$BC26^2)</f>
        <v>3.3220111170913418</v>
      </c>
      <c r="BE26" s="550">
        <f t="shared" si="21"/>
        <v>0.17582775353773375</v>
      </c>
      <c r="BG26" s="551">
        <f t="shared" si="22"/>
        <v>1069.7360525235722</v>
      </c>
      <c r="BK26" s="546">
        <f t="shared" si="23"/>
        <v>78</v>
      </c>
      <c r="BL26" s="551">
        <f t="shared" si="24"/>
        <v>150.99930117267135</v>
      </c>
      <c r="BM26" s="553">
        <f>$BL26/PI()*SQRT('Hilfstabellen_Mat&amp;Bem'!f.Rd.3/'Hilfstabellen_Mat&amp;Bem'!$BD$30)</f>
        <v>2.403228518505248</v>
      </c>
      <c r="BN26" s="553">
        <f>0.5*(1+'Hilfstabellen_Mat&amp;Bem'!$BD$31*($BM26-0.3)+$BM26^2)</f>
        <v>3.4929150820037269</v>
      </c>
      <c r="BO26" s="550">
        <f t="shared" si="25"/>
        <v>0.16590176865283671</v>
      </c>
      <c r="BQ26" s="551">
        <f t="shared" si="26"/>
        <v>1009.3463604838586</v>
      </c>
      <c r="BU26" s="546">
        <f t="shared" si="27"/>
        <v>78</v>
      </c>
      <c r="BV26" s="551">
        <f t="shared" si="28"/>
        <v>155.44045708951461</v>
      </c>
      <c r="BW26" s="553">
        <f>$BV26/PI()*SQRT('Hilfstabellen_Mat&amp;Bem'!f.Rd.3/'Hilfstabellen_Mat&amp;Bem'!$BD$30)</f>
        <v>2.4739117102259898</v>
      </c>
      <c r="BX26" s="553">
        <f>0.5*(1+'Hilfstabellen_Mat&amp;Bem'!$BD$31*($BW26-0.3)+$BW26^2)</f>
        <v>3.6688151605079402</v>
      </c>
      <c r="BY26" s="550">
        <f t="shared" si="29"/>
        <v>0.15678767795812107</v>
      </c>
      <c r="CA26" s="551">
        <f t="shared" si="30"/>
        <v>953.89623269720857</v>
      </c>
      <c r="CE26" s="546">
        <f t="shared" si="31"/>
        <v>78</v>
      </c>
      <c r="CF26" s="551">
        <f t="shared" si="32"/>
        <v>159.8816130063579</v>
      </c>
      <c r="CG26" s="553">
        <f>CF26/PI()*SQRT('Hilfstabellen_Mat&amp;Bem'!f.Rd.3/'Hilfstabellen_Mat&amp;Bem'!$BD$30)</f>
        <v>2.5445949019467324</v>
      </c>
      <c r="CH26" s="553">
        <f>0.5*(1+'Hilfstabellen_Mat&amp;Bem'!$BD$31*(CG26-0.3)+CG26^2)</f>
        <v>3.849711352603987</v>
      </c>
      <c r="CI26" s="550">
        <f t="shared" si="33"/>
        <v>0.14840016208097459</v>
      </c>
      <c r="CK26" s="551">
        <f t="shared" si="34"/>
        <v>902.86658610064944</v>
      </c>
      <c r="CO26" s="546">
        <f t="shared" si="35"/>
        <v>78</v>
      </c>
      <c r="CP26" s="551">
        <f t="shared" si="36"/>
        <v>164.32276892320118</v>
      </c>
      <c r="CQ26" s="553">
        <f>CP26/PI()*SQRT('Hilfstabellen_Mat&amp;Bem'!f.Rd.3/'Hilfstabellen_Mat&amp;Bem'!$BD$30)</f>
        <v>2.6152780936674755</v>
      </c>
      <c r="CR26" s="553">
        <f>0.5*(1+'Hilfstabellen_Mat&amp;Bem'!$BD$31*(CQ26-0.3)+CQ26^2)</f>
        <v>4.0356036582918664</v>
      </c>
      <c r="CS26" s="550">
        <f t="shared" si="37"/>
        <v>0.14066466067294597</v>
      </c>
      <c r="CU26" s="551">
        <f t="shared" si="38"/>
        <v>855.80379553420335</v>
      </c>
      <c r="CY26" s="546">
        <f t="shared" si="39"/>
        <v>78</v>
      </c>
      <c r="CZ26" s="551">
        <f t="shared" si="40"/>
        <v>168.76392484004444</v>
      </c>
      <c r="DA26" s="553">
        <f>CZ26/PI()*SQRT('Hilfstabellen_Mat&amp;Bem'!f.Rd.3/'Hilfstabellen_Mat&amp;Bem'!$BD$30)</f>
        <v>2.6859612853882178</v>
      </c>
      <c r="DB26" s="553">
        <f>0.5*(1+'Hilfstabellen_Mat&amp;Bem'!$BD$31*(DA26-0.3)+DA26^2)</f>
        <v>4.2264920775715744</v>
      </c>
      <c r="DC26" s="550">
        <f t="shared" si="41"/>
        <v>0.13351581862620809</v>
      </c>
      <c r="DE26" s="551">
        <f t="shared" si="42"/>
        <v>812.31024052185001</v>
      </c>
      <c r="DI26" s="546">
        <f t="shared" si="43"/>
        <v>78</v>
      </c>
      <c r="DJ26" s="551">
        <f t="shared" si="44"/>
        <v>173.20508075688772</v>
      </c>
      <c r="DK26" s="553">
        <f>DJ26/PI()*SQRT('Hilfstabellen_Mat&amp;Bem'!f.Rd.3/'Hilfstabellen_Mat&amp;Bem'!$BD$30)</f>
        <v>2.7566444771089604</v>
      </c>
      <c r="DL26" s="553">
        <f>0.5*(1+'Hilfstabellen_Mat&amp;Bem'!$BD$31*(DK26-0.3)+DK26^2)</f>
        <v>4.4223766104431146</v>
      </c>
      <c r="DM26" s="550">
        <f t="shared" si="45"/>
        <v>0.12689617969031575</v>
      </c>
      <c r="DO26" s="551">
        <f t="shared" si="46"/>
        <v>772.03635723588104</v>
      </c>
      <c r="DS26" s="546">
        <f t="shared" si="47"/>
        <v>78</v>
      </c>
      <c r="DT26" s="551">
        <f t="shared" si="48"/>
        <v>177.64623667373101</v>
      </c>
      <c r="DU26" s="553">
        <f>DT26/PI()*SQRT('Hilfstabellen_Mat&amp;Bem'!f.Rd.3/'Hilfstabellen_Mat&amp;Bem'!$BD$30)</f>
        <v>2.8273276688297031</v>
      </c>
      <c r="DV26" s="553">
        <f>0.5*(1+'Hilfstabellen_Mat&amp;Bem'!$BD$31*(DU26-0.3)+DU26^2)</f>
        <v>4.6232572569064869</v>
      </c>
      <c r="DW26" s="550">
        <f t="shared" si="49"/>
        <v>0.12075508569625605</v>
      </c>
      <c r="DY26" s="551">
        <f t="shared" si="50"/>
        <v>734.67394137602184</v>
      </c>
      <c r="EC26" s="546">
        <f t="shared" si="51"/>
        <v>78</v>
      </c>
      <c r="ED26" s="551">
        <f t="shared" si="52"/>
        <v>182.08739259057427</v>
      </c>
      <c r="EE26" s="553">
        <f>ED26/PI()*SQRT('Hilfstabellen_Mat&amp;Bem'!f.Rd.3/'Hilfstabellen_Mat&amp;Bem'!$BD$30)</f>
        <v>2.8980108605504453</v>
      </c>
      <c r="EF26" s="553">
        <f>0.5*(1+'Hilfstabellen_Mat&amp;Bem'!$BD$31*(EE26-0.3)+EE26^2)</f>
        <v>4.8291340169616888</v>
      </c>
      <c r="EG26" s="550">
        <f t="shared" si="53"/>
        <v>0.11504774669912456</v>
      </c>
      <c r="EI26" s="551">
        <f t="shared" si="54"/>
        <v>699.95049091747376</v>
      </c>
      <c r="EM26" s="546">
        <f t="shared" si="55"/>
        <v>78</v>
      </c>
      <c r="EN26" s="551">
        <f t="shared" si="56"/>
        <v>186.52854850741755</v>
      </c>
      <c r="EO26" s="553">
        <f>EN26/PI()*SQRT('Hilfstabellen_Mat&amp;Bem'!f.Rd.3/'Hilfstabellen_Mat&amp;Bem'!$BD$30)</f>
        <v>2.968694052271188</v>
      </c>
      <c r="EP26" s="553">
        <f>0.5*(1+'Hilfstabellen_Mat&amp;Bem'!$BD$31*(EO26-0.3)+EO26^2)</f>
        <v>5.0400068906087228</v>
      </c>
      <c r="EQ26" s="550">
        <f t="shared" si="57"/>
        <v>0.10973445336889304</v>
      </c>
      <c r="ES26" s="551">
        <f t="shared" si="58"/>
        <v>667.62441429634521</v>
      </c>
    </row>
    <row r="27" spans="3:149">
      <c r="C27" s="546">
        <v>79</v>
      </c>
      <c r="D27" s="551">
        <f t="shared" si="6"/>
        <v>122.77828509349001</v>
      </c>
      <c r="E27" s="553">
        <f>$D27/PI()*SQRT('Hilfstabellen_Mat&amp;Bem'!f.Rd.3/'Hilfstabellen_Mat&amp;Bem'!$BD$30)</f>
        <v>1.9540770976974906</v>
      </c>
      <c r="F27" s="553">
        <f>0.5*(1+'Hilfstabellen_Mat&amp;Bem'!$BD$31*($E27-0.3)+$E27^2)</f>
        <v>2.4919125067577985</v>
      </c>
      <c r="G27" s="550">
        <f t="shared" si="7"/>
        <v>0.24763100770800917</v>
      </c>
      <c r="I27" s="551">
        <f t="shared" si="8"/>
        <v>1545.4651191056853</v>
      </c>
      <c r="M27" s="546">
        <f t="shared" si="9"/>
        <v>79</v>
      </c>
      <c r="N27" s="551">
        <f t="shared" si="0"/>
        <v>127.16322384682894</v>
      </c>
      <c r="O27" s="553">
        <f>$N27/PI()*SQRT('Hilfstabellen_Mat&amp;Bem'!f.Rd.3/'Hilfstabellen_Mat&amp;Bem'!$BD$30)</f>
        <v>2.0238655654724012</v>
      </c>
      <c r="P27" s="553">
        <f>0.5*(1+'Hilfstabellen_Mat&amp;Bem'!$BD$31*($O27-0.3)+$O27^2)</f>
        <v>2.6342091918260815</v>
      </c>
      <c r="Q27" s="550">
        <f t="shared" si="1"/>
        <v>0.23146343704769132</v>
      </c>
      <c r="S27" s="551">
        <f t="shared" si="10"/>
        <v>1444.5633106146415</v>
      </c>
      <c r="W27" s="546">
        <f t="shared" si="11"/>
        <v>79</v>
      </c>
      <c r="X27" s="551">
        <f t="shared" si="2"/>
        <v>131.5481626001679</v>
      </c>
      <c r="Y27" s="553">
        <f>$X27/PI()*SQRT('Hilfstabellen_Mat&amp;Bem'!f.Rd.3/'Hilfstabellen_Mat&amp;Bem'!$BD$30)</f>
        <v>2.0936540332473119</v>
      </c>
      <c r="Z27" s="553">
        <f>0.5*(1+'Hilfstabellen_Mat&amp;Bem'!$BD$31*($Y27-0.3)+$Y27^2)</f>
        <v>2.7813763071287338</v>
      </c>
      <c r="AA27" s="550">
        <f t="shared" si="3"/>
        <v>0.21680662216132127</v>
      </c>
      <c r="AC27" s="551">
        <f t="shared" si="12"/>
        <v>1353.090128908806</v>
      </c>
      <c r="AG27" s="546">
        <f t="shared" si="13"/>
        <v>79</v>
      </c>
      <c r="AH27" s="551">
        <f t="shared" si="4"/>
        <v>135.93310135350683</v>
      </c>
      <c r="AI27" s="553">
        <f>$AH27/PI()*SQRT('Hilfstabellen_Mat&amp;Bem'!f.Rd.3/'Hilfstabellen_Mat&amp;Bem'!$BD$30)</f>
        <v>2.1634425010222222</v>
      </c>
      <c r="AJ27" s="553">
        <f>0.5*(1+'Hilfstabellen_Mat&amp;Bem'!$BD$31*($AI27-0.3)+$AI27^2)</f>
        <v>2.9334138526657547</v>
      </c>
      <c r="AK27" s="550">
        <f t="shared" si="5"/>
        <v>0.20348230997361483</v>
      </c>
      <c r="AM27" s="551">
        <f t="shared" si="14"/>
        <v>1269.93309654533</v>
      </c>
      <c r="AQ27" s="546">
        <f t="shared" si="15"/>
        <v>79</v>
      </c>
      <c r="AR27" s="551">
        <f t="shared" si="16"/>
        <v>140.31804010684576</v>
      </c>
      <c r="AS27" s="553">
        <f>$AR27/PI()*SQRT('Hilfstabellen_Mat&amp;Bem'!f.Rd.3/'Hilfstabellen_Mat&amp;Bem'!$BD$30)</f>
        <v>2.2332309687971326</v>
      </c>
      <c r="AT27" s="553">
        <f>0.5*(1+'Hilfstabellen_Mat&amp;Bem'!$BD$31*($AS27-0.3)+$AS27^2)</f>
        <v>3.0903218284371463</v>
      </c>
      <c r="AU27" s="550">
        <f t="shared" si="17"/>
        <v>0.1913368197861911</v>
      </c>
      <c r="AW27" s="551">
        <f t="shared" si="18"/>
        <v>1194.1330922856187</v>
      </c>
      <c r="BA27" s="546">
        <f t="shared" si="19"/>
        <v>79</v>
      </c>
      <c r="BB27" s="551">
        <f t="shared" si="20"/>
        <v>144.70297886018469</v>
      </c>
      <c r="BC27" s="553">
        <f>$BB27/PI()*SQRT('Hilfstabellen_Mat&amp;Bem'!f.Rd.3/'Hilfstabellen_Mat&amp;Bem'!$BD$30)</f>
        <v>2.3030194365720429</v>
      </c>
      <c r="BD27" s="553">
        <f>0.5*(1+'Hilfstabellen_Mat&amp;Bem'!$BD$31*($BC27-0.3)+$BC27^2)</f>
        <v>3.2521002344429073</v>
      </c>
      <c r="BE27" s="550">
        <f t="shared" si="21"/>
        <v>0.18023733944865999</v>
      </c>
      <c r="BG27" s="551">
        <f t="shared" si="22"/>
        <v>1124.8612354990871</v>
      </c>
      <c r="BK27" s="546">
        <f t="shared" si="23"/>
        <v>79</v>
      </c>
      <c r="BL27" s="551">
        <f t="shared" si="24"/>
        <v>149.08791761352362</v>
      </c>
      <c r="BM27" s="553">
        <f>$BL27/PI()*SQRT('Hilfstabellen_Mat&amp;Bem'!f.Rd.3/'Hilfstabellen_Mat&amp;Bem'!$BD$30)</f>
        <v>2.3728079043469532</v>
      </c>
      <c r="BN27" s="553">
        <f>0.5*(1+'Hilfstabellen_Mat&amp;Bem'!$BD$31*($BM27-0.3)+$BM27^2)</f>
        <v>3.4187490706830377</v>
      </c>
      <c r="BO27" s="550">
        <f t="shared" si="25"/>
        <v>0.17006878095097361</v>
      </c>
      <c r="BQ27" s="551">
        <f t="shared" si="26"/>
        <v>1061.3992619150263</v>
      </c>
      <c r="BU27" s="546">
        <f t="shared" si="27"/>
        <v>79</v>
      </c>
      <c r="BV27" s="551">
        <f t="shared" si="28"/>
        <v>153.47285636686254</v>
      </c>
      <c r="BW27" s="553">
        <f>$BV27/PI()*SQRT('Hilfstabellen_Mat&amp;Bem'!f.Rd.3/'Hilfstabellen_Mat&amp;Bem'!$BD$30)</f>
        <v>2.442596372121864</v>
      </c>
      <c r="BX27" s="553">
        <f>0.5*(1+'Hilfstabellen_Mat&amp;Bem'!$BD$31*($BW27-0.3)+$BW27^2)</f>
        <v>3.5902683371575388</v>
      </c>
      <c r="BY27" s="550">
        <f t="shared" si="29"/>
        <v>0.16073112762136543</v>
      </c>
      <c r="CA27" s="551">
        <f t="shared" si="30"/>
        <v>1003.1229674849417</v>
      </c>
      <c r="CE27" s="546">
        <f t="shared" si="31"/>
        <v>79</v>
      </c>
      <c r="CF27" s="551">
        <f t="shared" si="32"/>
        <v>157.85779512020147</v>
      </c>
      <c r="CG27" s="553">
        <f>CF27/PI()*SQRT('Hilfstabellen_Mat&amp;Bem'!f.Rd.3/'Hilfstabellen_Mat&amp;Bem'!$BD$30)</f>
        <v>2.5123848398967743</v>
      </c>
      <c r="CH27" s="553">
        <f>0.5*(1+'Hilfstabellen_Mat&amp;Bem'!$BD$31*(CG27-0.3)+CG27^2)</f>
        <v>3.7666580338664089</v>
      </c>
      <c r="CI27" s="550">
        <f t="shared" si="33"/>
        <v>0.15213720271419279</v>
      </c>
      <c r="CK27" s="551">
        <f t="shared" si="34"/>
        <v>949.4882821392772</v>
      </c>
      <c r="CO27" s="546">
        <f t="shared" si="35"/>
        <v>79</v>
      </c>
      <c r="CP27" s="551">
        <f t="shared" si="36"/>
        <v>162.2427338735404</v>
      </c>
      <c r="CQ27" s="553">
        <f>CP27/PI()*SQRT('Hilfstabellen_Mat&amp;Bem'!f.Rd.3/'Hilfstabellen_Mat&amp;Bem'!$BD$30)</f>
        <v>2.5821733076716846</v>
      </c>
      <c r="CR27" s="553">
        <f>0.5*(1+'Hilfstabellen_Mat&amp;Bem'!$BD$31*(CQ27-0.3)+CQ27^2)</f>
        <v>3.9479181608096483</v>
      </c>
      <c r="CS27" s="550">
        <f t="shared" si="37"/>
        <v>0.14421079412115134</v>
      </c>
      <c r="CU27" s="551">
        <f t="shared" si="38"/>
        <v>900.01956611010553</v>
      </c>
      <c r="CY27" s="546">
        <f t="shared" si="39"/>
        <v>79</v>
      </c>
      <c r="CZ27" s="551">
        <f t="shared" si="40"/>
        <v>166.62767262687933</v>
      </c>
      <c r="DA27" s="553">
        <f>CZ27/PI()*SQRT('Hilfstabellen_Mat&amp;Bem'!f.Rd.3/'Hilfstabellen_Mat&amp;Bem'!$BD$30)</f>
        <v>2.6519617754465949</v>
      </c>
      <c r="DB27" s="553">
        <f>0.5*(1+'Hilfstabellen_Mat&amp;Bem'!$BD$31*(DA27-0.3)+DA27^2)</f>
        <v>4.134048717987258</v>
      </c>
      <c r="DC27" s="550">
        <f t="shared" si="41"/>
        <v>0.13688507764636548</v>
      </c>
      <c r="DE27" s="551">
        <f t="shared" si="42"/>
        <v>854.299769590967</v>
      </c>
      <c r="DI27" s="546">
        <f t="shared" si="43"/>
        <v>79</v>
      </c>
      <c r="DJ27" s="551">
        <f t="shared" si="44"/>
        <v>171.01261138021826</v>
      </c>
      <c r="DK27" s="553">
        <f>DJ27/PI()*SQRT('Hilfstabellen_Mat&amp;Bem'!f.Rd.3/'Hilfstabellen_Mat&amp;Bem'!$BD$30)</f>
        <v>2.7217502432215053</v>
      </c>
      <c r="DL27" s="553">
        <f>0.5*(1+'Hilfstabellen_Mat&amp;Bem'!$BD$31*(DK27-0.3)+DK27^2)</f>
        <v>4.3250497053992367</v>
      </c>
      <c r="DM27" s="550">
        <f t="shared" si="45"/>
        <v>0.13010128952592789</v>
      </c>
      <c r="DO27" s="551">
        <f t="shared" si="46"/>
        <v>811.96214793131594</v>
      </c>
      <c r="DS27" s="546">
        <f t="shared" si="47"/>
        <v>79</v>
      </c>
      <c r="DT27" s="551">
        <f t="shared" si="48"/>
        <v>175.39755013355719</v>
      </c>
      <c r="DU27" s="553">
        <f>DT27/PI()*SQRT('Hilfstabellen_Mat&amp;Bem'!f.Rd.3/'Hilfstabellen_Mat&amp;Bem'!$BD$30)</f>
        <v>2.7915387109964156</v>
      </c>
      <c r="DV27" s="553">
        <f>0.5*(1+'Hilfstabellen_Mat&amp;Bem'!$BD$31*(DU27-0.3)+DU27^2)</f>
        <v>4.5209211230455857</v>
      </c>
      <c r="DW27" s="550">
        <f t="shared" si="49"/>
        <v>0.12380760663224757</v>
      </c>
      <c r="DY27" s="551">
        <f t="shared" si="50"/>
        <v>772.68327299185717</v>
      </c>
      <c r="EC27" s="546">
        <f t="shared" si="51"/>
        <v>79</v>
      </c>
      <c r="ED27" s="551">
        <f t="shared" si="52"/>
        <v>179.78248888689612</v>
      </c>
      <c r="EE27" s="553">
        <f>ED27/PI()*SQRT('Hilfstabellen_Mat&amp;Bem'!f.Rd.3/'Hilfstabellen_Mat&amp;Bem'!$BD$30)</f>
        <v>2.8613271787713259</v>
      </c>
      <c r="EF27" s="553">
        <f>0.5*(1+'Hilfstabellen_Mat&amp;Bem'!$BD$31*(EE27-0.3)+EE27^2)</f>
        <v>4.721662970926304</v>
      </c>
      <c r="EG27" s="550">
        <f t="shared" si="53"/>
        <v>0.1179581996828566</v>
      </c>
      <c r="EI27" s="551">
        <f t="shared" si="54"/>
        <v>736.17712422070804</v>
      </c>
      <c r="EM27" s="546">
        <f t="shared" si="55"/>
        <v>79</v>
      </c>
      <c r="EN27" s="551">
        <f t="shared" si="56"/>
        <v>184.16742764023505</v>
      </c>
      <c r="EO27" s="553">
        <f>EN27/PI()*SQRT('Hilfstabellen_Mat&amp;Bem'!f.Rd.3/'Hilfstabellen_Mat&amp;Bem'!$BD$30)</f>
        <v>2.9311156465462362</v>
      </c>
      <c r="EP27" s="553">
        <f>0.5*(1+'Hilfstabellen_Mat&amp;Bem'!$BD$31*(EO27-0.3)+EO27^2)</f>
        <v>4.9272752490413918</v>
      </c>
      <c r="EQ27" s="550">
        <f t="shared" si="57"/>
        <v>0.11251243067393951</v>
      </c>
      <c r="ES27" s="551">
        <f t="shared" si="58"/>
        <v>702.1900798360565</v>
      </c>
    </row>
    <row r="28" spans="3:149">
      <c r="C28" s="546">
        <v>80</v>
      </c>
      <c r="D28" s="551">
        <f t="shared" si="6"/>
        <v>121.2435565298214</v>
      </c>
      <c r="E28" s="553">
        <f>$D28/PI()*SQRT('Hilfstabellen_Mat&amp;Bem'!f.Rd.3/'Hilfstabellen_Mat&amp;Bem'!$BD$30)</f>
        <v>1.9296511339762721</v>
      </c>
      <c r="F28" s="553">
        <f>0.5*(1+'Hilfstabellen_Mat&amp;Bem'!$BD$31*($E28-0.3)+$E28^2)</f>
        <v>2.44325930612677</v>
      </c>
      <c r="G28" s="550">
        <f t="shared" si="7"/>
        <v>0.253683942323009</v>
      </c>
      <c r="I28" s="551">
        <f t="shared" si="8"/>
        <v>1623.5772308672576</v>
      </c>
      <c r="M28" s="546">
        <f t="shared" si="9"/>
        <v>80</v>
      </c>
      <c r="N28" s="551">
        <f t="shared" si="0"/>
        <v>125.5736835487436</v>
      </c>
      <c r="O28" s="553">
        <f>$N28/PI()*SQRT('Hilfstabellen_Mat&amp;Bem'!f.Rd.3/'Hilfstabellen_Mat&amp;Bem'!$BD$30)</f>
        <v>1.9985672459039963</v>
      </c>
      <c r="P28" s="553">
        <f>0.5*(1+'Hilfstabellen_Mat&amp;Bem'!$BD$31*($O28-0.3)+$O28^2)</f>
        <v>2.5820638804953422</v>
      </c>
      <c r="Q28" s="550">
        <f t="shared" si="1"/>
        <v>0.2371394160723683</v>
      </c>
      <c r="S28" s="551">
        <f t="shared" si="10"/>
        <v>1517.6922628631571</v>
      </c>
      <c r="W28" s="546">
        <f t="shared" si="11"/>
        <v>80</v>
      </c>
      <c r="X28" s="551">
        <f t="shared" si="2"/>
        <v>129.9038105676658</v>
      </c>
      <c r="Y28" s="553">
        <f>$X28/PI()*SQRT('Hilfstabellen_Mat&amp;Bem'!f.Rd.3/'Hilfstabellen_Mat&amp;Bem'!$BD$30)</f>
        <v>2.0674833578317204</v>
      </c>
      <c r="Z28" s="553">
        <f>0.5*(1+'Hilfstabellen_Mat&amp;Bem'!$BD$31*($Y28-0.3)+$Y28^2)</f>
        <v>2.7256178853471487</v>
      </c>
      <c r="AA28" s="550">
        <f t="shared" si="3"/>
        <v>0.22213777898364473</v>
      </c>
      <c r="AC28" s="551">
        <f t="shared" si="12"/>
        <v>1421.6817854953263</v>
      </c>
      <c r="AG28" s="546">
        <f t="shared" si="13"/>
        <v>80</v>
      </c>
      <c r="AH28" s="551">
        <f t="shared" si="4"/>
        <v>134.23393758658798</v>
      </c>
      <c r="AI28" s="553">
        <f>$AH28/PI()*SQRT('Hilfstabellen_Mat&amp;Bem'!f.Rd.3/'Hilfstabellen_Mat&amp;Bem'!$BD$30)</f>
        <v>2.1363994697594442</v>
      </c>
      <c r="AJ28" s="553">
        <f>0.5*(1+'Hilfstabellen_Mat&amp;Bem'!$BD$31*($AI28-0.3)+$AI28^2)</f>
        <v>2.8739213206821894</v>
      </c>
      <c r="AK28" s="550">
        <f t="shared" si="5"/>
        <v>0.20849765120211397</v>
      </c>
      <c r="AM28" s="551">
        <f t="shared" si="14"/>
        <v>1334.3849676935295</v>
      </c>
      <c r="AQ28" s="546">
        <f t="shared" si="15"/>
        <v>80</v>
      </c>
      <c r="AR28" s="551">
        <f t="shared" si="16"/>
        <v>138.56406460551017</v>
      </c>
      <c r="AS28" s="553">
        <f>$AR28/PI()*SQRT('Hilfstabellen_Mat&amp;Bem'!f.Rd.3/'Hilfstabellen_Mat&amp;Bem'!$BD$30)</f>
        <v>2.2053155816871679</v>
      </c>
      <c r="AT28" s="553">
        <f>0.5*(1+'Hilfstabellen_Mat&amp;Bem'!$BD$31*($AS28-0.3)+$AS28^2)</f>
        <v>3.026974186500464</v>
      </c>
      <c r="AU28" s="550">
        <f t="shared" si="17"/>
        <v>0.19606248557633724</v>
      </c>
      <c r="AW28" s="551">
        <f t="shared" si="18"/>
        <v>1254.7999076885583</v>
      </c>
      <c r="BA28" s="546">
        <f t="shared" si="19"/>
        <v>80</v>
      </c>
      <c r="BB28" s="551">
        <f t="shared" si="20"/>
        <v>142.89419162443238</v>
      </c>
      <c r="BC28" s="553">
        <f>$BB28/PI()*SQRT('Hilfstabellen_Mat&amp;Bem'!f.Rd.3/'Hilfstabellen_Mat&amp;Bem'!$BD$30)</f>
        <v>2.2742316936148925</v>
      </c>
      <c r="BD28" s="553">
        <f>0.5*(1+'Hilfstabellen_Mat&amp;Bem'!$BD$31*($BC28-0.3)+$BC28^2)</f>
        <v>3.1847764828019756</v>
      </c>
      <c r="BE28" s="550">
        <f t="shared" si="21"/>
        <v>0.18469687565930473</v>
      </c>
      <c r="BG28" s="551">
        <f t="shared" si="22"/>
        <v>1182.0600042195504</v>
      </c>
      <c r="BK28" s="546">
        <f t="shared" si="23"/>
        <v>80</v>
      </c>
      <c r="BL28" s="551">
        <f t="shared" si="24"/>
        <v>147.22431864335456</v>
      </c>
      <c r="BM28" s="553">
        <f>$BL28/PI()*SQRT('Hilfstabellen_Mat&amp;Bem'!f.Rd.3/'Hilfstabellen_Mat&amp;Bem'!$BD$30)</f>
        <v>2.3431478055426163</v>
      </c>
      <c r="BN28" s="553">
        <f>0.5*(1+'Hilfstabellen_Mat&amp;Bem'!$BD$31*($BM28-0.3)+$BM28^2)</f>
        <v>3.3473282095867196</v>
      </c>
      <c r="BO28" s="550">
        <f t="shared" si="25"/>
        <v>0.17428340353632152</v>
      </c>
      <c r="BQ28" s="551">
        <f t="shared" si="26"/>
        <v>1115.4137826324577</v>
      </c>
      <c r="BU28" s="546">
        <f t="shared" si="27"/>
        <v>80</v>
      </c>
      <c r="BV28" s="551">
        <f t="shared" si="28"/>
        <v>151.55444566227675</v>
      </c>
      <c r="BW28" s="553">
        <f>$BV28/PI()*SQRT('Hilfstabellen_Mat&amp;Bem'!f.Rd.3/'Hilfstabellen_Mat&amp;Bem'!$BD$30)</f>
        <v>2.41206391747034</v>
      </c>
      <c r="BX28" s="553">
        <f>0.5*(1+'Hilfstabellen_Mat&amp;Bem'!$BD$31*($BW28-0.3)+$BW28^2)</f>
        <v>3.5146293668546988</v>
      </c>
      <c r="BY28" s="550">
        <f t="shared" si="29"/>
        <v>0.16471996958318572</v>
      </c>
      <c r="CA28" s="551">
        <f t="shared" si="30"/>
        <v>1054.2078053323885</v>
      </c>
      <c r="CE28" s="546">
        <f t="shared" si="31"/>
        <v>80</v>
      </c>
      <c r="CF28" s="551">
        <f t="shared" si="32"/>
        <v>155.88457268119896</v>
      </c>
      <c r="CG28" s="553">
        <f>CF28/PI()*SQRT('Hilfstabellen_Mat&amp;Bem'!f.Rd.3/'Hilfstabellen_Mat&amp;Bem'!$BD$30)</f>
        <v>2.4809800293980646</v>
      </c>
      <c r="CH28" s="553">
        <f>0.5*(1+'Hilfstabellen_Mat&amp;Bem'!$BD$31*(CG28-0.3)+CG28^2)</f>
        <v>3.6866799546059141</v>
      </c>
      <c r="CI28" s="550">
        <f t="shared" si="33"/>
        <v>0.15591753952363588</v>
      </c>
      <c r="CK28" s="551">
        <f t="shared" si="34"/>
        <v>997.87225295126962</v>
      </c>
      <c r="CO28" s="546">
        <f t="shared" si="35"/>
        <v>80</v>
      </c>
      <c r="CP28" s="551">
        <f t="shared" si="36"/>
        <v>160.21469970012114</v>
      </c>
      <c r="CQ28" s="553">
        <f>CP28/PI()*SQRT('Hilfstabellen_Mat&amp;Bem'!f.Rd.3/'Hilfstabellen_Mat&amp;Bem'!$BD$30)</f>
        <v>2.5498961413257883</v>
      </c>
      <c r="CR28" s="553">
        <f>0.5*(1+'Hilfstabellen_Mat&amp;Bem'!$BD$31*(CQ28-0.3)+CQ28^2)</f>
        <v>3.8634799728403619</v>
      </c>
      <c r="CS28" s="550">
        <f t="shared" si="37"/>
        <v>0.14779824661263924</v>
      </c>
      <c r="CU28" s="551">
        <f t="shared" si="38"/>
        <v>945.90877832089109</v>
      </c>
      <c r="CY28" s="546">
        <f t="shared" si="39"/>
        <v>80</v>
      </c>
      <c r="CZ28" s="551">
        <f t="shared" si="40"/>
        <v>164.54482671904333</v>
      </c>
      <c r="DA28" s="553">
        <f>CZ28/PI()*SQRT('Hilfstabellen_Mat&amp;Bem'!f.Rd.3/'Hilfstabellen_Mat&amp;Bem'!$BD$30)</f>
        <v>2.6188122532535125</v>
      </c>
      <c r="DB28" s="553">
        <f>0.5*(1+'Hilfstabellen_Mat&amp;Bem'!$BD$31*(DA28-0.3)+DA28^2)</f>
        <v>4.0450294215580449</v>
      </c>
      <c r="DC28" s="550">
        <f t="shared" si="41"/>
        <v>0.14029379304139916</v>
      </c>
      <c r="DE28" s="551">
        <f t="shared" si="42"/>
        <v>897.88027546495459</v>
      </c>
      <c r="DI28" s="546">
        <f t="shared" si="43"/>
        <v>80</v>
      </c>
      <c r="DJ28" s="551">
        <f t="shared" si="44"/>
        <v>168.87495373796551</v>
      </c>
      <c r="DK28" s="553">
        <f>DJ28/PI()*SQRT('Hilfstabellen_Mat&amp;Bem'!f.Rd.3/'Hilfstabellen_Mat&amp;Bem'!$BD$30)</f>
        <v>2.6877283651812363</v>
      </c>
      <c r="DL28" s="553">
        <f>0.5*(1+'Hilfstabellen_Mat&amp;Bem'!$BD$31*(DK28-0.3)+DK28^2)</f>
        <v>4.2313283007589622</v>
      </c>
      <c r="DM28" s="550">
        <f t="shared" si="45"/>
        <v>0.13334410207133829</v>
      </c>
      <c r="DO28" s="551">
        <f t="shared" si="46"/>
        <v>853.40225325656502</v>
      </c>
      <c r="DS28" s="546">
        <f t="shared" si="47"/>
        <v>80</v>
      </c>
      <c r="DT28" s="551">
        <f t="shared" si="48"/>
        <v>173.20508075688772</v>
      </c>
      <c r="DU28" s="553">
        <f>DT28/PI()*SQRT('Hilfstabellen_Mat&amp;Bem'!f.Rd.3/'Hilfstabellen_Mat&amp;Bem'!$BD$30)</f>
        <v>2.7566444771089604</v>
      </c>
      <c r="DV28" s="553">
        <f>0.5*(1+'Hilfstabellen_Mat&amp;Bem'!$BD$31*(DU28-0.3)+DU28^2)</f>
        <v>4.4223766104431146</v>
      </c>
      <c r="DW28" s="550">
        <f t="shared" si="49"/>
        <v>0.12689617969031575</v>
      </c>
      <c r="DY28" s="551">
        <f t="shared" si="50"/>
        <v>812.13555001802081</v>
      </c>
      <c r="EC28" s="546">
        <f t="shared" si="51"/>
        <v>80</v>
      </c>
      <c r="ED28" s="551">
        <f t="shared" si="52"/>
        <v>177.53520777580991</v>
      </c>
      <c r="EE28" s="553">
        <f>ED28/PI()*SQRT('Hilfstabellen_Mat&amp;Bem'!f.Rd.3/'Hilfstabellen_Mat&amp;Bem'!$BD$30)</f>
        <v>2.8255605890366842</v>
      </c>
      <c r="EF28" s="553">
        <f>0.5*(1+'Hilfstabellen_Mat&amp;Bem'!$BD$31*(EE28-0.3)+EE28^2)</f>
        <v>4.6181743506105013</v>
      </c>
      <c r="EG28" s="550">
        <f t="shared" si="53"/>
        <v>0.12090315119776925</v>
      </c>
      <c r="EI28" s="551">
        <f t="shared" si="54"/>
        <v>773.78016766572318</v>
      </c>
      <c r="EM28" s="546">
        <f t="shared" si="55"/>
        <v>80</v>
      </c>
      <c r="EN28" s="551">
        <f t="shared" si="56"/>
        <v>181.86533479473209</v>
      </c>
      <c r="EO28" s="553">
        <f>EN28/PI()*SQRT('Hilfstabellen_Mat&amp;Bem'!f.Rd.3/'Hilfstabellen_Mat&amp;Bem'!$BD$30)</f>
        <v>2.8944767009644083</v>
      </c>
      <c r="EP28" s="553">
        <f>0.5*(1+'Hilfstabellen_Mat&amp;Bem'!$BD$31*(EO28-0.3)+EO28^2)</f>
        <v>4.8187215212611223</v>
      </c>
      <c r="EQ28" s="550">
        <f t="shared" si="57"/>
        <v>0.11532344388221719</v>
      </c>
      <c r="ES28" s="551">
        <f t="shared" si="58"/>
        <v>738.07004084618995</v>
      </c>
    </row>
    <row r="29" spans="3:149">
      <c r="C29" s="546">
        <v>81</v>
      </c>
      <c r="D29" s="551">
        <f t="shared" si="6"/>
        <v>119.74672249858904</v>
      </c>
      <c r="E29" s="553">
        <f>$D29/PI()*SQRT('Hilfstabellen_Mat&amp;Bem'!f.Rd.3/'Hilfstabellen_Mat&amp;Bem'!$BD$30)</f>
        <v>1.9058282804703923</v>
      </c>
      <c r="F29" s="553">
        <f>0.5*(1+'Hilfstabellen_Mat&amp;Bem'!$BD$31*($E29-0.3)+$E29^2)</f>
        <v>2.396382131343886</v>
      </c>
      <c r="G29" s="550">
        <f t="shared" si="7"/>
        <v>0.25979921113136067</v>
      </c>
      <c r="I29" s="551">
        <f t="shared" si="8"/>
        <v>1704.5426242328574</v>
      </c>
      <c r="M29" s="546">
        <f t="shared" si="9"/>
        <v>81</v>
      </c>
      <c r="N29" s="551">
        <f t="shared" si="0"/>
        <v>124.02339115925294</v>
      </c>
      <c r="O29" s="553">
        <f>$N29/PI()*SQRT('Hilfstabellen_Mat&amp;Bem'!f.Rd.3/'Hilfstabellen_Mat&amp;Bem'!$BD$30)</f>
        <v>1.9738935762014778</v>
      </c>
      <c r="P29" s="553">
        <f>0.5*(1+'Hilfstabellen_Mat&amp;Bem'!$BD$31*($O29-0.3)+$O29^2)</f>
        <v>2.5318226038948035</v>
      </c>
      <c r="Q29" s="550">
        <f t="shared" si="1"/>
        <v>0.24287517192818597</v>
      </c>
      <c r="S29" s="551">
        <f t="shared" si="10"/>
        <v>1593.5040030208281</v>
      </c>
      <c r="W29" s="546">
        <f t="shared" si="11"/>
        <v>81</v>
      </c>
      <c r="X29" s="551">
        <f t="shared" si="2"/>
        <v>128.30005981991684</v>
      </c>
      <c r="Y29" s="553">
        <f>$X29/PI()*SQRT('Hilfstabellen_Mat&amp;Bem'!f.Rd.3/'Hilfstabellen_Mat&amp;Bem'!$BD$30)</f>
        <v>2.0419588719325632</v>
      </c>
      <c r="Z29" s="553">
        <f>0.5*(1+'Hilfstabellen_Mat&amp;Bem'!$BD$31*($Y29-0.3)+$Y29^2)</f>
        <v>2.6718959609286808</v>
      </c>
      <c r="AA29" s="550">
        <f t="shared" si="3"/>
        <v>0.22752611115812574</v>
      </c>
      <c r="AC29" s="551">
        <f t="shared" si="12"/>
        <v>1492.798815308463</v>
      </c>
      <c r="AG29" s="546">
        <f t="shared" si="13"/>
        <v>81</v>
      </c>
      <c r="AH29" s="551">
        <f t="shared" si="4"/>
        <v>132.57672848058073</v>
      </c>
      <c r="AI29" s="553">
        <f>$AH29/PI()*SQRT('Hilfstabellen_Mat&amp;Bem'!f.Rd.3/'Hilfstabellen_Mat&amp;Bem'!$BD$30)</f>
        <v>2.1100241676636489</v>
      </c>
      <c r="AJ29" s="553">
        <f>0.5*(1+'Hilfstabellen_Mat&amp;Bem'!$BD$31*($AI29-0.3)+$AI29^2)</f>
        <v>2.8166022024455195</v>
      </c>
      <c r="AK29" s="550">
        <f t="shared" si="5"/>
        <v>0.21356759277973983</v>
      </c>
      <c r="AM29" s="551">
        <f t="shared" si="14"/>
        <v>1401.2169762278729</v>
      </c>
      <c r="AQ29" s="546">
        <f t="shared" si="15"/>
        <v>81</v>
      </c>
      <c r="AR29" s="551">
        <f t="shared" si="16"/>
        <v>136.85339714124461</v>
      </c>
      <c r="AS29" s="553">
        <f>$AR29/PI()*SQRT('Hilfstabellen_Mat&amp;Bem'!f.Rd.3/'Hilfstabellen_Mat&amp;Bem'!$BD$30)</f>
        <v>2.1780894633947341</v>
      </c>
      <c r="AT29" s="553">
        <f>0.5*(1+'Hilfstabellen_Mat&amp;Bem'!$BD$31*($AS29-0.3)+$AS29^2)</f>
        <v>2.9659413284453171</v>
      </c>
      <c r="AU29" s="550">
        <f t="shared" si="17"/>
        <v>0.20084024633080758</v>
      </c>
      <c r="AW29" s="551">
        <f t="shared" si="18"/>
        <v>1317.7128561764284</v>
      </c>
      <c r="BA29" s="546">
        <f t="shared" si="19"/>
        <v>81</v>
      </c>
      <c r="BB29" s="551">
        <f t="shared" si="20"/>
        <v>141.1300658019085</v>
      </c>
      <c r="BC29" s="553">
        <f>$BB29/PI()*SQRT('Hilfstabellen_Mat&amp;Bem'!f.Rd.3/'Hilfstabellen_Mat&amp;Bem'!$BD$30)</f>
        <v>2.2461547591258193</v>
      </c>
      <c r="BD29" s="553">
        <f>0.5*(1+'Hilfstabellen_Mat&amp;Bem'!$BD$31*($BC29-0.3)+$BC29^2)</f>
        <v>3.1199133389280749</v>
      </c>
      <c r="BE29" s="550">
        <f t="shared" si="21"/>
        <v>0.18920609641459962</v>
      </c>
      <c r="BG29" s="551">
        <f t="shared" si="22"/>
        <v>1241.3811985761881</v>
      </c>
      <c r="BK29" s="546">
        <f t="shared" si="23"/>
        <v>81</v>
      </c>
      <c r="BL29" s="551">
        <f t="shared" si="24"/>
        <v>145.40673446257242</v>
      </c>
      <c r="BM29" s="553">
        <f>$BL29/PI()*SQRT('Hilfstabellen_Mat&amp;Bem'!f.Rd.3/'Hilfstabellen_Mat&amp;Bem'!$BD$30)</f>
        <v>2.314220054856905</v>
      </c>
      <c r="BN29" s="553">
        <f>0.5*(1+'Hilfstabellen_Mat&amp;Bem'!$BD$31*($BM29-0.3)+$BM29^2)</f>
        <v>3.2785182338937933</v>
      </c>
      <c r="BO29" s="550">
        <f t="shared" si="25"/>
        <v>0.17854540898089294</v>
      </c>
      <c r="BQ29" s="551">
        <f t="shared" si="26"/>
        <v>1171.4364283236387</v>
      </c>
      <c r="BU29" s="546">
        <f t="shared" si="27"/>
        <v>81</v>
      </c>
      <c r="BV29" s="551">
        <f t="shared" si="28"/>
        <v>149.68340312323627</v>
      </c>
      <c r="BW29" s="553">
        <f>$BV29/PI()*SQRT('Hilfstabellen_Mat&amp;Bem'!f.Rd.3/'Hilfstabellen_Mat&amp;Bem'!$BD$30)</f>
        <v>2.3822853505879897</v>
      </c>
      <c r="BX29" s="553">
        <f>0.5*(1+'Hilfstabellen_Mat&amp;Bem'!$BD$31*($BW29-0.3)+$BW29^2)</f>
        <v>3.4417560133424701</v>
      </c>
      <c r="BY29" s="550">
        <f t="shared" si="29"/>
        <v>0.16875400769452265</v>
      </c>
      <c r="CA29" s="551">
        <f t="shared" si="30"/>
        <v>1107.195044483763</v>
      </c>
      <c r="CE29" s="546">
        <f t="shared" si="31"/>
        <v>81</v>
      </c>
      <c r="CF29" s="551">
        <f t="shared" si="32"/>
        <v>153.96007178390019</v>
      </c>
      <c r="CG29" s="553">
        <f>CF29/PI()*SQRT('Hilfstabellen_Mat&amp;Bem'!f.Rd.3/'Hilfstabellen_Mat&amp;Bem'!$BD$30)</f>
        <v>2.4503506463190758</v>
      </c>
      <c r="CH29" s="553">
        <f>0.5*(1+'Hilfstabellen_Mat&amp;Bem'!$BD$31*(CG29-0.3)+CG29^2)</f>
        <v>3.6096266772741101</v>
      </c>
      <c r="CI29" s="550">
        <f t="shared" si="33"/>
        <v>0.15974100212602155</v>
      </c>
      <c r="CK29" s="551">
        <f t="shared" si="34"/>
        <v>1048.0607149488274</v>
      </c>
      <c r="CO29" s="546">
        <f t="shared" si="35"/>
        <v>81</v>
      </c>
      <c r="CP29" s="551">
        <f t="shared" si="36"/>
        <v>158.23674044456408</v>
      </c>
      <c r="CQ29" s="553">
        <f>CP29/PI()*SQRT('Hilfstabellen_Mat&amp;Bem'!f.Rd.3/'Hilfstabellen_Mat&amp;Bem'!$BD$30)</f>
        <v>2.5184159420501615</v>
      </c>
      <c r="CR29" s="553">
        <f>0.5*(1+'Hilfstabellen_Mat&amp;Bem'!$BD$31*(CQ29-0.3)+CQ29^2)</f>
        <v>3.7821302256887095</v>
      </c>
      <c r="CS29" s="550">
        <f t="shared" si="37"/>
        <v>0.15142686917183798</v>
      </c>
      <c r="CU29" s="551">
        <f t="shared" si="38"/>
        <v>993.51168863642897</v>
      </c>
      <c r="CY29" s="546">
        <f t="shared" si="39"/>
        <v>81</v>
      </c>
      <c r="CZ29" s="551">
        <f t="shared" si="40"/>
        <v>162.51340910522799</v>
      </c>
      <c r="DA29" s="553">
        <f>CZ29/PI()*SQRT('Hilfstabellen_Mat&amp;Bem'!f.Rd.3/'Hilfstabellen_Mat&amp;Bem'!$BD$30)</f>
        <v>2.5864812377812467</v>
      </c>
      <c r="DB29" s="553">
        <f>0.5*(1+'Hilfstabellen_Mat&amp;Bem'!$BD$31*(DA29-0.3)+DA29^2)</f>
        <v>3.9592666585862677</v>
      </c>
      <c r="DC29" s="550">
        <f t="shared" si="41"/>
        <v>0.14374183376465441</v>
      </c>
      <c r="DE29" s="551">
        <f t="shared" si="42"/>
        <v>943.09017132989754</v>
      </c>
      <c r="DI29" s="546">
        <f t="shared" si="43"/>
        <v>81</v>
      </c>
      <c r="DJ29" s="551">
        <f t="shared" si="44"/>
        <v>166.79007776589188</v>
      </c>
      <c r="DK29" s="553">
        <f>DJ29/PI()*SQRT('Hilfstabellen_Mat&amp;Bem'!f.Rd.3/'Hilfstabellen_Mat&amp;Bem'!$BD$30)</f>
        <v>2.6545465335123324</v>
      </c>
      <c r="DL29" s="553">
        <f>0.5*(1+'Hilfstabellen_Mat&amp;Bem'!$BD$31*(DK29-0.3)+DK29^2)</f>
        <v>4.141035975966787</v>
      </c>
      <c r="DM29" s="550">
        <f t="shared" si="45"/>
        <v>0.1366245014065629</v>
      </c>
      <c r="DO29" s="551">
        <f t="shared" si="46"/>
        <v>896.39335372845926</v>
      </c>
      <c r="DS29" s="546">
        <f t="shared" si="47"/>
        <v>81</v>
      </c>
      <c r="DT29" s="551">
        <f t="shared" si="48"/>
        <v>171.06674642655577</v>
      </c>
      <c r="DU29" s="553">
        <f>DT29/PI()*SQRT('Hilfstabellen_Mat&amp;Bem'!f.Rd.3/'Hilfstabellen_Mat&amp;Bem'!$BD$30)</f>
        <v>2.7226118292434176</v>
      </c>
      <c r="DV29" s="553">
        <f>0.5*(1+'Hilfstabellen_Mat&amp;Bem'!$BD$31*(DU29-0.3)+DU29^2)</f>
        <v>4.3274381778302651</v>
      </c>
      <c r="DW29" s="550">
        <f t="shared" si="49"/>
        <v>0.13002070180071063</v>
      </c>
      <c r="DY29" s="551">
        <f t="shared" si="50"/>
        <v>853.06582451446241</v>
      </c>
      <c r="EC29" s="546">
        <f t="shared" si="51"/>
        <v>81</v>
      </c>
      <c r="ED29" s="551">
        <f t="shared" si="52"/>
        <v>175.34341508721968</v>
      </c>
      <c r="EE29" s="553">
        <f>ED29/PI()*SQRT('Hilfstabellen_Mat&amp;Bem'!f.Rd.3/'Hilfstabellen_Mat&amp;Bem'!$BD$30)</f>
        <v>2.7906771249745033</v>
      </c>
      <c r="EF29" s="553">
        <f>0.5*(1+'Hilfstabellen_Mat&amp;Bem'!$BD$31*(EE29-0.3)+EE29^2)</f>
        <v>4.5184732641767047</v>
      </c>
      <c r="EG29" s="550">
        <f t="shared" si="53"/>
        <v>0.12388250916041403</v>
      </c>
      <c r="EI29" s="551">
        <f t="shared" si="54"/>
        <v>812.79314260147646</v>
      </c>
      <c r="EM29" s="546">
        <f t="shared" si="55"/>
        <v>81</v>
      </c>
      <c r="EN29" s="551">
        <f t="shared" si="56"/>
        <v>179.62008374788357</v>
      </c>
      <c r="EO29" s="553">
        <f>EN29/PI()*SQRT('Hilfstabellen_Mat&amp;Bem'!f.Rd.3/'Hilfstabellen_Mat&amp;Bem'!$BD$30)</f>
        <v>2.8587424207055889</v>
      </c>
      <c r="EP29" s="553">
        <f>0.5*(1+'Hilfstabellen_Mat&amp;Bem'!$BD$31*(EO29-0.3)+EO29^2)</f>
        <v>4.7141412350061049</v>
      </c>
      <c r="EQ29" s="550">
        <f t="shared" si="57"/>
        <v>0.11816741035911182</v>
      </c>
      <c r="ES29" s="551">
        <f t="shared" si="58"/>
        <v>775.29637936613267</v>
      </c>
    </row>
    <row r="30" spans="3:149">
      <c r="C30" s="546">
        <v>82</v>
      </c>
      <c r="D30" s="551">
        <f t="shared" si="6"/>
        <v>118.28639661445992</v>
      </c>
      <c r="E30" s="553">
        <f>$D30/PI()*SQRT('Hilfstabellen_Mat&amp;Bem'!f.Rd.3/'Hilfstabellen_Mat&amp;Bem'!$BD$30)</f>
        <v>1.8825864721719729</v>
      </c>
      <c r="F30" s="553">
        <f>0.5*(1+'Hilfstabellen_Mat&amp;Bem'!$BD$31*($E30-0.3)+$E30^2)</f>
        <v>2.3511952362110558</v>
      </c>
      <c r="G30" s="550">
        <f t="shared" si="7"/>
        <v>0.26597611845502772</v>
      </c>
      <c r="I30" s="551">
        <f t="shared" si="8"/>
        <v>1788.4234204916063</v>
      </c>
      <c r="M30" s="546">
        <f t="shared" si="9"/>
        <v>82</v>
      </c>
      <c r="N30" s="551">
        <f t="shared" si="0"/>
        <v>122.51091077926205</v>
      </c>
      <c r="O30" s="553">
        <f>$N30/PI()*SQRT('Hilfstabellen_Mat&amp;Bem'!f.Rd.3/'Hilfstabellen_Mat&amp;Bem'!$BD$30)</f>
        <v>1.9498217033209722</v>
      </c>
      <c r="P30" s="553">
        <f>0.5*(1+'Hilfstabellen_Mat&amp;Bem'!$BD$31*($O30-0.3)+$O30^2)</f>
        <v>2.4833934225367971</v>
      </c>
      <c r="Q30" s="550">
        <f t="shared" si="1"/>
        <v>0.24867014054321598</v>
      </c>
      <c r="S30" s="551">
        <f t="shared" si="10"/>
        <v>1672.0580250125843</v>
      </c>
      <c r="W30" s="546">
        <f t="shared" si="11"/>
        <v>82</v>
      </c>
      <c r="X30" s="551">
        <f t="shared" si="2"/>
        <v>126.73542494406419</v>
      </c>
      <c r="Y30" s="553">
        <f>$X30/PI()*SQRT('Hilfstabellen_Mat&amp;Bem'!f.Rd.3/'Hilfstabellen_Mat&amp;Bem'!$BD$30)</f>
        <v>2.0170569344699714</v>
      </c>
      <c r="Z30" s="553">
        <f>0.5*(1+'Hilfstabellen_Mat&amp;Bem'!$BD$31*($Y30-0.3)+$Y30^2)</f>
        <v>2.6201121851701976</v>
      </c>
      <c r="AA30" s="550">
        <f t="shared" si="3"/>
        <v>0.23297115551587724</v>
      </c>
      <c r="AC30" s="551">
        <f t="shared" si="12"/>
        <v>1566.4980496887586</v>
      </c>
      <c r="AG30" s="546">
        <f t="shared" si="13"/>
        <v>82</v>
      </c>
      <c r="AH30" s="551">
        <f t="shared" si="4"/>
        <v>130.95993910886634</v>
      </c>
      <c r="AI30" s="553">
        <f>$AH30/PI()*SQRT('Hilfstabellen_Mat&amp;Bem'!f.Rd.3/'Hilfstabellen_Mat&amp;Bem'!$BD$30)</f>
        <v>2.0842921656189701</v>
      </c>
      <c r="AJ30" s="553">
        <f>0.5*(1+'Hilfstabellen_Mat&amp;Bem'!$BD$31*($AI30-0.3)+$AI30^2)</f>
        <v>2.7613515241112565</v>
      </c>
      <c r="AK30" s="550">
        <f t="shared" si="5"/>
        <v>0.21869175001757601</v>
      </c>
      <c r="AM30" s="551">
        <f t="shared" si="14"/>
        <v>1470.483327118181</v>
      </c>
      <c r="AQ30" s="546">
        <f t="shared" si="15"/>
        <v>82</v>
      </c>
      <c r="AR30" s="551">
        <f t="shared" si="16"/>
        <v>135.18445327366845</v>
      </c>
      <c r="AS30" s="553">
        <f>$AR30/PI()*SQRT('Hilfstabellen_Mat&amp;Bem'!f.Rd.3/'Hilfstabellen_Mat&amp;Bem'!$BD$30)</f>
        <v>2.1515273967679689</v>
      </c>
      <c r="AT30" s="553">
        <f>0.5*(1+'Hilfstabellen_Mat&amp;Bem'!$BD$31*($AS30-0.3)+$AS30^2)</f>
        <v>2.9071114393599751</v>
      </c>
      <c r="AU30" s="550">
        <f t="shared" si="17"/>
        <v>0.20566977920877227</v>
      </c>
      <c r="AW30" s="551">
        <f t="shared" si="18"/>
        <v>1382.9235953997847</v>
      </c>
      <c r="BA30" s="546">
        <f t="shared" si="19"/>
        <v>82</v>
      </c>
      <c r="BB30" s="551">
        <f t="shared" si="20"/>
        <v>139.4089674384706</v>
      </c>
      <c r="BC30" s="553">
        <f>$BB30/PI()*SQRT('Hilfstabellen_Mat&amp;Bem'!f.Rd.3/'Hilfstabellen_Mat&amp;Bem'!$BD$30)</f>
        <v>2.2187626279169677</v>
      </c>
      <c r="BD30" s="553">
        <f>0.5*(1+'Hilfstabellen_Mat&amp;Bem'!$BD$31*($BC30-0.3)+$BC30^2)</f>
        <v>3.0573919309163524</v>
      </c>
      <c r="BE30" s="550">
        <f t="shared" si="21"/>
        <v>0.19376472820659024</v>
      </c>
      <c r="BG30" s="551">
        <f t="shared" si="22"/>
        <v>1302.8740324611128</v>
      </c>
      <c r="BK30" s="546">
        <f t="shared" si="23"/>
        <v>82</v>
      </c>
      <c r="BL30" s="551">
        <f t="shared" si="24"/>
        <v>143.63348160327274</v>
      </c>
      <c r="BM30" s="553">
        <f>$BL30/PI()*SQRT('Hilfstabellen_Mat&amp;Bem'!f.Rd.3/'Hilfstabellen_Mat&amp;Bem'!$BD$30)</f>
        <v>2.2859978590659669</v>
      </c>
      <c r="BN30" s="553">
        <f>0.5*(1+'Hilfstabellen_Mat&amp;Bem'!$BD$31*($BM30-0.3)+$BM30^2)</f>
        <v>3.2121929987803903</v>
      </c>
      <c r="BO30" s="550">
        <f t="shared" si="25"/>
        <v>0.18285456356572252</v>
      </c>
      <c r="BQ30" s="551">
        <f t="shared" si="26"/>
        <v>1229.5140854159183</v>
      </c>
      <c r="BU30" s="546">
        <f t="shared" si="27"/>
        <v>82</v>
      </c>
      <c r="BV30" s="551">
        <f t="shared" si="28"/>
        <v>147.85799576807489</v>
      </c>
      <c r="BW30" s="553">
        <f>$BV30/PI()*SQRT('Hilfstabellen_Mat&amp;Bem'!f.Rd.3/'Hilfstabellen_Mat&amp;Bem'!$BD$30)</f>
        <v>2.3532330902149661</v>
      </c>
      <c r="BX30" s="553">
        <f>0.5*(1+'Hilfstabellen_Mat&amp;Bem'!$BD$31*($BW30-0.3)+$BW30^2)</f>
        <v>3.3715146429520875</v>
      </c>
      <c r="BY30" s="550">
        <f t="shared" si="29"/>
        <v>0.17283304065698613</v>
      </c>
      <c r="CA30" s="551">
        <f t="shared" si="30"/>
        <v>1162.1293653775747</v>
      </c>
      <c r="CE30" s="546">
        <f t="shared" si="31"/>
        <v>82</v>
      </c>
      <c r="CF30" s="551">
        <f t="shared" si="32"/>
        <v>152.08250993287703</v>
      </c>
      <c r="CG30" s="553">
        <f>CF30/PI()*SQRT('Hilfstabellen_Mat&amp;Bem'!f.Rd.3/'Hilfstabellen_Mat&amp;Bem'!$BD$30)</f>
        <v>2.4204683213639653</v>
      </c>
      <c r="CH30" s="553">
        <f>0.5*(1+'Hilfstabellen_Mat&amp;Bem'!$BD$31*(CG30-0.3)+CG30^2)</f>
        <v>3.5353568634314438</v>
      </c>
      <c r="CI30" s="550">
        <f t="shared" si="33"/>
        <v>0.16360741588928149</v>
      </c>
      <c r="CK30" s="551">
        <f t="shared" si="34"/>
        <v>1100.0962644395288</v>
      </c>
      <c r="CO30" s="546">
        <f t="shared" si="35"/>
        <v>82</v>
      </c>
      <c r="CP30" s="551">
        <f t="shared" si="36"/>
        <v>156.30702409767918</v>
      </c>
      <c r="CQ30" s="553">
        <f>CP30/PI()*SQRT('Hilfstabellen_Mat&amp;Bem'!f.Rd.3/'Hilfstabellen_Mat&amp;Bem'!$BD$30)</f>
        <v>2.4877035525129645</v>
      </c>
      <c r="CR30" s="553">
        <f>0.5*(1+'Hilfstabellen_Mat&amp;Bem'!$BD$31*(CQ30-0.3)+CQ30^2)</f>
        <v>3.7037196602184599</v>
      </c>
      <c r="CS30" s="550">
        <f t="shared" si="37"/>
        <v>0.15509650929140295</v>
      </c>
      <c r="CU30" s="551">
        <f t="shared" si="38"/>
        <v>1042.8689284753934</v>
      </c>
      <c r="CY30" s="546">
        <f t="shared" si="39"/>
        <v>82</v>
      </c>
      <c r="CZ30" s="551">
        <f t="shared" si="40"/>
        <v>160.53153826248132</v>
      </c>
      <c r="DA30" s="553">
        <f>CZ30/PI()*SQRT('Hilfstabellen_Mat&amp;Bem'!f.Rd.3/'Hilfstabellen_Mat&amp;Bem'!$BD$30)</f>
        <v>2.5549387836619637</v>
      </c>
      <c r="DB30" s="553">
        <f>0.5*(1+'Hilfstabellen_Mat&amp;Bem'!$BD$31*(DA30-0.3)+DA30^2)</f>
        <v>3.8766030333131356</v>
      </c>
      <c r="DC30" s="550">
        <f t="shared" si="41"/>
        <v>0.14722906581355205</v>
      </c>
      <c r="DE30" s="551">
        <f t="shared" si="42"/>
        <v>989.96823853032402</v>
      </c>
      <c r="DI30" s="546">
        <f t="shared" si="43"/>
        <v>82</v>
      </c>
      <c r="DJ30" s="551">
        <f t="shared" si="44"/>
        <v>164.75605242728344</v>
      </c>
      <c r="DK30" s="553">
        <f>DJ30/PI()*SQRT('Hilfstabellen_Mat&amp;Bem'!f.Rd.3/'Hilfstabellen_Mat&amp;Bem'!$BD$30)</f>
        <v>2.6221740148109625</v>
      </c>
      <c r="DL30" s="553">
        <f>0.5*(1+'Hilfstabellen_Mat&amp;Bem'!$BD$31*(DK30-0.3)+DK30^2)</f>
        <v>4.0540069827154692</v>
      </c>
      <c r="DM30" s="550">
        <f t="shared" si="45"/>
        <v>0.13994236912190891</v>
      </c>
      <c r="DO30" s="551">
        <f t="shared" si="46"/>
        <v>940.97248997571546</v>
      </c>
      <c r="DS30" s="546">
        <f t="shared" si="47"/>
        <v>82</v>
      </c>
      <c r="DT30" s="551">
        <f t="shared" si="48"/>
        <v>168.98056659208558</v>
      </c>
      <c r="DU30" s="553">
        <f>DT30/PI()*SQRT('Hilfstabellen_Mat&amp;Bem'!f.Rd.3/'Hilfstabellen_Mat&amp;Bem'!$BD$30)</f>
        <v>2.6894092459599612</v>
      </c>
      <c r="DV30" s="553">
        <f>0.5*(1+'Hilfstabellen_Mat&amp;Bem'!$BD$31*(DU30-0.3)+DU30^2)</f>
        <v>4.2359315084254616</v>
      </c>
      <c r="DW30" s="550">
        <f t="shared" si="49"/>
        <v>0.13318106778426883</v>
      </c>
      <c r="DY30" s="551">
        <f t="shared" si="50"/>
        <v>895.50949978142364</v>
      </c>
      <c r="EC30" s="546">
        <f t="shared" si="51"/>
        <v>82</v>
      </c>
      <c r="ED30" s="551">
        <f t="shared" si="52"/>
        <v>173.20508075688772</v>
      </c>
      <c r="EE30" s="553">
        <f>ED30/PI()*SQRT('Hilfstabellen_Mat&amp;Bem'!f.Rd.3/'Hilfstabellen_Mat&amp;Bem'!$BD$30)</f>
        <v>2.7566444771089604</v>
      </c>
      <c r="EF30" s="553">
        <f>0.5*(1+'Hilfstabellen_Mat&amp;Bem'!$BD$31*(EE30-0.3)+EE30^2)</f>
        <v>4.4223766104431146</v>
      </c>
      <c r="EG30" s="550">
        <f t="shared" si="53"/>
        <v>0.12689617969031575</v>
      </c>
      <c r="EI30" s="551">
        <f t="shared" si="54"/>
        <v>853.24991223768313</v>
      </c>
      <c r="EM30" s="546">
        <f t="shared" si="55"/>
        <v>82</v>
      </c>
      <c r="EN30" s="551">
        <f t="shared" si="56"/>
        <v>177.42959492168987</v>
      </c>
      <c r="EO30" s="553">
        <f>EN30/PI()*SQRT('Hilfstabellen_Mat&amp;Bem'!f.Rd.3/'Hilfstabellen_Mat&amp;Bem'!$BD$30)</f>
        <v>2.8238797082579596</v>
      </c>
      <c r="EP30" s="553">
        <f>0.5*(1+'Hilfstabellen_Mat&amp;Bem'!$BD$31*(EO30-0.3)+EO30^2)</f>
        <v>4.6133422887684272</v>
      </c>
      <c r="EQ30" s="550">
        <f t="shared" si="57"/>
        <v>0.12104424593126857</v>
      </c>
      <c r="ES30" s="551">
        <f t="shared" si="58"/>
        <v>813.90150964184988</v>
      </c>
    </row>
    <row r="31" spans="3:149">
      <c r="C31" s="546">
        <v>83</v>
      </c>
      <c r="D31" s="551">
        <f t="shared" si="6"/>
        <v>116.86125930585196</v>
      </c>
      <c r="E31" s="553">
        <f>$D31/PI()*SQRT('Hilfstabellen_Mat&amp;Bem'!f.Rd.3/'Hilfstabellen_Mat&amp;Bem'!$BD$30)</f>
        <v>1.8599047074470094</v>
      </c>
      <c r="F31" s="553">
        <f>0.5*(1+'Hilfstabellen_Mat&amp;Bem'!$BD$31*($E31-0.3)+$E31^2)</f>
        <v>2.3076179957641232</v>
      </c>
      <c r="G31" s="550">
        <f t="shared" si="7"/>
        <v>0.2722139415642808</v>
      </c>
      <c r="I31" s="551">
        <f t="shared" si="8"/>
        <v>1875.2818434363305</v>
      </c>
      <c r="M31" s="546">
        <f t="shared" si="9"/>
        <v>83</v>
      </c>
      <c r="N31" s="551">
        <f t="shared" si="0"/>
        <v>121.03487570963239</v>
      </c>
      <c r="O31" s="553">
        <f>$N31/PI()*SQRT('Hilfstabellen_Mat&amp;Bem'!f.Rd.3/'Hilfstabellen_Mat&amp;Bem'!$BD$30)</f>
        <v>1.9263298755701168</v>
      </c>
      <c r="P31" s="553">
        <f>0.5*(1+'Hilfstabellen_Mat&amp;Bem'!$BD$31*($O31-0.3)+$O31^2)</f>
        <v>2.4366898885354966</v>
      </c>
      <c r="Q31" s="550">
        <f t="shared" si="1"/>
        <v>0.25452373713075327</v>
      </c>
      <c r="S31" s="551">
        <f t="shared" si="10"/>
        <v>1753.4140250937592</v>
      </c>
      <c r="W31" s="546">
        <f t="shared" si="11"/>
        <v>83</v>
      </c>
      <c r="X31" s="551">
        <f t="shared" si="2"/>
        <v>125.20849211341282</v>
      </c>
      <c r="Y31" s="553">
        <f>$X31/PI()*SQRT('Hilfstabellen_Mat&amp;Bem'!f.Rd.3/'Hilfstabellen_Mat&amp;Bem'!$BD$30)</f>
        <v>1.9927550436932244</v>
      </c>
      <c r="Z31" s="553">
        <f>0.5*(1+'Hilfstabellen_Mat&amp;Bem'!$BD$31*($Y31-0.3)+$Y31^2)</f>
        <v>2.5701740842670535</v>
      </c>
      <c r="AA31" s="550">
        <f t="shared" si="3"/>
        <v>0.23847243281343944</v>
      </c>
      <c r="AC31" s="551">
        <f t="shared" si="12"/>
        <v>1642.8365896517844</v>
      </c>
      <c r="AG31" s="546">
        <f t="shared" si="13"/>
        <v>83</v>
      </c>
      <c r="AH31" s="551">
        <f t="shared" si="4"/>
        <v>129.38210851719325</v>
      </c>
      <c r="AI31" s="553">
        <f>$AH31/PI()*SQRT('Hilfstabellen_Mat&amp;Bem'!f.Rd.3/'Hilfstabellen_Mat&amp;Bem'!$BD$30)</f>
        <v>2.059180211816332</v>
      </c>
      <c r="AJ31" s="553">
        <f>0.5*(1+'Hilfstabellen_Mat&amp;Bem'!$BD$31*($AI31-0.3)+$AI31^2)</f>
        <v>2.7080705829587934</v>
      </c>
      <c r="AK31" s="550">
        <f t="shared" si="5"/>
        <v>0.22386972559896889</v>
      </c>
      <c r="AM31" s="551">
        <f t="shared" si="14"/>
        <v>1542.2385396512966</v>
      </c>
      <c r="AQ31" s="546">
        <f t="shared" si="15"/>
        <v>83</v>
      </c>
      <c r="AR31" s="551">
        <f t="shared" si="16"/>
        <v>133.55572492097369</v>
      </c>
      <c r="AS31" s="553">
        <f>$AR31/PI()*SQRT('Hilfstabellen_Mat&amp;Bem'!f.Rd.3/'Hilfstabellen_Mat&amp;Bem'!$BD$30)</f>
        <v>2.1256053799394397</v>
      </c>
      <c r="AT31" s="553">
        <f>0.5*(1+'Hilfstabellen_Mat&amp;Bem'!$BD$31*($AS31-0.3)+$AS31^2)</f>
        <v>2.8503793846107168</v>
      </c>
      <c r="AU31" s="550">
        <f t="shared" si="17"/>
        <v>0.21055075133680187</v>
      </c>
      <c r="AW31" s="551">
        <f t="shared" si="18"/>
        <v>1450.4841259592281</v>
      </c>
      <c r="BA31" s="546">
        <f t="shared" si="19"/>
        <v>83</v>
      </c>
      <c r="BB31" s="551">
        <f t="shared" si="20"/>
        <v>137.72934132475407</v>
      </c>
      <c r="BC31" s="553">
        <f>$BB31/PI()*SQRT('Hilfstabellen_Mat&amp;Bem'!f.Rd.3/'Hilfstabellen_Mat&amp;Bem'!$BD$30)</f>
        <v>2.1920305480625468</v>
      </c>
      <c r="BD31" s="553">
        <f>0.5*(1+'Hilfstabellen_Mat&amp;Bem'!$BD$31*($BC31-0.3)+$BC31^2)</f>
        <v>2.9971004892228219</v>
      </c>
      <c r="BE31" s="550">
        <f t="shared" si="21"/>
        <v>0.1983724894733849</v>
      </c>
      <c r="BG31" s="551">
        <f t="shared" si="22"/>
        <v>1366.5880799821487</v>
      </c>
      <c r="BK31" s="546">
        <f t="shared" si="23"/>
        <v>83</v>
      </c>
      <c r="BL31" s="551">
        <f t="shared" si="24"/>
        <v>141.90295772853452</v>
      </c>
      <c r="BM31" s="553">
        <f>$BL31/PI()*SQRT('Hilfstabellen_Mat&amp;Bem'!f.Rd.3/'Hilfstabellen_Mat&amp;Bem'!$BD$30)</f>
        <v>2.258455716185654</v>
      </c>
      <c r="BN31" s="553">
        <f>0.5*(1+'Hilfstabellen_Mat&amp;Bem'!$BD$31*($BM31-0.3)+$BM31^2)</f>
        <v>3.1482338967951105</v>
      </c>
      <c r="BO31" s="550">
        <f t="shared" si="25"/>
        <v>0.18721062704432995</v>
      </c>
      <c r="BQ31" s="551">
        <f t="shared" si="26"/>
        <v>1289.6940097083891</v>
      </c>
      <c r="BU31" s="546">
        <f t="shared" si="27"/>
        <v>83</v>
      </c>
      <c r="BV31" s="551">
        <f t="shared" si="28"/>
        <v>146.07657413231493</v>
      </c>
      <c r="BW31" s="553">
        <f>$BV31/PI()*SQRT('Hilfstabellen_Mat&amp;Bem'!f.Rd.3/'Hilfstabellen_Mat&amp;Bem'!$BD$30)</f>
        <v>2.3248808843087612</v>
      </c>
      <c r="BX31" s="553">
        <f>0.5*(1+'Hilfstabellen_Mat&amp;Bem'!$BD$31*($BW31-0.3)+$BW31^2)</f>
        <v>3.3037796073275816</v>
      </c>
      <c r="BY31" s="550">
        <f t="shared" si="29"/>
        <v>0.17695686183511533</v>
      </c>
      <c r="CA31" s="551">
        <f t="shared" si="30"/>
        <v>1219.0558211821094</v>
      </c>
      <c r="CE31" s="546">
        <f t="shared" si="31"/>
        <v>83</v>
      </c>
      <c r="CF31" s="551">
        <f t="shared" si="32"/>
        <v>150.25019053609537</v>
      </c>
      <c r="CG31" s="553">
        <f>CF31/PI()*SQRT('Hilfstabellen_Mat&amp;Bem'!f.Rd.3/'Hilfstabellen_Mat&amp;Bem'!$BD$30)</f>
        <v>2.3913060524318692</v>
      </c>
      <c r="CH31" s="553">
        <f>0.5*(1+'Hilfstabellen_Mat&amp;Bem'!$BD$31*(CG31-0.3)+CG31^2)</f>
        <v>3.4637376208202384</v>
      </c>
      <c r="CI31" s="550">
        <f t="shared" si="33"/>
        <v>0.16751660178213132</v>
      </c>
      <c r="CK31" s="551">
        <f t="shared" si="34"/>
        <v>1154.0218696771026</v>
      </c>
      <c r="CO31" s="546">
        <f t="shared" si="35"/>
        <v>83</v>
      </c>
      <c r="CP31" s="551">
        <f t="shared" si="36"/>
        <v>154.42380693987579</v>
      </c>
      <c r="CQ31" s="553">
        <f>CP31/PI()*SQRT('Hilfstabellen_Mat&amp;Bem'!f.Rd.3/'Hilfstabellen_Mat&amp;Bem'!$BD$30)</f>
        <v>2.4577312205549764</v>
      </c>
      <c r="CR31" s="553">
        <f>0.5*(1+'Hilfstabellen_Mat&amp;Bem'!$BD$31*(CQ31-0.3)+CQ31^2)</f>
        <v>3.628107937273076</v>
      </c>
      <c r="CS31" s="550">
        <f t="shared" si="37"/>
        <v>0.15880701081060583</v>
      </c>
      <c r="CU31" s="551">
        <f t="shared" si="38"/>
        <v>1094.0214974742635</v>
      </c>
      <c r="CY31" s="546">
        <f t="shared" si="39"/>
        <v>83</v>
      </c>
      <c r="CZ31" s="551">
        <f t="shared" si="40"/>
        <v>158.59742334365623</v>
      </c>
      <c r="DA31" s="553">
        <f>CZ31/PI()*SQRT('Hilfstabellen_Mat&amp;Bem'!f.Rd.3/'Hilfstabellen_Mat&amp;Bem'!$BD$30)</f>
        <v>2.5241563886780845</v>
      </c>
      <c r="DB31" s="553">
        <f>0.5*(1+'Hilfstabellen_Mat&amp;Bem'!$BD$31*(DA31-0.3)+DA31^2)</f>
        <v>3.7968905566860984</v>
      </c>
      <c r="DC31" s="550">
        <f t="shared" si="41"/>
        <v>0.15075535213045585</v>
      </c>
      <c r="DE31" s="551">
        <f t="shared" si="42"/>
        <v>1038.5536208267104</v>
      </c>
      <c r="DI31" s="546">
        <f t="shared" si="43"/>
        <v>83</v>
      </c>
      <c r="DJ31" s="551">
        <f t="shared" si="44"/>
        <v>162.77103974743665</v>
      </c>
      <c r="DK31" s="553">
        <f>DJ31/PI()*SQRT('Hilfstabellen_Mat&amp;Bem'!f.Rd.3/'Hilfstabellen_Mat&amp;Bem'!$BD$30)</f>
        <v>2.5905815568011916</v>
      </c>
      <c r="DL31" s="553">
        <f>0.5*(1+'Hilfstabellen_Mat&amp;Bem'!$BD$31*(DK31-0.3)+DK31^2)</f>
        <v>3.9700854790593025</v>
      </c>
      <c r="DM31" s="550">
        <f t="shared" si="45"/>
        <v>0.14329758423653258</v>
      </c>
      <c r="DO31" s="551">
        <f t="shared" si="46"/>
        <v>987.17705780547294</v>
      </c>
      <c r="DS31" s="546">
        <f t="shared" si="47"/>
        <v>83</v>
      </c>
      <c r="DT31" s="551">
        <f t="shared" si="48"/>
        <v>166.94465615121709</v>
      </c>
      <c r="DU31" s="553">
        <f>DT31/PI()*SQRT('Hilfstabellen_Mat&amp;Bem'!f.Rd.3/'Hilfstabellen_Mat&amp;Bem'!$BD$30)</f>
        <v>2.6570067249242992</v>
      </c>
      <c r="DV31" s="553">
        <f>0.5*(1+'Hilfstabellen_Mat&amp;Bem'!$BD$31*(DU31-0.3)+DU31^2)</f>
        <v>4.1476927043926901</v>
      </c>
      <c r="DW31" s="550">
        <f t="shared" si="49"/>
        <v>0.13637717028501534</v>
      </c>
      <c r="DY31" s="551">
        <f t="shared" si="50"/>
        <v>939.50232609347063</v>
      </c>
      <c r="EC31" s="546">
        <f t="shared" si="51"/>
        <v>83</v>
      </c>
      <c r="ED31" s="551">
        <f t="shared" si="52"/>
        <v>171.1182725549975</v>
      </c>
      <c r="EE31" s="553">
        <f>ED31/PI()*SQRT('Hilfstabellen_Mat&amp;Bem'!f.Rd.3/'Hilfstabellen_Mat&amp;Bem'!$BD$30)</f>
        <v>2.7234318930474064</v>
      </c>
      <c r="EF31" s="553">
        <f>0.5*(1+'Hilfstabellen_Mat&amp;Bem'!$BD$31*(EE31-0.3)+EE31^2)</f>
        <v>4.3297122326862603</v>
      </c>
      <c r="EG31" s="550">
        <f t="shared" si="53"/>
        <v>0.12994406705381287</v>
      </c>
      <c r="EI31" s="551">
        <f t="shared" si="54"/>
        <v>895.1846779337169</v>
      </c>
      <c r="EM31" s="546">
        <f t="shared" si="55"/>
        <v>83</v>
      </c>
      <c r="EN31" s="551">
        <f t="shared" si="56"/>
        <v>175.29188895877792</v>
      </c>
      <c r="EO31" s="553">
        <f>EN31/PI()*SQRT('Hilfstabellen_Mat&amp;Bem'!f.Rd.3/'Hilfstabellen_Mat&amp;Bem'!$BD$30)</f>
        <v>2.7898570611705136</v>
      </c>
      <c r="EP31" s="553">
        <f>0.5*(1+'Hilfstabellen_Mat&amp;Bem'!$BD$31*(EO31-0.3)+EO31^2)</f>
        <v>4.516144063940013</v>
      </c>
      <c r="EQ31" s="550">
        <f t="shared" si="57"/>
        <v>0.12395386483949447</v>
      </c>
      <c r="ES31" s="551">
        <f t="shared" si="58"/>
        <v>853.91817487927744</v>
      </c>
    </row>
    <row r="32" spans="3:149">
      <c r="C32" s="546">
        <v>84</v>
      </c>
      <c r="D32" s="551">
        <f t="shared" si="6"/>
        <v>115.47005383792515</v>
      </c>
      <c r="E32" s="553">
        <f>$D32/PI()*SQRT('Hilfstabellen_Mat&amp;Bem'!f.Rd.3/'Hilfstabellen_Mat&amp;Bem'!$BD$30)</f>
        <v>1.8377629847393071</v>
      </c>
      <c r="F32" s="553">
        <f>0.5*(1+'Hilfstabellen_Mat&amp;Bem'!$BD$31*($E32-0.3)+$E32^2)</f>
        <v>2.2655745432759287</v>
      </c>
      <c r="G32" s="550">
        <f t="shared" si="7"/>
        <v>0.27851192942466541</v>
      </c>
      <c r="I32" s="551">
        <f t="shared" si="8"/>
        <v>1965.1801740204392</v>
      </c>
      <c r="M32" s="546">
        <f t="shared" si="9"/>
        <v>84</v>
      </c>
      <c r="N32" s="551">
        <f t="shared" si="0"/>
        <v>119.59398433213677</v>
      </c>
      <c r="O32" s="553">
        <f>$N32/PI()*SQRT('Hilfstabellen_Mat&amp;Bem'!f.Rd.3/'Hilfstabellen_Mat&amp;Bem'!$BD$30)</f>
        <v>1.9033973770514252</v>
      </c>
      <c r="P32" s="553">
        <f>0.5*(1+'Hilfstabellen_Mat&amp;Bem'!$BD$31*($O32-0.3)+$O32^2)</f>
        <v>2.3916306563356939</v>
      </c>
      <c r="Q32" s="550">
        <f t="shared" si="1"/>
        <v>0.26043535526334283</v>
      </c>
      <c r="S32" s="551">
        <f t="shared" si="10"/>
        <v>1837.631866738147</v>
      </c>
      <c r="W32" s="546">
        <f t="shared" si="11"/>
        <v>84</v>
      </c>
      <c r="X32" s="551">
        <f t="shared" si="2"/>
        <v>123.71791482634838</v>
      </c>
      <c r="Y32" s="553">
        <f>$X32/PI()*SQRT('Hilfstabellen_Mat&amp;Bem'!f.Rd.3/'Hilfstabellen_Mat&amp;Bem'!$BD$30)</f>
        <v>1.9690317693635433</v>
      </c>
      <c r="Z32" s="553">
        <f>0.5*(1+'Hilfstabellen_Mat&amp;Bem'!$BD$31*($Y32-0.3)+$Y32^2)</f>
        <v>2.52199464284964</v>
      </c>
      <c r="AA32" s="550">
        <f t="shared" si="3"/>
        <v>0.2440294470395899</v>
      </c>
      <c r="AC32" s="551">
        <f t="shared" si="12"/>
        <v>1721.8717783113464</v>
      </c>
      <c r="AG32" s="546">
        <f t="shared" si="13"/>
        <v>84</v>
      </c>
      <c r="AH32" s="551">
        <f t="shared" si="4"/>
        <v>127.84184532055998</v>
      </c>
      <c r="AI32" s="553">
        <f>$AH32/PI()*SQRT('Hilfstabellen_Mat&amp;Bem'!f.Rd.3/'Hilfstabellen_Mat&amp;Bem'!$BD$30)</f>
        <v>2.0346661616756609</v>
      </c>
      <c r="AJ32" s="553">
        <f>0.5*(1+'Hilfstabellen_Mat&amp;Bem'!$BD$31*($AI32-0.3)+$AI32^2)</f>
        <v>2.6566665028177665</v>
      </c>
      <c r="AK32" s="550">
        <f t="shared" si="5"/>
        <v>0.22910110905400874</v>
      </c>
      <c r="AM32" s="551">
        <f t="shared" si="14"/>
        <v>1616.5374254850856</v>
      </c>
      <c r="AQ32" s="546">
        <f t="shared" si="15"/>
        <v>84</v>
      </c>
      <c r="AR32" s="551">
        <f t="shared" si="16"/>
        <v>131.9657758147716</v>
      </c>
      <c r="AS32" s="553">
        <f>$AR32/PI()*SQRT('Hilfstabellen_Mat&amp;Bem'!f.Rd.3/'Hilfstabellen_Mat&amp;Bem'!$BD$30)</f>
        <v>2.1003005539877795</v>
      </c>
      <c r="AT32" s="553">
        <f>0.5*(1+'Hilfstabellen_Mat&amp;Bem'!$BD$31*($AS32-0.3)+$AS32^2)</f>
        <v>2.795646236240076</v>
      </c>
      <c r="AU32" s="550">
        <f t="shared" si="17"/>
        <v>0.21548281940561165</v>
      </c>
      <c r="AW32" s="551">
        <f t="shared" si="18"/>
        <v>1520.4467737259959</v>
      </c>
      <c r="BA32" s="546">
        <f t="shared" si="19"/>
        <v>84</v>
      </c>
      <c r="BB32" s="551">
        <f t="shared" si="20"/>
        <v>136.08970630898321</v>
      </c>
      <c r="BC32" s="553">
        <f>$BB32/PI()*SQRT('Hilfstabellen_Mat&amp;Bem'!f.Rd.3/'Hilfstabellen_Mat&amp;Bem'!$BD$30)</f>
        <v>2.1659349462998976</v>
      </c>
      <c r="BD32" s="553">
        <f>0.5*(1+'Hilfstabellen_Mat&amp;Bem'!$BD$31*($BC32-0.3)+$BC32^2)</f>
        <v>2.938933843116565</v>
      </c>
      <c r="BE32" s="550">
        <f t="shared" si="21"/>
        <v>0.20302909028614466</v>
      </c>
      <c r="BG32" s="551">
        <f t="shared" si="22"/>
        <v>1432.5732610590367</v>
      </c>
      <c r="BK32" s="546">
        <f t="shared" si="23"/>
        <v>84</v>
      </c>
      <c r="BL32" s="551">
        <f t="shared" si="24"/>
        <v>140.21363680319482</v>
      </c>
      <c r="BM32" s="553">
        <f>$BL32/PI()*SQRT('Hilfstabellen_Mat&amp;Bem'!f.Rd.3/'Hilfstabellen_Mat&amp;Bem'!$BD$30)</f>
        <v>2.2315693386120152</v>
      </c>
      <c r="BN32" s="553">
        <f>0.5*(1+'Hilfstabellen_Mat&amp;Bem'!$BD$31*($BM32-0.3)+$BM32^2)</f>
        <v>3.0865293234472344</v>
      </c>
      <c r="BO32" s="550">
        <f t="shared" si="25"/>
        <v>0.1916133523971183</v>
      </c>
      <c r="BQ32" s="551">
        <f t="shared" si="26"/>
        <v>1352.0238145140668</v>
      </c>
      <c r="BU32" s="546">
        <f t="shared" si="27"/>
        <v>84</v>
      </c>
      <c r="BV32" s="551">
        <f t="shared" si="28"/>
        <v>144.33756729740642</v>
      </c>
      <c r="BW32" s="553">
        <f>$BV32/PI()*SQRT('Hilfstabellen_Mat&amp;Bem'!f.Rd.3/'Hilfstabellen_Mat&amp;Bem'!$BD$30)</f>
        <v>2.2972037309241333</v>
      </c>
      <c r="BX32" s="553">
        <f>0.5*(1+'Hilfstabellen_Mat&amp;Bem'!$BD$31*($BW32-0.3)+$BW32^2)</f>
        <v>3.2384326772320855</v>
      </c>
      <c r="BY32" s="550">
        <f t="shared" si="29"/>
        <v>0.18112525906170046</v>
      </c>
      <c r="CA32" s="551">
        <f t="shared" si="30"/>
        <v>1278.0198279393585</v>
      </c>
      <c r="CE32" s="546">
        <f t="shared" si="31"/>
        <v>84</v>
      </c>
      <c r="CF32" s="551">
        <f t="shared" si="32"/>
        <v>148.46149779161803</v>
      </c>
      <c r="CG32" s="553">
        <f>CF32/PI()*SQRT('Hilfstabellen_Mat&amp;Bem'!f.Rd.3/'Hilfstabellen_Mat&amp;Bem'!$BD$30)</f>
        <v>2.3628381232362514</v>
      </c>
      <c r="CH32" s="553">
        <f>0.5*(1+'Hilfstabellen_Mat&amp;Bem'!$BD$31*(CG32-0.3)+CG32^2)</f>
        <v>3.3946439044711179</v>
      </c>
      <c r="CI32" s="550">
        <f t="shared" si="33"/>
        <v>0.17146837621828159</v>
      </c>
      <c r="CK32" s="551">
        <f t="shared" si="34"/>
        <v>1209.8808625961949</v>
      </c>
      <c r="CO32" s="546">
        <f t="shared" si="35"/>
        <v>84</v>
      </c>
      <c r="CP32" s="551">
        <f t="shared" si="36"/>
        <v>152.58542828582966</v>
      </c>
      <c r="CQ32" s="553">
        <f>CP32/PI()*SQRT('Hilfstabellen_Mat&amp;Bem'!f.Rd.3/'Hilfstabellen_Mat&amp;Bem'!$BD$30)</f>
        <v>2.42847251554837</v>
      </c>
      <c r="CR32" s="553">
        <f>0.5*(1+'Hilfstabellen_Mat&amp;Bem'!$BD$31*(CQ32-0.3)+CQ32^2)</f>
        <v>3.5551630051643324</v>
      </c>
      <c r="CS32" s="550">
        <f t="shared" si="37"/>
        <v>0.16255821378954893</v>
      </c>
      <c r="CU32" s="551">
        <f t="shared" si="38"/>
        <v>1147.0107564990574</v>
      </c>
      <c r="CY32" s="546">
        <f t="shared" si="39"/>
        <v>84</v>
      </c>
      <c r="CZ32" s="551">
        <f t="shared" si="40"/>
        <v>156.70935878004127</v>
      </c>
      <c r="DA32" s="553">
        <f>CZ32/PI()*SQRT('Hilfstabellen_Mat&amp;Bem'!f.Rd.3/'Hilfstabellen_Mat&amp;Bem'!$BD$30)</f>
        <v>2.4941069078604881</v>
      </c>
      <c r="DB32" s="553">
        <f>0.5*(1+'Hilfstabellen_Mat&amp;Bem'!$BD$31*(DA32-0.3)+DA32^2)</f>
        <v>3.7199899793117268</v>
      </c>
      <c r="DC32" s="550">
        <f t="shared" si="41"/>
        <v>0.15432055250025886</v>
      </c>
      <c r="DE32" s="551">
        <f t="shared" si="42"/>
        <v>1088.8858184418266</v>
      </c>
      <c r="DI32" s="546">
        <f t="shared" si="43"/>
        <v>84</v>
      </c>
      <c r="DJ32" s="551">
        <f t="shared" si="44"/>
        <v>160.83328927425288</v>
      </c>
      <c r="DK32" s="553">
        <f>DJ32/PI()*SQRT('Hilfstabellen_Mat&amp;Bem'!f.Rd.3/'Hilfstabellen_Mat&amp;Bem'!$BD$30)</f>
        <v>2.5597413001726057</v>
      </c>
      <c r="DL32" s="553">
        <f>0.5*(1+'Hilfstabellen_Mat&amp;Bem'!$BD$31*(DK32-0.3)+DK32^2)</f>
        <v>3.8891248269133012</v>
      </c>
      <c r="DM32" s="550">
        <f t="shared" si="45"/>
        <v>0.14669002311440046</v>
      </c>
      <c r="DO32" s="551">
        <f t="shared" si="46"/>
        <v>1035.0448030952098</v>
      </c>
      <c r="DS32" s="546">
        <f t="shared" si="47"/>
        <v>84</v>
      </c>
      <c r="DT32" s="551">
        <f t="shared" si="48"/>
        <v>164.95721976846451</v>
      </c>
      <c r="DU32" s="553">
        <f>DT32/PI()*SQRT('Hilfstabellen_Mat&amp;Bem'!f.Rd.3/'Hilfstabellen_Mat&amp;Bem'!$BD$30)</f>
        <v>2.6253756924847242</v>
      </c>
      <c r="DV32" s="553">
        <f>0.5*(1+'Hilfstabellen_Mat&amp;Bem'!$BD$31*(DU32-0.3)+DU32^2)</f>
        <v>4.0625675479690591</v>
      </c>
      <c r="DW32" s="550">
        <f t="shared" si="49"/>
        <v>0.13960889970069371</v>
      </c>
      <c r="DY32" s="551">
        <f t="shared" si="50"/>
        <v>985.08039628809479</v>
      </c>
      <c r="EC32" s="546">
        <f t="shared" si="51"/>
        <v>84</v>
      </c>
      <c r="ED32" s="551">
        <f t="shared" si="52"/>
        <v>169.08115026267612</v>
      </c>
      <c r="EE32" s="553">
        <f>ED32/PI()*SQRT('Hilfstabellen_Mat&amp;Bem'!f.Rd.3/'Hilfstabellen_Mat&amp;Bem'!$BD$30)</f>
        <v>2.6910100847968423</v>
      </c>
      <c r="EF32" s="553">
        <f>0.5*(1+'Hilfstabellen_Mat&amp;Bem'!$BD$31*(EE32-0.3)+EE32^2)</f>
        <v>4.240318142478996</v>
      </c>
      <c r="EG32" s="550">
        <f t="shared" si="53"/>
        <v>0.13302607360623397</v>
      </c>
      <c r="EI32" s="551">
        <f t="shared" si="54"/>
        <v>938.63197536558687</v>
      </c>
      <c r="EM32" s="546">
        <f t="shared" si="55"/>
        <v>84</v>
      </c>
      <c r="EN32" s="551">
        <f t="shared" si="56"/>
        <v>173.20508075688772</v>
      </c>
      <c r="EO32" s="553">
        <f>EN32/PI()*SQRT('Hilfstabellen_Mat&amp;Bem'!f.Rd.3/'Hilfstabellen_Mat&amp;Bem'!$BD$30)</f>
        <v>2.7566444771089604</v>
      </c>
      <c r="EP32" s="553">
        <f>0.5*(1+'Hilfstabellen_Mat&amp;Bem'!$BD$31*(EO32-0.3)+EO32^2)</f>
        <v>4.4223766104431146</v>
      </c>
      <c r="EQ32" s="550">
        <f t="shared" si="57"/>
        <v>0.12689617969031575</v>
      </c>
      <c r="ES32" s="551">
        <f t="shared" si="58"/>
        <v>895.3794438948679</v>
      </c>
    </row>
    <row r="33" spans="3:149">
      <c r="C33" s="546">
        <v>85</v>
      </c>
      <c r="D33" s="551">
        <f t="shared" si="6"/>
        <v>114.11158261630248</v>
      </c>
      <c r="E33" s="553">
        <f>$D33/PI()*SQRT('Hilfstabellen_Mat&amp;Bem'!f.Rd.3/'Hilfstabellen_Mat&amp;Bem'!$BD$30)</f>
        <v>1.8161422437423735</v>
      </c>
      <c r="F33" s="553">
        <f>0.5*(1+'Hilfstabellen_Mat&amp;Bem'!$BD$31*($E33-0.3)+$E33^2)</f>
        <v>2.22499343693991</v>
      </c>
      <c r="G33" s="550">
        <f t="shared" si="7"/>
        <v>0.28486930138680294</v>
      </c>
      <c r="I33" s="551">
        <f t="shared" si="8"/>
        <v>2058.1807025196513</v>
      </c>
      <c r="M33" s="546">
        <f t="shared" si="9"/>
        <v>85</v>
      </c>
      <c r="N33" s="551">
        <f t="shared" si="0"/>
        <v>118.18699628117044</v>
      </c>
      <c r="O33" s="553">
        <f>$N33/PI()*SQRT('Hilfstabellen_Mat&amp;Bem'!f.Rd.3/'Hilfstabellen_Mat&amp;Bem'!$BD$30)</f>
        <v>1.8810044667331729</v>
      </c>
      <c r="P33" s="553">
        <f>0.5*(1+'Hilfstabellen_Mat&amp;Bem'!$BD$31*($O33-0.3)+$O33^2)</f>
        <v>2.3481391252717327</v>
      </c>
      <c r="Q33" s="550">
        <f t="shared" si="1"/>
        <v>0.26640436590529087</v>
      </c>
      <c r="S33" s="551">
        <f t="shared" si="10"/>
        <v>1924.7715436657265</v>
      </c>
      <c r="W33" s="546">
        <f t="shared" si="11"/>
        <v>85</v>
      </c>
      <c r="X33" s="551">
        <f t="shared" si="2"/>
        <v>122.2624099460384</v>
      </c>
      <c r="Y33" s="553">
        <f>$X33/PI()*SQRT('Hilfstabellen_Mat&amp;Bem'!f.Rd.3/'Hilfstabellen_Mat&amp;Bem'!$BD$30)</f>
        <v>1.945866689723972</v>
      </c>
      <c r="Z33" s="553">
        <f>0.5*(1+'Hilfstabellen_Mat&amp;Bem'!$BD$31*($Y33-0.3)+$Y33^2)</f>
        <v>2.475491921574863</v>
      </c>
      <c r="AA33" s="550">
        <f t="shared" si="3"/>
        <v>0.24964168469182937</v>
      </c>
      <c r="AC33" s="551">
        <f t="shared" si="12"/>
        <v>1803.6611718984673</v>
      </c>
      <c r="AG33" s="546">
        <f t="shared" si="13"/>
        <v>85</v>
      </c>
      <c r="AH33" s="551">
        <f t="shared" si="4"/>
        <v>126.33782361090633</v>
      </c>
      <c r="AI33" s="553">
        <f>$AH33/PI()*SQRT('Hilfstabellen_Mat&amp;Bem'!f.Rd.3/'Hilfstabellen_Mat&amp;Bem'!$BD$30)</f>
        <v>2.0107289127147712</v>
      </c>
      <c r="AJ33" s="553">
        <f>0.5*(1+'Hilfstabellen_Mat&amp;Bem'!$BD$31*($AI33-0.3)+$AI33^2)</f>
        <v>2.6070518258493012</v>
      </c>
      <c r="AK33" s="550">
        <f t="shared" si="5"/>
        <v>0.23438547621167732</v>
      </c>
      <c r="AM33" s="551">
        <f t="shared" si="14"/>
        <v>1693.4350656293686</v>
      </c>
      <c r="AQ33" s="546">
        <f t="shared" si="15"/>
        <v>85</v>
      </c>
      <c r="AR33" s="551">
        <f t="shared" si="16"/>
        <v>130.41323727577429</v>
      </c>
      <c r="AS33" s="553">
        <f>$AR33/PI()*SQRT('Hilfstabellen_Mat&amp;Bem'!f.Rd.3/'Hilfstabellen_Mat&amp;Bem'!$BD$30)</f>
        <v>2.0755911357055701</v>
      </c>
      <c r="AT33" s="553">
        <f>0.5*(1+'Hilfstabellen_Mat&amp;Bem'!$BD$31*($AS33-0.3)+$AS33^2)</f>
        <v>2.7428188380950478</v>
      </c>
      <c r="AU33" s="550">
        <f t="shared" si="17"/>
        <v>0.22046562925020732</v>
      </c>
      <c r="AW33" s="551">
        <f t="shared" si="18"/>
        <v>1592.8641713327479</v>
      </c>
      <c r="BA33" s="546">
        <f t="shared" si="19"/>
        <v>85</v>
      </c>
      <c r="BB33" s="551">
        <f t="shared" si="20"/>
        <v>134.48865094064223</v>
      </c>
      <c r="BC33" s="553">
        <f>$BB33/PI()*SQRT('Hilfstabellen_Mat&amp;Bem'!f.Rd.3/'Hilfstabellen_Mat&amp;Bem'!$BD$30)</f>
        <v>2.140453358696369</v>
      </c>
      <c r="BD33" s="553">
        <f>0.5*(1+'Hilfstabellen_Mat&amp;Bem'!$BD$31*($BC33-0.3)+$BC33^2)</f>
        <v>2.8827929583121019</v>
      </c>
      <c r="BE33" s="550">
        <f t="shared" si="21"/>
        <v>0.20773423202361951</v>
      </c>
      <c r="BG33" s="551">
        <f t="shared" si="22"/>
        <v>1500.879826370651</v>
      </c>
      <c r="BK33" s="546">
        <f t="shared" si="23"/>
        <v>85</v>
      </c>
      <c r="BL33" s="551">
        <f t="shared" si="24"/>
        <v>138.56406460551017</v>
      </c>
      <c r="BM33" s="553">
        <f>$BL33/PI()*SQRT('Hilfstabellen_Mat&amp;Bem'!f.Rd.3/'Hilfstabellen_Mat&amp;Bem'!$BD$30)</f>
        <v>2.2053155816871679</v>
      </c>
      <c r="BN33" s="553">
        <f>0.5*(1+'Hilfstabellen_Mat&amp;Bem'!$BD$31*($BM33-0.3)+$BM33^2)</f>
        <v>3.026974186500464</v>
      </c>
      <c r="BO33" s="550">
        <f t="shared" si="25"/>
        <v>0.19606248557633724</v>
      </c>
      <c r="BQ33" s="551">
        <f t="shared" si="26"/>
        <v>1416.5514582890366</v>
      </c>
      <c r="BU33" s="546">
        <f t="shared" si="27"/>
        <v>85</v>
      </c>
      <c r="BV33" s="551">
        <f t="shared" si="28"/>
        <v>142.63947827037813</v>
      </c>
      <c r="BW33" s="553">
        <f>$BV33/PI()*SQRT('Hilfstabellen_Mat&amp;Bem'!f.Rd.3/'Hilfstabellen_Mat&amp;Bem'!$BD$30)</f>
        <v>2.2701778046779673</v>
      </c>
      <c r="BX33" s="553">
        <f>0.5*(1+'Hilfstabellen_Mat&amp;Bem'!$BD$31*($BW33-0.3)+$BW33^2)</f>
        <v>3.1753625226601359</v>
      </c>
      <c r="BY33" s="550">
        <f t="shared" si="29"/>
        <v>0.18533801443588971</v>
      </c>
      <c r="CA33" s="551">
        <f t="shared" si="30"/>
        <v>1339.0671542993032</v>
      </c>
      <c r="CE33" s="546">
        <f t="shared" si="31"/>
        <v>85</v>
      </c>
      <c r="CF33" s="551">
        <f t="shared" si="32"/>
        <v>146.71489193524607</v>
      </c>
      <c r="CG33" s="553">
        <f>CF33/PI()*SQRT('Hilfstabellen_Mat&amp;Bem'!f.Rd.3/'Hilfstabellen_Mat&amp;Bem'!$BD$30)</f>
        <v>2.3350400276687666</v>
      </c>
      <c r="CH33" s="553">
        <f>0.5*(1+'Hilfstabellen_Mat&amp;Bem'!$BD$31*(CG33-0.3)+CG33^2)</f>
        <v>3.3279579667911152</v>
      </c>
      <c r="CI33" s="550">
        <f t="shared" si="33"/>
        <v>0.17546255089507928</v>
      </c>
      <c r="CK33" s="551">
        <f t="shared" si="34"/>
        <v>1267.7169302169477</v>
      </c>
      <c r="CO33" s="546">
        <f t="shared" si="35"/>
        <v>85</v>
      </c>
      <c r="CP33" s="551">
        <f t="shared" si="36"/>
        <v>150.79030560011401</v>
      </c>
      <c r="CQ33" s="553">
        <f>CP33/PI()*SQRT('Hilfstabellen_Mat&amp;Bem'!f.Rd.3/'Hilfstabellen_Mat&amp;Bem'!$BD$30)</f>
        <v>2.3999022506595655</v>
      </c>
      <c r="CR33" s="553">
        <f>0.5*(1+'Hilfstabellen_Mat&amp;Bem'!$BD$31*(CQ33-0.3)+CQ33^2)</f>
        <v>3.4847605188934021</v>
      </c>
      <c r="CS33" s="550">
        <f t="shared" si="37"/>
        <v>0.16634995437904382</v>
      </c>
      <c r="CU33" s="551">
        <f t="shared" si="38"/>
        <v>1201.8784203885916</v>
      </c>
      <c r="CY33" s="546">
        <f t="shared" si="39"/>
        <v>85</v>
      </c>
      <c r="CZ33" s="551">
        <f t="shared" si="40"/>
        <v>154.86571926498195</v>
      </c>
      <c r="DA33" s="553">
        <f>CZ33/PI()*SQRT('Hilfstabellen_Mat&amp;Bem'!f.Rd.3/'Hilfstabellen_Mat&amp;Bem'!$BD$30)</f>
        <v>2.4647644736503644</v>
      </c>
      <c r="DB33" s="553">
        <f>0.5*(1+'Hilfstabellen_Mat&amp;Bem'!$BD$31*(DA33-0.3)+DA33^2)</f>
        <v>3.6457701789669974</v>
      </c>
      <c r="DC33" s="550">
        <f t="shared" si="41"/>
        <v>0.15792452344456701</v>
      </c>
      <c r="DE33" s="551">
        <f t="shared" si="42"/>
        <v>1141.0046818869967</v>
      </c>
      <c r="DI33" s="546">
        <f t="shared" si="43"/>
        <v>85</v>
      </c>
      <c r="DJ33" s="551">
        <f t="shared" si="44"/>
        <v>158.94113292984991</v>
      </c>
      <c r="DK33" s="553">
        <f>DJ33/PI()*SQRT('Hilfstabellen_Mat&amp;Bem'!f.Rd.3/'Hilfstabellen_Mat&amp;Bem'!$BD$30)</f>
        <v>2.5296266966411638</v>
      </c>
      <c r="DL33" s="553">
        <f>0.5*(1+'Hilfstabellen_Mat&amp;Bem'!$BD$31*(DK33-0.3)+DK33^2)</f>
        <v>3.8109869470119015</v>
      </c>
      <c r="DM33" s="550">
        <f t="shared" si="45"/>
        <v>0.15011955937755686</v>
      </c>
      <c r="DO33" s="551">
        <f t="shared" si="46"/>
        <v>1084.6138165028483</v>
      </c>
      <c r="DS33" s="546">
        <f t="shared" si="47"/>
        <v>85</v>
      </c>
      <c r="DT33" s="551">
        <f t="shared" si="48"/>
        <v>163.01654659471785</v>
      </c>
      <c r="DU33" s="553">
        <f>DT33/PI()*SQRT('Hilfstabellen_Mat&amp;Bem'!f.Rd.3/'Hilfstabellen_Mat&amp;Bem'!$BD$30)</f>
        <v>2.5944889196319627</v>
      </c>
      <c r="DV33" s="553">
        <f>0.5*(1+'Hilfstabellen_Mat&amp;Bem'!$BD$31*(DU33-0.3)+DU33^2)</f>
        <v>3.9804108230281128</v>
      </c>
      <c r="DW33" s="550">
        <f t="shared" si="49"/>
        <v>0.14287614411114916</v>
      </c>
      <c r="DY33" s="551">
        <f t="shared" si="50"/>
        <v>1032.2801412030526</v>
      </c>
      <c r="EC33" s="546">
        <f t="shared" si="51"/>
        <v>85</v>
      </c>
      <c r="ED33" s="551">
        <f t="shared" si="52"/>
        <v>167.09196025958579</v>
      </c>
      <c r="EE33" s="553">
        <f>ED33/PI()*SQRT('Hilfstabellen_Mat&amp;Bem'!f.Rd.3/'Hilfstabellen_Mat&amp;Bem'!$BD$30)</f>
        <v>2.6593511426227616</v>
      </c>
      <c r="EF33" s="553">
        <f>0.5*(1+'Hilfstabellen_Mat&amp;Bem'!$BD$31*(EE33-0.3)+EE33^2)</f>
        <v>4.1540418070156315</v>
      </c>
      <c r="EG33" s="550">
        <f t="shared" si="53"/>
        <v>0.13614209973235006</v>
      </c>
      <c r="EI33" s="551">
        <f t="shared" si="54"/>
        <v>983.62667056622922</v>
      </c>
      <c r="EM33" s="546">
        <f t="shared" si="55"/>
        <v>85</v>
      </c>
      <c r="EN33" s="551">
        <f t="shared" si="56"/>
        <v>171.16737392445376</v>
      </c>
      <c r="EO33" s="553">
        <f>EN33/PI()*SQRT('Hilfstabellen_Mat&amp;Bem'!f.Rd.3/'Hilfstabellen_Mat&amp;Bem'!$BD$30)</f>
        <v>2.724213365613561</v>
      </c>
      <c r="EP33" s="553">
        <f>0.5*(1+'Hilfstabellen_Mat&amp;Bem'!$BD$31*(EO33-0.3)+EO33^2)</f>
        <v>4.3318798989744609</v>
      </c>
      <c r="EQ33" s="550">
        <f t="shared" si="57"/>
        <v>0.12987110140614191</v>
      </c>
      <c r="ES33" s="551">
        <f t="shared" si="58"/>
        <v>938.31870765937538</v>
      </c>
    </row>
    <row r="34" spans="3:149">
      <c r="C34" s="546">
        <v>86</v>
      </c>
      <c r="D34" s="551">
        <f t="shared" si="6"/>
        <v>112.78470374867108</v>
      </c>
      <c r="E34" s="553">
        <f>$D34/PI()*SQRT('Hilfstabellen_Mat&amp;Bem'!f.Rd.3/'Hilfstabellen_Mat&amp;Bem'!$BD$30)</f>
        <v>1.7950243106756021</v>
      </c>
      <c r="F34" s="553">
        <f>0.5*(1+'Hilfstabellen_Mat&amp;Bem'!$BD$31*($E34-0.3)+$E34^2)</f>
        <v>2.1858073534919904</v>
      </c>
      <c r="G34" s="550">
        <f t="shared" si="7"/>
        <v>0.29128524581694415</v>
      </c>
      <c r="I34" s="551">
        <f t="shared" si="8"/>
        <v>2154.3456780621191</v>
      </c>
      <c r="M34" s="546">
        <f t="shared" si="9"/>
        <v>86</v>
      </c>
      <c r="N34" s="551">
        <f t="shared" si="0"/>
        <v>116.81272888255218</v>
      </c>
      <c r="O34" s="553">
        <f>$N34/PI()*SQRT('Hilfstabellen_Mat&amp;Bem'!f.Rd.3/'Hilfstabellen_Mat&amp;Bem'!$BD$30)</f>
        <v>1.8591323217711591</v>
      </c>
      <c r="P34" s="553">
        <f>0.5*(1+'Hilfstabellen_Mat&amp;Bem'!$BD$31*($O34-0.3)+$O34^2)</f>
        <v>2.3061431110156683</v>
      </c>
      <c r="Q34" s="550">
        <f t="shared" si="1"/>
        <v>0.27243011640202464</v>
      </c>
      <c r="S34" s="551">
        <f t="shared" si="10"/>
        <v>2014.8931409093741</v>
      </c>
      <c r="W34" s="546">
        <f t="shared" si="11"/>
        <v>86</v>
      </c>
      <c r="X34" s="551">
        <f t="shared" si="2"/>
        <v>120.84075401643328</v>
      </c>
      <c r="Y34" s="553">
        <f>$X34/PI()*SQRT('Hilfstabellen_Mat&amp;Bem'!f.Rd.3/'Hilfstabellen_Mat&amp;Bem'!$BD$30)</f>
        <v>1.9232403328667163</v>
      </c>
      <c r="Z34" s="553">
        <f>0.5*(1+'Hilfstabellen_Mat&amp;Bem'!$BD$31*($Y34-0.3)+$Y34^2)</f>
        <v>2.4305887056259747</v>
      </c>
      <c r="AA34" s="550">
        <f t="shared" si="3"/>
        <v>0.25530861402130306</v>
      </c>
      <c r="AC34" s="551">
        <f t="shared" si="12"/>
        <v>1888.2625093015574</v>
      </c>
      <c r="AG34" s="546">
        <f t="shared" si="13"/>
        <v>86</v>
      </c>
      <c r="AH34" s="551">
        <f t="shared" si="4"/>
        <v>124.8687791503144</v>
      </c>
      <c r="AI34" s="553">
        <f>$AH34/PI()*SQRT('Hilfstabellen_Mat&amp;Bem'!f.Rd.3/'Hilfstabellen_Mat&amp;Bem'!$BD$30)</f>
        <v>1.9873483439622737</v>
      </c>
      <c r="AJ34" s="553">
        <f>0.5*(1+'Hilfstabellen_Mat&amp;Bem'!$BD$31*($AI34-0.3)+$AI34^2)</f>
        <v>2.5591441373229094</v>
      </c>
      <c r="AK34" s="550">
        <f t="shared" si="5"/>
        <v>0.23972238862874157</v>
      </c>
      <c r="AM34" s="551">
        <f t="shared" si="14"/>
        <v>1772.9867862981725</v>
      </c>
      <c r="AQ34" s="546">
        <f t="shared" si="15"/>
        <v>86</v>
      </c>
      <c r="AR34" s="551">
        <f t="shared" si="16"/>
        <v>128.89680428419553</v>
      </c>
      <c r="AS34" s="553">
        <f>$AR34/PI()*SQRT('Hilfstabellen_Mat&amp;Bem'!f.Rd.3/'Hilfstabellen_Mat&amp;Bem'!$BD$30)</f>
        <v>2.0514563550578311</v>
      </c>
      <c r="AT34" s="553">
        <f>0.5*(1+'Hilfstabellen_Mat&amp;Bem'!$BD$31*($AS34-0.3)+$AS34^2)</f>
        <v>2.6918094061064721</v>
      </c>
      <c r="AU34" s="550">
        <f t="shared" si="17"/>
        <v>0.22549881541274711</v>
      </c>
      <c r="AW34" s="551">
        <f t="shared" si="18"/>
        <v>1667.7892387926777</v>
      </c>
      <c r="BA34" s="546">
        <f t="shared" si="19"/>
        <v>86</v>
      </c>
      <c r="BB34" s="551">
        <f t="shared" si="20"/>
        <v>132.92482941807663</v>
      </c>
      <c r="BC34" s="553">
        <f>$BB34/PI()*SQRT('Hilfstabellen_Mat&amp;Bem'!f.Rd.3/'Hilfstabellen_Mat&amp;Bem'!$BD$30)</f>
        <v>2.1155643661533881</v>
      </c>
      <c r="BD34" s="553">
        <f>0.5*(1+'Hilfstabellen_Mat&amp;Bem'!$BD$31*($BC34-0.3)+$BC34^2)</f>
        <v>2.8285845119766626</v>
      </c>
      <c r="BE34" s="550">
        <f t="shared" si="21"/>
        <v>0.21248760703371875</v>
      </c>
      <c r="BG34" s="551">
        <f t="shared" si="22"/>
        <v>1571.5583416213838</v>
      </c>
      <c r="BK34" s="546">
        <f t="shared" si="23"/>
        <v>86</v>
      </c>
      <c r="BL34" s="551">
        <f t="shared" si="24"/>
        <v>136.95285455195773</v>
      </c>
      <c r="BM34" s="553">
        <f>$BL34/PI()*SQRT('Hilfstabellen_Mat&amp;Bem'!f.Rd.3/'Hilfstabellen_Mat&amp;Bem'!$BD$30)</f>
        <v>2.1796723772489455</v>
      </c>
      <c r="BN34" s="553">
        <f>0.5*(1+'Hilfstabellen_Mat&amp;Bem'!$BD$31*($BM34-0.3)+$BM34^2)</f>
        <v>2.9694694549334817</v>
      </c>
      <c r="BO34" s="550">
        <f t="shared" si="25"/>
        <v>0.20055776524122709</v>
      </c>
      <c r="BQ34" s="551">
        <f t="shared" si="26"/>
        <v>1483.3252317241156</v>
      </c>
      <c r="BU34" s="546">
        <f t="shared" si="27"/>
        <v>86</v>
      </c>
      <c r="BV34" s="551">
        <f t="shared" si="28"/>
        <v>140.98087968583883</v>
      </c>
      <c r="BW34" s="553">
        <f>$BV34/PI()*SQRT('Hilfstabellen_Mat&amp;Bem'!f.Rd.3/'Hilfstabellen_Mat&amp;Bem'!$BD$30)</f>
        <v>2.2437803883445024</v>
      </c>
      <c r="BX34" s="553">
        <f>0.5*(1+'Hilfstabellen_Mat&amp;Bem'!$BD$31*($BW34-0.3)+$BW34^2)</f>
        <v>3.1144642349769285</v>
      </c>
      <c r="BY34" s="550">
        <f t="shared" si="29"/>
        <v>0.18959490411379043</v>
      </c>
      <c r="CA34" s="551">
        <f t="shared" si="30"/>
        <v>1402.243910825594</v>
      </c>
      <c r="CE34" s="546">
        <f t="shared" si="31"/>
        <v>86</v>
      </c>
      <c r="CF34" s="551">
        <f t="shared" si="32"/>
        <v>145.00890481971996</v>
      </c>
      <c r="CG34" s="553">
        <f>CF34/PI()*SQRT('Hilfstabellen_Mat&amp;Bem'!f.Rd.3/'Hilfstabellen_Mat&amp;Bem'!$BD$30)</f>
        <v>2.3078883994400599</v>
      </c>
      <c r="CH34" s="553">
        <f>0.5*(1+'Hilfstabellen_Mat&amp;Bem'!$BD$31*(CG34-0.3)+CG34^2)</f>
        <v>3.2635688521070039</v>
      </c>
      <c r="CI34" s="550">
        <f t="shared" si="33"/>
        <v>0.17949893262636188</v>
      </c>
      <c r="CK34" s="551">
        <f t="shared" si="34"/>
        <v>1327.5741057045725</v>
      </c>
      <c r="CO34" s="546">
        <f t="shared" si="35"/>
        <v>86</v>
      </c>
      <c r="CP34" s="551">
        <f t="shared" si="36"/>
        <v>149.03692995360106</v>
      </c>
      <c r="CQ34" s="553">
        <f>CP34/PI()*SQRT('Hilfstabellen_Mat&amp;Bem'!f.Rd.3/'Hilfstabellen_Mat&amp;Bem'!$BD$30)</f>
        <v>2.3719964105356168</v>
      </c>
      <c r="CR34" s="553">
        <f>0.5*(1+'Hilfstabellen_Mat&amp;Bem'!$BD$31*(CQ34-0.3)+CQ34^2)</f>
        <v>3.4167833063237061</v>
      </c>
      <c r="CS34" s="550">
        <f t="shared" si="37"/>
        <v>0.17018206468598612</v>
      </c>
      <c r="CU34" s="551">
        <f t="shared" si="38"/>
        <v>1258.6665504175533</v>
      </c>
      <c r="CY34" s="546">
        <f t="shared" si="39"/>
        <v>86</v>
      </c>
      <c r="CZ34" s="551">
        <f t="shared" si="40"/>
        <v>153.06495508748216</v>
      </c>
      <c r="DA34" s="553">
        <f>CZ34/PI()*SQRT('Hilfstabellen_Mat&amp;Bem'!f.Rd.3/'Hilfstabellen_Mat&amp;Bem'!$BD$30)</f>
        <v>2.4361044216311742</v>
      </c>
      <c r="DB34" s="553">
        <f>0.5*(1+'Hilfstabellen_Mat&amp;Bem'!$BD$31*(DA34-0.3)+DA34^2)</f>
        <v>3.5741075976270378</v>
      </c>
      <c r="DC34" s="550">
        <f t="shared" si="41"/>
        <v>0.16156711811234914</v>
      </c>
      <c r="DE34" s="551">
        <f t="shared" si="42"/>
        <v>1194.9504055589343</v>
      </c>
      <c r="DI34" s="546">
        <f t="shared" si="43"/>
        <v>86</v>
      </c>
      <c r="DJ34" s="551">
        <f t="shared" si="44"/>
        <v>157.09298022136326</v>
      </c>
      <c r="DK34" s="553">
        <f>DJ34/PI()*SQRT('Hilfstabellen_Mat&amp;Bem'!f.Rd.3/'Hilfstabellen_Mat&amp;Bem'!$BD$30)</f>
        <v>2.5002124327267312</v>
      </c>
      <c r="DL34" s="553">
        <f>0.5*(1+'Hilfstabellen_Mat&amp;Bem'!$BD$31*(DK34-0.3)+DK34^2)</f>
        <v>3.7355417260169963</v>
      </c>
      <c r="DM34" s="550">
        <f t="shared" si="45"/>
        <v>0.15358606381659873</v>
      </c>
      <c r="DO34" s="551">
        <f t="shared" si="46"/>
        <v>1135.9225279875641</v>
      </c>
      <c r="DS34" s="546">
        <f t="shared" si="47"/>
        <v>86</v>
      </c>
      <c r="DT34" s="551">
        <f t="shared" si="48"/>
        <v>161.12100535524439</v>
      </c>
      <c r="DU34" s="553">
        <f>DT34/PI()*SQRT('Hilfstabellen_Mat&amp;Bem'!f.Rd.3/'Hilfstabellen_Mat&amp;Bem'!$BD$30)</f>
        <v>2.5643204438222886</v>
      </c>
      <c r="DV34" s="553">
        <f>0.5*(1+'Hilfstabellen_Mat&amp;Bem'!$BD$31*(DU34-0.3)+DU34^2)</f>
        <v>3.9010856914935843</v>
      </c>
      <c r="DW34" s="550">
        <f t="shared" si="49"/>
        <v>0.14617878920448651</v>
      </c>
      <c r="DY34" s="551">
        <f t="shared" si="50"/>
        <v>1081.1383249563823</v>
      </c>
      <c r="EC34" s="546">
        <f t="shared" si="51"/>
        <v>86</v>
      </c>
      <c r="ED34" s="551">
        <f t="shared" si="52"/>
        <v>165.14903048912552</v>
      </c>
      <c r="EE34" s="553">
        <f>ED34/PI()*SQRT('Hilfstabellen_Mat&amp;Bem'!f.Rd.3/'Hilfstabellen_Mat&amp;Bem'!$BD$30)</f>
        <v>2.6284284549178465</v>
      </c>
      <c r="EF34" s="553">
        <f>0.5*(1+'Hilfstabellen_Mat&amp;Bem'!$BD$31*(EE34-0.3)+EE34^2)</f>
        <v>4.0707394940568014</v>
      </c>
      <c r="EG34" s="550">
        <f t="shared" si="53"/>
        <v>0.1392920437850422</v>
      </c>
      <c r="EI34" s="551">
        <f t="shared" si="54"/>
        <v>1030.2039558341721</v>
      </c>
      <c r="EM34" s="546">
        <f t="shared" si="55"/>
        <v>86</v>
      </c>
      <c r="EN34" s="551">
        <f t="shared" si="56"/>
        <v>169.17705562300662</v>
      </c>
      <c r="EO34" s="553">
        <f>EN34/PI()*SQRT('Hilfstabellen_Mat&amp;Bem'!f.Rd.3/'Hilfstabellen_Mat&amp;Bem'!$BD$30)</f>
        <v>2.6925364660134035</v>
      </c>
      <c r="EP34" s="553">
        <f>0.5*(1+'Hilfstabellen_Mat&amp;Bem'!$BD$31*(EO34-0.3)+EO34^2)</f>
        <v>4.2445031337066439</v>
      </c>
      <c r="EQ34" s="550">
        <f t="shared" si="57"/>
        <v>0.13287853917398826</v>
      </c>
      <c r="ES34" s="551">
        <f t="shared" si="58"/>
        <v>982.7696757308172</v>
      </c>
    </row>
    <row r="35" spans="3:149">
      <c r="C35" s="546">
        <v>87</v>
      </c>
      <c r="D35" s="551">
        <f t="shared" si="6"/>
        <v>111.48832784351394</v>
      </c>
      <c r="E35" s="553">
        <f>$D35/PI()*SQRT('Hilfstabellen_Mat&amp;Bem'!f.Rd.3/'Hilfstabellen_Mat&amp;Bem'!$BD$30)</f>
        <v>1.7743918473345035</v>
      </c>
      <c r="F35" s="553">
        <f>0.5*(1+'Hilfstabellen_Mat&amp;Bem'!$BD$31*($E35-0.3)+$E35^2)</f>
        <v>2.1479528063103013</v>
      </c>
      <c r="G35" s="550">
        <f t="shared" si="7"/>
        <v>0.29775891866623166</v>
      </c>
      <c r="I35" s="551">
        <f t="shared" si="8"/>
        <v>2253.7372553847076</v>
      </c>
      <c r="M35" s="546">
        <f t="shared" si="9"/>
        <v>87</v>
      </c>
      <c r="N35" s="551">
        <f t="shared" si="0"/>
        <v>115.47005383792515</v>
      </c>
      <c r="O35" s="553">
        <f>$N35/PI()*SQRT('Hilfstabellen_Mat&amp;Bem'!f.Rd.3/'Hilfstabellen_Mat&amp;Bem'!$BD$30)</f>
        <v>1.8377629847393071</v>
      </c>
      <c r="P35" s="553">
        <f>0.5*(1+'Hilfstabellen_Mat&amp;Bem'!$BD$31*($O35-0.3)+$O35^2)</f>
        <v>2.2655745432759287</v>
      </c>
      <c r="Q35" s="550">
        <f t="shared" si="1"/>
        <v>0.27851192942466541</v>
      </c>
      <c r="S35" s="551">
        <f t="shared" si="10"/>
        <v>2108.0567938152926</v>
      </c>
      <c r="W35" s="546">
        <f t="shared" si="11"/>
        <v>87</v>
      </c>
      <c r="X35" s="551">
        <f t="shared" si="2"/>
        <v>119.45177983233637</v>
      </c>
      <c r="Y35" s="553">
        <f>$X35/PI()*SQRT('Hilfstabellen_Mat&amp;Bem'!f.Rd.3/'Hilfstabellen_Mat&amp;Bem'!$BD$30)</f>
        <v>1.9011341221441107</v>
      </c>
      <c r="Z35" s="553">
        <f>0.5*(1+'Hilfstabellen_Mat&amp;Bem'!$BD$31*($Y35-0.3)+$Y35^2)</f>
        <v>2.3872121812975347</v>
      </c>
      <c r="AA35" s="550">
        <f t="shared" si="3"/>
        <v>0.26102968424490225</v>
      </c>
      <c r="AC35" s="551">
        <f t="shared" si="12"/>
        <v>1975.7336800496651</v>
      </c>
      <c r="AG35" s="546">
        <f t="shared" si="13"/>
        <v>87</v>
      </c>
      <c r="AH35" s="551">
        <f t="shared" si="4"/>
        <v>123.43350582674756</v>
      </c>
      <c r="AI35" s="553">
        <f>$AH35/PI()*SQRT('Hilfstabellen_Mat&amp;Bem'!f.Rd.3/'Hilfstabellen_Mat&amp;Bem'!$BD$30)</f>
        <v>1.9645052595489141</v>
      </c>
      <c r="AJ35" s="553">
        <f>0.5*(1+'Hilfstabellen_Mat&amp;Bem'!$BD$31*($AI35-0.3)+$AI35^2)</f>
        <v>2.5128657203751188</v>
      </c>
      <c r="AK35" s="550">
        <f t="shared" si="5"/>
        <v>0.24511139299444371</v>
      </c>
      <c r="AM35" s="551">
        <f t="shared" si="14"/>
        <v>1855.2481335749444</v>
      </c>
      <c r="AQ35" s="546">
        <f t="shared" si="15"/>
        <v>87</v>
      </c>
      <c r="AR35" s="551">
        <f t="shared" si="16"/>
        <v>127.41523182115877</v>
      </c>
      <c r="AS35" s="553">
        <f>$AR35/PI()*SQRT('Hilfstabellen_Mat&amp;Bem'!f.Rd.3/'Hilfstabellen_Mat&amp;Bem'!$BD$30)</f>
        <v>2.0278763969537179</v>
      </c>
      <c r="AT35" s="553">
        <f>0.5*(1+'Hilfstabellen_Mat&amp;Bem'!$BD$31*($AS35-0.3)+$AS35^2)</f>
        <v>2.6425351605086824</v>
      </c>
      <c r="AU35" s="550">
        <f t="shared" si="17"/>
        <v>0.23058200068741272</v>
      </c>
      <c r="AW35" s="551">
        <f t="shared" si="18"/>
        <v>1745.275163203027</v>
      </c>
      <c r="BA35" s="546">
        <f t="shared" si="19"/>
        <v>87</v>
      </c>
      <c r="BB35" s="551">
        <f t="shared" si="20"/>
        <v>131.39695781556998</v>
      </c>
      <c r="BC35" s="553">
        <f>$BB35/PI()*SQRT('Hilfstabellen_Mat&amp;Bem'!f.Rd.3/'Hilfstabellen_Mat&amp;Bem'!$BD$30)</f>
        <v>2.0912475343585215</v>
      </c>
      <c r="BD35" s="553">
        <f>0.5*(1+'Hilfstabellen_Mat&amp;Bem'!$BD$31*($BC35-0.3)+$BC35^2)</f>
        <v>2.7762205016982238</v>
      </c>
      <c r="BE35" s="550">
        <f t="shared" si="21"/>
        <v>0.21728889828158771</v>
      </c>
      <c r="BG35" s="551">
        <f t="shared" si="22"/>
        <v>1644.6596710933372</v>
      </c>
      <c r="BK35" s="546">
        <f t="shared" si="23"/>
        <v>87</v>
      </c>
      <c r="BL35" s="551">
        <f t="shared" si="24"/>
        <v>135.3786838099812</v>
      </c>
      <c r="BM35" s="553">
        <f>$BL35/PI()*SQRT('Hilfstabellen_Mat&amp;Bem'!f.Rd.3/'Hilfstabellen_Mat&amp;Bem'!$BD$30)</f>
        <v>2.1546186717633251</v>
      </c>
      <c r="BN35" s="553">
        <f>0.5*(1+'Hilfstabellen_Mat&amp;Bem'!$BD$31*($BM35-0.3)+$BM35^2)</f>
        <v>2.9139217439437441</v>
      </c>
      <c r="BO35" s="550">
        <f t="shared" si="25"/>
        <v>0.20509892248294967</v>
      </c>
      <c r="BQ35" s="551">
        <f t="shared" si="26"/>
        <v>1552.3937442734461</v>
      </c>
      <c r="BU35" s="546">
        <f t="shared" si="27"/>
        <v>87</v>
      </c>
      <c r="BV35" s="551">
        <f t="shared" si="28"/>
        <v>139.36040980439242</v>
      </c>
      <c r="BW35" s="553">
        <f>$BV35/PI()*SQRT('Hilfstabellen_Mat&amp;Bem'!f.Rd.3/'Hilfstabellen_Mat&amp;Bem'!$BD$30)</f>
        <v>2.2179898091681287</v>
      </c>
      <c r="BX35" s="553">
        <f>0.5*(1+'Hilfstabellen_Mat&amp;Bem'!$BD$31*($BW35-0.3)+$BW35^2)</f>
        <v>3.0556388872452427</v>
      </c>
      <c r="BY35" s="550">
        <f t="shared" si="29"/>
        <v>0.19389569809126755</v>
      </c>
      <c r="CA35" s="551">
        <f t="shared" si="30"/>
        <v>1467.5965388528041</v>
      </c>
      <c r="CE35" s="546">
        <f t="shared" si="31"/>
        <v>87</v>
      </c>
      <c r="CF35" s="551">
        <f t="shared" si="32"/>
        <v>143.34213579880364</v>
      </c>
      <c r="CG35" s="553">
        <f>CF35/PI()*SQRT('Hilfstabellen_Mat&amp;Bem'!f.Rd.3/'Hilfstabellen_Mat&amp;Bem'!$BD$30)</f>
        <v>2.2813609465729328</v>
      </c>
      <c r="CH35" s="553">
        <f>0.5*(1+'Hilfstabellen_Mat&amp;Bem'!$BD$31*(CG35-0.3)+CG35^2)</f>
        <v>3.2013719316027207</v>
      </c>
      <c r="CI35" s="550">
        <f t="shared" si="33"/>
        <v>0.18357732316929629</v>
      </c>
      <c r="CK35" s="551">
        <f t="shared" si="34"/>
        <v>1389.4967590684037</v>
      </c>
      <c r="CO35" s="546">
        <f t="shared" si="35"/>
        <v>87</v>
      </c>
      <c r="CP35" s="551">
        <f t="shared" si="36"/>
        <v>147.32386179321486</v>
      </c>
      <c r="CQ35" s="553">
        <f>CP35/PI()*SQRT('Hilfstabellen_Mat&amp;Bem'!f.Rd.3/'Hilfstabellen_Mat&amp;Bem'!$BD$30)</f>
        <v>2.3447320839777368</v>
      </c>
      <c r="CR35" s="553">
        <f>0.5*(1+'Hilfstabellen_Mat&amp;Bem'!$BD$31*(CQ35-0.3)+CQ35^2)</f>
        <v>3.3511208770161773</v>
      </c>
      <c r="CS35" s="550">
        <f t="shared" si="37"/>
        <v>0.17405437263405443</v>
      </c>
      <c r="CU35" s="551">
        <f t="shared" si="38"/>
        <v>1317.417546467158</v>
      </c>
      <c r="CY35" s="546">
        <f t="shared" si="39"/>
        <v>87</v>
      </c>
      <c r="CZ35" s="551">
        <f t="shared" si="40"/>
        <v>151.30558778762605</v>
      </c>
      <c r="DA35" s="553">
        <f>CZ35/PI()*SQRT('Hilfstabellen_Mat&amp;Bem'!f.Rd.3/'Hilfstabellen_Mat&amp;Bem'!$BD$30)</f>
        <v>2.40810322138254</v>
      </c>
      <c r="DB35" s="553">
        <f>0.5*(1+'Hilfstabellen_Mat&amp;Bem'!$BD$31*(DA35-0.3)+DA35^2)</f>
        <v>3.5048857234856103</v>
      </c>
      <c r="DC35" s="550">
        <f t="shared" si="41"/>
        <v>0.16524818616692194</v>
      </c>
      <c r="DE35" s="551">
        <f t="shared" si="42"/>
        <v>1250.7635210974322</v>
      </c>
      <c r="DI35" s="546">
        <f t="shared" si="43"/>
        <v>87</v>
      </c>
      <c r="DJ35" s="551">
        <f t="shared" si="44"/>
        <v>155.28731378203727</v>
      </c>
      <c r="DK35" s="553">
        <f>DJ35/PI()*SQRT('Hilfstabellen_Mat&amp;Bem'!f.Rd.3/'Hilfstabellen_Mat&amp;Bem'!$BD$30)</f>
        <v>2.471474358787344</v>
      </c>
      <c r="DL35" s="553">
        <f>0.5*(1+'Hilfstabellen_Mat&amp;Bem'!$BD$31*(DK35-0.3)+DK35^2)</f>
        <v>3.6626664710110237</v>
      </c>
      <c r="DM35" s="550">
        <f t="shared" si="45"/>
        <v>0.1570894042982533</v>
      </c>
      <c r="DO35" s="551">
        <f t="shared" si="46"/>
        <v>1189.0097011334792</v>
      </c>
      <c r="DS35" s="546">
        <f t="shared" si="47"/>
        <v>87</v>
      </c>
      <c r="DT35" s="551">
        <f t="shared" si="48"/>
        <v>159.26903977644847</v>
      </c>
      <c r="DU35" s="553">
        <f>DT35/PI()*SQRT('Hilfstabellen_Mat&amp;Bem'!f.Rd.3/'Hilfstabellen_Mat&amp;Bem'!$BD$30)</f>
        <v>2.5348454961921476</v>
      </c>
      <c r="DV35" s="553">
        <f>0.5*(1+'Hilfstabellen_Mat&amp;Bem'!$BD$31*(DU35-0.3)+DU35^2)</f>
        <v>3.8244631195924148</v>
      </c>
      <c r="DW35" s="550">
        <f t="shared" si="49"/>
        <v>0.14951671820092299</v>
      </c>
      <c r="DY35" s="551">
        <f t="shared" si="50"/>
        <v>1131.6920400627862</v>
      </c>
      <c r="EC35" s="546">
        <f t="shared" si="51"/>
        <v>87</v>
      </c>
      <c r="ED35" s="551">
        <f t="shared" si="52"/>
        <v>163.25076577085969</v>
      </c>
      <c r="EE35" s="553">
        <f>ED35/PI()*SQRT('Hilfstabellen_Mat&amp;Bem'!f.Rd.3/'Hilfstabellen_Mat&amp;Bem'!$BD$30)</f>
        <v>2.5982166335969512</v>
      </c>
      <c r="EF35" s="553">
        <f>0.5*(1+'Hilfstabellen_Mat&amp;Bem'!$BD$31*(EE35-0.3)+EE35^2)</f>
        <v>3.9902756692297845</v>
      </c>
      <c r="EG35" s="550">
        <f t="shared" si="53"/>
        <v>0.14247580202212129</v>
      </c>
      <c r="EI35" s="551">
        <f t="shared" si="54"/>
        <v>1078.399345505436</v>
      </c>
      <c r="EM35" s="546">
        <f t="shared" si="55"/>
        <v>87</v>
      </c>
      <c r="EN35" s="551">
        <f t="shared" si="56"/>
        <v>167.23249176527091</v>
      </c>
      <c r="EO35" s="553">
        <f>EN35/PI()*SQRT('Hilfstabellen_Mat&amp;Bem'!f.Rd.3/'Hilfstabellen_Mat&amp;Bem'!$BD$30)</f>
        <v>2.6615877710017548</v>
      </c>
      <c r="EP35" s="553">
        <f>0.5*(1+'Hilfstabellen_Mat&amp;Bem'!$BD$31*(EO35-0.3)+EO35^2)</f>
        <v>4.1601041199231323</v>
      </c>
      <c r="EQ35" s="550">
        <f t="shared" si="57"/>
        <v>0.13591840039270667</v>
      </c>
      <c r="ES35" s="551">
        <f t="shared" si="58"/>
        <v>1028.7663725723967</v>
      </c>
    </row>
    <row r="36" spans="3:149">
      <c r="C36" s="546">
        <v>88</v>
      </c>
      <c r="D36" s="551">
        <f t="shared" si="6"/>
        <v>110.22141502711037</v>
      </c>
      <c r="E36" s="553">
        <f>$D36/PI()*SQRT('Hilfstabellen_Mat&amp;Bem'!f.Rd.3/'Hilfstabellen_Mat&amp;Bem'!$BD$30)</f>
        <v>1.754228303614793</v>
      </c>
      <c r="F36" s="553">
        <f>0.5*(1+'Hilfstabellen_Mat&amp;Bem'!$BD$31*($E36-0.3)+$E36^2)</f>
        <v>2.1113698857823566</v>
      </c>
      <c r="G36" s="550">
        <f t="shared" si="7"/>
        <v>0.30428944197667712</v>
      </c>
      <c r="I36" s="551">
        <f t="shared" si="8"/>
        <v>2356.4174386673876</v>
      </c>
      <c r="M36" s="546">
        <f t="shared" si="9"/>
        <v>88</v>
      </c>
      <c r="N36" s="551">
        <f t="shared" si="0"/>
        <v>114.15789413522144</v>
      </c>
      <c r="O36" s="553">
        <f>$N36/PI()*SQRT('Hilfstabellen_Mat&amp;Bem'!f.Rd.3/'Hilfstabellen_Mat&amp;Bem'!$BD$30)</f>
        <v>1.8168793144581781</v>
      </c>
      <c r="P36" s="553">
        <f>0.5*(1+'Hilfstabellen_Mat&amp;Bem'!$BD$31*($O36-0.3)+$O36^2)</f>
        <v>2.2263691873759184</v>
      </c>
      <c r="Q36" s="550">
        <f t="shared" si="1"/>
        <v>0.284649101868171</v>
      </c>
      <c r="S36" s="551">
        <f t="shared" si="10"/>
        <v>2204.3226448671162</v>
      </c>
      <c r="W36" s="546">
        <f t="shared" si="11"/>
        <v>88</v>
      </c>
      <c r="X36" s="551">
        <f t="shared" si="2"/>
        <v>118.09437324333254</v>
      </c>
      <c r="Y36" s="553">
        <f>$X36/PI()*SQRT('Hilfstabellen_Mat&amp;Bem'!f.Rd.3/'Hilfstabellen_Mat&amp;Bem'!$BD$30)</f>
        <v>1.8795303253015641</v>
      </c>
      <c r="Z36" s="553">
        <f>0.5*(1+'Hilfstabellen_Mat&amp;Bem'!$BD$31*($Y36-0.3)+$Y36^2)</f>
        <v>2.3452936381291796</v>
      </c>
      <c r="AA36" s="550">
        <f t="shared" si="3"/>
        <v>0.2668043247232692</v>
      </c>
      <c r="AC36" s="551">
        <f t="shared" si="12"/>
        <v>2066.1326906569966</v>
      </c>
      <c r="AG36" s="546">
        <f t="shared" si="13"/>
        <v>88</v>
      </c>
      <c r="AH36" s="551">
        <f t="shared" si="4"/>
        <v>122.03085235144361</v>
      </c>
      <c r="AI36" s="553">
        <f>$AH36/PI()*SQRT('Hilfstabellen_Mat&amp;Bem'!f.Rd.3/'Hilfstabellen_Mat&amp;Bem'!$BD$30)</f>
        <v>1.9421813361449491</v>
      </c>
      <c r="AJ36" s="553">
        <f>0.5*(1+'Hilfstabellen_Mat&amp;Bem'!$BD$31*($AI36-0.3)+$AI36^2)</f>
        <v>2.4681432380421375</v>
      </c>
      <c r="AK36" s="550">
        <f t="shared" si="5"/>
        <v>0.25055202051002162</v>
      </c>
      <c r="AM36" s="551">
        <f t="shared" si="14"/>
        <v>1940.2748468296074</v>
      </c>
      <c r="AQ36" s="546">
        <f t="shared" si="15"/>
        <v>88</v>
      </c>
      <c r="AR36" s="551">
        <f t="shared" si="16"/>
        <v>125.96733145955471</v>
      </c>
      <c r="AS36" s="553">
        <f>$AR36/PI()*SQRT('Hilfstabellen_Mat&amp;Bem'!f.Rd.3/'Hilfstabellen_Mat&amp;Bem'!$BD$30)</f>
        <v>2.0048323469883349</v>
      </c>
      <c r="AT36" s="553">
        <f>0.5*(1+'Hilfstabellen_Mat&amp;Bem'!$BD$31*($AS36-0.3)+$AS36^2)</f>
        <v>2.5949179871147945</v>
      </c>
      <c r="AU36" s="550">
        <f t="shared" si="17"/>
        <v>0.23571479564656136</v>
      </c>
      <c r="AW36" s="551">
        <f t="shared" si="18"/>
        <v>1825.3753774869713</v>
      </c>
      <c r="BA36" s="546">
        <f t="shared" si="19"/>
        <v>88</v>
      </c>
      <c r="BB36" s="551">
        <f t="shared" si="20"/>
        <v>129.9038105676658</v>
      </c>
      <c r="BC36" s="553">
        <f>$BB36/PI()*SQRT('Hilfstabellen_Mat&amp;Bem'!f.Rd.3/'Hilfstabellen_Mat&amp;Bem'!$BD$30)</f>
        <v>2.0674833578317204</v>
      </c>
      <c r="BD36" s="553">
        <f>0.5*(1+'Hilfstabellen_Mat&amp;Bem'!$BD$31*($BC36-0.3)+$BC36^2)</f>
        <v>2.7256178853471487</v>
      </c>
      <c r="BE36" s="550">
        <f t="shared" si="21"/>
        <v>0.22213777898364473</v>
      </c>
      <c r="BG36" s="551">
        <f t="shared" si="22"/>
        <v>1720.2349604493447</v>
      </c>
      <c r="BK36" s="546">
        <f t="shared" si="23"/>
        <v>88</v>
      </c>
      <c r="BL36" s="551">
        <f t="shared" si="24"/>
        <v>133.84028967577686</v>
      </c>
      <c r="BM36" s="553">
        <f>$BL36/PI()*SQRT('Hilfstabellen_Mat&amp;Bem'!f.Rd.3/'Hilfstabellen_Mat&amp;Bem'!$BD$30)</f>
        <v>2.1301343686751055</v>
      </c>
      <c r="BN36" s="553">
        <f>0.5*(1+'Hilfstabellen_Mat&amp;Bem'!$BD$31*($BM36-0.3)+$BM36^2)</f>
        <v>2.8602429327392001</v>
      </c>
      <c r="BO36" s="550">
        <f t="shared" si="25"/>
        <v>0.20968568053889369</v>
      </c>
      <c r="BQ36" s="551">
        <f t="shared" si="26"/>
        <v>1623.8059100931928</v>
      </c>
      <c r="BU36" s="546">
        <f t="shared" si="27"/>
        <v>88</v>
      </c>
      <c r="BV36" s="551">
        <f t="shared" si="28"/>
        <v>137.77676878388797</v>
      </c>
      <c r="BW36" s="553">
        <f>$BV36/PI()*SQRT('Hilfstabellen_Mat&amp;Bem'!f.Rd.3/'Hilfstabellen_Mat&amp;Bem'!$BD$30)</f>
        <v>2.1927853795184915</v>
      </c>
      <c r="BX36" s="553">
        <f>0.5*(1+'Hilfstabellen_Mat&amp;Bem'!$BD$31*($BW36-0.3)+$BW36^2)</f>
        <v>2.9987931292909518</v>
      </c>
      <c r="BY36" s="550">
        <f t="shared" si="29"/>
        <v>0.19824015997863076</v>
      </c>
      <c r="CA36" s="551">
        <f t="shared" si="30"/>
        <v>1535.1717988745165</v>
      </c>
      <c r="CE36" s="546">
        <f t="shared" si="31"/>
        <v>88</v>
      </c>
      <c r="CF36" s="551">
        <f t="shared" si="32"/>
        <v>141.71324789199903</v>
      </c>
      <c r="CG36" s="553">
        <f>CF36/PI()*SQRT('Hilfstabellen_Mat&amp;Bem'!f.Rd.3/'Hilfstabellen_Mat&amp;Bem'!$BD$30)</f>
        <v>2.2554363903618766</v>
      </c>
      <c r="CH36" s="553">
        <f>0.5*(1+'Hilfstabellen_Mat&amp;Bem'!$BD$31*(CG36-0.3)+CG36^2)</f>
        <v>3.1412684750023994</v>
      </c>
      <c r="CI36" s="550">
        <f t="shared" si="33"/>
        <v>0.18769751904496917</v>
      </c>
      <c r="CK36" s="551">
        <f t="shared" si="34"/>
        <v>1453.5295874842413</v>
      </c>
      <c r="CO36" s="546">
        <f t="shared" si="35"/>
        <v>88</v>
      </c>
      <c r="CP36" s="551">
        <f t="shared" si="36"/>
        <v>145.64972700011012</v>
      </c>
      <c r="CQ36" s="553">
        <f>CP36/PI()*SQRT('Hilfstabellen_Mat&amp;Bem'!f.Rd.3/'Hilfstabellen_Mat&amp;Bem'!$BD$30)</f>
        <v>2.3180874012052621</v>
      </c>
      <c r="CR36" s="553">
        <f>0.5*(1+'Hilfstabellen_Mat&amp;Bem'!$BD$31*(CQ36-0.3)+CQ36^2)</f>
        <v>3.287668969873546</v>
      </c>
      <c r="CS36" s="550">
        <f t="shared" si="37"/>
        <v>0.17796670181955543</v>
      </c>
      <c r="CU36" s="551">
        <f t="shared" si="38"/>
        <v>1378.1741388906373</v>
      </c>
      <c r="CY36" s="546">
        <f t="shared" si="39"/>
        <v>88</v>
      </c>
      <c r="CZ36" s="551">
        <f t="shared" si="40"/>
        <v>149.58620610822121</v>
      </c>
      <c r="DA36" s="553">
        <f>CZ36/PI()*SQRT('Hilfstabellen_Mat&amp;Bem'!f.Rd.3/'Hilfstabellen_Mat&amp;Bem'!$BD$30)</f>
        <v>2.3807384120486477</v>
      </c>
      <c r="DB36" s="553">
        <f>0.5*(1+'Hilfstabellen_Mat&amp;Bem'!$BD$31*(DA36-0.3)+DA36^2)</f>
        <v>3.4379946139043907</v>
      </c>
      <c r="DC36" s="550">
        <f t="shared" si="41"/>
        <v>0.16896757366913151</v>
      </c>
      <c r="DE36" s="551">
        <f t="shared" si="42"/>
        <v>1308.4848904937544</v>
      </c>
      <c r="DI36" s="546">
        <f t="shared" si="43"/>
        <v>88</v>
      </c>
      <c r="DJ36" s="551">
        <f t="shared" si="44"/>
        <v>153.52268521633229</v>
      </c>
      <c r="DK36" s="553">
        <f>DJ36/PI()*SQRT('Hilfstabellen_Mat&amp;Bem'!f.Rd.3/'Hilfstabellen_Mat&amp;Bem'!$BD$30)</f>
        <v>2.4433894228920328</v>
      </c>
      <c r="DL36" s="553">
        <f>0.5*(1+'Hilfstabellen_Mat&amp;Bem'!$BD$31*(DK36-0.3)+DK36^2)</f>
        <v>3.5922454070949321</v>
      </c>
      <c r="DM36" s="550">
        <f t="shared" si="45"/>
        <v>0.16062944566995455</v>
      </c>
      <c r="DO36" s="551">
        <f t="shared" si="46"/>
        <v>1243.9144272681281</v>
      </c>
      <c r="DS36" s="546">
        <f t="shared" si="47"/>
        <v>88</v>
      </c>
      <c r="DT36" s="551">
        <f t="shared" si="48"/>
        <v>157.45916432444338</v>
      </c>
      <c r="DU36" s="553">
        <f>DT36/PI()*SQRT('Hilfstabellen_Mat&amp;Bem'!f.Rd.3/'Hilfstabellen_Mat&amp;Bem'!$BD$30)</f>
        <v>2.5060404337354183</v>
      </c>
      <c r="DV36" s="553">
        <f>0.5*(1+'Hilfstabellen_Mat&amp;Bem'!$BD$31*(DU36-0.3)+DU36^2)</f>
        <v>3.7504213494451726</v>
      </c>
      <c r="DW36" s="550">
        <f t="shared" si="49"/>
        <v>0.15288981177425243</v>
      </c>
      <c r="DY36" s="551">
        <f t="shared" si="50"/>
        <v>1183.9787023798108</v>
      </c>
      <c r="EC36" s="546">
        <f t="shared" si="51"/>
        <v>88</v>
      </c>
      <c r="ED36" s="551">
        <f t="shared" si="52"/>
        <v>161.39564343255446</v>
      </c>
      <c r="EE36" s="553">
        <f>ED36/PI()*SQRT('Hilfstabellen_Mat&amp;Bem'!f.Rd.3/'Hilfstabellen_Mat&amp;Bem'!$BD$30)</f>
        <v>2.5686914445788038</v>
      </c>
      <c r="EF36" s="553">
        <f>0.5*(1+'Hilfstabellen_Mat&amp;Bem'!$BD$31*(EE36-0.3)+EE36^2)</f>
        <v>3.9125224409551116</v>
      </c>
      <c r="EG36" s="550">
        <f t="shared" si="53"/>
        <v>0.1456932685412331</v>
      </c>
      <c r="EI36" s="551">
        <f t="shared" si="54"/>
        <v>1128.248671583309</v>
      </c>
      <c r="EM36" s="546">
        <f t="shared" si="55"/>
        <v>88</v>
      </c>
      <c r="EN36" s="551">
        <f t="shared" si="56"/>
        <v>165.33212254066555</v>
      </c>
      <c r="EO36" s="553">
        <f>EN36/PI()*SQRT('Hilfstabellen_Mat&amp;Bem'!f.Rd.3/'Hilfstabellen_Mat&amp;Bem'!$BD$30)</f>
        <v>2.6313424554221894</v>
      </c>
      <c r="EP36" s="553">
        <f>0.5*(1+'Hilfstabellen_Mat&amp;Bem'!$BD$31*(EO36-0.3)+EO36^2)</f>
        <v>4.0785486816247474</v>
      </c>
      <c r="EQ36" s="550">
        <f t="shared" si="57"/>
        <v>0.13899059061867322</v>
      </c>
      <c r="ES36" s="551">
        <f t="shared" si="58"/>
        <v>1076.3431337510053</v>
      </c>
    </row>
    <row r="37" spans="3:149">
      <c r="C37" s="546">
        <v>89</v>
      </c>
      <c r="D37" s="551">
        <f t="shared" si="6"/>
        <v>108.98297216163721</v>
      </c>
      <c r="E37" s="553">
        <f>$D37/PI()*SQRT('Hilfstabellen_Mat&amp;Bem'!f.Rd.3/'Hilfstabellen_Mat&amp;Bem'!$BD$30)</f>
        <v>1.7345178732370983</v>
      </c>
      <c r="F37" s="553">
        <f>0.5*(1+'Hilfstabellen_Mat&amp;Bem'!$BD$31*($E37-0.3)+$E37^2)</f>
        <v>2.076002019951328</v>
      </c>
      <c r="G37" s="550">
        <f t="shared" si="7"/>
        <v>0.31087590232194978</v>
      </c>
      <c r="I37" s="551">
        <f t="shared" si="8"/>
        <v>2462.4480222921643</v>
      </c>
      <c r="M37" s="546">
        <f t="shared" si="9"/>
        <v>89</v>
      </c>
      <c r="N37" s="551">
        <f t="shared" si="0"/>
        <v>112.87522116740998</v>
      </c>
      <c r="O37" s="553">
        <f>$N37/PI()*SQRT('Hilfstabellen_Mat&amp;Bem'!f.Rd.3/'Hilfstabellen_Mat&amp;Bem'!$BD$30)</f>
        <v>1.7964649401384236</v>
      </c>
      <c r="P37" s="553">
        <f>0.5*(1+'Hilfstabellen_Mat&amp;Bem'!$BD$31*($O37-0.3)+$O37^2)</f>
        <v>2.1884663875801964</v>
      </c>
      <c r="Q37" s="550">
        <f t="shared" si="1"/>
        <v>0.29084090370142029</v>
      </c>
      <c r="S37" s="551">
        <f t="shared" si="10"/>
        <v>2303.75079821895</v>
      </c>
      <c r="W37" s="546">
        <f t="shared" si="11"/>
        <v>89</v>
      </c>
      <c r="X37" s="551">
        <f t="shared" si="2"/>
        <v>116.76747017318274</v>
      </c>
      <c r="Y37" s="553">
        <f>$X37/PI()*SQRT('Hilfstabellen_Mat&amp;Bem'!f.Rd.3/'Hilfstabellen_Mat&amp;Bem'!$BD$30)</f>
        <v>1.8584120070397487</v>
      </c>
      <c r="Z37" s="553">
        <f>0.5*(1+'Hilfstabellen_Mat&amp;Bem'!$BD$31*($Y37-0.3)+$Y37^2)</f>
        <v>2.3047681943067411</v>
      </c>
      <c r="AA37" s="550">
        <f t="shared" si="3"/>
        <v>0.27263194410341612</v>
      </c>
      <c r="AC37" s="551">
        <f t="shared" si="12"/>
        <v>2159.5176292431593</v>
      </c>
      <c r="AG37" s="546">
        <f t="shared" si="13"/>
        <v>89</v>
      </c>
      <c r="AH37" s="551">
        <f t="shared" si="4"/>
        <v>120.6597191789555</v>
      </c>
      <c r="AI37" s="553">
        <f>$AH37/PI()*SQRT('Hilfstabellen_Mat&amp;Bem'!f.Rd.3/'Hilfstabellen_Mat&amp;Bem'!$BD$30)</f>
        <v>1.9203590739410736</v>
      </c>
      <c r="AJ37" s="553">
        <f>0.5*(1+'Hilfstabellen_Mat&amp;Bem'!$BD$31*($AI37-0.3)+$AI37^2)</f>
        <v>2.4249074401309629</v>
      </c>
      <c r="AK37" s="550">
        <f t="shared" si="5"/>
        <v>0.25604378624207214</v>
      </c>
      <c r="AM37" s="551">
        <f t="shared" si="14"/>
        <v>2028.1228308234533</v>
      </c>
      <c r="AQ37" s="546">
        <f t="shared" si="15"/>
        <v>89</v>
      </c>
      <c r="AR37" s="551">
        <f t="shared" si="16"/>
        <v>124.55196818472825</v>
      </c>
      <c r="AS37" s="553">
        <f>$AR37/PI()*SQRT('Hilfstabellen_Mat&amp;Bem'!f.Rd.3/'Hilfstabellen_Mat&amp;Bem'!$BD$30)</f>
        <v>1.9823061408423985</v>
      </c>
      <c r="AT37" s="553">
        <f>0.5*(1+'Hilfstabellen_Mat&amp;Bem'!$BD$31*($AS37-0.3)+$AS37^2)</f>
        <v>2.5488841250528615</v>
      </c>
      <c r="AU37" s="550">
        <f t="shared" si="17"/>
        <v>0.24089679814741344</v>
      </c>
      <c r="AW37" s="551">
        <f t="shared" si="18"/>
        <v>1908.1435381256617</v>
      </c>
      <c r="BA37" s="546">
        <f t="shared" si="19"/>
        <v>89</v>
      </c>
      <c r="BB37" s="551">
        <f t="shared" si="20"/>
        <v>128.44421719050101</v>
      </c>
      <c r="BC37" s="553">
        <f>$BB37/PI()*SQRT('Hilfstabellen_Mat&amp;Bem'!f.Rd.3/'Hilfstabellen_Mat&amp;Bem'!$BD$30)</f>
        <v>2.0442532077437234</v>
      </c>
      <c r="BD37" s="553">
        <f>0.5*(1+'Hilfstabellen_Mat&amp;Bem'!$BD$31*($BC37-0.3)+$BC37^2)</f>
        <v>2.6766982490724374</v>
      </c>
      <c r="BE37" s="550">
        <f t="shared" si="21"/>
        <v>0.22703391222701919</v>
      </c>
      <c r="BG37" s="551">
        <f t="shared" si="22"/>
        <v>1798.3356187502191</v>
      </c>
      <c r="BK37" s="546">
        <f t="shared" si="23"/>
        <v>89</v>
      </c>
      <c r="BL37" s="551">
        <f t="shared" si="24"/>
        <v>132.33646619627376</v>
      </c>
      <c r="BM37" s="553">
        <f>$BL37/PI()*SQRT('Hilfstabellen_Mat&amp;Bem'!f.Rd.3/'Hilfstabellen_Mat&amp;Bem'!$BD$30)</f>
        <v>2.1062002746450483</v>
      </c>
      <c r="BN37" s="553">
        <f>0.5*(1+'Hilfstabellen_Mat&amp;Bem'!$BD$31*($BM37-0.3)+$BM37^2)</f>
        <v>2.8083498121896908</v>
      </c>
      <c r="BO37" s="550">
        <f t="shared" si="25"/>
        <v>0.21431775449593618</v>
      </c>
      <c r="BQ37" s="551">
        <f t="shared" si="26"/>
        <v>1697.6109333623106</v>
      </c>
      <c r="BU37" s="546">
        <f t="shared" si="27"/>
        <v>89</v>
      </c>
      <c r="BV37" s="551">
        <f t="shared" si="28"/>
        <v>136.22871520204654</v>
      </c>
      <c r="BW37" s="553">
        <f>$BV37/PI()*SQRT('Hilfstabellen_Mat&amp;Bem'!f.Rd.3/'Hilfstabellen_Mat&amp;Bem'!$BD$30)</f>
        <v>2.1681473415463737</v>
      </c>
      <c r="BX37" s="553">
        <f>0.5*(1+'Hilfstabellen_Mat&amp;Bem'!$BD$31*($BW37-0.3)+$BW37^2)</f>
        <v>2.9438388144046224</v>
      </c>
      <c r="BY37" s="550">
        <f t="shared" si="29"/>
        <v>0.2026280467668912</v>
      </c>
      <c r="CA37" s="551">
        <f t="shared" si="30"/>
        <v>1605.0167584405451</v>
      </c>
      <c r="CE37" s="546">
        <f t="shared" si="31"/>
        <v>89</v>
      </c>
      <c r="CF37" s="551">
        <f t="shared" si="32"/>
        <v>140.1209642078193</v>
      </c>
      <c r="CG37" s="553">
        <f>CF37/PI()*SQRT('Hilfstabellen_Mat&amp;Bem'!f.Rd.3/'Hilfstabellen_Mat&amp;Bem'!$BD$30)</f>
        <v>2.2300944084476986</v>
      </c>
      <c r="CH37" s="553">
        <f>0.5*(1+'Hilfstabellen_Mat&amp;Bem'!$BD$31*(CG37-0.3)+CG37^2)</f>
        <v>3.0831652557172302</v>
      </c>
      <c r="CI37" s="550">
        <f t="shared" si="33"/>
        <v>0.19185931135248721</v>
      </c>
      <c r="CK37" s="551">
        <f t="shared" si="34"/>
        <v>1519.7176052230511</v>
      </c>
      <c r="CO37" s="546">
        <f t="shared" si="35"/>
        <v>89</v>
      </c>
      <c r="CP37" s="551">
        <f t="shared" si="36"/>
        <v>144.01321321359205</v>
      </c>
      <c r="CQ37" s="553">
        <f>CP37/PI()*SQRT('Hilfstabellen_Mat&amp;Bem'!f.Rd.3/'Hilfstabellen_Mat&amp;Bem'!$BD$30)</f>
        <v>2.2920414753490235</v>
      </c>
      <c r="CR37" s="553">
        <f>0.5*(1+'Hilfstabellen_Mat&amp;Bem'!$BD$31*(CQ37-0.3)+CQ37^2)</f>
        <v>3.2263291361275153</v>
      </c>
      <c r="CS37" s="550">
        <f t="shared" si="37"/>
        <v>0.18191887136222715</v>
      </c>
      <c r="CU37" s="551">
        <f t="shared" si="38"/>
        <v>1440.9793800602013</v>
      </c>
      <c r="CY37" s="546">
        <f t="shared" si="39"/>
        <v>89</v>
      </c>
      <c r="CZ37" s="551">
        <f t="shared" si="40"/>
        <v>147.90546221936481</v>
      </c>
      <c r="DA37" s="553">
        <f>CZ37/PI()*SQRT('Hilfstabellen_Mat&amp;Bem'!f.Rd.3/'Hilfstabellen_Mat&amp;Bem'!$BD$30)</f>
        <v>2.3539885422503484</v>
      </c>
      <c r="DB37" s="553">
        <f>0.5*(1+'Hilfstabellen_Mat&amp;Bem'!$BD$31*(DA37-0.3)+DA37^2)</f>
        <v>3.373330455635478</v>
      </c>
      <c r="DC37" s="550">
        <f t="shared" si="41"/>
        <v>0.17272512295658968</v>
      </c>
      <c r="DE37" s="551">
        <f t="shared" si="42"/>
        <v>1368.1556989391468</v>
      </c>
      <c r="DI37" s="546">
        <f t="shared" si="43"/>
        <v>89</v>
      </c>
      <c r="DJ37" s="551">
        <f t="shared" si="44"/>
        <v>151.79771122513756</v>
      </c>
      <c r="DK37" s="553">
        <f>DJ37/PI()*SQRT('Hilfstabellen_Mat&amp;Bem'!f.Rd.3/'Hilfstabellen_Mat&amp;Bem'!$BD$30)</f>
        <v>2.4159356091516733</v>
      </c>
      <c r="DL37" s="553">
        <f>0.5*(1+'Hilfstabellen_Mat&amp;Bem'!$BD$31*(DK37-0.3)+DK37^2)</f>
        <v>3.524169214241117</v>
      </c>
      <c r="DM37" s="550">
        <f t="shared" si="45"/>
        <v>0.164206049661305</v>
      </c>
      <c r="DO37" s="551">
        <f t="shared" si="46"/>
        <v>1300.6761193671969</v>
      </c>
      <c r="DS37" s="546">
        <f t="shared" si="47"/>
        <v>89</v>
      </c>
      <c r="DT37" s="551">
        <f t="shared" si="48"/>
        <v>155.68996023091032</v>
      </c>
      <c r="DU37" s="553">
        <f>DT37/PI()*SQRT('Hilfstabellen_Mat&amp;Bem'!f.Rd.3/'Hilfstabellen_Mat&amp;Bem'!$BD$30)</f>
        <v>2.4778826760529982</v>
      </c>
      <c r="DV37" s="553">
        <f>0.5*(1+'Hilfstabellen_Mat&amp;Bem'!$BD$31*(DU37-0.3)+DU37^2)</f>
        <v>3.678845411944434</v>
      </c>
      <c r="DW37" s="550">
        <f t="shared" si="49"/>
        <v>0.15629794797083449</v>
      </c>
      <c r="DY37" s="551">
        <f t="shared" si="50"/>
        <v>1238.0360458769801</v>
      </c>
      <c r="EC37" s="546">
        <f t="shared" si="51"/>
        <v>89</v>
      </c>
      <c r="ED37" s="551">
        <f t="shared" si="52"/>
        <v>159.58220923668307</v>
      </c>
      <c r="EE37" s="553">
        <f>ED37/PI()*SQRT('Hilfstabellen_Mat&amp;Bem'!f.Rd.3/'Hilfstabellen_Mat&amp;Bem'!$BD$30)</f>
        <v>2.5398297429543231</v>
      </c>
      <c r="EF37" s="553">
        <f>0.5*(1+'Hilfstabellen_Mat&amp;Bem'!$BD$31*(EE37-0.3)+EE37^2)</f>
        <v>3.8373590487454274</v>
      </c>
      <c r="EG37" s="550">
        <f t="shared" si="53"/>
        <v>0.1489443352127838</v>
      </c>
      <c r="EI37" s="551">
        <f t="shared" si="54"/>
        <v>1179.7880792204605</v>
      </c>
      <c r="EM37" s="546">
        <f t="shared" si="55"/>
        <v>89</v>
      </c>
      <c r="EN37" s="551">
        <f t="shared" si="56"/>
        <v>163.47445824245582</v>
      </c>
      <c r="EO37" s="553">
        <f>EN37/PI()*SQRT('Hilfstabellen_Mat&amp;Bem'!f.Rd.3/'Hilfstabellen_Mat&amp;Bem'!$BD$30)</f>
        <v>2.601776809855648</v>
      </c>
      <c r="EP37" s="553">
        <f>0.5*(1+'Hilfstabellen_Mat&amp;Bem'!$BD$31*(EO37-0.3)+EO37^2)</f>
        <v>3.9997101246440989</v>
      </c>
      <c r="EQ37" s="550">
        <f t="shared" si="57"/>
        <v>0.14209501350987905</v>
      </c>
      <c r="ES37" s="551">
        <f t="shared" si="58"/>
        <v>1125.534602011752</v>
      </c>
    </row>
    <row r="38" spans="3:149">
      <c r="C38" s="546">
        <v>90</v>
      </c>
      <c r="D38" s="551">
        <f t="shared" si="6"/>
        <v>107.77205024873014</v>
      </c>
      <c r="E38" s="553">
        <f>$D38/PI()*SQRT('Hilfstabellen_Mat&amp;Bem'!f.Rd.3/'Hilfstabellen_Mat&amp;Bem'!$BD$30)</f>
        <v>1.7152454524233531</v>
      </c>
      <c r="F38" s="553">
        <f>0.5*(1+'Hilfstabellen_Mat&amp;Bem'!$BD$31*($E38-0.3)+$E38^2)</f>
        <v>2.0417957536506641</v>
      </c>
      <c r="G38" s="550">
        <f t="shared" si="7"/>
        <v>0.31751734918118685</v>
      </c>
      <c r="I38" s="551">
        <f t="shared" si="8"/>
        <v>2571.8905283676136</v>
      </c>
      <c r="M38" s="546">
        <f t="shared" si="9"/>
        <v>90</v>
      </c>
      <c r="N38" s="551">
        <f t="shared" si="0"/>
        <v>111.62105204332764</v>
      </c>
      <c r="O38" s="553">
        <f>$N38/PI()*SQRT('Hilfstabellen_Mat&amp;Bem'!f.Rd.3/'Hilfstabellen_Mat&amp;Bem'!$BD$30)</f>
        <v>1.77650421858133</v>
      </c>
      <c r="P38" s="553">
        <f>0.5*(1+'Hilfstabellen_Mat&amp;Bem'!$BD$31*($O38-0.3)+$O38^2)</f>
        <v>2.1518088302476972</v>
      </c>
      <c r="Q38" s="550">
        <f t="shared" si="1"/>
        <v>0.29708657676764488</v>
      </c>
      <c r="S38" s="551">
        <f t="shared" si="10"/>
        <v>2406.4012718179238</v>
      </c>
      <c r="W38" s="546">
        <f t="shared" si="11"/>
        <v>90</v>
      </c>
      <c r="X38" s="551">
        <f t="shared" si="2"/>
        <v>115.47005383792515</v>
      </c>
      <c r="Y38" s="553">
        <f>$X38/PI()*SQRT('Hilfstabellen_Mat&amp;Bem'!f.Rd.3/'Hilfstabellen_Mat&amp;Bem'!$BD$30)</f>
        <v>1.8377629847393071</v>
      </c>
      <c r="Z38" s="553">
        <f>0.5*(1+'Hilfstabellen_Mat&amp;Bem'!$BD$31*($Y38-0.3)+$Y38^2)</f>
        <v>2.2655745432759287</v>
      </c>
      <c r="AA38" s="550">
        <f t="shared" si="3"/>
        <v>0.27851192942466541</v>
      </c>
      <c r="AC38" s="551">
        <f t="shared" si="12"/>
        <v>2255.9466283397896</v>
      </c>
      <c r="AG38" s="546">
        <f t="shared" si="13"/>
        <v>90</v>
      </c>
      <c r="AH38" s="551">
        <f t="shared" si="4"/>
        <v>119.31905563252265</v>
      </c>
      <c r="AI38" s="553">
        <f>$AH38/PI()*SQRT('Hilfstabellen_Mat&amp;Bem'!f.Rd.3/'Hilfstabellen_Mat&amp;Bem'!$BD$30)</f>
        <v>1.8990217508972838</v>
      </c>
      <c r="AJ38" s="553">
        <f>0.5*(1+'Hilfstabellen_Mat&amp;Bem'!$BD$31*($AI38-0.3)+$AI38^2)</f>
        <v>2.3830928927353567</v>
      </c>
      <c r="AK38" s="550">
        <f t="shared" si="5"/>
        <v>0.26158618844875381</v>
      </c>
      <c r="AM38" s="551">
        <f t="shared" si="14"/>
        <v>2118.8481264349057</v>
      </c>
      <c r="AQ38" s="546">
        <f t="shared" si="15"/>
        <v>90</v>
      </c>
      <c r="AR38" s="551">
        <f t="shared" si="16"/>
        <v>123.16805742712016</v>
      </c>
      <c r="AS38" s="553">
        <f>$AR38/PI()*SQRT('Hilfstabellen_Mat&amp;Bem'!f.Rd.3/'Hilfstabellen_Mat&amp;Bem'!$BD$30)</f>
        <v>1.9602805170552609</v>
      </c>
      <c r="AT38" s="553">
        <f>0.5*(1+'Hilfstabellen_Mat&amp;Bem'!$BD$31*($AS38-0.3)+$AS38^2)</f>
        <v>2.5043638786259836</v>
      </c>
      <c r="AU38" s="550">
        <f t="shared" si="17"/>
        <v>0.24612759281851307</v>
      </c>
      <c r="AW38" s="551">
        <f t="shared" si="18"/>
        <v>1993.6335018299558</v>
      </c>
      <c r="BA38" s="546">
        <f t="shared" si="19"/>
        <v>90</v>
      </c>
      <c r="BB38" s="551">
        <f t="shared" si="20"/>
        <v>127.01705922171766</v>
      </c>
      <c r="BC38" s="553">
        <f>$BB38/PI()*SQRT('Hilfstabellen_Mat&amp;Bem'!f.Rd.3/'Hilfstabellen_Mat&amp;Bem'!$BD$30)</f>
        <v>2.0215392832132375</v>
      </c>
      <c r="BD38" s="553">
        <f>0.5*(1+'Hilfstabellen_Mat&amp;Bem'!$BD$31*($BC38-0.3)+$BC38^2)</f>
        <v>2.6293875009478067</v>
      </c>
      <c r="BE38" s="550">
        <f t="shared" si="21"/>
        <v>0.2319769505738124</v>
      </c>
      <c r="BG38" s="551">
        <f t="shared" si="22"/>
        <v>1879.0132996478806</v>
      </c>
      <c r="BK38" s="546">
        <f t="shared" si="23"/>
        <v>90</v>
      </c>
      <c r="BL38" s="551">
        <f t="shared" si="24"/>
        <v>130.86606101631517</v>
      </c>
      <c r="BM38" s="553">
        <f>$BL38/PI()*SQRT('Hilfstabellen_Mat&amp;Bem'!f.Rd.3/'Hilfstabellen_Mat&amp;Bem'!$BD$30)</f>
        <v>2.0827980493712146</v>
      </c>
      <c r="BN38" s="553">
        <f>0.5*(1+'Hilfstabellen_Mat&amp;Bem'!$BD$31*($BM38-0.3)+$BM38^2)</f>
        <v>2.7581637597008291</v>
      </c>
      <c r="BO38" s="550">
        <f t="shared" si="25"/>
        <v>0.2189948509822234</v>
      </c>
      <c r="BQ38" s="551">
        <f t="shared" si="26"/>
        <v>1773.8582929560096</v>
      </c>
      <c r="BU38" s="546">
        <f t="shared" si="27"/>
        <v>90</v>
      </c>
      <c r="BV38" s="551">
        <f t="shared" si="28"/>
        <v>134.71506281091266</v>
      </c>
      <c r="BW38" s="553">
        <f>$BV38/PI()*SQRT('Hilfstabellen_Mat&amp;Bem'!f.Rd.3/'Hilfstabellen_Mat&amp;Bem'!$BD$30)</f>
        <v>2.1440568155291913</v>
      </c>
      <c r="BX38" s="553">
        <f>0.5*(1+'Hilfstabellen_Mat&amp;Bem'!$BD$31*($BW38-0.3)+$BW38^2)</f>
        <v>2.8906926548850476</v>
      </c>
      <c r="BY38" s="550">
        <f t="shared" si="29"/>
        <v>0.20705910858525886</v>
      </c>
      <c r="CA38" s="551">
        <f t="shared" si="30"/>
        <v>1677.1787795405967</v>
      </c>
      <c r="CE38" s="546">
        <f t="shared" si="31"/>
        <v>90</v>
      </c>
      <c r="CF38" s="551">
        <f t="shared" si="32"/>
        <v>138.56406460551017</v>
      </c>
      <c r="CG38" s="553">
        <f>CF38/PI()*SQRT('Hilfstabellen_Mat&amp;Bem'!f.Rd.3/'Hilfstabellen_Mat&amp;Bem'!$BD$30)</f>
        <v>2.2053155816871679</v>
      </c>
      <c r="CH38" s="553">
        <f>0.5*(1+'Hilfstabellen_Mat&amp;Bem'!$BD$31*(CG38-0.3)+CG38^2)</f>
        <v>3.026974186500464</v>
      </c>
      <c r="CI38" s="550">
        <f t="shared" si="33"/>
        <v>0.19606248557633724</v>
      </c>
      <c r="CK38" s="551">
        <f t="shared" si="34"/>
        <v>1588.1061331683316</v>
      </c>
      <c r="CO38" s="546">
        <f t="shared" si="35"/>
        <v>90</v>
      </c>
      <c r="CP38" s="551">
        <f t="shared" si="36"/>
        <v>142.41306640010768</v>
      </c>
      <c r="CQ38" s="553">
        <f>CP38/PI()*SQRT('Hilfstabellen_Mat&amp;Bem'!f.Rd.3/'Hilfstabellen_Mat&amp;Bem'!$BD$30)</f>
        <v>2.266574347845145</v>
      </c>
      <c r="CR38" s="553">
        <f>0.5*(1+'Hilfstabellen_Mat&amp;Bem'!$BD$31*(CQ38-0.3)+CQ38^2)</f>
        <v>3.1670083545470793</v>
      </c>
      <c r="CS38" s="550">
        <f t="shared" si="37"/>
        <v>0.18591069575081423</v>
      </c>
      <c r="CU38" s="551">
        <f t="shared" si="38"/>
        <v>1505.8766355815953</v>
      </c>
      <c r="CY38" s="546">
        <f t="shared" si="39"/>
        <v>90</v>
      </c>
      <c r="CZ38" s="551">
        <f t="shared" si="40"/>
        <v>146.26206819470519</v>
      </c>
      <c r="DA38" s="553">
        <f>CZ38/PI()*SQRT('Hilfstabellen_Mat&amp;Bem'!f.Rd.3/'Hilfstabellen_Mat&amp;Bem'!$BD$30)</f>
        <v>2.3278331140031221</v>
      </c>
      <c r="DB38" s="553">
        <f>0.5*(1+'Hilfstabellen_Mat&amp;Bem'!$BD$31*(DA38-0.3)+DA38^2)</f>
        <v>3.3107951590248925</v>
      </c>
      <c r="DC38" s="550">
        <f t="shared" si="41"/>
        <v>0.17652067251881856</v>
      </c>
      <c r="DE38" s="551">
        <f t="shared" si="42"/>
        <v>1429.8174474024304</v>
      </c>
      <c r="DI38" s="546">
        <f t="shared" si="43"/>
        <v>90</v>
      </c>
      <c r="DJ38" s="551">
        <f t="shared" si="44"/>
        <v>150.11106998930271</v>
      </c>
      <c r="DK38" s="553">
        <f>DJ38/PI()*SQRT('Hilfstabellen_Mat&amp;Bem'!f.Rd.3/'Hilfstabellen_Mat&amp;Bem'!$BD$30)</f>
        <v>2.3890918801610992</v>
      </c>
      <c r="DL38" s="553">
        <f>0.5*(1+'Hilfstabellen_Mat&amp;Bem'!$BD$31*(DK38-0.3)+DK38^2)</f>
        <v>3.4583345999339032</v>
      </c>
      <c r="DM38" s="550">
        <f t="shared" si="45"/>
        <v>0.16781907478231245</v>
      </c>
      <c r="DO38" s="551">
        <f t="shared" si="46"/>
        <v>1359.3345057367308</v>
      </c>
      <c r="DS38" s="546">
        <f t="shared" si="47"/>
        <v>90</v>
      </c>
      <c r="DT38" s="551">
        <f t="shared" si="48"/>
        <v>153.96007178390019</v>
      </c>
      <c r="DU38" s="553">
        <f>DT38/PI()*SQRT('Hilfstabellen_Mat&amp;Bem'!f.Rd.3/'Hilfstabellen_Mat&amp;Bem'!$BD$30)</f>
        <v>2.4503506463190758</v>
      </c>
      <c r="DV38" s="553">
        <f>0.5*(1+'Hilfstabellen_Mat&amp;Bem'!$BD$31*(DU38-0.3)+DU38^2)</f>
        <v>3.6096266772741101</v>
      </c>
      <c r="DW38" s="550">
        <f t="shared" si="49"/>
        <v>0.15974100212602155</v>
      </c>
      <c r="DY38" s="551">
        <f t="shared" si="50"/>
        <v>1293.9021172207745</v>
      </c>
      <c r="EC38" s="546">
        <f t="shared" si="51"/>
        <v>90</v>
      </c>
      <c r="ED38" s="551">
        <f t="shared" si="52"/>
        <v>157.8090735784977</v>
      </c>
      <c r="EE38" s="553">
        <f>ED38/PI()*SQRT('Hilfstabellen_Mat&amp;Bem'!f.Rd.3/'Hilfstabellen_Mat&amp;Bem'!$BD$30)</f>
        <v>2.5116094124770529</v>
      </c>
      <c r="EF38" s="553">
        <f>0.5*(1+'Hilfstabellen_Mat&amp;Bem'!$BD$31*(EE38-0.3)+EE38^2)</f>
        <v>3.7646713910455158</v>
      </c>
      <c r="EG38" s="550">
        <f t="shared" si="53"/>
        <v>0.15222889161081371</v>
      </c>
      <c r="EI38" s="551">
        <f t="shared" si="54"/>
        <v>1233.0540220475912</v>
      </c>
      <c r="EM38" s="546">
        <f t="shared" si="55"/>
        <v>90</v>
      </c>
      <c r="EN38" s="551">
        <f t="shared" si="56"/>
        <v>161.65807537309519</v>
      </c>
      <c r="EO38" s="553">
        <f>EN38/PI()*SQRT('Hilfstabellen_Mat&amp;Bem'!f.Rd.3/'Hilfstabellen_Mat&amp;Bem'!$BD$30)</f>
        <v>2.5728681786350296</v>
      </c>
      <c r="EP38" s="553">
        <f>0.5*(1+'Hilfstabellen_Mat&amp;Bem'!$BD$31*(EO38-0.3)+EO38^2)</f>
        <v>3.9234687412481186</v>
      </c>
      <c r="EQ38" s="550">
        <f t="shared" si="57"/>
        <v>0.14523157076836962</v>
      </c>
      <c r="ES38" s="551">
        <f t="shared" si="58"/>
        <v>1176.375723223794</v>
      </c>
    </row>
    <row r="39" spans="3:149">
      <c r="C39" s="546">
        <v>91</v>
      </c>
      <c r="D39" s="551">
        <f t="shared" si="6"/>
        <v>106.58774200423861</v>
      </c>
      <c r="E39" s="553">
        <f>$D39/PI()*SQRT('Hilfstabellen_Mat&amp;Bem'!f.Rd.3/'Hilfstabellen_Mat&amp;Bem'!$BD$30)</f>
        <v>1.696396601297822</v>
      </c>
      <c r="F39" s="553">
        <f>0.5*(1+'Hilfstabellen_Mat&amp;Bem'!$BD$31*($E39-0.3)+$E39^2)</f>
        <v>2.0087005445122919</v>
      </c>
      <c r="G39" s="550">
        <f t="shared" si="7"/>
        <v>0.32421279324418123</v>
      </c>
      <c r="I39" s="551">
        <f t="shared" si="8"/>
        <v>2684.8061408550648</v>
      </c>
      <c r="M39" s="546">
        <f t="shared" si="9"/>
        <v>91</v>
      </c>
      <c r="N39" s="551">
        <f t="shared" si="0"/>
        <v>110.39444707581855</v>
      </c>
      <c r="O39" s="553">
        <f>$N39/PI()*SQRT('Hilfstabellen_Mat&amp;Bem'!f.Rd.3/'Hilfstabellen_Mat&amp;Bem'!$BD$30)</f>
        <v>1.7569821942013153</v>
      </c>
      <c r="P39" s="553">
        <f>0.5*(1+'Hilfstabellen_Mat&amp;Bem'!$BD$31*($O39-0.3)+$O39^2)</f>
        <v>2.1163423250803</v>
      </c>
      <c r="Q39" s="550">
        <f t="shared" si="1"/>
        <v>0.30338533353364044</v>
      </c>
      <c r="S39" s="551">
        <f t="shared" si="10"/>
        <v>2512.3339469920766</v>
      </c>
      <c r="W39" s="546">
        <f t="shared" si="11"/>
        <v>91</v>
      </c>
      <c r="X39" s="551">
        <f t="shared" si="2"/>
        <v>114.20115214739849</v>
      </c>
      <c r="Y39" s="553">
        <f>$X39/PI()*SQRT('Hilfstabellen_Mat&amp;Bem'!f.Rd.3/'Hilfstabellen_Mat&amp;Bem'!$BD$30)</f>
        <v>1.8175677871048088</v>
      </c>
      <c r="Z39" s="553">
        <f>0.5*(1+'Hilfstabellen_Mat&amp;Bem'!$BD$31*($Y39-0.3)+$Y39^2)</f>
        <v>2.2276547197157761</v>
      </c>
      <c r="AA39" s="550">
        <f t="shared" si="3"/>
        <v>0.28444364518661669</v>
      </c>
      <c r="AC39" s="551">
        <f t="shared" si="12"/>
        <v>2355.4778257903727</v>
      </c>
      <c r="AG39" s="546">
        <f t="shared" si="13"/>
        <v>91</v>
      </c>
      <c r="AH39" s="551">
        <f t="shared" si="4"/>
        <v>118.00785721897844</v>
      </c>
      <c r="AI39" s="553">
        <f>$AH39/PI()*SQRT('Hilfstabellen_Mat&amp;Bem'!f.Rd.3/'Hilfstabellen_Mat&amp;Bem'!$BD$30)</f>
        <v>1.8781533800083026</v>
      </c>
      <c r="AJ39" s="553">
        <f>0.5*(1+'Hilfstabellen_Mat&amp;Bem'!$BD$31*($AI39-0.3)+$AI39^2)</f>
        <v>2.3426377284187208</v>
      </c>
      <c r="AK39" s="550">
        <f t="shared" si="5"/>
        <v>0.26717870787781078</v>
      </c>
      <c r="AM39" s="551">
        <f t="shared" si="14"/>
        <v>2212.5068799361511</v>
      </c>
      <c r="AQ39" s="546">
        <f t="shared" si="15"/>
        <v>91</v>
      </c>
      <c r="AR39" s="551">
        <f t="shared" si="16"/>
        <v>121.81456229055841</v>
      </c>
      <c r="AS39" s="553">
        <f>$AR39/PI()*SQRT('Hilfstabellen_Mat&amp;Bem'!f.Rd.3/'Hilfstabellen_Mat&amp;Bem'!$BD$30)</f>
        <v>1.9387389729117963</v>
      </c>
      <c r="AT39" s="553">
        <f>0.5*(1+'Hilfstabellen_Mat&amp;Bem'!$BD$31*($AS39-0.3)+$AS39^2)</f>
        <v>2.461291351189133</v>
      </c>
      <c r="AU39" s="550">
        <f t="shared" si="17"/>
        <v>0.25140675052518185</v>
      </c>
      <c r="AW39" s="551">
        <f t="shared" si="18"/>
        <v>2081.8993010990312</v>
      </c>
      <c r="BA39" s="546">
        <f t="shared" si="19"/>
        <v>91</v>
      </c>
      <c r="BB39" s="551">
        <f t="shared" si="20"/>
        <v>125.62126736213834</v>
      </c>
      <c r="BC39" s="553">
        <f>$BB39/PI()*SQRT('Hilfstabellen_Mat&amp;Bem'!f.Rd.3/'Hilfstabellen_Mat&amp;Bem'!$BD$30)</f>
        <v>1.9993245658152898</v>
      </c>
      <c r="BD39" s="553">
        <f>0.5*(1+'Hilfstabellen_Mat&amp;Bem'!$BD$31*($BC39-0.3)+$BC39^2)</f>
        <v>2.5836155880270133</v>
      </c>
      <c r="BE39" s="550">
        <f t="shared" si="21"/>
        <v>0.23696653564959225</v>
      </c>
      <c r="BG39" s="551">
        <f t="shared" si="22"/>
        <v>1962.3198817142734</v>
      </c>
      <c r="BK39" s="546">
        <f t="shared" si="23"/>
        <v>91</v>
      </c>
      <c r="BL39" s="551">
        <f t="shared" si="24"/>
        <v>129.42797243371831</v>
      </c>
      <c r="BM39" s="553">
        <f>$BL39/PI()*SQRT('Hilfstabellen_Mat&amp;Bem'!f.Rd.3/'Hilfstabellen_Mat&amp;Bem'!$BD$30)</f>
        <v>2.0599101587187838</v>
      </c>
      <c r="BN39" s="553">
        <f>0.5*(1+'Hilfstabellen_Mat&amp;Bem'!$BD$31*($BM39-0.3)+$BM39^2)</f>
        <v>2.7096104389323621</v>
      </c>
      <c r="BO39" s="550">
        <f t="shared" si="25"/>
        <v>0.22371666784702299</v>
      </c>
      <c r="BQ39" s="551">
        <f t="shared" si="26"/>
        <v>1852.5977264411974</v>
      </c>
      <c r="BU39" s="546">
        <f t="shared" si="27"/>
        <v>91</v>
      </c>
      <c r="BV39" s="551">
        <f t="shared" si="28"/>
        <v>133.23467750529824</v>
      </c>
      <c r="BW39" s="553">
        <f>$BV39/PI()*SQRT('Hilfstabellen_Mat&amp;Bem'!f.Rd.3/'Hilfstabellen_Mat&amp;Bem'!$BD$30)</f>
        <v>2.1204957516222769</v>
      </c>
      <c r="BX39" s="553">
        <f>0.5*(1+'Hilfstabellen_Mat&amp;Bem'!$BD$31*($BW39-0.3)+$BW39^2)</f>
        <v>2.8392759039051763</v>
      </c>
      <c r="BY39" s="550">
        <f t="shared" si="29"/>
        <v>0.2115330884495415</v>
      </c>
      <c r="CA39" s="551">
        <f t="shared" si="30"/>
        <v>1751.7055054506532</v>
      </c>
      <c r="CE39" s="546">
        <f t="shared" si="31"/>
        <v>91</v>
      </c>
      <c r="CF39" s="551">
        <f t="shared" si="32"/>
        <v>137.04138257687819</v>
      </c>
      <c r="CG39" s="553">
        <f>CF39/PI()*SQRT('Hilfstabellen_Mat&amp;Bem'!f.Rd.3/'Hilfstabellen_Mat&amp;Bem'!$BD$30)</f>
        <v>2.1810813445257708</v>
      </c>
      <c r="CH39" s="553">
        <f>0.5*(1+'Hilfstabellen_Mat&amp;Bem'!$BD$31*(CG39-0.3)+CG39^2)</f>
        <v>2.9726119829454607</v>
      </c>
      <c r="CI39" s="550">
        <f t="shared" si="33"/>
        <v>0.20030682138674613</v>
      </c>
      <c r="CK39" s="551">
        <f t="shared" si="34"/>
        <v>1658.7407879036448</v>
      </c>
      <c r="CO39" s="546">
        <f t="shared" si="35"/>
        <v>91</v>
      </c>
      <c r="CP39" s="551">
        <f t="shared" si="36"/>
        <v>140.84808764845815</v>
      </c>
      <c r="CQ39" s="553">
        <f>CP39/PI()*SQRT('Hilfstabellen_Mat&amp;Bem'!f.Rd.3/'Hilfstabellen_Mat&amp;Bem'!$BD$30)</f>
        <v>2.2416669374292644</v>
      </c>
      <c r="CR39" s="553">
        <f>0.5*(1+'Hilfstabellen_Mat&amp;Bem'!$BD$31*(CQ39-0.3)+CQ39^2)</f>
        <v>3.1096186760532118</v>
      </c>
      <c r="CS39" s="550">
        <f t="shared" si="37"/>
        <v>0.18994198468321266</v>
      </c>
      <c r="CU39" s="551">
        <f t="shared" si="38"/>
        <v>1572.909575161684</v>
      </c>
      <c r="CY39" s="546">
        <f t="shared" si="39"/>
        <v>91</v>
      </c>
      <c r="CZ39" s="551">
        <f t="shared" si="40"/>
        <v>144.6547927200381</v>
      </c>
      <c r="DA39" s="553">
        <f>CZ39/PI()*SQRT('Hilfstabellen_Mat&amp;Bem'!f.Rd.3/'Hilfstabellen_Mat&amp;Bem'!$BD$30)</f>
        <v>2.3022525303327579</v>
      </c>
      <c r="DB39" s="553">
        <f>0.5*(1+'Hilfstabellen_Mat&amp;Bem'!$BD$31*(DA39-0.3)+DA39^2)</f>
        <v>3.2502959832284311</v>
      </c>
      <c r="DC39" s="550">
        <f t="shared" si="41"/>
        <v>0.18035405686814993</v>
      </c>
      <c r="DE39" s="551">
        <f t="shared" si="42"/>
        <v>1493.5119449251495</v>
      </c>
      <c r="DI39" s="546">
        <f t="shared" si="43"/>
        <v>91</v>
      </c>
      <c r="DJ39" s="551">
        <f t="shared" si="44"/>
        <v>148.46149779161803</v>
      </c>
      <c r="DK39" s="553">
        <f>DJ39/PI()*SQRT('Hilfstabellen_Mat&amp;Bem'!f.Rd.3/'Hilfstabellen_Mat&amp;Bem'!$BD$30)</f>
        <v>2.3628381232362514</v>
      </c>
      <c r="DL39" s="553">
        <f>0.5*(1+'Hilfstabellen_Mat&amp;Bem'!$BD$31*(DK39-0.3)+DK39^2)</f>
        <v>3.3946439044711179</v>
      </c>
      <c r="DM39" s="550">
        <f t="shared" si="45"/>
        <v>0.17146837621828159</v>
      </c>
      <c r="DO39" s="551">
        <f t="shared" si="46"/>
        <v>1419.9296234635899</v>
      </c>
      <c r="DS39" s="546">
        <f t="shared" si="47"/>
        <v>91</v>
      </c>
      <c r="DT39" s="551">
        <f t="shared" si="48"/>
        <v>152.26820286319798</v>
      </c>
      <c r="DU39" s="553">
        <f>DT39/PI()*SQRT('Hilfstabellen_Mat&amp;Bem'!f.Rd.3/'Hilfstabellen_Mat&amp;Bem'!$BD$30)</f>
        <v>2.4234237161397454</v>
      </c>
      <c r="DV39" s="553">
        <f>0.5*(1+'Hilfstabellen_Mat&amp;Bem'!$BD$31*(DU39-0.3)+DU39^2)</f>
        <v>3.542662439781274</v>
      </c>
      <c r="DW39" s="550">
        <f t="shared" si="49"/>
        <v>0.16321884677792939</v>
      </c>
      <c r="DY39" s="551">
        <f t="shared" si="50"/>
        <v>1351.6152701680332</v>
      </c>
      <c r="EC39" s="546">
        <f t="shared" si="51"/>
        <v>91</v>
      </c>
      <c r="ED39" s="551">
        <f t="shared" si="52"/>
        <v>156.07490793477797</v>
      </c>
      <c r="EE39" s="553">
        <f>ED39/PI()*SQRT('Hilfstabellen_Mat&amp;Bem'!f.Rd.3/'Hilfstabellen_Mat&amp;Bem'!$BD$30)</f>
        <v>2.4840093090432394</v>
      </c>
      <c r="EF39" s="553">
        <f>0.5*(1+'Hilfstabellen_Mat&amp;Bem'!$BD$31*(EE39-0.3)+EE39^2)</f>
        <v>3.6943515891588978</v>
      </c>
      <c r="EG39" s="550">
        <f t="shared" si="53"/>
        <v>0.15554682494174857</v>
      </c>
      <c r="EI39" s="551">
        <f t="shared" si="54"/>
        <v>1288.0832573426198</v>
      </c>
      <c r="EM39" s="546">
        <f t="shared" si="55"/>
        <v>91</v>
      </c>
      <c r="EN39" s="551">
        <f t="shared" si="56"/>
        <v>159.8816130063579</v>
      </c>
      <c r="EO39" s="553">
        <f>EN39/PI()*SQRT('Hilfstabellen_Mat&amp;Bem'!f.Rd.3/'Hilfstabellen_Mat&amp;Bem'!$BD$30)</f>
        <v>2.5445949019467324</v>
      </c>
      <c r="EP39" s="553">
        <f>0.5*(1+'Hilfstabellen_Mat&amp;Bem'!$BD$31*(EO39-0.3)+EO39^2)</f>
        <v>3.849711352603987</v>
      </c>
      <c r="EQ39" s="550">
        <f t="shared" si="57"/>
        <v>0.14840016208097459</v>
      </c>
      <c r="ES39" s="551">
        <f t="shared" si="58"/>
        <v>1228.9017421925505</v>
      </c>
    </row>
    <row r="40" spans="3:149">
      <c r="C40" s="546">
        <v>92</v>
      </c>
      <c r="D40" s="551">
        <f t="shared" si="6"/>
        <v>105.42917959114905</v>
      </c>
      <c r="E40" s="553">
        <f>$D40/PI()*SQRT('Hilfstabellen_Mat&amp;Bem'!f.Rd.3/'Hilfstabellen_Mat&amp;Bem'!$BD$30)</f>
        <v>1.6779575078054543</v>
      </c>
      <c r="F40" s="553">
        <f>0.5*(1+'Hilfstabellen_Mat&amp;Bem'!$BD$31*($E40-0.3)+$E40^2)</f>
        <v>1.9766685743906183</v>
      </c>
      <c r="G40" s="550">
        <f t="shared" si="7"/>
        <v>0.33096120464649736</v>
      </c>
      <c r="I40" s="551">
        <f t="shared" si="8"/>
        <v>2801.2556361279535</v>
      </c>
      <c r="M40" s="546">
        <f t="shared" si="9"/>
        <v>92</v>
      </c>
      <c r="N40" s="551">
        <f t="shared" si="0"/>
        <v>109.19450743369008</v>
      </c>
      <c r="O40" s="553">
        <f>$N40/PI()*SQRT('Hilfstabellen_Mat&amp;Bem'!f.Rd.3/'Hilfstabellen_Mat&amp;Bem'!$BD$30)</f>
        <v>1.7378845616556486</v>
      </c>
      <c r="P40" s="553">
        <f>0.5*(1+'Hilfstabellen_Mat&amp;Bem'!$BD$31*($O40-0.3)+$O40^2)</f>
        <v>2.0820156029033057</v>
      </c>
      <c r="Q40" s="550">
        <f t="shared" si="1"/>
        <v>0.30973635578627357</v>
      </c>
      <c r="S40" s="551">
        <f t="shared" si="10"/>
        <v>2621.6085153750196</v>
      </c>
      <c r="W40" s="546">
        <f t="shared" si="11"/>
        <v>92</v>
      </c>
      <c r="X40" s="551">
        <f t="shared" si="2"/>
        <v>112.95983527623112</v>
      </c>
      <c r="Y40" s="553">
        <f>$X40/PI()*SQRT('Hilfstabellen_Mat&amp;Bem'!f.Rd.3/'Hilfstabellen_Mat&amp;Bem'!$BD$30)</f>
        <v>1.7978116155058439</v>
      </c>
      <c r="Z40" s="553">
        <f>0.5*(1+'Hilfstabellen_Mat&amp;Bem'!$BD$31*($Y40-0.3)+$Y40^2)</f>
        <v>2.1909538831991586</v>
      </c>
      <c r="AA40" s="550">
        <f t="shared" si="3"/>
        <v>0.29042643237785709</v>
      </c>
      <c r="AC40" s="551">
        <f t="shared" si="12"/>
        <v>2458.1693236461824</v>
      </c>
      <c r="AG40" s="546">
        <f t="shared" si="13"/>
        <v>92</v>
      </c>
      <c r="AH40" s="551">
        <f t="shared" si="4"/>
        <v>116.72516311877217</v>
      </c>
      <c r="AI40" s="553">
        <f>$AH40/PI()*SQRT('Hilfstabellen_Mat&amp;Bem'!f.Rd.3/'Hilfstabellen_Mat&amp;Bem'!$BD$30)</f>
        <v>1.8577386693560385</v>
      </c>
      <c r="AJ40" s="553">
        <f>0.5*(1+'Hilfstabellen_Mat&amp;Bem'!$BD$31*($AI40-0.3)+$AI40^2)</f>
        <v>2.303483415278174</v>
      </c>
      <c r="AK40" s="550">
        <f t="shared" si="5"/>
        <v>0.2728208070353968</v>
      </c>
      <c r="AM40" s="551">
        <f t="shared" si="14"/>
        <v>2309.1553107475984</v>
      </c>
      <c r="AQ40" s="546">
        <f t="shared" si="15"/>
        <v>92</v>
      </c>
      <c r="AR40" s="551">
        <f t="shared" si="16"/>
        <v>120.49049096131318</v>
      </c>
      <c r="AS40" s="553">
        <f>$AR40/PI()*SQRT('Hilfstabellen_Mat&amp;Bem'!f.Rd.3/'Hilfstabellen_Mat&amp;Bem'!$BD$30)</f>
        <v>1.9176657232062331</v>
      </c>
      <c r="AT40" s="553">
        <f>0.5*(1+'Hilfstabellen_Mat&amp;Bem'!$BD$31*($AS40-0.3)+$AS40^2)</f>
        <v>2.4196041991403541</v>
      </c>
      <c r="AU40" s="550">
        <f t="shared" si="17"/>
        <v>0.25673382781317161</v>
      </c>
      <c r="AW40" s="551">
        <f t="shared" si="18"/>
        <v>2172.9951186106846</v>
      </c>
      <c r="BA40" s="546">
        <f t="shared" si="19"/>
        <v>92</v>
      </c>
      <c r="BB40" s="551">
        <f t="shared" si="20"/>
        <v>124.25581880385424</v>
      </c>
      <c r="BC40" s="553">
        <f>$BB40/PI()*SQRT('Hilfstabellen_Mat&amp;Bem'!f.Rd.3/'Hilfstabellen_Mat&amp;Bem'!$BD$30)</f>
        <v>1.9775927770564281</v>
      </c>
      <c r="BD40" s="553">
        <f>0.5*(1+'Hilfstabellen_Mat&amp;Bem'!$BD$31*($BC40-0.3)+$BC40^2)</f>
        <v>2.5393162347856988</v>
      </c>
      <c r="BE40" s="550">
        <f t="shared" si="21"/>
        <v>0.24200229771551374</v>
      </c>
      <c r="BG40" s="551">
        <f t="shared" si="22"/>
        <v>2048.3074478641083</v>
      </c>
      <c r="BK40" s="546">
        <f t="shared" si="23"/>
        <v>92</v>
      </c>
      <c r="BL40" s="551">
        <f t="shared" si="24"/>
        <v>128.02114664639527</v>
      </c>
      <c r="BM40" s="553">
        <f>$BL40/PI()*SQRT('Hilfstabellen_Mat&amp;Bem'!f.Rd.3/'Hilfstabellen_Mat&amp;Bem'!$BD$30)</f>
        <v>2.0375198309066227</v>
      </c>
      <c r="BN40" s="553">
        <f>0.5*(1+'Hilfstabellen_Mat&amp;Bem'!$BD$31*($BM40-0.3)+$BM40^2)</f>
        <v>2.6626195222142073</v>
      </c>
      <c r="BO40" s="550">
        <f t="shared" si="25"/>
        <v>0.22848289382818904</v>
      </c>
      <c r="BQ40" s="551">
        <f t="shared" si="26"/>
        <v>1933.8792133617919</v>
      </c>
      <c r="BU40" s="546">
        <f t="shared" si="27"/>
        <v>92</v>
      </c>
      <c r="BV40" s="551">
        <f t="shared" si="28"/>
        <v>131.78647448893631</v>
      </c>
      <c r="BW40" s="553">
        <f>$BV40/PI()*SQRT('Hilfstabellen_Mat&amp;Bem'!f.Rd.3/'Hilfstabellen_Mat&amp;Bem'!$BD$30)</f>
        <v>2.0974468847568177</v>
      </c>
      <c r="BX40" s="553">
        <f>0.5*(1+'Hilfstabellen_Mat&amp;Bem'!$BD$31*($BW40-0.3)+$BW40^2)</f>
        <v>2.7895140614258809</v>
      </c>
      <c r="BY40" s="550">
        <f t="shared" si="29"/>
        <v>0.21604972200109651</v>
      </c>
      <c r="CA40" s="551">
        <f t="shared" si="30"/>
        <v>1828.6448470172809</v>
      </c>
      <c r="CE40" s="546">
        <f t="shared" si="31"/>
        <v>92</v>
      </c>
      <c r="CF40" s="551">
        <f t="shared" si="32"/>
        <v>135.55180233147735</v>
      </c>
      <c r="CG40" s="553">
        <f>CF40/PI()*SQRT('Hilfstabellen_Mat&amp;Bem'!f.Rd.3/'Hilfstabellen_Mat&amp;Bem'!$BD$30)</f>
        <v>2.1573739386070123</v>
      </c>
      <c r="CH40" s="553">
        <f>0.5*(1+'Hilfstabellen_Mat&amp;Bem'!$BD$31*(CG40-0.3)+CG40^2)</f>
        <v>2.9199998524207169</v>
      </c>
      <c r="CI40" s="550">
        <f t="shared" si="33"/>
        <v>0.20459209243277904</v>
      </c>
      <c r="CK40" s="551">
        <f t="shared" si="34"/>
        <v>1731.6674703510419</v>
      </c>
      <c r="CO40" s="546">
        <f t="shared" si="35"/>
        <v>92</v>
      </c>
      <c r="CP40" s="551">
        <f t="shared" si="36"/>
        <v>139.31713017401839</v>
      </c>
      <c r="CQ40" s="553">
        <f>CP40/PI()*SQRT('Hilfstabellen_Mat&amp;Bem'!f.Rd.3/'Hilfstabellen_Mat&amp;Bem'!$BD$30)</f>
        <v>2.2173009924572074</v>
      </c>
      <c r="CR40" s="553">
        <f>0.5*(1+'Hilfstabellen_Mat&amp;Bem'!$BD$31*(CQ40-0.3)+CQ40^2)</f>
        <v>3.0540768951987185</v>
      </c>
      <c r="CS40" s="550">
        <f t="shared" si="37"/>
        <v>0.19401254290098477</v>
      </c>
      <c r="CU40" s="551">
        <f t="shared" si="38"/>
        <v>1642.1221631139351</v>
      </c>
      <c r="CY40" s="546">
        <f t="shared" si="39"/>
        <v>92</v>
      </c>
      <c r="CZ40" s="551">
        <f t="shared" si="40"/>
        <v>143.0824580165594</v>
      </c>
      <c r="DA40" s="553">
        <f>CZ40/PI()*SQRT('Hilfstabellen_Mat&amp;Bem'!f.Rd.3/'Hilfstabellen_Mat&amp;Bem'!$BD$30)</f>
        <v>2.2772280463074015</v>
      </c>
      <c r="DB40" s="553">
        <f>0.5*(1+'Hilfstabellen_Mat&amp;Bem'!$BD$31*(DA40-0.3)+DA40^2)</f>
        <v>3.1917451897598825</v>
      </c>
      <c r="DC40" s="550">
        <f t="shared" si="41"/>
        <v>0.18422510640622469</v>
      </c>
      <c r="DE40" s="551">
        <f t="shared" si="42"/>
        <v>1559.2813006222857</v>
      </c>
      <c r="DI40" s="546">
        <f t="shared" si="43"/>
        <v>92</v>
      </c>
      <c r="DJ40" s="551">
        <f t="shared" si="44"/>
        <v>146.84778585910044</v>
      </c>
      <c r="DK40" s="553">
        <f>DJ40/PI()*SQRT('Hilfstabellen_Mat&amp;Bem'!f.Rd.3/'Hilfstabellen_Mat&amp;Bem'!$BD$30)</f>
        <v>2.3371551001575965</v>
      </c>
      <c r="DL40" s="553">
        <f>0.5*(1+'Hilfstabellen_Mat&amp;Bem'!$BD$31*(DK40-0.3)+DK40^2)</f>
        <v>3.3330047361042121</v>
      </c>
      <c r="DM40" s="550">
        <f t="shared" si="45"/>
        <v>0.1751538057212392</v>
      </c>
      <c r="DO40" s="551">
        <f t="shared" si="46"/>
        <v>1482.5018116245685</v>
      </c>
      <c r="DS40" s="546">
        <f t="shared" si="47"/>
        <v>92</v>
      </c>
      <c r="DT40" s="551">
        <f t="shared" si="48"/>
        <v>150.61311370164151</v>
      </c>
      <c r="DU40" s="553">
        <f>DT40/PI()*SQRT('Hilfstabellen_Mat&amp;Bem'!f.Rd.3/'Hilfstabellen_Mat&amp;Bem'!$BD$30)</f>
        <v>2.397082154007792</v>
      </c>
      <c r="DV40" s="553">
        <f>0.5*(1+'Hilfstabellen_Mat&amp;Bem'!$BD$31*(DU40-0.3)+DU40^2)</f>
        <v>3.4778555342317072</v>
      </c>
      <c r="DW40" s="550">
        <f t="shared" si="49"/>
        <v>0.16673135157845953</v>
      </c>
      <c r="DY40" s="551">
        <f t="shared" si="50"/>
        <v>1411.2141597600814</v>
      </c>
      <c r="EC40" s="546">
        <f t="shared" si="51"/>
        <v>92</v>
      </c>
      <c r="ED40" s="551">
        <f t="shared" si="52"/>
        <v>154.37844154418255</v>
      </c>
      <c r="EE40" s="553">
        <f>ED40/PI()*SQRT('Hilfstabellen_Mat&amp;Bem'!f.Rd.3/'Hilfstabellen_Mat&amp;Bem'!$BD$30)</f>
        <v>2.4570092078579866</v>
      </c>
      <c r="EF40" s="553">
        <f>0.5*(1+'Hilfstabellen_Mat&amp;Bem'!$BD$31*(EE40-0.3)+EE40^2)</f>
        <v>3.6262975841423648</v>
      </c>
      <c r="EG40" s="550">
        <f t="shared" si="53"/>
        <v>0.15889801997095387</v>
      </c>
      <c r="EI40" s="551">
        <f t="shared" si="54"/>
        <v>1344.9128410341536</v>
      </c>
      <c r="EM40" s="546">
        <f t="shared" si="55"/>
        <v>92</v>
      </c>
      <c r="EN40" s="551">
        <f t="shared" si="56"/>
        <v>158.14376938672356</v>
      </c>
      <c r="EO40" s="553">
        <f>EN40/PI()*SQRT('Hilfstabellen_Mat&amp;Bem'!f.Rd.3/'Hilfstabellen_Mat&amp;Bem'!$BD$30)</f>
        <v>2.5169362617081812</v>
      </c>
      <c r="EP40" s="553">
        <f>0.5*(1+'Hilfstabellen_Mat&amp;Bem'!$BD$31*(EO40-0.3)+EO40^2)</f>
        <v>3.7783308858361861</v>
      </c>
      <c r="EQ40" s="550">
        <f t="shared" si="57"/>
        <v>0.1516006850582711</v>
      </c>
      <c r="ES40" s="551">
        <f t="shared" si="58"/>
        <v>1283.1481983332064</v>
      </c>
    </row>
    <row r="41" spans="3:149">
      <c r="C41" s="546">
        <v>93</v>
      </c>
      <c r="D41" s="551">
        <f t="shared" si="6"/>
        <v>104.29553249877111</v>
      </c>
      <c r="E41" s="553">
        <f>$D41/PI()*SQRT('Hilfstabellen_Mat&amp;Bem'!f.Rd.3/'Hilfstabellen_Mat&amp;Bem'!$BD$30)</f>
        <v>1.6599149539580837</v>
      </c>
      <c r="F41" s="553">
        <f>0.5*(1+'Hilfstabellen_Mat&amp;Bem'!$BD$31*($E41-0.3)+$E41^2)</f>
        <v>1.9456545748847378</v>
      </c>
      <c r="G41" s="550">
        <f t="shared" si="7"/>
        <v>0.33776151113330388</v>
      </c>
      <c r="I41" s="551">
        <f t="shared" si="8"/>
        <v>2921.2993097919452</v>
      </c>
      <c r="M41" s="546">
        <f t="shared" si="9"/>
        <v>93</v>
      </c>
      <c r="N41" s="551">
        <f t="shared" si="0"/>
        <v>108.02037294515578</v>
      </c>
      <c r="O41" s="553">
        <f>$N41/PI()*SQRT('Hilfstabellen_Mat&amp;Bem'!f.Rd.3/'Hilfstabellen_Mat&amp;Bem'!$BD$30)</f>
        <v>1.719197630885158</v>
      </c>
      <c r="P41" s="553">
        <f>0.5*(1+'Hilfstabellen_Mat&amp;Bem'!$BD$31*($O41-0.3)+$O41^2)</f>
        <v>2.0487801285648279</v>
      </c>
      <c r="Q41" s="550">
        <f t="shared" si="1"/>
        <v>0.31613879327486527</v>
      </c>
      <c r="S41" s="551">
        <f t="shared" si="10"/>
        <v>2734.2844230343098</v>
      </c>
      <c r="W41" s="546">
        <f t="shared" si="11"/>
        <v>93</v>
      </c>
      <c r="X41" s="551">
        <f t="shared" si="2"/>
        <v>111.74521339154046</v>
      </c>
      <c r="Y41" s="553">
        <f>$X41/PI()*SQRT('Hilfstabellen_Mat&amp;Bem'!f.Rd.3/'Hilfstabellen_Mat&amp;Bem'!$BD$30)</f>
        <v>1.7784803078122324</v>
      </c>
      <c r="Z41" s="553">
        <f>0.5*(1+'Hilfstabellen_Mat&amp;Bem'!$BD$31*($Y41-0.3)+$Y41^2)</f>
        <v>2.1554201180285584</v>
      </c>
      <c r="AA41" s="550">
        <f t="shared" si="3"/>
        <v>0.29645960746415673</v>
      </c>
      <c r="AC41" s="551">
        <f t="shared" si="12"/>
        <v>2564.0791449574917</v>
      </c>
      <c r="AG41" s="546">
        <f t="shared" si="13"/>
        <v>93</v>
      </c>
      <c r="AH41" s="551">
        <f t="shared" si="4"/>
        <v>115.47005383792515</v>
      </c>
      <c r="AI41" s="553">
        <f>$AH41/PI()*SQRT('Hilfstabellen_Mat&amp;Bem'!f.Rd.3/'Hilfstabellen_Mat&amp;Bem'!$BD$30)</f>
        <v>1.8377629847393071</v>
      </c>
      <c r="AJ41" s="553">
        <f>0.5*(1+'Hilfstabellen_Mat&amp;Bem'!$BD$31*($AI41-0.3)+$AI41^2)</f>
        <v>2.2655745432759287</v>
      </c>
      <c r="AK41" s="550">
        <f t="shared" si="5"/>
        <v>0.27851192942466541</v>
      </c>
      <c r="AM41" s="551">
        <f t="shared" si="14"/>
        <v>2408.8496775939311</v>
      </c>
      <c r="AQ41" s="546">
        <f t="shared" si="15"/>
        <v>93</v>
      </c>
      <c r="AR41" s="551">
        <f t="shared" si="16"/>
        <v>119.19489428430983</v>
      </c>
      <c r="AS41" s="553">
        <f>$AR41/PI()*SQRT('Hilfstabellen_Mat&amp;Bem'!f.Rd.3/'Hilfstabellen_Mat&amp;Bem'!$BD$30)</f>
        <v>1.8970456616663811</v>
      </c>
      <c r="AT41" s="553">
        <f>0.5*(1+'Hilfstabellen_Mat&amp;Bem'!$BD$31*($AS41-0.3)+$AS41^2)</f>
        <v>2.3792434043069379</v>
      </c>
      <c r="AU41" s="550">
        <f t="shared" si="17"/>
        <v>0.26210836632971107</v>
      </c>
      <c r="AW41" s="551">
        <f t="shared" si="18"/>
        <v>2266.9752603856709</v>
      </c>
      <c r="BA41" s="546">
        <f t="shared" si="19"/>
        <v>93</v>
      </c>
      <c r="BB41" s="551">
        <f t="shared" si="20"/>
        <v>122.91973473069451</v>
      </c>
      <c r="BC41" s="553">
        <f>$BB41/PI()*SQRT('Hilfstabellen_Mat&amp;Bem'!f.Rd.3/'Hilfstabellen_Mat&amp;Bem'!$BD$30)</f>
        <v>1.9563283385934558</v>
      </c>
      <c r="BD41" s="553">
        <f>0.5*(1+'Hilfstabellen_Mat&amp;Bem'!$BD$31*($BC41-0.3)+$BC41^2)</f>
        <v>2.4964267011215884</v>
      </c>
      <c r="BE41" s="550">
        <f t="shared" si="21"/>
        <v>0.24708385522344639</v>
      </c>
      <c r="BG41" s="551">
        <f t="shared" si="22"/>
        <v>2137.028263827588</v>
      </c>
      <c r="BK41" s="546">
        <f t="shared" si="23"/>
        <v>93</v>
      </c>
      <c r="BL41" s="551">
        <f t="shared" si="24"/>
        <v>126.6445751770792</v>
      </c>
      <c r="BM41" s="553">
        <f>$BL41/PI()*SQRT('Hilfstabellen_Mat&amp;Bem'!f.Rd.3/'Hilfstabellen_Mat&amp;Bem'!$BD$30)</f>
        <v>2.01561101552053</v>
      </c>
      <c r="BN41" s="553">
        <f>0.5*(1+'Hilfstabellen_Mat&amp;Bem'!$BD$31*($BM41-0.3)+$BM41^2)</f>
        <v>2.6171244337198774</v>
      </c>
      <c r="BO41" s="550">
        <f t="shared" si="25"/>
        <v>0.23329320820676583</v>
      </c>
      <c r="BQ41" s="551">
        <f t="shared" si="26"/>
        <v>2017.7529577803177</v>
      </c>
      <c r="BU41" s="546">
        <f t="shared" si="27"/>
        <v>93</v>
      </c>
      <c r="BV41" s="551">
        <f t="shared" si="28"/>
        <v>130.36941562346388</v>
      </c>
      <c r="BW41" s="553">
        <f>$BV41/PI()*SQRT('Hilfstabellen_Mat&amp;Bem'!f.Rd.3/'Hilfstabellen_Mat&amp;Bem'!$BD$30)</f>
        <v>2.0748936924476045</v>
      </c>
      <c r="BX41" s="553">
        <f>0.5*(1+'Hilfstabellen_Mat&amp;Bem'!$BD$31*($BW41-0.3)+$BW41^2)</f>
        <v>2.7413366021018075</v>
      </c>
      <c r="BY41" s="550">
        <f t="shared" si="29"/>
        <v>0.22060873723597529</v>
      </c>
      <c r="CA41" s="551">
        <f t="shared" si="30"/>
        <v>1908.0449683539503</v>
      </c>
      <c r="CE41" s="546">
        <f t="shared" si="31"/>
        <v>93</v>
      </c>
      <c r="CF41" s="551">
        <f t="shared" si="32"/>
        <v>134.09425606984857</v>
      </c>
      <c r="CG41" s="553">
        <f>CF41/PI()*SQRT('Hilfstabellen_Mat&amp;Bem'!f.Rd.3/'Hilfstabellen_Mat&amp;Bem'!$BD$30)</f>
        <v>2.1341763693746794</v>
      </c>
      <c r="CH41" s="553">
        <f>0.5*(1+'Hilfstabellen_Mat&amp;Bem'!$BD$31*(CG41-0.3)+CG41^2)</f>
        <v>2.869063206267378</v>
      </c>
      <c r="CI41" s="550">
        <f t="shared" si="33"/>
        <v>0.20891806612789568</v>
      </c>
      <c r="CK41" s="551">
        <f t="shared" si="34"/>
        <v>1806.9323539401698</v>
      </c>
      <c r="CO41" s="546">
        <f t="shared" si="35"/>
        <v>93</v>
      </c>
      <c r="CP41" s="551">
        <f t="shared" si="36"/>
        <v>137.81909651623323</v>
      </c>
      <c r="CQ41" s="553">
        <f>CP41/PI()*SQRT('Hilfstabellen_Mat&amp;Bem'!f.Rd.3/'Hilfstabellen_Mat&amp;Bem'!$BD$30)</f>
        <v>2.1934590463017534</v>
      </c>
      <c r="CR41" s="553">
        <f>0.5*(1+'Hilfstabellen_Mat&amp;Bem'!$BD$31*(CQ41-0.3)+CQ41^2)</f>
        <v>3.0003042462165865</v>
      </c>
      <c r="CS41" s="550">
        <f t="shared" si="37"/>
        <v>0.19812217001803095</v>
      </c>
      <c r="CU41" s="551">
        <f t="shared" si="38"/>
        <v>1713.5586484859498</v>
      </c>
      <c r="CY41" s="546">
        <f t="shared" si="39"/>
        <v>93</v>
      </c>
      <c r="CZ41" s="551">
        <f t="shared" si="40"/>
        <v>141.54393696261792</v>
      </c>
      <c r="DA41" s="553">
        <f>CZ41/PI()*SQRT('Hilfstabellen_Mat&amp;Bem'!f.Rd.3/'Hilfstabellen_Mat&amp;Bem'!$BD$30)</f>
        <v>2.2527417232288278</v>
      </c>
      <c r="DB41" s="553">
        <f>0.5*(1+'Hilfstabellen_Mat&amp;Bem'!$BD$31*(DA41-0.3)+DA41^2)</f>
        <v>3.1350597219494358</v>
      </c>
      <c r="DC41" s="550">
        <f t="shared" si="41"/>
        <v>0.1881336472859291</v>
      </c>
      <c r="DE41" s="551">
        <f t="shared" si="42"/>
        <v>1627.1679153760008</v>
      </c>
      <c r="DI41" s="546">
        <f t="shared" si="43"/>
        <v>93</v>
      </c>
      <c r="DJ41" s="551">
        <f t="shared" si="44"/>
        <v>145.26877740900261</v>
      </c>
      <c r="DK41" s="553">
        <f>DJ41/PI()*SQRT('Hilfstabellen_Mat&amp;Bem'!f.Rd.3/'Hilfstabellen_Mat&amp;Bem'!$BD$30)</f>
        <v>2.3120244001559023</v>
      </c>
      <c r="DL41" s="553">
        <f>0.5*(1+'Hilfstabellen_Mat&amp;Bem'!$BD$31*(DK41-0.3)+DK41^2)</f>
        <v>3.273329633465925</v>
      </c>
      <c r="DM41" s="550">
        <f t="shared" si="45"/>
        <v>0.17887521149776997</v>
      </c>
      <c r="DO41" s="551">
        <f t="shared" si="46"/>
        <v>1547.0917042442125</v>
      </c>
      <c r="DS41" s="546">
        <f t="shared" si="47"/>
        <v>93</v>
      </c>
      <c r="DT41" s="551">
        <f t="shared" si="48"/>
        <v>148.99361785538727</v>
      </c>
      <c r="DU41" s="553">
        <f>DT41/PI()*SQRT('Hilfstabellen_Mat&amp;Bem'!f.Rd.3/'Hilfstabellen_Mat&amp;Bem'!$BD$30)</f>
        <v>2.3713070770829763</v>
      </c>
      <c r="DV41" s="553">
        <f>0.5*(1+'Hilfstabellen_Mat&amp;Bem'!$BD$31*(DU41-0.3)+DU41^2)</f>
        <v>3.4151139807660531</v>
      </c>
      <c r="DW41" s="550">
        <f t="shared" si="49"/>
        <v>0.1702783832014734</v>
      </c>
      <c r="DY41" s="551">
        <f t="shared" si="50"/>
        <v>1472.7377363095434</v>
      </c>
      <c r="EC41" s="546">
        <f t="shared" si="51"/>
        <v>93</v>
      </c>
      <c r="ED41" s="551">
        <f t="shared" si="52"/>
        <v>152.71845830177196</v>
      </c>
      <c r="EE41" s="553">
        <f>ED41/PI()*SQRT('Hilfstabellen_Mat&amp;Bem'!f.Rd.3/'Hilfstabellen_Mat&amp;Bem'!$BD$30)</f>
        <v>2.4305897540100507</v>
      </c>
      <c r="EF41" s="553">
        <f>0.5*(1+'Hilfstabellen_Mat&amp;Bem'!$BD$31*(EE41-0.3)+EE41^2)</f>
        <v>3.560412763849822</v>
      </c>
      <c r="EG41" s="550">
        <f t="shared" si="53"/>
        <v>0.16228235894701548</v>
      </c>
      <c r="EI41" s="551">
        <f t="shared" si="54"/>
        <v>1403.5801225327368</v>
      </c>
      <c r="EM41" s="546">
        <f t="shared" si="55"/>
        <v>93</v>
      </c>
      <c r="EN41" s="551">
        <f t="shared" si="56"/>
        <v>156.44329874815665</v>
      </c>
      <c r="EO41" s="553">
        <f>EN41/PI()*SQRT('Hilfstabellen_Mat&amp;Bem'!f.Rd.3/'Hilfstabellen_Mat&amp;Bem'!$BD$30)</f>
        <v>2.4898724309371256</v>
      </c>
      <c r="EP41" s="553">
        <f>0.5*(1+'Hilfstabellen_Mat&amp;Bem'!$BD$31*(EO41-0.3)+EO41^2)</f>
        <v>3.709225982717232</v>
      </c>
      <c r="EQ41" s="550">
        <f t="shared" si="57"/>
        <v>0.1548330351717187</v>
      </c>
      <c r="ES41" s="551">
        <f t="shared" si="58"/>
        <v>1339.1509212001952</v>
      </c>
    </row>
    <row r="42" spans="3:149">
      <c r="C42" s="546">
        <v>94</v>
      </c>
      <c r="D42" s="551">
        <f t="shared" si="6"/>
        <v>103.18600555729481</v>
      </c>
      <c r="E42" s="553">
        <f>$D42/PI()*SQRT('Hilfstabellen_Mat&amp;Bem'!f.Rd.3/'Hilfstabellen_Mat&amp;Bem'!$BD$30)</f>
        <v>1.6422562842351252</v>
      </c>
      <c r="F42" s="553">
        <f>0.5*(1+'Hilfstabellen_Mat&amp;Bem'!$BD$31*($E42-0.3)+$E42^2)</f>
        <v>1.9156156657666363</v>
      </c>
      <c r="G42" s="550">
        <f t="shared" si="7"/>
        <v>0.34461259615100509</v>
      </c>
      <c r="I42" s="551">
        <f t="shared" si="8"/>
        <v>3044.9968995902809</v>
      </c>
      <c r="M42" s="546">
        <f t="shared" si="9"/>
        <v>94</v>
      </c>
      <c r="N42" s="551">
        <f t="shared" si="0"/>
        <v>106.87122004148391</v>
      </c>
      <c r="O42" s="553">
        <f>$N42/PI()*SQRT('Hilfstabellen_Mat&amp;Bem'!f.Rd.3/'Hilfstabellen_Mat&amp;Bem'!$BD$30)</f>
        <v>1.7009082943863796</v>
      </c>
      <c r="P42" s="553">
        <f>0.5*(1+'Hilfstabellen_Mat&amp;Bem'!$BD$31*($O42-0.3)+$O42^2)</f>
        <v>2.0165899276755104</v>
      </c>
      <c r="Q42" s="550">
        <f t="shared" si="1"/>
        <v>0.32259176229815539</v>
      </c>
      <c r="S42" s="551">
        <f t="shared" si="10"/>
        <v>2850.4208116665009</v>
      </c>
      <c r="W42" s="546">
        <f t="shared" si="11"/>
        <v>94</v>
      </c>
      <c r="X42" s="551">
        <f t="shared" si="2"/>
        <v>110.55643452567301</v>
      </c>
      <c r="Y42" s="553">
        <f>$X42/PI()*SQRT('Hilfstabellen_Mat&amp;Bem'!f.Rd.3/'Hilfstabellen_Mat&amp;Bem'!$BD$30)</f>
        <v>1.7595603045376345</v>
      </c>
      <c r="Z42" s="553">
        <f>0.5*(1+'Hilfstabellen_Mat&amp;Bem'!$BD$31*($Y42-0.3)+$Y42^2)</f>
        <v>2.121004247879168</v>
      </c>
      <c r="AA42" s="550">
        <f t="shared" si="3"/>
        <v>0.30254246133491197</v>
      </c>
      <c r="AC42" s="551">
        <f t="shared" si="12"/>
        <v>2673.2651883552821</v>
      </c>
      <c r="AG42" s="546">
        <f t="shared" si="13"/>
        <v>94</v>
      </c>
      <c r="AH42" s="551">
        <f t="shared" si="4"/>
        <v>114.24164900986212</v>
      </c>
      <c r="AI42" s="553">
        <f>$AH42/PI()*SQRT('Hilfstabellen_Mat&amp;Bem'!f.Rd.3/'Hilfstabellen_Mat&amp;Bem'!$BD$30)</f>
        <v>1.8182123146888889</v>
      </c>
      <c r="AJ42" s="553">
        <f>0.5*(1+'Hilfstabellen_Mat&amp;Bem'!$BD$31*($AI42-0.3)+$AI42^2)</f>
        <v>2.2288586263776082</v>
      </c>
      <c r="AK42" s="550">
        <f t="shared" si="5"/>
        <v>0.28425149875310157</v>
      </c>
      <c r="AM42" s="551">
        <f t="shared" si="14"/>
        <v>2511.6462429824055</v>
      </c>
      <c r="AQ42" s="546">
        <f t="shared" si="15"/>
        <v>94</v>
      </c>
      <c r="AR42" s="551">
        <f t="shared" si="16"/>
        <v>117.9268634940512</v>
      </c>
      <c r="AS42" s="553">
        <f>$AR42/PI()*SQRT('Hilfstabellen_Mat&amp;Bem'!f.Rd.3/'Hilfstabellen_Mat&amp;Bem'!$BD$30)</f>
        <v>1.8768643248401429</v>
      </c>
      <c r="AT42" s="553">
        <f>0.5*(1+'Hilfstabellen_Mat&amp;Bem'!$BD$31*($AS42-0.3)+$AS42^2)</f>
        <v>2.3401530631708298</v>
      </c>
      <c r="AU42" s="550">
        <f t="shared" si="17"/>
        <v>0.26752989222113133</v>
      </c>
      <c r="AW42" s="551">
        <f t="shared" si="18"/>
        <v>2363.8941276659166</v>
      </c>
      <c r="BA42" s="546">
        <f t="shared" si="19"/>
        <v>94</v>
      </c>
      <c r="BB42" s="551">
        <f t="shared" si="20"/>
        <v>121.61207797824031</v>
      </c>
      <c r="BC42" s="553">
        <f>$BB42/PI()*SQRT('Hilfstabellen_Mat&amp;Bem'!f.Rd.3/'Hilfstabellen_Mat&amp;Bem'!$BD$30)</f>
        <v>1.9355163349913977</v>
      </c>
      <c r="BD42" s="553">
        <f>0.5*(1+'Hilfstabellen_Mat&amp;Bem'!$BD$31*($BC42-0.3)+$BC42^2)</f>
        <v>2.4548875582588363</v>
      </c>
      <c r="BE42" s="550">
        <f t="shared" si="21"/>
        <v>0.25221081435347931</v>
      </c>
      <c r="BG42" s="551">
        <f t="shared" si="22"/>
        <v>2228.5347556273432</v>
      </c>
      <c r="BK42" s="546">
        <f t="shared" si="23"/>
        <v>94</v>
      </c>
      <c r="BL42" s="551">
        <f t="shared" si="24"/>
        <v>125.29729246242941</v>
      </c>
      <c r="BM42" s="553">
        <f>$BL42/PI()*SQRT('Hilfstabellen_Mat&amp;Bem'!f.Rd.3/'Hilfstabellen_Mat&amp;Bem'!$BD$30)</f>
        <v>1.9941683451426522</v>
      </c>
      <c r="BN42" s="553">
        <f>0.5*(1+'Hilfstabellen_Mat&amp;Bem'!$BD$31*($BM42-0.3)+$BM42^2)</f>
        <v>2.5730621116416246</v>
      </c>
      <c r="BO42" s="550">
        <f t="shared" si="25"/>
        <v>0.23814728044824904</v>
      </c>
      <c r="BQ42" s="551">
        <f t="shared" si="26"/>
        <v>2104.2693700407285</v>
      </c>
      <c r="BU42" s="546">
        <f t="shared" si="27"/>
        <v>94</v>
      </c>
      <c r="BV42" s="551">
        <f t="shared" si="28"/>
        <v>128.98250694661851</v>
      </c>
      <c r="BW42" s="553">
        <f>$BV42/PI()*SQRT('Hilfstabellen_Mat&amp;Bem'!f.Rd.3/'Hilfstabellen_Mat&amp;Bem'!$BD$30)</f>
        <v>2.0528203552939064</v>
      </c>
      <c r="BX42" s="553">
        <f>0.5*(1+'Hilfstabellen_Mat&amp;Bem'!$BD$31*($BW42-0.3)+$BW42^2)</f>
        <v>2.6946767233191951</v>
      </c>
      <c r="BY42" s="550">
        <f t="shared" si="29"/>
        <v>0.22520985422388951</v>
      </c>
      <c r="CA42" s="551">
        <f t="shared" si="30"/>
        <v>1989.9542719222877</v>
      </c>
      <c r="CE42" s="546">
        <f t="shared" si="31"/>
        <v>94</v>
      </c>
      <c r="CF42" s="551">
        <f t="shared" si="32"/>
        <v>132.66772143080763</v>
      </c>
      <c r="CG42" s="553">
        <f>CF42/PI()*SQRT('Hilfstabellen_Mat&amp;Bem'!f.Rd.3/'Hilfstabellen_Mat&amp;Bem'!$BD$30)</f>
        <v>2.1114723654451613</v>
      </c>
      <c r="CH42" s="553">
        <f>0.5*(1+'Hilfstabellen_Mat&amp;Bem'!$BD$31*(CG42-0.3)+CG42^2)</f>
        <v>2.8197313932915504</v>
      </c>
      <c r="CI42" s="550">
        <f t="shared" si="33"/>
        <v>0.21328450342768726</v>
      </c>
      <c r="CK42" s="551">
        <f t="shared" si="34"/>
        <v>1884.5818722870447</v>
      </c>
      <c r="CO42" s="546">
        <f t="shared" si="35"/>
        <v>94</v>
      </c>
      <c r="CP42" s="551">
        <f t="shared" si="36"/>
        <v>136.35293591499672</v>
      </c>
      <c r="CQ42" s="553">
        <f>CP42/PI()*SQRT('Hilfstabellen_Mat&amp;Bem'!f.Rd.3/'Hilfstabellen_Mat&amp;Bem'!$BD$30)</f>
        <v>2.1701243755964157</v>
      </c>
      <c r="CR42" s="553">
        <f>0.5*(1+'Hilfstabellen_Mat&amp;Bem'!$BD$31*(CQ42-0.3)+CQ42^2)</f>
        <v>2.9482261215586876</v>
      </c>
      <c r="CS42" s="550">
        <f t="shared" si="37"/>
        <v>0.20227066034320321</v>
      </c>
      <c r="CU42" s="551">
        <f t="shared" si="38"/>
        <v>1787.2635547925436</v>
      </c>
      <c r="CY42" s="546">
        <f t="shared" si="39"/>
        <v>94</v>
      </c>
      <c r="CZ42" s="551">
        <f t="shared" si="40"/>
        <v>140.03815039918581</v>
      </c>
      <c r="DA42" s="553">
        <f>CZ42/PI()*SQRT('Hilfstabellen_Mat&amp;Bem'!f.Rd.3/'Hilfstabellen_Mat&amp;Bem'!$BD$30)</f>
        <v>2.2287763857476697</v>
      </c>
      <c r="DB42" s="553">
        <f>0.5*(1+'Hilfstabellen_Mat&amp;Bem'!$BD$31*(DA42-0.3)+DA42^2)</f>
        <v>3.0801609081206065</v>
      </c>
      <c r="DC42" s="550">
        <f t="shared" si="41"/>
        <v>0.19207950126860165</v>
      </c>
      <c r="DE42" s="551">
        <f t="shared" si="42"/>
        <v>1697.2144732093643</v>
      </c>
      <c r="DI42" s="546">
        <f t="shared" si="43"/>
        <v>94</v>
      </c>
      <c r="DJ42" s="551">
        <f t="shared" si="44"/>
        <v>143.72336488337493</v>
      </c>
      <c r="DK42" s="553">
        <f>DJ42/PI()*SQRT('Hilfstabellen_Mat&amp;Bem'!f.Rd.3/'Hilfstabellen_Mat&amp;Bem'!$BD$30)</f>
        <v>2.2874283958989245</v>
      </c>
      <c r="DL42" s="553">
        <f>0.5*(1+'Hilfstabellen_Mat&amp;Bem'!$BD$31*(DK42-0.3)+DK42^2)</f>
        <v>3.2155357529773099</v>
      </c>
      <c r="DM42" s="550">
        <f t="shared" si="45"/>
        <v>0.18263243809313043</v>
      </c>
      <c r="DO42" s="551">
        <f t="shared" si="46"/>
        <v>1613.7402229909005</v>
      </c>
      <c r="DS42" s="546">
        <f t="shared" si="47"/>
        <v>94</v>
      </c>
      <c r="DT42" s="551">
        <f t="shared" si="48"/>
        <v>147.40857936756402</v>
      </c>
      <c r="DU42" s="553">
        <f>DT42/PI()*SQRT('Hilfstabellen_Mat&amp;Bem'!f.Rd.3/'Hilfstabellen_Mat&amp;Bem'!$BD$30)</f>
        <v>2.346080406050179</v>
      </c>
      <c r="DV42" s="553">
        <f>0.5*(1+'Hilfstabellen_Mat&amp;Bem'!$BD$31*(DU42-0.3)+DU42^2)</f>
        <v>3.354350656128795</v>
      </c>
      <c r="DW42" s="550">
        <f t="shared" si="49"/>
        <v>0.17385980524801789</v>
      </c>
      <c r="DY42" s="551">
        <f t="shared" si="50"/>
        <v>1536.225239171486</v>
      </c>
      <c r="EC42" s="546">
        <f t="shared" si="51"/>
        <v>94</v>
      </c>
      <c r="ED42" s="551">
        <f t="shared" si="52"/>
        <v>151.09379385175311</v>
      </c>
      <c r="EE42" s="553">
        <f>ED42/PI()*SQRT('Hilfstabellen_Mat&amp;Bem'!f.Rd.3/'Hilfstabellen_Mat&amp;Bem'!$BD$30)</f>
        <v>2.4047324162014334</v>
      </c>
      <c r="EF42" s="553">
        <f>0.5*(1+'Hilfstabellen_Mat&amp;Bem'!$BD$31*(EE42-0.3)+EE42^2)</f>
        <v>3.4966056175750637</v>
      </c>
      <c r="EG42" s="550">
        <f t="shared" si="53"/>
        <v>0.16569972152366691</v>
      </c>
      <c r="EI42" s="551">
        <f t="shared" si="54"/>
        <v>1464.1227393831209</v>
      </c>
      <c r="EM42" s="546">
        <f t="shared" si="55"/>
        <v>94</v>
      </c>
      <c r="EN42" s="551">
        <f t="shared" si="56"/>
        <v>154.77900833594219</v>
      </c>
      <c r="EO42" s="553">
        <f>EN42/PI()*SQRT('Hilfstabellen_Mat&amp;Bem'!f.Rd.3/'Hilfstabellen_Mat&amp;Bem'!$BD$30)</f>
        <v>2.4633844263526878</v>
      </c>
      <c r="EP42" s="553">
        <f>0.5*(1+'Hilfstabellen_Mat&amp;Bem'!$BD$31*(EO42-0.3)+EO42^2)</f>
        <v>3.6423006373161151</v>
      </c>
      <c r="EQ42" s="550">
        <f t="shared" si="57"/>
        <v>0.15809710568890389</v>
      </c>
      <c r="ES42" s="551">
        <f t="shared" si="58"/>
        <v>1396.9460258671547</v>
      </c>
    </row>
    <row r="43" spans="3:149">
      <c r="C43" s="546">
        <v>95</v>
      </c>
      <c r="D43" s="551">
        <f t="shared" si="6"/>
        <v>102.09983707774434</v>
      </c>
      <c r="E43" s="553">
        <f>$D43/PI()*SQRT('Hilfstabellen_Mat&amp;Bem'!f.Rd.3/'Hilfstabellen_Mat&amp;Bem'!$BD$30)</f>
        <v>1.6249693759800188</v>
      </c>
      <c r="F43" s="553">
        <f>0.5*(1+'Hilfstabellen_Mat&amp;Bem'!$BD$31*($E43-0.3)+$E43^2)</f>
        <v>1.8865112052354469</v>
      </c>
      <c r="G43" s="550">
        <f t="shared" si="7"/>
        <v>0.35151329686610633</v>
      </c>
      <c r="I43" s="551">
        <f t="shared" si="8"/>
        <v>3172.4075042166096</v>
      </c>
      <c r="M43" s="546">
        <f t="shared" si="9"/>
        <v>95</v>
      </c>
      <c r="N43" s="551">
        <f t="shared" si="0"/>
        <v>105.74625983052093</v>
      </c>
      <c r="O43" s="553">
        <f>$N43/PI()*SQRT('Hilfstabellen_Mat&amp;Bem'!f.Rd.3/'Hilfstabellen_Mat&amp;Bem'!$BD$30)</f>
        <v>1.6830039965507337</v>
      </c>
      <c r="P43" s="553">
        <f>0.5*(1+'Hilfstabellen_Mat&amp;Bem'!$BD$31*($O43-0.3)+$O43^2)</f>
        <v>1.9854014260304078</v>
      </c>
      <c r="Q43" s="550">
        <f t="shared" si="1"/>
        <v>0.32909434423468448</v>
      </c>
      <c r="S43" s="551">
        <f t="shared" si="10"/>
        <v>2970.0764567180272</v>
      </c>
      <c r="W43" s="546">
        <f t="shared" si="11"/>
        <v>95</v>
      </c>
      <c r="X43" s="551">
        <f t="shared" si="2"/>
        <v>109.3926825832975</v>
      </c>
      <c r="Y43" s="553">
        <f>$X43/PI()*SQRT('Hilfstabellen_Mat&amp;Bem'!f.Rd.3/'Hilfstabellen_Mat&amp;Bem'!$BD$30)</f>
        <v>1.7410386171214485</v>
      </c>
      <c r="Z43" s="553">
        <f>0.5*(1+'Hilfstabellen_Mat&amp;Bem'!$BD$31*($Y43-0.3)+$Y43^2)</f>
        <v>2.0876596640101552</v>
      </c>
      <c r="AA43" s="550">
        <f t="shared" si="3"/>
        <v>0.30867425820666311</v>
      </c>
      <c r="AC43" s="551">
        <f t="shared" si="12"/>
        <v>2785.7851803151348</v>
      </c>
      <c r="AG43" s="546">
        <f t="shared" si="13"/>
        <v>95</v>
      </c>
      <c r="AH43" s="551">
        <f t="shared" si="4"/>
        <v>113.03910533607407</v>
      </c>
      <c r="AI43" s="553">
        <f>$AH43/PI()*SQRT('Hilfstabellen_Mat&amp;Bem'!f.Rd.3/'Hilfstabellen_Mat&amp;Bem'!$BD$30)</f>
        <v>1.7990732376921632</v>
      </c>
      <c r="AJ43" s="553">
        <f>0.5*(1+'Hilfstabellen_Mat&amp;Bem'!$BD$31*($AI43-0.3)+$AI43^2)</f>
        <v>2.1932859191746896</v>
      </c>
      <c r="AK43" s="550">
        <f t="shared" si="5"/>
        <v>0.29003891810757404</v>
      </c>
      <c r="AM43" s="551">
        <f t="shared" si="14"/>
        <v>2617.6012359208557</v>
      </c>
      <c r="AQ43" s="546">
        <f t="shared" si="15"/>
        <v>95</v>
      </c>
      <c r="AR43" s="551">
        <f t="shared" si="16"/>
        <v>116.68552808885067</v>
      </c>
      <c r="AS43" s="553">
        <f>$AR43/PI()*SQRT('Hilfstabellen_Mat&amp;Bem'!f.Rd.3/'Hilfstabellen_Mat&amp;Bem'!$BD$30)</f>
        <v>1.8571078582628786</v>
      </c>
      <c r="AT43" s="553">
        <f>0.5*(1+'Hilfstabellen_Mat&amp;Bem'!$BD$31*($AS43-0.3)+$AS43^2)</f>
        <v>2.3022801915240119</v>
      </c>
      <c r="AU43" s="550">
        <f t="shared" si="17"/>
        <v>0.27299791550624597</v>
      </c>
      <c r="AW43" s="551">
        <f t="shared" si="18"/>
        <v>2463.8061874438699</v>
      </c>
      <c r="BA43" s="546">
        <f t="shared" si="19"/>
        <v>95</v>
      </c>
      <c r="BB43" s="551">
        <f t="shared" si="20"/>
        <v>120.33195084162726</v>
      </c>
      <c r="BC43" s="553">
        <f>$BB43/PI()*SQRT('Hilfstabellen_Mat&amp;Bem'!f.Rd.3/'Hilfstabellen_Mat&amp;Bem'!$BD$30)</f>
        <v>1.9151424788335936</v>
      </c>
      <c r="BD43" s="553">
        <f>0.5*(1+'Hilfstabellen_Mat&amp;Bem'!$BD$31*($BC43-0.3)+$BC43^2)</f>
        <v>2.4146424810581202</v>
      </c>
      <c r="BE43" s="550">
        <f t="shared" si="21"/>
        <v>0.25738276853315772</v>
      </c>
      <c r="BG43" s="551">
        <f t="shared" si="22"/>
        <v>2322.8794860117487</v>
      </c>
      <c r="BK43" s="546">
        <f t="shared" si="23"/>
        <v>95</v>
      </c>
      <c r="BL43" s="551">
        <f t="shared" si="24"/>
        <v>123.97837359440385</v>
      </c>
      <c r="BM43" s="553">
        <f>$BL43/PI()*SQRT('Hilfstabellen_Mat&amp;Bem'!f.Rd.3/'Hilfstabellen_Mat&amp;Bem'!$BD$30)</f>
        <v>1.9731770994043085</v>
      </c>
      <c r="BN43" s="553">
        <f>0.5*(1+'Hilfstabellen_Mat&amp;Bem'!$BD$31*($BM43-0.3)+$BM43^2)</f>
        <v>2.5303727877770155</v>
      </c>
      <c r="BO43" s="550">
        <f t="shared" si="25"/>
        <v>0.24304476983000645</v>
      </c>
      <c r="BQ43" s="551">
        <f t="shared" si="26"/>
        <v>2193.4790477158081</v>
      </c>
      <c r="BU43" s="546">
        <f t="shared" si="27"/>
        <v>95</v>
      </c>
      <c r="BV43" s="551">
        <f t="shared" si="28"/>
        <v>127.62479634718044</v>
      </c>
      <c r="BW43" s="553">
        <f>$BV43/PI()*SQRT('Hilfstabellen_Mat&amp;Bem'!f.Rd.3/'Hilfstabellen_Mat&amp;Bem'!$BD$30)</f>
        <v>2.0312117199750235</v>
      </c>
      <c r="BX43" s="553">
        <f>0.5*(1+'Hilfstabellen_Mat&amp;Bem'!$BD$31*($BW43-0.3)+$BW43^2)</f>
        <v>2.6494711116806977</v>
      </c>
      <c r="BY43" s="550">
        <f t="shared" si="29"/>
        <v>0.22985278481662202</v>
      </c>
      <c r="CA43" s="551">
        <f t="shared" si="30"/>
        <v>2074.4213829700138</v>
      </c>
      <c r="CE43" s="546">
        <f t="shared" si="31"/>
        <v>95</v>
      </c>
      <c r="CF43" s="551">
        <f t="shared" si="32"/>
        <v>131.27121909995699</v>
      </c>
      <c r="CG43" s="553">
        <f>CF43/PI()*SQRT('Hilfstabellen_Mat&amp;Bem'!f.Rd.3/'Hilfstabellen_Mat&amp;Bem'!$BD$30)</f>
        <v>2.089246340545738</v>
      </c>
      <c r="CH43" s="553">
        <f>0.5*(1+'Hilfstabellen_Mat&amp;Bem'!$BD$31*(CG43-0.3)+CG43^2)</f>
        <v>2.7719374527691656</v>
      </c>
      <c r="CI43" s="550">
        <f t="shared" si="33"/>
        <v>0.21769115859949942</v>
      </c>
      <c r="CK43" s="551">
        <f t="shared" si="34"/>
        <v>1964.6627063604822</v>
      </c>
      <c r="CO43" s="546">
        <f t="shared" si="35"/>
        <v>95</v>
      </c>
      <c r="CP43" s="551">
        <f t="shared" si="36"/>
        <v>134.9176418527336</v>
      </c>
      <c r="CQ43" s="553">
        <f>CP43/PI()*SQRT('Hilfstabellen_Mat&amp;Bem'!f.Rd.3/'Hilfstabellen_Mat&amp;Bem'!$BD$30)</f>
        <v>2.1472809611164534</v>
      </c>
      <c r="CR43" s="553">
        <f>0.5*(1+'Hilfstabellen_Mat&amp;Bem'!$BD$31*(CQ43-0.3)+CQ43^2)</f>
        <v>2.8977718110424227</v>
      </c>
      <c r="CS43" s="550">
        <f t="shared" si="37"/>
        <v>0.20645780269663713</v>
      </c>
      <c r="CU43" s="551">
        <f t="shared" si="38"/>
        <v>1863.2816693371501</v>
      </c>
      <c r="CY43" s="546">
        <f t="shared" si="39"/>
        <v>95</v>
      </c>
      <c r="CZ43" s="551">
        <f t="shared" si="40"/>
        <v>138.56406460551017</v>
      </c>
      <c r="DA43" s="553">
        <f>CZ43/PI()*SQRT('Hilfstabellen_Mat&amp;Bem'!f.Rd.3/'Hilfstabellen_Mat&amp;Bem'!$BD$30)</f>
        <v>2.2053155816871679</v>
      </c>
      <c r="DB43" s="553">
        <f>0.5*(1+'Hilfstabellen_Mat&amp;Bem'!$BD$31*(DA43-0.3)+DA43^2)</f>
        <v>3.026974186500464</v>
      </c>
      <c r="DC43" s="550">
        <f t="shared" si="41"/>
        <v>0.19606248557633724</v>
      </c>
      <c r="DE43" s="551">
        <f t="shared" si="42"/>
        <v>1769.4639323264435</v>
      </c>
      <c r="DI43" s="546">
        <f t="shared" si="43"/>
        <v>95</v>
      </c>
      <c r="DJ43" s="551">
        <f t="shared" si="44"/>
        <v>142.21048735828677</v>
      </c>
      <c r="DK43" s="553">
        <f>DJ43/PI()*SQRT('Hilfstabellen_Mat&amp;Bem'!f.Rd.3/'Hilfstabellen_Mat&amp;Bem'!$BD$30)</f>
        <v>2.2633502022578833</v>
      </c>
      <c r="DL43" s="553">
        <f>0.5*(1+'Hilfstabellen_Mat&amp;Bem'!$BD$31*(DK43-0.3)+DK43^2)</f>
        <v>3.159544579143295</v>
      </c>
      <c r="DM43" s="550">
        <f t="shared" si="45"/>
        <v>0.18642532627150901</v>
      </c>
      <c r="DO43" s="551">
        <f t="shared" si="46"/>
        <v>1682.4885696003689</v>
      </c>
      <c r="DS43" s="546">
        <f t="shared" si="47"/>
        <v>95</v>
      </c>
      <c r="DT43" s="551">
        <f t="shared" si="48"/>
        <v>145.85691011106334</v>
      </c>
      <c r="DU43" s="553">
        <f>DT43/PI()*SQRT('Hilfstabellen_Mat&amp;Bem'!f.Rd.3/'Hilfstabellen_Mat&amp;Bem'!$BD$30)</f>
        <v>2.3213848228285978</v>
      </c>
      <c r="DV43" s="553">
        <f>0.5*(1+'Hilfstabellen_Mat&amp;Bem'!$BD$31*(DU43-0.3)+DU43^2)</f>
        <v>3.2954829889709099</v>
      </c>
      <c r="DW43" s="550">
        <f t="shared" si="49"/>
        <v>0.17747547814850007</v>
      </c>
      <c r="DY43" s="551">
        <f t="shared" si="50"/>
        <v>1601.716190290213</v>
      </c>
      <c r="EC43" s="546">
        <f t="shared" si="51"/>
        <v>95</v>
      </c>
      <c r="ED43" s="551">
        <f t="shared" si="52"/>
        <v>149.50333286383992</v>
      </c>
      <c r="EE43" s="553">
        <f>ED43/PI()*SQRT('Hilfstabellen_Mat&amp;Bem'!f.Rd.3/'Hilfstabellen_Mat&amp;Bem'!$BD$30)</f>
        <v>2.3794194433993128</v>
      </c>
      <c r="EF43" s="553">
        <f>0.5*(1+'Hilfstabellen_Mat&amp;Bem'!$BD$31*(EE43-0.3)+EE43^2)</f>
        <v>3.4347894159833134</v>
      </c>
      <c r="EG43" s="550">
        <f t="shared" si="53"/>
        <v>0.16914998467928349</v>
      </c>
      <c r="EI43" s="551">
        <f t="shared" si="54"/>
        <v>1526.5786117305336</v>
      </c>
      <c r="EM43" s="546">
        <f t="shared" si="55"/>
        <v>95</v>
      </c>
      <c r="EN43" s="551">
        <f t="shared" si="56"/>
        <v>153.14975561661652</v>
      </c>
      <c r="EO43" s="553">
        <f>EN43/PI()*SQRT('Hilfstabellen_Mat&amp;Bem'!f.Rd.3/'Hilfstabellen_Mat&amp;Bem'!$BD$30)</f>
        <v>2.4374540639700282</v>
      </c>
      <c r="EP43" s="553">
        <f>0.5*(1+'Hilfstabellen_Mat&amp;Bem'!$BD$31*(EO43-0.3)+EO43^2)</f>
        <v>3.5774638601805044</v>
      </c>
      <c r="EQ43" s="550">
        <f t="shared" si="57"/>
        <v>0.16139278760682996</v>
      </c>
      <c r="ES43" s="551">
        <f t="shared" si="58"/>
        <v>1456.5699081516404</v>
      </c>
    </row>
    <row r="44" spans="3:149">
      <c r="C44" s="546">
        <v>96</v>
      </c>
      <c r="D44" s="551">
        <f t="shared" si="6"/>
        <v>101.03629710818451</v>
      </c>
      <c r="E44" s="553">
        <f>$D44/PI()*SQRT('Hilfstabellen_Mat&amp;Bem'!f.Rd.3/'Hilfstabellen_Mat&amp;Bem'!$BD$30)</f>
        <v>1.6080426116468935</v>
      </c>
      <c r="F44" s="553">
        <f>0.5*(1+'Hilfstabellen_Mat&amp;Bem'!$BD$31*($E44-0.3)+$E44^2)</f>
        <v>1.8583026510184257</v>
      </c>
      <c r="G44" s="550">
        <f t="shared" si="7"/>
        <v>0.35846240211117675</v>
      </c>
      <c r="I44" s="551">
        <f t="shared" si="8"/>
        <v>3303.5894978566048</v>
      </c>
      <c r="M44" s="546">
        <f t="shared" si="9"/>
        <v>96</v>
      </c>
      <c r="N44" s="551">
        <f t="shared" si="0"/>
        <v>104.64473629061966</v>
      </c>
      <c r="O44" s="553">
        <f>$N44/PI()*SQRT('Hilfstabellen_Mat&amp;Bem'!f.Rd.3/'Hilfstabellen_Mat&amp;Bem'!$BD$30)</f>
        <v>1.6654727049199967</v>
      </c>
      <c r="P44" s="553">
        <f>0.5*(1+'Hilfstabellen_Mat&amp;Bem'!$BD$31*($O44-0.3)+$O44^2)</f>
        <v>1.955173300662765</v>
      </c>
      <c r="Q44" s="550">
        <f t="shared" si="1"/>
        <v>0.33564558401560995</v>
      </c>
      <c r="S44" s="551">
        <f t="shared" si="10"/>
        <v>3093.3097022878615</v>
      </c>
      <c r="W44" s="546">
        <f t="shared" si="11"/>
        <v>96</v>
      </c>
      <c r="X44" s="551">
        <f t="shared" si="2"/>
        <v>108.25317547305482</v>
      </c>
      <c r="Y44" s="553">
        <f>$X44/PI()*SQRT('Hilfstabellen_Mat&amp;Bem'!f.Rd.3/'Hilfstabellen_Mat&amp;Bem'!$BD$30)</f>
        <v>1.7229027981931002</v>
      </c>
      <c r="Z44" s="553">
        <f>0.5*(1+'Hilfstabellen_Mat&amp;Bem'!$BD$31*($Y44-0.3)+$Y44^2)</f>
        <v>2.0553421659204623</v>
      </c>
      <c r="AA44" s="550">
        <f t="shared" si="3"/>
        <v>0.31485423448256039</v>
      </c>
      <c r="AC44" s="551">
        <f t="shared" si="12"/>
        <v>2901.6966249912766</v>
      </c>
      <c r="AG44" s="546">
        <f t="shared" si="13"/>
        <v>96</v>
      </c>
      <c r="AH44" s="551">
        <f t="shared" si="4"/>
        <v>111.86161465548997</v>
      </c>
      <c r="AI44" s="553">
        <f>$AH44/PI()*SQRT('Hilfstabellen_Mat&amp;Bem'!f.Rd.3/'Hilfstabellen_Mat&amp;Bem'!$BD$30)</f>
        <v>1.7803328914662033</v>
      </c>
      <c r="AJ44" s="553">
        <f>0.5*(1+'Hilfstabellen_Mat&amp;Bem'!$BD$31*($AI44-0.3)+$AI44^2)</f>
        <v>2.1588092467915159</v>
      </c>
      <c r="AK44" s="550">
        <f t="shared" si="5"/>
        <v>0.29587356909610485</v>
      </c>
      <c r="AM44" s="551">
        <f t="shared" si="14"/>
        <v>2726.7708127897022</v>
      </c>
      <c r="AQ44" s="546">
        <f t="shared" si="15"/>
        <v>96</v>
      </c>
      <c r="AR44" s="551">
        <f t="shared" si="16"/>
        <v>115.47005383792515</v>
      </c>
      <c r="AS44" s="553">
        <f>$AR44/PI()*SQRT('Hilfstabellen_Mat&amp;Bem'!f.Rd.3/'Hilfstabellen_Mat&amp;Bem'!$BD$30)</f>
        <v>1.8377629847393071</v>
      </c>
      <c r="AT44" s="553">
        <f>0.5*(1+'Hilfstabellen_Mat&amp;Bem'!$BD$31*($AS44-0.3)+$AS44^2)</f>
        <v>2.2655745432759287</v>
      </c>
      <c r="AU44" s="550">
        <f t="shared" si="17"/>
        <v>0.27851192942466541</v>
      </c>
      <c r="AW44" s="551">
        <f t="shared" si="18"/>
        <v>2566.7659415777161</v>
      </c>
      <c r="BA44" s="546">
        <f t="shared" si="19"/>
        <v>96</v>
      </c>
      <c r="BB44" s="551">
        <f t="shared" si="20"/>
        <v>119.07849302036031</v>
      </c>
      <c r="BC44" s="553">
        <f>$BB44/PI()*SQRT('Hilfstabellen_Mat&amp;Bem'!f.Rd.3/'Hilfstabellen_Mat&amp;Bem'!$BD$30)</f>
        <v>1.8951930780124102</v>
      </c>
      <c r="BD44" s="553">
        <f>0.5*(1+'Hilfstabellen_Mat&amp;Bem'!$BD$31*($BC44-0.3)+$BC44^2)</f>
        <v>2.3756380553736971</v>
      </c>
      <c r="BE44" s="550">
        <f t="shared" si="21"/>
        <v>0.26259929793780312</v>
      </c>
      <c r="BG44" s="551">
        <f t="shared" si="22"/>
        <v>2420.1151297947936</v>
      </c>
      <c r="BK44" s="546">
        <f t="shared" si="23"/>
        <v>96</v>
      </c>
      <c r="BL44" s="551">
        <f t="shared" si="24"/>
        <v>122.68693220279546</v>
      </c>
      <c r="BM44" s="553">
        <f>$BL44/PI()*SQRT('Hilfstabellen_Mat&amp;Bem'!f.Rd.3/'Hilfstabellen_Mat&amp;Bem'!$BD$30)</f>
        <v>1.9526231712855133</v>
      </c>
      <c r="BN44" s="553">
        <f>0.5*(1+'Hilfstabellen_Mat&amp;Bem'!$BD$31*($BM44-0.3)+$BM44^2)</f>
        <v>2.4889997830848234</v>
      </c>
      <c r="BO44" s="550">
        <f t="shared" si="25"/>
        <v>0.24798532505435411</v>
      </c>
      <c r="BQ44" s="551">
        <f t="shared" si="26"/>
        <v>2285.4327557009274</v>
      </c>
      <c r="BU44" s="546">
        <f t="shared" si="27"/>
        <v>96</v>
      </c>
      <c r="BV44" s="551">
        <f t="shared" si="28"/>
        <v>126.29537138523064</v>
      </c>
      <c r="BW44" s="553">
        <f>$BV44/PI()*SQRT('Hilfstabellen_Mat&amp;Bem'!f.Rd.3/'Hilfstabellen_Mat&amp;Bem'!$BD$30)</f>
        <v>2.0100532645586173</v>
      </c>
      <c r="BX44" s="553">
        <f>0.5*(1+'Hilfstabellen_Mat&amp;Bem'!$BD$31*($BW44-0.3)+$BW44^2)</f>
        <v>2.605659726409308</v>
      </c>
      <c r="BY44" s="550">
        <f t="shared" si="29"/>
        <v>0.23453723234549279</v>
      </c>
      <c r="CA44" s="551">
        <f t="shared" si="30"/>
        <v>2161.4951332960613</v>
      </c>
      <c r="CE44" s="546">
        <f t="shared" si="31"/>
        <v>96</v>
      </c>
      <c r="CF44" s="551">
        <f t="shared" si="32"/>
        <v>129.9038105676658</v>
      </c>
      <c r="CG44" s="553">
        <f>CF44/PI()*SQRT('Hilfstabellen_Mat&amp;Bem'!f.Rd.3/'Hilfstabellen_Mat&amp;Bem'!$BD$30)</f>
        <v>2.0674833578317204</v>
      </c>
      <c r="CH44" s="553">
        <f>0.5*(1+'Hilfstabellen_Mat&amp;Bem'!$BD$31*(CG44-0.3)+CG44^2)</f>
        <v>2.7256178853471487</v>
      </c>
      <c r="CI44" s="550">
        <f t="shared" si="33"/>
        <v>0.22213777898364473</v>
      </c>
      <c r="CK44" s="551">
        <f t="shared" si="34"/>
        <v>2047.2217711132698</v>
      </c>
      <c r="CO44" s="546">
        <f t="shared" si="35"/>
        <v>96</v>
      </c>
      <c r="CP44" s="551">
        <f t="shared" si="36"/>
        <v>133.51224975010095</v>
      </c>
      <c r="CQ44" s="553">
        <f>CP44/PI()*SQRT('Hilfstabellen_Mat&amp;Bem'!f.Rd.3/'Hilfstabellen_Mat&amp;Bem'!$BD$30)</f>
        <v>2.1249134511048235</v>
      </c>
      <c r="CR44" s="553">
        <f>0.5*(1+'Hilfstabellen_Mat&amp;Bem'!$BD$31*(CQ44-0.3)+CQ44^2)</f>
        <v>2.8488742598983468</v>
      </c>
      <c r="CS44" s="550">
        <f t="shared" si="37"/>
        <v>0.21068338021957098</v>
      </c>
      <c r="CU44" s="551">
        <f t="shared" si="38"/>
        <v>1941.658032103566</v>
      </c>
      <c r="CY44" s="546">
        <f t="shared" si="39"/>
        <v>96</v>
      </c>
      <c r="CZ44" s="551">
        <f t="shared" si="40"/>
        <v>137.12068893253613</v>
      </c>
      <c r="DA44" s="553">
        <f>CZ44/PI()*SQRT('Hilfstabellen_Mat&amp;Bem'!f.Rd.3/'Hilfstabellen_Mat&amp;Bem'!$BD$30)</f>
        <v>2.1823435443779271</v>
      </c>
      <c r="DB44" s="553">
        <f>0.5*(1+'Hilfstabellen_Mat&amp;Bem'!$BD$31*(DA44-0.3)+DA44^2)</f>
        <v>2.9754288500629031</v>
      </c>
      <c r="DC44" s="550">
        <f t="shared" si="41"/>
        <v>0.20008241273921235</v>
      </c>
      <c r="DE44" s="551">
        <f t="shared" si="42"/>
        <v>1843.9595158045809</v>
      </c>
      <c r="DI44" s="546">
        <f t="shared" si="43"/>
        <v>96</v>
      </c>
      <c r="DJ44" s="551">
        <f t="shared" si="44"/>
        <v>140.72912811497127</v>
      </c>
      <c r="DK44" s="553">
        <f>DJ44/PI()*SQRT('Hilfstabellen_Mat&amp;Bem'!f.Rd.3/'Hilfstabellen_Mat&amp;Bem'!$BD$30)</f>
        <v>2.2397736376510302</v>
      </c>
      <c r="DL44" s="553">
        <f>0.5*(1+'Hilfstabellen_Mat&amp;Bem'!$BD$31*(DK44-0.3)+DK44^2)</f>
        <v>3.1052816558408156</v>
      </c>
      <c r="DM44" s="550">
        <f t="shared" si="45"/>
        <v>0.19025371289229495</v>
      </c>
      <c r="DO44" s="551">
        <f t="shared" si="46"/>
        <v>1753.3782180153903</v>
      </c>
      <c r="DS44" s="546">
        <f t="shared" si="47"/>
        <v>96</v>
      </c>
      <c r="DT44" s="551">
        <f t="shared" si="48"/>
        <v>144.33756729740642</v>
      </c>
      <c r="DU44" s="553">
        <f>DT44/PI()*SQRT('Hilfstabellen_Mat&amp;Bem'!f.Rd.3/'Hilfstabellen_Mat&amp;Bem'!$BD$30)</f>
        <v>2.2972037309241333</v>
      </c>
      <c r="DV44" s="553">
        <f>0.5*(1+'Hilfstabellen_Mat&amp;Bem'!$BD$31*(DU44-0.3)+DU44^2)</f>
        <v>3.2384326772320855</v>
      </c>
      <c r="DW44" s="550">
        <f t="shared" si="49"/>
        <v>0.18112525906170046</v>
      </c>
      <c r="DY44" s="551">
        <f t="shared" si="50"/>
        <v>1669.2503875126315</v>
      </c>
      <c r="EC44" s="546">
        <f t="shared" si="51"/>
        <v>96</v>
      </c>
      <c r="ED44" s="551">
        <f t="shared" si="52"/>
        <v>147.9460064798416</v>
      </c>
      <c r="EE44" s="553">
        <f>ED44/PI()*SQRT('Hilfstabellen_Mat&amp;Bem'!f.Rd.3/'Hilfstabellen_Mat&amp;Bem'!$BD$30)</f>
        <v>2.3546338241972369</v>
      </c>
      <c r="EF44" s="553">
        <f>0.5*(1+'Hilfstabellen_Mat&amp;Bem'!$BD$31*(EE44-0.3)+EE44^2)</f>
        <v>3.3748819142367141</v>
      </c>
      <c r="EG44" s="550">
        <f t="shared" si="53"/>
        <v>0.17263302263385602</v>
      </c>
      <c r="EI44" s="551">
        <f t="shared" si="54"/>
        <v>1590.985936593617</v>
      </c>
      <c r="EM44" s="546">
        <f t="shared" si="55"/>
        <v>96</v>
      </c>
      <c r="EN44" s="551">
        <f t="shared" si="56"/>
        <v>151.55444566227675</v>
      </c>
      <c r="EO44" s="553">
        <f>EN44/PI()*SQRT('Hilfstabellen_Mat&amp;Bem'!f.Rd.3/'Hilfstabellen_Mat&amp;Bem'!$BD$30)</f>
        <v>2.41206391747034</v>
      </c>
      <c r="EP44" s="553">
        <f>0.5*(1+'Hilfstabellen_Mat&amp;Bem'!$BD$31*(EO44-0.3)+EO44^2)</f>
        <v>3.5146293668546988</v>
      </c>
      <c r="EQ44" s="550">
        <f t="shared" si="57"/>
        <v>0.16471996958318572</v>
      </c>
      <c r="ES44" s="551">
        <f t="shared" si="58"/>
        <v>1518.0592396786396</v>
      </c>
    </row>
    <row r="45" spans="3:149">
      <c r="C45" s="546">
        <v>97</v>
      </c>
      <c r="D45" s="551">
        <f t="shared" si="6"/>
        <v>99.994685797790851</v>
      </c>
      <c r="E45" s="553">
        <f>$D45/PI()*SQRT('Hilfstabellen_Mat&amp;Bem'!f.Rd.3/'Hilfstabellen_Mat&amp;Bem'!$BD$30)</f>
        <v>1.5914648527639359</v>
      </c>
      <c r="F45" s="553">
        <f>0.5*(1+'Hilfstabellen_Mat&amp;Bem'!$BD$31*($E45-0.3)+$E45^2)</f>
        <v>1.8309534314296649</v>
      </c>
      <c r="G45" s="550">
        <f t="shared" si="7"/>
        <v>0.36545865025827179</v>
      </c>
      <c r="I45" s="551">
        <f t="shared" si="8"/>
        <v>3438.6004402800791</v>
      </c>
      <c r="M45" s="546">
        <f t="shared" si="9"/>
        <v>97</v>
      </c>
      <c r="N45" s="551">
        <f t="shared" si="0"/>
        <v>103.56592457628338</v>
      </c>
      <c r="O45" s="553">
        <f>$N45/PI()*SQRT('Hilfstabellen_Mat&amp;Bem'!f.Rd.3/'Hilfstabellen_Mat&amp;Bem'!$BD$30)</f>
        <v>1.6483028832197908</v>
      </c>
      <c r="P45" s="553">
        <f>0.5*(1+'Hilfstabellen_Mat&amp;Bem'!$BD$31*($O45-0.3)+$O45^2)</f>
        <v>1.9258663415763273</v>
      </c>
      <c r="Q45" s="550">
        <f t="shared" si="1"/>
        <v>0.34224448853917638</v>
      </c>
      <c r="S45" s="551">
        <f t="shared" si="10"/>
        <v>3220.1783926651106</v>
      </c>
      <c r="W45" s="546">
        <f t="shared" si="11"/>
        <v>97</v>
      </c>
      <c r="X45" s="551">
        <f t="shared" si="2"/>
        <v>107.13716335477591</v>
      </c>
      <c r="Y45" s="553">
        <f>$X45/PI()*SQRT('Hilfstabellen_Mat&amp;Bem'!f.Rd.3/'Hilfstabellen_Mat&amp;Bem'!$BD$30)</f>
        <v>1.7051409136756455</v>
      </c>
      <c r="Z45" s="553">
        <f>0.5*(1+'Hilfstabellen_Mat&amp;Bem'!$BD$31*($Y45-0.3)+$Y45^2)</f>
        <v>2.0240098134290898</v>
      </c>
      <c r="AA45" s="550">
        <f t="shared" si="3"/>
        <v>0.32108159756674531</v>
      </c>
      <c r="AC45" s="551">
        <f t="shared" si="12"/>
        <v>3021.0567515055068</v>
      </c>
      <c r="AG45" s="546">
        <f t="shared" si="13"/>
        <v>97</v>
      </c>
      <c r="AH45" s="551">
        <f t="shared" si="4"/>
        <v>110.70840213326844</v>
      </c>
      <c r="AI45" s="553">
        <f>$AH45/PI()*SQRT('Hilfstabellen_Mat&amp;Bem'!f.Rd.3/'Hilfstabellen_Mat&amp;Bem'!$BD$30)</f>
        <v>1.7619789441315004</v>
      </c>
      <c r="AJ45" s="553">
        <f>0.5*(1+'Hilfstabellen_Mat&amp;Bem'!$BD$31*($AI45-0.3)+$AI45^2)</f>
        <v>2.1253838469879538</v>
      </c>
      <c r="AK45" s="550">
        <f t="shared" si="5"/>
        <v>0.30175481095538054</v>
      </c>
      <c r="AM45" s="551">
        <f t="shared" si="14"/>
        <v>2839.2110162791755</v>
      </c>
      <c r="AQ45" s="546">
        <f t="shared" si="15"/>
        <v>97</v>
      </c>
      <c r="AR45" s="551">
        <f t="shared" si="16"/>
        <v>114.27964091176096</v>
      </c>
      <c r="AS45" s="553">
        <f>$AR45/PI()*SQRT('Hilfstabellen_Mat&amp;Bem'!f.Rd.3/'Hilfstabellen_Mat&amp;Bem'!$BD$30)</f>
        <v>1.8188169745873553</v>
      </c>
      <c r="AT45" s="553">
        <f>0.5*(1+'Hilfstabellen_Mat&amp;Bem'!$BD$31*($AS45-0.3)+$AS45^2)</f>
        <v>2.2299884422529179</v>
      </c>
      <c r="AU45" s="550">
        <f t="shared" si="17"/>
        <v>0.28407140975921885</v>
      </c>
      <c r="AW45" s="551">
        <f t="shared" si="18"/>
        <v>2672.8278944244903</v>
      </c>
      <c r="BA45" s="546">
        <f t="shared" si="19"/>
        <v>97</v>
      </c>
      <c r="BB45" s="551">
        <f t="shared" si="20"/>
        <v>117.85087969025349</v>
      </c>
      <c r="BC45" s="553">
        <f>$BB45/PI()*SQRT('Hilfstabellen_Mat&amp;Bem'!f.Rd.3/'Hilfstabellen_Mat&amp;Bem'!$BD$30)</f>
        <v>1.8756550050432101</v>
      </c>
      <c r="BD45" s="553">
        <f>0.5*(1+'Hilfstabellen_Mat&amp;Bem'!$BD$31*($BC45-0.3)+$BC45^2)</f>
        <v>2.3378235992239826</v>
      </c>
      <c r="BE45" s="550">
        <f t="shared" si="21"/>
        <v>0.26785996897125625</v>
      </c>
      <c r="BG45" s="551">
        <f t="shared" si="22"/>
        <v>2520.2944480505498</v>
      </c>
      <c r="BK45" s="546">
        <f t="shared" si="23"/>
        <v>97</v>
      </c>
      <c r="BL45" s="551">
        <f t="shared" si="24"/>
        <v>121.42211846874604</v>
      </c>
      <c r="BM45" s="553">
        <f>$BL45/PI()*SQRT('Hilfstabellen_Mat&amp;Bem'!f.Rd.3/'Hilfstabellen_Mat&amp;Bem'!$BD$30)</f>
        <v>1.932493035499065</v>
      </c>
      <c r="BN45" s="553">
        <f>0.5*(1+'Hilfstabellen_Mat&amp;Bem'!$BD$31*($BM45-0.3)+$BM45^2)</f>
        <v>2.4488893179011484</v>
      </c>
      <c r="BO45" s="550">
        <f t="shared" si="25"/>
        <v>0.25296858384677356</v>
      </c>
      <c r="BQ45" s="551">
        <f t="shared" si="26"/>
        <v>2380.1814054142924</v>
      </c>
      <c r="BU45" s="546">
        <f t="shared" si="27"/>
        <v>97</v>
      </c>
      <c r="BV45" s="551">
        <f t="shared" si="28"/>
        <v>124.99335724723856</v>
      </c>
      <c r="BW45" s="553">
        <f>$BV45/PI()*SQRT('Hilfstabellen_Mat&amp;Bem'!f.Rd.3/'Hilfstabellen_Mat&amp;Bem'!$BD$30)</f>
        <v>1.9893310659549197</v>
      </c>
      <c r="BX45" s="553">
        <f>0.5*(1+'Hilfstabellen_Mat&amp;Bem'!$BD$31*($BW45-0.3)+$BW45^2)</f>
        <v>2.5631855982844147</v>
      </c>
      <c r="BY45" s="550">
        <f t="shared" si="29"/>
        <v>0.23926289130747971</v>
      </c>
      <c r="CA45" s="551">
        <f t="shared" si="30"/>
        <v>2251.2245443120764</v>
      </c>
      <c r="CE45" s="546">
        <f t="shared" si="31"/>
        <v>97</v>
      </c>
      <c r="CF45" s="551">
        <f t="shared" si="32"/>
        <v>128.56459602573111</v>
      </c>
      <c r="CG45" s="553">
        <f>CF45/PI()*SQRT('Hilfstabellen_Mat&amp;Bem'!f.Rd.3/'Hilfstabellen_Mat&amp;Bem'!$BD$30)</f>
        <v>2.0461690964107748</v>
      </c>
      <c r="CH45" s="553">
        <f>0.5*(1+'Hilfstabellen_Mat&amp;Bem'!$BD$31*(CG45-0.3)+CG45^2)</f>
        <v>2.6807124403737821</v>
      </c>
      <c r="CI45" s="550">
        <f t="shared" si="33"/>
        <v>0.22662410474589861</v>
      </c>
      <c r="CK45" s="551">
        <f t="shared" si="34"/>
        <v>2132.30620155416</v>
      </c>
      <c r="CO45" s="546">
        <f t="shared" si="35"/>
        <v>97</v>
      </c>
      <c r="CP45" s="551">
        <f t="shared" si="36"/>
        <v>132.13583480422361</v>
      </c>
      <c r="CQ45" s="553">
        <f>CP45/PI()*SQRT('Hilfstabellen_Mat&amp;Bem'!f.Rd.3/'Hilfstabellen_Mat&amp;Bem'!$BD$30)</f>
        <v>2.1030071268666291</v>
      </c>
      <c r="CR45" s="553">
        <f>0.5*(1+'Hilfstabellen_Mat&amp;Bem'!$BD$31*(CQ45-0.3)+CQ45^2)</f>
        <v>2.8014698441692483</v>
      </c>
      <c r="CS45" s="550">
        <f t="shared" si="37"/>
        <v>0.21494717017741791</v>
      </c>
      <c r="CU45" s="551">
        <f t="shared" si="38"/>
        <v>2022.4379241993252</v>
      </c>
      <c r="CY45" s="546">
        <f t="shared" si="39"/>
        <v>97</v>
      </c>
      <c r="CZ45" s="551">
        <f t="shared" si="40"/>
        <v>135.70707358271616</v>
      </c>
      <c r="DA45" s="553">
        <f>CZ45/PI()*SQRT('Hilfstabellen_Mat&amp;Bem'!f.Rd.3/'Hilfstabellen_Mat&amp;Bem'!$BD$30)</f>
        <v>2.1598451573224846</v>
      </c>
      <c r="DB45" s="553">
        <f>0.5*(1+'Hilfstabellen_Mat&amp;Bem'!$BD$31*(DA45-0.3)+DA45^2)</f>
        <v>2.9254578096708181</v>
      </c>
      <c r="DC45" s="550">
        <f t="shared" si="41"/>
        <v>0.20413909043724887</v>
      </c>
      <c r="DE45" s="551">
        <f t="shared" si="42"/>
        <v>1920.7447019240747</v>
      </c>
      <c r="DI45" s="546">
        <f t="shared" si="43"/>
        <v>97</v>
      </c>
      <c r="DJ45" s="551">
        <f t="shared" si="44"/>
        <v>139.27831236120869</v>
      </c>
      <c r="DK45" s="553">
        <f>DJ45/PI()*SQRT('Hilfstabellen_Mat&amp;Bem'!f.Rd.3/'Hilfstabellen_Mat&amp;Bem'!$BD$30)</f>
        <v>2.2166831877783393</v>
      </c>
      <c r="DL45" s="553">
        <f>0.5*(1+'Hilfstabellen_Mat&amp;Bem'!$BD$31*(DK45-0.3)+DK45^2)</f>
        <v>3.0526763368784868</v>
      </c>
      <c r="DM45" s="550">
        <f t="shared" si="45"/>
        <v>0.19411743078221319</v>
      </c>
      <c r="DO45" s="551">
        <f t="shared" si="46"/>
        <v>1826.4509062298439</v>
      </c>
      <c r="DS45" s="546">
        <f t="shared" si="47"/>
        <v>97</v>
      </c>
      <c r="DT45" s="551">
        <f t="shared" si="48"/>
        <v>142.84955113970122</v>
      </c>
      <c r="DU45" s="553">
        <f>DT45/PI()*SQRT('Hilfstabellen_Mat&amp;Bem'!f.Rd.3/'Hilfstabellen_Mat&amp;Bem'!$BD$30)</f>
        <v>2.273521218234194</v>
      </c>
      <c r="DV45" s="553">
        <f>0.5*(1+'Hilfstabellen_Mat&amp;Bem'!$BD$31*(DU45-0.3)+DU45^2)</f>
        <v>3.1831254257922565</v>
      </c>
      <c r="DW45" s="550">
        <f t="shared" si="49"/>
        <v>0.18480900177051762</v>
      </c>
      <c r="DY45" s="551">
        <f t="shared" si="50"/>
        <v>1738.8678976588003</v>
      </c>
      <c r="EC45" s="546">
        <f t="shared" si="51"/>
        <v>97</v>
      </c>
      <c r="ED45" s="551">
        <f t="shared" si="52"/>
        <v>146.42078991819375</v>
      </c>
      <c r="EE45" s="553">
        <f>ED45/PI()*SQRT('Hilfstabellen_Mat&amp;Bem'!f.Rd.3/'Hilfstabellen_Mat&amp;Bem'!$BD$30)</f>
        <v>2.3303592486900491</v>
      </c>
      <c r="EF45" s="553">
        <f>0.5*(1+'Hilfstabellen_Mat&amp;Bem'!$BD$31*(EE45-0.3)+EE45^2)</f>
        <v>3.3168050764121277</v>
      </c>
      <c r="EG45" s="550">
        <f t="shared" si="53"/>
        <v>0.17614870676336078</v>
      </c>
      <c r="EI45" s="551">
        <f t="shared" si="54"/>
        <v>1657.3831819364616</v>
      </c>
      <c r="EM45" s="546">
        <f t="shared" si="55"/>
        <v>97</v>
      </c>
      <c r="EN45" s="551">
        <f t="shared" si="56"/>
        <v>149.99202869668628</v>
      </c>
      <c r="EO45" s="553">
        <f>EN45/PI()*SQRT('Hilfstabellen_Mat&amp;Bem'!f.Rd.3/'Hilfstabellen_Mat&amp;Bem'!$BD$30)</f>
        <v>2.3871972791459037</v>
      </c>
      <c r="EP45" s="553">
        <f>0.5*(1+'Hilfstabellen_Mat&amp;Bem'!$BD$31*(EO45-0.3)+EO45^2)</f>
        <v>3.4537152887380982</v>
      </c>
      <c r="EQ45" s="550">
        <f t="shared" si="57"/>
        <v>0.16807853786552418</v>
      </c>
      <c r="ES45" s="551">
        <f t="shared" si="58"/>
        <v>1581.450962776717</v>
      </c>
    </row>
    <row r="46" spans="3:149">
      <c r="C46" s="546">
        <v>98</v>
      </c>
      <c r="D46" s="551">
        <f t="shared" si="6"/>
        <v>98.974331861078696</v>
      </c>
      <c r="E46" s="553">
        <f>$D46/PI()*SQRT('Hilfstabellen_Mat&amp;Bem'!f.Rd.3/'Hilfstabellen_Mat&amp;Bem'!$BD$30)</f>
        <v>1.5752254154908345</v>
      </c>
      <c r="F46" s="553">
        <f>0.5*(1+'Hilfstabellen_Mat&amp;Bem'!$BD$31*($E46-0.3)+$E46^2)</f>
        <v>1.804428825578678</v>
      </c>
      <c r="G46" s="550">
        <f t="shared" si="7"/>
        <v>0.3725007270207823</v>
      </c>
      <c r="I46" s="551">
        <f t="shared" si="8"/>
        <v>3577.496982307593</v>
      </c>
      <c r="M46" s="546">
        <f t="shared" si="9"/>
        <v>98</v>
      </c>
      <c r="N46" s="551">
        <f t="shared" si="0"/>
        <v>102.5091294275458</v>
      </c>
      <c r="O46" s="553">
        <f>$N46/PI()*SQRT('Hilfstabellen_Mat&amp;Bem'!f.Rd.3/'Hilfstabellen_Mat&amp;Bem'!$BD$30)</f>
        <v>1.6314834660440789</v>
      </c>
      <c r="P46" s="553">
        <f>0.5*(1+'Hilfstabellen_Mat&amp;Bem'!$BD$31*($O46-0.3)+$O46^2)</f>
        <v>1.8974433232898047</v>
      </c>
      <c r="Q46" s="550">
        <f t="shared" si="1"/>
        <v>0.34889002502632677</v>
      </c>
      <c r="S46" s="551">
        <f t="shared" si="10"/>
        <v>3350.7398003528424</v>
      </c>
      <c r="W46" s="546">
        <f t="shared" si="11"/>
        <v>98</v>
      </c>
      <c r="X46" s="551">
        <f t="shared" si="2"/>
        <v>106.04392699401289</v>
      </c>
      <c r="Y46" s="553">
        <f>$X46/PI()*SQRT('Hilfstabellen_Mat&amp;Bem'!f.Rd.3/'Hilfstabellen_Mat&amp;Bem'!$BD$30)</f>
        <v>1.6877415165973226</v>
      </c>
      <c r="Z46" s="553">
        <f>0.5*(1+'Hilfstabellen_Mat&amp;Bem'!$BD$31*($Y46-0.3)+$Y46^2)</f>
        <v>1.9936227892529814</v>
      </c>
      <c r="AA46" s="550">
        <f t="shared" si="3"/>
        <v>0.32735552463270956</v>
      </c>
      <c r="AC46" s="551">
        <f t="shared" si="12"/>
        <v>3143.9224585725428</v>
      </c>
      <c r="AG46" s="546">
        <f t="shared" si="13"/>
        <v>98</v>
      </c>
      <c r="AH46" s="551">
        <f t="shared" si="4"/>
        <v>109.57872456047998</v>
      </c>
      <c r="AI46" s="553">
        <f>$AH46/PI()*SQRT('Hilfstabellen_Mat&amp;Bem'!f.Rd.3/'Hilfstabellen_Mat&amp;Bem'!$BD$30)</f>
        <v>1.7439995671505668</v>
      </c>
      <c r="AJ46" s="553">
        <f>0.5*(1+'Hilfstabellen_Mat&amp;Bem'!$BD$31*($AI46-0.3)+$AI46^2)</f>
        <v>2.0929672234682104</v>
      </c>
      <c r="AK46" s="550">
        <f t="shared" si="5"/>
        <v>0.30768197962306026</v>
      </c>
      <c r="AM46" s="551">
        <f t="shared" si="14"/>
        <v>2954.9777322998707</v>
      </c>
      <c r="AQ46" s="546">
        <f t="shared" si="15"/>
        <v>98</v>
      </c>
      <c r="AR46" s="551">
        <f t="shared" si="16"/>
        <v>113.11352212694709</v>
      </c>
      <c r="AS46" s="553">
        <f>$AR46/PI()*SQRT('Hilfstabellen_Mat&amp;Bem'!f.Rd.3/'Hilfstabellen_Mat&amp;Bem'!$BD$30)</f>
        <v>1.800257617703811</v>
      </c>
      <c r="AT46" s="553">
        <f>0.5*(1+'Hilfstabellen_Mat&amp;Bem'!$BD$31*($AS46-0.3)+$AS46^2)</f>
        <v>2.1954766259354908</v>
      </c>
      <c r="AU46" s="550">
        <f t="shared" si="17"/>
        <v>0.28967581413166998</v>
      </c>
      <c r="AW46" s="551">
        <f t="shared" si="18"/>
        <v>2782.0465189205584</v>
      </c>
      <c r="BA46" s="546">
        <f t="shared" si="19"/>
        <v>98</v>
      </c>
      <c r="BB46" s="551">
        <f t="shared" si="20"/>
        <v>116.64831969341419</v>
      </c>
      <c r="BC46" s="553">
        <f>$BB46/PI()*SQRT('Hilfstabellen_Mat&amp;Bem'!f.Rd.3/'Hilfstabellen_Mat&amp;Bem'!$BD$30)</f>
        <v>1.8565156682570549</v>
      </c>
      <c r="BD46" s="553">
        <f>0.5*(1+'Hilfstabellen_Mat&amp;Bem'!$BD$31*($BC46-0.3)+$BC46^2)</f>
        <v>2.3011509966548225</v>
      </c>
      <c r="BE46" s="550">
        <f t="shared" si="21"/>
        <v>0.27316433372638127</v>
      </c>
      <c r="BG46" s="551">
        <f t="shared" si="22"/>
        <v>2623.4702611081657</v>
      </c>
      <c r="BK46" s="546">
        <f t="shared" si="23"/>
        <v>98</v>
      </c>
      <c r="BL46" s="551">
        <f t="shared" si="24"/>
        <v>120.18311725988127</v>
      </c>
      <c r="BM46" s="553">
        <f>$BL46/PI()*SQRT('Hilfstabellen_Mat&amp;Bem'!f.Rd.3/'Hilfstabellen_Mat&amp;Bem'!$BD$30)</f>
        <v>1.9127737188102989</v>
      </c>
      <c r="BN46" s="553">
        <f>0.5*(1+'Hilfstabellen_Mat&amp;Bem'!$BD$31*($BM46-0.3)+$BM46^2)</f>
        <v>2.4099903356262051</v>
      </c>
      <c r="BO46" s="550">
        <f t="shared" si="25"/>
        <v>0.25799417253874685</v>
      </c>
      <c r="BQ46" s="551">
        <f t="shared" si="26"/>
        <v>2477.7760330621245</v>
      </c>
      <c r="BU46" s="546">
        <f t="shared" si="27"/>
        <v>98</v>
      </c>
      <c r="BV46" s="551">
        <f t="shared" si="28"/>
        <v>123.71791482634838</v>
      </c>
      <c r="BW46" s="553">
        <f>$BV46/PI()*SQRT('Hilfstabellen_Mat&amp;Bem'!f.Rd.3/'Hilfstabellen_Mat&amp;Bem'!$BD$30)</f>
        <v>1.9690317693635433</v>
      </c>
      <c r="BX46" s="553">
        <f>0.5*(1+'Hilfstabellen_Mat&amp;Bem'!$BD$31*($BW46-0.3)+$BW46^2)</f>
        <v>2.52199464284964</v>
      </c>
      <c r="BY46" s="550">
        <f t="shared" si="29"/>
        <v>0.2440294470395899</v>
      </c>
      <c r="CA46" s="551">
        <f t="shared" si="30"/>
        <v>2343.6588093682212</v>
      </c>
      <c r="CE46" s="546">
        <f t="shared" si="31"/>
        <v>98</v>
      </c>
      <c r="CF46" s="551">
        <f t="shared" si="32"/>
        <v>127.25271239281548</v>
      </c>
      <c r="CG46" s="553">
        <f>CF46/PI()*SQRT('Hilfstabellen_Mat&amp;Bem'!f.Rd.3/'Hilfstabellen_Mat&amp;Bem'!$BD$30)</f>
        <v>2.0252898199167872</v>
      </c>
      <c r="CH46" s="553">
        <f>0.5*(1+'Hilfstabellen_Mat&amp;Bem'!$BD$31*(CG46-0.3)+CG46^2)</f>
        <v>2.6371639183251259</v>
      </c>
      <c r="CI46" s="550">
        <f t="shared" si="33"/>
        <v>0.23114986862096032</v>
      </c>
      <c r="CK46" s="551">
        <f t="shared" si="34"/>
        <v>2219.9633382357028</v>
      </c>
      <c r="CO46" s="546">
        <f t="shared" si="35"/>
        <v>98</v>
      </c>
      <c r="CP46" s="551">
        <f t="shared" si="36"/>
        <v>130.78750995928257</v>
      </c>
      <c r="CQ46" s="553">
        <f>CP46/PI()*SQRT('Hilfstabellen_Mat&amp;Bem'!f.Rd.3/'Hilfstabellen_Mat&amp;Bem'!$BD$30)</f>
        <v>2.0815478704700316</v>
      </c>
      <c r="CR46" s="553">
        <f>0.5*(1+'Hilfstabellen_Mat&amp;Bem'!$BD$31*(CQ46-0.3)+CQ46^2)</f>
        <v>2.7554981620526631</v>
      </c>
      <c r="CS46" s="550">
        <f t="shared" si="37"/>
        <v>0.21924894375584544</v>
      </c>
      <c r="CU46" s="551">
        <f t="shared" si="38"/>
        <v>2105.6668558311399</v>
      </c>
      <c r="CY46" s="546">
        <f t="shared" si="39"/>
        <v>98</v>
      </c>
      <c r="CZ46" s="551">
        <f t="shared" si="40"/>
        <v>134.32230752574966</v>
      </c>
      <c r="DA46" s="553">
        <f>CZ46/PI()*SQRT('Hilfstabellen_Mat&amp;Bem'!f.Rd.3/'Hilfstabellen_Mat&amp;Bem'!$BD$30)</f>
        <v>2.1378059210232752</v>
      </c>
      <c r="DB46" s="553">
        <f>0.5*(1+'Hilfstabellen_Mat&amp;Bem'!$BD$31*(DA46-0.3)+DA46^2)</f>
        <v>2.8769973740322508</v>
      </c>
      <c r="DC46" s="550">
        <f t="shared" si="41"/>
        <v>0.20823232133692582</v>
      </c>
      <c r="DE46" s="551">
        <f t="shared" si="42"/>
        <v>1999.8632141198357</v>
      </c>
      <c r="DI46" s="546">
        <f t="shared" si="43"/>
        <v>98</v>
      </c>
      <c r="DJ46" s="551">
        <f t="shared" si="44"/>
        <v>137.85710509221676</v>
      </c>
      <c r="DK46" s="553">
        <f>DJ46/PI()*SQRT('Hilfstabellen_Mat&amp;Bem'!f.Rd.3/'Hilfstabellen_Mat&amp;Bem'!$BD$30)</f>
        <v>2.1940639715765196</v>
      </c>
      <c r="DL46" s="553">
        <f>0.5*(1+'Hilfstabellen_Mat&amp;Bem'!$BD$31*(DK46-0.3)+DK46^2)</f>
        <v>3.0016615542638911</v>
      </c>
      <c r="DM46" s="550">
        <f t="shared" si="45"/>
        <v>0.19801630860318017</v>
      </c>
      <c r="DO46" s="551">
        <f t="shared" si="46"/>
        <v>1901.7486278249423</v>
      </c>
      <c r="DS46" s="546">
        <f t="shared" si="47"/>
        <v>98</v>
      </c>
      <c r="DT46" s="551">
        <f t="shared" si="48"/>
        <v>141.39190265868385</v>
      </c>
      <c r="DU46" s="553">
        <f>DT46/PI()*SQRT('Hilfstabellen_Mat&amp;Bem'!f.Rd.3/'Hilfstabellen_Mat&amp;Bem'!$BD$30)</f>
        <v>2.2503220221297635</v>
      </c>
      <c r="DV46" s="553">
        <f>0.5*(1+'Hilfstabellen_Mat&amp;Bem'!$BD$31*(DU46-0.3)+DU46^2)</f>
        <v>3.129490702747582</v>
      </c>
      <c r="DW46" s="550">
        <f t="shared" si="49"/>
        <v>0.18852655657432721</v>
      </c>
      <c r="DY46" s="551">
        <f t="shared" si="50"/>
        <v>1810.6090493398385</v>
      </c>
      <c r="EC46" s="546">
        <f t="shared" si="51"/>
        <v>98</v>
      </c>
      <c r="ED46" s="551">
        <f t="shared" si="52"/>
        <v>144.92670022515097</v>
      </c>
      <c r="EE46" s="553">
        <f>ED46/PI()*SQRT('Hilfstabellen_Mat&amp;Bem'!f.Rd.3/'Hilfstabellen_Mat&amp;Bem'!$BD$30)</f>
        <v>2.3065800726830079</v>
      </c>
      <c r="EF46" s="553">
        <f>0.5*(1+'Hilfstabellen_Mat&amp;Bem'!$BD$31*(EE46-0.3)+EE46^2)</f>
        <v>3.2604848194833256</v>
      </c>
      <c r="EG46" s="550">
        <f t="shared" si="53"/>
        <v>0.17969690551143358</v>
      </c>
      <c r="EI46" s="551">
        <f t="shared" si="54"/>
        <v>1725.8090805318081</v>
      </c>
      <c r="EM46" s="546">
        <f t="shared" si="55"/>
        <v>98</v>
      </c>
      <c r="EN46" s="551">
        <f t="shared" si="56"/>
        <v>148.46149779161803</v>
      </c>
      <c r="EO46" s="553">
        <f>EN46/PI()*SQRT('Hilfstabellen_Mat&amp;Bem'!f.Rd.3/'Hilfstabellen_Mat&amp;Bem'!$BD$30)</f>
        <v>2.3628381232362514</v>
      </c>
      <c r="EP46" s="553">
        <f>0.5*(1+'Hilfstabellen_Mat&amp;Bem'!$BD$31*(EO46-0.3)+EO46^2)</f>
        <v>3.3946439044711179</v>
      </c>
      <c r="EQ46" s="550">
        <f t="shared" si="57"/>
        <v>0.17146837621828159</v>
      </c>
      <c r="ES46" s="551">
        <f t="shared" si="58"/>
        <v>1646.7822852003765</v>
      </c>
    </row>
    <row r="47" spans="3:149">
      <c r="C47" s="546">
        <v>99</v>
      </c>
      <c r="D47" s="551">
        <f t="shared" si="6"/>
        <v>97.974591135209224</v>
      </c>
      <c r="E47" s="553">
        <f>$D47/PI()*SQRT('Hilfstabellen_Mat&amp;Bem'!f.Rd.3/'Hilfstabellen_Mat&amp;Bem'!$BD$30)</f>
        <v>1.559314047657594</v>
      </c>
      <c r="F47" s="553">
        <f>0.5*(1+'Hilfstabellen_Mat&amp;Bem'!$BD$31*($E47-0.3)+$E47^2)</f>
        <v>1.7786958519940343</v>
      </c>
      <c r="G47" s="550">
        <f t="shared" si="7"/>
        <v>0.37958726318536096</v>
      </c>
      <c r="I47" s="551">
        <f t="shared" si="8"/>
        <v>3720.3347664797229</v>
      </c>
      <c r="M47" s="546">
        <f t="shared" si="9"/>
        <v>99</v>
      </c>
      <c r="N47" s="551">
        <f t="shared" si="0"/>
        <v>101.47368367575241</v>
      </c>
      <c r="O47" s="553">
        <f>$N47/PI()*SQRT('Hilfstabellen_Mat&amp;Bem'!f.Rd.3/'Hilfstabellen_Mat&amp;Bem'!$BD$30)</f>
        <v>1.6150038350739366</v>
      </c>
      <c r="P47" s="553">
        <f>0.5*(1+'Hilfstabellen_Mat&amp;Bem'!$BD$31*($O47-0.3)+$O47^2)</f>
        <v>1.8698688854054581</v>
      </c>
      <c r="Q47" s="550">
        <f t="shared" si="1"/>
        <v>0.35558111931723785</v>
      </c>
      <c r="S47" s="551">
        <f t="shared" si="10"/>
        <v>3485.0505504282482</v>
      </c>
      <c r="W47" s="546">
        <f t="shared" si="11"/>
        <v>99</v>
      </c>
      <c r="X47" s="551">
        <f t="shared" si="2"/>
        <v>104.9727762162956</v>
      </c>
      <c r="Y47" s="553">
        <f>$X47/PI()*SQRT('Hilfstabellen_Mat&amp;Bem'!f.Rd.3/'Hilfstabellen_Mat&amp;Bem'!$BD$30)</f>
        <v>1.6706936224902791</v>
      </c>
      <c r="Z47" s="553">
        <f>0.5*(1+'Hilfstabellen_Mat&amp;Bem'!$BD$31*($Y47-0.3)+$Y47^2)</f>
        <v>1.9641432712393596</v>
      </c>
      <c r="AA47" s="550">
        <f t="shared" si="3"/>
        <v>0.33367516134482889</v>
      </c>
      <c r="AC47" s="551">
        <f t="shared" si="12"/>
        <v>3270.3502563406678</v>
      </c>
      <c r="AG47" s="546">
        <f t="shared" si="13"/>
        <v>99</v>
      </c>
      <c r="AH47" s="551">
        <f t="shared" si="4"/>
        <v>108.47186875683877</v>
      </c>
      <c r="AI47" s="553">
        <f>$AH47/PI()*SQRT('Hilfstabellen_Mat&amp;Bem'!f.Rd.3/'Hilfstabellen_Mat&amp;Bem'!$BD$30)</f>
        <v>1.7263834099066218</v>
      </c>
      <c r="AJ47" s="553">
        <f>0.5*(1+'Hilfstabellen_Mat&amp;Bem'!$BD$31*($AI47-0.3)+$AI47^2)</f>
        <v>2.0615190094957385</v>
      </c>
      <c r="AK47" s="550">
        <f t="shared" si="5"/>
        <v>0.31365438677398505</v>
      </c>
      <c r="AM47" s="551">
        <f t="shared" si="14"/>
        <v>3074.1266447718276</v>
      </c>
      <c r="AQ47" s="546">
        <f t="shared" si="15"/>
        <v>99</v>
      </c>
      <c r="AR47" s="551">
        <f t="shared" si="16"/>
        <v>111.97096129738196</v>
      </c>
      <c r="AS47" s="553">
        <f>$AR47/PI()*SQRT('Hilfstabellen_Mat&amp;Bem'!f.Rd.3/'Hilfstabellen_Mat&amp;Bem'!$BD$30)</f>
        <v>1.7820731973229642</v>
      </c>
      <c r="AT47" s="553">
        <f>0.5*(1+'Hilfstabellen_Mat&amp;Bem'!$BD$31*($AS47-0.3)+$AS47^2)</f>
        <v>2.1619961001745942</v>
      </c>
      <c r="AU47" s="550">
        <f t="shared" si="17"/>
        <v>0.2953245812709242</v>
      </c>
      <c r="AW47" s="551">
        <f t="shared" si="18"/>
        <v>2894.4762210363283</v>
      </c>
      <c r="BA47" s="546">
        <f t="shared" si="19"/>
        <v>99</v>
      </c>
      <c r="BB47" s="551">
        <f t="shared" si="20"/>
        <v>115.47005383792515</v>
      </c>
      <c r="BC47" s="553">
        <f>$BB47/PI()*SQRT('Hilfstabellen_Mat&amp;Bem'!f.Rd.3/'Hilfstabellen_Mat&amp;Bem'!$BD$30)</f>
        <v>1.8377629847393071</v>
      </c>
      <c r="BD47" s="553">
        <f>0.5*(1+'Hilfstabellen_Mat&amp;Bem'!$BD$31*($BC47-0.3)+$BC47^2)</f>
        <v>2.2655745432759287</v>
      </c>
      <c r="BE47" s="550">
        <f t="shared" si="21"/>
        <v>0.27851192942466541</v>
      </c>
      <c r="BG47" s="551">
        <f t="shared" si="22"/>
        <v>2729.6954202911456</v>
      </c>
      <c r="BK47" s="546">
        <f t="shared" si="23"/>
        <v>99</v>
      </c>
      <c r="BL47" s="551">
        <f t="shared" si="24"/>
        <v>118.96914637846834</v>
      </c>
      <c r="BM47" s="553">
        <f>$BL47/PI()*SQRT('Hilfstabellen_Mat&amp;Bem'!f.Rd.3/'Hilfstabellen_Mat&amp;Bem'!$BD$30)</f>
        <v>1.8934527721556496</v>
      </c>
      <c r="BN47" s="553">
        <f>0.5*(1+'Hilfstabellen_Mat&amp;Bem'!$BD$31*($BM47-0.3)+$BM47^2)</f>
        <v>2.3722543387997397</v>
      </c>
      <c r="BO47" s="550">
        <f t="shared" si="25"/>
        <v>0.26306170563467896</v>
      </c>
      <c r="BQ47" s="551">
        <f t="shared" si="26"/>
        <v>2578.2677769254883</v>
      </c>
      <c r="BU47" s="546">
        <f t="shared" si="27"/>
        <v>99</v>
      </c>
      <c r="BV47" s="551">
        <f t="shared" si="28"/>
        <v>122.46823891901153</v>
      </c>
      <c r="BW47" s="553">
        <f>$BV47/PI()*SQRT('Hilfstabellen_Mat&amp;Bem'!f.Rd.3/'Hilfstabellen_Mat&amp;Bem'!$BD$30)</f>
        <v>1.9491425595719922</v>
      </c>
      <c r="BX47" s="553">
        <f>0.5*(1+'Hilfstabellen_Mat&amp;Bem'!$BD$31*($BW47-0.3)+$BW47^2)</f>
        <v>2.4820354867460281</v>
      </c>
      <c r="BY47" s="550">
        <f t="shared" si="29"/>
        <v>0.24883657538106693</v>
      </c>
      <c r="CA47" s="551">
        <f t="shared" si="30"/>
        <v>2438.8472753098372</v>
      </c>
      <c r="CE47" s="546">
        <f t="shared" si="31"/>
        <v>99</v>
      </c>
      <c r="CF47" s="551">
        <f t="shared" si="32"/>
        <v>125.96733145955471</v>
      </c>
      <c r="CG47" s="553">
        <f>CF47/PI()*SQRT('Hilfstabellen_Mat&amp;Bem'!f.Rd.3/'Hilfstabellen_Mat&amp;Bem'!$BD$30)</f>
        <v>2.0048323469883349</v>
      </c>
      <c r="CH47" s="553">
        <f>0.5*(1+'Hilfstabellen_Mat&amp;Bem'!$BD$31*(CG47-0.3)+CG47^2)</f>
        <v>2.5949179871147945</v>
      </c>
      <c r="CI47" s="550">
        <f t="shared" si="33"/>
        <v>0.23571479564656136</v>
      </c>
      <c r="CK47" s="551">
        <f t="shared" si="34"/>
        <v>2310.2407121319479</v>
      </c>
      <c r="CO47" s="546">
        <f t="shared" si="35"/>
        <v>99</v>
      </c>
      <c r="CP47" s="551">
        <f t="shared" si="36"/>
        <v>129.4664240000979</v>
      </c>
      <c r="CQ47" s="553">
        <f>CP47/PI()*SQRT('Hilfstabellen_Mat&amp;Bem'!f.Rd.3/'Hilfstabellen_Mat&amp;Bem'!$BD$30)</f>
        <v>2.0605221344046778</v>
      </c>
      <c r="CR47" s="553">
        <f>0.5*(1+'Hilfstabellen_Mat&amp;Bem'!$BD$31*(CQ47-0.3)+CQ47^2)</f>
        <v>2.7109018399060387</v>
      </c>
      <c r="CS47" s="550">
        <f t="shared" si="37"/>
        <v>0.22358846584961625</v>
      </c>
      <c r="CU47" s="551">
        <f t="shared" si="38"/>
        <v>2191.3905537920887</v>
      </c>
      <c r="CY47" s="546">
        <f t="shared" si="39"/>
        <v>99</v>
      </c>
      <c r="CZ47" s="551">
        <f t="shared" si="40"/>
        <v>132.96551654064106</v>
      </c>
      <c r="DA47" s="553">
        <f>CZ47/PI()*SQRT('Hilfstabellen_Mat&amp;Bem'!f.Rd.3/'Hilfstabellen_Mat&amp;Bem'!$BD$30)</f>
        <v>2.1162119218210198</v>
      </c>
      <c r="DB47" s="553">
        <f>0.5*(1+'Hilfstabellen_Mat&amp;Bem'!$BD$31*(DA47-0.3)+DA47^2)</f>
        <v>2.8299870451197582</v>
      </c>
      <c r="DC47" s="550">
        <f t="shared" si="41"/>
        <v>0.21236190292204912</v>
      </c>
      <c r="DE47" s="551">
        <f t="shared" si="42"/>
        <v>2081.3590105390035</v>
      </c>
      <c r="DI47" s="546">
        <f t="shared" si="43"/>
        <v>99</v>
      </c>
      <c r="DJ47" s="551">
        <f t="shared" si="44"/>
        <v>136.46460908118425</v>
      </c>
      <c r="DK47" s="553">
        <f>DJ47/PI()*SQRT('Hilfstabellen_Mat&amp;Bem'!f.Rd.3/'Hilfstabellen_Mat&amp;Bem'!$BD$30)</f>
        <v>2.1719017092373623</v>
      </c>
      <c r="DL47" s="553">
        <f>0.5*(1+'Hilfstabellen_Mat&amp;Bem'!$BD$31*(DK47-0.3)+DK47^2)</f>
        <v>2.9521736027559555</v>
      </c>
      <c r="DM47" s="550">
        <f t="shared" si="45"/>
        <v>0.20195017071572963</v>
      </c>
      <c r="DO47" s="551">
        <f t="shared" si="46"/>
        <v>1979.3136231848662</v>
      </c>
      <c r="DS47" s="546">
        <f t="shared" si="47"/>
        <v>99</v>
      </c>
      <c r="DT47" s="551">
        <f t="shared" si="48"/>
        <v>139.96370162172744</v>
      </c>
      <c r="DU47" s="553">
        <f>DT47/PI()*SQRT('Hilfstabellen_Mat&amp;Bem'!f.Rd.3/'Hilfstabellen_Mat&amp;Bem'!$BD$30)</f>
        <v>2.2275914966537051</v>
      </c>
      <c r="DV47" s="553">
        <f>0.5*(1+'Hilfstabellen_Mat&amp;Bem'!$BD$31*(DU47-0.3)+DU47^2)</f>
        <v>3.0774615128146321</v>
      </c>
      <c r="DW47" s="550">
        <f t="shared" si="49"/>
        <v>0.19227777017784003</v>
      </c>
      <c r="DY47" s="551">
        <f t="shared" si="50"/>
        <v>1884.5144255130101</v>
      </c>
      <c r="EC47" s="546">
        <f t="shared" si="51"/>
        <v>99</v>
      </c>
      <c r="ED47" s="551">
        <f t="shared" si="52"/>
        <v>143.46279416227063</v>
      </c>
      <c r="EE47" s="553">
        <f>ED47/PI()*SQRT('Hilfstabellen_Mat&amp;Bem'!f.Rd.3/'Hilfstabellen_Mat&amp;Bem'!$BD$30)</f>
        <v>2.2832812840700476</v>
      </c>
      <c r="EF47" s="553">
        <f>0.5*(1+'Hilfstabellen_Mat&amp;Bem'!$BD$31*(EE47-0.3)+EE47^2)</f>
        <v>3.2058507752957848</v>
      </c>
      <c r="EG47" s="550">
        <f t="shared" si="53"/>
        <v>0.18327748429825721</v>
      </c>
      <c r="EI47" s="551">
        <f t="shared" si="54"/>
        <v>1796.3026236072189</v>
      </c>
      <c r="EM47" s="546">
        <f t="shared" si="55"/>
        <v>99</v>
      </c>
      <c r="EN47" s="551">
        <f t="shared" si="56"/>
        <v>146.96188670281381</v>
      </c>
      <c r="EO47" s="553">
        <f>EN47/PI()*SQRT('Hilfstabellen_Mat&amp;Bem'!f.Rd.3/'Hilfstabellen_Mat&amp;Bem'!$BD$30)</f>
        <v>2.3389710714863905</v>
      </c>
      <c r="EP47" s="553">
        <f>0.5*(1+'Hilfstabellen_Mat&amp;Bem'!$BD$31*(EO47-0.3)+EO47^2)</f>
        <v>3.3373413901994162</v>
      </c>
      <c r="EQ47" s="550">
        <f t="shared" si="57"/>
        <v>0.17488936584756271</v>
      </c>
      <c r="ES47" s="551">
        <f t="shared" si="58"/>
        <v>1714.090674671962</v>
      </c>
    </row>
    <row r="48" spans="3:149">
      <c r="C48" s="546">
        <v>100</v>
      </c>
      <c r="D48" s="551">
        <f t="shared" si="6"/>
        <v>96.994845223857126</v>
      </c>
      <c r="E48" s="553">
        <f>$D48/PI()*SQRT('Hilfstabellen_Mat&amp;Bem'!f.Rd.3/'Hilfstabellen_Mat&amp;Bem'!$BD$30)</f>
        <v>1.5437209071810178</v>
      </c>
      <c r="F48" s="553">
        <f>0.5*(1+'Hilfstabellen_Mat&amp;Bem'!$BD$31*($E48-0.3)+$E48^2)</f>
        <v>1.7537231649929432</v>
      </c>
      <c r="G48" s="550">
        <f t="shared" si="7"/>
        <v>0.38671683227639481</v>
      </c>
      <c r="I48" s="551">
        <f t="shared" si="8"/>
        <v>3867.1683227639483</v>
      </c>
      <c r="M48" s="546">
        <f t="shared" si="9"/>
        <v>100</v>
      </c>
      <c r="N48" s="551">
        <f t="shared" si="0"/>
        <v>100.45894683899488</v>
      </c>
      <c r="O48" s="553">
        <f>$N48/PI()*SQRT('Hilfstabellen_Mat&amp;Bem'!f.Rd.3/'Hilfstabellen_Mat&amp;Bem'!$BD$30)</f>
        <v>1.5988537967231968</v>
      </c>
      <c r="P48" s="553">
        <f>0.5*(1+'Hilfstabellen_Mat&amp;Bem'!$BD$31*($O48-0.3)+$O48^2)</f>
        <v>1.8431094214842507</v>
      </c>
      <c r="Q48" s="550">
        <f t="shared" si="1"/>
        <v>0.36231665410892822</v>
      </c>
      <c r="S48" s="551">
        <f t="shared" si="10"/>
        <v>3623.166541089282</v>
      </c>
      <c r="W48" s="546">
        <f t="shared" si="11"/>
        <v>100</v>
      </c>
      <c r="X48" s="551">
        <f t="shared" si="2"/>
        <v>103.92304845413263</v>
      </c>
      <c r="Y48" s="553">
        <f>$X48/PI()*SQRT('Hilfstabellen_Mat&amp;Bem'!f.Rd.3/'Hilfstabellen_Mat&amp;Bem'!$BD$30)</f>
        <v>1.653986686265376</v>
      </c>
      <c r="Z48" s="553">
        <f>0.5*(1+'Hilfstabellen_Mat&amp;Bem'!$BD$31*($Y48-0.3)+$Y48^2)</f>
        <v>1.9355353134848285</v>
      </c>
      <c r="AA48" s="550">
        <f t="shared" si="3"/>
        <v>0.34003962053241865</v>
      </c>
      <c r="AC48" s="551">
        <f t="shared" si="12"/>
        <v>3400.3962053241867</v>
      </c>
      <c r="AG48" s="546">
        <f t="shared" si="13"/>
        <v>100</v>
      </c>
      <c r="AH48" s="551">
        <f t="shared" si="4"/>
        <v>107.38715006927039</v>
      </c>
      <c r="AI48" s="553">
        <f>$AH48/PI()*SQRT('Hilfstabellen_Mat&amp;Bem'!f.Rd.3/'Hilfstabellen_Mat&amp;Bem'!$BD$30)</f>
        <v>1.7091195758075555</v>
      </c>
      <c r="AJ48" s="553">
        <f>0.5*(1+'Hilfstabellen_Mat&amp;Bem'!$BD$31*($AI48-0.3)+$AI48^2)</f>
        <v>2.0310008409946771</v>
      </c>
      <c r="AK48" s="550">
        <f t="shared" si="5"/>
        <v>0.31967131881946032</v>
      </c>
      <c r="AM48" s="551">
        <f t="shared" si="14"/>
        <v>3196.7131881946029</v>
      </c>
      <c r="AQ48" s="546">
        <f t="shared" si="15"/>
        <v>100</v>
      </c>
      <c r="AR48" s="551">
        <f t="shared" si="16"/>
        <v>110.85125168440814</v>
      </c>
      <c r="AS48" s="553">
        <f>$AR48/PI()*SQRT('Hilfstabellen_Mat&amp;Bem'!f.Rd.3/'Hilfstabellen_Mat&amp;Bem'!$BD$30)</f>
        <v>1.7642524653497347</v>
      </c>
      <c r="AT48" s="553">
        <f>0.5*(1+'Hilfstabellen_Mat&amp;Bem'!$BD$31*($AS48-0.3)+$AS48^2)</f>
        <v>2.1295060040137952</v>
      </c>
      <c r="AU48" s="550">
        <f t="shared" si="17"/>
        <v>0.30101713025294041</v>
      </c>
      <c r="AW48" s="551">
        <f t="shared" si="18"/>
        <v>3010.1713025294043</v>
      </c>
      <c r="BA48" s="546">
        <f t="shared" si="19"/>
        <v>100</v>
      </c>
      <c r="BB48" s="551">
        <f t="shared" si="20"/>
        <v>114.31535329954589</v>
      </c>
      <c r="BC48" s="553">
        <f>$BB48/PI()*SQRT('Hilfstabellen_Mat&amp;Bem'!f.Rd.3/'Hilfstabellen_Mat&amp;Bem'!$BD$30)</f>
        <v>1.8193853548919137</v>
      </c>
      <c r="BD48" s="553">
        <f>0.5*(1+'Hilfstabellen_Mat&amp;Bem'!$BD$31*($BC48-0.3)+$BC48^2)</f>
        <v>2.2310508025421831</v>
      </c>
      <c r="BE48" s="550">
        <f t="shared" si="21"/>
        <v>0.28390227783425137</v>
      </c>
      <c r="BG48" s="551">
        <f t="shared" si="22"/>
        <v>2839.0227783425139</v>
      </c>
      <c r="BK48" s="546">
        <f t="shared" si="23"/>
        <v>100</v>
      </c>
      <c r="BL48" s="551">
        <f t="shared" si="24"/>
        <v>117.77945491468365</v>
      </c>
      <c r="BM48" s="553">
        <f>$BL48/PI()*SQRT('Hilfstabellen_Mat&amp;Bem'!f.Rd.3/'Hilfstabellen_Mat&amp;Bem'!$BD$30)</f>
        <v>1.8745182444340931</v>
      </c>
      <c r="BN48" s="553">
        <f>0.5*(1+'Hilfstabellen_Mat&amp;Bem'!$BD$31*($BM48-0.3)+$BM48^2)</f>
        <v>2.3356352365798418</v>
      </c>
      <c r="BO48" s="550">
        <f t="shared" si="25"/>
        <v>0.26817078536237315</v>
      </c>
      <c r="BQ48" s="551">
        <f t="shared" si="26"/>
        <v>2681.7078536237314</v>
      </c>
      <c r="BU48" s="546">
        <f t="shared" si="27"/>
        <v>100</v>
      </c>
      <c r="BV48" s="551">
        <f t="shared" si="28"/>
        <v>121.2435565298214</v>
      </c>
      <c r="BW48" s="553">
        <f>$BV48/PI()*SQRT('Hilfstabellen_Mat&amp;Bem'!f.Rd.3/'Hilfstabellen_Mat&amp;Bem'!$BD$30)</f>
        <v>1.9296511339762721</v>
      </c>
      <c r="BX48" s="553">
        <f>0.5*(1+'Hilfstabellen_Mat&amp;Bem'!$BD$31*($BW48-0.3)+$BW48^2)</f>
        <v>2.44325930612677</v>
      </c>
      <c r="BY48" s="550">
        <f t="shared" si="29"/>
        <v>0.253683942323009</v>
      </c>
      <c r="CA48" s="551">
        <f t="shared" si="30"/>
        <v>2536.8394232300902</v>
      </c>
      <c r="CE48" s="546">
        <f t="shared" si="31"/>
        <v>100</v>
      </c>
      <c r="CF48" s="551">
        <f t="shared" si="32"/>
        <v>124.70765814495915</v>
      </c>
      <c r="CG48" s="553">
        <f>CF48/PI()*SQRT('Hilfstabellen_Mat&amp;Bem'!f.Rd.3/'Hilfstabellen_Mat&amp;Bem'!$BD$30)</f>
        <v>1.9847840235184515</v>
      </c>
      <c r="CH48" s="553">
        <f>0.5*(1+'Hilfstabellen_Mat&amp;Bem'!$BD$31*(CG48-0.3)+CG48^2)</f>
        <v>2.5539230111829694</v>
      </c>
      <c r="CI48" s="550">
        <f t="shared" si="33"/>
        <v>0.24031860288788967</v>
      </c>
      <c r="CK48" s="551">
        <f t="shared" si="34"/>
        <v>2403.1860288788966</v>
      </c>
      <c r="CO48" s="546">
        <f t="shared" si="35"/>
        <v>100</v>
      </c>
      <c r="CP48" s="551">
        <f t="shared" si="36"/>
        <v>128.1717597600969</v>
      </c>
      <c r="CQ48" s="553">
        <f>CP48/PI()*SQRT('Hilfstabellen_Mat&amp;Bem'!f.Rd.3/'Hilfstabellen_Mat&amp;Bem'!$BD$30)</f>
        <v>2.0399169130606305</v>
      </c>
      <c r="CR48" s="553">
        <f>0.5*(1+'Hilfstabellen_Mat&amp;Bem'!$BD$31*(CQ48-0.3)+CQ48^2)</f>
        <v>2.6676263517484373</v>
      </c>
      <c r="CS48" s="550">
        <f t="shared" si="37"/>
        <v>0.22796549484393031</v>
      </c>
      <c r="CU48" s="551">
        <f t="shared" si="38"/>
        <v>2279.6549484393031</v>
      </c>
      <c r="CY48" s="546">
        <f t="shared" si="39"/>
        <v>100</v>
      </c>
      <c r="CZ48" s="551">
        <f t="shared" si="40"/>
        <v>131.63586137523467</v>
      </c>
      <c r="DA48" s="553">
        <f>CZ48/PI()*SQRT('Hilfstabellen_Mat&amp;Bem'!f.Rd.3/'Hilfstabellen_Mat&amp;Bem'!$BD$30)</f>
        <v>2.0950498026028099</v>
      </c>
      <c r="DB48" s="553">
        <f>0.5*(1+'Hilfstabellen_Mat&amp;Bem'!$BD$31*(DA48-0.3)+DA48^2)</f>
        <v>2.7843693278231774</v>
      </c>
      <c r="DC48" s="550">
        <f t="shared" si="41"/>
        <v>0.21652762731877842</v>
      </c>
      <c r="DE48" s="551">
        <f t="shared" si="42"/>
        <v>2165.2762731877842</v>
      </c>
      <c r="DI48" s="546">
        <f t="shared" si="43"/>
        <v>100</v>
      </c>
      <c r="DJ48" s="551">
        <f t="shared" si="44"/>
        <v>135.09996299037243</v>
      </c>
      <c r="DK48" s="553">
        <f>DJ48/PI()*SQRT('Hilfstabellen_Mat&amp;Bem'!f.Rd.3/'Hilfstabellen_Mat&amp;Bem'!$BD$30)</f>
        <v>2.1501826921449889</v>
      </c>
      <c r="DL48" s="553">
        <f>0.5*(1+'Hilfstabellen_Mat&amp;Bem'!$BD$31*(DK48-0.3)+DK48^2)</f>
        <v>2.9041519394071855</v>
      </c>
      <c r="DM48" s="550">
        <f t="shared" si="45"/>
        <v>0.20591883703785255</v>
      </c>
      <c r="DO48" s="551">
        <f t="shared" si="46"/>
        <v>2059.1883703785256</v>
      </c>
      <c r="DS48" s="546">
        <f t="shared" si="47"/>
        <v>100</v>
      </c>
      <c r="DT48" s="551">
        <f t="shared" si="48"/>
        <v>138.56406460551017</v>
      </c>
      <c r="DU48" s="553">
        <f>DT48/PI()*SQRT('Hilfstabellen_Mat&amp;Bem'!f.Rd.3/'Hilfstabellen_Mat&amp;Bem'!$BD$30)</f>
        <v>2.2053155816871679</v>
      </c>
      <c r="DV48" s="553">
        <f>0.5*(1+'Hilfstabellen_Mat&amp;Bem'!$BD$31*(DU48-0.3)+DU48^2)</f>
        <v>3.026974186500464</v>
      </c>
      <c r="DW48" s="550">
        <f t="shared" si="49"/>
        <v>0.19606248557633724</v>
      </c>
      <c r="DY48" s="551">
        <f t="shared" si="50"/>
        <v>1960.6248557633724</v>
      </c>
      <c r="EC48" s="546">
        <f t="shared" si="51"/>
        <v>100</v>
      </c>
      <c r="ED48" s="551">
        <f t="shared" si="52"/>
        <v>142.02816622064793</v>
      </c>
      <c r="EE48" s="553">
        <f>ED48/PI()*SQRT('Hilfstabellen_Mat&amp;Bem'!f.Rd.3/'Hilfstabellen_Mat&amp;Bem'!$BD$30)</f>
        <v>2.2604484712293473</v>
      </c>
      <c r="EF48" s="553">
        <f>0.5*(1+'Hilfstabellen_Mat&amp;Bem'!$BD$31*(EE48-0.3)+EE48^2)</f>
        <v>3.1528360691030142</v>
      </c>
      <c r="EG48" s="550">
        <f t="shared" si="53"/>
        <v>0.1868903054265664</v>
      </c>
      <c r="EI48" s="551">
        <f t="shared" si="54"/>
        <v>1868.903054265664</v>
      </c>
      <c r="EM48" s="546">
        <f t="shared" si="55"/>
        <v>100</v>
      </c>
      <c r="EN48" s="551">
        <f t="shared" si="56"/>
        <v>145.4922678357857</v>
      </c>
      <c r="EO48" s="553">
        <f>EN48/PI()*SQRT('Hilfstabellen_Mat&amp;Bem'!f.Rd.3/'Hilfstabellen_Mat&amp;Bem'!$BD$30)</f>
        <v>2.3155813607715268</v>
      </c>
      <c r="EP48" s="553">
        <f>0.5*(1+'Hilfstabellen_Mat&amp;Bem'!$BD$31*(EO48-0.3)+EO48^2)</f>
        <v>3.2817375872148342</v>
      </c>
      <c r="EQ48" s="550">
        <f t="shared" si="57"/>
        <v>0.17834138532361904</v>
      </c>
      <c r="ES48" s="551">
        <f t="shared" si="58"/>
        <v>1783.4138532361903</v>
      </c>
    </row>
    <row r="49" spans="3:149">
      <c r="C49" s="546">
        <v>101</v>
      </c>
      <c r="D49" s="551">
        <f t="shared" si="6"/>
        <v>96.034500221640712</v>
      </c>
      <c r="E49" s="553">
        <f>$D49/PI()*SQRT('Hilfstabellen_Mat&amp;Bem'!f.Rd.3/'Hilfstabellen_Mat&amp;Bem'!$BD$30)</f>
        <v>1.5284365417633838</v>
      </c>
      <c r="F49" s="553">
        <f>0.5*(1+'Hilfstabellen_Mat&amp;Bem'!$BD$31*($E49-0.3)+$E49^2)</f>
        <v>1.7294809581869752</v>
      </c>
      <c r="G49" s="550">
        <f t="shared" si="7"/>
        <v>0.39388794815641681</v>
      </c>
      <c r="I49" s="551">
        <f t="shared" si="8"/>
        <v>4018.050959143608</v>
      </c>
      <c r="M49" s="546">
        <f t="shared" si="9"/>
        <v>101</v>
      </c>
      <c r="N49" s="551">
        <f t="shared" si="0"/>
        <v>99.464303800985036</v>
      </c>
      <c r="O49" s="553">
        <f>$N49/PI()*SQRT('Hilfstabellen_Mat&amp;Bem'!f.Rd.3/'Hilfstabellen_Mat&amp;Bem'!$BD$30)</f>
        <v>1.5830235611120764</v>
      </c>
      <c r="P49" s="553">
        <f>0.5*(1+'Hilfstabellen_Mat&amp;Bem'!$BD$31*($O49-0.3)+$O49^2)</f>
        <v>1.8171329755735837</v>
      </c>
      <c r="Q49" s="550">
        <f t="shared" si="1"/>
        <v>0.36909546713451552</v>
      </c>
      <c r="S49" s="551">
        <f t="shared" si="10"/>
        <v>3765.1428602391929</v>
      </c>
      <c r="W49" s="546">
        <f t="shared" si="11"/>
        <v>101</v>
      </c>
      <c r="X49" s="551">
        <f t="shared" si="2"/>
        <v>102.89410738032934</v>
      </c>
      <c r="Y49" s="553">
        <f>$X49/PI()*SQRT('Hilfstabellen_Mat&amp;Bem'!f.Rd.3/'Hilfstabellen_Mat&amp;Bem'!$BD$30)</f>
        <v>1.6376105804607688</v>
      </c>
      <c r="Z49" s="553">
        <f>0.5*(1+'Hilfstabellen_Mat&amp;Bem'!$BD$31*($Y49-0.3)+$Y49^2)</f>
        <v>1.9077647356415666</v>
      </c>
      <c r="AA49" s="550">
        <f t="shared" si="3"/>
        <v>0.3464479808158471</v>
      </c>
      <c r="AC49" s="551">
        <f t="shared" si="12"/>
        <v>3534.1158523024565</v>
      </c>
      <c r="AG49" s="546">
        <f t="shared" si="13"/>
        <v>101</v>
      </c>
      <c r="AH49" s="551">
        <f t="shared" si="4"/>
        <v>106.32391095967364</v>
      </c>
      <c r="AI49" s="553">
        <f>$AH49/PI()*SQRT('Hilfstabellen_Mat&amp;Bem'!f.Rd.3/'Hilfstabellen_Mat&amp;Bem'!$BD$30)</f>
        <v>1.6921975998094607</v>
      </c>
      <c r="AJ49" s="553">
        <f>0.5*(1+'Hilfstabellen_Mat&amp;Bem'!$BD$31*($AI49-0.3)+$AI49^2)</f>
        <v>2.001376238390923</v>
      </c>
      <c r="AK49" s="550">
        <f t="shared" si="5"/>
        <v>0.32573203586885047</v>
      </c>
      <c r="AM49" s="551">
        <f t="shared" si="14"/>
        <v>3322.7924978981437</v>
      </c>
      <c r="AQ49" s="546">
        <f t="shared" si="15"/>
        <v>101</v>
      </c>
      <c r="AR49" s="551">
        <f t="shared" si="16"/>
        <v>109.75371453901796</v>
      </c>
      <c r="AS49" s="553">
        <f>$AR49/PI()*SQRT('Hilfstabellen_Mat&amp;Bem'!f.Rd.3/'Hilfstabellen_Mat&amp;Bem'!$BD$30)</f>
        <v>1.7467846191581531</v>
      </c>
      <c r="AT49" s="553">
        <f>0.5*(1+'Hilfstabellen_Mat&amp;Bem'!$BD$31*($AS49-0.3)+$AS49^2)</f>
        <v>2.0979674838216544</v>
      </c>
      <c r="AU49" s="550">
        <f t="shared" si="17"/>
        <v>0.30675285971159555</v>
      </c>
      <c r="AW49" s="551">
        <f t="shared" si="18"/>
        <v>3129.185921917986</v>
      </c>
      <c r="BA49" s="546">
        <f t="shared" si="19"/>
        <v>101</v>
      </c>
      <c r="BB49" s="551">
        <f t="shared" si="20"/>
        <v>113.18351811836226</v>
      </c>
      <c r="BC49" s="553">
        <f>$BB49/PI()*SQRT('Hilfstabellen_Mat&amp;Bem'!f.Rd.3/'Hilfstabellen_Mat&amp;Bem'!$BD$30)</f>
        <v>1.8013716385068452</v>
      </c>
      <c r="BD49" s="553">
        <f>0.5*(1+'Hilfstabellen_Mat&amp;Bem'!$BD$31*($BC49-0.3)+$BC49^2)</f>
        <v>2.1975384719337603</v>
      </c>
      <c r="BE49" s="550">
        <f t="shared" si="21"/>
        <v>0.28933488466574492</v>
      </c>
      <c r="BG49" s="551">
        <f t="shared" si="22"/>
        <v>2951.5051584752641</v>
      </c>
      <c r="BK49" s="546">
        <f t="shared" si="23"/>
        <v>101</v>
      </c>
      <c r="BL49" s="551">
        <f t="shared" si="24"/>
        <v>116.61332169770658</v>
      </c>
      <c r="BM49" s="553">
        <f>$BL49/PI()*SQRT('Hilfstabellen_Mat&amp;Bem'!f.Rd.3/'Hilfstabellen_Mat&amp;Bem'!$BD$30)</f>
        <v>1.8559586578555376</v>
      </c>
      <c r="BN49" s="553">
        <f>0.5*(1+'Hilfstabellen_Mat&amp;Bem'!$BD$31*($BM49-0.3)+$BM49^2)</f>
        <v>2.300089202727241</v>
      </c>
      <c r="BO49" s="550">
        <f t="shared" si="25"/>
        <v>0.2733210012065207</v>
      </c>
      <c r="BQ49" s="551">
        <f t="shared" si="26"/>
        <v>2788.1475333077178</v>
      </c>
      <c r="BU49" s="546">
        <f t="shared" si="27"/>
        <v>101</v>
      </c>
      <c r="BV49" s="551">
        <f t="shared" si="28"/>
        <v>120.04312527705089</v>
      </c>
      <c r="BW49" s="553">
        <f>$BV49/PI()*SQRT('Hilfstabellen_Mat&amp;Bem'!f.Rd.3/'Hilfstabellen_Mat&amp;Bem'!$BD$30)</f>
        <v>1.91054567720423</v>
      </c>
      <c r="BX49" s="553">
        <f>0.5*(1+'Hilfstabellen_Mat&amp;Bem'!$BD$31*($BW49-0.3)+$BW49^2)</f>
        <v>2.4056196762020963</v>
      </c>
      <c r="BY49" s="550">
        <f t="shared" si="29"/>
        <v>0.25857120364497388</v>
      </c>
      <c r="CA49" s="551">
        <f t="shared" si="30"/>
        <v>2637.6848483823787</v>
      </c>
      <c r="CE49" s="546">
        <f t="shared" si="31"/>
        <v>101</v>
      </c>
      <c r="CF49" s="551">
        <f t="shared" si="32"/>
        <v>123.47292885639521</v>
      </c>
      <c r="CG49" s="553">
        <f>CF49/PI()*SQRT('Hilfstabellen_Mat&amp;Bem'!f.Rd.3/'Hilfstabellen_Mat&amp;Bem'!$BD$30)</f>
        <v>1.9651326965529223</v>
      </c>
      <c r="CH49" s="553">
        <f>0.5*(1+'Hilfstabellen_Mat&amp;Bem'!$BD$31*(CG49-0.3)+CG49^2)</f>
        <v>2.514129892358326</v>
      </c>
      <c r="CI49" s="550">
        <f t="shared" si="33"/>
        <v>0.24496099915199449</v>
      </c>
      <c r="CK49" s="551">
        <f t="shared" si="34"/>
        <v>2498.8471523494959</v>
      </c>
      <c r="CO49" s="546">
        <f t="shared" si="35"/>
        <v>101</v>
      </c>
      <c r="CP49" s="551">
        <f t="shared" si="36"/>
        <v>126.90273243573952</v>
      </c>
      <c r="CQ49" s="553">
        <f>CP49/PI()*SQRT('Hilfstabellen_Mat&amp;Bem'!f.Rd.3/'Hilfstabellen_Mat&amp;Bem'!$BD$30)</f>
        <v>2.0197197159016147</v>
      </c>
      <c r="CR49" s="553">
        <f>0.5*(1+'Hilfstabellen_Mat&amp;Bem'!$BD$31*(CQ49-0.3)+CQ49^2)</f>
        <v>2.6256198511959301</v>
      </c>
      <c r="CS49" s="550">
        <f t="shared" si="37"/>
        <v>0.23237978238800946</v>
      </c>
      <c r="CU49" s="551">
        <f t="shared" si="38"/>
        <v>2370.5061601400844</v>
      </c>
      <c r="CY49" s="546">
        <f t="shared" si="39"/>
        <v>101</v>
      </c>
      <c r="CZ49" s="551">
        <f t="shared" si="40"/>
        <v>130.33253601508383</v>
      </c>
      <c r="DA49" s="553">
        <f>CZ49/PI()*SQRT('Hilfstabellen_Mat&amp;Bem'!f.Rd.3/'Hilfstabellen_Mat&amp;Bem'!$BD$30)</f>
        <v>2.0743067352503068</v>
      </c>
      <c r="DB49" s="553">
        <f>0.5*(1+'Hilfstabellen_Mat&amp;Bem'!$BD$31*(DA49-0.3)+DA49^2)</f>
        <v>2.7400895527149087</v>
      </c>
      <c r="DC49" s="550">
        <f t="shared" si="41"/>
        <v>0.22072928111460777</v>
      </c>
      <c r="DE49" s="551">
        <f t="shared" si="42"/>
        <v>2251.6593966501136</v>
      </c>
      <c r="DI49" s="546">
        <f t="shared" si="43"/>
        <v>101</v>
      </c>
      <c r="DJ49" s="551">
        <f t="shared" si="44"/>
        <v>133.76233959442814</v>
      </c>
      <c r="DK49" s="553">
        <f>DJ49/PI()*SQRT('Hilfstabellen_Mat&amp;Bem'!f.Rd.3/'Hilfstabellen_Mat&amp;Bem'!$BD$30)</f>
        <v>2.128893754598999</v>
      </c>
      <c r="DL49" s="553">
        <f>0.5*(1+'Hilfstabellen_Mat&amp;Bem'!$BD$31*(DK49-0.3)+DK49^2)</f>
        <v>2.8575389969152614</v>
      </c>
      <c r="DM49" s="550">
        <f t="shared" si="45"/>
        <v>0.20992212289909593</v>
      </c>
      <c r="DO49" s="551">
        <f t="shared" si="46"/>
        <v>2141.4155756936775</v>
      </c>
      <c r="DS49" s="546">
        <f t="shared" si="47"/>
        <v>101</v>
      </c>
      <c r="DT49" s="551">
        <f t="shared" si="48"/>
        <v>137.19214317377245</v>
      </c>
      <c r="DU49" s="553">
        <f>DT49/PI()*SQRT('Hilfstabellen_Mat&amp;Bem'!f.Rd.3/'Hilfstabellen_Mat&amp;Bem'!$BD$30)</f>
        <v>2.1834807739476911</v>
      </c>
      <c r="DV49" s="553">
        <f>0.5*(1+'Hilfstabellen_Mat&amp;Bem'!$BD$31*(DU49-0.3)+DU49^2)</f>
        <v>2.9779681837969889</v>
      </c>
      <c r="DW49" s="550">
        <f t="shared" si="49"/>
        <v>0.19988054193715829</v>
      </c>
      <c r="DY49" s="551">
        <f t="shared" si="50"/>
        <v>2038.9814083009517</v>
      </c>
      <c r="EC49" s="546">
        <f t="shared" si="51"/>
        <v>101</v>
      </c>
      <c r="ED49" s="551">
        <f t="shared" si="52"/>
        <v>140.62194675311676</v>
      </c>
      <c r="EE49" s="553">
        <f>ED49/PI()*SQRT('Hilfstabellen_Mat&amp;Bem'!f.Rd.3/'Hilfstabellen_Mat&amp;Bem'!$BD$30)</f>
        <v>2.2380677932963837</v>
      </c>
      <c r="EF49" s="553">
        <f>0.5*(1+'Hilfstabellen_Mat&amp;Bem'!$BD$31*(EE49-0.3)+EE49^2)</f>
        <v>3.1013771133600914</v>
      </c>
      <c r="EG49" s="550">
        <f t="shared" si="53"/>
        <v>0.19053522798467457</v>
      </c>
      <c r="EI49" s="551">
        <f t="shared" si="54"/>
        <v>1943.6498606716652</v>
      </c>
      <c r="EM49" s="546">
        <f t="shared" si="55"/>
        <v>101</v>
      </c>
      <c r="EN49" s="551">
        <f t="shared" si="56"/>
        <v>144.05175033246107</v>
      </c>
      <c r="EO49" s="553">
        <f>EN49/PI()*SQRT('Hilfstabellen_Mat&amp;Bem'!f.Rd.3/'Hilfstabellen_Mat&amp;Bem'!$BD$30)</f>
        <v>2.2926548126450759</v>
      </c>
      <c r="EP49" s="553">
        <f>0.5*(1+'Hilfstabellen_Mat&amp;Bem'!$BD$31*(EO49-0.3)+EO49^2)</f>
        <v>3.2277657856045678</v>
      </c>
      <c r="EQ49" s="550">
        <f t="shared" si="57"/>
        <v>0.18182431050094172</v>
      </c>
      <c r="ES49" s="551">
        <f t="shared" si="58"/>
        <v>1854.7897914201064</v>
      </c>
    </row>
    <row r="50" spans="3:149">
      <c r="C50" s="546">
        <v>102</v>
      </c>
      <c r="D50" s="551">
        <f t="shared" si="6"/>
        <v>95.092985513585404</v>
      </c>
      <c r="E50" s="553">
        <f>$D50/PI()*SQRT('Hilfstabellen_Mat&amp;Bem'!f.Rd.3/'Hilfstabellen_Mat&amp;Bem'!$BD$30)</f>
        <v>1.5134518697853114</v>
      </c>
      <c r="F50" s="553">
        <f>0.5*(1+'Hilfstabellen_Mat&amp;Bem'!$BD$31*($E50-0.3)+$E50^2)</f>
        <v>1.7059408745675932</v>
      </c>
      <c r="G50" s="550">
        <f t="shared" si="7"/>
        <v>0.40109906256693229</v>
      </c>
      <c r="I50" s="551">
        <f t="shared" si="8"/>
        <v>4173.0346469463639</v>
      </c>
      <c r="M50" s="546">
        <f t="shared" si="9"/>
        <v>102</v>
      </c>
      <c r="N50" s="551">
        <f t="shared" si="0"/>
        <v>98.489163567642038</v>
      </c>
      <c r="O50" s="553">
        <f>$N50/PI()*SQRT('Hilfstabellen_Mat&amp;Bem'!f.Rd.3/'Hilfstabellen_Mat&amp;Bem'!$BD$30)</f>
        <v>1.5675037222776442</v>
      </c>
      <c r="P50" s="553">
        <f>0.5*(1+'Hilfstabellen_Mat&amp;Bem'!$BD$31*($O50-0.3)+$O50^2)</f>
        <v>1.7919091457910172</v>
      </c>
      <c r="Q50" s="550">
        <f t="shared" si="1"/>
        <v>0.37591634928518786</v>
      </c>
      <c r="S50" s="551">
        <f t="shared" si="10"/>
        <v>3911.0336979630943</v>
      </c>
      <c r="W50" s="546">
        <f t="shared" si="11"/>
        <v>102</v>
      </c>
      <c r="X50" s="551">
        <f t="shared" si="2"/>
        <v>101.88534162169866</v>
      </c>
      <c r="Y50" s="553">
        <f>$X50/PI()*SQRT('Hilfstabellen_Mat&amp;Bem'!f.Rd.3/'Hilfstabellen_Mat&amp;Bem'!$BD$30)</f>
        <v>1.6215555747699768</v>
      </c>
      <c r="Z50" s="553">
        <f>0.5*(1+'Hilfstabellen_Mat&amp;Bem'!$BD$31*($Y50-0.3)+$Y50^2)</f>
        <v>1.8807990197722937</v>
      </c>
      <c r="AA50" s="550">
        <f t="shared" si="3"/>
        <v>0.35289928518446811</v>
      </c>
      <c r="AC50" s="551">
        <f t="shared" si="12"/>
        <v>3671.5641630592063</v>
      </c>
      <c r="AG50" s="546">
        <f t="shared" si="13"/>
        <v>102</v>
      </c>
      <c r="AH50" s="551">
        <f t="shared" si="4"/>
        <v>105.28151967575528</v>
      </c>
      <c r="AI50" s="553">
        <f>$AH50/PI()*SQRT('Hilfstabellen_Mat&amp;Bem'!f.Rd.3/'Hilfstabellen_Mat&amp;Bem'!$BD$30)</f>
        <v>1.6756074272623094</v>
      </c>
      <c r="AJ50" s="553">
        <f>0.5*(1+'Hilfstabellen_Mat&amp;Bem'!$BD$31*($AI50-0.3)+$AI50^2)</f>
        <v>1.9726104965114231</v>
      </c>
      <c r="AK50" s="550">
        <f t="shared" si="5"/>
        <v>0.33183577065282693</v>
      </c>
      <c r="AM50" s="551">
        <f t="shared" si="14"/>
        <v>3452.4193578720115</v>
      </c>
      <c r="AQ50" s="546">
        <f t="shared" si="15"/>
        <v>102</v>
      </c>
      <c r="AR50" s="551">
        <f t="shared" si="16"/>
        <v>108.6776977298119</v>
      </c>
      <c r="AS50" s="553">
        <f>$AR50/PI()*SQRT('Hilfstabellen_Mat&amp;Bem'!f.Rd.3/'Hilfstabellen_Mat&amp;Bem'!$BD$30)</f>
        <v>1.7296592797546417</v>
      </c>
      <c r="AT50" s="553">
        <f>0.5*(1+'Hilfstabellen_Mat&amp;Bem'!$BD$31*($AS50-0.3)+$AS50^2)</f>
        <v>2.0673435760084051</v>
      </c>
      <c r="AU50" s="550">
        <f t="shared" si="17"/>
        <v>0.3125311470197773</v>
      </c>
      <c r="AW50" s="551">
        <f t="shared" si="18"/>
        <v>3251.574053593763</v>
      </c>
      <c r="BA50" s="546">
        <f t="shared" si="19"/>
        <v>102</v>
      </c>
      <c r="BB50" s="551">
        <f t="shared" si="20"/>
        <v>112.07387578386852</v>
      </c>
      <c r="BC50" s="553">
        <f>$BB50/PI()*SQRT('Hilfstabellen_Mat&amp;Bem'!f.Rd.3/'Hilfstabellen_Mat&amp;Bem'!$BD$30)</f>
        <v>1.7837111322469743</v>
      </c>
      <c r="BD50" s="553">
        <f>0.5*(1+'Hilfstabellen_Mat&amp;Bem'!$BD$31*($BC50-0.3)+$BC50^2)</f>
        <v>2.1649982582632403</v>
      </c>
      <c r="BE50" s="550">
        <f t="shared" si="21"/>
        <v>0.29480923894515071</v>
      </c>
      <c r="BG50" s="551">
        <f t="shared" si="22"/>
        <v>3067.1953219853481</v>
      </c>
      <c r="BK50" s="546">
        <f t="shared" si="23"/>
        <v>102</v>
      </c>
      <c r="BL50" s="551">
        <f t="shared" si="24"/>
        <v>115.47005383792515</v>
      </c>
      <c r="BM50" s="553">
        <f>$BL50/PI()*SQRT('Hilfstabellen_Mat&amp;Bem'!f.Rd.3/'Hilfstabellen_Mat&amp;Bem'!$BD$30)</f>
        <v>1.8377629847393071</v>
      </c>
      <c r="BN50" s="553">
        <f>0.5*(1+'Hilfstabellen_Mat&amp;Bem'!$BD$31*($BM50-0.3)+$BM50^2)</f>
        <v>2.2655745432759287</v>
      </c>
      <c r="BO50" s="550">
        <f t="shared" si="25"/>
        <v>0.27851192942466541</v>
      </c>
      <c r="BQ50" s="551">
        <f t="shared" si="26"/>
        <v>2897.6381137342187</v>
      </c>
      <c r="BU50" s="546">
        <f t="shared" si="27"/>
        <v>102</v>
      </c>
      <c r="BV50" s="551">
        <f t="shared" si="28"/>
        <v>118.86623189198177</v>
      </c>
      <c r="BW50" s="553">
        <f>$BV50/PI()*SQRT('Hilfstabellen_Mat&amp;Bem'!f.Rd.3/'Hilfstabellen_Mat&amp;Bem'!$BD$30)</f>
        <v>1.8918148372316397</v>
      </c>
      <c r="BX50" s="553">
        <f>0.5*(1+'Hilfstabellen_Mat&amp;Bem'!$BD$31*($BW50-0.3)+$BW50^2)</f>
        <v>2.3690724310464697</v>
      </c>
      <c r="BY50" s="550">
        <f t="shared" si="29"/>
        <v>0.26349800453813405</v>
      </c>
      <c r="CA50" s="551">
        <f t="shared" si="30"/>
        <v>2741.4332392147467</v>
      </c>
      <c r="CE50" s="546">
        <f t="shared" si="31"/>
        <v>102</v>
      </c>
      <c r="CF50" s="551">
        <f t="shared" si="32"/>
        <v>122.2624099460384</v>
      </c>
      <c r="CG50" s="553">
        <f>CF50/PI()*SQRT('Hilfstabellen_Mat&amp;Bem'!f.Rd.3/'Hilfstabellen_Mat&amp;Bem'!$BD$30)</f>
        <v>1.945866689723972</v>
      </c>
      <c r="CH50" s="553">
        <f>0.5*(1+'Hilfstabellen_Mat&amp;Bem'!$BD$31*(CG50-0.3)+CG50^2)</f>
        <v>2.475491921574863</v>
      </c>
      <c r="CI50" s="550">
        <f t="shared" si="33"/>
        <v>0.24964168469182937</v>
      </c>
      <c r="CK50" s="551">
        <f t="shared" si="34"/>
        <v>2597.2720875337927</v>
      </c>
      <c r="CO50" s="546">
        <f t="shared" si="35"/>
        <v>102</v>
      </c>
      <c r="CP50" s="551">
        <f t="shared" si="36"/>
        <v>125.65858800009501</v>
      </c>
      <c r="CQ50" s="553">
        <f>CP50/PI()*SQRT('Hilfstabellen_Mat&amp;Bem'!f.Rd.3/'Hilfstabellen_Mat&amp;Bem'!$BD$30)</f>
        <v>1.9999185422163046</v>
      </c>
      <c r="CR50" s="553">
        <f>0.5*(1+'Hilfstabellen_Mat&amp;Bem'!$BD$31*(CQ50-0.3)+CQ50^2)</f>
        <v>2.5848330148611098</v>
      </c>
      <c r="CS50" s="550">
        <f t="shared" si="37"/>
        <v>0.23683107316065724</v>
      </c>
      <c r="CU50" s="551">
        <f t="shared" si="38"/>
        <v>2463.9904851634778</v>
      </c>
      <c r="CY50" s="546">
        <f t="shared" si="39"/>
        <v>102</v>
      </c>
      <c r="CZ50" s="551">
        <f t="shared" si="40"/>
        <v>129.05476605415166</v>
      </c>
      <c r="DA50" s="553">
        <f>CZ50/PI()*SQRT('Hilfstabellen_Mat&amp;Bem'!f.Rd.3/'Hilfstabellen_Mat&amp;Bem'!$BD$30)</f>
        <v>2.0539703947086374</v>
      </c>
      <c r="DB50" s="553">
        <f>0.5*(1+'Hilfstabellen_Mat&amp;Bem'!$BD$31*(DA50-0.3)+DA50^2)</f>
        <v>2.6970957109052094</v>
      </c>
      <c r="DC50" s="550">
        <f t="shared" si="41"/>
        <v>0.2249666451710905</v>
      </c>
      <c r="DE50" s="551">
        <f t="shared" si="42"/>
        <v>2340.5529763600257</v>
      </c>
      <c r="DI50" s="546">
        <f t="shared" si="43"/>
        <v>102</v>
      </c>
      <c r="DJ50" s="551">
        <f t="shared" si="44"/>
        <v>132.45094410820826</v>
      </c>
      <c r="DK50" s="553">
        <f>DJ50/PI()*SQRT('Hilfstabellen_Mat&amp;Bem'!f.Rd.3/'Hilfstabellen_Mat&amp;Bem'!$BD$30)</f>
        <v>2.10802224720097</v>
      </c>
      <c r="DL50" s="553">
        <f>0.5*(1+'Hilfstabellen_Mat&amp;Bem'!$BD$31*(DK50-0.3)+DK50^2)</f>
        <v>2.8122800097071625</v>
      </c>
      <c r="DM50" s="550">
        <f t="shared" si="45"/>
        <v>0.21395983888975173</v>
      </c>
      <c r="DO50" s="551">
        <f t="shared" si="46"/>
        <v>2226.0381638089771</v>
      </c>
      <c r="DS50" s="546">
        <f t="shared" si="47"/>
        <v>102</v>
      </c>
      <c r="DT50" s="551">
        <f t="shared" si="48"/>
        <v>135.8471221622649</v>
      </c>
      <c r="DU50" s="553">
        <f>DT50/PI()*SQRT('Hilfstabellen_Mat&amp;Bem'!f.Rd.3/'Hilfstabellen_Mat&amp;Bem'!$BD$30)</f>
        <v>2.1620740996933026</v>
      </c>
      <c r="DV50" s="553">
        <f>0.5*(1+'Hilfstabellen_Mat&amp;Bem'!$BD$31*(DU50-0.3)+DU50^2)</f>
        <v>2.9303859112669675</v>
      </c>
      <c r="DW50" s="550">
        <f t="shared" si="49"/>
        <v>0.20373177447731494</v>
      </c>
      <c r="DY50" s="551">
        <f t="shared" si="50"/>
        <v>2119.6253816619846</v>
      </c>
      <c r="EC50" s="546">
        <f t="shared" si="51"/>
        <v>102</v>
      </c>
      <c r="ED50" s="551">
        <f t="shared" si="52"/>
        <v>139.2433002163215</v>
      </c>
      <c r="EE50" s="553">
        <f>ED50/PI()*SQRT('Hilfstabellen_Mat&amp;Bem'!f.Rd.3/'Hilfstabellen_Mat&amp;Bem'!$BD$30)</f>
        <v>2.2161259521856347</v>
      </c>
      <c r="EF50" s="553">
        <f>0.5*(1+'Hilfstabellen_Mat&amp;Bem'!$BD$31*(EE50-0.3)+EE50^2)</f>
        <v>3.0514134155846246</v>
      </c>
      <c r="EG50" s="550">
        <f t="shared" si="53"/>
        <v>0.19421210774641876</v>
      </c>
      <c r="EI50" s="551">
        <f t="shared" si="54"/>
        <v>2020.5827689937407</v>
      </c>
      <c r="EM50" s="546">
        <f t="shared" si="55"/>
        <v>102</v>
      </c>
      <c r="EN50" s="551">
        <f t="shared" si="56"/>
        <v>142.63947827037813</v>
      </c>
      <c r="EO50" s="553">
        <f>EN50/PI()*SQRT('Hilfstabellen_Mat&amp;Bem'!f.Rd.3/'Hilfstabellen_Mat&amp;Bem'!$BD$30)</f>
        <v>2.2701778046779673</v>
      </c>
      <c r="EP50" s="553">
        <f>0.5*(1+'Hilfstabellen_Mat&amp;Bem'!$BD$31*(EO50-0.3)+EO50^2)</f>
        <v>3.1753625226601359</v>
      </c>
      <c r="EQ50" s="550">
        <f t="shared" si="57"/>
        <v>0.18533801443588971</v>
      </c>
      <c r="ES50" s="551">
        <f t="shared" si="58"/>
        <v>1928.2567021909965</v>
      </c>
    </row>
    <row r="51" spans="3:149">
      <c r="C51" s="546">
        <v>103</v>
      </c>
      <c r="D51" s="551">
        <f t="shared" si="6"/>
        <v>94.169752644521481</v>
      </c>
      <c r="E51" s="553">
        <f>$D51/PI()*SQRT('Hilfstabellen_Mat&amp;Bem'!f.Rd.3/'Hilfstabellen_Mat&amp;Bem'!$BD$30)</f>
        <v>1.4987581623116677</v>
      </c>
      <c r="F51" s="553">
        <f>0.5*(1+'Hilfstabellen_Mat&amp;Bem'!$BD$31*($E51-0.3)+$E51^2)</f>
        <v>1.683075922663507</v>
      </c>
      <c r="G51" s="550">
        <f t="shared" si="7"/>
        <v>0.4083485626153483</v>
      </c>
      <c r="I51" s="551">
        <f t="shared" si="8"/>
        <v>4332.1699007862298</v>
      </c>
      <c r="M51" s="546">
        <f t="shared" si="9"/>
        <v>103</v>
      </c>
      <c r="N51" s="551">
        <f t="shared" si="0"/>
        <v>97.532958096111528</v>
      </c>
      <c r="O51" s="553">
        <f>$N51/PI()*SQRT('Hilfstabellen_Mat&amp;Bem'!f.Rd.3/'Hilfstabellen_Mat&amp;Bem'!$BD$30)</f>
        <v>1.5522852395370845</v>
      </c>
      <c r="P51" s="553">
        <f>0.5*(1+'Hilfstabellen_Mat&amp;Bem'!$BD$31*($O51-0.3)+$O51^2)</f>
        <v>1.7674089944192062</v>
      </c>
      <c r="Q51" s="550">
        <f t="shared" si="1"/>
        <v>0.38277804267653137</v>
      </c>
      <c r="S51" s="551">
        <f t="shared" si="10"/>
        <v>4060.8922547553211</v>
      </c>
      <c r="W51" s="546">
        <f t="shared" si="11"/>
        <v>103</v>
      </c>
      <c r="X51" s="551">
        <f t="shared" si="2"/>
        <v>100.89616354770159</v>
      </c>
      <c r="Y51" s="553">
        <f>$X51/PI()*SQRT('Hilfstabellen_Mat&amp;Bem'!f.Rd.3/'Hilfstabellen_Mat&amp;Bem'!$BD$30)</f>
        <v>1.6058123167625014</v>
      </c>
      <c r="Z51" s="553">
        <f>0.5*(1+'Hilfstabellen_Mat&amp;Bem'!$BD$31*($Y51-0.3)+$Y51^2)</f>
        <v>1.8546072141712011</v>
      </c>
      <c r="AA51" s="550">
        <f t="shared" si="3"/>
        <v>0.35939253952638828</v>
      </c>
      <c r="AC51" s="551">
        <f t="shared" si="12"/>
        <v>3812.7954518354532</v>
      </c>
      <c r="AG51" s="546">
        <f t="shared" si="13"/>
        <v>103</v>
      </c>
      <c r="AH51" s="551">
        <f t="shared" si="4"/>
        <v>104.25936899929164</v>
      </c>
      <c r="AI51" s="553">
        <f>$AH51/PI()*SQRT('Hilfstabellen_Mat&amp;Bem'!f.Rd.3/'Hilfstabellen_Mat&amp;Bem'!$BD$30)</f>
        <v>1.659339393987918</v>
      </c>
      <c r="AJ51" s="553">
        <f>0.5*(1+'Hilfstabellen_Mat&amp;Bem'!$BD$31*($AI51-0.3)+$AI51^2)</f>
        <v>1.9446705819194914</v>
      </c>
      <c r="AK51" s="550">
        <f t="shared" si="5"/>
        <v>0.33798172740772459</v>
      </c>
      <c r="AM51" s="551">
        <f t="shared" si="14"/>
        <v>3585.64814606855</v>
      </c>
      <c r="AQ51" s="546">
        <f t="shared" si="15"/>
        <v>103</v>
      </c>
      <c r="AR51" s="551">
        <f t="shared" si="16"/>
        <v>107.62257445088169</v>
      </c>
      <c r="AS51" s="553">
        <f>$AR51/PI()*SQRT('Hilfstabellen_Mat&amp;Bem'!f.Rd.3/'Hilfstabellen_Mat&amp;Bem'!$BD$30)</f>
        <v>1.7128664712133344</v>
      </c>
      <c r="AT51" s="553">
        <f>0.5*(1+'Hilfstabellen_Mat&amp;Bem'!$BD$31*($AS51-0.3)+$AS51^2)</f>
        <v>2.037599097664077</v>
      </c>
      <c r="AU51" s="550">
        <f t="shared" si="17"/>
        <v>0.31835134744003685</v>
      </c>
      <c r="AW51" s="551">
        <f t="shared" si="18"/>
        <v>3377.389444991351</v>
      </c>
      <c r="BA51" s="546">
        <f t="shared" si="19"/>
        <v>103</v>
      </c>
      <c r="BB51" s="551">
        <f t="shared" si="20"/>
        <v>110.98577990247173</v>
      </c>
      <c r="BC51" s="553">
        <f>$BB51/PI()*SQRT('Hilfstabellen_Mat&amp;Bem'!f.Rd.3/'Hilfstabellen_Mat&amp;Bem'!$BD$30)</f>
        <v>1.7663935484387512</v>
      </c>
      <c r="BD51" s="553">
        <f>0.5*(1+'Hilfstabellen_Mat&amp;Bem'!$BD$31*($BC51-0.3)+$BC51^2)</f>
        <v>2.1333927614049593</v>
      </c>
      <c r="BE51" s="550">
        <f t="shared" si="21"/>
        <v>0.30032481236330383</v>
      </c>
      <c r="BG51" s="551">
        <f t="shared" si="22"/>
        <v>3186.1459343622905</v>
      </c>
      <c r="BK51" s="546">
        <f t="shared" si="23"/>
        <v>103</v>
      </c>
      <c r="BL51" s="551">
        <f t="shared" si="24"/>
        <v>114.34898535406181</v>
      </c>
      <c r="BM51" s="553">
        <f>$BL51/PI()*SQRT('Hilfstabellen_Mat&amp;Bem'!f.Rd.3/'Hilfstabellen_Mat&amp;Bem'!$BD$30)</f>
        <v>1.8199206256641682</v>
      </c>
      <c r="BN51" s="553">
        <f>0.5*(1+'Hilfstabellen_Mat&amp;Bem'!$BD$31*($BM51-0.3)+$BM51^2)</f>
        <v>2.2320515731421371</v>
      </c>
      <c r="BO51" s="550">
        <f t="shared" si="25"/>
        <v>0.28374313254510575</v>
      </c>
      <c r="BQ51" s="551">
        <f t="shared" si="26"/>
        <v>3010.2308931710268</v>
      </c>
      <c r="BU51" s="546">
        <f t="shared" si="27"/>
        <v>103</v>
      </c>
      <c r="BV51" s="551">
        <f t="shared" si="28"/>
        <v>117.71219080565186</v>
      </c>
      <c r="BW51" s="553">
        <f>$BV51/PI()*SQRT('Hilfstabellen_Mat&amp;Bem'!f.Rd.3/'Hilfstabellen_Mat&amp;Bem'!$BD$30)</f>
        <v>1.8734477028895846</v>
      </c>
      <c r="BX51" s="553">
        <f>0.5*(1+'Hilfstabellen_Mat&amp;Bem'!$BD$31*($BW51-0.3)+$BW51^2)</f>
        <v>2.33357553287561</v>
      </c>
      <c r="BY51" s="550">
        <f t="shared" si="29"/>
        <v>0.26846397921454601</v>
      </c>
      <c r="CA51" s="551">
        <f t="shared" si="30"/>
        <v>2848.1343554871187</v>
      </c>
      <c r="CE51" s="546">
        <f t="shared" si="31"/>
        <v>103</v>
      </c>
      <c r="CF51" s="551">
        <f t="shared" si="32"/>
        <v>121.07539625724189</v>
      </c>
      <c r="CG51" s="553">
        <f>CF51/PI()*SQRT('Hilfstabellen_Mat&amp;Bem'!f.Rd.3/'Hilfstabellen_Mat&amp;Bem'!$BD$30)</f>
        <v>1.9269747801150012</v>
      </c>
      <c r="CH51" s="553">
        <f>0.5*(1+'Hilfstabellen_Mat&amp;Bem'!$BD$31*(CG51-0.3)+CG51^2)</f>
        <v>2.4379646406053785</v>
      </c>
      <c r="CI51" s="550">
        <f t="shared" si="33"/>
        <v>0.25436035089958592</v>
      </c>
      <c r="CK51" s="551">
        <f t="shared" si="34"/>
        <v>2698.508962693707</v>
      </c>
      <c r="CO51" s="546">
        <f t="shared" si="35"/>
        <v>103</v>
      </c>
      <c r="CP51" s="551">
        <f t="shared" si="36"/>
        <v>124.43860170883194</v>
      </c>
      <c r="CQ51" s="553">
        <f>CP51/PI()*SQRT('Hilfstabellen_Mat&amp;Bem'!f.Rd.3/'Hilfstabellen_Mat&amp;Bem'!$BD$30)</f>
        <v>1.9805018573404176</v>
      </c>
      <c r="CR51" s="553">
        <f>0.5*(1+'Hilfstabellen_Mat&amp;Bem'!$BD$31*(CQ51-0.3)+CQ51^2)</f>
        <v>2.5452188963314426</v>
      </c>
      <c r="CS51" s="550">
        <f t="shared" si="37"/>
        <v>0.24131910462751685</v>
      </c>
      <c r="CU51" s="551">
        <f t="shared" si="38"/>
        <v>2560.1543809933264</v>
      </c>
      <c r="CY51" s="546">
        <f t="shared" si="39"/>
        <v>103</v>
      </c>
      <c r="CZ51" s="551">
        <f t="shared" si="40"/>
        <v>127.80180716042202</v>
      </c>
      <c r="DA51" s="553">
        <f>CZ51/PI()*SQRT('Hilfstabellen_Mat&amp;Bem'!f.Rd.3/'Hilfstabellen_Mat&amp;Bem'!$BD$30)</f>
        <v>2.0340289345658351</v>
      </c>
      <c r="DB51" s="553">
        <f>0.5*(1+'Hilfstabellen_Mat&amp;Bem'!$BD$31*(DA51-0.3)+DA51^2)</f>
        <v>2.6553383000538049</v>
      </c>
      <c r="DC51" s="550">
        <f t="shared" si="41"/>
        <v>0.22923949443009531</v>
      </c>
      <c r="DE51" s="551">
        <f t="shared" si="42"/>
        <v>2432.0017964088811</v>
      </c>
      <c r="DI51" s="546">
        <f t="shared" si="43"/>
        <v>103</v>
      </c>
      <c r="DJ51" s="551">
        <f t="shared" si="44"/>
        <v>131.16501261201205</v>
      </c>
      <c r="DK51" s="553">
        <f>DJ51/PI()*SQRT('Hilfstabellen_Mat&amp;Bem'!f.Rd.3/'Hilfstabellen_Mat&amp;Bem'!$BD$30)</f>
        <v>2.0875560117912513</v>
      </c>
      <c r="DL51" s="553">
        <f>0.5*(1+'Hilfstabellen_Mat&amp;Bem'!$BD$31*(DK51-0.3)+DK51^2)</f>
        <v>2.7683228517724601</v>
      </c>
      <c r="DM51" s="550">
        <f t="shared" si="45"/>
        <v>0.21803179070497367</v>
      </c>
      <c r="DO51" s="551">
        <f t="shared" si="46"/>
        <v>2313.0992675890657</v>
      </c>
      <c r="DS51" s="546">
        <f t="shared" si="47"/>
        <v>103</v>
      </c>
      <c r="DT51" s="551">
        <f t="shared" si="48"/>
        <v>134.52821806360211</v>
      </c>
      <c r="DU51" s="553">
        <f>DT51/PI()*SQRT('Hilfstabellen_Mat&amp;Bem'!f.Rd.3/'Hilfstabellen_Mat&amp;Bem'!$BD$30)</f>
        <v>2.1410830890166683</v>
      </c>
      <c r="DV51" s="553">
        <f>0.5*(1+'Hilfstabellen_Mat&amp;Bem'!$BD$31*(DU51-0.3)+DU51^2)</f>
        <v>2.8841725514874126</v>
      </c>
      <c r="DW51" s="550">
        <f t="shared" si="49"/>
        <v>0.20761601433709767</v>
      </c>
      <c r="DY51" s="551">
        <f t="shared" si="50"/>
        <v>2202.5982961022692</v>
      </c>
      <c r="EC51" s="546">
        <f t="shared" si="51"/>
        <v>103</v>
      </c>
      <c r="ED51" s="551">
        <f t="shared" si="52"/>
        <v>137.89142351519217</v>
      </c>
      <c r="EE51" s="553">
        <f>ED51/PI()*SQRT('Hilfstabellen_Mat&amp;Bem'!f.Rd.3/'Hilfstabellen_Mat&amp;Bem'!$BD$30)</f>
        <v>2.1946101662420854</v>
      </c>
      <c r="EF51" s="553">
        <f>0.5*(1+'Hilfstabellen_Mat&amp;Bem'!$BD$31*(EE51-0.3)+EE51^2)</f>
        <v>3.0028873991986611</v>
      </c>
      <c r="EG51" s="550">
        <f t="shared" si="53"/>
        <v>0.19792079706792187</v>
      </c>
      <c r="EI51" s="551">
        <f t="shared" si="54"/>
        <v>2099.7417360935833</v>
      </c>
      <c r="EM51" s="546">
        <f t="shared" si="55"/>
        <v>103</v>
      </c>
      <c r="EN51" s="551">
        <f t="shared" si="56"/>
        <v>141.25462896678221</v>
      </c>
      <c r="EO51" s="553">
        <f>EN51/PI()*SQRT('Hilfstabellen_Mat&amp;Bem'!f.Rd.3/'Hilfstabellen_Mat&amp;Bem'!$BD$30)</f>
        <v>2.2481372434675015</v>
      </c>
      <c r="EP51" s="553">
        <f>0.5*(1+'Hilfstabellen_Mat&amp;Bem'!$BD$31*(EO51-0.3)+EO51^2)</f>
        <v>3.124467394906203</v>
      </c>
      <c r="EQ51" s="550">
        <f t="shared" si="57"/>
        <v>0.18888236730177294</v>
      </c>
      <c r="ES51" s="551">
        <f t="shared" si="58"/>
        <v>2003.8530347045091</v>
      </c>
    </row>
    <row r="52" spans="3:149">
      <c r="C52" s="546">
        <v>104</v>
      </c>
      <c r="D52" s="551">
        <f t="shared" si="6"/>
        <v>93.264274253708777</v>
      </c>
      <c r="E52" s="553">
        <f>$D52/PI()*SQRT('Hilfstabellen_Mat&amp;Bem'!f.Rd.3/'Hilfstabellen_Mat&amp;Bem'!$BD$30)</f>
        <v>1.484347026135594</v>
      </c>
      <c r="F52" s="553">
        <f>0.5*(1+'Hilfstabellen_Mat&amp;Bem'!$BD$31*($E52-0.3)+$E52^2)</f>
        <v>1.6608603983055705</v>
      </c>
      <c r="G52" s="550">
        <f t="shared" si="7"/>
        <v>0.41563476821509615</v>
      </c>
      <c r="I52" s="551">
        <f t="shared" si="8"/>
        <v>4495.5056530144802</v>
      </c>
      <c r="M52" s="546">
        <f t="shared" si="9"/>
        <v>104</v>
      </c>
      <c r="N52" s="551">
        <f t="shared" si="0"/>
        <v>96.595141191341227</v>
      </c>
      <c r="O52" s="553">
        <f>$N52/PI()*SQRT('Hilfstabellen_Mat&amp;Bem'!f.Rd.3/'Hilfstabellen_Mat&amp;Bem'!$BD$30)</f>
        <v>1.5373594199261511</v>
      </c>
      <c r="P52" s="553">
        <f>0.5*(1+'Hilfstabellen_Mat&amp;Bem'!$BD$31*($O52-0.3)+$O52^2)</f>
        <v>1.7436049640141436</v>
      </c>
      <c r="Q52" s="550">
        <f t="shared" si="1"/>
        <v>0.38967923866151938</v>
      </c>
      <c r="S52" s="551">
        <f t="shared" si="10"/>
        <v>4214.7706453629935</v>
      </c>
      <c r="W52" s="546">
        <f t="shared" si="11"/>
        <v>104</v>
      </c>
      <c r="X52" s="551">
        <f t="shared" si="2"/>
        <v>99.926008128973692</v>
      </c>
      <c r="Y52" s="553">
        <f>$X52/PI()*SQRT('Hilfstabellen_Mat&amp;Bem'!f.Rd.3/'Hilfstabellen_Mat&amp;Bem'!$BD$30)</f>
        <v>1.590371813716708</v>
      </c>
      <c r="Z52" s="553">
        <f>0.5*(1+'Hilfstabellen_Mat&amp;Bem'!$BD$31*($Y52-0.3)+$Y52^2)</f>
        <v>1.8291598436181211</v>
      </c>
      <c r="AA52" s="550">
        <f t="shared" si="3"/>
        <v>0.36592671111040331</v>
      </c>
      <c r="AC52" s="551">
        <f t="shared" si="12"/>
        <v>3957.8633073701221</v>
      </c>
      <c r="AG52" s="546">
        <f t="shared" si="13"/>
        <v>104</v>
      </c>
      <c r="AH52" s="551">
        <f t="shared" si="4"/>
        <v>103.25687506660614</v>
      </c>
      <c r="AI52" s="553">
        <f>$AH52/PI()*SQRT('Hilfstabellen_Mat&amp;Bem'!f.Rd.3/'Hilfstabellen_Mat&amp;Bem'!$BD$30)</f>
        <v>1.6433842075072649</v>
      </c>
      <c r="AJ52" s="553">
        <f>0.5*(1+'Hilfstabellen_Mat&amp;Bem'!$BD$31*($AI52-0.3)+$AI52^2)</f>
        <v>1.9175250371175037</v>
      </c>
      <c r="AK52" s="550">
        <f t="shared" si="5"/>
        <v>0.34416908072059771</v>
      </c>
      <c r="AM52" s="551">
        <f t="shared" si="14"/>
        <v>3722.532777073985</v>
      </c>
      <c r="AQ52" s="546">
        <f t="shared" si="15"/>
        <v>104</v>
      </c>
      <c r="AR52" s="551">
        <f t="shared" si="16"/>
        <v>106.58774200423861</v>
      </c>
      <c r="AS52" s="553">
        <f>$AR52/PI()*SQRT('Hilfstabellen_Mat&amp;Bem'!f.Rd.3/'Hilfstabellen_Mat&amp;Bem'!$BD$30)</f>
        <v>1.696396601297822</v>
      </c>
      <c r="AT52" s="553">
        <f>0.5*(1+'Hilfstabellen_Mat&amp;Bem'!$BD$31*($AS52-0.3)+$AS52^2)</f>
        <v>2.0087005445122919</v>
      </c>
      <c r="AU52" s="550">
        <f t="shared" si="17"/>
        <v>0.32421279324418123</v>
      </c>
      <c r="AW52" s="551">
        <f t="shared" si="18"/>
        <v>3506.6855717290641</v>
      </c>
      <c r="BA52" s="546">
        <f t="shared" si="19"/>
        <v>104</v>
      </c>
      <c r="BB52" s="551">
        <f t="shared" si="20"/>
        <v>109.91860894187106</v>
      </c>
      <c r="BC52" s="553">
        <f>$BB52/PI()*SQRT('Hilfstabellen_Mat&amp;Bem'!f.Rd.3/'Hilfstabellen_Mat&amp;Bem'!$BD$30)</f>
        <v>1.7494089950883787</v>
      </c>
      <c r="BD52" s="553">
        <f>0.5*(1+'Hilfstabellen_Mat&amp;Bem'!$BD$31*($BC52-0.3)+$BC52^2)</f>
        <v>2.1026863658024846</v>
      </c>
      <c r="BE52" s="550">
        <f t="shared" si="21"/>
        <v>0.3058810586011852</v>
      </c>
      <c r="BG52" s="551">
        <f t="shared" si="22"/>
        <v>3308.4095298304192</v>
      </c>
      <c r="BK52" s="546">
        <f t="shared" si="23"/>
        <v>104</v>
      </c>
      <c r="BL52" s="551">
        <f t="shared" si="24"/>
        <v>113.24947587950351</v>
      </c>
      <c r="BM52" s="553">
        <f>$BL52/PI()*SQRT('Hilfstabellen_Mat&amp;Bem'!f.Rd.3/'Hilfstabellen_Mat&amp;Bem'!$BD$30)</f>
        <v>1.8024213888789355</v>
      </c>
      <c r="BN52" s="553">
        <f>0.5*(1+'Hilfstabellen_Mat&amp;Bem'!$BD$31*($BM52-0.3)+$BM52^2)</f>
        <v>2.1994825009880823</v>
      </c>
      <c r="BO52" s="550">
        <f t="shared" si="25"/>
        <v>0.28901415884619985</v>
      </c>
      <c r="BQ52" s="551">
        <f t="shared" si="26"/>
        <v>3125.9771420804977</v>
      </c>
      <c r="BU52" s="546">
        <f t="shared" si="27"/>
        <v>104</v>
      </c>
      <c r="BV52" s="551">
        <f t="shared" si="28"/>
        <v>116.58034281713596</v>
      </c>
      <c r="BW52" s="553">
        <f>$BV52/PI()*SQRT('Hilfstabellen_Mat&amp;Bem'!f.Rd.3/'Hilfstabellen_Mat&amp;Bem'!$BD$30)</f>
        <v>1.8554337826694924</v>
      </c>
      <c r="BX52" s="553">
        <f>0.5*(1+'Hilfstabellen_Mat&amp;Bem'!$BD$31*($BW52-0.3)+$BW52^2)</f>
        <v>2.2990889500690854</v>
      </c>
      <c r="BY52" s="550">
        <f t="shared" si="29"/>
        <v>0.27346875050209357</v>
      </c>
      <c r="CA52" s="551">
        <f t="shared" si="30"/>
        <v>2957.838005430644</v>
      </c>
      <c r="CE52" s="546">
        <f t="shared" si="31"/>
        <v>104</v>
      </c>
      <c r="CF52" s="551">
        <f t="shared" si="32"/>
        <v>119.91120975476841</v>
      </c>
      <c r="CG52" s="553">
        <f>CF52/PI()*SQRT('Hilfstabellen_Mat&amp;Bem'!f.Rd.3/'Hilfstabellen_Mat&amp;Bem'!$BD$30)</f>
        <v>1.9084461764600491</v>
      </c>
      <c r="CH52" s="553">
        <f>0.5*(1+'Hilfstabellen_Mat&amp;Bem'!$BD$31*(CG52-0.3)+CG52^2)</f>
        <v>2.4015057130454931</v>
      </c>
      <c r="CI52" s="550">
        <f t="shared" si="33"/>
        <v>0.25911667998896504</v>
      </c>
      <c r="CK52" s="551">
        <f t="shared" si="34"/>
        <v>2802.6060107606459</v>
      </c>
      <c r="CO52" s="546">
        <f t="shared" si="35"/>
        <v>104</v>
      </c>
      <c r="CP52" s="551">
        <f t="shared" si="36"/>
        <v>123.24207669240089</v>
      </c>
      <c r="CQ52" s="553">
        <f>CP52/PI()*SQRT('Hilfstabellen_Mat&amp;Bem'!f.Rd.3/'Hilfstabellen_Mat&amp;Bem'!$BD$30)</f>
        <v>1.9614585702506067</v>
      </c>
      <c r="CR52" s="553">
        <f>0.5*(1+'Hilfstabellen_Mat&amp;Bem'!$BD$31*(CQ52-0.3)+CQ52^2)</f>
        <v>2.5067327899173075</v>
      </c>
      <c r="CS52" s="550">
        <f t="shared" si="37"/>
        <v>0.24584360678975101</v>
      </c>
      <c r="CU52" s="551">
        <f t="shared" si="38"/>
        <v>2659.0444510379471</v>
      </c>
      <c r="CY52" s="546">
        <f t="shared" si="39"/>
        <v>104</v>
      </c>
      <c r="CZ52" s="551">
        <f t="shared" si="40"/>
        <v>126.57294363003334</v>
      </c>
      <c r="DA52" s="553">
        <f>CZ52/PI()*SQRT('Hilfstabellen_Mat&amp;Bem'!f.Rd.3/'Hilfstabellen_Mat&amp;Bem'!$BD$30)</f>
        <v>2.0144709640411635</v>
      </c>
      <c r="DB52" s="553">
        <f>0.5*(1+'Hilfstabellen_Mat&amp;Bem'!$BD$31*(DA52-0.3)+DA52^2)</f>
        <v>2.6147701806845256</v>
      </c>
      <c r="DC52" s="550">
        <f t="shared" si="41"/>
        <v>0.23354759771337333</v>
      </c>
      <c r="DE52" s="551">
        <f t="shared" si="42"/>
        <v>2526.0508168678457</v>
      </c>
      <c r="DI52" s="546">
        <f t="shared" si="43"/>
        <v>104</v>
      </c>
      <c r="DJ52" s="551">
        <f t="shared" si="44"/>
        <v>129.9038105676658</v>
      </c>
      <c r="DK52" s="553">
        <f>DJ52/PI()*SQRT('Hilfstabellen_Mat&amp;Bem'!f.Rd.3/'Hilfstabellen_Mat&amp;Bem'!$BD$30)</f>
        <v>2.0674833578317204</v>
      </c>
      <c r="DL52" s="553">
        <f>0.5*(1+'Hilfstabellen_Mat&amp;Bem'!$BD$31*(DK52-0.3)+DK52^2)</f>
        <v>2.7256178853471487</v>
      </c>
      <c r="DM52" s="550">
        <f t="shared" si="45"/>
        <v>0.22213777898364473</v>
      </c>
      <c r="DO52" s="551">
        <f t="shared" si="46"/>
        <v>2402.6422174871013</v>
      </c>
      <c r="DS52" s="546">
        <f t="shared" si="47"/>
        <v>104</v>
      </c>
      <c r="DT52" s="551">
        <f t="shared" si="48"/>
        <v>133.23467750529824</v>
      </c>
      <c r="DU52" s="553">
        <f>DT52/PI()*SQRT('Hilfstabellen_Mat&amp;Bem'!f.Rd.3/'Hilfstabellen_Mat&amp;Bem'!$BD$30)</f>
        <v>2.1204957516222769</v>
      </c>
      <c r="DV52" s="553">
        <f>0.5*(1+'Hilfstabellen_Mat&amp;Bem'!$BD$31*(DU52-0.3)+DU52^2)</f>
        <v>2.8392759039051763</v>
      </c>
      <c r="DW52" s="550">
        <f t="shared" si="49"/>
        <v>0.2115330884495415</v>
      </c>
      <c r="DY52" s="551">
        <f t="shared" si="50"/>
        <v>2287.9418846702406</v>
      </c>
      <c r="EC52" s="546">
        <f t="shared" si="51"/>
        <v>104</v>
      </c>
      <c r="ED52" s="551">
        <f t="shared" si="52"/>
        <v>136.5655444429307</v>
      </c>
      <c r="EE52" s="553">
        <f>ED52/PI()*SQRT('Hilfstabellen_Mat&amp;Bem'!f.Rd.3/'Hilfstabellen_Mat&amp;Bem'!$BD$30)</f>
        <v>2.1735081454128342</v>
      </c>
      <c r="EF52" s="553">
        <f>0.5*(1+'Hilfstabellen_Mat&amp;Bem'!$BD$31*(EE52-0.3)+EE52^2)</f>
        <v>2.9557442363586111</v>
      </c>
      <c r="EG52" s="550">
        <f t="shared" si="53"/>
        <v>0.20166114478106567</v>
      </c>
      <c r="EI52" s="551">
        <f t="shared" si="54"/>
        <v>2181.1669419520063</v>
      </c>
      <c r="EM52" s="546">
        <f t="shared" si="55"/>
        <v>104</v>
      </c>
      <c r="EN52" s="551">
        <f t="shared" si="56"/>
        <v>139.89641138056317</v>
      </c>
      <c r="EO52" s="553">
        <f>EN52/PI()*SQRT('Hilfstabellen_Mat&amp;Bem'!f.Rd.3/'Hilfstabellen_Mat&amp;Bem'!$BD$30)</f>
        <v>2.2265205392033911</v>
      </c>
      <c r="EP52" s="553">
        <f>0.5*(1+'Hilfstabellen_Mat&amp;Bem'!$BD$31*(EO52-0.3)+EO52^2)</f>
        <v>3.0750228827074495</v>
      </c>
      <c r="EQ52" s="550">
        <f t="shared" si="57"/>
        <v>0.19245723630130437</v>
      </c>
      <c r="ES52" s="551">
        <f t="shared" si="58"/>
        <v>2081.617467834908</v>
      </c>
    </row>
    <row r="53" spans="3:149">
      <c r="C53" s="546">
        <v>105</v>
      </c>
      <c r="D53" s="551">
        <f t="shared" si="6"/>
        <v>92.376043070340117</v>
      </c>
      <c r="E53" s="553">
        <f>$D53/PI()*SQRT('Hilfstabellen_Mat&amp;Bem'!f.Rd.3/'Hilfstabellen_Mat&amp;Bem'!$BD$30)</f>
        <v>1.4702103877914456</v>
      </c>
      <c r="F53" s="553">
        <f>0.5*(1+'Hilfstabellen_Mat&amp;Bem'!$BD$31*($E53-0.3)+$E53^2)</f>
        <v>1.6392698115745088</v>
      </c>
      <c r="G53" s="550">
        <f t="shared" si="7"/>
        <v>0.42295592948760607</v>
      </c>
      <c r="I53" s="551">
        <f t="shared" si="8"/>
        <v>4663.0891226008571</v>
      </c>
      <c r="M53" s="546">
        <f t="shared" si="9"/>
        <v>105</v>
      </c>
      <c r="N53" s="551">
        <f t="shared" si="0"/>
        <v>95.675187465709413</v>
      </c>
      <c r="O53" s="553">
        <f>$N53/PI()*SQRT('Hilfstabellen_Mat&amp;Bem'!f.Rd.3/'Hilfstabellen_Mat&amp;Bem'!$BD$30)</f>
        <v>1.5227179016411401</v>
      </c>
      <c r="P53" s="553">
        <f>0.5*(1+'Hilfstabellen_Mat&amp;Bem'!$BD$31*($O53-0.3)+$O53^2)</f>
        <v>1.7204707990712556</v>
      </c>
      <c r="Q53" s="550">
        <f t="shared" si="1"/>
        <v>0.39661857579322157</v>
      </c>
      <c r="S53" s="551">
        <f t="shared" si="10"/>
        <v>4372.719798120268</v>
      </c>
      <c r="W53" s="546">
        <f t="shared" si="11"/>
        <v>105</v>
      </c>
      <c r="X53" s="551">
        <f t="shared" si="2"/>
        <v>98.974331861078696</v>
      </c>
      <c r="Y53" s="553">
        <f>$X53/PI()*SQRT('Hilfstabellen_Mat&amp;Bem'!f.Rd.3/'Hilfstabellen_Mat&amp;Bem'!$BD$30)</f>
        <v>1.5752254154908345</v>
      </c>
      <c r="Z53" s="553">
        <f>0.5*(1+'Hilfstabellen_Mat&amp;Bem'!$BD$31*($Y53-0.3)+$Y53^2)</f>
        <v>1.804428825578678</v>
      </c>
      <c r="AA53" s="550">
        <f t="shared" si="3"/>
        <v>0.3725007270207823</v>
      </c>
      <c r="AC53" s="551">
        <f t="shared" si="12"/>
        <v>4106.8205154041252</v>
      </c>
      <c r="AG53" s="546">
        <f t="shared" si="13"/>
        <v>105</v>
      </c>
      <c r="AH53" s="551">
        <f t="shared" si="4"/>
        <v>102.27347625644799</v>
      </c>
      <c r="AI53" s="553">
        <f>$AH53/PI()*SQRT('Hilfstabellen_Mat&amp;Bem'!f.Rd.3/'Hilfstabellen_Mat&amp;Bem'!$BD$30)</f>
        <v>1.6277329293405292</v>
      </c>
      <c r="AJ53" s="553">
        <f>0.5*(1+'Hilfstabellen_Mat&amp;Bem'!$BD$31*($AI53-0.3)+$AI53^2)</f>
        <v>1.8911438910967764</v>
      </c>
      <c r="AK53" s="550">
        <f t="shared" si="5"/>
        <v>0.35039697433473099</v>
      </c>
      <c r="AM53" s="551">
        <f t="shared" si="14"/>
        <v>3863.126642040409</v>
      </c>
      <c r="AQ53" s="546">
        <f t="shared" si="15"/>
        <v>105</v>
      </c>
      <c r="AR53" s="551">
        <f t="shared" si="16"/>
        <v>105.57262065181727</v>
      </c>
      <c r="AS53" s="553">
        <f>$AR53/PI()*SQRT('Hilfstabellen_Mat&amp;Bem'!f.Rd.3/'Hilfstabellen_Mat&amp;Bem'!$BD$30)</f>
        <v>1.6802404431902234</v>
      </c>
      <c r="AT53" s="553">
        <f>0.5*(1+'Hilfstabellen_Mat&amp;Bem'!$BD$31*($AS53-0.3)+$AS53^2)</f>
        <v>1.9806159956255502</v>
      </c>
      <c r="AU53" s="550">
        <f t="shared" si="17"/>
        <v>0.33011479280126704</v>
      </c>
      <c r="AW53" s="551">
        <f t="shared" si="18"/>
        <v>3639.5155906339692</v>
      </c>
      <c r="BA53" s="546">
        <f t="shared" si="19"/>
        <v>105</v>
      </c>
      <c r="BB53" s="551">
        <f t="shared" si="20"/>
        <v>108.87176504718656</v>
      </c>
      <c r="BC53" s="553">
        <f>$BB53/PI()*SQRT('Hilfstabellen_Mat&amp;Bem'!f.Rd.3/'Hilfstabellen_Mat&amp;Bem'!$BD$30)</f>
        <v>1.7327479570399178</v>
      </c>
      <c r="BD53" s="553">
        <f>0.5*(1+'Hilfstabellen_Mat&amp;Bem'!$BD$31*($BC53-0.3)+$BC53^2)</f>
        <v>2.0728451391650005</v>
      </c>
      <c r="BE53" s="550">
        <f t="shared" si="21"/>
        <v>0.31147741263053991</v>
      </c>
      <c r="BG53" s="551">
        <f t="shared" si="22"/>
        <v>3434.0384742517026</v>
      </c>
      <c r="BK53" s="546">
        <f t="shared" si="23"/>
        <v>105</v>
      </c>
      <c r="BL53" s="551">
        <f t="shared" si="24"/>
        <v>112.17090944255585</v>
      </c>
      <c r="BM53" s="553">
        <f>$BL53/PI()*SQRT('Hilfstabellen_Mat&amp;Bem'!f.Rd.3/'Hilfstabellen_Mat&amp;Bem'!$BD$30)</f>
        <v>1.7852554708896122</v>
      </c>
      <c r="BN53" s="553">
        <f>0.5*(1+'Hilfstabellen_Mat&amp;Bem'!$BD$31*($BM53-0.3)+$BM53^2)</f>
        <v>2.1678313217151262</v>
      </c>
      <c r="BO53" s="550">
        <f t="shared" si="25"/>
        <v>0.29432454181654966</v>
      </c>
      <c r="BQ53" s="551">
        <f t="shared" si="26"/>
        <v>3244.9280735274601</v>
      </c>
      <c r="BU53" s="546">
        <f t="shared" si="27"/>
        <v>105</v>
      </c>
      <c r="BV53" s="551">
        <f t="shared" si="28"/>
        <v>115.47005383792515</v>
      </c>
      <c r="BW53" s="553">
        <f>$BV53/PI()*SQRT('Hilfstabellen_Mat&amp;Bem'!f.Rd.3/'Hilfstabellen_Mat&amp;Bem'!$BD$30)</f>
        <v>1.8377629847393071</v>
      </c>
      <c r="BX53" s="553">
        <f>0.5*(1+'Hilfstabellen_Mat&amp;Bem'!$BD$31*($BW53-0.3)+$BW53^2)</f>
        <v>2.2655745432759287</v>
      </c>
      <c r="BY53" s="550">
        <f t="shared" si="29"/>
        <v>0.27851192942466541</v>
      </c>
      <c r="CA53" s="551">
        <f t="shared" si="30"/>
        <v>3070.5940219069362</v>
      </c>
      <c r="CE53" s="546">
        <f t="shared" si="31"/>
        <v>105</v>
      </c>
      <c r="CF53" s="551">
        <f t="shared" si="32"/>
        <v>118.76919823329443</v>
      </c>
      <c r="CG53" s="553">
        <f>CF53/PI()*SQRT('Hilfstabellen_Mat&amp;Bem'!f.Rd.3/'Hilfstabellen_Mat&amp;Bem'!$BD$30)</f>
        <v>1.8902704985890013</v>
      </c>
      <c r="CH53" s="553">
        <f>0.5*(1+'Hilfstabellen_Mat&amp;Bem'!$BD$31*(CG53-0.3)+CG53^2)</f>
        <v>2.3660748038474058</v>
      </c>
      <c r="CI53" s="550">
        <f t="shared" si="33"/>
        <v>0.26391034466603086</v>
      </c>
      <c r="CK53" s="551">
        <f t="shared" si="34"/>
        <v>2909.6115499429902</v>
      </c>
      <c r="CO53" s="546">
        <f t="shared" si="35"/>
        <v>105</v>
      </c>
      <c r="CP53" s="551">
        <f t="shared" si="36"/>
        <v>122.06834262866373</v>
      </c>
      <c r="CQ53" s="553">
        <f>CP53/PI()*SQRT('Hilfstabellen_Mat&amp;Bem'!f.Rd.3/'Hilfstabellen_Mat&amp;Bem'!$BD$30)</f>
        <v>1.942778012438696</v>
      </c>
      <c r="CR53" s="553">
        <f>0.5*(1+'Hilfstabellen_Mat&amp;Bem'!$BD$31*(CQ53-0.3)+CQ53^2)</f>
        <v>2.4693321034295597</v>
      </c>
      <c r="CS53" s="550">
        <f t="shared" si="37"/>
        <v>0.25040430192386209</v>
      </c>
      <c r="CU53" s="551">
        <f t="shared" si="38"/>
        <v>2760.7074287105797</v>
      </c>
      <c r="CY53" s="546">
        <f t="shared" si="39"/>
        <v>105</v>
      </c>
      <c r="CZ53" s="551">
        <f t="shared" si="40"/>
        <v>125.36748702403301</v>
      </c>
      <c r="DA53" s="553">
        <f>CZ53/PI()*SQRT('Hilfstabellen_Mat&amp;Bem'!f.Rd.3/'Hilfstabellen_Mat&amp;Bem'!$BD$30)</f>
        <v>1.9952855262883902</v>
      </c>
      <c r="DB53" s="553">
        <f>0.5*(1+'Hilfstabellen_Mat&amp;Bem'!$BD$31*(DA53-0.3)+DA53^2)</f>
        <v>2.5753464420223886</v>
      </c>
      <c r="DC53" s="550">
        <f t="shared" si="41"/>
        <v>0.23789071751521262</v>
      </c>
      <c r="DE53" s="551">
        <f t="shared" si="42"/>
        <v>2622.7451606052191</v>
      </c>
      <c r="DI53" s="546">
        <f t="shared" si="43"/>
        <v>105</v>
      </c>
      <c r="DJ53" s="551">
        <f t="shared" si="44"/>
        <v>128.66663141940231</v>
      </c>
      <c r="DK53" s="553">
        <f>DJ53/PI()*SQRT('Hilfstabellen_Mat&amp;Bem'!f.Rd.3/'Hilfstabellen_Mat&amp;Bem'!$BD$30)</f>
        <v>2.0477930401380848</v>
      </c>
      <c r="DL53" s="553">
        <f>0.5*(1+'Hilfstabellen_Mat&amp;Bem'!$BD$31*(DK53-0.3)+DK53^2)</f>
        <v>2.6841178196258939</v>
      </c>
      <c r="DM53" s="550">
        <f t="shared" si="45"/>
        <v>0.2262775991418256</v>
      </c>
      <c r="DO53" s="551">
        <f t="shared" si="46"/>
        <v>2494.7105305386272</v>
      </c>
      <c r="DS53" s="546">
        <f t="shared" si="47"/>
        <v>105</v>
      </c>
      <c r="DT53" s="551">
        <f t="shared" si="48"/>
        <v>131.9657758147716</v>
      </c>
      <c r="DU53" s="553">
        <f>DT53/PI()*SQRT('Hilfstabellen_Mat&amp;Bem'!f.Rd.3/'Hilfstabellen_Mat&amp;Bem'!$BD$30)</f>
        <v>2.1003005539877795</v>
      </c>
      <c r="DV53" s="553">
        <f>0.5*(1+'Hilfstabellen_Mat&amp;Bem'!$BD$31*(DU53-0.3)+DU53^2)</f>
        <v>2.795646236240076</v>
      </c>
      <c r="DW53" s="550">
        <f t="shared" si="49"/>
        <v>0.21548281940561165</v>
      </c>
      <c r="DY53" s="551">
        <f t="shared" si="50"/>
        <v>2375.6980839468683</v>
      </c>
      <c r="EC53" s="546">
        <f t="shared" si="51"/>
        <v>105</v>
      </c>
      <c r="ED53" s="551">
        <f t="shared" si="52"/>
        <v>135.2649202101409</v>
      </c>
      <c r="EE53" s="553">
        <f>ED53/PI()*SQRT('Hilfstabellen_Mat&amp;Bem'!f.Rd.3/'Hilfstabellen_Mat&amp;Bem'!$BD$30)</f>
        <v>2.1528080678374741</v>
      </c>
      <c r="EF53" s="553">
        <f>0.5*(1+'Hilfstabellen_Mat&amp;Bem'!$BD$31*(EE53-0.3)+EE53^2)</f>
        <v>2.9099316918649327</v>
      </c>
      <c r="EG53" s="550">
        <f t="shared" si="53"/>
        <v>0.205432996083563</v>
      </c>
      <c r="EI53" s="551">
        <f t="shared" si="54"/>
        <v>2264.8987818212822</v>
      </c>
      <c r="EM53" s="546">
        <f t="shared" si="55"/>
        <v>105</v>
      </c>
      <c r="EN53" s="551">
        <f t="shared" si="56"/>
        <v>138.56406460551017</v>
      </c>
      <c r="EO53" s="553">
        <f>EN53/PI()*SQRT('Hilfstabellen_Mat&amp;Bem'!f.Rd.3/'Hilfstabellen_Mat&amp;Bem'!$BD$30)</f>
        <v>2.2053155816871679</v>
      </c>
      <c r="EP53" s="553">
        <f>0.5*(1+'Hilfstabellen_Mat&amp;Bem'!$BD$31*(EO53-0.3)+EO53^2)</f>
        <v>3.026974186500464</v>
      </c>
      <c r="EQ53" s="550">
        <f t="shared" si="57"/>
        <v>0.19606248557633724</v>
      </c>
      <c r="ES53" s="551">
        <f t="shared" si="58"/>
        <v>2161.588903479118</v>
      </c>
    </row>
    <row r="54" spans="3:149">
      <c r="C54" s="546">
        <v>106</v>
      </c>
      <c r="D54" s="551">
        <f t="shared" si="6"/>
        <v>91.504570965902943</v>
      </c>
      <c r="E54" s="553">
        <f>$D54/PI()*SQRT('Hilfstabellen_Mat&amp;Bem'!f.Rd.3/'Hilfstabellen_Mat&amp;Bem'!$BD$30)</f>
        <v>1.4563404784726581</v>
      </c>
      <c r="F54" s="553">
        <f>0.5*(1+'Hilfstabellen_Mat&amp;Bem'!$BD$31*($E54-0.3)+$E54^2)</f>
        <v>1.6182808185426183</v>
      </c>
      <c r="G54" s="550">
        <f t="shared" si="7"/>
        <v>0.43031022413656694</v>
      </c>
      <c r="I54" s="551">
        <f t="shared" si="8"/>
        <v>4834.9656783984665</v>
      </c>
      <c r="M54" s="546">
        <f t="shared" si="9"/>
        <v>106</v>
      </c>
      <c r="N54" s="551">
        <f t="shared" si="0"/>
        <v>94.772591357542339</v>
      </c>
      <c r="O54" s="553">
        <f>$N54/PI()*SQRT('Hilfstabellen_Mat&amp;Bem'!f.Rd.3/'Hilfstabellen_Mat&amp;Bem'!$BD$30)</f>
        <v>1.5083526384181105</v>
      </c>
      <c r="P54" s="553">
        <f>0.5*(1+'Hilfstabellen_Mat&amp;Bem'!$BD$31*($O54-0.3)+$O54^2)</f>
        <v>1.6979814728323432</v>
      </c>
      <c r="Q54" s="550">
        <f t="shared" si="1"/>
        <v>0.40359463774115661</v>
      </c>
      <c r="S54" s="551">
        <f t="shared" si="10"/>
        <v>4534.7893496596362</v>
      </c>
      <c r="W54" s="546">
        <f t="shared" si="11"/>
        <v>106</v>
      </c>
      <c r="X54" s="551">
        <f t="shared" si="2"/>
        <v>98.040611749181721</v>
      </c>
      <c r="Y54" s="553">
        <f>$X54/PI()*SQRT('Hilfstabellen_Mat&amp;Bem'!f.Rd.3/'Hilfstabellen_Mat&amp;Bem'!$BD$30)</f>
        <v>1.5603647983635625</v>
      </c>
      <c r="Z54" s="553">
        <f>0.5*(1+'Hilfstabellen_Mat&amp;Bem'!$BD$31*($Y54-0.3)+$Y54^2)</f>
        <v>1.7803873919042585</v>
      </c>
      <c r="AA54" s="550">
        <f t="shared" si="3"/>
        <v>0.37911347254600114</v>
      </c>
      <c r="AC54" s="551">
        <f t="shared" si="12"/>
        <v>4259.7189775268689</v>
      </c>
      <c r="AG54" s="546">
        <f t="shared" si="13"/>
        <v>106</v>
      </c>
      <c r="AH54" s="551">
        <f t="shared" si="4"/>
        <v>101.30863214082112</v>
      </c>
      <c r="AI54" s="553">
        <f>$AH54/PI()*SQRT('Hilfstabellen_Mat&amp;Bem'!f.Rd.3/'Hilfstabellen_Mat&amp;Bem'!$BD$30)</f>
        <v>1.6123769583090146</v>
      </c>
      <c r="AJ54" s="553">
        <f>0.5*(1+'Hilfstabellen_Mat&amp;Bem'!$BD$31*($AI54-0.3)+$AI54^2)</f>
        <v>1.8654985757583655</v>
      </c>
      <c r="AK54" s="550">
        <f t="shared" si="5"/>
        <v>0.35666451991555692</v>
      </c>
      <c r="AM54" s="551">
        <f t="shared" si="14"/>
        <v>4007.4825457711977</v>
      </c>
      <c r="AQ54" s="546">
        <f t="shared" si="15"/>
        <v>106</v>
      </c>
      <c r="AR54" s="551">
        <f t="shared" si="16"/>
        <v>104.57665253246051</v>
      </c>
      <c r="AS54" s="553">
        <f>$AR54/PI()*SQRT('Hilfstabellen_Mat&amp;Bem'!f.Rd.3/'Hilfstabellen_Mat&amp;Bem'!$BD$30)</f>
        <v>1.6643891182544668</v>
      </c>
      <c r="AT54" s="553">
        <f>0.5*(1+'Hilfstabellen_Mat&amp;Bem'!$BD$31*($AS54-0.3)+$AS54^2)</f>
        <v>1.953315024394664</v>
      </c>
      <c r="AU54" s="550">
        <f t="shared" si="17"/>
        <v>0.33605662963353272</v>
      </c>
      <c r="AW54" s="551">
        <f t="shared" si="18"/>
        <v>3775.9322905623735</v>
      </c>
      <c r="BA54" s="546">
        <f t="shared" si="19"/>
        <v>106</v>
      </c>
      <c r="BB54" s="551">
        <f t="shared" si="20"/>
        <v>107.8446729240999</v>
      </c>
      <c r="BC54" s="553">
        <f>$BB54/PI()*SQRT('Hilfstabellen_Mat&amp;Bem'!f.Rd.3/'Hilfstabellen_Mat&amp;Bem'!$BD$30)</f>
        <v>1.7164012781999187</v>
      </c>
      <c r="BD54" s="553">
        <f>0.5*(1+'Hilfstabellen_Mat&amp;Bem'!$BD$31*($BC54-0.3)+$BC54^2)</f>
        <v>2.0438367378131534</v>
      </c>
      <c r="BE54" s="550">
        <f t="shared" si="21"/>
        <v>0.31711328998924898</v>
      </c>
      <c r="BG54" s="551">
        <f t="shared" si="22"/>
        <v>3563.0849263192017</v>
      </c>
      <c r="BK54" s="546">
        <f t="shared" si="23"/>
        <v>106</v>
      </c>
      <c r="BL54" s="551">
        <f t="shared" si="24"/>
        <v>111.11269331573928</v>
      </c>
      <c r="BM54" s="553">
        <f>$BL54/PI()*SQRT('Hilfstabellen_Mat&amp;Bem'!f.Rd.3/'Hilfstabellen_Mat&amp;Bem'!$BD$30)</f>
        <v>1.7684134381453707</v>
      </c>
      <c r="BN54" s="553">
        <f>0.5*(1+'Hilfstabellen_Mat&amp;Bem'!$BD$31*($BM54-0.3)+$BM54^2)</f>
        <v>2.1370637160138339</v>
      </c>
      <c r="BO54" s="550">
        <f t="shared" si="25"/>
        <v>0.29967379959555035</v>
      </c>
      <c r="BQ54" s="551">
        <f t="shared" si="26"/>
        <v>3367.1348122556037</v>
      </c>
      <c r="BU54" s="546">
        <f t="shared" si="27"/>
        <v>106</v>
      </c>
      <c r="BV54" s="551">
        <f t="shared" si="28"/>
        <v>114.38071370737867</v>
      </c>
      <c r="BW54" s="553">
        <f>$BV54/PI()*SQRT('Hilfstabellen_Mat&amp;Bem'!f.Rd.3/'Hilfstabellen_Mat&amp;Bem'!$BD$30)</f>
        <v>1.8204255980908226</v>
      </c>
      <c r="BX54" s="553">
        <f>0.5*(1+'Hilfstabellen_Mat&amp;Bem'!$BD$31*($BW54-0.3)+$BW54^2)</f>
        <v>2.2329959589967059</v>
      </c>
      <c r="BY54" s="550">
        <f t="shared" si="29"/>
        <v>0.28359311476712717</v>
      </c>
      <c r="CA54" s="551">
        <f t="shared" si="30"/>
        <v>3186.452237523441</v>
      </c>
      <c r="CE54" s="546">
        <f t="shared" si="31"/>
        <v>106</v>
      </c>
      <c r="CF54" s="551">
        <f t="shared" si="32"/>
        <v>117.64873409901807</v>
      </c>
      <c r="CG54" s="553">
        <f>CF54/PI()*SQRT('Hilfstabellen_Mat&amp;Bem'!f.Rd.3/'Hilfstabellen_Mat&amp;Bem'!$BD$30)</f>
        <v>1.872437758036275</v>
      </c>
      <c r="CH54" s="553">
        <f>0.5*(1+'Hilfstabellen_Mat&amp;Bem'!$BD$31*(CG54-0.3)+CG54^2)</f>
        <v>2.3316334667617697</v>
      </c>
      <c r="CI54" s="550">
        <f t="shared" si="33"/>
        <v>0.2687410077882848</v>
      </c>
      <c r="CK54" s="551">
        <f t="shared" si="34"/>
        <v>3019.5739635091682</v>
      </c>
      <c r="CO54" s="546">
        <f t="shared" si="35"/>
        <v>106</v>
      </c>
      <c r="CP54" s="551">
        <f t="shared" si="36"/>
        <v>120.91675449065748</v>
      </c>
      <c r="CQ54" s="553">
        <f>CP54/PI()*SQRT('Hilfstabellen_Mat&amp;Bem'!f.Rd.3/'Hilfstabellen_Mat&amp;Bem'!$BD$30)</f>
        <v>1.9244499179817272</v>
      </c>
      <c r="CR54" s="553">
        <f>0.5*(1+'Hilfstabellen_Mat&amp;Bem'!$BD$31*(CQ54-0.3)+CQ54^2)</f>
        <v>2.4329762393090246</v>
      </c>
      <c r="CS54" s="550">
        <f t="shared" si="37"/>
        <v>0.25500090431235756</v>
      </c>
      <c r="CU54" s="551">
        <f t="shared" si="38"/>
        <v>2865.1901608536496</v>
      </c>
      <c r="CY54" s="546">
        <f t="shared" si="39"/>
        <v>106</v>
      </c>
      <c r="CZ54" s="551">
        <f t="shared" si="40"/>
        <v>124.18477488229685</v>
      </c>
      <c r="DA54" s="553">
        <f>CZ54/PI()*SQRT('Hilfstabellen_Mat&amp;Bem'!f.Rd.3/'Hilfstabellen_Mat&amp;Bem'!$BD$30)</f>
        <v>1.9764620779271791</v>
      </c>
      <c r="DB54" s="553">
        <f>0.5*(1+'Hilfstabellen_Mat&amp;Bem'!$BD$31*(DA54-0.3)+DA54^2)</f>
        <v>2.5370242766384701</v>
      </c>
      <c r="DC54" s="550">
        <f t="shared" si="41"/>
        <v>0.24226860978795189</v>
      </c>
      <c r="DE54" s="551">
        <f t="shared" si="42"/>
        <v>2722.1300995774277</v>
      </c>
      <c r="DI54" s="546">
        <f t="shared" si="43"/>
        <v>106</v>
      </c>
      <c r="DJ54" s="551">
        <f t="shared" si="44"/>
        <v>127.45279527393625</v>
      </c>
      <c r="DK54" s="553">
        <f>DJ54/PI()*SQRT('Hilfstabellen_Mat&amp;Bem'!f.Rd.3/'Hilfstabellen_Mat&amp;Bem'!$BD$30)</f>
        <v>2.028474237872631</v>
      </c>
      <c r="DL54" s="553">
        <f>0.5*(1+'Hilfstabellen_Mat&amp;Bem'!$BD$31*(DK54-0.3)+DK54^2)</f>
        <v>2.643777578750107</v>
      </c>
      <c r="DM54" s="550">
        <f t="shared" si="45"/>
        <v>0.23045104120059715</v>
      </c>
      <c r="DO54" s="551">
        <f t="shared" si="46"/>
        <v>2589.3478989299097</v>
      </c>
      <c r="DS54" s="546">
        <f t="shared" si="47"/>
        <v>106</v>
      </c>
      <c r="DT54" s="551">
        <f t="shared" si="48"/>
        <v>130.72081566557566</v>
      </c>
      <c r="DU54" s="553">
        <f>DT54/PI()*SQRT('Hilfstabellen_Mat&amp;Bem'!f.Rd.3/'Hilfstabellen_Mat&amp;Bem'!$BD$30)</f>
        <v>2.0804863978180834</v>
      </c>
      <c r="DV54" s="553">
        <f>0.5*(1+'Hilfstabellen_Mat&amp;Bem'!$BD$31*(DU54-0.3)+DU54^2)</f>
        <v>2.7532361456439363</v>
      </c>
      <c r="DW54" s="550">
        <f t="shared" si="49"/>
        <v>0.21946502531496889</v>
      </c>
      <c r="DY54" s="551">
        <f t="shared" si="50"/>
        <v>2465.9090244389904</v>
      </c>
      <c r="EC54" s="546">
        <f t="shared" si="51"/>
        <v>106</v>
      </c>
      <c r="ED54" s="551">
        <f t="shared" si="52"/>
        <v>133.98883605721502</v>
      </c>
      <c r="EE54" s="553">
        <f>ED54/PI()*SQRT('Hilfstabellen_Mat&amp;Bem'!f.Rd.3/'Hilfstabellen_Mat&amp;Bem'!$BD$30)</f>
        <v>2.1324985577635354</v>
      </c>
      <c r="EF54" s="553">
        <f>0.5*(1+'Hilfstabellen_Mat&amp;Bem'!$BD$31*(EE54-0.3)+EE54^2)</f>
        <v>2.8653999773199561</v>
      </c>
      <c r="EG54" s="550">
        <f t="shared" si="53"/>
        <v>0.20923619242552116</v>
      </c>
      <c r="EI54" s="551">
        <f t="shared" si="54"/>
        <v>2350.9778580931556</v>
      </c>
      <c r="EM54" s="546">
        <f t="shared" si="55"/>
        <v>106</v>
      </c>
      <c r="EN54" s="551">
        <f t="shared" si="56"/>
        <v>137.25685644885442</v>
      </c>
      <c r="EO54" s="553">
        <f>EN54/PI()*SQRT('Hilfstabellen_Mat&amp;Bem'!f.Rd.3/'Hilfstabellen_Mat&amp;Bem'!$BD$30)</f>
        <v>2.1845107177089873</v>
      </c>
      <c r="EP54" s="553">
        <f>0.5*(1+'Hilfstabellen_Mat&amp;Bem'!$BD$31*(EO54-0.3)+EO54^2)</f>
        <v>2.9802690737781665</v>
      </c>
      <c r="EQ54" s="550">
        <f t="shared" si="57"/>
        <v>0.19969797611479498</v>
      </c>
      <c r="ES54" s="551">
        <f t="shared" si="58"/>
        <v>2243.8064596258364</v>
      </c>
    </row>
    <row r="55" spans="3:149">
      <c r="C55" s="546">
        <v>107</v>
      </c>
      <c r="D55" s="551">
        <f t="shared" si="6"/>
        <v>90.649388059679552</v>
      </c>
      <c r="E55" s="553">
        <f>$D55/PI()*SQRT('Hilfstabellen_Mat&amp;Bem'!f.Rd.3/'Hilfstabellen_Mat&amp;Bem'!$BD$30)</f>
        <v>1.4427298197953435</v>
      </c>
      <c r="F55" s="553">
        <f>0.5*(1+'Hilfstabellen_Mat&amp;Bem'!$BD$31*($E55-0.3)+$E55^2)</f>
        <v>1.5978711574531193</v>
      </c>
      <c r="G55" s="550">
        <f t="shared" si="7"/>
        <v>0.43769575480688078</v>
      </c>
      <c r="I55" s="551">
        <f t="shared" si="8"/>
        <v>5011.178696783978</v>
      </c>
      <c r="M55" s="546">
        <f t="shared" si="9"/>
        <v>107</v>
      </c>
      <c r="N55" s="551">
        <f t="shared" si="0"/>
        <v>93.88686620466811</v>
      </c>
      <c r="O55" s="553">
        <f>$N55/PI()*SQRT('Hilfstabellen_Mat&amp;Bem'!f.Rd.3/'Hilfstabellen_Mat&amp;Bem'!$BD$30)</f>
        <v>1.4942558847880347</v>
      </c>
      <c r="P55" s="553">
        <f>0.5*(1+'Hilfstabellen_Mat&amp;Bem'!$BD$31*($O55-0.3)+$O55^2)</f>
        <v>1.6761131188512381</v>
      </c>
      <c r="Q55" s="550">
        <f t="shared" si="1"/>
        <v>0.41060595116619469</v>
      </c>
      <c r="S55" s="551">
        <f t="shared" si="10"/>
        <v>4701.0275349017629</v>
      </c>
      <c r="W55" s="546">
        <f t="shared" si="11"/>
        <v>107</v>
      </c>
      <c r="X55" s="551">
        <f t="shared" si="2"/>
        <v>97.124344349656667</v>
      </c>
      <c r="Y55" s="553">
        <f>$X55/PI()*SQRT('Hilfstabellen_Mat&amp;Bem'!f.Rd.3/'Hilfstabellen_Mat&amp;Bem'!$BD$30)</f>
        <v>1.5457819497807255</v>
      </c>
      <c r="Z55" s="553">
        <f>0.5*(1+'Hilfstabellen_Mat&amp;Bem'!$BD$31*($Y55-0.3)+$Y55^2)</f>
        <v>1.7570100156229869</v>
      </c>
      <c r="AA55" s="550">
        <f t="shared" si="3"/>
        <v>0.3857637895229945</v>
      </c>
      <c r="AC55" s="551">
        <f t="shared" si="12"/>
        <v>4416.6096262487645</v>
      </c>
      <c r="AG55" s="546">
        <f t="shared" si="13"/>
        <v>107</v>
      </c>
      <c r="AH55" s="551">
        <f t="shared" si="4"/>
        <v>100.36182249464522</v>
      </c>
      <c r="AI55" s="553">
        <f>$AH55/PI()*SQRT('Hilfstabellen_Mat&amp;Bem'!f.Rd.3/'Hilfstabellen_Mat&amp;Bem'!$BD$30)</f>
        <v>1.5973080147734162</v>
      </c>
      <c r="AJ55" s="553">
        <f>0.5*(1+'Hilfstabellen_Mat&amp;Bem'!$BD$31*($AI55-0.3)+$AI55^2)</f>
        <v>1.840561847768367</v>
      </c>
      <c r="AK55" s="550">
        <f t="shared" si="5"/>
        <v>0.36297079577714847</v>
      </c>
      <c r="AM55" s="551">
        <f t="shared" si="14"/>
        <v>4155.6526408525724</v>
      </c>
      <c r="AQ55" s="546">
        <f t="shared" si="15"/>
        <v>107</v>
      </c>
      <c r="AR55" s="551">
        <f t="shared" si="16"/>
        <v>103.59930063963378</v>
      </c>
      <c r="AS55" s="553">
        <f>$AR55/PI()*SQRT('Hilfstabellen_Mat&amp;Bem'!f.Rd.3/'Hilfstabellen_Mat&amp;Bem'!$BD$30)</f>
        <v>1.6488340797661072</v>
      </c>
      <c r="AT55" s="553">
        <f>0.5*(1+'Hilfstabellen_Mat&amp;Bem'!$BD$31*($AS55-0.3)+$AS55^2)</f>
        <v>1.926768615287378</v>
      </c>
      <c r="AU55" s="550">
        <f t="shared" si="17"/>
        <v>0.34203756143992053</v>
      </c>
      <c r="AW55" s="551">
        <f t="shared" si="18"/>
        <v>3915.9880409256502</v>
      </c>
      <c r="BA55" s="546">
        <f t="shared" si="19"/>
        <v>107</v>
      </c>
      <c r="BB55" s="551">
        <f t="shared" si="20"/>
        <v>106.83677878462233</v>
      </c>
      <c r="BC55" s="553">
        <f>$BB55/PI()*SQRT('Hilfstabellen_Mat&amp;Bem'!f.Rd.3/'Hilfstabellen_Mat&amp;Bem'!$BD$30)</f>
        <v>1.7003601447587979</v>
      </c>
      <c r="BD55" s="553">
        <f>0.5*(1+'Hilfstabellen_Mat&amp;Bem'!$BD$31*($BC55-0.3)+$BC55^2)</f>
        <v>2.0156303181800199</v>
      </c>
      <c r="BE55" s="550">
        <f t="shared" si="21"/>
        <v>0.32278808603095377</v>
      </c>
      <c r="BG55" s="551">
        <f t="shared" si="22"/>
        <v>3695.6007969683897</v>
      </c>
      <c r="BK55" s="546">
        <f t="shared" si="23"/>
        <v>107</v>
      </c>
      <c r="BL55" s="551">
        <f t="shared" si="24"/>
        <v>110.0742569296109</v>
      </c>
      <c r="BM55" s="553">
        <f>$BL55/PI()*SQRT('Hilfstabellen_Mat&amp;Bem'!f.Rd.3/'Hilfstabellen_Mat&amp;Bem'!$BD$30)</f>
        <v>1.7518862097514889</v>
      </c>
      <c r="BN55" s="553">
        <f>0.5*(1+'Hilfstabellen_Mat&amp;Bem'!$BD$31*($BM55-0.3)+$BM55^2)</f>
        <v>2.1071469564462935</v>
      </c>
      <c r="BO55" s="550">
        <f t="shared" si="25"/>
        <v>0.30506143439380812</v>
      </c>
      <c r="BQ55" s="551">
        <f t="shared" si="26"/>
        <v>3492.648362374709</v>
      </c>
      <c r="BU55" s="546">
        <f t="shared" si="27"/>
        <v>107</v>
      </c>
      <c r="BV55" s="551">
        <f t="shared" si="28"/>
        <v>113.31173507459945</v>
      </c>
      <c r="BW55" s="553">
        <f>$BV55/PI()*SQRT('Hilfstabellen_Mat&amp;Bem'!f.Rd.3/'Hilfstabellen_Mat&amp;Bem'!$BD$30)</f>
        <v>1.8034122747441801</v>
      </c>
      <c r="BX55" s="553">
        <f>0.5*(1+'Hilfstabellen_Mat&amp;Bem'!$BD$31*($BW55-0.3)+$BW55^2)</f>
        <v>2.2013185300861982</v>
      </c>
      <c r="BY55" s="550">
        <f t="shared" si="29"/>
        <v>0.28871189262465258</v>
      </c>
      <c r="CA55" s="551">
        <f t="shared" si="30"/>
        <v>3305.4624586596474</v>
      </c>
      <c r="CE55" s="546">
        <f t="shared" si="31"/>
        <v>107</v>
      </c>
      <c r="CF55" s="551">
        <f t="shared" si="32"/>
        <v>116.549213219588</v>
      </c>
      <c r="CG55" s="553">
        <f>CF55/PI()*SQRT('Hilfstabellen_Mat&amp;Bem'!f.Rd.3/'Hilfstabellen_Mat&amp;Bem'!$BD$30)</f>
        <v>1.8549383397368704</v>
      </c>
      <c r="CH55" s="553">
        <f>0.5*(1+'Hilfstabellen_Mat&amp;Bem'!$BD$31*(CG55-0.3)+CG55^2)</f>
        <v>2.2981450390997322</v>
      </c>
      <c r="CI55" s="550">
        <f t="shared" si="33"/>
        <v>0.27360832201160207</v>
      </c>
      <c r="CK55" s="551">
        <f t="shared" si="34"/>
        <v>3132.541678710832</v>
      </c>
      <c r="CO55" s="546">
        <f t="shared" si="35"/>
        <v>107</v>
      </c>
      <c r="CP55" s="551">
        <f t="shared" si="36"/>
        <v>119.78669136457655</v>
      </c>
      <c r="CQ55" s="553">
        <f>CP55/PI()*SQRT('Hilfstabellen_Mat&amp;Bem'!f.Rd.3/'Hilfstabellen_Mat&amp;Bem'!$BD$30)</f>
        <v>1.9064644047295614</v>
      </c>
      <c r="CR55" s="553">
        <f>0.5*(1+'Hilfstabellen_Mat&amp;Bem'!$BD$31*(CQ55-0.3)+CQ55^2)</f>
        <v>2.3976264834868983</v>
      </c>
      <c r="CS55" s="550">
        <f t="shared" si="37"/>
        <v>0.25963311996497762</v>
      </c>
      <c r="CU55" s="551">
        <f t="shared" si="38"/>
        <v>2972.5395904790289</v>
      </c>
      <c r="CY55" s="546">
        <f t="shared" si="39"/>
        <v>107</v>
      </c>
      <c r="CZ55" s="551">
        <f t="shared" si="40"/>
        <v>123.02416950956513</v>
      </c>
      <c r="DA55" s="553">
        <f>CZ55/PI()*SQRT('Hilfstabellen_Mat&amp;Bem'!f.Rd.3/'Hilfstabellen_Mat&amp;Bem'!$BD$30)</f>
        <v>1.9579904697222525</v>
      </c>
      <c r="DB55" s="553">
        <f>0.5*(1+'Hilfstabellen_Mat&amp;Bem'!$BD$31*(DA55-0.3)+DA55^2)</f>
        <v>2.499762863247696</v>
      </c>
      <c r="DC55" s="550">
        <f t="shared" si="41"/>
        <v>0.24668102372012146</v>
      </c>
      <c r="DE55" s="551">
        <f t="shared" si="42"/>
        <v>2824.2510405716707</v>
      </c>
      <c r="DI55" s="546">
        <f t="shared" si="43"/>
        <v>107</v>
      </c>
      <c r="DJ55" s="551">
        <f t="shared" si="44"/>
        <v>126.26164765455366</v>
      </c>
      <c r="DK55" s="553">
        <f>DJ55/PI()*SQRT('Hilfstabellen_Mat&amp;Bem'!f.Rd.3/'Hilfstabellen_Mat&amp;Bem'!$BD$30)</f>
        <v>2.0095165347149431</v>
      </c>
      <c r="DL55" s="553">
        <f>0.5*(1+'Hilfstabellen_Mat&amp;Bem'!$BD$31*(DK55-0.3)+DK55^2)</f>
        <v>2.6045541783821236</v>
      </c>
      <c r="DM55" s="550">
        <f t="shared" si="45"/>
        <v>0.23465788960811826</v>
      </c>
      <c r="DO55" s="551">
        <f t="shared" si="46"/>
        <v>2686.5981781233459</v>
      </c>
      <c r="DS55" s="546">
        <f t="shared" si="47"/>
        <v>107</v>
      </c>
      <c r="DT55" s="551">
        <f t="shared" si="48"/>
        <v>129.49912579954221</v>
      </c>
      <c r="DU55" s="553">
        <f>DT55/PI()*SQRT('Hilfstabellen_Mat&amp;Bem'!f.Rd.3/'Hilfstabellen_Mat&amp;Bem'!$BD$30)</f>
        <v>2.0610425997076338</v>
      </c>
      <c r="DV55" s="553">
        <f>0.5*(1+'Hilfstabellen_Mat&amp;Bem'!$BD$31*(DU55-0.3)+DU55^2)</f>
        <v>2.7120004288901827</v>
      </c>
      <c r="DW55" s="550">
        <f t="shared" si="49"/>
        <v>0.22347951966216517</v>
      </c>
      <c r="DY55" s="551">
        <f t="shared" si="50"/>
        <v>2558.6170206121292</v>
      </c>
      <c r="EC55" s="546">
        <f t="shared" si="51"/>
        <v>107</v>
      </c>
      <c r="ED55" s="551">
        <f t="shared" si="52"/>
        <v>132.7366039445308</v>
      </c>
      <c r="EE55" s="553">
        <f>ED55/PI()*SQRT('Hilfstabellen_Mat&amp;Bem'!f.Rd.3/'Hilfstabellen_Mat&amp;Bem'!$BD$30)</f>
        <v>2.112568664700325</v>
      </c>
      <c r="EF55" s="553">
        <f>0.5*(1+'Hilfstabellen_Mat&amp;Bem'!$BD$31*(EE55-0.3)+EE55^2)</f>
        <v>2.8221016147718734</v>
      </c>
      <c r="EG55" s="550">
        <f t="shared" si="53"/>
        <v>0.21307057139237803</v>
      </c>
      <c r="EI55" s="551">
        <f t="shared" si="54"/>
        <v>2439.4449718713363</v>
      </c>
      <c r="EM55" s="546">
        <f t="shared" si="55"/>
        <v>107</v>
      </c>
      <c r="EN55" s="551">
        <f t="shared" si="56"/>
        <v>135.97408208951933</v>
      </c>
      <c r="EO55" s="553">
        <f>EN55/PI()*SQRT('Hilfstabellen_Mat&amp;Bem'!f.Rd.3/'Hilfstabellen_Mat&amp;Bem'!$BD$30)</f>
        <v>2.1640947296930153</v>
      </c>
      <c r="EP55" s="553">
        <f>0.5*(1+'Hilfstabellen_Mat&amp;Bem'!$BD$31*(EO55-0.3)+EO55^2)</f>
        <v>2.934857736027193</v>
      </c>
      <c r="EQ55" s="550">
        <f t="shared" si="57"/>
        <v>0.20336356565470812</v>
      </c>
      <c r="ES55" s="551">
        <f t="shared" si="58"/>
        <v>2328.309463180753</v>
      </c>
    </row>
    <row r="56" spans="3:149">
      <c r="C56" s="546">
        <v>108</v>
      </c>
      <c r="D56" s="551">
        <f t="shared" si="6"/>
        <v>89.810041873941785</v>
      </c>
      <c r="E56" s="553">
        <f>$D56/PI()*SQRT('Hilfstabellen_Mat&amp;Bem'!f.Rd.3/'Hilfstabellen_Mat&amp;Bem'!$BD$30)</f>
        <v>1.4293712103527945</v>
      </c>
      <c r="F56" s="553">
        <f>0.5*(1+'Hilfstabellen_Mat&amp;Bem'!$BD$31*($E56-0.3)+$E56^2)</f>
        <v>1.5780195890103461</v>
      </c>
      <c r="G56" s="550">
        <f t="shared" si="7"/>
        <v>0.44511054644293813</v>
      </c>
      <c r="I56" s="551">
        <f t="shared" si="8"/>
        <v>5191.7694137104299</v>
      </c>
      <c r="M56" s="546">
        <f t="shared" si="9"/>
        <v>108</v>
      </c>
      <c r="N56" s="551">
        <f t="shared" si="0"/>
        <v>93.017543369439693</v>
      </c>
      <c r="O56" s="553">
        <f>$N56/PI()*SQRT('Hilfstabellen_Mat&amp;Bem'!f.Rd.3/'Hilfstabellen_Mat&amp;Bem'!$BD$30)</f>
        <v>1.480420182151108</v>
      </c>
      <c r="P56" s="553">
        <f>0.5*(1+'Hilfstabellen_Mat&amp;Bem'!$BD$31*($O56-0.3)+$O56^2)</f>
        <v>1.6548429669677154</v>
      </c>
      <c r="Q56" s="550">
        <f t="shared" si="1"/>
        <v>0.41765098356001917</v>
      </c>
      <c r="S56" s="551">
        <f t="shared" si="10"/>
        <v>4871.4810722440634</v>
      </c>
      <c r="W56" s="546">
        <f t="shared" si="11"/>
        <v>108</v>
      </c>
      <c r="X56" s="551">
        <f t="shared" si="2"/>
        <v>96.22504486493763</v>
      </c>
      <c r="Y56" s="553">
        <f>$X56/PI()*SQRT('Hilfstabellen_Mat&amp;Bem'!f.Rd.3/'Hilfstabellen_Mat&amp;Bem'!$BD$30)</f>
        <v>1.5314691539494225</v>
      </c>
      <c r="Z56" s="553">
        <f>0.5*(1+'Hilfstabellen_Mat&amp;Bem'!$BD$31*($Y56-0.3)+$Y56^2)</f>
        <v>1.7342723424467512</v>
      </c>
      <c r="AA56" s="550">
        <f t="shared" si="3"/>
        <v>0.3924504746390417</v>
      </c>
      <c r="AC56" s="551">
        <f t="shared" si="12"/>
        <v>4577.542336189782</v>
      </c>
      <c r="AG56" s="546">
        <f t="shared" si="13"/>
        <v>108</v>
      </c>
      <c r="AH56" s="551">
        <f t="shared" si="4"/>
        <v>99.432546360435538</v>
      </c>
      <c r="AI56" s="553">
        <f>$AH56/PI()*SQRT('Hilfstabellen_Mat&amp;Bem'!f.Rd.3/'Hilfstabellen_Mat&amp;Bem'!$BD$30)</f>
        <v>1.5825181257477363</v>
      </c>
      <c r="AJ56" s="553">
        <f>0.5*(1+'Hilfstabellen_Mat&amp;Bem'!$BD$31*($AI56-0.3)+$AI56^2)</f>
        <v>1.8163077154474507</v>
      </c>
      <c r="AK56" s="550">
        <f t="shared" si="5"/>
        <v>0.36931484556972377</v>
      </c>
      <c r="AM56" s="551">
        <f t="shared" si="14"/>
        <v>4307.6883587252578</v>
      </c>
      <c r="AQ56" s="546">
        <f t="shared" si="15"/>
        <v>108</v>
      </c>
      <c r="AR56" s="551">
        <f t="shared" si="16"/>
        <v>102.64004785593346</v>
      </c>
      <c r="AS56" s="553">
        <f>$AR56/PI()*SQRT('Hilfstabellen_Mat&amp;Bem'!f.Rd.3/'Hilfstabellen_Mat&amp;Bem'!$BD$30)</f>
        <v>1.6335670975460506</v>
      </c>
      <c r="AT56" s="553">
        <f>0.5*(1+'Hilfstabellen_Mat&amp;Bem'!$BD$31*($AS56-0.3)+$AS56^2)</f>
        <v>1.9009490859698164</v>
      </c>
      <c r="AU56" s="550">
        <f t="shared" si="17"/>
        <v>0.34805681908695024</v>
      </c>
      <c r="AW56" s="551">
        <f t="shared" si="18"/>
        <v>4059.7347378301874</v>
      </c>
      <c r="BA56" s="546">
        <f t="shared" si="19"/>
        <v>108</v>
      </c>
      <c r="BB56" s="551">
        <f t="shared" si="20"/>
        <v>105.84754935143138</v>
      </c>
      <c r="BC56" s="553">
        <f>$BB56/PI()*SQRT('Hilfstabellen_Mat&amp;Bem'!f.Rd.3/'Hilfstabellen_Mat&amp;Bem'!$BD$30)</f>
        <v>1.6846160693443648</v>
      </c>
      <c r="BD56" s="553">
        <f>0.5*(1+'Hilfstabellen_Mat&amp;Bem'!$BD$31*($BC56-0.3)+$BC56^2)</f>
        <v>1.988196454013847</v>
      </c>
      <c r="BE56" s="550">
        <f t="shared" si="21"/>
        <v>0.32850117514848043</v>
      </c>
      <c r="BG56" s="551">
        <f t="shared" si="22"/>
        <v>3831.6377069318755</v>
      </c>
      <c r="BK56" s="546">
        <f t="shared" si="23"/>
        <v>108</v>
      </c>
      <c r="BL56" s="551">
        <f t="shared" si="24"/>
        <v>109.0550508469293</v>
      </c>
      <c r="BM56" s="553">
        <f>$BL56/PI()*SQRT('Hilfstabellen_Mat&amp;Bem'!f.Rd.3/'Hilfstabellen_Mat&amp;Bem'!$BD$30)</f>
        <v>1.7356650411426788</v>
      </c>
      <c r="BN56" s="553">
        <f>0.5*(1+'Hilfstabellen_Mat&amp;Bem'!$BD$31*($BM56-0.3)+$BM56^2)</f>
        <v>2.0780498195795425</v>
      </c>
      <c r="BO56" s="550">
        <f t="shared" si="25"/>
        <v>0.31048693189295201</v>
      </c>
      <c r="BQ56" s="551">
        <f t="shared" si="26"/>
        <v>3621.5195735993921</v>
      </c>
      <c r="BU56" s="546">
        <f t="shared" si="27"/>
        <v>108</v>
      </c>
      <c r="BV56" s="551">
        <f t="shared" si="28"/>
        <v>112.26255234242721</v>
      </c>
      <c r="BW56" s="553">
        <f>$BV56/PI()*SQRT('Hilfstabellen_Mat&amp;Bem'!f.Rd.3/'Hilfstabellen_Mat&amp;Bem'!$BD$30)</f>
        <v>1.7867140129409926</v>
      </c>
      <c r="BX56" s="553">
        <f>0.5*(1+'Hilfstabellen_Mat&amp;Bem'!$BD$31*($BW56-0.3)+$BW56^2)</f>
        <v>2.1705091826669025</v>
      </c>
      <c r="BY56" s="550">
        <f t="shared" si="29"/>
        <v>0.29386783593598781</v>
      </c>
      <c r="CA56" s="551">
        <f t="shared" si="30"/>
        <v>3427.6744383573619</v>
      </c>
      <c r="CE56" s="546">
        <f t="shared" si="31"/>
        <v>108</v>
      </c>
      <c r="CF56" s="551">
        <f t="shared" si="32"/>
        <v>115.47005383792515</v>
      </c>
      <c r="CG56" s="553">
        <f>CF56/PI()*SQRT('Hilfstabellen_Mat&amp;Bem'!f.Rd.3/'Hilfstabellen_Mat&amp;Bem'!$BD$30)</f>
        <v>1.8377629847393071</v>
      </c>
      <c r="CH56" s="553">
        <f>0.5*(1+'Hilfstabellen_Mat&amp;Bem'!$BD$31*(CG56-0.3)+CG56^2)</f>
        <v>2.2655745432759287</v>
      </c>
      <c r="CI56" s="550">
        <f t="shared" si="33"/>
        <v>0.27851192942466541</v>
      </c>
      <c r="CK56" s="551">
        <f t="shared" si="34"/>
        <v>3248.5631448092972</v>
      </c>
      <c r="CO56" s="546">
        <f t="shared" si="35"/>
        <v>108</v>
      </c>
      <c r="CP56" s="551">
        <f t="shared" si="36"/>
        <v>118.67755533342307</v>
      </c>
      <c r="CQ56" s="553">
        <f>CP56/PI()*SQRT('Hilfstabellen_Mat&amp;Bem'!f.Rd.3/'Hilfstabellen_Mat&amp;Bem'!$BD$30)</f>
        <v>1.8888119565376211</v>
      </c>
      <c r="CR56" s="553">
        <f>0.5*(1+'Hilfstabellen_Mat&amp;Bem'!$BD$31*(CQ56-0.3)+CQ56^2)</f>
        <v>2.3632459014066192</v>
      </c>
      <c r="CS56" s="550">
        <f t="shared" si="37"/>
        <v>0.26430064633018291</v>
      </c>
      <c r="CU56" s="551">
        <f t="shared" si="38"/>
        <v>3082.8027387952534</v>
      </c>
      <c r="CY56" s="546">
        <f t="shared" si="39"/>
        <v>108</v>
      </c>
      <c r="CZ56" s="551">
        <f t="shared" si="40"/>
        <v>121.88505682892098</v>
      </c>
      <c r="DA56" s="553">
        <f>CZ56/PI()*SQRT('Hilfstabellen_Mat&amp;Bem'!f.Rd.3/'Hilfstabellen_Mat&amp;Bem'!$BD$30)</f>
        <v>1.9398609283359349</v>
      </c>
      <c r="DB56" s="553">
        <f>0.5*(1+'Hilfstabellen_Mat&amp;Bem'!$BD$31*(DA56-0.3)+DA56^2)</f>
        <v>2.4635232570589745</v>
      </c>
      <c r="DC56" s="550">
        <f t="shared" si="41"/>
        <v>0.25112770150697467</v>
      </c>
      <c r="DE56" s="551">
        <f t="shared" si="42"/>
        <v>2929.1535103773526</v>
      </c>
      <c r="DI56" s="546">
        <f t="shared" si="43"/>
        <v>108</v>
      </c>
      <c r="DJ56" s="551">
        <f t="shared" si="44"/>
        <v>125.09255832441892</v>
      </c>
      <c r="DK56" s="553">
        <f>DJ56/PI()*SQRT('Hilfstabellen_Mat&amp;Bem'!f.Rd.3/'Hilfstabellen_Mat&amp;Bem'!$BD$30)</f>
        <v>1.9909099001342492</v>
      </c>
      <c r="DL56" s="553">
        <f>0.5*(1+'Hilfstabellen_Mat&amp;Bem'!$BD$31*(DK56-0.3)+DK56^2)</f>
        <v>2.5664066102329954</v>
      </c>
      <c r="DM56" s="550">
        <f t="shared" si="45"/>
        <v>0.23889792305570862</v>
      </c>
      <c r="DO56" s="551">
        <f t="shared" si="46"/>
        <v>2786.5053745217851</v>
      </c>
      <c r="DS56" s="546">
        <f t="shared" si="47"/>
        <v>108</v>
      </c>
      <c r="DT56" s="551">
        <f t="shared" si="48"/>
        <v>128.30005981991684</v>
      </c>
      <c r="DU56" s="553">
        <f>DT56/PI()*SQRT('Hilfstabellen_Mat&amp;Bem'!f.Rd.3/'Hilfstabellen_Mat&amp;Bem'!$BD$30)</f>
        <v>2.0419588719325632</v>
      </c>
      <c r="DV56" s="553">
        <f>0.5*(1+'Hilfstabellen_Mat&amp;Bem'!$BD$31*(DU56-0.3)+DU56^2)</f>
        <v>2.6718959609286808</v>
      </c>
      <c r="DW56" s="550">
        <f t="shared" si="49"/>
        <v>0.22752611115812574</v>
      </c>
      <c r="DY56" s="551">
        <f t="shared" si="50"/>
        <v>2653.8645605483784</v>
      </c>
      <c r="EC56" s="546">
        <f t="shared" si="51"/>
        <v>108</v>
      </c>
      <c r="ED56" s="551">
        <f t="shared" si="52"/>
        <v>131.50756131541473</v>
      </c>
      <c r="EE56" s="553">
        <f>ED56/PI()*SQRT('Hilfstabellen_Mat&amp;Bem'!f.Rd.3/'Hilfstabellen_Mat&amp;Bem'!$BD$30)</f>
        <v>2.0930078437308768</v>
      </c>
      <c r="EF56" s="553">
        <f>0.5*(1+'Hilfstabellen_Mat&amp;Bem'!$BD$31*(EE56-0.3)+EE56^2)</f>
        <v>2.7799913091460309</v>
      </c>
      <c r="EG56" s="550">
        <f t="shared" si="53"/>
        <v>0.21693596658409509</v>
      </c>
      <c r="EI56" s="551">
        <f t="shared" si="54"/>
        <v>2530.341114236885</v>
      </c>
      <c r="EM56" s="546">
        <f t="shared" si="55"/>
        <v>108</v>
      </c>
      <c r="EN56" s="551">
        <f t="shared" si="56"/>
        <v>134.71506281091266</v>
      </c>
      <c r="EO56" s="553">
        <f>EN56/PI()*SQRT('Hilfstabellen_Mat&amp;Bem'!f.Rd.3/'Hilfstabellen_Mat&amp;Bem'!$BD$30)</f>
        <v>2.1440568155291913</v>
      </c>
      <c r="EP56" s="553">
        <f>0.5*(1+'Hilfstabellen_Mat&amp;Bem'!$BD$31*(EO56-0.3)+EO56^2)</f>
        <v>2.8906926548850476</v>
      </c>
      <c r="EQ56" s="550">
        <f t="shared" si="57"/>
        <v>0.20705910858525886</v>
      </c>
      <c r="ES56" s="551">
        <f t="shared" si="58"/>
        <v>2415.1374425384593</v>
      </c>
    </row>
    <row r="57" spans="3:149">
      <c r="C57" s="546">
        <v>109</v>
      </c>
      <c r="D57" s="551">
        <f t="shared" si="6"/>
        <v>88.986096535648727</v>
      </c>
      <c r="E57" s="553">
        <f>$D57/PI()*SQRT('Hilfstabellen_Mat&amp;Bem'!f.Rd.3/'Hilfstabellen_Mat&amp;Bem'!$BD$30)</f>
        <v>1.4162577130101079</v>
      </c>
      <c r="F57" s="553">
        <f>0.5*(1+'Hilfstabellen_Mat&amp;Bem'!$BD$31*($E57-0.3)+$E57^2)</f>
        <v>1.5587058404808161</v>
      </c>
      <c r="G57" s="550">
        <f t="shared" si="7"/>
        <v>0.45255254366327075</v>
      </c>
      <c r="I57" s="551">
        <f t="shared" si="8"/>
        <v>5376.7767712633195</v>
      </c>
      <c r="M57" s="546">
        <f t="shared" si="9"/>
        <v>109</v>
      </c>
      <c r="N57" s="551">
        <f t="shared" si="0"/>
        <v>92.164171411921899</v>
      </c>
      <c r="O57" s="553">
        <f>$N57/PI()*SQRT('Hilfstabellen_Mat&amp;Bem'!f.Rd.3/'Hilfstabellen_Mat&amp;Bem'!$BD$30)</f>
        <v>1.4668383456176119</v>
      </c>
      <c r="P57" s="553">
        <f>0.5*(1+'Hilfstabellen_Mat&amp;Bem'!$BD$31*($O57-0.3)+$O57^2)</f>
        <v>1.6341492833679869</v>
      </c>
      <c r="Q57" s="550">
        <f t="shared" si="1"/>
        <v>0.42472814105639978</v>
      </c>
      <c r="S57" s="551">
        <f t="shared" si="10"/>
        <v>5046.1950438910853</v>
      </c>
      <c r="W57" s="546">
        <f t="shared" si="11"/>
        <v>109</v>
      </c>
      <c r="X57" s="551">
        <f t="shared" si="2"/>
        <v>95.342246288195071</v>
      </c>
      <c r="Y57" s="553">
        <f>$X57/PI()*SQRT('Hilfstabellen_Mat&amp;Bem'!f.Rd.3/'Hilfstabellen_Mat&amp;Bem'!$BD$30)</f>
        <v>1.5174189782251157</v>
      </c>
      <c r="Z57" s="553">
        <f>0.5*(1+'Hilfstabellen_Mat&amp;Bem'!$BD$31*($Y57-0.3)+$Y57^2)</f>
        <v>1.7121511266501328</v>
      </c>
      <c r="AA57" s="550">
        <f t="shared" si="3"/>
        <v>0.39917227769401442</v>
      </c>
      <c r="AC57" s="551">
        <f t="shared" si="12"/>
        <v>4742.5658312825853</v>
      </c>
      <c r="AG57" s="546">
        <f t="shared" si="13"/>
        <v>109</v>
      </c>
      <c r="AH57" s="551">
        <f t="shared" si="4"/>
        <v>98.520321164468243</v>
      </c>
      <c r="AI57" s="553">
        <f>$AH57/PI()*SQRT('Hilfstabellen_Mat&amp;Bem'!f.Rd.3/'Hilfstabellen_Mat&amp;Bem'!$BD$30)</f>
        <v>1.5679996108326195</v>
      </c>
      <c r="AJ57" s="553">
        <f>0.5*(1+'Hilfstabellen_Mat&amp;Bem'!$BD$31*($AI57-0.3)+$AI57^2)</f>
        <v>1.7927113703272541</v>
      </c>
      <c r="AK57" s="550">
        <f t="shared" si="5"/>
        <v>0.37569567692889455</v>
      </c>
      <c r="AM57" s="551">
        <f t="shared" si="14"/>
        <v>4463.6403375921964</v>
      </c>
      <c r="AQ57" s="546">
        <f t="shared" si="15"/>
        <v>109</v>
      </c>
      <c r="AR57" s="551">
        <f t="shared" si="16"/>
        <v>101.69839604074141</v>
      </c>
      <c r="AS57" s="553">
        <f>$AR57/PI()*SQRT('Hilfstabellen_Mat&amp;Bem'!f.Rd.3/'Hilfstabellen_Mat&amp;Bem'!$BD$30)</f>
        <v>1.6185802434401237</v>
      </c>
      <c r="AT57" s="553">
        <f>0.5*(1+'Hilfstabellen_Mat&amp;Bem'!$BD$31*($AS57-0.3)+$AS57^2)</f>
        <v>1.8758300143993514</v>
      </c>
      <c r="AU57" s="550">
        <f t="shared" si="17"/>
        <v>0.35411360556685856</v>
      </c>
      <c r="AW57" s="551">
        <f t="shared" si="18"/>
        <v>4207.2237477398467</v>
      </c>
      <c r="BA57" s="546">
        <f t="shared" si="19"/>
        <v>109</v>
      </c>
      <c r="BB57" s="551">
        <f t="shared" si="20"/>
        <v>104.87647091701457</v>
      </c>
      <c r="BC57" s="553">
        <f>$BB57/PI()*SQRT('Hilfstabellen_Mat&amp;Bem'!f.Rd.3/'Hilfstabellen_Mat&amp;Bem'!$BD$30)</f>
        <v>1.6691608760476271</v>
      </c>
      <c r="BD57" s="553">
        <f>0.5*(1+'Hilfstabellen_Mat&amp;Bem'!$BD$31*($BC57-0.3)+$BC57^2)</f>
        <v>1.9615070588664223</v>
      </c>
      <c r="BE57" s="550">
        <f t="shared" si="21"/>
        <v>0.33425190997068699</v>
      </c>
      <c r="BG57" s="551">
        <f t="shared" si="22"/>
        <v>3971.2469423617322</v>
      </c>
      <c r="BK57" s="546">
        <f t="shared" si="23"/>
        <v>109</v>
      </c>
      <c r="BL57" s="551">
        <f t="shared" si="24"/>
        <v>108.05454579328774</v>
      </c>
      <c r="BM57" s="553">
        <f>$BL57/PI()*SQRT('Hilfstabellen_Mat&amp;Bem'!f.Rd.3/'Hilfstabellen_Mat&amp;Bem'!$BD$30)</f>
        <v>1.7197415086551311</v>
      </c>
      <c r="BN57" s="553">
        <f>0.5*(1+'Hilfstabellen_Mat&amp;Bem'!$BD$31*($BM57-0.3)+$BM57^2)</f>
        <v>2.0497425037284698</v>
      </c>
      <c r="BO57" s="550">
        <f t="shared" si="25"/>
        <v>0.31594976062439073</v>
      </c>
      <c r="BQ57" s="551">
        <f t="shared" si="26"/>
        <v>3753.7991059783863</v>
      </c>
      <c r="BU57" s="546">
        <f t="shared" si="27"/>
        <v>109</v>
      </c>
      <c r="BV57" s="551">
        <f t="shared" si="28"/>
        <v>111.23262066956092</v>
      </c>
      <c r="BW57" s="553">
        <f>$BV57/PI()*SQRT('Hilfstabellen_Mat&amp;Bem'!f.Rd.3/'Hilfstabellen_Mat&amp;Bem'!$BD$30)</f>
        <v>1.7703221412626349</v>
      </c>
      <c r="BX57" s="553">
        <f>0.5*(1+'Hilfstabellen_Mat&amp;Bem'!$BD$31*($BW57-0.3)+$BW57^2)</f>
        <v>2.1405363489854921</v>
      </c>
      <c r="BY57" s="550">
        <f t="shared" si="29"/>
        <v>0.29906050400022355</v>
      </c>
      <c r="CA57" s="551">
        <f t="shared" si="30"/>
        <v>3553.1378480266558</v>
      </c>
      <c r="CE57" s="546">
        <f t="shared" si="31"/>
        <v>109</v>
      </c>
      <c r="CF57" s="551">
        <f t="shared" si="32"/>
        <v>114.41069554583409</v>
      </c>
      <c r="CG57" s="553">
        <f>CF57/PI()*SQRT('Hilfstabellen_Mat&amp;Bem'!f.Rd.3/'Hilfstabellen_Mat&amp;Bem'!$BD$30)</f>
        <v>1.8209027738701389</v>
      </c>
      <c r="CH57" s="553">
        <f>0.5*(1+'Hilfstabellen_Mat&amp;Bem'!$BD$31*(CG57-0.3)+CG57^2)</f>
        <v>2.2338885946374898</v>
      </c>
      <c r="CI57" s="550">
        <f t="shared" si="33"/>
        <v>0.28345146117054015</v>
      </c>
      <c r="CK57" s="551">
        <f t="shared" si="34"/>
        <v>3367.6868101671876</v>
      </c>
      <c r="CO57" s="546">
        <f t="shared" si="35"/>
        <v>109</v>
      </c>
      <c r="CP57" s="551">
        <f t="shared" si="36"/>
        <v>117.58877042210725</v>
      </c>
      <c r="CQ57" s="553">
        <f>CP57/PI()*SQRT('Hilfstabellen_Mat&amp;Bem'!f.Rd.3/'Hilfstabellen_Mat&amp;Bem'!$BD$30)</f>
        <v>1.8714834064776427</v>
      </c>
      <c r="CR57" s="553">
        <f>0.5*(1+'Hilfstabellen_Mat&amp;Bem'!$BD$31*(CQ57-0.3)+CQ57^2)</f>
        <v>2.329799240684463</v>
      </c>
      <c r="CS57" s="550">
        <f t="shared" si="37"/>
        <v>0.26900317199661061</v>
      </c>
      <c r="CU57" s="551">
        <f t="shared" si="38"/>
        <v>3196.0266864917307</v>
      </c>
      <c r="CY57" s="546">
        <f t="shared" si="39"/>
        <v>109</v>
      </c>
      <c r="CZ57" s="551">
        <f t="shared" si="40"/>
        <v>120.76684529838042</v>
      </c>
      <c r="DA57" s="553">
        <f>CZ57/PI()*SQRT('Hilfstabellen_Mat&amp;Bem'!f.Rd.3/'Hilfstabellen_Mat&amp;Bem'!$BD$30)</f>
        <v>1.9220640390851464</v>
      </c>
      <c r="DB57" s="553">
        <f>0.5*(1+'Hilfstabellen_Mat&amp;Bem'!$BD$31*(DA57-0.3)+DA57^2)</f>
        <v>2.4282682871264112</v>
      </c>
      <c r="DC57" s="550">
        <f t="shared" si="41"/>
        <v>0.25560837811316833</v>
      </c>
      <c r="DE57" s="551">
        <f t="shared" si="42"/>
        <v>3036.8831403625531</v>
      </c>
      <c r="DI57" s="546">
        <f t="shared" si="43"/>
        <v>109</v>
      </c>
      <c r="DJ57" s="551">
        <f t="shared" si="44"/>
        <v>123.94492017465359</v>
      </c>
      <c r="DK57" s="553">
        <f>DJ57/PI()*SQRT('Hilfstabellen_Mat&amp;Bem'!f.Rd.3/'Hilfstabellen_Mat&amp;Bem'!$BD$30)</f>
        <v>1.9726446716926505</v>
      </c>
      <c r="DL57" s="553">
        <f>0.5*(1+'Hilfstabellen_Mat&amp;Bem'!$BD$31*(DK57-0.3)+DK57^2)</f>
        <v>2.5292957339633348</v>
      </c>
      <c r="DM57" s="550">
        <f t="shared" si="45"/>
        <v>0.24317091428776488</v>
      </c>
      <c r="DO57" s="551">
        <f t="shared" si="46"/>
        <v>2889.1136326529345</v>
      </c>
      <c r="DS57" s="546">
        <f t="shared" si="47"/>
        <v>109</v>
      </c>
      <c r="DT57" s="551">
        <f t="shared" si="48"/>
        <v>127.12299505092676</v>
      </c>
      <c r="DU57" s="553">
        <f>DT57/PI()*SQRT('Hilfstabellen_Mat&amp;Bem'!f.Rd.3/'Hilfstabellen_Mat&amp;Bem'!$BD$30)</f>
        <v>2.0232253043001545</v>
      </c>
      <c r="DV57" s="553">
        <f>0.5*(1+'Hilfstabellen_Mat&amp;Bem'!$BD$31*(DU57-0.3)+DU57^2)</f>
        <v>2.6328815811952344</v>
      </c>
      <c r="DW57" s="550">
        <f t="shared" si="49"/>
        <v>0.2316046035867618</v>
      </c>
      <c r="DY57" s="551">
        <f t="shared" si="50"/>
        <v>2751.6942952143168</v>
      </c>
      <c r="EC57" s="546">
        <f t="shared" si="51"/>
        <v>109</v>
      </c>
      <c r="ED57" s="551">
        <f t="shared" si="52"/>
        <v>130.30106992719993</v>
      </c>
      <c r="EE57" s="553">
        <f>ED57/PI()*SQRT('Hilfstabellen_Mat&amp;Bem'!f.Rd.3/'Hilfstabellen_Mat&amp;Bem'!$BD$30)</f>
        <v>2.0738059369076582</v>
      </c>
      <c r="EF57" s="553">
        <f>0.5*(1+'Hilfstabellen_Mat&amp;Bem'!$BD$31*(EE57-0.3)+EE57^2)</f>
        <v>2.7390258288221077</v>
      </c>
      <c r="EG57" s="550">
        <f t="shared" si="53"/>
        <v>0.22083220749048463</v>
      </c>
      <c r="EI57" s="551">
        <f t="shared" si="54"/>
        <v>2623.7074571944477</v>
      </c>
      <c r="EM57" s="546">
        <f t="shared" si="55"/>
        <v>109</v>
      </c>
      <c r="EN57" s="551">
        <f t="shared" si="56"/>
        <v>133.4791448034731</v>
      </c>
      <c r="EO57" s="553">
        <f>EN57/PI()*SQRT('Hilfstabellen_Mat&amp;Bem'!f.Rd.3/'Hilfstabellen_Mat&amp;Bem'!$BD$30)</f>
        <v>2.124386569515162</v>
      </c>
      <c r="EP57" s="553">
        <f>0.5*(1+'Hilfstabellen_Mat&amp;Bem'!$BD$31*(EO57-0.3)+EO57^2)</f>
        <v>2.8477284768439572</v>
      </c>
      <c r="EQ57" s="550">
        <f t="shared" si="57"/>
        <v>0.21078445584474217</v>
      </c>
      <c r="ES57" s="551">
        <f t="shared" si="58"/>
        <v>2504.3301198913819</v>
      </c>
    </row>
    <row r="58" spans="3:149">
      <c r="C58" s="546">
        <v>110</v>
      </c>
      <c r="D58" s="551">
        <f t="shared" si="6"/>
        <v>88.177132021688294</v>
      </c>
      <c r="E58" s="553">
        <f>$D58/PI()*SQRT('Hilfstabellen_Mat&amp;Bem'!f.Rd.3/'Hilfstabellen_Mat&amp;Bem'!$BD$30)</f>
        <v>1.4033826428918343</v>
      </c>
      <c r="F58" s="553">
        <f>0.5*(1+'Hilfstabellen_Mat&amp;Bem'!$BD$31*($E58-0.3)+$E58^2)</f>
        <v>1.5399105533296267</v>
      </c>
      <c r="G58" s="550">
        <f t="shared" si="7"/>
        <v>0.46001960817132764</v>
      </c>
      <c r="I58" s="551">
        <f t="shared" si="8"/>
        <v>5566.2372588730641</v>
      </c>
      <c r="M58" s="546">
        <f t="shared" si="9"/>
        <v>110</v>
      </c>
      <c r="N58" s="551">
        <f t="shared" si="0"/>
        <v>91.326315308177158</v>
      </c>
      <c r="O58" s="553">
        <f>$N58/PI()*SQRT('Hilfstabellen_Mat&amp;Bem'!f.Rd.3/'Hilfstabellen_Mat&amp;Bem'!$BD$30)</f>
        <v>1.4535034515665428</v>
      </c>
      <c r="P58" s="553">
        <f>0.5*(1+'Hilfstabellen_Mat&amp;Bem'!$BD$31*($O58-0.3)+$O58^2)</f>
        <v>1.6140113144362538</v>
      </c>
      <c r="Q58" s="550">
        <f t="shared" si="1"/>
        <v>0.43183576622292846</v>
      </c>
      <c r="S58" s="551">
        <f t="shared" si="10"/>
        <v>5225.2127712974343</v>
      </c>
      <c r="W58" s="546">
        <f t="shared" si="11"/>
        <v>110</v>
      </c>
      <c r="X58" s="551">
        <f t="shared" si="2"/>
        <v>94.475498594666036</v>
      </c>
      <c r="Y58" s="553">
        <f>$X58/PI()*SQRT('Hilfstabellen_Mat&amp;Bem'!f.Rd.3/'Hilfstabellen_Mat&amp;Bem'!$BD$30)</f>
        <v>1.5036242602412511</v>
      </c>
      <c r="Z58" s="553">
        <f>0.5*(1+'Hilfstabellen_Mat&amp;Bem'!$BD$31*($Y58-0.3)+$Y58^2)</f>
        <v>1.6906241710050876</v>
      </c>
      <c r="AA58" s="550">
        <f t="shared" si="3"/>
        <v>0.40592789982641769</v>
      </c>
      <c r="AC58" s="551">
        <f t="shared" si="12"/>
        <v>4911.7275878996543</v>
      </c>
      <c r="AG58" s="546">
        <f t="shared" si="13"/>
        <v>110</v>
      </c>
      <c r="AH58" s="551">
        <f t="shared" si="4"/>
        <v>97.624681881154899</v>
      </c>
      <c r="AI58" s="553">
        <f>$AH58/PI()*SQRT('Hilfstabellen_Mat&amp;Bem'!f.Rd.3/'Hilfstabellen_Mat&amp;Bem'!$BD$30)</f>
        <v>1.5537450689159595</v>
      </c>
      <c r="AJ58" s="553">
        <f>0.5*(1+'Hilfstabellen_Mat&amp;Bem'!$BD$31*($AI58-0.3)+$AI58^2)</f>
        <v>1.769749123036128</v>
      </c>
      <c r="AK58" s="550">
        <f t="shared" si="5"/>
        <v>0.38211226008773724</v>
      </c>
      <c r="AM58" s="551">
        <f t="shared" si="14"/>
        <v>4623.5583470616202</v>
      </c>
      <c r="AQ58" s="546">
        <f t="shared" si="15"/>
        <v>110</v>
      </c>
      <c r="AR58" s="551">
        <f t="shared" si="16"/>
        <v>100.77386516764376</v>
      </c>
      <c r="AS58" s="553">
        <f>$AR58/PI()*SQRT('Hilfstabellen_Mat&amp;Bem'!f.Rd.3/'Hilfstabellen_Mat&amp;Bem'!$BD$30)</f>
        <v>1.6038658775906676</v>
      </c>
      <c r="AT58" s="553">
        <f>0.5*(1+'Hilfstabellen_Mat&amp;Bem'!$BD$31*($AS58-0.3)+$AS58^2)</f>
        <v>1.8513861705293746</v>
      </c>
      <c r="AU58" s="550">
        <f t="shared" si="17"/>
        <v>0.36020709492307867</v>
      </c>
      <c r="AW58" s="551">
        <f t="shared" si="18"/>
        <v>4358.5058485692516</v>
      </c>
      <c r="BA58" s="546">
        <f t="shared" si="19"/>
        <v>110</v>
      </c>
      <c r="BB58" s="551">
        <f t="shared" si="20"/>
        <v>103.92304845413263</v>
      </c>
      <c r="BC58" s="553">
        <f>$BB58/PI()*SQRT('Hilfstabellen_Mat&amp;Bem'!f.Rd.3/'Hilfstabellen_Mat&amp;Bem'!$BD$30)</f>
        <v>1.653986686265376</v>
      </c>
      <c r="BD58" s="553">
        <f>0.5*(1+'Hilfstabellen_Mat&amp;Bem'!$BD$31*($BC58-0.3)+$BC58^2)</f>
        <v>1.9355353134848285</v>
      </c>
      <c r="BE58" s="550">
        <f t="shared" si="21"/>
        <v>0.34003962053241865</v>
      </c>
      <c r="BG58" s="551">
        <f t="shared" si="22"/>
        <v>4114.4794084422656</v>
      </c>
      <c r="BK58" s="546">
        <f t="shared" si="23"/>
        <v>110</v>
      </c>
      <c r="BL58" s="551">
        <f t="shared" si="24"/>
        <v>107.0722317406215</v>
      </c>
      <c r="BM58" s="553">
        <f>$BL58/PI()*SQRT('Hilfstabellen_Mat&amp;Bem'!f.Rd.3/'Hilfstabellen_Mat&amp;Bem'!$BD$30)</f>
        <v>1.7041074949400845</v>
      </c>
      <c r="BN58" s="553">
        <f>0.5*(1+'Hilfstabellen_Mat&amp;Bem'!$BD$31*($BM58-0.3)+$BM58^2)</f>
        <v>2.0221965519024891</v>
      </c>
      <c r="BO58" s="550">
        <f t="shared" si="25"/>
        <v>0.32144937132660301</v>
      </c>
      <c r="BQ58" s="551">
        <f t="shared" si="26"/>
        <v>3889.5373930518963</v>
      </c>
      <c r="BU58" s="546">
        <f t="shared" si="27"/>
        <v>110</v>
      </c>
      <c r="BV58" s="551">
        <f t="shared" si="28"/>
        <v>110.22141502711037</v>
      </c>
      <c r="BW58" s="553">
        <f>$BV58/PI()*SQRT('Hilfstabellen_Mat&amp;Bem'!f.Rd.3/'Hilfstabellen_Mat&amp;Bem'!$BD$30)</f>
        <v>1.754228303614793</v>
      </c>
      <c r="BX58" s="553">
        <f>0.5*(1+'Hilfstabellen_Mat&amp;Bem'!$BD$31*($BW58-0.3)+$BW58^2)</f>
        <v>2.1113698857823566</v>
      </c>
      <c r="BY58" s="550">
        <f t="shared" si="29"/>
        <v>0.30428944197667712</v>
      </c>
      <c r="CA58" s="551">
        <f t="shared" si="30"/>
        <v>3681.9022479177934</v>
      </c>
      <c r="CE58" s="546">
        <f t="shared" si="31"/>
        <v>110</v>
      </c>
      <c r="CF58" s="551">
        <f t="shared" si="32"/>
        <v>113.37059831359923</v>
      </c>
      <c r="CG58" s="553">
        <f>CF58/PI()*SQRT('Hilfstabellen_Mat&amp;Bem'!f.Rd.3/'Hilfstabellen_Mat&amp;Bem'!$BD$30)</f>
        <v>1.8043491122895015</v>
      </c>
      <c r="CH58" s="553">
        <f>0.5*(1+'Hilfstabellen_Mat&amp;Bem'!$BD$31*(CG58-0.3)+CG58^2)</f>
        <v>2.2030553151244314</v>
      </c>
      <c r="CI58" s="550">
        <f t="shared" si="33"/>
        <v>0.28842653705502802</v>
      </c>
      <c r="CK58" s="551">
        <f t="shared" si="34"/>
        <v>3489.961098365839</v>
      </c>
      <c r="CO58" s="546">
        <f t="shared" si="35"/>
        <v>110</v>
      </c>
      <c r="CP58" s="551">
        <f t="shared" si="36"/>
        <v>116.51978160008809</v>
      </c>
      <c r="CQ58" s="553">
        <f>CP58/PI()*SQRT('Hilfstabellen_Mat&amp;Bem'!f.Rd.3/'Hilfstabellen_Mat&amp;Bem'!$BD$30)</f>
        <v>1.8544699209642095</v>
      </c>
      <c r="CR58" s="553">
        <f>0.5*(1+'Hilfstabellen_Mat&amp;Bem'!$BD$31*(CQ58-0.3)+CQ58^2)</f>
        <v>2.2972528399287109</v>
      </c>
      <c r="CS58" s="550">
        <f t="shared" si="37"/>
        <v>0.27374037638419618</v>
      </c>
      <c r="CU58" s="551">
        <f t="shared" si="38"/>
        <v>3312.2585542487736</v>
      </c>
      <c r="CY58" s="546">
        <f t="shared" si="39"/>
        <v>110</v>
      </c>
      <c r="CZ58" s="551">
        <f t="shared" si="40"/>
        <v>119.66896488657697</v>
      </c>
      <c r="DA58" s="553">
        <f>CZ58/PI()*SQRT('Hilfstabellen_Mat&amp;Bem'!f.Rd.3/'Hilfstabellen_Mat&amp;Bem'!$BD$30)</f>
        <v>1.9045907296389182</v>
      </c>
      <c r="DB58" s="553">
        <f>0.5*(1+'Hilfstabellen_Mat&amp;Bem'!$BD$31*(DA58-0.3)+DA58^2)</f>
        <v>2.3939624601951994</v>
      </c>
      <c r="DC58" s="550">
        <f t="shared" si="41"/>
        <v>0.26012278102735398</v>
      </c>
      <c r="DE58" s="551">
        <f t="shared" si="42"/>
        <v>3147.4856504309832</v>
      </c>
      <c r="DI58" s="546">
        <f t="shared" si="43"/>
        <v>110</v>
      </c>
      <c r="DJ58" s="551">
        <f t="shared" si="44"/>
        <v>122.81814817306584</v>
      </c>
      <c r="DK58" s="553">
        <f>DJ58/PI()*SQRT('Hilfstabellen_Mat&amp;Bem'!f.Rd.3/'Hilfstabellen_Mat&amp;Bem'!$BD$30)</f>
        <v>1.9547115383136262</v>
      </c>
      <c r="DL58" s="553">
        <f>0.5*(1+'Hilfstabellen_Mat&amp;Bem'!$BD$31*(DK58-0.3)+DK58^2)</f>
        <v>2.4931841759238926</v>
      </c>
      <c r="DM58" s="550">
        <f t="shared" si="45"/>
        <v>0.24747662990531716</v>
      </c>
      <c r="DO58" s="551">
        <f t="shared" si="46"/>
        <v>2994.4672218543378</v>
      </c>
      <c r="DS58" s="546">
        <f t="shared" si="47"/>
        <v>110</v>
      </c>
      <c r="DT58" s="551">
        <f t="shared" si="48"/>
        <v>125.96733145955471</v>
      </c>
      <c r="DU58" s="553">
        <f>DT58/PI()*SQRT('Hilfstabellen_Mat&amp;Bem'!f.Rd.3/'Hilfstabellen_Mat&amp;Bem'!$BD$30)</f>
        <v>2.0048323469883349</v>
      </c>
      <c r="DV58" s="553">
        <f>0.5*(1+'Hilfstabellen_Mat&amp;Bem'!$BD$31*(DU58-0.3)+DU58^2)</f>
        <v>2.5949179871147945</v>
      </c>
      <c r="DW58" s="550">
        <f t="shared" si="49"/>
        <v>0.23571479564656136</v>
      </c>
      <c r="DY58" s="551">
        <f t="shared" si="50"/>
        <v>2852.1490273233926</v>
      </c>
      <c r="EC58" s="546">
        <f t="shared" si="51"/>
        <v>110</v>
      </c>
      <c r="ED58" s="551">
        <f t="shared" si="52"/>
        <v>129.11651474604358</v>
      </c>
      <c r="EE58" s="553">
        <f>ED58/PI()*SQRT('Hilfstabellen_Mat&amp;Bem'!f.Rd.3/'Hilfstabellen_Mat&amp;Bem'!$BD$30)</f>
        <v>2.0549531556630432</v>
      </c>
      <c r="EF58" s="553">
        <f>0.5*(1+'Hilfstabellen_Mat&amp;Bem'!$BD$31*(EE58-0.3)+EE58^2)</f>
        <v>2.6991638937679019</v>
      </c>
      <c r="EG58" s="550">
        <f t="shared" si="53"/>
        <v>0.22475911936255169</v>
      </c>
      <c r="EI58" s="551">
        <f t="shared" si="54"/>
        <v>2719.5853442868756</v>
      </c>
      <c r="EM58" s="546">
        <f t="shared" si="55"/>
        <v>110</v>
      </c>
      <c r="EN58" s="551">
        <f t="shared" si="56"/>
        <v>132.26569803253244</v>
      </c>
      <c r="EO58" s="553">
        <f>EN58/PI()*SQRT('Hilfstabellen_Mat&amp;Bem'!f.Rd.3/'Hilfstabellen_Mat&amp;Bem'!$BD$30)</f>
        <v>2.1050739643377514</v>
      </c>
      <c r="EP58" s="553">
        <f>0.5*(1+'Hilfstabellen_Mat&amp;Bem'!$BD$31*(EO58-0.3)+EO58^2)</f>
        <v>2.8059218958832157</v>
      </c>
      <c r="EQ58" s="550">
        <f t="shared" si="57"/>
        <v>0.21453945481534237</v>
      </c>
      <c r="ES58" s="551">
        <f t="shared" si="58"/>
        <v>2595.9274032656426</v>
      </c>
    </row>
    <row r="59" spans="3:149">
      <c r="C59" s="546">
        <v>111</v>
      </c>
      <c r="D59" s="551">
        <f t="shared" si="6"/>
        <v>87.382743444916329</v>
      </c>
      <c r="E59" s="553">
        <f>$D59/PI()*SQRT('Hilfstabellen_Mat&amp;Bem'!f.Rd.3/'Hilfstabellen_Mat&amp;Bem'!$BD$30)</f>
        <v>1.3907395560189348</v>
      </c>
      <c r="F59" s="553">
        <f>0.5*(1+'Hilfstabellen_Mat&amp;Bem'!$BD$31*($E59-0.3)+$E59^2)</f>
        <v>1.5216152341388187</v>
      </c>
      <c r="G59" s="550">
        <f t="shared" si="7"/>
        <v>0.46750951622507081</v>
      </c>
      <c r="I59" s="551">
        <f t="shared" si="8"/>
        <v>5760.1847494090971</v>
      </c>
      <c r="M59" s="546">
        <f t="shared" si="9"/>
        <v>111</v>
      </c>
      <c r="N59" s="551">
        <f t="shared" si="0"/>
        <v>90.503555710806197</v>
      </c>
      <c r="O59" s="553">
        <f>$N59/PI()*SQRT('Hilfstabellen_Mat&amp;Bem'!f.Rd.3/'Hilfstabellen_Mat&amp;Bem'!$BD$30)</f>
        <v>1.4404088258767542</v>
      </c>
      <c r="P59" s="553">
        <f>0.5*(1+'Hilfstabellen_Mat&amp;Bem'!$BD$31*($O59-0.3)+$O59^2)</f>
        <v>1.5944092341256626</v>
      </c>
      <c r="Q59" s="550">
        <f t="shared" si="1"/>
        <v>0.43897213584340455</v>
      </c>
      <c r="S59" s="551">
        <f t="shared" si="10"/>
        <v>5408.5756857265878</v>
      </c>
      <c r="W59" s="546">
        <f t="shared" si="11"/>
        <v>111</v>
      </c>
      <c r="X59" s="551">
        <f t="shared" si="2"/>
        <v>93.624367976696064</v>
      </c>
      <c r="Y59" s="553">
        <f>$X59/PI()*SQRT('Hilfstabellen_Mat&amp;Bem'!f.Rd.3/'Hilfstabellen_Mat&amp;Bem'!$BD$30)</f>
        <v>1.4900780957345732</v>
      </c>
      <c r="Z59" s="553">
        <f>0.5*(1+'Hilfstabellen_Mat&amp;Bem'!$BD$31*($Y59-0.3)+$Y59^2)</f>
        <v>1.6696702704807147</v>
      </c>
      <c r="AA59" s="550">
        <f t="shared" si="3"/>
        <v>0.41271599170744167</v>
      </c>
      <c r="AC59" s="551">
        <f t="shared" si="12"/>
        <v>5085.0737338273884</v>
      </c>
      <c r="AG59" s="546">
        <f t="shared" si="13"/>
        <v>111</v>
      </c>
      <c r="AH59" s="551">
        <f t="shared" si="4"/>
        <v>96.745180242585931</v>
      </c>
      <c r="AI59" s="553">
        <f>$AH59/PI()*SQRT('Hilfstabellen_Mat&amp;Bem'!f.Rd.3/'Hilfstabellen_Mat&amp;Bem'!$BD$30)</f>
        <v>1.5397473655923921</v>
      </c>
      <c r="AJ59" s="553">
        <f>0.5*(1+'Hilfstabellen_Mat&amp;Bem'!$BD$31*($AI59-0.3)+$AI59^2)</f>
        <v>1.7473983432039755</v>
      </c>
      <c r="AK59" s="550">
        <f t="shared" si="5"/>
        <v>0.38856352645315601</v>
      </c>
      <c r="AM59" s="551">
        <f t="shared" si="14"/>
        <v>4787.491209429335</v>
      </c>
      <c r="AQ59" s="546">
        <f t="shared" si="15"/>
        <v>111</v>
      </c>
      <c r="AR59" s="551">
        <f t="shared" si="16"/>
        <v>99.865992508475799</v>
      </c>
      <c r="AS59" s="553">
        <f>$AR59/PI()*SQRT('Hilfstabellen_Mat&amp;Bem'!f.Rd.3/'Hilfstabellen_Mat&amp;Bem'!$BD$30)</f>
        <v>1.5894166354502113</v>
      </c>
      <c r="AT59" s="553">
        <f>0.5*(1+'Hilfstabellen_Mat&amp;Bem'!$BD$31*($AS59-0.3)+$AS59^2)</f>
        <v>1.8275934522954453</v>
      </c>
      <c r="AU59" s="550">
        <f t="shared" si="17"/>
        <v>0.36633643114332559</v>
      </c>
      <c r="AW59" s="551">
        <f t="shared" si="18"/>
        <v>4513.6311681169145</v>
      </c>
      <c r="BA59" s="546">
        <f t="shared" si="19"/>
        <v>111</v>
      </c>
      <c r="BB59" s="551">
        <f t="shared" si="20"/>
        <v>102.98680477436567</v>
      </c>
      <c r="BC59" s="553">
        <f>$BB59/PI()*SQRT('Hilfstabellen_Mat&amp;Bem'!f.Rd.3/'Hilfstabellen_Mat&amp;Bem'!$BD$30)</f>
        <v>1.6390859053080302</v>
      </c>
      <c r="BD59" s="553">
        <f>0.5*(1+'Hilfstabellen_Mat&amp;Bem'!$BD$31*($BC59-0.3)+$BC59^2)</f>
        <v>1.9102555977551239</v>
      </c>
      <c r="BE59" s="550">
        <f t="shared" si="21"/>
        <v>0.34586361341736516</v>
      </c>
      <c r="BG59" s="551">
        <f t="shared" si="22"/>
        <v>4261.3855809153565</v>
      </c>
      <c r="BK59" s="546">
        <f t="shared" si="23"/>
        <v>111</v>
      </c>
      <c r="BL59" s="551">
        <f t="shared" si="24"/>
        <v>106.10761704025553</v>
      </c>
      <c r="BM59" s="553">
        <f>$BL59/PI()*SQRT('Hilfstabellen_Mat&amp;Bem'!f.Rd.3/'Hilfstabellen_Mat&amp;Bem'!$BD$30)</f>
        <v>1.6887551751658496</v>
      </c>
      <c r="BN59" s="553">
        <f>0.5*(1+'Hilfstabellen_Mat&amp;Bem'!$BD$31*($BM59-0.3)+$BM59^2)</f>
        <v>1.9953847795830124</v>
      </c>
      <c r="BO59" s="550">
        <f t="shared" si="25"/>
        <v>0.32698519628058814</v>
      </c>
      <c r="BQ59" s="551">
        <f t="shared" si="26"/>
        <v>4028.7846033731266</v>
      </c>
      <c r="BU59" s="546">
        <f t="shared" si="27"/>
        <v>111</v>
      </c>
      <c r="BV59" s="551">
        <f t="shared" si="28"/>
        <v>109.2284293061454</v>
      </c>
      <c r="BW59" s="553">
        <f>$BV59/PI()*SQRT('Hilfstabellen_Mat&amp;Bem'!f.Rd.3/'Hilfstabellen_Mat&amp;Bem'!$BD$30)</f>
        <v>1.7384244450236688</v>
      </c>
      <c r="BX59" s="553">
        <f>0.5*(1+'Hilfstabellen_Mat&amp;Bem'!$BD$31*($BW59-0.3)+$BW59^2)</f>
        <v>2.0829809977791087</v>
      </c>
      <c r="BY59" s="550">
        <f t="shared" si="29"/>
        <v>0.3095541803674875</v>
      </c>
      <c r="CA59" s="551">
        <f t="shared" si="30"/>
        <v>3814.0170563078136</v>
      </c>
      <c r="CE59" s="546">
        <f t="shared" si="31"/>
        <v>111</v>
      </c>
      <c r="CF59" s="551">
        <f t="shared" si="32"/>
        <v>112.34924157203528</v>
      </c>
      <c r="CG59" s="553">
        <f>CF59/PI()*SQRT('Hilfstabellen_Mat&amp;Bem'!f.Rd.3/'Hilfstabellen_Mat&amp;Bem'!$BD$30)</f>
        <v>1.7880937148814877</v>
      </c>
      <c r="CH59" s="553">
        <f>0.5*(1+'Hilfstabellen_Mat&amp;Bem'!$BD$31*(CG59-0.3)+CG59^2)</f>
        <v>2.1730442523434137</v>
      </c>
      <c r="CI59" s="550">
        <f t="shared" si="33"/>
        <v>0.29343676514145423</v>
      </c>
      <c r="CK59" s="551">
        <f t="shared" si="34"/>
        <v>3615.4343833078574</v>
      </c>
      <c r="CO59" s="546">
        <f t="shared" si="35"/>
        <v>111</v>
      </c>
      <c r="CP59" s="551">
        <f t="shared" si="36"/>
        <v>115.47005383792515</v>
      </c>
      <c r="CQ59" s="553">
        <f>CP59/PI()*SQRT('Hilfstabellen_Mat&amp;Bem'!f.Rd.3/'Hilfstabellen_Mat&amp;Bem'!$BD$30)</f>
        <v>1.8377629847393071</v>
      </c>
      <c r="CR59" s="553">
        <f>0.5*(1+'Hilfstabellen_Mat&amp;Bem'!$BD$31*(CQ59-0.3)+CQ59^2)</f>
        <v>2.2655745432759287</v>
      </c>
      <c r="CS59" s="550">
        <f t="shared" si="37"/>
        <v>0.27851192942466541</v>
      </c>
      <c r="CU59" s="551">
        <f t="shared" si="38"/>
        <v>3431.5454824413023</v>
      </c>
      <c r="CY59" s="546">
        <f t="shared" si="39"/>
        <v>111</v>
      </c>
      <c r="CZ59" s="551">
        <f t="shared" si="40"/>
        <v>118.59086610381502</v>
      </c>
      <c r="DA59" s="553">
        <f>CZ59/PI()*SQRT('Hilfstabellen_Mat&amp;Bem'!f.Rd.3/'Hilfstabellen_Mat&amp;Bem'!$BD$30)</f>
        <v>1.887432254597126</v>
      </c>
      <c r="DB59" s="553">
        <f>0.5*(1+'Hilfstabellen_Mat&amp;Bem'!$BD$31*(DA59-0.3)+DA59^2)</f>
        <v>2.3605718705766514</v>
      </c>
      <c r="DC59" s="550">
        <f t="shared" si="41"/>
        <v>0.26467063000842989</v>
      </c>
      <c r="DE59" s="551">
        <f t="shared" si="42"/>
        <v>3261.0068323338646</v>
      </c>
      <c r="DI59" s="546">
        <f t="shared" si="43"/>
        <v>111</v>
      </c>
      <c r="DJ59" s="551">
        <f t="shared" si="44"/>
        <v>121.71167836970488</v>
      </c>
      <c r="DK59" s="553">
        <f>DJ59/PI()*SQRT('Hilfstabellen_Mat&amp;Bem'!f.Rd.3/'Hilfstabellen_Mat&amp;Bem'!$BD$30)</f>
        <v>1.9371015244549452</v>
      </c>
      <c r="DL59" s="553">
        <f>0.5*(1+'Hilfstabellen_Mat&amp;Bem'!$BD$31*(DK59-0.3)+DK59^2)</f>
        <v>2.4580362342455837</v>
      </c>
      <c r="DM59" s="550">
        <f t="shared" si="45"/>
        <v>0.25181483016302625</v>
      </c>
      <c r="DO59" s="551">
        <f t="shared" si="46"/>
        <v>3102.6105224386465</v>
      </c>
      <c r="DS59" s="546">
        <f t="shared" si="47"/>
        <v>111</v>
      </c>
      <c r="DT59" s="551">
        <f t="shared" si="48"/>
        <v>124.83249063559475</v>
      </c>
      <c r="DU59" s="553">
        <f>DT59/PI()*SQRT('Hilfstabellen_Mat&amp;Bem'!f.Rd.3/'Hilfstabellen_Mat&amp;Bem'!$BD$30)</f>
        <v>1.9867707943127642</v>
      </c>
      <c r="DV59" s="553">
        <f>0.5*(1+'Hilfstabellen_Mat&amp;Bem'!$BD$31*(DU59-0.3)+DU59^2)</f>
        <v>2.5579676342827238</v>
      </c>
      <c r="DW59" s="550">
        <f t="shared" si="49"/>
        <v>0.23985648078699659</v>
      </c>
      <c r="DY59" s="551">
        <f t="shared" si="50"/>
        <v>2955.2716997765851</v>
      </c>
      <c r="EC59" s="546">
        <f t="shared" si="51"/>
        <v>111</v>
      </c>
      <c r="ED59" s="551">
        <f t="shared" si="52"/>
        <v>127.95330290148462</v>
      </c>
      <c r="EE59" s="553">
        <f>ED59/PI()*SQRT('Hilfstabellen_Mat&amp;Bem'!f.Rd.3/'Hilfstabellen_Mat&amp;Bem'!$BD$30)</f>
        <v>2.0364400641705833</v>
      </c>
      <c r="EF59" s="553">
        <f>0.5*(1+'Hilfstabellen_Mat&amp;Bem'!$BD$31*(EE59-0.3)+EE59^2)</f>
        <v>2.6603660706880738</v>
      </c>
      <c r="EG59" s="550">
        <f t="shared" si="53"/>
        <v>0.22871652307971921</v>
      </c>
      <c r="EI59" s="551">
        <f t="shared" si="54"/>
        <v>2818.0162808652203</v>
      </c>
      <c r="EM59" s="546">
        <f t="shared" si="55"/>
        <v>111</v>
      </c>
      <c r="EN59" s="551">
        <f t="shared" si="56"/>
        <v>131.07411516737449</v>
      </c>
      <c r="EO59" s="553">
        <f>EN59/PI()*SQRT('Hilfstabellen_Mat&amp;Bem'!f.Rd.3/'Hilfstabellen_Mat&amp;Bem'!$BD$30)</f>
        <v>2.0861093340284023</v>
      </c>
      <c r="EP59" s="553">
        <f>0.5*(1+'Hilfstabellen_Mat&amp;Bem'!$BD$31*(EO59-0.3)+EO59^2)</f>
        <v>2.7652315434616321</v>
      </c>
      <c r="EQ59" s="550">
        <f t="shared" si="57"/>
        <v>0.21832394921462536</v>
      </c>
      <c r="ES59" s="551">
        <f t="shared" si="58"/>
        <v>2689.9693782733989</v>
      </c>
    </row>
    <row r="60" spans="3:149">
      <c r="C60" s="546">
        <v>112</v>
      </c>
      <c r="D60" s="551">
        <f t="shared" si="6"/>
        <v>86.602540378443862</v>
      </c>
      <c r="E60" s="553">
        <f>$D60/PI()*SQRT('Hilfstabellen_Mat&amp;Bem'!f.Rd.3/'Hilfstabellen_Mat&amp;Bem'!$BD$30)</f>
        <v>1.3783222385544802</v>
      </c>
      <c r="F60" s="553">
        <f>0.5*(1+'Hilfstabellen_Mat&amp;Bem'!$BD$31*($E60-0.3)+$E60^2)</f>
        <v>1.5038022085746408</v>
      </c>
      <c r="G60" s="550">
        <f t="shared" si="7"/>
        <v>0.47501995619125226</v>
      </c>
      <c r="I60" s="551">
        <f t="shared" si="8"/>
        <v>5958.6503304630687</v>
      </c>
      <c r="M60" s="546">
        <f t="shared" si="9"/>
        <v>112</v>
      </c>
      <c r="N60" s="551">
        <f t="shared" si="0"/>
        <v>89.695488249102567</v>
      </c>
      <c r="O60" s="553">
        <f>$N60/PI()*SQRT('Hilfstabellen_Mat&amp;Bem'!f.Rd.3/'Hilfstabellen_Mat&amp;Bem'!$BD$30)</f>
        <v>1.4275480327885688</v>
      </c>
      <c r="P60" s="553">
        <f>0.5*(1+'Hilfstabellen_Mat&amp;Bem'!$BD$31*($O60-0.3)+$O60^2)</f>
        <v>1.5753240945986846</v>
      </c>
      <c r="Q60" s="550">
        <f t="shared" si="1"/>
        <v>0.44613545870278182</v>
      </c>
      <c r="S60" s="551">
        <f t="shared" si="10"/>
        <v>5596.3231939676953</v>
      </c>
      <c r="W60" s="546">
        <f t="shared" si="11"/>
        <v>112</v>
      </c>
      <c r="X60" s="551">
        <f t="shared" si="2"/>
        <v>92.788436119761272</v>
      </c>
      <c r="Y60" s="553">
        <f>$X60/PI()*SQRT('Hilfstabellen_Mat&amp;Bem'!f.Rd.3/'Hilfstabellen_Mat&amp;Bem'!$BD$30)</f>
        <v>1.4767738270226571</v>
      </c>
      <c r="Z60" s="553">
        <f>0.5*(1+'Hilfstabellen_Mat&amp;Bem'!$BD$31*($Y60-0.3)+$Y60^2)</f>
        <v>1.6492691594407054</v>
      </c>
      <c r="AA60" s="550">
        <f t="shared" si="3"/>
        <v>0.41953515170812272</v>
      </c>
      <c r="AC60" s="551">
        <f t="shared" si="12"/>
        <v>5262.6489430266911</v>
      </c>
      <c r="AG60" s="546">
        <f t="shared" si="13"/>
        <v>112</v>
      </c>
      <c r="AH60" s="551">
        <f t="shared" si="4"/>
        <v>95.881383990419977</v>
      </c>
      <c r="AI60" s="553">
        <f>$AH60/PI()*SQRT('Hilfstabellen_Mat&amp;Bem'!f.Rd.3/'Hilfstabellen_Mat&amp;Bem'!$BD$30)</f>
        <v>1.5259996212567457</v>
      </c>
      <c r="AJ60" s="553">
        <f>0.5*(1+'Hilfstabellen_Mat&amp;Bem'!$BD$31*($AI60-0.3)+$AI60^2)</f>
        <v>1.7256374031007029</v>
      </c>
      <c r="AK60" s="550">
        <f t="shared" si="5"/>
        <v>0.39504836714845409</v>
      </c>
      <c r="AM60" s="551">
        <f t="shared" si="14"/>
        <v>4955.4867175102081</v>
      </c>
      <c r="AQ60" s="546">
        <f t="shared" si="15"/>
        <v>112</v>
      </c>
      <c r="AR60" s="551">
        <f t="shared" si="16"/>
        <v>98.974331861078696</v>
      </c>
      <c r="AS60" s="553">
        <f>$AR60/PI()*SQRT('Hilfstabellen_Mat&amp;Bem'!f.Rd.3/'Hilfstabellen_Mat&amp;Bem'!$BD$30)</f>
        <v>1.5752254154908345</v>
      </c>
      <c r="AT60" s="553">
        <f>0.5*(1+'Hilfstabellen_Mat&amp;Bem'!$BD$31*($AS60-0.3)+$AS60^2)</f>
        <v>1.804428825578678</v>
      </c>
      <c r="AU60" s="550">
        <f t="shared" si="17"/>
        <v>0.3725007270207823</v>
      </c>
      <c r="AW60" s="551">
        <f t="shared" si="18"/>
        <v>4672.649119748693</v>
      </c>
      <c r="BA60" s="546">
        <f t="shared" si="19"/>
        <v>112</v>
      </c>
      <c r="BB60" s="551">
        <f t="shared" si="20"/>
        <v>102.06727973173741</v>
      </c>
      <c r="BC60" s="553">
        <f>$BB60/PI()*SQRT('Hilfstabellen_Mat&amp;Bem'!f.Rd.3/'Hilfstabellen_Mat&amp;Bem'!$BD$30)</f>
        <v>1.6244512097249233</v>
      </c>
      <c r="BD60" s="553">
        <f>0.5*(1+'Hilfstabellen_Mat&amp;Bem'!$BD$31*($BC60-0.3)+$BC60^2)</f>
        <v>1.8856434268746294</v>
      </c>
      <c r="BE60" s="550">
        <f t="shared" si="21"/>
        <v>0.3517231708737048</v>
      </c>
      <c r="BG60" s="551">
        <f t="shared" si="22"/>
        <v>4412.0154554397532</v>
      </c>
      <c r="BK60" s="546">
        <f t="shared" si="23"/>
        <v>112</v>
      </c>
      <c r="BL60" s="551">
        <f t="shared" si="24"/>
        <v>105.16022760239612</v>
      </c>
      <c r="BM60" s="553">
        <f>$BL60/PI()*SQRT('Hilfstabellen_Mat&amp;Bem'!f.Rd.3/'Hilfstabellen_Mat&amp;Bem'!$BD$30)</f>
        <v>1.6736770039590116</v>
      </c>
      <c r="BN60" s="553">
        <f>0.5*(1+'Hilfstabellen_Mat&amp;Bem'!$BD$31*($BM60-0.3)+$BM60^2)</f>
        <v>1.9692812069885572</v>
      </c>
      <c r="BO60" s="550">
        <f t="shared" si="25"/>
        <v>0.33255664862315509</v>
      </c>
      <c r="BQ60" s="551">
        <f t="shared" si="26"/>
        <v>4171.5906003288574</v>
      </c>
      <c r="BU60" s="546">
        <f t="shared" si="27"/>
        <v>112</v>
      </c>
      <c r="BV60" s="551">
        <f t="shared" si="28"/>
        <v>108.25317547305482</v>
      </c>
      <c r="BW60" s="553">
        <f>$BV60/PI()*SQRT('Hilfstabellen_Mat&amp;Bem'!f.Rd.3/'Hilfstabellen_Mat&amp;Bem'!$BD$30)</f>
        <v>1.7229027981931002</v>
      </c>
      <c r="BX60" s="553">
        <f>0.5*(1+'Hilfstabellen_Mat&amp;Bem'!$BD$31*($BW60-0.3)+$BW60^2)</f>
        <v>2.0553421659204623</v>
      </c>
      <c r="BY60" s="550">
        <f t="shared" si="29"/>
        <v>0.31485423448256039</v>
      </c>
      <c r="CA60" s="551">
        <f t="shared" si="30"/>
        <v>3949.5315173492377</v>
      </c>
      <c r="CE60" s="546">
        <f t="shared" si="31"/>
        <v>112</v>
      </c>
      <c r="CF60" s="551">
        <f t="shared" si="32"/>
        <v>111.34612334371354</v>
      </c>
      <c r="CG60" s="553">
        <f>CF60/PI()*SQRT('Hilfstabellen_Mat&amp;Bem'!f.Rd.3/'Hilfstabellen_Mat&amp;Bem'!$BD$30)</f>
        <v>1.772128592427189</v>
      </c>
      <c r="CH60" s="553">
        <f>0.5*(1+'Hilfstabellen_Mat&amp;Bem'!$BD$31*(CG60-0.3)+CG60^2)</f>
        <v>2.1438263036703447</v>
      </c>
      <c r="CI60" s="550">
        <f t="shared" si="33"/>
        <v>0.2984817413315356</v>
      </c>
      <c r="CK60" s="551">
        <f t="shared" si="34"/>
        <v>3744.1549632627825</v>
      </c>
      <c r="CO60" s="546">
        <f t="shared" si="35"/>
        <v>112</v>
      </c>
      <c r="CP60" s="551">
        <f t="shared" si="36"/>
        <v>114.43907121437223</v>
      </c>
      <c r="CQ60" s="553">
        <f>CP60/PI()*SQRT('Hilfstabellen_Mat&amp;Bem'!f.Rd.3/'Hilfstabellen_Mat&amp;Bem'!$BD$30)</f>
        <v>1.8213543866612771</v>
      </c>
      <c r="CR60" s="553">
        <f>0.5*(1+'Hilfstabellen_Mat&amp;Bem'!$BD$31*(CQ60-0.3)+CQ60^2)</f>
        <v>2.2347336202382024</v>
      </c>
      <c r="CS60" s="550">
        <f t="shared" si="37"/>
        <v>0.2833174912311</v>
      </c>
      <c r="CU60" s="551">
        <f t="shared" si="38"/>
        <v>3553.9346100029184</v>
      </c>
      <c r="CY60" s="546">
        <f t="shared" si="39"/>
        <v>112</v>
      </c>
      <c r="CZ60" s="551">
        <f t="shared" si="40"/>
        <v>117.53201908503095</v>
      </c>
      <c r="DA60" s="553">
        <f>CZ60/PI()*SQRT('Hilfstabellen_Mat&amp;Bem'!f.Rd.3/'Hilfstabellen_Mat&amp;Bem'!$BD$30)</f>
        <v>1.8705801808953659</v>
      </c>
      <c r="DB60" s="553">
        <f>0.5*(1+'Hilfstabellen_Mat&amp;Bem'!$BD$31*(DA60-0.3)+DA60^2)</f>
        <v>2.3280641156240383</v>
      </c>
      <c r="DC60" s="550">
        <f t="shared" si="41"/>
        <v>0.26925163682320974</v>
      </c>
      <c r="DE60" s="551">
        <f t="shared" si="42"/>
        <v>3377.492532310343</v>
      </c>
      <c r="DI60" s="546">
        <f t="shared" si="43"/>
        <v>112</v>
      </c>
      <c r="DJ60" s="551">
        <f t="shared" si="44"/>
        <v>120.62496695568966</v>
      </c>
      <c r="DK60" s="553">
        <f>DJ60/PI()*SQRT('Hilfstabellen_Mat&amp;Bem'!f.Rd.3/'Hilfstabellen_Mat&amp;Bem'!$BD$30)</f>
        <v>1.9198059751294545</v>
      </c>
      <c r="DL60" s="553">
        <f>0.5*(1+'Hilfstabellen_Mat&amp;Bem'!$BD$31*(DK60-0.3)+DK60^2)</f>
        <v>2.4238177898278508</v>
      </c>
      <c r="DM60" s="550">
        <f t="shared" si="45"/>
        <v>0.25618526875942277</v>
      </c>
      <c r="DO60" s="551">
        <f t="shared" si="46"/>
        <v>3213.5880113181993</v>
      </c>
      <c r="DS60" s="546">
        <f t="shared" si="47"/>
        <v>112</v>
      </c>
      <c r="DT60" s="551">
        <f t="shared" si="48"/>
        <v>123.71791482634838</v>
      </c>
      <c r="DU60" s="553">
        <f>DT60/PI()*SQRT('Hilfstabellen_Mat&amp;Bem'!f.Rd.3/'Hilfstabellen_Mat&amp;Bem'!$BD$30)</f>
        <v>1.9690317693635433</v>
      </c>
      <c r="DV60" s="553">
        <f>0.5*(1+'Hilfstabellen_Mat&amp;Bem'!$BD$31*(DU60-0.3)+DU60^2)</f>
        <v>2.52199464284964</v>
      </c>
      <c r="DW60" s="550">
        <f t="shared" si="49"/>
        <v>0.2440294470395899</v>
      </c>
      <c r="DY60" s="551">
        <f t="shared" si="50"/>
        <v>3061.1053836646156</v>
      </c>
      <c r="EC60" s="546">
        <f t="shared" si="51"/>
        <v>112</v>
      </c>
      <c r="ED60" s="551">
        <f t="shared" si="52"/>
        <v>126.81086269700707</v>
      </c>
      <c r="EE60" s="553">
        <f>ED60/PI()*SQRT('Hilfstabellen_Mat&amp;Bem'!f.Rd.3/'Hilfstabellen_Mat&amp;Bem'!$BD$30)</f>
        <v>2.0182575635976314</v>
      </c>
      <c r="EF60" s="553">
        <f>0.5*(1+'Hilfstabellen_Mat&amp;Bem'!$BD$31*(EE60-0.3)+EE60^2)</f>
        <v>2.6225946746894051</v>
      </c>
      <c r="EG60" s="550">
        <f t="shared" si="53"/>
        <v>0.23270423501281146</v>
      </c>
      <c r="EI60" s="551">
        <f t="shared" si="54"/>
        <v>2919.0419240007068</v>
      </c>
      <c r="EM60" s="546">
        <f t="shared" si="55"/>
        <v>112</v>
      </c>
      <c r="EN60" s="551">
        <f t="shared" si="56"/>
        <v>129.9038105676658</v>
      </c>
      <c r="EO60" s="553">
        <f>EN60/PI()*SQRT('Hilfstabellen_Mat&amp;Bem'!f.Rd.3/'Hilfstabellen_Mat&amp;Bem'!$BD$30)</f>
        <v>2.0674833578317204</v>
      </c>
      <c r="EP60" s="553">
        <f>0.5*(1+'Hilfstabellen_Mat&amp;Bem'!$BD$31*(EO60-0.3)+EO60^2)</f>
        <v>2.7256178853471487</v>
      </c>
      <c r="EQ60" s="550">
        <f t="shared" si="57"/>
        <v>0.22213777898364473</v>
      </c>
      <c r="ES60" s="551">
        <f t="shared" si="58"/>
        <v>2786.4962995708393</v>
      </c>
    </row>
    <row r="61" spans="3:149">
      <c r="C61" s="546">
        <v>113</v>
      </c>
      <c r="D61" s="551">
        <f t="shared" si="6"/>
        <v>85.836146215802756</v>
      </c>
      <c r="E61" s="553">
        <f>$D61/PI()*SQRT('Hilfstabellen_Mat&amp;Bem'!f.Rd.3/'Hilfstabellen_Mat&amp;Bem'!$BD$30)</f>
        <v>1.3661246966203695</v>
      </c>
      <c r="F61" s="553">
        <f>0.5*(1+'Hilfstabellen_Mat&amp;Bem'!$BD$31*($E61-0.3)+$E61^2)</f>
        <v>1.4864545781890668</v>
      </c>
      <c r="G61" s="550">
        <f t="shared" si="7"/>
        <v>0.48254852621369348</v>
      </c>
      <c r="I61" s="551">
        <f t="shared" si="8"/>
        <v>6161.6621312226525</v>
      </c>
      <c r="M61" s="546">
        <f t="shared" si="9"/>
        <v>113</v>
      </c>
      <c r="N61" s="551">
        <f t="shared" si="0"/>
        <v>88.901722866367152</v>
      </c>
      <c r="O61" s="553">
        <f>$N61/PI()*SQRT('Hilfstabellen_Mat&amp;Bem'!f.Rd.3/'Hilfstabellen_Mat&amp;Bem'!$BD$30)</f>
        <v>1.4149148643568115</v>
      </c>
      <c r="P61" s="553">
        <f>0.5*(1+'Hilfstabellen_Mat&amp;Bem'!$BD$31*($O61-0.3)+$O61^2)</f>
        <v>1.5567377799067676</v>
      </c>
      <c r="Q61" s="550">
        <f t="shared" si="1"/>
        <v>0.45332387338847008</v>
      </c>
      <c r="S61" s="551">
        <f t="shared" si="10"/>
        <v>5788.4925392973746</v>
      </c>
      <c r="W61" s="546">
        <f t="shared" si="11"/>
        <v>113</v>
      </c>
      <c r="X61" s="551">
        <f t="shared" si="2"/>
        <v>91.967299516931533</v>
      </c>
      <c r="Y61" s="553">
        <f>$X61/PI()*SQRT('Hilfstabellen_Mat&amp;Bem'!f.Rd.3/'Hilfstabellen_Mat&amp;Bem'!$BD$30)</f>
        <v>1.4637050320932534</v>
      </c>
      <c r="Z61" s="553">
        <f>0.5*(1+'Hilfstabellen_Mat&amp;Bem'!$BD$31*($Y61-0.3)+$Y61^2)</f>
        <v>1.6294014620922188</v>
      </c>
      <c r="AA61" s="550">
        <f t="shared" si="3"/>
        <v>0.42638392404570713</v>
      </c>
      <c r="AC61" s="551">
        <f t="shared" si="12"/>
        <v>5444.4963261396342</v>
      </c>
      <c r="AG61" s="546">
        <f t="shared" si="13"/>
        <v>113</v>
      </c>
      <c r="AH61" s="551">
        <f t="shared" si="4"/>
        <v>95.032876167495914</v>
      </c>
      <c r="AI61" s="553">
        <f>$AH61/PI()*SQRT('Hilfstabellen_Mat&amp;Bem'!f.Rd.3/'Hilfstabellen_Mat&amp;Bem'!$BD$30)</f>
        <v>1.5124951998296949</v>
      </c>
      <c r="AJ61" s="553">
        <f>0.5*(1+'Hilfstabellen_Mat&amp;Bem'!$BD$31*($AI61-0.3)+$AI61^2)</f>
        <v>1.7044456247454192</v>
      </c>
      <c r="AK61" s="550">
        <f t="shared" si="5"/>
        <v>0.40156563152453556</v>
      </c>
      <c r="AM61" s="551">
        <f t="shared" si="14"/>
        <v>5127.5915489367944</v>
      </c>
      <c r="AQ61" s="546">
        <f t="shared" si="15"/>
        <v>113</v>
      </c>
      <c r="AR61" s="551">
        <f t="shared" si="16"/>
        <v>98.098452818060309</v>
      </c>
      <c r="AS61" s="553">
        <f>$AR61/PI()*SQRT('Hilfstabellen_Mat&amp;Bem'!f.Rd.3/'Hilfstabellen_Mat&amp;Bem'!$BD$30)</f>
        <v>1.5612853675661369</v>
      </c>
      <c r="AT61" s="553">
        <f>0.5*(1+'Hilfstabellen_Mat&amp;Bem'!$BD$31*($AS61-0.3)+$AS61^2)</f>
        <v>1.7818702678663705</v>
      </c>
      <c r="AU61" s="550">
        <f t="shared" si="17"/>
        <v>0.37869906298412187</v>
      </c>
      <c r="AW61" s="551">
        <f t="shared" si="18"/>
        <v>4835.608335244252</v>
      </c>
      <c r="BA61" s="546">
        <f t="shared" si="19"/>
        <v>113</v>
      </c>
      <c r="BB61" s="551">
        <f t="shared" si="20"/>
        <v>101.16402946862469</v>
      </c>
      <c r="BC61" s="553">
        <f>$BB61/PI()*SQRT('Hilfstabellen_Mat&amp;Bem'!f.Rd.3/'Hilfstabellen_Mat&amp;Bem'!$BD$30)</f>
        <v>1.6100755353025786</v>
      </c>
      <c r="BD61" s="553">
        <f>0.5*(1+'Hilfstabellen_Mat&amp;Bem'!$BD$31*($BC61-0.3)+$BC61^2)</f>
        <v>1.8616753914550714</v>
      </c>
      <c r="BE61" s="550">
        <f t="shared" si="21"/>
        <v>0.3576175499025579</v>
      </c>
      <c r="BG61" s="551">
        <f t="shared" si="22"/>
        <v>4566.418494705762</v>
      </c>
      <c r="BK61" s="546">
        <f t="shared" si="23"/>
        <v>113</v>
      </c>
      <c r="BL61" s="551">
        <f t="shared" si="24"/>
        <v>104.22960611918907</v>
      </c>
      <c r="BM61" s="553">
        <f>$BL61/PI()*SQRT('Hilfstabellen_Mat&amp;Bem'!f.Rd.3/'Hilfstabellen_Mat&amp;Bem'!$BD$30)</f>
        <v>1.6588657030390204</v>
      </c>
      <c r="BN61" s="553">
        <f>0.5*(1+'Hilfstabellen_Mat&amp;Bem'!$BD$31*($BM61-0.3)+$BM61^2)</f>
        <v>1.9438609955115227</v>
      </c>
      <c r="BO61" s="550">
        <f t="shared" si="25"/>
        <v>0.3381631216377845</v>
      </c>
      <c r="BQ61" s="551">
        <f t="shared" si="26"/>
        <v>4318.0049001928701</v>
      </c>
      <c r="BU61" s="546">
        <f t="shared" si="27"/>
        <v>113</v>
      </c>
      <c r="BV61" s="551">
        <f t="shared" si="28"/>
        <v>107.29518276975345</v>
      </c>
      <c r="BW61" s="553">
        <f>$BV61/PI()*SQRT('Hilfstabellen_Mat&amp;Bem'!f.Rd.3/'Hilfstabellen_Mat&amp;Bem'!$BD$30)</f>
        <v>1.7076558707754623</v>
      </c>
      <c r="BX61" s="553">
        <f>0.5*(1+'Hilfstabellen_Mat&amp;Bem'!$BD$31*($BW61-0.3)+$BW61^2)</f>
        <v>2.0284270800357245</v>
      </c>
      <c r="BY61" s="550">
        <f t="shared" si="29"/>
        <v>0.32018910388651939</v>
      </c>
      <c r="CA61" s="551">
        <f t="shared" si="30"/>
        <v>4088.4946675269662</v>
      </c>
      <c r="CE61" s="546">
        <f t="shared" si="31"/>
        <v>113</v>
      </c>
      <c r="CF61" s="551">
        <f t="shared" si="32"/>
        <v>110.36075942031783</v>
      </c>
      <c r="CG61" s="553">
        <f>CF61/PI()*SQRT('Hilfstabellen_Mat&amp;Bem'!f.Rd.3/'Hilfstabellen_Mat&amp;Bem'!$BD$30)</f>
        <v>1.7564460385119038</v>
      </c>
      <c r="CH61" s="553">
        <f>0.5*(1+'Hilfstabellen_Mat&amp;Bem'!$BD$31*(CG61-0.3)+CG61^2)</f>
        <v>2.1153736450276752</v>
      </c>
      <c r="CI61" s="550">
        <f t="shared" si="33"/>
        <v>0.30356104893200542</v>
      </c>
      <c r="CK61" s="551">
        <f t="shared" si="34"/>
        <v>3876.1710338127773</v>
      </c>
      <c r="CO61" s="546">
        <f t="shared" si="35"/>
        <v>113</v>
      </c>
      <c r="CP61" s="551">
        <f t="shared" si="36"/>
        <v>113.42633607088221</v>
      </c>
      <c r="CQ61" s="553">
        <f>CP61/PI()*SQRT('Hilfstabellen_Mat&amp;Bem'!f.Rd.3/'Hilfstabellen_Mat&amp;Bem'!$BD$30)</f>
        <v>1.8052362062483454</v>
      </c>
      <c r="CR61" s="553">
        <f>0.5*(1+'Hilfstabellen_Mat&amp;Bem'!$BD$31*(CQ61-0.3)+CQ61^2)</f>
        <v>2.2047006904873765</v>
      </c>
      <c r="CS61" s="550">
        <f t="shared" si="37"/>
        <v>0.2881567117562765</v>
      </c>
      <c r="CU61" s="551">
        <f t="shared" si="38"/>
        <v>3679.4730524158945</v>
      </c>
      <c r="CY61" s="546">
        <f t="shared" si="39"/>
        <v>113</v>
      </c>
      <c r="CZ61" s="551">
        <f t="shared" si="40"/>
        <v>116.49191272144661</v>
      </c>
      <c r="DA61" s="553">
        <f>CZ61/PI()*SQRT('Hilfstabellen_Mat&amp;Bem'!f.Rd.3/'Hilfstabellen_Mat&amp;Bem'!$BD$30)</f>
        <v>1.8540263739847873</v>
      </c>
      <c r="DB61" s="553">
        <f>0.5*(1+'Hilfstabellen_Mat&amp;Bem'!$BD$31*(DA61-0.3)+DA61^2)</f>
        <v>2.2964082164148287</v>
      </c>
      <c r="DC61" s="550">
        <f t="shared" si="41"/>
        <v>0.27386550497526158</v>
      </c>
      <c r="DE61" s="551">
        <f t="shared" si="42"/>
        <v>3496.9886330291151</v>
      </c>
      <c r="DI61" s="546">
        <f t="shared" si="43"/>
        <v>113</v>
      </c>
      <c r="DJ61" s="551">
        <f t="shared" si="44"/>
        <v>119.55748937201101</v>
      </c>
      <c r="DK61" s="553">
        <f>DJ61/PI()*SQRT('Hilfstabellen_Mat&amp;Bem'!f.Rd.3/'Hilfstabellen_Mat&amp;Bem'!$BD$30)</f>
        <v>1.9028165417212293</v>
      </c>
      <c r="DL61" s="553">
        <f>0.5*(1+'Hilfstabellen_Mat&amp;Bem'!$BD$31*(DK61-0.3)+DK61^2)</f>
        <v>2.3904962228100306</v>
      </c>
      <c r="DM61" s="550">
        <f t="shared" si="45"/>
        <v>0.26058769262018366</v>
      </c>
      <c r="DO61" s="551">
        <f t="shared" si="46"/>
        <v>3327.4442470671252</v>
      </c>
      <c r="DS61" s="546">
        <f t="shared" si="47"/>
        <v>113</v>
      </c>
      <c r="DT61" s="551">
        <f t="shared" si="48"/>
        <v>122.62306602257537</v>
      </c>
      <c r="DU61" s="553">
        <f>DT61/PI()*SQRT('Hilfstabellen_Mat&amp;Bem'!f.Rd.3/'Hilfstabellen_Mat&amp;Bem'!$BD$30)</f>
        <v>1.951606709457671</v>
      </c>
      <c r="DV61" s="553">
        <f>0.5*(1+'Hilfstabellen_Mat&amp;Bem'!$BD$31*(DU61-0.3)+DU61^2)</f>
        <v>2.486964709672983</v>
      </c>
      <c r="DW61" s="550">
        <f t="shared" si="49"/>
        <v>0.24823347684347405</v>
      </c>
      <c r="DY61" s="551">
        <f t="shared" si="50"/>
        <v>3169.6932658143201</v>
      </c>
      <c r="EC61" s="546">
        <f t="shared" si="51"/>
        <v>113</v>
      </c>
      <c r="ED61" s="551">
        <f t="shared" si="52"/>
        <v>125.68864267313977</v>
      </c>
      <c r="EE61" s="553">
        <f>ED61/PI()*SQRT('Hilfstabellen_Mat&amp;Bem'!f.Rd.3/'Hilfstabellen_Mat&amp;Bem'!$BD$30)</f>
        <v>2.0003968771941127</v>
      </c>
      <c r="EF61" s="553">
        <f>0.5*(1+'Hilfstabellen_Mat&amp;Bem'!$BD$31*(EE61-0.3)+EE61^2)</f>
        <v>2.5858136770036846</v>
      </c>
      <c r="EG61" s="550">
        <f t="shared" si="53"/>
        <v>0.23672206688266273</v>
      </c>
      <c r="EI61" s="551">
        <f t="shared" si="54"/>
        <v>3022.7040720247205</v>
      </c>
      <c r="EM61" s="546">
        <f t="shared" si="55"/>
        <v>113</v>
      </c>
      <c r="EN61" s="551">
        <f t="shared" si="56"/>
        <v>128.75421932370415</v>
      </c>
      <c r="EO61" s="553">
        <f>EN61/PI()*SQRT('Hilfstabellen_Mat&amp;Bem'!f.Rd.3/'Hilfstabellen_Mat&amp;Bem'!$BD$30)</f>
        <v>2.0491870449305547</v>
      </c>
      <c r="EP61" s="553">
        <f>0.5*(1+'Hilfstabellen_Mat&amp;Bem'!$BD$31*(EO61-0.3)+EO61^2)</f>
        <v>2.6870431248021376</v>
      </c>
      <c r="EQ61" s="550">
        <f t="shared" si="57"/>
        <v>0.22598078017155437</v>
      </c>
      <c r="ES61" s="551">
        <f t="shared" si="58"/>
        <v>2885.5485820105778</v>
      </c>
    </row>
    <row r="62" spans="3:149">
      <c r="C62" s="546">
        <v>114</v>
      </c>
      <c r="D62" s="551">
        <f t="shared" si="6"/>
        <v>85.083197564786957</v>
      </c>
      <c r="E62" s="553">
        <f>$D62/PI()*SQRT('Hilfstabellen_Mat&amp;Bem'!f.Rd.3/'Hilfstabellen_Mat&amp;Bem'!$BD$30)</f>
        <v>1.3541411466500157</v>
      </c>
      <c r="F62" s="553">
        <f>0.5*(1+'Hilfstabellen_Mat&amp;Bem'!$BD$31*($E62-0.3)+$E62^2)</f>
        <v>1.4695561798578105</v>
      </c>
      <c r="G62" s="550">
        <f t="shared" si="7"/>
        <v>0.49009273202854114</v>
      </c>
      <c r="I62" s="551">
        <f t="shared" si="8"/>
        <v>6369.2451454429211</v>
      </c>
      <c r="M62" s="546">
        <f t="shared" si="9"/>
        <v>114</v>
      </c>
      <c r="N62" s="551">
        <f t="shared" si="0"/>
        <v>88.121883192100768</v>
      </c>
      <c r="O62" s="553">
        <f>$N62/PI()*SQRT('Hilfstabellen_Mat&amp;Bem'!f.Rd.3/'Hilfstabellen_Mat&amp;Bem'!$BD$30)</f>
        <v>1.4025033304589447</v>
      </c>
      <c r="P62" s="553">
        <f>0.5*(1+'Hilfstabellen_Mat&amp;Bem'!$BD$31*($O62-0.3)+$O62^2)</f>
        <v>1.5386329624971631</v>
      </c>
      <c r="Q62" s="550">
        <f t="shared" si="1"/>
        <v>0.46053544612386083</v>
      </c>
      <c r="S62" s="551">
        <f t="shared" si="10"/>
        <v>5985.1186578256957</v>
      </c>
      <c r="W62" s="546">
        <f t="shared" si="11"/>
        <v>114</v>
      </c>
      <c r="X62" s="551">
        <f t="shared" si="2"/>
        <v>91.160568819414578</v>
      </c>
      <c r="Y62" s="553">
        <f>$X62/PI()*SQRT('Hilfstabellen_Mat&amp;Bem'!f.Rd.3/'Hilfstabellen_Mat&amp;Bem'!$BD$30)</f>
        <v>1.4508655142678737</v>
      </c>
      <c r="Z62" s="553">
        <f>0.5*(1+'Hilfstabellen_Mat&amp;Bem'!$BD$31*($Y62-0.3)+$Y62^2)</f>
        <v>1.6100486459592847</v>
      </c>
      <c r="AA62" s="550">
        <f t="shared" si="3"/>
        <v>0.43326079691640668</v>
      </c>
      <c r="AC62" s="551">
        <f t="shared" si="12"/>
        <v>5630.6573167256211</v>
      </c>
      <c r="AG62" s="546">
        <f t="shared" si="13"/>
        <v>114</v>
      </c>
      <c r="AH62" s="551">
        <f t="shared" si="4"/>
        <v>94.199254446728403</v>
      </c>
      <c r="AI62" s="553">
        <f>$AH62/PI()*SQRT('Hilfstabellen_Mat&amp;Bem'!f.Rd.3/'Hilfstabellen_Mat&amp;Bem'!$BD$30)</f>
        <v>1.4992276980768029</v>
      </c>
      <c r="AJ62" s="553">
        <f>0.5*(1+'Hilfstabellen_Mat&amp;Bem'!$BD$31*($AI62-0.3)+$AI62^2)</f>
        <v>1.683803230244175</v>
      </c>
      <c r="AK62" s="550">
        <f t="shared" si="5"/>
        <v>0.40811412564272487</v>
      </c>
      <c r="AM62" s="551">
        <f t="shared" si="14"/>
        <v>5303.8511768528524</v>
      </c>
      <c r="AQ62" s="546">
        <f t="shared" si="15"/>
        <v>114</v>
      </c>
      <c r="AR62" s="551">
        <f t="shared" si="16"/>
        <v>97.237940074042228</v>
      </c>
      <c r="AS62" s="553">
        <f>$AR62/PI()*SQRT('Hilfstabellen_Mat&amp;Bem'!f.Rd.3/'Hilfstabellen_Mat&amp;Bem'!$BD$30)</f>
        <v>1.5475898818857321</v>
      </c>
      <c r="AT62" s="553">
        <f>0.5*(1+'Hilfstabellen_Mat&amp;Bem'!$BD$31*($AS62-0.3)+$AS62^2)</f>
        <v>1.7598967153518337</v>
      </c>
      <c r="AU62" s="550">
        <f t="shared" si="17"/>
        <v>0.3849304858973977</v>
      </c>
      <c r="AW62" s="551">
        <f t="shared" si="18"/>
        <v>5002.5565947225805</v>
      </c>
      <c r="BA62" s="546">
        <f t="shared" si="19"/>
        <v>114</v>
      </c>
      <c r="BB62" s="551">
        <f t="shared" si="20"/>
        <v>100.27662570135604</v>
      </c>
      <c r="BC62" s="553">
        <f>$BB62/PI()*SQRT('Hilfstabellen_Mat&amp;Bem'!f.Rd.3/'Hilfstabellen_Mat&amp;Bem'!$BD$30)</f>
        <v>1.5959520656946611</v>
      </c>
      <c r="BD62" s="553">
        <f>0.5*(1+'Hilfstabellen_Mat&amp;Bem'!$BD$31*($BC62-0.3)+$BC62^2)</f>
        <v>1.8383291012822609</v>
      </c>
      <c r="BE62" s="550">
        <f t="shared" si="21"/>
        <v>0.36354598131940252</v>
      </c>
      <c r="BG62" s="551">
        <f t="shared" si="22"/>
        <v>4724.6435732269556</v>
      </c>
      <c r="BK62" s="546">
        <f t="shared" si="23"/>
        <v>114</v>
      </c>
      <c r="BL62" s="551">
        <f t="shared" si="24"/>
        <v>103.31531132866986</v>
      </c>
      <c r="BM62" s="553">
        <f>$BL62/PI()*SQRT('Hilfstabellen_Mat&amp;Bem'!f.Rd.3/'Hilfstabellen_Mat&amp;Bem'!$BD$30)</f>
        <v>1.6443142495035905</v>
      </c>
      <c r="BN62" s="553">
        <f>0.5*(1+'Hilfstabellen_Mat&amp;Bem'!$BD$31*($BM62-0.3)+$BM62^2)</f>
        <v>1.9191003880354576</v>
      </c>
      <c r="BO62" s="550">
        <f t="shared" si="25"/>
        <v>0.34380398802287399</v>
      </c>
      <c r="BQ62" s="551">
        <f t="shared" si="26"/>
        <v>4468.0766283452704</v>
      </c>
      <c r="BU62" s="546">
        <f t="shared" si="27"/>
        <v>114</v>
      </c>
      <c r="BV62" s="551">
        <f t="shared" si="28"/>
        <v>106.35399695598369</v>
      </c>
      <c r="BW62" s="553">
        <f>$BV62/PI()*SQRT('Hilfstabellen_Mat&amp;Bem'!f.Rd.3/'Hilfstabellen_Mat&amp;Bem'!$BD$30)</f>
        <v>1.6926764333125197</v>
      </c>
      <c r="BX62" s="553">
        <f>0.5*(1+'Hilfstabellen_Mat&amp;Bem'!$BD$31*($BW62-0.3)+$BW62^2)</f>
        <v>2.0022105756114223</v>
      </c>
      <c r="BY62" s="550">
        <f t="shared" si="29"/>
        <v>0.32555827182735481</v>
      </c>
      <c r="CA62" s="551">
        <f t="shared" si="30"/>
        <v>4230.9553006683027</v>
      </c>
      <c r="CE62" s="546">
        <f t="shared" si="31"/>
        <v>114</v>
      </c>
      <c r="CF62" s="551">
        <f t="shared" si="32"/>
        <v>109.3926825832975</v>
      </c>
      <c r="CG62" s="553">
        <f>CF62/PI()*SQRT('Hilfstabellen_Mat&amp;Bem'!f.Rd.3/'Hilfstabellen_Mat&amp;Bem'!$BD$30)</f>
        <v>1.7410386171214485</v>
      </c>
      <c r="CH62" s="553">
        <f>0.5*(1+'Hilfstabellen_Mat&amp;Bem'!$BD$31*(CG62-0.3)+CG62^2)</f>
        <v>2.0876596640101552</v>
      </c>
      <c r="CI62" s="550">
        <f t="shared" si="33"/>
        <v>0.30867425820666311</v>
      </c>
      <c r="CK62" s="551">
        <f t="shared" si="34"/>
        <v>4011.5306596537939</v>
      </c>
      <c r="CO62" s="546">
        <f t="shared" si="35"/>
        <v>114</v>
      </c>
      <c r="CP62" s="551">
        <f t="shared" si="36"/>
        <v>112.43136821061132</v>
      </c>
      <c r="CQ62" s="553">
        <f>CP62/PI()*SQRT('Hilfstabellen_Mat&amp;Bem'!f.Rd.3/'Hilfstabellen_Mat&amp;Bem'!$BD$30)</f>
        <v>1.7894008009303777</v>
      </c>
      <c r="CR62" s="553">
        <f>0.5*(1+'Hilfstabellen_Mat&amp;Bem'!$BD$31*(CQ62-0.3)+CQ62^2)</f>
        <v>2.1754476532316573</v>
      </c>
      <c r="CS62" s="550">
        <f t="shared" si="37"/>
        <v>0.29302923043949625</v>
      </c>
      <c r="CU62" s="551">
        <f t="shared" si="38"/>
        <v>3808.207878791693</v>
      </c>
      <c r="CY62" s="546">
        <f t="shared" si="39"/>
        <v>114</v>
      </c>
      <c r="CZ62" s="551">
        <f t="shared" si="40"/>
        <v>115.47005383792515</v>
      </c>
      <c r="DA62" s="553">
        <f>CZ62/PI()*SQRT('Hilfstabellen_Mat&amp;Bem'!f.Rd.3/'Hilfstabellen_Mat&amp;Bem'!$BD$30)</f>
        <v>1.8377629847393071</v>
      </c>
      <c r="DB62" s="553">
        <f>0.5*(1+'Hilfstabellen_Mat&amp;Bem'!$BD$31*(DA62-0.3)+DA62^2)</f>
        <v>2.2655745432759287</v>
      </c>
      <c r="DC62" s="550">
        <f t="shared" si="41"/>
        <v>0.27851192942466541</v>
      </c>
      <c r="DE62" s="551">
        <f t="shared" si="42"/>
        <v>3619.5410348029518</v>
      </c>
      <c r="DI62" s="546">
        <f t="shared" si="43"/>
        <v>114</v>
      </c>
      <c r="DJ62" s="551">
        <f t="shared" si="44"/>
        <v>118.50873946523896</v>
      </c>
      <c r="DK62" s="553">
        <f>DJ62/PI()*SQRT('Hilfstabellen_Mat&amp;Bem'!f.Rd.3/'Hilfstabellen_Mat&amp;Bem'!$BD$30)</f>
        <v>1.8861251685482359</v>
      </c>
      <c r="DL62" s="553">
        <f>0.5*(1+'Hilfstabellen_Mat&amp;Bem'!$BD$31*(DK62-0.3)+DK62^2)</f>
        <v>2.3580403341429674</v>
      </c>
      <c r="DM62" s="550">
        <f t="shared" si="45"/>
        <v>0.26502184167424281</v>
      </c>
      <c r="DO62" s="551">
        <f t="shared" si="46"/>
        <v>3444.2238543984595</v>
      </c>
      <c r="DS62" s="546">
        <f t="shared" si="47"/>
        <v>114</v>
      </c>
      <c r="DT62" s="551">
        <f t="shared" si="48"/>
        <v>121.5474250925528</v>
      </c>
      <c r="DU62" s="553">
        <f>DT62/PI()*SQRT('Hilfstabellen_Mat&amp;Bem'!f.Rd.3/'Hilfstabellen_Mat&amp;Bem'!$BD$30)</f>
        <v>1.9344873523571655</v>
      </c>
      <c r="DV62" s="553">
        <f>0.5*(1+'Hilfstabellen_Mat&amp;Bem'!$BD$31*(DU62-0.3)+DU62^2)</f>
        <v>2.4528450258327763</v>
      </c>
      <c r="DW62" s="550">
        <f t="shared" si="49"/>
        <v>0.25246834686527769</v>
      </c>
      <c r="DY62" s="551">
        <f t="shared" si="50"/>
        <v>3281.078635861149</v>
      </c>
      <c r="EC62" s="546">
        <f t="shared" si="51"/>
        <v>114</v>
      </c>
      <c r="ED62" s="551">
        <f t="shared" si="52"/>
        <v>124.5861107198666</v>
      </c>
      <c r="EE62" s="553">
        <f>ED62/PI()*SQRT('Hilfstabellen_Mat&amp;Bem'!f.Rd.3/'Hilfstabellen_Mat&amp;Bem'!$BD$30)</f>
        <v>1.9828495361660943</v>
      </c>
      <c r="EF62" s="553">
        <f>0.5*(1+'Hilfstabellen_Mat&amp;Bem'!$BD$31*(EE62-0.3)+EE62^2)</f>
        <v>2.5499886183453526</v>
      </c>
      <c r="EG62" s="550">
        <f t="shared" si="53"/>
        <v>0.24076982561421789</v>
      </c>
      <c r="EI62" s="551">
        <f t="shared" si="54"/>
        <v>3129.0446536823756</v>
      </c>
      <c r="EM62" s="546">
        <f t="shared" si="55"/>
        <v>114</v>
      </c>
      <c r="EN62" s="551">
        <f t="shared" si="56"/>
        <v>127.62479634718044</v>
      </c>
      <c r="EO62" s="553">
        <f>EN62/PI()*SQRT('Hilfstabellen_Mat&amp;Bem'!f.Rd.3/'Hilfstabellen_Mat&amp;Bem'!$BD$30)</f>
        <v>2.0312117199750235</v>
      </c>
      <c r="EP62" s="553">
        <f>0.5*(1+'Hilfstabellen_Mat&amp;Bem'!$BD$31*(EO62-0.3)+EO62^2)</f>
        <v>2.6494711116806977</v>
      </c>
      <c r="EQ62" s="550">
        <f t="shared" si="57"/>
        <v>0.22985278481662202</v>
      </c>
      <c r="ES62" s="551">
        <f t="shared" si="58"/>
        <v>2987.16679147682</v>
      </c>
    </row>
    <row r="63" spans="3:149">
      <c r="C63" s="546">
        <v>115</v>
      </c>
      <c r="D63" s="551">
        <f t="shared" si="6"/>
        <v>84.343343672919247</v>
      </c>
      <c r="E63" s="553">
        <f>$D63/PI()*SQRT('Hilfstabellen_Mat&amp;Bem'!f.Rd.3/'Hilfstabellen_Mat&amp;Bem'!$BD$30)</f>
        <v>1.3423660062443634</v>
      </c>
      <c r="F63" s="553">
        <f>0.5*(1+'Hilfstabellen_Mat&amp;Bem'!$BD$31*($E63-0.3)+$E63^2)</f>
        <v>1.4530915476724395</v>
      </c>
      <c r="G63" s="550">
        <f t="shared" si="7"/>
        <v>0.49764998496337065</v>
      </c>
      <c r="I63" s="551">
        <f t="shared" si="8"/>
        <v>6581.4210511405772</v>
      </c>
      <c r="M63" s="546">
        <f t="shared" si="9"/>
        <v>115</v>
      </c>
      <c r="N63" s="551">
        <f t="shared" si="0"/>
        <v>87.355605946952068</v>
      </c>
      <c r="O63" s="553">
        <f>$N63/PI()*SQRT('Hilfstabellen_Mat&amp;Bem'!f.Rd.3/'Hilfstabellen_Mat&amp;Bem'!$BD$30)</f>
        <v>1.3903076493245192</v>
      </c>
      <c r="P63" s="553">
        <f>0.5*(1+'Hilfstabellen_Mat&amp;Bem'!$BD$31*($O63-0.3)+$O63^2)</f>
        <v>1.5209930623513612</v>
      </c>
      <c r="Q63" s="550">
        <f t="shared" si="1"/>
        <v>0.46776816865218362</v>
      </c>
      <c r="S63" s="551">
        <f t="shared" si="10"/>
        <v>6186.2340304251284</v>
      </c>
      <c r="W63" s="546">
        <f t="shared" si="11"/>
        <v>115</v>
      </c>
      <c r="X63" s="551">
        <f t="shared" si="2"/>
        <v>90.367868220984889</v>
      </c>
      <c r="Y63" s="553">
        <f>$X63/PI()*SQRT('Hilfstabellen_Mat&amp;Bem'!f.Rd.3/'Hilfstabellen_Mat&amp;Bem'!$BD$30)</f>
        <v>1.4382492924046748</v>
      </c>
      <c r="Z63" s="553">
        <f>0.5*(1+'Hilfstabellen_Mat&amp;Bem'!$BD$31*($Y63-0.3)+$Y63^2)</f>
        <v>1.5911929781715075</v>
      </c>
      <c r="AA63" s="550">
        <f t="shared" si="3"/>
        <v>0.44016420062294831</v>
      </c>
      <c r="AC63" s="551">
        <f t="shared" si="12"/>
        <v>5821.1715532384915</v>
      </c>
      <c r="AG63" s="546">
        <f t="shared" si="13"/>
        <v>115</v>
      </c>
      <c r="AH63" s="551">
        <f t="shared" si="4"/>
        <v>93.380130495017724</v>
      </c>
      <c r="AI63" s="553">
        <f>$AH63/PI()*SQRT('Hilfstabellen_Mat&amp;Bem'!f.Rd.3/'Hilfstabellen_Mat&amp;Bem'!$BD$30)</f>
        <v>1.4861909354848306</v>
      </c>
      <c r="AJ63" s="553">
        <f>0.5*(1+'Hilfstabellen_Mat&amp;Bem'!$BD$31*($AI63-0.3)+$AI63^2)</f>
        <v>1.6636912951328795</v>
      </c>
      <c r="AK63" s="550">
        <f t="shared" si="5"/>
        <v>0.41469261073282776</v>
      </c>
      <c r="AM63" s="551">
        <f t="shared" si="14"/>
        <v>5484.3097769416472</v>
      </c>
      <c r="AQ63" s="546">
        <f t="shared" si="15"/>
        <v>115</v>
      </c>
      <c r="AR63" s="551">
        <f t="shared" si="16"/>
        <v>96.392392769050559</v>
      </c>
      <c r="AS63" s="553">
        <f>$AR63/PI()*SQRT('Hilfstabellen_Mat&amp;Bem'!f.Rd.3/'Hilfstabellen_Mat&amp;Bem'!$BD$30)</f>
        <v>1.5341325785649866</v>
      </c>
      <c r="AT63" s="553">
        <f>0.5*(1+'Hilfstabellen_Mat&amp;Bem'!$BD$31*($AS63-0.3)+$AS63^2)</f>
        <v>1.7384880132354767</v>
      </c>
      <c r="AU63" s="550">
        <f t="shared" si="17"/>
        <v>0.3911940078311566</v>
      </c>
      <c r="AW63" s="551">
        <f t="shared" si="18"/>
        <v>5173.5407535670456</v>
      </c>
      <c r="BA63" s="546">
        <f t="shared" si="19"/>
        <v>115</v>
      </c>
      <c r="BB63" s="551">
        <f t="shared" si="20"/>
        <v>99.40465504308338</v>
      </c>
      <c r="BC63" s="553">
        <f>$BB63/PI()*SQRT('Hilfstabellen_Mat&amp;Bem'!f.Rd.3/'Hilfstabellen_Mat&amp;Bem'!$BD$30)</f>
        <v>1.5820742216451424</v>
      </c>
      <c r="BD63" s="553">
        <f>0.5*(1+'Hilfstabellen_Mat&amp;Bem'!$BD$31*($BC63-0.3)+$BC63^2)</f>
        <v>1.8155831324792988</v>
      </c>
      <c r="BE63" s="550">
        <f t="shared" si="21"/>
        <v>0.36950766878878122</v>
      </c>
      <c r="BG63" s="551">
        <f t="shared" si="22"/>
        <v>4886.7389197316315</v>
      </c>
      <c r="BK63" s="546">
        <f t="shared" si="23"/>
        <v>115</v>
      </c>
      <c r="BL63" s="551">
        <f t="shared" si="24"/>
        <v>102.41691731711622</v>
      </c>
      <c r="BM63" s="553">
        <f>$BL63/PI()*SQRT('Hilfstabellen_Mat&amp;Bem'!f.Rd.3/'Hilfstabellen_Mat&amp;Bem'!$BD$30)</f>
        <v>1.6300158647252982</v>
      </c>
      <c r="BN63" s="553">
        <f>0.5*(1+'Hilfstabellen_Mat&amp;Bem'!$BD$31*($BM63-0.3)+$BM63^2)</f>
        <v>1.8949766528643457</v>
      </c>
      <c r="BO63" s="550">
        <f t="shared" si="25"/>
        <v>0.34947859913724888</v>
      </c>
      <c r="BQ63" s="551">
        <f t="shared" si="26"/>
        <v>4621.8544735901169</v>
      </c>
      <c r="BU63" s="546">
        <f t="shared" si="27"/>
        <v>115</v>
      </c>
      <c r="BV63" s="551">
        <f t="shared" si="28"/>
        <v>105.42917959114905</v>
      </c>
      <c r="BW63" s="553">
        <f>$BV63/PI()*SQRT('Hilfstabellen_Mat&amp;Bem'!f.Rd.3/'Hilfstabellen_Mat&amp;Bem'!$BD$30)</f>
        <v>1.6779575078054543</v>
      </c>
      <c r="BX63" s="553">
        <f>0.5*(1+'Hilfstabellen_Mat&amp;Bem'!$BD$31*($BW63-0.3)+$BW63^2)</f>
        <v>1.9766685743906183</v>
      </c>
      <c r="BY63" s="550">
        <f t="shared" si="29"/>
        <v>0.33096120464649736</v>
      </c>
      <c r="CA63" s="551">
        <f t="shared" si="30"/>
        <v>4376.9619314499278</v>
      </c>
      <c r="CE63" s="546">
        <f t="shared" si="31"/>
        <v>115</v>
      </c>
      <c r="CF63" s="551">
        <f t="shared" si="32"/>
        <v>108.44144186518187</v>
      </c>
      <c r="CG63" s="553">
        <f>CF63/PI()*SQRT('Hilfstabellen_Mat&amp;Bem'!f.Rd.3/'Hilfstabellen_Mat&amp;Bem'!$BD$30)</f>
        <v>1.7258991508856099</v>
      </c>
      <c r="CH63" s="553">
        <f>0.5*(1+'Hilfstabellen_Mat&amp;Bem'!$BD$31*(CG63-0.3)+CG63^2)</f>
        <v>2.060658897058115</v>
      </c>
      <c r="CI63" s="550">
        <f t="shared" si="33"/>
        <v>0.31382092591355543</v>
      </c>
      <c r="CK63" s="551">
        <f t="shared" si="34"/>
        <v>4150.2817452067702</v>
      </c>
      <c r="CO63" s="546">
        <f t="shared" si="35"/>
        <v>115</v>
      </c>
      <c r="CP63" s="551">
        <f t="shared" si="36"/>
        <v>111.45370413921469</v>
      </c>
      <c r="CQ63" s="553">
        <f>CP63/PI()*SQRT('Hilfstabellen_Mat&amp;Bem'!f.Rd.3/'Hilfstabellen_Mat&amp;Bem'!$BD$30)</f>
        <v>1.7738407939657657</v>
      </c>
      <c r="CR63" s="553">
        <f>0.5*(1+'Hilfstabellen_Mat&amp;Bem'!$BD$31*(CQ63-0.3)+CQ63^2)</f>
        <v>2.146947620866837</v>
      </c>
      <c r="CS63" s="550">
        <f t="shared" si="37"/>
        <v>0.29793467584161559</v>
      </c>
      <c r="CU63" s="551">
        <f t="shared" si="38"/>
        <v>3940.1860880053664</v>
      </c>
      <c r="CY63" s="546">
        <f t="shared" si="39"/>
        <v>115</v>
      </c>
      <c r="CZ63" s="551">
        <f t="shared" si="40"/>
        <v>114.46596641324753</v>
      </c>
      <c r="DA63" s="553">
        <f>CZ63/PI()*SQRT('Hilfstabellen_Mat&amp;Bem'!f.Rd.3/'Hilfstabellen_Mat&amp;Bem'!$BD$30)</f>
        <v>1.8217824370459217</v>
      </c>
      <c r="DB63" s="553">
        <f>0.5*(1+'Hilfstabellen_Mat&amp;Bem'!$BD$31*(DA63-0.3)+DA63^2)</f>
        <v>2.2355347458167847</v>
      </c>
      <c r="DC63" s="550">
        <f t="shared" si="41"/>
        <v>0.28319059629844812</v>
      </c>
      <c r="DE63" s="551">
        <f t="shared" si="42"/>
        <v>3745.1956360469762</v>
      </c>
      <c r="DI63" s="546">
        <f t="shared" si="43"/>
        <v>115</v>
      </c>
      <c r="DJ63" s="551">
        <f t="shared" si="44"/>
        <v>117.47822868728036</v>
      </c>
      <c r="DK63" s="553">
        <f>DJ63/PI()*SQRT('Hilfstabellen_Mat&amp;Bem'!f.Rd.3/'Hilfstabellen_Mat&amp;Bem'!$BD$30)</f>
        <v>1.8697240801260773</v>
      </c>
      <c r="DL63" s="553">
        <f>0.5*(1+'Hilfstabellen_Mat&amp;Bem'!$BD$31*(DK63-0.3)+DK63^2)</f>
        <v>2.3264202719079567</v>
      </c>
      <c r="DM63" s="550">
        <f t="shared" si="45"/>
        <v>0.26948744862253027</v>
      </c>
      <c r="DO63" s="551">
        <f t="shared" si="46"/>
        <v>3563.9715080329629</v>
      </c>
      <c r="DS63" s="546">
        <f t="shared" si="47"/>
        <v>115</v>
      </c>
      <c r="DT63" s="551">
        <f t="shared" si="48"/>
        <v>120.49049096131318</v>
      </c>
      <c r="DU63" s="553">
        <f>DT63/PI()*SQRT('Hilfstabellen_Mat&amp;Bem'!f.Rd.3/'Hilfstabellen_Mat&amp;Bem'!$BD$30)</f>
        <v>1.9176657232062331</v>
      </c>
      <c r="DV63" s="553">
        <f>0.5*(1+'Hilfstabellen_Mat&amp;Bem'!$BD$31*(DU63-0.3)+DU63^2)</f>
        <v>2.4196041991403541</v>
      </c>
      <c r="DW63" s="550">
        <f t="shared" si="49"/>
        <v>0.25673382781317161</v>
      </c>
      <c r="DY63" s="551">
        <f t="shared" si="50"/>
        <v>3395.3048728291947</v>
      </c>
      <c r="EC63" s="546">
        <f t="shared" si="51"/>
        <v>115</v>
      </c>
      <c r="ED63" s="551">
        <f t="shared" si="52"/>
        <v>123.50275323534602</v>
      </c>
      <c r="EE63" s="553">
        <f>ED63/PI()*SQRT('Hilfstabellen_Mat&amp;Bem'!f.Rd.3/'Hilfstabellen_Mat&amp;Bem'!$BD$30)</f>
        <v>1.9656073662863891</v>
      </c>
      <c r="EF63" s="553">
        <f>0.5*(1+'Hilfstabellen_Mat&amp;Bem'!$BD$31*(EE63-0.3)+EE63^2)</f>
        <v>2.5150865275139771</v>
      </c>
      <c r="EG63" s="550">
        <f t="shared" si="53"/>
        <v>0.24484731318598796</v>
      </c>
      <c r="EI63" s="551">
        <f t="shared" si="54"/>
        <v>3238.1057168846905</v>
      </c>
      <c r="EM63" s="546">
        <f t="shared" si="55"/>
        <v>115</v>
      </c>
      <c r="EN63" s="551">
        <f t="shared" si="56"/>
        <v>126.51501550937886</v>
      </c>
      <c r="EO63" s="553">
        <f>EN63/PI()*SQRT('Hilfstabellen_Mat&amp;Bem'!f.Rd.3/'Hilfstabellen_Mat&amp;Bem'!$BD$30)</f>
        <v>2.0135490093665451</v>
      </c>
      <c r="EP63" s="553">
        <f>0.5*(1+'Hilfstabellen_Mat&amp;Bem'!$BD$31*(EO63-0.3)+EO63^2)</f>
        <v>2.6128672570288245</v>
      </c>
      <c r="EQ63" s="550">
        <f t="shared" si="57"/>
        <v>0.23375362082353249</v>
      </c>
      <c r="ES63" s="551">
        <f t="shared" si="58"/>
        <v>3091.3916353912173</v>
      </c>
    </row>
    <row r="64" spans="3:149">
      <c r="C64" s="546">
        <v>116</v>
      </c>
      <c r="D64" s="551">
        <f t="shared" si="6"/>
        <v>83.616245882635454</v>
      </c>
      <c r="E64" s="553">
        <f>$D64/PI()*SQRT('Hilfstabellen_Mat&amp;Bem'!f.Rd.3/'Hilfstabellen_Mat&amp;Bem'!$BD$30)</f>
        <v>1.3307938855008774</v>
      </c>
      <c r="F64" s="553">
        <f>0.5*(1+'Hilfstabellen_Mat&amp;Bem'!$BD$31*($E64-0.3)+$E64^2)</f>
        <v>1.437045877118305</v>
      </c>
      <c r="G64" s="550">
        <f t="shared" si="7"/>
        <v>0.50521760016106154</v>
      </c>
      <c r="I64" s="551">
        <f t="shared" si="8"/>
        <v>6798.2080277672439</v>
      </c>
      <c r="M64" s="546">
        <f t="shared" si="9"/>
        <v>116</v>
      </c>
      <c r="N64" s="551">
        <f t="shared" si="0"/>
        <v>86.602540378443862</v>
      </c>
      <c r="O64" s="553">
        <f>$N64/PI()*SQRT('Hilfstabellen_Mat&amp;Bem'!f.Rd.3/'Hilfstabellen_Mat&amp;Bem'!$BD$30)</f>
        <v>1.3783222385544802</v>
      </c>
      <c r="P64" s="553">
        <f>0.5*(1+'Hilfstabellen_Mat&amp;Bem'!$BD$31*($O64-0.3)+$O64^2)</f>
        <v>1.5038022085746408</v>
      </c>
      <c r="Q64" s="550">
        <f t="shared" si="1"/>
        <v>0.47501995619125226</v>
      </c>
      <c r="S64" s="551">
        <f t="shared" si="10"/>
        <v>6391.8685305094905</v>
      </c>
      <c r="W64" s="546">
        <f t="shared" si="11"/>
        <v>116</v>
      </c>
      <c r="X64" s="551">
        <f t="shared" si="2"/>
        <v>89.588834874252271</v>
      </c>
      <c r="Y64" s="553">
        <f>$X64/PI()*SQRT('Hilfstabellen_Mat&amp;Bem'!f.Rd.3/'Hilfstabellen_Mat&amp;Bem'!$BD$30)</f>
        <v>1.425850591608083</v>
      </c>
      <c r="Z64" s="553">
        <f>0.5*(1+'Hilfstabellen_Mat&amp;Bem'!$BD$31*($Y64-0.3)+$Y64^2)</f>
        <v>1.5728174843749645</v>
      </c>
      <c r="AA64" s="550">
        <f t="shared" si="3"/>
        <v>0.44709250570667469</v>
      </c>
      <c r="AC64" s="551">
        <f t="shared" si="12"/>
        <v>6016.0767567890143</v>
      </c>
      <c r="AG64" s="546">
        <f t="shared" si="13"/>
        <v>116</v>
      </c>
      <c r="AH64" s="551">
        <f t="shared" si="4"/>
        <v>92.575129370060679</v>
      </c>
      <c r="AI64" s="553">
        <f>$AH64/PI()*SQRT('Hilfstabellen_Mat&amp;Bem'!f.Rd.3/'Hilfstabellen_Mat&amp;Bem'!$BD$30)</f>
        <v>1.4733789446616858</v>
      </c>
      <c r="AJ64" s="553">
        <f>0.5*(1+'Hilfstabellen_Mat&amp;Bem'!$BD$31*($AI64-0.3)+$AI64^2)</f>
        <v>1.6440917045192758</v>
      </c>
      <c r="AK64" s="550">
        <f t="shared" si="5"/>
        <v>0.42129980163076985</v>
      </c>
      <c r="AM64" s="551">
        <f t="shared" si="14"/>
        <v>5669.0101307436389</v>
      </c>
      <c r="AQ64" s="546">
        <f t="shared" si="15"/>
        <v>116</v>
      </c>
      <c r="AR64" s="551">
        <f t="shared" si="16"/>
        <v>95.561423865869074</v>
      </c>
      <c r="AS64" s="553">
        <f>$AR64/PI()*SQRT('Hilfstabellen_Mat&amp;Bem'!f.Rd.3/'Hilfstabellen_Mat&amp;Bem'!$BD$30)</f>
        <v>1.5209072977152882</v>
      </c>
      <c r="AT64" s="553">
        <f>0.5*(1+'Hilfstabellen_Mat&amp;Bem'!$BD$31*($AS64-0.3)+$AS64^2)</f>
        <v>1.7176248690075746</v>
      </c>
      <c r="AU64" s="550">
        <f t="shared" si="17"/>
        <v>0.39748860480649884</v>
      </c>
      <c r="AW64" s="551">
        <f t="shared" si="18"/>
        <v>5348.6066662762487</v>
      </c>
      <c r="BA64" s="546">
        <f t="shared" si="19"/>
        <v>116</v>
      </c>
      <c r="BB64" s="551">
        <f t="shared" si="20"/>
        <v>98.547718361677497</v>
      </c>
      <c r="BC64" s="553">
        <f>$BB64/PI()*SQRT('Hilfstabellen_Mat&amp;Bem'!f.Rd.3/'Hilfstabellen_Mat&amp;Bem'!$BD$30)</f>
        <v>1.5684356507688912</v>
      </c>
      <c r="BD64" s="553">
        <f>0.5*(1+'Hilfstabellen_Mat&amp;Bem'!$BD$31*($BC64-0.3)+$BC64^2)</f>
        <v>1.7934169778398621</v>
      </c>
      <c r="BE64" s="550">
        <f t="shared" si="21"/>
        <v>0.37550178783280713</v>
      </c>
      <c r="BG64" s="551">
        <f t="shared" si="22"/>
        <v>5052.7520570782526</v>
      </c>
      <c r="BK64" s="546">
        <f t="shared" si="23"/>
        <v>116</v>
      </c>
      <c r="BL64" s="551">
        <f t="shared" si="24"/>
        <v>101.53401285748591</v>
      </c>
      <c r="BM64" s="553">
        <f>$BL64/PI()*SQRT('Hilfstabellen_Mat&amp;Bem'!f.Rd.3/'Hilfstabellen_Mat&amp;Bem'!$BD$30)</f>
        <v>1.6159640038224941</v>
      </c>
      <c r="BN64" s="553">
        <f>0.5*(1+'Hilfstabellen_Mat&amp;Bem'!$BD$31*($BM64-0.3)+$BM64^2)</f>
        <v>1.8714680310161373</v>
      </c>
      <c r="BO64" s="550">
        <f t="shared" si="25"/>
        <v>0.3551862842229207</v>
      </c>
      <c r="BQ64" s="551">
        <f t="shared" si="26"/>
        <v>4779.3866405036206</v>
      </c>
      <c r="BU64" s="546">
        <f t="shared" si="27"/>
        <v>116</v>
      </c>
      <c r="BV64" s="551">
        <f t="shared" si="28"/>
        <v>104.52030735329431</v>
      </c>
      <c r="BW64" s="553">
        <f>$BV64/PI()*SQRT('Hilfstabellen_Mat&amp;Bem'!f.Rd.3/'Hilfstabellen_Mat&amp;Bem'!$BD$30)</f>
        <v>1.6634923568760969</v>
      </c>
      <c r="BX64" s="553">
        <f>0.5*(1+'Hilfstabellen_Mat&amp;Bem'!$BD$31*($BW64-0.3)+$BW64^2)</f>
        <v>1.9517780285364008</v>
      </c>
      <c r="BY64" s="550">
        <f t="shared" si="29"/>
        <v>0.33639735117009351</v>
      </c>
      <c r="CA64" s="551">
        <f t="shared" si="30"/>
        <v>4526.5627573447782</v>
      </c>
      <c r="CE64" s="546">
        <f t="shared" si="31"/>
        <v>116</v>
      </c>
      <c r="CF64" s="551">
        <f t="shared" si="32"/>
        <v>107.50660184910272</v>
      </c>
      <c r="CG64" s="553">
        <f>CF64/PI()*SQRT('Hilfstabellen_Mat&amp;Bem'!f.Rd.3/'Hilfstabellen_Mat&amp;Bem'!$BD$30)</f>
        <v>1.7110207099296995</v>
      </c>
      <c r="CH64" s="553">
        <f>0.5*(1+'Hilfstabellen_Mat&amp;Bem'!$BD$31*(CG64-0.3)+CG64^2)</f>
        <v>2.0343469704006512</v>
      </c>
      <c r="CI64" s="550">
        <f t="shared" si="33"/>
        <v>0.31900059482699777</v>
      </c>
      <c r="CK64" s="551">
        <f t="shared" si="34"/>
        <v>4292.4720039920821</v>
      </c>
      <c r="CO64" s="546">
        <f t="shared" si="35"/>
        <v>116</v>
      </c>
      <c r="CP64" s="551">
        <f t="shared" si="36"/>
        <v>110.49289634491113</v>
      </c>
      <c r="CQ64" s="553">
        <f>CP64/PI()*SQRT('Hilfstabellen_Mat&amp;Bem'!f.Rd.3/'Hilfstabellen_Mat&amp;Bem'!$BD$30)</f>
        <v>1.7585490629833023</v>
      </c>
      <c r="CR64" s="553">
        <f>0.5*(1+'Hilfstabellen_Mat&amp;Bem'!$BD$31*(CQ64-0.3)+CQ64^2)</f>
        <v>2.1191748566088902</v>
      </c>
      <c r="CS64" s="550">
        <f t="shared" si="37"/>
        <v>0.30287266526800227</v>
      </c>
      <c r="CU64" s="551">
        <f t="shared" si="38"/>
        <v>4075.4545838462386</v>
      </c>
      <c r="CY64" s="546">
        <f t="shared" si="39"/>
        <v>116</v>
      </c>
      <c r="CZ64" s="551">
        <f t="shared" si="40"/>
        <v>113.47919084071955</v>
      </c>
      <c r="DA64" s="553">
        <f>CZ64/PI()*SQRT('Hilfstabellen_Mat&amp;Bem'!f.Rd.3/'Hilfstabellen_Mat&amp;Bem'!$BD$30)</f>
        <v>1.8060774160369051</v>
      </c>
      <c r="DB64" s="553">
        <f>0.5*(1+'Hilfstabellen_Mat&amp;Bem'!$BD$31*(DA64-0.3)+DA64^2)</f>
        <v>2.2062616871611169</v>
      </c>
      <c r="DC64" s="550">
        <f t="shared" si="41"/>
        <v>0.2879011825914457</v>
      </c>
      <c r="DE64" s="551">
        <f t="shared" si="42"/>
        <v>3873.9983129504935</v>
      </c>
      <c r="DI64" s="546">
        <f t="shared" si="43"/>
        <v>116</v>
      </c>
      <c r="DJ64" s="551">
        <f t="shared" si="44"/>
        <v>116.46548533652795</v>
      </c>
      <c r="DK64" s="553">
        <f>DJ64/PI()*SQRT('Hilfstabellen_Mat&amp;Bem'!f.Rd.3/'Hilfstabellen_Mat&amp;Bem'!$BD$30)</f>
        <v>1.8536057690905079</v>
      </c>
      <c r="DL64" s="553">
        <f>0.5*(1+'Hilfstabellen_Mat&amp;Bem'!$BD$31*(DK64-0.3)+DK64^2)</f>
        <v>2.2956074620573319</v>
      </c>
      <c r="DM64" s="550">
        <f t="shared" si="45"/>
        <v>0.27398423869913197</v>
      </c>
      <c r="DO64" s="551">
        <f t="shared" si="46"/>
        <v>3686.7319159355197</v>
      </c>
      <c r="DS64" s="546">
        <f t="shared" si="47"/>
        <v>116</v>
      </c>
      <c r="DT64" s="551">
        <f t="shared" si="48"/>
        <v>119.45177983233637</v>
      </c>
      <c r="DU64" s="553">
        <f>DT64/PI()*SQRT('Hilfstabellen_Mat&amp;Bem'!f.Rd.3/'Hilfstabellen_Mat&amp;Bem'!$BD$30)</f>
        <v>1.9011341221441107</v>
      </c>
      <c r="DV64" s="553">
        <f>0.5*(1+'Hilfstabellen_Mat&amp;Bem'!$BD$31*(DU64-0.3)+DU64^2)</f>
        <v>2.3872121812975347</v>
      </c>
      <c r="DW64" s="550">
        <f t="shared" si="49"/>
        <v>0.26102968424490225</v>
      </c>
      <c r="DY64" s="551">
        <f t="shared" si="50"/>
        <v>3512.4154311994048</v>
      </c>
      <c r="EC64" s="546">
        <f t="shared" si="51"/>
        <v>116</v>
      </c>
      <c r="ED64" s="551">
        <f t="shared" si="52"/>
        <v>122.43807432814476</v>
      </c>
      <c r="EE64" s="553">
        <f>ED64/PI()*SQRT('Hilfstabellen_Mat&amp;Bem'!f.Rd.3/'Hilfstabellen_Mat&amp;Bem'!$BD$30)</f>
        <v>1.9486624751977133</v>
      </c>
      <c r="EF64" s="553">
        <f>0.5*(1+'Hilfstabellen_Mat&amp;Bem'!$BD$31*(EE64-0.3)+EE64^2)</f>
        <v>2.4810758448817252</v>
      </c>
      <c r="EG64" s="550">
        <f t="shared" si="53"/>
        <v>0.24895432647472257</v>
      </c>
      <c r="EI64" s="551">
        <f t="shared" si="54"/>
        <v>3349.929417043867</v>
      </c>
      <c r="EM64" s="546">
        <f t="shared" si="55"/>
        <v>116</v>
      </c>
      <c r="EN64" s="551">
        <f t="shared" si="56"/>
        <v>125.42436882395317</v>
      </c>
      <c r="EO64" s="553">
        <f>EN64/PI()*SQRT('Hilfstabellen_Mat&amp;Bem'!f.Rd.3/'Hilfstabellen_Mat&amp;Bem'!$BD$30)</f>
        <v>1.9961908282513161</v>
      </c>
      <c r="EP64" s="553">
        <f>0.5*(1+'Hilfstabellen_Mat&amp;Bem'!$BD$31*(EO64-0.3)+EO64^2)</f>
        <v>2.5771984528099035</v>
      </c>
      <c r="EQ64" s="550">
        <f t="shared" si="57"/>
        <v>0.23768311183687074</v>
      </c>
      <c r="ES64" s="551">
        <f t="shared" si="58"/>
        <v>3198.2639528769328</v>
      </c>
    </row>
    <row r="65" spans="3:149">
      <c r="C65" s="546">
        <v>117</v>
      </c>
      <c r="D65" s="551">
        <f t="shared" si="6"/>
        <v>82.9015771144078</v>
      </c>
      <c r="E65" s="553">
        <f>$D65/PI()*SQRT('Hilfstabellen_Mat&amp;Bem'!f.Rd.3/'Hilfstabellen_Mat&amp;Bem'!$BD$30)</f>
        <v>1.3194195787871947</v>
      </c>
      <c r="F65" s="553">
        <f>0.5*(1+'Hilfstabellen_Mat&amp;Bem'!$BD$31*($E65-0.3)+$E65^2)</f>
        <v>1.421404991382849</v>
      </c>
      <c r="G65" s="550">
        <f t="shared" si="7"/>
        <v>0.51279279507357522</v>
      </c>
      <c r="I65" s="551">
        <f t="shared" si="8"/>
        <v>7019.6205717621715</v>
      </c>
      <c r="M65" s="546">
        <f t="shared" si="9"/>
        <v>117</v>
      </c>
      <c r="N65" s="551">
        <f t="shared" si="0"/>
        <v>85.862347725636653</v>
      </c>
      <c r="O65" s="553">
        <f>$N65/PI()*SQRT('Hilfstabellen_Mat&amp;Bem'!f.Rd.3/'Hilfstabellen_Mat&amp;Bem'!$BD$30)</f>
        <v>1.3665417066010233</v>
      </c>
      <c r="P65" s="553">
        <f>0.5*(1+'Hilfstabellen_Mat&amp;Bem'!$BD$31*($O65-0.3)+$O65^2)</f>
        <v>1.4870452032700698</v>
      </c>
      <c r="Q65" s="550">
        <f t="shared" si="1"/>
        <v>0.48228864548225564</v>
      </c>
      <c r="S65" s="551">
        <f t="shared" si="10"/>
        <v>6602.0492680065972</v>
      </c>
      <c r="W65" s="546">
        <f t="shared" si="11"/>
        <v>117</v>
      </c>
      <c r="X65" s="551">
        <f t="shared" si="2"/>
        <v>88.823118336865505</v>
      </c>
      <c r="Y65" s="553">
        <f>$X65/PI()*SQRT('Hilfstabellen_Mat&amp;Bem'!f.Rd.3/'Hilfstabellen_Mat&amp;Bem'!$BD$30)</f>
        <v>1.4136638344148516</v>
      </c>
      <c r="Z65" s="553">
        <f>0.5*(1+'Hilfstabellen_Mat&amp;Bem'!$BD$31*($Y65-0.3)+$Y65^2)</f>
        <v>1.5549059100869931</v>
      </c>
      <c r="AA65" s="550">
        <f t="shared" si="3"/>
        <v>0.45404402109541031</v>
      </c>
      <c r="AC65" s="551">
        <f t="shared" si="12"/>
        <v>6215.4086047750716</v>
      </c>
      <c r="AG65" s="546">
        <f t="shared" si="13"/>
        <v>117</v>
      </c>
      <c r="AH65" s="551">
        <f t="shared" si="4"/>
        <v>91.783888948094344</v>
      </c>
      <c r="AI65" s="553">
        <f>$AH65/PI()*SQRT('Hilfstabellen_Mat&amp;Bem'!f.Rd.3/'Hilfstabellen_Mat&amp;Bem'!$BD$30)</f>
        <v>1.4607859622286798</v>
      </c>
      <c r="AJ65" s="553">
        <f>0.5*(1+'Hilfstabellen_Mat&amp;Bem'!$BD$31*($AI65-0.3)+$AI65^2)</f>
        <v>1.624987111833619</v>
      </c>
      <c r="AK65" s="550">
        <f t="shared" si="5"/>
        <v>0.42793436520094014</v>
      </c>
      <c r="AM65" s="551">
        <f t="shared" si="14"/>
        <v>5857.9935252356699</v>
      </c>
      <c r="AQ65" s="546">
        <f t="shared" si="15"/>
        <v>117</v>
      </c>
      <c r="AR65" s="551">
        <f t="shared" si="16"/>
        <v>94.744659559323196</v>
      </c>
      <c r="AS65" s="553">
        <f>$AR65/PI()*SQRT('Hilfstabellen_Mat&amp;Bem'!f.Rd.3/'Hilfstabellen_Mat&amp;Bem'!$BD$30)</f>
        <v>1.5079080900425081</v>
      </c>
      <c r="AT65" s="553">
        <f>0.5*(1+'Hilfstabellen_Mat&amp;Bem'!$BD$31*($AS65-0.3)+$AS65^2)</f>
        <v>1.6972888085099478</v>
      </c>
      <c r="AU65" s="550">
        <f t="shared" si="17"/>
        <v>0.40381321551421906</v>
      </c>
      <c r="AW65" s="551">
        <f t="shared" si="18"/>
        <v>5527.7991071741444</v>
      </c>
      <c r="BA65" s="546">
        <f t="shared" si="19"/>
        <v>117</v>
      </c>
      <c r="BB65" s="551">
        <f t="shared" si="20"/>
        <v>97.705430170552049</v>
      </c>
      <c r="BC65" s="553">
        <f>$BB65/PI()*SQRT('Hilfstabellen_Mat&amp;Bem'!f.Rd.3/'Hilfstabellen_Mat&amp;Bem'!$BD$30)</f>
        <v>1.5550302178563367</v>
      </c>
      <c r="BD65" s="553">
        <f>0.5*(1+'Hilfstabellen_Mat&amp;Bem'!$BD$31*($BC65-0.3)+$BC65^2)</f>
        <v>1.7718110001159797</v>
      </c>
      <c r="BE65" s="550">
        <f t="shared" si="21"/>
        <v>0.38152748481419246</v>
      </c>
      <c r="BG65" s="551">
        <f t="shared" si="22"/>
        <v>5222.7297396214808</v>
      </c>
      <c r="BK65" s="546">
        <f t="shared" si="23"/>
        <v>117</v>
      </c>
      <c r="BL65" s="551">
        <f t="shared" si="24"/>
        <v>100.6662007817809</v>
      </c>
      <c r="BM65" s="553">
        <f>$BL65/PI()*SQRT('Hilfstabellen_Mat&amp;Bem'!f.Rd.3/'Hilfstabellen_Mat&amp;Bem'!$BD$30)</f>
        <v>1.6021523456701652</v>
      </c>
      <c r="BN65" s="553">
        <f>0.5*(1+'Hilfstabellen_Mat&amp;Bem'!$BD$31*($BM65-0.3)+$BM65^2)</f>
        <v>1.8485536866517145</v>
      </c>
      <c r="BO65" s="550">
        <f t="shared" si="25"/>
        <v>0.36092634960518138</v>
      </c>
      <c r="BQ65" s="551">
        <f t="shared" si="26"/>
        <v>4940.7207997453279</v>
      </c>
      <c r="BU65" s="546">
        <f t="shared" si="27"/>
        <v>117</v>
      </c>
      <c r="BV65" s="551">
        <f t="shared" si="28"/>
        <v>103.62697139300975</v>
      </c>
      <c r="BW65" s="553">
        <f>$BV65/PI()*SQRT('Hilfstabellen_Mat&amp;Bem'!f.Rd.3/'Hilfstabellen_Mat&amp;Bem'!$BD$30)</f>
        <v>1.6492744734839935</v>
      </c>
      <c r="BX65" s="553">
        <f>0.5*(1+'Hilfstabellen_Mat&amp;Bem'!$BD$31*($BW65-0.3)+$BW65^2)</f>
        <v>1.9275168681171517</v>
      </c>
      <c r="BY65" s="550">
        <f t="shared" si="29"/>
        <v>0.341866142081305</v>
      </c>
      <c r="CA65" s="551">
        <f t="shared" si="30"/>
        <v>4679.8056189509844</v>
      </c>
      <c r="CE65" s="546">
        <f t="shared" si="31"/>
        <v>117</v>
      </c>
      <c r="CF65" s="551">
        <f t="shared" si="32"/>
        <v>106.58774200423861</v>
      </c>
      <c r="CG65" s="553">
        <f>CF65/PI()*SQRT('Hilfstabellen_Mat&amp;Bem'!f.Rd.3/'Hilfstabellen_Mat&amp;Bem'!$BD$30)</f>
        <v>1.696396601297822</v>
      </c>
      <c r="CH65" s="553">
        <f>0.5*(1+'Hilfstabellen_Mat&amp;Bem'!$BD$31*(CG65-0.3)+CG65^2)</f>
        <v>2.0087005445122919</v>
      </c>
      <c r="CI65" s="550">
        <f t="shared" si="33"/>
        <v>0.32421279324418123</v>
      </c>
      <c r="CK65" s="551">
        <f t="shared" si="34"/>
        <v>4438.1489267195966</v>
      </c>
      <c r="CO65" s="546">
        <f t="shared" si="35"/>
        <v>117</v>
      </c>
      <c r="CP65" s="551">
        <f t="shared" si="36"/>
        <v>109.54851261546744</v>
      </c>
      <c r="CQ65" s="553">
        <f>CP65/PI()*SQRT('Hilfstabellen_Mat&amp;Bem'!f.Rd.3/'Hilfstabellen_Mat&amp;Bem'!$BD$30)</f>
        <v>1.7435187291116501</v>
      </c>
      <c r="CR65" s="553">
        <f>0.5*(1+'Hilfstabellen_Mat&amp;Bem'!$BD$31*(CQ65-0.3)+CQ65^2)</f>
        <v>2.0921047158371344</v>
      </c>
      <c r="CS65" s="550">
        <f t="shared" si="37"/>
        <v>0.30784280437915346</v>
      </c>
      <c r="CU65" s="551">
        <f t="shared" si="38"/>
        <v>4214.0601491462321</v>
      </c>
      <c r="CY65" s="546">
        <f t="shared" si="39"/>
        <v>117</v>
      </c>
      <c r="CZ65" s="551">
        <f t="shared" si="40"/>
        <v>112.5092832266963</v>
      </c>
      <c r="DA65" s="553">
        <f>CZ65/PI()*SQRT('Hilfstabellen_Mat&amp;Bem'!f.Rd.3/'Hilfstabellen_Mat&amp;Bem'!$BD$30)</f>
        <v>1.7906408569254784</v>
      </c>
      <c r="DB65" s="553">
        <f>0.5*(1+'Hilfstabellen_Mat&amp;Bem'!$BD$31*(DA65-0.3)+DA65^2)</f>
        <v>2.1777293820916794</v>
      </c>
      <c r="DC65" s="550">
        <f t="shared" si="41"/>
        <v>0.29264335585735712</v>
      </c>
      <c r="DE65" s="551">
        <f t="shared" si="42"/>
        <v>4005.9948983313616</v>
      </c>
      <c r="DI65" s="546">
        <f t="shared" si="43"/>
        <v>117</v>
      </c>
      <c r="DJ65" s="551">
        <f t="shared" si="44"/>
        <v>115.47005383792515</v>
      </c>
      <c r="DK65" s="553">
        <f>DJ65/PI()*SQRT('Hilfstabellen_Mat&amp;Bem'!f.Rd.3/'Hilfstabellen_Mat&amp;Bem'!$BD$30)</f>
        <v>1.8377629847393071</v>
      </c>
      <c r="DL65" s="553">
        <f>0.5*(1+'Hilfstabellen_Mat&amp;Bem'!$BD$31*(DK65-0.3)+DK65^2)</f>
        <v>2.2655745432759287</v>
      </c>
      <c r="DM65" s="550">
        <f t="shared" si="45"/>
        <v>0.27851192942466541</v>
      </c>
      <c r="DO65" s="551">
        <f t="shared" si="46"/>
        <v>3812.5498018942449</v>
      </c>
      <c r="DS65" s="546">
        <f t="shared" si="47"/>
        <v>117</v>
      </c>
      <c r="DT65" s="551">
        <f t="shared" si="48"/>
        <v>118.43082444915399</v>
      </c>
      <c r="DU65" s="553">
        <f>DT65/PI()*SQRT('Hilfstabellen_Mat&amp;Bem'!f.Rd.3/'Hilfstabellen_Mat&amp;Bem'!$BD$30)</f>
        <v>1.8848851125531352</v>
      </c>
      <c r="DV65" s="553">
        <f>0.5*(1+'Hilfstabellen_Mat&amp;Bem'!$BD$31*(DU65-0.3)+DU65^2)</f>
        <v>2.3556401993898795</v>
      </c>
      <c r="DW65" s="550">
        <f t="shared" si="49"/>
        <v>0.26535567436964491</v>
      </c>
      <c r="DY65" s="551">
        <f t="shared" si="50"/>
        <v>3632.4538264460693</v>
      </c>
      <c r="EC65" s="546">
        <f t="shared" si="51"/>
        <v>117</v>
      </c>
      <c r="ED65" s="551">
        <f t="shared" si="52"/>
        <v>121.39159506038285</v>
      </c>
      <c r="EE65" s="553">
        <f>ED65/PI()*SQRT('Hilfstabellen_Mat&amp;Bem'!f.Rd.3/'Hilfstabellen_Mat&amp;Bem'!$BD$30)</f>
        <v>1.9320072403669639</v>
      </c>
      <c r="EF65" s="553">
        <f>0.5*(1+'Hilfstabellen_Mat&amp;Bem'!$BD$31*(EE65-0.3)+EE65^2)</f>
        <v>2.447926350433534</v>
      </c>
      <c r="EG65" s="550">
        <f t="shared" si="53"/>
        <v>0.25309065709515977</v>
      </c>
      <c r="EI65" s="551">
        <f t="shared" si="54"/>
        <v>3464.5580049756422</v>
      </c>
      <c r="EM65" s="546">
        <f t="shared" si="55"/>
        <v>117</v>
      </c>
      <c r="EN65" s="551">
        <f t="shared" si="56"/>
        <v>124.35236567161169</v>
      </c>
      <c r="EO65" s="553">
        <f>EN65/PI()*SQRT('Hilfstabellen_Mat&amp;Bem'!f.Rd.3/'Hilfstabellen_Mat&amp;Bem'!$BD$30)</f>
        <v>1.979129368180792</v>
      </c>
      <c r="EP65" s="553">
        <f>0.5*(1+'Hilfstabellen_Mat&amp;Bem'!$BD$31*(EO65-0.3)+EO65^2)</f>
        <v>2.5424329964068901</v>
      </c>
      <c r="EQ65" s="550">
        <f t="shared" si="57"/>
        <v>0.24164107711066929</v>
      </c>
      <c r="ES65" s="551">
        <f t="shared" si="58"/>
        <v>3307.8247045679518</v>
      </c>
    </row>
    <row r="66" spans="3:149">
      <c r="C66" s="546">
        <v>118</v>
      </c>
      <c r="D66" s="551">
        <f t="shared" si="6"/>
        <v>82.1990213761501</v>
      </c>
      <c r="E66" s="553">
        <f>$D66/PI()*SQRT('Hilfstabellen_Mat&amp;Bem'!f.Rd.3/'Hilfstabellen_Mat&amp;Bem'!$BD$30)</f>
        <v>1.3082380569330658</v>
      </c>
      <c r="F66" s="553">
        <f>0.5*(1+'Hilfstabellen_Mat&amp;Bem'!$BD$31*($E66-0.3)+$E66^2)</f>
        <v>1.4061553096506552</v>
      </c>
      <c r="G66" s="550">
        <f t="shared" si="7"/>
        <v>0.52037268827504302</v>
      </c>
      <c r="I66" s="551">
        <f t="shared" si="8"/>
        <v>7245.6693115416992</v>
      </c>
      <c r="M66" s="546">
        <f t="shared" si="9"/>
        <v>118</v>
      </c>
      <c r="N66" s="551">
        <f t="shared" si="0"/>
        <v>85.134700711012613</v>
      </c>
      <c r="O66" s="553">
        <f>$N66/PI()*SQRT('Hilfstabellen_Mat&amp;Bem'!f.Rd.3/'Hilfstabellen_Mat&amp;Bem'!$BD$30)</f>
        <v>1.3549608446806756</v>
      </c>
      <c r="P66" s="553">
        <f>0.5*(1+'Hilfstabellen_Mat&amp;Bem'!$BD$31*($O66-0.3)+$O66^2)</f>
        <v>1.4707074875429187</v>
      </c>
      <c r="Q66" s="550">
        <f t="shared" si="1"/>
        <v>0.48957199295855036</v>
      </c>
      <c r="S66" s="551">
        <f t="shared" si="10"/>
        <v>6816.8004299548556</v>
      </c>
      <c r="W66" s="546">
        <f t="shared" si="11"/>
        <v>118</v>
      </c>
      <c r="X66" s="551">
        <f t="shared" si="2"/>
        <v>88.070380045875112</v>
      </c>
      <c r="Y66" s="553">
        <f>$X66/PI()*SQRT('Hilfstabellen_Mat&amp;Bem'!f.Rd.3/'Hilfstabellen_Mat&amp;Bem'!$BD$30)</f>
        <v>1.4016836324282851</v>
      </c>
      <c r="Z66" s="553">
        <f>0.5*(1+'Hilfstabellen_Mat&amp;Bem'!$BD$31*($Y66-0.3)+$Y66^2)</f>
        <v>1.5374426843300901</v>
      </c>
      <c r="AA66" s="550">
        <f t="shared" si="3"/>
        <v>0.46101699227991688</v>
      </c>
      <c r="AC66" s="551">
        <f t="shared" si="12"/>
        <v>6419.2006005055628</v>
      </c>
      <c r="AG66" s="546">
        <f t="shared" si="13"/>
        <v>118</v>
      </c>
      <c r="AH66" s="551">
        <f t="shared" si="4"/>
        <v>91.006059380737611</v>
      </c>
      <c r="AI66" s="553">
        <f>$AH66/PI()*SQRT('Hilfstabellen_Mat&amp;Bem'!f.Rd.3/'Hilfstabellen_Mat&amp;Bem'!$BD$30)</f>
        <v>1.4484064201758944</v>
      </c>
      <c r="AJ66" s="553">
        <f>0.5*(1+'Hilfstabellen_Mat&amp;Bem'!$BD$31*($AI66-0.3)+$AI66^2)</f>
        <v>1.6063609000121695</v>
      </c>
      <c r="AK66" s="550">
        <f t="shared" si="5"/>
        <v>0.43459491874923373</v>
      </c>
      <c r="AM66" s="551">
        <f t="shared" si="14"/>
        <v>6051.2996486643306</v>
      </c>
      <c r="AQ66" s="546">
        <f t="shared" si="15"/>
        <v>118</v>
      </c>
      <c r="AR66" s="551">
        <f t="shared" si="16"/>
        <v>93.94173871560011</v>
      </c>
      <c r="AS66" s="553">
        <f>$AR66/PI()*SQRT('Hilfstabellen_Mat&amp;Bem'!f.Rd.3/'Hilfstabellen_Mat&amp;Bem'!$BD$30)</f>
        <v>1.4951292079235037</v>
      </c>
      <c r="AT66" s="553">
        <f>0.5*(1+'Hilfstabellen_Mat&amp;Bem'!$BD$31*($AS66-0.3)+$AS66^2)</f>
        <v>1.6774621345891569</v>
      </c>
      <c r="AU66" s="550">
        <f t="shared" si="17"/>
        <v>0.41016674001163111</v>
      </c>
      <c r="AW66" s="551">
        <f t="shared" si="18"/>
        <v>5711.1616879219519</v>
      </c>
      <c r="BA66" s="546">
        <f t="shared" si="19"/>
        <v>118</v>
      </c>
      <c r="BB66" s="551">
        <f t="shared" si="20"/>
        <v>96.877418050462623</v>
      </c>
      <c r="BC66" s="553">
        <f>$BB66/PI()*SQRT('Hilfstabellen_Mat&amp;Bem'!f.Rd.3/'Hilfstabellen_Mat&amp;Bem'!$BD$30)</f>
        <v>1.5418519956711134</v>
      </c>
      <c r="BD66" s="553">
        <f>0.5*(1+'Hilfstabellen_Mat&amp;Bem'!$BD$31*($BC66-0.3)+$BC66^2)</f>
        <v>1.7507463880610534</v>
      </c>
      <c r="BE66" s="550">
        <f t="shared" si="21"/>
        <v>0.38758387589476567</v>
      </c>
      <c r="BG66" s="551">
        <f t="shared" si="22"/>
        <v>5396.7178879587173</v>
      </c>
      <c r="BK66" s="546">
        <f t="shared" si="23"/>
        <v>118</v>
      </c>
      <c r="BL66" s="551">
        <f t="shared" si="24"/>
        <v>99.813097385325136</v>
      </c>
      <c r="BM66" s="553">
        <f>$BL66/PI()*SQRT('Hilfstabellen_Mat&amp;Bem'!f.Rd.3/'Hilfstabellen_Mat&amp;Bem'!$BD$30)</f>
        <v>1.5885747834187232</v>
      </c>
      <c r="BN66" s="553">
        <f>0.5*(1+'Hilfstabellen_Mat&amp;Bem'!$BD$31*($BM66-0.3)+$BM66^2)</f>
        <v>1.8262136604278578</v>
      </c>
      <c r="BO66" s="550">
        <f t="shared" si="25"/>
        <v>0.36669807787024455</v>
      </c>
      <c r="BQ66" s="551">
        <f t="shared" si="26"/>
        <v>5105.904036265285</v>
      </c>
      <c r="BU66" s="546">
        <f t="shared" si="27"/>
        <v>118</v>
      </c>
      <c r="BV66" s="551">
        <f t="shared" si="28"/>
        <v>102.74877672018764</v>
      </c>
      <c r="BW66" s="553">
        <f>$BV66/PI()*SQRT('Hilfstabellen_Mat&amp;Bem'!f.Rd.3/'Hilfstabellen_Mat&amp;Bem'!$BD$30)</f>
        <v>1.6352975711663325</v>
      </c>
      <c r="BX66" s="553">
        <f>0.5*(1+'Hilfstabellen_Mat&amp;Bem'!$BD$31*($BW66-0.3)+$BW66^2)</f>
        <v>1.9038639516895697</v>
      </c>
      <c r="BY66" s="550">
        <f t="shared" si="29"/>
        <v>0.347366989273525</v>
      </c>
      <c r="CA66" s="551">
        <f t="shared" si="30"/>
        <v>4836.7379586445622</v>
      </c>
      <c r="CE66" s="546">
        <f t="shared" si="31"/>
        <v>118</v>
      </c>
      <c r="CF66" s="551">
        <f t="shared" si="32"/>
        <v>105.68445605505013</v>
      </c>
      <c r="CG66" s="553">
        <f>CF66/PI()*SQRT('Hilfstabellen_Mat&amp;Bem'!f.Rd.3/'Hilfstabellen_Mat&amp;Bem'!$BD$30)</f>
        <v>1.6820203589139417</v>
      </c>
      <c r="CH66" s="553">
        <f>0.5*(1+'Hilfstabellen_Mat&amp;Bem'!$BD$31*(CG66-0.3)+CG66^2)</f>
        <v>1.9836972618461899</v>
      </c>
      <c r="CI66" s="550">
        <f t="shared" si="33"/>
        <v>0.32945703447613567</v>
      </c>
      <c r="CK66" s="551">
        <f t="shared" si="34"/>
        <v>4587.3597480457129</v>
      </c>
      <c r="CO66" s="546">
        <f t="shared" si="35"/>
        <v>118</v>
      </c>
      <c r="CP66" s="551">
        <f t="shared" si="36"/>
        <v>108.62013538991263</v>
      </c>
      <c r="CQ66" s="553">
        <f>CP66/PI()*SQRT('Hilfstabellen_Mat&amp;Bem'!f.Rd.3/'Hilfstabellen_Mat&amp;Bem'!$BD$30)</f>
        <v>1.7287431466615513</v>
      </c>
      <c r="CR66" s="553">
        <f>0.5*(1+'Hilfstabellen_Mat&amp;Bem'!$BD$31*(CQ66-0.3)+CQ66^2)</f>
        <v>2.0657135908977184</v>
      </c>
      <c r="CS66" s="550">
        <f t="shared" si="37"/>
        <v>0.31284468678872124</v>
      </c>
      <c r="CU66" s="551">
        <f t="shared" si="38"/>
        <v>4356.0494188461544</v>
      </c>
      <c r="CY66" s="546">
        <f t="shared" si="39"/>
        <v>118</v>
      </c>
      <c r="CZ66" s="551">
        <f t="shared" si="40"/>
        <v>111.55581472477515</v>
      </c>
      <c r="DA66" s="553">
        <f>CZ66/PI()*SQRT('Hilfstabellen_Mat&amp;Bem'!f.Rd.3/'Hilfstabellen_Mat&amp;Bem'!$BD$30)</f>
        <v>1.7754659344091612</v>
      </c>
      <c r="DB66" s="553">
        <f>0.5*(1+'Hilfstabellen_Mat&amp;Bem'!$BD$31*(DA66-0.3)+DA66^2)</f>
        <v>2.1499129388441558</v>
      </c>
      <c r="DC66" s="550">
        <f t="shared" si="41"/>
        <v>0.29741677388974957</v>
      </c>
      <c r="DE66" s="551">
        <f t="shared" si="42"/>
        <v>4141.2311596408726</v>
      </c>
      <c r="DI66" s="546">
        <f t="shared" si="43"/>
        <v>118</v>
      </c>
      <c r="DJ66" s="551">
        <f t="shared" si="44"/>
        <v>114.49149405963766</v>
      </c>
      <c r="DK66" s="553">
        <f>DJ66/PI()*SQRT('Hilfstabellen_Mat&amp;Bem'!f.Rd.3/'Hilfstabellen_Mat&amp;Bem'!$BD$30)</f>
        <v>1.8221887221567705</v>
      </c>
      <c r="DL66" s="553">
        <f>0.5*(1+'Hilfstabellen_Mat&amp;Bem'!$BD$31*(DK66-0.3)+DK66^2)</f>
        <v>2.2362953056855006</v>
      </c>
      <c r="DM66" s="550">
        <f t="shared" si="45"/>
        <v>0.28307023035166401</v>
      </c>
      <c r="DO66" s="551">
        <f t="shared" si="46"/>
        <v>3941.4698874165697</v>
      </c>
      <c r="DS66" s="546">
        <f t="shared" si="47"/>
        <v>118</v>
      </c>
      <c r="DT66" s="551">
        <f t="shared" si="48"/>
        <v>117.42717339450016</v>
      </c>
      <c r="DU66" s="553">
        <f>DT66/PI()*SQRT('Hilfstabellen_Mat&amp;Bem'!f.Rd.3/'Hilfstabellen_Mat&amp;Bem'!$BD$30)</f>
        <v>1.86891150990438</v>
      </c>
      <c r="DV66" s="553">
        <f>0.5*(1+'Hilfstabellen_Mat&amp;Bem'!$BD$31*(DU66-0.3)+DU66^2)</f>
        <v>2.3248606914217538</v>
      </c>
      <c r="DW66" s="550">
        <f t="shared" si="49"/>
        <v>0.2697115498434986</v>
      </c>
      <c r="DY66" s="551">
        <f t="shared" si="50"/>
        <v>3755.4636200208747</v>
      </c>
      <c r="EC66" s="546">
        <f t="shared" si="51"/>
        <v>118</v>
      </c>
      <c r="ED66" s="551">
        <f t="shared" si="52"/>
        <v>120.36285272936266</v>
      </c>
      <c r="EE66" s="553">
        <f>ED66/PI()*SQRT('Hilfstabellen_Mat&amp;Bem'!f.Rd.3/'Hilfstabellen_Mat&amp;Bem'!$BD$30)</f>
        <v>1.9156342976519896</v>
      </c>
      <c r="EF66" s="553">
        <f>0.5*(1+'Hilfstabellen_Mat&amp;Bem'!$BD$31*(EE66-0.3)+EE66^2)</f>
        <v>2.4156090960529153</v>
      </c>
      <c r="EG66" s="550">
        <f t="shared" si="53"/>
        <v>0.25725609123471033</v>
      </c>
      <c r="EI66" s="551">
        <f t="shared" si="54"/>
        <v>3582.0338143521067</v>
      </c>
      <c r="EM66" s="546">
        <f t="shared" si="55"/>
        <v>118</v>
      </c>
      <c r="EN66" s="551">
        <f t="shared" si="56"/>
        <v>123.29853206422516</v>
      </c>
      <c r="EO66" s="553">
        <f>EN66/PI()*SQRT('Hilfstabellen_Mat&amp;Bem'!f.Rd.3/'Hilfstabellen_Mat&amp;Bem'!$BD$30)</f>
        <v>1.9623570853995991</v>
      </c>
      <c r="EP66" s="553">
        <f>0.5*(1+'Hilfstabellen_Mat&amp;Bem'!$BD$31*(EO66-0.3)+EO66^2)</f>
        <v>2.5085405195789847</v>
      </c>
      <c r="EQ66" s="550">
        <f t="shared" si="57"/>
        <v>0.24562733137390519</v>
      </c>
      <c r="ES66" s="551">
        <f t="shared" si="58"/>
        <v>3420.1149620502561</v>
      </c>
    </row>
    <row r="67" spans="3:149">
      <c r="C67" s="546">
        <v>119</v>
      </c>
      <c r="D67" s="551">
        <f t="shared" si="6"/>
        <v>81.508273297358926</v>
      </c>
      <c r="E67" s="553">
        <f>$D67/PI()*SQRT('Hilfstabellen_Mat&amp;Bem'!f.Rd.3/'Hilfstabellen_Mat&amp;Bem'!$BD$30)</f>
        <v>1.2972444598159814</v>
      </c>
      <c r="F67" s="553">
        <f>0.5*(1+'Hilfstabellen_Mat&amp;Bem'!$BD$31*($E67-0.3)+$E67^2)</f>
        <v>1.3912838172524276</v>
      </c>
      <c r="G67" s="550">
        <f t="shared" si="7"/>
        <v>0.52795429864782362</v>
      </c>
      <c r="I67" s="551">
        <f t="shared" si="8"/>
        <v>7476.3608231518301</v>
      </c>
      <c r="M67" s="546">
        <f t="shared" si="9"/>
        <v>119</v>
      </c>
      <c r="N67" s="551">
        <f t="shared" si="0"/>
        <v>84.419283057978888</v>
      </c>
      <c r="O67" s="553">
        <f>$N67/PI()*SQRT('Hilfstabellen_Mat&amp;Bem'!f.Rd.3/'Hilfstabellen_Mat&amp;Bem'!$BD$30)</f>
        <v>1.3435746190951237</v>
      </c>
      <c r="P67" s="553">
        <f>0.5*(1+'Hilfstabellen_Mat&amp;Bem'!$BD$31*($O67-0.3)+$O67^2)</f>
        <v>1.4547751094930597</v>
      </c>
      <c r="Q67" s="550">
        <f t="shared" si="1"/>
        <v>0.49686767306333296</v>
      </c>
      <c r="S67" s="551">
        <f t="shared" si="10"/>
        <v>7036.1431182498582</v>
      </c>
      <c r="W67" s="546">
        <f t="shared" si="11"/>
        <v>119</v>
      </c>
      <c r="X67" s="551">
        <f t="shared" si="2"/>
        <v>87.330292818598849</v>
      </c>
      <c r="Y67" s="553">
        <f>$X67/PI()*SQRT('Hilfstabellen_Mat&amp;Bem'!f.Rd.3/'Hilfstabellen_Mat&amp;Bem'!$BD$30)</f>
        <v>1.3899047783742657</v>
      </c>
      <c r="Z67" s="553">
        <f>0.5*(1+'Hilfstabellen_Mat&amp;Bem'!$BD$31*($Y67-0.3)+$Y67^2)</f>
        <v>1.5204128853925218</v>
      </c>
      <c r="AA67" s="550">
        <f t="shared" si="3"/>
        <v>0.46800959953350701</v>
      </c>
      <c r="AC67" s="551">
        <f t="shared" si="12"/>
        <v>6627.4839389939925</v>
      </c>
      <c r="AG67" s="546">
        <f t="shared" si="13"/>
        <v>119</v>
      </c>
      <c r="AH67" s="551">
        <f t="shared" si="4"/>
        <v>90.241302579218811</v>
      </c>
      <c r="AI67" s="553">
        <f>$AH67/PI()*SQRT('Hilfstabellen_Mat&amp;Bem'!f.Rd.3/'Hilfstabellen_Mat&amp;Bem'!$BD$30)</f>
        <v>1.436234937653408</v>
      </c>
      <c r="AJ67" s="553">
        <f>0.5*(1+'Hilfstabellen_Mat&amp;Bem'!$BD$31*($AI67-0.3)+$AI67^2)</f>
        <v>1.588197144950815</v>
      </c>
      <c r="AK67" s="550">
        <f t="shared" si="5"/>
        <v>0.44128002843376263</v>
      </c>
      <c r="AM67" s="551">
        <f t="shared" si="14"/>
        <v>6248.9664826505123</v>
      </c>
      <c r="AQ67" s="546">
        <f t="shared" si="15"/>
        <v>119</v>
      </c>
      <c r="AR67" s="551">
        <f t="shared" si="16"/>
        <v>93.152312339838772</v>
      </c>
      <c r="AS67" s="553">
        <f>$AR67/PI()*SQRT('Hilfstabellen_Mat&amp;Bem'!f.Rd.3/'Hilfstabellen_Mat&amp;Bem'!$BD$30)</f>
        <v>1.4825650969325501</v>
      </c>
      <c r="AT67" s="553">
        <f>0.5*(1+'Hilfstabellen_Mat&amp;Bem'!$BD$31*($AS67-0.3)+$AS67^2)</f>
        <v>1.6581278881679382</v>
      </c>
      <c r="AU67" s="550">
        <f t="shared" si="17"/>
        <v>0.4165480384001905</v>
      </c>
      <c r="AW67" s="551">
        <f t="shared" si="18"/>
        <v>5898.7367717850975</v>
      </c>
      <c r="BA67" s="546">
        <f t="shared" si="19"/>
        <v>119</v>
      </c>
      <c r="BB67" s="551">
        <f t="shared" si="20"/>
        <v>96.063322100458734</v>
      </c>
      <c r="BC67" s="553">
        <f>$BB67/PI()*SQRT('Hilfstabellen_Mat&amp;Bem'!f.Rd.3/'Hilfstabellen_Mat&amp;Bem'!$BD$30)</f>
        <v>1.5288952562116922</v>
      </c>
      <c r="BD67" s="553">
        <f>0.5*(1+'Hilfstabellen_Mat&amp;Bem'!$BD$31*($BC67-0.3)+$BC67^2)</f>
        <v>1.7302051150438924</v>
      </c>
      <c r="BE67" s="550">
        <f t="shared" si="21"/>
        <v>0.39367004597071226</v>
      </c>
      <c r="BG67" s="551">
        <f t="shared" si="22"/>
        <v>5574.7615209912565</v>
      </c>
      <c r="BK67" s="546">
        <f t="shared" si="23"/>
        <v>119</v>
      </c>
      <c r="BL67" s="551">
        <f t="shared" si="24"/>
        <v>98.974331861078696</v>
      </c>
      <c r="BM67" s="553">
        <f>$BL67/PI()*SQRT('Hilfstabellen_Mat&amp;Bem'!f.Rd.3/'Hilfstabellen_Mat&amp;Bem'!$BD$30)</f>
        <v>1.5752254154908345</v>
      </c>
      <c r="BN67" s="553">
        <f>0.5*(1+'Hilfstabellen_Mat&amp;Bem'!$BD$31*($BM67-0.3)+$BM67^2)</f>
        <v>1.804428825578678</v>
      </c>
      <c r="BO67" s="550">
        <f t="shared" si="25"/>
        <v>0.3725007270207823</v>
      </c>
      <c r="BQ67" s="551">
        <f t="shared" si="26"/>
        <v>5274.9827953412978</v>
      </c>
      <c r="BU67" s="546">
        <f t="shared" si="27"/>
        <v>119</v>
      </c>
      <c r="BV67" s="551">
        <f t="shared" si="28"/>
        <v>101.88534162169866</v>
      </c>
      <c r="BW67" s="553">
        <f>$BV67/PI()*SQRT('Hilfstabellen_Mat&amp;Bem'!f.Rd.3/'Hilfstabellen_Mat&amp;Bem'!$BD$30)</f>
        <v>1.6215555747699768</v>
      </c>
      <c r="BX67" s="553">
        <f>0.5*(1+'Hilfstabellen_Mat&amp;Bem'!$BD$31*($BW67-0.3)+$BW67^2)</f>
        <v>1.8807990197722937</v>
      </c>
      <c r="BY67" s="550">
        <f t="shared" si="29"/>
        <v>0.35289928518446811</v>
      </c>
      <c r="CA67" s="551">
        <f t="shared" si="30"/>
        <v>4997.4067774972527</v>
      </c>
      <c r="CE67" s="546">
        <f t="shared" si="31"/>
        <v>119</v>
      </c>
      <c r="CF67" s="551">
        <f t="shared" si="32"/>
        <v>104.79635138231862</v>
      </c>
      <c r="CG67" s="553">
        <f>CF67/PI()*SQRT('Hilfstabellen_Mat&amp;Bem'!f.Rd.3/'Hilfstabellen_Mat&amp;Bem'!$BD$30)</f>
        <v>1.6678857340491189</v>
      </c>
      <c r="CH67" s="553">
        <f>0.5*(1+'Hilfstabellen_Mat&amp;Bem'!$BD$31*(CG67-0.3)+CG67^2)</f>
        <v>1.9593156976247399</v>
      </c>
      <c r="CI67" s="550">
        <f t="shared" si="33"/>
        <v>0.33473281632285251</v>
      </c>
      <c r="CK67" s="551">
        <f t="shared" si="34"/>
        <v>4740.1514119479143</v>
      </c>
      <c r="CO67" s="546">
        <f t="shared" si="35"/>
        <v>119</v>
      </c>
      <c r="CP67" s="551">
        <f t="shared" si="36"/>
        <v>107.70736114293858</v>
      </c>
      <c r="CQ67" s="553">
        <f>CP67/PI()*SQRT('Hilfstabellen_Mat&amp;Bem'!f.Rd.3/'Hilfstabellen_Mat&amp;Bem'!$BD$30)</f>
        <v>1.714215893328261</v>
      </c>
      <c r="CR67" s="553">
        <f>0.5*(1+'Hilfstabellen_Mat&amp;Bem'!$BD$31*(CQ67-0.3)+CQ67^2)</f>
        <v>2.0399788591360171</v>
      </c>
      <c r="CS67" s="550">
        <f t="shared" si="37"/>
        <v>0.31787789364870961</v>
      </c>
      <c r="CU67" s="551">
        <f t="shared" si="38"/>
        <v>4501.4688519593765</v>
      </c>
      <c r="CY67" s="546">
        <f t="shared" si="39"/>
        <v>119</v>
      </c>
      <c r="CZ67" s="551">
        <f t="shared" si="40"/>
        <v>110.61837090355854</v>
      </c>
      <c r="DA67" s="553">
        <f>CZ67/PI()*SQRT('Hilfstabellen_Mat&amp;Bem'!f.Rd.3/'Hilfstabellen_Mat&amp;Bem'!$BD$30)</f>
        <v>1.760546052607403</v>
      </c>
      <c r="DB67" s="553">
        <f>0.5*(1+'Hilfstabellen_Mat&amp;Bem'!$BD$31*(DA67-0.3)+DA67^2)</f>
        <v>2.1227885043061248</v>
      </c>
      <c r="DC67" s="550">
        <f t="shared" si="41"/>
        <v>0.30222108439278861</v>
      </c>
      <c r="DE67" s="551">
        <f t="shared" si="42"/>
        <v>4279.7527760862795</v>
      </c>
      <c r="DI67" s="546">
        <f t="shared" si="43"/>
        <v>119</v>
      </c>
      <c r="DJ67" s="551">
        <f t="shared" si="44"/>
        <v>113.52938066417849</v>
      </c>
      <c r="DK67" s="553">
        <f>DJ67/PI()*SQRT('Hilfstabellen_Mat&amp;Bem'!f.Rd.3/'Hilfstabellen_Mat&amp;Bem'!$BD$30)</f>
        <v>1.8068762118865451</v>
      </c>
      <c r="DL67" s="553">
        <f>0.5*(1+'Hilfstabellen_Mat&amp;Bem'!$BD$31*(DK67-0.3)+DK67^2)</f>
        <v>2.207744633135063</v>
      </c>
      <c r="DM67" s="550">
        <f t="shared" si="45"/>
        <v>0.28765884280176796</v>
      </c>
      <c r="DO67" s="551">
        <f t="shared" si="46"/>
        <v>4073.5368729158358</v>
      </c>
      <c r="DS67" s="546">
        <f t="shared" si="47"/>
        <v>119</v>
      </c>
      <c r="DT67" s="551">
        <f t="shared" si="48"/>
        <v>116.44039042479847</v>
      </c>
      <c r="DU67" s="553">
        <f>DT67/PI()*SQRT('Hilfstabellen_Mat&amp;Bem'!f.Rd.3/'Hilfstabellen_Mat&amp;Bem'!$BD$30)</f>
        <v>1.8532063711656876</v>
      </c>
      <c r="DV67" s="553">
        <f>0.5*(1+'Hilfstabellen_Mat&amp;Bem'!$BD$31*(DU67-0.3)+DU67^2)</f>
        <v>2.2948472456228326</v>
      </c>
      <c r="DW67" s="550">
        <f t="shared" si="49"/>
        <v>0.27409705555845504</v>
      </c>
      <c r="DY67" s="551">
        <f t="shared" si="50"/>
        <v>3881.4884037632819</v>
      </c>
      <c r="EC67" s="546">
        <f t="shared" si="51"/>
        <v>119</v>
      </c>
      <c r="ED67" s="551">
        <f t="shared" si="52"/>
        <v>119.35140018541843</v>
      </c>
      <c r="EE67" s="553">
        <f>ED67/PI()*SQRT('Hilfstabellen_Mat&amp;Bem'!f.Rd.3/'Hilfstabellen_Mat&amp;Bem'!$BD$30)</f>
        <v>1.8995365304448297</v>
      </c>
      <c r="EF67" s="553">
        <f>0.5*(1+'Hilfstabellen_Mat&amp;Bem'!$BD$31*(EE67-0.3)+EE67^2)</f>
        <v>2.3840963417694323</v>
      </c>
      <c r="EG67" s="550">
        <f t="shared" si="53"/>
        <v>0.26145040948293319</v>
      </c>
      <c r="EI67" s="551">
        <f t="shared" si="54"/>
        <v>3702.3992486878169</v>
      </c>
      <c r="EM67" s="546">
        <f t="shared" si="55"/>
        <v>119</v>
      </c>
      <c r="EN67" s="551">
        <f t="shared" si="56"/>
        <v>122.2624099460384</v>
      </c>
      <c r="EO67" s="553">
        <f>EN67/PI()*SQRT('Hilfstabellen_Mat&amp;Bem'!f.Rd.3/'Hilfstabellen_Mat&amp;Bem'!$BD$30)</f>
        <v>1.945866689723972</v>
      </c>
      <c r="EP67" s="553">
        <f>0.5*(1+'Hilfstabellen_Mat&amp;Bem'!$BD$31*(EO67-0.3)+EO67^2)</f>
        <v>2.475491921574863</v>
      </c>
      <c r="EQ67" s="550">
        <f t="shared" si="57"/>
        <v>0.24964168469182937</v>
      </c>
      <c r="ES67" s="551">
        <f t="shared" si="58"/>
        <v>3535.1758969209959</v>
      </c>
    </row>
    <row r="68" spans="3:149">
      <c r="C68" s="546">
        <v>120</v>
      </c>
      <c r="D68" s="551">
        <f t="shared" si="6"/>
        <v>80.829037686547593</v>
      </c>
      <c r="E68" s="553">
        <f>$D68/PI()*SQRT('Hilfstabellen_Mat&amp;Bem'!f.Rd.3/'Hilfstabellen_Mat&amp;Bem'!$BD$30)</f>
        <v>1.2864340893175148</v>
      </c>
      <c r="F68" s="553">
        <f>0.5*(1+'Hilfstabellen_Mat&amp;Bem'!$BD$31*($E68-0.3)+$E68^2)</f>
        <v>1.3767780375449674</v>
      </c>
      <c r="G68" s="550">
        <f t="shared" si="7"/>
        <v>0.53553454499937725</v>
      </c>
      <c r="I68" s="551">
        <f t="shared" si="8"/>
        <v>7711.6974479910323</v>
      </c>
      <c r="M68" s="546">
        <f t="shared" si="9"/>
        <v>120</v>
      </c>
      <c r="N68" s="551">
        <f t="shared" si="0"/>
        <v>83.715789032495735</v>
      </c>
      <c r="O68" s="553">
        <f>$N68/PI()*SQRT('Hilfstabellen_Mat&amp;Bem'!f.Rd.3/'Hilfstabellen_Mat&amp;Bem'!$BD$30)</f>
        <v>1.3323781639359975</v>
      </c>
      <c r="P68" s="553">
        <f>0.5*(1+'Hilfstabellen_Mat&amp;Bem'!$BD$31*($O68-0.3)+$O68^2)</f>
        <v>1.4392346940635299</v>
      </c>
      <c r="Q68" s="550">
        <f t="shared" si="1"/>
        <v>0.50417327674815737</v>
      </c>
      <c r="S68" s="551">
        <f t="shared" si="10"/>
        <v>7260.0951851734662</v>
      </c>
      <c r="W68" s="546">
        <f t="shared" si="11"/>
        <v>120</v>
      </c>
      <c r="X68" s="551">
        <f t="shared" si="2"/>
        <v>86.602540378443862</v>
      </c>
      <c r="Y68" s="553">
        <f>$X68/PI()*SQRT('Hilfstabellen_Mat&amp;Bem'!f.Rd.3/'Hilfstabellen_Mat&amp;Bem'!$BD$30)</f>
        <v>1.3783222385544802</v>
      </c>
      <c r="Z68" s="553">
        <f>0.5*(1+'Hilfstabellen_Mat&amp;Bem'!$BD$31*($Y68-0.3)+$Y68^2)</f>
        <v>1.5038022085746408</v>
      </c>
      <c r="AA68" s="550">
        <f t="shared" si="3"/>
        <v>0.47501995619125226</v>
      </c>
      <c r="AC68" s="551">
        <f t="shared" si="12"/>
        <v>6840.2873691540326</v>
      </c>
      <c r="AG68" s="546">
        <f t="shared" si="13"/>
        <v>120</v>
      </c>
      <c r="AH68" s="551">
        <f t="shared" si="4"/>
        <v>89.48929172439199</v>
      </c>
      <c r="AI68" s="553">
        <f>$AH68/PI()*SQRT('Hilfstabellen_Mat&amp;Bem'!f.Rd.3/'Hilfstabellen_Mat&amp;Bem'!$BD$30)</f>
        <v>1.4242663131729629</v>
      </c>
      <c r="AJ68" s="553">
        <f>0.5*(1+'Hilfstabellen_Mat&amp;Bem'!$BD$31*($AI68-0.3)+$AI68^2)</f>
        <v>1.5704805810783005</v>
      </c>
      <c r="AK68" s="550">
        <f t="shared" si="5"/>
        <v>0.44798820768125308</v>
      </c>
      <c r="AM68" s="551">
        <f t="shared" si="14"/>
        <v>6451.030190610044</v>
      </c>
      <c r="AQ68" s="546">
        <f t="shared" si="15"/>
        <v>120</v>
      </c>
      <c r="AR68" s="551">
        <f t="shared" si="16"/>
        <v>92.376043070340117</v>
      </c>
      <c r="AS68" s="553">
        <f>$AR68/PI()*SQRT('Hilfstabellen_Mat&amp;Bem'!f.Rd.3/'Hilfstabellen_Mat&amp;Bem'!$BD$30)</f>
        <v>1.4702103877914456</v>
      </c>
      <c r="AT68" s="553">
        <f>0.5*(1+'Hilfstabellen_Mat&amp;Bem'!$BD$31*($AS68-0.3)+$AS68^2)</f>
        <v>1.6392698115745088</v>
      </c>
      <c r="AU68" s="550">
        <f t="shared" si="17"/>
        <v>0.42295592948760607</v>
      </c>
      <c r="AW68" s="551">
        <f t="shared" si="18"/>
        <v>6090.5653846215273</v>
      </c>
      <c r="BA68" s="546">
        <f t="shared" si="19"/>
        <v>120</v>
      </c>
      <c r="BB68" s="551">
        <f t="shared" si="20"/>
        <v>95.262794416288244</v>
      </c>
      <c r="BC68" s="553">
        <f>$BB68/PI()*SQRT('Hilfstabellen_Mat&amp;Bem'!f.Rd.3/'Hilfstabellen_Mat&amp;Bem'!$BD$30)</f>
        <v>1.5161544624099283</v>
      </c>
      <c r="BD68" s="553">
        <f>0.5*(1+'Hilfstabellen_Mat&amp;Bem'!$BD$31*($BC68-0.3)+$BC68^2)</f>
        <v>1.7101699000632657</v>
      </c>
      <c r="BE68" s="550">
        <f t="shared" si="21"/>
        <v>0.39978504758607736</v>
      </c>
      <c r="BG68" s="551">
        <f t="shared" si="22"/>
        <v>5756.904685239514</v>
      </c>
      <c r="BK68" s="546">
        <f t="shared" si="23"/>
        <v>120</v>
      </c>
      <c r="BL68" s="551">
        <f t="shared" si="24"/>
        <v>98.149545762236372</v>
      </c>
      <c r="BM68" s="553">
        <f>$BL68/PI()*SQRT('Hilfstabellen_Mat&amp;Bem'!f.Rd.3/'Hilfstabellen_Mat&amp;Bem'!$BD$30)</f>
        <v>1.5620985370284108</v>
      </c>
      <c r="BN68" s="553">
        <f>0.5*(1+'Hilfstabellen_Mat&amp;Bem'!$BD$31*($BM68-0.3)+$BM68^2)</f>
        <v>1.7831808465445713</v>
      </c>
      <c r="BO68" s="550">
        <f t="shared" si="25"/>
        <v>0.37833352960987249</v>
      </c>
      <c r="BQ68" s="551">
        <f t="shared" si="26"/>
        <v>5448.0028263821641</v>
      </c>
      <c r="BU68" s="546">
        <f t="shared" si="27"/>
        <v>120</v>
      </c>
      <c r="BV68" s="551">
        <f t="shared" si="28"/>
        <v>101.03629710818451</v>
      </c>
      <c r="BW68" s="553">
        <f>$BV68/PI()*SQRT('Hilfstabellen_Mat&amp;Bem'!f.Rd.3/'Hilfstabellen_Mat&amp;Bem'!$BD$30)</f>
        <v>1.6080426116468935</v>
      </c>
      <c r="BX68" s="553">
        <f>0.5*(1+'Hilfstabellen_Mat&amp;Bem'!$BD$31*($BW68-0.3)+$BW68^2)</f>
        <v>1.8583026510184257</v>
      </c>
      <c r="BY68" s="550">
        <f t="shared" si="29"/>
        <v>0.35846240211117675</v>
      </c>
      <c r="CA68" s="551">
        <f t="shared" si="30"/>
        <v>5161.8585904009451</v>
      </c>
      <c r="CE68" s="546">
        <f t="shared" si="31"/>
        <v>120</v>
      </c>
      <c r="CF68" s="551">
        <f t="shared" si="32"/>
        <v>103.92304845413263</v>
      </c>
      <c r="CG68" s="553">
        <f>CF68/PI()*SQRT('Hilfstabellen_Mat&amp;Bem'!f.Rd.3/'Hilfstabellen_Mat&amp;Bem'!$BD$30)</f>
        <v>1.653986686265376</v>
      </c>
      <c r="CH68" s="553">
        <f>0.5*(1+'Hilfstabellen_Mat&amp;Bem'!$BD$31*(CG68-0.3)+CG68^2)</f>
        <v>1.9355353134848285</v>
      </c>
      <c r="CI68" s="550">
        <f t="shared" si="33"/>
        <v>0.34003962053241865</v>
      </c>
      <c r="CK68" s="551">
        <f t="shared" si="34"/>
        <v>4896.5705356668286</v>
      </c>
      <c r="CO68" s="546">
        <f t="shared" si="35"/>
        <v>120</v>
      </c>
      <c r="CP68" s="551">
        <f t="shared" si="36"/>
        <v>106.80979980008075</v>
      </c>
      <c r="CQ68" s="553">
        <f>CP68/PI()*SQRT('Hilfstabellen_Mat&amp;Bem'!f.Rd.3/'Hilfstabellen_Mat&amp;Bem'!$BD$30)</f>
        <v>1.699930760883859</v>
      </c>
      <c r="CR68" s="553">
        <f>0.5*(1+'Hilfstabellen_Mat&amp;Bem'!$BD$31*(CQ68-0.3)+CQ68^2)</f>
        <v>2.0148788339437811</v>
      </c>
      <c r="CS68" s="550">
        <f t="shared" si="37"/>
        <v>0.32294199322162775</v>
      </c>
      <c r="CU68" s="551">
        <f t="shared" si="38"/>
        <v>4650.36470239144</v>
      </c>
      <c r="CY68" s="546">
        <f t="shared" si="39"/>
        <v>120</v>
      </c>
      <c r="CZ68" s="551">
        <f t="shared" si="40"/>
        <v>109.6965511460289</v>
      </c>
      <c r="DA68" s="553">
        <f>CZ68/PI()*SQRT('Hilfstabellen_Mat&amp;Bem'!f.Rd.3/'Hilfstabellen_Mat&amp;Bem'!$BD$30)</f>
        <v>1.7458748355023417</v>
      </c>
      <c r="DB68" s="553">
        <f>0.5*(1+'Hilfstabellen_Mat&amp;Bem'!$BD$31*(DA68-0.3)+DA68^2)</f>
        <v>2.0963332123952814</v>
      </c>
      <c r="DC68" s="550">
        <f t="shared" si="41"/>
        <v>0.30705592464146914</v>
      </c>
      <c r="DE68" s="551">
        <f t="shared" si="42"/>
        <v>4421.6053148371557</v>
      </c>
      <c r="DI68" s="546">
        <f t="shared" si="43"/>
        <v>120</v>
      </c>
      <c r="DJ68" s="551">
        <f t="shared" si="44"/>
        <v>112.58330249197702</v>
      </c>
      <c r="DK68" s="553">
        <f>DJ68/PI()*SQRT('Hilfstabellen_Mat&amp;Bem'!f.Rd.3/'Hilfstabellen_Mat&amp;Bem'!$BD$30)</f>
        <v>1.7918189101208242</v>
      </c>
      <c r="DL68" s="553">
        <f>0.5*(1+'Hilfstabellen_Mat&amp;Bem'!$BD$31*(DK68-0.3)+DK68^2)</f>
        <v>2.1798984488393303</v>
      </c>
      <c r="DM68" s="550">
        <f t="shared" si="45"/>
        <v>0.29227745959451956</v>
      </c>
      <c r="DO68" s="551">
        <f t="shared" si="46"/>
        <v>4208.7954181610821</v>
      </c>
      <c r="DS68" s="546">
        <f t="shared" si="47"/>
        <v>120</v>
      </c>
      <c r="DT68" s="551">
        <f t="shared" si="48"/>
        <v>115.47005383792515</v>
      </c>
      <c r="DU68" s="553">
        <f>DT68/PI()*SQRT('Hilfstabellen_Mat&amp;Bem'!f.Rd.3/'Hilfstabellen_Mat&amp;Bem'!$BD$30)</f>
        <v>1.8377629847393071</v>
      </c>
      <c r="DV68" s="553">
        <f>0.5*(1+'Hilfstabellen_Mat&amp;Bem'!$BD$31*(DU68-0.3)+DU68^2)</f>
        <v>2.2655745432759287</v>
      </c>
      <c r="DW68" s="550">
        <f t="shared" si="49"/>
        <v>0.27851192942466541</v>
      </c>
      <c r="DY68" s="551">
        <f t="shared" si="50"/>
        <v>4010.5717837151819</v>
      </c>
      <c r="EC68" s="546">
        <f t="shared" si="51"/>
        <v>120</v>
      </c>
      <c r="ED68" s="551">
        <f t="shared" si="52"/>
        <v>118.35680518387326</v>
      </c>
      <c r="EE68" s="553">
        <f>ED68/PI()*SQRT('Hilfstabellen_Mat&amp;Bem'!f.Rd.3/'Hilfstabellen_Mat&amp;Bem'!$BD$30)</f>
        <v>1.8837070593577891</v>
      </c>
      <c r="EF68" s="553">
        <f>0.5*(1+'Hilfstabellen_Mat&amp;Bem'!$BD$31*(EE68-0.3)+EE68^2)</f>
        <v>2.3533614957050739</v>
      </c>
      <c r="EG68" s="550">
        <f t="shared" si="53"/>
        <v>0.26567338665565821</v>
      </c>
      <c r="EI68" s="551">
        <f t="shared" si="54"/>
        <v>3825.696767841478</v>
      </c>
      <c r="EM68" s="546">
        <f t="shared" si="55"/>
        <v>120</v>
      </c>
      <c r="EN68" s="551">
        <f t="shared" si="56"/>
        <v>121.2435565298214</v>
      </c>
      <c r="EO68" s="553">
        <f>EN68/PI()*SQRT('Hilfstabellen_Mat&amp;Bem'!f.Rd.3/'Hilfstabellen_Mat&amp;Bem'!$BD$30)</f>
        <v>1.9296511339762721</v>
      </c>
      <c r="EP68" s="553">
        <f>0.5*(1+'Hilfstabellen_Mat&amp;Bem'!$BD$31*(EO68-0.3)+EO68^2)</f>
        <v>2.44325930612677</v>
      </c>
      <c r="EQ68" s="550">
        <f t="shared" si="57"/>
        <v>0.253683942323009</v>
      </c>
      <c r="ES68" s="551">
        <f t="shared" si="58"/>
        <v>3653.0487694513295</v>
      </c>
    </row>
    <row r="69" spans="3:149">
      <c r="C69" s="546">
        <v>121</v>
      </c>
      <c r="D69" s="551">
        <f t="shared" si="6"/>
        <v>80.161029110625719</v>
      </c>
      <c r="E69" s="553">
        <f>$D69/PI()*SQRT('Hilfstabellen_Mat&amp;Bem'!f.Rd.3/'Hilfstabellen_Mat&amp;Bem'!$BD$30)</f>
        <v>1.2758024026289403</v>
      </c>
      <c r="F69" s="553">
        <f>0.5*(1+'Hilfstabellen_Mat&amp;Bem'!$BD$31*($E69-0.3)+$E69^2)</f>
        <v>1.3626260054083352</v>
      </c>
      <c r="G69" s="550">
        <f t="shared" si="7"/>
        <v>0.54311024617172299</v>
      </c>
      <c r="I69" s="551">
        <f t="shared" si="8"/>
        <v>7951.6771142001962</v>
      </c>
      <c r="M69" s="546">
        <f t="shared" si="9"/>
        <v>121</v>
      </c>
      <c r="N69" s="551">
        <f t="shared" si="0"/>
        <v>83.02392300743378</v>
      </c>
      <c r="O69" s="553">
        <f>$N69/PI()*SQRT('Hilfstabellen_Mat&amp;Bem'!f.Rd.3/'Hilfstabellen_Mat&amp;Bem'!$BD$30)</f>
        <v>1.3213667741514026</v>
      </c>
      <c r="P69" s="553">
        <f>0.5*(1+'Hilfstabellen_Mat&amp;Bem'!$BD$31*($O69-0.3)+$O69^2)</f>
        <v>1.4240734146232121</v>
      </c>
      <c r="Q69" s="550">
        <f t="shared" si="1"/>
        <v>0.51148631018741719</v>
      </c>
      <c r="S69" s="551">
        <f t="shared" si="10"/>
        <v>7488.6710674539754</v>
      </c>
      <c r="W69" s="546">
        <f t="shared" si="11"/>
        <v>121</v>
      </c>
      <c r="X69" s="551">
        <f t="shared" si="2"/>
        <v>85.886816904241854</v>
      </c>
      <c r="Y69" s="553">
        <f>$X69/PI()*SQRT('Hilfstabellen_Mat&amp;Bem'!f.Rd.3/'Hilfstabellen_Mat&amp;Bem'!$BD$30)</f>
        <v>1.3669311456738649</v>
      </c>
      <c r="Z69" s="553">
        <f>0.5*(1+'Hilfstabellen_Mat&amp;Bem'!$BD$31*($Y69-0.3)+$Y69^2)</f>
        <v>1.4875969357903256</v>
      </c>
      <c r="AA69" s="550">
        <f t="shared" si="3"/>
        <v>0.48204610700723005</v>
      </c>
      <c r="AC69" s="551">
        <f t="shared" si="12"/>
        <v>7057.6370526928549</v>
      </c>
      <c r="AG69" s="546">
        <f t="shared" si="13"/>
        <v>121</v>
      </c>
      <c r="AH69" s="551">
        <f t="shared" si="4"/>
        <v>88.749710801049915</v>
      </c>
      <c r="AI69" s="553">
        <f>$AH69/PI()*SQRT('Hilfstabellen_Mat&amp;Bem'!f.Rd.3/'Hilfstabellen_Mat&amp;Bem'!$BD$30)</f>
        <v>1.4124955171963269</v>
      </c>
      <c r="AJ69" s="553">
        <f>0.5*(1+'Hilfstabellen_Mat&amp;Bem'!$BD$31*($AI69-0.3)+$AI69^2)</f>
        <v>1.5531965689096758</v>
      </c>
      <c r="AK69" s="550">
        <f t="shared" si="5"/>
        <v>0.45471791561830366</v>
      </c>
      <c r="AM69" s="551">
        <f t="shared" si="14"/>
        <v>6657.5250025675841</v>
      </c>
      <c r="AQ69" s="546">
        <f t="shared" si="15"/>
        <v>121</v>
      </c>
      <c r="AR69" s="551">
        <f t="shared" si="16"/>
        <v>91.612604697857975</v>
      </c>
      <c r="AS69" s="553">
        <f>$AR69/PI()*SQRT('Hilfstabellen_Mat&amp;Bem'!f.Rd.3/'Hilfstabellen_Mat&amp;Bem'!$BD$30)</f>
        <v>1.458059888718789</v>
      </c>
      <c r="AT69" s="553">
        <f>0.5*(1+'Hilfstabellen_Mat&amp;Bem'!$BD$31*($AS69-0.3)+$AS69^2)</f>
        <v>1.6208723139812631</v>
      </c>
      <c r="AU69" s="550">
        <f t="shared" si="17"/>
        <v>0.42938918943876525</v>
      </c>
      <c r="AW69" s="551">
        <f t="shared" si="18"/>
        <v>6286.6871225729619</v>
      </c>
      <c r="BA69" s="546">
        <f t="shared" si="19"/>
        <v>121</v>
      </c>
      <c r="BB69" s="551">
        <f t="shared" si="20"/>
        <v>94.475498594666036</v>
      </c>
      <c r="BC69" s="553">
        <f>$BB69/PI()*SQRT('Hilfstabellen_Mat&amp;Bem'!f.Rd.3/'Hilfstabellen_Mat&amp;Bem'!$BD$30)</f>
        <v>1.5036242602412511</v>
      </c>
      <c r="BD69" s="553">
        <f>0.5*(1+'Hilfstabellen_Mat&amp;Bem'!$BD$31*($BC69-0.3)+$BC69^2)</f>
        <v>1.6906241710050876</v>
      </c>
      <c r="BE69" s="550">
        <f t="shared" si="21"/>
        <v>0.40592789982641769</v>
      </c>
      <c r="BG69" s="551">
        <f t="shared" si="22"/>
        <v>5943.1903813585814</v>
      </c>
      <c r="BK69" s="546">
        <f t="shared" si="23"/>
        <v>121</v>
      </c>
      <c r="BL69" s="551">
        <f t="shared" si="24"/>
        <v>97.338392491474096</v>
      </c>
      <c r="BM69" s="553">
        <f>$BL69/PI()*SQRT('Hilfstabellen_Mat&amp;Bem'!f.Rd.3/'Hilfstabellen_Mat&amp;Bem'!$BD$30)</f>
        <v>1.5491886317637134</v>
      </c>
      <c r="BN69" s="553">
        <f>0.5*(1+'Hilfstabellen_Mat&amp;Bem'!$BD$31*($BM69-0.3)+$BM69^2)</f>
        <v>1.7624521399811488</v>
      </c>
      <c r="BO69" s="550">
        <f t="shared" si="25"/>
        <v>0.38419569185404318</v>
      </c>
      <c r="BQ69" s="551">
        <f t="shared" si="26"/>
        <v>5625.009124435046</v>
      </c>
      <c r="BU69" s="546">
        <f t="shared" si="27"/>
        <v>121</v>
      </c>
      <c r="BV69" s="551">
        <f t="shared" si="28"/>
        <v>100.20128638828216</v>
      </c>
      <c r="BW69" s="553">
        <f>$BV69/PI()*SQRT('Hilfstabellen_Mat&amp;Bem'!f.Rd.3/'Hilfstabellen_Mat&amp;Bem'!$BD$30)</f>
        <v>1.5947530032861756</v>
      </c>
      <c r="BX69" s="553">
        <f>0.5*(1+'Hilfstabellen_Mat&amp;Bem'!$BD$31*($BW69-0.3)+$BW69^2)</f>
        <v>1.8363562209094471</v>
      </c>
      <c r="BY69" s="550">
        <f t="shared" si="29"/>
        <v>0.36405569150607681</v>
      </c>
      <c r="CA69" s="551">
        <f t="shared" si="30"/>
        <v>5330.1393793404704</v>
      </c>
      <c r="CE69" s="546">
        <f t="shared" si="31"/>
        <v>121</v>
      </c>
      <c r="CF69" s="551">
        <f t="shared" si="32"/>
        <v>103.06418028509022</v>
      </c>
      <c r="CG69" s="553">
        <f>CF69/PI()*SQRT('Hilfstabellen_Mat&amp;Bem'!f.Rd.3/'Hilfstabellen_Mat&amp;Bem'!$BD$30)</f>
        <v>1.6403173748086375</v>
      </c>
      <c r="CH69" s="553">
        <f>0.5*(1+'Hilfstabellen_Mat&amp;Bem'!$BD$31*(CG69-0.3)+CG69^2)</f>
        <v>1.9123364137899819</v>
      </c>
      <c r="CI69" s="550">
        <f t="shared" si="33"/>
        <v>0.34537691224405065</v>
      </c>
      <c r="CK69" s="551">
        <f t="shared" si="34"/>
        <v>5056.6633721651451</v>
      </c>
      <c r="CO69" s="546">
        <f t="shared" si="35"/>
        <v>121</v>
      </c>
      <c r="CP69" s="551">
        <f t="shared" si="36"/>
        <v>105.92707418189828</v>
      </c>
      <c r="CQ69" s="553">
        <f>CP69/PI()*SQRT('Hilfstabellen_Mat&amp;Bem'!f.Rd.3/'Hilfstabellen_Mat&amp;Bem'!$BD$30)</f>
        <v>1.6858817463310996</v>
      </c>
      <c r="CR69" s="553">
        <f>0.5*(1+'Hilfstabellen_Mat&amp;Bem'!$BD$31*(CQ69-0.3)+CQ69^2)</f>
        <v>1.9903927186227537</v>
      </c>
      <c r="CS69" s="550">
        <f t="shared" si="37"/>
        <v>0.32803654043940439</v>
      </c>
      <c r="CU69" s="551">
        <f t="shared" si="38"/>
        <v>4802.7829885733199</v>
      </c>
      <c r="CY69" s="546">
        <f t="shared" si="39"/>
        <v>121</v>
      </c>
      <c r="CZ69" s="551">
        <f t="shared" si="40"/>
        <v>108.78996807870634</v>
      </c>
      <c r="DA69" s="553">
        <f>CZ69/PI()*SQRT('Hilfstabellen_Mat&amp;Bem'!f.Rd.3/'Hilfstabellen_Mat&amp;Bem'!$BD$30)</f>
        <v>1.7314461178535621</v>
      </c>
      <c r="DB69" s="553">
        <f>0.5*(1+'Hilfstabellen_Mat&amp;Bem'!$BD$31*(DA69-0.3)+DA69^2)</f>
        <v>2.0705251354077636</v>
      </c>
      <c r="DC69" s="550">
        <f t="shared" si="41"/>
        <v>0.31192092113114017</v>
      </c>
      <c r="DE69" s="551">
        <f t="shared" si="42"/>
        <v>4566.8342062810234</v>
      </c>
      <c r="DI69" s="546">
        <f t="shared" si="43"/>
        <v>121</v>
      </c>
      <c r="DJ69" s="551">
        <f t="shared" si="44"/>
        <v>111.6528619755144</v>
      </c>
      <c r="DK69" s="553">
        <f>DJ69/PI()*SQRT('Hilfstabellen_Mat&amp;Bem'!f.Rd.3/'Hilfstabellen_Mat&amp;Bem'!$BD$30)</f>
        <v>1.7770104893760241</v>
      </c>
      <c r="DL69" s="553">
        <f>0.5*(1+'Hilfstabellen_Mat&amp;Bem'!$BD$31*(DK69-0.3)+DK69^2)</f>
        <v>2.1527336641450097</v>
      </c>
      <c r="DM69" s="550">
        <f t="shared" si="45"/>
        <v>0.29692576476756732</v>
      </c>
      <c r="DO69" s="551">
        <f t="shared" si="46"/>
        <v>4347.2901219619534</v>
      </c>
      <c r="DS69" s="546">
        <f t="shared" si="47"/>
        <v>121</v>
      </c>
      <c r="DT69" s="551">
        <f t="shared" si="48"/>
        <v>114.51575587232244</v>
      </c>
      <c r="DU69" s="553">
        <f>DT69/PI()*SQRT('Hilfstabellen_Mat&amp;Bem'!f.Rd.3/'Hilfstabellen_Mat&amp;Bem'!$BD$30)</f>
        <v>1.822574860898486</v>
      </c>
      <c r="DV69" s="553">
        <f>0.5*(1+'Hilfstabellen_Mat&amp;Bem'!$BD$31*(DU69-0.3)+DU69^2)</f>
        <v>2.2370183048344923</v>
      </c>
      <c r="DW69" s="550">
        <f t="shared" si="49"/>
        <v>0.28295590214583488</v>
      </c>
      <c r="DY69" s="551">
        <f t="shared" si="50"/>
        <v>4142.7573633171687</v>
      </c>
      <c r="EC69" s="546">
        <f t="shared" si="51"/>
        <v>121</v>
      </c>
      <c r="ED69" s="551">
        <f t="shared" si="52"/>
        <v>117.37864976913052</v>
      </c>
      <c r="EE69" s="553">
        <f>ED69/PI()*SQRT('Hilfstabellen_Mat&amp;Bem'!f.Rd.3/'Hilfstabellen_Mat&amp;Bem'!$BD$30)</f>
        <v>1.8681392324209485</v>
      </c>
      <c r="EF69" s="553">
        <f>0.5*(1+'Hilfstabellen_Mat&amp;Bem'!$BD$31*(EE69-0.3)+EE69^2)</f>
        <v>2.3233790574762128</v>
      </c>
      <c r="EG69" s="550">
        <f t="shared" si="53"/>
        <v>0.26992479161360994</v>
      </c>
      <c r="EI69" s="551">
        <f t="shared" si="54"/>
        <v>3951.9688740148631</v>
      </c>
      <c r="EM69" s="546">
        <f t="shared" si="55"/>
        <v>121</v>
      </c>
      <c r="EN69" s="551">
        <f t="shared" si="56"/>
        <v>120.24154366593859</v>
      </c>
      <c r="EO69" s="553">
        <f>EN69/PI()*SQRT('Hilfstabellen_Mat&amp;Bem'!f.Rd.3/'Hilfstabellen_Mat&amp;Bem'!$BD$30)</f>
        <v>1.9137036039434105</v>
      </c>
      <c r="EP69" s="553">
        <f>0.5*(1+'Hilfstabellen_Mat&amp;Bem'!$BD$31*(EO69-0.3)+EO69^2)</f>
        <v>2.4118159220701694</v>
      </c>
      <c r="EQ69" s="550">
        <f t="shared" si="57"/>
        <v>0.25775390457196323</v>
      </c>
      <c r="ES69" s="551">
        <f t="shared" si="58"/>
        <v>3773.7749168381138</v>
      </c>
    </row>
    <row r="70" spans="3:149">
      <c r="C70" s="546">
        <v>122</v>
      </c>
      <c r="D70" s="551">
        <f t="shared" si="6"/>
        <v>79.503971494964844</v>
      </c>
      <c r="E70" s="553">
        <f>$D70/PI()*SQRT('Hilfstabellen_Mat&amp;Bem'!f.Rd.3/'Hilfstabellen_Mat&amp;Bem'!$BD$30)</f>
        <v>1.26534500588608</v>
      </c>
      <c r="F70" s="553">
        <f>0.5*(1+'Hilfstabellen_Mat&amp;Bem'!$BD$31*($E70-0.3)+$E70^2)</f>
        <v>1.3488162422547259</v>
      </c>
      <c r="G70" s="550">
        <f t="shared" si="7"/>
        <v>0.55067812170883301</v>
      </c>
      <c r="I70" s="551">
        <f t="shared" si="8"/>
        <v>8196.2931635142704</v>
      </c>
      <c r="M70" s="546">
        <f t="shared" si="9"/>
        <v>122</v>
      </c>
      <c r="N70" s="551">
        <f t="shared" si="0"/>
        <v>82.34339904835646</v>
      </c>
      <c r="O70" s="553">
        <f>$N70/PI()*SQRT('Hilfstabellen_Mat&amp;Bem'!f.Rd.3/'Hilfstabellen_Mat&amp;Bem'!$BD$30)</f>
        <v>1.3105358989534404</v>
      </c>
      <c r="P70" s="553">
        <f>0.5*(1+'Hilfstabellen_Mat&amp;Bem'!$BD$31*($O70-0.3)+$O70^2)</f>
        <v>1.409278966170523</v>
      </c>
      <c r="Q70" s="550">
        <f t="shared" si="1"/>
        <v>0.51880419374715414</v>
      </c>
      <c r="S70" s="551">
        <f t="shared" si="10"/>
        <v>7721.8816197326423</v>
      </c>
      <c r="W70" s="546">
        <f t="shared" si="11"/>
        <v>122</v>
      </c>
      <c r="X70" s="551">
        <f t="shared" si="2"/>
        <v>85.182826601748062</v>
      </c>
      <c r="Y70" s="553">
        <f>$X70/PI()*SQRT('Hilfstabellen_Mat&amp;Bem'!f.Rd.3/'Hilfstabellen_Mat&amp;Bem'!$BD$30)</f>
        <v>1.3557267920208003</v>
      </c>
      <c r="Z70" s="553">
        <f>0.5*(1+'Hilfstabellen_Mat&amp;Bem'!$BD$31*($Y70-0.3)+$Y70^2)</f>
        <v>1.4717839069025449</v>
      </c>
      <c r="AA70" s="550">
        <f t="shared" si="3"/>
        <v>0.48908602661039186</v>
      </c>
      <c r="AC70" s="551">
        <f t="shared" si="12"/>
        <v>7279.5564200690724</v>
      </c>
      <c r="AG70" s="546">
        <f t="shared" si="13"/>
        <v>122</v>
      </c>
      <c r="AH70" s="551">
        <f t="shared" si="4"/>
        <v>88.022254155139663</v>
      </c>
      <c r="AI70" s="553">
        <f>$AH70/PI()*SQRT('Hilfstabellen_Mat&amp;Bem'!f.Rd.3/'Hilfstabellen_Mat&amp;Bem'!$BD$30)</f>
        <v>1.4009176850881602</v>
      </c>
      <c r="AJ70" s="553">
        <f>0.5*(1+'Hilfstabellen_Mat&amp;Bem'!$BD$31*($AI70-0.3)+$AI70^2)</f>
        <v>1.5363310644507928</v>
      </c>
      <c r="AK70" s="550">
        <f t="shared" si="5"/>
        <v>0.46146755552793706</v>
      </c>
      <c r="AM70" s="551">
        <f t="shared" si="14"/>
        <v>6868.4830964778148</v>
      </c>
      <c r="AQ70" s="546">
        <f t="shared" si="15"/>
        <v>122</v>
      </c>
      <c r="AR70" s="551">
        <f t="shared" si="16"/>
        <v>90.861681708531265</v>
      </c>
      <c r="AS70" s="553">
        <f>$AR70/PI()*SQRT('Hilfstabellen_Mat&amp;Bem'!f.Rd.3/'Hilfstabellen_Mat&amp;Bem'!$BD$30)</f>
        <v>1.4461085781555203</v>
      </c>
      <c r="AT70" s="553">
        <f>0.5*(1+'Hilfstabellen_Mat&amp;Bem'!$BD$31*($AS70-0.3)+$AS70^2)</f>
        <v>1.6029204388152665</v>
      </c>
      <c r="AU70" s="550">
        <f t="shared" si="17"/>
        <v>0.43584655042049458</v>
      </c>
      <c r="AW70" s="551">
        <f t="shared" si="18"/>
        <v>6487.1400564586411</v>
      </c>
      <c r="BA70" s="546">
        <f t="shared" si="19"/>
        <v>122</v>
      </c>
      <c r="BB70" s="551">
        <f t="shared" si="20"/>
        <v>93.701109261922866</v>
      </c>
      <c r="BC70" s="553">
        <f>$BB70/PI()*SQRT('Hilfstabellen_Mat&amp;Bem'!f.Rd.3/'Hilfstabellen_Mat&amp;Bem'!$BD$30)</f>
        <v>1.4912994712228802</v>
      </c>
      <c r="BD70" s="553">
        <f>0.5*(1+'Hilfstabellen_Mat&amp;Bem'!$BD$31*($BC70-0.3)+$BC70^2)</f>
        <v>1.671552029995965</v>
      </c>
      <c r="BE70" s="550">
        <f t="shared" si="21"/>
        <v>0.41209758719485373</v>
      </c>
      <c r="BG70" s="551">
        <f t="shared" si="22"/>
        <v>6133.6604878082026</v>
      </c>
      <c r="BK70" s="546">
        <f t="shared" si="23"/>
        <v>122</v>
      </c>
      <c r="BL70" s="551">
        <f t="shared" si="24"/>
        <v>96.540536815314468</v>
      </c>
      <c r="BM70" s="553">
        <f>$BL70/PI()*SQRT('Hilfstabellen_Mat&amp;Bem'!f.Rd.3/'Hilfstabellen_Mat&amp;Bem'!$BD$30)</f>
        <v>1.5364903642902403</v>
      </c>
      <c r="BN70" s="553">
        <f>0.5*(1+'Hilfstabellen_Mat&amp;Bem'!$BD$31*($BM70-0.3)+$BM70^2)</f>
        <v>1.7422258379928899</v>
      </c>
      <c r="BO70" s="550">
        <f t="shared" si="25"/>
        <v>0.39008639272630841</v>
      </c>
      <c r="BQ70" s="551">
        <f t="shared" si="26"/>
        <v>5806.0458693383744</v>
      </c>
      <c r="BU70" s="546">
        <f t="shared" si="27"/>
        <v>122</v>
      </c>
      <c r="BV70" s="551">
        <f t="shared" si="28"/>
        <v>99.379964368706069</v>
      </c>
      <c r="BW70" s="553">
        <f>$BV70/PI()*SQRT('Hilfstabellen_Mat&amp;Bem'!f.Rd.3/'Hilfstabellen_Mat&amp;Bem'!$BD$30)</f>
        <v>1.5816812573576002</v>
      </c>
      <c r="BX70" s="553">
        <f>0.5*(1+'Hilfstabellen_Mat&amp;Bem'!$BD$31*($BW70-0.3)+$BW70^2)</f>
        <v>1.8149418628060396</v>
      </c>
      <c r="BY70" s="550">
        <f t="shared" si="29"/>
        <v>0.36967848325432645</v>
      </c>
      <c r="CA70" s="551">
        <f t="shared" si="30"/>
        <v>5502.2945447573948</v>
      </c>
      <c r="CE70" s="546">
        <f t="shared" si="31"/>
        <v>122</v>
      </c>
      <c r="CF70" s="551">
        <f t="shared" si="32"/>
        <v>102.21939192209767</v>
      </c>
      <c r="CG70" s="553">
        <f>CF70/PI()*SQRT('Hilfstabellen_Mat&amp;Bem'!f.Rd.3/'Hilfstabellen_Mat&amp;Bem'!$BD$30)</f>
        <v>1.6268721504249601</v>
      </c>
      <c r="CH70" s="553">
        <f>0.5*(1+'Hilfstabellen_Mat&amp;Bem'!$BD$31*(CG70-0.3)+CG70^2)</f>
        <v>1.8897001044354151</v>
      </c>
      <c r="CI70" s="550">
        <f t="shared" si="33"/>
        <v>0.35074413941498184</v>
      </c>
      <c r="CK70" s="551">
        <f t="shared" si="34"/>
        <v>5220.4757710525901</v>
      </c>
      <c r="CO70" s="546">
        <f t="shared" si="35"/>
        <v>122</v>
      </c>
      <c r="CP70" s="551">
        <f t="shared" si="36"/>
        <v>105.05881947548927</v>
      </c>
      <c r="CQ70" s="553">
        <f>CP70/PI()*SQRT('Hilfstabellen_Mat&amp;Bem'!f.Rd.3/'Hilfstabellen_Mat&amp;Bem'!$BD$30)</f>
        <v>1.6720630434923203</v>
      </c>
      <c r="CR70" s="553">
        <f>0.5*(1+'Hilfstabellen_Mat&amp;Bem'!$BD$31*(CQ70-0.3)+CQ70^2)</f>
        <v>1.9665005628810164</v>
      </c>
      <c r="CS70" s="550">
        <f t="shared" si="37"/>
        <v>0.33316107644889487</v>
      </c>
      <c r="CU70" s="551">
        <f t="shared" si="38"/>
        <v>4958.7694618653513</v>
      </c>
      <c r="CY70" s="546">
        <f t="shared" si="39"/>
        <v>122</v>
      </c>
      <c r="CZ70" s="551">
        <f t="shared" si="40"/>
        <v>107.89824702888087</v>
      </c>
      <c r="DA70" s="553">
        <f>CZ70/PI()*SQRT('Hilfstabellen_Mat&amp;Bem'!f.Rd.3/'Hilfstabellen_Mat&amp;Bem'!$BD$30)</f>
        <v>1.7172539365596802</v>
      </c>
      <c r="DB70" s="553">
        <f>0.5*(1+'Hilfstabellen_Mat&amp;Bem'!$BD$31*(DA70-0.3)+DA70^2)</f>
        <v>2.0453432381428431</v>
      </c>
      <c r="DC70" s="550">
        <f t="shared" si="41"/>
        <v>0.31681568921612235</v>
      </c>
      <c r="DE70" s="551">
        <f t="shared" si="42"/>
        <v>4715.4847182927651</v>
      </c>
      <c r="DI70" s="546">
        <f t="shared" si="43"/>
        <v>122</v>
      </c>
      <c r="DJ70" s="551">
        <f t="shared" si="44"/>
        <v>110.73767458227248</v>
      </c>
      <c r="DK70" s="553">
        <f>DJ70/PI()*SQRT('Hilfstabellen_Mat&amp;Bem'!f.Rd.3/'Hilfstabellen_Mat&amp;Bem'!$BD$30)</f>
        <v>1.7624448296270403</v>
      </c>
      <c r="DL70" s="553">
        <f>0.5*(1+'Hilfstabellen_Mat&amp;Bem'!$BD$31*(DK70-0.3)+DK70^2)</f>
        <v>2.1262281302208956</v>
      </c>
      <c r="DM70" s="550">
        <f t="shared" si="45"/>
        <v>0.30160343328808581</v>
      </c>
      <c r="DO70" s="551">
        <f t="shared" si="46"/>
        <v>4489.0655010598693</v>
      </c>
      <c r="DS70" s="546">
        <f t="shared" si="47"/>
        <v>122</v>
      </c>
      <c r="DT70" s="551">
        <f t="shared" si="48"/>
        <v>113.57710213566406</v>
      </c>
      <c r="DU70" s="553">
        <f>DT70/PI()*SQRT('Hilfstabellen_Mat&amp;Bem'!f.Rd.3/'Hilfstabellen_Mat&amp;Bem'!$BD$30)</f>
        <v>1.8076357226943998</v>
      </c>
      <c r="DV70" s="553">
        <f>0.5*(1+'Hilfstabellen_Mat&amp;Bem'!$BD$31*(DU70-0.3)+DU70^2)</f>
        <v>2.2091552391151725</v>
      </c>
      <c r="DW70" s="550">
        <f t="shared" si="49"/>
        <v>0.28742869698757217</v>
      </c>
      <c r="DY70" s="551">
        <f t="shared" si="50"/>
        <v>4278.0887259630244</v>
      </c>
      <c r="EC70" s="546">
        <f t="shared" si="51"/>
        <v>122</v>
      </c>
      <c r="ED70" s="551">
        <f t="shared" si="52"/>
        <v>116.41652968905568</v>
      </c>
      <c r="EE70" s="553">
        <f>ED70/PI()*SQRT('Hilfstabellen_Mat&amp;Bem'!f.Rd.3/'Hilfstabellen_Mat&amp;Bem'!$BD$30)</f>
        <v>1.8528266157617601</v>
      </c>
      <c r="EF70" s="553">
        <f>0.5*(1+'Hilfstabellen_Mat&amp;Bem'!$BD$31*(EE70-0.3)+EE70^2)</f>
        <v>2.2941245648256765</v>
      </c>
      <c r="EG70" s="550">
        <f t="shared" si="53"/>
        <v>0.27420438707538985</v>
      </c>
      <c r="EI70" s="551">
        <f t="shared" si="54"/>
        <v>4081.2580972301025</v>
      </c>
      <c r="EM70" s="546">
        <f t="shared" si="55"/>
        <v>122</v>
      </c>
      <c r="EN70" s="551">
        <f t="shared" si="56"/>
        <v>119.25595724244728</v>
      </c>
      <c r="EO70" s="553">
        <f>EN70/PI()*SQRT('Hilfstabellen_Mat&amp;Bem'!f.Rd.3/'Hilfstabellen_Mat&amp;Bem'!$BD$30)</f>
        <v>1.8980175088291202</v>
      </c>
      <c r="EP70" s="553">
        <f>0.5*(1+'Hilfstabellen_Mat&amp;Bem'!$BD$31*(EO70-0.3)+EO70^2)</f>
        <v>2.3811361073524058</v>
      </c>
      <c r="EQ70" s="550">
        <f t="shared" si="57"/>
        <v>0.26185136663727099</v>
      </c>
      <c r="ES70" s="551">
        <f t="shared" si="58"/>
        <v>3897.3957410291414</v>
      </c>
    </row>
    <row r="71" spans="3:149">
      <c r="C71" s="546">
        <v>123</v>
      </c>
      <c r="D71" s="551">
        <f t="shared" si="6"/>
        <v>78.857597742973269</v>
      </c>
      <c r="E71" s="553">
        <f>$D71/PI()*SQRT('Hilfstabellen_Mat&amp;Bem'!f.Rd.3/'Hilfstabellen_Mat&amp;Bem'!$BD$30)</f>
        <v>1.2550576481146487</v>
      </c>
      <c r="F71" s="553">
        <f>0.5*(1+'Hilfstabellen_Mat&amp;Bem'!$BD$31*($E71-0.3)+$E71^2)</f>
        <v>1.335337732451269</v>
      </c>
      <c r="G71" s="550">
        <f t="shared" si="7"/>
        <v>0.55823479315034208</v>
      </c>
      <c r="I71" s="551">
        <f t="shared" si="8"/>
        <v>8445.5341855715251</v>
      </c>
      <c r="M71" s="546">
        <f t="shared" si="9"/>
        <v>123</v>
      </c>
      <c r="N71" s="551">
        <f t="shared" si="0"/>
        <v>81.673940519508037</v>
      </c>
      <c r="O71" s="553">
        <f>$N71/PI()*SQRT('Hilfstabellen_Mat&amp;Bem'!f.Rd.3/'Hilfstabellen_Mat&amp;Bem'!$BD$30)</f>
        <v>1.2998811355473148</v>
      </c>
      <c r="P71" s="553">
        <f>0.5*(1+'Hilfstabellen_Mat&amp;Bem'!$BD$31*($O71-0.3)+$O71^2)</f>
        <v>1.3948395400532541</v>
      </c>
      <c r="Q71" s="550">
        <f t="shared" si="1"/>
        <v>0.52612426124976619</v>
      </c>
      <c r="S71" s="551">
        <f t="shared" si="10"/>
        <v>7959.7339484477125</v>
      </c>
      <c r="W71" s="546">
        <f t="shared" si="11"/>
        <v>123</v>
      </c>
      <c r="X71" s="551">
        <f t="shared" si="2"/>
        <v>84.49028329604279</v>
      </c>
      <c r="Y71" s="553">
        <f>$X71/PI()*SQRT('Hilfstabellen_Mat&amp;Bem'!f.Rd.3/'Hilfstabellen_Mat&amp;Bem'!$BD$30)</f>
        <v>1.3447046229799806</v>
      </c>
      <c r="Z71" s="553">
        <f>0.5*(1+'Hilfstabellen_Mat&amp;Bem'!$BD$31*($Y71-0.3)+$Y71^2)</f>
        <v>1.456350492680865</v>
      </c>
      <c r="AA71" s="550">
        <f t="shared" si="3"/>
        <v>0.49613761808186774</v>
      </c>
      <c r="AC71" s="551">
        <f t="shared" si="12"/>
        <v>7506.0660239605768</v>
      </c>
      <c r="AG71" s="546">
        <f t="shared" si="13"/>
        <v>123</v>
      </c>
      <c r="AH71" s="551">
        <f t="shared" si="4"/>
        <v>87.306626072577544</v>
      </c>
      <c r="AI71" s="553">
        <f>$AH71/PI()*SQRT('Hilfstabellen_Mat&amp;Bem'!f.Rd.3/'Hilfstabellen_Mat&amp;Bem'!$BD$30)</f>
        <v>1.3895281104126465</v>
      </c>
      <c r="AJ71" s="553">
        <f>0.5*(1+'Hilfstabellen_Mat&amp;Bem'!$BD$31*($AI71-0.3)+$AI71^2)</f>
        <v>1.5198705903341023</v>
      </c>
      <c r="AK71" s="550">
        <f t="shared" si="5"/>
        <v>0.46823547334322879</v>
      </c>
      <c r="AM71" s="551">
        <f t="shared" si="14"/>
        <v>7083.934476209708</v>
      </c>
      <c r="AQ71" s="546">
        <f t="shared" si="15"/>
        <v>123</v>
      </c>
      <c r="AR71" s="551">
        <f t="shared" si="16"/>
        <v>90.122968849112311</v>
      </c>
      <c r="AS71" s="553">
        <f>$AR71/PI()*SQRT('Hilfstabellen_Mat&amp;Bem'!f.Rd.3/'Hilfstabellen_Mat&amp;Bem'!$BD$30)</f>
        <v>1.4343515978453127</v>
      </c>
      <c r="AT71" s="553">
        <f>0.5*(1+'Hilfstabellen_Mat&amp;Bem'!$BD$31*($AS71-0.3)+$AS71^2)</f>
        <v>1.5853998330129666</v>
      </c>
      <c r="AU71" s="550">
        <f t="shared" si="17"/>
        <v>0.44232669924595308</v>
      </c>
      <c r="AW71" s="551">
        <f t="shared" si="18"/>
        <v>6691.9606328920245</v>
      </c>
      <c r="BA71" s="546">
        <f t="shared" si="19"/>
        <v>123</v>
      </c>
      <c r="BB71" s="551">
        <f t="shared" si="20"/>
        <v>92.939311625647065</v>
      </c>
      <c r="BC71" s="553">
        <f>$BB71/PI()*SQRT('Hilfstabellen_Mat&amp;Bem'!f.Rd.3/'Hilfstabellen_Mat&amp;Bem'!$BD$30)</f>
        <v>1.4791750852779786</v>
      </c>
      <c r="BD71" s="553">
        <f>0.5*(1+'Hilfstabellen_Mat&amp;Bem'!$BD$31*($BC71-0.3)+$BC71^2)</f>
        <v>1.6529382207174566</v>
      </c>
      <c r="BE71" s="550">
        <f t="shared" si="21"/>
        <v>0.4182930584732108</v>
      </c>
      <c r="BG71" s="551">
        <f t="shared" si="22"/>
        <v>6328.3556816412065</v>
      </c>
      <c r="BK71" s="546">
        <f t="shared" si="23"/>
        <v>123</v>
      </c>
      <c r="BL71" s="551">
        <f t="shared" si="24"/>
        <v>95.755654402181818</v>
      </c>
      <c r="BM71" s="553">
        <f>$BL71/PI()*SQRT('Hilfstabellen_Mat&amp;Bem'!f.Rd.3/'Hilfstabellen_Mat&amp;Bem'!$BD$30)</f>
        <v>1.5239985727106447</v>
      </c>
      <c r="BN71" s="553">
        <f>0.5*(1+'Hilfstabellen_Mat&amp;Bem'!$BD$31*($BM71-0.3)+$BM71^2)</f>
        <v>1.7224857534475733</v>
      </c>
      <c r="BO71" s="550">
        <f t="shared" si="25"/>
        <v>0.396004783030313</v>
      </c>
      <c r="BQ71" s="551">
        <f t="shared" si="26"/>
        <v>5991.1563624656055</v>
      </c>
      <c r="BU71" s="546">
        <f t="shared" si="27"/>
        <v>123</v>
      </c>
      <c r="BV71" s="551">
        <f t="shared" si="28"/>
        <v>98.5719971787166</v>
      </c>
      <c r="BW71" s="553">
        <f>$BV71/PI()*SQRT('Hilfstabellen_Mat&amp;Bem'!f.Rd.3/'Hilfstabellen_Mat&amp;Bem'!$BD$30)</f>
        <v>1.5688220601433109</v>
      </c>
      <c r="BX71" s="553">
        <f>0.5*(1+'Hilfstabellen_Mat&amp;Bem'!$BD$31*($BW71-0.3)+$BW71^2)</f>
        <v>1.7940424312033167</v>
      </c>
      <c r="BY71" s="550">
        <f t="shared" si="29"/>
        <v>0.37533008493281433</v>
      </c>
      <c r="CA71" s="551">
        <f t="shared" si="30"/>
        <v>5678.3688549485478</v>
      </c>
      <c r="CE71" s="546">
        <f t="shared" si="31"/>
        <v>123</v>
      </c>
      <c r="CF71" s="551">
        <f t="shared" si="32"/>
        <v>101.38833995525135</v>
      </c>
      <c r="CG71" s="553">
        <f>CF71/PI()*SQRT('Hilfstabellen_Mat&amp;Bem'!f.Rd.3/'Hilfstabellen_Mat&amp;Bem'!$BD$30)</f>
        <v>1.6136455475759768</v>
      </c>
      <c r="CH71" s="553">
        <f>0.5*(1+'Hilfstabellen_Mat&amp;Bem'!$BD$31*(CG71-0.3)+CG71^2)</f>
        <v>1.8676082539846859</v>
      </c>
      <c r="CI71" s="550">
        <f t="shared" si="33"/>
        <v>0.35614073223121168</v>
      </c>
      <c r="CK71" s="551">
        <f t="shared" si="34"/>
        <v>5388.053137926001</v>
      </c>
      <c r="CO71" s="546">
        <f t="shared" si="35"/>
        <v>123</v>
      </c>
      <c r="CP71" s="551">
        <f t="shared" si="36"/>
        <v>104.20468273178611</v>
      </c>
      <c r="CQ71" s="553">
        <f>CP71/PI()*SQRT('Hilfstabellen_Mat&amp;Bem'!f.Rd.3/'Hilfstabellen_Mat&amp;Bem'!$BD$30)</f>
        <v>1.6584690350086426</v>
      </c>
      <c r="CR71" s="553">
        <f>0.5*(1+'Hilfstabellen_Mat&amp;Bem'!$BD$31*(CQ71-0.3)+CQ71^2)</f>
        <v>1.9431832217916813</v>
      </c>
      <c r="CS71" s="550">
        <f t="shared" si="37"/>
        <v>0.33831512814385312</v>
      </c>
      <c r="CU71" s="551">
        <f t="shared" si="38"/>
        <v>5118.3695736883537</v>
      </c>
      <c r="CY71" s="546">
        <f t="shared" si="39"/>
        <v>123</v>
      </c>
      <c r="CZ71" s="551">
        <f t="shared" si="40"/>
        <v>107.02102550832088</v>
      </c>
      <c r="DA71" s="553">
        <f>CZ71/PI()*SQRT('Hilfstabellen_Mat&amp;Bem'!f.Rd.3/'Hilfstabellen_Mat&amp;Bem'!$BD$30)</f>
        <v>1.7032925224413089</v>
      </c>
      <c r="DB71" s="553">
        <f>0.5*(1+'Hilfstabellen_Mat&amp;Bem'!$BD$31*(DA71-0.3)+DA71^2)</f>
        <v>2.0207673346243036</v>
      </c>
      <c r="DC71" s="550">
        <f t="shared" si="41"/>
        <v>0.32173983273723777</v>
      </c>
      <c r="DE71" s="551">
        <f t="shared" si="42"/>
        <v>4867.6019294816706</v>
      </c>
      <c r="DI71" s="546">
        <f t="shared" si="43"/>
        <v>123</v>
      </c>
      <c r="DJ71" s="551">
        <f t="shared" si="44"/>
        <v>109.83736828485563</v>
      </c>
      <c r="DK71" s="553">
        <f>DJ71/PI()*SQRT('Hilfstabellen_Mat&amp;Bem'!f.Rd.3/'Hilfstabellen_Mat&amp;Bem'!$BD$30)</f>
        <v>1.7481160098739748</v>
      </c>
      <c r="DL71" s="553">
        <f>0.5*(1+'Hilfstabellen_Mat&amp;Bem'!$BD$31*(DK71-0.3)+DK71^2)</f>
        <v>2.1003605924825521</v>
      </c>
      <c r="DM71" s="550">
        <f t="shared" si="45"/>
        <v>0.30631013075522728</v>
      </c>
      <c r="DO71" s="551">
        <f t="shared" si="46"/>
        <v>4634.1659681958336</v>
      </c>
      <c r="DS71" s="546">
        <f t="shared" si="47"/>
        <v>123</v>
      </c>
      <c r="DT71" s="551">
        <f t="shared" si="48"/>
        <v>112.6537110613904</v>
      </c>
      <c r="DU71" s="553">
        <f>DT71/PI()*SQRT('Hilfstabellen_Mat&amp;Bem'!f.Rd.3/'Hilfstabellen_Mat&amp;Bem'!$BD$30)</f>
        <v>1.7929394973066408</v>
      </c>
      <c r="DV71" s="553">
        <f>0.5*(1+'Hilfstabellen_Mat&amp;Bem'!$BD$31*(DU71-0.3)+DU71^2)</f>
        <v>2.181962995366427</v>
      </c>
      <c r="DW71" s="550">
        <f t="shared" si="49"/>
        <v>0.29193002953852781</v>
      </c>
      <c r="DY71" s="551">
        <f t="shared" si="50"/>
        <v>4416.6094168883874</v>
      </c>
      <c r="EC71" s="546">
        <f t="shared" si="51"/>
        <v>123</v>
      </c>
      <c r="ED71" s="551">
        <f t="shared" si="52"/>
        <v>115.47005383792515</v>
      </c>
      <c r="EE71" s="553">
        <f>ED71/PI()*SQRT('Hilfstabellen_Mat&amp;Bem'!f.Rd.3/'Hilfstabellen_Mat&amp;Bem'!$BD$30)</f>
        <v>1.8377629847393071</v>
      </c>
      <c r="EF71" s="553">
        <f>0.5*(1+'Hilfstabellen_Mat&amp;Bem'!$BD$31*(EE71-0.3)+EE71^2)</f>
        <v>2.2655745432759287</v>
      </c>
      <c r="EG71" s="550">
        <f t="shared" si="53"/>
        <v>0.27851192942466541</v>
      </c>
      <c r="EI71" s="551">
        <f t="shared" si="54"/>
        <v>4213.606980265763</v>
      </c>
      <c r="EM71" s="546">
        <f t="shared" si="55"/>
        <v>123</v>
      </c>
      <c r="EN71" s="551">
        <f t="shared" si="56"/>
        <v>118.28639661445992</v>
      </c>
      <c r="EO71" s="553">
        <f>EN71/PI()*SQRT('Hilfstabellen_Mat&amp;Bem'!f.Rd.3/'Hilfstabellen_Mat&amp;Bem'!$BD$30)</f>
        <v>1.8825864721719729</v>
      </c>
      <c r="EP71" s="553">
        <f>0.5*(1+'Hilfstabellen_Mat&amp;Bem'!$BD$31*(EO71-0.3)+EO71^2)</f>
        <v>2.3511952362110558</v>
      </c>
      <c r="EQ71" s="550">
        <f t="shared" si="57"/>
        <v>0.26597611845502772</v>
      </c>
      <c r="ES71" s="551">
        <f t="shared" si="58"/>
        <v>4023.9526961061142</v>
      </c>
    </row>
    <row r="72" spans="3:149">
      <c r="C72" s="546">
        <v>124</v>
      </c>
      <c r="D72" s="551">
        <f t="shared" si="6"/>
        <v>78.221649374078325</v>
      </c>
      <c r="E72" s="553">
        <f>$D72/PI()*SQRT('Hilfstabellen_Mat&amp;Bem'!f.Rd.3/'Hilfstabellen_Mat&amp;Bem'!$BD$30)</f>
        <v>1.2449362154685628</v>
      </c>
      <c r="F72" s="553">
        <f>0.5*(1+'Hilfstabellen_Mat&amp;Bem'!$BD$31*($E72-0.3)+$E72^2)</f>
        <v>1.322179901066022</v>
      </c>
      <c r="G72" s="550">
        <f t="shared" si="7"/>
        <v>0.56577678602226766</v>
      </c>
      <c r="I72" s="551">
        <f t="shared" si="8"/>
        <v>8699.3838618783884</v>
      </c>
      <c r="M72" s="546">
        <f t="shared" si="9"/>
        <v>124</v>
      </c>
      <c r="N72" s="551">
        <f t="shared" ref="N72:N135" si="59">$L$8*10^3/$M72*SQRT(12)</f>
        <v>81.015279708866842</v>
      </c>
      <c r="O72" s="553">
        <f>$N72/PI()*SQRT('Hilfstabellen_Mat&amp;Bem'!f.Rd.3/'Hilfstabellen_Mat&amp;Bem'!$BD$30)</f>
        <v>1.2893982231638688</v>
      </c>
      <c r="P72" s="553">
        <f>0.5*(1+'Hilfstabellen_Mat&amp;Bem'!$BD$31*($O72-0.3)+$O72^2)</f>
        <v>1.3807438001072643</v>
      </c>
      <c r="Q72" s="550">
        <f t="shared" ref="Q72:Q135" si="60">MIN(1/($P72+SQRT($P72^2-$O72^2)),1)</f>
        <v>0.53344375957937085</v>
      </c>
      <c r="S72" s="551">
        <f t="shared" si="10"/>
        <v>8202.2312472924059</v>
      </c>
      <c r="W72" s="546">
        <f t="shared" si="11"/>
        <v>124</v>
      </c>
      <c r="X72" s="551">
        <f t="shared" ref="X72:X135" si="61">$V$8*10^3/$W72*SQRT(12)</f>
        <v>83.808910043655359</v>
      </c>
      <c r="Y72" s="553">
        <f>$X72/PI()*SQRT('Hilfstabellen_Mat&amp;Bem'!f.Rd.3/'Hilfstabellen_Mat&amp;Bem'!$BD$30)</f>
        <v>1.3338602308591745</v>
      </c>
      <c r="Z72" s="553">
        <f>0.5*(1+'Hilfstabellen_Mat&amp;Bem'!$BD$31*($Y72-0.3)+$Y72^2)</f>
        <v>1.4412845692768039</v>
      </c>
      <c r="AA72" s="550">
        <f t="shared" ref="AA72:AA135" si="62">MIN(1/($Z72+SQRT($Z72^2-$Y72^2)),1)</f>
        <v>0.50319871167887764</v>
      </c>
      <c r="AC72" s="551">
        <f t="shared" si="12"/>
        <v>7737.1833907744231</v>
      </c>
      <c r="AG72" s="546">
        <f t="shared" si="13"/>
        <v>124</v>
      </c>
      <c r="AH72" s="551">
        <f t="shared" ref="AH72:AH135" si="63">$AF$8*10^3/$AG72*SQRT(12)</f>
        <v>86.602540378443862</v>
      </c>
      <c r="AI72" s="553">
        <f>$AH72/PI()*SQRT('Hilfstabellen_Mat&amp;Bem'!f.Rd.3/'Hilfstabellen_Mat&amp;Bem'!$BD$30)</f>
        <v>1.3783222385544802</v>
      </c>
      <c r="AJ72" s="553">
        <f>0.5*(1+'Hilfstabellen_Mat&amp;Bem'!$BD$31*($AI72-0.3)+$AI72^2)</f>
        <v>1.5038022085746408</v>
      </c>
      <c r="AK72" s="550">
        <f t="shared" ref="AK72:AK135" si="64">MIN(1/($AJ72+SQRT($AJ72^2-$AI72^2)),1)</f>
        <v>0.47501995619125226</v>
      </c>
      <c r="AM72" s="551">
        <f t="shared" si="14"/>
        <v>7303.9068463966951</v>
      </c>
      <c r="AQ72" s="546">
        <f t="shared" si="15"/>
        <v>124</v>
      </c>
      <c r="AR72" s="551">
        <f t="shared" ref="AR72:AR135" si="65">$AP$8*10^3/$AQ72*SQRT(12)</f>
        <v>89.396170713232365</v>
      </c>
      <c r="AS72" s="553">
        <f>$AR72/PI()*SQRT('Hilfstabellen_Mat&amp;Bem'!f.Rd.3/'Hilfstabellen_Mat&amp;Bem'!$BD$30)</f>
        <v>1.4227842462497859</v>
      </c>
      <c r="AT72" s="553">
        <f>0.5*(1+'Hilfstabellen_Mat&amp;Bem'!$BD$31*($AS72-0.3)+$AS72^2)</f>
        <v>1.568296718000775</v>
      </c>
      <c r="AU72" s="550">
        <f t="shared" ref="AU72:AU135" si="66">MIN(1/($AT72+SQRT($AT72^2-$AS72^2)),1)</f>
        <v>0.44882827602528236</v>
      </c>
      <c r="AW72" s="551">
        <f t="shared" si="18"/>
        <v>6901.1835721647412</v>
      </c>
      <c r="BA72" s="546">
        <f t="shared" si="19"/>
        <v>124</v>
      </c>
      <c r="BB72" s="551">
        <f t="shared" si="20"/>
        <v>92.189801048020882</v>
      </c>
      <c r="BC72" s="553">
        <f>$BB72/PI()*SQRT('Hilfstabellen_Mat&amp;Bem'!f.Rd.3/'Hilfstabellen_Mat&amp;Bem'!$BD$30)</f>
        <v>1.4672462539450919</v>
      </c>
      <c r="BD72" s="553">
        <f>0.5*(1+'Hilfstabellen_Mat&amp;Bem'!$BD$31*($BC72-0.3)+$BC72^2)</f>
        <v>1.634768097555207</v>
      </c>
      <c r="BE72" s="550">
        <f t="shared" si="21"/>
        <v>0.42451322557139237</v>
      </c>
      <c r="BG72" s="551">
        <f t="shared" si="22"/>
        <v>6527.3153563857295</v>
      </c>
      <c r="BK72" s="546">
        <f t="shared" si="23"/>
        <v>124</v>
      </c>
      <c r="BL72" s="551">
        <f t="shared" si="24"/>
        <v>94.983431382809385</v>
      </c>
      <c r="BM72" s="553">
        <f>$BL72/PI()*SQRT('Hilfstabellen_Mat&amp;Bem'!f.Rd.3/'Hilfstabellen_Mat&amp;Bem'!$BD$30)</f>
        <v>1.5117082616403974</v>
      </c>
      <c r="BN72" s="553">
        <f>0.5*(1+'Hilfstabellen_Mat&amp;Bem'!$BD$31*($BM72-0.3)+$BM72^2)</f>
        <v>1.7032163472379358</v>
      </c>
      <c r="BO72" s="550">
        <f t="shared" si="25"/>
        <v>0.40194998445695779</v>
      </c>
      <c r="BQ72" s="551">
        <f t="shared" si="26"/>
        <v>6180.382961010183</v>
      </c>
      <c r="BU72" s="546">
        <f t="shared" si="27"/>
        <v>124</v>
      </c>
      <c r="BV72" s="551">
        <f t="shared" si="28"/>
        <v>97.777061717597903</v>
      </c>
      <c r="BW72" s="553">
        <f>$BV72/PI()*SQRT('Hilfstabellen_Mat&amp;Bem'!f.Rd.3/'Hilfstabellen_Mat&amp;Bem'!$BD$30)</f>
        <v>1.5561702693357033</v>
      </c>
      <c r="BX72" s="553">
        <f>0.5*(1+'Hilfstabellen_Mat&amp;Bem'!$BD$31*($BW72-0.3)+$BW72^2)</f>
        <v>1.7736414670489631</v>
      </c>
      <c r="BY72" s="550">
        <f t="shared" si="29"/>
        <v>0.38100978105130773</v>
      </c>
      <c r="CA72" s="551">
        <f t="shared" si="30"/>
        <v>5858.4063934449077</v>
      </c>
      <c r="CE72" s="546">
        <f t="shared" si="31"/>
        <v>124</v>
      </c>
      <c r="CF72" s="551">
        <f t="shared" si="32"/>
        <v>100.57069205238642</v>
      </c>
      <c r="CG72" s="553">
        <f>CF72/PI()*SQRT('Hilfstabellen_Mat&amp;Bem'!f.Rd.3/'Hilfstabellen_Mat&amp;Bem'!$BD$30)</f>
        <v>1.6006322770310093</v>
      </c>
      <c r="CH72" s="553">
        <f>0.5*(1+'Hilfstabellen_Mat&amp;Bem'!$BD$31*(CG72-0.3)+CG72^2)</f>
        <v>1.8460434569882871</v>
      </c>
      <c r="CI72" s="550">
        <f t="shared" si="33"/>
        <v>0.36156610250220023</v>
      </c>
      <c r="CK72" s="551">
        <f t="shared" si="34"/>
        <v>5559.4403920738305</v>
      </c>
      <c r="CO72" s="546">
        <f t="shared" si="35"/>
        <v>124</v>
      </c>
      <c r="CP72" s="551">
        <f t="shared" si="36"/>
        <v>103.36432238717494</v>
      </c>
      <c r="CQ72" s="553">
        <f>CP72/PI()*SQRT('Hilfstabellen_Mat&amp;Bem'!f.Rd.3/'Hilfstabellen_Mat&amp;Bem'!$BD$30)</f>
        <v>1.645094284726315</v>
      </c>
      <c r="CR72" s="553">
        <f>0.5*(1+'Hilfstabellen_Mat&amp;Bem'!$BD$31*(CQ72-0.3)+CQ72^2)</f>
        <v>1.9204223170559087</v>
      </c>
      <c r="CS72" s="550">
        <f t="shared" si="37"/>
        <v>0.34349820768326084</v>
      </c>
      <c r="CU72" s="551">
        <f t="shared" si="38"/>
        <v>5281.6284413378189</v>
      </c>
      <c r="CY72" s="546">
        <f t="shared" si="39"/>
        <v>124</v>
      </c>
      <c r="CZ72" s="551">
        <f t="shared" si="40"/>
        <v>106.15795272196344</v>
      </c>
      <c r="DA72" s="553">
        <f>CZ72/PI()*SQRT('Hilfstabellen_Mat&amp;Bem'!f.Rd.3/'Hilfstabellen_Mat&amp;Bem'!$BD$30)</f>
        <v>1.6895562924216208</v>
      </c>
      <c r="DB72" s="553">
        <f>0.5*(1+'Hilfstabellen_Mat&amp;Bem'!$BD$31*(DA72-0.3)+DA72^2)</f>
        <v>1.9967780472518277</v>
      </c>
      <c r="DC72" s="550">
        <f t="shared" si="41"/>
        <v>0.32669294363808682</v>
      </c>
      <c r="DE72" s="551">
        <f t="shared" si="42"/>
        <v>5023.2307013792233</v>
      </c>
      <c r="DI72" s="546">
        <f t="shared" si="43"/>
        <v>124</v>
      </c>
      <c r="DJ72" s="551">
        <f t="shared" si="44"/>
        <v>108.95158305675196</v>
      </c>
      <c r="DK72" s="553">
        <f>DJ72/PI()*SQRT('Hilfstabellen_Mat&amp;Bem'!f.Rd.3/'Hilfstabellen_Mat&amp;Bem'!$BD$30)</f>
        <v>1.7340183001169267</v>
      </c>
      <c r="DL72" s="553">
        <f>0.5*(1+'Hilfstabellen_Mat&amp;Bem'!$BD$31*(DK72-0.3)+DK72^2)</f>
        <v>2.0751106475760444</v>
      </c>
      <c r="DM72" s="550">
        <f t="shared" si="45"/>
        <v>0.31104551309342832</v>
      </c>
      <c r="DO72" s="551">
        <f t="shared" si="46"/>
        <v>4782.6358093245535</v>
      </c>
      <c r="DS72" s="546">
        <f t="shared" si="47"/>
        <v>124</v>
      </c>
      <c r="DT72" s="551">
        <f t="shared" si="48"/>
        <v>111.74521339154046</v>
      </c>
      <c r="DU72" s="553">
        <f>DT72/PI()*SQRT('Hilfstabellen_Mat&amp;Bem'!f.Rd.3/'Hilfstabellen_Mat&amp;Bem'!$BD$30)</f>
        <v>1.7784803078122324</v>
      </c>
      <c r="DV72" s="553">
        <f>0.5*(1+'Hilfstabellen_Mat&amp;Bem'!$BD$31*(DU72-0.3)+DU72^2)</f>
        <v>2.1554201180285584</v>
      </c>
      <c r="DW72" s="550">
        <f t="shared" si="49"/>
        <v>0.29645960746415673</v>
      </c>
      <c r="DY72" s="551">
        <f t="shared" si="50"/>
        <v>4558.3629243688738</v>
      </c>
      <c r="EC72" s="546">
        <f t="shared" si="51"/>
        <v>124</v>
      </c>
      <c r="ED72" s="551">
        <f t="shared" si="52"/>
        <v>114.53884372632896</v>
      </c>
      <c r="EE72" s="553">
        <f>ED72/PI()*SQRT('Hilfstabellen_Mat&amp;Bem'!f.Rd.3/'Hilfstabellen_Mat&amp;Bem'!$BD$30)</f>
        <v>1.8229423155075382</v>
      </c>
      <c r="EF72" s="553">
        <f>0.5*(1+'Hilfstabellen_Mat&amp;Bem'!$BD$31*(EE72-0.3)+EE72^2)</f>
        <v>2.2377064586093693</v>
      </c>
      <c r="EG72" s="550">
        <f t="shared" si="53"/>
        <v>0.28284716851142927</v>
      </c>
      <c r="EI72" s="551">
        <f t="shared" si="54"/>
        <v>4349.0580630317363</v>
      </c>
      <c r="EM72" s="546">
        <f t="shared" si="55"/>
        <v>124</v>
      </c>
      <c r="EN72" s="551">
        <f t="shared" si="56"/>
        <v>117.33247406111748</v>
      </c>
      <c r="EO72" s="553">
        <f>EN72/PI()*SQRT('Hilfstabellen_Mat&amp;Bem'!f.Rd.3/'Hilfstabellen_Mat&amp;Bem'!$BD$30)</f>
        <v>1.8674043232028439</v>
      </c>
      <c r="EP72" s="553">
        <f>0.5*(1+'Hilfstabellen_Mat&amp;Bem'!$BD$31*(EO72-0.3)+EO72^2)</f>
        <v>2.3219696693184777</v>
      </c>
      <c r="EQ72" s="550">
        <f t="shared" si="57"/>
        <v>0.27012794453752959</v>
      </c>
      <c r="ES72" s="551">
        <f t="shared" si="58"/>
        <v>4153.487275209055</v>
      </c>
    </row>
    <row r="73" spans="3:149">
      <c r="C73" s="546">
        <v>125</v>
      </c>
      <c r="D73" s="551">
        <f t="shared" ref="D73:D136" si="67">$B$8*10^3/$C73*SQRT(12)</f>
        <v>77.595876179085693</v>
      </c>
      <c r="E73" s="553">
        <f>$D73/PI()*SQRT('Hilfstabellen_Mat&amp;Bem'!f.Rd.3/'Hilfstabellen_Mat&amp;Bem'!$BD$30)</f>
        <v>1.2349767257448141</v>
      </c>
      <c r="F73" s="553">
        <f>0.5*(1+'Hilfstabellen_Mat&amp;Bem'!$BD$31*($E73-0.3)+$E73^2)</f>
        <v>1.3093325928529316</v>
      </c>
      <c r="G73" s="550">
        <f t="shared" ref="G73:G136" si="68">MIN(1/($F73+SQRT($F73^2-$E73^2)),1)</f>
        <v>0.57330053259678515</v>
      </c>
      <c r="I73" s="551">
        <f t="shared" ref="I73:I136" si="69">C73^2*G73</f>
        <v>8957.8208218247673</v>
      </c>
      <c r="M73" s="546">
        <f t="shared" ref="M73:M136" si="70">$C73</f>
        <v>125</v>
      </c>
      <c r="N73" s="551">
        <f t="shared" si="59"/>
        <v>80.367157471195895</v>
      </c>
      <c r="O73" s="553">
        <f>$N73/PI()*SQRT('Hilfstabellen_Mat&amp;Bem'!f.Rd.3/'Hilfstabellen_Mat&amp;Bem'!$BD$30)</f>
        <v>1.2790830373785576</v>
      </c>
      <c r="P73" s="553">
        <f>0.5*(1+'Hilfstabellen_Mat&amp;Bem'!$BD$31*($O73-0.3)+$O73^2)</f>
        <v>1.3669808601237059</v>
      </c>
      <c r="Q73" s="550">
        <f t="shared" si="60"/>
        <v>0.54075984867557469</v>
      </c>
      <c r="S73" s="551">
        <f t="shared" ref="S73:S136" si="71">M73^2*Q73</f>
        <v>8449.3726355558538</v>
      </c>
      <c r="W73" s="546">
        <f t="shared" ref="W73:W136" si="72">$C73</f>
        <v>125</v>
      </c>
      <c r="X73" s="551">
        <f t="shared" si="61"/>
        <v>83.138438763306112</v>
      </c>
      <c r="Y73" s="553">
        <f>$X73/PI()*SQRT('Hilfstabellen_Mat&amp;Bem'!f.Rd.3/'Hilfstabellen_Mat&amp;Bem'!$BD$30)</f>
        <v>1.323189349012301</v>
      </c>
      <c r="Z73" s="553">
        <f>0.5*(1+'Hilfstabellen_Mat&amp;Bem'!$BD$31*($Y73-0.3)+$Y73^2)</f>
        <v>1.4265744941204135</v>
      </c>
      <c r="AA73" s="550">
        <f t="shared" si="62"/>
        <v>0.51026706373282316</v>
      </c>
      <c r="AC73" s="551">
        <f t="shared" ref="AC73:AC136" si="73">W73^2*AA73</f>
        <v>7972.9228708253622</v>
      </c>
      <c r="AG73" s="546">
        <f t="shared" ref="AG73:AG136" si="74">$C73</f>
        <v>125</v>
      </c>
      <c r="AH73" s="551">
        <f t="shared" si="63"/>
        <v>85.909720055416315</v>
      </c>
      <c r="AI73" s="553">
        <f>$AH73/PI()*SQRT('Hilfstabellen_Mat&amp;Bem'!f.Rd.3/'Hilfstabellen_Mat&amp;Bem'!$BD$30)</f>
        <v>1.3672956606460445</v>
      </c>
      <c r="AJ73" s="553">
        <f>0.5*(1+'Hilfstabellen_Mat&amp;Bem'!$BD$31*($AI73-0.3)+$AI73^2)</f>
        <v>1.4881134948430539</v>
      </c>
      <c r="AK73" s="550">
        <f t="shared" si="64"/>
        <v>0.48181923100213808</v>
      </c>
      <c r="AM73" s="551">
        <f t="shared" ref="AM73:AM136" si="75">AG73^2*AK73</f>
        <v>7528.4254844084071</v>
      </c>
      <c r="AQ73" s="546">
        <f t="shared" ref="AQ73:AQ136" si="76">$C73</f>
        <v>125</v>
      </c>
      <c r="AR73" s="551">
        <f t="shared" si="65"/>
        <v>88.681001347526518</v>
      </c>
      <c r="AS73" s="553">
        <f>$AR73/PI()*SQRT('Hilfstabellen_Mat&amp;Bem'!f.Rd.3/'Hilfstabellen_Mat&amp;Bem'!$BD$30)</f>
        <v>1.4114019722797879</v>
      </c>
      <c r="AT73" s="553">
        <f>0.5*(1+'Hilfstabellen_Mat&amp;Bem'!$BD$31*($AS73-0.3)+$AS73^2)</f>
        <v>1.5515978622916271</v>
      </c>
      <c r="AU73" s="550">
        <f t="shared" si="66"/>
        <v>0.45534987283006151</v>
      </c>
      <c r="AW73" s="551">
        <f t="shared" ref="AW73:AW136" si="77">AQ73^2*AU73</f>
        <v>7114.8417629697115</v>
      </c>
      <c r="BA73" s="546">
        <f t="shared" si="19"/>
        <v>125</v>
      </c>
      <c r="BB73" s="551">
        <f t="shared" si="20"/>
        <v>91.452282639636707</v>
      </c>
      <c r="BC73" s="553">
        <f>$BB73/PI()*SQRT('Hilfstabellen_Mat&amp;Bem'!f.Rd.3/'Hilfstabellen_Mat&amp;Bem'!$BD$30)</f>
        <v>1.4555082839135309</v>
      </c>
      <c r="BD73" s="553">
        <f>0.5*(1+'Hilfstabellen_Mat&amp;Bem'!$BD$31*($BC73-0.3)+$BC73^2)</f>
        <v>1.6170275964661325</v>
      </c>
      <c r="BE73" s="550">
        <f t="shared" si="21"/>
        <v>0.43075696236864602</v>
      </c>
      <c r="BG73" s="551">
        <f t="shared" si="22"/>
        <v>6730.5775370100937</v>
      </c>
      <c r="BK73" s="546">
        <f t="shared" si="23"/>
        <v>125</v>
      </c>
      <c r="BL73" s="551">
        <f t="shared" si="24"/>
        <v>94.223563931746924</v>
      </c>
      <c r="BM73" s="553">
        <f>$BL73/PI()*SQRT('Hilfstabellen_Mat&amp;Bem'!f.Rd.3/'Hilfstabellen_Mat&amp;Bem'!$BD$30)</f>
        <v>1.4996145955472746</v>
      </c>
      <c r="BN73" s="553">
        <f>0.5*(1+'Hilfstabellen_Mat&amp;Bem'!$BD$31*($BM73-0.3)+$BM73^2)</f>
        <v>1.6844026973665716</v>
      </c>
      <c r="BO73" s="550">
        <f t="shared" si="25"/>
        <v>0.40792108862515919</v>
      </c>
      <c r="BQ73" s="551">
        <f t="shared" si="26"/>
        <v>6373.7670097681121</v>
      </c>
      <c r="BU73" s="546">
        <f t="shared" si="27"/>
        <v>125</v>
      </c>
      <c r="BV73" s="551">
        <f t="shared" si="28"/>
        <v>96.994845223857126</v>
      </c>
      <c r="BW73" s="553">
        <f>$BV73/PI()*SQRT('Hilfstabellen_Mat&amp;Bem'!f.Rd.3/'Hilfstabellen_Mat&amp;Bem'!$BD$30)</f>
        <v>1.5437209071810178</v>
      </c>
      <c r="BX73" s="553">
        <f>0.5*(1+'Hilfstabellen_Mat&amp;Bem'!$BD$31*($BW73-0.3)+$BW73^2)</f>
        <v>1.7537231649929432</v>
      </c>
      <c r="BY73" s="550">
        <f t="shared" si="29"/>
        <v>0.38671683227639481</v>
      </c>
      <c r="CA73" s="551">
        <f t="shared" si="30"/>
        <v>6042.4505043186691</v>
      </c>
      <c r="CE73" s="546">
        <f t="shared" si="31"/>
        <v>125</v>
      </c>
      <c r="CF73" s="551">
        <f t="shared" si="32"/>
        <v>99.766126515967329</v>
      </c>
      <c r="CG73" s="553">
        <f>CF73/PI()*SQRT('Hilfstabellen_Mat&amp;Bem'!f.Rd.3/'Hilfstabellen_Mat&amp;Bem'!$BD$30)</f>
        <v>1.5878272188147611</v>
      </c>
      <c r="CH73" s="553">
        <f>0.5*(1+'Hilfstabellen_Mat&amp;Bem'!$BD$31*(CG73-0.3)+CG73^2)</f>
        <v>1.8249889993452477</v>
      </c>
      <c r="CI73" s="550">
        <f t="shared" si="33"/>
        <v>0.36701964303967183</v>
      </c>
      <c r="CK73" s="551">
        <f t="shared" si="34"/>
        <v>5734.6819224948722</v>
      </c>
      <c r="CO73" s="546">
        <f t="shared" si="35"/>
        <v>125</v>
      </c>
      <c r="CP73" s="551">
        <f t="shared" si="36"/>
        <v>102.53740780807753</v>
      </c>
      <c r="CQ73" s="553">
        <f>CP73/PI()*SQRT('Hilfstabellen_Mat&amp;Bem'!f.Rd.3/'Hilfstabellen_Mat&amp;Bem'!$BD$30)</f>
        <v>1.6319335304485045</v>
      </c>
      <c r="CR73" s="553">
        <f>0.5*(1+'Hilfstabellen_Mat&amp;Bem'!$BD$31*(CQ73-0.3)+CQ73^2)</f>
        <v>1.898200200423485</v>
      </c>
      <c r="CS73" s="550">
        <f t="shared" si="37"/>
        <v>0.34870981199596685</v>
      </c>
      <c r="CU73" s="551">
        <f t="shared" si="38"/>
        <v>5448.5908124369817</v>
      </c>
      <c r="CY73" s="546">
        <f t="shared" si="39"/>
        <v>125</v>
      </c>
      <c r="CZ73" s="551">
        <f t="shared" si="40"/>
        <v>105.30868910018773</v>
      </c>
      <c r="DA73" s="553">
        <f>CZ73/PI()*SQRT('Hilfstabellen_Mat&amp;Bem'!f.Rd.3/'Hilfstabellen_Mat&amp;Bem'!$BD$30)</f>
        <v>1.676039842082248</v>
      </c>
      <c r="DB73" s="553">
        <f>0.5*(1+'Hilfstabellen_Mat&amp;Bem'!$BD$31*(DA73-0.3)+DA73^2)</f>
        <v>1.9733567682276556</v>
      </c>
      <c r="DC73" s="550">
        <f t="shared" si="41"/>
        <v>0.33167460156993017</v>
      </c>
      <c r="DE73" s="551">
        <f t="shared" si="42"/>
        <v>5182.4156495301586</v>
      </c>
      <c r="DI73" s="546">
        <f t="shared" si="43"/>
        <v>125</v>
      </c>
      <c r="DJ73" s="551">
        <f t="shared" si="44"/>
        <v>108.07997039229794</v>
      </c>
      <c r="DK73" s="553">
        <f>DJ73/PI()*SQRT('Hilfstabellen_Mat&amp;Bem'!f.Rd.3/'Hilfstabellen_Mat&amp;Bem'!$BD$30)</f>
        <v>1.7201461537159912</v>
      </c>
      <c r="DL73" s="553">
        <f>0.5*(1+'Hilfstabellen_Mat&amp;Bem'!$BD$31*(DK73-0.3)+DK73^2)</f>
        <v>2.0504587027577585</v>
      </c>
      <c r="DM73" s="550">
        <f t="shared" si="45"/>
        <v>0.31580922623640595</v>
      </c>
      <c r="DO73" s="551">
        <f t="shared" si="46"/>
        <v>4934.5191599438431</v>
      </c>
      <c r="DS73" s="546">
        <f t="shared" si="47"/>
        <v>125</v>
      </c>
      <c r="DT73" s="551">
        <f t="shared" si="48"/>
        <v>110.85125168440814</v>
      </c>
      <c r="DU73" s="553">
        <f>DT73/PI()*SQRT('Hilfstabellen_Mat&amp;Bem'!f.Rd.3/'Hilfstabellen_Mat&amp;Bem'!$BD$30)</f>
        <v>1.7642524653497347</v>
      </c>
      <c r="DV73" s="553">
        <f>0.5*(1+'Hilfstabellen_Mat&amp;Bem'!$BD$31*(DU73-0.3)+DU73^2)</f>
        <v>2.1295060040137952</v>
      </c>
      <c r="DW73" s="550">
        <f t="shared" si="49"/>
        <v>0.30101713025294041</v>
      </c>
      <c r="DY73" s="551">
        <f t="shared" si="50"/>
        <v>4703.3926602021938</v>
      </c>
      <c r="EC73" s="546">
        <f t="shared" si="51"/>
        <v>125</v>
      </c>
      <c r="ED73" s="551">
        <f t="shared" si="52"/>
        <v>113.62253297651833</v>
      </c>
      <c r="EE73" s="553">
        <f>ED73/PI()*SQRT('Hilfstabellen_Mat&amp;Bem'!f.Rd.3/'Hilfstabellen_Mat&amp;Bem'!$BD$30)</f>
        <v>1.8083587769834777</v>
      </c>
      <c r="EF73" s="553">
        <f>0.5*(1+'Hilfstabellen_Mat&amp;Bem'!$BD$31*(EE73-0.3)+EE73^2)</f>
        <v>2.2104986719957633</v>
      </c>
      <c r="EG73" s="550">
        <f t="shared" si="53"/>
        <v>0.28720984744717803</v>
      </c>
      <c r="EI73" s="551">
        <f t="shared" si="54"/>
        <v>4487.6538663621568</v>
      </c>
      <c r="EM73" s="546">
        <f t="shared" si="55"/>
        <v>125</v>
      </c>
      <c r="EN73" s="551">
        <f t="shared" si="56"/>
        <v>116.39381426862855</v>
      </c>
      <c r="EO73" s="553">
        <f>EN73/PI()*SQRT('Hilfstabellen_Mat&amp;Bem'!f.Rd.3/'Hilfstabellen_Mat&amp;Bem'!$BD$30)</f>
        <v>1.8524650886172211</v>
      </c>
      <c r="EP73" s="553">
        <f>0.5*(1+'Hilfstabellen_Mat&amp;Bem'!$BD$31*(EO73-0.3)+EO73^2)</f>
        <v>2.2934367067036656</v>
      </c>
      <c r="EQ73" s="550">
        <f t="shared" si="57"/>
        <v>0.27430662380706122</v>
      </c>
      <c r="ES73" s="551">
        <f t="shared" si="58"/>
        <v>4286.0409969853317</v>
      </c>
    </row>
    <row r="74" spans="3:149">
      <c r="C74" s="546">
        <v>126</v>
      </c>
      <c r="D74" s="551">
        <f t="shared" si="67"/>
        <v>76.980035891950095</v>
      </c>
      <c r="E74" s="553">
        <f>$D74/PI()*SQRT('Hilfstabellen_Mat&amp;Bem'!f.Rd.3/'Hilfstabellen_Mat&amp;Bem'!$BD$30)</f>
        <v>1.2251753231595379</v>
      </c>
      <c r="F74" s="553">
        <f>0.5*(1+'Hilfstabellen_Mat&amp;Bem'!$BD$31*($E74-0.3)+$E74^2)</f>
        <v>1.2967860523975161</v>
      </c>
      <c r="G74" s="550">
        <f t="shared" si="68"/>
        <v>0.58080237549328984</v>
      </c>
      <c r="I74" s="551">
        <f t="shared" si="69"/>
        <v>9220.8185133314691</v>
      </c>
      <c r="M74" s="546">
        <f t="shared" si="70"/>
        <v>126</v>
      </c>
      <c r="N74" s="551">
        <f t="shared" si="59"/>
        <v>79.729322888091176</v>
      </c>
      <c r="O74" s="553">
        <f>$N74/PI()*SQRT('Hilfstabellen_Mat&amp;Bem'!f.Rd.3/'Hilfstabellen_Mat&amp;Bem'!$BD$30)</f>
        <v>1.2689315847009501</v>
      </c>
      <c r="P74" s="553">
        <f>0.5*(1+'Hilfstabellen_Mat&amp;Bem'!$BD$31*($O74-0.3)+$O74^2)</f>
        <v>1.3535402625608799</v>
      </c>
      <c r="Q74" s="550">
        <f t="shared" si="60"/>
        <v>0.54806960196618137</v>
      </c>
      <c r="S74" s="551">
        <f t="shared" si="71"/>
        <v>8701.1530008150949</v>
      </c>
      <c r="W74" s="546">
        <f t="shared" si="72"/>
        <v>126</v>
      </c>
      <c r="X74" s="551">
        <f t="shared" si="61"/>
        <v>82.478609884232256</v>
      </c>
      <c r="Y74" s="553">
        <f>$X74/PI()*SQRT('Hilfstabellen_Mat&amp;Bem'!f.Rd.3/'Hilfstabellen_Mat&amp;Bem'!$BD$30)</f>
        <v>1.3126878462423621</v>
      </c>
      <c r="Z74" s="553">
        <f>0.5*(1+'Hilfstabellen_Mat&amp;Bem'!$BD$31*($Y74-0.3)+$Y74^2)</f>
        <v>1.4122090831483236</v>
      </c>
      <c r="AA74" s="550">
        <f t="shared" si="62"/>
        <v>0.51734035575160087</v>
      </c>
      <c r="AC74" s="551">
        <f t="shared" si="73"/>
        <v>8213.2954879124154</v>
      </c>
      <c r="AG74" s="546">
        <f t="shared" si="74"/>
        <v>126</v>
      </c>
      <c r="AH74" s="551">
        <f t="shared" si="63"/>
        <v>85.227896880373322</v>
      </c>
      <c r="AI74" s="553">
        <f>$AH74/PI()*SQRT('Hilfstabellen_Mat&amp;Bem'!f.Rd.3/'Hilfstabellen_Mat&amp;Bem'!$BD$30)</f>
        <v>1.3564441077837741</v>
      </c>
      <c r="AJ74" s="553">
        <f>0.5*(1+'Hilfstabellen_Mat&amp;Bem'!$BD$31*($AI74-0.3)+$AI74^2)</f>
        <v>1.4727925141598481</v>
      </c>
      <c r="AK74" s="550">
        <f t="shared" si="64"/>
        <v>0.48863146319968254</v>
      </c>
      <c r="AM74" s="551">
        <f t="shared" si="75"/>
        <v>7757.5131097581598</v>
      </c>
      <c r="AQ74" s="546">
        <f t="shared" si="76"/>
        <v>126</v>
      </c>
      <c r="AR74" s="551">
        <f t="shared" si="65"/>
        <v>87.977183876514388</v>
      </c>
      <c r="AS74" s="553">
        <f>$AR74/PI()*SQRT('Hilfstabellen_Mat&amp;Bem'!f.Rd.3/'Hilfstabellen_Mat&amp;Bem'!$BD$30)</f>
        <v>1.4002003693251861</v>
      </c>
      <c r="AT74" s="553">
        <f>0.5*(1+'Hilfstabellen_Mat&amp;Bem'!$BD$31*($AS74-0.3)+$AS74^2)</f>
        <v>1.535290555595453</v>
      </c>
      <c r="AU74" s="550">
        <f t="shared" si="66"/>
        <v>0.46189003238009735</v>
      </c>
      <c r="AW74" s="551">
        <f t="shared" si="77"/>
        <v>7332.9661540664256</v>
      </c>
      <c r="BA74" s="546">
        <f t="shared" ref="BA74:BA137" si="78">$C74</f>
        <v>126</v>
      </c>
      <c r="BB74" s="551">
        <f t="shared" ref="BB74:BB137" si="79">$AZ$8*10^3/$BA74*SQRT(12)</f>
        <v>90.726470872655469</v>
      </c>
      <c r="BC74" s="553">
        <f>$BB74/PI()*SQRT('Hilfstabellen_Mat&amp;Bem'!f.Rd.3/'Hilfstabellen_Mat&amp;Bem'!$BD$30)</f>
        <v>1.4439566308665981</v>
      </c>
      <c r="BD74" s="553">
        <f>0.5*(1+'Hilfstabellen_Mat&amp;Bem'!$BD$31*($BC74-0.3)+$BC74^2)</f>
        <v>1.5997032074551385</v>
      </c>
      <c r="BE74" s="550">
        <f t="shared" ref="BE74:BE137" si="80">MIN(1/($BD74+SQRT($BD74^2-$BC74^2)),1)</f>
        <v>0.43702310355094148</v>
      </c>
      <c r="BG74" s="551">
        <f t="shared" ref="BG74:BG137" si="81">BA74^2*BE74</f>
        <v>6938.1787919747467</v>
      </c>
      <c r="BK74" s="546">
        <f t="shared" ref="BK74:BK137" si="82">$C74</f>
        <v>126</v>
      </c>
      <c r="BL74" s="551">
        <f t="shared" ref="BL74:BL137" si="83">$BJ$8*10^3/$BK74*SQRT(12)</f>
        <v>93.475757868796549</v>
      </c>
      <c r="BM74" s="553">
        <f>$BL74/PI()*SQRT('Hilfstabellen_Mat&amp;Bem'!f.Rd.3/'Hilfstabellen_Mat&amp;Bem'!$BD$30)</f>
        <v>1.4877128924080103</v>
      </c>
      <c r="BN74" s="553">
        <f>0.5*(1+'Hilfstabellen_Mat&amp;Bem'!$BD$31*($BM74-0.3)+$BM74^2)</f>
        <v>1.6660304697389043</v>
      </c>
      <c r="BO74" s="550">
        <f t="shared" ref="BO74:BO137" si="84">MIN(1/($BN74+SQRT($BN74^2-$BM74^2)),1)</f>
        <v>0.41391715610870944</v>
      </c>
      <c r="BQ74" s="551">
        <f t="shared" ref="BQ74:BQ137" si="85">BK74^2*BO74</f>
        <v>6571.348770381871</v>
      </c>
      <c r="BU74" s="546">
        <f t="shared" ref="BU74:BU137" si="86">$C74</f>
        <v>126</v>
      </c>
      <c r="BV74" s="551">
        <f t="shared" ref="BV74:BV137" si="87">$BT$8*10^3/$BU74*SQRT(12)</f>
        <v>96.22504486493763</v>
      </c>
      <c r="BW74" s="553">
        <f>$BV74/PI()*SQRT('Hilfstabellen_Mat&amp;Bem'!f.Rd.3/'Hilfstabellen_Mat&amp;Bem'!$BD$30)</f>
        <v>1.5314691539494225</v>
      </c>
      <c r="BX74" s="553">
        <f>0.5*(1+'Hilfstabellen_Mat&amp;Bem'!$BD$31*($BW74-0.3)+$BW74^2)</f>
        <v>1.7342723424467512</v>
      </c>
      <c r="BY74" s="550">
        <f t="shared" ref="BY74:BY137" si="88">MIN(1/($BX74+SQRT($BX74^2-$BW74^2)),1)</f>
        <v>0.3924504746390417</v>
      </c>
      <c r="CA74" s="551">
        <f t="shared" ref="CA74:CA137" si="89">BU74^2*BY74</f>
        <v>6230.543735369426</v>
      </c>
      <c r="CE74" s="546">
        <f t="shared" ref="CE74:CE137" si="90">$C74</f>
        <v>126</v>
      </c>
      <c r="CF74" s="551">
        <f t="shared" ref="CF74:CF137" si="91">$CD$8*10^3/CE74*SQRT(12)</f>
        <v>98.974331861078696</v>
      </c>
      <c r="CG74" s="553">
        <f>CF74/PI()*SQRT('Hilfstabellen_Mat&amp;Bem'!f.Rd.3/'Hilfstabellen_Mat&amp;Bem'!$BD$30)</f>
        <v>1.5752254154908345</v>
      </c>
      <c r="CH74" s="553">
        <f>0.5*(1+'Hilfstabellen_Mat&amp;Bem'!$BD$31*(CG74-0.3)+CG74^2)</f>
        <v>1.804428825578678</v>
      </c>
      <c r="CI74" s="550">
        <f t="shared" ref="CI74:CI137" si="92">MIN(1/(CH74+SQRT(CH74^2-CG74^2)),1)</f>
        <v>0.3725007270207823</v>
      </c>
      <c r="CK74" s="551">
        <f t="shared" ref="CK74:CK137" si="93">CE74^2*CI74</f>
        <v>5913.8215421819395</v>
      </c>
      <c r="CO74" s="546">
        <f t="shared" ref="CO74:CO137" si="94">$C74</f>
        <v>126</v>
      </c>
      <c r="CP74" s="551">
        <f t="shared" ref="CP74:CP137" si="95">$CN$8*10^3/CO74*SQRT(12)</f>
        <v>101.72361885721976</v>
      </c>
      <c r="CQ74" s="553">
        <f>CP74/PI()*SQRT('Hilfstabellen_Mat&amp;Bem'!f.Rd.3/'Hilfstabellen_Mat&amp;Bem'!$BD$30)</f>
        <v>1.6189816770322463</v>
      </c>
      <c r="CR74" s="553">
        <f>0.5*(1+'Hilfstabellen_Mat&amp;Bem'!$BD$31*(CQ74-0.3)+CQ74^2)</f>
        <v>1.8764999191346847</v>
      </c>
      <c r="CS74" s="550">
        <f t="shared" ref="CS74:CS137" si="96">MIN(1/(CR74+SQRT(CR74^2-CQ74^2)),1)</f>
        <v>0.35394942227162307</v>
      </c>
      <c r="CU74" s="551">
        <f t="shared" ref="CU74:CU137" si="97">CO74^2*CS74</f>
        <v>5619.3010279842874</v>
      </c>
      <c r="CY74" s="546">
        <f t="shared" ref="CY74:CY137" si="98">$C74</f>
        <v>126</v>
      </c>
      <c r="CZ74" s="551">
        <f t="shared" ref="CZ74:CZ137" si="99">$CX$8*10^3/CY74*SQRT(12)</f>
        <v>104.47290585336084</v>
      </c>
      <c r="DA74" s="553">
        <f>CZ74/PI()*SQRT('Hilfstabellen_Mat&amp;Bem'!f.Rd.3/'Hilfstabellen_Mat&amp;Bem'!$BD$30)</f>
        <v>1.6627379385736587</v>
      </c>
      <c r="DB74" s="553">
        <f>0.5*(1+'Hilfstabellen_Mat&amp;Bem'!$BD$31*(DA74-0.3)+DA74^2)</f>
        <v>1.9504856231147731</v>
      </c>
      <c r="DC74" s="550">
        <f t="shared" ref="DC74:DC137" si="100">MIN(1/(DB74+SQRT(DB74^2-DA74^2)),1)</f>
        <v>0.33668437348505625</v>
      </c>
      <c r="DE74" s="551">
        <f t="shared" ref="DE74:DE137" si="101">CY74^2*DC74</f>
        <v>5345.2011134487529</v>
      </c>
      <c r="DI74" s="546">
        <f t="shared" ref="DI74:DI137" si="102">$C74</f>
        <v>126</v>
      </c>
      <c r="DJ74" s="551">
        <f t="shared" ref="DJ74:DJ137" si="103">$DH$8*10^3/DI74*SQRT(12)</f>
        <v>107.22219284950192</v>
      </c>
      <c r="DK74" s="553">
        <f>DJ74/PI()*SQRT('Hilfstabellen_Mat&amp;Bem'!f.Rd.3/'Hilfstabellen_Mat&amp;Bem'!$BD$30)</f>
        <v>1.7064942001150705</v>
      </c>
      <c r="DL74" s="553">
        <f>0.5*(1+'Hilfstabellen_Mat&amp;Bem'!$BD$31*(DK74-0.3)+DK74^2)</f>
        <v>2.0263859375189406</v>
      </c>
      <c r="DM74" s="550">
        <f t="shared" ref="DM74:DM137" si="104">MIN(1/(DL74+SQRT(DL74^2-DK74^2)),1)</f>
        <v>0.32060090580168754</v>
      </c>
      <c r="DO74" s="551">
        <f t="shared" ref="DO74:DO137" si="105">DI74^2*DM74</f>
        <v>5089.859980507591</v>
      </c>
      <c r="DS74" s="546">
        <f t="shared" ref="DS74:DS137" si="106">$C74</f>
        <v>126</v>
      </c>
      <c r="DT74" s="551">
        <f t="shared" ref="DT74:DT137" si="107">$DR$8*10^3/DS74*SQRT(12)</f>
        <v>109.971479845643</v>
      </c>
      <c r="DU74" s="553">
        <f>DT74/PI()*SQRT('Hilfstabellen_Mat&amp;Bem'!f.Rd.3/'Hilfstabellen_Mat&amp;Bem'!$BD$30)</f>
        <v>1.7502504616564829</v>
      </c>
      <c r="DV74" s="553">
        <f>0.5*(1+'Hilfstabellen_Mat&amp;Bem'!$BD$31*(DU74-0.3)+DU74^2)</f>
        <v>2.1042008623471902</v>
      </c>
      <c r="DW74" s="550">
        <f t="shared" ref="DW74:DW137" si="108">MIN(1/(DV74+SQRT(DV74^2-DU74^2)),1)</f>
        <v>0.30560228895491826</v>
      </c>
      <c r="DY74" s="551">
        <f t="shared" ref="DY74:DY137" si="109">DS74^2*DW74</f>
        <v>4851.7419394482822</v>
      </c>
      <c r="EC74" s="546">
        <f t="shared" ref="EC74:EC137" si="110">$C74</f>
        <v>126</v>
      </c>
      <c r="ED74" s="551">
        <f t="shared" ref="ED74:ED137" si="111">$EB$8*10^3/EC74*SQRT(12)</f>
        <v>112.72076684178407</v>
      </c>
      <c r="EE74" s="553">
        <f>ED74/PI()*SQRT('Hilfstabellen_Mat&amp;Bem'!f.Rd.3/'Hilfstabellen_Mat&amp;Bem'!$BD$30)</f>
        <v>1.7940067231978949</v>
      </c>
      <c r="EF74" s="553">
        <f>0.5*(1+'Hilfstabellen_Mat&amp;Bem'!$BD$31*(EE74-0.3)+EE74^2)</f>
        <v>2.1839303975995188</v>
      </c>
      <c r="EG74" s="550">
        <f t="shared" ref="EG74:EG137" si="112">MIN(1/(EF74+SQRT(EF74^2-EE74^2)),1)</f>
        <v>0.29159970239387389</v>
      </c>
      <c r="EI74" s="551">
        <f t="shared" ref="EI74:EI137" si="113">EC74^2*EG74</f>
        <v>4629.4368752051423</v>
      </c>
      <c r="EM74" s="546">
        <f t="shared" ref="EM74:EM137" si="114">$C74</f>
        <v>126</v>
      </c>
      <c r="EN74" s="551">
        <f t="shared" ref="EN74:EN137" si="115">$EL$8*10^3/EM74*SQRT(12)</f>
        <v>115.47005383792515</v>
      </c>
      <c r="EO74" s="553">
        <f>EN74/PI()*SQRT('Hilfstabellen_Mat&amp;Bem'!f.Rd.3/'Hilfstabellen_Mat&amp;Bem'!$BD$30)</f>
        <v>1.8377629847393071</v>
      </c>
      <c r="EP74" s="553">
        <f>0.5*(1+'Hilfstabellen_Mat&amp;Bem'!$BD$31*(EO74-0.3)+EO74^2)</f>
        <v>2.2655745432759287</v>
      </c>
      <c r="EQ74" s="550">
        <f t="shared" ref="EQ74:EQ137" si="116">MIN(1/(EP74+SQRT(EP74^2-EO74^2)),1)</f>
        <v>0.27851192942466541</v>
      </c>
      <c r="ES74" s="551">
        <f t="shared" ref="ES74:ES137" si="117">EM74^2*EQ74</f>
        <v>4421.6553915459881</v>
      </c>
    </row>
    <row r="75" spans="3:149">
      <c r="C75" s="546">
        <v>127</v>
      </c>
      <c r="D75" s="551">
        <f t="shared" si="67"/>
        <v>76.373893877052851</v>
      </c>
      <c r="E75" s="553">
        <f>$D75/PI()*SQRT('Hilfstabellen_Mat&amp;Bem'!f.Rd.3/'Hilfstabellen_Mat&amp;Bem'!$BD$30)</f>
        <v>1.2155282733708801</v>
      </c>
      <c r="F75" s="553">
        <f>0.5*(1+'Hilfstabellen_Mat&amp;Bem'!$BD$31*($E75-0.3)+$E75^2)</f>
        <v>1.2845309053505405</v>
      </c>
      <c r="G75" s="550">
        <f t="shared" si="68"/>
        <v>0.5882785721917122</v>
      </c>
      <c r="I75" s="551">
        <f t="shared" si="69"/>
        <v>9488.345090880126</v>
      </c>
      <c r="M75" s="546">
        <f t="shared" si="70"/>
        <v>127</v>
      </c>
      <c r="N75" s="551">
        <f t="shared" si="59"/>
        <v>79.101532944090451</v>
      </c>
      <c r="O75" s="553">
        <f>$N75/PI()*SQRT('Hilfstabellen_Mat&amp;Bem'!f.Rd.3/'Hilfstabellen_Mat&amp;Bem'!$BD$30)</f>
        <v>1.2589399974198401</v>
      </c>
      <c r="P75" s="553">
        <f>0.5*(1+'Hilfstabellen_Mat&amp;Bem'!$BD$31*($O75-0.3)+$O75^2)</f>
        <v>1.3404119584227256</v>
      </c>
      <c r="Q75" s="550">
        <f t="shared" si="60"/>
        <v>0.55537000729177688</v>
      </c>
      <c r="S75" s="551">
        <f t="shared" si="71"/>
        <v>8957.5628476090696</v>
      </c>
      <c r="W75" s="546">
        <f t="shared" si="72"/>
        <v>127</v>
      </c>
      <c r="X75" s="551">
        <f t="shared" si="61"/>
        <v>81.829172011128065</v>
      </c>
      <c r="Y75" s="553">
        <f>$X75/PI()*SQRT('Hilfstabellen_Mat&amp;Bem'!f.Rd.3/'Hilfstabellen_Mat&amp;Bem'!$BD$30)</f>
        <v>1.3023517214688003</v>
      </c>
      <c r="Z75" s="553">
        <f>0.5*(1+'Hilfstabellen_Mat&amp;Bem'!$BD$31*($Y75-0.3)+$Y75^2)</f>
        <v>1.3981775892798138</v>
      </c>
      <c r="AA75" s="550">
        <f t="shared" si="62"/>
        <v>0.52441619375863968</v>
      </c>
      <c r="AC75" s="551">
        <f t="shared" si="73"/>
        <v>8458.3087891330997</v>
      </c>
      <c r="AG75" s="546">
        <f t="shared" si="74"/>
        <v>127</v>
      </c>
      <c r="AH75" s="551">
        <f t="shared" si="63"/>
        <v>84.556811078165651</v>
      </c>
      <c r="AI75" s="553">
        <f>$AH75/PI()*SQRT('Hilfstabellen_Mat&amp;Bem'!f.Rd.3/'Hilfstabellen_Mat&amp;Bem'!$BD$30)</f>
        <v>1.3457634455177601</v>
      </c>
      <c r="AJ75" s="553">
        <f>0.5*(1+'Hilfstabellen_Mat&amp;Bem'!$BD$31*($AI75-0.3)+$AI75^2)</f>
        <v>1.4578277979218046</v>
      </c>
      <c r="AK75" s="550">
        <f t="shared" si="64"/>
        <v>0.49545475549167706</v>
      </c>
      <c r="AM75" s="551">
        <f t="shared" si="75"/>
        <v>7991.1897513252588</v>
      </c>
      <c r="AQ75" s="546">
        <f t="shared" si="76"/>
        <v>127</v>
      </c>
      <c r="AR75" s="551">
        <f t="shared" si="65"/>
        <v>87.284450145203266</v>
      </c>
      <c r="AS75" s="553">
        <f>$AR75/PI()*SQRT('Hilfstabellen_Mat&amp;Bem'!f.Rd.3/'Hilfstabellen_Mat&amp;Bem'!$BD$30)</f>
        <v>1.3891751695667203</v>
      </c>
      <c r="AT75" s="553">
        <f>0.5*(1+'Hilfstabellen_Mat&amp;Bem'!$BD$31*($AS75-0.3)+$AS75^2)</f>
        <v>1.5193625843486991</v>
      </c>
      <c r="AU75" s="550">
        <f t="shared" si="66"/>
        <v>0.46844724676213756</v>
      </c>
      <c r="AW75" s="551">
        <f t="shared" si="77"/>
        <v>7555.5856430265167</v>
      </c>
      <c r="BA75" s="546">
        <f t="shared" si="78"/>
        <v>127</v>
      </c>
      <c r="BB75" s="551">
        <f t="shared" si="79"/>
        <v>90.012089212240866</v>
      </c>
      <c r="BC75" s="553">
        <f>$BB75/PI()*SQRT('Hilfstabellen_Mat&amp;Bem'!f.Rd.3/'Hilfstabellen_Mat&amp;Bem'!$BD$30)</f>
        <v>1.4325868936156803</v>
      </c>
      <c r="BD75" s="553">
        <f>0.5*(1+'Hilfstabellen_Mat&amp;Bem'!$BD$31*($BC75-0.3)+$BC75^2)</f>
        <v>1.5827819485604961</v>
      </c>
      <c r="BE75" s="550">
        <f t="shared" si="80"/>
        <v>0.4433104434493027</v>
      </c>
      <c r="BG75" s="551">
        <f t="shared" si="81"/>
        <v>7150.1541423938033</v>
      </c>
      <c r="BK75" s="546">
        <f t="shared" si="82"/>
        <v>127</v>
      </c>
      <c r="BL75" s="551">
        <f t="shared" si="83"/>
        <v>92.739728279278452</v>
      </c>
      <c r="BM75" s="553">
        <f>$BL75/PI()*SQRT('Hilfstabellen_Mat&amp;Bem'!f.Rd.3/'Hilfstabellen_Mat&amp;Bem'!$BD$30)</f>
        <v>1.47599861766464</v>
      </c>
      <c r="BN75" s="553">
        <f>0.5*(1+'Hilfstabellen_Mat&amp;Bem'!$BD$31*($BM75-0.3)+$BM75^2)</f>
        <v>1.648085890557196</v>
      </c>
      <c r="BO75" s="550">
        <f t="shared" si="84"/>
        <v>0.41993721545154034</v>
      </c>
      <c r="BQ75" s="551">
        <f t="shared" si="85"/>
        <v>6773.1673480178943</v>
      </c>
      <c r="BU75" s="546">
        <f t="shared" si="86"/>
        <v>127</v>
      </c>
      <c r="BV75" s="551">
        <f t="shared" si="87"/>
        <v>95.467367346316067</v>
      </c>
      <c r="BW75" s="553">
        <f>$BV75/PI()*SQRT('Hilfstabellen_Mat&amp;Bem'!f.Rd.3/'Hilfstabellen_Mat&amp;Bem'!$BD$30)</f>
        <v>1.5194103417136002</v>
      </c>
      <c r="BX75" s="553">
        <f>0.5*(1+'Hilfstabellen_Mat&amp;Bem'!$BD$31*($BW75-0.3)+$BW75^2)</f>
        <v>1.7152744103387998</v>
      </c>
      <c r="BY75" s="550">
        <f t="shared" si="88"/>
        <v>0.39820991872677042</v>
      </c>
      <c r="CA75" s="551">
        <f t="shared" si="89"/>
        <v>6422.7277791440802</v>
      </c>
      <c r="CE75" s="546">
        <f t="shared" si="90"/>
        <v>127</v>
      </c>
      <c r="CF75" s="551">
        <f t="shared" si="91"/>
        <v>98.195006413353667</v>
      </c>
      <c r="CG75" s="553">
        <f>CF75/PI()*SQRT('Hilfstabellen_Mat&amp;Bem'!f.Rd.3/'Hilfstabellen_Mat&amp;Bem'!$BD$30)</f>
        <v>1.5628220657625602</v>
      </c>
      <c r="CH75" s="553">
        <f>0.5*(1+'Hilfstabellen_Mat&amp;Bem'!$BD$31*(CG75-0.3)+CG75^2)</f>
        <v>1.7843475079053062</v>
      </c>
      <c r="CI75" s="550">
        <f t="shared" si="92"/>
        <v>0.37800870733600794</v>
      </c>
      <c r="CK75" s="551">
        <f t="shared" si="93"/>
        <v>6096.9024406224726</v>
      </c>
      <c r="CO75" s="546">
        <f t="shared" si="94"/>
        <v>127</v>
      </c>
      <c r="CP75" s="551">
        <f t="shared" si="95"/>
        <v>100.92264548039128</v>
      </c>
      <c r="CQ75" s="553">
        <f>CP75/PI()*SQRT('Hilfstabellen_Mat&amp;Bem'!f.Rd.3/'Hilfstabellen_Mat&amp;Bem'!$BD$30)</f>
        <v>1.6062337898115204</v>
      </c>
      <c r="CR75" s="553">
        <f>0.5*(1+'Hilfstabellen_Mat&amp;Bem'!$BD$31*(CQ75-0.3)+CQ75^2)</f>
        <v>1.8553051832567156</v>
      </c>
      <c r="CS75" s="550">
        <f t="shared" si="96"/>
        <v>0.35921650343796802</v>
      </c>
      <c r="CU75" s="551">
        <f t="shared" si="97"/>
        <v>5793.8029839509863</v>
      </c>
      <c r="CY75" s="546">
        <f t="shared" si="98"/>
        <v>127</v>
      </c>
      <c r="CZ75" s="551">
        <f t="shared" si="99"/>
        <v>103.65028454742887</v>
      </c>
      <c r="DA75" s="553">
        <f>CZ75/PI()*SQRT('Hilfstabellen_Mat&amp;Bem'!f.Rd.3/'Hilfstabellen_Mat&amp;Bem'!$BD$30)</f>
        <v>1.6496455138604802</v>
      </c>
      <c r="DB75" s="553">
        <f>0.5*(1+'Hilfstabellen_Mat&amp;Bem'!$BD$31*(DA75-0.3)+DA75^2)</f>
        <v>1.928147436393028</v>
      </c>
      <c r="DC75" s="550">
        <f t="shared" si="100"/>
        <v>0.341721813218547</v>
      </c>
      <c r="DE75" s="551">
        <f t="shared" si="101"/>
        <v>5511.6311254019447</v>
      </c>
      <c r="DI75" s="546">
        <f t="shared" si="102"/>
        <v>127</v>
      </c>
      <c r="DJ75" s="551">
        <f t="shared" si="103"/>
        <v>106.37792361446647</v>
      </c>
      <c r="DK75" s="553">
        <f>DJ75/PI()*SQRT('Hilfstabellen_Mat&amp;Bem'!f.Rd.3/'Hilfstabellen_Mat&amp;Bem'!$BD$30)</f>
        <v>1.6930572379094402</v>
      </c>
      <c r="DL75" s="553">
        <f>0.5*(1+'Hilfstabellen_Mat&amp;Bem'!$BD$31*(DK75-0.3)+DK75^2)</f>
        <v>2.0028742673142435</v>
      </c>
      <c r="DM75" s="550">
        <f t="shared" si="104"/>
        <v>0.32542017675553647</v>
      </c>
      <c r="DO75" s="551">
        <f t="shared" si="105"/>
        <v>5248.7020308900474</v>
      </c>
      <c r="DS75" s="546">
        <f t="shared" si="106"/>
        <v>127</v>
      </c>
      <c r="DT75" s="551">
        <f t="shared" si="107"/>
        <v>109.10556268150408</v>
      </c>
      <c r="DU75" s="553">
        <f>DT75/PI()*SQRT('Hilfstabellen_Mat&amp;Bem'!f.Rd.3/'Hilfstabellen_Mat&amp;Bem'!$BD$30)</f>
        <v>1.7364689619584004</v>
      </c>
      <c r="DV75" s="553">
        <f>0.5*(1+'Hilfstabellen_Mat&amp;Bem'!$BD$31*(DU75-0.3)+DU75^2)</f>
        <v>2.0794856760203624</v>
      </c>
      <c r="DW75" s="550">
        <f t="shared" si="108"/>
        <v>0.31021476591237757</v>
      </c>
      <c r="DY75" s="551">
        <f t="shared" si="109"/>
        <v>5003.4539594007374</v>
      </c>
      <c r="EC75" s="546">
        <f t="shared" si="110"/>
        <v>127</v>
      </c>
      <c r="ED75" s="551">
        <f t="shared" si="111"/>
        <v>111.83320174854167</v>
      </c>
      <c r="EE75" s="553">
        <f>ED75/PI()*SQRT('Hilfstabellen_Mat&amp;Bem'!f.Rd.3/'Hilfstabellen_Mat&amp;Bem'!$BD$30)</f>
        <v>1.7798806860073602</v>
      </c>
      <c r="EF75" s="553">
        <f>0.5*(1+'Hilfstabellen_Mat&amp;Bem'!$BD$31*(EE75-0.3)+EE75^2)</f>
        <v>2.1579816625113835</v>
      </c>
      <c r="EG75" s="550">
        <f t="shared" si="112"/>
        <v>0.29601646234654871</v>
      </c>
      <c r="EI75" s="551">
        <f t="shared" si="113"/>
        <v>4774.4495211874846</v>
      </c>
      <c r="EM75" s="546">
        <f t="shared" si="114"/>
        <v>127</v>
      </c>
      <c r="EN75" s="551">
        <f t="shared" si="115"/>
        <v>114.56084081557927</v>
      </c>
      <c r="EO75" s="553">
        <f>EN75/PI()*SQRT('Hilfstabellen_Mat&amp;Bem'!f.Rd.3/'Hilfstabellen_Mat&amp;Bem'!$BD$30)</f>
        <v>1.8232924100563199</v>
      </c>
      <c r="EP75" s="553">
        <f>0.5*(1+'Hilfstabellen_Mat&amp;Bem'!$BD$31*(EO75-0.3)+EO75^2)</f>
        <v>2.2383622267873076</v>
      </c>
      <c r="EQ75" s="550">
        <f t="shared" si="116"/>
        <v>0.28274362861377123</v>
      </c>
      <c r="ES75" s="551">
        <f t="shared" si="117"/>
        <v>4560.3719859115163</v>
      </c>
    </row>
    <row r="76" spans="3:149">
      <c r="C76" s="546">
        <v>128</v>
      </c>
      <c r="D76" s="551">
        <f t="shared" si="67"/>
        <v>75.777222831138374</v>
      </c>
      <c r="E76" s="553">
        <f>$D76/PI()*SQRT('Hilfstabellen_Mat&amp;Bem'!f.Rd.3/'Hilfstabellen_Mat&amp;Bem'!$BD$30)</f>
        <v>1.20603195873517</v>
      </c>
      <c r="F76" s="553">
        <f>0.5*(1+'Hilfstabellen_Mat&amp;Bem'!$BD$31*($E76-0.3)+$E76^2)</f>
        <v>1.2725581406820539</v>
      </c>
      <c r="G76" s="550">
        <f t="shared" si="68"/>
        <v>0.59572530052608452</v>
      </c>
      <c r="I76" s="551">
        <f t="shared" si="69"/>
        <v>9760.3633238193688</v>
      </c>
      <c r="M76" s="546">
        <f t="shared" si="70"/>
        <v>128</v>
      </c>
      <c r="N76" s="551">
        <f t="shared" si="59"/>
        <v>78.483552217964743</v>
      </c>
      <c r="O76" s="553">
        <f>$N76/PI()*SQRT('Hilfstabellen_Mat&amp;Bem'!f.Rd.3/'Hilfstabellen_Mat&amp;Bem'!$BD$30)</f>
        <v>1.2491045286899976</v>
      </c>
      <c r="P76" s="553">
        <f>0.5*(1+'Hilfstabellen_Mat&amp;Bem'!$BD$31*($O76-0.3)+$O76^2)</f>
        <v>1.3275862882314304</v>
      </c>
      <c r="Q76" s="550">
        <f t="shared" si="60"/>
        <v>0.56265796837702708</v>
      </c>
      <c r="S76" s="551">
        <f t="shared" si="71"/>
        <v>9218.5881538892118</v>
      </c>
      <c r="W76" s="546">
        <f t="shared" si="72"/>
        <v>128</v>
      </c>
      <c r="X76" s="551">
        <f t="shared" si="61"/>
        <v>81.189881604791125</v>
      </c>
      <c r="Y76" s="553">
        <f>$X76/PI()*SQRT('Hilfstabellen_Mat&amp;Bem'!f.Rd.3/'Hilfstabellen_Mat&amp;Bem'!$BD$30)</f>
        <v>1.2921770986448253</v>
      </c>
      <c r="Z76" s="553">
        <f>0.5*(1+'Hilfstabellen_Mat&amp;Bem'!$BD$31*($Y76-0.3)+$Y76^2)</f>
        <v>1.3844696820633207</v>
      </c>
      <c r="AA76" s="550">
        <f t="shared" si="62"/>
        <v>0.53149210790359103</v>
      </c>
      <c r="AC76" s="551">
        <f t="shared" si="73"/>
        <v>8707.9666958924354</v>
      </c>
      <c r="AG76" s="546">
        <f t="shared" si="74"/>
        <v>128</v>
      </c>
      <c r="AH76" s="551">
        <f t="shared" si="63"/>
        <v>83.896210991617494</v>
      </c>
      <c r="AI76" s="553">
        <f>$AH76/PI()*SQRT('Hilfstabellen_Mat&amp;Bem'!f.Rd.3/'Hilfstabellen_Mat&amp;Bem'!$BD$30)</f>
        <v>1.3352496685996529</v>
      </c>
      <c r="AJ76" s="553">
        <f>0.5*(1+'Hilfstabellen_Mat&amp;Bem'!$BD$31*($AI76-0.3)+$AI76^2)</f>
        <v>1.4432083221777241</v>
      </c>
      <c r="AK76" s="550">
        <f t="shared" si="64"/>
        <v>0.50228714677993158</v>
      </c>
      <c r="AM76" s="551">
        <f t="shared" si="75"/>
        <v>8229.472612842399</v>
      </c>
      <c r="AQ76" s="546">
        <f t="shared" si="76"/>
        <v>128</v>
      </c>
      <c r="AR76" s="551">
        <f t="shared" si="65"/>
        <v>86.602540378443862</v>
      </c>
      <c r="AS76" s="553">
        <f>$AR76/PI()*SQRT('Hilfstabellen_Mat&amp;Bem'!f.Rd.3/'Hilfstabellen_Mat&amp;Bem'!$BD$30)</f>
        <v>1.3783222385544802</v>
      </c>
      <c r="AT76" s="553">
        <f>0.5*(1+'Hilfstabellen_Mat&amp;Bem'!$BD$31*($AS76-0.3)+$AS76^2)</f>
        <v>1.5038022085746408</v>
      </c>
      <c r="AU76" s="550">
        <f t="shared" si="66"/>
        <v>0.47501995619125226</v>
      </c>
      <c r="AW76" s="551">
        <f t="shared" si="77"/>
        <v>7782.726962237477</v>
      </c>
      <c r="BA76" s="546">
        <f t="shared" si="78"/>
        <v>128</v>
      </c>
      <c r="BB76" s="551">
        <f t="shared" si="79"/>
        <v>89.308869765270231</v>
      </c>
      <c r="BC76" s="553">
        <f>$BB76/PI()*SQRT('Hilfstabellen_Mat&amp;Bem'!f.Rd.3/'Hilfstabellen_Mat&amp;Bem'!$BD$30)</f>
        <v>1.4213948085093078</v>
      </c>
      <c r="BD76" s="553">
        <f>0.5*(1+'Hilfstabellen_Mat&amp;Bem'!$BD$31*($BC76-0.3)+$BC76^2)</f>
        <v>1.5662513412540711</v>
      </c>
      <c r="BE76" s="550">
        <f t="shared" si="80"/>
        <v>0.44961773488459661</v>
      </c>
      <c r="BG76" s="551">
        <f t="shared" si="81"/>
        <v>7366.5369683492308</v>
      </c>
      <c r="BK76" s="546">
        <f t="shared" si="82"/>
        <v>128</v>
      </c>
      <c r="BL76" s="551">
        <f t="shared" si="83"/>
        <v>92.015199152096599</v>
      </c>
      <c r="BM76" s="553">
        <f>$BL76/PI()*SQRT('Hilfstabellen_Mat&amp;Bem'!f.Rd.3/'Hilfstabellen_Mat&amp;Bem'!$BD$30)</f>
        <v>1.4644673784641351</v>
      </c>
      <c r="BN76" s="553">
        <f>0.5*(1+'Hilfstabellen_Mat&amp;Bem'!$BD$31*($BM76-0.3)+$BM76^2)</f>
        <v>1.630555720216015</v>
      </c>
      <c r="BO76" s="550">
        <f t="shared" si="84"/>
        <v>0.42598026217408819</v>
      </c>
      <c r="BQ76" s="551">
        <f t="shared" si="85"/>
        <v>6979.2606154602609</v>
      </c>
      <c r="BU76" s="546">
        <f t="shared" si="86"/>
        <v>128</v>
      </c>
      <c r="BV76" s="551">
        <f t="shared" si="87"/>
        <v>94.721528538922968</v>
      </c>
      <c r="BW76" s="553">
        <f>$BV76/PI()*SQRT('Hilfstabellen_Mat&amp;Bem'!f.Rd.3/'Hilfstabellen_Mat&amp;Bem'!$BD$30)</f>
        <v>1.5075399484189627</v>
      </c>
      <c r="BX76" s="553">
        <f>0.5*(1+'Hilfstabellen_Mat&amp;Bem'!$BD$31*($BW76-0.3)+$BW76^2)</f>
        <v>1.6967153454604724</v>
      </c>
      <c r="BY76" s="550">
        <f t="shared" si="88"/>
        <v>0.40399434886167546</v>
      </c>
      <c r="CA76" s="551">
        <f t="shared" si="89"/>
        <v>6619.0434117496907</v>
      </c>
      <c r="CE76" s="546">
        <f t="shared" si="90"/>
        <v>128</v>
      </c>
      <c r="CF76" s="551">
        <f t="shared" si="91"/>
        <v>97.427857925749336</v>
      </c>
      <c r="CG76" s="553">
        <f>CF76/PI()*SQRT('Hilfstabellen_Mat&amp;Bem'!f.Rd.3/'Hilfstabellen_Mat&amp;Bem'!$BD$30)</f>
        <v>1.5506125183737902</v>
      </c>
      <c r="CH76" s="553">
        <f>0.5*(1+'Hilfstabellen_Mat&amp;Bem'!$BD$31*(CG76-0.3)+CG76^2)</f>
        <v>1.7647302169874435</v>
      </c>
      <c r="CI76" s="550">
        <f t="shared" si="92"/>
        <v>0.38354291592222733</v>
      </c>
      <c r="CK76" s="551">
        <f t="shared" si="93"/>
        <v>6283.9671344697726</v>
      </c>
      <c r="CO76" s="546">
        <f t="shared" si="94"/>
        <v>128</v>
      </c>
      <c r="CP76" s="551">
        <f t="shared" si="95"/>
        <v>100.13418731257572</v>
      </c>
      <c r="CQ76" s="553">
        <f>CP76/PI()*SQRT('Hilfstabellen_Mat&amp;Bem'!f.Rd.3/'Hilfstabellen_Mat&amp;Bem'!$BD$30)</f>
        <v>1.5936850883286178</v>
      </c>
      <c r="CR76" s="553">
        <f>0.5*(1+'Hilfstabellen_Mat&amp;Bem'!$BD$31*(CQ76-0.3)+CQ76^2)</f>
        <v>1.834600334796928</v>
      </c>
      <c r="CS76" s="550">
        <f t="shared" si="96"/>
        <v>0.36451050362456572</v>
      </c>
      <c r="CU76" s="551">
        <f t="shared" si="97"/>
        <v>5972.1400913848847</v>
      </c>
      <c r="CY76" s="546">
        <f t="shared" si="98"/>
        <v>128</v>
      </c>
      <c r="CZ76" s="551">
        <f t="shared" si="99"/>
        <v>102.84051669940209</v>
      </c>
      <c r="DA76" s="553">
        <f>CZ76/PI()*SQRT('Hilfstabellen_Mat&amp;Bem'!f.Rd.3/'Hilfstabellen_Mat&amp;Bem'!$BD$30)</f>
        <v>1.6367576582834453</v>
      </c>
      <c r="DB76" s="553">
        <f>0.5*(1+'Hilfstabellen_Mat&amp;Bem'!$BD$31*(DA76-0.3)+DA76^2)</f>
        <v>1.9063256988889261</v>
      </c>
      <c r="DC76" s="550">
        <f t="shared" si="100"/>
        <v>0.34678646105838212</v>
      </c>
      <c r="DE76" s="551">
        <f t="shared" si="101"/>
        <v>5681.7493779805327</v>
      </c>
      <c r="DI76" s="546">
        <f t="shared" si="102"/>
        <v>128</v>
      </c>
      <c r="DJ76" s="551">
        <f t="shared" si="103"/>
        <v>105.54684608622846</v>
      </c>
      <c r="DK76" s="553">
        <f>DJ76/PI()*SQRT('Hilfstabellen_Mat&amp;Bem'!f.Rd.3/'Hilfstabellen_Mat&amp;Bem'!$BD$30)</f>
        <v>1.6798302282382727</v>
      </c>
      <c r="DL76" s="553">
        <f>0.5*(1+'Hilfstabellen_Mat&amp;Bem'!$BD$31*(DK76-0.3)+DK76^2)</f>
        <v>1.9799063092634372</v>
      </c>
      <c r="DM76" s="550">
        <f t="shared" si="104"/>
        <v>0.3302666530681504</v>
      </c>
      <c r="DO76" s="551">
        <f t="shared" si="105"/>
        <v>5411.0888438685761</v>
      </c>
      <c r="DS76" s="546">
        <f t="shared" si="106"/>
        <v>128</v>
      </c>
      <c r="DT76" s="551">
        <f t="shared" si="107"/>
        <v>108.25317547305482</v>
      </c>
      <c r="DU76" s="553">
        <f>DT76/PI()*SQRT('Hilfstabellen_Mat&amp;Bem'!f.Rd.3/'Hilfstabellen_Mat&amp;Bem'!$BD$30)</f>
        <v>1.7229027981931002</v>
      </c>
      <c r="DV76" s="553">
        <f>0.5*(1+'Hilfstabellen_Mat&amp;Bem'!$BD$31*(DU76-0.3)+DU76^2)</f>
        <v>2.0553421659204623</v>
      </c>
      <c r="DW76" s="550">
        <f t="shared" si="108"/>
        <v>0.31485423448256039</v>
      </c>
      <c r="DY76" s="551">
        <f t="shared" si="109"/>
        <v>5158.5717777622694</v>
      </c>
      <c r="EC76" s="546">
        <f t="shared" si="110"/>
        <v>128</v>
      </c>
      <c r="ED76" s="551">
        <f t="shared" si="111"/>
        <v>110.95950485988119</v>
      </c>
      <c r="EE76" s="553">
        <f>ED76/PI()*SQRT('Hilfstabellen_Mat&amp;Bem'!f.Rd.3/'Hilfstabellen_Mat&amp;Bem'!$BD$30)</f>
        <v>1.7659753681479278</v>
      </c>
      <c r="EF76" s="553">
        <f>0.5*(1+'Hilfstabellen_Mat&amp;Bem'!$BD$31*(EE76-0.3)+EE76^2)</f>
        <v>2.1326332688600007</v>
      </c>
      <c r="EG76" s="550">
        <f t="shared" si="112"/>
        <v>0.30045984890941307</v>
      </c>
      <c r="EI76" s="551">
        <f t="shared" si="113"/>
        <v>4922.7341645318238</v>
      </c>
      <c r="EM76" s="546">
        <f t="shared" si="114"/>
        <v>128</v>
      </c>
      <c r="EN76" s="551">
        <f t="shared" si="115"/>
        <v>113.66583424670756</v>
      </c>
      <c r="EO76" s="553">
        <f>EN76/PI()*SQRT('Hilfstabellen_Mat&amp;Bem'!f.Rd.3/'Hilfstabellen_Mat&amp;Bem'!$BD$30)</f>
        <v>1.8090479381027551</v>
      </c>
      <c r="EP76" s="553">
        <f>0.5*(1+'Hilfstabellen_Mat&amp;Bem'!$BD$31*(EO76-0.3)+EO76^2)</f>
        <v>2.2117796180820526</v>
      </c>
      <c r="EQ76" s="550">
        <f t="shared" si="116"/>
        <v>0.28700148247855856</v>
      </c>
      <c r="ES76" s="551">
        <f t="shared" si="117"/>
        <v>4702.2322889287034</v>
      </c>
    </row>
    <row r="77" spans="3:149">
      <c r="C77" s="546">
        <v>129</v>
      </c>
      <c r="D77" s="551">
        <f t="shared" si="67"/>
        <v>75.189802499114052</v>
      </c>
      <c r="E77" s="553">
        <f>$D77/PI()*SQRT('Hilfstabellen_Mat&amp;Bem'!f.Rd.3/'Hilfstabellen_Mat&amp;Bem'!$BD$30)</f>
        <v>1.1966828737837347</v>
      </c>
      <c r="F77" s="553">
        <f>0.5*(1+'Hilfstabellen_Mat&amp;Bem'!$BD$31*($E77-0.3)+$E77^2)</f>
        <v>1.2608590938928357</v>
      </c>
      <c r="G77" s="550">
        <f t="shared" si="68"/>
        <v>0.60313866522143977</v>
      </c>
      <c r="I77" s="551">
        <f t="shared" si="69"/>
        <v>10036.83052794998</v>
      </c>
      <c r="M77" s="546">
        <f t="shared" si="70"/>
        <v>129</v>
      </c>
      <c r="N77" s="551">
        <f t="shared" si="59"/>
        <v>77.875152588368124</v>
      </c>
      <c r="O77" s="553">
        <f>$N77/PI()*SQRT('Hilfstabellen_Mat&amp;Bem'!f.Rd.3/'Hilfstabellen_Mat&amp;Bem'!$BD$30)</f>
        <v>1.2394215478474395</v>
      </c>
      <c r="P77" s="553">
        <f>0.5*(1+'Hilfstabellen_Mat&amp;Bem'!$BD$31*($O77-0.3)+$O77^2)</f>
        <v>1.3150539640266432</v>
      </c>
      <c r="Q77" s="550">
        <f t="shared" si="60"/>
        <v>0.5699303069048216</v>
      </c>
      <c r="S77" s="551">
        <f t="shared" si="71"/>
        <v>9484.2102372031368</v>
      </c>
      <c r="W77" s="546">
        <f t="shared" si="72"/>
        <v>129</v>
      </c>
      <c r="X77" s="551">
        <f t="shared" si="61"/>
        <v>80.560502677622196</v>
      </c>
      <c r="Y77" s="553">
        <f>$X77/PI()*SQRT('Hilfstabellen_Mat&amp;Bem'!f.Rd.3/'Hilfstabellen_Mat&amp;Bem'!$BD$30)</f>
        <v>1.2821602219111443</v>
      </c>
      <c r="Z77" s="553">
        <f>0.5*(1+'Hilfstabellen_Mat&amp;Bem'!$BD$31*($Y77-0.3)+$Y77^2)</f>
        <v>1.3710754284211746</v>
      </c>
      <c r="AA77" s="550">
        <f t="shared" si="62"/>
        <v>0.5385655523819155</v>
      </c>
      <c r="AC77" s="551">
        <f t="shared" si="73"/>
        <v>8962.2693571874552</v>
      </c>
      <c r="AG77" s="546">
        <f t="shared" si="74"/>
        <v>129</v>
      </c>
      <c r="AH77" s="551">
        <f t="shared" si="63"/>
        <v>83.245852766876268</v>
      </c>
      <c r="AI77" s="553">
        <f>$AH77/PI()*SQRT('Hilfstabellen_Mat&amp;Bem'!f.Rd.3/'Hilfstabellen_Mat&amp;Bem'!$BD$30)</f>
        <v>1.3248988959748491</v>
      </c>
      <c r="AJ77" s="553">
        <f>0.5*(1+'Hilfstabellen_Mat&amp;Bem'!$BD$31*($AI77-0.3)+$AI77^2)</f>
        <v>1.4289234870764296</v>
      </c>
      <c r="AK77" s="550">
        <f t="shared" si="64"/>
        <v>0.50912661121181668</v>
      </c>
      <c r="AM77" s="551">
        <f t="shared" si="75"/>
        <v>8472.3759371758406</v>
      </c>
      <c r="AQ77" s="546">
        <f t="shared" si="76"/>
        <v>129</v>
      </c>
      <c r="AR77" s="551">
        <f t="shared" si="65"/>
        <v>85.931202856130341</v>
      </c>
      <c r="AS77" s="553">
        <f>$AR77/PI()*SQRT('Hilfstabellen_Mat&amp;Bem'!f.Rd.3/'Hilfstabellen_Mat&amp;Bem'!$BD$30)</f>
        <v>1.3676375700385539</v>
      </c>
      <c r="AT77" s="553">
        <f>0.5*(1+'Hilfstabellen_Mat&amp;Bem'!$BD$31*($AS77-0.3)+$AS77^2)</f>
        <v>1.488598139992408</v>
      </c>
      <c r="AU77" s="550">
        <f t="shared" si="66"/>
        <v>0.48160654782681472</v>
      </c>
      <c r="AW77" s="551">
        <f t="shared" si="77"/>
        <v>8014.414562386024</v>
      </c>
      <c r="BA77" s="546">
        <f t="shared" si="78"/>
        <v>129</v>
      </c>
      <c r="BB77" s="551">
        <f t="shared" si="79"/>
        <v>88.616552945384413</v>
      </c>
      <c r="BC77" s="553">
        <f>$BB77/PI()*SQRT('Hilfstabellen_Mat&amp;Bem'!f.Rd.3/'Hilfstabellen_Mat&amp;Bem'!$BD$30)</f>
        <v>1.4103762441022587</v>
      </c>
      <c r="BD77" s="553">
        <f>0.5*(1+'Hilfstabellen_Mat&amp;Bem'!$BD$31*($BC77-0.3)+$BC77^2)</f>
        <v>1.55009938716911</v>
      </c>
      <c r="BE77" s="550">
        <f t="shared" si="80"/>
        <v>0.45594368802501145</v>
      </c>
      <c r="BG77" s="551">
        <f t="shared" si="81"/>
        <v>7587.3589124242153</v>
      </c>
      <c r="BK77" s="546">
        <f t="shared" si="82"/>
        <v>129</v>
      </c>
      <c r="BL77" s="551">
        <f t="shared" si="83"/>
        <v>91.301903034638485</v>
      </c>
      <c r="BM77" s="553">
        <f>$BL77/PI()*SQRT('Hilfstabellen_Mat&amp;Bem'!f.Rd.3/'Hilfstabellen_Mat&amp;Bem'!$BD$30)</f>
        <v>1.4531149181659635</v>
      </c>
      <c r="BN77" s="553">
        <f>0.5*(1+'Hilfstabellen_Mat&amp;Bem'!$BD$31*($BM77-0.3)+$BM77^2)</f>
        <v>1.6134272286065356</v>
      </c>
      <c r="BO77" s="550">
        <f t="shared" si="84"/>
        <v>0.4320452577738596</v>
      </c>
      <c r="BQ77" s="551">
        <f t="shared" si="85"/>
        <v>7189.6651346147974</v>
      </c>
      <c r="BU77" s="546">
        <f t="shared" si="86"/>
        <v>129</v>
      </c>
      <c r="BV77" s="551">
        <f t="shared" si="87"/>
        <v>93.987253123892557</v>
      </c>
      <c r="BW77" s="553">
        <f>$BV77/PI()*SQRT('Hilfstabellen_Mat&amp;Bem'!f.Rd.3/'Hilfstabellen_Mat&amp;Bem'!$BD$30)</f>
        <v>1.4958535922296683</v>
      </c>
      <c r="BX77" s="553">
        <f>0.5*(1+'Hilfstabellen_Mat&amp;Bem'!$BD$31*($BW77-0.3)+$BW77^2)</f>
        <v>1.6785816643046847</v>
      </c>
      <c r="BY77" s="550">
        <f t="shared" si="88"/>
        <v>0.40980292226573062</v>
      </c>
      <c r="CA77" s="551">
        <f t="shared" si="89"/>
        <v>6819.5304294240232</v>
      </c>
      <c r="CE77" s="546">
        <f t="shared" si="90"/>
        <v>129</v>
      </c>
      <c r="CF77" s="551">
        <f t="shared" si="91"/>
        <v>96.67260321314663</v>
      </c>
      <c r="CG77" s="553">
        <f>CF77/PI()*SQRT('Hilfstabellen_Mat&amp;Bem'!f.Rd.3/'Hilfstabellen_Mat&amp;Bem'!$BD$30)</f>
        <v>1.5385922662933731</v>
      </c>
      <c r="CH77" s="553">
        <f>0.5*(1+'Hilfstabellen_Mat&amp;Bem'!$BD$31*(CG77-0.3)+CG77^2)</f>
        <v>1.7455626942635574</v>
      </c>
      <c r="CI77" s="550">
        <f t="shared" si="92"/>
        <v>0.3891026630815998</v>
      </c>
      <c r="CK77" s="551">
        <f t="shared" si="93"/>
        <v>6475.0574163409019</v>
      </c>
      <c r="CO77" s="546">
        <f t="shared" si="94"/>
        <v>129</v>
      </c>
      <c r="CP77" s="551">
        <f t="shared" si="95"/>
        <v>99.357953302400716</v>
      </c>
      <c r="CQ77" s="553">
        <f>CP77/PI()*SQRT('Hilfstabellen_Mat&amp;Bem'!f.Rd.3/'Hilfstabellen_Mat&amp;Bem'!$BD$30)</f>
        <v>1.5813309403570781</v>
      </c>
      <c r="CR77" s="553">
        <f>0.5*(1+'Hilfstabellen_Mat&amp;Bem'!$BD$31*(CQ77-0.3)+CQ77^2)</f>
        <v>1.8143703184831543</v>
      </c>
      <c r="CS77" s="550">
        <f t="shared" si="96"/>
        <v>0.36983085361317924</v>
      </c>
      <c r="CU77" s="551">
        <f t="shared" si="97"/>
        <v>6154.3552349769161</v>
      </c>
      <c r="CY77" s="546">
        <f t="shared" si="98"/>
        <v>129</v>
      </c>
      <c r="CZ77" s="551">
        <f t="shared" si="99"/>
        <v>102.04330339165477</v>
      </c>
      <c r="DA77" s="553">
        <f>CZ77/PI()*SQRT('Hilfstabellen_Mat&amp;Bem'!f.Rd.3/'Hilfstabellen_Mat&amp;Bem'!$BD$30)</f>
        <v>1.6240696144207829</v>
      </c>
      <c r="DB77" s="553">
        <f>0.5*(1+'Hilfstabellen_Mat&amp;Bem'!$BD$31*(DA77-0.3)+DA77^2)</f>
        <v>1.8850045369634745</v>
      </c>
      <c r="DC77" s="550">
        <f t="shared" si="100"/>
        <v>0.3518778433038674</v>
      </c>
      <c r="DE77" s="551">
        <f t="shared" si="101"/>
        <v>5855.5991904196571</v>
      </c>
      <c r="DI77" s="546">
        <f t="shared" si="102"/>
        <v>129</v>
      </c>
      <c r="DJ77" s="551">
        <f t="shared" si="103"/>
        <v>104.72865348090886</v>
      </c>
      <c r="DK77" s="553">
        <f>DJ77/PI()*SQRT('Hilfstabellen_Mat&amp;Bem'!f.Rd.3/'Hilfstabellen_Mat&amp;Bem'!$BD$30)</f>
        <v>1.6668082884844879</v>
      </c>
      <c r="DL77" s="553">
        <f>0.5*(1+'Hilfstabellen_Mat&amp;Bem'!$BD$31*(DK77-0.3)+DK77^2)</f>
        <v>1.9574653497045182</v>
      </c>
      <c r="DM77" s="550">
        <f t="shared" si="104"/>
        <v>0.33513993735902664</v>
      </c>
      <c r="DO77" s="551">
        <f t="shared" si="105"/>
        <v>5577.0636975915622</v>
      </c>
      <c r="DS77" s="546">
        <f t="shared" si="106"/>
        <v>129</v>
      </c>
      <c r="DT77" s="551">
        <f t="shared" si="107"/>
        <v>107.41400357016292</v>
      </c>
      <c r="DU77" s="553">
        <f>DT77/PI()*SQRT('Hilfstabellen_Mat&amp;Bem'!f.Rd.3/'Hilfstabellen_Mat&amp;Bem'!$BD$30)</f>
        <v>1.7095469625481923</v>
      </c>
      <c r="DV77" s="553">
        <f>0.5*(1+'Hilfstabellen_Mat&amp;Bem'!$BD$31*(DU77-0.3)+DU77^2)</f>
        <v>2.0317527567062847</v>
      </c>
      <c r="DW77" s="550">
        <f t="shared" si="108"/>
        <v>0.31952035875225931</v>
      </c>
      <c r="DY77" s="551">
        <f t="shared" si="109"/>
        <v>5317.1382899963473</v>
      </c>
      <c r="EC77" s="546">
        <f t="shared" si="110"/>
        <v>129</v>
      </c>
      <c r="ED77" s="551">
        <f t="shared" si="111"/>
        <v>110.09935365941701</v>
      </c>
      <c r="EE77" s="553">
        <f>ED77/PI()*SQRT('Hilfstabellen_Mat&amp;Bem'!f.Rd.3/'Hilfstabellen_Mat&amp;Bem'!$BD$30)</f>
        <v>1.7522856366118973</v>
      </c>
      <c r="EF77" s="553">
        <f>0.5*(1+'Hilfstabellen_Mat&amp;Bem'!$BD$31*(EE77-0.3)+EE77^2)</f>
        <v>2.1078667579687762</v>
      </c>
      <c r="EG77" s="550">
        <f t="shared" si="112"/>
        <v>0.30492957606534343</v>
      </c>
      <c r="EI77" s="551">
        <f t="shared" si="113"/>
        <v>5074.3330753033797</v>
      </c>
      <c r="EM77" s="546">
        <f t="shared" si="114"/>
        <v>129</v>
      </c>
      <c r="EN77" s="551">
        <f t="shared" si="115"/>
        <v>112.78470374867108</v>
      </c>
      <c r="EO77" s="553">
        <f>EN77/PI()*SQRT('Hilfstabellen_Mat&amp;Bem'!f.Rd.3/'Hilfstabellen_Mat&amp;Bem'!$BD$30)</f>
        <v>1.7950243106756021</v>
      </c>
      <c r="EP77" s="553">
        <f>0.5*(1+'Hilfstabellen_Mat&amp;Bem'!$BD$31*(EO77-0.3)+EO77^2)</f>
        <v>2.1858073534919904</v>
      </c>
      <c r="EQ77" s="550">
        <f t="shared" si="116"/>
        <v>0.29128524581694415</v>
      </c>
      <c r="ES77" s="551">
        <f t="shared" si="117"/>
        <v>4847.2777756397672</v>
      </c>
    </row>
    <row r="78" spans="3:149">
      <c r="C78" s="546">
        <v>130</v>
      </c>
      <c r="D78" s="551">
        <f t="shared" si="67"/>
        <v>74.61141940296703</v>
      </c>
      <c r="E78" s="553">
        <f>$D78/PI()*SQRT('Hilfstabellen_Mat&amp;Bem'!f.Rd.3/'Hilfstabellen_Mat&amp;Bem'!$BD$30)</f>
        <v>1.1874776209084754</v>
      </c>
      <c r="F78" s="553">
        <f>0.5*(1+'Hilfstabellen_Mat&amp;Bem'!$BD$31*($E78-0.3)+$E78^2)</f>
        <v>1.2494254311246502</v>
      </c>
      <c r="G78" s="550">
        <f t="shared" si="68"/>
        <v>0.61051470552995557</v>
      </c>
      <c r="I78" s="551">
        <f t="shared" si="69"/>
        <v>10317.698523456249</v>
      </c>
      <c r="M78" s="546">
        <f t="shared" si="70"/>
        <v>130</v>
      </c>
      <c r="N78" s="551">
        <f t="shared" si="59"/>
        <v>77.276112953072982</v>
      </c>
      <c r="O78" s="553">
        <f>$N78/PI()*SQRT('Hilfstabellen_Mat&amp;Bem'!f.Rd.3/'Hilfstabellen_Mat&amp;Bem'!$BD$30)</f>
        <v>1.2298875359409207</v>
      </c>
      <c r="P78" s="553">
        <f>0.5*(1+'Hilfstabellen_Mat&amp;Bem'!$BD$31*($O78-0.3)+$O78^2)</f>
        <v>1.3028060523284608</v>
      </c>
      <c r="Q78" s="550">
        <f t="shared" si="60"/>
        <v>0.57718376524983861</v>
      </c>
      <c r="S78" s="551">
        <f t="shared" si="71"/>
        <v>9754.4056327222734</v>
      </c>
      <c r="W78" s="546">
        <f t="shared" si="72"/>
        <v>130</v>
      </c>
      <c r="X78" s="551">
        <f t="shared" si="61"/>
        <v>79.940806503178948</v>
      </c>
      <c r="Y78" s="553">
        <f>$X78/PI()*SQRT('Hilfstabellen_Mat&amp;Bem'!f.Rd.3/'Hilfstabellen_Mat&amp;Bem'!$BD$30)</f>
        <v>1.2722974509733662</v>
      </c>
      <c r="Z78" s="553">
        <f>0.5*(1+'Hilfstabellen_Mat&amp;Bem'!$BD$31*($Y78-0.3)+$Y78^2)</f>
        <v>1.3579852744253311</v>
      </c>
      <c r="AA78" s="550">
        <f t="shared" si="62"/>
        <v>0.54563390570277925</v>
      </c>
      <c r="AC78" s="551">
        <f t="shared" si="73"/>
        <v>9221.2130063769691</v>
      </c>
      <c r="AG78" s="546">
        <f t="shared" si="74"/>
        <v>130</v>
      </c>
      <c r="AH78" s="551">
        <f t="shared" si="63"/>
        <v>82.605500053284914</v>
      </c>
      <c r="AI78" s="553">
        <f>$AH78/PI()*SQRT('Hilfstabellen_Mat&amp;Bem'!f.Rd.3/'Hilfstabellen_Mat&amp;Bem'!$BD$30)</f>
        <v>1.3147073660058117</v>
      </c>
      <c r="AJ78" s="553">
        <f>0.5*(1+'Hilfstabellen_Mat&amp;Bem'!$BD$31*($AI78-0.3)+$AI78^2)</f>
        <v>1.4149630974152603</v>
      </c>
      <c r="AK78" s="550">
        <f t="shared" si="64"/>
        <v>0.51597105739704419</v>
      </c>
      <c r="AM78" s="551">
        <f t="shared" si="75"/>
        <v>8719.910870010046</v>
      </c>
      <c r="AQ78" s="546">
        <f t="shared" si="76"/>
        <v>130</v>
      </c>
      <c r="AR78" s="551">
        <f t="shared" si="65"/>
        <v>85.270193603390879</v>
      </c>
      <c r="AS78" s="553">
        <f>$AR78/PI()*SQRT('Hilfstabellen_Mat&amp;Bem'!f.Rd.3/'Hilfstabellen_Mat&amp;Bem'!$BD$30)</f>
        <v>1.3571172810382575</v>
      </c>
      <c r="AT78" s="553">
        <f>0.5*(1+'Hilfstabellen_Mat&amp;Bem'!$BD$31*($AS78-0.3)+$AS78^2)</f>
        <v>1.4737395212982491</v>
      </c>
      <c r="AU78" s="550">
        <f t="shared" si="66"/>
        <v>0.48820535465631798</v>
      </c>
      <c r="AW78" s="551">
        <f t="shared" si="77"/>
        <v>8250.670493691774</v>
      </c>
      <c r="BA78" s="546">
        <f t="shared" si="78"/>
        <v>130</v>
      </c>
      <c r="BB78" s="551">
        <f t="shared" si="79"/>
        <v>87.934887153496831</v>
      </c>
      <c r="BC78" s="553">
        <f>$BB78/PI()*SQRT('Hilfstabellen_Mat&amp;Bem'!f.Rd.3/'Hilfstabellen_Mat&amp;Bem'!$BD$30)</f>
        <v>1.3995271960707028</v>
      </c>
      <c r="BD78" s="553">
        <f>0.5*(1+'Hilfstabellen_Mat&amp;Bem'!$BD$31*($BC78-0.3)+$BC78^2)</f>
        <v>1.5343145460742966</v>
      </c>
      <c r="BE78" s="550">
        <f t="shared" si="80"/>
        <v>0.46228696926324242</v>
      </c>
      <c r="BG78" s="551">
        <f t="shared" si="81"/>
        <v>7812.649780548797</v>
      </c>
      <c r="BK78" s="546">
        <f t="shared" si="82"/>
        <v>130</v>
      </c>
      <c r="BL78" s="551">
        <f t="shared" si="83"/>
        <v>90.599580703602811</v>
      </c>
      <c r="BM78" s="553">
        <f>$BL78/PI()*SQRT('Hilfstabellen_Mat&amp;Bem'!f.Rd.3/'Hilfstabellen_Mat&amp;Bem'!$BD$30)</f>
        <v>1.4419371111031485</v>
      </c>
      <c r="BN78" s="553">
        <f>0.5*(1+'Hilfstabellen_Mat&amp;Bem'!$BD$31*($BM78-0.3)+$BM78^2)</f>
        <v>1.5966881717434043</v>
      </c>
      <c r="BO78" s="550">
        <f t="shared" si="84"/>
        <v>0.43813112872375859</v>
      </c>
      <c r="BQ78" s="551">
        <f t="shared" si="85"/>
        <v>7404.4160754315199</v>
      </c>
      <c r="BU78" s="546">
        <f t="shared" si="86"/>
        <v>130</v>
      </c>
      <c r="BV78" s="551">
        <f t="shared" si="87"/>
        <v>93.264274253708777</v>
      </c>
      <c r="BW78" s="553">
        <f>$BV78/PI()*SQRT('Hilfstabellen_Mat&amp;Bem'!f.Rd.3/'Hilfstabellen_Mat&amp;Bem'!$BD$30)</f>
        <v>1.484347026135594</v>
      </c>
      <c r="BX78" s="553">
        <f>0.5*(1+'Hilfstabellen_Mat&amp;Bem'!$BD$31*($BW78-0.3)+$BW78^2)</f>
        <v>1.6608603983055705</v>
      </c>
      <c r="BY78" s="550">
        <f t="shared" si="88"/>
        <v>0.41563476821509615</v>
      </c>
      <c r="CA78" s="551">
        <f t="shared" si="89"/>
        <v>7024.2275828351248</v>
      </c>
      <c r="CE78" s="546">
        <f t="shared" si="90"/>
        <v>130</v>
      </c>
      <c r="CF78" s="551">
        <f t="shared" si="91"/>
        <v>95.928967803814743</v>
      </c>
      <c r="CG78" s="553">
        <f>CF78/PI()*SQRT('Hilfstabellen_Mat&amp;Bem'!f.Rd.3/'Hilfstabellen_Mat&amp;Bem'!$BD$30)</f>
        <v>1.5267569411680397</v>
      </c>
      <c r="CH78" s="553">
        <f>0.5*(1+'Hilfstabellen_Mat&amp;Bem'!$BD$31*(CG78-0.3)+CG78^2)</f>
        <v>1.7268312257607965</v>
      </c>
      <c r="CI78" s="550">
        <f t="shared" si="92"/>
        <v>0.39468723678698364</v>
      </c>
      <c r="CK78" s="551">
        <f t="shared" si="93"/>
        <v>6670.2143017000235</v>
      </c>
      <c r="CO78" s="546">
        <f t="shared" si="94"/>
        <v>130</v>
      </c>
      <c r="CP78" s="551">
        <f t="shared" si="95"/>
        <v>98.593661353920695</v>
      </c>
      <c r="CQ78" s="553">
        <f>CP78/PI()*SQRT('Hilfstabellen_Mat&amp;Bem'!f.Rd.3/'Hilfstabellen_Mat&amp;Bem'!$BD$30)</f>
        <v>1.569166856200485</v>
      </c>
      <c r="CR78" s="553">
        <f>0.5*(1+'Hilfstabellen_Mat&amp;Bem'!$BD$31*(CQ78-0.3)+CQ78^2)</f>
        <v>1.7946006541090811</v>
      </c>
      <c r="CS78" s="550">
        <f t="shared" si="96"/>
        <v>0.37517696627503905</v>
      </c>
      <c r="CU78" s="551">
        <f t="shared" si="97"/>
        <v>6340.49073004816</v>
      </c>
      <c r="CY78" s="546">
        <f t="shared" si="98"/>
        <v>130</v>
      </c>
      <c r="CZ78" s="551">
        <f t="shared" si="99"/>
        <v>101.25835490402666</v>
      </c>
      <c r="DA78" s="553">
        <f>CZ78/PI()*SQRT('Hilfstabellen_Mat&amp;Bem'!f.Rd.3/'Hilfstabellen_Mat&amp;Bem'!$BD$30)</f>
        <v>1.6115767712329305</v>
      </c>
      <c r="DB78" s="553">
        <f>0.5*(1+'Hilfstabellen_Mat&amp;Bem'!$BD$31*(DA78-0.3)+DA78^2)</f>
        <v>1.8641686833504252</v>
      </c>
      <c r="DC78" s="550">
        <f t="shared" si="100"/>
        <v>0.35699547181240587</v>
      </c>
      <c r="DE78" s="551">
        <f t="shared" si="101"/>
        <v>6033.2234736296596</v>
      </c>
      <c r="DI78" s="546">
        <f t="shared" si="102"/>
        <v>130</v>
      </c>
      <c r="DJ78" s="551">
        <f t="shared" si="103"/>
        <v>103.92304845413263</v>
      </c>
      <c r="DK78" s="553">
        <f>DJ78/PI()*SQRT('Hilfstabellen_Mat&amp;Bem'!f.Rd.3/'Hilfstabellen_Mat&amp;Bem'!$BD$30)</f>
        <v>1.653986686265376</v>
      </c>
      <c r="DL78" s="553">
        <f>0.5*(1+'Hilfstabellen_Mat&amp;Bem'!$BD$31*(DK78-0.3)+DK78^2)</f>
        <v>1.9355353134848285</v>
      </c>
      <c r="DM78" s="550">
        <f t="shared" si="104"/>
        <v>0.34003962053241865</v>
      </c>
      <c r="DO78" s="551">
        <f t="shared" si="105"/>
        <v>5746.6695869978748</v>
      </c>
      <c r="DS78" s="546">
        <f t="shared" si="106"/>
        <v>130</v>
      </c>
      <c r="DT78" s="551">
        <f t="shared" si="107"/>
        <v>106.58774200423861</v>
      </c>
      <c r="DU78" s="553">
        <f>DT78/PI()*SQRT('Hilfstabellen_Mat&amp;Bem'!f.Rd.3/'Hilfstabellen_Mat&amp;Bem'!$BD$30)</f>
        <v>1.696396601297822</v>
      </c>
      <c r="DV78" s="553">
        <f>0.5*(1+'Hilfstabellen_Mat&amp;Bem'!$BD$31*(DU78-0.3)+DU78^2)</f>
        <v>2.0087005445122919</v>
      </c>
      <c r="DW78" s="550">
        <f t="shared" si="108"/>
        <v>0.32421279324418123</v>
      </c>
      <c r="DY78" s="551">
        <f t="shared" si="109"/>
        <v>5479.1962058266627</v>
      </c>
      <c r="EC78" s="546">
        <f t="shared" si="110"/>
        <v>130</v>
      </c>
      <c r="ED78" s="551">
        <f t="shared" si="111"/>
        <v>109.25243555434457</v>
      </c>
      <c r="EE78" s="553">
        <f>ED78/PI()*SQRT('Hilfstabellen_Mat&amp;Bem'!f.Rd.3/'Hilfstabellen_Mat&amp;Bem'!$BD$30)</f>
        <v>1.7388065163302675</v>
      </c>
      <c r="EF78" s="553">
        <f>0.5*(1+'Hilfstabellen_Mat&amp;Bem'!$BD$31*(EE78-0.3)+EE78^2)</f>
        <v>2.0836643764328135</v>
      </c>
      <c r="EG78" s="550">
        <f t="shared" si="112"/>
        <v>0.30942534993861875</v>
      </c>
      <c r="EI78" s="551">
        <f t="shared" si="113"/>
        <v>5229.2884139626567</v>
      </c>
      <c r="EM78" s="546">
        <f t="shared" si="114"/>
        <v>130</v>
      </c>
      <c r="EN78" s="551">
        <f t="shared" si="115"/>
        <v>111.91712910445052</v>
      </c>
      <c r="EO78" s="553">
        <f>EN78/PI()*SQRT('Hilfstabellen_Mat&amp;Bem'!f.Rd.3/'Hilfstabellen_Mat&amp;Bem'!$BD$30)</f>
        <v>1.7812164313627126</v>
      </c>
      <c r="EP78" s="553">
        <f>0.5*(1+'Hilfstabellen_Mat&amp;Bem'!$BD$31*(EO78-0.3)+EO78^2)</f>
        <v>2.1604268092463941</v>
      </c>
      <c r="EQ78" s="550">
        <f t="shared" si="116"/>
        <v>0.2955946669280658</v>
      </c>
      <c r="ES78" s="551">
        <f t="shared" si="117"/>
        <v>4995.5498710843121</v>
      </c>
    </row>
    <row r="79" spans="3:149">
      <c r="C79" s="546">
        <v>131</v>
      </c>
      <c r="D79" s="551">
        <f t="shared" si="67"/>
        <v>74.041866583097033</v>
      </c>
      <c r="E79" s="553">
        <f>$D79/PI()*SQRT('Hilfstabellen_Mat&amp;Bem'!f.Rd.3/'Hilfstabellen_Mat&amp;Bem'!$BD$30)</f>
        <v>1.1784129062450517</v>
      </c>
      <c r="F79" s="553">
        <f>0.5*(1+'Hilfstabellen_Mat&amp;Bem'!$BD$31*($E79-0.3)+$E79^2)</f>
        <v>1.2382491341147071</v>
      </c>
      <c r="G79" s="550">
        <f t="shared" si="68"/>
        <v>0.61784940401265731</v>
      </c>
      <c r="I79" s="551">
        <f t="shared" si="69"/>
        <v>10602.913622261212</v>
      </c>
      <c r="M79" s="546">
        <f t="shared" si="70"/>
        <v>131</v>
      </c>
      <c r="N79" s="551">
        <f t="shared" si="59"/>
        <v>76.686218961064796</v>
      </c>
      <c r="O79" s="553">
        <f>$N79/PI()*SQRT('Hilfstabellen_Mat&amp;Bem'!f.Rd.3/'Hilfstabellen_Mat&amp;Bem'!$BD$30)</f>
        <v>1.2204990814680894</v>
      </c>
      <c r="P79" s="553">
        <f>0.5*(1+'Hilfstabellen_Mat&amp;Bem'!$BD$31*($O79-0.3)+$O79^2)</f>
        <v>1.2908339580056294</v>
      </c>
      <c r="Q79" s="550">
        <f t="shared" si="60"/>
        <v>0.58441500992761308</v>
      </c>
      <c r="S79" s="551">
        <f t="shared" si="71"/>
        <v>10029.145985367768</v>
      </c>
      <c r="W79" s="546">
        <f t="shared" si="72"/>
        <v>131</v>
      </c>
      <c r="X79" s="551">
        <f t="shared" si="61"/>
        <v>79.330571339032545</v>
      </c>
      <c r="Y79" s="553">
        <f>$X79/PI()*SQRT('Hilfstabellen_Mat&amp;Bem'!f.Rd.3/'Hilfstabellen_Mat&amp;Bem'!$BD$30)</f>
        <v>1.2625852566911269</v>
      </c>
      <c r="Z79" s="553">
        <f>0.5*(1+'Hilfstabellen_Mat&amp;Bem'!$BD$31*($Y79-0.3)+$Y79^2)</f>
        <v>1.3451900280414557</v>
      </c>
      <c r="AA79" s="550">
        <f t="shared" si="62"/>
        <v>0.55269447134657701</v>
      </c>
      <c r="AC79" s="551">
        <f t="shared" si="73"/>
        <v>9484.7898227786081</v>
      </c>
      <c r="AG79" s="546">
        <f t="shared" si="74"/>
        <v>131</v>
      </c>
      <c r="AH79" s="551">
        <f t="shared" si="63"/>
        <v>81.974923717000294</v>
      </c>
      <c r="AI79" s="553">
        <f>$AH79/PI()*SQRT('Hilfstabellen_Mat&amp;Bem'!f.Rd.3/'Hilfstabellen_Mat&amp;Bem'!$BD$30)</f>
        <v>1.3046714319141646</v>
      </c>
      <c r="AJ79" s="553">
        <f>0.5*(1+'Hilfstabellen_Mat&amp;Bem'!$BD$31*($AI79-0.3)+$AI79^2)</f>
        <v>1.4013173442221865</v>
      </c>
      <c r="AK79" s="550">
        <f t="shared" si="64"/>
        <v>0.52281832781530602</v>
      </c>
      <c r="AM79" s="551">
        <f t="shared" si="75"/>
        <v>8972.0853236384664</v>
      </c>
      <c r="AQ79" s="546">
        <f t="shared" si="76"/>
        <v>131</v>
      </c>
      <c r="AR79" s="551">
        <f t="shared" si="65"/>
        <v>84.619276094968058</v>
      </c>
      <c r="AS79" s="553">
        <f>$AR79/PI()*SQRT('Hilfstabellen_Mat&amp;Bem'!f.Rd.3/'Hilfstabellen_Mat&amp;Bem'!$BD$30)</f>
        <v>1.3467576071372021</v>
      </c>
      <c r="AT79" s="553">
        <f>0.5*(1+'Hilfstabellen_Mat&amp;Bem'!$BD$31*($AS79-0.3)+$AS79^2)</f>
        <v>1.4592159065478212</v>
      </c>
      <c r="AU79" s="550">
        <f t="shared" si="66"/>
        <v>0.49481465446159084</v>
      </c>
      <c r="AW79" s="551">
        <f t="shared" si="77"/>
        <v>8491.5142852153604</v>
      </c>
      <c r="BA79" s="546">
        <f t="shared" si="78"/>
        <v>131</v>
      </c>
      <c r="BB79" s="551">
        <f t="shared" si="79"/>
        <v>87.263628472935807</v>
      </c>
      <c r="BC79" s="553">
        <f>$BB79/PI()*SQRT('Hilfstabellen_Mat&amp;Bem'!f.Rd.3/'Hilfstabellen_Mat&amp;Bem'!$BD$30)</f>
        <v>1.3888437823602398</v>
      </c>
      <c r="BD79" s="553">
        <f>0.5*(1+'Hilfstabellen_Mat&amp;Bem'!$BD$31*($BC79-0.3)+$BC79^2)</f>
        <v>1.5188857150183606</v>
      </c>
      <c r="BE79" s="550">
        <f t="shared" si="80"/>
        <v>0.46864620012123592</v>
      </c>
      <c r="BG79" s="551">
        <f t="shared" si="81"/>
        <v>8042.4374402805297</v>
      </c>
      <c r="BK79" s="546">
        <f t="shared" si="82"/>
        <v>131</v>
      </c>
      <c r="BL79" s="551">
        <f t="shared" si="83"/>
        <v>89.907980850903542</v>
      </c>
      <c r="BM79" s="553">
        <f>$BL79/PI()*SQRT('Hilfstabellen_Mat&amp;Bem'!f.Rd.3/'Hilfstabellen_Mat&amp;Bem'!$BD$30)</f>
        <v>1.430929957583277</v>
      </c>
      <c r="BN79" s="553">
        <f>0.5*(1+'Hilfstabellen_Mat&amp;Bem'!$BD$31*($BM79-0.3)+$BM79^2)</f>
        <v>1.5803267696338033</v>
      </c>
      <c r="BO79" s="550">
        <f t="shared" si="84"/>
        <v>0.44423676547223312</v>
      </c>
      <c r="BQ79" s="551">
        <f t="shared" si="85"/>
        <v>7623.5471322689928</v>
      </c>
      <c r="BU79" s="546">
        <f t="shared" si="86"/>
        <v>131</v>
      </c>
      <c r="BV79" s="551">
        <f t="shared" si="87"/>
        <v>92.552333228871291</v>
      </c>
      <c r="BW79" s="553">
        <f>$BV79/PI()*SQRT('Hilfstabellen_Mat&amp;Bem'!f.Rd.3/'Hilfstabellen_Mat&amp;Bem'!$BD$30)</f>
        <v>1.4730161328063147</v>
      </c>
      <c r="BX79" s="553">
        <f>0.5*(1+'Hilfstabellen_Mat&amp;Bem'!$BD$31*($BW79-0.3)+$BW79^2)</f>
        <v>1.643539070394151</v>
      </c>
      <c r="BY79" s="550">
        <f t="shared" si="88"/>
        <v>0.42148898718541661</v>
      </c>
      <c r="CA79" s="551">
        <f t="shared" si="89"/>
        <v>7233.172509088934</v>
      </c>
      <c r="CE79" s="546">
        <f t="shared" si="90"/>
        <v>131</v>
      </c>
      <c r="CF79" s="551">
        <f t="shared" si="91"/>
        <v>95.196685606839054</v>
      </c>
      <c r="CG79" s="553">
        <f>CF79/PI()*SQRT('Hilfstabellen_Mat&amp;Bem'!f.Rd.3/'Hilfstabellen_Mat&amp;Bem'!$BD$30)</f>
        <v>1.5151023080293522</v>
      </c>
      <c r="CH79" s="553">
        <f>0.5*(1+'Hilfstabellen_Mat&amp;Bem'!$BD$31*(CG79-0.3)+CG79^2)</f>
        <v>1.7085226172994026</v>
      </c>
      <c r="CI79" s="550">
        <f t="shared" si="92"/>
        <v>0.40029590197480003</v>
      </c>
      <c r="CK79" s="551">
        <f t="shared" si="93"/>
        <v>6869.4779737895433</v>
      </c>
      <c r="CO79" s="546">
        <f t="shared" si="94"/>
        <v>131</v>
      </c>
      <c r="CP79" s="551">
        <f t="shared" si="95"/>
        <v>97.841037984806803</v>
      </c>
      <c r="CQ79" s="553">
        <f>CP79/PI()*SQRT('Hilfstabellen_Mat&amp;Bem'!f.Rd.3/'Hilfstabellen_Mat&amp;Bem'!$BD$30)</f>
        <v>1.5571884832523899</v>
      </c>
      <c r="CR79" s="553">
        <f>0.5*(1+'Hilfstabellen_Mat&amp;Bem'!$BD$31*(CQ79-0.3)+CQ79^2)</f>
        <v>1.7752774103495588</v>
      </c>
      <c r="CS79" s="550">
        <f t="shared" si="96"/>
        <v>0.38054823599535031</v>
      </c>
      <c r="CU79" s="551">
        <f t="shared" si="97"/>
        <v>6530.5882779162066</v>
      </c>
      <c r="CY79" s="546">
        <f t="shared" si="98"/>
        <v>131</v>
      </c>
      <c r="CZ79" s="551">
        <f t="shared" si="99"/>
        <v>100.48539036277455</v>
      </c>
      <c r="DA79" s="553">
        <f>CZ79/PI()*SQRT('Hilfstabellen_Mat&amp;Bem'!f.Rd.3/'Hilfstabellen_Mat&amp;Bem'!$BD$30)</f>
        <v>1.5992746584754274</v>
      </c>
      <c r="DB79" s="553">
        <f>0.5*(1+'Hilfstabellen_Mat&amp;Bem'!$BD$31*(DA79-0.3)+DA79^2)</f>
        <v>1.8438034495446187</v>
      </c>
      <c r="DC79" s="550">
        <f t="shared" si="100"/>
        <v>0.36213884353468673</v>
      </c>
      <c r="DE79" s="551">
        <f t="shared" si="101"/>
        <v>6214.6646938987587</v>
      </c>
      <c r="DI79" s="546">
        <f t="shared" si="102"/>
        <v>131</v>
      </c>
      <c r="DJ79" s="551">
        <f t="shared" si="103"/>
        <v>103.1297427407423</v>
      </c>
      <c r="DK79" s="553">
        <f>DJ79/PI()*SQRT('Hilfstabellen_Mat&amp;Bem'!f.Rd.3/'Hilfstabellen_Mat&amp;Bem'!$BD$30)</f>
        <v>1.6413608336984649</v>
      </c>
      <c r="DL79" s="553">
        <f>0.5*(1+'Hilfstabellen_Mat&amp;Bem'!$BD$31*(DK79-0.3)+DK79^2)</f>
        <v>1.9141007348845831</v>
      </c>
      <c r="DM79" s="550">
        <f t="shared" si="104"/>
        <v>0.34496528140282257</v>
      </c>
      <c r="DO79" s="551">
        <f t="shared" si="105"/>
        <v>5919.9491941538381</v>
      </c>
      <c r="DS79" s="546">
        <f t="shared" si="106"/>
        <v>131</v>
      </c>
      <c r="DT79" s="551">
        <f t="shared" si="107"/>
        <v>105.77409511871006</v>
      </c>
      <c r="DU79" s="553">
        <f>DT79/PI()*SQRT('Hilfstabellen_Mat&amp;Bem'!f.Rd.3/'Hilfstabellen_Mat&amp;Bem'!$BD$30)</f>
        <v>1.6834470089215026</v>
      </c>
      <c r="DV79" s="553">
        <f>0.5*(1+'Hilfstabellen_Mat&amp;Bem'!$BD$31*(DU79-0.3)+DU79^2)</f>
        <v>1.9861692663694521</v>
      </c>
      <c r="DW79" s="550">
        <f t="shared" si="108"/>
        <v>0.32893118261497484</v>
      </c>
      <c r="DY79" s="551">
        <f t="shared" si="109"/>
        <v>5644.788024855583</v>
      </c>
      <c r="EC79" s="546">
        <f t="shared" si="110"/>
        <v>131</v>
      </c>
      <c r="ED79" s="551">
        <f t="shared" si="111"/>
        <v>108.41844749667781</v>
      </c>
      <c r="EE79" s="553">
        <f>ED79/PI()*SQRT('Hilfstabellen_Mat&amp;Bem'!f.Rd.3/'Hilfstabellen_Mat&amp;Bem'!$BD$30)</f>
        <v>1.72553318414454</v>
      </c>
      <c r="EF79" s="553">
        <f>0.5*(1+'Hilfstabellen_Mat&amp;Bem'!$BD$31*(EE79-0.3)+EE79^2)</f>
        <v>2.0600090439992247</v>
      </c>
      <c r="EG79" s="550">
        <f t="shared" si="112"/>
        <v>0.31394686855078879</v>
      </c>
      <c r="EI79" s="551">
        <f t="shared" si="113"/>
        <v>5387.6422112000864</v>
      </c>
      <c r="EM79" s="546">
        <f t="shared" si="114"/>
        <v>131</v>
      </c>
      <c r="EN79" s="551">
        <f t="shared" si="115"/>
        <v>111.06279987464556</v>
      </c>
      <c r="EO79" s="553">
        <f>EN79/PI()*SQRT('Hilfstabellen_Mat&amp;Bem'!f.Rd.3/'Hilfstabellen_Mat&amp;Bem'!$BD$30)</f>
        <v>1.7676193593675777</v>
      </c>
      <c r="EP79" s="553">
        <f>0.5*(1+'Hilfstabellen_Mat&amp;Bem'!$BD$31*(EO79-0.3)+EO79^2)</f>
        <v>2.1356200677739019</v>
      </c>
      <c r="EQ79" s="550">
        <f t="shared" si="116"/>
        <v>0.29992948741415326</v>
      </c>
      <c r="ES79" s="551">
        <f t="shared" si="117"/>
        <v>5147.089933514284</v>
      </c>
    </row>
    <row r="80" spans="3:149">
      <c r="C80" s="546">
        <v>132</v>
      </c>
      <c r="D80" s="551">
        <f t="shared" si="67"/>
        <v>73.480943351406907</v>
      </c>
      <c r="E80" s="553">
        <f>$D80/PI()*SQRT('Hilfstabellen_Mat&amp;Bem'!f.Rd.3/'Hilfstabellen_Mat&amp;Bem'!$BD$30)</f>
        <v>1.1694855357431952</v>
      </c>
      <c r="F80" s="553">
        <f>0.5*(1+'Hilfstabellen_Mat&amp;Bem'!$BD$31*($E80-0.3)+$E80^2)</f>
        <v>1.227322485943434</v>
      </c>
      <c r="G80" s="550">
        <f t="shared" si="68"/>
        <v>0.6251386965007365</v>
      </c>
      <c r="I80" s="551">
        <f t="shared" si="69"/>
        <v>10892.416647828833</v>
      </c>
      <c r="M80" s="546">
        <f t="shared" si="70"/>
        <v>132</v>
      </c>
      <c r="N80" s="551">
        <f t="shared" si="59"/>
        <v>76.105262756814298</v>
      </c>
      <c r="O80" s="553">
        <f>$N80/PI()*SQRT('Hilfstabellen_Mat&amp;Bem'!f.Rd.3/'Hilfstabellen_Mat&amp;Bem'!$BD$30)</f>
        <v>1.2112528763054522</v>
      </c>
      <c r="P80" s="553">
        <f>0.5*(1+'Hilfstabellen_Mat&amp;Bem'!$BD$31*($O80-0.3)+$O80^2)</f>
        <v>1.2791294089943883</v>
      </c>
      <c r="Q80" s="550">
        <f t="shared" si="60"/>
        <v>0.591620635813497</v>
      </c>
      <c r="S80" s="551">
        <f t="shared" si="71"/>
        <v>10308.397958414371</v>
      </c>
      <c r="W80" s="546">
        <f t="shared" si="72"/>
        <v>132</v>
      </c>
      <c r="X80" s="551">
        <f t="shared" si="61"/>
        <v>78.729582162221689</v>
      </c>
      <c r="Y80" s="553">
        <f>$X80/PI()*SQRT('Hilfstabellen_Mat&amp;Bem'!f.Rd.3/'Hilfstabellen_Mat&amp;Bem'!$BD$30)</f>
        <v>1.2530202168677091</v>
      </c>
      <c r="Z80" s="553">
        <f>0.5*(1+'Hilfstabellen_Mat&amp;Bem'!$BD$31*($Y80-0.3)+$Y80^2)</f>
        <v>1.3326808427829859</v>
      </c>
      <c r="AA80" s="550">
        <f t="shared" si="62"/>
        <v>0.55974447885496048</v>
      </c>
      <c r="AC80" s="551">
        <f t="shared" si="73"/>
        <v>9752.9877995688312</v>
      </c>
      <c r="AG80" s="546">
        <f t="shared" si="74"/>
        <v>132</v>
      </c>
      <c r="AH80" s="551">
        <f t="shared" si="63"/>
        <v>81.35390156762908</v>
      </c>
      <c r="AI80" s="553">
        <f>$AH80/PI()*SQRT('Hilfstabellen_Mat&amp;Bem'!f.Rd.3/'Hilfstabellen_Mat&amp;Bem'!$BD$30)</f>
        <v>1.2947875574299663</v>
      </c>
      <c r="AJ80" s="553">
        <f>0.5*(1+'Hilfstabellen_Mat&amp;Bem'!$BD$31*($AI80-0.3)+$AI80^2)</f>
        <v>1.3879767873092275</v>
      </c>
      <c r="AK80" s="550">
        <f t="shared" si="64"/>
        <v>0.52966619844225937</v>
      </c>
      <c r="AM80" s="551">
        <f t="shared" si="75"/>
        <v>9228.9038416579278</v>
      </c>
      <c r="AQ80" s="546">
        <f t="shared" si="76"/>
        <v>132</v>
      </c>
      <c r="AR80" s="551">
        <f t="shared" si="65"/>
        <v>83.978220973036471</v>
      </c>
      <c r="AS80" s="553">
        <f>$AR80/PI()*SQRT('Hilfstabellen_Mat&amp;Bem'!f.Rd.3/'Hilfstabellen_Mat&amp;Bem'!$BD$30)</f>
        <v>1.3365548979922233</v>
      </c>
      <c r="AT80" s="553">
        <f>0.5*(1+'Hilfstabellen_Mat&amp;Bem'!$BD$31*($AS80-0.3)+$AS80^2)</f>
        <v>1.4450172425731123</v>
      </c>
      <c r="AU80" s="550">
        <f t="shared" si="66"/>
        <v>0.50143266888338522</v>
      </c>
      <c r="AW80" s="551">
        <f t="shared" si="77"/>
        <v>8736.9628226241039</v>
      </c>
      <c r="BA80" s="546">
        <f t="shared" si="78"/>
        <v>132</v>
      </c>
      <c r="BB80" s="551">
        <f t="shared" si="79"/>
        <v>86.602540378443862</v>
      </c>
      <c r="BC80" s="553">
        <f>$BB80/PI()*SQRT('Hilfstabellen_Mat&amp;Bem'!f.Rd.3/'Hilfstabellen_Mat&amp;Bem'!$BD$30)</f>
        <v>1.3783222385544802</v>
      </c>
      <c r="BD80" s="553">
        <f>0.5*(1+'Hilfstabellen_Mat&amp;Bem'!$BD$31*($BC80-0.3)+$BC80^2)</f>
        <v>1.5038022085746408</v>
      </c>
      <c r="BE80" s="550">
        <f t="shared" si="80"/>
        <v>0.47501995619125226</v>
      </c>
      <c r="BG80" s="551">
        <f t="shared" si="81"/>
        <v>8276.7477166763802</v>
      </c>
      <c r="BK80" s="546">
        <f t="shared" si="82"/>
        <v>132</v>
      </c>
      <c r="BL80" s="551">
        <f t="shared" si="83"/>
        <v>89.226859783851253</v>
      </c>
      <c r="BM80" s="553">
        <f>$BL80/PI()*SQRT('Hilfstabellen_Mat&amp;Bem'!f.Rd.3/'Hilfstabellen_Mat&amp;Bem'!$BD$30)</f>
        <v>1.4200895791167372</v>
      </c>
      <c r="BN80" s="553">
        <f>0.5*(1+'Hilfstabellen_Mat&amp;Bem'!$BD$31*($BM80-0.3)+$BM80^2)</f>
        <v>1.5643316853138125</v>
      </c>
      <c r="BO80" s="550">
        <f t="shared" si="84"/>
        <v>0.45036102144983259</v>
      </c>
      <c r="BQ80" s="551">
        <f t="shared" si="85"/>
        <v>7847.0904377418829</v>
      </c>
      <c r="BU80" s="546">
        <f t="shared" si="86"/>
        <v>132</v>
      </c>
      <c r="BV80" s="551">
        <f t="shared" si="87"/>
        <v>91.851179189258644</v>
      </c>
      <c r="BW80" s="553">
        <f>$BV80/PI()*SQRT('Hilfstabellen_Mat&amp;Bem'!f.Rd.3/'Hilfstabellen_Mat&amp;Bem'!$BD$30)</f>
        <v>1.4618569196789943</v>
      </c>
      <c r="BX80" s="553">
        <f>0.5*(1+'Hilfstabellen_Mat&amp;Bem'!$BD$31*($BW80-0.3)+$BW80^2)</f>
        <v>1.6266056727906286</v>
      </c>
      <c r="BY80" s="550">
        <f t="shared" si="88"/>
        <v>0.42736464999041185</v>
      </c>
      <c r="CA80" s="551">
        <f t="shared" si="89"/>
        <v>7446.4016614329357</v>
      </c>
      <c r="CE80" s="546">
        <f t="shared" si="90"/>
        <v>132</v>
      </c>
      <c r="CF80" s="551">
        <f t="shared" si="91"/>
        <v>94.475498594666036</v>
      </c>
      <c r="CG80" s="553">
        <f>CF80/PI()*SQRT('Hilfstabellen_Mat&amp;Bem'!f.Rd.3/'Hilfstabellen_Mat&amp;Bem'!$BD$30)</f>
        <v>1.5036242602412511</v>
      </c>
      <c r="CH80" s="553">
        <f>0.5*(1+'Hilfstabellen_Mat&amp;Bem'!$BD$31*(CG80-0.3)+CG80^2)</f>
        <v>1.6906241710050876</v>
      </c>
      <c r="CI80" s="550">
        <f t="shared" si="92"/>
        <v>0.40592789982641769</v>
      </c>
      <c r="CK80" s="551">
        <f t="shared" si="93"/>
        <v>7072.8877265755018</v>
      </c>
      <c r="CO80" s="546">
        <f t="shared" si="94"/>
        <v>132</v>
      </c>
      <c r="CP80" s="551">
        <f t="shared" si="95"/>
        <v>97.099818000073427</v>
      </c>
      <c r="CQ80" s="553">
        <f>CP80/PI()*SQRT('Hilfstabellen_Mat&amp;Bem'!f.Rd.3/'Hilfstabellen_Mat&amp;Bem'!$BD$30)</f>
        <v>1.5453916008035082</v>
      </c>
      <c r="CR80" s="553">
        <f>0.5*(1+'Hilfstabellen_Mat&amp;Bem'!$BD$31*(CQ80-0.3)+CQ80^2)</f>
        <v>1.7563871799571902</v>
      </c>
      <c r="CS80" s="550">
        <f t="shared" si="96"/>
        <v>0.38594403808548561</v>
      </c>
      <c r="CU80" s="551">
        <f t="shared" si="97"/>
        <v>6724.6889196015009</v>
      </c>
      <c r="CY80" s="546">
        <f t="shared" si="98"/>
        <v>132</v>
      </c>
      <c r="CZ80" s="551">
        <f t="shared" si="99"/>
        <v>99.724137405480818</v>
      </c>
      <c r="DA80" s="553">
        <f>CZ80/PI()*SQRT('Hilfstabellen_Mat&amp;Bem'!f.Rd.3/'Hilfstabellen_Mat&amp;Bem'!$BD$30)</f>
        <v>1.5871589413657652</v>
      </c>
      <c r="DB80" s="553">
        <f>0.5*(1+'Hilfstabellen_Mat&amp;Bem'!$BD$31*(DA80-0.3)+DA80^2)</f>
        <v>1.8238946996469365</v>
      </c>
      <c r="DC80" s="550">
        <f t="shared" si="100"/>
        <v>0.36730744003841698</v>
      </c>
      <c r="DE80" s="551">
        <f t="shared" si="101"/>
        <v>6399.9648352293771</v>
      </c>
      <c r="DI80" s="546">
        <f t="shared" si="102"/>
        <v>132</v>
      </c>
      <c r="DJ80" s="551">
        <f t="shared" si="103"/>
        <v>102.34845681088821</v>
      </c>
      <c r="DK80" s="553">
        <f>DJ80/PI()*SQRT('Hilfstabellen_Mat&amp;Bem'!f.Rd.3/'Hilfstabellen_Mat&amp;Bem'!$BD$30)</f>
        <v>1.6289262819280221</v>
      </c>
      <c r="DL80" s="553">
        <f>0.5*(1+'Hilfstabellen_Mat&amp;Bem'!$BD$31*(DK80-0.3)+DK80^2)</f>
        <v>1.8931467300743263</v>
      </c>
      <c r="DM80" s="550">
        <f t="shared" si="104"/>
        <v>0.34991648631047473</v>
      </c>
      <c r="DO80" s="551">
        <f t="shared" si="105"/>
        <v>6096.9448574737116</v>
      </c>
      <c r="DS80" s="546">
        <f t="shared" si="106"/>
        <v>132</v>
      </c>
      <c r="DT80" s="551">
        <f t="shared" si="107"/>
        <v>104.9727762162956</v>
      </c>
      <c r="DU80" s="553">
        <f>DT80/PI()*SQRT('Hilfstabellen_Mat&amp;Bem'!f.Rd.3/'Hilfstabellen_Mat&amp;Bem'!$BD$30)</f>
        <v>1.6706936224902791</v>
      </c>
      <c r="DV80" s="553">
        <f>0.5*(1+'Hilfstabellen_Mat&amp;Bem'!$BD$31*(DU80-0.3)+DU80^2)</f>
        <v>1.9641432712393596</v>
      </c>
      <c r="DW80" s="550">
        <f t="shared" si="108"/>
        <v>0.33367516134482889</v>
      </c>
      <c r="DY80" s="551">
        <f t="shared" si="109"/>
        <v>5813.9560112722984</v>
      </c>
      <c r="EC80" s="546">
        <f t="shared" si="110"/>
        <v>132</v>
      </c>
      <c r="ED80" s="551">
        <f t="shared" si="111"/>
        <v>107.59709562170298</v>
      </c>
      <c r="EE80" s="553">
        <f>ED80/PI()*SQRT('Hilfstabellen_Mat&amp;Bem'!f.Rd.3/'Hilfstabellen_Mat&amp;Bem'!$BD$30)</f>
        <v>1.712460963052536</v>
      </c>
      <c r="EF80" s="553">
        <f>0.5*(1+'Hilfstabellen_Mat&amp;Bem'!$BD$31*(EE80-0.3)+EE80^2)</f>
        <v>2.0368843231420364</v>
      </c>
      <c r="EG80" s="550">
        <f t="shared" si="112"/>
        <v>0.31849382156956341</v>
      </c>
      <c r="EI80" s="551">
        <f t="shared" si="113"/>
        <v>5549.4363470280732</v>
      </c>
      <c r="EM80" s="546">
        <f t="shared" si="114"/>
        <v>132</v>
      </c>
      <c r="EN80" s="551">
        <f t="shared" si="115"/>
        <v>110.22141502711037</v>
      </c>
      <c r="EO80" s="553">
        <f>EN80/PI()*SQRT('Hilfstabellen_Mat&amp;Bem'!f.Rd.3/'Hilfstabellen_Mat&amp;Bem'!$BD$30)</f>
        <v>1.754228303614793</v>
      </c>
      <c r="EP80" s="553">
        <f>0.5*(1+'Hilfstabellen_Mat&amp;Bem'!$BD$31*(EO80-0.3)+EO80^2)</f>
        <v>2.1113698857823566</v>
      </c>
      <c r="EQ80" s="550">
        <f t="shared" si="116"/>
        <v>0.30428944197667712</v>
      </c>
      <c r="ES80" s="551">
        <f t="shared" si="117"/>
        <v>5301.9392370016221</v>
      </c>
    </row>
    <row r="81" spans="3:149">
      <c r="C81" s="546">
        <v>133</v>
      </c>
      <c r="D81" s="551">
        <f t="shared" si="67"/>
        <v>72.928455055531671</v>
      </c>
      <c r="E81" s="553">
        <f>$D81/PI()*SQRT('Hilfstabellen_Mat&amp;Bem'!f.Rd.3/'Hilfstabellen_Mat&amp;Bem'!$BD$30)</f>
        <v>1.1606924114142989</v>
      </c>
      <c r="F81" s="553">
        <f>0.5*(1+'Hilfstabellen_Mat&amp;Bem'!$BD$31*($E81-0.3)+$E81^2)</f>
        <v>1.2166380575280851</v>
      </c>
      <c r="G81" s="550">
        <f t="shared" si="68"/>
        <v>0.63237848325553303</v>
      </c>
      <c r="I81" s="551">
        <f t="shared" si="69"/>
        <v>11186.142990307124</v>
      </c>
      <c r="M81" s="546">
        <f t="shared" si="70"/>
        <v>133</v>
      </c>
      <c r="N81" s="551">
        <f t="shared" si="59"/>
        <v>75.533042736086372</v>
      </c>
      <c r="O81" s="553">
        <f>$N81/PI()*SQRT('Hilfstabellen_Mat&amp;Bem'!f.Rd.3/'Hilfstabellen_Mat&amp;Bem'!$BD$30)</f>
        <v>1.2021457118219525</v>
      </c>
      <c r="P81" s="553">
        <f>0.5*(1+'Hilfstabellen_Mat&amp;Bem'!$BD$31*($O81-0.3)+$O81^2)</f>
        <v>1.2676844418170521</v>
      </c>
      <c r="Q81" s="550">
        <f t="shared" si="60"/>
        <v>0.59879717118288756</v>
      </c>
      <c r="S81" s="551">
        <f t="shared" si="71"/>
        <v>10592.123161054098</v>
      </c>
      <c r="W81" s="546">
        <f t="shared" si="72"/>
        <v>133</v>
      </c>
      <c r="X81" s="551">
        <f t="shared" si="61"/>
        <v>78.137630416641073</v>
      </c>
      <c r="Y81" s="553">
        <f>$X81/PI()*SQRT('Hilfstabellen_Mat&amp;Bem'!f.Rd.3/'Hilfstabellen_Mat&amp;Bem'!$BD$30)</f>
        <v>1.2435990122296061</v>
      </c>
      <c r="Z81" s="553">
        <f>0.5*(1+'Hilfstabellen_Mat&amp;Bem'!$BD$31*($Y81-0.3)+$Y81^2)</f>
        <v>1.3204492022207064</v>
      </c>
      <c r="AA81" s="550">
        <f t="shared" si="62"/>
        <v>0.56678108539740546</v>
      </c>
      <c r="AC81" s="551">
        <f t="shared" si="73"/>
        <v>10025.790619594705</v>
      </c>
      <c r="AG81" s="546">
        <f t="shared" si="74"/>
        <v>133</v>
      </c>
      <c r="AH81" s="551">
        <f t="shared" si="63"/>
        <v>80.742218097195789</v>
      </c>
      <c r="AI81" s="553">
        <f>$AH81/PI()*SQRT('Hilfstabellen_Mat&amp;Bem'!f.Rd.3/'Hilfstabellen_Mat&amp;Bem'!$BD$30)</f>
        <v>1.2850523126372599</v>
      </c>
      <c r="AJ81" s="553">
        <f>0.5*(1+'Hilfstabellen_Mat&amp;Bem'!$BD$31*($AI81-0.3)+$AI81^2)</f>
        <v>1.3749323387390482</v>
      </c>
      <c r="AK81" s="550">
        <f t="shared" si="64"/>
        <v>0.53651237862314727</v>
      </c>
      <c r="AM81" s="551">
        <f t="shared" si="75"/>
        <v>9490.3674654648512</v>
      </c>
      <c r="AQ81" s="546">
        <f t="shared" si="76"/>
        <v>133</v>
      </c>
      <c r="AR81" s="551">
        <f t="shared" si="65"/>
        <v>83.346805777750475</v>
      </c>
      <c r="AS81" s="553">
        <f>$AR81/PI()*SQRT('Hilfstabellen_Mat&amp;Bem'!f.Rd.3/'Hilfstabellen_Mat&amp;Bem'!$BD$30)</f>
        <v>1.3265056130449131</v>
      </c>
      <c r="AT81" s="553">
        <f>0.5*(1+'Hilfstabellen_Mat&amp;Bem'!$BD$31*($AS81-0.3)+$AS81^2)</f>
        <v>1.4311338513720759</v>
      </c>
      <c r="AU81" s="550">
        <f t="shared" si="66"/>
        <v>0.50805756260173751</v>
      </c>
      <c r="AW81" s="551">
        <f t="shared" si="77"/>
        <v>8987.0302248621356</v>
      </c>
      <c r="BA81" s="546">
        <f t="shared" si="78"/>
        <v>133</v>
      </c>
      <c r="BB81" s="551">
        <f t="shared" si="79"/>
        <v>85.951393458305176</v>
      </c>
      <c r="BC81" s="553">
        <f>$BB81/PI()*SQRT('Hilfstabellen_Mat&amp;Bem'!f.Rd.3/'Hilfstabellen_Mat&amp;Bem'!$BD$30)</f>
        <v>1.3679589134525667</v>
      </c>
      <c r="BD81" s="553">
        <f>0.5*(1+'Hilfstabellen_Mat&amp;Bem'!$BD$31*($BC81-0.3)+$BC81^2)</f>
        <v>1.4890537401197919</v>
      </c>
      <c r="BE81" s="550">
        <f t="shared" si="80"/>
        <v>0.48140676612294153</v>
      </c>
      <c r="BG81" s="551">
        <f t="shared" si="81"/>
        <v>8515.6042859487134</v>
      </c>
      <c r="BK81" s="546">
        <f t="shared" si="82"/>
        <v>133</v>
      </c>
      <c r="BL81" s="551">
        <f t="shared" si="83"/>
        <v>88.555981138859892</v>
      </c>
      <c r="BM81" s="553">
        <f>$BL81/PI()*SQRT('Hilfstabellen_Mat&amp;Bem'!f.Rd.3/'Hilfstabellen_Mat&amp;Bem'!$BD$30)</f>
        <v>1.4094122138602205</v>
      </c>
      <c r="BN81" s="553">
        <f>0.5*(1+'Hilfstabellen_Mat&amp;Bem'!$BD$31*($BM81-0.3)+$BM81^2)</f>
        <v>1.5486920049821951</v>
      </c>
      <c r="BO81" s="550">
        <f t="shared" si="84"/>
        <v>0.45650271208735088</v>
      </c>
      <c r="BQ81" s="551">
        <f t="shared" si="85"/>
        <v>8075.0764741131497</v>
      </c>
      <c r="BU81" s="546">
        <f t="shared" si="86"/>
        <v>133</v>
      </c>
      <c r="BV81" s="551">
        <f t="shared" si="87"/>
        <v>91.160568819414578</v>
      </c>
      <c r="BW81" s="553">
        <f>$BV81/PI()*SQRT('Hilfstabellen_Mat&amp;Bem'!f.Rd.3/'Hilfstabellen_Mat&amp;Bem'!$BD$30)</f>
        <v>1.4508655142678737</v>
      </c>
      <c r="BX81" s="553">
        <f>0.5*(1+'Hilfstabellen_Mat&amp;Bem'!$BD$31*($BW81-0.3)+$BW81^2)</f>
        <v>1.6100486459592847</v>
      </c>
      <c r="BY81" s="550">
        <f t="shared" si="88"/>
        <v>0.43326079691640668</v>
      </c>
      <c r="CA81" s="551">
        <f t="shared" si="89"/>
        <v>7663.9502366543175</v>
      </c>
      <c r="CE81" s="546">
        <f t="shared" si="90"/>
        <v>133</v>
      </c>
      <c r="CF81" s="551">
        <f t="shared" si="91"/>
        <v>93.765156499969294</v>
      </c>
      <c r="CG81" s="553">
        <f>CF81/PI()*SQRT('Hilfstabellen_Mat&amp;Bem'!f.Rd.3/'Hilfstabellen_Mat&amp;Bem'!$BD$30)</f>
        <v>1.4923188146755275</v>
      </c>
      <c r="CH81" s="553">
        <f>0.5*(1+'Hilfstabellen_Mat&amp;Bem'!$BD$31*(CG81-0.3)+CG81^2)</f>
        <v>1.6731236630510622</v>
      </c>
      <c r="CI81" s="550">
        <f t="shared" si="92"/>
        <v>0.41158244703934005</v>
      </c>
      <c r="CK81" s="551">
        <f t="shared" si="93"/>
        <v>7280.4819056788865</v>
      </c>
      <c r="CO81" s="546">
        <f t="shared" si="94"/>
        <v>133</v>
      </c>
      <c r="CP81" s="551">
        <f t="shared" si="95"/>
        <v>96.369744180523995</v>
      </c>
      <c r="CQ81" s="553">
        <f>CP81/PI()*SQRT('Hilfstabellen_Mat&amp;Bem'!f.Rd.3/'Hilfstabellen_Mat&amp;Bem'!$BD$30)</f>
        <v>1.5337721150831811</v>
      </c>
      <c r="CR81" s="553">
        <f>0.5*(1+'Hilfstabellen_Mat&amp;Bem'!$BD$31*(CQ81-0.3)+CQ81^2)</f>
        <v>1.7379170562575266</v>
      </c>
      <c r="CS81" s="550">
        <f t="shared" si="96"/>
        <v>0.39136372818341525</v>
      </c>
      <c r="CU81" s="551">
        <f t="shared" si="97"/>
        <v>6922.832987836432</v>
      </c>
      <c r="CY81" s="546">
        <f t="shared" si="98"/>
        <v>133</v>
      </c>
      <c r="CZ81" s="551">
        <f t="shared" si="99"/>
        <v>98.974331861078696</v>
      </c>
      <c r="DA81" s="553">
        <f>CZ81/PI()*SQRT('Hilfstabellen_Mat&amp;Bem'!f.Rd.3/'Hilfstabellen_Mat&amp;Bem'!$BD$30)</f>
        <v>1.5752254154908345</v>
      </c>
      <c r="DB81" s="553">
        <f>0.5*(1+'Hilfstabellen_Mat&amp;Bem'!$BD$31*(DA81-0.3)+DA81^2)</f>
        <v>1.804428825578678</v>
      </c>
      <c r="DC81" s="550">
        <f t="shared" si="100"/>
        <v>0.3725007270207823</v>
      </c>
      <c r="DE81" s="551">
        <f t="shared" si="101"/>
        <v>6589.1653602706183</v>
      </c>
      <c r="DI81" s="546">
        <f t="shared" si="102"/>
        <v>133</v>
      </c>
      <c r="DJ81" s="551">
        <f t="shared" si="103"/>
        <v>101.5789195416334</v>
      </c>
      <c r="DK81" s="553">
        <f>DJ81/PI()*SQRT('Hilfstabellen_Mat&amp;Bem'!f.Rd.3/'Hilfstabellen_Mat&amp;Bem'!$BD$30)</f>
        <v>1.6166787158984879</v>
      </c>
      <c r="DL81" s="553">
        <f>0.5*(1+'Hilfstabellen_Mat&amp;Bem'!$BD$31*(DK81-0.3)+DK81^2)</f>
        <v>1.8726589710145163</v>
      </c>
      <c r="DM81" s="550">
        <f t="shared" si="104"/>
        <v>0.35489278872686236</v>
      </c>
      <c r="DO81" s="551">
        <f t="shared" si="105"/>
        <v>6277.6985397894687</v>
      </c>
      <c r="DS81" s="546">
        <f t="shared" si="106"/>
        <v>133</v>
      </c>
      <c r="DT81" s="551">
        <f t="shared" si="107"/>
        <v>104.1835072221881</v>
      </c>
      <c r="DU81" s="553">
        <f>DT81/PI()*SQRT('Hilfstabellen_Mat&amp;Bem'!f.Rd.3/'Hilfstabellen_Mat&amp;Bem'!$BD$30)</f>
        <v>1.6581320163061415</v>
      </c>
      <c r="DV81" s="553">
        <f>0.5*(1+'Hilfstabellen_Mat&amp;Bem'!$BD$31*(DU81-0.3)+DU81^2)</f>
        <v>1.9426074925650423</v>
      </c>
      <c r="DW81" s="550">
        <f t="shared" si="108"/>
        <v>0.33844435341857226</v>
      </c>
      <c r="DY81" s="551">
        <f t="shared" si="109"/>
        <v>5986.7421676211252</v>
      </c>
      <c r="EC81" s="546">
        <f t="shared" si="110"/>
        <v>133</v>
      </c>
      <c r="ED81" s="551">
        <f t="shared" si="111"/>
        <v>106.78809490274281</v>
      </c>
      <c r="EE81" s="553">
        <f>ED81/PI()*SQRT('Hilfstabellen_Mat&amp;Bem'!f.Rd.3/'Hilfstabellen_Mat&amp;Bem'!$BD$30)</f>
        <v>1.6995853167137953</v>
      </c>
      <c r="EF81" s="553">
        <f>0.5*(1+'Hilfstabellen_Mat&amp;Bem'!$BD$31*(EE81-0.3)+EE81^2)</f>
        <v>2.0142743902302556</v>
      </c>
      <c r="EG81" s="550">
        <f t="shared" si="112"/>
        <v>0.32306589005062009</v>
      </c>
      <c r="EI81" s="551">
        <f t="shared" si="113"/>
        <v>5714.712529105419</v>
      </c>
      <c r="EM81" s="546">
        <f t="shared" si="114"/>
        <v>133</v>
      </c>
      <c r="EN81" s="551">
        <f t="shared" si="115"/>
        <v>109.3926825832975</v>
      </c>
      <c r="EO81" s="553">
        <f>EN81/PI()*SQRT('Hilfstabellen_Mat&amp;Bem'!f.Rd.3/'Hilfstabellen_Mat&amp;Bem'!$BD$30)</f>
        <v>1.7410386171214485</v>
      </c>
      <c r="EP81" s="553">
        <f>0.5*(1+'Hilfstabellen_Mat&amp;Bem'!$BD$31*(EO81-0.3)+EO81^2)</f>
        <v>2.0876596640101552</v>
      </c>
      <c r="EQ81" s="550">
        <f t="shared" si="116"/>
        <v>0.30867425820666311</v>
      </c>
      <c r="ES81" s="551">
        <f t="shared" si="117"/>
        <v>5460.1389534176642</v>
      </c>
    </row>
    <row r="82" spans="3:149">
      <c r="C82" s="546">
        <v>134</v>
      </c>
      <c r="D82" s="551">
        <f t="shared" si="67"/>
        <v>72.384212853624717</v>
      </c>
      <c r="E82" s="553">
        <f>$D82/PI()*SQRT('Hilfstabellen_Mat&amp;Bem'!f.Rd.3/'Hilfstabellen_Mat&amp;Bem'!$BD$30)</f>
        <v>1.1520305277470282</v>
      </c>
      <c r="F82" s="553">
        <f>0.5*(1+'Hilfstabellen_Mat&amp;Bem'!$BD$31*($E82-0.3)+$E82^2)</f>
        <v>1.2061886948178995</v>
      </c>
      <c r="G82" s="550">
        <f t="shared" si="68"/>
        <v>0.63956464132837199</v>
      </c>
      <c r="I82" s="551">
        <f t="shared" si="69"/>
        <v>11484.022699692247</v>
      </c>
      <c r="M82" s="546">
        <f t="shared" si="70"/>
        <v>134</v>
      </c>
      <c r="N82" s="551">
        <f t="shared" si="59"/>
        <v>74.969363312682745</v>
      </c>
      <c r="O82" s="553">
        <f>$N82/PI()*SQRT('Hilfstabellen_Mat&amp;Bem'!f.Rd.3/'Hilfstabellen_Mat&amp;Bem'!$BD$30)</f>
        <v>1.1931744751665649</v>
      </c>
      <c r="P82" s="553">
        <f>0.5*(1+'Hilfstabellen_Mat&amp;Bem'!$BD$31*($O82-0.3)+$O82^2)</f>
        <v>1.2564913878528321</v>
      </c>
      <c r="Q82" s="550">
        <f t="shared" si="60"/>
        <v>0.60594108361952081</v>
      </c>
      <c r="S82" s="551">
        <f t="shared" si="71"/>
        <v>10880.278097472115</v>
      </c>
      <c r="W82" s="546">
        <f t="shared" si="72"/>
        <v>134</v>
      </c>
      <c r="X82" s="551">
        <f t="shared" si="61"/>
        <v>77.554513771740773</v>
      </c>
      <c r="Y82" s="553">
        <f>$X82/PI()*SQRT('Hilfstabellen_Mat&amp;Bem'!f.Rd.3/'Hilfstabellen_Mat&amp;Bem'!$BD$30)</f>
        <v>1.2343184225861017</v>
      </c>
      <c r="Z82" s="553">
        <f>0.5*(1+'Hilfstabellen_Mat&amp;Bem'!$BD$31*($Y82-0.3)+$Y82^2)</f>
        <v>1.3084869052970263</v>
      </c>
      <c r="AA82" s="550">
        <f t="shared" si="62"/>
        <v>0.57380137785890439</v>
      </c>
      <c r="AC82" s="551">
        <f t="shared" si="73"/>
        <v>10303.177540834487</v>
      </c>
      <c r="AG82" s="546">
        <f t="shared" si="74"/>
        <v>134</v>
      </c>
      <c r="AH82" s="551">
        <f t="shared" si="63"/>
        <v>80.139664230798786</v>
      </c>
      <c r="AI82" s="553">
        <f>$AH82/PI()*SQRT('Hilfstabellen_Mat&amp;Bem'!f.Rd.3/'Hilfstabellen_Mat&amp;Bem'!$BD$30)</f>
        <v>1.2754623700056382</v>
      </c>
      <c r="AJ82" s="553">
        <f>0.5*(1+'Hilfstabellen_Mat&amp;Bem'!$BD$31*($AI82-0.3)+$AI82^2)</f>
        <v>1.3621752471504815</v>
      </c>
      <c r="AK82" s="550">
        <f t="shared" si="64"/>
        <v>0.54335451122504397</v>
      </c>
      <c r="AM82" s="551">
        <f t="shared" si="75"/>
        <v>9756.4736035568894</v>
      </c>
      <c r="AQ82" s="546">
        <f t="shared" si="76"/>
        <v>134</v>
      </c>
      <c r="AR82" s="551">
        <f t="shared" si="65"/>
        <v>82.724814689856828</v>
      </c>
      <c r="AS82" s="553">
        <f>$AR82/PI()*SQRT('Hilfstabellen_Mat&amp;Bem'!f.Rd.3/'Hilfstabellen_Mat&amp;Bem'!$BD$30)</f>
        <v>1.3166063174251752</v>
      </c>
      <c r="AT82" s="553">
        <f>0.5*(1+'Hilfstabellen_Mat&amp;Bem'!$BD$31*($AS82-0.3)+$AS82^2)</f>
        <v>1.4175564134131995</v>
      </c>
      <c r="AU82" s="550">
        <f t="shared" si="66"/>
        <v>0.51468744265098054</v>
      </c>
      <c r="AW82" s="551">
        <f t="shared" si="77"/>
        <v>9241.727720241006</v>
      </c>
      <c r="BA82" s="546">
        <f t="shared" si="78"/>
        <v>134</v>
      </c>
      <c r="BB82" s="551">
        <f t="shared" si="79"/>
        <v>85.309965148914841</v>
      </c>
      <c r="BC82" s="553">
        <f>$BB82/PI()*SQRT('Hilfstabellen_Mat&amp;Bem'!f.Rd.3/'Hilfstabellen_Mat&amp;Bem'!$BD$30)</f>
        <v>1.3577502648447117</v>
      </c>
      <c r="BD82" s="553">
        <f>0.5*(1+'Hilfstabellen_Mat&amp;Bem'!$BD$31*($BC82-0.3)+$BC82^2)</f>
        <v>1.4746304040851781</v>
      </c>
      <c r="BE82" s="550">
        <f t="shared" si="80"/>
        <v>0.48780511066715543</v>
      </c>
      <c r="BG82" s="551">
        <f t="shared" si="81"/>
        <v>8759.0285671394431</v>
      </c>
      <c r="BK82" s="546">
        <f t="shared" si="82"/>
        <v>134</v>
      </c>
      <c r="BL82" s="551">
        <f t="shared" si="83"/>
        <v>87.895115607972869</v>
      </c>
      <c r="BM82" s="553">
        <f>$BL82/PI()*SQRT('Hilfstabellen_Mat&amp;Bem'!f.Rd.3/'Hilfstabellen_Mat&amp;Bem'!$BD$30)</f>
        <v>1.3988942122642485</v>
      </c>
      <c r="BN82" s="553">
        <f>0.5*(1+'Hilfstabellen_Mat&amp;Bem'!$BD$31*($BM82-0.3)+$BM82^2)</f>
        <v>1.5333972191664185</v>
      </c>
      <c r="BO82" s="550">
        <f t="shared" si="84"/>
        <v>0.46266061385135543</v>
      </c>
      <c r="BQ82" s="551">
        <f t="shared" si="85"/>
        <v>8307.5339823149388</v>
      </c>
      <c r="BU82" s="546">
        <f t="shared" si="86"/>
        <v>134</v>
      </c>
      <c r="BV82" s="551">
        <f t="shared" si="87"/>
        <v>90.480266067030897</v>
      </c>
      <c r="BW82" s="553">
        <f>$BV82/PI()*SQRT('Hilfstabellen_Mat&amp;Bem'!f.Rd.3/'Hilfstabellen_Mat&amp;Bem'!$BD$30)</f>
        <v>1.4400381596837852</v>
      </c>
      <c r="BX82" s="553">
        <f>0.5*(1+'Hilfstabellen_Mat&amp;Bem'!$BD$31*($BW82-0.3)+$BW82^2)</f>
        <v>1.5938568586569206</v>
      </c>
      <c r="BY82" s="550">
        <f t="shared" si="88"/>
        <v>0.43917643685580648</v>
      </c>
      <c r="CA82" s="551">
        <f t="shared" si="89"/>
        <v>7885.8521001828612</v>
      </c>
      <c r="CE82" s="546">
        <f t="shared" si="90"/>
        <v>134</v>
      </c>
      <c r="CF82" s="551">
        <f t="shared" si="91"/>
        <v>93.065416526088924</v>
      </c>
      <c r="CG82" s="553">
        <f>CF82/PI()*SQRT('Hilfstabellen_Mat&amp;Bem'!f.Rd.3/'Hilfstabellen_Mat&amp;Bem'!$BD$30)</f>
        <v>1.481182107103322</v>
      </c>
      <c r="CH82" s="553">
        <f>0.5*(1+'Hilfstabellen_Mat&amp;Bem'!$BD$31*(CG82-0.3)+CG82^2)</f>
        <v>1.6560093225566845</v>
      </c>
      <c r="CI82" s="550">
        <f t="shared" si="92"/>
        <v>0.41725873508967393</v>
      </c>
      <c r="CK82" s="551">
        <f t="shared" si="93"/>
        <v>7492.2978472701852</v>
      </c>
      <c r="CO82" s="546">
        <f t="shared" si="94"/>
        <v>134</v>
      </c>
      <c r="CP82" s="551">
        <f t="shared" si="95"/>
        <v>95.650566985146952</v>
      </c>
      <c r="CQ82" s="553">
        <f>CP82/PI()*SQRT('Hilfstabellen_Mat&amp;Bem'!f.Rd.3/'Hilfstabellen_Mat&amp;Bem'!$BD$30)</f>
        <v>1.5223260545228587</v>
      </c>
      <c r="CR82" s="553">
        <f>0.5*(1+'Hilfstabellen_Mat&amp;Bem'!$BD$31*(CQ82-0.3)+CQ82^2)</f>
        <v>1.71985461086571</v>
      </c>
      <c r="CS82" s="550">
        <f t="shared" si="96"/>
        <v>0.39680664164305285</v>
      </c>
      <c r="CU82" s="551">
        <f t="shared" si="97"/>
        <v>7125.0600573426573</v>
      </c>
      <c r="CY82" s="546">
        <f t="shared" si="98"/>
        <v>134</v>
      </c>
      <c r="CZ82" s="551">
        <f t="shared" si="99"/>
        <v>98.23571744420498</v>
      </c>
      <c r="DA82" s="553">
        <f>CZ82/PI()*SQRT('Hilfstabellen_Mat&amp;Bem'!f.Rd.3/'Hilfstabellen_Mat&amp;Bem'!$BD$30)</f>
        <v>1.5634700019423955</v>
      </c>
      <c r="DB82" s="553">
        <f>0.5*(1+'Hilfstabellen_Mat&amp;Bem'!$BD$31*(DA82-0.3)+DA82^2)</f>
        <v>1.785392723583997</v>
      </c>
      <c r="DC82" s="550">
        <f t="shared" si="100"/>
        <v>0.37771815380989093</v>
      </c>
      <c r="DE82" s="551">
        <f t="shared" si="101"/>
        <v>6782.3071698104013</v>
      </c>
      <c r="DI82" s="546">
        <f t="shared" si="102"/>
        <v>134</v>
      </c>
      <c r="DJ82" s="551">
        <f t="shared" si="103"/>
        <v>100.82086790326299</v>
      </c>
      <c r="DK82" s="553">
        <f>DJ82/PI()*SQRT('Hilfstabellen_Mat&amp;Bem'!f.Rd.3/'Hilfstabellen_Mat&amp;Bem'!$BD$30)</f>
        <v>1.6046139493619318</v>
      </c>
      <c r="DL82" s="553">
        <f>0.5*(1+'Hilfstabellen_Mat&amp;Bem'!$BD$31*(DK82-0.3)+DK82^2)</f>
        <v>1.8526236607115449</v>
      </c>
      <c r="DM82" s="550">
        <f t="shared" si="104"/>
        <v>0.35989372885029575</v>
      </c>
      <c r="DO82" s="551">
        <f t="shared" si="105"/>
        <v>6462.2517952359103</v>
      </c>
      <c r="DS82" s="546">
        <f t="shared" si="106"/>
        <v>134</v>
      </c>
      <c r="DT82" s="551">
        <f t="shared" si="107"/>
        <v>103.40601836232103</v>
      </c>
      <c r="DU82" s="553">
        <f>DT82/PI()*SQRT('Hilfstabellen_Mat&amp;Bem'!f.Rd.3/'Hilfstabellen_Mat&amp;Bem'!$BD$30)</f>
        <v>1.6457578967814692</v>
      </c>
      <c r="DV82" s="553">
        <f>0.5*(1+'Hilfstabellen_Mat&amp;Bem'!$BD$31*(DU82-0.3)+DU82^2)</f>
        <v>1.9215474222483562</v>
      </c>
      <c r="DW82" s="550">
        <f t="shared" si="108"/>
        <v>0.34323837199822183</v>
      </c>
      <c r="DY82" s="551">
        <f t="shared" si="109"/>
        <v>6163.1882076000711</v>
      </c>
      <c r="EC82" s="546">
        <f t="shared" si="110"/>
        <v>134</v>
      </c>
      <c r="ED82" s="551">
        <f t="shared" si="111"/>
        <v>105.99116882137905</v>
      </c>
      <c r="EE82" s="553">
        <f>ED82/PI()*SQRT('Hilfstabellen_Mat&amp;Bem'!f.Rd.3/'Hilfstabellen_Mat&amp;Bem'!$BD$30)</f>
        <v>1.6869018442010058</v>
      </c>
      <c r="EF82" s="553">
        <f>0.5*(1+'Hilfstabellen_Mat&amp;Bem'!$BD$31*(EE82-0.3)+EE82^2)</f>
        <v>1.9921640081944274</v>
      </c>
      <c r="EG82" s="550">
        <f t="shared" si="112"/>
        <v>0.32766274617223923</v>
      </c>
      <c r="EI82" s="551">
        <f t="shared" si="113"/>
        <v>5883.5122702687277</v>
      </c>
      <c r="EM82" s="546">
        <f t="shared" si="114"/>
        <v>134</v>
      </c>
      <c r="EN82" s="551">
        <f t="shared" si="115"/>
        <v>108.57631928043708</v>
      </c>
      <c r="EO82" s="553">
        <f>EN82/PI()*SQRT('Hilfstabellen_Mat&amp;Bem'!f.Rd.3/'Hilfstabellen_Mat&amp;Bem'!$BD$30)</f>
        <v>1.7280457916205423</v>
      </c>
      <c r="EP82" s="553">
        <f>0.5*(1+'Hilfstabellen_Mat&amp;Bem'!$BD$31*(EO82-0.3)+EO82^2)</f>
        <v>2.0644734185497606</v>
      </c>
      <c r="EQ82" s="550">
        <f t="shared" si="116"/>
        <v>0.31308365636907798</v>
      </c>
      <c r="ES82" s="551">
        <f t="shared" si="117"/>
        <v>5621.7301337631643</v>
      </c>
    </row>
    <row r="83" spans="3:149">
      <c r="C83" s="546">
        <v>135</v>
      </c>
      <c r="D83" s="551">
        <f t="shared" si="67"/>
        <v>71.848033499153416</v>
      </c>
      <c r="E83" s="553">
        <f>$D83/PI()*SQRT('Hilfstabellen_Mat&amp;Bem'!f.Rd.3/'Hilfstabellen_Mat&amp;Bem'!$BD$30)</f>
        <v>1.1434969682822353</v>
      </c>
      <c r="F83" s="553">
        <f>0.5*(1+'Hilfstabellen_Mat&amp;Bem'!$BD$31*($E83-0.3)+$E83^2)</f>
        <v>1.1959675066494435</v>
      </c>
      <c r="G83" s="550">
        <f t="shared" si="68"/>
        <v>0.64669303810086276</v>
      </c>
      <c r="I83" s="551">
        <f t="shared" si="69"/>
        <v>11785.980619388223</v>
      </c>
      <c r="M83" s="546">
        <f t="shared" si="70"/>
        <v>135</v>
      </c>
      <c r="N83" s="551">
        <f t="shared" si="59"/>
        <v>74.414034695551763</v>
      </c>
      <c r="O83" s="553">
        <f>$N83/PI()*SQRT('Hilfstabellen_Mat&amp;Bem'!f.Rd.3/'Hilfstabellen_Mat&amp;Bem'!$BD$30)</f>
        <v>1.1843361457208867</v>
      </c>
      <c r="P83" s="553">
        <f>0.5*(1+'Hilfstabellen_Mat&amp;Bem'!$BD$31*($O83-0.3)+$O83^2)</f>
        <v>1.2455428603165473</v>
      </c>
      <c r="Q83" s="550">
        <f t="shared" si="60"/>
        <v>0.61304878683236663</v>
      </c>
      <c r="S83" s="551">
        <f t="shared" si="71"/>
        <v>11172.814140019882</v>
      </c>
      <c r="W83" s="546">
        <f t="shared" si="72"/>
        <v>135</v>
      </c>
      <c r="X83" s="551">
        <f t="shared" si="61"/>
        <v>76.980035891950095</v>
      </c>
      <c r="Y83" s="553">
        <f>$X83/PI()*SQRT('Hilfstabellen_Mat&amp;Bem'!f.Rd.3/'Hilfstabellen_Mat&amp;Bem'!$BD$30)</f>
        <v>1.2251753231595379</v>
      </c>
      <c r="Z83" s="553">
        <f>0.5*(1+'Hilfstabellen_Mat&amp;Bem'!$BD$31*($Y83-0.3)+$Y83^2)</f>
        <v>1.2967860523975161</v>
      </c>
      <c r="AA83" s="550">
        <f t="shared" si="62"/>
        <v>0.58080237549328984</v>
      </c>
      <c r="AC83" s="551">
        <f t="shared" si="73"/>
        <v>10585.123293365208</v>
      </c>
      <c r="AG83" s="546">
        <f t="shared" si="74"/>
        <v>135</v>
      </c>
      <c r="AH83" s="551">
        <f t="shared" si="63"/>
        <v>79.546037088348427</v>
      </c>
      <c r="AI83" s="553">
        <f>$AH83/PI()*SQRT('Hilfstabellen_Mat&amp;Bem'!f.Rd.3/'Hilfstabellen_Mat&amp;Bem'!$BD$30)</f>
        <v>1.2660145005981891</v>
      </c>
      <c r="AJ83" s="553">
        <f>0.5*(1+'Hilfstabellen_Mat&amp;Bem'!$BD$31*($AI83-0.3)+$AI83^2)</f>
        <v>1.3496970828923507</v>
      </c>
      <c r="AK83" s="550">
        <f t="shared" si="64"/>
        <v>0.55019017310021701</v>
      </c>
      <c r="AM83" s="551">
        <f t="shared" si="75"/>
        <v>10027.215904751454</v>
      </c>
      <c r="AQ83" s="546">
        <f t="shared" si="76"/>
        <v>135</v>
      </c>
      <c r="AR83" s="551">
        <f t="shared" si="65"/>
        <v>82.11203828474676</v>
      </c>
      <c r="AS83" s="553">
        <f>$AR83/PI()*SQRT('Hilfstabellen_Mat&amp;Bem'!f.Rd.3/'Hilfstabellen_Mat&amp;Bem'!$BD$30)</f>
        <v>1.3068536780368403</v>
      </c>
      <c r="AT83" s="553">
        <f>0.5*(1+'Hilfstabellen_Mat&amp;Bem'!$BD$31*($AS83-0.3)+$AS83^2)</f>
        <v>1.4042759518010506</v>
      </c>
      <c r="AU83" s="550">
        <f t="shared" si="66"/>
        <v>0.52132035788975695</v>
      </c>
      <c r="AW83" s="551">
        <f t="shared" si="77"/>
        <v>9501.0635225408205</v>
      </c>
      <c r="BA83" s="546">
        <f t="shared" si="78"/>
        <v>135</v>
      </c>
      <c r="BB83" s="551">
        <f t="shared" si="79"/>
        <v>84.678039481145106</v>
      </c>
      <c r="BC83" s="553">
        <f>$BB83/PI()*SQRT('Hilfstabellen_Mat&amp;Bem'!f.Rd.3/'Hilfstabellen_Mat&amp;Bem'!$BD$30)</f>
        <v>1.3476928554754917</v>
      </c>
      <c r="BD83" s="553">
        <f>0.5*(1+'Hilfstabellen_Mat&amp;Bem'!$BD$31*($BC83-0.3)+$BC83^2)</f>
        <v>1.4605226591236169</v>
      </c>
      <c r="BE83" s="550">
        <f t="shared" si="80"/>
        <v>0.49421342178824773</v>
      </c>
      <c r="BG83" s="551">
        <f t="shared" si="81"/>
        <v>9007.0396120908154</v>
      </c>
      <c r="BK83" s="546">
        <f t="shared" si="82"/>
        <v>135</v>
      </c>
      <c r="BL83" s="551">
        <f t="shared" si="83"/>
        <v>87.244040677543452</v>
      </c>
      <c r="BM83" s="553">
        <f>$BL83/PI()*SQRT('Hilfstabellen_Mat&amp;Bem'!f.Rd.3/'Hilfstabellen_Mat&amp;Bem'!$BD$30)</f>
        <v>1.3885320329141431</v>
      </c>
      <c r="BN83" s="553">
        <f>0.5*(1+'Hilfstabellen_Mat&amp;Bem'!$BD$31*($BM83-0.3)+$BM83^2)</f>
        <v>1.5184372048600485</v>
      </c>
      <c r="BO83" s="550">
        <f t="shared" si="84"/>
        <v>0.4688334633035629</v>
      </c>
      <c r="BQ83" s="551">
        <f t="shared" si="85"/>
        <v>8544.4898687074347</v>
      </c>
      <c r="BU83" s="546">
        <f t="shared" si="86"/>
        <v>135</v>
      </c>
      <c r="BV83" s="551">
        <f t="shared" si="87"/>
        <v>89.810041873941785</v>
      </c>
      <c r="BW83" s="553">
        <f>$BV83/PI()*SQRT('Hilfstabellen_Mat&amp;Bem'!f.Rd.3/'Hilfstabellen_Mat&amp;Bem'!$BD$30)</f>
        <v>1.4293712103527945</v>
      </c>
      <c r="BX83" s="553">
        <f>0.5*(1+'Hilfstabellen_Mat&amp;Bem'!$BD$31*($BW83-0.3)+$BW83^2)</f>
        <v>1.5780195890103461</v>
      </c>
      <c r="BY83" s="550">
        <f t="shared" si="88"/>
        <v>0.44511054644293813</v>
      </c>
      <c r="CA83" s="551">
        <f t="shared" si="89"/>
        <v>8112.1397089225475</v>
      </c>
      <c r="CE83" s="546">
        <f t="shared" si="90"/>
        <v>135</v>
      </c>
      <c r="CF83" s="551">
        <f t="shared" si="91"/>
        <v>92.376043070340117</v>
      </c>
      <c r="CG83" s="553">
        <f>CF83/PI()*SQRT('Hilfstabellen_Mat&amp;Bem'!f.Rd.3/'Hilfstabellen_Mat&amp;Bem'!$BD$30)</f>
        <v>1.4702103877914456</v>
      </c>
      <c r="CH83" s="553">
        <f>0.5*(1+'Hilfstabellen_Mat&amp;Bem'!$BD$31*(CG83-0.3)+CG83^2)</f>
        <v>1.6392698115745088</v>
      </c>
      <c r="CI83" s="550">
        <f t="shared" si="92"/>
        <v>0.42295592948760607</v>
      </c>
      <c r="CK83" s="551">
        <f t="shared" si="93"/>
        <v>7708.3718149116203</v>
      </c>
      <c r="CO83" s="546">
        <f t="shared" si="94"/>
        <v>135</v>
      </c>
      <c r="CP83" s="551">
        <f t="shared" si="95"/>
        <v>94.942044266738463</v>
      </c>
      <c r="CQ83" s="553">
        <f>CP83/PI()*SQRT('Hilfstabellen_Mat&amp;Bem'!f.Rd.3/'Hilfstabellen_Mat&amp;Bem'!$BD$30)</f>
        <v>1.511049565230097</v>
      </c>
      <c r="CR83" s="553">
        <f>0.5*(1+'Hilfstabellen_Mat&amp;Bem'!$BD$31*(CQ83-0.3)+CQ83^2)</f>
        <v>1.7021878725525377</v>
      </c>
      <c r="CS83" s="550">
        <f t="shared" si="96"/>
        <v>0.40227209291332094</v>
      </c>
      <c r="CU83" s="551">
        <f t="shared" si="97"/>
        <v>7331.408893345274</v>
      </c>
      <c r="CY83" s="546">
        <f t="shared" si="98"/>
        <v>135</v>
      </c>
      <c r="CZ83" s="551">
        <f t="shared" si="99"/>
        <v>97.508045463136796</v>
      </c>
      <c r="DA83" s="553">
        <f>CZ83/PI()*SQRT('Hilfstabellen_Mat&amp;Bem'!f.Rd.3/'Hilfstabellen_Mat&amp;Bem'!$BD$30)</f>
        <v>1.5518887426687482</v>
      </c>
      <c r="DB83" s="553">
        <f>0.5*(1+'Hilfstabellen_Mat&amp;Bem'!$BD$31*(DA83-0.3)+DA83^2)</f>
        <v>1.7667737719444316</v>
      </c>
      <c r="DC83" s="550">
        <f t="shared" si="100"/>
        <v>0.382959152855533</v>
      </c>
      <c r="DE83" s="551">
        <f t="shared" si="101"/>
        <v>6979.4305607920887</v>
      </c>
      <c r="DI83" s="546">
        <f t="shared" si="102"/>
        <v>135</v>
      </c>
      <c r="DJ83" s="551">
        <f t="shared" si="103"/>
        <v>100.07404665953513</v>
      </c>
      <c r="DK83" s="553">
        <f>DJ83/PI()*SQRT('Hilfstabellen_Mat&amp;Bem'!f.Rd.3/'Hilfstabellen_Mat&amp;Bem'!$BD$30)</f>
        <v>1.5927279201073992</v>
      </c>
      <c r="DL83" s="553">
        <f>0.5*(1+'Hilfstabellen_Mat&amp;Bem'!$BD$31*(DK83-0.3)+DK83^2)</f>
        <v>1.8330275097501909</v>
      </c>
      <c r="DM83" s="550">
        <f t="shared" si="104"/>
        <v>0.36491883319162854</v>
      </c>
      <c r="DO83" s="551">
        <f t="shared" si="105"/>
        <v>6650.6457349174307</v>
      </c>
      <c r="DS83" s="546">
        <f t="shared" si="106"/>
        <v>135</v>
      </c>
      <c r="DT83" s="551">
        <f t="shared" si="107"/>
        <v>102.64004785593346</v>
      </c>
      <c r="DU83" s="553">
        <f>DT83/PI()*SQRT('Hilfstabellen_Mat&amp;Bem'!f.Rd.3/'Hilfstabellen_Mat&amp;Bem'!$BD$30)</f>
        <v>1.6335670975460506</v>
      </c>
      <c r="DV83" s="553">
        <f>0.5*(1+'Hilfstabellen_Mat&amp;Bem'!$BD$31*(DU83-0.3)+DU83^2)</f>
        <v>1.9009490859698164</v>
      </c>
      <c r="DW83" s="550">
        <f t="shared" si="108"/>
        <v>0.34805681908695024</v>
      </c>
      <c r="DY83" s="551">
        <f t="shared" si="109"/>
        <v>6343.3355278596682</v>
      </c>
      <c r="EC83" s="546">
        <f t="shared" si="110"/>
        <v>135</v>
      </c>
      <c r="ED83" s="551">
        <f t="shared" si="111"/>
        <v>105.20604905233179</v>
      </c>
      <c r="EE83" s="553">
        <f>ED83/PI()*SQRT('Hilfstabellen_Mat&amp;Bem'!f.Rd.3/'Hilfstabellen_Mat&amp;Bem'!$BD$30)</f>
        <v>1.674406274984702</v>
      </c>
      <c r="EF83" s="553">
        <f>0.5*(1+'Hilfstabellen_Mat&amp;Bem'!$BD$31*(EE83-0.3)+EE83^2)</f>
        <v>1.9705385006033078</v>
      </c>
      <c r="EG83" s="550">
        <f t="shared" si="112"/>
        <v>0.3322840529626877</v>
      </c>
      <c r="EI83" s="551">
        <f t="shared" si="113"/>
        <v>6055.8768652449835</v>
      </c>
      <c r="EM83" s="546">
        <f t="shared" si="114"/>
        <v>135</v>
      </c>
      <c r="EN83" s="551">
        <f t="shared" si="115"/>
        <v>107.77205024873014</v>
      </c>
      <c r="EO83" s="553">
        <f>EN83/PI()*SQRT('Hilfstabellen_Mat&amp;Bem'!f.Rd.3/'Hilfstabellen_Mat&amp;Bem'!$BD$30)</f>
        <v>1.7152454524233531</v>
      </c>
      <c r="EP83" s="553">
        <f>0.5*(1+'Hilfstabellen_Mat&amp;Bem'!$BD$31*(EO83-0.3)+EO83^2)</f>
        <v>2.0417957536506641</v>
      </c>
      <c r="EQ83" s="550">
        <f t="shared" si="116"/>
        <v>0.31751734918118685</v>
      </c>
      <c r="ES83" s="551">
        <f t="shared" si="117"/>
        <v>5786.7536888271306</v>
      </c>
    </row>
    <row r="84" spans="3:149">
      <c r="C84" s="546">
        <v>136</v>
      </c>
      <c r="D84" s="551">
        <f t="shared" si="67"/>
        <v>71.319739135189067</v>
      </c>
      <c r="E84" s="553">
        <f>$D84/PI()*SQRT('Hilfstabellen_Mat&amp;Bem'!f.Rd.3/'Hilfstabellen_Mat&amp;Bem'!$BD$30)</f>
        <v>1.1350889023389836</v>
      </c>
      <c r="F84" s="553">
        <f>0.5*(1+'Hilfstabellen_Mat&amp;Bem'!$BD$31*($E84-0.3)+$E84^2)</f>
        <v>1.1859678532235085</v>
      </c>
      <c r="G84" s="550">
        <f t="shared" si="68"/>
        <v>0.65375954596307928</v>
      </c>
      <c r="I84" s="551">
        <f t="shared" si="69"/>
        <v>12091.936562133114</v>
      </c>
      <c r="M84" s="546">
        <f t="shared" si="70"/>
        <v>136</v>
      </c>
      <c r="N84" s="551">
        <f t="shared" si="59"/>
        <v>73.866872675731528</v>
      </c>
      <c r="O84" s="553">
        <f>$N84/PI()*SQRT('Hilfstabellen_Mat&amp;Bem'!f.Rd.3/'Hilfstabellen_Mat&amp;Bem'!$BD$30)</f>
        <v>1.1756277917082332</v>
      </c>
      <c r="P84" s="553">
        <f>0.5*(1+'Hilfstabellen_Mat&amp;Bem'!$BD$31*($O84-0.3)+$O84^2)</f>
        <v>1.2348317419038</v>
      </c>
      <c r="Q84" s="550">
        <f t="shared" si="60"/>
        <v>0.62011664841351555</v>
      </c>
      <c r="S84" s="551">
        <f t="shared" si="71"/>
        <v>11469.677529056384</v>
      </c>
      <c r="W84" s="546">
        <f t="shared" si="72"/>
        <v>136</v>
      </c>
      <c r="X84" s="551">
        <f t="shared" si="61"/>
        <v>76.414006216273989</v>
      </c>
      <c r="Y84" s="553">
        <f>$X84/PI()*SQRT('Hilfstabellen_Mat&amp;Bem'!f.Rd.3/'Hilfstabellen_Mat&amp;Bem'!$BD$30)</f>
        <v>1.2161666810774825</v>
      </c>
      <c r="Z84" s="553">
        <f>0.5*(1+'Hilfstabellen_Mat&amp;Bem'!$BD$31*($Y84-0.3)+$Y84^2)</f>
        <v>1.2853390321353837</v>
      </c>
      <c r="AA84" s="550">
        <f t="shared" si="62"/>
        <v>0.58778103318578401</v>
      </c>
      <c r="AC84" s="551">
        <f t="shared" si="73"/>
        <v>10871.597989804261</v>
      </c>
      <c r="AG84" s="546">
        <f t="shared" si="74"/>
        <v>136</v>
      </c>
      <c r="AH84" s="551">
        <f t="shared" si="63"/>
        <v>78.961139756816451</v>
      </c>
      <c r="AI84" s="553">
        <f>$AH84/PI()*SQRT('Hilfstabellen_Mat&amp;Bem'!f.Rd.3/'Hilfstabellen_Mat&amp;Bem'!$BD$30)</f>
        <v>1.2567055704467318</v>
      </c>
      <c r="AJ84" s="553">
        <f>0.5*(1+'Hilfstabellen_Mat&amp;Bem'!$BD$31*($AI84-0.3)+$AI84^2)</f>
        <v>1.3374897239182593</v>
      </c>
      <c r="AK84" s="550">
        <f t="shared" si="64"/>
        <v>0.5570168758944094</v>
      </c>
      <c r="AM84" s="551">
        <f t="shared" si="75"/>
        <v>10302.584136542997</v>
      </c>
      <c r="AQ84" s="546">
        <f t="shared" si="76"/>
        <v>136</v>
      </c>
      <c r="AR84" s="551">
        <f t="shared" si="65"/>
        <v>81.508273297358926</v>
      </c>
      <c r="AS84" s="553">
        <f>$AR84/PI()*SQRT('Hilfstabellen_Mat&amp;Bem'!f.Rd.3/'Hilfstabellen_Mat&amp;Bem'!$BD$30)</f>
        <v>1.2972444598159814</v>
      </c>
      <c r="AT84" s="553">
        <f>0.5*(1+'Hilfstabellen_Mat&amp;Bem'!$BD$31*($AS84-0.3)+$AS84^2)</f>
        <v>1.3912838172524276</v>
      </c>
      <c r="AU84" s="550">
        <f t="shared" si="66"/>
        <v>0.52795429864782362</v>
      </c>
      <c r="AW84" s="551">
        <f t="shared" si="77"/>
        <v>9765.0427077901459</v>
      </c>
      <c r="BA84" s="546">
        <f t="shared" si="78"/>
        <v>136</v>
      </c>
      <c r="BB84" s="551">
        <f t="shared" si="79"/>
        <v>84.055406837901401</v>
      </c>
      <c r="BC84" s="553">
        <f>$BB84/PI()*SQRT('Hilfstabellen_Mat&amp;Bem'!f.Rd.3/'Hilfstabellen_Mat&amp;Bem'!$BD$30)</f>
        <v>1.3377833491852309</v>
      </c>
      <c r="BD84" s="553">
        <f>0.5*(1+'Hilfstabellen_Mat&amp;Bem'!$BD$31*($BC84-0.3)+$BC84^2)</f>
        <v>1.4467213121378881</v>
      </c>
      <c r="BE84" s="550">
        <f t="shared" si="80"/>
        <v>0.50063008185772395</v>
      </c>
      <c r="BG84" s="551">
        <f t="shared" si="81"/>
        <v>9259.6539940404618</v>
      </c>
      <c r="BK84" s="546">
        <f t="shared" si="82"/>
        <v>136</v>
      </c>
      <c r="BL84" s="551">
        <f t="shared" si="83"/>
        <v>86.602540378443862</v>
      </c>
      <c r="BM84" s="553">
        <f>$BL84/PI()*SQRT('Hilfstabellen_Mat&amp;Bem'!f.Rd.3/'Hilfstabellen_Mat&amp;Bem'!$BD$30)</f>
        <v>1.3783222385544802</v>
      </c>
      <c r="BN84" s="553">
        <f>0.5*(1+'Hilfstabellen_Mat&amp;Bem'!$BD$31*($BM84-0.3)+$BM84^2)</f>
        <v>1.5038022085746408</v>
      </c>
      <c r="BO84" s="550">
        <f t="shared" si="84"/>
        <v>0.47501995619125226</v>
      </c>
      <c r="BQ84" s="551">
        <f t="shared" si="85"/>
        <v>8785.9691097134018</v>
      </c>
      <c r="BU84" s="546">
        <f t="shared" si="86"/>
        <v>136</v>
      </c>
      <c r="BV84" s="551">
        <f t="shared" si="87"/>
        <v>89.149673918986323</v>
      </c>
      <c r="BW84" s="553">
        <f>$BV84/PI()*SQRT('Hilfstabellen_Mat&amp;Bem'!f.Rd.3/'Hilfstabellen_Mat&amp;Bem'!$BD$30)</f>
        <v>1.4188611279237295</v>
      </c>
      <c r="BX84" s="553">
        <f>0.5*(1+'Hilfstabellen_Mat&amp;Bem'!$BD$31*($BW84-0.3)+$BW84^2)</f>
        <v>1.5625265065626854</v>
      </c>
      <c r="BY84" s="550">
        <f t="shared" si="88"/>
        <v>0.45106206919610098</v>
      </c>
      <c r="CA84" s="551">
        <f t="shared" si="89"/>
        <v>8342.8440318510839</v>
      </c>
      <c r="CE84" s="546">
        <f t="shared" si="90"/>
        <v>136</v>
      </c>
      <c r="CF84" s="551">
        <f t="shared" si="91"/>
        <v>91.696807459528785</v>
      </c>
      <c r="CG84" s="553">
        <f>CF84/PI()*SQRT('Hilfstabellen_Mat&amp;Bem'!f.Rd.3/'Hilfstabellen_Mat&amp;Bem'!$BD$30)</f>
        <v>1.4594000172929789</v>
      </c>
      <c r="CH84" s="553">
        <f>0.5*(1+'Hilfstabellen_Mat&amp;Bem'!$BD$31*(CG84-0.3)+CG84^2)</f>
        <v>1.6228942061020226</v>
      </c>
      <c r="CI84" s="550">
        <f t="shared" si="92"/>
        <v>0.4286731690278639</v>
      </c>
      <c r="CK84" s="551">
        <f t="shared" si="93"/>
        <v>7928.7389343393706</v>
      </c>
      <c r="CO84" s="546">
        <f t="shared" si="94"/>
        <v>136</v>
      </c>
      <c r="CP84" s="551">
        <f t="shared" si="95"/>
        <v>94.24394100007126</v>
      </c>
      <c r="CQ84" s="553">
        <f>CP84/PI()*SQRT('Hilfstabellen_Mat&amp;Bem'!f.Rd.3/'Hilfstabellen_Mat&amp;Bem'!$BD$30)</f>
        <v>1.4999389066622284</v>
      </c>
      <c r="CR84" s="553">
        <f>0.5*(1+'Hilfstabellen_Mat&amp;Bem'!$BD$31*(CQ84-0.3)+CQ84^2)</f>
        <v>1.6849053071926519</v>
      </c>
      <c r="CS84" s="550">
        <f t="shared" si="96"/>
        <v>0.40775937490789871</v>
      </c>
      <c r="CU84" s="551">
        <f t="shared" si="97"/>
        <v>7541.9173982964949</v>
      </c>
      <c r="CY84" s="546">
        <f t="shared" si="98"/>
        <v>136</v>
      </c>
      <c r="CZ84" s="551">
        <f t="shared" si="99"/>
        <v>96.791074540613721</v>
      </c>
      <c r="DA84" s="553">
        <f>CZ84/PI()*SQRT('Hilfstabellen_Mat&amp;Bem'!f.Rd.3/'Hilfstabellen_Mat&amp;Bem'!$BD$30)</f>
        <v>1.5404777960314777</v>
      </c>
      <c r="DB84" s="553">
        <f>0.5*(1+'Hilfstabellen_Mat&amp;Bem'!$BD$31*(DA84-0.3)+DA84^2)</f>
        <v>1.7485598098345734</v>
      </c>
      <c r="DC84" s="550">
        <f t="shared" si="100"/>
        <v>0.38822313920966689</v>
      </c>
      <c r="DE84" s="551">
        <f t="shared" si="101"/>
        <v>7180.5751828219991</v>
      </c>
      <c r="DI84" s="546">
        <f t="shared" si="102"/>
        <v>136</v>
      </c>
      <c r="DJ84" s="551">
        <f t="shared" si="103"/>
        <v>99.338208081156196</v>
      </c>
      <c r="DK84" s="553">
        <f>DJ84/PI()*SQRT('Hilfstabellen_Mat&amp;Bem'!f.Rd.3/'Hilfstabellen_Mat&amp;Bem'!$BD$30)</f>
        <v>1.5810166854007273</v>
      </c>
      <c r="DL84" s="553">
        <f>0.5*(1+'Hilfstabellen_Mat&amp;Bem'!$BD$31*(DK84-0.3)+DK84^2)</f>
        <v>1.8138577140277874</v>
      </c>
      <c r="DM84" s="550">
        <f t="shared" si="104"/>
        <v>0.36996761415026203</v>
      </c>
      <c r="DO84" s="551">
        <f t="shared" si="105"/>
        <v>6842.9209913232462</v>
      </c>
      <c r="DS84" s="546">
        <f t="shared" si="106"/>
        <v>136</v>
      </c>
      <c r="DT84" s="551">
        <f t="shared" si="107"/>
        <v>101.88534162169866</v>
      </c>
      <c r="DU84" s="553">
        <f>DT84/PI()*SQRT('Hilfstabellen_Mat&amp;Bem'!f.Rd.3/'Hilfstabellen_Mat&amp;Bem'!$BD$30)</f>
        <v>1.6215555747699768</v>
      </c>
      <c r="DV84" s="553">
        <f>0.5*(1+'Hilfstabellen_Mat&amp;Bem'!$BD$31*(DU84-0.3)+DU84^2)</f>
        <v>1.8807990197722937</v>
      </c>
      <c r="DW84" s="550">
        <f t="shared" si="108"/>
        <v>0.35289928518446811</v>
      </c>
      <c r="DY84" s="551">
        <f t="shared" si="109"/>
        <v>6527.2251787719224</v>
      </c>
      <c r="EC84" s="546">
        <f t="shared" si="110"/>
        <v>136</v>
      </c>
      <c r="ED84" s="551">
        <f t="shared" si="111"/>
        <v>104.43247516224113</v>
      </c>
      <c r="EE84" s="553">
        <f>ED84/PI()*SQRT('Hilfstabellen_Mat&amp;Bem'!f.Rd.3/'Hilfstabellen_Mat&amp;Bem'!$BD$30)</f>
        <v>1.6620944641392261</v>
      </c>
      <c r="EF84" s="553">
        <f>0.5*(1+'Hilfstabellen_Mat&amp;Bem'!$BD$31*(EE84-0.3)+EE84^2)</f>
        <v>1.949383727068092</v>
      </c>
      <c r="EG84" s="550">
        <f t="shared" si="112"/>
        <v>0.33692946402028789</v>
      </c>
      <c r="EI84" s="551">
        <f t="shared" si="113"/>
        <v>6231.847366519245</v>
      </c>
      <c r="EM84" s="546">
        <f t="shared" si="114"/>
        <v>136</v>
      </c>
      <c r="EN84" s="551">
        <f t="shared" si="115"/>
        <v>106.97960870278359</v>
      </c>
      <c r="EO84" s="553">
        <f>EN84/PI()*SQRT('Hilfstabellen_Mat&amp;Bem'!f.Rd.3/'Hilfstabellen_Mat&amp;Bem'!$BD$30)</f>
        <v>1.7026333535084757</v>
      </c>
      <c r="EP84" s="553">
        <f>0.5*(1+'Hilfstabellen_Mat&amp;Bem'!$BD$31*(EO84-0.3)+EO84^2)</f>
        <v>2.0196118359151827</v>
      </c>
      <c r="EQ84" s="550">
        <f t="shared" si="116"/>
        <v>0.32197504158479628</v>
      </c>
      <c r="ES84" s="551">
        <f t="shared" si="117"/>
        <v>5955.2503691523925</v>
      </c>
    </row>
    <row r="85" spans="3:149">
      <c r="C85" s="546">
        <v>137</v>
      </c>
      <c r="D85" s="551">
        <f t="shared" si="67"/>
        <v>70.79915709770593</v>
      </c>
      <c r="E85" s="553">
        <f>$D85/PI()*SQRT('Hilfstabellen_Mat&amp;Bem'!f.Rd.3/'Hilfstabellen_Mat&amp;Bem'!$BD$30)</f>
        <v>1.1268035818839546</v>
      </c>
      <c r="F85" s="553">
        <f>0.5*(1+'Hilfstabellen_Mat&amp;Bem'!$BD$31*($E85-0.3)+$E85^2)</f>
        <v>1.1761833351674527</v>
      </c>
      <c r="G85" s="550">
        <f t="shared" si="68"/>
        <v>0.66076005806159654</v>
      </c>
      <c r="I85" s="551">
        <f t="shared" si="69"/>
        <v>12401.805529758105</v>
      </c>
      <c r="M85" s="546">
        <f t="shared" si="70"/>
        <v>137</v>
      </c>
      <c r="N85" s="551">
        <f t="shared" si="59"/>
        <v>73.327698422623996</v>
      </c>
      <c r="O85" s="553">
        <f>$N85/PI()*SQRT('Hilfstabellen_Mat&amp;Bem'!f.Rd.3/'Hilfstabellen_Mat&amp;Bem'!$BD$30)</f>
        <v>1.1670465669512387</v>
      </c>
      <c r="P85" s="553">
        <f>0.5*(1+'Hilfstabellen_Mat&amp;Bem'!$BD$31*($O85-0.3)+$O85^2)</f>
        <v>1.2243511730638978</v>
      </c>
      <c r="Q85" s="550">
        <f t="shared" si="60"/>
        <v>0.62714099855934868</v>
      </c>
      <c r="S85" s="551">
        <f t="shared" si="71"/>
        <v>11770.809401960416</v>
      </c>
      <c r="W85" s="546">
        <f t="shared" si="72"/>
        <v>137</v>
      </c>
      <c r="X85" s="551">
        <f t="shared" si="61"/>
        <v>75.856239747542062</v>
      </c>
      <c r="Y85" s="553">
        <f>$X85/PI()*SQRT('Hilfstabellen_Mat&amp;Bem'!f.Rd.3/'Hilfstabellen_Mat&amp;Bem'!$BD$30)</f>
        <v>1.2072895520185227</v>
      </c>
      <c r="Z85" s="553">
        <f>0.5*(1+'Hilfstabellen_Mat&amp;Bem'!$BD$31*($Y85-0.3)+$Y85^2)</f>
        <v>1.2741385088074688</v>
      </c>
      <c r="AA85" s="550">
        <f t="shared" si="62"/>
        <v>0.5947342453665293</v>
      </c>
      <c r="AC85" s="551">
        <f t="shared" si="73"/>
        <v>11162.567051284388</v>
      </c>
      <c r="AG85" s="546">
        <f t="shared" si="74"/>
        <v>137</v>
      </c>
      <c r="AH85" s="551">
        <f t="shared" si="63"/>
        <v>78.384781072460129</v>
      </c>
      <c r="AI85" s="553">
        <f>$AH85/PI()*SQRT('Hilfstabellen_Mat&amp;Bem'!f.Rd.3/'Hilfstabellen_Mat&amp;Bem'!$BD$30)</f>
        <v>1.2475325370858068</v>
      </c>
      <c r="AJ85" s="553">
        <f>0.5*(1+'Hilfstabellen_Mat&amp;Bem'!$BD$31*($AI85-0.3)+$AI85^2)</f>
        <v>1.3255453423981653</v>
      </c>
      <c r="AK85" s="550">
        <f t="shared" si="64"/>
        <v>0.56383206723478607</v>
      </c>
      <c r="AM85" s="551">
        <f t="shared" si="75"/>
        <v>10582.5640699297</v>
      </c>
      <c r="AQ85" s="546">
        <f t="shared" si="76"/>
        <v>137</v>
      </c>
      <c r="AR85" s="551">
        <f t="shared" si="65"/>
        <v>80.913322397378209</v>
      </c>
      <c r="AS85" s="553">
        <f>$AR85/PI()*SQRT('Hilfstabellen_Mat&amp;Bem'!f.Rd.3/'Hilfstabellen_Mat&amp;Bem'!$BD$30)</f>
        <v>1.2877755221530911</v>
      </c>
      <c r="AT85" s="553">
        <f>0.5*(1+'Hilfstabellen_Mat&amp;Bem'!$BD$31*($AS85-0.3)+$AS85^2)</f>
        <v>1.3785716738359879</v>
      </c>
      <c r="AU85" s="550">
        <f t="shared" si="66"/>
        <v>0.53458719657288134</v>
      </c>
      <c r="AW85" s="551">
        <f t="shared" si="77"/>
        <v>10033.667092476409</v>
      </c>
      <c r="BA85" s="546">
        <f t="shared" si="78"/>
        <v>137</v>
      </c>
      <c r="BB85" s="551">
        <f t="shared" si="79"/>
        <v>83.441863722296276</v>
      </c>
      <c r="BC85" s="553">
        <f>$BB85/PI()*SQRT('Hilfstabellen_Mat&amp;Bem'!f.Rd.3/'Hilfstabellen_Mat&amp;Bem'!$BD$30)</f>
        <v>1.3280185072203752</v>
      </c>
      <c r="BD85" s="553">
        <f>0.5*(1+'Hilfstabellen_Mat&amp;Bem'!$BD$31*($BC85-0.3)+$BC85^2)</f>
        <v>1.4332175031209355</v>
      </c>
      <c r="BE85" s="550">
        <f t="shared" si="80"/>
        <v>0.50705342294321842</v>
      </c>
      <c r="BG85" s="551">
        <f t="shared" si="81"/>
        <v>9516.8856952212664</v>
      </c>
      <c r="BK85" s="546">
        <f t="shared" si="82"/>
        <v>137</v>
      </c>
      <c r="BL85" s="551">
        <f t="shared" si="83"/>
        <v>85.970405047214342</v>
      </c>
      <c r="BM85" s="553">
        <f>$BL85/PI()*SQRT('Hilfstabellen_Mat&amp;Bem'!f.Rd.3/'Hilfstabellen_Mat&amp;Bem'!$BD$30)</f>
        <v>1.368261492287659</v>
      </c>
      <c r="BN85" s="553">
        <f>0.5*(1+'Hilfstabellen_Mat&amp;Bem'!$BD$31*($BM85-0.3)+$BM85^2)</f>
        <v>1.4894828302530088</v>
      </c>
      <c r="BO85" s="550">
        <f t="shared" si="84"/>
        <v>0.48121874657663499</v>
      </c>
      <c r="BQ85" s="551">
        <f t="shared" si="85"/>
        <v>9031.9946544968625</v>
      </c>
      <c r="BU85" s="546">
        <f t="shared" si="86"/>
        <v>137</v>
      </c>
      <c r="BV85" s="551">
        <f t="shared" si="87"/>
        <v>88.498946372132409</v>
      </c>
      <c r="BW85" s="553">
        <f>$BV85/PI()*SQRT('Hilfstabellen_Mat&amp;Bem'!f.Rd.3/'Hilfstabellen_Mat&amp;Bem'!$BD$30)</f>
        <v>1.4085044773549431</v>
      </c>
      <c r="BX85" s="553">
        <f>0.5*(1+'Hilfstabellen_Mat&amp;Bem'!$BD$31*($BW85-0.3)+$BW85^2)</f>
        <v>1.547367655232208</v>
      </c>
      <c r="BY85" s="550">
        <f t="shared" si="88"/>
        <v>0.45702991467014048</v>
      </c>
      <c r="CA85" s="551">
        <f t="shared" si="89"/>
        <v>8577.9944684438669</v>
      </c>
      <c r="CE85" s="546">
        <f t="shared" si="90"/>
        <v>137</v>
      </c>
      <c r="CF85" s="551">
        <f t="shared" si="91"/>
        <v>91.027487697050489</v>
      </c>
      <c r="CG85" s="553">
        <f>CF85/PI()*SQRT('Hilfstabellen_Mat&amp;Bem'!f.Rd.3/'Hilfstabellen_Mat&amp;Bem'!$BD$30)</f>
        <v>1.4487474624222276</v>
      </c>
      <c r="CH85" s="553">
        <f>0.5*(1+'Hilfstabellen_Mat&amp;Bem'!$BD$31*(CG85-0.3)+CG85^2)</f>
        <v>1.6068719780585332</v>
      </c>
      <c r="CI85" s="550">
        <f t="shared" si="92"/>
        <v>0.43440956503741229</v>
      </c>
      <c r="CK85" s="551">
        <f t="shared" si="93"/>
        <v>8153.4331261871912</v>
      </c>
      <c r="CO85" s="546">
        <f t="shared" si="94"/>
        <v>137</v>
      </c>
      <c r="CP85" s="551">
        <f t="shared" si="95"/>
        <v>93.556029021968541</v>
      </c>
      <c r="CQ85" s="553">
        <f>CP85/PI()*SQRT('Hilfstabellen_Mat&amp;Bem'!f.Rd.3/'Hilfstabellen_Mat&amp;Bem'!$BD$30)</f>
        <v>1.4889904474895115</v>
      </c>
      <c r="CR85" s="553">
        <f>0.5*(1+'Hilfstabellen_Mat&amp;Bem'!$BD$31*(CQ85-0.3)+CQ85^2)</f>
        <v>1.6679957987319833</v>
      </c>
      <c r="CS85" s="550">
        <f t="shared" si="96"/>
        <v>0.41326775836676249</v>
      </c>
      <c r="CU85" s="551">
        <f t="shared" si="97"/>
        <v>7756.6225567857655</v>
      </c>
      <c r="CY85" s="546">
        <f t="shared" si="98"/>
        <v>137</v>
      </c>
      <c r="CZ85" s="551">
        <f t="shared" si="99"/>
        <v>96.084570346886608</v>
      </c>
      <c r="DA85" s="553">
        <f>CZ85/PI()*SQRT('Hilfstabellen_Mat&amp;Bem'!f.Rd.3/'Hilfstabellen_Mat&amp;Bem'!$BD$30)</f>
        <v>1.5292334325567953</v>
      </c>
      <c r="DB85" s="553">
        <f>0.5*(1+'Hilfstabellen_Mat&amp;Bem'!$BD$31*(DA85-0.3)+DA85^2)</f>
        <v>1.730739117252559</v>
      </c>
      <c r="DC85" s="550">
        <f t="shared" si="100"/>
        <v>0.39350950999714057</v>
      </c>
      <c r="DE85" s="551">
        <f t="shared" si="101"/>
        <v>7385.7799931363315</v>
      </c>
      <c r="DI85" s="546">
        <f t="shared" si="102"/>
        <v>137</v>
      </c>
      <c r="DJ85" s="551">
        <f t="shared" si="103"/>
        <v>98.613111671804688</v>
      </c>
      <c r="DK85" s="553">
        <f>DJ85/PI()*SQRT('Hilfstabellen_Mat&amp;Bem'!f.Rd.3/'Hilfstabellen_Mat&amp;Bem'!$BD$30)</f>
        <v>1.5694764176240796</v>
      </c>
      <c r="DL85" s="553">
        <f>0.5*(1+'Hilfstabellen_Mat&amp;Bem'!$BD$31*(DK85-0.3)+DK85^2)</f>
        <v>1.7951019336202612</v>
      </c>
      <c r="DM85" s="550">
        <f t="shared" si="104"/>
        <v>0.37503956958061763</v>
      </c>
      <c r="DO85" s="551">
        <f t="shared" si="105"/>
        <v>7039.1176814586124</v>
      </c>
      <c r="DS85" s="546">
        <f t="shared" si="106"/>
        <v>137</v>
      </c>
      <c r="DT85" s="551">
        <f t="shared" si="107"/>
        <v>101.14165299672275</v>
      </c>
      <c r="DU85" s="553">
        <f>DT85/PI()*SQRT('Hilfstabellen_Mat&amp;Bem'!f.Rd.3/'Hilfstabellen_Mat&amp;Bem'!$BD$30)</f>
        <v>1.6097194026913639</v>
      </c>
      <c r="DV85" s="553">
        <f>0.5*(1+'Hilfstabellen_Mat&amp;Bem'!$BD$31*(DU85-0.3)+DU85^2)</f>
        <v>1.8610842478350891</v>
      </c>
      <c r="DW85" s="550">
        <f t="shared" si="108"/>
        <v>0.35776534893385353</v>
      </c>
      <c r="DY85" s="551">
        <f t="shared" si="109"/>
        <v>6714.8978341394968</v>
      </c>
      <c r="EC85" s="546">
        <f t="shared" si="110"/>
        <v>137</v>
      </c>
      <c r="ED85" s="551">
        <f t="shared" si="111"/>
        <v>103.67019432164082</v>
      </c>
      <c r="EE85" s="553">
        <f>ED85/PI()*SQRT('Hilfstabellen_Mat&amp;Bem'!f.Rd.3/'Hilfstabellen_Mat&amp;Bem'!$BD$30)</f>
        <v>1.6499623877586478</v>
      </c>
      <c r="EF85" s="553">
        <f>0.5*(1+'Hilfstabellen_Mat&amp;Bem'!$BD$31*(EE85-0.3)+EE85^2)</f>
        <v>1.9286860598970414</v>
      </c>
      <c r="EG85" s="550">
        <f t="shared" si="112"/>
        <v>0.34159862322612022</v>
      </c>
      <c r="EI85" s="551">
        <f t="shared" si="113"/>
        <v>6411.4645593310506</v>
      </c>
      <c r="EM85" s="546">
        <f t="shared" si="114"/>
        <v>137</v>
      </c>
      <c r="EN85" s="551">
        <f t="shared" si="115"/>
        <v>106.1987356465589</v>
      </c>
      <c r="EO85" s="553">
        <f>EN85/PI()*SQRT('Hilfstabellen_Mat&amp;Bem'!f.Rd.3/'Hilfstabellen_Mat&amp;Bem'!$BD$30)</f>
        <v>1.6902053728259319</v>
      </c>
      <c r="EP85" s="553">
        <f>0.5*(1+'Hilfstabellen_Mat&amp;Bem'!$BD$31*(EO85-0.3)+EO85^2)</f>
        <v>1.9979073698061205</v>
      </c>
      <c r="EQ85" s="550">
        <f t="shared" si="116"/>
        <v>0.32645643051230594</v>
      </c>
      <c r="ES85" s="551">
        <f t="shared" si="117"/>
        <v>6127.2607442854705</v>
      </c>
    </row>
    <row r="86" spans="3:149">
      <c r="C86" s="546">
        <v>138</v>
      </c>
      <c r="D86" s="551">
        <f t="shared" si="67"/>
        <v>70.286119727432705</v>
      </c>
      <c r="E86" s="553">
        <f>$D86/PI()*SQRT('Hilfstabellen_Mat&amp;Bem'!f.Rd.3/'Hilfstabellen_Mat&amp;Bem'!$BD$30)</f>
        <v>1.1186383385369696</v>
      </c>
      <c r="F86" s="553">
        <f>0.5*(1+'Hilfstabellen_Mat&amp;Bem'!$BD$31*($E86-0.3)+$E86^2)</f>
        <v>1.1666077831492245</v>
      </c>
      <c r="G86" s="550">
        <f t="shared" si="68"/>
        <v>0.66769050502213045</v>
      </c>
      <c r="I86" s="551">
        <f t="shared" si="69"/>
        <v>12715.497977641453</v>
      </c>
      <c r="M86" s="546">
        <f t="shared" si="70"/>
        <v>138</v>
      </c>
      <c r="N86" s="551">
        <f t="shared" si="59"/>
        <v>72.796338289126723</v>
      </c>
      <c r="O86" s="553">
        <f>$N86/PI()*SQRT('Hilfstabellen_Mat&amp;Bem'!f.Rd.3/'Hilfstabellen_Mat&amp;Bem'!$BD$30)</f>
        <v>1.1585897077704326</v>
      </c>
      <c r="P86" s="553">
        <f>0.5*(1+'Hilfstabellen_Mat&amp;Bem'!$BD$31*($O86-0.3)+$O86^2)</f>
        <v>1.2140945408643098</v>
      </c>
      <c r="Q86" s="550">
        <f t="shared" si="60"/>
        <v>0.63411813976513454</v>
      </c>
      <c r="S86" s="551">
        <f t="shared" si="71"/>
        <v>12076.145853687221</v>
      </c>
      <c r="W86" s="546">
        <f t="shared" si="72"/>
        <v>138</v>
      </c>
      <c r="X86" s="551">
        <f t="shared" si="61"/>
        <v>75.306556850820755</v>
      </c>
      <c r="Y86" s="553">
        <f>$X86/PI()*SQRT('Hilfstabellen_Mat&amp;Bem'!f.Rd.3/'Hilfstabellen_Mat&amp;Bem'!$BD$30)</f>
        <v>1.198541077003896</v>
      </c>
      <c r="Z86" s="553">
        <f>0.5*(1+'Hilfstabellen_Mat&amp;Bem'!$BD$31*($Y86-0.3)+$Y86^2)</f>
        <v>1.2631774104830242</v>
      </c>
      <c r="AA86" s="550">
        <f t="shared" si="62"/>
        <v>0.6016588506139412</v>
      </c>
      <c r="AC86" s="551">
        <f t="shared" si="73"/>
        <v>11457.991151091896</v>
      </c>
      <c r="AG86" s="546">
        <f t="shared" si="74"/>
        <v>138</v>
      </c>
      <c r="AH86" s="551">
        <f t="shared" si="63"/>
        <v>77.816775412514772</v>
      </c>
      <c r="AI86" s="553">
        <f>$AH86/PI()*SQRT('Hilfstabellen_Mat&amp;Bem'!f.Rd.3/'Hilfstabellen_Mat&amp;Bem'!$BD$30)</f>
        <v>1.238492446237359</v>
      </c>
      <c r="AJ86" s="553">
        <f>0.5*(1+'Hilfstabellen_Mat&amp;Bem'!$BD$31*($AI86-0.3)+$AI86^2)</f>
        <v>1.3138563920053667</v>
      </c>
      <c r="AK86" s="550">
        <f t="shared" si="64"/>
        <v>0.5706331323329249</v>
      </c>
      <c r="AM86" s="551">
        <f t="shared" si="75"/>
        <v>10867.137372148221</v>
      </c>
      <c r="AQ86" s="546">
        <f t="shared" si="76"/>
        <v>138</v>
      </c>
      <c r="AR86" s="551">
        <f t="shared" si="65"/>
        <v>80.326993974208804</v>
      </c>
      <c r="AS86" s="553">
        <f>$AR86/PI()*SQRT('Hilfstabellen_Mat&amp;Bem'!f.Rd.3/'Hilfstabellen_Mat&amp;Bem'!$BD$30)</f>
        <v>1.2784438154708224</v>
      </c>
      <c r="AT86" s="553">
        <f>0.5*(1+'Hilfstabellen_Mat&amp;Bem'!$BD$31*($AS86-0.3)+$AS86^2)</f>
        <v>1.3661314854313382</v>
      </c>
      <c r="AU86" s="550">
        <f t="shared" si="66"/>
        <v>0.54121692470195826</v>
      </c>
      <c r="AW86" s="551">
        <f t="shared" si="77"/>
        <v>10306.935114024092</v>
      </c>
      <c r="BA86" s="546">
        <f t="shared" si="78"/>
        <v>138</v>
      </c>
      <c r="BB86" s="551">
        <f t="shared" si="79"/>
        <v>82.837212535902822</v>
      </c>
      <c r="BC86" s="553">
        <f>$BB86/PI()*SQRT('Hilfstabellen_Mat&amp;Bem'!f.Rd.3/'Hilfstabellen_Mat&amp;Bem'!$BD$30)</f>
        <v>1.3183951847042854</v>
      </c>
      <c r="BD86" s="553">
        <f>0.5*(1+'Hilfstabellen_Mat&amp;Bem'!$BD$31*($BC86-0.3)+$BC86^2)</f>
        <v>1.4200026907609378</v>
      </c>
      <c r="BE86" s="550">
        <f t="shared" si="80"/>
        <v>0.51348172620792565</v>
      </c>
      <c r="BG86" s="551">
        <f t="shared" si="81"/>
        <v>9778.7459939037362</v>
      </c>
      <c r="BK86" s="546">
        <f t="shared" si="82"/>
        <v>138</v>
      </c>
      <c r="BL86" s="551">
        <f t="shared" si="83"/>
        <v>85.347431097596839</v>
      </c>
      <c r="BM86" s="553">
        <f>$BL86/PI()*SQRT('Hilfstabellen_Mat&amp;Bem'!f.Rd.3/'Hilfstabellen_Mat&amp;Bem'!$BD$30)</f>
        <v>1.3583465539377484</v>
      </c>
      <c r="BN86" s="553">
        <f>0.5*(1+'Hilfstabellen_Mat&amp;Bem'!$BD$31*($BM86-0.3)+$BM86^2)</f>
        <v>1.4754700079941656</v>
      </c>
      <c r="BO86" s="550">
        <f t="shared" si="84"/>
        <v>0.48742844601391921</v>
      </c>
      <c r="BQ86" s="551">
        <f t="shared" si="85"/>
        <v>9282.587325889077</v>
      </c>
      <c r="BU86" s="546">
        <f t="shared" si="86"/>
        <v>138</v>
      </c>
      <c r="BV86" s="551">
        <f t="shared" si="87"/>
        <v>87.857649659290871</v>
      </c>
      <c r="BW86" s="553">
        <f>$BV86/PI()*SQRT('Hilfstabellen_Mat&amp;Bem'!f.Rd.3/'Hilfstabellen_Mat&amp;Bem'!$BD$30)</f>
        <v>1.3982979231712118</v>
      </c>
      <c r="BX86" s="553">
        <f>0.5*(1+'Hilfstabellen_Mat&amp;Bem'!$BD$31*($BW86-0.3)+$BW86^2)</f>
        <v>1.5325334371310229</v>
      </c>
      <c r="BY86" s="550">
        <f t="shared" si="88"/>
        <v>0.4630129576243685</v>
      </c>
      <c r="CA86" s="551">
        <f t="shared" si="89"/>
        <v>8817.6187649984731</v>
      </c>
      <c r="CE86" s="546">
        <f t="shared" si="90"/>
        <v>138</v>
      </c>
      <c r="CF86" s="551">
        <f t="shared" si="91"/>
        <v>90.367868220984889</v>
      </c>
      <c r="CG86" s="553">
        <f>CF86/PI()*SQRT('Hilfstabellen_Mat&amp;Bem'!f.Rd.3/'Hilfstabellen_Mat&amp;Bem'!$BD$30)</f>
        <v>1.4382492924046748</v>
      </c>
      <c r="CH86" s="553">
        <f>0.5*(1+'Hilfstabellen_Mat&amp;Bem'!$BD$31*(CG86-0.3)+CG86^2)</f>
        <v>1.5911929781715075</v>
      </c>
      <c r="CI86" s="550">
        <f t="shared" si="92"/>
        <v>0.44016420062294831</v>
      </c>
      <c r="CK86" s="551">
        <f t="shared" si="93"/>
        <v>8382.4870366634277</v>
      </c>
      <c r="CO86" s="546">
        <f t="shared" si="94"/>
        <v>138</v>
      </c>
      <c r="CP86" s="551">
        <f t="shared" si="95"/>
        <v>92.87808678267892</v>
      </c>
      <c r="CQ86" s="553">
        <f>CP86/PI()*SQRT('Hilfstabellen_Mat&amp;Bem'!f.Rd.3/'Hilfstabellen_Mat&amp;Bem'!$BD$30)</f>
        <v>1.4782006616381382</v>
      </c>
      <c r="CR86" s="553">
        <f>0.5*(1+'Hilfstabellen_Mat&amp;Bem'!$BD$31*(CQ86-0.3)+CQ86^2)</f>
        <v>1.6514486311156218</v>
      </c>
      <c r="CS86" s="550">
        <f t="shared" si="96"/>
        <v>0.41879649121082513</v>
      </c>
      <c r="CU86" s="551">
        <f t="shared" si="97"/>
        <v>7975.560378618954</v>
      </c>
      <c r="CY86" s="546">
        <f t="shared" si="98"/>
        <v>138</v>
      </c>
      <c r="CZ86" s="551">
        <f t="shared" si="99"/>
        <v>95.388305344372952</v>
      </c>
      <c r="DA86" s="553">
        <f>CZ86/PI()*SQRT('Hilfstabellen_Mat&amp;Bem'!f.Rd.3/'Hilfstabellen_Mat&amp;Bem'!$BD$30)</f>
        <v>1.5181520308716014</v>
      </c>
      <c r="DB86" s="553">
        <f>0.5*(1+'Hilfstabellen_Mat&amp;Bem'!$BD$31*(DA86-0.3)+DA86^2)</f>
        <v>1.7133003959633641</v>
      </c>
      <c r="DC86" s="550">
        <f t="shared" si="100"/>
        <v>0.39881764387725915</v>
      </c>
      <c r="DE86" s="551">
        <f t="shared" si="101"/>
        <v>7595.0832099985237</v>
      </c>
      <c r="DI86" s="546">
        <f t="shared" si="102"/>
        <v>138</v>
      </c>
      <c r="DJ86" s="551">
        <f t="shared" si="103"/>
        <v>97.89852390606697</v>
      </c>
      <c r="DK86" s="553">
        <f>DJ86/PI()*SQRT('Hilfstabellen_Mat&amp;Bem'!f.Rd.3/'Hilfstabellen_Mat&amp;Bem'!$BD$30)</f>
        <v>1.5581034001050647</v>
      </c>
      <c r="DL86" s="553">
        <f>0.5*(1+'Hilfstabellen_Mat&amp;Bem'!$BD$31*(DK86-0.3)+DK86^2)</f>
        <v>1.7767482727147348</v>
      </c>
      <c r="DM86" s="550">
        <f t="shared" si="104"/>
        <v>0.380134182349328</v>
      </c>
      <c r="DO86" s="551">
        <f t="shared" si="105"/>
        <v>7239.275368660602</v>
      </c>
      <c r="DS86" s="546">
        <f t="shared" si="106"/>
        <v>138</v>
      </c>
      <c r="DT86" s="551">
        <f t="shared" si="107"/>
        <v>100.408742467761</v>
      </c>
      <c r="DU86" s="553">
        <f>DT86/PI()*SQRT('Hilfstabellen_Mat&amp;Bem'!f.Rd.3/'Hilfstabellen_Mat&amp;Bem'!$BD$30)</f>
        <v>1.5980547693385279</v>
      </c>
      <c r="DV86" s="553">
        <f>0.5*(1+'Hilfstabellen_Mat&amp;Bem'!$BD$31*(DU86-0.3)+DU86^2)</f>
        <v>1.8417922613697342</v>
      </c>
      <c r="DW86" s="550">
        <f t="shared" si="108"/>
        <v>0.36265457675988183</v>
      </c>
      <c r="DY86" s="551">
        <f t="shared" si="109"/>
        <v>6906.3937598151897</v>
      </c>
      <c r="EC86" s="546">
        <f t="shared" si="110"/>
        <v>138</v>
      </c>
      <c r="ED86" s="551">
        <f t="shared" si="111"/>
        <v>102.91896102945502</v>
      </c>
      <c r="EE86" s="553">
        <f>ED86/PI()*SQRT('Hilfstabellen_Mat&amp;Bem'!f.Rd.3/'Hilfstabellen_Mat&amp;Bem'!$BD$30)</f>
        <v>1.6380061385719911</v>
      </c>
      <c r="EF86" s="553">
        <f>0.5*(1+'Hilfstabellen_Mat&amp;Bem'!$BD$31*(EE86-0.3)+EE86^2)</f>
        <v>1.9084323619283621</v>
      </c>
      <c r="EG86" s="550">
        <f t="shared" si="112"/>
        <v>0.34629116444933389</v>
      </c>
      <c r="EI86" s="551">
        <f t="shared" si="113"/>
        <v>6594.7689357731142</v>
      </c>
      <c r="EM86" s="546">
        <f t="shared" si="114"/>
        <v>138</v>
      </c>
      <c r="EN86" s="551">
        <f t="shared" si="115"/>
        <v>105.42917959114905</v>
      </c>
      <c r="EO86" s="553">
        <f>EN86/PI()*SQRT('Hilfstabellen_Mat&amp;Bem'!f.Rd.3/'Hilfstabellen_Mat&amp;Bem'!$BD$30)</f>
        <v>1.6779575078054543</v>
      </c>
      <c r="EP86" s="553">
        <f>0.5*(1+'Hilfstabellen_Mat&amp;Bem'!$BD$31*(EO86-0.3)+EO86^2)</f>
        <v>1.9766685743906183</v>
      </c>
      <c r="EQ86" s="550">
        <f t="shared" si="116"/>
        <v>0.33096120464649736</v>
      </c>
      <c r="ES86" s="551">
        <f t="shared" si="117"/>
        <v>6302.8251812878962</v>
      </c>
    </row>
    <row r="87" spans="3:149">
      <c r="C87" s="546">
        <v>139</v>
      </c>
      <c r="D87" s="551">
        <f t="shared" si="67"/>
        <v>69.780464189825267</v>
      </c>
      <c r="E87" s="553">
        <f>$D87/PI()*SQRT('Hilfstabellen_Mat&amp;Bem'!f.Rd.3/'Hilfstabellen_Mat&amp;Bem'!$BD$30)</f>
        <v>1.1105905807057681</v>
      </c>
      <c r="F87" s="553">
        <f>0.5*(1+'Hilfstabellen_Mat&amp;Bem'!$BD$31*($E87-0.3)+$E87^2)</f>
        <v>1.157235248011476</v>
      </c>
      <c r="G87" s="550">
        <f t="shared" si="68"/>
        <v>0.67454687252313184</v>
      </c>
      <c r="I87" s="551">
        <f t="shared" si="69"/>
        <v>13032.920124019431</v>
      </c>
      <c r="M87" s="546">
        <f t="shared" si="70"/>
        <v>139</v>
      </c>
      <c r="N87" s="551">
        <f t="shared" si="59"/>
        <v>72.27262362517618</v>
      </c>
      <c r="O87" s="553">
        <f>$N87/PI()*SQRT('Hilfstabellen_Mat&amp;Bem'!f.Rd.3/'Hilfstabellen_Mat&amp;Bem'!$BD$30)</f>
        <v>1.1502545300166886</v>
      </c>
      <c r="P87" s="553">
        <f>0.5*(1+'Hilfstabellen_Mat&amp;Bem'!$BD$31*($O87-0.3)+$O87^2)</f>
        <v>1.2040554684127911</v>
      </c>
      <c r="Q87" s="550">
        <f t="shared" si="60"/>
        <v>0.64104435748898103</v>
      </c>
      <c r="S87" s="551">
        <f t="shared" si="71"/>
        <v>12385.618031044603</v>
      </c>
      <c r="W87" s="546">
        <f t="shared" si="72"/>
        <v>139</v>
      </c>
      <c r="X87" s="551">
        <f t="shared" si="61"/>
        <v>74.76478306052708</v>
      </c>
      <c r="Y87" s="553">
        <f>$X87/PI()*SQRT('Hilfstabellen_Mat&amp;Bem'!f.Rd.3/'Hilfstabellen_Mat&amp;Bem'!$BD$30)</f>
        <v>1.189918479327609</v>
      </c>
      <c r="Z87" s="553">
        <f>0.5*(1+'Hilfstabellen_Mat&amp;Bem'!$BD$31*($Y87-0.3)+$Y87^2)</f>
        <v>1.2524489176890452</v>
      </c>
      <c r="AA87" s="550">
        <f t="shared" si="62"/>
        <v>0.60855163698261117</v>
      </c>
      <c r="AC87" s="551">
        <f t="shared" si="73"/>
        <v>11757.826178141031</v>
      </c>
      <c r="AG87" s="546">
        <f t="shared" si="74"/>
        <v>139</v>
      </c>
      <c r="AH87" s="551">
        <f t="shared" si="63"/>
        <v>77.256942495877979</v>
      </c>
      <c r="AI87" s="553">
        <f>$AH87/PI()*SQRT('Hilfstabellen_Mat&amp;Bem'!f.Rd.3/'Hilfstabellen_Mat&amp;Bem'!$BD$30)</f>
        <v>1.2295824286385291</v>
      </c>
      <c r="AJ87" s="553">
        <f>0.5*(1+'Hilfstabellen_Mat&amp;Bem'!$BD$31*($AI87-0.3)+$AI87^2)</f>
        <v>1.3024155958402381</v>
      </c>
      <c r="AK87" s="550">
        <f t="shared" si="64"/>
        <v>0.57741739603832132</v>
      </c>
      <c r="AM87" s="551">
        <f t="shared" si="75"/>
        <v>11156.281508856406</v>
      </c>
      <c r="AQ87" s="546">
        <f t="shared" si="76"/>
        <v>139</v>
      </c>
      <c r="AR87" s="551">
        <f t="shared" si="65"/>
        <v>79.749101931228878</v>
      </c>
      <c r="AS87" s="553">
        <f>$AR87/PI()*SQRT('Hilfstabellen_Mat&amp;Bem'!f.Rd.3/'Hilfstabellen_Mat&amp;Bem'!$BD$30)</f>
        <v>1.2692463779494494</v>
      </c>
      <c r="AT87" s="553">
        <f>0.5*(1+'Hilfstabellen_Mat&amp;Bem'!$BD$31*($AS87-0.3)+$AS87^2)</f>
        <v>1.3539555028663708</v>
      </c>
      <c r="AU87" s="550">
        <f t="shared" si="66"/>
        <v>0.54784129778311053</v>
      </c>
      <c r="AW87" s="551">
        <f t="shared" si="77"/>
        <v>10584.841714467479</v>
      </c>
      <c r="BA87" s="546">
        <f t="shared" si="78"/>
        <v>139</v>
      </c>
      <c r="BB87" s="551">
        <f t="shared" si="79"/>
        <v>82.241261366579792</v>
      </c>
      <c r="BC87" s="553">
        <f>$BB87/PI()*SQRT('Hilfstabellen_Mat&amp;Bem'!f.Rd.3/'Hilfstabellen_Mat&amp;Bem'!$BD$30)</f>
        <v>1.3089103272603699</v>
      </c>
      <c r="BD87" s="553">
        <f>0.5*(1+'Hilfstabellen_Mat&amp;Bem'!$BD$31*($BC87-0.3)+$BC87^2)</f>
        <v>1.4070686387674429</v>
      </c>
      <c r="BE87" s="550">
        <f t="shared" si="80"/>
        <v>0.51991322143676511</v>
      </c>
      <c r="BG87" s="551">
        <f t="shared" si="81"/>
        <v>10045.243351379739</v>
      </c>
      <c r="BK87" s="546">
        <f t="shared" si="82"/>
        <v>139</v>
      </c>
      <c r="BL87" s="551">
        <f t="shared" si="83"/>
        <v>84.733420801930691</v>
      </c>
      <c r="BM87" s="553">
        <f>$BL87/PI()*SQRT('Hilfstabellen_Mat&amp;Bem'!f.Rd.3/'Hilfstabellen_Mat&amp;Bem'!$BD$30)</f>
        <v>1.34857427657129</v>
      </c>
      <c r="BN87" s="553">
        <f>0.5*(1+'Hilfstabellen_Mat&amp;Bem'!$BD$31*($BM87-0.3)+$BM87^2)</f>
        <v>1.4617550035434537</v>
      </c>
      <c r="BO87" s="550">
        <f t="shared" si="84"/>
        <v>0.49364762278361973</v>
      </c>
      <c r="BQ87" s="551">
        <f t="shared" si="85"/>
        <v>9537.7657198023171</v>
      </c>
      <c r="BU87" s="546">
        <f t="shared" si="86"/>
        <v>139</v>
      </c>
      <c r="BV87" s="551">
        <f t="shared" si="87"/>
        <v>87.225580237281591</v>
      </c>
      <c r="BW87" s="553">
        <f>$BV87/PI()*SQRT('Hilfstabellen_Mat&amp;Bem'!f.Rd.3/'Hilfstabellen_Mat&amp;Bem'!$BD$30)</f>
        <v>1.3882382258822104</v>
      </c>
      <c r="BX87" s="553">
        <f>0.5*(1+'Hilfstabellen_Mat&amp;Bem'!$BD$31*($BW87-0.3)+$BW87^2)</f>
        <v>1.5180145971944039</v>
      </c>
      <c r="BY87" s="550">
        <f t="shared" si="88"/>
        <v>0.46901003721117507</v>
      </c>
      <c r="CA87" s="551">
        <f t="shared" si="89"/>
        <v>9061.7429289571137</v>
      </c>
      <c r="CE87" s="546">
        <f t="shared" si="90"/>
        <v>139</v>
      </c>
      <c r="CF87" s="551">
        <f t="shared" si="91"/>
        <v>89.71773967263249</v>
      </c>
      <c r="CG87" s="553">
        <f>CF87/PI()*SQRT('Hilfstabellen_Mat&amp;Bem'!f.Rd.3/'Hilfstabellen_Mat&amp;Bem'!$BD$30)</f>
        <v>1.4279021751931307</v>
      </c>
      <c r="CH87" s="553">
        <f>0.5*(1+'Hilfstabellen_Mat&amp;Bem'!$BD$31*(CG87-0.3)+CG87^2)</f>
        <v>1.5758474197202936</v>
      </c>
      <c r="CI87" s="550">
        <f t="shared" si="92"/>
        <v>0.44593612992107229</v>
      </c>
      <c r="CK87" s="551">
        <f t="shared" si="93"/>
        <v>8615.9319662050384</v>
      </c>
      <c r="CO87" s="546">
        <f t="shared" si="94"/>
        <v>139</v>
      </c>
      <c r="CP87" s="551">
        <f t="shared" si="95"/>
        <v>92.209899107983389</v>
      </c>
      <c r="CQ87" s="553">
        <f>CP87/PI()*SQRT('Hilfstabellen_Mat&amp;Bem'!f.Rd.3/'Hilfstabellen_Mat&amp;Bem'!$BD$30)</f>
        <v>1.4675661245040508</v>
      </c>
      <c r="CR87" s="553">
        <f>0.5*(1+'Hilfstabellen_Mat&amp;Bem'!$BD$31*(CQ87-0.3)+CQ87^2)</f>
        <v>1.6352534711211222</v>
      </c>
      <c r="CS87" s="550">
        <f t="shared" si="96"/>
        <v>0.42434479789115342</v>
      </c>
      <c r="CU87" s="551">
        <f t="shared" si="97"/>
        <v>8198.7658400549753</v>
      </c>
      <c r="CY87" s="546">
        <f t="shared" si="98"/>
        <v>139</v>
      </c>
      <c r="CZ87" s="551">
        <f t="shared" si="99"/>
        <v>94.702058543334289</v>
      </c>
      <c r="DA87" s="553">
        <f>CZ87/PI()*SQRT('Hilfstabellen_Mat&amp;Bem'!f.Rd.3/'Hilfstabellen_Mat&amp;Bem'!$BD$30)</f>
        <v>1.5072300738149711</v>
      </c>
      <c r="DB87" s="553">
        <f>0.5*(1+'Hilfstabellen_Mat&amp;Bem'!$BD$31*(DA87-0.3)+DA87^2)</f>
        <v>1.6962327513968902</v>
      </c>
      <c r="DC87" s="550">
        <f t="shared" si="100"/>
        <v>0.40414690049692009</v>
      </c>
      <c r="DE87" s="551">
        <f t="shared" si="101"/>
        <v>7808.5222645009935</v>
      </c>
      <c r="DI87" s="546">
        <f t="shared" si="102"/>
        <v>139</v>
      </c>
      <c r="DJ87" s="551">
        <f t="shared" si="103"/>
        <v>97.194217978685188</v>
      </c>
      <c r="DK87" s="553">
        <f>DJ87/PI()*SQRT('Hilfstabellen_Mat&amp;Bem'!f.Rd.3/'Hilfstabellen_Mat&amp;Bem'!$BD$30)</f>
        <v>1.5468940231258914</v>
      </c>
      <c r="DL87" s="553">
        <f>0.5*(1+'Hilfstabellen_Mat&amp;Bem'!$BD$31*(DK87-0.3)+DK87^2)</f>
        <v>1.7587852605475975</v>
      </c>
      <c r="DM87" s="550">
        <f t="shared" si="104"/>
        <v>0.38525091988345395</v>
      </c>
      <c r="DO87" s="551">
        <f t="shared" si="105"/>
        <v>7443.4330230682135</v>
      </c>
      <c r="DS87" s="546">
        <f t="shared" si="106"/>
        <v>139</v>
      </c>
      <c r="DT87" s="551">
        <f t="shared" si="107"/>
        <v>99.686377414036087</v>
      </c>
      <c r="DU87" s="553">
        <f>DT87/PI()*SQRT('Hilfstabellen_Mat&amp;Bem'!f.Rd.3/'Hilfstabellen_Mat&amp;Bem'!$BD$30)</f>
        <v>1.5865579724368115</v>
      </c>
      <c r="DV87" s="553">
        <f>0.5*(1+'Hilfstabellen_Mat&amp;Bem'!$BD$31*(DU87-0.3)+DU87^2)</f>
        <v>1.8229109985732437</v>
      </c>
      <c r="DW87" s="550">
        <f t="shared" si="108"/>
        <v>0.36756652249895727</v>
      </c>
      <c r="DY87" s="551">
        <f t="shared" si="109"/>
        <v>7101.7527812023536</v>
      </c>
      <c r="EC87" s="546">
        <f t="shared" si="110"/>
        <v>139</v>
      </c>
      <c r="ED87" s="551">
        <f t="shared" si="111"/>
        <v>102.178536849387</v>
      </c>
      <c r="EE87" s="553">
        <f>ED87/PI()*SQRT('Hilfstabellen_Mat&amp;Bem'!f.Rd.3/'Hilfstabellen_Mat&amp;Bem'!$BD$30)</f>
        <v>1.6262219217477321</v>
      </c>
      <c r="EF87" s="553">
        <f>0.5*(1+'Hilfstabellen_Mat&amp;Bem'!$BD$31*(EE87-0.3)+EE87^2)</f>
        <v>1.88860996547383</v>
      </c>
      <c r="EG87" s="550">
        <f t="shared" si="112"/>
        <v>0.351006711245053</v>
      </c>
      <c r="EI87" s="551">
        <f t="shared" si="113"/>
        <v>6781.8006679656692</v>
      </c>
      <c r="EM87" s="546">
        <f t="shared" si="114"/>
        <v>139</v>
      </c>
      <c r="EN87" s="551">
        <f t="shared" si="115"/>
        <v>104.6706962847379</v>
      </c>
      <c r="EO87" s="553">
        <f>EN87/PI()*SQRT('Hilfstabellen_Mat&amp;Bem'!f.Rd.3/'Hilfstabellen_Mat&amp;Bem'!$BD$30)</f>
        <v>1.6658858710586522</v>
      </c>
      <c r="EP87" s="553">
        <f>0.5*(1+'Hilfstabellen_Mat&amp;Bem'!$BD$31*(EO87-0.3)+EO87^2)</f>
        <v>1.9558821612493547</v>
      </c>
      <c r="EQ87" s="550">
        <f t="shared" si="116"/>
        <v>0.33548904417400427</v>
      </c>
      <c r="ES87" s="551">
        <f t="shared" si="117"/>
        <v>6481.9838224859368</v>
      </c>
    </row>
    <row r="88" spans="3:149">
      <c r="C88" s="546">
        <v>140</v>
      </c>
      <c r="D88" s="551">
        <f t="shared" si="67"/>
        <v>69.282032302755084</v>
      </c>
      <c r="E88" s="553">
        <f>$D88/PI()*SQRT('Hilfstabellen_Mat&amp;Bem'!f.Rd.3/'Hilfstabellen_Mat&amp;Bem'!$BD$30)</f>
        <v>1.102657790843584</v>
      </c>
      <c r="F88" s="553">
        <f>0.5*(1+'Hilfstabellen_Mat&amp;Bem'!$BD$31*($E88-0.3)+$E88^2)</f>
        <v>1.1480599913962055</v>
      </c>
      <c r="G88" s="550">
        <f t="shared" si="68"/>
        <v>0.68132521956793579</v>
      </c>
      <c r="I88" s="551">
        <f t="shared" si="69"/>
        <v>13353.974303531542</v>
      </c>
      <c r="M88" s="546">
        <f t="shared" si="70"/>
        <v>140</v>
      </c>
      <c r="N88" s="551">
        <f t="shared" si="59"/>
        <v>71.756390599282057</v>
      </c>
      <c r="O88" s="553">
        <f>$N88/PI()*SQRT('Hilfstabellen_Mat&amp;Bem'!f.Rd.3/'Hilfstabellen_Mat&amp;Bem'!$BD$30)</f>
        <v>1.1420384262308552</v>
      </c>
      <c r="P88" s="553">
        <f>0.5*(1+'Hilfstabellen_Mat&amp;Bem'!$BD$31*($O88-0.3)+$O88^2)</f>
        <v>1.1942278048054669</v>
      </c>
      <c r="Q88" s="550">
        <f t="shared" si="60"/>
        <v>0.64791593176489992</v>
      </c>
      <c r="S88" s="551">
        <f t="shared" si="71"/>
        <v>12699.152262592039</v>
      </c>
      <c r="W88" s="546">
        <f t="shared" si="72"/>
        <v>140</v>
      </c>
      <c r="X88" s="551">
        <f t="shared" si="61"/>
        <v>74.230748895809015</v>
      </c>
      <c r="Y88" s="553">
        <f>$X88/PI()*SQRT('Hilfstabellen_Mat&amp;Bem'!f.Rd.3/'Hilfstabellen_Mat&amp;Bem'!$BD$30)</f>
        <v>1.1814190616181257</v>
      </c>
      <c r="Z88" s="553">
        <f>0.5*(1+'Hilfstabellen_Mat&amp;Bem'!$BD$31*($Y88-0.3)+$Y88^2)</f>
        <v>1.2419464526582327</v>
      </c>
      <c r="AA88" s="550">
        <f t="shared" si="62"/>
        <v>0.61540934808505643</v>
      </c>
      <c r="AC88" s="551">
        <f t="shared" si="73"/>
        <v>12062.023222467105</v>
      </c>
      <c r="AG88" s="546">
        <f t="shared" si="74"/>
        <v>140</v>
      </c>
      <c r="AH88" s="551">
        <f t="shared" si="63"/>
        <v>76.705107192335987</v>
      </c>
      <c r="AI88" s="553">
        <f>$AH88/PI()*SQRT('Hilfstabellen_Mat&amp;Bem'!f.Rd.3/'Hilfstabellen_Mat&amp;Bem'!$BD$30)</f>
        <v>1.2207996970053967</v>
      </c>
      <c r="AJ88" s="553">
        <f>0.5*(1+'Hilfstabellen_Mat&amp;Bem'!$BD$31*($AI88-0.3)+$AI88^2)</f>
        <v>1.291215934954504</v>
      </c>
      <c r="AK88" s="550">
        <f t="shared" si="64"/>
        <v>0.58418212537745373</v>
      </c>
      <c r="AM88" s="551">
        <f t="shared" si="75"/>
        <v>11449.969657398093</v>
      </c>
      <c r="AQ88" s="546">
        <f t="shared" si="76"/>
        <v>140</v>
      </c>
      <c r="AR88" s="551">
        <f t="shared" si="65"/>
        <v>79.179465488862959</v>
      </c>
      <c r="AS88" s="553">
        <f>$AR88/PI()*SQRT('Hilfstabellen_Mat&amp;Bem'!f.Rd.3/'Hilfstabellen_Mat&amp;Bem'!$BD$30)</f>
        <v>1.2601803323926677</v>
      </c>
      <c r="AT88" s="553">
        <f>0.5*(1+'Hilfstabellen_Mat&amp;Bem'!$BD$31*($AS88-0.3)+$AS88^2)</f>
        <v>1.3420362516942808</v>
      </c>
      <c r="AU88" s="550">
        <f t="shared" si="66"/>
        <v>0.55445807287425108</v>
      </c>
      <c r="AW88" s="551">
        <f t="shared" si="77"/>
        <v>10867.378228335321</v>
      </c>
      <c r="BA88" s="546">
        <f t="shared" si="78"/>
        <v>140</v>
      </c>
      <c r="BB88" s="551">
        <f t="shared" si="79"/>
        <v>81.653823785389932</v>
      </c>
      <c r="BC88" s="553">
        <f>$BB88/PI()*SQRT('Hilfstabellen_Mat&amp;Bem'!f.Rd.3/'Hilfstabellen_Mat&amp;Bem'!$BD$30)</f>
        <v>1.2995609677799385</v>
      </c>
      <c r="BD88" s="553">
        <f>0.5*(1+'Hilfstabellen_Mat&amp;Bem'!$BD$31*($BC88-0.3)+$BC88^2)</f>
        <v>1.3944074028775622</v>
      </c>
      <c r="BE88" s="550">
        <f t="shared" si="80"/>
        <v>0.52634608670669869</v>
      </c>
      <c r="BG88" s="551">
        <f t="shared" si="81"/>
        <v>10316.383299451294</v>
      </c>
      <c r="BK88" s="546">
        <f t="shared" si="82"/>
        <v>140</v>
      </c>
      <c r="BL88" s="551">
        <f t="shared" si="83"/>
        <v>84.12818208191689</v>
      </c>
      <c r="BM88" s="553">
        <f>$BL88/PI()*SQRT('Hilfstabellen_Mat&amp;Bem'!f.Rd.3/'Hilfstabellen_Mat&amp;Bem'!$BD$30)</f>
        <v>1.3389416031672092</v>
      </c>
      <c r="BN88" s="553">
        <f>0.5*(1+'Hilfstabellen_Mat&amp;Bem'!$BD$31*($BM88-0.3)+$BM88^2)</f>
        <v>1.4483293885043487</v>
      </c>
      <c r="BO88" s="550">
        <f t="shared" si="84"/>
        <v>0.49987480119453281</v>
      </c>
      <c r="BQ88" s="551">
        <f t="shared" si="85"/>
        <v>9797.5461034128439</v>
      </c>
      <c r="BU88" s="546">
        <f t="shared" si="86"/>
        <v>140</v>
      </c>
      <c r="BV88" s="551">
        <f t="shared" si="87"/>
        <v>86.602540378443862</v>
      </c>
      <c r="BW88" s="553">
        <f>$BV88/PI()*SQRT('Hilfstabellen_Mat&amp;Bem'!f.Rd.3/'Hilfstabellen_Mat&amp;Bem'!$BD$30)</f>
        <v>1.3783222385544802</v>
      </c>
      <c r="BX88" s="553">
        <f>0.5*(1+'Hilfstabellen_Mat&amp;Bem'!$BD$31*($BW88-0.3)+$BW88^2)</f>
        <v>1.5038022085746408</v>
      </c>
      <c r="BY88" s="550">
        <f t="shared" si="88"/>
        <v>0.47501995619125226</v>
      </c>
      <c r="CA88" s="551">
        <f t="shared" si="89"/>
        <v>9310.3911413485439</v>
      </c>
      <c r="CE88" s="546">
        <f t="shared" si="90"/>
        <v>140</v>
      </c>
      <c r="CF88" s="551">
        <f t="shared" si="91"/>
        <v>89.076898674970835</v>
      </c>
      <c r="CG88" s="553">
        <f>CF88/PI()*SQRT('Hilfstabellen_Mat&amp;Bem'!f.Rd.3/'Hilfstabellen_Mat&amp;Bem'!$BD$30)</f>
        <v>1.4177028739417512</v>
      </c>
      <c r="CH88" s="553">
        <f>0.5*(1+'Hilfstabellen_Mat&amp;Bem'!$BD$31*(CG88-0.3)+CG88^2)</f>
        <v>1.560825863088438</v>
      </c>
      <c r="CI88" s="550">
        <f t="shared" si="92"/>
        <v>0.45172437735437948</v>
      </c>
      <c r="CK88" s="551">
        <f t="shared" si="93"/>
        <v>8853.7977961458382</v>
      </c>
      <c r="CO88" s="546">
        <f t="shared" si="94"/>
        <v>140</v>
      </c>
      <c r="CP88" s="551">
        <f t="shared" si="95"/>
        <v>91.551256971497793</v>
      </c>
      <c r="CQ88" s="553">
        <f>CP88/PI()*SQRT('Hilfstabellen_Mat&amp;Bem'!f.Rd.3/'Hilfstabellen_Mat&amp;Bem'!$BD$30)</f>
        <v>1.4570835093290218</v>
      </c>
      <c r="CR88" s="553">
        <f>0.5*(1+'Hilfstabellen_Mat&amp;Bem'!$BD$31*(CQ88-0.3)+CQ88^2)</f>
        <v>1.6194003520457398</v>
      </c>
      <c r="CS88" s="550">
        <f t="shared" si="96"/>
        <v>0.42991187873447134</v>
      </c>
      <c r="CU88" s="551">
        <f t="shared" si="97"/>
        <v>8426.2728231956389</v>
      </c>
      <c r="CY88" s="546">
        <f t="shared" si="98"/>
        <v>140</v>
      </c>
      <c r="CZ88" s="551">
        <f t="shared" si="99"/>
        <v>94.025615268024765</v>
      </c>
      <c r="DA88" s="553">
        <f>CZ88/PI()*SQRT('Hilfstabellen_Mat&amp;Bem'!f.Rd.3/'Hilfstabellen_Mat&amp;Bem'!$BD$30)</f>
        <v>1.4964641447162927</v>
      </c>
      <c r="DB88" s="553">
        <f>0.5*(1+'Hilfstabellen_Mat&amp;Bem'!$BD$31*(DA88-0.3)+DA88^2)</f>
        <v>1.6795256754465475</v>
      </c>
      <c r="DC88" s="550">
        <f t="shared" si="100"/>
        <v>0.40949661993615977</v>
      </c>
      <c r="DE88" s="551">
        <f t="shared" si="101"/>
        <v>8026.1337507487315</v>
      </c>
      <c r="DI88" s="546">
        <f t="shared" si="102"/>
        <v>140</v>
      </c>
      <c r="DJ88" s="551">
        <f t="shared" si="103"/>
        <v>96.499973564551738</v>
      </c>
      <c r="DK88" s="553">
        <f>DJ88/PI()*SQRT('Hilfstabellen_Mat&amp;Bem'!f.Rd.3/'Hilfstabellen_Mat&amp;Bem'!$BD$30)</f>
        <v>1.5358447801035637</v>
      </c>
      <c r="DL88" s="553">
        <f>0.5*(1+'Hilfstabellen_Mat&amp;Bem'!$BD$31*(DK88-0.3)+DK88^2)</f>
        <v>1.7412018332908601</v>
      </c>
      <c r="DM88" s="550">
        <f t="shared" si="104"/>
        <v>0.39038923371011269</v>
      </c>
      <c r="DO88" s="551">
        <f t="shared" si="105"/>
        <v>7651.6289807182084</v>
      </c>
      <c r="DS88" s="546">
        <f t="shared" si="106"/>
        <v>140</v>
      </c>
      <c r="DT88" s="551">
        <f t="shared" si="107"/>
        <v>98.974331861078696</v>
      </c>
      <c r="DU88" s="553">
        <f>DT88/PI()*SQRT('Hilfstabellen_Mat&amp;Bem'!f.Rd.3/'Hilfstabellen_Mat&amp;Bem'!$BD$30)</f>
        <v>1.5752254154908345</v>
      </c>
      <c r="DV88" s="553">
        <f>0.5*(1+'Hilfstabellen_Mat&amp;Bem'!$BD$31*(DU88-0.3)+DU88^2)</f>
        <v>1.804428825578678</v>
      </c>
      <c r="DW88" s="550">
        <f t="shared" si="108"/>
        <v>0.3725007270207823</v>
      </c>
      <c r="DY88" s="551">
        <f t="shared" si="109"/>
        <v>7301.0142496073331</v>
      </c>
      <c r="EC88" s="546">
        <f t="shared" si="110"/>
        <v>140</v>
      </c>
      <c r="ED88" s="551">
        <f t="shared" si="111"/>
        <v>101.44869015760565</v>
      </c>
      <c r="EE88" s="553">
        <f>ED88/PI()*SQRT('Hilfstabellen_Mat&amp;Bem'!f.Rd.3/'Hilfstabellen_Mat&amp;Bem'!$BD$30)</f>
        <v>1.6146060508781053</v>
      </c>
      <c r="EF88" s="553">
        <f>0.5*(1+'Hilfstabellen_Mat&amp;Bem'!$BD$31*(EE88-0.3)+EE88^2)</f>
        <v>1.8692066523100004</v>
      </c>
      <c r="EG88" s="550">
        <f t="shared" si="112"/>
        <v>0.35574487654489223</v>
      </c>
      <c r="EI88" s="551">
        <f t="shared" si="113"/>
        <v>6972.599580279888</v>
      </c>
      <c r="EM88" s="546">
        <f t="shared" si="114"/>
        <v>140</v>
      </c>
      <c r="EN88" s="551">
        <f t="shared" si="115"/>
        <v>103.92304845413263</v>
      </c>
      <c r="EO88" s="553">
        <f>EN88/PI()*SQRT('Hilfstabellen_Mat&amp;Bem'!f.Rd.3/'Hilfstabellen_Mat&amp;Bem'!$BD$30)</f>
        <v>1.653986686265376</v>
      </c>
      <c r="EP88" s="553">
        <f>0.5*(1+'Hilfstabellen_Mat&amp;Bem'!$BD$31*(EO88-0.3)+EO88^2)</f>
        <v>1.9355353134848285</v>
      </c>
      <c r="EQ88" s="550">
        <f t="shared" si="116"/>
        <v>0.34003962053241865</v>
      </c>
      <c r="ES88" s="551">
        <f t="shared" si="117"/>
        <v>6664.7765624354051</v>
      </c>
    </row>
    <row r="89" spans="3:149">
      <c r="C89" s="546">
        <v>141</v>
      </c>
      <c r="D89" s="551">
        <f t="shared" si="67"/>
        <v>68.79067037152987</v>
      </c>
      <c r="E89" s="553">
        <f>$D89/PI()*SQRT('Hilfstabellen_Mat&amp;Bem'!f.Rd.3/'Hilfstabellen_Mat&amp;Bem'!$BD$30)</f>
        <v>1.0948375228234168</v>
      </c>
      <c r="F89" s="553">
        <f>0.5*(1+'Hilfstabellen_Mat&amp;Bem'!$BD$31*($E89-0.3)+$E89^2)</f>
        <v>1.1390764768322288</v>
      </c>
      <c r="G89" s="550">
        <f t="shared" si="68"/>
        <v>0.68802169727488727</v>
      </c>
      <c r="I89" s="551">
        <f t="shared" si="69"/>
        <v>13678.559363522034</v>
      </c>
      <c r="M89" s="546">
        <f t="shared" si="70"/>
        <v>141</v>
      </c>
      <c r="N89" s="551">
        <f t="shared" si="59"/>
        <v>71.247480027655939</v>
      </c>
      <c r="O89" s="553">
        <f>$N89/PI()*SQRT('Hilfstabellen_Mat&amp;Bem'!f.Rd.3/'Hilfstabellen_Mat&amp;Bem'!$BD$30)</f>
        <v>1.1339388629242533</v>
      </c>
      <c r="P89" s="553">
        <f>0.5*(1+'Hilfstabellen_Mat&amp;Bem'!$BD$31*($O89-0.3)+$O89^2)</f>
        <v>1.1846056155711868</v>
      </c>
      <c r="Q89" s="550">
        <f t="shared" si="60"/>
        <v>0.65472914972671403</v>
      </c>
      <c r="S89" s="551">
        <f t="shared" si="71"/>
        <v>13016.670225716802</v>
      </c>
      <c r="W89" s="546">
        <f t="shared" si="72"/>
        <v>141</v>
      </c>
      <c r="X89" s="551">
        <f t="shared" si="61"/>
        <v>73.704289683782008</v>
      </c>
      <c r="Y89" s="553">
        <f>$X89/PI()*SQRT('Hilfstabellen_Mat&amp;Bem'!f.Rd.3/'Hilfstabellen_Mat&amp;Bem'!$BD$30)</f>
        <v>1.1730402030250895</v>
      </c>
      <c r="Z89" s="553">
        <f>0.5*(1+'Hilfstabellen_Mat&amp;Bem'!$BD$31*($Y89-0.3)+$Y89^2)</f>
        <v>1.2316636691078262</v>
      </c>
      <c r="AA89" s="550">
        <f t="shared" si="62"/>
        <v>0.62222868994976976</v>
      </c>
      <c r="AC89" s="551">
        <f t="shared" si="73"/>
        <v>12370.528584891372</v>
      </c>
      <c r="AG89" s="546">
        <f t="shared" si="74"/>
        <v>141</v>
      </c>
      <c r="AH89" s="551">
        <f t="shared" si="63"/>
        <v>76.161099339908077</v>
      </c>
      <c r="AI89" s="553">
        <f>$AH89/PI()*SQRT('Hilfstabellen_Mat&amp;Bem'!f.Rd.3/'Hilfstabellen_Mat&amp;Bem'!$BD$30)</f>
        <v>1.2121415431259259</v>
      </c>
      <c r="AJ89" s="553">
        <f>0.5*(1+'Hilfstabellen_Mat&amp;Bem'!$BD$31*($AI89-0.3)+$AI89^2)</f>
        <v>1.2802506374421467</v>
      </c>
      <c r="AK89" s="550">
        <f t="shared" si="64"/>
        <v>0.59092453261235312</v>
      </c>
      <c r="AM89" s="551">
        <f t="shared" si="75"/>
        <v>11748.170632866193</v>
      </c>
      <c r="AQ89" s="546">
        <f t="shared" si="76"/>
        <v>141</v>
      </c>
      <c r="AR89" s="551">
        <f t="shared" si="65"/>
        <v>78.617908996034146</v>
      </c>
      <c r="AS89" s="553">
        <f>$AR89/PI()*SQRT('Hilfstabellen_Mat&amp;Bem'!f.Rd.3/'Hilfstabellen_Mat&amp;Bem'!$BD$30)</f>
        <v>1.2512428832267624</v>
      </c>
      <c r="AT89" s="553">
        <f>0.5*(1+'Hilfstabellen_Mat&amp;Bem'!$BD$31*($AS89-0.3)+$AS89^2)</f>
        <v>1.3303665205741488</v>
      </c>
      <c r="AU89" s="550">
        <f t="shared" si="66"/>
        <v>0.5610649502467393</v>
      </c>
      <c r="AW89" s="551">
        <f t="shared" si="77"/>
        <v>11154.532275855425</v>
      </c>
      <c r="BA89" s="546">
        <f t="shared" si="78"/>
        <v>141</v>
      </c>
      <c r="BB89" s="551">
        <f t="shared" si="79"/>
        <v>81.074718652160215</v>
      </c>
      <c r="BC89" s="553">
        <f>$BB89/PI()*SQRT('Hilfstabellen_Mat&amp;Bem'!f.Rd.3/'Hilfstabellen_Mat&amp;Bem'!$BD$30)</f>
        <v>1.2903442233275986</v>
      </c>
      <c r="BD89" s="553">
        <f>0.5*(1+'Hilfstabellen_Mat&amp;Bem'!$BD$31*($BC89-0.3)+$BC89^2)</f>
        <v>1.3820113185038316</v>
      </c>
      <c r="BE89" s="550">
        <f t="shared" si="80"/>
        <v>0.53277844821973119</v>
      </c>
      <c r="BG89" s="551">
        <f t="shared" si="81"/>
        <v>10592.168329056476</v>
      </c>
      <c r="BK89" s="546">
        <f t="shared" si="82"/>
        <v>141</v>
      </c>
      <c r="BL89" s="551">
        <f t="shared" si="83"/>
        <v>83.531528308286269</v>
      </c>
      <c r="BM89" s="553">
        <f>$BL89/PI()*SQRT('Hilfstabellen_Mat&amp;Bem'!f.Rd.3/'Hilfstabellen_Mat&amp;Bem'!$BD$30)</f>
        <v>1.3294455634284346</v>
      </c>
      <c r="BN89" s="553">
        <f>0.5*(1+'Hilfstabellen_Mat&amp;Bem'!$BD$31*($BM89-0.3)+$BM89^2)</f>
        <v>1.4351850312311956</v>
      </c>
      <c r="BO89" s="550">
        <f t="shared" si="84"/>
        <v>0.50610846096467643</v>
      </c>
      <c r="BQ89" s="551">
        <f t="shared" si="85"/>
        <v>10061.942312438732</v>
      </c>
      <c r="BU89" s="546">
        <f t="shared" si="86"/>
        <v>141</v>
      </c>
      <c r="BV89" s="551">
        <f t="shared" si="87"/>
        <v>85.988337964412338</v>
      </c>
      <c r="BW89" s="553">
        <f>$BV89/PI()*SQRT('Hilfstabellen_Mat&amp;Bem'!f.Rd.3/'Hilfstabellen_Mat&amp;Bem'!$BD$30)</f>
        <v>1.368546903529271</v>
      </c>
      <c r="BX89" s="553">
        <f>0.5*(1+'Hilfstabellen_Mat&amp;Bem'!$BD$31*($BW89-0.3)+$BW89^2)</f>
        <v>1.4898876587562415</v>
      </c>
      <c r="BY89" s="550">
        <f t="shared" si="88"/>
        <v>0.48104148018195697</v>
      </c>
      <c r="CA89" s="551">
        <f t="shared" si="89"/>
        <v>9563.5856674974857</v>
      </c>
      <c r="CE89" s="546">
        <f t="shared" si="90"/>
        <v>141</v>
      </c>
      <c r="CF89" s="551">
        <f t="shared" si="91"/>
        <v>88.445147620538407</v>
      </c>
      <c r="CG89" s="553">
        <f>CF89/PI()*SQRT('Hilfstabellen_Mat&amp;Bem'!f.Rd.3/'Hilfstabellen_Mat&amp;Bem'!$BD$30)</f>
        <v>1.4076482436301072</v>
      </c>
      <c r="CH89" s="553">
        <f>0.5*(1+'Hilfstabellen_Mat&amp;Bem'!$BD$31*(CG89-0.3)+CG89^2)</f>
        <v>1.5461192010789682</v>
      </c>
      <c r="CI89" s="550">
        <f t="shared" si="92"/>
        <v>0.45752793689707705</v>
      </c>
      <c r="CK89" s="551">
        <f t="shared" si="93"/>
        <v>9096.1129134507883</v>
      </c>
      <c r="CO89" s="546">
        <f t="shared" si="94"/>
        <v>141</v>
      </c>
      <c r="CP89" s="551">
        <f t="shared" si="95"/>
        <v>90.901957276664476</v>
      </c>
      <c r="CQ89" s="553">
        <f>CP89/PI()*SQRT('Hilfstabellen_Mat&amp;Bem'!f.Rd.3/'Hilfstabellen_Mat&amp;Bem'!$BD$30)</f>
        <v>1.4467495837309436</v>
      </c>
      <c r="CR89" s="553">
        <f>0.5*(1+'Hilfstabellen_Mat&amp;Bem'!$BD$31*(CQ89-0.3)+CQ89^2)</f>
        <v>1.6038796581993764</v>
      </c>
      <c r="CS89" s="550">
        <f t="shared" si="96"/>
        <v>0.43549690928687679</v>
      </c>
      <c r="CU89" s="551">
        <f t="shared" si="97"/>
        <v>8658.1140535323975</v>
      </c>
      <c r="CY89" s="546">
        <f t="shared" si="98"/>
        <v>141</v>
      </c>
      <c r="CZ89" s="551">
        <f t="shared" si="99"/>
        <v>93.358766932790545</v>
      </c>
      <c r="DA89" s="553">
        <f>CZ89/PI()*SQRT('Hilfstabellen_Mat&amp;Bem'!f.Rd.3/'Hilfstabellen_Mat&amp;Bem'!$BD$30)</f>
        <v>1.4858509238317801</v>
      </c>
      <c r="DB89" s="553">
        <f>0.5*(1+'Hilfstabellen_Mat&amp;Bem'!$BD$31*(DA89-0.3)+DA89^2)</f>
        <v>1.6631690301174662</v>
      </c>
      <c r="DC89" s="550">
        <f t="shared" si="100"/>
        <v>0.41486612214710067</v>
      </c>
      <c r="DE89" s="551">
        <f t="shared" si="101"/>
        <v>8247.9533744065084</v>
      </c>
      <c r="DI89" s="546">
        <f t="shared" si="102"/>
        <v>141</v>
      </c>
      <c r="DJ89" s="551">
        <f t="shared" si="103"/>
        <v>95.815576588916613</v>
      </c>
      <c r="DK89" s="553">
        <f>DJ89/PI()*SQRT('Hilfstabellen_Mat&amp;Bem'!f.Rd.3/'Hilfstabellen_Mat&amp;Bem'!$BD$30)</f>
        <v>1.5249522639326163</v>
      </c>
      <c r="DL89" s="553">
        <f>0.5*(1+'Hilfstabellen_Mat&amp;Bem'!$BD$31*(DK89-0.3)+DK89^2)</f>
        <v>1.7239873168332367</v>
      </c>
      <c r="DM89" s="550">
        <f t="shared" si="104"/>
        <v>0.39554855898797875</v>
      </c>
      <c r="DO89" s="551">
        <f t="shared" si="105"/>
        <v>7863.9009012400056</v>
      </c>
      <c r="DS89" s="546">
        <f t="shared" si="106"/>
        <v>141</v>
      </c>
      <c r="DT89" s="551">
        <f t="shared" si="107"/>
        <v>98.272386245042668</v>
      </c>
      <c r="DU89" s="553">
        <f>DT89/PI()*SQRT('Hilfstabellen_Mat&amp;Bem'!f.Rd.3/'Hilfstabellen_Mat&amp;Bem'!$BD$30)</f>
        <v>1.5640536040334525</v>
      </c>
      <c r="DV89" s="553">
        <f>0.5*(1+'Hilfstabellen_Mat&amp;Bem'!$BD$31*(DU89-0.3)+DU89^2)</f>
        <v>1.7863345183466888</v>
      </c>
      <c r="DW89" s="550">
        <f t="shared" si="108"/>
        <v>0.37745671784195112</v>
      </c>
      <c r="DY89" s="551">
        <f t="shared" si="109"/>
        <v>7504.2170074158303</v>
      </c>
      <c r="EC89" s="546">
        <f t="shared" si="110"/>
        <v>141</v>
      </c>
      <c r="ED89" s="551">
        <f t="shared" si="111"/>
        <v>100.72919590116874</v>
      </c>
      <c r="EE89" s="553">
        <f>ED89/PI()*SQRT('Hilfstabellen_Mat&amp;Bem'!f.Rd.3/'Hilfstabellen_Mat&amp;Bem'!$BD$30)</f>
        <v>1.6031549441342889</v>
      </c>
      <c r="EF89" s="553">
        <f>0.5*(1+'Hilfstabellen_Mat&amp;Bem'!$BD$31*(EE89-0.3)+EE89^2)</f>
        <v>1.850210634657822</v>
      </c>
      <c r="EG89" s="550">
        <f t="shared" si="112"/>
        <v>0.36050526234012492</v>
      </c>
      <c r="EI89" s="551">
        <f t="shared" si="113"/>
        <v>7167.2051205840235</v>
      </c>
      <c r="EM89" s="546">
        <f t="shared" si="114"/>
        <v>141</v>
      </c>
      <c r="EN89" s="551">
        <f t="shared" si="115"/>
        <v>103.18600555729481</v>
      </c>
      <c r="EO89" s="553">
        <f>EN89/PI()*SQRT('Hilfstabellen_Mat&amp;Bem'!f.Rd.3/'Hilfstabellen_Mat&amp;Bem'!$BD$30)</f>
        <v>1.6422562842351252</v>
      </c>
      <c r="EP89" s="553">
        <f>0.5*(1+'Hilfstabellen_Mat&amp;Bem'!$BD$31*(EO89-0.3)+EO89^2)</f>
        <v>1.9156156657666363</v>
      </c>
      <c r="EQ89" s="550">
        <f t="shared" si="116"/>
        <v>0.34461259615100509</v>
      </c>
      <c r="ES89" s="551">
        <f t="shared" si="117"/>
        <v>6851.2430240781323</v>
      </c>
    </row>
    <row r="90" spans="3:149">
      <c r="C90" s="546">
        <v>142</v>
      </c>
      <c r="D90" s="551">
        <f t="shared" si="67"/>
        <v>68.306229030885291</v>
      </c>
      <c r="E90" s="553">
        <f>$D90/PI()*SQRT('Hilfstabellen_Mat&amp;Bem'!f.Rd.3/'Hilfstabellen_Mat&amp;Bem'!$BD$30)</f>
        <v>1.0871273994232518</v>
      </c>
      <c r="F90" s="553">
        <f>0.5*(1+'Hilfstabellen_Mat&amp;Bem'!$BD$31*($E90-0.3)+$E90^2)</f>
        <v>1.1302793612595439</v>
      </c>
      <c r="G90" s="550">
        <f t="shared" si="68"/>
        <v>0.69463256797828066</v>
      </c>
      <c r="I90" s="551">
        <f t="shared" si="69"/>
        <v>14006.571100714051</v>
      </c>
      <c r="M90" s="546">
        <f t="shared" si="70"/>
        <v>142</v>
      </c>
      <c r="N90" s="551">
        <f t="shared" si="59"/>
        <v>70.745737210559767</v>
      </c>
      <c r="O90" s="553">
        <f>$N90/PI()*SQRT('Hilfstabellen_Mat&amp;Bem'!f.Rd.3/'Hilfstabellen_Mat&amp;Bem'!$BD$30)</f>
        <v>1.1259533779740822</v>
      </c>
      <c r="P90" s="553">
        <f>0.5*(1+'Hilfstabellen_Mat&amp;Bem'!$BD$31*($O90-0.3)+$O90^2)</f>
        <v>1.1751831735843274</v>
      </c>
      <c r="Q90" s="550">
        <f t="shared" si="60"/>
        <v>0.66148031898496729</v>
      </c>
      <c r="S90" s="551">
        <f t="shared" si="71"/>
        <v>13338.089152012881</v>
      </c>
      <c r="W90" s="546">
        <f t="shared" si="72"/>
        <v>142</v>
      </c>
      <c r="X90" s="551">
        <f t="shared" si="61"/>
        <v>73.185245390234243</v>
      </c>
      <c r="Y90" s="553">
        <f>$X90/PI()*SQRT('Hilfstabellen_Mat&amp;Bem'!f.Rd.3/'Hilfstabellen_Mat&amp;Bem'!$BD$30)</f>
        <v>1.1647793565249127</v>
      </c>
      <c r="Z90" s="553">
        <f>0.5*(1+'Hilfstabellen_Mat&amp;Bem'!$BD$31*($Y90-0.3)+$Y90^2)</f>
        <v>1.2215944425195404</v>
      </c>
      <c r="AA90" s="550">
        <f t="shared" si="62"/>
        <v>0.62900633866970768</v>
      </c>
      <c r="AC90" s="551">
        <f t="shared" si="73"/>
        <v>12683.283812935986</v>
      </c>
      <c r="AG90" s="546">
        <f t="shared" si="74"/>
        <v>142</v>
      </c>
      <c r="AH90" s="551">
        <f t="shared" si="63"/>
        <v>75.624753569908719</v>
      </c>
      <c r="AI90" s="553">
        <f>$AH90/PI()*SQRT('Hilfstabellen_Mat&amp;Bem'!f.Rd.3/'Hilfstabellen_Mat&amp;Bem'!$BD$30)</f>
        <v>1.2036053350757432</v>
      </c>
      <c r="AJ90" s="553">
        <f>0.5*(1+'Hilfstabellen_Mat&amp;Bem'!$BD$31*($AI90-0.3)+$AI90^2)</f>
        <v>1.2695131680651832</v>
      </c>
      <c r="AK90" s="550">
        <f t="shared" si="64"/>
        <v>0.5976417788507602</v>
      </c>
      <c r="AM90" s="551">
        <f t="shared" si="75"/>
        <v>12050.848828746728</v>
      </c>
      <c r="AQ90" s="546">
        <f t="shared" si="76"/>
        <v>142</v>
      </c>
      <c r="AR90" s="551">
        <f t="shared" si="65"/>
        <v>78.064261749583196</v>
      </c>
      <c r="AS90" s="553">
        <f>$AR90/PI()*SQRT('Hilfstabellen_Mat&amp;Bem'!f.Rd.3/'Hilfstabellen_Mat&amp;Bem'!$BD$30)</f>
        <v>1.2424313136265737</v>
      </c>
      <c r="AT90" s="553">
        <f>0.5*(1+'Hilfstabellen_Mat&amp;Bem'!$BD$31*($AS90-0.3)+$AS90^2)</f>
        <v>1.3189393502212554</v>
      </c>
      <c r="AU90" s="550">
        <f t="shared" si="66"/>
        <v>0.5676595746219365</v>
      </c>
      <c r="AW90" s="551">
        <f t="shared" si="77"/>
        <v>11446.287662676728</v>
      </c>
      <c r="BA90" s="546">
        <f t="shared" si="78"/>
        <v>142</v>
      </c>
      <c r="BB90" s="551">
        <f t="shared" si="79"/>
        <v>80.503769929257672</v>
      </c>
      <c r="BC90" s="553">
        <f>$BB90/PI()*SQRT('Hilfstabellen_Mat&amp;Bem'!f.Rd.3/'Hilfstabellen_Mat&amp;Bem'!$BD$30)</f>
        <v>1.2812572921774041</v>
      </c>
      <c r="BD90" s="553">
        <f>0.5*(1+'Hilfstabellen_Mat&amp;Bem'!$BD$31*($BC90-0.3)+$BC90^2)</f>
        <v>1.3698729889877572</v>
      </c>
      <c r="BE90" s="550">
        <f t="shared" si="80"/>
        <v>0.5392083803181813</v>
      </c>
      <c r="BG90" s="551">
        <f t="shared" si="81"/>
        <v>10872.597780735809</v>
      </c>
      <c r="BK90" s="546">
        <f t="shared" si="82"/>
        <v>142</v>
      </c>
      <c r="BL90" s="551">
        <f t="shared" si="83"/>
        <v>82.943278108932148</v>
      </c>
      <c r="BM90" s="553">
        <f>$BL90/PI()*SQRT('Hilfstabellen_Mat&amp;Bem'!f.Rd.3/'Hilfstabellen_Mat&amp;Bem'!$BD$30)</f>
        <v>1.3200832707282346</v>
      </c>
      <c r="BN90" s="553">
        <f>0.5*(1+'Hilfstabellen_Mat&amp;Bem'!$BD$31*($BM90-0.3)+$BM90^2)</f>
        <v>1.4223140843646884</v>
      </c>
      <c r="BO90" s="550">
        <f t="shared" si="84"/>
        <v>0.51234703669340365</v>
      </c>
      <c r="BQ90" s="551">
        <f t="shared" si="85"/>
        <v>10330.965647885791</v>
      </c>
      <c r="BU90" s="546">
        <f t="shared" si="86"/>
        <v>142</v>
      </c>
      <c r="BV90" s="551">
        <f t="shared" si="87"/>
        <v>85.38278628860661</v>
      </c>
      <c r="BW90" s="553">
        <f>$BV90/PI()*SQRT('Hilfstabellen_Mat&amp;Bem'!f.Rd.3/'Hilfstabellen_Mat&amp;Bem'!$BD$30)</f>
        <v>1.3589092492790646</v>
      </c>
      <c r="BX90" s="553">
        <f>0.5*(1+'Hilfstabellen_Mat&amp;Bem'!$BD$31*($BW90-0.3)+$BW90^2)</f>
        <v>1.4762626363520488</v>
      </c>
      <c r="BY90" s="550">
        <f t="shared" si="88"/>
        <v>0.48707333694595734</v>
      </c>
      <c r="CA90" s="551">
        <f t="shared" si="89"/>
        <v>9821.3467661782834</v>
      </c>
      <c r="CE90" s="546">
        <f t="shared" si="90"/>
        <v>142</v>
      </c>
      <c r="CF90" s="551">
        <f t="shared" si="91"/>
        <v>87.8222944682811</v>
      </c>
      <c r="CG90" s="553">
        <f>CF90/PI()*SQRT('Hilfstabellen_Mat&amp;Bem'!f.Rd.3/'Hilfstabellen_Mat&amp;Bem'!$BD$30)</f>
        <v>1.3977352278298953</v>
      </c>
      <c r="CH90" s="553">
        <f>0.5*(1+'Hilfstabellen_Mat&amp;Bem'!$BD$31*(CG90-0.3)+CG90^2)</f>
        <v>1.5317186449498394</v>
      </c>
      <c r="CI90" s="550">
        <f t="shared" si="92"/>
        <v>0.46334577135415483</v>
      </c>
      <c r="CK90" s="551">
        <f t="shared" si="93"/>
        <v>9342.904133585178</v>
      </c>
      <c r="CO90" s="546">
        <f t="shared" si="94"/>
        <v>142</v>
      </c>
      <c r="CP90" s="551">
        <f t="shared" si="95"/>
        <v>90.261802647955577</v>
      </c>
      <c r="CQ90" s="553">
        <f>CP90/PI()*SQRT('Hilfstabellen_Mat&amp;Bem'!f.Rd.3/'Hilfstabellen_Mat&amp;Bem'!$BD$30)</f>
        <v>1.436561206380726</v>
      </c>
      <c r="CR90" s="553">
        <f>0.5*(1+'Hilfstabellen_Mat&amp;Bem'!$BD$31*(CQ90-0.3)+CQ90^2)</f>
        <v>1.5886821101580597</v>
      </c>
      <c r="CS90" s="550">
        <f t="shared" si="96"/>
        <v>0.4410990396579495</v>
      </c>
      <c r="CU90" s="551">
        <f t="shared" si="97"/>
        <v>8894.3210356628933</v>
      </c>
      <c r="CY90" s="546">
        <f t="shared" si="98"/>
        <v>142</v>
      </c>
      <c r="CZ90" s="551">
        <f t="shared" si="99"/>
        <v>92.701310827630053</v>
      </c>
      <c r="DA90" s="553">
        <f>CZ90/PI()*SQRT('Hilfstabellen_Mat&amp;Bem'!f.Rd.3/'Hilfstabellen_Mat&amp;Bem'!$BD$30)</f>
        <v>1.4753871849315563</v>
      </c>
      <c r="DB90" s="553">
        <f>0.5*(1+'Hilfstabellen_Mat&amp;Bem'!$BD$31*(DA90-0.3)+DA90^2)</f>
        <v>1.6471530319767091</v>
      </c>
      <c r="DC90" s="550">
        <f t="shared" si="100"/>
        <v>0.42025470638742313</v>
      </c>
      <c r="DE90" s="551">
        <f t="shared" si="101"/>
        <v>8474.0158995959991</v>
      </c>
      <c r="DI90" s="546">
        <f t="shared" si="102"/>
        <v>142</v>
      </c>
      <c r="DJ90" s="551">
        <f t="shared" si="103"/>
        <v>95.140819007304529</v>
      </c>
      <c r="DK90" s="553">
        <f>DJ90/PI()*SQRT('Hilfstabellen_Mat&amp;Bem'!f.Rd.3/'Hilfstabellen_Mat&amp;Bem'!$BD$30)</f>
        <v>1.5142131634823868</v>
      </c>
      <c r="DL90" s="553">
        <f>0.5*(1+'Hilfstabellen_Mat&amp;Bem'!$BD$31*(DK90-0.3)+DK90^2)</f>
        <v>1.707131410405788</v>
      </c>
      <c r="DM90" s="550">
        <f t="shared" si="104"/>
        <v>0.40072831403120596</v>
      </c>
      <c r="DO90" s="551">
        <f t="shared" si="105"/>
        <v>8080.2857241252368</v>
      </c>
      <c r="DS90" s="546">
        <f t="shared" si="106"/>
        <v>142</v>
      </c>
      <c r="DT90" s="551">
        <f t="shared" si="107"/>
        <v>97.580327186979005</v>
      </c>
      <c r="DU90" s="553">
        <f>DT90/PI()*SQRT('Hilfstabellen_Mat&amp;Bem'!f.Rd.3/'Hilfstabellen_Mat&amp;Bem'!$BD$30)</f>
        <v>1.5530391420332172</v>
      </c>
      <c r="DV90" s="553">
        <f>0.5*(1+'Hilfstabellen_Mat&amp;Bem'!$BD$31*(DU90-0.3)+DU90^2)</f>
        <v>1.7686172454452966</v>
      </c>
      <c r="DW90" s="550">
        <f t="shared" si="108"/>
        <v>0.38243400873169764</v>
      </c>
      <c r="DY90" s="551">
        <f t="shared" si="109"/>
        <v>7711.3993520659515</v>
      </c>
      <c r="EC90" s="546">
        <f t="shared" si="110"/>
        <v>142</v>
      </c>
      <c r="ED90" s="551">
        <f t="shared" si="111"/>
        <v>100.01983536665348</v>
      </c>
      <c r="EE90" s="553">
        <f>ED90/PI()*SQRT('Hilfstabellen_Mat&amp;Bem'!f.Rd.3/'Hilfstabellen_Mat&amp;Bem'!$BD$30)</f>
        <v>1.5918651205840477</v>
      </c>
      <c r="EF90" s="553">
        <f>0.5*(1+'Hilfstabellen_Mat&amp;Bem'!$BD$31*(EE90-0.3)+EE90^2)</f>
        <v>1.8316105370952347</v>
      </c>
      <c r="EG90" s="550">
        <f t="shared" si="112"/>
        <v>0.36528745935757062</v>
      </c>
      <c r="EI90" s="551">
        <f t="shared" si="113"/>
        <v>7365.6563304860538</v>
      </c>
      <c r="EM90" s="546">
        <f t="shared" si="114"/>
        <v>142</v>
      </c>
      <c r="EN90" s="551">
        <f t="shared" si="115"/>
        <v>102.45934354632796</v>
      </c>
      <c r="EO90" s="553">
        <f>EN90/PI()*SQRT('Hilfstabellen_Mat&amp;Bem'!f.Rd.3/'Hilfstabellen_Mat&amp;Bem'!$BD$30)</f>
        <v>1.630691099134878</v>
      </c>
      <c r="EP90" s="553">
        <f>0.5*(1+'Hilfstabellen_Mat&amp;Bem'!$BD$31*(EO90-0.3)+EO90^2)</f>
        <v>1.8961112853556021</v>
      </c>
      <c r="EQ90" s="550">
        <f t="shared" si="116"/>
        <v>0.34920762418500656</v>
      </c>
      <c r="ES90" s="551">
        <f t="shared" si="117"/>
        <v>7041.4225340664725</v>
      </c>
    </row>
    <row r="91" spans="3:149">
      <c r="C91" s="546">
        <v>143</v>
      </c>
      <c r="D91" s="551">
        <f t="shared" si="67"/>
        <v>67.828563093606377</v>
      </c>
      <c r="E91" s="553">
        <f>$D91/PI()*SQRT('Hilfstabellen_Mat&amp;Bem'!f.Rd.3/'Hilfstabellen_Mat&amp;Bem'!$BD$30)</f>
        <v>1.0795251099167957</v>
      </c>
      <c r="F91" s="553">
        <f>0.5*(1+'Hilfstabellen_Mat&amp;Bem'!$BD$31*($E91-0.3)+$E91^2)</f>
        <v>1.1216634869662747</v>
      </c>
      <c r="G91" s="550">
        <f t="shared" si="68"/>
        <v>0.70115422440913022</v>
      </c>
      <c r="I91" s="551">
        <f t="shared" si="69"/>
        <v>14337.902734942303</v>
      </c>
      <c r="M91" s="546">
        <f t="shared" si="70"/>
        <v>143</v>
      </c>
      <c r="N91" s="551">
        <f t="shared" si="59"/>
        <v>70.251011775520894</v>
      </c>
      <c r="O91" s="553">
        <f>$N91/PI()*SQRT('Hilfstabellen_Mat&amp;Bem'!f.Rd.3/'Hilfstabellen_Mat&amp;Bem'!$BD$30)</f>
        <v>1.1180795781281097</v>
      </c>
      <c r="P91" s="553">
        <f>0.5*(1+'Hilfstabellen_Mat&amp;Bem'!$BD$31*($O91-0.3)+$O91^2)</f>
        <v>1.1659549504199713</v>
      </c>
      <c r="Q91" s="550">
        <f t="shared" si="60"/>
        <v>0.66816578177817398</v>
      </c>
      <c r="S91" s="551">
        <f t="shared" si="71"/>
        <v>13663.322071581881</v>
      </c>
      <c r="W91" s="546">
        <f t="shared" si="72"/>
        <v>143</v>
      </c>
      <c r="X91" s="551">
        <f t="shared" si="61"/>
        <v>72.673460457435411</v>
      </c>
      <c r="Y91" s="553">
        <f>$X91/PI()*SQRT('Hilfstabellen_Mat&amp;Bem'!f.Rd.3/'Hilfstabellen_Mat&amp;Bem'!$BD$30)</f>
        <v>1.156634046339424</v>
      </c>
      <c r="Z91" s="553">
        <f>0.5*(1+'Hilfstabellen_Mat&amp;Bem'!$BD$31*($Y91-0.3)+$Y91^2)</f>
        <v>1.2117328608927256</v>
      </c>
      <c r="AA91" s="550">
        <f t="shared" si="62"/>
        <v>0.63573894884549054</v>
      </c>
      <c r="AC91" s="551">
        <f t="shared" si="73"/>
        <v>13000.225764941437</v>
      </c>
      <c r="AG91" s="546">
        <f t="shared" si="74"/>
        <v>143</v>
      </c>
      <c r="AH91" s="551">
        <f t="shared" si="63"/>
        <v>75.095909139349914</v>
      </c>
      <c r="AI91" s="553">
        <f>$AH91/PI()*SQRT('Hilfstabellen_Mat&amp;Bem'!f.Rd.3/'Hilfstabellen_Mat&amp;Bem'!$BD$30)</f>
        <v>1.1951885145507379</v>
      </c>
      <c r="AJ91" s="553">
        <f>0.5*(1+'Hilfstabellen_Mat&amp;Bem'!$BD$31*($AI91-0.3)+$AI91^2)</f>
        <v>1.2589972183845366</v>
      </c>
      <c r="AK91" s="550">
        <f t="shared" si="64"/>
        <v>0.60433097823725845</v>
      </c>
      <c r="AM91" s="551">
        <f t="shared" si="75"/>
        <v>12357.964173973698</v>
      </c>
      <c r="AQ91" s="546">
        <f t="shared" si="76"/>
        <v>143</v>
      </c>
      <c r="AR91" s="551">
        <f t="shared" si="65"/>
        <v>77.518357821264431</v>
      </c>
      <c r="AS91" s="553">
        <f>$AR91/PI()*SQRT('Hilfstabellen_Mat&amp;Bem'!f.Rd.3/'Hilfstabellen_Mat&amp;Bem'!$BD$30)</f>
        <v>1.2337429827620521</v>
      </c>
      <c r="AT91" s="553">
        <f>0.5*(1+'Hilfstabellen_Mat&amp;Bem'!$BD$31*($AS91-0.3)+$AS91^2)</f>
        <v>1.3077480228954053</v>
      </c>
      <c r="AU91" s="550">
        <f t="shared" si="66"/>
        <v>0.57423953676915795</v>
      </c>
      <c r="AW91" s="551">
        <f t="shared" si="77"/>
        <v>11742.624287392511</v>
      </c>
      <c r="BA91" s="546">
        <f t="shared" si="78"/>
        <v>143</v>
      </c>
      <c r="BB91" s="551">
        <f t="shared" si="79"/>
        <v>79.940806503178948</v>
      </c>
      <c r="BC91" s="553">
        <f>$BB91/PI()*SQRT('Hilfstabellen_Mat&amp;Bem'!f.Rd.3/'Hilfstabellen_Mat&amp;Bem'!$BD$30)</f>
        <v>1.2722974509733662</v>
      </c>
      <c r="BD91" s="553">
        <f>0.5*(1+'Hilfstabellen_Mat&amp;Bem'!$BD$31*($BC91-0.3)+$BC91^2)</f>
        <v>1.3579852744253311</v>
      </c>
      <c r="BE91" s="550">
        <f t="shared" si="80"/>
        <v>0.54563390570277925</v>
      </c>
      <c r="BG91" s="551">
        <f t="shared" si="81"/>
        <v>11157.667737716132</v>
      </c>
      <c r="BK91" s="546">
        <f t="shared" si="82"/>
        <v>143</v>
      </c>
      <c r="BL91" s="551">
        <f t="shared" si="83"/>
        <v>82.363255185093465</v>
      </c>
      <c r="BM91" s="553">
        <f>$BL91/PI()*SQRT('Hilfstabellen_Mat&amp;Bem'!f.Rd.3/'Hilfstabellen_Mat&amp;Bem'!$BD$30)</f>
        <v>1.3108519191846806</v>
      </c>
      <c r="BN91" s="553">
        <f>0.5*(1+'Hilfstabellen_Mat&amp;Bem'!$BD$31*($BM91-0.3)+$BM91^2)</f>
        <v>1.4097089729743142</v>
      </c>
      <c r="BO91" s="550">
        <f t="shared" si="84"/>
        <v>0.51858891743780244</v>
      </c>
      <c r="BQ91" s="551">
        <f t="shared" si="85"/>
        <v>10604.624772685622</v>
      </c>
      <c r="BU91" s="546">
        <f t="shared" si="86"/>
        <v>143</v>
      </c>
      <c r="BV91" s="551">
        <f t="shared" si="87"/>
        <v>84.785703867007982</v>
      </c>
      <c r="BW91" s="553">
        <f>$BV91/PI()*SQRT('Hilfstabellen_Mat&amp;Bem'!f.Rd.3/'Hilfstabellen_Mat&amp;Bem'!$BD$30)</f>
        <v>1.3494063873959947</v>
      </c>
      <c r="BX91" s="553">
        <f>0.5*(1+'Hilfstabellen_Mat&amp;Bem'!$BD$31*($BW91-0.3)+$BW91^2)</f>
        <v>1.4629191185423545</v>
      </c>
      <c r="BY91" s="550">
        <f t="shared" si="88"/>
        <v>0.49311421572797681</v>
      </c>
      <c r="CA91" s="551">
        <f t="shared" si="89"/>
        <v>10083.692597421397</v>
      </c>
      <c r="CE91" s="546">
        <f t="shared" si="90"/>
        <v>143</v>
      </c>
      <c r="CF91" s="551">
        <f t="shared" si="91"/>
        <v>87.208152548922484</v>
      </c>
      <c r="CG91" s="553">
        <f>CF91/PI()*SQRT('Hilfstabellen_Mat&amp;Bem'!f.Rd.3/'Hilfstabellen_Mat&amp;Bem'!$BD$30)</f>
        <v>1.3879608556073086</v>
      </c>
      <c r="CH91" s="553">
        <f>0.5*(1+'Hilfstabellen_Mat&amp;Bem'!$BD$31*(CG91-0.3)+CG91^2)</f>
        <v>1.5176157111294515</v>
      </c>
      <c r="CI91" s="550">
        <f t="shared" si="92"/>
        <v>0.4691768116585559</v>
      </c>
      <c r="CK91" s="551">
        <f t="shared" si="93"/>
        <v>9594.1966216058099</v>
      </c>
      <c r="CO91" s="546">
        <f t="shared" si="94"/>
        <v>143</v>
      </c>
      <c r="CP91" s="551">
        <f t="shared" si="95"/>
        <v>89.630601230837001</v>
      </c>
      <c r="CQ91" s="553">
        <f>CP91/PI()*SQRT('Hilfstabellen_Mat&amp;Bem'!f.Rd.3/'Hilfstabellen_Mat&amp;Bem'!$BD$30)</f>
        <v>1.4265153238186228</v>
      </c>
      <c r="CR91" s="553">
        <f>0.5*(1+'Hilfstabellen_Mat&amp;Bem'!$BD$31*(CQ91-0.3)+CQ91^2)</f>
        <v>1.5737987507356062</v>
      </c>
      <c r="CS91" s="550">
        <f t="shared" si="96"/>
        <v>0.44671739386769682</v>
      </c>
      <c r="CU91" s="551">
        <f t="shared" si="97"/>
        <v>9134.9239872005328</v>
      </c>
      <c r="CY91" s="546">
        <f t="shared" si="98"/>
        <v>143</v>
      </c>
      <c r="CZ91" s="551">
        <f t="shared" si="99"/>
        <v>92.053049912751518</v>
      </c>
      <c r="DA91" s="553">
        <f>CZ91/PI()*SQRT('Hilfstabellen_Mat&amp;Bem'!f.Rd.3/'Hilfstabellen_Mat&amp;Bem'!$BD$30)</f>
        <v>1.4650697920299371</v>
      </c>
      <c r="DB91" s="553">
        <f>0.5*(1+'Hilfstabellen_Mat&amp;Bem'!$BD$31*(DA91-0.3)+DA91^2)</f>
        <v>1.6314682373608185</v>
      </c>
      <c r="DC91" s="550">
        <f t="shared" si="100"/>
        <v>0.42566165064965744</v>
      </c>
      <c r="DE91" s="551">
        <f t="shared" si="101"/>
        <v>8704.3550941348458</v>
      </c>
      <c r="DI91" s="546">
        <f t="shared" si="102"/>
        <v>143</v>
      </c>
      <c r="DJ91" s="551">
        <f t="shared" si="103"/>
        <v>94.475498594666036</v>
      </c>
      <c r="DK91" s="553">
        <f>DJ91/PI()*SQRT('Hilfstabellen_Mat&amp;Bem'!f.Rd.3/'Hilfstabellen_Mat&amp;Bem'!$BD$30)</f>
        <v>1.5036242602412511</v>
      </c>
      <c r="DL91" s="553">
        <f>0.5*(1+'Hilfstabellen_Mat&amp;Bem'!$BD$31*(DK91-0.3)+DK91^2)</f>
        <v>1.6906241710050876</v>
      </c>
      <c r="DM91" s="550">
        <f t="shared" si="104"/>
        <v>0.40592789982641769</v>
      </c>
      <c r="DO91" s="551">
        <f t="shared" si="105"/>
        <v>8300.8196235504147</v>
      </c>
      <c r="DS91" s="546">
        <f t="shared" si="106"/>
        <v>143</v>
      </c>
      <c r="DT91" s="551">
        <f t="shared" si="107"/>
        <v>96.897947276580553</v>
      </c>
      <c r="DU91" s="553">
        <f>DT91/PI()*SQRT('Hilfstabellen_Mat&amp;Bem'!f.Rd.3/'Hilfstabellen_Mat&amp;Bem'!$BD$30)</f>
        <v>1.5421787284525654</v>
      </c>
      <c r="DV91" s="553">
        <f>0.5*(1+'Hilfstabellen_Mat&amp;Bem'!$BD$31*(DU91-0.3)+DU91^2)</f>
        <v>1.7512665516684138</v>
      </c>
      <c r="DW91" s="550">
        <f t="shared" si="108"/>
        <v>0.38743209931009293</v>
      </c>
      <c r="DY91" s="551">
        <f t="shared" si="109"/>
        <v>7922.5989987920902</v>
      </c>
      <c r="EC91" s="546">
        <f t="shared" si="110"/>
        <v>143</v>
      </c>
      <c r="ED91" s="551">
        <f t="shared" si="111"/>
        <v>99.320395958495055</v>
      </c>
      <c r="EE91" s="553">
        <f>ED91/PI()*SQRT('Hilfstabellen_Mat&amp;Bem'!f.Rd.3/'Hilfstabellen_Mat&amp;Bem'!$BD$30)</f>
        <v>1.5807331966638793</v>
      </c>
      <c r="EF91" s="553">
        <f>0.5*(1+'Hilfstabellen_Mat&amp;Bem'!$BD$31*(EE91-0.3)+EE91^2)</f>
        <v>1.8133953793507973</v>
      </c>
      <c r="EG91" s="550">
        <f t="shared" si="112"/>
        <v>0.37009104672830356</v>
      </c>
      <c r="EI91" s="551">
        <f t="shared" si="113"/>
        <v>7567.9918145470792</v>
      </c>
      <c r="EM91" s="546">
        <f t="shared" si="114"/>
        <v>143</v>
      </c>
      <c r="EN91" s="551">
        <f t="shared" si="115"/>
        <v>101.74284464040957</v>
      </c>
      <c r="EO91" s="553">
        <f>EN91/PI()*SQRT('Hilfstabellen_Mat&amp;Bem'!f.Rd.3/'Hilfstabellen_Mat&amp;Bem'!$BD$30)</f>
        <v>1.6192876648751935</v>
      </c>
      <c r="EP91" s="553">
        <f>0.5*(1+'Hilfstabellen_Mat&amp;Bem'!$BD$31*(EO91-0.3)+EO91^2)</f>
        <v>1.877010654052238</v>
      </c>
      <c r="EQ91" s="550">
        <f t="shared" si="116"/>
        <v>0.3538243482435503</v>
      </c>
      <c r="ES91" s="551">
        <f t="shared" si="117"/>
        <v>7235.3540972323599</v>
      </c>
    </row>
    <row r="92" spans="3:149">
      <c r="C92" s="546">
        <v>144</v>
      </c>
      <c r="D92" s="551">
        <f t="shared" si="67"/>
        <v>67.357531405456328</v>
      </c>
      <c r="E92" s="553">
        <f>$D92/PI()*SQRT('Hilfstabellen_Mat&amp;Bem'!f.Rd.3/'Hilfstabellen_Mat&amp;Bem'!$BD$30)</f>
        <v>1.0720284077645956</v>
      </c>
      <c r="F92" s="553">
        <f>0.5*(1+'Hilfstabellen_Mat&amp;Bem'!$BD$31*($E92-0.3)+$E92^2)</f>
        <v>1.1132238739153768</v>
      </c>
      <c r="G92" s="550">
        <f t="shared" si="68"/>
        <v>0.70758320870488756</v>
      </c>
      <c r="I92" s="551">
        <f t="shared" si="69"/>
        <v>14672.445415704547</v>
      </c>
      <c r="M92" s="546">
        <f t="shared" si="70"/>
        <v>144</v>
      </c>
      <c r="N92" s="551">
        <f t="shared" si="59"/>
        <v>69.763157527079784</v>
      </c>
      <c r="O92" s="553">
        <f>$N92/PI()*SQRT('Hilfstabellen_Mat&amp;Bem'!f.Rd.3/'Hilfstabellen_Mat&amp;Bem'!$BD$30)</f>
        <v>1.1103151366133313</v>
      </c>
      <c r="P92" s="553">
        <f>0.5*(1+'Hilfstabellen_Mat&amp;Bem'!$BD$31*($O92-0.3)+$O92^2)</f>
        <v>1.1569156081270067</v>
      </c>
      <c r="Q92" s="550">
        <f t="shared" si="60"/>
        <v>0.6747819297982105</v>
      </c>
      <c r="S92" s="551">
        <f t="shared" si="71"/>
        <v>13992.278096295693</v>
      </c>
      <c r="W92" s="546">
        <f t="shared" si="72"/>
        <v>144</v>
      </c>
      <c r="X92" s="551">
        <f t="shared" si="61"/>
        <v>72.168783648703211</v>
      </c>
      <c r="Y92" s="553">
        <f>$X92/PI()*SQRT('Hilfstabellen_Mat&amp;Bem'!f.Rd.3/'Hilfstabellen_Mat&amp;Bem'!$BD$30)</f>
        <v>1.1486018654620667</v>
      </c>
      <c r="Z92" s="553">
        <f>0.5*(1+'Hilfstabellen_Mat&amp;Bem'!$BD$31*($Y92-0.3)+$Y92^2)</f>
        <v>1.2020732159445731</v>
      </c>
      <c r="AA92" s="550">
        <f t="shared" si="62"/>
        <v>0.64242316281628098</v>
      </c>
      <c r="AC92" s="551">
        <f t="shared" si="73"/>
        <v>13321.286704158403</v>
      </c>
      <c r="AG92" s="546">
        <f t="shared" si="74"/>
        <v>144</v>
      </c>
      <c r="AH92" s="551">
        <f t="shared" si="63"/>
        <v>74.574409770326653</v>
      </c>
      <c r="AI92" s="553">
        <f>$AH92/PI()*SQRT('Hilfstabellen_Mat&amp;Bem'!f.Rd.3/'Hilfstabellen_Mat&amp;Bem'!$BD$30)</f>
        <v>1.1868885943108023</v>
      </c>
      <c r="AJ92" s="553">
        <f>0.5*(1+'Hilfstabellen_Mat&amp;Bem'!$BD$31*($AI92-0.3)+$AI92^2)</f>
        <v>1.2486966973680762</v>
      </c>
      <c r="AK92" s="550">
        <f t="shared" si="64"/>
        <v>0.61098920275112267</v>
      </c>
      <c r="AM92" s="551">
        <f t="shared" si="75"/>
        <v>12669.472108247281</v>
      </c>
      <c r="AQ92" s="546">
        <f t="shared" si="76"/>
        <v>144</v>
      </c>
      <c r="AR92" s="551">
        <f t="shared" si="65"/>
        <v>76.980035891950095</v>
      </c>
      <c r="AS92" s="553">
        <f>$AR92/PI()*SQRT('Hilfstabellen_Mat&amp;Bem'!f.Rd.3/'Hilfstabellen_Mat&amp;Bem'!$BD$30)</f>
        <v>1.2251753231595379</v>
      </c>
      <c r="AT92" s="553">
        <f>0.5*(1+'Hilfstabellen_Mat&amp;Bem'!$BD$31*($AS92-0.3)+$AS92^2)</f>
        <v>1.2967860523975161</v>
      </c>
      <c r="AU92" s="550">
        <f t="shared" si="66"/>
        <v>0.58080237549328984</v>
      </c>
      <c r="AW92" s="551">
        <f t="shared" si="77"/>
        <v>12043.518058228858</v>
      </c>
      <c r="BA92" s="546">
        <f t="shared" si="78"/>
        <v>144</v>
      </c>
      <c r="BB92" s="551">
        <f t="shared" si="79"/>
        <v>79.385662013573537</v>
      </c>
      <c r="BC92" s="553">
        <f>$BB92/PI()*SQRT('Hilfstabellen_Mat&amp;Bem'!f.Rd.3/'Hilfstabellen_Mat&amp;Bem'!$BD$30)</f>
        <v>1.2634620520082736</v>
      </c>
      <c r="BD92" s="553">
        <f>0.5*(1+'Hilfstabellen_Mat&amp;Bem'!$BD$31*($BC92-0.3)+$BC92^2)</f>
        <v>1.3463412810328923</v>
      </c>
      <c r="BE92" s="550">
        <f t="shared" si="80"/>
        <v>0.55205299587500101</v>
      </c>
      <c r="BG92" s="551">
        <f t="shared" si="81"/>
        <v>11447.370922464021</v>
      </c>
      <c r="BK92" s="546">
        <f t="shared" si="82"/>
        <v>144</v>
      </c>
      <c r="BL92" s="551">
        <f t="shared" si="83"/>
        <v>81.791288135196979</v>
      </c>
      <c r="BM92" s="553">
        <f>$BL92/PI()*SQRT('Hilfstabellen_Mat&amp;Bem'!f.Rd.3/'Hilfstabellen_Mat&amp;Bem'!$BD$30)</f>
        <v>1.3017487808570092</v>
      </c>
      <c r="BN92" s="553">
        <f>0.5*(1+'Hilfstabellen_Mat&amp;Bem'!$BD$31*($BM92-0.3)+$BM92^2)</f>
        <v>1.3973623832742055</v>
      </c>
      <c r="BO92" s="550">
        <f t="shared" si="84"/>
        <v>0.52483244640739102</v>
      </c>
      <c r="BQ92" s="551">
        <f t="shared" si="85"/>
        <v>10882.925608703659</v>
      </c>
      <c r="BU92" s="546">
        <f t="shared" si="86"/>
        <v>144</v>
      </c>
      <c r="BV92" s="551">
        <f t="shared" si="87"/>
        <v>84.196914256820421</v>
      </c>
      <c r="BW92" s="553">
        <f>$BV92/PI()*SQRT('Hilfstabellen_Mat&amp;Bem'!f.Rd.3/'Hilfstabellen_Mat&amp;Bem'!$BD$30)</f>
        <v>1.3400355097057446</v>
      </c>
      <c r="BX92" s="553">
        <f>0.5*(1+'Hilfstabellen_Mat&amp;Bem'!$BD$31*($BW92-0.3)+$BW92^2)</f>
        <v>1.4498493591214547</v>
      </c>
      <c r="BY92" s="550">
        <f t="shared" si="88"/>
        <v>0.49916276664813369</v>
      </c>
      <c r="CA92" s="551">
        <f t="shared" si="89"/>
        <v>10350.6391292157</v>
      </c>
      <c r="CE92" s="546">
        <f t="shared" si="90"/>
        <v>144</v>
      </c>
      <c r="CF92" s="551">
        <f t="shared" si="91"/>
        <v>86.602540378443862</v>
      </c>
      <c r="CG92" s="553">
        <f>CF92/PI()*SQRT('Hilfstabellen_Mat&amp;Bem'!f.Rd.3/'Hilfstabellen_Mat&amp;Bem'!$BD$30)</f>
        <v>1.3783222385544802</v>
      </c>
      <c r="CH92" s="553">
        <f>0.5*(1+'Hilfstabellen_Mat&amp;Bem'!$BD$31*(CG92-0.3)+CG92^2)</f>
        <v>1.5038022085746408</v>
      </c>
      <c r="CI92" s="550">
        <f t="shared" si="92"/>
        <v>0.47501995619125226</v>
      </c>
      <c r="CK92" s="551">
        <f t="shared" si="93"/>
        <v>9850.0138115818063</v>
      </c>
      <c r="CO92" s="546">
        <f t="shared" si="94"/>
        <v>144</v>
      </c>
      <c r="CP92" s="551">
        <f t="shared" si="95"/>
        <v>89.00816650006729</v>
      </c>
      <c r="CQ92" s="553">
        <f>CP92/PI()*SQRT('Hilfstabellen_Mat&amp;Bem'!f.Rd.3/'Hilfstabellen_Mat&amp;Bem'!$BD$30)</f>
        <v>1.4166089674032156</v>
      </c>
      <c r="CR92" s="553">
        <f>0.5*(1+'Hilfstabellen_Mat&amp;Bem'!$BD$31*(CQ92-0.3)+CQ92^2)</f>
        <v>1.5592209316337633</v>
      </c>
      <c r="CS92" s="550">
        <f t="shared" si="96"/>
        <v>0.45235106919906698</v>
      </c>
      <c r="CU92" s="551">
        <f t="shared" si="97"/>
        <v>9379.9517709118536</v>
      </c>
      <c r="CY92" s="546">
        <f t="shared" si="98"/>
        <v>144</v>
      </c>
      <c r="CZ92" s="551">
        <f t="shared" si="99"/>
        <v>91.413792621690746</v>
      </c>
      <c r="DA92" s="553">
        <f>CZ92/PI()*SQRT('Hilfstabellen_Mat&amp;Bem'!f.Rd.3/'Hilfstabellen_Mat&amp;Bem'!$BD$30)</f>
        <v>1.4548956962519515</v>
      </c>
      <c r="DB92" s="553">
        <f>0.5*(1+'Hilfstabellen_Mat&amp;Bem'!$BD$31*(DA92-0.3)+DA92^2)</f>
        <v>1.6161055282988228</v>
      </c>
      <c r="DC92" s="550">
        <f t="shared" si="100"/>
        <v>0.43108621108776091</v>
      </c>
      <c r="DE92" s="551">
        <f t="shared" si="101"/>
        <v>8939.0036731158107</v>
      </c>
      <c r="DI92" s="546">
        <f t="shared" si="102"/>
        <v>144</v>
      </c>
      <c r="DJ92" s="551">
        <f t="shared" si="103"/>
        <v>93.819418743314174</v>
      </c>
      <c r="DK92" s="553">
        <f>DJ92/PI()*SQRT('Hilfstabellen_Mat&amp;Bem'!f.Rd.3/'Hilfstabellen_Mat&amp;Bem'!$BD$30)</f>
        <v>1.4931824251006867</v>
      </c>
      <c r="DL92" s="553">
        <f>0.5*(1+'Hilfstabellen_Mat&amp;Bem'!$BD$31*(DK92-0.3)+DK92^2)</f>
        <v>1.6744559985698182</v>
      </c>
      <c r="DM92" s="550">
        <f t="shared" si="104"/>
        <v>0.41114669954351285</v>
      </c>
      <c r="DO92" s="551">
        <f t="shared" si="105"/>
        <v>8525.5379617342824</v>
      </c>
      <c r="DS92" s="546">
        <f t="shared" si="106"/>
        <v>144</v>
      </c>
      <c r="DT92" s="551">
        <f t="shared" si="107"/>
        <v>96.22504486493763</v>
      </c>
      <c r="DU92" s="553">
        <f>DT92/PI()*SQRT('Hilfstabellen_Mat&amp;Bem'!f.Rd.3/'Hilfstabellen_Mat&amp;Bem'!$BD$30)</f>
        <v>1.5314691539494225</v>
      </c>
      <c r="DV92" s="553">
        <f>0.5*(1+'Hilfstabellen_Mat&amp;Bem'!$BD$31*(DU92-0.3)+DU92^2)</f>
        <v>1.7342723424467512</v>
      </c>
      <c r="DW92" s="550">
        <f t="shared" si="108"/>
        <v>0.3924504746390417</v>
      </c>
      <c r="DY92" s="551">
        <f t="shared" si="109"/>
        <v>8137.853042115169</v>
      </c>
      <c r="EC92" s="546">
        <f t="shared" si="110"/>
        <v>144</v>
      </c>
      <c r="ED92" s="551">
        <f t="shared" si="111"/>
        <v>98.630670986561057</v>
      </c>
      <c r="EE92" s="553">
        <f>ED92/PI()*SQRT('Hilfstabellen_Mat&amp;Bem'!f.Rd.3/'Hilfstabellen_Mat&amp;Bem'!$BD$30)</f>
        <v>1.5697558827981579</v>
      </c>
      <c r="EF92" s="553">
        <f>0.5*(1+'Hilfstabellen_Mat&amp;Bem'!$BD$31*(EE92-0.3)+EE92^2)</f>
        <v>1.7955545599296199</v>
      </c>
      <c r="EG92" s="550">
        <f t="shared" si="112"/>
        <v>0.37491559164932159</v>
      </c>
      <c r="EI92" s="551">
        <f t="shared" si="113"/>
        <v>7774.2497084403321</v>
      </c>
      <c r="EM92" s="546">
        <f t="shared" si="114"/>
        <v>144</v>
      </c>
      <c r="EN92" s="551">
        <f t="shared" si="115"/>
        <v>101.03629710818451</v>
      </c>
      <c r="EO92" s="553">
        <f>EN92/PI()*SQRT('Hilfstabellen_Mat&amp;Bem'!f.Rd.3/'Hilfstabellen_Mat&amp;Bem'!$BD$30)</f>
        <v>1.6080426116468935</v>
      </c>
      <c r="EP92" s="553">
        <f>0.5*(1+'Hilfstabellen_Mat&amp;Bem'!$BD$31*(EO92-0.3)+EO92^2)</f>
        <v>1.8583026510184257</v>
      </c>
      <c r="EQ92" s="550">
        <f t="shared" si="116"/>
        <v>0.35846240211117675</v>
      </c>
      <c r="ES92" s="551">
        <f t="shared" si="117"/>
        <v>7433.0763701773612</v>
      </c>
    </row>
    <row r="93" spans="3:149">
      <c r="C93" s="546">
        <v>145</v>
      </c>
      <c r="D93" s="551">
        <f t="shared" si="67"/>
        <v>66.892996706108363</v>
      </c>
      <c r="E93" s="553">
        <f>$D93/PI()*SQRT('Hilfstabellen_Mat&amp;Bem'!f.Rd.3/'Hilfstabellen_Mat&amp;Bem'!$BD$30)</f>
        <v>1.064635108400702</v>
      </c>
      <c r="F93" s="553">
        <f>0.5*(1+'Hilfstabellen_Mat&amp;Bem'!$BD$31*($E93-0.3)+$E93^2)</f>
        <v>1.1049557124397222</v>
      </c>
      <c r="G93" s="550">
        <f t="shared" si="68"/>
        <v>0.71391623098231394</v>
      </c>
      <c r="I93" s="551">
        <f t="shared" si="69"/>
        <v>15010.088756403151</v>
      </c>
      <c r="M93" s="546">
        <f t="shared" si="70"/>
        <v>145</v>
      </c>
      <c r="N93" s="551">
        <f t="shared" si="59"/>
        <v>69.282032302755084</v>
      </c>
      <c r="O93" s="553">
        <f>$N93/PI()*SQRT('Hilfstabellen_Mat&amp;Bem'!f.Rd.3/'Hilfstabellen_Mat&amp;Bem'!$BD$30)</f>
        <v>1.102657790843584</v>
      </c>
      <c r="P93" s="553">
        <f>0.5*(1+'Hilfstabellen_Mat&amp;Bem'!$BD$31*($O93-0.3)+$O93^2)</f>
        <v>1.1480599913962055</v>
      </c>
      <c r="Q93" s="550">
        <f t="shared" si="60"/>
        <v>0.68132521956793579</v>
      </c>
      <c r="S93" s="551">
        <f t="shared" si="71"/>
        <v>14324.862741415851</v>
      </c>
      <c r="W93" s="546">
        <f t="shared" si="72"/>
        <v>145</v>
      </c>
      <c r="X93" s="551">
        <f t="shared" si="61"/>
        <v>71.67106789940182</v>
      </c>
      <c r="Y93" s="553">
        <f>$X93/PI()*SQRT('Hilfstabellen_Mat&amp;Bem'!f.Rd.3/'Hilfstabellen_Mat&amp;Bem'!$BD$30)</f>
        <v>1.1406804732864664</v>
      </c>
      <c r="Z93" s="553">
        <f>0.5*(1+'Hilfstabellen_Mat&amp;Bem'!$BD$31*($Y93-0.3)+$Y93^2)</f>
        <v>1.1926099947328419</v>
      </c>
      <c r="AA93" s="550">
        <f t="shared" si="62"/>
        <v>0.64905562065849165</v>
      </c>
      <c r="AC93" s="551">
        <f t="shared" si="73"/>
        <v>13646.394424344788</v>
      </c>
      <c r="AG93" s="546">
        <f t="shared" si="74"/>
        <v>145</v>
      </c>
      <c r="AH93" s="551">
        <f t="shared" si="63"/>
        <v>74.060103496048541</v>
      </c>
      <c r="AI93" s="553">
        <f>$AH93/PI()*SQRT('Hilfstabellen_Mat&amp;Bem'!f.Rd.3/'Hilfstabellen_Mat&amp;Bem'!$BD$30)</f>
        <v>1.1787031557293486</v>
      </c>
      <c r="AJ93" s="553">
        <f>0.5*(1+'Hilfstabellen_Mat&amp;Bem'!$BD$31*($AI93-0.3)+$AI93^2)</f>
        <v>1.2386057224496299</v>
      </c>
      <c r="AK93" s="550">
        <f t="shared" si="64"/>
        <v>0.61761348763196688</v>
      </c>
      <c r="AM93" s="551">
        <f t="shared" si="75"/>
        <v>12985.323577462104</v>
      </c>
      <c r="AQ93" s="546">
        <f t="shared" si="76"/>
        <v>145</v>
      </c>
      <c r="AR93" s="551">
        <f t="shared" si="65"/>
        <v>76.449139092695276</v>
      </c>
      <c r="AS93" s="553">
        <f>$AR93/PI()*SQRT('Hilfstabellen_Mat&amp;Bem'!f.Rd.3/'Hilfstabellen_Mat&amp;Bem'!$BD$30)</f>
        <v>1.2167258381722308</v>
      </c>
      <c r="AT93" s="553">
        <f>0.5*(1+'Hilfstabellen_Mat&amp;Bem'!$BD$31*($AS93-0.3)+$AS93^2)</f>
        <v>1.2860471745465702</v>
      </c>
      <c r="AU93" s="550">
        <f t="shared" si="66"/>
        <v>0.58734558003969251</v>
      </c>
      <c r="AW93" s="551">
        <f t="shared" si="77"/>
        <v>12348.940820334536</v>
      </c>
      <c r="BA93" s="546">
        <f t="shared" si="78"/>
        <v>145</v>
      </c>
      <c r="BB93" s="551">
        <f t="shared" si="79"/>
        <v>78.838174689341997</v>
      </c>
      <c r="BC93" s="553">
        <f>$BB93/PI()*SQRT('Hilfstabellen_Mat&amp;Bem'!f.Rd.3/'Hilfstabellen_Mat&amp;Bem'!$BD$30)</f>
        <v>1.254748520615113</v>
      </c>
      <c r="BD93" s="553">
        <f>0.5*(1+'Hilfstabellen_Mat&amp;Bem'!$BD$31*($BC93-0.3)+$BC93^2)</f>
        <v>1.3349343510236631</v>
      </c>
      <c r="BE93" s="550">
        <f t="shared" si="80"/>
        <v>0.55846357182575301</v>
      </c>
      <c r="BG93" s="551">
        <f t="shared" si="81"/>
        <v>11741.696597636457</v>
      </c>
      <c r="BK93" s="546">
        <f t="shared" si="82"/>
        <v>145</v>
      </c>
      <c r="BL93" s="551">
        <f t="shared" si="83"/>
        <v>81.227210285988718</v>
      </c>
      <c r="BM93" s="553">
        <f>$BL93/PI()*SQRT('Hilfstabellen_Mat&amp;Bem'!f.Rd.3/'Hilfstabellen_Mat&amp;Bem'!$BD$30)</f>
        <v>1.2927712030579952</v>
      </c>
      <c r="BN93" s="553">
        <f>0.5*(1+'Hilfstabellen_Mat&amp;Bem'!$BD$31*($BM93-0.3)+$BM93^2)</f>
        <v>1.3852672518809079</v>
      </c>
      <c r="BO93" s="550">
        <f t="shared" si="84"/>
        <v>0.53107592079200794</v>
      </c>
      <c r="BQ93" s="551">
        <f t="shared" si="85"/>
        <v>11165.871234651966</v>
      </c>
      <c r="BU93" s="546">
        <f t="shared" si="86"/>
        <v>145</v>
      </c>
      <c r="BV93" s="551">
        <f t="shared" si="87"/>
        <v>83.616245882635454</v>
      </c>
      <c r="BW93" s="553">
        <f>$BV93/PI()*SQRT('Hilfstabellen_Mat&amp;Bem'!f.Rd.3/'Hilfstabellen_Mat&amp;Bem'!$BD$30)</f>
        <v>1.3307938855008774</v>
      </c>
      <c r="BX93" s="553">
        <f>0.5*(1+'Hilfstabellen_Mat&amp;Bem'!$BD$31*($BW93-0.3)+$BW93^2)</f>
        <v>1.437045877118305</v>
      </c>
      <c r="BY93" s="550">
        <f t="shared" si="88"/>
        <v>0.50521760016106154</v>
      </c>
      <c r="CA93" s="551">
        <f t="shared" si="89"/>
        <v>10622.20004338632</v>
      </c>
      <c r="CE93" s="546">
        <f t="shared" si="90"/>
        <v>145</v>
      </c>
      <c r="CF93" s="551">
        <f t="shared" si="91"/>
        <v>86.005281479282175</v>
      </c>
      <c r="CG93" s="553">
        <f>CF93/PI()*SQRT('Hilfstabellen_Mat&amp;Bem'!f.Rd.3/'Hilfstabellen_Mat&amp;Bem'!$BD$30)</f>
        <v>1.3688165679437596</v>
      </c>
      <c r="CH93" s="553">
        <f>0.5*(1+'Hilfstabellen_Mat&amp;Bem'!$BD$31*(CG93-0.3)+CG93^2)</f>
        <v>1.4902702267358545</v>
      </c>
      <c r="CI93" s="550">
        <f t="shared" si="92"/>
        <v>0.48087407012961958</v>
      </c>
      <c r="CK93" s="551">
        <f t="shared" si="93"/>
        <v>10110.377324475252</v>
      </c>
      <c r="CO93" s="546">
        <f t="shared" si="94"/>
        <v>145</v>
      </c>
      <c r="CP93" s="551">
        <f t="shared" si="95"/>
        <v>88.39431707592891</v>
      </c>
      <c r="CQ93" s="553">
        <f>CP93/PI()*SQRT('Hilfstabellen_Mat&amp;Bem'!f.Rd.3/'Hilfstabellen_Mat&amp;Bem'!$BD$30)</f>
        <v>1.4068392503866418</v>
      </c>
      <c r="CR93" s="553">
        <f>0.5*(1+'Hilfstabellen_Mat&amp;Bem'!$BD$31*(CQ93-0.3)+CQ93^2)</f>
        <v>1.5449403007335563</v>
      </c>
      <c r="CS93" s="550">
        <f t="shared" si="96"/>
        <v>0.45799913555907562</v>
      </c>
      <c r="CU93" s="551">
        <f t="shared" si="97"/>
        <v>9629.4318251295645</v>
      </c>
      <c r="CY93" s="546">
        <f t="shared" si="98"/>
        <v>145</v>
      </c>
      <c r="CZ93" s="551">
        <f t="shared" si="99"/>
        <v>90.783352672575631</v>
      </c>
      <c r="DA93" s="553">
        <f>CZ93/PI()*SQRT('Hilfstabellen_Mat&amp;Bem'!f.Rd.3/'Hilfstabellen_Mat&amp;Bem'!$BD$30)</f>
        <v>1.444861932829524</v>
      </c>
      <c r="DB93" s="553">
        <f>0.5*(1+'Hilfstabellen_Mat&amp;Bem'!$BD$31*(DA93-0.3)+DA93^2)</f>
        <v>1.60105609911141</v>
      </c>
      <c r="DC93" s="550">
        <f t="shared" si="100"/>
        <v>0.43652762144263757</v>
      </c>
      <c r="DE93" s="551">
        <f t="shared" si="101"/>
        <v>9177.9932408314544</v>
      </c>
      <c r="DI93" s="546">
        <f t="shared" si="102"/>
        <v>145</v>
      </c>
      <c r="DJ93" s="551">
        <f t="shared" si="103"/>
        <v>93.172388269222367</v>
      </c>
      <c r="DK93" s="553">
        <f>DJ93/PI()*SQRT('Hilfstabellen_Mat&amp;Bem'!f.Rd.3/'Hilfstabellen_Mat&amp;Bem'!$BD$30)</f>
        <v>1.4828846152724064</v>
      </c>
      <c r="DL93" s="553">
        <f>0.5*(1+'Hilfstabellen_Mat&amp;Bem'!$BD$31*(DK93-0.3)+DK93^2)</f>
        <v>1.6586176218694166</v>
      </c>
      <c r="DM93" s="550">
        <f t="shared" si="104"/>
        <v>0.41638407804115113</v>
      </c>
      <c r="DO93" s="551">
        <f t="shared" si="105"/>
        <v>8754.4752408152017</v>
      </c>
      <c r="DS93" s="546">
        <f t="shared" si="106"/>
        <v>145</v>
      </c>
      <c r="DT93" s="551">
        <f t="shared" si="107"/>
        <v>95.561423865869074</v>
      </c>
      <c r="DU93" s="553">
        <f>DT93/PI()*SQRT('Hilfstabellen_Mat&amp;Bem'!f.Rd.3/'Hilfstabellen_Mat&amp;Bem'!$BD$30)</f>
        <v>1.5209072977152882</v>
      </c>
      <c r="DV93" s="553">
        <f>0.5*(1+'Hilfstabellen_Mat&amp;Bem'!$BD$31*(DU93-0.3)+DU93^2)</f>
        <v>1.7176248690075746</v>
      </c>
      <c r="DW93" s="550">
        <f t="shared" si="108"/>
        <v>0.39748860480649884</v>
      </c>
      <c r="DY93" s="551">
        <f t="shared" si="109"/>
        <v>8357.1979160566389</v>
      </c>
      <c r="EC93" s="546">
        <f t="shared" si="110"/>
        <v>145</v>
      </c>
      <c r="ED93" s="551">
        <f t="shared" si="111"/>
        <v>97.950459462515809</v>
      </c>
      <c r="EE93" s="553">
        <f>ED93/PI()*SQRT('Hilfstabellen_Mat&amp;Bem'!f.Rd.3/'Hilfstabellen_Mat&amp;Bem'!$BD$30)</f>
        <v>1.5589299801581706</v>
      </c>
      <c r="EF93" s="553">
        <f>0.5*(1+'Hilfstabellen_Mat&amp;Bem'!$BD$31*(EE93-0.3)+EE93^2)</f>
        <v>1.7780778405258857</v>
      </c>
      <c r="EG93" s="550">
        <f t="shared" si="112"/>
        <v>0.37976064903835122</v>
      </c>
      <c r="EI93" s="551">
        <f t="shared" si="113"/>
        <v>7984.467646031334</v>
      </c>
      <c r="EM93" s="546">
        <f t="shared" si="114"/>
        <v>145</v>
      </c>
      <c r="EN93" s="551">
        <f t="shared" si="115"/>
        <v>100.33949505916254</v>
      </c>
      <c r="EO93" s="553">
        <f>EN93/PI()*SQRT('Hilfstabellen_Mat&amp;Bem'!f.Rd.3/'Hilfstabellen_Mat&amp;Bem'!$BD$30)</f>
        <v>1.5969526626010531</v>
      </c>
      <c r="EP93" s="553">
        <f>0.5*(1+'Hilfstabellen_Mat&amp;Bem'!$BD$31*(EO93-0.3)+EO93^2)</f>
        <v>1.8399765364243492</v>
      </c>
      <c r="EQ93" s="550">
        <f t="shared" si="116"/>
        <v>0.36312140946304378</v>
      </c>
      <c r="ES93" s="551">
        <f t="shared" si="117"/>
        <v>7634.6276339604956</v>
      </c>
    </row>
    <row r="94" spans="3:149">
      <c r="C94" s="546">
        <v>146</v>
      </c>
      <c r="D94" s="551">
        <f t="shared" si="67"/>
        <v>66.434825495792538</v>
      </c>
      <c r="E94" s="553">
        <f>$D94/PI()*SQRT('Hilfstabellen_Mat&amp;Bem'!f.Rd.3/'Hilfstabellen_Mat&amp;Bem'!$BD$30)</f>
        <v>1.057343087110286</v>
      </c>
      <c r="F94" s="553">
        <f>0.5*(1+'Hilfstabellen_Mat&amp;Bem'!$BD$31*($E94-0.3)+$E94^2)</f>
        <v>1.0968543562854691</v>
      </c>
      <c r="G94" s="550">
        <f t="shared" si="68"/>
        <v>0.72015018719888879</v>
      </c>
      <c r="I94" s="551">
        <f t="shared" si="69"/>
        <v>15350.721390331513</v>
      </c>
      <c r="M94" s="546">
        <f t="shared" si="70"/>
        <v>146</v>
      </c>
      <c r="N94" s="551">
        <f t="shared" si="59"/>
        <v>68.807497834928</v>
      </c>
      <c r="O94" s="553">
        <f>$N94/PI()*SQRT('Hilfstabellen_Mat&amp;Bem'!f.Rd.3/'Hilfstabellen_Mat&amp;Bem'!$BD$30)</f>
        <v>1.0951053402213677</v>
      </c>
      <c r="P94" s="553">
        <f>0.5*(1+'Hilfstabellen_Mat&amp;Bem'!$BD$31*($O94-0.3)+$O94^2)</f>
        <v>1.1393831201017472</v>
      </c>
      <c r="Q94" s="550">
        <f t="shared" si="60"/>
        <v>0.687792188227899</v>
      </c>
      <c r="S94" s="551">
        <f t="shared" si="71"/>
        <v>14660.978284265895</v>
      </c>
      <c r="W94" s="546">
        <f t="shared" si="72"/>
        <v>146</v>
      </c>
      <c r="X94" s="551">
        <f t="shared" si="61"/>
        <v>71.180170174063448</v>
      </c>
      <c r="Y94" s="553">
        <f>$X94/PI()*SQRT('Hilfstabellen_Mat&amp;Bem'!f.Rd.3/'Hilfstabellen_Mat&amp;Bem'!$BD$30)</f>
        <v>1.1328675933324495</v>
      </c>
      <c r="Z94" s="553">
        <f>0.5*(1+'Hilfstabellen_Mat&amp;Bem'!$BD$31*($Y94-0.3)+$Y94^2)</f>
        <v>1.1833378716780505</v>
      </c>
      <c r="AA94" s="550">
        <f t="shared" si="62"/>
        <v>0.65563297091842343</v>
      </c>
      <c r="AC94" s="551">
        <f t="shared" si="73"/>
        <v>13975.472408097114</v>
      </c>
      <c r="AG94" s="546">
        <f t="shared" si="74"/>
        <v>146</v>
      </c>
      <c r="AH94" s="551">
        <f t="shared" si="63"/>
        <v>73.552842513198897</v>
      </c>
      <c r="AI94" s="553">
        <f>$AH94/PI()*SQRT('Hilfstabellen_Mat&amp;Bem'!f.Rd.3/'Hilfstabellen_Mat&amp;Bem'!$BD$30)</f>
        <v>1.170629846443531</v>
      </c>
      <c r="AJ94" s="553">
        <f>0.5*(1+'Hilfstabellen_Mat&amp;Bem'!$BD$31*($AI94-0.3)+$AI94^2)</f>
        <v>1.2287186110143788</v>
      </c>
      <c r="AK94" s="550">
        <f t="shared" si="64"/>
        <v>0.62420083744853894</v>
      </c>
      <c r="AM94" s="551">
        <f t="shared" si="75"/>
        <v>13305.465051053056</v>
      </c>
      <c r="AQ94" s="546">
        <f t="shared" si="76"/>
        <v>146</v>
      </c>
      <c r="AR94" s="551">
        <f t="shared" si="65"/>
        <v>75.925514852334345</v>
      </c>
      <c r="AS94" s="553">
        <f>$AR94/PI()*SQRT('Hilfstabellen_Mat&amp;Bem'!f.Rd.3/'Hilfstabellen_Mat&amp;Bem'!$BD$30)</f>
        <v>1.2083920995546127</v>
      </c>
      <c r="AT94" s="553">
        <f>0.5*(1+'Hilfstabellen_Mat&amp;Bem'!$BD$31*($AS94-0.3)+$AS94^2)</f>
        <v>1.2755253381107332</v>
      </c>
      <c r="AU94" s="550">
        <f t="shared" si="66"/>
        <v>0.59386659294285415</v>
      </c>
      <c r="AW94" s="551">
        <f t="shared" si="77"/>
        <v>12658.860295169879</v>
      </c>
      <c r="BA94" s="546">
        <f t="shared" si="78"/>
        <v>146</v>
      </c>
      <c r="BB94" s="551">
        <f t="shared" si="79"/>
        <v>78.298187191469793</v>
      </c>
      <c r="BC94" s="553">
        <f>$BB94/PI()*SQRT('Hilfstabellen_Mat&amp;Bem'!f.Rd.3/'Hilfstabellen_Mat&amp;Bem'!$BD$30)</f>
        <v>1.2461543526656946</v>
      </c>
      <c r="BD94" s="553">
        <f>0.5*(1+'Hilfstabellen_Mat&amp;Bem'!$BD$31*($BC94-0.3)+$BC94^2)</f>
        <v>1.3237580529671131</v>
      </c>
      <c r="BE94" s="550">
        <f t="shared" si="80"/>
        <v>0.56486350499303573</v>
      </c>
      <c r="BG94" s="551">
        <f t="shared" si="81"/>
        <v>12040.630472431549</v>
      </c>
      <c r="BK94" s="546">
        <f t="shared" si="82"/>
        <v>146</v>
      </c>
      <c r="BL94" s="551">
        <f t="shared" si="83"/>
        <v>80.670859530605242</v>
      </c>
      <c r="BM94" s="553">
        <f>$BL94/PI()*SQRT('Hilfstabellen_Mat&amp;Bem'!f.Rd.3/'Hilfstabellen_Mat&amp;Bem'!$BD$30)</f>
        <v>1.2839166057767761</v>
      </c>
      <c r="BN94" s="553">
        <f>0.5*(1+'Hilfstabellen_Mat&amp;Bem'!$BD$31*($BM94-0.3)+$BM94^2)</f>
        <v>1.3734167555835177</v>
      </c>
      <c r="BO94" s="550">
        <f t="shared" si="84"/>
        <v>0.53731759173862703</v>
      </c>
      <c r="BQ94" s="551">
        <f t="shared" si="85"/>
        <v>11453.461785500574</v>
      </c>
      <c r="BU94" s="546">
        <f t="shared" si="86"/>
        <v>146</v>
      </c>
      <c r="BV94" s="551">
        <f t="shared" si="87"/>
        <v>83.04353186974069</v>
      </c>
      <c r="BW94" s="553">
        <f>$BV94/PI()*SQRT('Hilfstabellen_Mat&amp;Bem'!f.Rd.3/'Hilfstabellen_Mat&amp;Bem'!$BD$30)</f>
        <v>1.3216788588878579</v>
      </c>
      <c r="BX94" s="553">
        <f>0.5*(1+'Hilfstabellen_Mat&amp;Bem'!$BD$31*($BW94-0.3)+$BW94^2)</f>
        <v>1.4245014459599479</v>
      </c>
      <c r="BY94" s="550">
        <f t="shared" si="88"/>
        <v>0.51127728659073091</v>
      </c>
      <c r="CA94" s="551">
        <f t="shared" si="89"/>
        <v>10898.386640968019</v>
      </c>
      <c r="CE94" s="546">
        <f t="shared" si="90"/>
        <v>146</v>
      </c>
      <c r="CF94" s="551">
        <f t="shared" si="91"/>
        <v>85.416204208876138</v>
      </c>
      <c r="CG94" s="553">
        <f>CF94/PI()*SQRT('Hilfstabellen_Mat&amp;Bem'!f.Rd.3/'Hilfstabellen_Mat&amp;Bem'!$BD$30)</f>
        <v>1.3594411119989394</v>
      </c>
      <c r="CH94" s="553">
        <f>0.5*(1+'Hilfstabellen_Mat&amp;Bem'!$BD$31*(CG94-0.3)+CG94^2)</f>
        <v>1.4770121240964034</v>
      </c>
      <c r="CI94" s="550">
        <f t="shared" si="92"/>
        <v>0.48673798482999892</v>
      </c>
      <c r="CK94" s="551">
        <f t="shared" si="93"/>
        <v>10375.306884636257</v>
      </c>
      <c r="CO94" s="546">
        <f t="shared" si="94"/>
        <v>146</v>
      </c>
      <c r="CP94" s="551">
        <f t="shared" si="95"/>
        <v>87.788876548011586</v>
      </c>
      <c r="CQ94" s="553">
        <f>CP94/PI()*SQRT('Hilfstabellen_Mat&amp;Bem'!f.Rd.3/'Hilfstabellen_Mat&amp;Bem'!$BD$30)</f>
        <v>1.3972033651100211</v>
      </c>
      <c r="CR94" s="553">
        <f>0.5*(1+'Hilfstabellen_Mat&amp;Bem'!$BD$31*(CQ94-0.3)+CQ94^2)</f>
        <v>1.5309487899928844</v>
      </c>
      <c r="CS94" s="550">
        <f t="shared" si="96"/>
        <v>0.46366063485190967</v>
      </c>
      <c r="CU94" s="551">
        <f t="shared" si="97"/>
        <v>9883.3900925033067</v>
      </c>
      <c r="CY94" s="546">
        <f t="shared" si="98"/>
        <v>146</v>
      </c>
      <c r="CZ94" s="551">
        <f t="shared" si="99"/>
        <v>90.161548887147035</v>
      </c>
      <c r="DA94" s="553">
        <f>CZ94/PI()*SQRT('Hilfstabellen_Mat&amp;Bem'!f.Rd.3/'Hilfstabellen_Mat&amp;Bem'!$BD$30)</f>
        <v>1.4349656182211028</v>
      </c>
      <c r="DB94" s="553">
        <f>0.5*(1+'Hilfstabellen_Mat&amp;Bem'!$BD$31*(DA94-0.3)+DA94^2)</f>
        <v>1.586311443649391</v>
      </c>
      <c r="DC94" s="550">
        <f t="shared" si="100"/>
        <v>0.44198509246846096</v>
      </c>
      <c r="DE94" s="551">
        <f t="shared" si="101"/>
        <v>9421.3542310577141</v>
      </c>
      <c r="DI94" s="546">
        <f t="shared" si="102"/>
        <v>146</v>
      </c>
      <c r="DJ94" s="551">
        <f t="shared" si="103"/>
        <v>92.534221226282483</v>
      </c>
      <c r="DK94" s="553">
        <f>DJ94/PI()*SQRT('Hilfstabellen_Mat&amp;Bem'!f.Rd.3/'Hilfstabellen_Mat&amp;Bem'!$BD$30)</f>
        <v>1.4727278713321843</v>
      </c>
      <c r="DL94" s="553">
        <f>0.5*(1+'Hilfstabellen_Mat&amp;Bem'!$BD$31*(DK94-0.3)+DK94^2)</f>
        <v>1.6431000850659225</v>
      </c>
      <c r="DM94" s="550">
        <f t="shared" si="104"/>
        <v>0.42163938136790846</v>
      </c>
      <c r="DO94" s="551">
        <f t="shared" si="105"/>
        <v>8987.6650532383374</v>
      </c>
      <c r="DS94" s="546">
        <f t="shared" si="106"/>
        <v>146</v>
      </c>
      <c r="DT94" s="551">
        <f t="shared" si="107"/>
        <v>94.906893565417931</v>
      </c>
      <c r="DU94" s="553">
        <f>DT94/PI()*SQRT('Hilfstabellen_Mat&amp;Bem'!f.Rd.3/'Hilfstabellen_Mat&amp;Bem'!$BD$30)</f>
        <v>1.510490124443266</v>
      </c>
      <c r="DV94" s="553">
        <f>0.5*(1+'Hilfstabellen_Mat&amp;Bem'!$BD$31*(DU94-0.3)+DU94^2)</f>
        <v>1.70131471424248</v>
      </c>
      <c r="DW94" s="550">
        <f t="shared" si="108"/>
        <v>0.40254594450439907</v>
      </c>
      <c r="DY94" s="551">
        <f t="shared" si="109"/>
        <v>8580.6693530557714</v>
      </c>
      <c r="EC94" s="546">
        <f t="shared" si="110"/>
        <v>146</v>
      </c>
      <c r="ED94" s="551">
        <f t="shared" si="111"/>
        <v>97.27956590455338</v>
      </c>
      <c r="EE94" s="553">
        <f>ED94/PI()*SQRT('Hilfstabellen_Mat&amp;Bem'!f.Rd.3/'Hilfstabellen_Mat&amp;Bem'!$BD$30)</f>
        <v>1.5482523775543475</v>
      </c>
      <c r="EF94" s="553">
        <f>0.5*(1+'Hilfstabellen_Mat&amp;Bem'!$BD$31*(EE94-0.3)+EE94^2)</f>
        <v>1.7609553311790624</v>
      </c>
      <c r="EG94" s="550">
        <f t="shared" si="112"/>
        <v>0.38462576118201253</v>
      </c>
      <c r="EI94" s="551">
        <f t="shared" si="113"/>
        <v>8198.6827253557785</v>
      </c>
      <c r="EM94" s="546">
        <f t="shared" si="114"/>
        <v>146</v>
      </c>
      <c r="EN94" s="551">
        <f t="shared" si="115"/>
        <v>99.652238243688828</v>
      </c>
      <c r="EO94" s="553">
        <f>EN94/PI()*SQRT('Hilfstabellen_Mat&amp;Bem'!f.Rd.3/'Hilfstabellen_Mat&amp;Bem'!$BD$30)</f>
        <v>1.5860146306654292</v>
      </c>
      <c r="EP94" s="553">
        <f>0.5*(1+'Hilfstabellen_Mat&amp;Bem'!$BD$31*(EO94-0.3)+EO94^2)</f>
        <v>1.8220219358756702</v>
      </c>
      <c r="EQ94" s="550">
        <f t="shared" si="116"/>
        <v>0.36780098357387914</v>
      </c>
      <c r="ES94" s="551">
        <f t="shared" si="117"/>
        <v>7840.0457658608075</v>
      </c>
    </row>
    <row r="95" spans="3:149">
      <c r="C95" s="546">
        <v>147</v>
      </c>
      <c r="D95" s="551">
        <f t="shared" si="67"/>
        <v>65.982887907385802</v>
      </c>
      <c r="E95" s="553">
        <f>$D95/PI()*SQRT('Hilfstabellen_Mat&amp;Bem'!f.Rd.3/'Hilfstabellen_Mat&amp;Bem'!$BD$30)</f>
        <v>1.0501502769938897</v>
      </c>
      <c r="F95" s="553">
        <f>0.5*(1+'Hilfstabellen_Mat&amp;Bem'!$BD$31*($E95-0.3)+$E95^2)</f>
        <v>1.0889153159848663</v>
      </c>
      <c r="G95" s="550">
        <f t="shared" si="68"/>
        <v>0.72628217602621081</v>
      </c>
      <c r="I95" s="551">
        <f t="shared" si="69"/>
        <v>15694.231541750389</v>
      </c>
      <c r="M95" s="546">
        <f t="shared" si="70"/>
        <v>147</v>
      </c>
      <c r="N95" s="551">
        <f t="shared" si="59"/>
        <v>68.339419618363863</v>
      </c>
      <c r="O95" s="553">
        <f>$N95/PI()*SQRT('Hilfstabellen_Mat&amp;Bem'!f.Rd.3/'Hilfstabellen_Mat&amp;Bem'!$BD$30)</f>
        <v>1.0876556440293859</v>
      </c>
      <c r="P95" s="553">
        <f>0.5*(1+'Hilfstabellen_Mat&amp;Bem'!$BD$31*($O95-0.3)+$O95^2)</f>
        <v>1.1308801821959582</v>
      </c>
      <c r="Q95" s="550">
        <f t="shared" si="60"/>
        <v>0.69417946956903576</v>
      </c>
      <c r="S95" s="551">
        <f t="shared" si="71"/>
        <v>15000.524157917294</v>
      </c>
      <c r="W95" s="546">
        <f t="shared" si="72"/>
        <v>147</v>
      </c>
      <c r="X95" s="551">
        <f t="shared" si="61"/>
        <v>70.695951329341923</v>
      </c>
      <c r="Y95" s="553">
        <f>$X95/PI()*SQRT('Hilfstabellen_Mat&amp;Bem'!f.Rd.3/'Hilfstabellen_Mat&amp;Bem'!$BD$30)</f>
        <v>1.1251610110648818</v>
      </c>
      <c r="Z95" s="553">
        <f>0.5*(1+'Hilfstabellen_Mat&amp;Bem'!$BD$31*($Y95-0.3)+$Y95^2)</f>
        <v>1.1742517009635174</v>
      </c>
      <c r="AA95" s="550">
        <f t="shared" si="62"/>
        <v>0.66215188202972464</v>
      </c>
      <c r="AC95" s="551">
        <f t="shared" si="73"/>
        <v>14308.44001878032</v>
      </c>
      <c r="AG95" s="546">
        <f t="shared" si="74"/>
        <v>147</v>
      </c>
      <c r="AH95" s="551">
        <f t="shared" si="63"/>
        <v>73.052483040319999</v>
      </c>
      <c r="AI95" s="553">
        <f>$AH95/PI()*SQRT('Hilfstabellen_Mat&amp;Bem'!f.Rd.3/'Hilfstabellen_Mat&amp;Bem'!$BD$30)</f>
        <v>1.1626663781003781</v>
      </c>
      <c r="AJ95" s="553">
        <f>0.5*(1+'Hilfstabellen_Mat&amp;Bem'!$BD$31*($AI95-0.3)+$AI95^2)</f>
        <v>1.2190298722875446</v>
      </c>
      <c r="AK95" s="550">
        <f t="shared" si="64"/>
        <v>0.63074823281915371</v>
      </c>
      <c r="AM95" s="551">
        <f t="shared" si="75"/>
        <v>13629.838562989093</v>
      </c>
      <c r="AQ95" s="546">
        <f t="shared" si="76"/>
        <v>147</v>
      </c>
      <c r="AR95" s="551">
        <f t="shared" si="65"/>
        <v>75.409014751298059</v>
      </c>
      <c r="AS95" s="553">
        <f>$AR95/PI()*SQRT('Hilfstabellen_Mat&amp;Bem'!f.Rd.3/'Hilfstabellen_Mat&amp;Bem'!$BD$30)</f>
        <v>1.200171745135874</v>
      </c>
      <c r="AT95" s="553">
        <f>0.5*(1+'Hilfstabellen_Mat&amp;Bem'!$BD$31*($AS95-0.3)+$AS95^2)</f>
        <v>1.2652146961680382</v>
      </c>
      <c r="AU95" s="550">
        <f t="shared" si="66"/>
        <v>0.60036281334347452</v>
      </c>
      <c r="AW95" s="551">
        <f t="shared" si="77"/>
        <v>12973.240033539141</v>
      </c>
      <c r="BA95" s="546">
        <f t="shared" si="78"/>
        <v>147</v>
      </c>
      <c r="BB95" s="551">
        <f t="shared" si="79"/>
        <v>77.76554646227612</v>
      </c>
      <c r="BC95" s="553">
        <f>$BB95/PI()*SQRT('Hilfstabellen_Mat&amp;Bem'!f.Rd.3/'Hilfstabellen_Mat&amp;Bem'!$BD$30)</f>
        <v>1.2376771121713699</v>
      </c>
      <c r="BD95" s="553">
        <f>0.5*(1+'Hilfstabellen_Mat&amp;Bem'!$BD$31*($BC95-0.3)+$BC95^2)</f>
        <v>1.3128061726049993</v>
      </c>
      <c r="BE95" s="550">
        <f t="shared" si="80"/>
        <v>0.57125061851147685</v>
      </c>
      <c r="BG95" s="551">
        <f t="shared" si="81"/>
        <v>12344.154615414503</v>
      </c>
      <c r="BK95" s="546">
        <f t="shared" si="82"/>
        <v>147</v>
      </c>
      <c r="BL95" s="551">
        <f t="shared" si="83"/>
        <v>80.122078173254181</v>
      </c>
      <c r="BM95" s="553">
        <f>$BL95/PI()*SQRT('Hilfstabellen_Mat&amp;Bem'!f.Rd.3/'Hilfstabellen_Mat&amp;Bem'!$BD$30)</f>
        <v>1.275182479206866</v>
      </c>
      <c r="BN95" s="553">
        <f>0.5*(1+'Hilfstabellen_Mat&amp;Bem'!$BD$31*($BM95-0.3)+$BM95^2)</f>
        <v>1.3618043015984278</v>
      </c>
      <c r="BO95" s="550">
        <f t="shared" si="84"/>
        <v>0.54355566449361581</v>
      </c>
      <c r="BQ95" s="551">
        <f t="shared" si="85"/>
        <v>11745.694354042544</v>
      </c>
      <c r="BU95" s="546">
        <f t="shared" si="86"/>
        <v>147</v>
      </c>
      <c r="BV95" s="551">
        <f t="shared" si="87"/>
        <v>82.478609884232256</v>
      </c>
      <c r="BW95" s="553">
        <f>$BV95/PI()*SQRT('Hilfstabellen_Mat&amp;Bem'!f.Rd.3/'Hilfstabellen_Mat&amp;Bem'!$BD$30)</f>
        <v>1.3126878462423621</v>
      </c>
      <c r="BX95" s="553">
        <f>0.5*(1+'Hilfstabellen_Mat&amp;Bem'!$BD$31*($BW95-0.3)+$BW95^2)</f>
        <v>1.4122090831483236</v>
      </c>
      <c r="BY95" s="550">
        <f t="shared" si="88"/>
        <v>0.51734035575160087</v>
      </c>
      <c r="CA95" s="551">
        <f t="shared" si="89"/>
        <v>11179.207747436343</v>
      </c>
      <c r="CE95" s="546">
        <f t="shared" si="90"/>
        <v>147</v>
      </c>
      <c r="CF95" s="551">
        <f t="shared" si="91"/>
        <v>84.835141595210303</v>
      </c>
      <c r="CG95" s="553">
        <f>CF95/PI()*SQRT('Hilfstabellen_Mat&amp;Bem'!f.Rd.3/'Hilfstabellen_Mat&amp;Bem'!$BD$30)</f>
        <v>1.350193213277858</v>
      </c>
      <c r="CH95" s="553">
        <f>0.5*(1+'Hilfstabellen_Mat&amp;Bem'!$BD$31*(CG95-0.3)+CG95^2)</f>
        <v>1.4640205172546865</v>
      </c>
      <c r="CI95" s="550">
        <f t="shared" si="92"/>
        <v>0.49261049725086981</v>
      </c>
      <c r="CK95" s="551">
        <f t="shared" si="93"/>
        <v>10644.820235094046</v>
      </c>
      <c r="CO95" s="546">
        <f t="shared" si="94"/>
        <v>147</v>
      </c>
      <c r="CP95" s="551">
        <f t="shared" si="95"/>
        <v>87.191673306188378</v>
      </c>
      <c r="CQ95" s="553">
        <f>CP95/PI()*SQRT('Hilfstabellen_Mat&amp;Bem'!f.Rd.3/'Hilfstabellen_Mat&amp;Bem'!$BD$30)</f>
        <v>1.3876985803133541</v>
      </c>
      <c r="CR95" s="553">
        <f>0.5*(1+'Hilfstabellen_Mat&amp;Bem'!$BD$31*(CQ95-0.3)+CQ95^2)</f>
        <v>1.517238603917517</v>
      </c>
      <c r="CS95" s="550">
        <f t="shared" si="96"/>
        <v>0.46933458036772868</v>
      </c>
      <c r="CU95" s="551">
        <f t="shared" si="97"/>
        <v>10141.850947166249</v>
      </c>
      <c r="CY95" s="546">
        <f t="shared" si="98"/>
        <v>147</v>
      </c>
      <c r="CZ95" s="551">
        <f t="shared" si="99"/>
        <v>89.548205017166438</v>
      </c>
      <c r="DA95" s="553">
        <f>CZ95/PI()*SQRT('Hilfstabellen_Mat&amp;Bem'!f.Rd.3/'Hilfstabellen_Mat&amp;Bem'!$BD$30)</f>
        <v>1.4252039473488503</v>
      </c>
      <c r="DB95" s="553">
        <f>0.5*(1+'Hilfstabellen_Mat&amp;Bem'!$BD$31*(DA95-0.3)+DA95^2)</f>
        <v>1.5718633431368145</v>
      </c>
      <c r="DC95" s="550">
        <f t="shared" si="100"/>
        <v>0.44745781136188084</v>
      </c>
      <c r="DE95" s="551">
        <f t="shared" si="101"/>
        <v>9669.1158457188831</v>
      </c>
      <c r="DI95" s="546">
        <f t="shared" si="102"/>
        <v>147</v>
      </c>
      <c r="DJ95" s="551">
        <f t="shared" si="103"/>
        <v>91.904736728144499</v>
      </c>
      <c r="DK95" s="553">
        <f>DJ95/PI()*SQRT('Hilfstabellen_Mat&amp;Bem'!f.Rd.3/'Hilfstabellen_Mat&amp;Bem'!$BD$30)</f>
        <v>1.4627093143843464</v>
      </c>
      <c r="DL95" s="553">
        <f>0.5*(1+'Hilfstabellen_Mat&amp;Bem'!$BD$31*(DK95-0.3)+DK95^2)</f>
        <v>1.6278947349125796</v>
      </c>
      <c r="DM95" s="550">
        <f t="shared" si="104"/>
        <v>0.42691193626021973</v>
      </c>
      <c r="DO95" s="551">
        <f t="shared" si="105"/>
        <v>9225.1400306470878</v>
      </c>
      <c r="DS95" s="546">
        <f t="shared" si="106"/>
        <v>147</v>
      </c>
      <c r="DT95" s="551">
        <f t="shared" si="107"/>
        <v>94.26126843912256</v>
      </c>
      <c r="DU95" s="553">
        <f>DT95/PI()*SQRT('Hilfstabellen_Mat&amp;Bem'!f.Rd.3/'Hilfstabellen_Mat&amp;Bem'!$BD$30)</f>
        <v>1.5002146814198423</v>
      </c>
      <c r="DV95" s="553">
        <f>0.5*(1+'Hilfstabellen_Mat&amp;Bem'!$BD$31*(DU95-0.3)+DU95^2)</f>
        <v>1.6853327792448116</v>
      </c>
      <c r="DW95" s="550">
        <f t="shared" si="108"/>
        <v>0.40762193260087765</v>
      </c>
      <c r="DY95" s="551">
        <f t="shared" si="109"/>
        <v>8808.3023415723655</v>
      </c>
      <c r="EC95" s="546">
        <f t="shared" si="110"/>
        <v>147</v>
      </c>
      <c r="ED95" s="551">
        <f t="shared" si="111"/>
        <v>96.617800150100635</v>
      </c>
      <c r="EE95" s="553">
        <f>ED95/PI()*SQRT('Hilfstabellen_Mat&amp;Bem'!f.Rd.3/'Hilfstabellen_Mat&amp;Bem'!$BD$30)</f>
        <v>1.5377200484553386</v>
      </c>
      <c r="EF95" s="553">
        <f>0.5*(1+'Hilfstabellen_Mat&amp;Bem'!$BD$31*(EE95-0.3)+EE95^2)</f>
        <v>1.7441774761335114</v>
      </c>
      <c r="EG95" s="550">
        <f t="shared" si="112"/>
        <v>0.38951045737760998</v>
      </c>
      <c r="EI95" s="551">
        <f t="shared" si="113"/>
        <v>8416.9314734727741</v>
      </c>
      <c r="EM95" s="546">
        <f t="shared" si="114"/>
        <v>147</v>
      </c>
      <c r="EN95" s="551">
        <f t="shared" si="115"/>
        <v>98.974331861078696</v>
      </c>
      <c r="EO95" s="553">
        <f>EN95/PI()*SQRT('Hilfstabellen_Mat&amp;Bem'!f.Rd.3/'Hilfstabellen_Mat&amp;Bem'!$BD$30)</f>
        <v>1.5752254154908345</v>
      </c>
      <c r="EP95" s="553">
        <f>0.5*(1+'Hilfstabellen_Mat&amp;Bem'!$BD$31*(EO95-0.3)+EO95^2)</f>
        <v>1.804428825578678</v>
      </c>
      <c r="EQ95" s="550">
        <f t="shared" si="116"/>
        <v>0.3725007270207823</v>
      </c>
      <c r="ES95" s="551">
        <f t="shared" si="117"/>
        <v>8049.3682101920849</v>
      </c>
    </row>
    <row r="96" spans="3:149">
      <c r="C96" s="546">
        <v>148</v>
      </c>
      <c r="D96" s="551">
        <f t="shared" si="67"/>
        <v>65.537057583687243</v>
      </c>
      <c r="E96" s="553">
        <f>$D96/PI()*SQRT('Hilfstabellen_Mat&amp;Bem'!f.Rd.3/'Hilfstabellen_Mat&amp;Bem'!$BD$30)</f>
        <v>1.0430546670142011</v>
      </c>
      <c r="F96" s="553">
        <f>0.5*(1+'Hilfstabellen_Mat&amp;Bem'!$BD$31*($E96-0.3)+$E96^2)</f>
        <v>1.081134252540763</v>
      </c>
      <c r="G96" s="550">
        <f t="shared" si="68"/>
        <v>0.73230951446445125</v>
      </c>
      <c r="I96" s="551">
        <f t="shared" si="69"/>
        <v>16040.507604829339</v>
      </c>
      <c r="M96" s="546">
        <f t="shared" si="70"/>
        <v>148</v>
      </c>
      <c r="N96" s="551">
        <f t="shared" si="59"/>
        <v>67.877666783104644</v>
      </c>
      <c r="O96" s="553">
        <f>$N96/PI()*SQRT('Hilfstabellen_Mat&amp;Bem'!f.Rd.3/'Hilfstabellen_Mat&amp;Bem'!$BD$30)</f>
        <v>1.0803066194075654</v>
      </c>
      <c r="P96" s="553">
        <f>0.5*(1+'Hilfstabellen_Mat&amp;Bem'!$BD$31*($O96-0.3)+$O96^2)</f>
        <v>1.1225465269382795</v>
      </c>
      <c r="Q96" s="550">
        <f t="shared" si="60"/>
        <v>0.70048381013031003</v>
      </c>
      <c r="S96" s="551">
        <f t="shared" si="71"/>
        <v>15343.39737709431</v>
      </c>
      <c r="W96" s="546">
        <f t="shared" si="72"/>
        <v>148</v>
      </c>
      <c r="X96" s="551">
        <f t="shared" si="61"/>
        <v>70.218275982522044</v>
      </c>
      <c r="Y96" s="553">
        <f>$X96/PI()*SQRT('Hilfstabellen_Mat&amp;Bem'!f.Rd.3/'Hilfstabellen_Mat&amp;Bem'!$BD$30)</f>
        <v>1.1175585718009298</v>
      </c>
      <c r="Z96" s="553">
        <f>0.5*(1+'Hilfstabellen_Mat&amp;Bem'!$BD$31*($Y96-0.3)+$Y96^2)</f>
        <v>1.1653465092929134</v>
      </c>
      <c r="AA96" s="550">
        <f t="shared" si="62"/>
        <v>0.66860905435057116</v>
      </c>
      <c r="AC96" s="551">
        <f t="shared" si="73"/>
        <v>14645.21272649491</v>
      </c>
      <c r="AG96" s="546">
        <f t="shared" si="74"/>
        <v>148</v>
      </c>
      <c r="AH96" s="551">
        <f t="shared" si="63"/>
        <v>72.558885181939459</v>
      </c>
      <c r="AI96" s="553">
        <f>$AH96/PI()*SQRT('Hilfstabellen_Mat&amp;Bem'!f.Rd.3/'Hilfstabellen_Mat&amp;Bem'!$BD$30)</f>
        <v>1.1548105241942943</v>
      </c>
      <c r="AJ96" s="553">
        <f>0.5*(1+'Hilfstabellen_Mat&amp;Bem'!$BD$31*($AI96-0.3)+$AI96^2)</f>
        <v>1.2095341996046651</v>
      </c>
      <c r="AK96" s="550">
        <f t="shared" si="64"/>
        <v>0.63725263778428054</v>
      </c>
      <c r="AM96" s="551">
        <f t="shared" si="75"/>
        <v>13958.38177802688</v>
      </c>
      <c r="AQ96" s="546">
        <f t="shared" si="76"/>
        <v>148</v>
      </c>
      <c r="AR96" s="551">
        <f t="shared" si="65"/>
        <v>74.899494381356845</v>
      </c>
      <c r="AS96" s="553">
        <f>$AR96/PI()*SQRT('Hilfstabellen_Mat&amp;Bem'!f.Rd.3/'Hilfstabellen_Mat&amp;Bem'!$BD$30)</f>
        <v>1.1920624765876584</v>
      </c>
      <c r="AT96" s="553">
        <f>0.5*(1+'Hilfstabellen_Mat&amp;Bem'!$BD$31*($AS96-0.3)+$AS96^2)</f>
        <v>1.2551095978735338</v>
      </c>
      <c r="AU96" s="550">
        <f t="shared" si="66"/>
        <v>0.60683160079620002</v>
      </c>
      <c r="AW96" s="551">
        <f t="shared" si="77"/>
        <v>13292.039383839965</v>
      </c>
      <c r="BA96" s="546">
        <f t="shared" si="78"/>
        <v>148</v>
      </c>
      <c r="BB96" s="551">
        <f t="shared" si="79"/>
        <v>77.24010358077426</v>
      </c>
      <c r="BC96" s="553">
        <f>$BB96/PI()*SQRT('Hilfstabellen_Mat&amp;Bem'!f.Rd.3/'Hilfstabellen_Mat&amp;Bem'!$BD$30)</f>
        <v>1.2293144289810229</v>
      </c>
      <c r="BD96" s="553">
        <f>0.5*(1+'Hilfstabellen_Mat&amp;Bem'!$BD$31*($BC96-0.3)+$BC96^2)</f>
        <v>1.3020727040995204</v>
      </c>
      <c r="BE96" s="550">
        <f t="shared" si="80"/>
        <v>0.57762268877661882</v>
      </c>
      <c r="BG96" s="551">
        <f t="shared" si="81"/>
        <v>12652.247374963059</v>
      </c>
      <c r="BK96" s="546">
        <f t="shared" si="82"/>
        <v>148</v>
      </c>
      <c r="BL96" s="551">
        <f t="shared" si="83"/>
        <v>79.580712780191647</v>
      </c>
      <c r="BM96" s="553">
        <f>$BL96/PI()*SQRT('Hilfstabellen_Mat&amp;Bem'!f.Rd.3/'Hilfstabellen_Mat&amp;Bem'!$BD$30)</f>
        <v>1.266566381374387</v>
      </c>
      <c r="BN96" s="553">
        <f>0.5*(1+'Hilfstabellen_Mat&amp;Bem'!$BD$31*($BM96-0.3)+$BM96^2)</f>
        <v>1.3504235182826241</v>
      </c>
      <c r="BO96" s="550">
        <f t="shared" si="84"/>
        <v>0.54978829872764523</v>
      </c>
      <c r="BQ96" s="551">
        <f t="shared" si="85"/>
        <v>12042.56289533034</v>
      </c>
      <c r="BU96" s="546">
        <f t="shared" si="86"/>
        <v>148</v>
      </c>
      <c r="BV96" s="551">
        <f t="shared" si="87"/>
        <v>81.921321979609061</v>
      </c>
      <c r="BW96" s="553">
        <f>$BV96/PI()*SQRT('Hilfstabellen_Mat&amp;Bem'!f.Rd.3/'Hilfstabellen_Mat&amp;Bem'!$BD$30)</f>
        <v>1.3038183337677516</v>
      </c>
      <c r="BX96" s="553">
        <f>0.5*(1+'Hilfstabellen_Mat&amp;Bem'!$BD$31*($BW96-0.3)+$BW96^2)</f>
        <v>1.4001620404228456</v>
      </c>
      <c r="BY96" s="550">
        <f t="shared" si="88"/>
        <v>0.52340529666743951</v>
      </c>
      <c r="CA96" s="551">
        <f t="shared" si="89"/>
        <v>11464.669618203596</v>
      </c>
      <c r="CE96" s="546">
        <f t="shared" si="90"/>
        <v>148</v>
      </c>
      <c r="CF96" s="551">
        <f t="shared" si="91"/>
        <v>84.261931179026448</v>
      </c>
      <c r="CG96" s="553">
        <f>CF96/PI()*SQRT('Hilfstabellen_Mat&amp;Bem'!f.Rd.3/'Hilfstabellen_Mat&amp;Bem'!$BD$30)</f>
        <v>1.3410702861611157</v>
      </c>
      <c r="CH96" s="553">
        <f>0.5*(1+'Hilfstabellen_Mat&amp;Bem'!$BD$31*(CG96-0.3)+CG96^2)</f>
        <v>1.4512882705201842</v>
      </c>
      <c r="CI96" s="550">
        <f t="shared" si="92"/>
        <v>0.49849036942359876</v>
      </c>
      <c r="CK96" s="551">
        <f t="shared" si="93"/>
        <v>10918.933051854507</v>
      </c>
      <c r="CO96" s="546">
        <f t="shared" si="94"/>
        <v>148</v>
      </c>
      <c r="CP96" s="551">
        <f t="shared" si="95"/>
        <v>86.602540378443862</v>
      </c>
      <c r="CQ96" s="553">
        <f>CP96/PI()*SQRT('Hilfstabellen_Mat&amp;Bem'!f.Rd.3/'Hilfstabellen_Mat&amp;Bem'!$BD$30)</f>
        <v>1.3783222385544802</v>
      </c>
      <c r="CR96" s="553">
        <f>0.5*(1+'Hilfstabellen_Mat&amp;Bem'!$BD$31*(CQ96-0.3)+CQ96^2)</f>
        <v>1.5038022085746408</v>
      </c>
      <c r="CS96" s="550">
        <f t="shared" si="96"/>
        <v>0.47501995619125226</v>
      </c>
      <c r="CU96" s="551">
        <f t="shared" si="97"/>
        <v>10404.837120413189</v>
      </c>
      <c r="CY96" s="546">
        <f t="shared" si="98"/>
        <v>148</v>
      </c>
      <c r="CZ96" s="551">
        <f t="shared" si="99"/>
        <v>88.943149577861263</v>
      </c>
      <c r="DA96" s="553">
        <f>CZ96/PI()*SQRT('Hilfstabellen_Mat&amp;Bem'!f.Rd.3/'Hilfstabellen_Mat&amp;Bem'!$BD$30)</f>
        <v>1.4155741909478445</v>
      </c>
      <c r="DB96" s="553">
        <f>0.5*(1+'Hilfstabellen_Mat&amp;Bem'!$BD$31*(DA96-0.3)+DA96^2)</f>
        <v>1.5577038545862145</v>
      </c>
      <c r="DC96" s="550">
        <f t="shared" si="100"/>
        <v>0.45294494119642764</v>
      </c>
      <c r="DE96" s="551">
        <f t="shared" si="101"/>
        <v>9921.3059919665502</v>
      </c>
      <c r="DI96" s="546">
        <f t="shared" si="102"/>
        <v>148</v>
      </c>
      <c r="DJ96" s="551">
        <f t="shared" si="103"/>
        <v>91.283758777278663</v>
      </c>
      <c r="DK96" s="553">
        <f>DJ96/PI()*SQRT('Hilfstabellen_Mat&amp;Bem'!f.Rd.3/'Hilfstabellen_Mat&amp;Bem'!$BD$30)</f>
        <v>1.4528261433412089</v>
      </c>
      <c r="DL96" s="553">
        <f>0.5*(1+'Hilfstabellen_Mat&amp;Bem'!$BD$31*(DK96-0.3)+DK96^2)</f>
        <v>1.6129932085549057</v>
      </c>
      <c r="DM96" s="550">
        <f t="shared" si="104"/>
        <v>0.43220104963838218</v>
      </c>
      <c r="DO96" s="551">
        <f t="shared" si="105"/>
        <v>9466.931791279123</v>
      </c>
      <c r="DS96" s="546">
        <f t="shared" si="106"/>
        <v>148</v>
      </c>
      <c r="DT96" s="551">
        <f t="shared" si="107"/>
        <v>93.624367976696064</v>
      </c>
      <c r="DU96" s="553">
        <f>DT96/PI()*SQRT('Hilfstabellen_Mat&amp;Bem'!f.Rd.3/'Hilfstabellen_Mat&amp;Bem'!$BD$30)</f>
        <v>1.4900780957345732</v>
      </c>
      <c r="DV96" s="553">
        <f>0.5*(1+'Hilfstabellen_Mat&amp;Bem'!$BD$31*(DU96-0.3)+DU96^2)</f>
        <v>1.6696702704807147</v>
      </c>
      <c r="DW96" s="550">
        <f t="shared" si="108"/>
        <v>0.41271599170744167</v>
      </c>
      <c r="DY96" s="551">
        <f t="shared" si="109"/>
        <v>9040.1310823598014</v>
      </c>
      <c r="EC96" s="546">
        <f t="shared" si="110"/>
        <v>148</v>
      </c>
      <c r="ED96" s="551">
        <f t="shared" si="111"/>
        <v>95.964977176113464</v>
      </c>
      <c r="EE96" s="553">
        <f>ED96/PI()*SQRT('Hilfstabellen_Mat&amp;Bem'!f.Rd.3/'Hilfstabellen_Mat&amp;Bem'!$BD$30)</f>
        <v>1.5273300481279375</v>
      </c>
      <c r="EF96" s="553">
        <f>0.5*(1+'Hilfstabellen_Mat&amp;Bem'!$BD$31*(EE96-0.3)+EE96^2)</f>
        <v>1.7277350403636409</v>
      </c>
      <c r="EG96" s="550">
        <f t="shared" si="112"/>
        <v>0.39441425356887655</v>
      </c>
      <c r="EI96" s="551">
        <f t="shared" si="113"/>
        <v>8639.2498101726724</v>
      </c>
      <c r="EM96" s="546">
        <f t="shared" si="114"/>
        <v>148</v>
      </c>
      <c r="EN96" s="551">
        <f t="shared" si="115"/>
        <v>98.305586375530865</v>
      </c>
      <c r="EO96" s="553">
        <f>EN96/PI()*SQRT('Hilfstabellen_Mat&amp;Bem'!f.Rd.3/'Hilfstabellen_Mat&amp;Bem'!$BD$30)</f>
        <v>1.5645820005213018</v>
      </c>
      <c r="EP96" s="553">
        <f>0.5*(1+'Hilfstabellen_Mat&amp;Bem'!$BD$31*(EO96-0.3)+EO96^2)</f>
        <v>1.7871875182036847</v>
      </c>
      <c r="EQ96" s="550">
        <f t="shared" si="116"/>
        <v>0.37722023138001748</v>
      </c>
      <c r="ES96" s="551">
        <f t="shared" si="117"/>
        <v>8262.6319481479022</v>
      </c>
    </row>
    <row r="97" spans="3:149">
      <c r="C97" s="546">
        <v>149</v>
      </c>
      <c r="D97" s="551">
        <f t="shared" si="67"/>
        <v>65.097211559635653</v>
      </c>
      <c r="E97" s="553">
        <f>$D97/PI()*SQRT('Hilfstabellen_Mat&amp;Bem'!f.Rd.3/'Hilfstabellen_Mat&amp;Bem'!$BD$30)</f>
        <v>1.0360543001214884</v>
      </c>
      <c r="F97" s="553">
        <f>0.5*(1+'Hilfstabellen_Mat&amp;Bem'!$BD$31*($E97-0.3)+$E97^2)</f>
        <v>1.073506971406188</v>
      </c>
      <c r="G97" s="550">
        <f t="shared" si="68"/>
        <v>0.73822975194032481</v>
      </c>
      <c r="I97" s="551">
        <f t="shared" si="69"/>
        <v>16389.438722827152</v>
      </c>
      <c r="M97" s="546">
        <f t="shared" si="70"/>
        <v>149</v>
      </c>
      <c r="N97" s="551">
        <f t="shared" si="59"/>
        <v>67.422111972479783</v>
      </c>
      <c r="O97" s="553">
        <f>$N97/PI()*SQRT('Hilfstabellen_Mat&amp;Bem'!f.Rd.3/'Hilfstabellen_Mat&amp;Bem'!$BD$30)</f>
        <v>1.0730562394115415</v>
      </c>
      <c r="P97" s="553">
        <f>0.5*(1+'Hilfstabellen_Mat&amp;Bem'!$BD$31*($O97-0.3)+$O97^2)</f>
        <v>1.1143776584405969</v>
      </c>
      <c r="Q97" s="550">
        <f t="shared" si="60"/>
        <v>0.70670208516522759</v>
      </c>
      <c r="S97" s="551">
        <f t="shared" si="71"/>
        <v>15689.492992753218</v>
      </c>
      <c r="W97" s="546">
        <f t="shared" si="72"/>
        <v>149</v>
      </c>
      <c r="X97" s="551">
        <f t="shared" si="61"/>
        <v>69.747012385323913</v>
      </c>
      <c r="Y97" s="553">
        <f>$X97/PI()*SQRT('Hilfstabellen_Mat&amp;Bem'!f.Rd.3/'Hilfstabellen_Mat&amp;Bem'!$BD$30)</f>
        <v>1.1100581787015948</v>
      </c>
      <c r="Z97" s="553">
        <f>0.5*(1+'Hilfstabellen_Mat&amp;Bem'!$BD$31*($Y97-0.3)+$Y97^2)</f>
        <v>1.1566174889862306</v>
      </c>
      <c r="AA97" s="550">
        <f t="shared" si="62"/>
        <v>0.67500123273895618</v>
      </c>
      <c r="AC97" s="551">
        <f t="shared" si="73"/>
        <v>14985.702368037566</v>
      </c>
      <c r="AG97" s="546">
        <f t="shared" si="74"/>
        <v>149</v>
      </c>
      <c r="AH97" s="551">
        <f t="shared" si="63"/>
        <v>72.071912798168043</v>
      </c>
      <c r="AI97" s="553">
        <f>$AH97/PI()*SQRT('Hilfstabellen_Mat&amp;Bem'!f.Rd.3/'Hilfstabellen_Mat&amp;Bem'!$BD$30)</f>
        <v>1.147060117991648</v>
      </c>
      <c r="AJ97" s="553">
        <f>0.5*(1+'Hilfstabellen_Mat&amp;Bem'!$BD$31*($AI97-0.3)+$AI97^2)</f>
        <v>1.200226463043089</v>
      </c>
      <c r="AK97" s="550">
        <f t="shared" si="64"/>
        <v>0.64371100782269297</v>
      </c>
      <c r="AM97" s="551">
        <f t="shared" si="75"/>
        <v>14291.028084671607</v>
      </c>
      <c r="AQ97" s="546">
        <f t="shared" si="76"/>
        <v>149</v>
      </c>
      <c r="AR97" s="551">
        <f t="shared" si="65"/>
        <v>74.396813211012173</v>
      </c>
      <c r="AS97" s="553">
        <f>$AR97/PI()*SQRT('Hilfstabellen_Mat&amp;Bem'!f.Rd.3/'Hilfstabellen_Mat&amp;Bem'!$BD$30)</f>
        <v>1.1840620572817009</v>
      </c>
      <c r="AT97" s="553">
        <f>0.5*(1+'Hilfstabellen_Mat&amp;Bem'!$BD$31*($AS97-0.3)+$AS97^2)</f>
        <v>1.245204580611172</v>
      </c>
      <c r="AU97" s="550">
        <f t="shared" si="66"/>
        <v>0.61327027958706137</v>
      </c>
      <c r="AW97" s="551">
        <f t="shared" si="77"/>
        <v>13615.213477112349</v>
      </c>
      <c r="BA97" s="546">
        <f t="shared" si="78"/>
        <v>149</v>
      </c>
      <c r="BB97" s="551">
        <f t="shared" si="79"/>
        <v>76.721713623856303</v>
      </c>
      <c r="BC97" s="553">
        <f>$BB97/PI()*SQRT('Hilfstabellen_Mat&amp;Bem'!f.Rd.3/'Hilfstabellen_Mat&amp;Bem'!$BD$30)</f>
        <v>1.2210639965717542</v>
      </c>
      <c r="BD97" s="553">
        <f>0.5*(1+'Hilfstabellen_Mat&amp;Bem'!$BD$31*($BC97-0.3)+$BC97^2)</f>
        <v>1.2915518416904801</v>
      </c>
      <c r="BE97" s="550">
        <f t="shared" si="80"/>
        <v>0.58397744734651313</v>
      </c>
      <c r="BG97" s="551">
        <f t="shared" si="81"/>
        <v>12964.883308539938</v>
      </c>
      <c r="BK97" s="546">
        <f t="shared" si="82"/>
        <v>149</v>
      </c>
      <c r="BL97" s="551">
        <f t="shared" si="83"/>
        <v>79.046614036700433</v>
      </c>
      <c r="BM97" s="553">
        <f>$BL97/PI()*SQRT('Hilfstabellen_Mat&amp;Bem'!f.Rd.3/'Hilfstabellen_Mat&amp;Bem'!$BD$30)</f>
        <v>1.2580659358618074</v>
      </c>
      <c r="BN97" s="553">
        <f>0.5*(1+'Hilfstabellen_Mat&amp;Bem'!$BD$31*($BM97-0.3)+$BM97^2)</f>
        <v>1.339268246281013</v>
      </c>
      <c r="BO97" s="550">
        <f t="shared" si="84"/>
        <v>0.55601360906105768</v>
      </c>
      <c r="BQ97" s="551">
        <f t="shared" si="85"/>
        <v>12344.058134764542</v>
      </c>
      <c r="BU97" s="546">
        <f t="shared" si="86"/>
        <v>149</v>
      </c>
      <c r="BV97" s="551">
        <f t="shared" si="87"/>
        <v>81.371514449544563</v>
      </c>
      <c r="BW97" s="553">
        <f>$BV97/PI()*SQRT('Hilfstabellen_Mat&amp;Bem'!f.Rd.3/'Hilfstabellen_Mat&amp;Bem'!$BD$30)</f>
        <v>1.2950678751518605</v>
      </c>
      <c r="BX97" s="553">
        <f>0.5*(1+'Hilfstabellen_Mat&amp;Bem'!$BD$31*($BW97-0.3)+$BW97^2)</f>
        <v>1.3883537943827706</v>
      </c>
      <c r="BY97" s="550">
        <f t="shared" si="88"/>
        <v>0.52947055739987359</v>
      </c>
      <c r="CA97" s="551">
        <f t="shared" si="89"/>
        <v>11754.775844834594</v>
      </c>
      <c r="CE97" s="546">
        <f t="shared" si="90"/>
        <v>149</v>
      </c>
      <c r="CF97" s="551">
        <f t="shared" si="91"/>
        <v>83.696414862388693</v>
      </c>
      <c r="CG97" s="553">
        <f>CF97/PI()*SQRT('Hilfstabellen_Mat&amp;Bem'!f.Rd.3/'Hilfstabellen_Mat&amp;Bem'!$BD$30)</f>
        <v>1.3320698144419136</v>
      </c>
      <c r="CH97" s="553">
        <f>0.5*(1+'Hilfstabellen_Mat&amp;Bem'!$BD$31*(CG97-0.3)+CG97^2)</f>
        <v>1.4388084859957528</v>
      </c>
      <c r="CI97" s="550">
        <f t="shared" si="92"/>
        <v>0.50437632797828835</v>
      </c>
      <c r="CK97" s="551">
        <f t="shared" si="93"/>
        <v>11197.65885744598</v>
      </c>
      <c r="CO97" s="546">
        <f t="shared" si="94"/>
        <v>149</v>
      </c>
      <c r="CP97" s="551">
        <f t="shared" si="95"/>
        <v>86.021315275232823</v>
      </c>
      <c r="CQ97" s="553">
        <f>CP97/PI()*SQRT('Hilfstabellen_Mat&amp;Bem'!f.Rd.3/'Hilfstabellen_Mat&amp;Bem'!$BD$30)</f>
        <v>1.3690717537319668</v>
      </c>
      <c r="CR97" s="553">
        <f>0.5*(1+'Hilfstabellen_Mat&amp;Bem'!$BD$31*(CQ97-0.3)+CQ97^2)</f>
        <v>1.4906323211199599</v>
      </c>
      <c r="CS97" s="550">
        <f t="shared" si="96"/>
        <v>0.48071571663460555</v>
      </c>
      <c r="CU97" s="551">
        <f t="shared" si="97"/>
        <v>10672.369625004878</v>
      </c>
      <c r="CY97" s="546">
        <f t="shared" si="98"/>
        <v>149</v>
      </c>
      <c r="CZ97" s="551">
        <f t="shared" si="99"/>
        <v>88.346215688076967</v>
      </c>
      <c r="DA97" s="553">
        <f>CZ97/PI()*SQRT('Hilfstabellen_Mat&amp;Bem'!f.Rd.3/'Hilfstabellen_Mat&amp;Bem'!$BD$30)</f>
        <v>1.4060736930220203</v>
      </c>
      <c r="DB97" s="553">
        <f>0.5*(1+'Hilfstabellen_Mat&amp;Bem'!$BD$31*(DA97-0.3)+DA97^2)</f>
        <v>1.5438252997553925</v>
      </c>
      <c r="DC97" s="550">
        <f t="shared" si="100"/>
        <v>0.45844562036468778</v>
      </c>
      <c r="DE97" s="551">
        <f t="shared" si="101"/>
        <v>10177.951217716434</v>
      </c>
      <c r="DI97" s="546">
        <f t="shared" si="102"/>
        <v>149</v>
      </c>
      <c r="DJ97" s="551">
        <f t="shared" si="103"/>
        <v>90.671116100921097</v>
      </c>
      <c r="DK97" s="553">
        <f>DJ97/PI()*SQRT('Hilfstabellen_Mat&amp;Bem'!f.Rd.3/'Hilfstabellen_Mat&amp;Bem'!$BD$30)</f>
        <v>1.4430756323120733</v>
      </c>
      <c r="DL97" s="553">
        <f>0.5*(1+'Hilfstabellen_Mat&amp;Bem'!$BD$31*(DK97-0.3)+DK97^2)</f>
        <v>1.5983874219020486</v>
      </c>
      <c r="DM97" s="550">
        <f t="shared" si="104"/>
        <v>0.43750600810204021</v>
      </c>
      <c r="DO97" s="551">
        <f t="shared" si="105"/>
        <v>9713.0708858733942</v>
      </c>
      <c r="DS97" s="546">
        <f t="shared" si="106"/>
        <v>149</v>
      </c>
      <c r="DT97" s="551">
        <f t="shared" si="107"/>
        <v>92.996016513765213</v>
      </c>
      <c r="DU97" s="553">
        <f>DT97/PI()*SQRT('Hilfstabellen_Mat&amp;Bem'!f.Rd.3/'Hilfstabellen_Mat&amp;Bem'!$BD$30)</f>
        <v>1.4800775716021262</v>
      </c>
      <c r="DV97" s="553">
        <f>0.5*(1+'Hilfstabellen_Mat&amp;Bem'!$BD$31*(DU97-0.3)+DU97^2)</f>
        <v>1.6543186875599298</v>
      </c>
      <c r="DW97" s="550">
        <f t="shared" si="108"/>
        <v>0.41782752774185622</v>
      </c>
      <c r="DY97" s="551">
        <f t="shared" si="109"/>
        <v>9276.18894339695</v>
      </c>
      <c r="EC97" s="546">
        <f t="shared" si="110"/>
        <v>149</v>
      </c>
      <c r="ED97" s="551">
        <f t="shared" si="111"/>
        <v>95.320916926609343</v>
      </c>
      <c r="EE97" s="553">
        <f>ED97/PI()*SQRT('Hilfstabellen_Mat&amp;Bem'!f.Rd.3/'Hilfstabellen_Mat&amp;Bem'!$BD$30)</f>
        <v>1.5170795108921793</v>
      </c>
      <c r="EF97" s="553">
        <f>0.5*(1+'Hilfstabellen_Mat&amp;Bem'!$BD$31*(EE97-0.3)+EE97^2)</f>
        <v>1.7116190967290359</v>
      </c>
      <c r="EG97" s="550">
        <f t="shared" si="112"/>
        <v>0.39933665197604667</v>
      </c>
      <c r="EI97" s="551">
        <f t="shared" si="113"/>
        <v>8865.6730105202114</v>
      </c>
      <c r="EM97" s="546">
        <f t="shared" si="114"/>
        <v>149</v>
      </c>
      <c r="EN97" s="551">
        <f t="shared" si="115"/>
        <v>97.645817339453473</v>
      </c>
      <c r="EO97" s="553">
        <f>EN97/PI()*SQRT('Hilfstabellen_Mat&amp;Bem'!f.Rd.3/'Hilfstabellen_Mat&amp;Bem'!$BD$30)</f>
        <v>1.5540814501822326</v>
      </c>
      <c r="EP97" s="553">
        <f>0.5*(1+'Hilfstabellen_Mat&amp;Bem'!$BD$31*(EO97-0.3)+EO97^2)</f>
        <v>1.770288649409367</v>
      </c>
      <c r="EQ97" s="550">
        <f t="shared" si="116"/>
        <v>0.38195907691795783</v>
      </c>
      <c r="ES97" s="551">
        <f t="shared" si="117"/>
        <v>8479.8734666555811</v>
      </c>
    </row>
    <row r="98" spans="3:149">
      <c r="C98" s="546">
        <v>150</v>
      </c>
      <c r="D98" s="551">
        <f t="shared" si="67"/>
        <v>64.663230149238089</v>
      </c>
      <c r="E98" s="553">
        <f>$D98/PI()*SQRT('Hilfstabellen_Mat&amp;Bem'!f.Rd.3/'Hilfstabellen_Mat&amp;Bem'!$BD$30)</f>
        <v>1.029147271454012</v>
      </c>
      <c r="F98" s="553">
        <f>0.5*(1+'Hilfstabellen_Mat&amp;Bem'!$BD$31*($E98-0.3)+$E98^2)</f>
        <v>1.0660294167433195</v>
      </c>
      <c r="G98" s="550">
        <f t="shared" si="68"/>
        <v>0.74404068265235079</v>
      </c>
      <c r="I98" s="551">
        <f t="shared" si="69"/>
        <v>16740.915359677892</v>
      </c>
      <c r="M98" s="546">
        <f t="shared" si="70"/>
        <v>150</v>
      </c>
      <c r="N98" s="551">
        <f t="shared" si="59"/>
        <v>66.972631225996579</v>
      </c>
      <c r="O98" s="553">
        <f>$N98/PI()*SQRT('Hilfstabellen_Mat&amp;Bem'!f.Rd.3/'Hilfstabellen_Mat&amp;Bem'!$BD$30)</f>
        <v>1.065902531148798</v>
      </c>
      <c r="P98" s="553">
        <f>0.5*(1+'Hilfstabellen_Mat&amp;Bem'!$BD$31*($O98-0.3)+$O98^2)</f>
        <v>1.106369229512147</v>
      </c>
      <c r="Q98" s="550">
        <f t="shared" si="60"/>
        <v>0.71283131426970792</v>
      </c>
      <c r="S98" s="551">
        <f t="shared" si="71"/>
        <v>16038.704571068429</v>
      </c>
      <c r="W98" s="546">
        <f t="shared" si="72"/>
        <v>150</v>
      </c>
      <c r="X98" s="551">
        <f t="shared" si="61"/>
        <v>69.282032302755084</v>
      </c>
      <c r="Y98" s="553">
        <f>$X98/PI()*SQRT('Hilfstabellen_Mat&amp;Bem'!f.Rd.3/'Hilfstabellen_Mat&amp;Bem'!$BD$30)</f>
        <v>1.102657790843584</v>
      </c>
      <c r="Z98" s="553">
        <f>0.5*(1+'Hilfstabellen_Mat&amp;Bem'!$BD$31*($Y98-0.3)+$Y98^2)</f>
        <v>1.1480599913962055</v>
      </c>
      <c r="AA98" s="550">
        <f t="shared" si="62"/>
        <v>0.68132521956793579</v>
      </c>
      <c r="AC98" s="551">
        <f t="shared" si="73"/>
        <v>15329.817440278555</v>
      </c>
      <c r="AG98" s="546">
        <f t="shared" si="74"/>
        <v>150</v>
      </c>
      <c r="AH98" s="551">
        <f t="shared" si="63"/>
        <v>71.591433379513589</v>
      </c>
      <c r="AI98" s="553">
        <f>$AH98/PI()*SQRT('Hilfstabellen_Mat&amp;Bem'!f.Rd.3/'Hilfstabellen_Mat&amp;Bem'!$BD$30)</f>
        <v>1.1394130505383702</v>
      </c>
      <c r="AJ98" s="553">
        <f>0.5*(1+'Hilfstabellen_Mat&amp;Bem'!$BD$31*($AI98-0.3)+$AI98^2)</f>
        <v>1.1911017023954957</v>
      </c>
      <c r="AK98" s="550">
        <f t="shared" si="64"/>
        <v>0.65012029849247466</v>
      </c>
      <c r="AM98" s="551">
        <f t="shared" si="75"/>
        <v>14627.70671608068</v>
      </c>
      <c r="AQ98" s="546">
        <f t="shared" si="76"/>
        <v>150</v>
      </c>
      <c r="AR98" s="551">
        <f t="shared" si="65"/>
        <v>73.900834456272094</v>
      </c>
      <c r="AS98" s="553">
        <f>$AR98/PI()*SQRT('Hilfstabellen_Mat&amp;Bem'!f.Rd.3/'Hilfstabellen_Mat&amp;Bem'!$BD$30)</f>
        <v>1.1761683102331564</v>
      </c>
      <c r="AT98" s="553">
        <f>0.5*(1+'Hilfstabellen_Mat&amp;Bem'!$BD$31*($AS98-0.3)+$AS98^2)</f>
        <v>1.235494362510017</v>
      </c>
      <c r="AU98" s="550">
        <f t="shared" si="66"/>
        <v>0.61967614357566925</v>
      </c>
      <c r="AW98" s="551">
        <f t="shared" si="77"/>
        <v>13942.713230452558</v>
      </c>
      <c r="BA98" s="546">
        <f t="shared" si="78"/>
        <v>150</v>
      </c>
      <c r="BB98" s="551">
        <f t="shared" si="79"/>
        <v>76.210235533030598</v>
      </c>
      <c r="BC98" s="553">
        <f>$BB98/PI()*SQRT('Hilfstabellen_Mat&amp;Bem'!f.Rd.3/'Hilfstabellen_Mat&amp;Bem'!$BD$30)</f>
        <v>1.2129235699279426</v>
      </c>
      <c r="BD98" s="553">
        <f>0.5*(1+'Hilfstabellen_Mat&amp;Bem'!$BD$31*($BC98-0.3)+$BC98^2)</f>
        <v>1.2812379717397695</v>
      </c>
      <c r="BE98" s="550">
        <f t="shared" si="80"/>
        <v>0.59031258320241364</v>
      </c>
      <c r="BG98" s="551">
        <f t="shared" si="81"/>
        <v>13282.033122054307</v>
      </c>
      <c r="BK98" s="546">
        <f t="shared" si="82"/>
        <v>150</v>
      </c>
      <c r="BL98" s="551">
        <f t="shared" si="83"/>
        <v>78.519636609789103</v>
      </c>
      <c r="BM98" s="553">
        <f>$BL98/PI()*SQRT('Hilfstabellen_Mat&amp;Bem'!f.Rd.3/'Hilfstabellen_Mat&amp;Bem'!$BD$30)</f>
        <v>1.2496788296227288</v>
      </c>
      <c r="BN98" s="553">
        <f>0.5*(1+'Hilfstabellen_Mat&amp;Bem'!$BD$31*($BM98-0.3)+$BM98^2)</f>
        <v>1.328332530084753</v>
      </c>
      <c r="BO98" s="550">
        <f t="shared" si="84"/>
        <v>0.56222966580793909</v>
      </c>
      <c r="BQ98" s="551">
        <f t="shared" si="85"/>
        <v>12650.16748067863</v>
      </c>
      <c r="BU98" s="546">
        <f t="shared" si="86"/>
        <v>150</v>
      </c>
      <c r="BV98" s="551">
        <f t="shared" si="87"/>
        <v>80.829037686547593</v>
      </c>
      <c r="BW98" s="553">
        <f>$BV98/PI()*SQRT('Hilfstabellen_Mat&amp;Bem'!f.Rd.3/'Hilfstabellen_Mat&amp;Bem'!$BD$30)</f>
        <v>1.2864340893175148</v>
      </c>
      <c r="BX98" s="553">
        <f>0.5*(1+'Hilfstabellen_Mat&amp;Bem'!$BD$31*($BW98-0.3)+$BW98^2)</f>
        <v>1.3767780375449674</v>
      </c>
      <c r="BY98" s="550">
        <f t="shared" si="88"/>
        <v>0.53553454499937725</v>
      </c>
      <c r="CA98" s="551">
        <f t="shared" si="89"/>
        <v>12049.527262485988</v>
      </c>
      <c r="CE98" s="546">
        <f t="shared" si="90"/>
        <v>150</v>
      </c>
      <c r="CF98" s="551">
        <f t="shared" si="91"/>
        <v>83.138438763306112</v>
      </c>
      <c r="CG98" s="553">
        <f>CF98/PI()*SQRT('Hilfstabellen_Mat&amp;Bem'!f.Rd.3/'Hilfstabellen_Mat&amp;Bem'!$BD$30)</f>
        <v>1.323189349012301</v>
      </c>
      <c r="CH98" s="553">
        <f>0.5*(1+'Hilfstabellen_Mat&amp;Bem'!$BD$31*(CG98-0.3)+CG98^2)</f>
        <v>1.4265744941204135</v>
      </c>
      <c r="CI98" s="550">
        <f t="shared" si="92"/>
        <v>0.51026706373282316</v>
      </c>
      <c r="CK98" s="551">
        <f t="shared" si="93"/>
        <v>11481.008933988522</v>
      </c>
      <c r="CO98" s="546">
        <f t="shared" si="94"/>
        <v>150</v>
      </c>
      <c r="CP98" s="551">
        <f t="shared" si="95"/>
        <v>85.447839840064617</v>
      </c>
      <c r="CQ98" s="553">
        <f>CP98/PI()*SQRT('Hilfstabellen_Mat&amp;Bem'!f.Rd.3/'Hilfstabellen_Mat&amp;Bem'!$BD$30)</f>
        <v>1.3599446087070872</v>
      </c>
      <c r="CR98" s="553">
        <f>0.5*(1+'Hilfstabellen_Mat&amp;Bem'!$BD$31*(CQ98-0.3)+CQ98^2)</f>
        <v>1.4777218998110906</v>
      </c>
      <c r="CS98" s="550">
        <f t="shared" si="96"/>
        <v>0.48642078569930747</v>
      </c>
      <c r="CU98" s="551">
        <f t="shared" si="97"/>
        <v>10944.467678234418</v>
      </c>
      <c r="CY98" s="546">
        <f t="shared" si="98"/>
        <v>150</v>
      </c>
      <c r="CZ98" s="551">
        <f t="shared" si="99"/>
        <v>87.757240916823108</v>
      </c>
      <c r="DA98" s="553">
        <f>CZ98/PI()*SQRT('Hilfstabellen_Mat&amp;Bem'!f.Rd.3/'Hilfstabellen_Mat&amp;Bem'!$BD$30)</f>
        <v>1.3966998684018732</v>
      </c>
      <c r="DB98" s="553">
        <f>0.5*(1+'Hilfstabellen_Mat&amp;Bem'!$BD$31*(DA98-0.3)+DA98^2)</f>
        <v>1.5302202546169985</v>
      </c>
      <c r="DC98" s="550">
        <f t="shared" si="100"/>
        <v>0.46395896203108089</v>
      </c>
      <c r="DE98" s="551">
        <f t="shared" si="101"/>
        <v>10439.076645699321</v>
      </c>
      <c r="DI98" s="546">
        <f t="shared" si="102"/>
        <v>150</v>
      </c>
      <c r="DJ98" s="551">
        <f t="shared" si="103"/>
        <v>90.066641993581612</v>
      </c>
      <c r="DK98" s="553">
        <f>DJ98/PI()*SQRT('Hilfstabellen_Mat&amp;Bem'!f.Rd.3/'Hilfstabellen_Mat&amp;Bem'!$BD$30)</f>
        <v>1.4334551280966594</v>
      </c>
      <c r="DL98" s="553">
        <f>0.5*(1+'Hilfstabellen_Mat&amp;Bem'!$BD$31*(DK98-0.3)+DK98^2)</f>
        <v>1.5840695585381379</v>
      </c>
      <c r="DM98" s="550">
        <f t="shared" si="104"/>
        <v>0.44282607742675106</v>
      </c>
      <c r="DO98" s="551">
        <f t="shared" si="105"/>
        <v>9963.5867421018993</v>
      </c>
      <c r="DS98" s="546">
        <f t="shared" si="106"/>
        <v>150</v>
      </c>
      <c r="DT98" s="551">
        <f t="shared" si="107"/>
        <v>92.376043070340117</v>
      </c>
      <c r="DU98" s="553">
        <f>DT98/PI()*SQRT('Hilfstabellen_Mat&amp;Bem'!f.Rd.3/'Hilfstabellen_Mat&amp;Bem'!$BD$30)</f>
        <v>1.4702103877914456</v>
      </c>
      <c r="DV98" s="553">
        <f>0.5*(1+'Hilfstabellen_Mat&amp;Bem'!$BD$31*(DU98-0.3)+DU98^2)</f>
        <v>1.6392698115745088</v>
      </c>
      <c r="DW98" s="550">
        <f t="shared" si="108"/>
        <v>0.42295592948760607</v>
      </c>
      <c r="DY98" s="551">
        <f t="shared" si="109"/>
        <v>9516.508413471136</v>
      </c>
      <c r="EC98" s="546">
        <f t="shared" si="110"/>
        <v>150</v>
      </c>
      <c r="ED98" s="551">
        <f t="shared" si="111"/>
        <v>94.685444147098622</v>
      </c>
      <c r="EE98" s="553">
        <f>ED98/PI()*SQRT('Hilfstabellen_Mat&amp;Bem'!f.Rd.3/'Hilfstabellen_Mat&amp;Bem'!$BD$30)</f>
        <v>1.5069656474862319</v>
      </c>
      <c r="EF98" s="553">
        <f>0.5*(1+'Hilfstabellen_Mat&amp;Bem'!$BD$31*(EE98-0.3)+EE98^2)</f>
        <v>1.6958210137261105</v>
      </c>
      <c r="EG98" s="550">
        <f t="shared" si="112"/>
        <v>0.40427714072070653</v>
      </c>
      <c r="EI98" s="551">
        <f t="shared" si="113"/>
        <v>9096.2356662158963</v>
      </c>
      <c r="EM98" s="546">
        <f t="shared" si="114"/>
        <v>150</v>
      </c>
      <c r="EN98" s="551">
        <f t="shared" si="115"/>
        <v>96.994845223857126</v>
      </c>
      <c r="EO98" s="553">
        <f>EN98/PI()*SQRT('Hilfstabellen_Mat&amp;Bem'!f.Rd.3/'Hilfstabellen_Mat&amp;Bem'!$BD$30)</f>
        <v>1.5437209071810178</v>
      </c>
      <c r="EP98" s="553">
        <f>0.5*(1+'Hilfstabellen_Mat&amp;Bem'!$BD$31*(EO98-0.3)+EO98^2)</f>
        <v>1.7537231649929432</v>
      </c>
      <c r="EQ98" s="550">
        <f t="shared" si="116"/>
        <v>0.38671683227639481</v>
      </c>
      <c r="ES98" s="551">
        <f t="shared" si="117"/>
        <v>8701.1287262188835</v>
      </c>
    </row>
    <row r="99" spans="3:149">
      <c r="C99" s="546">
        <v>151</v>
      </c>
      <c r="D99" s="551">
        <f t="shared" si="67"/>
        <v>64.234996836991471</v>
      </c>
      <c r="E99" s="553">
        <f>$D99/PI()*SQRT('Hilfstabellen_Mat&amp;Bem'!f.Rd.3/'Hilfstabellen_Mat&amp;Bem'!$BD$30)</f>
        <v>1.0223317266099456</v>
      </c>
      <c r="F99" s="553">
        <f>0.5*(1+'Hilfstabellen_Mat&amp;Bem'!$BD$31*($E99-0.3)+$E99^2)</f>
        <v>1.0586976659471337</v>
      </c>
      <c r="G99" s="550">
        <f t="shared" si="68"/>
        <v>0.74974035595578981</v>
      </c>
      <c r="I99" s="551">
        <f t="shared" si="69"/>
        <v>17094.829856147964</v>
      </c>
      <c r="M99" s="546">
        <f t="shared" si="70"/>
        <v>151</v>
      </c>
      <c r="N99" s="551">
        <f t="shared" si="59"/>
        <v>66.529103866884029</v>
      </c>
      <c r="O99" s="553">
        <f>$N99/PI()*SQRT('Hilfstabellen_Mat&amp;Bem'!f.Rd.3/'Hilfstabellen_Mat&amp;Bem'!$BD$30)</f>
        <v>1.0588435739888722</v>
      </c>
      <c r="P99" s="553">
        <f>0.5*(1+'Hilfstabellen_Mat&amp;Bem'!$BD$31*($O99-0.3)+$O99^2)</f>
        <v>1.0985170357882077</v>
      </c>
      <c r="Q99" s="550">
        <f t="shared" si="60"/>
        <v>0.71886867645679764</v>
      </c>
      <c r="S99" s="551">
        <f t="shared" si="71"/>
        <v>16390.924691891443</v>
      </c>
      <c r="W99" s="546">
        <f t="shared" si="72"/>
        <v>151</v>
      </c>
      <c r="X99" s="551">
        <f t="shared" si="61"/>
        <v>68.823210896776573</v>
      </c>
      <c r="Y99" s="553">
        <f>$X99/PI()*SQRT('Hilfstabellen_Mat&amp;Bem'!f.Rd.3/'Hilfstabellen_Mat&amp;Bem'!$BD$30)</f>
        <v>1.0953554213677987</v>
      </c>
      <c r="Z99" s="553">
        <f>0.5*(1+'Hilfstabellen_Mat&amp;Bem'!$BD$31*($Y99-0.3)+$Y99^2)</f>
        <v>1.1396695206283038</v>
      </c>
      <c r="AA99" s="550">
        <f t="shared" si="62"/>
        <v>0.68757788806655518</v>
      </c>
      <c r="AC99" s="551">
        <f t="shared" si="73"/>
        <v>15677.463425805525</v>
      </c>
      <c r="AG99" s="546">
        <f t="shared" si="74"/>
        <v>151</v>
      </c>
      <c r="AH99" s="551">
        <f t="shared" si="63"/>
        <v>71.117317926669131</v>
      </c>
      <c r="AI99" s="553">
        <f>$AH99/PI()*SQRT('Hilfstabellen_Mat&amp;Bem'!f.Rd.3/'Hilfstabellen_Mat&amp;Bem'!$BD$30)</f>
        <v>1.1318672687467255</v>
      </c>
      <c r="AJ99" s="553">
        <f>0.5*(1+'Hilfstabellen_Mat&amp;Bem'!$BD$31*($AI99-0.3)+$AI99^2)</f>
        <v>1.1821551204674223</v>
      </c>
      <c r="AK99" s="550">
        <f t="shared" si="64"/>
        <v>0.65647747466708706</v>
      </c>
      <c r="AM99" s="551">
        <f t="shared" si="75"/>
        <v>14968.342899884252</v>
      </c>
      <c r="AQ99" s="546">
        <f t="shared" si="76"/>
        <v>151</v>
      </c>
      <c r="AR99" s="551">
        <f t="shared" si="65"/>
        <v>73.411424956561689</v>
      </c>
      <c r="AS99" s="553">
        <f>$AR99/PI()*SQRT('Hilfstabellen_Mat&amp;Bem'!f.Rd.3/'Hilfstabellen_Mat&amp;Bem'!$BD$30)</f>
        <v>1.168379116125652</v>
      </c>
      <c r="AT99" s="553">
        <f>0.5*(1+'Hilfstabellen_Mat&amp;Bem'!$BD$31*($AS99-0.3)+$AS99^2)</f>
        <v>1.2259738353055627</v>
      </c>
      <c r="AU99" s="550">
        <f t="shared" si="66"/>
        <v>0.6260464615724497</v>
      </c>
      <c r="AW99" s="551">
        <f t="shared" si="77"/>
        <v>14274.485370313425</v>
      </c>
      <c r="BA99" s="546">
        <f t="shared" si="78"/>
        <v>151</v>
      </c>
      <c r="BB99" s="551">
        <f t="shared" si="79"/>
        <v>75.705531986454233</v>
      </c>
      <c r="BC99" s="553">
        <f>$BB99/PI()*SQRT('Hilfstabellen_Mat&amp;Bem'!f.Rd.3/'Hilfstabellen_Mat&amp;Bem'!$BD$30)</f>
        <v>1.2048909635045788</v>
      </c>
      <c r="BD99" s="553">
        <f>0.5*(1+'Hilfstabellen_Mat&amp;Bem'!$BD$31*($BC99-0.3)+$BC99^2)</f>
        <v>1.271125665142725</v>
      </c>
      <c r="BE99" s="550">
        <f t="shared" si="80"/>
        <v>0.59662574538923219</v>
      </c>
      <c r="BG99" s="551">
        <f t="shared" si="81"/>
        <v>13603.663620619884</v>
      </c>
      <c r="BK99" s="546">
        <f t="shared" si="82"/>
        <v>151</v>
      </c>
      <c r="BL99" s="551">
        <f t="shared" si="83"/>
        <v>77.999639016346791</v>
      </c>
      <c r="BM99" s="553">
        <f>$BL99/PI()*SQRT('Hilfstabellen_Mat&amp;Bem'!f.Rd.3/'Hilfstabellen_Mat&amp;Bem'!$BD$30)</f>
        <v>1.2414028108835053</v>
      </c>
      <c r="BN99" s="553">
        <f>0.5*(1+'Hilfstabellen_Mat&amp;Bem'!$BD$31*($BM99-0.3)+$BM99^2)</f>
        <v>1.3176106099789093</v>
      </c>
      <c r="BO99" s="550">
        <f t="shared" si="84"/>
        <v>0.56843449595742945</v>
      </c>
      <c r="BQ99" s="551">
        <f t="shared" si="85"/>
        <v>12960.874942325348</v>
      </c>
      <c r="BU99" s="546">
        <f t="shared" si="86"/>
        <v>151</v>
      </c>
      <c r="BV99" s="551">
        <f t="shared" si="87"/>
        <v>80.293746046239335</v>
      </c>
      <c r="BW99" s="553">
        <f>$BV99/PI()*SQRT('Hilfstabellen_Mat&amp;Bem'!f.Rd.3/'Hilfstabellen_Mat&amp;Bem'!$BD$30)</f>
        <v>1.2779146582624319</v>
      </c>
      <c r="BX99" s="553">
        <f>0.5*(1+'Hilfstabellen_Mat&amp;Bem'!$BD$31*($BW99-0.3)+$BW99^2)</f>
        <v>1.3654286698141156</v>
      </c>
      <c r="BY99" s="550">
        <f t="shared" si="88"/>
        <v>0.5415956255920561</v>
      </c>
      <c r="CA99" s="551">
        <f t="shared" si="89"/>
        <v>12348.921859124472</v>
      </c>
      <c r="CE99" s="546">
        <f t="shared" si="90"/>
        <v>151</v>
      </c>
      <c r="CF99" s="551">
        <f t="shared" si="91"/>
        <v>82.587853076131893</v>
      </c>
      <c r="CG99" s="553">
        <f>CF99/PI()*SQRT('Hilfstabellen_Mat&amp;Bem'!f.Rd.3/'Hilfstabellen_Mat&amp;Bem'!$BD$30)</f>
        <v>1.3144265056413587</v>
      </c>
      <c r="CH99" s="553">
        <f>0.5*(1+'Hilfstabellen_Mat&amp;Bem'!$BD$31*(CG99-0.3)+CG99^2)</f>
        <v>1.4145798446483444</v>
      </c>
      <c r="CI99" s="550">
        <f t="shared" si="92"/>
        <v>0.51616123135378256</v>
      </c>
      <c r="CK99" s="551">
        <f t="shared" si="93"/>
        <v>11768.992236097596</v>
      </c>
      <c r="CO99" s="546">
        <f t="shared" si="94"/>
        <v>151</v>
      </c>
      <c r="CP99" s="551">
        <f t="shared" si="95"/>
        <v>84.881960106024451</v>
      </c>
      <c r="CQ99" s="553">
        <f>CP99/PI()*SQRT('Hilfstabellen_Mat&amp;Bem'!f.Rd.3/'Hilfstabellen_Mat&amp;Bem'!$BD$30)</f>
        <v>1.3509383530202852</v>
      </c>
      <c r="CR99" s="553">
        <f>0.5*(1+'Hilfstabellen_Mat&amp;Bem'!$BD$31*(CQ99-0.3)+CQ99^2)</f>
        <v>1.4650641344815947</v>
      </c>
      <c r="CS99" s="550">
        <f t="shared" si="96"/>
        <v>0.4921340565727072</v>
      </c>
      <c r="CU99" s="551">
        <f t="shared" si="97"/>
        <v>11221.148623914298</v>
      </c>
      <c r="CY99" s="546">
        <f t="shared" si="98"/>
        <v>151</v>
      </c>
      <c r="CZ99" s="551">
        <f t="shared" si="99"/>
        <v>87.176067135916995</v>
      </c>
      <c r="DA99" s="553">
        <f>CZ99/PI()*SQRT('Hilfstabellen_Mat&amp;Bem'!f.Rd.3/'Hilfstabellen_Mat&amp;Bem'!$BD$30)</f>
        <v>1.3874502003992117</v>
      </c>
      <c r="DB99" s="553">
        <f>0.5*(1+'Hilfstabellen_Mat&amp;Bem'!$BD$31*(DA99-0.3)+DA99^2)</f>
        <v>1.516881539313867</v>
      </c>
      <c r="DC99" s="550">
        <f t="shared" si="100"/>
        <v>0.46948405359835849</v>
      </c>
      <c r="DE99" s="551">
        <f t="shared" si="101"/>
        <v>10704.705906096171</v>
      </c>
      <c r="DI99" s="546">
        <f t="shared" si="102"/>
        <v>151</v>
      </c>
      <c r="DJ99" s="551">
        <f t="shared" si="103"/>
        <v>89.470174165809553</v>
      </c>
      <c r="DK99" s="553">
        <f>DJ99/PI()*SQRT('Hilfstabellen_Mat&amp;Bem'!f.Rd.3/'Hilfstabellen_Mat&amp;Bem'!$BD$30)</f>
        <v>1.4239620477781385</v>
      </c>
      <c r="DL99" s="553">
        <f>0.5*(1+'Hilfstabellen_Mat&amp;Bem'!$BD$31*(DK99-0.3)+DK99^2)</f>
        <v>1.5700320591451618</v>
      </c>
      <c r="DM99" s="550">
        <f t="shared" si="104"/>
        <v>0.44816050206340241</v>
      </c>
      <c r="DO99" s="551">
        <f t="shared" si="105"/>
        <v>10218.507607547639</v>
      </c>
      <c r="DS99" s="546">
        <f t="shared" si="106"/>
        <v>151</v>
      </c>
      <c r="DT99" s="551">
        <f t="shared" si="107"/>
        <v>91.764281195702111</v>
      </c>
      <c r="DU99" s="553">
        <f>DT99/PI()*SQRT('Hilfstabellen_Mat&amp;Bem'!f.Rd.3/'Hilfstabellen_Mat&amp;Bem'!$BD$30)</f>
        <v>1.4604738951570653</v>
      </c>
      <c r="DV99" s="553">
        <f>0.5*(1+'Hilfstabellen_Mat&amp;Bem'!$BD$31*(DU99-0.3)+DU99^2)</f>
        <v>1.6245156939754786</v>
      </c>
      <c r="DW99" s="550">
        <f t="shared" si="108"/>
        <v>0.42810056815091346</v>
      </c>
      <c r="DY99" s="551">
        <f t="shared" si="109"/>
        <v>9761.1210544089772</v>
      </c>
      <c r="EC99" s="546">
        <f t="shared" si="110"/>
        <v>151</v>
      </c>
      <c r="ED99" s="551">
        <f t="shared" si="111"/>
        <v>94.058388225594655</v>
      </c>
      <c r="EE99" s="553">
        <f>ED99/PI()*SQRT('Hilfstabellen_Mat&amp;Bem'!f.Rd.3/'Hilfstabellen_Mat&amp;Bem'!$BD$30)</f>
        <v>1.4969857425359916</v>
      </c>
      <c r="EF99" s="553">
        <f>0.5*(1+'Hilfstabellen_Mat&amp;Bem'!$BD$31*(EE99-0.3)+EE99^2)</f>
        <v>1.6803324438048168</v>
      </c>
      <c r="EG99" s="550">
        <f t="shared" si="112"/>
        <v>0.40923519344593334</v>
      </c>
      <c r="EI99" s="551">
        <f t="shared" si="113"/>
        <v>9330.9716457607265</v>
      </c>
      <c r="EM99" s="546">
        <f t="shared" si="114"/>
        <v>151</v>
      </c>
      <c r="EN99" s="551">
        <f t="shared" si="115"/>
        <v>96.352495255487213</v>
      </c>
      <c r="EO99" s="553">
        <f>EN99/PI()*SQRT('Hilfstabellen_Mat&amp;Bem'!f.Rd.3/'Hilfstabellen_Mat&amp;Bem'!$BD$30)</f>
        <v>1.5334975899149184</v>
      </c>
      <c r="EP99" s="553">
        <f>0.5*(1+'Hilfstabellen_Mat&amp;Bem'!$BD$31*(EO99-0.3)+EO99^2)</f>
        <v>1.7374823086331777</v>
      </c>
      <c r="EQ99" s="550">
        <f t="shared" si="116"/>
        <v>0.39149305415246055</v>
      </c>
      <c r="ES99" s="551">
        <f t="shared" si="117"/>
        <v>8926.4331277302535</v>
      </c>
    </row>
    <row r="100" spans="3:149">
      <c r="C100" s="546">
        <v>152</v>
      </c>
      <c r="D100" s="551">
        <f t="shared" si="67"/>
        <v>63.812398173590218</v>
      </c>
      <c r="E100" s="553">
        <f>$D100/PI()*SQRT('Hilfstabellen_Mat&amp;Bem'!f.Rd.3/'Hilfstabellen_Mat&amp;Bem'!$BD$30)</f>
        <v>1.0156058599875117</v>
      </c>
      <c r="F100" s="553">
        <f>0.5*(1+'Hilfstabellen_Mat&amp;Bem'!$BD$31*($E100-0.3)+$E100^2)</f>
        <v>1.0515079244198622</v>
      </c>
      <c r="G100" s="550">
        <f t="shared" si="68"/>
        <v>0.75532708461504172</v>
      </c>
      <c r="I100" s="551">
        <f t="shared" si="69"/>
        <v>17451.076962945925</v>
      </c>
      <c r="M100" s="546">
        <f t="shared" si="70"/>
        <v>152</v>
      </c>
      <c r="N100" s="551">
        <f t="shared" si="59"/>
        <v>66.091412394075576</v>
      </c>
      <c r="O100" s="553">
        <f>$N100/PI()*SQRT('Hilfstabellen_Mat&amp;Bem'!f.Rd.3/'Hilfstabellen_Mat&amp;Bem'!$BD$30)</f>
        <v>1.0518774978442085</v>
      </c>
      <c r="P100" s="553">
        <f>0.5*(1+'Hilfstabellen_Mat&amp;Bem'!$BD$31*($O100-0.3)+$O100^2)</f>
        <v>1.0908170101277068</v>
      </c>
      <c r="Q100" s="550">
        <f t="shared" si="60"/>
        <v>0.72481152446167441</v>
      </c>
      <c r="S100" s="551">
        <f t="shared" si="71"/>
        <v>16746.045461162525</v>
      </c>
      <c r="W100" s="546">
        <f t="shared" si="72"/>
        <v>152</v>
      </c>
      <c r="X100" s="551">
        <f t="shared" si="61"/>
        <v>68.370426614560941</v>
      </c>
      <c r="Y100" s="553">
        <f>$X100/PI()*SQRT('Hilfstabellen_Mat&amp;Bem'!f.Rd.3/'Hilfstabellen_Mat&amp;Bem'!$BD$30)</f>
        <v>1.0881491357009054</v>
      </c>
      <c r="Z100" s="553">
        <f>0.5*(1+'Hilfstabellen_Mat&amp;Bem'!$BD$31*($Y100-0.3)+$Y100^2)</f>
        <v>1.131441727548359</v>
      </c>
      <c r="AA100" s="550">
        <f t="shared" si="62"/>
        <v>0.69375619585702919</v>
      </c>
      <c r="AC100" s="551">
        <f t="shared" si="73"/>
        <v>16028.543149080802</v>
      </c>
      <c r="AG100" s="546">
        <f t="shared" si="74"/>
        <v>152</v>
      </c>
      <c r="AH100" s="551">
        <f t="shared" si="63"/>
        <v>70.649440835046306</v>
      </c>
      <c r="AI100" s="553">
        <f>$AH100/PI()*SQRT('Hilfstabellen_Mat&amp;Bem'!f.Rd.3/'Hilfstabellen_Mat&amp;Bem'!$BD$30)</f>
        <v>1.1244207735576024</v>
      </c>
      <c r="AJ100" s="553">
        <f>0.5*(1+'Hilfstabellen_Mat&amp;Bem'!$BD$31*($AI100-0.3)+$AI100^2)</f>
        <v>1.1733820766818186</v>
      </c>
      <c r="AK100" s="550">
        <f t="shared" si="64"/>
        <v>0.66277952032485898</v>
      </c>
      <c r="AM100" s="551">
        <f t="shared" si="75"/>
        <v>15312.858037585542</v>
      </c>
      <c r="AQ100" s="546">
        <f t="shared" si="76"/>
        <v>152</v>
      </c>
      <c r="AR100" s="551">
        <f t="shared" si="65"/>
        <v>72.928455055531671</v>
      </c>
      <c r="AS100" s="553">
        <f>$AR100/PI()*SQRT('Hilfstabellen_Mat&amp;Bem'!f.Rd.3/'Hilfstabellen_Mat&amp;Bem'!$BD$30)</f>
        <v>1.1606924114142989</v>
      </c>
      <c r="AT100" s="553">
        <f>0.5*(1+'Hilfstabellen_Mat&amp;Bem'!$BD$31*($AS100-0.3)+$AS100^2)</f>
        <v>1.2166380575280851</v>
      </c>
      <c r="AU100" s="550">
        <f t="shared" si="66"/>
        <v>0.63237848325553303</v>
      </c>
      <c r="AW100" s="551">
        <f t="shared" si="77"/>
        <v>14610.472477135836</v>
      </c>
      <c r="BA100" s="546">
        <f t="shared" si="78"/>
        <v>152</v>
      </c>
      <c r="BB100" s="551">
        <f t="shared" si="79"/>
        <v>75.207469276017036</v>
      </c>
      <c r="BC100" s="553">
        <f>$BB100/PI()*SQRT('Hilfstabellen_Mat&amp;Bem'!f.Rd.3/'Hilfstabellen_Mat&amp;Bem'!$BD$30)</f>
        <v>1.1969640492709959</v>
      </c>
      <c r="BD100" s="553">
        <f>0.5*(1+'Hilfstabellen_Mat&amp;Bem'!$BD$31*($BC100-0.3)+$BC100^2)</f>
        <v>1.2612096700871593</v>
      </c>
      <c r="BE100" s="550">
        <f t="shared" si="80"/>
        <v>0.60291454605472905</v>
      </c>
      <c r="BG100" s="551">
        <f t="shared" si="81"/>
        <v>13929.737672048461</v>
      </c>
      <c r="BK100" s="546">
        <f t="shared" si="82"/>
        <v>152</v>
      </c>
      <c r="BL100" s="551">
        <f t="shared" si="83"/>
        <v>77.486483496502402</v>
      </c>
      <c r="BM100" s="553">
        <f>$BL100/PI()*SQRT('Hilfstabellen_Mat&amp;Bem'!f.Rd.3/'Hilfstabellen_Mat&amp;Bem'!$BD$30)</f>
        <v>1.2332356871276928</v>
      </c>
      <c r="BN100" s="553">
        <f>0.5*(1+'Hilfstabellen_Mat&amp;Bem'!$BD$31*($BM100-0.3)+$BM100^2)</f>
        <v>1.307096914359041</v>
      </c>
      <c r="BO100" s="550">
        <f t="shared" si="84"/>
        <v>0.57462608441087915</v>
      </c>
      <c r="BQ100" s="551">
        <f t="shared" si="85"/>
        <v>13276.161054228951</v>
      </c>
      <c r="BU100" s="546">
        <f t="shared" si="86"/>
        <v>152</v>
      </c>
      <c r="BV100" s="551">
        <f t="shared" si="87"/>
        <v>79.765497716987767</v>
      </c>
      <c r="BW100" s="553">
        <f>$BV100/PI()*SQRT('Hilfstabellen_Mat&amp;Bem'!f.Rd.3/'Hilfstabellen_Mat&amp;Bem'!$BD$30)</f>
        <v>1.2695073249843896</v>
      </c>
      <c r="BX100" s="553">
        <f>0.5*(1+'Hilfstabellen_Mat&amp;Bem'!$BD$31*($BW100-0.3)+$BW100^2)</f>
        <v>1.3542997903437297</v>
      </c>
      <c r="BY100" s="550">
        <f t="shared" si="88"/>
        <v>0.54765212461615187</v>
      </c>
      <c r="CA100" s="551">
        <f t="shared" si="89"/>
        <v>12652.954687131572</v>
      </c>
      <c r="CE100" s="546">
        <f t="shared" si="90"/>
        <v>152</v>
      </c>
      <c r="CF100" s="551">
        <f t="shared" si="91"/>
        <v>82.044511937473132</v>
      </c>
      <c r="CG100" s="553">
        <f>CF100/PI()*SQRT('Hilfstabellen_Mat&amp;Bem'!f.Rd.3/'Hilfstabellen_Mat&amp;Bem'!$BD$30)</f>
        <v>1.3057789628410865</v>
      </c>
      <c r="CH100" s="553">
        <f>0.5*(1+'Hilfstabellen_Mat&amp;Bem'!$BD$31*(CG100-0.3)+CG100^2)</f>
        <v>1.4028182980412263</v>
      </c>
      <c r="CI100" s="550">
        <f t="shared" si="92"/>
        <v>0.52205744909846441</v>
      </c>
      <c r="CK100" s="551">
        <f t="shared" si="93"/>
        <v>12061.615303970922</v>
      </c>
      <c r="CO100" s="546">
        <f t="shared" si="94"/>
        <v>152</v>
      </c>
      <c r="CP100" s="551">
        <f t="shared" si="95"/>
        <v>84.323526157958497</v>
      </c>
      <c r="CQ100" s="553">
        <f>CP100/PI()*SQRT('Hilfstabellen_Mat&amp;Bem'!f.Rd.3/'Hilfstabellen_Mat&amp;Bem'!$BD$30)</f>
        <v>1.3420506006977835</v>
      </c>
      <c r="CR100" s="553">
        <f>0.5*(1+'Hilfstabellen_Mat&amp;Bem'!$BD$31*(CQ100-0.3)+CQ100^2)</f>
        <v>1.4526524374515299</v>
      </c>
      <c r="CS100" s="550">
        <f t="shared" si="96"/>
        <v>0.49785439116461105</v>
      </c>
      <c r="CU100" s="551">
        <f t="shared" si="97"/>
        <v>11502.427853467174</v>
      </c>
      <c r="CY100" s="546">
        <f t="shared" si="98"/>
        <v>152</v>
      </c>
      <c r="CZ100" s="551">
        <f t="shared" si="99"/>
        <v>86.602540378443862</v>
      </c>
      <c r="DA100" s="553">
        <f>CZ100/PI()*SQRT('Hilfstabellen_Mat&amp;Bem'!f.Rd.3/'Hilfstabellen_Mat&amp;Bem'!$BD$30)</f>
        <v>1.3783222385544802</v>
      </c>
      <c r="DB100" s="553">
        <f>0.5*(1+'Hilfstabellen_Mat&amp;Bem'!$BD$31*(DA100-0.3)+DA100^2)</f>
        <v>1.5038022085746408</v>
      </c>
      <c r="DC100" s="550">
        <f t="shared" si="100"/>
        <v>0.47501995619125226</v>
      </c>
      <c r="DE100" s="551">
        <f t="shared" si="101"/>
        <v>10974.861067842692</v>
      </c>
      <c r="DI100" s="546">
        <f t="shared" si="102"/>
        <v>152</v>
      </c>
      <c r="DJ100" s="551">
        <f t="shared" si="103"/>
        <v>88.881554598929227</v>
      </c>
      <c r="DK100" s="553">
        <f>DJ100/PI()*SQRT('Hilfstabellen_Mat&amp;Bem'!f.Rd.3/'Hilfstabellen_Mat&amp;Bem'!$BD$30)</f>
        <v>1.4145938764111772</v>
      </c>
      <c r="DL100" s="553">
        <f>0.5*(1+'Hilfstabellen_Mat&amp;Bem'!$BD$31*(DK100-0.3)+DK100^2)</f>
        <v>1.5562676114105591</v>
      </c>
      <c r="DM100" s="550">
        <f t="shared" si="104"/>
        <v>0.45350850464245707</v>
      </c>
      <c r="DO100" s="551">
        <f t="shared" si="105"/>
        <v>10477.860491259327</v>
      </c>
      <c r="DS100" s="546">
        <f t="shared" si="106"/>
        <v>152</v>
      </c>
      <c r="DT100" s="551">
        <f t="shared" si="107"/>
        <v>91.160568819414578</v>
      </c>
      <c r="DU100" s="553">
        <f>DT100/PI()*SQRT('Hilfstabellen_Mat&amp;Bem'!f.Rd.3/'Hilfstabellen_Mat&amp;Bem'!$BD$30)</f>
        <v>1.4508655142678737</v>
      </c>
      <c r="DV100" s="553">
        <f>0.5*(1+'Hilfstabellen_Mat&amp;Bem'!$BD$31*(DU100-0.3)+DU100^2)</f>
        <v>1.6100486459592847</v>
      </c>
      <c r="DW100" s="550">
        <f t="shared" si="108"/>
        <v>0.43326079691640668</v>
      </c>
      <c r="DY100" s="551">
        <f t="shared" si="109"/>
        <v>10010.05745195666</v>
      </c>
      <c r="EC100" s="546">
        <f t="shared" si="110"/>
        <v>152</v>
      </c>
      <c r="ED100" s="551">
        <f t="shared" si="111"/>
        <v>93.439583039899958</v>
      </c>
      <c r="EE100" s="553">
        <f>ED100/PI()*SQRT('Hilfstabellen_Mat&amp;Bem'!f.Rd.3/'Hilfstabellen_Mat&amp;Bem'!$BD$30)</f>
        <v>1.4871371521245709</v>
      </c>
      <c r="EF100" s="553">
        <f>0.5*(1+'Hilfstabellen_Mat&amp;Bem'!$BD$31*(EE100-0.3)+EE100^2)</f>
        <v>1.665145312220818</v>
      </c>
      <c r="EG100" s="550">
        <f t="shared" si="112"/>
        <v>0.41421026893230889</v>
      </c>
      <c r="EI100" s="551">
        <f t="shared" si="113"/>
        <v>9569.9140534120652</v>
      </c>
      <c r="EM100" s="546">
        <f t="shared" si="114"/>
        <v>152</v>
      </c>
      <c r="EN100" s="551">
        <f t="shared" si="115"/>
        <v>95.718597260385323</v>
      </c>
      <c r="EO100" s="553">
        <f>EN100/PI()*SQRT('Hilfstabellen_Mat&amp;Bem'!f.Rd.3/'Hilfstabellen_Mat&amp;Bem'!$BD$30)</f>
        <v>1.5234087899812676</v>
      </c>
      <c r="EP100" s="553">
        <f>0.5*(1+'Hilfstabellen_Mat&amp;Bem'!$BD$31*(EO100-0.3)+EO100^2)</f>
        <v>1.7215576101951582</v>
      </c>
      <c r="EQ100" s="550">
        <f t="shared" si="116"/>
        <v>0.39628728697345644</v>
      </c>
      <c r="ES100" s="551">
        <f t="shared" si="117"/>
        <v>9155.8214782347368</v>
      </c>
    </row>
    <row r="101" spans="3:149">
      <c r="C101" s="546">
        <v>153</v>
      </c>
      <c r="D101" s="551">
        <f t="shared" si="67"/>
        <v>63.395323675723603</v>
      </c>
      <c r="E101" s="553">
        <f>$D101/PI()*SQRT('Hilfstabellen_Mat&amp;Bem'!f.Rd.3/'Hilfstabellen_Mat&amp;Bem'!$BD$30)</f>
        <v>1.0089679131902076</v>
      </c>
      <c r="F101" s="553">
        <f>0.5*(1+'Hilfstabellen_Mat&amp;Bem'!$BD$31*($E101-0.3)+$E101^2)</f>
        <v>1.0444565205832115</v>
      </c>
      <c r="G101" s="550">
        <f t="shared" si="68"/>
        <v>0.76079945079218425</v>
      </c>
      <c r="I101" s="551">
        <f t="shared" si="69"/>
        <v>17809.554343594242</v>
      </c>
      <c r="M101" s="546">
        <f t="shared" si="70"/>
        <v>153</v>
      </c>
      <c r="N101" s="551">
        <f t="shared" si="59"/>
        <v>65.659442378428025</v>
      </c>
      <c r="O101" s="553">
        <f>$N101/PI()*SQRT('Hilfstabellen_Mat&amp;Bem'!f.Rd.3/'Hilfstabellen_Mat&amp;Bem'!$BD$30)</f>
        <v>1.0450024815184296</v>
      </c>
      <c r="P101" s="553">
        <f>0.5*(1+'Hilfstabellen_Mat&amp;Bem'!$BD$31*($O101-0.3)+$O101^2)</f>
        <v>1.0832652172657593</v>
      </c>
      <c r="Q101" s="550">
        <f t="shared" si="60"/>
        <v>0.7306573980637997</v>
      </c>
      <c r="S101" s="551">
        <f t="shared" si="71"/>
        <v>17103.959031275488</v>
      </c>
      <c r="W101" s="546">
        <f t="shared" si="72"/>
        <v>153</v>
      </c>
      <c r="X101" s="551">
        <f t="shared" si="61"/>
        <v>67.923561081132448</v>
      </c>
      <c r="Y101" s="553">
        <f>$X101/PI()*SQRT('Hilfstabellen_Mat&amp;Bem'!f.Rd.3/'Hilfstabellen_Mat&amp;Bem'!$BD$30)</f>
        <v>1.0810370498466513</v>
      </c>
      <c r="Z101" s="553">
        <f>0.5*(1+'Hilfstabellen_Mat&amp;Bem'!$BD$31*($Y101-0.3)+$Y101^2)</f>
        <v>1.1233724040629083</v>
      </c>
      <c r="AA101" s="550">
        <f t="shared" si="62"/>
        <v>0.69985719854511885</v>
      </c>
      <c r="AC101" s="551">
        <f t="shared" si="73"/>
        <v>16382.957160742688</v>
      </c>
      <c r="AG101" s="546">
        <f t="shared" si="74"/>
        <v>153</v>
      </c>
      <c r="AH101" s="551">
        <f t="shared" si="63"/>
        <v>70.187679783836856</v>
      </c>
      <c r="AI101" s="553">
        <f>$AH101/PI()*SQRT('Hilfstabellen_Mat&amp;Bem'!f.Rd.3/'Hilfstabellen_Mat&amp;Bem'!$BD$30)</f>
        <v>1.117071618174873</v>
      </c>
      <c r="AJ101" s="553">
        <f>0.5*(1+'Hilfstabellen_Mat&amp;Bem'!$BD$31*($AI101-0.3)+$AI101^2)</f>
        <v>1.1647780809746582</v>
      </c>
      <c r="AK101" s="550">
        <f t="shared" si="64"/>
        <v>0.66902344883784104</v>
      </c>
      <c r="AM101" s="551">
        <f t="shared" si="75"/>
        <v>15661.16991384502</v>
      </c>
      <c r="AQ101" s="546">
        <f t="shared" si="76"/>
        <v>153</v>
      </c>
      <c r="AR101" s="551">
        <f t="shared" si="65"/>
        <v>72.451798486541264</v>
      </c>
      <c r="AS101" s="553">
        <f>$AR101/PI()*SQRT('Hilfstabellen_Mat&amp;Bem'!f.Rd.3/'Hilfstabellen_Mat&amp;Bem'!$BD$30)</f>
        <v>1.1531061865030945</v>
      </c>
      <c r="AT101" s="553">
        <f>0.5*(1+'Hilfstabellen_Mat&amp;Bem'!$BD$31*($AS101-0.3)+$AS101^2)</f>
        <v>1.2074822480010092</v>
      </c>
      <c r="AU101" s="550">
        <f t="shared" si="66"/>
        <v>0.63866944562543027</v>
      </c>
      <c r="AW101" s="551">
        <f t="shared" si="77"/>
        <v>14950.613052645696</v>
      </c>
      <c r="BA101" s="546">
        <f t="shared" si="78"/>
        <v>153</v>
      </c>
      <c r="BB101" s="551">
        <f t="shared" si="79"/>
        <v>74.715917189245687</v>
      </c>
      <c r="BC101" s="553">
        <f>$BB101/PI()*SQRT('Hilfstabellen_Mat&amp;Bem'!f.Rd.3/'Hilfstabellen_Mat&amp;Bem'!$BD$30)</f>
        <v>1.1891407548313164</v>
      </c>
      <c r="BD101" s="553">
        <f>0.5*(1+'Hilfstabellen_Mat&amp;Bem'!$BD$31*($BC101-0.3)+$BC101^2)</f>
        <v>1.2514849051419623</v>
      </c>
      <c r="BE101" s="550">
        <f t="shared" si="80"/>
        <v>0.60917656390425268</v>
      </c>
      <c r="BG101" s="551">
        <f t="shared" si="81"/>
        <v>14260.214184434652</v>
      </c>
      <c r="BK101" s="546">
        <f t="shared" si="82"/>
        <v>153</v>
      </c>
      <c r="BL101" s="551">
        <f t="shared" si="83"/>
        <v>76.980035891950095</v>
      </c>
      <c r="BM101" s="553">
        <f>$BL101/PI()*SQRT('Hilfstabellen_Mat&amp;Bem'!f.Rd.3/'Hilfstabellen_Mat&amp;Bem'!$BD$30)</f>
        <v>1.2251753231595379</v>
      </c>
      <c r="BN101" s="553">
        <f>0.5*(1+'Hilfstabellen_Mat&amp;Bem'!$BD$31*($BM101-0.3)+$BM101^2)</f>
        <v>1.2967860523975161</v>
      </c>
      <c r="BO101" s="550">
        <f t="shared" si="84"/>
        <v>0.58080237549328984</v>
      </c>
      <c r="BQ101" s="551">
        <f t="shared" si="85"/>
        <v>13596.002807922421</v>
      </c>
      <c r="BU101" s="546">
        <f t="shared" si="86"/>
        <v>153</v>
      </c>
      <c r="BV101" s="551">
        <f t="shared" si="87"/>
        <v>79.244154594654518</v>
      </c>
      <c r="BW101" s="553">
        <f>$BV101/PI()*SQRT('Hilfstabellen_Mat&amp;Bem'!f.Rd.3/'Hilfstabellen_Mat&amp;Bem'!$BD$30)</f>
        <v>1.2612098914877599</v>
      </c>
      <c r="BX101" s="553">
        <f>0.5*(1+'Hilfstabellen_Mat&amp;Bem'!$BD$31*($BW101-0.3)+$BW101^2)</f>
        <v>1.3433856897676715</v>
      </c>
      <c r="BY101" s="550">
        <f t="shared" si="88"/>
        <v>0.55370232722267232</v>
      </c>
      <c r="CA101" s="551">
        <f t="shared" si="89"/>
        <v>12961.617777955536</v>
      </c>
      <c r="CE101" s="546">
        <f t="shared" si="90"/>
        <v>153</v>
      </c>
      <c r="CF101" s="551">
        <f t="shared" si="91"/>
        <v>81.508273297358926</v>
      </c>
      <c r="CG101" s="553">
        <f>CF101/PI()*SQRT('Hilfstabellen_Mat&amp;Bem'!f.Rd.3/'Hilfstabellen_Mat&amp;Bem'!$BD$30)</f>
        <v>1.2972444598159814</v>
      </c>
      <c r="CH101" s="553">
        <f>0.5*(1+'Hilfstabellen_Mat&amp;Bem'!$BD$31*(CG101-0.3)+CG101^2)</f>
        <v>1.3912838172524276</v>
      </c>
      <c r="CI101" s="550">
        <f t="shared" si="92"/>
        <v>0.52795429864782362</v>
      </c>
      <c r="CK101" s="551">
        <f t="shared" si="93"/>
        <v>12358.882177046902</v>
      </c>
      <c r="CO101" s="546">
        <f t="shared" si="94"/>
        <v>153</v>
      </c>
      <c r="CP101" s="551">
        <f t="shared" si="95"/>
        <v>83.772392000063334</v>
      </c>
      <c r="CQ101" s="553">
        <f>CP101/PI()*SQRT('Hilfstabellen_Mat&amp;Bem'!f.Rd.3/'Hilfstabellen_Mat&amp;Bem'!$BD$30)</f>
        <v>1.3332790281442028</v>
      </c>
      <c r="CR101" s="553">
        <f>0.5*(1+'Hilfstabellen_Mat&amp;Bem'!$BD$31*(CQ101-0.3)+CQ101^2)</f>
        <v>1.4404804348517852</v>
      </c>
      <c r="CS101" s="550">
        <f t="shared" si="96"/>
        <v>0.50358061969029411</v>
      </c>
      <c r="CU101" s="551">
        <f t="shared" si="97"/>
        <v>11788.318726330095</v>
      </c>
      <c r="CY101" s="546">
        <f t="shared" si="98"/>
        <v>153</v>
      </c>
      <c r="CZ101" s="551">
        <f t="shared" si="99"/>
        <v>86.036510702767757</v>
      </c>
      <c r="DA101" s="553">
        <f>CZ101/PI()*SQRT('Hilfstabellen_Mat&amp;Bem'!f.Rd.3/'Hilfstabellen_Mat&amp;Bem'!$BD$30)</f>
        <v>1.3693135964724248</v>
      </c>
      <c r="DB101" s="553">
        <f>0.5*(1+'Hilfstabellen_Mat&amp;Bem'!$BD$31*(DA101-0.3)+DA101^2)</f>
        <v>1.4909755425657445</v>
      </c>
      <c r="DC101" s="550">
        <f t="shared" si="100"/>
        <v>0.48056570416099464</v>
      </c>
      <c r="DE101" s="551">
        <f t="shared" si="101"/>
        <v>11249.562568704723</v>
      </c>
      <c r="DI101" s="546">
        <f t="shared" si="102"/>
        <v>153</v>
      </c>
      <c r="DJ101" s="551">
        <f t="shared" si="103"/>
        <v>88.300629405472165</v>
      </c>
      <c r="DK101" s="553">
        <f>DJ101/PI()*SQRT('Hilfstabellen_Mat&amp;Bem'!f.Rd.3/'Hilfstabellen_Mat&amp;Bem'!$BD$30)</f>
        <v>1.4053481648006463</v>
      </c>
      <c r="DL101" s="553">
        <f>0.5*(1+'Hilfstabellen_Mat&amp;Bem'!$BD$31*(DK101-0.3)+DK101^2)</f>
        <v>1.5427691403943045</v>
      </c>
      <c r="DM101" s="550">
        <f t="shared" si="104"/>
        <v>0.45886928548519751</v>
      </c>
      <c r="DO101" s="551">
        <f t="shared" si="105"/>
        <v>10741.671103922989</v>
      </c>
      <c r="DS101" s="546">
        <f t="shared" si="106"/>
        <v>153</v>
      </c>
      <c r="DT101" s="551">
        <f t="shared" si="107"/>
        <v>90.564748108176587</v>
      </c>
      <c r="DU101" s="553">
        <f>DT101/PI()*SQRT('Hilfstabellen_Mat&amp;Bem'!f.Rd.3/'Hilfstabellen_Mat&amp;Bem'!$BD$30)</f>
        <v>1.4413827331288682</v>
      </c>
      <c r="DV101" s="553">
        <f>0.5*(1+'Hilfstabellen_Mat&amp;Bem'!$BD$31*(DU101-0.3)+DU101^2)</f>
        <v>1.5958612283374665</v>
      </c>
      <c r="DW101" s="550">
        <f t="shared" si="108"/>
        <v>0.4384359505026727</v>
      </c>
      <c r="DY101" s="551">
        <f t="shared" si="109"/>
        <v>10263.347165317065</v>
      </c>
      <c r="EC101" s="546">
        <f t="shared" si="110"/>
        <v>153</v>
      </c>
      <c r="ED101" s="551">
        <f t="shared" si="111"/>
        <v>92.828866810880996</v>
      </c>
      <c r="EE101" s="553">
        <f>ED101/PI()*SQRT('Hilfstabellen_Mat&amp;Bem'!f.Rd.3/'Hilfstabellen_Mat&amp;Bem'!$BD$30)</f>
        <v>1.4774173014570897</v>
      </c>
      <c r="EF101" s="553">
        <f>0.5*(1+'Hilfstabellen_Mat&amp;Bem'!$BD$31*(EE101-0.3)+EE101^2)</f>
        <v>1.6502518063952289</v>
      </c>
      <c r="EG101" s="550">
        <f t="shared" si="112"/>
        <v>0.41920181071048201</v>
      </c>
      <c r="EI101" s="551">
        <f t="shared" si="113"/>
        <v>9813.0951869216733</v>
      </c>
      <c r="EM101" s="546">
        <f t="shared" si="114"/>
        <v>153</v>
      </c>
      <c r="EN101" s="551">
        <f t="shared" si="115"/>
        <v>95.092985513585404</v>
      </c>
      <c r="EO101" s="553">
        <f>EN101/PI()*SQRT('Hilfstabellen_Mat&amp;Bem'!f.Rd.3/'Hilfstabellen_Mat&amp;Bem'!$BD$30)</f>
        <v>1.5134518697853114</v>
      </c>
      <c r="EP101" s="553">
        <f>0.5*(1+'Hilfstabellen_Mat&amp;Bem'!$BD$31*(EO101-0.3)+EO101^2)</f>
        <v>1.7059408745675932</v>
      </c>
      <c r="EQ101" s="550">
        <f t="shared" si="116"/>
        <v>0.40109906256693229</v>
      </c>
      <c r="ES101" s="551">
        <f t="shared" si="117"/>
        <v>9389.3279556293182</v>
      </c>
    </row>
    <row r="102" spans="3:149">
      <c r="C102" s="546">
        <v>154</v>
      </c>
      <c r="D102" s="551">
        <f t="shared" si="67"/>
        <v>62.983665729777357</v>
      </c>
      <c r="E102" s="553">
        <f>$D102/PI()*SQRT('Hilfstabellen_Mat&amp;Bem'!f.Rd.3/'Hilfstabellen_Mat&amp;Bem'!$BD$30)</f>
        <v>1.0024161734941675</v>
      </c>
      <c r="F102" s="553">
        <f>0.5*(1+'Hilfstabellen_Mat&amp;Bem'!$BD$31*($E102-0.3)+$E102^2)</f>
        <v>1.0375399011160527</v>
      </c>
      <c r="G102" s="550">
        <f t="shared" si="68"/>
        <v>0.76615630968545334</v>
      </c>
      <c r="I102" s="551">
        <f t="shared" si="69"/>
        <v>18170.163040500211</v>
      </c>
      <c r="M102" s="546">
        <f t="shared" si="70"/>
        <v>154</v>
      </c>
      <c r="N102" s="551">
        <f t="shared" si="59"/>
        <v>65.233082362983694</v>
      </c>
      <c r="O102" s="553">
        <f>$N102/PI()*SQRT('Hilfstabellen_Mat&amp;Bem'!f.Rd.3/'Hilfstabellen_Mat&amp;Bem'!$BD$30)</f>
        <v>1.0382167511189591</v>
      </c>
      <c r="P102" s="553">
        <f>0.5*(1+'Hilfstabellen_Mat&amp;Bem'!$BD$31*($O102-0.3)+$O102^2)</f>
        <v>1.0758578487079511</v>
      </c>
      <c r="Q102" s="550">
        <f t="shared" si="60"/>
        <v>0.73640403622221062</v>
      </c>
      <c r="S102" s="551">
        <f t="shared" si="71"/>
        <v>17464.558123045947</v>
      </c>
      <c r="W102" s="546">
        <f t="shared" si="72"/>
        <v>154</v>
      </c>
      <c r="X102" s="551">
        <f t="shared" si="61"/>
        <v>67.482498996190017</v>
      </c>
      <c r="Y102" s="553">
        <f>$X102/PI()*SQRT('Hilfstabellen_Mat&amp;Bem'!f.Rd.3/'Hilfstabellen_Mat&amp;Bem'!$BD$30)</f>
        <v>1.0740173287437507</v>
      </c>
      <c r="Z102" s="553">
        <f>0.5*(1+'Hilfstabellen_Mat&amp;Bem'!$BD$31*($Y102-0.3)+$Y102^2)</f>
        <v>1.1154574776581185</v>
      </c>
      <c r="AA102" s="550">
        <f t="shared" si="62"/>
        <v>0.70587806320916746</v>
      </c>
      <c r="AC102" s="551">
        <f t="shared" si="73"/>
        <v>16740.604147068614</v>
      </c>
      <c r="AG102" s="546">
        <f t="shared" si="74"/>
        <v>154</v>
      </c>
      <c r="AH102" s="551">
        <f t="shared" si="63"/>
        <v>69.731915629396354</v>
      </c>
      <c r="AI102" s="553">
        <f>$AH102/PI()*SQRT('Hilfstabellen_Mat&amp;Bem'!f.Rd.3/'Hilfstabellen_Mat&amp;Bem'!$BD$30)</f>
        <v>1.1098179063685425</v>
      </c>
      <c r="AJ102" s="553">
        <f>0.5*(1+'Hilfstabellen_Mat&amp;Bem'!$BD$31*($AI102-0.3)+$AI102^2)</f>
        <v>1.1563387879665545</v>
      </c>
      <c r="AK102" s="550">
        <f t="shared" si="64"/>
        <v>0.67520631369324058</v>
      </c>
      <c r="AM102" s="551">
        <f t="shared" si="75"/>
        <v>16013.192935548894</v>
      </c>
      <c r="AQ102" s="546">
        <f t="shared" si="76"/>
        <v>154</v>
      </c>
      <c r="AR102" s="551">
        <f t="shared" si="65"/>
        <v>71.981332262602692</v>
      </c>
      <c r="AS102" s="553">
        <f>$AR102/PI()*SQRT('Hilfstabellen_Mat&amp;Bem'!f.Rd.3/'Hilfstabellen_Mat&amp;Bem'!$BD$30)</f>
        <v>1.1456184839933341</v>
      </c>
      <c r="AT102" s="553">
        <f>0.5*(1+'Hilfstabellen_Mat&amp;Bem'!$BD$31*($AS102-0.3)+$AS102^2)</f>
        <v>1.1985017796332591</v>
      </c>
      <c r="AU102" s="550">
        <f t="shared" si="66"/>
        <v>0.64491657998831953</v>
      </c>
      <c r="AW102" s="551">
        <f t="shared" si="77"/>
        <v>15294.841611002987</v>
      </c>
      <c r="BA102" s="546">
        <f t="shared" si="78"/>
        <v>154</v>
      </c>
      <c r="BB102" s="551">
        <f t="shared" si="79"/>
        <v>74.230748895809015</v>
      </c>
      <c r="BC102" s="553">
        <f>$BB102/PI()*SQRT('Hilfstabellen_Mat&amp;Bem'!f.Rd.3/'Hilfstabellen_Mat&amp;Bem'!$BD$30)</f>
        <v>1.1814190616181257</v>
      </c>
      <c r="BD102" s="553">
        <f>0.5*(1+'Hilfstabellen_Mat&amp;Bem'!$BD$31*($BC102-0.3)+$BC102^2)</f>
        <v>1.2419464526582327</v>
      </c>
      <c r="BE102" s="550">
        <f t="shared" si="80"/>
        <v>0.61540934808505643</v>
      </c>
      <c r="BG102" s="551">
        <f t="shared" si="81"/>
        <v>14595.048099185198</v>
      </c>
      <c r="BK102" s="546">
        <f t="shared" si="82"/>
        <v>154</v>
      </c>
      <c r="BL102" s="551">
        <f t="shared" si="83"/>
        <v>76.480165529015352</v>
      </c>
      <c r="BM102" s="553">
        <f>$BL102/PI()*SQRT('Hilfstabellen_Mat&amp;Bem'!f.Rd.3/'Hilfstabellen_Mat&amp;Bem'!$BD$30)</f>
        <v>1.2172196392429175</v>
      </c>
      <c r="BN102" s="553">
        <f>0.5*(1+'Hilfstabellen_Mat&amp;Bem'!$BD$31*($BM102-0.3)+$BM102^2)</f>
        <v>1.286672807041475</v>
      </c>
      <c r="BO102" s="550">
        <f t="shared" si="84"/>
        <v>0.58696127475703941</v>
      </c>
      <c r="BQ102" s="551">
        <f t="shared" si="85"/>
        <v>13920.373592137947</v>
      </c>
      <c r="BU102" s="546">
        <f t="shared" si="86"/>
        <v>154</v>
      </c>
      <c r="BV102" s="551">
        <f t="shared" si="87"/>
        <v>78.729582162221689</v>
      </c>
      <c r="BW102" s="553">
        <f>$BV102/PI()*SQRT('Hilfstabellen_Mat&amp;Bem'!f.Rd.3/'Hilfstabellen_Mat&amp;Bem'!$BD$30)</f>
        <v>1.2530202168677091</v>
      </c>
      <c r="BX102" s="553">
        <f>0.5*(1+'Hilfstabellen_Mat&amp;Bem'!$BD$31*($BW102-0.3)+$BW102^2)</f>
        <v>1.3326808427829859</v>
      </c>
      <c r="BY102" s="550">
        <f t="shared" si="88"/>
        <v>0.55974447885496048</v>
      </c>
      <c r="CA102" s="551">
        <f t="shared" si="89"/>
        <v>13274.900060524244</v>
      </c>
      <c r="CE102" s="546">
        <f t="shared" si="90"/>
        <v>154</v>
      </c>
      <c r="CF102" s="551">
        <f t="shared" si="91"/>
        <v>80.978998795428026</v>
      </c>
      <c r="CG102" s="553">
        <f>CF102/PI()*SQRT('Hilfstabellen_Mat&amp;Bem'!f.Rd.3/'Hilfstabellen_Mat&amp;Bem'!$BD$30)</f>
        <v>1.288820794492501</v>
      </c>
      <c r="CH102" s="553">
        <f>0.5*(1+'Hilfstabellen_Mat&amp;Bem'!$BD$31*(CG102-0.3)+CG102^2)</f>
        <v>1.3799705598827656</v>
      </c>
      <c r="CI102" s="550">
        <f t="shared" si="92"/>
        <v>0.53385032504067365</v>
      </c>
      <c r="CK102" s="551">
        <f t="shared" si="93"/>
        <v>12660.794308664616</v>
      </c>
      <c r="CO102" s="546">
        <f t="shared" si="94"/>
        <v>154</v>
      </c>
      <c r="CP102" s="551">
        <f t="shared" si="95"/>
        <v>83.228415428634364</v>
      </c>
      <c r="CQ102" s="553">
        <f>CP102/PI()*SQRT('Hilfstabellen_Mat&amp;Bem'!f.Rd.3/'Hilfstabellen_Mat&amp;Bem'!$BD$30)</f>
        <v>1.3246213721172928</v>
      </c>
      <c r="CR102" s="553">
        <f>0.5*(1+'Hilfstabellen_Mat&amp;Bem'!$BD$31*(CQ102-0.3)+CQ102^2)</f>
        <v>1.4285419583408143</v>
      </c>
      <c r="CS102" s="550">
        <f t="shared" si="96"/>
        <v>0.50931154030654502</v>
      </c>
      <c r="CU102" s="551">
        <f t="shared" si="97"/>
        <v>12078.832489910023</v>
      </c>
      <c r="CY102" s="546">
        <f t="shared" si="98"/>
        <v>154</v>
      </c>
      <c r="CZ102" s="551">
        <f t="shared" si="99"/>
        <v>85.477832061840687</v>
      </c>
      <c r="DA102" s="553">
        <f>CZ102/PI()*SQRT('Hilfstabellen_Mat&amp;Bem'!f.Rd.3/'Hilfstabellen_Mat&amp;Bem'!$BD$30)</f>
        <v>1.3604219497420842</v>
      </c>
      <c r="DB102" s="553">
        <f>0.5*(1+'Hilfstabellen_Mat&amp;Bem'!$BD$31*(DA102-0.3)+DA102^2)</f>
        <v>1.4783950381571311</v>
      </c>
      <c r="DC102" s="550">
        <f t="shared" si="100"/>
        <v>0.48612030461478534</v>
      </c>
      <c r="DE102" s="551">
        <f t="shared" si="101"/>
        <v>11528.82914424425</v>
      </c>
      <c r="DI102" s="546">
        <f t="shared" si="102"/>
        <v>154</v>
      </c>
      <c r="DJ102" s="551">
        <f t="shared" si="103"/>
        <v>87.727248695047024</v>
      </c>
      <c r="DK102" s="553">
        <f>DJ102/PI()*SQRT('Hilfstabellen_Mat&amp;Bem'!f.Rd.3/'Hilfstabellen_Mat&amp;Bem'!$BD$30)</f>
        <v>1.396222527366876</v>
      </c>
      <c r="DL102" s="553">
        <f>0.5*(1+'Hilfstabellen_Mat&amp;Bem'!$BD$31*(DK102-0.3)+DK102^2)</f>
        <v>1.5295297993317174</v>
      </c>
      <c r="DM102" s="550">
        <f t="shared" si="104"/>
        <v>0.4642420221243696</v>
      </c>
      <c r="DO102" s="551">
        <f t="shared" si="105"/>
        <v>11009.96379670155</v>
      </c>
      <c r="DS102" s="546">
        <f t="shared" si="106"/>
        <v>154</v>
      </c>
      <c r="DT102" s="551">
        <f t="shared" si="107"/>
        <v>89.976665328253361</v>
      </c>
      <c r="DU102" s="553">
        <f>DT102/PI()*SQRT('Hilfstabellen_Mat&amp;Bem'!f.Rd.3/'Hilfstabellen_Mat&amp;Bem'!$BD$30)</f>
        <v>1.4320231049916679</v>
      </c>
      <c r="DV102" s="553">
        <f>0.5*(1+'Hilfstabellen_Mat&amp;Bem'!$BD$31*(DU102-0.3)+DU102^2)</f>
        <v>1.5819462418645722</v>
      </c>
      <c r="DW102" s="550">
        <f t="shared" si="108"/>
        <v>0.44362534471906445</v>
      </c>
      <c r="DY102" s="551">
        <f t="shared" si="109"/>
        <v>10521.018675357333</v>
      </c>
      <c r="EC102" s="546">
        <f t="shared" si="110"/>
        <v>154</v>
      </c>
      <c r="ED102" s="551">
        <f t="shared" si="111"/>
        <v>92.226081961459684</v>
      </c>
      <c r="EE102" s="553">
        <f>ED102/PI()*SQRT('Hilfstabellen_Mat&amp;Bem'!f.Rd.3/'Hilfstabellen_Mat&amp;Bem'!$BD$30)</f>
        <v>1.4678236826164592</v>
      </c>
      <c r="EF102" s="553">
        <f>0.5*(1+'Hilfstabellen_Mat&amp;Bem'!$BD$31*(EE102-0.3)+EE102^2)</f>
        <v>1.6356443657556952</v>
      </c>
      <c r="EG102" s="550">
        <f t="shared" si="112"/>
        <v>0.42420924667103155</v>
      </c>
      <c r="EI102" s="551">
        <f t="shared" si="113"/>
        <v>10060.546494050184</v>
      </c>
      <c r="EM102" s="546">
        <f t="shared" si="114"/>
        <v>154</v>
      </c>
      <c r="EN102" s="551">
        <f t="shared" si="115"/>
        <v>94.475498594666036</v>
      </c>
      <c r="EO102" s="553">
        <f>EN102/PI()*SQRT('Hilfstabellen_Mat&amp;Bem'!f.Rd.3/'Hilfstabellen_Mat&amp;Bem'!$BD$30)</f>
        <v>1.5036242602412511</v>
      </c>
      <c r="EP102" s="553">
        <f>0.5*(1+'Hilfstabellen_Mat&amp;Bem'!$BD$31*(EO102-0.3)+EO102^2)</f>
        <v>1.6906241710050876</v>
      </c>
      <c r="EQ102" s="550">
        <f t="shared" si="116"/>
        <v>0.40592789982641769</v>
      </c>
      <c r="ES102" s="551">
        <f t="shared" si="117"/>
        <v>9626.9860722833218</v>
      </c>
    </row>
    <row r="103" spans="3:149">
      <c r="C103" s="546">
        <v>155</v>
      </c>
      <c r="D103" s="551">
        <f t="shared" si="67"/>
        <v>62.577319499262664</v>
      </c>
      <c r="E103" s="553">
        <f>$D103/PI()*SQRT('Hilfstabellen_Mat&amp;Bem'!f.Rd.3/'Hilfstabellen_Mat&amp;Bem'!$BD$30)</f>
        <v>0.99594897237485025</v>
      </c>
      <c r="F103" s="553">
        <f>0.5*(1+'Hilfstabellen_Mat&amp;Bem'!$BD$31*($E103-0.3)+$E103^2)</f>
        <v>1.0307546264060026</v>
      </c>
      <c r="G103" s="550">
        <f t="shared" si="68"/>
        <v>0.77139679077915346</v>
      </c>
      <c r="I103" s="551">
        <f t="shared" si="69"/>
        <v>18532.80789846916</v>
      </c>
      <c r="M103" s="546">
        <f t="shared" si="70"/>
        <v>155</v>
      </c>
      <c r="N103" s="551">
        <f t="shared" si="59"/>
        <v>64.812223767093471</v>
      </c>
      <c r="O103" s="553">
        <f>$N103/PI()*SQRT('Hilfstabellen_Mat&amp;Bem'!f.Rd.3/'Hilfstabellen_Mat&amp;Bem'!$BD$30)</f>
        <v>1.031518578531095</v>
      </c>
      <c r="P103" s="553">
        <f>0.5*(1+'Hilfstabellen_Mat&amp;Bem'!$BD$31*($O103-0.3)+$O103^2)</f>
        <v>1.0685912178539601</v>
      </c>
      <c r="Q103" s="550">
        <f t="shared" si="60"/>
        <v>0.74204938783477392</v>
      </c>
      <c r="S103" s="551">
        <f t="shared" si="71"/>
        <v>17827.736542730443</v>
      </c>
      <c r="W103" s="546">
        <f t="shared" si="72"/>
        <v>155</v>
      </c>
      <c r="X103" s="551">
        <f t="shared" si="61"/>
        <v>67.047128034924285</v>
      </c>
      <c r="Y103" s="553">
        <f>$X103/PI()*SQRT('Hilfstabellen_Mat&amp;Bem'!f.Rd.3/'Hilfstabellen_Mat&amp;Bem'!$BD$30)</f>
        <v>1.0670881846873397</v>
      </c>
      <c r="Z103" s="553">
        <f>0.5*(1+'Hilfstabellen_Mat&amp;Bem'!$BD$31*($Y103-0.3)+$Y103^2)</f>
        <v>1.1076930061840278</v>
      </c>
      <c r="AA103" s="550">
        <f t="shared" si="62"/>
        <v>0.71181608162443133</v>
      </c>
      <c r="AC103" s="551">
        <f t="shared" si="73"/>
        <v>17101.381361026964</v>
      </c>
      <c r="AG103" s="546">
        <f t="shared" si="74"/>
        <v>155</v>
      </c>
      <c r="AH103" s="551">
        <f t="shared" si="63"/>
        <v>69.282032302755084</v>
      </c>
      <c r="AI103" s="553">
        <f>$AH103/PI()*SQRT('Hilfstabellen_Mat&amp;Bem'!f.Rd.3/'Hilfstabellen_Mat&amp;Bem'!$BD$30)</f>
        <v>1.102657790843584</v>
      </c>
      <c r="AJ103" s="553">
        <f>0.5*(1+'Hilfstabellen_Mat&amp;Bem'!$BD$31*($AI103-0.3)+$AI103^2)</f>
        <v>1.1480599913962055</v>
      </c>
      <c r="AK103" s="550">
        <f t="shared" si="64"/>
        <v>0.68132521956793579</v>
      </c>
      <c r="AM103" s="551">
        <f t="shared" si="75"/>
        <v>16368.838400119657</v>
      </c>
      <c r="AQ103" s="546">
        <f t="shared" si="76"/>
        <v>155</v>
      </c>
      <c r="AR103" s="551">
        <f t="shared" si="65"/>
        <v>71.516936570585898</v>
      </c>
      <c r="AS103" s="553">
        <f>$AR103/PI()*SQRT('Hilfstabellen_Mat&amp;Bem'!f.Rd.3/'Hilfstabellen_Mat&amp;Bem'!$BD$30)</f>
        <v>1.1382273969998289</v>
      </c>
      <c r="AT103" s="553">
        <f>0.5*(1+'Hilfstabellen_Mat&amp;Bem'!$BD$31*($AS103-0.3)+$AS103^2)</f>
        <v>1.1896921734904944</v>
      </c>
      <c r="AU103" s="550">
        <f t="shared" si="66"/>
        <v>0.65111711945067652</v>
      </c>
      <c r="AW103" s="551">
        <f t="shared" si="77"/>
        <v>15643.088794802503</v>
      </c>
      <c r="BA103" s="546">
        <f t="shared" si="78"/>
        <v>155</v>
      </c>
      <c r="BB103" s="551">
        <f t="shared" si="79"/>
        <v>73.751840838416697</v>
      </c>
      <c r="BC103" s="553">
        <f>$BB103/PI()*SQRT('Hilfstabellen_Mat&amp;Bem'!f.Rd.3/'Hilfstabellen_Mat&amp;Bem'!$BD$30)</f>
        <v>1.1737970031560732</v>
      </c>
      <c r="BD103" s="553">
        <f>0.5*(1+'Hilfstabellen_Mat&amp;Bem'!$BD$31*($BC103-0.3)+$BC103^2)</f>
        <v>1.2325895524668931</v>
      </c>
      <c r="BE103" s="550">
        <f t="shared" si="80"/>
        <v>0.62161042251085097</v>
      </c>
      <c r="BG103" s="551">
        <f t="shared" si="81"/>
        <v>14934.190400823194</v>
      </c>
      <c r="BK103" s="546">
        <f t="shared" si="82"/>
        <v>155</v>
      </c>
      <c r="BL103" s="551">
        <f t="shared" si="83"/>
        <v>75.986745106247511</v>
      </c>
      <c r="BM103" s="553">
        <f>$BL103/PI()*SQRT('Hilfstabellen_Mat&amp;Bem'!f.Rd.3/'Hilfstabellen_Mat&amp;Bem'!$BD$30)</f>
        <v>1.2093666093123181</v>
      </c>
      <c r="BN103" s="553">
        <f>0.5*(1+'Hilfstabellen_Mat&amp;Bem'!$BD$31*($BM103-0.3)+$BM103^2)</f>
        <v>1.2767521283254024</v>
      </c>
      <c r="BO103" s="550">
        <f t="shared" si="84"/>
        <v>0.59310065109512267</v>
      </c>
      <c r="BQ103" s="551">
        <f t="shared" si="85"/>
        <v>14249.243142560323</v>
      </c>
      <c r="BU103" s="546">
        <f t="shared" si="86"/>
        <v>155</v>
      </c>
      <c r="BV103" s="551">
        <f t="shared" si="87"/>
        <v>78.221649374078325</v>
      </c>
      <c r="BW103" s="553">
        <f>$BV103/PI()*SQRT('Hilfstabellen_Mat&amp;Bem'!f.Rd.3/'Hilfstabellen_Mat&amp;Bem'!$BD$30)</f>
        <v>1.2449362154685628</v>
      </c>
      <c r="BX103" s="553">
        <f>0.5*(1+'Hilfstabellen_Mat&amp;Bem'!$BD$31*($BW103-0.3)+$BW103^2)</f>
        <v>1.322179901066022</v>
      </c>
      <c r="BY103" s="550">
        <f t="shared" si="88"/>
        <v>0.56577678602226766</v>
      </c>
      <c r="CA103" s="551">
        <f t="shared" si="89"/>
        <v>13592.78728418498</v>
      </c>
      <c r="CE103" s="546">
        <f t="shared" si="90"/>
        <v>155</v>
      </c>
      <c r="CF103" s="551">
        <f t="shared" si="91"/>
        <v>80.456553641909139</v>
      </c>
      <c r="CG103" s="553">
        <f>CF103/PI()*SQRT('Hilfstabellen_Mat&amp;Bem'!f.Rd.3/'Hilfstabellen_Mat&amp;Bem'!$BD$30)</f>
        <v>1.2805058216248075</v>
      </c>
      <c r="CH103" s="553">
        <f>0.5*(1+'Hilfstabellen_Mat&amp;Bem'!$BD$31*(CG103-0.3)+CG103^2)</f>
        <v>1.3688728706887519</v>
      </c>
      <c r="CI103" s="550">
        <f t="shared" si="92"/>
        <v>0.53974403672000992</v>
      </c>
      <c r="CK103" s="551">
        <f t="shared" si="93"/>
        <v>12967.350482198239</v>
      </c>
      <c r="CO103" s="546">
        <f t="shared" si="94"/>
        <v>155</v>
      </c>
      <c r="CP103" s="551">
        <f t="shared" si="95"/>
        <v>82.691457909739938</v>
      </c>
      <c r="CQ103" s="553">
        <f>CP103/PI()*SQRT('Hilfstabellen_Mat&amp;Bem'!f.Rd.3/'Hilfstabellen_Mat&amp;Bem'!$BD$30)</f>
        <v>1.316075427781052</v>
      </c>
      <c r="CR103" s="553">
        <f>0.5*(1+'Hilfstabellen_Mat&amp;Bem'!$BD$31*(CQ103-0.3)+CQ103^2)</f>
        <v>1.4168310371935919</v>
      </c>
      <c r="CS103" s="550">
        <f t="shared" si="96"/>
        <v>0.51504591880786232</v>
      </c>
      <c r="CU103" s="551">
        <f t="shared" si="97"/>
        <v>12373.978199358893</v>
      </c>
      <c r="CY103" s="546">
        <f t="shared" si="98"/>
        <v>155</v>
      </c>
      <c r="CZ103" s="551">
        <f t="shared" si="99"/>
        <v>84.926362177570752</v>
      </c>
      <c r="DA103" s="553">
        <f>CZ103/PI()*SQRT('Hilfstabellen_Mat&amp;Bem'!f.Rd.3/'Hilfstabellen_Mat&amp;Bem'!$BD$30)</f>
        <v>1.3516450339372967</v>
      </c>
      <c r="DB103" s="553">
        <f>0.5*(1+'Hilfstabellen_Mat&amp;Bem'!$BD$31*(DA103-0.3)+DA103^2)</f>
        <v>1.4660544005805427</v>
      </c>
      <c r="DC103" s="550">
        <f t="shared" si="100"/>
        <v>0.49168273697460579</v>
      </c>
      <c r="DE103" s="551">
        <f t="shared" si="101"/>
        <v>11812.677755814904</v>
      </c>
      <c r="DI103" s="546">
        <f t="shared" si="102"/>
        <v>155</v>
      </c>
      <c r="DJ103" s="551">
        <f t="shared" si="103"/>
        <v>87.161266445401552</v>
      </c>
      <c r="DK103" s="553">
        <f>DJ103/PI()*SQRT('Hilfstabellen_Mat&amp;Bem'!f.Rd.3/'Hilfstabellen_Mat&amp;Bem'!$BD$30)</f>
        <v>1.387214640093541</v>
      </c>
      <c r="DL103" s="553">
        <f>0.5*(1+'Hilfstabellen_Mat&amp;Bem'!$BD$31*(DK103-0.3)+DK103^2)</f>
        <v>1.5165429608496033</v>
      </c>
      <c r="DM103" s="550">
        <f t="shared" si="104"/>
        <v>0.4696258688368572</v>
      </c>
      <c r="DO103" s="551">
        <f t="shared" si="105"/>
        <v>11282.761498805494</v>
      </c>
      <c r="DS103" s="546">
        <f t="shared" si="106"/>
        <v>155</v>
      </c>
      <c r="DT103" s="551">
        <f t="shared" si="107"/>
        <v>89.396170713232365</v>
      </c>
      <c r="DU103" s="553">
        <f>DT103/PI()*SQRT('Hilfstabellen_Mat&amp;Bem'!f.Rd.3/'Hilfstabellen_Mat&amp;Bem'!$BD$30)</f>
        <v>1.4227842462497859</v>
      </c>
      <c r="DV103" s="553">
        <f>0.5*(1+'Hilfstabellen_Mat&amp;Bem'!$BD$31*(DU103-0.3)+DU103^2)</f>
        <v>1.568296718000775</v>
      </c>
      <c r="DW103" s="550">
        <f t="shared" si="108"/>
        <v>0.44882827602528236</v>
      </c>
      <c r="DY103" s="551">
        <f t="shared" si="109"/>
        <v>10783.099331507408</v>
      </c>
      <c r="EC103" s="546">
        <f t="shared" si="110"/>
        <v>155</v>
      </c>
      <c r="ED103" s="551">
        <f t="shared" si="111"/>
        <v>91.631074981063179</v>
      </c>
      <c r="EE103" s="553">
        <f>ED103/PI()*SQRT('Hilfstabellen_Mat&amp;Bem'!f.Rd.3/'Hilfstabellen_Mat&amp;Bem'!$BD$30)</f>
        <v>1.4583538524060307</v>
      </c>
      <c r="EF103" s="553">
        <f>0.5*(1+'Hilfstabellen_Mat&amp;Bem'!$BD$31*(EE103-0.3)+EE103^2)</f>
        <v>1.6213156720340569</v>
      </c>
      <c r="EG103" s="550">
        <f t="shared" si="112"/>
        <v>0.42923198867248907</v>
      </c>
      <c r="EI103" s="551">
        <f t="shared" si="113"/>
        <v>10312.29852785655</v>
      </c>
      <c r="EM103" s="546">
        <f t="shared" si="114"/>
        <v>155</v>
      </c>
      <c r="EN103" s="551">
        <f t="shared" si="115"/>
        <v>93.865979248893993</v>
      </c>
      <c r="EO103" s="553">
        <f>EN103/PI()*SQRT('Hilfstabellen_Mat&amp;Bem'!f.Rd.3/'Hilfstabellen_Mat&amp;Bem'!$BD$30)</f>
        <v>1.4939234585622754</v>
      </c>
      <c r="EP103" s="553">
        <f>0.5*(1+'Hilfstabellen_Mat&amp;Bem'!$BD$31*(EO103-0.3)+EO103^2)</f>
        <v>1.6755998229494491</v>
      </c>
      <c r="EQ103" s="550">
        <f t="shared" si="116"/>
        <v>0.41077330437326098</v>
      </c>
      <c r="ES103" s="551">
        <f t="shared" si="117"/>
        <v>9868.8286375675943</v>
      </c>
    </row>
    <row r="104" spans="3:149">
      <c r="C104" s="546">
        <v>156</v>
      </c>
      <c r="D104" s="551">
        <f t="shared" si="67"/>
        <v>62.176182835805847</v>
      </c>
      <c r="E104" s="553">
        <f>$D104/PI()*SQRT('Hilfstabellen_Mat&amp;Bem'!f.Rd.3/'Hilfstabellen_Mat&amp;Bem'!$BD$30)</f>
        <v>0.989564684090396</v>
      </c>
      <c r="F104" s="553">
        <f>0.5*(1+'Hilfstabellen_Mat&amp;Bem'!$BD$31*($E104-0.3)+$E104^2)</f>
        <v>1.0240973662039825</v>
      </c>
      <c r="G104" s="550">
        <f t="shared" si="68"/>
        <v>0.77652029671503187</v>
      </c>
      <c r="I104" s="551">
        <f t="shared" si="69"/>
        <v>18897.397940857016</v>
      </c>
      <c r="M104" s="546">
        <f t="shared" si="70"/>
        <v>156</v>
      </c>
      <c r="N104" s="551">
        <f t="shared" si="59"/>
        <v>64.39676079422749</v>
      </c>
      <c r="O104" s="553">
        <f>$N104/PI()*SQRT('Hilfstabellen_Mat&amp;Bem'!f.Rd.3/'Hilfstabellen_Mat&amp;Bem'!$BD$30)</f>
        <v>1.0249062799507673</v>
      </c>
      <c r="P104" s="553">
        <f>0.5*(1+'Hilfstabellen_Mat&amp;Bem'!$BD$31*($O104-0.3)+$O104^2)</f>
        <v>1.0614617553387986</v>
      </c>
      <c r="Q104" s="550">
        <f t="shared" si="60"/>
        <v>0.7475916209526049</v>
      </c>
      <c r="S104" s="551">
        <f t="shared" si="71"/>
        <v>18193.389687502593</v>
      </c>
      <c r="W104" s="546">
        <f t="shared" si="72"/>
        <v>156</v>
      </c>
      <c r="X104" s="551">
        <f t="shared" si="61"/>
        <v>66.617338752649118</v>
      </c>
      <c r="Y104" s="553">
        <f>$X104/PI()*SQRT('Hilfstabellen_Mat&amp;Bem'!f.Rd.3/'Hilfstabellen_Mat&amp;Bem'!$BD$30)</f>
        <v>1.0602478758111384</v>
      </c>
      <c r="Z104" s="553">
        <f>0.5*(1+'Hilfstabellen_Mat&amp;Bem'!$BD$31*($Y104-0.3)+$Y104^2)</f>
        <v>1.1000751728715725</v>
      </c>
      <c r="AA104" s="550">
        <f t="shared" si="62"/>
        <v>0.71766868305375253</v>
      </c>
      <c r="AC104" s="551">
        <f t="shared" si="73"/>
        <v>17465.18507079612</v>
      </c>
      <c r="AG104" s="546">
        <f t="shared" si="74"/>
        <v>156</v>
      </c>
      <c r="AH104" s="551">
        <f t="shared" si="63"/>
        <v>68.837916711070761</v>
      </c>
      <c r="AI104" s="553">
        <f>$AH104/PI()*SQRT('Hilfstabellen_Mat&amp;Bem'!f.Rd.3/'Hilfstabellen_Mat&amp;Bem'!$BD$30)</f>
        <v>1.09558947167151</v>
      </c>
      <c r="AJ104" s="553">
        <f>0.5*(1+'Hilfstabellen_Mat&amp;Bem'!$BD$31*($AI104-0.3)+$AI104^2)</f>
        <v>1.1399376188023047</v>
      </c>
      <c r="AK104" s="550">
        <f t="shared" si="64"/>
        <v>0.68737733366420695</v>
      </c>
      <c r="AM104" s="551">
        <f t="shared" si="75"/>
        <v>16728.014792052141</v>
      </c>
      <c r="AQ104" s="546">
        <f t="shared" si="76"/>
        <v>156</v>
      </c>
      <c r="AR104" s="551">
        <f t="shared" si="65"/>
        <v>71.058494669492404</v>
      </c>
      <c r="AS104" s="553">
        <f>$AR104/PI()*SQRT('Hilfstabellen_Mat&amp;Bem'!f.Rd.3/'Hilfstabellen_Mat&amp;Bem'!$BD$30)</f>
        <v>1.1309310675318813</v>
      </c>
      <c r="AT104" s="553">
        <f>0.5*(1+'Hilfstabellen_Mat&amp;Bem'!$BD$31*($AS104-0.3)+$AS104^2)</f>
        <v>1.1810490931309945</v>
      </c>
      <c r="AU104" s="550">
        <f t="shared" si="66"/>
        <v>0.6572683068992371</v>
      </c>
      <c r="AW104" s="551">
        <f t="shared" si="77"/>
        <v>15995.281516699833</v>
      </c>
      <c r="BA104" s="546">
        <f t="shared" si="78"/>
        <v>156</v>
      </c>
      <c r="BB104" s="551">
        <f t="shared" si="79"/>
        <v>73.279072627914033</v>
      </c>
      <c r="BC104" s="553">
        <f>$BB104/PI()*SQRT('Hilfstabellen_Mat&amp;Bem'!f.Rd.3/'Hilfstabellen_Mat&amp;Bem'!$BD$30)</f>
        <v>1.1662726633922524</v>
      </c>
      <c r="BD104" s="553">
        <f>0.5*(1+'Hilfstabellen_Mat&amp;Bem'!$BD$31*($BC104-0.3)+$BC104^2)</f>
        <v>1.2234095958576416</v>
      </c>
      <c r="BE104" s="550">
        <f t="shared" si="80"/>
        <v>0.62777729063324594</v>
      </c>
      <c r="BG104" s="551">
        <f t="shared" si="81"/>
        <v>15277.588144850673</v>
      </c>
      <c r="BK104" s="546">
        <f t="shared" si="82"/>
        <v>156</v>
      </c>
      <c r="BL104" s="551">
        <f t="shared" si="83"/>
        <v>75.499650586335676</v>
      </c>
      <c r="BM104" s="553">
        <f>$BL104/PI()*SQRT('Hilfstabellen_Mat&amp;Bem'!f.Rd.3/'Hilfstabellen_Mat&amp;Bem'!$BD$30)</f>
        <v>1.201614259252624</v>
      </c>
      <c r="BN104" s="553">
        <f>0.5*(1+'Hilfstabellen_Mat&amp;Bem'!$BD$31*($BM104-0.3)+$BM104^2)</f>
        <v>1.2670191269822473</v>
      </c>
      <c r="BO104" s="550">
        <f t="shared" si="84"/>
        <v>0.59921833918003287</v>
      </c>
      <c r="BQ104" s="551">
        <f t="shared" si="85"/>
        <v>14582.577502285279</v>
      </c>
      <c r="BU104" s="546">
        <f t="shared" si="86"/>
        <v>156</v>
      </c>
      <c r="BV104" s="551">
        <f t="shared" si="87"/>
        <v>77.720228544757305</v>
      </c>
      <c r="BW104" s="553">
        <f>$BV104/PI()*SQRT('Hilfstabellen_Mat&amp;Bem'!f.Rd.3/'Hilfstabellen_Mat&amp;Bem'!$BD$30)</f>
        <v>1.2369558551129949</v>
      </c>
      <c r="BX104" s="553">
        <f>0.5*(1+'Hilfstabellen_Mat&amp;Bem'!$BD$31*($BW104-0.3)+$BW104^2)</f>
        <v>1.3118776865048098</v>
      </c>
      <c r="BY104" s="550">
        <f t="shared" si="88"/>
        <v>0.57179741728252964</v>
      </c>
      <c r="CA104" s="551">
        <f t="shared" si="89"/>
        <v>13915.261946987641</v>
      </c>
      <c r="CE104" s="546">
        <f t="shared" si="90"/>
        <v>156</v>
      </c>
      <c r="CF104" s="551">
        <f t="shared" si="91"/>
        <v>79.940806503178948</v>
      </c>
      <c r="CG104" s="553">
        <f>CF104/PI()*SQRT('Hilfstabellen_Mat&amp;Bem'!f.Rd.3/'Hilfstabellen_Mat&amp;Bem'!$BD$30)</f>
        <v>1.2722974509733662</v>
      </c>
      <c r="CH104" s="553">
        <f>0.5*(1+'Hilfstabellen_Mat&amp;Bem'!$BD$31*(CG104-0.3)+CG104^2)</f>
        <v>1.3579852744253311</v>
      </c>
      <c r="CI104" s="550">
        <f t="shared" si="92"/>
        <v>0.54563390570277925</v>
      </c>
      <c r="CK104" s="551">
        <f t="shared" si="93"/>
        <v>13278.546729182835</v>
      </c>
      <c r="CO104" s="546">
        <f t="shared" si="94"/>
        <v>156</v>
      </c>
      <c r="CP104" s="551">
        <f t="shared" si="95"/>
        <v>82.161384461600591</v>
      </c>
      <c r="CQ104" s="553">
        <f>CP104/PI()*SQRT('Hilfstabellen_Mat&amp;Bem'!f.Rd.3/'Hilfstabellen_Mat&amp;Bem'!$BD$30)</f>
        <v>1.3076390468337378</v>
      </c>
      <c r="CR104" s="553">
        <f>0.5*(1+'Hilfstabellen_Mat&amp;Bem'!$BD$31*(CQ104-0.3)+CQ104^2)</f>
        <v>1.40534189074381</v>
      </c>
      <c r="CS104" s="550">
        <f t="shared" si="96"/>
        <v>0.52078248839036556</v>
      </c>
      <c r="CU104" s="551">
        <f t="shared" si="97"/>
        <v>12673.762637467937</v>
      </c>
      <c r="CY104" s="546">
        <f t="shared" si="98"/>
        <v>156</v>
      </c>
      <c r="CZ104" s="551">
        <f t="shared" si="99"/>
        <v>84.381962420022219</v>
      </c>
      <c r="DA104" s="553">
        <f>CZ104/PI()*SQRT('Hilfstabellen_Mat&amp;Bem'!f.Rd.3/'Hilfstabellen_Mat&amp;Bem'!$BD$30)</f>
        <v>1.3429806426941089</v>
      </c>
      <c r="DB104" s="553">
        <f>0.5*(1+'Hilfstabellen_Mat&amp;Bem'!$BD$31*(DA104-0.3)+DA104^2)</f>
        <v>1.4539475354602462</v>
      </c>
      <c r="DC104" s="550">
        <f t="shared" si="100"/>
        <v>0.49725195257014465</v>
      </c>
      <c r="DE104" s="551">
        <f t="shared" si="101"/>
        <v>12101.123517747041</v>
      </c>
      <c r="DI104" s="546">
        <f t="shared" si="102"/>
        <v>156</v>
      </c>
      <c r="DJ104" s="551">
        <f t="shared" si="103"/>
        <v>86.602540378443862</v>
      </c>
      <c r="DK104" s="553">
        <f>DJ104/PI()*SQRT('Hilfstabellen_Mat&amp;Bem'!f.Rd.3/'Hilfstabellen_Mat&amp;Bem'!$BD$30)</f>
        <v>1.3783222385544802</v>
      </c>
      <c r="DL104" s="553">
        <f>0.5*(1+'Hilfstabellen_Mat&amp;Bem'!$BD$31*(DK104-0.3)+DK104^2)</f>
        <v>1.5038022085746408</v>
      </c>
      <c r="DM104" s="550">
        <f t="shared" si="104"/>
        <v>0.47501995619125226</v>
      </c>
      <c r="DO104" s="551">
        <f t="shared" si="105"/>
        <v>11560.085653870316</v>
      </c>
      <c r="DS104" s="546">
        <f t="shared" si="106"/>
        <v>156</v>
      </c>
      <c r="DT104" s="551">
        <f t="shared" si="107"/>
        <v>88.823118336865505</v>
      </c>
      <c r="DU104" s="553">
        <f>DT104/PI()*SQRT('Hilfstabellen_Mat&amp;Bem'!f.Rd.3/'Hilfstabellen_Mat&amp;Bem'!$BD$30)</f>
        <v>1.4136638344148516</v>
      </c>
      <c r="DV104" s="553">
        <f>0.5*(1+'Hilfstabellen_Mat&amp;Bem'!$BD$31*(DU104-0.3)+DU104^2)</f>
        <v>1.5549059100869931</v>
      </c>
      <c r="DW104" s="550">
        <f t="shared" si="108"/>
        <v>0.45404402109541031</v>
      </c>
      <c r="DY104" s="551">
        <f t="shared" si="109"/>
        <v>11049.615297377904</v>
      </c>
      <c r="EC104" s="546">
        <f t="shared" si="110"/>
        <v>156</v>
      </c>
      <c r="ED104" s="551">
        <f t="shared" si="111"/>
        <v>91.043696295287134</v>
      </c>
      <c r="EE104" s="553">
        <f>ED104/PI()*SQRT('Hilfstabellen_Mat&amp;Bem'!f.Rd.3/'Hilfstabellen_Mat&amp;Bem'!$BD$30)</f>
        <v>1.4490054302752227</v>
      </c>
      <c r="EF104" s="553">
        <f>0.5*(1+'Hilfstabellen_Mat&amp;Bem'!$BD$31*(EE104-0.3)+EE104^2)</f>
        <v>1.6072586399973026</v>
      </c>
      <c r="EG104" s="550">
        <f t="shared" si="112"/>
        <v>0.43426943214846758</v>
      </c>
      <c r="EI104" s="551">
        <f t="shared" si="113"/>
        <v>10568.380900765107</v>
      </c>
      <c r="EM104" s="546">
        <f t="shared" si="114"/>
        <v>156</v>
      </c>
      <c r="EN104" s="551">
        <f t="shared" si="115"/>
        <v>93.264274253708777</v>
      </c>
      <c r="EO104" s="553">
        <f>EN104/PI()*SQRT('Hilfstabellen_Mat&amp;Bem'!f.Rd.3/'Hilfstabellen_Mat&amp;Bem'!$BD$30)</f>
        <v>1.484347026135594</v>
      </c>
      <c r="EP104" s="553">
        <f>0.5*(1+'Hilfstabellen_Mat&amp;Bem'!$BD$31*(EO104-0.3)+EO104^2)</f>
        <v>1.6608603983055705</v>
      </c>
      <c r="EQ104" s="550">
        <f t="shared" si="116"/>
        <v>0.41563476821509615</v>
      </c>
      <c r="ES104" s="551">
        <f t="shared" si="117"/>
        <v>10114.88771928258</v>
      </c>
    </row>
    <row r="105" spans="3:149">
      <c r="C105" s="546">
        <v>157</v>
      </c>
      <c r="D105" s="551">
        <f t="shared" si="67"/>
        <v>61.780156193539568</v>
      </c>
      <c r="E105" s="553">
        <f>$D105/PI()*SQRT('Hilfstabellen_Mat&amp;Bem'!f.Rd.3/'Hilfstabellen_Mat&amp;Bem'!$BD$30)</f>
        <v>0.98326172431911962</v>
      </c>
      <c r="F105" s="553">
        <f>0.5*(1+'Hilfstabellen_Mat&amp;Bem'!$BD$31*($E105-0.3)+$E105^2)</f>
        <v>1.0175648954714602</v>
      </c>
      <c r="G105" s="550">
        <f t="shared" si="68"/>
        <v>0.78152649984277045</v>
      </c>
      <c r="I105" s="551">
        <f t="shared" si="69"/>
        <v>19263.846694624448</v>
      </c>
      <c r="M105" s="546">
        <f t="shared" si="70"/>
        <v>157</v>
      </c>
      <c r="N105" s="551">
        <f t="shared" si="59"/>
        <v>63.986590343308841</v>
      </c>
      <c r="O105" s="553">
        <f>$N105/PI()*SQRT('Hilfstabellen_Mat&amp;Bem'!f.Rd.3/'Hilfstabellen_Mat&amp;Bem'!$BD$30)</f>
        <v>1.018378214473374</v>
      </c>
      <c r="P105" s="553">
        <f>0.5*(1+'Hilfstabellen_Mat&amp;Bem'!$BD$31*($O105-0.3)+$O105^2)</f>
        <v>1.0544660045806573</v>
      </c>
      <c r="Q105" s="550">
        <f t="shared" si="60"/>
        <v>0.75302913030622154</v>
      </c>
      <c r="S105" s="551">
        <f t="shared" si="71"/>
        <v>18561.415032918056</v>
      </c>
      <c r="W105" s="546">
        <f t="shared" si="72"/>
        <v>157</v>
      </c>
      <c r="X105" s="551">
        <f t="shared" si="61"/>
        <v>66.193024493078113</v>
      </c>
      <c r="Y105" s="553">
        <f>$X105/PI()*SQRT('Hilfstabellen_Mat&amp;Bem'!f.Rd.3/'Hilfstabellen_Mat&amp;Bem'!$BD$30)</f>
        <v>1.0534947046276282</v>
      </c>
      <c r="Z105" s="553">
        <f>0.5*(1+'Hilfstabellen_Mat&amp;Bem'!$BD$31*($Y105-0.3)+$Y105^2)</f>
        <v>1.0926002815706082</v>
      </c>
      <c r="AA105" s="550">
        <f t="shared" si="62"/>
        <v>0.72343344643365026</v>
      </c>
      <c r="AC105" s="551">
        <f t="shared" si="73"/>
        <v>17831.911021143045</v>
      </c>
      <c r="AG105" s="546">
        <f t="shared" si="74"/>
        <v>157</v>
      </c>
      <c r="AH105" s="551">
        <f t="shared" si="63"/>
        <v>68.399458642847378</v>
      </c>
      <c r="AI105" s="553">
        <f>$AH105/PI()*SQRT('Hilfstabellen_Mat&amp;Bem'!f.Rd.3/'Hilfstabellen_Mat&amp;Bem'!$BD$30)</f>
        <v>1.0886111947818824</v>
      </c>
      <c r="AJ105" s="553">
        <f>0.5*(1+'Hilfstabellen_Mat&amp;Bem'!$BD$31*($AI105-0.3)+$AI105^2)</f>
        <v>1.1319677264413128</v>
      </c>
      <c r="AK105" s="550">
        <f t="shared" si="64"/>
        <v>0.69335989720322777</v>
      </c>
      <c r="AM105" s="551">
        <f t="shared" si="75"/>
        <v>17090.628106162363</v>
      </c>
      <c r="AQ105" s="546">
        <f t="shared" si="76"/>
        <v>157</v>
      </c>
      <c r="AR105" s="551">
        <f t="shared" si="65"/>
        <v>70.605892792616643</v>
      </c>
      <c r="AS105" s="553">
        <f>$AR105/PI()*SQRT('Hilfstabellen_Mat&amp;Bem'!f.Rd.3/'Hilfstabellen_Mat&amp;Bem'!$BD$30)</f>
        <v>1.1237276849361366</v>
      </c>
      <c r="AT105" s="553">
        <f>0.5*(1+'Hilfstabellen_Mat&amp;Bem'!$BD$31*($AS105-0.3)+$AS105^2)</f>
        <v>1.1725683391927715</v>
      </c>
      <c r="AU105" s="550">
        <f t="shared" si="66"/>
        <v>0.66336740343096479</v>
      </c>
      <c r="AW105" s="551">
        <f t="shared" si="77"/>
        <v>16351.343127169852</v>
      </c>
      <c r="BA105" s="546">
        <f t="shared" si="78"/>
        <v>157</v>
      </c>
      <c r="BB105" s="551">
        <f t="shared" si="79"/>
        <v>72.812326942385923</v>
      </c>
      <c r="BC105" s="553">
        <f>$BB105/PI()*SQRT('Hilfstabellen_Mat&amp;Bem'!f.Rd.3/'Hilfstabellen_Mat&amp;Bem'!$BD$30)</f>
        <v>1.1588441750903911</v>
      </c>
      <c r="BD105" s="553">
        <f>0.5*(1+'Hilfstabellen_Mat&amp;Bem'!$BD$31*($BC105-0.3)+$BC105^2)</f>
        <v>1.2144021198249839</v>
      </c>
      <c r="BE105" s="550">
        <f t="shared" si="80"/>
        <v>0.63390744066206473</v>
      </c>
      <c r="BG105" s="551">
        <f t="shared" si="81"/>
        <v>15625.184504879233</v>
      </c>
      <c r="BK105" s="546">
        <f t="shared" si="82"/>
        <v>157</v>
      </c>
      <c r="BL105" s="551">
        <f t="shared" si="83"/>
        <v>75.018761092155188</v>
      </c>
      <c r="BM105" s="553">
        <f>$BL105/PI()*SQRT('Hilfstabellen_Mat&amp;Bem'!f.Rd.3/'Hilfstabellen_Mat&amp;Bem'!$BD$30)</f>
        <v>1.1939606652446453</v>
      </c>
      <c r="BN105" s="553">
        <f>0.5*(1+'Hilfstabellen_Mat&amp;Bem'!$BD$31*($BM105-0.3)+$BM105^2)</f>
        <v>1.2574690683379501</v>
      </c>
      <c r="BO105" s="550">
        <f t="shared" si="84"/>
        <v>0.60531214224288887</v>
      </c>
      <c r="BQ105" s="551">
        <f t="shared" si="85"/>
        <v>14920.338994144968</v>
      </c>
      <c r="BU105" s="546">
        <f t="shared" si="86"/>
        <v>157</v>
      </c>
      <c r="BV105" s="551">
        <f t="shared" si="87"/>
        <v>77.225195241924467</v>
      </c>
      <c r="BW105" s="553">
        <f>$BV105/PI()*SQRT('Hilfstabellen_Mat&amp;Bem'!f.Rd.3/'Hilfstabellen_Mat&amp;Bem'!$BD$30)</f>
        <v>1.2290771553988997</v>
      </c>
      <c r="BX105" s="553">
        <f>0.5*(1+'Hilfstabellen_Mat&amp;Bem'!$BD$31*($BW105-0.3)+$BW105^2)</f>
        <v>1.3017691847316706</v>
      </c>
      <c r="BY105" s="550">
        <f t="shared" si="88"/>
        <v>0.5778045044494744</v>
      </c>
      <c r="CA105" s="551">
        <f t="shared" si="89"/>
        <v>14242.303230175094</v>
      </c>
      <c r="CE105" s="546">
        <f t="shared" si="90"/>
        <v>157</v>
      </c>
      <c r="CF105" s="551">
        <f t="shared" si="91"/>
        <v>79.431629391693733</v>
      </c>
      <c r="CG105" s="553">
        <f>CF105/PI()*SQRT('Hilfstabellen_Mat&amp;Bem'!f.Rd.3/'Hilfstabellen_Mat&amp;Bem'!$BD$30)</f>
        <v>1.2641936455531537</v>
      </c>
      <c r="CH105" s="553">
        <f>0.5*(1+'Hilfstabellen_Mat&amp;Bem'!$BD$31*(CG105-0.3)+CG105^2)</f>
        <v>1.3473024690061441</v>
      </c>
      <c r="CI105" s="550">
        <f t="shared" si="92"/>
        <v>0.55151836788483344</v>
      </c>
      <c r="CK105" s="551">
        <f t="shared" si="93"/>
        <v>13594.37624999326</v>
      </c>
      <c r="CO105" s="546">
        <f t="shared" si="94"/>
        <v>157</v>
      </c>
      <c r="CP105" s="551">
        <f t="shared" si="95"/>
        <v>81.638063541462998</v>
      </c>
      <c r="CQ105" s="553">
        <f>CP105/PI()*SQRT('Hilfstabellen_Mat&amp;Bem'!f.Rd.3/'Hilfstabellen_Mat&amp;Bem'!$BD$30)</f>
        <v>1.2993101357074082</v>
      </c>
      <c r="CR105" s="553">
        <f>0.5*(1+'Hilfstabellen_Mat&amp;Bem'!$BD$31*(CQ105-0.3)+CQ105^2)</f>
        <v>1.3940689211613719</v>
      </c>
      <c r="CS105" s="550">
        <f t="shared" si="96"/>
        <v>0.52651994949145864</v>
      </c>
      <c r="CU105" s="551">
        <f t="shared" si="97"/>
        <v>12978.190235014965</v>
      </c>
      <c r="CY105" s="546">
        <f t="shared" si="98"/>
        <v>157</v>
      </c>
      <c r="CZ105" s="551">
        <f t="shared" si="99"/>
        <v>83.844497691232277</v>
      </c>
      <c r="DA105" s="553">
        <f>CZ105/PI()*SQRT('Hilfstabellen_Mat&amp;Bem'!f.Rd.3/'Hilfstabellen_Mat&amp;Bem'!$BD$30)</f>
        <v>1.3344266258616626</v>
      </c>
      <c r="DB105" s="553">
        <f>0.5*(1+'Hilfstabellen_Mat&amp;Bem'!$BD$31*(DA105-0.3)+DA105^2)</f>
        <v>1.4420685411973539</v>
      </c>
      <c r="DC105" s="550">
        <f t="shared" si="100"/>
        <v>0.50282687427095374</v>
      </c>
      <c r="DE105" s="551">
        <f t="shared" si="101"/>
        <v>12394.179623904738</v>
      </c>
      <c r="DI105" s="546">
        <f t="shared" si="102"/>
        <v>157</v>
      </c>
      <c r="DJ105" s="551">
        <f t="shared" si="103"/>
        <v>86.050931841001542</v>
      </c>
      <c r="DK105" s="553">
        <f>DJ105/PI()*SQRT('Hilfstabellen_Mat&amp;Bem'!f.Rd.3/'Hilfstabellen_Mat&amp;Bem'!$BD$30)</f>
        <v>1.3695431160159166</v>
      </c>
      <c r="DL105" s="553">
        <f>0.5*(1+'Hilfstabellen_Mat&amp;Bem'!$BD$31*(DK105-0.3)+DK105^2)</f>
        <v>1.4913013291140889</v>
      </c>
      <c r="DM105" s="550">
        <f t="shared" si="104"/>
        <v>0.48042339061346717</v>
      </c>
      <c r="DO105" s="551">
        <f t="shared" si="105"/>
        <v>11841.956155231352</v>
      </c>
      <c r="DS105" s="546">
        <f t="shared" si="106"/>
        <v>157</v>
      </c>
      <c r="DT105" s="551">
        <f t="shared" si="107"/>
        <v>88.257365990770822</v>
      </c>
      <c r="DU105" s="553">
        <f>DT105/PI()*SQRT('Hilfstabellen_Mat&amp;Bem'!f.Rd.3/'Hilfstabellen_Mat&amp;Bem'!$BD$30)</f>
        <v>1.404659606170171</v>
      </c>
      <c r="DV105" s="553">
        <f>0.5*(1+'Hilfstabellen_Mat&amp;Bem'!$BD$31*(DU105-0.3)+DU105^2)</f>
        <v>1.5417672849115784</v>
      </c>
      <c r="DW105" s="550">
        <f t="shared" si="108"/>
        <v>0.45927183638826619</v>
      </c>
      <c r="DY105" s="551">
        <f t="shared" si="109"/>
        <v>11320.591495134373</v>
      </c>
      <c r="EC105" s="546">
        <f t="shared" si="110"/>
        <v>157</v>
      </c>
      <c r="ED105" s="551">
        <f t="shared" si="111"/>
        <v>90.463800140540073</v>
      </c>
      <c r="EE105" s="553">
        <f>ED105/PI()*SQRT('Hilfstabellen_Mat&amp;Bem'!f.Rd.3/'Hilfstabellen_Mat&amp;Bem'!$BD$30)</f>
        <v>1.439776096324425</v>
      </c>
      <c r="EF105" s="553">
        <f>0.5*(1+'Hilfstabellen_Mat&amp;Bem'!$BD$31*(EE105-0.3)+EE105^2)</f>
        <v>1.5934664085898214</v>
      </c>
      <c r="EG105" s="550">
        <f t="shared" si="112"/>
        <v>0.43932095571496704</v>
      </c>
      <c r="EI105" s="551">
        <f t="shared" si="113"/>
        <v>10828.822237418222</v>
      </c>
      <c r="EM105" s="546">
        <f t="shared" si="114"/>
        <v>157</v>
      </c>
      <c r="EN105" s="551">
        <f t="shared" si="115"/>
        <v>92.670234290309352</v>
      </c>
      <c r="EO105" s="553">
        <f>EN105/PI()*SQRT('Hilfstabellen_Mat&amp;Bem'!f.Rd.3/'Hilfstabellen_Mat&amp;Bem'!$BD$30)</f>
        <v>1.4748925864786795</v>
      </c>
      <c r="EP105" s="553">
        <f>0.5*(1+'Hilfstabellen_Mat&amp;Bem'!$BD$31*(EO105-0.3)+EO105^2)</f>
        <v>1.6463987001488185</v>
      </c>
      <c r="EQ105" s="550">
        <f t="shared" si="116"/>
        <v>0.42051176940153107</v>
      </c>
      <c r="ES105" s="551">
        <f t="shared" si="117"/>
        <v>10365.19460397834</v>
      </c>
    </row>
    <row r="106" spans="3:149">
      <c r="C106" s="546">
        <v>158</v>
      </c>
      <c r="D106" s="551">
        <f t="shared" si="67"/>
        <v>61.389142546745006</v>
      </c>
      <c r="E106" s="553">
        <f>$D106/PI()*SQRT('Hilfstabellen_Mat&amp;Bem'!f.Rd.3/'Hilfstabellen_Mat&amp;Bem'!$BD$30)</f>
        <v>0.9770385488487453</v>
      </c>
      <c r="F106" s="553">
        <f>0.5*(1+'Hilfstabellen_Mat&amp;Bem'!$BD$31*($E106-0.3)+$E106^2)</f>
        <v>1.0111540904106682</v>
      </c>
      <c r="G106" s="550">
        <f t="shared" si="68"/>
        <v>0.78641533655226648</v>
      </c>
      <c r="I106" s="551">
        <f t="shared" si="69"/>
        <v>19632.072461690779</v>
      </c>
      <c r="M106" s="546">
        <f t="shared" si="70"/>
        <v>158</v>
      </c>
      <c r="N106" s="551">
        <f t="shared" si="59"/>
        <v>63.581611923414471</v>
      </c>
      <c r="O106" s="553">
        <f>$N106/PI()*SQRT('Hilfstabellen_Mat&amp;Bem'!f.Rd.3/'Hilfstabellen_Mat&amp;Bem'!$BD$30)</f>
        <v>1.0119327827362006</v>
      </c>
      <c r="P106" s="553">
        <f>0.5*(1+'Hilfstabellen_Mat&amp;Bem'!$BD$31*($O106-0.3)+$O106^2)</f>
        <v>1.0476006175249253</v>
      </c>
      <c r="Q106" s="550">
        <f t="shared" si="60"/>
        <v>0.75836054302976419</v>
      </c>
      <c r="S106" s="551">
        <f t="shared" si="71"/>
        <v>18931.712596195033</v>
      </c>
      <c r="W106" s="546">
        <f t="shared" si="72"/>
        <v>158</v>
      </c>
      <c r="X106" s="551">
        <f t="shared" si="61"/>
        <v>65.774081300083949</v>
      </c>
      <c r="Y106" s="553">
        <f>$X106/PI()*SQRT('Hilfstabellen_Mat&amp;Bem'!f.Rd.3/'Hilfstabellen_Mat&amp;Bem'!$BD$30)</f>
        <v>1.046827016623656</v>
      </c>
      <c r="Z106" s="553">
        <f>0.5*(1+'Hilfstabellen_Mat&amp;Bem'!$BD$31*($Y106-0.3)+$Y106^2)</f>
        <v>1.0852647521977747</v>
      </c>
      <c r="AA106" s="550">
        <f t="shared" si="62"/>
        <v>0.72910811178694857</v>
      </c>
      <c r="AC106" s="551">
        <f t="shared" si="73"/>
        <v>18201.454902649384</v>
      </c>
      <c r="AG106" s="546">
        <f t="shared" si="74"/>
        <v>158</v>
      </c>
      <c r="AH106" s="551">
        <f t="shared" si="63"/>
        <v>67.966550676753414</v>
      </c>
      <c r="AI106" s="553">
        <f>$AH106/PI()*SQRT('Hilfstabellen_Mat&amp;Bem'!f.Rd.3/'Hilfstabellen_Mat&amp;Bem'!$BD$30)</f>
        <v>1.0817212505111111</v>
      </c>
      <c r="AJ106" s="553">
        <f>0.5*(1+'Hilfstabellen_Mat&amp;Bem'!$BD$31*($AI106-0.3)+$AI106^2)</f>
        <v>1.1241464944292165</v>
      </c>
      <c r="AK106" s="550">
        <f t="shared" si="64"/>
        <v>0.69927023696239698</v>
      </c>
      <c r="AM106" s="551">
        <f t="shared" si="75"/>
        <v>17456.582195529278</v>
      </c>
      <c r="AQ106" s="546">
        <f t="shared" si="76"/>
        <v>158</v>
      </c>
      <c r="AR106" s="551">
        <f t="shared" si="65"/>
        <v>70.159020053422879</v>
      </c>
      <c r="AS106" s="553">
        <f>$AR106/PI()*SQRT('Hilfstabellen_Mat&amp;Bem'!f.Rd.3/'Hilfstabellen_Mat&amp;Bem'!$BD$30)</f>
        <v>1.1166154843985663</v>
      </c>
      <c r="AT106" s="553">
        <f>0.5*(1+'Hilfstabellen_Mat&amp;Bem'!$BD$31*($AS106-0.3)+$AS106^2)</f>
        <v>1.1642458442192507</v>
      </c>
      <c r="AU106" s="550">
        <f t="shared" si="66"/>
        <v>0.6694116971880032</v>
      </c>
      <c r="AW106" s="551">
        <f t="shared" si="77"/>
        <v>16711.193608601312</v>
      </c>
      <c r="BA106" s="546">
        <f t="shared" si="78"/>
        <v>158</v>
      </c>
      <c r="BB106" s="551">
        <f t="shared" si="79"/>
        <v>72.351489430092343</v>
      </c>
      <c r="BC106" s="553">
        <f>$BB106/PI()*SQRT('Hilfstabellen_Mat&amp;Bem'!f.Rd.3/'Hilfstabellen_Mat&amp;Bem'!$BD$30)</f>
        <v>1.1515097182860214</v>
      </c>
      <c r="BD106" s="553">
        <f>0.5*(1+'Hilfstabellen_Mat&amp;Bem'!$BD$31*($BC106-0.3)+$BC106^2)</f>
        <v>1.2055628015678774</v>
      </c>
      <c r="BE106" s="550">
        <f t="shared" si="80"/>
        <v>0.63999835123123971</v>
      </c>
      <c r="BG106" s="551">
        <f t="shared" si="81"/>
        <v>15976.918840136668</v>
      </c>
      <c r="BK106" s="546">
        <f t="shared" si="82"/>
        <v>158</v>
      </c>
      <c r="BL106" s="551">
        <f t="shared" si="83"/>
        <v>74.543958806761808</v>
      </c>
      <c r="BM106" s="553">
        <f>$BL106/PI()*SQRT('Hilfstabellen_Mat&amp;Bem'!f.Rd.3/'Hilfstabellen_Mat&amp;Bem'!$BD$30)</f>
        <v>1.1864039521734766</v>
      </c>
      <c r="BN106" s="553">
        <f>0.5*(1+'Hilfstabellen_Mat&amp;Bem'!$BD$31*($BM106-0.3)+$BM106^2)</f>
        <v>1.2480973664750963</v>
      </c>
      <c r="BO106" s="550">
        <f t="shared" si="84"/>
        <v>0.61137983520548667</v>
      </c>
      <c r="BQ106" s="551">
        <f t="shared" si="85"/>
        <v>15262.486206069769</v>
      </c>
      <c r="BU106" s="546">
        <f t="shared" si="86"/>
        <v>158</v>
      </c>
      <c r="BV106" s="551">
        <f t="shared" si="87"/>
        <v>76.736428183431272</v>
      </c>
      <c r="BW106" s="553">
        <f>$BV106/PI()*SQRT('Hilfstabellen_Mat&amp;Bem'!f.Rd.3/'Hilfstabellen_Mat&amp;Bem'!$BD$30)</f>
        <v>1.221298186060932</v>
      </c>
      <c r="BX106" s="553">
        <f>0.5*(1+'Hilfstabellen_Mat&amp;Bem'!$BD$31*($BW106-0.3)+$BW106^2)</f>
        <v>1.2918495389409079</v>
      </c>
      <c r="BY106" s="550">
        <f t="shared" si="88"/>
        <v>0.58379614403894342</v>
      </c>
      <c r="CA106" s="551">
        <f t="shared" si="89"/>
        <v>14573.886939788184</v>
      </c>
      <c r="CE106" s="546">
        <f t="shared" si="90"/>
        <v>158</v>
      </c>
      <c r="CF106" s="551">
        <f t="shared" si="91"/>
        <v>78.928897560100737</v>
      </c>
      <c r="CG106" s="553">
        <f>CF106/PI()*SQRT('Hilfstabellen_Mat&amp;Bem'!f.Rd.3/'Hilfstabellen_Mat&amp;Bem'!$BD$30)</f>
        <v>1.2561924199483872</v>
      </c>
      <c r="CH106" s="553">
        <f>0.5*(1+'Hilfstabellen_Mat&amp;Bem'!$BD$31*(CG106-0.3)+CG106^2)</f>
        <v>1.3368193189653119</v>
      </c>
      <c r="CI106" s="550">
        <f t="shared" si="92"/>
        <v>0.55739582349313554</v>
      </c>
      <c r="CK106" s="551">
        <f t="shared" si="93"/>
        <v>13914.829337682635</v>
      </c>
      <c r="CO106" s="546">
        <f t="shared" si="94"/>
        <v>158</v>
      </c>
      <c r="CP106" s="551">
        <f t="shared" si="95"/>
        <v>81.121366936770201</v>
      </c>
      <c r="CQ106" s="553">
        <f>CP106/PI()*SQRT('Hilfstabellen_Mat&amp;Bem'!f.Rd.3/'Hilfstabellen_Mat&amp;Bem'!$BD$30)</f>
        <v>1.2910866538358423</v>
      </c>
      <c r="CR106" s="553">
        <f>0.5*(1+'Hilfstabellen_Mat&amp;Bem'!$BD$31*(CQ106-0.3)+CQ106^2)</f>
        <v>1.3830067065483083</v>
      </c>
      <c r="CS106" s="550">
        <f t="shared" si="96"/>
        <v>0.53225696971369885</v>
      </c>
      <c r="CU106" s="551">
        <f t="shared" si="97"/>
        <v>13287.262991932777</v>
      </c>
      <c r="CY106" s="546">
        <f t="shared" si="98"/>
        <v>158</v>
      </c>
      <c r="CZ106" s="551">
        <f t="shared" si="99"/>
        <v>83.313836313439666</v>
      </c>
      <c r="DA106" s="553">
        <f>CZ106/PI()*SQRT('Hilfstabellen_Mat&amp;Bem'!f.Rd.3/'Hilfstabellen_Mat&amp;Bem'!$BD$30)</f>
        <v>1.3259808877232975</v>
      </c>
      <c r="DB106" s="553">
        <f>0.5*(1+'Hilfstabellen_Mat&amp;Bem'!$BD$31*(DA106-0.3)+DA106^2)</f>
        <v>1.4304117016898967</v>
      </c>
      <c r="DC106" s="550">
        <f t="shared" si="100"/>
        <v>0.50840639616333505</v>
      </c>
      <c r="DE106" s="551">
        <f t="shared" si="101"/>
        <v>12691.857273821497</v>
      </c>
      <c r="DI106" s="546">
        <f t="shared" si="102"/>
        <v>158</v>
      </c>
      <c r="DJ106" s="551">
        <f t="shared" si="103"/>
        <v>85.50630569010913</v>
      </c>
      <c r="DK106" s="553">
        <f>DJ106/PI()*SQRT('Hilfstabellen_Mat&amp;Bem'!f.Rd.3/'Hilfstabellen_Mat&amp;Bem'!$BD$30)</f>
        <v>1.3608751216107526</v>
      </c>
      <c r="DL106" s="553">
        <f>0.5*(1+'Hilfstabellen_Mat&amp;Bem'!$BD$31*(DK106-0.3)+DK106^2)</f>
        <v>1.479034304390078</v>
      </c>
      <c r="DM106" s="550">
        <f t="shared" si="104"/>
        <v>0.48583525397377042</v>
      </c>
      <c r="DO106" s="551">
        <f t="shared" si="105"/>
        <v>12128.391280201206</v>
      </c>
      <c r="DS106" s="546">
        <f t="shared" si="106"/>
        <v>158</v>
      </c>
      <c r="DT106" s="551">
        <f t="shared" si="107"/>
        <v>87.698775066778595</v>
      </c>
      <c r="DU106" s="553">
        <f>DT106/PI()*SQRT('Hilfstabellen_Mat&amp;Bem'!f.Rd.3/'Hilfstabellen_Mat&amp;Bem'!$BD$30)</f>
        <v>1.3957693554982078</v>
      </c>
      <c r="DV106" s="553">
        <f>0.5*(1+'Hilfstabellen_Mat&amp;Bem'!$BD$31*(DU106-0.3)+DU106^2)</f>
        <v>1.5288745146488516</v>
      </c>
      <c r="DW106" s="550">
        <f t="shared" si="108"/>
        <v>0.46451095772608958</v>
      </c>
      <c r="DY106" s="551">
        <f t="shared" si="109"/>
        <v>11596.051548674101</v>
      </c>
      <c r="EC106" s="546">
        <f t="shared" si="110"/>
        <v>158</v>
      </c>
      <c r="ED106" s="551">
        <f t="shared" si="111"/>
        <v>89.891244443448059</v>
      </c>
      <c r="EE106" s="553">
        <f>ED106/PI()*SQRT('Hilfstabellen_Mat&amp;Bem'!f.Rd.3/'Hilfstabellen_Mat&amp;Bem'!$BD$30)</f>
        <v>1.430663589385663</v>
      </c>
      <c r="EF106" s="553">
        <f>0.5*(1+'Hilfstabellen_Mat&amp;Bem'!$BD$31*(EE106-0.3)+EE106^2)</f>
        <v>1.5799323324662176</v>
      </c>
      <c r="EG106" s="550">
        <f t="shared" si="112"/>
        <v>0.44438592077903644</v>
      </c>
      <c r="EI106" s="551">
        <f t="shared" si="113"/>
        <v>11093.650126327866</v>
      </c>
      <c r="EM106" s="546">
        <f t="shared" si="114"/>
        <v>158</v>
      </c>
      <c r="EN106" s="551">
        <f t="shared" si="115"/>
        <v>92.083713820117524</v>
      </c>
      <c r="EO106" s="553">
        <f>EN106/PI()*SQRT('Hilfstabellen_Mat&amp;Bem'!f.Rd.3/'Hilfstabellen_Mat&amp;Bem'!$BD$30)</f>
        <v>1.4655578232731181</v>
      </c>
      <c r="EP106" s="553">
        <f>0.5*(1+'Hilfstabellen_Mat&amp;Bem'!$BD$31*(EO106-0.3)+EO106^2)</f>
        <v>1.6322077578421759</v>
      </c>
      <c r="EQ106" s="550">
        <f t="shared" si="116"/>
        <v>0.42540377167772037</v>
      </c>
      <c r="ES106" s="551">
        <f t="shared" si="117"/>
        <v>10619.779756162612</v>
      </c>
    </row>
    <row r="107" spans="3:149">
      <c r="C107" s="546">
        <v>159</v>
      </c>
      <c r="D107" s="551">
        <f t="shared" si="67"/>
        <v>61.003047310601964</v>
      </c>
      <c r="E107" s="553">
        <f>$D107/PI()*SQRT('Hilfstabellen_Mat&amp;Bem'!f.Rd.3/'Hilfstabellen_Mat&amp;Bem'!$BD$30)</f>
        <v>0.97089365231510549</v>
      </c>
      <c r="F107" s="553">
        <f>0.5*(1+'Hilfstabellen_Mat&amp;Bem'!$BD$31*($E107-0.3)+$E107^2)</f>
        <v>1.0048619246686377</v>
      </c>
      <c r="G107" s="550">
        <f t="shared" si="68"/>
        <v>0.79118699953124016</v>
      </c>
      <c r="I107" s="551">
        <f t="shared" si="69"/>
        <v>20001.998535149283</v>
      </c>
      <c r="M107" s="546">
        <f t="shared" si="70"/>
        <v>159</v>
      </c>
      <c r="N107" s="551">
        <f t="shared" si="59"/>
        <v>63.181727571694886</v>
      </c>
      <c r="O107" s="553">
        <f>$N107/PI()*SQRT('Hilfstabellen_Mat&amp;Bem'!f.Rd.3/'Hilfstabellen_Mat&amp;Bem'!$BD$30)</f>
        <v>1.0055684256120736</v>
      </c>
      <c r="P107" s="553">
        <f>0.5*(1+'Hilfstabellen_Mat&amp;Bem'!$BD$31*($O107-0.3)+$O107^2)</f>
        <v>1.0408623505745758</v>
      </c>
      <c r="Q107" s="550">
        <f t="shared" si="60"/>
        <v>0.7635847225027067</v>
      </c>
      <c r="S107" s="551">
        <f t="shared" si="71"/>
        <v>19304.185369590927</v>
      </c>
      <c r="W107" s="546">
        <f t="shared" si="72"/>
        <v>159</v>
      </c>
      <c r="X107" s="551">
        <f t="shared" si="61"/>
        <v>65.360407832787828</v>
      </c>
      <c r="Y107" s="553">
        <f>$X107/PI()*SQRT('Hilfstabellen_Mat&amp;Bem'!f.Rd.3/'Hilfstabellen_Mat&amp;Bem'!$BD$30)</f>
        <v>1.0402431989090417</v>
      </c>
      <c r="Z107" s="553">
        <f>0.5*(1+'Hilfstabellen_Mat&amp;Bem'!$BD$31*($Y107-0.3)+$Y107^2)</f>
        <v>1.0780651163837101</v>
      </c>
      <c r="AA107" s="550">
        <f t="shared" si="62"/>
        <v>0.734690590699277</v>
      </c>
      <c r="AC107" s="551">
        <f t="shared" si="73"/>
        <v>18573.712823468421</v>
      </c>
      <c r="AG107" s="546">
        <f t="shared" si="74"/>
        <v>159</v>
      </c>
      <c r="AH107" s="551">
        <f t="shared" si="63"/>
        <v>67.53908809388075</v>
      </c>
      <c r="AI107" s="553">
        <f>$AH107/PI()*SQRT('Hilfstabellen_Mat&amp;Bem'!f.Rd.3/'Hilfstabellen_Mat&amp;Bem'!$BD$30)</f>
        <v>1.0749179722060098</v>
      </c>
      <c r="AJ107" s="553">
        <f>0.5*(1+'Hilfstabellen_Mat&amp;Bem'!$BD$31*($AI107-0.3)+$AI107^2)</f>
        <v>1.1164702220960407</v>
      </c>
      <c r="AK107" s="550">
        <f t="shared" si="64"/>
        <v>0.70510577673377384</v>
      </c>
      <c r="AM107" s="551">
        <f t="shared" si="75"/>
        <v>17825.779141606537</v>
      </c>
      <c r="AQ107" s="546">
        <f t="shared" si="76"/>
        <v>159</v>
      </c>
      <c r="AR107" s="551">
        <f t="shared" si="65"/>
        <v>69.717768354973671</v>
      </c>
      <c r="AS107" s="553">
        <f>$AR107/PI()*SQRT('Hilfstabellen_Mat&amp;Bem'!f.Rd.3/'Hilfstabellen_Mat&amp;Bem'!$BD$30)</f>
        <v>1.1095927455029777</v>
      </c>
      <c r="AT107" s="553">
        <f>0.5*(1+'Hilfstabellen_Mat&amp;Bem'!$BD$31*($AS107-0.3)+$AS107^2)</f>
        <v>1.1560776677115667</v>
      </c>
      <c r="AU107" s="550">
        <f t="shared" si="66"/>
        <v>0.67539851254270056</v>
      </c>
      <c r="AW107" s="551">
        <f t="shared" si="77"/>
        <v>17074.749795592012</v>
      </c>
      <c r="BA107" s="546">
        <f t="shared" si="78"/>
        <v>159</v>
      </c>
      <c r="BB107" s="551">
        <f t="shared" si="79"/>
        <v>71.896448616066607</v>
      </c>
      <c r="BC107" s="553">
        <f>$BB107/PI()*SQRT('Hilfstabellen_Mat&amp;Bem'!f.Rd.3/'Hilfstabellen_Mat&amp;Bem'!$BD$30)</f>
        <v>1.144267518799946</v>
      </c>
      <c r="BD107" s="553">
        <f>0.5*(1+'Hilfstabellen_Mat&amp;Bem'!$BD$31*($BC107-0.3)+$BC107^2)</f>
        <v>1.1968874532302898</v>
      </c>
      <c r="BE107" s="550">
        <f t="shared" si="80"/>
        <v>0.64604749750107593</v>
      </c>
      <c r="BG107" s="551">
        <f t="shared" si="81"/>
        <v>16332.726784324701</v>
      </c>
      <c r="BK107" s="546">
        <f t="shared" si="82"/>
        <v>159</v>
      </c>
      <c r="BL107" s="551">
        <f t="shared" si="83"/>
        <v>74.075128877159528</v>
      </c>
      <c r="BM107" s="553">
        <f>$BL107/PI()*SQRT('Hilfstabellen_Mat&amp;Bem'!f.Rd.3/'Hilfstabellen_Mat&amp;Bem'!$BD$30)</f>
        <v>1.1789422920969137</v>
      </c>
      <c r="BN107" s="553">
        <f>0.5*(1+'Hilfstabellen_Mat&amp;Bem'!$BD$31*($BM107-0.3)+$BM107^2)</f>
        <v>1.2388995786522079</v>
      </c>
      <c r="BO107" s="550">
        <f t="shared" si="84"/>
        <v>0.61741916817557119</v>
      </c>
      <c r="BQ107" s="551">
        <f t="shared" si="85"/>
        <v>15608.973990646615</v>
      </c>
      <c r="BU107" s="546">
        <f t="shared" si="86"/>
        <v>159</v>
      </c>
      <c r="BV107" s="551">
        <f t="shared" si="87"/>
        <v>76.25380913825245</v>
      </c>
      <c r="BW107" s="553">
        <f>$BV107/PI()*SQRT('Hilfstabellen_Mat&amp;Bem'!f.Rd.3/'Hilfstabellen_Mat&amp;Bem'!$BD$30)</f>
        <v>1.2136170653938818</v>
      </c>
      <c r="BX107" s="553">
        <f>0.5*(1+'Hilfstabellen_Mat&amp;Bem'!$BD$31*($BW107-0.3)+$BW107^2)</f>
        <v>1.2821140439773229</v>
      </c>
      <c r="BY107" s="550">
        <f t="shared" si="88"/>
        <v>0.58977039896880279</v>
      </c>
      <c r="CA107" s="551">
        <f t="shared" si="89"/>
        <v>14909.985456330303</v>
      </c>
      <c r="CE107" s="546">
        <f t="shared" si="90"/>
        <v>159</v>
      </c>
      <c r="CF107" s="551">
        <f t="shared" si="91"/>
        <v>78.432489399345371</v>
      </c>
      <c r="CG107" s="553">
        <f>CF107/PI()*SQRT('Hilfstabellen_Mat&amp;Bem'!f.Rd.3/'Hilfstabellen_Mat&amp;Bem'!$BD$30)</f>
        <v>1.2482918386908499</v>
      </c>
      <c r="CH107" s="553">
        <f>0.5*(1+'Hilfstabellen_Mat&amp;Bem'!$BD$31*(CG107-0.3)+CG107^2)</f>
        <v>1.3265308492056338</v>
      </c>
      <c r="CI107" s="550">
        <f t="shared" si="92"/>
        <v>0.56326463769754476</v>
      </c>
      <c r="CK107" s="551">
        <f t="shared" si="93"/>
        <v>14239.893305631629</v>
      </c>
      <c r="CO107" s="546">
        <f t="shared" si="94"/>
        <v>159</v>
      </c>
      <c r="CP107" s="551">
        <f t="shared" si="95"/>
        <v>80.611169660438307</v>
      </c>
      <c r="CQ107" s="553">
        <f>CP107/PI()*SQRT('Hilfstabellen_Mat&amp;Bem'!f.Rd.3/'Hilfstabellen_Mat&amp;Bem'!$BD$30)</f>
        <v>1.282966611987818</v>
      </c>
      <c r="CR107" s="553">
        <f>0.5*(1+'Hilfstabellen_Mat&amp;Bem'!$BD$31*(CQ107-0.3)+CQ107^2)</f>
        <v>1.3721499943371411</v>
      </c>
      <c r="CS107" s="550">
        <f t="shared" si="96"/>
        <v>0.53799218384176373</v>
      </c>
      <c r="CU107" s="551">
        <f t="shared" si="97"/>
        <v>13600.980399703629</v>
      </c>
      <c r="CY107" s="546">
        <f t="shared" si="98"/>
        <v>159</v>
      </c>
      <c r="CZ107" s="551">
        <f t="shared" si="99"/>
        <v>82.789849921531243</v>
      </c>
      <c r="DA107" s="553">
        <f>CZ107/PI()*SQRT('Hilfstabellen_Mat&amp;Bem'!f.Rd.3/'Hilfstabellen_Mat&amp;Bem'!$BD$30)</f>
        <v>1.3176413852847864</v>
      </c>
      <c r="DB107" s="553">
        <f>0.5*(1+'Hilfstabellen_Mat&amp;Bem'!$BD$31*(DA107-0.3)+DA107^2)</f>
        <v>1.4189714793718449</v>
      </c>
      <c r="DC107" s="550">
        <f t="shared" si="100"/>
        <v>0.51398938327781207</v>
      </c>
      <c r="DE107" s="551">
        <f t="shared" si="101"/>
        <v>12994.165598646367</v>
      </c>
      <c r="DI107" s="546">
        <f t="shared" si="102"/>
        <v>159</v>
      </c>
      <c r="DJ107" s="551">
        <f t="shared" si="103"/>
        <v>84.968530182624164</v>
      </c>
      <c r="DK107" s="553">
        <f>DJ107/PI()*SQRT('Hilfstabellen_Mat&amp;Bem'!f.Rd.3/'Hilfstabellen_Mat&amp;Bem'!$BD$30)</f>
        <v>1.352316158581754</v>
      </c>
      <c r="DL107" s="553">
        <f>0.5*(1+'Hilfstabellen_Mat&amp;Bem'!$BD$31*(DK107-0.3)+DK107^2)</f>
        <v>1.4669953043097435</v>
      </c>
      <c r="DM107" s="550">
        <f t="shared" si="104"/>
        <v>0.49125460319893915</v>
      </c>
      <c r="DO107" s="551">
        <f t="shared" si="105"/>
        <v>12419.407623472382</v>
      </c>
      <c r="DS107" s="546">
        <f t="shared" si="106"/>
        <v>159</v>
      </c>
      <c r="DT107" s="551">
        <f t="shared" si="107"/>
        <v>87.1472104437171</v>
      </c>
      <c r="DU107" s="553">
        <f>DT107/PI()*SQRT('Hilfstabellen_Mat&amp;Bem'!f.Rd.3/'Hilfstabellen_Mat&amp;Bem'!$BD$30)</f>
        <v>1.3869909318787224</v>
      </c>
      <c r="DV107" s="553">
        <f>0.5*(1+'Hilfstabellen_Mat&amp;Bem'!$BD$31*(DU107-0.3)+DU107^2)</f>
        <v>1.5162214691508393</v>
      </c>
      <c r="DW107" s="550">
        <f t="shared" si="108"/>
        <v>0.46976059988380103</v>
      </c>
      <c r="DY107" s="551">
        <f t="shared" si="109"/>
        <v>11876.017725662374</v>
      </c>
      <c r="EC107" s="546">
        <f t="shared" si="110"/>
        <v>159</v>
      </c>
      <c r="ED107" s="551">
        <f t="shared" si="111"/>
        <v>89.325890704810021</v>
      </c>
      <c r="EE107" s="553">
        <f>ED107/PI()*SQRT('Hilfstabellen_Mat&amp;Bem'!f.Rd.3/'Hilfstabellen_Mat&amp;Bem'!$BD$30)</f>
        <v>1.4216657051756902</v>
      </c>
      <c r="EF107" s="553">
        <f>0.5*(1+'Hilfstabellen_Mat&amp;Bem'!$BD$31*(EE107-0.3)+EE107^2)</f>
        <v>1.5666499738951307</v>
      </c>
      <c r="EG107" s="550">
        <f t="shared" si="112"/>
        <v>0.44946367115009683</v>
      </c>
      <c r="EI107" s="551">
        <f t="shared" si="113"/>
        <v>11362.891070345599</v>
      </c>
      <c r="EM107" s="546">
        <f t="shared" si="114"/>
        <v>159</v>
      </c>
      <c r="EN107" s="551">
        <f t="shared" si="115"/>
        <v>91.504570965902943</v>
      </c>
      <c r="EO107" s="553">
        <f>EN107/PI()*SQRT('Hilfstabellen_Mat&amp;Bem'!f.Rd.3/'Hilfstabellen_Mat&amp;Bem'!$BD$30)</f>
        <v>1.4563404784726581</v>
      </c>
      <c r="EP107" s="553">
        <f>0.5*(1+'Hilfstabellen_Mat&amp;Bem'!$BD$31*(EO107-0.3)+EO107^2)</f>
        <v>1.6182808185426183</v>
      </c>
      <c r="EQ107" s="550">
        <f t="shared" si="116"/>
        <v>0.43031022413656694</v>
      </c>
      <c r="ES107" s="551">
        <f t="shared" si="117"/>
        <v>10878.672776396548</v>
      </c>
    </row>
    <row r="108" spans="3:149">
      <c r="C108" s="546">
        <v>160</v>
      </c>
      <c r="D108" s="551">
        <f t="shared" si="67"/>
        <v>60.621778264910702</v>
      </c>
      <c r="E108" s="553">
        <f>$D108/PI()*SQRT('Hilfstabellen_Mat&amp;Bem'!f.Rd.3/'Hilfstabellen_Mat&amp;Bem'!$BD$30)</f>
        <v>0.96482556698813604</v>
      </c>
      <c r="F108" s="553">
        <f>0.5*(1+'Hilfstabellen_Mat&amp;Bem'!$BD$31*($E108-0.3)+$E108^2)</f>
        <v>0.99868546570639594</v>
      </c>
      <c r="G108" s="550">
        <f t="shared" si="68"/>
        <v>0.79584192812715104</v>
      </c>
      <c r="I108" s="551">
        <f t="shared" si="69"/>
        <v>20373.553360055066</v>
      </c>
      <c r="M108" s="546">
        <f t="shared" si="70"/>
        <v>160</v>
      </c>
      <c r="N108" s="551">
        <f t="shared" si="59"/>
        <v>62.786841774371801</v>
      </c>
      <c r="O108" s="553">
        <f>$N108/PI()*SQRT('Hilfstabellen_Mat&amp;Bem'!f.Rd.3/'Hilfstabellen_Mat&amp;Bem'!$BD$30)</f>
        <v>0.99928362295199813</v>
      </c>
      <c r="P108" s="553">
        <f>0.5*(1+'Hilfstabellen_Mat&amp;Bem'!$BD$31*($O108-0.3)+$O108^2)</f>
        <v>1.0342480606976354</v>
      </c>
      <c r="Q108" s="550">
        <f t="shared" si="60"/>
        <v>0.76870077026397432</v>
      </c>
      <c r="S108" s="551">
        <f t="shared" si="71"/>
        <v>19678.739718757744</v>
      </c>
      <c r="W108" s="546">
        <f t="shared" si="72"/>
        <v>160</v>
      </c>
      <c r="X108" s="551">
        <f t="shared" si="61"/>
        <v>64.9519052838329</v>
      </c>
      <c r="Y108" s="553">
        <f>$X108/PI()*SQRT('Hilfstabellen_Mat&amp;Bem'!f.Rd.3/'Hilfstabellen_Mat&amp;Bem'!$BD$30)</f>
        <v>1.0337416789158602</v>
      </c>
      <c r="Z108" s="553">
        <f>0.5*(1+'Hilfstabellen_Mat&amp;Bem'!$BD$31*($Y108-0.3)+$Y108^2)</f>
        <v>1.0709980133096837</v>
      </c>
      <c r="AA108" s="550">
        <f t="shared" si="62"/>
        <v>0.74017897570723978</v>
      </c>
      <c r="AC108" s="551">
        <f t="shared" si="73"/>
        <v>18948.581778105337</v>
      </c>
      <c r="AG108" s="546">
        <f t="shared" si="74"/>
        <v>160</v>
      </c>
      <c r="AH108" s="551">
        <f t="shared" si="63"/>
        <v>67.116968793293992</v>
      </c>
      <c r="AI108" s="553">
        <f>$AH108/PI()*SQRT('Hilfstabellen_Mat&amp;Bem'!f.Rd.3/'Hilfstabellen_Mat&amp;Bem'!$BD$30)</f>
        <v>1.0681997348797221</v>
      </c>
      <c r="AJ108" s="553">
        <f>0.5*(1+'Hilfstabellen_Mat&amp;Bem'!$BD$31*($AI108-0.3)+$AI108^2)</f>
        <v>1.1089353235425405</v>
      </c>
      <c r="AK108" s="550">
        <f t="shared" si="64"/>
        <v>0.71086404857398378</v>
      </c>
      <c r="AM108" s="551">
        <f t="shared" si="75"/>
        <v>18198.119643493985</v>
      </c>
      <c r="AQ108" s="546">
        <f t="shared" si="76"/>
        <v>160</v>
      </c>
      <c r="AR108" s="551">
        <f t="shared" si="65"/>
        <v>69.282032302755084</v>
      </c>
      <c r="AS108" s="553">
        <f>$AR108/PI()*SQRT('Hilfstabellen_Mat&amp;Bem'!f.Rd.3/'Hilfstabellen_Mat&amp;Bem'!$BD$30)</f>
        <v>1.102657790843584</v>
      </c>
      <c r="AT108" s="553">
        <f>0.5*(1+'Hilfstabellen_Mat&amp;Bem'!$BD$31*($AS108-0.3)+$AS108^2)</f>
        <v>1.1480599913962055</v>
      </c>
      <c r="AU108" s="550">
        <f t="shared" si="66"/>
        <v>0.68132521956793579</v>
      </c>
      <c r="AW108" s="551">
        <f t="shared" si="77"/>
        <v>17441.925620939157</v>
      </c>
      <c r="BA108" s="546">
        <f t="shared" si="78"/>
        <v>160</v>
      </c>
      <c r="BB108" s="551">
        <f t="shared" si="79"/>
        <v>71.44709581221619</v>
      </c>
      <c r="BC108" s="553">
        <f>$BB108/PI()*SQRT('Hilfstabellen_Mat&amp;Bem'!f.Rd.3/'Hilfstabellen_Mat&amp;Bem'!$BD$30)</f>
        <v>1.1371158468074463</v>
      </c>
      <c r="BD108" s="553">
        <f>0.5*(1+'Hilfstabellen_Mat&amp;Bem'!$BD$31*($BC108-0.3)+$BC108^2)</f>
        <v>1.1883720168706802</v>
      </c>
      <c r="BE108" s="550">
        <f t="shared" si="80"/>
        <v>0.65205235768120839</v>
      </c>
      <c r="BG108" s="551">
        <f t="shared" si="81"/>
        <v>16692.540356638936</v>
      </c>
      <c r="BK108" s="546">
        <f t="shared" si="82"/>
        <v>160</v>
      </c>
      <c r="BL108" s="551">
        <f t="shared" si="83"/>
        <v>73.612159321677282</v>
      </c>
      <c r="BM108" s="553">
        <f>$BL108/PI()*SQRT('Hilfstabellen_Mat&amp;Bem'!f.Rd.3/'Hilfstabellen_Mat&amp;Bem'!$BD$30)</f>
        <v>1.1715739027713081</v>
      </c>
      <c r="BN108" s="553">
        <f>0.5*(1+'Hilfstabellen_Mat&amp;Bem'!$BD$31*($BM108-0.3)+$BM108^2)</f>
        <v>1.2298713999659627</v>
      </c>
      <c r="BO108" s="550">
        <f t="shared" si="84"/>
        <v>0.62342787031274605</v>
      </c>
      <c r="BQ108" s="551">
        <f t="shared" si="85"/>
        <v>15959.753480006299</v>
      </c>
      <c r="BU108" s="546">
        <f t="shared" si="86"/>
        <v>160</v>
      </c>
      <c r="BV108" s="551">
        <f t="shared" si="87"/>
        <v>75.777222831138374</v>
      </c>
      <c r="BW108" s="553">
        <f>$BV108/PI()*SQRT('Hilfstabellen_Mat&amp;Bem'!f.Rd.3/'Hilfstabellen_Mat&amp;Bem'!$BD$30)</f>
        <v>1.20603195873517</v>
      </c>
      <c r="BX108" s="553">
        <f>0.5*(1+'Hilfstabellen_Mat&amp;Bem'!$BD$31*($BW108-0.3)+$BW108^2)</f>
        <v>1.2725581406820539</v>
      </c>
      <c r="BY108" s="550">
        <f t="shared" si="88"/>
        <v>0.59572530052608452</v>
      </c>
      <c r="CA108" s="551">
        <f t="shared" si="89"/>
        <v>15250.567693467763</v>
      </c>
      <c r="CE108" s="546">
        <f t="shared" si="90"/>
        <v>160</v>
      </c>
      <c r="CF108" s="551">
        <f t="shared" si="91"/>
        <v>77.94228634059948</v>
      </c>
      <c r="CG108" s="553">
        <f>CF108/PI()*SQRT('Hilfstabellen_Mat&amp;Bem'!f.Rd.3/'Hilfstabellen_Mat&amp;Bem'!$BD$30)</f>
        <v>1.2404900146990323</v>
      </c>
      <c r="CH108" s="553">
        <f>0.5*(1+'Hilfstabellen_Mat&amp;Bem'!$BD$31*(CG108-0.3)+CG108^2)</f>
        <v>1.3164322390189542</v>
      </c>
      <c r="CI108" s="550">
        <f t="shared" si="92"/>
        <v>0.56912314139462705</v>
      </c>
      <c r="CK108" s="551">
        <f t="shared" si="93"/>
        <v>14569.552419702453</v>
      </c>
      <c r="CO108" s="546">
        <f t="shared" si="94"/>
        <v>160</v>
      </c>
      <c r="CP108" s="551">
        <f t="shared" si="95"/>
        <v>80.107349850060572</v>
      </c>
      <c r="CQ108" s="553">
        <f>CP108/PI()*SQRT('Hilfstabellen_Mat&amp;Bem'!f.Rd.3/'Hilfstabellen_Mat&amp;Bem'!$BD$30)</f>
        <v>1.2749480706628942</v>
      </c>
      <c r="CR108" s="553">
        <f>0.5*(1+'Hilfstabellen_Mat&amp;Bem'!$BD$31*(CQ108-0.3)+CQ108^2)</f>
        <v>1.3614936949766627</v>
      </c>
      <c r="CS108" s="550">
        <f t="shared" si="96"/>
        <v>0.54372419396176919</v>
      </c>
      <c r="CU108" s="551">
        <f t="shared" si="97"/>
        <v>13919.33936542129</v>
      </c>
      <c r="CY108" s="546">
        <f t="shared" si="98"/>
        <v>160</v>
      </c>
      <c r="CZ108" s="551">
        <f t="shared" si="99"/>
        <v>82.272413359521664</v>
      </c>
      <c r="DA108" s="553">
        <f>CZ108/PI()*SQRT('Hilfstabellen_Mat&amp;Bem'!f.Rd.3/'Hilfstabellen_Mat&amp;Bem'!$BD$30)</f>
        <v>1.3094061266267563</v>
      </c>
      <c r="DB108" s="553">
        <f>0.5*(1+'Hilfstabellen_Mat&amp;Bem'!$BD$31*(DA108-0.3)+DA108^2)</f>
        <v>1.4077425085551802</v>
      </c>
      <c r="DC108" s="550">
        <f t="shared" si="100"/>
        <v>0.51957467137344193</v>
      </c>
      <c r="DE108" s="551">
        <f t="shared" si="101"/>
        <v>13301.111587160114</v>
      </c>
      <c r="DI108" s="546">
        <f t="shared" si="102"/>
        <v>160</v>
      </c>
      <c r="DJ108" s="551">
        <f t="shared" si="103"/>
        <v>84.437476868982756</v>
      </c>
      <c r="DK108" s="553">
        <f>DJ108/PI()*SQRT('Hilfstabellen_Mat&amp;Bem'!f.Rd.3/'Hilfstabellen_Mat&amp;Bem'!$BD$30)</f>
        <v>1.3438641825906181</v>
      </c>
      <c r="DL108" s="553">
        <f>0.5*(1+'Hilfstabellen_Mat&amp;Bem'!$BD$31*(DK108-0.3)+DK108^2)</f>
        <v>1.4551786797545061</v>
      </c>
      <c r="DM108" s="550">
        <f t="shared" si="104"/>
        <v>0.49668046991348136</v>
      </c>
      <c r="DO108" s="551">
        <f t="shared" si="105"/>
        <v>12715.020029785122</v>
      </c>
      <c r="DS108" s="546">
        <f t="shared" si="106"/>
        <v>160</v>
      </c>
      <c r="DT108" s="551">
        <f t="shared" si="107"/>
        <v>86.602540378443862</v>
      </c>
      <c r="DU108" s="553">
        <f>DT108/PI()*SQRT('Hilfstabellen_Mat&amp;Bem'!f.Rd.3/'Hilfstabellen_Mat&amp;Bem'!$BD$30)</f>
        <v>1.3783222385544802</v>
      </c>
      <c r="DV108" s="553">
        <f>0.5*(1+'Hilfstabellen_Mat&amp;Bem'!$BD$31*(DU108-0.3)+DU108^2)</f>
        <v>1.5038022085746408</v>
      </c>
      <c r="DW108" s="550">
        <f t="shared" si="108"/>
        <v>0.47501995619125226</v>
      </c>
      <c r="DY108" s="551">
        <f t="shared" si="109"/>
        <v>12160.510878496058</v>
      </c>
      <c r="EC108" s="546">
        <f t="shared" si="110"/>
        <v>160</v>
      </c>
      <c r="ED108" s="551">
        <f t="shared" si="111"/>
        <v>88.767603887904954</v>
      </c>
      <c r="EE108" s="553">
        <f>ED108/PI()*SQRT('Hilfstabellen_Mat&amp;Bem'!f.Rd.3/'Hilfstabellen_Mat&amp;Bem'!$BD$30)</f>
        <v>1.4127802945183421</v>
      </c>
      <c r="EF108" s="553">
        <f>0.5*(1+'Hilfstabellen_Mat&amp;Bem'!$BD$31*(EE108-0.3)+EE108^2)</f>
        <v>1.5536130950155838</v>
      </c>
      <c r="EG108" s="550">
        <f t="shared" si="112"/>
        <v>0.45455353265536907</v>
      </c>
      <c r="EI108" s="551">
        <f t="shared" si="113"/>
        <v>11636.570435977448</v>
      </c>
      <c r="EM108" s="546">
        <f t="shared" si="114"/>
        <v>160</v>
      </c>
      <c r="EN108" s="551">
        <f t="shared" si="115"/>
        <v>90.932667397366046</v>
      </c>
      <c r="EO108" s="553">
        <f>EN108/PI()*SQRT('Hilfstabellen_Mat&amp;Bem'!f.Rd.3/'Hilfstabellen_Mat&amp;Bem'!$BD$30)</f>
        <v>1.4472383504822042</v>
      </c>
      <c r="EP108" s="553">
        <f>0.5*(1+'Hilfstabellen_Mat&amp;Bem'!$BD$31*(EO108-0.3)+EO108^2)</f>
        <v>1.6046113390773358</v>
      </c>
      <c r="EQ108" s="550">
        <f t="shared" si="116"/>
        <v>0.4352305608703852</v>
      </c>
      <c r="ES108" s="551">
        <f t="shared" si="117"/>
        <v>11141.902358281861</v>
      </c>
    </row>
    <row r="109" spans="3:149">
      <c r="C109" s="546">
        <v>161</v>
      </c>
      <c r="D109" s="551">
        <f t="shared" si="67"/>
        <v>60.245245480656592</v>
      </c>
      <c r="E109" s="553">
        <f>$D109/PI()*SQRT('Hilfstabellen_Mat&amp;Bem'!f.Rd.3/'Hilfstabellen_Mat&amp;Bem'!$BD$30)</f>
        <v>0.95883286160311654</v>
      </c>
      <c r="F109" s="553">
        <f>0.5*(1+'Hilfstabellen_Mat&amp;Bem'!$BD$31*($E109-0.3)+$E109^2)</f>
        <v>0.99262187132516644</v>
      </c>
      <c r="G109" s="550">
        <f t="shared" si="68"/>
        <v>0.80038079702139198</v>
      </c>
      <c r="I109" s="551">
        <f t="shared" si="69"/>
        <v>20746.670639591503</v>
      </c>
      <c r="M109" s="546">
        <f t="shared" si="70"/>
        <v>161</v>
      </c>
      <c r="N109" s="551">
        <f t="shared" si="59"/>
        <v>62.396861390680044</v>
      </c>
      <c r="O109" s="553">
        <f>$N109/PI()*SQRT('Hilfstabellen_Mat&amp;Bem'!f.Rd.3/'Hilfstabellen_Mat&amp;Bem'!$BD$30)</f>
        <v>0.99307689237465646</v>
      </c>
      <c r="P109" s="553">
        <f>0.5*(1+'Hilfstabellen_Mat&amp;Bem'!$BD$31*($O109-0.3)+$O109^2)</f>
        <v>1.0277547017029853</v>
      </c>
      <c r="Q109" s="550">
        <f t="shared" si="60"/>
        <v>0.77370802598995969</v>
      </c>
      <c r="S109" s="551">
        <f t="shared" si="71"/>
        <v>20055.285741685744</v>
      </c>
      <c r="W109" s="546">
        <f t="shared" si="72"/>
        <v>161</v>
      </c>
      <c r="X109" s="551">
        <f t="shared" si="61"/>
        <v>64.548477300703496</v>
      </c>
      <c r="Y109" s="553">
        <f>$X109/PI()*SQRT('Hilfstabellen_Mat&amp;Bem'!f.Rd.3/'Hilfstabellen_Mat&amp;Bem'!$BD$30)</f>
        <v>1.0273209231461964</v>
      </c>
      <c r="Z109" s="553">
        <f>0.5*(1+'Hilfstabellen_Mat&amp;Bem'!$BD$31*($Y109-0.3)+$Y109^2)</f>
        <v>1.0640601857242864</v>
      </c>
      <c r="AA109" s="550">
        <f t="shared" si="62"/>
        <v>0.7455715484606229</v>
      </c>
      <c r="AC109" s="551">
        <f t="shared" si="73"/>
        <v>19325.960107647807</v>
      </c>
      <c r="AG109" s="546">
        <f t="shared" si="74"/>
        <v>161</v>
      </c>
      <c r="AH109" s="551">
        <f t="shared" si="63"/>
        <v>66.700093210726948</v>
      </c>
      <c r="AI109" s="553">
        <f>$AH109/PI()*SQRT('Hilfstabellen_Mat&amp;Bem'!f.Rd.3/'Hilfstabellen_Mat&amp;Bem'!$BD$30)</f>
        <v>1.0615649539177363</v>
      </c>
      <c r="AJ109" s="553">
        <f>0.5*(1+'Hilfstabellen_Mat&amp;Bem'!$BD$31*($AI109-0.3)+$AI109^2)</f>
        <v>1.1015383233890697</v>
      </c>
      <c r="AK109" s="550">
        <f t="shared" si="64"/>
        <v>0.71654270371149142</v>
      </c>
      <c r="AM109" s="551">
        <f t="shared" si="75"/>
        <v>18573.503422905571</v>
      </c>
      <c r="AQ109" s="546">
        <f t="shared" si="76"/>
        <v>161</v>
      </c>
      <c r="AR109" s="551">
        <f t="shared" si="65"/>
        <v>68.851709120750385</v>
      </c>
      <c r="AS109" s="553">
        <f>$AR109/PI()*SQRT('Hilfstabellen_Mat&amp;Bem'!f.Rd.3/'Hilfstabellen_Mat&amp;Bem'!$BD$30)</f>
        <v>1.095808984689276</v>
      </c>
      <c r="AT109" s="553">
        <f>0.5*(1+'Hilfstabellen_Mat&amp;Bem'!$BD$31*($AS109-0.3)+$AS109^2)</f>
        <v>1.1401891146973349</v>
      </c>
      <c r="AU109" s="550">
        <f t="shared" si="66"/>
        <v>0.68718924371843093</v>
      </c>
      <c r="AW109" s="551">
        <f t="shared" si="77"/>
        <v>17812.632386425448</v>
      </c>
      <c r="BA109" s="546">
        <f t="shared" si="78"/>
        <v>161</v>
      </c>
      <c r="BB109" s="551">
        <f t="shared" si="79"/>
        <v>71.003325030773851</v>
      </c>
      <c r="BC109" s="553">
        <f>$BB109/PI()*SQRT('Hilfstabellen_Mat&amp;Bem'!f.Rd.3/'Hilfstabellen_Mat&amp;Bem'!$BD$30)</f>
        <v>1.1300530154608162</v>
      </c>
      <c r="BD109" s="553">
        <f>0.5*(1+'Hilfstabellen_Mat&amp;Bem'!$BD$31*($BC109-0.3)+$BC109^2)</f>
        <v>1.1800125596490827</v>
      </c>
      <c r="BE109" s="550">
        <f t="shared" si="80"/>
        <v>0.65801041995161702</v>
      </c>
      <c r="BG109" s="551">
        <f t="shared" si="81"/>
        <v>17056.288095565866</v>
      </c>
      <c r="BK109" s="546">
        <f t="shared" si="82"/>
        <v>161</v>
      </c>
      <c r="BL109" s="551">
        <f t="shared" si="83"/>
        <v>73.154940940797303</v>
      </c>
      <c r="BM109" s="553">
        <f>$BL109/PI()*SQRT('Hilfstabellen_Mat&amp;Bem'!f.Rd.3/'Hilfstabellen_Mat&amp;Bem'!$BD$30)</f>
        <v>1.1642970462323559</v>
      </c>
      <c r="BN109" s="553">
        <f>0.5*(1+'Hilfstabellen_Mat&amp;Bem'!$BD$31*($BM109-0.3)+$BM109^2)</f>
        <v>1.2210086582443123</v>
      </c>
      <c r="BO109" s="550">
        <f t="shared" si="84"/>
        <v>0.62940365406910803</v>
      </c>
      <c r="BQ109" s="551">
        <f t="shared" si="85"/>
        <v>16314.772117125349</v>
      </c>
      <c r="BU109" s="546">
        <f t="shared" si="86"/>
        <v>161</v>
      </c>
      <c r="BV109" s="551">
        <f t="shared" si="87"/>
        <v>75.306556850820755</v>
      </c>
      <c r="BW109" s="553">
        <f>$BV109/PI()*SQRT('Hilfstabellen_Mat&amp;Bem'!f.Rd.3/'Hilfstabellen_Mat&amp;Bem'!$BD$30)</f>
        <v>1.198541077003896</v>
      </c>
      <c r="BX109" s="553">
        <f>0.5*(1+'Hilfstabellen_Mat&amp;Bem'!$BD$31*($BW109-0.3)+$BW109^2)</f>
        <v>1.2631774104830242</v>
      </c>
      <c r="BY109" s="550">
        <f t="shared" si="88"/>
        <v>0.6016588506139412</v>
      </c>
      <c r="CA109" s="551">
        <f t="shared" si="89"/>
        <v>15595.599066763969</v>
      </c>
      <c r="CE109" s="546">
        <f t="shared" si="90"/>
        <v>161</v>
      </c>
      <c r="CF109" s="551">
        <f t="shared" si="91"/>
        <v>77.458172760844207</v>
      </c>
      <c r="CG109" s="553">
        <f>CF109/PI()*SQRT('Hilfstabellen_Mat&amp;Bem'!f.Rd.3/'Hilfstabellen_Mat&amp;Bem'!$BD$30)</f>
        <v>1.2327851077754359</v>
      </c>
      <c r="CH109" s="553">
        <f>0.5*(1+'Hilfstabellen_Mat&amp;Bem'!$BD$31*(CG109-0.3)+CG109^2)</f>
        <v>1.3065188163652184</v>
      </c>
      <c r="CI109" s="550">
        <f t="shared" si="92"/>
        <v>0.57496963217596631</v>
      </c>
      <c r="CK109" s="551">
        <f t="shared" si="93"/>
        <v>14903.787835633222</v>
      </c>
      <c r="CO109" s="546">
        <f t="shared" si="94"/>
        <v>161</v>
      </c>
      <c r="CP109" s="551">
        <f t="shared" si="95"/>
        <v>79.609788670867644</v>
      </c>
      <c r="CQ109" s="553">
        <f>CP109/PI()*SQRT('Hilfstabellen_Mat&amp;Bem'!f.Rd.3/'Hilfstabellen_Mat&amp;Bem'!$BD$30)</f>
        <v>1.2670291385469756</v>
      </c>
      <c r="CR109" s="553">
        <f>0.5*(1+'Hilfstabellen_Mat&amp;Bem'!$BD$31*(CQ109-0.3)+CQ109^2)</f>
        <v>1.3510328758908945</v>
      </c>
      <c r="CS109" s="550">
        <f t="shared" si="96"/>
        <v>0.54945156969255615</v>
      </c>
      <c r="CU109" s="551">
        <f t="shared" si="97"/>
        <v>14242.334138000748</v>
      </c>
      <c r="CY109" s="546">
        <f t="shared" si="98"/>
        <v>161</v>
      </c>
      <c r="CZ109" s="551">
        <f t="shared" si="99"/>
        <v>81.761404580891096</v>
      </c>
      <c r="DA109" s="553">
        <f>CZ109/PI()*SQRT('Hilfstabellen_Mat&amp;Bem'!f.Rd.3/'Hilfstabellen_Mat&amp;Bem'!$BD$30)</f>
        <v>1.3012731693185156</v>
      </c>
      <c r="DB109" s="553">
        <f>0.5*(1+'Hilfstabellen_Mat&amp;Bem'!$BD$31*(DA109-0.3)+DA109^2)</f>
        <v>1.3967195890600528</v>
      </c>
      <c r="DC109" s="550">
        <f t="shared" si="100"/>
        <v>0.52516106678555274</v>
      </c>
      <c r="DE109" s="551">
        <f t="shared" si="101"/>
        <v>13612.700012148312</v>
      </c>
      <c r="DI109" s="546">
        <f t="shared" si="102"/>
        <v>161</v>
      </c>
      <c r="DJ109" s="551">
        <f t="shared" si="103"/>
        <v>83.913020490914548</v>
      </c>
      <c r="DK109" s="553">
        <f>DJ109/PI()*SQRT('Hilfstabellen_Mat&amp;Bem'!f.Rd.3/'Hilfstabellen_Mat&amp;Bem'!$BD$30)</f>
        <v>1.3355172000900553</v>
      </c>
      <c r="DL109" s="553">
        <f>0.5*(1+'Hilfstabellen_Mat&amp;Bem'!$BD$31*(DK109-0.3)+DK109^2)</f>
        <v>1.443578955872693</v>
      </c>
      <c r="DM109" s="550">
        <f t="shared" si="104"/>
        <v>0.50211186011419739</v>
      </c>
      <c r="DO109" s="551">
        <f t="shared" si="105"/>
        <v>13015.241526020111</v>
      </c>
      <c r="DS109" s="546">
        <f t="shared" si="106"/>
        <v>161</v>
      </c>
      <c r="DT109" s="551">
        <f t="shared" si="107"/>
        <v>86.064636400937999</v>
      </c>
      <c r="DU109" s="553">
        <f>DT109/PI()*SQRT('Hilfstabellen_Mat&amp;Bem'!f.Rd.3/'Hilfstabellen_Mat&amp;Bem'!$BD$30)</f>
        <v>1.3697612308615952</v>
      </c>
      <c r="DV109" s="553">
        <f>0.5*(1+'Hilfstabellen_Mat&amp;Bem'!$BD$31*(DU109-0.3)+DU109^2)</f>
        <v>1.4916109763288159</v>
      </c>
      <c r="DW109" s="550">
        <f t="shared" si="108"/>
        <v>0.48028819815110696</v>
      </c>
      <c r="DY109" s="551">
        <f t="shared" si="109"/>
        <v>12449.550384274844</v>
      </c>
      <c r="EC109" s="546">
        <f t="shared" si="110"/>
        <v>161</v>
      </c>
      <c r="ED109" s="551">
        <f t="shared" si="111"/>
        <v>88.216252310961451</v>
      </c>
      <c r="EE109" s="553">
        <f>ED109/PI()*SQRT('Hilfstabellen_Mat&amp;Bem'!f.Rd.3/'Hilfstabellen_Mat&amp;Bem'!$BD$30)</f>
        <v>1.4040052616331353</v>
      </c>
      <c r="EF109" s="553">
        <f>0.5*(1+'Hilfstabellen_Mat&amp;Bem'!$BD$31*(EE109-0.3)+EE109^2)</f>
        <v>1.5408156504284212</v>
      </c>
      <c r="EG109" s="550">
        <f t="shared" si="112"/>
        <v>0.4596548127609863</v>
      </c>
      <c r="EI109" s="551">
        <f t="shared" si="113"/>
        <v>11914.712401577526</v>
      </c>
      <c r="EM109" s="546">
        <f t="shared" si="114"/>
        <v>161</v>
      </c>
      <c r="EN109" s="551">
        <f t="shared" si="115"/>
        <v>90.367868220984889</v>
      </c>
      <c r="EO109" s="553">
        <f>EN109/PI()*SQRT('Hilfstabellen_Mat&amp;Bem'!f.Rd.3/'Hilfstabellen_Mat&amp;Bem'!$BD$30)</f>
        <v>1.4382492924046748</v>
      </c>
      <c r="EP109" s="553">
        <f>0.5*(1+'Hilfstabellen_Mat&amp;Bem'!$BD$31*(EO109-0.3)+EO109^2)</f>
        <v>1.5911929781715075</v>
      </c>
      <c r="EQ109" s="550">
        <f t="shared" si="116"/>
        <v>0.44016420062294831</v>
      </c>
      <c r="ES109" s="551">
        <f t="shared" si="117"/>
        <v>11409.496244347443</v>
      </c>
    </row>
    <row r="110" spans="3:149">
      <c r="C110" s="546">
        <v>162</v>
      </c>
      <c r="D110" s="551">
        <f t="shared" si="67"/>
        <v>59.873361249294518</v>
      </c>
      <c r="E110" s="553">
        <f>$D110/PI()*SQRT('Hilfstabellen_Mat&amp;Bem'!f.Rd.3/'Hilfstabellen_Mat&amp;Bem'!$BD$30)</f>
        <v>0.95291414023519616</v>
      </c>
      <c r="F110" s="553">
        <f>0.5*(1+'Hilfstabellen_Mat&amp;Bem'!$BD$31*($E110-0.3)+$E110^2)</f>
        <v>0.98666838634185139</v>
      </c>
      <c r="G110" s="550">
        <f t="shared" si="68"/>
        <v>0.80480450344570242</v>
      </c>
      <c r="I110" s="551">
        <f t="shared" si="69"/>
        <v>21121.289388429013</v>
      </c>
      <c r="M110" s="546">
        <f t="shared" si="70"/>
        <v>162</v>
      </c>
      <c r="N110" s="551">
        <f t="shared" si="59"/>
        <v>62.011695579626469</v>
      </c>
      <c r="O110" s="553">
        <f>$N110/PI()*SQRT('Hilfstabellen_Mat&amp;Bem'!f.Rd.3/'Hilfstabellen_Mat&amp;Bem'!$BD$30)</f>
        <v>0.98694678810073888</v>
      </c>
      <c r="P110" s="553">
        <f>0.5*(1+'Hilfstabellen_Mat&amp;Bem'!$BD$31*($O110-0.3)+$O110^2)</f>
        <v>1.0213793206762194</v>
      </c>
      <c r="Q110" s="550">
        <f t="shared" si="60"/>
        <v>0.77860606556438849</v>
      </c>
      <c r="S110" s="551">
        <f t="shared" si="71"/>
        <v>20433.737584671813</v>
      </c>
      <c r="W110" s="546">
        <f t="shared" si="72"/>
        <v>162</v>
      </c>
      <c r="X110" s="551">
        <f t="shared" si="61"/>
        <v>64.15002990995842</v>
      </c>
      <c r="Y110" s="553">
        <f>$X110/PI()*SQRT('Hilfstabellen_Mat&amp;Bem'!f.Rd.3/'Hilfstabellen_Mat&amp;Bem'!$BD$30)</f>
        <v>1.0209794359662816</v>
      </c>
      <c r="Z110" s="553">
        <f>0.5*(1+'Hilfstabellen_Mat&amp;Bem'!$BD$31*($Y110-0.3)+$Y110^2)</f>
        <v>1.0572484761313272</v>
      </c>
      <c r="AA110" s="550">
        <f t="shared" si="62"/>
        <v>0.75086678653940098</v>
      </c>
      <c r="AC110" s="551">
        <f t="shared" si="73"/>
        <v>19705.747945940038</v>
      </c>
      <c r="AG110" s="546">
        <f t="shared" si="74"/>
        <v>162</v>
      </c>
      <c r="AH110" s="551">
        <f t="shared" si="63"/>
        <v>66.288364240290363</v>
      </c>
      <c r="AI110" s="553">
        <f>$AH110/PI()*SQRT('Hilfstabellen_Mat&amp;Bem'!f.Rd.3/'Hilfstabellen_Mat&amp;Bem'!$BD$30)</f>
        <v>1.0550120838318244</v>
      </c>
      <c r="AJ110" s="553">
        <f>0.5*(1+'Hilfstabellen_Mat&amp;Bem'!$BD$31*($AI110-0.3)+$AI110^2)</f>
        <v>1.0942758527071756</v>
      </c>
      <c r="AK110" s="550">
        <f t="shared" si="64"/>
        <v>0.72213952297534845</v>
      </c>
      <c r="AM110" s="551">
        <f t="shared" si="75"/>
        <v>18951.829640965043</v>
      </c>
      <c r="AQ110" s="546">
        <f t="shared" si="76"/>
        <v>162</v>
      </c>
      <c r="AR110" s="551">
        <f t="shared" si="65"/>
        <v>68.426698570622307</v>
      </c>
      <c r="AS110" s="553">
        <f>$AR110/PI()*SQRT('Hilfstabellen_Mat&amp;Bem'!f.Rd.3/'Hilfstabellen_Mat&amp;Bem'!$BD$30)</f>
        <v>1.089044731697367</v>
      </c>
      <c r="AT110" s="553">
        <f>0.5*(1+'Hilfstabellen_Mat&amp;Bem'!$BD$31*($AS110-0.3)+$AS110^2)</f>
        <v>1.1324614504037633</v>
      </c>
      <c r="AU110" s="550">
        <f t="shared" si="66"/>
        <v>0.69298807563977438</v>
      </c>
      <c r="AW110" s="551">
        <f t="shared" si="77"/>
        <v>18186.77905709024</v>
      </c>
      <c r="BA110" s="546">
        <f t="shared" si="78"/>
        <v>162</v>
      </c>
      <c r="BB110" s="551">
        <f t="shared" si="79"/>
        <v>70.56503290095425</v>
      </c>
      <c r="BC110" s="553">
        <f>$BB110/PI()*SQRT('Hilfstabellen_Mat&amp;Bem'!f.Rd.3/'Hilfstabellen_Mat&amp;Bem'!$BD$30)</f>
        <v>1.1230773795629097</v>
      </c>
      <c r="BD110" s="553">
        <f>0.5*(1+'Hilfstabellen_Mat&amp;Bem'!$BD$31*($BC110-0.3)+$BC110^2)</f>
        <v>1.1718052692210914</v>
      </c>
      <c r="BE110" s="550">
        <f t="shared" si="80"/>
        <v>0.6639191897517065</v>
      </c>
      <c r="BG110" s="551">
        <f t="shared" si="81"/>
        <v>17423.895215843786</v>
      </c>
      <c r="BK110" s="546">
        <f t="shared" si="82"/>
        <v>162</v>
      </c>
      <c r="BL110" s="551">
        <f t="shared" si="83"/>
        <v>72.703367231286208</v>
      </c>
      <c r="BM110" s="553">
        <f>$BL110/PI()*SQRT('Hilfstabellen_Mat&amp;Bem'!f.Rd.3/'Hilfstabellen_Mat&amp;Bem'!$BD$30)</f>
        <v>1.1571100274284525</v>
      </c>
      <c r="BN110" s="553">
        <f>0.5*(1+'Hilfstabellen_Mat&amp;Bem'!$BD$31*($BM110-0.3)+$BM110^2)</f>
        <v>1.2123073091591596</v>
      </c>
      <c r="BO110" s="550">
        <f t="shared" si="84"/>
        <v>0.63534421980482469</v>
      </c>
      <c r="BQ110" s="551">
        <f t="shared" si="85"/>
        <v>16673.973704557819</v>
      </c>
      <c r="BU110" s="546">
        <f t="shared" si="86"/>
        <v>162</v>
      </c>
      <c r="BV110" s="551">
        <f t="shared" si="87"/>
        <v>74.841701561618137</v>
      </c>
      <c r="BW110" s="553">
        <f>$BV110/PI()*SQRT('Hilfstabellen_Mat&amp;Bem'!f.Rd.3/'Hilfstabellen_Mat&amp;Bem'!$BD$30)</f>
        <v>1.1911426752939949</v>
      </c>
      <c r="BX110" s="553">
        <f>0.5*(1+'Hilfstabellen_Mat&amp;Bem'!$BD$31*($BW110-0.3)+$BW110^2)</f>
        <v>1.2539675702179673</v>
      </c>
      <c r="BY110" s="550">
        <f t="shared" si="88"/>
        <v>0.60756902428965398</v>
      </c>
      <c r="CA110" s="551">
        <f t="shared" si="89"/>
        <v>15945.041473457679</v>
      </c>
      <c r="CE110" s="546">
        <f t="shared" si="90"/>
        <v>162</v>
      </c>
      <c r="CF110" s="551">
        <f t="shared" si="91"/>
        <v>76.980035891950095</v>
      </c>
      <c r="CG110" s="553">
        <f>CF110/PI()*SQRT('Hilfstabellen_Mat&amp;Bem'!f.Rd.3/'Hilfstabellen_Mat&amp;Bem'!$BD$30)</f>
        <v>1.2251753231595379</v>
      </c>
      <c r="CH110" s="553">
        <f>0.5*(1+'Hilfstabellen_Mat&amp;Bem'!$BD$31*(CG110-0.3)+CG110^2)</f>
        <v>1.2967860523975161</v>
      </c>
      <c r="CI110" s="550">
        <f t="shared" si="92"/>
        <v>0.58080237549328984</v>
      </c>
      <c r="CK110" s="551">
        <f t="shared" si="93"/>
        <v>15242.577542445899</v>
      </c>
      <c r="CO110" s="546">
        <f t="shared" si="94"/>
        <v>162</v>
      </c>
      <c r="CP110" s="551">
        <f t="shared" si="95"/>
        <v>79.118370222282039</v>
      </c>
      <c r="CQ110" s="553">
        <f>CP110/PI()*SQRT('Hilfstabellen_Mat&amp;Bem'!f.Rd.3/'Hilfstabellen_Mat&amp;Bem'!$BD$30)</f>
        <v>1.2592079710250808</v>
      </c>
      <c r="CR110" s="553">
        <f>0.5*(1+'Hilfstabellen_Mat&amp;Bem'!$BD$31*(CQ110-0.3)+CQ110^2)</f>
        <v>1.3407627556978043</v>
      </c>
      <c r="CS110" s="550">
        <f t="shared" si="96"/>
        <v>0.55517284853883575</v>
      </c>
      <c r="CU110" s="551">
        <f t="shared" si="97"/>
        <v>14569.956237053206</v>
      </c>
      <c r="CY110" s="546">
        <f t="shared" si="98"/>
        <v>162</v>
      </c>
      <c r="CZ110" s="551">
        <f t="shared" si="99"/>
        <v>81.256704552613996</v>
      </c>
      <c r="DA110" s="553">
        <f>CZ110/PI()*SQRT('Hilfstabellen_Mat&amp;Bem'!f.Rd.3/'Hilfstabellen_Mat&amp;Bem'!$BD$30)</f>
        <v>1.2932406188906234</v>
      </c>
      <c r="DB110" s="553">
        <f>0.5*(1+'Hilfstabellen_Mat&amp;Bem'!$BD$31*(DA110-0.3)+DA110^2)</f>
        <v>1.3858976801188323</v>
      </c>
      <c r="DC110" s="550">
        <f t="shared" si="100"/>
        <v>0.5307473463438892</v>
      </c>
      <c r="DE110" s="551">
        <f t="shared" si="101"/>
        <v>13928.933357449028</v>
      </c>
      <c r="DI110" s="546">
        <f t="shared" si="102"/>
        <v>162</v>
      </c>
      <c r="DJ110" s="551">
        <f t="shared" si="103"/>
        <v>83.39503888294594</v>
      </c>
      <c r="DK110" s="553">
        <f>DJ110/PI()*SQRT('Hilfstabellen_Mat&amp;Bem'!f.Rd.3/'Hilfstabellen_Mat&amp;Bem'!$BD$30)</f>
        <v>1.3272732667561662</v>
      </c>
      <c r="DL110" s="553">
        <f>0.5*(1+'Hilfstabellen_Mat&amp;Bem'!$BD$31*(DK110-0.3)+DK110^2)</f>
        <v>1.4321908256606009</v>
      </c>
      <c r="DM110" s="550">
        <f t="shared" si="104"/>
        <v>0.50754775388263151</v>
      </c>
      <c r="DO110" s="551">
        <f t="shared" si="105"/>
        <v>13320.083252895782</v>
      </c>
      <c r="DS110" s="546">
        <f t="shared" si="106"/>
        <v>162</v>
      </c>
      <c r="DT110" s="551">
        <f t="shared" si="107"/>
        <v>85.533373213277883</v>
      </c>
      <c r="DU110" s="553">
        <f>DT110/PI()*SQRT('Hilfstabellen_Mat&amp;Bem'!f.Rd.3/'Hilfstabellen_Mat&amp;Bem'!$BD$30)</f>
        <v>1.3613059146217088</v>
      </c>
      <c r="DV110" s="553">
        <f>0.5*(1+'Hilfstabellen_Mat&amp;Bem'!$BD$31*(DU110-0.3)+DU110^2)</f>
        <v>1.4796421923231091</v>
      </c>
      <c r="DW110" s="550">
        <f t="shared" si="108"/>
        <v>0.48556447507520545</v>
      </c>
      <c r="DY110" s="551">
        <f t="shared" si="109"/>
        <v>12743.154083873691</v>
      </c>
      <c r="EC110" s="546">
        <f t="shared" si="110"/>
        <v>162</v>
      </c>
      <c r="ED110" s="551">
        <f t="shared" si="111"/>
        <v>87.671707543609841</v>
      </c>
      <c r="EE110" s="553">
        <f>ED110/PI()*SQRT('Hilfstabellen_Mat&amp;Bem'!f.Rd.3/'Hilfstabellen_Mat&amp;Bem'!$BD$30)</f>
        <v>1.3953385624872516</v>
      </c>
      <c r="EF110" s="553">
        <f>0.5*(1+'Hilfstabellen_Mat&amp;Bem'!$BD$31*(EE110-0.3)+EE110^2)</f>
        <v>1.5282517801063575</v>
      </c>
      <c r="EG110" s="550">
        <f t="shared" si="112"/>
        <v>0.4647668002005243</v>
      </c>
      <c r="EI110" s="551">
        <f t="shared" si="113"/>
        <v>12197.33990446256</v>
      </c>
      <c r="EM110" s="546">
        <f t="shared" si="114"/>
        <v>162</v>
      </c>
      <c r="EN110" s="551">
        <f t="shared" si="115"/>
        <v>89.810041873941785</v>
      </c>
      <c r="EO110" s="553">
        <f>EN110/PI()*SQRT('Hilfstabellen_Mat&amp;Bem'!f.Rd.3/'Hilfstabellen_Mat&amp;Bem'!$BD$30)</f>
        <v>1.4293712103527945</v>
      </c>
      <c r="EP110" s="553">
        <f>0.5*(1+'Hilfstabellen_Mat&amp;Bem'!$BD$31*(EO110-0.3)+EO110^2)</f>
        <v>1.5780195890103461</v>
      </c>
      <c r="EQ110" s="550">
        <f t="shared" si="116"/>
        <v>0.44511054644293813</v>
      </c>
      <c r="ES110" s="551">
        <f t="shared" si="117"/>
        <v>11681.481180848468</v>
      </c>
    </row>
    <row r="111" spans="3:149">
      <c r="C111" s="546">
        <v>163</v>
      </c>
      <c r="D111" s="551">
        <f t="shared" si="67"/>
        <v>59.50604001463627</v>
      </c>
      <c r="E111" s="553">
        <f>$D111/PI()*SQRT('Hilfstabellen_Mat&amp;Bem'!f.Rd.3/'Hilfstabellen_Mat&amp;Bem'!$BD$30)</f>
        <v>0.94706804121534827</v>
      </c>
      <c r="F111" s="553">
        <f>0.5*(1+'Hilfstabellen_Mat&amp;Bem'!$BD$31*($E111-0.3)+$E111^2)</f>
        <v>0.98082233940650565</v>
      </c>
      <c r="G111" s="550">
        <f t="shared" si="68"/>
        <v>0.80911415318530433</v>
      </c>
      <c r="I111" s="551">
        <f t="shared" si="69"/>
        <v>21497.353935980351</v>
      </c>
      <c r="M111" s="546">
        <f t="shared" si="70"/>
        <v>163</v>
      </c>
      <c r="N111" s="551">
        <f t="shared" si="59"/>
        <v>61.631255729444703</v>
      </c>
      <c r="O111" s="553">
        <f>$N111/PI()*SQRT('Hilfstabellen_Mat&amp;Bem'!f.Rd.3/'Hilfstabellen_Mat&amp;Bem'!$BD$30)</f>
        <v>0.9808918998301821</v>
      </c>
      <c r="P111" s="553">
        <f>0.5*(1+'Hilfstabellen_Mat&amp;Bem'!$BD$31*($O111-0.3)+$O111^2)</f>
        <v>1.0151190545677411</v>
      </c>
      <c r="Q111" s="550">
        <f t="shared" si="60"/>
        <v>0.7833946973031396</v>
      </c>
      <c r="S111" s="551">
        <f t="shared" si="71"/>
        <v>20814.013712647116</v>
      </c>
      <c r="W111" s="546">
        <f t="shared" si="72"/>
        <v>163</v>
      </c>
      <c r="X111" s="551">
        <f t="shared" si="61"/>
        <v>63.756471444253151</v>
      </c>
      <c r="Y111" s="553">
        <f>$X111/PI()*SQRT('Hilfstabellen_Mat&amp;Bem'!f.Rd.3/'Hilfstabellen_Mat&amp;Bem'!$BD$30)</f>
        <v>1.0147157584450162</v>
      </c>
      <c r="Z111" s="553">
        <f>0.5*(1+'Hilfstabellen_Mat&amp;Bem'!$BD$31*($Y111-0.3)+$Y111^2)</f>
        <v>1.0505598231405731</v>
      </c>
      <c r="AA111" s="550">
        <f t="shared" si="62"/>
        <v>0.75606336882806258</v>
      </c>
      <c r="AC111" s="551">
        <f t="shared" si="73"/>
        <v>20087.847646392795</v>
      </c>
      <c r="AG111" s="546">
        <f t="shared" si="74"/>
        <v>163</v>
      </c>
      <c r="AH111" s="551">
        <f t="shared" si="63"/>
        <v>65.881687159061585</v>
      </c>
      <c r="AI111" s="553">
        <f>$AH111/PI()*SQRT('Hilfstabellen_Mat&amp;Bem'!f.Rd.3/'Hilfstabellen_Mat&amp;Bem'!$BD$30)</f>
        <v>1.04853961705985</v>
      </c>
      <c r="AJ111" s="553">
        <f>0.5*(1+'Hilfstabellen_Mat&amp;Bem'!$BD$31*($AI111-0.3)+$AI111^2)</f>
        <v>1.0871446451250009</v>
      </c>
      <c r="AK111" s="550">
        <f t="shared" si="64"/>
        <v>0.72765242661066054</v>
      </c>
      <c r="AM111" s="551">
        <f t="shared" si="75"/>
        <v>19332.997322618641</v>
      </c>
      <c r="AQ111" s="546">
        <f t="shared" si="76"/>
        <v>163</v>
      </c>
      <c r="AR111" s="551">
        <f t="shared" si="65"/>
        <v>68.006902873870033</v>
      </c>
      <c r="AS111" s="553">
        <f>$AR111/PI()*SQRT('Hilfstabellen_Mat&amp;Bem'!f.Rd.3/'Hilfstabellen_Mat&amp;Bem'!$BD$30)</f>
        <v>1.0823634756746841</v>
      </c>
      <c r="AT111" s="553">
        <f>0.5*(1+'Hilfstabellen_Mat&amp;Bem'!$BD$31*($AS111-0.3)+$AS111^2)</f>
        <v>1.1248735205210254</v>
      </c>
      <c r="AU111" s="550">
        <f t="shared" si="66"/>
        <v>0.69871928101379444</v>
      </c>
      <c r="AW111" s="551">
        <f t="shared" si="77"/>
        <v>18564.272577255506</v>
      </c>
      <c r="BA111" s="546">
        <f t="shared" si="78"/>
        <v>163</v>
      </c>
      <c r="BB111" s="551">
        <f t="shared" si="79"/>
        <v>70.132118588678452</v>
      </c>
      <c r="BC111" s="553">
        <f>$BB111/PI()*SQRT('Hilfstabellen_Mat&amp;Bem'!f.Rd.3/'Hilfstabellen_Mat&amp;Bem'!$BD$30)</f>
        <v>1.1161873342895177</v>
      </c>
      <c r="BD111" s="553">
        <f>0.5*(1+'Hilfstabellen_Mat&amp;Bem'!$BD$31*($BC111-0.3)+$BC111^2)</f>
        <v>1.1637464493286456</v>
      </c>
      <c r="BE111" s="550">
        <f t="shared" si="80"/>
        <v>0.66977619739982519</v>
      </c>
      <c r="BG111" s="551">
        <f t="shared" si="81"/>
        <v>17795.283788715955</v>
      </c>
      <c r="BK111" s="546">
        <f t="shared" si="82"/>
        <v>163</v>
      </c>
      <c r="BL111" s="551">
        <f t="shared" si="83"/>
        <v>72.2573343034869</v>
      </c>
      <c r="BM111" s="553">
        <f>$BL111/PI()*SQRT('Hilfstabellen_Mat&amp;Bem'!f.Rd.3/'Hilfstabellen_Mat&amp;Bem'!$BD$30)</f>
        <v>1.1500111929043515</v>
      </c>
      <c r="BN111" s="553">
        <f>0.5*(1+'Hilfstabellen_Mat&amp;Bem'!$BD$31*($BM111-0.3)+$BM111^2)</f>
        <v>1.2037634315478623</v>
      </c>
      <c r="BO111" s="550">
        <f t="shared" si="84"/>
        <v>0.64124726077456318</v>
      </c>
      <c r="BQ111" s="551">
        <f t="shared" si="85"/>
        <v>17037.298471519371</v>
      </c>
      <c r="BU111" s="546">
        <f t="shared" si="86"/>
        <v>163</v>
      </c>
      <c r="BV111" s="551">
        <f t="shared" si="87"/>
        <v>74.382550018295333</v>
      </c>
      <c r="BW111" s="553">
        <f>$BV111/PI()*SQRT('Hilfstabellen_Mat&amp;Bem'!f.Rd.3/'Hilfstabellen_Mat&amp;Bem'!$BD$30)</f>
        <v>1.1838350515191853</v>
      </c>
      <c r="BX111" s="553">
        <f>0.5*(1+'Hilfstabellen_Mat&amp;Bem'!$BD$31*($BW111-0.3)+$BW111^2)</f>
        <v>1.2449244671786754</v>
      </c>
      <c r="BY111" s="550">
        <f t="shared" si="88"/>
        <v>0.61345377260322398</v>
      </c>
      <c r="CA111" s="551">
        <f t="shared" si="89"/>
        <v>16298.853284295057</v>
      </c>
      <c r="CE111" s="546">
        <f t="shared" si="90"/>
        <v>163</v>
      </c>
      <c r="CF111" s="551">
        <f t="shared" si="91"/>
        <v>76.507765733103781</v>
      </c>
      <c r="CG111" s="553">
        <f>CF111/PI()*SQRT('Hilfstabellen_Mat&amp;Bem'!f.Rd.3/'Hilfstabellen_Mat&amp;Bem'!$BD$30)</f>
        <v>1.2176589101340194</v>
      </c>
      <c r="CH111" s="553">
        <f>0.5*(1+'Hilfstabellen_Mat&amp;Bem'!$BD$31*(CG111-0.3)+CG111^2)</f>
        <v>1.2872295562210847</v>
      </c>
      <c r="CI111" s="550">
        <f t="shared" si="92"/>
        <v>0.58661960603242691</v>
      </c>
      <c r="CK111" s="551">
        <f t="shared" si="93"/>
        <v>15585.89631267555</v>
      </c>
      <c r="CO111" s="546">
        <f t="shared" si="94"/>
        <v>163</v>
      </c>
      <c r="CP111" s="551">
        <f t="shared" si="95"/>
        <v>78.632981447912215</v>
      </c>
      <c r="CQ111" s="553">
        <f>CP111/PI()*SQRT('Hilfstabellen_Mat&amp;Bem'!f.Rd.3/'Hilfstabellen_Mat&amp;Bem'!$BD$30)</f>
        <v>1.2514827687488532</v>
      </c>
      <c r="CR111" s="553">
        <f>0.5*(1+'Hilfstabellen_Mat&amp;Bem'!$BD$31*(CQ111-0.3)+CQ111^2)</f>
        <v>1.3306786986750905</v>
      </c>
      <c r="CS111" s="550">
        <f t="shared" si="96"/>
        <v>0.56088653637630603</v>
      </c>
      <c r="CU111" s="551">
        <f t="shared" si="97"/>
        <v>14902.194384982075</v>
      </c>
      <c r="CY111" s="546">
        <f t="shared" si="98"/>
        <v>163</v>
      </c>
      <c r="CZ111" s="551">
        <f t="shared" si="99"/>
        <v>80.758197162720663</v>
      </c>
      <c r="DA111" s="553">
        <f>CZ111/PI()*SQRT('Hilfstabellen_Mat&amp;Bem'!f.Rd.3/'Hilfstabellen_Mat&amp;Bem'!$BD$30)</f>
        <v>1.2853066273636873</v>
      </c>
      <c r="DB111" s="553">
        <f>0.5*(1+'Hilfstabellen_Mat&amp;Bem'!$BD$31*(DA111-0.3)+DA111^2)</f>
        <v>1.3752718945406925</v>
      </c>
      <c r="DC111" s="550">
        <f t="shared" si="100"/>
        <v>0.53633225736845258</v>
      </c>
      <c r="DE111" s="551">
        <f t="shared" si="101"/>
        <v>14249.811746022417</v>
      </c>
      <c r="DI111" s="546">
        <f t="shared" si="102"/>
        <v>163</v>
      </c>
      <c r="DJ111" s="551">
        <f t="shared" si="103"/>
        <v>82.883412877529082</v>
      </c>
      <c r="DK111" s="553">
        <f>DJ111/PI()*SQRT('Hilfstabellen_Mat&amp;Bem'!f.Rd.3/'Hilfstabellen_Mat&amp;Bem'!$BD$30)</f>
        <v>1.3191304859785209</v>
      </c>
      <c r="DL111" s="553">
        <f>0.5*(1+'Hilfstabellen_Mat&amp;Bem'!$BD$31*(DK111-0.3)+DK111^2)</f>
        <v>1.4210091438178905</v>
      </c>
      <c r="DM111" s="550">
        <f t="shared" si="104"/>
        <v>0.51298710514028545</v>
      </c>
      <c r="DO111" s="551">
        <f t="shared" si="105"/>
        <v>13629.554396472244</v>
      </c>
      <c r="DS111" s="546">
        <f t="shared" si="106"/>
        <v>163</v>
      </c>
      <c r="DT111" s="551">
        <f t="shared" si="107"/>
        <v>85.00862859233753</v>
      </c>
      <c r="DU111" s="553">
        <f>DT111/PI()*SQRT('Hilfstabellen_Mat&amp;Bem'!f.Rd.3/'Hilfstabellen_Mat&amp;Bem'!$BD$30)</f>
        <v>1.3529543445933547</v>
      </c>
      <c r="DV111" s="553">
        <f>0.5*(1+'Hilfstabellen_Mat&amp;Bem'!$BD$31*(DU111-0.3)+DU111^2)</f>
        <v>1.4678904465066847</v>
      </c>
      <c r="DW111" s="550">
        <f t="shared" si="108"/>
        <v>0.4908479137424992</v>
      </c>
      <c r="DY111" s="551">
        <f t="shared" si="109"/>
        <v>13041.338220224461</v>
      </c>
      <c r="EC111" s="546">
        <f t="shared" si="110"/>
        <v>163</v>
      </c>
      <c r="ED111" s="551">
        <f t="shared" si="111"/>
        <v>87.133844307145964</v>
      </c>
      <c r="EE111" s="553">
        <f>ED111/PI()*SQRT('Hilfstabellen_Mat&amp;Bem'!f.Rd.3/'Hilfstabellen_Mat&amp;Bem'!$BD$30)</f>
        <v>1.3867782032081886</v>
      </c>
      <c r="EF111" s="553">
        <f>0.5*(1+'Hilfstabellen_Mat&amp;Bem'!$BD$31*(EE111-0.3)+EE111^2)</f>
        <v>1.5159158026070756</v>
      </c>
      <c r="EG111" s="550">
        <f t="shared" si="112"/>
        <v>0.46988876461283635</v>
      </c>
      <c r="EI111" s="551">
        <f t="shared" si="113"/>
        <v>12484.474586998449</v>
      </c>
      <c r="EM111" s="546">
        <f t="shared" si="114"/>
        <v>163</v>
      </c>
      <c r="EN111" s="551">
        <f t="shared" si="115"/>
        <v>89.259060021954411</v>
      </c>
      <c r="EO111" s="553">
        <f>EN111/PI()*SQRT('Hilfstabellen_Mat&amp;Bem'!f.Rd.3/'Hilfstabellen_Mat&amp;Bem'!$BD$30)</f>
        <v>1.4206020618230226</v>
      </c>
      <c r="EP111" s="553">
        <f>0.5*(1+'Hilfstabellen_Mat&amp;Bem'!$BD$31*(EO111-0.3)+EO111^2)</f>
        <v>1.5650852121190626</v>
      </c>
      <c r="EQ111" s="550">
        <f t="shared" si="116"/>
        <v>0.45006898533993089</v>
      </c>
      <c r="ES111" s="551">
        <f t="shared" si="117"/>
        <v>11957.882871496624</v>
      </c>
    </row>
    <row r="112" spans="3:149">
      <c r="C112" s="546">
        <v>164</v>
      </c>
      <c r="D112" s="551">
        <f t="shared" si="67"/>
        <v>59.143198307229959</v>
      </c>
      <c r="E112" s="553">
        <f>$D112/PI()*SQRT('Hilfstabellen_Mat&amp;Bem'!f.Rd.3/'Hilfstabellen_Mat&amp;Bem'!$BD$30)</f>
        <v>0.94129323608598647</v>
      </c>
      <c r="F112" s="553">
        <f>0.5*(1+'Hilfstabellen_Mat&amp;Bem'!$BD$31*($E112-0.3)+$E112^2)</f>
        <v>0.97508113995491374</v>
      </c>
      <c r="G112" s="550">
        <f t="shared" si="68"/>
        <v>0.81331104562050727</v>
      </c>
      <c r="I112" s="551">
        <f t="shared" si="69"/>
        <v>21874.813883009163</v>
      </c>
      <c r="M112" s="546">
        <f t="shared" si="70"/>
        <v>164</v>
      </c>
      <c r="N112" s="551">
        <f t="shared" si="59"/>
        <v>61.255455389631024</v>
      </c>
      <c r="O112" s="553">
        <f>$N112/PI()*SQRT('Hilfstabellen_Mat&amp;Bem'!f.Rd.3/'Hilfstabellen_Mat&amp;Bem'!$BD$30)</f>
        <v>0.97491085166048608</v>
      </c>
      <c r="P112" s="553">
        <f>0.5*(1+'Hilfstabellen_Mat&amp;Bem'!$BD$31*($O112-0.3)+$O112^2)</f>
        <v>1.0089711269257116</v>
      </c>
      <c r="Q112" s="550">
        <f t="shared" si="60"/>
        <v>0.78807395642973987</v>
      </c>
      <c r="S112" s="551">
        <f t="shared" si="71"/>
        <v>21196.037132134283</v>
      </c>
      <c r="W112" s="546">
        <f t="shared" si="72"/>
        <v>164</v>
      </c>
      <c r="X112" s="551">
        <f t="shared" si="61"/>
        <v>63.367712472032096</v>
      </c>
      <c r="Y112" s="553">
        <f>$X112/PI()*SQRT('Hilfstabellen_Mat&amp;Bem'!f.Rd.3/'Hilfstabellen_Mat&amp;Bem'!$BD$30)</f>
        <v>1.0085284672349857</v>
      </c>
      <c r="Z112" s="553">
        <f>0.5*(1+'Hilfstabellen_Mat&amp;Bem'!$BD$31*($Y112-0.3)+$Y112^2)</f>
        <v>1.0439912579734241</v>
      </c>
      <c r="AA112" s="550">
        <f t="shared" si="62"/>
        <v>0.76116017937428282</v>
      </c>
      <c r="AC112" s="551">
        <f t="shared" si="73"/>
        <v>20472.16418445071</v>
      </c>
      <c r="AG112" s="546">
        <f t="shared" si="74"/>
        <v>164</v>
      </c>
      <c r="AH112" s="551">
        <f t="shared" si="63"/>
        <v>65.479969554433168</v>
      </c>
      <c r="AI112" s="553">
        <f>$AH112/PI()*SQRT('Hilfstabellen_Mat&amp;Bem'!f.Rd.3/'Hilfstabellen_Mat&amp;Bem'!$BD$30)</f>
        <v>1.0421460828094851</v>
      </c>
      <c r="AJ112" s="553">
        <f>0.5*(1+'Hilfstabellen_Mat&amp;Bem'!$BD$31*($AI112-0.3)+$AI112^2)</f>
        <v>1.0801415330980513</v>
      </c>
      <c r="AK112" s="550">
        <f t="shared" si="64"/>
        <v>0.73307948335028172</v>
      </c>
      <c r="AM112" s="551">
        <f t="shared" si="75"/>
        <v>19716.905784189177</v>
      </c>
      <c r="AQ112" s="546">
        <f t="shared" si="76"/>
        <v>164</v>
      </c>
      <c r="AR112" s="551">
        <f t="shared" si="65"/>
        <v>67.592226636834226</v>
      </c>
      <c r="AS112" s="553">
        <f>$AR112/PI()*SQRT('Hilfstabellen_Mat&amp;Bem'!f.Rd.3/'Hilfstabellen_Mat&amp;Bem'!$BD$30)</f>
        <v>1.0757636983839844</v>
      </c>
      <c r="AT112" s="553">
        <f>0.5*(1+'Hilfstabellen_Mat&amp;Bem'!$BD$31*($AS112-0.3)+$AS112^2)</f>
        <v>1.1174219522995934</v>
      </c>
      <c r="AU112" s="550">
        <f t="shared" si="66"/>
        <v>0.70438051034207694</v>
      </c>
      <c r="AW112" s="551">
        <f t="shared" si="77"/>
        <v>18945.018206160501</v>
      </c>
      <c r="BA112" s="546">
        <f t="shared" si="78"/>
        <v>164</v>
      </c>
      <c r="BB112" s="551">
        <f t="shared" si="79"/>
        <v>69.704483719235299</v>
      </c>
      <c r="BC112" s="553">
        <f>$BB112/PI()*SQRT('Hilfstabellen_Mat&amp;Bem'!f.Rd.3/'Hilfstabellen_Mat&amp;Bem'!$BD$30)</f>
        <v>1.1093813139584838</v>
      </c>
      <c r="BD112" s="553">
        <f>0.5*(1+'Hilfstabellen_Mat&amp;Bem'!$BD$31*($BC112-0.3)+$BC112^2)</f>
        <v>1.1558325155780502</v>
      </c>
      <c r="BE112" s="550">
        <f t="shared" si="80"/>
        <v>0.6755790059978739</v>
      </c>
      <c r="BG112" s="551">
        <f t="shared" si="81"/>
        <v>18170.372945318817</v>
      </c>
      <c r="BK112" s="546">
        <f t="shared" si="82"/>
        <v>164</v>
      </c>
      <c r="BL112" s="551">
        <f t="shared" si="83"/>
        <v>71.816740801636371</v>
      </c>
      <c r="BM112" s="553">
        <f>$BL112/PI()*SQRT('Hilfstabellen_Mat&amp;Bem'!f.Rd.3/'Hilfstabellen_Mat&amp;Bem'!$BD$30)</f>
        <v>1.1429989295329834</v>
      </c>
      <c r="BN112" s="553">
        <f>0.5*(1+'Hilfstabellen_Mat&amp;Bem'!$BD$31*($BM112-0.3)+$BM112^2)</f>
        <v>1.1953732229334222</v>
      </c>
      <c r="BO112" s="550">
        <f t="shared" si="84"/>
        <v>0.64711046847588582</v>
      </c>
      <c r="BQ112" s="551">
        <f t="shared" si="85"/>
        <v>17404.683160127424</v>
      </c>
      <c r="BU112" s="546">
        <f t="shared" si="86"/>
        <v>164</v>
      </c>
      <c r="BV112" s="551">
        <f t="shared" si="87"/>
        <v>73.928997884037443</v>
      </c>
      <c r="BW112" s="553">
        <f>$BV112/PI()*SQRT('Hilfstabellen_Mat&amp;Bem'!f.Rd.3/'Hilfstabellen_Mat&amp;Bem'!$BD$30)</f>
        <v>1.176616545107483</v>
      </c>
      <c r="BX112" s="553">
        <f>0.5*(1+'Hilfstabellen_Mat&amp;Bem'!$BD$31*($BW112-0.3)+$BW112^2)</f>
        <v>1.2360440743657088</v>
      </c>
      <c r="BY112" s="550">
        <f t="shared" si="88"/>
        <v>0.61931102574405072</v>
      </c>
      <c r="CA112" s="551">
        <f t="shared" si="89"/>
        <v>16656.989348411989</v>
      </c>
      <c r="CE112" s="546">
        <f t="shared" si="90"/>
        <v>164</v>
      </c>
      <c r="CF112" s="551">
        <f t="shared" si="91"/>
        <v>76.041254966438515</v>
      </c>
      <c r="CG112" s="553">
        <f>CF112/PI()*SQRT('Hilfstabellen_Mat&amp;Bem'!f.Rd.3/'Hilfstabellen_Mat&amp;Bem'!$BD$30)</f>
        <v>1.2102341606819826</v>
      </c>
      <c r="CH112" s="553">
        <f>0.5*(1+'Hilfstabellen_Mat&amp;Bem'!$BD$31*(CG112-0.3)+CG112^2)</f>
        <v>1.2778450698749104</v>
      </c>
      <c r="CI112" s="550">
        <f t="shared" si="92"/>
        <v>0.59241952930760378</v>
      </c>
      <c r="CK112" s="551">
        <f t="shared" si="93"/>
        <v>15933.71566025731</v>
      </c>
      <c r="CO112" s="546">
        <f t="shared" si="94"/>
        <v>164</v>
      </c>
      <c r="CP112" s="551">
        <f t="shared" si="95"/>
        <v>78.153512048839588</v>
      </c>
      <c r="CQ112" s="553">
        <f>CP112/PI()*SQRT('Hilfstabellen_Mat&amp;Bem'!f.Rd.3/'Hilfstabellen_Mat&amp;Bem'!$BD$30)</f>
        <v>1.2438517762564822</v>
      </c>
      <c r="CR112" s="553">
        <f>0.5*(1+'Hilfstabellen_Mat&amp;Bem'!$BD$31*(CQ112-0.3)+CQ112^2)</f>
        <v>1.3207762094610271</v>
      </c>
      <c r="CS112" s="550">
        <f t="shared" si="96"/>
        <v>0.56659110807900381</v>
      </c>
      <c r="CU112" s="551">
        <f t="shared" si="97"/>
        <v>15239.034442892887</v>
      </c>
      <c r="CY112" s="546">
        <f t="shared" si="98"/>
        <v>164</v>
      </c>
      <c r="CZ112" s="551">
        <f t="shared" si="99"/>
        <v>80.26576913124066</v>
      </c>
      <c r="DA112" s="553">
        <f>CZ112/PI()*SQRT('Hilfstabellen_Mat&amp;Bem'!f.Rd.3/'Hilfstabellen_Mat&amp;Bem'!$BD$30)</f>
        <v>1.2774693918309818</v>
      </c>
      <c r="DB112" s="553">
        <f>0.5*(1+'Hilfstabellen_Mat&amp;Bem'!$BD$31*(DA112-0.3)+DA112^2)</f>
        <v>1.3648374931240586</v>
      </c>
      <c r="DC112" s="550">
        <f t="shared" si="100"/>
        <v>0.54191451775066657</v>
      </c>
      <c r="DE112" s="551">
        <f t="shared" si="101"/>
        <v>14575.332869421927</v>
      </c>
      <c r="DI112" s="546">
        <f t="shared" si="102"/>
        <v>164</v>
      </c>
      <c r="DJ112" s="551">
        <f t="shared" si="103"/>
        <v>82.378026213641718</v>
      </c>
      <c r="DK112" s="553">
        <f>DJ112/PI()*SQRT('Hilfstabellen_Mat&amp;Bem'!f.Rd.3/'Hilfstabellen_Mat&amp;Bem'!$BD$30)</f>
        <v>1.3110870074054812</v>
      </c>
      <c r="DL112" s="553">
        <f>0.5*(1+'Hilfstabellen_Mat&amp;Bem'!$BD$31*(DK112-0.3)+DK112^2)</f>
        <v>1.4100289208640042</v>
      </c>
      <c r="DM112" s="550">
        <f t="shared" si="104"/>
        <v>0.5184288414517505</v>
      </c>
      <c r="DO112" s="551">
        <f t="shared" si="105"/>
        <v>13943.662119686282</v>
      </c>
      <c r="DS112" s="546">
        <f t="shared" si="106"/>
        <v>164</v>
      </c>
      <c r="DT112" s="551">
        <f t="shared" si="107"/>
        <v>84.49028329604279</v>
      </c>
      <c r="DU112" s="553">
        <f>DT112/PI()*SQRT('Hilfstabellen_Mat&amp;Bem'!f.Rd.3/'Hilfstabellen_Mat&amp;Bem'!$BD$30)</f>
        <v>1.3447046229799806</v>
      </c>
      <c r="DV112" s="553">
        <f>0.5*(1+'Hilfstabellen_Mat&amp;Bem'!$BD$31*(DU112-0.3)+DU112^2)</f>
        <v>1.456350492680865</v>
      </c>
      <c r="DW112" s="550">
        <f t="shared" si="108"/>
        <v>0.49613761808186774</v>
      </c>
      <c r="DY112" s="551">
        <f t="shared" si="109"/>
        <v>13344.117375929914</v>
      </c>
      <c r="EC112" s="546">
        <f t="shared" si="110"/>
        <v>164</v>
      </c>
      <c r="ED112" s="551">
        <f t="shared" si="111"/>
        <v>86.602540378443862</v>
      </c>
      <c r="EE112" s="553">
        <f>ED112/PI()*SQRT('Hilfstabellen_Mat&amp;Bem'!f.Rd.3/'Hilfstabellen_Mat&amp;Bem'!$BD$30)</f>
        <v>1.3783222385544802</v>
      </c>
      <c r="EF112" s="553">
        <f>0.5*(1+'Hilfstabellen_Mat&amp;Bem'!$BD$31*(EE112-0.3)+EE112^2)</f>
        <v>1.5038022085746408</v>
      </c>
      <c r="EG112" s="550">
        <f t="shared" si="112"/>
        <v>0.47501995619125226</v>
      </c>
      <c r="EI112" s="551">
        <f t="shared" si="113"/>
        <v>12776.13674171992</v>
      </c>
      <c r="EM112" s="546">
        <f t="shared" si="114"/>
        <v>164</v>
      </c>
      <c r="EN112" s="551">
        <f t="shared" si="115"/>
        <v>88.714797460844935</v>
      </c>
      <c r="EO112" s="553">
        <f>EN112/PI()*SQRT('Hilfstabellen_Mat&amp;Bem'!f.Rd.3/'Hilfstabellen_Mat&amp;Bem'!$BD$30)</f>
        <v>1.4119398541289798</v>
      </c>
      <c r="EP112" s="553">
        <f>0.5*(1+'Hilfstabellen_Mat&amp;Bem'!$BD$31*(EO112-0.3)+EO112^2)</f>
        <v>1.5523840685453314</v>
      </c>
      <c r="EQ112" s="550">
        <f t="shared" si="116"/>
        <v>0.4550388879441466</v>
      </c>
      <c r="ES112" s="551">
        <f t="shared" si="117"/>
        <v>12238.725930145767</v>
      </c>
    </row>
    <row r="113" spans="3:149">
      <c r="C113" s="546">
        <v>165</v>
      </c>
      <c r="D113" s="551">
        <f t="shared" si="67"/>
        <v>58.784754681125527</v>
      </c>
      <c r="E113" s="553">
        <f>$D113/PI()*SQRT('Hilfstabellen_Mat&amp;Bem'!f.Rd.3/'Hilfstabellen_Mat&amp;Bem'!$BD$30)</f>
        <v>0.93558842859455627</v>
      </c>
      <c r="F113" s="553">
        <f>0.5*(1+'Hilfstabellen_Mat&amp;Bem'!$BD$31*($E113-0.3)+$E113^2)</f>
        <v>0.96944227528974336</v>
      </c>
      <c r="G113" s="550">
        <f t="shared" si="68"/>
        <v>0.8173966580588341</v>
      </c>
      <c r="I113" s="551">
        <f t="shared" si="69"/>
        <v>22253.62401565176</v>
      </c>
      <c r="M113" s="546">
        <f t="shared" si="70"/>
        <v>165</v>
      </c>
      <c r="N113" s="551">
        <f t="shared" si="59"/>
        <v>60.884210205451438</v>
      </c>
      <c r="O113" s="553">
        <f>$N113/PI()*SQRT('Hilfstabellen_Mat&amp;Bem'!f.Rd.3/'Hilfstabellen_Mat&amp;Bem'!$BD$30)</f>
        <v>0.9690023010443618</v>
      </c>
      <c r="P113" s="553">
        <f>0.5*(1+'Hilfstabellen_Mat&amp;Bem'!$BD$31*($O113-0.3)+$O113^2)</f>
        <v>1.002932844766852</v>
      </c>
      <c r="Q113" s="550">
        <f t="shared" si="60"/>
        <v>0.79264409792644119</v>
      </c>
      <c r="S113" s="551">
        <f t="shared" si="71"/>
        <v>21579.735566047362</v>
      </c>
      <c r="W113" s="546">
        <f t="shared" si="72"/>
        <v>165</v>
      </c>
      <c r="X113" s="551">
        <f t="shared" si="61"/>
        <v>62.983665729777357</v>
      </c>
      <c r="Y113" s="553">
        <f>$X113/PI()*SQRT('Hilfstabellen_Mat&amp;Bem'!f.Rd.3/'Hilfstabellen_Mat&amp;Bem'!$BD$30)</f>
        <v>1.0024161734941675</v>
      </c>
      <c r="Z113" s="553">
        <f>0.5*(1+'Hilfstabellen_Mat&amp;Bem'!$BD$31*($Y113-0.3)+$Y113^2)</f>
        <v>1.0375399011160527</v>
      </c>
      <c r="AA113" s="550">
        <f t="shared" si="62"/>
        <v>0.76615630968545334</v>
      </c>
      <c r="AC113" s="551">
        <f t="shared" si="73"/>
        <v>20858.605531186466</v>
      </c>
      <c r="AG113" s="546">
        <f t="shared" si="74"/>
        <v>165</v>
      </c>
      <c r="AH113" s="551">
        <f t="shared" si="63"/>
        <v>65.083121254103261</v>
      </c>
      <c r="AI113" s="553">
        <f>$AH113/PI()*SQRT('Hilfstabellen_Mat&amp;Bem'!f.Rd.3/'Hilfstabellen_Mat&amp;Bem'!$BD$30)</f>
        <v>1.0358300459439729</v>
      </c>
      <c r="AJ113" s="553">
        <f>0.5*(1+'Hilfstabellen_Mat&amp;Bem'!$BD$31*($AI113-0.3)+$AI113^2)</f>
        <v>1.073263444337345</v>
      </c>
      <c r="AK113" s="550">
        <f t="shared" si="64"/>
        <v>0.73841891861968179</v>
      </c>
      <c r="AM113" s="551">
        <f t="shared" si="75"/>
        <v>20103.455059420838</v>
      </c>
      <c r="AQ113" s="546">
        <f t="shared" si="76"/>
        <v>165</v>
      </c>
      <c r="AR113" s="551">
        <f t="shared" si="65"/>
        <v>67.18257677842918</v>
      </c>
      <c r="AS113" s="553">
        <f>$AR113/PI()*SQRT('Hilfstabellen_Mat&amp;Bem'!f.Rd.3/'Hilfstabellen_Mat&amp;Bem'!$BD$30)</f>
        <v>1.0692439183937787</v>
      </c>
      <c r="AT113" s="553">
        <f>0.5*(1+'Hilfstabellen_Mat&amp;Bem'!$BD$31*($AS113-0.3)+$AS113^2)</f>
        <v>1.1101034744307299</v>
      </c>
      <c r="AU113" s="550">
        <f t="shared" si="66"/>
        <v>0.70996950856400287</v>
      </c>
      <c r="AW113" s="551">
        <f t="shared" si="77"/>
        <v>19328.91987065498</v>
      </c>
      <c r="BA113" s="546">
        <f t="shared" si="78"/>
        <v>165</v>
      </c>
      <c r="BB113" s="551">
        <f t="shared" si="79"/>
        <v>69.282032302755084</v>
      </c>
      <c r="BC113" s="553">
        <f>$BB113/PI()*SQRT('Hilfstabellen_Mat&amp;Bem'!f.Rd.3/'Hilfstabellen_Mat&amp;Bem'!$BD$30)</f>
        <v>1.102657790843584</v>
      </c>
      <c r="BD113" s="553">
        <f>0.5*(1+'Hilfstabellen_Mat&amp;Bem'!$BD$31*($BC113-0.3)+$BC113^2)</f>
        <v>1.1480599913962055</v>
      </c>
      <c r="BE113" s="550">
        <f t="shared" si="80"/>
        <v>0.68132521956793579</v>
      </c>
      <c r="BG113" s="551">
        <f t="shared" si="81"/>
        <v>18549.079102737051</v>
      </c>
      <c r="BK113" s="546">
        <f t="shared" si="82"/>
        <v>165</v>
      </c>
      <c r="BL113" s="551">
        <f t="shared" si="83"/>
        <v>71.381487827081003</v>
      </c>
      <c r="BM113" s="553">
        <f>$BL113/PI()*SQRT('Hilfstabellen_Mat&amp;Bem'!f.Rd.3/'Hilfstabellen_Mat&amp;Bem'!$BD$30)</f>
        <v>1.1360716632933898</v>
      </c>
      <c r="BN113" s="553">
        <f>0.5*(1+'Hilfstabellen_Mat&amp;Bem'!$BD$31*($BM113-0.3)+$BM113^2)</f>
        <v>1.1871329952337741</v>
      </c>
      <c r="BO113" s="550">
        <f t="shared" si="84"/>
        <v>0.65293153834551676</v>
      </c>
      <c r="BQ113" s="551">
        <f t="shared" si="85"/>
        <v>17776.061131456692</v>
      </c>
      <c r="BU113" s="546">
        <f t="shared" si="86"/>
        <v>165</v>
      </c>
      <c r="BV113" s="551">
        <f t="shared" si="87"/>
        <v>73.480943351406907</v>
      </c>
      <c r="BW113" s="553">
        <f>$BV113/PI()*SQRT('Hilfstabellen_Mat&amp;Bem'!f.Rd.3/'Hilfstabellen_Mat&amp;Bem'!$BD$30)</f>
        <v>1.1694855357431952</v>
      </c>
      <c r="BX113" s="553">
        <f>0.5*(1+'Hilfstabellen_Mat&amp;Bem'!$BD$31*($BW113-0.3)+$BW113^2)</f>
        <v>1.227322485943434</v>
      </c>
      <c r="BY113" s="550">
        <f t="shared" si="88"/>
        <v>0.6251386965007365</v>
      </c>
      <c r="CA113" s="551">
        <f t="shared" si="89"/>
        <v>17019.401012232553</v>
      </c>
      <c r="CE113" s="546">
        <f t="shared" si="90"/>
        <v>165</v>
      </c>
      <c r="CF113" s="551">
        <f t="shared" si="91"/>
        <v>75.580398875732811</v>
      </c>
      <c r="CG113" s="553">
        <f>CF113/PI()*SQRT('Hilfstabellen_Mat&amp;Bem'!f.Rd.3/'Hilfstabellen_Mat&amp;Bem'!$BD$30)</f>
        <v>1.2028994081930007</v>
      </c>
      <c r="CH113" s="553">
        <f>0.5*(1+'Hilfstabellen_Mat&amp;Bem'!$BD$31*(CG113-0.3)+CG113^2)</f>
        <v>1.2686284635251857</v>
      </c>
      <c r="CI113" s="550">
        <f t="shared" si="92"/>
        <v>0.59820032348686469</v>
      </c>
      <c r="CK113" s="551">
        <f t="shared" si="93"/>
        <v>16286.003806929892</v>
      </c>
      <c r="CO113" s="546">
        <f t="shared" si="94"/>
        <v>165</v>
      </c>
      <c r="CP113" s="551">
        <f t="shared" si="95"/>
        <v>77.679854400058744</v>
      </c>
      <c r="CQ113" s="553">
        <f>CP113/PI()*SQRT('Hilfstabellen_Mat&amp;Bem'!f.Rd.3/'Hilfstabellen_Mat&amp;Bem'!$BD$30)</f>
        <v>1.2363132806428068</v>
      </c>
      <c r="CR113" s="553">
        <f>0.5*(1+'Hilfstabellen_Mat&amp;Bem'!$BD$31*(CQ113-0.3)+CQ113^2)</f>
        <v>1.3110509279790301</v>
      </c>
      <c r="CS113" s="550">
        <f t="shared" si="96"/>
        <v>0.57228500829918894</v>
      </c>
      <c r="CU113" s="551">
        <f t="shared" si="97"/>
        <v>15580.459350945419</v>
      </c>
      <c r="CY113" s="546">
        <f t="shared" si="98"/>
        <v>165</v>
      </c>
      <c r="CZ113" s="551">
        <f t="shared" si="99"/>
        <v>79.779309924384648</v>
      </c>
      <c r="DA113" s="553">
        <f>CZ113/PI()*SQRT('Hilfstabellen_Mat&amp;Bem'!f.Rd.3/'Hilfstabellen_Mat&amp;Bem'!$BD$30)</f>
        <v>1.269727153092612</v>
      </c>
      <c r="DB113" s="553">
        <f>0.5*(1+'Hilfstabellen_Mat&amp;Bem'!$BD$31*(DA113-0.3)+DA113^2)</f>
        <v>1.3545898793049651</v>
      </c>
      <c r="DC113" s="550">
        <f t="shared" si="100"/>
        <v>0.5474928161277649</v>
      </c>
      <c r="DE113" s="551">
        <f t="shared" si="101"/>
        <v>14905.4919190784</v>
      </c>
      <c r="DI113" s="546">
        <f t="shared" si="102"/>
        <v>165</v>
      </c>
      <c r="DJ113" s="551">
        <f t="shared" si="103"/>
        <v>81.878765448710553</v>
      </c>
      <c r="DK113" s="553">
        <f>DJ113/PI()*SQRT('Hilfstabellen_Mat&amp;Bem'!f.Rd.3/'Hilfstabellen_Mat&amp;Bem'!$BD$30)</f>
        <v>1.3031410255424176</v>
      </c>
      <c r="DL113" s="553">
        <f>0.5*(1+'Hilfstabellen_Mat&amp;Bem'!$BD$31*(DK113-0.3)+DK113^2)</f>
        <v>1.3992453175029929</v>
      </c>
      <c r="DM113" s="550">
        <f t="shared" si="104"/>
        <v>0.52387186388123075</v>
      </c>
      <c r="DO113" s="551">
        <f t="shared" si="105"/>
        <v>14262.411494166507</v>
      </c>
      <c r="DS113" s="546">
        <f t="shared" si="106"/>
        <v>165</v>
      </c>
      <c r="DT113" s="551">
        <f t="shared" si="107"/>
        <v>83.978220973036471</v>
      </c>
      <c r="DU113" s="553">
        <f>DT113/PI()*SQRT('Hilfstabellen_Mat&amp;Bem'!f.Rd.3/'Hilfstabellen_Mat&amp;Bem'!$BD$30)</f>
        <v>1.3365548979922233</v>
      </c>
      <c r="DV113" s="553">
        <f>0.5*(1+'Hilfstabellen_Mat&amp;Bem'!$BD$31*(DU113-0.3)+DU113^2)</f>
        <v>1.4450172425731123</v>
      </c>
      <c r="DW113" s="550">
        <f t="shared" si="108"/>
        <v>0.50143266888338522</v>
      </c>
      <c r="DY113" s="551">
        <f t="shared" si="109"/>
        <v>13651.504410350162</v>
      </c>
      <c r="EC113" s="546">
        <f t="shared" si="110"/>
        <v>165</v>
      </c>
      <c r="ED113" s="551">
        <f t="shared" si="111"/>
        <v>86.077676497362376</v>
      </c>
      <c r="EE113" s="553">
        <f>ED113/PI()*SQRT('Hilfstabellen_Mat&amp;Bem'!f.Rd.3/'Hilfstabellen_Mat&amp;Bem'!$BD$30)</f>
        <v>1.3699687704420287</v>
      </c>
      <c r="EF113" s="553">
        <f>0.5*(1+'Hilfstabellen_Mat&amp;Bem'!$BD$31*(EE113-0.3)+EE113^2)</f>
        <v>1.4919056545153233</v>
      </c>
      <c r="EG113" s="550">
        <f t="shared" si="112"/>
        <v>0.48015960534636659</v>
      </c>
      <c r="EI113" s="551">
        <f t="shared" si="113"/>
        <v>13072.34525555483</v>
      </c>
      <c r="EM113" s="546">
        <f t="shared" si="114"/>
        <v>165</v>
      </c>
      <c r="EN113" s="551">
        <f t="shared" si="115"/>
        <v>88.177132021688294</v>
      </c>
      <c r="EO113" s="553">
        <f>EN113/PI()*SQRT('Hilfstabellen_Mat&amp;Bem'!f.Rd.3/'Hilfstabellen_Mat&amp;Bem'!$BD$30)</f>
        <v>1.4033826428918343</v>
      </c>
      <c r="EP113" s="553">
        <f>0.5*(1+'Hilfstabellen_Mat&amp;Bem'!$BD$31*(EO113-0.3)+EO113^2)</f>
        <v>1.5399105533296267</v>
      </c>
      <c r="EQ113" s="550">
        <f t="shared" si="116"/>
        <v>0.46001960817132764</v>
      </c>
      <c r="ES113" s="551">
        <f t="shared" si="117"/>
        <v>12524.033832464394</v>
      </c>
    </row>
    <row r="114" spans="3:149">
      <c r="C114" s="546">
        <v>166</v>
      </c>
      <c r="D114" s="551">
        <f t="shared" si="67"/>
        <v>58.43062965292598</v>
      </c>
      <c r="E114" s="553">
        <f>$D114/PI()*SQRT('Hilfstabellen_Mat&amp;Bem'!f.Rd.3/'Hilfstabellen_Mat&amp;Bem'!$BD$30)</f>
        <v>0.92995235372350471</v>
      </c>
      <c r="F114" s="553">
        <f>0.5*(1+'Hilfstabellen_Mat&amp;Bem'!$BD$31*($E114-0.3)+$E114^2)</f>
        <v>0.96390330778411837</v>
      </c>
      <c r="G114" s="550">
        <f t="shared" si="68"/>
        <v>0.82137262960359558</v>
      </c>
      <c r="I114" s="551">
        <f t="shared" si="69"/>
        <v>22633.74418135668</v>
      </c>
      <c r="M114" s="546">
        <f t="shared" si="70"/>
        <v>166</v>
      </c>
      <c r="N114" s="551">
        <f t="shared" si="59"/>
        <v>60.517437854816194</v>
      </c>
      <c r="O114" s="553">
        <f>$N114/PI()*SQRT('Hilfstabellen_Mat&amp;Bem'!f.Rd.3/'Hilfstabellen_Mat&amp;Bem'!$BD$30)</f>
        <v>0.96316493778505841</v>
      </c>
      <c r="P114" s="553">
        <f>0.5*(1+'Hilfstabellen_Mat&amp;Bem'!$BD$31*($O114-0.3)+$O114^2)</f>
        <v>0.99700159557850065</v>
      </c>
      <c r="Q114" s="550">
        <f t="shared" si="60"/>
        <v>0.79710558791058106</v>
      </c>
      <c r="S114" s="551">
        <f t="shared" si="71"/>
        <v>21965.041580463971</v>
      </c>
      <c r="W114" s="546">
        <f t="shared" si="72"/>
        <v>166</v>
      </c>
      <c r="X114" s="551">
        <f t="shared" si="61"/>
        <v>62.604246056706408</v>
      </c>
      <c r="Y114" s="553">
        <f>$X114/PI()*SQRT('Hilfstabellen_Mat&amp;Bem'!f.Rd.3/'Hilfstabellen_Mat&amp;Bem'!$BD$30)</f>
        <v>0.99637752184661221</v>
      </c>
      <c r="Z114" s="553">
        <f>0.5*(1+'Hilfstabellen_Mat&amp;Bem'!$BD$31*($Y114-0.3)+$Y114^2)</f>
        <v>1.0312029591129286</v>
      </c>
      <c r="AA114" s="550">
        <f t="shared" si="62"/>
        <v>0.77105105944429675</v>
      </c>
      <c r="AC114" s="551">
        <f t="shared" si="73"/>
        <v>21247.082994047043</v>
      </c>
      <c r="AG114" s="546">
        <f t="shared" si="74"/>
        <v>166</v>
      </c>
      <c r="AH114" s="551">
        <f t="shared" si="63"/>
        <v>64.691054258596623</v>
      </c>
      <c r="AI114" s="553">
        <f>$AH114/PI()*SQRT('Hilfstabellen_Mat&amp;Bem'!f.Rd.3/'Hilfstabellen_Mat&amp;Bem'!$BD$30)</f>
        <v>1.029590105908166</v>
      </c>
      <c r="AJ114" s="553">
        <f>0.5*(1+'Hilfstabellen_Mat&amp;Bem'!$BD$31*($AI114-0.3)+$AI114^2)</f>
        <v>1.0665073983874027</v>
      </c>
      <c r="AK114" s="550">
        <f t="shared" si="64"/>
        <v>0.74366912176240862</v>
      </c>
      <c r="AM114" s="551">
        <f t="shared" si="75"/>
        <v>20492.546319284931</v>
      </c>
      <c r="AQ114" s="546">
        <f t="shared" si="76"/>
        <v>166</v>
      </c>
      <c r="AR114" s="551">
        <f t="shared" si="65"/>
        <v>66.777862460486844</v>
      </c>
      <c r="AS114" s="553">
        <f>$AR114/PI()*SQRT('Hilfstabellen_Mat&amp;Bem'!f.Rd.3/'Hilfstabellen_Mat&amp;Bem'!$BD$30)</f>
        <v>1.0628026899697198</v>
      </c>
      <c r="AT114" s="553">
        <f>0.5*(1+'Hilfstabellen_Mat&amp;Bem'!$BD$31*($AS114-0.3)+$AS114^2)</f>
        <v>1.1029149134019223</v>
      </c>
      <c r="AU114" s="550">
        <f t="shared" si="66"/>
        <v>0.71548412440210929</v>
      </c>
      <c r="AW114" s="551">
        <f t="shared" si="77"/>
        <v>19715.880532024523</v>
      </c>
      <c r="BA114" s="546">
        <f t="shared" si="78"/>
        <v>166</v>
      </c>
      <c r="BB114" s="551">
        <f t="shared" si="79"/>
        <v>68.864670662377037</v>
      </c>
      <c r="BC114" s="553">
        <f>$BB114/PI()*SQRT('Hilfstabellen_Mat&amp;Bem'!f.Rd.3/'Hilfstabellen_Mat&amp;Bem'!$BD$30)</f>
        <v>1.0960152740312734</v>
      </c>
      <c r="BD114" s="553">
        <f>0.5*(1+'Hilfstabellen_Mat&amp;Bem'!$BD$31*($BC114-0.3)+$BC114^2)</f>
        <v>1.1404255041564872</v>
      </c>
      <c r="BE114" s="550">
        <f t="shared" si="80"/>
        <v>0.68701249136044507</v>
      </c>
      <c r="BG114" s="551">
        <f t="shared" si="81"/>
        <v>18931.316211928424</v>
      </c>
      <c r="BK114" s="546">
        <f t="shared" si="82"/>
        <v>166</v>
      </c>
      <c r="BL114" s="551">
        <f t="shared" si="83"/>
        <v>70.951478864267258</v>
      </c>
      <c r="BM114" s="553">
        <f>$BL114/PI()*SQRT('Hilfstabellen_Mat&amp;Bem'!f.Rd.3/'Hilfstabellen_Mat&amp;Bem'!$BD$30)</f>
        <v>1.129227858092827</v>
      </c>
      <c r="BN114" s="553">
        <f>0.5*(1+'Hilfstabellen_Mat&amp;Bem'!$BD$31*($BM114-0.3)+$BM114^2)</f>
        <v>1.1790391706510983</v>
      </c>
      <c r="BO114" s="550">
        <f t="shared" si="84"/>
        <v>0.65870817578382779</v>
      </c>
      <c r="BQ114" s="551">
        <f t="shared" si="85"/>
        <v>18151.362491899159</v>
      </c>
      <c r="BU114" s="546">
        <f t="shared" si="86"/>
        <v>166</v>
      </c>
      <c r="BV114" s="551">
        <f t="shared" si="87"/>
        <v>73.038287066157466</v>
      </c>
      <c r="BW114" s="553">
        <f>$BV114/PI()*SQRT('Hilfstabellen_Mat&amp;Bem'!f.Rd.3/'Hilfstabellen_Mat&amp;Bem'!$BD$30)</f>
        <v>1.1624404421543806</v>
      </c>
      <c r="BX114" s="553">
        <f>0.5*(1+'Hilfstabellen_Mat&amp;Bem'!$BD$31*($BW114-0.3)+$BW114^2)</f>
        <v>1.2187559128857548</v>
      </c>
      <c r="BY114" s="550">
        <f t="shared" si="88"/>
        <v>0.63093468403630015</v>
      </c>
      <c r="CA114" s="551">
        <f t="shared" si="89"/>
        <v>17386.036153304289</v>
      </c>
      <c r="CE114" s="546">
        <f t="shared" si="90"/>
        <v>166</v>
      </c>
      <c r="CF114" s="551">
        <f t="shared" si="91"/>
        <v>75.125095268047687</v>
      </c>
      <c r="CG114" s="553">
        <f>CF114/PI()*SQRT('Hilfstabellen_Mat&amp;Bem'!f.Rd.3/'Hilfstabellen_Mat&amp;Bem'!$BD$30)</f>
        <v>1.1956530262159346</v>
      </c>
      <c r="CH114" s="553">
        <f>0.5*(1+'Hilfstabellen_Mat&amp;Bem'!$BD$31*(CG114-0.3)+CG114^2)</f>
        <v>1.2595757308604578</v>
      </c>
      <c r="CI114" s="550">
        <f t="shared" si="92"/>
        <v>0.60396014145845089</v>
      </c>
      <c r="CK114" s="551">
        <f t="shared" si="93"/>
        <v>16642.725658029074</v>
      </c>
      <c r="CO114" s="546">
        <f t="shared" si="94"/>
        <v>166</v>
      </c>
      <c r="CP114" s="551">
        <f t="shared" si="95"/>
        <v>77.211903469937894</v>
      </c>
      <c r="CQ114" s="553">
        <f>CP114/PI()*SQRT('Hilfstabellen_Mat&amp;Bem'!f.Rd.3/'Hilfstabellen_Mat&amp;Bem'!$BD$30)</f>
        <v>1.2288656102774882</v>
      </c>
      <c r="CR114" s="553">
        <f>0.5*(1+'Hilfstabellen_Mat&amp;Bem'!$BD$31*(CQ114-0.3)+CQ114^2)</f>
        <v>1.3014986245752063</v>
      </c>
      <c r="CS114" s="550">
        <f t="shared" si="96"/>
        <v>0.57796665240999845</v>
      </c>
      <c r="CU114" s="551">
        <f t="shared" si="97"/>
        <v>15926.449073809918</v>
      </c>
      <c r="CY114" s="546">
        <f t="shared" si="98"/>
        <v>166</v>
      </c>
      <c r="CZ114" s="551">
        <f t="shared" si="99"/>
        <v>79.298711671828116</v>
      </c>
      <c r="DA114" s="553">
        <f>CZ114/PI()*SQRT('Hilfstabellen_Mat&amp;Bem'!f.Rd.3/'Hilfstabellen_Mat&amp;Bem'!$BD$30)</f>
        <v>1.2620781943390422</v>
      </c>
      <c r="DB114" s="553">
        <f>0.5*(1+'Hilfstabellen_Mat&amp;Bem'!$BD$31*(DA114-0.3)+DA114^2)</f>
        <v>1.3445245940300006</v>
      </c>
      <c r="DC114" s="550">
        <f t="shared" si="100"/>
        <v>0.55306581215855177</v>
      </c>
      <c r="DE114" s="551">
        <f t="shared" si="101"/>
        <v>15240.281519841054</v>
      </c>
      <c r="DI114" s="546">
        <f t="shared" si="102"/>
        <v>166</v>
      </c>
      <c r="DJ114" s="551">
        <f t="shared" si="103"/>
        <v>81.385519873718323</v>
      </c>
      <c r="DK114" s="553">
        <f>DJ114/PI()*SQRT('Hilfstabellen_Mat&amp;Bem'!f.Rd.3/'Hilfstabellen_Mat&amp;Bem'!$BD$30)</f>
        <v>1.2952907784005958</v>
      </c>
      <c r="DL114" s="553">
        <f>0.5*(1+'Hilfstabellen_Mat&amp;Bem'!$BD$31*(DK114-0.3)+DK114^2)</f>
        <v>1.3886536392248403</v>
      </c>
      <c r="DM114" s="550">
        <f t="shared" si="104"/>
        <v>0.52931504690820952</v>
      </c>
      <c r="DO114" s="551">
        <f t="shared" si="105"/>
        <v>14585.805432602621</v>
      </c>
      <c r="DS114" s="546">
        <f t="shared" si="106"/>
        <v>166</v>
      </c>
      <c r="DT114" s="551">
        <f t="shared" si="107"/>
        <v>83.472328075608544</v>
      </c>
      <c r="DU114" s="553">
        <f>DT114/PI()*SQRT('Hilfstabellen_Mat&amp;Bem'!f.Rd.3/'Hilfstabellen_Mat&amp;Bem'!$BD$30)</f>
        <v>1.3285033624621496</v>
      </c>
      <c r="DV114" s="553">
        <f>0.5*(1+'Hilfstabellen_Mat&amp;Bem'!$BD$31*(DU114-0.3)+DU114^2)</f>
        <v>1.4338857601597264</v>
      </c>
      <c r="DW114" s="550">
        <f t="shared" si="108"/>
        <v>0.50673212354182984</v>
      </c>
      <c r="DY114" s="551">
        <f t="shared" si="109"/>
        <v>13963.510396318663</v>
      </c>
      <c r="EC114" s="546">
        <f t="shared" si="110"/>
        <v>166</v>
      </c>
      <c r="ED114" s="551">
        <f t="shared" si="111"/>
        <v>85.559136277498752</v>
      </c>
      <c r="EE114" s="553">
        <f>ED114/PI()*SQRT('Hilfstabellen_Mat&amp;Bem'!f.Rd.3/'Hilfstabellen_Mat&amp;Bem'!$BD$30)</f>
        <v>1.3617159465237032</v>
      </c>
      <c r="EF114" s="553">
        <f>0.5*(1+'Hilfstabellen_Mat&amp;Bem'!$BD$31*(EE114-0.3)+EE114^2)</f>
        <v>1.4802209568346576</v>
      </c>
      <c r="EG114" s="550">
        <f t="shared" si="112"/>
        <v>0.48530692238482659</v>
      </c>
      <c r="EI114" s="551">
        <f t="shared" si="113"/>
        <v>13373.117553236281</v>
      </c>
      <c r="EM114" s="546">
        <f t="shared" si="114"/>
        <v>166</v>
      </c>
      <c r="EN114" s="551">
        <f t="shared" si="115"/>
        <v>87.645944479388959</v>
      </c>
      <c r="EO114" s="553">
        <f>EN114/PI()*SQRT('Hilfstabellen_Mat&amp;Bem'!f.Rd.3/'Hilfstabellen_Mat&amp;Bem'!$BD$30)</f>
        <v>1.3949285305852568</v>
      </c>
      <c r="EP114" s="553">
        <f>0.5*(1+'Hilfstabellen_Mat&amp;Bem'!$BD$31*(EO114-0.3)+EO114^2)</f>
        <v>1.5276592292496347</v>
      </c>
      <c r="EQ114" s="550">
        <f t="shared" si="116"/>
        <v>0.46501048289421787</v>
      </c>
      <c r="ES114" s="551">
        <f t="shared" si="117"/>
        <v>12813.828866633068</v>
      </c>
    </row>
    <row r="115" spans="3:149">
      <c r="C115" s="546">
        <v>167</v>
      </c>
      <c r="D115" s="551">
        <f t="shared" si="67"/>
        <v>58.080745643028216</v>
      </c>
      <c r="E115" s="553">
        <f>$D115/PI()*SQRT('Hilfstabellen_Mat&amp;Bem'!f.Rd.3/'Hilfstabellen_Mat&amp;Bem'!$BD$30)</f>
        <v>0.92438377675510042</v>
      </c>
      <c r="F115" s="553">
        <f>0.5*(1+'Hilfstabellen_Mat&amp;Bem'!$BD$31*($E115-0.3)+$E115^2)</f>
        <v>0.9584618722017666</v>
      </c>
      <c r="G115" s="550">
        <f t="shared" si="68"/>
        <v>0.82524074479324638</v>
      </c>
      <c r="I115" s="551">
        <f t="shared" si="69"/>
        <v>23015.13913153885</v>
      </c>
      <c r="M115" s="546">
        <f t="shared" si="70"/>
        <v>167</v>
      </c>
      <c r="N115" s="551">
        <f t="shared" si="59"/>
        <v>60.155057987422083</v>
      </c>
      <c r="O115" s="553">
        <f>$N115/PI()*SQRT('Hilfstabellen_Mat&amp;Bem'!f.Rd.3/'Hilfstabellen_Mat&amp;Bem'!$BD$30)</f>
        <v>0.95739748306778272</v>
      </c>
      <c r="P115" s="553">
        <f>0.5*(1+'Hilfstabellen_Mat&amp;Bem'!$BD$31*($O115-0.3)+$O115^2)</f>
        <v>0.99117484444565185</v>
      </c>
      <c r="Q115" s="550">
        <f t="shared" si="60"/>
        <v>0.8014590937059386</v>
      </c>
      <c r="S115" s="551">
        <f t="shared" si="71"/>
        <v>22351.892664364921</v>
      </c>
      <c r="W115" s="546">
        <f t="shared" si="72"/>
        <v>167</v>
      </c>
      <c r="X115" s="551">
        <f t="shared" si="61"/>
        <v>62.22937033181595</v>
      </c>
      <c r="Y115" s="553">
        <f>$X115/PI()*SQRT('Hilfstabellen_Mat&amp;Bem'!f.Rd.3/'Hilfstabellen_Mat&amp;Bem'!$BD$30)</f>
        <v>0.99041118938046491</v>
      </c>
      <c r="Z115" s="553">
        <f>0.5*(1+'Hilfstabellen_Mat&amp;Bem'!$BD$31*($Y115-0.3)+$Y115^2)</f>
        <v>1.0249777214940368</v>
      </c>
      <c r="AA115" s="550">
        <f t="shared" si="62"/>
        <v>0.77584393565275989</v>
      </c>
      <c r="AC115" s="551">
        <f t="shared" si="73"/>
        <v>21637.511521419819</v>
      </c>
      <c r="AG115" s="546">
        <f t="shared" si="74"/>
        <v>167</v>
      </c>
      <c r="AH115" s="551">
        <f t="shared" si="63"/>
        <v>64.303682676209817</v>
      </c>
      <c r="AI115" s="553">
        <f>$AH115/PI()*SQRT('Hilfstabellen_Mat&amp;Bem'!f.Rd.3/'Hilfstabellen_Mat&amp;Bem'!$BD$30)</f>
        <v>1.0234248956931471</v>
      </c>
      <c r="AJ115" s="553">
        <f>0.5*(1+'Hilfstabellen_Mat&amp;Bem'!$BD$31*($AI115-0.3)+$AI115^2)</f>
        <v>1.059870503346922</v>
      </c>
      <c r="AK115" s="550">
        <f t="shared" si="64"/>
        <v>0.74882865218704797</v>
      </c>
      <c r="AM115" s="551">
        <f t="shared" si="75"/>
        <v>20884.082280844581</v>
      </c>
      <c r="AQ115" s="546">
        <f t="shared" si="76"/>
        <v>167</v>
      </c>
      <c r="AR115" s="551">
        <f t="shared" si="65"/>
        <v>66.377995020603677</v>
      </c>
      <c r="AS115" s="553">
        <f>$AR115/PI()*SQRT('Hilfstabellen_Mat&amp;Bem'!f.Rd.3/'Hilfstabellen_Mat&amp;Bem'!$BD$30)</f>
        <v>1.056438602005829</v>
      </c>
      <c r="AT115" s="553">
        <f>0.5*(1+'Hilfstabellen_Mat&amp;Bem'!$BD$31*($AS115-0.3)+$AS115^2)</f>
        <v>1.0958531900043065</v>
      </c>
      <c r="AU115" s="550">
        <f t="shared" si="66"/>
        <v>0.72092231932594553</v>
      </c>
      <c r="AW115" s="551">
        <f t="shared" si="77"/>
        <v>20105.802563681296</v>
      </c>
      <c r="BA115" s="546">
        <f t="shared" si="78"/>
        <v>167</v>
      </c>
      <c r="BB115" s="551">
        <f t="shared" si="79"/>
        <v>68.452307364997537</v>
      </c>
      <c r="BC115" s="553">
        <f>$BB115/PI()*SQRT('Hilfstabellen_Mat&amp;Bem'!f.Rd.3/'Hilfstabellen_Mat&amp;Bem'!$BD$30)</f>
        <v>1.0894523083185113</v>
      </c>
      <c r="BD115" s="553">
        <f>0.5*(1+'Hilfstabellen_Mat&amp;Bem'!$BD$31*($BC115-0.3)+$BC115^2)</f>
        <v>1.1329257814661917</v>
      </c>
      <c r="BE115" s="550">
        <f t="shared" si="80"/>
        <v>0.69263853226643013</v>
      </c>
      <c r="BG115" s="551">
        <f t="shared" si="81"/>
        <v>19316.996026378471</v>
      </c>
      <c r="BK115" s="546">
        <f t="shared" si="82"/>
        <v>167</v>
      </c>
      <c r="BL115" s="551">
        <f t="shared" si="83"/>
        <v>70.526619709391412</v>
      </c>
      <c r="BM115" s="553">
        <f>$BL115/PI()*SQRT('Hilfstabellen_Mat&amp;Bem'!f.Rd.3/'Hilfstabellen_Mat&amp;Bem'!$BD$30)</f>
        <v>1.1224660146311936</v>
      </c>
      <c r="BN115" s="553">
        <f>0.5*(1+'Hilfstabellen_Mat&amp;Bem'!$BD$31*($BM115-0.3)+$BM115^2)</f>
        <v>1.1710882777325771</v>
      </c>
      <c r="BO115" s="550">
        <f t="shared" si="84"/>
        <v>0.66443810248203672</v>
      </c>
      <c r="BQ115" s="551">
        <f t="shared" si="85"/>
        <v>18530.514240121523</v>
      </c>
      <c r="BU115" s="546">
        <f t="shared" si="86"/>
        <v>167</v>
      </c>
      <c r="BV115" s="551">
        <f t="shared" si="87"/>
        <v>72.600932053785272</v>
      </c>
      <c r="BW115" s="553">
        <f>$BV115/PI()*SQRT('Hilfstabellen_Mat&amp;Bem'!f.Rd.3/'Hilfstabellen_Mat&amp;Bem'!$BD$30)</f>
        <v>1.1554797209438756</v>
      </c>
      <c r="BX115" s="553">
        <f>0.5*(1+'Hilfstabellen_Mat&amp;Bem'!$BD$31*($BW115-0.3)+$BW115^2)</f>
        <v>1.2103406788034621</v>
      </c>
      <c r="BY115" s="550">
        <f t="shared" si="88"/>
        <v>0.63669687797785246</v>
      </c>
      <c r="CA115" s="551">
        <f t="shared" si="89"/>
        <v>17756.839229924328</v>
      </c>
      <c r="CE115" s="546">
        <f t="shared" si="90"/>
        <v>167</v>
      </c>
      <c r="CF115" s="551">
        <f t="shared" si="91"/>
        <v>74.675244398179146</v>
      </c>
      <c r="CG115" s="553">
        <f>CF115/PI()*SQRT('Hilfstabellen_Mat&amp;Bem'!f.Rd.3/'Hilfstabellen_Mat&amp;Bem'!$BD$30)</f>
        <v>1.1884934272565579</v>
      </c>
      <c r="CH115" s="553">
        <f>0.5*(1+'Hilfstabellen_Mat&amp;Bem'!$BD$31*(CG115-0.3)+CG115^2)</f>
        <v>1.2506829846788476</v>
      </c>
      <c r="CI115" s="550">
        <f t="shared" si="92"/>
        <v>0.60969711314676223</v>
      </c>
      <c r="CK115" s="551">
        <f t="shared" si="93"/>
        <v>17003.842788550053</v>
      </c>
      <c r="CO115" s="546">
        <f t="shared" si="94"/>
        <v>167</v>
      </c>
      <c r="CP115" s="551">
        <f t="shared" si="95"/>
        <v>76.749556742572992</v>
      </c>
      <c r="CQ115" s="553">
        <f>CP115/PI()*SQRT('Hilfstabellen_Mat&amp;Bem'!f.Rd.3/'Hilfstabellen_Mat&amp;Bem'!$BD$30)</f>
        <v>1.2215071335692398</v>
      </c>
      <c r="CR115" s="553">
        <f>0.5*(1+'Hilfstabellen_Mat&amp;Bem'!$BD$31*(CQ115-0.3)+CQ115^2)</f>
        <v>1.2921151953587322</v>
      </c>
      <c r="CS115" s="550">
        <f t="shared" si="96"/>
        <v>0.58363442762091344</v>
      </c>
      <c r="CU115" s="551">
        <f t="shared" si="97"/>
        <v>16276.980551919654</v>
      </c>
      <c r="CY115" s="546">
        <f t="shared" si="98"/>
        <v>167</v>
      </c>
      <c r="CZ115" s="551">
        <f t="shared" si="99"/>
        <v>78.823869086966866</v>
      </c>
      <c r="DA115" s="553">
        <f>CZ115/PI()*SQRT('Hilfstabellen_Mat&amp;Bem'!f.Rd.3/'Hilfstabellen_Mat&amp;Bem'!$BD$30)</f>
        <v>1.2545208398819221</v>
      </c>
      <c r="DB115" s="553">
        <f>0.5*(1+'Hilfstabellen_Mat&amp;Bem'!$BD$31*(DA115-0.3)+DA115^2)</f>
        <v>1.3346373108431178</v>
      </c>
      <c r="DC115" s="550">
        <f t="shared" si="100"/>
        <v>0.55863213690889013</v>
      </c>
      <c r="DE115" s="551">
        <f t="shared" si="101"/>
        <v>15579.691666252036</v>
      </c>
      <c r="DI115" s="546">
        <f t="shared" si="102"/>
        <v>167</v>
      </c>
      <c r="DJ115" s="551">
        <f t="shared" si="103"/>
        <v>80.898181431360726</v>
      </c>
      <c r="DK115" s="553">
        <f>DJ115/PI()*SQRT('Hilfstabellen_Mat&amp;Bem'!f.Rd.3/'Hilfstabellen_Mat&amp;Bem'!$BD$30)</f>
        <v>1.2875345461946042</v>
      </c>
      <c r="DL115" s="553">
        <f>0.5*(1+'Hilfstabellen_Mat&amp;Bem'!$BD$31*(DK115-0.3)+DK115^2)</f>
        <v>1.378249331132003</v>
      </c>
      <c r="DM115" s="550">
        <f t="shared" si="104"/>
        <v>0.53475723840829315</v>
      </c>
      <c r="DO115" s="551">
        <f t="shared" si="105"/>
        <v>14913.844621968887</v>
      </c>
      <c r="DS115" s="546">
        <f t="shared" si="106"/>
        <v>167</v>
      </c>
      <c r="DT115" s="551">
        <f t="shared" si="107"/>
        <v>82.9724937757546</v>
      </c>
      <c r="DU115" s="553">
        <f>DT115/PI()*SQRT('Hilfstabellen_Mat&amp;Bem'!f.Rd.3/'Hilfstabellen_Mat&amp;Bem'!$BD$30)</f>
        <v>1.3205482525072865</v>
      </c>
      <c r="DV115" s="553">
        <f>0.5*(1+'Hilfstabellen_Mat&amp;Bem'!$BD$31*(DU115-0.3)+DU115^2)</f>
        <v>1.4229512562253883</v>
      </c>
      <c r="DW115" s="550">
        <f t="shared" si="108"/>
        <v>0.51203501583649591</v>
      </c>
      <c r="DY115" s="551">
        <f t="shared" si="109"/>
        <v>14280.144556664034</v>
      </c>
      <c r="EC115" s="546">
        <f t="shared" si="110"/>
        <v>167</v>
      </c>
      <c r="ED115" s="551">
        <f t="shared" si="111"/>
        <v>85.04680612014846</v>
      </c>
      <c r="EE115" s="553">
        <f>ED115/PI()*SQRT('Hilfstabellen_Mat&amp;Bem'!f.Rd.3/'Hilfstabellen_Mat&amp;Bem'!$BD$30)</f>
        <v>1.3535619588199685</v>
      </c>
      <c r="EF115" s="553">
        <f>0.5*(1+'Hilfstabellen_Mat&amp;Bem'!$BD$31*(EE115-0.3)+EE115^2)</f>
        <v>1.4687430861232735</v>
      </c>
      <c r="EG115" s="550">
        <f t="shared" si="112"/>
        <v>0.49046109720671605</v>
      </c>
      <c r="EI115" s="551">
        <f t="shared" si="113"/>
        <v>13678.469539998105</v>
      </c>
      <c r="EM115" s="546">
        <f t="shared" si="114"/>
        <v>167</v>
      </c>
      <c r="EN115" s="551">
        <f t="shared" si="115"/>
        <v>87.12111846454232</v>
      </c>
      <c r="EO115" s="553">
        <f>EN115/PI()*SQRT('Hilfstabellen_Mat&amp;Bem'!f.Rd.3/'Hilfstabellen_Mat&amp;Bem'!$BD$30)</f>
        <v>1.3865756651326506</v>
      </c>
      <c r="EP115" s="553">
        <f>0.5*(1+'Hilfstabellen_Mat&amp;Bem'!$BD$31*(EO115-0.3)+EO115^2)</f>
        <v>1.5156248208256589</v>
      </c>
      <c r="EQ115" s="550">
        <f t="shared" si="116"/>
        <v>0.47001083162225959</v>
      </c>
      <c r="ES115" s="551">
        <f t="shared" si="117"/>
        <v>13108.132083113198</v>
      </c>
    </row>
    <row r="116" spans="3:149">
      <c r="C116" s="546">
        <v>168</v>
      </c>
      <c r="D116" s="551">
        <f t="shared" si="67"/>
        <v>57.735026918962575</v>
      </c>
      <c r="E116" s="553">
        <f>$D116/PI()*SQRT('Hilfstabellen_Mat&amp;Bem'!f.Rd.3/'Hilfstabellen_Mat&amp;Bem'!$BD$30)</f>
        <v>0.91888149236965355</v>
      </c>
      <c r="F116" s="553">
        <f>0.5*(1+'Hilfstabellen_Mat&amp;Bem'!$BD$31*($E116-0.3)+$E116^2)</f>
        <v>0.95311567312822354</v>
      </c>
      <c r="G116" s="550">
        <f t="shared" si="68"/>
        <v>0.8290029172295762</v>
      </c>
      <c r="I116" s="551">
        <f t="shared" si="69"/>
        <v>23397.77833588756</v>
      </c>
      <c r="M116" s="546">
        <f t="shared" si="70"/>
        <v>168</v>
      </c>
      <c r="N116" s="551">
        <f t="shared" si="59"/>
        <v>59.796992166068385</v>
      </c>
      <c r="O116" s="553">
        <f>$N116/PI()*SQRT('Hilfstabellen_Mat&amp;Bem'!f.Rd.3/'Hilfstabellen_Mat&amp;Bem'!$BD$30)</f>
        <v>0.9516986885257126</v>
      </c>
      <c r="P116" s="553">
        <f>0.5*(1+'Hilfstabellen_Mat&amp;Bem'!$BD$31*($O116-0.3)+$O116^2)</f>
        <v>0.98545013129706627</v>
      </c>
      <c r="Q116" s="550">
        <f t="shared" si="60"/>
        <v>0.80570547279338722</v>
      </c>
      <c r="S116" s="551">
        <f t="shared" si="71"/>
        <v>22740.231264120561</v>
      </c>
      <c r="W116" s="546">
        <f t="shared" si="72"/>
        <v>168</v>
      </c>
      <c r="X116" s="551">
        <f t="shared" si="61"/>
        <v>61.858957413174188</v>
      </c>
      <c r="Y116" s="553">
        <f>$X116/PI()*SQRT('Hilfstabellen_Mat&amp;Bem'!f.Rd.3/'Hilfstabellen_Mat&amp;Bem'!$BD$30)</f>
        <v>0.98451588468177165</v>
      </c>
      <c r="Z116" s="553">
        <f>0.5*(1+'Hilfstabellen_Mat&amp;Bem'!$BD$31*($Y116-0.3)+$Y116^2)</f>
        <v>1.0188615578294544</v>
      </c>
      <c r="AA116" s="550">
        <f t="shared" si="62"/>
        <v>0.78053465024077107</v>
      </c>
      <c r="AC116" s="551">
        <f t="shared" si="73"/>
        <v>22029.809968395522</v>
      </c>
      <c r="AG116" s="546">
        <f t="shared" si="74"/>
        <v>168</v>
      </c>
      <c r="AH116" s="551">
        <f t="shared" si="63"/>
        <v>63.920922660279992</v>
      </c>
      <c r="AI116" s="553">
        <f>$AH116/PI()*SQRT('Hilfstabellen_Mat&amp;Bem'!f.Rd.3/'Hilfstabellen_Mat&amp;Bem'!$BD$30)</f>
        <v>1.0173330808378305</v>
      </c>
      <c r="AJ116" s="553">
        <f>0.5*(1+'Hilfstabellen_Mat&amp;Bem'!$BD$31*($AI116-0.3)+$AI116^2)</f>
        <v>1.0533499527253873</v>
      </c>
      <c r="AK116" s="550">
        <f t="shared" si="64"/>
        <v>0.75389624435256064</v>
      </c>
      <c r="AM116" s="551">
        <f t="shared" si="75"/>
        <v>21277.967600606673</v>
      </c>
      <c r="AQ116" s="546">
        <f t="shared" si="76"/>
        <v>168</v>
      </c>
      <c r="AR116" s="551">
        <f t="shared" si="65"/>
        <v>65.982887907385802</v>
      </c>
      <c r="AS116" s="553">
        <f>$AR116/PI()*SQRT('Hilfstabellen_Mat&amp;Bem'!f.Rd.3/'Hilfstabellen_Mat&amp;Bem'!$BD$30)</f>
        <v>1.0501502769938897</v>
      </c>
      <c r="AT116" s="553">
        <f>0.5*(1+'Hilfstabellen_Mat&amp;Bem'!$BD$31*($AS116-0.3)+$AS116^2)</f>
        <v>1.0889153159848663</v>
      </c>
      <c r="AU116" s="550">
        <f t="shared" si="66"/>
        <v>0.72628217602621081</v>
      </c>
      <c r="AW116" s="551">
        <f t="shared" si="77"/>
        <v>20498.588136163773</v>
      </c>
      <c r="BA116" s="546">
        <f t="shared" si="78"/>
        <v>168</v>
      </c>
      <c r="BB116" s="551">
        <f t="shared" si="79"/>
        <v>68.044853154491605</v>
      </c>
      <c r="BC116" s="553">
        <f>$BB116/PI()*SQRT('Hilfstabellen_Mat&amp;Bem'!f.Rd.3/'Hilfstabellen_Mat&amp;Bem'!$BD$30)</f>
        <v>1.0829674731499488</v>
      </c>
      <c r="BD116" s="553">
        <f>0.5*(1+'Hilfstabellen_Mat&amp;Bem'!$BD$31*($BC116-0.3)+$BC116^2)</f>
        <v>1.1255576476078901</v>
      </c>
      <c r="BE116" s="550">
        <f t="shared" si="80"/>
        <v>0.6982011192600639</v>
      </c>
      <c r="BG116" s="551">
        <f t="shared" si="81"/>
        <v>19706.028389996045</v>
      </c>
      <c r="BK116" s="546">
        <f t="shared" si="82"/>
        <v>168</v>
      </c>
      <c r="BL116" s="551">
        <f t="shared" si="83"/>
        <v>70.106818401597408</v>
      </c>
      <c r="BM116" s="553">
        <f>$BL116/PI()*SQRT('Hilfstabellen_Mat&amp;Bem'!f.Rd.3/'Hilfstabellen_Mat&amp;Bem'!$BD$30)</f>
        <v>1.1157846693060076</v>
      </c>
      <c r="BN116" s="553">
        <f>0.5*(1+'Hilfstabellen_Mat&amp;Bem'!$BD$31*($BM116-0.3)+$BM116^2)</f>
        <v>1.1632769475944587</v>
      </c>
      <c r="BO116" s="550">
        <f t="shared" si="84"/>
        <v>0.67011906302058666</v>
      </c>
      <c r="BQ116" s="551">
        <f t="shared" si="85"/>
        <v>18913.440434693039</v>
      </c>
      <c r="BU116" s="546">
        <f t="shared" si="86"/>
        <v>168</v>
      </c>
      <c r="BV116" s="551">
        <f t="shared" si="87"/>
        <v>72.168783648703211</v>
      </c>
      <c r="BW116" s="553">
        <f>$BV116/PI()*SQRT('Hilfstabellen_Mat&amp;Bem'!f.Rd.3/'Hilfstabellen_Mat&amp;Bem'!$BD$30)</f>
        <v>1.1486018654620667</v>
      </c>
      <c r="BX116" s="553">
        <f>0.5*(1+'Hilfstabellen_Mat&amp;Bem'!$BD$31*($BW116-0.3)+$BW116^2)</f>
        <v>1.2020732159445731</v>
      </c>
      <c r="BY116" s="550">
        <f t="shared" si="88"/>
        <v>0.64242316281628098</v>
      </c>
      <c r="CA116" s="551">
        <f t="shared" si="89"/>
        <v>18131.751347326714</v>
      </c>
      <c r="CE116" s="546">
        <f t="shared" si="90"/>
        <v>168</v>
      </c>
      <c r="CF116" s="551">
        <f t="shared" si="91"/>
        <v>74.230748895809015</v>
      </c>
      <c r="CG116" s="553">
        <f>CF116/PI()*SQRT('Hilfstabellen_Mat&amp;Bem'!f.Rd.3/'Hilfstabellen_Mat&amp;Bem'!$BD$30)</f>
        <v>1.1814190616181257</v>
      </c>
      <c r="CH116" s="553">
        <f>0.5*(1+'Hilfstabellen_Mat&amp;Bem'!$BD$31*(CG116-0.3)+CG116^2)</f>
        <v>1.2419464526582327</v>
      </c>
      <c r="CI116" s="550">
        <f t="shared" si="92"/>
        <v>0.61540934808505643</v>
      </c>
      <c r="CK116" s="551">
        <f t="shared" si="93"/>
        <v>17369.313440352631</v>
      </c>
      <c r="CO116" s="546">
        <f t="shared" si="94"/>
        <v>168</v>
      </c>
      <c r="CP116" s="551">
        <f t="shared" si="95"/>
        <v>76.292714142914832</v>
      </c>
      <c r="CQ116" s="553">
        <f>CP116/PI()*SQRT('Hilfstabellen_Mat&amp;Bem'!f.Rd.3/'Hilfstabellen_Mat&amp;Bem'!$BD$30)</f>
        <v>1.214236257774185</v>
      </c>
      <c r="CR116" s="553">
        <f>0.5*(1+'Hilfstabellen_Mat&amp;Bem'!$BD$31*(CQ116-0.3)+CQ116^2)</f>
        <v>1.2828966577354377</v>
      </c>
      <c r="CS116" s="550">
        <f t="shared" si="96"/>
        <v>0.58928669427575009</v>
      </c>
      <c r="CU116" s="551">
        <f t="shared" si="97"/>
        <v>16632.027659238771</v>
      </c>
      <c r="CY116" s="546">
        <f t="shared" si="98"/>
        <v>168</v>
      </c>
      <c r="CZ116" s="551">
        <f t="shared" si="99"/>
        <v>78.354679390020635</v>
      </c>
      <c r="DA116" s="553">
        <f>CZ116/PI()*SQRT('Hilfstabellen_Mat&amp;Bem'!f.Rd.3/'Hilfstabellen_Mat&amp;Bem'!$BD$30)</f>
        <v>1.247053453930244</v>
      </c>
      <c r="DB116" s="553">
        <f>0.5*(1+'Hilfstabellen_Mat&amp;Bem'!$BD$31*(DA116-0.3)+DA116^2)</f>
        <v>1.3249238311761879</v>
      </c>
      <c r="DC116" s="550">
        <f t="shared" si="100"/>
        <v>0.56419039335538235</v>
      </c>
      <c r="DE116" s="551">
        <f t="shared" si="101"/>
        <v>15923.709662062311</v>
      </c>
      <c r="DI116" s="546">
        <f t="shared" si="102"/>
        <v>168</v>
      </c>
      <c r="DJ116" s="551">
        <f t="shared" si="103"/>
        <v>80.416644637126439</v>
      </c>
      <c r="DK116" s="553">
        <f>DJ116/PI()*SQRT('Hilfstabellen_Mat&amp;Bem'!f.Rd.3/'Hilfstabellen_Mat&amp;Bem'!$BD$30)</f>
        <v>1.2798706500863029</v>
      </c>
      <c r="DL116" s="553">
        <f>0.5*(1+'Hilfstabellen_Mat&amp;Bem'!$BD$31*(DK116-0.3)+DK116^2)</f>
        <v>1.368027972980483</v>
      </c>
      <c r="DM116" s="550">
        <f t="shared" si="104"/>
        <v>0.54019725970553722</v>
      </c>
      <c r="DO116" s="551">
        <f t="shared" si="105"/>
        <v>15246.527457929084</v>
      </c>
      <c r="DS116" s="546">
        <f t="shared" si="106"/>
        <v>168</v>
      </c>
      <c r="DT116" s="551">
        <f t="shared" si="107"/>
        <v>82.478609884232256</v>
      </c>
      <c r="DU116" s="553">
        <f>DT116/PI()*SQRT('Hilfstabellen_Mat&amp;Bem'!f.Rd.3/'Hilfstabellen_Mat&amp;Bem'!$BD$30)</f>
        <v>1.3126878462423621</v>
      </c>
      <c r="DV116" s="553">
        <f>0.5*(1+'Hilfstabellen_Mat&amp;Bem'!$BD$31*(DU116-0.3)+DU116^2)</f>
        <v>1.4122090831483236</v>
      </c>
      <c r="DW116" s="550">
        <f t="shared" si="108"/>
        <v>0.51734035575160087</v>
      </c>
      <c r="DY116" s="551">
        <f t="shared" si="109"/>
        <v>14601.414200733183</v>
      </c>
      <c r="EC116" s="546">
        <f t="shared" si="110"/>
        <v>168</v>
      </c>
      <c r="ED116" s="551">
        <f t="shared" si="111"/>
        <v>84.540575131338059</v>
      </c>
      <c r="EE116" s="553">
        <f>ED116/PI()*SQRT('Hilfstabellen_Mat&amp;Bem'!f.Rd.3/'Hilfstabellen_Mat&amp;Bem'!$BD$30)</f>
        <v>1.3455050423984212</v>
      </c>
      <c r="EF116" s="553">
        <f>0.5*(1+'Hilfstabellen_Mat&amp;Bem'!$BD$31*(EE116-0.3)+EE116^2)</f>
        <v>1.4574671616797095</v>
      </c>
      <c r="EG116" s="550">
        <f t="shared" si="112"/>
        <v>0.495621299024324</v>
      </c>
      <c r="EI116" s="551">
        <f t="shared" si="113"/>
        <v>13988.415543662521</v>
      </c>
      <c r="EM116" s="546">
        <f t="shared" si="114"/>
        <v>168</v>
      </c>
      <c r="EN116" s="551">
        <f t="shared" si="115"/>
        <v>86.602540378443862</v>
      </c>
      <c r="EO116" s="553">
        <f>EN116/PI()*SQRT('Hilfstabellen_Mat&amp;Bem'!f.Rd.3/'Hilfstabellen_Mat&amp;Bem'!$BD$30)</f>
        <v>1.3783222385544802</v>
      </c>
      <c r="EP116" s="553">
        <f>0.5*(1+'Hilfstabellen_Mat&amp;Bem'!$BD$31*(EO116-0.3)+EO116^2)</f>
        <v>1.5038022085746408</v>
      </c>
      <c r="EQ116" s="550">
        <f t="shared" si="116"/>
        <v>0.47501995619125226</v>
      </c>
      <c r="ES116" s="551">
        <f t="shared" si="117"/>
        <v>13406.963243541904</v>
      </c>
    </row>
    <row r="117" spans="3:149">
      <c r="C117" s="546">
        <v>169</v>
      </c>
      <c r="D117" s="551">
        <f t="shared" si="67"/>
        <v>57.393399540743857</v>
      </c>
      <c r="E117" s="553">
        <f>$D117/PI()*SQRT('Hilfstabellen_Mat&amp;Bem'!f.Rd.3/'Hilfstabellen_Mat&amp;Bem'!$BD$30)</f>
        <v>0.91344432377575002</v>
      </c>
      <c r="F117" s="553">
        <f>0.5*(1+'Hilfstabellen_Mat&amp;Bem'!$BD$31*($E117-0.3)+$E117^2)</f>
        <v>0.9478624825078561</v>
      </c>
      <c r="G117" s="550">
        <f t="shared" si="68"/>
        <v>0.83266117339297363</v>
      </c>
      <c r="I117" s="551">
        <f t="shared" si="69"/>
        <v>23781.635773276721</v>
      </c>
      <c r="M117" s="546">
        <f t="shared" si="70"/>
        <v>169</v>
      </c>
      <c r="N117" s="551">
        <f t="shared" si="59"/>
        <v>59.443163810056141</v>
      </c>
      <c r="O117" s="553">
        <f>$N117/PI()*SQRT('Hilfstabellen_Mat&amp;Bem'!f.Rd.3/'Hilfstabellen_Mat&amp;Bem'!$BD$30)</f>
        <v>0.94606733533916987</v>
      </c>
      <c r="P117" s="553">
        <f>0.5*(1+'Hilfstabellen_Mat&amp;Bem'!$BD$31*($O117-0.3)+$O117^2)</f>
        <v>0.97982506826483717</v>
      </c>
      <c r="Q117" s="550">
        <f t="shared" si="60"/>
        <v>0.80984576083447701</v>
      </c>
      <c r="S117" s="551">
        <f t="shared" si="71"/>
        <v>23130.004775193498</v>
      </c>
      <c r="W117" s="546">
        <f t="shared" si="72"/>
        <v>169</v>
      </c>
      <c r="X117" s="551">
        <f t="shared" si="61"/>
        <v>61.492928079368419</v>
      </c>
      <c r="Y117" s="553">
        <f>$X117/PI()*SQRT('Hilfstabellen_Mat&amp;Bem'!f.Rd.3/'Hilfstabellen_Mat&amp;Bem'!$BD$30)</f>
        <v>0.97869034690258949</v>
      </c>
      <c r="Z117" s="553">
        <f>0.5*(1+'Hilfstabellen_Mat&amp;Bem'!$BD$31*($Y117-0.3)+$Y117^2)</f>
        <v>1.012851914905285</v>
      </c>
      <c r="AA117" s="550">
        <f t="shared" si="62"/>
        <v>0.78512311620241282</v>
      </c>
      <c r="AC117" s="551">
        <f t="shared" si="73"/>
        <v>22423.901321857113</v>
      </c>
      <c r="AG117" s="546">
        <f t="shared" si="74"/>
        <v>169</v>
      </c>
      <c r="AH117" s="551">
        <f t="shared" si="63"/>
        <v>63.542692348680703</v>
      </c>
      <c r="AI117" s="553">
        <f>$AH117/PI()*SQRT('Hilfstabellen_Mat&amp;Bem'!f.Rd.3/'Hilfstabellen_Mat&amp;Bem'!$BD$30)</f>
        <v>1.011313358466009</v>
      </c>
      <c r="AJ117" s="553">
        <f>0.5*(1+'Hilfstabellen_Mat&amp;Bem'!$BD$31*($AI117-0.3)+$AI117^2)</f>
        <v>1.0469430224291996</v>
      </c>
      <c r="AK117" s="550">
        <f t="shared" si="64"/>
        <v>0.75887081152716951</v>
      </c>
      <c r="AM117" s="551">
        <f t="shared" si="75"/>
        <v>21674.109248027489</v>
      </c>
      <c r="AQ117" s="546">
        <f t="shared" si="76"/>
        <v>169</v>
      </c>
      <c r="AR117" s="551">
        <f t="shared" si="65"/>
        <v>65.59245661799298</v>
      </c>
      <c r="AS117" s="553">
        <f>$AR117/PI()*SQRT('Hilfstabellen_Mat&amp;Bem'!f.Rd.3/'Hilfstabellen_Mat&amp;Bem'!$BD$30)</f>
        <v>1.0439363700294286</v>
      </c>
      <c r="AT117" s="553">
        <f>0.5*(1+'Hilfstabellen_Mat&amp;Bem'!$BD$31*($AS117-0.3)+$AS117^2)</f>
        <v>1.0820983908365815</v>
      </c>
      <c r="AU117" s="550">
        <f t="shared" si="66"/>
        <v>0.73156190629388629</v>
      </c>
      <c r="AW117" s="551">
        <f t="shared" si="77"/>
        <v>20894.139605659686</v>
      </c>
      <c r="BA117" s="546">
        <f t="shared" si="78"/>
        <v>169</v>
      </c>
      <c r="BB117" s="551">
        <f t="shared" si="79"/>
        <v>67.642220887305271</v>
      </c>
      <c r="BC117" s="553">
        <f>$BB117/PI()*SQRT('Hilfstabellen_Mat&amp;Bem'!f.Rd.3/'Hilfstabellen_Mat&amp;Bem'!$BD$30)</f>
        <v>1.0765593815928485</v>
      </c>
      <c r="BD117" s="553">
        <f>0.5*(1+'Hilfstabellen_Mat&amp;Bem'!$BD$31*($BC117-0.3)+$BC117^2)</f>
        <v>1.1183180201274308</v>
      </c>
      <c r="BE117" s="550">
        <f t="shared" si="80"/>
        <v>0.70369810379240072</v>
      </c>
      <c r="BG117" s="551">
        <f t="shared" si="81"/>
        <v>20098.321542414757</v>
      </c>
      <c r="BK117" s="546">
        <f t="shared" si="82"/>
        <v>169</v>
      </c>
      <c r="BL117" s="551">
        <f t="shared" si="83"/>
        <v>69.691985156617548</v>
      </c>
      <c r="BM117" s="553">
        <f>$BL117/PI()*SQRT('Hilfstabellen_Mat&amp;Bem'!f.Rd.3/'Hilfstabellen_Mat&amp;Bem'!$BD$30)</f>
        <v>1.1091823931562681</v>
      </c>
      <c r="BN117" s="553">
        <f>0.5*(1+'Hilfstabellen_Mat&amp;Bem'!$BD$31*($BM117-0.3)+$BM117^2)</f>
        <v>1.1556019103017465</v>
      </c>
      <c r="BO117" s="550">
        <f t="shared" si="84"/>
        <v>0.67574883170105737</v>
      </c>
      <c r="BQ117" s="551">
        <f t="shared" si="85"/>
        <v>19300.062382213899</v>
      </c>
      <c r="BU117" s="546">
        <f t="shared" si="86"/>
        <v>169</v>
      </c>
      <c r="BV117" s="551">
        <f t="shared" si="87"/>
        <v>71.741749425929825</v>
      </c>
      <c r="BW117" s="553">
        <f>$BV117/PI()*SQRT('Hilfstabellen_Mat&amp;Bem'!f.Rd.3/'Hilfstabellen_Mat&amp;Bem'!$BD$30)</f>
        <v>1.1418054047196877</v>
      </c>
      <c r="BX117" s="553">
        <f>0.5*(1+'Hilfstabellen_Mat&amp;Bem'!$BD$31*($BW117-0.3)+$BW117^2)</f>
        <v>1.1939500613595295</v>
      </c>
      <c r="BY117" s="550">
        <f t="shared" si="88"/>
        <v>0.64811142260755239</v>
      </c>
      <c r="CA117" s="551">
        <f t="shared" si="89"/>
        <v>18510.710341094305</v>
      </c>
      <c r="CE117" s="546">
        <f t="shared" si="90"/>
        <v>169</v>
      </c>
      <c r="CF117" s="551">
        <f t="shared" si="91"/>
        <v>73.791513695242102</v>
      </c>
      <c r="CG117" s="553">
        <f>CF117/PI()*SQRT('Hilfstabellen_Mat&amp;Bem'!f.Rd.3/'Hilfstabellen_Mat&amp;Bem'!$BD$30)</f>
        <v>1.1744284162831071</v>
      </c>
      <c r="CH117" s="553">
        <f>0.5*(1+'Hilfstabellen_Mat&amp;Bem'!$BD$31*(CG117-0.3)+CG117^2)</f>
        <v>1.2333624733007789</v>
      </c>
      <c r="CI117" s="550">
        <f t="shared" si="92"/>
        <v>0.62109493825026074</v>
      </c>
      <c r="CK117" s="551">
        <f t="shared" si="93"/>
        <v>17739.092531365695</v>
      </c>
      <c r="CO117" s="546">
        <f t="shared" si="94"/>
        <v>169</v>
      </c>
      <c r="CP117" s="551">
        <f t="shared" si="95"/>
        <v>75.841277964554379</v>
      </c>
      <c r="CQ117" s="553">
        <f>CP117/PI()*SQRT('Hilfstabellen_Mat&amp;Bem'!f.Rd.3/'Hilfstabellen_Mat&amp;Bem'!$BD$30)</f>
        <v>1.207051427846527</v>
      </c>
      <c r="CR117" s="553">
        <f>0.5*(1+'Hilfstabellen_Mat&amp;Bem'!$BD$31*(CQ117-0.3)+CQ117^2)</f>
        <v>1.2738391461254963</v>
      </c>
      <c r="CS117" s="550">
        <f t="shared" si="96"/>
        <v>0.59492178734238388</v>
      </c>
      <c r="CU117" s="551">
        <f t="shared" si="97"/>
        <v>16991.561168285825</v>
      </c>
      <c r="CY117" s="546">
        <f t="shared" si="98"/>
        <v>169</v>
      </c>
      <c r="CZ117" s="551">
        <f t="shared" si="99"/>
        <v>77.891042233866671</v>
      </c>
      <c r="DA117" s="553">
        <f>CZ117/PI()*SQRT('Hilfstabellen_Mat&amp;Bem'!f.Rd.3/'Hilfstabellen_Mat&amp;Bem'!$BD$30)</f>
        <v>1.2396744394099466</v>
      </c>
      <c r="DB117" s="553">
        <f>0.5*(1+'Hilfstabellen_Mat&amp;Bem'!$BD$31*(DA117-0.3)+DA117^2)</f>
        <v>1.3153800798336801</v>
      </c>
      <c r="DC117" s="550">
        <f t="shared" si="100"/>
        <v>0.56973915701580247</v>
      </c>
      <c r="DE117" s="551">
        <f t="shared" si="101"/>
        <v>16272.320063528334</v>
      </c>
      <c r="DI117" s="546">
        <f t="shared" si="102"/>
        <v>169</v>
      </c>
      <c r="DJ117" s="551">
        <f t="shared" si="103"/>
        <v>79.940806503178948</v>
      </c>
      <c r="DK117" s="553">
        <f>DJ117/PI()*SQRT('Hilfstabellen_Mat&amp;Bem'!f.Rd.3/'Hilfstabellen_Mat&amp;Bem'!$BD$30)</f>
        <v>1.2722974509733662</v>
      </c>
      <c r="DL117" s="553">
        <f>0.5*(1+'Hilfstabellen_Mat&amp;Bem'!$BD$31*(DK117-0.3)+DK117^2)</f>
        <v>1.3579852744253311</v>
      </c>
      <c r="DM117" s="550">
        <f t="shared" si="104"/>
        <v>0.54563390570277925</v>
      </c>
      <c r="DO117" s="551">
        <f t="shared" si="105"/>
        <v>15583.849980777079</v>
      </c>
      <c r="DS117" s="546">
        <f t="shared" si="106"/>
        <v>169</v>
      </c>
      <c r="DT117" s="551">
        <f t="shared" si="107"/>
        <v>81.990570772491225</v>
      </c>
      <c r="DU117" s="553">
        <f>DT117/PI()*SQRT('Hilfstabellen_Mat&amp;Bem'!f.Rd.3/'Hilfstabellen_Mat&amp;Bem'!$BD$30)</f>
        <v>1.3049204625367858</v>
      </c>
      <c r="DV117" s="553">
        <f>0.5*(1+'Hilfstabellen_Mat&amp;Bem'!$BD$31*(DU117-0.3)+DU117^2)</f>
        <v>1.4016547299004489</v>
      </c>
      <c r="DW117" s="550">
        <f t="shared" si="108"/>
        <v>0.52264712934183299</v>
      </c>
      <c r="DY117" s="551">
        <f t="shared" si="109"/>
        <v>14927.324661132092</v>
      </c>
      <c r="EC117" s="546">
        <f t="shared" si="110"/>
        <v>169</v>
      </c>
      <c r="ED117" s="551">
        <f t="shared" si="111"/>
        <v>84.040335041803516</v>
      </c>
      <c r="EE117" s="553">
        <f>ED117/PI()*SQRT('Hilfstabellen_Mat&amp;Bem'!f.Rd.3/'Hilfstabellen_Mat&amp;Bem'!$BD$30)</f>
        <v>1.3375434741002057</v>
      </c>
      <c r="EF117" s="553">
        <f>0.5*(1+'Hilfstabellen_Mat&amp;Bem'!$BD$31*(EE117-0.3)+EE117^2)</f>
        <v>1.4463884462590342</v>
      </c>
      <c r="EG117" s="550">
        <f t="shared" si="112"/>
        <v>0.50078667610528149</v>
      </c>
      <c r="EI117" s="551">
        <f t="shared" si="113"/>
        <v>14302.968256242944</v>
      </c>
      <c r="EM117" s="546">
        <f t="shared" si="114"/>
        <v>169</v>
      </c>
      <c r="EN117" s="551">
        <f t="shared" si="115"/>
        <v>86.090099311115793</v>
      </c>
      <c r="EO117" s="553">
        <f>EN117/PI()*SQRT('Hilfstabellen_Mat&amp;Bem'!f.Rd.3/'Hilfstabellen_Mat&amp;Bem'!$BD$30)</f>
        <v>1.3701664856636253</v>
      </c>
      <c r="EP117" s="553">
        <f>0.5*(1+'Hilfstabellen_Mat&amp;Bem'!$BD$31*(EO117-0.3)+EO117^2)</f>
        <v>1.492186423501086</v>
      </c>
      <c r="EQ117" s="550">
        <f t="shared" si="116"/>
        <v>0.48003714046486623</v>
      </c>
      <c r="ES117" s="551">
        <f t="shared" si="117"/>
        <v>13710.340768817045</v>
      </c>
    </row>
    <row r="118" spans="3:149">
      <c r="C118" s="546">
        <v>170</v>
      </c>
      <c r="D118" s="551">
        <f t="shared" si="67"/>
        <v>57.055791308151242</v>
      </c>
      <c r="E118" s="553">
        <f>$D118/PI()*SQRT('Hilfstabellen_Mat&amp;Bem'!f.Rd.3/'Hilfstabellen_Mat&amp;Bem'!$BD$30)</f>
        <v>0.90807112187118677</v>
      </c>
      <c r="F118" s="553">
        <f>0.5*(1+'Hilfstabellen_Mat&amp;Bem'!$BD$31*($E118-0.3)+$E118^2)</f>
        <v>0.94270013728175717</v>
      </c>
      <c r="G118" s="550">
        <f t="shared" si="68"/>
        <v>0.83621763682059935</v>
      </c>
      <c r="I118" s="551">
        <f t="shared" si="69"/>
        <v>24166.689704115321</v>
      </c>
      <c r="M118" s="546">
        <f t="shared" si="70"/>
        <v>170</v>
      </c>
      <c r="N118" s="551">
        <f t="shared" si="59"/>
        <v>59.093498140585218</v>
      </c>
      <c r="O118" s="553">
        <f>$N118/PI()*SQRT('Hilfstabellen_Mat&amp;Bem'!f.Rd.3/'Hilfstabellen_Mat&amp;Bem'!$BD$30)</f>
        <v>0.94050223336658645</v>
      </c>
      <c r="P118" s="553">
        <f>0.5*(1+'Hilfstabellen_Mat&amp;Bem'!$BD$31*($O118-0.3)+$O118^2)</f>
        <v>0.97429733715209788</v>
      </c>
      <c r="Q118" s="550">
        <f t="shared" si="60"/>
        <v>0.81388115896554136</v>
      </c>
      <c r="S118" s="551">
        <f t="shared" si="71"/>
        <v>23521.165494104145</v>
      </c>
      <c r="W118" s="546">
        <f t="shared" si="72"/>
        <v>170</v>
      </c>
      <c r="X118" s="551">
        <f t="shared" si="61"/>
        <v>61.131204973019202</v>
      </c>
      <c r="Y118" s="553">
        <f>$X118/PI()*SQRT('Hilfstabellen_Mat&amp;Bem'!f.Rd.3/'Hilfstabellen_Mat&amp;Bem'!$BD$30)</f>
        <v>0.97293334486198602</v>
      </c>
      <c r="Z118" s="553">
        <f>0.5*(1+'Hilfstabellen_Mat&amp;Bem'!$BD$31*($Y118-0.3)+$Y118^2)</f>
        <v>1.0069463140152655</v>
      </c>
      <c r="AA118" s="550">
        <f t="shared" si="62"/>
        <v>0.78960944234581298</v>
      </c>
      <c r="AC118" s="551">
        <f t="shared" si="73"/>
        <v>22819.712883793996</v>
      </c>
      <c r="AG118" s="546">
        <f t="shared" si="74"/>
        <v>170</v>
      </c>
      <c r="AH118" s="551">
        <f t="shared" si="63"/>
        <v>63.168911805453163</v>
      </c>
      <c r="AI118" s="553">
        <f>$AH118/PI()*SQRT('Hilfstabellen_Mat&amp;Bem'!f.Rd.3/'Hilfstabellen_Mat&amp;Bem'!$BD$30)</f>
        <v>1.0053644563573856</v>
      </c>
      <c r="AJ118" s="553">
        <f>0.5*(1+'Hilfstabellen_Mat&amp;Bem'!$BD$31*($AI118-0.3)+$AI118^2)</f>
        <v>1.04064706787126</v>
      </c>
      <c r="AK118" s="550">
        <f t="shared" si="64"/>
        <v>0.76375144827586372</v>
      </c>
      <c r="AM118" s="551">
        <f t="shared" si="75"/>
        <v>22072.416855172462</v>
      </c>
      <c r="AQ118" s="546">
        <f t="shared" si="76"/>
        <v>170</v>
      </c>
      <c r="AR118" s="551">
        <f t="shared" si="65"/>
        <v>65.206618637887146</v>
      </c>
      <c r="AS118" s="553">
        <f>$AR118/PI()*SQRT('Hilfstabellen_Mat&amp;Bem'!f.Rd.3/'Hilfstabellen_Mat&amp;Bem'!$BD$30)</f>
        <v>1.037795567852785</v>
      </c>
      <c r="AT118" s="553">
        <f>0.5*(1+'Hilfstabellen_Mat&amp;Bem'!$BD$31*($AS118-0.3)+$AS118^2)</f>
        <v>1.0753995987200815</v>
      </c>
      <c r="AU118" s="550">
        <f t="shared" si="66"/>
        <v>0.73675985820433554</v>
      </c>
      <c r="AW118" s="551">
        <f t="shared" si="77"/>
        <v>21292.359902105298</v>
      </c>
      <c r="BA118" s="546">
        <f t="shared" si="78"/>
        <v>170</v>
      </c>
      <c r="BB118" s="551">
        <f t="shared" si="79"/>
        <v>67.244325470321115</v>
      </c>
      <c r="BC118" s="553">
        <f>$BB118/PI()*SQRT('Hilfstabellen_Mat&amp;Bem'!f.Rd.3/'Hilfstabellen_Mat&amp;Bem'!$BD$30)</f>
        <v>1.0702266793481845</v>
      </c>
      <c r="BD118" s="553">
        <f>0.5*(1+'Hilfstabellen_Mat&amp;Bem'!$BD$31*($BC118-0.3)+$BC118^2)</f>
        <v>1.1112039065617301</v>
      </c>
      <c r="BE118" s="550">
        <f t="shared" si="80"/>
        <v>0.70912742005290053</v>
      </c>
      <c r="BG118" s="551">
        <f t="shared" si="81"/>
        <v>20493.782439528826</v>
      </c>
      <c r="BK118" s="546">
        <f t="shared" si="82"/>
        <v>170</v>
      </c>
      <c r="BL118" s="551">
        <f t="shared" si="83"/>
        <v>69.282032302755084</v>
      </c>
      <c r="BM118" s="553">
        <f>$BL118/PI()*SQRT('Hilfstabellen_Mat&amp;Bem'!f.Rd.3/'Hilfstabellen_Mat&amp;Bem'!$BD$30)</f>
        <v>1.102657790843584</v>
      </c>
      <c r="BN118" s="553">
        <f>0.5*(1+'Hilfstabellen_Mat&amp;Bem'!$BD$31*($BM118-0.3)+$BM118^2)</f>
        <v>1.1480599913962055</v>
      </c>
      <c r="BO118" s="550">
        <f t="shared" si="84"/>
        <v>0.68132521956793579</v>
      </c>
      <c r="BQ118" s="551">
        <f t="shared" si="85"/>
        <v>19690.298845513345</v>
      </c>
      <c r="BU118" s="546">
        <f t="shared" si="86"/>
        <v>170</v>
      </c>
      <c r="BV118" s="551">
        <f t="shared" si="87"/>
        <v>71.319739135189067</v>
      </c>
      <c r="BW118" s="553">
        <f>$BV118/PI()*SQRT('Hilfstabellen_Mat&amp;Bem'!f.Rd.3/'Hilfstabellen_Mat&amp;Bem'!$BD$30)</f>
        <v>1.1350889023389836</v>
      </c>
      <c r="BX118" s="553">
        <f>0.5*(1+'Hilfstabellen_Mat&amp;Bem'!$BD$31*($BW118-0.3)+$BW118^2)</f>
        <v>1.1859678532235085</v>
      </c>
      <c r="BY118" s="550">
        <f t="shared" si="88"/>
        <v>0.65375954596307928</v>
      </c>
      <c r="CA118" s="551">
        <f t="shared" si="89"/>
        <v>18893.650878332992</v>
      </c>
      <c r="CE118" s="546">
        <f t="shared" si="90"/>
        <v>170</v>
      </c>
      <c r="CF118" s="551">
        <f t="shared" si="91"/>
        <v>73.357445967623036</v>
      </c>
      <c r="CG118" s="553">
        <f>CF118/PI()*SQRT('Hilfstabellen_Mat&amp;Bem'!f.Rd.3/'Hilfstabellen_Mat&amp;Bem'!$BD$30)</f>
        <v>1.1675200138343833</v>
      </c>
      <c r="CH118" s="553">
        <f>0.5*(1+'Hilfstabellen_Mat&amp;Bem'!$BD$31*(CG118-0.3)+CG118^2)</f>
        <v>1.2249274920436384</v>
      </c>
      <c r="CI118" s="550">
        <f t="shared" si="92"/>
        <v>0.62675196116324483</v>
      </c>
      <c r="CK118" s="551">
        <f t="shared" si="93"/>
        <v>18113.131677617777</v>
      </c>
      <c r="CO118" s="546">
        <f t="shared" si="94"/>
        <v>170</v>
      </c>
      <c r="CP118" s="551">
        <f t="shared" si="95"/>
        <v>75.395152800057005</v>
      </c>
      <c r="CQ118" s="553">
        <f>CP118/PI()*SQRT('Hilfstabellen_Mat&amp;Bem'!f.Rd.3/'Hilfstabellen_Mat&amp;Bem'!$BD$30)</f>
        <v>1.1999511253297828</v>
      </c>
      <c r="CR118" s="553">
        <f>0.5*(1+'Hilfstabellen_Mat&amp;Bem'!$BD$31*(CQ118-0.3)+CQ118^2)</f>
        <v>1.2649389078565951</v>
      </c>
      <c r="CS118" s="550">
        <f t="shared" si="96"/>
        <v>0.60053801810274543</v>
      </c>
      <c r="CU118" s="551">
        <f t="shared" si="97"/>
        <v>17355.548723169344</v>
      </c>
      <c r="CY118" s="546">
        <f t="shared" si="98"/>
        <v>170</v>
      </c>
      <c r="CZ118" s="551">
        <f t="shared" si="99"/>
        <v>77.432859632490974</v>
      </c>
      <c r="DA118" s="553">
        <f>CZ118/PI()*SQRT('Hilfstabellen_Mat&amp;Bem'!f.Rd.3/'Hilfstabellen_Mat&amp;Bem'!$BD$30)</f>
        <v>1.2323822368251822</v>
      </c>
      <c r="DB118" s="553">
        <f>0.5*(1+'Hilfstabellen_Mat&amp;Bem'!$BD$31*(DA118-0.3)+DA118^2)</f>
        <v>1.3060021006623788</v>
      </c>
      <c r="DC118" s="550">
        <f t="shared" si="100"/>
        <v>0.57527697671479938</v>
      </c>
      <c r="DE118" s="551">
        <f t="shared" si="101"/>
        <v>16625.5046270577</v>
      </c>
      <c r="DI118" s="546">
        <f t="shared" si="102"/>
        <v>170</v>
      </c>
      <c r="DJ118" s="551">
        <f t="shared" si="103"/>
        <v>79.470566464924957</v>
      </c>
      <c r="DK118" s="553">
        <f>DJ118/PI()*SQRT('Hilfstabellen_Mat&amp;Bem'!f.Rd.3/'Hilfstabellen_Mat&amp;Bem'!$BD$30)</f>
        <v>1.2648133483205819</v>
      </c>
      <c r="DL118" s="553">
        <f>0.5*(1+'Hilfstabellen_Mat&amp;Bem'!$BD$31*(DK118-0.3)+DK118^2)</f>
        <v>1.3481170704609897</v>
      </c>
      <c r="DM118" s="550">
        <f t="shared" si="104"/>
        <v>0.55106594509673312</v>
      </c>
      <c r="DO118" s="551">
        <f t="shared" si="105"/>
        <v>15925.805813295587</v>
      </c>
      <c r="DS118" s="546">
        <f t="shared" si="106"/>
        <v>170</v>
      </c>
      <c r="DT118" s="551">
        <f t="shared" si="107"/>
        <v>81.508273297358926</v>
      </c>
      <c r="DU118" s="553">
        <f>DT118/PI()*SQRT('Hilfstabellen_Mat&amp;Bem'!f.Rd.3/'Hilfstabellen_Mat&amp;Bem'!$BD$30)</f>
        <v>1.2972444598159814</v>
      </c>
      <c r="DV118" s="553">
        <f>0.5*(1+'Hilfstabellen_Mat&amp;Bem'!$BD$31*(DU118-0.3)+DU118^2)</f>
        <v>1.3912838172524276</v>
      </c>
      <c r="DW118" s="550">
        <f t="shared" si="108"/>
        <v>0.52795429864782362</v>
      </c>
      <c r="DY118" s="551">
        <f t="shared" si="109"/>
        <v>15257.879230922103</v>
      </c>
      <c r="EC118" s="546">
        <f t="shared" si="110"/>
        <v>170</v>
      </c>
      <c r="ED118" s="551">
        <f t="shared" si="111"/>
        <v>83.545980129792895</v>
      </c>
      <c r="EE118" s="553">
        <f>ED118/PI()*SQRT('Hilfstabellen_Mat&amp;Bem'!f.Rd.3/'Hilfstabellen_Mat&amp;Bem'!$BD$30)</f>
        <v>1.3296755713113808</v>
      </c>
      <c r="EF118" s="553">
        <f>0.5*(1+'Hilfstabellen_Mat&amp;Bem'!$BD$31*(EE118-0.3)+EE118^2)</f>
        <v>1.4355023410366925</v>
      </c>
      <c r="EG118" s="550">
        <f t="shared" si="112"/>
        <v>0.50595635554326068</v>
      </c>
      <c r="EI118" s="551">
        <f t="shared" si="113"/>
        <v>14622.138675200235</v>
      </c>
      <c r="EM118" s="546">
        <f t="shared" si="114"/>
        <v>170</v>
      </c>
      <c r="EN118" s="551">
        <f t="shared" si="115"/>
        <v>85.583686962226878</v>
      </c>
      <c r="EO118" s="553">
        <f>EN118/PI()*SQRT('Hilfstabellen_Mat&amp;Bem'!f.Rd.3/'Hilfstabellen_Mat&amp;Bem'!$BD$30)</f>
        <v>1.3621066828067805</v>
      </c>
      <c r="EP118" s="553">
        <f>0.5*(1+'Hilfstabellen_Mat&amp;Bem'!$BD$31*(EO118-0.3)+EO118^2)</f>
        <v>1.4807726418137848</v>
      </c>
      <c r="EQ118" s="550">
        <f t="shared" si="116"/>
        <v>0.48506165005005225</v>
      </c>
      <c r="ES118" s="551">
        <f t="shared" si="117"/>
        <v>14018.281686446509</v>
      </c>
    </row>
    <row r="119" spans="3:149">
      <c r="C119" s="546">
        <v>171</v>
      </c>
      <c r="D119" s="551">
        <f t="shared" si="67"/>
        <v>56.722131709857969</v>
      </c>
      <c r="E119" s="553">
        <f>$D119/PI()*SQRT('Hilfstabellen_Mat&amp;Bem'!f.Rd.3/'Hilfstabellen_Mat&amp;Bem'!$BD$30)</f>
        <v>0.90276076443334385</v>
      </c>
      <c r="F119" s="553">
        <f>0.5*(1+'Hilfstabellen_Mat&amp;Bem'!$BD$31*($E119-0.3)+$E119^2)</f>
        <v>0.93762653712180488</v>
      </c>
      <c r="G119" s="550">
        <f t="shared" si="68"/>
        <v>0.83967451279937444</v>
      </c>
      <c r="I119" s="551">
        <f t="shared" si="69"/>
        <v>24552.922428766509</v>
      </c>
      <c r="M119" s="546">
        <f t="shared" si="70"/>
        <v>171</v>
      </c>
      <c r="N119" s="551">
        <f t="shared" si="59"/>
        <v>58.747922128067174</v>
      </c>
      <c r="O119" s="553">
        <f>$N119/PI()*SQRT('Hilfstabellen_Mat&amp;Bem'!f.Rd.3/'Hilfstabellen_Mat&amp;Bem'!$BD$30)</f>
        <v>0.93500222030596314</v>
      </c>
      <c r="P119" s="553">
        <f>0.5*(1+'Hilfstabellen_Mat&amp;Bem'!$BD$31*($O119-0.3)+$O119^2)</f>
        <v>0.96886468700383854</v>
      </c>
      <c r="Q119" s="550">
        <f t="shared" si="60"/>
        <v>0.81781302055890159</v>
      </c>
      <c r="S119" s="551">
        <f t="shared" si="71"/>
        <v>23913.67053416284</v>
      </c>
      <c r="W119" s="546">
        <f t="shared" si="72"/>
        <v>171</v>
      </c>
      <c r="X119" s="551">
        <f t="shared" si="61"/>
        <v>60.7737125462764</v>
      </c>
      <c r="Y119" s="553">
        <f>$X119/PI()*SQRT('Hilfstabellen_Mat&amp;Bem'!f.Rd.3/'Hilfstabellen_Mat&amp;Bem'!$BD$30)</f>
        <v>0.96724367617858276</v>
      </c>
      <c r="Z119" s="553">
        <f>0.5*(1+'Hilfstabellen_Mat&amp;Bem'!$BD$31*($Y119-0.3)+$Y119^2)</f>
        <v>1.0011423483626585</v>
      </c>
      <c r="AA119" s="550">
        <f t="shared" si="62"/>
        <v>0.79399392676393965</v>
      </c>
      <c r="AC119" s="551">
        <f t="shared" si="73"/>
        <v>23217.176412504359</v>
      </c>
      <c r="AG119" s="546">
        <f t="shared" si="74"/>
        <v>171</v>
      </c>
      <c r="AH119" s="551">
        <f t="shared" si="63"/>
        <v>62.799502964485605</v>
      </c>
      <c r="AI119" s="553">
        <f>$AH119/PI()*SQRT('Hilfstabellen_Mat&amp;Bem'!f.Rd.3/'Hilfstabellen_Mat&amp;Bem'!$BD$30)</f>
        <v>0.99948513205120193</v>
      </c>
      <c r="AJ119" s="553">
        <f>0.5*(1+'Hilfstabellen_Mat&amp;Bem'!$BD$31*($AI119-0.3)+$AI119^2)</f>
        <v>1.0344595211982646</v>
      </c>
      <c r="AK119" s="550">
        <f t="shared" si="64"/>
        <v>0.76853743165262633</v>
      </c>
      <c r="AM119" s="551">
        <f t="shared" si="75"/>
        <v>22472.803038954447</v>
      </c>
      <c r="AQ119" s="546">
        <f t="shared" si="76"/>
        <v>171</v>
      </c>
      <c r="AR119" s="551">
        <f t="shared" si="65"/>
        <v>64.825293382694809</v>
      </c>
      <c r="AS119" s="553">
        <f>$AR119/PI()*SQRT('Hilfstabellen_Mat&amp;Bem'!f.Rd.3/'Hilfstabellen_Mat&amp;Bem'!$BD$30)</f>
        <v>1.0317265879238213</v>
      </c>
      <c r="AT119" s="553">
        <f>0.5*(1+'Hilfstabellen_Mat&amp;Bem'!$BD$31*($AS119-0.3)+$AS119^2)</f>
        <v>1.0688162055106565</v>
      </c>
      <c r="AU119" s="550">
        <f t="shared" si="66"/>
        <v>0.7418745225140464</v>
      </c>
      <c r="AW119" s="551">
        <f t="shared" si="77"/>
        <v>21693.152912833229</v>
      </c>
      <c r="BA119" s="546">
        <f t="shared" si="78"/>
        <v>171</v>
      </c>
      <c r="BB119" s="551">
        <f t="shared" si="79"/>
        <v>66.851083800904036</v>
      </c>
      <c r="BC119" s="553">
        <f>$BB119/PI()*SQRT('Hilfstabellen_Mat&amp;Bem'!f.Rd.3/'Hilfstabellen_Mat&amp;Bem'!$BD$30)</f>
        <v>1.0639680437964409</v>
      </c>
      <c r="BD119" s="553">
        <f>0.5*(1+'Hilfstabellen_Mat&amp;Bem'!$BD$31*($BC119-0.3)+$BC119^2)</f>
        <v>1.1042124012998347</v>
      </c>
      <c r="BE119" s="550">
        <f t="shared" si="80"/>
        <v>0.71448709301244995</v>
      </c>
      <c r="BG119" s="551">
        <f t="shared" si="81"/>
        <v>20892.31708677705</v>
      </c>
      <c r="BK119" s="546">
        <f t="shared" si="82"/>
        <v>171</v>
      </c>
      <c r="BL119" s="551">
        <f t="shared" si="83"/>
        <v>68.876874219113247</v>
      </c>
      <c r="BM119" s="553">
        <f>$BL119/PI()*SQRT('Hilfstabellen_Mat&amp;Bem'!f.Rd.3/'Hilfstabellen_Mat&amp;Bem'!$BD$30)</f>
        <v>1.0962094996690603</v>
      </c>
      <c r="BN119" s="553">
        <f>0.5*(1+'Hilfstabellen_Mat&amp;Bem'!$BD$31*($BM119-0.3)+$BM119^2)</f>
        <v>1.1406481085657987</v>
      </c>
      <c r="BO119" s="550">
        <f t="shared" si="84"/>
        <v>0.68684608157070304</v>
      </c>
      <c r="BQ119" s="551">
        <f t="shared" si="85"/>
        <v>20084.066271208929</v>
      </c>
      <c r="BU119" s="546">
        <f t="shared" si="86"/>
        <v>171</v>
      </c>
      <c r="BV119" s="551">
        <f t="shared" si="87"/>
        <v>70.902664637322459</v>
      </c>
      <c r="BW119" s="553">
        <f>$BV119/PI()*SQRT('Hilfstabellen_Mat&amp;Bem'!f.Rd.3/'Hilfstabellen_Mat&amp;Bem'!$BD$30)</f>
        <v>1.1284509555416797</v>
      </c>
      <c r="BX119" s="553">
        <f>0.5*(1+'Hilfstabellen_Mat&amp;Bem'!$BD$31*($BW119-0.3)+$BW119^2)</f>
        <v>1.178123327308549</v>
      </c>
      <c r="BY119" s="550">
        <f t="shared" si="88"/>
        <v>0.65936543131207792</v>
      </c>
      <c r="CA119" s="551">
        <f t="shared" si="89"/>
        <v>19280.504576996471</v>
      </c>
      <c r="CE119" s="546">
        <f t="shared" si="90"/>
        <v>171</v>
      </c>
      <c r="CF119" s="551">
        <f t="shared" si="91"/>
        <v>72.928455055531671</v>
      </c>
      <c r="CG119" s="553">
        <f>CF119/PI()*SQRT('Hilfstabellen_Mat&amp;Bem'!f.Rd.3/'Hilfstabellen_Mat&amp;Bem'!$BD$30)</f>
        <v>1.1606924114142989</v>
      </c>
      <c r="CH119" s="553">
        <f>0.5*(1+'Hilfstabellen_Mat&amp;Bem'!$BD$31*(CG119-0.3)+CG119^2)</f>
        <v>1.2166380575280851</v>
      </c>
      <c r="CI119" s="550">
        <f t="shared" si="92"/>
        <v>0.63237848325553303</v>
      </c>
      <c r="CK119" s="551">
        <f t="shared" si="93"/>
        <v>18491.379228875041</v>
      </c>
      <c r="CO119" s="546">
        <f t="shared" si="94"/>
        <v>171</v>
      </c>
      <c r="CP119" s="551">
        <f t="shared" si="95"/>
        <v>74.954245473740883</v>
      </c>
      <c r="CQ119" s="553">
        <f>CP119/PI()*SQRT('Hilfstabellen_Mat&amp;Bem'!f.Rd.3/'Hilfstabellen_Mat&amp;Bem'!$BD$30)</f>
        <v>1.1929338672869185</v>
      </c>
      <c r="CR119" s="553">
        <f>0.5*(1+'Hilfstabellen_Mat&amp;Bem'!$BD$31*(CQ119-0.3)+CQ119^2)</f>
        <v>1.2561922992244074</v>
      </c>
      <c r="CS119" s="550">
        <f t="shared" si="96"/>
        <v>0.60613367605076585</v>
      </c>
      <c r="CU119" s="551">
        <f t="shared" si="97"/>
        <v>17723.954821400443</v>
      </c>
      <c r="CY119" s="546">
        <f t="shared" si="98"/>
        <v>171</v>
      </c>
      <c r="CZ119" s="551">
        <f t="shared" si="99"/>
        <v>76.980035891950095</v>
      </c>
      <c r="DA119" s="553">
        <f>CZ119/PI()*SQRT('Hilfstabellen_Mat&amp;Bem'!f.Rd.3/'Hilfstabellen_Mat&amp;Bem'!$BD$30)</f>
        <v>1.2251753231595379</v>
      </c>
      <c r="DB119" s="553">
        <f>0.5*(1+'Hilfstabellen_Mat&amp;Bem'!$BD$31*(DA119-0.3)+DA119^2)</f>
        <v>1.2967860523975161</v>
      </c>
      <c r="DC119" s="550">
        <f t="shared" si="100"/>
        <v>0.58080237549328984</v>
      </c>
      <c r="DE119" s="551">
        <f t="shared" si="101"/>
        <v>16983.242261799289</v>
      </c>
      <c r="DI119" s="546">
        <f t="shared" si="102"/>
        <v>171</v>
      </c>
      <c r="DJ119" s="551">
        <f t="shared" si="103"/>
        <v>79.005826310159321</v>
      </c>
      <c r="DK119" s="553">
        <f>DJ119/PI()*SQRT('Hilfstabellen_Mat&amp;Bem'!f.Rd.3/'Hilfstabellen_Mat&amp;Bem'!$BD$30)</f>
        <v>1.2574167790321575</v>
      </c>
      <c r="DL119" s="553">
        <f>0.5*(1+'Hilfstabellen_Mat&amp;Bem'!$BD$31*(DK119-0.3)+DK119^2)</f>
        <v>1.3384193170474106</v>
      </c>
      <c r="DM119" s="550">
        <f t="shared" si="104"/>
        <v>0.5564921206847514</v>
      </c>
      <c r="DO119" s="551">
        <f t="shared" si="105"/>
        <v>16272.386100942816</v>
      </c>
      <c r="DS119" s="546">
        <f t="shared" si="106"/>
        <v>171</v>
      </c>
      <c r="DT119" s="551">
        <f t="shared" si="107"/>
        <v>81.031616728368519</v>
      </c>
      <c r="DU119" s="553">
        <f>DT119/PI()*SQRT('Hilfstabellen_Mat&amp;Bem'!f.Rd.3/'Hilfstabellen_Mat&amp;Bem'!$BD$30)</f>
        <v>1.2896582349047767</v>
      </c>
      <c r="DV119" s="553">
        <f>0.5*(1+'Hilfstabellen_Mat&amp;Bem'!$BD$31*(DU119-0.3)+DU119^2)</f>
        <v>1.3810920931740909</v>
      </c>
      <c r="DW119" s="550">
        <f t="shared" si="108"/>
        <v>0.53326080166655154</v>
      </c>
      <c r="DY119" s="551">
        <f t="shared" si="109"/>
        <v>15593.079101531634</v>
      </c>
      <c r="EC119" s="546">
        <f t="shared" si="110"/>
        <v>171</v>
      </c>
      <c r="ED119" s="551">
        <f t="shared" si="111"/>
        <v>83.057407146577731</v>
      </c>
      <c r="EE119" s="553">
        <f>ED119/PI()*SQRT('Hilfstabellen_Mat&amp;Bem'!f.Rd.3/'Hilfstabellen_Mat&amp;Bem'!$BD$30)</f>
        <v>1.3218996907773961</v>
      </c>
      <c r="EF119" s="553">
        <f>0.5*(1+'Hilfstabellen_Mat&amp;Bem'!$BD$31*(EE119-0.3)+EE119^2)</f>
        <v>1.4248043807775574</v>
      </c>
      <c r="EG119" s="550">
        <f t="shared" si="112"/>
        <v>0.5111294430596155</v>
      </c>
      <c r="EI119" s="551">
        <f t="shared" si="113"/>
        <v>14945.936044506218</v>
      </c>
      <c r="EM119" s="546">
        <f t="shared" si="114"/>
        <v>171</v>
      </c>
      <c r="EN119" s="551">
        <f t="shared" si="115"/>
        <v>85.083197564786957</v>
      </c>
      <c r="EO119" s="553">
        <f>EN119/PI()*SQRT('Hilfstabellen_Mat&amp;Bem'!f.Rd.3/'Hilfstabellen_Mat&amp;Bem'!$BD$30)</f>
        <v>1.3541411466500157</v>
      </c>
      <c r="EP119" s="553">
        <f>0.5*(1+'Hilfstabellen_Mat&amp;Bem'!$BD$31*(EO119-0.3)+EO119^2)</f>
        <v>1.4695561798578105</v>
      </c>
      <c r="EQ119" s="550">
        <f t="shared" si="116"/>
        <v>0.49009273202854114</v>
      </c>
      <c r="ES119" s="551">
        <f t="shared" si="117"/>
        <v>14330.801577246571</v>
      </c>
    </row>
    <row r="120" spans="3:149">
      <c r="C120" s="546">
        <v>172</v>
      </c>
      <c r="D120" s="551">
        <f t="shared" si="67"/>
        <v>56.392351874335539</v>
      </c>
      <c r="E120" s="553">
        <f>$D120/PI()*SQRT('Hilfstabellen_Mat&amp;Bem'!f.Rd.3/'Hilfstabellen_Mat&amp;Bem'!$BD$30)</f>
        <v>0.89751215533780104</v>
      </c>
      <c r="F120" s="553">
        <f>0.5*(1+'Hilfstabellen_Mat&amp;Bem'!$BD$31*($E120-0.3)+$E120^2)</f>
        <v>0.93263964225644258</v>
      </c>
      <c r="G120" s="550">
        <f t="shared" si="68"/>
        <v>0.84303407370106309</v>
      </c>
      <c r="I120" s="551">
        <f t="shared" si="69"/>
        <v>24940.32003637225</v>
      </c>
      <c r="M120" s="546">
        <f t="shared" si="70"/>
        <v>172</v>
      </c>
      <c r="N120" s="551">
        <f t="shared" si="59"/>
        <v>58.406364441276089</v>
      </c>
      <c r="O120" s="553">
        <f>$N120/PI()*SQRT('Hilfstabellen_Mat&amp;Bem'!f.Rd.3/'Hilfstabellen_Mat&amp;Bem'!$BD$30)</f>
        <v>0.92956616088557953</v>
      </c>
      <c r="P120" s="553">
        <f>0.5*(1+'Hilfstabellen_Mat&amp;Bem'!$BD$31*($O120-0.3)+$O120^2)</f>
        <v>0.96352493177605658</v>
      </c>
      <c r="Q120" s="550">
        <f t="shared" si="60"/>
        <v>0.82164283764223056</v>
      </c>
      <c r="S120" s="551">
        <f t="shared" si="71"/>
        <v>24307.481708807751</v>
      </c>
      <c r="W120" s="546">
        <f t="shared" si="72"/>
        <v>172</v>
      </c>
      <c r="X120" s="551">
        <f t="shared" si="61"/>
        <v>60.42037700821664</v>
      </c>
      <c r="Y120" s="553">
        <f>$X120/PI()*SQRT('Hilfstabellen_Mat&amp;Bem'!f.Rd.3/'Hilfstabellen_Mat&amp;Bem'!$BD$30)</f>
        <v>0.96162016643335813</v>
      </c>
      <c r="Z120" s="553">
        <f>0.5*(1+'Hilfstabellen_Mat&amp;Bem'!$BD$31*($Y120-0.3)+$Y120^2)</f>
        <v>0.99543768056732762</v>
      </c>
      <c r="AA120" s="550">
        <f t="shared" si="62"/>
        <v>0.79827704915097208</v>
      </c>
      <c r="AC120" s="551">
        <f t="shared" si="73"/>
        <v>23616.228222082358</v>
      </c>
      <c r="AG120" s="546">
        <f t="shared" si="74"/>
        <v>172</v>
      </c>
      <c r="AH120" s="551">
        <f t="shared" si="63"/>
        <v>62.434389575157198</v>
      </c>
      <c r="AI120" s="553">
        <f>$AH120/PI()*SQRT('Hilfstabellen_Mat&amp;Bem'!f.Rd.3/'Hilfstabellen_Mat&amp;Bem'!$BD$30)</f>
        <v>0.99367417198113683</v>
      </c>
      <c r="AJ120" s="553">
        <f>0.5*(1+'Hilfstabellen_Mat&amp;Bem'!$BD$31*($AI120-0.3)+$AI120^2)</f>
        <v>1.0283778886302557</v>
      </c>
      <c r="AK120" s="550">
        <f t="shared" si="64"/>
        <v>0.77322822109503542</v>
      </c>
      <c r="AM120" s="551">
        <f t="shared" si="75"/>
        <v>22875.183692875529</v>
      </c>
      <c r="AQ120" s="546">
        <f t="shared" si="76"/>
        <v>172</v>
      </c>
      <c r="AR120" s="551">
        <f t="shared" si="65"/>
        <v>64.448402142097763</v>
      </c>
      <c r="AS120" s="553">
        <f>$AR120/PI()*SQRT('Hilfstabellen_Mat&amp;Bem'!f.Rd.3/'Hilfstabellen_Mat&amp;Bem'!$BD$30)</f>
        <v>1.0257281775289155</v>
      </c>
      <c r="AT120" s="553">
        <f>0.5*(1+'Hilfstabellen_Mat&amp;Bem'!$BD$31*($AS120-0.3)+$AS120^2)</f>
        <v>1.0623455559648409</v>
      </c>
      <c r="AU120" s="550">
        <f t="shared" si="66"/>
        <v>0.74690453818751323</v>
      </c>
      <c r="AW120" s="551">
        <f t="shared" si="77"/>
        <v>22096.423857739392</v>
      </c>
      <c r="BA120" s="546">
        <f t="shared" si="78"/>
        <v>172</v>
      </c>
      <c r="BB120" s="551">
        <f t="shared" si="79"/>
        <v>66.462414709038313</v>
      </c>
      <c r="BC120" s="553">
        <f>$BB120/PI()*SQRT('Hilfstabellen_Mat&amp;Bem'!f.Rd.3/'Hilfstabellen_Mat&amp;Bem'!$BD$30)</f>
        <v>1.057782183076694</v>
      </c>
      <c r="BD120" s="553">
        <f>0.5*(1+'Hilfstabellen_Mat&amp;Bem'!$BD$31*($BC120-0.3)+$BC120^2)</f>
        <v>1.097340682571083</v>
      </c>
      <c r="BE120" s="550">
        <f t="shared" si="80"/>
        <v>0.71977524616017763</v>
      </c>
      <c r="BG120" s="551">
        <f t="shared" si="81"/>
        <v>21293.830882402694</v>
      </c>
      <c r="BK120" s="546">
        <f t="shared" si="82"/>
        <v>172</v>
      </c>
      <c r="BL120" s="551">
        <f t="shared" si="83"/>
        <v>68.476427275978864</v>
      </c>
      <c r="BM120" s="553">
        <f>$BL120/PI()*SQRT('Hilfstabellen_Mat&amp;Bem'!f.Rd.3/'Hilfstabellen_Mat&amp;Bem'!$BD$30)</f>
        <v>1.0898361886244727</v>
      </c>
      <c r="BN120" s="553">
        <f>0.5*(1+'Hilfstabellen_Mat&amp;Bem'!$BD$31*($BM120-0.3)+$BM120^2)</f>
        <v>1.1333632684489823</v>
      </c>
      <c r="BO120" s="550">
        <f t="shared" si="84"/>
        <v>0.69230932381127419</v>
      </c>
      <c r="BQ120" s="551">
        <f t="shared" si="85"/>
        <v>20481.279035632735</v>
      </c>
      <c r="BU120" s="546">
        <f t="shared" si="86"/>
        <v>172</v>
      </c>
      <c r="BV120" s="551">
        <f t="shared" si="87"/>
        <v>70.490439842919415</v>
      </c>
      <c r="BW120" s="553">
        <f>$BV120/PI()*SQRT('Hilfstabellen_Mat&amp;Bem'!f.Rd.3/'Hilfstabellen_Mat&amp;Bem'!$BD$30)</f>
        <v>1.1218901941722512</v>
      </c>
      <c r="BX120" s="553">
        <f>0.5*(1+'Hilfstabellen_Mat&amp;Bem'!$BD$31*($BW120-0.3)+$BW120^2)</f>
        <v>1.1704133135985384</v>
      </c>
      <c r="BY120" s="550">
        <f t="shared" si="88"/>
        <v>0.6649269924142196</v>
      </c>
      <c r="CA120" s="551">
        <f t="shared" si="89"/>
        <v>19671.200143582271</v>
      </c>
      <c r="CE120" s="546">
        <f t="shared" si="90"/>
        <v>172</v>
      </c>
      <c r="CF120" s="551">
        <f t="shared" si="91"/>
        <v>72.504452409859979</v>
      </c>
      <c r="CG120" s="553">
        <f>CF120/PI()*SQRT('Hilfstabellen_Mat&amp;Bem'!f.Rd.3/'Hilfstabellen_Mat&amp;Bem'!$BD$30)</f>
        <v>1.1539441997200299</v>
      </c>
      <c r="CH120" s="553">
        <f>0.5*(1+'Hilfstabellen_Mat&amp;Bem'!$BD$31*(CG120-0.3)+CG120^2)</f>
        <v>1.2084908180197518</v>
      </c>
      <c r="CI120" s="550">
        <f t="shared" si="92"/>
        <v>0.63797256350080112</v>
      </c>
      <c r="CK120" s="551">
        <f t="shared" si="93"/>
        <v>18873.7803186077</v>
      </c>
      <c r="CO120" s="546">
        <f t="shared" si="94"/>
        <v>172</v>
      </c>
      <c r="CP120" s="551">
        <f t="shared" si="95"/>
        <v>74.51846497680053</v>
      </c>
      <c r="CQ120" s="553">
        <f>CP120/PI()*SQRT('Hilfstabellen_Mat&amp;Bem'!f.Rd.3/'Hilfstabellen_Mat&amp;Bem'!$BD$30)</f>
        <v>1.1859982052678084</v>
      </c>
      <c r="CR120" s="553">
        <f>0.5*(1+'Hilfstabellen_Mat&amp;Bem'!$BD$31*(CQ120-0.3)+CQ120^2)</f>
        <v>1.2475957817126218</v>
      </c>
      <c r="CS120" s="550">
        <f t="shared" si="96"/>
        <v>0.611707031004881</v>
      </c>
      <c r="CU120" s="551">
        <f t="shared" si="97"/>
        <v>18096.740805248399</v>
      </c>
      <c r="CY120" s="546">
        <f t="shared" si="98"/>
        <v>172</v>
      </c>
      <c r="CZ120" s="551">
        <f t="shared" si="99"/>
        <v>76.532477543741081</v>
      </c>
      <c r="DA120" s="553">
        <f>CZ120/PI()*SQRT('Hilfstabellen_Mat&amp;Bem'!f.Rd.3/'Hilfstabellen_Mat&amp;Bem'!$BD$30)</f>
        <v>1.2180522108155871</v>
      </c>
      <c r="DB120" s="553">
        <f>0.5*(1+'Hilfstabellen_Mat&amp;Bem'!$BD$31*(DA120-0.3)+DA120^2)</f>
        <v>1.287728204677149</v>
      </c>
      <c r="DC120" s="550">
        <f t="shared" si="100"/>
        <v>0.58631385166973271</v>
      </c>
      <c r="DE120" s="551">
        <f t="shared" si="101"/>
        <v>17345.508987797373</v>
      </c>
      <c r="DI120" s="546">
        <f t="shared" si="102"/>
        <v>172</v>
      </c>
      <c r="DJ120" s="551">
        <f t="shared" si="103"/>
        <v>78.546490110681631</v>
      </c>
      <c r="DK120" s="553">
        <f>DJ120/PI()*SQRT('Hilfstabellen_Mat&amp;Bem'!f.Rd.3/'Hilfstabellen_Mat&amp;Bem'!$BD$30)</f>
        <v>1.2501062163633656</v>
      </c>
      <c r="DL120" s="553">
        <f>0.5*(1+'Hilfstabellen_Mat&amp;Bem'!$BD$31*(DK120-0.3)+DK120^2)</f>
        <v>1.328888086913333</v>
      </c>
      <c r="DM120" s="550">
        <f t="shared" si="104"/>
        <v>0.56191114977030554</v>
      </c>
      <c r="DO120" s="551">
        <f t="shared" si="105"/>
        <v>16623.57945480472</v>
      </c>
      <c r="DS120" s="546">
        <f t="shared" si="106"/>
        <v>172</v>
      </c>
      <c r="DT120" s="551">
        <f t="shared" si="107"/>
        <v>80.560502677622196</v>
      </c>
      <c r="DU120" s="553">
        <f>DT120/PI()*SQRT('Hilfstabellen_Mat&amp;Bem'!f.Rd.3/'Hilfstabellen_Mat&amp;Bem'!$BD$30)</f>
        <v>1.2821602219111443</v>
      </c>
      <c r="DV120" s="553">
        <f>0.5*(1+'Hilfstabellen_Mat&amp;Bem'!$BD$31*(DU120-0.3)+DU120^2)</f>
        <v>1.3710754284211746</v>
      </c>
      <c r="DW120" s="550">
        <f t="shared" si="108"/>
        <v>0.5385655523819155</v>
      </c>
      <c r="DY120" s="551">
        <f t="shared" si="109"/>
        <v>15932.923301666588</v>
      </c>
      <c r="EC120" s="546">
        <f t="shared" si="110"/>
        <v>172</v>
      </c>
      <c r="ED120" s="551">
        <f t="shared" si="111"/>
        <v>82.574515244562761</v>
      </c>
      <c r="EE120" s="553">
        <f>ED120/PI()*SQRT('Hilfstabellen_Mat&amp;Bem'!f.Rd.3/'Hilfstabellen_Mat&amp;Bem'!$BD$30)</f>
        <v>1.3142142274589232</v>
      </c>
      <c r="EF120" s="553">
        <f>0.5*(1+'Hilfstabellen_Mat&amp;Bem'!$BD$31*(EE120-0.3)+EE120^2)</f>
        <v>1.4142902292006734</v>
      </c>
      <c r="EG120" s="550">
        <f t="shared" si="112"/>
        <v>0.51630502283956814</v>
      </c>
      <c r="EI120" s="551">
        <f t="shared" si="113"/>
        <v>15274.367795685785</v>
      </c>
      <c r="EM120" s="546">
        <f t="shared" si="114"/>
        <v>172</v>
      </c>
      <c r="EN120" s="551">
        <f t="shared" si="115"/>
        <v>84.588527811503312</v>
      </c>
      <c r="EO120" s="553">
        <f>EN120/PI()*SQRT('Hilfstabellen_Mat&amp;Bem'!f.Rd.3/'Hilfstabellen_Mat&amp;Bem'!$BD$30)</f>
        <v>1.3462682330067017</v>
      </c>
      <c r="EP120" s="553">
        <f>0.5*(1+'Hilfstabellen_Mat&amp;Bem'!$BD$31*(EO120-0.3)+EO120^2)</f>
        <v>1.4585324892518285</v>
      </c>
      <c r="EQ120" s="550">
        <f t="shared" si="116"/>
        <v>0.49512961470678746</v>
      </c>
      <c r="ES120" s="551">
        <f t="shared" si="117"/>
        <v>14647.9145214856</v>
      </c>
    </row>
    <row r="121" spans="3:149">
      <c r="C121" s="546">
        <v>173</v>
      </c>
      <c r="D121" s="551">
        <f t="shared" si="67"/>
        <v>56.066384522460773</v>
      </c>
      <c r="E121" s="553">
        <f>$D121/PI()*SQRT('Hilfstabellen_Mat&amp;Bem'!f.Rd.3/'Hilfstabellen_Mat&amp;Bem'!$BD$30)</f>
        <v>0.89232422380405674</v>
      </c>
      <c r="F121" s="553">
        <f>0.5*(1+'Hilfstabellen_Mat&amp;Bem'!$BD$31*($E121-0.3)+$E121^2)</f>
        <v>0.92773747138395901</v>
      </c>
      <c r="G121" s="550">
        <f t="shared" si="68"/>
        <v>0.84629864506231856</v>
      </c>
      <c r="I121" s="551">
        <f t="shared" si="69"/>
        <v>25328.872148070132</v>
      </c>
      <c r="M121" s="546">
        <f t="shared" si="70"/>
        <v>173</v>
      </c>
      <c r="N121" s="551">
        <f t="shared" si="59"/>
        <v>58.06875539826293</v>
      </c>
      <c r="O121" s="553">
        <f>$N121/PI()*SQRT('Hilfstabellen_Mat&amp;Bem'!f.Rd.3/'Hilfstabellen_Mat&amp;Bem'!$BD$30)</f>
        <v>0.92419294608277269</v>
      </c>
      <c r="P121" s="553">
        <f>0.5*(1+'Hilfstabellen_Mat&amp;Bem'!$BD$31*($O121-0.3)+$O121^2)</f>
        <v>0.95827594809871608</v>
      </c>
      <c r="Q121" s="550">
        <f t="shared" si="60"/>
        <v>0.82537222715767</v>
      </c>
      <c r="S121" s="551">
        <f t="shared" si="71"/>
        <v>24702.565386601906</v>
      </c>
      <c r="W121" s="546">
        <f t="shared" si="72"/>
        <v>173</v>
      </c>
      <c r="X121" s="551">
        <f t="shared" si="61"/>
        <v>60.071126274065101</v>
      </c>
      <c r="Y121" s="553">
        <f>$X121/PI()*SQRT('Hilfstabellen_Mat&amp;Bem'!f.Rd.3/'Hilfstabellen_Mat&amp;Bem'!$BD$30)</f>
        <v>0.95606166836148909</v>
      </c>
      <c r="Z121" s="553">
        <f>0.5*(1+'Hilfstabellen_Mat&amp;Bem'!$BD$31*($Y121-0.3)+$Y121^2)</f>
        <v>0.98983004027315147</v>
      </c>
      <c r="AA121" s="550">
        <f t="shared" si="62"/>
        <v>0.80245946210270491</v>
      </c>
      <c r="AC121" s="551">
        <f t="shared" si="73"/>
        <v>24016.809241271854</v>
      </c>
      <c r="AG121" s="546">
        <f t="shared" si="74"/>
        <v>173</v>
      </c>
      <c r="AH121" s="551">
        <f t="shared" si="63"/>
        <v>62.073497149867279</v>
      </c>
      <c r="AI121" s="553">
        <f>$AH121/PI()*SQRT('Hilfstabellen_Mat&amp;Bem'!f.Rd.3/'Hilfstabellen_Mat&amp;Bem'!$BD$30)</f>
        <v>0.98793039064020549</v>
      </c>
      <c r="AJ121" s="553">
        <f>0.5*(1+'Hilfstabellen_Mat&amp;Bem'!$BD$31*($AI121-0.3)+$AI121^2)</f>
        <v>1.0223997479072648</v>
      </c>
      <c r="AK121" s="550">
        <f t="shared" si="64"/>
        <v>0.77782345704025058</v>
      </c>
      <c r="AM121" s="551">
        <f t="shared" si="75"/>
        <v>23279.478245757658</v>
      </c>
      <c r="AQ121" s="546">
        <f t="shared" si="76"/>
        <v>173</v>
      </c>
      <c r="AR121" s="551">
        <f t="shared" si="65"/>
        <v>64.07586802566945</v>
      </c>
      <c r="AS121" s="553">
        <f>$AR121/PI()*SQRT('Hilfstabellen_Mat&amp;Bem'!f.Rd.3/'Hilfstabellen_Mat&amp;Bem'!$BD$30)</f>
        <v>1.0197991129189219</v>
      </c>
      <c r="AT121" s="553">
        <f>0.5*(1+'Hilfstabellen_Mat&amp;Bem'!$BD$31*($AS121-0.3)+$AS121^2)</f>
        <v>1.0559850710010561</v>
      </c>
      <c r="AU121" s="550">
        <f t="shared" si="66"/>
        <v>0.7518486969836794</v>
      </c>
      <c r="AW121" s="551">
        <f t="shared" si="77"/>
        <v>22502.079652024542</v>
      </c>
      <c r="BA121" s="546">
        <f t="shared" si="78"/>
        <v>173</v>
      </c>
      <c r="BB121" s="551">
        <f t="shared" si="79"/>
        <v>66.078238901471607</v>
      </c>
      <c r="BC121" s="553">
        <f>$BB121/PI()*SQRT('Hilfstabellen_Mat&amp;Bem'!f.Rd.3/'Hilfstabellen_Mat&amp;Bem'!$BD$30)</f>
        <v>1.0516678351976381</v>
      </c>
      <c r="BD121" s="553">
        <f>0.5*(1+'Hilfstabellen_Mat&amp;Bem'!$BD$31*($BC121-0.3)+$BC121^2)</f>
        <v>1.0905860095545252</v>
      </c>
      <c r="BE121" s="550">
        <f t="shared" si="80"/>
        <v>0.72499010884659743</v>
      </c>
      <c r="BG121" s="551">
        <f t="shared" si="81"/>
        <v>21698.228967669813</v>
      </c>
      <c r="BK121" s="546">
        <f t="shared" si="82"/>
        <v>173</v>
      </c>
      <c r="BL121" s="551">
        <f t="shared" si="83"/>
        <v>68.080609777273779</v>
      </c>
      <c r="BM121" s="553">
        <f>$BL121/PI()*SQRT('Hilfstabellen_Mat&amp;Bem'!f.Rd.3/'Hilfstabellen_Mat&amp;Bem'!$BD$30)</f>
        <v>1.0835365574763542</v>
      </c>
      <c r="BN121" s="553">
        <f>0.5*(1+'Hilfstabellen_Mat&amp;Bem'!$BD$31*($BM121-0.3)+$BM121^2)</f>
        <v>1.1262025635676722</v>
      </c>
      <c r="BO121" s="550">
        <f t="shared" si="84"/>
        <v>0.69771291081683562</v>
      </c>
      <c r="BQ121" s="551">
        <f t="shared" si="85"/>
        <v>20881.849707837075</v>
      </c>
      <c r="BU121" s="546">
        <f t="shared" si="86"/>
        <v>173</v>
      </c>
      <c r="BV121" s="551">
        <f t="shared" si="87"/>
        <v>70.082980653075964</v>
      </c>
      <c r="BW121" s="553">
        <f>$BV121/PI()*SQRT('Hilfstabellen_Mat&amp;Bem'!f.Rd.3/'Hilfstabellen_Mat&amp;Bem'!$BD$30)</f>
        <v>1.1154052797550706</v>
      </c>
      <c r="BX121" s="553">
        <f>0.5*(1+'Hilfstabellen_Mat&amp;Bem'!$BD$31*($BW121-0.3)+$BW121^2)</f>
        <v>1.1628347330404973</v>
      </c>
      <c r="BY121" s="550">
        <f t="shared" si="88"/>
        <v>0.67044216409602642</v>
      </c>
      <c r="CA121" s="551">
        <f t="shared" si="89"/>
        <v>20065.663529229976</v>
      </c>
      <c r="CE121" s="546">
        <f t="shared" si="90"/>
        <v>173</v>
      </c>
      <c r="CF121" s="551">
        <f t="shared" si="91"/>
        <v>72.085351528878135</v>
      </c>
      <c r="CG121" s="553">
        <f>CF121/PI()*SQRT('Hilfstabellen_Mat&amp;Bem'!f.Rd.3/'Hilfstabellen_Mat&amp;Bem'!$BD$30)</f>
        <v>1.147274002033787</v>
      </c>
      <c r="CH121" s="553">
        <f>0.5*(1+'Hilfstabellen_Mat&amp;Bem'!$BD$31*(CG121-0.3)+CG121^2)</f>
        <v>1.2004825179730003</v>
      </c>
      <c r="CI121" s="550">
        <f t="shared" si="92"/>
        <v>0.64353225730659291</v>
      </c>
      <c r="CK121" s="551">
        <f t="shared" si="93"/>
        <v>19260.276928929019</v>
      </c>
      <c r="CO121" s="546">
        <f t="shared" si="94"/>
        <v>173</v>
      </c>
      <c r="CP121" s="551">
        <f t="shared" si="95"/>
        <v>74.087722404680292</v>
      </c>
      <c r="CQ121" s="553">
        <f>CP121/PI()*SQRT('Hilfstabellen_Mat&amp;Bem'!f.Rd.3/'Hilfstabellen_Mat&amp;Bem'!$BD$30)</f>
        <v>1.1791427243125032</v>
      </c>
      <c r="CR121" s="553">
        <f>0.5*(1+'Hilfstabellen_Mat&amp;Bem'!$BD$31*(CQ121-0.3)+CQ121^2)</f>
        <v>1.2391459183651812</v>
      </c>
      <c r="CS121" s="550">
        <f t="shared" si="96"/>
        <v>0.61725633544041836</v>
      </c>
      <c r="CU121" s="551">
        <f t="shared" si="97"/>
        <v>18473.86486339628</v>
      </c>
      <c r="CY121" s="546">
        <f t="shared" si="98"/>
        <v>173</v>
      </c>
      <c r="CZ121" s="551">
        <f t="shared" si="99"/>
        <v>76.090093280482463</v>
      </c>
      <c r="DA121" s="553">
        <f>CZ121/PI()*SQRT('Hilfstabellen_Mat&amp;Bem'!f.Rd.3/'Hilfstabellen_Mat&amp;Bem'!$BD$30)</f>
        <v>1.2110114465912196</v>
      </c>
      <c r="DB121" s="553">
        <f>0.5*(1+'Hilfstabellen_Mat&amp;Bem'!$BD$31*(DA121-0.3)+DA121^2)</f>
        <v>1.2788249342170401</v>
      </c>
      <c r="DC121" s="550">
        <f t="shared" si="100"/>
        <v>0.59180988006113278</v>
      </c>
      <c r="DE121" s="551">
        <f t="shared" si="101"/>
        <v>17712.277900349643</v>
      </c>
      <c r="DI121" s="546">
        <f t="shared" si="102"/>
        <v>173</v>
      </c>
      <c r="DJ121" s="551">
        <f t="shared" si="103"/>
        <v>78.092464156284635</v>
      </c>
      <c r="DK121" s="553">
        <f>DJ121/PI()*SQRT('Hilfstabellen_Mat&amp;Bem'!f.Rd.3/'Hilfstabellen_Mat&amp;Bem'!$BD$30)</f>
        <v>1.2428801688699358</v>
      </c>
      <c r="DL121" s="553">
        <f>0.5*(1+'Hilfstabellen_Mat&amp;Bem'!$BD$31*(DK121-0.3)+DK121^2)</f>
        <v>1.319519565528577</v>
      </c>
      <c r="DM121" s="550">
        <f t="shared" si="104"/>
        <v>0.56732172467428876</v>
      </c>
      <c r="DO121" s="551">
        <f t="shared" si="105"/>
        <v>16979.371897776789</v>
      </c>
      <c r="DS121" s="546">
        <f t="shared" si="106"/>
        <v>173</v>
      </c>
      <c r="DT121" s="551">
        <f t="shared" si="107"/>
        <v>80.094835032086806</v>
      </c>
      <c r="DU121" s="553">
        <f>DT121/PI()*SQRT('Hilfstabellen_Mat&amp;Bem'!f.Rd.3/'Hilfstabellen_Mat&amp;Bem'!$BD$30)</f>
        <v>1.2747488911486522</v>
      </c>
      <c r="DV121" s="553">
        <f>0.5*(1+'Hilfstabellen_Mat&amp;Bem'!$BD$31*(DU121-0.3)+DU121^2)</f>
        <v>1.3612298122997917</v>
      </c>
      <c r="DW121" s="550">
        <f t="shared" si="108"/>
        <v>0.5438674408609</v>
      </c>
      <c r="DY121" s="551">
        <f t="shared" si="109"/>
        <v>16277.408637525876</v>
      </c>
      <c r="EC121" s="546">
        <f t="shared" si="110"/>
        <v>173</v>
      </c>
      <c r="ED121" s="551">
        <f t="shared" si="111"/>
        <v>82.097205907888977</v>
      </c>
      <c r="EE121" s="553">
        <f>ED121/PI()*SQRT('Hilfstabellen_Mat&amp;Bem'!f.Rd.3/'Hilfstabellen_Mat&amp;Bem'!$BD$30)</f>
        <v>1.3066176134273686</v>
      </c>
      <c r="EF121" s="553">
        <f>0.5*(1+'Hilfstabellen_Mat&amp;Bem'!$BD$31*(EE121-0.3)+EE121^2)</f>
        <v>1.4039556745306847</v>
      </c>
      <c r="EG121" s="550">
        <f t="shared" si="112"/>
        <v>0.52148215740672965</v>
      </c>
      <c r="EI121" s="551">
        <f t="shared" si="113"/>
        <v>15607.439489026012</v>
      </c>
      <c r="EM121" s="546">
        <f t="shared" si="114"/>
        <v>173</v>
      </c>
      <c r="EN121" s="551">
        <f t="shared" si="115"/>
        <v>84.099576783691148</v>
      </c>
      <c r="EO121" s="553">
        <f>EN121/PI()*SQRT('Hilfstabellen_Mat&amp;Bem'!f.Rd.3/'Hilfstabellen_Mat&amp;Bem'!$BD$30)</f>
        <v>1.3384863357060848</v>
      </c>
      <c r="EP121" s="553">
        <f>0.5*(1+'Hilfstabellen_Mat&amp;Bem'!$BD$31*(EO121-0.3)+EO121^2)</f>
        <v>1.4476971522212554</v>
      </c>
      <c r="EQ121" s="550">
        <f t="shared" si="116"/>
        <v>0.50017150738687444</v>
      </c>
      <c r="ES121" s="551">
        <f t="shared" si="117"/>
        <v>14969.633044581766</v>
      </c>
    </row>
    <row r="122" spans="3:149">
      <c r="C122" s="546">
        <v>174</v>
      </c>
      <c r="D122" s="551">
        <f t="shared" si="67"/>
        <v>55.744163921756972</v>
      </c>
      <c r="E122" s="553">
        <f>$D122/PI()*SQRT('Hilfstabellen_Mat&amp;Bem'!f.Rd.3/'Hilfstabellen_Mat&amp;Bem'!$BD$30)</f>
        <v>0.88719592366725175</v>
      </c>
      <c r="F122" s="553">
        <f>0.5*(1+'Hilfstabellen_Mat&amp;Bem'!$BD$31*($E122-0.3)+$E122^2)</f>
        <v>0.92291809966925653</v>
      </c>
      <c r="G122" s="550">
        <f t="shared" si="68"/>
        <v>0.84947059248896006</v>
      </c>
      <c r="I122" s="551">
        <f t="shared" si="69"/>
        <v>25718.571658195753</v>
      </c>
      <c r="M122" s="546">
        <f t="shared" si="70"/>
        <v>174</v>
      </c>
      <c r="N122" s="551">
        <f t="shared" si="59"/>
        <v>57.735026918962575</v>
      </c>
      <c r="O122" s="553">
        <f>$N122/PI()*SQRT('Hilfstabellen_Mat&amp;Bem'!f.Rd.3/'Hilfstabellen_Mat&amp;Bem'!$BD$30)</f>
        <v>0.91888149236965355</v>
      </c>
      <c r="P122" s="553">
        <f>0.5*(1+'Hilfstabellen_Mat&amp;Bem'!$BD$31*($O122-0.3)+$O122^2)</f>
        <v>0.95311567312822354</v>
      </c>
      <c r="Q122" s="550">
        <f t="shared" si="60"/>
        <v>0.8290029172295762</v>
      </c>
      <c r="S122" s="551">
        <f t="shared" si="71"/>
        <v>25098.892322042648</v>
      </c>
      <c r="W122" s="546">
        <f t="shared" si="72"/>
        <v>174</v>
      </c>
      <c r="X122" s="551">
        <f t="shared" si="61"/>
        <v>59.725889916168185</v>
      </c>
      <c r="Y122" s="553">
        <f>$X122/PI()*SQRT('Hilfstabellen_Mat&amp;Bem'!f.Rd.3/'Hilfstabellen_Mat&amp;Bem'!$BD$30)</f>
        <v>0.95056706107205535</v>
      </c>
      <c r="Z122" s="553">
        <f>0.5*(1+'Hilfstabellen_Mat&amp;Bem'!$BD$31*($Y122-0.3)+$Y122^2)</f>
        <v>0.98431722185118509</v>
      </c>
      <c r="AA122" s="550">
        <f t="shared" si="62"/>
        <v>0.80654198154921952</v>
      </c>
      <c r="AC122" s="551">
        <f t="shared" si="73"/>
        <v>24418.865033384169</v>
      </c>
      <c r="AG122" s="546">
        <f t="shared" si="74"/>
        <v>174</v>
      </c>
      <c r="AH122" s="551">
        <f t="shared" si="63"/>
        <v>61.716752913373782</v>
      </c>
      <c r="AI122" s="553">
        <f>$AH122/PI()*SQRT('Hilfstabellen_Mat&amp;Bem'!f.Rd.3/'Hilfstabellen_Mat&amp;Bem'!$BD$30)</f>
        <v>0.98225262977445704</v>
      </c>
      <c r="AJ122" s="553">
        <f>0.5*(1+'Hilfstabellen_Mat&amp;Bem'!$BD$31*($AI122-0.3)+$AI122^2)</f>
        <v>1.0165227458381412</v>
      </c>
      <c r="AK122" s="550">
        <f t="shared" si="64"/>
        <v>0.78232295830201659</v>
      </c>
      <c r="AM122" s="551">
        <f t="shared" si="75"/>
        <v>23685.609885551854</v>
      </c>
      <c r="AQ122" s="546">
        <f t="shared" si="76"/>
        <v>174</v>
      </c>
      <c r="AR122" s="551">
        <f t="shared" si="65"/>
        <v>63.707615910579385</v>
      </c>
      <c r="AS122" s="553">
        <f>$AR122/PI()*SQRT('Hilfstabellen_Mat&amp;Bem'!f.Rd.3/'Hilfstabellen_Mat&amp;Bem'!$BD$30)</f>
        <v>1.013938198476859</v>
      </c>
      <c r="AT122" s="553">
        <f>0.5*(1+'Hilfstabellen_Mat&amp;Bem'!$BD$31*($AS122-0.3)+$AS122^2)</f>
        <v>1.049732245089092</v>
      </c>
      <c r="AU122" s="550">
        <f t="shared" si="66"/>
        <v>0.7567059470450419</v>
      </c>
      <c r="AW122" s="551">
        <f t="shared" si="77"/>
        <v>22910.029252735687</v>
      </c>
      <c r="BA122" s="546">
        <f t="shared" si="78"/>
        <v>174</v>
      </c>
      <c r="BB122" s="551">
        <f t="shared" si="79"/>
        <v>65.698478907784988</v>
      </c>
      <c r="BC122" s="553">
        <f>$BB122/PI()*SQRT('Hilfstabellen_Mat&amp;Bem'!f.Rd.3/'Hilfstabellen_Mat&amp;Bem'!$BD$30)</f>
        <v>1.0456237671792608</v>
      </c>
      <c r="BD122" s="553">
        <f>0.5*(1+'Hilfstabellen_Mat&amp;Bem'!$BD$31*($BC122-0.3)+$BC122^2)</f>
        <v>1.0839457196040374</v>
      </c>
      <c r="BE122" s="550">
        <f t="shared" si="80"/>
        <v>0.73013002314764408</v>
      </c>
      <c r="BG122" s="551">
        <f t="shared" si="81"/>
        <v>22105.416580818073</v>
      </c>
      <c r="BK122" s="546">
        <f t="shared" si="82"/>
        <v>174</v>
      </c>
      <c r="BL122" s="551">
        <f t="shared" si="83"/>
        <v>67.689341904990599</v>
      </c>
      <c r="BM122" s="553">
        <f>$BL122/PI()*SQRT('Hilfstabellen_Mat&amp;Bem'!f.Rd.3/'Hilfstabellen_Mat&amp;Bem'!$BD$30)</f>
        <v>1.0773093358816626</v>
      </c>
      <c r="BN122" s="553">
        <f>0.5*(1+'Hilfstabellen_Mat&amp;Bem'!$BD$31*($BM122-0.3)+$BM122^2)</f>
        <v>1.1191631693829776</v>
      </c>
      <c r="BO122" s="550">
        <f t="shared" si="84"/>
        <v>0.70305487277392598</v>
      </c>
      <c r="BQ122" s="551">
        <f t="shared" si="85"/>
        <v>21285.689328103384</v>
      </c>
      <c r="BU122" s="546">
        <f t="shared" si="86"/>
        <v>174</v>
      </c>
      <c r="BV122" s="551">
        <f t="shared" si="87"/>
        <v>69.680204902196209</v>
      </c>
      <c r="BW122" s="553">
        <f>$BV122/PI()*SQRT('Hilfstabellen_Mat&amp;Bem'!f.Rd.3/'Hilfstabellen_Mat&amp;Bem'!$BD$30)</f>
        <v>1.1089949045840644</v>
      </c>
      <c r="BX122" s="553">
        <f>0.5*(1+'Hilfstabellen_Mat&amp;Bem'!$BD$31*($BW122-0.3)+$BW122^2)</f>
        <v>1.1553845944259122</v>
      </c>
      <c r="BY122" s="550">
        <f t="shared" si="88"/>
        <v>0.67590890817965976</v>
      </c>
      <c r="CA122" s="551">
        <f t="shared" si="89"/>
        <v>20463.818104047379</v>
      </c>
      <c r="CE122" s="546">
        <f t="shared" si="90"/>
        <v>174</v>
      </c>
      <c r="CF122" s="551">
        <f t="shared" si="91"/>
        <v>71.67106789940182</v>
      </c>
      <c r="CG122" s="553">
        <f>CF122/PI()*SQRT('Hilfstabellen_Mat&amp;Bem'!f.Rd.3/'Hilfstabellen_Mat&amp;Bem'!$BD$30)</f>
        <v>1.1406804732864664</v>
      </c>
      <c r="CH122" s="553">
        <f>0.5*(1+'Hilfstabellen_Mat&amp;Bem'!$BD$31*(CG122-0.3)+CG122^2)</f>
        <v>1.1926099947328419</v>
      </c>
      <c r="CI122" s="550">
        <f t="shared" si="92"/>
        <v>0.64905562065849165</v>
      </c>
      <c r="CK122" s="551">
        <f t="shared" si="93"/>
        <v>19650.807971056493</v>
      </c>
      <c r="CO122" s="546">
        <f t="shared" si="94"/>
        <v>174</v>
      </c>
      <c r="CP122" s="551">
        <f t="shared" si="95"/>
        <v>73.66193089660743</v>
      </c>
      <c r="CQ122" s="553">
        <f>CP122/PI()*SQRT('Hilfstabellen_Mat&amp;Bem'!f.Rd.3/'Hilfstabellen_Mat&amp;Bem'!$BD$30)</f>
        <v>1.1723660419888684</v>
      </c>
      <c r="CR122" s="553">
        <f>0.5*(1+'Hilfstabellen_Mat&amp;Bem'!$BD$31*(CQ122-0.3)+CQ122^2)</f>
        <v>1.2308393703037659</v>
      </c>
      <c r="CS122" s="550">
        <f t="shared" si="96"/>
        <v>0.62277982704567947</v>
      </c>
      <c r="CU122" s="551">
        <f t="shared" si="97"/>
        <v>18855.28204363499</v>
      </c>
      <c r="CY122" s="546">
        <f t="shared" si="98"/>
        <v>174</v>
      </c>
      <c r="CZ122" s="551">
        <f t="shared" si="99"/>
        <v>75.652793893813026</v>
      </c>
      <c r="DA122" s="553">
        <f>CZ122/PI()*SQRT('Hilfstabellen_Mat&amp;Bem'!f.Rd.3/'Hilfstabellen_Mat&amp;Bem'!$BD$30)</f>
        <v>1.20405161069127</v>
      </c>
      <c r="DB122" s="553">
        <f>0.5*(1+'Hilfstabellen_Mat&amp;Bem'!$BD$31*(DA122-0.3)+DA122^2)</f>
        <v>1.2700727211386842</v>
      </c>
      <c r="DC122" s="550">
        <f t="shared" si="100"/>
        <v>0.59728891337116141</v>
      </c>
      <c r="DE122" s="551">
        <f t="shared" si="101"/>
        <v>18083.519141225283</v>
      </c>
      <c r="DI122" s="546">
        <f t="shared" si="102"/>
        <v>174</v>
      </c>
      <c r="DJ122" s="551">
        <f t="shared" si="103"/>
        <v>77.643656891018637</v>
      </c>
      <c r="DK122" s="553">
        <f>DJ122/PI()*SQRT('Hilfstabellen_Mat&amp;Bem'!f.Rd.3/'Hilfstabellen_Mat&amp;Bem'!$BD$30)</f>
        <v>1.235737179393672</v>
      </c>
      <c r="DL122" s="553">
        <f>0.5*(1+'Hilfstabellen_Mat&amp;Bem'!$BD$31*(DK122-0.3)+DK122^2)</f>
        <v>1.3103100472375977</v>
      </c>
      <c r="DM122" s="550">
        <f t="shared" si="104"/>
        <v>0.57272251335927837</v>
      </c>
      <c r="DO122" s="551">
        <f t="shared" si="105"/>
        <v>17339.74681446551</v>
      </c>
      <c r="DS122" s="546">
        <f t="shared" si="106"/>
        <v>174</v>
      </c>
      <c r="DT122" s="551">
        <f t="shared" si="107"/>
        <v>79.634519888224233</v>
      </c>
      <c r="DU122" s="553">
        <f>DT122/PI()*SQRT('Hilfstabellen_Mat&amp;Bem'!f.Rd.3/'Hilfstabellen_Mat&amp;Bem'!$BD$30)</f>
        <v>1.2674227480960738</v>
      </c>
      <c r="DV122" s="553">
        <f>0.5*(1+'Hilfstabellen_Mat&amp;Bem'!$BD$31*(DU122-0.3)+DU122^2)</f>
        <v>1.3515513486005055</v>
      </c>
      <c r="DW122" s="550">
        <f t="shared" si="108"/>
        <v>0.54916533342094176</v>
      </c>
      <c r="DY122" s="551">
        <f t="shared" si="109"/>
        <v>16626.529634652434</v>
      </c>
      <c r="EC122" s="546">
        <f t="shared" si="110"/>
        <v>174</v>
      </c>
      <c r="ED122" s="551">
        <f t="shared" si="111"/>
        <v>81.625382885429843</v>
      </c>
      <c r="EE122" s="553">
        <f>ED122/PI()*SQRT('Hilfstabellen_Mat&amp;Bem'!f.Rd.3/'Hilfstabellen_Mat&amp;Bem'!$BD$30)</f>
        <v>1.2991083167984756</v>
      </c>
      <c r="EF122" s="553">
        <f>0.5*(1+'Hilfstabellen_Mat&amp;Bem'!$BD$31*(EE122-0.3)+EE122^2)</f>
        <v>1.3937966252274081</v>
      </c>
      <c r="EG122" s="550">
        <f t="shared" si="112"/>
        <v>0.52665988753994564</v>
      </c>
      <c r="EI122" s="551">
        <f t="shared" si="113"/>
        <v>15945.154755159394</v>
      </c>
      <c r="EM122" s="546">
        <f t="shared" si="114"/>
        <v>174</v>
      </c>
      <c r="EN122" s="551">
        <f t="shared" si="115"/>
        <v>83.616245882635454</v>
      </c>
      <c r="EO122" s="553">
        <f>EN122/PI()*SQRT('Hilfstabellen_Mat&amp;Bem'!f.Rd.3/'Hilfstabellen_Mat&amp;Bem'!$BD$30)</f>
        <v>1.3307938855008774</v>
      </c>
      <c r="EP122" s="553">
        <f>0.5*(1+'Hilfstabellen_Mat&amp;Bem'!$BD$31*(EO122-0.3)+EO122^2)</f>
        <v>1.437045877118305</v>
      </c>
      <c r="EQ122" s="550">
        <f t="shared" si="116"/>
        <v>0.50521760016106154</v>
      </c>
      <c r="ES122" s="551">
        <f t="shared" si="117"/>
        <v>15295.968062476299</v>
      </c>
    </row>
    <row r="123" spans="3:149">
      <c r="C123" s="546">
        <v>175</v>
      </c>
      <c r="D123" s="551">
        <f t="shared" si="67"/>
        <v>55.42562584220407</v>
      </c>
      <c r="E123" s="553">
        <f>$D123/PI()*SQRT('Hilfstabellen_Mat&amp;Bem'!f.Rd.3/'Hilfstabellen_Mat&amp;Bem'!$BD$30)</f>
        <v>0.88212623267486734</v>
      </c>
      <c r="F123" s="553">
        <f>0.5*(1+'Hilfstabellen_Mat&amp;Bem'!$BD$31*($E123-0.3)+$E123^2)</f>
        <v>0.91817965682032043</v>
      </c>
      <c r="G123" s="550">
        <f t="shared" si="68"/>
        <v>0.85255230944152194</v>
      </c>
      <c r="I123" s="551">
        <f t="shared" si="69"/>
        <v>26109.414476646609</v>
      </c>
      <c r="M123" s="546">
        <f t="shared" si="70"/>
        <v>175</v>
      </c>
      <c r="N123" s="551">
        <f t="shared" si="59"/>
        <v>57.405112479425647</v>
      </c>
      <c r="O123" s="553">
        <f>$N123/PI()*SQRT('Hilfstabellen_Mat&amp;Bem'!f.Rd.3/'Hilfstabellen_Mat&amp;Bem'!$BD$30)</f>
        <v>0.913630740984684</v>
      </c>
      <c r="P123" s="553">
        <f>0.5*(1+'Hilfstabellen_Mat&amp;Bem'!$BD$31*($O123-0.3)+$O123^2)</f>
        <v>0.94804210248534559</v>
      </c>
      <c r="Q123" s="550">
        <f t="shared" si="60"/>
        <v>0.83253673359456437</v>
      </c>
      <c r="S123" s="551">
        <f t="shared" si="71"/>
        <v>25496.437466333533</v>
      </c>
      <c r="W123" s="546">
        <f t="shared" si="72"/>
        <v>175</v>
      </c>
      <c r="X123" s="551">
        <f t="shared" si="61"/>
        <v>59.384599116647216</v>
      </c>
      <c r="Y123" s="553">
        <f>$X123/PI()*SQRT('Hilfstabellen_Mat&amp;Bem'!f.Rd.3/'Hilfstabellen_Mat&amp;Bem'!$BD$30)</f>
        <v>0.94513524929450066</v>
      </c>
      <c r="Z123" s="553">
        <f>0.5*(1+'Hilfstabellen_Mat&amp;Bem'!$BD$31*($Y123-0.3)+$Y123^2)</f>
        <v>0.97889708219421401</v>
      </c>
      <c r="AA123" s="550">
        <f t="shared" si="62"/>
        <v>0.8105255764739373</v>
      </c>
      <c r="AC123" s="551">
        <f t="shared" si="73"/>
        <v>24822.345779514329</v>
      </c>
      <c r="AG123" s="546">
        <f t="shared" si="74"/>
        <v>175</v>
      </c>
      <c r="AH123" s="551">
        <f t="shared" si="63"/>
        <v>61.364085753868792</v>
      </c>
      <c r="AI123" s="553">
        <f>$AH123/PI()*SQRT('Hilfstabellen_Mat&amp;Bem'!f.Rd.3/'Hilfstabellen_Mat&amp;Bem'!$BD$30)</f>
        <v>0.97663975760431743</v>
      </c>
      <c r="AJ123" s="553">
        <f>0.5*(1+'Hilfstabellen_Mat&amp;Bem'!$BD$31*($AI123-0.3)+$AI123^2)</f>
        <v>1.0107445959469259</v>
      </c>
      <c r="AK123" s="550">
        <f t="shared" si="64"/>
        <v>0.78672671826749452</v>
      </c>
      <c r="AM123" s="551">
        <f t="shared" si="75"/>
        <v>24093.505746942021</v>
      </c>
      <c r="AQ123" s="546">
        <f t="shared" si="76"/>
        <v>175</v>
      </c>
      <c r="AR123" s="551">
        <f t="shared" si="65"/>
        <v>63.343572391090362</v>
      </c>
      <c r="AS123" s="553">
        <f>$AR123/PI()*SQRT('Hilfstabellen_Mat&amp;Bem'!f.Rd.3/'Hilfstabellen_Mat&amp;Bem'!$BD$30)</f>
        <v>1.008144265914134</v>
      </c>
      <c r="AT123" s="553">
        <f>0.5*(1+'Hilfstabellen_Mat&amp;Bem'!$BD$31*($AS123-0.3)+$AS123^2)</f>
        <v>1.0435846437434808</v>
      </c>
      <c r="AU123" s="550">
        <f t="shared" si="66"/>
        <v>0.76147539544753873</v>
      </c>
      <c r="AW123" s="551">
        <f t="shared" si="77"/>
        <v>23320.183985580872</v>
      </c>
      <c r="BA123" s="546">
        <f t="shared" si="78"/>
        <v>175</v>
      </c>
      <c r="BB123" s="551">
        <f t="shared" si="79"/>
        <v>65.323059028311945</v>
      </c>
      <c r="BC123" s="553">
        <f>$BB123/PI()*SQRT('Hilfstabellen_Mat&amp;Bem'!f.Rd.3/'Hilfstabellen_Mat&amp;Bem'!$BD$30)</f>
        <v>1.0396487742239509</v>
      </c>
      <c r="BD123" s="553">
        <f>0.5*(1+'Hilfstabellen_Mat&amp;Bem'!$BD$31*($BC123-0.3)+$BC123^2)</f>
        <v>1.0774172255838792</v>
      </c>
      <c r="BE123" s="550">
        <f t="shared" si="80"/>
        <v>0.7351934501679378</v>
      </c>
      <c r="BG123" s="551">
        <f t="shared" si="81"/>
        <v>22515.299411393094</v>
      </c>
      <c r="BK123" s="546">
        <f t="shared" si="82"/>
        <v>175</v>
      </c>
      <c r="BL123" s="551">
        <f t="shared" si="83"/>
        <v>67.302545665533515</v>
      </c>
      <c r="BM123" s="553">
        <f>$BL123/PI()*SQRT('Hilfstabellen_Mat&amp;Bem'!f.Rd.3/'Hilfstabellen_Mat&amp;Bem'!$BD$30)</f>
        <v>1.0711532825337675</v>
      </c>
      <c r="BN123" s="553">
        <f>0.5*(1+'Hilfstabellen_Mat&amp;Bem'!$BD$31*($BM123-0.3)+$BM123^2)</f>
        <v>1.1122423414681211</v>
      </c>
      <c r="BO123" s="550">
        <f t="shared" si="84"/>
        <v>0.70833331265620547</v>
      </c>
      <c r="BQ123" s="551">
        <f t="shared" si="85"/>
        <v>21692.707700096293</v>
      </c>
      <c r="BU123" s="546">
        <f t="shared" si="86"/>
        <v>175</v>
      </c>
      <c r="BV123" s="551">
        <f t="shared" si="87"/>
        <v>69.282032302755084</v>
      </c>
      <c r="BW123" s="553">
        <f>$BV123/PI()*SQRT('Hilfstabellen_Mat&amp;Bem'!f.Rd.3/'Hilfstabellen_Mat&amp;Bem'!$BD$30)</f>
        <v>1.102657790843584</v>
      </c>
      <c r="BX123" s="553">
        <f>0.5*(1+'Hilfstabellen_Mat&amp;Bem'!$BD$31*($BW123-0.3)+$BW123^2)</f>
        <v>1.1480599913962055</v>
      </c>
      <c r="BY123" s="550">
        <f t="shared" si="88"/>
        <v>0.68132521956793579</v>
      </c>
      <c r="CA123" s="551">
        <f t="shared" si="89"/>
        <v>20865.584849268034</v>
      </c>
      <c r="CE123" s="546">
        <f t="shared" si="90"/>
        <v>175</v>
      </c>
      <c r="CF123" s="551">
        <f t="shared" si="91"/>
        <v>71.261518939976668</v>
      </c>
      <c r="CG123" s="553">
        <f>CF123/PI()*SQRT('Hilfstabellen_Mat&amp;Bem'!f.Rd.3/'Hilfstabellen_Mat&amp;Bem'!$BD$30)</f>
        <v>1.1341622991534008</v>
      </c>
      <c r="CH123" s="553">
        <f>0.5*(1+'Hilfstabellen_Mat&amp;Bem'!$BD$31*(CG123-0.3)+CG123^2)</f>
        <v>1.1848701753681341</v>
      </c>
      <c r="CI123" s="550">
        <f t="shared" si="92"/>
        <v>0.65454071450558182</v>
      </c>
      <c r="CK123" s="551">
        <f t="shared" si="93"/>
        <v>20045.309381733445</v>
      </c>
      <c r="CO123" s="546">
        <f t="shared" si="94"/>
        <v>175</v>
      </c>
      <c r="CP123" s="551">
        <f t="shared" si="95"/>
        <v>73.241005577198237</v>
      </c>
      <c r="CQ123" s="553">
        <f>CP123/PI()*SQRT('Hilfstabellen_Mat&amp;Bem'!f.Rd.3/'Hilfstabellen_Mat&amp;Bem'!$BD$30)</f>
        <v>1.1656668074632175</v>
      </c>
      <c r="CR123" s="553">
        <f>0.5*(1+'Hilfstabellen_Mat&amp;Bem'!$BD$31*(CQ123-0.3)+CQ123^2)</f>
        <v>1.2226728933839057</v>
      </c>
      <c r="CS123" s="550">
        <f t="shared" si="96"/>
        <v>0.62827573150379912</v>
      </c>
      <c r="CU123" s="551">
        <f t="shared" si="97"/>
        <v>19240.944277303846</v>
      </c>
      <c r="CY123" s="546">
        <f t="shared" si="98"/>
        <v>175</v>
      </c>
      <c r="CZ123" s="551">
        <f t="shared" si="99"/>
        <v>75.220492214419806</v>
      </c>
      <c r="DA123" s="553">
        <f>CZ123/PI()*SQRT('Hilfstabellen_Mat&amp;Bem'!f.Rd.3/'Hilfstabellen_Mat&amp;Bem'!$BD$30)</f>
        <v>1.1971713157730342</v>
      </c>
      <c r="DB123" s="553">
        <f>0.5*(1+'Hilfstabellen_Mat&amp;Bem'!$BD$31*(DA123-0.3)+DA123^2)</f>
        <v>1.2614681454435206</v>
      </c>
      <c r="DC123" s="550">
        <f t="shared" si="100"/>
        <v>0.60274938375214282</v>
      </c>
      <c r="DE123" s="551">
        <f t="shared" si="101"/>
        <v>18459.199877409374</v>
      </c>
      <c r="DI123" s="546">
        <f t="shared" si="102"/>
        <v>175</v>
      </c>
      <c r="DJ123" s="551">
        <f t="shared" si="103"/>
        <v>77.199978851641376</v>
      </c>
      <c r="DK123" s="553">
        <f>DJ123/PI()*SQRT('Hilfstabellen_Mat&amp;Bem'!f.Rd.3/'Hilfstabellen_Mat&amp;Bem'!$BD$30)</f>
        <v>1.2286758240828508</v>
      </c>
      <c r="DL123" s="553">
        <f>0.5*(1+'Hilfstabellen_Mat&amp;Bem'!$BD$31*(DK123-0.3)+DK123^2)</f>
        <v>1.3012559315469789</v>
      </c>
      <c r="DM123" s="550">
        <f t="shared" si="104"/>
        <v>0.5781121601738074</v>
      </c>
      <c r="DO123" s="551">
        <f t="shared" si="105"/>
        <v>17704.684905322851</v>
      </c>
      <c r="DS123" s="546">
        <f t="shared" si="106"/>
        <v>175</v>
      </c>
      <c r="DT123" s="551">
        <f t="shared" si="107"/>
        <v>79.179465488862959</v>
      </c>
      <c r="DU123" s="553">
        <f>DT123/PI()*SQRT('Hilfstabellen_Mat&amp;Bem'!f.Rd.3/'Hilfstabellen_Mat&amp;Bem'!$BD$30)</f>
        <v>1.2601803323926677</v>
      </c>
      <c r="DV123" s="553">
        <f>0.5*(1+'Hilfstabellen_Mat&amp;Bem'!$BD$31*(DU123-0.3)+DU123^2)</f>
        <v>1.3420362516942808</v>
      </c>
      <c r="DW123" s="550">
        <f t="shared" si="108"/>
        <v>0.55445807287425108</v>
      </c>
      <c r="DY123" s="551">
        <f t="shared" si="109"/>
        <v>16980.278481773941</v>
      </c>
      <c r="EC123" s="546">
        <f t="shared" si="110"/>
        <v>175</v>
      </c>
      <c r="ED123" s="551">
        <f t="shared" si="111"/>
        <v>81.158952126084529</v>
      </c>
      <c r="EE123" s="553">
        <f>ED123/PI()*SQRT('Hilfstabellen_Mat&amp;Bem'!f.Rd.3/'Hilfstabellen_Mat&amp;Bem'!$BD$30)</f>
        <v>1.2916848407024843</v>
      </c>
      <c r="EF123" s="553">
        <f>0.5*(1+'Hilfstabellen_Mat&amp;Bem'!$BD$31*(EE123-0.3)+EE123^2)</f>
        <v>1.3838091058854254</v>
      </c>
      <c r="EG123" s="550">
        <f t="shared" si="112"/>
        <v>0.53183723223665536</v>
      </c>
      <c r="EI123" s="551">
        <f t="shared" si="113"/>
        <v>16287.51523724757</v>
      </c>
      <c r="EM123" s="546">
        <f t="shared" si="114"/>
        <v>175</v>
      </c>
      <c r="EN123" s="551">
        <f t="shared" si="115"/>
        <v>83.138438763306112</v>
      </c>
      <c r="EO123" s="553">
        <f>EN123/PI()*SQRT('Hilfstabellen_Mat&amp;Bem'!f.Rd.3/'Hilfstabellen_Mat&amp;Bem'!$BD$30)</f>
        <v>1.323189349012301</v>
      </c>
      <c r="EP123" s="553">
        <f>0.5*(1+'Hilfstabellen_Mat&amp;Bem'!$BD$31*(EO123-0.3)+EO123^2)</f>
        <v>1.4265744941204135</v>
      </c>
      <c r="EQ123" s="550">
        <f t="shared" si="116"/>
        <v>0.51026706373282316</v>
      </c>
      <c r="ES123" s="551">
        <f t="shared" si="117"/>
        <v>15626.92882681771</v>
      </c>
    </row>
    <row r="124" spans="3:149">
      <c r="C124" s="546">
        <v>176</v>
      </c>
      <c r="D124" s="551">
        <f t="shared" si="67"/>
        <v>55.110707513555184</v>
      </c>
      <c r="E124" s="553">
        <f>$D124/PI()*SQRT('Hilfstabellen_Mat&amp;Bem'!f.Rd.3/'Hilfstabellen_Mat&amp;Bem'!$BD$30)</f>
        <v>0.87711415180739649</v>
      </c>
      <c r="F124" s="553">
        <f>0.5*(1+'Hilfstabellen_Mat&amp;Bem'!$BD$31*($E124-0.3)+$E124^2)</f>
        <v>0.91352032524077409</v>
      </c>
      <c r="G124" s="550">
        <f t="shared" si="68"/>
        <v>0.85554620593872366</v>
      </c>
      <c r="I124" s="551">
        <f t="shared" si="69"/>
        <v>26501.399275157903</v>
      </c>
      <c r="M124" s="546">
        <f t="shared" si="70"/>
        <v>176</v>
      </c>
      <c r="N124" s="551">
        <f t="shared" si="59"/>
        <v>57.07894706761072</v>
      </c>
      <c r="O124" s="553">
        <f>$N124/PI()*SQRT('Hilfstabellen_Mat&amp;Bem'!f.Rd.3/'Hilfstabellen_Mat&amp;Bem'!$BD$30)</f>
        <v>0.90843965722908904</v>
      </c>
      <c r="P124" s="553">
        <f>0.5*(1+'Hilfstabellen_Mat&amp;Bem'!$BD$31*($O124-0.3)+$O124^2)</f>
        <v>0.94305328827470691</v>
      </c>
      <c r="Q124" s="550">
        <f t="shared" si="60"/>
        <v>0.8359755863304601</v>
      </c>
      <c r="S124" s="551">
        <f t="shared" si="71"/>
        <v>25895.179762172331</v>
      </c>
      <c r="W124" s="546">
        <f t="shared" si="72"/>
        <v>176</v>
      </c>
      <c r="X124" s="551">
        <f t="shared" si="61"/>
        <v>59.04718662166627</v>
      </c>
      <c r="Y124" s="553">
        <f>$X124/PI()*SQRT('Hilfstabellen_Mat&amp;Bem'!f.Rd.3/'Hilfstabellen_Mat&amp;Bem'!$BD$30)</f>
        <v>0.93976516265078203</v>
      </c>
      <c r="Z124" s="553">
        <f>0.5*(1+'Hilfstabellen_Mat&amp;Bem'!$BD$31*($Y124-0.3)+$Y124^2)</f>
        <v>0.97356753859856449</v>
      </c>
      <c r="AA124" s="550">
        <f t="shared" si="62"/>
        <v>0.8144113580751251</v>
      </c>
      <c r="AC124" s="551">
        <f t="shared" si="73"/>
        <v>25227.206227735074</v>
      </c>
      <c r="AG124" s="546">
        <f t="shared" si="74"/>
        <v>176</v>
      </c>
      <c r="AH124" s="551">
        <f t="shared" si="63"/>
        <v>61.015426175721807</v>
      </c>
      <c r="AI124" s="553">
        <f>$AH124/PI()*SQRT('Hilfstabellen_Mat&amp;Bem'!f.Rd.3/'Hilfstabellen_Mat&amp;Bem'!$BD$30)</f>
        <v>0.97109066807247457</v>
      </c>
      <c r="AJ124" s="553">
        <f>0.5*(1+'Hilfstabellen_Mat&amp;Bem'!$BD$31*($AI124-0.3)+$AI124^2)</f>
        <v>1.0050630762123463</v>
      </c>
      <c r="AK124" s="550">
        <f t="shared" si="64"/>
        <v>0.79103489999013765</v>
      </c>
      <c r="AM124" s="551">
        <f t="shared" si="75"/>
        <v>24503.097062094505</v>
      </c>
      <c r="AQ124" s="546">
        <f t="shared" si="76"/>
        <v>176</v>
      </c>
      <c r="AR124" s="551">
        <f t="shared" si="65"/>
        <v>62.983665729777357</v>
      </c>
      <c r="AS124" s="553">
        <f>$AR124/PI()*SQRT('Hilfstabellen_Mat&amp;Bem'!f.Rd.3/'Hilfstabellen_Mat&amp;Bem'!$BD$30)</f>
        <v>1.0024161734941675</v>
      </c>
      <c r="AT124" s="553">
        <f>0.5*(1+'Hilfstabellen_Mat&amp;Bem'!$BD$31*($AS124-0.3)+$AS124^2)</f>
        <v>1.0375399011160527</v>
      </c>
      <c r="AU124" s="550">
        <f t="shared" si="66"/>
        <v>0.76615630968545334</v>
      </c>
      <c r="AW124" s="551">
        <f t="shared" si="77"/>
        <v>23732.457848816604</v>
      </c>
      <c r="BA124" s="546">
        <f t="shared" si="78"/>
        <v>176</v>
      </c>
      <c r="BB124" s="551">
        <f t="shared" si="79"/>
        <v>64.9519052838329</v>
      </c>
      <c r="BC124" s="553">
        <f>$BB124/PI()*SQRT('Hilfstabellen_Mat&amp;Bem'!f.Rd.3/'Hilfstabellen_Mat&amp;Bem'!$BD$30)</f>
        <v>1.0337416789158602</v>
      </c>
      <c r="BD124" s="553">
        <f>0.5*(1+'Hilfstabellen_Mat&amp;Bem'!$BD$31*($BC124-0.3)+$BC124^2)</f>
        <v>1.0709980133096837</v>
      </c>
      <c r="BE124" s="550">
        <f t="shared" si="80"/>
        <v>0.74017897570723978</v>
      </c>
      <c r="BG124" s="551">
        <f t="shared" si="81"/>
        <v>22927.783951507459</v>
      </c>
      <c r="BK124" s="546">
        <f t="shared" si="82"/>
        <v>176</v>
      </c>
      <c r="BL124" s="551">
        <f t="shared" si="83"/>
        <v>66.920144837888429</v>
      </c>
      <c r="BM124" s="553">
        <f>$BL124/PI()*SQRT('Hilfstabellen_Mat&amp;Bem'!f.Rd.3/'Hilfstabellen_Mat&amp;Bem'!$BD$30)</f>
        <v>1.0650671843375528</v>
      </c>
      <c r="BN124" s="553">
        <f>0.5*(1+'Hilfstabellen_Mat&amp;Bem'!$BD$31*($BM124-0.3)+$BM124^2)</f>
        <v>1.1054374127932389</v>
      </c>
      <c r="BO124" s="550">
        <f t="shared" si="84"/>
        <v>0.71354641317601086</v>
      </c>
      <c r="BQ124" s="551">
        <f t="shared" si="85"/>
        <v>22102.813694540113</v>
      </c>
      <c r="BU124" s="546">
        <f t="shared" si="86"/>
        <v>176</v>
      </c>
      <c r="BV124" s="551">
        <f t="shared" si="87"/>
        <v>68.888384391943987</v>
      </c>
      <c r="BW124" s="553">
        <f>$BV124/PI()*SQRT('Hilfstabellen_Mat&amp;Bem'!f.Rd.3/'Hilfstabellen_Mat&amp;Bem'!$BD$30)</f>
        <v>1.0963926897592458</v>
      </c>
      <c r="BX124" s="553">
        <f>0.5*(1+'Hilfstabellen_Mat&amp;Bem'!$BD$31*($BW124-0.3)+$BW124^2)</f>
        <v>1.140858099566719</v>
      </c>
      <c r="BY124" s="550">
        <f t="shared" si="88"/>
        <v>0.686689132444818</v>
      </c>
      <c r="CA124" s="551">
        <f t="shared" si="89"/>
        <v>21270.882566610682</v>
      </c>
      <c r="CE124" s="546">
        <f t="shared" si="90"/>
        <v>176</v>
      </c>
      <c r="CF124" s="551">
        <f t="shared" si="91"/>
        <v>70.856623945999516</v>
      </c>
      <c r="CG124" s="553">
        <f>CF124/PI()*SQRT('Hilfstabellen_Mat&amp;Bem'!f.Rd.3/'Hilfstabellen_Mat&amp;Bem'!$BD$30)</f>
        <v>1.1277181951809383</v>
      </c>
      <c r="CH124" s="553">
        <f>0.5*(1+'Hilfstabellen_Mat&amp;Bem'!$BD$31*(CG124-0.3)+CG124^2)</f>
        <v>1.1772600736301233</v>
      </c>
      <c r="CI124" s="550">
        <f t="shared" si="92"/>
        <v>0.6599856093724128</v>
      </c>
      <c r="CK124" s="551">
        <f t="shared" si="93"/>
        <v>20443.714235919859</v>
      </c>
      <c r="CO124" s="546">
        <f t="shared" si="94"/>
        <v>176</v>
      </c>
      <c r="CP124" s="551">
        <f t="shared" si="95"/>
        <v>72.824863500055059</v>
      </c>
      <c r="CQ124" s="553">
        <f>CP124/PI()*SQRT('Hilfstabellen_Mat&amp;Bem'!f.Rd.3/'Hilfstabellen_Mat&amp;Bem'!$BD$30)</f>
        <v>1.1590437006026311</v>
      </c>
      <c r="CR124" s="553">
        <f>0.5*(1+'Hilfstabellen_Mat&amp;Bem'!$BD$31*(CQ124-0.3)+CQ124^2)</f>
        <v>1.2146433349834522</v>
      </c>
      <c r="CS124" s="550">
        <f t="shared" si="96"/>
        <v>0.63374226550048807</v>
      </c>
      <c r="CU124" s="551">
        <f t="shared" si="97"/>
        <v>19630.80041614312</v>
      </c>
      <c r="CY124" s="546">
        <f t="shared" si="98"/>
        <v>176</v>
      </c>
      <c r="CZ124" s="551">
        <f t="shared" si="99"/>
        <v>74.793103054110603</v>
      </c>
      <c r="DA124" s="553">
        <f>CZ124/PI()*SQRT('Hilfstabellen_Mat&amp;Bem'!f.Rd.3/'Hilfstabellen_Mat&amp;Bem'!$BD$30)</f>
        <v>1.1903692060243238</v>
      </c>
      <c r="DB124" s="553">
        <f>0.5*(1+'Hilfstabellen_Mat&amp;Bem'!$BD$31*(DA124-0.3)+DA124^2)</f>
        <v>1.2530078836267058</v>
      </c>
      <c r="DC124" s="550">
        <f t="shared" si="100"/>
        <v>0.60818970454690136</v>
      </c>
      <c r="DE124" s="551">
        <f t="shared" si="101"/>
        <v>18839.284288044815</v>
      </c>
      <c r="DI124" s="546">
        <f t="shared" si="102"/>
        <v>176</v>
      </c>
      <c r="DJ124" s="551">
        <f t="shared" si="103"/>
        <v>76.761342608166146</v>
      </c>
      <c r="DK124" s="553">
        <f>DJ124/PI()*SQRT('Hilfstabellen_Mat&amp;Bem'!f.Rd.3/'Hilfstabellen_Mat&amp;Bem'!$BD$30)</f>
        <v>1.2216947114460164</v>
      </c>
      <c r="DL124" s="553">
        <f>0.5*(1+'Hilfstabellen_Mat&amp;Bem'!$BD$31*(DK124-0.3)+DK124^2)</f>
        <v>1.2923537195598835</v>
      </c>
      <c r="DM124" s="550">
        <f t="shared" si="104"/>
        <v>0.5834892867235818</v>
      </c>
      <c r="DO124" s="551">
        <f t="shared" si="105"/>
        <v>18074.164145549668</v>
      </c>
      <c r="DS124" s="546">
        <f t="shared" si="106"/>
        <v>176</v>
      </c>
      <c r="DT124" s="551">
        <f t="shared" si="107"/>
        <v>78.729582162221689</v>
      </c>
      <c r="DU124" s="553">
        <f>DT124/PI()*SQRT('Hilfstabellen_Mat&amp;Bem'!f.Rd.3/'Hilfstabellen_Mat&amp;Bem'!$BD$30)</f>
        <v>1.2530202168677091</v>
      </c>
      <c r="DV124" s="553">
        <f>0.5*(1+'Hilfstabellen_Mat&amp;Bem'!$BD$31*(DU124-0.3)+DU124^2)</f>
        <v>1.3326808427829859</v>
      </c>
      <c r="DW124" s="550">
        <f t="shared" si="108"/>
        <v>0.55974447885496048</v>
      </c>
      <c r="DY124" s="551">
        <f t="shared" si="109"/>
        <v>17338.644977011256</v>
      </c>
      <c r="EC124" s="546">
        <f t="shared" si="110"/>
        <v>176</v>
      </c>
      <c r="ED124" s="551">
        <f t="shared" si="111"/>
        <v>80.697821716277232</v>
      </c>
      <c r="EE124" s="553">
        <f>ED124/PI()*SQRT('Hilfstabellen_Mat&amp;Bem'!f.Rd.3/'Hilfstabellen_Mat&amp;Bem'!$BD$30)</f>
        <v>1.2843457222894019</v>
      </c>
      <c r="EF124" s="553">
        <f>0.5*(1+'Hilfstabellen_Mat&amp;Bem'!$BD$31*(EE124-0.3)+EE124^2)</f>
        <v>1.373989253296013</v>
      </c>
      <c r="EG124" s="550">
        <f t="shared" si="112"/>
        <v>0.53701318872712112</v>
      </c>
      <c r="EI124" s="551">
        <f t="shared" si="113"/>
        <v>16634.520534011303</v>
      </c>
      <c r="EM124" s="546">
        <f t="shared" si="114"/>
        <v>176</v>
      </c>
      <c r="EN124" s="551">
        <f t="shared" si="115"/>
        <v>82.666061270332776</v>
      </c>
      <c r="EO124" s="553">
        <f>EN124/PI()*SQRT('Hilfstabellen_Mat&amp;Bem'!f.Rd.3/'Hilfstabellen_Mat&amp;Bem'!$BD$30)</f>
        <v>1.3156712277110947</v>
      </c>
      <c r="EP124" s="553">
        <f>0.5*(1+'Hilfstabellen_Mat&amp;Bem'!$BD$31*(EO124-0.3)+EO124^2)</f>
        <v>1.4162789510989642</v>
      </c>
      <c r="EQ124" s="550">
        <f t="shared" si="116"/>
        <v>0.51531904926740091</v>
      </c>
      <c r="ES124" s="551">
        <f t="shared" si="117"/>
        <v>15962.52287010701</v>
      </c>
    </row>
    <row r="125" spans="3:149">
      <c r="C125" s="546">
        <v>177</v>
      </c>
      <c r="D125" s="551">
        <f t="shared" si="67"/>
        <v>54.799347584100069</v>
      </c>
      <c r="E125" s="553">
        <f>$D125/PI()*SQRT('Hilfstabellen_Mat&amp;Bem'!f.Rd.3/'Hilfstabellen_Mat&amp;Bem'!$BD$30)</f>
        <v>0.87215870462204392</v>
      </c>
      <c r="F125" s="553">
        <f>0.5*(1+'Hilfstabellen_Mat&amp;Bem'!$BD$31*($E125-0.3)+$E125^2)</f>
        <v>0.90893833825510306</v>
      </c>
      <c r="G125" s="550">
        <f t="shared" si="68"/>
        <v>0.85845469819713505</v>
      </c>
      <c r="I125" s="551">
        <f t="shared" si="69"/>
        <v>26894.527239818042</v>
      </c>
      <c r="M125" s="546">
        <f t="shared" si="70"/>
        <v>177</v>
      </c>
      <c r="N125" s="551">
        <f t="shared" si="59"/>
        <v>56.756467140675078</v>
      </c>
      <c r="O125" s="553">
        <f>$N125/PI()*SQRT('Hilfstabellen_Mat&amp;Bem'!f.Rd.3/'Hilfstabellen_Mat&amp;Bem'!$BD$30)</f>
        <v>0.90330722978711708</v>
      </c>
      <c r="P125" s="553">
        <f>0.5*(1+'Hilfstabellen_Mat&amp;Bem'!$BD$31*($O125-0.3)+$O125^2)</f>
        <v>0.93814733718219367</v>
      </c>
      <c r="Q125" s="550">
        <f t="shared" si="60"/>
        <v>0.83932145700266025</v>
      </c>
      <c r="S125" s="551">
        <f t="shared" si="71"/>
        <v>26295.101926436342</v>
      </c>
      <c r="W125" s="546">
        <f t="shared" si="72"/>
        <v>177</v>
      </c>
      <c r="X125" s="551">
        <f t="shared" si="61"/>
        <v>58.713586697250079</v>
      </c>
      <c r="Y125" s="553">
        <f>$X125/PI()*SQRT('Hilfstabellen_Mat&amp;Bem'!f.Rd.3/'Hilfstabellen_Mat&amp;Bem'!$BD$30)</f>
        <v>0.93445575495219002</v>
      </c>
      <c r="Z125" s="553">
        <f>0.5*(1+'Hilfstabellen_Mat&amp;Bem'!$BD$31*($Y125-0.3)+$Y125^2)</f>
        <v>0.96832656672924322</v>
      </c>
      <c r="AA125" s="550">
        <f t="shared" si="62"/>
        <v>0.81820056852432677</v>
      </c>
      <c r="AC125" s="551">
        <f t="shared" si="73"/>
        <v>25633.405611298633</v>
      </c>
      <c r="AG125" s="546">
        <f t="shared" si="74"/>
        <v>177</v>
      </c>
      <c r="AH125" s="551">
        <f t="shared" si="63"/>
        <v>60.670706253825081</v>
      </c>
      <c r="AI125" s="553">
        <f>$AH125/PI()*SQRT('Hilfstabellen_Mat&amp;Bem'!f.Rd.3/'Hilfstabellen_Mat&amp;Bem'!$BD$30)</f>
        <v>0.96560428011726307</v>
      </c>
      <c r="AJ125" s="553">
        <f>0.5*(1+'Hilfstabellen_Mat&amp;Bem'!$BD$31*($AI125-0.3)+$AI125^2)</f>
        <v>0.99947602689625203</v>
      </c>
      <c r="AK125" s="550">
        <f t="shared" si="64"/>
        <v>0.79524783026978896</v>
      </c>
      <c r="AM125" s="551">
        <f t="shared" si="75"/>
        <v>24914.319274522219</v>
      </c>
      <c r="AQ125" s="546">
        <f t="shared" si="76"/>
        <v>177</v>
      </c>
      <c r="AR125" s="551">
        <f t="shared" si="65"/>
        <v>62.627825810400083</v>
      </c>
      <c r="AS125" s="553">
        <f>$AR125/PI()*SQRT('Hilfstabellen_Mat&amp;Bem'!f.Rd.3/'Hilfstabellen_Mat&amp;Bem'!$BD$30)</f>
        <v>0.99675280528233601</v>
      </c>
      <c r="AT125" s="553">
        <f>0.5*(1+'Hilfstabellen_Mat&amp;Bem'!$BD$31*($AS125-0.3)+$AS125^2)</f>
        <v>1.03159571768322</v>
      </c>
      <c r="AU125" s="550">
        <f t="shared" si="66"/>
        <v>0.77074811808212906</v>
      </c>
      <c r="AW125" s="551">
        <f t="shared" si="77"/>
        <v>24146.767791395021</v>
      </c>
      <c r="BA125" s="546">
        <f t="shared" si="78"/>
        <v>177</v>
      </c>
      <c r="BB125" s="551">
        <f t="shared" si="79"/>
        <v>64.584945366975077</v>
      </c>
      <c r="BC125" s="553">
        <f>$BB125/PI()*SQRT('Hilfstabellen_Mat&amp;Bem'!f.Rd.3/'Hilfstabellen_Mat&amp;Bem'!$BD$30)</f>
        <v>1.0279013304474087</v>
      </c>
      <c r="BD125" s="553">
        <f>0.5*(1+'Hilfstabellen_Mat&amp;Bem'!$BD$31*($BC125-0.3)+$BC125^2)</f>
        <v>1.0646856390901469</v>
      </c>
      <c r="BE125" s="550">
        <f t="shared" si="80"/>
        <v>0.74508531522134103</v>
      </c>
      <c r="BG125" s="551">
        <f t="shared" si="81"/>
        <v>23342.777840569393</v>
      </c>
      <c r="BK125" s="546">
        <f t="shared" si="82"/>
        <v>177</v>
      </c>
      <c r="BL125" s="551">
        <f t="shared" si="83"/>
        <v>66.542064923550086</v>
      </c>
      <c r="BM125" s="553">
        <f>$BL125/PI()*SQRT('Hilfstabellen_Mat&amp;Bem'!f.Rd.3/'Hilfstabellen_Mat&amp;Bem'!$BD$30)</f>
        <v>1.0590498556124819</v>
      </c>
      <c r="BN125" s="553">
        <f>0.5*(1+'Hilfstabellen_Mat&amp;Bem'!$BD$31*($BM125-0.3)+$BM125^2)</f>
        <v>1.0987457911170333</v>
      </c>
      <c r="BO125" s="550">
        <f t="shared" si="84"/>
        <v>0.71869244348854866</v>
      </c>
      <c r="BQ125" s="551">
        <f t="shared" si="85"/>
        <v>22515.915562052742</v>
      </c>
      <c r="BU125" s="546">
        <f t="shared" si="86"/>
        <v>177</v>
      </c>
      <c r="BV125" s="551">
        <f t="shared" si="87"/>
        <v>68.499184480125081</v>
      </c>
      <c r="BW125" s="553">
        <f>$BV125/PI()*SQRT('Hilfstabellen_Mat&amp;Bem'!f.Rd.3/'Hilfstabellen_Mat&amp;Bem'!$BD$30)</f>
        <v>1.0901983807775548</v>
      </c>
      <c r="BX125" s="553">
        <f>0.5*(1+'Hilfstabellen_Mat&amp;Bem'!$BD$31*($BW125-0.3)+$BW125^2)</f>
        <v>1.133776173763879</v>
      </c>
      <c r="BY125" s="550">
        <f t="shared" si="88"/>
        <v>0.6919987265462989</v>
      </c>
      <c r="CA125" s="551">
        <f t="shared" si="89"/>
        <v>21679.628103968997</v>
      </c>
      <c r="CE125" s="546">
        <f t="shared" si="90"/>
        <v>177</v>
      </c>
      <c r="CF125" s="551">
        <f t="shared" si="91"/>
        <v>70.456304036700089</v>
      </c>
      <c r="CG125" s="553">
        <f>CF125/PI()*SQRT('Hilfstabellen_Mat&amp;Bem'!f.Rd.3/'Hilfstabellen_Mat&amp;Bem'!$BD$30)</f>
        <v>1.121346905942628</v>
      </c>
      <c r="CH125" s="553">
        <f>0.5*(1+'Hilfstabellen_Mat&amp;Bem'!$BD$31*(CG125-0.3)+CG125^2)</f>
        <v>1.1697767870306839</v>
      </c>
      <c r="CI125" s="550">
        <f t="shared" si="92"/>
        <v>0.6653883901789307</v>
      </c>
      <c r="CK125" s="551">
        <f t="shared" si="93"/>
        <v>20845.952875915718</v>
      </c>
      <c r="CO125" s="546">
        <f t="shared" si="94"/>
        <v>177</v>
      </c>
      <c r="CP125" s="551">
        <f t="shared" si="95"/>
        <v>72.413423593275084</v>
      </c>
      <c r="CQ125" s="553">
        <f>CP125/PI()*SQRT('Hilfstabellen_Mat&amp;Bem'!f.Rd.3/'Hilfstabellen_Mat&amp;Bem'!$BD$30)</f>
        <v>1.1524954311077007</v>
      </c>
      <c r="CR125" s="553">
        <f>0.5*(1+'Hilfstabellen_Mat&amp;Bem'!$BD$31*(CQ125-0.3)+CQ125^2)</f>
        <v>1.2067476309174474</v>
      </c>
      <c r="CS125" s="550">
        <f t="shared" si="96"/>
        <v>0.63917763995557497</v>
      </c>
      <c r="CU125" s="551">
        <f t="shared" si="97"/>
        <v>20024.796282168209</v>
      </c>
      <c r="CY125" s="546">
        <f t="shared" si="98"/>
        <v>177</v>
      </c>
      <c r="CZ125" s="551">
        <f t="shared" si="99"/>
        <v>74.370543149850093</v>
      </c>
      <c r="DA125" s="553">
        <f>CZ125/PI()*SQRT('Hilfstabellen_Mat&amp;Bem'!f.Rd.3/'Hilfstabellen_Mat&amp;Bem'!$BD$30)</f>
        <v>1.1836439562727739</v>
      </c>
      <c r="DB125" s="553">
        <f>0.5*(1+'Hilfstabellen_Mat&amp;Bem'!$BD$31*(DA125-0.3)+DA125^2)</f>
        <v>1.2446887054241709</v>
      </c>
      <c r="DC125" s="550">
        <f t="shared" si="100"/>
        <v>0.61360827221550818</v>
      </c>
      <c r="DE125" s="551">
        <f t="shared" si="101"/>
        <v>19223.733560239656</v>
      </c>
      <c r="DI125" s="546">
        <f t="shared" si="102"/>
        <v>177</v>
      </c>
      <c r="DJ125" s="551">
        <f t="shared" si="103"/>
        <v>76.327662706425102</v>
      </c>
      <c r="DK125" s="553">
        <f>DJ125/PI()*SQRT('Hilfstabellen_Mat&amp;Bem'!f.Rd.3/'Hilfstabellen_Mat&amp;Bem'!$BD$30)</f>
        <v>1.214792481437847</v>
      </c>
      <c r="DL125" s="553">
        <f>0.5*(1+'Hilfstabellen_Mat&amp;Bem'!$BD$31*(DK125-0.3)+DK125^2)</f>
        <v>1.2836000105508534</v>
      </c>
      <c r="DM125" s="550">
        <f t="shared" si="104"/>
        <v>0.58885249287632146</v>
      </c>
      <c r="DO125" s="551">
        <f t="shared" si="105"/>
        <v>18448.159749322276</v>
      </c>
      <c r="DS125" s="546">
        <f t="shared" si="106"/>
        <v>177</v>
      </c>
      <c r="DT125" s="551">
        <f t="shared" si="107"/>
        <v>78.28478226300011</v>
      </c>
      <c r="DU125" s="553">
        <f>DT125/PI()*SQRT('Hilfstabellen_Mat&amp;Bem'!f.Rd.3/'Hilfstabellen_Mat&amp;Bem'!$BD$30)</f>
        <v>1.2459410066029202</v>
      </c>
      <c r="DV125" s="553">
        <f>0.5*(1+'Hilfstabellen_Mat&amp;Bem'!$BD$31*(DU125-0.3)+DU125^2)</f>
        <v>1.3234815462974949</v>
      </c>
      <c r="DW125" s="550">
        <f t="shared" si="108"/>
        <v>0.56502334823503952</v>
      </c>
      <c r="DY125" s="551">
        <f t="shared" si="109"/>
        <v>17701.616476855554</v>
      </c>
      <c r="EC125" s="546">
        <f t="shared" si="110"/>
        <v>177</v>
      </c>
      <c r="ED125" s="551">
        <f t="shared" si="111"/>
        <v>80.241901819575105</v>
      </c>
      <c r="EE125" s="553">
        <f>ED125/PI()*SQRT('Hilfstabellen_Mat&amp;Bem'!f.Rd.3/'Hilfstabellen_Mat&amp;Bem'!$BD$30)</f>
        <v>1.2770895317679931</v>
      </c>
      <c r="EF125" s="553">
        <f>0.5*(1+'Hilfstabellen_Mat&amp;Bem'!$BD$31*(EE125-0.3)+EE125^2)</f>
        <v>1.3643333126640957</v>
      </c>
      <c r="EG125" s="550">
        <f t="shared" si="112"/>
        <v>0.54218673254406236</v>
      </c>
      <c r="EI125" s="551">
        <f t="shared" si="113"/>
        <v>16986.168143872928</v>
      </c>
      <c r="EM125" s="546">
        <f t="shared" si="114"/>
        <v>177</v>
      </c>
      <c r="EN125" s="551">
        <f t="shared" si="115"/>
        <v>82.1990213761501</v>
      </c>
      <c r="EO125" s="553">
        <f>EN125/PI()*SQRT('Hilfstabellen_Mat&amp;Bem'!f.Rd.3/'Hilfstabellen_Mat&amp;Bem'!$BD$30)</f>
        <v>1.3082380569330658</v>
      </c>
      <c r="EP125" s="553">
        <f>0.5*(1+'Hilfstabellen_Mat&amp;Bem'!$BD$31*(EO125-0.3)+EO125^2)</f>
        <v>1.4061553096506552</v>
      </c>
      <c r="EQ125" s="550">
        <f t="shared" si="116"/>
        <v>0.52037268827504302</v>
      </c>
      <c r="ES125" s="551">
        <f t="shared" si="117"/>
        <v>16302.755950968824</v>
      </c>
    </row>
    <row r="126" spans="3:149">
      <c r="C126" s="546">
        <v>178</v>
      </c>
      <c r="D126" s="551">
        <f t="shared" si="67"/>
        <v>54.491486080818603</v>
      </c>
      <c r="E126" s="553">
        <f>$D126/PI()*SQRT('Hilfstabellen_Mat&amp;Bem'!f.Rd.3/'Hilfstabellen_Mat&amp;Bem'!$BD$30)</f>
        <v>0.86725893661854914</v>
      </c>
      <c r="F126" s="553">
        <f>0.5*(1+'Hilfstabellen_Mat&amp;Bem'!$BD$31*($E126-0.3)+$E126^2)</f>
        <v>0.9044319784032957</v>
      </c>
      <c r="G126" s="550">
        <f t="shared" si="68"/>
        <v>0.86128019920920385</v>
      </c>
      <c r="I126" s="551">
        <f t="shared" si="69"/>
        <v>27288.801831744415</v>
      </c>
      <c r="M126" s="546">
        <f t="shared" si="70"/>
        <v>178</v>
      </c>
      <c r="N126" s="551">
        <f t="shared" si="59"/>
        <v>56.437610583704988</v>
      </c>
      <c r="O126" s="553">
        <f>$N126/PI()*SQRT('Hilfstabellen_Mat&amp;Bem'!f.Rd.3/'Hilfstabellen_Mat&amp;Bem'!$BD$30)</f>
        <v>0.89823247006921181</v>
      </c>
      <c r="P126" s="553">
        <f>0.5*(1+'Hilfstabellen_Mat&amp;Bem'!$BD$31*($O126-0.3)+$O126^2)</f>
        <v>0.93332240864677929</v>
      </c>
      <c r="Q126" s="550">
        <f t="shared" si="60"/>
        <v>0.84257638632779419</v>
      </c>
      <c r="S126" s="551">
        <f t="shared" si="71"/>
        <v>26696.190224409831</v>
      </c>
      <c r="W126" s="546">
        <f t="shared" si="72"/>
        <v>178</v>
      </c>
      <c r="X126" s="551">
        <f t="shared" si="61"/>
        <v>58.383735086591372</v>
      </c>
      <c r="Y126" s="553">
        <f>$X126/PI()*SQRT('Hilfstabellen_Mat&amp;Bem'!f.Rd.3/'Hilfstabellen_Mat&amp;Bem'!$BD$30)</f>
        <v>0.92920600351987437</v>
      </c>
      <c r="Z126" s="553">
        <f>0.5*(1+'Hilfstabellen_Mat&amp;Bem'!$BD$31*($Y126-0.3)+$Y126^2)</f>
        <v>0.96317219866468207</v>
      </c>
      <c r="AA126" s="550">
        <f t="shared" si="62"/>
        <v>0.82189456947131156</v>
      </c>
      <c r="AC126" s="551">
        <f t="shared" si="73"/>
        <v>26040.907539129035</v>
      </c>
      <c r="AG126" s="546">
        <f t="shared" si="74"/>
        <v>178</v>
      </c>
      <c r="AH126" s="551">
        <f t="shared" si="63"/>
        <v>60.329859589477749</v>
      </c>
      <c r="AI126" s="553">
        <f>$AH126/PI()*SQRT('Hilfstabellen_Mat&amp;Bem'!f.Rd.3/'Hilfstabellen_Mat&amp;Bem'!$BD$30)</f>
        <v>0.96017953697053682</v>
      </c>
      <c r="AJ126" s="553">
        <f>0.5*(1+'Hilfstabellen_Mat&amp;Bem'!$BD$31*($AI126-0.3)+$AI126^2)</f>
        <v>0.99398134845700414</v>
      </c>
      <c r="AK126" s="550">
        <f t="shared" si="64"/>
        <v>0.79936599282360743</v>
      </c>
      <c r="AM126" s="551">
        <f t="shared" si="75"/>
        <v>25327.112116623179</v>
      </c>
      <c r="AQ126" s="546">
        <f t="shared" si="76"/>
        <v>178</v>
      </c>
      <c r="AR126" s="551">
        <f t="shared" si="65"/>
        <v>62.275984092364126</v>
      </c>
      <c r="AS126" s="553">
        <f>$AR126/PI()*SQRT('Hilfstabellen_Mat&amp;Bem'!f.Rd.3/'Hilfstabellen_Mat&amp;Bem'!$BD$30)</f>
        <v>0.99115307042119927</v>
      </c>
      <c r="AT126" s="553">
        <f>0.5*(1+'Hilfstabellen_Mat&amp;Bem'!$BD$31*($AS126-0.3)+$AS126^2)</f>
        <v>1.0257498580237454</v>
      </c>
      <c r="AU126" s="550">
        <f t="shared" si="66"/>
        <v>0.77525040913405519</v>
      </c>
      <c r="AW126" s="551">
        <f t="shared" si="77"/>
        <v>24563.033963003403</v>
      </c>
      <c r="BA126" s="546">
        <f t="shared" si="78"/>
        <v>178</v>
      </c>
      <c r="BB126" s="551">
        <f t="shared" si="79"/>
        <v>64.222108595250504</v>
      </c>
      <c r="BC126" s="553">
        <f>$BB126/PI()*SQRT('Hilfstabellen_Mat&amp;Bem'!f.Rd.3/'Hilfstabellen_Mat&amp;Bem'!$BD$30)</f>
        <v>1.0221266038718617</v>
      </c>
      <c r="BD126" s="553">
        <f>0.5*(1+'Hilfstabellen_Mat&amp;Bem'!$BD$31*($BC126-0.3)+$BC126^2)</f>
        <v>1.058477727364906</v>
      </c>
      <c r="BE126" s="550">
        <f t="shared" si="80"/>
        <v>0.74991131801754318</v>
      </c>
      <c r="BG126" s="551">
        <f t="shared" si="81"/>
        <v>23760.190200067838</v>
      </c>
      <c r="BK126" s="546">
        <f t="shared" si="82"/>
        <v>178</v>
      </c>
      <c r="BL126" s="551">
        <f t="shared" si="83"/>
        <v>66.168233098136881</v>
      </c>
      <c r="BM126" s="553">
        <f>$BL126/PI()*SQRT('Hilfstabellen_Mat&amp;Bem'!f.Rd.3/'Hilfstabellen_Mat&amp;Bem'!$BD$30)</f>
        <v>1.0531001373225242</v>
      </c>
      <c r="BN126" s="553">
        <f>0.5*(1+'Hilfstabellen_Mat&amp;Bem'!$BD$31*($BM126-0.3)+$BM126^2)</f>
        <v>1.0921649564804858</v>
      </c>
      <c r="BO126" s="550">
        <f t="shared" si="84"/>
        <v>0.72376976557765182</v>
      </c>
      <c r="BQ126" s="551">
        <f t="shared" si="85"/>
        <v>22931.921252562319</v>
      </c>
      <c r="BU126" s="546">
        <f t="shared" si="86"/>
        <v>178</v>
      </c>
      <c r="BV126" s="551">
        <f t="shared" si="87"/>
        <v>68.114357601023272</v>
      </c>
      <c r="BW126" s="553">
        <f>$BV126/PI()*SQRT('Hilfstabellen_Mat&amp;Bem'!f.Rd.3/'Hilfstabellen_Mat&amp;Bem'!$BD$30)</f>
        <v>1.0840736707731868</v>
      </c>
      <c r="BX126" s="553">
        <f>0.5*(1+'Hilfstabellen_Mat&amp;Bem'!$BD$31*($BW126-0.3)+$BW126^2)</f>
        <v>1.1268115453704852</v>
      </c>
      <c r="BY126" s="550">
        <f t="shared" si="88"/>
        <v>0.69725213345267911</v>
      </c>
      <c r="CA126" s="551">
        <f t="shared" si="89"/>
        <v>22091.736596314684</v>
      </c>
      <c r="CE126" s="546">
        <f t="shared" si="90"/>
        <v>178</v>
      </c>
      <c r="CF126" s="551">
        <f t="shared" si="91"/>
        <v>70.060482103909649</v>
      </c>
      <c r="CG126" s="553">
        <f>CF126/PI()*SQRT('Hilfstabellen_Mat&amp;Bem'!f.Rd.3/'Hilfstabellen_Mat&amp;Bem'!$BD$30)</f>
        <v>1.1150472042238493</v>
      </c>
      <c r="CH126" s="553">
        <f>0.5*(1+'Hilfstabellen_Mat&amp;Bem'!$BD$31*(CG126-0.3)+CG126^2)</f>
        <v>1.1624174940349037</v>
      </c>
      <c r="CI126" s="550">
        <f t="shared" si="92"/>
        <v>0.67074716124598688</v>
      </c>
      <c r="CK126" s="551">
        <f t="shared" si="93"/>
        <v>21251.95305691785</v>
      </c>
      <c r="CO126" s="546">
        <f t="shared" si="94"/>
        <v>178</v>
      </c>
      <c r="CP126" s="551">
        <f t="shared" si="95"/>
        <v>72.006606606796026</v>
      </c>
      <c r="CQ126" s="553">
        <f>CP126/PI()*SQRT('Hilfstabellen_Mat&amp;Bem'!f.Rd.3/'Hilfstabellen_Mat&amp;Bem'!$BD$30)</f>
        <v>1.1460207376745117</v>
      </c>
      <c r="CR126" s="553">
        <f>0.5*(1+'Hilfstabellen_Mat&amp;Bem'!$BD$31*(CQ126-0.3)+CQ126^2)</f>
        <v>1.1989828024737417</v>
      </c>
      <c r="CS126" s="550">
        <f t="shared" si="96"/>
        <v>0.64458006347384578</v>
      </c>
      <c r="CU126" s="551">
        <f t="shared" si="97"/>
        <v>20422.87473110533</v>
      </c>
      <c r="CY126" s="546">
        <f t="shared" si="98"/>
        <v>178</v>
      </c>
      <c r="CZ126" s="551">
        <f t="shared" si="99"/>
        <v>73.952731109682404</v>
      </c>
      <c r="DA126" s="553">
        <f>CZ126/PI()*SQRT('Hilfstabellen_Mat&amp;Bem'!f.Rd.3/'Hilfstabellen_Mat&amp;Bem'!$BD$30)</f>
        <v>1.1769942711251742</v>
      </c>
      <c r="DB126" s="553">
        <f>0.5*(1+'Hilfstabellen_Mat&amp;Bem'!$BD$31*(DA126-0.3)+DA126^2)</f>
        <v>1.2365074706869987</v>
      </c>
      <c r="DC126" s="550">
        <f t="shared" si="100"/>
        <v>0.61900346845086263</v>
      </c>
      <c r="DE126" s="551">
        <f t="shared" si="101"/>
        <v>19612.505894397131</v>
      </c>
      <c r="DI126" s="546">
        <f t="shared" si="102"/>
        <v>178</v>
      </c>
      <c r="DJ126" s="551">
        <f t="shared" si="103"/>
        <v>75.898855612568781</v>
      </c>
      <c r="DK126" s="553">
        <f>DJ126/PI()*SQRT('Hilfstabellen_Mat&amp;Bem'!f.Rd.3/'Hilfstabellen_Mat&amp;Bem'!$BD$30)</f>
        <v>1.2079678045758366</v>
      </c>
      <c r="DL126" s="553">
        <f>0.5*(1+'Hilfstabellen_Mat&amp;Bem'!$BD$31*(DK126-0.3)+DK126^2)</f>
        <v>1.2749914986746751</v>
      </c>
      <c r="DM126" s="550">
        <f t="shared" si="104"/>
        <v>0.59420035790658721</v>
      </c>
      <c r="DO126" s="551">
        <f t="shared" si="105"/>
        <v>18826.64413991231</v>
      </c>
      <c r="DS126" s="546">
        <f t="shared" si="106"/>
        <v>178</v>
      </c>
      <c r="DT126" s="551">
        <f t="shared" si="107"/>
        <v>77.844980115455158</v>
      </c>
      <c r="DU126" s="553">
        <f>DT126/PI()*SQRT('Hilfstabellen_Mat&amp;Bem'!f.Rd.3/'Hilfstabellen_Mat&amp;Bem'!$BD$30)</f>
        <v>1.2389413380264991</v>
      </c>
      <c r="DV126" s="553">
        <f>0.5*(1+'Hilfstabellen_Mat&amp;Bem'!$BD$31*(DU126-0.3)+DU126^2)</f>
        <v>1.314434886436771</v>
      </c>
      <c r="DW126" s="550">
        <f t="shared" si="108"/>
        <v>0.57029345563495704</v>
      </c>
      <c r="DY126" s="551">
        <f t="shared" si="109"/>
        <v>18069.177848337979</v>
      </c>
      <c r="EC126" s="546">
        <f t="shared" si="110"/>
        <v>178</v>
      </c>
      <c r="ED126" s="551">
        <f t="shared" si="111"/>
        <v>79.791104618341535</v>
      </c>
      <c r="EE126" s="553">
        <f>ED126/PI()*SQRT('Hilfstabellen_Mat&amp;Bem'!f.Rd.3/'Hilfstabellen_Mat&amp;Bem'!$BD$30)</f>
        <v>1.2699148714771615</v>
      </c>
      <c r="EF126" s="553">
        <f>0.5*(1+'Hilfstabellen_Mat&amp;Bem'!$BD$31*(EE126-0.3)+EE126^2)</f>
        <v>1.3548376339732859</v>
      </c>
      <c r="EG126" s="550">
        <f t="shared" si="112"/>
        <v>0.54735681765237365</v>
      </c>
      <c r="EI126" s="551">
        <f t="shared" si="113"/>
        <v>17342.453410497808</v>
      </c>
      <c r="EM126" s="546">
        <f t="shared" si="114"/>
        <v>178</v>
      </c>
      <c r="EN126" s="551">
        <f t="shared" si="115"/>
        <v>81.737229121227912</v>
      </c>
      <c r="EO126" s="553">
        <f>EN126/PI()*SQRT('Hilfstabellen_Mat&amp;Bem'!f.Rd.3/'Hilfstabellen_Mat&amp;Bem'!$BD$30)</f>
        <v>1.300888404927824</v>
      </c>
      <c r="EP126" s="553">
        <f>0.5*(1+'Hilfstabellen_Mat&amp;Bem'!$BD$31*(EO126-0.3)+EO126^2)</f>
        <v>1.3961997412842204</v>
      </c>
      <c r="EQ126" s="550">
        <f t="shared" si="116"/>
        <v>0.52542709253028952</v>
      </c>
      <c r="ES126" s="551">
        <f t="shared" si="117"/>
        <v>16647.631999729692</v>
      </c>
    </row>
    <row r="127" spans="3:149">
      <c r="C127" s="546">
        <v>179</v>
      </c>
      <c r="D127" s="551">
        <f t="shared" si="67"/>
        <v>54.187064370869905</v>
      </c>
      <c r="E127" s="553">
        <f>$D127/PI()*SQRT('Hilfstabellen_Mat&amp;Bem'!f.Rd.3/'Hilfstabellen_Mat&amp;Bem'!$BD$30)</f>
        <v>0.86241391462626693</v>
      </c>
      <c r="F127" s="553">
        <f>0.5*(1+'Hilfstabellen_Mat&amp;Bem'!$BD$31*($E127-0.3)+$E127^2)</f>
        <v>0.89999957580181444</v>
      </c>
      <c r="G127" s="550">
        <f t="shared" si="68"/>
        <v>0.8640251102479789</v>
      </c>
      <c r="I127" s="551">
        <f t="shared" si="69"/>
        <v>27684.228557455492</v>
      </c>
      <c r="M127" s="546">
        <f t="shared" si="70"/>
        <v>179</v>
      </c>
      <c r="N127" s="551">
        <f t="shared" si="59"/>
        <v>56.122316669829537</v>
      </c>
      <c r="O127" s="553">
        <f>$N127/PI()*SQRT('Hilfstabellen_Mat&amp;Bem'!f.Rd.3/'Hilfstabellen_Mat&amp;Bem'!$BD$30)</f>
        <v>0.89321441157720494</v>
      </c>
      <c r="P127" s="553">
        <f>0.5*(1+'Hilfstabellen_Mat&amp;Bem'!$BD$31*($O127-0.3)+$O127^2)</f>
        <v>0.92857671310346657</v>
      </c>
      <c r="Q127" s="550">
        <f t="shared" si="60"/>
        <v>0.84574246243611384</v>
      </c>
      <c r="S127" s="551">
        <f t="shared" si="71"/>
        <v>27098.434238915524</v>
      </c>
      <c r="W127" s="546">
        <f t="shared" si="72"/>
        <v>179</v>
      </c>
      <c r="X127" s="551">
        <f t="shared" si="61"/>
        <v>58.057568968789177</v>
      </c>
      <c r="Y127" s="553">
        <f>$X127/PI()*SQRT('Hilfstabellen_Mat&amp;Bem'!f.Rd.3/'Hilfstabellen_Mat&amp;Bem'!$BD$30)</f>
        <v>0.92401490852814305</v>
      </c>
      <c r="Z127" s="553">
        <f>0.5*(1+'Hilfstabellen_Mat&amp;Bem'!$BD$31*($Y127-0.3)+$Y127^2)</f>
        <v>0.95810252101754345</v>
      </c>
      <c r="AA127" s="550">
        <f t="shared" si="62"/>
        <v>0.8254948304374673</v>
      </c>
      <c r="AC127" s="551">
        <f t="shared" si="73"/>
        <v>26449.679862046891</v>
      </c>
      <c r="AG127" s="546">
        <f t="shared" si="74"/>
        <v>179</v>
      </c>
      <c r="AH127" s="551">
        <f t="shared" si="63"/>
        <v>59.992821267748823</v>
      </c>
      <c r="AI127" s="553">
        <f>$AH127/PI()*SQRT('Hilfstabellen_Mat&amp;Bem'!f.Rd.3/'Hilfstabellen_Mat&amp;Bem'!$BD$30)</f>
        <v>0.95481540547908128</v>
      </c>
      <c r="AJ127" s="553">
        <f>0.5*(1+'Hilfstabellen_Mat&amp;Bem'!$BD$31*($AI127-0.3)+$AI127^2)</f>
        <v>0.98857699954404521</v>
      </c>
      <c r="AK127" s="550">
        <f t="shared" si="64"/>
        <v>0.80339002066090659</v>
      </c>
      <c r="AM127" s="551">
        <f t="shared" si="75"/>
        <v>25741.419651996108</v>
      </c>
      <c r="AQ127" s="546">
        <f t="shared" si="76"/>
        <v>179</v>
      </c>
      <c r="AR127" s="551">
        <f t="shared" si="65"/>
        <v>61.928073566708456</v>
      </c>
      <c r="AS127" s="553">
        <f>$AR127/PI()*SQRT('Hilfstabellen_Mat&amp;Bem'!f.Rd.3/'Hilfstabellen_Mat&amp;Bem'!$BD$30)</f>
        <v>0.98561590243001929</v>
      </c>
      <c r="AT127" s="553">
        <f>0.5*(1+'Hilfstabellen_Mat&amp;Bem'!$BD$31*($AS127-0.3)+$AS127^2)</f>
        <v>1.0200001486829717</v>
      </c>
      <c r="AU127" s="550">
        <f t="shared" si="66"/>
        <v>0.77966292981214969</v>
      </c>
      <c r="AW127" s="551">
        <f t="shared" si="77"/>
        <v>24981.179934111089</v>
      </c>
      <c r="BA127" s="546">
        <f t="shared" si="78"/>
        <v>179</v>
      </c>
      <c r="BB127" s="551">
        <f t="shared" si="79"/>
        <v>63.863325865668102</v>
      </c>
      <c r="BC127" s="553">
        <f>$BB127/PI()*SQRT('Hilfstabellen_Mat&amp;Bem'!f.Rd.3/'Hilfstabellen_Mat&amp;Bem'!$BD$30)</f>
        <v>1.0164163993809576</v>
      </c>
      <c r="BD127" s="553">
        <f>0.5*(1+'Hilfstabellen_Mat&amp;Bem'!$BD$31*($BC127-0.3)+$BC127^2)</f>
        <v>1.0523719684343229</v>
      </c>
      <c r="BE127" s="550">
        <f t="shared" si="80"/>
        <v>0.75465597063518797</v>
      </c>
      <c r="BG127" s="551">
        <f t="shared" si="81"/>
        <v>24179.931955122058</v>
      </c>
      <c r="BK127" s="546">
        <f t="shared" si="82"/>
        <v>179</v>
      </c>
      <c r="BL127" s="551">
        <f t="shared" si="83"/>
        <v>65.798578164627742</v>
      </c>
      <c r="BM127" s="553">
        <f>$BL127/PI()*SQRT('Hilfstabellen_Mat&amp;Bem'!f.Rd.3/'Hilfstabellen_Mat&amp;Bem'!$BD$30)</f>
        <v>1.0472168963318955</v>
      </c>
      <c r="BN127" s="553">
        <f>0.5*(1+'Hilfstabellen_Mat&amp;Bem'!$BD$31*($BM127-0.3)+$BM127^2)</f>
        <v>1.0856924587980987</v>
      </c>
      <c r="BO127" s="550">
        <f t="shared" si="84"/>
        <v>0.72877684025336897</v>
      </c>
      <c r="BQ127" s="551">
        <f t="shared" si="85"/>
        <v>23350.738738558197</v>
      </c>
      <c r="BU127" s="546">
        <f t="shared" si="86"/>
        <v>179</v>
      </c>
      <c r="BV127" s="551">
        <f t="shared" si="87"/>
        <v>67.733830463587381</v>
      </c>
      <c r="BW127" s="553">
        <f>$BV127/PI()*SQRT('Hilfstabellen_Mat&amp;Bem'!f.Rd.3/'Hilfstabellen_Mat&amp;Bem'!$BD$30)</f>
        <v>1.0780173932828336</v>
      </c>
      <c r="BX127" s="553">
        <f>0.5*(1+'Hilfstabellen_Mat&amp;Bem'!$BD$31*($BW127-0.3)+$BW127^2)</f>
        <v>1.1199616197742994</v>
      </c>
      <c r="BY127" s="550">
        <f t="shared" si="88"/>
        <v>0.70244754284990296</v>
      </c>
      <c r="CA127" s="551">
        <f t="shared" si="89"/>
        <v>22507.121720453742</v>
      </c>
      <c r="CE127" s="546">
        <f t="shared" si="90"/>
        <v>179</v>
      </c>
      <c r="CF127" s="551">
        <f t="shared" si="91"/>
        <v>69.669082762547021</v>
      </c>
      <c r="CG127" s="553">
        <f>CF127/PI()*SQRT('Hilfstabellen_Mat&amp;Bem'!f.Rd.3/'Hilfstabellen_Mat&amp;Bem'!$BD$30)</f>
        <v>1.108817890233772</v>
      </c>
      <c r="CH127" s="553">
        <f>0.5*(1+'Hilfstabellen_Mat&amp;Bem'!$BD$31*(CG127-0.3)+CG127^2)</f>
        <v>1.1551794513629252</v>
      </c>
      <c r="CI127" s="550">
        <f t="shared" si="92"/>
        <v>0.67606005146017412</v>
      </c>
      <c r="CK127" s="551">
        <f t="shared" si="93"/>
        <v>21661.64010883544</v>
      </c>
      <c r="CO127" s="546">
        <f t="shared" si="94"/>
        <v>179</v>
      </c>
      <c r="CP127" s="551">
        <f t="shared" si="95"/>
        <v>71.604335061506646</v>
      </c>
      <c r="CQ127" s="553">
        <f>CP127/PI()*SQRT('Hilfstabellen_Mat&amp;Bem'!f.Rd.3/'Hilfstabellen_Mat&amp;Bem'!$BD$30)</f>
        <v>1.1396183871847096</v>
      </c>
      <c r="CR127" s="553">
        <f>0.5*(1+'Hilfstabellen_Mat&amp;Bem'!$BD$31*(CQ127-0.3)+CQ127^2)</f>
        <v>1.191345953563975</v>
      </c>
      <c r="CS127" s="550">
        <f t="shared" si="96"/>
        <v>0.64994774600808725</v>
      </c>
      <c r="CU127" s="551">
        <f t="shared" si="97"/>
        <v>20824.975729845122</v>
      </c>
      <c r="CY127" s="546">
        <f t="shared" si="98"/>
        <v>179</v>
      </c>
      <c r="CZ127" s="551">
        <f t="shared" si="99"/>
        <v>73.5395873604663</v>
      </c>
      <c r="DA127" s="553">
        <f>CZ127/PI()*SQRT('Hilfstabellen_Mat&amp;Bem'!f.Rd.3/'Hilfstabellen_Mat&amp;Bem'!$BD$30)</f>
        <v>1.170418884135648</v>
      </c>
      <c r="DB127" s="553">
        <f>0.5*(1+'Hilfstabellen_Mat&amp;Bem'!$BD$31*(DA127-0.3)+DA127^2)</f>
        <v>1.2284611263774501</v>
      </c>
      <c r="DC127" s="550">
        <f t="shared" si="100"/>
        <v>0.62437366248575243</v>
      </c>
      <c r="DE127" s="551">
        <f t="shared" si="101"/>
        <v>20005.556519705995</v>
      </c>
      <c r="DI127" s="546">
        <f t="shared" si="102"/>
        <v>179</v>
      </c>
      <c r="DJ127" s="551">
        <f t="shared" si="103"/>
        <v>75.474839659425939</v>
      </c>
      <c r="DK127" s="553">
        <f>DJ127/PI()*SQRT('Hilfstabellen_Mat&amp;Bem'!f.Rd.3/'Hilfstabellen_Mat&amp;Bem'!$BD$30)</f>
        <v>1.2012193810865863</v>
      </c>
      <c r="DL127" s="553">
        <f>0.5*(1+'Hilfstabellen_Mat&amp;Bem'!$BD$31*(DK127-0.3)+DK127^2)</f>
        <v>1.2665249698033501</v>
      </c>
      <c r="DM127" s="550">
        <f t="shared" si="104"/>
        <v>0.5995314417864982</v>
      </c>
      <c r="DO127" s="551">
        <f t="shared" si="105"/>
        <v>19209.58692628119</v>
      </c>
      <c r="DS127" s="546">
        <f t="shared" si="106"/>
        <v>179</v>
      </c>
      <c r="DT127" s="551">
        <f t="shared" si="107"/>
        <v>77.410091958385564</v>
      </c>
      <c r="DU127" s="553">
        <f>DT127/PI()*SQRT('Hilfstabellen_Mat&amp;Bem'!f.Rd.3/'Hilfstabellen_Mat&amp;Bem'!$BD$30)</f>
        <v>1.232019878037524</v>
      </c>
      <c r="DV127" s="553">
        <f>0.5*(1+'Hilfstabellen_Mat&amp;Bem'!$BD$31*(DU127-0.3)+DU127^2)</f>
        <v>1.305537483841674</v>
      </c>
      <c r="DW127" s="550">
        <f t="shared" si="108"/>
        <v>0.57555355403502528</v>
      </c>
      <c r="DY127" s="551">
        <f t="shared" si="109"/>
        <v>18441.311424836244</v>
      </c>
      <c r="EC127" s="546">
        <f t="shared" si="110"/>
        <v>179</v>
      </c>
      <c r="ED127" s="551">
        <f t="shared" si="111"/>
        <v>79.345344257345218</v>
      </c>
      <c r="EE127" s="553">
        <f>ED127/PI()*SQRT('Hilfstabellen_Mat&amp;Bem'!f.Rd.3/'Hilfstabellen_Mat&amp;Bem'!$BD$30)</f>
        <v>1.2628203749884623</v>
      </c>
      <c r="EF127" s="553">
        <f>0.5*(1+'Hilfstabellen_Mat&amp;Bem'!$BD$31*(EE127-0.3)+EE127^2)</f>
        <v>1.3454986684924233</v>
      </c>
      <c r="EG127" s="550">
        <f t="shared" si="112"/>
        <v>0.55252237664373305</v>
      </c>
      <c r="EI127" s="551">
        <f t="shared" si="113"/>
        <v>17703.369470041849</v>
      </c>
      <c r="EM127" s="546">
        <f t="shared" si="114"/>
        <v>179</v>
      </c>
      <c r="EN127" s="551">
        <f t="shared" si="115"/>
        <v>81.280596556304843</v>
      </c>
      <c r="EO127" s="553">
        <f>EN127/PI()*SQRT('Hilfstabellen_Mat&amp;Bem'!f.Rd.3/'Hilfstabellen_Mat&amp;Bem'!$BD$30)</f>
        <v>1.2936208719394002</v>
      </c>
      <c r="EP127" s="553">
        <f>0.5*(1+'Hilfstabellen_Mat&amp;Bem'!$BD$31*(EO127-0.3)+EO127^2)</f>
        <v>1.386408523755597</v>
      </c>
      <c r="EQ127" s="550">
        <f t="shared" si="116"/>
        <v>0.5304813540307991</v>
      </c>
      <c r="ES127" s="551">
        <f t="shared" si="117"/>
        <v>16997.153064500835</v>
      </c>
    </row>
    <row r="128" spans="3:149">
      <c r="C128" s="546">
        <v>180</v>
      </c>
      <c r="D128" s="551">
        <f t="shared" si="67"/>
        <v>53.886025124365069</v>
      </c>
      <c r="E128" s="553">
        <f>$D128/PI()*SQRT('Hilfstabellen_Mat&amp;Bem'!f.Rd.3/'Hilfstabellen_Mat&amp;Bem'!$BD$30)</f>
        <v>0.85762272621167657</v>
      </c>
      <c r="F128" s="553">
        <f>0.5*(1+'Hilfstabellen_Mat&amp;Bem'!$BD$31*($E128-0.3)+$E128^2)</f>
        <v>0.8956395065679581</v>
      </c>
      <c r="G128" s="550">
        <f t="shared" si="68"/>
        <v>0.86669181327531264</v>
      </c>
      <c r="I128" s="551">
        <f t="shared" si="69"/>
        <v>28080.814750120131</v>
      </c>
      <c r="M128" s="546">
        <f t="shared" si="70"/>
        <v>180</v>
      </c>
      <c r="N128" s="551">
        <f t="shared" si="59"/>
        <v>55.810526021663819</v>
      </c>
      <c r="O128" s="553">
        <f>$N128/PI()*SQRT('Hilfstabellen_Mat&amp;Bem'!f.Rd.3/'Hilfstabellen_Mat&amp;Bem'!$BD$30)</f>
        <v>0.888252109290665</v>
      </c>
      <c r="P128" s="553">
        <f>0.5*(1+'Hilfstabellen_Mat&amp;Bem'!$BD$31*($O128-0.3)+$O128^2)</f>
        <v>0.92390851029419108</v>
      </c>
      <c r="Q128" s="550">
        <f t="shared" si="60"/>
        <v>0.84882180979614574</v>
      </c>
      <c r="S128" s="551">
        <f t="shared" si="71"/>
        <v>27501.826637395123</v>
      </c>
      <c r="W128" s="546">
        <f t="shared" si="72"/>
        <v>180</v>
      </c>
      <c r="X128" s="551">
        <f t="shared" si="61"/>
        <v>57.735026918962575</v>
      </c>
      <c r="Y128" s="553">
        <f>$X128/PI()*SQRT('Hilfstabellen_Mat&amp;Bem'!f.Rd.3/'Hilfstabellen_Mat&amp;Bem'!$BD$30)</f>
        <v>0.91888149236965355</v>
      </c>
      <c r="Z128" s="553">
        <f>0.5*(1+'Hilfstabellen_Mat&amp;Bem'!$BD$31*($Y128-0.3)+$Y128^2)</f>
        <v>0.95311567312822354</v>
      </c>
      <c r="AA128" s="550">
        <f t="shared" si="62"/>
        <v>0.8290029172295762</v>
      </c>
      <c r="AC128" s="551">
        <f t="shared" si="73"/>
        <v>26859.69451823827</v>
      </c>
      <c r="AG128" s="546">
        <f t="shared" si="74"/>
        <v>180</v>
      </c>
      <c r="AH128" s="551">
        <f t="shared" si="63"/>
        <v>59.659527816261324</v>
      </c>
      <c r="AI128" s="553">
        <f>$AH128/PI()*SQRT('Hilfstabellen_Mat&amp;Bem'!f.Rd.3/'Hilfstabellen_Mat&amp;Bem'!$BD$30)</f>
        <v>0.94951087544864188</v>
      </c>
      <c r="AJ128" s="553">
        <f>0.5*(1+'Hilfstabellen_Mat&amp;Bem'!$BD$31*($AI128-0.3)+$AI128^2)</f>
        <v>0.98326099507005527</v>
      </c>
      <c r="AK128" s="550">
        <f t="shared" si="64"/>
        <v>0.80732068778157773</v>
      </c>
      <c r="AM128" s="551">
        <f t="shared" si="75"/>
        <v>26157.190284123117</v>
      </c>
      <c r="AQ128" s="546">
        <f t="shared" si="76"/>
        <v>180</v>
      </c>
      <c r="AR128" s="551">
        <f t="shared" si="65"/>
        <v>61.58402871356008</v>
      </c>
      <c r="AS128" s="553">
        <f>$AR128/PI()*SQRT('Hilfstabellen_Mat&amp;Bem'!f.Rd.3/'Hilfstabellen_Mat&amp;Bem'!$BD$30)</f>
        <v>0.98014025852763043</v>
      </c>
      <c r="AT128" s="553">
        <f>0.5*(1+'Hilfstabellen_Mat&amp;Bem'!$BD$31*($AS128-0.3)+$AS128^2)</f>
        <v>1.0143444761196867</v>
      </c>
      <c r="AU128" s="550">
        <f t="shared" si="66"/>
        <v>0.78398558285962561</v>
      </c>
      <c r="AW128" s="551">
        <f t="shared" si="77"/>
        <v>25401.13288465187</v>
      </c>
      <c r="BA128" s="546">
        <f t="shared" si="78"/>
        <v>180</v>
      </c>
      <c r="BB128" s="551">
        <f t="shared" si="79"/>
        <v>63.50852961085883</v>
      </c>
      <c r="BC128" s="553">
        <f>$BB128/PI()*SQRT('Hilfstabellen_Mat&amp;Bem'!f.Rd.3/'Hilfstabellen_Mat&amp;Bem'!$BD$30)</f>
        <v>1.0107696416066188</v>
      </c>
      <c r="BD128" s="553">
        <f>0.5*(1+'Hilfstabellen_Mat&amp;Bem'!$BD$31*($BC128-0.3)+$BC128^2)</f>
        <v>1.0463661162771172</v>
      </c>
      <c r="BE128" s="550">
        <f t="shared" si="80"/>
        <v>0.75931839937312084</v>
      </c>
      <c r="BG128" s="551">
        <f t="shared" si="81"/>
        <v>24601.916139689114</v>
      </c>
      <c r="BK128" s="546">
        <f t="shared" si="82"/>
        <v>180</v>
      </c>
      <c r="BL128" s="551">
        <f t="shared" si="83"/>
        <v>65.433030508157586</v>
      </c>
      <c r="BM128" s="553">
        <f>$BL128/PI()*SQRT('Hilfstabellen_Mat&amp;Bem'!f.Rd.3/'Hilfstabellen_Mat&amp;Bem'!$BD$30)</f>
        <v>1.0413990246856073</v>
      </c>
      <c r="BN128" s="553">
        <f>0.5*(1+'Hilfstabellen_Mat&amp;Bem'!$BD$31*($BM128-0.3)+$BM128^2)</f>
        <v>1.0793259155423476</v>
      </c>
      <c r="BO128" s="550">
        <f t="shared" si="84"/>
        <v>0.73371223269439967</v>
      </c>
      <c r="BQ128" s="551">
        <f t="shared" si="85"/>
        <v>23772.276339298551</v>
      </c>
      <c r="BU128" s="546">
        <f t="shared" si="86"/>
        <v>180</v>
      </c>
      <c r="BV128" s="551">
        <f t="shared" si="87"/>
        <v>67.357531405456328</v>
      </c>
      <c r="BW128" s="553">
        <f>$BV128/PI()*SQRT('Hilfstabellen_Mat&amp;Bem'!f.Rd.3/'Hilfstabellen_Mat&amp;Bem'!$BD$30)</f>
        <v>1.0720284077645956</v>
      </c>
      <c r="BX128" s="553">
        <f>0.5*(1+'Hilfstabellen_Mat&amp;Bem'!$BD$31*($BW128-0.3)+$BW128^2)</f>
        <v>1.1132238739153768</v>
      </c>
      <c r="BY128" s="550">
        <f t="shared" si="88"/>
        <v>0.70758320870488756</v>
      </c>
      <c r="CA128" s="551">
        <f t="shared" si="89"/>
        <v>22925.695962038357</v>
      </c>
      <c r="CE128" s="546">
        <f t="shared" si="90"/>
        <v>180</v>
      </c>
      <c r="CF128" s="551">
        <f t="shared" si="91"/>
        <v>69.282032302755084</v>
      </c>
      <c r="CG128" s="553">
        <f>CF128/PI()*SQRT('Hilfstabellen_Mat&amp;Bem'!f.Rd.3/'Hilfstabellen_Mat&amp;Bem'!$BD$30)</f>
        <v>1.102657790843584</v>
      </c>
      <c r="CH128" s="553">
        <f>0.5*(1+'Hilfstabellen_Mat&amp;Bem'!$BD$31*(CG128-0.3)+CG128^2)</f>
        <v>1.1480599913962055</v>
      </c>
      <c r="CI128" s="550">
        <f t="shared" si="92"/>
        <v>0.68132521956793579</v>
      </c>
      <c r="CK128" s="551">
        <f t="shared" si="93"/>
        <v>22074.937114001121</v>
      </c>
      <c r="CO128" s="546">
        <f t="shared" si="94"/>
        <v>180</v>
      </c>
      <c r="CP128" s="551">
        <f t="shared" si="95"/>
        <v>71.20653320005384</v>
      </c>
      <c r="CQ128" s="553">
        <f>CP128/PI()*SQRT('Hilfstabellen_Mat&amp;Bem'!f.Rd.3/'Hilfstabellen_Mat&amp;Bem'!$BD$30)</f>
        <v>1.1332871739225725</v>
      </c>
      <c r="CR128" s="553">
        <f>0.5*(1+'Hilfstabellen_Mat&amp;Bem'!$BD$31*(CQ128-0.3)+CQ128^2)</f>
        <v>1.1838342679848342</v>
      </c>
      <c r="CS128" s="550">
        <f t="shared" si="96"/>
        <v>0.65527890272442257</v>
      </c>
      <c r="CU128" s="551">
        <f t="shared" si="97"/>
        <v>21231.03644827129</v>
      </c>
      <c r="CY128" s="546">
        <f t="shared" si="98"/>
        <v>180</v>
      </c>
      <c r="CZ128" s="551">
        <f t="shared" si="99"/>
        <v>73.131034097352597</v>
      </c>
      <c r="DA128" s="553">
        <f>CZ128/PI()*SQRT('Hilfstabellen_Mat&amp;Bem'!f.Rd.3/'Hilfstabellen_Mat&amp;Bem'!$BD$30)</f>
        <v>1.163916557001561</v>
      </c>
      <c r="DB128" s="553">
        <f>0.5*(1+'Hilfstabellen_Mat&amp;Bem'!$BD$31*(DA128-0.3)+DA128^2)</f>
        <v>1.2205467036812621</v>
      </c>
      <c r="DC128" s="550">
        <f t="shared" si="100"/>
        <v>0.62971721359255517</v>
      </c>
      <c r="DE128" s="551">
        <f t="shared" si="101"/>
        <v>20402.837720398787</v>
      </c>
      <c r="DI128" s="546">
        <f t="shared" si="102"/>
        <v>180</v>
      </c>
      <c r="DJ128" s="551">
        <f t="shared" si="103"/>
        <v>75.055534994651353</v>
      </c>
      <c r="DK128" s="553">
        <f>DJ128/PI()*SQRT('Hilfstabellen_Mat&amp;Bem'!f.Rd.3/'Hilfstabellen_Mat&amp;Bem'!$BD$30)</f>
        <v>1.1945459400805496</v>
      </c>
      <c r="DL128" s="553">
        <f>0.5*(1+'Hilfstabellen_Mat&amp;Bem'!$BD$31*(DK128-0.3)+DK128^2)</f>
        <v>1.2581972984854894</v>
      </c>
      <c r="DM128" s="550">
        <f t="shared" si="104"/>
        <v>0.60484428662769774</v>
      </c>
      <c r="DO128" s="551">
        <f t="shared" si="105"/>
        <v>19596.954886737407</v>
      </c>
      <c r="DS128" s="546">
        <f t="shared" si="106"/>
        <v>180</v>
      </c>
      <c r="DT128" s="551">
        <f t="shared" si="107"/>
        <v>76.980035891950095</v>
      </c>
      <c r="DU128" s="553">
        <f>DT128/PI()*SQRT('Hilfstabellen_Mat&amp;Bem'!f.Rd.3/'Hilfstabellen_Mat&amp;Bem'!$BD$30)</f>
        <v>1.2251753231595379</v>
      </c>
      <c r="DV128" s="553">
        <f>0.5*(1+'Hilfstabellen_Mat&amp;Bem'!$BD$31*(DU128-0.3)+DU128^2)</f>
        <v>1.2967860523975161</v>
      </c>
      <c r="DW128" s="550">
        <f t="shared" si="108"/>
        <v>0.58080237549328984</v>
      </c>
      <c r="DY128" s="551">
        <f t="shared" si="109"/>
        <v>18817.996965982591</v>
      </c>
      <c r="EC128" s="546">
        <f t="shared" si="110"/>
        <v>180</v>
      </c>
      <c r="ED128" s="551">
        <f t="shared" si="111"/>
        <v>78.904536789248851</v>
      </c>
      <c r="EE128" s="553">
        <f>ED128/PI()*SQRT('Hilfstabellen_Mat&amp;Bem'!f.Rd.3/'Hilfstabellen_Mat&amp;Bem'!$BD$30)</f>
        <v>1.2558047062385265</v>
      </c>
      <c r="EF128" s="553">
        <f>0.5*(1+'Hilfstabellen_Mat&amp;Bem'!$BD$31*(EE128-0.3)+EE128^2)</f>
        <v>1.336312965417342</v>
      </c>
      <c r="EG128" s="550">
        <f t="shared" si="112"/>
        <v>0.55768232100101989</v>
      </c>
      <c r="EI128" s="551">
        <f t="shared" si="113"/>
        <v>18068.907200433045</v>
      </c>
      <c r="EM128" s="546">
        <f t="shared" si="114"/>
        <v>180</v>
      </c>
      <c r="EN128" s="551">
        <f t="shared" si="115"/>
        <v>80.829037686547593</v>
      </c>
      <c r="EO128" s="553">
        <f>EN128/PI()*SQRT('Hilfstabellen_Mat&amp;Bem'!f.Rd.3/'Hilfstabellen_Mat&amp;Bem'!$BD$30)</f>
        <v>1.2864340893175148</v>
      </c>
      <c r="EP128" s="553">
        <f>0.5*(1+'Hilfstabellen_Mat&amp;Bem'!$BD$31*(EO128-0.3)+EO128^2)</f>
        <v>1.3767780375449674</v>
      </c>
      <c r="EQ128" s="550">
        <f t="shared" si="116"/>
        <v>0.53553454499937725</v>
      </c>
      <c r="ES128" s="551">
        <f t="shared" si="117"/>
        <v>17351.319257979823</v>
      </c>
    </row>
    <row r="129" spans="3:149">
      <c r="C129" s="546">
        <v>181</v>
      </c>
      <c r="D129" s="551">
        <f t="shared" si="67"/>
        <v>53.588312278374097</v>
      </c>
      <c r="E129" s="553">
        <f>$D129/PI()*SQRT('Hilfstabellen_Mat&amp;Bem'!f.Rd.3/'Hilfstabellen_Mat&amp;Bem'!$BD$30)</f>
        <v>0.85288447910553455</v>
      </c>
      <c r="F129" s="553">
        <f>0.5*(1+'Hilfstabellen_Mat&amp;Bem'!$BD$31*($E129-0.3)+$E129^2)</f>
        <v>0.89135019130483628</v>
      </c>
      <c r="G129" s="550">
        <f t="shared" si="68"/>
        <v>0.86928266422091249</v>
      </c>
      <c r="I129" s="551">
        <f t="shared" si="69"/>
        <v>28478.569362541315</v>
      </c>
      <c r="M129" s="546">
        <f t="shared" si="70"/>
        <v>181</v>
      </c>
      <c r="N129" s="551">
        <f t="shared" si="59"/>
        <v>55.502180574030326</v>
      </c>
      <c r="O129" s="553">
        <f>$N129/PI()*SQRT('Hilfstabellen_Mat&amp;Bem'!f.Rd.3/'Hilfstabellen_Mat&amp;Bem'!$BD$30)</f>
        <v>0.88334463907358962</v>
      </c>
      <c r="P129" s="553">
        <f>0.5*(1+'Hilfstabellen_Mat&amp;Bem'!$BD$31*($O129-0.3)+$O129^2)</f>
        <v>0.91931610764370464</v>
      </c>
      <c r="Q129" s="550">
        <f t="shared" si="60"/>
        <v>0.85181657884822781</v>
      </c>
      <c r="S129" s="551">
        <f t="shared" si="71"/>
        <v>27906.362939646791</v>
      </c>
      <c r="W129" s="546">
        <f t="shared" si="72"/>
        <v>181</v>
      </c>
      <c r="X129" s="551">
        <f t="shared" si="61"/>
        <v>57.416048869686541</v>
      </c>
      <c r="Y129" s="553">
        <f>$X129/PI()*SQRT('Hilfstabellen_Mat&amp;Bem'!f.Rd.3/'Hilfstabellen_Mat&amp;Bem'!$BD$30)</f>
        <v>0.91380479904164447</v>
      </c>
      <c r="Z129" s="553">
        <f>0.5*(1+'Hilfstabellen_Mat&amp;Bem'!$BD$31*($Y129-0.3)+$Y129^2)</f>
        <v>0.94820984532785224</v>
      </c>
      <c r="AA129" s="550">
        <f t="shared" si="62"/>
        <v>0.8324204804941141</v>
      </c>
      <c r="AC129" s="551">
        <f t="shared" si="73"/>
        <v>27270.927361467671</v>
      </c>
      <c r="AG129" s="546">
        <f t="shared" si="74"/>
        <v>181</v>
      </c>
      <c r="AH129" s="551">
        <f t="shared" si="63"/>
        <v>59.329917165342756</v>
      </c>
      <c r="AI129" s="553">
        <f>$AH129/PI()*SQRT('Hilfstabellen_Mat&amp;Bem'!f.Rd.3/'Hilfstabellen_Mat&amp;Bem'!$BD$30)</f>
        <v>0.9442649590096992</v>
      </c>
      <c r="AJ129" s="553">
        <f>0.5*(1+'Hilfstabellen_Mat&amp;Bem'!$BD$31*($AI129-0.3)+$AI129^2)</f>
        <v>0.97803140435727942</v>
      </c>
      <c r="AK129" s="550">
        <f t="shared" si="64"/>
        <v>0.81115890032138283</v>
      </c>
      <c r="AM129" s="551">
        <f t="shared" si="75"/>
        <v>26574.376733428824</v>
      </c>
      <c r="AQ129" s="546">
        <f t="shared" si="76"/>
        <v>181</v>
      </c>
      <c r="AR129" s="551">
        <f t="shared" si="65"/>
        <v>61.243785460998978</v>
      </c>
      <c r="AS129" s="553">
        <f>$AR129/PI()*SQRT('Hilfstabellen_Mat&amp;Bem'!f.Rd.3/'Hilfstabellen_Mat&amp;Bem'!$BD$30)</f>
        <v>0.97472511897775405</v>
      </c>
      <c r="AT129" s="553">
        <f>0.5*(1+'Hilfstabellen_Mat&amp;Bem'!$BD$31*($AS129-0.3)+$AS129^2)</f>
        <v>1.0087807847319861</v>
      </c>
      <c r="AU129" s="550">
        <f t="shared" si="66"/>
        <v>0.78821842314007673</v>
      </c>
      <c r="AW129" s="551">
        <f t="shared" si="77"/>
        <v>25822.823760492054</v>
      </c>
      <c r="BA129" s="546">
        <f t="shared" si="78"/>
        <v>181</v>
      </c>
      <c r="BB129" s="551">
        <f t="shared" si="79"/>
        <v>63.157653756655193</v>
      </c>
      <c r="BC129" s="553">
        <f>$BB129/PI()*SQRT('Hilfstabellen_Mat&amp;Bem'!f.Rd.3/'Hilfstabellen_Mat&amp;Bem'!$BD$30)</f>
        <v>1.0051852789458087</v>
      </c>
      <c r="BD129" s="553">
        <f>0.5*(1+'Hilfstabellen_Mat&amp;Bem'!$BD$31*($BC129-0.3)+$BC129^2)</f>
        <v>1.0404579864519721</v>
      </c>
      <c r="BE129" s="550">
        <f t="shared" si="80"/>
        <v>0.76389787193832193</v>
      </c>
      <c r="BG129" s="551">
        <f t="shared" si="81"/>
        <v>25026.058182571363</v>
      </c>
      <c r="BK129" s="546">
        <f t="shared" si="82"/>
        <v>181</v>
      </c>
      <c r="BL129" s="551">
        <f t="shared" si="83"/>
        <v>65.071522052311408</v>
      </c>
      <c r="BM129" s="553">
        <f>$BL129/PI()*SQRT('Hilfstabellen_Mat&amp;Bem'!f.Rd.3/'Hilfstabellen_Mat&amp;Bem'!$BD$30)</f>
        <v>1.0356454389138636</v>
      </c>
      <c r="BN129" s="553">
        <f>0.5*(1+'Hilfstabellen_Mat&amp;Bem'!$BD$31*($BM129-0.3)+$BM129^2)</f>
        <v>1.0730630095172378</v>
      </c>
      <c r="BO129" s="550">
        <f t="shared" si="84"/>
        <v>0.73857461747253561</v>
      </c>
      <c r="BQ129" s="551">
        <f t="shared" si="85"/>
        <v>24196.443043017738</v>
      </c>
      <c r="BU129" s="546">
        <f t="shared" si="86"/>
        <v>181</v>
      </c>
      <c r="BV129" s="551">
        <f t="shared" si="87"/>
        <v>66.985390347967623</v>
      </c>
      <c r="BW129" s="553">
        <f>$BV129/PI()*SQRT('Hilfstabellen_Mat&amp;Bem'!f.Rd.3/'Hilfstabellen_Mat&amp;Bem'!$BD$30)</f>
        <v>1.0661055988819184</v>
      </c>
      <c r="BX129" s="553">
        <f>0.5*(1+'Hilfstabellen_Mat&amp;Bem'!$BD$31*($BW129-0.3)+$BW129^2)</f>
        <v>1.1065958539277827</v>
      </c>
      <c r="BY129" s="550">
        <f t="shared" si="88"/>
        <v>0.71265745529787217</v>
      </c>
      <c r="CA129" s="551">
        <f t="shared" si="89"/>
        <v>23347.370893013591</v>
      </c>
      <c r="CE129" s="546">
        <f t="shared" si="90"/>
        <v>181</v>
      </c>
      <c r="CF129" s="551">
        <f t="shared" si="91"/>
        <v>68.899258643623853</v>
      </c>
      <c r="CG129" s="553">
        <f>CF129/PI()*SQRT('Hilfstabellen_Mat&amp;Bem'!f.Rd.3/'Hilfstabellen_Mat&amp;Bem'!$BD$30)</f>
        <v>1.0965657588499733</v>
      </c>
      <c r="CH129" s="553">
        <f>0.5*(1+'Hilfstabellen_Mat&amp;Bem'!$BD$31*(CG129-0.3)+CG129^2)</f>
        <v>1.1410565196836076</v>
      </c>
      <c r="CI129" s="550">
        <f t="shared" si="92"/>
        <v>0.68654085956520627</v>
      </c>
      <c r="CK129" s="551">
        <f t="shared" si="93"/>
        <v>22491.765100215722</v>
      </c>
      <c r="CO129" s="546">
        <f t="shared" si="94"/>
        <v>181</v>
      </c>
      <c r="CP129" s="551">
        <f t="shared" si="95"/>
        <v>70.813126939280068</v>
      </c>
      <c r="CQ129" s="553">
        <f>CP129/PI()*SQRT('Hilfstabellen_Mat&amp;Bem'!f.Rd.3/'Hilfstabellen_Mat&amp;Bem'!$BD$30)</f>
        <v>1.127025918818028</v>
      </c>
      <c r="CR129" s="553">
        <f>0.5*(1+'Hilfstabellen_Mat&amp;Bem'!$BD$31*(CQ129-0.3)+CQ129^2)</f>
        <v>1.1764450067847116</v>
      </c>
      <c r="CS129" s="550">
        <f t="shared" si="96"/>
        <v>0.66057175805714008</v>
      </c>
      <c r="CU129" s="551">
        <f t="shared" si="97"/>
        <v>21640.991365709968</v>
      </c>
      <c r="CY129" s="546">
        <f t="shared" si="98"/>
        <v>181</v>
      </c>
      <c r="CZ129" s="551">
        <f t="shared" si="99"/>
        <v>72.726995234936282</v>
      </c>
      <c r="DA129" s="553">
        <f>CZ129/PI()*SQRT('Hilfstabellen_Mat&amp;Bem'!f.Rd.3/'Hilfstabellen_Mat&amp;Bem'!$BD$30)</f>
        <v>1.1574860787860828</v>
      </c>
      <c r="DB129" s="553">
        <f>0.5*(1+'Hilfstabellen_Mat&amp;Bem'!$BD$31*(DA129-0.3)+DA129^2)</f>
        <v>1.212761315231095</v>
      </c>
      <c r="DC129" s="550">
        <f t="shared" si="100"/>
        <v>0.63503247377509953</v>
      </c>
      <c r="DE129" s="551">
        <f t="shared" si="101"/>
        <v>20804.298873346037</v>
      </c>
      <c r="DI129" s="546">
        <f t="shared" si="102"/>
        <v>181</v>
      </c>
      <c r="DJ129" s="551">
        <f t="shared" si="103"/>
        <v>74.640863530592497</v>
      </c>
      <c r="DK129" s="553">
        <f>DJ129/PI()*SQRT('Hilfstabellen_Mat&amp;Bem'!f.Rd.3/'Hilfstabellen_Mat&amp;Bem'!$BD$30)</f>
        <v>1.1879462387541375</v>
      </c>
      <c r="DL129" s="553">
        <f>0.5*(1+'Hilfstabellen_Mat&amp;Bem'!$BD$31*(DK129-0.3)+DK129^2)</f>
        <v>1.250005445022758</v>
      </c>
      <c r="DM129" s="550">
        <f t="shared" si="104"/>
        <v>0.6101374182792132</v>
      </c>
      <c r="DO129" s="551">
        <f t="shared" si="105"/>
        <v>19988.711960245302</v>
      </c>
      <c r="DS129" s="546">
        <f t="shared" si="106"/>
        <v>181</v>
      </c>
      <c r="DT129" s="551">
        <f t="shared" si="107"/>
        <v>76.554731826248712</v>
      </c>
      <c r="DU129" s="553">
        <f>DT129/PI()*SQRT('Hilfstabellen_Mat&amp;Bem'!f.Rd.3/'Hilfstabellen_Mat&amp;Bem'!$BD$30)</f>
        <v>1.2184063987221925</v>
      </c>
      <c r="DV129" s="553">
        <f>0.5*(1+'Hilfstabellen_Mat&amp;Bem'!$BD$31*(DU129-0.3)+DU129^2)</f>
        <v>1.2881773961597007</v>
      </c>
      <c r="DW129" s="550">
        <f t="shared" si="108"/>
        <v>0.58603863197566475</v>
      </c>
      <c r="DY129" s="551">
        <f t="shared" si="109"/>
        <v>19199.211622154751</v>
      </c>
      <c r="EC129" s="546">
        <f t="shared" si="110"/>
        <v>181</v>
      </c>
      <c r="ED129" s="551">
        <f t="shared" si="111"/>
        <v>78.468600121904942</v>
      </c>
      <c r="EE129" s="553">
        <f>ED129/PI()*SQRT('Hilfstabellen_Mat&amp;Bem'!f.Rd.3/'Hilfstabellen_Mat&amp;Bem'!$BD$30)</f>
        <v>1.2488665586902474</v>
      </c>
      <c r="EF129" s="553">
        <f>0.5*(1+'Hilfstabellen_Mat&amp;Bem'!$BD$31*(EE129-0.3)+EE129^2)</f>
        <v>1.3272771686419229</v>
      </c>
      <c r="EG129" s="550">
        <f t="shared" si="112"/>
        <v>0.56283554143752046</v>
      </c>
      <c r="EI129" s="551">
        <f t="shared" si="113"/>
        <v>18439.055173034609</v>
      </c>
      <c r="EM129" s="546">
        <f t="shared" si="114"/>
        <v>181</v>
      </c>
      <c r="EN129" s="551">
        <f t="shared" si="115"/>
        <v>80.382468417561157</v>
      </c>
      <c r="EO129" s="553">
        <f>EN129/PI()*SQRT('Hilfstabellen_Mat&amp;Bem'!f.Rd.3/'Hilfstabellen_Mat&amp;Bem'!$BD$30)</f>
        <v>1.2793267186583022</v>
      </c>
      <c r="EP129" s="553">
        <f>0.5*(1+'Hilfstabellen_Mat&amp;Bem'!$BD$31*(EO129-0.3)+EO129^2)</f>
        <v>1.3673047624694243</v>
      </c>
      <c r="EQ129" s="550">
        <f t="shared" si="116"/>
        <v>0.54058571793300336</v>
      </c>
      <c r="ES129" s="551">
        <f t="shared" si="117"/>
        <v>17710.128705203122</v>
      </c>
    </row>
    <row r="130" spans="3:149">
      <c r="C130" s="546">
        <v>182</v>
      </c>
      <c r="D130" s="551">
        <f t="shared" si="67"/>
        <v>53.293871002119303</v>
      </c>
      <c r="E130" s="553">
        <f>$D130/PI()*SQRT('Hilfstabellen_Mat&amp;Bem'!f.Rd.3/'Hilfstabellen_Mat&amp;Bem'!$BD$30)</f>
        <v>0.848198300648911</v>
      </c>
      <c r="F130" s="553">
        <f>0.5*(1+'Hilfstabellen_Mat&amp;Bem'!$BD$31*($E130-0.3)+$E130^2)</f>
        <v>0.88713009364429585</v>
      </c>
      <c r="G130" s="550">
        <f t="shared" si="68"/>
        <v>0.871799987092294</v>
      </c>
      <c r="I130" s="551">
        <f t="shared" si="69"/>
        <v>28877.502772445147</v>
      </c>
      <c r="M130" s="546">
        <f t="shared" si="70"/>
        <v>182</v>
      </c>
      <c r="N130" s="551">
        <f t="shared" si="59"/>
        <v>55.197223537909274</v>
      </c>
      <c r="O130" s="553">
        <f>$N130/PI()*SQRT('Hilfstabellen_Mat&amp;Bem'!f.Rd.3/'Hilfstabellen_Mat&amp;Bem'!$BD$30)</f>
        <v>0.87849109710065765</v>
      </c>
      <c r="P130" s="553">
        <f>0.5*(1+'Hilfstabellen_Mat&amp;Bem'!$BD$31*($O130-0.3)+$O130^2)</f>
        <v>0.91479785869759145</v>
      </c>
      <c r="Q130" s="550">
        <f t="shared" si="60"/>
        <v>0.85472893637793657</v>
      </c>
      <c r="S130" s="551">
        <f t="shared" si="71"/>
        <v>28312.041288582772</v>
      </c>
      <c r="W130" s="546">
        <f t="shared" si="72"/>
        <v>182</v>
      </c>
      <c r="X130" s="551">
        <f t="shared" si="61"/>
        <v>57.100576073699244</v>
      </c>
      <c r="Y130" s="553">
        <f>$X130/PI()*SQRT('Hilfstabellen_Mat&amp;Bem'!f.Rd.3/'Hilfstabellen_Mat&amp;Bem'!$BD$30)</f>
        <v>0.90878389355240441</v>
      </c>
      <c r="Z130" s="553">
        <f>0.5*(1+'Hilfstabellen_Mat&amp;Bem'!$BD$31*($Y130-0.3)+$Y130^2)</f>
        <v>0.94338327726775417</v>
      </c>
      <c r="AA130" s="550">
        <f t="shared" si="62"/>
        <v>0.83574924451915533</v>
      </c>
      <c r="AC130" s="551">
        <f t="shared" si="73"/>
        <v>27683.357975452502</v>
      </c>
      <c r="AG130" s="546">
        <f t="shared" si="74"/>
        <v>182</v>
      </c>
      <c r="AH130" s="551">
        <f t="shared" si="63"/>
        <v>59.003928609489222</v>
      </c>
      <c r="AI130" s="553">
        <f>$AH130/PI()*SQRT('Hilfstabellen_Mat&amp;Bem'!f.Rd.3/'Hilfstabellen_Mat&amp;Bem'!$BD$30)</f>
        <v>0.93907669000415128</v>
      </c>
      <c r="AJ130" s="553">
        <f>0.5*(1+'Hilfstabellen_Mat&amp;Bem'!$BD$31*($AI130-0.3)+$AI130^2)</f>
        <v>0.97288634935478402</v>
      </c>
      <c r="AK130" s="550">
        <f t="shared" si="64"/>
        <v>0.81490568726817003</v>
      </c>
      <c r="AM130" s="551">
        <f t="shared" si="75"/>
        <v>26992.935985070864</v>
      </c>
      <c r="AQ130" s="546">
        <f t="shared" si="76"/>
        <v>182</v>
      </c>
      <c r="AR130" s="551">
        <f t="shared" si="65"/>
        <v>60.907281145279207</v>
      </c>
      <c r="AS130" s="553">
        <f>$AR130/PI()*SQRT('Hilfstabellen_Mat&amp;Bem'!f.Rd.3/'Hilfstabellen_Mat&amp;Bem'!$BD$30)</f>
        <v>0.96936948645589815</v>
      </c>
      <c r="AT130" s="553">
        <f>0.5*(1+'Hilfstabellen_Mat&amp;Bem'!$BD$31*($AS130-0.3)+$AS130^2)</f>
        <v>1.0033070749586808</v>
      </c>
      <c r="AU130" s="550">
        <f t="shared" si="66"/>
        <v>0.79236165310214357</v>
      </c>
      <c r="AW130" s="551">
        <f t="shared" si="77"/>
        <v>26246.187397355403</v>
      </c>
      <c r="BA130" s="546">
        <f t="shared" si="78"/>
        <v>182</v>
      </c>
      <c r="BB130" s="551">
        <f t="shared" si="79"/>
        <v>62.81063368106917</v>
      </c>
      <c r="BC130" s="553">
        <f>$BB130/PI()*SQRT('Hilfstabellen_Mat&amp;Bem'!f.Rd.3/'Hilfstabellen_Mat&amp;Bem'!$BD$30)</f>
        <v>0.99966228290764492</v>
      </c>
      <c r="BD130" s="553">
        <f>0.5*(1+'Hilfstabellen_Mat&amp;Bem'!$BD$31*($BC130-0.3)+$BC130^2)</f>
        <v>1.0346454540794445</v>
      </c>
      <c r="BE130" s="550">
        <f t="shared" si="80"/>
        <v>0.76839379820277942</v>
      </c>
      <c r="BG130" s="551">
        <f t="shared" si="81"/>
        <v>25452.276171668866</v>
      </c>
      <c r="BK130" s="546">
        <f t="shared" si="82"/>
        <v>182</v>
      </c>
      <c r="BL130" s="551">
        <f t="shared" si="83"/>
        <v>64.713986216859155</v>
      </c>
      <c r="BM130" s="553">
        <f>$BL130/PI()*SQRT('Hilfstabellen_Mat&amp;Bem'!f.Rd.3/'Hilfstabellen_Mat&amp;Bem'!$BD$30)</f>
        <v>1.0299550793593919</v>
      </c>
      <c r="BN130" s="553">
        <f>0.5*(1+'Hilfstabellen_Mat&amp;Bem'!$BD$31*($BM130-0.3)+$BM130^2)</f>
        <v>1.0669014867170752</v>
      </c>
      <c r="BO130" s="550">
        <f t="shared" si="84"/>
        <v>0.74336278300167291</v>
      </c>
      <c r="BQ130" s="551">
        <f t="shared" si="85"/>
        <v>24623.148824147414</v>
      </c>
      <c r="BU130" s="546">
        <f t="shared" si="86"/>
        <v>182</v>
      </c>
      <c r="BV130" s="551">
        <f t="shared" si="87"/>
        <v>66.617338752649118</v>
      </c>
      <c r="BW130" s="553">
        <f>$BV130/PI()*SQRT('Hilfstabellen_Mat&amp;Bem'!f.Rd.3/'Hilfstabellen_Mat&amp;Bem'!$BD$30)</f>
        <v>1.0602478758111384</v>
      </c>
      <c r="BX130" s="553">
        <f>0.5*(1+'Hilfstabellen_Mat&amp;Bem'!$BD$31*($BW130-0.3)+$BW130^2)</f>
        <v>1.1000751728715725</v>
      </c>
      <c r="BY130" s="550">
        <f t="shared" si="88"/>
        <v>0.71766868305375253</v>
      </c>
      <c r="CA130" s="551">
        <f t="shared" si="89"/>
        <v>23772.0574574725</v>
      </c>
      <c r="CE130" s="546">
        <f t="shared" si="90"/>
        <v>182</v>
      </c>
      <c r="CF130" s="551">
        <f t="shared" si="91"/>
        <v>68.520691288439096</v>
      </c>
      <c r="CG130" s="553">
        <f>CF130/PI()*SQRT('Hilfstabellen_Mat&amp;Bem'!f.Rd.3/'Hilfstabellen_Mat&amp;Bem'!$BD$30)</f>
        <v>1.0905406722628854</v>
      </c>
      <c r="CH130" s="553">
        <f>0.5*(1+'Hilfstabellen_Mat&amp;Bem'!$BD$31*(CG130-0.3)+CG130^2)</f>
        <v>1.1341665125429374</v>
      </c>
      <c r="CI130" s="550">
        <f t="shared" si="92"/>
        <v>0.69170520614544784</v>
      </c>
      <c r="CK130" s="551">
        <f t="shared" si="93"/>
        <v>22912.043248361813</v>
      </c>
      <c r="CO130" s="546">
        <f t="shared" si="94"/>
        <v>182</v>
      </c>
      <c r="CP130" s="551">
        <f t="shared" si="95"/>
        <v>70.424043824229074</v>
      </c>
      <c r="CQ130" s="553">
        <f>CP130/PI()*SQRT('Hilfstabellen_Mat&amp;Bem'!f.Rd.3/'Hilfstabellen_Mat&amp;Bem'!$BD$30)</f>
        <v>1.1208334687146322</v>
      </c>
      <c r="CR130" s="553">
        <f>0.5*(1+'Hilfstabellen_Mat&amp;Bem'!$BD$31*(CQ130-0.3)+CQ130^2)</f>
        <v>1.1691755057311688</v>
      </c>
      <c r="CS130" s="550">
        <f t="shared" si="96"/>
        <v>0.66582454993714502</v>
      </c>
      <c r="CU130" s="551">
        <f t="shared" si="97"/>
        <v>22054.772392117993</v>
      </c>
      <c r="CY130" s="546">
        <f t="shared" si="98"/>
        <v>182</v>
      </c>
      <c r="CZ130" s="551">
        <f t="shared" si="99"/>
        <v>72.327396360019051</v>
      </c>
      <c r="DA130" s="553">
        <f>CZ130/PI()*SQRT('Hilfstabellen_Mat&amp;Bem'!f.Rd.3/'Hilfstabellen_Mat&amp;Bem'!$BD$30)</f>
        <v>1.1511262651663789</v>
      </c>
      <c r="DB130" s="553">
        <f>0.5*(1+'Hilfstabellen_Mat&amp;Bem'!$BD$31*(DA130-0.3)+DA130^2)</f>
        <v>1.2051021524362673</v>
      </c>
      <c r="DC130" s="550">
        <f t="shared" si="100"/>
        <v>0.64031779065036942</v>
      </c>
      <c r="DE130" s="551">
        <f t="shared" si="101"/>
        <v>21209.886497502837</v>
      </c>
      <c r="DI130" s="546">
        <f t="shared" si="102"/>
        <v>182</v>
      </c>
      <c r="DJ130" s="551">
        <f t="shared" si="103"/>
        <v>74.230748895809015</v>
      </c>
      <c r="DK130" s="553">
        <f>DJ130/PI()*SQRT('Hilfstabellen_Mat&amp;Bem'!f.Rd.3/'Hilfstabellen_Mat&amp;Bem'!$BD$30)</f>
        <v>1.1814190616181257</v>
      </c>
      <c r="DL130" s="553">
        <f>0.5*(1+'Hilfstabellen_Mat&amp;Bem'!$BD$31*(DK130-0.3)+DK130^2)</f>
        <v>1.2419464526582327</v>
      </c>
      <c r="DM130" s="550">
        <f t="shared" si="104"/>
        <v>0.61540934808505643</v>
      </c>
      <c r="DO130" s="551">
        <f t="shared" si="105"/>
        <v>20384.819245969407</v>
      </c>
      <c r="DS130" s="546">
        <f t="shared" si="106"/>
        <v>182</v>
      </c>
      <c r="DT130" s="551">
        <f t="shared" si="107"/>
        <v>76.134101431598992</v>
      </c>
      <c r="DU130" s="553">
        <f>DT130/PI()*SQRT('Hilfstabellen_Mat&amp;Bem'!f.Rd.3/'Hilfstabellen_Mat&amp;Bem'!$BD$30)</f>
        <v>1.2117118580698727</v>
      </c>
      <c r="DV130" s="553">
        <f>0.5*(1+'Hilfstabellen_Mat&amp;Bem'!$BD$31*(DU130-0.3)+DU130^2)</f>
        <v>1.2797084063970652</v>
      </c>
      <c r="DW130" s="550">
        <f t="shared" si="108"/>
        <v>0.59126101630377015</v>
      </c>
      <c r="DY130" s="551">
        <f t="shared" si="109"/>
        <v>19584.929904046083</v>
      </c>
      <c r="EC130" s="546">
        <f t="shared" si="110"/>
        <v>182</v>
      </c>
      <c r="ED130" s="551">
        <f t="shared" si="111"/>
        <v>78.037453967388984</v>
      </c>
      <c r="EE130" s="553">
        <f>ED130/PI()*SQRT('Hilfstabellen_Mat&amp;Bem'!f.Rd.3/'Hilfstabellen_Mat&amp;Bem'!$BD$30)</f>
        <v>1.2420046545216197</v>
      </c>
      <c r="EF130" s="553">
        <f>0.5*(1+'Hilfstabellen_Mat&amp;Bem'!$BD$31*(EE130-0.3)+EE130^2)</f>
        <v>1.3183880136527648</v>
      </c>
      <c r="EG130" s="550">
        <f t="shared" si="112"/>
        <v>0.56798090831594661</v>
      </c>
      <c r="EI130" s="551">
        <f t="shared" si="113"/>
        <v>18813.799607057415</v>
      </c>
      <c r="EM130" s="546">
        <f t="shared" si="114"/>
        <v>182</v>
      </c>
      <c r="EN130" s="551">
        <f t="shared" si="115"/>
        <v>79.940806503178948</v>
      </c>
      <c r="EO130" s="553">
        <f>EN130/PI()*SQRT('Hilfstabellen_Mat&amp;Bem'!f.Rd.3/'Hilfstabellen_Mat&amp;Bem'!$BD$30)</f>
        <v>1.2722974509733662</v>
      </c>
      <c r="EP130" s="553">
        <f>0.5*(1+'Hilfstabellen_Mat&amp;Bem'!$BD$31*(EO130-0.3)+EO130^2)</f>
        <v>1.3579852744253311</v>
      </c>
      <c r="EQ130" s="550">
        <f t="shared" si="116"/>
        <v>0.54563390570277925</v>
      </c>
      <c r="ES130" s="551">
        <f t="shared" si="117"/>
        <v>18073.577492498858</v>
      </c>
    </row>
    <row r="131" spans="3:149">
      <c r="C131" s="546">
        <v>183</v>
      </c>
      <c r="D131" s="551">
        <f t="shared" si="67"/>
        <v>53.002647663309901</v>
      </c>
      <c r="E131" s="553">
        <f>$D131/PI()*SQRT('Hilfstabellen_Mat&amp;Bem'!f.Rd.3/'Hilfstabellen_Mat&amp;Bem'!$BD$30)</f>
        <v>0.84356333725738664</v>
      </c>
      <c r="F131" s="553">
        <f>0.5*(1+'Hilfstabellen_Mat&amp;Bem'!$BD$31*($E131-0.3)+$E131^2)</f>
        <v>0.88297771884527898</v>
      </c>
      <c r="G131" s="550">
        <f t="shared" si="68"/>
        <v>0.87424606887017531</v>
      </c>
      <c r="I131" s="551">
        <f t="shared" si="69"/>
        <v>29277.626600393301</v>
      </c>
      <c r="M131" s="546">
        <f t="shared" si="70"/>
        <v>183</v>
      </c>
      <c r="N131" s="551">
        <f t="shared" si="59"/>
        <v>54.895599365570973</v>
      </c>
      <c r="O131" s="553">
        <f>$N131/PI()*SQRT('Hilfstabellen_Mat&amp;Bem'!f.Rd.3/'Hilfstabellen_Mat&amp;Bem'!$BD$30)</f>
        <v>0.87369059930229354</v>
      </c>
      <c r="P131" s="553">
        <f>0.5*(1+'Hilfstabellen_Mat&amp;Bem'!$BD$31*($O131-0.3)+$O131^2)</f>
        <v>0.91035216161971522</v>
      </c>
      <c r="Q131" s="550">
        <f t="shared" si="60"/>
        <v>0.85756105664626259</v>
      </c>
      <c r="S131" s="551">
        <f t="shared" si="71"/>
        <v>28718.862226026689</v>
      </c>
      <c r="W131" s="546">
        <f t="shared" si="72"/>
        <v>183</v>
      </c>
      <c r="X131" s="551">
        <f t="shared" si="61"/>
        <v>56.788551067832032</v>
      </c>
      <c r="Y131" s="553">
        <f>$X131/PI()*SQRT('Hilfstabellen_Mat&amp;Bem'!f.Rd.3/'Hilfstabellen_Mat&amp;Bem'!$BD$30)</f>
        <v>0.90381786134719988</v>
      </c>
      <c r="Z131" s="553">
        <f>0.5*(1+'Hilfstabellen_Mat&amp;Bem'!$BD$31*($Y131-0.3)+$Y131^2)</f>
        <v>0.9386342563124731</v>
      </c>
      <c r="AA131" s="550">
        <f t="shared" si="62"/>
        <v>0.8389909963771095</v>
      </c>
      <c r="AC131" s="551">
        <f t="shared" si="73"/>
        <v>28096.969477673021</v>
      </c>
      <c r="AG131" s="546">
        <f t="shared" si="74"/>
        <v>183</v>
      </c>
      <c r="AH131" s="551">
        <f t="shared" si="63"/>
        <v>58.681502770093111</v>
      </c>
      <c r="AI131" s="553">
        <f>$AH131/PI()*SQRT('Hilfstabellen_Mat&amp;Bem'!f.Rd.3/'Hilfstabellen_Mat&amp;Bem'!$BD$30)</f>
        <v>0.93394512339210678</v>
      </c>
      <c r="AJ131" s="553">
        <f>0.5*(1+'Hilfstabellen_Mat&amp;Bem'!$BD$31*($AI131-0.3)+$AI131^2)</f>
        <v>0.96782400292355419</v>
      </c>
      <c r="AK131" s="550">
        <f t="shared" si="64"/>
        <v>0.81856219087124726</v>
      </c>
      <c r="AM131" s="551">
        <f t="shared" si="75"/>
        <v>27412.829210087199</v>
      </c>
      <c r="AQ131" s="546">
        <f t="shared" si="76"/>
        <v>183</v>
      </c>
      <c r="AR131" s="551">
        <f t="shared" si="65"/>
        <v>60.574454472354184</v>
      </c>
      <c r="AS131" s="553">
        <f>$AR131/PI()*SQRT('Hilfstabellen_Mat&amp;Bem'!f.Rd.3/'Hilfstabellen_Mat&amp;Bem'!$BD$30)</f>
        <v>0.96407238543701357</v>
      </c>
      <c r="AT131" s="553">
        <f>0.5*(1+'Hilfstabellen_Mat&amp;Bem'!$BD$31*($AS131-0.3)+$AS131^2)</f>
        <v>0.99792140145295749</v>
      </c>
      <c r="AU131" s="550">
        <f t="shared" si="66"/>
        <v>0.79641561743796274</v>
      </c>
      <c r="AW131" s="551">
        <f t="shared" si="77"/>
        <v>26671.162612379936</v>
      </c>
      <c r="BA131" s="546">
        <f t="shared" si="78"/>
        <v>183</v>
      </c>
      <c r="BB131" s="551">
        <f t="shared" si="79"/>
        <v>62.467406174615242</v>
      </c>
      <c r="BC131" s="553">
        <f>$BB131/PI()*SQRT('Hilfstabellen_Mat&amp;Bem'!f.Rd.3/'Hilfstabellen_Mat&amp;Bem'!$BD$30)</f>
        <v>0.99419964748192013</v>
      </c>
      <c r="BD131" s="553">
        <f>0.5*(1+'Hilfstabellen_Mat&amp;Bem'!$BD$31*($BC131-0.3)+$BC131^2)</f>
        <v>1.0289264519006831</v>
      </c>
      <c r="BE131" s="550">
        <f t="shared" si="80"/>
        <v>0.77280573006878073</v>
      </c>
      <c r="BG131" s="551">
        <f t="shared" si="81"/>
        <v>25880.491094273399</v>
      </c>
      <c r="BK131" s="546">
        <f t="shared" si="82"/>
        <v>183</v>
      </c>
      <c r="BL131" s="551">
        <f t="shared" si="83"/>
        <v>64.360357876876321</v>
      </c>
      <c r="BM131" s="553">
        <f>$BL131/PI()*SQRT('Hilfstabellen_Mat&amp;Bem'!f.Rd.3/'Hilfstabellen_Mat&amp;Bem'!$BD$30)</f>
        <v>1.024326909526827</v>
      </c>
      <c r="BN131" s="553">
        <f>0.5*(1+'Hilfstabellen_Mat&amp;Bem'!$BD$31*($BM131-0.3)+$BM131^2)</f>
        <v>1.0608391542667315</v>
      </c>
      <c r="BO131" s="550">
        <f t="shared" si="84"/>
        <v>0.7480756353606981</v>
      </c>
      <c r="BQ131" s="551">
        <f t="shared" si="85"/>
        <v>25052.304952594419</v>
      </c>
      <c r="BU131" s="546">
        <f t="shared" si="86"/>
        <v>183</v>
      </c>
      <c r="BV131" s="551">
        <f t="shared" si="87"/>
        <v>66.25330957913738</v>
      </c>
      <c r="BW131" s="553">
        <f>$BV131/PI()*SQRT('Hilfstabellen_Mat&amp;Bem'!f.Rd.3/'Hilfstabellen_Mat&amp;Bem'!$BD$30)</f>
        <v>1.0544541715717335</v>
      </c>
      <c r="BX131" s="553">
        <f>0.5*(1+'Hilfstabellen_Mat&amp;Bem'!$BD$31*($BW131-0.3)+$BW131^2)</f>
        <v>1.0936595085511023</v>
      </c>
      <c r="BY131" s="550">
        <f t="shared" si="88"/>
        <v>0.72261537411428489</v>
      </c>
      <c r="CA131" s="551">
        <f t="shared" si="89"/>
        <v>24199.666263713287</v>
      </c>
      <c r="CE131" s="546">
        <f t="shared" si="90"/>
        <v>183</v>
      </c>
      <c r="CF131" s="551">
        <f t="shared" si="91"/>
        <v>68.146261281398452</v>
      </c>
      <c r="CG131" s="553">
        <f>CF131/PI()*SQRT('Hilfstabellen_Mat&amp;Bem'!f.Rd.3/'Hilfstabellen_Mat&amp;Bem'!$BD$30)</f>
        <v>1.0845814336166402</v>
      </c>
      <c r="CH131" s="553">
        <f>0.5*(1+'Hilfstabellen_Mat&amp;Bem'!$BD$31*(CG131-0.3)+CG131^2)</f>
        <v>1.1273875147537953</v>
      </c>
      <c r="CI131" s="550">
        <f t="shared" si="92"/>
        <v>0.69681654016578776</v>
      </c>
      <c r="CK131" s="551">
        <f t="shared" si="93"/>
        <v>23335.689113612065</v>
      </c>
      <c r="CO131" s="546">
        <f t="shared" si="94"/>
        <v>183</v>
      </c>
      <c r="CP131" s="551">
        <f t="shared" si="95"/>
        <v>70.03921298365951</v>
      </c>
      <c r="CQ131" s="553">
        <f>CP131/PI()*SQRT('Hilfstabellen_Mat&amp;Bem'!f.Rd.3/'Hilfstabellen_Mat&amp;Bem'!$BD$30)</f>
        <v>1.1147086956615468</v>
      </c>
      <c r="CR131" s="553">
        <f>0.5*(1+'Hilfstabellen_Mat&amp;Bem'!$BD$31*(CQ131-0.3)+CQ131^2)</f>
        <v>1.1620231728748109</v>
      </c>
      <c r="CS131" s="550">
        <f t="shared" si="96"/>
        <v>0.671035534175079</v>
      </c>
      <c r="CU131" s="551">
        <f t="shared" si="97"/>
        <v>22472.309003989219</v>
      </c>
      <c r="CY131" s="546">
        <f t="shared" si="98"/>
        <v>183</v>
      </c>
      <c r="CZ131" s="551">
        <f t="shared" si="99"/>
        <v>71.932164685920583</v>
      </c>
      <c r="DA131" s="553">
        <f>CZ131/PI()*SQRT('Hilfstabellen_Mat&amp;Bem'!f.Rd.3/'Hilfstabellen_Mat&amp;Bem'!$BD$30)</f>
        <v>1.1448359577064535</v>
      </c>
      <c r="DB131" s="553">
        <f>0.5*(1+'Hilfstabellen_Mat&amp;Bem'!$BD$31*(DA131-0.3)+DA131^2)</f>
        <v>1.197566482914149</v>
      </c>
      <c r="DC131" s="550">
        <f t="shared" si="100"/>
        <v>0.6455715105157428</v>
      </c>
      <c r="DE131" s="551">
        <f t="shared" si="101"/>
        <v>21619.544315661711</v>
      </c>
      <c r="DI131" s="546">
        <f t="shared" si="102"/>
        <v>183</v>
      </c>
      <c r="DJ131" s="551">
        <f t="shared" si="103"/>
        <v>73.825116388181655</v>
      </c>
      <c r="DK131" s="553">
        <f>DJ131/PI()*SQRT('Hilfstabellen_Mat&amp;Bem'!f.Rd.3/'Hilfstabellen_Mat&amp;Bem'!$BD$30)</f>
        <v>1.1749632197513602</v>
      </c>
      <c r="DL131" s="553">
        <f>0.5*(1+'Hilfstabellen_Mat&amp;Bem'!$BD$31*(DK131-0.3)+DK131^2)</f>
        <v>1.2340174448718098</v>
      </c>
      <c r="DM131" s="550">
        <f t="shared" si="104"/>
        <v>0.62065857480442854</v>
      </c>
      <c r="DO131" s="551">
        <f t="shared" si="105"/>
        <v>20785.235011625507</v>
      </c>
      <c r="DS131" s="546">
        <f t="shared" si="106"/>
        <v>183</v>
      </c>
      <c r="DT131" s="551">
        <f t="shared" si="107"/>
        <v>75.718068090442713</v>
      </c>
      <c r="DU131" s="553">
        <f>DT131/PI()*SQRT('Hilfstabellen_Mat&amp;Bem'!f.Rd.3/'Hilfstabellen_Mat&amp;Bem'!$BD$30)</f>
        <v>1.2050904817962669</v>
      </c>
      <c r="DV131" s="553">
        <f>0.5*(1+'Hilfstabellen_Mat&amp;Bem'!$BD$31*(DU131-0.3)+DU131^2)</f>
        <v>1.2713760587477927</v>
      </c>
      <c r="DW131" s="550">
        <f t="shared" si="108"/>
        <v>0.5964682032256271</v>
      </c>
      <c r="DY131" s="551">
        <f t="shared" si="109"/>
        <v>19975.123657823027</v>
      </c>
      <c r="EC131" s="546">
        <f t="shared" si="110"/>
        <v>183</v>
      </c>
      <c r="ED131" s="551">
        <f t="shared" si="111"/>
        <v>77.611019792703786</v>
      </c>
      <c r="EE131" s="553">
        <f>ED131/PI()*SQRT('Hilfstabellen_Mat&amp;Bem'!f.Rd.3/'Hilfstabellen_Mat&amp;Bem'!$BD$30)</f>
        <v>1.2352177438411736</v>
      </c>
      <c r="EF131" s="553">
        <f>0.5*(1+'Hilfstabellen_Mat&amp;Bem'!$BD$31*(EE131-0.3)+EE131^2)</f>
        <v>1.3096423245420983</v>
      </c>
      <c r="EG131" s="550">
        <f t="shared" si="112"/>
        <v>0.57311727215228081</v>
      </c>
      <c r="EI131" s="551">
        <f t="shared" si="113"/>
        <v>19193.124327107733</v>
      </c>
      <c r="EM131" s="546">
        <f t="shared" si="114"/>
        <v>183</v>
      </c>
      <c r="EN131" s="551">
        <f t="shared" si="115"/>
        <v>79.503971494964844</v>
      </c>
      <c r="EO131" s="553">
        <f>EN131/PI()*SQRT('Hilfstabellen_Mat&amp;Bem'!f.Rd.3/'Hilfstabellen_Mat&amp;Bem'!$BD$30)</f>
        <v>1.26534500588608</v>
      </c>
      <c r="EP131" s="553">
        <f>0.5*(1+'Hilfstabellen_Mat&amp;Bem'!$BD$31*(EO131-0.3)+EO131^2)</f>
        <v>1.3488162422547259</v>
      </c>
      <c r="EQ131" s="550">
        <f t="shared" si="116"/>
        <v>0.55067812170883301</v>
      </c>
      <c r="ES131" s="551">
        <f t="shared" si="117"/>
        <v>18441.659617907109</v>
      </c>
    </row>
    <row r="132" spans="3:149">
      <c r="C132" s="546">
        <v>184</v>
      </c>
      <c r="D132" s="551">
        <f t="shared" si="67"/>
        <v>52.714589795574526</v>
      </c>
      <c r="E132" s="553">
        <f>$D132/PI()*SQRT('Hilfstabellen_Mat&amp;Bem'!f.Rd.3/'Hilfstabellen_Mat&amp;Bem'!$BD$30)</f>
        <v>0.83897875390272714</v>
      </c>
      <c r="F132" s="553">
        <f>0.5*(1+'Hilfstabellen_Mat&amp;Bem'!$BD$31*($E132-0.3)+$E132^2)</f>
        <v>0.87889161244522285</v>
      </c>
      <c r="G132" s="550">
        <f t="shared" si="68"/>
        <v>0.8766231551400161</v>
      </c>
      <c r="I132" s="551">
        <f t="shared" si="69"/>
        <v>29678.953540420385</v>
      </c>
      <c r="M132" s="546">
        <f t="shared" si="70"/>
        <v>184</v>
      </c>
      <c r="N132" s="551">
        <f t="shared" si="59"/>
        <v>54.597253716845039</v>
      </c>
      <c r="O132" s="553">
        <f>$N132/PI()*SQRT('Hilfstabellen_Mat&amp;Bem'!f.Rd.3/'Hilfstabellen_Mat&amp;Bem'!$BD$30)</f>
        <v>0.86894228082782432</v>
      </c>
      <c r="P132" s="553">
        <f>0.5*(1+'Hilfstabellen_Mat&amp;Bem'!$BD$31*($O132-0.3)+$O132^2)</f>
        <v>0.90597745774652205</v>
      </c>
      <c r="Q132" s="550">
        <f t="shared" si="60"/>
        <v>0.86031511328086208</v>
      </c>
      <c r="S132" s="551">
        <f t="shared" si="71"/>
        <v>29126.828475236867</v>
      </c>
      <c r="W132" s="546">
        <f t="shared" si="72"/>
        <v>184</v>
      </c>
      <c r="X132" s="551">
        <f t="shared" si="61"/>
        <v>56.479917638115559</v>
      </c>
      <c r="Y132" s="553">
        <f>$X132/PI()*SQRT('Hilfstabellen_Mat&amp;Bem'!f.Rd.3/'Hilfstabellen_Mat&amp;Bem'!$BD$30)</f>
        <v>0.89890580775292195</v>
      </c>
      <c r="Z132" s="553">
        <f>0.5*(1+'Hilfstabellen_Mat&amp;Bem'!$BD$31*($Y132-0.3)+$Y132^2)</f>
        <v>0.93396111599361253</v>
      </c>
      <c r="AA132" s="550">
        <f t="shared" si="62"/>
        <v>0.84214757548731978</v>
      </c>
      <c r="AC132" s="551">
        <f t="shared" si="73"/>
        <v>28511.7483156987</v>
      </c>
      <c r="AG132" s="546">
        <f t="shared" si="74"/>
        <v>184</v>
      </c>
      <c r="AH132" s="551">
        <f t="shared" si="63"/>
        <v>58.362581559386086</v>
      </c>
      <c r="AI132" s="553">
        <f>$AH132/PI()*SQRT('Hilfstabellen_Mat&amp;Bem'!f.Rd.3/'Hilfstabellen_Mat&amp;Bem'!$BD$30)</f>
        <v>0.92886933467801924</v>
      </c>
      <c r="AJ132" s="553">
        <f>0.5*(1+'Hilfstabellen_Mat&amp;Bem'!$BD$31*($AI132-0.3)+$AI132^2)</f>
        <v>0.96284258718649407</v>
      </c>
      <c r="AK132" s="550">
        <f t="shared" si="64"/>
        <v>0.82212965686193451</v>
      </c>
      <c r="AM132" s="551">
        <f t="shared" si="75"/>
        <v>27834.021662717656</v>
      </c>
      <c r="AQ132" s="546">
        <f t="shared" si="76"/>
        <v>184</v>
      </c>
      <c r="AR132" s="551">
        <f t="shared" si="65"/>
        <v>60.245245480656592</v>
      </c>
      <c r="AS132" s="553">
        <f>$AR132/PI()*SQRT('Hilfstabellen_Mat&amp;Bem'!f.Rd.3/'Hilfstabellen_Mat&amp;Bem'!$BD$30)</f>
        <v>0.95883286160311654</v>
      </c>
      <c r="AT132" s="553">
        <f>0.5*(1+'Hilfstabellen_Mat&amp;Bem'!$BD$31*($AS132-0.3)+$AS132^2)</f>
        <v>0.99262187132516644</v>
      </c>
      <c r="AU132" s="550">
        <f t="shared" si="66"/>
        <v>0.80038079702139198</v>
      </c>
      <c r="AW132" s="551">
        <f t="shared" si="77"/>
        <v>27097.692263956247</v>
      </c>
      <c r="BA132" s="546">
        <f t="shared" si="78"/>
        <v>184</v>
      </c>
      <c r="BB132" s="551">
        <f t="shared" si="79"/>
        <v>62.12790940192712</v>
      </c>
      <c r="BC132" s="553">
        <f>$BB132/PI()*SQRT('Hilfstabellen_Mat&amp;Bem'!f.Rd.3/'Hilfstabellen_Mat&amp;Bem'!$BD$30)</f>
        <v>0.98879638852821405</v>
      </c>
      <c r="BD132" s="553">
        <f>0.5*(1+'Hilfstabellen_Mat&amp;Bem'!$BD$31*($BC132-0.3)+$BC132^2)</f>
        <v>1.0232989684096301</v>
      </c>
      <c r="BE132" s="550">
        <f t="shared" si="80"/>
        <v>0.77713336045573911</v>
      </c>
      <c r="BG132" s="551">
        <f t="shared" si="81"/>
        <v>26310.627051589505</v>
      </c>
      <c r="BK132" s="546">
        <f t="shared" si="82"/>
        <v>184</v>
      </c>
      <c r="BL132" s="551">
        <f t="shared" si="83"/>
        <v>64.010573323197633</v>
      </c>
      <c r="BM132" s="553">
        <f>$BL132/PI()*SQRT('Hilfstabellen_Mat&amp;Bem'!f.Rd.3/'Hilfstabellen_Mat&amp;Bem'!$BD$30)</f>
        <v>1.0187599154533113</v>
      </c>
      <c r="BN132" s="553">
        <f>0.5*(1+'Hilfstabellen_Mat&amp;Bem'!$BD$31*($BM132-0.3)+$BM132^2)</f>
        <v>1.0548738784398846</v>
      </c>
      <c r="BO132" s="550">
        <f t="shared" si="84"/>
        <v>0.75271220144732043</v>
      </c>
      <c r="BQ132" s="551">
        <f t="shared" si="85"/>
        <v>25483.824292200479</v>
      </c>
      <c r="BU132" s="546">
        <f t="shared" si="86"/>
        <v>184</v>
      </c>
      <c r="BV132" s="551">
        <f t="shared" si="87"/>
        <v>65.893237244468153</v>
      </c>
      <c r="BW132" s="553">
        <f>$BV132/PI()*SQRT('Hilfstabellen_Mat&amp;Bem'!f.Rd.3/'Hilfstabellen_Mat&amp;Bem'!$BD$30)</f>
        <v>1.0487234423784089</v>
      </c>
      <c r="BX132" s="553">
        <f>0.5*(1+'Hilfstabellen_Mat&amp;Bem'!$BD$31*($BW132-0.3)+$BW132^2)</f>
        <v>1.0873466014159305</v>
      </c>
      <c r="BY132" s="550">
        <f t="shared" si="88"/>
        <v>0.72749609759397604</v>
      </c>
      <c r="CA132" s="551">
        <f t="shared" si="89"/>
        <v>24630.107880141652</v>
      </c>
      <c r="CE132" s="546">
        <f t="shared" si="90"/>
        <v>184</v>
      </c>
      <c r="CF132" s="551">
        <f t="shared" si="91"/>
        <v>67.775901165738674</v>
      </c>
      <c r="CG132" s="553">
        <f>CF132/PI()*SQRT('Hilfstabellen_Mat&amp;Bem'!f.Rd.3/'Hilfstabellen_Mat&amp;Bem'!$BD$30)</f>
        <v>1.0786869693035062</v>
      </c>
      <c r="CH132" s="553">
        <f>0.5*(1+'Hilfstabellen_Mat&amp;Bem'!$BD$31*(CG132-0.3)+CG132^2)</f>
        <v>1.1207171373377669</v>
      </c>
      <c r="CI132" s="550">
        <f t="shared" si="92"/>
        <v>0.70187319408831916</v>
      </c>
      <c r="CK132" s="551">
        <f t="shared" si="93"/>
        <v>23762.618859054135</v>
      </c>
      <c r="CO132" s="546">
        <f t="shared" si="94"/>
        <v>184</v>
      </c>
      <c r="CP132" s="551">
        <f t="shared" si="95"/>
        <v>69.658565087009194</v>
      </c>
      <c r="CQ132" s="553">
        <f>CP132/PI()*SQRT('Hilfstabellen_Mat&amp;Bem'!f.Rd.3/'Hilfstabellen_Mat&amp;Bem'!$BD$30)</f>
        <v>1.1086504962286037</v>
      </c>
      <c r="CR132" s="553">
        <f>0.5*(1+'Hilfstabellen_Mat&amp;Bem'!$BD$31*(CQ132-0.3)+CQ132^2)</f>
        <v>1.1549854862053948</v>
      </c>
      <c r="CS132" s="550">
        <f t="shared" si="96"/>
        <v>0.67620298897706199</v>
      </c>
      <c r="CU132" s="551">
        <f t="shared" si="97"/>
        <v>22893.52839480741</v>
      </c>
      <c r="CY132" s="546">
        <f t="shared" si="98"/>
        <v>184</v>
      </c>
      <c r="CZ132" s="551">
        <f t="shared" si="99"/>
        <v>71.5412290082797</v>
      </c>
      <c r="DA132" s="553">
        <f>CZ132/PI()*SQRT('Hilfstabellen_Mat&amp;Bem'!f.Rd.3/'Hilfstabellen_Mat&amp;Bem'!$BD$30)</f>
        <v>1.1386140231537007</v>
      </c>
      <c r="DB132" s="553">
        <f>0.5*(1+'Hilfstabellen_Mat&amp;Bem'!$BD$31*(DA132-0.3)+DA132^2)</f>
        <v>1.190151648018813</v>
      </c>
      <c r="DC132" s="550">
        <f t="shared" si="100"/>
        <v>0.65079198159530127</v>
      </c>
      <c r="DE132" s="551">
        <f t="shared" si="101"/>
        <v>22033.213328890521</v>
      </c>
      <c r="DI132" s="546">
        <f t="shared" si="102"/>
        <v>184</v>
      </c>
      <c r="DJ132" s="551">
        <f t="shared" si="103"/>
        <v>73.42389292955022</v>
      </c>
      <c r="DK132" s="553">
        <f>DJ132/PI()*SQRT('Hilfstabellen_Mat&amp;Bem'!f.Rd.3/'Hilfstabellen_Mat&amp;Bem'!$BD$30)</f>
        <v>1.1685775500787983</v>
      </c>
      <c r="DL132" s="553">
        <f>0.5*(1+'Hilfstabellen_Mat&amp;Bem'!$BD$31*(DK132-0.3)+DK132^2)</f>
        <v>1.226215622778023</v>
      </c>
      <c r="DM132" s="550">
        <f t="shared" si="104"/>
        <v>0.6258835866962974</v>
      </c>
      <c r="DO132" s="551">
        <f t="shared" si="105"/>
        <v>21189.914711189846</v>
      </c>
      <c r="DS132" s="546">
        <f t="shared" si="106"/>
        <v>184</v>
      </c>
      <c r="DT132" s="551">
        <f t="shared" si="107"/>
        <v>75.306556850820755</v>
      </c>
      <c r="DU132" s="553">
        <f>DT132/PI()*SQRT('Hilfstabellen_Mat&amp;Bem'!f.Rd.3/'Hilfstabellen_Mat&amp;Bem'!$BD$30)</f>
        <v>1.198541077003896</v>
      </c>
      <c r="DV132" s="553">
        <f>0.5*(1+'Hilfstabellen_Mat&amp;Bem'!$BD$31*(DU132-0.3)+DU132^2)</f>
        <v>1.2631774104830242</v>
      </c>
      <c r="DW132" s="550">
        <f t="shared" si="108"/>
        <v>0.6016588506139412</v>
      </c>
      <c r="DY132" s="551">
        <f t="shared" si="109"/>
        <v>20369.762046385593</v>
      </c>
      <c r="EC132" s="546">
        <f t="shared" si="110"/>
        <v>184</v>
      </c>
      <c r="ED132" s="551">
        <f t="shared" si="111"/>
        <v>77.189220772091275</v>
      </c>
      <c r="EE132" s="553">
        <f>ED132/PI()*SQRT('Hilfstabellen_Mat&amp;Bem'!f.Rd.3/'Hilfstabellen_Mat&amp;Bem'!$BD$30)</f>
        <v>1.2285046039289933</v>
      </c>
      <c r="EF132" s="553">
        <f>0.5*(1+'Hilfstabellen_Mat&amp;Bem'!$BD$31*(EE132-0.3)+EE132^2)</f>
        <v>1.3010370111338161</v>
      </c>
      <c r="EG132" s="550">
        <f t="shared" si="112"/>
        <v>0.57824346420941686</v>
      </c>
      <c r="EI132" s="551">
        <f t="shared" si="113"/>
        <v>19577.010724274016</v>
      </c>
      <c r="EM132" s="546">
        <f t="shared" si="114"/>
        <v>184</v>
      </c>
      <c r="EN132" s="551">
        <f t="shared" si="115"/>
        <v>79.071884693361781</v>
      </c>
      <c r="EO132" s="553">
        <f>EN132/PI()*SQRT('Hilfstabellen_Mat&amp;Bem'!f.Rd.3/'Hilfstabellen_Mat&amp;Bem'!$BD$30)</f>
        <v>1.2584681308540906</v>
      </c>
      <c r="EP132" s="553">
        <f>0.5*(1+'Hilfstabellen_Mat&amp;Bem'!$BD$31*(EO132-0.3)+EO132^2)</f>
        <v>1.3397944247303988</v>
      </c>
      <c r="EQ132" s="550">
        <f t="shared" si="116"/>
        <v>0.5557173600943055</v>
      </c>
      <c r="ES132" s="551">
        <f t="shared" si="117"/>
        <v>18814.366943352808</v>
      </c>
    </row>
    <row r="133" spans="3:149">
      <c r="C133" s="546">
        <v>185</v>
      </c>
      <c r="D133" s="551">
        <f t="shared" si="67"/>
        <v>52.429646066949793</v>
      </c>
      <c r="E133" s="553">
        <f>$D133/PI()*SQRT('Hilfstabellen_Mat&amp;Bem'!f.Rd.3/'Hilfstabellen_Mat&amp;Bem'!$BD$30)</f>
        <v>0.83444373361136093</v>
      </c>
      <c r="F133" s="553">
        <f>0.5*(1+'Hilfstabellen_Mat&amp;Bem'!$BD$31*($E133-0.3)+$E133^2)</f>
        <v>0.874870358962202</v>
      </c>
      <c r="G133" s="550">
        <f t="shared" si="68"/>
        <v>0.87893344640806581</v>
      </c>
      <c r="I133" s="551">
        <f t="shared" si="69"/>
        <v>30081.497203316052</v>
      </c>
      <c r="M133" s="546">
        <f t="shared" si="70"/>
        <v>185</v>
      </c>
      <c r="N133" s="551">
        <f t="shared" si="59"/>
        <v>54.302133426483714</v>
      </c>
      <c r="O133" s="553">
        <f>$N133/PI()*SQRT('Hilfstabellen_Mat&amp;Bem'!f.Rd.3/'Hilfstabellen_Mat&amp;Bem'!$BD$30)</f>
        <v>0.86424529552605245</v>
      </c>
      <c r="P133" s="553">
        <f>0.5*(1+'Hilfstabellen_Mat&amp;Bem'!$BD$31*($O133-0.3)+$O133^2)</f>
        <v>0.90167223019575937</v>
      </c>
      <c r="Q133" s="550">
        <f t="shared" si="60"/>
        <v>0.8629932719218455</v>
      </c>
      <c r="S133" s="551">
        <f t="shared" si="71"/>
        <v>29535.944731525164</v>
      </c>
      <c r="W133" s="546">
        <f t="shared" si="72"/>
        <v>185</v>
      </c>
      <c r="X133" s="551">
        <f t="shared" si="61"/>
        <v>56.174620786017641</v>
      </c>
      <c r="Y133" s="553">
        <f>$X133/PI()*SQRT('Hilfstabellen_Mat&amp;Bem'!f.Rd.3/'Hilfstabellen_Mat&amp;Bem'!$BD$30)</f>
        <v>0.89404685744074386</v>
      </c>
      <c r="Z133" s="553">
        <f>0.5*(1+'Hilfstabellen_Mat&amp;Bem'!$BD$31*($Y133-0.3)+$Y133^2)</f>
        <v>0.92936223452187217</v>
      </c>
      <c r="AA133" s="550">
        <f t="shared" si="62"/>
        <v>0.84522086366346427</v>
      </c>
      <c r="AC133" s="551">
        <f t="shared" si="73"/>
        <v>28927.684058882063</v>
      </c>
      <c r="AG133" s="546">
        <f t="shared" si="74"/>
        <v>185</v>
      </c>
      <c r="AH133" s="551">
        <f t="shared" si="63"/>
        <v>58.047108145551562</v>
      </c>
      <c r="AI133" s="553">
        <f>$AH133/PI()*SQRT('Hilfstabellen_Mat&amp;Bem'!f.Rd.3/'Hilfstabellen_Mat&amp;Bem'!$BD$30)</f>
        <v>0.92384841935543527</v>
      </c>
      <c r="AJ133" s="553">
        <f>0.5*(1+'Hilfstabellen_Mat&amp;Bem'!$BD$31*($AI133-0.3)+$AI133^2)</f>
        <v>0.95794037194053983</v>
      </c>
      <c r="AK133" s="550">
        <f t="shared" si="64"/>
        <v>0.82560942459709841</v>
      </c>
      <c r="AM133" s="551">
        <f t="shared" si="75"/>
        <v>28256.482556835694</v>
      </c>
      <c r="AQ133" s="546">
        <f t="shared" si="76"/>
        <v>185</v>
      </c>
      <c r="AR133" s="551">
        <f t="shared" si="65"/>
        <v>59.919595505085482</v>
      </c>
      <c r="AS133" s="553">
        <f>$AR133/PI()*SQRT('Hilfstabellen_Mat&amp;Bem'!f.Rd.3/'Hilfstabellen_Mat&amp;Bem'!$BD$30)</f>
        <v>0.95364998127012679</v>
      </c>
      <c r="AT133" s="553">
        <f>0.5*(1+'Hilfstabellen_Mat&amp;Bem'!$BD$31*($AS133-0.3)+$AS133^2)</f>
        <v>0.98740664245176291</v>
      </c>
      <c r="AU133" s="550">
        <f t="shared" si="66"/>
        <v>0.80425780221860255</v>
      </c>
      <c r="AW133" s="551">
        <f t="shared" si="77"/>
        <v>27525.723280931674</v>
      </c>
      <c r="BA133" s="546">
        <f t="shared" si="78"/>
        <v>185</v>
      </c>
      <c r="BB133" s="551">
        <f t="shared" si="79"/>
        <v>61.792082864619402</v>
      </c>
      <c r="BC133" s="553">
        <f>$BB133/PI()*SQRT('Hilfstabellen_Mat&amp;Bem'!f.Rd.3/'Hilfstabellen_Mat&amp;Bem'!$BD$30)</f>
        <v>0.9834515431848182</v>
      </c>
      <c r="BD133" s="553">
        <f>0.5*(1+'Hilfstabellen_Mat&amp;Bem'!$BD$31*($BC133-0.3)+$BC133^2)</f>
        <v>1.0177610460555411</v>
      </c>
      <c r="BE133" s="550">
        <f t="shared" si="80"/>
        <v>0.78137652143416525</v>
      </c>
      <c r="BG133" s="551">
        <f t="shared" si="81"/>
        <v>26742.611446084305</v>
      </c>
      <c r="BK133" s="546">
        <f t="shared" si="82"/>
        <v>185</v>
      </c>
      <c r="BL133" s="551">
        <f t="shared" si="83"/>
        <v>63.664570224153323</v>
      </c>
      <c r="BM133" s="553">
        <f>$BL133/PI()*SQRT('Hilfstabellen_Mat&amp;Bem'!f.Rd.3/'Hilfstabellen_Mat&amp;Bem'!$BD$30)</f>
        <v>1.0132531050995097</v>
      </c>
      <c r="BN133" s="553">
        <f>0.5*(1+'Hilfstabellen_Mat&amp;Bem'!$BD$31*($BM133-0.3)+$BM133^2)</f>
        <v>1.0490035827518747</v>
      </c>
      <c r="BO133" s="550">
        <f t="shared" si="84"/>
        <v>0.75727163142869491</v>
      </c>
      <c r="BQ133" s="551">
        <f t="shared" si="85"/>
        <v>25917.621585647084</v>
      </c>
      <c r="BU133" s="546">
        <f t="shared" si="86"/>
        <v>185</v>
      </c>
      <c r="BV133" s="551">
        <f t="shared" si="87"/>
        <v>65.537057583687243</v>
      </c>
      <c r="BW133" s="553">
        <f>$BV133/PI()*SQRT('Hilfstabellen_Mat&amp;Bem'!f.Rd.3/'Hilfstabellen_Mat&amp;Bem'!$BD$30)</f>
        <v>1.0430546670142011</v>
      </c>
      <c r="BX133" s="553">
        <f>0.5*(1+'Hilfstabellen_Mat&amp;Bem'!$BD$31*($BW133-0.3)+$BW133^2)</f>
        <v>1.081134252540763</v>
      </c>
      <c r="BY133" s="550">
        <f t="shared" si="88"/>
        <v>0.73230951446445125</v>
      </c>
      <c r="CA133" s="551">
        <f t="shared" si="89"/>
        <v>25063.293132545845</v>
      </c>
      <c r="CE133" s="546">
        <f t="shared" si="90"/>
        <v>185</v>
      </c>
      <c r="CF133" s="551">
        <f t="shared" si="91"/>
        <v>67.409544943221164</v>
      </c>
      <c r="CG133" s="553">
        <f>CF133/PI()*SQRT('Hilfstabellen_Mat&amp;Bem'!f.Rd.3/'Hilfstabellen_Mat&amp;Bem'!$BD$30)</f>
        <v>1.0728562289288925</v>
      </c>
      <c r="CH133" s="553">
        <f>0.5*(1+'Hilfstabellen_Mat&amp;Bem'!$BD$31*(CG133-0.3)+CG133^2)</f>
        <v>1.1141530554222068</v>
      </c>
      <c r="CI133" s="550">
        <f t="shared" si="92"/>
        <v>0.70687355735142576</v>
      </c>
      <c r="CK133" s="551">
        <f t="shared" si="93"/>
        <v>24192.747500352547</v>
      </c>
      <c r="CO133" s="546">
        <f t="shared" si="94"/>
        <v>185</v>
      </c>
      <c r="CP133" s="551">
        <f t="shared" si="95"/>
        <v>69.282032302755084</v>
      </c>
      <c r="CQ133" s="553">
        <f>CP133/PI()*SQRT('Hilfstabellen_Mat&amp;Bem'!f.Rd.3/'Hilfstabellen_Mat&amp;Bem'!$BD$30)</f>
        <v>1.102657790843584</v>
      </c>
      <c r="CR133" s="553">
        <f>0.5*(1+'Hilfstabellen_Mat&amp;Bem'!$BD$31*(CQ133-0.3)+CQ133^2)</f>
        <v>1.1480599913962055</v>
      </c>
      <c r="CS133" s="550">
        <f t="shared" si="96"/>
        <v>0.68132521956793579</v>
      </c>
      <c r="CU133" s="551">
        <f t="shared" si="97"/>
        <v>23318.355639712601</v>
      </c>
      <c r="CY133" s="546">
        <f t="shared" si="98"/>
        <v>185</v>
      </c>
      <c r="CZ133" s="551">
        <f t="shared" si="99"/>
        <v>71.154519662289005</v>
      </c>
      <c r="DA133" s="553">
        <f>CZ133/PI()*SQRT('Hilfstabellen_Mat&amp;Bem'!f.Rd.3/'Hilfstabellen_Mat&amp;Bem'!$BD$30)</f>
        <v>1.1324593527582756</v>
      </c>
      <c r="DB133" s="553">
        <f>0.5*(1+'Hilfstabellen_Mat&amp;Bem'!$BD$31*(DA133-0.3)+DA133^2)</f>
        <v>1.1828550604627601</v>
      </c>
      <c r="DC133" s="550">
        <f t="shared" si="100"/>
        <v>0.65597755745647501</v>
      </c>
      <c r="DE133" s="551">
        <f t="shared" si="101"/>
        <v>22450.831903947856</v>
      </c>
      <c r="DI133" s="546">
        <f t="shared" si="102"/>
        <v>185</v>
      </c>
      <c r="DJ133" s="551">
        <f t="shared" si="103"/>
        <v>73.027007021822925</v>
      </c>
      <c r="DK133" s="553">
        <f>DJ133/PI()*SQRT('Hilfstabellen_Mat&amp;Bem'!f.Rd.3/'Hilfstabellen_Mat&amp;Bem'!$BD$30)</f>
        <v>1.162260914672967</v>
      </c>
      <c r="DL133" s="553">
        <f>0.5*(1+'Hilfstabellen_Mat&amp;Bem'!$BD$31*(DK133-0.3)+DK133^2)</f>
        <v>1.2185382626218693</v>
      </c>
      <c r="DM133" s="550">
        <f t="shared" si="104"/>
        <v>0.63108286376885914</v>
      </c>
      <c r="DO133" s="551">
        <f t="shared" si="105"/>
        <v>21598.811012489205</v>
      </c>
      <c r="DS133" s="546">
        <f t="shared" si="106"/>
        <v>185</v>
      </c>
      <c r="DT133" s="551">
        <f t="shared" si="107"/>
        <v>74.899494381356845</v>
      </c>
      <c r="DU133" s="553">
        <f>DT133/PI()*SQRT('Hilfstabellen_Mat&amp;Bem'!f.Rd.3/'Hilfstabellen_Mat&amp;Bem'!$BD$30)</f>
        <v>1.1920624765876584</v>
      </c>
      <c r="DV133" s="553">
        <f>0.5*(1+'Hilfstabellen_Mat&amp;Bem'!$BD$31*(DU133-0.3)+DU133^2)</f>
        <v>1.2551095978735338</v>
      </c>
      <c r="DW133" s="550">
        <f t="shared" si="108"/>
        <v>0.60683160079620002</v>
      </c>
      <c r="DY133" s="551">
        <f t="shared" si="109"/>
        <v>20768.811537249945</v>
      </c>
      <c r="EC133" s="546">
        <f t="shared" si="110"/>
        <v>185</v>
      </c>
      <c r="ED133" s="551">
        <f t="shared" si="111"/>
        <v>76.771981740890766</v>
      </c>
      <c r="EE133" s="553">
        <f>ED133/PI()*SQRT('Hilfstabellen_Mat&amp;Bem'!f.Rd.3/'Hilfstabellen_Mat&amp;Bem'!$BD$30)</f>
        <v>1.2218640385023498</v>
      </c>
      <c r="EF133" s="553">
        <f>0.5*(1+'Hilfstabellen_Mat&amp;Bem'!$BD$31*(EE133-0.3)+EE133^2)</f>
        <v>1.2925690662177534</v>
      </c>
      <c r="EG133" s="550">
        <f t="shared" si="112"/>
        <v>0.58335829718544985</v>
      </c>
      <c r="EI133" s="551">
        <f t="shared" si="113"/>
        <v>19965.43772117202</v>
      </c>
      <c r="EM133" s="546">
        <f t="shared" si="114"/>
        <v>185</v>
      </c>
      <c r="EN133" s="551">
        <f t="shared" si="115"/>
        <v>78.644469100424686</v>
      </c>
      <c r="EO133" s="553">
        <f>EN133/PI()*SQRT('Hilfstabellen_Mat&amp;Bem'!f.Rd.3/'Hilfstabellen_Mat&amp;Bem'!$BD$30)</f>
        <v>1.2516656004170414</v>
      </c>
      <c r="EP133" s="553">
        <f>0.5*(1+'Hilfstabellen_Mat&amp;Bem'!$BD$31*(EO133-0.3)+EO133^2)</f>
        <v>1.3309166676545285</v>
      </c>
      <c r="EQ133" s="550">
        <f t="shared" si="116"/>
        <v>0.56075059602262156</v>
      </c>
      <c r="ES133" s="551">
        <f t="shared" si="117"/>
        <v>19191.689148874222</v>
      </c>
    </row>
    <row r="134" spans="3:149">
      <c r="C134" s="546">
        <v>186</v>
      </c>
      <c r="D134" s="551">
        <f t="shared" si="67"/>
        <v>52.147766249385555</v>
      </c>
      <c r="E134" s="553">
        <f>$D134/PI()*SQRT('Hilfstabellen_Mat&amp;Bem'!f.Rd.3/'Hilfstabellen_Mat&amp;Bem'!$BD$30)</f>
        <v>0.82995747697904187</v>
      </c>
      <c r="F134" s="553">
        <f>0.5*(1+'Hilfstabellen_Mat&amp;Bem'!$BD$31*($E134-0.3)+$E134^2)</f>
        <v>0.87091258064566057</v>
      </c>
      <c r="G134" s="550">
        <f t="shared" si="68"/>
        <v>0.88117909504911385</v>
      </c>
      <c r="I134" s="551">
        <f t="shared" si="69"/>
        <v>30485.271972319144</v>
      </c>
      <c r="M134" s="546">
        <f t="shared" si="70"/>
        <v>186</v>
      </c>
      <c r="N134" s="551">
        <f t="shared" si="59"/>
        <v>54.010186472577892</v>
      </c>
      <c r="O134" s="553">
        <f>$N134/PI()*SQRT('Hilfstabellen_Mat&amp;Bem'!f.Rd.3/'Hilfstabellen_Mat&amp;Bem'!$BD$30)</f>
        <v>0.85959881544257899</v>
      </c>
      <c r="P134" s="553">
        <f>0.5*(1+'Hilfstabellen_Mat&amp;Bem'!$BD$31*($O134-0.3)+$O134^2)</f>
        <v>0.89743500252727149</v>
      </c>
      <c r="Q134" s="550">
        <f t="shared" si="60"/>
        <v>0.86559768360638012</v>
      </c>
      <c r="S134" s="551">
        <f t="shared" si="71"/>
        <v>29946.217462046327</v>
      </c>
      <c r="W134" s="546">
        <f t="shared" si="72"/>
        <v>186</v>
      </c>
      <c r="X134" s="551">
        <f t="shared" si="61"/>
        <v>55.87260669577023</v>
      </c>
      <c r="Y134" s="553">
        <f>$X134/PI()*SQRT('Hilfstabellen_Mat&amp;Bem'!f.Rd.3/'Hilfstabellen_Mat&amp;Bem'!$BD$30)</f>
        <v>0.88924015390611622</v>
      </c>
      <c r="Z134" s="553">
        <f>0.5*(1+'Hilfstabellen_Mat&amp;Bem'!$BD$31*($Y134-0.3)+$Y134^2)</f>
        <v>0.92483603335479247</v>
      </c>
      <c r="AA134" s="550">
        <f t="shared" si="62"/>
        <v>0.84821277569700859</v>
      </c>
      <c r="AC134" s="551">
        <f t="shared" si="73"/>
        <v>29344.76918801371</v>
      </c>
      <c r="AG134" s="546">
        <f t="shared" si="74"/>
        <v>186</v>
      </c>
      <c r="AH134" s="551">
        <f t="shared" si="63"/>
        <v>57.735026918962575</v>
      </c>
      <c r="AI134" s="553">
        <f>$AH134/PI()*SQRT('Hilfstabellen_Mat&amp;Bem'!f.Rd.3/'Hilfstabellen_Mat&amp;Bem'!$BD$30)</f>
        <v>0.91888149236965355</v>
      </c>
      <c r="AJ134" s="553">
        <f>0.5*(1+'Hilfstabellen_Mat&amp;Bem'!$BD$31*($AI134-0.3)+$AI134^2)</f>
        <v>0.95311567312822354</v>
      </c>
      <c r="AK134" s="550">
        <f t="shared" si="64"/>
        <v>0.8290029172295762</v>
      </c>
      <c r="AM134" s="551">
        <f t="shared" si="75"/>
        <v>28680.184924474419</v>
      </c>
      <c r="AQ134" s="546">
        <f t="shared" si="76"/>
        <v>186</v>
      </c>
      <c r="AR134" s="551">
        <f t="shared" si="65"/>
        <v>59.597447142154913</v>
      </c>
      <c r="AS134" s="553">
        <f>$AR134/PI()*SQRT('Hilfstabellen_Mat&amp;Bem'!f.Rd.3/'Hilfstabellen_Mat&amp;Bem'!$BD$30)</f>
        <v>0.94852283083319056</v>
      </c>
      <c r="AT134" s="553">
        <f>0.5*(1+'Hilfstabellen_Mat&amp;Bem'!$BD$31*($AS134-0.3)+$AS134^2)</f>
        <v>0.98227392184756424</v>
      </c>
      <c r="AU134" s="550">
        <f t="shared" si="66"/>
        <v>0.80804736566800472</v>
      </c>
      <c r="AW134" s="551">
        <f t="shared" si="77"/>
        <v>27955.206662650293</v>
      </c>
      <c r="BA134" s="546">
        <f t="shared" si="78"/>
        <v>186</v>
      </c>
      <c r="BB134" s="551">
        <f t="shared" si="79"/>
        <v>61.459867365347257</v>
      </c>
      <c r="BC134" s="553">
        <f>$BB134/PI()*SQRT('Hilfstabellen_Mat&amp;Bem'!f.Rd.3/'Hilfstabellen_Mat&amp;Bem'!$BD$30)</f>
        <v>0.97816416929672789</v>
      </c>
      <c r="BD134" s="553">
        <f>0.5*(1+'Hilfstabellen_Mat&amp;Bem'!$BD$31*($BC134-0.3)+$BC134^2)</f>
        <v>1.0123107795128155</v>
      </c>
      <c r="BE134" s="550">
        <f t="shared" si="80"/>
        <v>0.78553518154407664</v>
      </c>
      <c r="BG134" s="551">
        <f t="shared" si="81"/>
        <v>27176.375140698874</v>
      </c>
      <c r="BK134" s="546">
        <f t="shared" si="82"/>
        <v>186</v>
      </c>
      <c r="BL134" s="551">
        <f t="shared" si="83"/>
        <v>63.322287588539602</v>
      </c>
      <c r="BM134" s="553">
        <f>$BL134/PI()*SQRT('Hilfstabellen_Mat&amp;Bem'!f.Rd.3/'Hilfstabellen_Mat&amp;Bem'!$BD$30)</f>
        <v>1.007805507760265</v>
      </c>
      <c r="BN134" s="553">
        <f>0.5*(1+'Hilfstabellen_Mat&amp;Bem'!$BD$31*($BM134-0.3)+$BM134^2)</f>
        <v>1.0432262461239761</v>
      </c>
      <c r="BO134" s="550">
        <f t="shared" si="84"/>
        <v>0.76175320046416461</v>
      </c>
      <c r="BQ134" s="551">
        <f t="shared" si="85"/>
        <v>26353.61372325824</v>
      </c>
      <c r="BU134" s="546">
        <f t="shared" si="86"/>
        <v>186</v>
      </c>
      <c r="BV134" s="551">
        <f t="shared" si="87"/>
        <v>65.18470781173194</v>
      </c>
      <c r="BW134" s="553">
        <f>$BV134/PI()*SQRT('Hilfstabellen_Mat&amp;Bem'!f.Rd.3/'Hilfstabellen_Mat&amp;Bem'!$BD$30)</f>
        <v>1.0374468462238022</v>
      </c>
      <c r="BX134" s="553">
        <f>0.5*(1+'Hilfstabellen_Mat&amp;Bem'!$BD$31*($BW134-0.3)+$BW134^2)</f>
        <v>1.075020321681047</v>
      </c>
      <c r="BY134" s="550">
        <f t="shared" si="88"/>
        <v>0.73705438201516604</v>
      </c>
      <c r="CA134" s="551">
        <f t="shared" si="89"/>
        <v>25499.133400196686</v>
      </c>
      <c r="CE134" s="546">
        <f t="shared" si="90"/>
        <v>186</v>
      </c>
      <c r="CF134" s="551">
        <f t="shared" si="91"/>
        <v>67.047128034924285</v>
      </c>
      <c r="CG134" s="553">
        <f>CF134/PI()*SQRT('Hilfstabellen_Mat&amp;Bem'!f.Rd.3/'Hilfstabellen_Mat&amp;Bem'!$BD$30)</f>
        <v>1.0670881846873397</v>
      </c>
      <c r="CH134" s="553">
        <f>0.5*(1+'Hilfstabellen_Mat&amp;Bem'!$BD$31*(CG134-0.3)+CG134^2)</f>
        <v>1.1076930061840278</v>
      </c>
      <c r="CI134" s="550">
        <f t="shared" si="92"/>
        <v>0.71181608162443133</v>
      </c>
      <c r="CK134" s="551">
        <f t="shared" si="93"/>
        <v>24625.989159878827</v>
      </c>
      <c r="CO134" s="546">
        <f t="shared" si="94"/>
        <v>186</v>
      </c>
      <c r="CP134" s="551">
        <f t="shared" si="95"/>
        <v>68.909548258116615</v>
      </c>
      <c r="CQ134" s="553">
        <f>CP134/PI()*SQRT('Hilfstabellen_Mat&amp;Bem'!f.Rd.3/'Hilfstabellen_Mat&amp;Bem'!$BD$30)</f>
        <v>1.0967295231508767</v>
      </c>
      <c r="CR134" s="553">
        <f>0.5*(1+'Hilfstabellen_Mat&amp;Bem'!$BD$31*(CQ134-0.3)+CQ134^2)</f>
        <v>1.1412442996329184</v>
      </c>
      <c r="CS134" s="550">
        <f t="shared" si="96"/>
        <v>0.68640056289397378</v>
      </c>
      <c r="CU134" s="551">
        <f t="shared" si="97"/>
        <v>23746.713873879919</v>
      </c>
      <c r="CY134" s="546">
        <f t="shared" si="98"/>
        <v>186</v>
      </c>
      <c r="CZ134" s="551">
        <f t="shared" si="99"/>
        <v>70.77196848130896</v>
      </c>
      <c r="DA134" s="553">
        <f>CZ134/PI()*SQRT('Hilfstabellen_Mat&amp;Bem'!f.Rd.3/'Hilfstabellen_Mat&amp;Bem'!$BD$30)</f>
        <v>1.1263708616144139</v>
      </c>
      <c r="DB134" s="553">
        <f>0.5*(1+'Hilfstabellen_Mat&amp;Bem'!$BD$31*(DA134-0.3)+DA134^2)</f>
        <v>1.1756742020277193</v>
      </c>
      <c r="DC134" s="550">
        <f t="shared" si="100"/>
        <v>0.66112660058589878</v>
      </c>
      <c r="DE134" s="551">
        <f t="shared" si="101"/>
        <v>22872.335873869753</v>
      </c>
      <c r="DI134" s="546">
        <f t="shared" si="102"/>
        <v>186</v>
      </c>
      <c r="DJ134" s="551">
        <f t="shared" si="103"/>
        <v>72.634388704501305</v>
      </c>
      <c r="DK134" s="553">
        <f>DJ134/PI()*SQRT('Hilfstabellen_Mat&amp;Bem'!f.Rd.3/'Hilfstabellen_Mat&amp;Bem'!$BD$30)</f>
        <v>1.1560122000779511</v>
      </c>
      <c r="DL134" s="553">
        <f>0.5*(1+'Hilfstabellen_Mat&amp;Bem'!$BD$31*(DK134-0.3)+DK134^2)</f>
        <v>1.2109827133684301</v>
      </c>
      <c r="DM134" s="550">
        <f t="shared" si="104"/>
        <v>0.63625488019301757</v>
      </c>
      <c r="DO134" s="551">
        <f t="shared" si="105"/>
        <v>22011.873835157636</v>
      </c>
      <c r="DS134" s="546">
        <f t="shared" si="106"/>
        <v>186</v>
      </c>
      <c r="DT134" s="551">
        <f t="shared" si="107"/>
        <v>74.496808927693635</v>
      </c>
      <c r="DU134" s="553">
        <f>DT134/PI()*SQRT('Hilfstabellen_Mat&amp;Bem'!f.Rd.3/'Hilfstabellen_Mat&amp;Bem'!$BD$30)</f>
        <v>1.1856535385414881</v>
      </c>
      <c r="DV134" s="553">
        <f>0.5*(1+'Hilfstabellen_Mat&amp;Bem'!$BD$31*(DU134-0.3)+DU134^2)</f>
        <v>1.2471698336550505</v>
      </c>
      <c r="DW134" s="550">
        <f t="shared" si="108"/>
        <v>0.61198508202020507</v>
      </c>
      <c r="DY134" s="551">
        <f t="shared" si="109"/>
        <v>21172.235897571016</v>
      </c>
      <c r="EC134" s="546">
        <f t="shared" si="110"/>
        <v>186</v>
      </c>
      <c r="ED134" s="551">
        <f t="shared" si="111"/>
        <v>76.35922915088598</v>
      </c>
      <c r="EE134" s="553">
        <f>ED134/PI()*SQRT('Hilfstabellen_Mat&amp;Bem'!f.Rd.3/'Hilfstabellen_Mat&amp;Bem'!$BD$30)</f>
        <v>1.2152948770050254</v>
      </c>
      <c r="EF134" s="553">
        <f>0.5*(1+'Hilfstabellen_Mat&amp;Bem'!$BD$31*(EE134-0.3)+EE134^2)</f>
        <v>1.2842355628875812</v>
      </c>
      <c r="EG134" s="550">
        <f t="shared" si="112"/>
        <v>0.58846056600131413</v>
      </c>
      <c r="EI134" s="551">
        <f t="shared" si="113"/>
        <v>20358.381741381465</v>
      </c>
      <c r="EM134" s="546">
        <f t="shared" si="114"/>
        <v>186</v>
      </c>
      <c r="EN134" s="551">
        <f t="shared" si="115"/>
        <v>78.221649374078325</v>
      </c>
      <c r="EO134" s="553">
        <f>EN134/PI()*SQRT('Hilfstabellen_Mat&amp;Bem'!f.Rd.3/'Hilfstabellen_Mat&amp;Bem'!$BD$30)</f>
        <v>1.2449362154685628</v>
      </c>
      <c r="EP134" s="553">
        <f>0.5*(1+'Hilfstabellen_Mat&amp;Bem'!$BD$31*(EO134-0.3)+EO134^2)</f>
        <v>1.322179901066022</v>
      </c>
      <c r="EQ134" s="550">
        <f t="shared" si="116"/>
        <v>0.56577678602226766</v>
      </c>
      <c r="ES134" s="551">
        <f t="shared" si="117"/>
        <v>19573.613689226371</v>
      </c>
    </row>
    <row r="135" spans="3:149">
      <c r="C135" s="546">
        <v>187</v>
      </c>
      <c r="D135" s="551">
        <f t="shared" si="67"/>
        <v>51.868901189228403</v>
      </c>
      <c r="E135" s="553">
        <f>$D135/PI()*SQRT('Hilfstabellen_Mat&amp;Bem'!f.Rd.3/'Hilfstabellen_Mat&amp;Bem'!$BD$30)</f>
        <v>0.82551920170107884</v>
      </c>
      <c r="F135" s="553">
        <f>0.5*(1+'Hilfstabellen_Mat&amp;Bem'!$BD$31*($E135-0.3)+$E135^2)</f>
        <v>0.86701693627364718</v>
      </c>
      <c r="G135" s="550">
        <f t="shared" si="68"/>
        <v>0.88336220283310951</v>
      </c>
      <c r="I135" s="551">
        <f t="shared" si="69"/>
        <v>30890.292870871006</v>
      </c>
      <c r="M135" s="546">
        <f t="shared" si="70"/>
        <v>187</v>
      </c>
      <c r="N135" s="551">
        <f t="shared" si="59"/>
        <v>53.721361945986565</v>
      </c>
      <c r="O135" s="553">
        <f>$N135/PI()*SQRT('Hilfstabellen_Mat&amp;Bem'!f.Rd.3/'Hilfstabellen_Mat&amp;Bem'!$BD$30)</f>
        <v>0.85500203033326039</v>
      </c>
      <c r="P135" s="553">
        <f>0.5*(1+'Hilfstabellen_Mat&amp;Bem'!$BD$31*($O135-0.3)+$O135^2)</f>
        <v>0.89326433745366174</v>
      </c>
      <c r="Q135" s="550">
        <f t="shared" si="60"/>
        <v>0.86813047886878891</v>
      </c>
      <c r="S135" s="551">
        <f t="shared" si="71"/>
        <v>30357.654715562679</v>
      </c>
      <c r="W135" s="546">
        <f t="shared" si="72"/>
        <v>187</v>
      </c>
      <c r="X135" s="551">
        <f t="shared" si="61"/>
        <v>55.573822702744721</v>
      </c>
      <c r="Y135" s="553">
        <f>$X135/PI()*SQRT('Hilfstabellen_Mat&amp;Bem'!f.Rd.3/'Hilfstabellen_Mat&amp;Bem'!$BD$30)</f>
        <v>0.88448485896544171</v>
      </c>
      <c r="Z135" s="553">
        <f>0.5*(1+'Hilfstabellen_Mat&amp;Bem'!$BD$31*($Y135-0.3)+$Y135^2)</f>
        <v>0.92038097581783074</v>
      </c>
      <c r="AA135" s="550">
        <f t="shared" si="62"/>
        <v>0.85112525051496279</v>
      </c>
      <c r="AC135" s="551">
        <f t="shared" si="73"/>
        <v>29762.998885257733</v>
      </c>
      <c r="AG135" s="546">
        <f t="shared" si="74"/>
        <v>187</v>
      </c>
      <c r="AH135" s="551">
        <f t="shared" si="63"/>
        <v>57.426283459502883</v>
      </c>
      <c r="AI135" s="553">
        <f>$AH135/PI()*SQRT('Hilfstabellen_Mat&amp;Bem'!f.Rd.3/'Hilfstabellen_Mat&amp;Bem'!$BD$30)</f>
        <v>0.91396768759762326</v>
      </c>
      <c r="AJ135" s="553">
        <f>0.5*(1+'Hilfstabellen_Mat&amp;Bem'!$BD$31*($AI135-0.3)+$AI135^2)</f>
        <v>0.94836685136615451</v>
      </c>
      <c r="AK135" s="550">
        <f t="shared" si="64"/>
        <v>0.83231163200021174</v>
      </c>
      <c r="AM135" s="551">
        <f t="shared" si="75"/>
        <v>29105.105459415405</v>
      </c>
      <c r="AQ135" s="546">
        <f t="shared" si="76"/>
        <v>187</v>
      </c>
      <c r="AR135" s="551">
        <f t="shared" si="65"/>
        <v>59.278744216261039</v>
      </c>
      <c r="AS135" s="553">
        <f>$AR135/PI()*SQRT('Hilfstabellen_Mat&amp;Bem'!f.Rd.3/'Hilfstabellen_Mat&amp;Bem'!$BD$30)</f>
        <v>0.94345051622980458</v>
      </c>
      <c r="AT135" s="553">
        <f>0.5*(1+'Hilfstabellen_Mat&amp;Bem'!$BD$31*($AS135-0.3)+$AS135^2)</f>
        <v>0.9772219640986326</v>
      </c>
      <c r="AU135" s="550">
        <f t="shared" si="66"/>
        <v>0.81175033462863977</v>
      </c>
      <c r="AW135" s="551">
        <f t="shared" si="77"/>
        <v>28386.097451628902</v>
      </c>
      <c r="BA135" s="546">
        <f t="shared" si="78"/>
        <v>187</v>
      </c>
      <c r="BB135" s="551">
        <f t="shared" si="79"/>
        <v>61.131204973019202</v>
      </c>
      <c r="BC135" s="553">
        <f>$BB135/PI()*SQRT('Hilfstabellen_Mat&amp;Bem'!f.Rd.3/'Hilfstabellen_Mat&amp;Bem'!$BD$30)</f>
        <v>0.97293334486198602</v>
      </c>
      <c r="BD135" s="553">
        <f>0.5*(1+'Hilfstabellen_Mat&amp;Bem'!$BD$31*($BC135-0.3)+$BC135^2)</f>
        <v>1.0069463140152655</v>
      </c>
      <c r="BE135" s="550">
        <f t="shared" si="80"/>
        <v>0.78960944234581298</v>
      </c>
      <c r="BG135" s="551">
        <f t="shared" si="81"/>
        <v>27611.852589390735</v>
      </c>
      <c r="BK135" s="546">
        <f t="shared" si="82"/>
        <v>187</v>
      </c>
      <c r="BL135" s="551">
        <f t="shared" si="83"/>
        <v>62.983665729777357</v>
      </c>
      <c r="BM135" s="553">
        <f>$BL135/PI()*SQRT('Hilfstabellen_Mat&amp;Bem'!f.Rd.3/'Hilfstabellen_Mat&amp;Bem'!$BD$30)</f>
        <v>1.0024161734941675</v>
      </c>
      <c r="BN135" s="553">
        <f>0.5*(1+'Hilfstabellen_Mat&amp;Bem'!$BD$31*($BM135-0.3)+$BM135^2)</f>
        <v>1.0375399011160527</v>
      </c>
      <c r="BO135" s="550">
        <f t="shared" si="84"/>
        <v>0.76615630968545334</v>
      </c>
      <c r="BQ135" s="551">
        <f t="shared" si="85"/>
        <v>26791.719993390619</v>
      </c>
      <c r="BU135" s="546">
        <f t="shared" si="86"/>
        <v>187</v>
      </c>
      <c r="BV135" s="551">
        <f t="shared" si="87"/>
        <v>64.836126486535505</v>
      </c>
      <c r="BW135" s="553">
        <f>$BV135/PI()*SQRT('Hilfstabellen_Mat&amp;Bem'!f.Rd.3/'Hilfstabellen_Mat&amp;Bem'!$BD$30)</f>
        <v>1.0318990021263488</v>
      </c>
      <c r="BX135" s="553">
        <f>0.5*(1+'Hilfstabellen_Mat&amp;Bem'!$BD$31*($BW135-0.3)+$BW135^2)</f>
        <v>1.0690027254009946</v>
      </c>
      <c r="BY135" s="550">
        <f t="shared" si="88"/>
        <v>0.74172955784239514</v>
      </c>
      <c r="CA135" s="551">
        <f t="shared" si="89"/>
        <v>25937.540908190716</v>
      </c>
      <c r="CE135" s="546">
        <f t="shared" si="90"/>
        <v>187</v>
      </c>
      <c r="CF135" s="551">
        <f t="shared" si="91"/>
        <v>66.688587243293668</v>
      </c>
      <c r="CG135" s="553">
        <f>CF135/PI()*SQRT('Hilfstabellen_Mat&amp;Bem'!f.Rd.3/'Hilfstabellen_Mat&amp;Bem'!$BD$30)</f>
        <v>1.0613818307585301</v>
      </c>
      <c r="CH135" s="553">
        <f>0.5*(1+'Hilfstabellen_Mat&amp;Bem'!$BD$31*(CG135-0.3)+CG135^2)</f>
        <v>1.1013347868700909</v>
      </c>
      <c r="CI135" s="550">
        <f t="shared" si="92"/>
        <v>0.71669928589795773</v>
      </c>
      <c r="CK135" s="551">
        <f t="shared" si="93"/>
        <v>25062.257328565684</v>
      </c>
      <c r="CO135" s="546">
        <f t="shared" si="94"/>
        <v>187</v>
      </c>
      <c r="CP135" s="551">
        <f t="shared" si="95"/>
        <v>68.541048000051816</v>
      </c>
      <c r="CQ135" s="553">
        <f>CP135/PI()*SQRT('Hilfstabellen_Mat&amp;Bem'!f.Rd.3/'Hilfstabellen_Mat&amp;Bem'!$BD$30)</f>
        <v>1.0908646593907114</v>
      </c>
      <c r="CR135" s="553">
        <f>0.5*(1+'Hilfstabellen_Mat&amp;Bem'!$BD$31*(CQ135-0.3)+CQ135^2)</f>
        <v>1.134536085523342</v>
      </c>
      <c r="CS135" s="550">
        <f t="shared" si="96"/>
        <v>0.69142739237427231</v>
      </c>
      <c r="CU135" s="551">
        <f t="shared" si="97"/>
        <v>24178.524483935929</v>
      </c>
      <c r="CY135" s="546">
        <f t="shared" si="98"/>
        <v>187</v>
      </c>
      <c r="CZ135" s="551">
        <f t="shared" si="99"/>
        <v>70.393508756809979</v>
      </c>
      <c r="DA135" s="553">
        <f>CZ135/PI()*SQRT('Hilfstabellen_Mat&amp;Bem'!f.Rd.3/'Hilfstabellen_Mat&amp;Bem'!$BD$30)</f>
        <v>1.1203474880228927</v>
      </c>
      <c r="DB135" s="553">
        <f>0.5*(1+'Hilfstabellen_Mat&amp;Bem'!$BD$31*(DA135-0.3)+DA135^2)</f>
        <v>1.1686066213607476</v>
      </c>
      <c r="DC135" s="550">
        <f t="shared" si="100"/>
        <v>0.66623748611087175</v>
      </c>
      <c r="DE135" s="551">
        <f t="shared" si="101"/>
        <v>23297.658651811074</v>
      </c>
      <c r="DI135" s="546">
        <f t="shared" si="102"/>
        <v>187</v>
      </c>
      <c r="DJ135" s="551">
        <f t="shared" si="103"/>
        <v>72.245969513568141</v>
      </c>
      <c r="DK135" s="553">
        <f>DJ135/PI()*SQRT('Hilfstabellen_Mat&amp;Bem'!f.Rd.3/'Hilfstabellen_Mat&amp;Bem'!$BD$30)</f>
        <v>1.1498303166550743</v>
      </c>
      <c r="DL135" s="553">
        <f>0.5*(1+'Hilfstabellen_Mat&amp;Bem'!$BD$31*(DK135-0.3)+DK135^2)</f>
        <v>1.2035463943823079</v>
      </c>
      <c r="DM135" s="550">
        <f t="shared" si="104"/>
        <v>0.64139810687746535</v>
      </c>
      <c r="DO135" s="551">
        <f t="shared" si="105"/>
        <v>22429.050399398086</v>
      </c>
      <c r="DS135" s="546">
        <f t="shared" si="106"/>
        <v>187</v>
      </c>
      <c r="DT135" s="551">
        <f t="shared" si="107"/>
        <v>74.098430270326304</v>
      </c>
      <c r="DU135" s="553">
        <f>DT135/PI()*SQRT('Hilfstabellen_Mat&amp;Bem'!f.Rd.3/'Hilfstabellen_Mat&amp;Bem'!$BD$30)</f>
        <v>1.1793131452872558</v>
      </c>
      <c r="DV135" s="553">
        <f>0.5*(1+'Hilfstabellen_Mat&amp;Bem'!$BD$31*(DU135-0.3)+DU135^2)</f>
        <v>1.2393554045880228</v>
      </c>
      <c r="DW135" s="550">
        <f t="shared" si="108"/>
        <v>0.61711791005793026</v>
      </c>
      <c r="DY135" s="551">
        <f t="shared" si="109"/>
        <v>21579.996196815762</v>
      </c>
      <c r="EC135" s="546">
        <f t="shared" si="110"/>
        <v>187</v>
      </c>
      <c r="ED135" s="551">
        <f t="shared" si="111"/>
        <v>75.950891027084452</v>
      </c>
      <c r="EE135" s="553">
        <f>ED135/PI()*SQRT('Hilfstabellen_Mat&amp;Bem'!f.Rd.3/'Hilfstabellen_Mat&amp;Bem'!$BD$30)</f>
        <v>1.2087959739194372</v>
      </c>
      <c r="EF135" s="553">
        <f>0.5*(1+'Hilfstabellen_Mat&amp;Bem'!$BD$31*(EE135-0.3)+EE135^2)</f>
        <v>1.2760336519778921</v>
      </c>
      <c r="EG135" s="550">
        <f t="shared" si="112"/>
        <v>0.59354904869223823</v>
      </c>
      <c r="EI135" s="551">
        <f t="shared" si="113"/>
        <v>20755.81668371888</v>
      </c>
      <c r="EM135" s="546">
        <f t="shared" si="114"/>
        <v>187</v>
      </c>
      <c r="EN135" s="551">
        <f t="shared" si="115"/>
        <v>77.803351783842615</v>
      </c>
      <c r="EO135" s="553">
        <f>EN135/PI()*SQRT('Hilfstabellen_Mat&amp;Bem'!f.Rd.3/'Hilfstabellen_Mat&amp;Bem'!$BD$30)</f>
        <v>1.2382788025516187</v>
      </c>
      <c r="EP135" s="553">
        <f>0.5*(1+'Hilfstabellen_Mat&amp;Bem'!$BD$31*(EO135-0.3)+EO135^2)</f>
        <v>1.3135811365519161</v>
      </c>
      <c r="EQ135" s="550">
        <f t="shared" si="116"/>
        <v>0.57079486840333205</v>
      </c>
      <c r="ES135" s="551">
        <f t="shared" si="117"/>
        <v>19960.12575319612</v>
      </c>
    </row>
    <row r="136" spans="3:149">
      <c r="C136" s="546">
        <v>188</v>
      </c>
      <c r="D136" s="551">
        <f t="shared" si="67"/>
        <v>51.593002778647403</v>
      </c>
      <c r="E136" s="553">
        <f>$D136/PI()*SQRT('Hilfstabellen_Mat&amp;Bem'!f.Rd.3/'Hilfstabellen_Mat&amp;Bem'!$BD$30)</f>
        <v>0.82112814211756258</v>
      </c>
      <c r="F136" s="553">
        <f>0.5*(1+'Hilfstabellen_Mat&amp;Bem'!$BD$31*($E136-0.3)+$E136^2)</f>
        <v>0.86318211999459815</v>
      </c>
      <c r="G136" s="550">
        <f t="shared" si="68"/>
        <v>0.8854848189785719</v>
      </c>
      <c r="I136" s="551">
        <f t="shared" si="69"/>
        <v>31296.575441978646</v>
      </c>
      <c r="M136" s="546">
        <f t="shared" si="70"/>
        <v>188</v>
      </c>
      <c r="N136" s="551">
        <f t="shared" ref="N136:N199" si="118">$L$8*10^3/$M136*SQRT(12)</f>
        <v>53.435610020741954</v>
      </c>
      <c r="O136" s="553">
        <f>$N136/PI()*SQRT('Hilfstabellen_Mat&amp;Bem'!f.Rd.3/'Hilfstabellen_Mat&amp;Bem'!$BD$30)</f>
        <v>0.85045414719318979</v>
      </c>
      <c r="P136" s="553">
        <f>0.5*(1+'Hilfstabellen_Mat&amp;Bem'!$BD$31*($O136-0.3)+$O136^2)</f>
        <v>0.88915883559870723</v>
      </c>
      <c r="Q136" s="550">
        <f t="shared" ref="Q136:Q199" si="119">MIN(1/($P136+SQRT($P136^2-$O136^2)),1)</f>
        <v>0.8705937625267467</v>
      </c>
      <c r="S136" s="551">
        <f t="shared" si="71"/>
        <v>30770.265942745336</v>
      </c>
      <c r="W136" s="546">
        <f t="shared" si="72"/>
        <v>188</v>
      </c>
      <c r="X136" s="551">
        <f t="shared" ref="X136:X199" si="120">$V$8*10^3/$W136*SQRT(12)</f>
        <v>55.278217262836506</v>
      </c>
      <c r="Y136" s="553">
        <f>$X136/PI()*SQRT('Hilfstabellen_Mat&amp;Bem'!f.Rd.3/'Hilfstabellen_Mat&amp;Bem'!$BD$30)</f>
        <v>0.87978015226881723</v>
      </c>
      <c r="Z136" s="553">
        <f>0.5*(1+'Hilfstabellen_Mat&amp;Bem'!$BD$31*($Y136-0.3)+$Y136^2)</f>
        <v>0.91599556577651253</v>
      </c>
      <c r="AA136" s="550">
        <f t="shared" ref="AA136:AA199" si="121">MIN(1/($Z136+SQRT($Z136^2-$Y136^2)),1)</f>
        <v>0.85396024293816841</v>
      </c>
      <c r="AC136" s="551">
        <f t="shared" si="73"/>
        <v>30182.370826406623</v>
      </c>
      <c r="AG136" s="546">
        <f t="shared" si="74"/>
        <v>188</v>
      </c>
      <c r="AH136" s="551">
        <f t="shared" ref="AH136:AH199" si="122">$AF$8*10^3/$AG136*SQRT(12)</f>
        <v>57.120824504931058</v>
      </c>
      <c r="AI136" s="553">
        <f>$AH136/PI()*SQRT('Hilfstabellen_Mat&amp;Bem'!f.Rd.3/'Hilfstabellen_Mat&amp;Bem'!$BD$30)</f>
        <v>0.90910615734444444</v>
      </c>
      <c r="AJ136" s="553">
        <f>0.5*(1+'Hilfstabellen_Mat&amp;Bem'!$BD$31*($AI136-0.3)+$AI136^2)</f>
        <v>0.94369231052801317</v>
      </c>
      <c r="AK136" s="550">
        <f t="shared" ref="AK136:AK199" si="123">MIN(1/($AJ136+SQRT($AJ136^2-$AI136^2)),1)</f>
        <v>0.83553713073610225</v>
      </c>
      <c r="AM136" s="551">
        <f t="shared" si="75"/>
        <v>29531.2243487368</v>
      </c>
      <c r="AQ136" s="546">
        <f t="shared" si="76"/>
        <v>188</v>
      </c>
      <c r="AR136" s="551">
        <f t="shared" ref="AR136:AR199" si="124">$AP$8*10^3/$AQ136*SQRT(12)</f>
        <v>58.963431747025602</v>
      </c>
      <c r="AS136" s="553">
        <f>$AR136/PI()*SQRT('Hilfstabellen_Mat&amp;Bem'!f.Rd.3/'Hilfstabellen_Mat&amp;Bem'!$BD$30)</f>
        <v>0.93843216242007144</v>
      </c>
      <c r="AT136" s="553">
        <f>0.5*(1+'Hilfstabellen_Mat&amp;Bem'!$BD$31*($AS136-0.3)+$AS136^2)</f>
        <v>0.97224906985320914</v>
      </c>
      <c r="AU136" s="550">
        <f t="shared" ref="AU136:AU199" si="125">MIN(1/($AT136+SQRT($AT136^2-$AS136^2)),1)</f>
        <v>0.81536766299625374</v>
      </c>
      <c r="AW136" s="551">
        <f t="shared" si="77"/>
        <v>28818.354680939592</v>
      </c>
      <c r="BA136" s="546">
        <f t="shared" si="78"/>
        <v>188</v>
      </c>
      <c r="BB136" s="551">
        <f t="shared" si="79"/>
        <v>60.806038989120154</v>
      </c>
      <c r="BC136" s="553">
        <f>$BB136/PI()*SQRT('Hilfstabellen_Mat&amp;Bem'!f.Rd.3/'Hilfstabellen_Mat&amp;Bem'!$BD$30)</f>
        <v>0.96775816749569887</v>
      </c>
      <c r="BD136" s="553">
        <f>0.5*(1+'Hilfstabellen_Mat&amp;Bem'!$BD$31*($BC136-0.3)+$BC136^2)</f>
        <v>1.0016658437521015</v>
      </c>
      <c r="BE136" s="550">
        <f t="shared" si="80"/>
        <v>0.79359953426052876</v>
      </c>
      <c r="BG136" s="551">
        <f t="shared" si="81"/>
        <v>28048.981938904129</v>
      </c>
      <c r="BK136" s="546">
        <f t="shared" si="82"/>
        <v>188</v>
      </c>
      <c r="BL136" s="551">
        <f t="shared" si="83"/>
        <v>62.648646231214705</v>
      </c>
      <c r="BM136" s="553">
        <f>$BL136/PI()*SQRT('Hilfstabellen_Mat&amp;Bem'!f.Rd.3/'Hilfstabellen_Mat&amp;Bem'!$BD$30)</f>
        <v>0.99708417257132609</v>
      </c>
      <c r="BN136" s="553">
        <f>0.5*(1+'Hilfstabellen_Mat&amp;Bem'!$BD$31*($BM136-0.3)+$BM136^2)</f>
        <v>1.0319426322246894</v>
      </c>
      <c r="BO136" s="550">
        <f t="shared" si="84"/>
        <v>0.77048048642992173</v>
      </c>
      <c r="BQ136" s="551">
        <f t="shared" si="85"/>
        <v>27231.862312379155</v>
      </c>
      <c r="BU136" s="546">
        <f t="shared" si="86"/>
        <v>188</v>
      </c>
      <c r="BV136" s="551">
        <f t="shared" si="87"/>
        <v>64.491253473309257</v>
      </c>
      <c r="BW136" s="553">
        <f>$BV136/PI()*SQRT('Hilfstabellen_Mat&amp;Bem'!f.Rd.3/'Hilfstabellen_Mat&amp;Bem'!$BD$30)</f>
        <v>1.0264101776469532</v>
      </c>
      <c r="BX136" s="553">
        <f>0.5*(1+'Hilfstabellen_Mat&amp;Bem'!$BD$31*($BW136-0.3)+$BW136^2)</f>
        <v>1.0630794352709727</v>
      </c>
      <c r="BY136" s="550">
        <f t="shared" si="88"/>
        <v>0.74633400332349464</v>
      </c>
      <c r="CA136" s="551">
        <f t="shared" si="89"/>
        <v>26378.429013465593</v>
      </c>
      <c r="CE136" s="546">
        <f t="shared" si="90"/>
        <v>188</v>
      </c>
      <c r="CF136" s="551">
        <f t="shared" si="91"/>
        <v>66.333860715403816</v>
      </c>
      <c r="CG136" s="553">
        <f>CF136/PI()*SQRT('Hilfstabellen_Mat&amp;Bem'!f.Rd.3/'Hilfstabellen_Mat&amp;Bem'!$BD$30)</f>
        <v>1.0557361827225806</v>
      </c>
      <c r="CH136" s="553">
        <f>0.5*(1+'Hilfstabellen_Mat&amp;Bem'!$BD$31*(CG136-0.3)+CG136^2)</f>
        <v>1.0950762528909521</v>
      </c>
      <c r="CI136" s="550">
        <f t="shared" si="92"/>
        <v>0.72152176136223256</v>
      </c>
      <c r="CK136" s="551">
        <f t="shared" si="93"/>
        <v>25501.465133586749</v>
      </c>
      <c r="CO136" s="546">
        <f t="shared" si="94"/>
        <v>188</v>
      </c>
      <c r="CP136" s="551">
        <f t="shared" si="95"/>
        <v>68.17646795749836</v>
      </c>
      <c r="CQ136" s="553">
        <f>CP136/PI()*SQRT('Hilfstabellen_Mat&amp;Bem'!f.Rd.3/'Hilfstabellen_Mat&amp;Bem'!$BD$30)</f>
        <v>1.0850621877982078</v>
      </c>
      <c r="CR136" s="553">
        <f>0.5*(1+'Hilfstabellen_Mat&amp;Bem'!$BD$31*(CQ136-0.3)+CQ136^2)</f>
        <v>1.127933085084627</v>
      </c>
      <c r="CS136" s="550">
        <f t="shared" si="96"/>
        <v>0.69640412266753293</v>
      </c>
      <c r="CU136" s="551">
        <f t="shared" si="97"/>
        <v>24613.707311561284</v>
      </c>
      <c r="CY136" s="546">
        <f t="shared" si="98"/>
        <v>188</v>
      </c>
      <c r="CZ136" s="551">
        <f t="shared" si="99"/>
        <v>70.019075199592905</v>
      </c>
      <c r="DA136" s="553">
        <f>CZ136/PI()*SQRT('Hilfstabellen_Mat&amp;Bem'!f.Rd.3/'Hilfstabellen_Mat&amp;Bem'!$BD$30)</f>
        <v>1.1143881928738348</v>
      </c>
      <c r="DB136" s="553">
        <f>0.5*(1+'Hilfstabellen_Mat&amp;Bem'!$BD$31*(DA136-0.3)+DA136^2)</f>
        <v>1.1616499318519975</v>
      </c>
      <c r="DC136" s="550">
        <f t="shared" si="100"/>
        <v>0.6713086056503389</v>
      </c>
      <c r="DE136" s="551">
        <f t="shared" si="101"/>
        <v>23726.731358105579</v>
      </c>
      <c r="DI136" s="546">
        <f t="shared" si="102"/>
        <v>188</v>
      </c>
      <c r="DJ136" s="551">
        <f t="shared" si="103"/>
        <v>71.861682441687464</v>
      </c>
      <c r="DK136" s="553">
        <f>DJ136/PI()*SQRT('Hilfstabellen_Mat&amp;Bem'!f.Rd.3/'Hilfstabellen_Mat&amp;Bem'!$BD$30)</f>
        <v>1.1437141979494623</v>
      </c>
      <c r="DL136" s="553">
        <f>0.5*(1+'Hilfstabellen_Mat&amp;Bem'!$BD$31*(DK136-0.3)+DK136^2)</f>
        <v>1.1962267931930639</v>
      </c>
      <c r="DM136" s="550">
        <f t="shared" si="104"/>
        <v>0.64651101420130941</v>
      </c>
      <c r="DO136" s="551">
        <f t="shared" si="105"/>
        <v>22850.285285931081</v>
      </c>
      <c r="DS136" s="546">
        <f t="shared" si="106"/>
        <v>188</v>
      </c>
      <c r="DT136" s="551">
        <f t="shared" si="107"/>
        <v>73.704289683782008</v>
      </c>
      <c r="DU136" s="553">
        <f>DT136/PI()*SQRT('Hilfstabellen_Mat&amp;Bem'!f.Rd.3/'Hilfstabellen_Mat&amp;Bem'!$BD$30)</f>
        <v>1.1730402030250895</v>
      </c>
      <c r="DV136" s="553">
        <f>0.5*(1+'Hilfstabellen_Mat&amp;Bem'!$BD$31*(DU136-0.3)+DU136^2)</f>
        <v>1.2316636691078262</v>
      </c>
      <c r="DW136" s="550">
        <f t="shared" si="108"/>
        <v>0.62222868994976976</v>
      </c>
      <c r="DY136" s="551">
        <f t="shared" si="109"/>
        <v>21992.050817584663</v>
      </c>
      <c r="EC136" s="546">
        <f t="shared" si="110"/>
        <v>188</v>
      </c>
      <c r="ED136" s="551">
        <f t="shared" si="111"/>
        <v>75.546896925876553</v>
      </c>
      <c r="EE136" s="553">
        <f>ED136/PI()*SQRT('Hilfstabellen_Mat&amp;Bem'!f.Rd.3/'Hilfstabellen_Mat&amp;Bem'!$BD$30)</f>
        <v>1.2023662081007167</v>
      </c>
      <c r="EF136" s="553">
        <f>0.5*(1+'Hilfstabellen_Mat&amp;Bem'!$BD$31*(EE136-0.3)+EE136^2)</f>
        <v>1.267960559596284</v>
      </c>
      <c r="EG136" s="550">
        <f t="shared" si="112"/>
        <v>0.59862250740717871</v>
      </c>
      <c r="EI136" s="551">
        <f t="shared" si="113"/>
        <v>21157.713901799325</v>
      </c>
      <c r="EM136" s="546">
        <f t="shared" si="114"/>
        <v>188</v>
      </c>
      <c r="EN136" s="551">
        <f t="shared" si="115"/>
        <v>77.389504167971097</v>
      </c>
      <c r="EO136" s="553">
        <f>EN136/PI()*SQRT('Hilfstabellen_Mat&amp;Bem'!f.Rd.3/'Hilfstabellen_Mat&amp;Bem'!$BD$30)</f>
        <v>1.2316922131763439</v>
      </c>
      <c r="EP136" s="553">
        <f>0.5*(1+'Hilfstabellen_Mat&amp;Bem'!$BD$31*(EO136-0.3)+EO136^2)</f>
        <v>1.3051174646584374</v>
      </c>
      <c r="EQ136" s="550">
        <f t="shared" si="116"/>
        <v>0.57580376375001963</v>
      </c>
      <c r="ES136" s="551">
        <f t="shared" si="117"/>
        <v>20351.208225980692</v>
      </c>
    </row>
    <row r="137" spans="3:149">
      <c r="C137" s="546">
        <v>189</v>
      </c>
      <c r="D137" s="551">
        <f t="shared" ref="D137:D200" si="126">$B$8*10^3/$C137*SQRT(12)</f>
        <v>51.32002392796673</v>
      </c>
      <c r="E137" s="553">
        <f>$D137/PI()*SQRT('Hilfstabellen_Mat&amp;Bem'!f.Rd.3/'Hilfstabellen_Mat&amp;Bem'!$BD$30)</f>
        <v>0.81678354877302528</v>
      </c>
      <c r="F137" s="553">
        <f>0.5*(1+'Hilfstabellen_Mat&amp;Bem'!$BD$31*($E137-0.3)+$E137^2)</f>
        <v>0.8594068602117797</v>
      </c>
      <c r="G137" s="550">
        <f t="shared" ref="G137:G200" si="127">MIN(1/($F137+SQRT($F137^2-$E137^2)),1)</f>
        <v>0.88754893868220897</v>
      </c>
      <c r="I137" s="551">
        <f t="shared" ref="I137:I200" si="128">C137^2*G137</f>
        <v>31704.135638667187</v>
      </c>
      <c r="M137" s="546">
        <f t="shared" ref="M137:M200" si="129">$C137</f>
        <v>189</v>
      </c>
      <c r="N137" s="551">
        <f t="shared" si="118"/>
        <v>53.152881925394112</v>
      </c>
      <c r="O137" s="553">
        <f>$N137/PI()*SQRT('Hilfstabellen_Mat&amp;Bem'!f.Rd.3/'Hilfstabellen_Mat&amp;Bem'!$BD$30)</f>
        <v>0.84595438980063331</v>
      </c>
      <c r="P137" s="553">
        <f>0.5*(1+'Hilfstabellen_Mat&amp;Bem'!$BD$31*($O137-0.3)+$O137^2)</f>
        <v>0.88511713430151262</v>
      </c>
      <c r="Q137" s="550">
        <f t="shared" si="119"/>
        <v>0.87298960911955348</v>
      </c>
      <c r="S137" s="551">
        <f t="shared" ref="S137:S200" si="130">M137^2*Q137</f>
        <v>31184.061827359568</v>
      </c>
      <c r="W137" s="546">
        <f t="shared" ref="W137:W200" si="131">$C137</f>
        <v>189</v>
      </c>
      <c r="X137" s="551">
        <f t="shared" si="120"/>
        <v>54.985739922821502</v>
      </c>
      <c r="Y137" s="553">
        <f>$X137/PI()*SQRT('Hilfstabellen_Mat&amp;Bem'!f.Rd.3/'Hilfstabellen_Mat&amp;Bem'!$BD$30)</f>
        <v>0.87512523082824145</v>
      </c>
      <c r="Z137" s="553">
        <f>0.5*(1+'Hilfstabellen_Mat&amp;Bem'!$BD$31*($Y137-0.3)+$Y137^2)</f>
        <v>0.91167834635750356</v>
      </c>
      <c r="AA137" s="550">
        <f t="shared" si="121"/>
        <v>0.8567197160553286</v>
      </c>
      <c r="AC137" s="551">
        <f t="shared" ref="AC137:AC200" si="132">W137^2*AA137</f>
        <v>30602.884977212394</v>
      </c>
      <c r="AG137" s="546">
        <f t="shared" ref="AG137:AG200" si="133">$C137</f>
        <v>189</v>
      </c>
      <c r="AH137" s="551">
        <f t="shared" si="122"/>
        <v>56.818597920248884</v>
      </c>
      <c r="AI137" s="553">
        <f>$AH137/PI()*SQRT('Hilfstabellen_Mat&amp;Bem'!f.Rd.3/'Hilfstabellen_Mat&amp;Bem'!$BD$30)</f>
        <v>0.90429607185584937</v>
      </c>
      <c r="AJ137" s="553">
        <f>0.5*(1+'Hilfstabellen_Mat&amp;Bem'!$BD$31*($AI137-0.3)+$AI137^2)</f>
        <v>0.93909049637975217</v>
      </c>
      <c r="AK137" s="550">
        <f t="shared" si="123"/>
        <v>0.83868103062899324</v>
      </c>
      <c r="AM137" s="551">
        <f t="shared" ref="AM137:AM200" si="134">AG137^2*AK137</f>
        <v>29958.525095098266</v>
      </c>
      <c r="AQ137" s="546">
        <f t="shared" ref="AQ137:AQ200" si="135">$C137</f>
        <v>189</v>
      </c>
      <c r="AR137" s="551">
        <f t="shared" si="124"/>
        <v>58.651455917676259</v>
      </c>
      <c r="AS137" s="553">
        <f>$AR137/PI()*SQRT('Hilfstabellen_Mat&amp;Bem'!f.Rd.3/'Hilfstabellen_Mat&amp;Bem'!$BD$30)</f>
        <v>0.9334669128834574</v>
      </c>
      <c r="AT137" s="553">
        <f>0.5*(1+'Hilfstabellen_Mat&amp;Bem'!$BD$31*($AS137-0.3)+$AS137^2)</f>
        <v>0.96735358436825902</v>
      </c>
      <c r="AU137" s="550">
        <f t="shared" si="125"/>
        <v>0.81890040308441547</v>
      </c>
      <c r="AW137" s="551">
        <f t="shared" ref="AW137:AW200" si="136">AQ137^2*AU137</f>
        <v>29251.941298578404</v>
      </c>
      <c r="BA137" s="546">
        <f t="shared" si="78"/>
        <v>189</v>
      </c>
      <c r="BB137" s="551">
        <f t="shared" si="79"/>
        <v>60.484313915103641</v>
      </c>
      <c r="BC137" s="553">
        <f>$BB137/PI()*SQRT('Hilfstabellen_Mat&amp;Bem'!f.Rd.3/'Hilfstabellen_Mat&amp;Bem'!$BD$30)</f>
        <v>0.96263775391106532</v>
      </c>
      <c r="BD137" s="553">
        <f>0.5*(1+'Hilfstabellen_Mat&amp;Bem'!$BD$31*($BC137-0.3)+$BC137^2)</f>
        <v>0.99646761032302367</v>
      </c>
      <c r="BE137" s="550">
        <f t="shared" si="80"/>
        <v>0.79750581176554669</v>
      </c>
      <c r="BG137" s="551">
        <f t="shared" si="81"/>
        <v>28487.705102077092</v>
      </c>
      <c r="BK137" s="546">
        <f t="shared" si="82"/>
        <v>189</v>
      </c>
      <c r="BL137" s="551">
        <f t="shared" si="83"/>
        <v>62.317171912531037</v>
      </c>
      <c r="BM137" s="553">
        <f>$BL137/PI()*SQRT('Hilfstabellen_Mat&amp;Bem'!f.Rd.3/'Hilfstabellen_Mat&amp;Bem'!$BD$30)</f>
        <v>0.99180859493867368</v>
      </c>
      <c r="BN137" s="553">
        <f>0.5*(1+'Hilfstabellen_Mat&amp;Bem'!$BD$31*($BM137-0.3)+$BM137^2)</f>
        <v>1.0264325742440468</v>
      </c>
      <c r="BO137" s="550">
        <f t="shared" si="84"/>
        <v>0.77472538373277977</v>
      </c>
      <c r="BQ137" s="551">
        <f t="shared" si="85"/>
        <v>27673.965432318626</v>
      </c>
      <c r="BU137" s="546">
        <f t="shared" si="86"/>
        <v>189</v>
      </c>
      <c r="BV137" s="551">
        <f t="shared" si="87"/>
        <v>64.15002990995842</v>
      </c>
      <c r="BW137" s="553">
        <f>$BV137/PI()*SQRT('Hilfstabellen_Mat&amp;Bem'!f.Rd.3/'Hilfstabellen_Mat&amp;Bem'!$BD$30)</f>
        <v>1.0209794359662816</v>
      </c>
      <c r="BX137" s="553">
        <f>0.5*(1+'Hilfstabellen_Mat&amp;Bem'!$BD$31*($BW137-0.3)+$BW137^2)</f>
        <v>1.0572484761313272</v>
      </c>
      <c r="BY137" s="550">
        <f t="shared" si="88"/>
        <v>0.75086678653940098</v>
      </c>
      <c r="CA137" s="551">
        <f t="shared" si="89"/>
        <v>26821.712481973944</v>
      </c>
      <c r="CE137" s="546">
        <f t="shared" si="90"/>
        <v>189</v>
      </c>
      <c r="CF137" s="551">
        <f t="shared" si="91"/>
        <v>65.982887907385802</v>
      </c>
      <c r="CG137" s="553">
        <f>CF137/PI()*SQRT('Hilfstabellen_Mat&amp;Bem'!f.Rd.3/'Hilfstabellen_Mat&amp;Bem'!$BD$30)</f>
        <v>1.0501502769938897</v>
      </c>
      <c r="CH137" s="553">
        <f>0.5*(1+'Hilfstabellen_Mat&amp;Bem'!$BD$31*(CG137-0.3)+CG137^2)</f>
        <v>1.0889153159848663</v>
      </c>
      <c r="CI137" s="550">
        <f t="shared" si="92"/>
        <v>0.72628217602621081</v>
      </c>
      <c r="CK137" s="551">
        <f t="shared" si="93"/>
        <v>25943.525609832275</v>
      </c>
      <c r="CO137" s="546">
        <f t="shared" si="94"/>
        <v>189</v>
      </c>
      <c r="CP137" s="551">
        <f t="shared" si="95"/>
        <v>67.815745904813184</v>
      </c>
      <c r="CQ137" s="553">
        <f>CP137/PI()*SQRT('Hilfstabellen_Mat&amp;Bem'!f.Rd.3/'Hilfstabellen_Mat&amp;Bem'!$BD$30)</f>
        <v>1.0793211180214977</v>
      </c>
      <c r="CR137" s="553">
        <f>0.5*(1+'Hilfstabellen_Mat&amp;Bem'!$BD$31*(CQ137-0.3)+CQ137^2)</f>
        <v>1.1214330938046628</v>
      </c>
      <c r="CS137" s="550">
        <f t="shared" si="96"/>
        <v>0.70132921441880791</v>
      </c>
      <c r="CU137" s="551">
        <f t="shared" si="97"/>
        <v>25052.180868254236</v>
      </c>
      <c r="CY137" s="546">
        <f t="shared" si="98"/>
        <v>189</v>
      </c>
      <c r="CZ137" s="551">
        <f t="shared" si="99"/>
        <v>69.648603902240552</v>
      </c>
      <c r="DA137" s="553">
        <f>CZ137/PI()*SQRT('Hilfstabellen_Mat&amp;Bem'!f.Rd.3/'Hilfstabellen_Mat&amp;Bem'!$BD$30)</f>
        <v>1.1084919590491056</v>
      </c>
      <c r="DB137" s="553">
        <f>0.5*(1+'Hilfstabellen_Mat&amp;Bem'!$BD$31*(DA137-0.3)+DA137^2)</f>
        <v>1.1548018095907171</v>
      </c>
      <c r="DC137" s="550">
        <f t="shared" si="100"/>
        <v>0.67633837127677887</v>
      </c>
      <c r="DE137" s="551">
        <f t="shared" si="101"/>
        <v>24159.48296037782</v>
      </c>
      <c r="DI137" s="546">
        <f t="shared" si="102"/>
        <v>189</v>
      </c>
      <c r="DJ137" s="551">
        <f t="shared" si="103"/>
        <v>71.481461899667949</v>
      </c>
      <c r="DK137" s="553">
        <f>DJ137/PI()*SQRT('Hilfstabellen_Mat&amp;Bem'!f.Rd.3/'Hilfstabellen_Mat&amp;Bem'!$BD$30)</f>
        <v>1.1376628000767137</v>
      </c>
      <c r="DL137" s="553">
        <f>0.5*(1+'Hilfstabellen_Mat&amp;Bem'!$BD$31*(DK137-0.3)+DK137^2)</f>
        <v>1.18902146334303</v>
      </c>
      <c r="DM137" s="550">
        <f t="shared" si="104"/>
        <v>0.65159207489840731</v>
      </c>
      <c r="DO137" s="551">
        <f t="shared" si="105"/>
        <v>23275.520507446006</v>
      </c>
      <c r="DS137" s="546">
        <f t="shared" si="106"/>
        <v>189</v>
      </c>
      <c r="DT137" s="551">
        <f t="shared" si="107"/>
        <v>73.314319897095331</v>
      </c>
      <c r="DU137" s="553">
        <f>DT137/PI()*SQRT('Hilfstabellen_Mat&amp;Bem'!f.Rd.3/'Hilfstabellen_Mat&amp;Bem'!$BD$30)</f>
        <v>1.1668336411043219</v>
      </c>
      <c r="DV137" s="553">
        <f>0.5*(1+'Hilfstabellen_Mat&amp;Bem'!$BD$31*(DU137-0.3)+DU137^2)</f>
        <v>1.2240920550616008</v>
      </c>
      <c r="DW137" s="550">
        <f t="shared" si="108"/>
        <v>0.62731601789028935</v>
      </c>
      <c r="DY137" s="551">
        <f t="shared" si="109"/>
        <v>22408.355475059027</v>
      </c>
      <c r="EC137" s="546">
        <f t="shared" si="110"/>
        <v>189</v>
      </c>
      <c r="ED137" s="551">
        <f t="shared" si="111"/>
        <v>75.147177894522713</v>
      </c>
      <c r="EE137" s="553">
        <f>ED137/PI()*SQRT('Hilfstabellen_Mat&amp;Bem'!f.Rd.3/'Hilfstabellen_Mat&amp;Bem'!$BD$30)</f>
        <v>1.19600448213193</v>
      </c>
      <c r="EF137" s="553">
        <f>0.5*(1+'Hilfstabellen_Mat&amp;Bem'!$BD$31*(EE137-0.3)+EE137^2)</f>
        <v>1.2600135847464293</v>
      </c>
      <c r="EG137" s="550">
        <f t="shared" si="112"/>
        <v>0.60367968952003082</v>
      </c>
      <c r="EI137" s="551">
        <f t="shared" si="113"/>
        <v>21564.042189345022</v>
      </c>
      <c r="EM137" s="546">
        <f t="shared" si="114"/>
        <v>189</v>
      </c>
      <c r="EN137" s="551">
        <f t="shared" si="115"/>
        <v>76.980035891950095</v>
      </c>
      <c r="EO137" s="553">
        <f>EN137/PI()*SQRT('Hilfstabellen_Mat&amp;Bem'!f.Rd.3/'Hilfstabellen_Mat&amp;Bem'!$BD$30)</f>
        <v>1.2251753231595379</v>
      </c>
      <c r="EP137" s="553">
        <f>0.5*(1+'Hilfstabellen_Mat&amp;Bem'!$BD$31*(EO137-0.3)+EO137^2)</f>
        <v>1.2967860523975161</v>
      </c>
      <c r="EQ137" s="550">
        <f t="shared" si="116"/>
        <v>0.58080237549328984</v>
      </c>
      <c r="ES137" s="551">
        <f t="shared" si="117"/>
        <v>20746.841654995806</v>
      </c>
    </row>
    <row r="138" spans="3:149">
      <c r="C138" s="546">
        <v>190</v>
      </c>
      <c r="D138" s="551">
        <f t="shared" si="126"/>
        <v>51.04991853887217</v>
      </c>
      <c r="E138" s="553">
        <f>$D138/PI()*SQRT('Hilfstabellen_Mat&amp;Bem'!f.Rd.3/'Hilfstabellen_Mat&amp;Bem'!$BD$30)</f>
        <v>0.81248468799000939</v>
      </c>
      <c r="F138" s="553">
        <f>0.5*(1+'Hilfstabellen_Mat&amp;Bem'!$BD$31*($E138-0.3)+$E138^2)</f>
        <v>0.85568991850861198</v>
      </c>
      <c r="G138" s="550">
        <f t="shared" si="127"/>
        <v>0.88955650207615644</v>
      </c>
      <c r="I138" s="551">
        <f t="shared" si="128"/>
        <v>32112.989724949246</v>
      </c>
      <c r="M138" s="546">
        <f t="shared" si="129"/>
        <v>190</v>
      </c>
      <c r="N138" s="551">
        <f t="shared" si="118"/>
        <v>52.873129915260463</v>
      </c>
      <c r="O138" s="553">
        <f>$N138/PI()*SQRT('Hilfstabellen_Mat&amp;Bem'!f.Rd.3/'Hilfstabellen_Mat&amp;Bem'!$BD$30)</f>
        <v>0.84150199827536687</v>
      </c>
      <c r="P138" s="553">
        <f>0.5*(1+'Hilfstabellen_Mat&amp;Bem'!$BD$31*($O138-0.3)+$O138^2)</f>
        <v>0.88113790646448609</v>
      </c>
      <c r="Q138" s="550">
        <f t="shared" si="119"/>
        <v>0.87532005896103371</v>
      </c>
      <c r="S138" s="551">
        <f t="shared" si="130"/>
        <v>31599.054128493317</v>
      </c>
      <c r="W138" s="546">
        <f t="shared" si="131"/>
        <v>190</v>
      </c>
      <c r="X138" s="551">
        <f t="shared" si="120"/>
        <v>54.69634129164875</v>
      </c>
      <c r="Y138" s="553">
        <f>$X138/PI()*SQRT('Hilfstabellen_Mat&amp;Bem'!f.Rd.3/'Hilfstabellen_Mat&amp;Bem'!$BD$30)</f>
        <v>0.87051930856072424</v>
      </c>
      <c r="Z138" s="553">
        <f>0.5*(1+'Hilfstabellen_Mat&amp;Bem'!$BD$31*($Y138-0.3)+$Y138^2)</f>
        <v>0.90742789871655694</v>
      </c>
      <c r="AA138" s="550">
        <f t="shared" si="121"/>
        <v>0.85940563421819804</v>
      </c>
      <c r="AC138" s="551">
        <f t="shared" si="132"/>
        <v>31024.543395276949</v>
      </c>
      <c r="AG138" s="546">
        <f t="shared" si="133"/>
        <v>190</v>
      </c>
      <c r="AH138" s="551">
        <f t="shared" si="122"/>
        <v>56.519552668037036</v>
      </c>
      <c r="AI138" s="553">
        <f>$AH138/PI()*SQRT('Hilfstabellen_Mat&amp;Bem'!f.Rd.3/'Hilfstabellen_Mat&amp;Bem'!$BD$30)</f>
        <v>0.8995366188460816</v>
      </c>
      <c r="AJ138" s="553">
        <f>0.5*(1+'Hilfstabellen_Mat&amp;Bem'!$BD$31*($AI138-0.3)+$AI138^2)</f>
        <v>0.93455989526482441</v>
      </c>
      <c r="AK138" s="550">
        <f t="shared" si="123"/>
        <v>0.84174499535682157</v>
      </c>
      <c r="AM138" s="551">
        <f t="shared" si="134"/>
        <v>30386.994332381259</v>
      </c>
      <c r="AQ138" s="546">
        <f t="shared" si="135"/>
        <v>190</v>
      </c>
      <c r="AR138" s="551">
        <f t="shared" si="124"/>
        <v>58.342764044425337</v>
      </c>
      <c r="AS138" s="553">
        <f>$AR138/PI()*SQRT('Hilfstabellen_Mat&amp;Bem'!f.Rd.3/'Hilfstabellen_Mat&amp;Bem'!$BD$30)</f>
        <v>0.9285539291314393</v>
      </c>
      <c r="AT138" s="553">
        <f>0.5*(1+'Hilfstabellen_Mat&amp;Bem'!$BD$31*($AS138-0.3)+$AS138^2)</f>
        <v>0.96253389610928897</v>
      </c>
      <c r="AU138" s="550">
        <f t="shared" si="125"/>
        <v>0.82234969726446916</v>
      </c>
      <c r="AW138" s="551">
        <f t="shared" si="136"/>
        <v>29686.824071247338</v>
      </c>
      <c r="BA138" s="546">
        <f t="shared" ref="BA138:BA201" si="137">$C138</f>
        <v>190</v>
      </c>
      <c r="BB138" s="551">
        <f t="shared" ref="BB138:BB201" si="138">$AZ$8*10^3/$BA138*SQRT(12)</f>
        <v>60.165975420813631</v>
      </c>
      <c r="BC138" s="553">
        <f>$BB138/PI()*SQRT('Hilfstabellen_Mat&amp;Bem'!f.Rd.3/'Hilfstabellen_Mat&amp;Bem'!$BD$30)</f>
        <v>0.95757123941679678</v>
      </c>
      <c r="BD138" s="553">
        <f>0.5*(1+'Hilfstabellen_Mat&amp;Bem'!$BD$31*($BC138-0.3)+$BC138^2)</f>
        <v>0.99134990124995004</v>
      </c>
      <c r="BE138" s="550">
        <f t="shared" ref="BE138:BE201" si="139">MIN(1/($BD138+SQRT($BD138^2-$BC138^2)),1)</f>
        <v>0.80132874801597154</v>
      </c>
      <c r="BG138" s="551">
        <f t="shared" ref="BG138:BG201" si="140">BA138^2*BE138</f>
        <v>28927.967803376574</v>
      </c>
      <c r="BK138" s="546">
        <f t="shared" ref="BK138:BK201" si="141">$C138</f>
        <v>190</v>
      </c>
      <c r="BL138" s="551">
        <f t="shared" ref="BL138:BL201" si="142">$BJ$8*10^3/$BK138*SQRT(12)</f>
        <v>61.989186797201924</v>
      </c>
      <c r="BM138" s="553">
        <f>$BL138/PI()*SQRT('Hilfstabellen_Mat&amp;Bem'!f.Rd.3/'Hilfstabellen_Mat&amp;Bem'!$BD$30)</f>
        <v>0.98658854970215426</v>
      </c>
      <c r="BN138" s="553">
        <f>0.5*(1+'Hilfstabellen_Mat&amp;Bem'!$BD$31*($BM138-0.3)+$BM138^2)</f>
        <v>1.0210079106868077</v>
      </c>
      <c r="BO138" s="550">
        <f t="shared" ref="BO138:BO201" si="143">MIN(1/($BN138+SQRT($BN138^2-$BM138^2)),1)</f>
        <v>0.77889077909417037</v>
      </c>
      <c r="BQ138" s="551">
        <f t="shared" ref="BQ138:BQ201" si="144">BK138^2*BO138</f>
        <v>28117.957125299552</v>
      </c>
      <c r="BU138" s="546">
        <f t="shared" ref="BU138:BU201" si="145">$C138</f>
        <v>190</v>
      </c>
      <c r="BV138" s="551">
        <f t="shared" ref="BV138:BV201" si="146">$BT$8*10^3/$BU138*SQRT(12)</f>
        <v>63.812398173590218</v>
      </c>
      <c r="BW138" s="553">
        <f>$BV138/PI()*SQRT('Hilfstabellen_Mat&amp;Bem'!f.Rd.3/'Hilfstabellen_Mat&amp;Bem'!$BD$30)</f>
        <v>1.0156058599875117</v>
      </c>
      <c r="BX138" s="553">
        <f>0.5*(1+'Hilfstabellen_Mat&amp;Bem'!$BD$31*($BW138-0.3)+$BW138^2)</f>
        <v>1.0515079244198622</v>
      </c>
      <c r="BY138" s="550">
        <f t="shared" ref="BY138:BY201" si="147">MIN(1/($BX138+SQRT($BX138^2-$BW138^2)),1)</f>
        <v>0.75532708461504172</v>
      </c>
      <c r="CA138" s="551">
        <f t="shared" ref="CA138:CA201" si="148">BU138^2*BY138</f>
        <v>27267.307754603007</v>
      </c>
      <c r="CE138" s="546">
        <f t="shared" ref="CE138:CE201" si="149">$C138</f>
        <v>190</v>
      </c>
      <c r="CF138" s="551">
        <f t="shared" ref="CF138:CF201" si="150">$CD$8*10^3/CE138*SQRT(12)</f>
        <v>65.635609549978497</v>
      </c>
      <c r="CG138" s="553">
        <f>CF138/PI()*SQRT('Hilfstabellen_Mat&amp;Bem'!f.Rd.3/'Hilfstabellen_Mat&amp;Bem'!$BD$30)</f>
        <v>1.044623170272869</v>
      </c>
      <c r="CH138" s="553">
        <f>0.5*(1+'Hilfstabellen_Mat&amp;Bem'!$BD$31*(CG138-0.3)+CG138^2)</f>
        <v>1.0828499424491131</v>
      </c>
      <c r="CI138" s="550">
        <f t="shared" ref="CI138:CI201" si="151">MIN(1/(CH138+SQRT(CH138^2-CG138^2)),1)</f>
        <v>0.73097927903180626</v>
      </c>
      <c r="CK138" s="551">
        <f t="shared" ref="CK138:CK201" si="152">CE138^2*CI138</f>
        <v>26388.351973048208</v>
      </c>
      <c r="CO138" s="546">
        <f t="shared" ref="CO138:CO201" si="153">$C138</f>
        <v>190</v>
      </c>
      <c r="CP138" s="551">
        <f t="shared" ref="CP138:CP201" si="154">$CN$8*10^3/CO138*SQRT(12)</f>
        <v>67.458820926366798</v>
      </c>
      <c r="CQ138" s="553">
        <f>CP138/PI()*SQRT('Hilfstabellen_Mat&amp;Bem'!f.Rd.3/'Hilfstabellen_Mat&amp;Bem'!$BD$30)</f>
        <v>1.0736404805582267</v>
      </c>
      <c r="CR138" s="553">
        <f>0.5*(1+'Hilfstabellen_Mat&amp;Bem'!$BD$31*(CQ138-0.3)+CQ138^2)</f>
        <v>1.1150339647745613</v>
      </c>
      <c r="CS138" s="550">
        <f t="shared" ref="CS138:CS201" si="155">MIN(1/(CR138+SQRT(CR138^2-CQ138^2)),1)</f>
        <v>0.70620117894900691</v>
      </c>
      <c r="CU138" s="551">
        <f t="shared" ref="CU138:CU201" si="156">CO138^2*CS138</f>
        <v>25493.862560059151</v>
      </c>
      <c r="CY138" s="546">
        <f t="shared" ref="CY138:CY201" si="157">$C138</f>
        <v>190</v>
      </c>
      <c r="CZ138" s="551">
        <f t="shared" ref="CZ138:CZ201" si="158">$CX$8*10^3/CY138*SQRT(12)</f>
        <v>69.282032302755084</v>
      </c>
      <c r="DA138" s="553">
        <f>CZ138/PI()*SQRT('Hilfstabellen_Mat&amp;Bem'!f.Rd.3/'Hilfstabellen_Mat&amp;Bem'!$BD$30)</f>
        <v>1.102657790843584</v>
      </c>
      <c r="DB138" s="553">
        <f>0.5*(1+'Hilfstabellen_Mat&amp;Bem'!$BD$31*(DA138-0.3)+DA138^2)</f>
        <v>1.1480599913962055</v>
      </c>
      <c r="DC138" s="550">
        <f t="shared" ref="DC138:DC201" si="159">MIN(1/(DB138+SQRT(DB138^2-DA138^2)),1)</f>
        <v>0.68132521956793579</v>
      </c>
      <c r="DE138" s="551">
        <f t="shared" ref="DE138:DE201" si="160">CY138^2*DC138</f>
        <v>24595.840426402483</v>
      </c>
      <c r="DI138" s="546">
        <f t="shared" ref="DI138:DI201" si="161">$C138</f>
        <v>190</v>
      </c>
      <c r="DJ138" s="551">
        <f t="shared" ref="DJ138:DJ201" si="162">$DH$8*10^3/DI138*SQRT(12)</f>
        <v>71.105243679143385</v>
      </c>
      <c r="DK138" s="553">
        <f>DJ138/PI()*SQRT('Hilfstabellen_Mat&amp;Bem'!f.Rd.3/'Hilfstabellen_Mat&amp;Bem'!$BD$30)</f>
        <v>1.1316751011289417</v>
      </c>
      <c r="DL138" s="553">
        <f>0.5*(1+'Hilfstabellen_Mat&amp;Bem'!$BD$31*(DK138-0.3)+DK138^2)</f>
        <v>1.1819280223140471</v>
      </c>
      <c r="DM138" s="550">
        <f t="shared" ref="DM138:DM201" si="163">MIN(1/(DL138+SQRT(DL138^2-DK138^2)),1)</f>
        <v>0.65663976708569505</v>
      </c>
      <c r="DO138" s="551">
        <f t="shared" ref="DO138:DO201" si="164">DI138^2*DM138</f>
        <v>23704.695591793592</v>
      </c>
      <c r="DS138" s="546">
        <f t="shared" ref="DS138:DS201" si="165">$C138</f>
        <v>190</v>
      </c>
      <c r="DT138" s="551">
        <f t="shared" ref="DT138:DT201" si="166">$DR$8*10^3/DS138*SQRT(12)</f>
        <v>72.928455055531671</v>
      </c>
      <c r="DU138" s="553">
        <f>DT138/PI()*SQRT('Hilfstabellen_Mat&amp;Bem'!f.Rd.3/'Hilfstabellen_Mat&amp;Bem'!$BD$30)</f>
        <v>1.1606924114142989</v>
      </c>
      <c r="DV138" s="553">
        <f>0.5*(1+'Hilfstabellen_Mat&amp;Bem'!$BD$31*(DU138-0.3)+DU138^2)</f>
        <v>1.2166380575280851</v>
      </c>
      <c r="DW138" s="550">
        <f t="shared" ref="DW138:DW201" si="167">MIN(1/(DV138+SQRT(DV138^2-DU138^2)),1)</f>
        <v>0.63237848325553303</v>
      </c>
      <c r="DY138" s="551">
        <f t="shared" ref="DY138:DY201" si="168">DS138^2*DW138</f>
        <v>22828.863245524743</v>
      </c>
      <c r="EC138" s="546">
        <f t="shared" ref="EC138:EC201" si="169">$C138</f>
        <v>190</v>
      </c>
      <c r="ED138" s="551">
        <f t="shared" ref="ED138:ED201" si="170">$EB$8*10^3/EC138*SQRT(12)</f>
        <v>74.751666431919958</v>
      </c>
      <c r="EE138" s="553">
        <f>ED138/PI()*SQRT('Hilfstabellen_Mat&amp;Bem'!f.Rd.3/'Hilfstabellen_Mat&amp;Bem'!$BD$30)</f>
        <v>1.1897097216996564</v>
      </c>
      <c r="EF138" s="553">
        <f>0.5*(1+'Hilfstabellen_Mat&amp;Bem'!$BD$31*(EE138-0.3)+EE138^2)</f>
        <v>1.2521900970383197</v>
      </c>
      <c r="EG138" s="550">
        <f t="shared" ref="EG138:EG201" si="171">MIN(1/(EF138+SQRT(EF138^2-EE138^2)),1)</f>
        <v>0.60871932885594671</v>
      </c>
      <c r="EI138" s="551">
        <f t="shared" ref="EI138:EI201" si="172">EC138^2*EG138</f>
        <v>21974.767771699677</v>
      </c>
      <c r="EM138" s="546">
        <f t="shared" ref="EM138:EM201" si="173">$C138</f>
        <v>190</v>
      </c>
      <c r="EN138" s="551">
        <f t="shared" ref="EN138:EN201" si="174">$EL$8*10^3/EM138*SQRT(12)</f>
        <v>76.574877808308258</v>
      </c>
      <c r="EO138" s="553">
        <f>EN138/PI()*SQRT('Hilfstabellen_Mat&amp;Bem'!f.Rd.3/'Hilfstabellen_Mat&amp;Bem'!$BD$30)</f>
        <v>1.2187270319850141</v>
      </c>
      <c r="EP138" s="553">
        <f>0.5*(1+'Hilfstabellen_Mat&amp;Bem'!$BD$31*(EO138-0.3)+EO138^2)</f>
        <v>1.2885841408447516</v>
      </c>
      <c r="EQ138" s="550">
        <f t="shared" ref="EQ138:EQ201" si="175">MIN(1/(EP138+SQRT(EP138^2-EO138^2)),1)</f>
        <v>0.58578959056765256</v>
      </c>
      <c r="ES138" s="551">
        <f t="shared" ref="ES138:ES201" si="176">EM138^2*EQ138</f>
        <v>21147.004219492257</v>
      </c>
    </row>
    <row r="139" spans="3:149">
      <c r="C139" s="546">
        <v>191</v>
      </c>
      <c r="D139" s="551">
        <f t="shared" si="126"/>
        <v>50.782641478459226</v>
      </c>
      <c r="E139" s="553">
        <f>$D139/PI()*SQRT('Hilfstabellen_Mat&amp;Bem'!f.Rd.3/'Hilfstabellen_Mat&amp;Bem'!$BD$30)</f>
        <v>0.80823084145603019</v>
      </c>
      <c r="F139" s="553">
        <f>0.5*(1+'Hilfstabellen_Mat&amp;Bem'!$BD$31*($E139-0.3)+$E139^2)</f>
        <v>0.85203008861316287</v>
      </c>
      <c r="G139" s="550">
        <f t="shared" si="127"/>
        <v>0.89150939356667136</v>
      </c>
      <c r="I139" s="551">
        <f t="shared" si="128"/>
        <v>32523.154186705739</v>
      </c>
      <c r="M139" s="546">
        <f t="shared" si="129"/>
        <v>191</v>
      </c>
      <c r="N139" s="551">
        <f t="shared" si="118"/>
        <v>52.596307245547052</v>
      </c>
      <c r="O139" s="553">
        <f>$N139/PI()*SQRT('Hilfstabellen_Mat&amp;Bem'!f.Rd.3/'Hilfstabellen_Mat&amp;Bem'!$BD$30)</f>
        <v>0.83709622865088851</v>
      </c>
      <c r="P139" s="553">
        <f>0.5*(1+'Hilfstabellen_Mat&amp;Bem'!$BD$31*($O139-0.3)+$O139^2)</f>
        <v>0.87721985944331471</v>
      </c>
      <c r="Q139" s="550">
        <f t="shared" si="119"/>
        <v>0.87758711476737139</v>
      </c>
      <c r="S139" s="551">
        <f t="shared" si="130"/>
        <v>32015.255533828476</v>
      </c>
      <c r="W139" s="546">
        <f t="shared" si="131"/>
        <v>191</v>
      </c>
      <c r="X139" s="551">
        <f t="shared" si="120"/>
        <v>54.409973012634886</v>
      </c>
      <c r="Y139" s="553">
        <f>$X139/PI()*SQRT('Hilfstabellen_Mat&amp;Bem'!f.Rd.3/'Hilfstabellen_Mat&amp;Bem'!$BD$30)</f>
        <v>0.86596161584574682</v>
      </c>
      <c r="Z139" s="553">
        <f>0.5*(1+'Hilfstabellen_Mat&amp;Bem'!$BD$31*($Y139-0.3)+$Y139^2)</f>
        <v>0.90324284085137574</v>
      </c>
      <c r="AA139" s="550">
        <f t="shared" si="121"/>
        <v>0.86201995665478215</v>
      </c>
      <c r="AC139" s="551">
        <f t="shared" si="132"/>
        <v>31447.350038723107</v>
      </c>
      <c r="AG139" s="546">
        <f t="shared" si="133"/>
        <v>191</v>
      </c>
      <c r="AH139" s="551">
        <f t="shared" si="122"/>
        <v>56.22363877972272</v>
      </c>
      <c r="AI139" s="553">
        <f>$AH139/PI()*SQRT('Hilfstabellen_Mat&amp;Bem'!f.Rd.3/'Hilfstabellen_Mat&amp;Bem'!$BD$30)</f>
        <v>0.89482700304060503</v>
      </c>
      <c r="AJ139" s="553">
        <f>0.5*(1+'Hilfstabellen_Mat&amp;Bem'!$BD$31*($AI139-0.3)+$AI139^2)</f>
        <v>0.93009903283734574</v>
      </c>
      <c r="AK139" s="550">
        <f t="shared" si="123"/>
        <v>0.84473072660056414</v>
      </c>
      <c r="AM139" s="551">
        <f t="shared" si="134"/>
        <v>30816.621637115182</v>
      </c>
      <c r="AQ139" s="546">
        <f t="shared" si="135"/>
        <v>191</v>
      </c>
      <c r="AR139" s="551">
        <f t="shared" si="124"/>
        <v>58.037304546810546</v>
      </c>
      <c r="AS139" s="553">
        <f>$AR139/PI()*SQRT('Hilfstabellen_Mat&amp;Bem'!f.Rd.3/'Hilfstabellen_Mat&amp;Bem'!$BD$30)</f>
        <v>0.92369239023546312</v>
      </c>
      <c r="AT139" s="553">
        <f>0.5*(1+'Hilfstabellen_Mat&amp;Bem'!$BD$31*($AS139-0.3)+$AS139^2)</f>
        <v>0.95778843540122471</v>
      </c>
      <c r="AU139" s="550">
        <f t="shared" si="125"/>
        <v>0.82571676955304174</v>
      </c>
      <c r="AW139" s="551">
        <f t="shared" si="136"/>
        <v>30122.973470064517</v>
      </c>
      <c r="BA139" s="546">
        <f t="shared" si="137"/>
        <v>191</v>
      </c>
      <c r="BB139" s="551">
        <f t="shared" si="138"/>
        <v>59.850970313898372</v>
      </c>
      <c r="BC139" s="553">
        <f>$BB139/PI()*SQRT('Hilfstabellen_Mat&amp;Bem'!f.Rd.3/'Hilfstabellen_Mat&amp;Bem'!$BD$30)</f>
        <v>0.95255777743032144</v>
      </c>
      <c r="BD139" s="553">
        <f>0.5*(1+'Hilfstabellen_Mat&amp;Bem'!$BD$31*($BC139-0.3)+$BC139^2)</f>
        <v>0.9863110485430131</v>
      </c>
      <c r="BE139" s="550">
        <f t="shared" si="139"/>
        <v>0.80506892896857052</v>
      </c>
      <c r="BG139" s="551">
        <f t="shared" si="140"/>
        <v>29369.71959770242</v>
      </c>
      <c r="BK139" s="546">
        <f t="shared" si="141"/>
        <v>191</v>
      </c>
      <c r="BL139" s="551">
        <f t="shared" si="142"/>
        <v>61.664636080986199</v>
      </c>
      <c r="BM139" s="553">
        <f>$BL139/PI()*SQRT('Hilfstabellen_Mat&amp;Bem'!f.Rd.3/'Hilfstabellen_Mat&amp;Bem'!$BD$30)</f>
        <v>0.98142316462517953</v>
      </c>
      <c r="BN139" s="553">
        <f>0.5*(1+'Hilfstabellen_Mat&amp;Bem'!$BD$31*($BM139-0.3)+$BM139^2)</f>
        <v>1.01566687226271</v>
      </c>
      <c r="BO139" s="550">
        <f t="shared" si="143"/>
        <v>0.78297657254663822</v>
      </c>
      <c r="BQ139" s="551">
        <f t="shared" si="144"/>
        <v>28563.768343073909</v>
      </c>
      <c r="BU139" s="546">
        <f t="shared" si="145"/>
        <v>191</v>
      </c>
      <c r="BV139" s="551">
        <f t="shared" si="146"/>
        <v>63.478301848074025</v>
      </c>
      <c r="BW139" s="553">
        <f>$BV139/PI()*SQRT('Hilfstabellen_Mat&amp;Bem'!f.Rd.3/'Hilfstabellen_Mat&amp;Bem'!$BD$30)</f>
        <v>1.0102885518200375</v>
      </c>
      <c r="BX139" s="553">
        <f>0.5*(1+'Hilfstabellen_Mat&amp;Bem'!$BD$31*($BW139-0.3)+$BW139^2)</f>
        <v>1.0458559065603161</v>
      </c>
      <c r="BY139" s="550">
        <f t="shared" si="147"/>
        <v>0.75971418545468694</v>
      </c>
      <c r="CA139" s="551">
        <f t="shared" si="148"/>
        <v>27715.133199572436</v>
      </c>
      <c r="CE139" s="546">
        <f t="shared" si="149"/>
        <v>191</v>
      </c>
      <c r="CF139" s="551">
        <f t="shared" si="150"/>
        <v>65.291967615161866</v>
      </c>
      <c r="CG139" s="553">
        <f>CF139/PI()*SQRT('Hilfstabellen_Mat&amp;Bem'!f.Rd.3/'Hilfstabellen_Mat&amp;Bem'!$BD$30)</f>
        <v>1.0391539390148961</v>
      </c>
      <c r="CH139" s="553">
        <f>0.5*(1+'Hilfstabellen_Mat&amp;Bem'!$BD$31*(CG139-0.3)+CG139^2)</f>
        <v>1.0768781514358321</v>
      </c>
      <c r="CI139" s="550">
        <f t="shared" si="151"/>
        <v>0.73561190461982118</v>
      </c>
      <c r="CK139" s="551">
        <f t="shared" si="152"/>
        <v>26835.857892435695</v>
      </c>
      <c r="CO139" s="546">
        <f t="shared" si="153"/>
        <v>191</v>
      </c>
      <c r="CP139" s="551">
        <f t="shared" si="154"/>
        <v>67.105633382249692</v>
      </c>
      <c r="CQ139" s="553">
        <f>CP139/PI()*SQRT('Hilfstabellen_Mat&amp;Bem'!f.Rd.3/'Hilfstabellen_Mat&amp;Bem'!$BD$30)</f>
        <v>1.0680193262097544</v>
      </c>
      <c r="CR139" s="553">
        <f>0.5*(1+'Hilfstabellen_Mat&amp;Bem'!$BD$31*(CQ139-0.3)+CQ139^2)</f>
        <v>1.1087336068892566</v>
      </c>
      <c r="CS139" s="550">
        <f t="shared" si="155"/>
        <v>0.71101858284867048</v>
      </c>
      <c r="CU139" s="551">
        <f t="shared" si="156"/>
        <v>25938.668920902346</v>
      </c>
      <c r="CY139" s="546">
        <f t="shared" si="157"/>
        <v>191</v>
      </c>
      <c r="CZ139" s="551">
        <f t="shared" si="158"/>
        <v>68.919299149337519</v>
      </c>
      <c r="DA139" s="553">
        <f>CZ139/PI()*SQRT('Hilfstabellen_Mat&amp;Bem'!f.Rd.3/'Hilfstabellen_Mat&amp;Bem'!$BD$30)</f>
        <v>1.0968847134046125</v>
      </c>
      <c r="DB139" s="553">
        <f>0.5*(1+'Hilfstabellen_Mat&amp;Bem'!$BD$31*(DA139-0.3)+DA139^2)</f>
        <v>1.1414222729205901</v>
      </c>
      <c r="DC139" s="550">
        <f t="shared" si="159"/>
        <v>0.68626761572497497</v>
      </c>
      <c r="DE139" s="551">
        <f t="shared" si="160"/>
        <v>25035.728889262813</v>
      </c>
      <c r="DI139" s="546">
        <f t="shared" si="161"/>
        <v>191</v>
      </c>
      <c r="DJ139" s="551">
        <f t="shared" si="162"/>
        <v>70.732964916425345</v>
      </c>
      <c r="DK139" s="553">
        <f>DJ139/PI()*SQRT('Hilfstabellen_Mat&amp;Bem'!f.Rd.3/'Hilfstabellen_Mat&amp;Bem'!$BD$30)</f>
        <v>1.1257501005994706</v>
      </c>
      <c r="DL139" s="553">
        <f>0.5*(1+'Hilfstabellen_Mat&amp;Bem'!$BD$31*(DK139-0.3)+DK139^2)</f>
        <v>1.1749441495298325</v>
      </c>
      <c r="DM139" s="550">
        <f t="shared" si="163"/>
        <v>0.66165257742584083</v>
      </c>
      <c r="DO139" s="551">
        <f t="shared" si="164"/>
        <v>24137.7476770721</v>
      </c>
      <c r="DS139" s="546">
        <f t="shared" si="165"/>
        <v>191</v>
      </c>
      <c r="DT139" s="551">
        <f t="shared" si="166"/>
        <v>72.546630683513172</v>
      </c>
      <c r="DU139" s="553">
        <f>DT139/PI()*SQRT('Hilfstabellen_Mat&amp;Bem'!f.Rd.3/'Hilfstabellen_Mat&amp;Bem'!$BD$30)</f>
        <v>1.1546154877943289</v>
      </c>
      <c r="DV139" s="553">
        <f>0.5*(1+'Hilfstabellen_Mat&amp;Bem'!$BD$31*(DU139-0.3)+DU139^2)</f>
        <v>1.2092992367169844</v>
      </c>
      <c r="DW139" s="550">
        <f t="shared" si="167"/>
        <v>0.6374146707707713</v>
      </c>
      <c r="DY139" s="551">
        <f t="shared" si="168"/>
        <v>23253.524604388509</v>
      </c>
      <c r="EC139" s="546">
        <f t="shared" si="169"/>
        <v>191</v>
      </c>
      <c r="ED139" s="551">
        <f t="shared" si="170"/>
        <v>74.360296450600998</v>
      </c>
      <c r="EE139" s="553">
        <f>ED139/PI()*SQRT('Hilfstabellen_Mat&amp;Bem'!f.Rd.3/'Hilfstabellen_Mat&amp;Bem'!$BD$30)</f>
        <v>1.183480874989187</v>
      </c>
      <c r="EF139" s="553">
        <f>0.5*(1+'Hilfstabellen_Mat&amp;Bem'!$BD$31*(EE139-0.3)+EE139^2)</f>
        <v>1.2444875344820452</v>
      </c>
      <c r="EG139" s="550">
        <f t="shared" si="171"/>
        <v>0.61374014703556568</v>
      </c>
      <c r="EI139" s="551">
        <f t="shared" si="172"/>
        <v>22389.854304004471</v>
      </c>
      <c r="EM139" s="546">
        <f t="shared" si="173"/>
        <v>191</v>
      </c>
      <c r="EN139" s="551">
        <f t="shared" si="174"/>
        <v>76.173962217688839</v>
      </c>
      <c r="EO139" s="553">
        <f>EN139/PI()*SQRT('Hilfstabellen_Mat&amp;Bem'!f.Rd.3/'Hilfstabellen_Mat&amp;Bem'!$BD$30)</f>
        <v>1.2123462621840453</v>
      </c>
      <c r="EP139" s="553">
        <f>0.5*(1+'Hilfstabellen_Mat&amp;Bem'!$BD$31*(EO139-0.3)+EO139^2)</f>
        <v>1.2805090428250152</v>
      </c>
      <c r="EQ139" s="550">
        <f t="shared" si="175"/>
        <v>0.59076428015599403</v>
      </c>
      <c r="ES139" s="551">
        <f t="shared" si="176"/>
        <v>21551.671704370819</v>
      </c>
    </row>
    <row r="140" spans="3:149">
      <c r="C140" s="546">
        <v>192</v>
      </c>
      <c r="D140" s="551">
        <f t="shared" si="126"/>
        <v>50.518148554092257</v>
      </c>
      <c r="E140" s="553">
        <f>$D140/PI()*SQRT('Hilfstabellen_Mat&amp;Bem'!f.Rd.3/'Hilfstabellen_Mat&amp;Bem'!$BD$30)</f>
        <v>0.80402130582344677</v>
      </c>
      <c r="F140" s="553">
        <f>0.5*(1+'Hilfstabellen_Mat&amp;Bem'!$BD$31*($E140-0.3)+$E140^2)</f>
        <v>0.8484261954001926</v>
      </c>
      <c r="G140" s="550">
        <f t="shared" si="127"/>
        <v>0.89340944151077073</v>
      </c>
      <c r="I140" s="551">
        <f t="shared" si="128"/>
        <v>32934.645651853054</v>
      </c>
      <c r="M140" s="546">
        <f t="shared" si="129"/>
        <v>192</v>
      </c>
      <c r="N140" s="551">
        <f t="shared" si="118"/>
        <v>52.322368145309831</v>
      </c>
      <c r="O140" s="553">
        <f>$N140/PI()*SQRT('Hilfstabellen_Mat&amp;Bem'!f.Rd.3/'Hilfstabellen_Mat&amp;Bem'!$BD$30)</f>
        <v>0.83273635245999833</v>
      </c>
      <c r="P140" s="553">
        <f>0.5*(1+'Hilfstabellen_Mat&amp;Bem'!$BD$31*($O140-0.3)+$O140^2)</f>
        <v>0.8733617339771913</v>
      </c>
      <c r="Q140" s="550">
        <f t="shared" si="119"/>
        <v>0.87979273881890829</v>
      </c>
      <c r="S140" s="551">
        <f t="shared" si="130"/>
        <v>32432.679523820236</v>
      </c>
      <c r="W140" s="546">
        <f t="shared" si="131"/>
        <v>192</v>
      </c>
      <c r="X140" s="551">
        <f t="shared" si="120"/>
        <v>54.126587736527412</v>
      </c>
      <c r="Y140" s="553">
        <f>$X140/PI()*SQRT('Hilfstabellen_Mat&amp;Bem'!f.Rd.3/'Hilfstabellen_Mat&amp;Bem'!$BD$30)</f>
        <v>0.86145139909655011</v>
      </c>
      <c r="Z140" s="553">
        <f>0.5*(1+'Hilfstabellen_Mat&amp;Bem'!$BD$31*($Y140-0.3)+$Y140^2)</f>
        <v>0.89912182645752936</v>
      </c>
      <c r="AA140" s="550">
        <f t="shared" si="121"/>
        <v>0.86456463169002984</v>
      </c>
      <c r="AC140" s="551">
        <f t="shared" si="132"/>
        <v>31871.31058262126</v>
      </c>
      <c r="AG140" s="546">
        <f t="shared" si="133"/>
        <v>192</v>
      </c>
      <c r="AH140" s="551">
        <f t="shared" si="122"/>
        <v>55.930807327744986</v>
      </c>
      <c r="AI140" s="553">
        <f>$AH140/PI()*SQRT('Hilfstabellen_Mat&amp;Bem'!f.Rd.3/'Hilfstabellen_Mat&amp;Bem'!$BD$30)</f>
        <v>0.89016644573310166</v>
      </c>
      <c r="AJ140" s="553">
        <f>0.5*(1+'Hilfstabellen_Mat&amp;Bem'!$BD$31*($AI140-0.3)+$AI140^2)</f>
        <v>0.92570647284120655</v>
      </c>
      <c r="AK140" s="550">
        <f t="shared" si="123"/>
        <v>0.84763995599796849</v>
      </c>
      <c r="AM140" s="551">
        <f t="shared" si="134"/>
        <v>31247.399337909112</v>
      </c>
      <c r="AQ140" s="546">
        <f t="shared" si="135"/>
        <v>192</v>
      </c>
      <c r="AR140" s="551">
        <f t="shared" si="124"/>
        <v>57.735026918962575</v>
      </c>
      <c r="AS140" s="553">
        <f>$AR140/PI()*SQRT('Hilfstabellen_Mat&amp;Bem'!f.Rd.3/'Hilfstabellen_Mat&amp;Bem'!$BD$30)</f>
        <v>0.91888149236965355</v>
      </c>
      <c r="AT140" s="553">
        <f>0.5*(1+'Hilfstabellen_Mat&amp;Bem'!$BD$31*($AS140-0.3)+$AS140^2)</f>
        <v>0.95311567312822354</v>
      </c>
      <c r="AU140" s="550">
        <f t="shared" si="125"/>
        <v>0.8290029172295762</v>
      </c>
      <c r="AW140" s="551">
        <f t="shared" si="136"/>
        <v>30560.363540751096</v>
      </c>
      <c r="BA140" s="546">
        <f t="shared" si="137"/>
        <v>192</v>
      </c>
      <c r="BB140" s="551">
        <f t="shared" si="138"/>
        <v>59.539246510180156</v>
      </c>
      <c r="BC140" s="553">
        <f>$BB140/PI()*SQRT('Hilfstabellen_Mat&amp;Bem'!f.Rd.3/'Hilfstabellen_Mat&amp;Bem'!$BD$30)</f>
        <v>0.94759653900620511</v>
      </c>
      <c r="BD140" s="553">
        <f>0.5*(1+'Hilfstabellen_Mat&amp;Bem'!$BD$31*($BC140-0.3)+$BC140^2)</f>
        <v>0.98134942731857944</v>
      </c>
      <c r="BE140" s="550">
        <f t="shared" si="139"/>
        <v>0.80872704708680532</v>
      </c>
      <c r="BG140" s="551">
        <f t="shared" si="140"/>
        <v>29812.913863807989</v>
      </c>
      <c r="BK140" s="546">
        <f t="shared" si="141"/>
        <v>192</v>
      </c>
      <c r="BL140" s="551">
        <f t="shared" si="142"/>
        <v>61.34346610139773</v>
      </c>
      <c r="BM140" s="553">
        <f>$BL140/PI()*SQRT('Hilfstabellen_Mat&amp;Bem'!f.Rd.3/'Hilfstabellen_Mat&amp;Bem'!$BD$30)</f>
        <v>0.97631158564275666</v>
      </c>
      <c r="BN140" s="553">
        <f>0.5*(1+'Hilfstabellen_Mat&amp;Bem'!$BD$31*($BM140-0.3)+$BM140^2)</f>
        <v>1.0104077354122747</v>
      </c>
      <c r="BO140" s="550">
        <f t="shared" si="143"/>
        <v>0.78698278405730848</v>
      </c>
      <c r="BQ140" s="551">
        <f t="shared" si="144"/>
        <v>29011.333351488618</v>
      </c>
      <c r="BU140" s="546">
        <f t="shared" si="145"/>
        <v>192</v>
      </c>
      <c r="BV140" s="551">
        <f t="shared" si="146"/>
        <v>63.147685692615319</v>
      </c>
      <c r="BW140" s="553">
        <f>$BV140/PI()*SQRT('Hilfstabellen_Mat&amp;Bem'!f.Rd.3/'Hilfstabellen_Mat&amp;Bem'!$BD$30)</f>
        <v>1.0050266322793087</v>
      </c>
      <c r="BX140" s="553">
        <f>0.5*(1+'Hilfstabellen_Mat&amp;Bem'!$BD$31*($BW140-0.3)+$BW140^2)</f>
        <v>1.0402905974093097</v>
      </c>
      <c r="BY140" s="550">
        <f t="shared" si="147"/>
        <v>0.76402748885706762</v>
      </c>
      <c r="CA140" s="551">
        <f t="shared" si="148"/>
        <v>28165.109349226939</v>
      </c>
      <c r="CE140" s="546">
        <f t="shared" si="149"/>
        <v>192</v>
      </c>
      <c r="CF140" s="551">
        <f t="shared" si="150"/>
        <v>64.9519052838329</v>
      </c>
      <c r="CG140" s="553">
        <f>CF140/PI()*SQRT('Hilfstabellen_Mat&amp;Bem'!f.Rd.3/'Hilfstabellen_Mat&amp;Bem'!$BD$30)</f>
        <v>1.0337416789158602</v>
      </c>
      <c r="CH140" s="553">
        <f>0.5*(1+'Hilfstabellen_Mat&amp;Bem'!$BD$31*(CG140-0.3)+CG140^2)</f>
        <v>1.0709980133096837</v>
      </c>
      <c r="CI140" s="550">
        <f t="shared" si="151"/>
        <v>0.74017897570723978</v>
      </c>
      <c r="CK140" s="551">
        <f t="shared" si="152"/>
        <v>27285.957760471687</v>
      </c>
      <c r="CO140" s="546">
        <f t="shared" si="153"/>
        <v>192</v>
      </c>
      <c r="CP140" s="551">
        <f t="shared" si="154"/>
        <v>66.756124875050475</v>
      </c>
      <c r="CQ140" s="553">
        <f>CP140/PI()*SQRT('Hilfstabellen_Mat&amp;Bem'!f.Rd.3/'Hilfstabellen_Mat&amp;Bem'!$BD$30)</f>
        <v>1.0624567255524118</v>
      </c>
      <c r="CR140" s="553">
        <f>0.5*(1+'Hilfstabellen_Mat&amp;Bem'!$BD$31*(CQ140-0.3)+CQ140^2)</f>
        <v>1.102529983113397</v>
      </c>
      <c r="CS140" s="550">
        <f t="shared" si="155"/>
        <v>0.71578005243675102</v>
      </c>
      <c r="CU140" s="551">
        <f t="shared" si="156"/>
        <v>26386.515853028388</v>
      </c>
      <c r="CY140" s="546">
        <f t="shared" si="157"/>
        <v>192</v>
      </c>
      <c r="CZ140" s="551">
        <f t="shared" si="158"/>
        <v>68.560344466268063</v>
      </c>
      <c r="DA140" s="553">
        <f>CZ140/PI()*SQRT('Hilfstabellen_Mat&amp;Bem'!f.Rd.3/'Hilfstabellen_Mat&amp;Bem'!$BD$30)</f>
        <v>1.0911717721889636</v>
      </c>
      <c r="DB140" s="553">
        <f>0.5*(1+'Hilfstabellen_Mat&amp;Bem'!$BD$31*(DA140-0.3)+DA140^2)</f>
        <v>1.1348865068204499</v>
      </c>
      <c r="DC140" s="550">
        <f t="shared" si="159"/>
        <v>0.69116405773142631</v>
      </c>
      <c r="DE140" s="551">
        <f t="shared" si="160"/>
        <v>25479.0718242113</v>
      </c>
      <c r="DI140" s="546">
        <f t="shared" si="161"/>
        <v>192</v>
      </c>
      <c r="DJ140" s="551">
        <f t="shared" si="162"/>
        <v>70.364564057485637</v>
      </c>
      <c r="DK140" s="553">
        <f>DJ140/PI()*SQRT('Hilfstabellen_Mat&amp;Bem'!f.Rd.3/'Hilfstabellen_Mat&amp;Bem'!$BD$30)</f>
        <v>1.1198868188255151</v>
      </c>
      <c r="DL140" s="553">
        <f>0.5*(1+'Hilfstabellen_Mat&amp;Bem'!$BD$31*(DK140-0.3)+DK140^2)</f>
        <v>1.1680675844308417</v>
      </c>
      <c r="DM140" s="550">
        <f t="shared" si="163"/>
        <v>0.66662900441254869</v>
      </c>
      <c r="DO140" s="551">
        <f t="shared" si="164"/>
        <v>24574.611618664196</v>
      </c>
      <c r="DS140" s="546">
        <f t="shared" si="165"/>
        <v>192</v>
      </c>
      <c r="DT140" s="551">
        <f t="shared" si="166"/>
        <v>72.168783648703211</v>
      </c>
      <c r="DU140" s="553">
        <f>DT140/PI()*SQRT('Hilfstabellen_Mat&amp;Bem'!f.Rd.3/'Hilfstabellen_Mat&amp;Bem'!$BD$30)</f>
        <v>1.1486018654620667</v>
      </c>
      <c r="DV140" s="553">
        <f>0.5*(1+'Hilfstabellen_Mat&amp;Bem'!$BD$31*(DU140-0.3)+DU140^2)</f>
        <v>1.2020732159445731</v>
      </c>
      <c r="DW140" s="550">
        <f t="shared" si="167"/>
        <v>0.64242316281628098</v>
      </c>
      <c r="DY140" s="551">
        <f t="shared" si="168"/>
        <v>23682.287474059383</v>
      </c>
      <c r="EC140" s="546">
        <f t="shared" si="169"/>
        <v>192</v>
      </c>
      <c r="ED140" s="551">
        <f t="shared" si="170"/>
        <v>73.9730032399208</v>
      </c>
      <c r="EE140" s="553">
        <f>ED140/PI()*SQRT('Hilfstabellen_Mat&amp;Bem'!f.Rd.3/'Hilfstabellen_Mat&amp;Bem'!$BD$30)</f>
        <v>1.1773169120986184</v>
      </c>
      <c r="EF140" s="553">
        <f>0.5*(1+'Hilfstabellen_Mat&amp;Bem'!$BD$31*(EE140-0.3)+EE140^2)</f>
        <v>1.2369034013616438</v>
      </c>
      <c r="EG140" s="550">
        <f t="shared" si="171"/>
        <v>0.61874085493931319</v>
      </c>
      <c r="EI140" s="551">
        <f t="shared" si="172"/>
        <v>22809.262876482841</v>
      </c>
      <c r="EM140" s="546">
        <f t="shared" si="173"/>
        <v>192</v>
      </c>
      <c r="EN140" s="551">
        <f t="shared" si="174"/>
        <v>75.777222831138374</v>
      </c>
      <c r="EO140" s="553">
        <f>EN140/PI()*SQRT('Hilfstabellen_Mat&amp;Bem'!f.Rd.3/'Hilfstabellen_Mat&amp;Bem'!$BD$30)</f>
        <v>1.20603195873517</v>
      </c>
      <c r="EP140" s="553">
        <f>0.5*(1+'Hilfstabellen_Mat&amp;Bem'!$BD$31*(EO140-0.3)+EO140^2)</f>
        <v>1.2725581406820539</v>
      </c>
      <c r="EQ140" s="550">
        <f t="shared" si="175"/>
        <v>0.59572530052608452</v>
      </c>
      <c r="ES140" s="551">
        <f t="shared" si="176"/>
        <v>21960.817478593581</v>
      </c>
    </row>
    <row r="141" spans="3:149">
      <c r="C141" s="546">
        <v>193</v>
      </c>
      <c r="D141" s="551">
        <f t="shared" si="126"/>
        <v>50.256396489045144</v>
      </c>
      <c r="E141" s="553">
        <f>$D141/PI()*SQRT('Hilfstabellen_Mat&amp;Bem'!f.Rd.3/'Hilfstabellen_Mat&amp;Bem'!$BD$30)</f>
        <v>0.79985539232177094</v>
      </c>
      <c r="F141" s="553">
        <f>0.5*(1+'Hilfstabellen_Mat&amp;Bem'!$BD$31*($E141-0.3)+$E141^2)</f>
        <v>0.84487709392919563</v>
      </c>
      <c r="G141" s="550">
        <f t="shared" si="127"/>
        <v>0.89525841819018226</v>
      </c>
      <c r="I141" s="551">
        <f t="shared" si="128"/>
        <v>33347.4808191661</v>
      </c>
      <c r="M141" s="546">
        <f t="shared" si="129"/>
        <v>193</v>
      </c>
      <c r="N141" s="551">
        <f t="shared" si="118"/>
        <v>52.051267792225325</v>
      </c>
      <c r="O141" s="553">
        <f>$N141/PI()*SQRT('Hilfstabellen_Mat&amp;Bem'!f.Rd.3/'Hilfstabellen_Mat&amp;Bem'!$BD$30)</f>
        <v>0.82842165633326259</v>
      </c>
      <c r="P141" s="553">
        <f>0.5*(1+'Hilfstabellen_Mat&amp;Bem'!$BD$31*($O141-0.3)+$O141^2)</f>
        <v>0.86956230315763627</v>
      </c>
      <c r="Q141" s="550">
        <f t="shared" si="119"/>
        <v>0.88193885061448118</v>
      </c>
      <c r="S141" s="551">
        <f t="shared" si="130"/>
        <v>32851.340246538806</v>
      </c>
      <c r="W141" s="546">
        <f t="shared" si="131"/>
        <v>193</v>
      </c>
      <c r="X141" s="551">
        <f t="shared" si="120"/>
        <v>53.846139095405512</v>
      </c>
      <c r="Y141" s="553">
        <f>$X141/PI()*SQRT('Hilfstabellen_Mat&amp;Bem'!f.Rd.3/'Hilfstabellen_Mat&amp;Bem'!$BD$30)</f>
        <v>0.85698792034475457</v>
      </c>
      <c r="Z141" s="553">
        <f>0.5*(1+'Hilfstabellen_Mat&amp;Bem'!$BD$31*($Y141-0.3)+$Y141^2)</f>
        <v>0.89506354382565134</v>
      </c>
      <c r="AA141" s="550">
        <f t="shared" si="121"/>
        <v>0.86704159155736638</v>
      </c>
      <c r="AC141" s="551">
        <f t="shared" si="132"/>
        <v>32296.432243920339</v>
      </c>
      <c r="AG141" s="546">
        <f t="shared" si="133"/>
        <v>193</v>
      </c>
      <c r="AH141" s="551">
        <f t="shared" si="122"/>
        <v>55.641010398585692</v>
      </c>
      <c r="AI141" s="553">
        <f>$AH141/PI()*SQRT('Hilfstabellen_Mat&amp;Bem'!f.Rd.3/'Hilfstabellen_Mat&amp;Bem'!$BD$30)</f>
        <v>0.88555418435624633</v>
      </c>
      <c r="AJ141" s="553">
        <f>0.5*(1+'Hilfstabellen_Mat&amp;Bem'!$BD$31*($AI141-0.3)+$AI141^2)</f>
        <v>0.92138081593324073</v>
      </c>
      <c r="AK141" s="550">
        <f t="shared" si="123"/>
        <v>0.85047443756570429</v>
      </c>
      <c r="AM141" s="551">
        <f t="shared" si="134"/>
        <v>31679.322324884921</v>
      </c>
      <c r="AQ141" s="546">
        <f t="shared" si="135"/>
        <v>193</v>
      </c>
      <c r="AR141" s="551">
        <f t="shared" si="124"/>
        <v>57.435881701765872</v>
      </c>
      <c r="AS141" s="553">
        <f>$AR141/PI()*SQRT('Hilfstabellen_Mat&amp;Bem'!f.Rd.3/'Hilfstabellen_Mat&amp;Bem'!$BD$30)</f>
        <v>0.91412044836773809</v>
      </c>
      <c r="AT141" s="553">
        <f>0.5*(1+'Hilfstabellen_Mat&amp;Bem'!$BD$31*($AS141-0.3)+$AS141^2)</f>
        <v>0.94851411948040421</v>
      </c>
      <c r="AU141" s="550">
        <f t="shared" si="125"/>
        <v>0.83220950255913273</v>
      </c>
      <c r="AW141" s="551">
        <f t="shared" si="136"/>
        <v>30998.971760825134</v>
      </c>
      <c r="BA141" s="546">
        <f t="shared" si="137"/>
        <v>193</v>
      </c>
      <c r="BB141" s="551">
        <f t="shared" si="138"/>
        <v>59.23075300494606</v>
      </c>
      <c r="BC141" s="553">
        <f>$BB141/PI()*SQRT('Hilfstabellen_Mat&amp;Bem'!f.Rd.3/'Hilfstabellen_Mat&amp;Bem'!$BD$30)</f>
        <v>0.94268671237922996</v>
      </c>
      <c r="BD141" s="553">
        <f>0.5*(1+'Hilfstabellen_Mat&amp;Bem'!$BD$31*($BC141-0.3)+$BC141^2)</f>
        <v>0.976463454467142</v>
      </c>
      <c r="BE141" s="550">
        <f t="shared" si="139"/>
        <v>0.81230389470713771</v>
      </c>
      <c r="BG141" s="551">
        <f t="shared" si="140"/>
        <v>30257.507773946174</v>
      </c>
      <c r="BK141" s="546">
        <f t="shared" si="141"/>
        <v>193</v>
      </c>
      <c r="BL141" s="551">
        <f t="shared" si="142"/>
        <v>61.02562430812624</v>
      </c>
      <c r="BM141" s="553">
        <f>$BL141/PI()*SQRT('Hilfstabellen_Mat&amp;Bem'!f.Rd.3/'Hilfstabellen_Mat&amp;Bem'!$BD$30)</f>
        <v>0.97125297639072172</v>
      </c>
      <c r="BN141" s="553">
        <f>0.5*(1+'Hilfstabellen_Mat&amp;Bem'!$BD$31*($BM141-0.3)+$BM141^2)</f>
        <v>1.0052288208934539</v>
      </c>
      <c r="BO141" s="550">
        <f t="shared" si="143"/>
        <v>0.7909095503070851</v>
      </c>
      <c r="BQ141" s="551">
        <f t="shared" si="144"/>
        <v>29460.589839388613</v>
      </c>
      <c r="BU141" s="546">
        <f t="shared" si="145"/>
        <v>193</v>
      </c>
      <c r="BV141" s="551">
        <f t="shared" si="146"/>
        <v>62.820495611306427</v>
      </c>
      <c r="BW141" s="553">
        <f>$BV141/PI()*SQRT('Hilfstabellen_Mat&amp;Bem'!f.Rd.3/'Hilfstabellen_Mat&amp;Bem'!$BD$30)</f>
        <v>0.9998192404022137</v>
      </c>
      <c r="BX141" s="553">
        <f>0.5*(1+'Hilfstabellen_Mat&amp;Bem'!$BD$31*($BW141-0.3)+$BW141^2)</f>
        <v>1.0348102187593404</v>
      </c>
      <c r="BY141" s="550">
        <f t="shared" si="147"/>
        <v>0.7682665070032062</v>
      </c>
      <c r="CA141" s="551">
        <f t="shared" si="148"/>
        <v>28617.159119362426</v>
      </c>
      <c r="CE141" s="546">
        <f t="shared" si="149"/>
        <v>193</v>
      </c>
      <c r="CF141" s="551">
        <f t="shared" si="150"/>
        <v>64.6153669144866</v>
      </c>
      <c r="CG141" s="553">
        <f>CF141/PI()*SQRT('Hilfstabellen_Mat&amp;Bem'!f.Rd.3/'Hilfstabellen_Mat&amp;Bem'!$BD$30)</f>
        <v>1.0283855044137054</v>
      </c>
      <c r="CH141" s="553">
        <f>0.5*(1+'Hilfstabellen_Mat&amp;Bem'!$BD$31*(CG141-0.3)+CG141^2)</f>
        <v>1.0652076480648009</v>
      </c>
      <c r="CI141" s="550">
        <f t="shared" si="151"/>
        <v>0.74467950703937968</v>
      </c>
      <c r="CK141" s="551">
        <f t="shared" si="152"/>
        <v>27738.566957709852</v>
      </c>
      <c r="CO141" s="546">
        <f t="shared" si="153"/>
        <v>193</v>
      </c>
      <c r="CP141" s="551">
        <f t="shared" si="154"/>
        <v>66.410238217666802</v>
      </c>
      <c r="CQ141" s="553">
        <f>CP141/PI()*SQRT('Hilfstabellen_Mat&amp;Bem'!f.Rd.3/'Hilfstabellen_Mat&amp;Bem'!$BD$30)</f>
        <v>1.0569517684251974</v>
      </c>
      <c r="CR141" s="553">
        <f>0.5*(1+'Hilfstabellen_Mat&amp;Bem'!$BD$31*(CQ141-0.3)+CQ141^2)</f>
        <v>1.0964211088098361</v>
      </c>
      <c r="CS141" s="550">
        <f t="shared" si="155"/>
        <v>0.72048427804493986</v>
      </c>
      <c r="CU141" s="551">
        <f t="shared" si="156"/>
        <v>26837.318872895965</v>
      </c>
      <c r="CY141" s="546">
        <f t="shared" si="157"/>
        <v>193</v>
      </c>
      <c r="CZ141" s="551">
        <f t="shared" si="158"/>
        <v>68.205109520846975</v>
      </c>
      <c r="DA141" s="553">
        <f>CZ141/PI()*SQRT('Hilfstabellen_Mat&amp;Bem'!f.Rd.3/'Hilfstabellen_Mat&amp;Bem'!$BD$30)</f>
        <v>1.0855180324366891</v>
      </c>
      <c r="DB141" s="553">
        <f>0.5*(1+'Hilfstabellen_Mat&amp;Bem'!$BD$31*(DA141-0.3)+DA141^2)</f>
        <v>1.1284506009944448</v>
      </c>
      <c r="DC141" s="550">
        <f t="shared" si="159"/>
        <v>0.69601308052526711</v>
      </c>
      <c r="DE141" s="551">
        <f t="shared" si="160"/>
        <v>25925.791236485675</v>
      </c>
      <c r="DI141" s="546">
        <f t="shared" si="161"/>
        <v>193</v>
      </c>
      <c r="DJ141" s="551">
        <f t="shared" si="162"/>
        <v>69.999980824027162</v>
      </c>
      <c r="DK141" s="553">
        <f>DJ141/PI()*SQRT('Hilfstabellen_Mat&amp;Bem'!f.Rd.3/'Hilfstabellen_Mat&amp;Bem'!$BD$30)</f>
        <v>1.1140842964481807</v>
      </c>
      <c r="DL141" s="553">
        <f>0.5*(1+'Hilfstabellen_Mat&amp;Bem'!$BD$31*(DK141-0.3)+DK141^2)</f>
        <v>1.161296124618628</v>
      </c>
      <c r="DM141" s="550">
        <f t="shared" si="163"/>
        <v>0.67156756176478738</v>
      </c>
      <c r="DO141" s="551">
        <f t="shared" si="164"/>
        <v>25015.220108176563</v>
      </c>
      <c r="DS141" s="546">
        <f t="shared" si="165"/>
        <v>193</v>
      </c>
      <c r="DT141" s="551">
        <f t="shared" si="166"/>
        <v>71.794852127207335</v>
      </c>
      <c r="DU141" s="553">
        <f>DT141/PI()*SQRT('Hilfstabellen_Mat&amp;Bem'!f.Rd.3/'Hilfstabellen_Mat&amp;Bem'!$BD$30)</f>
        <v>1.1426505604596726</v>
      </c>
      <c r="DV141" s="553">
        <f>0.5*(1+'Hilfstabellen_Mat&amp;Bem'!$BD$31*(DU141-0.3)+DU141^2)</f>
        <v>1.1949576796823855</v>
      </c>
      <c r="DW141" s="550">
        <f t="shared" si="167"/>
        <v>0.64740254186738089</v>
      </c>
      <c r="DY141" s="551">
        <f t="shared" si="168"/>
        <v>24115.097282018072</v>
      </c>
      <c r="EC141" s="546">
        <f t="shared" si="169"/>
        <v>193</v>
      </c>
      <c r="ED141" s="551">
        <f t="shared" si="170"/>
        <v>73.589723430387536</v>
      </c>
      <c r="EE141" s="553">
        <f>ED141/PI()*SQRT('Hilfstabellen_Mat&amp;Bem'!f.Rd.3/'Hilfstabellen_Mat&amp;Bem'!$BD$30)</f>
        <v>1.1712168244711645</v>
      </c>
      <c r="EF141" s="553">
        <f>0.5*(1+'Hilfstabellen_Mat&amp;Bem'!$BD$31*(EE141-0.3)+EE141^2)</f>
        <v>1.2294352661857175</v>
      </c>
      <c r="EG141" s="550">
        <f t="shared" si="171"/>
        <v>0.62372015429321837</v>
      </c>
      <c r="EI141" s="551">
        <f t="shared" si="172"/>
        <v>23232.952027268089</v>
      </c>
      <c r="EM141" s="546">
        <f t="shared" si="173"/>
        <v>193</v>
      </c>
      <c r="EN141" s="551">
        <f t="shared" si="174"/>
        <v>75.38459473356771</v>
      </c>
      <c r="EO141" s="553">
        <f>EN141/PI()*SQRT('Hilfstabellen_Mat&amp;Bem'!f.Rd.3/'Hilfstabellen_Mat&amp;Bem'!$BD$30)</f>
        <v>1.1997830884826564</v>
      </c>
      <c r="EP141" s="553">
        <f>0.5*(1+'Hilfstabellen_Mat&amp;Bem'!$BD$31*(EO141-0.3)+EO141^2)</f>
        <v>1.2647288841286235</v>
      </c>
      <c r="EQ141" s="550">
        <f t="shared" si="175"/>
        <v>0.60067149396214381</v>
      </c>
      <c r="ES141" s="551">
        <f t="shared" si="176"/>
        <v>22374.412478595896</v>
      </c>
    </row>
    <row r="142" spans="3:149">
      <c r="C142" s="546">
        <v>194</v>
      </c>
      <c r="D142" s="551">
        <f t="shared" si="126"/>
        <v>49.997342898895425</v>
      </c>
      <c r="E142" s="553">
        <f>$D142/PI()*SQRT('Hilfstabellen_Mat&amp;Bem'!f.Rd.3/'Hilfstabellen_Mat&amp;Bem'!$BD$30)</f>
        <v>0.79573242638196795</v>
      </c>
      <c r="F142" s="553">
        <f>0.5*(1+'Hilfstabellen_Mat&amp;Bem'!$BD$31*($E142-0.3)+$E142^2)</f>
        <v>0.84138166851696539</v>
      </c>
      <c r="G142" s="550">
        <f t="shared" si="127"/>
        <v>0.89705804004490841</v>
      </c>
      <c r="I142" s="551">
        <f t="shared" si="128"/>
        <v>33761.676395130176</v>
      </c>
      <c r="M142" s="546">
        <f t="shared" si="129"/>
        <v>194</v>
      </c>
      <c r="N142" s="551">
        <f t="shared" si="118"/>
        <v>51.78296228814169</v>
      </c>
      <c r="O142" s="553">
        <f>$N142/PI()*SQRT('Hilfstabellen_Mat&amp;Bem'!f.Rd.3/'Hilfstabellen_Mat&amp;Bem'!$BD$30)</f>
        <v>0.8241514416098954</v>
      </c>
      <c r="P142" s="553">
        <f>0.5*(1+'Hilfstabellen_Mat&amp;Bem'!$BD$31*($O142-0.3)+$O142^2)</f>
        <v>0.86582037143432911</v>
      </c>
      <c r="Q142" s="550">
        <f t="shared" si="119"/>
        <v>0.88402732497713332</v>
      </c>
      <c r="S142" s="551">
        <f t="shared" si="130"/>
        <v>33271.252402839389</v>
      </c>
      <c r="W142" s="546">
        <f t="shared" si="131"/>
        <v>194</v>
      </c>
      <c r="X142" s="551">
        <f t="shared" si="120"/>
        <v>53.568581677387954</v>
      </c>
      <c r="Y142" s="553">
        <f>$X142/PI()*SQRT('Hilfstabellen_Mat&amp;Bem'!f.Rd.3/'Hilfstabellen_Mat&amp;Bem'!$BD$30)</f>
        <v>0.85257045683782273</v>
      </c>
      <c r="Z142" s="553">
        <f>0.5*(1+'Hilfstabellen_Mat&amp;Bem'!$BD$31*($Y142-0.3)+$Y142^2)</f>
        <v>0.89106671477821797</v>
      </c>
      <c r="AA142" s="550">
        <f t="shared" si="121"/>
        <v>0.86945274777940962</v>
      </c>
      <c r="AC142" s="551">
        <f t="shared" si="132"/>
        <v>32722.723615425861</v>
      </c>
      <c r="AG142" s="546">
        <f t="shared" si="133"/>
        <v>194</v>
      </c>
      <c r="AH142" s="551">
        <f t="shared" si="122"/>
        <v>55.354201066634218</v>
      </c>
      <c r="AI142" s="553">
        <f>$AH142/PI()*SQRT('Hilfstabellen_Mat&amp;Bem'!f.Rd.3/'Hilfstabellen_Mat&amp;Bem'!$BD$30)</f>
        <v>0.88098947206575018</v>
      </c>
      <c r="AJ142" s="553">
        <f>0.5*(1+'Hilfstabellen_Mat&amp;Bem'!$BD$31*($AI142-0.3)+$AI142^2)</f>
        <v>0.9171206985486321</v>
      </c>
      <c r="AK142" s="550">
        <f t="shared" si="123"/>
        <v>0.85323594061209884</v>
      </c>
      <c r="AM142" s="551">
        <f t="shared" si="134"/>
        <v>32112.387860876952</v>
      </c>
      <c r="AQ142" s="546">
        <f t="shared" si="135"/>
        <v>194</v>
      </c>
      <c r="AR142" s="551">
        <f t="shared" si="124"/>
        <v>57.139820455880482</v>
      </c>
      <c r="AS142" s="553">
        <f>$AR142/PI()*SQRT('Hilfstabellen_Mat&amp;Bem'!f.Rd.3/'Hilfstabellen_Mat&amp;Bem'!$BD$30)</f>
        <v>0.90940848729367763</v>
      </c>
      <c r="AT142" s="553">
        <f>0.5*(1+'Hilfstabellen_Mat&amp;Bem'!$BD$31*($AS142-0.3)+$AS142^2)</f>
        <v>0.94398232274557137</v>
      </c>
      <c r="AU142" s="550">
        <f t="shared" si="125"/>
        <v>0.83533794468781586</v>
      </c>
      <c r="AW142" s="551">
        <f t="shared" si="136"/>
        <v>31438.778886270637</v>
      </c>
      <c r="BA142" s="546">
        <f t="shared" si="137"/>
        <v>194</v>
      </c>
      <c r="BB142" s="551">
        <f t="shared" si="138"/>
        <v>58.925439845126746</v>
      </c>
      <c r="BC142" s="553">
        <f>$BB142/PI()*SQRT('Hilfstabellen_Mat&amp;Bem'!f.Rd.3/'Hilfstabellen_Mat&amp;Bem'!$BD$30)</f>
        <v>0.93782750252160507</v>
      </c>
      <c r="BD142" s="553">
        <f>0.5*(1+'Hilfstabellen_Mat&amp;Bem'!$BD$31*($BC142-0.3)+$BC142^2)</f>
        <v>0.9716515873690359</v>
      </c>
      <c r="BE142" s="550">
        <f t="shared" si="139"/>
        <v>0.81580035714643129</v>
      </c>
      <c r="BG142" s="551">
        <f t="shared" si="140"/>
        <v>30703.462241563087</v>
      </c>
      <c r="BK142" s="546">
        <f t="shared" si="141"/>
        <v>194</v>
      </c>
      <c r="BL142" s="551">
        <f t="shared" si="142"/>
        <v>60.711059234373018</v>
      </c>
      <c r="BM142" s="553">
        <f>$BL142/PI()*SQRT('Hilfstabellen_Mat&amp;Bem'!f.Rd.3/'Hilfstabellen_Mat&amp;Bem'!$BD$30)</f>
        <v>0.96624651774953252</v>
      </c>
      <c r="BN142" s="553">
        <f>0.5*(1+'Hilfstabellen_Mat&amp;Bem'!$BD$31*($BM142-0.3)+$BM142^2)</f>
        <v>1.0001284924190255</v>
      </c>
      <c r="BO142" s="550">
        <f t="shared" si="143"/>
        <v>0.79475712089605388</v>
      </c>
      <c r="BQ142" s="551">
        <f t="shared" si="144"/>
        <v>29911.479002043885</v>
      </c>
      <c r="BU142" s="546">
        <f t="shared" si="145"/>
        <v>194</v>
      </c>
      <c r="BV142" s="551">
        <f t="shared" si="146"/>
        <v>62.496678623619282</v>
      </c>
      <c r="BW142" s="553">
        <f>$BV142/PI()*SQRT('Hilfstabellen_Mat&amp;Bem'!f.Rd.3/'Hilfstabellen_Mat&amp;Bem'!$BD$30)</f>
        <v>0.99466553297745985</v>
      </c>
      <c r="BX142" s="553">
        <f>0.5*(1+'Hilfstabellen_Mat&amp;Bem'!$BD$31*($BW142-0.3)+$BW142^2)</f>
        <v>1.0294130378955402</v>
      </c>
      <c r="BY142" s="550">
        <f t="shared" si="147"/>
        <v>0.77243086431803809</v>
      </c>
      <c r="CA142" s="551">
        <f t="shared" si="148"/>
        <v>29071.208009473681</v>
      </c>
      <c r="CE142" s="546">
        <f t="shared" si="149"/>
        <v>194</v>
      </c>
      <c r="CF142" s="551">
        <f t="shared" si="150"/>
        <v>64.282298012865553</v>
      </c>
      <c r="CG142" s="553">
        <f>CF142/PI()*SQRT('Hilfstabellen_Mat&amp;Bem'!f.Rd.3/'Hilfstabellen_Mat&amp;Bem'!$BD$30)</f>
        <v>1.0230845482053874</v>
      </c>
      <c r="CH142" s="553">
        <f>0.5*(1+'Hilfstabellen_Mat&amp;Bem'!$BD$31*(CG142-0.3)+CG142^2)</f>
        <v>1.0595052237985803</v>
      </c>
      <c r="CI142" s="550">
        <f t="shared" si="151"/>
        <v>0.74911260788500389</v>
      </c>
      <c r="CK142" s="551">
        <f t="shared" si="152"/>
        <v>28193.602110360007</v>
      </c>
      <c r="CO142" s="546">
        <f t="shared" si="153"/>
        <v>194</v>
      </c>
      <c r="CP142" s="551">
        <f t="shared" si="154"/>
        <v>66.067917402111803</v>
      </c>
      <c r="CQ142" s="553">
        <f>CP142/PI()*SQRT('Hilfstabellen_Mat&amp;Bem'!f.Rd.3/'Hilfstabellen_Mat&amp;Bem'!$BD$30)</f>
        <v>1.0515035634333145</v>
      </c>
      <c r="CR142" s="553">
        <f>0.5*(1+'Hilfstabellen_Mat&amp;Bem'!$BD$31*(CQ142-0.3)+CQ142^2)</f>
        <v>1.090405050128145</v>
      </c>
      <c r="CS142" s="550">
        <f t="shared" si="155"/>
        <v>0.72513001808850408</v>
      </c>
      <c r="CU142" s="551">
        <f t="shared" si="156"/>
        <v>27290.993360778939</v>
      </c>
      <c r="CY142" s="546">
        <f t="shared" si="157"/>
        <v>194</v>
      </c>
      <c r="CZ142" s="551">
        <f t="shared" si="158"/>
        <v>67.853536791358081</v>
      </c>
      <c r="DA142" s="553">
        <f>CZ142/PI()*SQRT('Hilfstabellen_Mat&amp;Bem'!f.Rd.3/'Hilfstabellen_Mat&amp;Bem'!$BD$30)</f>
        <v>1.0799225786612423</v>
      </c>
      <c r="DB142" s="553">
        <f>0.5*(1+'Hilfstabellen_Mat&amp;Bem'!$BD$31*(DA142-0.3)+DA142^2)</f>
        <v>1.1221125168842356</v>
      </c>
      <c r="DC142" s="550">
        <f t="shared" si="159"/>
        <v>0.7008132601547683</v>
      </c>
      <c r="DE142" s="551">
        <f t="shared" si="160"/>
        <v>26375.807859184861</v>
      </c>
      <c r="DI142" s="546">
        <f t="shared" si="161"/>
        <v>194</v>
      </c>
      <c r="DJ142" s="551">
        <f t="shared" si="162"/>
        <v>69.639156180604346</v>
      </c>
      <c r="DK142" s="553">
        <f>DJ142/PI()*SQRT('Hilfstabellen_Mat&amp;Bem'!f.Rd.3/'Hilfstabellen_Mat&amp;Bem'!$BD$30)</f>
        <v>1.1083415938891696</v>
      </c>
      <c r="DL142" s="553">
        <f>0.5*(1+'Hilfstabellen_Mat&amp;Bem'!$BD$31*(DK142-0.3)+DK142^2)</f>
        <v>1.1546276240668512</v>
      </c>
      <c r="DM142" s="550">
        <f t="shared" si="163"/>
        <v>0.67646678191419796</v>
      </c>
      <c r="DO142" s="551">
        <f t="shared" si="164"/>
        <v>25459.503804122753</v>
      </c>
      <c r="DS142" s="546">
        <f t="shared" si="165"/>
        <v>194</v>
      </c>
      <c r="DT142" s="551">
        <f t="shared" si="166"/>
        <v>71.42477556985061</v>
      </c>
      <c r="DU142" s="553">
        <f>DT142/PI()*SQRT('Hilfstabellen_Mat&amp;Bem'!f.Rd.3/'Hilfstabellen_Mat&amp;Bem'!$BD$30)</f>
        <v>1.136760609117097</v>
      </c>
      <c r="DV142" s="553">
        <f>0.5*(1+'Hilfstabellen_Mat&amp;Bem'!$BD$31*(DU142-0.3)+DU142^2)</f>
        <v>1.1879503716759916</v>
      </c>
      <c r="DW142" s="550">
        <f t="shared" si="167"/>
        <v>0.65235139306346535</v>
      </c>
      <c r="DY142" s="551">
        <f t="shared" si="168"/>
        <v>24551.897029336582</v>
      </c>
      <c r="EC142" s="546">
        <f t="shared" si="169"/>
        <v>194</v>
      </c>
      <c r="ED142" s="551">
        <f t="shared" si="170"/>
        <v>73.210394959096874</v>
      </c>
      <c r="EE142" s="553">
        <f>ED142/PI()*SQRT('Hilfstabellen_Mat&amp;Bem'!f.Rd.3/'Hilfstabellen_Mat&amp;Bem'!$BD$30)</f>
        <v>1.1651796243450245</v>
      </c>
      <c r="EF142" s="553">
        <f>0.5*(1+'Hilfstabellen_Mat&amp;Bem'!$BD$31*(EE142-0.3)+EE142^2)</f>
        <v>1.2220807597116576</v>
      </c>
      <c r="EG142" s="550">
        <f t="shared" si="171"/>
        <v>0.62867673937688928</v>
      </c>
      <c r="EI142" s="551">
        <f t="shared" si="172"/>
        <v>23660.877763188604</v>
      </c>
      <c r="EM142" s="546">
        <f t="shared" si="173"/>
        <v>194</v>
      </c>
      <c r="EN142" s="551">
        <f t="shared" si="174"/>
        <v>74.996014348343138</v>
      </c>
      <c r="EO142" s="553">
        <f>EN142/PI()*SQRT('Hilfstabellen_Mat&amp;Bem'!f.Rd.3/'Hilfstabellen_Mat&amp;Bem'!$BD$30)</f>
        <v>1.1935986395729519</v>
      </c>
      <c r="EP142" s="553">
        <f>0.5*(1+'Hilfstabellen_Mat&amp;Bem'!$BD$31*(EO142-0.3)+EO142^2)</f>
        <v>1.2570187881738484</v>
      </c>
      <c r="EQ142" s="550">
        <f t="shared" si="175"/>
        <v>0.60560168979449758</v>
      </c>
      <c r="ES142" s="551">
        <f t="shared" si="176"/>
        <v>22792.425197105709</v>
      </c>
    </row>
    <row r="143" spans="3:149">
      <c r="C143" s="546">
        <v>195</v>
      </c>
      <c r="D143" s="551">
        <f t="shared" si="126"/>
        <v>49.740946268644677</v>
      </c>
      <c r="E143" s="553">
        <f>$D143/PI()*SQRT('Hilfstabellen_Mat&amp;Bem'!f.Rd.3/'Hilfstabellen_Mat&amp;Bem'!$BD$30)</f>
        <v>0.7916517472723168</v>
      </c>
      <c r="F143" s="553">
        <f>0.5*(1+'Hilfstabellen_Mat&amp;Bem'!$BD$31*($E143-0.3)+$E143^2)</f>
        <v>0.83793883184327189</v>
      </c>
      <c r="G143" s="550">
        <f t="shared" si="127"/>
        <v>0.89880996813166547</v>
      </c>
      <c r="I143" s="551">
        <f t="shared" si="128"/>
        <v>34177.249038206581</v>
      </c>
      <c r="M143" s="546">
        <f t="shared" si="129"/>
        <v>195</v>
      </c>
      <c r="N143" s="551">
        <f t="shared" si="118"/>
        <v>51.51740863538199</v>
      </c>
      <c r="O143" s="553">
        <f>$N143/PI()*SQRT('Hilfstabellen_Mat&amp;Bem'!f.Rd.3/'Hilfstabellen_Mat&amp;Bem'!$BD$30)</f>
        <v>0.81992502396061395</v>
      </c>
      <c r="P143" s="553">
        <f>0.5*(1+'Hilfstabellen_Mat&amp;Bem'!$BD$31*($O143-0.3)+$O143^2)</f>
        <v>0.86213477365643743</v>
      </c>
      <c r="Q143" s="550">
        <f t="shared" si="119"/>
        <v>0.88605999057087159</v>
      </c>
      <c r="S143" s="551">
        <f t="shared" si="130"/>
        <v>33692.431141457389</v>
      </c>
      <c r="W143" s="546">
        <f t="shared" si="131"/>
        <v>195</v>
      </c>
      <c r="X143" s="551">
        <f t="shared" si="120"/>
        <v>53.293871002119303</v>
      </c>
      <c r="Y143" s="553">
        <f>$X143/PI()*SQRT('Hilfstabellen_Mat&amp;Bem'!f.Rd.3/'Hilfstabellen_Mat&amp;Bem'!$BD$30)</f>
        <v>0.848198300648911</v>
      </c>
      <c r="Z143" s="553">
        <f>0.5*(1+'Hilfstabellen_Mat&amp;Bem'!$BD$31*($Y143-0.3)+$Y143^2)</f>
        <v>0.88713009364429585</v>
      </c>
      <c r="AA143" s="550">
        <f t="shared" si="121"/>
        <v>0.871799987092294</v>
      </c>
      <c r="AC143" s="551">
        <f t="shared" si="132"/>
        <v>33150.194509184483</v>
      </c>
      <c r="AG143" s="546">
        <f t="shared" si="133"/>
        <v>195</v>
      </c>
      <c r="AH143" s="551">
        <f t="shared" si="122"/>
        <v>55.070333368856609</v>
      </c>
      <c r="AI143" s="553">
        <f>$AH143/PI()*SQRT('Hilfstabellen_Mat&amp;Bem'!f.Rd.3/'Hilfstabellen_Mat&amp;Bem'!$BD$30)</f>
        <v>0.87647157733720782</v>
      </c>
      <c r="AJ143" s="553">
        <f>0.5*(1+'Hilfstabellen_Mat&amp;Bem'!$BD$31*($AI143-0.3)+$AI143^2)</f>
        <v>0.91292479180684694</v>
      </c>
      <c r="AK143" s="550">
        <f t="shared" si="123"/>
        <v>0.855926243154012</v>
      </c>
      <c r="AM143" s="551">
        <f t="shared" si="134"/>
        <v>32546.595395931305</v>
      </c>
      <c r="AQ143" s="546">
        <f t="shared" si="135"/>
        <v>195</v>
      </c>
      <c r="AR143" s="551">
        <f t="shared" si="124"/>
        <v>56.846795735593915</v>
      </c>
      <c r="AS143" s="553">
        <f>$AR143/PI()*SQRT('Hilfstabellen_Mat&amp;Bem'!f.Rd.3/'Hilfstabellen_Mat&amp;Bem'!$BD$30)</f>
        <v>0.90474485402550497</v>
      </c>
      <c r="AT143" s="553">
        <f>0.5*(1+'Hilfstabellen_Mat&amp;Bem'!$BD$31*($AS143-0.3)+$AS143^2)</f>
        <v>0.93951886814409136</v>
      </c>
      <c r="AU143" s="550">
        <f t="shared" si="125"/>
        <v>0.83838971176989641</v>
      </c>
      <c r="AW143" s="551">
        <f t="shared" si="136"/>
        <v>31879.768790050312</v>
      </c>
      <c r="BA143" s="546">
        <f t="shared" si="137"/>
        <v>195</v>
      </c>
      <c r="BB143" s="551">
        <f t="shared" si="138"/>
        <v>58.623258102331228</v>
      </c>
      <c r="BC143" s="553">
        <f>$BB143/PI()*SQRT('Hilfstabellen_Mat&amp;Bem'!f.Rd.3/'Hilfstabellen_Mat&amp;Bem'!$BD$30)</f>
        <v>0.93301813071380202</v>
      </c>
      <c r="BD143" s="553">
        <f>0.5*(1+'Hilfstabellen_Mat&amp;Bem'!$BD$31*($BC143-0.3)+$BC143^2)</f>
        <v>0.96691232265602878</v>
      </c>
      <c r="BE143" s="550">
        <f t="shared" si="139"/>
        <v>0.819217405628484</v>
      </c>
      <c r="BG143" s="551">
        <f t="shared" si="140"/>
        <v>31150.741849023103</v>
      </c>
      <c r="BK143" s="546">
        <f t="shared" si="141"/>
        <v>195</v>
      </c>
      <c r="BL143" s="551">
        <f t="shared" si="142"/>
        <v>60.399720469068534</v>
      </c>
      <c r="BM143" s="553">
        <f>$BL143/PI()*SQRT('Hilfstabellen_Mat&amp;Bem'!f.Rd.3/'Hilfstabellen_Mat&amp;Bem'!$BD$30)</f>
        <v>0.96129140740209884</v>
      </c>
      <c r="BN143" s="553">
        <f>0.5*(1+'Hilfstabellen_Mat&amp;Bem'!$BD$31*($BM143-0.3)+$BM143^2)</f>
        <v>0.99510515534265886</v>
      </c>
      <c r="BO143" s="550">
        <f t="shared" si="143"/>
        <v>0.79852585403001941</v>
      </c>
      <c r="BQ143" s="551">
        <f t="shared" si="144"/>
        <v>30363.94559949149</v>
      </c>
      <c r="BU143" s="546">
        <f t="shared" si="145"/>
        <v>195</v>
      </c>
      <c r="BV143" s="551">
        <f t="shared" si="146"/>
        <v>62.176182835805847</v>
      </c>
      <c r="BW143" s="553">
        <f>$BV143/PI()*SQRT('Hilfstabellen_Mat&amp;Bem'!f.Rd.3/'Hilfstabellen_Mat&amp;Bem'!$BD$30)</f>
        <v>0.989564684090396</v>
      </c>
      <c r="BX143" s="553">
        <f>0.5*(1+'Hilfstabellen_Mat&amp;Bem'!$BD$31*($BW143-0.3)+$BW143^2)</f>
        <v>1.0240973662039825</v>
      </c>
      <c r="BY143" s="550">
        <f t="shared" si="147"/>
        <v>0.77652029671503187</v>
      </c>
      <c r="CA143" s="551">
        <f t="shared" si="148"/>
        <v>29527.184282589085</v>
      </c>
      <c r="CE143" s="546">
        <f t="shared" si="149"/>
        <v>195</v>
      </c>
      <c r="CF143" s="551">
        <f t="shared" si="150"/>
        <v>63.952645202543152</v>
      </c>
      <c r="CG143" s="553">
        <f>CF143/PI()*SQRT('Hilfstabellen_Mat&amp;Bem'!f.Rd.3/'Hilfstabellen_Mat&amp;Bem'!$BD$30)</f>
        <v>1.0178379607786929</v>
      </c>
      <c r="CH143" s="553">
        <f>0.5*(1+'Hilfstabellen_Mat&amp;Bem'!$BD$31*(CG143-0.3)+CG143^2)</f>
        <v>1.0538889552399988</v>
      </c>
      <c r="CI143" s="550">
        <f t="shared" si="151"/>
        <v>0.75347748424764449</v>
      </c>
      <c r="CK143" s="551">
        <f t="shared" si="152"/>
        <v>28650.981338516682</v>
      </c>
      <c r="CO143" s="546">
        <f t="shared" si="153"/>
        <v>195</v>
      </c>
      <c r="CP143" s="551">
        <f t="shared" si="154"/>
        <v>65.729107569280472</v>
      </c>
      <c r="CQ143" s="553">
        <f>CP143/PI()*SQRT('Hilfstabellen_Mat&amp;Bem'!f.Rd.3/'Hilfstabellen_Mat&amp;Bem'!$BD$30)</f>
        <v>1.0461112374669901</v>
      </c>
      <c r="CR143" s="553">
        <f>0.5*(1+'Hilfstabellen_Mat&amp;Bem'!$BD$31*(CQ143-0.3)+CQ143^2)</f>
        <v>1.0844799224507082</v>
      </c>
      <c r="CS143" s="550">
        <f t="shared" si="155"/>
        <v>0.7297161028856346</v>
      </c>
      <c r="CU143" s="551">
        <f t="shared" si="156"/>
        <v>27747.454812226257</v>
      </c>
      <c r="CY143" s="546">
        <f t="shared" si="157"/>
        <v>195</v>
      </c>
      <c r="CZ143" s="551">
        <f t="shared" si="158"/>
        <v>67.505569936017778</v>
      </c>
      <c r="DA143" s="553">
        <f>CZ143/PI()*SQRT('Hilfstabellen_Mat&amp;Bem'!f.Rd.3/'Hilfstabellen_Mat&amp;Bem'!$BD$30)</f>
        <v>1.0743845141552872</v>
      </c>
      <c r="DB143" s="553">
        <f>0.5*(1+'Hilfstabellen_Mat&amp;Bem'!$BD$31*(DA143-0.3)+DA143^2)</f>
        <v>1.1158702678361108</v>
      </c>
      <c r="DC143" s="550">
        <f t="shared" si="159"/>
        <v>0.70556321788727805</v>
      </c>
      <c r="DE143" s="551">
        <f t="shared" si="160"/>
        <v>26829.041360163748</v>
      </c>
      <c r="DI143" s="546">
        <f t="shared" si="161"/>
        <v>195</v>
      </c>
      <c r="DJ143" s="551">
        <f t="shared" si="162"/>
        <v>69.282032302755084</v>
      </c>
      <c r="DK143" s="553">
        <f>DJ143/PI()*SQRT('Hilfstabellen_Mat&amp;Bem'!f.Rd.3/'Hilfstabellen_Mat&amp;Bem'!$BD$30)</f>
        <v>1.102657790843584</v>
      </c>
      <c r="DL143" s="553">
        <f>0.5*(1+'Hilfstabellen_Mat&amp;Bem'!$BD$31*(DK143-0.3)+DK143^2)</f>
        <v>1.1480599913962055</v>
      </c>
      <c r="DM143" s="550">
        <f t="shared" si="163"/>
        <v>0.68132521956793579</v>
      </c>
      <c r="DO143" s="551">
        <f t="shared" si="164"/>
        <v>25907.391474070759</v>
      </c>
      <c r="DS143" s="546">
        <f t="shared" si="165"/>
        <v>195</v>
      </c>
      <c r="DT143" s="551">
        <f t="shared" si="166"/>
        <v>71.058494669492404</v>
      </c>
      <c r="DU143" s="553">
        <f>DT143/PI()*SQRT('Hilfstabellen_Mat&amp;Bem'!f.Rd.3/'Hilfstabellen_Mat&amp;Bem'!$BD$30)</f>
        <v>1.1309310675318813</v>
      </c>
      <c r="DV143" s="553">
        <f>0.5*(1+'Hilfstabellen_Mat&amp;Bem'!$BD$31*(DU143-0.3)+DU143^2)</f>
        <v>1.1810490931309945</v>
      </c>
      <c r="DW143" s="550">
        <f t="shared" si="167"/>
        <v>0.6572683068992371</v>
      </c>
      <c r="DY143" s="551">
        <f t="shared" si="168"/>
        <v>24992.627369843489</v>
      </c>
      <c r="EC143" s="546">
        <f t="shared" si="169"/>
        <v>195</v>
      </c>
      <c r="ED143" s="551">
        <f t="shared" si="170"/>
        <v>72.83495703622971</v>
      </c>
      <c r="EE143" s="553">
        <f>ED143/PI()*SQRT('Hilfstabellen_Mat&amp;Bem'!f.Rd.3/'Hilfstabellen_Mat&amp;Bem'!$BD$30)</f>
        <v>1.1592043442201783</v>
      </c>
      <c r="EF143" s="553">
        <f>0.5*(1+'Hilfstabellen_Mat&amp;Bem'!$BD$31*(EE143-0.3)+EE143^2)</f>
        <v>1.2148375730404757</v>
      </c>
      <c r="EG143" s="550">
        <f t="shared" si="171"/>
        <v>0.63360929885336825</v>
      </c>
      <c r="EI143" s="551">
        <f t="shared" si="172"/>
        <v>24092.993588899328</v>
      </c>
      <c r="EM143" s="546">
        <f t="shared" si="173"/>
        <v>195</v>
      </c>
      <c r="EN143" s="551">
        <f t="shared" si="174"/>
        <v>74.61141940296703</v>
      </c>
      <c r="EO143" s="553">
        <f>EN143/PI()*SQRT('Hilfstabellen_Mat&amp;Bem'!f.Rd.3/'Hilfstabellen_Mat&amp;Bem'!$BD$30)</f>
        <v>1.1874776209084754</v>
      </c>
      <c r="EP143" s="553">
        <f>0.5*(1+'Hilfstabellen_Mat&amp;Bem'!$BD$31*(EO143-0.3)+EO143^2)</f>
        <v>1.2494254311246502</v>
      </c>
      <c r="EQ143" s="550">
        <f t="shared" si="175"/>
        <v>0.61051470552995557</v>
      </c>
      <c r="ES143" s="551">
        <f t="shared" si="176"/>
        <v>23214.821677776559</v>
      </c>
    </row>
    <row r="144" spans="3:149">
      <c r="C144" s="546">
        <v>196</v>
      </c>
      <c r="D144" s="551">
        <f t="shared" si="126"/>
        <v>49.487165930539348</v>
      </c>
      <c r="E144" s="553">
        <f>$D144/PI()*SQRT('Hilfstabellen_Mat&amp;Bem'!f.Rd.3/'Hilfstabellen_Mat&amp;Bem'!$BD$30)</f>
        <v>0.78761270774541725</v>
      </c>
      <c r="F144" s="553">
        <f>0.5*(1+'Hilfstabellen_Mat&amp;Bem'!$BD$31*($E144-0.3)+$E144^2)</f>
        <v>0.8345475240883049</v>
      </c>
      <c r="G144" s="550">
        <f t="shared" si="127"/>
        <v>0.90051580877540705</v>
      </c>
      <c r="I144" s="551">
        <f t="shared" si="128"/>
        <v>34594.215309916035</v>
      </c>
      <c r="M144" s="546">
        <f t="shared" si="129"/>
        <v>196</v>
      </c>
      <c r="N144" s="551">
        <f t="shared" si="118"/>
        <v>51.254564713772901</v>
      </c>
      <c r="O144" s="553">
        <f>$N144/PI()*SQRT('Hilfstabellen_Mat&amp;Bem'!f.Rd.3/'Hilfstabellen_Mat&amp;Bem'!$BD$30)</f>
        <v>0.81574173302203945</v>
      </c>
      <c r="P144" s="553">
        <f>0.5*(1+'Hilfstabellen_Mat&amp;Bem'!$BD$31*($O144-0.3)+$O144^2)</f>
        <v>0.85850437414800207</v>
      </c>
      <c r="Q144" s="550">
        <f t="shared" si="119"/>
        <v>0.88803862878941353</v>
      </c>
      <c r="S144" s="551">
        <f t="shared" si="130"/>
        <v>34114.891963574111</v>
      </c>
      <c r="W144" s="546">
        <f t="shared" si="131"/>
        <v>196</v>
      </c>
      <c r="X144" s="551">
        <f t="shared" si="120"/>
        <v>53.021963497006446</v>
      </c>
      <c r="Y144" s="553">
        <f>$X144/PI()*SQRT('Hilfstabellen_Mat&amp;Bem'!f.Rd.3/'Hilfstabellen_Mat&amp;Bem'!$BD$30)</f>
        <v>0.84387075829866132</v>
      </c>
      <c r="Z144" s="553">
        <f>0.5*(1+'Hilfstabellen_Mat&amp;Bem'!$BD$31*($Y144-0.3)+$Y144^2)</f>
        <v>0.88325246627071197</v>
      </c>
      <c r="AA144" s="550">
        <f t="shared" si="121"/>
        <v>0.87408516788504032</v>
      </c>
      <c r="AC144" s="551">
        <f t="shared" si="132"/>
        <v>33578.855809471708</v>
      </c>
      <c r="AG144" s="546">
        <f t="shared" si="133"/>
        <v>196</v>
      </c>
      <c r="AH144" s="551">
        <f t="shared" si="122"/>
        <v>54.789362280239992</v>
      </c>
      <c r="AI144" s="553">
        <f>$AH144/PI()*SQRT('Hilfstabellen_Mat&amp;Bem'!f.Rd.3/'Hilfstabellen_Mat&amp;Bem'!$BD$30)</f>
        <v>0.8719997835752834</v>
      </c>
      <c r="AJ144" s="553">
        <f>0.5*(1+'Hilfstabellen_Mat&amp;Bem'!$BD$31*($AI144-0.3)+$AI144^2)</f>
        <v>0.90879180045643471</v>
      </c>
      <c r="AK144" s="550">
        <f t="shared" si="123"/>
        <v>0.85854712584370818</v>
      </c>
      <c r="AM144" s="551">
        <f t="shared" si="134"/>
        <v>32981.946386411895</v>
      </c>
      <c r="AQ144" s="546">
        <f t="shared" si="135"/>
        <v>196</v>
      </c>
      <c r="AR144" s="551">
        <f t="shared" si="124"/>
        <v>56.556761063473544</v>
      </c>
      <c r="AS144" s="553">
        <f>$AR144/PI()*SQRT('Hilfstabellen_Mat&amp;Bem'!f.Rd.3/'Hilfstabellen_Mat&amp;Bem'!$BD$30)</f>
        <v>0.90012880885190549</v>
      </c>
      <c r="AT144" s="553">
        <f>0.5*(1+'Hilfstabellen_Mat&amp;Bem'!$BD$31*($AS144-0.3)+$AS144^2)</f>
        <v>0.9351223767051704</v>
      </c>
      <c r="AU144" s="550">
        <f t="shared" si="125"/>
        <v>0.84136631337721324</v>
      </c>
      <c r="AW144" s="551">
        <f t="shared" si="136"/>
        <v>32321.928294699024</v>
      </c>
      <c r="BA144" s="546">
        <f t="shared" si="137"/>
        <v>196</v>
      </c>
      <c r="BB144" s="551">
        <f t="shared" si="138"/>
        <v>58.324159846707097</v>
      </c>
      <c r="BC144" s="553">
        <f>$BB144/PI()*SQRT('Hilfstabellen_Mat&amp;Bem'!f.Rd.3/'Hilfstabellen_Mat&amp;Bem'!$BD$30)</f>
        <v>0.92825783412852747</v>
      </c>
      <c r="BD144" s="553">
        <f>0.5*(1+'Hilfstabellen_Mat&amp;Bem'!$BD$31*($BC144-0.3)+$BC144^2)</f>
        <v>0.96224419501691871</v>
      </c>
      <c r="BE144" s="550">
        <f t="shared" si="139"/>
        <v>0.82255609010473607</v>
      </c>
      <c r="BG144" s="551">
        <f t="shared" si="140"/>
        <v>31599.31475746354</v>
      </c>
      <c r="BK144" s="546">
        <f t="shared" si="141"/>
        <v>196</v>
      </c>
      <c r="BL144" s="551">
        <f t="shared" si="142"/>
        <v>60.091558629940636</v>
      </c>
      <c r="BM144" s="553">
        <f>$BL144/PI()*SQRT('Hilfstabellen_Mat&amp;Bem'!f.Rd.3/'Hilfstabellen_Mat&amp;Bem'!$BD$30)</f>
        <v>0.95638685940514945</v>
      </c>
      <c r="BN144" s="553">
        <f>0.5*(1+'Hilfstabellen_Mat&amp;Bem'!$BD$31*($BM144-0.3)+$BM144^2)</f>
        <v>0.99015725539167998</v>
      </c>
      <c r="BO144" s="550">
        <f t="shared" si="143"/>
        <v>0.80221621174754509</v>
      </c>
      <c r="BQ144" s="551">
        <f t="shared" si="144"/>
        <v>30817.937990493694</v>
      </c>
      <c r="BU144" s="546">
        <f t="shared" si="145"/>
        <v>196</v>
      </c>
      <c r="BV144" s="551">
        <f t="shared" si="146"/>
        <v>61.858957413174188</v>
      </c>
      <c r="BW144" s="553">
        <f>$BV144/PI()*SQRT('Hilfstabellen_Mat&amp;Bem'!f.Rd.3/'Hilfstabellen_Mat&amp;Bem'!$BD$30)</f>
        <v>0.98451588468177165</v>
      </c>
      <c r="BX144" s="553">
        <f>0.5*(1+'Hilfstabellen_Mat&amp;Bem'!$BD$31*($BW144-0.3)+$BW144^2)</f>
        <v>1.0188615578294544</v>
      </c>
      <c r="BY144" s="550">
        <f t="shared" si="147"/>
        <v>0.78053465024077107</v>
      </c>
      <c r="CA144" s="551">
        <f t="shared" si="148"/>
        <v>29985.019123649461</v>
      </c>
      <c r="CE144" s="546">
        <f t="shared" si="149"/>
        <v>196</v>
      </c>
      <c r="CF144" s="551">
        <f t="shared" si="150"/>
        <v>63.626356196407741</v>
      </c>
      <c r="CG144" s="553">
        <f>CF144/PI()*SQRT('Hilfstabellen_Mat&amp;Bem'!f.Rd.3/'Hilfstabellen_Mat&amp;Bem'!$BD$30)</f>
        <v>1.0126449099583936</v>
      </c>
      <c r="CH144" s="553">
        <f>0.5*(1+'Hilfstabellen_Mat&amp;Bem'!$BD$31*(CG144-0.3)+CG144^2)</f>
        <v>1.0483571023302414</v>
      </c>
      <c r="CI144" s="550">
        <f t="shared" si="151"/>
        <v>0.75777344057213936</v>
      </c>
      <c r="CK144" s="551">
        <f t="shared" si="152"/>
        <v>29110.624493019306</v>
      </c>
      <c r="CO144" s="546">
        <f t="shared" si="153"/>
        <v>196</v>
      </c>
      <c r="CP144" s="551">
        <f t="shared" si="154"/>
        <v>65.393754979641287</v>
      </c>
      <c r="CQ144" s="553">
        <f>CP144/PI()*SQRT('Hilfstabellen_Mat&amp;Bem'!f.Rd.3/'Hilfstabellen_Mat&amp;Bem'!$BD$30)</f>
        <v>1.0407739352350158</v>
      </c>
      <c r="CR144" s="553">
        <f>0.5*(1+'Hilfstabellen_Mat&amp;Bem'!$BD$31*(CQ144-0.3)+CQ144^2)</f>
        <v>1.0786438888940411</v>
      </c>
      <c r="CS144" s="550">
        <f t="shared" si="155"/>
        <v>0.73424143818903542</v>
      </c>
      <c r="CU144" s="551">
        <f t="shared" si="156"/>
        <v>28206.619089469983</v>
      </c>
      <c r="CY144" s="546">
        <f t="shared" si="157"/>
        <v>196</v>
      </c>
      <c r="CZ144" s="551">
        <f t="shared" si="158"/>
        <v>67.161153762874832</v>
      </c>
      <c r="DA144" s="553">
        <f>CZ144/PI()*SQRT('Hilfstabellen_Mat&amp;Bem'!f.Rd.3/'Hilfstabellen_Mat&amp;Bem'!$BD$30)</f>
        <v>1.0689029605116376</v>
      </c>
      <c r="DB144" s="553">
        <f>0.5*(1+'Hilfstabellen_Mat&amp;Bem'!$BD$31*(DA144-0.3)+DA144^2)</f>
        <v>1.1097219175208535</v>
      </c>
      <c r="DC144" s="550">
        <f t="shared" si="159"/>
        <v>0.71026162423905781</v>
      </c>
      <c r="DE144" s="551">
        <f t="shared" si="160"/>
        <v>27285.410556767645</v>
      </c>
      <c r="DI144" s="546">
        <f t="shared" si="161"/>
        <v>196</v>
      </c>
      <c r="DJ144" s="551">
        <f t="shared" si="162"/>
        <v>68.928552546108378</v>
      </c>
      <c r="DK144" s="553">
        <f>DJ144/PI()*SQRT('Hilfstabellen_Mat&amp;Bem'!f.Rd.3/'Hilfstabellen_Mat&amp;Bem'!$BD$30)</f>
        <v>1.0970319857882598</v>
      </c>
      <c r="DL144" s="553">
        <f>0.5*(1+'Hilfstabellen_Mat&amp;Bem'!$BD$31*(DK144-0.3)+DK144^2)</f>
        <v>1.1415911882106793</v>
      </c>
      <c r="DM144" s="550">
        <f t="shared" si="163"/>
        <v>0.68614145532728632</v>
      </c>
      <c r="DO144" s="551">
        <f t="shared" si="164"/>
        <v>26358.81014785303</v>
      </c>
      <c r="DS144" s="546">
        <f t="shared" si="165"/>
        <v>196</v>
      </c>
      <c r="DT144" s="551">
        <f t="shared" si="166"/>
        <v>70.695951329341923</v>
      </c>
      <c r="DU144" s="553">
        <f>DT144/PI()*SQRT('Hilfstabellen_Mat&amp;Bem'!f.Rd.3/'Hilfstabellen_Mat&amp;Bem'!$BD$30)</f>
        <v>1.1251610110648818</v>
      </c>
      <c r="DV144" s="553">
        <f>0.5*(1+'Hilfstabellen_Mat&amp;Bem'!$BD$31*(DU144-0.3)+DU144^2)</f>
        <v>1.1742517009635174</v>
      </c>
      <c r="DW144" s="550">
        <f t="shared" si="167"/>
        <v>0.66215188202972464</v>
      </c>
      <c r="DY144" s="551">
        <f t="shared" si="168"/>
        <v>25437.226700053903</v>
      </c>
      <c r="EC144" s="546">
        <f t="shared" si="169"/>
        <v>196</v>
      </c>
      <c r="ED144" s="551">
        <f t="shared" si="170"/>
        <v>72.463350112575483</v>
      </c>
      <c r="EE144" s="553">
        <f>ED144/PI()*SQRT('Hilfstabellen_Mat&amp;Bem'!f.Rd.3/'Hilfstabellen_Mat&amp;Bem'!$BD$30)</f>
        <v>1.153290036341504</v>
      </c>
      <c r="EF144" s="553">
        <f>0.5*(1+'Hilfstabellen_Mat&amp;Bem'!$BD$31*(EE144-0.3)+EE144^2)</f>
        <v>1.2077034557793689</v>
      </c>
      <c r="EG144" s="550">
        <f t="shared" si="171"/>
        <v>0.6385165177196126</v>
      </c>
      <c r="EI144" s="551">
        <f t="shared" si="172"/>
        <v>24529.250544716637</v>
      </c>
      <c r="EM144" s="546">
        <f t="shared" si="173"/>
        <v>196</v>
      </c>
      <c r="EN144" s="551">
        <f t="shared" si="174"/>
        <v>74.230748895809015</v>
      </c>
      <c r="EO144" s="553">
        <f>EN144/PI()*SQRT('Hilfstabellen_Mat&amp;Bem'!f.Rd.3/'Hilfstabellen_Mat&amp;Bem'!$BD$30)</f>
        <v>1.1814190616181257</v>
      </c>
      <c r="EP144" s="553">
        <f>0.5*(1+'Hilfstabellen_Mat&amp;Bem'!$BD$31*(EO144-0.3)+EO144^2)</f>
        <v>1.2419464526582327</v>
      </c>
      <c r="EQ144" s="550">
        <f t="shared" si="175"/>
        <v>0.61540934808505643</v>
      </c>
      <c r="ES144" s="551">
        <f t="shared" si="176"/>
        <v>23641.565516035527</v>
      </c>
    </row>
    <row r="145" spans="3:149">
      <c r="C145" s="546">
        <v>197</v>
      </c>
      <c r="D145" s="551">
        <f t="shared" si="126"/>
        <v>49.235962042567067</v>
      </c>
      <c r="E145" s="553">
        <f>$D145/PI()*SQRT('Hilfstabellen_Mat&amp;Bem'!f.Rd.3/'Hilfstabellen_Mat&amp;Bem'!$BD$30)</f>
        <v>0.78361467369594806</v>
      </c>
      <c r="F145" s="553">
        <f>0.5*(1+'Hilfstabellen_Mat&amp;Bem'!$BD$31*($E145-0.3)+$E145^2)</f>
        <v>0.83120671210060104</v>
      </c>
      <c r="G145" s="550">
        <f t="shared" si="127"/>
        <v>0.90217711438497561</v>
      </c>
      <c r="I145" s="551">
        <f t="shared" si="128"/>
        <v>35012.591632166521</v>
      </c>
      <c r="M145" s="546">
        <f t="shared" si="129"/>
        <v>197</v>
      </c>
      <c r="N145" s="551">
        <f t="shared" si="118"/>
        <v>50.994389258373033</v>
      </c>
      <c r="O145" s="553">
        <f>$N145/PI()*SQRT('Hilfstabellen_Mat&amp;Bem'!f.Rd.3/'Hilfstabellen_Mat&amp;Bem'!$BD$30)</f>
        <v>0.81160091204223195</v>
      </c>
      <c r="P145" s="553">
        <f>0.5*(1+'Hilfstabellen_Mat&amp;Bem'!$BD$31*($O145-0.3)+$O145^2)</f>
        <v>0.854928065816003</v>
      </c>
      <c r="Q145" s="550">
        <f t="shared" si="119"/>
        <v>0.88996497297949806</v>
      </c>
      <c r="S145" s="551">
        <f t="shared" si="130"/>
        <v>34538.650636361337</v>
      </c>
      <c r="W145" s="546">
        <f t="shared" si="131"/>
        <v>197</v>
      </c>
      <c r="X145" s="551">
        <f t="shared" si="120"/>
        <v>52.752816474178999</v>
      </c>
      <c r="Y145" s="553">
        <f>$X145/PI()*SQRT('Hilfstabellen_Mat&amp;Bem'!f.Rd.3/'Hilfstabellen_Mat&amp;Bem'!$BD$30)</f>
        <v>0.83958715038851572</v>
      </c>
      <c r="Z145" s="553">
        <f>0.5*(1+'Hilfstabellen_Mat&amp;Bem'!$BD$31*($Y145-0.3)+$Y145^2)</f>
        <v>0.87943264906817986</v>
      </c>
      <c r="AA145" s="550">
        <f t="shared" si="121"/>
        <v>0.8763101171233576</v>
      </c>
      <c r="AC145" s="551">
        <f t="shared" si="132"/>
        <v>34008.719335440386</v>
      </c>
      <c r="AG145" s="546">
        <f t="shared" si="133"/>
        <v>197</v>
      </c>
      <c r="AH145" s="551">
        <f t="shared" si="122"/>
        <v>54.511243689984973</v>
      </c>
      <c r="AI145" s="553">
        <f>$AH145/PI()*SQRT('Hilfstabellen_Mat&amp;Bem'!f.Rd.3/'Hilfstabellen_Mat&amp;Bem'!$BD$30)</f>
        <v>0.86757338873479972</v>
      </c>
      <c r="AJ145" s="553">
        <f>0.5*(1+'Hilfstabellen_Mat&amp;Bem'!$BD$31*($AI145-0.3)+$AI145^2)</f>
        <v>0.90472046185713184</v>
      </c>
      <c r="AK145" s="550">
        <f t="shared" si="123"/>
        <v>0.86110036640474341</v>
      </c>
      <c r="AM145" s="551">
        <f t="shared" si="134"/>
        <v>33418.444119801687</v>
      </c>
      <c r="AQ145" s="546">
        <f t="shared" si="135"/>
        <v>197</v>
      </c>
      <c r="AR145" s="551">
        <f t="shared" si="124"/>
        <v>56.269670905790932</v>
      </c>
      <c r="AS145" s="553">
        <f>$AR145/PI()*SQRT('Hilfstabellen_Mat&amp;Bem'!f.Rd.3/'Hilfstabellen_Mat&amp;Bem'!$BD$30)</f>
        <v>0.8955596270810835</v>
      </c>
      <c r="AT145" s="553">
        <f>0.5*(1+'Hilfstabellen_Mat&amp;Bem'!$BD$31*($AS145-0.3)+$AS145^2)</f>
        <v>0.93079150418285883</v>
      </c>
      <c r="AU145" s="550">
        <f t="shared" si="125"/>
        <v>0.84426929323301647</v>
      </c>
      <c r="AW145" s="551">
        <f t="shared" si="136"/>
        <v>32765.247001080137</v>
      </c>
      <c r="BA145" s="546">
        <f t="shared" si="137"/>
        <v>197</v>
      </c>
      <c r="BB145" s="551">
        <f t="shared" si="138"/>
        <v>58.028098121596905</v>
      </c>
      <c r="BC145" s="553">
        <f>$BB145/PI()*SQRT('Hilfstabellen_Mat&amp;Bem'!f.Rd.3/'Hilfstabellen_Mat&amp;Bem'!$BD$30)</f>
        <v>0.9235458654273675</v>
      </c>
      <c r="BD145" s="553">
        <f>0.5*(1+'Hilfstabellen_Mat&amp;Bem'!$BD$31*($BC145-0.3)+$BC145^2)</f>
        <v>0.95764577604536094</v>
      </c>
      <c r="BE145" s="550">
        <f t="shared" si="139"/>
        <v>0.82581753204006481</v>
      </c>
      <c r="BG145" s="551">
        <f t="shared" si="140"/>
        <v>32049.152600942874</v>
      </c>
      <c r="BK145" s="546">
        <f t="shared" si="141"/>
        <v>197</v>
      </c>
      <c r="BL145" s="551">
        <f t="shared" si="142"/>
        <v>59.786525337402864</v>
      </c>
      <c r="BM145" s="553">
        <f>$BL145/PI()*SQRT('Hilfstabellen_Mat&amp;Bem'!f.Rd.3/'Hilfstabellen_Mat&amp;Bem'!$BD$30)</f>
        <v>0.95153210377365116</v>
      </c>
      <c r="BN145" s="553">
        <f>0.5*(1+'Hilfstabellen_Mat&amp;Bem'!$BD$31*($BM145-0.3)+$BM145^2)</f>
        <v>0.98528327744463784</v>
      </c>
      <c r="BO145" s="550">
        <f t="shared" si="143"/>
        <v>0.80582875475006988</v>
      </c>
      <c r="BQ145" s="551">
        <f t="shared" si="144"/>
        <v>31273.408143095461</v>
      </c>
      <c r="BU145" s="546">
        <f t="shared" si="145"/>
        <v>197</v>
      </c>
      <c r="BV145" s="551">
        <f t="shared" si="146"/>
        <v>61.544952553208837</v>
      </c>
      <c r="BW145" s="553">
        <f>$BV145/PI()*SQRT('Hilfstabellen_Mat&amp;Bem'!f.Rd.3/'Hilfstabellen_Mat&amp;Bem'!$BD$30)</f>
        <v>0.97951834211993516</v>
      </c>
      <c r="BX145" s="553">
        <f>0.5*(1+'Hilfstabellen_Mat&amp;Bem'!$BD$31*($BW145-0.3)+$BW145^2)</f>
        <v>1.0137040083806901</v>
      </c>
      <c r="BY145" s="550">
        <f t="shared" si="147"/>
        <v>0.78447387914380917</v>
      </c>
      <c r="CA145" s="551">
        <f t="shared" si="148"/>
        <v>30444.64677569209</v>
      </c>
      <c r="CE145" s="546">
        <f t="shared" si="149"/>
        <v>197</v>
      </c>
      <c r="CF145" s="551">
        <f t="shared" si="150"/>
        <v>63.303379769014803</v>
      </c>
      <c r="CG145" s="553">
        <f>CF145/PI()*SQRT('Hilfstabellen_Mat&amp;Bem'!f.Rd.3/'Hilfstabellen_Mat&amp;Bem'!$BD$30)</f>
        <v>1.007504580466219</v>
      </c>
      <c r="CH145" s="553">
        <f>0.5*(1+'Hilfstabellen_Mat&amp;Bem'!$BD$31*(CG145-0.3)+CG145^2)</f>
        <v>1.042907968853517</v>
      </c>
      <c r="CI145" s="550">
        <f t="shared" si="151"/>
        <v>0.76199988093147741</v>
      </c>
      <c r="CK145" s="551">
        <f t="shared" si="152"/>
        <v>29572.453379069706</v>
      </c>
      <c r="CO145" s="546">
        <f t="shared" si="153"/>
        <v>197</v>
      </c>
      <c r="CP145" s="551">
        <f t="shared" si="154"/>
        <v>65.061806984820777</v>
      </c>
      <c r="CQ145" s="553">
        <f>CP145/PI()*SQRT('Hilfstabellen_Mat&amp;Bem'!f.Rd.3/'Hilfstabellen_Mat&amp;Bem'!$BD$30)</f>
        <v>1.0354908188125032</v>
      </c>
      <c r="CR145" s="553">
        <f>0.5*(1+'Hilfstabellen_Mat&amp;Bem'!$BD$31*(CQ145-0.3)+CQ145^2)</f>
        <v>1.0728951588631193</v>
      </c>
      <c r="CS145" s="550">
        <f t="shared" si="155"/>
        <v>0.73870500839577913</v>
      </c>
      <c r="CU145" s="551">
        <f t="shared" si="156"/>
        <v>28668.402670831791</v>
      </c>
      <c r="CY145" s="546">
        <f t="shared" si="157"/>
        <v>197</v>
      </c>
      <c r="CZ145" s="551">
        <f t="shared" si="158"/>
        <v>66.820234200626729</v>
      </c>
      <c r="DA145" s="553">
        <f>CZ145/PI()*SQRT('Hilfstabellen_Mat&amp;Bem'!f.Rd.3/'Hilfstabellen_Mat&amp;Bem'!$BD$30)</f>
        <v>1.0634770571587866</v>
      </c>
      <c r="DB145" s="553">
        <f>0.5*(1+'Hilfstabellen_Mat&amp;Bem'!$BD$31*(DA145-0.3)+DA145^2)</f>
        <v>1.1036655784094958</v>
      </c>
      <c r="DC145" s="550">
        <f t="shared" si="159"/>
        <v>0.71490720289362197</v>
      </c>
      <c r="DE145" s="551">
        <f t="shared" si="160"/>
        <v>27744.833637098574</v>
      </c>
      <c r="DI145" s="546">
        <f t="shared" si="161"/>
        <v>197</v>
      </c>
      <c r="DJ145" s="551">
        <f t="shared" si="162"/>
        <v>68.578661416432695</v>
      </c>
      <c r="DK145" s="553">
        <f>DJ145/PI()*SQRT('Hilfstabellen_Mat&amp;Bem'!f.Rd.3/'Hilfstabellen_Mat&amp;Bem'!$BD$30)</f>
        <v>1.0914632955050705</v>
      </c>
      <c r="DL145" s="553">
        <f>0.5*(1+'Hilfstabellen_Mat&amp;Bem'!$BD$31*(DK145-0.3)+DK145^2)</f>
        <v>1.135219227492648</v>
      </c>
      <c r="DM145" s="550">
        <f t="shared" si="163"/>
        <v>0.69091409934062942</v>
      </c>
      <c r="DO145" s="551">
        <f t="shared" si="164"/>
        <v>26813.685281310489</v>
      </c>
      <c r="DS145" s="546">
        <f t="shared" si="165"/>
        <v>197</v>
      </c>
      <c r="DT145" s="551">
        <f t="shared" si="166"/>
        <v>70.337088632238675</v>
      </c>
      <c r="DU145" s="553">
        <f>DT145/PI()*SQRT('Hilfstabellen_Mat&amp;Bem'!f.Rd.3/'Hilfstabellen_Mat&amp;Bem'!$BD$30)</f>
        <v>1.1194495338513546</v>
      </c>
      <c r="DV145" s="553">
        <f>0.5*(1+'Hilfstabellen_Mat&amp;Bem'!$BD$31*(DU145-0.3)+DU145^2)</f>
        <v>1.1675561061125754</v>
      </c>
      <c r="DW145" s="550">
        <f t="shared" si="167"/>
        <v>0.66700072817902611</v>
      </c>
      <c r="DY145" s="551">
        <f t="shared" si="168"/>
        <v>25885.631259899823</v>
      </c>
      <c r="EC145" s="546">
        <f t="shared" si="169"/>
        <v>197</v>
      </c>
      <c r="ED145" s="551">
        <f t="shared" si="170"/>
        <v>72.095515848044627</v>
      </c>
      <c r="EE145" s="553">
        <f>ED145/PI()*SQRT('Hilfstabellen_Mat&amp;Bem'!f.Rd.3/'Hilfstabellen_Mat&amp;Bem'!$BD$30)</f>
        <v>1.1474357721976383</v>
      </c>
      <c r="EF145" s="553">
        <f>0.5*(1+'Hilfstabellen_Mat&amp;Bem'!$BD$31*(EE145-0.3)+EE145^2)</f>
        <v>1.2006762142692771</v>
      </c>
      <c r="EG145" s="550">
        <f t="shared" si="171"/>
        <v>0.6433970793752658</v>
      </c>
      <c r="EI145" s="551">
        <f t="shared" si="172"/>
        <v>24969.597253474691</v>
      </c>
      <c r="EM145" s="546">
        <f t="shared" si="173"/>
        <v>197</v>
      </c>
      <c r="EN145" s="551">
        <f t="shared" si="174"/>
        <v>73.853943063850608</v>
      </c>
      <c r="EO145" s="553">
        <f>EN145/PI()*SQRT('Hilfstabellen_Mat&amp;Bem'!f.Rd.3/'Hilfstabellen_Mat&amp;Bem'!$BD$30)</f>
        <v>1.1754220105439221</v>
      </c>
      <c r="EP145" s="553">
        <f>0.5*(1+'Hilfstabellen_Mat&amp;Bem'!$BD$31*(EO145-0.3)+EO145^2)</f>
        <v>1.2345795519627543</v>
      </c>
      <c r="EQ145" s="550">
        <f t="shared" si="175"/>
        <v>0.62028441512378407</v>
      </c>
      <c r="ES145" s="551">
        <f t="shared" si="176"/>
        <v>24072.617866538934</v>
      </c>
    </row>
    <row r="146" spans="3:149">
      <c r="C146" s="546">
        <v>198</v>
      </c>
      <c r="D146" s="551">
        <f t="shared" si="126"/>
        <v>48.987295567604612</v>
      </c>
      <c r="E146" s="553">
        <f>$D146/PI()*SQRT('Hilfstabellen_Mat&amp;Bem'!f.Rd.3/'Hilfstabellen_Mat&amp;Bem'!$BD$30)</f>
        <v>0.77965702382879698</v>
      </c>
      <c r="F146" s="553">
        <f>0.5*(1+'Hilfstabellen_Mat&amp;Bem'!$BD$31*($E146-0.3)+$E146^2)</f>
        <v>0.82791538859422853</v>
      </c>
      <c r="G146" s="550">
        <f t="shared" si="127"/>
        <v>0.90379538440668372</v>
      </c>
      <c r="I146" s="551">
        <f t="shared" si="128"/>
        <v>35432.394250279627</v>
      </c>
      <c r="M146" s="546">
        <f t="shared" si="129"/>
        <v>198</v>
      </c>
      <c r="N146" s="551">
        <f t="shared" si="118"/>
        <v>50.736841837876206</v>
      </c>
      <c r="O146" s="553">
        <f>$N146/PI()*SQRT('Hilfstabellen_Mat&amp;Bem'!f.Rd.3/'Hilfstabellen_Mat&amp;Bem'!$BD$30)</f>
        <v>0.80750191753696832</v>
      </c>
      <c r="P146" s="553">
        <f>0.5*(1+'Hilfstabellen_Mat&amp;Bem'!$BD$31*($O146-0.3)+$O146^2)</f>
        <v>0.85140476928978881</v>
      </c>
      <c r="Q146" s="550">
        <f t="shared" si="119"/>
        <v>0.89184070796325055</v>
      </c>
      <c r="S146" s="551">
        <f t="shared" si="130"/>
        <v>34963.723114991277</v>
      </c>
      <c r="W146" s="546">
        <f t="shared" si="131"/>
        <v>198</v>
      </c>
      <c r="X146" s="551">
        <f t="shared" si="120"/>
        <v>52.4863881081478</v>
      </c>
      <c r="Y146" s="553">
        <f>$X146/PI()*SQRT('Hilfstabellen_Mat&amp;Bem'!f.Rd.3/'Hilfstabellen_Mat&amp;Bem'!$BD$30)</f>
        <v>0.83534681124513954</v>
      </c>
      <c r="Z146" s="553">
        <f>0.5*(1+'Hilfstabellen_Mat&amp;Bem'!$BD$31*($Y146-0.3)+$Y146^2)</f>
        <v>0.87566948809096834</v>
      </c>
      <c r="AA146" s="550">
        <f t="shared" si="121"/>
        <v>0.87847662772594404</v>
      </c>
      <c r="AC146" s="551">
        <f t="shared" si="132"/>
        <v>34439.797713367909</v>
      </c>
      <c r="AG146" s="546">
        <f t="shared" si="133"/>
        <v>198</v>
      </c>
      <c r="AH146" s="551">
        <f t="shared" si="122"/>
        <v>54.235934378419387</v>
      </c>
      <c r="AI146" s="553">
        <f>$AH146/PI()*SQRT('Hilfstabellen_Mat&amp;Bem'!f.Rd.3/'Hilfstabellen_Mat&amp;Bem'!$BD$30)</f>
        <v>0.86319170495331088</v>
      </c>
      <c r="AJ146" s="553">
        <f>0.5*(1+'Hilfstabellen_Mat&amp;Bem'!$BD$31*($AI146-0.3)+$AI146^2)</f>
        <v>0.90070954499776734</v>
      </c>
      <c r="AK146" s="550">
        <f t="shared" si="123"/>
        <v>0.86358773457000604</v>
      </c>
      <c r="AM146" s="551">
        <f t="shared" si="134"/>
        <v>33856.09354608252</v>
      </c>
      <c r="AQ146" s="546">
        <f t="shared" si="135"/>
        <v>198</v>
      </c>
      <c r="AR146" s="551">
        <f t="shared" si="124"/>
        <v>55.985480648690981</v>
      </c>
      <c r="AS146" s="553">
        <f>$AR146/PI()*SQRT('Hilfstabellen_Mat&amp;Bem'!f.Rd.3/'Hilfstabellen_Mat&amp;Bem'!$BD$30)</f>
        <v>0.8910365986614821</v>
      </c>
      <c r="AT146" s="553">
        <f>0.5*(1+'Hilfstabellen_Mat&amp;Bem'!$BD$31*($AS146-0.3)+$AS146^2)</f>
        <v>0.9265249400101857</v>
      </c>
      <c r="AU146" s="550">
        <f t="shared" si="125"/>
        <v>0.84710022230417592</v>
      </c>
      <c r="AW146" s="551">
        <f t="shared" si="136"/>
        <v>33209.717115212916</v>
      </c>
      <c r="BA146" s="546">
        <f t="shared" si="137"/>
        <v>198</v>
      </c>
      <c r="BB146" s="551">
        <f t="shared" si="138"/>
        <v>57.735026918962575</v>
      </c>
      <c r="BC146" s="553">
        <f>$BB146/PI()*SQRT('Hilfstabellen_Mat&amp;Bem'!f.Rd.3/'Hilfstabellen_Mat&amp;Bem'!$BD$30)</f>
        <v>0.91888149236965355</v>
      </c>
      <c r="BD146" s="553">
        <f>0.5*(1+'Hilfstabellen_Mat&amp;Bem'!$BD$31*($BC146-0.3)+$BC146^2)</f>
        <v>0.95311567312822354</v>
      </c>
      <c r="BE146" s="550">
        <f t="shared" si="139"/>
        <v>0.8290029172295762</v>
      </c>
      <c r="BG146" s="551">
        <f t="shared" si="140"/>
        <v>32500.230367068307</v>
      </c>
      <c r="BK146" s="546">
        <f t="shared" si="141"/>
        <v>198</v>
      </c>
      <c r="BL146" s="551">
        <f t="shared" si="142"/>
        <v>59.484573189234169</v>
      </c>
      <c r="BM146" s="553">
        <f>$BL146/PI()*SQRT('Hilfstabellen_Mat&amp;Bem'!f.Rd.3/'Hilfstabellen_Mat&amp;Bem'!$BD$30)</f>
        <v>0.94672638607782478</v>
      </c>
      <c r="BN146" s="553">
        <f>0.5*(1+'Hilfstabellen_Mat&amp;Bem'!$BD$31*($BM146-0.3)+$BM146^2)</f>
        <v>0.98048174435188051</v>
      </c>
      <c r="BO146" s="550">
        <f t="shared" si="143"/>
        <v>0.80936413689953657</v>
      </c>
      <c r="BQ146" s="551">
        <f t="shared" si="144"/>
        <v>31730.311623009431</v>
      </c>
      <c r="BU146" s="546">
        <f t="shared" si="145"/>
        <v>198</v>
      </c>
      <c r="BV146" s="551">
        <f t="shared" si="146"/>
        <v>61.234119459505763</v>
      </c>
      <c r="BW146" s="553">
        <f>$BV146/PI()*SQRT('Hilfstabellen_Mat&amp;Bem'!f.Rd.3/'Hilfstabellen_Mat&amp;Bem'!$BD$30)</f>
        <v>0.97457127978599611</v>
      </c>
      <c r="BX146" s="553">
        <f>0.5*(1+'Hilfstabellen_Mat&amp;Bem'!$BD$31*($BW146-0.3)+$BW146^2)</f>
        <v>1.008623153681157</v>
      </c>
      <c r="BY146" s="550">
        <f t="shared" si="147"/>
        <v>0.78833804339882529</v>
      </c>
      <c r="CA146" s="551">
        <f t="shared" si="148"/>
        <v>30906.004653407548</v>
      </c>
      <c r="CE146" s="546">
        <f t="shared" si="149"/>
        <v>198</v>
      </c>
      <c r="CF146" s="551">
        <f t="shared" si="150"/>
        <v>62.983665729777357</v>
      </c>
      <c r="CG146" s="553">
        <f>CF146/PI()*SQRT('Hilfstabellen_Mat&amp;Bem'!f.Rd.3/'Hilfstabellen_Mat&amp;Bem'!$BD$30)</f>
        <v>1.0024161734941675</v>
      </c>
      <c r="CH146" s="553">
        <f>0.5*(1+'Hilfstabellen_Mat&amp;Bem'!$BD$31*(CG146-0.3)+CG146^2)</f>
        <v>1.0375399011160527</v>
      </c>
      <c r="CI146" s="550">
        <f t="shared" si="151"/>
        <v>0.76615630968545334</v>
      </c>
      <c r="CK146" s="551">
        <f t="shared" si="152"/>
        <v>30036.391964908511</v>
      </c>
      <c r="CO146" s="546">
        <f t="shared" si="153"/>
        <v>198</v>
      </c>
      <c r="CP146" s="551">
        <f t="shared" si="154"/>
        <v>64.733212000048951</v>
      </c>
      <c r="CQ146" s="553">
        <f>CP146/PI()*SQRT('Hilfstabellen_Mat&amp;Bem'!f.Rd.3/'Hilfstabellen_Mat&amp;Bem'!$BD$30)</f>
        <v>1.0302610672023389</v>
      </c>
      <c r="CR146" s="553">
        <f>0.5*(1+'Hilfstabellen_Mat&amp;Bem'!$BD$31*(CQ146-0.3)+CQ146^2)</f>
        <v>1.067231986656568</v>
      </c>
      <c r="CS146" s="550">
        <f t="shared" si="155"/>
        <v>0.74310587940444961</v>
      </c>
      <c r="CU146" s="551">
        <f t="shared" si="156"/>
        <v>29132.722896172043</v>
      </c>
      <c r="CY146" s="546">
        <f t="shared" si="157"/>
        <v>198</v>
      </c>
      <c r="CZ146" s="551">
        <f t="shared" si="158"/>
        <v>66.482758270320531</v>
      </c>
      <c r="DA146" s="553">
        <f>CZ146/PI()*SQRT('Hilfstabellen_Mat&amp;Bem'!f.Rd.3/'Hilfstabellen_Mat&amp;Bem'!$BD$30)</f>
        <v>1.0581059609105099</v>
      </c>
      <c r="DB146" s="553">
        <f>0.5*(1+'Hilfstabellen_Mat&amp;Bem'!$BD$31*(DA146-0.3)+DA146^2)</f>
        <v>1.0976994103027022</v>
      </c>
      <c r="DC146" s="550">
        <f t="shared" si="159"/>
        <v>0.71949873447584223</v>
      </c>
      <c r="DE146" s="551">
        <f t="shared" si="160"/>
        <v>28207.228386390918</v>
      </c>
      <c r="DI146" s="546">
        <f t="shared" si="161"/>
        <v>198</v>
      </c>
      <c r="DJ146" s="551">
        <f t="shared" si="162"/>
        <v>68.232304540592125</v>
      </c>
      <c r="DK146" s="553">
        <f>DJ146/PI()*SQRT('Hilfstabellen_Mat&amp;Bem'!f.Rd.3/'Hilfstabellen_Mat&amp;Bem'!$BD$30)</f>
        <v>1.0859508546186811</v>
      </c>
      <c r="DL146" s="553">
        <f>0.5*(1+'Hilfstabellen_Mat&amp;Bem'!$BD$31*(DK146-0.3)+DK146^2)</f>
        <v>1.1289421720544559</v>
      </c>
      <c r="DM146" s="550">
        <f t="shared" si="163"/>
        <v>0.69564179496765732</v>
      </c>
      <c r="DO146" s="551">
        <f t="shared" si="164"/>
        <v>27271.940929912038</v>
      </c>
      <c r="DS146" s="546">
        <f t="shared" si="165"/>
        <v>198</v>
      </c>
      <c r="DT146" s="551">
        <f t="shared" si="166"/>
        <v>69.981850810863719</v>
      </c>
      <c r="DU146" s="553">
        <f>DT146/PI()*SQRT('Hilfstabellen_Mat&amp;Bem'!f.Rd.3/'Hilfstabellen_Mat&amp;Bem'!$BD$30)</f>
        <v>1.1137957483268526</v>
      </c>
      <c r="DV146" s="553">
        <f>0.5*(1+'Hilfstabellen_Mat&amp;Bem'!$BD$31*(DU146-0.3)+DU146^2)</f>
        <v>1.1609602719118293</v>
      </c>
      <c r="DW146" s="550">
        <f t="shared" si="167"/>
        <v>0.67181346914106399</v>
      </c>
      <c r="DY146" s="551">
        <f t="shared" si="168"/>
        <v>26337.775244206274</v>
      </c>
      <c r="EC146" s="546">
        <f t="shared" si="169"/>
        <v>198</v>
      </c>
      <c r="ED146" s="551">
        <f t="shared" si="170"/>
        <v>71.731397081135313</v>
      </c>
      <c r="EE146" s="553">
        <f>ED146/PI()*SQRT('Hilfstabellen_Mat&amp;Bem'!f.Rd.3/'Hilfstabellen_Mat&amp;Bem'!$BD$30)</f>
        <v>1.1416406420350238</v>
      </c>
      <c r="EF146" s="553">
        <f>0.5*(1+'Hilfstabellen_Mat&amp;Bem'!$BD$31*(EE146-0.3)+EE146^2)</f>
        <v>1.1937537098748219</v>
      </c>
      <c r="EG146" s="550">
        <f t="shared" si="171"/>
        <v>0.6482496678062224</v>
      </c>
      <c r="EI146" s="551">
        <f t="shared" si="172"/>
        <v>25413.979976675142</v>
      </c>
      <c r="EM146" s="546">
        <f t="shared" si="173"/>
        <v>198</v>
      </c>
      <c r="EN146" s="551">
        <f t="shared" si="174"/>
        <v>73.480943351406907</v>
      </c>
      <c r="EO146" s="553">
        <f>EN146/PI()*SQRT('Hilfstabellen_Mat&amp;Bem'!f.Rd.3/'Hilfstabellen_Mat&amp;Bem'!$BD$30)</f>
        <v>1.1694855357431952</v>
      </c>
      <c r="EP146" s="553">
        <f>0.5*(1+'Hilfstabellen_Mat&amp;Bem'!$BD$31*(EO146-0.3)+EO146^2)</f>
        <v>1.227322485943434</v>
      </c>
      <c r="EQ146" s="550">
        <f t="shared" si="175"/>
        <v>0.6251386965007365</v>
      </c>
      <c r="ES146" s="551">
        <f t="shared" si="176"/>
        <v>24507.937457614873</v>
      </c>
    </row>
    <row r="147" spans="3:149">
      <c r="C147" s="546">
        <v>199</v>
      </c>
      <c r="D147" s="551">
        <f t="shared" si="126"/>
        <v>48.741128253194539</v>
      </c>
      <c r="E147" s="553">
        <f>$D147/PI()*SQRT('Hilfstabellen_Mat&amp;Bem'!f.Rd.3/'Hilfstabellen_Mat&amp;Bem'!$BD$30)</f>
        <v>0.7757391493371949</v>
      </c>
      <c r="F147" s="553">
        <f>0.5*(1+'Hilfstabellen_Mat&amp;Bem'!$BD$31*($E147-0.3)+$E147^2)</f>
        <v>0.82467257137405714</v>
      </c>
      <c r="G147" s="550">
        <f t="shared" si="127"/>
        <v>0.90537206639222323</v>
      </c>
      <c r="I147" s="551">
        <f t="shared" si="128"/>
        <v>35853.639201198435</v>
      </c>
      <c r="M147" s="546">
        <f t="shared" si="129"/>
        <v>199</v>
      </c>
      <c r="N147" s="551">
        <f t="shared" si="118"/>
        <v>50.481882833665772</v>
      </c>
      <c r="O147" s="553">
        <f>$N147/PI()*SQRT('Hilfstabellen_Mat&amp;Bem'!f.Rd.3/'Hilfstabellen_Mat&amp;Bem'!$BD$30)</f>
        <v>0.80344411895638046</v>
      </c>
      <c r="P147" s="553">
        <f>0.5*(1+'Hilfstabellen_Mat&amp;Bem'!$BD$31*($O147-0.3)+$O147^2)</f>
        <v>0.84793343209061622</v>
      </c>
      <c r="Q147" s="550">
        <f t="shared" si="119"/>
        <v>0.89366746982612411</v>
      </c>
      <c r="S147" s="551">
        <f t="shared" si="130"/>
        <v>35390.125472584339</v>
      </c>
      <c r="W147" s="546">
        <f t="shared" si="131"/>
        <v>199</v>
      </c>
      <c r="X147" s="551">
        <f t="shared" si="120"/>
        <v>52.222637414137004</v>
      </c>
      <c r="Y147" s="553">
        <f>$X147/PI()*SQRT('Hilfstabellen_Mat&amp;Bem'!f.Rd.3/'Hilfstabellen_Mat&amp;Bem'!$BD$30)</f>
        <v>0.83114908857556602</v>
      </c>
      <c r="Z147" s="553">
        <f>0.5*(1+'Hilfstabellen_Mat&amp;Bem'!$BD$31*($Y147-0.3)+$Y147^2)</f>
        <v>0.87196185814877536</v>
      </c>
      <c r="AA147" s="550">
        <f t="shared" si="121"/>
        <v>0.88058645636070243</v>
      </c>
      <c r="AC147" s="551">
        <f t="shared" si="132"/>
        <v>34872.10425834018</v>
      </c>
      <c r="AG147" s="546">
        <f t="shared" si="133"/>
        <v>199</v>
      </c>
      <c r="AH147" s="551">
        <f t="shared" si="122"/>
        <v>53.963391994608237</v>
      </c>
      <c r="AI147" s="553">
        <f>$AH147/PI()*SQRT('Hilfstabellen_Mat&amp;Bem'!f.Rd.3/'Hilfstabellen_Mat&amp;Bem'!$BD$30)</f>
        <v>0.85885405819475147</v>
      </c>
      <c r="AJ147" s="553">
        <f>0.5*(1+'Hilfstabellen_Mat&amp;Bem'!$BD$31*($AI147-0.3)+$AI147^2)</f>
        <v>0.89675784954853432</v>
      </c>
      <c r="AK147" s="550">
        <f t="shared" si="123"/>
        <v>0.86601098751005567</v>
      </c>
      <c r="AM147" s="551">
        <f t="shared" si="134"/>
        <v>34294.901116385714</v>
      </c>
      <c r="AQ147" s="546">
        <f t="shared" si="135"/>
        <v>199</v>
      </c>
      <c r="AR147" s="551">
        <f t="shared" si="124"/>
        <v>55.704146575079463</v>
      </c>
      <c r="AS147" s="553">
        <f>$AR147/PI()*SQRT('Hilfstabellen_Mat&amp;Bem'!f.Rd.3/'Hilfstabellen_Mat&amp;Bem'!$BD$30)</f>
        <v>0.88655902781393692</v>
      </c>
      <c r="AT147" s="553">
        <f>0.5*(1+'Hilfstabellen_Mat&amp;Bem'!$BD$31*($AS147-0.3)+$AS147^2)</f>
        <v>0.92232140628989334</v>
      </c>
      <c r="AU147" s="550">
        <f t="shared" si="125"/>
        <v>0.84986069227787531</v>
      </c>
      <c r="AW147" s="551">
        <f t="shared" si="136"/>
        <v>33655.33327489614</v>
      </c>
      <c r="BA147" s="546">
        <f t="shared" si="137"/>
        <v>199</v>
      </c>
      <c r="BB147" s="551">
        <f t="shared" si="138"/>
        <v>57.444901155550703</v>
      </c>
      <c r="BC147" s="553">
        <f>$BB147/PI()*SQRT('Hilfstabellen_Mat&amp;Bem'!f.Rd.3/'Hilfstabellen_Mat&amp;Bem'!$BD$30)</f>
        <v>0.91426399743312248</v>
      </c>
      <c r="BD147" s="553">
        <f>0.5*(1+'Hilfstabellen_Mat&amp;Bem'!$BD$31*($BC147-0.3)+$BC147^2)</f>
        <v>0.94865252837285241</v>
      </c>
      <c r="BE147" s="550">
        <f t="shared" si="139"/>
        <v>0.8321134887065994</v>
      </c>
      <c r="BG147" s="551">
        <f t="shared" si="140"/>
        <v>32952.526266270041</v>
      </c>
      <c r="BK147" s="546">
        <f t="shared" si="141"/>
        <v>199</v>
      </c>
      <c r="BL147" s="551">
        <f t="shared" si="142"/>
        <v>59.185655736021928</v>
      </c>
      <c r="BM147" s="553">
        <f>$BL147/PI()*SQRT('Hilfstabellen_Mat&amp;Bem'!f.Rd.3/'Hilfstabellen_Mat&amp;Bem'!$BD$30)</f>
        <v>0.94196896705230793</v>
      </c>
      <c r="BN147" s="553">
        <f>0.5*(1+'Hilfstabellen_Mat&amp;Bem'!$BD$31*($BM147-0.3)+$BM147^2)</f>
        <v>0.97575121579741142</v>
      </c>
      <c r="BO147" s="550">
        <f t="shared" si="143"/>
        <v>0.81282309944862396</v>
      </c>
      <c r="BQ147" s="551">
        <f t="shared" si="144"/>
        <v>32188.607561264958</v>
      </c>
      <c r="BU147" s="546">
        <f t="shared" si="145"/>
        <v>199</v>
      </c>
      <c r="BV147" s="551">
        <f t="shared" si="146"/>
        <v>60.926410316493168</v>
      </c>
      <c r="BW147" s="553">
        <f>$BV147/PI()*SQRT('Hilfstabellen_Mat&amp;Bem'!f.Rd.3/'Hilfstabellen_Mat&amp;Bem'!$BD$30)</f>
        <v>0.96967393667149349</v>
      </c>
      <c r="BX147" s="553">
        <f>0.5*(1+'Hilfstabellen_Mat&amp;Bem'!$BD$31*($BW147-0.3)+$BW147^2)</f>
        <v>1.0036174685635704</v>
      </c>
      <c r="BY147" s="550">
        <f t="shared" si="147"/>
        <v>0.79212730572306189</v>
      </c>
      <c r="CA147" s="551">
        <f t="shared" si="148"/>
        <v>31369.033433938974</v>
      </c>
      <c r="CE147" s="546">
        <f t="shared" si="149"/>
        <v>199</v>
      </c>
      <c r="CF147" s="551">
        <f t="shared" si="150"/>
        <v>62.667164896964394</v>
      </c>
      <c r="CG147" s="553">
        <f>CF147/PI()*SQRT('Hilfstabellen_Mat&amp;Bem'!f.Rd.3/'Hilfstabellen_Mat&amp;Bem'!$BD$30)</f>
        <v>0.99737890629067893</v>
      </c>
      <c r="CH147" s="553">
        <f>0.5*(1+'Hilfstabellen_Mat&amp;Bem'!$BD$31*(CG147-0.3)+CG147^2)</f>
        <v>1.0322512866713294</v>
      </c>
      <c r="CI147" s="550">
        <f t="shared" si="151"/>
        <v>0.77024233160914646</v>
      </c>
      <c r="CK147" s="551">
        <f t="shared" si="152"/>
        <v>30502.366574053809</v>
      </c>
      <c r="CO147" s="546">
        <f t="shared" si="153"/>
        <v>199</v>
      </c>
      <c r="CP147" s="551">
        <f t="shared" si="154"/>
        <v>64.407919477435641</v>
      </c>
      <c r="CQ147" s="553">
        <f>CP147/PI()*SQRT('Hilfstabellen_Mat&amp;Bem'!f.Rd.3/'Hilfstabellen_Mat&amp;Bem'!$BD$30)</f>
        <v>1.0250838759098648</v>
      </c>
      <c r="CR147" s="553">
        <f>0.5*(1+'Hilfstabellen_Mat&amp;Bem'!$BD$31*(CQ147-0.3)+CQ147^2)</f>
        <v>1.0616526701206888</v>
      </c>
      <c r="CS147" s="550">
        <f t="shared" si="155"/>
        <v>0.74744320109206563</v>
      </c>
      <c r="CU147" s="551">
        <f t="shared" si="156"/>
        <v>29599.49820644689</v>
      </c>
      <c r="CY147" s="546">
        <f t="shared" si="157"/>
        <v>199</v>
      </c>
      <c r="CZ147" s="551">
        <f t="shared" si="158"/>
        <v>66.14867405790686</v>
      </c>
      <c r="DA147" s="553">
        <f>CZ147/PI()*SQRT('Hilfstabellen_Mat&amp;Bem'!f.Rd.3/'Hilfstabellen_Mat&amp;Bem'!$BD$30)</f>
        <v>1.0527888455290499</v>
      </c>
      <c r="DB147" s="553">
        <f>0.5*(1+'Hilfstabellen_Mat&amp;Bem'!$BD$31*(DA147-0.3)+DA147^2)</f>
        <v>1.0918216189116474</v>
      </c>
      <c r="DC147" s="550">
        <f t="shared" si="159"/>
        <v>0.72403506014931285</v>
      </c>
      <c r="DE147" s="551">
        <f t="shared" si="160"/>
        <v>28672.512416972939</v>
      </c>
      <c r="DI147" s="546">
        <f t="shared" si="161"/>
        <v>199</v>
      </c>
      <c r="DJ147" s="551">
        <f t="shared" si="162"/>
        <v>67.889428638378106</v>
      </c>
      <c r="DK147" s="553">
        <f>DJ147/PI()*SQRT('Hilfstabellen_Mat&amp;Bem'!f.Rd.3/'Hilfstabellen_Mat&amp;Bem'!$BD$30)</f>
        <v>1.0804938151482357</v>
      </c>
      <c r="DL147" s="553">
        <f>0.5*(1+'Hilfstabellen_Mat&amp;Bem'!$BD$31*(DK147-0.3)+DK147^2)</f>
        <v>1.1227581330442067</v>
      </c>
      <c r="DM147" s="550">
        <f t="shared" si="163"/>
        <v>0.70032322243037759</v>
      </c>
      <c r="DO147" s="551">
        <f t="shared" si="164"/>
        <v>27733.499931465383</v>
      </c>
      <c r="DS147" s="546">
        <f t="shared" si="165"/>
        <v>199</v>
      </c>
      <c r="DT147" s="551">
        <f t="shared" si="166"/>
        <v>69.630183218849339</v>
      </c>
      <c r="DU147" s="553">
        <f>DT147/PI()*SQRT('Hilfstabellen_Mat&amp;Bem'!f.Rd.3/'Hilfstabellen_Mat&amp;Bem'!$BD$30)</f>
        <v>1.1081987847674213</v>
      </c>
      <c r="DV147" s="553">
        <f>0.5*(1+'Hilfstabellen_Mat&amp;Bem'!$BD$31*(DU147-0.3)+DU147^2)</f>
        <v>1.1544622125183657</v>
      </c>
      <c r="DW147" s="550">
        <f t="shared" si="167"/>
        <v>0.6765887458589428</v>
      </c>
      <c r="DY147" s="551">
        <f t="shared" si="168"/>
        <v>26793.590924759992</v>
      </c>
      <c r="EC147" s="546">
        <f t="shared" si="169"/>
        <v>199</v>
      </c>
      <c r="ED147" s="551">
        <f t="shared" si="170"/>
        <v>71.370937799320572</v>
      </c>
      <c r="EE147" s="553">
        <f>ED147/PI()*SQRT('Hilfstabellen_Mat&amp;Bem'!f.Rd.3/'Hilfstabellen_Mat&amp;Bem'!$BD$30)</f>
        <v>1.1359037543866068</v>
      </c>
      <c r="EF147" s="553">
        <f>0.5*(1+'Hilfstabellen_Mat&amp;Bem'!$BD$31*(EE147-0.3)+EE147^2)</f>
        <v>1.1869338573341248</v>
      </c>
      <c r="EG147" s="550">
        <f t="shared" si="171"/>
        <v>0.65307296987827423</v>
      </c>
      <c r="EI147" s="551">
        <f t="shared" si="172"/>
        <v>25862.342680149537</v>
      </c>
      <c r="EM147" s="546">
        <f t="shared" si="173"/>
        <v>199</v>
      </c>
      <c r="EN147" s="551">
        <f t="shared" si="174"/>
        <v>73.111692379791805</v>
      </c>
      <c r="EO147" s="553">
        <f>EN147/PI()*SQRT('Hilfstabellen_Mat&amp;Bem'!f.Rd.3/'Hilfstabellen_Mat&amp;Bem'!$BD$30)</f>
        <v>1.1636087240057924</v>
      </c>
      <c r="EP147" s="553">
        <f>0.5*(1+'Hilfstabellen_Mat&amp;Bem'!$BD$31*(EO147-0.3)+EO147^2)</f>
        <v>1.2201730674914839</v>
      </c>
      <c r="EQ147" s="550">
        <f t="shared" si="175"/>
        <v>0.62997097581002259</v>
      </c>
      <c r="ES147" s="551">
        <f t="shared" si="176"/>
        <v>24947.480613052703</v>
      </c>
    </row>
    <row r="148" spans="3:149">
      <c r="C148" s="546">
        <v>200</v>
      </c>
      <c r="D148" s="551">
        <f t="shared" si="126"/>
        <v>48.497422611928563</v>
      </c>
      <c r="E148" s="553">
        <f>$D148/PI()*SQRT('Hilfstabellen_Mat&amp;Bem'!f.Rd.3/'Hilfstabellen_Mat&amp;Bem'!$BD$30)</f>
        <v>0.77186045359050892</v>
      </c>
      <c r="F148" s="553">
        <f>0.5*(1+'Hilfstabellen_Mat&amp;Bem'!$BD$31*($E148-0.3)+$E148^2)</f>
        <v>0.82147730258799856</v>
      </c>
      <c r="G148" s="550">
        <f t="shared" si="127"/>
        <v>0.90690855715976848</v>
      </c>
      <c r="I148" s="551">
        <f t="shared" si="128"/>
        <v>36276.34228639074</v>
      </c>
      <c r="M148" s="546">
        <f t="shared" si="129"/>
        <v>200</v>
      </c>
      <c r="N148" s="551">
        <f t="shared" si="118"/>
        <v>50.229473419497438</v>
      </c>
      <c r="O148" s="553">
        <f>$N148/PI()*SQRT('Hilfstabellen_Mat&amp;Bem'!f.Rd.3/'Hilfstabellen_Mat&amp;Bem'!$BD$30)</f>
        <v>0.79942689836159841</v>
      </c>
      <c r="P148" s="553">
        <f>0.5*(1+'Hilfstabellen_Mat&amp;Bem'!$BD$31*($O148-0.3)+$O148^2)</f>
        <v>0.84451302783010274</v>
      </c>
      <c r="Q148" s="550">
        <f t="shared" si="119"/>
        <v>0.89544684593915047</v>
      </c>
      <c r="S148" s="551">
        <f t="shared" si="130"/>
        <v>35817.873837566018</v>
      </c>
      <c r="W148" s="546">
        <f t="shared" si="131"/>
        <v>200</v>
      </c>
      <c r="X148" s="551">
        <f t="shared" si="120"/>
        <v>51.961524227066313</v>
      </c>
      <c r="Y148" s="553">
        <f>$X148/PI()*SQRT('Hilfstabellen_Mat&amp;Bem'!f.Rd.3/'Hilfstabellen_Mat&amp;Bem'!$BD$30)</f>
        <v>0.82699334313268802</v>
      </c>
      <c r="Z148" s="553">
        <f>0.5*(1+'Hilfstabellen_Mat&amp;Bem'!$BD$31*($Y148-0.3)+$Y148^2)</f>
        <v>0.86830866194952439</v>
      </c>
      <c r="AA148" s="550">
        <f t="shared" si="121"/>
        <v>0.88264132162822806</v>
      </c>
      <c r="AC148" s="551">
        <f t="shared" si="132"/>
        <v>35305.652865129123</v>
      </c>
      <c r="AG148" s="546">
        <f t="shared" si="133"/>
        <v>200</v>
      </c>
      <c r="AH148" s="551">
        <f t="shared" si="122"/>
        <v>53.693575034635195</v>
      </c>
      <c r="AI148" s="553">
        <f>$AH148/PI()*SQRT('Hilfstabellen_Mat&amp;Bem'!f.Rd.3/'Hilfstabellen_Mat&amp;Bem'!$BD$30)</f>
        <v>0.85455978790377773</v>
      </c>
      <c r="AJ148" s="553">
        <f>0.5*(1+'Hilfstabellen_Mat&amp;Bem'!$BD$31*($AI148-0.3)+$AI148^2)</f>
        <v>0.89286420494626373</v>
      </c>
      <c r="AK148" s="550">
        <f t="shared" si="123"/>
        <v>0.86837186573577085</v>
      </c>
      <c r="AM148" s="551">
        <f t="shared" si="134"/>
        <v>34734.874629430837</v>
      </c>
      <c r="AQ148" s="546">
        <f t="shared" si="135"/>
        <v>200</v>
      </c>
      <c r="AR148" s="551">
        <f t="shared" si="124"/>
        <v>55.42562584220407</v>
      </c>
      <c r="AS148" s="553">
        <f>$AR148/PI()*SQRT('Hilfstabellen_Mat&amp;Bem'!f.Rd.3/'Hilfstabellen_Mat&amp;Bem'!$BD$30)</f>
        <v>0.88212623267486734</v>
      </c>
      <c r="AT148" s="553">
        <f>0.5*(1+'Hilfstabellen_Mat&amp;Bem'!$BD$31*($AS148-0.3)+$AS148^2)</f>
        <v>0.91817965682032043</v>
      </c>
      <c r="AU148" s="550">
        <f t="shared" si="125"/>
        <v>0.85255230944152194</v>
      </c>
      <c r="AW148" s="551">
        <f t="shared" si="136"/>
        <v>34102.092377660876</v>
      </c>
      <c r="BA148" s="546">
        <f t="shared" si="137"/>
        <v>200</v>
      </c>
      <c r="BB148" s="551">
        <f t="shared" si="138"/>
        <v>57.157676649772945</v>
      </c>
      <c r="BC148" s="553">
        <f>$BB148/PI()*SQRT('Hilfstabellen_Mat&amp;Bem'!f.Rd.3/'Hilfstabellen_Mat&amp;Bem'!$BD$30)</f>
        <v>0.90969267744595683</v>
      </c>
      <c r="BD148" s="553">
        <f>0.5*(1+'Hilfstabellen_Mat&amp;Bem'!$BD$31*($BC148-0.3)+$BC148^2)</f>
        <v>0.94425501757169461</v>
      </c>
      <c r="BE148" s="550">
        <f t="shared" si="139"/>
        <v>0.83515053979590059</v>
      </c>
      <c r="BG148" s="551">
        <f t="shared" si="140"/>
        <v>33406.021591836026</v>
      </c>
      <c r="BK148" s="546">
        <f t="shared" si="141"/>
        <v>200</v>
      </c>
      <c r="BL148" s="551">
        <f t="shared" si="142"/>
        <v>58.889727457341827</v>
      </c>
      <c r="BM148" s="553">
        <f>$BL148/PI()*SQRT('Hilfstabellen_Mat&amp;Bem'!f.Rd.3/'Hilfstabellen_Mat&amp;Bem'!$BD$30)</f>
        <v>0.93725912221704655</v>
      </c>
      <c r="BN148" s="553">
        <f>0.5*(1+'Hilfstabellen_Mat&amp;Bem'!$BD$31*($BM148-0.3)+$BM148^2)</f>
        <v>0.97109028720038659</v>
      </c>
      <c r="BO148" s="550">
        <f t="shared" si="143"/>
        <v>0.81620646506814321</v>
      </c>
      <c r="BQ148" s="551">
        <f t="shared" si="144"/>
        <v>32648.258602725728</v>
      </c>
      <c r="BU148" s="546">
        <f t="shared" si="145"/>
        <v>200</v>
      </c>
      <c r="BV148" s="551">
        <f t="shared" si="146"/>
        <v>60.621778264910702</v>
      </c>
      <c r="BW148" s="553">
        <f>$BV148/PI()*SQRT('Hilfstabellen_Mat&amp;Bem'!f.Rd.3/'Hilfstabellen_Mat&amp;Bem'!$BD$30)</f>
        <v>0.96482556698813604</v>
      </c>
      <c r="BX148" s="553">
        <f>0.5*(1+'Hilfstabellen_Mat&amp;Bem'!$BD$31*($BW148-0.3)+$BW148^2)</f>
        <v>0.99868546570639594</v>
      </c>
      <c r="BY148" s="550">
        <f t="shared" si="147"/>
        <v>0.79584192812715104</v>
      </c>
      <c r="CA148" s="551">
        <f t="shared" si="148"/>
        <v>31833.67712508604</v>
      </c>
      <c r="CE148" s="546">
        <f t="shared" si="149"/>
        <v>200</v>
      </c>
      <c r="CF148" s="551">
        <f t="shared" si="150"/>
        <v>62.353829072479577</v>
      </c>
      <c r="CG148" s="553">
        <f>CF148/PI()*SQRT('Hilfstabellen_Mat&amp;Bem'!f.Rd.3/'Hilfstabellen_Mat&amp;Bem'!$BD$30)</f>
        <v>0.99239201175922576</v>
      </c>
      <c r="CH148" s="553">
        <f>0.5*(1+'Hilfstabellen_Mat&amp;Bem'!$BD$31*(CG148-0.3)+CG148^2)</f>
        <v>1.0270405530897229</v>
      </c>
      <c r="CI148" s="550">
        <f t="shared" si="151"/>
        <v>0.77425765149575387</v>
      </c>
      <c r="CK148" s="551">
        <f t="shared" si="152"/>
        <v>30970.306059830156</v>
      </c>
      <c r="CO148" s="546">
        <f t="shared" si="153"/>
        <v>200</v>
      </c>
      <c r="CP148" s="551">
        <f t="shared" si="154"/>
        <v>64.085879880048452</v>
      </c>
      <c r="CQ148" s="553">
        <f>CP148/PI()*SQRT('Hilfstabellen_Mat&amp;Bem'!f.Rd.3/'Hilfstabellen_Mat&amp;Bem'!$BD$30)</f>
        <v>1.0199584565303152</v>
      </c>
      <c r="CR148" s="553">
        <f>0.5*(1+'Hilfstabellen_Mat&amp;Bem'!$BD$31*(CQ148-0.3)+CQ148^2)</f>
        <v>1.0561555493503672</v>
      </c>
      <c r="CS148" s="550">
        <f t="shared" si="155"/>
        <v>0.75171620938735029</v>
      </c>
      <c r="CU148" s="551">
        <f t="shared" si="156"/>
        <v>30068.648375494013</v>
      </c>
      <c r="CY148" s="546">
        <f t="shared" si="157"/>
        <v>200</v>
      </c>
      <c r="CZ148" s="551">
        <f t="shared" si="158"/>
        <v>65.817930687617334</v>
      </c>
      <c r="DA148" s="553">
        <f>CZ148/PI()*SQRT('Hilfstabellen_Mat&amp;Bem'!f.Rd.3/'Hilfstabellen_Mat&amp;Bem'!$BD$30)</f>
        <v>1.047524901301405</v>
      </c>
      <c r="DB148" s="553">
        <f>0.5*(1+'Hilfstabellen_Mat&amp;Bem'!$BD$31*(DA148-0.3)+DA148^2)</f>
        <v>1.0860304544883292</v>
      </c>
      <c r="DC148" s="550">
        <f t="shared" si="159"/>
        <v>0.72851508500527873</v>
      </c>
      <c r="DE148" s="551">
        <f t="shared" si="160"/>
        <v>29140.603400211148</v>
      </c>
      <c r="DI148" s="546">
        <f t="shared" si="161"/>
        <v>200</v>
      </c>
      <c r="DJ148" s="551">
        <f t="shared" si="162"/>
        <v>67.549981495186216</v>
      </c>
      <c r="DK148" s="553">
        <f>DJ148/PI()*SQRT('Hilfstabellen_Mat&amp;Bem'!f.Rd.3/'Hilfstabellen_Mat&amp;Bem'!$BD$30)</f>
        <v>1.0750913460724945</v>
      </c>
      <c r="DL148" s="553">
        <f>0.5*(1+'Hilfstabellen_Mat&amp;Bem'!$BD$31*(DK148-0.3)+DK148^2)</f>
        <v>1.1166652685036087</v>
      </c>
      <c r="DM148" s="550">
        <f t="shared" si="163"/>
        <v>0.7049571024252389</v>
      </c>
      <c r="DO148" s="551">
        <f t="shared" si="164"/>
        <v>28198.284097009557</v>
      </c>
      <c r="DS148" s="546">
        <f t="shared" si="165"/>
        <v>200</v>
      </c>
      <c r="DT148" s="551">
        <f t="shared" si="166"/>
        <v>69.282032302755084</v>
      </c>
      <c r="DU148" s="553">
        <f>DT148/PI()*SQRT('Hilfstabellen_Mat&amp;Bem'!f.Rd.3/'Hilfstabellen_Mat&amp;Bem'!$BD$30)</f>
        <v>1.102657790843584</v>
      </c>
      <c r="DV148" s="553">
        <f>0.5*(1+'Hilfstabellen_Mat&amp;Bem'!$BD$31*(DU148-0.3)+DU148^2)</f>
        <v>1.1480599913962055</v>
      </c>
      <c r="DW148" s="550">
        <f t="shared" si="167"/>
        <v>0.68132521956793579</v>
      </c>
      <c r="DY148" s="551">
        <f t="shared" si="168"/>
        <v>27253.008782717432</v>
      </c>
      <c r="EC148" s="546">
        <f t="shared" si="169"/>
        <v>200</v>
      </c>
      <c r="ED148" s="551">
        <f t="shared" si="170"/>
        <v>71.014083110323966</v>
      </c>
      <c r="EE148" s="553">
        <f>ED148/PI()*SQRT('Hilfstabellen_Mat&amp;Bem'!f.Rd.3/'Hilfstabellen_Mat&amp;Bem'!$BD$30)</f>
        <v>1.1302242356146737</v>
      </c>
      <c r="EF148" s="553">
        <f>0.5*(1+'Hilfstabellen_Mat&amp;Bem'!$BD$31*(EE148-0.3)+EE148^2)</f>
        <v>1.1802146231661204</v>
      </c>
      <c r="EG148" s="550">
        <f t="shared" si="171"/>
        <v>0.65786567773484139</v>
      </c>
      <c r="EI148" s="551">
        <f t="shared" si="172"/>
        <v>26314.627109393656</v>
      </c>
      <c r="EM148" s="546">
        <f t="shared" si="173"/>
        <v>200</v>
      </c>
      <c r="EN148" s="551">
        <f t="shared" si="174"/>
        <v>72.746133917892848</v>
      </c>
      <c r="EO148" s="553">
        <f>EN148/PI()*SQRT('Hilfstabellen_Mat&amp;Bem'!f.Rd.3/'Hilfstabellen_Mat&amp;Bem'!$BD$30)</f>
        <v>1.1577906803857634</v>
      </c>
      <c r="EP148" s="553">
        <f>0.5*(1+'Hilfstabellen_Mat&amp;Bem'!$BD$31*(EO148-0.3)+EO148^2)</f>
        <v>1.2131291638133526</v>
      </c>
      <c r="EQ148" s="550">
        <f t="shared" si="175"/>
        <v>0.63478003203940803</v>
      </c>
      <c r="ES148" s="551">
        <f t="shared" si="176"/>
        <v>25391.201281576323</v>
      </c>
    </row>
    <row r="149" spans="3:149">
      <c r="C149" s="546">
        <v>201</v>
      </c>
      <c r="D149" s="551">
        <f t="shared" si="126"/>
        <v>48.256141902416481</v>
      </c>
      <c r="E149" s="553">
        <f>$D149/PI()*SQRT('Hilfstabellen_Mat&amp;Bem'!f.Rd.3/'Hilfstabellen_Mat&amp;Bem'!$BD$30)</f>
        <v>0.7680203518313522</v>
      </c>
      <c r="F149" s="553">
        <f>0.5*(1+'Hilfstabellen_Mat&amp;Bem'!$BD$31*($E149-0.3)+$E149^2)</f>
        <v>0.8183286480051446</v>
      </c>
      <c r="G149" s="550">
        <f t="shared" si="127"/>
        <v>0.90840620402943073</v>
      </c>
      <c r="I149" s="551">
        <f t="shared" si="128"/>
        <v>36700.519048993032</v>
      </c>
      <c r="M149" s="546">
        <f t="shared" si="129"/>
        <v>201</v>
      </c>
      <c r="N149" s="551">
        <f t="shared" si="118"/>
        <v>49.979575541788499</v>
      </c>
      <c r="O149" s="553">
        <f>$N149/PI()*SQRT('Hilfstabellen_Mat&amp;Bem'!f.Rd.3/'Hilfstabellen_Mat&amp;Bem'!$BD$30)</f>
        <v>0.79544965011104329</v>
      </c>
      <c r="P149" s="553">
        <f>0.5*(1+'Hilfstabellen_Mat&amp;Bem'!$BD$31*($O149-0.3)+$O149^2)</f>
        <v>0.84114255543644278</v>
      </c>
      <c r="Q149" s="550">
        <f t="shared" si="119"/>
        <v>0.89718037518645155</v>
      </c>
      <c r="S149" s="551">
        <f t="shared" si="130"/>
        <v>36246.98433790783</v>
      </c>
      <c r="W149" s="546">
        <f t="shared" si="131"/>
        <v>201</v>
      </c>
      <c r="X149" s="551">
        <f t="shared" si="120"/>
        <v>51.703009181160517</v>
      </c>
      <c r="Y149" s="553">
        <f>$X149/PI()*SQRT('Hilfstabellen_Mat&amp;Bem'!f.Rd.3/'Hilfstabellen_Mat&amp;Bem'!$BD$30)</f>
        <v>0.82287894839073461</v>
      </c>
      <c r="Z149" s="553">
        <f>0.5*(1+'Hilfstabellen_Mat&amp;Bem'!$BD$31*($Y149-0.3)+$Y149^2)</f>
        <v>0.86470882927185744</v>
      </c>
      <c r="AA149" s="550">
        <f t="shared" si="121"/>
        <v>0.88464290260030765</v>
      </c>
      <c r="AC149" s="551">
        <f t="shared" si="132"/>
        <v>35740.457907955031</v>
      </c>
      <c r="AG149" s="546">
        <f t="shared" si="133"/>
        <v>201</v>
      </c>
      <c r="AH149" s="551">
        <f t="shared" si="122"/>
        <v>53.426442820532529</v>
      </c>
      <c r="AI149" s="553">
        <f>$AH149/PI()*SQRT('Hilfstabellen_Mat&amp;Bem'!f.Rd.3/'Hilfstabellen_Mat&amp;Bem'!$BD$30)</f>
        <v>0.85030824667042548</v>
      </c>
      <c r="AJ149" s="553">
        <f>0.5*(1+'Hilfstabellen_Mat&amp;Bem'!$BD$31*($AI149-0.3)+$AI149^2)</f>
        <v>0.88902746951138778</v>
      </c>
      <c r="AK149" s="550">
        <f t="shared" si="123"/>
        <v>0.87067208945602692</v>
      </c>
      <c r="AM149" s="551">
        <f t="shared" si="134"/>
        <v>35176.023086112946</v>
      </c>
      <c r="AQ149" s="546">
        <f t="shared" si="135"/>
        <v>201</v>
      </c>
      <c r="AR149" s="551">
        <f t="shared" si="124"/>
        <v>55.149876459904547</v>
      </c>
      <c r="AS149" s="553">
        <f>$AR149/PI()*SQRT('Hilfstabellen_Mat&amp;Bem'!f.Rd.3/'Hilfstabellen_Mat&amp;Bem'!$BD$30)</f>
        <v>0.87773754495011669</v>
      </c>
      <c r="AT149" s="553">
        <f>0.5*(1+'Hilfstabellen_Mat&amp;Bem'!$BD$31*($AS149-0.3)+$AS149^2)</f>
        <v>0.91409847615503481</v>
      </c>
      <c r="AU149" s="550">
        <f t="shared" si="125"/>
        <v>0.85517668897786947</v>
      </c>
      <c r="AW149" s="551">
        <f t="shared" si="136"/>
        <v>34549.993411394906</v>
      </c>
      <c r="BA149" s="546">
        <f t="shared" si="137"/>
        <v>201</v>
      </c>
      <c r="BB149" s="551">
        <f t="shared" si="138"/>
        <v>56.873310099276566</v>
      </c>
      <c r="BC149" s="553">
        <f>$BB149/PI()*SQRT('Hilfstabellen_Mat&amp;Bem'!f.Rd.3/'Hilfstabellen_Mat&amp;Bem'!$BD$30)</f>
        <v>0.90516684322980778</v>
      </c>
      <c r="BD149" s="553">
        <f>0.5*(1+'Hilfstabellen_Mat&amp;Bem'!$BD$31*($BC149-0.3)+$BC149^2)</f>
        <v>0.93992184920279809</v>
      </c>
      <c r="BE149" s="550">
        <f t="shared" si="139"/>
        <v>0.83811540735963652</v>
      </c>
      <c r="BG149" s="551">
        <f t="shared" si="140"/>
        <v>33860.700572736678</v>
      </c>
      <c r="BK149" s="546">
        <f t="shared" si="141"/>
        <v>201</v>
      </c>
      <c r="BL149" s="551">
        <f t="shared" si="142"/>
        <v>58.596743738648577</v>
      </c>
      <c r="BM149" s="553">
        <f>$BL149/PI()*SQRT('Hilfstabellen_Mat&amp;Bem'!f.Rd.3/'Hilfstabellen_Mat&amp;Bem'!$BD$30)</f>
        <v>0.93259614150949899</v>
      </c>
      <c r="BN149" s="553">
        <f>0.5*(1+'Hilfstabellen_Mat&amp;Bem'!$BD$31*($BM149-0.3)+$BM149^2)</f>
        <v>0.96649758865467761</v>
      </c>
      <c r="BO149" s="550">
        <f t="shared" si="143"/>
        <v>0.81951513173455259</v>
      </c>
      <c r="BQ149" s="551">
        <f t="shared" si="144"/>
        <v>33109.230837207659</v>
      </c>
      <c r="BU149" s="546">
        <f t="shared" si="145"/>
        <v>201</v>
      </c>
      <c r="BV149" s="551">
        <f t="shared" si="146"/>
        <v>60.320177378020603</v>
      </c>
      <c r="BW149" s="553">
        <f>$BV149/PI()*SQRT('Hilfstabellen_Mat&amp;Bem'!f.Rd.3/'Hilfstabellen_Mat&amp;Bem'!$BD$30)</f>
        <v>0.9600254397891903</v>
      </c>
      <c r="BX149" s="553">
        <f>0.5*(1+'Hilfstabellen_Mat&amp;Bem'!$BD$31*($BW149-0.3)+$BW149^2)</f>
        <v>0.9938256945106736</v>
      </c>
      <c r="BY149" s="550">
        <f t="shared" si="147"/>
        <v>0.79948226804659361</v>
      </c>
      <c r="CA149" s="551">
        <f t="shared" si="148"/>
        <v>32299.883111350427</v>
      </c>
      <c r="CE149" s="546">
        <f t="shared" si="149"/>
        <v>201</v>
      </c>
      <c r="CF149" s="551">
        <f t="shared" si="150"/>
        <v>62.043611017392614</v>
      </c>
      <c r="CG149" s="553">
        <f>CF149/PI()*SQRT('Hilfstabellen_Mat&amp;Bem'!f.Rd.3/'Hilfstabellen_Mat&amp;Bem'!$BD$30)</f>
        <v>0.98745473806888118</v>
      </c>
      <c r="CH149" s="553">
        <f>0.5*(1+'Hilfstabellen_Mat&amp;Bem'!$BD$31*(CG149-0.3)+CG149^2)</f>
        <v>1.0219061667707856</v>
      </c>
      <c r="CI149" s="550">
        <f t="shared" si="151"/>
        <v>0.77820207324463619</v>
      </c>
      <c r="CK149" s="551">
        <f t="shared" si="152"/>
        <v>31440.141961156547</v>
      </c>
      <c r="CO149" s="546">
        <f t="shared" si="153"/>
        <v>201</v>
      </c>
      <c r="CP149" s="551">
        <f t="shared" si="154"/>
        <v>63.767044656764632</v>
      </c>
      <c r="CQ149" s="553">
        <f>CP149/PI()*SQRT('Hilfstabellen_Mat&amp;Bem'!f.Rd.3/'Hilfstabellen_Mat&amp;Bem'!$BD$30)</f>
        <v>1.0148840363485723</v>
      </c>
      <c r="CR149" s="553">
        <f>0.5*(1+'Hilfstabellen_Mat&amp;Bem'!$BD$31*(CQ149-0.3)+CQ149^2)</f>
        <v>1.0507390054350139</v>
      </c>
      <c r="CS149" s="550">
        <f t="shared" si="155"/>
        <v>0.75592422792134284</v>
      </c>
      <c r="CU149" s="551">
        <f t="shared" si="156"/>
        <v>30540.094732250171</v>
      </c>
      <c r="CY149" s="546">
        <f t="shared" si="157"/>
        <v>201</v>
      </c>
      <c r="CZ149" s="551">
        <f t="shared" si="158"/>
        <v>65.490478296136644</v>
      </c>
      <c r="DA149" s="553">
        <f>CZ149/PI()*SQRT('Hilfstabellen_Mat&amp;Bem'!f.Rd.3/'Hilfstabellen_Mat&amp;Bem'!$BD$30)</f>
        <v>1.0423133346282636</v>
      </c>
      <c r="DB149" s="553">
        <f>0.5*(1+'Hilfstabellen_Mat&amp;Bem'!$BD$31*(DA149-0.3)+DA149^2)</f>
        <v>1.0803242105033584</v>
      </c>
      <c r="DC149" s="550">
        <f t="shared" si="159"/>
        <v>0.73293778121267916</v>
      </c>
      <c r="DE149" s="551">
        <f t="shared" si="160"/>
        <v>29611.41929877345</v>
      </c>
      <c r="DI149" s="546">
        <f t="shared" si="161"/>
        <v>201</v>
      </c>
      <c r="DJ149" s="551">
        <f t="shared" si="162"/>
        <v>67.213911935508662</v>
      </c>
      <c r="DK149" s="553">
        <f>DJ149/PI()*SQRT('Hilfstabellen_Mat&amp;Bem'!f.Rd.3/'Hilfstabellen_Mat&amp;Bem'!$BD$30)</f>
        <v>1.0697426329079547</v>
      </c>
      <c r="DL149" s="553">
        <f>0.5*(1+'Hilfstabellen_Mat&amp;Bem'!$BD$31*(DK149-0.3)+DK149^2)</f>
        <v>1.1106617819758193</v>
      </c>
      <c r="DM149" s="550">
        <f t="shared" si="163"/>
        <v>0.70954219966982657</v>
      </c>
      <c r="DO149" s="551">
        <f t="shared" si="164"/>
        <v>28666.214408860662</v>
      </c>
      <c r="DS149" s="546">
        <f t="shared" si="165"/>
        <v>201</v>
      </c>
      <c r="DT149" s="551">
        <f t="shared" si="166"/>
        <v>68.93734557488068</v>
      </c>
      <c r="DU149" s="553">
        <f>DT149/PI()*SQRT('Hilfstabellen_Mat&amp;Bem'!f.Rd.3/'Hilfstabellen_Mat&amp;Bem'!$BD$30)</f>
        <v>1.0971719311876458</v>
      </c>
      <c r="DV149" s="553">
        <f>0.5*(1+'Hilfstabellen_Mat&amp;Bem'!$BD$31*(DU149-0.3)+DU149^2)</f>
        <v>1.1417517198523963</v>
      </c>
      <c r="DW149" s="550">
        <f t="shared" si="167"/>
        <v>0.68602157498551064</v>
      </c>
      <c r="DY149" s="551">
        <f t="shared" si="168"/>
        <v>27715.957650989614</v>
      </c>
      <c r="EC149" s="546">
        <f t="shared" si="169"/>
        <v>201</v>
      </c>
      <c r="ED149" s="551">
        <f t="shared" si="170"/>
        <v>70.660779214252699</v>
      </c>
      <c r="EE149" s="553">
        <f>ED149/PI()*SQRT('Hilfstabellen_Mat&amp;Bem'!f.Rd.3/'Hilfstabellen_Mat&amp;Bem'!$BD$30)</f>
        <v>1.1246012294673369</v>
      </c>
      <c r="EF149" s="553">
        <f>0.5*(1+'Hilfstabellen_Mat&amp;Bem'!$BD$31*(EE149-0.3)+EE149^2)</f>
        <v>1.1735940241330898</v>
      </c>
      <c r="EG149" s="550">
        <f t="shared" si="171"/>
        <v>0.66262649129145368</v>
      </c>
      <c r="EI149" s="551">
        <f t="shared" si="172"/>
        <v>26770.772874666021</v>
      </c>
      <c r="EM149" s="546">
        <f t="shared" si="173"/>
        <v>201</v>
      </c>
      <c r="EN149" s="551">
        <f t="shared" si="174"/>
        <v>72.384212853624717</v>
      </c>
      <c r="EO149" s="553">
        <f>EN149/PI()*SQRT('Hilfstabellen_Mat&amp;Bem'!f.Rd.3/'Hilfstabellen_Mat&amp;Bem'!$BD$30)</f>
        <v>1.1520305277470282</v>
      </c>
      <c r="EP149" s="553">
        <f>0.5*(1+'Hilfstabellen_Mat&amp;Bem'!$BD$31*(EO149-0.3)+EO149^2)</f>
        <v>1.2061886948178995</v>
      </c>
      <c r="EQ149" s="550">
        <f t="shared" si="175"/>
        <v>0.63956464132837199</v>
      </c>
      <c r="ES149" s="551">
        <f t="shared" si="176"/>
        <v>25839.051074307557</v>
      </c>
    </row>
    <row r="150" spans="3:149">
      <c r="C150" s="546">
        <v>202</v>
      </c>
      <c r="D150" s="551">
        <f t="shared" si="126"/>
        <v>48.017250110820356</v>
      </c>
      <c r="E150" s="553">
        <f>$D150/PI()*SQRT('Hilfstabellen_Mat&amp;Bem'!f.Rd.3/'Hilfstabellen_Mat&amp;Bem'!$BD$30)</f>
        <v>0.76421827088169192</v>
      </c>
      <c r="F150" s="553">
        <f>0.5*(1+'Hilfstabellen_Mat&amp;Bem'!$BD$31*($E150-0.3)+$E150^2)</f>
        <v>0.81522569631878605</v>
      </c>
      <c r="G150" s="550">
        <f t="shared" si="127"/>
        <v>0.90986630611635411</v>
      </c>
      <c r="I150" s="551">
        <f t="shared" si="128"/>
        <v>37126.184754771712</v>
      </c>
      <c r="M150" s="546">
        <f t="shared" si="129"/>
        <v>202</v>
      </c>
      <c r="N150" s="551">
        <f t="shared" si="118"/>
        <v>49.732151900492518</v>
      </c>
      <c r="O150" s="553">
        <f>$N150/PI()*SQRT('Hilfstabellen_Mat&amp;Bem'!f.Rd.3/'Hilfstabellen_Mat&amp;Bem'!$BD$30)</f>
        <v>0.79151178055603821</v>
      </c>
      <c r="P150" s="553">
        <f>0.5*(1+'Hilfstabellen_Mat&amp;Bem'!$BD$31*($O150-0.3)+$O150^2)</f>
        <v>0.83782103840729683</v>
      </c>
      <c r="Q150" s="550">
        <f t="shared" si="119"/>
        <v>0.89886954837119537</v>
      </c>
      <c r="S150" s="551">
        <f t="shared" si="130"/>
        <v>36677.473051738256</v>
      </c>
      <c r="W150" s="546">
        <f t="shared" si="131"/>
        <v>202</v>
      </c>
      <c r="X150" s="551">
        <f t="shared" si="120"/>
        <v>51.447053690164672</v>
      </c>
      <c r="Y150" s="553">
        <f>$X150/PI()*SQRT('Hilfstabellen_Mat&amp;Bem'!f.Rd.3/'Hilfstabellen_Mat&amp;Bem'!$BD$30)</f>
        <v>0.8188052902303844</v>
      </c>
      <c r="Z150" s="553">
        <f>0.5*(1+'Hilfstabellen_Mat&amp;Bem'!$BD$31*($Y150-0.3)+$Y150^2)</f>
        <v>0.86116131616615121</v>
      </c>
      <c r="AA150" s="550">
        <f t="shared" si="121"/>
        <v>0.8865928376819685</v>
      </c>
      <c r="AC150" s="551">
        <f t="shared" si="132"/>
        <v>36176.534148775041</v>
      </c>
      <c r="AG150" s="546">
        <f t="shared" si="133"/>
        <v>202</v>
      </c>
      <c r="AH150" s="551">
        <f t="shared" si="122"/>
        <v>53.16195547983682</v>
      </c>
      <c r="AI150" s="553">
        <f>$AH150/PI()*SQRT('Hilfstabellen_Mat&amp;Bem'!f.Rd.3/'Hilfstabellen_Mat&amp;Bem'!$BD$30)</f>
        <v>0.84609879990473036</v>
      </c>
      <c r="AJ150" s="553">
        <f>0.5*(1+'Hilfstabellen_Mat&amp;Bem'!$BD$31*($AI150-0.3)+$AI150^2)</f>
        <v>0.885246529595349</v>
      </c>
      <c r="AK150" s="550">
        <f t="shared" si="123"/>
        <v>0.87291335536854597</v>
      </c>
      <c r="AM150" s="551">
        <f t="shared" si="134"/>
        <v>35618.35655245815</v>
      </c>
      <c r="AQ150" s="546">
        <f t="shared" si="135"/>
        <v>202</v>
      </c>
      <c r="AR150" s="551">
        <f t="shared" si="124"/>
        <v>54.876857269508982</v>
      </c>
      <c r="AS150" s="553">
        <f>$AR150/PI()*SQRT('Hilfstabellen_Mat&amp;Bem'!f.Rd.3/'Hilfstabellen_Mat&amp;Bem'!$BD$30)</f>
        <v>0.87339230957907654</v>
      </c>
      <c r="AT150" s="553">
        <f>0.5*(1+'Hilfstabellen_Mat&amp;Bem'!$BD$31*($AS150-0.3)+$AS150^2)</f>
        <v>0.91007667869489062</v>
      </c>
      <c r="AU150" s="550">
        <f t="shared" si="125"/>
        <v>0.85773544968121351</v>
      </c>
      <c r="AW150" s="551">
        <f t="shared" si="136"/>
        <v>34999.037288792235</v>
      </c>
      <c r="BA150" s="546">
        <f t="shared" si="137"/>
        <v>202</v>
      </c>
      <c r="BB150" s="551">
        <f t="shared" si="138"/>
        <v>56.591759059181129</v>
      </c>
      <c r="BC150" s="553">
        <f>$BB150/PI()*SQRT('Hilfstabellen_Mat&amp;Bem'!f.Rd.3/'Hilfstabellen_Mat&amp;Bem'!$BD$30)</f>
        <v>0.90068581925342261</v>
      </c>
      <c r="BD150" s="553">
        <f>0.5*(1+'Hilfstabellen_Mat&amp;Bem'!$BD$31*($BC150-0.3)+$BC150^2)</f>
        <v>0.93565176346477574</v>
      </c>
      <c r="BE150" s="550">
        <f t="shared" si="139"/>
        <v>0.84100946527693332</v>
      </c>
      <c r="BG150" s="551">
        <f t="shared" si="140"/>
        <v>34316.550221159989</v>
      </c>
      <c r="BK150" s="546">
        <f t="shared" si="141"/>
        <v>202</v>
      </c>
      <c r="BL150" s="551">
        <f t="shared" si="142"/>
        <v>58.306660848853291</v>
      </c>
      <c r="BM150" s="553">
        <f>$BL150/PI()*SQRT('Hilfstabellen_Mat&amp;Bem'!f.Rd.3/'Hilfstabellen_Mat&amp;Bem'!$BD$30)</f>
        <v>0.9279793289277688</v>
      </c>
      <c r="BN150" s="553">
        <f>0.5*(1+'Hilfstabellen_Mat&amp;Bem'!$BD$31*($BM150-0.3)+$BM150^2)</f>
        <v>0.96197178390500448</v>
      </c>
      <c r="BO150" s="550">
        <f t="shared" si="143"/>
        <v>0.82275006653800598</v>
      </c>
      <c r="BQ150" s="551">
        <f t="shared" si="144"/>
        <v>33571.493715016797</v>
      </c>
      <c r="BU150" s="546">
        <f t="shared" si="145"/>
        <v>202</v>
      </c>
      <c r="BV150" s="551">
        <f t="shared" si="146"/>
        <v>60.021562638525445</v>
      </c>
      <c r="BW150" s="553">
        <f>$BV150/PI()*SQRT('Hilfstabellen_Mat&amp;Bem'!f.Rd.3/'Hilfstabellen_Mat&amp;Bem'!$BD$30)</f>
        <v>0.95527283860211498</v>
      </c>
      <c r="BX150" s="553">
        <f>0.5*(1+'Hilfstabellen_Mat&amp;Bem'!$BD$31*($BW150-0.3)+$BW150^2)</f>
        <v>0.98903674001557695</v>
      </c>
      <c r="BY150" s="550">
        <f t="shared" si="147"/>
        <v>0.80304877410335129</v>
      </c>
      <c r="CA150" s="551">
        <f t="shared" si="148"/>
        <v>32767.602178513145</v>
      </c>
      <c r="CE150" s="546">
        <f t="shared" si="149"/>
        <v>202</v>
      </c>
      <c r="CF150" s="551">
        <f t="shared" si="150"/>
        <v>61.736464428197607</v>
      </c>
      <c r="CG150" s="553">
        <f>CF150/PI()*SQRT('Hilfstabellen_Mat&amp;Bem'!f.Rd.3/'Hilfstabellen_Mat&amp;Bem'!$BD$30)</f>
        <v>0.98256634827646117</v>
      </c>
      <c r="CH150" s="553">
        <f>0.5*(1+'Hilfstabellen_Mat&amp;Bem'!$BD$31*(CG150-0.3)+CG150^2)</f>
        <v>1.016846631796493</v>
      </c>
      <c r="CI150" s="550">
        <f t="shared" si="151"/>
        <v>0.78207549845151725</v>
      </c>
      <c r="CK150" s="551">
        <f t="shared" si="152"/>
        <v>31911.80863881571</v>
      </c>
      <c r="CO150" s="546">
        <f t="shared" si="153"/>
        <v>202</v>
      </c>
      <c r="CP150" s="551">
        <f t="shared" si="154"/>
        <v>63.451366217869761</v>
      </c>
      <c r="CQ150" s="553">
        <f>CP150/PI()*SQRT('Hilfstabellen_Mat&amp;Bem'!f.Rd.3/'Hilfstabellen_Mat&amp;Bem'!$BD$30)</f>
        <v>1.0098598579508073</v>
      </c>
      <c r="CR150" s="553">
        <f>0.5*(1+'Hilfstabellen_Mat&amp;Bem'!$BD$31*(CQ150-0.3)+CQ150^2)</f>
        <v>1.0454014592477527</v>
      </c>
      <c r="CS150" s="550">
        <f t="shared" si="155"/>
        <v>0.76006666924119348</v>
      </c>
      <c r="CU150" s="551">
        <f t="shared" si="156"/>
        <v>31013.760371717657</v>
      </c>
      <c r="CY150" s="546">
        <f t="shared" si="157"/>
        <v>202</v>
      </c>
      <c r="CZ150" s="551">
        <f t="shared" si="158"/>
        <v>65.166268007541916</v>
      </c>
      <c r="DA150" s="553">
        <f>CZ150/PI()*SQRT('Hilfstabellen_Mat&amp;Bem'!f.Rd.3/'Hilfstabellen_Mat&amp;Bem'!$BD$30)</f>
        <v>1.0371533676251534</v>
      </c>
      <c r="DB150" s="553">
        <f>0.5*(1+'Hilfstabellen_Mat&amp;Bem'!$BD$31*(DA150-0.3)+DA150^2)</f>
        <v>1.0747012223693559</v>
      </c>
      <c r="DC150" s="550">
        <f t="shared" si="159"/>
        <v>0.73730219090065796</v>
      </c>
      <c r="DE150" s="551">
        <f t="shared" si="160"/>
        <v>30084.878597510447</v>
      </c>
      <c r="DI150" s="546">
        <f t="shared" si="161"/>
        <v>202</v>
      </c>
      <c r="DJ150" s="551">
        <f t="shared" si="162"/>
        <v>66.881169797214071</v>
      </c>
      <c r="DK150" s="553">
        <f>DJ150/PI()*SQRT('Hilfstabellen_Mat&amp;Bem'!f.Rd.3/'Hilfstabellen_Mat&amp;Bem'!$BD$30)</f>
        <v>1.0644468772994995</v>
      </c>
      <c r="DL150" s="553">
        <f>0.5*(1+'Hilfstabellen_Mat&amp;Bem'!$BD$31*(DK150-0.3)+DK150^2)</f>
        <v>1.1047459211613027</v>
      </c>
      <c r="DM150" s="550">
        <f t="shared" si="163"/>
        <v>0.71407732635703625</v>
      </c>
      <c r="DO150" s="551">
        <f t="shared" si="164"/>
        <v>29137.211224672508</v>
      </c>
      <c r="DS150" s="546">
        <f t="shared" si="165"/>
        <v>202</v>
      </c>
      <c r="DT150" s="551">
        <f t="shared" si="166"/>
        <v>68.596071586886225</v>
      </c>
      <c r="DU150" s="553">
        <f>DT150/PI()*SQRT('Hilfstabellen_Mat&amp;Bem'!f.Rd.3/'Hilfstabellen_Mat&amp;Bem'!$BD$30)</f>
        <v>1.0917403869738456</v>
      </c>
      <c r="DV150" s="553">
        <f>0.5*(1+'Hilfstabellen_Mat&amp;Bem'!$BD$31*(DU150-0.3)+DU150^2)</f>
        <v>1.1355355556235933</v>
      </c>
      <c r="DW150" s="550">
        <f t="shared" si="167"/>
        <v>0.69067652353040021</v>
      </c>
      <c r="DY150" s="551">
        <f t="shared" si="168"/>
        <v>28182.364866134449</v>
      </c>
      <c r="EC150" s="546">
        <f t="shared" si="169"/>
        <v>202</v>
      </c>
      <c r="ED150" s="551">
        <f t="shared" si="170"/>
        <v>70.31097337655838</v>
      </c>
      <c r="EE150" s="553">
        <f>ED150/PI()*SQRT('Hilfstabellen_Mat&amp;Bem'!f.Rd.3/'Hilfstabellen_Mat&amp;Bem'!$BD$30)</f>
        <v>1.1190338966481919</v>
      </c>
      <c r="EF150" s="553">
        <f>0.5*(1+'Hilfstabellen_Mat&amp;Bem'!$BD$31*(EE150-0.3)+EE150^2)</f>
        <v>1.1670701257562275</v>
      </c>
      <c r="EG150" s="550">
        <f t="shared" si="171"/>
        <v>0.66735412081831025</v>
      </c>
      <c r="EI150" s="551">
        <f t="shared" si="172"/>
        <v>27230.717545870331</v>
      </c>
      <c r="EM150" s="546">
        <f t="shared" si="173"/>
        <v>202</v>
      </c>
      <c r="EN150" s="551">
        <f t="shared" si="174"/>
        <v>72.025875166230534</v>
      </c>
      <c r="EO150" s="553">
        <f>EN150/PI()*SQRT('Hilfstabellen_Mat&amp;Bem'!f.Rd.3/'Hilfstabellen_Mat&amp;Bem'!$BD$30)</f>
        <v>1.1463274063225379</v>
      </c>
      <c r="EP150" s="553">
        <f>0.5*(1+'Hilfstabellen_Mat&amp;Bem'!$BD$31*(EO150-0.3)+EO150^2)</f>
        <v>1.1993496315592054</v>
      </c>
      <c r="EQ150" s="550">
        <f t="shared" si="175"/>
        <v>0.64432357882785685</v>
      </c>
      <c r="ES150" s="551">
        <f t="shared" si="176"/>
        <v>26290.979310491872</v>
      </c>
    </row>
    <row r="151" spans="3:149">
      <c r="C151" s="546">
        <v>203</v>
      </c>
      <c r="D151" s="551">
        <f t="shared" si="126"/>
        <v>47.780711932934537</v>
      </c>
      <c r="E151" s="553">
        <f>$D151/PI()*SQRT('Hilfstabellen_Mat&amp;Bem'!f.Rd.3/'Hilfstabellen_Mat&amp;Bem'!$BD$30)</f>
        <v>0.7604536488576441</v>
      </c>
      <c r="F151" s="553">
        <f>0.5*(1+'Hilfstabellen_Mat&amp;Bem'!$BD$31*($E151-0.3)+$E151^2)</f>
        <v>0.81216755847333477</v>
      </c>
      <c r="G151" s="550">
        <f t="shared" si="127"/>
        <v>0.9112901156667117</v>
      </c>
      <c r="I151" s="551">
        <f t="shared" si="128"/>
        <v>37553.354376509524</v>
      </c>
      <c r="M151" s="546">
        <f t="shared" si="129"/>
        <v>203</v>
      </c>
      <c r="N151" s="551">
        <f t="shared" si="118"/>
        <v>49.487165930539348</v>
      </c>
      <c r="O151" s="553">
        <f>$N151/PI()*SQRT('Hilfstabellen_Mat&amp;Bem'!f.Rd.3/'Hilfstabellen_Mat&amp;Bem'!$BD$30)</f>
        <v>0.78761270774541725</v>
      </c>
      <c r="P151" s="553">
        <f>0.5*(1+'Hilfstabellen_Mat&amp;Bem'!$BD$31*($O151-0.3)+$O151^2)</f>
        <v>0.8345475240883049</v>
      </c>
      <c r="Q151" s="550">
        <f t="shared" si="119"/>
        <v>0.90051580877540705</v>
      </c>
      <c r="S151" s="551">
        <f t="shared" si="130"/>
        <v>37109.35596382575</v>
      </c>
      <c r="W151" s="546">
        <f t="shared" si="131"/>
        <v>203</v>
      </c>
      <c r="X151" s="551">
        <f t="shared" si="120"/>
        <v>51.193619928144159</v>
      </c>
      <c r="Y151" s="553">
        <f>$X151/PI()*SQRT('Hilfstabellen_Mat&amp;Bem'!f.Rd.3/'Hilfstabellen_Mat&amp;Bem'!$BD$30)</f>
        <v>0.8147717666331904</v>
      </c>
      <c r="Z151" s="553">
        <f>0.5*(1+'Hilfstabellen_Mat&amp;Bem'!$BD$31*($Y151-0.3)+$Y151^2)</f>
        <v>0.85766510418294462</v>
      </c>
      <c r="AA151" s="550">
        <f t="shared" si="121"/>
        <v>0.88849272376668742</v>
      </c>
      <c r="AC151" s="551">
        <f t="shared" si="132"/>
        <v>36613.89665370142</v>
      </c>
      <c r="AG151" s="546">
        <f t="shared" si="133"/>
        <v>203</v>
      </c>
      <c r="AH151" s="551">
        <f t="shared" si="122"/>
        <v>52.900073925748963</v>
      </c>
      <c r="AI151" s="553">
        <f>$AH151/PI()*SQRT('Hilfstabellen_Mat&amp;Bem'!f.Rd.3/'Hilfstabellen_Mat&amp;Bem'!$BD$30)</f>
        <v>0.84193082552096321</v>
      </c>
      <c r="AJ151" s="553">
        <f>0.5*(1+'Hilfstabellen_Mat&amp;Bem'!$BD$31*($AI151-0.3)+$AI151^2)</f>
        <v>0.88152029875725346</v>
      </c>
      <c r="AK151" s="550">
        <f t="shared" si="123"/>
        <v>0.87509733386022104</v>
      </c>
      <c r="AM151" s="551">
        <f t="shared" si="134"/>
        <v>36061.886031045848</v>
      </c>
      <c r="AQ151" s="546">
        <f t="shared" si="135"/>
        <v>203</v>
      </c>
      <c r="AR151" s="551">
        <f t="shared" si="124"/>
        <v>54.606527923353767</v>
      </c>
      <c r="AS151" s="553">
        <f>$AR151/PI()*SQRT('Hilfstabellen_Mat&amp;Bem'!f.Rd.3/'Hilfstabellen_Mat&amp;Bem'!$BD$30)</f>
        <v>0.86908988440873625</v>
      </c>
      <c r="AT151" s="553">
        <f>0.5*(1+'Hilfstabellen_Mat&amp;Bem'!$BD$31*($AS151-0.3)+$AS151^2)</f>
        <v>0.90611310781123211</v>
      </c>
      <c r="AU151" s="550">
        <f t="shared" si="125"/>
        <v>0.8602302090950853</v>
      </c>
      <c r="AW151" s="551">
        <f t="shared" si="136"/>
        <v>35449.226686599373</v>
      </c>
      <c r="BA151" s="546">
        <f t="shared" si="137"/>
        <v>203</v>
      </c>
      <c r="BB151" s="551">
        <f t="shared" si="138"/>
        <v>56.312981920958563</v>
      </c>
      <c r="BC151" s="553">
        <f>$BB151/PI()*SQRT('Hilfstabellen_Mat&amp;Bem'!f.Rd.3/'Hilfstabellen_Mat&amp;Bem'!$BD$30)</f>
        <v>0.89624894329650917</v>
      </c>
      <c r="BD151" s="553">
        <f>0.5*(1+'Hilfstabellen_Mat&amp;Bem'!$BD$31*($BC151-0.3)+$BC151^2)</f>
        <v>0.93144353134488012</v>
      </c>
      <c r="BE151" s="550">
        <f t="shared" si="139"/>
        <v>0.84383411819138032</v>
      </c>
      <c r="BG151" s="551">
        <f t="shared" si="140"/>
        <v>34773.560176548592</v>
      </c>
      <c r="BK151" s="546">
        <f t="shared" si="141"/>
        <v>203</v>
      </c>
      <c r="BL151" s="551">
        <f t="shared" si="142"/>
        <v>58.019435918563381</v>
      </c>
      <c r="BM151" s="553">
        <f>$BL151/PI()*SQRT('Hilfstabellen_Mat&amp;Bem'!f.Rd.3/'Hilfstabellen_Mat&amp;Bem'!$BD$30)</f>
        <v>0.92340800218428232</v>
      </c>
      <c r="BN151" s="553">
        <f>0.5*(1+'Hilfstabellen_Mat&amp;Bem'!$BD$31*($BM151-0.3)+$BM151^2)</f>
        <v>0.95751156935819792</v>
      </c>
      <c r="BO151" s="550">
        <f t="shared" si="143"/>
        <v>0.82591229946798894</v>
      </c>
      <c r="BQ151" s="551">
        <f t="shared" si="144"/>
        <v>34035.019948776353</v>
      </c>
      <c r="BU151" s="546">
        <f t="shared" si="145"/>
        <v>203</v>
      </c>
      <c r="BV151" s="551">
        <f t="shared" si="146"/>
        <v>59.725889916168185</v>
      </c>
      <c r="BW151" s="553">
        <f>$BV151/PI()*SQRT('Hilfstabellen_Mat&amp;Bem'!f.Rd.3/'Hilfstabellen_Mat&amp;Bem'!$BD$30)</f>
        <v>0.95056706107205535</v>
      </c>
      <c r="BX151" s="553">
        <f>0.5*(1+'Hilfstabellen_Mat&amp;Bem'!$BD$31*($BW151-0.3)+$BW151^2)</f>
        <v>0.98431722185118509</v>
      </c>
      <c r="BY151" s="550">
        <f t="shared" si="147"/>
        <v>0.80654198154921952</v>
      </c>
      <c r="CA151" s="551">
        <f t="shared" si="148"/>
        <v>33236.788517661786</v>
      </c>
      <c r="CE151" s="546">
        <f t="shared" si="149"/>
        <v>203</v>
      </c>
      <c r="CF151" s="551">
        <f t="shared" si="150"/>
        <v>61.432343913772989</v>
      </c>
      <c r="CG151" s="553">
        <f>CF151/PI()*SQRT('Hilfstabellen_Mat&amp;Bem'!f.Rd.3/'Hilfstabellen_Mat&amp;Bem'!$BD$30)</f>
        <v>0.97772611995982839</v>
      </c>
      <c r="CH151" s="553">
        <f>0.5*(1+'Hilfstabellen_Mat&amp;Bem'!$BD$31*(CG151-0.3)+CG151^2)</f>
        <v>1.0118604888238418</v>
      </c>
      <c r="CI151" s="550">
        <f t="shared" si="151"/>
        <v>0.78587792452339034</v>
      </c>
      <c r="CK151" s="551">
        <f t="shared" si="152"/>
        <v>32385.243391684391</v>
      </c>
      <c r="CO151" s="546">
        <f t="shared" si="153"/>
        <v>203</v>
      </c>
      <c r="CP151" s="551">
        <f t="shared" si="154"/>
        <v>63.138797911377793</v>
      </c>
      <c r="CQ151" s="553">
        <f>CP151/PI()*SQRT('Hilfstabellen_Mat&amp;Bem'!f.Rd.3/'Hilfstabellen_Mat&amp;Bem'!$BD$30)</f>
        <v>1.0048851788476012</v>
      </c>
      <c r="CR151" s="553">
        <f>0.5*(1+'Hilfstabellen_Mat&amp;Bem'!$BD$31*(CQ151-0.3)+CQ151^2)</f>
        <v>1.0401413702761677</v>
      </c>
      <c r="CS151" s="550">
        <f t="shared" si="155"/>
        <v>0.76414303557801433</v>
      </c>
      <c r="CU151" s="551">
        <f t="shared" si="156"/>
        <v>31489.570353134393</v>
      </c>
      <c r="CY151" s="546">
        <f t="shared" si="157"/>
        <v>203</v>
      </c>
      <c r="CZ151" s="551">
        <f t="shared" si="158"/>
        <v>64.845251908982604</v>
      </c>
      <c r="DA151" s="553">
        <f>CZ151/PI()*SQRT('Hilfstabellen_Mat&amp;Bem'!f.Rd.3/'Hilfstabellen_Mat&amp;Bem'!$BD$30)</f>
        <v>1.0320442377353745</v>
      </c>
      <c r="DB151" s="553">
        <f>0.5*(1+'Hilfstabellen_Mat&amp;Bem'!$BD$31*(DA151-0.3)+DA151^2)</f>
        <v>1.0691598662081638</v>
      </c>
      <c r="DC151" s="550">
        <f t="shared" si="159"/>
        <v>0.74160742874714392</v>
      </c>
      <c r="DE151" s="551">
        <f t="shared" si="160"/>
        <v>30560.900531241052</v>
      </c>
      <c r="DI151" s="546">
        <f t="shared" si="161"/>
        <v>203</v>
      </c>
      <c r="DJ151" s="551">
        <f t="shared" si="162"/>
        <v>66.551705906587401</v>
      </c>
      <c r="DK151" s="553">
        <f>DJ151/PI()*SQRT('Hilfstabellen_Mat&amp;Bem'!f.Rd.3/'Hilfstabellen_Mat&amp;Bem'!$BD$30)</f>
        <v>1.0592032966231473</v>
      </c>
      <c r="DL151" s="553">
        <f>0.5*(1+'Hilfstabellen_Mat&amp;Bem'!$BD$31*(DK151-0.3)+DK151^2)</f>
        <v>1.0989159766198289</v>
      </c>
      <c r="DM151" s="550">
        <f t="shared" si="163"/>
        <v>0.71856134548939932</v>
      </c>
      <c r="DO151" s="551">
        <f t="shared" si="164"/>
        <v>29611.194486272656</v>
      </c>
      <c r="DS151" s="546">
        <f t="shared" si="165"/>
        <v>203</v>
      </c>
      <c r="DT151" s="551">
        <f t="shared" si="166"/>
        <v>68.258159904192212</v>
      </c>
      <c r="DU151" s="553">
        <f>DT151/PI()*SQRT('Hilfstabellen_Mat&amp;Bem'!f.Rd.3/'Hilfstabellen_Mat&amp;Bem'!$BD$30)</f>
        <v>1.0863623555109203</v>
      </c>
      <c r="DV151" s="553">
        <f>0.5*(1+'Hilfstabellen_Mat&amp;Bem'!$BD$31*(DU151-0.3)+DU151^2)</f>
        <v>1.1294097015111637</v>
      </c>
      <c r="DW151" s="550">
        <f t="shared" si="167"/>
        <v>0.69528880655135872</v>
      </c>
      <c r="DY151" s="551">
        <f t="shared" si="168"/>
        <v>28652.156429174942</v>
      </c>
      <c r="EC151" s="546">
        <f t="shared" si="169"/>
        <v>203</v>
      </c>
      <c r="ED151" s="551">
        <f t="shared" si="170"/>
        <v>69.964613901797009</v>
      </c>
      <c r="EE151" s="553">
        <f>ED151/PI()*SQRT('Hilfstabellen_Mat&amp;Bem'!f.Rd.3/'Hilfstabellen_Mat&amp;Bem'!$BD$30)</f>
        <v>1.1135214143986933</v>
      </c>
      <c r="EF151" s="553">
        <f>0.5*(1+'Hilfstabellen_Mat&amp;Bem'!$BD$31*(EE151-0.3)+EE151^2)</f>
        <v>1.1606410408821679</v>
      </c>
      <c r="EG151" s="550">
        <f t="shared" si="171"/>
        <v>0.67204728960085103</v>
      </c>
      <c r="EI151" s="551">
        <f t="shared" si="172"/>
        <v>27694.39675716147</v>
      </c>
      <c r="EM151" s="546">
        <f t="shared" si="173"/>
        <v>203</v>
      </c>
      <c r="EN151" s="551">
        <f t="shared" si="174"/>
        <v>71.67106789940182</v>
      </c>
      <c r="EO151" s="553">
        <f>EN151/PI()*SQRT('Hilfstabellen_Mat&amp;Bem'!f.Rd.3/'Hilfstabellen_Mat&amp;Bem'!$BD$30)</f>
        <v>1.1406804732864664</v>
      </c>
      <c r="EP151" s="553">
        <f>0.5*(1+'Hilfstabellen_Mat&amp;Bem'!$BD$31*(EO151-0.3)+EO151^2)</f>
        <v>1.1926099947328419</v>
      </c>
      <c r="EQ151" s="550">
        <f t="shared" si="175"/>
        <v>0.64905562065849165</v>
      </c>
      <c r="ES151" s="551">
        <f t="shared" si="176"/>
        <v>26746.933071715783</v>
      </c>
    </row>
    <row r="152" spans="3:149">
      <c r="C152" s="546">
        <v>204</v>
      </c>
      <c r="D152" s="551">
        <f t="shared" si="126"/>
        <v>47.546492756792702</v>
      </c>
      <c r="E152" s="553">
        <f>$D152/PI()*SQRT('Hilfstabellen_Mat&amp;Bem'!f.Rd.3/'Hilfstabellen_Mat&amp;Bem'!$BD$30)</f>
        <v>0.75672593489265572</v>
      </c>
      <c r="F152" s="553">
        <f>0.5*(1+'Hilfstabellen_Mat&amp;Bem'!$BD$31*($E152-0.3)+$E152^2)</f>
        <v>0.80915336701421481</v>
      </c>
      <c r="G152" s="550">
        <f t="shared" si="127"/>
        <v>0.9126788394236639</v>
      </c>
      <c r="I152" s="551">
        <f t="shared" si="128"/>
        <v>37982.0425814552</v>
      </c>
      <c r="M152" s="546">
        <f t="shared" si="129"/>
        <v>204</v>
      </c>
      <c r="N152" s="551">
        <f t="shared" si="118"/>
        <v>49.244581783821019</v>
      </c>
      <c r="O152" s="553">
        <f>$N152/PI()*SQRT('Hilfstabellen_Mat&amp;Bem'!f.Rd.3/'Hilfstabellen_Mat&amp;Bem'!$BD$30)</f>
        <v>0.78375186113882211</v>
      </c>
      <c r="P152" s="553">
        <f>0.5*(1+'Hilfstabellen_Mat&amp;Bem'!$BD$31*($O152-0.3)+$O152^2)</f>
        <v>0.83132108297622476</v>
      </c>
      <c r="Q152" s="550">
        <f t="shared" si="119"/>
        <v>0.90212055285117876</v>
      </c>
      <c r="S152" s="551">
        <f t="shared" si="130"/>
        <v>37542.648927454655</v>
      </c>
      <c r="W152" s="546">
        <f t="shared" si="131"/>
        <v>204</v>
      </c>
      <c r="X152" s="551">
        <f t="shared" si="120"/>
        <v>50.942670810849329</v>
      </c>
      <c r="Y152" s="553">
        <f>$X152/PI()*SQRT('Hilfstabellen_Mat&amp;Bem'!f.Rd.3/'Hilfstabellen_Mat&amp;Bem'!$BD$30)</f>
        <v>0.8107777873849884</v>
      </c>
      <c r="Z152" s="553">
        <f>0.5*(1+'Hilfstabellen_Mat&amp;Bem'!$BD$31*($Y152-0.3)+$Y152^2)</f>
        <v>0.85421919962769821</v>
      </c>
      <c r="AA152" s="550">
        <f t="shared" si="121"/>
        <v>0.89034411565570126</v>
      </c>
      <c r="AC152" s="551">
        <f t="shared" si="132"/>
        <v>37052.560717127664</v>
      </c>
      <c r="AG152" s="546">
        <f t="shared" si="133"/>
        <v>204</v>
      </c>
      <c r="AH152" s="551">
        <f t="shared" si="122"/>
        <v>52.640759837877638</v>
      </c>
      <c r="AI152" s="553">
        <f>$AH152/PI()*SQRT('Hilfstabellen_Mat&amp;Bem'!f.Rd.3/'Hilfstabellen_Mat&amp;Bem'!$BD$30)</f>
        <v>0.83780371363115469</v>
      </c>
      <c r="AJ152" s="553">
        <f>0.5*(1+'Hilfstabellen_Mat&amp;Bem'!$BD$31*($AI152-0.3)+$AI152^2)</f>
        <v>0.87784771696863473</v>
      </c>
      <c r="AK152" s="550">
        <f t="shared" si="123"/>
        <v>0.87722566659191514</v>
      </c>
      <c r="AM152" s="551">
        <f t="shared" si="134"/>
        <v>36506.623340889142</v>
      </c>
      <c r="AQ152" s="546">
        <f t="shared" si="135"/>
        <v>204</v>
      </c>
      <c r="AR152" s="551">
        <f t="shared" si="124"/>
        <v>54.338848864905948</v>
      </c>
      <c r="AS152" s="553">
        <f>$AR152/PI()*SQRT('Hilfstabellen_Mat&amp;Bem'!f.Rd.3/'Hilfstabellen_Mat&amp;Bem'!$BD$30)</f>
        <v>0.86482963987732087</v>
      </c>
      <c r="AT152" s="553">
        <f>0.5*(1+'Hilfstabellen_Mat&amp;Bem'!$BD$31*($AS152-0.3)+$AS152^2)</f>
        <v>0.90220663499903431</v>
      </c>
      <c r="AU152" s="550">
        <f t="shared" si="125"/>
        <v>0.86266257906710841</v>
      </c>
      <c r="AW152" s="551">
        <f t="shared" si="136"/>
        <v>35900.565890456783</v>
      </c>
      <c r="BA152" s="546">
        <f t="shared" si="137"/>
        <v>204</v>
      </c>
      <c r="BB152" s="551">
        <f t="shared" si="138"/>
        <v>56.036937891934258</v>
      </c>
      <c r="BC152" s="553">
        <f>$BB152/PI()*SQRT('Hilfstabellen_Mat&amp;Bem'!f.Rd.3/'Hilfstabellen_Mat&amp;Bem'!$BD$30)</f>
        <v>0.89185556612348715</v>
      </c>
      <c r="BD152" s="553">
        <f>0.5*(1+'Hilfstabellen_Mat&amp;Bem'!$BD$31*($BC152-0.3)+$BC152^2)</f>
        <v>0.92729595371889717</v>
      </c>
      <c r="BE152" s="550">
        <f t="shared" si="139"/>
        <v>0.84659079555428773</v>
      </c>
      <c r="BG152" s="551">
        <f t="shared" si="140"/>
        <v>35231.722547787242</v>
      </c>
      <c r="BK152" s="546">
        <f t="shared" si="141"/>
        <v>204</v>
      </c>
      <c r="BL152" s="551">
        <f t="shared" si="142"/>
        <v>57.735026918962575</v>
      </c>
      <c r="BM152" s="553">
        <f>$BL152/PI()*SQRT('Hilfstabellen_Mat&amp;Bem'!f.Rd.3/'Hilfstabellen_Mat&amp;Bem'!$BD$30)</f>
        <v>0.91888149236965355</v>
      </c>
      <c r="BN152" s="553">
        <f>0.5*(1+'Hilfstabellen_Mat&amp;Bem'!$BD$31*($BM152-0.3)+$BM152^2)</f>
        <v>0.95311567312822354</v>
      </c>
      <c r="BO152" s="550">
        <f t="shared" si="143"/>
        <v>0.8290029172295762</v>
      </c>
      <c r="BQ152" s="551">
        <f t="shared" si="144"/>
        <v>34499.785403426045</v>
      </c>
      <c r="BU152" s="546">
        <f t="shared" si="145"/>
        <v>204</v>
      </c>
      <c r="BV152" s="551">
        <f t="shared" si="146"/>
        <v>59.433115945990885</v>
      </c>
      <c r="BW152" s="553">
        <f>$BV152/PI()*SQRT('Hilfstabellen_Mat&amp;Bem'!f.Rd.3/'Hilfstabellen_Mat&amp;Bem'!$BD$30)</f>
        <v>0.94590741861581984</v>
      </c>
      <c r="BX152" s="553">
        <f>0.5*(1+'Hilfstabellen_Mat&amp;Bem'!$BD$31*($BW152-0.3)+$BW152^2)</f>
        <v>0.97966579322701286</v>
      </c>
      <c r="BY152" s="550">
        <f t="shared" si="147"/>
        <v>0.80996250744384413</v>
      </c>
      <c r="CA152" s="551">
        <f t="shared" si="148"/>
        <v>33707.399709783014</v>
      </c>
      <c r="CE152" s="546">
        <f t="shared" si="149"/>
        <v>204</v>
      </c>
      <c r="CF152" s="551">
        <f t="shared" si="150"/>
        <v>61.131204973019202</v>
      </c>
      <c r="CG152" s="553">
        <f>CF152/PI()*SQRT('Hilfstabellen_Mat&amp;Bem'!f.Rd.3/'Hilfstabellen_Mat&amp;Bem'!$BD$30)</f>
        <v>0.97293334486198602</v>
      </c>
      <c r="CH152" s="553">
        <f>0.5*(1+'Hilfstabellen_Mat&amp;Bem'!$BD$31*(CG152-0.3)+CG152^2)</f>
        <v>1.0069463140152655</v>
      </c>
      <c r="CI152" s="550">
        <f t="shared" si="151"/>
        <v>0.78960944234581298</v>
      </c>
      <c r="CK152" s="551">
        <f t="shared" si="152"/>
        <v>32860.386552663353</v>
      </c>
      <c r="CO152" s="546">
        <f t="shared" si="153"/>
        <v>204</v>
      </c>
      <c r="CP152" s="551">
        <f t="shared" si="154"/>
        <v>62.829294000047504</v>
      </c>
      <c r="CQ152" s="553">
        <f>CP152/PI()*SQRT('Hilfstabellen_Mat&amp;Bem'!f.Rd.3/'Hilfstabellen_Mat&amp;Bem'!$BD$30)</f>
        <v>0.9999592711081523</v>
      </c>
      <c r="CR152" s="553">
        <f>0.5*(1+'Hilfstabellen_Mat&amp;Bem'!$BD$31*(CQ152-0.3)+CQ152^2)</f>
        <v>1.0349572354929812</v>
      </c>
      <c r="CS152" s="550">
        <f t="shared" si="155"/>
        <v>0.76815291916490658</v>
      </c>
      <c r="CU152" s="551">
        <f t="shared" si="156"/>
        <v>31967.451883966751</v>
      </c>
      <c r="CY152" s="546">
        <f t="shared" si="157"/>
        <v>204</v>
      </c>
      <c r="CZ152" s="551">
        <f t="shared" si="158"/>
        <v>64.527383027075828</v>
      </c>
      <c r="DA152" s="553">
        <f>CZ152/PI()*SQRT('Hilfstabellen_Mat&amp;Bem'!f.Rd.3/'Hilfstabellen_Mat&amp;Bem'!$BD$30)</f>
        <v>1.0269851973543187</v>
      </c>
      <c r="DB152" s="553">
        <f>0.5*(1+'Hilfstabellen_Mat&amp;Bem'!$BD$31*(DA152-0.3)+DA152^2)</f>
        <v>1.0636985576601603</v>
      </c>
      <c r="DC152" s="550">
        <f t="shared" si="159"/>
        <v>0.74585268424984763</v>
      </c>
      <c r="DE152" s="551">
        <f t="shared" si="160"/>
        <v>31039.405307741657</v>
      </c>
      <c r="DI152" s="546">
        <f t="shared" si="161"/>
        <v>204</v>
      </c>
      <c r="DJ152" s="551">
        <f t="shared" si="162"/>
        <v>66.225472054104131</v>
      </c>
      <c r="DK152" s="553">
        <f>DJ152/PI()*SQRT('Hilfstabellen_Mat&amp;Bem'!f.Rd.3/'Hilfstabellen_Mat&amp;Bem'!$BD$30)</f>
        <v>1.054011123600485</v>
      </c>
      <c r="DL152" s="553">
        <f>0.5*(1+'Hilfstabellen_Mat&amp;Bem'!$BD$31*(DK152-0.3)+DK152^2)</f>
        <v>1.0931702805168027</v>
      </c>
      <c r="DM152" s="550">
        <f t="shared" si="163"/>
        <v>0.72299317406643071</v>
      </c>
      <c r="DO152" s="551">
        <f t="shared" si="164"/>
        <v>30088.083931948582</v>
      </c>
      <c r="DS152" s="546">
        <f t="shared" si="165"/>
        <v>204</v>
      </c>
      <c r="DT152" s="551">
        <f t="shared" si="166"/>
        <v>67.923561081132448</v>
      </c>
      <c r="DU152" s="553">
        <f>DT152/PI()*SQRT('Hilfstabellen_Mat&amp;Bem'!f.Rd.3/'Hilfstabellen_Mat&amp;Bem'!$BD$30)</f>
        <v>1.0810370498466513</v>
      </c>
      <c r="DV152" s="553">
        <f>0.5*(1+'Hilfstabellen_Mat&amp;Bem'!$BD$31*(DU152-0.3)+DU152^2)</f>
        <v>1.1233724040629083</v>
      </c>
      <c r="DW152" s="550">
        <f t="shared" si="167"/>
        <v>0.69985719854511885</v>
      </c>
      <c r="DY152" s="551">
        <f t="shared" si="168"/>
        <v>29125.257174653667</v>
      </c>
      <c r="EC152" s="546">
        <f t="shared" si="169"/>
        <v>204</v>
      </c>
      <c r="ED152" s="551">
        <f t="shared" si="170"/>
        <v>69.62165010816075</v>
      </c>
      <c r="EE152" s="553">
        <f>ED152/PI()*SQRT('Hilfstabellen_Mat&amp;Bem'!f.Rd.3/'Hilfstabellen_Mat&amp;Bem'!$BD$30)</f>
        <v>1.1080629760928173</v>
      </c>
      <c r="EF152" s="553">
        <f>0.5*(1+'Hilfstabellen_Mat&amp;Bem'!$BD$31*(EE152-0.3)+EE152^2)</f>
        <v>1.1543049282984765</v>
      </c>
      <c r="EG152" s="550">
        <f t="shared" si="171"/>
        <v>0.67670473666694464</v>
      </c>
      <c r="EI152" s="551">
        <f t="shared" si="172"/>
        <v>28161.744321131569</v>
      </c>
      <c r="EM152" s="546">
        <f t="shared" si="173"/>
        <v>204</v>
      </c>
      <c r="EN152" s="551">
        <f t="shared" si="174"/>
        <v>71.319739135189067</v>
      </c>
      <c r="EO152" s="553">
        <f>EN152/PI()*SQRT('Hilfstabellen_Mat&amp;Bem'!f.Rd.3/'Hilfstabellen_Mat&amp;Bem'!$BD$30)</f>
        <v>1.1350889023389836</v>
      </c>
      <c r="EP152" s="553">
        <f>0.5*(1+'Hilfstabellen_Mat&amp;Bem'!$BD$31*(EO152-0.3)+EO152^2)</f>
        <v>1.1859678532235085</v>
      </c>
      <c r="EQ152" s="550">
        <f t="shared" si="175"/>
        <v>0.65375954596307928</v>
      </c>
      <c r="ES152" s="551">
        <f t="shared" si="176"/>
        <v>27206.857264799506</v>
      </c>
    </row>
    <row r="153" spans="3:149">
      <c r="C153" s="546">
        <v>205</v>
      </c>
      <c r="D153" s="551">
        <f t="shared" si="126"/>
        <v>47.314558645783961</v>
      </c>
      <c r="E153" s="553">
        <f>$D153/PI()*SQRT('Hilfstabellen_Mat&amp;Bem'!f.Rd.3/'Hilfstabellen_Mat&amp;Bem'!$BD$30)</f>
        <v>0.75303458886878916</v>
      </c>
      <c r="F153" s="553">
        <f>0.5*(1+'Hilfstabellen_Mat&amp;Bem'!$BD$31*($E153-0.3)+$E153^2)</f>
        <v>0.80618227545983256</v>
      </c>
      <c r="G153" s="550">
        <f t="shared" si="127"/>
        <v>0.91403364001198051</v>
      </c>
      <c r="I153" s="551">
        <f t="shared" si="128"/>
        <v>38412.263721503477</v>
      </c>
      <c r="M153" s="546">
        <f t="shared" si="129"/>
        <v>205</v>
      </c>
      <c r="N153" s="551">
        <f t="shared" si="118"/>
        <v>49.004364311704819</v>
      </c>
      <c r="O153" s="553">
        <f>$N153/PI()*SQRT('Hilfstabellen_Mat&amp;Bem'!f.Rd.3/'Hilfstabellen_Mat&amp;Bem'!$BD$30)</f>
        <v>0.77992868132838877</v>
      </c>
      <c r="P153" s="553">
        <f>0.5*(1+'Hilfstabellen_Mat&amp;Bem'!$BD$31*($O153-0.3)+$O153^2)</f>
        <v>0.8281408080457392</v>
      </c>
      <c r="Q153" s="550">
        <f t="shared" si="119"/>
        <v>0.90368513102288361</v>
      </c>
      <c r="S153" s="551">
        <f t="shared" si="130"/>
        <v>37977.367631236681</v>
      </c>
      <c r="W153" s="546">
        <f t="shared" si="131"/>
        <v>205</v>
      </c>
      <c r="X153" s="551">
        <f t="shared" si="120"/>
        <v>50.694169977625677</v>
      </c>
      <c r="Y153" s="553">
        <f>$X153/PI()*SQRT('Hilfstabellen_Mat&amp;Bem'!f.Rd.3/'Hilfstabellen_Mat&amp;Bem'!$BD$30)</f>
        <v>0.80682277378798839</v>
      </c>
      <c r="Z153" s="553">
        <f>0.5*(1+'Hilfstabellen_Mat&amp;Bem'!$BD$31*($Y153-0.3)+$Y153^2)</f>
        <v>0.85082263284087123</v>
      </c>
      <c r="AA153" s="550">
        <f t="shared" si="121"/>
        <v>0.89214852571383851</v>
      </c>
      <c r="AC153" s="551">
        <f t="shared" si="132"/>
        <v>37492.541793124066</v>
      </c>
      <c r="AG153" s="546">
        <f t="shared" si="133"/>
        <v>205</v>
      </c>
      <c r="AH153" s="551">
        <f t="shared" si="122"/>
        <v>52.383975643546528</v>
      </c>
      <c r="AI153" s="553">
        <f>$AH153/PI()*SQRT('Hilfstabellen_Mat&amp;Bem'!f.Rd.3/'Hilfstabellen_Mat&amp;Bem'!$BD$30)</f>
        <v>0.8337168662475879</v>
      </c>
      <c r="AJ153" s="553">
        <f>0.5*(1+'Hilfstabellen_Mat&amp;Bem'!$BD$31*($AI153-0.3)+$AI153^2)</f>
        <v>0.87422774984522866</v>
      </c>
      <c r="AK153" s="550">
        <f t="shared" si="123"/>
        <v>0.87929996444204184</v>
      </c>
      <c r="AM153" s="551">
        <f t="shared" si="134"/>
        <v>36952.58100567681</v>
      </c>
      <c r="AQ153" s="546">
        <f t="shared" si="135"/>
        <v>205</v>
      </c>
      <c r="AR153" s="551">
        <f t="shared" si="124"/>
        <v>54.073781309467385</v>
      </c>
      <c r="AS153" s="553">
        <f>$AR153/PI()*SQRT('Hilfstabellen_Mat&amp;Bem'!f.Rd.3/'Hilfstabellen_Mat&amp;Bem'!$BD$30)</f>
        <v>0.86061095870718762</v>
      </c>
      <c r="AT153" s="553">
        <f>0.5*(1+'Hilfstabellen_Mat&amp;Bem'!$BD$31*($AS153-0.3)+$AS153^2)</f>
        <v>0.89835615905881172</v>
      </c>
      <c r="AU153" s="550">
        <f t="shared" si="125"/>
        <v>0.86503416171263325</v>
      </c>
      <c r="AW153" s="551">
        <f t="shared" si="136"/>
        <v>36353.060645973412</v>
      </c>
      <c r="BA153" s="546">
        <f t="shared" si="137"/>
        <v>205</v>
      </c>
      <c r="BB153" s="551">
        <f t="shared" si="138"/>
        <v>55.763586975388243</v>
      </c>
      <c r="BC153" s="553">
        <f>$BB153/PI()*SQRT('Hilfstabellen_Mat&amp;Bem'!f.Rd.3/'Hilfstabellen_Mat&amp;Bem'!$BD$30)</f>
        <v>0.88750505116678724</v>
      </c>
      <c r="BD153" s="553">
        <f>0.5*(1+'Hilfstabellen_Mat&amp;Bem'!$BD$31*($BC153-0.3)+$BC153^2)</f>
        <v>0.92320786048162029</v>
      </c>
      <c r="BE153" s="550">
        <f t="shared" si="139"/>
        <v>0.84928094598539972</v>
      </c>
      <c r="BG153" s="551">
        <f t="shared" si="140"/>
        <v>35691.03175503642</v>
      </c>
      <c r="BK153" s="546">
        <f t="shared" si="141"/>
        <v>205</v>
      </c>
      <c r="BL153" s="551">
        <f t="shared" si="142"/>
        <v>57.453392641309101</v>
      </c>
      <c r="BM153" s="553">
        <f>$BL153/PI()*SQRT('Hilfstabellen_Mat&amp;Bem'!f.Rd.3/'Hilfstabellen_Mat&amp;Bem'!$BD$30)</f>
        <v>0.91439914362638697</v>
      </c>
      <c r="BN153" s="553">
        <f>0.5*(1+'Hilfstabellen_Mat&amp;Bem'!$BD$31*($BM153-0.3)+$BM153^2)</f>
        <v>0.94878285411365426</v>
      </c>
      <c r="BO153" s="550">
        <f t="shared" si="143"/>
        <v>0.83202305713881419</v>
      </c>
      <c r="BQ153" s="551">
        <f t="shared" si="144"/>
        <v>34965.768976258667</v>
      </c>
      <c r="BU153" s="546">
        <f t="shared" si="145"/>
        <v>205</v>
      </c>
      <c r="BV153" s="551">
        <f t="shared" si="146"/>
        <v>59.143198307229959</v>
      </c>
      <c r="BW153" s="553">
        <f>$BV153/PI()*SQRT('Hilfstabellen_Mat&amp;Bem'!f.Rd.3/'Hilfstabellen_Mat&amp;Bem'!$BD$30)</f>
        <v>0.94129323608598647</v>
      </c>
      <c r="BX153" s="553">
        <f>0.5*(1+'Hilfstabellen_Mat&amp;Bem'!$BD$31*($BW153-0.3)+$BW153^2)</f>
        <v>0.97508113995491374</v>
      </c>
      <c r="BY153" s="550">
        <f t="shared" si="147"/>
        <v>0.81331104562050727</v>
      </c>
      <c r="CA153" s="551">
        <f t="shared" si="148"/>
        <v>34179.396692201815</v>
      </c>
      <c r="CE153" s="546">
        <f t="shared" si="149"/>
        <v>205</v>
      </c>
      <c r="CF153" s="551">
        <f t="shared" si="150"/>
        <v>60.833003973150817</v>
      </c>
      <c r="CG153" s="553">
        <f>CF153/PI()*SQRT('Hilfstabellen_Mat&amp;Bem'!f.Rd.3/'Hilfstabellen_Mat&amp;Bem'!$BD$30)</f>
        <v>0.9681873285455862</v>
      </c>
      <c r="CH153" s="553">
        <f>0.5*(1+'Hilfstabellen_Mat&amp;Bem'!$BD$31*(CG153-0.3)+CG153^2)</f>
        <v>1.0021027180053987</v>
      </c>
      <c r="CI153" s="550">
        <f t="shared" si="151"/>
        <v>0.79327023353473991</v>
      </c>
      <c r="CK153" s="551">
        <f t="shared" si="152"/>
        <v>33337.181564297447</v>
      </c>
      <c r="CO153" s="546">
        <f t="shared" si="153"/>
        <v>205</v>
      </c>
      <c r="CP153" s="551">
        <f t="shared" si="154"/>
        <v>62.52280963907166</v>
      </c>
      <c r="CQ153" s="553">
        <f>CP153/PI()*SQRT('Hilfstabellen_Mat&amp;Bem'!f.Rd.3/'Hilfstabellen_Mat&amp;Bem'!$BD$30)</f>
        <v>0.99508142100518571</v>
      </c>
      <c r="CR153" s="553">
        <f>0.5*(1+'Hilfstabellen_Mat&amp;Bem'!$BD$31*(CQ153-0.3)+CQ153^2)</f>
        <v>1.0298475882651092</v>
      </c>
      <c r="CS153" s="550">
        <f t="shared" si="155"/>
        <v>0.77209600210650398</v>
      </c>
      <c r="CU153" s="551">
        <f t="shared" si="156"/>
        <v>32447.33448852583</v>
      </c>
      <c r="CY153" s="546">
        <f t="shared" si="157"/>
        <v>205</v>
      </c>
      <c r="CZ153" s="551">
        <f t="shared" si="158"/>
        <v>64.212615304992511</v>
      </c>
      <c r="DA153" s="553">
        <f>CZ153/PI()*SQRT('Hilfstabellen_Mat&amp;Bem'!f.Rd.3/'Hilfstabellen_Mat&amp;Bem'!$BD$30)</f>
        <v>1.0219755134647852</v>
      </c>
      <c r="DB153" s="553">
        <f>0.5*(1+'Hilfstabellen_Mat&amp;Bem'!$BD$31*(DA153-0.3)+DA153^2)</f>
        <v>1.058315750734045</v>
      </c>
      <c r="DC153" s="550">
        <f t="shared" si="159"/>
        <v>0.7500372236591436</v>
      </c>
      <c r="DE153" s="551">
        <f t="shared" si="160"/>
        <v>31520.31432427551</v>
      </c>
      <c r="DI153" s="546">
        <f t="shared" si="161"/>
        <v>205</v>
      </c>
      <c r="DJ153" s="551">
        <f t="shared" si="162"/>
        <v>65.902420970913369</v>
      </c>
      <c r="DK153" s="553">
        <f>DJ153/PI()*SQRT('Hilfstabellen_Mat&amp;Bem'!f.Rd.3/'Hilfstabellen_Mat&amp;Bem'!$BD$30)</f>
        <v>1.0488696059243849</v>
      </c>
      <c r="DL153" s="553">
        <f>0.5*(1+'Hilfstabellen_Mat&amp;Bem'!$BD$31*(DK153-0.3)+DK153^2)</f>
        <v>1.0875072054122066</v>
      </c>
      <c r="DM153" s="550">
        <f t="shared" si="163"/>
        <v>0.72737178609839326</v>
      </c>
      <c r="DO153" s="551">
        <f t="shared" si="164"/>
        <v>30567.799310784976</v>
      </c>
      <c r="DS153" s="546">
        <f t="shared" si="165"/>
        <v>205</v>
      </c>
      <c r="DT153" s="551">
        <f t="shared" si="166"/>
        <v>67.592226636834226</v>
      </c>
      <c r="DU153" s="553">
        <f>DT153/PI()*SQRT('Hilfstabellen_Mat&amp;Bem'!f.Rd.3/'Hilfstabellen_Mat&amp;Bem'!$BD$30)</f>
        <v>1.0757636983839844</v>
      </c>
      <c r="DV153" s="553">
        <f>0.5*(1+'Hilfstabellen_Mat&amp;Bem'!$BD$31*(DU153-0.3)+DU153^2)</f>
        <v>1.1174219522995934</v>
      </c>
      <c r="DW153" s="550">
        <f t="shared" si="167"/>
        <v>0.70438051034207694</v>
      </c>
      <c r="DY153" s="551">
        <f t="shared" si="168"/>
        <v>29601.590947125784</v>
      </c>
      <c r="EC153" s="546">
        <f t="shared" si="169"/>
        <v>205</v>
      </c>
      <c r="ED153" s="551">
        <f t="shared" si="170"/>
        <v>69.282032302755084</v>
      </c>
      <c r="EE153" s="553">
        <f>ED153/PI()*SQRT('Hilfstabellen_Mat&amp;Bem'!f.Rd.3/'Hilfstabellen_Mat&amp;Bem'!$BD$30)</f>
        <v>1.102657790843584</v>
      </c>
      <c r="EF153" s="553">
        <f>0.5*(1+'Hilfstabellen_Mat&amp;Bem'!$BD$31*(EE153-0.3)+EE153^2)</f>
        <v>1.1480599913962055</v>
      </c>
      <c r="EG153" s="550">
        <f t="shared" si="171"/>
        <v>0.68132521956793579</v>
      </c>
      <c r="EI153" s="551">
        <f t="shared" si="172"/>
        <v>28632.692352342503</v>
      </c>
      <c r="EM153" s="546">
        <f t="shared" si="173"/>
        <v>205</v>
      </c>
      <c r="EN153" s="551">
        <f t="shared" si="174"/>
        <v>70.971837968675942</v>
      </c>
      <c r="EO153" s="553">
        <f>EN153/PI()*SQRT('Hilfstabellen_Mat&amp;Bem'!f.Rd.3/'Hilfstabellen_Mat&amp;Bem'!$BD$30)</f>
        <v>1.1295518833031837</v>
      </c>
      <c r="EP153" s="553">
        <f>0.5*(1+'Hilfstabellen_Mat&amp;Bem'!$BD$31*(EO153-0.3)+EO153^2)</f>
        <v>1.1794213227020438</v>
      </c>
      <c r="EQ153" s="550">
        <f t="shared" si="175"/>
        <v>0.6584341390480436</v>
      </c>
      <c r="ES153" s="551">
        <f t="shared" si="176"/>
        <v>27670.694693494032</v>
      </c>
    </row>
    <row r="154" spans="3:149">
      <c r="C154" s="546">
        <v>206</v>
      </c>
      <c r="D154" s="551">
        <f t="shared" si="126"/>
        <v>47.08487632226074</v>
      </c>
      <c r="E154" s="553">
        <f>$D154/PI()*SQRT('Hilfstabellen_Mat&amp;Bem'!f.Rd.3/'Hilfstabellen_Mat&amp;Bem'!$BD$30)</f>
        <v>0.74937908115583385</v>
      </c>
      <c r="F154" s="553">
        <f>0.5*(1+'Hilfstabellen_Mat&amp;Bem'!$BD$31*($E154-0.3)+$E154^2)</f>
        <v>0.80325345769477263</v>
      </c>
      <c r="G154" s="550">
        <f t="shared" si="127"/>
        <v>0.91535563733152547</v>
      </c>
      <c r="I154" s="551">
        <f t="shared" si="128"/>
        <v>38844.031825800615</v>
      </c>
      <c r="M154" s="546">
        <f t="shared" si="129"/>
        <v>206</v>
      </c>
      <c r="N154" s="551">
        <f t="shared" si="118"/>
        <v>48.766479048055764</v>
      </c>
      <c r="O154" s="553">
        <f>$N154/PI()*SQRT('Hilfstabellen_Mat&amp;Bem'!f.Rd.3/'Hilfstabellen_Mat&amp;Bem'!$BD$30)</f>
        <v>0.77614261976854226</v>
      </c>
      <c r="P154" s="553">
        <f>0.5*(1+'Hilfstabellen_Mat&amp;Bem'!$BD$31*($O154-0.3)+$O154^2)</f>
        <v>0.82500581409901508</v>
      </c>
      <c r="Q154" s="550">
        <f t="shared" si="119"/>
        <v>0.9052108485819903</v>
      </c>
      <c r="S154" s="551">
        <f t="shared" si="130"/>
        <v>38413.527570425344</v>
      </c>
      <c r="W154" s="546">
        <f t="shared" si="131"/>
        <v>206</v>
      </c>
      <c r="X154" s="551">
        <f t="shared" si="120"/>
        <v>50.448081773850795</v>
      </c>
      <c r="Y154" s="553">
        <f>$X154/PI()*SQRT('Hilfstabellen_Mat&amp;Bem'!f.Rd.3/'Hilfstabellen_Mat&amp;Bem'!$BD$30)</f>
        <v>0.80290615838125068</v>
      </c>
      <c r="Z154" s="553">
        <f>0.5*(1+'Hilfstabellen_Mat&amp;Bem'!$BD$31*($Y154-0.3)+$Y154^2)</f>
        <v>0.84747445750233164</v>
      </c>
      <c r="AA154" s="550">
        <f t="shared" si="121"/>
        <v>0.89390742373591059</v>
      </c>
      <c r="AC154" s="551">
        <f t="shared" si="132"/>
        <v>37933.855433657103</v>
      </c>
      <c r="AG154" s="546">
        <f t="shared" si="133"/>
        <v>206</v>
      </c>
      <c r="AH154" s="551">
        <f t="shared" si="122"/>
        <v>52.129684499645819</v>
      </c>
      <c r="AI154" s="553">
        <f>$AH154/PI()*SQRT('Hilfstabellen_Mat&amp;Bem'!f.Rd.3/'Hilfstabellen_Mat&amp;Bem'!$BD$30)</f>
        <v>0.82966969699395898</v>
      </c>
      <c r="AJ154" s="553">
        <f>0.5*(1+'Hilfstabellen_Mat&amp;Bem'!$BD$31*($AI154-0.3)+$AI154^2)</f>
        <v>0.87065938790472186</v>
      </c>
      <c r="AK154" s="550">
        <f t="shared" si="123"/>
        <v>0.88132180578293173</v>
      </c>
      <c r="AM154" s="551">
        <f t="shared" si="134"/>
        <v>37399.772150204488</v>
      </c>
      <c r="AQ154" s="546">
        <f t="shared" si="135"/>
        <v>206</v>
      </c>
      <c r="AR154" s="551">
        <f t="shared" si="124"/>
        <v>53.811287225440843</v>
      </c>
      <c r="AS154" s="553">
        <f>$AR154/PI()*SQRT('Hilfstabellen_Mat&amp;Bem'!f.Rd.3/'Hilfstabellen_Mat&amp;Bem'!$BD$30)</f>
        <v>0.85643323560666718</v>
      </c>
      <c r="AT154" s="553">
        <f>0.5*(1+'Hilfstabellen_Mat&amp;Bem'!$BD$31*($AS154-0.3)+$AS154^2)</f>
        <v>0.89456060530618597</v>
      </c>
      <c r="AU154" s="550">
        <f t="shared" si="125"/>
        <v>0.86734654577533954</v>
      </c>
      <c r="AW154" s="551">
        <f t="shared" si="136"/>
        <v>36806.718016522311</v>
      </c>
      <c r="BA154" s="546">
        <f t="shared" si="137"/>
        <v>206</v>
      </c>
      <c r="BB154" s="551">
        <f t="shared" si="138"/>
        <v>55.492889951235867</v>
      </c>
      <c r="BC154" s="553">
        <f>$BB154/PI()*SQRT('Hilfstabellen_Mat&amp;Bem'!f.Rd.3/'Hilfstabellen_Mat&amp;Bem'!$BD$30)</f>
        <v>0.88319677421937559</v>
      </c>
      <c r="BD154" s="553">
        <f>0.5*(1+'Hilfstabellen_Mat&amp;Bem'!$BD$31*($BC154-0.3)+$BC154^2)</f>
        <v>0.9191781097067242</v>
      </c>
      <c r="BE154" s="550">
        <f t="shared" si="139"/>
        <v>0.85190603196695003</v>
      </c>
      <c r="BG154" s="551">
        <f t="shared" si="140"/>
        <v>36151.484372549494</v>
      </c>
      <c r="BK154" s="546">
        <f t="shared" si="141"/>
        <v>206</v>
      </c>
      <c r="BL154" s="551">
        <f t="shared" si="142"/>
        <v>57.174492677030905</v>
      </c>
      <c r="BM154" s="553">
        <f>$BL154/PI()*SQRT('Hilfstabellen_Mat&amp;Bem'!f.Rd.3/'Hilfstabellen_Mat&amp;Bem'!$BD$30)</f>
        <v>0.90996031283208412</v>
      </c>
      <c r="BN154" s="553">
        <f>0.5*(1+'Hilfstabellen_Mat&amp;Bem'!$BD$31*($BM154-0.3)+$BM154^2)</f>
        <v>0.94451190110633632</v>
      </c>
      <c r="BO154" s="550">
        <f t="shared" si="143"/>
        <v>0.83497390114083758</v>
      </c>
      <c r="BQ154" s="551">
        <f t="shared" si="144"/>
        <v>35432.952468812582</v>
      </c>
      <c r="BU154" s="546">
        <f t="shared" si="145"/>
        <v>206</v>
      </c>
      <c r="BV154" s="551">
        <f t="shared" si="146"/>
        <v>58.856095402825929</v>
      </c>
      <c r="BW154" s="553">
        <f>$BV154/PI()*SQRT('Hilfstabellen_Mat&amp;Bem'!f.Rd.3/'Hilfstabellen_Mat&amp;Bem'!$BD$30)</f>
        <v>0.93672385144479231</v>
      </c>
      <c r="BX154" s="553">
        <f>0.5*(1+'Hilfstabellen_Mat&amp;Bem'!$BD$31*($BW154-0.3)+$BW154^2)</f>
        <v>0.97056197950502221</v>
      </c>
      <c r="BY154" s="550">
        <f t="shared" si="147"/>
        <v>0.81658836149220337</v>
      </c>
      <c r="CA154" s="551">
        <f t="shared" si="148"/>
        <v>34652.743708283146</v>
      </c>
      <c r="CE154" s="546">
        <f t="shared" si="149"/>
        <v>206</v>
      </c>
      <c r="CF154" s="551">
        <f t="shared" si="150"/>
        <v>60.537698128620946</v>
      </c>
      <c r="CG154" s="553">
        <f>CF154/PI()*SQRT('Hilfstabellen_Mat&amp;Bem'!f.Rd.3/'Hilfstabellen_Mat&amp;Bem'!$BD$30)</f>
        <v>0.96348739005750061</v>
      </c>
      <c r="CH154" s="553">
        <f>0.5*(1+'Hilfstabellen_Mat&amp;Bem'!$BD$31*(CG154-0.3)+CG154^2)</f>
        <v>0.9973283449027821</v>
      </c>
      <c r="CI154" s="550">
        <f t="shared" si="151"/>
        <v>0.79686056730885368</v>
      </c>
      <c r="CK154" s="551">
        <f t="shared" si="152"/>
        <v>33815.575034318514</v>
      </c>
      <c r="CO154" s="546">
        <f t="shared" si="153"/>
        <v>206</v>
      </c>
      <c r="CP154" s="551">
        <f t="shared" si="154"/>
        <v>62.21930085441597</v>
      </c>
      <c r="CQ154" s="553">
        <f>CP154/PI()*SQRT('Hilfstabellen_Mat&amp;Bem'!f.Rd.3/'Hilfstabellen_Mat&amp;Bem'!$BD$30)</f>
        <v>0.99025092867020881</v>
      </c>
      <c r="CR154" s="553">
        <f>0.5*(1+'Hilfstabellen_Mat&amp;Bem'!$BD$31*(CQ154-0.3)+CQ154^2)</f>
        <v>1.0248109972996158</v>
      </c>
      <c r="CS154" s="550">
        <f t="shared" si="155"/>
        <v>0.77597205580655459</v>
      </c>
      <c r="CU154" s="551">
        <f t="shared" si="156"/>
        <v>32929.150160206947</v>
      </c>
      <c r="CY154" s="546">
        <f t="shared" si="157"/>
        <v>206</v>
      </c>
      <c r="CZ154" s="551">
        <f t="shared" si="158"/>
        <v>63.900903580211008</v>
      </c>
      <c r="DA154" s="553">
        <f>CZ154/PI()*SQRT('Hilfstabellen_Mat&amp;Bem'!f.Rd.3/'Hilfstabellen_Mat&amp;Bem'!$BD$30)</f>
        <v>1.0170144672829176</v>
      </c>
      <c r="DB154" s="553">
        <f>0.5*(1+'Hilfstabellen_Mat&amp;Bem'!$BD$31*(DA154-0.3)+DA154^2)</f>
        <v>1.0530099366955241</v>
      </c>
      <c r="DC154" s="550">
        <f t="shared" si="159"/>
        <v>0.7541603915558428</v>
      </c>
      <c r="DE154" s="551">
        <f t="shared" si="160"/>
        <v>32003.550376063744</v>
      </c>
      <c r="DI154" s="546">
        <f t="shared" si="161"/>
        <v>206</v>
      </c>
      <c r="DJ154" s="551">
        <f t="shared" si="162"/>
        <v>65.582506306006024</v>
      </c>
      <c r="DK154" s="553">
        <f>DJ154/PI()*SQRT('Hilfstabellen_Mat&amp;Bem'!f.Rd.3/'Hilfstabellen_Mat&amp;Bem'!$BD$30)</f>
        <v>1.0437780058956256</v>
      </c>
      <c r="DL154" s="553">
        <f>0.5*(1+'Hilfstabellen_Mat&amp;Bem'!$BD$31*(DK154-0.3)+DK154^2)</f>
        <v>1.0819251630905056</v>
      </c>
      <c r="DM154" s="550">
        <f t="shared" si="163"/>
        <v>0.73169621542087937</v>
      </c>
      <c r="DO154" s="551">
        <f t="shared" si="164"/>
        <v>31050.260597600438</v>
      </c>
      <c r="DS154" s="546">
        <f t="shared" si="165"/>
        <v>206</v>
      </c>
      <c r="DT154" s="551">
        <f t="shared" si="166"/>
        <v>67.264109031801055</v>
      </c>
      <c r="DU154" s="553">
        <f>DT154/PI()*SQRT('Hilfstabellen_Mat&amp;Bem'!f.Rd.3/'Hilfstabellen_Mat&amp;Bem'!$BD$30)</f>
        <v>1.0705415445083342</v>
      </c>
      <c r="DV154" s="553">
        <f>0.5*(1+'Hilfstabellen_Mat&amp;Bem'!$BD$31*(DU154-0.3)+DU154^2)</f>
        <v>1.1115566764845615</v>
      </c>
      <c r="DW154" s="550">
        <f t="shared" si="167"/>
        <v>0.70885759223750955</v>
      </c>
      <c r="DY154" s="551">
        <f t="shared" si="168"/>
        <v>30081.080784190955</v>
      </c>
      <c r="EC154" s="546">
        <f t="shared" si="169"/>
        <v>206</v>
      </c>
      <c r="ED154" s="551">
        <f t="shared" si="170"/>
        <v>68.945711757596086</v>
      </c>
      <c r="EE154" s="553">
        <f>ED154/PI()*SQRT('Hilfstabellen_Mat&amp;Bem'!f.Rd.3/'Hilfstabellen_Mat&amp;Bem'!$BD$30)</f>
        <v>1.0973050831210427</v>
      </c>
      <c r="EF154" s="553">
        <f>0.5*(1+'Hilfstabellen_Mat&amp;Bem'!$BD$31*(EE154-0.3)+EE154^2)</f>
        <v>1.1419044768776914</v>
      </c>
      <c r="EG154" s="550">
        <f t="shared" si="171"/>
        <v>0.68590751719955645</v>
      </c>
      <c r="EI154" s="551">
        <f t="shared" si="172"/>
        <v>29107.171399880379</v>
      </c>
      <c r="EM154" s="546">
        <f t="shared" si="173"/>
        <v>206</v>
      </c>
      <c r="EN154" s="551">
        <f t="shared" si="174"/>
        <v>70.627314483391103</v>
      </c>
      <c r="EO154" s="553">
        <f>EN154/PI()*SQRT('Hilfstabellen_Mat&amp;Bem'!f.Rd.3/'Hilfstabellen_Mat&amp;Bem'!$BD$30)</f>
        <v>1.1240686217337508</v>
      </c>
      <c r="EP154" s="553">
        <f>0.5*(1+'Hilfstabellen_Mat&amp;Bem'!$BD$31*(EO154-0.3)+EO154^2)</f>
        <v>1.1729685642698946</v>
      </c>
      <c r="EQ154" s="550">
        <f t="shared" si="175"/>
        <v>0.66307819160745929</v>
      </c>
      <c r="ES154" s="551">
        <f t="shared" si="176"/>
        <v>28138.386139054142</v>
      </c>
    </row>
    <row r="155" spans="3:149">
      <c r="C155" s="546">
        <v>207</v>
      </c>
      <c r="D155" s="551">
        <f t="shared" si="126"/>
        <v>46.857413151621799</v>
      </c>
      <c r="E155" s="553">
        <f>$D155/PI()*SQRT('Hilfstabellen_Mat&amp;Bem'!f.Rd.3/'Hilfstabellen_Mat&amp;Bem'!$BD$30)</f>
        <v>0.74575889235797965</v>
      </c>
      <c r="F155" s="553">
        <f>0.5*(1+'Hilfstabellen_Mat&amp;Bem'!$BD$31*($E155-0.3)+$E155^2)</f>
        <v>0.80036610738339931</v>
      </c>
      <c r="G155" s="550">
        <f t="shared" si="127"/>
        <v>0.91664590995115325</v>
      </c>
      <c r="I155" s="551">
        <f t="shared" si="128"/>
        <v>39277.360595496968</v>
      </c>
      <c r="M155" s="546">
        <f t="shared" si="129"/>
        <v>207</v>
      </c>
      <c r="N155" s="551">
        <f t="shared" si="118"/>
        <v>48.530892192751146</v>
      </c>
      <c r="O155" s="553">
        <f>$N155/PI()*SQRT('Hilfstabellen_Mat&amp;Bem'!f.Rd.3/'Hilfstabellen_Mat&amp;Bem'!$BD$30)</f>
        <v>0.77239313851362168</v>
      </c>
      <c r="P155" s="553">
        <f>0.5*(1+'Hilfstabellen_Mat&amp;Bem'!$BD$31*($O155-0.3)+$O155^2)</f>
        <v>0.82191523713714254</v>
      </c>
      <c r="Q155" s="550">
        <f t="shared" si="119"/>
        <v>0.90669896665789074</v>
      </c>
      <c r="S155" s="551">
        <f t="shared" si="130"/>
        <v>38851.144022323962</v>
      </c>
      <c r="W155" s="546">
        <f t="shared" si="131"/>
        <v>207</v>
      </c>
      <c r="X155" s="551">
        <f t="shared" si="120"/>
        <v>50.204371233880501</v>
      </c>
      <c r="Y155" s="553">
        <f>$X155/PI()*SQRT('Hilfstabellen_Mat&amp;Bem'!f.Rd.3/'Hilfstabellen_Mat&amp;Bem'!$BD$30)</f>
        <v>0.79902738466926393</v>
      </c>
      <c r="Z155" s="553">
        <f>0.5*(1+'Hilfstabellen_Mat&amp;Bem'!$BD$31*($Y155-0.3)+$Y155^2)</f>
        <v>0.84417374995916505</v>
      </c>
      <c r="AA155" s="550">
        <f t="shared" si="121"/>
        <v>0.89562223699936638</v>
      </c>
      <c r="AC155" s="551">
        <f t="shared" si="132"/>
        <v>38376.517233185848</v>
      </c>
      <c r="AG155" s="546">
        <f t="shared" si="133"/>
        <v>207</v>
      </c>
      <c r="AH155" s="551">
        <f t="shared" si="122"/>
        <v>51.877850275009848</v>
      </c>
      <c r="AI155" s="553">
        <f>$AH155/PI()*SQRT('Hilfstabellen_Mat&amp;Bem'!f.Rd.3/'Hilfstabellen_Mat&amp;Bem'!$BD$30)</f>
        <v>0.82566163082490596</v>
      </c>
      <c r="AJ155" s="553">
        <f>0.5*(1+'Hilfstabellen_Mat&amp;Bem'!$BD$31*($AI155-0.3)+$AI155^2)</f>
        <v>0.86714164584946696</v>
      </c>
      <c r="AK155" s="550">
        <f t="shared" si="123"/>
        <v>0.88329273506413131</v>
      </c>
      <c r="AM155" s="551">
        <f t="shared" si="134"/>
        <v>37848.210404762962</v>
      </c>
      <c r="AQ155" s="546">
        <f t="shared" si="135"/>
        <v>207</v>
      </c>
      <c r="AR155" s="551">
        <f t="shared" si="124"/>
        <v>53.551329316139196</v>
      </c>
      <c r="AS155" s="553">
        <f>$AR155/PI()*SQRT('Hilfstabellen_Mat&amp;Bem'!f.Rd.3/'Hilfstabellen_Mat&amp;Bem'!$BD$30)</f>
        <v>0.85229587698054809</v>
      </c>
      <c r="AT155" s="553">
        <f>0.5*(1+'Hilfstabellen_Mat&amp;Bem'!$BD$31*($AS155-0.3)+$AS155^2)</f>
        <v>0.89081892480804825</v>
      </c>
      <c r="AU155" s="550">
        <f t="shared" si="125"/>
        <v>0.86960130337023778</v>
      </c>
      <c r="AW155" s="551">
        <f t="shared" si="136"/>
        <v>37261.546248111321</v>
      </c>
      <c r="BA155" s="546">
        <f t="shared" si="137"/>
        <v>207</v>
      </c>
      <c r="BB155" s="551">
        <f t="shared" si="138"/>
        <v>55.22480835726855</v>
      </c>
      <c r="BC155" s="553">
        <f>$BB155/PI()*SQRT('Hilfstabellen_Mat&amp;Bem'!f.Rd.3/'Hilfstabellen_Mat&amp;Bem'!$BD$30)</f>
        <v>0.87893012313619023</v>
      </c>
      <c r="BD155" s="553">
        <f>0.5*(1+'Hilfstabellen_Mat&amp;Bem'!$BD$31*($BC155-0.3)+$BC155^2)</f>
        <v>0.91520558683490871</v>
      </c>
      <c r="BE155" s="550">
        <f t="shared" si="139"/>
        <v>0.85446752488158328</v>
      </c>
      <c r="BG155" s="551">
        <f t="shared" si="140"/>
        <v>36613.078973650961</v>
      </c>
      <c r="BK155" s="546">
        <f t="shared" si="141"/>
        <v>207</v>
      </c>
      <c r="BL155" s="551">
        <f t="shared" si="142"/>
        <v>56.898287398397891</v>
      </c>
      <c r="BM155" s="553">
        <f>$BL155/PI()*SQRT('Hilfstabellen_Mat&amp;Bem'!f.Rd.3/'Hilfstabellen_Mat&amp;Bem'!$BD$30)</f>
        <v>0.90556436929183226</v>
      </c>
      <c r="BN155" s="553">
        <f>0.5*(1+'Hilfstabellen_Mat&amp;Bem'!$BD$31*($BM155-0.3)+$BM155^2)</f>
        <v>0.94030163193004856</v>
      </c>
      <c r="BO155" s="550">
        <f t="shared" si="143"/>
        <v>0.83785666998919384</v>
      </c>
      <c r="BQ155" s="551">
        <f t="shared" si="144"/>
        <v>35901.32045236697</v>
      </c>
      <c r="BU155" s="546">
        <f t="shared" si="145"/>
        <v>207</v>
      </c>
      <c r="BV155" s="551">
        <f t="shared" si="146"/>
        <v>58.571766439527252</v>
      </c>
      <c r="BW155" s="553">
        <f>$BV155/PI()*SQRT('Hilfstabellen_Mat&amp;Bem'!f.Rd.3/'Hilfstabellen_Mat&amp;Bem'!$BD$30)</f>
        <v>0.93219861544747451</v>
      </c>
      <c r="BX155" s="553">
        <f>0.5*(1+'Hilfstabellen_Mat&amp;Bem'!$BD$31*($BW155-0.3)+$BW155^2)</f>
        <v>0.96610706009346803</v>
      </c>
      <c r="BY155" s="550">
        <f t="shared" si="147"/>
        <v>0.8197952867490611</v>
      </c>
      <c r="CA155" s="551">
        <f t="shared" si="148"/>
        <v>35127.408241910518</v>
      </c>
      <c r="CE155" s="546">
        <f t="shared" si="149"/>
        <v>207</v>
      </c>
      <c r="CF155" s="551">
        <f t="shared" si="150"/>
        <v>60.245245480656592</v>
      </c>
      <c r="CG155" s="553">
        <f>CF155/PI()*SQRT('Hilfstabellen_Mat&amp;Bem'!f.Rd.3/'Hilfstabellen_Mat&amp;Bem'!$BD$30)</f>
        <v>0.95883286160311654</v>
      </c>
      <c r="CH155" s="553">
        <f>0.5*(1+'Hilfstabellen_Mat&amp;Bem'!$BD$31*(CG155-0.3)+CG155^2)</f>
        <v>0.99262187132516644</v>
      </c>
      <c r="CI155" s="550">
        <f t="shared" si="151"/>
        <v>0.80038079702139198</v>
      </c>
      <c r="CK155" s="551">
        <f t="shared" si="152"/>
        <v>34295.516771569623</v>
      </c>
      <c r="CO155" s="546">
        <f t="shared" si="153"/>
        <v>207</v>
      </c>
      <c r="CP155" s="551">
        <f t="shared" si="154"/>
        <v>61.918724521785954</v>
      </c>
      <c r="CQ155" s="553">
        <f>CP155/PI()*SQRT('Hilfstabellen_Mat&amp;Bem'!f.Rd.3/'Hilfstabellen_Mat&amp;Bem'!$BD$30)</f>
        <v>0.98546710775875879</v>
      </c>
      <c r="CR155" s="553">
        <f>0.5*(1+'Hilfstabellen_Mat&amp;Bem'!$BD$31*(CQ155-0.3)+CQ155^2)</f>
        <v>1.0198460656251445</v>
      </c>
      <c r="CS155" s="550">
        <f t="shared" si="155"/>
        <v>0.77978093996505193</v>
      </c>
      <c r="CU155" s="551">
        <f t="shared" si="156"/>
        <v>33412.833496562511</v>
      </c>
      <c r="CY155" s="546">
        <f t="shared" si="157"/>
        <v>207</v>
      </c>
      <c r="CZ155" s="551">
        <f t="shared" si="158"/>
        <v>63.592203562915294</v>
      </c>
      <c r="DA155" s="553">
        <f>CZ155/PI()*SQRT('Hilfstabellen_Mat&amp;Bem'!f.Rd.3/'Hilfstabellen_Mat&amp;Bem'!$BD$30)</f>
        <v>1.0121013539144008</v>
      </c>
      <c r="DB155" s="553">
        <f>0.5*(1+'Hilfstabellen_Mat&amp;Bem'!$BD$31*(DA155-0.3)+DA155^2)</f>
        <v>1.0477796429934016</v>
      </c>
      <c r="DC155" s="550">
        <f t="shared" si="159"/>
        <v>0.75822161206062111</v>
      </c>
      <c r="DE155" s="551">
        <f t="shared" si="160"/>
        <v>32489.037855185554</v>
      </c>
      <c r="DI155" s="546">
        <f t="shared" si="161"/>
        <v>207</v>
      </c>
      <c r="DJ155" s="551">
        <f t="shared" si="162"/>
        <v>65.265682604044642</v>
      </c>
      <c r="DK155" s="553">
        <f>DJ155/PI()*SQRT('Hilfstabellen_Mat&amp;Bem'!f.Rd.3/'Hilfstabellen_Mat&amp;Bem'!$BD$30)</f>
        <v>1.038735600070043</v>
      </c>
      <c r="DL155" s="553">
        <f>0.5*(1+'Hilfstabellen_Mat&amp;Bem'!$BD$31*(DK155-0.3)+DK155^2)</f>
        <v>1.0764226034299382</v>
      </c>
      <c r="DM155" s="550">
        <f t="shared" si="163"/>
        <v>0.73596555828593557</v>
      </c>
      <c r="DO155" s="551">
        <f t="shared" si="164"/>
        <v>31535.388206994052</v>
      </c>
      <c r="DS155" s="546">
        <f t="shared" si="165"/>
        <v>207</v>
      </c>
      <c r="DT155" s="551">
        <f t="shared" si="166"/>
        <v>66.939161645173996</v>
      </c>
      <c r="DU155" s="553">
        <f>DT155/PI()*SQRT('Hilfstabellen_Mat&amp;Bem'!f.Rd.3/'Hilfstabellen_Mat&amp;Bem'!$BD$30)</f>
        <v>1.0653698462256851</v>
      </c>
      <c r="DV155" s="553">
        <f>0.5*(1+'Hilfstabellen_Mat&amp;Bem'!$BD$31*(DU155-0.3)+DU155^2)</f>
        <v>1.1057749469347542</v>
      </c>
      <c r="DW155" s="550">
        <f t="shared" si="167"/>
        <v>0.71328733704565228</v>
      </c>
      <c r="DY155" s="551">
        <f t="shared" si="168"/>
        <v>30563.649105069155</v>
      </c>
      <c r="EC155" s="546">
        <f t="shared" si="169"/>
        <v>207</v>
      </c>
      <c r="ED155" s="551">
        <f t="shared" si="170"/>
        <v>68.612640686303351</v>
      </c>
      <c r="EE155" s="553">
        <f>ED155/PI()*SQRT('Hilfstabellen_Mat&amp;Bem'!f.Rd.3/'Hilfstabellen_Mat&amp;Bem'!$BD$30)</f>
        <v>1.0920040923813275</v>
      </c>
      <c r="EF155" s="553">
        <f>0.5*(1+'Hilfstabellen_Mat&amp;Bem'!$BD$31*(EE155-0.3)+EE155^2)</f>
        <v>1.1358366735078498</v>
      </c>
      <c r="EG155" s="550">
        <f t="shared" si="171"/>
        <v>0.69045043264749606</v>
      </c>
      <c r="EI155" s="551">
        <f t="shared" si="172"/>
        <v>29585.110588512558</v>
      </c>
      <c r="EM155" s="546">
        <f t="shared" si="173"/>
        <v>207</v>
      </c>
      <c r="EN155" s="551">
        <f t="shared" si="174"/>
        <v>70.286119727432705</v>
      </c>
      <c r="EO155" s="553">
        <f>EN155/PI()*SQRT('Hilfstabellen_Mat&amp;Bem'!f.Rd.3/'Hilfstabellen_Mat&amp;Bem'!$BD$30)</f>
        <v>1.1186383385369696</v>
      </c>
      <c r="EP155" s="553">
        <f>0.5*(1+'Hilfstabellen_Mat&amp;Bem'!$BD$31*(EO155-0.3)+EO155^2)</f>
        <v>1.1666077831492245</v>
      </c>
      <c r="EQ155" s="550">
        <f t="shared" si="175"/>
        <v>0.66769050502213045</v>
      </c>
      <c r="ES155" s="551">
        <f t="shared" si="176"/>
        <v>28609.87044969327</v>
      </c>
    </row>
    <row r="156" spans="3:149">
      <c r="C156" s="546">
        <v>208</v>
      </c>
      <c r="D156" s="551">
        <f t="shared" si="126"/>
        <v>46.632137126854388</v>
      </c>
      <c r="E156" s="553">
        <f>$D156/PI()*SQRT('Hilfstabellen_Mat&amp;Bem'!f.Rd.3/'Hilfstabellen_Mat&amp;Bem'!$BD$30)</f>
        <v>0.742173513067797</v>
      </c>
      <c r="F156" s="553">
        <f>0.5*(1+'Hilfstabellen_Mat&amp;Bem'!$BD$31*($E156-0.3)+$E156^2)</f>
        <v>0.79751943740308751</v>
      </c>
      <c r="G156" s="550">
        <f t="shared" si="127"/>
        <v>0.91790549649576936</v>
      </c>
      <c r="I156" s="551">
        <f t="shared" si="128"/>
        <v>39712.263400392963</v>
      </c>
      <c r="M156" s="546">
        <f t="shared" si="129"/>
        <v>208</v>
      </c>
      <c r="N156" s="551">
        <f t="shared" si="118"/>
        <v>48.297570595670614</v>
      </c>
      <c r="O156" s="553">
        <f>$N156/PI()*SQRT('Hilfstabellen_Mat&amp;Bem'!f.Rd.3/'Hilfstabellen_Mat&amp;Bem'!$BD$30)</f>
        <v>0.76867970996307555</v>
      </c>
      <c r="P156" s="553">
        <f>0.5*(1+'Hilfstabellen_Mat&amp;Bem'!$BD$31*($O156-0.3)+$O156^2)</f>
        <v>0.81886823375261275</v>
      </c>
      <c r="Q156" s="550">
        <f t="shared" si="119"/>
        <v>0.90815070324994096</v>
      </c>
      <c r="S156" s="551">
        <f t="shared" si="130"/>
        <v>39290.232025405443</v>
      </c>
      <c r="W156" s="546">
        <f t="shared" si="131"/>
        <v>208</v>
      </c>
      <c r="X156" s="551">
        <f t="shared" si="120"/>
        <v>49.963004064486846</v>
      </c>
      <c r="Y156" s="553">
        <f>$X156/PI()*SQRT('Hilfstabellen_Mat&amp;Bem'!f.Rd.3/'Hilfstabellen_Mat&amp;Bem'!$BD$30)</f>
        <v>0.795185906858354</v>
      </c>
      <c r="Z156" s="553">
        <f>0.5*(1+'Hilfstabellen_Mat&amp;Bem'!$BD$31*($Y156-0.3)+$Y156^2)</f>
        <v>0.84091960857598913</v>
      </c>
      <c r="AA156" s="550">
        <f t="shared" si="121"/>
        <v>0.89729435048062189</v>
      </c>
      <c r="AC156" s="551">
        <f t="shared" si="132"/>
        <v>38820.542779193624</v>
      </c>
      <c r="AG156" s="546">
        <f t="shared" si="133"/>
        <v>208</v>
      </c>
      <c r="AH156" s="551">
        <f t="shared" si="122"/>
        <v>51.628437533303071</v>
      </c>
      <c r="AI156" s="553">
        <f>$AH156/PI()*SQRT('Hilfstabellen_Mat&amp;Bem'!f.Rd.3/'Hilfstabellen_Mat&amp;Bem'!$BD$30)</f>
        <v>0.82169210375363244</v>
      </c>
      <c r="AJ156" s="553">
        <f>0.5*(1+'Hilfstabellen_Mat&amp;Bem'!$BD$31*($AI156-0.3)+$AI156^2)</f>
        <v>0.86367356187321676</v>
      </c>
      <c r="AK156" s="550">
        <f t="shared" si="123"/>
        <v>0.88521426167720008</v>
      </c>
      <c r="AM156" s="551">
        <f t="shared" si="134"/>
        <v>38297.909817202381</v>
      </c>
      <c r="AQ156" s="546">
        <f t="shared" si="135"/>
        <v>208</v>
      </c>
      <c r="AR156" s="551">
        <f t="shared" si="124"/>
        <v>53.293871002119303</v>
      </c>
      <c r="AS156" s="553">
        <f>$AR156/PI()*SQRT('Hilfstabellen_Mat&amp;Bem'!f.Rd.3/'Hilfstabellen_Mat&amp;Bem'!$BD$30)</f>
        <v>0.848198300648911</v>
      </c>
      <c r="AT156" s="553">
        <f>0.5*(1+'Hilfstabellen_Mat&amp;Bem'!$BD$31*($AS156-0.3)+$AS156^2)</f>
        <v>0.88713009364429585</v>
      </c>
      <c r="AU156" s="550">
        <f t="shared" si="125"/>
        <v>0.871799987092294</v>
      </c>
      <c r="AW156" s="551">
        <f t="shared" si="136"/>
        <v>37717.554641561008</v>
      </c>
      <c r="BA156" s="546">
        <f t="shared" si="137"/>
        <v>208</v>
      </c>
      <c r="BB156" s="551">
        <f t="shared" si="138"/>
        <v>54.959304470935528</v>
      </c>
      <c r="BC156" s="553">
        <f>$BB156/PI()*SQRT('Hilfstabellen_Mat&amp;Bem'!f.Rd.3/'Hilfstabellen_Mat&amp;Bem'!$BD$30)</f>
        <v>0.87470449754418933</v>
      </c>
      <c r="BD156" s="553">
        <f>0.5*(1+'Hilfstabellen_Mat&amp;Bem'!$BD$31*($BC156-0.3)+$BC156^2)</f>
        <v>0.91128920388922585</v>
      </c>
      <c r="BE156" s="550">
        <f t="shared" si="139"/>
        <v>0.85696690039980017</v>
      </c>
      <c r="BG156" s="551">
        <f t="shared" si="140"/>
        <v>37075.815978896957</v>
      </c>
      <c r="BK156" s="546">
        <f t="shared" si="141"/>
        <v>208</v>
      </c>
      <c r="BL156" s="551">
        <f t="shared" si="142"/>
        <v>56.624737939751753</v>
      </c>
      <c r="BM156" s="553">
        <f>$BL156/PI()*SQRT('Hilfstabellen_Mat&amp;Bem'!f.Rd.3/'Hilfstabellen_Mat&amp;Bem'!$BD$30)</f>
        <v>0.90121069443946777</v>
      </c>
      <c r="BN156" s="553">
        <f>0.5*(1+'Hilfstabellen_Mat&amp;Bem'!$BD$31*($BM156-0.3)+$BM156^2)</f>
        <v>0.93615089260800721</v>
      </c>
      <c r="BO156" s="550">
        <f t="shared" si="143"/>
        <v>0.84067261761963585</v>
      </c>
      <c r="BQ156" s="551">
        <f t="shared" si="144"/>
        <v>36370.860128695924</v>
      </c>
      <c r="BU156" s="546">
        <f t="shared" si="145"/>
        <v>208</v>
      </c>
      <c r="BV156" s="551">
        <f t="shared" si="146"/>
        <v>58.290171408567979</v>
      </c>
      <c r="BW156" s="553">
        <f>$BV156/PI()*SQRT('Hilfstabellen_Mat&amp;Bem'!f.Rd.3/'Hilfstabellen_Mat&amp;Bem'!$BD$30)</f>
        <v>0.92771689133474622</v>
      </c>
      <c r="BX156" s="553">
        <f>0.5*(1+'Hilfstabellen_Mat&amp;Bem'!$BD$31*($BW156-0.3)+$BW156^2)</f>
        <v>0.96171515980063993</v>
      </c>
      <c r="BY156" s="550">
        <f t="shared" si="147"/>
        <v>0.82293271399607582</v>
      </c>
      <c r="CA156" s="551">
        <f t="shared" si="148"/>
        <v>35603.360938326223</v>
      </c>
      <c r="CE156" s="546">
        <f t="shared" si="149"/>
        <v>208</v>
      </c>
      <c r="CF156" s="551">
        <f t="shared" si="150"/>
        <v>59.955604877384204</v>
      </c>
      <c r="CG156" s="553">
        <f>CF156/PI()*SQRT('Hilfstabellen_Mat&amp;Bem'!f.Rd.3/'Hilfstabellen_Mat&amp;Bem'!$BD$30)</f>
        <v>0.95422308823002455</v>
      </c>
      <c r="CH156" s="553">
        <f>0.5*(1+'Hilfstabellen_Mat&amp;Bem'!$BD$31*(CG156-0.3)+CG156^2)</f>
        <v>0.98798200546712378</v>
      </c>
      <c r="CI156" s="550">
        <f t="shared" si="151"/>
        <v>0.80383135639276937</v>
      </c>
      <c r="CK156" s="551">
        <f t="shared" si="152"/>
        <v>34776.959802976773</v>
      </c>
      <c r="CO156" s="546">
        <f t="shared" si="153"/>
        <v>208</v>
      </c>
      <c r="CP156" s="551">
        <f t="shared" si="154"/>
        <v>61.621038346200443</v>
      </c>
      <c r="CQ156" s="553">
        <f>CP156/PI()*SQRT('Hilfstabellen_Mat&amp;Bem'!f.Rd.3/'Hilfstabellen_Mat&amp;Bem'!$BD$30)</f>
        <v>0.98072928512530333</v>
      </c>
      <c r="CR156" s="553">
        <f>0.5*(1+'Hilfstabellen_Mat&amp;Bem'!$BD$31*(CQ156-0.3)+CQ156^2)</f>
        <v>1.0149514296074593</v>
      </c>
      <c r="CS156" s="550">
        <f t="shared" si="155"/>
        <v>0.78352260116116534</v>
      </c>
      <c r="CU156" s="551">
        <f t="shared" si="156"/>
        <v>33898.321816636657</v>
      </c>
      <c r="CY156" s="546">
        <f t="shared" si="157"/>
        <v>208</v>
      </c>
      <c r="CZ156" s="551">
        <f t="shared" si="158"/>
        <v>63.286471815016668</v>
      </c>
      <c r="DA156" s="553">
        <f>CZ156/PI()*SQRT('Hilfstabellen_Mat&amp;Bem'!f.Rd.3/'Hilfstabellen_Mat&amp;Bem'!$BD$30)</f>
        <v>1.0072354820205818</v>
      </c>
      <c r="DB156" s="553">
        <f>0.5*(1+'Hilfstabellen_Mat&amp;Bem'!$BD$31*(DA156-0.3)+DA156^2)</f>
        <v>1.0426234322216459</v>
      </c>
      <c r="DC156" s="550">
        <f t="shared" si="159"/>
        <v>0.76222038966594252</v>
      </c>
      <c r="DE156" s="551">
        <f t="shared" si="160"/>
        <v>32976.70293850734</v>
      </c>
      <c r="DI156" s="546">
        <f t="shared" si="161"/>
        <v>208</v>
      </c>
      <c r="DJ156" s="551">
        <f t="shared" si="162"/>
        <v>64.9519052838329</v>
      </c>
      <c r="DK156" s="553">
        <f>DJ156/PI()*SQRT('Hilfstabellen_Mat&amp;Bem'!f.Rd.3/'Hilfstabellen_Mat&amp;Bem'!$BD$30)</f>
        <v>1.0337416789158602</v>
      </c>
      <c r="DL156" s="553">
        <f>0.5*(1+'Hilfstabellen_Mat&amp;Bem'!$BD$31*(DK156-0.3)+DK156^2)</f>
        <v>1.0709980133096837</v>
      </c>
      <c r="DM156" s="550">
        <f t="shared" si="163"/>
        <v>0.74017897570723978</v>
      </c>
      <c r="DO156" s="551">
        <f t="shared" si="164"/>
        <v>32023.10320499802</v>
      </c>
      <c r="DS156" s="546">
        <f t="shared" si="165"/>
        <v>208</v>
      </c>
      <c r="DT156" s="551">
        <f t="shared" si="166"/>
        <v>66.617338752649118</v>
      </c>
      <c r="DU156" s="553">
        <f>DT156/PI()*SQRT('Hilfstabellen_Mat&amp;Bem'!f.Rd.3/'Hilfstabellen_Mat&amp;Bem'!$BD$30)</f>
        <v>1.0602478758111384</v>
      </c>
      <c r="DV156" s="553">
        <f>0.5*(1+'Hilfstabellen_Mat&amp;Bem'!$BD$31*(DU156-0.3)+DU156^2)</f>
        <v>1.1000751728715725</v>
      </c>
      <c r="DW156" s="550">
        <f t="shared" si="167"/>
        <v>0.71766868305375253</v>
      </c>
      <c r="DY156" s="551">
        <f t="shared" si="168"/>
        <v>31049.217903637549</v>
      </c>
      <c r="EC156" s="546">
        <f t="shared" si="169"/>
        <v>208</v>
      </c>
      <c r="ED156" s="551">
        <f t="shared" si="170"/>
        <v>68.282772221465351</v>
      </c>
      <c r="EE156" s="553">
        <f>ED156/PI()*SQRT('Hilfstabellen_Mat&amp;Bem'!f.Rd.3/'Hilfstabellen_Mat&amp;Bem'!$BD$30)</f>
        <v>1.0867540727064171</v>
      </c>
      <c r="EF156" s="553">
        <f>0.5*(1+'Hilfstabellen_Mat&amp;Bem'!$BD$31*(EE156-0.3)+EE156^2)</f>
        <v>1.129854910907313</v>
      </c>
      <c r="EG156" s="550">
        <f t="shared" si="171"/>
        <v>0.69495279604133542</v>
      </c>
      <c r="EI156" s="551">
        <f t="shared" si="172"/>
        <v>30066.437767932337</v>
      </c>
      <c r="EM156" s="546">
        <f t="shared" si="173"/>
        <v>208</v>
      </c>
      <c r="EN156" s="551">
        <f t="shared" si="174"/>
        <v>69.948205690281583</v>
      </c>
      <c r="EO156" s="553">
        <f>EN156/PI()*SQRT('Hilfstabellen_Mat&amp;Bem'!f.Rd.3/'Hilfstabellen_Mat&amp;Bem'!$BD$30)</f>
        <v>1.1132602696016956</v>
      </c>
      <c r="EP156" s="553">
        <f>0.5*(1+'Hilfstabellen_Mat&amp;Bem'!$BD$31*(EO156-0.3)+EO156^2)</f>
        <v>1.1603372274169046</v>
      </c>
      <c r="EQ156" s="550">
        <f t="shared" si="175"/>
        <v>0.67226989272509641</v>
      </c>
      <c r="ES156" s="551">
        <f t="shared" si="176"/>
        <v>29085.084638858571</v>
      </c>
    </row>
    <row r="157" spans="3:149">
      <c r="C157" s="546">
        <v>209</v>
      </c>
      <c r="D157" s="551">
        <f t="shared" si="126"/>
        <v>46.409016853520157</v>
      </c>
      <c r="E157" s="553">
        <f>$D157/PI()*SQRT('Hilfstabellen_Mat&amp;Bem'!f.Rd.3/'Hilfstabellen_Mat&amp;Bem'!$BD$30)</f>
        <v>0.73862244362728124</v>
      </c>
      <c r="F157" s="553">
        <f>0.5*(1+'Hilfstabellen_Mat&amp;Bem'!$BD$31*($E157-0.3)+$E157^2)</f>
        <v>0.79471267929633216</v>
      </c>
      <c r="G157" s="550">
        <f t="shared" si="127"/>
        <v>0.91913539702040203</v>
      </c>
      <c r="I157" s="551">
        <f t="shared" si="128"/>
        <v>40148.753277248179</v>
      </c>
      <c r="M157" s="546">
        <f t="shared" si="129"/>
        <v>209</v>
      </c>
      <c r="N157" s="551">
        <f t="shared" si="118"/>
        <v>48.066481741145871</v>
      </c>
      <c r="O157" s="553">
        <f>$N157/PI()*SQRT('Hilfstabellen_Mat&amp;Bem'!f.Rd.3/'Hilfstabellen_Mat&amp;Bem'!$BD$30)</f>
        <v>0.76500181661396982</v>
      </c>
      <c r="P157" s="553">
        <f>0.5*(1+'Hilfstabellen_Mat&amp;Bem'!$BD$31*($O157-0.3)+$O157^2)</f>
        <v>0.81586398054203546</v>
      </c>
      <c r="Q157" s="550">
        <f t="shared" si="119"/>
        <v>0.90956723430748943</v>
      </c>
      <c r="S157" s="551">
        <f t="shared" si="130"/>
        <v>39730.806361785442</v>
      </c>
      <c r="W157" s="546">
        <f t="shared" si="131"/>
        <v>209</v>
      </c>
      <c r="X157" s="551">
        <f t="shared" si="120"/>
        <v>49.723946628771593</v>
      </c>
      <c r="Y157" s="553">
        <f>$X157/PI()*SQRT('Hilfstabellen_Mat&amp;Bem'!f.Rd.3/'Hilfstabellen_Mat&amp;Bem'!$BD$30)</f>
        <v>0.79138118960065851</v>
      </c>
      <c r="Z157" s="553">
        <f>0.5*(1+'Hilfstabellen_Mat&amp;Bem'!$BD$31*($Y157-0.3)+$Y157^2)</f>
        <v>0.83771115310690969</v>
      </c>
      <c r="AA157" s="550">
        <f t="shared" si="121"/>
        <v>0.89892510721419105</v>
      </c>
      <c r="AC157" s="551">
        <f t="shared" si="132"/>
        <v>39265.947608223083</v>
      </c>
      <c r="AG157" s="546">
        <f t="shared" si="133"/>
        <v>209</v>
      </c>
      <c r="AH157" s="551">
        <f t="shared" si="122"/>
        <v>51.381411516397314</v>
      </c>
      <c r="AI157" s="553">
        <f>$AH157/PI()*SQRT('Hilfstabellen_Mat&amp;Bem'!f.Rd.3/'Hilfstabellen_Mat&amp;Bem'!$BD$30)</f>
        <v>0.81776056258734708</v>
      </c>
      <c r="AJ157" s="553">
        <f>0.5*(1+'Hilfstabellen_Mat&amp;Bem'!$BD$31*($AI157-0.3)+$AI157^2)</f>
        <v>0.86025419699095462</v>
      </c>
      <c r="AK157" s="550">
        <f t="shared" si="123"/>
        <v>0.88708785907728938</v>
      </c>
      <c r="AM157" s="551">
        <f t="shared" si="134"/>
        <v>38748.884772355079</v>
      </c>
      <c r="AQ157" s="546">
        <f t="shared" si="135"/>
        <v>209</v>
      </c>
      <c r="AR157" s="551">
        <f t="shared" si="124"/>
        <v>53.038876404023036</v>
      </c>
      <c r="AS157" s="553">
        <f>$AR157/PI()*SQRT('Hilfstabellen_Mat&amp;Bem'!f.Rd.3/'Hilfstabellen_Mat&amp;Bem'!$BD$30)</f>
        <v>0.84413993557403577</v>
      </c>
      <c r="AT157" s="553">
        <f>0.5*(1+'Hilfstabellen_Mat&amp;Bem'!$BD$31*($AS157-0.3)+$AS157^2)</f>
        <v>0.88349311219417037</v>
      </c>
      <c r="AU157" s="550">
        <f t="shared" si="125"/>
        <v>0.87394412747225136</v>
      </c>
      <c r="AW157" s="551">
        <f t="shared" si="136"/>
        <v>38174.753432115409</v>
      </c>
      <c r="BA157" s="546">
        <f t="shared" si="137"/>
        <v>209</v>
      </c>
      <c r="BB157" s="551">
        <f t="shared" si="138"/>
        <v>54.69634129164875</v>
      </c>
      <c r="BC157" s="553">
        <f>$BB157/PI()*SQRT('Hilfstabellen_Mat&amp;Bem'!f.Rd.3/'Hilfstabellen_Mat&amp;Bem'!$BD$30)</f>
        <v>0.87051930856072424</v>
      </c>
      <c r="BD157" s="553">
        <f>0.5*(1+'Hilfstabellen_Mat&amp;Bem'!$BD$31*($BC157-0.3)+$BC157^2)</f>
        <v>0.90742789871655694</v>
      </c>
      <c r="BE157" s="550">
        <f t="shared" si="139"/>
        <v>0.85940563421819804</v>
      </c>
      <c r="BG157" s="551">
        <f t="shared" si="140"/>
        <v>37539.697508285106</v>
      </c>
      <c r="BK157" s="546">
        <f t="shared" si="141"/>
        <v>209</v>
      </c>
      <c r="BL157" s="551">
        <f t="shared" si="142"/>
        <v>56.353806179274478</v>
      </c>
      <c r="BM157" s="553">
        <f>$BL157/PI()*SQRT('Hilfstabellen_Mat&amp;Bem'!f.Rd.3/'Hilfstabellen_Mat&amp;Bem'!$BD$30)</f>
        <v>0.89689868154741303</v>
      </c>
      <c r="BN157" s="553">
        <f>0.5*(1+'Hilfstabellen_Mat&amp;Bem'!$BD$31*($BM157-0.3)+$BM157^2)</f>
        <v>0.93205855655811454</v>
      </c>
      <c r="BO157" s="550">
        <f t="shared" si="143"/>
        <v>0.84342302574643568</v>
      </c>
      <c r="BQ157" s="551">
        <f t="shared" si="144"/>
        <v>36841.561187630054</v>
      </c>
      <c r="BU157" s="546">
        <f t="shared" si="145"/>
        <v>209</v>
      </c>
      <c r="BV157" s="551">
        <f t="shared" si="146"/>
        <v>58.011271066900193</v>
      </c>
      <c r="BW157" s="553">
        <f>$BV157/PI()*SQRT('Hilfstabellen_Mat&amp;Bem'!f.Rd.3/'Hilfstabellen_Mat&amp;Bem'!$BD$30)</f>
        <v>0.9232780545341015</v>
      </c>
      <c r="BX157" s="553">
        <f>0.5*(1+'Hilfstabellen_Mat&amp;Bem'!$BD$31*($BW157-0.3)+$BW157^2)</f>
        <v>0.95738508571884273</v>
      </c>
      <c r="BY157" s="550">
        <f t="shared" si="147"/>
        <v>0.82600159137731599</v>
      </c>
      <c r="CA157" s="551">
        <f t="shared" si="148"/>
        <v>36080.575512952542</v>
      </c>
      <c r="CE157" s="546">
        <f t="shared" si="149"/>
        <v>209</v>
      </c>
      <c r="CF157" s="551">
        <f t="shared" si="150"/>
        <v>59.668735954525907</v>
      </c>
      <c r="CG157" s="553">
        <f>CF157/PI()*SQRT('Hilfstabellen_Mat&amp;Bem'!f.Rd.3/'Hilfstabellen_Mat&amp;Bem'!$BD$30)</f>
        <v>0.94965742752079008</v>
      </c>
      <c r="CH157" s="553">
        <f>0.5*(1+'Hilfstabellen_Mat&amp;Bem'!$BD$31*(CG157-0.3)+CG157^2)</f>
        <v>0.98340748619874185</v>
      </c>
      <c r="CI157" s="550">
        <f t="shared" si="151"/>
        <v>0.80721275548677884</v>
      </c>
      <c r="CK157" s="551">
        <f t="shared" si="152"/>
        <v>35259.860372417985</v>
      </c>
      <c r="CO157" s="546">
        <f t="shared" si="153"/>
        <v>209</v>
      </c>
      <c r="CP157" s="551">
        <f t="shared" si="154"/>
        <v>61.326200842151628</v>
      </c>
      <c r="CQ157" s="553">
        <f>CP157/PI()*SQRT('Hilfstabellen_Mat&amp;Bem'!f.Rd.3/'Hilfstabellen_Mat&amp;Bem'!$BD$30)</f>
        <v>0.97603680050747865</v>
      </c>
      <c r="CR157" s="553">
        <f>0.5*(1+'Hilfstabellen_Mat&amp;Bem'!$BD$31*(CQ157-0.3)+CQ157^2)</f>
        <v>1.0101257579978118</v>
      </c>
      <c r="CS157" s="550">
        <f t="shared" si="155"/>
        <v>0.78719707104250813</v>
      </c>
      <c r="CU157" s="551">
        <f t="shared" si="156"/>
        <v>34385.555260207795</v>
      </c>
      <c r="CY157" s="546">
        <f t="shared" si="157"/>
        <v>209</v>
      </c>
      <c r="CZ157" s="551">
        <f t="shared" si="158"/>
        <v>62.983665729777357</v>
      </c>
      <c r="DA157" s="553">
        <f>CZ157/PI()*SQRT('Hilfstabellen_Mat&amp;Bem'!f.Rd.3/'Hilfstabellen_Mat&amp;Bem'!$BD$30)</f>
        <v>1.0024161734941675</v>
      </c>
      <c r="DB157" s="553">
        <f>0.5*(1+'Hilfstabellen_Mat&amp;Bem'!$BD$31*(DA157-0.3)+DA157^2)</f>
        <v>1.0375399011160527</v>
      </c>
      <c r="DC157" s="550">
        <f t="shared" si="159"/>
        <v>0.76615630968545334</v>
      </c>
      <c r="DE157" s="551">
        <f t="shared" si="160"/>
        <v>33466.47376337029</v>
      </c>
      <c r="DI157" s="546">
        <f t="shared" si="161"/>
        <v>209</v>
      </c>
      <c r="DJ157" s="551">
        <f t="shared" si="162"/>
        <v>64.641130617403078</v>
      </c>
      <c r="DK157" s="553">
        <f>DJ157/PI()*SQRT('Hilfstabellen_Mat&amp;Bem'!f.Rd.3/'Hilfstabellen_Mat&amp;Bem'!$BD$30)</f>
        <v>1.028795546480856</v>
      </c>
      <c r="DL157" s="553">
        <f>0.5*(1+'Hilfstabellen_Mat&amp;Bem'!$BD$31*(DK157-0.3)+DK157^2)</f>
        <v>1.0656499155534644</v>
      </c>
      <c r="DM157" s="550">
        <f t="shared" si="163"/>
        <v>0.74433569553893808</v>
      </c>
      <c r="DO157" s="551">
        <f t="shared" si="164"/>
        <v>32513.327516836354</v>
      </c>
      <c r="DS157" s="546">
        <f t="shared" si="165"/>
        <v>209</v>
      </c>
      <c r="DT157" s="551">
        <f t="shared" si="166"/>
        <v>66.2985955050288</v>
      </c>
      <c r="DU157" s="553">
        <f>DT157/PI()*SQRT('Hilfstabellen_Mat&amp;Bem'!f.Rd.3/'Hilfstabellen_Mat&amp;Bem'!$BD$30)</f>
        <v>1.0551749194675446</v>
      </c>
      <c r="DV157" s="553">
        <f>0.5*(1+'Hilfstabellen_Mat&amp;Bem'!$BD$31*(DU157-0.3)+DU157^2)</f>
        <v>1.0944558013100467</v>
      </c>
      <c r="DW157" s="550">
        <f t="shared" si="167"/>
        <v>0.72200061685332084</v>
      </c>
      <c r="DY157" s="551">
        <f t="shared" si="168"/>
        <v>31537.708944769907</v>
      </c>
      <c r="EC157" s="546">
        <f t="shared" si="169"/>
        <v>209</v>
      </c>
      <c r="ED157" s="551">
        <f t="shared" si="170"/>
        <v>67.956060392654507</v>
      </c>
      <c r="EE157" s="553">
        <f>ED157/PI()*SQRT('Hilfstabellen_Mat&amp;Bem'!f.Rd.3/'Hilfstabellen_Mat&amp;Bem'!$BD$30)</f>
        <v>1.0815542924542332</v>
      </c>
      <c r="EF157" s="553">
        <f>0.5*(1+'Hilfstabellen_Mat&amp;Bem'!$BD$31*(EE157-0.3)+EE157^2)</f>
        <v>1.1239575583858001</v>
      </c>
      <c r="EG157" s="550">
        <f t="shared" si="171"/>
        <v>0.6994134673996204</v>
      </c>
      <c r="EI157" s="551">
        <f t="shared" si="172"/>
        <v>30551.07966948282</v>
      </c>
      <c r="EM157" s="546">
        <f t="shared" si="173"/>
        <v>209</v>
      </c>
      <c r="EN157" s="551">
        <f t="shared" si="174"/>
        <v>69.613525280280228</v>
      </c>
      <c r="EO157" s="553">
        <f>EN157/PI()*SQRT('Hilfstabellen_Mat&amp;Bem'!f.Rd.3/'Hilfstabellen_Mat&amp;Bem'!$BD$30)</f>
        <v>1.1079336654409218</v>
      </c>
      <c r="EP157" s="553">
        <f>0.5*(1+'Hilfstabellen_Mat&amp;Bem'!$BD$31*(EO157-0.3)+EO157^2)</f>
        <v>1.1541551867807243</v>
      </c>
      <c r="EQ157" s="550">
        <f t="shared" si="175"/>
        <v>0.67681518262377738</v>
      </c>
      <c r="ES157" s="551">
        <f t="shared" si="176"/>
        <v>29563.963992189219</v>
      </c>
    </row>
    <row r="158" spans="3:149">
      <c r="C158" s="546">
        <v>210</v>
      </c>
      <c r="D158" s="551">
        <f t="shared" si="126"/>
        <v>46.188021535170058</v>
      </c>
      <c r="E158" s="553">
        <f>$D158/PI()*SQRT('Hilfstabellen_Mat&amp;Bem'!f.Rd.3/'Hilfstabellen_Mat&amp;Bem'!$BD$30)</f>
        <v>0.73510519389572282</v>
      </c>
      <c r="F158" s="553">
        <f>0.5*(1+'Hilfstabellen_Mat&amp;Bem'!$BD$31*($E158-0.3)+$E158^2)</f>
        <v>0.79194508274102016</v>
      </c>
      <c r="G158" s="550">
        <f t="shared" si="127"/>
        <v>0.92033657436610028</v>
      </c>
      <c r="I158" s="551">
        <f t="shared" si="128"/>
        <v>40586.842929545019</v>
      </c>
      <c r="M158" s="546">
        <f t="shared" si="129"/>
        <v>210</v>
      </c>
      <c r="N158" s="551">
        <f t="shared" si="118"/>
        <v>47.837593732854707</v>
      </c>
      <c r="O158" s="553">
        <f>$N158/PI()*SQRT('Hilfstabellen_Mat&amp;Bem'!f.Rd.3/'Hilfstabellen_Mat&amp;Bem'!$BD$30)</f>
        <v>0.76135895082057004</v>
      </c>
      <c r="P158" s="553">
        <f>0.5*(1+'Hilfstabellen_Mat&amp;Bem'!$BD$31*($O158-0.3)+$O158^2)</f>
        <v>0.8129016735383281</v>
      </c>
      <c r="Q158" s="550">
        <f t="shared" si="119"/>
        <v>0.91094969484619592</v>
      </c>
      <c r="S158" s="551">
        <f t="shared" si="130"/>
        <v>40172.881542717238</v>
      </c>
      <c r="W158" s="546">
        <f t="shared" si="131"/>
        <v>210</v>
      </c>
      <c r="X158" s="551">
        <f t="shared" si="120"/>
        <v>49.487165930539348</v>
      </c>
      <c r="Y158" s="553">
        <f>$X158/PI()*SQRT('Hilfstabellen_Mat&amp;Bem'!f.Rd.3/'Hilfstabellen_Mat&amp;Bem'!$BD$30)</f>
        <v>0.78761270774541725</v>
      </c>
      <c r="Z158" s="553">
        <f>0.5*(1+'Hilfstabellen_Mat&amp;Bem'!$BD$31*($Y158-0.3)+$Y158^2)</f>
        <v>0.8345475240883049</v>
      </c>
      <c r="AA158" s="550">
        <f t="shared" si="121"/>
        <v>0.90051580877540705</v>
      </c>
      <c r="AC158" s="551">
        <f t="shared" si="132"/>
        <v>39712.747166995454</v>
      </c>
      <c r="AG158" s="546">
        <f t="shared" si="133"/>
        <v>210</v>
      </c>
      <c r="AH158" s="551">
        <f t="shared" si="122"/>
        <v>51.136738128223996</v>
      </c>
      <c r="AI158" s="553">
        <f>$AH158/PI()*SQRT('Hilfstabellen_Mat&amp;Bem'!f.Rd.3/'Hilfstabellen_Mat&amp;Bem'!$BD$30)</f>
        <v>0.81386646467026458</v>
      </c>
      <c r="AJ158" s="553">
        <f>0.5*(1+'Hilfstabellen_Mat&amp;Bem'!$BD$31*($AI158-0.3)+$AI158^2)</f>
        <v>0.8568826343909508</v>
      </c>
      <c r="AK158" s="550">
        <f t="shared" si="123"/>
        <v>0.88891496413767823</v>
      </c>
      <c r="AM158" s="551">
        <f t="shared" si="134"/>
        <v>39201.149918471609</v>
      </c>
      <c r="AQ158" s="546">
        <f t="shared" si="135"/>
        <v>210</v>
      </c>
      <c r="AR158" s="551">
        <f t="shared" si="124"/>
        <v>52.786310325908637</v>
      </c>
      <c r="AS158" s="553">
        <f>$AR158/PI()*SQRT('Hilfstabellen_Mat&amp;Bem'!f.Rd.3/'Hilfstabellen_Mat&amp;Bem'!$BD$30)</f>
        <v>0.84012022159511168</v>
      </c>
      <c r="AT158" s="553">
        <f>0.5*(1+'Hilfstabellen_Mat&amp;Bem'!$BD$31*($AS158-0.3)+$AS158^2)</f>
        <v>0.87990700444626535</v>
      </c>
      <c r="AU158" s="550">
        <f t="shared" si="125"/>
        <v>0.87603523076003675</v>
      </c>
      <c r="AW158" s="551">
        <f t="shared" si="136"/>
        <v>38633.153676517621</v>
      </c>
      <c r="BA158" s="546">
        <f t="shared" si="137"/>
        <v>210</v>
      </c>
      <c r="BB158" s="551">
        <f t="shared" si="138"/>
        <v>54.435882523593278</v>
      </c>
      <c r="BC158" s="553">
        <f>$BB158/PI()*SQRT('Hilfstabellen_Mat&amp;Bem'!f.Rd.3/'Hilfstabellen_Mat&amp;Bem'!$BD$30)</f>
        <v>0.8663739785199589</v>
      </c>
      <c r="BD158" s="553">
        <f>0.5*(1+'Hilfstabellen_Mat&amp;Bem'!$BD$31*($BC158-0.3)+$BC158^2)</f>
        <v>0.90362063425424899</v>
      </c>
      <c r="BE158" s="550">
        <f t="shared" si="139"/>
        <v>0.86178519814594245</v>
      </c>
      <c r="BG158" s="551">
        <f t="shared" si="140"/>
        <v>38004.727238236061</v>
      </c>
      <c r="BK158" s="546">
        <f t="shared" si="141"/>
        <v>210</v>
      </c>
      <c r="BL158" s="551">
        <f t="shared" si="142"/>
        <v>56.085454721277927</v>
      </c>
      <c r="BM158" s="553">
        <f>$BL158/PI()*SQRT('Hilfstabellen_Mat&amp;Bem'!f.Rd.3/'Hilfstabellen_Mat&amp;Bem'!$BD$30)</f>
        <v>0.89262773544480611</v>
      </c>
      <c r="BN158" s="553">
        <f>0.5*(1+'Hilfstabellen_Mat&amp;Bem'!$BD$31*($BM158-0.3)+$BM158^2)</f>
        <v>0.92802352381490172</v>
      </c>
      <c r="BO158" s="550">
        <f t="shared" si="143"/>
        <v>0.84610919870419388</v>
      </c>
      <c r="BQ158" s="551">
        <f t="shared" si="144"/>
        <v>37313.415662854954</v>
      </c>
      <c r="BU158" s="546">
        <f t="shared" si="145"/>
        <v>210</v>
      </c>
      <c r="BV158" s="551">
        <f t="shared" si="146"/>
        <v>57.735026918962575</v>
      </c>
      <c r="BW158" s="553">
        <f>$BV158/PI()*SQRT('Hilfstabellen_Mat&amp;Bem'!f.Rd.3/'Hilfstabellen_Mat&amp;Bem'!$BD$30)</f>
        <v>0.91888149236965355</v>
      </c>
      <c r="BX158" s="553">
        <f>0.5*(1+'Hilfstabellen_Mat&amp;Bem'!$BD$31*($BW158-0.3)+$BW158^2)</f>
        <v>0.95311567312822354</v>
      </c>
      <c r="BY158" s="550">
        <f t="shared" si="147"/>
        <v>0.8290029172295762</v>
      </c>
      <c r="CA158" s="551">
        <f t="shared" si="148"/>
        <v>36559.028649824308</v>
      </c>
      <c r="CE158" s="546">
        <f t="shared" si="149"/>
        <v>210</v>
      </c>
      <c r="CF158" s="551">
        <f t="shared" si="150"/>
        <v>59.384599116647216</v>
      </c>
      <c r="CG158" s="553">
        <f>CF158/PI()*SQRT('Hilfstabellen_Mat&amp;Bem'!f.Rd.3/'Hilfstabellen_Mat&amp;Bem'!$BD$30)</f>
        <v>0.94513524929450066</v>
      </c>
      <c r="CH158" s="553">
        <f>0.5*(1+'Hilfstabellen_Mat&amp;Bem'!$BD$31*(CG158-0.3)+CG158^2)</f>
        <v>0.97889708219421401</v>
      </c>
      <c r="CI158" s="550">
        <f t="shared" si="151"/>
        <v>0.8105255764739373</v>
      </c>
      <c r="CK158" s="551">
        <f t="shared" si="152"/>
        <v>35744.177922500632</v>
      </c>
      <c r="CO158" s="546">
        <f t="shared" si="153"/>
        <v>210</v>
      </c>
      <c r="CP158" s="551">
        <f t="shared" si="154"/>
        <v>61.034171314331864</v>
      </c>
      <c r="CQ158" s="553">
        <f>CP158/PI()*SQRT('Hilfstabellen_Mat&amp;Bem'!f.Rd.3/'Hilfstabellen_Mat&amp;Bem'!$BD$30)</f>
        <v>0.97138900621934798</v>
      </c>
      <c r="CR158" s="553">
        <f>0.5*(1+'Hilfstabellen_Mat&amp;Bem'!$BD$31*(CQ158-0.3)+CQ158^2)</f>
        <v>1.0053677510128736</v>
      </c>
      <c r="CS158" s="550">
        <f t="shared" si="155"/>
        <v>0.79080446414524563</v>
      </c>
      <c r="CU158" s="551">
        <f t="shared" si="156"/>
        <v>34874.47686880533</v>
      </c>
      <c r="CY158" s="546">
        <f t="shared" si="157"/>
        <v>210</v>
      </c>
      <c r="CZ158" s="551">
        <f t="shared" si="158"/>
        <v>62.683743512016505</v>
      </c>
      <c r="DA158" s="553">
        <f>CZ158/PI()*SQRT('Hilfstabellen_Mat&amp;Bem'!f.Rd.3/'Hilfstabellen_Mat&amp;Bem'!$BD$30)</f>
        <v>0.99764276314419509</v>
      </c>
      <c r="DB158" s="553">
        <f>0.5*(1+'Hilfstabellen_Mat&amp;Bem'!$BD$31*(DA158-0.3)+DA158^2)</f>
        <v>1.032527679584202</v>
      </c>
      <c r="DC158" s="550">
        <f t="shared" si="159"/>
        <v>0.77002903832008696</v>
      </c>
      <c r="DE158" s="551">
        <f t="shared" si="160"/>
        <v>33958.280589915834</v>
      </c>
      <c r="DI158" s="546">
        <f t="shared" si="161"/>
        <v>210</v>
      </c>
      <c r="DJ158" s="551">
        <f t="shared" si="162"/>
        <v>64.333315709701154</v>
      </c>
      <c r="DK158" s="553">
        <f>DJ158/PI()*SQRT('Hilfstabellen_Mat&amp;Bem'!f.Rd.3/'Hilfstabellen_Mat&amp;Bem'!$BD$30)</f>
        <v>1.0238965200690424</v>
      </c>
      <c r="DL158" s="553">
        <f>0.5*(1+'Hilfstabellen_Mat&amp;Bem'!$BD$31*(DK158-0.3)+DK158^2)</f>
        <v>1.0603768679081997</v>
      </c>
      <c r="DM158" s="550">
        <f t="shared" si="163"/>
        <v>0.74843501427022974</v>
      </c>
      <c r="DO158" s="551">
        <f t="shared" si="164"/>
        <v>33005.984129317134</v>
      </c>
      <c r="DS158" s="546">
        <f t="shared" si="165"/>
        <v>210</v>
      </c>
      <c r="DT158" s="551">
        <f t="shared" si="166"/>
        <v>65.982887907385802</v>
      </c>
      <c r="DU158" s="553">
        <f>DT158/PI()*SQRT('Hilfstabellen_Mat&amp;Bem'!f.Rd.3/'Hilfstabellen_Mat&amp;Bem'!$BD$30)</f>
        <v>1.0501502769938897</v>
      </c>
      <c r="DV158" s="553">
        <f>0.5*(1+'Hilfstabellen_Mat&amp;Bem'!$BD$31*(DU158-0.3)+DU158^2)</f>
        <v>1.0889153159848663</v>
      </c>
      <c r="DW158" s="550">
        <f t="shared" si="167"/>
        <v>0.72628217602621081</v>
      </c>
      <c r="DY158" s="551">
        <f t="shared" si="168"/>
        <v>32029.043962755895</v>
      </c>
      <c r="EC158" s="546">
        <f t="shared" si="169"/>
        <v>210</v>
      </c>
      <c r="ED158" s="551">
        <f t="shared" si="170"/>
        <v>67.63246010507045</v>
      </c>
      <c r="EE158" s="553">
        <f>ED158/PI()*SQRT('Hilfstabellen_Mat&amp;Bem'!f.Rd.3/'Hilfstabellen_Mat&amp;Bem'!$BD$30)</f>
        <v>1.0764040339187371</v>
      </c>
      <c r="EF158" s="553">
        <f>0.5*(1+'Hilfstabellen_Mat&amp;Bem'!$BD$31*(EE158-0.3)+EE158^2)</f>
        <v>1.1181430238142016</v>
      </c>
      <c r="EG158" s="550">
        <f t="shared" si="171"/>
        <v>0.70383133944803755</v>
      </c>
      <c r="EI158" s="551">
        <f t="shared" si="172"/>
        <v>31038.962069658457</v>
      </c>
      <c r="EM158" s="546">
        <f t="shared" si="173"/>
        <v>210</v>
      </c>
      <c r="EN158" s="551">
        <f t="shared" si="174"/>
        <v>69.282032302755084</v>
      </c>
      <c r="EO158" s="553">
        <f>EN158/PI()*SQRT('Hilfstabellen_Mat&amp;Bem'!f.Rd.3/'Hilfstabellen_Mat&amp;Bem'!$BD$30)</f>
        <v>1.102657790843584</v>
      </c>
      <c r="EP158" s="553">
        <f>0.5*(1+'Hilfstabellen_Mat&amp;Bem'!$BD$31*(EO158-0.3)+EO158^2)</f>
        <v>1.1480599913962055</v>
      </c>
      <c r="EQ158" s="550">
        <f t="shared" si="175"/>
        <v>0.68132521956793579</v>
      </c>
      <c r="ES158" s="551">
        <f t="shared" si="176"/>
        <v>30046.442182945968</v>
      </c>
    </row>
    <row r="159" spans="3:149">
      <c r="C159" s="546">
        <v>211</v>
      </c>
      <c r="D159" s="551">
        <f t="shared" si="126"/>
        <v>45.969120959173992</v>
      </c>
      <c r="E159" s="553">
        <f>$D159/PI()*SQRT('Hilfstabellen_Mat&amp;Bem'!f.Rd.3/'Hilfstabellen_Mat&amp;Bem'!$BD$30)</f>
        <v>0.73162128302417906</v>
      </c>
      <c r="F159" s="553">
        <f>0.5*(1+'Hilfstabellen_Mat&amp;Bem'!$BD$31*($E159-0.3)+$E159^2)</f>
        <v>0.78921591503818189</v>
      </c>
      <c r="G159" s="550">
        <f t="shared" si="127"/>
        <v>0.92150995549333181</v>
      </c>
      <c r="I159" s="551">
        <f t="shared" si="128"/>
        <v>41026.544728518624</v>
      </c>
      <c r="M159" s="546">
        <f t="shared" si="129"/>
        <v>211</v>
      </c>
      <c r="N159" s="551">
        <f t="shared" si="118"/>
        <v>47.610875279144494</v>
      </c>
      <c r="O159" s="553">
        <f>$N159/PI()*SQRT('Hilfstabellen_Mat&amp;Bem'!f.Rd.3/'Hilfstabellen_Mat&amp;Bem'!$BD$30)</f>
        <v>0.75775061456075687</v>
      </c>
      <c r="P159" s="553">
        <f>0.5*(1+'Hilfstabellen_Mat&amp;Bem'!$BD$31*($O159-0.3)+$O159^2)</f>
        <v>0.80998052766164019</v>
      </c>
      <c r="Q159" s="550">
        <f t="shared" si="119"/>
        <v>0.91229918009030853</v>
      </c>
      <c r="S159" s="551">
        <f t="shared" si="130"/>
        <v>40616.471796800623</v>
      </c>
      <c r="W159" s="546">
        <f t="shared" si="131"/>
        <v>211</v>
      </c>
      <c r="X159" s="551">
        <f t="shared" si="120"/>
        <v>49.252629599114989</v>
      </c>
      <c r="Y159" s="553">
        <f>$X159/PI()*SQRT('Hilfstabellen_Mat&amp;Bem'!f.Rd.3/'Hilfstabellen_Mat&amp;Bem'!$BD$30)</f>
        <v>0.78387994609733469</v>
      </c>
      <c r="Z159" s="553">
        <f>0.5*(1+'Hilfstabellen_Mat&amp;Bem'!$BD$31*($Y159-0.3)+$Y159^2)</f>
        <v>0.83142788225164688</v>
      </c>
      <c r="AA159" s="550">
        <f t="shared" si="121"/>
        <v>0.90206771586917012</v>
      </c>
      <c r="AC159" s="551">
        <f t="shared" si="132"/>
        <v>40160.956778211323</v>
      </c>
      <c r="AG159" s="546">
        <f t="shared" si="133"/>
        <v>211</v>
      </c>
      <c r="AH159" s="551">
        <f t="shared" si="122"/>
        <v>50.894383919085492</v>
      </c>
      <c r="AI159" s="553">
        <f>$AH159/PI()*SQRT('Hilfstabellen_Mat&amp;Bem'!f.Rd.3/'Hilfstabellen_Mat&amp;Bem'!$BD$30)</f>
        <v>0.81000927763391251</v>
      </c>
      <c r="AJ159" s="553">
        <f>0.5*(1+'Hilfstabellen_Mat&amp;Bem'!$BD$31*($AI159-0.3)+$AI159^2)</f>
        <v>0.85355797880820194</v>
      </c>
      <c r="AK159" s="550">
        <f t="shared" si="123"/>
        <v>0.89069697671451564</v>
      </c>
      <c r="AM159" s="551">
        <f t="shared" si="134"/>
        <v>39654.720100306949</v>
      </c>
      <c r="AQ159" s="546">
        <f t="shared" si="135"/>
        <v>211</v>
      </c>
      <c r="AR159" s="551">
        <f t="shared" si="124"/>
        <v>52.536138239055994</v>
      </c>
      <c r="AS159" s="553">
        <f>$AR159/PI()*SQRT('Hilfstabellen_Mat&amp;Bem'!f.Rd.3/'Hilfstabellen_Mat&amp;Bem'!$BD$30)</f>
        <v>0.83613860917049032</v>
      </c>
      <c r="AT159" s="553">
        <f>0.5*(1+'Hilfstabellen_Mat&amp;Bem'!$BD$31*($AS159-0.3)+$AS159^2)</f>
        <v>0.87637081733130562</v>
      </c>
      <c r="AU159" s="550">
        <f t="shared" si="125"/>
        <v>0.87807477701539949</v>
      </c>
      <c r="AW159" s="551">
        <f t="shared" si="136"/>
        <v>39092.7671475026</v>
      </c>
      <c r="BA159" s="546">
        <f t="shared" si="137"/>
        <v>211</v>
      </c>
      <c r="BB159" s="551">
        <f t="shared" si="138"/>
        <v>54.177892559026489</v>
      </c>
      <c r="BC159" s="553">
        <f>$BB159/PI()*SQRT('Hilfstabellen_Mat&amp;Bem'!f.Rd.3/'Hilfstabellen_Mat&amp;Bem'!$BD$30)</f>
        <v>0.86226794070706814</v>
      </c>
      <c r="BD159" s="553">
        <f>0.5*(1+'Hilfstabellen_Mat&amp;Bem'!$BD$31*($BC159-0.3)+$BC159^2)</f>
        <v>0.89986639782095734</v>
      </c>
      <c r="BE159" s="550">
        <f t="shared" si="139"/>
        <v>0.864107056533579</v>
      </c>
      <c r="BG159" s="551">
        <f t="shared" si="140"/>
        <v>38470.910263931473</v>
      </c>
      <c r="BK159" s="546">
        <f t="shared" si="141"/>
        <v>211</v>
      </c>
      <c r="BL159" s="551">
        <f t="shared" si="142"/>
        <v>55.819646878996991</v>
      </c>
      <c r="BM159" s="553">
        <f>$BL159/PI()*SQRT('Hilfstabellen_Mat&amp;Bem'!f.Rd.3/'Hilfstabellen_Mat&amp;Bem'!$BD$30)</f>
        <v>0.88839727224364595</v>
      </c>
      <c r="BN159" s="553">
        <f>0.5*(1+'Hilfstabellen_Mat&amp;Bem'!$BD$31*($BM159-0.3)+$BM159^2)</f>
        <v>0.92404472027715767</v>
      </c>
      <c r="BO159" s="550">
        <f t="shared" si="143"/>
        <v>0.8487324585532352</v>
      </c>
      <c r="BQ159" s="551">
        <f t="shared" si="144"/>
        <v>37786.417787248582</v>
      </c>
      <c r="BU159" s="546">
        <f t="shared" si="145"/>
        <v>211</v>
      </c>
      <c r="BV159" s="551">
        <f t="shared" si="146"/>
        <v>57.461401198967486</v>
      </c>
      <c r="BW159" s="553">
        <f>$BV159/PI()*SQRT('Hilfstabellen_Mat&amp;Bem'!f.Rd.3/'Hilfstabellen_Mat&amp;Bem'!$BD$30)</f>
        <v>0.91452660378022377</v>
      </c>
      <c r="BX159" s="553">
        <f>0.5*(1+'Hilfstabellen_Mat&amp;Bem'!$BD$31*($BW159-0.3)+$BW159^2)</f>
        <v>0.94890578469990638</v>
      </c>
      <c r="BY159" s="550">
        <f t="shared" si="147"/>
        <v>0.83193773480478439</v>
      </c>
      <c r="CA159" s="551">
        <f t="shared" si="148"/>
        <v>37038.699891243807</v>
      </c>
      <c r="CE159" s="546">
        <f t="shared" si="149"/>
        <v>211</v>
      </c>
      <c r="CF159" s="551">
        <f t="shared" si="150"/>
        <v>59.103155518937989</v>
      </c>
      <c r="CG159" s="553">
        <f>CF159/PI()*SQRT('Hilfstabellen_Mat&amp;Bem'!f.Rd.3/'Hilfstabellen_Mat&amp;Bem'!$BD$30)</f>
        <v>0.94065593531680158</v>
      </c>
      <c r="CH159" s="553">
        <f>0.5*(1+'Hilfstabellen_Mat&amp;Bem'!$BD$31*(CG159-0.3)+CG159^2)</f>
        <v>0.97444959108920348</v>
      </c>
      <c r="CI159" s="550">
        <f t="shared" si="151"/>
        <v>0.81377046922553653</v>
      </c>
      <c r="CK159" s="551">
        <f t="shared" si="152"/>
        <v>36229.875060390114</v>
      </c>
      <c r="CO159" s="546">
        <f t="shared" si="153"/>
        <v>211</v>
      </c>
      <c r="CP159" s="551">
        <f t="shared" si="154"/>
        <v>60.744909838908484</v>
      </c>
      <c r="CQ159" s="553">
        <f>CP159/PI()*SQRT('Hilfstabellen_Mat&amp;Bem'!f.Rd.3/'Hilfstabellen_Mat&amp;Bem'!$BD$30)</f>
        <v>0.9667852668533794</v>
      </c>
      <c r="CR159" s="553">
        <f>0.5*(1+'Hilfstabellen_Mat&amp;Bem'!$BD$31*(CQ159-0.3)+CQ159^2)</f>
        <v>1.000676139445049</v>
      </c>
      <c r="CS159" s="550">
        <f t="shared" si="155"/>
        <v>0.79434497537287185</v>
      </c>
      <c r="CU159" s="551">
        <f t="shared" si="156"/>
        <v>35365.03264857563</v>
      </c>
      <c r="CY159" s="546">
        <f t="shared" si="157"/>
        <v>211</v>
      </c>
      <c r="CZ159" s="551">
        <f t="shared" si="158"/>
        <v>62.386664158878993</v>
      </c>
      <c r="DA159" s="553">
        <f>CZ159/PI()*SQRT('Hilfstabellen_Mat&amp;Bem'!f.Rd.3/'Hilfstabellen_Mat&amp;Bem'!$BD$30)</f>
        <v>0.99291459838995744</v>
      </c>
      <c r="DB159" s="553">
        <f>0.5*(1+'Hilfstabellen_Mat&amp;Bem'!$BD$31*(DA159-0.3)+DA159^2)</f>
        <v>1.0275854297674432</v>
      </c>
      <c r="DC159" s="550">
        <f t="shared" si="159"/>
        <v>0.77383832234433192</v>
      </c>
      <c r="DE159" s="551">
        <f t="shared" si="160"/>
        <v>34452.055949091999</v>
      </c>
      <c r="DI159" s="546">
        <f t="shared" si="161"/>
        <v>211</v>
      </c>
      <c r="DJ159" s="551">
        <f t="shared" si="162"/>
        <v>64.028418478849488</v>
      </c>
      <c r="DK159" s="553">
        <f>DJ159/PI()*SQRT('Hilfstabellen_Mat&amp;Bem'!f.Rd.3/'Hilfstabellen_Mat&amp;Bem'!$BD$30)</f>
        <v>1.019043929926535</v>
      </c>
      <c r="DL159" s="553">
        <f>0.5*(1+'Hilfstabellen_Mat&amp;Bem'!$BD$31*(DK159-0.3)+DK159^2)</f>
        <v>1.0551774620563852</v>
      </c>
      <c r="DM159" s="550">
        <f t="shared" si="163"/>
        <v>0.75247629852054576</v>
      </c>
      <c r="DO159" s="551">
        <f t="shared" si="164"/>
        <v>33500.997286433216</v>
      </c>
      <c r="DS159" s="546">
        <f t="shared" si="165"/>
        <v>211</v>
      </c>
      <c r="DT159" s="551">
        <f t="shared" si="166"/>
        <v>65.670172798819991</v>
      </c>
      <c r="DU159" s="553">
        <f>DT159/PI()*SQRT('Hilfstabellen_Mat&amp;Bem'!f.Rd.3/'Hilfstabellen_Mat&amp;Bem'!$BD$30)</f>
        <v>1.0451732614631131</v>
      </c>
      <c r="DV159" s="553">
        <f>0.5*(1+'Hilfstabellen_Mat&amp;Bem'!$BD$31*(DU159-0.3)+DU159^2)</f>
        <v>1.0834522363118761</v>
      </c>
      <c r="DW159" s="550">
        <f t="shared" si="167"/>
        <v>0.73051245166388667</v>
      </c>
      <c r="DY159" s="551">
        <f t="shared" si="168"/>
        <v>32523.1448605279</v>
      </c>
      <c r="EC159" s="546">
        <f t="shared" si="169"/>
        <v>211</v>
      </c>
      <c r="ED159" s="551">
        <f t="shared" si="170"/>
        <v>67.311927118790479</v>
      </c>
      <c r="EE159" s="553">
        <f>ED159/PI()*SQRT('Hilfstabellen_Mat&amp;Bem'!f.Rd.3/'Hilfstabellen_Mat&amp;Bem'!$BD$30)</f>
        <v>1.0713025929996907</v>
      </c>
      <c r="EF159" s="553">
        <f>0.5*(1+'Hilfstabellen_Mat&amp;Bem'!$BD$31*(EE159-0.3)+EE159^2)</f>
        <v>1.1124097525339149</v>
      </c>
      <c r="EG159" s="550">
        <f t="shared" si="171"/>
        <v>0.70820534039204275</v>
      </c>
      <c r="EI159" s="551">
        <f t="shared" si="172"/>
        <v>31530.009959594136</v>
      </c>
      <c r="EM159" s="546">
        <f t="shared" si="173"/>
        <v>211</v>
      </c>
      <c r="EN159" s="551">
        <f t="shared" si="174"/>
        <v>68.953681438760995</v>
      </c>
      <c r="EO159" s="553">
        <f>EN159/PI()*SQRT('Hilfstabellen_Mat&amp;Bem'!f.Rd.3/'Hilfstabellen_Mat&amp;Bem'!$BD$30)</f>
        <v>1.0974319245362687</v>
      </c>
      <c r="EP159" s="553">
        <f>0.5*(1+'Hilfstabellen_Mat&amp;Bem'!$BD$31*(EO159-0.3)+EO159^2)</f>
        <v>1.1420500107225027</v>
      </c>
      <c r="EQ159" s="550">
        <f t="shared" si="175"/>
        <v>0.68579886785152311</v>
      </c>
      <c r="ES159" s="551">
        <f t="shared" si="176"/>
        <v>30532.45139561766</v>
      </c>
    </row>
    <row r="160" spans="3:149">
      <c r="C160" s="546">
        <v>212</v>
      </c>
      <c r="D160" s="551">
        <f t="shared" si="126"/>
        <v>45.752285482951471</v>
      </c>
      <c r="E160" s="553">
        <f>$D160/PI()*SQRT('Hilfstabellen_Mat&amp;Bem'!f.Rd.3/'Hilfstabellen_Mat&amp;Bem'!$BD$30)</f>
        <v>0.72817023923632906</v>
      </c>
      <c r="F160" s="553">
        <f>0.5*(1+'Hilfstabellen_Mat&amp;Bem'!$BD$31*($E160-0.3)+$E160^2)</f>
        <v>0.78652446061656289</v>
      </c>
      <c r="G160" s="550">
        <f t="shared" si="127"/>
        <v>0.92265643278932352</v>
      </c>
      <c r="I160" s="551">
        <f t="shared" si="128"/>
        <v>41467.870715283359</v>
      </c>
      <c r="M160" s="546">
        <f t="shared" si="129"/>
        <v>212</v>
      </c>
      <c r="N160" s="551">
        <f t="shared" si="118"/>
        <v>47.38629567877117</v>
      </c>
      <c r="O160" s="553">
        <f>$N160/PI()*SQRT('Hilfstabellen_Mat&amp;Bem'!f.Rd.3/'Hilfstabellen_Mat&amp;Bem'!$BD$30)</f>
        <v>0.75417631920905526</v>
      </c>
      <c r="P160" s="553">
        <f>0.5*(1+'Hilfstabellen_Mat&amp;Bem'!$BD$31*($O160-0.3)+$O160^2)</f>
        <v>0.80709977618831208</v>
      </c>
      <c r="Q160" s="550">
        <f t="shared" si="119"/>
        <v>0.91361674663183245</v>
      </c>
      <c r="S160" s="551">
        <f t="shared" si="130"/>
        <v>41061.591060621075</v>
      </c>
      <c r="W160" s="546">
        <f t="shared" si="131"/>
        <v>212</v>
      </c>
      <c r="X160" s="551">
        <f t="shared" si="120"/>
        <v>49.020305874590861</v>
      </c>
      <c r="Y160" s="553">
        <f>$X160/PI()*SQRT('Hilfstabellen_Mat&amp;Bem'!f.Rd.3/'Hilfstabellen_Mat&amp;Bem'!$BD$30)</f>
        <v>0.78018239918178123</v>
      </c>
      <c r="Z160" s="553">
        <f>0.5*(1+'Hilfstabellen_Mat&amp;Bem'!$BD$31*($Y160-0.3)+$Y160^2)</f>
        <v>0.82835140795560913</v>
      </c>
      <c r="AA160" s="550">
        <f t="shared" si="121"/>
        <v>0.9035820490087223</v>
      </c>
      <c r="AC160" s="551">
        <f t="shared" si="132"/>
        <v>40610.591610648014</v>
      </c>
      <c r="AG160" s="546">
        <f t="shared" si="133"/>
        <v>212</v>
      </c>
      <c r="AH160" s="551">
        <f t="shared" si="122"/>
        <v>50.654316070410559</v>
      </c>
      <c r="AI160" s="553">
        <f>$AH160/PI()*SQRT('Hilfstabellen_Mat&amp;Bem'!f.Rd.3/'Hilfstabellen_Mat&amp;Bem'!$BD$30)</f>
        <v>0.80618847915450731</v>
      </c>
      <c r="AJ160" s="553">
        <f>0.5*(1+'Hilfstabellen_Mat&amp;Bem'!$BD$31*($AI160-0.3)+$AI160^2)</f>
        <v>0.85027935591845405</v>
      </c>
      <c r="AK160" s="550">
        <f t="shared" si="123"/>
        <v>0.89243525940018797</v>
      </c>
      <c r="AM160" s="551">
        <f t="shared" si="134"/>
        <v>40109.610298482046</v>
      </c>
      <c r="AQ160" s="546">
        <f t="shared" si="135"/>
        <v>212</v>
      </c>
      <c r="AR160" s="551">
        <f t="shared" si="124"/>
        <v>52.288326266230257</v>
      </c>
      <c r="AS160" s="553">
        <f>$AR160/PI()*SQRT('Hilfstabellen_Mat&amp;Bem'!f.Rd.3/'Hilfstabellen_Mat&amp;Bem'!$BD$30)</f>
        <v>0.83219455912723339</v>
      </c>
      <c r="AT160" s="553">
        <f>0.5*(1+'Hilfstabellen_Mat&amp;Bem'!$BD$31*($AS160-0.3)+$AS160^2)</f>
        <v>0.87288362007684683</v>
      </c>
      <c r="AU160" s="550">
        <f t="shared" si="125"/>
        <v>0.88006421848503391</v>
      </c>
      <c r="AW160" s="551">
        <f t="shared" si="136"/>
        <v>39553.606235591367</v>
      </c>
      <c r="BA160" s="546">
        <f t="shared" si="137"/>
        <v>212</v>
      </c>
      <c r="BB160" s="551">
        <f t="shared" si="138"/>
        <v>53.922336462049948</v>
      </c>
      <c r="BC160" s="553">
        <f>$BB160/PI()*SQRT('Hilfstabellen_Mat&amp;Bem'!f.Rd.3/'Hilfstabellen_Mat&amp;Bem'!$BD$30)</f>
        <v>0.85820063909995936</v>
      </c>
      <c r="BD160" s="553">
        <f>0.5*(1+'Hilfstabellen_Mat&amp;Bem'!$BD$31*($BC160-0.3)+$BC160^2)</f>
        <v>0.89616420043078726</v>
      </c>
      <c r="BE160" s="550">
        <f t="shared" si="139"/>
        <v>0.86637266303548499</v>
      </c>
      <c r="BG160" s="551">
        <f t="shared" si="140"/>
        <v>38938.25296746684</v>
      </c>
      <c r="BK160" s="546">
        <f t="shared" si="141"/>
        <v>212</v>
      </c>
      <c r="BL160" s="551">
        <f t="shared" si="142"/>
        <v>55.556346657869639</v>
      </c>
      <c r="BM160" s="553">
        <f>$BL160/PI()*SQRT('Hilfstabellen_Mat&amp;Bem'!f.Rd.3/'Hilfstabellen_Mat&amp;Bem'!$BD$30)</f>
        <v>0.88420671907268533</v>
      </c>
      <c r="BN160" s="553">
        <f>0.5*(1+'Hilfstabellen_Mat&amp;Bem'!$BD$31*($BM160-0.3)+$BM160^2)</f>
        <v>0.92012109698027567</v>
      </c>
      <c r="BO160" s="550">
        <f t="shared" si="143"/>
        <v>0.85129414046208574</v>
      </c>
      <c r="BQ160" s="551">
        <f t="shared" si="144"/>
        <v>38260.563848927981</v>
      </c>
      <c r="BU160" s="546">
        <f t="shared" si="145"/>
        <v>212</v>
      </c>
      <c r="BV160" s="551">
        <f t="shared" si="146"/>
        <v>57.190356853689337</v>
      </c>
      <c r="BW160" s="553">
        <f>$BV160/PI()*SQRT('Hilfstabellen_Mat&amp;Bem'!f.Rd.3/'Hilfstabellen_Mat&amp;Bem'!$BD$30)</f>
        <v>0.9102127990454113</v>
      </c>
      <c r="BX160" s="553">
        <f>0.5*(1+'Hilfstabellen_Mat&amp;Bem'!$BD$31*($BW160-0.3)+$BW160^2)</f>
        <v>0.94475430972531171</v>
      </c>
      <c r="BY160" s="550">
        <f t="shared" si="147"/>
        <v>0.83480712709659344</v>
      </c>
      <c r="CA160" s="551">
        <f t="shared" si="148"/>
        <v>37519.571520229292</v>
      </c>
      <c r="CE160" s="546">
        <f t="shared" si="149"/>
        <v>212</v>
      </c>
      <c r="CF160" s="551">
        <f t="shared" si="150"/>
        <v>58.824367049509036</v>
      </c>
      <c r="CG160" s="553">
        <f>CF160/PI()*SQRT('Hilfstabellen_Mat&amp;Bem'!f.Rd.3/'Hilfstabellen_Mat&amp;Bem'!$BD$30)</f>
        <v>0.9362188790181375</v>
      </c>
      <c r="CH160" s="553">
        <f>0.5*(1+'Hilfstabellen_Mat&amp;Bem'!$BD$31*(CG160-0.3)+CG160^2)</f>
        <v>0.97006383866589585</v>
      </c>
      <c r="CI160" s="550">
        <f t="shared" si="151"/>
        <v>0.81694814678133687</v>
      </c>
      <c r="CK160" s="551">
        <f t="shared" si="152"/>
        <v>36716.917508940402</v>
      </c>
      <c r="CO160" s="546">
        <f t="shared" si="153"/>
        <v>212</v>
      </c>
      <c r="CP160" s="551">
        <f t="shared" si="154"/>
        <v>60.458377245328741</v>
      </c>
      <c r="CQ160" s="553">
        <f>CP160/PI()*SQRT('Hilfstabellen_Mat&amp;Bem'!f.Rd.3/'Hilfstabellen_Mat&amp;Bem'!$BD$30)</f>
        <v>0.96222495899086358</v>
      </c>
      <c r="CR160" s="553">
        <f>0.5*(1+'Hilfstabellen_Mat&amp;Bem'!$BD$31*(CQ160-0.3)+CQ160^2)</f>
        <v>0.99604968380202785</v>
      </c>
      <c r="CS160" s="550">
        <f t="shared" si="155"/>
        <v>0.79781887716435151</v>
      </c>
      <c r="CU160" s="551">
        <f t="shared" si="156"/>
        <v>35857.171615274616</v>
      </c>
      <c r="CY160" s="546">
        <f t="shared" si="157"/>
        <v>212</v>
      </c>
      <c r="CZ160" s="551">
        <f t="shared" si="158"/>
        <v>62.092387441148425</v>
      </c>
      <c r="DA160" s="553">
        <f>CZ160/PI()*SQRT('Hilfstabellen_Mat&amp;Bem'!f.Rd.3/'Hilfstabellen_Mat&amp;Bem'!$BD$30)</f>
        <v>0.98823103896358955</v>
      </c>
      <c r="DB160" s="553">
        <f>0.5*(1+'Hilfstabellen_Mat&amp;Bem'!$BD$31*(DA160-0.3)+DA160^2)</f>
        <v>1.0227118451337072</v>
      </c>
      <c r="DC160" s="550">
        <f t="shared" si="159"/>
        <v>0.77758398842021614</v>
      </c>
      <c r="DE160" s="551">
        <f t="shared" si="160"/>
        <v>34947.734775558194</v>
      </c>
      <c r="DI160" s="546">
        <f t="shared" si="161"/>
        <v>212</v>
      </c>
      <c r="DJ160" s="551">
        <f t="shared" si="162"/>
        <v>63.726397636968123</v>
      </c>
      <c r="DK160" s="553">
        <f>DJ160/PI()*SQRT('Hilfstabellen_Mat&amp;Bem'!f.Rd.3/'Hilfstabellen_Mat&amp;Bem'!$BD$30)</f>
        <v>1.0142371189363155</v>
      </c>
      <c r="DL160" s="553">
        <f>0.5*(1+'Hilfstabellen_Mat&amp;Bem'!$BD$31*(DK160-0.3)+DK160^2)</f>
        <v>1.0500503226609346</v>
      </c>
      <c r="DM160" s="550">
        <f t="shared" si="163"/>
        <v>0.75645898622317254</v>
      </c>
      <c r="DO160" s="551">
        <f t="shared" si="164"/>
        <v>33998.292676814264</v>
      </c>
      <c r="DS160" s="546">
        <f t="shared" si="165"/>
        <v>212</v>
      </c>
      <c r="DT160" s="551">
        <f t="shared" si="166"/>
        <v>65.360407832787828</v>
      </c>
      <c r="DU160" s="553">
        <f>DT160/PI()*SQRT('Hilfstabellen_Mat&amp;Bem'!f.Rd.3/'Hilfstabellen_Mat&amp;Bem'!$BD$30)</f>
        <v>1.0402431989090417</v>
      </c>
      <c r="DV160" s="553">
        <f>0.5*(1+'Hilfstabellen_Mat&amp;Bem'!$BD$31*(DU160-0.3)+DU160^2)</f>
        <v>1.0780651163837101</v>
      </c>
      <c r="DW160" s="550">
        <f t="shared" si="167"/>
        <v>0.734690590699277</v>
      </c>
      <c r="DY160" s="551">
        <f t="shared" si="168"/>
        <v>33019.933908388302</v>
      </c>
      <c r="EC160" s="546">
        <f t="shared" si="169"/>
        <v>212</v>
      </c>
      <c r="ED160" s="551">
        <f t="shared" si="170"/>
        <v>66.994418028607512</v>
      </c>
      <c r="EE160" s="553">
        <f>ED160/PI()*SQRT('Hilfstabellen_Mat&amp;Bem'!f.Rd.3/'Hilfstabellen_Mat&amp;Bem'!$BD$30)</f>
        <v>1.0662492788817677</v>
      </c>
      <c r="EF160" s="553">
        <f>0.5*(1+'Hilfstabellen_Mat&amp;Bem'!$BD$31*(EE160-0.3)+EE160^2)</f>
        <v>1.1067562263020332</v>
      </c>
      <c r="EG160" s="550">
        <f t="shared" si="171"/>
        <v>0.71253443662489202</v>
      </c>
      <c r="EI160" s="551">
        <f t="shared" si="172"/>
        <v>32024.147719669149</v>
      </c>
      <c r="EM160" s="546">
        <f t="shared" si="173"/>
        <v>212</v>
      </c>
      <c r="EN160" s="551">
        <f t="shared" si="174"/>
        <v>68.628428224427211</v>
      </c>
      <c r="EO160" s="553">
        <f>EN160/PI()*SQRT('Hilfstabellen_Mat&amp;Bem'!f.Rd.3/'Hilfstabellen_Mat&amp;Bem'!$BD$30)</f>
        <v>1.0922553588544937</v>
      </c>
      <c r="EP160" s="553">
        <f>0.5*(1+'Hilfstabellen_Mat&amp;Bem'!$BD$31*(EO160-0.3)+EO160^2)</f>
        <v>1.136123652415904</v>
      </c>
      <c r="EQ160" s="550">
        <f t="shared" si="175"/>
        <v>0.69023501373556351</v>
      </c>
      <c r="ES160" s="551">
        <f t="shared" si="176"/>
        <v>31021.922457331166</v>
      </c>
    </row>
    <row r="161" spans="3:149">
      <c r="C161" s="546">
        <v>213</v>
      </c>
      <c r="D161" s="551">
        <f t="shared" si="126"/>
        <v>45.537486020590194</v>
      </c>
      <c r="E161" s="553">
        <f>$D161/PI()*SQRT('Hilfstabellen_Mat&amp;Bem'!f.Rd.3/'Hilfstabellen_Mat&amp;Bem'!$BD$30)</f>
        <v>0.72475159961550117</v>
      </c>
      <c r="F161" s="553">
        <f>0.5*(1+'Hilfstabellen_Mat&amp;Bem'!$BD$31*($E161-0.3)+$E161^2)</f>
        <v>0.78387002055338884</v>
      </c>
      <c r="G161" s="550">
        <f t="shared" si="127"/>
        <v>0.92377686534644898</v>
      </c>
      <c r="I161" s="551">
        <f t="shared" si="128"/>
        <v>41910.832603903043</v>
      </c>
      <c r="M161" s="546">
        <f t="shared" si="129"/>
        <v>213</v>
      </c>
      <c r="N161" s="551">
        <f t="shared" si="118"/>
        <v>47.163824807039852</v>
      </c>
      <c r="O161" s="553">
        <f>$N161/PI()*SQRT('Hilfstabellen_Mat&amp;Bem'!f.Rd.3/'Hilfstabellen_Mat&amp;Bem'!$BD$30)</f>
        <v>0.75063558531605501</v>
      </c>
      <c r="P161" s="553">
        <f>0.5*(1+'Hilfstabellen_Mat&amp;Bem'!$BD$31*($O161-0.3)+$O161^2)</f>
        <v>0.804258670237191</v>
      </c>
      <c r="Q161" s="550">
        <f t="shared" si="119"/>
        <v>0.914903413598669</v>
      </c>
      <c r="S161" s="551">
        <f t="shared" si="130"/>
        <v>41508.252971558017</v>
      </c>
      <c r="W161" s="546">
        <f t="shared" si="131"/>
        <v>213</v>
      </c>
      <c r="X161" s="551">
        <f t="shared" si="120"/>
        <v>48.790163593489503</v>
      </c>
      <c r="Y161" s="553">
        <f>$X161/PI()*SQRT('Hilfstabellen_Mat&amp;Bem'!f.Rd.3/'Hilfstabellen_Mat&amp;Bem'!$BD$30)</f>
        <v>0.77651957101660862</v>
      </c>
      <c r="Z161" s="553">
        <f>0.5*(1+'Hilfstabellen_Mat&amp;Bem'!$BD$31*($Y161-0.3)+$Y161^2)</f>
        <v>0.82531730063673936</v>
      </c>
      <c r="AA161" s="550">
        <f t="shared" si="121"/>
        <v>0.90505998926994491</v>
      </c>
      <c r="AC161" s="551">
        <f t="shared" si="132"/>
        <v>41061.666653188127</v>
      </c>
      <c r="AG161" s="546">
        <f t="shared" si="133"/>
        <v>213</v>
      </c>
      <c r="AH161" s="551">
        <f t="shared" si="122"/>
        <v>50.416502379939146</v>
      </c>
      <c r="AI161" s="553">
        <f>$AH161/PI()*SQRT('Hilfstabellen_Mat&amp;Bem'!f.Rd.3/'Hilfstabellen_Mat&amp;Bem'!$BD$30)</f>
        <v>0.80240355671716213</v>
      </c>
      <c r="AJ161" s="553">
        <f>0.5*(1+'Hilfstabellen_Mat&amp;Bem'!$BD$31*($AI161-0.3)+$AI161^2)</f>
        <v>0.84704591175203414</v>
      </c>
      <c r="AK161" s="550">
        <f t="shared" si="123"/>
        <v>0.8941311374449965</v>
      </c>
      <c r="AM161" s="551">
        <f t="shared" si="134"/>
        <v>40565.835574742043</v>
      </c>
      <c r="AQ161" s="546">
        <f t="shared" si="135"/>
        <v>213</v>
      </c>
      <c r="AR161" s="551">
        <f t="shared" si="124"/>
        <v>52.042841166388797</v>
      </c>
      <c r="AS161" s="553">
        <f>$AR161/PI()*SQRT('Hilfstabellen_Mat&amp;Bem'!f.Rd.3/'Hilfstabellen_Mat&amp;Bem'!$BD$30)</f>
        <v>0.82828754241771585</v>
      </c>
      <c r="AT161" s="553">
        <f>0.5*(1+'Hilfstabellen_Mat&amp;Bem'!$BD$31*($AS161-0.3)+$AS161^2)</f>
        <v>0.86944450358307557</v>
      </c>
      <c r="AU161" s="550">
        <f t="shared" si="125"/>
        <v>0.8820049782453836</v>
      </c>
      <c r="AW161" s="551">
        <f t="shared" si="136"/>
        <v>40015.683858014811</v>
      </c>
      <c r="BA161" s="546">
        <f t="shared" si="137"/>
        <v>213</v>
      </c>
      <c r="BB161" s="551">
        <f t="shared" si="138"/>
        <v>53.669179952838448</v>
      </c>
      <c r="BC161" s="553">
        <f>$BB161/PI()*SQRT('Hilfstabellen_Mat&amp;Bem'!f.Rd.3/'Hilfstabellen_Mat&amp;Bem'!$BD$30)</f>
        <v>0.85417152811826935</v>
      </c>
      <c r="BD161" s="553">
        <f>0.5*(1+'Hilfstabellen_Mat&amp;Bem'!$BD$31*($BC161-0.3)+$BC161^2)</f>
        <v>0.89251307612986319</v>
      </c>
      <c r="BE161" s="550">
        <f t="shared" si="139"/>
        <v>0.86858345769491829</v>
      </c>
      <c r="BG161" s="551">
        <f t="shared" si="140"/>
        <v>39406.762892160747</v>
      </c>
      <c r="BK161" s="546">
        <f t="shared" si="141"/>
        <v>213</v>
      </c>
      <c r="BL161" s="551">
        <f t="shared" si="142"/>
        <v>55.295518739288099</v>
      </c>
      <c r="BM161" s="553">
        <f>$BL161/PI()*SQRT('Hilfstabellen_Mat&amp;Bem'!f.Rd.3/'Hilfstabellen_Mat&amp;Bem'!$BD$30)</f>
        <v>0.88005551381882308</v>
      </c>
      <c r="BN161" s="553">
        <f>0.5*(1+'Hilfstabellen_Mat&amp;Bem'!$BD$31*($BM161-0.3)+$BM161^2)</f>
        <v>0.91625162939239746</v>
      </c>
      <c r="BO161" s="550">
        <f t="shared" si="143"/>
        <v>0.85379558837624392</v>
      </c>
      <c r="BQ161" s="551">
        <f t="shared" si="144"/>
        <v>38735.852049041809</v>
      </c>
      <c r="BU161" s="546">
        <f t="shared" si="145"/>
        <v>213</v>
      </c>
      <c r="BV161" s="551">
        <f t="shared" si="146"/>
        <v>56.921857525737749</v>
      </c>
      <c r="BW161" s="553">
        <f>$BV161/PI()*SQRT('Hilfstabellen_Mat&amp;Bem'!f.Rd.3/'Hilfstabellen_Mat&amp;Bem'!$BD$30)</f>
        <v>0.90593949951937669</v>
      </c>
      <c r="BX161" s="553">
        <f>0.5*(1+'Hilfstabellen_Mat&amp;Bem'!$BD$31*($BW161-0.3)+$BW161^2)</f>
        <v>0.94066016337067815</v>
      </c>
      <c r="BY161" s="550">
        <f t="shared" si="147"/>
        <v>0.83761221180251222</v>
      </c>
      <c r="CA161" s="551">
        <f t="shared" si="148"/>
        <v>38001.628437268177</v>
      </c>
      <c r="CE161" s="546">
        <f t="shared" si="149"/>
        <v>213</v>
      </c>
      <c r="CF161" s="551">
        <f t="shared" si="150"/>
        <v>58.548196312187393</v>
      </c>
      <c r="CG161" s="553">
        <f>CF161/PI()*SQRT('Hilfstabellen_Mat&amp;Bem'!f.Rd.3/'Hilfstabellen_Mat&amp;Bem'!$BD$30)</f>
        <v>0.93182348521993019</v>
      </c>
      <c r="CH161" s="553">
        <f>0.5*(1+'Hilfstabellen_Mat&amp;Bem'!$BD$31*(CG161-0.3)+CG161^2)</f>
        <v>0.96573867806470526</v>
      </c>
      <c r="CI161" s="550">
        <f t="shared" si="151"/>
        <v>0.82005938073256823</v>
      </c>
      <c r="CK161" s="551">
        <f t="shared" si="152"/>
        <v>37205.274044455888</v>
      </c>
      <c r="CO161" s="546">
        <f t="shared" si="153"/>
        <v>213</v>
      </c>
      <c r="CP161" s="551">
        <f t="shared" si="154"/>
        <v>60.174535098637051</v>
      </c>
      <c r="CQ161" s="553">
        <f>CP161/PI()*SQRT('Hilfstabellen_Mat&amp;Bem'!f.Rd.3/'Hilfstabellen_Mat&amp;Bem'!$BD$30)</f>
        <v>0.95770747092048392</v>
      </c>
      <c r="CR161" s="553">
        <f>0.5*(1+'Hilfstabellen_Mat&amp;Bem'!$BD$31*(CQ161-0.3)+CQ161^2)</f>
        <v>0.99148717347447901</v>
      </c>
      <c r="CS161" s="550">
        <f t="shared" si="155"/>
        <v>0.80122651638453379</v>
      </c>
      <c r="CU161" s="551">
        <f t="shared" si="156"/>
        <v>36350.845821849915</v>
      </c>
      <c r="CY161" s="546">
        <f t="shared" si="157"/>
        <v>213</v>
      </c>
      <c r="CZ161" s="551">
        <f t="shared" si="158"/>
        <v>61.800873885086695</v>
      </c>
      <c r="DA161" s="553">
        <f>CZ161/PI()*SQRT('Hilfstabellen_Mat&amp;Bem'!f.Rd.3/'Hilfstabellen_Mat&amp;Bem'!$BD$30)</f>
        <v>0.98359145662103742</v>
      </c>
      <c r="DB161" s="553">
        <f>0.5*(1+'Hilfstabellen_Mat&amp;Bem'!$BD$31*(DA161-0.3)+DA161^2)</f>
        <v>1.017905649599999</v>
      </c>
      <c r="DC161" s="550">
        <f t="shared" si="159"/>
        <v>0.78126594205051336</v>
      </c>
      <c r="DE161" s="551">
        <f t="shared" si="160"/>
        <v>35445.254524889744</v>
      </c>
      <c r="DI161" s="546">
        <f t="shared" si="161"/>
        <v>213</v>
      </c>
      <c r="DJ161" s="551">
        <f t="shared" si="162"/>
        <v>63.427212671536346</v>
      </c>
      <c r="DK161" s="553">
        <f>DJ161/PI()*SQRT('Hilfstabellen_Mat&amp;Bem'!f.Rd.3/'Hilfstabellen_Mat&amp;Bem'!$BD$30)</f>
        <v>1.009475442321591</v>
      </c>
      <c r="DL161" s="553">
        <f>0.5*(1+'Hilfstabellen_Mat&amp;Bem'!$BD$31*(DK161-0.3)+DK161^2)</f>
        <v>1.0449941064412656</v>
      </c>
      <c r="DM161" s="550">
        <f t="shared" si="163"/>
        <v>0.76038258748840548</v>
      </c>
      <c r="DO161" s="551">
        <f t="shared" si="164"/>
        <v>34497.797611761467</v>
      </c>
      <c r="DS161" s="546">
        <f t="shared" si="165"/>
        <v>213</v>
      </c>
      <c r="DT161" s="551">
        <f t="shared" si="166"/>
        <v>65.053551457986003</v>
      </c>
      <c r="DU161" s="553">
        <f>DT161/PI()*SQRT('Hilfstabellen_Mat&amp;Bem'!f.Rd.3/'Hilfstabellen_Mat&amp;Bem'!$BD$30)</f>
        <v>1.0353594280221448</v>
      </c>
      <c r="DV161" s="553">
        <f>0.5*(1+'Hilfstabellen_Mat&amp;Bem'!$BD$31*(DU161-0.3)+DU161^2)</f>
        <v>1.0727525439982786</v>
      </c>
      <c r="DW161" s="550">
        <f t="shared" si="167"/>
        <v>0.73881579803199493</v>
      </c>
      <c r="DY161" s="551">
        <f t="shared" si="168"/>
        <v>33519.333940913581</v>
      </c>
      <c r="EC161" s="546">
        <f t="shared" si="169"/>
        <v>213</v>
      </c>
      <c r="ED161" s="551">
        <f t="shared" si="170"/>
        <v>66.679890244435654</v>
      </c>
      <c r="EE161" s="553">
        <f>ED161/PI()*SQRT('Hilfstabellen_Mat&amp;Bem'!f.Rd.3/'Hilfstabellen_Mat&amp;Bem'!$BD$30)</f>
        <v>1.0612434137226985</v>
      </c>
      <c r="EF161" s="553">
        <f>0.5*(1+'Hilfstabellen_Mat&amp;Bem'!$BD$31*(EE161-0.3)+EE161^2)</f>
        <v>1.1011809622710382</v>
      </c>
      <c r="EG161" s="550">
        <f t="shared" si="171"/>
        <v>0.71681763535183252</v>
      </c>
      <c r="EI161" s="551">
        <f t="shared" si="172"/>
        <v>32521.299298277288</v>
      </c>
      <c r="EM161" s="546">
        <f t="shared" si="173"/>
        <v>213</v>
      </c>
      <c r="EN161" s="551">
        <f t="shared" si="174"/>
        <v>68.306229030885291</v>
      </c>
      <c r="EO161" s="553">
        <f>EN161/PI()*SQRT('Hilfstabellen_Mat&amp;Bem'!f.Rd.3/'Hilfstabellen_Mat&amp;Bem'!$BD$30)</f>
        <v>1.0871273994232518</v>
      </c>
      <c r="EP161" s="553">
        <f>0.5*(1+'Hilfstabellen_Mat&amp;Bem'!$BD$31*(EO161-0.3)+EO161^2)</f>
        <v>1.1302793612595439</v>
      </c>
      <c r="EQ161" s="550">
        <f t="shared" si="175"/>
        <v>0.69463256797828066</v>
      </c>
      <c r="ES161" s="551">
        <f t="shared" si="176"/>
        <v>31514.784976606614</v>
      </c>
    </row>
    <row r="162" spans="3:149">
      <c r="C162" s="546">
        <v>214</v>
      </c>
      <c r="D162" s="551">
        <f t="shared" si="126"/>
        <v>45.324694029839776</v>
      </c>
      <c r="E162" s="553">
        <f>$D162/PI()*SQRT('Hilfstabellen_Mat&amp;Bem'!f.Rd.3/'Hilfstabellen_Mat&amp;Bem'!$BD$30)</f>
        <v>0.72136490989767177</v>
      </c>
      <c r="F162" s="553">
        <f>0.5*(1+'Hilfstabellen_Mat&amp;Bem'!$BD$31*($E162-0.3)+$E162^2)</f>
        <v>0.78125191211072165</v>
      </c>
      <c r="G162" s="550">
        <f t="shared" si="127"/>
        <v>0.92487208020936962</v>
      </c>
      <c r="I162" s="551">
        <f t="shared" si="128"/>
        <v>42355.441785268289</v>
      </c>
      <c r="M162" s="546">
        <f t="shared" si="129"/>
        <v>214</v>
      </c>
      <c r="N162" s="551">
        <f t="shared" si="118"/>
        <v>46.943433102334055</v>
      </c>
      <c r="O162" s="553">
        <f>$N162/PI()*SQRT('Hilfstabellen_Mat&amp;Bem'!f.Rd.3/'Hilfstabellen_Mat&amp;Bem'!$BD$30)</f>
        <v>0.74712794239401736</v>
      </c>
      <c r="P162" s="553">
        <f>0.5*(1+'Hilfstabellen_Mat&amp;Bem'!$BD$31*($O162-0.3)+$O162^2)</f>
        <v>0.80145647827265987</v>
      </c>
      <c r="Q162" s="550">
        <f t="shared" si="119"/>
        <v>0.91616016382486209</v>
      </c>
      <c r="S162" s="551">
        <f t="shared" si="130"/>
        <v>41956.470862523383</v>
      </c>
      <c r="W162" s="546">
        <f t="shared" si="131"/>
        <v>214</v>
      </c>
      <c r="X162" s="551">
        <f t="shared" si="120"/>
        <v>48.562172174828333</v>
      </c>
      <c r="Y162" s="553">
        <f>$X162/PI()*SQRT('Hilfstabellen_Mat&amp;Bem'!f.Rd.3/'Hilfstabellen_Mat&amp;Bem'!$BD$30)</f>
        <v>0.77289097489036274</v>
      </c>
      <c r="Z162" s="553">
        <f>0.5*(1+'Hilfstabellen_Mat&amp;Bem'!$BD$31*($Y162-0.3)+$Y162^2)</f>
        <v>0.82232477827800587</v>
      </c>
      <c r="AA162" s="550">
        <f t="shared" si="121"/>
        <v>0.90650267910809268</v>
      </c>
      <c r="AC162" s="551">
        <f t="shared" si="132"/>
        <v>41514.196692434212</v>
      </c>
      <c r="AG162" s="546">
        <f t="shared" si="133"/>
        <v>214</v>
      </c>
      <c r="AH162" s="551">
        <f t="shared" si="122"/>
        <v>50.180911247322612</v>
      </c>
      <c r="AI162" s="553">
        <f>$AH162/PI()*SQRT('Hilfstabellen_Mat&amp;Bem'!f.Rd.3/'Hilfstabellen_Mat&amp;Bem'!$BD$30)</f>
        <v>0.79865400738670811</v>
      </c>
      <c r="AJ162" s="553">
        <f>0.5*(1+'Hilfstabellen_Mat&amp;Bem'!$BD$31*($AI162-0.3)+$AI162^2)</f>
        <v>0.84385681212675934</v>
      </c>
      <c r="AK162" s="550">
        <f t="shared" si="123"/>
        <v>0.89578589882810111</v>
      </c>
      <c r="AM162" s="551">
        <f t="shared" si="134"/>
        <v>41023.411022731721</v>
      </c>
      <c r="AQ162" s="546">
        <f t="shared" si="135"/>
        <v>214</v>
      </c>
      <c r="AR162" s="551">
        <f t="shared" si="124"/>
        <v>51.799650319816891</v>
      </c>
      <c r="AS162" s="553">
        <f>$AR162/PI()*SQRT('Hilfstabellen_Mat&amp;Bem'!f.Rd.3/'Hilfstabellen_Mat&amp;Bem'!$BD$30)</f>
        <v>0.82441703988305359</v>
      </c>
      <c r="AT162" s="553">
        <f>0.5*(1+'Hilfstabellen_Mat&amp;Bem'!$BD$31*($AS162-0.3)+$AS162^2)</f>
        <v>0.86605257981892092</v>
      </c>
      <c r="AU162" s="550">
        <f t="shared" si="125"/>
        <v>0.88389844909054249</v>
      </c>
      <c r="AW162" s="551">
        <f t="shared" si="136"/>
        <v>40479.013374550486</v>
      </c>
      <c r="BA162" s="546">
        <f t="shared" si="137"/>
        <v>214</v>
      </c>
      <c r="BB162" s="551">
        <f t="shared" si="138"/>
        <v>53.418389392311163</v>
      </c>
      <c r="BC162" s="553">
        <f>$BB162/PI()*SQRT('Hilfstabellen_Mat&amp;Bem'!f.Rd.3/'Hilfstabellen_Mat&amp;Bem'!$BD$30)</f>
        <v>0.85018007237939897</v>
      </c>
      <c r="BD162" s="553">
        <f>0.5*(1+'Hilfstabellen_Mat&amp;Bem'!$BD$31*($BC162-0.3)+$BC162^2)</f>
        <v>0.88891208135448996</v>
      </c>
      <c r="BE162" s="550">
        <f t="shared" si="139"/>
        <v>0.87074086433875919</v>
      </c>
      <c r="BG162" s="551">
        <f t="shared" si="140"/>
        <v>39876.448623257813</v>
      </c>
      <c r="BK162" s="546">
        <f t="shared" si="141"/>
        <v>214</v>
      </c>
      <c r="BL162" s="551">
        <f t="shared" si="142"/>
        <v>55.037128464805448</v>
      </c>
      <c r="BM162" s="553">
        <f>$BL162/PI()*SQRT('Hilfstabellen_Mat&amp;Bem'!f.Rd.3/'Hilfstabellen_Mat&amp;Bem'!$BD$30)</f>
        <v>0.87594310487574445</v>
      </c>
      <c r="BN162" s="553">
        <f>0.5*(1+'Hilfstabellen_Mat&amp;Bem'!$BD$31*($BM162-0.3)+$BM162^2)</f>
        <v>0.91243531673346689</v>
      </c>
      <c r="BO162" s="550">
        <f t="shared" si="143"/>
        <v>0.85623815097854261</v>
      </c>
      <c r="BQ162" s="551">
        <f t="shared" si="144"/>
        <v>39212.282362213336</v>
      </c>
      <c r="BU162" s="546">
        <f t="shared" si="145"/>
        <v>214</v>
      </c>
      <c r="BV162" s="551">
        <f t="shared" si="146"/>
        <v>56.655867537299727</v>
      </c>
      <c r="BW162" s="553">
        <f>$BV162/PI()*SQRT('Hilfstabellen_Mat&amp;Bem'!f.Rd.3/'Hilfstabellen_Mat&amp;Bem'!$BD$30)</f>
        <v>0.90170613737209004</v>
      </c>
      <c r="BX162" s="553">
        <f>0.5*(1+'Hilfstabellen_Mat&amp;Bem'!$BD$31*($BW162-0.3)+$BW162^2)</f>
        <v>0.93662228595585173</v>
      </c>
      <c r="BY162" s="550">
        <f t="shared" si="147"/>
        <v>0.8403541364487781</v>
      </c>
      <c r="CA162" s="551">
        <f t="shared" si="148"/>
        <v>38484.858032808239</v>
      </c>
      <c r="CE162" s="546">
        <f t="shared" si="149"/>
        <v>214</v>
      </c>
      <c r="CF162" s="551">
        <f t="shared" si="150"/>
        <v>58.274606609793999</v>
      </c>
      <c r="CG162" s="553">
        <f>CF162/PI()*SQRT('Hilfstabellen_Mat&amp;Bem'!f.Rd.3/'Hilfstabellen_Mat&amp;Bem'!$BD$30)</f>
        <v>0.92746916986843519</v>
      </c>
      <c r="CH162" s="553">
        <f>0.5*(1+'Hilfstabellen_Mat&amp;Bem'!$BD$31*(CG162-0.3)+CG162^2)</f>
        <v>0.96147298902164391</v>
      </c>
      <c r="CI162" s="550">
        <f t="shared" si="151"/>
        <v>0.82310499656011094</v>
      </c>
      <c r="CK162" s="551">
        <f t="shared" si="152"/>
        <v>37694.916422466842</v>
      </c>
      <c r="CO162" s="546">
        <f t="shared" si="153"/>
        <v>214</v>
      </c>
      <c r="CP162" s="551">
        <f t="shared" si="154"/>
        <v>59.893345682288277</v>
      </c>
      <c r="CQ162" s="553">
        <f>CP162/PI()*SQRT('Hilfstabellen_Mat&amp;Bem'!f.Rd.3/'Hilfstabellen_Mat&amp;Bem'!$BD$30)</f>
        <v>0.95323220236478068</v>
      </c>
      <c r="CR162" s="553">
        <f>0.5*(1+'Hilfstabellen_Mat&amp;Bem'!$BD$31*(CQ162-0.3)+CQ162^2)</f>
        <v>0.98698742593084421</v>
      </c>
      <c r="CS162" s="550">
        <f t="shared" si="155"/>
        <v>0.80456831097138726</v>
      </c>
      <c r="CU162" s="551">
        <f t="shared" si="156"/>
        <v>36846.010369245654</v>
      </c>
      <c r="CY162" s="546">
        <f t="shared" si="157"/>
        <v>214</v>
      </c>
      <c r="CZ162" s="551">
        <f t="shared" si="158"/>
        <v>61.512084754782563</v>
      </c>
      <c r="DA162" s="553">
        <f>CZ162/PI()*SQRT('Hilfstabellen_Mat&amp;Bem'!f.Rd.3/'Hilfstabellen_Mat&amp;Bem'!$BD$30)</f>
        <v>0.97899523486112627</v>
      </c>
      <c r="DB162" s="553">
        <f>0.5*(1+'Hilfstabellen_Mat&amp;Bem'!$BD$31*(DA162-0.3)+DA162^2)</f>
        <v>1.0131655966834523</v>
      </c>
      <c r="DC162" s="550">
        <f t="shared" si="159"/>
        <v>0.78488416618634582</v>
      </c>
      <c r="DE162" s="551">
        <f t="shared" si="160"/>
        <v>35944.555274669896</v>
      </c>
      <c r="DI162" s="546">
        <f t="shared" si="161"/>
        <v>214</v>
      </c>
      <c r="DJ162" s="551">
        <f t="shared" si="162"/>
        <v>63.130823827276828</v>
      </c>
      <c r="DK162" s="553">
        <f>DJ162/PI()*SQRT('Hilfstabellen_Mat&amp;Bem'!f.Rd.3/'Hilfstabellen_Mat&amp;Bem'!$BD$30)</f>
        <v>1.0047582673574715</v>
      </c>
      <c r="DL162" s="553">
        <f>0.5*(1+'Hilfstabellen_Mat&amp;Bem'!$BD$31*(DK162-0.3)+DK162^2)</f>
        <v>1.0400075012794676</v>
      </c>
      <c r="DM162" s="550">
        <f t="shared" si="163"/>
        <v>0.76424668514066096</v>
      </c>
      <c r="DO162" s="551">
        <f t="shared" si="164"/>
        <v>34999.441192701706</v>
      </c>
      <c r="DS162" s="546">
        <f t="shared" si="165"/>
        <v>214</v>
      </c>
      <c r="DT162" s="551">
        <f t="shared" si="166"/>
        <v>64.749562899771107</v>
      </c>
      <c r="DU162" s="553">
        <f>DT162/PI()*SQRT('Hilfstabellen_Mat&amp;Bem'!f.Rd.3/'Hilfstabellen_Mat&amp;Bem'!$BD$30)</f>
        <v>1.0305212998538169</v>
      </c>
      <c r="DV162" s="553">
        <f>0.5*(1+'Hilfstabellen_Mat&amp;Bem'!$BD$31*(DU162-0.3)+DU162^2)</f>
        <v>1.0675131397188911</v>
      </c>
      <c r="DW162" s="550">
        <f t="shared" si="167"/>
        <v>0.74288733842934962</v>
      </c>
      <c r="DY162" s="551">
        <f t="shared" si="168"/>
        <v>34021.268550710498</v>
      </c>
      <c r="EC162" s="546">
        <f t="shared" si="169"/>
        <v>214</v>
      </c>
      <c r="ED162" s="551">
        <f t="shared" si="170"/>
        <v>66.3683019722654</v>
      </c>
      <c r="EE162" s="553">
        <f>ED162/PI()*SQRT('Hilfstabellen_Mat&amp;Bem'!f.Rd.3/'Hilfstabellen_Mat&amp;Bem'!$BD$30)</f>
        <v>1.0562843323501625</v>
      </c>
      <c r="EF162" s="553">
        <f>0.5*(1+'Hilfstabellen_Mat&amp;Bem'!$BD$31*(EE162-0.3)+EE162^2)</f>
        <v>1.0956825120017224</v>
      </c>
      <c r="EG162" s="550">
        <f t="shared" si="171"/>
        <v>0.72105398711125479</v>
      </c>
      <c r="EI162" s="551">
        <f t="shared" si="172"/>
        <v>33021.388393747024</v>
      </c>
      <c r="EM162" s="546">
        <f t="shared" si="173"/>
        <v>214</v>
      </c>
      <c r="EN162" s="551">
        <f t="shared" si="174"/>
        <v>67.987041044759664</v>
      </c>
      <c r="EO162" s="553">
        <f>EN162/PI()*SQRT('Hilfstabellen_Mat&amp;Bem'!f.Rd.3/'Hilfstabellen_Mat&amp;Bem'!$BD$30)</f>
        <v>1.0820473648465077</v>
      </c>
      <c r="EP162" s="553">
        <f>0.5*(1+'Hilfstabellen_Mat&amp;Bem'!$BD$31*(EO162-0.3)+EO162^2)</f>
        <v>1.124515618127961</v>
      </c>
      <c r="EQ162" s="550">
        <f t="shared" si="175"/>
        <v>0.69899046835793244</v>
      </c>
      <c r="ES162" s="551">
        <f t="shared" si="176"/>
        <v>32010.967488919872</v>
      </c>
    </row>
    <row r="163" spans="3:149">
      <c r="C163" s="546">
        <v>215</v>
      </c>
      <c r="D163" s="551">
        <f t="shared" si="126"/>
        <v>45.113881499468427</v>
      </c>
      <c r="E163" s="553">
        <f>$D163/PI()*SQRT('Hilfstabellen_Mat&amp;Bem'!f.Rd.3/'Hilfstabellen_Mat&amp;Bem'!$BD$30)</f>
        <v>0.71800972427024079</v>
      </c>
      <c r="F163" s="553">
        <f>0.5*(1+'Hilfstabellen_Mat&amp;Bem'!$BD$31*($E163-0.3)+$E163^2)</f>
        <v>0.77866946828682559</v>
      </c>
      <c r="G163" s="550">
        <f t="shared" si="127"/>
        <v>0.92594287358915683</v>
      </c>
      <c r="I163" s="551">
        <f t="shared" si="128"/>
        <v>42801.709331658778</v>
      </c>
      <c r="M163" s="546">
        <f t="shared" si="129"/>
        <v>215</v>
      </c>
      <c r="N163" s="551">
        <f t="shared" si="118"/>
        <v>46.725091553020874</v>
      </c>
      <c r="O163" s="553">
        <f>$N163/PI()*SQRT('Hilfstabellen_Mat&amp;Bem'!f.Rd.3/'Hilfstabellen_Mat&amp;Bem'!$BD$30)</f>
        <v>0.74365292870846378</v>
      </c>
      <c r="P163" s="553">
        <f>0.5*(1+'Hilfstabellen_Mat&amp;Bem'!$BD$31*($O163-0.3)+$O163^2)</f>
        <v>0.79869248562376094</v>
      </c>
      <c r="Q163" s="550">
        <f t="shared" si="119"/>
        <v>0.91738794501700627</v>
      </c>
      <c r="S163" s="551">
        <f t="shared" si="130"/>
        <v>42406.257758411113</v>
      </c>
      <c r="W163" s="546">
        <f t="shared" si="131"/>
        <v>215</v>
      </c>
      <c r="X163" s="551">
        <f t="shared" si="120"/>
        <v>48.336301606573315</v>
      </c>
      <c r="Y163" s="553">
        <f>$X163/PI()*SQRT('Hilfstabellen_Mat&amp;Bem'!f.Rd.3/'Hilfstabellen_Mat&amp;Bem'!$BD$30)</f>
        <v>0.76929613314668654</v>
      </c>
      <c r="Z163" s="553">
        <f>0.5*(1+'Hilfstabellen_Mat&amp;Bem'!$BD$31*($Y163-0.3)+$Y163^2)</f>
        <v>0.81937307689455652</v>
      </c>
      <c r="AA163" s="550">
        <f t="shared" si="121"/>
        <v>0.90791122322520768</v>
      </c>
      <c r="AC163" s="551">
        <f t="shared" si="132"/>
        <v>41968.196293585228</v>
      </c>
      <c r="AG163" s="546">
        <f t="shared" si="133"/>
        <v>215</v>
      </c>
      <c r="AH163" s="551">
        <f t="shared" si="122"/>
        <v>49.947511660125762</v>
      </c>
      <c r="AI163" s="553">
        <f>$AH163/PI()*SQRT('Hilfstabellen_Mat&amp;Bem'!f.Rd.3/'Hilfstabellen_Mat&amp;Bem'!$BD$30)</f>
        <v>0.79493933758490953</v>
      </c>
      <c r="AJ163" s="553">
        <f>0.5*(1+'Hilfstabellen_Mat&amp;Bem'!$BD$31*($AI163-0.3)+$AI163^2)</f>
        <v>0.84071124209921289</v>
      </c>
      <c r="AK163" s="550">
        <f t="shared" si="123"/>
        <v>0.89740079446003107</v>
      </c>
      <c r="AM163" s="551">
        <f t="shared" si="134"/>
        <v>41482.351723914937</v>
      </c>
      <c r="AQ163" s="546">
        <f t="shared" si="135"/>
        <v>215</v>
      </c>
      <c r="AR163" s="551">
        <f t="shared" si="124"/>
        <v>51.558721713678203</v>
      </c>
      <c r="AS163" s="553">
        <f>$AR163/PI()*SQRT('Hilfstabellen_Mat&amp;Bem'!f.Rd.3/'Hilfstabellen_Mat&amp;Bem'!$BD$30)</f>
        <v>0.8205825420231323</v>
      </c>
      <c r="AT163" s="553">
        <f>0.5*(1+'Hilfstabellen_Mat&amp;Bem'!$BD$31*($AS163-0.3)+$AS163^2)</f>
        <v>0.86270698123772949</v>
      </c>
      <c r="AU163" s="550">
        <f t="shared" si="125"/>
        <v>0.8857459926450757</v>
      </c>
      <c r="AW163" s="551">
        <f t="shared" si="136"/>
        <v>40943.608510018625</v>
      </c>
      <c r="BA163" s="546">
        <f t="shared" si="137"/>
        <v>215</v>
      </c>
      <c r="BB163" s="551">
        <f t="shared" si="138"/>
        <v>53.169931767230651</v>
      </c>
      <c r="BC163" s="553">
        <f>$BB163/PI()*SQRT('Hilfstabellen_Mat&amp;Bem'!f.Rd.3/'Hilfstabellen_Mat&amp;Bem'!$BD$30)</f>
        <v>0.84622574646135529</v>
      </c>
      <c r="BD163" s="553">
        <f>0.5*(1+'Hilfstabellen_Mat&amp;Bem'!$BD$31*($BC163-0.3)+$BC163^2)</f>
        <v>0.88536029431010665</v>
      </c>
      <c r="BE163" s="550">
        <f t="shared" si="139"/>
        <v>0.87284628826756949</v>
      </c>
      <c r="BG163" s="551">
        <f t="shared" si="140"/>
        <v>40347.319675168401</v>
      </c>
      <c r="BK163" s="546">
        <f t="shared" si="141"/>
        <v>215</v>
      </c>
      <c r="BL163" s="551">
        <f t="shared" si="142"/>
        <v>54.781141820783091</v>
      </c>
      <c r="BM163" s="553">
        <f>$BL163/PI()*SQRT('Hilfstabellen_Mat&amp;Bem'!f.Rd.3/'Hilfstabellen_Mat&amp;Bem'!$BD$30)</f>
        <v>0.87186895089957805</v>
      </c>
      <c r="BN163" s="553">
        <f>0.5*(1+'Hilfstabellen_Mat&amp;Bem'!$BD$31*($BM163-0.3)+$BM163^2)</f>
        <v>0.90867118131634439</v>
      </c>
      <c r="BO163" s="550">
        <f t="shared" si="143"/>
        <v>0.85862317794288789</v>
      </c>
      <c r="BQ163" s="551">
        <f t="shared" si="144"/>
        <v>39689.85640040999</v>
      </c>
      <c r="BU163" s="546">
        <f t="shared" si="145"/>
        <v>215</v>
      </c>
      <c r="BV163" s="551">
        <f t="shared" si="146"/>
        <v>56.392351874335539</v>
      </c>
      <c r="BW163" s="553">
        <f>$BV163/PI()*SQRT('Hilfstabellen_Mat&amp;Bem'!f.Rd.3/'Hilfstabellen_Mat&amp;Bem'!$BD$30)</f>
        <v>0.89751215533780104</v>
      </c>
      <c r="BX163" s="553">
        <f>0.5*(1+'Hilfstabellen_Mat&amp;Bem'!$BD$31*($BW163-0.3)+$BW163^2)</f>
        <v>0.93263964225644258</v>
      </c>
      <c r="BY163" s="550">
        <f t="shared" si="147"/>
        <v>0.84303407370106309</v>
      </c>
      <c r="CA163" s="551">
        <f t="shared" si="148"/>
        <v>38969.250056831639</v>
      </c>
      <c r="CE163" s="546">
        <f t="shared" si="149"/>
        <v>215</v>
      </c>
      <c r="CF163" s="551">
        <f t="shared" si="150"/>
        <v>58.003561927887986</v>
      </c>
      <c r="CG163" s="553">
        <f>CF163/PI()*SQRT('Hilfstabellen_Mat&amp;Bem'!f.Rd.3/'Hilfstabellen_Mat&amp;Bem'!$BD$30)</f>
        <v>0.92315535977602403</v>
      </c>
      <c r="CH163" s="553">
        <f>0.5*(1+'Hilfstabellen_Mat&amp;Bem'!$BD$31*(CG163-0.3)+CG163^2)</f>
        <v>0.95726567713040134</v>
      </c>
      <c r="CI163" s="550">
        <f t="shared" si="151"/>
        <v>0.82608586896547631</v>
      </c>
      <c r="CK163" s="551">
        <f t="shared" si="152"/>
        <v>38185.81929292914</v>
      </c>
      <c r="CO163" s="546">
        <f t="shared" si="153"/>
        <v>215</v>
      </c>
      <c r="CP163" s="551">
        <f t="shared" si="154"/>
        <v>59.61477198144042</v>
      </c>
      <c r="CQ163" s="553">
        <f>CP163/PI()*SQRT('Hilfstabellen_Mat&amp;Bem'!f.Rd.3/'Hilfstabellen_Mat&amp;Bem'!$BD$30)</f>
        <v>0.9487985642142468</v>
      </c>
      <c r="CR163" s="553">
        <f>0.5*(1+'Hilfstabellen_Mat&amp;Bem'!$BD$31*(CQ163-0.3)+CQ163^2)</f>
        <v>0.98254928593822055</v>
      </c>
      <c r="CS163" s="550">
        <f t="shared" si="155"/>
        <v>0.80784474637564063</v>
      </c>
      <c r="CU163" s="551">
        <f t="shared" si="156"/>
        <v>37342.62340121399</v>
      </c>
      <c r="CY163" s="546">
        <f t="shared" si="157"/>
        <v>215</v>
      </c>
      <c r="CZ163" s="551">
        <f t="shared" si="158"/>
        <v>61.225982034992867</v>
      </c>
      <c r="DA163" s="553">
        <f>CZ163/PI()*SQRT('Hilfstabellen_Mat&amp;Bem'!f.Rd.3/'Hilfstabellen_Mat&amp;Bem'!$BD$30)</f>
        <v>0.97444176865246979</v>
      </c>
      <c r="DB163" s="553">
        <f>0.5*(1+'Hilfstabellen_Mat&amp;Bem'!$BD$31*(DA163-0.3)+DA163^2)</f>
        <v>1.0084904686799003</v>
      </c>
      <c r="DC163" s="550">
        <f t="shared" si="159"/>
        <v>0.78843871950770283</v>
      </c>
      <c r="DE163" s="551">
        <f t="shared" si="160"/>
        <v>36445.579809243565</v>
      </c>
      <c r="DI163" s="546">
        <f t="shared" si="161"/>
        <v>215</v>
      </c>
      <c r="DJ163" s="551">
        <f t="shared" si="162"/>
        <v>62.837192088545315</v>
      </c>
      <c r="DK163" s="553">
        <f>DJ163/PI()*SQRT('Hilfstabellen_Mat&amp;Bem'!f.Rd.3/'Hilfstabellen_Mat&amp;Bem'!$BD$30)</f>
        <v>1.0000849730906927</v>
      </c>
      <c r="DL163" s="553">
        <f>0.5*(1+'Hilfstabellen_Mat&amp;Bem'!$BD$31*(DK163-0.3)+DK163^2)</f>
        <v>1.0350892253554402</v>
      </c>
      <c r="DM163" s="550">
        <f t="shared" si="163"/>
        <v>0.76805093492739729</v>
      </c>
      <c r="DO163" s="551">
        <f t="shared" si="164"/>
        <v>35503.15446701894</v>
      </c>
      <c r="DS163" s="546">
        <f t="shared" si="165"/>
        <v>215</v>
      </c>
      <c r="DT163" s="551">
        <f t="shared" si="166"/>
        <v>64.448402142097763</v>
      </c>
      <c r="DU163" s="553">
        <f>DT163/PI()*SQRT('Hilfstabellen_Mat&amp;Bem'!f.Rd.3/'Hilfstabellen_Mat&amp;Bem'!$BD$30)</f>
        <v>1.0257281775289155</v>
      </c>
      <c r="DV163" s="553">
        <f>0.5*(1+'Hilfstabellen_Mat&amp;Bem'!$BD$31*(DU163-0.3)+DU163^2)</f>
        <v>1.0623455559648409</v>
      </c>
      <c r="DW163" s="550">
        <f t="shared" si="167"/>
        <v>0.74690453818751323</v>
      </c>
      <c r="DY163" s="551">
        <f t="shared" si="168"/>
        <v>34525.662277717798</v>
      </c>
      <c r="EC163" s="546">
        <f t="shared" si="169"/>
        <v>215</v>
      </c>
      <c r="ED163" s="551">
        <f t="shared" si="170"/>
        <v>66.059612195650189</v>
      </c>
      <c r="EE163" s="553">
        <f>ED163/PI()*SQRT('Hilfstabellen_Mat&amp;Bem'!f.Rd.3/'Hilfstabellen_Mat&amp;Bem'!$BD$30)</f>
        <v>1.0513713819671382</v>
      </c>
      <c r="EF163" s="553">
        <f>0.5*(1+'Hilfstabellen_Mat&amp;Bem'!$BD$31*(EE163-0.3)+EE163^2)</f>
        <v>1.090259460508102</v>
      </c>
      <c r="EG163" s="550">
        <f t="shared" si="171"/>
        <v>0.72524258817391174</v>
      </c>
      <c r="EI163" s="551">
        <f t="shared" si="172"/>
        <v>33524.338638339068</v>
      </c>
      <c r="EM163" s="546">
        <f t="shared" si="173"/>
        <v>215</v>
      </c>
      <c r="EN163" s="551">
        <f t="shared" si="174"/>
        <v>67.670822249202644</v>
      </c>
      <c r="EO163" s="553">
        <f>EN163/PI()*SQRT('Hilfstabellen_Mat&amp;Bem'!f.Rd.3/'Hilfstabellen_Mat&amp;Bem'!$BD$30)</f>
        <v>1.0770145864053613</v>
      </c>
      <c r="EP163" s="553">
        <f>0.5*(1+'Hilfstabellen_Mat&amp;Bem'!$BD$31*(EO163-0.3)+EO163^2)</f>
        <v>1.1188309389852238</v>
      </c>
      <c r="EQ163" s="550">
        <f t="shared" si="175"/>
        <v>0.70330768217312434</v>
      </c>
      <c r="ES163" s="551">
        <f t="shared" si="176"/>
        <v>32510.397608452673</v>
      </c>
    </row>
    <row r="164" spans="3:149">
      <c r="C164" s="546">
        <v>216</v>
      </c>
      <c r="D164" s="551">
        <f t="shared" si="126"/>
        <v>44.905020936970892</v>
      </c>
      <c r="E164" s="553">
        <f>$D164/PI()*SQRT('Hilfstabellen_Mat&amp;Bem'!f.Rd.3/'Hilfstabellen_Mat&amp;Bem'!$BD$30)</f>
        <v>0.71468560517639723</v>
      </c>
      <c r="F164" s="553">
        <f>0.5*(1+'Hilfstabellen_Mat&amp;Bem'!$BD$31*($E164-0.3)+$E164^2)</f>
        <v>0.77612203738199637</v>
      </c>
      <c r="G164" s="550">
        <f t="shared" si="127"/>
        <v>0.92699001204304887</v>
      </c>
      <c r="I164" s="551">
        <f t="shared" si="128"/>
        <v>43249.646001880486</v>
      </c>
      <c r="M164" s="546">
        <f t="shared" si="129"/>
        <v>216</v>
      </c>
      <c r="N164" s="551">
        <f t="shared" si="118"/>
        <v>46.508771684719846</v>
      </c>
      <c r="O164" s="553">
        <f>$N164/PI()*SQRT('Hilfstabellen_Mat&amp;Bem'!f.Rd.3/'Hilfstabellen_Mat&amp;Bem'!$BD$30)</f>
        <v>0.74021009107555402</v>
      </c>
      <c r="P164" s="553">
        <f>0.5*(1+'Hilfstabellen_Mat&amp;Bem'!$BD$31*($O164-0.3)+$O164^2)</f>
        <v>0.79596599401881774</v>
      </c>
      <c r="Q164" s="550">
        <f t="shared" si="119"/>
        <v>0.91858767091175375</v>
      </c>
      <c r="S164" s="551">
        <f t="shared" si="130"/>
        <v>42857.626374058782</v>
      </c>
      <c r="W164" s="546">
        <f t="shared" si="131"/>
        <v>216</v>
      </c>
      <c r="X164" s="551">
        <f t="shared" si="120"/>
        <v>48.112522432468815</v>
      </c>
      <c r="Y164" s="553">
        <f>$X164/PI()*SQRT('Hilfstabellen_Mat&amp;Bem'!f.Rd.3/'Hilfstabellen_Mat&amp;Bem'!$BD$30)</f>
        <v>0.76573457697471126</v>
      </c>
      <c r="Z164" s="553">
        <f>0.5*(1+'Hilfstabellen_Mat&amp;Bem'!$BD$31*($Y164-0.3)+$Y164^2)</f>
        <v>0.81646145003605564</v>
      </c>
      <c r="AA164" s="550">
        <f t="shared" si="121"/>
        <v>0.90928668947769287</v>
      </c>
      <c r="AC164" s="551">
        <f t="shared" si="132"/>
        <v>42423.67978427124</v>
      </c>
      <c r="AG164" s="546">
        <f t="shared" si="133"/>
        <v>216</v>
      </c>
      <c r="AH164" s="551">
        <f t="shared" si="122"/>
        <v>49.716273180217769</v>
      </c>
      <c r="AI164" s="553">
        <f>$AH164/PI()*SQRT('Hilfstabellen_Mat&amp;Bem'!f.Rd.3/'Hilfstabellen_Mat&amp;Bem'!$BD$30)</f>
        <v>0.79125906287386816</v>
      </c>
      <c r="AJ164" s="553">
        <f>0.5*(1+'Hilfstabellen_Mat&amp;Bem'!$BD$31*($AI164-0.3)+$AI164^2)</f>
        <v>0.8376084054337094</v>
      </c>
      <c r="AK164" s="550">
        <f t="shared" si="123"/>
        <v>0.89897703850035759</v>
      </c>
      <c r="AM164" s="551">
        <f t="shared" si="134"/>
        <v>41942.672708272687</v>
      </c>
      <c r="AQ164" s="546">
        <f t="shared" si="135"/>
        <v>216</v>
      </c>
      <c r="AR164" s="551">
        <f t="shared" si="124"/>
        <v>51.32002392796673</v>
      </c>
      <c r="AS164" s="553">
        <f>$AR164/PI()*SQRT('Hilfstabellen_Mat&amp;Bem'!f.Rd.3/'Hilfstabellen_Mat&amp;Bem'!$BD$30)</f>
        <v>0.81678354877302528</v>
      </c>
      <c r="AT164" s="553">
        <f>0.5*(1+'Hilfstabellen_Mat&amp;Bem'!$BD$31*($AS164-0.3)+$AS164^2)</f>
        <v>0.8594068602117797</v>
      </c>
      <c r="AU164" s="550">
        <f t="shared" si="125"/>
        <v>0.88754893868220897</v>
      </c>
      <c r="AW164" s="551">
        <f t="shared" si="136"/>
        <v>41409.48328315714</v>
      </c>
      <c r="BA164" s="546">
        <f t="shared" si="137"/>
        <v>216</v>
      </c>
      <c r="BB164" s="551">
        <f t="shared" si="138"/>
        <v>52.923774675715691</v>
      </c>
      <c r="BC164" s="553">
        <f>$BB164/PI()*SQRT('Hilfstabellen_Mat&amp;Bem'!f.Rd.3/'Hilfstabellen_Mat&amp;Bem'!$BD$30)</f>
        <v>0.8423080346721824</v>
      </c>
      <c r="BD164" s="553">
        <f>0.5*(1+'Hilfstabellen_Mat&amp;Bem'!$BD$31*($BC164-0.3)+$BC164^2)</f>
        <v>0.88185681437026631</v>
      </c>
      <c r="BE164" s="550">
        <f t="shared" si="139"/>
        <v>0.87490111422553563</v>
      </c>
      <c r="BG164" s="551">
        <f t="shared" si="140"/>
        <v>40819.386385306592</v>
      </c>
      <c r="BK164" s="546">
        <f t="shared" si="141"/>
        <v>216</v>
      </c>
      <c r="BL164" s="551">
        <f t="shared" si="142"/>
        <v>54.527525423464652</v>
      </c>
      <c r="BM164" s="553">
        <f>$BL164/PI()*SQRT('Hilfstabellen_Mat&amp;Bem'!f.Rd.3/'Hilfstabellen_Mat&amp;Bem'!$BD$30)</f>
        <v>0.86783252057133942</v>
      </c>
      <c r="BN164" s="553">
        <f>0.5*(1+'Hilfstabellen_Mat&amp;Bem'!$BD$31*($BM164-0.3)+$BM164^2)</f>
        <v>0.904958267909169</v>
      </c>
      <c r="BO164" s="550">
        <f t="shared" si="143"/>
        <v>0.86095201648001696</v>
      </c>
      <c r="BQ164" s="551">
        <f t="shared" si="144"/>
        <v>40168.577280891674</v>
      </c>
      <c r="BU164" s="546">
        <f t="shared" si="145"/>
        <v>216</v>
      </c>
      <c r="BV164" s="551">
        <f t="shared" si="146"/>
        <v>56.131276171213607</v>
      </c>
      <c r="BW164" s="553">
        <f>$BV164/PI()*SQRT('Hilfstabellen_Mat&amp;Bem'!f.Rd.3/'Hilfstabellen_Mat&amp;Bem'!$BD$30)</f>
        <v>0.89335700647049632</v>
      </c>
      <c r="BX164" s="553">
        <f>0.5*(1+'Hilfstabellen_Mat&amp;Bem'!$BD$31*($BW164-0.3)+$BW164^2)</f>
        <v>0.928711220828488</v>
      </c>
      <c r="BY164" s="550">
        <f t="shared" si="147"/>
        <v>0.84565321688004447</v>
      </c>
      <c r="CA164" s="551">
        <f t="shared" si="148"/>
        <v>39454.796486755353</v>
      </c>
      <c r="CE164" s="546">
        <f t="shared" si="149"/>
        <v>216</v>
      </c>
      <c r="CF164" s="551">
        <f t="shared" si="150"/>
        <v>57.735026918962575</v>
      </c>
      <c r="CG164" s="553">
        <f>CF164/PI()*SQRT('Hilfstabellen_Mat&amp;Bem'!f.Rd.3/'Hilfstabellen_Mat&amp;Bem'!$BD$30)</f>
        <v>0.91888149236965355</v>
      </c>
      <c r="CH164" s="553">
        <f>0.5*(1+'Hilfstabellen_Mat&amp;Bem'!$BD$31*(CG164-0.3)+CG164^2)</f>
        <v>0.95311567312822354</v>
      </c>
      <c r="CI164" s="550">
        <f t="shared" si="151"/>
        <v>0.8290029172295762</v>
      </c>
      <c r="CK164" s="551">
        <f t="shared" si="152"/>
        <v>38677.960106263105</v>
      </c>
      <c r="CO164" s="546">
        <f t="shared" si="153"/>
        <v>216</v>
      </c>
      <c r="CP164" s="551">
        <f t="shared" si="154"/>
        <v>59.338777666711536</v>
      </c>
      <c r="CQ164" s="553">
        <f>CP164/PI()*SQRT('Hilfstabellen_Mat&amp;Bem'!f.Rd.3/'Hilfstabellen_Mat&amp;Bem'!$BD$30)</f>
        <v>0.94440597826881056</v>
      </c>
      <c r="CR164" s="553">
        <f>0.5*(1+'Hilfstabellen_Mat&amp;Bem'!$BD$31*(CQ164-0.3)+CQ164^2)</f>
        <v>0.97817162480837516</v>
      </c>
      <c r="CS164" s="550">
        <f t="shared" si="155"/>
        <v>0.81105637182883816</v>
      </c>
      <c r="CU164" s="551">
        <f t="shared" si="156"/>
        <v>37840.646084046275</v>
      </c>
      <c r="CY164" s="546">
        <f t="shared" si="157"/>
        <v>216</v>
      </c>
      <c r="CZ164" s="551">
        <f t="shared" si="158"/>
        <v>60.94252841446049</v>
      </c>
      <c r="DA164" s="553">
        <f>CZ164/PI()*SQRT('Hilfstabellen_Mat&amp;Bem'!f.Rd.3/'Hilfstabellen_Mat&amp;Bem'!$BD$30)</f>
        <v>0.96993046416796747</v>
      </c>
      <c r="DB164" s="553">
        <f>0.5*(1+'Hilfstabellen_Mat&amp;Bem'!$BD$31*(DA164-0.3)+DA164^2)</f>
        <v>1.0038790758689426</v>
      </c>
      <c r="DC164" s="550">
        <f t="shared" si="159"/>
        <v>0.79192973439838543</v>
      </c>
      <c r="DE164" s="551">
        <f t="shared" si="160"/>
        <v>36948.273688091074</v>
      </c>
      <c r="DI164" s="546">
        <f t="shared" si="161"/>
        <v>216</v>
      </c>
      <c r="DJ164" s="551">
        <f t="shared" si="162"/>
        <v>62.546279162209458</v>
      </c>
      <c r="DK164" s="553">
        <f>DJ164/PI()*SQRT('Hilfstabellen_Mat&amp;Bem'!f.Rd.3/'Hilfstabellen_Mat&amp;Bem'!$BD$30)</f>
        <v>0.99545495006712459</v>
      </c>
      <c r="DL164" s="553">
        <f>0.5*(1+'Hilfstabellen_Mat&amp;Bem'!$BD$31*(DK164-0.3)+DK164^2)</f>
        <v>1.0302380263099269</v>
      </c>
      <c r="DM164" s="550">
        <f t="shared" si="163"/>
        <v>0.77179506540116882</v>
      </c>
      <c r="DO164" s="551">
        <f t="shared" si="164"/>
        <v>36008.870571356936</v>
      </c>
      <c r="DS164" s="546">
        <f t="shared" si="165"/>
        <v>216</v>
      </c>
      <c r="DT164" s="551">
        <f t="shared" si="166"/>
        <v>64.15002990995842</v>
      </c>
      <c r="DU164" s="553">
        <f>DT164/PI()*SQRT('Hilfstabellen_Mat&amp;Bem'!f.Rd.3/'Hilfstabellen_Mat&amp;Bem'!$BD$30)</f>
        <v>1.0209794359662816</v>
      </c>
      <c r="DV164" s="553">
        <f>0.5*(1+'Hilfstabellen_Mat&amp;Bem'!$BD$31*(DU164-0.3)+DU164^2)</f>
        <v>1.0572484761313272</v>
      </c>
      <c r="DW164" s="550">
        <f t="shared" si="167"/>
        <v>0.75086678653940098</v>
      </c>
      <c r="DY164" s="551">
        <f t="shared" si="168"/>
        <v>35032.44079278229</v>
      </c>
      <c r="EC164" s="546">
        <f t="shared" si="169"/>
        <v>216</v>
      </c>
      <c r="ED164" s="551">
        <f t="shared" si="170"/>
        <v>65.753780657707367</v>
      </c>
      <c r="EE164" s="553">
        <f>ED164/PI()*SQRT('Hilfstabellen_Mat&amp;Bem'!f.Rd.3/'Hilfstabellen_Mat&amp;Bem'!$BD$30)</f>
        <v>1.0465039218654384</v>
      </c>
      <c r="EF164" s="553">
        <f>0.5*(1+'Hilfstabellen_Mat&amp;Bem'!$BD$31*(EE164-0.3)+EE164^2)</f>
        <v>1.0849104253331436</v>
      </c>
      <c r="EG164" s="550">
        <f t="shared" si="171"/>
        <v>0.72938258280186608</v>
      </c>
      <c r="EI164" s="551">
        <f t="shared" si="172"/>
        <v>34030.073783203865</v>
      </c>
      <c r="EM164" s="546">
        <f t="shared" si="173"/>
        <v>216</v>
      </c>
      <c r="EN164" s="551">
        <f t="shared" si="174"/>
        <v>67.357531405456328</v>
      </c>
      <c r="EO164" s="553">
        <f>EN164/PI()*SQRT('Hilfstabellen_Mat&amp;Bem'!f.Rd.3/'Hilfstabellen_Mat&amp;Bem'!$BD$30)</f>
        <v>1.0720284077645956</v>
      </c>
      <c r="EP164" s="553">
        <f>0.5*(1+'Hilfstabellen_Mat&amp;Bem'!$BD$31*(EO164-0.3)+EO164^2)</f>
        <v>1.1132238739153768</v>
      </c>
      <c r="EQ164" s="550">
        <f t="shared" si="175"/>
        <v>0.70758320870488756</v>
      </c>
      <c r="ES164" s="551">
        <f t="shared" si="176"/>
        <v>33013.002185335237</v>
      </c>
    </row>
    <row r="165" spans="3:149">
      <c r="C165" s="546">
        <v>217</v>
      </c>
      <c r="D165" s="551">
        <f t="shared" si="126"/>
        <v>44.698085356616183</v>
      </c>
      <c r="E165" s="553">
        <f>$D165/PI()*SQRT('Hilfstabellen_Mat&amp;Bem'!f.Rd.3/'Hilfstabellen_Mat&amp;Bem'!$BD$30)</f>
        <v>0.71139212312489297</v>
      </c>
      <c r="F165" s="553">
        <f>0.5*(1+'Hilfstabellen_Mat&amp;Bem'!$BD$31*($E165-0.3)+$E165^2)</f>
        <v>0.77360898257831612</v>
      </c>
      <c r="G165" s="550">
        <f t="shared" si="127"/>
        <v>0.92801423361892288</v>
      </c>
      <c r="I165" s="551">
        <f t="shared" si="128"/>
        <v>43699.262246881459</v>
      </c>
      <c r="M165" s="546">
        <f t="shared" si="129"/>
        <v>217</v>
      </c>
      <c r="N165" s="551">
        <f t="shared" si="118"/>
        <v>46.294445547923907</v>
      </c>
      <c r="O165" s="553">
        <f>$N165/PI()*SQRT('Hilfstabellen_Mat&amp;Bem'!f.Rd.3/'Hilfstabellen_Mat&amp;Bem'!$BD$30)</f>
        <v>0.73679898466506777</v>
      </c>
      <c r="P165" s="553">
        <f>0.5*(1+'Hilfstabellen_Mat&amp;Bem'!$BD$31*($O165-0.3)+$O165^2)</f>
        <v>0.79327632113499069</v>
      </c>
      <c r="Q165" s="550">
        <f t="shared" si="119"/>
        <v>0.91976022242008493</v>
      </c>
      <c r="S165" s="551">
        <f t="shared" si="130"/>
        <v>43310.589113539376</v>
      </c>
      <c r="W165" s="546">
        <f t="shared" si="131"/>
        <v>217</v>
      </c>
      <c r="X165" s="551">
        <f t="shared" si="120"/>
        <v>47.890805739231624</v>
      </c>
      <c r="Y165" s="553">
        <f>$X165/PI()*SQRT('Hilfstabellen_Mat&amp;Bem'!f.Rd.3/'Hilfstabellen_Mat&amp;Bem'!$BD$30)</f>
        <v>0.76220584620524245</v>
      </c>
      <c r="Z165" s="553">
        <f>0.5*(1+'Hilfstabellen_Mat&amp;Bem'!$BD$31*($Y165-0.3)+$Y165^2)</f>
        <v>0.81358916830498706</v>
      </c>
      <c r="AA165" s="550">
        <f t="shared" si="121"/>
        <v>0.91063010981468773</v>
      </c>
      <c r="AC165" s="551">
        <f t="shared" si="132"/>
        <v>42880.661241063834</v>
      </c>
      <c r="AG165" s="546">
        <f t="shared" si="133"/>
        <v>217</v>
      </c>
      <c r="AH165" s="551">
        <f t="shared" si="122"/>
        <v>49.487165930539348</v>
      </c>
      <c r="AI165" s="553">
        <f>$AH165/PI()*SQRT('Hilfstabellen_Mat&amp;Bem'!f.Rd.3/'Hilfstabellen_Mat&amp;Bem'!$BD$30)</f>
        <v>0.78761270774541725</v>
      </c>
      <c r="AJ165" s="553">
        <f>0.5*(1+'Hilfstabellen_Mat&amp;Bem'!$BD$31*($AI165-0.3)+$AI165^2)</f>
        <v>0.8345475240883049</v>
      </c>
      <c r="AK165" s="550">
        <f t="shared" si="123"/>
        <v>0.90051580877540705</v>
      </c>
      <c r="AM165" s="551">
        <f t="shared" si="134"/>
        <v>42404.388919425139</v>
      </c>
      <c r="AQ165" s="546">
        <f t="shared" si="135"/>
        <v>217</v>
      </c>
      <c r="AR165" s="551">
        <f t="shared" si="124"/>
        <v>51.083526121847072</v>
      </c>
      <c r="AS165" s="553">
        <f>$AR165/PI()*SQRT('Hilfstabellen_Mat&amp;Bem'!f.Rd.3/'Hilfstabellen_Mat&amp;Bem'!$BD$30)</f>
        <v>0.81301956928559216</v>
      </c>
      <c r="AT165" s="553">
        <f>0.5*(1+'Hilfstabellen_Mat&amp;Bem'!$BD$31*($AS165-0.3)+$AS165^2)</f>
        <v>0.85615138848494443</v>
      </c>
      <c r="AU165" s="550">
        <f t="shared" si="125"/>
        <v>0.88930858462858375</v>
      </c>
      <c r="AW165" s="551">
        <f t="shared" si="136"/>
        <v>41876.651941575379</v>
      </c>
      <c r="BA165" s="546">
        <f t="shared" si="137"/>
        <v>217</v>
      </c>
      <c r="BB165" s="551">
        <f t="shared" si="138"/>
        <v>52.679886313154789</v>
      </c>
      <c r="BC165" s="553">
        <f>$BB165/PI()*SQRT('Hilfstabellen_Mat&amp;Bem'!f.Rd.3/'Hilfstabellen_Mat&amp;Bem'!$BD$30)</f>
        <v>0.83842643082576673</v>
      </c>
      <c r="BD165" s="553">
        <f>0.5*(1+'Hilfstabellen_Mat&amp;Bem'!$BD$31*($BC165-0.3)+$BC165^2)</f>
        <v>0.87840076149490542</v>
      </c>
      <c r="BE165" s="550">
        <f t="shared" si="139"/>
        <v>0.87690670463411413</v>
      </c>
      <c r="BG165" s="551">
        <f t="shared" si="140"/>
        <v>41292.659814515799</v>
      </c>
      <c r="BK165" s="546">
        <f t="shared" si="141"/>
        <v>217</v>
      </c>
      <c r="BL165" s="551">
        <f t="shared" si="142"/>
        <v>54.276246504462513</v>
      </c>
      <c r="BM165" s="553">
        <f>$BL165/PI()*SQRT('Hilfstabellen_Mat&amp;Bem'!f.Rd.3/'Hilfstabellen_Mat&amp;Bem'!$BD$30)</f>
        <v>0.86383329236594142</v>
      </c>
      <c r="BN165" s="553">
        <f>0.5*(1+'Hilfstabellen_Mat&amp;Bem'!$BD$31*($BM165-0.3)+$BM165^2)</f>
        <v>0.90129564311818799</v>
      </c>
      <c r="BO165" s="550">
        <f t="shared" si="143"/>
        <v>0.8632260081712011</v>
      </c>
      <c r="BQ165" s="551">
        <f t="shared" si="144"/>
        <v>40648.449498773691</v>
      </c>
      <c r="BU165" s="546">
        <f t="shared" si="145"/>
        <v>217</v>
      </c>
      <c r="BV165" s="551">
        <f t="shared" si="146"/>
        <v>55.87260669577023</v>
      </c>
      <c r="BW165" s="553">
        <f>$BV165/PI()*SQRT('Hilfstabellen_Mat&amp;Bem'!f.Rd.3/'Hilfstabellen_Mat&amp;Bem'!$BD$30)</f>
        <v>0.88924015390611622</v>
      </c>
      <c r="BX165" s="553">
        <f>0.5*(1+'Hilfstabellen_Mat&amp;Bem'!$BD$31*($BW165-0.3)+$BW165^2)</f>
        <v>0.92483603335479247</v>
      </c>
      <c r="BY165" s="550">
        <f t="shared" si="147"/>
        <v>0.84821277569700859</v>
      </c>
      <c r="CA165" s="551">
        <f t="shared" si="148"/>
        <v>39941.491394796438</v>
      </c>
      <c r="CE165" s="546">
        <f t="shared" si="149"/>
        <v>217</v>
      </c>
      <c r="CF165" s="551">
        <f t="shared" si="150"/>
        <v>57.468966887077954</v>
      </c>
      <c r="CG165" s="553">
        <f>CF165/PI()*SQRT('Hilfstabellen_Mat&amp;Bem'!f.Rd.3/'Hilfstabellen_Mat&amp;Bem'!$BD$30)</f>
        <v>0.9146470154462909</v>
      </c>
      <c r="CH165" s="553">
        <f>0.5*(1+'Hilfstabellen_Mat&amp;Bem'!$BD$31*(CG165-0.3)+CG165^2)</f>
        <v>0.9490219322047182</v>
      </c>
      <c r="CI165" s="550">
        <f t="shared" si="151"/>
        <v>0.83185710063135532</v>
      </c>
      <c r="CK165" s="551">
        <f t="shared" si="152"/>
        <v>39171.319011629894</v>
      </c>
      <c r="CO165" s="546">
        <f t="shared" si="153"/>
        <v>217</v>
      </c>
      <c r="CP165" s="551">
        <f t="shared" si="154"/>
        <v>59.065327078385671</v>
      </c>
      <c r="CQ165" s="553">
        <f>CP165/PI()*SQRT('Hilfstabellen_Mat&amp;Bem'!f.Rd.3/'Hilfstabellen_Mat&amp;Bem'!$BD$30)</f>
        <v>0.9400538769864657</v>
      </c>
      <c r="CR165" s="553">
        <f>0.5*(1+'Hilfstabellen_Mat&amp;Bem'!$BD$31*(CQ165-0.3)+CQ165^2)</f>
        <v>0.97385333966796583</v>
      </c>
      <c r="CS165" s="550">
        <f t="shared" si="155"/>
        <v>0.81420379647572205</v>
      </c>
      <c r="CU165" s="551">
        <f t="shared" si="156"/>
        <v>38340.042572245278</v>
      </c>
      <c r="CY165" s="546">
        <f t="shared" si="157"/>
        <v>217</v>
      </c>
      <c r="CZ165" s="551">
        <f t="shared" si="158"/>
        <v>60.661687269693395</v>
      </c>
      <c r="DA165" s="553">
        <f>CZ165/PI()*SQRT('Hilfstabellen_Mat&amp;Bem'!f.Rd.3/'Hilfstabellen_Mat&amp;Bem'!$BD$30)</f>
        <v>0.96546073852664049</v>
      </c>
      <c r="DB165" s="553">
        <f>0.5*(1+'Hilfstabellen_Mat&amp;Bem'!$BD$31*(DA165-0.3)+DA165^2)</f>
        <v>0.99933025574453505</v>
      </c>
      <c r="DC165" s="550">
        <f t="shared" si="159"/>
        <v>0.79535741463944987</v>
      </c>
      <c r="DE165" s="551">
        <f t="shared" si="160"/>
        <v>37452.585297957055</v>
      </c>
      <c r="DI165" s="546">
        <f t="shared" si="161"/>
        <v>217</v>
      </c>
      <c r="DJ165" s="551">
        <f t="shared" si="162"/>
        <v>62.258047461001119</v>
      </c>
      <c r="DK165" s="553">
        <f>DJ165/PI()*SQRT('Hilfstabellen_Mat&amp;Bem'!f.Rd.3/'Hilfstabellen_Mat&amp;Bem'!$BD$30)</f>
        <v>0.99086760006681518</v>
      </c>
      <c r="DL165" s="553">
        <f>0.5*(1+'Hilfstabellen_Mat&amp;Bem'!$BD$31*(DK165-0.3)+DK165^2)</f>
        <v>1.0254526804344257</v>
      </c>
      <c r="DM165" s="550">
        <f t="shared" si="163"/>
        <v>0.77547887747949396</v>
      </c>
      <c r="DO165" s="551">
        <f t="shared" si="164"/>
        <v>36516.524861631893</v>
      </c>
      <c r="DS165" s="546">
        <f t="shared" si="165"/>
        <v>217</v>
      </c>
      <c r="DT165" s="551">
        <f t="shared" si="166"/>
        <v>63.854407652308829</v>
      </c>
      <c r="DU165" s="553">
        <f>DT165/PI()*SQRT('Hilfstabellen_Mat&amp;Bem'!f.Rd.3/'Hilfstabellen_Mat&amp;Bem'!$BD$30)</f>
        <v>1.0162744616069899</v>
      </c>
      <c r="DV165" s="553">
        <f>0.5*(1+'Hilfstabellen_Mat&amp;Bem'!$BD$31*(DU165-0.3)+DU165^2)</f>
        <v>1.052220613737638</v>
      </c>
      <c r="DW165" s="550">
        <f t="shared" si="167"/>
        <v>0.75477353679821968</v>
      </c>
      <c r="DY165" s="551">
        <f t="shared" si="168"/>
        <v>35541.531074291364</v>
      </c>
      <c r="EC165" s="546">
        <f t="shared" si="169"/>
        <v>217</v>
      </c>
      <c r="ED165" s="551">
        <f t="shared" si="170"/>
        <v>65.450767843616561</v>
      </c>
      <c r="EE165" s="553">
        <f>ED165/PI()*SQRT('Hilfstabellen_Mat&amp;Bem'!f.Rd.3/'Hilfstabellen_Mat&amp;Bem'!$BD$30)</f>
        <v>1.0416813231471647</v>
      </c>
      <c r="EF165" s="553">
        <f>0.5*(1+'Hilfstabellen_Mat&amp;Bem'!$BD$31*(EE165-0.3)+EE165^2)</f>
        <v>1.0796340556541721</v>
      </c>
      <c r="EG165" s="550">
        <f t="shared" si="171"/>
        <v>0.73347316534962603</v>
      </c>
      <c r="EI165" s="551">
        <f t="shared" si="172"/>
        <v>34538.517883148539</v>
      </c>
      <c r="EM165" s="546">
        <f t="shared" si="173"/>
        <v>217</v>
      </c>
      <c r="EN165" s="551">
        <f t="shared" si="174"/>
        <v>67.047128034924285</v>
      </c>
      <c r="EO165" s="553">
        <f>EN165/PI()*SQRT('Hilfstabellen_Mat&amp;Bem'!f.Rd.3/'Hilfstabellen_Mat&amp;Bem'!$BD$30)</f>
        <v>1.0670881846873397</v>
      </c>
      <c r="EP165" s="553">
        <f>0.5*(1+'Hilfstabellen_Mat&amp;Bem'!$BD$31*(EO165-0.3)+EO165^2)</f>
        <v>1.1076930061840278</v>
      </c>
      <c r="EQ165" s="550">
        <f t="shared" si="175"/>
        <v>0.71181608162443133</v>
      </c>
      <c r="ES165" s="551">
        <f t="shared" si="176"/>
        <v>33518.707467612847</v>
      </c>
    </row>
    <row r="166" spans="3:149">
      <c r="C166" s="546">
        <v>218</v>
      </c>
      <c r="D166" s="551">
        <f t="shared" si="126"/>
        <v>44.493048267824364</v>
      </c>
      <c r="E166" s="553">
        <f>$D166/PI()*SQRT('Hilfstabellen_Mat&amp;Bem'!f.Rd.3/'Hilfstabellen_Mat&amp;Bem'!$BD$30)</f>
        <v>0.70812885650505397</v>
      </c>
      <c r="F166" s="553">
        <f>0.5*(1+'Hilfstabellen_Mat&amp;Bem'!$BD$31*($E166-0.3)+$E166^2)</f>
        <v>0.77112968153283035</v>
      </c>
      <c r="G166" s="550">
        <f t="shared" si="127"/>
        <v>0.92901624896387314</v>
      </c>
      <c r="I166" s="551">
        <f t="shared" si="128"/>
        <v>44150.568215759107</v>
      </c>
      <c r="M166" s="546">
        <f t="shared" si="129"/>
        <v>218</v>
      </c>
      <c r="N166" s="551">
        <f t="shared" si="118"/>
        <v>46.082085705960949</v>
      </c>
      <c r="O166" s="553">
        <f>$N166/PI()*SQRT('Hilfstabellen_Mat&amp;Bem'!f.Rd.3/'Hilfstabellen_Mat&amp;Bem'!$BD$30)</f>
        <v>0.73341917280880597</v>
      </c>
      <c r="P166" s="553">
        <f>0.5*(1+'Hilfstabellen_Mat&amp;Bem'!$BD$31*($O166-0.3)+$O166^2)</f>
        <v>0.79062280016221687</v>
      </c>
      <c r="Q166" s="550">
        <f t="shared" si="119"/>
        <v>0.92090644875471361</v>
      </c>
      <c r="S166" s="551">
        <f t="shared" si="130"/>
        <v>43765.158070619007</v>
      </c>
      <c r="W166" s="546">
        <f t="shared" si="131"/>
        <v>218</v>
      </c>
      <c r="X166" s="551">
        <f t="shared" si="120"/>
        <v>47.671123144097535</v>
      </c>
      <c r="Y166" s="553">
        <f>$X166/PI()*SQRT('Hilfstabellen_Mat&amp;Bem'!f.Rd.3/'Hilfstabellen_Mat&amp;Bem'!$BD$30)</f>
        <v>0.75870948911255787</v>
      </c>
      <c r="Z166" s="553">
        <f>0.5*(1+'Hilfstabellen_Mat&amp;Bem'!$BD$31*($Y166-0.3)+$Y166^2)</f>
        <v>0.81075551889034725</v>
      </c>
      <c r="AA166" s="550">
        <f t="shared" si="121"/>
        <v>0.91194248123893118</v>
      </c>
      <c r="AC166" s="551">
        <f t="shared" si="132"/>
        <v>43339.154478398967</v>
      </c>
      <c r="AG166" s="546">
        <f t="shared" si="133"/>
        <v>218</v>
      </c>
      <c r="AH166" s="551">
        <f t="shared" si="122"/>
        <v>49.260160582234121</v>
      </c>
      <c r="AI166" s="553">
        <f>$AH166/PI()*SQRT('Hilfstabellen_Mat&amp;Bem'!f.Rd.3/'Hilfstabellen_Mat&amp;Bem'!$BD$30)</f>
        <v>0.78399980541630976</v>
      </c>
      <c r="AJ166" s="553">
        <f>0.5*(1+'Hilfstabellen_Mat&amp;Bem'!$BD$31*($AI166-0.3)+$AI166^2)</f>
        <v>0.83152783771722127</v>
      </c>
      <c r="AK166" s="550">
        <f t="shared" si="123"/>
        <v>0.90201824728216085</v>
      </c>
      <c r="AM166" s="551">
        <f t="shared" si="134"/>
        <v>42867.515183837415</v>
      </c>
      <c r="AQ166" s="546">
        <f t="shared" si="135"/>
        <v>218</v>
      </c>
      <c r="AR166" s="551">
        <f t="shared" si="124"/>
        <v>50.849198020370707</v>
      </c>
      <c r="AS166" s="553">
        <f>$AR166/PI()*SQRT('Hilfstabellen_Mat&amp;Bem'!f.Rd.3/'Hilfstabellen_Mat&amp;Bem'!$BD$30)</f>
        <v>0.80929012172006187</v>
      </c>
      <c r="AT166" s="553">
        <f>0.5*(1+'Hilfstabellen_Mat&amp;Bem'!$BD$31*($AS166-0.3)+$AS166^2)</f>
        <v>0.85293975664283939</v>
      </c>
      <c r="AU166" s="550">
        <f t="shared" si="125"/>
        <v>0.89102619523762294</v>
      </c>
      <c r="AW166" s="551">
        <f t="shared" si="136"/>
        <v>42345.128902472796</v>
      </c>
      <c r="BA166" s="546">
        <f t="shared" si="137"/>
        <v>218</v>
      </c>
      <c r="BB166" s="551">
        <f t="shared" si="138"/>
        <v>52.438235458507286</v>
      </c>
      <c r="BC166" s="553">
        <f>$BB166/PI()*SQRT('Hilfstabellen_Mat&amp;Bem'!f.Rd.3/'Hilfstabellen_Mat&amp;Bem'!$BD$30)</f>
        <v>0.83458043802381354</v>
      </c>
      <c r="BD166" s="553">
        <f>0.5*(1+'Hilfstabellen_Mat&amp;Bem'!$BD$31*($BC166-0.3)+$BC166^2)</f>
        <v>0.87499127566720092</v>
      </c>
      <c r="BE166" s="550">
        <f t="shared" si="139"/>
        <v>0.87886439807277428</v>
      </c>
      <c r="BG166" s="551">
        <f t="shared" si="140"/>
        <v>41767.151654010522</v>
      </c>
      <c r="BK166" s="546">
        <f t="shared" si="141"/>
        <v>218</v>
      </c>
      <c r="BL166" s="551">
        <f t="shared" si="142"/>
        <v>54.027272896643872</v>
      </c>
      <c r="BM166" s="553">
        <f>$BL166/PI()*SQRT('Hilfstabellen_Mat&amp;Bem'!f.Rd.3/'Hilfstabellen_Mat&amp;Bem'!$BD$30)</f>
        <v>0.85987075432756555</v>
      </c>
      <c r="BN166" s="553">
        <f>0.5*(1+'Hilfstabellen_Mat&amp;Bem'!$BD$31*($BM166-0.3)+$BM166^2)</f>
        <v>0.89768239479030654</v>
      </c>
      <c r="BO166" s="550">
        <f t="shared" si="143"/>
        <v>0.86544648608349173</v>
      </c>
      <c r="BQ166" s="551">
        <f t="shared" si="144"/>
        <v>41129.478804631864</v>
      </c>
      <c r="BU166" s="546">
        <f t="shared" si="145"/>
        <v>218</v>
      </c>
      <c r="BV166" s="551">
        <f t="shared" si="146"/>
        <v>55.616310334780458</v>
      </c>
      <c r="BW166" s="553">
        <f>$BV166/PI()*SQRT('Hilfstabellen_Mat&amp;Bem'!f.Rd.3/'Hilfstabellen_Mat&amp;Bem'!$BD$30)</f>
        <v>0.88516107063131744</v>
      </c>
      <c r="BX166" s="553">
        <f>0.5*(1+'Hilfstabellen_Mat&amp;Bem'!$BD$31*($BW166-0.3)+$BW166^2)</f>
        <v>0.92101311401215591</v>
      </c>
      <c r="BY166" s="550">
        <f t="shared" si="147"/>
        <v>0.85071397222095302</v>
      </c>
      <c r="CA166" s="551">
        <f t="shared" si="148"/>
        <v>40429.330815828573</v>
      </c>
      <c r="CE166" s="546">
        <f t="shared" si="149"/>
        <v>218</v>
      </c>
      <c r="CF166" s="551">
        <f t="shared" si="150"/>
        <v>57.205347772917044</v>
      </c>
      <c r="CG166" s="553">
        <f>CF166/PI()*SQRT('Hilfstabellen_Mat&amp;Bem'!f.Rd.3/'Hilfstabellen_Mat&amp;Bem'!$BD$30)</f>
        <v>0.91045138693506944</v>
      </c>
      <c r="CH166" s="553">
        <f>0.5*(1+'Hilfstabellen_Mat&amp;Bem'!$BD$31*(CG166-0.3)+CG166^2)</f>
        <v>0.94498343333274915</v>
      </c>
      <c r="CI166" s="550">
        <f t="shared" si="151"/>
        <v>0.83464941395523251</v>
      </c>
      <c r="CK166" s="551">
        <f t="shared" si="152"/>
        <v>39665.878748808471</v>
      </c>
      <c r="CO166" s="546">
        <f t="shared" si="153"/>
        <v>218</v>
      </c>
      <c r="CP166" s="551">
        <f t="shared" si="154"/>
        <v>58.794385211053623</v>
      </c>
      <c r="CQ166" s="553">
        <f>CP166/PI()*SQRT('Hilfstabellen_Mat&amp;Bem'!f.Rd.3/'Hilfstabellen_Mat&amp;Bem'!$BD$30)</f>
        <v>0.93574170323882133</v>
      </c>
      <c r="CR166" s="553">
        <f>0.5*(1+'Hilfstabellen_Mat&amp;Bem'!$BD$31*(CQ166-0.3)+CQ166^2)</f>
        <v>0.96959335275208625</v>
      </c>
      <c r="CS166" s="550">
        <f t="shared" si="155"/>
        <v>0.81728768540620478</v>
      </c>
      <c r="CU166" s="551">
        <f t="shared" si="156"/>
        <v>38840.779961244472</v>
      </c>
      <c r="CY166" s="546">
        <f t="shared" si="157"/>
        <v>218</v>
      </c>
      <c r="CZ166" s="551">
        <f t="shared" si="158"/>
        <v>60.383422649190209</v>
      </c>
      <c r="DA166" s="553">
        <f>CZ166/PI()*SQRT('Hilfstabellen_Mat&amp;Bem'!f.Rd.3/'Hilfstabellen_Mat&amp;Bem'!$BD$30)</f>
        <v>0.96103201954257322</v>
      </c>
      <c r="DB166" s="553">
        <f>0.5*(1+'Hilfstabellen_Mat&amp;Bem'!$BD$31*(DA166-0.3)+DA166^2)</f>
        <v>0.9948428722701671</v>
      </c>
      <c r="DC166" s="550">
        <f t="shared" si="159"/>
        <v>0.79872203284733301</v>
      </c>
      <c r="DE166" s="551">
        <f t="shared" si="160"/>
        <v>37958.465889036655</v>
      </c>
      <c r="DI166" s="546">
        <f t="shared" si="161"/>
        <v>218</v>
      </c>
      <c r="DJ166" s="551">
        <f t="shared" si="162"/>
        <v>61.972460087326795</v>
      </c>
      <c r="DK166" s="553">
        <f>DJ166/PI()*SQRT('Hilfstabellen_Mat&amp;Bem'!f.Rd.3/'Hilfstabellen_Mat&amp;Bem'!$BD$30)</f>
        <v>0.98632233584632523</v>
      </c>
      <c r="DL166" s="553">
        <f>0.5*(1+'Hilfstabellen_Mat&amp;Bem'!$BD$31*(DK166-0.3)+DK166^2)</f>
        <v>1.0207319918869919</v>
      </c>
      <c r="DM166" s="550">
        <f t="shared" si="163"/>
        <v>0.77910224369051606</v>
      </c>
      <c r="DO166" s="551">
        <f t="shared" si="164"/>
        <v>37026.055029148083</v>
      </c>
      <c r="DS166" s="546">
        <f t="shared" si="165"/>
        <v>218</v>
      </c>
      <c r="DT166" s="551">
        <f t="shared" si="166"/>
        <v>63.56149752546338</v>
      </c>
      <c r="DU166" s="553">
        <f>DT166/PI()*SQRT('Hilfstabellen_Mat&amp;Bem'!f.Rd.3/'Hilfstabellen_Mat&amp;Bem'!$BD$30)</f>
        <v>1.0116126521500772</v>
      </c>
      <c r="DV166" s="553">
        <f>0.5*(1+'Hilfstabellen_Mat&amp;Bem'!$BD$31*(DU166-0.3)+DU166^2)</f>
        <v>1.0472607116025605</v>
      </c>
      <c r="DW166" s="550">
        <f t="shared" si="167"/>
        <v>0.75862430722821605</v>
      </c>
      <c r="DY166" s="551">
        <f t="shared" si="168"/>
        <v>36052.861576713738</v>
      </c>
      <c r="EC166" s="546">
        <f t="shared" si="169"/>
        <v>218</v>
      </c>
      <c r="ED166" s="551">
        <f t="shared" si="170"/>
        <v>65.150534963599966</v>
      </c>
      <c r="EE166" s="553">
        <f>ED166/PI()*SQRT('Hilfstabellen_Mat&amp;Bem'!f.Rd.3/'Hilfstabellen_Mat&amp;Bem'!$BD$30)</f>
        <v>1.0369029684538291</v>
      </c>
      <c r="EF166" s="553">
        <f>0.5*(1+'Hilfstabellen_Mat&amp;Bem'!$BD$31*(EE166-0.3)+EE166^2)</f>
        <v>1.0744290314168727</v>
      </c>
      <c r="EG166" s="550">
        <f t="shared" si="171"/>
        <v>0.73751358219100882</v>
      </c>
      <c r="EI166" s="551">
        <f t="shared" si="172"/>
        <v>35049.5954800455</v>
      </c>
      <c r="EM166" s="546">
        <f t="shared" si="173"/>
        <v>218</v>
      </c>
      <c r="EN166" s="551">
        <f t="shared" si="174"/>
        <v>66.739572401736552</v>
      </c>
      <c r="EO166" s="553">
        <f>EN166/PI()*SQRT('Hilfstabellen_Mat&amp;Bem'!f.Rd.3/'Hilfstabellen_Mat&amp;Bem'!$BD$30)</f>
        <v>1.062193284757581</v>
      </c>
      <c r="EP166" s="553">
        <f>0.5*(1+'Hilfstabellen_Mat&amp;Bem'!$BD$31*(EO166-0.3)+EO166^2)</f>
        <v>1.102236951329929</v>
      </c>
      <c r="EQ166" s="550">
        <f t="shared" si="175"/>
        <v>0.71600537133032705</v>
      </c>
      <c r="ES166" s="551">
        <f t="shared" si="176"/>
        <v>34027.439267102462</v>
      </c>
    </row>
    <row r="167" spans="3:149">
      <c r="C167" s="546">
        <v>219</v>
      </c>
      <c r="D167" s="551">
        <f t="shared" si="126"/>
        <v>44.289883663861701</v>
      </c>
      <c r="E167" s="553">
        <f>$D167/PI()*SQRT('Hilfstabellen_Mat&amp;Bem'!f.Rd.3/'Hilfstabellen_Mat&amp;Bem'!$BD$30)</f>
        <v>0.70489539140685753</v>
      </c>
      <c r="F167" s="553">
        <f>0.5*(1+'Hilfstabellen_Mat&amp;Bem'!$BD$31*($E167-0.3)+$E167^2)</f>
        <v>0.76868352598365641</v>
      </c>
      <c r="G167" s="550">
        <f t="shared" si="127"/>
        <v>0.92999674239658259</v>
      </c>
      <c r="I167" s="551">
        <f t="shared" si="128"/>
        <v>44603.573762082495</v>
      </c>
      <c r="M167" s="546">
        <f t="shared" si="129"/>
        <v>219</v>
      </c>
      <c r="N167" s="551">
        <f t="shared" si="118"/>
        <v>45.871665223285333</v>
      </c>
      <c r="O167" s="553">
        <f>$N167/PI()*SQRT('Hilfstabellen_Mat&amp;Bem'!f.Rd.3/'Hilfstabellen_Mat&amp;Bem'!$BD$30)</f>
        <v>0.73007022681424516</v>
      </c>
      <c r="P167" s="553">
        <f>0.5*(1+'Hilfstabellen_Mat&amp;Bem'!$BD$31*($O167-0.3)+$O167^2)</f>
        <v>0.78800477938101388</v>
      </c>
      <c r="Q167" s="550">
        <f t="shared" si="119"/>
        <v>0.92202716853759226</v>
      </c>
      <c r="S167" s="551">
        <f t="shared" si="130"/>
        <v>44221.34503023146</v>
      </c>
      <c r="W167" s="546">
        <f t="shared" si="131"/>
        <v>219</v>
      </c>
      <c r="X167" s="551">
        <f t="shared" si="120"/>
        <v>47.453446782708966</v>
      </c>
      <c r="Y167" s="553">
        <f>$X167/PI()*SQRT('Hilfstabellen_Mat&amp;Bem'!f.Rd.3/'Hilfstabellen_Mat&amp;Bem'!$BD$30)</f>
        <v>0.75524506222163301</v>
      </c>
      <c r="Z167" s="553">
        <f>0.5*(1+'Hilfstabellen_Mat&amp;Bem'!$BD$31*($Y167-0.3)+$Y167^2)</f>
        <v>0.80795980511616072</v>
      </c>
      <c r="AA167" s="550">
        <f t="shared" si="121"/>
        <v>0.91322476678279985</v>
      </c>
      <c r="AC167" s="551">
        <f t="shared" si="132"/>
        <v>43799.173039669862</v>
      </c>
      <c r="AG167" s="546">
        <f t="shared" si="133"/>
        <v>219</v>
      </c>
      <c r="AH167" s="551">
        <f t="shared" si="122"/>
        <v>49.035228342132598</v>
      </c>
      <c r="AI167" s="553">
        <f>$AH167/PI()*SQRT('Hilfstabellen_Mat&amp;Bem'!f.Rd.3/'Hilfstabellen_Mat&amp;Bem'!$BD$30)</f>
        <v>0.78041989762902075</v>
      </c>
      <c r="AJ167" s="553">
        <f>0.5*(1+'Hilfstabellen_Mat&amp;Bem'!$BD$31*($AI167-0.3)+$AI167^2)</f>
        <v>0.82854860318909673</v>
      </c>
      <c r="AK167" s="550">
        <f t="shared" si="123"/>
        <v>0.90348546076568004</v>
      </c>
      <c r="AM167" s="551">
        <f t="shared" si="134"/>
        <v>43332.066183782779</v>
      </c>
      <c r="AQ167" s="546">
        <f t="shared" si="135"/>
        <v>219</v>
      </c>
      <c r="AR167" s="551">
        <f t="shared" si="124"/>
        <v>50.617009901556223</v>
      </c>
      <c r="AS167" s="553">
        <f>$AR167/PI()*SQRT('Hilfstabellen_Mat&amp;Bem'!f.Rd.3/'Hilfstabellen_Mat&amp;Bem'!$BD$30)</f>
        <v>0.80559473303640849</v>
      </c>
      <c r="AT167" s="553">
        <f>0.5*(1+'Hilfstabellen_Mat&amp;Bem'!$BD$31*($AS167-0.3)+$AS167^2)</f>
        <v>0.84977117359982168</v>
      </c>
      <c r="AU167" s="550">
        <f t="shared" si="125"/>
        <v>0.89270300241449307</v>
      </c>
      <c r="AW167" s="551">
        <f t="shared" si="136"/>
        <v>42814.928698801501</v>
      </c>
      <c r="BA167" s="546">
        <f t="shared" si="137"/>
        <v>219</v>
      </c>
      <c r="BB167" s="551">
        <f t="shared" si="138"/>
        <v>52.198791460979862</v>
      </c>
      <c r="BC167" s="553">
        <f>$BB167/PI()*SQRT('Hilfstabellen_Mat&amp;Bem'!f.Rd.3/'Hilfstabellen_Mat&amp;Bem'!$BD$30)</f>
        <v>0.83076956844379635</v>
      </c>
      <c r="BD167" s="553">
        <f>0.5*(1+'Hilfstabellen_Mat&amp;Bem'!$BD$31*($BC167-0.3)+$BC167^2)</f>
        <v>0.87162751634833557</v>
      </c>
      <c r="BE167" s="550">
        <f t="shared" si="139"/>
        <v>0.88077550799005677</v>
      </c>
      <c r="BG167" s="551">
        <f t="shared" si="140"/>
        <v>42242.874138711115</v>
      </c>
      <c r="BK167" s="546">
        <f t="shared" si="141"/>
        <v>219</v>
      </c>
      <c r="BL167" s="551">
        <f t="shared" si="142"/>
        <v>53.780573020403494</v>
      </c>
      <c r="BM167" s="553">
        <f>$BL167/PI()*SQRT('Hilfstabellen_Mat&amp;Bem'!f.Rd.3/'Hilfstabellen_Mat&amp;Bem'!$BD$30)</f>
        <v>0.85594440385118409</v>
      </c>
      <c r="BN167" s="553">
        <f>0.5*(1+'Hilfstabellen_Mat&amp;Bem'!$BD$31*($BM167-0.3)+$BM167^2)</f>
        <v>0.89411763143463863</v>
      </c>
      <c r="BO167" s="550">
        <f t="shared" si="143"/>
        <v>0.86761477215814187</v>
      </c>
      <c r="BQ167" s="551">
        <f t="shared" si="144"/>
        <v>41611.67208747664</v>
      </c>
      <c r="BU167" s="546">
        <f t="shared" si="145"/>
        <v>219</v>
      </c>
      <c r="BV167" s="551">
        <f t="shared" si="146"/>
        <v>55.362354579827119</v>
      </c>
      <c r="BW167" s="553">
        <f>$BV167/PI()*SQRT('Hilfstabellen_Mat&amp;Bem'!f.Rd.3/'Hilfstabellen_Mat&amp;Bem'!$BD$30)</f>
        <v>0.88111923925857172</v>
      </c>
      <c r="BX167" s="553">
        <f>0.5*(1+'Hilfstabellen_Mat&amp;Bem'!$BD$31*($BW167-0.3)+$BW167^2)</f>
        <v>0.91724151885873062</v>
      </c>
      <c r="BY167" s="550">
        <f t="shared" si="147"/>
        <v>0.8531580370852454</v>
      </c>
      <c r="CA167" s="551">
        <f t="shared" si="148"/>
        <v>40918.312616645453</v>
      </c>
      <c r="CE167" s="546">
        <f t="shared" si="149"/>
        <v>219</v>
      </c>
      <c r="CF167" s="551">
        <f t="shared" si="150"/>
        <v>56.944136139250766</v>
      </c>
      <c r="CG167" s="553">
        <f>CF167/PI()*SQRT('Hilfstabellen_Mat&amp;Bem'!f.Rd.3/'Hilfstabellen_Mat&amp;Bem'!$BD$30)</f>
        <v>0.90629407466595957</v>
      </c>
      <c r="CH167" s="553">
        <f>0.5*(1+'Hilfstabellen_Mat&amp;Bem'!$BD$31*(CG167-0.3)+CG167^2)</f>
        <v>0.940999178620612</v>
      </c>
      <c r="CI167" s="550">
        <f t="shared" si="151"/>
        <v>0.83738088311305181</v>
      </c>
      <c r="CK167" s="551">
        <f t="shared" si="152"/>
        <v>40161.62453498508</v>
      </c>
      <c r="CO167" s="546">
        <f t="shared" si="153"/>
        <v>219</v>
      </c>
      <c r="CP167" s="551">
        <f t="shared" si="154"/>
        <v>58.525917698674391</v>
      </c>
      <c r="CQ167" s="553">
        <f>CP167/PI()*SQRT('Hilfstabellen_Mat&amp;Bem'!f.Rd.3/'Hilfstabellen_Mat&amp;Bem'!$BD$30)</f>
        <v>0.93146891007334731</v>
      </c>
      <c r="CR167" s="553">
        <f>0.5*(1+'Hilfstabellen_Mat&amp;Bem'!$BD$31*(CQ167-0.3)+CQ167^2)</f>
        <v>0.96539061072028209</v>
      </c>
      <c r="CS167" s="550">
        <f t="shared" si="155"/>
        <v>0.82030875562111749</v>
      </c>
      <c r="CU167" s="551">
        <f t="shared" si="156"/>
        <v>39342.828228344413</v>
      </c>
      <c r="CY167" s="546">
        <f t="shared" si="157"/>
        <v>219</v>
      </c>
      <c r="CZ167" s="551">
        <f t="shared" si="158"/>
        <v>60.107699258098016</v>
      </c>
      <c r="DA167" s="553">
        <f>CZ167/PI()*SQRT('Hilfstabellen_Mat&amp;Bem'!f.Rd.3/'Hilfstabellen_Mat&amp;Bem'!$BD$30)</f>
        <v>0.95664374548073505</v>
      </c>
      <c r="DB167" s="553">
        <f>0.5*(1+'Hilfstabellen_Mat&amp;Bem'!$BD$31*(DA167-0.3)+DA167^2)</f>
        <v>0.99041581515774135</v>
      </c>
      <c r="DC167" s="550">
        <f t="shared" si="159"/>
        <v>0.80202392768446273</v>
      </c>
      <c r="DE167" s="551">
        <f t="shared" si="160"/>
        <v>38465.869595674514</v>
      </c>
      <c r="DI167" s="546">
        <f t="shared" si="161"/>
        <v>219</v>
      </c>
      <c r="DJ167" s="551">
        <f t="shared" si="162"/>
        <v>61.689480817521648</v>
      </c>
      <c r="DK167" s="553">
        <f>DJ167/PI()*SQRT('Hilfstabellen_Mat&amp;Bem'!f.Rd.3/'Hilfstabellen_Mat&amp;Bem'!$BD$30)</f>
        <v>0.98181858088812268</v>
      </c>
      <c r="DL167" s="553">
        <f>0.5*(1+'Hilfstabellen_Mat&amp;Bem'!$BD$31*(DK167-0.3)+DK167^2)</f>
        <v>1.0160747919329896</v>
      </c>
      <c r="DM167" s="550">
        <f t="shared" si="163"/>
        <v>0.78266510711553039</v>
      </c>
      <c r="DO167" s="551">
        <f t="shared" si="164"/>
        <v>37537.401202367953</v>
      </c>
      <c r="DS167" s="546">
        <f t="shared" si="165"/>
        <v>219</v>
      </c>
      <c r="DT167" s="551">
        <f t="shared" si="166"/>
        <v>63.271262376945288</v>
      </c>
      <c r="DU167" s="553">
        <f>DT167/PI()*SQRT('Hilfstabellen_Mat&amp;Bem'!f.Rd.3/'Hilfstabellen_Mat&amp;Bem'!$BD$30)</f>
        <v>1.0069934162955105</v>
      </c>
      <c r="DV167" s="553">
        <f>0.5*(1+'Hilfstabellen_Mat&amp;Bem'!$BD$31*(DU167-0.3)+DU167^2)</f>
        <v>1.0423675410460271</v>
      </c>
      <c r="DW167" s="550">
        <f t="shared" si="167"/>
        <v>0.762418681636856</v>
      </c>
      <c r="DY167" s="551">
        <f t="shared" si="168"/>
        <v>36566.362389985254</v>
      </c>
      <c r="EC167" s="546">
        <f t="shared" si="169"/>
        <v>219</v>
      </c>
      <c r="ED167" s="551">
        <f t="shared" si="170"/>
        <v>64.85304393636892</v>
      </c>
      <c r="EE167" s="553">
        <f>ED167/PI()*SQRT('Hilfstabellen_Mat&amp;Bem'!f.Rd.3/'Hilfstabellen_Mat&amp;Bem'!$BD$30)</f>
        <v>1.0321682517028985</v>
      </c>
      <c r="EF167" s="553">
        <f>0.5*(1+'Hilfstabellen_Mat&amp;Bem'!$BD$31*(EE167-0.3)+EE167^2)</f>
        <v>1.0692940624968539</v>
      </c>
      <c r="EG167" s="550">
        <f t="shared" si="171"/>
        <v>0.74150313345655228</v>
      </c>
      <c r="EI167" s="551">
        <f t="shared" si="172"/>
        <v>35563.231783709707</v>
      </c>
      <c r="EM167" s="546">
        <f t="shared" si="173"/>
        <v>219</v>
      </c>
      <c r="EN167" s="551">
        <f t="shared" si="174"/>
        <v>66.434825495792538</v>
      </c>
      <c r="EO167" s="553">
        <f>EN167/PI()*SQRT('Hilfstabellen_Mat&amp;Bem'!f.Rd.3/'Hilfstabellen_Mat&amp;Bem'!$BD$30)</f>
        <v>1.057343087110286</v>
      </c>
      <c r="EP167" s="553">
        <f>0.5*(1+'Hilfstabellen_Mat&amp;Bem'!$BD$31*(EO167-0.3)+EO167^2)</f>
        <v>1.0968543562854691</v>
      </c>
      <c r="EQ167" s="550">
        <f t="shared" si="175"/>
        <v>0.72015018719888879</v>
      </c>
      <c r="ES167" s="551">
        <f t="shared" si="176"/>
        <v>34539.123128245905</v>
      </c>
    </row>
    <row r="168" spans="3:149">
      <c r="C168" s="546">
        <v>220</v>
      </c>
      <c r="D168" s="551">
        <f t="shared" si="126"/>
        <v>44.088566010844147</v>
      </c>
      <c r="E168" s="553">
        <f>$D168/PI()*SQRT('Hilfstabellen_Mat&amp;Bem'!f.Rd.3/'Hilfstabellen_Mat&amp;Bem'!$BD$30)</f>
        <v>0.70169132144591717</v>
      </c>
      <c r="F168" s="553">
        <f>0.5*(1+'Hilfstabellen_Mat&amp;Bem'!$BD$31*($E168-0.3)+$E168^2)</f>
        <v>0.76626992136855465</v>
      </c>
      <c r="G168" s="550">
        <f t="shared" si="127"/>
        <v>0.93095637294343947</v>
      </c>
      <c r="I168" s="551">
        <f t="shared" si="128"/>
        <v>45058.288450462467</v>
      </c>
      <c r="M168" s="546">
        <f t="shared" si="129"/>
        <v>220</v>
      </c>
      <c r="N168" s="551">
        <f t="shared" si="118"/>
        <v>45.663157654088579</v>
      </c>
      <c r="O168" s="553">
        <f>$N168/PI()*SQRT('Hilfstabellen_Mat&amp;Bem'!f.Rd.3/'Hilfstabellen_Mat&amp;Bem'!$BD$30)</f>
        <v>0.72675172578327141</v>
      </c>
      <c r="P168" s="553">
        <f>0.5*(1+'Hilfstabellen_Mat&amp;Bem'!$BD$31*($O168-0.3)+$O168^2)</f>
        <v>0.78542162175364527</v>
      </c>
      <c r="Q168" s="550">
        <f t="shared" si="119"/>
        <v>0.92312317088502049</v>
      </c>
      <c r="S168" s="551">
        <f t="shared" si="130"/>
        <v>44679.161470834995</v>
      </c>
      <c r="W168" s="546">
        <f t="shared" si="131"/>
        <v>220</v>
      </c>
      <c r="X168" s="551">
        <f t="shared" si="120"/>
        <v>47.237749297333018</v>
      </c>
      <c r="Y168" s="553">
        <f>$X168/PI()*SQRT('Hilfstabellen_Mat&amp;Bem'!f.Rd.3/'Hilfstabellen_Mat&amp;Bem'!$BD$30)</f>
        <v>0.75181213012062553</v>
      </c>
      <c r="Z168" s="553">
        <f>0.5*(1+'Hilfstabellen_Mat&amp;Bem'!$BD$31*($Y168-0.3)+$Y168^2)</f>
        <v>0.8052013460042875</v>
      </c>
      <c r="AA168" s="550">
        <f t="shared" si="121"/>
        <v>0.91447789649307298</v>
      </c>
      <c r="AC168" s="551">
        <f t="shared" si="132"/>
        <v>44260.73019026473</v>
      </c>
      <c r="AG168" s="546">
        <f t="shared" si="133"/>
        <v>220</v>
      </c>
      <c r="AH168" s="551">
        <f t="shared" si="122"/>
        <v>48.81234094057745</v>
      </c>
      <c r="AI168" s="553">
        <f>$AH168/PI()*SQRT('Hilfstabellen_Mat&amp;Bem'!f.Rd.3/'Hilfstabellen_Mat&amp;Bem'!$BD$30)</f>
        <v>0.77687253445797977</v>
      </c>
      <c r="AJ168" s="553">
        <f>0.5*(1+'Hilfstabellen_Mat&amp;Bem'!$BD$31*($AI168-0.3)+$AI168^2)</f>
        <v>0.82560909412048145</v>
      </c>
      <c r="AK168" s="550">
        <f t="shared" si="123"/>
        <v>0.90491852135854589</v>
      </c>
      <c r="AM168" s="551">
        <f t="shared" si="134"/>
        <v>43798.05643375362</v>
      </c>
      <c r="AQ168" s="546">
        <f t="shared" si="135"/>
        <v>220</v>
      </c>
      <c r="AR168" s="551">
        <f t="shared" si="124"/>
        <v>50.386932583821881</v>
      </c>
      <c r="AS168" s="553">
        <f>$AR168/PI()*SQRT('Hilfstabellen_Mat&amp;Bem'!f.Rd.3/'Hilfstabellen_Mat&amp;Bem'!$BD$30)</f>
        <v>0.80193293879533378</v>
      </c>
      <c r="AT168" s="553">
        <f>0.5*(1+'Hilfstabellen_Mat&amp;Bem'!$BD$31*($AS168-0.3)+$AS168^2)</f>
        <v>0.846644866102227</v>
      </c>
      <c r="AU168" s="550">
        <f t="shared" si="125"/>
        <v>0.89434020517662705</v>
      </c>
      <c r="AW168" s="551">
        <f t="shared" si="136"/>
        <v>43286.06593054875</v>
      </c>
      <c r="BA168" s="546">
        <f t="shared" si="137"/>
        <v>220</v>
      </c>
      <c r="BB168" s="551">
        <f t="shared" si="138"/>
        <v>51.961524227066313</v>
      </c>
      <c r="BC168" s="553">
        <f>$BB168/PI()*SQRT('Hilfstabellen_Mat&amp;Bem'!f.Rd.3/'Hilfstabellen_Mat&amp;Bem'!$BD$30)</f>
        <v>0.82699334313268802</v>
      </c>
      <c r="BD168" s="553">
        <f>0.5*(1+'Hilfstabellen_Mat&amp;Bem'!$BD$31*($BC168-0.3)+$BC168^2)</f>
        <v>0.86830866194952439</v>
      </c>
      <c r="BE168" s="550">
        <f t="shared" si="139"/>
        <v>0.88264132162822806</v>
      </c>
      <c r="BG168" s="551">
        <f t="shared" si="140"/>
        <v>42719.839966806241</v>
      </c>
      <c r="BK168" s="546">
        <f t="shared" si="141"/>
        <v>220</v>
      </c>
      <c r="BL168" s="551">
        <f t="shared" si="142"/>
        <v>53.536115870310752</v>
      </c>
      <c r="BM168" s="553">
        <f>$BL168/PI()*SQRT('Hilfstabellen_Mat&amp;Bem'!f.Rd.3/'Hilfstabellen_Mat&amp;Bem'!$BD$30)</f>
        <v>0.85205374747004226</v>
      </c>
      <c r="BN168" s="553">
        <f>0.5*(1+'Hilfstabellen_Mat&amp;Bem'!$BD$31*($BM168-0.3)+$BM168^2)</f>
        <v>0.89060048166237338</v>
      </c>
      <c r="BO168" s="550">
        <f t="shared" si="143"/>
        <v>0.86973217486223442</v>
      </c>
      <c r="BQ168" s="551">
        <f t="shared" si="144"/>
        <v>42095.037263332146</v>
      </c>
      <c r="BU168" s="546">
        <f t="shared" si="145"/>
        <v>220</v>
      </c>
      <c r="BV168" s="551">
        <f t="shared" si="146"/>
        <v>55.110707513555184</v>
      </c>
      <c r="BW168" s="553">
        <f>$BV168/PI()*SQRT('Hilfstabellen_Mat&amp;Bem'!f.Rd.3/'Hilfstabellen_Mat&amp;Bem'!$BD$30)</f>
        <v>0.87711415180739649</v>
      </c>
      <c r="BX168" s="553">
        <f>0.5*(1+'Hilfstabellen_Mat&amp;Bem'!$BD$31*($BW168-0.3)+$BW168^2)</f>
        <v>0.91352032524077409</v>
      </c>
      <c r="BY168" s="550">
        <f t="shared" si="147"/>
        <v>0.85554620593872366</v>
      </c>
      <c r="CA168" s="551">
        <f t="shared" si="148"/>
        <v>41408.436367434224</v>
      </c>
      <c r="CE168" s="546">
        <f t="shared" si="149"/>
        <v>220</v>
      </c>
      <c r="CF168" s="551">
        <f t="shared" si="150"/>
        <v>56.685299156799616</v>
      </c>
      <c r="CG168" s="553">
        <f>CF168/PI()*SQRT('Hilfstabellen_Mat&amp;Bem'!f.Rd.3/'Hilfstabellen_Mat&amp;Bem'!$BD$30)</f>
        <v>0.90217455614475073</v>
      </c>
      <c r="CH168" s="553">
        <f>0.5*(1+'Hilfstabellen_Mat&amp;Bem'!$BD$31*(CG168-0.3)+CG168^2)</f>
        <v>0.93706819268472652</v>
      </c>
      <c r="CI168" s="550">
        <f t="shared" si="151"/>
        <v>0.84005256090292846</v>
      </c>
      <c r="CK168" s="551">
        <f t="shared" si="152"/>
        <v>40658.543947701735</v>
      </c>
      <c r="CO168" s="546">
        <f t="shared" si="153"/>
        <v>220</v>
      </c>
      <c r="CP168" s="551">
        <f t="shared" si="154"/>
        <v>58.259890800044047</v>
      </c>
      <c r="CQ168" s="553">
        <f>CP168/PI()*SQRT('Hilfstabellen_Mat&amp;Bem'!f.Rd.3/'Hilfstabellen_Mat&amp;Bem'!$BD$30)</f>
        <v>0.92723496048210474</v>
      </c>
      <c r="CR168" s="553">
        <f>0.5*(1+'Hilfstabellen_Mat&amp;Bem'!$BD$31*(CQ168-0.3)+CQ168^2)</f>
        <v>0.96124408399423045</v>
      </c>
      <c r="CS168" s="550">
        <f t="shared" si="155"/>
        <v>0.82326777196438372</v>
      </c>
      <c r="CU168" s="551">
        <f t="shared" si="156"/>
        <v>39846.160163076172</v>
      </c>
      <c r="CY168" s="546">
        <f t="shared" si="157"/>
        <v>220</v>
      </c>
      <c r="CZ168" s="551">
        <f t="shared" si="158"/>
        <v>59.834482443288486</v>
      </c>
      <c r="DA168" s="553">
        <f>CZ168/PI()*SQRT('Hilfstabellen_Mat&amp;Bem'!f.Rd.3/'Hilfstabellen_Mat&amp;Bem'!$BD$30)</f>
        <v>0.95229536481945909</v>
      </c>
      <c r="DB168" s="553">
        <f>0.5*(1+'Hilfstabellen_Mat&amp;Bem'!$BD$31*(DA168-0.3)+DA168^2)</f>
        <v>0.98604799916928632</v>
      </c>
      <c r="DC168" s="550">
        <f t="shared" si="159"/>
        <v>0.8052635008713529</v>
      </c>
      <c r="DE168" s="551">
        <f t="shared" si="160"/>
        <v>38974.753442173482</v>
      </c>
      <c r="DI168" s="546">
        <f t="shared" si="161"/>
        <v>220</v>
      </c>
      <c r="DJ168" s="551">
        <f t="shared" si="162"/>
        <v>61.409074086532918</v>
      </c>
      <c r="DK168" s="553">
        <f>DJ168/PI()*SQRT('Hilfstabellen_Mat&amp;Bem'!f.Rd.3/'Hilfstabellen_Mat&amp;Bem'!$BD$30)</f>
        <v>0.9773557691568131</v>
      </c>
      <c r="DL168" s="553">
        <f>0.5*(1+'Hilfstabellen_Mat&amp;Bem'!$BD$31*(DK168-0.3)+DK168^2)</f>
        <v>1.0114799382098936</v>
      </c>
      <c r="DM168" s="550">
        <f t="shared" si="163"/>
        <v>0.78616748004231163</v>
      </c>
      <c r="DO168" s="551">
        <f t="shared" si="164"/>
        <v>38050.506034047881</v>
      </c>
      <c r="DS168" s="546">
        <f t="shared" si="165"/>
        <v>220</v>
      </c>
      <c r="DT168" s="551">
        <f t="shared" si="166"/>
        <v>62.983665729777357</v>
      </c>
      <c r="DU168" s="553">
        <f>DT168/PI()*SQRT('Hilfstabellen_Mat&amp;Bem'!f.Rd.3/'Hilfstabellen_Mat&amp;Bem'!$BD$30)</f>
        <v>1.0024161734941675</v>
      </c>
      <c r="DV168" s="553">
        <f>0.5*(1+'Hilfstabellen_Mat&amp;Bem'!$BD$31*(DU168-0.3)+DU168^2)</f>
        <v>1.0375399011160527</v>
      </c>
      <c r="DW168" s="550">
        <f t="shared" si="167"/>
        <v>0.76615630968545334</v>
      </c>
      <c r="DY168" s="551">
        <f t="shared" si="168"/>
        <v>37081.965388775941</v>
      </c>
      <c r="EC168" s="546">
        <f t="shared" si="169"/>
        <v>220</v>
      </c>
      <c r="ED168" s="551">
        <f t="shared" si="170"/>
        <v>64.558257373021789</v>
      </c>
      <c r="EE168" s="553">
        <f>ED168/PI()*SQRT('Hilfstabellen_Mat&amp;Bem'!f.Rd.3/'Hilfstabellen_Mat&amp;Bem'!$BD$30)</f>
        <v>1.0274765778315216</v>
      </c>
      <c r="EF168" s="553">
        <f>0.5*(1+'Hilfstabellen_Mat&amp;Bem'!$BD$31*(EE168-0.3)+EE168^2)</f>
        <v>1.0642278878877636</v>
      </c>
      <c r="EG168" s="550">
        <f t="shared" si="171"/>
        <v>0.74544117456785453</v>
      </c>
      <c r="EI168" s="551">
        <f t="shared" si="172"/>
        <v>36079.352849084156</v>
      </c>
      <c r="EM168" s="546">
        <f t="shared" si="173"/>
        <v>220</v>
      </c>
      <c r="EN168" s="551">
        <f t="shared" si="174"/>
        <v>66.132849016266221</v>
      </c>
      <c r="EO168" s="553">
        <f>EN168/PI()*SQRT('Hilfstabellen_Mat&amp;Bem'!f.Rd.3/'Hilfstabellen_Mat&amp;Bem'!$BD$30)</f>
        <v>1.0525369821688757</v>
      </c>
      <c r="EP168" s="553">
        <f>0.5*(1+'Hilfstabellen_Mat&amp;Bem'!$BD$31*(EO168-0.3)+EO168^2)</f>
        <v>1.0915438985250259</v>
      </c>
      <c r="EQ168" s="550">
        <f t="shared" si="175"/>
        <v>0.7242496797317185</v>
      </c>
      <c r="ES168" s="551">
        <f t="shared" si="176"/>
        <v>35053.684499015173</v>
      </c>
    </row>
    <row r="169" spans="3:149">
      <c r="C169" s="546">
        <v>221</v>
      </c>
      <c r="D169" s="551">
        <f t="shared" si="126"/>
        <v>43.889070237039419</v>
      </c>
      <c r="E169" s="553">
        <f>$D169/PI()*SQRT('Hilfstabellen_Mat&amp;Bem'!f.Rd.3/'Hilfstabellen_Mat&amp;Bem'!$BD$30)</f>
        <v>0.69851624759322073</v>
      </c>
      <c r="F169" s="553">
        <f>0.5*(1+'Hilfstabellen_Mat&amp;Bem'!$BD$31*($E169-0.3)+$E169^2)</f>
        <v>0.76388828645551787</v>
      </c>
      <c r="G169" s="550">
        <f t="shared" si="127"/>
        <v>0.93189577533853307</v>
      </c>
      <c r="I169" s="551">
        <f t="shared" si="128"/>
        <v>45514.721563309293</v>
      </c>
      <c r="M169" s="546">
        <f t="shared" si="129"/>
        <v>221</v>
      </c>
      <c r="N169" s="551">
        <f t="shared" si="118"/>
        <v>45.456537031219398</v>
      </c>
      <c r="O169" s="553">
        <f>$N169/PI()*SQRT('Hilfstabellen_Mat&amp;Bem'!f.Rd.3/'Hilfstabellen_Mat&amp;Bem'!$BD$30)</f>
        <v>0.72346325643583576</v>
      </c>
      <c r="P169" s="553">
        <f>0.5*(1+'Hilfstabellen_Mat&amp;Bem'!$BD$31*($O169-0.3)+$O169^2)</f>
        <v>0.78287270452816382</v>
      </c>
      <c r="Q169" s="550">
        <f t="shared" si="119"/>
        <v>0.9241952164683398</v>
      </c>
      <c r="S169" s="551">
        <f t="shared" si="130"/>
        <v>45138.618567530182</v>
      </c>
      <c r="W169" s="546">
        <f t="shared" si="131"/>
        <v>221</v>
      </c>
      <c r="X169" s="551">
        <f t="shared" si="120"/>
        <v>47.024003825399383</v>
      </c>
      <c r="Y169" s="553">
        <f>$X169/PI()*SQRT('Hilfstabellen_Mat&amp;Bem'!f.Rd.3/'Hilfstabellen_Mat&amp;Bem'!$BD$30)</f>
        <v>0.74841026527845078</v>
      </c>
      <c r="Z169" s="553">
        <f>0.5*(1+'Hilfstabellen_Mat&amp;Bem'!$BD$31*($Y169-0.3)+$Y169^2)</f>
        <v>0.8024794758510031</v>
      </c>
      <c r="AA169" s="550">
        <f t="shared" si="121"/>
        <v>0.91570276841882747</v>
      </c>
      <c r="AC169" s="551">
        <f t="shared" si="132"/>
        <v>44723.838912343956</v>
      </c>
      <c r="AG169" s="546">
        <f t="shared" si="133"/>
        <v>221</v>
      </c>
      <c r="AH169" s="551">
        <f t="shared" si="122"/>
        <v>48.591470619579361</v>
      </c>
      <c r="AI169" s="553">
        <f>$AH169/PI()*SQRT('Hilfstabellen_Mat&amp;Bem'!f.Rd.3/'Hilfstabellen_Mat&amp;Bem'!$BD$30)</f>
        <v>0.77335727412106581</v>
      </c>
      <c r="AJ169" s="553">
        <f>0.5*(1+'Hilfstabellen_Mat&amp;Bem'!$BD$31*($AI169-0.3)+$AI169^2)</f>
        <v>0.82270860042403604</v>
      </c>
      <c r="AK169" s="550">
        <f t="shared" si="123"/>
        <v>0.90631846727189747</v>
      </c>
      <c r="AM169" s="551">
        <f t="shared" si="134"/>
        <v>44265.500260026747</v>
      </c>
      <c r="AQ169" s="546">
        <f t="shared" si="135"/>
        <v>221</v>
      </c>
      <c r="AR169" s="551">
        <f t="shared" si="124"/>
        <v>50.15893741375934</v>
      </c>
      <c r="AS169" s="553">
        <f>$AR169/PI()*SQRT('Hilfstabellen_Mat&amp;Bem'!f.Rd.3/'Hilfstabellen_Mat&amp;Bem'!$BD$30)</f>
        <v>0.79830428296368083</v>
      </c>
      <c r="AT169" s="553">
        <f>0.5*(1+'Hilfstabellen_Mat&amp;Bem'!$BD$31*($AS169-0.3)+$AS169^2)</f>
        <v>0.84356007824726231</v>
      </c>
      <c r="AU169" s="550">
        <f t="shared" si="125"/>
        <v>0.89593896973478526</v>
      </c>
      <c r="AW169" s="551">
        <f t="shared" si="136"/>
        <v>43758.555220816648</v>
      </c>
      <c r="BA169" s="546">
        <f t="shared" si="137"/>
        <v>221</v>
      </c>
      <c r="BB169" s="551">
        <f t="shared" si="138"/>
        <v>51.726404207939318</v>
      </c>
      <c r="BC169" s="553">
        <f>$BB169/PI()*SQRT('Hilfstabellen_Mat&amp;Bem'!f.Rd.3/'Hilfstabellen_Mat&amp;Bem'!$BD$30)</f>
        <v>0.82325129180629575</v>
      </c>
      <c r="BD169" s="553">
        <f>0.5*(1+'Hilfstabellen_Mat&amp;Bem'!$BD$31*($BC169-0.3)+$BC169^2)</f>
        <v>0.86503390932068203</v>
      </c>
      <c r="BE169" s="550">
        <f t="shared" si="139"/>
        <v>0.88446309914504329</v>
      </c>
      <c r="BG169" s="551">
        <f t="shared" si="140"/>
        <v>43198.062225343056</v>
      </c>
      <c r="BK169" s="546">
        <f t="shared" si="141"/>
        <v>221</v>
      </c>
      <c r="BL169" s="551">
        <f t="shared" si="142"/>
        <v>53.293871002119303</v>
      </c>
      <c r="BM169" s="553">
        <f>$BL169/PI()*SQRT('Hilfstabellen_Mat&amp;Bem'!f.Rd.3/'Hilfstabellen_Mat&amp;Bem'!$BD$30)</f>
        <v>0.848198300648911</v>
      </c>
      <c r="BN169" s="553">
        <f>0.5*(1+'Hilfstabellen_Mat&amp;Bem'!$BD$31*($BM169-0.3)+$BM169^2)</f>
        <v>0.88713009364429585</v>
      </c>
      <c r="BO169" s="550">
        <f t="shared" si="143"/>
        <v>0.871799987092294</v>
      </c>
      <c r="BQ169" s="551">
        <f t="shared" si="144"/>
        <v>42579.583169574733</v>
      </c>
      <c r="BU169" s="546">
        <f t="shared" si="145"/>
        <v>221</v>
      </c>
      <c r="BV169" s="551">
        <f t="shared" si="146"/>
        <v>54.861337796299281</v>
      </c>
      <c r="BW169" s="553">
        <f>$BV169/PI()*SQRT('Hilfstabellen_Mat&amp;Bem'!f.Rd.3/'Hilfstabellen_Mat&amp;Bem'!$BD$30)</f>
        <v>0.87314530949152602</v>
      </c>
      <c r="BX169" s="553">
        <f>0.5*(1+'Hilfstabellen_Mat&amp;Bem'!$BD$31*($BW169-0.3)+$BW169^2)</f>
        <v>0.90984863121810267</v>
      </c>
      <c r="BY169" s="550">
        <f t="shared" si="147"/>
        <v>0.85787971614327585</v>
      </c>
      <c r="CA169" s="551">
        <f t="shared" si="148"/>
        <v>41899.703216153735</v>
      </c>
      <c r="CE169" s="546">
        <f t="shared" si="149"/>
        <v>221</v>
      </c>
      <c r="CF169" s="551">
        <f t="shared" si="150"/>
        <v>56.428804590479253</v>
      </c>
      <c r="CG169" s="553">
        <f>CF169/PI()*SQRT('Hilfstabellen_Mat&amp;Bem'!f.Rd.3/'Hilfstabellen_Mat&amp;Bem'!$BD$30)</f>
        <v>0.89809231833414094</v>
      </c>
      <c r="CH169" s="553">
        <f>0.5*(1+'Hilfstabellen_Mat&amp;Bem'!$BD$31*(CG169-0.3)+CG169^2)</f>
        <v>0.93318952204210293</v>
      </c>
      <c r="CI169" s="550">
        <f t="shared" si="151"/>
        <v>0.84266552292407315</v>
      </c>
      <c r="CK169" s="551">
        <f t="shared" si="152"/>
        <v>41156.626805134656</v>
      </c>
      <c r="CO169" s="546">
        <f t="shared" si="153"/>
        <v>221</v>
      </c>
      <c r="CP169" s="551">
        <f t="shared" si="154"/>
        <v>57.996271384659238</v>
      </c>
      <c r="CQ169" s="553">
        <f>CP169/PI()*SQRT('Hilfstabellen_Mat&amp;Bem'!f.Rd.3/'Hilfstabellen_Mat&amp;Bem'!$BD$30)</f>
        <v>0.92303932717675596</v>
      </c>
      <c r="CR169" s="553">
        <f>0.5*(1+'Hilfstabellen_Mat&amp;Bem'!$BD$31*(CQ169-0.3)+CQ169^2)</f>
        <v>0.95715276611629696</v>
      </c>
      <c r="CS169" s="550">
        <f t="shared" si="155"/>
        <v>0.82616554305244261</v>
      </c>
      <c r="CU169" s="551">
        <f t="shared" si="156"/>
        <v>40350.751288224346</v>
      </c>
      <c r="CY169" s="546">
        <f t="shared" si="157"/>
        <v>221</v>
      </c>
      <c r="CZ169" s="551">
        <f t="shared" si="158"/>
        <v>59.563738178839216</v>
      </c>
      <c r="DA169" s="553">
        <f>CZ169/PI()*SQRT('Hilfstabellen_Mat&amp;Bem'!f.Rd.3/'Hilfstabellen_Mat&amp;Bem'!$BD$30)</f>
        <v>0.94798633601937099</v>
      </c>
      <c r="DB169" s="553">
        <f>0.5*(1+'Hilfstabellen_Mat&amp;Bem'!$BD$31*(DA169-0.3)+DA169^2)</f>
        <v>0.98173836344068444</v>
      </c>
      <c r="DC169" s="550">
        <f t="shared" si="159"/>
        <v>0.80844121402985536</v>
      </c>
      <c r="DE169" s="551">
        <f t="shared" si="160"/>
        <v>39485.077334432164</v>
      </c>
      <c r="DI169" s="546">
        <f t="shared" si="161"/>
        <v>221</v>
      </c>
      <c r="DJ169" s="551">
        <f t="shared" si="162"/>
        <v>61.131204973019202</v>
      </c>
      <c r="DK169" s="553">
        <f>DJ169/PI()*SQRT('Hilfstabellen_Mat&amp;Bem'!f.Rd.3/'Hilfstabellen_Mat&amp;Bem'!$BD$30)</f>
        <v>0.97293334486198602</v>
      </c>
      <c r="DL169" s="553">
        <f>0.5*(1+'Hilfstabellen_Mat&amp;Bem'!$BD$31*(DK169-0.3)+DK169^2)</f>
        <v>1.0069463140152655</v>
      </c>
      <c r="DM169" s="550">
        <f t="shared" si="163"/>
        <v>0.78960944234581298</v>
      </c>
      <c r="DO169" s="551">
        <f t="shared" si="164"/>
        <v>38565.314773611855</v>
      </c>
      <c r="DS169" s="546">
        <f t="shared" si="165"/>
        <v>221</v>
      </c>
      <c r="DT169" s="551">
        <f t="shared" si="166"/>
        <v>62.698671767199173</v>
      </c>
      <c r="DU169" s="553">
        <f>DT169/PI()*SQRT('Hilfstabellen_Mat&amp;Bem'!f.Rd.3/'Hilfstabellen_Mat&amp;Bem'!$BD$30)</f>
        <v>0.99788035370460093</v>
      </c>
      <c r="DV169" s="553">
        <f>0.5*(1+'Hilfstabellen_Mat&amp;Bem'!$BD$31*(DU169-0.3)+DU169^2)</f>
        <v>1.0327766178400397</v>
      </c>
      <c r="DW169" s="550">
        <f t="shared" si="167"/>
        <v>0.76983690691808615</v>
      </c>
      <c r="DY169" s="551">
        <f t="shared" si="168"/>
        <v>37599.604370786248</v>
      </c>
      <c r="EC169" s="546">
        <f t="shared" si="169"/>
        <v>221</v>
      </c>
      <c r="ED169" s="551">
        <f t="shared" si="170"/>
        <v>64.266138561379165</v>
      </c>
      <c r="EE169" s="553">
        <f>ED169/PI()*SQRT('Hilfstabellen_Mat&amp;Bem'!f.Rd.3/'Hilfstabellen_Mat&amp;Bem'!$BD$30)</f>
        <v>1.0228273625472164</v>
      </c>
      <c r="EF169" s="553">
        <f>0.5*(1+'Hilfstabellen_Mat&amp;Bem'!$BD$31*(EE169-0.3)+EE169^2)</f>
        <v>1.0592292749150083</v>
      </c>
      <c r="EG169" s="550">
        <f t="shared" si="171"/>
        <v>0.74932711755694004</v>
      </c>
      <c r="EI169" s="551">
        <f t="shared" si="172"/>
        <v>36597.885748598506</v>
      </c>
      <c r="EM169" s="546">
        <f t="shared" si="173"/>
        <v>221</v>
      </c>
      <c r="EN169" s="551">
        <f t="shared" si="174"/>
        <v>65.833605355559129</v>
      </c>
      <c r="EO169" s="553">
        <f>EN169/PI()*SQRT('Hilfstabellen_Mat&amp;Bem'!f.Rd.3/'Hilfstabellen_Mat&amp;Bem'!$BD$30)</f>
        <v>1.0477743713898311</v>
      </c>
      <c r="EP169" s="553">
        <f>0.5*(1+'Hilfstabellen_Mat&amp;Bem'!$BD$31*(EO169-0.3)+EO169^2)</f>
        <v>1.0863042852401694</v>
      </c>
      <c r="EQ169" s="550">
        <f t="shared" si="175"/>
        <v>0.72830304258484402</v>
      </c>
      <c r="ES169" s="551">
        <f t="shared" si="176"/>
        <v>35571.048902886367</v>
      </c>
    </row>
    <row r="170" spans="3:149">
      <c r="C170" s="546">
        <v>222</v>
      </c>
      <c r="D170" s="551">
        <f t="shared" si="126"/>
        <v>43.691371722458165</v>
      </c>
      <c r="E170" s="553">
        <f>$D170/PI()*SQRT('Hilfstabellen_Mat&amp;Bem'!f.Rd.3/'Hilfstabellen_Mat&amp;Bem'!$BD$30)</f>
        <v>0.69536977800946742</v>
      </c>
      <c r="F170" s="553">
        <f>0.5*(1+'Hilfstabellen_Mat&amp;Bem'!$BD$31*($E170-0.3)+$E170^2)</f>
        <v>0.76153805298494137</v>
      </c>
      <c r="G170" s="550">
        <f t="shared" si="127"/>
        <v>0.93281556098786433</v>
      </c>
      <c r="I170" s="551">
        <f t="shared" si="128"/>
        <v>45972.882107725905</v>
      </c>
      <c r="M170" s="546">
        <f t="shared" si="129"/>
        <v>222</v>
      </c>
      <c r="N170" s="551">
        <f t="shared" si="118"/>
        <v>45.251777855403098</v>
      </c>
      <c r="O170" s="553">
        <f>$N170/PI()*SQRT('Hilfstabellen_Mat&amp;Bem'!f.Rd.3/'Hilfstabellen_Mat&amp;Bem'!$BD$30)</f>
        <v>0.72020441293837711</v>
      </c>
      <c r="P170" s="553">
        <f>0.5*(1+'Hilfstabellen_Mat&amp;Bem'!$BD$31*($O170-0.3)+$O170^2)</f>
        <v>0.78035741885487497</v>
      </c>
      <c r="Q170" s="550">
        <f t="shared" si="119"/>
        <v>0.92524403854861226</v>
      </c>
      <c r="S170" s="551">
        <f t="shared" si="130"/>
        <v>45599.727195829808</v>
      </c>
      <c r="W170" s="546">
        <f t="shared" si="131"/>
        <v>222</v>
      </c>
      <c r="X170" s="551">
        <f t="shared" si="120"/>
        <v>46.812183988348032</v>
      </c>
      <c r="Y170" s="553">
        <f>$X170/PI()*SQRT('Hilfstabellen_Mat&amp;Bem'!f.Rd.3/'Hilfstabellen_Mat&amp;Bem'!$BD$30)</f>
        <v>0.74503904786728659</v>
      </c>
      <c r="Z170" s="553">
        <f>0.5*(1+'Hilfstabellen_Mat&amp;Bem'!$BD$31*($Y170-0.3)+$Y170^2)</f>
        <v>0.79979354381686085</v>
      </c>
      <c r="AA170" s="550">
        <f t="shared" si="121"/>
        <v>0.91690024959756122</v>
      </c>
      <c r="AC170" s="551">
        <f t="shared" si="132"/>
        <v>45188.51190116621</v>
      </c>
      <c r="AG170" s="546">
        <f t="shared" si="133"/>
        <v>222</v>
      </c>
      <c r="AH170" s="551">
        <f t="shared" si="122"/>
        <v>48.372590121292966</v>
      </c>
      <c r="AI170" s="553">
        <f>$AH170/PI()*SQRT('Hilfstabellen_Mat&amp;Bem'!f.Rd.3/'Hilfstabellen_Mat&amp;Bem'!$BD$30)</f>
        <v>0.76987368279619606</v>
      </c>
      <c r="AJ170" s="553">
        <f>0.5*(1+'Hilfstabellen_Mat&amp;Bem'!$BD$31*($AI170-0.3)+$AI170^2)</f>
        <v>0.81984642787089879</v>
      </c>
      <c r="AK170" s="550">
        <f t="shared" si="123"/>
        <v>0.90768630352867663</v>
      </c>
      <c r="AM170" s="551">
        <f t="shared" si="134"/>
        <v>44734.411783107302</v>
      </c>
      <c r="AQ170" s="546">
        <f t="shared" si="135"/>
        <v>222</v>
      </c>
      <c r="AR170" s="551">
        <f t="shared" si="124"/>
        <v>49.932996254237899</v>
      </c>
      <c r="AS170" s="553">
        <f>$AR170/PI()*SQRT('Hilfstabellen_Mat&amp;Bem'!f.Rd.3/'Hilfstabellen_Mat&amp;Bem'!$BD$30)</f>
        <v>0.79470831772510564</v>
      </c>
      <c r="AT170" s="553">
        <f>0.5*(1+'Hilfstabellen_Mat&amp;Bem'!$BD$31*($AS170-0.3)+$AS170^2)</f>
        <v>0.840516071016989</v>
      </c>
      <c r="AU170" s="550">
        <f t="shared" si="125"/>
        <v>0.89750042968065802</v>
      </c>
      <c r="AW170" s="551">
        <f t="shared" si="136"/>
        <v>44232.411176381553</v>
      </c>
      <c r="BA170" s="546">
        <f t="shared" si="137"/>
        <v>222</v>
      </c>
      <c r="BB170" s="551">
        <f t="shared" si="138"/>
        <v>51.493402387182833</v>
      </c>
      <c r="BC170" s="553">
        <f>$BB170/PI()*SQRT('Hilfstabellen_Mat&amp;Bem'!f.Rd.3/'Hilfstabellen_Mat&amp;Bem'!$BD$30)</f>
        <v>0.81954295265401511</v>
      </c>
      <c r="BD170" s="553">
        <f>0.5*(1+'Hilfstabellen_Mat&amp;Bem'!$BD$31*($BC170-0.3)+$BC170^2)</f>
        <v>0.86180247325513137</v>
      </c>
      <c r="BE170" s="550">
        <f t="shared" si="139"/>
        <v>0.88624207291652068</v>
      </c>
      <c r="BG170" s="551">
        <f t="shared" si="140"/>
        <v>43677.554321617805</v>
      </c>
      <c r="BK170" s="546">
        <f t="shared" si="141"/>
        <v>222</v>
      </c>
      <c r="BL170" s="551">
        <f t="shared" si="142"/>
        <v>53.053808520127767</v>
      </c>
      <c r="BM170" s="553">
        <f>$BL170/PI()*SQRT('Hilfstabellen_Mat&amp;Bem'!f.Rd.3/'Hilfstabellen_Mat&amp;Bem'!$BD$30)</f>
        <v>0.8443775875829248</v>
      </c>
      <c r="BN170" s="553">
        <f>0.5*(1+'Hilfstabellen_Mat&amp;Bem'!$BD$31*($BM170-0.3)+$BM170^2)</f>
        <v>0.88370563458532625</v>
      </c>
      <c r="BO170" s="550">
        <f t="shared" si="143"/>
        <v>0.87381948431767575</v>
      </c>
      <c r="BQ170" s="551">
        <f t="shared" si="144"/>
        <v>43065.319465112334</v>
      </c>
      <c r="BU170" s="546">
        <f t="shared" si="145"/>
        <v>222</v>
      </c>
      <c r="BV170" s="551">
        <f t="shared" si="146"/>
        <v>54.6142146530727</v>
      </c>
      <c r="BW170" s="553">
        <f>$BV170/PI()*SQRT('Hilfstabellen_Mat&amp;Bem'!f.Rd.3/'Hilfstabellen_Mat&amp;Bem'!$BD$30)</f>
        <v>0.86921222251183439</v>
      </c>
      <c r="BX170" s="553">
        <f>0.5*(1+'Hilfstabellen_Mat&amp;Bem'!$BD$31*($BW170-0.3)+$BW170^2)</f>
        <v>0.90622555500757307</v>
      </c>
      <c r="BY170" s="550">
        <f t="shared" si="147"/>
        <v>0.86015980371737855</v>
      </c>
      <c r="CA170" s="551">
        <f t="shared" si="148"/>
        <v>42392.115766407282</v>
      </c>
      <c r="CE170" s="546">
        <f t="shared" si="149"/>
        <v>222</v>
      </c>
      <c r="CF170" s="551">
        <f t="shared" si="150"/>
        <v>56.174620786017641</v>
      </c>
      <c r="CG170" s="553">
        <f>CF170/PI()*SQRT('Hilfstabellen_Mat&amp;Bem'!f.Rd.3/'Hilfstabellen_Mat&amp;Bem'!$BD$30)</f>
        <v>0.89404685744074386</v>
      </c>
      <c r="CH170" s="553">
        <f>0.5*(1+'Hilfstabellen_Mat&amp;Bem'!$BD$31*(CG170-0.3)+CG170^2)</f>
        <v>0.92936223452187217</v>
      </c>
      <c r="CI170" s="550">
        <f t="shared" si="151"/>
        <v>0.84522086366346427</v>
      </c>
      <c r="CK170" s="551">
        <f t="shared" si="152"/>
        <v>41655.865044790175</v>
      </c>
      <c r="CO170" s="546">
        <f t="shared" si="153"/>
        <v>222</v>
      </c>
      <c r="CP170" s="551">
        <f t="shared" si="154"/>
        <v>57.735026918962575</v>
      </c>
      <c r="CQ170" s="553">
        <f>CP170/PI()*SQRT('Hilfstabellen_Mat&amp;Bem'!f.Rd.3/'Hilfstabellen_Mat&amp;Bem'!$BD$30)</f>
        <v>0.91888149236965355</v>
      </c>
      <c r="CR170" s="553">
        <f>0.5*(1+'Hilfstabellen_Mat&amp;Bem'!$BD$31*(CQ170-0.3)+CQ170^2)</f>
        <v>0.95311567312822354</v>
      </c>
      <c r="CS170" s="550">
        <f t="shared" si="155"/>
        <v>0.8290029172295762</v>
      </c>
      <c r="CU170" s="551">
        <f t="shared" si="156"/>
        <v>40856.579772742436</v>
      </c>
      <c r="CY170" s="546">
        <f t="shared" si="157"/>
        <v>222</v>
      </c>
      <c r="CZ170" s="551">
        <f t="shared" si="158"/>
        <v>59.295433051907509</v>
      </c>
      <c r="DA170" s="553">
        <f>CZ170/PI()*SQRT('Hilfstabellen_Mat&amp;Bem'!f.Rd.3/'Hilfstabellen_Mat&amp;Bem'!$BD$30)</f>
        <v>0.94371612729856302</v>
      </c>
      <c r="DB170" s="553">
        <f>0.5*(1+'Hilfstabellen_Mat&amp;Bem'!$BD$31*(DA170-0.3)+DA170^2)</f>
        <v>0.97748587082662697</v>
      </c>
      <c r="DC170" s="550">
        <f t="shared" si="159"/>
        <v>0.8115575853874708</v>
      </c>
      <c r="DE170" s="551">
        <f t="shared" si="160"/>
        <v>39996.804038236114</v>
      </c>
      <c r="DI170" s="546">
        <f t="shared" si="161"/>
        <v>222</v>
      </c>
      <c r="DJ170" s="551">
        <f t="shared" si="162"/>
        <v>60.855839184852442</v>
      </c>
      <c r="DK170" s="553">
        <f>DJ170/PI()*SQRT('Hilfstabellen_Mat&amp;Bem'!f.Rd.3/'Hilfstabellen_Mat&amp;Bem'!$BD$30)</f>
        <v>0.96855076222747261</v>
      </c>
      <c r="DL170" s="553">
        <f>0.5*(1+'Hilfstabellen_Mat&amp;Bem'!$BD$31*(DK170-0.3)+DK170^2)</f>
        <v>1.0024728276170827</v>
      </c>
      <c r="DM170" s="550">
        <f t="shared" si="163"/>
        <v>0.7929911396150261</v>
      </c>
      <c r="DO170" s="551">
        <f t="shared" si="164"/>
        <v>39081.775324786948</v>
      </c>
      <c r="DS170" s="546">
        <f t="shared" si="165"/>
        <v>222</v>
      </c>
      <c r="DT170" s="551">
        <f t="shared" si="166"/>
        <v>62.416245317797376</v>
      </c>
      <c r="DU170" s="553">
        <f>DT170/PI()*SQRT('Hilfstabellen_Mat&amp;Bem'!f.Rd.3/'Hilfstabellen_Mat&amp;Bem'!$BD$30)</f>
        <v>0.99338539715638208</v>
      </c>
      <c r="DV170" s="553">
        <f>0.5*(1+'Hilfstabellen_Mat&amp;Bem'!$BD$31*(DU170-0.3)+DU170^2)</f>
        <v>1.0280765434995907</v>
      </c>
      <c r="DW170" s="550">
        <f t="shared" si="167"/>
        <v>0.77346025451142897</v>
      </c>
      <c r="DY170" s="551">
        <f t="shared" si="168"/>
        <v>38119.215183341264</v>
      </c>
      <c r="EC170" s="546">
        <f t="shared" si="169"/>
        <v>222</v>
      </c>
      <c r="ED170" s="551">
        <f t="shared" si="170"/>
        <v>63.97665145074231</v>
      </c>
      <c r="EE170" s="553">
        <f>ED170/PI()*SQRT('Hilfstabellen_Mat&amp;Bem'!f.Rd.3/'Hilfstabellen_Mat&amp;Bem'!$BD$30)</f>
        <v>1.0182200320852917</v>
      </c>
      <c r="EF170" s="553">
        <f>0.5*(1+'Hilfstabellen_Mat&amp;Bem'!$BD$31*(EE170-0.3)+EE170^2)</f>
        <v>1.0542970184741507</v>
      </c>
      <c r="EG170" s="550">
        <f t="shared" si="171"/>
        <v>0.75316043216067396</v>
      </c>
      <c r="EI170" s="551">
        <f t="shared" si="172"/>
        <v>37118.758738606659</v>
      </c>
      <c r="EM170" s="546">
        <f t="shared" si="173"/>
        <v>222</v>
      </c>
      <c r="EN170" s="551">
        <f t="shared" si="174"/>
        <v>65.537057583687243</v>
      </c>
      <c r="EO170" s="553">
        <f>EN170/PI()*SQRT('Hilfstabellen_Mat&amp;Bem'!f.Rd.3/'Hilfstabellen_Mat&amp;Bem'!$BD$30)</f>
        <v>1.0430546670142011</v>
      </c>
      <c r="EP170" s="553">
        <f>0.5*(1+'Hilfstabellen_Mat&amp;Bem'!$BD$31*(EO170-0.3)+EO170^2)</f>
        <v>1.081134252540763</v>
      </c>
      <c r="EQ170" s="550">
        <f t="shared" si="175"/>
        <v>0.73230951446445125</v>
      </c>
      <c r="ES170" s="551">
        <f t="shared" si="176"/>
        <v>36091.142110866014</v>
      </c>
    </row>
    <row r="171" spans="3:149">
      <c r="C171" s="546">
        <v>223</v>
      </c>
      <c r="D171" s="551">
        <f t="shared" si="126"/>
        <v>43.495446288725169</v>
      </c>
      <c r="E171" s="553">
        <f>$D171/PI()*SQRT('Hilfstabellen_Mat&amp;Bem'!f.Rd.3/'Hilfstabellen_Mat&amp;Bem'!$BD$30)</f>
        <v>0.69225152788386446</v>
      </c>
      <c r="F171" s="553">
        <f>0.5*(1+'Hilfstabellen_Mat&amp;Bem'!$BD$31*($E171-0.3)+$E171^2)</f>
        <v>0.75921866532296556</v>
      </c>
      <c r="G171" s="550">
        <f t="shared" si="127"/>
        <v>0.93371631889824547</v>
      </c>
      <c r="I171" s="551">
        <f t="shared" si="128"/>
        <v>46432.778822490851</v>
      </c>
      <c r="M171" s="546">
        <f t="shared" si="129"/>
        <v>223</v>
      </c>
      <c r="N171" s="551">
        <f t="shared" si="118"/>
        <v>45.048855084751061</v>
      </c>
      <c r="O171" s="553">
        <f>$N171/PI()*SQRT('Hilfstabellen_Mat&amp;Bem'!f.Rd.3/'Hilfstabellen_Mat&amp;Bem'!$BD$30)</f>
        <v>0.7169747967368596</v>
      </c>
      <c r="P171" s="553">
        <f>0.5*(1+'Hilfstabellen_Mat&amp;Bem'!$BD$31*($O171-0.3)+$O171^2)</f>
        <v>0.77787516941477364</v>
      </c>
      <c r="Q171" s="550">
        <f t="shared" si="119"/>
        <v>0.92627034398404984</v>
      </c>
      <c r="S171" s="551">
        <f t="shared" si="130"/>
        <v>46062.497935982814</v>
      </c>
      <c r="W171" s="546">
        <f t="shared" si="131"/>
        <v>223</v>
      </c>
      <c r="X171" s="551">
        <f t="shared" si="120"/>
        <v>46.602263880776967</v>
      </c>
      <c r="Y171" s="553">
        <f>$X171/PI()*SQRT('Hilfstabellen_Mat&amp;Bem'!f.Rd.3/'Hilfstabellen_Mat&amp;Bem'!$BD$30)</f>
        <v>0.74169806558985485</v>
      </c>
      <c r="Z171" s="553">
        <f>0.5*(1+'Hilfstabellen_Mat&amp;Bem'!$BD$31*($Y171-0.3)+$Y171^2)</f>
        <v>0.79714291352935907</v>
      </c>
      <c r="AA171" s="550">
        <f t="shared" si="121"/>
        <v>0.91807117703535002</v>
      </c>
      <c r="AC171" s="551">
        <f t="shared" si="132"/>
        <v>45654.761562790918</v>
      </c>
      <c r="AG171" s="546">
        <f t="shared" si="133"/>
        <v>223</v>
      </c>
      <c r="AH171" s="551">
        <f t="shared" si="122"/>
        <v>48.155672676802865</v>
      </c>
      <c r="AI171" s="553">
        <f>$AH171/PI()*SQRT('Hilfstabellen_Mat&amp;Bem'!f.Rd.3/'Hilfstabellen_Mat&amp;Bem'!$BD$30)</f>
        <v>0.76642133444284999</v>
      </c>
      <c r="AJ171" s="553">
        <f>0.5*(1+'Hilfstabellen_Mat&amp;Bem'!$BD$31*($AI171-0.3)+$AI171^2)</f>
        <v>0.81702189766672195</v>
      </c>
      <c r="AK171" s="550">
        <f t="shared" si="123"/>
        <v>0.90902300273063497</v>
      </c>
      <c r="AM171" s="551">
        <f t="shared" si="134"/>
        <v>45204.804902791744</v>
      </c>
      <c r="AQ171" s="546">
        <f t="shared" si="135"/>
        <v>223</v>
      </c>
      <c r="AR171" s="551">
        <f t="shared" si="124"/>
        <v>49.709081472828764</v>
      </c>
      <c r="AS171" s="553">
        <f>$AR171/PI()*SQRT('Hilfstabellen_Mat&amp;Bem'!f.Rd.3/'Hilfstabellen_Mat&amp;Bem'!$BD$30)</f>
        <v>0.79114460329584513</v>
      </c>
      <c r="AT171" s="553">
        <f>0.5*(1+'Hilfstabellen_Mat&amp;Bem'!$BD$31*($AS171-0.3)+$AS171^2)</f>
        <v>0.83751212182686241</v>
      </c>
      <c r="AU171" s="550">
        <f t="shared" si="125"/>
        <v>0.89902568626801338</v>
      </c>
      <c r="AW171" s="551">
        <f t="shared" si="136"/>
        <v>44707.648352422038</v>
      </c>
      <c r="BA171" s="546">
        <f t="shared" si="137"/>
        <v>223</v>
      </c>
      <c r="BB171" s="551">
        <f t="shared" si="138"/>
        <v>51.262490268854656</v>
      </c>
      <c r="BC171" s="553">
        <f>$BB171/PI()*SQRT('Hilfstabellen_Mat&amp;Bem'!f.Rd.3/'Hilfstabellen_Mat&amp;Bem'!$BD$30)</f>
        <v>0.81586787214884016</v>
      </c>
      <c r="BD171" s="553">
        <f>0.5*(1+'Hilfstabellen_Mat&amp;Bem'!$BD$31*($BC171-0.3)+$BC171^2)</f>
        <v>0.85861358600978011</v>
      </c>
      <c r="BE171" s="550">
        <f t="shared" si="139"/>
        <v>0.88797944700517906</v>
      </c>
      <c r="BG171" s="551">
        <f t="shared" si="140"/>
        <v>44158.329920120552</v>
      </c>
      <c r="BK171" s="546">
        <f t="shared" si="141"/>
        <v>223</v>
      </c>
      <c r="BL171" s="551">
        <f t="shared" si="142"/>
        <v>52.815899064880561</v>
      </c>
      <c r="BM171" s="553">
        <f>$BL171/PI()*SQRT('Hilfstabellen_Mat&amp;Bem'!f.Rd.3/'Hilfstabellen_Mat&amp;Bem'!$BD$30)</f>
        <v>0.84059114100183552</v>
      </c>
      <c r="BN171" s="553">
        <f>0.5*(1+'Hilfstabellen_Mat&amp;Bem'!$BD$31*($BM171-0.3)+$BM171^2)</f>
        <v>0.88032629021547559</v>
      </c>
      <c r="BO171" s="550">
        <f t="shared" si="143"/>
        <v>0.87579192295084163</v>
      </c>
      <c r="BQ171" s="551">
        <f t="shared" si="144"/>
        <v>43552.256536422406</v>
      </c>
      <c r="BU171" s="546">
        <f t="shared" si="145"/>
        <v>223</v>
      </c>
      <c r="BV171" s="551">
        <f t="shared" si="146"/>
        <v>54.36930786090646</v>
      </c>
      <c r="BW171" s="553">
        <f>$BV171/PI()*SQRT('Hilfstabellen_Mat&amp;Bem'!f.Rd.3/'Hilfstabellen_Mat&amp;Bem'!$BD$30)</f>
        <v>0.86531440985483066</v>
      </c>
      <c r="BX171" s="553">
        <f>0.5*(1+'Hilfstabellen_Mat&amp;Bem'!$BD$31*($BW171-0.3)+$BW171^2)</f>
        <v>0.90265023444394843</v>
      </c>
      <c r="BY171" s="550">
        <f t="shared" si="147"/>
        <v>0.86238770052283731</v>
      </c>
      <c r="CA171" s="551">
        <f t="shared" si="148"/>
        <v>42885.677959300177</v>
      </c>
      <c r="CE171" s="546">
        <f t="shared" si="149"/>
        <v>223</v>
      </c>
      <c r="CF171" s="551">
        <f t="shared" si="150"/>
        <v>55.922716656932359</v>
      </c>
      <c r="CG171" s="553">
        <f>CF171/PI()*SQRT('Hilfstabellen_Mat&amp;Bem'!f.Rd.3/'Hilfstabellen_Mat&amp;Bem'!$BD$30)</f>
        <v>0.89003767870782569</v>
      </c>
      <c r="CH171" s="553">
        <f>0.5*(1+'Hilfstabellen_Mat&amp;Bem'!$BD$31*(CG171-0.3)+CG171^2)</f>
        <v>0.92558541869519873</v>
      </c>
      <c r="CI171" s="550">
        <f t="shared" si="151"/>
        <v>0.84771969276711034</v>
      </c>
      <c r="CK171" s="551">
        <f t="shared" si="152"/>
        <v>42156.252601615633</v>
      </c>
      <c r="CO171" s="546">
        <f t="shared" si="153"/>
        <v>223</v>
      </c>
      <c r="CP171" s="551">
        <f t="shared" si="154"/>
        <v>57.47612545295825</v>
      </c>
      <c r="CQ171" s="553">
        <f>CP171/PI()*SQRT('Hilfstabellen_Mat&amp;Bem'!f.Rd.3/'Hilfstabellen_Mat&amp;Bem'!$BD$30)</f>
        <v>0.91476094756082083</v>
      </c>
      <c r="CR171" s="553">
        <f>0.5*(1+'Hilfstabellen_Mat&amp;Bem'!$BD$31*(CQ171-0.3)+CQ171^2)</f>
        <v>0.94913184296922648</v>
      </c>
      <c r="CS171" s="550">
        <f t="shared" si="155"/>
        <v>0.83178077857546451</v>
      </c>
      <c r="CU171" s="551">
        <f t="shared" si="156"/>
        <v>41363.626337779271</v>
      </c>
      <c r="CY171" s="546">
        <f t="shared" si="157"/>
        <v>223</v>
      </c>
      <c r="CZ171" s="551">
        <f t="shared" si="158"/>
        <v>59.029534248984163</v>
      </c>
      <c r="DA171" s="553">
        <f>CZ171/PI()*SQRT('Hilfstabellen_Mat&amp;Bem'!f.Rd.3/'Hilfstabellen_Mat&amp;Bem'!$BD$30)</f>
        <v>0.93948421641381619</v>
      </c>
      <c r="DB171" s="553">
        <f>0.5*(1+'Hilfstabellen_Mat&amp;Bem'!$BD$31*(DA171-0.3)+DA171^2)</f>
        <v>0.97328950726603192</v>
      </c>
      <c r="DC171" s="550">
        <f t="shared" si="159"/>
        <v>0.81461318637244373</v>
      </c>
      <c r="DE171" s="551">
        <f t="shared" si="160"/>
        <v>40509.899145115254</v>
      </c>
      <c r="DI171" s="546">
        <f t="shared" si="161"/>
        <v>223</v>
      </c>
      <c r="DJ171" s="551">
        <f t="shared" si="162"/>
        <v>60.582943045010055</v>
      </c>
      <c r="DK171" s="553">
        <f>DJ171/PI()*SQRT('Hilfstabellen_Mat&amp;Bem'!f.Rd.3/'Hilfstabellen_Mat&amp;Bem'!$BD$30)</f>
        <v>0.96420748526681122</v>
      </c>
      <c r="DL171" s="553">
        <f>0.5*(1+'Hilfstabellen_Mat&amp;Bem'!$BD$31*(DK171-0.3)+DK171^2)</f>
        <v>0.99805841158561448</v>
      </c>
      <c r="DM171" s="550">
        <f t="shared" si="163"/>
        <v>0.79631278104681436</v>
      </c>
      <c r="DO171" s="551">
        <f t="shared" si="164"/>
        <v>39599.838288677034</v>
      </c>
      <c r="DS171" s="546">
        <f t="shared" si="165"/>
        <v>223</v>
      </c>
      <c r="DT171" s="551">
        <f t="shared" si="166"/>
        <v>62.136351841035946</v>
      </c>
      <c r="DU171" s="553">
        <f>DT171/PI()*SQRT('Hilfstabellen_Mat&amp;Bem'!f.Rd.3/'Hilfstabellen_Mat&amp;Bem'!$BD$30)</f>
        <v>0.98893075411980635</v>
      </c>
      <c r="DV171" s="553">
        <f>0.5*(1+'Hilfstabellen_Mat&amp;Bem'!$BD$31*(DU171-0.3)+DU171^2)</f>
        <v>1.0234385559279748</v>
      </c>
      <c r="DW171" s="550">
        <f t="shared" si="167"/>
        <v>0.77702619875085399</v>
      </c>
      <c r="DY171" s="551">
        <f t="shared" si="168"/>
        <v>38640.735837681219</v>
      </c>
      <c r="EC171" s="546">
        <f t="shared" si="169"/>
        <v>223</v>
      </c>
      <c r="ED171" s="551">
        <f t="shared" si="170"/>
        <v>63.689760637061852</v>
      </c>
      <c r="EE171" s="553">
        <f>ED171/PI()*SQRT('Hilfstabellen_Mat&amp;Bem'!f.Rd.3/'Hilfstabellen_Mat&amp;Bem'!$BD$30)</f>
        <v>1.0136540229728015</v>
      </c>
      <c r="EF171" s="553">
        <f>0.5*(1+'Hilfstabellen_Mat&amp;Bem'!$BD$31*(EE171-0.3)+EE171^2)</f>
        <v>1.0494299402931124</v>
      </c>
      <c r="EG171" s="550">
        <f t="shared" si="171"/>
        <v>0.75694064668231764</v>
      </c>
      <c r="EI171" s="551">
        <f t="shared" si="172"/>
        <v>37641.901418864974</v>
      </c>
      <c r="EM171" s="546">
        <f t="shared" si="173"/>
        <v>223</v>
      </c>
      <c r="EN171" s="551">
        <f t="shared" si="174"/>
        <v>65.243169433087743</v>
      </c>
      <c r="EO171" s="553">
        <f>EN171/PI()*SQRT('Hilfstabellen_Mat&amp;Bem'!f.Rd.3/'Hilfstabellen_Mat&amp;Bem'!$BD$30)</f>
        <v>1.0383772918257967</v>
      </c>
      <c r="EP171" s="553">
        <f>0.5*(1+'Hilfstabellen_Mat&amp;Bem'!$BD$31*(EO171-0.3)+EO171^2)</f>
        <v>1.0760325646810278</v>
      </c>
      <c r="EQ171" s="550">
        <f t="shared" si="175"/>
        <v>0.73626838087508883</v>
      </c>
      <c r="ES171" s="551">
        <f t="shared" si="176"/>
        <v>36613.890312537296</v>
      </c>
    </row>
    <row r="172" spans="3:149">
      <c r="C172" s="546">
        <v>224</v>
      </c>
      <c r="D172" s="551">
        <f t="shared" si="126"/>
        <v>43.301270189221931</v>
      </c>
      <c r="E172" s="553">
        <f>$D172/PI()*SQRT('Hilfstabellen_Mat&amp;Bem'!f.Rd.3/'Hilfstabellen_Mat&amp;Bem'!$BD$30)</f>
        <v>0.68916111927724011</v>
      </c>
      <c r="F172" s="553">
        <f>0.5*(1+'Hilfstabellen_Mat&amp;Bem'!$BD$31*($E172-0.3)+$E172^2)</f>
        <v>0.75692958012559108</v>
      </c>
      <c r="G172" s="550">
        <f t="shared" si="127"/>
        <v>0.9345986165714808</v>
      </c>
      <c r="I172" s="551">
        <f t="shared" si="128"/>
        <v>46894.420185090617</v>
      </c>
      <c r="M172" s="546">
        <f t="shared" si="129"/>
        <v>224</v>
      </c>
      <c r="N172" s="551">
        <f t="shared" si="118"/>
        <v>44.847744124551284</v>
      </c>
      <c r="O172" s="553">
        <f>$N172/PI()*SQRT('Hilfstabellen_Mat&amp;Bem'!f.Rd.3/'Hilfstabellen_Mat&amp;Bem'!$BD$30)</f>
        <v>0.71377401639428439</v>
      </c>
      <c r="P172" s="553">
        <f>0.5*(1+'Hilfstabellen_Mat&amp;Bem'!$BD$31*($O172-0.3)+$O172^2)</f>
        <v>0.77542537405952827</v>
      </c>
      <c r="Q172" s="550">
        <f t="shared" si="119"/>
        <v>0.92727481420928737</v>
      </c>
      <c r="S172" s="551">
        <f t="shared" si="130"/>
        <v>46526.941077765201</v>
      </c>
      <c r="W172" s="546">
        <f t="shared" si="131"/>
        <v>224</v>
      </c>
      <c r="X172" s="551">
        <f t="shared" si="120"/>
        <v>46.394218059880636</v>
      </c>
      <c r="Y172" s="553">
        <f>$X172/PI()*SQRT('Hilfstabellen_Mat&amp;Bem'!f.Rd.3/'Hilfstabellen_Mat&amp;Bem'!$BD$30)</f>
        <v>0.73838691351132857</v>
      </c>
      <c r="Z172" s="553">
        <f>0.5*(1+'Hilfstabellen_Mat&amp;Bem'!$BD$31*($Y172-0.3)+$Y172^2)</f>
        <v>0.79452696269795953</v>
      </c>
      <c r="AA172" s="550">
        <f t="shared" si="121"/>
        <v>0.91921635867742457</v>
      </c>
      <c r="AC172" s="551">
        <f t="shared" si="132"/>
        <v>46122.600012998453</v>
      </c>
      <c r="AG172" s="546">
        <f t="shared" si="133"/>
        <v>224</v>
      </c>
      <c r="AH172" s="551">
        <f t="shared" si="122"/>
        <v>47.940691995209988</v>
      </c>
      <c r="AI172" s="553">
        <f>$AH172/PI()*SQRT('Hilfstabellen_Mat&amp;Bem'!f.Rd.3/'Hilfstabellen_Mat&amp;Bem'!$BD$30)</f>
        <v>0.76299981062837285</v>
      </c>
      <c r="AJ172" s="553">
        <f>0.5*(1+'Hilfstabellen_Mat&amp;Bem'!$BD$31*($AI172-0.3)+$AI172^2)</f>
        <v>0.81423434604088507</v>
      </c>
      <c r="AK172" s="550">
        <f t="shared" si="123"/>
        <v>0.91032950585157013</v>
      </c>
      <c r="AM172" s="551">
        <f t="shared" si="134"/>
        <v>45676.69328560838</v>
      </c>
      <c r="AQ172" s="546">
        <f t="shared" si="135"/>
        <v>224</v>
      </c>
      <c r="AR172" s="551">
        <f t="shared" si="124"/>
        <v>49.487165930539348</v>
      </c>
      <c r="AS172" s="553">
        <f>$AR172/PI()*SQRT('Hilfstabellen_Mat&amp;Bem'!f.Rd.3/'Hilfstabellen_Mat&amp;Bem'!$BD$30)</f>
        <v>0.78761270774541725</v>
      </c>
      <c r="AT172" s="553">
        <f>0.5*(1+'Hilfstabellen_Mat&amp;Bem'!$BD$31*($AS172-0.3)+$AS172^2)</f>
        <v>0.8345475240883049</v>
      </c>
      <c r="AU172" s="550">
        <f t="shared" si="125"/>
        <v>0.90051580877540705</v>
      </c>
      <c r="AW172" s="551">
        <f t="shared" si="136"/>
        <v>45184.281221114827</v>
      </c>
      <c r="BA172" s="546">
        <f t="shared" si="137"/>
        <v>224</v>
      </c>
      <c r="BB172" s="551">
        <f t="shared" si="138"/>
        <v>51.033639865868707</v>
      </c>
      <c r="BC172" s="553">
        <f>$BB172/PI()*SQRT('Hilfstabellen_Mat&amp;Bem'!f.Rd.3/'Hilfstabellen_Mat&amp;Bem'!$BD$30)</f>
        <v>0.81222560486246165</v>
      </c>
      <c r="BD172" s="553">
        <f>0.5*(1+'Hilfstabellen_Mat&amp;Bem'!$BD$31*($BC172-0.3)+$BC172^2)</f>
        <v>0.85546649684021892</v>
      </c>
      <c r="BE172" s="550">
        <f t="shared" si="139"/>
        <v>0.88967639677876187</v>
      </c>
      <c r="BG172" s="551">
        <f t="shared" si="140"/>
        <v>44640.402884771152</v>
      </c>
      <c r="BK172" s="546">
        <f t="shared" si="141"/>
        <v>224</v>
      </c>
      <c r="BL172" s="551">
        <f t="shared" si="142"/>
        <v>52.58011380119806</v>
      </c>
      <c r="BM172" s="553">
        <f>$BL172/PI()*SQRT('Hilfstabellen_Mat&amp;Bem'!f.Rd.3/'Hilfstabellen_Mat&amp;Bem'!$BD$30)</f>
        <v>0.83683850197950582</v>
      </c>
      <c r="BN172" s="553">
        <f>0.5*(1+'Hilfstabellen_Mat&amp;Bem'!$BD$31*($BM172-0.3)+$BM172^2)</f>
        <v>0.87699126429662699</v>
      </c>
      <c r="BO172" s="550">
        <f t="shared" si="143"/>
        <v>0.87771853893118934</v>
      </c>
      <c r="BQ172" s="551">
        <f t="shared" si="144"/>
        <v>44040.40540941136</v>
      </c>
      <c r="BU172" s="546">
        <f t="shared" si="145"/>
        <v>224</v>
      </c>
      <c r="BV172" s="551">
        <f t="shared" si="146"/>
        <v>54.126587736527412</v>
      </c>
      <c r="BW172" s="553">
        <f>$BV172/PI()*SQRT('Hilfstabellen_Mat&amp;Bem'!f.Rd.3/'Hilfstabellen_Mat&amp;Bem'!$BD$30)</f>
        <v>0.86145139909655011</v>
      </c>
      <c r="BX172" s="553">
        <f>0.5*(1+'Hilfstabellen_Mat&amp;Bem'!$BD$31*($BW172-0.3)+$BW172^2)</f>
        <v>0.89912182645752936</v>
      </c>
      <c r="BY172" s="550">
        <f t="shared" si="147"/>
        <v>0.86456463169002984</v>
      </c>
      <c r="CA172" s="551">
        <f t="shared" si="148"/>
        <v>43380.394959678939</v>
      </c>
      <c r="CE172" s="546">
        <f t="shared" si="149"/>
        <v>224</v>
      </c>
      <c r="CF172" s="551">
        <f t="shared" si="150"/>
        <v>55.673061671856772</v>
      </c>
      <c r="CG172" s="553">
        <f>CF172/PI()*SQRT('Hilfstabellen_Mat&amp;Bem'!f.Rd.3/'Hilfstabellen_Mat&amp;Bem'!$BD$30)</f>
        <v>0.8860642962135945</v>
      </c>
      <c r="CH172" s="553">
        <f>0.5*(1+'Hilfstabellen_Mat&amp;Bem'!$BD$31*(CG172-0.3)+CG172^2)</f>
        <v>0.92185818332292602</v>
      </c>
      <c r="CI172" s="550">
        <f t="shared" si="151"/>
        <v>0.85016313150567724</v>
      </c>
      <c r="CK172" s="551">
        <f t="shared" si="152"/>
        <v>42657.785286428858</v>
      </c>
      <c r="CO172" s="546">
        <f t="shared" si="153"/>
        <v>224</v>
      </c>
      <c r="CP172" s="551">
        <f t="shared" si="154"/>
        <v>57.219535607186117</v>
      </c>
      <c r="CQ172" s="553">
        <f>CP172/PI()*SQRT('Hilfstabellen_Mat&amp;Bem'!f.Rd.3/'Hilfstabellen_Mat&amp;Bem'!$BD$30)</f>
        <v>0.91067719333063857</v>
      </c>
      <c r="CR172" s="553">
        <f>0.5*(1+'Hilfstabellen_Mat&amp;Bem'!$BD$31*(CQ172-0.3)+CQ172^2)</f>
        <v>0.94520033489281652</v>
      </c>
      <c r="CS172" s="550">
        <f t="shared" si="155"/>
        <v>0.83450004298874492</v>
      </c>
      <c r="CU172" s="551">
        <f t="shared" si="156"/>
        <v>41871.874157003265</v>
      </c>
      <c r="CY172" s="546">
        <f t="shared" si="157"/>
        <v>224</v>
      </c>
      <c r="CZ172" s="551">
        <f t="shared" si="158"/>
        <v>58.766009542515476</v>
      </c>
      <c r="DA172" s="553">
        <f>CZ172/PI()*SQRT('Hilfstabellen_Mat&amp;Bem'!f.Rd.3/'Hilfstabellen_Mat&amp;Bem'!$BD$30)</f>
        <v>0.93529009044768296</v>
      </c>
      <c r="DB172" s="553">
        <f>0.5*(1+'Hilfstabellen_Mat&amp;Bem'!$BD$31*(DA172-0.3)+DA172^2)</f>
        <v>0.96914828116720164</v>
      </c>
      <c r="DC172" s="550">
        <f t="shared" si="159"/>
        <v>0.81760863812875562</v>
      </c>
      <c r="DE172" s="551">
        <f t="shared" si="160"/>
        <v>41024.331026748441</v>
      </c>
      <c r="DI172" s="546">
        <f t="shared" si="161"/>
        <v>224</v>
      </c>
      <c r="DJ172" s="551">
        <f t="shared" si="162"/>
        <v>60.312483477844829</v>
      </c>
      <c r="DK172" s="553">
        <f>DJ172/PI()*SQRT('Hilfstabellen_Mat&amp;Bem'!f.Rd.3/'Hilfstabellen_Mat&amp;Bem'!$BD$30)</f>
        <v>0.95990298756472725</v>
      </c>
      <c r="DL172" s="553">
        <f>0.5*(1+'Hilfstabellen_Mat&amp;Bem'!$BD$31*(DK172-0.3)+DK172^2)</f>
        <v>0.99370202214608083</v>
      </c>
      <c r="DM172" s="550">
        <f t="shared" si="163"/>
        <v>0.79957463712904098</v>
      </c>
      <c r="DO172" s="551">
        <f t="shared" si="164"/>
        <v>40119.456992586762</v>
      </c>
      <c r="DS172" s="546">
        <f t="shared" si="165"/>
        <v>224</v>
      </c>
      <c r="DT172" s="551">
        <f t="shared" si="166"/>
        <v>61.858957413174188</v>
      </c>
      <c r="DU172" s="553">
        <f>DT172/PI()*SQRT('Hilfstabellen_Mat&amp;Bem'!f.Rd.3/'Hilfstabellen_Mat&amp;Bem'!$BD$30)</f>
        <v>0.98451588468177165</v>
      </c>
      <c r="DV172" s="553">
        <f>0.5*(1+'Hilfstabellen_Mat&amp;Bem'!$BD$31*(DU172-0.3)+DU172^2)</f>
        <v>1.0188615578294544</v>
      </c>
      <c r="DW172" s="550">
        <f t="shared" si="167"/>
        <v>0.78053465024077107</v>
      </c>
      <c r="DY172" s="551">
        <f t="shared" si="168"/>
        <v>39164.106610480929</v>
      </c>
      <c r="EC172" s="546">
        <f t="shared" si="169"/>
        <v>224</v>
      </c>
      <c r="ED172" s="551">
        <f t="shared" si="170"/>
        <v>63.405431348503534</v>
      </c>
      <c r="EE172" s="553">
        <f>ED172/PI()*SQRT('Hilfstabellen_Mat&amp;Bem'!f.Rd.3/'Hilfstabellen_Mat&amp;Bem'!$BD$30)</f>
        <v>1.0091287817988157</v>
      </c>
      <c r="EF172" s="553">
        <f>0.5*(1+'Hilfstabellen_Mat&amp;Bem'!$BD$31*(EE172-0.3)+EE172^2)</f>
        <v>1.0446268882173215</v>
      </c>
      <c r="EG172" s="550">
        <f t="shared" si="171"/>
        <v>0.76066734861451357</v>
      </c>
      <c r="EI172" s="551">
        <f t="shared" si="172"/>
        <v>38167.244884081832</v>
      </c>
      <c r="EM172" s="546">
        <f t="shared" si="173"/>
        <v>224</v>
      </c>
      <c r="EN172" s="551">
        <f t="shared" si="174"/>
        <v>64.9519052838329</v>
      </c>
      <c r="EO172" s="553">
        <f>EN172/PI()*SQRT('Hilfstabellen_Mat&amp;Bem'!f.Rd.3/'Hilfstabellen_Mat&amp;Bem'!$BD$30)</f>
        <v>1.0337416789158602</v>
      </c>
      <c r="EP172" s="553">
        <f>0.5*(1+'Hilfstabellen_Mat&amp;Bem'!$BD$31*(EO172-0.3)+EO172^2)</f>
        <v>1.0709980133096837</v>
      </c>
      <c r="EQ172" s="550">
        <f t="shared" si="175"/>
        <v>0.74017897570723978</v>
      </c>
      <c r="ES172" s="551">
        <f t="shared" si="176"/>
        <v>37139.220285086463</v>
      </c>
    </row>
    <row r="173" spans="3:149">
      <c r="C173" s="546">
        <v>225</v>
      </c>
      <c r="D173" s="551">
        <f t="shared" si="126"/>
        <v>43.108820099492057</v>
      </c>
      <c r="E173" s="553">
        <f>$D173/PI()*SQRT('Hilfstabellen_Mat&amp;Bem'!f.Rd.3/'Hilfstabellen_Mat&amp;Bem'!$BD$30)</f>
        <v>0.68609818096934128</v>
      </c>
      <c r="F173" s="553">
        <f>0.5*(1+'Hilfstabellen_Mat&amp;Bem'!$BD$31*($E173-0.3)+$E173^2)</f>
        <v>0.75467026601318654</v>
      </c>
      <c r="G173" s="550">
        <f t="shared" si="127"/>
        <v>0.9354630008645296</v>
      </c>
      <c r="I173" s="551">
        <f t="shared" si="128"/>
        <v>47357.814418766808</v>
      </c>
      <c r="M173" s="546">
        <f t="shared" si="129"/>
        <v>225</v>
      </c>
      <c r="N173" s="551">
        <f t="shared" si="118"/>
        <v>44.648420817331058</v>
      </c>
      <c r="O173" s="553">
        <f>$N173/PI()*SQRT('Hilfstabellen_Mat&amp;Bem'!f.Rd.3/'Hilfstabellen_Mat&amp;Bem'!$BD$30)</f>
        <v>0.71060168743253205</v>
      </c>
      <c r="P173" s="553">
        <f>0.5*(1+'Hilfstabellen_Mat&amp;Bem'!$BD$31*($O173-0.3)+$O173^2)</f>
        <v>0.77300746346260762</v>
      </c>
      <c r="Q173" s="550">
        <f t="shared" si="119"/>
        <v>0.92825810618585647</v>
      </c>
      <c r="S173" s="551">
        <f t="shared" si="130"/>
        <v>46993.066625658983</v>
      </c>
      <c r="W173" s="546">
        <f t="shared" si="131"/>
        <v>225</v>
      </c>
      <c r="X173" s="551">
        <f t="shared" si="120"/>
        <v>46.188021535170058</v>
      </c>
      <c r="Y173" s="553">
        <f>$X173/PI()*SQRT('Hilfstabellen_Mat&amp;Bem'!f.Rd.3/'Hilfstabellen_Mat&amp;Bem'!$BD$30)</f>
        <v>0.73510519389572282</v>
      </c>
      <c r="Z173" s="553">
        <f>0.5*(1+'Hilfstabellen_Mat&amp;Bem'!$BD$31*($Y173-0.3)+$Y173^2)</f>
        <v>0.79194508274102016</v>
      </c>
      <c r="AA173" s="550">
        <f t="shared" si="121"/>
        <v>0.92033657436610028</v>
      </c>
      <c r="AC173" s="551">
        <f t="shared" si="132"/>
        <v>46592.039077283829</v>
      </c>
      <c r="AG173" s="546">
        <f t="shared" si="133"/>
        <v>225</v>
      </c>
      <c r="AH173" s="551">
        <f t="shared" si="122"/>
        <v>47.727622253009066</v>
      </c>
      <c r="AI173" s="553">
        <f>$AH173/PI()*SQRT('Hilfstabellen_Mat&amp;Bem'!f.Rd.3/'Hilfstabellen_Mat&amp;Bem'!$BD$30)</f>
        <v>0.75960870035891359</v>
      </c>
      <c r="AJ173" s="553">
        <f>0.5*(1+'Hilfstabellen_Mat&amp;Bem'!$BD$31*($AI173-0.3)+$AI173^2)</f>
        <v>0.81148312384842458</v>
      </c>
      <c r="AK173" s="550">
        <f t="shared" si="123"/>
        <v>0.91160672305006774</v>
      </c>
      <c r="AM173" s="551">
        <f t="shared" si="134"/>
        <v>46150.09035440968</v>
      </c>
      <c r="AQ173" s="546">
        <f t="shared" si="135"/>
        <v>225</v>
      </c>
      <c r="AR173" s="551">
        <f t="shared" si="124"/>
        <v>49.26722297084806</v>
      </c>
      <c r="AS173" s="553">
        <f>$AR173/PI()*SQRT('Hilfstabellen_Mat&amp;Bem'!f.Rd.3/'Hilfstabellen_Mat&amp;Bem'!$BD$30)</f>
        <v>0.78411220682210425</v>
      </c>
      <c r="AT173" s="553">
        <f>0.5*(1+'Hilfstabellen_Mat&amp;Bem'!$BD$31*($AS173-0.3)+$AS173^2)</f>
        <v>0.83162158678482045</v>
      </c>
      <c r="AU173" s="550">
        <f t="shared" si="125"/>
        <v>0.90197183493942679</v>
      </c>
      <c r="AW173" s="551">
        <f t="shared" si="136"/>
        <v>45662.324143808481</v>
      </c>
      <c r="BA173" s="546">
        <f t="shared" si="137"/>
        <v>225</v>
      </c>
      <c r="BB173" s="551">
        <f t="shared" si="138"/>
        <v>50.806823688687061</v>
      </c>
      <c r="BC173" s="553">
        <f>$BB173/PI()*SQRT('Hilfstabellen_Mat&amp;Bem'!f.Rd.3/'Hilfstabellen_Mat&amp;Bem'!$BD$30)</f>
        <v>0.80861571328529502</v>
      </c>
      <c r="BD173" s="553">
        <f>0.5*(1+'Hilfstabellen_Mat&amp;Bem'!$BD$31*($BC173-0.3)+$BC173^2)</f>
        <v>0.852360471550208</v>
      </c>
      <c r="BE173" s="550">
        <f t="shared" si="139"/>
        <v>0.89133406866520437</v>
      </c>
      <c r="BG173" s="551">
        <f t="shared" si="140"/>
        <v>45123.787226175969</v>
      </c>
      <c r="BK173" s="546">
        <f t="shared" si="141"/>
        <v>225</v>
      </c>
      <c r="BL173" s="551">
        <f t="shared" si="142"/>
        <v>52.346424406526062</v>
      </c>
      <c r="BM173" s="553">
        <f>$BL173/PI()*SQRT('Hilfstabellen_Mat&amp;Bem'!f.Rd.3/'Hilfstabellen_Mat&amp;Bem'!$BD$30)</f>
        <v>0.83311921974848568</v>
      </c>
      <c r="BN173" s="553">
        <f>0.5*(1+'Hilfstabellen_Mat&amp;Bem'!$BD$31*($BM173-0.3)+$BM173^2)</f>
        <v>0.8736997781445871</v>
      </c>
      <c r="BO173" s="550">
        <f t="shared" si="143"/>
        <v>0.87960054650886321</v>
      </c>
      <c r="BQ173" s="551">
        <f t="shared" si="144"/>
        <v>44529.7776670112</v>
      </c>
      <c r="BU173" s="546">
        <f t="shared" si="145"/>
        <v>225</v>
      </c>
      <c r="BV173" s="551">
        <f t="shared" si="146"/>
        <v>53.886025124365069</v>
      </c>
      <c r="BW173" s="553">
        <f>$BV173/PI()*SQRT('Hilfstabellen_Mat&amp;Bem'!f.Rd.3/'Hilfstabellen_Mat&amp;Bem'!$BD$30)</f>
        <v>0.85762272621167657</v>
      </c>
      <c r="BX173" s="553">
        <f>0.5*(1+'Hilfstabellen_Mat&amp;Bem'!$BD$31*($BW173-0.3)+$BW173^2)</f>
        <v>0.8956395065679581</v>
      </c>
      <c r="BY173" s="550">
        <f t="shared" si="147"/>
        <v>0.86669181327531264</v>
      </c>
      <c r="CA173" s="551">
        <f t="shared" si="148"/>
        <v>43876.273047062699</v>
      </c>
      <c r="CE173" s="546">
        <f t="shared" si="149"/>
        <v>225</v>
      </c>
      <c r="CF173" s="551">
        <f t="shared" si="150"/>
        <v>55.42562584220407</v>
      </c>
      <c r="CG173" s="553">
        <f>CF173/PI()*SQRT('Hilfstabellen_Mat&amp;Bem'!f.Rd.3/'Hilfstabellen_Mat&amp;Bem'!$BD$30)</f>
        <v>0.88212623267486734</v>
      </c>
      <c r="CH173" s="553">
        <f>0.5*(1+'Hilfstabellen_Mat&amp;Bem'!$BD$31*(CG173-0.3)+CG173^2)</f>
        <v>0.91817965682032043</v>
      </c>
      <c r="CI173" s="550">
        <f t="shared" si="151"/>
        <v>0.85255230944152194</v>
      </c>
      <c r="CK173" s="551">
        <f t="shared" si="152"/>
        <v>43160.460665477047</v>
      </c>
      <c r="CO173" s="546">
        <f t="shared" si="153"/>
        <v>225</v>
      </c>
      <c r="CP173" s="551">
        <f t="shared" si="154"/>
        <v>56.965226560043064</v>
      </c>
      <c r="CQ173" s="553">
        <f>CP173/PI()*SQRT('Hilfstabellen_Mat&amp;Bem'!f.Rd.3/'Hilfstabellen_Mat&amp;Bem'!$BD$30)</f>
        <v>0.90662973913805789</v>
      </c>
      <c r="CR173" s="553">
        <f>0.5*(1+'Hilfstabellen_Mat&amp;Bem'!$BD$31*(CQ173-0.3)+CQ173^2)</f>
        <v>0.94132022890167444</v>
      </c>
      <c r="CS173" s="550">
        <f t="shared" si="155"/>
        <v>0.83716165436775924</v>
      </c>
      <c r="CU173" s="551">
        <f t="shared" si="156"/>
        <v>42381.308752367811</v>
      </c>
      <c r="CY173" s="546">
        <f t="shared" si="157"/>
        <v>225</v>
      </c>
      <c r="CZ173" s="551">
        <f t="shared" si="158"/>
        <v>58.504827277882079</v>
      </c>
      <c r="DA173" s="553">
        <f>CZ173/PI()*SQRT('Hilfstabellen_Mat&amp;Bem'!f.Rd.3/'Hilfstabellen_Mat&amp;Bem'!$BD$30)</f>
        <v>0.93113324560124888</v>
      </c>
      <c r="DB173" s="553">
        <f>0.5*(1+'Hilfstabellen_Mat&amp;Bem'!$BD$31*(DA173-0.3)+DA173^2)</f>
        <v>0.96506122281202034</v>
      </c>
      <c r="DC173" s="550">
        <f t="shared" si="159"/>
        <v>0.82054460797918738</v>
      </c>
      <c r="DE173" s="551">
        <f t="shared" si="160"/>
        <v>41540.070778946363</v>
      </c>
      <c r="DI173" s="546">
        <f t="shared" si="161"/>
        <v>225</v>
      </c>
      <c r="DJ173" s="551">
        <f t="shared" si="162"/>
        <v>60.044427995721072</v>
      </c>
      <c r="DK173" s="553">
        <f>DJ173/PI()*SQRT('Hilfstabellen_Mat&amp;Bem'!f.Rd.3/'Hilfstabellen_Mat&amp;Bem'!$BD$30)</f>
        <v>0.95563675206443954</v>
      </c>
      <c r="DL173" s="553">
        <f>0.5*(1+'Hilfstabellen_Mat&amp;Bem'!$BD$31*(DK173-0.3)+DK173^2)</f>
        <v>0.98940263855135746</v>
      </c>
      <c r="DM173" s="550">
        <f t="shared" si="163"/>
        <v>0.80277703713656579</v>
      </c>
      <c r="DO173" s="551">
        <f t="shared" si="164"/>
        <v>40640.587505038646</v>
      </c>
      <c r="DS173" s="546">
        <f t="shared" si="165"/>
        <v>225</v>
      </c>
      <c r="DT173" s="551">
        <f t="shared" si="166"/>
        <v>61.58402871356008</v>
      </c>
      <c r="DU173" s="553">
        <f>DT173/PI()*SQRT('Hilfstabellen_Mat&amp;Bem'!f.Rd.3/'Hilfstabellen_Mat&amp;Bem'!$BD$30)</f>
        <v>0.98014025852763043</v>
      </c>
      <c r="DV173" s="553">
        <f>0.5*(1+'Hilfstabellen_Mat&amp;Bem'!$BD$31*(DU173-0.3)+DU173^2)</f>
        <v>1.0143444761196867</v>
      </c>
      <c r="DW173" s="550">
        <f t="shared" si="167"/>
        <v>0.78398558285962561</v>
      </c>
      <c r="DY173" s="551">
        <f t="shared" si="168"/>
        <v>39689.270132268546</v>
      </c>
      <c r="EC173" s="546">
        <f t="shared" si="169"/>
        <v>225</v>
      </c>
      <c r="ED173" s="551">
        <f t="shared" si="170"/>
        <v>63.123629431399074</v>
      </c>
      <c r="EE173" s="553">
        <f>ED173/PI()*SQRT('Hilfstabellen_Mat&amp;Bem'!f.Rd.3/'Hilfstabellen_Mat&amp;Bem'!$BD$30)</f>
        <v>1.0046437649908211</v>
      </c>
      <c r="EF173" s="553">
        <f>0.5*(1+'Hilfstabellen_Mat&amp;Bem'!$BD$31*(EE173-0.3)+EE173^2)</f>
        <v>1.0398867355170069</v>
      </c>
      <c r="EG173" s="550">
        <f t="shared" si="171"/>
        <v>0.76434018502022116</v>
      </c>
      <c r="EI173" s="551">
        <f t="shared" si="172"/>
        <v>38694.721866648695</v>
      </c>
      <c r="EM173" s="546">
        <f t="shared" si="173"/>
        <v>225</v>
      </c>
      <c r="EN173" s="551">
        <f t="shared" si="174"/>
        <v>64.663230149238089</v>
      </c>
      <c r="EO173" s="553">
        <f>EN173/PI()*SQRT('Hilfstabellen_Mat&amp;Bem'!f.Rd.3/'Hilfstabellen_Mat&amp;Bem'!$BD$30)</f>
        <v>1.029147271454012</v>
      </c>
      <c r="EP173" s="553">
        <f>0.5*(1+'Hilfstabellen_Mat&amp;Bem'!$BD$31*(EO173-0.3)+EO173^2)</f>
        <v>1.0660294167433195</v>
      </c>
      <c r="EQ173" s="550">
        <f t="shared" si="175"/>
        <v>0.74404068265235079</v>
      </c>
      <c r="ES173" s="551">
        <f t="shared" si="176"/>
        <v>37667.059559275258</v>
      </c>
    </row>
    <row r="174" spans="3:149">
      <c r="C174" s="546">
        <v>226</v>
      </c>
      <c r="D174" s="551">
        <f t="shared" si="126"/>
        <v>42.918073107901378</v>
      </c>
      <c r="E174" s="553">
        <f>$D174/PI()*SQRT('Hilfstabellen_Mat&amp;Bem'!f.Rd.3/'Hilfstabellen_Mat&amp;Bem'!$BD$30)</f>
        <v>0.68306234831018475</v>
      </c>
      <c r="F174" s="553">
        <f>0.5*(1+'Hilfstabellen_Mat&amp;Bem'!$BD$31*($E174-0.3)+$E174^2)</f>
        <v>0.75244020325502137</v>
      </c>
      <c r="G174" s="550">
        <f t="shared" si="127"/>
        <v>0.93630999881643329</v>
      </c>
      <c r="I174" s="551">
        <f t="shared" si="128"/>
        <v>47822.969499548148</v>
      </c>
      <c r="M174" s="546">
        <f t="shared" si="129"/>
        <v>226</v>
      </c>
      <c r="N174" s="551">
        <f t="shared" si="118"/>
        <v>44.450861433183576</v>
      </c>
      <c r="O174" s="553">
        <f>$N174/PI()*SQRT('Hilfstabellen_Mat&amp;Bem'!f.Rd.3/'Hilfstabellen_Mat&amp;Bem'!$BD$30)</f>
        <v>0.70745743217840573</v>
      </c>
      <c r="P174" s="553">
        <f>0.5*(1+'Hilfstabellen_Mat&amp;Bem'!$BD$31*($O174-0.3)+$O174^2)</f>
        <v>0.7706208807811521</v>
      </c>
      <c r="Q174" s="550">
        <f t="shared" si="119"/>
        <v>0.92922085332348259</v>
      </c>
      <c r="S174" s="551">
        <f t="shared" si="130"/>
        <v>47460.884304350198</v>
      </c>
      <c r="W174" s="546">
        <f t="shared" si="131"/>
        <v>226</v>
      </c>
      <c r="X174" s="551">
        <f t="shared" si="120"/>
        <v>45.983649758465766</v>
      </c>
      <c r="Y174" s="553">
        <f>$X174/PI()*SQRT('Hilfstabellen_Mat&amp;Bem'!f.Rd.3/'Hilfstabellen_Mat&amp;Bem'!$BD$30)</f>
        <v>0.73185251604662671</v>
      </c>
      <c r="Z174" s="553">
        <f>0.5*(1+'Hilfstabellen_Mat&amp;Bem'!$BD$31*($Y174-0.3)+$Y174^2)</f>
        <v>0.78939667842422034</v>
      </c>
      <c r="AA174" s="550">
        <f t="shared" si="121"/>
        <v>0.92143257678347446</v>
      </c>
      <c r="AC174" s="551">
        <f t="shared" si="132"/>
        <v>47063.090291792738</v>
      </c>
      <c r="AG174" s="546">
        <f t="shared" si="133"/>
        <v>226</v>
      </c>
      <c r="AH174" s="551">
        <f t="shared" si="122"/>
        <v>47.516438083747957</v>
      </c>
      <c r="AI174" s="553">
        <f>$AH174/PI()*SQRT('Hilfstabellen_Mat&amp;Bem'!f.Rd.3/'Hilfstabellen_Mat&amp;Bem'!$BD$30)</f>
        <v>0.75624759991484747</v>
      </c>
      <c r="AJ174" s="553">
        <f>0.5*(1+'Hilfstabellen_Mat&amp;Bem'!$BD$31*($AI174-0.3)+$AI174^2)</f>
        <v>0.808767596184226</v>
      </c>
      <c r="AK174" s="550">
        <f t="shared" si="123"/>
        <v>0.91285553449579648</v>
      </c>
      <c r="AM174" s="551">
        <f t="shared" si="134"/>
        <v>46625.009279907303</v>
      </c>
      <c r="AQ174" s="546">
        <f t="shared" si="135"/>
        <v>226</v>
      </c>
      <c r="AR174" s="551">
        <f t="shared" si="124"/>
        <v>49.049226409030155</v>
      </c>
      <c r="AS174" s="553">
        <f>$AR174/PI()*SQRT('Hilfstabellen_Mat&amp;Bem'!f.Rd.3/'Hilfstabellen_Mat&amp;Bem'!$BD$30)</f>
        <v>0.78064268378306845</v>
      </c>
      <c r="AT174" s="553">
        <f>0.5*(1+'Hilfstabellen_Mat&amp;Bem'!$BD$31*($AS174-0.3)+$AS174^2)</f>
        <v>0.82873363406116929</v>
      </c>
      <c r="AU174" s="550">
        <f t="shared" si="125"/>
        <v>0.90339477144838742</v>
      </c>
      <c r="AW174" s="551">
        <f t="shared" si="136"/>
        <v>46141.791346497834</v>
      </c>
      <c r="BA174" s="546">
        <f t="shared" si="137"/>
        <v>226</v>
      </c>
      <c r="BB174" s="551">
        <f t="shared" si="138"/>
        <v>50.582014734312345</v>
      </c>
      <c r="BC174" s="553">
        <f>$BB174/PI()*SQRT('Hilfstabellen_Mat&amp;Bem'!f.Rd.3/'Hilfstabellen_Mat&amp;Bem'!$BD$30)</f>
        <v>0.80503776765128932</v>
      </c>
      <c r="BD174" s="553">
        <f>0.5*(1+'Hilfstabellen_Mat&amp;Bem'!$BD$31*($BC174-0.3)+$BC174^2)</f>
        <v>0.84929479205504999</v>
      </c>
      <c r="BE174" s="550">
        <f t="shared" si="139"/>
        <v>0.89295358003031755</v>
      </c>
      <c r="BG174" s="551">
        <f t="shared" si="140"/>
        <v>45608.497053628496</v>
      </c>
      <c r="BK174" s="546">
        <f t="shared" si="141"/>
        <v>226</v>
      </c>
      <c r="BL174" s="551">
        <f t="shared" si="142"/>
        <v>52.114803059594536</v>
      </c>
      <c r="BM174" s="553">
        <f>$BL174/PI()*SQRT('Hilfstabellen_Mat&amp;Bem'!f.Rd.3/'Hilfstabellen_Mat&amp;Bem'!$BD$30)</f>
        <v>0.82943285151951018</v>
      </c>
      <c r="BN174" s="553">
        <f>0.5*(1+'Hilfstabellen_Mat&amp;Bem'!$BD$31*($BM174-0.3)+$BM174^2)</f>
        <v>0.87045107016586831</v>
      </c>
      <c r="BO174" s="550">
        <f t="shared" si="143"/>
        <v>0.8814391372149214</v>
      </c>
      <c r="BQ174" s="551">
        <f t="shared" si="144"/>
        <v>45020.385372389326</v>
      </c>
      <c r="BU174" s="546">
        <f t="shared" si="145"/>
        <v>226</v>
      </c>
      <c r="BV174" s="551">
        <f t="shared" si="146"/>
        <v>53.647591384876726</v>
      </c>
      <c r="BW174" s="553">
        <f>$BV174/PI()*SQRT('Hilfstabellen_Mat&amp;Bem'!f.Rd.3/'Hilfstabellen_Mat&amp;Bem'!$BD$30)</f>
        <v>0.85382793538773116</v>
      </c>
      <c r="BX174" s="553">
        <f>0.5*(1+'Hilfstabellen_Mat&amp;Bem'!$BD$31*($BW174-0.3)+$BW174^2)</f>
        <v>0.89220246839362438</v>
      </c>
      <c r="BY174" s="550">
        <f t="shared" si="147"/>
        <v>0.86877045014288201</v>
      </c>
      <c r="CA174" s="551">
        <f t="shared" si="148"/>
        <v>44373.319511497844</v>
      </c>
      <c r="CE174" s="546">
        <f t="shared" si="149"/>
        <v>226</v>
      </c>
      <c r="CF174" s="551">
        <f t="shared" si="150"/>
        <v>55.180379710158917</v>
      </c>
      <c r="CG174" s="553">
        <f>CF174/PI()*SQRT('Hilfstabellen_Mat&amp;Bem'!f.Rd.3/'Hilfstabellen_Mat&amp;Bem'!$BD$30)</f>
        <v>0.87822301925595192</v>
      </c>
      <c r="CH174" s="553">
        <f>0.5*(1+'Hilfstabellen_Mat&amp;Bem'!$BD$31*(CG174-0.3)+CG174^2)</f>
        <v>0.91454898673831764</v>
      </c>
      <c r="CI174" s="550">
        <f t="shared" si="151"/>
        <v>0.85488836130157453</v>
      </c>
      <c r="CK174" s="551">
        <f t="shared" si="152"/>
        <v>43664.277941839224</v>
      </c>
      <c r="CO174" s="546">
        <f t="shared" si="153"/>
        <v>226</v>
      </c>
      <c r="CP174" s="551">
        <f t="shared" si="154"/>
        <v>56.713168035441107</v>
      </c>
      <c r="CQ174" s="553">
        <f>CP174/PI()*SQRT('Hilfstabellen_Mat&amp;Bem'!f.Rd.3/'Hilfstabellen_Mat&amp;Bem'!$BD$30)</f>
        <v>0.90261810312417268</v>
      </c>
      <c r="CR174" s="553">
        <f>0.5*(1+'Hilfstabellen_Mat&amp;Bem'!$BD$31*(CQ174-0.3)+CQ174^2)</f>
        <v>0.93749062519994841</v>
      </c>
      <c r="CS174" s="550">
        <f t="shared" si="155"/>
        <v>0.83976658090700806</v>
      </c>
      <c r="CU174" s="551">
        <f t="shared" si="156"/>
        <v>42891.917886406343</v>
      </c>
      <c r="CY174" s="546">
        <f t="shared" si="157"/>
        <v>226</v>
      </c>
      <c r="CZ174" s="551">
        <f t="shared" si="158"/>
        <v>58.245956360723305</v>
      </c>
      <c r="DA174" s="553">
        <f>CZ174/PI()*SQRT('Hilfstabellen_Mat&amp;Bem'!f.Rd.3/'Hilfstabellen_Mat&amp;Bem'!$BD$30)</f>
        <v>0.92701318699239366</v>
      </c>
      <c r="DB174" s="553">
        <f>0.5*(1+'Hilfstabellen_Mat&amp;Bem'!$BD$31*(DA174-0.3)+DA174^2)</f>
        <v>0.96102738377851704</v>
      </c>
      <c r="DC174" s="550">
        <f t="shared" si="159"/>
        <v>0.8234218058633479</v>
      </c>
      <c r="DE174" s="551">
        <f t="shared" si="160"/>
        <v>42057.092156276354</v>
      </c>
      <c r="DI174" s="546">
        <f t="shared" si="161"/>
        <v>226</v>
      </c>
      <c r="DJ174" s="551">
        <f t="shared" si="162"/>
        <v>59.778744686005503</v>
      </c>
      <c r="DK174" s="553">
        <f>DJ174/PI()*SQRT('Hilfstabellen_Mat&amp;Bem'!f.Rd.3/'Hilfstabellen_Mat&amp;Bem'!$BD$30)</f>
        <v>0.95140827086061464</v>
      </c>
      <c r="DL174" s="553">
        <f>0.5*(1+'Hilfstabellen_Mat&amp;Bem'!$BD$31*(DK174-0.3)+DK174^2)</f>
        <v>0.98515926247402308</v>
      </c>
      <c r="DM174" s="550">
        <f t="shared" si="163"/>
        <v>0.80592036646447607</v>
      </c>
      <c r="DO174" s="551">
        <f t="shared" si="164"/>
        <v>41163.188637539577</v>
      </c>
      <c r="DS174" s="546">
        <f t="shared" si="165"/>
        <v>226</v>
      </c>
      <c r="DT174" s="551">
        <f t="shared" si="166"/>
        <v>61.311533011287686</v>
      </c>
      <c r="DU174" s="553">
        <f>DT174/PI()*SQRT('Hilfstabellen_Mat&amp;Bem'!f.Rd.3/'Hilfstabellen_Mat&amp;Bem'!$BD$30)</f>
        <v>0.9758033547288355</v>
      </c>
      <c r="DV174" s="553">
        <f>0.5*(1+'Hilfstabellen_Mat&amp;Bem'!$BD$31*(DU174-0.3)+DU174^2)</f>
        <v>1.0098862612864665</v>
      </c>
      <c r="DW174" s="550">
        <f t="shared" si="167"/>
        <v>0.78737903247221508</v>
      </c>
      <c r="DY174" s="551">
        <f t="shared" si="168"/>
        <v>40216.171462550854</v>
      </c>
      <c r="EC174" s="546">
        <f t="shared" si="169"/>
        <v>226</v>
      </c>
      <c r="ED174" s="551">
        <f t="shared" si="170"/>
        <v>62.844321336569884</v>
      </c>
      <c r="EE174" s="553">
        <f>ED174/PI()*SQRT('Hilfstabellen_Mat&amp;Bem'!f.Rd.3/'Hilfstabellen_Mat&amp;Bem'!$BD$30)</f>
        <v>1.0001984385970564</v>
      </c>
      <c r="EF174" s="553">
        <f>0.5*(1+'Hilfstabellen_Mat&amp;Bem'!$BD$31*(EE174-0.3)+EE174^2)</f>
        <v>1.0352083802158476</v>
      </c>
      <c r="EG174" s="550">
        <f t="shared" si="171"/>
        <v>0.76795886267047764</v>
      </c>
      <c r="EI174" s="551">
        <f t="shared" si="172"/>
        <v>39224.266869757317</v>
      </c>
      <c r="EM174" s="546">
        <f t="shared" si="173"/>
        <v>226</v>
      </c>
      <c r="EN174" s="551">
        <f t="shared" si="174"/>
        <v>64.377109661852074</v>
      </c>
      <c r="EO174" s="553">
        <f>EN174/PI()*SQRT('Hilfstabellen_Mat&amp;Bem'!f.Rd.3/'Hilfstabellen_Mat&amp;Bem'!$BD$30)</f>
        <v>1.0245935224652774</v>
      </c>
      <c r="EP174" s="553">
        <f>0.5*(1+'Hilfstabellen_Mat&amp;Bem'!$BD$31*(EO174-0.3)+EO174^2)</f>
        <v>1.0611256192621663</v>
      </c>
      <c r="EQ174" s="550">
        <f t="shared" si="175"/>
        <v>0.7478529364348333</v>
      </c>
      <c r="ES174" s="551">
        <f t="shared" si="176"/>
        <v>38197.336581345546</v>
      </c>
    </row>
    <row r="175" spans="3:149">
      <c r="C175" s="546">
        <v>227</v>
      </c>
      <c r="D175" s="551">
        <f t="shared" si="126"/>
        <v>42.729006706544986</v>
      </c>
      <c r="E175" s="553">
        <f>$D175/PI()*SQRT('Hilfstabellen_Mat&amp;Bem'!f.Rd.3/'Hilfstabellen_Mat&amp;Bem'!$BD$30)</f>
        <v>0.6800532630753382</v>
      </c>
      <c r="F175" s="553">
        <f>0.5*(1+'Hilfstabellen_Mat&amp;Bem'!$BD$31*($E175-0.3)+$E175^2)</f>
        <v>0.75023888346347445</v>
      </c>
      <c r="G175" s="550">
        <f t="shared" si="127"/>
        <v>0.9371401184428344</v>
      </c>
      <c r="I175" s="551">
        <f t="shared" si="128"/>
        <v>48289.893163240813</v>
      </c>
      <c r="M175" s="546">
        <f t="shared" si="129"/>
        <v>227</v>
      </c>
      <c r="N175" s="551">
        <f t="shared" si="118"/>
        <v>44.255042660350171</v>
      </c>
      <c r="O175" s="553">
        <f>$N175/PI()*SQRT('Hilfstabellen_Mat&amp;Bem'!f.Rd.3/'Hilfstabellen_Mat&amp;Bem'!$BD$30)</f>
        <v>0.70434087961374325</v>
      </c>
      <c r="P175" s="553">
        <f>0.5*(1+'Hilfstabellen_Mat&amp;Bem'!$BD$31*($O175-0.3)+$O175^2)</f>
        <v>0.76826508132821791</v>
      </c>
      <c r="Q175" s="550">
        <f t="shared" si="119"/>
        <v>0.9301636663720142</v>
      </c>
      <c r="S175" s="551">
        <f t="shared" si="130"/>
        <v>47930.403564483517</v>
      </c>
      <c r="W175" s="546">
        <f t="shared" si="131"/>
        <v>227</v>
      </c>
      <c r="X175" s="551">
        <f t="shared" si="120"/>
        <v>45.781078614155341</v>
      </c>
      <c r="Y175" s="553">
        <f>$X175/PI()*SQRT('Hilfstabellen_Mat&amp;Bem'!f.Rd.3/'Hilfstabellen_Mat&amp;Bem'!$BD$30)</f>
        <v>0.72862849615214809</v>
      </c>
      <c r="Z175" s="553">
        <f>0.5*(1+'Hilfstabellen_Mat&amp;Bem'!$BD$31*($Y175-0.3)+$Y175^2)</f>
        <v>0.78688116751007786</v>
      </c>
      <c r="AA175" s="550">
        <f t="shared" si="121"/>
        <v>0.9225050923767486</v>
      </c>
      <c r="AC175" s="551">
        <f t="shared" si="132"/>
        <v>47535.76490508148</v>
      </c>
      <c r="AG175" s="546">
        <f t="shared" si="133"/>
        <v>227</v>
      </c>
      <c r="AH175" s="551">
        <f t="shared" si="122"/>
        <v>47.307114567960525</v>
      </c>
      <c r="AI175" s="553">
        <f>$AH175/PI()*SQRT('Hilfstabellen_Mat&amp;Bem'!f.Rd.3/'Hilfstabellen_Mat&amp;Bem'!$BD$30)</f>
        <v>0.75291611269055314</v>
      </c>
      <c r="AJ175" s="553">
        <f>0.5*(1+'Hilfstabellen_Mat&amp;Bem'!$BD$31*($AI175-0.3)+$AI175^2)</f>
        <v>0.80608714200905451</v>
      </c>
      <c r="AK175" s="550">
        <f t="shared" si="123"/>
        <v>0.91407679120409957</v>
      </c>
      <c r="AM175" s="551">
        <f t="shared" si="134"/>
        <v>47101.462973956048</v>
      </c>
      <c r="AQ175" s="546">
        <f t="shared" si="135"/>
        <v>227</v>
      </c>
      <c r="AR175" s="551">
        <f t="shared" si="124"/>
        <v>48.833150521765695</v>
      </c>
      <c r="AS175" s="553">
        <f>$AR175/PI()*SQRT('Hilfstabellen_Mat&amp;Bem'!f.Rd.3/'Hilfstabellen_Mat&amp;Bem'!$BD$30)</f>
        <v>0.77720372922895786</v>
      </c>
      <c r="AT175" s="553">
        <f>0.5*(1+'Hilfstabellen_Mat&amp;Bem'!$BD$31*($AS175-0.3)+$AS175^2)</f>
        <v>0.82588300482514754</v>
      </c>
      <c r="AU175" s="550">
        <f t="shared" si="125"/>
        <v>0.90478559448726648</v>
      </c>
      <c r="AW175" s="551">
        <f t="shared" si="136"/>
        <v>46622.696898334354</v>
      </c>
      <c r="BA175" s="546">
        <f t="shared" si="137"/>
        <v>227</v>
      </c>
      <c r="BB175" s="551">
        <f t="shared" si="138"/>
        <v>50.35918647557088</v>
      </c>
      <c r="BC175" s="553">
        <f>$BB175/PI()*SQRT('Hilfstabellen_Mat&amp;Bem'!f.Rd.3/'Hilfstabellen_Mat&amp;Bem'!$BD$30)</f>
        <v>0.80149134576736292</v>
      </c>
      <c r="BD175" s="553">
        <f>0.5*(1+'Hilfstabellen_Mat&amp;Bem'!$BD$31*($BC175-0.3)+$BC175^2)</f>
        <v>0.84626875595835727</v>
      </c>
      <c r="BE175" s="550">
        <f t="shared" si="139"/>
        <v>0.89453601916544656</v>
      </c>
      <c r="BG175" s="551">
        <f t="shared" si="140"/>
        <v>46094.546531576299</v>
      </c>
      <c r="BK175" s="546">
        <f t="shared" si="141"/>
        <v>227</v>
      </c>
      <c r="BL175" s="551">
        <f t="shared" si="142"/>
        <v>51.885222429376057</v>
      </c>
      <c r="BM175" s="553">
        <f>$BL175/PI()*SQRT('Hilfstabellen_Mat&amp;Bem'!f.Rd.3/'Hilfstabellen_Mat&amp;Bem'!$BD$30)</f>
        <v>0.82577896230576775</v>
      </c>
      <c r="BN175" s="553">
        <f>0.5*(1+'Hilfstabellen_Mat&amp;Bem'!$BD$31*($BM175-0.3)+$BM175^2)</f>
        <v>0.8672443954086837</v>
      </c>
      <c r="BO175" s="550">
        <f t="shared" si="143"/>
        <v>0.88323547900436117</v>
      </c>
      <c r="BQ175" s="551">
        <f t="shared" si="144"/>
        <v>45512.240997615729</v>
      </c>
      <c r="BU175" s="546">
        <f t="shared" si="145"/>
        <v>227</v>
      </c>
      <c r="BV175" s="551">
        <f t="shared" si="146"/>
        <v>53.411258383181234</v>
      </c>
      <c r="BW175" s="553">
        <f>$BV175/PI()*SQRT('Hilfstabellen_Mat&amp;Bem'!f.Rd.3/'Hilfstabellen_Mat&amp;Bem'!$BD$30)</f>
        <v>0.8500665788441728</v>
      </c>
      <c r="BX175" s="553">
        <f>0.5*(1+'Hilfstabellen_Mat&amp;Bem'!$BD$31*($BW175-0.3)+$BW175^2)</f>
        <v>0.88880992317612684</v>
      </c>
      <c r="BY175" s="550">
        <f t="shared" si="147"/>
        <v>0.87080173406228989</v>
      </c>
      <c r="CA175" s="551">
        <f t="shared" si="148"/>
        <v>44871.542554495732</v>
      </c>
      <c r="CE175" s="546">
        <f t="shared" si="149"/>
        <v>227</v>
      </c>
      <c r="CF175" s="551">
        <f t="shared" si="150"/>
        <v>54.937294336986419</v>
      </c>
      <c r="CG175" s="553">
        <f>CF175/PI()*SQRT('Hilfstabellen_Mat&amp;Bem'!f.Rd.3/'Hilfstabellen_Mat&amp;Bem'!$BD$30)</f>
        <v>0.87435419538257786</v>
      </c>
      <c r="CH175" s="553">
        <f>0.5*(1+'Hilfstabellen_Mat&amp;Bem'!$BD$31*(CG175-0.3)+CG175^2)</f>
        <v>0.91096533926068646</v>
      </c>
      <c r="CI175" s="550">
        <f t="shared" si="151"/>
        <v>0.85717242405821792</v>
      </c>
      <c r="CK175" s="551">
        <f t="shared" si="152"/>
        <v>44169.237839295914</v>
      </c>
      <c r="CO175" s="546">
        <f t="shared" si="153"/>
        <v>227</v>
      </c>
      <c r="CP175" s="551">
        <f t="shared" si="154"/>
        <v>56.463330290791596</v>
      </c>
      <c r="CQ175" s="553">
        <f>CP175/PI()*SQRT('Hilfstabellen_Mat&amp;Bem'!f.Rd.3/'Hilfstabellen_Mat&amp;Bem'!$BD$30)</f>
        <v>0.89864181192098269</v>
      </c>
      <c r="CR175" s="553">
        <f>0.5*(1+'Hilfstabellen_Mat&amp;Bem'!$BD$31*(CQ175-0.3)+CQ175^2)</f>
        <v>0.93371064366236256</v>
      </c>
      <c r="CS175" s="550">
        <f t="shared" si="155"/>
        <v>0.84231581152516799</v>
      </c>
      <c r="CU175" s="551">
        <f t="shared" si="156"/>
        <v>43403.691452080384</v>
      </c>
      <c r="CY175" s="546">
        <f t="shared" si="157"/>
        <v>227</v>
      </c>
      <c r="CZ175" s="551">
        <f t="shared" si="158"/>
        <v>57.989366244596773</v>
      </c>
      <c r="DA175" s="553">
        <f>CZ175/PI()*SQRT('Hilfstabellen_Mat&amp;Bem'!f.Rd.3/'Hilfstabellen_Mat&amp;Bem'!$BD$30)</f>
        <v>0.92292942845938775</v>
      </c>
      <c r="DB175" s="553">
        <f>0.5*(1+'Hilfstabellen_Mat&amp;Bem'!$BD$31*(DA175-0.3)+DA175^2)</f>
        <v>0.95704583638115559</v>
      </c>
      <c r="DC175" s="550">
        <f t="shared" si="159"/>
        <v>0.82624098077603947</v>
      </c>
      <c r="DE175" s="551">
        <f t="shared" si="160"/>
        <v>42575.371498408538</v>
      </c>
      <c r="DI175" s="546">
        <f t="shared" si="161"/>
        <v>227</v>
      </c>
      <c r="DJ175" s="551">
        <f t="shared" si="162"/>
        <v>59.515402198401944</v>
      </c>
      <c r="DK175" s="553">
        <f>DJ175/PI()*SQRT('Hilfstabellen_Mat&amp;Bem'!f.Rd.3/'Hilfstabellen_Mat&amp;Bem'!$BD$30)</f>
        <v>0.94721704499779236</v>
      </c>
      <c r="DL175" s="553">
        <f>0.5*(1+'Hilfstabellen_Mat&amp;Bem'!$BD$31*(DK175-0.3)+DK175^2)</f>
        <v>0.98097091741706444</v>
      </c>
      <c r="DM175" s="550">
        <f t="shared" si="163"/>
        <v>0.80900506382340442</v>
      </c>
      <c r="DO175" s="551">
        <f t="shared" si="164"/>
        <v>41687.221933756206</v>
      </c>
      <c r="DS175" s="546">
        <f t="shared" si="165"/>
        <v>227</v>
      </c>
      <c r="DT175" s="551">
        <f t="shared" si="166"/>
        <v>61.041438152207121</v>
      </c>
      <c r="DU175" s="553">
        <f>DT175/PI()*SQRT('Hilfstabellen_Mat&amp;Bem'!f.Rd.3/'Hilfstabellen_Mat&amp;Bem'!$BD$30)</f>
        <v>0.97150466153619741</v>
      </c>
      <c r="DV175" s="553">
        <f>0.5*(1+'Hilfstabellen_Mat&amp;Bem'!$BD$31*(DU175-0.3)+DU175^2)</f>
        <v>1.0054858867700907</v>
      </c>
      <c r="DW175" s="550">
        <f t="shared" si="167"/>
        <v>0.79071509541401208</v>
      </c>
      <c r="DY175" s="551">
        <f t="shared" si="168"/>
        <v>40744.758151588627</v>
      </c>
      <c r="EC175" s="546">
        <f t="shared" si="169"/>
        <v>227</v>
      </c>
      <c r="ED175" s="551">
        <f t="shared" si="170"/>
        <v>62.567474106012305</v>
      </c>
      <c r="EE175" s="553">
        <f>ED175/PI()*SQRT('Hilfstabellen_Mat&amp;Bem'!f.Rd.3/'Hilfstabellen_Mat&amp;Bem'!$BD$30)</f>
        <v>0.99579227807460247</v>
      </c>
      <c r="EF175" s="553">
        <f>0.5*(1+'Hilfstabellen_Mat&amp;Bem'!$BD$31*(EE175-0.3)+EE175^2)</f>
        <v>1.0305907444402334</v>
      </c>
      <c r="EG175" s="550">
        <f t="shared" si="171"/>
        <v>0.77152314794012156</v>
      </c>
      <c r="EI175" s="551">
        <f t="shared" si="172"/>
        <v>39755.816290206523</v>
      </c>
      <c r="EM175" s="546">
        <f t="shared" si="173"/>
        <v>227</v>
      </c>
      <c r="EN175" s="551">
        <f t="shared" si="174"/>
        <v>64.093510059817476</v>
      </c>
      <c r="EO175" s="553">
        <f>EN175/PI()*SQRT('Hilfstabellen_Mat&amp;Bem'!f.Rd.3/'Hilfstabellen_Mat&amp;Bem'!$BD$30)</f>
        <v>1.0200798946130074</v>
      </c>
      <c r="EP175" s="553">
        <f>0.5*(1+'Hilfstabellen_Mat&amp;Bem'!$BD$31*(EO175-0.3)+EO175^2)</f>
        <v>1.0562854904274925</v>
      </c>
      <c r="EQ175" s="550">
        <f t="shared" si="175"/>
        <v>0.75161522385205648</v>
      </c>
      <c r="ES175" s="551">
        <f t="shared" si="176"/>
        <v>38729.980869872619</v>
      </c>
    </row>
    <row r="176" spans="3:149">
      <c r="C176" s="546">
        <v>228</v>
      </c>
      <c r="D176" s="551">
        <f t="shared" si="126"/>
        <v>42.541598782393478</v>
      </c>
      <c r="E176" s="553">
        <f>$D176/PI()*SQRT('Hilfstabellen_Mat&amp;Bem'!f.Rd.3/'Hilfstabellen_Mat&amp;Bem'!$BD$30)</f>
        <v>0.67707057332500786</v>
      </c>
      <c r="F176" s="553">
        <f>0.5*(1+'Hilfstabellen_Mat&amp;Bem'!$BD$31*($E176-0.3)+$E176^2)</f>
        <v>0.74806580929757782</v>
      </c>
      <c r="G176" s="550">
        <f t="shared" si="127"/>
        <v>0.9379538494989923</v>
      </c>
      <c r="I176" s="551">
        <f t="shared" si="128"/>
        <v>48758.592912355612</v>
      </c>
      <c r="M176" s="546">
        <f t="shared" si="129"/>
        <v>228</v>
      </c>
      <c r="N176" s="551">
        <f t="shared" si="118"/>
        <v>44.060941596050384</v>
      </c>
      <c r="O176" s="553">
        <f>$N176/PI()*SQRT('Hilfstabellen_Mat&amp;Bem'!f.Rd.3/'Hilfstabellen_Mat&amp;Bem'!$BD$30)</f>
        <v>0.70125166522947235</v>
      </c>
      <c r="P176" s="553">
        <f>0.5*(1+'Hilfstabellen_Mat&amp;Bem'!$BD$31*($O176-0.3)+$O176^2)</f>
        <v>0.76593953225502753</v>
      </c>
      <c r="Q176" s="550">
        <f t="shared" si="119"/>
        <v>0.93108713428398604</v>
      </c>
      <c r="S176" s="551">
        <f t="shared" si="130"/>
        <v>48401.63358861873</v>
      </c>
      <c r="W176" s="546">
        <f t="shared" si="131"/>
        <v>228</v>
      </c>
      <c r="X176" s="551">
        <f t="shared" si="120"/>
        <v>45.580284409707289</v>
      </c>
      <c r="Y176" s="553">
        <f>$X176/PI()*SQRT('Hilfstabellen_Mat&amp;Bem'!f.Rd.3/'Hilfstabellen_Mat&amp;Bem'!$BD$30)</f>
        <v>0.72543275713393685</v>
      </c>
      <c r="Z176" s="553">
        <f>0.5*(1+'Hilfstabellen_Mat&amp;Bem'!$BD$31*($Y176-0.3)+$Y176^2)</f>
        <v>0.78439798041816955</v>
      </c>
      <c r="AA176" s="550">
        <f t="shared" si="121"/>
        <v>0.92355482226439289</v>
      </c>
      <c r="AC176" s="551">
        <f t="shared" si="132"/>
        <v>48010.073880592201</v>
      </c>
      <c r="AG176" s="546">
        <f t="shared" si="133"/>
        <v>228</v>
      </c>
      <c r="AH176" s="551">
        <f t="shared" si="122"/>
        <v>47.099627223364202</v>
      </c>
      <c r="AI176" s="553">
        <f>$AH176/PI()*SQRT('Hilfstabellen_Mat&amp;Bem'!f.Rd.3/'Hilfstabellen_Mat&amp;Bem'!$BD$30)</f>
        <v>0.74961384903840145</v>
      </c>
      <c r="AJ176" s="553">
        <f>0.5*(1+'Hilfstabellen_Mat&amp;Bem'!$BD$31*($AI176-0.3)+$AI176^2)</f>
        <v>0.80344115378700376</v>
      </c>
      <c r="AK176" s="550">
        <f t="shared" si="123"/>
        <v>0.91527131587427002</v>
      </c>
      <c r="AM176" s="551">
        <f t="shared" si="134"/>
        <v>47579.46408440805</v>
      </c>
      <c r="AQ176" s="546">
        <f t="shared" si="135"/>
        <v>228</v>
      </c>
      <c r="AR176" s="551">
        <f t="shared" si="124"/>
        <v>48.618970037021114</v>
      </c>
      <c r="AS176" s="553">
        <f>$AR176/PI()*SQRT('Hilfstabellen_Mat&amp;Bem'!f.Rd.3/'Hilfstabellen_Mat&amp;Bem'!$BD$30)</f>
        <v>0.77379494094286605</v>
      </c>
      <c r="AT176" s="553">
        <f>0.5*(1+'Hilfstabellen_Mat&amp;Bem'!$BD$31*($AS176-0.3)+$AS176^2)</f>
        <v>0.82306905236153005</v>
      </c>
      <c r="AU176" s="550">
        <f t="shared" si="125"/>
        <v>0.90614525032553728</v>
      </c>
      <c r="AW176" s="551">
        <f t="shared" si="136"/>
        <v>47105.054692922728</v>
      </c>
      <c r="BA176" s="546">
        <f t="shared" si="137"/>
        <v>228</v>
      </c>
      <c r="BB176" s="551">
        <f t="shared" si="138"/>
        <v>50.13831285067802</v>
      </c>
      <c r="BC176" s="553">
        <f>$BB176/PI()*SQRT('Hilfstabellen_Mat&amp;Bem'!f.Rd.3/'Hilfstabellen_Mat&amp;Bem'!$BD$30)</f>
        <v>0.79797603284733054</v>
      </c>
      <c r="BD176" s="553">
        <f>0.5*(1+'Hilfstabellen_Mat&amp;Bem'!$BD$31*($BC176-0.3)+$BC176^2)</f>
        <v>0.84328167614174854</v>
      </c>
      <c r="BE176" s="550">
        <f t="shared" si="139"/>
        <v>0.89608244537315507</v>
      </c>
      <c r="BG176" s="551">
        <f t="shared" si="140"/>
        <v>46581.949840278096</v>
      </c>
      <c r="BK176" s="546">
        <f t="shared" si="141"/>
        <v>228</v>
      </c>
      <c r="BL176" s="551">
        <f t="shared" si="142"/>
        <v>51.657655664334932</v>
      </c>
      <c r="BM176" s="553">
        <f>$BL176/PI()*SQRT('Hilfstabellen_Mat&amp;Bem'!f.Rd.3/'Hilfstabellen_Mat&amp;Bem'!$BD$30)</f>
        <v>0.82215712475179525</v>
      </c>
      <c r="BN176" s="553">
        <f>0.5*(1+'Hilfstabellen_Mat&amp;Bem'!$BD$31*($BM176-0.3)+$BM176^2)</f>
        <v>0.86407902512765933</v>
      </c>
      <c r="BO176" s="550">
        <f t="shared" si="143"/>
        <v>0.88499071555873665</v>
      </c>
      <c r="BQ176" s="551">
        <f t="shared" si="144"/>
        <v>46005.357357605368</v>
      </c>
      <c r="BU176" s="546">
        <f t="shared" si="145"/>
        <v>228</v>
      </c>
      <c r="BV176" s="551">
        <f t="shared" si="146"/>
        <v>53.176998477991845</v>
      </c>
      <c r="BW176" s="553">
        <f>$BV176/PI()*SQRT('Hilfstabellen_Mat&amp;Bem'!f.Rd.3/'Hilfstabellen_Mat&amp;Bem'!$BD$30)</f>
        <v>0.84633821665625986</v>
      </c>
      <c r="BX176" s="553">
        <f>0.5*(1+'Hilfstabellen_Mat&amp;Bem'!$BD$31*($BW176-0.3)+$BW176^2)</f>
        <v>0.88546109931926209</v>
      </c>
      <c r="BY176" s="550">
        <f t="shared" si="147"/>
        <v>0.87278684201194712</v>
      </c>
      <c r="CA176" s="551">
        <f t="shared" si="148"/>
        <v>45370.951195149057</v>
      </c>
      <c r="CE176" s="546">
        <f t="shared" si="149"/>
        <v>228</v>
      </c>
      <c r="CF176" s="551">
        <f t="shared" si="150"/>
        <v>54.69634129164875</v>
      </c>
      <c r="CG176" s="553">
        <f>CF176/PI()*SQRT('Hilfstabellen_Mat&amp;Bem'!f.Rd.3/'Hilfstabellen_Mat&amp;Bem'!$BD$30)</f>
        <v>0.87051930856072424</v>
      </c>
      <c r="CH176" s="553">
        <f>0.5*(1+'Hilfstabellen_Mat&amp;Bem'!$BD$31*(CG176-0.3)+CG176^2)</f>
        <v>0.90742789871655694</v>
      </c>
      <c r="CI176" s="550">
        <f t="shared" si="151"/>
        <v>0.85940563421819804</v>
      </c>
      <c r="CK176" s="551">
        <f t="shared" si="152"/>
        <v>44675.342489198811</v>
      </c>
      <c r="CO176" s="546">
        <f t="shared" si="153"/>
        <v>228</v>
      </c>
      <c r="CP176" s="551">
        <f t="shared" si="154"/>
        <v>56.215684105305662</v>
      </c>
      <c r="CQ176" s="553">
        <f>CP176/PI()*SQRT('Hilfstabellen_Mat&amp;Bem'!f.Rd.3/'Hilfstabellen_Mat&amp;Bem'!$BD$30)</f>
        <v>0.89470040046518884</v>
      </c>
      <c r="CR176" s="553">
        <f>0.5*(1+'Hilfstabellen_Mat&amp;Bem'!$BD$31*(CQ176-0.3)+CQ176^2)</f>
        <v>0.92997942331954409</v>
      </c>
      <c r="CS176" s="550">
        <f t="shared" si="155"/>
        <v>0.8448103524379531</v>
      </c>
      <c r="CU176" s="551">
        <f t="shared" si="156"/>
        <v>43916.621361134552</v>
      </c>
      <c r="CY176" s="546">
        <f t="shared" si="157"/>
        <v>228</v>
      </c>
      <c r="CZ176" s="551">
        <f t="shared" si="158"/>
        <v>57.735026918962575</v>
      </c>
      <c r="DA176" s="553">
        <f>CZ176/PI()*SQRT('Hilfstabellen_Mat&amp;Bem'!f.Rd.3/'Hilfstabellen_Mat&amp;Bem'!$BD$30)</f>
        <v>0.91888149236965355</v>
      </c>
      <c r="DB176" s="553">
        <f>0.5*(1+'Hilfstabellen_Mat&amp;Bem'!$BD$31*(DA176-0.3)+DA176^2)</f>
        <v>0.95311567312822354</v>
      </c>
      <c r="DC176" s="550">
        <f t="shared" si="159"/>
        <v>0.8290029172295762</v>
      </c>
      <c r="DE176" s="551">
        <f t="shared" si="160"/>
        <v>43094.887649262288</v>
      </c>
      <c r="DI176" s="546">
        <f t="shared" si="161"/>
        <v>228</v>
      </c>
      <c r="DJ176" s="551">
        <f t="shared" si="162"/>
        <v>59.25436973261948</v>
      </c>
      <c r="DK176" s="553">
        <f>DJ176/PI()*SQRT('Hilfstabellen_Mat&amp;Bem'!f.Rd.3/'Hilfstabellen_Mat&amp;Bem'!$BD$30)</f>
        <v>0.94306258427411793</v>
      </c>
      <c r="DL176" s="553">
        <f>0.5*(1+'Hilfstabellen_Mat&amp;Bem'!$BD$31*(DK176-0.3)+DK176^2)</f>
        <v>0.97683664814259485</v>
      </c>
      <c r="DM176" s="550">
        <f t="shared" si="163"/>
        <v>0.81203161832185122</v>
      </c>
      <c r="DO176" s="551">
        <f t="shared" si="164"/>
        <v>42212.651646843115</v>
      </c>
      <c r="DS176" s="546">
        <f t="shared" si="165"/>
        <v>228</v>
      </c>
      <c r="DT176" s="551">
        <f t="shared" si="166"/>
        <v>60.7737125462764</v>
      </c>
      <c r="DU176" s="553">
        <f>DT176/PI()*SQRT('Hilfstabellen_Mat&amp;Bem'!f.Rd.3/'Hilfstabellen_Mat&amp;Bem'!$BD$30)</f>
        <v>0.96724367617858276</v>
      </c>
      <c r="DV176" s="553">
        <f>0.5*(1+'Hilfstabellen_Mat&amp;Bem'!$BD$31*(DU176-0.3)+DU176^2)</f>
        <v>1.0011423483626585</v>
      </c>
      <c r="DW176" s="550">
        <f t="shared" si="167"/>
        <v>0.79399392676393965</v>
      </c>
      <c r="DY176" s="551">
        <f t="shared" si="168"/>
        <v>41274.980288896637</v>
      </c>
      <c r="EC176" s="546">
        <f t="shared" si="169"/>
        <v>228</v>
      </c>
      <c r="ED176" s="551">
        <f t="shared" si="170"/>
        <v>62.293055359933298</v>
      </c>
      <c r="EE176" s="553">
        <f>ED176/PI()*SQRT('Hilfstabellen_Mat&amp;Bem'!f.Rd.3/'Hilfstabellen_Mat&amp;Bem'!$BD$30)</f>
        <v>0.99142476808304714</v>
      </c>
      <c r="EF176" s="553">
        <f>0.5*(1+'Hilfstabellen_Mat&amp;Bem'!$BD$31*(EE176-0.3)+EE176^2)</f>
        <v>1.0260327737884143</v>
      </c>
      <c r="EG176" s="550">
        <f t="shared" si="171"/>
        <v>0.77503286646491132</v>
      </c>
      <c r="EI176" s="551">
        <f t="shared" si="172"/>
        <v>40289.308530311951</v>
      </c>
      <c r="EM176" s="546">
        <f t="shared" si="173"/>
        <v>228</v>
      </c>
      <c r="EN176" s="551">
        <f t="shared" si="174"/>
        <v>63.812398173590218</v>
      </c>
      <c r="EO176" s="553">
        <f>EN176/PI()*SQRT('Hilfstabellen_Mat&amp;Bem'!f.Rd.3/'Hilfstabellen_Mat&amp;Bem'!$BD$30)</f>
        <v>1.0156058599875117</v>
      </c>
      <c r="EP176" s="553">
        <f>0.5*(1+'Hilfstabellen_Mat&amp;Bem'!$BD$31*(EO176-0.3)+EO176^2)</f>
        <v>1.0515079244198622</v>
      </c>
      <c r="EQ176" s="550">
        <f t="shared" si="175"/>
        <v>0.75532708461504172</v>
      </c>
      <c r="ES176" s="551">
        <f t="shared" si="176"/>
        <v>39264.92316662833</v>
      </c>
    </row>
    <row r="177" spans="3:149">
      <c r="C177" s="546">
        <v>229</v>
      </c>
      <c r="D177" s="551">
        <f t="shared" si="126"/>
        <v>42.355827608671234</v>
      </c>
      <c r="E177" s="553">
        <f>$D177/PI()*SQRT('Hilfstabellen_Mat&amp;Bem'!f.Rd.3/'Hilfstabellen_Mat&amp;Bem'!$BD$30)</f>
        <v>0.67411393326682001</v>
      </c>
      <c r="F177" s="553">
        <f>0.5*(1+'Hilfstabellen_Mat&amp;Bem'!$BD$31*($E177-0.3)+$E177^2)</f>
        <v>0.74592049417557238</v>
      </c>
      <c r="G177" s="550">
        <f t="shared" si="127"/>
        <v>0.93875166421221401</v>
      </c>
      <c r="I177" s="551">
        <f t="shared" si="128"/>
        <v>49229.076022952715</v>
      </c>
      <c r="M177" s="546">
        <f t="shared" si="129"/>
        <v>229</v>
      </c>
      <c r="N177" s="551">
        <f t="shared" si="118"/>
        <v>43.868535737552349</v>
      </c>
      <c r="O177" s="553">
        <f>$N177/PI()*SQRT('Hilfstabellen_Mat&amp;Bem'!f.Rd.3/'Hilfstabellen_Mat&amp;Bem'!$BD$30)</f>
        <v>0.69818943088349217</v>
      </c>
      <c r="P177" s="553">
        <f>0.5*(1+'Hilfstabellen_Mat&amp;Bem'!$BD$31*($O177-0.3)+$O177^2)</f>
        <v>0.76364371224288197</v>
      </c>
      <c r="Q177" s="550">
        <f t="shared" si="119"/>
        <v>0.93199182504796829</v>
      </c>
      <c r="S177" s="551">
        <f t="shared" si="130"/>
        <v>48874.583297340505</v>
      </c>
      <c r="W177" s="546">
        <f t="shared" si="131"/>
        <v>229</v>
      </c>
      <c r="X177" s="551">
        <f t="shared" si="120"/>
        <v>45.381243866433465</v>
      </c>
      <c r="Y177" s="553">
        <f>$X177/PI()*SQRT('Hilfstabellen_Mat&amp;Bem'!f.Rd.3/'Hilfstabellen_Mat&amp;Bem'!$BD$30)</f>
        <v>0.72226492850016433</v>
      </c>
      <c r="Z177" s="553">
        <f>0.5*(1+'Hilfstabellen_Mat&amp;Bem'!$BD$31*($Y177-0.3)+$Y177^2)</f>
        <v>0.78194655989568196</v>
      </c>
      <c r="AA177" s="550">
        <f t="shared" si="121"/>
        <v>0.92458244312174276</v>
      </c>
      <c r="AC177" s="551">
        <f t="shared" si="132"/>
        <v>48486.027899747314</v>
      </c>
      <c r="AG177" s="546">
        <f t="shared" si="133"/>
        <v>229</v>
      </c>
      <c r="AH177" s="551">
        <f t="shared" si="122"/>
        <v>46.89395199531458</v>
      </c>
      <c r="AI177" s="553">
        <f>$AH177/PI()*SQRT('Hilfstabellen_Mat&amp;Bem'!f.Rd.3/'Hilfstabellen_Mat&amp;Bem'!$BD$30)</f>
        <v>0.74634042611683649</v>
      </c>
      <c r="AJ177" s="553">
        <f>0.5*(1+'Hilfstabellen_Mat&amp;Bem'!$BD$31*($AI177-0.3)+$AI177^2)</f>
        <v>0.80082903713397235</v>
      </c>
      <c r="AK177" s="550">
        <f t="shared" si="123"/>
        <v>0.91643990372747186</v>
      </c>
      <c r="AM177" s="551">
        <f t="shared" si="134"/>
        <v>48059.024991372353</v>
      </c>
      <c r="AQ177" s="546">
        <f t="shared" si="135"/>
        <v>229</v>
      </c>
      <c r="AR177" s="551">
        <f t="shared" si="124"/>
        <v>48.406660124195696</v>
      </c>
      <c r="AS177" s="553">
        <f>$AR177/PI()*SQRT('Hilfstabellen_Mat&amp;Bem'!f.Rd.3/'Hilfstabellen_Mat&amp;Bem'!$BD$30)</f>
        <v>0.77041592373350865</v>
      </c>
      <c r="AT177" s="553">
        <f>0.5*(1+'Hilfstabellen_Mat&amp;Bem'!$BD$31*($AS177-0.3)+$AS177^2)</f>
        <v>0.82029114395775315</v>
      </c>
      <c r="AU177" s="550">
        <f t="shared" si="125"/>
        <v>0.90747465594032928</v>
      </c>
      <c r="AW177" s="551">
        <f t="shared" si="136"/>
        <v>47588.878432166806</v>
      </c>
      <c r="BA177" s="546">
        <f t="shared" si="137"/>
        <v>229</v>
      </c>
      <c r="BB177" s="551">
        <f t="shared" si="138"/>
        <v>49.919368253076804</v>
      </c>
      <c r="BC177" s="553">
        <f>$BB177/PI()*SQRT('Hilfstabellen_Mat&amp;Bem'!f.Rd.3/'Hilfstabellen_Mat&amp;Bem'!$BD$30)</f>
        <v>0.79449142135018058</v>
      </c>
      <c r="BD177" s="553">
        <f>0.5*(1+'Hilfstabellen_Mat&amp;Bem'!$BD$31*($BC177-0.3)+$BC177^2)</f>
        <v>0.84033288036702414</v>
      </c>
      <c r="BE177" s="550">
        <f t="shared" si="139"/>
        <v>0.89759388913978433</v>
      </c>
      <c r="BG177" s="551">
        <f t="shared" si="140"/>
        <v>47070.721140379428</v>
      </c>
      <c r="BK177" s="546">
        <f t="shared" si="141"/>
        <v>229</v>
      </c>
      <c r="BL177" s="551">
        <f t="shared" si="142"/>
        <v>51.432076381957927</v>
      </c>
      <c r="BM177" s="553">
        <f>$BL177/PI()*SQRT('Hilfstabellen_Mat&amp;Bem'!f.Rd.3/'Hilfstabellen_Mat&amp;Bem'!$BD$30)</f>
        <v>0.81856691896685296</v>
      </c>
      <c r="BN177" s="553">
        <f>0.5*(1+'Hilfstabellen_Mat&amp;Bem'!$BD$31*($BM177-0.3)+$BM177^2)</f>
        <v>0.86095424636178586</v>
      </c>
      <c r="BO177" s="550">
        <f t="shared" si="143"/>
        <v>0.88670596573544891</v>
      </c>
      <c r="BQ177" s="551">
        <f t="shared" si="144"/>
        <v>46499.747549132677</v>
      </c>
      <c r="BU177" s="546">
        <f t="shared" si="145"/>
        <v>229</v>
      </c>
      <c r="BV177" s="551">
        <f t="shared" si="146"/>
        <v>52.944784510839042</v>
      </c>
      <c r="BW177" s="553">
        <f>$BV177/PI()*SQRT('Hilfstabellen_Mat&amp;Bem'!f.Rd.3/'Hilfstabellen_Mat&amp;Bem'!$BD$30)</f>
        <v>0.84264241658352512</v>
      </c>
      <c r="BX177" s="553">
        <f>0.5*(1+'Hilfstabellen_Mat&amp;Bem'!$BD$31*($BW177-0.3)+$BW177^2)</f>
        <v>0.88215524194203776</v>
      </c>
      <c r="BY177" s="550">
        <f t="shared" si="147"/>
        <v>0.87472693467831086</v>
      </c>
      <c r="CA177" s="551">
        <f t="shared" si="148"/>
        <v>45871.555181465301</v>
      </c>
      <c r="CE177" s="546">
        <f t="shared" si="149"/>
        <v>229</v>
      </c>
      <c r="CF177" s="551">
        <f t="shared" si="150"/>
        <v>54.457492639720151</v>
      </c>
      <c r="CG177" s="553">
        <f>CF177/PI()*SQRT('Hilfstabellen_Mat&amp;Bem'!f.Rd.3/'Hilfstabellen_Mat&amp;Bem'!$BD$30)</f>
        <v>0.86671791420019706</v>
      </c>
      <c r="CH177" s="553">
        <f>0.5*(1+'Hilfstabellen_Mat&amp;Bem'!$BD$31*(CG177-0.3)+CG177^2)</f>
        <v>0.90393586710777996</v>
      </c>
      <c r="CI177" s="550">
        <f t="shared" si="151"/>
        <v>0.86158912531776044</v>
      </c>
      <c r="CK177" s="551">
        <f t="shared" si="152"/>
        <v>45182.595320788678</v>
      </c>
      <c r="CO177" s="546">
        <f t="shared" si="153"/>
        <v>229</v>
      </c>
      <c r="CP177" s="551">
        <f t="shared" si="154"/>
        <v>55.970200768601273</v>
      </c>
      <c r="CQ177" s="553">
        <f>CP177/PI()*SQRT('Hilfstabellen_Mat&amp;Bem'!f.Rd.3/'Hilfstabellen_Mat&amp;Bem'!$BD$30)</f>
        <v>0.89079341181686922</v>
      </c>
      <c r="CR177" s="553">
        <f>0.5*(1+'Hilfstabellen_Mat&amp;Bem'!$BD$31*(CQ177-0.3)+CQ177^2)</f>
        <v>0.92629612185901267</v>
      </c>
      <c r="CS177" s="550">
        <f t="shared" si="155"/>
        <v>0.84725122388656471</v>
      </c>
      <c r="CU177" s="551">
        <f t="shared" si="156"/>
        <v>44430.701431835339</v>
      </c>
      <c r="CY177" s="546">
        <f t="shared" si="157"/>
        <v>229</v>
      </c>
      <c r="CZ177" s="551">
        <f t="shared" si="158"/>
        <v>57.482908897482389</v>
      </c>
      <c r="DA177" s="553">
        <f>CZ177/PI()*SQRT('Hilfstabellen_Mat&amp;Bem'!f.Rd.3/'Hilfstabellen_Mat&amp;Bem'!$BD$30)</f>
        <v>0.91486890943354138</v>
      </c>
      <c r="DB177" s="553">
        <f>0.5*(1+'Hilfstabellen_Mat&amp;Bem'!$BD$31*(DA177-0.3)+DA177^2)</f>
        <v>0.94923600619573567</v>
      </c>
      <c r="DC177" s="550">
        <f t="shared" si="159"/>
        <v>0.83170843176174447</v>
      </c>
      <c r="DE177" s="551">
        <f t="shared" si="160"/>
        <v>43615.62187001764</v>
      </c>
      <c r="DI177" s="546">
        <f t="shared" si="161"/>
        <v>229</v>
      </c>
      <c r="DJ177" s="551">
        <f t="shared" si="162"/>
        <v>58.995617026363504</v>
      </c>
      <c r="DK177" s="553">
        <f>DJ177/PI()*SQRT('Hilfstabellen_Mat&amp;Bem'!f.Rd.3/'Hilfstabellen_Mat&amp;Bem'!$BD$30)</f>
        <v>0.93894440705021354</v>
      </c>
      <c r="DL177" s="553">
        <f>0.5*(1+'Hilfstabellen_Mat&amp;Bem'!$BD$31*(DK177-0.3)+DK177^2)</f>
        <v>0.97275552011794919</v>
      </c>
      <c r="DM177" s="550">
        <f t="shared" si="163"/>
        <v>0.81500056646023056</v>
      </c>
      <c r="DO177" s="551">
        <f t="shared" si="164"/>
        <v>42739.444705740949</v>
      </c>
      <c r="DS177" s="546">
        <f t="shared" si="165"/>
        <v>229</v>
      </c>
      <c r="DT177" s="551">
        <f t="shared" si="166"/>
        <v>60.508325155244627</v>
      </c>
      <c r="DU177" s="553">
        <f>DT177/PI()*SQRT('Hilfstabellen_Mat&amp;Bem'!f.Rd.3/'Hilfstabellen_Mat&amp;Bem'!$BD$30)</f>
        <v>0.96301990466688592</v>
      </c>
      <c r="DV177" s="553">
        <f>0.5*(1+'Hilfstabellen_Mat&amp;Bem'!$BD$31*(DU177-0.3)+DU177^2)</f>
        <v>0.99685466362565334</v>
      </c>
      <c r="DW177" s="550">
        <f t="shared" si="167"/>
        <v>0.79721573842350091</v>
      </c>
      <c r="DY177" s="551">
        <f t="shared" si="168"/>
        <v>41806.790538666814</v>
      </c>
      <c r="EC177" s="546">
        <f t="shared" si="169"/>
        <v>229</v>
      </c>
      <c r="ED177" s="551">
        <f t="shared" si="170"/>
        <v>62.021033284125728</v>
      </c>
      <c r="EE177" s="553">
        <f>ED177/PI()*SQRT('Hilfstabellen_Mat&amp;Bem'!f.Rd.3/'Hilfstabellen_Mat&amp;Bem'!$BD$30)</f>
        <v>0.98709540228355763</v>
      </c>
      <c r="EF177" s="553">
        <f>0.5*(1+'Hilfstabellen_Mat&amp;Bem'!$BD$31*(EE177-0.3)+EE177^2)</f>
        <v>1.0215334367188471</v>
      </c>
      <c r="EG177" s="550">
        <f t="shared" si="171"/>
        <v>0.77848790256566369</v>
      </c>
      <c r="EI177" s="551">
        <f t="shared" si="172"/>
        <v>40824.68409844597</v>
      </c>
      <c r="EM177" s="546">
        <f t="shared" si="173"/>
        <v>229</v>
      </c>
      <c r="EN177" s="551">
        <f t="shared" si="174"/>
        <v>63.533741413006844</v>
      </c>
      <c r="EO177" s="553">
        <f>EN177/PI()*SQRT('Hilfstabellen_Mat&amp;Bem'!f.Rd.3/'Hilfstabellen_Mat&amp;Bem'!$BD$30)</f>
        <v>1.0111708999002298</v>
      </c>
      <c r="EP177" s="553">
        <f>0.5*(1+'Hilfstabellen_Mat&amp;Bem'!$BD$31*(EO177-0.3)+EO177^2)</f>
        <v>1.0467918393975317</v>
      </c>
      <c r="EQ177" s="550">
        <f t="shared" si="175"/>
        <v>0.75898811198432958</v>
      </c>
      <c r="ES177" s="551">
        <f t="shared" si="176"/>
        <v>39802.095580570225</v>
      </c>
    </row>
    <row r="178" spans="3:149">
      <c r="C178" s="546">
        <v>230</v>
      </c>
      <c r="D178" s="551">
        <f t="shared" si="126"/>
        <v>42.171671836459623</v>
      </c>
      <c r="E178" s="553">
        <f>$D178/PI()*SQRT('Hilfstabellen_Mat&amp;Bem'!f.Rd.3/'Hilfstabellen_Mat&amp;Bem'!$BD$30)</f>
        <v>0.67118300312218171</v>
      </c>
      <c r="F178" s="553">
        <f>0.5*(1+'Hilfstabellen_Mat&amp;Bem'!$BD$31*($E178-0.3)+$E178^2)</f>
        <v>0.7438024619961644</v>
      </c>
      <c r="G178" s="550">
        <f t="shared" si="127"/>
        <v>0.93953401798464886</v>
      </c>
      <c r="I178" s="551">
        <f t="shared" si="128"/>
        <v>49701.349551387924</v>
      </c>
      <c r="M178" s="546">
        <f t="shared" si="129"/>
        <v>230</v>
      </c>
      <c r="N178" s="551">
        <f t="shared" si="118"/>
        <v>43.677802973476034</v>
      </c>
      <c r="O178" s="553">
        <f>$N178/PI()*SQRT('Hilfstabellen_Mat&amp;Bem'!f.Rd.3/'Hilfstabellen_Mat&amp;Bem'!$BD$30)</f>
        <v>0.69515382466225961</v>
      </c>
      <c r="P178" s="553">
        <f>0.5*(1+'Hilfstabellen_Mat&amp;Bem'!$BD$31*($O178-0.3)+$O178^2)</f>
        <v>0.76137711120439677</v>
      </c>
      <c r="Q178" s="550">
        <f t="shared" si="119"/>
        <v>0.93287828649297766</v>
      </c>
      <c r="S178" s="551">
        <f t="shared" si="130"/>
        <v>49349.26135547852</v>
      </c>
      <c r="W178" s="546">
        <f t="shared" si="131"/>
        <v>230</v>
      </c>
      <c r="X178" s="551">
        <f t="shared" si="120"/>
        <v>45.183934110492444</v>
      </c>
      <c r="Y178" s="553">
        <f>$X178/PI()*SQRT('Hilfstabellen_Mat&amp;Bem'!f.Rd.3/'Hilfstabellen_Mat&amp;Bem'!$BD$30)</f>
        <v>0.7191246462023374</v>
      </c>
      <c r="Z178" s="553">
        <f>0.5*(1+'Hilfstabellen_Mat&amp;Bem'!$BD$31*($Y178-0.3)+$Y178^2)</f>
        <v>0.77952636069793535</v>
      </c>
      <c r="AA178" s="550">
        <f t="shared" si="121"/>
        <v>0.92558860804488929</v>
      </c>
      <c r="AC178" s="551">
        <f t="shared" si="132"/>
        <v>48963.637365574643</v>
      </c>
      <c r="AG178" s="546">
        <f t="shared" si="133"/>
        <v>230</v>
      </c>
      <c r="AH178" s="551">
        <f t="shared" si="122"/>
        <v>46.690065247508862</v>
      </c>
      <c r="AI178" s="553">
        <f>$AH178/PI()*SQRT('Hilfstabellen_Mat&amp;Bem'!f.Rd.3/'Hilfstabellen_Mat&amp;Bem'!$BD$30)</f>
        <v>0.74309546774241531</v>
      </c>
      <c r="AJ178" s="553">
        <f>0.5*(1+'Hilfstabellen_Mat&amp;Bem'!$BD$31*($AI178-0.3)+$AI178^2)</f>
        <v>0.79825021047678035</v>
      </c>
      <c r="AK178" s="550">
        <f t="shared" si="123"/>
        <v>0.91758332334080983</v>
      </c>
      <c r="AM178" s="551">
        <f t="shared" si="134"/>
        <v>48540.157804728842</v>
      </c>
      <c r="AQ178" s="546">
        <f t="shared" si="135"/>
        <v>230</v>
      </c>
      <c r="AR178" s="551">
        <f t="shared" si="124"/>
        <v>48.19619638452528</v>
      </c>
      <c r="AS178" s="553">
        <f>$AR178/PI()*SQRT('Hilfstabellen_Mat&amp;Bem'!f.Rd.3/'Hilfstabellen_Mat&amp;Bem'!$BD$30)</f>
        <v>0.76706628928249332</v>
      </c>
      <c r="AT178" s="553">
        <f>0.5*(1+'Hilfstabellen_Mat&amp;Bem'!$BD$31*($AS178-0.3)+$AS178^2)</f>
        <v>0.81754866054093156</v>
      </c>
      <c r="AU178" s="550">
        <f t="shared" si="125"/>
        <v>0.90877469966811264</v>
      </c>
      <c r="AW178" s="551">
        <f t="shared" si="136"/>
        <v>48074.181612443157</v>
      </c>
      <c r="BA178" s="546">
        <f t="shared" si="137"/>
        <v>230</v>
      </c>
      <c r="BB178" s="551">
        <f t="shared" si="138"/>
        <v>49.70232752154169</v>
      </c>
      <c r="BC178" s="553">
        <f>$BB178/PI()*SQRT('Hilfstabellen_Mat&amp;Bem'!f.Rd.3/'Hilfstabellen_Mat&amp;Bem'!$BD$30)</f>
        <v>0.79103711082257122</v>
      </c>
      <c r="BD178" s="553">
        <f>0.5*(1+'Hilfstabellen_Mat&amp;Bem'!$BD$31*($BC178-0.3)+$BC178^2)</f>
        <v>0.83742171089038897</v>
      </c>
      <c r="BE178" s="550">
        <f t="shared" si="139"/>
        <v>0.89907135238452185</v>
      </c>
      <c r="BG178" s="551">
        <f t="shared" si="140"/>
        <v>47560.874541141209</v>
      </c>
      <c r="BK178" s="546">
        <f t="shared" si="141"/>
        <v>230</v>
      </c>
      <c r="BL178" s="551">
        <f t="shared" si="142"/>
        <v>51.208458658558108</v>
      </c>
      <c r="BM178" s="553">
        <f>$BL178/PI()*SQRT('Hilfstabellen_Mat&amp;Bem'!f.Rd.3/'Hilfstabellen_Mat&amp;Bem'!$BD$30)</f>
        <v>0.81500793236264912</v>
      </c>
      <c r="BN178" s="553">
        <f>0.5*(1+'Hilfstabellen_Mat&amp;Bem'!$BD$31*($BM178-0.3)+$BM178^2)</f>
        <v>0.8578693615251527</v>
      </c>
      <c r="BO178" s="550">
        <f t="shared" si="143"/>
        <v>0.88838232315124532</v>
      </c>
      <c r="BQ178" s="551">
        <f t="shared" si="144"/>
        <v>46995.424894700875</v>
      </c>
      <c r="BU178" s="546">
        <f t="shared" si="145"/>
        <v>230</v>
      </c>
      <c r="BV178" s="551">
        <f t="shared" si="146"/>
        <v>52.714589795574526</v>
      </c>
      <c r="BW178" s="553">
        <f>$BV178/PI()*SQRT('Hilfstabellen_Mat&amp;Bem'!f.Rd.3/'Hilfstabellen_Mat&amp;Bem'!$BD$30)</f>
        <v>0.83897875390272714</v>
      </c>
      <c r="BX178" s="553">
        <f>0.5*(1+'Hilfstabellen_Mat&amp;Bem'!$BD$31*($BW178-0.3)+$BW178^2)</f>
        <v>0.87889161244522285</v>
      </c>
      <c r="BY178" s="550">
        <f t="shared" si="147"/>
        <v>0.8766231551400161</v>
      </c>
      <c r="CA178" s="551">
        <f t="shared" si="148"/>
        <v>46373.364906906849</v>
      </c>
      <c r="CE178" s="546">
        <f t="shared" si="149"/>
        <v>230</v>
      </c>
      <c r="CF178" s="551">
        <f t="shared" si="150"/>
        <v>54.220720932590936</v>
      </c>
      <c r="CG178" s="553">
        <f>CF178/PI()*SQRT('Hilfstabellen_Mat&amp;Bem'!f.Rd.3/'Hilfstabellen_Mat&amp;Bem'!$BD$30)</f>
        <v>0.86294957544280493</v>
      </c>
      <c r="CH178" s="553">
        <f>0.5*(1+'Hilfstabellen_Mat&amp;Bem'!$BD$31*(CG178-0.3)+CG178^2)</f>
        <v>0.90048846365059898</v>
      </c>
      <c r="CI178" s="550">
        <f t="shared" si="151"/>
        <v>0.86372402562059269</v>
      </c>
      <c r="CK178" s="551">
        <f t="shared" si="152"/>
        <v>45691.000955329357</v>
      </c>
      <c r="CO178" s="546">
        <f t="shared" si="153"/>
        <v>230</v>
      </c>
      <c r="CP178" s="551">
        <f t="shared" si="154"/>
        <v>55.726852069607347</v>
      </c>
      <c r="CQ178" s="553">
        <f>CP178/PI()*SQRT('Hilfstabellen_Mat&amp;Bem'!f.Rd.3/'Hilfstabellen_Mat&amp;Bem'!$BD$30)</f>
        <v>0.88692039698288283</v>
      </c>
      <c r="CR178" s="553">
        <f>0.5*(1+'Hilfstabellen_Mat&amp;Bem'!$BD$31*(CQ178-0.3)+CQ178^2)</f>
        <v>0.92265991514128143</v>
      </c>
      <c r="CS178" s="550">
        <f t="shared" si="155"/>
        <v>0.84963945703010491</v>
      </c>
      <c r="CU178" s="551">
        <f t="shared" si="156"/>
        <v>44945.927276892551</v>
      </c>
      <c r="CY178" s="546">
        <f t="shared" si="157"/>
        <v>230</v>
      </c>
      <c r="CZ178" s="551">
        <f t="shared" si="158"/>
        <v>57.232983206623764</v>
      </c>
      <c r="DA178" s="553">
        <f>CZ178/PI()*SQRT('Hilfstabellen_Mat&amp;Bem'!f.Rd.3/'Hilfstabellen_Mat&amp;Bem'!$BD$30)</f>
        <v>0.91089121852296084</v>
      </c>
      <c r="DB178" s="553">
        <f>0.5*(1+'Hilfstabellen_Mat&amp;Bem'!$BD$31*(DA178-0.3)+DA178^2)</f>
        <v>0.9454059669172703</v>
      </c>
      <c r="DC178" s="550">
        <f t="shared" si="159"/>
        <v>0.83435836950907449</v>
      </c>
      <c r="DE178" s="551">
        <f t="shared" si="160"/>
        <v>44137.557747030041</v>
      </c>
      <c r="DI178" s="546">
        <f t="shared" si="161"/>
        <v>230</v>
      </c>
      <c r="DJ178" s="551">
        <f t="shared" si="162"/>
        <v>58.739114343640182</v>
      </c>
      <c r="DK178" s="553">
        <f>DJ178/PI()*SQRT('Hilfstabellen_Mat&amp;Bem'!f.Rd.3/'Hilfstabellen_Mat&amp;Bem'!$BD$30)</f>
        <v>0.93486204006303864</v>
      </c>
      <c r="DL178" s="553">
        <f>0.5*(1+'Hilfstabellen_Mat&amp;Bem'!$BD$31*(DK178-0.3)+DK178^2)</f>
        <v>0.96872661897856505</v>
      </c>
      <c r="DM178" s="550">
        <f t="shared" si="163"/>
        <v>0.81791248906077052</v>
      </c>
      <c r="DO178" s="551">
        <f t="shared" si="164"/>
        <v>43267.570671314759</v>
      </c>
      <c r="DS178" s="546">
        <f t="shared" si="165"/>
        <v>230</v>
      </c>
      <c r="DT178" s="551">
        <f t="shared" si="166"/>
        <v>60.245245480656592</v>
      </c>
      <c r="DU178" s="553">
        <f>DT178/PI()*SQRT('Hilfstabellen_Mat&amp;Bem'!f.Rd.3/'Hilfstabellen_Mat&amp;Bem'!$BD$30)</f>
        <v>0.95883286160311654</v>
      </c>
      <c r="DV178" s="553">
        <f>0.5*(1+'Hilfstabellen_Mat&amp;Bem'!$BD$31*(DU178-0.3)+DU178^2)</f>
        <v>0.99262187132516644</v>
      </c>
      <c r="DW178" s="550">
        <f t="shared" si="167"/>
        <v>0.80038079702139198</v>
      </c>
      <c r="DY178" s="551">
        <f t="shared" si="168"/>
        <v>42340.144162431636</v>
      </c>
      <c r="EC178" s="546">
        <f t="shared" si="169"/>
        <v>230</v>
      </c>
      <c r="ED178" s="551">
        <f t="shared" si="170"/>
        <v>61.75137661767301</v>
      </c>
      <c r="EE178" s="553">
        <f>ED178/PI()*SQRT('Hilfstabellen_Mat&amp;Bem'!f.Rd.3/'Hilfstabellen_Mat&amp;Bem'!$BD$30)</f>
        <v>0.98280368314319455</v>
      </c>
      <c r="EF178" s="553">
        <f>0.5*(1+'Hilfstabellen_Mat&amp;Bem'!$BD$31*(EE178-0.3)+EE178^2)</f>
        <v>1.017091723957074</v>
      </c>
      <c r="EG178" s="550">
        <f t="shared" si="171"/>
        <v>0.781888198447109</v>
      </c>
      <c r="EI178" s="551">
        <f t="shared" si="172"/>
        <v>41361.885697852063</v>
      </c>
      <c r="EM178" s="546">
        <f t="shared" si="173"/>
        <v>230</v>
      </c>
      <c r="EN178" s="551">
        <f t="shared" si="174"/>
        <v>63.257507754689428</v>
      </c>
      <c r="EO178" s="553">
        <f>EN178/PI()*SQRT('Hilfstabellen_Mat&amp;Bem'!f.Rd.3/'Hilfstabellen_Mat&amp;Bem'!$BD$30)</f>
        <v>1.0067745046832726</v>
      </c>
      <c r="EP178" s="553">
        <f>0.5*(1+'Hilfstabellen_Mat&amp;Bem'!$BD$31*(EO178-0.3)+EO178^2)</f>
        <v>1.0421361768742878</v>
      </c>
      <c r="EQ178" s="550">
        <f t="shared" si="175"/>
        <v>0.76259795319734192</v>
      </c>
      <c r="ES178" s="551">
        <f t="shared" si="176"/>
        <v>40341.431724139387</v>
      </c>
    </row>
    <row r="179" spans="3:149">
      <c r="C179" s="546">
        <v>231</v>
      </c>
      <c r="D179" s="551">
        <f t="shared" si="126"/>
        <v>41.989110486518236</v>
      </c>
      <c r="E179" s="553">
        <f>$D179/PI()*SQRT('Hilfstabellen_Mat&amp;Bem'!f.Rd.3/'Hilfstabellen_Mat&amp;Bem'!$BD$30)</f>
        <v>0.66827744899611163</v>
      </c>
      <c r="F179" s="553">
        <f>0.5*(1+'Hilfstabellen_Mat&amp;Bem'!$BD$31*($E179-0.3)+$E179^2)</f>
        <v>0.74171124686818091</v>
      </c>
      <c r="G179" s="550">
        <f t="shared" si="127"/>
        <v>0.94030135006741433</v>
      </c>
      <c r="I179" s="551">
        <f t="shared" si="128"/>
        <v>50175.420340947298</v>
      </c>
      <c r="M179" s="546">
        <f t="shared" si="129"/>
        <v>231</v>
      </c>
      <c r="N179" s="551">
        <f t="shared" si="118"/>
        <v>43.488721575322458</v>
      </c>
      <c r="O179" s="553">
        <f>$N179/PI()*SQRT('Hilfstabellen_Mat&amp;Bem'!f.Rd.3/'Hilfstabellen_Mat&amp;Bem'!$BD$30)</f>
        <v>0.69214450074597278</v>
      </c>
      <c r="P179" s="553">
        <f>0.5*(1+'Hilfstabellen_Mat&amp;Bem'!$BD$31*($O179-0.3)+$O179^2)</f>
        <v>0.7591392299937445</v>
      </c>
      <c r="Q179" s="550">
        <f t="shared" si="119"/>
        <v>0.93374704706433997</v>
      </c>
      <c r="S179" s="551">
        <f t="shared" si="130"/>
        <v>49825.676178400245</v>
      </c>
      <c r="W179" s="546">
        <f t="shared" si="131"/>
        <v>231</v>
      </c>
      <c r="X179" s="551">
        <f t="shared" si="120"/>
        <v>44.988332664126681</v>
      </c>
      <c r="Y179" s="553">
        <f>$X179/PI()*SQRT('Hilfstabellen_Mat&amp;Bem'!f.Rd.3/'Hilfstabellen_Mat&amp;Bem'!$BD$30)</f>
        <v>0.71601155249583393</v>
      </c>
      <c r="Z179" s="553">
        <f>0.5*(1+'Hilfstabellen_Mat&amp;Bem'!$BD$31*($Y179-0.3)+$Y179^2)</f>
        <v>0.77713684927853888</v>
      </c>
      <c r="AA179" s="550">
        <f t="shared" si="121"/>
        <v>0.92657394739200638</v>
      </c>
      <c r="AC179" s="551">
        <f t="shared" si="132"/>
        <v>49442.912406784853</v>
      </c>
      <c r="AG179" s="546">
        <f t="shared" si="133"/>
        <v>231</v>
      </c>
      <c r="AH179" s="551">
        <f t="shared" si="122"/>
        <v>46.487943752930903</v>
      </c>
      <c r="AI179" s="553">
        <f>$AH179/PI()*SQRT('Hilfstabellen_Mat&amp;Bem'!f.Rd.3/'Hilfstabellen_Mat&amp;Bem'!$BD$30)</f>
        <v>0.73987860424569496</v>
      </c>
      <c r="AJ179" s="553">
        <f>0.5*(1+'Hilfstabellen_Mat&amp;Bem'!$BD$31*($AI179-0.3)+$AI179^2)</f>
        <v>0.7957041047225637</v>
      </c>
      <c r="AK179" s="550">
        <f t="shared" si="123"/>
        <v>0.91870231747452047</v>
      </c>
      <c r="AM179" s="551">
        <f t="shared" si="134"/>
        <v>49022.874362757888</v>
      </c>
      <c r="AQ179" s="546">
        <f t="shared" si="135"/>
        <v>231</v>
      </c>
      <c r="AR179" s="551">
        <f t="shared" si="124"/>
        <v>47.987554841735125</v>
      </c>
      <c r="AS179" s="553">
        <f>$AR179/PI()*SQRT('Hilfstabellen_Mat&amp;Bem'!f.Rd.3/'Hilfstabellen_Mat&amp;Bem'!$BD$30)</f>
        <v>0.76374565599555611</v>
      </c>
      <c r="AT179" s="553">
        <f>0.5*(1+'Hilfstabellen_Mat&amp;Bem'!$BD$31*($AS179-0.3)+$AS179^2)</f>
        <v>0.81484099632581897</v>
      </c>
      <c r="AU179" s="550">
        <f t="shared" si="125"/>
        <v>0.91004624187878702</v>
      </c>
      <c r="AW179" s="551">
        <f t="shared" si="136"/>
        <v>48560.977512893951</v>
      </c>
      <c r="BA179" s="546">
        <f t="shared" si="137"/>
        <v>231</v>
      </c>
      <c r="BB179" s="551">
        <f t="shared" si="138"/>
        <v>49.487165930539348</v>
      </c>
      <c r="BC179" s="553">
        <f>$BB179/PI()*SQRT('Hilfstabellen_Mat&amp;Bem'!f.Rd.3/'Hilfstabellen_Mat&amp;Bem'!$BD$30)</f>
        <v>0.78761270774541725</v>
      </c>
      <c r="BD179" s="553">
        <f>0.5*(1+'Hilfstabellen_Mat&amp;Bem'!$BD$31*($BC179-0.3)+$BC179^2)</f>
        <v>0.8345475240883049</v>
      </c>
      <c r="BE179" s="550">
        <f t="shared" si="139"/>
        <v>0.90051580877540705</v>
      </c>
      <c r="BG179" s="551">
        <f t="shared" si="140"/>
        <v>48052.424072064496</v>
      </c>
      <c r="BK179" s="546">
        <f t="shared" si="141"/>
        <v>231</v>
      </c>
      <c r="BL179" s="551">
        <f t="shared" si="142"/>
        <v>50.98677701934357</v>
      </c>
      <c r="BM179" s="553">
        <f>$BL179/PI()*SQRT('Hilfstabellen_Mat&amp;Bem'!f.Rd.3/'Hilfstabellen_Mat&amp;Bem'!$BD$30)</f>
        <v>0.8114797594952784</v>
      </c>
      <c r="BN179" s="553">
        <f>0.5*(1+'Hilfstabellen_Mat&amp;Bem'!$BD$31*($BM179-0.3)+$BM179^2)</f>
        <v>0.8548236880100214</v>
      </c>
      <c r="BO179" s="550">
        <f t="shared" si="143"/>
        <v>0.8900208558879612</v>
      </c>
      <c r="BQ179" s="551">
        <f t="shared" si="144"/>
        <v>47492.402891037498</v>
      </c>
      <c r="BU179" s="546">
        <f t="shared" si="145"/>
        <v>231</v>
      </c>
      <c r="BV179" s="551">
        <f t="shared" si="146"/>
        <v>52.4863881081478</v>
      </c>
      <c r="BW179" s="553">
        <f>$BV179/PI()*SQRT('Hilfstabellen_Mat&amp;Bem'!f.Rd.3/'Hilfstabellen_Mat&amp;Bem'!$BD$30)</f>
        <v>0.83534681124513954</v>
      </c>
      <c r="BX179" s="553">
        <f>0.5*(1+'Hilfstabellen_Mat&amp;Bem'!$BD$31*($BW179-0.3)+$BW179^2)</f>
        <v>0.87566948809096834</v>
      </c>
      <c r="BY179" s="550">
        <f t="shared" si="147"/>
        <v>0.87847662772594404</v>
      </c>
      <c r="CA179" s="551">
        <f t="shared" si="148"/>
        <v>46876.391332084102</v>
      </c>
      <c r="CE179" s="546">
        <f t="shared" si="149"/>
        <v>231</v>
      </c>
      <c r="CF179" s="551">
        <f t="shared" si="150"/>
        <v>53.985999196952015</v>
      </c>
      <c r="CG179" s="553">
        <f>CF179/PI()*SQRT('Hilfstabellen_Mat&amp;Bem'!f.Rd.3/'Hilfstabellen_Mat&amp;Bem'!$BD$30)</f>
        <v>0.85921386299500058</v>
      </c>
      <c r="CH179" s="553">
        <f>0.5*(1+'Hilfstabellen_Mat&amp;Bem'!$BD$31*(CG179-0.3)+CG179^2)</f>
        <v>0.89708492433114584</v>
      </c>
      <c r="CI179" s="550">
        <f t="shared" si="151"/>
        <v>0.86581145601376464</v>
      </c>
      <c r="CK179" s="551">
        <f t="shared" si="152"/>
        <v>46200.565104350491</v>
      </c>
      <c r="CO179" s="546">
        <f t="shared" si="153"/>
        <v>231</v>
      </c>
      <c r="CP179" s="551">
        <f t="shared" si="154"/>
        <v>55.485610285756238</v>
      </c>
      <c r="CQ179" s="553">
        <f>CP179/PI()*SQRT('Hilfstabellen_Mat&amp;Bem'!f.Rd.3/'Hilfstabellen_Mat&amp;Bem'!$BD$30)</f>
        <v>0.88308091474486172</v>
      </c>
      <c r="CR179" s="553">
        <f>0.5*(1+'Hilfstabellen_Mat&amp;Bem'!$BD$31*(CQ179-0.3)+CQ179^2)</f>
        <v>0.91906999673055401</v>
      </c>
      <c r="CS179" s="550">
        <f t="shared" si="155"/>
        <v>0.85197609100806926</v>
      </c>
      <c r="CU179" s="551">
        <f t="shared" si="156"/>
        <v>45462.296192281581</v>
      </c>
      <c r="CY179" s="546">
        <f t="shared" si="157"/>
        <v>231</v>
      </c>
      <c r="CZ179" s="551">
        <f t="shared" si="158"/>
        <v>56.985221374560467</v>
      </c>
      <c r="DA179" s="553">
        <f>CZ179/PI()*SQRT('Hilfstabellen_Mat&amp;Bem'!f.Rd.3/'Hilfstabellen_Mat&amp;Bem'!$BD$30)</f>
        <v>0.90694796649472298</v>
      </c>
      <c r="DB179" s="553">
        <f>0.5*(1+'Hilfstabellen_Mat&amp;Bem'!$BD$31*(DA179-0.3)+DA179^2)</f>
        <v>0.94162470528919284</v>
      </c>
      <c r="DC179" s="550">
        <f t="shared" si="159"/>
        <v>0.83695360086295423</v>
      </c>
      <c r="DE179" s="551">
        <f t="shared" si="160"/>
        <v>44660.681095648099</v>
      </c>
      <c r="DI179" s="546">
        <f t="shared" si="161"/>
        <v>231</v>
      </c>
      <c r="DJ179" s="551">
        <f t="shared" si="162"/>
        <v>58.48483246336469</v>
      </c>
      <c r="DK179" s="553">
        <f>DJ179/PI()*SQRT('Hilfstabellen_Mat&amp;Bem'!f.Rd.3/'Hilfstabellen_Mat&amp;Bem'!$BD$30)</f>
        <v>0.93081501824458412</v>
      </c>
      <c r="DL179" s="553">
        <f>0.5*(1+'Hilfstabellen_Mat&amp;Bem'!$BD$31*(DK179-0.3)+DK179^2)</f>
        <v>0.9647490500070619</v>
      </c>
      <c r="DM179" s="550">
        <f t="shared" si="163"/>
        <v>0.82076800815661433</v>
      </c>
      <c r="DO179" s="551">
        <f t="shared" si="164"/>
        <v>43797.0016832451</v>
      </c>
      <c r="DS179" s="546">
        <f t="shared" si="165"/>
        <v>231</v>
      </c>
      <c r="DT179" s="551">
        <f t="shared" si="166"/>
        <v>59.984443552168905</v>
      </c>
      <c r="DU179" s="553">
        <f>DT179/PI()*SQRT('Hilfstabellen_Mat&amp;Bem'!f.Rd.3/'Hilfstabellen_Mat&amp;Bem'!$BD$30)</f>
        <v>0.95468206999444516</v>
      </c>
      <c r="DV179" s="553">
        <f>0.5*(1+'Hilfstabellen_Mat&amp;Bem'!$BD$31*(DU179-0.3)+DU179^2)</f>
        <v>0.98844303088416163</v>
      </c>
      <c r="DW179" s="550">
        <f t="shared" si="167"/>
        <v>0.80348942166354775</v>
      </c>
      <c r="DY179" s="551">
        <f t="shared" si="168"/>
        <v>42874.999029388571</v>
      </c>
      <c r="EC179" s="546">
        <f t="shared" si="169"/>
        <v>231</v>
      </c>
      <c r="ED179" s="551">
        <f t="shared" si="170"/>
        <v>61.484054640973127</v>
      </c>
      <c r="EE179" s="553">
        <f>ED179/PI()*SQRT('Hilfstabellen_Mat&amp;Bem'!f.Rd.3/'Hilfstabellen_Mat&amp;Bem'!$BD$30)</f>
        <v>0.97854912174430619</v>
      </c>
      <c r="EF179" s="553">
        <f>0.5*(1+'Hilfstabellen_Mat&amp;Bem'!$BD$31*(EE179-0.3)+EE179^2)</f>
        <v>1.0127066479204918</v>
      </c>
      <c r="EG179" s="550">
        <f t="shared" si="171"/>
        <v>0.7852337531811121</v>
      </c>
      <c r="EI179" s="551">
        <f t="shared" si="172"/>
        <v>41900.85830349732</v>
      </c>
      <c r="EM179" s="546">
        <f t="shared" si="173"/>
        <v>231</v>
      </c>
      <c r="EN179" s="551">
        <f t="shared" si="174"/>
        <v>62.983665729777357</v>
      </c>
      <c r="EO179" s="553">
        <f>EN179/PI()*SQRT('Hilfstabellen_Mat&amp;Bem'!f.Rd.3/'Hilfstabellen_Mat&amp;Bem'!$BD$30)</f>
        <v>1.0024161734941675</v>
      </c>
      <c r="EP179" s="553">
        <f>0.5*(1+'Hilfstabellen_Mat&amp;Bem'!$BD$31*(EO179-0.3)+EO179^2)</f>
        <v>1.0375399011160527</v>
      </c>
      <c r="EQ179" s="550">
        <f t="shared" si="175"/>
        <v>0.76615630968545334</v>
      </c>
      <c r="ES179" s="551">
        <f t="shared" si="176"/>
        <v>40882.866841125477</v>
      </c>
    </row>
    <row r="180" spans="3:149">
      <c r="C180" s="546">
        <v>232</v>
      </c>
      <c r="D180" s="551">
        <f t="shared" si="126"/>
        <v>41.808122941317727</v>
      </c>
      <c r="E180" s="553">
        <f>$D180/PI()*SQRT('Hilfstabellen_Mat&amp;Bem'!f.Rd.3/'Hilfstabellen_Mat&amp;Bem'!$BD$30)</f>
        <v>0.6653969427504387</v>
      </c>
      <c r="F180" s="553">
        <f>0.5*(1+'Hilfstabellen_Mat&amp;Bem'!$BD$31*($E180-0.3)+$E180^2)</f>
        <v>0.73964639284833722</v>
      </c>
      <c r="G180" s="550">
        <f t="shared" si="127"/>
        <v>0.94105408420703018</v>
      </c>
      <c r="I180" s="551">
        <f t="shared" si="128"/>
        <v>50651.295028359193</v>
      </c>
      <c r="M180" s="546">
        <f t="shared" si="129"/>
        <v>232</v>
      </c>
      <c r="N180" s="551">
        <f t="shared" si="118"/>
        <v>43.301270189221931</v>
      </c>
      <c r="O180" s="553">
        <f>$N180/PI()*SQRT('Hilfstabellen_Mat&amp;Bem'!f.Rd.3/'Hilfstabellen_Mat&amp;Bem'!$BD$30)</f>
        <v>0.68916111927724011</v>
      </c>
      <c r="P180" s="553">
        <f>0.5*(1+'Hilfstabellen_Mat&amp;Bem'!$BD$31*($O180-0.3)+$O180^2)</f>
        <v>0.75692958012559108</v>
      </c>
      <c r="Q180" s="550">
        <f t="shared" si="119"/>
        <v>0.9345986165714808</v>
      </c>
      <c r="S180" s="551">
        <f t="shared" si="130"/>
        <v>50303.835938343385</v>
      </c>
      <c r="W180" s="546">
        <f t="shared" si="131"/>
        <v>232</v>
      </c>
      <c r="X180" s="551">
        <f t="shared" si="120"/>
        <v>44.794417437126135</v>
      </c>
      <c r="Y180" s="553">
        <f>$X180/PI()*SQRT('Hilfstabellen_Mat&amp;Bem'!f.Rd.3/'Hilfstabellen_Mat&amp;Bem'!$BD$30)</f>
        <v>0.71292529580404151</v>
      </c>
      <c r="Z180" s="553">
        <f>0.5*(1+'Hilfstabellen_Mat&amp;Bem'!$BD$31*($Y180-0.3)+$Y180^2)</f>
        <v>0.77477750348884211</v>
      </c>
      <c r="AA180" s="550">
        <f t="shared" si="121"/>
        <v>0.92753906960148247</v>
      </c>
      <c r="AC180" s="551">
        <f t="shared" si="132"/>
        <v>49923.862882230191</v>
      </c>
      <c r="AG180" s="546">
        <f t="shared" si="133"/>
        <v>232</v>
      </c>
      <c r="AH180" s="551">
        <f t="shared" si="122"/>
        <v>46.28756468503034</v>
      </c>
      <c r="AI180" s="553">
        <f>$AH180/PI()*SQRT('Hilfstabellen_Mat&amp;Bem'!f.Rd.3/'Hilfstabellen_Mat&amp;Bem'!$BD$30)</f>
        <v>0.73668947233084292</v>
      </c>
      <c r="AJ180" s="553">
        <f>0.5*(1+'Hilfstabellen_Mat&amp;Bem'!$BD$31*($AI180-0.3)+$AI180^2)</f>
        <v>0.79319016293808997</v>
      </c>
      <c r="AK180" s="550">
        <f t="shared" si="123"/>
        <v>0.91979760388969445</v>
      </c>
      <c r="AM180" s="551">
        <f t="shared" si="134"/>
        <v>49507.186231758911</v>
      </c>
      <c r="AQ180" s="546">
        <f t="shared" si="135"/>
        <v>232</v>
      </c>
      <c r="AR180" s="551">
        <f t="shared" si="124"/>
        <v>47.780711932934537</v>
      </c>
      <c r="AS180" s="553">
        <f>$AR180/PI()*SQRT('Hilfstabellen_Mat&amp;Bem'!f.Rd.3/'Hilfstabellen_Mat&amp;Bem'!$BD$30)</f>
        <v>0.7604536488576441</v>
      </c>
      <c r="AT180" s="553">
        <f>0.5*(1+'Hilfstabellen_Mat&amp;Bem'!$BD$31*($AS180-0.3)+$AS180^2)</f>
        <v>0.81216755847333477</v>
      </c>
      <c r="AU180" s="550">
        <f t="shared" si="125"/>
        <v>0.9112901156667117</v>
      </c>
      <c r="AW180" s="551">
        <f t="shared" si="136"/>
        <v>49049.279185645093</v>
      </c>
      <c r="BA180" s="546">
        <f t="shared" si="137"/>
        <v>232</v>
      </c>
      <c r="BB180" s="551">
        <f t="shared" si="138"/>
        <v>49.273859180838748</v>
      </c>
      <c r="BC180" s="553">
        <f>$BB180/PI()*SQRT('Hilfstabellen_Mat&amp;Bem'!f.Rd.3/'Hilfstabellen_Mat&amp;Bem'!$BD$30)</f>
        <v>0.78421782538444562</v>
      </c>
      <c r="BD180" s="553">
        <f>0.5*(1+'Hilfstabellen_Mat&amp;Bem'!$BD$31*($BC180-0.3)+$BC180^2)</f>
        <v>0.83170969009457663</v>
      </c>
      <c r="BE180" s="550">
        <f t="shared" si="139"/>
        <v>0.90192820410343866</v>
      </c>
      <c r="BG180" s="551">
        <f t="shared" si="140"/>
        <v>48545.383657663486</v>
      </c>
      <c r="BK180" s="546">
        <f t="shared" si="141"/>
        <v>232</v>
      </c>
      <c r="BL180" s="551">
        <f t="shared" si="142"/>
        <v>50.767006428742953</v>
      </c>
      <c r="BM180" s="553">
        <f>$BL180/PI()*SQRT('Hilfstabellen_Mat&amp;Bem'!f.Rd.3/'Hilfstabellen_Mat&amp;Bem'!$BD$30)</f>
        <v>0.80798200191124703</v>
      </c>
      <c r="BN180" s="553">
        <f>0.5*(1+'Hilfstabellen_Mat&amp;Bem'!$BD$31*($BM180-0.3)+$BM180^2)</f>
        <v>0.85181655780181553</v>
      </c>
      <c r="BO180" s="550">
        <f t="shared" si="143"/>
        <v>0.89162260630909029</v>
      </c>
      <c r="BQ180" s="551">
        <f t="shared" si="144"/>
        <v>47990.695161980475</v>
      </c>
      <c r="BU180" s="546">
        <f t="shared" si="145"/>
        <v>232</v>
      </c>
      <c r="BV180" s="551">
        <f t="shared" si="146"/>
        <v>52.260153676647157</v>
      </c>
      <c r="BW180" s="553">
        <f>$BV180/PI()*SQRT('Hilfstabellen_Mat&amp;Bem'!f.Rd.3/'Hilfstabellen_Mat&amp;Bem'!$BD$30)</f>
        <v>0.83174617843804843</v>
      </c>
      <c r="BX180" s="553">
        <f>0.5*(1+'Hilfstabellen_Mat&amp;Bem'!$BD$31*($BW180-0.3)+$BW180^2)</f>
        <v>0.87248816159505138</v>
      </c>
      <c r="BY180" s="550">
        <f t="shared" si="147"/>
        <v>0.88028845703610448</v>
      </c>
      <c r="CA180" s="551">
        <f t="shared" si="148"/>
        <v>47380.645911511288</v>
      </c>
      <c r="CE180" s="546">
        <f t="shared" si="149"/>
        <v>232</v>
      </c>
      <c r="CF180" s="551">
        <f t="shared" si="150"/>
        <v>53.753300924551361</v>
      </c>
      <c r="CG180" s="553">
        <f>CF180/PI()*SQRT('Hilfstabellen_Mat&amp;Bem'!f.Rd.3/'Hilfstabellen_Mat&amp;Bem'!$BD$30)</f>
        <v>0.85551035496484973</v>
      </c>
      <c r="CH180" s="553">
        <f>0.5*(1+'Hilfstabellen_Mat&amp;Bem'!$BD$31*(CG180-0.3)+CG180^2)</f>
        <v>0.89372450147428406</v>
      </c>
      <c r="CI180" s="550">
        <f t="shared" si="151"/>
        <v>0.86785252809569868</v>
      </c>
      <c r="CK180" s="551">
        <f t="shared" si="152"/>
        <v>46711.294472222886</v>
      </c>
      <c r="CO180" s="546">
        <f t="shared" si="153"/>
        <v>232</v>
      </c>
      <c r="CP180" s="551">
        <f t="shared" si="154"/>
        <v>55.246448172455565</v>
      </c>
      <c r="CQ180" s="553">
        <f>CP180/PI()*SQRT('Hilfstabellen_Mat&amp;Bem'!f.Rd.3/'Hilfstabellen_Mat&amp;Bem'!$BD$30)</f>
        <v>0.87927453149165113</v>
      </c>
      <c r="CR180" s="553">
        <f>0.5*(1+'Hilfstabellen_Mat&amp;Bem'!$BD$31*(CQ180-0.3)+CQ180^2)</f>
        <v>0.9155255774395139</v>
      </c>
      <c r="CS180" s="550">
        <f t="shared" si="155"/>
        <v>0.85426217017695749</v>
      </c>
      <c r="CU180" s="551">
        <f t="shared" si="156"/>
        <v>45979.807047604561</v>
      </c>
      <c r="CY180" s="546">
        <f t="shared" si="157"/>
        <v>232</v>
      </c>
      <c r="CZ180" s="551">
        <f t="shared" si="158"/>
        <v>56.739595420359777</v>
      </c>
      <c r="DA180" s="553">
        <f>CZ180/PI()*SQRT('Hilfstabellen_Mat&amp;Bem'!f.Rd.3/'Hilfstabellen_Mat&amp;Bem'!$BD$30)</f>
        <v>0.90303870801845254</v>
      </c>
      <c r="DB180" s="553">
        <f>0.5*(1+'Hilfstabellen_Mat&amp;Bem'!$BD$31*(DA180-0.3)+DA180^2)</f>
        <v>0.93789138949074058</v>
      </c>
      <c r="DC180" s="550">
        <f t="shared" si="159"/>
        <v>0.83949501822397987</v>
      </c>
      <c r="DE180" s="551">
        <f t="shared" si="160"/>
        <v>45184.979860887492</v>
      </c>
      <c r="DI180" s="546">
        <f t="shared" si="161"/>
        <v>232</v>
      </c>
      <c r="DJ180" s="551">
        <f t="shared" si="162"/>
        <v>58.232742668263974</v>
      </c>
      <c r="DK180" s="553">
        <f>DJ180/PI()*SQRT('Hilfstabellen_Mat&amp;Bem'!f.Rd.3/'Hilfstabellen_Mat&amp;Bem'!$BD$30)</f>
        <v>0.92680288454525395</v>
      </c>
      <c r="DL180" s="553">
        <f>0.5*(1+'Hilfstabellen_Mat&amp;Bem'!$BD$31*(DK180-0.3)+DK180^2)</f>
        <v>0.96082193762796431</v>
      </c>
      <c r="DM180" s="550">
        <f t="shared" si="163"/>
        <v>0.82356778386238083</v>
      </c>
      <c r="DO180" s="551">
        <f t="shared" si="164"/>
        <v>44327.712398608783</v>
      </c>
      <c r="DS180" s="546">
        <f t="shared" si="165"/>
        <v>232</v>
      </c>
      <c r="DT180" s="551">
        <f t="shared" si="166"/>
        <v>59.725889916168185</v>
      </c>
      <c r="DU180" s="553">
        <f>DT180/PI()*SQRT('Hilfstabellen_Mat&amp;Bem'!f.Rd.3/'Hilfstabellen_Mat&amp;Bem'!$BD$30)</f>
        <v>0.95056706107205535</v>
      </c>
      <c r="DV180" s="553">
        <f>0.5*(1+'Hilfstabellen_Mat&amp;Bem'!$BD$31*(DU180-0.3)+DU180^2)</f>
        <v>0.98431722185118509</v>
      </c>
      <c r="DW180" s="550">
        <f t="shared" si="167"/>
        <v>0.80654198154921952</v>
      </c>
      <c r="DY180" s="551">
        <f t="shared" si="168"/>
        <v>43411.315614905194</v>
      </c>
      <c r="EC180" s="546">
        <f t="shared" si="169"/>
        <v>232</v>
      </c>
      <c r="ED180" s="551">
        <f t="shared" si="170"/>
        <v>61.219037164072382</v>
      </c>
      <c r="EE180" s="553">
        <f>ED180/PI()*SQRT('Hilfstabellen_Mat&amp;Bem'!f.Rd.3/'Hilfstabellen_Mat&amp;Bem'!$BD$30)</f>
        <v>0.97433123759885665</v>
      </c>
      <c r="EF180" s="553">
        <f>0.5*(1+'Hilfstabellen_Mat&amp;Bem'!$BD$31*(EE180-0.3)+EE180^2)</f>
        <v>1.0083772421604027</v>
      </c>
      <c r="EG180" s="550">
        <f t="shared" si="171"/>
        <v>0.78852462148565949</v>
      </c>
      <c r="EI180" s="551">
        <f t="shared" si="172"/>
        <v>42441.549226844138</v>
      </c>
      <c r="EM180" s="546">
        <f t="shared" si="173"/>
        <v>232</v>
      </c>
      <c r="EN180" s="551">
        <f t="shared" si="174"/>
        <v>62.712184411976587</v>
      </c>
      <c r="EO180" s="553">
        <f>EN180/PI()*SQRT('Hilfstabellen_Mat&amp;Bem'!f.Rd.3/'Hilfstabellen_Mat&amp;Bem'!$BD$30)</f>
        <v>0.99809541412565805</v>
      </c>
      <c r="EP180" s="553">
        <f>0.5*(1+'Hilfstabellen_Mat&amp;Bem'!$BD$31*(EO180-0.3)+EO180^2)</f>
        <v>1.0330019985556174</v>
      </c>
      <c r="EQ180" s="550">
        <f t="shared" si="175"/>
        <v>0.76966293708088884</v>
      </c>
      <c r="ES180" s="551">
        <f t="shared" si="176"/>
        <v>41426.33792544176</v>
      </c>
    </row>
    <row r="181" spans="3:149">
      <c r="C181" s="546">
        <v>233</v>
      </c>
      <c r="D181" s="551">
        <f t="shared" si="126"/>
        <v>41.628688937277737</v>
      </c>
      <c r="E181" s="553">
        <f>$D181/PI()*SQRT('Hilfstabellen_Mat&amp;Bem'!f.Rd.3/'Hilfstabellen_Mat&amp;Bem'!$BD$30)</f>
        <v>0.66254116188026524</v>
      </c>
      <c r="F181" s="553">
        <f>0.5*(1+'Hilfstabellen_Mat&amp;Bem'!$BD$31*($E181-0.3)+$E181^2)</f>
        <v>0.73760745368683922</v>
      </c>
      <c r="G181" s="550">
        <f t="shared" si="127"/>
        <v>0.94179262926512619</v>
      </c>
      <c r="I181" s="551">
        <f t="shared" si="128"/>
        <v>51128.980050174439</v>
      </c>
      <c r="M181" s="546">
        <f t="shared" si="129"/>
        <v>233</v>
      </c>
      <c r="N181" s="551">
        <f t="shared" si="118"/>
        <v>43.115427827894798</v>
      </c>
      <c r="O181" s="553">
        <f>$N181/PI()*SQRT('Hilfstabellen_Mat&amp;Bem'!f.Rd.3/'Hilfstabellen_Mat&amp;Bem'!$BD$30)</f>
        <v>0.68620334623313184</v>
      </c>
      <c r="P181" s="553">
        <f>0.5*(1+'Hilfstabellen_Mat&amp;Bem'!$BD$31*($O181-0.3)+$O181^2)</f>
        <v>0.75474768350243027</v>
      </c>
      <c r="Q181" s="550">
        <f t="shared" si="119"/>
        <v>0.93543348690819861</v>
      </c>
      <c r="S181" s="551">
        <f t="shared" si="130"/>
        <v>50783.748570759191</v>
      </c>
      <c r="W181" s="546">
        <f t="shared" si="131"/>
        <v>233</v>
      </c>
      <c r="X181" s="551">
        <f t="shared" si="120"/>
        <v>44.60216671851186</v>
      </c>
      <c r="Y181" s="553">
        <f>$X181/PI()*SQRT('Hilfstabellen_Mat&amp;Bem'!f.Rd.3/'Hilfstabellen_Mat&amp;Bem'!$BD$30)</f>
        <v>0.70986553058599844</v>
      </c>
      <c r="Z181" s="553">
        <f>0.5*(1+'Hilfstabellen_Mat&amp;Bem'!$BD$31*($Y181-0.3)+$Y181^2)</f>
        <v>0.77244781228637049</v>
      </c>
      <c r="AA181" s="550">
        <f t="shared" si="121"/>
        <v>0.92848456198643026</v>
      </c>
      <c r="AC181" s="551">
        <f t="shared" si="132"/>
        <v>50406.498385681312</v>
      </c>
      <c r="AG181" s="546">
        <f t="shared" si="133"/>
        <v>233</v>
      </c>
      <c r="AH181" s="551">
        <f t="shared" si="122"/>
        <v>46.088905609128922</v>
      </c>
      <c r="AI181" s="553">
        <f>$AH181/PI()*SQRT('Hilfstabellen_Mat&amp;Bem'!f.Rd.3/'Hilfstabellen_Mat&amp;Bem'!$BD$30)</f>
        <v>0.73352771493886504</v>
      </c>
      <c r="AJ181" s="553">
        <f>0.5*(1+'Hilfstabellen_Mat&amp;Bem'!$BD$31*($AI181-0.3)+$AI181^2)</f>
        <v>0.79070784003865979</v>
      </c>
      <c r="AK181" s="550">
        <f t="shared" si="123"/>
        <v>0.92086987615432292</v>
      </c>
      <c r="AM181" s="551">
        <f t="shared" si="134"/>
        <v>49993.104706542035</v>
      </c>
      <c r="AQ181" s="546">
        <f t="shared" si="135"/>
        <v>233</v>
      </c>
      <c r="AR181" s="551">
        <f t="shared" si="124"/>
        <v>47.575644499745984</v>
      </c>
      <c r="AS181" s="553">
        <f>$AR181/PI()*SQRT('Hilfstabellen_Mat&amp;Bem'!f.Rd.3/'Hilfstabellen_Mat&amp;Bem'!$BD$30)</f>
        <v>0.75718989929173164</v>
      </c>
      <c r="AT181" s="553">
        <f>0.5*(1+'Hilfstabellen_Mat&amp;Bem'!$BD$31*($AS181-0.3)+$AS181^2)</f>
        <v>0.80952776675929794</v>
      </c>
      <c r="AU181" s="550">
        <f t="shared" si="125"/>
        <v>0.91250712755380381</v>
      </c>
      <c r="AW181" s="551">
        <f t="shared" si="136"/>
        <v>49539.099447768458</v>
      </c>
      <c r="BA181" s="546">
        <f t="shared" si="137"/>
        <v>233</v>
      </c>
      <c r="BB181" s="551">
        <f t="shared" si="138"/>
        <v>49.062383390363046</v>
      </c>
      <c r="BC181" s="553">
        <f>$BB181/PI()*SQRT('Hilfstabellen_Mat&amp;Bem'!f.Rd.3/'Hilfstabellen_Mat&amp;Bem'!$BD$30)</f>
        <v>0.78085208364459824</v>
      </c>
      <c r="BD181" s="553">
        <f>0.5*(1+'Hilfstabellen_Mat&amp;Bem'!$BD$31*($BC181-0.3)+$BC181^2)</f>
        <v>0.82890759244828527</v>
      </c>
      <c r="BE181" s="550">
        <f t="shared" si="139"/>
        <v>0.90330945670668128</v>
      </c>
      <c r="BG181" s="551">
        <f t="shared" si="140"/>
        <v>49039.767095149022</v>
      </c>
      <c r="BK181" s="546">
        <f t="shared" si="141"/>
        <v>233</v>
      </c>
      <c r="BL181" s="551">
        <f t="shared" si="142"/>
        <v>50.549122280980107</v>
      </c>
      <c r="BM181" s="553">
        <f>$BL181/PI()*SQRT('Hilfstabellen_Mat&amp;Bem'!f.Rd.3/'Hilfstabellen_Mat&amp;Bem'!$BD$30)</f>
        <v>0.80451426799746484</v>
      </c>
      <c r="BN181" s="553">
        <f>0.5*(1+'Hilfstabellen_Mat&amp;Bem'!$BD$31*($BM181-0.3)+$BM181^2)</f>
        <v>0.84884731710562156</v>
      </c>
      <c r="BO181" s="550">
        <f t="shared" si="143"/>
        <v>0.89318859097637493</v>
      </c>
      <c r="BQ181" s="551">
        <f t="shared" si="144"/>
        <v>48490.315415516416</v>
      </c>
      <c r="BU181" s="546">
        <f t="shared" si="145"/>
        <v>233</v>
      </c>
      <c r="BV181" s="551">
        <f t="shared" si="146"/>
        <v>52.035861171597169</v>
      </c>
      <c r="BW181" s="553">
        <f>$BV181/PI()*SQRT('Hilfstabellen_Mat&amp;Bem'!f.Rd.3/'Hilfstabellen_Mat&amp;Bem'!$BD$30)</f>
        <v>0.82817645235033144</v>
      </c>
      <c r="BX181" s="553">
        <f>0.5*(1+'Hilfstabellen_Mat&amp;Bem'!$BD$31*($BW181-0.3)+$BW181^2)</f>
        <v>0.86934694073130692</v>
      </c>
      <c r="BY181" s="550">
        <f t="shared" si="147"/>
        <v>0.8820597271142534</v>
      </c>
      <c r="CA181" s="551">
        <f t="shared" si="148"/>
        <v>47886.140525305702</v>
      </c>
      <c r="CE181" s="546">
        <f t="shared" si="149"/>
        <v>233</v>
      </c>
      <c r="CF181" s="551">
        <f t="shared" si="150"/>
        <v>53.522600062214231</v>
      </c>
      <c r="CG181" s="553">
        <f>CF181/PI()*SQRT('Hilfstabellen_Mat&amp;Bem'!f.Rd.3/'Hilfstabellen_Mat&amp;Bem'!$BD$30)</f>
        <v>0.85183863670319804</v>
      </c>
      <c r="CH181" s="553">
        <f>0.5*(1+'Hilfstabellen_Mat&amp;Bem'!$BD$31*(CG181-0.3)+CG181^2)</f>
        <v>0.89040646332534135</v>
      </c>
      <c r="CI181" s="550">
        <f t="shared" si="151"/>
        <v>0.8698483424492629</v>
      </c>
      <c r="CK181" s="551">
        <f t="shared" si="152"/>
        <v>47223.196663228031</v>
      </c>
      <c r="CO181" s="546">
        <f t="shared" si="153"/>
        <v>233</v>
      </c>
      <c r="CP181" s="551">
        <f t="shared" si="154"/>
        <v>55.009338952831293</v>
      </c>
      <c r="CQ181" s="553">
        <f>CP181/PI()*SQRT('Hilfstabellen_Mat&amp;Bem'!f.Rd.3/'Hilfstabellen_Mat&amp;Bem'!$BD$30)</f>
        <v>0.87550082105606464</v>
      </c>
      <c r="CR181" s="553">
        <f>0.5*(1+'Hilfstabellen_Mat&amp;Bem'!$BD$31*(CQ181-0.3)+CQ181^2)</f>
        <v>0.91202588488772496</v>
      </c>
      <c r="CS181" s="550">
        <f t="shared" si="155"/>
        <v>0.8564987415231381</v>
      </c>
      <c r="CU181" s="551">
        <f t="shared" si="156"/>
        <v>46498.460178549642</v>
      </c>
      <c r="CY181" s="546">
        <f t="shared" si="157"/>
        <v>233</v>
      </c>
      <c r="CZ181" s="551">
        <f t="shared" si="158"/>
        <v>56.496077843448361</v>
      </c>
      <c r="DA181" s="553">
        <f>CZ181/PI()*SQRT('Hilfstabellen_Mat&amp;Bem'!f.Rd.3/'Hilfstabellen_Mat&amp;Bem'!$BD$30)</f>
        <v>0.89916300540893135</v>
      </c>
      <c r="DB181" s="553">
        <f>0.5*(1+'Hilfstabellen_Mat&amp;Bem'!$BD$31*(DA181-0.3)+DA181^2)</f>
        <v>0.93420520541845753</v>
      </c>
      <c r="DC181" s="550">
        <f t="shared" si="159"/>
        <v>0.84198353286779426</v>
      </c>
      <c r="DE181" s="551">
        <f t="shared" si="160"/>
        <v>45710.444015859684</v>
      </c>
      <c r="DI181" s="546">
        <f t="shared" si="161"/>
        <v>233</v>
      </c>
      <c r="DJ181" s="551">
        <f t="shared" si="162"/>
        <v>57.982816734065416</v>
      </c>
      <c r="DK181" s="553">
        <f>DJ181/PI()*SQRT('Hilfstabellen_Mat&amp;Bem'!f.Rd.3/'Hilfstabellen_Mat&amp;Bem'!$BD$30)</f>
        <v>0.92282518976179784</v>
      </c>
      <c r="DL181" s="553">
        <f>0.5*(1+'Hilfstabellen_Mat&amp;Bem'!$BD$31*(DK181-0.3)+DK181^2)</f>
        <v>0.95694442491753895</v>
      </c>
      <c r="DM181" s="550">
        <f t="shared" si="163"/>
        <v>0.82631251124716976</v>
      </c>
      <c r="DO181" s="551">
        <f t="shared" si="164"/>
        <v>44859.679923097596</v>
      </c>
      <c r="DS181" s="546">
        <f t="shared" si="165"/>
        <v>233</v>
      </c>
      <c r="DT181" s="551">
        <f t="shared" si="166"/>
        <v>59.469555624682471</v>
      </c>
      <c r="DU181" s="553">
        <f>DT181/PI()*SQRT('Hilfstabellen_Mat&amp;Bem'!f.Rd.3/'Hilfstabellen_Mat&amp;Bem'!$BD$30)</f>
        <v>0.94648737411466444</v>
      </c>
      <c r="DV181" s="553">
        <f>0.5*(1+'Hilfstabellen_Mat&amp;Bem'!$BD$31*(DU181-0.3)+DU181^2)</f>
        <v>0.98024354338496955</v>
      </c>
      <c r="DW181" s="550">
        <f t="shared" si="167"/>
        <v>0.80953889347391994</v>
      </c>
      <c r="DY181" s="551">
        <f t="shared" si="168"/>
        <v>43949.056987805641</v>
      </c>
      <c r="EC181" s="546">
        <f t="shared" si="169"/>
        <v>233</v>
      </c>
      <c r="ED181" s="551">
        <f t="shared" si="170"/>
        <v>60.956294515299547</v>
      </c>
      <c r="EE181" s="553">
        <f>ED181/PI()*SQRT('Hilfstabellen_Mat&amp;Bem'!f.Rd.3/'Hilfstabellen_Mat&amp;Bem'!$BD$30)</f>
        <v>0.97014955846753126</v>
      </c>
      <c r="EF181" s="553">
        <f>0.5*(1+'Hilfstabellen_Mat&amp;Bem'!$BD$31*(EE181-0.3)+EE181^2)</f>
        <v>1.0041025608207494</v>
      </c>
      <c r="EG181" s="550">
        <f t="shared" si="171"/>
        <v>0.79176091231259904</v>
      </c>
      <c r="EI181" s="551">
        <f t="shared" si="172"/>
        <v>42983.908168538692</v>
      </c>
      <c r="EM181" s="546">
        <f t="shared" si="173"/>
        <v>233</v>
      </c>
      <c r="EN181" s="551">
        <f t="shared" si="174"/>
        <v>62.443033405916601</v>
      </c>
      <c r="EO181" s="553">
        <f>EN181/PI()*SQRT('Hilfstabellen_Mat&amp;Bem'!f.Rd.3/'Hilfstabellen_Mat&amp;Bem'!$BD$30)</f>
        <v>0.99381174282039775</v>
      </c>
      <c r="EP181" s="553">
        <f>0.5*(1+'Hilfstabellen_Mat&amp;Bem'!$BD$31*(EO181-0.3)+EO181^2)</f>
        <v>1.0285214772248781</v>
      </c>
      <c r="EQ181" s="550">
        <f t="shared" si="175"/>
        <v>0.77311764501546765</v>
      </c>
      <c r="ES181" s="551">
        <f t="shared" si="176"/>
        <v>41971.78383024472</v>
      </c>
    </row>
    <row r="182" spans="3:149">
      <c r="C182" s="546">
        <v>234</v>
      </c>
      <c r="D182" s="551">
        <f t="shared" si="126"/>
        <v>41.4507885572039</v>
      </c>
      <c r="E182" s="553">
        <f>$D182/PI()*SQRT('Hilfstabellen_Mat&amp;Bem'!f.Rd.3/'Hilfstabellen_Mat&amp;Bem'!$BD$30)</f>
        <v>0.65970978939359737</v>
      </c>
      <c r="F182" s="553">
        <f>0.5*(1+'Hilfstabellen_Mat&amp;Bem'!$BD$31*($E182-0.3)+$E182^2)</f>
        <v>0.73559399258055214</v>
      </c>
      <c r="G182" s="550">
        <f t="shared" si="127"/>
        <v>0.9425173798123988</v>
      </c>
      <c r="I182" s="551">
        <f t="shared" si="128"/>
        <v>51608.481649007706</v>
      </c>
      <c r="M182" s="546">
        <f t="shared" si="129"/>
        <v>234</v>
      </c>
      <c r="N182" s="551">
        <f t="shared" si="118"/>
        <v>42.931173862818326</v>
      </c>
      <c r="O182" s="553">
        <f>$N182/PI()*SQRT('Hilfstabellen_Mat&amp;Bem'!f.Rd.3/'Hilfstabellen_Mat&amp;Bem'!$BD$30)</f>
        <v>0.68327085330051163</v>
      </c>
      <c r="P182" s="553">
        <f>0.5*(1+'Hilfstabellen_Mat&amp;Bem'!$BD$31*($O182-0.3)+$O182^2)</f>
        <v>0.75259307215003024</v>
      </c>
      <c r="Q182" s="550">
        <f t="shared" si="119"/>
        <v>0.93625213274603125</v>
      </c>
      <c r="S182" s="551">
        <f t="shared" si="130"/>
        <v>51265.421780641685</v>
      </c>
      <c r="W182" s="546">
        <f t="shared" si="131"/>
        <v>234</v>
      </c>
      <c r="X182" s="551">
        <f t="shared" si="120"/>
        <v>44.411559168432753</v>
      </c>
      <c r="Y182" s="553">
        <f>$X182/PI()*SQRT('Hilfstabellen_Mat&amp;Bem'!f.Rd.3/'Hilfstabellen_Mat&amp;Bem'!$BD$30)</f>
        <v>0.70683191720742578</v>
      </c>
      <c r="Z182" s="553">
        <f>0.5*(1+'Hilfstabellen_Mat&amp;Bem'!$BD$31*($Y182-0.3)+$Y182^2)</f>
        <v>0.77014727545193395</v>
      </c>
      <c r="AA182" s="550">
        <f t="shared" si="121"/>
        <v>0.92941099150532003</v>
      </c>
      <c r="AC182" s="551">
        <f t="shared" si="132"/>
        <v>50890.828250865306</v>
      </c>
      <c r="AG182" s="546">
        <f t="shared" si="133"/>
        <v>234</v>
      </c>
      <c r="AH182" s="551">
        <f t="shared" si="122"/>
        <v>45.891944474047172</v>
      </c>
      <c r="AI182" s="553">
        <f>$AH182/PI()*SQRT('Hilfstabellen_Mat&amp;Bem'!f.Rd.3/'Hilfstabellen_Mat&amp;Bem'!$BD$30)</f>
        <v>0.73039298111433992</v>
      </c>
      <c r="AJ182" s="553">
        <f>0.5*(1+'Hilfstabellen_Mat&amp;Bem'!$BD$31*($AI182-0.3)+$AI182^2)</f>
        <v>0.78825660248626328</v>
      </c>
      <c r="AK182" s="550">
        <f t="shared" si="123"/>
        <v>0.92191980443582899</v>
      </c>
      <c r="AM182" s="551">
        <f t="shared" si="134"/>
        <v>50480.640811688252</v>
      </c>
      <c r="AQ182" s="546">
        <f t="shared" si="135"/>
        <v>234</v>
      </c>
      <c r="AR182" s="551">
        <f t="shared" si="124"/>
        <v>47.372329779661598</v>
      </c>
      <c r="AS182" s="553">
        <f>$AR182/PI()*SQRT('Hilfstabellen_Mat&amp;Bem'!f.Rd.3/'Hilfstabellen_Mat&amp;Bem'!$BD$30)</f>
        <v>0.75395404502125407</v>
      </c>
      <c r="AT182" s="553">
        <f>0.5*(1+'Hilfstabellen_Mat&amp;Bem'!$BD$31*($AS182-0.3)+$AS182^2)</f>
        <v>0.80692105325301833</v>
      </c>
      <c r="AU182" s="550">
        <f t="shared" si="125"/>
        <v>0.91369805820039007</v>
      </c>
      <c r="AW182" s="551">
        <f t="shared" si="136"/>
        <v>50030.450874820555</v>
      </c>
      <c r="BA182" s="546">
        <f t="shared" si="137"/>
        <v>234</v>
      </c>
      <c r="BB182" s="551">
        <f t="shared" si="138"/>
        <v>48.852715085276024</v>
      </c>
      <c r="BC182" s="553">
        <f>$BB182/PI()*SQRT('Hilfstabellen_Mat&amp;Bem'!f.Rd.3/'Hilfstabellen_Mat&amp;Bem'!$BD$30)</f>
        <v>0.77751510892816833</v>
      </c>
      <c r="BD182" s="553">
        <f>0.5*(1+'Hilfstabellen_Mat&amp;Bem'!$BD$31*($BC182-0.3)+$BC182^2)</f>
        <v>0.82614062775219921</v>
      </c>
      <c r="BE182" s="550">
        <f t="shared" si="139"/>
        <v>0.90466045793697458</v>
      </c>
      <c r="BG182" s="551">
        <f t="shared" si="140"/>
        <v>49535.58803479698</v>
      </c>
      <c r="BK182" s="546">
        <f t="shared" si="141"/>
        <v>234</v>
      </c>
      <c r="BL182" s="551">
        <f t="shared" si="142"/>
        <v>50.333100390890451</v>
      </c>
      <c r="BM182" s="553">
        <f>$BL182/PI()*SQRT('Hilfstabellen_Mat&amp;Bem'!f.Rd.3/'Hilfstabellen_Mat&amp;Bem'!$BD$30)</f>
        <v>0.80107617283508259</v>
      </c>
      <c r="BN182" s="553">
        <f>0.5*(1+'Hilfstabellen_Mat&amp;Bem'!$BD$31*($BM182-0.3)+$BM182^2)</f>
        <v>0.8459153259838057</v>
      </c>
      <c r="BO182" s="550">
        <f t="shared" si="143"/>
        <v>0.89471980065621581</v>
      </c>
      <c r="BQ182" s="551">
        <f t="shared" si="144"/>
        <v>48991.277404731751</v>
      </c>
      <c r="BU182" s="546">
        <f t="shared" si="145"/>
        <v>234</v>
      </c>
      <c r="BV182" s="551">
        <f t="shared" si="146"/>
        <v>51.813485696504877</v>
      </c>
      <c r="BW182" s="553">
        <f>$BV182/PI()*SQRT('Hilfstabellen_Mat&amp;Bem'!f.Rd.3/'Hilfstabellen_Mat&amp;Bem'!$BD$30)</f>
        <v>0.82463723674199674</v>
      </c>
      <c r="BX182" s="553">
        <f>0.5*(1+'Hilfstabellen_Mat&amp;Bem'!$BD$31*($BW182-0.3)+$BW182^2)</f>
        <v>0.8662451479478378</v>
      </c>
      <c r="BY182" s="550">
        <f t="shared" si="147"/>
        <v>0.88379150076126867</v>
      </c>
      <c r="CA182" s="551">
        <f t="shared" si="148"/>
        <v>48392.887415684025</v>
      </c>
      <c r="CE182" s="546">
        <f t="shared" si="149"/>
        <v>234</v>
      </c>
      <c r="CF182" s="551">
        <f t="shared" si="150"/>
        <v>53.293871002119303</v>
      </c>
      <c r="CG182" s="553">
        <f>CF182/PI()*SQRT('Hilfstabellen_Mat&amp;Bem'!f.Rd.3/'Hilfstabellen_Mat&amp;Bem'!$BD$30)</f>
        <v>0.848198300648911</v>
      </c>
      <c r="CH182" s="553">
        <f>0.5*(1+'Hilfstabellen_Mat&amp;Bem'!$BD$31*(CG182-0.3)+CG182^2)</f>
        <v>0.88713009364429585</v>
      </c>
      <c r="CI182" s="550">
        <f t="shared" si="151"/>
        <v>0.871799987092294</v>
      </c>
      <c r="CK182" s="551">
        <f t="shared" si="152"/>
        <v>47736.28009322565</v>
      </c>
      <c r="CO182" s="546">
        <f t="shared" si="153"/>
        <v>234</v>
      </c>
      <c r="CP182" s="551">
        <f t="shared" si="154"/>
        <v>54.774256307733722</v>
      </c>
      <c r="CQ182" s="553">
        <f>CP182/PI()*SQRT('Hilfstabellen_Mat&amp;Bem'!f.Rd.3/'Hilfstabellen_Mat&amp;Bem'!$BD$30)</f>
        <v>0.87175936455582503</v>
      </c>
      <c r="CR182" s="553">
        <f>0.5*(1+'Hilfstabellen_Mat&amp;Bem'!$BD$31*(CQ182-0.3)+CQ182^2)</f>
        <v>0.90857016307317906</v>
      </c>
      <c r="CS182" s="550">
        <f t="shared" si="155"/>
        <v>0.85868685225237507</v>
      </c>
      <c r="CU182" s="551">
        <f t="shared" si="156"/>
        <v>47018.257281931052</v>
      </c>
      <c r="CY182" s="546">
        <f t="shared" si="157"/>
        <v>234</v>
      </c>
      <c r="CZ182" s="551">
        <f t="shared" si="158"/>
        <v>56.254641613348149</v>
      </c>
      <c r="DA182" s="553">
        <f>CZ182/PI()*SQRT('Hilfstabellen_Mat&amp;Bem'!f.Rd.3/'Hilfstabellen_Mat&amp;Bem'!$BD$30)</f>
        <v>0.89532042846273918</v>
      </c>
      <c r="DB182" s="553">
        <f>0.5*(1+'Hilfstabellen_Mat&amp;Bem'!$BD$31*(DA182-0.3)+DA182^2)</f>
        <v>0.93056535623448844</v>
      </c>
      <c r="DC182" s="550">
        <f t="shared" si="159"/>
        <v>0.84442007193356716</v>
      </c>
      <c r="DE182" s="551">
        <f t="shared" si="160"/>
        <v>46237.065458794401</v>
      </c>
      <c r="DI182" s="546">
        <f t="shared" si="161"/>
        <v>234</v>
      </c>
      <c r="DJ182" s="551">
        <f t="shared" si="162"/>
        <v>57.735026918962575</v>
      </c>
      <c r="DK182" s="553">
        <f>DJ182/PI()*SQRT('Hilfstabellen_Mat&amp;Bem'!f.Rd.3/'Hilfstabellen_Mat&amp;Bem'!$BD$30)</f>
        <v>0.91888149236965355</v>
      </c>
      <c r="DL182" s="553">
        <f>0.5*(1+'Hilfstabellen_Mat&amp;Bem'!$BD$31*(DK182-0.3)+DK182^2)</f>
        <v>0.95311567312822354</v>
      </c>
      <c r="DM182" s="550">
        <f t="shared" si="163"/>
        <v>0.8290029172295762</v>
      </c>
      <c r="DO182" s="551">
        <f t="shared" si="164"/>
        <v>45392.883735822674</v>
      </c>
      <c r="DS182" s="546">
        <f t="shared" si="165"/>
        <v>234</v>
      </c>
      <c r="DT182" s="551">
        <f t="shared" si="166"/>
        <v>59.215412224576994</v>
      </c>
      <c r="DU182" s="553">
        <f>DT182/PI()*SQRT('Hilfstabellen_Mat&amp;Bem'!f.Rd.3/'Hilfstabellen_Mat&amp;Bem'!$BD$30)</f>
        <v>0.94244255627656759</v>
      </c>
      <c r="DV182" s="553">
        <f>0.5*(1+'Hilfstabellen_Mat&amp;Bem'!$BD$31*(DU182-0.3)+DU182^2)</f>
        <v>0.97622111375438403</v>
      </c>
      <c r="DW182" s="550">
        <f t="shared" si="167"/>
        <v>0.81248061924011106</v>
      </c>
      <c r="DY182" s="551">
        <f t="shared" si="168"/>
        <v>44488.188787111518</v>
      </c>
      <c r="EC182" s="546">
        <f t="shared" si="169"/>
        <v>234</v>
      </c>
      <c r="ED182" s="551">
        <f t="shared" si="170"/>
        <v>60.695797530191427</v>
      </c>
      <c r="EE182" s="553">
        <f>ED182/PI()*SQRT('Hilfstabellen_Mat&amp;Bem'!f.Rd.3/'Hilfstabellen_Mat&amp;Bem'!$BD$30)</f>
        <v>0.96600362018348196</v>
      </c>
      <c r="EF182" s="553">
        <f>0.5*(1+'Hilfstabellen_Mat&amp;Bem'!$BD$31*(EE182-0.3)+EE182^2)</f>
        <v>0.99988167811297046</v>
      </c>
      <c r="EG182" s="550">
        <f t="shared" si="171"/>
        <v>0.7949427872584609</v>
      </c>
      <c r="EI182" s="551">
        <f t="shared" si="172"/>
        <v>43527.887259124283</v>
      </c>
      <c r="EM182" s="546">
        <f t="shared" si="173"/>
        <v>234</v>
      </c>
      <c r="EN182" s="551">
        <f t="shared" si="174"/>
        <v>62.176182835805847</v>
      </c>
      <c r="EO182" s="553">
        <f>EN182/PI()*SQRT('Hilfstabellen_Mat&amp;Bem'!f.Rd.3/'Hilfstabellen_Mat&amp;Bem'!$BD$30)</f>
        <v>0.989564684090396</v>
      </c>
      <c r="EP182" s="553">
        <f>0.5*(1+'Hilfstabellen_Mat&amp;Bem'!$BD$31*(EO182-0.3)+EO182^2)</f>
        <v>1.0240973662039825</v>
      </c>
      <c r="EQ182" s="550">
        <f t="shared" si="175"/>
        <v>0.77652029671503187</v>
      </c>
      <c r="ES182" s="551">
        <f t="shared" si="176"/>
        <v>42519.145366928286</v>
      </c>
    </row>
    <row r="183" spans="3:149">
      <c r="C183" s="546">
        <v>235</v>
      </c>
      <c r="D183" s="551">
        <f t="shared" si="126"/>
        <v>41.274402222917921</v>
      </c>
      <c r="E183" s="553">
        <f>$D183/PI()*SQRT('Hilfstabellen_Mat&amp;Bem'!f.Rd.3/'Hilfstabellen_Mat&amp;Bem'!$BD$30)</f>
        <v>0.65690251369405006</v>
      </c>
      <c r="F183" s="553">
        <f>0.5*(1+'Hilfstabellen_Mat&amp;Bem'!$BD$31*($E183-0.3)+$E183^2)</f>
        <v>0.73360558193348335</v>
      </c>
      <c r="G183" s="550">
        <f t="shared" si="127"/>
        <v>0.94322871669776931</v>
      </c>
      <c r="I183" s="551">
        <f t="shared" si="128"/>
        <v>52089.80587963431</v>
      </c>
      <c r="M183" s="546">
        <f t="shared" si="129"/>
        <v>235</v>
      </c>
      <c r="N183" s="551">
        <f t="shared" si="118"/>
        <v>42.748488016593569</v>
      </c>
      <c r="O183" s="553">
        <f>$N183/PI()*SQRT('Hilfstabellen_Mat&amp;Bem'!f.Rd.3/'Hilfstabellen_Mat&amp;Bem'!$BD$30)</f>
        <v>0.68036331775455194</v>
      </c>
      <c r="P183" s="553">
        <f>0.5*(1+'Hilfstabellen_Mat&amp;Bem'!$BD$31*($O183-0.3)+$O183^2)</f>
        <v>0.75046528796071832</v>
      </c>
      <c r="Q183" s="550">
        <f t="shared" si="119"/>
        <v>0.93705501220136933</v>
      </c>
      <c r="S183" s="551">
        <f t="shared" si="130"/>
        <v>51748.863048820618</v>
      </c>
      <c r="W183" s="546">
        <f t="shared" si="131"/>
        <v>235</v>
      </c>
      <c r="X183" s="551">
        <f t="shared" si="120"/>
        <v>44.222573810269203</v>
      </c>
      <c r="Y183" s="553">
        <f>$X183/PI()*SQRT('Hilfstabellen_Mat&amp;Bem'!f.Rd.3/'Hilfstabellen_Mat&amp;Bem'!$BD$30)</f>
        <v>0.7038241218150536</v>
      </c>
      <c r="Z183" s="553">
        <f>0.5*(1+'Hilfstabellen_Mat&amp;Bem'!$BD$31*($Y183-0.3)+$Y183^2)</f>
        <v>0.76787540331511839</v>
      </c>
      <c r="AA183" s="550">
        <f t="shared" si="121"/>
        <v>0.93031890550863872</v>
      </c>
      <c r="AC183" s="551">
        <f t="shared" si="132"/>
        <v>51376.861556714575</v>
      </c>
      <c r="AG183" s="546">
        <f t="shared" si="133"/>
        <v>235</v>
      </c>
      <c r="AH183" s="551">
        <f t="shared" si="122"/>
        <v>45.696659603944845</v>
      </c>
      <c r="AI183" s="553">
        <f>$AH183/PI()*SQRT('Hilfstabellen_Mat&amp;Bem'!f.Rd.3/'Hilfstabellen_Mat&amp;Bem'!$BD$30)</f>
        <v>0.72728492587555549</v>
      </c>
      <c r="AJ183" s="553">
        <f>0.5*(1+'Hilfstabellen_Mat&amp;Bem'!$BD$31*($AI183-0.3)+$AI183^2)</f>
        <v>0.78583592799668389</v>
      </c>
      <c r="AK183" s="550">
        <f t="shared" si="123"/>
        <v>0.92294803627851618</v>
      </c>
      <c r="AM183" s="551">
        <f t="shared" si="134"/>
        <v>50969.805303481058</v>
      </c>
      <c r="AQ183" s="546">
        <f t="shared" si="135"/>
        <v>235</v>
      </c>
      <c r="AR183" s="551">
        <f t="shared" si="124"/>
        <v>47.170745397620486</v>
      </c>
      <c r="AS183" s="553">
        <f>$AR183/PI()*SQRT('Hilfstabellen_Mat&amp;Bem'!f.Rd.3/'Hilfstabellen_Mat&amp;Bem'!$BD$30)</f>
        <v>0.75074572993605726</v>
      </c>
      <c r="AT183" s="553">
        <f>0.5*(1+'Hilfstabellen_Mat&amp;Bem'!$BD$31*($AS183-0.3)+$AS183^2)</f>
        <v>0.80434686200541461</v>
      </c>
      <c r="AU183" s="550">
        <f t="shared" si="125"/>
        <v>0.91486366312000222</v>
      </c>
      <c r="AW183" s="551">
        <f t="shared" si="136"/>
        <v>50523.345795802124</v>
      </c>
      <c r="BA183" s="546">
        <f t="shared" si="137"/>
        <v>235</v>
      </c>
      <c r="BB183" s="551">
        <f t="shared" si="138"/>
        <v>48.64483119129612</v>
      </c>
      <c r="BC183" s="553">
        <f>$BB183/PI()*SQRT('Hilfstabellen_Mat&amp;Bem'!f.Rd.3/'Hilfstabellen_Mat&amp;Bem'!$BD$30)</f>
        <v>0.77420653399655892</v>
      </c>
      <c r="BD183" s="553">
        <f>0.5*(1+'Hilfstabellen_Mat&amp;Bem'!$BD$31*($BC183-0.3)+$BC183^2)</f>
        <v>0.82340820534131043</v>
      </c>
      <c r="BE183" s="550">
        <f t="shared" si="139"/>
        <v>0.9059820726624872</v>
      </c>
      <c r="BG183" s="551">
        <f t="shared" si="140"/>
        <v>50032.859962785857</v>
      </c>
      <c r="BK183" s="546">
        <f t="shared" si="141"/>
        <v>235</v>
      </c>
      <c r="BL183" s="551">
        <f t="shared" si="142"/>
        <v>50.118916984971769</v>
      </c>
      <c r="BM183" s="553">
        <f>$BL183/PI()*SQRT('Hilfstabellen_Mat&amp;Bem'!f.Rd.3/'Hilfstabellen_Mat&amp;Bem'!$BD$30)</f>
        <v>0.79766733805706092</v>
      </c>
      <c r="BN183" s="553">
        <f>0.5*(1+'Hilfstabellen_Mat&amp;Bem'!$BD$31*($BM183-0.3)+$BM183^2)</f>
        <v>0.84301995800437179</v>
      </c>
      <c r="BO183" s="550">
        <f t="shared" si="143"/>
        <v>0.8962172004063278</v>
      </c>
      <c r="BQ183" s="551">
        <f t="shared" si="144"/>
        <v>49493.594892439454</v>
      </c>
      <c r="BU183" s="546">
        <f t="shared" si="145"/>
        <v>235</v>
      </c>
      <c r="BV183" s="551">
        <f t="shared" si="146"/>
        <v>51.593002778647403</v>
      </c>
      <c r="BW183" s="553">
        <f>$BV183/PI()*SQRT('Hilfstabellen_Mat&amp;Bem'!f.Rd.3/'Hilfstabellen_Mat&amp;Bem'!$BD$30)</f>
        <v>0.82112814211756258</v>
      </c>
      <c r="BX183" s="553">
        <f>0.5*(1+'Hilfstabellen_Mat&amp;Bem'!$BD$31*($BW183-0.3)+$BW183^2)</f>
        <v>0.86318211999459815</v>
      </c>
      <c r="BY183" s="550">
        <f t="shared" si="147"/>
        <v>0.8854848189785719</v>
      </c>
      <c r="CA183" s="551">
        <f t="shared" si="148"/>
        <v>48900.899128091631</v>
      </c>
      <c r="CE183" s="546">
        <f t="shared" si="149"/>
        <v>235</v>
      </c>
      <c r="CF183" s="551">
        <f t="shared" si="150"/>
        <v>53.067088572323051</v>
      </c>
      <c r="CG183" s="553">
        <f>CF183/PI()*SQRT('Hilfstabellen_Mat&amp;Bem'!f.Rd.3/'Hilfstabellen_Mat&amp;Bem'!$BD$30)</f>
        <v>0.84458894617806457</v>
      </c>
      <c r="CH183" s="553">
        <f>0.5*(1+'Hilfstabellen_Mat&amp;Bem'!$BD$31*(CG183-0.3)+CG183^2)</f>
        <v>0.88389469131199006</v>
      </c>
      <c r="CI183" s="550">
        <f t="shared" si="151"/>
        <v>0.87370853609731336</v>
      </c>
      <c r="CK183" s="551">
        <f t="shared" si="152"/>
        <v>48250.553905974128</v>
      </c>
      <c r="CO183" s="546">
        <f t="shared" si="153"/>
        <v>235</v>
      </c>
      <c r="CP183" s="551">
        <f t="shared" si="154"/>
        <v>54.541174365998685</v>
      </c>
      <c r="CQ183" s="553">
        <f>CP183/PI()*SQRT('Hilfstabellen_Mat&amp;Bem'!f.Rd.3/'Hilfstabellen_Mat&amp;Bem'!$BD$30)</f>
        <v>0.86804975023856612</v>
      </c>
      <c r="CR183" s="553">
        <f>0.5*(1+'Hilfstabellen_Mat&amp;Bem'!$BD$31*(CQ183-0.3)+CQ183^2)</f>
        <v>0.90515767195654684</v>
      </c>
      <c r="CS183" s="550">
        <f t="shared" si="155"/>
        <v>0.86082754755489144</v>
      </c>
      <c r="CU183" s="551">
        <f t="shared" si="156"/>
        <v>47539.201313718877</v>
      </c>
      <c r="CY183" s="546">
        <f t="shared" si="157"/>
        <v>235</v>
      </c>
      <c r="CZ183" s="551">
        <f t="shared" si="158"/>
        <v>56.015260159674327</v>
      </c>
      <c r="DA183" s="553">
        <f>CZ183/PI()*SQRT('Hilfstabellen_Mat&amp;Bem'!f.Rd.3/'Hilfstabellen_Mat&amp;Bem'!$BD$30)</f>
        <v>0.89151055429906811</v>
      </c>
      <c r="DB183" s="553">
        <f>0.5*(1+'Hilfstabellen_Mat&amp;Bem'!$BD$31*(DA183-0.3)+DA183^2)</f>
        <v>0.92697106192826928</v>
      </c>
      <c r="DC183" s="550">
        <f t="shared" si="159"/>
        <v>0.84680557554421287</v>
      </c>
      <c r="DE183" s="551">
        <f t="shared" si="160"/>
        <v>46764.837909429159</v>
      </c>
      <c r="DI183" s="546">
        <f t="shared" si="161"/>
        <v>235</v>
      </c>
      <c r="DJ183" s="551">
        <f t="shared" si="162"/>
        <v>57.489345953349961</v>
      </c>
      <c r="DK183" s="553">
        <f>DJ183/PI()*SQRT('Hilfstabellen_Mat&amp;Bem'!f.Rd.3/'Hilfstabellen_Mat&amp;Bem'!$BD$30)</f>
        <v>0.91497135835956966</v>
      </c>
      <c r="DL183" s="553">
        <f>0.5*(1+'Hilfstabellen_Mat&amp;Bem'!$BD$31*(DK183-0.3)+DK183^2)</f>
        <v>0.9493348612271566</v>
      </c>
      <c r="DM183" s="550">
        <f t="shared" si="163"/>
        <v>0.83163975751269081</v>
      </c>
      <c r="DO183" s="551">
        <f t="shared" si="164"/>
        <v>45927.305608638351</v>
      </c>
      <c r="DS183" s="546">
        <f t="shared" si="165"/>
        <v>235</v>
      </c>
      <c r="DT183" s="551">
        <f t="shared" si="166"/>
        <v>58.963431747025602</v>
      </c>
      <c r="DU183" s="553">
        <f>DT183/PI()*SQRT('Hilfstabellen_Mat&amp;Bem'!f.Rd.3/'Hilfstabellen_Mat&amp;Bem'!$BD$30)</f>
        <v>0.93843216242007144</v>
      </c>
      <c r="DV183" s="553">
        <f>0.5*(1+'Hilfstabellen_Mat&amp;Bem'!$BD$31*(DU183-0.3)+DU183^2)</f>
        <v>0.97224906985320914</v>
      </c>
      <c r="DW183" s="550">
        <f t="shared" si="167"/>
        <v>0.81536766299625374</v>
      </c>
      <c r="DY183" s="551">
        <f t="shared" si="168"/>
        <v>45028.679188968112</v>
      </c>
      <c r="EC183" s="546">
        <f t="shared" si="169"/>
        <v>235</v>
      </c>
      <c r="ED183" s="551">
        <f t="shared" si="170"/>
        <v>60.437517540701251</v>
      </c>
      <c r="EE183" s="553">
        <f>ED183/PI()*SQRT('Hilfstabellen_Mat&amp;Bem'!f.Rd.3/'Hilfstabellen_Mat&amp;Bem'!$BD$30)</f>
        <v>0.96189296648057343</v>
      </c>
      <c r="EF183" s="553">
        <f>0.5*(1+'Hilfstabellen_Mat&amp;Bem'!$BD$31*(EE183-0.3)+EE183^2)</f>
        <v>0.99571368780642744</v>
      </c>
      <c r="EG183" s="550">
        <f t="shared" si="171"/>
        <v>0.79807045881382233</v>
      </c>
      <c r="EI183" s="551">
        <f t="shared" si="172"/>
        <v>44073.441087993335</v>
      </c>
      <c r="EM183" s="546">
        <f t="shared" si="173"/>
        <v>235</v>
      </c>
      <c r="EN183" s="551">
        <f t="shared" si="174"/>
        <v>61.911603334376878</v>
      </c>
      <c r="EO183" s="553">
        <f>EN183/PI()*SQRT('Hilfstabellen_Mat&amp;Bem'!f.Rd.3/'Hilfstabellen_Mat&amp;Bem'!$BD$30)</f>
        <v>0.98535377054107498</v>
      </c>
      <c r="EP183" s="553">
        <f>0.5*(1+'Hilfstabellen_Mat&amp;Bem'!$BD$31*(EO183-0.3)+EO183^2)</f>
        <v>1.0197287150868104</v>
      </c>
      <c r="EQ183" s="550">
        <f t="shared" si="175"/>
        <v>0.7798708083952024</v>
      </c>
      <c r="ES183" s="551">
        <f t="shared" si="176"/>
        <v>43068.365393625056</v>
      </c>
    </row>
    <row r="184" spans="3:149">
      <c r="C184" s="546">
        <v>236</v>
      </c>
      <c r="D184" s="551">
        <f t="shared" si="126"/>
        <v>41.09951068807505</v>
      </c>
      <c r="E184" s="553">
        <f>$D184/PI()*SQRT('Hilfstabellen_Mat&amp;Bem'!f.Rd.3/'Hilfstabellen_Mat&amp;Bem'!$BD$30)</f>
        <v>0.65411902846653291</v>
      </c>
      <c r="F184" s="553">
        <f>0.5*(1+'Hilfstabellen_Mat&amp;Bem'!$BD$31*($E184-0.3)+$E184^2)</f>
        <v>0.73164180312432714</v>
      </c>
      <c r="G184" s="550">
        <f t="shared" si="127"/>
        <v>0.94392700759369352</v>
      </c>
      <c r="I184" s="551">
        <f t="shared" si="128"/>
        <v>52572.958614938354</v>
      </c>
      <c r="M184" s="546">
        <f t="shared" si="129"/>
        <v>236</v>
      </c>
      <c r="N184" s="551">
        <f t="shared" si="118"/>
        <v>42.567350355506306</v>
      </c>
      <c r="O184" s="553">
        <f>$N184/PI()*SQRT('Hilfstabellen_Mat&amp;Bem'!f.Rd.3/'Hilfstabellen_Mat&amp;Bem'!$BD$30)</f>
        <v>0.67748042234033778</v>
      </c>
      <c r="P184" s="553">
        <f>0.5*(1+'Hilfstabellen_Mat&amp;Bem'!$BD$31*($O184-0.3)+$O184^2)</f>
        <v>0.74836388244423813</v>
      </c>
      <c r="Q184" s="550">
        <f t="shared" si="119"/>
        <v>0.93784256747701999</v>
      </c>
      <c r="S184" s="551">
        <f t="shared" si="130"/>
        <v>52234.079638200106</v>
      </c>
      <c r="W184" s="546">
        <f t="shared" si="131"/>
        <v>236</v>
      </c>
      <c r="X184" s="551">
        <f t="shared" si="120"/>
        <v>44.035190022937556</v>
      </c>
      <c r="Y184" s="553">
        <f>$X184/PI()*SQRT('Hilfstabellen_Mat&amp;Bem'!f.Rd.3/'Hilfstabellen_Mat&amp;Bem'!$BD$30)</f>
        <v>0.70084181621414254</v>
      </c>
      <c r="Z184" s="553">
        <f>0.5*(1+'Hilfstabellen_Mat&amp;Bem'!$BD$31*($Y184-0.3)+$Y184^2)</f>
        <v>0.76563171648787609</v>
      </c>
      <c r="AA184" s="550">
        <f t="shared" si="121"/>
        <v>0.93120883246160091</v>
      </c>
      <c r="AC184" s="551">
        <f t="shared" si="132"/>
        <v>51864.607132781326</v>
      </c>
      <c r="AG184" s="546">
        <f t="shared" si="133"/>
        <v>236</v>
      </c>
      <c r="AH184" s="551">
        <f t="shared" si="122"/>
        <v>45.503029690368805</v>
      </c>
      <c r="AI184" s="553">
        <f>$AH184/PI()*SQRT('Hilfstabellen_Mat&amp;Bem'!f.Rd.3/'Hilfstabellen_Mat&amp;Bem'!$BD$30)</f>
        <v>0.72420321008794719</v>
      </c>
      <c r="AJ184" s="553">
        <f>0.5*(1+'Hilfstabellen_Mat&amp;Bem'!$BD$31*($AI184-0.3)+$AI184^2)</f>
        <v>0.78344530525524103</v>
      </c>
      <c r="AK184" s="550">
        <f t="shared" si="123"/>
        <v>0.92395519736469556</v>
      </c>
      <c r="AM184" s="551">
        <f t="shared" si="134"/>
        <v>51460.608672424081</v>
      </c>
      <c r="AQ184" s="546">
        <f t="shared" si="135"/>
        <v>236</v>
      </c>
      <c r="AR184" s="551">
        <f t="shared" si="124"/>
        <v>46.970869357800055</v>
      </c>
      <c r="AS184" s="553">
        <f>$AR184/PI()*SQRT('Hilfstabellen_Mat&amp;Bem'!f.Rd.3/'Hilfstabellen_Mat&amp;Bem'!$BD$30)</f>
        <v>0.74756460396175184</v>
      </c>
      <c r="AT184" s="553">
        <f>0.5*(1+'Hilfstabellen_Mat&amp;Bem'!$BD$31*($AS184-0.3)+$AS184^2)</f>
        <v>0.80180464874633306</v>
      </c>
      <c r="AU184" s="550">
        <f t="shared" si="125"/>
        <v>0.91600467339476555</v>
      </c>
      <c r="AW184" s="551">
        <f t="shared" si="136"/>
        <v>51017.796289394864</v>
      </c>
      <c r="BA184" s="546">
        <f t="shared" si="137"/>
        <v>236</v>
      </c>
      <c r="BB184" s="551">
        <f t="shared" si="138"/>
        <v>48.438709025231312</v>
      </c>
      <c r="BC184" s="553">
        <f>$BB184/PI()*SQRT('Hilfstabellen_Mat&amp;Bem'!f.Rd.3/'Hilfstabellen_Mat&amp;Bem'!$BD$30)</f>
        <v>0.77092599783555671</v>
      </c>
      <c r="BD184" s="553">
        <f>0.5*(1+'Hilfstabellen_Mat&amp;Bem'!$BD$31*($BC184-0.3)+$BC184^2)</f>
        <v>0.82070974696115218</v>
      </c>
      <c r="BE184" s="550">
        <f t="shared" si="139"/>
        <v>0.90727513980000318</v>
      </c>
      <c r="BG184" s="551">
        <f t="shared" si="140"/>
        <v>50531.59618630098</v>
      </c>
      <c r="BK184" s="546">
        <f t="shared" si="141"/>
        <v>236</v>
      </c>
      <c r="BL184" s="551">
        <f t="shared" si="142"/>
        <v>49.906548692662568</v>
      </c>
      <c r="BM184" s="553">
        <f>$BL184/PI()*SQRT('Hilfstabellen_Mat&amp;Bem'!f.Rd.3/'Hilfstabellen_Mat&amp;Bem'!$BD$30)</f>
        <v>0.79428739170936158</v>
      </c>
      <c r="BN184" s="553">
        <f>0.5*(1+'Hilfstabellen_Mat&amp;Bem'!$BD$31*($BM184-0.3)+$BM184^2)</f>
        <v>0.8401605998996986</v>
      </c>
      <c r="BO184" s="550">
        <f t="shared" si="143"/>
        <v>0.89768172973369553</v>
      </c>
      <c r="BQ184" s="551">
        <f t="shared" si="144"/>
        <v>49997.281619247908</v>
      </c>
      <c r="BU184" s="546">
        <f t="shared" si="145"/>
        <v>236</v>
      </c>
      <c r="BV184" s="551">
        <f t="shared" si="146"/>
        <v>51.374388360093818</v>
      </c>
      <c r="BW184" s="553">
        <f>$BV184/PI()*SQRT('Hilfstabellen_Mat&amp;Bem'!f.Rd.3/'Hilfstabellen_Mat&amp;Bem'!$BD$30)</f>
        <v>0.81764878558316623</v>
      </c>
      <c r="BX184" s="553">
        <f>0.5*(1+'Hilfstabellen_Mat&amp;Bem'!$BD$31*($BW184-0.3)+$BW184^2)</f>
        <v>0.86015720756197167</v>
      </c>
      <c r="BY184" s="550">
        <f t="shared" si="147"/>
        <v>0.88714070053116556</v>
      </c>
      <c r="CA184" s="551">
        <f t="shared" si="148"/>
        <v>49410.188456783799</v>
      </c>
      <c r="CE184" s="546">
        <f t="shared" si="149"/>
        <v>236</v>
      </c>
      <c r="CF184" s="551">
        <f t="shared" si="150"/>
        <v>52.842228027525067</v>
      </c>
      <c r="CG184" s="553">
        <f>CF184/PI()*SQRT('Hilfstabellen_Mat&amp;Bem'!f.Rd.3/'Hilfstabellen_Mat&amp;Bem'!$BD$30)</f>
        <v>0.84101017945697087</v>
      </c>
      <c r="CH184" s="553">
        <f>0.5*(1+'Hilfstabellen_Mat&amp;Bem'!$BD$31*(CG184-0.3)+CG184^2)</f>
        <v>0.88069956994797172</v>
      </c>
      <c r="CI184" s="550">
        <f t="shared" si="151"/>
        <v>0.87557504837173572</v>
      </c>
      <c r="CK184" s="551">
        <f t="shared" si="152"/>
        <v>48766.027894112194</v>
      </c>
      <c r="CO184" s="546">
        <f t="shared" si="153"/>
        <v>236</v>
      </c>
      <c r="CP184" s="551">
        <f t="shared" si="154"/>
        <v>54.310067694956317</v>
      </c>
      <c r="CQ184" s="553">
        <f>CP184/PI()*SQRT('Hilfstabellen_Mat&amp;Bem'!f.Rd.3/'Hilfstabellen_Mat&amp;Bem'!$BD$30)</f>
        <v>0.86437157333077563</v>
      </c>
      <c r="CR184" s="553">
        <f>0.5*(1+'Hilfstabellen_Mat&amp;Bem'!$BD$31*(CQ184-0.3)+CQ184^2)</f>
        <v>0.90178768705769896</v>
      </c>
      <c r="CS184" s="550">
        <f t="shared" si="155"/>
        <v>0.86292186854351427</v>
      </c>
      <c r="CU184" s="551">
        <f t="shared" si="156"/>
        <v>48061.29639039957</v>
      </c>
      <c r="CY184" s="546">
        <f t="shared" si="157"/>
        <v>236</v>
      </c>
      <c r="CZ184" s="551">
        <f t="shared" si="158"/>
        <v>55.777907362387573</v>
      </c>
      <c r="DA184" s="553">
        <f>CZ184/PI()*SQRT('Hilfstabellen_Mat&amp;Bem'!f.Rd.3/'Hilfstabellen_Mat&amp;Bem'!$BD$30)</f>
        <v>0.88773296720458061</v>
      </c>
      <c r="DB184" s="553">
        <f>0.5*(1+'Hilfstabellen_Mat&amp;Bem'!$BD$31*(DA184-0.3)+DA184^2)</f>
        <v>0.9234215588911534</v>
      </c>
      <c r="DC184" s="550">
        <f t="shared" si="159"/>
        <v>0.84914099406553101</v>
      </c>
      <c r="DE184" s="551">
        <f t="shared" si="160"/>
        <v>47293.756805473815</v>
      </c>
      <c r="DI184" s="546">
        <f t="shared" si="161"/>
        <v>236</v>
      </c>
      <c r="DJ184" s="551">
        <f t="shared" si="162"/>
        <v>57.24574702981883</v>
      </c>
      <c r="DK184" s="553">
        <f>DJ184/PI()*SQRT('Hilfstabellen_Mat&amp;Bem'!f.Rd.3/'Hilfstabellen_Mat&amp;Bem'!$BD$30)</f>
        <v>0.91109436107838526</v>
      </c>
      <c r="DL184" s="553">
        <f>0.5*(1+'Hilfstabellen_Mat&amp;Bem'!$BD$31*(DK184-0.3)+DK184^2)</f>
        <v>0.94560118544833482</v>
      </c>
      <c r="DM184" s="550">
        <f t="shared" si="163"/>
        <v>0.83422381357541087</v>
      </c>
      <c r="DO184" s="551">
        <f t="shared" si="164"/>
        <v>46462.929520896083</v>
      </c>
      <c r="DS184" s="546">
        <f t="shared" si="165"/>
        <v>236</v>
      </c>
      <c r="DT184" s="551">
        <f t="shared" si="166"/>
        <v>58.713586697250079</v>
      </c>
      <c r="DU184" s="553">
        <f>DT184/PI()*SQRT('Hilfstabellen_Mat&amp;Bem'!f.Rd.3/'Hilfstabellen_Mat&amp;Bem'!$BD$30)</f>
        <v>0.93445575495219002</v>
      </c>
      <c r="DV184" s="553">
        <f>0.5*(1+'Hilfstabellen_Mat&amp;Bem'!$BD$31*(DU184-0.3)+DU184^2)</f>
        <v>0.96832656672924322</v>
      </c>
      <c r="DW184" s="550">
        <f t="shared" si="167"/>
        <v>0.81820056852432677</v>
      </c>
      <c r="DY184" s="551">
        <f t="shared" si="168"/>
        <v>45570.498864530906</v>
      </c>
      <c r="EC184" s="546">
        <f t="shared" si="169"/>
        <v>236</v>
      </c>
      <c r="ED184" s="551">
        <f t="shared" si="170"/>
        <v>60.181426364681329</v>
      </c>
      <c r="EE184" s="553">
        <f>ED184/PI()*SQRT('Hilfstabellen_Mat&amp;Bem'!f.Rd.3/'Hilfstabellen_Mat&amp;Bem'!$BD$30)</f>
        <v>0.95781714882599478</v>
      </c>
      <c r="EF184" s="553">
        <f>0.5*(1+'Hilfstabellen_Mat&amp;Bem'!$BD$31*(EE184-0.3)+EE184^2)</f>
        <v>0.99159770273387871</v>
      </c>
      <c r="EG184" s="550">
        <f t="shared" si="171"/>
        <v>0.80114418846755509</v>
      </c>
      <c r="EI184" s="551">
        <f t="shared" si="172"/>
        <v>44620.526720888949</v>
      </c>
      <c r="EM184" s="546">
        <f t="shared" si="173"/>
        <v>236</v>
      </c>
      <c r="EN184" s="551">
        <f t="shared" si="174"/>
        <v>61.649266032112578</v>
      </c>
      <c r="EO184" s="553">
        <f>EN184/PI()*SQRT('Hilfstabellen_Mat&amp;Bem'!f.Rd.3/'Hilfstabellen_Mat&amp;Bem'!$BD$30)</f>
        <v>0.98117854269979954</v>
      </c>
      <c r="EP184" s="553">
        <f>0.5*(1+'Hilfstabellen_Mat&amp;Bem'!$BD$31*(EO184-0.3)+EO184^2)</f>
        <v>1.0154145934622412</v>
      </c>
      <c r="EQ184" s="550">
        <f t="shared" si="175"/>
        <v>0.78316914846572661</v>
      </c>
      <c r="ES184" s="551">
        <f t="shared" si="176"/>
        <v>43619.388892947107</v>
      </c>
    </row>
    <row r="185" spans="3:149">
      <c r="C185" s="546">
        <v>237</v>
      </c>
      <c r="D185" s="551">
        <f t="shared" si="126"/>
        <v>40.926095031163342</v>
      </c>
      <c r="E185" s="553">
        <f>$D185/PI()*SQRT('Hilfstabellen_Mat&amp;Bem'!f.Rd.3/'Hilfstabellen_Mat&amp;Bem'!$BD$30)</f>
        <v>0.65135903256583028</v>
      </c>
      <c r="F185" s="553">
        <f>0.5*(1+'Hilfstabellen_Mat&amp;Bem'!$BD$31*($E185-0.3)+$E185^2)</f>
        <v>0.72970224628083868</v>
      </c>
      <c r="G185" s="550">
        <f t="shared" si="127"/>
        <v>0.94461260751854215</v>
      </c>
      <c r="I185" s="551">
        <f t="shared" si="128"/>
        <v>53057.945551708995</v>
      </c>
      <c r="M185" s="546">
        <f t="shared" si="129"/>
        <v>237</v>
      </c>
      <c r="N185" s="551">
        <f t="shared" si="118"/>
        <v>42.387741282276323</v>
      </c>
      <c r="O185" s="553">
        <f>$N185/PI()*SQRT('Hilfstabellen_Mat&amp;Bem'!f.Rd.3/'Hilfstabellen_Mat&amp;Bem'!$BD$30)</f>
        <v>0.6746218551574672</v>
      </c>
      <c r="P185" s="553">
        <f>0.5*(1+'Hilfstabellen_Mat&amp;Bem'!$BD$31*($O185-0.3)+$O185^2)</f>
        <v>0.7462884164859247</v>
      </c>
      <c r="Q185" s="550">
        <f t="shared" si="119"/>
        <v>0.93861522547893939</v>
      </c>
      <c r="S185" s="551">
        <f t="shared" si="130"/>
        <v>52721.07859992655</v>
      </c>
      <c r="W185" s="546">
        <f t="shared" si="131"/>
        <v>237</v>
      </c>
      <c r="X185" s="551">
        <f t="shared" si="120"/>
        <v>43.849387533389297</v>
      </c>
      <c r="Y185" s="553">
        <f>$X185/PI()*SQRT('Hilfstabellen_Mat&amp;Bem'!f.Rd.3/'Hilfstabellen_Mat&amp;Bem'!$BD$30)</f>
        <v>0.6978846777491039</v>
      </c>
      <c r="Z185" s="553">
        <f>0.5*(1+'Hilfstabellen_Mat&amp;Bem'!$BD$31*($Y185-0.3)+$Y185^2)</f>
        <v>0.7634157456059405</v>
      </c>
      <c r="AA185" s="550">
        <f t="shared" si="121"/>
        <v>0.93208128264306123</v>
      </c>
      <c r="AC185" s="551">
        <f t="shared" si="132"/>
        <v>52354.073564778104</v>
      </c>
      <c r="AG185" s="546">
        <f t="shared" si="133"/>
        <v>237</v>
      </c>
      <c r="AH185" s="551">
        <f t="shared" si="122"/>
        <v>45.311033784502271</v>
      </c>
      <c r="AI185" s="553">
        <f>$AH185/PI()*SQRT('Hilfstabellen_Mat&amp;Bem'!f.Rd.3/'Hilfstabellen_Mat&amp;Bem'!$BD$30)</f>
        <v>0.7211475003407406</v>
      </c>
      <c r="AJ185" s="553">
        <f>0.5*(1+'Hilfstabellen_Mat&amp;Bem'!$BD$31*($AI185-0.3)+$AI185^2)</f>
        <v>0.78108423364088631</v>
      </c>
      <c r="AK185" s="550">
        <f t="shared" si="123"/>
        <v>0.92494189225845713</v>
      </c>
      <c r="AM185" s="551">
        <f t="shared" si="134"/>
        <v>51953.061146265281</v>
      </c>
      <c r="AQ185" s="546">
        <f t="shared" si="135"/>
        <v>237</v>
      </c>
      <c r="AR185" s="551">
        <f t="shared" si="124"/>
        <v>46.772680035615252</v>
      </c>
      <c r="AS185" s="553">
        <f>$AR185/PI()*SQRT('Hilfstabellen_Mat&amp;Bem'!f.Rd.3/'Hilfstabellen_Mat&amp;Bem'!$BD$30)</f>
        <v>0.74441032293237752</v>
      </c>
      <c r="AT185" s="553">
        <f>0.5*(1+'Hilfstabellen_Mat&amp;Bem'!$BD$31*($AS185-0.3)+$AS185^2)</f>
        <v>0.79929388059076212</v>
      </c>
      <c r="AU185" s="550">
        <f t="shared" si="125"/>
        <v>0.91712179638845515</v>
      </c>
      <c r="AW185" s="551">
        <f t="shared" si="136"/>
        <v>51513.814181343136</v>
      </c>
      <c r="BA185" s="546">
        <f t="shared" si="137"/>
        <v>237</v>
      </c>
      <c r="BB185" s="551">
        <f t="shared" si="138"/>
        <v>48.234326286728226</v>
      </c>
      <c r="BC185" s="553">
        <f>$BB185/PI()*SQRT('Hilfstabellen_Mat&amp;Bem'!f.Rd.3/'Hilfstabellen_Mat&amp;Bem'!$BD$30)</f>
        <v>0.76767314552401433</v>
      </c>
      <c r="BD185" s="553">
        <f>0.5*(1+'Hilfstabellen_Mat&amp;Bem'!$BD$31*($BC185-0.3)+$BC185^2)</f>
        <v>0.81804468645556794</v>
      </c>
      <c r="BE185" s="550">
        <f t="shared" si="139"/>
        <v>0.90854047287140238</v>
      </c>
      <c r="BG185" s="551">
        <f t="shared" si="140"/>
        <v>51031.809820713803</v>
      </c>
      <c r="BK185" s="546">
        <f t="shared" si="141"/>
        <v>237</v>
      </c>
      <c r="BL185" s="551">
        <f t="shared" si="142"/>
        <v>49.695972537841207</v>
      </c>
      <c r="BM185" s="553">
        <f>$BL185/PI()*SQRT('Hilfstabellen_Mat&amp;Bem'!f.Rd.3/'Hilfstabellen_Mat&amp;Bem'!$BD$30)</f>
        <v>0.79093596811565114</v>
      </c>
      <c r="BN185" s="553">
        <f>0.5*(1+'Hilfstabellen_Mat&amp;Bem'!$BD$31*($BM185-0.3)+$BM185^2)</f>
        <v>0.83733665123530376</v>
      </c>
      <c r="BO185" s="550">
        <f t="shared" si="143"/>
        <v>0.89911430281551685</v>
      </c>
      <c r="BQ185" s="551">
        <f t="shared" si="144"/>
        <v>50502.351274844768</v>
      </c>
      <c r="BU185" s="546">
        <f t="shared" si="145"/>
        <v>237</v>
      </c>
      <c r="BV185" s="551">
        <f t="shared" si="146"/>
        <v>51.157618788954181</v>
      </c>
      <c r="BW185" s="553">
        <f>$BV185/PI()*SQRT('Hilfstabellen_Mat&amp;Bem'!f.Rd.3/'Hilfstabellen_Mat&amp;Bem'!$BD$30)</f>
        <v>0.81419879070728796</v>
      </c>
      <c r="BX185" s="553">
        <f>0.5*(1+'Hilfstabellen_Mat&amp;Bem'!$BD$31*($BW185-0.3)+$BW185^2)</f>
        <v>0.85716977492996937</v>
      </c>
      <c r="BY185" s="550">
        <f t="shared" si="147"/>
        <v>0.88876014162023931</v>
      </c>
      <c r="CA185" s="551">
        <f t="shared" si="148"/>
        <v>49920.768394667219</v>
      </c>
      <c r="CE185" s="546">
        <f t="shared" si="149"/>
        <v>237</v>
      </c>
      <c r="CF185" s="551">
        <f t="shared" si="150"/>
        <v>52.619265040067155</v>
      </c>
      <c r="CG185" s="553">
        <f>CF185/PI()*SQRT('Hilfstabellen_Mat&amp;Bem'!f.Rd.3/'Hilfstabellen_Mat&amp;Bem'!$BD$30)</f>
        <v>0.83746161329892466</v>
      </c>
      <c r="CH185" s="553">
        <f>0.5*(1+'Hilfstabellen_Mat&amp;Bem'!$BD$31*(CG185-0.3)+CG185^2)</f>
        <v>0.87754405753956499</v>
      </c>
      <c r="CI185" s="550">
        <f t="shared" si="151"/>
        <v>0.87740056658964649</v>
      </c>
      <c r="CK185" s="551">
        <f t="shared" si="152"/>
        <v>49282.712424773854</v>
      </c>
      <c r="CO185" s="546">
        <f t="shared" si="153"/>
        <v>237</v>
      </c>
      <c r="CP185" s="551">
        <f t="shared" si="154"/>
        <v>54.080911291180129</v>
      </c>
      <c r="CQ185" s="553">
        <f>CP185/PI()*SQRT('Hilfstabellen_Mat&amp;Bem'!f.Rd.3/'Hilfstabellen_Mat&amp;Bem'!$BD$30)</f>
        <v>0.86072443589056147</v>
      </c>
      <c r="CR185" s="553">
        <f>0.5*(1+'Hilfstabellen_Mat&amp;Bem'!$BD$31*(CQ185-0.3)+CQ185^2)</f>
        <v>0.89845949906409062</v>
      </c>
      <c r="CS185" s="550">
        <f t="shared" si="155"/>
        <v>0.86497085036124277</v>
      </c>
      <c r="CU185" s="551">
        <f t="shared" si="156"/>
        <v>48584.547693940644</v>
      </c>
      <c r="CY185" s="546">
        <f t="shared" si="157"/>
        <v>237</v>
      </c>
      <c r="CZ185" s="551">
        <f t="shared" si="158"/>
        <v>55.54255754229311</v>
      </c>
      <c r="DA185" s="553">
        <f>CZ185/PI()*SQRT('Hilfstabellen_Mat&amp;Bem'!f.Rd.3/'Hilfstabellen_Mat&amp;Bem'!$BD$30)</f>
        <v>0.88398725848219828</v>
      </c>
      <c r="DB185" s="553">
        <f>0.5*(1+'Hilfstabellen_Mat&amp;Bem'!$BD$31*(DA185-0.3)+DA185^2)</f>
        <v>0.91991609950354636</v>
      </c>
      <c r="DC185" s="550">
        <f t="shared" si="159"/>
        <v>0.85142728550959423</v>
      </c>
      <c r="DE185" s="551">
        <f t="shared" si="160"/>
        <v>47823.819199788399</v>
      </c>
      <c r="DI185" s="546">
        <f t="shared" si="161"/>
        <v>237</v>
      </c>
      <c r="DJ185" s="551">
        <f t="shared" si="162"/>
        <v>57.004203793406084</v>
      </c>
      <c r="DK185" s="553">
        <f>DJ185/PI()*SQRT('Hilfstabellen_Mat&amp;Bem'!f.Rd.3/'Hilfstabellen_Mat&amp;Bem'!$BD$30)</f>
        <v>0.90725008107383498</v>
      </c>
      <c r="DL185" s="553">
        <f>0.5*(1+'Hilfstabellen_Mat&amp;Bem'!$BD$31*(DK185-0.3)+DK185^2)</f>
        <v>0.94191385885793188</v>
      </c>
      <c r="DM185" s="550">
        <f t="shared" si="163"/>
        <v>0.83675588973466319</v>
      </c>
      <c r="DO185" s="551">
        <f t="shared" si="164"/>
        <v>46999.741570506296</v>
      </c>
      <c r="DS185" s="546">
        <f t="shared" si="165"/>
        <v>237</v>
      </c>
      <c r="DT185" s="551">
        <f t="shared" si="166"/>
        <v>58.465850044519058</v>
      </c>
      <c r="DU185" s="553">
        <f>DT185/PI()*SQRT('Hilfstabellen_Mat&amp;Bem'!f.Rd.3/'Hilfstabellen_Mat&amp;Bem'!$BD$30)</f>
        <v>0.93051290366547179</v>
      </c>
      <c r="DV185" s="553">
        <f>0.5*(1+'Hilfstabellen_Mat&amp;Bem'!$BD$31*(DU185-0.3)+DU185^2)</f>
        <v>0.96445277712724742</v>
      </c>
      <c r="DW185" s="550">
        <f t="shared" si="167"/>
        <v>0.82097991649524404</v>
      </c>
      <c r="DY185" s="551">
        <f t="shared" si="168"/>
        <v>46113.620929621364</v>
      </c>
      <c r="EC185" s="546">
        <f t="shared" si="169"/>
        <v>237</v>
      </c>
      <c r="ED185" s="551">
        <f t="shared" si="170"/>
        <v>59.927496295632039</v>
      </c>
      <c r="EE185" s="553">
        <f>ED185/PI()*SQRT('Hilfstabellen_Mat&amp;Bem'!f.Rd.3/'Hilfstabellen_Mat&amp;Bem'!$BD$30)</f>
        <v>0.9537757262571086</v>
      </c>
      <c r="EF185" s="553">
        <f>0.5*(1+'Hilfstabellen_Mat&amp;Bem'!$BD$31*(EE185-0.3)+EE185^2)</f>
        <v>0.98753285431149296</v>
      </c>
      <c r="EG185" s="550">
        <f t="shared" si="171"/>
        <v>0.80416428468295253</v>
      </c>
      <c r="EI185" s="551">
        <f t="shared" si="172"/>
        <v>45169.103706356764</v>
      </c>
      <c r="EM185" s="546">
        <f t="shared" si="173"/>
        <v>237</v>
      </c>
      <c r="EN185" s="551">
        <f t="shared" si="174"/>
        <v>61.389142546745006</v>
      </c>
      <c r="EO185" s="553">
        <f>EN185/PI()*SQRT('Hilfstabellen_Mat&amp;Bem'!f.Rd.3/'Hilfstabellen_Mat&amp;Bem'!$BD$30)</f>
        <v>0.9770385488487453</v>
      </c>
      <c r="EP185" s="553">
        <f>0.5*(1+'Hilfstabellen_Mat&amp;Bem'!$BD$31*(EO185-0.3)+EO185^2)</f>
        <v>1.0111540904106682</v>
      </c>
      <c r="EQ185" s="550">
        <f t="shared" si="175"/>
        <v>0.78641533655226648</v>
      </c>
      <c r="ES185" s="551">
        <f t="shared" si="176"/>
        <v>44172.163038804254</v>
      </c>
    </row>
    <row r="186" spans="3:149">
      <c r="C186" s="546">
        <v>238</v>
      </c>
      <c r="D186" s="551">
        <f t="shared" si="126"/>
        <v>40.754136648679463</v>
      </c>
      <c r="E186" s="553">
        <f>$D186/PI()*SQRT('Hilfstabellen_Mat&amp;Bem'!f.Rd.3/'Hilfstabellen_Mat&amp;Bem'!$BD$30)</f>
        <v>0.64862222990799068</v>
      </c>
      <c r="F186" s="553">
        <f>0.5*(1+'Hilfstabellen_Mat&amp;Bem'!$BD$31*($E186-0.3)+$E186^2)</f>
        <v>0.72778651006080675</v>
      </c>
      <c r="G186" s="550">
        <f t="shared" si="127"/>
        <v>0.94528585933696407</v>
      </c>
      <c r="I186" s="551">
        <f t="shared" si="128"/>
        <v>53544.772216282996</v>
      </c>
      <c r="M186" s="546">
        <f t="shared" si="129"/>
        <v>238</v>
      </c>
      <c r="N186" s="551">
        <f t="shared" si="118"/>
        <v>42.209641528989444</v>
      </c>
      <c r="O186" s="553">
        <f>$N186/PI()*SQRT('Hilfstabellen_Mat&amp;Bem'!f.Rd.3/'Hilfstabellen_Mat&amp;Bem'!$BD$30)</f>
        <v>0.67178730954756183</v>
      </c>
      <c r="P186" s="553">
        <f>0.5*(1+'Hilfstabellen_Mat&amp;Bem'!$BD$31*($O186-0.3)+$O186^2)</f>
        <v>0.74423846011195394</v>
      </c>
      <c r="Q186" s="550">
        <f t="shared" si="119"/>
        <v>0.93937339840887701</v>
      </c>
      <c r="S186" s="551">
        <f t="shared" si="130"/>
        <v>53209.866779472432</v>
      </c>
      <c r="W186" s="546">
        <f t="shared" si="131"/>
        <v>238</v>
      </c>
      <c r="X186" s="551">
        <f t="shared" si="120"/>
        <v>43.665146409299425</v>
      </c>
      <c r="Y186" s="553">
        <f>$X186/PI()*SQRT('Hilfstabellen_Mat&amp;Bem'!f.Rd.3/'Hilfstabellen_Mat&amp;Bem'!$BD$30)</f>
        <v>0.69495238918713287</v>
      </c>
      <c r="Z186" s="553">
        <f>0.5*(1+'Hilfstabellen_Mat&amp;Bem'!$BD$31*($Y186-0.3)+$Y186^2)</f>
        <v>0.76122703107780876</v>
      </c>
      <c r="AA186" s="550">
        <f t="shared" si="121"/>
        <v>0.93293674882085964</v>
      </c>
      <c r="AC186" s="551">
        <f t="shared" si="132"/>
        <v>52845.269200208772</v>
      </c>
      <c r="AG186" s="546">
        <f t="shared" si="133"/>
        <v>238</v>
      </c>
      <c r="AH186" s="551">
        <f t="shared" si="122"/>
        <v>45.120651289609405</v>
      </c>
      <c r="AI186" s="553">
        <f>$AH186/PI()*SQRT('Hilfstabellen_Mat&amp;Bem'!f.Rd.3/'Hilfstabellen_Mat&amp;Bem'!$BD$30)</f>
        <v>0.71811746882670402</v>
      </c>
      <c r="AJ186" s="553">
        <f>0.5*(1+'Hilfstabellen_Mat&amp;Bem'!$BD$31*($AI186-0.3)+$AI186^2)</f>
        <v>0.77875222295837132</v>
      </c>
      <c r="AK186" s="550">
        <f t="shared" si="123"/>
        <v>0.92590870513129064</v>
      </c>
      <c r="AM186" s="551">
        <f t="shared" si="134"/>
        <v>52447.172693456829</v>
      </c>
      <c r="AQ186" s="546">
        <f t="shared" si="135"/>
        <v>238</v>
      </c>
      <c r="AR186" s="551">
        <f t="shared" si="124"/>
        <v>46.576156169919386</v>
      </c>
      <c r="AS186" s="553">
        <f>$AR186/PI()*SQRT('Hilfstabellen_Mat&amp;Bem'!f.Rd.3/'Hilfstabellen_Mat&amp;Bem'!$BD$30)</f>
        <v>0.74128254846627506</v>
      </c>
      <c r="AT186" s="553">
        <f>0.5*(1+'Hilfstabellen_Mat&amp;Bem'!$BD$31*($AS186-0.3)+$AS186^2)</f>
        <v>0.79681403575364151</v>
      </c>
      <c r="AU186" s="550">
        <f t="shared" si="125"/>
        <v>0.91821571645468125</v>
      </c>
      <c r="AW186" s="551">
        <f t="shared" si="136"/>
        <v>52011.411042858963</v>
      </c>
      <c r="BA186" s="546">
        <f t="shared" si="137"/>
        <v>238</v>
      </c>
      <c r="BB186" s="551">
        <f t="shared" si="138"/>
        <v>48.031661050229367</v>
      </c>
      <c r="BC186" s="553">
        <f>$BB186/PI()*SQRT('Hilfstabellen_Mat&amp;Bem'!f.Rd.3/'Hilfstabellen_Mat&amp;Bem'!$BD$30)</f>
        <v>0.7644476281058461</v>
      </c>
      <c r="BD186" s="553">
        <f>0.5*(1+'Hilfstabellen_Mat&amp;Bem'!$BD$31*($BC186-0.3)+$BC186^2)</f>
        <v>0.81541246946361934</v>
      </c>
      <c r="BE186" s="550">
        <f t="shared" si="139"/>
        <v>0.90977886057934843</v>
      </c>
      <c r="BG186" s="551">
        <f t="shared" si="140"/>
        <v>51533.513778656612</v>
      </c>
      <c r="BK186" s="546">
        <f t="shared" si="141"/>
        <v>238</v>
      </c>
      <c r="BL186" s="551">
        <f t="shared" si="142"/>
        <v>49.487165930539348</v>
      </c>
      <c r="BM186" s="553">
        <f>$BL186/PI()*SQRT('Hilfstabellen_Mat&amp;Bem'!f.Rd.3/'Hilfstabellen_Mat&amp;Bem'!$BD$30)</f>
        <v>0.78761270774541725</v>
      </c>
      <c r="BN186" s="553">
        <f>0.5*(1+'Hilfstabellen_Mat&amp;Bem'!$BD$31*($BM186-0.3)+$BM186^2)</f>
        <v>0.8345475240883049</v>
      </c>
      <c r="BO186" s="550">
        <f t="shared" si="143"/>
        <v>0.90051580877540705</v>
      </c>
      <c r="BQ186" s="551">
        <f t="shared" si="144"/>
        <v>51008.817472274153</v>
      </c>
      <c r="BU186" s="546">
        <f t="shared" si="145"/>
        <v>238</v>
      </c>
      <c r="BV186" s="551">
        <f t="shared" si="146"/>
        <v>50.942670810849329</v>
      </c>
      <c r="BW186" s="553">
        <f>$BV186/PI()*SQRT('Hilfstabellen_Mat&amp;Bem'!f.Rd.3/'Hilfstabellen_Mat&amp;Bem'!$BD$30)</f>
        <v>0.8107777873849884</v>
      </c>
      <c r="BX186" s="553">
        <f>0.5*(1+'Hilfstabellen_Mat&amp;Bem'!$BD$31*($BW186-0.3)+$BW186^2)</f>
        <v>0.85421919962769821</v>
      </c>
      <c r="BY186" s="550">
        <f t="shared" si="147"/>
        <v>0.89034411565570126</v>
      </c>
      <c r="CA186" s="551">
        <f t="shared" si="148"/>
        <v>50432.652087201539</v>
      </c>
      <c r="CE186" s="546">
        <f t="shared" si="149"/>
        <v>238</v>
      </c>
      <c r="CF186" s="551">
        <f t="shared" si="150"/>
        <v>52.39817569115931</v>
      </c>
      <c r="CG186" s="553">
        <f>CF186/PI()*SQRT('Hilfstabellen_Mat&amp;Bem'!f.Rd.3/'Hilfstabellen_Mat&amp;Bem'!$BD$30)</f>
        <v>0.83394286702455944</v>
      </c>
      <c r="CH186" s="553">
        <f>0.5*(1+'Hilfstabellen_Mat&amp;Bem'!$BD$31*(CG186-0.3)+CG186^2)</f>
        <v>0.87442749608179904</v>
      </c>
      <c r="CI186" s="550">
        <f t="shared" si="151"/>
        <v>0.87918611626602816</v>
      </c>
      <c r="CK186" s="551">
        <f t="shared" si="152"/>
        <v>49800.618369772899</v>
      </c>
      <c r="CO186" s="546">
        <f t="shared" si="153"/>
        <v>238</v>
      </c>
      <c r="CP186" s="551">
        <f t="shared" si="154"/>
        <v>53.85368057146929</v>
      </c>
      <c r="CQ186" s="553">
        <f>CP186/PI()*SQRT('Hilfstabellen_Mat&amp;Bem'!f.Rd.3/'Hilfstabellen_Mat&amp;Bem'!$BD$30)</f>
        <v>0.85710794666413048</v>
      </c>
      <c r="CR186" s="553">
        <f>0.5*(1+'Hilfstabellen_Mat&amp;Bem'!$BD$31*(CQ186-0.3)+CQ186^2)</f>
        <v>0.8951724134506075</v>
      </c>
      <c r="CS186" s="550">
        <f t="shared" si="155"/>
        <v>0.86697552045363968</v>
      </c>
      <c r="CU186" s="551">
        <f t="shared" si="156"/>
        <v>49108.961380575965</v>
      </c>
      <c r="CY186" s="546">
        <f t="shared" si="157"/>
        <v>238</v>
      </c>
      <c r="CZ186" s="551">
        <f t="shared" si="158"/>
        <v>55.309185451779271</v>
      </c>
      <c r="DA186" s="553">
        <f>CZ186/PI()*SQRT('Hilfstabellen_Mat&amp;Bem'!f.Rd.3/'Hilfstabellen_Mat&amp;Bem'!$BD$30)</f>
        <v>0.88027302630370152</v>
      </c>
      <c r="DB186" s="553">
        <f>0.5*(1+'Hilfstabellen_Mat&amp;Bem'!$BD$31*(DA186-0.3)+DA186^2)</f>
        <v>0.9164539517341237</v>
      </c>
      <c r="DC186" s="550">
        <f t="shared" si="159"/>
        <v>0.8536654130860315</v>
      </c>
      <c r="DE186" s="551">
        <f t="shared" si="160"/>
        <v>48355.023658845166</v>
      </c>
      <c r="DI186" s="546">
        <f t="shared" si="161"/>
        <v>238</v>
      </c>
      <c r="DJ186" s="551">
        <f t="shared" si="162"/>
        <v>56.764690332089245</v>
      </c>
      <c r="DK186" s="553">
        <f>DJ186/PI()*SQRT('Hilfstabellen_Mat&amp;Bem'!f.Rd.3/'Hilfstabellen_Mat&amp;Bem'!$BD$30)</f>
        <v>0.90343810594327256</v>
      </c>
      <c r="DL186" s="553">
        <f>0.5*(1+'Hilfstabellen_Mat&amp;Bem'!$BD$31*(DK186-0.3)+DK186^2)</f>
        <v>0.93827211093234753</v>
      </c>
      <c r="DM186" s="550">
        <f t="shared" si="163"/>
        <v>0.83923681029139785</v>
      </c>
      <c r="DO186" s="551">
        <f t="shared" si="164"/>
        <v>47537.729882145941</v>
      </c>
      <c r="DS186" s="546">
        <f t="shared" si="165"/>
        <v>238</v>
      </c>
      <c r="DT186" s="551">
        <f t="shared" si="166"/>
        <v>58.220195212399233</v>
      </c>
      <c r="DU186" s="553">
        <f>DT186/PI()*SQRT('Hilfstabellen_Mat&amp;Bem'!f.Rd.3/'Hilfstabellen_Mat&amp;Bem'!$BD$30)</f>
        <v>0.92660318558284382</v>
      </c>
      <c r="DV186" s="553">
        <f>0.5*(1+'Hilfstabellen_Mat&amp;Bem'!$BD$31*(DU186-0.3)+DU186^2)</f>
        <v>0.96062689104527921</v>
      </c>
      <c r="DW186" s="550">
        <f t="shared" si="167"/>
        <v>0.82370632171066671</v>
      </c>
      <c r="DY186" s="551">
        <f t="shared" si="168"/>
        <v>46658.020886979008</v>
      </c>
      <c r="EC186" s="546">
        <f t="shared" si="169"/>
        <v>238</v>
      </c>
      <c r="ED186" s="551">
        <f t="shared" si="170"/>
        <v>59.675700092709214</v>
      </c>
      <c r="EE186" s="553">
        <f>ED186/PI()*SQRT('Hilfstabellen_Mat&amp;Bem'!f.Rd.3/'Hilfstabellen_Mat&amp;Bem'!$BD$30)</f>
        <v>0.94976826522241486</v>
      </c>
      <c r="EF186" s="553">
        <f>0.5*(1+'Hilfstabellen_Mat&amp;Bem'!$BD$31*(EE186-0.3)+EE186^2)</f>
        <v>0.98351829207291841</v>
      </c>
      <c r="EG186" s="550">
        <f t="shared" si="171"/>
        <v>0.80713110076313244</v>
      </c>
      <c r="EI186" s="551">
        <f t="shared" si="172"/>
        <v>45719.134071626875</v>
      </c>
      <c r="EM186" s="546">
        <f t="shared" si="173"/>
        <v>238</v>
      </c>
      <c r="EN186" s="551">
        <f t="shared" si="174"/>
        <v>61.131204973019202</v>
      </c>
      <c r="EO186" s="553">
        <f>EN186/PI()*SQRT('Hilfstabellen_Mat&amp;Bem'!f.Rd.3/'Hilfstabellen_Mat&amp;Bem'!$BD$30)</f>
        <v>0.97293334486198602</v>
      </c>
      <c r="EP186" s="553">
        <f>0.5*(1+'Hilfstabellen_Mat&amp;Bem'!$BD$31*(EO186-0.3)+EO186^2)</f>
        <v>1.0069463140152655</v>
      </c>
      <c r="EQ186" s="550">
        <f t="shared" si="175"/>
        <v>0.78960944234581298</v>
      </c>
      <c r="ES186" s="551">
        <f t="shared" si="176"/>
        <v>44726.637252236229</v>
      </c>
    </row>
    <row r="187" spans="3:149">
      <c r="C187" s="546">
        <v>239</v>
      </c>
      <c r="D187" s="551">
        <f t="shared" si="126"/>
        <v>40.583617248475782</v>
      </c>
      <c r="E187" s="553">
        <f>$D187/PI()*SQRT('Hilfstabellen_Mat&amp;Bem'!f.Rd.3/'Hilfstabellen_Mat&amp;Bem'!$BD$30)</f>
        <v>0.64590832936444265</v>
      </c>
      <c r="F187" s="553">
        <f>0.5*(1+'Hilfstabellen_Mat&amp;Bem'!$BD$31*($E187-0.3)+$E187^2)</f>
        <v>0.72589420143940475</v>
      </c>
      <c r="G187" s="550">
        <f t="shared" si="127"/>
        <v>0.94594709423911938</v>
      </c>
      <c r="I187" s="551">
        <f t="shared" si="128"/>
        <v>54033.443970032735</v>
      </c>
      <c r="M187" s="546">
        <f t="shared" si="129"/>
        <v>239</v>
      </c>
      <c r="N187" s="551">
        <f t="shared" si="118"/>
        <v>42.033032150207063</v>
      </c>
      <c r="O187" s="553">
        <f>$N187/PI()*SQRT('Hilfstabellen_Mat&amp;Bem'!f.Rd.3/'Hilfstabellen_Mat&amp;Bem'!$BD$30)</f>
        <v>0.6689764839846013</v>
      </c>
      <c r="P187" s="553">
        <f>0.5*(1+'Hilfstabellen_Mat&amp;Bem'!$BD$31*($O187-0.3)+$O187^2)</f>
        <v>0.74221359226142991</v>
      </c>
      <c r="Q187" s="550">
        <f t="shared" si="119"/>
        <v>0.94011748433368492</v>
      </c>
      <c r="S187" s="551">
        <f t="shared" si="130"/>
        <v>53700.450822624414</v>
      </c>
      <c r="W187" s="546">
        <f t="shared" si="131"/>
        <v>239</v>
      </c>
      <c r="X187" s="551">
        <f t="shared" si="120"/>
        <v>43.482447051938337</v>
      </c>
      <c r="Y187" s="553">
        <f>$X187/PI()*SQRT('Hilfstabellen_Mat&amp;Bem'!f.Rd.3/'Hilfstabellen_Mat&amp;Bem'!$BD$30)</f>
        <v>0.69204463860475984</v>
      </c>
      <c r="Z187" s="553">
        <f>0.5*(1+'Hilfstabellen_Mat&amp;Bem'!$BD$31*($Y187-0.3)+$Y187^2)</f>
        <v>0.75906512284103433</v>
      </c>
      <c r="AA187" s="550">
        <f t="shared" si="121"/>
        <v>0.93377570690391865</v>
      </c>
      <c r="AC187" s="551">
        <f t="shared" si="132"/>
        <v>53338.202154058738</v>
      </c>
      <c r="AG187" s="546">
        <f t="shared" si="133"/>
        <v>239</v>
      </c>
      <c r="AH187" s="551">
        <f t="shared" si="122"/>
        <v>44.931861953669618</v>
      </c>
      <c r="AI187" s="553">
        <f>$AH187/PI()*SQRT('Hilfstabellen_Mat&amp;Bem'!f.Rd.3/'Hilfstabellen_Mat&amp;Bem'!$BD$30)</f>
        <v>0.71511279322491861</v>
      </c>
      <c r="AJ187" s="553">
        <f>0.5*(1+'Hilfstabellen_Mat&amp;Bem'!$BD$31*($AI187-0.3)+$AI187^2)</f>
        <v>0.77644879317821847</v>
      </c>
      <c r="AK187" s="550">
        <f t="shared" si="123"/>
        <v>0.92685620046894523</v>
      </c>
      <c r="AM187" s="551">
        <f t="shared" si="134"/>
        <v>52942.953026986623</v>
      </c>
      <c r="AQ187" s="546">
        <f t="shared" si="135"/>
        <v>239</v>
      </c>
      <c r="AR187" s="551">
        <f t="shared" si="124"/>
        <v>46.381276855400891</v>
      </c>
      <c r="AS187" s="553">
        <f>$AR187/PI()*SQRT('Hilfstabellen_Mat&amp;Bem'!f.Rd.3/'Hilfstabellen_Mat&amp;Bem'!$BD$30)</f>
        <v>0.73818094784507715</v>
      </c>
      <c r="AT187" s="553">
        <f>0.5*(1+'Hilfstabellen_Mat&amp;Bem'!$BD$31*($AS187-0.3)+$AS187^2)</f>
        <v>0.79436460327298208</v>
      </c>
      <c r="AU187" s="550">
        <f t="shared" si="125"/>
        <v>0.91928709563800459</v>
      </c>
      <c r="AW187" s="551">
        <f t="shared" si="136"/>
        <v>52510.598189938457</v>
      </c>
      <c r="BA187" s="546">
        <f t="shared" si="137"/>
        <v>239</v>
      </c>
      <c r="BB187" s="551">
        <f t="shared" si="138"/>
        <v>47.830691757132172</v>
      </c>
      <c r="BC187" s="553">
        <f>$BB187/PI()*SQRT('Hilfstabellen_Mat&amp;Bem'!f.Rd.3/'Hilfstabellen_Mat&amp;Bem'!$BD$30)</f>
        <v>0.76124910246523592</v>
      </c>
      <c r="BD187" s="553">
        <f>0.5*(1+'Hilfstabellen_Mat&amp;Bem'!$BD$31*($BC187-0.3)+$BC187^2)</f>
        <v>0.81281255312532541</v>
      </c>
      <c r="BE187" s="550">
        <f t="shared" si="139"/>
        <v>0.91099106739770819</v>
      </c>
      <c r="BG187" s="551">
        <f t="shared" si="140"/>
        <v>52036.720760824486</v>
      </c>
      <c r="BK187" s="546">
        <f t="shared" si="141"/>
        <v>239</v>
      </c>
      <c r="BL187" s="551">
        <f t="shared" si="142"/>
        <v>49.280106658863453</v>
      </c>
      <c r="BM187" s="553">
        <f>$BL187/PI()*SQRT('Hilfstabellen_Mat&amp;Bem'!f.Rd.3/'Hilfstabellen_Mat&amp;Bem'!$BD$30)</f>
        <v>0.78431725708539457</v>
      </c>
      <c r="BN187" s="553">
        <f>0.5*(1+'Hilfstabellen_Mat&amp;Bem'!$BD$31*($BM187-0.3)+$BM187^2)</f>
        <v>0.83179264273524822</v>
      </c>
      <c r="BO187" s="550">
        <f t="shared" si="143"/>
        <v>0.90188711200776239</v>
      </c>
      <c r="BQ187" s="551">
        <f t="shared" si="144"/>
        <v>51516.693724995399</v>
      </c>
      <c r="BU187" s="546">
        <f t="shared" si="145"/>
        <v>239</v>
      </c>
      <c r="BV187" s="551">
        <f t="shared" si="146"/>
        <v>50.729521560594733</v>
      </c>
      <c r="BW187" s="553">
        <f>$BV187/PI()*SQRT('Hilfstabellen_Mat&amp;Bem'!f.Rd.3/'Hilfstabellen_Mat&amp;Bem'!$BD$30)</f>
        <v>0.80738541170555322</v>
      </c>
      <c r="BX187" s="553">
        <f>0.5*(1+'Hilfstabellen_Mat&amp;Bem'!$BD$31*($BW187-0.3)+$BW187^2)</f>
        <v>0.85130487210275052</v>
      </c>
      <c r="BY187" s="550">
        <f t="shared" si="147"/>
        <v>0.89189357311946604</v>
      </c>
      <c r="CA187" s="551">
        <f t="shared" si="148"/>
        <v>50945.85279015702</v>
      </c>
      <c r="CE187" s="546">
        <f t="shared" si="149"/>
        <v>239</v>
      </c>
      <c r="CF187" s="551">
        <f t="shared" si="150"/>
        <v>52.178936462326007</v>
      </c>
      <c r="CG187" s="553">
        <f>CF187/PI()*SQRT('Hilfstabellen_Mat&amp;Bem'!f.Rd.3/'Hilfstabellen_Mat&amp;Bem'!$BD$30)</f>
        <v>0.83045356632571188</v>
      </c>
      <c r="CH187" s="553">
        <f>0.5*(1+'Hilfstabellen_Mat&amp;Bem'!$BD$31*(CG187-0.3)+CG187^2)</f>
        <v>0.87134924122783242</v>
      </c>
      <c r="CI187" s="550">
        <f t="shared" si="151"/>
        <v>0.88093270496432108</v>
      </c>
      <c r="CK187" s="551">
        <f t="shared" si="152"/>
        <v>50319.757040266981</v>
      </c>
      <c r="CO187" s="546">
        <f t="shared" si="153"/>
        <v>239</v>
      </c>
      <c r="CP187" s="551">
        <f t="shared" si="154"/>
        <v>53.628351364057288</v>
      </c>
      <c r="CQ187" s="553">
        <f>CP187/PI()*SQRT('Hilfstabellen_Mat&amp;Bem'!f.Rd.3/'Hilfstabellen_Mat&amp;Bem'!$BD$30)</f>
        <v>0.85352172094587064</v>
      </c>
      <c r="CR187" s="553">
        <f>0.5*(1+'Hilfstabellen_Mat&amp;Bem'!$BD$31*(CQ187-0.3)+CQ187^2)</f>
        <v>0.89192575011049391</v>
      </c>
      <c r="CS187" s="550">
        <f t="shared" si="155"/>
        <v>0.86893689700058774</v>
      </c>
      <c r="CU187" s="551">
        <f t="shared" si="156"/>
        <v>49634.544493570575</v>
      </c>
      <c r="CY187" s="546">
        <f t="shared" si="157"/>
        <v>239</v>
      </c>
      <c r="CZ187" s="551">
        <f t="shared" si="158"/>
        <v>55.077766265788561</v>
      </c>
      <c r="DA187" s="553">
        <f>CZ187/PI()*SQRT('Hilfstabellen_Mat&amp;Bem'!f.Rd.3/'Hilfstabellen_Mat&amp;Bem'!$BD$30)</f>
        <v>0.87658987556602919</v>
      </c>
      <c r="DB187" s="553">
        <f>0.5*(1+'Hilfstabellen_Mat&amp;Bem'!$BD$31*(DA187-0.3)+DA187^2)</f>
        <v>0.91303439875073478</v>
      </c>
      <c r="DC187" s="550">
        <f t="shared" si="159"/>
        <v>0.85585634290325419</v>
      </c>
      <c r="DE187" s="551">
        <f t="shared" si="160"/>
        <v>48887.370162976782</v>
      </c>
      <c r="DI187" s="546">
        <f t="shared" si="161"/>
        <v>239</v>
      </c>
      <c r="DJ187" s="551">
        <f t="shared" si="162"/>
        <v>56.527181167519842</v>
      </c>
      <c r="DK187" s="553">
        <f>DJ187/PI()*SQRT('Hilfstabellen_Mat&amp;Bem'!f.Rd.3/'Hilfstabellen_Mat&amp;Bem'!$BD$30)</f>
        <v>0.89965803018618795</v>
      </c>
      <c r="DL187" s="553">
        <f>0.5*(1+'Hilfstabellen_Mat&amp;Bem'!$BD$31*(DK187-0.3)+DK187^2)</f>
        <v>0.93467518714855524</v>
      </c>
      <c r="DM187" s="550">
        <f t="shared" si="163"/>
        <v>0.84166741677146462</v>
      </c>
      <c r="DO187" s="551">
        <f t="shared" si="164"/>
        <v>48076.884513402831</v>
      </c>
      <c r="DS187" s="546">
        <f t="shared" si="165"/>
        <v>239</v>
      </c>
      <c r="DT187" s="551">
        <f t="shared" si="166"/>
        <v>57.976596069251116</v>
      </c>
      <c r="DU187" s="553">
        <f>DT187/PI()*SQRT('Hilfstabellen_Mat&amp;Bem'!f.Rd.3/'Hilfstabellen_Mat&amp;Bem'!$BD$30)</f>
        <v>0.92272618480634661</v>
      </c>
      <c r="DV187" s="553">
        <f>0.5*(1+'Hilfstabellen_Mat&amp;Bem'!$BD$31*(DU187-0.3)+DU187^2)</f>
        <v>0.95684811530395542</v>
      </c>
      <c r="DW187" s="550">
        <f t="shared" si="167"/>
        <v>0.82638043034867625</v>
      </c>
      <c r="DY187" s="551">
        <f t="shared" si="168"/>
        <v>47203.676561946733</v>
      </c>
      <c r="EC187" s="546">
        <f t="shared" si="169"/>
        <v>239</v>
      </c>
      <c r="ED187" s="551">
        <f t="shared" si="170"/>
        <v>59.426010970982389</v>
      </c>
      <c r="EE187" s="553">
        <f>ED187/PI()*SQRT('Hilfstabellen_Mat&amp;Bem'!f.Rd.3/'Hilfstabellen_Mat&amp;Bem'!$BD$30)</f>
        <v>0.94579433942650515</v>
      </c>
      <c r="EF187" s="553">
        <f>0.5*(1+'Hilfstabellen_Mat&amp;Bem'!$BD$31*(EE187-0.3)+EE187^2)</f>
        <v>0.97955318321693485</v>
      </c>
      <c r="EG187" s="550">
        <f t="shared" si="171"/>
        <v>0.8100450326232892</v>
      </c>
      <c r="EI187" s="551">
        <f t="shared" si="172"/>
        <v>46270.582308474899</v>
      </c>
      <c r="EM187" s="546">
        <f t="shared" si="173"/>
        <v>239</v>
      </c>
      <c r="EN187" s="551">
        <f t="shared" si="174"/>
        <v>60.875425872713677</v>
      </c>
      <c r="EO187" s="553">
        <f>EN187/PI()*SQRT('Hilfstabellen_Mat&amp;Bem'!f.Rd.3/'Hilfstabellen_Mat&amp;Bem'!$BD$30)</f>
        <v>0.96886249404666391</v>
      </c>
      <c r="EP187" s="553">
        <f>0.5*(1+'Hilfstabellen_Mat&amp;Bem'!$BD$31*(EO187-0.3)+EO187^2)</f>
        <v>1.0027903908874942</v>
      </c>
      <c r="EQ187" s="550">
        <f t="shared" si="175"/>
        <v>0.79275158429119685</v>
      </c>
      <c r="ES187" s="551">
        <f t="shared" si="176"/>
        <v>45282.763246297458</v>
      </c>
    </row>
    <row r="188" spans="3:149">
      <c r="C188" s="546">
        <v>240</v>
      </c>
      <c r="D188" s="551">
        <f t="shared" si="126"/>
        <v>40.414518843273797</v>
      </c>
      <c r="E188" s="553">
        <f>$D188/PI()*SQRT('Hilfstabellen_Mat&amp;Bem'!f.Rd.3/'Hilfstabellen_Mat&amp;Bem'!$BD$30)</f>
        <v>0.6432170446587574</v>
      </c>
      <c r="F188" s="553">
        <f>0.5*(1+'Hilfstabellen_Mat&amp;Bem'!$BD$31*($E188-0.3)+$E188^2)</f>
        <v>0.72402493550271085</v>
      </c>
      <c r="G188" s="550">
        <f t="shared" si="127"/>
        <v>0.94659663219963075</v>
      </c>
      <c r="I188" s="551">
        <f t="shared" si="128"/>
        <v>54523.96601469873</v>
      </c>
      <c r="M188" s="546">
        <f t="shared" si="129"/>
        <v>240</v>
      </c>
      <c r="N188" s="551">
        <f t="shared" si="118"/>
        <v>41.857894516247868</v>
      </c>
      <c r="O188" s="553">
        <f>$N188/PI()*SQRT('Hilfstabellen_Mat&amp;Bem'!f.Rd.3/'Hilfstabellen_Mat&amp;Bem'!$BD$30)</f>
        <v>0.66618908196799875</v>
      </c>
      <c r="P188" s="553">
        <f>0.5*(1+'Hilfstabellen_Mat&amp;Bem'!$BD$31*($O188-0.3)+$O188^2)</f>
        <v>0.74021340056508245</v>
      </c>
      <c r="Q188" s="550">
        <f t="shared" si="119"/>
        <v>0.94084786773205598</v>
      </c>
      <c r="S188" s="551">
        <f t="shared" si="130"/>
        <v>54192.837181366427</v>
      </c>
      <c r="W188" s="546">
        <f t="shared" si="131"/>
        <v>240</v>
      </c>
      <c r="X188" s="551">
        <f t="shared" si="120"/>
        <v>43.301270189221931</v>
      </c>
      <c r="Y188" s="553">
        <f>$X188/PI()*SQRT('Hilfstabellen_Mat&amp;Bem'!f.Rd.3/'Hilfstabellen_Mat&amp;Bem'!$BD$30)</f>
        <v>0.68916111927724011</v>
      </c>
      <c r="Z188" s="553">
        <f>0.5*(1+'Hilfstabellen_Mat&amp;Bem'!$BD$31*($Y188-0.3)+$Y188^2)</f>
        <v>0.75692958012559108</v>
      </c>
      <c r="AA188" s="550">
        <f t="shared" si="121"/>
        <v>0.9345986165714808</v>
      </c>
      <c r="AC188" s="551">
        <f t="shared" si="132"/>
        <v>53832.880314517293</v>
      </c>
      <c r="AG188" s="546">
        <f t="shared" si="133"/>
        <v>240</v>
      </c>
      <c r="AH188" s="551">
        <f t="shared" si="122"/>
        <v>44.744645862195995</v>
      </c>
      <c r="AI188" s="553">
        <f>$AH188/PI()*SQRT('Hilfstabellen_Mat&amp;Bem'!f.Rd.3/'Hilfstabellen_Mat&amp;Bem'!$BD$30)</f>
        <v>0.71213315658648146</v>
      </c>
      <c r="AJ188" s="553">
        <f>0.5*(1+'Hilfstabellen_Mat&amp;Bem'!$BD$31*($AI188-0.3)+$AI188^2)</f>
        <v>0.7741734741842371</v>
      </c>
      <c r="AK188" s="550">
        <f t="shared" si="123"/>
        <v>0.9277849237590946</v>
      </c>
      <c r="AM188" s="551">
        <f t="shared" si="134"/>
        <v>53440.411608523849</v>
      </c>
      <c r="AQ188" s="546">
        <f t="shared" si="135"/>
        <v>240</v>
      </c>
      <c r="AR188" s="551">
        <f t="shared" si="124"/>
        <v>46.188021535170058</v>
      </c>
      <c r="AS188" s="553">
        <f>$AR188/PI()*SQRT('Hilfstabellen_Mat&amp;Bem'!f.Rd.3/'Hilfstabellen_Mat&amp;Bem'!$BD$30)</f>
        <v>0.73510519389572282</v>
      </c>
      <c r="AT188" s="553">
        <f>0.5*(1+'Hilfstabellen_Mat&amp;Bem'!$BD$31*($AS188-0.3)+$AS188^2)</f>
        <v>0.79194508274102016</v>
      </c>
      <c r="AU188" s="550">
        <f t="shared" si="125"/>
        <v>0.92033657436610028</v>
      </c>
      <c r="AW188" s="551">
        <f t="shared" si="136"/>
        <v>53011.386683487377</v>
      </c>
      <c r="BA188" s="546">
        <f t="shared" si="137"/>
        <v>240</v>
      </c>
      <c r="BB188" s="551">
        <f t="shared" si="138"/>
        <v>47.631397208144122</v>
      </c>
      <c r="BC188" s="553">
        <f>$BB188/PI()*SQRT('Hilfstabellen_Mat&amp;Bem'!f.Rd.3/'Hilfstabellen_Mat&amp;Bem'!$BD$30)</f>
        <v>0.75807723120496417</v>
      </c>
      <c r="BD188" s="553">
        <f>0.5*(1+'Hilfstabellen_Mat&amp;Bem'!$BD$31*($BC188-0.3)+$BC188^2)</f>
        <v>0.81024440579594059</v>
      </c>
      <c r="BE188" s="550">
        <f t="shared" si="139"/>
        <v>0.91217783417269793</v>
      </c>
      <c r="BG188" s="551">
        <f t="shared" si="140"/>
        <v>52541.443248347401</v>
      </c>
      <c r="BK188" s="546">
        <f t="shared" si="141"/>
        <v>240</v>
      </c>
      <c r="BL188" s="551">
        <f t="shared" si="142"/>
        <v>49.074772881118186</v>
      </c>
      <c r="BM188" s="553">
        <f>$BL188/PI()*SQRT('Hilfstabellen_Mat&amp;Bem'!f.Rd.3/'Hilfstabellen_Mat&amp;Bem'!$BD$30)</f>
        <v>0.78104926851420542</v>
      </c>
      <c r="BN188" s="553">
        <f>0.5*(1+'Hilfstabellen_Mat&amp;Bem'!$BD$31*($BM188-0.3)+$BM188^2)</f>
        <v>0.82907144334899807</v>
      </c>
      <c r="BO188" s="550">
        <f t="shared" si="143"/>
        <v>0.90322905254372277</v>
      </c>
      <c r="BQ188" s="551">
        <f t="shared" si="144"/>
        <v>52025.993426518435</v>
      </c>
      <c r="BU188" s="546">
        <f t="shared" si="145"/>
        <v>240</v>
      </c>
      <c r="BV188" s="551">
        <f t="shared" si="146"/>
        <v>50.518148554092257</v>
      </c>
      <c r="BW188" s="553">
        <f>$BV188/PI()*SQRT('Hilfstabellen_Mat&amp;Bem'!f.Rd.3/'Hilfstabellen_Mat&amp;Bem'!$BD$30)</f>
        <v>0.80402130582344677</v>
      </c>
      <c r="BX188" s="553">
        <f>0.5*(1+'Hilfstabellen_Mat&amp;Bem'!$BD$31*($BW188-0.3)+$BW188^2)</f>
        <v>0.8484261954001926</v>
      </c>
      <c r="BY188" s="550">
        <f t="shared" si="147"/>
        <v>0.89340944151077073</v>
      </c>
      <c r="CA188" s="551">
        <f t="shared" si="148"/>
        <v>51460.383831020394</v>
      </c>
      <c r="CE188" s="546">
        <f t="shared" si="149"/>
        <v>240</v>
      </c>
      <c r="CF188" s="551">
        <f t="shared" si="150"/>
        <v>51.961524227066313</v>
      </c>
      <c r="CG188" s="553">
        <f>CF188/PI()*SQRT('Hilfstabellen_Mat&amp;Bem'!f.Rd.3/'Hilfstabellen_Mat&amp;Bem'!$BD$30)</f>
        <v>0.82699334313268802</v>
      </c>
      <c r="CH188" s="553">
        <f>0.5*(1+'Hilfstabellen_Mat&amp;Bem'!$BD$31*(CG188-0.3)+CG188^2)</f>
        <v>0.86830866194952439</v>
      </c>
      <c r="CI188" s="550">
        <f t="shared" si="151"/>
        <v>0.88264132162822806</v>
      </c>
      <c r="CK188" s="551">
        <f t="shared" si="152"/>
        <v>50840.14012578594</v>
      </c>
      <c r="CO188" s="546">
        <f t="shared" si="153"/>
        <v>240</v>
      </c>
      <c r="CP188" s="551">
        <f t="shared" si="154"/>
        <v>53.404899900040377</v>
      </c>
      <c r="CQ188" s="553">
        <f>CP188/PI()*SQRT('Hilfstabellen_Mat&amp;Bem'!f.Rd.3/'Hilfstabellen_Mat&amp;Bem'!$BD$30)</f>
        <v>0.84996538044192949</v>
      </c>
      <c r="CR188" s="553">
        <f>0.5*(1+'Hilfstabellen_Mat&amp;Bem'!$BD$31*(CQ188-0.3)+CQ188^2)</f>
        <v>0.88871884299699344</v>
      </c>
      <c r="CS188" s="550">
        <f t="shared" si="155"/>
        <v>0.8708559875013</v>
      </c>
      <c r="CU188" s="551">
        <f t="shared" si="156"/>
        <v>50161.30488007488</v>
      </c>
      <c r="CY188" s="546">
        <f t="shared" si="157"/>
        <v>240</v>
      </c>
      <c r="CZ188" s="551">
        <f t="shared" si="158"/>
        <v>54.848275573014448</v>
      </c>
      <c r="DA188" s="553">
        <f>CZ188/PI()*SQRT('Hilfstabellen_Mat&amp;Bem'!f.Rd.3/'Hilfstabellen_Mat&amp;Bem'!$BD$30)</f>
        <v>0.87293741775117084</v>
      </c>
      <c r="DB188" s="553">
        <f>0.5*(1+'Hilfstabellen_Mat&amp;Bem'!$BD$31*(DA188-0.3)+DA188^2)</f>
        <v>0.90965673854259965</v>
      </c>
      <c r="DC188" s="550">
        <f t="shared" si="159"/>
        <v>0.85800104182029346</v>
      </c>
      <c r="DE188" s="551">
        <f t="shared" si="160"/>
        <v>49420.860008848904</v>
      </c>
      <c r="DI188" s="546">
        <f t="shared" si="161"/>
        <v>240</v>
      </c>
      <c r="DJ188" s="551">
        <f t="shared" si="162"/>
        <v>56.291651245988511</v>
      </c>
      <c r="DK188" s="553">
        <f>DJ188/PI()*SQRT('Hilfstabellen_Mat&amp;Bem'!f.Rd.3/'Hilfstabellen_Mat&amp;Bem'!$BD$30)</f>
        <v>0.89590945506041209</v>
      </c>
      <c r="DL188" s="553">
        <f>0.5*(1+'Hilfstabellen_Mat&amp;Bem'!$BD$31*(DK188-0.3)+DK188^2)</f>
        <v>0.93112234858634291</v>
      </c>
      <c r="DM188" s="550">
        <f t="shared" si="163"/>
        <v>0.84404856527078032</v>
      </c>
      <c r="DO188" s="551">
        <f t="shared" si="164"/>
        <v>48617.197359596947</v>
      </c>
      <c r="DS188" s="546">
        <f t="shared" si="165"/>
        <v>240</v>
      </c>
      <c r="DT188" s="551">
        <f t="shared" si="166"/>
        <v>57.735026918962575</v>
      </c>
      <c r="DU188" s="553">
        <f>DT188/PI()*SQRT('Hilfstabellen_Mat&amp;Bem'!f.Rd.3/'Hilfstabellen_Mat&amp;Bem'!$BD$30)</f>
        <v>0.91888149236965355</v>
      </c>
      <c r="DV188" s="553">
        <f>0.5*(1+'Hilfstabellen_Mat&amp;Bem'!$BD$31*(DU188-0.3)+DU188^2)</f>
        <v>0.95311567312822354</v>
      </c>
      <c r="DW188" s="550">
        <f t="shared" si="167"/>
        <v>0.8290029172295762</v>
      </c>
      <c r="DY188" s="551">
        <f t="shared" si="168"/>
        <v>47750.568032423587</v>
      </c>
      <c r="EC188" s="546">
        <f t="shared" si="169"/>
        <v>240</v>
      </c>
      <c r="ED188" s="551">
        <f t="shared" si="170"/>
        <v>59.178402591936631</v>
      </c>
      <c r="EE188" s="553">
        <f>ED188/PI()*SQRT('Hilfstabellen_Mat&amp;Bem'!f.Rd.3/'Hilfstabellen_Mat&amp;Bem'!$BD$30)</f>
        <v>0.94185352967889457</v>
      </c>
      <c r="EF188" s="553">
        <f>0.5*(1+'Hilfstabellen_Mat&amp;Bem'!$BD$31*(EE188-0.3)+EE188^2)</f>
        <v>0.97563671216824099</v>
      </c>
      <c r="EG188" s="550">
        <f t="shared" si="171"/>
        <v>0.81290651648732437</v>
      </c>
      <c r="EI188" s="551">
        <f t="shared" si="172"/>
        <v>46823.415349669885</v>
      </c>
      <c r="EM188" s="546">
        <f t="shared" si="173"/>
        <v>240</v>
      </c>
      <c r="EN188" s="551">
        <f t="shared" si="174"/>
        <v>60.621778264910702</v>
      </c>
      <c r="EO188" s="553">
        <f>EN188/PI()*SQRT('Hilfstabellen_Mat&amp;Bem'!f.Rd.3/'Hilfstabellen_Mat&amp;Bem'!$BD$30)</f>
        <v>0.96482556698813604</v>
      </c>
      <c r="EP188" s="553">
        <f>0.5*(1+'Hilfstabellen_Mat&amp;Bem'!$BD$31*(EO188-0.3)+EO188^2)</f>
        <v>0.99868546570639594</v>
      </c>
      <c r="EQ188" s="550">
        <f t="shared" si="175"/>
        <v>0.79584192812715104</v>
      </c>
      <c r="ES188" s="551">
        <f t="shared" si="176"/>
        <v>45840.495060123903</v>
      </c>
    </row>
    <row r="189" spans="3:149">
      <c r="C189" s="546">
        <v>241</v>
      </c>
      <c r="D189" s="551">
        <f t="shared" si="126"/>
        <v>40.246823744339054</v>
      </c>
      <c r="E189" s="553">
        <f>$D189/PI()*SQRT('Hilfstabellen_Mat&amp;Bem'!f.Rd.3/'Hilfstabellen_Mat&amp;Bem'!$BD$30)</f>
        <v>0.64054809426598247</v>
      </c>
      <c r="F189" s="553">
        <f>0.5*(1+'Hilfstabellen_Mat&amp;Bem'!$BD$31*($E189-0.3)+$E189^2)</f>
        <v>0.72217833524719011</v>
      </c>
      <c r="G189" s="550">
        <f t="shared" si="127"/>
        <v>0.9472347824171089</v>
      </c>
      <c r="I189" s="551">
        <f t="shared" si="128"/>
        <v>55016.343397568104</v>
      </c>
      <c r="M189" s="546">
        <f t="shared" si="129"/>
        <v>241</v>
      </c>
      <c r="N189" s="551">
        <f t="shared" si="118"/>
        <v>41.684210306636878</v>
      </c>
      <c r="O189" s="553">
        <f>$N189/PI()*SQRT('Hilfstabellen_Mat&amp;Bem'!f.Rd.3/'Hilfstabellen_Mat&amp;Bem'!$BD$30)</f>
        <v>0.66342481191833902</v>
      </c>
      <c r="P189" s="553">
        <f>0.5*(1+'Hilfstabellen_Mat&amp;Bem'!$BD$31*($O189-0.3)+$O189^2)</f>
        <v>0.7382374811303587</v>
      </c>
      <c r="Q189" s="550">
        <f t="shared" si="119"/>
        <v>0.9415649200194478</v>
      </c>
      <c r="S189" s="551">
        <f t="shared" si="130"/>
        <v>54687.03211964955</v>
      </c>
      <c r="W189" s="546">
        <f t="shared" si="131"/>
        <v>241</v>
      </c>
      <c r="X189" s="551">
        <f t="shared" si="120"/>
        <v>43.121596868934702</v>
      </c>
      <c r="Y189" s="553">
        <f>$X189/PI()*SQRT('Hilfstabellen_Mat&amp;Bem'!f.Rd.3/'Hilfstabellen_Mat&amp;Bem'!$BD$30)</f>
        <v>0.68630152957069557</v>
      </c>
      <c r="Z189" s="553">
        <f>0.5*(1+'Hilfstabellen_Mat&amp;Bem'!$BD$31*($Y189-0.3)+$Y189^2)</f>
        <v>0.75481997122407296</v>
      </c>
      <c r="AA189" s="550">
        <f t="shared" si="121"/>
        <v>0.93540592187991689</v>
      </c>
      <c r="AC189" s="551">
        <f t="shared" si="132"/>
        <v>54329.311348707452</v>
      </c>
      <c r="AG189" s="546">
        <f t="shared" si="133"/>
        <v>241</v>
      </c>
      <c r="AH189" s="551">
        <f t="shared" si="122"/>
        <v>44.558983431232527</v>
      </c>
      <c r="AI189" s="553">
        <f>$AH189/PI()*SQRT('Hilfstabellen_Mat&amp;Bem'!f.Rd.3/'Hilfstabellen_Mat&amp;Bem'!$BD$30)</f>
        <v>0.70917824722305201</v>
      </c>
      <c r="AJ189" s="553">
        <f>0.5*(1+'Hilfstabellen_Mat&amp;Bem'!$BD$31*($AI189-0.3)+$AI189^2)</f>
        <v>0.77192580552833268</v>
      </c>
      <c r="AK189" s="550">
        <f t="shared" si="123"/>
        <v>0.92869540215951352</v>
      </c>
      <c r="AM189" s="551">
        <f t="shared" si="134"/>
        <v>53939.557652826705</v>
      </c>
      <c r="AQ189" s="546">
        <f t="shared" si="135"/>
        <v>241</v>
      </c>
      <c r="AR189" s="551">
        <f t="shared" si="124"/>
        <v>45.996369993530351</v>
      </c>
      <c r="AS189" s="553">
        <f>$AR189/PI()*SQRT('Hilfstabellen_Mat&amp;Bem'!f.Rd.3/'Hilfstabellen_Mat&amp;Bem'!$BD$30)</f>
        <v>0.73205496487540866</v>
      </c>
      <c r="AT189" s="553">
        <f>0.5*(1+'Hilfstabellen_Mat&amp;Bem'!$BD$31*($AS189-0.3)+$AS189^2)</f>
        <v>0.78955498404313829</v>
      </c>
      <c r="AU189" s="550">
        <f t="shared" si="125"/>
        <v>0.92136477213138057</v>
      </c>
      <c r="AW189" s="551">
        <f t="shared" si="136"/>
        <v>53513.787330162711</v>
      </c>
      <c r="BA189" s="546">
        <f t="shared" si="137"/>
        <v>241</v>
      </c>
      <c r="BB189" s="551">
        <f t="shared" si="138"/>
        <v>47.433756555828168</v>
      </c>
      <c r="BC189" s="553">
        <f>$BB189/PI()*SQRT('Hilfstabellen_Mat&amp;Bem'!f.Rd.3/'Hilfstabellen_Mat&amp;Bem'!$BD$30)</f>
        <v>0.75493168252776499</v>
      </c>
      <c r="BD189" s="553">
        <f>0.5*(1+'Hilfstabellen_Mat&amp;Bem'!$BD$31*($BC189-0.3)+$BC189^2)</f>
        <v>0.80770750676848935</v>
      </c>
      <c r="BE189" s="550">
        <f t="shared" si="139"/>
        <v>0.91333987873119948</v>
      </c>
      <c r="BG189" s="551">
        <f t="shared" si="140"/>
        <v>53047.693496586799</v>
      </c>
      <c r="BK189" s="546">
        <f t="shared" si="141"/>
        <v>241</v>
      </c>
      <c r="BL189" s="551">
        <f t="shared" si="142"/>
        <v>48.871143118125993</v>
      </c>
      <c r="BM189" s="553">
        <f>$BL189/PI()*SQRT('Hilfstabellen_Mat&amp;Bem'!f.Rd.3/'Hilfstabellen_Mat&amp;Bem'!$BD$30)</f>
        <v>0.77780840018012154</v>
      </c>
      <c r="BN189" s="553">
        <f>0.5*(1+'Hilfstabellen_Mat&amp;Bem'!$BD$31*($BM189-0.3)+$BM189^2)</f>
        <v>0.82638337370438619</v>
      </c>
      <c r="BO189" s="550">
        <f t="shared" si="143"/>
        <v>0.90454244645273962</v>
      </c>
      <c r="BQ189" s="551">
        <f t="shared" si="144"/>
        <v>52536.729832421574</v>
      </c>
      <c r="BU189" s="546">
        <f t="shared" si="145"/>
        <v>241</v>
      </c>
      <c r="BV189" s="551">
        <f t="shared" si="146"/>
        <v>50.308529680423817</v>
      </c>
      <c r="BW189" s="553">
        <f>$BV189/PI()*SQRT('Hilfstabellen_Mat&amp;Bem'!f.Rd.3/'Hilfstabellen_Mat&amp;Bem'!$BD$30)</f>
        <v>0.80068511783247809</v>
      </c>
      <c r="BX189" s="553">
        <f>0.5*(1+'Hilfstabellen_Mat&amp;Bem'!$BD$31*($BW189-0.3)+$BW189^2)</f>
        <v>0.84558258485082849</v>
      </c>
      <c r="BY189" s="550">
        <f t="shared" si="147"/>
        <v>0.89489262536531922</v>
      </c>
      <c r="CA189" s="551">
        <f t="shared" si="148"/>
        <v>51976.258573843108</v>
      </c>
      <c r="CE189" s="546">
        <f t="shared" si="149"/>
        <v>241</v>
      </c>
      <c r="CF189" s="551">
        <f t="shared" si="150"/>
        <v>51.745916242721641</v>
      </c>
      <c r="CG189" s="553">
        <f>CF189/PI()*SQRT('Hilfstabellen_Mat&amp;Bem'!f.Rd.3/'Hilfstabellen_Mat&amp;Bem'!$BD$30)</f>
        <v>0.82356183548483453</v>
      </c>
      <c r="CH189" s="553">
        <f>0.5*(1+'Hilfstabellen_Mat&amp;Bem'!$BD$31*(CG189-0.3)+CG189^2)</f>
        <v>0.86530514020781646</v>
      </c>
      <c r="CI189" s="550">
        <f t="shared" si="151"/>
        <v>0.88431293602885253</v>
      </c>
      <c r="CK189" s="551">
        <f t="shared" si="152"/>
        <v>51361.779637491782</v>
      </c>
      <c r="CO189" s="546">
        <f t="shared" si="153"/>
        <v>241</v>
      </c>
      <c r="CP189" s="551">
        <f t="shared" si="154"/>
        <v>53.183302805019466</v>
      </c>
      <c r="CQ189" s="553">
        <f>CP189/PI()*SQRT('Hilfstabellen_Mat&amp;Bem'!f.Rd.3/'Hilfstabellen_Mat&amp;Bem'!$BD$30)</f>
        <v>0.84643855313719107</v>
      </c>
      <c r="CR189" s="553">
        <f>0.5*(1+'Hilfstabellen_Mat&amp;Bem'!$BD$31*(CQ189-0.3)+CQ189^2)</f>
        <v>0.88555103977535032</v>
      </c>
      <c r="CS189" s="550">
        <f t="shared" si="155"/>
        <v>0.87273378750595298</v>
      </c>
      <c r="CU189" s="551">
        <f t="shared" si="156"/>
        <v>50689.251112133257</v>
      </c>
      <c r="CY189" s="546">
        <f t="shared" si="157"/>
        <v>241</v>
      </c>
      <c r="CZ189" s="551">
        <f t="shared" si="158"/>
        <v>54.62068936731729</v>
      </c>
      <c r="DA189" s="553">
        <f>CZ189/PI()*SQRT('Hilfstabellen_Mat&amp;Bem'!f.Rd.3/'Hilfstabellen_Mat&amp;Bem'!$BD$30)</f>
        <v>0.86931527078954773</v>
      </c>
      <c r="DB189" s="553">
        <f>0.5*(1+'Hilfstabellen_Mat&amp;Bem'!$BD$31*(DA189-0.3)+DA189^2)</f>
        <v>0.90632028355342975</v>
      </c>
      <c r="DC189" s="550">
        <f t="shared" si="159"/>
        <v>0.86010047544859891</v>
      </c>
      <c r="DE189" s="551">
        <f t="shared" si="160"/>
        <v>49955.495714530072</v>
      </c>
      <c r="DI189" s="546">
        <f t="shared" si="161"/>
        <v>241</v>
      </c>
      <c r="DJ189" s="551">
        <f t="shared" si="162"/>
        <v>56.058075929615107</v>
      </c>
      <c r="DK189" s="553">
        <f>DJ189/PI()*SQRT('Hilfstabellen_Mat&amp;Bem'!f.Rd.3/'Hilfstabellen_Mat&amp;Bem'!$BD$30)</f>
        <v>0.89219198844190406</v>
      </c>
      <c r="DL189" s="553">
        <f>0.5*(1+'Hilfstabellen_Mat&amp;Bem'!$BD$31*(DK189-0.3)+DK189^2)</f>
        <v>0.92761287154205452</v>
      </c>
      <c r="DM189" s="550">
        <f t="shared" si="163"/>
        <v>0.84638112391252807</v>
      </c>
      <c r="DO189" s="551">
        <f t="shared" si="164"/>
        <v>49158.662057963542</v>
      </c>
      <c r="DS189" s="546">
        <f t="shared" si="165"/>
        <v>241</v>
      </c>
      <c r="DT189" s="551">
        <f t="shared" si="166"/>
        <v>57.495462491912939</v>
      </c>
      <c r="DU189" s="553">
        <f>DT189/PI()*SQRT('Hilfstabellen_Mat&amp;Bem'!f.Rd.3/'Hilfstabellen_Mat&amp;Bem'!$BD$30)</f>
        <v>0.91506870609426072</v>
      </c>
      <c r="DV189" s="553">
        <f>0.5*(1+'Hilfstabellen_Mat&amp;Bem'!$BD$31*(DU189-0.3)+DU189^2)</f>
        <v>0.94942880374122529</v>
      </c>
      <c r="DW189" s="550">
        <f t="shared" si="167"/>
        <v>0.83157448311679505</v>
      </c>
      <c r="DY189" s="551">
        <f t="shared" si="168"/>
        <v>48298.677553906571</v>
      </c>
      <c r="EC189" s="546">
        <f t="shared" si="169"/>
        <v>241</v>
      </c>
      <c r="ED189" s="551">
        <f t="shared" si="170"/>
        <v>58.932849054210756</v>
      </c>
      <c r="EE189" s="553">
        <f>ED189/PI()*SQRT('Hilfstabellen_Mat&amp;Bem'!f.Rd.3/'Hilfstabellen_Mat&amp;Bem'!$BD$30)</f>
        <v>0.93794542374661705</v>
      </c>
      <c r="EF189" s="553">
        <f>0.5*(1+'Hilfstabellen_Mat&amp;Bem'!$BD$31*(EE189-0.3)+EE189^2)</f>
        <v>0.9717680801509414</v>
      </c>
      <c r="EG189" s="550">
        <f t="shared" si="171"/>
        <v>0.81571602652613262</v>
      </c>
      <c r="EI189" s="551">
        <f t="shared" si="172"/>
        <v>47377.602536664308</v>
      </c>
      <c r="EM189" s="546">
        <f t="shared" si="173"/>
        <v>241</v>
      </c>
      <c r="EN189" s="551">
        <f t="shared" si="174"/>
        <v>60.37023561650858</v>
      </c>
      <c r="EO189" s="553">
        <f>EN189/PI()*SQRT('Hilfstabellen_Mat&amp;Bem'!f.Rd.3/'Hilfstabellen_Mat&amp;Bem'!$BD$30)</f>
        <v>0.96082214139897371</v>
      </c>
      <c r="EP189" s="553">
        <f>0.5*(1+'Hilfstabellen_Mat&amp;Bem'!$BD$31*(EO189-0.3)+EO189^2)</f>
        <v>0.99463070077120341</v>
      </c>
      <c r="EQ189" s="550">
        <f t="shared" si="175"/>
        <v>0.79888068529128697</v>
      </c>
      <c r="ES189" s="551">
        <f t="shared" si="176"/>
        <v>46399.789082403237</v>
      </c>
    </row>
    <row r="190" spans="3:149">
      <c r="C190" s="546">
        <v>242</v>
      </c>
      <c r="D190" s="551">
        <f t="shared" si="126"/>
        <v>40.08051455531286</v>
      </c>
      <c r="E190" s="553">
        <f>$D190/PI()*SQRT('Hilfstabellen_Mat&amp;Bem'!f.Rd.3/'Hilfstabellen_Mat&amp;Bem'!$BD$30)</f>
        <v>0.63790120131447015</v>
      </c>
      <c r="F190" s="553">
        <f>0.5*(1+'Hilfstabellen_Mat&amp;Bem'!$BD$31*($E190-0.3)+$E190^2)</f>
        <v>0.72035403138494558</v>
      </c>
      <c r="G190" s="550">
        <f t="shared" si="127"/>
        <v>0.94786184373504134</v>
      </c>
      <c r="I190" s="551">
        <f t="shared" si="128"/>
        <v>55510.58101649896</v>
      </c>
      <c r="M190" s="546">
        <f t="shared" si="129"/>
        <v>242</v>
      </c>
      <c r="N190" s="551">
        <f t="shared" si="118"/>
        <v>41.51196150371689</v>
      </c>
      <c r="O190" s="553">
        <f>$N190/PI()*SQRT('Hilfstabellen_Mat&amp;Bem'!f.Rd.3/'Hilfstabellen_Mat&amp;Bem'!$BD$30)</f>
        <v>0.66068338707570129</v>
      </c>
      <c r="P190" s="553">
        <f>0.5*(1+'Hilfstabellen_Mat&amp;Bem'!$BD$31*($O190-0.3)+$O190^2)</f>
        <v>0.73628543833269555</v>
      </c>
      <c r="Q190" s="550">
        <f t="shared" si="119"/>
        <v>0.94226900005195591</v>
      </c>
      <c r="S190" s="551">
        <f t="shared" si="130"/>
        <v>55183.041719042747</v>
      </c>
      <c r="W190" s="546">
        <f t="shared" si="131"/>
        <v>242</v>
      </c>
      <c r="X190" s="551">
        <f t="shared" si="120"/>
        <v>42.943408452120927</v>
      </c>
      <c r="Y190" s="553">
        <f>$X190/PI()*SQRT('Hilfstabellen_Mat&amp;Bem'!f.Rd.3/'Hilfstabellen_Mat&amp;Bem'!$BD$30)</f>
        <v>0.68346557283693243</v>
      </c>
      <c r="Z190" s="553">
        <f>0.5*(1+'Hilfstabellen_Mat&amp;Bem'!$BD$31*($Y190-0.3)+$Y190^2)</f>
        <v>0.75273587326850466</v>
      </c>
      <c r="AA190" s="550">
        <f t="shared" si="121"/>
        <v>0.93619805184760674</v>
      </c>
      <c r="AC190" s="551">
        <f t="shared" si="132"/>
        <v>54827.502708403241</v>
      </c>
      <c r="AG190" s="546">
        <f t="shared" si="133"/>
        <v>242</v>
      </c>
      <c r="AH190" s="551">
        <f t="shared" si="122"/>
        <v>44.374855400524957</v>
      </c>
      <c r="AI190" s="553">
        <f>$AH190/PI()*SQRT('Hilfstabellen_Mat&amp;Bem'!f.Rd.3/'Hilfstabellen_Mat&amp;Bem'!$BD$30)</f>
        <v>0.70624775859816347</v>
      </c>
      <c r="AJ190" s="553">
        <f>0.5*(1+'Hilfstabellen_Mat&amp;Bem'!$BD$31*($AI190-0.3)+$AI190^2)</f>
        <v>0.76970533619237314</v>
      </c>
      <c r="AK190" s="550">
        <f t="shared" si="123"/>
        <v>0.92958814514660326</v>
      </c>
      <c r="AM190" s="551">
        <f t="shared" si="134"/>
        <v>54440.40013236567</v>
      </c>
      <c r="AQ190" s="546">
        <f t="shared" si="135"/>
        <v>242</v>
      </c>
      <c r="AR190" s="551">
        <f t="shared" si="124"/>
        <v>45.806302348928988</v>
      </c>
      <c r="AS190" s="553">
        <f>$AR190/PI()*SQRT('Hilfstabellen_Mat&amp;Bem'!f.Rd.3/'Hilfstabellen_Mat&amp;Bem'!$BD$30)</f>
        <v>0.7290299443593945</v>
      </c>
      <c r="AT190" s="553">
        <f>0.5*(1+'Hilfstabellen_Mat&amp;Bem'!$BD$31*($AS190-0.3)+$AS190^2)</f>
        <v>0.78719382710430064</v>
      </c>
      <c r="AU190" s="550">
        <f t="shared" si="125"/>
        <v>0.9223722881607227</v>
      </c>
      <c r="AW190" s="551">
        <f t="shared" si="136"/>
        <v>54017.810683844567</v>
      </c>
      <c r="BA190" s="546">
        <f t="shared" si="137"/>
        <v>242</v>
      </c>
      <c r="BB190" s="551">
        <f t="shared" si="138"/>
        <v>47.237749297333018</v>
      </c>
      <c r="BC190" s="553">
        <f>$BB190/PI()*SQRT('Hilfstabellen_Mat&amp;Bem'!f.Rd.3/'Hilfstabellen_Mat&amp;Bem'!$BD$30)</f>
        <v>0.75181213012062553</v>
      </c>
      <c r="BD190" s="553">
        <f>0.5*(1+'Hilfstabellen_Mat&amp;Bem'!$BD$31*($BC190-0.3)+$BC190^2)</f>
        <v>0.8052013460042875</v>
      </c>
      <c r="BE190" s="550">
        <f t="shared" si="139"/>
        <v>0.91447789649307298</v>
      </c>
      <c r="BG190" s="551">
        <f t="shared" si="140"/>
        <v>53555.483530220328</v>
      </c>
      <c r="BK190" s="546">
        <f t="shared" si="141"/>
        <v>242</v>
      </c>
      <c r="BL190" s="551">
        <f t="shared" si="142"/>
        <v>48.669196245737048</v>
      </c>
      <c r="BM190" s="553">
        <f>$BL190/PI()*SQRT('Hilfstabellen_Mat&amp;Bem'!f.Rd.3/'Hilfstabellen_Mat&amp;Bem'!$BD$30)</f>
        <v>0.77459431588185668</v>
      </c>
      <c r="BN190" s="553">
        <f>0.5*(1+'Hilfstabellen_Mat&amp;Bem'!$BD$31*($BM190-0.3)+$BM190^2)</f>
        <v>0.82372789289233372</v>
      </c>
      <c r="BO190" s="550">
        <f t="shared" si="143"/>
        <v>0.90582808627426281</v>
      </c>
      <c r="BQ190" s="551">
        <f t="shared" si="144"/>
        <v>53048.916044565929</v>
      </c>
      <c r="BU190" s="546">
        <f t="shared" si="145"/>
        <v>242</v>
      </c>
      <c r="BV190" s="551">
        <f t="shared" si="146"/>
        <v>50.100643194141078</v>
      </c>
      <c r="BW190" s="553">
        <f>$BV190/PI()*SQRT('Hilfstabellen_Mat&amp;Bem'!f.Rd.3/'Hilfstabellen_Mat&amp;Bem'!$BD$30)</f>
        <v>0.79737650164308782</v>
      </c>
      <c r="BX190" s="553">
        <f>0.5*(1+'Hilfstabellen_Mat&amp;Bem'!$BD$31*($BW190-0.3)+$BW190^2)</f>
        <v>0.84277346776843898</v>
      </c>
      <c r="BY190" s="550">
        <f t="shared" si="147"/>
        <v>0.89634400634052624</v>
      </c>
      <c r="CA190" s="551">
        <f t="shared" si="148"/>
        <v>52493.490387326579</v>
      </c>
      <c r="CE190" s="546">
        <f t="shared" si="149"/>
        <v>242</v>
      </c>
      <c r="CF190" s="551">
        <f t="shared" si="150"/>
        <v>51.532090142545108</v>
      </c>
      <c r="CG190" s="553">
        <f>CF190/PI()*SQRT('Hilfstabellen_Mat&amp;Bem'!f.Rd.3/'Hilfstabellen_Mat&amp;Bem'!$BD$30)</f>
        <v>0.82015868740431874</v>
      </c>
      <c r="CH190" s="553">
        <f>0.5*(1+'Hilfstabellen_Mat&amp;Bem'!$BD$31*(CG190-0.3)+CG190^2)</f>
        <v>0.86233807063260348</v>
      </c>
      <c r="CI190" s="550">
        <f t="shared" si="151"/>
        <v>0.88594849831842859</v>
      </c>
      <c r="CK190" s="551">
        <f t="shared" si="152"/>
        <v>51884.687855520453</v>
      </c>
      <c r="CO190" s="546">
        <f t="shared" si="153"/>
        <v>242</v>
      </c>
      <c r="CP190" s="551">
        <f t="shared" si="154"/>
        <v>52.963537090949139</v>
      </c>
      <c r="CQ190" s="553">
        <f>CP190/PI()*SQRT('Hilfstabellen_Mat&amp;Bem'!f.Rd.3/'Hilfstabellen_Mat&amp;Bem'!$BD$30)</f>
        <v>0.84294087316554978</v>
      </c>
      <c r="CR190" s="553">
        <f>0.5*(1+'Hilfstabellen_Mat&amp;Bem'!$BD$31*(CQ190-0.3)+CQ190^2)</f>
        <v>0.88242170148482724</v>
      </c>
      <c r="CS190" s="550">
        <f t="shared" si="155"/>
        <v>0.87457127948691837</v>
      </c>
      <c r="CU190" s="551">
        <f t="shared" si="156"/>
        <v>51218.392411871886</v>
      </c>
      <c r="CY190" s="546">
        <f t="shared" si="157"/>
        <v>242</v>
      </c>
      <c r="CZ190" s="551">
        <f t="shared" si="158"/>
        <v>54.394984039353169</v>
      </c>
      <c r="DA190" s="553">
        <f>CZ190/PI()*SQRT('Hilfstabellen_Mat&amp;Bem'!f.Rd.3/'Hilfstabellen_Mat&amp;Bem'!$BD$30)</f>
        <v>0.86572305892678103</v>
      </c>
      <c r="DB190" s="553">
        <f>0.5*(1+'Hilfstabellen_Mat&amp;Bem'!$BD$31*(DA190-0.3)+DA190^2)</f>
        <v>0.90302436032511046</v>
      </c>
      <c r="DC190" s="550">
        <f t="shared" si="159"/>
        <v>0.86215560630205168</v>
      </c>
      <c r="DE190" s="551">
        <f t="shared" si="160"/>
        <v>50491.280927473352</v>
      </c>
      <c r="DI190" s="546">
        <f t="shared" si="161"/>
        <v>242</v>
      </c>
      <c r="DJ190" s="551">
        <f t="shared" si="162"/>
        <v>55.826430987757199</v>
      </c>
      <c r="DK190" s="553">
        <f>DJ190/PI()*SQRT('Hilfstabellen_Mat&amp;Bem'!f.Rd.3/'Hilfstabellen_Mat&amp;Bem'!$BD$30)</f>
        <v>0.88850524468801206</v>
      </c>
      <c r="DL190" s="553">
        <f>0.5*(1+'Hilfstabellen_Mat&amp;Bem'!$BD$31*(DK190-0.3)+DK190^2)</f>
        <v>0.92414604715345261</v>
      </c>
      <c r="DM190" s="550">
        <f t="shared" si="163"/>
        <v>0.84866597042254555</v>
      </c>
      <c r="DO190" s="551">
        <f t="shared" si="164"/>
        <v>49701.273891825957</v>
      </c>
      <c r="DS190" s="546">
        <f t="shared" si="165"/>
        <v>242</v>
      </c>
      <c r="DT190" s="551">
        <f t="shared" si="166"/>
        <v>57.257877936161222</v>
      </c>
      <c r="DU190" s="553">
        <f>DT190/PI()*SQRT('Hilfstabellen_Mat&amp;Bem'!f.Rd.3/'Hilfstabellen_Mat&amp;Bem'!$BD$30)</f>
        <v>0.91128743044924299</v>
      </c>
      <c r="DV190" s="553">
        <f>0.5*(1+'Hilfstabellen_Mat&amp;Bem'!$BD$31*(DU190-0.3)+DU190^2)</f>
        <v>0.94578676196985412</v>
      </c>
      <c r="DW190" s="550">
        <f t="shared" si="167"/>
        <v>0.83409585206651693</v>
      </c>
      <c r="DY190" s="551">
        <f t="shared" si="168"/>
        <v>48847.989480423501</v>
      </c>
      <c r="EC190" s="546">
        <f t="shared" si="169"/>
        <v>242</v>
      </c>
      <c r="ED190" s="551">
        <f t="shared" si="170"/>
        <v>58.689324884565259</v>
      </c>
      <c r="EE190" s="553">
        <f>ED190/PI()*SQRT('Hilfstabellen_Mat&amp;Bem'!f.Rd.3/'Hilfstabellen_Mat&amp;Bem'!$BD$30)</f>
        <v>0.93406961621047424</v>
      </c>
      <c r="EF190" s="553">
        <f>0.5*(1+'Hilfstabellen_Mat&amp;Bem'!$BD$31*(EE190-0.3)+EE190^2)</f>
        <v>0.96794650477431499</v>
      </c>
      <c r="EG190" s="550">
        <f t="shared" si="171"/>
        <v>0.81847407245436743</v>
      </c>
      <c r="EI190" s="551">
        <f t="shared" si="172"/>
        <v>47933.115579217578</v>
      </c>
      <c r="EM190" s="546">
        <f t="shared" si="173"/>
        <v>242</v>
      </c>
      <c r="EN190" s="551">
        <f t="shared" si="174"/>
        <v>60.120771832969297</v>
      </c>
      <c r="EO190" s="553">
        <f>EN190/PI()*SQRT('Hilfstabellen_Mat&amp;Bem'!f.Rd.3/'Hilfstabellen_Mat&amp;Bem'!$BD$30)</f>
        <v>0.95685180197170527</v>
      </c>
      <c r="EP190" s="553">
        <f>0.5*(1+'Hilfstabellen_Mat&amp;Bem'!$BD$31*(EO190-0.3)+EO190^2)</f>
        <v>0.990625275566835</v>
      </c>
      <c r="EQ190" s="550">
        <f t="shared" si="175"/>
        <v>0.80186811120398915</v>
      </c>
      <c r="ES190" s="551">
        <f t="shared" si="176"/>
        <v>46960.604064550418</v>
      </c>
    </row>
    <row r="191" spans="3:149">
      <c r="C191" s="546">
        <v>243</v>
      </c>
      <c r="D191" s="551">
        <f t="shared" si="126"/>
        <v>39.91557416619635</v>
      </c>
      <c r="E191" s="553">
        <f>$D191/PI()*SQRT('Hilfstabellen_Mat&amp;Bem'!f.Rd.3/'Hilfstabellen_Mat&amp;Bem'!$BD$30)</f>
        <v>0.63527609349013092</v>
      </c>
      <c r="F191" s="553">
        <f>0.5*(1+'Hilfstabellen_Mat&amp;Bem'!$BD$31*($E191-0.3)+$E191^2)</f>
        <v>0.71855166215454735</v>
      </c>
      <c r="G191" s="550">
        <f t="shared" si="127"/>
        <v>0.94847810504484742</v>
      </c>
      <c r="I191" s="551">
        <f t="shared" si="128"/>
        <v>56006.683624793193</v>
      </c>
      <c r="M191" s="546">
        <f t="shared" si="129"/>
        <v>243</v>
      </c>
      <c r="N191" s="551">
        <f t="shared" si="118"/>
        <v>41.341130386417646</v>
      </c>
      <c r="O191" s="553">
        <f>$N191/PI()*SQRT('Hilfstabellen_Mat&amp;Bem'!f.Rd.3/'Hilfstabellen_Mat&amp;Bem'!$BD$30)</f>
        <v>0.65796452540049266</v>
      </c>
      <c r="P191" s="553">
        <f>0.5*(1+'Hilfstabellen_Mat&amp;Bem'!$BD$31*($O191-0.3)+$O191^2)</f>
        <v>0.73435688461277249</v>
      </c>
      <c r="Q191" s="550">
        <f t="shared" si="119"/>
        <v>0.94296045460988409</v>
      </c>
      <c r="S191" s="551">
        <f t="shared" si="130"/>
        <v>55680.871884259046</v>
      </c>
      <c r="W191" s="546">
        <f t="shared" si="131"/>
        <v>243</v>
      </c>
      <c r="X191" s="551">
        <f t="shared" si="120"/>
        <v>42.766686606638942</v>
      </c>
      <c r="Y191" s="553">
        <f>$X191/PI()*SQRT('Hilfstabellen_Mat&amp;Bem'!f.Rd.3/'Hilfstabellen_Mat&amp;Bem'!$BD$30)</f>
        <v>0.6806529573108544</v>
      </c>
      <c r="Z191" s="553">
        <f>0.5*(1+'Hilfstabellen_Mat&amp;Bem'!$BD$31*($Y191-0.3)+$Y191^2)</f>
        <v>0.7506768720135486</v>
      </c>
      <c r="AA191" s="550">
        <f t="shared" si="121"/>
        <v>0.93697542101838738</v>
      </c>
      <c r="AC191" s="551">
        <f t="shared" si="132"/>
        <v>55327.461635714753</v>
      </c>
      <c r="AG191" s="546">
        <f t="shared" si="133"/>
        <v>243</v>
      </c>
      <c r="AH191" s="551">
        <f t="shared" si="122"/>
        <v>44.192242826860237</v>
      </c>
      <c r="AI191" s="553">
        <f>$AH191/PI()*SQRT('Hilfstabellen_Mat&amp;Bem'!f.Rd.3/'Hilfstabellen_Mat&amp;Bem'!$BD$30)</f>
        <v>0.70334138922121614</v>
      </c>
      <c r="AJ191" s="553">
        <f>0.5*(1+'Hilfstabellen_Mat&amp;Bem'!$BD$31*($AI191-0.3)+$AI191^2)</f>
        <v>0.76751162435687603</v>
      </c>
      <c r="AK191" s="550">
        <f t="shared" si="123"/>
        <v>0.93046364514422109</v>
      </c>
      <c r="AM191" s="551">
        <f t="shared" si="134"/>
        <v>54942.947782121111</v>
      </c>
      <c r="AQ191" s="546">
        <f t="shared" si="135"/>
        <v>243</v>
      </c>
      <c r="AR191" s="551">
        <f t="shared" si="124"/>
        <v>45.61779904708154</v>
      </c>
      <c r="AS191" s="553">
        <f>$AR191/PI()*SQRT('Hilfstabellen_Mat&amp;Bem'!f.Rd.3/'Hilfstabellen_Mat&amp;Bem'!$BD$30)</f>
        <v>0.72602982113157799</v>
      </c>
      <c r="AT191" s="553">
        <f>0.5*(1+'Hilfstabellen_Mat&amp;Bem'!$BD$31*($AS191-0.3)+$AS191^2)</f>
        <v>0.78486114164275445</v>
      </c>
      <c r="AU191" s="550">
        <f t="shared" si="125"/>
        <v>0.92335970207218898</v>
      </c>
      <c r="AW191" s="551">
        <f t="shared" si="136"/>
        <v>54523.467047660684</v>
      </c>
      <c r="BA191" s="546">
        <f t="shared" si="137"/>
        <v>243</v>
      </c>
      <c r="BB191" s="551">
        <f t="shared" si="138"/>
        <v>47.043355267302836</v>
      </c>
      <c r="BC191" s="553">
        <f>$BB191/PI()*SQRT('Hilfstabellen_Mat&amp;Bem'!f.Rd.3/'Hilfstabellen_Mat&amp;Bem'!$BD$30)</f>
        <v>0.74871825304193984</v>
      </c>
      <c r="BD191" s="553">
        <f>0.5*(1+'Hilfstabellen_Mat&amp;Bem'!$BD$31*($BC191-0.3)+$BC191^2)</f>
        <v>0.80272542387118406</v>
      </c>
      <c r="BE191" s="550">
        <f t="shared" si="139"/>
        <v>0.91559256108468756</v>
      </c>
      <c r="BG191" s="551">
        <f t="shared" si="140"/>
        <v>54064.825139489716</v>
      </c>
      <c r="BK191" s="546">
        <f t="shared" si="141"/>
        <v>243</v>
      </c>
      <c r="BL191" s="551">
        <f t="shared" si="142"/>
        <v>48.468911487524132</v>
      </c>
      <c r="BM191" s="553">
        <f>$BL191/PI()*SQRT('Hilfstabellen_Mat&amp;Bem'!f.Rd.3/'Hilfstabellen_Mat&amp;Bem'!$BD$30)</f>
        <v>0.77140668495230158</v>
      </c>
      <c r="BN191" s="553">
        <f>0.5*(1+'Hilfstabellen_Mat&amp;Bem'!$BD$31*($BM191-0.3)+$BM191^2)</f>
        <v>0.82110447104216489</v>
      </c>
      <c r="BO191" s="550">
        <f t="shared" si="143"/>
        <v>0.90708674147456603</v>
      </c>
      <c r="BQ191" s="551">
        <f t="shared" si="144"/>
        <v>53562.564997331647</v>
      </c>
      <c r="BU191" s="546">
        <f t="shared" si="145"/>
        <v>243</v>
      </c>
      <c r="BV191" s="551">
        <f t="shared" si="146"/>
        <v>49.894467707745434</v>
      </c>
      <c r="BW191" s="553">
        <f>$BV191/PI()*SQRT('Hilfstabellen_Mat&amp;Bem'!f.Rd.3/'Hilfstabellen_Mat&amp;Bem'!$BD$30)</f>
        <v>0.79409511686266354</v>
      </c>
      <c r="BX191" s="553">
        <f>0.5*(1+'Hilfstabellen_Mat&amp;Bem'!$BD$31*($BW191-0.3)+$BW191^2)</f>
        <v>0.8399982831556968</v>
      </c>
      <c r="BY191" s="550">
        <f t="shared" si="147"/>
        <v>0.89776444335964567</v>
      </c>
      <c r="CA191" s="551">
        <f t="shared" si="148"/>
        <v>53012.092615943715</v>
      </c>
      <c r="CE191" s="546">
        <f t="shared" si="149"/>
        <v>243</v>
      </c>
      <c r="CF191" s="551">
        <f t="shared" si="150"/>
        <v>51.32002392796673</v>
      </c>
      <c r="CG191" s="553">
        <f>CF191/PI()*SQRT('Hilfstabellen_Mat&amp;Bem'!f.Rd.3/'Hilfstabellen_Mat&amp;Bem'!$BD$30)</f>
        <v>0.81678354877302528</v>
      </c>
      <c r="CH191" s="553">
        <f>0.5*(1+'Hilfstabellen_Mat&amp;Bem'!$BD$31*(CG191-0.3)+CG191^2)</f>
        <v>0.8594068602117797</v>
      </c>
      <c r="CI191" s="550">
        <f t="shared" si="151"/>
        <v>0.88754893868220897</v>
      </c>
      <c r="CK191" s="551">
        <f t="shared" si="152"/>
        <v>52408.877280245761</v>
      </c>
      <c r="CO191" s="546">
        <f t="shared" si="153"/>
        <v>243</v>
      </c>
      <c r="CP191" s="551">
        <f t="shared" si="154"/>
        <v>52.745580148188026</v>
      </c>
      <c r="CQ191" s="553">
        <f>CP191/PI()*SQRT('Hilfstabellen_Mat&amp;Bem'!f.Rd.3/'Hilfstabellen_Mat&amp;Bem'!$BD$30)</f>
        <v>0.83947198068338702</v>
      </c>
      <c r="CR191" s="553">
        <f>0.5*(1+'Hilfstabellen_Mat&amp;Bem'!$BD$31*(CQ191-0.3)+CQ191^2)</f>
        <v>0.87933020221041369</v>
      </c>
      <c r="CS191" s="550">
        <f t="shared" si="155"/>
        <v>0.87636943184228999</v>
      </c>
      <c r="CU191" s="551">
        <f t="shared" si="156"/>
        <v>51748.738580855381</v>
      </c>
      <c r="CY191" s="546">
        <f t="shared" si="157"/>
        <v>243</v>
      </c>
      <c r="CZ191" s="551">
        <f t="shared" si="158"/>
        <v>54.171136368409329</v>
      </c>
      <c r="DA191" s="553">
        <f>CZ191/PI()*SQRT('Hilfstabellen_Mat&amp;Bem'!f.Rd.3/'Hilfstabellen_Mat&amp;Bem'!$BD$30)</f>
        <v>0.86216041259374898</v>
      </c>
      <c r="DB191" s="553">
        <f>0.5*(1+'Hilfstabellen_Mat&amp;Bem'!$BD$31*(DA191-0.3)+DA191^2)</f>
        <v>0.89976830915159911</v>
      </c>
      <c r="DC191" s="550">
        <f t="shared" si="159"/>
        <v>0.86416739209244853</v>
      </c>
      <c r="DE191" s="551">
        <f t="shared" si="160"/>
        <v>51028.220335666992</v>
      </c>
      <c r="DI191" s="546">
        <f t="shared" si="161"/>
        <v>243</v>
      </c>
      <c r="DJ191" s="551">
        <f t="shared" si="162"/>
        <v>55.596692588630624</v>
      </c>
      <c r="DK191" s="553">
        <f>DJ191/PI()*SQRT('Hilfstabellen_Mat&amp;Bem'!f.Rd.3/'Hilfstabellen_Mat&amp;Bem'!$BD$30)</f>
        <v>0.88484884450411061</v>
      </c>
      <c r="DL191" s="553">
        <f>0.5*(1+'Hilfstabellen_Mat&amp;Bem'!$BD$31*(DK191-0.3)+DK191^2)</f>
        <v>0.9207211810353354</v>
      </c>
      <c r="DM191" s="550">
        <f t="shared" si="163"/>
        <v>0.85090398982756577</v>
      </c>
      <c r="DO191" s="551">
        <f t="shared" si="164"/>
        <v>50245.029695327932</v>
      </c>
      <c r="DS191" s="546">
        <f t="shared" si="165"/>
        <v>243</v>
      </c>
      <c r="DT191" s="551">
        <f t="shared" si="166"/>
        <v>57.02224880885192</v>
      </c>
      <c r="DU191" s="553">
        <f>DT191/PI()*SQRT('Hilfstabellen_Mat&amp;Bem'!f.Rd.3/'Hilfstabellen_Mat&amp;Bem'!$BD$30)</f>
        <v>0.90753727641447246</v>
      </c>
      <c r="DV191" s="553">
        <f>0.5*(1+'Hilfstabellen_Mat&amp;Bem'!$BD$31*(DU191-0.3)+DU191^2)</f>
        <v>0.9421888178616229</v>
      </c>
      <c r="DW191" s="550">
        <f t="shared" si="167"/>
        <v>0.83656776883824846</v>
      </c>
      <c r="DY191" s="551">
        <f t="shared" si="168"/>
        <v>49398.490182129732</v>
      </c>
      <c r="EC191" s="546">
        <f t="shared" si="169"/>
        <v>243</v>
      </c>
      <c r="ED191" s="551">
        <f t="shared" si="170"/>
        <v>58.447805029073216</v>
      </c>
      <c r="EE191" s="553">
        <f>ED191/PI()*SQRT('Hilfstabellen_Mat&amp;Bem'!f.Rd.3/'Hilfstabellen_Mat&amp;Bem'!$BD$30)</f>
        <v>0.93022570832483431</v>
      </c>
      <c r="EF191" s="553">
        <f>0.5*(1+'Hilfstabellen_Mat&amp;Bem'!$BD$31*(EE191-0.3)+EE191^2)</f>
        <v>0.96417121963046148</v>
      </c>
      <c r="EG191" s="550">
        <f t="shared" si="171"/>
        <v>0.8211811971019225</v>
      </c>
      <c r="EI191" s="551">
        <f t="shared" si="172"/>
        <v>48489.928507671422</v>
      </c>
      <c r="EM191" s="546">
        <f t="shared" si="173"/>
        <v>243</v>
      </c>
      <c r="EN191" s="551">
        <f t="shared" si="174"/>
        <v>59.873361249294518</v>
      </c>
      <c r="EO191" s="553">
        <f>EN191/PI()*SQRT('Hilfstabellen_Mat&amp;Bem'!f.Rd.3/'Hilfstabellen_Mat&amp;Bem'!$BD$30)</f>
        <v>0.95291414023519616</v>
      </c>
      <c r="EP191" s="553">
        <f>0.5*(1+'Hilfstabellen_Mat&amp;Bem'!$BD$31*(EO191-0.3)+EO191^2)</f>
        <v>0.98666838634185139</v>
      </c>
      <c r="EQ191" s="550">
        <f t="shared" si="175"/>
        <v>0.80480450344570242</v>
      </c>
      <c r="ES191" s="551">
        <f t="shared" si="176"/>
        <v>47522.901123965283</v>
      </c>
    </row>
    <row r="192" spans="3:149">
      <c r="C192" s="546">
        <v>244</v>
      </c>
      <c r="D192" s="551">
        <f t="shared" si="126"/>
        <v>39.751985747482422</v>
      </c>
      <c r="E192" s="553">
        <f>$D192/PI()*SQRT('Hilfstabellen_Mat&amp;Bem'!f.Rd.3/'Hilfstabellen_Mat&amp;Bem'!$BD$30)</f>
        <v>0.63267250294304</v>
      </c>
      <c r="F192" s="553">
        <f>0.5*(1+'Hilfstabellen_Mat&amp;Bem'!$BD$31*($E192-0.3)+$E192^2)</f>
        <v>0.71677087313725751</v>
      </c>
      <c r="G192" s="550">
        <f t="shared" si="127"/>
        <v>0.9490838456718409</v>
      </c>
      <c r="I192" s="551">
        <f t="shared" si="128"/>
        <v>56504.655835918718</v>
      </c>
      <c r="M192" s="546">
        <f t="shared" si="129"/>
        <v>244</v>
      </c>
      <c r="N192" s="551">
        <f t="shared" si="118"/>
        <v>41.17169952417823</v>
      </c>
      <c r="O192" s="553">
        <f>$N192/PI()*SQRT('Hilfstabellen_Mat&amp;Bem'!f.Rd.3/'Hilfstabellen_Mat&amp;Bem'!$BD$30)</f>
        <v>0.65526794947672018</v>
      </c>
      <c r="P192" s="553">
        <f>0.5*(1+'Hilfstabellen_Mat&amp;Bem'!$BD$31*($O192-0.3)+$O192^2)</f>
        <v>0.73245144027954878</v>
      </c>
      <c r="Q192" s="550">
        <f t="shared" si="119"/>
        <v>0.94363961886175873</v>
      </c>
      <c r="S192" s="551">
        <f t="shared" si="130"/>
        <v>56180.528348553671</v>
      </c>
      <c r="W192" s="546">
        <f t="shared" si="131"/>
        <v>244</v>
      </c>
      <c r="X192" s="551">
        <f t="shared" si="120"/>
        <v>42.591413300874031</v>
      </c>
      <c r="Y192" s="553">
        <f>$X192/PI()*SQRT('Hilfstabellen_Mat&amp;Bem'!f.Rd.3/'Hilfstabellen_Mat&amp;Bem'!$BD$30)</f>
        <v>0.67786339601040013</v>
      </c>
      <c r="Z192" s="553">
        <f>0.5*(1+'Hilfstabellen_Mat&amp;Bem'!$BD$31*($Y192-0.3)+$Y192^2)</f>
        <v>0.74864256162589626</v>
      </c>
      <c r="AA192" s="550">
        <f t="shared" si="121"/>
        <v>0.93773843000414547</v>
      </c>
      <c r="AC192" s="551">
        <f t="shared" si="132"/>
        <v>55829.195168726808</v>
      </c>
      <c r="AG192" s="546">
        <f t="shared" si="133"/>
        <v>244</v>
      </c>
      <c r="AH192" s="551">
        <f t="shared" si="122"/>
        <v>44.011127077569832</v>
      </c>
      <c r="AI192" s="553">
        <f>$AH192/PI()*SQRT('Hilfstabellen_Mat&amp;Bem'!f.Rd.3/'Hilfstabellen_Mat&amp;Bem'!$BD$30)</f>
        <v>0.70045884254408008</v>
      </c>
      <c r="AJ192" s="553">
        <f>0.5*(1+'Hilfstabellen_Mat&amp;Bem'!$BD$31*($AI192-0.3)+$AI192^2)</f>
        <v>0.76534423717630018</v>
      </c>
      <c r="AK192" s="550">
        <f t="shared" si="123"/>
        <v>0.93132237813285712</v>
      </c>
      <c r="AM192" s="551">
        <f t="shared" si="134"/>
        <v>55447.20910451778</v>
      </c>
      <c r="AQ192" s="546">
        <f t="shared" si="135"/>
        <v>244</v>
      </c>
      <c r="AR192" s="551">
        <f t="shared" si="124"/>
        <v>45.430840854265632</v>
      </c>
      <c r="AS192" s="553">
        <f>$AR192/PI()*SQRT('Hilfstabellen_Mat&amp;Bem'!f.Rd.3/'Hilfstabellen_Mat&amp;Bem'!$BD$30)</f>
        <v>0.72305428907776015</v>
      </c>
      <c r="AT192" s="553">
        <f>0.5*(1+'Hilfstabellen_Mat&amp;Bem'!$BD$31*($AS192-0.3)+$AS192^2)</f>
        <v>0.78255646693076053</v>
      </c>
      <c r="AU192" s="550">
        <f t="shared" si="125"/>
        <v>0.92432757451782643</v>
      </c>
      <c r="AW192" s="551">
        <f t="shared" si="136"/>
        <v>55030.766476493314</v>
      </c>
      <c r="BA192" s="546">
        <f t="shared" si="137"/>
        <v>244</v>
      </c>
      <c r="BB192" s="551">
        <f t="shared" si="138"/>
        <v>46.850554630961433</v>
      </c>
      <c r="BC192" s="553">
        <f>$BB192/PI()*SQRT('Hilfstabellen_Mat&amp;Bem'!f.Rd.3/'Hilfstabellen_Mat&amp;Bem'!$BD$30)</f>
        <v>0.7456497356114401</v>
      </c>
      <c r="BD192" s="553">
        <f>0.5*(1+'Hilfstabellen_Mat&amp;Bem'!$BD$31*($BC192-0.3)+$BC192^2)</f>
        <v>0.80027925088927732</v>
      </c>
      <c r="BE192" s="550">
        <f t="shared" si="139"/>
        <v>0.91668452495120567</v>
      </c>
      <c r="BG192" s="551">
        <f t="shared" si="140"/>
        <v>54575.729877494981</v>
      </c>
      <c r="BK192" s="546">
        <f t="shared" si="141"/>
        <v>244</v>
      </c>
      <c r="BL192" s="551">
        <f t="shared" si="142"/>
        <v>48.270268407657234</v>
      </c>
      <c r="BM192" s="553">
        <f>$BL192/PI()*SQRT('Hilfstabellen_Mat&amp;Bem'!f.Rd.3/'Hilfstabellen_Mat&amp;Bem'!$BD$30)</f>
        <v>0.76824518214512016</v>
      </c>
      <c r="BN192" s="553">
        <f>0.5*(1+'Hilfstabellen_Mat&amp;Bem'!$BD$31*($BM192-0.3)+$BM192^2)</f>
        <v>0.81851258905185043</v>
      </c>
      <c r="BO192" s="550">
        <f t="shared" si="143"/>
        <v>0.90831915892417836</v>
      </c>
      <c r="BQ192" s="551">
        <f t="shared" si="144"/>
        <v>54077.689445709882</v>
      </c>
      <c r="BU192" s="546">
        <f t="shared" si="145"/>
        <v>244</v>
      </c>
      <c r="BV192" s="551">
        <f t="shared" si="146"/>
        <v>49.689982184353035</v>
      </c>
      <c r="BW192" s="553">
        <f>$BV192/PI()*SQRT('Hilfstabellen_Mat&amp;Bem'!f.Rd.3/'Hilfstabellen_Mat&amp;Bem'!$BD$30)</f>
        <v>0.79084062867880012</v>
      </c>
      <c r="BX192" s="553">
        <f>0.5*(1+'Hilfstabellen_Mat&amp;Bem'!$BD$31*($BW192-0.3)+$BW192^2)</f>
        <v>0.83725648141847986</v>
      </c>
      <c r="BY192" s="550">
        <f t="shared" si="147"/>
        <v>0.89915477280804779</v>
      </c>
      <c r="CA192" s="551">
        <f t="shared" si="148"/>
        <v>53532.078553899933</v>
      </c>
      <c r="CE192" s="546">
        <f t="shared" si="149"/>
        <v>244</v>
      </c>
      <c r="CF192" s="551">
        <f t="shared" si="150"/>
        <v>51.109695961048835</v>
      </c>
      <c r="CG192" s="553">
        <f>CF192/PI()*SQRT('Hilfstabellen_Mat&amp;Bem'!f.Rd.3/'Hilfstabellen_Mat&amp;Bem'!$BD$30)</f>
        <v>0.81343607521248007</v>
      </c>
      <c r="CH192" s="553">
        <f>0.5*(1+'Hilfstabellen_Mat&amp;Bem'!$BD$31*(CG192-0.3)+CG192^2)</f>
        <v>0.85651092798916584</v>
      </c>
      <c r="CI192" s="550">
        <f t="shared" si="151"/>
        <v>0.88911516708033544</v>
      </c>
      <c r="CK192" s="551">
        <f t="shared" si="152"/>
        <v>52934.360587294854</v>
      </c>
      <c r="CO192" s="546">
        <f t="shared" si="153"/>
        <v>244</v>
      </c>
      <c r="CP192" s="551">
        <f t="shared" si="154"/>
        <v>52.529409737744636</v>
      </c>
      <c r="CQ192" s="553">
        <f>CP192/PI()*SQRT('Hilfstabellen_Mat&amp;Bem'!f.Rd.3/'Hilfstabellen_Mat&amp;Bem'!$BD$30)</f>
        <v>0.83603152174616013</v>
      </c>
      <c r="CR192" s="553">
        <f>0.5*(1+'Hilfstabellen_Mat&amp;Bem'!$BD$31*(CQ192-0.3)+CQ192^2)</f>
        <v>0.87627592876390814</v>
      </c>
      <c r="CS192" s="550">
        <f t="shared" si="155"/>
        <v>0.87812919802424982</v>
      </c>
      <c r="CU192" s="551">
        <f t="shared" si="156"/>
        <v>52280.29993357174</v>
      </c>
      <c r="CY192" s="546">
        <f t="shared" si="157"/>
        <v>244</v>
      </c>
      <c r="CZ192" s="551">
        <f t="shared" si="158"/>
        <v>53.949123514440437</v>
      </c>
      <c r="DA192" s="553">
        <f>CZ192/PI()*SQRT('Hilfstabellen_Mat&amp;Bem'!f.Rd.3/'Hilfstabellen_Mat&amp;Bem'!$BD$30)</f>
        <v>0.85862696827984009</v>
      </c>
      <c r="DB192" s="553">
        <f>0.5*(1+'Hilfstabellen_Mat&amp;Bem'!$BD$31*(DA192-0.3)+DA192^2)</f>
        <v>0.89655148374270677</v>
      </c>
      <c r="DC192" s="550">
        <f t="shared" si="159"/>
        <v>0.86613678416687034</v>
      </c>
      <c r="DE192" s="551">
        <f t="shared" si="160"/>
        <v>51566.319582158794</v>
      </c>
      <c r="DI192" s="546">
        <f t="shared" si="161"/>
        <v>244</v>
      </c>
      <c r="DJ192" s="551">
        <f t="shared" si="162"/>
        <v>55.368837291136238</v>
      </c>
      <c r="DK192" s="553">
        <f>DJ192/PI()*SQRT('Hilfstabellen_Mat&amp;Bem'!f.Rd.3/'Hilfstabellen_Mat&amp;Bem'!$BD$30)</f>
        <v>0.88122241481352015</v>
      </c>
      <c r="DL192" s="553">
        <f>0.5*(1+'Hilfstabellen_Mat&amp;Bem'!$BD$31*(DK192-0.3)+DK192^2)</f>
        <v>0.91733759292556183</v>
      </c>
      <c r="DM192" s="550">
        <f t="shared" si="163"/>
        <v>0.85309607227956363</v>
      </c>
      <c r="DO192" s="551">
        <f t="shared" si="164"/>
        <v>50789.927759236103</v>
      </c>
      <c r="DS192" s="546">
        <f t="shared" si="165"/>
        <v>244</v>
      </c>
      <c r="DT192" s="551">
        <f t="shared" si="166"/>
        <v>56.788551067832032</v>
      </c>
      <c r="DU192" s="553">
        <f>DT192/PI()*SQRT('Hilfstabellen_Mat&amp;Bem'!f.Rd.3/'Hilfstabellen_Mat&amp;Bem'!$BD$30)</f>
        <v>0.90381786134719988</v>
      </c>
      <c r="DV192" s="553">
        <f>0.5*(1+'Hilfstabellen_Mat&amp;Bem'!$BD$31*(DU192-0.3)+DU192^2)</f>
        <v>0.9386342563124731</v>
      </c>
      <c r="DW192" s="550">
        <f t="shared" si="167"/>
        <v>0.8389909963771095</v>
      </c>
      <c r="DY192" s="551">
        <f t="shared" si="168"/>
        <v>49950.16796030759</v>
      </c>
      <c r="EC192" s="546">
        <f t="shared" si="169"/>
        <v>244</v>
      </c>
      <c r="ED192" s="551">
        <f t="shared" si="170"/>
        <v>58.208264844527839</v>
      </c>
      <c r="EE192" s="553">
        <f>ED192/PI()*SQRT('Hilfstabellen_Mat&amp;Bem'!f.Rd.3/'Hilfstabellen_Mat&amp;Bem'!$BD$30)</f>
        <v>0.92641330788088005</v>
      </c>
      <c r="EF192" s="553">
        <f>0.5*(1+'Hilfstabellen_Mat&amp;Bem'!$BD$31*(EE192-0.3)+EE192^2)</f>
        <v>0.96044147390344115</v>
      </c>
      <c r="EG192" s="550">
        <f t="shared" si="171"/>
        <v>0.82383797397558045</v>
      </c>
      <c r="EI192" s="551">
        <f t="shared" si="172"/>
        <v>49048.01761861016</v>
      </c>
      <c r="EM192" s="546">
        <f t="shared" si="173"/>
        <v>244</v>
      </c>
      <c r="EN192" s="551">
        <f t="shared" si="174"/>
        <v>59.62797862122364</v>
      </c>
      <c r="EO192" s="553">
        <f>EN192/PI()*SQRT('Hilfstabellen_Mat&amp;Bem'!f.Rd.3/'Hilfstabellen_Mat&amp;Bem'!$BD$30)</f>
        <v>0.94900875441456012</v>
      </c>
      <c r="EP192" s="553">
        <f>0.5*(1+'Hilfstabellen_Mat&amp;Bem'!$BD$31*(EO192-0.3)+EO192^2)</f>
        <v>0.9827592456984654</v>
      </c>
      <c r="EQ192" s="550">
        <f t="shared" si="175"/>
        <v>0.80769019984237944</v>
      </c>
      <c r="ES192" s="551">
        <f t="shared" si="176"/>
        <v>48086.643737815903</v>
      </c>
    </row>
    <row r="193" spans="3:149">
      <c r="C193" s="546">
        <v>245</v>
      </c>
      <c r="D193" s="551">
        <f t="shared" si="126"/>
        <v>39.58973274443148</v>
      </c>
      <c r="E193" s="553">
        <f>$D193/PI()*SQRT('Hilfstabellen_Mat&amp;Bem'!f.Rd.3/'Hilfstabellen_Mat&amp;Bem'!$BD$30)</f>
        <v>0.63009016619633385</v>
      </c>
      <c r="F193" s="553">
        <f>0.5*(1+'Hilfstabellen_Mat&amp;Bem'!$BD$31*($E193-0.3)+$E193^2)</f>
        <v>0.71501131707847843</v>
      </c>
      <c r="G193" s="550">
        <f t="shared" si="127"/>
        <v>0.94967933574484364</v>
      </c>
      <c r="I193" s="551">
        <f t="shared" si="128"/>
        <v>57004.502128084241</v>
      </c>
      <c r="M193" s="546">
        <f t="shared" si="129"/>
        <v>245</v>
      </c>
      <c r="N193" s="551">
        <f t="shared" si="118"/>
        <v>41.003651771018319</v>
      </c>
      <c r="O193" s="553">
        <f>$N193/PI()*SQRT('Hilfstabellen_Mat&amp;Bem'!f.Rd.3/'Hilfstabellen_Mat&amp;Bem'!$BD$30)</f>
        <v>0.65259338641763143</v>
      </c>
      <c r="P193" s="553">
        <f>0.5*(1+'Hilfstabellen_Mat&amp;Bem'!$BD$31*($O193-0.3)+$O193^2)</f>
        <v>0.7305687333188976</v>
      </c>
      <c r="Q193" s="550">
        <f t="shared" si="119"/>
        <v>0.94430681680950757</v>
      </c>
      <c r="S193" s="551">
        <f t="shared" si="130"/>
        <v>56682.016678990694</v>
      </c>
      <c r="W193" s="546">
        <f t="shared" si="131"/>
        <v>245</v>
      </c>
      <c r="X193" s="551">
        <f t="shared" si="120"/>
        <v>42.417570797605151</v>
      </c>
      <c r="Y193" s="553">
        <f>$X193/PI()*SQRT('Hilfstabellen_Mat&amp;Bem'!f.Rd.3/'Hilfstabellen_Mat&amp;Bem'!$BD$30)</f>
        <v>0.67509660663892901</v>
      </c>
      <c r="Z193" s="553">
        <f>0.5*(1+'Hilfstabellen_Mat&amp;Bem'!$BD$31*($Y193-0.3)+$Y193^2)</f>
        <v>0.74663254447964489</v>
      </c>
      <c r="AA193" s="550">
        <f t="shared" si="121"/>
        <v>0.93848746600709954</v>
      </c>
      <c r="AC193" s="551">
        <f t="shared" si="132"/>
        <v>56332.710147076148</v>
      </c>
      <c r="AG193" s="546">
        <f t="shared" si="133"/>
        <v>245</v>
      </c>
      <c r="AH193" s="551">
        <f t="shared" si="122"/>
        <v>43.831489824191998</v>
      </c>
      <c r="AI193" s="553">
        <f>$AH193/PI()*SQRT('Hilfstabellen_Mat&amp;Bem'!f.Rd.3/'Hilfstabellen_Mat&amp;Bem'!$BD$30)</f>
        <v>0.69759982686022681</v>
      </c>
      <c r="AJ193" s="553">
        <f>0.5*(1+'Hilfstabellen_Mat&amp;Bem'!$BD$31*($AI193-0.3)+$AI193^2)</f>
        <v>0.76320275056072051</v>
      </c>
      <c r="AK193" s="550">
        <f t="shared" si="123"/>
        <v>0.93216480423929005</v>
      </c>
      <c r="AM193" s="551">
        <f t="shared" si="134"/>
        <v>55953.192374463382</v>
      </c>
      <c r="AQ193" s="546">
        <f t="shared" si="135"/>
        <v>245</v>
      </c>
      <c r="AR193" s="551">
        <f t="shared" si="124"/>
        <v>45.245408850778837</v>
      </c>
      <c r="AS193" s="553">
        <f>$AR193/PI()*SQRT('Hilfstabellen_Mat&amp;Bem'!f.Rd.3/'Hilfstabellen_Mat&amp;Bem'!$BD$30)</f>
        <v>0.72010304708152439</v>
      </c>
      <c r="AT193" s="553">
        <f>0.5*(1+'Hilfstabellen_Mat&amp;Bem'!$BD$31*($AS193-0.3)+$AS193^2)</f>
        <v>0.78027935156212425</v>
      </c>
      <c r="AU193" s="550">
        <f t="shared" si="125"/>
        <v>0.92527644781181173</v>
      </c>
      <c r="AW193" s="551">
        <f t="shared" si="136"/>
        <v>55539.718779903997</v>
      </c>
      <c r="BA193" s="546">
        <f t="shared" si="137"/>
        <v>245</v>
      </c>
      <c r="BB193" s="551">
        <f t="shared" si="138"/>
        <v>46.659327877365669</v>
      </c>
      <c r="BC193" s="553">
        <f>$BB193/PI()*SQRT('Hilfstabellen_Mat&amp;Bem'!f.Rd.3/'Hilfstabellen_Mat&amp;Bem'!$BD$30)</f>
        <v>0.74260626730282198</v>
      </c>
      <c r="BD193" s="553">
        <f>0.5*(1+'Hilfstabellen_Mat&amp;Bem'!$BD$31*($BC193-0.3)+$BC193^2)</f>
        <v>0.79786234748385632</v>
      </c>
      <c r="BE193" s="550">
        <f t="shared" si="139"/>
        <v>0.91775441996548612</v>
      </c>
      <c r="BG193" s="551">
        <f t="shared" si="140"/>
        <v>55088.209058428307</v>
      </c>
      <c r="BK193" s="546">
        <f t="shared" si="141"/>
        <v>245</v>
      </c>
      <c r="BL193" s="551">
        <f t="shared" si="142"/>
        <v>48.073246903952509</v>
      </c>
      <c r="BM193" s="553">
        <f>$BL193/PI()*SQRT('Hilfstabellen_Mat&amp;Bem'!f.Rd.3/'Hilfstabellen_Mat&amp;Bem'!$BD$30)</f>
        <v>0.76510948752411956</v>
      </c>
      <c r="BN193" s="553">
        <f>0.5*(1+'Hilfstabellen_Mat&amp;Bem'!$BD$31*($BM193-0.3)+$BM193^2)</f>
        <v>0.8159517383259165</v>
      </c>
      <c r="BO193" s="550">
        <f t="shared" si="143"/>
        <v>0.90952606339183417</v>
      </c>
      <c r="BQ193" s="551">
        <f t="shared" si="144"/>
        <v>54594.301955094845</v>
      </c>
      <c r="BU193" s="546">
        <f t="shared" si="145"/>
        <v>245</v>
      </c>
      <c r="BV193" s="551">
        <f t="shared" si="146"/>
        <v>49.487165930539348</v>
      </c>
      <c r="BW193" s="553">
        <f>$BV193/PI()*SQRT('Hilfstabellen_Mat&amp;Bem'!f.Rd.3/'Hilfstabellen_Mat&amp;Bem'!$BD$30)</f>
        <v>0.78761270774541725</v>
      </c>
      <c r="BX193" s="553">
        <f>0.5*(1+'Hilfstabellen_Mat&amp;Bem'!$BD$31*($BW193-0.3)+$BW193^2)</f>
        <v>0.8345475240883049</v>
      </c>
      <c r="BY193" s="550">
        <f t="shared" si="147"/>
        <v>0.90051580877540705</v>
      </c>
      <c r="CA193" s="551">
        <f t="shared" si="148"/>
        <v>54053.461421743807</v>
      </c>
      <c r="CE193" s="546">
        <f t="shared" si="149"/>
        <v>245</v>
      </c>
      <c r="CF193" s="551">
        <f t="shared" si="150"/>
        <v>50.901084957126187</v>
      </c>
      <c r="CG193" s="553">
        <f>CF193/PI()*SQRT('Hilfstabellen_Mat&amp;Bem'!f.Rd.3/'Hilfstabellen_Mat&amp;Bem'!$BD$30)</f>
        <v>0.81011592796671494</v>
      </c>
      <c r="CH193" s="553">
        <f>0.5*(1+'Hilfstabellen_Mat&amp;Bem'!$BD$31*(CG193-0.3)+CG193^2)</f>
        <v>0.85364970477102153</v>
      </c>
      <c r="CI193" s="550">
        <f t="shared" si="151"/>
        <v>0.89064807307191562</v>
      </c>
      <c r="CK193" s="551">
        <f t="shared" si="152"/>
        <v>53461.150586141732</v>
      </c>
      <c r="CO193" s="546">
        <f t="shared" si="153"/>
        <v>245</v>
      </c>
      <c r="CP193" s="551">
        <f t="shared" si="154"/>
        <v>52.315003983713027</v>
      </c>
      <c r="CQ193" s="553">
        <f>CP193/PI()*SQRT('Hilfstabellen_Mat&amp;Bem'!f.Rd.3/'Hilfstabellen_Mat&amp;Bem'!$BD$30)</f>
        <v>0.83261914818801253</v>
      </c>
      <c r="CR193" s="553">
        <f>0.5*(1+'Hilfstabellen_Mat&amp;Bem'!$BD$31*(CQ193-0.3)+CQ193^2)</f>
        <v>0.87325828037406639</v>
      </c>
      <c r="CS193" s="550">
        <f t="shared" si="155"/>
        <v>0.87985151578473941</v>
      </c>
      <c r="CU193" s="551">
        <f t="shared" si="156"/>
        <v>52813.087234978986</v>
      </c>
      <c r="CY193" s="546">
        <f t="shared" si="157"/>
        <v>245</v>
      </c>
      <c r="CZ193" s="551">
        <f t="shared" si="158"/>
        <v>53.728923010299859</v>
      </c>
      <c r="DA193" s="553">
        <f>CZ193/PI()*SQRT('Hilfstabellen_Mat&amp;Bem'!f.Rd.3/'Hilfstabellen_Mat&amp;Bem'!$BD$30)</f>
        <v>0.85512236840931011</v>
      </c>
      <c r="DB193" s="553">
        <f>0.5*(1+'Hilfstabellen_Mat&amp;Bem'!$BD$31*(DA193-0.3)+DA193^2)</f>
        <v>0.89337325089743946</v>
      </c>
      <c r="DC193" s="550">
        <f t="shared" si="159"/>
        <v>0.86806472608264829</v>
      </c>
      <c r="DE193" s="551">
        <f t="shared" si="160"/>
        <v>52105.585183110961</v>
      </c>
      <c r="DI193" s="546">
        <f t="shared" si="161"/>
        <v>245</v>
      </c>
      <c r="DJ193" s="551">
        <f t="shared" si="162"/>
        <v>55.142842036886705</v>
      </c>
      <c r="DK193" s="553">
        <f>DJ193/PI()*SQRT('Hilfstabellen_Mat&amp;Bem'!f.Rd.3/'Hilfstabellen_Mat&amp;Bem'!$BD$30)</f>
        <v>0.87762558863060791</v>
      </c>
      <c r="DL193" s="553">
        <f>0.5*(1+'Hilfstabellen_Mat&amp;Bem'!$BD$31*(DK193-0.3)+DK193^2)</f>
        <v>0.91399461634114099</v>
      </c>
      <c r="DM193" s="550">
        <f t="shared" si="163"/>
        <v>0.85524311100816874</v>
      </c>
      <c r="DO193" s="551">
        <f t="shared" si="164"/>
        <v>51335.967738265332</v>
      </c>
      <c r="DS193" s="546">
        <f t="shared" si="165"/>
        <v>245</v>
      </c>
      <c r="DT193" s="551">
        <f t="shared" si="166"/>
        <v>56.556761063473544</v>
      </c>
      <c r="DU193" s="553">
        <f>DT193/PI()*SQRT('Hilfstabellen_Mat&amp;Bem'!f.Rd.3/'Hilfstabellen_Mat&amp;Bem'!$BD$30)</f>
        <v>0.90012880885190549</v>
      </c>
      <c r="DV193" s="553">
        <f>0.5*(1+'Hilfstabellen_Mat&amp;Bem'!$BD$31*(DU193-0.3)+DU193^2)</f>
        <v>0.9351223767051704</v>
      </c>
      <c r="DW193" s="550">
        <f t="shared" si="167"/>
        <v>0.84136631337721324</v>
      </c>
      <c r="DY193" s="551">
        <f t="shared" si="168"/>
        <v>50503.012960467226</v>
      </c>
      <c r="EC193" s="546">
        <f t="shared" si="169"/>
        <v>245</v>
      </c>
      <c r="ED193" s="551">
        <f t="shared" si="170"/>
        <v>57.970680090060377</v>
      </c>
      <c r="EE193" s="553">
        <f>ED193/PI()*SQRT('Hilfstabellen_Mat&amp;Bem'!f.Rd.3/'Hilfstabellen_Mat&amp;Bem'!$BD$30)</f>
        <v>0.92263202907320307</v>
      </c>
      <c r="EF193" s="553">
        <f>0.5*(1+'Hilfstabellen_Mat&amp;Bem'!$BD$31*(EE193-0.3)+EE193^2)</f>
        <v>0.95675653198952804</v>
      </c>
      <c r="EG193" s="550">
        <f t="shared" si="171"/>
        <v>0.82644500482542083</v>
      </c>
      <c r="EI193" s="551">
        <f t="shared" si="172"/>
        <v>49607.361414645886</v>
      </c>
      <c r="EM193" s="546">
        <f t="shared" si="173"/>
        <v>245</v>
      </c>
      <c r="EN193" s="551">
        <f t="shared" si="174"/>
        <v>59.384599116647216</v>
      </c>
      <c r="EO193" s="553">
        <f>EN193/PI()*SQRT('Hilfstabellen_Mat&amp;Bem'!f.Rd.3/'Hilfstabellen_Mat&amp;Bem'!$BD$30)</f>
        <v>0.94513524929450066</v>
      </c>
      <c r="EP193" s="553">
        <f>0.5*(1+'Hilfstabellen_Mat&amp;Bem'!$BD$31*(EO193-0.3)+EO193^2)</f>
        <v>0.97889708219421401</v>
      </c>
      <c r="EQ193" s="550">
        <f t="shared" si="175"/>
        <v>0.8105255764739373</v>
      </c>
      <c r="ES193" s="551">
        <f t="shared" si="176"/>
        <v>48651.79772784809</v>
      </c>
    </row>
    <row r="194" spans="3:149">
      <c r="C194" s="546">
        <v>246</v>
      </c>
      <c r="D194" s="551">
        <f t="shared" si="126"/>
        <v>39.428798871486634</v>
      </c>
      <c r="E194" s="553">
        <f>$D194/PI()*SQRT('Hilfstabellen_Mat&amp;Bem'!f.Rd.3/'Hilfstabellen_Mat&amp;Bem'!$BD$30)</f>
        <v>0.62752882405732435</v>
      </c>
      <c r="F194" s="553">
        <f>0.5*(1+'Hilfstabellen_Mat&amp;Bem'!$BD$31*($E194-0.3)+$E194^2)</f>
        <v>0.71327265371425042</v>
      </c>
      <c r="G194" s="550">
        <f t="shared" si="127"/>
        <v>0.95026483655014304</v>
      </c>
      <c r="I194" s="551">
        <f t="shared" si="128"/>
        <v>57506.226848668455</v>
      </c>
      <c r="M194" s="546">
        <f t="shared" si="129"/>
        <v>246</v>
      </c>
      <c r="N194" s="551">
        <f t="shared" si="118"/>
        <v>40.836970259754018</v>
      </c>
      <c r="O194" s="553">
        <f>$N194/PI()*SQRT('Hilfstabellen_Mat&amp;Bem'!f.Rd.3/'Hilfstabellen_Mat&amp;Bem'!$BD$30)</f>
        <v>0.64994056777365738</v>
      </c>
      <c r="P194" s="553">
        <f>0.5*(1+'Hilfstabellen_Mat&amp;Bem'!$BD$31*($O194-0.3)+$O194^2)</f>
        <v>0.72870839920765484</v>
      </c>
      <c r="Q194" s="550">
        <f t="shared" si="119"/>
        <v>0.94496236171553127</v>
      </c>
      <c r="S194" s="551">
        <f t="shared" si="130"/>
        <v>57185.34228157709</v>
      </c>
      <c r="W194" s="546">
        <f t="shared" si="131"/>
        <v>246</v>
      </c>
      <c r="X194" s="551">
        <f t="shared" si="120"/>
        <v>42.245141648021395</v>
      </c>
      <c r="Y194" s="553">
        <f>$X194/PI()*SQRT('Hilfstabellen_Mat&amp;Bem'!f.Rd.3/'Hilfstabellen_Mat&amp;Bem'!$BD$30)</f>
        <v>0.67235231148999031</v>
      </c>
      <c r="Z194" s="553">
        <f>0.5*(1+'Hilfstabellen_Mat&amp;Bem'!$BD$31*($Y194-0.3)+$Y194^2)</f>
        <v>0.74464643095746597</v>
      </c>
      <c r="AA194" s="550">
        <f t="shared" si="121"/>
        <v>0.93922290332237113</v>
      </c>
      <c r="AC194" s="551">
        <f t="shared" si="132"/>
        <v>56838.01321745661</v>
      </c>
      <c r="AG194" s="546">
        <f t="shared" si="133"/>
        <v>246</v>
      </c>
      <c r="AH194" s="551">
        <f t="shared" si="122"/>
        <v>43.653313036288772</v>
      </c>
      <c r="AI194" s="553">
        <f>$AH194/PI()*SQRT('Hilfstabellen_Mat&amp;Bem'!f.Rd.3/'Hilfstabellen_Mat&amp;Bem'!$BD$30)</f>
        <v>0.69476405520632323</v>
      </c>
      <c r="AJ194" s="553">
        <f>0.5*(1+'Hilfstabellen_Mat&amp;Bem'!$BD$31*($AI194-0.3)+$AI194^2)</f>
        <v>0.76108674896368367</v>
      </c>
      <c r="AK194" s="550">
        <f t="shared" si="123"/>
        <v>0.93299136830692486</v>
      </c>
      <c r="AM194" s="551">
        <f t="shared" si="134"/>
        <v>56460.905644461862</v>
      </c>
      <c r="AQ194" s="546">
        <f t="shared" si="135"/>
        <v>246</v>
      </c>
      <c r="AR194" s="551">
        <f t="shared" si="124"/>
        <v>45.061484424556156</v>
      </c>
      <c r="AS194" s="553">
        <f>$AR194/PI()*SQRT('Hilfstabellen_Mat&amp;Bem'!f.Rd.3/'Hilfstabellen_Mat&amp;Bem'!$BD$30)</f>
        <v>0.71717579892265637</v>
      </c>
      <c r="AT194" s="553">
        <f>0.5*(1+'Hilfstabellen_Mat&amp;Bem'!$BD$31*($AS194-0.3)+$AS194^2)</f>
        <v>0.77802935322630806</v>
      </c>
      <c r="AU194" s="550">
        <f t="shared" si="125"/>
        <v>0.92620684654336927</v>
      </c>
      <c r="AW194" s="551">
        <f t="shared" si="136"/>
        <v>56050.333525418537</v>
      </c>
      <c r="BA194" s="546">
        <f t="shared" si="137"/>
        <v>246</v>
      </c>
      <c r="BB194" s="551">
        <f t="shared" si="138"/>
        <v>46.469655812823532</v>
      </c>
      <c r="BC194" s="553">
        <f>$BB194/PI()*SQRT('Hilfstabellen_Mat&amp;Bem'!f.Rd.3/'Hilfstabellen_Mat&amp;Bem'!$BD$30)</f>
        <v>0.73958754263898929</v>
      </c>
      <c r="BD194" s="553">
        <f>0.5*(1+'Hilfstabellen_Mat&amp;Bem'!$BD$31*($BC194-0.3)+$BC194^2)</f>
        <v>0.79547424374533882</v>
      </c>
      <c r="BE194" s="550">
        <f t="shared" si="139"/>
        <v>0.91880285803173578</v>
      </c>
      <c r="BG194" s="551">
        <f t="shared" si="140"/>
        <v>55602.273756648523</v>
      </c>
      <c r="BK194" s="546">
        <f t="shared" si="141"/>
        <v>246</v>
      </c>
      <c r="BL194" s="551">
        <f t="shared" si="142"/>
        <v>47.877827201090909</v>
      </c>
      <c r="BM194" s="553">
        <f>$BL194/PI()*SQRT('Hilfstabellen_Mat&amp;Bem'!f.Rd.3/'Hilfstabellen_Mat&amp;Bem'!$BD$30)</f>
        <v>0.76199928635532233</v>
      </c>
      <c r="BN194" s="553">
        <f>0.5*(1+'Hilfstabellen_Mat&amp;Bem'!$BD$31*($BM194-0.3)+$BM194^2)</f>
        <v>0.81342142052077637</v>
      </c>
      <c r="BO194" s="550">
        <f t="shared" si="143"/>
        <v>0.91070815805126315</v>
      </c>
      <c r="BQ194" s="551">
        <f t="shared" si="144"/>
        <v>55112.414892630244</v>
      </c>
      <c r="BU194" s="546">
        <f t="shared" si="145"/>
        <v>246</v>
      </c>
      <c r="BV194" s="551">
        <f t="shared" si="146"/>
        <v>49.2859985893583</v>
      </c>
      <c r="BW194" s="553">
        <f>$BV194/PI()*SQRT('Hilfstabellen_Mat&amp;Bem'!f.Rd.3/'Hilfstabellen_Mat&amp;Bem'!$BD$30)</f>
        <v>0.78441103007165547</v>
      </c>
      <c r="BX194" s="553">
        <f>0.5*(1+'Hilfstabellen_Mat&amp;Bem'!$BD$31*($BW194-0.3)+$BW194^2)</f>
        <v>0.83187088355262062</v>
      </c>
      <c r="BY194" s="550">
        <f t="shared" si="147"/>
        <v>0.90184834333802133</v>
      </c>
      <c r="CA194" s="551">
        <f t="shared" si="148"/>
        <v>54576.254345443696</v>
      </c>
      <c r="CE194" s="546">
        <f t="shared" si="149"/>
        <v>246</v>
      </c>
      <c r="CF194" s="551">
        <f t="shared" si="150"/>
        <v>50.694169977625677</v>
      </c>
      <c r="CG194" s="553">
        <f>CF194/PI()*SQRT('Hilfstabellen_Mat&amp;Bem'!f.Rd.3/'Hilfstabellen_Mat&amp;Bem'!$BD$30)</f>
        <v>0.80682277378798839</v>
      </c>
      <c r="CH194" s="553">
        <f>0.5*(1+'Hilfstabellen_Mat&amp;Bem'!$BD$31*(CG194-0.3)+CG194^2)</f>
        <v>0.85082263284087123</v>
      </c>
      <c r="CI194" s="550">
        <f t="shared" si="151"/>
        <v>0.89214852571383851</v>
      </c>
      <c r="CK194" s="551">
        <f t="shared" si="152"/>
        <v>53989.260182098653</v>
      </c>
      <c r="CO194" s="546">
        <f t="shared" si="153"/>
        <v>246</v>
      </c>
      <c r="CP194" s="551">
        <f t="shared" si="154"/>
        <v>52.102341365893054</v>
      </c>
      <c r="CQ194" s="553">
        <f>CP194/PI()*SQRT('Hilfstabellen_Mat&amp;Bem'!f.Rd.3/'Hilfstabellen_Mat&amp;Bem'!$BD$30)</f>
        <v>0.82923451750432131</v>
      </c>
      <c r="CR194" s="553">
        <f>0.5*(1+'Hilfstabellen_Mat&amp;Bem'!$BD$31*(CQ194-0.3)+CQ194^2)</f>
        <v>0.87027666838552842</v>
      </c>
      <c r="CS194" s="550">
        <f t="shared" si="155"/>
        <v>0.88153730653089524</v>
      </c>
      <c r="CU194" s="551">
        <f t="shared" si="156"/>
        <v>53347.111642023658</v>
      </c>
      <c r="CY194" s="546">
        <f t="shared" si="157"/>
        <v>246</v>
      </c>
      <c r="CZ194" s="551">
        <f t="shared" si="158"/>
        <v>53.510512754160438</v>
      </c>
      <c r="DA194" s="553">
        <f>CZ194/PI()*SQRT('Hilfstabellen_Mat&amp;Bem'!f.Rd.3/'Hilfstabellen_Mat&amp;Bem'!$BD$30)</f>
        <v>0.85164626122065445</v>
      </c>
      <c r="DB194" s="553">
        <f>0.5*(1+'Hilfstabellen_Mat&amp;Bem'!$BD$31*(DA194-0.3)+DA194^2)</f>
        <v>0.89023299018659241</v>
      </c>
      <c r="DC194" s="550">
        <f t="shared" si="159"/>
        <v>0.86995215231504197</v>
      </c>
      <c r="DE194" s="551">
        <f t="shared" si="160"/>
        <v>52646.024449497083</v>
      </c>
      <c r="DI194" s="546">
        <f t="shared" si="161"/>
        <v>246</v>
      </c>
      <c r="DJ194" s="551">
        <f t="shared" si="162"/>
        <v>54.918684142427814</v>
      </c>
      <c r="DK194" s="553">
        <f>DJ194/PI()*SQRT('Hilfstabellen_Mat&amp;Bem'!f.Rd.3/'Hilfstabellen_Mat&amp;Bem'!$BD$30)</f>
        <v>0.87405800493698738</v>
      </c>
      <c r="DL194" s="553">
        <f>0.5*(1+'Hilfstabellen_Mat&amp;Bem'!$BD$31*(DK194-0.3)+DK194^2)</f>
        <v>0.91069159824406265</v>
      </c>
      <c r="DM194" s="550">
        <f t="shared" si="163"/>
        <v>0.85734600040193876</v>
      </c>
      <c r="DO194" s="551">
        <f t="shared" si="164"/>
        <v>51883.150560323724</v>
      </c>
      <c r="DS194" s="546">
        <f t="shared" si="165"/>
        <v>246</v>
      </c>
      <c r="DT194" s="551">
        <f t="shared" si="166"/>
        <v>56.326855530695198</v>
      </c>
      <c r="DU194" s="553">
        <f>DT194/PI()*SQRT('Hilfstabellen_Mat&amp;Bem'!f.Rd.3/'Hilfstabellen_Mat&amp;Bem'!$BD$30)</f>
        <v>0.89646974865332041</v>
      </c>
      <c r="DV194" s="553">
        <f>0.5*(1+'Hilfstabellen_Mat&amp;Bem'!$BD$31*(DU194-0.3)+DU194^2)</f>
        <v>0.9316524925579398</v>
      </c>
      <c r="DW194" s="550">
        <f t="shared" si="167"/>
        <v>0.84369451193409994</v>
      </c>
      <c r="DY194" s="551">
        <f t="shared" si="168"/>
        <v>51057.017084203995</v>
      </c>
      <c r="EC194" s="546">
        <f t="shared" si="169"/>
        <v>246</v>
      </c>
      <c r="ED194" s="551">
        <f t="shared" si="170"/>
        <v>57.735026918962575</v>
      </c>
      <c r="EE194" s="553">
        <f>ED194/PI()*SQRT('Hilfstabellen_Mat&amp;Bem'!f.Rd.3/'Hilfstabellen_Mat&amp;Bem'!$BD$30)</f>
        <v>0.91888149236965355</v>
      </c>
      <c r="EF194" s="553">
        <f>0.5*(1+'Hilfstabellen_Mat&amp;Bem'!$BD$31*(EE194-0.3)+EE194^2)</f>
        <v>0.95311567312822354</v>
      </c>
      <c r="EG194" s="550">
        <f t="shared" si="171"/>
        <v>0.8290029172295762</v>
      </c>
      <c r="EI194" s="551">
        <f t="shared" si="172"/>
        <v>50167.940539065035</v>
      </c>
      <c r="EM194" s="546">
        <f t="shared" si="173"/>
        <v>246</v>
      </c>
      <c r="EN194" s="551">
        <f t="shared" si="174"/>
        <v>59.143198307229959</v>
      </c>
      <c r="EO194" s="553">
        <f>EN194/PI()*SQRT('Hilfstabellen_Mat&amp;Bem'!f.Rd.3/'Hilfstabellen_Mat&amp;Bem'!$BD$30)</f>
        <v>0.94129323608598647</v>
      </c>
      <c r="EP194" s="553">
        <f>0.5*(1+'Hilfstabellen_Mat&amp;Bem'!$BD$31*(EO194-0.3)+EO194^2)</f>
        <v>0.97508113995491374</v>
      </c>
      <c r="EQ194" s="550">
        <f t="shared" si="175"/>
        <v>0.81331104562050727</v>
      </c>
      <c r="ES194" s="551">
        <f t="shared" si="176"/>
        <v>49218.331236770617</v>
      </c>
    </row>
    <row r="195" spans="3:149">
      <c r="C195" s="546">
        <v>247</v>
      </c>
      <c r="D195" s="551">
        <f t="shared" si="126"/>
        <v>39.26916810682475</v>
      </c>
      <c r="E195" s="553">
        <f>$D195/PI()*SQRT('Hilfstabellen_Mat&amp;Bem'!f.Rd.3/'Hilfstabellen_Mat&amp;Bem'!$BD$30)</f>
        <v>0.62498822153077649</v>
      </c>
      <c r="F195" s="553">
        <f>0.5*(1+'Hilfstabellen_Mat&amp;Bem'!$BD$31*($E195-0.3)+$E195^2)</f>
        <v>0.71155454960264031</v>
      </c>
      <c r="G195" s="550">
        <f t="shared" si="127"/>
        <v>0.9508406008704825</v>
      </c>
      <c r="I195" s="551">
        <f t="shared" si="128"/>
        <v>58009.834218507269</v>
      </c>
      <c r="M195" s="546">
        <f t="shared" si="129"/>
        <v>247</v>
      </c>
      <c r="N195" s="551">
        <f t="shared" si="118"/>
        <v>40.671638396354197</v>
      </c>
      <c r="O195" s="553">
        <f>$N195/PI()*SQRT('Hilfstabellen_Mat&amp;Bem'!f.Rd.3/'Hilfstabellen_Mat&amp;Bem'!$BD$30)</f>
        <v>0.64730922944258984</v>
      </c>
      <c r="P195" s="553">
        <f>0.5*(1+'Hilfstabellen_Mat&amp;Bem'!$BD$31*($O195-0.3)+$O195^2)</f>
        <v>0.72687008073290915</v>
      </c>
      <c r="Q195" s="550">
        <f t="shared" si="119"/>
        <v>0.94560655651235193</v>
      </c>
      <c r="S195" s="551">
        <f t="shared" si="130"/>
        <v>57690.510406262081</v>
      </c>
      <c r="W195" s="546">
        <f t="shared" si="131"/>
        <v>247</v>
      </c>
      <c r="X195" s="551">
        <f t="shared" si="120"/>
        <v>42.074108685883658</v>
      </c>
      <c r="Y195" s="553">
        <f>$X195/PI()*SQRT('Hilfstabellen_Mat&amp;Bem'!f.Rd.3/'Hilfstabellen_Mat&amp;Bem'!$BD$30)</f>
        <v>0.66963023735440341</v>
      </c>
      <c r="Z195" s="553">
        <f>0.5*(1+'Hilfstabellen_Mat&amp;Bem'!$BD$31*($Y195-0.3)+$Y195^2)</f>
        <v>0.74268383925737746</v>
      </c>
      <c r="AA195" s="550">
        <f t="shared" si="121"/>
        <v>0.93994510382143293</v>
      </c>
      <c r="AC195" s="551">
        <f t="shared" si="132"/>
        <v>57345.110839041801</v>
      </c>
      <c r="AG195" s="546">
        <f t="shared" si="133"/>
        <v>247</v>
      </c>
      <c r="AH195" s="551">
        <f t="shared" si="122"/>
        <v>43.476578975413112</v>
      </c>
      <c r="AI195" s="553">
        <f>$AH195/PI()*SQRT('Hilfstabellen_Mat&amp;Bem'!f.Rd.3/'Hilfstabellen_Mat&amp;Bem'!$BD$30)</f>
        <v>0.69195124526621676</v>
      </c>
      <c r="AJ195" s="553">
        <f>0.5*(1+'Hilfstabellen_Mat&amp;Bem'!$BD$31*($AI195-0.3)+$AI195^2)</f>
        <v>0.75899582517604491</v>
      </c>
      <c r="AK195" s="550">
        <f t="shared" si="123"/>
        <v>0.93380250044707247</v>
      </c>
      <c r="AM195" s="551">
        <f t="shared" si="134"/>
        <v>56970.356749775441</v>
      </c>
      <c r="AQ195" s="546">
        <f t="shared" si="135"/>
        <v>247</v>
      </c>
      <c r="AR195" s="551">
        <f t="shared" si="124"/>
        <v>44.879049264942566</v>
      </c>
      <c r="AS195" s="553">
        <f>$AR195/PI()*SQRT('Hilfstabellen_Mat&amp;Bem'!f.Rd.3/'Hilfstabellen_Mat&amp;Bem'!$BD$30)</f>
        <v>0.71427225317803023</v>
      </c>
      <c r="AT195" s="553">
        <f>0.5*(1+'Hilfstabellen_Mat&amp;Bem'!$BD$31*($AS195-0.3)+$AS195^2)</f>
        <v>0.77580603848891161</v>
      </c>
      <c r="AU195" s="550">
        <f t="shared" si="125"/>
        <v>0.92711927817402973</v>
      </c>
      <c r="AW195" s="551">
        <f t="shared" si="136"/>
        <v>56562.620042119379</v>
      </c>
      <c r="BA195" s="546">
        <f t="shared" si="137"/>
        <v>247</v>
      </c>
      <c r="BB195" s="551">
        <f t="shared" si="138"/>
        <v>46.281519554472027</v>
      </c>
      <c r="BC195" s="553">
        <f>$BB195/PI()*SQRT('Hilfstabellen_Mat&amp;Bem'!f.Rd.3/'Hilfstabellen_Mat&amp;Bem'!$BD$30)</f>
        <v>0.73659326108984369</v>
      </c>
      <c r="BD195" s="553">
        <f>0.5*(1+'Hilfstabellen_Mat&amp;Bem'!$BD$31*($BC195-0.3)+$BC195^2)</f>
        <v>0.79311447919597744</v>
      </c>
      <c r="BE195" s="550">
        <f t="shared" si="139"/>
        <v>0.91983043168230216</v>
      </c>
      <c r="BG195" s="551">
        <f t="shared" si="140"/>
        <v>56117.934806505575</v>
      </c>
      <c r="BK195" s="546">
        <f t="shared" si="141"/>
        <v>247</v>
      </c>
      <c r="BL195" s="551">
        <f t="shared" si="142"/>
        <v>47.683989844001474</v>
      </c>
      <c r="BM195" s="553">
        <f>$BL195/PI()*SQRT('Hilfstabellen_Mat&amp;Bem'!f.Rd.3/'Hilfstabellen_Mat&amp;Bem'!$BD$30)</f>
        <v>0.75891426900165704</v>
      </c>
      <c r="BN195" s="553">
        <f>0.5*(1+'Hilfstabellen_Mat&amp;Bem'!$BD$31*($BM195-0.3)+$BM195^2)</f>
        <v>0.81092114729724263</v>
      </c>
      <c r="BO195" s="550">
        <f t="shared" si="143"/>
        <v>0.91186612499749786</v>
      </c>
      <c r="BQ195" s="551">
        <f t="shared" si="144"/>
        <v>55632.040419972349</v>
      </c>
      <c r="BU195" s="546">
        <f t="shared" si="145"/>
        <v>247</v>
      </c>
      <c r="BV195" s="551">
        <f t="shared" si="146"/>
        <v>49.086460133530935</v>
      </c>
      <c r="BW195" s="553">
        <f>$BV195/PI()*SQRT('Hilfstabellen_Mat&amp;Bem'!f.Rd.3/'Hilfstabellen_Mat&amp;Bem'!$BD$30)</f>
        <v>0.7812352769134705</v>
      </c>
      <c r="BX195" s="553">
        <f>0.5*(1+'Hilfstabellen_Mat&amp;Bem'!$BD$31*($BW195-0.3)+$BW195^2)</f>
        <v>0.82922604279270695</v>
      </c>
      <c r="BY195" s="550">
        <f t="shared" si="147"/>
        <v>0.90315314687593395</v>
      </c>
      <c r="CA195" s="551">
        <f t="shared" si="148"/>
        <v>55100.470337753854</v>
      </c>
      <c r="CE195" s="546">
        <f t="shared" si="149"/>
        <v>247</v>
      </c>
      <c r="CF195" s="551">
        <f t="shared" si="150"/>
        <v>50.488930423060388</v>
      </c>
      <c r="CG195" s="553">
        <f>CF195/PI()*SQRT('Hilfstabellen_Mat&amp;Bem'!f.Rd.3/'Hilfstabellen_Mat&amp;Bem'!$BD$30)</f>
        <v>0.80355628482528396</v>
      </c>
      <c r="CH195" s="553">
        <f>0.5*(1+'Hilfstabellen_Mat&amp;Bem'!$BD$31*(CG195-0.3)+CG195^2)</f>
        <v>0.84802916568237063</v>
      </c>
      <c r="CI195" s="550">
        <f t="shared" si="151"/>
        <v>0.89361737352729753</v>
      </c>
      <c r="CK195" s="551">
        <f t="shared" si="152"/>
        <v>54518.702341526892</v>
      </c>
      <c r="CO195" s="546">
        <f t="shared" si="153"/>
        <v>247</v>
      </c>
      <c r="CP195" s="551">
        <f t="shared" si="154"/>
        <v>51.891400712589842</v>
      </c>
      <c r="CQ195" s="553">
        <f>CP195/PI()*SQRT('Hilfstabellen_Mat&amp;Bem'!f.Rd.3/'Hilfstabellen_Mat&amp;Bem'!$BD$30)</f>
        <v>0.82587729273709742</v>
      </c>
      <c r="CR195" s="553">
        <f>0.5*(1+'Hilfstabellen_Mat&amp;Bem'!$BD$31*(CQ195-0.3)+CQ195^2)</f>
        <v>0.86733051596623356</v>
      </c>
      <c r="CS195" s="550">
        <f t="shared" si="155"/>
        <v>0.88318747478282322</v>
      </c>
      <c r="CU195" s="551">
        <f t="shared" si="156"/>
        <v>53882.384649025262</v>
      </c>
      <c r="CY195" s="546">
        <f t="shared" si="157"/>
        <v>247</v>
      </c>
      <c r="CZ195" s="551">
        <f t="shared" si="158"/>
        <v>53.293871002119303</v>
      </c>
      <c r="DA195" s="553">
        <f>CZ195/PI()*SQRT('Hilfstabellen_Mat&amp;Bem'!f.Rd.3/'Hilfstabellen_Mat&amp;Bem'!$BD$30)</f>
        <v>0.848198300648911</v>
      </c>
      <c r="DB195" s="553">
        <f>0.5*(1+'Hilfstabellen_Mat&amp;Bem'!$BD$31*(DA195-0.3)+DA195^2)</f>
        <v>0.88713009364429585</v>
      </c>
      <c r="DC195" s="550">
        <f t="shared" si="159"/>
        <v>0.871799987092294</v>
      </c>
      <c r="DE195" s="551">
        <f t="shared" si="160"/>
        <v>53187.645412513768</v>
      </c>
      <c r="DI195" s="546">
        <f t="shared" si="161"/>
        <v>247</v>
      </c>
      <c r="DJ195" s="551">
        <f t="shared" si="162"/>
        <v>54.69634129164875</v>
      </c>
      <c r="DK195" s="553">
        <f>DJ195/PI()*SQRT('Hilfstabellen_Mat&amp;Bem'!f.Rd.3/'Hilfstabellen_Mat&amp;Bem'!$BD$30)</f>
        <v>0.87051930856072424</v>
      </c>
      <c r="DL195" s="553">
        <f>0.5*(1+'Hilfstabellen_Mat&amp;Bem'!$BD$31*(DK195-0.3)+DK195^2)</f>
        <v>0.90742789871655694</v>
      </c>
      <c r="DM195" s="550">
        <f t="shared" si="163"/>
        <v>0.85940563421819804</v>
      </c>
      <c r="DO195" s="551">
        <f t="shared" si="164"/>
        <v>52431.478338018045</v>
      </c>
      <c r="DS195" s="546">
        <f t="shared" si="165"/>
        <v>247</v>
      </c>
      <c r="DT195" s="551">
        <f t="shared" si="166"/>
        <v>56.098811581178211</v>
      </c>
      <c r="DU195" s="553">
        <f>DT195/PI()*SQRT('Hilfstabellen_Mat&amp;Bem'!f.Rd.3/'Hilfstabellen_Mat&amp;Bem'!$BD$30)</f>
        <v>0.89284031647253781</v>
      </c>
      <c r="DV195" s="553">
        <f>0.5*(1+'Hilfstabellen_Mat&amp;Bem'!$BD$31*(DU195-0.3)+DU195^2)</f>
        <v>0.9282239311830176</v>
      </c>
      <c r="DW195" s="550">
        <f t="shared" si="167"/>
        <v>0.84597639529282387</v>
      </c>
      <c r="DY195" s="551">
        <f t="shared" si="168"/>
        <v>51612.17390041989</v>
      </c>
      <c r="EC195" s="546">
        <f t="shared" si="169"/>
        <v>247</v>
      </c>
      <c r="ED195" s="551">
        <f t="shared" si="170"/>
        <v>57.501281870707658</v>
      </c>
      <c r="EE195" s="553">
        <f>ED195/PI()*SQRT('Hilfstabellen_Mat&amp;Bem'!f.Rd.3/'Hilfstabellen_Mat&amp;Bem'!$BD$30)</f>
        <v>0.91516132438435105</v>
      </c>
      <c r="EF195" s="553">
        <f>0.5*(1+'Hilfstabellen_Mat&amp;Bem'!$BD$31*(EE195-0.3)+EE195^2)</f>
        <v>0.94951819104367718</v>
      </c>
      <c r="EG195" s="550">
        <f t="shared" si="171"/>
        <v>0.83151236220987734</v>
      </c>
      <c r="EI195" s="551">
        <f t="shared" si="172"/>
        <v>50729.737706062406</v>
      </c>
      <c r="EM195" s="546">
        <f t="shared" si="173"/>
        <v>247</v>
      </c>
      <c r="EN195" s="551">
        <f t="shared" si="174"/>
        <v>58.903752160237126</v>
      </c>
      <c r="EO195" s="553">
        <f>EN195/PI()*SQRT('Hilfstabellen_Mat&amp;Bem'!f.Rd.3/'Hilfstabellen_Mat&amp;Bem'!$BD$30)</f>
        <v>0.93748233229616484</v>
      </c>
      <c r="EP195" s="553">
        <f>0.5*(1+'Hilfstabellen_Mat&amp;Bem'!$BD$31*(EO195-0.3)+EO195^2)</f>
        <v>0.97131067829853657</v>
      </c>
      <c r="EQ195" s="550">
        <f t="shared" si="175"/>
        <v>0.81604705366100383</v>
      </c>
      <c r="ES195" s="551">
        <f t="shared" si="176"/>
        <v>49786.214696804185</v>
      </c>
    </row>
    <row r="196" spans="3:149">
      <c r="C196" s="546">
        <v>248</v>
      </c>
      <c r="D196" s="551">
        <f t="shared" si="126"/>
        <v>39.110824687039162</v>
      </c>
      <c r="E196" s="553">
        <f>$D196/PI()*SQRT('Hilfstabellen_Mat&amp;Bem'!f.Rd.3/'Hilfstabellen_Mat&amp;Bem'!$BD$30)</f>
        <v>0.62246810773428141</v>
      </c>
      <c r="F196" s="553">
        <f>0.5*(1+'Hilfstabellen_Mat&amp;Bem'!$BD$31*($E196-0.3)+$E196^2)</f>
        <v>0.70985667795986251</v>
      </c>
      <c r="G196" s="550">
        <f t="shared" si="127"/>
        <v>0.95140687330972329</v>
      </c>
      <c r="I196" s="551">
        <f t="shared" si="128"/>
        <v>58515.328336041224</v>
      </c>
      <c r="M196" s="546">
        <f t="shared" si="129"/>
        <v>248</v>
      </c>
      <c r="N196" s="551">
        <f t="shared" si="118"/>
        <v>40.507639854433421</v>
      </c>
      <c r="O196" s="553">
        <f>$N196/PI()*SQRT('Hilfstabellen_Mat&amp;Bem'!f.Rd.3/'Hilfstabellen_Mat&amp;Bem'!$BD$30)</f>
        <v>0.64469911158193438</v>
      </c>
      <c r="P196" s="553">
        <f>0.5*(1+'Hilfstabellen_Mat&amp;Bem'!$BD$31*($O196-0.3)+$O196^2)</f>
        <v>0.7250534278163645</v>
      </c>
      <c r="Q196" s="550">
        <f t="shared" si="119"/>
        <v>0.94623969419553589</v>
      </c>
      <c r="S196" s="551">
        <f t="shared" si="130"/>
        <v>58197.526151802238</v>
      </c>
      <c r="W196" s="546">
        <f t="shared" si="131"/>
        <v>248</v>
      </c>
      <c r="X196" s="551">
        <f t="shared" si="120"/>
        <v>41.90445502182768</v>
      </c>
      <c r="Y196" s="553">
        <f>$X196/PI()*SQRT('Hilfstabellen_Mat&amp;Bem'!f.Rd.3/'Hilfstabellen_Mat&amp;Bem'!$BD$30)</f>
        <v>0.66693011542958724</v>
      </c>
      <c r="Z196" s="553">
        <f>0.5*(1+'Hilfstabellen_Mat&amp;Bem'!$BD$31*($Y196-0.3)+$Y196^2)</f>
        <v>0.74074439520494062</v>
      </c>
      <c r="AA196" s="550">
        <f t="shared" si="121"/>
        <v>0.94065441741703471</v>
      </c>
      <c r="AC196" s="551">
        <f t="shared" si="132"/>
        <v>57854.009288817302</v>
      </c>
      <c r="AG196" s="546">
        <f t="shared" si="133"/>
        <v>248</v>
      </c>
      <c r="AH196" s="551">
        <f t="shared" si="122"/>
        <v>43.301270189221931</v>
      </c>
      <c r="AI196" s="553">
        <f>$AH196/PI()*SQRT('Hilfstabellen_Mat&amp;Bem'!f.Rd.3/'Hilfstabellen_Mat&amp;Bem'!$BD$30)</f>
        <v>0.68916111927724011</v>
      </c>
      <c r="AJ196" s="553">
        <f>0.5*(1+'Hilfstabellen_Mat&amp;Bem'!$BD$31*($AI196-0.3)+$AI196^2)</f>
        <v>0.75692958012559108</v>
      </c>
      <c r="AK196" s="550">
        <f t="shared" si="123"/>
        <v>0.9345986165714808</v>
      </c>
      <c r="AM196" s="551">
        <f t="shared" si="134"/>
        <v>57481.553313612356</v>
      </c>
      <c r="AQ196" s="546">
        <f t="shared" si="135"/>
        <v>248</v>
      </c>
      <c r="AR196" s="551">
        <f t="shared" si="124"/>
        <v>44.698085356616183</v>
      </c>
      <c r="AS196" s="553">
        <f>$AR196/PI()*SQRT('Hilfstabellen_Mat&amp;Bem'!f.Rd.3/'Hilfstabellen_Mat&amp;Bem'!$BD$30)</f>
        <v>0.71139212312489297</v>
      </c>
      <c r="AT196" s="553">
        <f>0.5*(1+'Hilfstabellen_Mat&amp;Bem'!$BD$31*($AS196-0.3)+$AS196^2)</f>
        <v>0.77360898257831612</v>
      </c>
      <c r="AU196" s="550">
        <f t="shared" si="125"/>
        <v>0.92801423361892288</v>
      </c>
      <c r="AW196" s="551">
        <f t="shared" si="136"/>
        <v>57076.587424498233</v>
      </c>
      <c r="BA196" s="546">
        <f t="shared" si="137"/>
        <v>248</v>
      </c>
      <c r="BB196" s="551">
        <f t="shared" si="138"/>
        <v>46.094900524010441</v>
      </c>
      <c r="BC196" s="553">
        <f>$BB196/PI()*SQRT('Hilfstabellen_Mat&amp;Bem'!f.Rd.3/'Hilfstabellen_Mat&amp;Bem'!$BD$30)</f>
        <v>0.73362312697254595</v>
      </c>
      <c r="BD196" s="553">
        <f>0.5*(1+'Hilfstabellen_Mat&amp;Bem'!$BD$31*($BC196-0.3)+$BC196^2)</f>
        <v>0.7907826025631155</v>
      </c>
      <c r="BE196" s="550">
        <f t="shared" si="139"/>
        <v>0.9208377146662361</v>
      </c>
      <c r="BG196" s="551">
        <f t="shared" si="140"/>
        <v>56635.202802832187</v>
      </c>
      <c r="BK196" s="546">
        <f t="shared" si="141"/>
        <v>248</v>
      </c>
      <c r="BL196" s="551">
        <f t="shared" si="142"/>
        <v>47.491715691404693</v>
      </c>
      <c r="BM196" s="553">
        <f>$BL196/PI()*SQRT('Hilfstabellen_Mat&amp;Bem'!f.Rd.3/'Hilfstabellen_Mat&amp;Bem'!$BD$30)</f>
        <v>0.7558541308201987</v>
      </c>
      <c r="BN196" s="553">
        <f>0.5*(1+'Hilfstabellen_Mat&amp;Bem'!$BD$31*($BM196-0.3)+$BM196^2)</f>
        <v>0.80845044007998901</v>
      </c>
      <c r="BO196" s="550">
        <f t="shared" si="143"/>
        <v>0.91300062576976315</v>
      </c>
      <c r="BQ196" s="551">
        <f t="shared" si="144"/>
        <v>56153.190487343512</v>
      </c>
      <c r="BU196" s="546">
        <f t="shared" si="145"/>
        <v>248</v>
      </c>
      <c r="BV196" s="551">
        <f t="shared" si="146"/>
        <v>48.888530858798951</v>
      </c>
      <c r="BW196" s="553">
        <f>$BV196/PI()*SQRT('Hilfstabellen_Mat&amp;Bem'!f.Rd.3/'Hilfstabellen_Mat&amp;Bem'!$BD$30)</f>
        <v>0.77808513466785167</v>
      </c>
      <c r="BX196" s="553">
        <f>0.5*(1+'Hilfstabellen_Mat&amp;Bem'!$BD$31*($BW196-0.3)+$BW196^2)</f>
        <v>0.82661249512893709</v>
      </c>
      <c r="BY196" s="550">
        <f t="shared" si="147"/>
        <v>0.9044309684199684</v>
      </c>
      <c r="CA196" s="551">
        <f t="shared" si="148"/>
        <v>55626.122281701733</v>
      </c>
      <c r="CE196" s="546">
        <f t="shared" si="149"/>
        <v>248</v>
      </c>
      <c r="CF196" s="551">
        <f t="shared" si="150"/>
        <v>50.28534602619321</v>
      </c>
      <c r="CG196" s="553">
        <f>CF196/PI()*SQRT('Hilfstabellen_Mat&amp;Bem'!f.Rd.3/'Hilfstabellen_Mat&amp;Bem'!$BD$30)</f>
        <v>0.80031613851550465</v>
      </c>
      <c r="CH196" s="553">
        <f>0.5*(1+'Hilfstabellen_Mat&amp;Bem'!$BD$31*(CG196-0.3)+CG196^2)</f>
        <v>0.8452687677099594</v>
      </c>
      <c r="CI196" s="550">
        <f t="shared" si="151"/>
        <v>0.89505544452534058</v>
      </c>
      <c r="CK196" s="551">
        <f t="shared" si="152"/>
        <v>55049.490060086544</v>
      </c>
      <c r="CO196" s="546">
        <f t="shared" si="153"/>
        <v>248</v>
      </c>
      <c r="CP196" s="551">
        <f t="shared" si="154"/>
        <v>51.682161193587469</v>
      </c>
      <c r="CQ196" s="553">
        <f>CP196/PI()*SQRT('Hilfstabellen_Mat&amp;Bem'!f.Rd.3/'Hilfstabellen_Mat&amp;Bem'!$BD$30)</f>
        <v>0.82254714236315751</v>
      </c>
      <c r="CR196" s="553">
        <f>0.5*(1+'Hilfstabellen_Mat&amp;Bem'!$BD$31*(CQ196-0.3)+CQ196^2)</f>
        <v>0.86441925782305606</v>
      </c>
      <c r="CS196" s="550">
        <f t="shared" si="155"/>
        <v>0.88480290772637826</v>
      </c>
      <c r="CU196" s="551">
        <f t="shared" si="156"/>
        <v>54418.918036803167</v>
      </c>
      <c r="CY196" s="546">
        <f t="shared" si="157"/>
        <v>248</v>
      </c>
      <c r="CZ196" s="551">
        <f t="shared" si="158"/>
        <v>53.07897636098172</v>
      </c>
      <c r="DA196" s="553">
        <f>CZ196/PI()*SQRT('Hilfstabellen_Mat&amp;Bem'!f.Rd.3/'Hilfstabellen_Mat&amp;Bem'!$BD$30)</f>
        <v>0.84477814621081038</v>
      </c>
      <c r="DB196" s="553">
        <f>0.5*(1+'Hilfstabellen_Mat&amp;Bem'!$BD$31*(DA196-0.3)+DA196^2)</f>
        <v>0.88406396546822719</v>
      </c>
      <c r="DC196" s="550">
        <f t="shared" si="159"/>
        <v>0.87360914335235484</v>
      </c>
      <c r="DE196" s="551">
        <f t="shared" si="160"/>
        <v>53730.45675274323</v>
      </c>
      <c r="DI196" s="546">
        <f t="shared" si="161"/>
        <v>248</v>
      </c>
      <c r="DJ196" s="551">
        <f t="shared" si="162"/>
        <v>54.475791528375979</v>
      </c>
      <c r="DK196" s="553">
        <f>DJ196/PI()*SQRT('Hilfstabellen_Mat&amp;Bem'!f.Rd.3/'Hilfstabellen_Mat&amp;Bem'!$BD$30)</f>
        <v>0.86700915005846335</v>
      </c>
      <c r="DL196" s="553">
        <f>0.5*(1+'Hilfstabellen_Mat&amp;Bem'!$BD$31*(DK196-0.3)+DK196^2)</f>
        <v>0.90420289064547266</v>
      </c>
      <c r="DM196" s="550">
        <f t="shared" si="163"/>
        <v>0.86142290392023479</v>
      </c>
      <c r="DO196" s="551">
        <f t="shared" si="164"/>
        <v>52980.954282710118</v>
      </c>
      <c r="DS196" s="546">
        <f t="shared" si="165"/>
        <v>248</v>
      </c>
      <c r="DT196" s="551">
        <f t="shared" si="166"/>
        <v>55.87260669577023</v>
      </c>
      <c r="DU196" s="553">
        <f>DT196/PI()*SQRT('Hilfstabellen_Mat&amp;Bem'!f.Rd.3/'Hilfstabellen_Mat&amp;Bem'!$BD$30)</f>
        <v>0.88924015390611622</v>
      </c>
      <c r="DV196" s="553">
        <f>0.5*(1+'Hilfstabellen_Mat&amp;Bem'!$BD$31*(DU196-0.3)+DU196^2)</f>
        <v>0.92483603335479247</v>
      </c>
      <c r="DW196" s="550">
        <f t="shared" si="167"/>
        <v>0.84821277569700859</v>
      </c>
      <c r="DY196" s="551">
        <f t="shared" si="168"/>
        <v>52168.478556468814</v>
      </c>
      <c r="EC196" s="546">
        <f t="shared" si="169"/>
        <v>248</v>
      </c>
      <c r="ED196" s="551">
        <f t="shared" si="170"/>
        <v>57.269421863164482</v>
      </c>
      <c r="EE196" s="553">
        <f>ED196/PI()*SQRT('Hilfstabellen_Mat&amp;Bem'!f.Rd.3/'Hilfstabellen_Mat&amp;Bem'!$BD$30)</f>
        <v>0.91147115775376908</v>
      </c>
      <c r="EF196" s="553">
        <f>0.5*(1+'Hilfstabellen_Mat&amp;Bem'!$BD$31*(EE196-0.3)+EE196^2)</f>
        <v>0.94596339359618653</v>
      </c>
      <c r="EG196" s="550">
        <f t="shared" si="171"/>
        <v>0.83397401188979559</v>
      </c>
      <c r="EI196" s="551">
        <f t="shared" si="172"/>
        <v>51292.737627269991</v>
      </c>
      <c r="EM196" s="546">
        <f t="shared" si="173"/>
        <v>248</v>
      </c>
      <c r="EN196" s="551">
        <f t="shared" si="174"/>
        <v>58.66623703055874</v>
      </c>
      <c r="EO196" s="553">
        <f>EN196/PI()*SQRT('Hilfstabellen_Mat&amp;Bem'!f.Rd.3/'Hilfstabellen_Mat&amp;Bem'!$BD$30)</f>
        <v>0.93370216160142194</v>
      </c>
      <c r="EP196" s="553">
        <f>0.5*(1+'Hilfstabellen_Mat&amp;Bem'!$BD$31*(EO196-0.3)+EO196^2)</f>
        <v>0.96758497136965493</v>
      </c>
      <c r="EQ196" s="550">
        <f t="shared" si="175"/>
        <v>0.81873407893815187</v>
      </c>
      <c r="ES196" s="551">
        <f t="shared" si="176"/>
        <v>50355.420791012089</v>
      </c>
    </row>
    <row r="197" spans="3:149">
      <c r="C197" s="546">
        <v>249</v>
      </c>
      <c r="D197" s="551">
        <f t="shared" si="126"/>
        <v>38.953753101950653</v>
      </c>
      <c r="E197" s="553">
        <f>$D197/PI()*SQRT('Hilfstabellen_Mat&amp;Bem'!f.Rd.3/'Hilfstabellen_Mat&amp;Bem'!$BD$30)</f>
        <v>0.61996823581566984</v>
      </c>
      <c r="F197" s="553">
        <f>0.5*(1+'Hilfstabellen_Mat&amp;Bem'!$BD$31*($E197-0.3)+$E197^2)</f>
        <v>0.70817871850098058</v>
      </c>
      <c r="G197" s="550">
        <f t="shared" si="127"/>
        <v>0.95196389060381159</v>
      </c>
      <c r="I197" s="551">
        <f t="shared" si="128"/>
        <v>59022.713181326922</v>
      </c>
      <c r="M197" s="546">
        <f t="shared" si="129"/>
        <v>249</v>
      </c>
      <c r="N197" s="551">
        <f t="shared" si="118"/>
        <v>40.344958569877456</v>
      </c>
      <c r="O197" s="553">
        <f>$N197/PI()*SQRT('Hilfstabellen_Mat&amp;Bem'!f.Rd.3/'Hilfstabellen_Mat&amp;Bem'!$BD$30)</f>
        <v>0.64210995852337227</v>
      </c>
      <c r="P197" s="553">
        <f>0.5*(1+'Hilfstabellen_Mat&amp;Bem'!$BD$31*($O197-0.3)+$O197^2)</f>
        <v>0.72325809734361213</v>
      </c>
      <c r="Q197" s="550">
        <f t="shared" si="119"/>
        <v>0.94686205820054037</v>
      </c>
      <c r="S197" s="551">
        <f t="shared" si="130"/>
        <v>58706.394470491701</v>
      </c>
      <c r="W197" s="546">
        <f t="shared" si="131"/>
        <v>249</v>
      </c>
      <c r="X197" s="551">
        <f t="shared" si="120"/>
        <v>41.736164037804272</v>
      </c>
      <c r="Y197" s="553">
        <f>$X197/PI()*SQRT('Hilfstabellen_Mat&amp;Bem'!f.Rd.3/'Hilfstabellen_Mat&amp;Bem'!$BD$30)</f>
        <v>0.66425168123107481</v>
      </c>
      <c r="Z197" s="553">
        <f>0.5*(1+'Hilfstabellen_Mat&amp;Bem'!$BD$31*($Y197-0.3)+$Y197^2)</f>
        <v>0.73882773207070851</v>
      </c>
      <c r="AA197" s="550">
        <f t="shared" si="121"/>
        <v>0.94135118251020788</v>
      </c>
      <c r="AC197" s="551">
        <f t="shared" si="132"/>
        <v>58364.714666815402</v>
      </c>
      <c r="AG197" s="546">
        <f t="shared" si="133"/>
        <v>249</v>
      </c>
      <c r="AH197" s="551">
        <f t="shared" si="122"/>
        <v>43.127369505731082</v>
      </c>
      <c r="AI197" s="553">
        <f>$AH197/PI()*SQRT('Hilfstabellen_Mat&amp;Bem'!f.Rd.3/'Hilfstabellen_Mat&amp;Bem'!$BD$30)</f>
        <v>0.68639340393877735</v>
      </c>
      <c r="AJ197" s="553">
        <f>0.5*(1+'Hilfstabellen_Mat&amp;Bem'!$BD$31*($AI197-0.3)+$AI197^2)</f>
        <v>0.75488762268226972</v>
      </c>
      <c r="AK197" s="550">
        <f t="shared" si="123"/>
        <v>0.93538011890646844</v>
      </c>
      <c r="AM197" s="551">
        <f t="shared" si="134"/>
        <v>57994.502752319953</v>
      </c>
      <c r="AQ197" s="546">
        <f t="shared" si="135"/>
        <v>249</v>
      </c>
      <c r="AR197" s="551">
        <f t="shared" si="124"/>
        <v>44.518574973657884</v>
      </c>
      <c r="AS197" s="553">
        <f>$AR197/PI()*SQRT('Hilfstabellen_Mat&amp;Bem'!f.Rd.3/'Hilfstabellen_Mat&amp;Bem'!$BD$30)</f>
        <v>0.70853512664647977</v>
      </c>
      <c r="AT197" s="553">
        <f>0.5*(1+'Hilfstabellen_Mat&amp;Bem'!$BD$31*($AS197-0.3)+$AS197^2)</f>
        <v>0.77143776917829543</v>
      </c>
      <c r="AU197" s="550">
        <f t="shared" si="125"/>
        <v>0.92889218781191163</v>
      </c>
      <c r="AW197" s="551">
        <f t="shared" si="136"/>
        <v>57592.244536526334</v>
      </c>
      <c r="BA197" s="546">
        <f t="shared" si="137"/>
        <v>249</v>
      </c>
      <c r="BB197" s="551">
        <f t="shared" si="138"/>
        <v>45.909780441584694</v>
      </c>
      <c r="BC197" s="553">
        <f>$BB197/PI()*SQRT('Hilfstabellen_Mat&amp;Bem'!f.Rd.3/'Hilfstabellen_Mat&amp;Bem'!$BD$30)</f>
        <v>0.7306768493541822</v>
      </c>
      <c r="BD197" s="553">
        <f>0.5*(1+'Hilfstabellen_Mat&amp;Bem'!$BD$31*($BC197-0.3)+$BC197^2)</f>
        <v>0.78847817155878619</v>
      </c>
      <c r="BE197" s="550">
        <f t="shared" si="139"/>
        <v>0.92182526252844454</v>
      </c>
      <c r="BG197" s="551">
        <f t="shared" si="140"/>
        <v>57154.088102026093</v>
      </c>
      <c r="BK197" s="546">
        <f t="shared" si="141"/>
        <v>249</v>
      </c>
      <c r="BL197" s="551">
        <f t="shared" si="142"/>
        <v>47.300985909511503</v>
      </c>
      <c r="BM197" s="553">
        <f>$BL197/PI()*SQRT('Hilfstabellen_Mat&amp;Bem'!f.Rd.3/'Hilfstabellen_Mat&amp;Bem'!$BD$30)</f>
        <v>0.75281857206188474</v>
      </c>
      <c r="BN197" s="553">
        <f>0.5*(1+'Hilfstabellen_Mat&amp;Bem'!$BD$31*($BM197-0.3)+$BM197^2)</f>
        <v>0.80600882982374178</v>
      </c>
      <c r="BO197" s="550">
        <f t="shared" si="143"/>
        <v>0.91411230187828973</v>
      </c>
      <c r="BQ197" s="551">
        <f t="shared" si="144"/>
        <v>56675.876828755841</v>
      </c>
      <c r="BU197" s="546">
        <f t="shared" si="145"/>
        <v>249</v>
      </c>
      <c r="BV197" s="551">
        <f t="shared" si="146"/>
        <v>48.69219137743832</v>
      </c>
      <c r="BW197" s="553">
        <f>$BV197/PI()*SQRT('Hilfstabellen_Mat&amp;Bem'!f.Rd.3/'Hilfstabellen_Mat&amp;Bem'!$BD$30)</f>
        <v>0.77496029476958739</v>
      </c>
      <c r="BX197" s="553">
        <f>0.5*(1+'Hilfstabellen_Mat&amp;Bem'!$BD$31*($BW197-0.3)+$BW197^2)</f>
        <v>0.82402974397316231</v>
      </c>
      <c r="BY197" s="550">
        <f t="shared" si="147"/>
        <v>0.90568253602419968</v>
      </c>
      <c r="CA197" s="551">
        <f t="shared" si="148"/>
        <v>56153.222916036408</v>
      </c>
      <c r="CE197" s="546">
        <f t="shared" si="149"/>
        <v>249</v>
      </c>
      <c r="CF197" s="551">
        <f t="shared" si="150"/>
        <v>50.083396845365122</v>
      </c>
      <c r="CG197" s="553">
        <f>CF197/PI()*SQRT('Hilfstabellen_Mat&amp;Bem'!f.Rd.3/'Hilfstabellen_Mat&amp;Bem'!$BD$30)</f>
        <v>0.7971020174772897</v>
      </c>
      <c r="CH197" s="553">
        <f>0.5*(1+'Hilfstabellen_Mat&amp;Bem'!$BD$31*(CG197-0.3)+CG197^2)</f>
        <v>0.84254091400704723</v>
      </c>
      <c r="CI197" s="550">
        <f t="shared" si="151"/>
        <v>0.89646354629519653</v>
      </c>
      <c r="CK197" s="551">
        <f t="shared" si="152"/>
        <v>55581.636333848481</v>
      </c>
      <c r="CO197" s="546">
        <f t="shared" si="153"/>
        <v>249</v>
      </c>
      <c r="CP197" s="551">
        <f t="shared" si="154"/>
        <v>51.474602313291932</v>
      </c>
      <c r="CQ197" s="553">
        <f>CP197/PI()*SQRT('Hilfstabellen_Mat&amp;Bem'!f.Rd.3/'Hilfstabellen_Mat&amp;Bem'!$BD$30)</f>
        <v>0.81924374018499224</v>
      </c>
      <c r="CR197" s="553">
        <f>0.5*(1+'Hilfstabellen_Mat&amp;Bem'!$BD$31*(CQ197-0.3)+CQ197^2)</f>
        <v>0.86154233992539708</v>
      </c>
      <c r="CS197" s="550">
        <f t="shared" si="155"/>
        <v>0.88638447485383864</v>
      </c>
      <c r="CU197" s="551">
        <f t="shared" si="156"/>
        <v>54956.723825412853</v>
      </c>
      <c r="CY197" s="546">
        <f t="shared" si="157"/>
        <v>249</v>
      </c>
      <c r="CZ197" s="551">
        <f t="shared" si="158"/>
        <v>52.865807781218741</v>
      </c>
      <c r="DA197" s="553">
        <f>CZ197/PI()*SQRT('Hilfstabellen_Mat&amp;Bem'!f.Rd.3/'Hilfstabellen_Mat&amp;Bem'!$BD$30)</f>
        <v>0.84138546289269467</v>
      </c>
      <c r="DB197" s="553">
        <f>0.5*(1+'Hilfstabellen_Mat&amp;Bem'!$BD$31*(DA197-0.3)+DA197^2)</f>
        <v>0.88103402172821177</v>
      </c>
      <c r="DC197" s="550">
        <f t="shared" si="159"/>
        <v>0.87538052181531434</v>
      </c>
      <c r="DE197" s="551">
        <f t="shared" si="160"/>
        <v>54274.467733071302</v>
      </c>
      <c r="DI197" s="546">
        <f t="shared" si="161"/>
        <v>249</v>
      </c>
      <c r="DJ197" s="551">
        <f t="shared" si="162"/>
        <v>54.257013249145551</v>
      </c>
      <c r="DK197" s="553">
        <f>DJ197/PI()*SQRT('Hilfstabellen_Mat&amp;Bem'!f.Rd.3/'Hilfstabellen_Mat&amp;Bem'!$BD$30)</f>
        <v>0.86352718560039721</v>
      </c>
      <c r="DL197" s="553">
        <f>0.5*(1+'Hilfstabellen_Mat&amp;Bem'!$BD$31*(DK197-0.3)+DK197^2)</f>
        <v>0.90101595941549117</v>
      </c>
      <c r="DM197" s="550">
        <f t="shared" si="163"/>
        <v>0.86339869713978068</v>
      </c>
      <c r="DO197" s="551">
        <f t="shared" si="164"/>
        <v>53531.582621363545</v>
      </c>
      <c r="DS197" s="546">
        <f t="shared" si="165"/>
        <v>249</v>
      </c>
      <c r="DT197" s="551">
        <f t="shared" si="166"/>
        <v>55.648218717072361</v>
      </c>
      <c r="DU197" s="553">
        <f>DT197/PI()*SQRT('Hilfstabellen_Mat&amp;Bem'!f.Rd.3/'Hilfstabellen_Mat&amp;Bem'!$BD$30)</f>
        <v>0.88566890830809974</v>
      </c>
      <c r="DV197" s="553">
        <f>0.5*(1+'Hilfstabellen_Mat&amp;Bem'!$BD$31*(DU197-0.3)+DU197^2)</f>
        <v>0.92148815298723563</v>
      </c>
      <c r="DW197" s="550">
        <f t="shared" si="167"/>
        <v>0.85040447234292649</v>
      </c>
      <c r="DY197" s="551">
        <f t="shared" si="168"/>
        <v>52725.927689733784</v>
      </c>
      <c r="EC197" s="546">
        <f t="shared" si="169"/>
        <v>249</v>
      </c>
      <c r="ED197" s="551">
        <f t="shared" si="170"/>
        <v>57.039424184999163</v>
      </c>
      <c r="EE197" s="553">
        <f>ED197/PI()*SQRT('Hilfstabellen_Mat&amp;Bem'!f.Rd.3/'Hilfstabellen_Mat&amp;Bem'!$BD$30)</f>
        <v>0.90781063101580206</v>
      </c>
      <c r="EF197" s="553">
        <f>0.5*(1+'Hilfstabellen_Mat&amp;Bem'!$BD$31*(EE197-0.3)+EE197^2)</f>
        <v>0.94245060244344447</v>
      </c>
      <c r="EG197" s="550">
        <f t="shared" si="171"/>
        <v>0.83638855720495231</v>
      </c>
      <c r="EI197" s="551">
        <f t="shared" si="172"/>
        <v>51856.926935264251</v>
      </c>
      <c r="EM197" s="546">
        <f t="shared" si="173"/>
        <v>249</v>
      </c>
      <c r="EN197" s="551">
        <f t="shared" si="174"/>
        <v>58.43062965292598</v>
      </c>
      <c r="EO197" s="553">
        <f>EN197/PI()*SQRT('Hilfstabellen_Mat&amp;Bem'!f.Rd.3/'Hilfstabellen_Mat&amp;Bem'!$BD$30)</f>
        <v>0.92995235372350471</v>
      </c>
      <c r="EP197" s="553">
        <f>0.5*(1+'Hilfstabellen_Mat&amp;Bem'!$BD$31*(EO197-0.3)+EO197^2)</f>
        <v>0.96390330778411837</v>
      </c>
      <c r="EQ197" s="550">
        <f t="shared" si="175"/>
        <v>0.82137262960359558</v>
      </c>
      <c r="ES197" s="551">
        <f t="shared" si="176"/>
        <v>50925.924408052531</v>
      </c>
    </row>
    <row r="198" spans="3:149">
      <c r="C198" s="546">
        <v>250</v>
      </c>
      <c r="D198" s="551">
        <f t="shared" si="126"/>
        <v>38.797938089542846</v>
      </c>
      <c r="E198" s="553">
        <f>$D198/PI()*SQRT('Hilfstabellen_Mat&amp;Bem'!f.Rd.3/'Hilfstabellen_Mat&amp;Bem'!$BD$30)</f>
        <v>0.61748836287240705</v>
      </c>
      <c r="F198" s="553">
        <f>0.5*(1+'Hilfstabellen_Mat&amp;Bem'!$BD$31*($E198-0.3)+$E198^2)</f>
        <v>0.70652035728504303</v>
      </c>
      <c r="G198" s="550">
        <f t="shared" si="127"/>
        <v>0.95251188191865255</v>
      </c>
      <c r="I198" s="551">
        <f t="shared" si="128"/>
        <v>59531.992619915785</v>
      </c>
      <c r="M198" s="546">
        <f t="shared" si="129"/>
        <v>250</v>
      </c>
      <c r="N198" s="551">
        <f t="shared" si="118"/>
        <v>40.183578735597948</v>
      </c>
      <c r="O198" s="553">
        <f>$N198/PI()*SQRT('Hilfstabellen_Mat&amp;Bem'!f.Rd.3/'Hilfstabellen_Mat&amp;Bem'!$BD$30)</f>
        <v>0.63954151868927878</v>
      </c>
      <c r="P198" s="553">
        <f>0.5*(1+'Hilfstabellen_Mat&amp;Bem'!$BD$31*($O198-0.3)+$O198^2)</f>
        <v>0.72148375299815848</v>
      </c>
      <c r="Q198" s="550">
        <f t="shared" si="119"/>
        <v>0.94747392276413256</v>
      </c>
      <c r="S198" s="551">
        <f t="shared" si="130"/>
        <v>59217.120172758288</v>
      </c>
      <c r="W198" s="546">
        <f t="shared" si="131"/>
        <v>250</v>
      </c>
      <c r="X198" s="551">
        <f t="shared" si="120"/>
        <v>41.569219381653056</v>
      </c>
      <c r="Y198" s="553">
        <f>$X198/PI()*SQRT('Hilfstabellen_Mat&amp;Bem'!f.Rd.3/'Hilfstabellen_Mat&amp;Bem'!$BD$30)</f>
        <v>0.6615946745061505</v>
      </c>
      <c r="Z198" s="553">
        <f>0.5*(1+'Hilfstabellen_Mat&amp;Bem'!$BD$31*($Y198-0.3)+$Y198^2)</f>
        <v>0.73693349039275713</v>
      </c>
      <c r="AA198" s="550">
        <f t="shared" si="121"/>
        <v>0.94203572641994926</v>
      </c>
      <c r="AC198" s="551">
        <f t="shared" si="132"/>
        <v>58877.232901246825</v>
      </c>
      <c r="AG198" s="546">
        <f t="shared" si="133"/>
        <v>250</v>
      </c>
      <c r="AH198" s="551">
        <f t="shared" si="122"/>
        <v>42.954860027708158</v>
      </c>
      <c r="AI198" s="553">
        <f>$AH198/PI()*SQRT('Hilfstabellen_Mat&amp;Bem'!f.Rd.3/'Hilfstabellen_Mat&amp;Bem'!$BD$30)</f>
        <v>0.68364783032302223</v>
      </c>
      <c r="AJ198" s="553">
        <f>0.5*(1+'Hilfstabellen_Mat&amp;Bem'!$BD$31*($AI198-0.3)+$AI198^2)</f>
        <v>0.75286956946883898</v>
      </c>
      <c r="AK198" s="550">
        <f t="shared" si="123"/>
        <v>0.9361473964890622</v>
      </c>
      <c r="AM198" s="551">
        <f t="shared" si="134"/>
        <v>58509.212280566389</v>
      </c>
      <c r="AQ198" s="546">
        <f t="shared" si="135"/>
        <v>250</v>
      </c>
      <c r="AR198" s="551">
        <f t="shared" si="124"/>
        <v>44.340500673763259</v>
      </c>
      <c r="AS198" s="553">
        <f>$AR198/PI()*SQRT('Hilfstabellen_Mat&amp;Bem'!f.Rd.3/'Hilfstabellen_Mat&amp;Bem'!$BD$30)</f>
        <v>0.70570098613989396</v>
      </c>
      <c r="AT198" s="553">
        <f>0.5*(1+'Hilfstabellen_Mat&amp;Bem'!$BD$31*($AS198-0.3)+$AS198^2)</f>
        <v>0.76929199022640415</v>
      </c>
      <c r="AU198" s="550">
        <f t="shared" si="125"/>
        <v>0.92975360025445675</v>
      </c>
      <c r="AW198" s="551">
        <f t="shared" si="136"/>
        <v>58109.600015903547</v>
      </c>
      <c r="BA198" s="546">
        <f t="shared" si="137"/>
        <v>250</v>
      </c>
      <c r="BB198" s="551">
        <f t="shared" si="138"/>
        <v>45.726141319818353</v>
      </c>
      <c r="BC198" s="553">
        <f>$BB198/PI()*SQRT('Hilfstabellen_Mat&amp;Bem'!f.Rd.3/'Hilfstabellen_Mat&amp;Bem'!$BD$30)</f>
        <v>0.72775414195676547</v>
      </c>
      <c r="BD198" s="553">
        <f>0.5*(1+'Hilfstabellen_Mat&amp;Bem'!$BD$31*($BC198-0.3)+$BC198^2)</f>
        <v>0.78620075266545231</v>
      </c>
      <c r="BE198" s="550">
        <f t="shared" si="139"/>
        <v>0.92279361317845121</v>
      </c>
      <c r="BG198" s="551">
        <f t="shared" si="140"/>
        <v>57674.6008236532</v>
      </c>
      <c r="BK198" s="546">
        <f t="shared" si="141"/>
        <v>250</v>
      </c>
      <c r="BL198" s="551">
        <f t="shared" si="142"/>
        <v>47.111781965873462</v>
      </c>
      <c r="BM198" s="553">
        <f>$BL198/PI()*SQRT('Hilfstabellen_Mat&amp;Bem'!f.Rd.3/'Hilfstabellen_Mat&amp;Bem'!$BD$30)</f>
        <v>0.7498072977736373</v>
      </c>
      <c r="BN198" s="553">
        <f>0.5*(1+'Hilfstabellen_Mat&amp;Bem'!$BD$31*($BM198-0.3)+$BM198^2)</f>
        <v>0.80359585678598378</v>
      </c>
      <c r="BO198" s="550">
        <f t="shared" si="143"/>
        <v>0.91520177533273173</v>
      </c>
      <c r="BQ198" s="551">
        <f t="shared" si="144"/>
        <v>57200.110958295736</v>
      </c>
      <c r="BU198" s="546">
        <f t="shared" si="145"/>
        <v>250</v>
      </c>
      <c r="BV198" s="551">
        <f t="shared" si="146"/>
        <v>48.497422611928563</v>
      </c>
      <c r="BW198" s="553">
        <f>$BV198/PI()*SQRT('Hilfstabellen_Mat&amp;Bem'!f.Rd.3/'Hilfstabellen_Mat&amp;Bem'!$BD$30)</f>
        <v>0.77186045359050892</v>
      </c>
      <c r="BX198" s="553">
        <f>0.5*(1+'Hilfstabellen_Mat&amp;Bem'!$BD$31*($BW198-0.3)+$BW198^2)</f>
        <v>0.82147730258799856</v>
      </c>
      <c r="BY198" s="550">
        <f t="shared" si="147"/>
        <v>0.90690855715976848</v>
      </c>
      <c r="CA198" s="551">
        <f t="shared" si="148"/>
        <v>56681.784822485533</v>
      </c>
      <c r="CE198" s="546">
        <f t="shared" si="149"/>
        <v>250</v>
      </c>
      <c r="CF198" s="551">
        <f t="shared" si="150"/>
        <v>49.883063257983665</v>
      </c>
      <c r="CG198" s="553">
        <f>CF198/PI()*SQRT('Hilfstabellen_Mat&amp;Bem'!f.Rd.3/'Hilfstabellen_Mat&amp;Bem'!$BD$30)</f>
        <v>0.79391360940738054</v>
      </c>
      <c r="CH198" s="553">
        <f>0.5*(1+'Hilfstabellen_Mat&amp;Bem'!$BD$31*(CG198-0.3)+CG198^2)</f>
        <v>0.83984509007149644</v>
      </c>
      <c r="CI198" s="550">
        <f t="shared" si="151"/>
        <v>0.89784246612950591</v>
      </c>
      <c r="CK198" s="551">
        <f t="shared" si="152"/>
        <v>56115.154133094118</v>
      </c>
      <c r="CO198" s="546">
        <f t="shared" si="153"/>
        <v>250</v>
      </c>
      <c r="CP198" s="551">
        <f t="shared" si="154"/>
        <v>51.268703904038766</v>
      </c>
      <c r="CQ198" s="553">
        <f>CP198/PI()*SQRT('Hilfstabellen_Mat&amp;Bem'!f.Rd.3/'Hilfstabellen_Mat&amp;Bem'!$BD$30)</f>
        <v>0.81596676522425227</v>
      </c>
      <c r="CR198" s="553">
        <f>0.5*(1+'Hilfstabellen_Mat&amp;Bem'!$BD$31*(CQ198-0.3)+CQ198^2)</f>
        <v>0.85869921923647752</v>
      </c>
      <c r="CS198" s="550">
        <f t="shared" si="155"/>
        <v>0.88793302768557392</v>
      </c>
      <c r="CU198" s="551">
        <f t="shared" si="156"/>
        <v>55495.814230348369</v>
      </c>
      <c r="CY198" s="546">
        <f t="shared" si="157"/>
        <v>250</v>
      </c>
      <c r="CZ198" s="551">
        <f t="shared" si="158"/>
        <v>52.654344550093867</v>
      </c>
      <c r="DA198" s="553">
        <f>CZ198/PI()*SQRT('Hilfstabellen_Mat&amp;Bem'!f.Rd.3/'Hilfstabellen_Mat&amp;Bem'!$BD$30)</f>
        <v>0.83801992104112399</v>
      </c>
      <c r="DB198" s="553">
        <f>0.5*(1+'Hilfstabellen_Mat&amp;Bem'!$BD$31*(DA198-0.3)+DA198^2)</f>
        <v>0.87803969008294203</v>
      </c>
      <c r="DC198" s="550">
        <f t="shared" si="159"/>
        <v>0.87711501016540827</v>
      </c>
      <c r="DE198" s="551">
        <f t="shared" si="160"/>
        <v>54819.688135338016</v>
      </c>
      <c r="DI198" s="546">
        <f t="shared" si="161"/>
        <v>250</v>
      </c>
      <c r="DJ198" s="551">
        <f t="shared" si="162"/>
        <v>54.039985196148969</v>
      </c>
      <c r="DK198" s="553">
        <f>DJ198/PI()*SQRT('Hilfstabellen_Mat&amp;Bem'!f.Rd.3/'Hilfstabellen_Mat&amp;Bem'!$BD$30)</f>
        <v>0.86007307685799561</v>
      </c>
      <c r="DL198" s="553">
        <f>0.5*(1+'Hilfstabellen_Mat&amp;Bem'!$BD$31*(DK198-0.3)+DK198^2)</f>
        <v>0.89786650261088963</v>
      </c>
      <c r="DM198" s="550">
        <f t="shared" si="163"/>
        <v>0.86533389626200707</v>
      </c>
      <c r="DO198" s="551">
        <f t="shared" si="164"/>
        <v>54083.368516375442</v>
      </c>
      <c r="DS198" s="546">
        <f t="shared" si="165"/>
        <v>250</v>
      </c>
      <c r="DT198" s="551">
        <f t="shared" si="166"/>
        <v>55.42562584220407</v>
      </c>
      <c r="DU198" s="553">
        <f>DT198/PI()*SQRT('Hilfstabellen_Mat&amp;Bem'!f.Rd.3/'Hilfstabellen_Mat&amp;Bem'!$BD$30)</f>
        <v>0.88212623267486734</v>
      </c>
      <c r="DV198" s="553">
        <f>0.5*(1+'Hilfstabellen_Mat&amp;Bem'!$BD$31*(DU198-0.3)+DU198^2)</f>
        <v>0.91817965682032043</v>
      </c>
      <c r="DW198" s="550">
        <f t="shared" si="167"/>
        <v>0.85255230944152194</v>
      </c>
      <c r="DY198" s="551">
        <f t="shared" si="168"/>
        <v>53284.519340095118</v>
      </c>
      <c r="EC198" s="546">
        <f t="shared" si="169"/>
        <v>250</v>
      </c>
      <c r="ED198" s="551">
        <f t="shared" si="170"/>
        <v>56.811266488259164</v>
      </c>
      <c r="EE198" s="553">
        <f>ED198/PI()*SQRT('Hilfstabellen_Mat&amp;Bem'!f.Rd.3/'Hilfstabellen_Mat&amp;Bem'!$BD$30)</f>
        <v>0.90417938849173884</v>
      </c>
      <c r="EF198" s="553">
        <f>0.5*(1+'Hilfstabellen_Mat&amp;Bem'!$BD$31*(EE198-0.3)+EE198^2)</f>
        <v>0.93897915271123433</v>
      </c>
      <c r="EG198" s="550">
        <f t="shared" si="171"/>
        <v>0.83875670567527216</v>
      </c>
      <c r="EI198" s="551">
        <f t="shared" si="172"/>
        <v>52422.29410470451</v>
      </c>
      <c r="EM198" s="546">
        <f t="shared" si="173"/>
        <v>250</v>
      </c>
      <c r="EN198" s="551">
        <f t="shared" si="174"/>
        <v>58.196907134314273</v>
      </c>
      <c r="EO198" s="553">
        <f>EN198/PI()*SQRT('Hilfstabellen_Mat&amp;Bem'!f.Rd.3/'Hilfstabellen_Mat&amp;Bem'!$BD$30)</f>
        <v>0.92623254430861057</v>
      </c>
      <c r="EP198" s="553">
        <f>0.5*(1+'Hilfstabellen_Mat&amp;Bem'!$BD$31*(EO198-0.3)+EO198^2)</f>
        <v>0.96026499028363177</v>
      </c>
      <c r="EQ198" s="550">
        <f t="shared" si="175"/>
        <v>0.82396324145605226</v>
      </c>
      <c r="ES198" s="551">
        <f t="shared" si="176"/>
        <v>51497.702591003268</v>
      </c>
    </row>
    <row r="199" spans="3:149">
      <c r="C199" s="546">
        <v>251</v>
      </c>
      <c r="D199" s="551">
        <f t="shared" si="126"/>
        <v>38.643364631018777</v>
      </c>
      <c r="E199" s="553">
        <f>$D199/PI()*SQRT('Hilfstabellen_Mat&amp;Bem'!f.Rd.3/'Hilfstabellen_Mat&amp;Bem'!$BD$30)</f>
        <v>0.61502824987291549</v>
      </c>
      <c r="F199" s="553">
        <f>0.5*(1+'Hilfstabellen_Mat&amp;Bem'!$BD$31*($E199-0.3)+$E199^2)</f>
        <v>0.70488128656451643</v>
      </c>
      <c r="G199" s="550">
        <f t="shared" si="127"/>
        <v>0.95305106913545379</v>
      </c>
      <c r="I199" s="551">
        <f t="shared" si="128"/>
        <v>60043.170406602723</v>
      </c>
      <c r="M199" s="546">
        <f t="shared" si="129"/>
        <v>251</v>
      </c>
      <c r="N199" s="551">
        <f t="shared" si="118"/>
        <v>40.023484796412305</v>
      </c>
      <c r="O199" s="553">
        <f>$N199/PI()*SQRT('Hilfstabellen_Mat&amp;Bem'!f.Rd.3/'Hilfstabellen_Mat&amp;Bem'!$BD$30)</f>
        <v>0.63699354451123391</v>
      </c>
      <c r="P199" s="553">
        <f>0.5*(1+'Hilfstabellen_Mat&amp;Bem'!$BD$31*($O199-0.3)+$O199^2)</f>
        <v>0.71973006510005444</v>
      </c>
      <c r="Q199" s="550">
        <f t="shared" si="119"/>
        <v>0.9480755532710109</v>
      </c>
      <c r="S199" s="551">
        <f t="shared" si="130"/>
        <v>59729.707931626959</v>
      </c>
      <c r="W199" s="546">
        <f t="shared" si="131"/>
        <v>251</v>
      </c>
      <c r="X199" s="551">
        <f t="shared" si="120"/>
        <v>41.403604961805833</v>
      </c>
      <c r="Y199" s="553">
        <f>$X199/PI()*SQRT('Hilfstabellen_Mat&amp;Bem'!f.Rd.3/'Hilfstabellen_Mat&amp;Bem'!$BD$30)</f>
        <v>0.65895883914955233</v>
      </c>
      <c r="Z199" s="553">
        <f>0.5*(1+'Hilfstabellen_Mat&amp;Bem'!$BD$31*($Y199-0.3)+$Y199^2)</f>
        <v>0.73506131780414041</v>
      </c>
      <c r="AA199" s="550">
        <f t="shared" si="121"/>
        <v>0.94270836579617501</v>
      </c>
      <c r="AC199" s="551">
        <f t="shared" si="132"/>
        <v>59391.569753524818</v>
      </c>
      <c r="AG199" s="546">
        <f t="shared" si="133"/>
        <v>251</v>
      </c>
      <c r="AH199" s="551">
        <f t="shared" si="122"/>
        <v>42.783725127199354</v>
      </c>
      <c r="AI199" s="553">
        <f>$AH199/PI()*SQRT('Hilfstabellen_Mat&amp;Bem'!f.Rd.3/'Hilfstabellen_Mat&amp;Bem'!$BD$30)</f>
        <v>0.68092413378787064</v>
      </c>
      <c r="AJ199" s="553">
        <f>0.5*(1+'Hilfstabellen_Mat&amp;Bem'!$BD$31*($AI199-0.3)+$AI199^2)</f>
        <v>0.75087504467677446</v>
      </c>
      <c r="AK199" s="550">
        <f t="shared" si="123"/>
        <v>0.93690082564552457</v>
      </c>
      <c r="AM199" s="551">
        <f t="shared" si="134"/>
        <v>59025.688916493695</v>
      </c>
      <c r="AQ199" s="546">
        <f t="shared" si="135"/>
        <v>251</v>
      </c>
      <c r="AR199" s="551">
        <f t="shared" si="124"/>
        <v>44.163845292592882</v>
      </c>
      <c r="AS199" s="553">
        <f>$AR199/PI()*SQRT('Hilfstabellen_Mat&amp;Bem'!f.Rd.3/'Hilfstabellen_Mat&amp;Bem'!$BD$30)</f>
        <v>0.70288942842618907</v>
      </c>
      <c r="AT199" s="553">
        <f>0.5*(1+'Hilfstabellen_Mat&amp;Bem'!$BD$31*($AS199-0.3)+$AS199^2)</f>
        <v>0.76717124571795692</v>
      </c>
      <c r="AU199" s="550">
        <f t="shared" si="125"/>
        <v>0.93059891554821317</v>
      </c>
      <c r="AW199" s="551">
        <f t="shared" si="136"/>
        <v>58628.662278452975</v>
      </c>
      <c r="BA199" s="546">
        <f t="shared" si="137"/>
        <v>251</v>
      </c>
      <c r="BB199" s="551">
        <f t="shared" si="138"/>
        <v>45.543965457986417</v>
      </c>
      <c r="BC199" s="553">
        <f>$BB199/PI()*SQRT('Hilfstabellen_Mat&amp;Bem'!f.Rd.3/'Hilfstabellen_Mat&amp;Bem'!$BD$30)</f>
        <v>0.7248547230645076</v>
      </c>
      <c r="BD199" s="553">
        <f>0.5*(1+'Hilfstabellen_Mat&amp;Bem'!$BD$31*($BC199-0.3)+$BC199^2)</f>
        <v>0.78394992092768734</v>
      </c>
      <c r="BE199" s="550">
        <f t="shared" si="139"/>
        <v>0.92374328744795853</v>
      </c>
      <c r="BG199" s="551">
        <f t="shared" si="140"/>
        <v>58196.750852508834</v>
      </c>
      <c r="BK199" s="546">
        <f t="shared" si="141"/>
        <v>251</v>
      </c>
      <c r="BL199" s="551">
        <f t="shared" si="142"/>
        <v>46.924085623379945</v>
      </c>
      <c r="BM199" s="553">
        <f>$BL199/PI()*SQRT('Hilfstabellen_Mat&amp;Bem'!f.Rd.3/'Hilfstabellen_Mat&amp;Bem'!$BD$30)</f>
        <v>0.74682001770282591</v>
      </c>
      <c r="BN199" s="553">
        <f>0.5*(1+'Hilfstabellen_Mat&amp;Bem'!$BD$31*($BM199-0.3)+$BM199^2)</f>
        <v>0.80121107030596594</v>
      </c>
      <c r="BO199" s="550">
        <f t="shared" si="143"/>
        <v>0.91626964917011666</v>
      </c>
      <c r="BQ199" s="551">
        <f t="shared" si="144"/>
        <v>57725.90416736652</v>
      </c>
      <c r="BU199" s="546">
        <f t="shared" si="145"/>
        <v>251</v>
      </c>
      <c r="BV199" s="551">
        <f t="shared" si="146"/>
        <v>48.304205788773466</v>
      </c>
      <c r="BW199" s="553">
        <f>$BV199/PI()*SQRT('Hilfstabellen_Mat&amp;Bem'!f.Rd.3/'Hilfstabellen_Mat&amp;Bem'!$BD$30)</f>
        <v>0.76878531234114433</v>
      </c>
      <c r="BX199" s="553">
        <f>0.5*(1+'Hilfstabellen_Mat&amp;Bem'!$BD$31*($BW199-0.3)+$BW199^2)</f>
        <v>0.81895469385279263</v>
      </c>
      <c r="BY199" s="550">
        <f t="shared" si="147"/>
        <v>0.90810971912631888</v>
      </c>
      <c r="CA199" s="551">
        <f t="shared" si="148"/>
        <v>57211.820414677219</v>
      </c>
      <c r="CE199" s="546">
        <f t="shared" si="149"/>
        <v>251</v>
      </c>
      <c r="CF199" s="551">
        <f t="shared" si="150"/>
        <v>49.684325954166994</v>
      </c>
      <c r="CG199" s="553">
        <f>CF199/PI()*SQRT('Hilfstabellen_Mat&amp;Bem'!f.Rd.3/'Hilfstabellen_Mat&amp;Bem'!$BD$30)</f>
        <v>0.79075060697946276</v>
      </c>
      <c r="CH199" s="553">
        <f>0.5*(1+'Hilfstabellen_Mat&amp;Bem'!$BD$31*(CG199-0.3)+CG199^2)</f>
        <v>0.83718079156816749</v>
      </c>
      <c r="CI199" s="550">
        <f t="shared" si="151"/>
        <v>0.89919297120098018</v>
      </c>
      <c r="CK199" s="551">
        <f t="shared" si="152"/>
        <v>56650.056378632951</v>
      </c>
      <c r="CO199" s="546">
        <f t="shared" si="153"/>
        <v>251</v>
      </c>
      <c r="CP199" s="551">
        <f t="shared" si="154"/>
        <v>51.064446119560522</v>
      </c>
      <c r="CQ199" s="553">
        <f>CP199/PI()*SQRT('Hilfstabellen_Mat&amp;Bem'!f.Rd.3/'Hilfstabellen_Mat&amp;Bem'!$BD$30)</f>
        <v>0.81271590161778107</v>
      </c>
      <c r="CR199" s="553">
        <f>0.5*(1+'Hilfstabellen_Mat&amp;Bem'!$BD$31*(CQ199-0.3)+CQ199^2)</f>
        <v>0.85588936345209055</v>
      </c>
      <c r="CS199" s="550">
        <f t="shared" si="155"/>
        <v>0.88944939956605718</v>
      </c>
      <c r="CU199" s="551">
        <f t="shared" si="156"/>
        <v>56036.201622061169</v>
      </c>
      <c r="CY199" s="546">
        <f t="shared" si="157"/>
        <v>251</v>
      </c>
      <c r="CZ199" s="551">
        <f t="shared" si="158"/>
        <v>52.44456628495405</v>
      </c>
      <c r="DA199" s="553">
        <f>CZ199/PI()*SQRT('Hilfstabellen_Mat&amp;Bem'!f.Rd.3/'Hilfstabellen_Mat&amp;Bem'!$BD$30)</f>
        <v>0.8346811962560996</v>
      </c>
      <c r="DB199" s="553">
        <f>0.5*(1+'Hilfstabellen_Mat&amp;Bem'!$BD$31*(DA199-0.3)+DA199^2)</f>
        <v>0.87508040950456167</v>
      </c>
      <c r="DC199" s="550">
        <f t="shared" si="159"/>
        <v>0.87881348233636014</v>
      </c>
      <c r="DE199" s="551">
        <f t="shared" si="160"/>
        <v>55366.128200673025</v>
      </c>
      <c r="DI199" s="546">
        <f t="shared" si="161"/>
        <v>251</v>
      </c>
      <c r="DJ199" s="551">
        <f t="shared" si="162"/>
        <v>53.824686450347578</v>
      </c>
      <c r="DK199" s="553">
        <f>DJ199/PI()*SQRT('Hilfstabellen_Mat&amp;Bem'!f.Rd.3/'Hilfstabellen_Mat&amp;Bem'!$BD$30)</f>
        <v>0.85664649089441791</v>
      </c>
      <c r="DL199" s="553">
        <f>0.5*(1+'Hilfstabellen_Mat&amp;Bem'!$BD$31*(DK199-0.3)+DK199^2)</f>
        <v>0.89475392972558099</v>
      </c>
      <c r="DM199" s="550">
        <f t="shared" si="163"/>
        <v>0.86722937712964832</v>
      </c>
      <c r="DO199" s="551">
        <f t="shared" si="164"/>
        <v>54636.317988544972</v>
      </c>
      <c r="DS199" s="546">
        <f t="shared" si="165"/>
        <v>251</v>
      </c>
      <c r="DT199" s="551">
        <f t="shared" si="166"/>
        <v>55.204806615741106</v>
      </c>
      <c r="DU199" s="553">
        <f>DT199/PI()*SQRT('Hilfstabellen_Mat&amp;Bem'!f.Rd.3/'Hilfstabellen_Mat&amp;Bem'!$BD$30)</f>
        <v>0.87861178553273644</v>
      </c>
      <c r="DV199" s="553">
        <f>0.5*(1+'Hilfstabellen_Mat&amp;Bem'!$BD$31*(DU199-0.3)+DU199^2)</f>
        <v>0.91490992411514849</v>
      </c>
      <c r="DW199" s="550">
        <f t="shared" si="167"/>
        <v>0.85465711439021197</v>
      </c>
      <c r="DY199" s="551">
        <f t="shared" si="168"/>
        <v>53844.252863697744</v>
      </c>
      <c r="EC199" s="546">
        <f t="shared" si="169"/>
        <v>251</v>
      </c>
      <c r="ED199" s="551">
        <f t="shared" si="170"/>
        <v>56.584926781134634</v>
      </c>
      <c r="EE199" s="553">
        <f>ED199/PI()*SQRT('Hilfstabellen_Mat&amp;Bem'!f.Rd.3/'Hilfstabellen_Mat&amp;Bem'!$BD$30)</f>
        <v>0.90057708017105476</v>
      </c>
      <c r="EF199" s="553">
        <f>0.5*(1+'Hilfstabellen_Mat&amp;Bem'!$BD$31*(EE199-0.3)+EE199^2)</f>
        <v>0.93554839267326395</v>
      </c>
      <c r="EG199" s="550">
        <f t="shared" si="171"/>
        <v>0.84107917924671172</v>
      </c>
      <c r="EI199" s="551">
        <f t="shared" si="172"/>
        <v>52988.829371722088</v>
      </c>
      <c r="EM199" s="546">
        <f t="shared" si="173"/>
        <v>251</v>
      </c>
      <c r="EN199" s="551">
        <f t="shared" si="174"/>
        <v>57.965046946528162</v>
      </c>
      <c r="EO199" s="553">
        <f>EN199/PI()*SQRT('Hilfstabellen_Mat&amp;Bem'!f.Rd.3/'Hilfstabellen_Mat&amp;Bem'!$BD$30)</f>
        <v>0.92254237480937329</v>
      </c>
      <c r="EP199" s="553">
        <f>0.5*(1+'Hilfstabellen_Mat&amp;Bem'!$BD$31*(EO199-0.3)+EO199^2)</f>
        <v>0.95666933539992782</v>
      </c>
      <c r="EQ199" s="550">
        <f t="shared" si="175"/>
        <v>0.82650647578475289</v>
      </c>
      <c r="ES199" s="551">
        <f t="shared" si="176"/>
        <v>52070.73448091522</v>
      </c>
    </row>
    <row r="200" spans="3:149">
      <c r="C200" s="546">
        <v>252</v>
      </c>
      <c r="D200" s="551">
        <f t="shared" si="126"/>
        <v>38.490017945975048</v>
      </c>
      <c r="E200" s="553">
        <f>$D200/PI()*SQRT('Hilfstabellen_Mat&amp;Bem'!f.Rd.3/'Hilfstabellen_Mat&amp;Bem'!$BD$30)</f>
        <v>0.61258766157976896</v>
      </c>
      <c r="F200" s="553">
        <f>0.5*(1+'Hilfstabellen_Mat&amp;Bem'!$BD$31*($E200-0.3)+$E200^2)</f>
        <v>0.70326120463887321</v>
      </c>
      <c r="G200" s="550">
        <f t="shared" si="127"/>
        <v>0.95358166712411119</v>
      </c>
      <c r="I200" s="551">
        <f t="shared" si="128"/>
        <v>60556.250189049555</v>
      </c>
      <c r="M200" s="546">
        <f t="shared" si="129"/>
        <v>252</v>
      </c>
      <c r="N200" s="551">
        <f t="shared" ref="N200:N263" si="177">$L$8*10^3/$M200*SQRT(12)</f>
        <v>39.864661444045588</v>
      </c>
      <c r="O200" s="553">
        <f>$N200/PI()*SQRT('Hilfstabellen_Mat&amp;Bem'!f.Rd.3/'Hilfstabellen_Mat&amp;Bem'!$BD$30)</f>
        <v>0.63446579235047507</v>
      </c>
      <c r="P200" s="553">
        <f>0.5*(1+'Hilfstabellen_Mat&amp;Bem'!$BD$31*($O200-0.3)+$O200^2)</f>
        <v>0.71799671044898183</v>
      </c>
      <c r="Q200" s="550">
        <f t="shared" ref="Q200:Q263" si="178">MIN(1/($P200+SQRT($P200^2-$O200^2)),1)</f>
        <v>0.94866720658622672</v>
      </c>
      <c r="S200" s="551">
        <f t="shared" si="130"/>
        <v>60244.162287051739</v>
      </c>
      <c r="W200" s="546">
        <f t="shared" si="131"/>
        <v>252</v>
      </c>
      <c r="X200" s="551">
        <f t="shared" ref="X200:X263" si="179">$V$8*10^3/$W200*SQRT(12)</f>
        <v>41.239304942116128</v>
      </c>
      <c r="Y200" s="553">
        <f>$X200/PI()*SQRT('Hilfstabellen_Mat&amp;Bem'!f.Rd.3/'Hilfstabellen_Mat&amp;Bem'!$BD$30)</f>
        <v>0.65634392312118106</v>
      </c>
      <c r="Z200" s="553">
        <f>0.5*(1+'Hilfstabellen_Mat&amp;Bem'!$BD$31*($Y200-0.3)+$Y200^2)</f>
        <v>0.73321086886511044</v>
      </c>
      <c r="AA200" s="550">
        <f t="shared" ref="AA200:AA263" si="180">MIN(1/($Z200+SQRT($Z200^2-$Y200^2)),1)</f>
        <v>0.9433694070165376</v>
      </c>
      <c r="AC200" s="551">
        <f t="shared" si="132"/>
        <v>59907.730823178201</v>
      </c>
      <c r="AG200" s="546">
        <f t="shared" si="133"/>
        <v>252</v>
      </c>
      <c r="AH200" s="551">
        <f t="shared" ref="AH200:AH263" si="181">$AF$8*10^3/$AG200*SQRT(12)</f>
        <v>42.613948440186661</v>
      </c>
      <c r="AI200" s="553">
        <f>$AH200/PI()*SQRT('Hilfstabellen_Mat&amp;Bem'!f.Rd.3/'Hilfstabellen_Mat&amp;Bem'!$BD$30)</f>
        <v>0.67822205389188706</v>
      </c>
      <c r="AJ200" s="553">
        <f>0.5*(1+'Hilfstabellen_Mat&amp;Bem'!$BD$31*($AI200-0.3)+$AI200^2)</f>
        <v>0.74890367988725925</v>
      </c>
      <c r="AK200" s="550">
        <f t="shared" ref="AK200:AK263" si="182">MIN(1/($AJ200+SQRT($AJ200^2-$AI200^2)),1)</f>
        <v>0.93764077045273853</v>
      </c>
      <c r="AM200" s="551">
        <f t="shared" si="134"/>
        <v>59543.939486830706</v>
      </c>
      <c r="AQ200" s="546">
        <f t="shared" si="135"/>
        <v>252</v>
      </c>
      <c r="AR200" s="551">
        <f t="shared" ref="AR200:AR263" si="183">$AP$8*10^3/$AQ200*SQRT(12)</f>
        <v>43.988591938257194</v>
      </c>
      <c r="AS200" s="553">
        <f>$AR200/PI()*SQRT('Hilfstabellen_Mat&amp;Bem'!f.Rd.3/'Hilfstabellen_Mat&amp;Bem'!$BD$30)</f>
        <v>0.70010018466259305</v>
      </c>
      <c r="AT200" s="553">
        <f>0.5*(1+'Hilfstabellen_Mat&amp;Bem'!$BD$31*($AS200-0.3)+$AS200^2)</f>
        <v>0.76507514351542816</v>
      </c>
      <c r="AU200" s="550">
        <f t="shared" ref="AU200:AU263" si="184">MIN(1/($AT200+SQRT($AT200^2-$AS200^2)),1)</f>
        <v>0.93142856391138606</v>
      </c>
      <c r="AW200" s="551">
        <f t="shared" si="136"/>
        <v>59149.439522628658</v>
      </c>
      <c r="BA200" s="546">
        <f t="shared" si="137"/>
        <v>252</v>
      </c>
      <c r="BB200" s="551">
        <f t="shared" si="138"/>
        <v>45.363235436327734</v>
      </c>
      <c r="BC200" s="553">
        <f>$BB200/PI()*SQRT('Hilfstabellen_Mat&amp;Bem'!f.Rd.3/'Hilfstabellen_Mat&amp;Bem'!$BD$30)</f>
        <v>0.72197831543329904</v>
      </c>
      <c r="BD200" s="553">
        <f>0.5*(1+'Hilfstabellen_Mat&amp;Bem'!$BD$31*($BC200-0.3)+$BC200^2)</f>
        <v>0.78172525974961715</v>
      </c>
      <c r="BE200" s="550">
        <f t="shared" si="139"/>
        <v>0.92467478963653305</v>
      </c>
      <c r="BG200" s="551">
        <f t="shared" si="140"/>
        <v>58720.547841078398</v>
      </c>
      <c r="BK200" s="546">
        <f t="shared" si="141"/>
        <v>252</v>
      </c>
      <c r="BL200" s="551">
        <f t="shared" si="142"/>
        <v>46.737878934398275</v>
      </c>
      <c r="BM200" s="553">
        <f>$BL200/PI()*SQRT('Hilfstabellen_Mat&amp;Bem'!f.Rd.3/'Hilfstabellen_Mat&amp;Bem'!$BD$30)</f>
        <v>0.74385644620400515</v>
      </c>
      <c r="BN200" s="553">
        <f>0.5*(1+'Hilfstabellen_Mat&amp;Bem'!$BD$31*($BM200-0.3)+$BM200^2)</f>
        <v>0.79885402858982624</v>
      </c>
      <c r="BO200" s="550">
        <f t="shared" si="143"/>
        <v>0.91731650798051678</v>
      </c>
      <c r="BQ200" s="551">
        <f t="shared" si="144"/>
        <v>58253.26752279474</v>
      </c>
      <c r="BU200" s="546">
        <f t="shared" si="145"/>
        <v>252</v>
      </c>
      <c r="BV200" s="551">
        <f t="shared" si="146"/>
        <v>48.112522432468815</v>
      </c>
      <c r="BW200" s="553">
        <f>$BV200/PI()*SQRT('Hilfstabellen_Mat&amp;Bem'!f.Rd.3/'Hilfstabellen_Mat&amp;Bem'!$BD$30)</f>
        <v>0.76573457697471126</v>
      </c>
      <c r="BX200" s="553">
        <f>0.5*(1+'Hilfstabellen_Mat&amp;Bem'!$BD$31*($BW200-0.3)+$BW200^2)</f>
        <v>0.81646145003605564</v>
      </c>
      <c r="BY200" s="550">
        <f t="shared" si="147"/>
        <v>0.90928668947769287</v>
      </c>
      <c r="CA200" s="551">
        <f t="shared" si="148"/>
        <v>57743.341928591406</v>
      </c>
      <c r="CE200" s="546">
        <f t="shared" si="149"/>
        <v>252</v>
      </c>
      <c r="CF200" s="551">
        <f t="shared" si="150"/>
        <v>49.487165930539348</v>
      </c>
      <c r="CG200" s="553">
        <f>CF200/PI()*SQRT('Hilfstabellen_Mat&amp;Bem'!f.Rd.3/'Hilfstabellen_Mat&amp;Bem'!$BD$30)</f>
        <v>0.78761270774541725</v>
      </c>
      <c r="CH200" s="553">
        <f>0.5*(1+'Hilfstabellen_Mat&amp;Bem'!$BD$31*(CG200-0.3)+CG200^2)</f>
        <v>0.8345475240883049</v>
      </c>
      <c r="CI200" s="550">
        <f t="shared" si="151"/>
        <v>0.90051580877540705</v>
      </c>
      <c r="CK200" s="551">
        <f t="shared" si="152"/>
        <v>57186.355920473448</v>
      </c>
      <c r="CO200" s="546">
        <f t="shared" si="153"/>
        <v>252</v>
      </c>
      <c r="CP200" s="551">
        <f t="shared" si="154"/>
        <v>50.861809428609881</v>
      </c>
      <c r="CQ200" s="553">
        <f>CP200/PI()*SQRT('Hilfstabellen_Mat&amp;Bem'!f.Rd.3/'Hilfstabellen_Mat&amp;Bem'!$BD$30)</f>
        <v>0.80949083851612313</v>
      </c>
      <c r="CR200" s="553">
        <f>0.5*(1+'Hilfstabellen_Mat&amp;Bem'!$BD$31*(CQ200-0.3)+CQ200^2)</f>
        <v>0.85311225074657426</v>
      </c>
      <c r="CS200" s="550">
        <f t="shared" si="155"/>
        <v>0.89093440552787517</v>
      </c>
      <c r="CU200" s="551">
        <f t="shared" si="156"/>
        <v>56577.898488642182</v>
      </c>
      <c r="CY200" s="546">
        <f t="shared" si="157"/>
        <v>252</v>
      </c>
      <c r="CZ200" s="551">
        <f t="shared" si="158"/>
        <v>52.236452926680421</v>
      </c>
      <c r="DA200" s="553">
        <f>CZ200/PI()*SQRT('Hilfstabellen_Mat&amp;Bem'!f.Rd.3/'Hilfstabellen_Mat&amp;Bem'!$BD$30)</f>
        <v>0.83136896928682935</v>
      </c>
      <c r="DB200" s="553">
        <f>0.5*(1+'Hilfstabellen_Mat&amp;Bem'!$BD$31*(DA200-0.3)+DA200^2)</f>
        <v>0.87215563001086394</v>
      </c>
      <c r="DC200" s="550">
        <f t="shared" si="159"/>
        <v>0.88047679789380795</v>
      </c>
      <c r="DE200" s="551">
        <f t="shared" si="160"/>
        <v>55913.798573448381</v>
      </c>
      <c r="DI200" s="546">
        <f t="shared" si="161"/>
        <v>252</v>
      </c>
      <c r="DJ200" s="551">
        <f t="shared" si="162"/>
        <v>53.611096424750961</v>
      </c>
      <c r="DK200" s="553">
        <f>DJ200/PI()*SQRT('Hilfstabellen_Mat&amp;Bem'!f.Rd.3/'Hilfstabellen_Mat&amp;Bem'!$BD$30)</f>
        <v>0.85324710005753523</v>
      </c>
      <c r="DL200" s="553">
        <f>0.5*(1+'Hilfstabellen_Mat&amp;Bem'!$BD$31*(DK200-0.3)+DK200^2)</f>
        <v>0.89167766188117348</v>
      </c>
      <c r="DM200" s="550">
        <f t="shared" si="163"/>
        <v>0.86908600786234769</v>
      </c>
      <c r="DO200" s="551">
        <f t="shared" si="164"/>
        <v>55190.437843290529</v>
      </c>
      <c r="DS200" s="546">
        <f t="shared" si="165"/>
        <v>252</v>
      </c>
      <c r="DT200" s="551">
        <f t="shared" si="166"/>
        <v>54.985739922821502</v>
      </c>
      <c r="DU200" s="553">
        <f>DT200/PI()*SQRT('Hilfstabellen_Mat&amp;Bem'!f.Rd.3/'Hilfstabellen_Mat&amp;Bem'!$BD$30)</f>
        <v>0.87512523082824145</v>
      </c>
      <c r="DV200" s="553">
        <f>0.5*(1+'Hilfstabellen_Mat&amp;Bem'!$BD$31*(DU200-0.3)+DU200^2)</f>
        <v>0.91167834635750356</v>
      </c>
      <c r="DW200" s="550">
        <f t="shared" si="167"/>
        <v>0.8567197160553286</v>
      </c>
      <c r="DY200" s="551">
        <f t="shared" si="168"/>
        <v>54405.128848377586</v>
      </c>
      <c r="EC200" s="546">
        <f t="shared" si="169"/>
        <v>252</v>
      </c>
      <c r="ED200" s="551">
        <f t="shared" si="170"/>
        <v>56.360383420892035</v>
      </c>
      <c r="EE200" s="553">
        <f>ED200/PI()*SQRT('Hilfstabellen_Mat&amp;Bem'!f.Rd.3/'Hilfstabellen_Mat&amp;Bem'!$BD$30)</f>
        <v>0.89700336159894745</v>
      </c>
      <c r="EF200" s="553">
        <f>0.5*(1+'Hilfstabellen_Mat&amp;Bem'!$BD$31*(EE200-0.3)+EE200^2)</f>
        <v>0.93215768343985339</v>
      </c>
      <c r="EG200" s="550">
        <f t="shared" si="171"/>
        <v>0.84335671220932795</v>
      </c>
      <c r="EI200" s="551">
        <f t="shared" si="172"/>
        <v>53556.524652141161</v>
      </c>
      <c r="EM200" s="546">
        <f t="shared" si="173"/>
        <v>252</v>
      </c>
      <c r="EN200" s="551">
        <f t="shared" si="174"/>
        <v>57.735026918962575</v>
      </c>
      <c r="EO200" s="553">
        <f>EN200/PI()*SQRT('Hilfstabellen_Mat&amp;Bem'!f.Rd.3/'Hilfstabellen_Mat&amp;Bem'!$BD$30)</f>
        <v>0.91888149236965355</v>
      </c>
      <c r="EP200" s="553">
        <f>0.5*(1+'Hilfstabellen_Mat&amp;Bem'!$BD$31*(EO200-0.3)+EO200^2)</f>
        <v>0.95311567312822354</v>
      </c>
      <c r="EQ200" s="550">
        <f t="shared" si="175"/>
        <v>0.8290029172295762</v>
      </c>
      <c r="ES200" s="551">
        <f t="shared" si="176"/>
        <v>52645.001255747004</v>
      </c>
    </row>
    <row r="201" spans="3:149">
      <c r="C201" s="546">
        <v>253</v>
      </c>
      <c r="D201" s="551">
        <f t="shared" ref="D201:D264" si="185">$B$8*10^3/$C201*SQRT(12)</f>
        <v>38.337883487690561</v>
      </c>
      <c r="E201" s="553">
        <f>$D201/PI()*SQRT('Hilfstabellen_Mat&amp;Bem'!f.Rd.3/'Hilfstabellen_Mat&amp;Bem'!$BD$30)</f>
        <v>0.61016636647471056</v>
      </c>
      <c r="F201" s="553">
        <f>0.5*(1+'Hilfstabellen_Mat&amp;Bem'!$BD$31*($E201-0.3)+$E201^2)</f>
        <v>0.70165981571221092</v>
      </c>
      <c r="G201" s="550">
        <f t="shared" ref="G201:G264" si="186">MIN(1/($F201+SQRT($F201^2-$E201^2)),1)</f>
        <v>0.95410388400514301</v>
      </c>
      <c r="I201" s="551">
        <f t="shared" ref="I201:I264" si="187">C201^2*G201</f>
        <v>61071.235511285202</v>
      </c>
      <c r="M201" s="546">
        <f t="shared" ref="M201:M264" si="188">$C201</f>
        <v>253</v>
      </c>
      <c r="N201" s="551">
        <f t="shared" si="177"/>
        <v>39.707093612250937</v>
      </c>
      <c r="O201" s="553">
        <f>$N201/PI()*SQRT('Hilfstabellen_Mat&amp;Bem'!f.Rd.3/'Hilfstabellen_Mat&amp;Bem'!$BD$30)</f>
        <v>0.63195802242023591</v>
      </c>
      <c r="P201" s="553">
        <f>0.5*(1+'Hilfstabellen_Mat&amp;Bem'!$BD$31*($O201-0.3)+$O201^2)</f>
        <v>0.71628337217165949</v>
      </c>
      <c r="Q201" s="550">
        <f t="shared" si="178"/>
        <v>0.94924913137398925</v>
      </c>
      <c r="S201" s="551">
        <f t="shared" ref="S201:S264" si="189">M201^2*Q201</f>
        <v>60760.487650117677</v>
      </c>
      <c r="W201" s="546">
        <f t="shared" ref="W201:W264" si="190">$C201</f>
        <v>253</v>
      </c>
      <c r="X201" s="551">
        <f t="shared" si="179"/>
        <v>41.076303736811319</v>
      </c>
      <c r="Y201" s="553">
        <f>$X201/PI()*SQRT('Hilfstabellen_Mat&amp;Bem'!f.Rd.3/'Hilfstabellen_Mat&amp;Bem'!$BD$30)</f>
        <v>0.65374967836576137</v>
      </c>
      <c r="Z201" s="553">
        <f>0.5*(1+'Hilfstabellen_Mat&amp;Bem'!$BD$31*($Y201-0.3)+$Y201^2)</f>
        <v>0.7313818048999563</v>
      </c>
      <c r="AA201" s="550">
        <f t="shared" si="180"/>
        <v>0.9440191465676796</v>
      </c>
      <c r="AC201" s="551">
        <f t="shared" ref="AC201:AC264" si="191">W201^2*AA201</f>
        <v>60425.721552650604</v>
      </c>
      <c r="AG201" s="546">
        <f t="shared" ref="AG201:AG264" si="192">$C201</f>
        <v>253</v>
      </c>
      <c r="AH201" s="551">
        <f t="shared" si="181"/>
        <v>42.445513861371694</v>
      </c>
      <c r="AI201" s="553">
        <f>$AH201/PI()*SQRT('Hilfstabellen_Mat&amp;Bem'!f.Rd.3/'Hilfstabellen_Mat&amp;Bem'!$BD$30)</f>
        <v>0.67554133431128671</v>
      </c>
      <c r="AJ201" s="553">
        <f>0.5*(1+'Hilfstabellen_Mat&amp;Bem'!$BD$31*($AI201-0.3)+$AI201^2)</f>
        <v>0.74695511389710112</v>
      </c>
      <c r="AK201" s="550">
        <f t="shared" si="182"/>
        <v>0.93836758318287938</v>
      </c>
      <c r="AM201" s="551">
        <f t="shared" ref="AM201:AM264" si="193">AG201^2*AK201</f>
        <v>60063.970631952929</v>
      </c>
      <c r="AQ201" s="546">
        <f t="shared" ref="AQ201:AQ264" si="194">$C201</f>
        <v>253</v>
      </c>
      <c r="AR201" s="551">
        <f t="shared" si="183"/>
        <v>43.814723985932069</v>
      </c>
      <c r="AS201" s="553">
        <f>$AR201/PI()*SQRT('Hilfstabellen_Mat&amp;Bem'!f.Rd.3/'Hilfstabellen_Mat&amp;Bem'!$BD$30)</f>
        <v>0.69733299025681206</v>
      </c>
      <c r="AT201" s="553">
        <f>0.5*(1+'Hilfstabellen_Mat&amp;Bem'!$BD$31*($AS201-0.3)+$AS201^2)</f>
        <v>0.76300329916309417</v>
      </c>
      <c r="AU201" s="550">
        <f t="shared" si="184"/>
        <v>0.93224296167899023</v>
      </c>
      <c r="AW201" s="551">
        <f t="shared" ref="AW201:AW264" si="195">AQ201^2*AU201</f>
        <v>59671.939734110485</v>
      </c>
      <c r="BA201" s="546">
        <f t="shared" si="137"/>
        <v>253</v>
      </c>
      <c r="BB201" s="551">
        <f t="shared" si="138"/>
        <v>45.183934110492444</v>
      </c>
      <c r="BC201" s="553">
        <f>$BB201/PI()*SQRT('Hilfstabellen_Mat&amp;Bem'!f.Rd.3/'Hilfstabellen_Mat&amp;Bem'!$BD$30)</f>
        <v>0.7191246462023374</v>
      </c>
      <c r="BD201" s="553">
        <f>0.5*(1+'Hilfstabellen_Mat&amp;Bem'!$BD$31*($BC201-0.3)+$BC201^2)</f>
        <v>0.77952636069793535</v>
      </c>
      <c r="BE201" s="550">
        <f t="shared" si="139"/>
        <v>0.92558860804488929</v>
      </c>
      <c r="BG201" s="551">
        <f t="shared" si="140"/>
        <v>59246.00121234532</v>
      </c>
      <c r="BK201" s="546">
        <f t="shared" si="141"/>
        <v>253</v>
      </c>
      <c r="BL201" s="551">
        <f t="shared" si="142"/>
        <v>46.553144235052827</v>
      </c>
      <c r="BM201" s="553">
        <f>$BL201/PI()*SQRT('Hilfstabellen_Mat&amp;Bem'!f.Rd.3/'Hilfstabellen_Mat&amp;Bem'!$BD$30)</f>
        <v>0.74091630214786286</v>
      </c>
      <c r="BN201" s="553">
        <f>0.5*(1+'Hilfstabellen_Mat&amp;Bem'!$BD$31*($BM201-0.3)+$BM201^2)</f>
        <v>0.79652429850162476</v>
      </c>
      <c r="BO201" s="550">
        <f t="shared" si="143"/>
        <v>0.91834291842884741</v>
      </c>
      <c r="BQ201" s="551">
        <f t="shared" si="144"/>
        <v>58782.211865712095</v>
      </c>
      <c r="BU201" s="546">
        <f t="shared" si="145"/>
        <v>253</v>
      </c>
      <c r="BV201" s="551">
        <f t="shared" si="146"/>
        <v>47.922354359613202</v>
      </c>
      <c r="BW201" s="553">
        <f>$BV201/PI()*SQRT('Hilfstabellen_Mat&amp;Bem'!f.Rd.3/'Hilfstabellen_Mat&amp;Bem'!$BD$30)</f>
        <v>0.76270795809338821</v>
      </c>
      <c r="BX201" s="553">
        <f>0.5*(1+'Hilfstabellen_Mat&amp;Bem'!$BD$31*($BW201-0.3)+$BW201^2)</f>
        <v>0.8139971125741623</v>
      </c>
      <c r="BY201" s="550">
        <f t="shared" si="147"/>
        <v>0.91044011645882439</v>
      </c>
      <c r="CA201" s="551">
        <f t="shared" si="148"/>
        <v>58276.361414412888</v>
      </c>
      <c r="CE201" s="546">
        <f t="shared" si="149"/>
        <v>253</v>
      </c>
      <c r="CF201" s="551">
        <f t="shared" si="150"/>
        <v>49.291564484173577</v>
      </c>
      <c r="CG201" s="553">
        <f>CF201/PI()*SQRT('Hilfstabellen_Mat&amp;Bem'!f.Rd.3/'Hilfstabellen_Mat&amp;Bem'!$BD$30)</f>
        <v>0.78449961403891355</v>
      </c>
      <c r="CH201" s="553">
        <f>0.5*(1+'Hilfstabellen_Mat&amp;Bem'!$BD$31*(CG201-0.3)+CG201^2)</f>
        <v>0.83194480291554784</v>
      </c>
      <c r="CI201" s="550">
        <f t="shared" si="151"/>
        <v>0.90181170645827646</v>
      </c>
      <c r="CK201" s="551">
        <f t="shared" si="152"/>
        <v>57724.065518687821</v>
      </c>
      <c r="CO201" s="546">
        <f t="shared" si="153"/>
        <v>253</v>
      </c>
      <c r="CP201" s="551">
        <f t="shared" si="154"/>
        <v>50.660774608733959</v>
      </c>
      <c r="CQ201" s="553">
        <f>CP201/PI()*SQRT('Hilfstabellen_Mat&amp;Bem'!f.Rd.3/'Hilfstabellen_Mat&amp;Bem'!$BD$30)</f>
        <v>0.80629126998443901</v>
      </c>
      <c r="CR201" s="553">
        <f>0.5*(1+'Hilfstabellen_Mat&amp;Bem'!$BD$31*(CQ201-0.3)+CQ201^2)</f>
        <v>0.85036736952578185</v>
      </c>
      <c r="CS201" s="550">
        <f t="shared" si="155"/>
        <v>0.89238884221765791</v>
      </c>
      <c r="CU201" s="551">
        <f t="shared" si="156"/>
        <v>57120.917401510065</v>
      </c>
      <c r="CY201" s="546">
        <f t="shared" si="157"/>
        <v>253</v>
      </c>
      <c r="CZ201" s="551">
        <f t="shared" si="158"/>
        <v>52.029984733294334</v>
      </c>
      <c r="DA201" s="553">
        <f>CZ201/PI()*SQRT('Hilfstabellen_Mat&amp;Bem'!f.Rd.3/'Hilfstabellen_Mat&amp;Bem'!$BD$30)</f>
        <v>0.82808292592996446</v>
      </c>
      <c r="DB201" s="553">
        <f>0.5*(1+'Hilfstabellen_Mat&amp;Bem'!$BD$31*(DA201-0.3)+DA201^2)</f>
        <v>0.86926481240486375</v>
      </c>
      <c r="DC201" s="550">
        <f t="shared" si="159"/>
        <v>0.88210580150858686</v>
      </c>
      <c r="DE201" s="551">
        <f t="shared" si="160"/>
        <v>56462.710248763135</v>
      </c>
      <c r="DI201" s="546">
        <f t="shared" si="161"/>
        <v>253</v>
      </c>
      <c r="DJ201" s="551">
        <f t="shared" si="162"/>
        <v>53.39919485785471</v>
      </c>
      <c r="DK201" s="553">
        <f>DJ201/PI()*SQRT('Hilfstabellen_Mat&amp;Bem'!f.Rd.3/'Hilfstabellen_Mat&amp;Bem'!$BD$30)</f>
        <v>0.8498745818754897</v>
      </c>
      <c r="DL201" s="553">
        <f>0.5*(1+'Hilfstabellen_Mat&amp;Bem'!$BD$31*(DK201-0.3)+DK201^2)</f>
        <v>0.88863713155279367</v>
      </c>
      <c r="DM201" s="550">
        <f t="shared" si="163"/>
        <v>0.87090464778691956</v>
      </c>
      <c r="DO201" s="551">
        <f t="shared" si="164"/>
        <v>55745.735600192937</v>
      </c>
      <c r="DS201" s="546">
        <f t="shared" si="165"/>
        <v>253</v>
      </c>
      <c r="DT201" s="551">
        <f t="shared" si="166"/>
        <v>54.768404982415085</v>
      </c>
      <c r="DU201" s="553">
        <f>DT201/PI()*SQRT('Hilfstabellen_Mat&amp;Bem'!f.Rd.3/'Hilfstabellen_Mat&amp;Bem'!$BD$30)</f>
        <v>0.87166623782101516</v>
      </c>
      <c r="DV201" s="553">
        <f>0.5*(1+'Hilfstabellen_Mat&amp;Bem'!$BD$31*(DU201-0.3)+DU201^2)</f>
        <v>0.90848432696957204</v>
      </c>
      <c r="DW201" s="550">
        <f t="shared" si="167"/>
        <v>0.85874094316516347</v>
      </c>
      <c r="DY201" s="551">
        <f t="shared" si="168"/>
        <v>54967.149031058951</v>
      </c>
      <c r="EC201" s="546">
        <f t="shared" si="169"/>
        <v>253</v>
      </c>
      <c r="ED201" s="551">
        <f t="shared" si="170"/>
        <v>56.137615106975467</v>
      </c>
      <c r="EE201" s="553">
        <f>ED201/PI()*SQRT('Hilfstabellen_Mat&amp;Bem'!f.Rd.3/'Hilfstabellen_Mat&amp;Bem'!$BD$30)</f>
        <v>0.8934578937665405</v>
      </c>
      <c r="EF201" s="553">
        <f>0.5*(1+'Hilfstabellen_Mat&amp;Bem'!$BD$31*(EE201-0.3)+EE201^2)</f>
        <v>0.92880639865519843</v>
      </c>
      <c r="EG201" s="550">
        <f t="shared" si="171"/>
        <v>0.84559004919734038</v>
      </c>
      <c r="EI201" s="551">
        <f t="shared" si="172"/>
        <v>54125.373459072558</v>
      </c>
      <c r="EM201" s="546">
        <f t="shared" si="173"/>
        <v>253</v>
      </c>
      <c r="EN201" s="551">
        <f t="shared" si="174"/>
        <v>57.506825231535842</v>
      </c>
      <c r="EO201" s="553">
        <f>EN201/PI()*SQRT('Hilfstabellen_Mat&amp;Bem'!f.Rd.3/'Hilfstabellen_Mat&amp;Bem'!$BD$30)</f>
        <v>0.91524954971206585</v>
      </c>
      <c r="EP201" s="553">
        <f>0.5*(1+'Hilfstabellen_Mat&amp;Bem'!$BD$31*(EO201-0.3)+EO201^2)</f>
        <v>0.94960334660967294</v>
      </c>
      <c r="EQ201" s="550">
        <f t="shared" si="175"/>
        <v>0.83145317166841848</v>
      </c>
      <c r="ES201" s="551">
        <f t="shared" si="176"/>
        <v>53220.486065323799</v>
      </c>
    </row>
    <row r="202" spans="3:149">
      <c r="C202" s="546">
        <v>254</v>
      </c>
      <c r="D202" s="551">
        <f t="shared" si="185"/>
        <v>38.186946938526425</v>
      </c>
      <c r="E202" s="553">
        <f>$D202/PI()*SQRT('Hilfstabellen_Mat&amp;Bem'!f.Rd.3/'Hilfstabellen_Mat&amp;Bem'!$BD$30)</f>
        <v>0.60776413668544005</v>
      </c>
      <c r="F202" s="553">
        <f>0.5*(1+'Hilfstabellen_Mat&amp;Bem'!$BD$31*($E202-0.3)+$E202^2)</f>
        <v>0.70007682975477115</v>
      </c>
      <c r="G202" s="550">
        <f t="shared" si="186"/>
        <v>0.9546179214006959</v>
      </c>
      <c r="I202" s="551">
        <f t="shared" si="187"/>
        <v>61588.129817087298</v>
      </c>
      <c r="M202" s="546">
        <f t="shared" si="188"/>
        <v>254</v>
      </c>
      <c r="N202" s="551">
        <f t="shared" si="177"/>
        <v>39.550766472045225</v>
      </c>
      <c r="O202" s="553">
        <f>$N202/PI()*SQRT('Hilfstabellen_Mat&amp;Bem'!f.Rd.3/'Hilfstabellen_Mat&amp;Bem'!$BD$30)</f>
        <v>0.62946999870992004</v>
      </c>
      <c r="P202" s="553">
        <f>0.5*(1+'Hilfstabellen_Mat&amp;Bem'!$BD$31*($O202-0.3)+$O202^2)</f>
        <v>0.71458973957342931</v>
      </c>
      <c r="Q202" s="550">
        <f t="shared" si="178"/>
        <v>0.94982156840342458</v>
      </c>
      <c r="S202" s="551">
        <f t="shared" si="189"/>
        <v>61278.688307115342</v>
      </c>
      <c r="W202" s="546">
        <f t="shared" si="190"/>
        <v>254</v>
      </c>
      <c r="X202" s="551">
        <f t="shared" si="179"/>
        <v>40.914586005564033</v>
      </c>
      <c r="Y202" s="553">
        <f>$X202/PI()*SQRT('Hilfstabellen_Mat&amp;Bem'!f.Rd.3/'Hilfstabellen_Mat&amp;Bem'!$BD$30)</f>
        <v>0.65117586073440015</v>
      </c>
      <c r="Z202" s="553">
        <f>0.5*(1+'Hilfstabellen_Mat&amp;Bem'!$BD$31*($Y202-0.3)+$Y202^2)</f>
        <v>0.72957379383831344</v>
      </c>
      <c r="AA202" s="550">
        <f t="shared" si="180"/>
        <v>0.94465787141149704</v>
      </c>
      <c r="AC202" s="551">
        <f t="shared" si="191"/>
        <v>60945.547231984143</v>
      </c>
      <c r="AG202" s="546">
        <f t="shared" si="192"/>
        <v>254</v>
      </c>
      <c r="AH202" s="551">
        <f t="shared" si="181"/>
        <v>42.278405539082826</v>
      </c>
      <c r="AI202" s="553">
        <f>$AH202/PI()*SQRT('Hilfstabellen_Mat&amp;Bem'!f.Rd.3/'Hilfstabellen_Mat&amp;Bem'!$BD$30)</f>
        <v>0.67288172275888003</v>
      </c>
      <c r="AJ202" s="553">
        <f>0.5*(1+'Hilfstabellen_Mat&amp;Bem'!$BD$31*($AI202-0.3)+$AI202^2)</f>
        <v>0.74502899254942312</v>
      </c>
      <c r="AK202" s="550">
        <f t="shared" si="182"/>
        <v>0.93908160473184521</v>
      </c>
      <c r="AM202" s="551">
        <f t="shared" si="193"/>
        <v>60585.788810879727</v>
      </c>
      <c r="AQ202" s="546">
        <f t="shared" si="194"/>
        <v>254</v>
      </c>
      <c r="AR202" s="551">
        <f t="shared" si="183"/>
        <v>43.642225072601633</v>
      </c>
      <c r="AS202" s="553">
        <f>$AR202/PI()*SQRT('Hilfstabellen_Mat&amp;Bem'!f.Rd.3/'Hilfstabellen_Mat&amp;Bem'!$BD$30)</f>
        <v>0.69458758478336013</v>
      </c>
      <c r="AT202" s="553">
        <f>0.5*(1+'Hilfstabellen_Mat&amp;Bem'!$BD$31*($AS202-0.3)+$AS202^2)</f>
        <v>0.76095533570675866</v>
      </c>
      <c r="AU202" s="550">
        <f t="shared" si="184"/>
        <v>0.9330425117871638</v>
      </c>
      <c r="AW202" s="551">
        <f t="shared" si="195"/>
        <v>60196.170690460662</v>
      </c>
      <c r="BA202" s="546">
        <f t="shared" ref="BA202:BA265" si="196">$C202</f>
        <v>254</v>
      </c>
      <c r="BB202" s="551">
        <f t="shared" ref="BB202:BB265" si="197">$AZ$8*10^3/$BA202*SQRT(12)</f>
        <v>45.006044606120433</v>
      </c>
      <c r="BC202" s="553">
        <f>$BB202/PI()*SQRT('Hilfstabellen_Mat&amp;Bem'!f.Rd.3/'Hilfstabellen_Mat&amp;Bem'!$BD$30)</f>
        <v>0.71629344680784013</v>
      </c>
      <c r="BD202" s="553">
        <f>0.5*(1+'Hilfstabellen_Mat&amp;Bem'!$BD$31*($BC202-0.3)+$BC202^2)</f>
        <v>0.77735282331032007</v>
      </c>
      <c r="BE202" s="550">
        <f t="shared" ref="BE202:BE265" si="198">MIN(1/($BD202+SQRT($BD202^2-$BC202^2)),1)</f>
        <v>0.92648521549535812</v>
      </c>
      <c r="BG202" s="551">
        <f t="shared" ref="BG202:BG265" si="199">BA202^2*BE202</f>
        <v>59773.120162898522</v>
      </c>
      <c r="BK202" s="546">
        <f t="shared" ref="BK202:BK265" si="200">$C202</f>
        <v>254</v>
      </c>
      <c r="BL202" s="551">
        <f t="shared" ref="BL202:BL265" si="201">$BJ$8*10^3/$BK202*SQRT(12)</f>
        <v>46.369864139639226</v>
      </c>
      <c r="BM202" s="553">
        <f>$BL202/PI()*SQRT('Hilfstabellen_Mat&amp;Bem'!f.Rd.3/'Hilfstabellen_Mat&amp;Bem'!$BD$30)</f>
        <v>0.73799930883232001</v>
      </c>
      <c r="BN202" s="553">
        <f>0.5*(1+'Hilfstabellen_Mat&amp;Bem'!$BD$31*($BM202-0.3)+$BM202^2)</f>
        <v>0.79422145536010702</v>
      </c>
      <c r="BO202" s="550">
        <f t="shared" ref="BO202:BO265" si="202">MIN(1/($BN202+SQRT($BN202^2-$BM202^2)),1)</f>
        <v>0.91934942977142764</v>
      </c>
      <c r="BQ202" s="551">
        <f t="shared" ref="BQ202:BQ265" si="203">BK202^2*BO202</f>
        <v>59312.747811133428</v>
      </c>
      <c r="BU202" s="546">
        <f t="shared" ref="BU202:BU265" si="204">$C202</f>
        <v>254</v>
      </c>
      <c r="BV202" s="551">
        <f t="shared" ref="BV202:BV265" si="205">$BT$8*10^3/$BU202*SQRT(12)</f>
        <v>47.733683673158033</v>
      </c>
      <c r="BW202" s="553">
        <f>$BV202/PI()*SQRT('Hilfstabellen_Mat&amp;Bem'!f.Rd.3/'Hilfstabellen_Mat&amp;Bem'!$BD$30)</f>
        <v>0.75970517085680012</v>
      </c>
      <c r="BX202" s="553">
        <f>0.5*(1+'Hilfstabellen_Mat&amp;Bem'!$BD$31*($BW202-0.3)+$BW202^2)</f>
        <v>0.81156123185612006</v>
      </c>
      <c r="BY202" s="550">
        <f t="shared" ref="BY202:BY265" si="206">MIN(1/($BX202+SQRT($BX202^2-$BW202^2)),1)</f>
        <v>0.91157062945109235</v>
      </c>
      <c r="CA202" s="551">
        <f t="shared" ref="CA202:CA265" si="207">BU202^2*BY202</f>
        <v>58810.890729666673</v>
      </c>
      <c r="CE202" s="546">
        <f t="shared" ref="CE202:CE265" si="208">$C202</f>
        <v>254</v>
      </c>
      <c r="CF202" s="551">
        <f t="shared" ref="CF202:CF265" si="209">$CD$8*10^3/CE202*SQRT(12)</f>
        <v>49.097503206676834</v>
      </c>
      <c r="CG202" s="553">
        <f>CF202/PI()*SQRT('Hilfstabellen_Mat&amp;Bem'!f.Rd.3/'Hilfstabellen_Mat&amp;Bem'!$BD$30)</f>
        <v>0.78141103288128011</v>
      </c>
      <c r="CH202" s="553">
        <f>0.5*(1+'Hilfstabellen_Mat&amp;Bem'!$BD$31*(CG202-0.3)+CG202^2)</f>
        <v>0.82937215279835852</v>
      </c>
      <c r="CI202" s="550">
        <f t="shared" ref="CI202:CI265" si="210">MIN(1/(CH202+SQRT(CH202^2-CG202^2)),1)</f>
        <v>0.90308137247067621</v>
      </c>
      <c r="CK202" s="551">
        <f t="shared" ref="CK202:CK265" si="211">CE202^2*CI202</f>
        <v>58263.197826318145</v>
      </c>
      <c r="CO202" s="546">
        <f t="shared" ref="CO202:CO265" si="212">$C202</f>
        <v>254</v>
      </c>
      <c r="CP202" s="551">
        <f t="shared" ref="CP202:CP265" si="213">$CN$8*10^3/CO202*SQRT(12)</f>
        <v>50.461322740195641</v>
      </c>
      <c r="CQ202" s="553">
        <f>CP202/PI()*SQRT('Hilfstabellen_Mat&amp;Bem'!f.Rd.3/'Hilfstabellen_Mat&amp;Bem'!$BD$30)</f>
        <v>0.80311689490576021</v>
      </c>
      <c r="CR202" s="553">
        <f>0.5*(1+'Hilfstabellen_Mat&amp;Bem'!$BD$31*(CQ202-0.3)+CQ202^2)</f>
        <v>0.84765421818682296</v>
      </c>
      <c r="CS202" s="550">
        <f t="shared" ref="CS202:CS265" si="214">MIN(1/(CR202+SQRT(CR202^2-CQ202^2)),1)</f>
        <v>0.89381348787820014</v>
      </c>
      <c r="CU202" s="551">
        <f t="shared" ref="CU202:CU265" si="215">CO202^2*CS202</f>
        <v>57665.270983949958</v>
      </c>
      <c r="CY202" s="546">
        <f t="shared" ref="CY202:CY265" si="216">$C202</f>
        <v>254</v>
      </c>
      <c r="CZ202" s="551">
        <f t="shared" ref="CZ202:CZ265" si="217">$CX$8*10^3/CY202*SQRT(12)</f>
        <v>51.825142273714434</v>
      </c>
      <c r="DA202" s="553">
        <f>CZ202/PI()*SQRT('Hilfstabellen_Mat&amp;Bem'!f.Rd.3/'Hilfstabellen_Mat&amp;Bem'!$BD$30)</f>
        <v>0.8248227569302401</v>
      </c>
      <c r="DB202" s="553">
        <f>0.5*(1+'Hilfstabellen_Mat&amp;Bem'!$BD$31*(DA202-0.3)+DA202^2)</f>
        <v>0.86640742802151305</v>
      </c>
      <c r="DC202" s="550">
        <f t="shared" ref="DC202:DC265" si="218">MIN(1/(DB202+SQRT(DB202^2-DA202^2)),1)</f>
        <v>0.88370132251473477</v>
      </c>
      <c r="DE202" s="551">
        <f t="shared" ref="DE202:DE265" si="219">CY202^2*DC202</f>
        <v>57012.874523360631</v>
      </c>
      <c r="DI202" s="546">
        <f t="shared" ref="DI202:DI265" si="220">$C202</f>
        <v>254</v>
      </c>
      <c r="DJ202" s="551">
        <f t="shared" ref="DJ202:DJ265" si="221">$DH$8*10^3/DI202*SQRT(12)</f>
        <v>53.188961807233234</v>
      </c>
      <c r="DK202" s="553">
        <f>DJ202/PI()*SQRT('Hilfstabellen_Mat&amp;Bem'!f.Rd.3/'Hilfstabellen_Mat&amp;Bem'!$BD$30)</f>
        <v>0.84652861895472009</v>
      </c>
      <c r="DL202" s="553">
        <f>0.5*(1+'Hilfstabellen_Mat&amp;Bem'!$BD$31*(DK202-0.3)+DK202^2)</f>
        <v>0.88563178230242889</v>
      </c>
      <c r="DM202" s="550">
        <f t="shared" ref="DM202:DM265" si="222">MIN(1/(DL202+SQRT(DL202^2-DK202^2)),1)</f>
        <v>0.87268614647388654</v>
      </c>
      <c r="DO202" s="551">
        <f t="shared" ref="DO202:DO265" si="223">DI202^2*DM202</f>
        <v>56302.219425909265</v>
      </c>
      <c r="DS202" s="546">
        <f t="shared" ref="DS202:DS265" si="224">$C202</f>
        <v>254</v>
      </c>
      <c r="DT202" s="551">
        <f t="shared" ref="DT202:DT265" si="225">$DR$8*10^3/DS202*SQRT(12)</f>
        <v>54.552781340752041</v>
      </c>
      <c r="DU202" s="553">
        <f>DT202/PI()*SQRT('Hilfstabellen_Mat&amp;Bem'!f.Rd.3/'Hilfstabellen_Mat&amp;Bem'!$BD$30)</f>
        <v>0.8682344809792002</v>
      </c>
      <c r="DV202" s="553">
        <f>0.5*(1+'Hilfstabellen_Mat&amp;Bem'!$BD$31*(DU202-0.3)+DU202^2)</f>
        <v>0.9053272810295705</v>
      </c>
      <c r="DW202" s="550">
        <f t="shared" ref="DW202:DW265" si="226">MIN(1/(DV202+SQRT(DV202^2-DU202^2)),1)</f>
        <v>0.86072162281278719</v>
      </c>
      <c r="DY202" s="551">
        <f t="shared" ref="DY202:DY265" si="227">DS202^2*DW202</f>
        <v>55530.31621738978</v>
      </c>
      <c r="EC202" s="546">
        <f t="shared" ref="EC202:EC265" si="228">$C202</f>
        <v>254</v>
      </c>
      <c r="ED202" s="551">
        <f t="shared" ref="ED202:ED265" si="229">$EB$8*10^3/EC202*SQRT(12)</f>
        <v>55.916600874270834</v>
      </c>
      <c r="EE202" s="553">
        <f>ED202/PI()*SQRT('Hilfstabellen_Mat&amp;Bem'!f.Rd.3/'Hilfstabellen_Mat&amp;Bem'!$BD$30)</f>
        <v>0.88994034300368008</v>
      </c>
      <c r="EF202" s="553">
        <f>0.5*(1+'Hilfstabellen_Mat&amp;Bem'!$BD$31*(EE202-0.3)+EE202^2)</f>
        <v>0.92549392420293786</v>
      </c>
      <c r="EG202" s="550">
        <f t="shared" ref="EG202:EG265" si="230">MIN(1/(EF202+SQRT(EF202^2-EE202^2)),1)</f>
        <v>0.84777994327576922</v>
      </c>
      <c r="EI202" s="551">
        <f t="shared" ref="EI202:EI265" si="231">EC202^2*EG202</f>
        <v>54695.370820379525</v>
      </c>
      <c r="EM202" s="546">
        <f t="shared" ref="EM202:EM265" si="232">$C202</f>
        <v>254</v>
      </c>
      <c r="EN202" s="551">
        <f t="shared" ref="EN202:EN265" si="233">$EL$8*10^3/EM202*SQRT(12)</f>
        <v>57.280420407789634</v>
      </c>
      <c r="EO202" s="553">
        <f>EN202/PI()*SQRT('Hilfstabellen_Mat&amp;Bem'!f.Rd.3/'Hilfstabellen_Mat&amp;Bem'!$BD$30)</f>
        <v>0.91164620502815996</v>
      </c>
      <c r="EP202" s="553">
        <f>0.5*(1+'Hilfstabellen_Mat&amp;Bem'!$BD$31*(EO202-0.3)+EO202^2)</f>
        <v>0.94613171182253097</v>
      </c>
      <c r="EQ202" s="550">
        <f t="shared" ref="EQ202:EQ265" si="234">MIN(1/(EP202+SQRT(EP202^2-EO202^2)),1)</f>
        <v>0.83385786414140528</v>
      </c>
      <c r="ES202" s="551">
        <f t="shared" ref="ES202:ES265" si="235">EM202^2*EQ202</f>
        <v>53797.173962946901</v>
      </c>
    </row>
    <row r="203" spans="3:149">
      <c r="C203" s="546">
        <v>255</v>
      </c>
      <c r="D203" s="551">
        <f t="shared" si="185"/>
        <v>38.037194205434169</v>
      </c>
      <c r="E203" s="553">
        <f>$D203/PI()*SQRT('Hilfstabellen_Mat&amp;Bem'!f.Rd.3/'Hilfstabellen_Mat&amp;Bem'!$BD$30)</f>
        <v>0.60538074791412466</v>
      </c>
      <c r="F203" s="553">
        <f>0.5*(1+'Hilfstabellen_Mat&amp;Bem'!$BD$31*($E203-0.3)+$E203^2)</f>
        <v>0.69851196236823876</v>
      </c>
      <c r="G203" s="550">
        <f t="shared" si="186"/>
        <v>0.95512397467509447</v>
      </c>
      <c r="I203" s="551">
        <f t="shared" si="187"/>
        <v>62106.936453248018</v>
      </c>
      <c r="M203" s="546">
        <f t="shared" si="188"/>
        <v>255</v>
      </c>
      <c r="N203" s="551">
        <f t="shared" si="177"/>
        <v>39.395665427056819</v>
      </c>
      <c r="O203" s="553">
        <f>$N203/PI()*SQRT('Hilfstabellen_Mat&amp;Bem'!f.Rd.3/'Hilfstabellen_Mat&amp;Bem'!$BD$30)</f>
        <v>0.62700148891105778</v>
      </c>
      <c r="P203" s="553">
        <f>0.5*(1+'Hilfstabellen_Mat&amp;Bem'!$BD$31*($O203-0.3)+$O203^2)</f>
        <v>0.71291550799389458</v>
      </c>
      <c r="Q203" s="550">
        <f t="shared" si="178"/>
        <v>0.95038475084182383</v>
      </c>
      <c r="S203" s="551">
        <f t="shared" si="189"/>
        <v>61798.768423489593</v>
      </c>
      <c r="W203" s="546">
        <f t="shared" si="190"/>
        <v>255</v>
      </c>
      <c r="X203" s="551">
        <f t="shared" si="179"/>
        <v>40.754136648679463</v>
      </c>
      <c r="Y203" s="553">
        <f>$X203/PI()*SQRT('Hilfstabellen_Mat&amp;Bem'!f.Rd.3/'Hilfstabellen_Mat&amp;Bem'!$BD$30)</f>
        <v>0.64862222990799068</v>
      </c>
      <c r="Z203" s="553">
        <f>0.5*(1+'Hilfstabellen_Mat&amp;Bem'!$BD$31*($Y203-0.3)+$Y203^2)</f>
        <v>0.72778651006080675</v>
      </c>
      <c r="AA203" s="550">
        <f t="shared" si="180"/>
        <v>0.94528585933696407</v>
      </c>
      <c r="AC203" s="551">
        <f t="shared" si="191"/>
        <v>61467.213003386089</v>
      </c>
      <c r="AG203" s="546">
        <f t="shared" si="192"/>
        <v>255</v>
      </c>
      <c r="AH203" s="551">
        <f t="shared" si="181"/>
        <v>42.112607870302114</v>
      </c>
      <c r="AI203" s="553">
        <f>$AH203/PI()*SQRT('Hilfstabellen_Mat&amp;Bem'!f.Rd.3/'Hilfstabellen_Mat&amp;Bem'!$BD$30)</f>
        <v>0.67024297090492369</v>
      </c>
      <c r="AJ203" s="553">
        <f>0.5*(1+'Hilfstabellen_Mat&amp;Bem'!$BD$31*($AI203-0.3)+$AI203^2)</f>
        <v>0.74312496856897536</v>
      </c>
      <c r="AK203" s="550">
        <f t="shared" si="182"/>
        <v>0.93978316503191928</v>
      </c>
      <c r="AM203" s="551">
        <f t="shared" si="193"/>
        <v>61109.40030620055</v>
      </c>
      <c r="AQ203" s="546">
        <f t="shared" si="194"/>
        <v>255</v>
      </c>
      <c r="AR203" s="551">
        <f t="shared" si="183"/>
        <v>43.471079091924757</v>
      </c>
      <c r="AS203" s="553">
        <f>$AR203/PI()*SQRT('Hilfstabellen_Mat&amp;Bem'!f.Rd.3/'Hilfstabellen_Mat&amp;Bem'!$BD$30)</f>
        <v>0.69186371190185669</v>
      </c>
      <c r="AT203" s="553">
        <f>0.5*(1+'Hilfstabellen_Mat&amp;Bem'!$BD$31*($AS203-0.3)+$AS203^2)</f>
        <v>0.75893088351840055</v>
      </c>
      <c r="AU203" s="550">
        <f t="shared" si="184"/>
        <v>0.9338276042417617</v>
      </c>
      <c r="AW203" s="551">
        <f t="shared" si="195"/>
        <v>60722.139965820556</v>
      </c>
      <c r="BA203" s="546">
        <f t="shared" si="196"/>
        <v>255</v>
      </c>
      <c r="BB203" s="551">
        <f t="shared" si="197"/>
        <v>44.829550313547408</v>
      </c>
      <c r="BC203" s="553">
        <f>$BB203/PI()*SQRT('Hilfstabellen_Mat&amp;Bem'!f.Rd.3/'Hilfstabellen_Mat&amp;Bem'!$BD$30)</f>
        <v>0.7134844528987897</v>
      </c>
      <c r="BD203" s="553">
        <f>0.5*(1+'Hilfstabellen_Mat&amp;Bem'!$BD$31*($BC203-0.3)+$BC203^2)</f>
        <v>0.77520425490908207</v>
      </c>
      <c r="BE203" s="550">
        <f t="shared" si="198"/>
        <v>0.92736506983922851</v>
      </c>
      <c r="BG203" s="551">
        <f t="shared" si="199"/>
        <v>60301.913666295834</v>
      </c>
      <c r="BK203" s="546">
        <f t="shared" si="200"/>
        <v>255</v>
      </c>
      <c r="BL203" s="551">
        <f t="shared" si="201"/>
        <v>46.188021535170058</v>
      </c>
      <c r="BM203" s="553">
        <f>$BL203/PI()*SQRT('Hilfstabellen_Mat&amp;Bem'!f.Rd.3/'Hilfstabellen_Mat&amp;Bem'!$BD$30)</f>
        <v>0.73510519389572282</v>
      </c>
      <c r="BN203" s="553">
        <f>0.5*(1+'Hilfstabellen_Mat&amp;Bem'!$BD$31*($BM203-0.3)+$BM203^2)</f>
        <v>0.79194508274102016</v>
      </c>
      <c r="BO203" s="550">
        <f t="shared" si="202"/>
        <v>0.92033657436610028</v>
      </c>
      <c r="BQ203" s="551">
        <f t="shared" si="203"/>
        <v>59844.88574815567</v>
      </c>
      <c r="BU203" s="546">
        <f t="shared" si="204"/>
        <v>255</v>
      </c>
      <c r="BV203" s="551">
        <f t="shared" si="205"/>
        <v>47.546492756792702</v>
      </c>
      <c r="BW203" s="553">
        <f>$BV203/PI()*SQRT('Hilfstabellen_Mat&amp;Bem'!f.Rd.3/'Hilfstabellen_Mat&amp;Bem'!$BD$30)</f>
        <v>0.75672593489265572</v>
      </c>
      <c r="BX203" s="553">
        <f>0.5*(1+'Hilfstabellen_Mat&amp;Bem'!$BD$31*($BW203-0.3)+$BW203^2)</f>
        <v>0.80915336701421481</v>
      </c>
      <c r="BY203" s="550">
        <f t="shared" si="206"/>
        <v>0.9126788394236639</v>
      </c>
      <c r="CA203" s="551">
        <f t="shared" si="207"/>
        <v>59346.941533523743</v>
      </c>
      <c r="CE203" s="546">
        <f t="shared" si="208"/>
        <v>255</v>
      </c>
      <c r="CF203" s="551">
        <f t="shared" si="209"/>
        <v>48.904963978415353</v>
      </c>
      <c r="CG203" s="553">
        <f>CF203/PI()*SQRT('Hilfstabellen_Mat&amp;Bem'!f.Rd.3/'Hilfstabellen_Mat&amp;Bem'!$BD$30)</f>
        <v>0.77834667588958872</v>
      </c>
      <c r="CH203" s="553">
        <f>0.5*(1+'Hilfstabellen_Mat&amp;Bem'!$BD$31*(CG203-0.3)+CG203^2)</f>
        <v>0.82682910772866569</v>
      </c>
      <c r="CI203" s="550">
        <f t="shared" si="210"/>
        <v>0.90432549595044487</v>
      </c>
      <c r="CK203" s="551">
        <f t="shared" si="211"/>
        <v>58803.765374177674</v>
      </c>
      <c r="CO203" s="546">
        <f t="shared" si="212"/>
        <v>255</v>
      </c>
      <c r="CP203" s="551">
        <f t="shared" si="213"/>
        <v>50.263435200038003</v>
      </c>
      <c r="CQ203" s="553">
        <f>CP203/PI()*SQRT('Hilfstabellen_Mat&amp;Bem'!f.Rd.3/'Hilfstabellen_Mat&amp;Bem'!$BD$30)</f>
        <v>0.79996741688652184</v>
      </c>
      <c r="CR203" s="553">
        <f>0.5*(1+'Hilfstabellen_Mat&amp;Bem'!$BD$31*(CQ203-0.3)+CQ203^2)</f>
        <v>0.84497230488437314</v>
      </c>
      <c r="CS203" s="550">
        <f t="shared" si="214"/>
        <v>0.89520910238131646</v>
      </c>
      <c r="CU203" s="551">
        <f t="shared" si="215"/>
        <v>58210.971882345104</v>
      </c>
      <c r="CY203" s="546">
        <f t="shared" si="216"/>
        <v>255</v>
      </c>
      <c r="CZ203" s="551">
        <f t="shared" si="217"/>
        <v>51.621906421660654</v>
      </c>
      <c r="DA203" s="553">
        <f>CZ203/PI()*SQRT('Hilfstabellen_Mat&amp;Bem'!f.Rd.3/'Hilfstabellen_Mat&amp;Bem'!$BD$30)</f>
        <v>0.82158815788345485</v>
      </c>
      <c r="DB203" s="553">
        <f>0.5*(1+'Hilfstabellen_Mat&amp;Bem'!$BD$31*(DA203-0.3)+DA203^2)</f>
        <v>0.86358295848133704</v>
      </c>
      <c r="DC203" s="550">
        <f t="shared" si="218"/>
        <v>0.88526417454619777</v>
      </c>
      <c r="DE203" s="551">
        <f t="shared" si="219"/>
        <v>57564.302949866513</v>
      </c>
      <c r="DI203" s="546">
        <f t="shared" si="220"/>
        <v>255</v>
      </c>
      <c r="DJ203" s="551">
        <f t="shared" si="221"/>
        <v>52.980377643283305</v>
      </c>
      <c r="DK203" s="553">
        <f>DJ203/PI()*SQRT('Hilfstabellen_Mat&amp;Bem'!f.Rd.3/'Hilfstabellen_Mat&amp;Bem'!$BD$30)</f>
        <v>0.84320889888038786</v>
      </c>
      <c r="DL203" s="553">
        <f>0.5*(1+'Hilfstabellen_Mat&amp;Bem'!$BD$31*(DK203-0.3)+DK203^2)</f>
        <v>0.8826610685195575</v>
      </c>
      <c r="DM203" s="550">
        <f t="shared" si="222"/>
        <v>0.87443134287540725</v>
      </c>
      <c r="DO203" s="551">
        <f t="shared" si="223"/>
        <v>56859.898070473355</v>
      </c>
      <c r="DS203" s="546">
        <f t="shared" si="224"/>
        <v>255</v>
      </c>
      <c r="DT203" s="551">
        <f t="shared" si="225"/>
        <v>54.338848864905948</v>
      </c>
      <c r="DU203" s="553">
        <f>DT203/PI()*SQRT('Hilfstabellen_Mat&amp;Bem'!f.Rd.3/'Hilfstabellen_Mat&amp;Bem'!$BD$30)</f>
        <v>0.86482963987732087</v>
      </c>
      <c r="DV203" s="553">
        <f>0.5*(1+'Hilfstabellen_Mat&amp;Bem'!$BD$31*(DU203-0.3)+DU203^2)</f>
        <v>0.90220663499903431</v>
      </c>
      <c r="DW203" s="550">
        <f t="shared" si="226"/>
        <v>0.86266257906710841</v>
      </c>
      <c r="DY203" s="551">
        <f t="shared" si="227"/>
        <v>56094.634203838723</v>
      </c>
      <c r="EC203" s="546">
        <f t="shared" si="228"/>
        <v>255</v>
      </c>
      <c r="ED203" s="551">
        <f t="shared" si="229"/>
        <v>55.697320086528599</v>
      </c>
      <c r="EE203" s="553">
        <f>ED203/PI()*SQRT('Hilfstabellen_Mat&amp;Bem'!f.Rd.3/'Hilfstabellen_Mat&amp;Bem'!$BD$30)</f>
        <v>0.88645038087425387</v>
      </c>
      <c r="EF203" s="553">
        <f>0.5*(1+'Hilfstabellen_Mat&amp;Bem'!$BD$31*(EE203-0.3)+EE203^2)</f>
        <v>0.92221965791976768</v>
      </c>
      <c r="EG203" s="550">
        <f t="shared" si="230"/>
        <v>0.84992715411719455</v>
      </c>
      <c r="EI203" s="551">
        <f t="shared" si="231"/>
        <v>55266.513196470572</v>
      </c>
      <c r="EM203" s="546">
        <f t="shared" si="232"/>
        <v>255</v>
      </c>
      <c r="EN203" s="551">
        <f t="shared" si="233"/>
        <v>57.055791308151242</v>
      </c>
      <c r="EO203" s="553">
        <f>EN203/PI()*SQRT('Hilfstabellen_Mat&amp;Bem'!f.Rd.3/'Hilfstabellen_Mat&amp;Bem'!$BD$30)</f>
        <v>0.90807112187118677</v>
      </c>
      <c r="EP203" s="553">
        <f>0.5*(1+'Hilfstabellen_Mat&amp;Bem'!$BD$31*(EO203-0.3)+EO203^2)</f>
        <v>0.94270013728175717</v>
      </c>
      <c r="EQ203" s="550">
        <f t="shared" si="234"/>
        <v>0.83621763682059935</v>
      </c>
      <c r="ES203" s="551">
        <f t="shared" si="235"/>
        <v>54375.051834259473</v>
      </c>
    </row>
    <row r="204" spans="3:149">
      <c r="C204" s="546">
        <v>256</v>
      </c>
      <c r="D204" s="551">
        <f t="shared" si="185"/>
        <v>37.888611415569187</v>
      </c>
      <c r="E204" s="553">
        <f>$D204/PI()*SQRT('Hilfstabellen_Mat&amp;Bem'!f.Rd.3/'Hilfstabellen_Mat&amp;Bem'!$BD$30)</f>
        <v>0.603015979367585</v>
      </c>
      <c r="F204" s="553">
        <f>0.5*(1+'Hilfstabellen_Mat&amp;Bem'!$BD$31*($E204-0.3)+$E204^2)</f>
        <v>0.69696493465470311</v>
      </c>
      <c r="G204" s="550">
        <f t="shared" si="186"/>
        <v>0.95562223316540607</v>
      </c>
      <c r="I204" s="551">
        <f t="shared" si="187"/>
        <v>62627.658672728052</v>
      </c>
      <c r="M204" s="546">
        <f t="shared" si="188"/>
        <v>256</v>
      </c>
      <c r="N204" s="551">
        <f t="shared" si="177"/>
        <v>39.241776108982371</v>
      </c>
      <c r="O204" s="553">
        <f>$N204/PI()*SQRT('Hilfstabellen_Mat&amp;Bem'!f.Rd.3/'Hilfstabellen_Mat&amp;Bem'!$BD$30)</f>
        <v>0.62455226434499878</v>
      </c>
      <c r="P204" s="553">
        <f>0.5*(1+'Hilfstabellen_Mat&amp;Bem'!$BD$31*($O204-0.3)+$O204^2)</f>
        <v>0.71126037866648262</v>
      </c>
      <c r="Q204" s="550">
        <f t="shared" si="178"/>
        <v>0.95093890453591434</v>
      </c>
      <c r="S204" s="551">
        <f t="shared" si="189"/>
        <v>62320.732047665682</v>
      </c>
      <c r="W204" s="546">
        <f t="shared" si="190"/>
        <v>256</v>
      </c>
      <c r="X204" s="551">
        <f t="shared" si="179"/>
        <v>40.594940802395563</v>
      </c>
      <c r="Y204" s="553">
        <f>$X204/PI()*SQRT('Hilfstabellen_Mat&amp;Bem'!f.Rd.3/'Hilfstabellen_Mat&amp;Bem'!$BD$30)</f>
        <v>0.64608854932241266</v>
      </c>
      <c r="Z204" s="553">
        <f>0.5*(1+'Hilfstabellen_Mat&amp;Bem'!$BD$31*($Y204-0.3)+$Y204^2)</f>
        <v>0.72601963424889049</v>
      </c>
      <c r="AA204" s="550">
        <f t="shared" si="180"/>
        <v>0.94590337929806756</v>
      </c>
      <c r="AC204" s="551">
        <f t="shared" si="191"/>
        <v>61990.723865678156</v>
      </c>
      <c r="AG204" s="546">
        <f t="shared" si="192"/>
        <v>256</v>
      </c>
      <c r="AH204" s="551">
        <f t="shared" si="181"/>
        <v>41.948105495808747</v>
      </c>
      <c r="AI204" s="553">
        <f>$AH204/PI()*SQRT('Hilfstabellen_Mat&amp;Bem'!f.Rd.3/'Hilfstabellen_Mat&amp;Bem'!$BD$30)</f>
        <v>0.66762483429982644</v>
      </c>
      <c r="AJ204" s="553">
        <f>0.5*(1+'Hilfstabellen_Mat&amp;Bem'!$BD$31*($AI204-0.3)+$AI204^2)</f>
        <v>0.74124270140192672</v>
      </c>
      <c r="AK204" s="550">
        <f t="shared" si="182"/>
        <v>0.94047258344913742</v>
      </c>
      <c r="AM204" s="551">
        <f t="shared" si="193"/>
        <v>61634.81122892267</v>
      </c>
      <c r="AQ204" s="546">
        <f t="shared" si="194"/>
        <v>256</v>
      </c>
      <c r="AR204" s="551">
        <f t="shared" si="183"/>
        <v>43.301270189221931</v>
      </c>
      <c r="AS204" s="553">
        <f>$AR204/PI()*SQRT('Hilfstabellen_Mat&amp;Bem'!f.Rd.3/'Hilfstabellen_Mat&amp;Bem'!$BD$30)</f>
        <v>0.68916111927724011</v>
      </c>
      <c r="AT204" s="553">
        <f>0.5*(1+'Hilfstabellen_Mat&amp;Bem'!$BD$31*($AS204-0.3)+$AS204^2)</f>
        <v>0.75692958012559108</v>
      </c>
      <c r="AU204" s="550">
        <f t="shared" si="184"/>
        <v>0.9345986165714808</v>
      </c>
      <c r="AW204" s="551">
        <f t="shared" si="195"/>
        <v>61249.854935628566</v>
      </c>
      <c r="BA204" s="546">
        <f t="shared" si="196"/>
        <v>256</v>
      </c>
      <c r="BB204" s="551">
        <f t="shared" si="197"/>
        <v>44.654434882635115</v>
      </c>
      <c r="BC204" s="553">
        <f>$BB204/PI()*SQRT('Hilfstabellen_Mat&amp;Bem'!f.Rd.3/'Hilfstabellen_Mat&amp;Bem'!$BD$30)</f>
        <v>0.71069740425465389</v>
      </c>
      <c r="BD204" s="553">
        <f>0.5*(1+'Hilfstabellen_Mat&amp;Bem'!$BD$31*($BC204-0.3)+$BC204^2)</f>
        <v>0.77308027041988414</v>
      </c>
      <c r="BE204" s="550">
        <f t="shared" si="198"/>
        <v>0.92822861445075322</v>
      </c>
      <c r="BG204" s="551">
        <f t="shared" si="199"/>
        <v>60832.390476644563</v>
      </c>
      <c r="BK204" s="546">
        <f t="shared" si="200"/>
        <v>256</v>
      </c>
      <c r="BL204" s="551">
        <f t="shared" si="201"/>
        <v>46.0075995760483</v>
      </c>
      <c r="BM204" s="553">
        <f>$BL204/PI()*SQRT('Hilfstabellen_Mat&amp;Bem'!f.Rd.3/'Hilfstabellen_Mat&amp;Bem'!$BD$30)</f>
        <v>0.73223368923206755</v>
      </c>
      <c r="BN204" s="553">
        <f>0.5*(1+'Hilfstabellen_Mat&amp;Bem'!$BD$31*($BM204-0.3)+$BM204^2)</f>
        <v>0.78969477228480534</v>
      </c>
      <c r="BO204" s="550">
        <f t="shared" si="202"/>
        <v>0.92130486817489932</v>
      </c>
      <c r="BQ204" s="551">
        <f t="shared" si="203"/>
        <v>60378.635840710202</v>
      </c>
      <c r="BU204" s="546">
        <f t="shared" si="204"/>
        <v>256</v>
      </c>
      <c r="BV204" s="551">
        <f t="shared" si="205"/>
        <v>47.360764269461484</v>
      </c>
      <c r="BW204" s="553">
        <f>$BV204/PI()*SQRT('Hilfstabellen_Mat&amp;Bem'!f.Rd.3/'Hilfstabellen_Mat&amp;Bem'!$BD$30)</f>
        <v>0.75376997420948133</v>
      </c>
      <c r="BX204" s="553">
        <f>0.5*(1+'Hilfstabellen_Mat&amp;Bem'!$BD$31*($BW204-0.3)+$BW204^2)</f>
        <v>0.80677308572035522</v>
      </c>
      <c r="BY204" s="550">
        <f t="shared" si="206"/>
        <v>0.91376533938862736</v>
      </c>
      <c r="CA204" s="551">
        <f t="shared" si="207"/>
        <v>59884.525282173083</v>
      </c>
      <c r="CE204" s="546">
        <f t="shared" si="208"/>
        <v>256</v>
      </c>
      <c r="CF204" s="551">
        <f t="shared" si="209"/>
        <v>48.713928962874668</v>
      </c>
      <c r="CG204" s="553">
        <f>CF204/PI()*SQRT('Hilfstabellen_Mat&amp;Bem'!f.Rd.3/'Hilfstabellen_Mat&amp;Bem'!$BD$30)</f>
        <v>0.77530625918689511</v>
      </c>
      <c r="CH204" s="553">
        <f>0.5*(1+'Hilfstabellen_Mat&amp;Bem'!$BD$31*(CG204-0.3)+CG204^2)</f>
        <v>0.82431521072653324</v>
      </c>
      <c r="CI204" s="550">
        <f t="shared" si="210"/>
        <v>0.90554474727489709</v>
      </c>
      <c r="CK204" s="551">
        <f t="shared" si="211"/>
        <v>59345.780557407656</v>
      </c>
      <c r="CO204" s="546">
        <f t="shared" si="212"/>
        <v>256</v>
      </c>
      <c r="CP204" s="551">
        <f t="shared" si="213"/>
        <v>50.067093656287859</v>
      </c>
      <c r="CQ204" s="553">
        <f>CP204/PI()*SQRT('Hilfstabellen_Mat&amp;Bem'!f.Rd.3/'Hilfstabellen_Mat&amp;Bem'!$BD$30)</f>
        <v>0.79684254416430889</v>
      </c>
      <c r="CR204" s="553">
        <f>0.5*(1+'Hilfstabellen_Mat&amp;Bem'!$BD$31*(CQ204-0.3)+CQ204^2)</f>
        <v>0.84232114730333973</v>
      </c>
      <c r="CS204" s="550">
        <f t="shared" si="214"/>
        <v>0.89657642730634157</v>
      </c>
      <c r="CU204" s="551">
        <f t="shared" si="215"/>
        <v>58758.032739948401</v>
      </c>
      <c r="CY204" s="546">
        <f t="shared" si="216"/>
        <v>256</v>
      </c>
      <c r="CZ204" s="551">
        <f t="shared" si="217"/>
        <v>51.420258349701044</v>
      </c>
      <c r="DA204" s="553">
        <f>CZ204/PI()*SQRT('Hilfstabellen_Mat&amp;Bem'!f.Rd.3/'Hilfstabellen_Mat&amp;Bem'!$BD$30)</f>
        <v>0.81837882914172266</v>
      </c>
      <c r="DB204" s="553">
        <f>0.5*(1+'Hilfstabellen_Mat&amp;Bem'!$BD$31*(DA204-0.3)+DA204^2)</f>
        <v>0.86079089545077458</v>
      </c>
      <c r="DC204" s="550">
        <f t="shared" si="218"/>
        <v>0.88679515524639752</v>
      </c>
      <c r="DE204" s="551">
        <f t="shared" si="219"/>
        <v>58117.007294227908</v>
      </c>
      <c r="DI204" s="546">
        <f t="shared" si="220"/>
        <v>256</v>
      </c>
      <c r="DJ204" s="551">
        <f t="shared" si="221"/>
        <v>52.773423043114228</v>
      </c>
      <c r="DK204" s="553">
        <f>DJ204/PI()*SQRT('Hilfstabellen_Mat&amp;Bem'!f.Rd.3/'Hilfstabellen_Mat&amp;Bem'!$BD$30)</f>
        <v>0.83991511411913633</v>
      </c>
      <c r="DL204" s="553">
        <f>0.5*(1+'Hilfstabellen_Mat&amp;Bem'!$BD$31*(DK204-0.3)+DK204^2)</f>
        <v>0.87972445516883768</v>
      </c>
      <c r="DM204" s="550">
        <f t="shared" si="222"/>
        <v>0.87614106455953067</v>
      </c>
      <c r="DO204" s="551">
        <f t="shared" si="223"/>
        <v>57418.780806973402</v>
      </c>
      <c r="DS204" s="546">
        <f t="shared" si="224"/>
        <v>256</v>
      </c>
      <c r="DT204" s="551">
        <f t="shared" si="225"/>
        <v>54.126587736527412</v>
      </c>
      <c r="DU204" s="553">
        <f>DT204/PI()*SQRT('Hilfstabellen_Mat&amp;Bem'!f.Rd.3/'Hilfstabellen_Mat&amp;Bem'!$BD$30)</f>
        <v>0.86145139909655011</v>
      </c>
      <c r="DV204" s="553">
        <f>0.5*(1+'Hilfstabellen_Mat&amp;Bem'!$BD$31*(DU204-0.3)+DU204^2)</f>
        <v>0.89912182645752936</v>
      </c>
      <c r="DW204" s="550">
        <f t="shared" si="226"/>
        <v>0.86456463169002984</v>
      </c>
      <c r="DY204" s="551">
        <f t="shared" si="227"/>
        <v>56660.107702437796</v>
      </c>
      <c r="EC204" s="546">
        <f t="shared" si="228"/>
        <v>256</v>
      </c>
      <c r="ED204" s="551">
        <f t="shared" si="229"/>
        <v>55.479752429940596</v>
      </c>
      <c r="EE204" s="553">
        <f>ED204/PI()*SQRT('Hilfstabellen_Mat&amp;Bem'!f.Rd.3/'Hilfstabellen_Mat&amp;Bem'!$BD$30)</f>
        <v>0.88298768407396389</v>
      </c>
      <c r="EF204" s="553">
        <f>0.5*(1+'Hilfstabellen_Mat&amp;Bem'!$BD$31*(EE204-0.3)+EE204^2)</f>
        <v>0.91898300931684929</v>
      </c>
      <c r="EG204" s="550">
        <f t="shared" si="230"/>
        <v>0.85203244627125474</v>
      </c>
      <c r="EI204" s="551">
        <f t="shared" si="231"/>
        <v>55838.798398832951</v>
      </c>
      <c r="EM204" s="546">
        <f t="shared" si="232"/>
        <v>256</v>
      </c>
      <c r="EN204" s="551">
        <f t="shared" si="233"/>
        <v>56.832917123353781</v>
      </c>
      <c r="EO204" s="553">
        <f>EN204/PI()*SQRT('Hilfstabellen_Mat&amp;Bem'!f.Rd.3/'Hilfstabellen_Mat&amp;Bem'!$BD$30)</f>
        <v>0.90452396905137755</v>
      </c>
      <c r="EP204" s="553">
        <f>0.5*(1+'Hilfstabellen_Mat&amp;Bem'!$BD$31*(EO204-0.3)+EO204^2)</f>
        <v>0.93930800374679757</v>
      </c>
      <c r="EQ204" s="550">
        <f t="shared" si="234"/>
        <v>0.83853314703289406</v>
      </c>
      <c r="ES204" s="551">
        <f t="shared" si="235"/>
        <v>54954.108323947745</v>
      </c>
    </row>
    <row r="205" spans="3:149">
      <c r="C205" s="546">
        <v>257</v>
      </c>
      <c r="D205" s="551">
        <f t="shared" si="185"/>
        <v>37.741184912006666</v>
      </c>
      <c r="E205" s="553">
        <f>$D205/PI()*SQRT('Hilfstabellen_Mat&amp;Bem'!f.Rd.3/'Hilfstabellen_Mat&amp;Bem'!$BD$30)</f>
        <v>0.60066961368911209</v>
      </c>
      <c r="F205" s="553">
        <f>0.5*(1+'Hilfstabellen_Mat&amp;Bem'!$BD$31*($E205-0.3)+$E205^2)</f>
        <v>0.6954354730891692</v>
      </c>
      <c r="G205" s="550">
        <f t="shared" si="186"/>
        <v>0.95611288040245612</v>
      </c>
      <c r="I205" s="551">
        <f t="shared" si="187"/>
        <v>63150.299637701828</v>
      </c>
      <c r="M205" s="546">
        <f t="shared" si="188"/>
        <v>257</v>
      </c>
      <c r="N205" s="551">
        <f t="shared" si="177"/>
        <v>39.08908437314976</v>
      </c>
      <c r="O205" s="553">
        <f>$N205/PI()*SQRT('Hilfstabellen_Mat&amp;Bem'!f.Rd.3/'Hilfstabellen_Mat&amp;Bem'!$BD$30)</f>
        <v>0.62212209989229461</v>
      </c>
      <c r="P205" s="553">
        <f>0.5*(1+'Hilfstabellen_Mat&amp;Bem'!$BD$31*($O205-0.3)+$O205^2)</f>
        <v>0.70962405858181388</v>
      </c>
      <c r="Q205" s="550">
        <f t="shared" si="178"/>
        <v>0.95148424828164579</v>
      </c>
      <c r="S205" s="551">
        <f t="shared" si="189"/>
        <v>62844.583114754423</v>
      </c>
      <c r="W205" s="546">
        <f t="shared" si="190"/>
        <v>257</v>
      </c>
      <c r="X205" s="551">
        <f t="shared" si="179"/>
        <v>40.436983834292853</v>
      </c>
      <c r="Y205" s="553">
        <f>$X205/PI()*SQRT('Hilfstabellen_Mat&amp;Bem'!f.Rd.3/'Hilfstabellen_Mat&amp;Bem'!$BD$30)</f>
        <v>0.64357458609547713</v>
      </c>
      <c r="Z205" s="553">
        <f>0.5*(1+'Hilfstabellen_Mat&amp;Bem'!$BD$31*($Y205-0.3)+$Y205^2)</f>
        <v>0.72427285323875612</v>
      </c>
      <c r="AA205" s="550">
        <f t="shared" si="180"/>
        <v>0.94651069173837477</v>
      </c>
      <c r="AC205" s="551">
        <f t="shared" si="191"/>
        <v>62516.084678627914</v>
      </c>
      <c r="AG205" s="546">
        <f t="shared" si="192"/>
        <v>257</v>
      </c>
      <c r="AH205" s="551">
        <f t="shared" si="181"/>
        <v>41.784883295435947</v>
      </c>
      <c r="AI205" s="553">
        <f>$AH205/PI()*SQRT('Hilfstabellen_Mat&amp;Bem'!f.Rd.3/'Hilfstabellen_Mat&amp;Bem'!$BD$30)</f>
        <v>0.66502707229865976</v>
      </c>
      <c r="AJ205" s="553">
        <f>0.5*(1+'Hilfstabellen_Mat&amp;Bem'!$BD$31*($AI205-0.3)+$AI205^2)</f>
        <v>0.73938185705999637</v>
      </c>
      <c r="AK205" s="550">
        <f t="shared" si="182"/>
        <v>0.94115016916584027</v>
      </c>
      <c r="AM205" s="551">
        <f t="shared" si="193"/>
        <v>62162.027523234581</v>
      </c>
      <c r="AQ205" s="546">
        <f t="shared" si="194"/>
        <v>257</v>
      </c>
      <c r="AR205" s="551">
        <f t="shared" si="183"/>
        <v>43.13278275657904</v>
      </c>
      <c r="AS205" s="553">
        <f>$AR205/PI()*SQRT('Hilfstabellen_Mat&amp;Bem'!f.Rd.3/'Hilfstabellen_Mat&amp;Bem'!$BD$30)</f>
        <v>0.68647955850184228</v>
      </c>
      <c r="AT205" s="553">
        <f>0.5*(1+'Hilfstabellen_Mat&amp;Bem'!$BD$31*($AS205-0.3)+$AS205^2)</f>
        <v>0.75495107004553419</v>
      </c>
      <c r="AU205" s="550">
        <f t="shared" si="184"/>
        <v>0.93535591426579179</v>
      </c>
      <c r="AW205" s="551">
        <f t="shared" si="195"/>
        <v>61779.322781341281</v>
      </c>
      <c r="BA205" s="546">
        <f t="shared" si="196"/>
        <v>257</v>
      </c>
      <c r="BB205" s="551">
        <f t="shared" si="197"/>
        <v>44.480682217722141</v>
      </c>
      <c r="BC205" s="553">
        <f>$BB205/PI()*SQRT('Hilfstabellen_Mat&amp;Bem'!f.Rd.3/'Hilfstabellen_Mat&amp;Bem'!$BD$30)</f>
        <v>0.70793204470502491</v>
      </c>
      <c r="BD205" s="553">
        <f>0.5*(1+'Hilfstabellen_Mat&amp;Bem'!$BD$31*($BC205-0.3)+$BC205^2)</f>
        <v>0.77098049219537002</v>
      </c>
      <c r="BE205" s="550">
        <f t="shared" si="198"/>
        <v>0.92907627870768106</v>
      </c>
      <c r="BG205" s="551">
        <f t="shared" si="199"/>
        <v>61364.559132363625</v>
      </c>
      <c r="BK205" s="546">
        <f t="shared" si="200"/>
        <v>257</v>
      </c>
      <c r="BL205" s="551">
        <f t="shared" si="201"/>
        <v>45.828581678865227</v>
      </c>
      <c r="BM205" s="553">
        <f>$BL205/PI()*SQRT('Hilfstabellen_Mat&amp;Bem'!f.Rd.3/'Hilfstabellen_Mat&amp;Bem'!$BD$30)</f>
        <v>0.72938453090820732</v>
      </c>
      <c r="BN205" s="553">
        <f>0.5*(1+'Hilfstabellen_Mat&amp;Bem'!$BD$31*($BM205-0.3)+$BM205^2)</f>
        <v>0.78747012350950318</v>
      </c>
      <c r="BO205" s="550">
        <f t="shared" si="202"/>
        <v>0.92225481125839881</v>
      </c>
      <c r="BQ205" s="551">
        <f t="shared" si="203"/>
        <v>60914.008028805983</v>
      </c>
      <c r="BU205" s="546">
        <f t="shared" si="204"/>
        <v>257</v>
      </c>
      <c r="BV205" s="551">
        <f t="shared" si="205"/>
        <v>47.176481140008327</v>
      </c>
      <c r="BW205" s="553">
        <f>$BV205/PI()*SQRT('Hilfstabellen_Mat&amp;Bem'!f.Rd.3/'Hilfstabellen_Mat&amp;Bem'!$BD$30)</f>
        <v>0.75083701711138995</v>
      </c>
      <c r="BX205" s="553">
        <f>0.5*(1+'Hilfstabellen_Mat&amp;Bem'!$BD$31*($BW205-0.3)+$BW205^2)</f>
        <v>0.80441996398793436</v>
      </c>
      <c r="BY205" s="550">
        <f t="shared" si="206"/>
        <v>0.91483070485794271</v>
      </c>
      <c r="CA205" s="551">
        <f t="shared" si="207"/>
        <v>60423.653225162256</v>
      </c>
      <c r="CE205" s="546">
        <f t="shared" si="208"/>
        <v>257</v>
      </c>
      <c r="CF205" s="551">
        <f t="shared" si="209"/>
        <v>48.524380601151421</v>
      </c>
      <c r="CG205" s="553">
        <f>CF205/PI()*SQRT('Hilfstabellen_Mat&amp;Bem'!f.Rd.3/'Hilfstabellen_Mat&amp;Bem'!$BD$30)</f>
        <v>0.77228950331457247</v>
      </c>
      <c r="CH205" s="553">
        <f>0.5*(1+'Hilfstabellen_Mat&amp;Bem'!$BD$31*(CG205-0.3)+CG205^2)</f>
        <v>0.82183001363066321</v>
      </c>
      <c r="CI205" s="550">
        <f t="shared" si="210"/>
        <v>0.90673977840175402</v>
      </c>
      <c r="CK205" s="551">
        <f t="shared" si="211"/>
        <v>59889.255623657453</v>
      </c>
      <c r="CO205" s="546">
        <f t="shared" si="212"/>
        <v>257</v>
      </c>
      <c r="CP205" s="551">
        <f t="shared" si="213"/>
        <v>49.872280062294521</v>
      </c>
      <c r="CQ205" s="553">
        <f>CP205/PI()*SQRT('Hilfstabellen_Mat&amp;Bem'!f.Rd.3/'Hilfstabellen_Mat&amp;Bem'!$BD$30)</f>
        <v>0.7937419895177551</v>
      </c>
      <c r="CR205" s="553">
        <f>0.5*(1+'Hilfstabellen_Mat&amp;Bem'!$BD$31*(CQ205-0.3)+CQ205^2)</f>
        <v>0.83970027243768985</v>
      </c>
      <c r="CS205" s="550">
        <f t="shared" si="214"/>
        <v>0.89791618605946488</v>
      </c>
      <c r="CU205" s="551">
        <f t="shared" si="215"/>
        <v>59306.466173041597</v>
      </c>
      <c r="CY205" s="546">
        <f t="shared" si="216"/>
        <v>257</v>
      </c>
      <c r="CZ205" s="551">
        <f t="shared" si="217"/>
        <v>51.220179523437615</v>
      </c>
      <c r="DA205" s="553">
        <f>CZ205/PI()*SQRT('Hilfstabellen_Mat&amp;Bem'!f.Rd.3/'Hilfstabellen_Mat&amp;Bem'!$BD$30)</f>
        <v>0.81519447572093773</v>
      </c>
      <c r="DB205" s="553">
        <f>0.5*(1+'Hilfstabellen_Mat&amp;Bem'!$BD$31*(DA205-0.3)+DA205^2)</f>
        <v>0.85803074040901417</v>
      </c>
      <c r="DC205" s="550">
        <f t="shared" si="218"/>
        <v>0.88829504604500065</v>
      </c>
      <c r="DE205" s="551">
        <f t="shared" si="219"/>
        <v>58670.99949622625</v>
      </c>
      <c r="DI205" s="546">
        <f t="shared" si="220"/>
        <v>257</v>
      </c>
      <c r="DJ205" s="551">
        <f t="shared" si="221"/>
        <v>52.568078984580708</v>
      </c>
      <c r="DK205" s="553">
        <f>DJ205/PI()*SQRT('Hilfstabellen_Mat&amp;Bem'!f.Rd.3/'Hilfstabellen_Mat&amp;Bem'!$BD$30)</f>
        <v>0.83664696192412036</v>
      </c>
      <c r="DL205" s="553">
        <f>0.5*(1+'Hilfstabellen_Mat&amp;Bem'!$BD$31*(DK205-0.3)+DK205^2)</f>
        <v>0.87682141754463627</v>
      </c>
      <c r="DM205" s="550">
        <f t="shared" si="222"/>
        <v>0.87781612703562539</v>
      </c>
      <c r="DO205" s="551">
        <f t="shared" si="223"/>
        <v>57978.877374576019</v>
      </c>
      <c r="DS205" s="546">
        <f t="shared" si="224"/>
        <v>257</v>
      </c>
      <c r="DT205" s="551">
        <f t="shared" si="225"/>
        <v>53.915978445723802</v>
      </c>
      <c r="DU205" s="553">
        <f>DT205/PI()*SQRT('Hilfstabellen_Mat&amp;Bem'!f.Rd.3/'Hilfstabellen_Mat&amp;Bem'!$BD$30)</f>
        <v>0.85809944812730277</v>
      </c>
      <c r="DV205" s="553">
        <f>0.5*(1+'Hilfstabellen_Mat&amp;Bem'!$BD$31*(DU205-0.3)+DU205^2)</f>
        <v>0.89607230384455594</v>
      </c>
      <c r="DW205" s="550">
        <f t="shared" si="226"/>
        <v>0.86642859495701308</v>
      </c>
      <c r="DY205" s="551">
        <f t="shared" si="227"/>
        <v>57226.742268315757</v>
      </c>
      <c r="EC205" s="546">
        <f t="shared" si="228"/>
        <v>257</v>
      </c>
      <c r="ED205" s="551">
        <f t="shared" si="229"/>
        <v>55.263877906866902</v>
      </c>
      <c r="EE205" s="553">
        <f>ED205/PI()*SQRT('Hilfstabellen_Mat&amp;Bem'!f.Rd.3/'Hilfstabellen_Mat&amp;Bem'!$BD$30)</f>
        <v>0.8795519343304854</v>
      </c>
      <c r="EF205" s="553">
        <f>0.5*(1+'Hilfstabellen_Mat&amp;Bem'!$BD$31*(EE205-0.3)+EE205^2)</f>
        <v>0.91578339930877339</v>
      </c>
      <c r="EG205" s="550">
        <f t="shared" si="230"/>
        <v>0.85409658752856421</v>
      </c>
      <c r="EI205" s="551">
        <f t="shared" si="231"/>
        <v>56412.225509674136</v>
      </c>
      <c r="EM205" s="546">
        <f t="shared" si="232"/>
        <v>257</v>
      </c>
      <c r="EN205" s="551">
        <f t="shared" si="233"/>
        <v>56.611777368009989</v>
      </c>
      <c r="EO205" s="553">
        <f>EN205/PI()*SQRT('Hilfstabellen_Mat&amp;Bem'!f.Rd.3/'Hilfstabellen_Mat&amp;Bem'!$BD$30)</f>
        <v>0.9010044205336678</v>
      </c>
      <c r="EP205" s="553">
        <f>0.5*(1+'Hilfstabellen_Mat&amp;Bem'!$BD$31*(EO205-0.3)+EO205^2)</f>
        <v>0.93595470393728863</v>
      </c>
      <c r="EQ205" s="550">
        <f t="shared" si="234"/>
        <v>0.84080506534282418</v>
      </c>
      <c r="ES205" s="551">
        <f t="shared" si="235"/>
        <v>55534.333760828194</v>
      </c>
    </row>
    <row r="206" spans="3:149">
      <c r="C206" s="546">
        <v>258</v>
      </c>
      <c r="D206" s="551">
        <f t="shared" si="185"/>
        <v>37.594901249557026</v>
      </c>
      <c r="E206" s="553">
        <f>$D206/PI()*SQRT('Hilfstabellen_Mat&amp;Bem'!f.Rd.3/'Hilfstabellen_Mat&amp;Bem'!$BD$30)</f>
        <v>0.59834143689186736</v>
      </c>
      <c r="F206" s="553">
        <f>0.5*(1+'Hilfstabellen_Mat&amp;Bem'!$BD$31*($E206-0.3)+$E206^2)</f>
        <v>0.69392330939550562</v>
      </c>
      <c r="G206" s="550">
        <f t="shared" si="186"/>
        <v>0.95659609432272474</v>
      </c>
      <c r="I206" s="551">
        <f t="shared" si="187"/>
        <v>63674.862422497848</v>
      </c>
      <c r="M206" s="546">
        <f t="shared" si="188"/>
        <v>258</v>
      </c>
      <c r="N206" s="551">
        <f t="shared" si="177"/>
        <v>38.937576294184062</v>
      </c>
      <c r="O206" s="553">
        <f>$N206/PI()*SQRT('Hilfstabellen_Mat&amp;Bem'!f.Rd.3/'Hilfstabellen_Mat&amp;Bem'!$BD$30)</f>
        <v>0.61971077392371976</v>
      </c>
      <c r="P206" s="553">
        <f>0.5*(1+'Hilfstabellen_Mat&amp;Bem'!$BD$31*($O206-0.3)+$O206^2)</f>
        <v>0.70800626035475389</v>
      </c>
      <c r="Q206" s="550">
        <f t="shared" si="178"/>
        <v>0.95202099408298679</v>
      </c>
      <c r="S206" s="551">
        <f t="shared" si="189"/>
        <v>63370.325450139935</v>
      </c>
      <c r="W206" s="546">
        <f t="shared" si="190"/>
        <v>258</v>
      </c>
      <c r="X206" s="551">
        <f t="shared" si="179"/>
        <v>40.280251338811098</v>
      </c>
      <c r="Y206" s="553">
        <f>$X206/PI()*SQRT('Hilfstabellen_Mat&amp;Bem'!f.Rd.3/'Hilfstabellen_Mat&amp;Bem'!$BD$30)</f>
        <v>0.64108011095557216</v>
      </c>
      <c r="Z206" s="553">
        <f>0.5*(1+'Hilfstabellen_Mat&amp;Bem'!$BD$31*($Y206-0.3)+$Y206^2)</f>
        <v>0.72254585987918296</v>
      </c>
      <c r="AA206" s="550">
        <f t="shared" si="180"/>
        <v>0.94710804890275635</v>
      </c>
      <c r="AC206" s="551">
        <f t="shared" si="191"/>
        <v>63043.300167163077</v>
      </c>
      <c r="AG206" s="546">
        <f t="shared" si="192"/>
        <v>258</v>
      </c>
      <c r="AH206" s="551">
        <f t="shared" si="181"/>
        <v>41.622926383438134</v>
      </c>
      <c r="AI206" s="553">
        <f>$AH206/PI()*SQRT('Hilfstabellen_Mat&amp;Bem'!f.Rd.3/'Hilfstabellen_Mat&amp;Bem'!$BD$30)</f>
        <v>0.66244944798742456</v>
      </c>
      <c r="AJ206" s="553">
        <f>0.5*(1+'Hilfstabellen_Mat&amp;Bem'!$BD$31*($AI206-0.3)+$AI206^2)</f>
        <v>0.73754210796879305</v>
      </c>
      <c r="AK206" s="550">
        <f t="shared" si="182"/>
        <v>0.94181622154888334</v>
      </c>
      <c r="AM206" s="551">
        <f t="shared" si="193"/>
        <v>62691.054971179874</v>
      </c>
      <c r="AQ206" s="546">
        <f t="shared" si="194"/>
        <v>258</v>
      </c>
      <c r="AR206" s="551">
        <f t="shared" si="183"/>
        <v>42.96560142806517</v>
      </c>
      <c r="AS206" s="553">
        <f>$AR206/PI()*SQRT('Hilfstabellen_Mat&amp;Bem'!f.Rd.3/'Hilfstabellen_Mat&amp;Bem'!$BD$30)</f>
        <v>0.68381878501927695</v>
      </c>
      <c r="AT206" s="553">
        <f>0.5*(1+'Hilfstabellen_Mat&amp;Bem'!$BD$31*($AS206-0.3)+$AS206^2)</f>
        <v>0.75299500462358382</v>
      </c>
      <c r="AU206" s="550">
        <f t="shared" si="184"/>
        <v>0.93609985119800887</v>
      </c>
      <c r="AW206" s="551">
        <f t="shared" si="195"/>
        <v>62310.550495144264</v>
      </c>
      <c r="BA206" s="546">
        <f t="shared" si="196"/>
        <v>258</v>
      </c>
      <c r="BB206" s="551">
        <f t="shared" si="197"/>
        <v>44.308276472692206</v>
      </c>
      <c r="BC206" s="553">
        <f>$BB206/PI()*SQRT('Hilfstabellen_Mat&amp;Bem'!f.Rd.3/'Hilfstabellen_Mat&amp;Bem'!$BD$30)</f>
        <v>0.70518812205112935</v>
      </c>
      <c r="BD206" s="553">
        <f>0.5*(1+'Hilfstabellen_Mat&amp;Bem'!$BD$31*($BC206-0.3)+$BC206^2)</f>
        <v>0.76890454984355572</v>
      </c>
      <c r="BE206" s="550">
        <f t="shared" si="198"/>
        <v>0.92990847845825719</v>
      </c>
      <c r="BG206" s="551">
        <f t="shared" si="199"/>
        <v>61898.427960095432</v>
      </c>
      <c r="BK206" s="546">
        <f t="shared" si="200"/>
        <v>258</v>
      </c>
      <c r="BL206" s="551">
        <f t="shared" si="201"/>
        <v>45.650951517319243</v>
      </c>
      <c r="BM206" s="553">
        <f>$BL206/PI()*SQRT('Hilfstabellen_Mat&amp;Bem'!f.Rd.3/'Hilfstabellen_Mat&amp;Bem'!$BD$30)</f>
        <v>0.72655745908298175</v>
      </c>
      <c r="BN206" s="553">
        <f>0.5*(1+'Hilfstabellen_Mat&amp;Bem'!$BD$31*($BM206-0.3)+$BM206^2)</f>
        <v>0.78527074362870841</v>
      </c>
      <c r="BO206" s="550">
        <f t="shared" si="202"/>
        <v>0.92318688826101547</v>
      </c>
      <c r="BQ206" s="551">
        <f t="shared" si="203"/>
        <v>61451.012030206235</v>
      </c>
      <c r="BU206" s="546">
        <f t="shared" si="204"/>
        <v>258</v>
      </c>
      <c r="BV206" s="551">
        <f t="shared" si="205"/>
        <v>46.993626561946279</v>
      </c>
      <c r="BW206" s="553">
        <f>$BV206/PI()*SQRT('Hilfstabellen_Mat&amp;Bem'!f.Rd.3/'Hilfstabellen_Mat&amp;Bem'!$BD$30)</f>
        <v>0.74792679611483415</v>
      </c>
      <c r="BX206" s="553">
        <f>0.5*(1+'Hilfstabellen_Mat&amp;Bem'!$BD$31*($BW206-0.3)+$BW206^2)</f>
        <v>0.80209358597904212</v>
      </c>
      <c r="BY206" s="550">
        <f t="shared" si="206"/>
        <v>0.91587549430047444</v>
      </c>
      <c r="CA206" s="551">
        <f t="shared" si="207"/>
        <v>60964.336402616784</v>
      </c>
      <c r="CE206" s="546">
        <f t="shared" si="208"/>
        <v>258</v>
      </c>
      <c r="CF206" s="551">
        <f t="shared" si="209"/>
        <v>48.336301606573315</v>
      </c>
      <c r="CG206" s="553">
        <f>CF206/PI()*SQRT('Hilfstabellen_Mat&amp;Bem'!f.Rd.3/'Hilfstabellen_Mat&amp;Bem'!$BD$30)</f>
        <v>0.76929613314668654</v>
      </c>
      <c r="CH206" s="553">
        <f>0.5*(1+'Hilfstabellen_Mat&amp;Bem'!$BD$31*(CG206-0.3)+CG206^2)</f>
        <v>0.81937307689455652</v>
      </c>
      <c r="CI206" s="550">
        <f t="shared" si="210"/>
        <v>0.90791122322520768</v>
      </c>
      <c r="CK206" s="551">
        <f t="shared" si="211"/>
        <v>60434.20266276272</v>
      </c>
      <c r="CO206" s="546">
        <f t="shared" si="212"/>
        <v>258</v>
      </c>
      <c r="CP206" s="551">
        <f t="shared" si="213"/>
        <v>49.678976651200358</v>
      </c>
      <c r="CQ206" s="553">
        <f>CP206/PI()*SQRT('Hilfstabellen_Mat&amp;Bem'!f.Rd.3/'Hilfstabellen_Mat&amp;Bem'!$BD$30)</f>
        <v>0.79066547017853905</v>
      </c>
      <c r="CR206" s="553">
        <f>0.5*(1+'Hilfstabellen_Mat&amp;Bem'!$BD$31*(CQ206-0.3)+CQ206^2)</f>
        <v>0.83710921637525204</v>
      </c>
      <c r="CS206" s="550">
        <f t="shared" si="214"/>
        <v>0.89922908402942769</v>
      </c>
      <c r="CU206" s="551">
        <f t="shared" si="215"/>
        <v>59856.284749334824</v>
      </c>
      <c r="CY206" s="546">
        <f t="shared" si="216"/>
        <v>258</v>
      </c>
      <c r="CZ206" s="551">
        <f t="shared" si="217"/>
        <v>51.021651695827387</v>
      </c>
      <c r="DA206" s="553">
        <f>CZ206/PI()*SQRT('Hilfstabellen_Mat&amp;Bem'!f.Rd.3/'Hilfstabellen_Mat&amp;Bem'!$BD$30)</f>
        <v>0.81203480721039145</v>
      </c>
      <c r="DB206" s="553">
        <f>0.5*(1+'Hilfstabellen_Mat&amp;Bem'!$BD$31*(DA206-0.3)+DA206^2)</f>
        <v>0.85530200442112836</v>
      </c>
      <c r="DC206" s="550">
        <f t="shared" si="218"/>
        <v>0.88976461199644297</v>
      </c>
      <c r="DE206" s="551">
        <f t="shared" si="219"/>
        <v>59226.291632931228</v>
      </c>
      <c r="DI206" s="546">
        <f t="shared" si="220"/>
        <v>258</v>
      </c>
      <c r="DJ206" s="551">
        <f t="shared" si="221"/>
        <v>52.36432674045443</v>
      </c>
      <c r="DK206" s="553">
        <f>DJ206/PI()*SQRT('Hilfstabellen_Mat&amp;Bem'!f.Rd.3/'Hilfstabellen_Mat&amp;Bem'!$BD$30)</f>
        <v>0.83340414424224396</v>
      </c>
      <c r="DL206" s="553">
        <f>0.5*(1+'Hilfstabellen_Mat&amp;Bem'!$BD$31*(DK206-0.3)+DK206^2)</f>
        <v>0.87395144103218569</v>
      </c>
      <c r="DM206" s="550">
        <f t="shared" si="222"/>
        <v>0.87945733316575891</v>
      </c>
      <c r="DO206" s="551">
        <f t="shared" si="223"/>
        <v>58540.197924845575</v>
      </c>
      <c r="DS206" s="546">
        <f t="shared" si="224"/>
        <v>258</v>
      </c>
      <c r="DT206" s="551">
        <f t="shared" si="225"/>
        <v>53.707001785081459</v>
      </c>
      <c r="DU206" s="553">
        <f>DT206/PI()*SQRT('Hilfstabellen_Mat&amp;Bem'!f.Rd.3/'Hilfstabellen_Mat&amp;Bem'!$BD$30)</f>
        <v>0.85477348127409614</v>
      </c>
      <c r="DV206" s="553">
        <f>0.5*(1+'Hilfstabellen_Mat&amp;Bem'!$BD$31*(DU206-0.3)+DU206^2)</f>
        <v>0.89305752620842349</v>
      </c>
      <c r="DW206" s="550">
        <f t="shared" si="226"/>
        <v>0.86825527657793988</v>
      </c>
      <c r="DY206" s="551">
        <f t="shared" si="227"/>
        <v>57794.544230133994</v>
      </c>
      <c r="EC206" s="546">
        <f t="shared" si="228"/>
        <v>258</v>
      </c>
      <c r="ED206" s="551">
        <f t="shared" si="229"/>
        <v>55.049676829708503</v>
      </c>
      <c r="EE206" s="553">
        <f>ED206/PI()*SQRT('Hilfstabellen_Mat&amp;Bem'!f.Rd.3/'Hilfstabellen_Mat&amp;Bem'!$BD$30)</f>
        <v>0.87614281830594865</v>
      </c>
      <c r="EF206" s="553">
        <f>0.5*(1+'Hilfstabellen_Mat&amp;Bem'!$BD$31*(EE206-0.3)+EE206^2)</f>
        <v>0.91262025994984275</v>
      </c>
      <c r="EG206" s="550">
        <f t="shared" si="230"/>
        <v>0.85612034737996145</v>
      </c>
      <c r="EI206" s="551">
        <f t="shared" si="231"/>
        <v>56986.794802999757</v>
      </c>
      <c r="EM206" s="546">
        <f t="shared" si="232"/>
        <v>258</v>
      </c>
      <c r="EN206" s="551">
        <f t="shared" si="233"/>
        <v>56.392351874335539</v>
      </c>
      <c r="EO206" s="553">
        <f>EN206/PI()*SQRT('Hilfstabellen_Mat&amp;Bem'!f.Rd.3/'Hilfstabellen_Mat&amp;Bem'!$BD$30)</f>
        <v>0.89751215533780104</v>
      </c>
      <c r="EP206" s="553">
        <f>0.5*(1+'Hilfstabellen_Mat&amp;Bem'!$BD$31*(EO206-0.3)+EO206^2)</f>
        <v>0.93263964225644258</v>
      </c>
      <c r="EQ206" s="550">
        <f t="shared" si="234"/>
        <v>0.84303407370106309</v>
      </c>
      <c r="ES206" s="551">
        <f t="shared" si="235"/>
        <v>56115.720081837564</v>
      </c>
    </row>
    <row r="207" spans="3:149">
      <c r="C207" s="546">
        <v>259</v>
      </c>
      <c r="D207" s="551">
        <f t="shared" si="185"/>
        <v>37.449747190678423</v>
      </c>
      <c r="E207" s="553">
        <f>$D207/PI()*SQRT('Hilfstabellen_Mat&amp;Bem'!f.Rd.3/'Hilfstabellen_Mat&amp;Bem'!$BD$30)</f>
        <v>0.5960312382938292</v>
      </c>
      <c r="F207" s="553">
        <f>0.5*(1+'Hilfstabellen_Mat&amp;Bem'!$BD$31*($E207-0.3)+$E207^2)</f>
        <v>0.69242818042572918</v>
      </c>
      <c r="G207" s="550">
        <f t="shared" si="186"/>
        <v>0.95707204747151975</v>
      </c>
      <c r="I207" s="551">
        <f t="shared" si="187"/>
        <v>64201.35001643702</v>
      </c>
      <c r="M207" s="546">
        <f t="shared" si="188"/>
        <v>259</v>
      </c>
      <c r="N207" s="551">
        <f t="shared" si="177"/>
        <v>38.787238161774084</v>
      </c>
      <c r="O207" s="553">
        <f>$N207/PI()*SQRT('Hilfstabellen_Mat&amp;Bem'!f.Rd.3/'Hilfstabellen_Mat&amp;Bem'!$BD$30)</f>
        <v>0.61731806823289459</v>
      </c>
      <c r="P207" s="553">
        <f>0.5*(1+'Hilfstabellen_Mat&amp;Bem'!$BD$31*($O207-0.3)+$O207^2)</f>
        <v>0.70640670209504108</v>
      </c>
      <c r="Q207" s="550">
        <f t="shared" si="178"/>
        <v>0.95254934740019226</v>
      </c>
      <c r="S207" s="551">
        <f t="shared" si="189"/>
        <v>63897.962772952298</v>
      </c>
      <c r="W207" s="546">
        <f t="shared" si="190"/>
        <v>259</v>
      </c>
      <c r="X207" s="551">
        <f t="shared" si="179"/>
        <v>40.124729132869739</v>
      </c>
      <c r="Y207" s="553">
        <f>$X207/PI()*SQRT('Hilfstabellen_Mat&amp;Bem'!f.Rd.3/'Hilfstabellen_Mat&amp;Bem'!$BD$30)</f>
        <v>0.63860489817195987</v>
      </c>
      <c r="Z207" s="553">
        <f>0.5*(1+'Hilfstabellen_Mat&amp;Bem'!$BD$31*($Y207-0.3)+$Y207^2)</f>
        <v>0.72083835289320763</v>
      </c>
      <c r="AA207" s="550">
        <f t="shared" si="180"/>
        <v>0.94769569513676299</v>
      </c>
      <c r="AC207" s="551">
        <f t="shared" si="191"/>
        <v>63572.374925469201</v>
      </c>
      <c r="AG207" s="546">
        <f t="shared" si="192"/>
        <v>259</v>
      </c>
      <c r="AH207" s="551">
        <f t="shared" si="181"/>
        <v>41.4622201039654</v>
      </c>
      <c r="AI207" s="553">
        <f>$AH207/PI()*SQRT('Hilfstabellen_Mat&amp;Bem'!f.Rd.3/'Hilfstabellen_Mat&amp;Bem'!$BD$30)</f>
        <v>0.65989172811102526</v>
      </c>
      <c r="AJ207" s="553">
        <f>0.5*(1+'Hilfstabellen_Mat&amp;Bem'!$BD$31*($AI207-0.3)+$AI207^2)</f>
        <v>0.73572313282022894</v>
      </c>
      <c r="AK207" s="550">
        <f t="shared" si="182"/>
        <v>0.94247103050398717</v>
      </c>
      <c r="AM207" s="551">
        <f t="shared" si="193"/>
        <v>63221.899197237966</v>
      </c>
      <c r="AQ207" s="546">
        <f t="shared" si="194"/>
        <v>259</v>
      </c>
      <c r="AR207" s="551">
        <f t="shared" si="183"/>
        <v>42.799711075061062</v>
      </c>
      <c r="AS207" s="553">
        <f>$AR207/PI()*SQRT('Hilfstabellen_Mat&amp;Bem'!f.Rd.3/'Hilfstabellen_Mat&amp;Bem'!$BD$30)</f>
        <v>0.68117855805009064</v>
      </c>
      <c r="AT207" s="553">
        <f>0.5*(1+'Hilfstabellen_Mat&amp;Bem'!$BD$31*($AS207-0.3)+$AS207^2)</f>
        <v>0.7510610418761049</v>
      </c>
      <c r="AU207" s="550">
        <f t="shared" si="184"/>
        <v>0.93683077003380721</v>
      </c>
      <c r="AW207" s="551">
        <f t="shared" si="195"/>
        <v>62843.54488463782</v>
      </c>
      <c r="BA207" s="546">
        <f t="shared" si="196"/>
        <v>259</v>
      </c>
      <c r="BB207" s="551">
        <f t="shared" si="197"/>
        <v>44.137202046156716</v>
      </c>
      <c r="BC207" s="553">
        <f>$BB207/PI()*SQRT('Hilfstabellen_Mat&amp;Bem'!f.Rd.3/'Hilfstabellen_Mat&amp;Bem'!$BD$30)</f>
        <v>0.70246538798915592</v>
      </c>
      <c r="BD207" s="553">
        <f>0.5*(1+'Hilfstabellen_Mat&amp;Bem'!$BD$31*($BC207-0.3)+$BC207^2)</f>
        <v>0.76685208006083538</v>
      </c>
      <c r="BE207" s="550">
        <f t="shared" si="198"/>
        <v>0.93072561647469221</v>
      </c>
      <c r="BG207" s="551">
        <f t="shared" si="199"/>
        <v>62434.005078738825</v>
      </c>
      <c r="BK207" s="546">
        <f t="shared" si="200"/>
        <v>259</v>
      </c>
      <c r="BL207" s="551">
        <f t="shared" si="201"/>
        <v>45.474693017252378</v>
      </c>
      <c r="BM207" s="553">
        <f>$BL207/PI()*SQRT('Hilfstabellen_Mat&amp;Bem'!f.Rd.3/'Hilfstabellen_Mat&amp;Bem'!$BD$30)</f>
        <v>0.72375221792822131</v>
      </c>
      <c r="BN207" s="553">
        <f>0.5*(1+'Hilfstabellen_Mat&amp;Bem'!$BD$31*($BM207-0.3)+$BM207^2)</f>
        <v>0.78309624737442085</v>
      </c>
      <c r="BO207" s="550">
        <f t="shared" si="202"/>
        <v>0.92410156888666373</v>
      </c>
      <c r="BQ207" s="551">
        <f t="shared" si="203"/>
        <v>61989.657342486287</v>
      </c>
      <c r="BU207" s="546">
        <f t="shared" si="204"/>
        <v>259</v>
      </c>
      <c r="BV207" s="551">
        <f t="shared" si="205"/>
        <v>46.812183988348032</v>
      </c>
      <c r="BW207" s="553">
        <f>$BV207/PI()*SQRT('Hilfstabellen_Mat&amp;Bem'!f.Rd.3/'Hilfstabellen_Mat&amp;Bem'!$BD$30)</f>
        <v>0.74503904786728659</v>
      </c>
      <c r="BX207" s="553">
        <f>0.5*(1+'Hilfstabellen_Mat&amp;Bem'!$BD$31*($BW207-0.3)+$BW207^2)</f>
        <v>0.79979354381686085</v>
      </c>
      <c r="BY207" s="550">
        <f t="shared" si="206"/>
        <v>0.91690024959756122</v>
      </c>
      <c r="CA207" s="551">
        <f t="shared" si="207"/>
        <v>61506.585643254002</v>
      </c>
      <c r="CE207" s="546">
        <f t="shared" si="208"/>
        <v>259</v>
      </c>
      <c r="CF207" s="551">
        <f t="shared" si="209"/>
        <v>48.149674959443693</v>
      </c>
      <c r="CG207" s="553">
        <f>CF207/PI()*SQRT('Hilfstabellen_Mat&amp;Bem'!f.Rd.3/'Hilfstabellen_Mat&amp;Bem'!$BD$30)</f>
        <v>0.76632587780635197</v>
      </c>
      <c r="CH207" s="553">
        <f>0.5*(1+'Hilfstabellen_Mat&amp;Bem'!$BD$31*(CG207-0.3)+CG207^2)</f>
        <v>0.81694396938815561</v>
      </c>
      <c r="CI207" s="550">
        <f t="shared" si="210"/>
        <v>0.90905969794431274</v>
      </c>
      <c r="CK207" s="551">
        <f t="shared" si="211"/>
        <v>60980.633597802444</v>
      </c>
      <c r="CO207" s="546">
        <f t="shared" si="212"/>
        <v>259</v>
      </c>
      <c r="CP207" s="551">
        <f t="shared" si="213"/>
        <v>49.487165930539348</v>
      </c>
      <c r="CQ207" s="553">
        <f>CP207/PI()*SQRT('Hilfstabellen_Mat&amp;Bem'!f.Rd.3/'Hilfstabellen_Mat&amp;Bem'!$BD$30)</f>
        <v>0.78761270774541725</v>
      </c>
      <c r="CR207" s="553">
        <f>0.5*(1+'Hilfstabellen_Mat&amp;Bem'!$BD$31*(CQ207-0.3)+CQ207^2)</f>
        <v>0.8345475240883049</v>
      </c>
      <c r="CS207" s="550">
        <f t="shared" si="214"/>
        <v>0.90051580877540705</v>
      </c>
      <c r="CU207" s="551">
        <f t="shared" si="215"/>
        <v>60407.500968463079</v>
      </c>
      <c r="CY207" s="546">
        <f t="shared" si="216"/>
        <v>259</v>
      </c>
      <c r="CZ207" s="551">
        <f t="shared" si="217"/>
        <v>50.824656901635009</v>
      </c>
      <c r="DA207" s="553">
        <f>CZ207/PI()*SQRT('Hilfstabellen_Mat&amp;Bem'!f.Rd.3/'Hilfstabellen_Mat&amp;Bem'!$BD$30)</f>
        <v>0.80889953768448264</v>
      </c>
      <c r="DB207" s="553">
        <f>0.5*(1+'Hilfstabellen_Mat&amp;Bem'!$BD$31*(DA207-0.3)+DA207^2)</f>
        <v>0.85260420791730895</v>
      </c>
      <c r="DC207" s="550">
        <f t="shared" si="218"/>
        <v>0.89120460167500548</v>
      </c>
      <c r="DE207" s="551">
        <f t="shared" si="219"/>
        <v>59782.895884961043</v>
      </c>
      <c r="DI207" s="546">
        <f t="shared" si="220"/>
        <v>259</v>
      </c>
      <c r="DJ207" s="551">
        <f t="shared" si="221"/>
        <v>52.162147872730664</v>
      </c>
      <c r="DK207" s="553">
        <f>DJ207/PI()*SQRT('Hilfstabellen_Mat&amp;Bem'!f.Rd.3/'Hilfstabellen_Mat&amp;Bem'!$BD$30)</f>
        <v>0.83018636762354792</v>
      </c>
      <c r="DL207" s="553">
        <f>0.5*(1+'Hilfstabellen_Mat&amp;Bem'!$BD$31*(DK207-0.3)+DK207^2)</f>
        <v>0.87111402087516776</v>
      </c>
      <c r="DM207" s="550">
        <f t="shared" si="222"/>
        <v>0.88106547265682134</v>
      </c>
      <c r="DO207" s="551">
        <f t="shared" si="223"/>
        <v>59102.752971292233</v>
      </c>
      <c r="DS207" s="546">
        <f t="shared" si="224"/>
        <v>259</v>
      </c>
      <c r="DT207" s="551">
        <f t="shared" si="225"/>
        <v>53.499638843826318</v>
      </c>
      <c r="DU207" s="553">
        <f>DT207/PI()*SQRT('Hilfstabellen_Mat&amp;Bem'!f.Rd.3/'Hilfstabellen_Mat&amp;Bem'!$BD$30)</f>
        <v>0.85147319756261308</v>
      </c>
      <c r="DV207" s="553">
        <f>0.5*(1+'Hilfstabellen_Mat&amp;Bem'!$BD$31*(DU207-0.3)+DU207^2)</f>
        <v>0.89007696296188099</v>
      </c>
      <c r="DW207" s="550">
        <f t="shared" si="226"/>
        <v>0.8700454767147825</v>
      </c>
      <c r="DY207" s="551">
        <f t="shared" si="227"/>
        <v>58363.520623504322</v>
      </c>
      <c r="EC207" s="546">
        <f t="shared" si="228"/>
        <v>259</v>
      </c>
      <c r="ED207" s="551">
        <f t="shared" si="229"/>
        <v>54.83712981492198</v>
      </c>
      <c r="EE207" s="553">
        <f>ED207/PI()*SQRT('Hilfstabellen_Mat&amp;Bem'!f.Rd.3/'Hilfstabellen_Mat&amp;Bem'!$BD$30)</f>
        <v>0.87276002750167858</v>
      </c>
      <c r="EF207" s="553">
        <f>0.5*(1+'Hilfstabellen_Mat&amp;Bem'!$BD$31*(EE207-0.3)+EE207^2)</f>
        <v>0.90949303417744942</v>
      </c>
      <c r="EG207" s="550">
        <f t="shared" si="230"/>
        <v>0.85810449557120771</v>
      </c>
      <c r="EI207" s="551">
        <f t="shared" si="231"/>
        <v>57562.507667412188</v>
      </c>
      <c r="EM207" s="546">
        <f t="shared" si="232"/>
        <v>259</v>
      </c>
      <c r="EN207" s="551">
        <f t="shared" si="233"/>
        <v>56.174620786017641</v>
      </c>
      <c r="EO207" s="553">
        <f>EN207/PI()*SQRT('Hilfstabellen_Mat&amp;Bem'!f.Rd.3/'Hilfstabellen_Mat&amp;Bem'!$BD$30)</f>
        <v>0.89404685744074386</v>
      </c>
      <c r="EP207" s="553">
        <f>0.5*(1+'Hilfstabellen_Mat&amp;Bem'!$BD$31*(EO207-0.3)+EO207^2)</f>
        <v>0.92936223452187217</v>
      </c>
      <c r="EQ207" s="550">
        <f t="shared" si="234"/>
        <v>0.84522086366346427</v>
      </c>
      <c r="ES207" s="551">
        <f t="shared" si="235"/>
        <v>56698.260755408846</v>
      </c>
    </row>
    <row r="208" spans="3:149">
      <c r="C208" s="546">
        <v>260</v>
      </c>
      <c r="D208" s="551">
        <f t="shared" si="185"/>
        <v>37.305709701483515</v>
      </c>
      <c r="E208" s="553">
        <f>$D208/PI()*SQRT('Hilfstabellen_Mat&amp;Bem'!f.Rd.3/'Hilfstabellen_Mat&amp;Bem'!$BD$30)</f>
        <v>0.59373881045423771</v>
      </c>
      <c r="F208" s="553">
        <f>0.5*(1+'Hilfstabellen_Mat&amp;Bem'!$BD$31*($E208-0.3)+$E208^2)</f>
        <v>0.69094982804251848</v>
      </c>
      <c r="G208" s="550">
        <f t="shared" si="186"/>
        <v>0.95754090719782115</v>
      </c>
      <c r="I208" s="551">
        <f t="shared" si="187"/>
        <v>64729.765326572706</v>
      </c>
      <c r="M208" s="546">
        <f t="shared" si="188"/>
        <v>260</v>
      </c>
      <c r="N208" s="551">
        <f t="shared" si="177"/>
        <v>38.638056476536491</v>
      </c>
      <c r="O208" s="553">
        <f>$N208/PI()*SQRT('Hilfstabellen_Mat&amp;Bem'!f.Rd.3/'Hilfstabellen_Mat&amp;Bem'!$BD$30)</f>
        <v>0.61494376797046035</v>
      </c>
      <c r="P208" s="553">
        <f>0.5*(1+'Hilfstabellen_Mat&amp;Bem'!$BD$31*($O208-0.3)+$O208^2)</f>
        <v>0.70482510728137671</v>
      </c>
      <c r="Q208" s="550">
        <f t="shared" si="178"/>
        <v>0.95306950738798901</v>
      </c>
      <c r="S208" s="551">
        <f t="shared" si="189"/>
        <v>64427.498699428055</v>
      </c>
      <c r="W208" s="546">
        <f t="shared" si="190"/>
        <v>260</v>
      </c>
      <c r="X208" s="551">
        <f t="shared" si="179"/>
        <v>39.970403251589474</v>
      </c>
      <c r="Y208" s="553">
        <f>$X208/PI()*SQRT('Hilfstabellen_Mat&amp;Bem'!f.Rd.3/'Hilfstabellen_Mat&amp;Bem'!$BD$30)</f>
        <v>0.63614872548668311</v>
      </c>
      <c r="Z208" s="553">
        <f>0.5*(1+'Hilfstabellen_Mat&amp;Bem'!$BD$31*($Y208-0.3)+$Y208^2)</f>
        <v>0.71915003674349975</v>
      </c>
      <c r="AA208" s="550">
        <f t="shared" si="180"/>
        <v>0.94827386717413598</v>
      </c>
      <c r="AC208" s="551">
        <f t="shared" si="191"/>
        <v>64103.313420971594</v>
      </c>
      <c r="AG208" s="546">
        <f t="shared" si="192"/>
        <v>260</v>
      </c>
      <c r="AH208" s="551">
        <f t="shared" si="181"/>
        <v>41.302750026642457</v>
      </c>
      <c r="AI208" s="553">
        <f>$AH208/PI()*SQRT('Hilfstabellen_Mat&amp;Bem'!f.Rd.3/'Hilfstabellen_Mat&amp;Bem'!$BD$30)</f>
        <v>0.65735368300290586</v>
      </c>
      <c r="AJ208" s="553">
        <f>0.5*(1+'Hilfstabellen_Mat&amp;Bem'!$BD$31*($AI208-0.3)+$AI208^2)</f>
        <v>0.73392461642888773</v>
      </c>
      <c r="AK208" s="550">
        <f t="shared" si="182"/>
        <v>0.94311487681668549</v>
      </c>
      <c r="AM208" s="551">
        <f t="shared" si="193"/>
        <v>63754.565672807941</v>
      </c>
      <c r="AQ208" s="546">
        <f t="shared" si="194"/>
        <v>260</v>
      </c>
      <c r="AR208" s="551">
        <f t="shared" si="183"/>
        <v>42.63509680169544</v>
      </c>
      <c r="AS208" s="553">
        <f>$AR208/PI()*SQRT('Hilfstabellen_Mat&amp;Bem'!f.Rd.3/'Hilfstabellen_Mat&amp;Bem'!$BD$30)</f>
        <v>0.67855864051912873</v>
      </c>
      <c r="AT208" s="553">
        <f>0.5*(1+'Hilfstabellen_Mat&amp;Bem'!$BD$31*($AS208-0.3)+$AS208^2)</f>
        <v>0.74914884633754053</v>
      </c>
      <c r="AU208" s="550">
        <f t="shared" si="184"/>
        <v>0.93754900262555374</v>
      </c>
      <c r="AW208" s="551">
        <f t="shared" si="195"/>
        <v>63378.312577487435</v>
      </c>
      <c r="BA208" s="546">
        <f t="shared" si="196"/>
        <v>260</v>
      </c>
      <c r="BB208" s="551">
        <f t="shared" si="197"/>
        <v>43.967443576748416</v>
      </c>
      <c r="BC208" s="553">
        <f>$BB208/PI()*SQRT('Hilfstabellen_Mat&amp;Bem'!f.Rd.3/'Hilfstabellen_Mat&amp;Bem'!$BD$30)</f>
        <v>0.69976359803535138</v>
      </c>
      <c r="BD208" s="553">
        <f>0.5*(1+'Hilfstabellen_Mat&amp;Bem'!$BD$31*($BC208-0.3)+$BC208^2)</f>
        <v>0.76482272646945804</v>
      </c>
      <c r="BE208" s="550">
        <f t="shared" si="198"/>
        <v>0.9315280828931578</v>
      </c>
      <c r="BG208" s="551">
        <f t="shared" si="199"/>
        <v>62971.298403577464</v>
      </c>
      <c r="BK208" s="546">
        <f t="shared" si="200"/>
        <v>260</v>
      </c>
      <c r="BL208" s="551">
        <f t="shared" si="201"/>
        <v>45.299790351801406</v>
      </c>
      <c r="BM208" s="553">
        <f>$BL208/PI()*SQRT('Hilfstabellen_Mat&amp;Bem'!f.Rd.3/'Hilfstabellen_Mat&amp;Bem'!$BD$30)</f>
        <v>0.72096855555157424</v>
      </c>
      <c r="BN208" s="553">
        <f>0.5*(1+'Hilfstabellen_Mat&amp;Bem'!$BD$31*($BM208-0.3)+$BM208^2)</f>
        <v>0.78094625682464047</v>
      </c>
      <c r="BO208" s="550">
        <f t="shared" si="202"/>
        <v>0.92499930836427913</v>
      </c>
      <c r="BQ208" s="551">
        <f t="shared" si="203"/>
        <v>62529.953245425269</v>
      </c>
      <c r="BU208" s="546">
        <f t="shared" si="204"/>
        <v>260</v>
      </c>
      <c r="BV208" s="551">
        <f t="shared" si="205"/>
        <v>46.632137126854388</v>
      </c>
      <c r="BW208" s="553">
        <f>$BV208/PI()*SQRT('Hilfstabellen_Mat&amp;Bem'!f.Rd.3/'Hilfstabellen_Mat&amp;Bem'!$BD$30)</f>
        <v>0.742173513067797</v>
      </c>
      <c r="BX208" s="553">
        <f>0.5*(1+'Hilfstabellen_Mat&amp;Bem'!$BD$31*($BW208-0.3)+$BW208^2)</f>
        <v>0.79751943740308751</v>
      </c>
      <c r="BY208" s="550">
        <f t="shared" si="206"/>
        <v>0.91790549649576936</v>
      </c>
      <c r="CA208" s="551">
        <f t="shared" si="207"/>
        <v>62050.411563114008</v>
      </c>
      <c r="CE208" s="546">
        <f t="shared" si="208"/>
        <v>260</v>
      </c>
      <c r="CF208" s="551">
        <f t="shared" si="209"/>
        <v>47.964483901907371</v>
      </c>
      <c r="CG208" s="553">
        <f>CF208/PI()*SQRT('Hilfstabellen_Mat&amp;Bem'!f.Rd.3/'Hilfstabellen_Mat&amp;Bem'!$BD$30)</f>
        <v>0.76337847058401986</v>
      </c>
      <c r="CH208" s="553">
        <f>0.5*(1+'Hilfstabellen_Mat&amp;Bem'!$BD$31*(CG208-0.3)+CG208^2)</f>
        <v>0.81454226820479958</v>
      </c>
      <c r="CI208" s="550">
        <f t="shared" si="210"/>
        <v>0.91018580144118733</v>
      </c>
      <c r="CK208" s="551">
        <f t="shared" si="211"/>
        <v>61528.56017742426</v>
      </c>
      <c r="CO208" s="546">
        <f t="shared" si="212"/>
        <v>260</v>
      </c>
      <c r="CP208" s="551">
        <f t="shared" si="213"/>
        <v>49.296830676960347</v>
      </c>
      <c r="CQ208" s="553">
        <f>CP208/PI()*SQRT('Hilfstabellen_Mat&amp;Bem'!f.Rd.3/'Hilfstabellen_Mat&amp;Bem'!$BD$30)</f>
        <v>0.78458342810024251</v>
      </c>
      <c r="CR208" s="553">
        <f>0.5*(1+'Hilfstabellen_Mat&amp;Bem'!$BD$31*(CQ208-0.3)+CQ208^2)</f>
        <v>0.83201474922977625</v>
      </c>
      <c r="CS208" s="550">
        <f t="shared" si="214"/>
        <v>0.90177703024322009</v>
      </c>
      <c r="CU208" s="551">
        <f t="shared" si="215"/>
        <v>60960.127244441675</v>
      </c>
      <c r="CY208" s="546">
        <f t="shared" si="216"/>
        <v>260</v>
      </c>
      <c r="CZ208" s="551">
        <f t="shared" si="217"/>
        <v>50.62917745201333</v>
      </c>
      <c r="DA208" s="553">
        <f>CZ208/PI()*SQRT('Hilfstabellen_Mat&amp;Bem'!f.Rd.3/'Hilfstabellen_Mat&amp;Bem'!$BD$30)</f>
        <v>0.80578838561646526</v>
      </c>
      <c r="DB208" s="553">
        <f>0.5*(1+'Hilfstabellen_Mat&amp;Bem'!$BD$31*(DA208-0.3)+DA208^2)</f>
        <v>0.84993688047801796</v>
      </c>
      <c r="DC208" s="550">
        <f t="shared" si="218"/>
        <v>0.89261574712147396</v>
      </c>
      <c r="DE208" s="551">
        <f t="shared" si="219"/>
        <v>60340.824505411641</v>
      </c>
      <c r="DI208" s="546">
        <f t="shared" si="220"/>
        <v>260</v>
      </c>
      <c r="DJ208" s="551">
        <f t="shared" si="221"/>
        <v>51.961524227066313</v>
      </c>
      <c r="DK208" s="553">
        <f>DJ208/PI()*SQRT('Hilfstabellen_Mat&amp;Bem'!f.Rd.3/'Hilfstabellen_Mat&amp;Bem'!$BD$30)</f>
        <v>0.82699334313268802</v>
      </c>
      <c r="DL208" s="553">
        <f>0.5*(1+'Hilfstabellen_Mat&amp;Bem'!$BD$31*(DK208-0.3)+DK208^2)</f>
        <v>0.86830866194952439</v>
      </c>
      <c r="DM208" s="550">
        <f t="shared" si="222"/>
        <v>0.88264132162822806</v>
      </c>
      <c r="DO208" s="551">
        <f t="shared" si="223"/>
        <v>59666.553342068219</v>
      </c>
      <c r="DS208" s="546">
        <f t="shared" si="224"/>
        <v>260</v>
      </c>
      <c r="DT208" s="551">
        <f t="shared" si="225"/>
        <v>53.293871002119303</v>
      </c>
      <c r="DU208" s="553">
        <f>DT208/PI()*SQRT('Hilfstabellen_Mat&amp;Bem'!f.Rd.3/'Hilfstabellen_Mat&amp;Bem'!$BD$30)</f>
        <v>0.848198300648911</v>
      </c>
      <c r="DV208" s="553">
        <f>0.5*(1+'Hilfstabellen_Mat&amp;Bem'!$BD$31*(DU208-0.3)+DU208^2)</f>
        <v>0.88713009364429585</v>
      </c>
      <c r="DW208" s="550">
        <f t="shared" si="226"/>
        <v>0.871799987092294</v>
      </c>
      <c r="DY208" s="551">
        <f t="shared" si="227"/>
        <v>58933.679127439078</v>
      </c>
      <c r="EC208" s="546">
        <f t="shared" si="228"/>
        <v>260</v>
      </c>
      <c r="ED208" s="551">
        <f t="shared" si="229"/>
        <v>54.626217777172286</v>
      </c>
      <c r="EE208" s="553">
        <f>ED208/PI()*SQRT('Hilfstabellen_Mat&amp;Bem'!f.Rd.3/'Hilfstabellen_Mat&amp;Bem'!$BD$30)</f>
        <v>0.86940325816513375</v>
      </c>
      <c r="EF208" s="553">
        <f>0.5*(1+'Hilfstabellen_Mat&amp;Bem'!$BD$31*(EE208-0.3)+EE208^2)</f>
        <v>0.9064011755623318</v>
      </c>
      <c r="EG208" s="550">
        <f t="shared" si="230"/>
        <v>0.86004980075260562</v>
      </c>
      <c r="EI208" s="551">
        <f t="shared" si="231"/>
        <v>58139.366530876141</v>
      </c>
      <c r="EM208" s="546">
        <f t="shared" si="232"/>
        <v>260</v>
      </c>
      <c r="EN208" s="551">
        <f t="shared" si="233"/>
        <v>55.958564552225262</v>
      </c>
      <c r="EO208" s="553">
        <f>EN208/PI()*SQRT('Hilfstabellen_Mat&amp;Bem'!f.Rd.3/'Hilfstabellen_Mat&amp;Bem'!$BD$30)</f>
        <v>0.89060821568135629</v>
      </c>
      <c r="EP208" s="553">
        <f>0.5*(1+'Hilfstabellen_Mat&amp;Bem'!$BD$31*(EO208-0.3)+EO208^2)</f>
        <v>0.92612190770363245</v>
      </c>
      <c r="EQ208" s="550">
        <f t="shared" si="234"/>
        <v>0.84736613468460786</v>
      </c>
      <c r="ES208" s="551">
        <f t="shared" si="235"/>
        <v>57281.95070467949</v>
      </c>
    </row>
    <row r="209" spans="3:149">
      <c r="C209" s="546">
        <v>261</v>
      </c>
      <c r="D209" s="551">
        <f t="shared" si="185"/>
        <v>37.162775947837979</v>
      </c>
      <c r="E209" s="553">
        <f>$D209/PI()*SQRT('Hilfstabellen_Mat&amp;Bem'!f.Rd.3/'Hilfstabellen_Mat&amp;Bem'!$BD$30)</f>
        <v>0.59146394911150102</v>
      </c>
      <c r="F209" s="553">
        <f>0.5*(1+'Hilfstabellen_Mat&amp;Bem'!$BD$31*($E209-0.3)+$E209^2)</f>
        <v>0.68948799900486124</v>
      </c>
      <c r="G209" s="550">
        <f t="shared" si="186"/>
        <v>0.95800283584115808</v>
      </c>
      <c r="I209" s="551">
        <f t="shared" si="187"/>
        <v>65260.111180335531</v>
      </c>
      <c r="M209" s="546">
        <f t="shared" si="188"/>
        <v>261</v>
      </c>
      <c r="N209" s="551">
        <f t="shared" si="177"/>
        <v>38.490017945975048</v>
      </c>
      <c r="O209" s="553">
        <f>$N209/PI()*SQRT('Hilfstabellen_Mat&amp;Bem'!f.Rd.3/'Hilfstabellen_Mat&amp;Bem'!$BD$30)</f>
        <v>0.61258766157976896</v>
      </c>
      <c r="P209" s="553">
        <f>0.5*(1+'Hilfstabellen_Mat&amp;Bem'!$BD$31*($O209-0.3)+$O209^2)</f>
        <v>0.70326120463887321</v>
      </c>
      <c r="Q209" s="550">
        <f t="shared" si="178"/>
        <v>0.95358166712411119</v>
      </c>
      <c r="S209" s="551">
        <f t="shared" si="189"/>
        <v>64958.936746161577</v>
      </c>
      <c r="W209" s="546">
        <f t="shared" si="190"/>
        <v>261</v>
      </c>
      <c r="X209" s="551">
        <f t="shared" si="179"/>
        <v>39.817259944112116</v>
      </c>
      <c r="Y209" s="553">
        <f>$X209/PI()*SQRT('Hilfstabellen_Mat&amp;Bem'!f.Rd.3/'Hilfstabellen_Mat&amp;Bem'!$BD$30)</f>
        <v>0.6337113740480369</v>
      </c>
      <c r="Z209" s="553">
        <f>0.5*(1+'Hilfstabellen_Mat&amp;Bem'!$BD$31*($Y209-0.3)+$Y209^2)</f>
        <v>0.71748062150132741</v>
      </c>
      <c r="AA209" s="550">
        <f t="shared" si="180"/>
        <v>0.94884279441292885</v>
      </c>
      <c r="AC209" s="551">
        <f t="shared" si="191"/>
        <v>64636.119998203125</v>
      </c>
      <c r="AG209" s="546">
        <f t="shared" si="192"/>
        <v>261</v>
      </c>
      <c r="AH209" s="551">
        <f t="shared" si="181"/>
        <v>41.144501942249192</v>
      </c>
      <c r="AI209" s="553">
        <f>$AH209/PI()*SQRT('Hilfstabellen_Mat&amp;Bem'!f.Rd.3/'Hilfstabellen_Mat&amp;Bem'!$BD$30)</f>
        <v>0.65483508651630484</v>
      </c>
      <c r="AJ209" s="553">
        <f>0.5*(1+'Hilfstabellen_Mat&amp;Bem'!$BD$31*($AI209-0.3)+$AI209^2)</f>
        <v>0.73214624959222352</v>
      </c>
      <c r="AK209" s="550">
        <f t="shared" si="182"/>
        <v>0.94374803248034067</v>
      </c>
      <c r="AM209" s="551">
        <f t="shared" si="193"/>
        <v>64289.059720593286</v>
      </c>
      <c r="AQ209" s="546">
        <f t="shared" si="194"/>
        <v>261</v>
      </c>
      <c r="AR209" s="551">
        <f t="shared" si="183"/>
        <v>42.471743940386261</v>
      </c>
      <c r="AS209" s="553">
        <f>$AR209/PI()*SQRT('Hilfstabellen_Mat&amp;Bem'!f.Rd.3/'Hilfstabellen_Mat&amp;Bem'!$BD$30)</f>
        <v>0.67595879898457267</v>
      </c>
      <c r="AT209" s="553">
        <f>0.5*(1+'Hilfstabellen_Mat&amp;Bem'!$BD$31*($AS209-0.3)+$AS209^2)</f>
        <v>0.74725808891156165</v>
      </c>
      <c r="AU209" s="550">
        <f t="shared" si="184"/>
        <v>0.93825487039280064</v>
      </c>
      <c r="AW209" s="551">
        <f t="shared" si="195"/>
        <v>63914.860026027971</v>
      </c>
      <c r="BA209" s="546">
        <f t="shared" si="196"/>
        <v>261</v>
      </c>
      <c r="BB209" s="551">
        <f t="shared" si="197"/>
        <v>43.79898593852333</v>
      </c>
      <c r="BC209" s="553">
        <f>$BB209/PI()*SQRT('Hilfstabellen_Mat&amp;Bem'!f.Rd.3/'Hilfstabellen_Mat&amp;Bem'!$BD$30)</f>
        <v>0.6970825114528405</v>
      </c>
      <c r="BD209" s="553">
        <f>0.5*(1+'Hilfstabellen_Mat&amp;Bem'!$BD$31*($BC209-0.3)+$BC209^2)</f>
        <v>0.76281613945934179</v>
      </c>
      <c r="BE209" s="550">
        <f t="shared" si="198"/>
        <v>0.93231625564041276</v>
      </c>
      <c r="BG209" s="551">
        <f t="shared" si="199"/>
        <v>63510.315650480559</v>
      </c>
      <c r="BK209" s="546">
        <f t="shared" si="200"/>
        <v>261</v>
      </c>
      <c r="BL209" s="551">
        <f t="shared" si="201"/>
        <v>45.126227936660399</v>
      </c>
      <c r="BM209" s="553">
        <f>$BL209/PI()*SQRT('Hilfstabellen_Mat&amp;Bem'!f.Rd.3/'Hilfstabellen_Mat&amp;Bem'!$BD$30)</f>
        <v>0.71820622392110844</v>
      </c>
      <c r="BN209" s="553">
        <f>0.5*(1+'Hilfstabellen_Mat&amp;Bem'!$BD$31*($BM209-0.3)+$BM209^2)</f>
        <v>0.77882040123556417</v>
      </c>
      <c r="BO209" s="550">
        <f t="shared" si="202"/>
        <v>0.92588054790281404</v>
      </c>
      <c r="BQ209" s="551">
        <f t="shared" si="203"/>
        <v>63071.908803687598</v>
      </c>
      <c r="BU209" s="546">
        <f t="shared" si="204"/>
        <v>261</v>
      </c>
      <c r="BV209" s="551">
        <f t="shared" si="205"/>
        <v>46.453469934797468</v>
      </c>
      <c r="BW209" s="553">
        <f>$BV209/PI()*SQRT('Hilfstabellen_Mat&amp;Bem'!f.Rd.3/'Hilfstabellen_Mat&amp;Bem'!$BD$30)</f>
        <v>0.73932993638937627</v>
      </c>
      <c r="BX209" s="553">
        <f>0.5*(1+'Hilfstabellen_Mat&amp;Bem'!$BD$31*($BW209-0.3)+$BW209^2)</f>
        <v>0.79527087424022835</v>
      </c>
      <c r="BY209" s="550">
        <f t="shared" si="206"/>
        <v>0.91889174505564786</v>
      </c>
      <c r="CA209" s="551">
        <f t="shared" si="207"/>
        <v>62595.824564935785</v>
      </c>
      <c r="CE209" s="546">
        <f t="shared" si="208"/>
        <v>261</v>
      </c>
      <c r="CF209" s="551">
        <f t="shared" si="209"/>
        <v>47.780711932934537</v>
      </c>
      <c r="CG209" s="553">
        <f>CF209/PI()*SQRT('Hilfstabellen_Mat&amp;Bem'!f.Rd.3/'Hilfstabellen_Mat&amp;Bem'!$BD$30)</f>
        <v>0.7604536488576441</v>
      </c>
      <c r="CH209" s="553">
        <f>0.5*(1+'Hilfstabellen_Mat&amp;Bem'!$BD$31*(CG209-0.3)+CG209^2)</f>
        <v>0.81216755847333477</v>
      </c>
      <c r="CI209" s="550">
        <f t="shared" si="210"/>
        <v>0.9112901156667117</v>
      </c>
      <c r="CK209" s="551">
        <f t="shared" si="211"/>
        <v>62077.99396933207</v>
      </c>
      <c r="CO209" s="546">
        <f t="shared" si="212"/>
        <v>261</v>
      </c>
      <c r="CP209" s="551">
        <f t="shared" si="213"/>
        <v>49.107953931071613</v>
      </c>
      <c r="CQ209" s="553">
        <f>CP209/PI()*SQRT('Hilfstabellen_Mat&amp;Bem'!f.Rd.3/'Hilfstabellen_Mat&amp;Bem'!$BD$30)</f>
        <v>0.78157736132591216</v>
      </c>
      <c r="CR209" s="553">
        <f>0.5*(1+'Hilfstabellen_Mat&amp;Bem'!$BD$31*(CQ209-0.3)+CQ209^2)</f>
        <v>0.82951045393488321</v>
      </c>
      <c r="CS209" s="550">
        <f t="shared" si="214"/>
        <v>0.9030134010062546</v>
      </c>
      <c r="CU209" s="551">
        <f t="shared" si="215"/>
        <v>61514.175889947073</v>
      </c>
      <c r="CY209" s="546">
        <f t="shared" si="216"/>
        <v>261</v>
      </c>
      <c r="CZ209" s="551">
        <f t="shared" si="217"/>
        <v>50.435195929208689</v>
      </c>
      <c r="DA209" s="553">
        <f>CZ209/PI()*SQRT('Hilfstabellen_Mat&amp;Bem'!f.Rd.3/'Hilfstabellen_Mat&amp;Bem'!$BD$30)</f>
        <v>0.8027010737941801</v>
      </c>
      <c r="DB209" s="553">
        <f>0.5*(1+'Hilfstabellen_Mat&amp;Bem'!$BD$31*(DA209-0.3)+DA209^2)</f>
        <v>0.84729956062487388</v>
      </c>
      <c r="DC209" s="550">
        <f t="shared" si="218"/>
        <v>0.89399876383667309</v>
      </c>
      <c r="DE209" s="551">
        <f t="shared" si="219"/>
        <v>60900.089791318009</v>
      </c>
      <c r="DI209" s="546">
        <f t="shared" si="220"/>
        <v>261</v>
      </c>
      <c r="DJ209" s="551">
        <f t="shared" si="221"/>
        <v>51.762437927345758</v>
      </c>
      <c r="DK209" s="553">
        <f>DJ209/PI()*SQRT('Hilfstabellen_Mat&amp;Bem'!f.Rd.3/'Hilfstabellen_Mat&amp;Bem'!$BD$30)</f>
        <v>0.82382478626244804</v>
      </c>
      <c r="DL209" s="553">
        <f>0.5*(1+'Hilfstabellen_Mat&amp;Bem'!$BD$31*(DK209-0.3)+DK209^2)</f>
        <v>0.86553487854330657</v>
      </c>
      <c r="DM209" s="550">
        <f t="shared" si="222"/>
        <v>0.88418564225011931</v>
      </c>
      <c r="DO209" s="551">
        <f t="shared" si="223"/>
        <v>60231.610135720381</v>
      </c>
      <c r="DS209" s="546">
        <f t="shared" si="224"/>
        <v>261</v>
      </c>
      <c r="DT209" s="551">
        <f t="shared" si="225"/>
        <v>53.089679925482827</v>
      </c>
      <c r="DU209" s="553">
        <f>DT209/PI()*SQRT('Hilfstabellen_Mat&amp;Bem'!f.Rd.3/'Hilfstabellen_Mat&amp;Bem'!$BD$30)</f>
        <v>0.84494849873071587</v>
      </c>
      <c r="DV209" s="553">
        <f>0.5*(1+'Hilfstabellen_Mat&amp;Bem'!$BD$31*(DU209-0.3)+DU209^2)</f>
        <v>0.88421640769018106</v>
      </c>
      <c r="DW209" s="550">
        <f t="shared" si="226"/>
        <v>0.8735195901977153</v>
      </c>
      <c r="DY209" s="551">
        <f t="shared" si="227"/>
        <v>59505.028003858562</v>
      </c>
      <c r="EC209" s="546">
        <f t="shared" si="228"/>
        <v>261</v>
      </c>
      <c r="ED209" s="551">
        <f t="shared" si="229"/>
        <v>54.416921923619896</v>
      </c>
      <c r="EE209" s="553">
        <f>ED209/PI()*SQRT('Hilfstabellen_Mat&amp;Bem'!f.Rd.3/'Hilfstabellen_Mat&amp;Bem'!$BD$30)</f>
        <v>0.86607221119898359</v>
      </c>
      <c r="EF209" s="553">
        <f>0.5*(1+'Hilfstabellen_Mat&amp;Bem'!$BD$31*(EE209-0.3)+EE209^2)</f>
        <v>0.90334414806549768</v>
      </c>
      <c r="EG209" s="550">
        <f t="shared" si="230"/>
        <v>0.86195702922240691</v>
      </c>
      <c r="EI209" s="551">
        <f t="shared" si="231"/>
        <v>58717.374787659581</v>
      </c>
      <c r="EM209" s="546">
        <f t="shared" si="232"/>
        <v>261</v>
      </c>
      <c r="EN209" s="551">
        <f t="shared" si="233"/>
        <v>55.744163921756972</v>
      </c>
      <c r="EO209" s="553">
        <f>EN209/PI()*SQRT('Hilfstabellen_Mat&amp;Bem'!f.Rd.3/'Hilfstabellen_Mat&amp;Bem'!$BD$30)</f>
        <v>0.88719592366725175</v>
      </c>
      <c r="EP209" s="553">
        <f>0.5*(1+'Hilfstabellen_Mat&amp;Bem'!$BD$31*(EO209-0.3)+EO209^2)</f>
        <v>0.92291809966925653</v>
      </c>
      <c r="EQ209" s="550">
        <f t="shared" si="234"/>
        <v>0.84947059248896006</v>
      </c>
      <c r="ES209" s="551">
        <f t="shared" si="235"/>
        <v>57866.786230940452</v>
      </c>
    </row>
    <row r="210" spans="3:149">
      <c r="C210" s="546">
        <v>262</v>
      </c>
      <c r="D210" s="551">
        <f t="shared" si="185"/>
        <v>37.020933291548516</v>
      </c>
      <c r="E210" s="553">
        <f>$D210/PI()*SQRT('Hilfstabellen_Mat&amp;Bem'!f.Rd.3/'Hilfstabellen_Mat&amp;Bem'!$BD$30)</f>
        <v>0.58920645312252584</v>
      </c>
      <c r="F210" s="553">
        <f>0.5*(1+'Hilfstabellen_Mat&amp;Bem'!$BD$31*($E210-0.3)+$E210^2)</f>
        <v>0.68804244485673993</v>
      </c>
      <c r="G210" s="550">
        <f t="shared" si="186"/>
        <v>0.95845799091087636</v>
      </c>
      <c r="I210" s="551">
        <f t="shared" si="187"/>
        <v>65792.3903280862</v>
      </c>
      <c r="M210" s="546">
        <f t="shared" si="188"/>
        <v>262</v>
      </c>
      <c r="N210" s="551">
        <f t="shared" si="177"/>
        <v>38.343109480532398</v>
      </c>
      <c r="O210" s="553">
        <f>$N210/PI()*SQRT('Hilfstabellen_Mat&amp;Bem'!f.Rd.3/'Hilfstabellen_Mat&amp;Bem'!$BD$30)</f>
        <v>0.61024954073404469</v>
      </c>
      <c r="P210" s="553">
        <f>0.5*(1+'Hilfstabellen_Mat&amp;Bem'!$BD$31*($O210-0.3)+$O210^2)</f>
        <v>0.70171472801975843</v>
      </c>
      <c r="Q210" s="550">
        <f t="shared" si="178"/>
        <v>0.95408601382859515</v>
      </c>
      <c r="S210" s="551">
        <f t="shared" si="189"/>
        <v>65492.280333250084</v>
      </c>
      <c r="W210" s="546">
        <f t="shared" si="190"/>
        <v>262</v>
      </c>
      <c r="X210" s="551">
        <f t="shared" si="179"/>
        <v>39.665285669516273</v>
      </c>
      <c r="Y210" s="553">
        <f>$X210/PI()*SQRT('Hilfstabellen_Mat&amp;Bem'!f.Rd.3/'Hilfstabellen_Mat&amp;Bem'!$BD$30)</f>
        <v>0.63129262834556343</v>
      </c>
      <c r="Z210" s="553">
        <f>0.5*(1+'Hilfstabellen_Mat&amp;Bem'!$BD$31*($Y210-0.3)+$Y210^2)</f>
        <v>0.71582982271900297</v>
      </c>
      <c r="AA210" s="550">
        <f t="shared" si="180"/>
        <v>0.94940269918069353</v>
      </c>
      <c r="AC210" s="551">
        <f t="shared" si="191"/>
        <v>65170.798882559524</v>
      </c>
      <c r="AG210" s="546">
        <f t="shared" si="192"/>
        <v>262</v>
      </c>
      <c r="AH210" s="551">
        <f t="shared" si="181"/>
        <v>40.987461858500147</v>
      </c>
      <c r="AI210" s="553">
        <f>$AH210/PI()*SQRT('Hilfstabellen_Mat&amp;Bem'!f.Rd.3/'Hilfstabellen_Mat&amp;Bem'!$BD$30)</f>
        <v>0.65233571595708228</v>
      </c>
      <c r="AJ210" s="553">
        <f>0.5*(1+'Hilfstabellen_Mat&amp;Bem'!$BD$31*($AI210-0.3)+$AI210^2)</f>
        <v>0.73038772895447368</v>
      </c>
      <c r="AK210" s="550">
        <f t="shared" si="182"/>
        <v>0.94437076101168382</v>
      </c>
      <c r="AM210" s="551">
        <f t="shared" si="193"/>
        <v>64825.386518886022</v>
      </c>
      <c r="AQ210" s="546">
        <f t="shared" si="194"/>
        <v>262</v>
      </c>
      <c r="AR210" s="551">
        <f t="shared" si="183"/>
        <v>42.309638047484029</v>
      </c>
      <c r="AS210" s="553">
        <f>$AR210/PI()*SQRT('Hilfstabellen_Mat&amp;Bem'!f.Rd.3/'Hilfstabellen_Mat&amp;Bem'!$BD$30)</f>
        <v>0.67337880356860103</v>
      </c>
      <c r="AT210" s="553">
        <f>0.5*(1+'Hilfstabellen_Mat&amp;Bem'!$BD$31*($AS210-0.3)+$AS210^2)</f>
        <v>0.74538844672617033</v>
      </c>
      <c r="AU210" s="550">
        <f t="shared" si="184"/>
        <v>0.93894868468932358</v>
      </c>
      <c r="AW210" s="551">
        <f t="shared" si="195"/>
        <v>64453.19351181393</v>
      </c>
      <c r="BA210" s="546">
        <f t="shared" si="196"/>
        <v>262</v>
      </c>
      <c r="BB210" s="551">
        <f t="shared" si="197"/>
        <v>43.631814236467903</v>
      </c>
      <c r="BC210" s="553">
        <f>$BB210/PI()*SQRT('Hilfstabellen_Mat&amp;Bem'!f.Rd.3/'Hilfstabellen_Mat&amp;Bem'!$BD$30)</f>
        <v>0.69442189118011988</v>
      </c>
      <c r="BD210" s="553">
        <f>0.5*(1+'Hilfstabellen_Mat&amp;Bem'!$BD$31*($BC210-0.3)+$BC210^2)</f>
        <v>0.76083197603409314</v>
      </c>
      <c r="BE210" s="550">
        <f t="shared" si="198"/>
        <v>0.93309050084719736</v>
      </c>
      <c r="BG210" s="551">
        <f t="shared" si="199"/>
        <v>64051.064340155019</v>
      </c>
      <c r="BK210" s="546">
        <f t="shared" si="200"/>
        <v>262</v>
      </c>
      <c r="BL210" s="551">
        <f t="shared" si="201"/>
        <v>44.953990425451771</v>
      </c>
      <c r="BM210" s="553">
        <f>$BL210/PI()*SQRT('Hilfstabellen_Mat&amp;Bem'!f.Rd.3/'Hilfstabellen_Mat&amp;Bem'!$BD$30)</f>
        <v>0.71546497879163851</v>
      </c>
      <c r="BN210" s="553">
        <f>0.5*(1+'Hilfstabellen_Mat&amp;Bem'!$BD$31*($BM210-0.3)+$BM210^2)</f>
        <v>0.77671831687824167</v>
      </c>
      <c r="BO210" s="550">
        <f t="shared" si="202"/>
        <v>0.92674571513541226</v>
      </c>
      <c r="BQ210" s="551">
        <f t="shared" si="203"/>
        <v>63615.53286975524</v>
      </c>
      <c r="BU210" s="546">
        <f t="shared" si="204"/>
        <v>262</v>
      </c>
      <c r="BV210" s="551">
        <f t="shared" si="205"/>
        <v>46.276166614435645</v>
      </c>
      <c r="BW210" s="553">
        <f>$BV210/PI()*SQRT('Hilfstabellen_Mat&amp;Bem'!f.Rd.3/'Hilfstabellen_Mat&amp;Bem'!$BD$30)</f>
        <v>0.73650806640315736</v>
      </c>
      <c r="BX210" s="553">
        <f>0.5*(1+'Hilfstabellen_Mat&amp;Bem'!$BD$31*($BW210-0.3)+$BW210^2)</f>
        <v>0.79304746925861669</v>
      </c>
      <c r="BY210" s="550">
        <f t="shared" si="206"/>
        <v>0.91985949009545465</v>
      </c>
      <c r="CA210" s="551">
        <f t="shared" si="207"/>
        <v>63142.834838112387</v>
      </c>
      <c r="CE210" s="546">
        <f t="shared" si="208"/>
        <v>262</v>
      </c>
      <c r="CF210" s="551">
        <f t="shared" si="209"/>
        <v>47.598342803419527</v>
      </c>
      <c r="CG210" s="553">
        <f>CF210/PI()*SQRT('Hilfstabellen_Mat&amp;Bem'!f.Rd.3/'Hilfstabellen_Mat&amp;Bem'!$BD$30)</f>
        <v>0.7575511540146761</v>
      </c>
      <c r="CH210" s="553">
        <f>0.5*(1+'Hilfstabellen_Mat&amp;Bem'!$BD$31*(CG210-0.3)+CG210^2)</f>
        <v>0.80981943317521754</v>
      </c>
      <c r="CI210" s="550">
        <f t="shared" si="210"/>
        <v>0.9123732060316827</v>
      </c>
      <c r="CK210" s="551">
        <f t="shared" si="211"/>
        <v>62628.94635483883</v>
      </c>
      <c r="CO210" s="546">
        <f t="shared" si="212"/>
        <v>262</v>
      </c>
      <c r="CP210" s="551">
        <f t="shared" si="213"/>
        <v>48.920518992403402</v>
      </c>
      <c r="CQ210" s="553">
        <f>CP210/PI()*SQRT('Hilfstabellen_Mat&amp;Bem'!f.Rd.3/'Hilfstabellen_Mat&amp;Bem'!$BD$30)</f>
        <v>0.77859424162619495</v>
      </c>
      <c r="CR210" s="553">
        <f>0.5*(1+'Hilfstabellen_Mat&amp;Bem'!$BD$31*(CQ210-0.3)+CQ210^2)</f>
        <v>0.82703420862804466</v>
      </c>
      <c r="CS210" s="550">
        <f t="shared" si="214"/>
        <v>0.90422555652782588</v>
      </c>
      <c r="CU210" s="551">
        <f t="shared" si="215"/>
        <v>62069.659102296078</v>
      </c>
      <c r="CY210" s="546">
        <f t="shared" si="216"/>
        <v>262</v>
      </c>
      <c r="CZ210" s="551">
        <f t="shared" si="217"/>
        <v>50.242695181387276</v>
      </c>
      <c r="DA210" s="553">
        <f>CZ210/PI()*SQRT('Hilfstabellen_Mat&amp;Bem'!f.Rd.3/'Hilfstabellen_Mat&amp;Bem'!$BD$30)</f>
        <v>0.79963732923771369</v>
      </c>
      <c r="DB210" s="553">
        <f>0.5*(1+'Hilfstabellen_Mat&amp;Bem'!$BD$31*(DA210-0.3)+DA210^2)</f>
        <v>0.84469179561709762</v>
      </c>
      <c r="DC210" s="550">
        <f t="shared" si="218"/>
        <v>0.89535435081740955</v>
      </c>
      <c r="DE210" s="551">
        <f t="shared" si="219"/>
        <v>61460.704057510258</v>
      </c>
      <c r="DI210" s="546">
        <f t="shared" si="220"/>
        <v>262</v>
      </c>
      <c r="DJ210" s="551">
        <f t="shared" si="221"/>
        <v>51.564871370371151</v>
      </c>
      <c r="DK210" s="553">
        <f>DJ210/PI()*SQRT('Hilfstabellen_Mat&amp;Bem'!f.Rd.3/'Hilfstabellen_Mat&amp;Bem'!$BD$30)</f>
        <v>0.82068041684923243</v>
      </c>
      <c r="DL210" s="553">
        <f>0.5*(1+'Hilfstabellen_Mat&amp;Bem'!$BD$31*(DK210-0.3)+DK210^2)</f>
        <v>0.86279219414237662</v>
      </c>
      <c r="DM210" s="550">
        <f t="shared" si="222"/>
        <v>0.88569918244709178</v>
      </c>
      <c r="DO210" s="551">
        <f t="shared" si="223"/>
        <v>60797.934679898171</v>
      </c>
      <c r="DS210" s="546">
        <f t="shared" si="224"/>
        <v>262</v>
      </c>
      <c r="DT210" s="551">
        <f t="shared" si="225"/>
        <v>52.887047559355032</v>
      </c>
      <c r="DU210" s="553">
        <f>DT210/PI()*SQRT('Hilfstabellen_Mat&amp;Bem'!f.Rd.3/'Hilfstabellen_Mat&amp;Bem'!$BD$30)</f>
        <v>0.84172350446075128</v>
      </c>
      <c r="DV210" s="553">
        <f>0.5*(1+'Hilfstabellen_Mat&amp;Bem'!$BD$31*(DU210-0.3)+DU210^2)</f>
        <v>0.88133540420388179</v>
      </c>
      <c r="DW210" s="550">
        <f t="shared" si="226"/>
        <v>0.87520505856531106</v>
      </c>
      <c r="DY210" s="551">
        <f t="shared" si="227"/>
        <v>60077.576040157212</v>
      </c>
      <c r="EC210" s="546">
        <f t="shared" si="228"/>
        <v>262</v>
      </c>
      <c r="ED210" s="551">
        <f t="shared" si="229"/>
        <v>54.209223748338907</v>
      </c>
      <c r="EE210" s="553">
        <f>ED210/PI()*SQRT('Hilfstabellen_Mat&amp;Bem'!f.Rd.3/'Hilfstabellen_Mat&amp;Bem'!$BD$30)</f>
        <v>0.86276659207227002</v>
      </c>
      <c r="EF210" s="553">
        <f>0.5*(1+'Hilfstabellen_Mat&amp;Bem'!$BD$31*(EE210-0.3)+EE210^2)</f>
        <v>0.9003214258016129</v>
      </c>
      <c r="EG210" s="550">
        <f t="shared" si="230"/>
        <v>0.86382694376235036</v>
      </c>
      <c r="EI210" s="551">
        <f t="shared" si="231"/>
        <v>59296.536727622777</v>
      </c>
      <c r="EM210" s="546">
        <f t="shared" si="232"/>
        <v>262</v>
      </c>
      <c r="EN210" s="551">
        <f t="shared" si="233"/>
        <v>55.531399937322782</v>
      </c>
      <c r="EO210" s="553">
        <f>EN210/PI()*SQRT('Hilfstabellen_Mat&amp;Bem'!f.Rd.3/'Hilfstabellen_Mat&amp;Bem'!$BD$30)</f>
        <v>0.88380967968378887</v>
      </c>
      <c r="EP210" s="553">
        <f>0.5*(1+'Hilfstabellen_Mat&amp;Bem'!$BD$31*(EO210-0.3)+EO210^2)</f>
        <v>0.91975025893557016</v>
      </c>
      <c r="EQ210" s="550">
        <f t="shared" si="234"/>
        <v>0.85153494752197367</v>
      </c>
      <c r="ES210" s="551">
        <f t="shared" si="235"/>
        <v>58452.764937698361</v>
      </c>
    </row>
    <row r="211" spans="3:149">
      <c r="C211" s="546">
        <v>263</v>
      </c>
      <c r="D211" s="551">
        <f t="shared" si="185"/>
        <v>36.880169286637688</v>
      </c>
      <c r="E211" s="553">
        <f>$D211/PI()*SQRT('Hilfstabellen_Mat&amp;Bem'!f.Rd.3/'Hilfstabellen_Mat&amp;Bem'!$BD$30)</f>
        <v>0.58696612440342877</v>
      </c>
      <c r="F211" s="553">
        <f>0.5*(1+'Hilfstabellen_Mat&amp;Bem'!$BD$31*($E211-0.3)+$E211^2)</f>
        <v>0.68661292181876221</v>
      </c>
      <c r="G211" s="550">
        <f t="shared" si="186"/>
        <v>0.95890652525812781</v>
      </c>
      <c r="I211" s="551">
        <f t="shared" si="187"/>
        <v>66326.605445579436</v>
      </c>
      <c r="M211" s="546">
        <f t="shared" si="188"/>
        <v>263</v>
      </c>
      <c r="N211" s="551">
        <f t="shared" si="177"/>
        <v>38.197318189731895</v>
      </c>
      <c r="O211" s="553">
        <f>$N211/PI()*SQRT('Hilfstabellen_Mat&amp;Bem'!f.Rd.3/'Hilfstabellen_Mat&amp;Bem'!$BD$30)</f>
        <v>0.60792920027497988</v>
      </c>
      <c r="P211" s="553">
        <f>0.5*(1+'Hilfstabellen_Mat&amp;Bem'!$BD$31*($O211-0.3)+$O211^2)</f>
        <v>0.70018541628723718</v>
      </c>
      <c r="Q211" s="550">
        <f t="shared" si="178"/>
        <v>0.95458272907422914</v>
      </c>
      <c r="S211" s="551">
        <f t="shared" si="189"/>
        <v>66027.532787335353</v>
      </c>
      <c r="W211" s="546">
        <f t="shared" si="190"/>
        <v>263</v>
      </c>
      <c r="X211" s="551">
        <f t="shared" si="179"/>
        <v>39.514467092826095</v>
      </c>
      <c r="Y211" s="553">
        <f>$X211/PI()*SQRT('Hilfstabellen_Mat&amp;Bem'!f.Rd.3/'Hilfstabellen_Mat&amp;Bem'!$BD$30)</f>
        <v>0.62889227614653087</v>
      </c>
      <c r="Z211" s="553">
        <f>0.5*(1+'Hilfstabellen_Mat&amp;Bem'!$BD$31*($Y211-0.3)+$Y211^2)</f>
        <v>0.71419736130570877</v>
      </c>
      <c r="AA211" s="550">
        <f t="shared" si="180"/>
        <v>0.94995379698916105</v>
      </c>
      <c r="AC211" s="551">
        <f t="shared" si="191"/>
        <v>65707.354183943287</v>
      </c>
      <c r="AG211" s="546">
        <f t="shared" si="192"/>
        <v>263</v>
      </c>
      <c r="AH211" s="551">
        <f t="shared" si="181"/>
        <v>40.831615995920302</v>
      </c>
      <c r="AI211" s="553">
        <f>$AH211/PI()*SQRT('Hilfstabellen_Mat&amp;Bem'!f.Rd.3/'Hilfstabellen_Mat&amp;Bem'!$BD$30)</f>
        <v>0.64985535201808198</v>
      </c>
      <c r="AJ211" s="553">
        <f>0.5*(1+'Hilfstabellen_Mat&amp;Bem'!$BD$31*($AI211-0.3)+$AI211^2)</f>
        <v>0.72864875687417674</v>
      </c>
      <c r="AK211" s="550">
        <f t="shared" si="182"/>
        <v>0.94498331775431454</v>
      </c>
      <c r="AM211" s="551">
        <f t="shared" si="193"/>
        <v>65363.551105748185</v>
      </c>
      <c r="AQ211" s="546">
        <f t="shared" si="194"/>
        <v>263</v>
      </c>
      <c r="AR211" s="551">
        <f t="shared" si="183"/>
        <v>42.148764899014502</v>
      </c>
      <c r="AS211" s="553">
        <f>$AR211/PI()*SQRT('Hilfstabellen_Mat&amp;Bem'!f.Rd.3/'Hilfstabellen_Mat&amp;Bem'!$BD$30)</f>
        <v>0.67081842788963297</v>
      </c>
      <c r="AT211" s="553">
        <f>0.5*(1+'Hilfstabellen_Mat&amp;Bem'!$BD$31*($AS211-0.3)+$AS211^2)</f>
        <v>0.74353960299264099</v>
      </c>
      <c r="AU211" s="550">
        <f t="shared" si="184"/>
        <v>0.93963074715707129</v>
      </c>
      <c r="AW211" s="551">
        <f t="shared" si="195"/>
        <v>64993.319150107462</v>
      </c>
      <c r="BA211" s="546">
        <f t="shared" si="196"/>
        <v>263</v>
      </c>
      <c r="BB211" s="551">
        <f t="shared" si="197"/>
        <v>43.465913802108702</v>
      </c>
      <c r="BC211" s="553">
        <f>$BB211/PI()*SQRT('Hilfstabellen_Mat&amp;Bem'!f.Rd.3/'Hilfstabellen_Mat&amp;Bem'!$BD$30)</f>
        <v>0.69178150376118397</v>
      </c>
      <c r="BD211" s="553">
        <f>0.5*(1+'Hilfstabellen_Mat&amp;Bem'!$BD$31*($BC211-0.3)+$BC211^2)</f>
        <v>0.75886989966110163</v>
      </c>
      <c r="BE211" s="550">
        <f t="shared" si="198"/>
        <v>0.93385117324858402</v>
      </c>
      <c r="BG211" s="551">
        <f t="shared" si="199"/>
        <v>64593.551802431306</v>
      </c>
      <c r="BK211" s="546">
        <f t="shared" si="200"/>
        <v>263</v>
      </c>
      <c r="BL211" s="551">
        <f t="shared" si="201"/>
        <v>44.783062705202909</v>
      </c>
      <c r="BM211" s="553">
        <f>$BL211/PI()*SQRT('Hilfstabellen_Mat&amp;Bem'!f.Rd.3/'Hilfstabellen_Mat&amp;Bem'!$BD$30)</f>
        <v>0.71274457963273496</v>
      </c>
      <c r="BN211" s="553">
        <f>0.5*(1+'Hilfstabellen_Mat&amp;Bem'!$BD$31*($BM211-0.3)+$BM211^2)</f>
        <v>0.77463964687955889</v>
      </c>
      <c r="BO211" s="550">
        <f t="shared" si="202"/>
        <v>0.92759522455253252</v>
      </c>
      <c r="BQ211" s="551">
        <f t="shared" si="203"/>
        <v>64160.834087074123</v>
      </c>
      <c r="BU211" s="546">
        <f t="shared" si="204"/>
        <v>263</v>
      </c>
      <c r="BV211" s="551">
        <f t="shared" si="205"/>
        <v>46.100211608297109</v>
      </c>
      <c r="BW211" s="553">
        <f>$BV211/PI()*SQRT('Hilfstabellen_Mat&amp;Bem'!f.Rd.3/'Hilfstabellen_Mat&amp;Bem'!$BD$30)</f>
        <v>0.73370765550428596</v>
      </c>
      <c r="BX211" s="553">
        <f>0.5*(1+'Hilfstabellen_Mat&amp;Bem'!$BD$31*($BW211-0.3)+$BW211^2)</f>
        <v>0.79084884464801219</v>
      </c>
      <c r="BY211" s="550">
        <f t="shared" si="206"/>
        <v>0.92080921162896956</v>
      </c>
      <c r="CA211" s="551">
        <f t="shared" si="207"/>
        <v>63691.452359164192</v>
      </c>
      <c r="CE211" s="546">
        <f t="shared" si="208"/>
        <v>263</v>
      </c>
      <c r="CF211" s="551">
        <f t="shared" si="209"/>
        <v>47.417360511391315</v>
      </c>
      <c r="CG211" s="553">
        <f>CF211/PI()*SQRT('Hilfstabellen_Mat&amp;Bem'!f.Rd.3/'Hilfstabellen_Mat&amp;Bem'!$BD$30)</f>
        <v>0.75467073137583707</v>
      </c>
      <c r="CH211" s="553">
        <f>0.5*(1+'Hilfstabellen_Mat&amp;Bem'!$BD$31*(CG211-0.3)+CG211^2)</f>
        <v>0.80749749296646223</v>
      </c>
      <c r="CI211" s="550">
        <f t="shared" si="210"/>
        <v>0.91343562180154669</v>
      </c>
      <c r="CK211" s="551">
        <f t="shared" si="211"/>
        <v>63181.42852439118</v>
      </c>
      <c r="CO211" s="546">
        <f t="shared" si="212"/>
        <v>263</v>
      </c>
      <c r="CP211" s="551">
        <f t="shared" si="213"/>
        <v>48.734509414485515</v>
      </c>
      <c r="CQ211" s="553">
        <f>CP211/PI()*SQRT('Hilfstabellen_Mat&amp;Bem'!f.Rd.3/'Hilfstabellen_Mat&amp;Bem'!$BD$30)</f>
        <v>0.77563380724738806</v>
      </c>
      <c r="CR211" s="553">
        <f>0.5*(1+'Hilfstabellen_Mat&amp;Bem'!$BD$31*(CQ211-0.3)+CQ211^2)</f>
        <v>0.82458559183490854</v>
      </c>
      <c r="CS211" s="550">
        <f t="shared" si="214"/>
        <v>0.9054141154419193</v>
      </c>
      <c r="CU211" s="551">
        <f t="shared" si="215"/>
        <v>62626.588951002115</v>
      </c>
      <c r="CY211" s="546">
        <f t="shared" si="216"/>
        <v>263</v>
      </c>
      <c r="CZ211" s="551">
        <f t="shared" si="217"/>
        <v>50.051658317579722</v>
      </c>
      <c r="DA211" s="553">
        <f>CZ211/PI()*SQRT('Hilfstabellen_Mat&amp;Bem'!f.Rd.3/'Hilfstabellen_Mat&amp;Bem'!$BD$30)</f>
        <v>0.79659688311893917</v>
      </c>
      <c r="DB211" s="553">
        <f>0.5*(1+'Hilfstabellen_Mat&amp;Bem'!$BD$31*(DA211-0.3)+DA211^2)</f>
        <v>0.84211314125335135</v>
      </c>
      <c r="DC211" s="550">
        <f t="shared" si="218"/>
        <v>0.89668319063064628</v>
      </c>
      <c r="DE211" s="551">
        <f t="shared" si="219"/>
        <v>62022.679612731175</v>
      </c>
      <c r="DI211" s="546">
        <f t="shared" si="220"/>
        <v>263</v>
      </c>
      <c r="DJ211" s="551">
        <f t="shared" si="221"/>
        <v>51.368807220673922</v>
      </c>
      <c r="DK211" s="553">
        <f>DJ211/PI()*SQRT('Hilfstabellen_Mat&amp;Bem'!f.Rd.3/'Hilfstabellen_Mat&amp;Bem'!$BD$30)</f>
        <v>0.81755995899049005</v>
      </c>
      <c r="DL211" s="553">
        <f>0.5*(1+'Hilfstabellen_Mat&amp;Bem'!$BD$31*(DK211-0.3)+DK211^2)</f>
        <v>0.86008014122179044</v>
      </c>
      <c r="DM211" s="550">
        <f t="shared" si="222"/>
        <v>0.88718267566263764</v>
      </c>
      <c r="DO211" s="551">
        <f t="shared" si="223"/>
        <v>61365.538492908985</v>
      </c>
      <c r="DS211" s="546">
        <f t="shared" si="224"/>
        <v>263</v>
      </c>
      <c r="DT211" s="551">
        <f t="shared" si="225"/>
        <v>52.685956123768129</v>
      </c>
      <c r="DU211" s="553">
        <f>DT211/PI()*SQRT('Hilfstabellen_Mat&amp;Bem'!f.Rd.3/'Hilfstabellen_Mat&amp;Bem'!$BD$30)</f>
        <v>0.83852303486204116</v>
      </c>
      <c r="DV211" s="553">
        <f>0.5*(1+'Hilfstabellen_Mat&amp;Bem'!$BD$31*(DU211-0.3)+DU211^2)</f>
        <v>0.87848659174022603</v>
      </c>
      <c r="DW211" s="550">
        <f t="shared" si="226"/>
        <v>0.87685715414146193</v>
      </c>
      <c r="DY211" s="551">
        <f t="shared" si="227"/>
        <v>60651.332494810777</v>
      </c>
      <c r="EC211" s="546">
        <f t="shared" si="228"/>
        <v>263</v>
      </c>
      <c r="ED211" s="551">
        <f t="shared" si="229"/>
        <v>54.003105026862329</v>
      </c>
      <c r="EE211" s="553">
        <f>ED211/PI()*SQRT('Hilfstabellen_Mat&amp;Bem'!f.Rd.3/'Hilfstabellen_Mat&amp;Bem'!$BD$30)</f>
        <v>0.85948611073359216</v>
      </c>
      <c r="EF211" s="553">
        <f>0.5*(1+'Hilfstabellen_Mat&amp;Bem'!$BD$31*(EE211-0.3)+EE211^2)</f>
        <v>0.8973324928086579</v>
      </c>
      <c r="EG211" s="550">
        <f t="shared" si="230"/>
        <v>0.8656603025632118</v>
      </c>
      <c r="EI211" s="551">
        <f t="shared" si="231"/>
        <v>59876.8574679948</v>
      </c>
      <c r="EM211" s="546">
        <f t="shared" si="232"/>
        <v>263</v>
      </c>
      <c r="EN211" s="551">
        <f t="shared" si="233"/>
        <v>55.320253929956536</v>
      </c>
      <c r="EO211" s="553">
        <f>EN211/PI()*SQRT('Hilfstabellen_Mat&amp;Bem'!f.Rd.3/'Hilfstabellen_Mat&amp;Bem'!$BD$30)</f>
        <v>0.88044918660514326</v>
      </c>
      <c r="EP211" s="553">
        <f>0.5*(1+'Hilfstabellen_Mat&amp;Bem'!$BD$31*(EO211-0.3)+EO211^2)</f>
        <v>0.91661784442708627</v>
      </c>
      <c r="EQ211" s="550">
        <f t="shared" si="234"/>
        <v>0.85355991348268934</v>
      </c>
      <c r="ES211" s="551">
        <f t="shared" si="235"/>
        <v>59039.885655684142</v>
      </c>
    </row>
    <row r="212" spans="3:149">
      <c r="C212" s="546">
        <v>264</v>
      </c>
      <c r="D212" s="551">
        <f t="shared" si="185"/>
        <v>36.740471675703454</v>
      </c>
      <c r="E212" s="553">
        <f>$D212/PI()*SQRT('Hilfstabellen_Mat&amp;Bem'!f.Rd.3/'Hilfstabellen_Mat&amp;Bem'!$BD$30)</f>
        <v>0.58474276787159762</v>
      </c>
      <c r="F212" s="553">
        <f>0.5*(1+'Hilfstabellen_Mat&amp;Bem'!$BD$31*($E212-0.3)+$E212^2)</f>
        <v>0.68519919068264845</v>
      </c>
      <c r="G212" s="550">
        <f t="shared" si="186"/>
        <v>0.95934858724090655</v>
      </c>
      <c r="I212" s="551">
        <f t="shared" si="187"/>
        <v>66862.759136342225</v>
      </c>
      <c r="M212" s="546">
        <f t="shared" si="188"/>
        <v>264</v>
      </c>
      <c r="N212" s="551">
        <f t="shared" si="177"/>
        <v>38.052631378407149</v>
      </c>
      <c r="O212" s="553">
        <f>$N212/PI()*SQRT('Hilfstabellen_Mat&amp;Bem'!f.Rd.3/'Hilfstabellen_Mat&amp;Bem'!$BD$30)</f>
        <v>0.6056264381527261</v>
      </c>
      <c r="P212" s="553">
        <f>0.5*(1+'Hilfstabellen_Mat&amp;Bem'!$BD$31*($O212-0.3)+$O212^2)</f>
        <v>0.69867301320241526</v>
      </c>
      <c r="Q212" s="550">
        <f t="shared" si="178"/>
        <v>0.95507198898853574</v>
      </c>
      <c r="S212" s="551">
        <f t="shared" si="189"/>
        <v>66564.697344544984</v>
      </c>
      <c r="W212" s="546">
        <f t="shared" si="190"/>
        <v>264</v>
      </c>
      <c r="X212" s="551">
        <f t="shared" si="179"/>
        <v>39.364791081110845</v>
      </c>
      <c r="Y212" s="553">
        <f>$X212/PI()*SQRT('Hilfstabellen_Mat&amp;Bem'!f.Rd.3/'Hilfstabellen_Mat&amp;Bem'!$BD$30)</f>
        <v>0.62651010843385457</v>
      </c>
      <c r="Z212" s="553">
        <f>0.5*(1+'Hilfstabellen_Mat&amp;Bem'!$BD$31*($Y212-0.3)+$Y212^2)</f>
        <v>0.71258296340659288</v>
      </c>
      <c r="AA212" s="550">
        <f t="shared" si="180"/>
        <v>0.95049629677885661</v>
      </c>
      <c r="AC212" s="551">
        <f t="shared" si="191"/>
        <v>66245.789900299191</v>
      </c>
      <c r="AG212" s="546">
        <f t="shared" si="192"/>
        <v>264</v>
      </c>
      <c r="AH212" s="551">
        <f t="shared" si="181"/>
        <v>40.67695078381454</v>
      </c>
      <c r="AI212" s="553">
        <f>$AH212/PI()*SQRT('Hilfstabellen_Mat&amp;Bem'!f.Rd.3/'Hilfstabellen_Mat&amp;Bem'!$BD$30)</f>
        <v>0.64739377871498316</v>
      </c>
      <c r="AJ212" s="553">
        <f>0.5*(1+'Hilfstabellen_Mat&amp;Bem'!$BD$31*($AI212-0.3)+$AI212^2)</f>
        <v>0.72692904129518143</v>
      </c>
      <c r="AK212" s="550">
        <f t="shared" si="182"/>
        <v>0.94558595017060776</v>
      </c>
      <c r="AM212" s="551">
        <f t="shared" si="193"/>
        <v>65903.558383090683</v>
      </c>
      <c r="AQ212" s="546">
        <f t="shared" si="194"/>
        <v>264</v>
      </c>
      <c r="AR212" s="551">
        <f t="shared" si="183"/>
        <v>41.989110486518236</v>
      </c>
      <c r="AS212" s="553">
        <f>$AR212/PI()*SQRT('Hilfstabellen_Mat&amp;Bem'!f.Rd.3/'Hilfstabellen_Mat&amp;Bem'!$BD$30)</f>
        <v>0.66827744899611163</v>
      </c>
      <c r="AT212" s="553">
        <f>0.5*(1+'Hilfstabellen_Mat&amp;Bem'!$BD$31*($AS212-0.3)+$AS212^2)</f>
        <v>0.74171124686818091</v>
      </c>
      <c r="AU212" s="550">
        <f t="shared" si="184"/>
        <v>0.94030135006741433</v>
      </c>
      <c r="AW212" s="551">
        <f t="shared" si="195"/>
        <v>65535.242894298506</v>
      </c>
      <c r="BA212" s="546">
        <f t="shared" si="196"/>
        <v>264</v>
      </c>
      <c r="BB212" s="551">
        <f t="shared" si="197"/>
        <v>43.301270189221931</v>
      </c>
      <c r="BC212" s="553">
        <f>$BB212/PI()*SQRT('Hilfstabellen_Mat&amp;Bem'!f.Rd.3/'Hilfstabellen_Mat&amp;Bem'!$BD$30)</f>
        <v>0.68916111927724011</v>
      </c>
      <c r="BD212" s="553">
        <f>0.5*(1+'Hilfstabellen_Mat&amp;Bem'!$BD$31*($BC212-0.3)+$BC212^2)</f>
        <v>0.75692958012559108</v>
      </c>
      <c r="BE212" s="550">
        <f t="shared" si="198"/>
        <v>0.9345986165714808</v>
      </c>
      <c r="BG212" s="551">
        <f t="shared" si="199"/>
        <v>65137.785180565923</v>
      </c>
      <c r="BK212" s="546">
        <f t="shared" si="200"/>
        <v>264</v>
      </c>
      <c r="BL212" s="551">
        <f t="shared" si="201"/>
        <v>44.613429891925627</v>
      </c>
      <c r="BM212" s="553">
        <f>$BL212/PI()*SQRT('Hilfstabellen_Mat&amp;Bem'!f.Rd.3/'Hilfstabellen_Mat&amp;Bem'!$BD$30)</f>
        <v>0.71004478955836858</v>
      </c>
      <c r="BN212" s="553">
        <f>0.5*(1+'Hilfstabellen_Mat&amp;Bem'!$BD$31*($BM212-0.3)+$BM212^2)</f>
        <v>0.7725840410674123</v>
      </c>
      <c r="BO212" s="550">
        <f t="shared" si="202"/>
        <v>0.92842947792389041</v>
      </c>
      <c r="BQ212" s="551">
        <f t="shared" si="203"/>
        <v>64707.820893383469</v>
      </c>
      <c r="BU212" s="546">
        <f t="shared" si="204"/>
        <v>264</v>
      </c>
      <c r="BV212" s="551">
        <f t="shared" si="205"/>
        <v>45.925589594629322</v>
      </c>
      <c r="BW212" s="553">
        <f>$BV212/PI()*SQRT('Hilfstabellen_Mat&amp;Bem'!f.Rd.3/'Hilfstabellen_Mat&amp;Bem'!$BD$30)</f>
        <v>0.73092845983949717</v>
      </c>
      <c r="BX212" s="553">
        <f>0.5*(1+'Hilfstabellen_Mat&amp;Bem'!$BD$31*($BW212-0.3)+$BW212^2)</f>
        <v>0.78867462969364455</v>
      </c>
      <c r="BY212" s="550">
        <f t="shared" si="206"/>
        <v>0.92174137529662459</v>
      </c>
      <c r="CA212" s="551">
        <f t="shared" si="207"/>
        <v>64241.686892673548</v>
      </c>
      <c r="CE212" s="546">
        <f t="shared" si="208"/>
        <v>264</v>
      </c>
      <c r="CF212" s="551">
        <f t="shared" si="209"/>
        <v>47.237749297333018</v>
      </c>
      <c r="CG212" s="553">
        <f>CF212/PI()*SQRT('Hilfstabellen_Mat&amp;Bem'!f.Rd.3/'Hilfstabellen_Mat&amp;Bem'!$BD$30)</f>
        <v>0.75181213012062553</v>
      </c>
      <c r="CH212" s="553">
        <f>0.5*(1+'Hilfstabellen_Mat&amp;Bem'!$BD$31*(CG212-0.3)+CG212^2)</f>
        <v>0.8052013460042875</v>
      </c>
      <c r="CI212" s="550">
        <f t="shared" si="210"/>
        <v>0.91447789649307298</v>
      </c>
      <c r="CK212" s="551">
        <f t="shared" si="211"/>
        <v>63735.451473981215</v>
      </c>
      <c r="CO212" s="546">
        <f t="shared" si="212"/>
        <v>264</v>
      </c>
      <c r="CP212" s="551">
        <f t="shared" si="213"/>
        <v>48.549909000036713</v>
      </c>
      <c r="CQ212" s="553">
        <f>CP212/PI()*SQRT('Hilfstabellen_Mat&amp;Bem'!f.Rd.3/'Hilfstabellen_Mat&amp;Bem'!$BD$30)</f>
        <v>0.77269580040175412</v>
      </c>
      <c r="CR212" s="553">
        <f>0.5*(1+'Hilfstabellen_Mat&amp;Bem'!$BD$31*(CQ212-0.3)+CQ212^2)</f>
        <v>0.82216418999934149</v>
      </c>
      <c r="CS212" s="550">
        <f t="shared" si="214"/>
        <v>0.90657967984951016</v>
      </c>
      <c r="CU212" s="551">
        <f t="shared" si="215"/>
        <v>63184.977366791463</v>
      </c>
      <c r="CY212" s="546">
        <f t="shared" si="216"/>
        <v>264</v>
      </c>
      <c r="CZ212" s="551">
        <f t="shared" si="217"/>
        <v>49.862068702740409</v>
      </c>
      <c r="DA212" s="553">
        <f>CZ212/PI()*SQRT('Hilfstabellen_Mat&amp;Bem'!f.Rd.3/'Hilfstabellen_Mat&amp;Bem'!$BD$30)</f>
        <v>0.79357947068288259</v>
      </c>
      <c r="DB212" s="553">
        <f>0.5*(1+'Hilfstabellen_Mat&amp;Bem'!$BD$31*(DA212-0.3)+DA212^2)</f>
        <v>0.83956316167880618</v>
      </c>
      <c r="DC212" s="550">
        <f t="shared" si="218"/>
        <v>0.89798594952194499</v>
      </c>
      <c r="DE212" s="551">
        <f t="shared" si="219"/>
        <v>62586.028737881476</v>
      </c>
      <c r="DI212" s="546">
        <f t="shared" si="220"/>
        <v>264</v>
      </c>
      <c r="DJ212" s="551">
        <f t="shared" si="221"/>
        <v>51.174228405444104</v>
      </c>
      <c r="DK212" s="553">
        <f>DJ212/PI()*SQRT('Hilfstabellen_Mat&amp;Bem'!f.Rd.3/'Hilfstabellen_Mat&amp;Bem'!$BD$30)</f>
        <v>0.81446314096401107</v>
      </c>
      <c r="DL212" s="553">
        <f>0.5*(1+'Hilfstabellen_Mat&amp;Bem'!$BD$31*(DK212-0.3)+DK212^2)</f>
        <v>0.85739826104268191</v>
      </c>
      <c r="DM212" s="550">
        <f t="shared" si="222"/>
        <v>0.88863684067963389</v>
      </c>
      <c r="DO212" s="551">
        <f t="shared" si="223"/>
        <v>61934.433248007765</v>
      </c>
      <c r="DS212" s="546">
        <f t="shared" si="224"/>
        <v>264</v>
      </c>
      <c r="DT212" s="551">
        <f t="shared" si="225"/>
        <v>52.4863881081478</v>
      </c>
      <c r="DU212" s="553">
        <f>DT212/PI()*SQRT('Hilfstabellen_Mat&amp;Bem'!f.Rd.3/'Hilfstabellen_Mat&amp;Bem'!$BD$30)</f>
        <v>0.83534681124513954</v>
      </c>
      <c r="DV212" s="553">
        <f>0.5*(1+'Hilfstabellen_Mat&amp;Bem'!$BD$31*(DU212-0.3)+DU212^2)</f>
        <v>0.87566948809096834</v>
      </c>
      <c r="DW212" s="550">
        <f t="shared" si="226"/>
        <v>0.87847662772594404</v>
      </c>
      <c r="DY212" s="551">
        <f t="shared" si="227"/>
        <v>61226.307045987392</v>
      </c>
      <c r="EC212" s="546">
        <f t="shared" si="228"/>
        <v>264</v>
      </c>
      <c r="ED212" s="551">
        <f t="shared" si="229"/>
        <v>53.798547810851488</v>
      </c>
      <c r="EE212" s="553">
        <f>ED212/PI()*SQRT('Hilfstabellen_Mat&amp;Bem'!f.Rd.3/'Hilfstabellen_Mat&amp;Bem'!$BD$30)</f>
        <v>0.85623048152626802</v>
      </c>
      <c r="EF212" s="553">
        <f>0.5*(1+'Hilfstabellen_Mat&amp;Bem'!$BD$31*(EE212-0.3)+EE212^2)</f>
        <v>0.89437684282366581</v>
      </c>
      <c r="EG212" s="550">
        <f t="shared" si="230"/>
        <v>0.86745785823786647</v>
      </c>
      <c r="EI212" s="551">
        <f t="shared" si="231"/>
        <v>60458.342887746345</v>
      </c>
      <c r="EM212" s="546">
        <f t="shared" si="232"/>
        <v>264</v>
      </c>
      <c r="EN212" s="551">
        <f t="shared" si="233"/>
        <v>55.110707513555184</v>
      </c>
      <c r="EO212" s="553">
        <f>EN212/PI()*SQRT('Hilfstabellen_Mat&amp;Bem'!f.Rd.3/'Hilfstabellen_Mat&amp;Bem'!$BD$30)</f>
        <v>0.87711415180739649</v>
      </c>
      <c r="EP212" s="553">
        <f>0.5*(1+'Hilfstabellen_Mat&amp;Bem'!$BD$31*(EO212-0.3)+EO212^2)</f>
        <v>0.91352032524077409</v>
      </c>
      <c r="EQ212" s="550">
        <f t="shared" si="234"/>
        <v>0.85554620593872366</v>
      </c>
      <c r="ES212" s="551">
        <f t="shared" si="235"/>
        <v>59628.148369105285</v>
      </c>
    </row>
    <row r="213" spans="3:149">
      <c r="C213" s="546">
        <v>265</v>
      </c>
      <c r="D213" s="551">
        <f t="shared" si="185"/>
        <v>36.601828386361177</v>
      </c>
      <c r="E213" s="553">
        <f>$D213/PI()*SQRT('Hilfstabellen_Mat&amp;Bem'!f.Rd.3/'Hilfstabellen_Mat&amp;Bem'!$BD$30)</f>
        <v>0.58253619138906332</v>
      </c>
      <c r="F213" s="553">
        <f>0.5*(1+'Hilfstabellen_Mat&amp;Bem'!$BD$31*($E213-0.3)+$E213^2)</f>
        <v>0.68380101670849081</v>
      </c>
      <c r="G213" s="550">
        <f t="shared" si="186"/>
        <v>0.95978432088243359</v>
      </c>
      <c r="I213" s="551">
        <f t="shared" si="187"/>
        <v>67400.853933968901</v>
      </c>
      <c r="M213" s="546">
        <f t="shared" si="188"/>
        <v>265</v>
      </c>
      <c r="N213" s="551">
        <f t="shared" si="177"/>
        <v>37.909036543016938</v>
      </c>
      <c r="O213" s="553">
        <f>$N213/PI()*SQRT('Hilfstabellen_Mat&amp;Bem'!f.Rd.3/'Hilfstabellen_Mat&amp;Bem'!$BD$30)</f>
        <v>0.60334105536724425</v>
      </c>
      <c r="P213" s="553">
        <f>0.5*(1+'Hilfstabellen_Mat&amp;Bem'!$BD$31*($O213-0.3)+$O213^2)</f>
        <v>0.69717726731419227</v>
      </c>
      <c r="Q213" s="550">
        <f t="shared" si="178"/>
        <v>0.95555396444765184</v>
      </c>
      <c r="S213" s="551">
        <f t="shared" si="189"/>
        <v>67103.777153336356</v>
      </c>
      <c r="W213" s="546">
        <f t="shared" si="190"/>
        <v>265</v>
      </c>
      <c r="X213" s="551">
        <f t="shared" si="179"/>
        <v>39.216244699672686</v>
      </c>
      <c r="Y213" s="553">
        <f>$X213/PI()*SQRT('Hilfstabellen_Mat&amp;Bem'!f.Rd.3/'Hilfstabellen_Mat&amp;Bem'!$BD$30)</f>
        <v>0.62414591934542496</v>
      </c>
      <c r="Z213" s="553">
        <f>0.5*(1+'Hilfstabellen_Mat&amp;Bem'!$BD$31*($Y213-0.3)+$Y213^2)</f>
        <v>0.71098636028504414</v>
      </c>
      <c r="AA213" s="550">
        <f t="shared" si="180"/>
        <v>0.95103040115404447</v>
      </c>
      <c r="AC213" s="551">
        <f t="shared" si="191"/>
        <v>66786.109921042778</v>
      </c>
      <c r="AG213" s="546">
        <f t="shared" si="192"/>
        <v>265</v>
      </c>
      <c r="AH213" s="551">
        <f t="shared" si="181"/>
        <v>40.523452856328447</v>
      </c>
      <c r="AI213" s="553">
        <f>$AH213/PI()*SQRT('Hilfstabellen_Mat&amp;Bem'!f.Rd.3/'Hilfstabellen_Mat&amp;Bem'!$BD$30)</f>
        <v>0.64495078332360578</v>
      </c>
      <c r="AJ213" s="553">
        <f>0.5*(1+'Hilfstabellen_Mat&amp;Bem'!$BD$31*($AI213-0.3)+$AI213^2)</f>
        <v>0.72522829562104663</v>
      </c>
      <c r="AK213" s="550">
        <f t="shared" si="182"/>
        <v>0.94617889812244893</v>
      </c>
      <c r="AM213" s="551">
        <f t="shared" si="193"/>
        <v>66445.413120648969</v>
      </c>
      <c r="AQ213" s="546">
        <f t="shared" si="194"/>
        <v>265</v>
      </c>
      <c r="AR213" s="551">
        <f t="shared" si="183"/>
        <v>41.830661012984208</v>
      </c>
      <c r="AS213" s="553">
        <f>$AR213/PI()*SQRT('Hilfstabellen_Mat&amp;Bem'!f.Rd.3/'Hilfstabellen_Mat&amp;Bem'!$BD$30)</f>
        <v>0.66575564730178671</v>
      </c>
      <c r="AT213" s="553">
        <f>0.5*(1+'Hilfstabellen_Mat&amp;Bem'!$BD$31*($AS213-0.3)+$AS213^2)</f>
        <v>0.73990307332219984</v>
      </c>
      <c r="AU213" s="550">
        <f t="shared" si="184"/>
        <v>0.94096077665007505</v>
      </c>
      <c r="AW213" s="551">
        <f t="shared" si="195"/>
        <v>66078.970540251525</v>
      </c>
      <c r="BA213" s="546">
        <f t="shared" si="196"/>
        <v>265</v>
      </c>
      <c r="BB213" s="551">
        <f t="shared" si="197"/>
        <v>43.137869169639963</v>
      </c>
      <c r="BC213" s="553">
        <f>$BB213/PI()*SQRT('Hilfstabellen_Mat&amp;Bem'!f.Rd.3/'Hilfstabellen_Mat&amp;Bem'!$BD$30)</f>
        <v>0.68656051127996753</v>
      </c>
      <c r="BD213" s="553">
        <f>0.5*(1+'Hilfstabellen_Mat&amp;Bem'!$BD$31*($BC213-0.3)+$BC213^2)</f>
        <v>0.75501069338850357</v>
      </c>
      <c r="BE213" s="550">
        <f t="shared" si="198"/>
        <v>0.93533316390952903</v>
      </c>
      <c r="BG213" s="551">
        <f t="shared" si="199"/>
        <v>65683.771435546674</v>
      </c>
      <c r="BK213" s="546">
        <f t="shared" si="200"/>
        <v>265</v>
      </c>
      <c r="BL213" s="551">
        <f t="shared" si="201"/>
        <v>44.445077326295717</v>
      </c>
      <c r="BM213" s="553">
        <f>$BL213/PI()*SQRT('Hilfstabellen_Mat&amp;Bem'!f.Rd.3/'Hilfstabellen_Mat&amp;Bem'!$BD$30)</f>
        <v>0.70736537525814835</v>
      </c>
      <c r="BN213" s="553">
        <f>0.5*(1+'Hilfstabellen_Mat&amp;Bem'!$BD$31*($BM213-0.3)+$BM213^2)</f>
        <v>0.77055115581995792</v>
      </c>
      <c r="BO213" s="550">
        <f t="shared" si="202"/>
        <v>0.92924886470909773</v>
      </c>
      <c r="BQ213" s="551">
        <f t="shared" si="203"/>
        <v>65256.501524196385</v>
      </c>
      <c r="BU213" s="546">
        <f t="shared" si="204"/>
        <v>265</v>
      </c>
      <c r="BV213" s="551">
        <f t="shared" si="205"/>
        <v>45.752285482951471</v>
      </c>
      <c r="BW213" s="553">
        <f>$BV213/PI()*SQRT('Hilfstabellen_Mat&amp;Bem'!f.Rd.3/'Hilfstabellen_Mat&amp;Bem'!$BD$30)</f>
        <v>0.72817023923632906</v>
      </c>
      <c r="BX213" s="553">
        <f>0.5*(1+'Hilfstabellen_Mat&amp;Bem'!$BD$31*($BW213-0.3)+$BW213^2)</f>
        <v>0.78652446061656289</v>
      </c>
      <c r="BY213" s="550">
        <f t="shared" si="206"/>
        <v>0.92265643278932352</v>
      </c>
      <c r="CA213" s="551">
        <f t="shared" si="207"/>
        <v>64793.547992630243</v>
      </c>
      <c r="CE213" s="546">
        <f t="shared" si="208"/>
        <v>265</v>
      </c>
      <c r="CF213" s="551">
        <f t="shared" si="209"/>
        <v>47.059493639607233</v>
      </c>
      <c r="CG213" s="553">
        <f>CF213/PI()*SQRT('Hilfstabellen_Mat&amp;Bem'!f.Rd.3/'Hilfstabellen_Mat&amp;Bem'!$BD$30)</f>
        <v>0.74897510321451</v>
      </c>
      <c r="CH213" s="553">
        <f>0.5*(1+'Hilfstabellen_Mat&amp;Bem'!$BD$31*(CG213-0.3)+CG213^2)</f>
        <v>0.80293060777831848</v>
      </c>
      <c r="CI213" s="550">
        <f t="shared" si="210"/>
        <v>0.91550054827148197</v>
      </c>
      <c r="CK213" s="551">
        <f t="shared" si="211"/>
        <v>64291.026002364822</v>
      </c>
      <c r="CO213" s="546">
        <f t="shared" si="212"/>
        <v>265</v>
      </c>
      <c r="CP213" s="551">
        <f t="shared" si="213"/>
        <v>48.366701796262987</v>
      </c>
      <c r="CQ213" s="553">
        <f>CP213/PI()*SQRT('Hilfstabellen_Mat&amp;Bem'!f.Rd.3/'Hilfstabellen_Mat&amp;Bem'!$BD$30)</f>
        <v>0.76977996719269082</v>
      </c>
      <c r="CR213" s="553">
        <f>0.5*(1+'Hilfstabellen_Mat&amp;Bem'!$BD$31*(CQ213-0.3)+CQ213^2)</f>
        <v>0.81976959730522458</v>
      </c>
      <c r="CS213" s="550">
        <f t="shared" si="214"/>
        <v>0.90772283562793621</v>
      </c>
      <c r="CU213" s="551">
        <f t="shared" si="215"/>
        <v>63744.836131971817</v>
      </c>
      <c r="CY213" s="546">
        <f t="shared" si="216"/>
        <v>265</v>
      </c>
      <c r="CZ213" s="551">
        <f t="shared" si="217"/>
        <v>49.673909952918741</v>
      </c>
      <c r="DA213" s="553">
        <f>CZ213/PI()*SQRT('Hilfstabellen_Mat&amp;Bem'!f.Rd.3/'Hilfstabellen_Mat&amp;Bem'!$BD$30)</f>
        <v>0.79058483117087164</v>
      </c>
      <c r="DB213" s="553">
        <f>0.5*(1+'Hilfstabellen_Mat&amp;Bem'!$BD$31*(DA213-0.3)+DA213^2)</f>
        <v>0.83704142919728142</v>
      </c>
      <c r="DC213" s="550">
        <f t="shared" si="218"/>
        <v>0.89926327755451463</v>
      </c>
      <c r="DE213" s="551">
        <f t="shared" si="219"/>
        <v>63150.76366626579</v>
      </c>
      <c r="DI213" s="546">
        <f t="shared" si="220"/>
        <v>265</v>
      </c>
      <c r="DJ213" s="551">
        <f t="shared" si="221"/>
        <v>50.981118109574496</v>
      </c>
      <c r="DK213" s="553">
        <f>DJ213/PI()*SQRT('Hilfstabellen_Mat&amp;Bem'!f.Rd.3/'Hilfstabellen_Mat&amp;Bem'!$BD$30)</f>
        <v>0.81138969514905246</v>
      </c>
      <c r="DL213" s="553">
        <f>0.5*(1+'Hilfstabellen_Mat&amp;Bem'!$BD$31*(DK213-0.3)+DK213^2)</f>
        <v>0.85474610345448876</v>
      </c>
      <c r="DM213" s="550">
        <f t="shared" si="222"/>
        <v>0.8900623814923927</v>
      </c>
      <c r="DO213" s="551">
        <f t="shared" si="223"/>
        <v>62504.630740303277</v>
      </c>
      <c r="DS213" s="546">
        <f t="shared" si="224"/>
        <v>265</v>
      </c>
      <c r="DT213" s="551">
        <f t="shared" si="225"/>
        <v>52.288326266230257</v>
      </c>
      <c r="DU213" s="553">
        <f>DT213/PI()*SQRT('Hilfstabellen_Mat&amp;Bem'!f.Rd.3/'Hilfstabellen_Mat&amp;Bem'!$BD$30)</f>
        <v>0.83219455912723339</v>
      </c>
      <c r="DV213" s="553">
        <f>0.5*(1+'Hilfstabellen_Mat&amp;Bem'!$BD$31*(DU213-0.3)+DU213^2)</f>
        <v>0.87288362007684683</v>
      </c>
      <c r="DW213" s="550">
        <f t="shared" si="226"/>
        <v>0.88006421848503391</v>
      </c>
      <c r="DY213" s="551">
        <f t="shared" si="227"/>
        <v>61802.509743111506</v>
      </c>
      <c r="EC213" s="546">
        <f t="shared" si="228"/>
        <v>265</v>
      </c>
      <c r="ED213" s="551">
        <f t="shared" si="229"/>
        <v>53.595534422886011</v>
      </c>
      <c r="EE213" s="553">
        <f>ED213/PI()*SQRT('Hilfstabellen_Mat&amp;Bem'!f.Rd.3/'Hilfstabellen_Mat&amp;Bem'!$BD$30)</f>
        <v>0.85299942310541421</v>
      </c>
      <c r="EF213" s="553">
        <f>0.5*(1+'Hilfstabellen_Mat&amp;Bem'!$BD$31*(EE213-0.3)+EE213^2)</f>
        <v>0.89145397906435542</v>
      </c>
      <c r="EG213" s="550">
        <f t="shared" si="230"/>
        <v>0.86922035691903998</v>
      </c>
      <c r="EI213" s="551">
        <f t="shared" si="231"/>
        <v>61040.999564639584</v>
      </c>
      <c r="EM213" s="546">
        <f t="shared" si="232"/>
        <v>265</v>
      </c>
      <c r="EN213" s="551">
        <f t="shared" si="233"/>
        <v>54.902742579541766</v>
      </c>
      <c r="EO213" s="553">
        <f>EN213/PI()*SQRT('Hilfstabellen_Mat&amp;Bem'!f.Rd.3/'Hilfstabellen_Mat&amp;Bem'!$BD$30)</f>
        <v>0.87380428708359492</v>
      </c>
      <c r="EP213" s="553">
        <f>0.5*(1+'Hilfstabellen_Mat&amp;Bem'!$BD$31*(EO213-0.3)+EO213^2)</f>
        <v>0.91045718041701451</v>
      </c>
      <c r="EQ213" s="550">
        <f t="shared" si="234"/>
        <v>0.8574945410239001</v>
      </c>
      <c r="ES213" s="551">
        <f t="shared" si="235"/>
        <v>60217.554143403388</v>
      </c>
    </row>
    <row r="214" spans="3:149">
      <c r="C214" s="546">
        <v>266</v>
      </c>
      <c r="D214" s="551">
        <f t="shared" si="185"/>
        <v>36.464227527765836</v>
      </c>
      <c r="E214" s="553">
        <f>$D214/PI()*SQRT('Hilfstabellen_Mat&amp;Bem'!f.Rd.3/'Hilfstabellen_Mat&amp;Bem'!$BD$30)</f>
        <v>0.58034620570714945</v>
      </c>
      <c r="F214" s="553">
        <f>0.5*(1+'Hilfstabellen_Mat&amp;Bem'!$BD$31*($E214-0.3)+$E214^2)</f>
        <v>0.68241816952470002</v>
      </c>
      <c r="G214" s="550">
        <f t="shared" si="186"/>
        <v>0.96021386602318637</v>
      </c>
      <c r="I214" s="551">
        <f t="shared" si="187"/>
        <v>67940.892304336579</v>
      </c>
      <c r="M214" s="546">
        <f t="shared" si="188"/>
        <v>266</v>
      </c>
      <c r="N214" s="551">
        <f t="shared" si="177"/>
        <v>37.766521368043186</v>
      </c>
      <c r="O214" s="553">
        <f>$N214/PI()*SQRT('Hilfstabellen_Mat&amp;Bem'!f.Rd.3/'Hilfstabellen_Mat&amp;Bem'!$BD$30)</f>
        <v>0.60107285591097626</v>
      </c>
      <c r="P214" s="553">
        <f>0.5*(1+'Hilfstabellen_Mat&amp;Bem'!$BD$31*($O214-0.3)+$O214^2)</f>
        <v>0.69569793185203732</v>
      </c>
      <c r="Q214" s="550">
        <f t="shared" si="178"/>
        <v>0.95602882126244837</v>
      </c>
      <c r="S214" s="551">
        <f t="shared" si="189"/>
        <v>67644.77527724579</v>
      </c>
      <c r="W214" s="546">
        <f t="shared" si="190"/>
        <v>266</v>
      </c>
      <c r="X214" s="551">
        <f t="shared" si="179"/>
        <v>39.068815208320537</v>
      </c>
      <c r="Y214" s="553">
        <f>$X214/PI()*SQRT('Hilfstabellen_Mat&amp;Bem'!f.Rd.3/'Hilfstabellen_Mat&amp;Bem'!$BD$30)</f>
        <v>0.62179950611480306</v>
      </c>
      <c r="Z214" s="553">
        <f>0.5*(1+'Hilfstabellen_Mat&amp;Bem'!$BD$31*($Y214-0.3)+$Y214^2)</f>
        <v>0.70940728820804666</v>
      </c>
      <c r="AA214" s="550">
        <f t="shared" si="180"/>
        <v>0.95155630660839907</v>
      </c>
      <c r="AC214" s="551">
        <f t="shared" si="191"/>
        <v>67328.318030383889</v>
      </c>
      <c r="AG214" s="546">
        <f t="shared" si="192"/>
        <v>266</v>
      </c>
      <c r="AH214" s="551">
        <f t="shared" si="181"/>
        <v>40.371109048597894</v>
      </c>
      <c r="AI214" s="553">
        <f>$AH214/PI()*SQRT('Hilfstabellen_Mat&amp;Bem'!f.Rd.3/'Hilfstabellen_Mat&amp;Bem'!$BD$30)</f>
        <v>0.64252615631862997</v>
      </c>
      <c r="AJ214" s="553">
        <f>0.5*(1+'Hilfstabellen_Mat&amp;Bem'!$BD$31*($AI214-0.3)+$AI214^2)</f>
        <v>0.72354623859272782</v>
      </c>
      <c r="AK214" s="550">
        <f t="shared" si="182"/>
        <v>0.94676239414121122</v>
      </c>
      <c r="AM214" s="551">
        <f t="shared" si="193"/>
        <v>66989.119959855539</v>
      </c>
      <c r="AQ214" s="546">
        <f t="shared" si="194"/>
        <v>266</v>
      </c>
      <c r="AR214" s="551">
        <f t="shared" si="183"/>
        <v>41.673402888875238</v>
      </c>
      <c r="AS214" s="553">
        <f>$AR214/PI()*SQRT('Hilfstabellen_Mat&amp;Bem'!f.Rd.3/'Hilfstabellen_Mat&amp;Bem'!$BD$30)</f>
        <v>0.66325280652245655</v>
      </c>
      <c r="AT214" s="553">
        <f>0.5*(1+'Hilfstabellen_Mat&amp;Bem'!$BD$31*($AS214-0.3)+$AS214^2)</f>
        <v>0.73811478300608035</v>
      </c>
      <c r="AU214" s="550">
        <f t="shared" si="184"/>
        <v>0.94160930141011556</v>
      </c>
      <c r="AW214" s="551">
        <f t="shared" si="195"/>
        <v>66624.507730574143</v>
      </c>
      <c r="BA214" s="546">
        <f t="shared" si="196"/>
        <v>266</v>
      </c>
      <c r="BB214" s="551">
        <f t="shared" si="197"/>
        <v>42.975696729152588</v>
      </c>
      <c r="BC214" s="553">
        <f>$BB214/PI()*SQRT('Hilfstabellen_Mat&amp;Bem'!f.Rd.3/'Hilfstabellen_Mat&amp;Bem'!$BD$30)</f>
        <v>0.68397945672628335</v>
      </c>
      <c r="BD214" s="553">
        <f>0.5*(1+'Hilfstabellen_Mat&amp;Bem'!$BD$31*($BC214-0.3)+$BC214^2)</f>
        <v>0.75311292144810504</v>
      </c>
      <c r="BE214" s="550">
        <f t="shared" si="198"/>
        <v>0.93605513808564167</v>
      </c>
      <c r="BG214" s="551">
        <f t="shared" si="199"/>
        <v>66231.517350387658</v>
      </c>
      <c r="BK214" s="546">
        <f t="shared" si="200"/>
        <v>266</v>
      </c>
      <c r="BL214" s="551">
        <f t="shared" si="201"/>
        <v>44.277990569429946</v>
      </c>
      <c r="BM214" s="553">
        <f>$BL214/PI()*SQRT('Hilfstabellen_Mat&amp;Bem'!f.Rd.3/'Hilfstabellen_Mat&amp;Bem'!$BD$30)</f>
        <v>0.70470610693011027</v>
      </c>
      <c r="BN214" s="553">
        <f>0.5*(1+'Hilfstabellen_Mat&amp;Bem'!$BD$31*($BM214-0.3)+$BM214^2)</f>
        <v>0.76854065391880155</v>
      </c>
      <c r="BO214" s="550">
        <f t="shared" si="202"/>
        <v>0.93005376245699978</v>
      </c>
      <c r="BQ214" s="551">
        <f t="shared" si="203"/>
        <v>65806.884016407479</v>
      </c>
      <c r="BU214" s="546">
        <f t="shared" si="204"/>
        <v>266</v>
      </c>
      <c r="BV214" s="551">
        <f t="shared" si="205"/>
        <v>45.580284409707289</v>
      </c>
      <c r="BW214" s="553">
        <f>$BV214/PI()*SQRT('Hilfstabellen_Mat&amp;Bem'!f.Rd.3/'Hilfstabellen_Mat&amp;Bem'!$BD$30)</f>
        <v>0.72543275713393685</v>
      </c>
      <c r="BX214" s="553">
        <f>0.5*(1+'Hilfstabellen_Mat&amp;Bem'!$BD$31*($BW214-0.3)+$BW214^2)</f>
        <v>0.78439798041816955</v>
      </c>
      <c r="BY214" s="550">
        <f t="shared" si="206"/>
        <v>0.92355482226439289</v>
      </c>
      <c r="CA214" s="551">
        <f t="shared" si="207"/>
        <v>65347.045004139385</v>
      </c>
      <c r="CE214" s="546">
        <f t="shared" si="208"/>
        <v>266</v>
      </c>
      <c r="CF214" s="551">
        <f t="shared" si="209"/>
        <v>46.882578249984647</v>
      </c>
      <c r="CG214" s="553">
        <f>CF214/PI()*SQRT('Hilfstabellen_Mat&amp;Bem'!f.Rd.3/'Hilfstabellen_Mat&amp;Bem'!$BD$30)</f>
        <v>0.74615940733776376</v>
      </c>
      <c r="CH214" s="553">
        <f>0.5*(1+'Hilfstabellen_Mat&amp;Bem'!$BD$31*(CG214-0.3)+CG214^2)</f>
        <v>0.80068490094620959</v>
      </c>
      <c r="CI214" s="550">
        <f t="shared" si="210"/>
        <v>0.91650408034671293</v>
      </c>
      <c r="CK214" s="551">
        <f t="shared" si="211"/>
        <v>64848.162709012024</v>
      </c>
      <c r="CO214" s="546">
        <f t="shared" si="212"/>
        <v>266</v>
      </c>
      <c r="CP214" s="551">
        <f t="shared" si="213"/>
        <v>48.184872090261997</v>
      </c>
      <c r="CQ214" s="553">
        <f>CP214/PI()*SQRT('Hilfstabellen_Mat&amp;Bem'!f.Rd.3/'Hilfstabellen_Mat&amp;Bem'!$BD$30)</f>
        <v>0.76688605754159056</v>
      </c>
      <c r="CR214" s="553">
        <f>0.5*(1+'Hilfstabellen_Mat&amp;Bem'!$BD$31*(CQ214-0.3)+CQ214^2)</f>
        <v>0.81740141550292145</v>
      </c>
      <c r="CS214" s="550">
        <f t="shared" si="214"/>
        <v>0.90884415275096175</v>
      </c>
      <c r="CU214" s="551">
        <f t="shared" si="215"/>
        <v>64306.17687204705</v>
      </c>
      <c r="CY214" s="546">
        <f t="shared" si="216"/>
        <v>266</v>
      </c>
      <c r="CZ214" s="551">
        <f t="shared" si="217"/>
        <v>49.487165930539348</v>
      </c>
      <c r="DA214" s="553">
        <f>CZ214/PI()*SQRT('Hilfstabellen_Mat&amp;Bem'!f.Rd.3/'Hilfstabellen_Mat&amp;Bem'!$BD$30)</f>
        <v>0.78761270774541725</v>
      </c>
      <c r="DB214" s="553">
        <f>0.5*(1+'Hilfstabellen_Mat&amp;Bem'!$BD$31*(DA214-0.3)+DA214^2)</f>
        <v>0.8345475240883049</v>
      </c>
      <c r="DC214" s="550">
        <f t="shared" si="218"/>
        <v>0.90051580877540705</v>
      </c>
      <c r="DE214" s="551">
        <f t="shared" si="219"/>
        <v>63716.896565712697</v>
      </c>
      <c r="DI214" s="546">
        <f t="shared" si="220"/>
        <v>266</v>
      </c>
      <c r="DJ214" s="551">
        <f t="shared" si="221"/>
        <v>50.789459770816698</v>
      </c>
      <c r="DK214" s="553">
        <f>DJ214/PI()*SQRT('Hilfstabellen_Mat&amp;Bem'!f.Rd.3/'Hilfstabellen_Mat&amp;Bem'!$BD$30)</f>
        <v>0.80833935794924394</v>
      </c>
      <c r="DL214" s="553">
        <f>0.5*(1+'Hilfstabellen_Mat&amp;Bem'!$BD$31*(DK214-0.3)+DK214^2)</f>
        <v>0.85212322670236018</v>
      </c>
      <c r="DM214" s="550">
        <f t="shared" si="222"/>
        <v>0.89145998722599129</v>
      </c>
      <c r="DO214" s="551">
        <f t="shared" si="223"/>
        <v>63076.142856162238</v>
      </c>
      <c r="DS214" s="546">
        <f t="shared" si="224"/>
        <v>266</v>
      </c>
      <c r="DT214" s="551">
        <f t="shared" si="225"/>
        <v>52.091753611094049</v>
      </c>
      <c r="DU214" s="553">
        <f>DT214/PI()*SQRT('Hilfstabellen_Mat&amp;Bem'!f.Rd.3/'Hilfstabellen_Mat&amp;Bem'!$BD$30)</f>
        <v>0.82906600815307074</v>
      </c>
      <c r="DV214" s="553">
        <f>0.5*(1+'Hilfstabellen_Mat&amp;Bem'!$BD$31*(DU214-0.3)+DU214^2)</f>
        <v>0.87012852334508728</v>
      </c>
      <c r="DW214" s="550">
        <f t="shared" si="226"/>
        <v>0.88162065353208707</v>
      </c>
      <c r="DY214" s="551">
        <f t="shared" si="227"/>
        <v>62379.950961316354</v>
      </c>
      <c r="EC214" s="546">
        <f t="shared" si="228"/>
        <v>266</v>
      </c>
      <c r="ED214" s="551">
        <f t="shared" si="229"/>
        <v>53.394047451371407</v>
      </c>
      <c r="EE214" s="553">
        <f>ED214/PI()*SQRT('Hilfstabellen_Mat&amp;Bem'!f.Rd.3/'Hilfstabellen_Mat&amp;Bem'!$BD$30)</f>
        <v>0.84979265835689766</v>
      </c>
      <c r="EF214" s="553">
        <f>0.5*(1+'Hilfstabellen_Mat&amp;Bem'!$BD$31*(EE214-0.3)+EE214^2)</f>
        <v>0.88856341401648642</v>
      </c>
      <c r="EG214" s="550">
        <f t="shared" si="230"/>
        <v>0.87094853743865197</v>
      </c>
      <c r="EI214" s="551">
        <f t="shared" si="231"/>
        <v>61624.83471500926</v>
      </c>
      <c r="EM214" s="546">
        <f t="shared" si="232"/>
        <v>266</v>
      </c>
      <c r="EN214" s="551">
        <f t="shared" si="233"/>
        <v>54.69634129164875</v>
      </c>
      <c r="EO214" s="553">
        <f>EN214/PI()*SQRT('Hilfstabellen_Mat&amp;Bem'!f.Rd.3/'Hilfstabellen_Mat&amp;Bem'!$BD$30)</f>
        <v>0.87051930856072424</v>
      </c>
      <c r="EP214" s="553">
        <f>0.5*(1+'Hilfstabellen_Mat&amp;Bem'!$BD$31*(EO214-0.3)+EO214^2)</f>
        <v>0.90742789871655694</v>
      </c>
      <c r="EQ214" s="550">
        <f t="shared" si="234"/>
        <v>0.85940563421819804</v>
      </c>
      <c r="ES214" s="551">
        <f t="shared" si="235"/>
        <v>60808.105054742824</v>
      </c>
    </row>
    <row r="215" spans="3:149">
      <c r="C215" s="546">
        <v>267</v>
      </c>
      <c r="D215" s="551">
        <f t="shared" si="185"/>
        <v>36.327657387212405</v>
      </c>
      <c r="E215" s="553">
        <f>$D215/PI()*SQRT('Hilfstabellen_Mat&amp;Bem'!f.Rd.3/'Hilfstabellen_Mat&amp;Bem'!$BD$30)</f>
        <v>0.57817262441236617</v>
      </c>
      <c r="F215" s="553">
        <f>0.5*(1+'Hilfstabellen_Mat&amp;Bem'!$BD$31*($E215-0.3)+$E215^2)</f>
        <v>0.68105042303055985</v>
      </c>
      <c r="G215" s="550">
        <f t="shared" si="186"/>
        <v>0.96063735846685028</v>
      </c>
      <c r="I215" s="551">
        <f t="shared" si="187"/>
        <v>68482.876647743295</v>
      </c>
      <c r="M215" s="546">
        <f t="shared" si="188"/>
        <v>267</v>
      </c>
      <c r="N215" s="551">
        <f t="shared" si="177"/>
        <v>37.625073722469992</v>
      </c>
      <c r="O215" s="553">
        <f>$N215/PI()*SQRT('Hilfstabellen_Mat&amp;Bem'!f.Rd.3/'Hilfstabellen_Mat&amp;Bem'!$BD$30)</f>
        <v>0.5988216467128078</v>
      </c>
      <c r="P215" s="553">
        <f>0.5*(1+'Hilfstabellen_Mat&amp;Bem'!$BD$31*($O215-0.3)+$O215^2)</f>
        <v>0.69423476462155986</v>
      </c>
      <c r="Q215" s="550">
        <f t="shared" si="178"/>
        <v>0.95649672035722477</v>
      </c>
      <c r="S215" s="551">
        <f t="shared" si="189"/>
        <v>68187.694697546191</v>
      </c>
      <c r="W215" s="546">
        <f t="shared" si="190"/>
        <v>267</v>
      </c>
      <c r="X215" s="551">
        <f t="shared" si="179"/>
        <v>38.922490057727579</v>
      </c>
      <c r="Y215" s="553">
        <f>$X215/PI()*SQRT('Hilfstabellen_Mat&amp;Bem'!f.Rd.3/'Hilfstabellen_Mat&amp;Bem'!$BD$30)</f>
        <v>0.61947066901324954</v>
      </c>
      <c r="Z215" s="553">
        <f>0.5*(1+'Hilfstabellen_Mat&amp;Bem'!$BD$31*($Y215-0.3)+$Y215^2)</f>
        <v>0.70784548833452399</v>
      </c>
      <c r="AA215" s="550">
        <f t="shared" si="180"/>
        <v>0.95207420374178831</v>
      </c>
      <c r="AC215" s="551">
        <f t="shared" si="191"/>
        <v>67872.417910548349</v>
      </c>
      <c r="AG215" s="546">
        <f t="shared" si="192"/>
        <v>267</v>
      </c>
      <c r="AH215" s="551">
        <f t="shared" si="181"/>
        <v>40.219906392985166</v>
      </c>
      <c r="AI215" s="553">
        <f>$AH215/PI()*SQRT('Hilfstabellen_Mat&amp;Bem'!f.Rd.3/'Hilfstabellen_Mat&amp;Bem'!$BD$30)</f>
        <v>0.64011969131369117</v>
      </c>
      <c r="AJ215" s="553">
        <f>0.5*(1+'Hilfstabellen_Mat&amp;Bem'!$BD$31*($AI215-0.3)+$AI215^2)</f>
        <v>0.72188259416945222</v>
      </c>
      <c r="AK215" s="550">
        <f t="shared" si="182"/>
        <v>0.94733666368738123</v>
      </c>
      <c r="AM215" s="551">
        <f t="shared" si="193"/>
        <v>67534.683417609718</v>
      </c>
      <c r="AQ215" s="546">
        <f t="shared" si="194"/>
        <v>267</v>
      </c>
      <c r="AR215" s="551">
        <f t="shared" si="183"/>
        <v>41.517322728242753</v>
      </c>
      <c r="AS215" s="553">
        <f>$AR215/PI()*SQRT('Hilfstabellen_Mat&amp;Bem'!f.Rd.3/'Hilfstabellen_Mat&amp;Bem'!$BD$30)</f>
        <v>0.66076871361413292</v>
      </c>
      <c r="AT215" s="553">
        <f>0.5*(1+'Hilfstabellen_Mat&amp;Bem'!$BD$31*($AS215-0.3)+$AS215^2)</f>
        <v>0.73634608212634456</v>
      </c>
      <c r="AU215" s="550">
        <f t="shared" si="184"/>
        <v>0.94224719043337124</v>
      </c>
      <c r="AW215" s="551">
        <f t="shared" si="195"/>
        <v>67171.859958804605</v>
      </c>
      <c r="BA215" s="546">
        <f t="shared" si="196"/>
        <v>267</v>
      </c>
      <c r="BB215" s="551">
        <f t="shared" si="197"/>
        <v>42.81473906350034</v>
      </c>
      <c r="BC215" s="553">
        <f>$BB215/PI()*SQRT('Hilfstabellen_Mat&amp;Bem'!f.Rd.3/'Hilfstabellen_Mat&amp;Bem'!$BD$30)</f>
        <v>0.68141773591457455</v>
      </c>
      <c r="BD215" s="553">
        <f>0.5*(1+'Hilfstabellen_Mat&amp;Bem'!$BD$31*($BC215-0.3)+$BC215^2)</f>
        <v>0.75123595220520123</v>
      </c>
      <c r="BE215" s="550">
        <f t="shared" si="198"/>
        <v>0.93676485200244741</v>
      </c>
      <c r="BG215" s="551">
        <f t="shared" si="199"/>
        <v>66781.029534402478</v>
      </c>
      <c r="BK215" s="546">
        <f t="shared" si="200"/>
        <v>267</v>
      </c>
      <c r="BL215" s="551">
        <f t="shared" si="201"/>
        <v>44.11215539875792</v>
      </c>
      <c r="BM215" s="553">
        <f>$BL215/PI()*SQRT('Hilfstabellen_Mat&amp;Bem'!f.Rd.3/'Hilfstabellen_Mat&amp;Bem'!$BD$30)</f>
        <v>0.70206675821501607</v>
      </c>
      <c r="BN215" s="553">
        <f>0.5*(1+'Hilfstabellen_Mat&amp;Bem'!$BD$31*($BM215-0.3)+$BM215^2)</f>
        <v>0.76655220440602179</v>
      </c>
      <c r="BO215" s="550">
        <f t="shared" si="202"/>
        <v>0.93084453719369786</v>
      </c>
      <c r="BQ215" s="551">
        <f t="shared" si="203"/>
        <v>66358.976212001522</v>
      </c>
      <c r="BU215" s="546">
        <f t="shared" si="204"/>
        <v>267</v>
      </c>
      <c r="BV215" s="551">
        <f t="shared" si="205"/>
        <v>45.409571734015501</v>
      </c>
      <c r="BW215" s="553">
        <f>$BV215/PI()*SQRT('Hilfstabellen_Mat&amp;Bem'!f.Rd.3/'Hilfstabellen_Mat&amp;Bem'!$BD$30)</f>
        <v>0.7227157805154576</v>
      </c>
      <c r="BX215" s="553">
        <f>0.5*(1+'Hilfstabellen_Mat&amp;Bem'!$BD$31*($BW215-0.3)+$BW215^2)</f>
        <v>0.78229483872880645</v>
      </c>
      <c r="BY215" s="550">
        <f t="shared" si="206"/>
        <v>0.92443696875322923</v>
      </c>
      <c r="CA215" s="551">
        <f t="shared" si="207"/>
        <v>65902.187065448961</v>
      </c>
      <c r="CE215" s="546">
        <f t="shared" si="208"/>
        <v>267</v>
      </c>
      <c r="CF215" s="551">
        <f t="shared" si="209"/>
        <v>46.706988069273088</v>
      </c>
      <c r="CG215" s="553">
        <f>CF215/PI()*SQRT('Hilfstabellen_Mat&amp;Bem'!f.Rd.3/'Hilfstabellen_Mat&amp;Bem'!$BD$30)</f>
        <v>0.74336480281589934</v>
      </c>
      <c r="CH215" s="553">
        <f>0.5*(1+'Hilfstabellen_Mat&amp;Bem'!$BD$31*(CG215-0.3)+CG215^2)</f>
        <v>0.79846385517355545</v>
      </c>
      <c r="CI215" s="550">
        <f t="shared" si="210"/>
        <v>0.91748898136767754</v>
      </c>
      <c r="CK215" s="551">
        <f t="shared" si="211"/>
        <v>65406.871992720364</v>
      </c>
      <c r="CO215" s="546">
        <f t="shared" si="212"/>
        <v>267</v>
      </c>
      <c r="CP215" s="551">
        <f t="shared" si="213"/>
        <v>48.004404404530675</v>
      </c>
      <c r="CQ215" s="553">
        <f>CP215/PI()*SQRT('Hilfstabellen_Mat&amp;Bem'!f.Rd.3/'Hilfstabellen_Mat&amp;Bem'!$BD$30)</f>
        <v>0.76401382511634097</v>
      </c>
      <c r="CR215" s="553">
        <f>0.5*(1+'Hilfstabellen_Mat&amp;Bem'!$BD$31*(CQ215-0.3)+CQ215^2)</f>
        <v>0.81505925374026844</v>
      </c>
      <c r="CS215" s="550">
        <f t="shared" si="214"/>
        <v>0.90994418561744428</v>
      </c>
      <c r="CU215" s="551">
        <f t="shared" si="215"/>
        <v>64869.011048481982</v>
      </c>
      <c r="CY215" s="546">
        <f t="shared" si="216"/>
        <v>267</v>
      </c>
      <c r="CZ215" s="551">
        <f t="shared" si="217"/>
        <v>49.301820739788262</v>
      </c>
      <c r="DA215" s="553">
        <f>CZ215/PI()*SQRT('Hilfstabellen_Mat&amp;Bem'!f.Rd.3/'Hilfstabellen_Mat&amp;Bem'!$BD$30)</f>
        <v>0.78466284741678272</v>
      </c>
      <c r="DB215" s="553">
        <f>0.5*(1+'Hilfstabellen_Mat&amp;Bem'!$BD$31*(DA215-0.3)+DA215^2)</f>
        <v>0.83208103442894576</v>
      </c>
      <c r="DC215" s="550">
        <f t="shared" si="218"/>
        <v>0.90174416140567704</v>
      </c>
      <c r="DE215" s="551">
        <f t="shared" si="219"/>
        <v>64284.439522449313</v>
      </c>
      <c r="DI215" s="546">
        <f t="shared" si="220"/>
        <v>267</v>
      </c>
      <c r="DJ215" s="551">
        <f t="shared" si="221"/>
        <v>50.599237075045849</v>
      </c>
      <c r="DK215" s="553">
        <f>DJ215/PI()*SQRT('Hilfstabellen_Mat&amp;Bem'!f.Rd.3/'Hilfstabellen_Mat&amp;Bem'!$BD$30)</f>
        <v>0.80531186971722435</v>
      </c>
      <c r="DL215" s="553">
        <f>0.5*(1+'Hilfstabellen_Mat&amp;Bem'!$BD$31*(DK215-0.3)+DK215^2)</f>
        <v>0.84952919723958709</v>
      </c>
      <c r="DM215" s="550">
        <f t="shared" si="222"/>
        <v>0.89283033209878793</v>
      </c>
      <c r="DO215" s="551">
        <f t="shared" si="223"/>
        <v>63648.981544990493</v>
      </c>
      <c r="DS215" s="546">
        <f t="shared" si="224"/>
        <v>267</v>
      </c>
      <c r="DT215" s="551">
        <f t="shared" si="225"/>
        <v>51.896653410303436</v>
      </c>
      <c r="DU215" s="553">
        <f>DT215/PI()*SQRT('Hilfstabellen_Mat&amp;Bem'!f.Rd.3/'Hilfstabellen_Mat&amp;Bem'!$BD$30)</f>
        <v>0.82596089201766609</v>
      </c>
      <c r="DV215" s="553">
        <f>0.5*(1+'Hilfstabellen_Mat&amp;Bem'!$BD$31*(DU215-0.3)+DU215^2)</f>
        <v>0.86740374217219274</v>
      </c>
      <c r="DW215" s="550">
        <f t="shared" si="226"/>
        <v>0.88314664757127948</v>
      </c>
      <c r="DY215" s="551">
        <f t="shared" si="227"/>
        <v>62958.641358708941</v>
      </c>
      <c r="EC215" s="546">
        <f t="shared" si="228"/>
        <v>267</v>
      </c>
      <c r="ED215" s="551">
        <f t="shared" si="229"/>
        <v>53.194069745561023</v>
      </c>
      <c r="EE215" s="553">
        <f>ED215/PI()*SQRT('Hilfstabellen_Mat&amp;Bem'!f.Rd.3/'Hilfstabellen_Mat&amp;Bem'!$BD$30)</f>
        <v>0.84660991431810761</v>
      </c>
      <c r="EF215" s="553">
        <f>0.5*(1+'Hilfstabellen_Mat&amp;Bem'!$BD$31*(EE215-0.3)+EE215^2)</f>
        <v>0.88570466922676216</v>
      </c>
      <c r="EG215" s="550">
        <f t="shared" si="230"/>
        <v>0.87264313058546117</v>
      </c>
      <c r="EI215" s="551">
        <f t="shared" si="231"/>
        <v>62209.856136306938</v>
      </c>
      <c r="EM215" s="546">
        <f t="shared" si="232"/>
        <v>267</v>
      </c>
      <c r="EN215" s="551">
        <f t="shared" si="233"/>
        <v>54.491486080818603</v>
      </c>
      <c r="EO215" s="553">
        <f>EN215/PI()*SQRT('Hilfstabellen_Mat&amp;Bem'!f.Rd.3/'Hilfstabellen_Mat&amp;Bem'!$BD$30)</f>
        <v>0.86725893661854914</v>
      </c>
      <c r="EP215" s="553">
        <f>0.5*(1+'Hilfstabellen_Mat&amp;Bem'!$BD$31*(EO215-0.3)+EO215^2)</f>
        <v>0.9044319784032957</v>
      </c>
      <c r="EQ215" s="550">
        <f t="shared" si="234"/>
        <v>0.86128019920920385</v>
      </c>
      <c r="ES215" s="551">
        <f t="shared" si="235"/>
        <v>61399.804121424932</v>
      </c>
    </row>
    <row r="216" spans="3:149">
      <c r="C216" s="546">
        <v>268</v>
      </c>
      <c r="D216" s="551">
        <f t="shared" si="185"/>
        <v>36.192106426812359</v>
      </c>
      <c r="E216" s="553">
        <f>$D216/PI()*SQRT('Hilfstabellen_Mat&amp;Bem'!f.Rd.3/'Hilfstabellen_Mat&amp;Bem'!$BD$30)</f>
        <v>0.57601526387351409</v>
      </c>
      <c r="F216" s="553">
        <f>0.5*(1+'Hilfstabellen_Mat&amp;Bem'!$BD$31*($E216-0.3)+$E216^2)</f>
        <v>0.67969755530131271</v>
      </c>
      <c r="G216" s="550">
        <f t="shared" si="186"/>
        <v>0.96105493012045529</v>
      </c>
      <c r="I216" s="551">
        <f t="shared" si="187"/>
        <v>69026.809300971581</v>
      </c>
      <c r="M216" s="546">
        <f t="shared" si="188"/>
        <v>268</v>
      </c>
      <c r="N216" s="551">
        <f t="shared" si="177"/>
        <v>37.484681656341373</v>
      </c>
      <c r="O216" s="553">
        <f>$N216/PI()*SQRT('Hilfstabellen_Mat&amp;Bem'!f.Rd.3/'Hilfstabellen_Mat&amp;Bem'!$BD$30)</f>
        <v>0.59658723758328247</v>
      </c>
      <c r="P216" s="553">
        <f>0.5*(1+'Hilfstabellen_Mat&amp;Bem'!$BD$31*($O216-0.3)+$O216^2)</f>
        <v>0.69278752790279019</v>
      </c>
      <c r="Q216" s="550">
        <f t="shared" si="178"/>
        <v>0.95695781794130108</v>
      </c>
      <c r="S216" s="551">
        <f t="shared" si="189"/>
        <v>68732.538315816011</v>
      </c>
      <c r="W216" s="546">
        <f t="shared" si="190"/>
        <v>268</v>
      </c>
      <c r="X216" s="551">
        <f t="shared" si="179"/>
        <v>38.777256885870386</v>
      </c>
      <c r="Y216" s="553">
        <f>$X216/PI()*SQRT('Hilfstabellen_Mat&amp;Bem'!f.Rd.3/'Hilfstabellen_Mat&amp;Bem'!$BD$30)</f>
        <v>0.61715921129305085</v>
      </c>
      <c r="Z216" s="553">
        <f>0.5*(1+'Hilfstabellen_Mat&amp;Bem'!$BD$31*($Y216-0.3)+$Y216^2)</f>
        <v>0.70630070660658273</v>
      </c>
      <c r="AA216" s="550">
        <f t="shared" si="180"/>
        <v>0.95258427746852414</v>
      </c>
      <c r="AC216" s="551">
        <f t="shared" si="191"/>
        <v>68418.413144899285</v>
      </c>
      <c r="AG216" s="546">
        <f t="shared" si="192"/>
        <v>268</v>
      </c>
      <c r="AH216" s="551">
        <f t="shared" si="181"/>
        <v>40.069832115399393</v>
      </c>
      <c r="AI216" s="553">
        <f>$AH216/PI()*SQRT('Hilfstabellen_Mat&amp;Bem'!f.Rd.3/'Hilfstabellen_Mat&amp;Bem'!$BD$30)</f>
        <v>0.63773118500281911</v>
      </c>
      <c r="AJ216" s="553">
        <f>0.5*(1+'Hilfstabellen_Mat&amp;Bem'!$BD$31*($AI216-0.3)+$AI216^2)</f>
        <v>0.72023709141269088</v>
      </c>
      <c r="AK216" s="550">
        <f t="shared" si="182"/>
        <v>0.94790192540022433</v>
      </c>
      <c r="AM216" s="551">
        <f t="shared" si="193"/>
        <v>68082.107889945706</v>
      </c>
      <c r="AQ216" s="546">
        <f t="shared" si="194"/>
        <v>268</v>
      </c>
      <c r="AR216" s="551">
        <f t="shared" si="183"/>
        <v>41.362407344928414</v>
      </c>
      <c r="AS216" s="553">
        <f>$AR216/PI()*SQRT('Hilfstabellen_Mat&amp;Bem'!f.Rd.3/'Hilfstabellen_Mat&amp;Bem'!$BD$30)</f>
        <v>0.6583031587125876</v>
      </c>
      <c r="AT216" s="553">
        <f>0.5*(1+'Hilfstabellen_Mat&amp;Bem'!$BD$31*($AS216-0.3)+$AS216^2)</f>
        <v>0.73459668232111452</v>
      </c>
      <c r="AU216" s="550">
        <f t="shared" si="184"/>
        <v>0.9428747016807012</v>
      </c>
      <c r="AW216" s="551">
        <f t="shared" si="195"/>
        <v>67721.032573514676</v>
      </c>
      <c r="BA216" s="546">
        <f t="shared" si="196"/>
        <v>268</v>
      </c>
      <c r="BB216" s="551">
        <f t="shared" si="197"/>
        <v>42.654982574457421</v>
      </c>
      <c r="BC216" s="553">
        <f>$BB216/PI()*SQRT('Hilfstabellen_Mat&amp;Bem'!f.Rd.3/'Hilfstabellen_Mat&amp;Bem'!$BD$30)</f>
        <v>0.67887513242235586</v>
      </c>
      <c r="BD216" s="553">
        <f>0.5*(1+'Hilfstabellen_Mat&amp;Bem'!$BD$31*($BC216-0.3)+$BC216^2)</f>
        <v>0.74937947933185345</v>
      </c>
      <c r="BE216" s="550">
        <f t="shared" si="198"/>
        <v>0.93746260898092992</v>
      </c>
      <c r="BG216" s="551">
        <f t="shared" si="199"/>
        <v>67332.314427446312</v>
      </c>
      <c r="BK216" s="546">
        <f t="shared" si="200"/>
        <v>268</v>
      </c>
      <c r="BL216" s="551">
        <f t="shared" si="201"/>
        <v>43.947557803986435</v>
      </c>
      <c r="BM216" s="553">
        <f>$BL216/PI()*SQRT('Hilfstabellen_Mat&amp;Bem'!f.Rd.3/'Hilfstabellen_Mat&amp;Bem'!$BD$30)</f>
        <v>0.69944710613212424</v>
      </c>
      <c r="BN216" s="553">
        <f>0.5*(1+'Hilfstabellen_Mat&amp;Bem'!$BD$31*($BM216-0.3)+$BM216^2)</f>
        <v>0.76458548244490776</v>
      </c>
      <c r="BO216" s="550">
        <f t="shared" si="202"/>
        <v>0.93162154379932482</v>
      </c>
      <c r="BQ216" s="551">
        <f t="shared" si="203"/>
        <v>66912.785761842708</v>
      </c>
      <c r="BU216" s="546">
        <f t="shared" si="204"/>
        <v>268</v>
      </c>
      <c r="BV216" s="551">
        <f t="shared" si="205"/>
        <v>45.240133033515448</v>
      </c>
      <c r="BW216" s="553">
        <f>$BV216/PI()*SQRT('Hilfstabellen_Mat&amp;Bem'!f.Rd.3/'Hilfstabellen_Mat&amp;Bem'!$BD$30)</f>
        <v>0.72001907984189262</v>
      </c>
      <c r="BX216" s="553">
        <f>0.5*(1+'Hilfstabellen_Mat&amp;Bem'!$BD$31*($BW216-0.3)+$BW216^2)</f>
        <v>0.78021469166027746</v>
      </c>
      <c r="BY216" s="550">
        <f t="shared" si="206"/>
        <v>0.92530328456028077</v>
      </c>
      <c r="CA216" s="551">
        <f t="shared" si="207"/>
        <v>66458.983110257599</v>
      </c>
      <c r="CE216" s="546">
        <f t="shared" si="208"/>
        <v>268</v>
      </c>
      <c r="CF216" s="551">
        <f t="shared" si="209"/>
        <v>46.532708263044462</v>
      </c>
      <c r="CG216" s="553">
        <f>CF216/PI()*SQRT('Hilfstabellen_Mat&amp;Bem'!f.Rd.3/'Hilfstabellen_Mat&amp;Bem'!$BD$30)</f>
        <v>0.74059105355166099</v>
      </c>
      <c r="CH216" s="553">
        <f>0.5*(1+'Hilfstabellen_Mat&amp;Bem'!$BD$31*(CG216-0.3)+CG216^2)</f>
        <v>0.79626710697796277</v>
      </c>
      <c r="CI216" s="550">
        <f t="shared" si="210"/>
        <v>0.91845572581348345</v>
      </c>
      <c r="CK216" s="551">
        <f t="shared" si="211"/>
        <v>65967.164050827632</v>
      </c>
      <c r="CO216" s="546">
        <f t="shared" si="212"/>
        <v>268</v>
      </c>
      <c r="CP216" s="551">
        <f t="shared" si="213"/>
        <v>47.825283492573476</v>
      </c>
      <c r="CQ216" s="553">
        <f>CP216/PI()*SQRT('Hilfstabellen_Mat&amp;Bem'!f.Rd.3/'Hilfstabellen_Mat&amp;Bem'!$BD$30)</f>
        <v>0.76116302726142937</v>
      </c>
      <c r="CR216" s="553">
        <f>0.5*(1+'Hilfstabellen_Mat&amp;Bem'!$BD$31*(CQ216-0.3)+CQ216^2)</f>
        <v>0.81274272839796313</v>
      </c>
      <c r="CS216" s="550">
        <f t="shared" si="214"/>
        <v>0.91102347338666145</v>
      </c>
      <c r="CU216" s="551">
        <f t="shared" si="215"/>
        <v>65433.349952523575</v>
      </c>
      <c r="CY216" s="546">
        <f t="shared" si="216"/>
        <v>268</v>
      </c>
      <c r="CZ216" s="551">
        <f t="shared" si="217"/>
        <v>49.11785872210249</v>
      </c>
      <c r="DA216" s="553">
        <f>CZ216/PI()*SQRT('Hilfstabellen_Mat&amp;Bem'!f.Rd.3/'Hilfstabellen_Mat&amp;Bem'!$BD$30)</f>
        <v>0.78173500097119775</v>
      </c>
      <c r="DB216" s="553">
        <f>0.5*(1+'Hilfstabellen_Mat&amp;Bem'!$BD$31*(DA216-0.3)+DA216^2)</f>
        <v>0.82964155592027922</v>
      </c>
      <c r="DC216" s="550">
        <f t="shared" si="218"/>
        <v>0.90294893805153409</v>
      </c>
      <c r="DE216" s="551">
        <f t="shared" si="219"/>
        <v>64853.404526613383</v>
      </c>
      <c r="DI216" s="546">
        <f t="shared" si="220"/>
        <v>268</v>
      </c>
      <c r="DJ216" s="551">
        <f t="shared" si="221"/>
        <v>50.410433951631497</v>
      </c>
      <c r="DK216" s="553">
        <f>DJ216/PI()*SQRT('Hilfstabellen_Mat&amp;Bem'!f.Rd.3/'Hilfstabellen_Mat&amp;Bem'!$BD$30)</f>
        <v>0.8023069746809659</v>
      </c>
      <c r="DL216" s="553">
        <f>0.5*(1+'Hilfstabellen_Mat&amp;Bem'!$BD$31*(DK216-0.3)+DK216^2)</f>
        <v>0.84696358954491036</v>
      </c>
      <c r="DM216" s="550">
        <f t="shared" si="222"/>
        <v>0.89417407542424265</v>
      </c>
      <c r="DO216" s="551">
        <f t="shared" si="223"/>
        <v>64223.158793270806</v>
      </c>
      <c r="DS216" s="546">
        <f t="shared" si="224"/>
        <v>268</v>
      </c>
      <c r="DT216" s="551">
        <f t="shared" si="225"/>
        <v>51.703009181160517</v>
      </c>
      <c r="DU216" s="553">
        <f>DT216/PI()*SQRT('Hilfstabellen_Mat&amp;Bem'!f.Rd.3/'Hilfstabellen_Mat&amp;Bem'!$BD$30)</f>
        <v>0.82287894839073461</v>
      </c>
      <c r="DV216" s="553">
        <f>0.5*(1+'Hilfstabellen_Mat&amp;Bem'!$BD$31*(DU216-0.3)+DU216^2)</f>
        <v>0.86470882927185744</v>
      </c>
      <c r="DW216" s="550">
        <f t="shared" si="226"/>
        <v>0.88464290260030765</v>
      </c>
      <c r="DY216" s="551">
        <f t="shared" si="227"/>
        <v>63538.591836364496</v>
      </c>
      <c r="EC216" s="546">
        <f t="shared" si="228"/>
        <v>268</v>
      </c>
      <c r="ED216" s="551">
        <f t="shared" si="229"/>
        <v>52.995584410689524</v>
      </c>
      <c r="EE216" s="553">
        <f>ED216/PI()*SQRT('Hilfstabellen_Mat&amp;Bem'!f.Rd.3/'Hilfstabellen_Mat&amp;Bem'!$BD$30)</f>
        <v>0.84345092210050288</v>
      </c>
      <c r="EF216" s="553">
        <f>0.5*(1+'Hilfstabellen_Mat&amp;Bem'!$BD$31*(EE216-0.3)+EE216^2)</f>
        <v>0.88287727510111946</v>
      </c>
      <c r="EG216" s="550">
        <f t="shared" si="230"/>
        <v>0.87430485843754213</v>
      </c>
      <c r="EI216" s="551">
        <f t="shared" si="231"/>
        <v>62796.072152418026</v>
      </c>
      <c r="EM216" s="546">
        <f t="shared" si="232"/>
        <v>268</v>
      </c>
      <c r="EN216" s="551">
        <f t="shared" si="233"/>
        <v>54.288159640218538</v>
      </c>
      <c r="EO216" s="553">
        <f>EN216/PI()*SQRT('Hilfstabellen_Mat&amp;Bem'!f.Rd.3/'Hilfstabellen_Mat&amp;Bem'!$BD$30)</f>
        <v>0.86402289581027114</v>
      </c>
      <c r="EP216" s="553">
        <f>0.5*(1+'Hilfstabellen_Mat&amp;Bem'!$BD$31*(EO216-0.3)+EO216^2)</f>
        <v>0.90146892703269677</v>
      </c>
      <c r="EQ216" s="550">
        <f t="shared" si="234"/>
        <v>0.86311894683377777</v>
      </c>
      <c r="ES216" s="551">
        <f t="shared" si="235"/>
        <v>61992.655237389255</v>
      </c>
    </row>
    <row r="217" spans="3:149">
      <c r="C217" s="546">
        <v>269</v>
      </c>
      <c r="D217" s="551">
        <f t="shared" si="185"/>
        <v>36.057563280244281</v>
      </c>
      <c r="E217" s="553">
        <f>$D217/PI()*SQRT('Hilfstabellen_Mat&amp;Bem'!f.Rd.3/'Hilfstabellen_Mat&amp;Bem'!$BD$30)</f>
        <v>0.57387394318996943</v>
      </c>
      <c r="F217" s="553">
        <f>0.5*(1+'Hilfstabellen_Mat&amp;Bem'!$BD$31*($E217-0.3)+$E217^2)</f>
        <v>0.67835934849570056</v>
      </c>
      <c r="G217" s="550">
        <f t="shared" si="186"/>
        <v>0.96146670912895604</v>
      </c>
      <c r="I217" s="551">
        <f t="shared" si="187"/>
        <v>69572.692539280382</v>
      </c>
      <c r="M217" s="546">
        <f t="shared" si="188"/>
        <v>269</v>
      </c>
      <c r="N217" s="551">
        <f t="shared" si="177"/>
        <v>37.345333397395869</v>
      </c>
      <c r="O217" s="553">
        <f>$N217/PI()*SQRT('Hilfstabellen_Mat&amp;Bem'!f.Rd.3/'Hilfstabellen_Mat&amp;Bem'!$BD$30)</f>
        <v>0.59436944116103985</v>
      </c>
      <c r="P217" s="553">
        <f>0.5*(1+'Hilfstabellen_Mat&amp;Bem'!$BD$31*($O217-0.3)+$O217^2)</f>
        <v>0.69135598835109535</v>
      </c>
      <c r="Q217" s="550">
        <f t="shared" si="178"/>
        <v>0.95741226567379911</v>
      </c>
      <c r="S217" s="551">
        <f t="shared" si="189"/>
        <v>69279.308956421781</v>
      </c>
      <c r="W217" s="546">
        <f t="shared" si="190"/>
        <v>269</v>
      </c>
      <c r="X217" s="551">
        <f t="shared" si="179"/>
        <v>38.633103514547443</v>
      </c>
      <c r="Y217" s="553">
        <f>$X217/PI()*SQRT('Hilfstabellen_Mat&amp;Bem'!f.Rd.3/'Hilfstabellen_Mat&amp;Bem'!$BD$30)</f>
        <v>0.61486493913211016</v>
      </c>
      <c r="Z217" s="553">
        <f>0.5*(1+'Hilfstabellen_Mat&amp;Bem'!$BD$31*($Y217-0.3)+$Y217^2)</f>
        <v>0.70477269364357231</v>
      </c>
      <c r="AA217" s="550">
        <f t="shared" si="180"/>
        <v>0.95308670721743671</v>
      </c>
      <c r="AC217" s="551">
        <f t="shared" si="191"/>
        <v>68966.307220960938</v>
      </c>
      <c r="AG217" s="546">
        <f t="shared" si="192"/>
        <v>269</v>
      </c>
      <c r="AH217" s="551">
        <f t="shared" si="181"/>
        <v>39.920873631699031</v>
      </c>
      <c r="AI217" s="553">
        <f>$AH217/PI()*SQRT('Hilfstabellen_Mat&amp;Bem'!f.Rd.3/'Hilfstabellen_Mat&amp;Bem'!$BD$30)</f>
        <v>0.63536043710318046</v>
      </c>
      <c r="AJ217" s="553">
        <f>0.5*(1+'Hilfstabellen_Mat&amp;Bem'!$BD$31*($AI217-0.3)+$AI217^2)</f>
        <v>0.71860946437313133</v>
      </c>
      <c r="AK217" s="550">
        <f t="shared" si="182"/>
        <v>0.94845839133786891</v>
      </c>
      <c r="AM217" s="551">
        <f t="shared" si="193"/>
        <v>68631.397655599532</v>
      </c>
      <c r="AQ217" s="546">
        <f t="shared" si="194"/>
        <v>269</v>
      </c>
      <c r="AR217" s="551">
        <f t="shared" si="183"/>
        <v>41.208643748850605</v>
      </c>
      <c r="AS217" s="553">
        <f>$AR217/PI()*SQRT('Hilfstabellen_Mat&amp;Bem'!f.Rd.3/'Hilfstabellen_Mat&amp;Bem'!$BD$30)</f>
        <v>0.65585593507425077</v>
      </c>
      <c r="AT217" s="553">
        <f>0.5*(1+'Hilfstabellen_Mat&amp;Bem'!$BD$31*($AS217-0.3)+$AS217^2)</f>
        <v>0.73286630053977253</v>
      </c>
      <c r="AU217" s="550">
        <f t="shared" si="184"/>
        <v>0.94349208527143036</v>
      </c>
      <c r="AW217" s="551">
        <f t="shared" si="195"/>
        <v>68272.030782325979</v>
      </c>
      <c r="BA217" s="546">
        <f t="shared" si="196"/>
        <v>269</v>
      </c>
      <c r="BB217" s="551">
        <f t="shared" si="197"/>
        <v>42.496413866002193</v>
      </c>
      <c r="BC217" s="553">
        <f>$BB217/PI()*SQRT('Hilfstabellen_Mat&amp;Bem'!f.Rd.3/'Hilfstabellen_Mat&amp;Bem'!$BD$30)</f>
        <v>0.67635143304532119</v>
      </c>
      <c r="BD217" s="553">
        <f>0.5*(1+'Hilfstabellen_Mat&amp;Bem'!$BD$31*($BC217-0.3)+$BC217^2)</f>
        <v>0.74754320214349579</v>
      </c>
      <c r="BE217" s="550">
        <f t="shared" si="198"/>
        <v>0.9381487030875445</v>
      </c>
      <c r="BG217" s="551">
        <f t="shared" si="199"/>
        <v>67885.37830411781</v>
      </c>
      <c r="BK217" s="546">
        <f t="shared" si="200"/>
        <v>269</v>
      </c>
      <c r="BL217" s="551">
        <f t="shared" si="201"/>
        <v>43.784183983153774</v>
      </c>
      <c r="BM217" s="553">
        <f>$BL217/PI()*SQRT('Hilfstabellen_Mat&amp;Bem'!f.Rd.3/'Hilfstabellen_Mat&amp;Bem'!$BD$30)</f>
        <v>0.6968469310163915</v>
      </c>
      <c r="BN217" s="553">
        <f>0.5*(1+'Hilfstabellen_Mat&amp;Bem'!$BD$31*($BM217-0.3)+$BM217^2)</f>
        <v>0.76264016918430133</v>
      </c>
      <c r="BO217" s="550">
        <f t="shared" si="202"/>
        <v>0.93238512637366056</v>
      </c>
      <c r="BQ217" s="551">
        <f t="shared" si="203"/>
        <v>67468.320129524451</v>
      </c>
      <c r="BU217" s="546">
        <f t="shared" si="204"/>
        <v>269</v>
      </c>
      <c r="BV217" s="551">
        <f t="shared" si="205"/>
        <v>45.071954100305355</v>
      </c>
      <c r="BW217" s="553">
        <f>$BV217/PI()*SQRT('Hilfstabellen_Mat&amp;Bem'!f.Rd.3/'Hilfstabellen_Mat&amp;Bem'!$BD$30)</f>
        <v>0.71734242898746181</v>
      </c>
      <c r="BX217" s="553">
        <f>0.5*(1+'Hilfstabellen_Mat&amp;Bem'!$BD$31*($BW217-0.3)+$BW217^2)</f>
        <v>0.77815720166218894</v>
      </c>
      <c r="BY217" s="550">
        <f t="shared" si="206"/>
        <v>0.9261541696530704</v>
      </c>
      <c r="CA217" s="551">
        <f t="shared" si="207"/>
        <v>67017.441870265829</v>
      </c>
      <c r="CE217" s="546">
        <f t="shared" si="208"/>
        <v>269</v>
      </c>
      <c r="CF217" s="551">
        <f t="shared" si="209"/>
        <v>46.359724217456936</v>
      </c>
      <c r="CG217" s="553">
        <f>CF217/PI()*SQRT('Hilfstabellen_Mat&amp;Bem'!f.Rd.3/'Hilfstabellen_Mat&amp;Bem'!$BD$30)</f>
        <v>0.73783792695853212</v>
      </c>
      <c r="CH217" s="553">
        <f>0.5*(1+'Hilfstabellen_Mat&amp;Bem'!$BD$31*(CG217-0.3)+CG217^2)</f>
        <v>0.79409429957715871</v>
      </c>
      <c r="CI217" s="550">
        <f t="shared" si="210"/>
        <v>0.91940477438072965</v>
      </c>
      <c r="CK217" s="551">
        <f t="shared" si="211"/>
        <v>66529.048878963978</v>
      </c>
      <c r="CO217" s="546">
        <f t="shared" si="212"/>
        <v>269</v>
      </c>
      <c r="CP217" s="551">
        <f t="shared" si="213"/>
        <v>47.647494334608517</v>
      </c>
      <c r="CQ217" s="553">
        <f>CP217/PI()*SQRT('Hilfstabellen_Mat&amp;Bem'!f.Rd.3/'Hilfstabellen_Mat&amp;Bem'!$BD$30)</f>
        <v>0.75833342492960254</v>
      </c>
      <c r="CR217" s="553">
        <f>0.5*(1+'Hilfstabellen_Mat&amp;Bem'!$BD$31*(CQ217-0.3)+CQ217^2)</f>
        <v>0.81045146292921066</v>
      </c>
      <c r="CS217" s="550">
        <f t="shared" si="214"/>
        <v>0.91208254031857483</v>
      </c>
      <c r="CU217" s="551">
        <f t="shared" si="215"/>
        <v>65999.204699992391</v>
      </c>
      <c r="CY217" s="546">
        <f t="shared" si="216"/>
        <v>269</v>
      </c>
      <c r="CZ217" s="551">
        <f t="shared" si="217"/>
        <v>48.935264451760098</v>
      </c>
      <c r="DA217" s="553">
        <f>CZ217/PI()*SQRT('Hilfstabellen_Mat&amp;Bem'!f.Rd.3/'Hilfstabellen_Mat&amp;Bem'!$BD$30)</f>
        <v>0.77882892290067274</v>
      </c>
      <c r="DB217" s="553">
        <f>0.5*(1+'Hilfstabellen_Mat&amp;Bem'!$BD$31*(DA217-0.3)+DA217^2)</f>
        <v>0.82722869171834468</v>
      </c>
      <c r="DC217" s="550">
        <f t="shared" si="218"/>
        <v>0.90413072593374932</v>
      </c>
      <c r="DE217" s="551">
        <f t="shared" si="219"/>
        <v>65423.803459292038</v>
      </c>
      <c r="DI217" s="546">
        <f t="shared" si="220"/>
        <v>269</v>
      </c>
      <c r="DJ217" s="551">
        <f t="shared" si="221"/>
        <v>50.223034568911679</v>
      </c>
      <c r="DK217" s="553">
        <f>DJ217/PI()*SQRT('Hilfstabellen_Mat&amp;Bem'!f.Rd.3/'Hilfstabellen_Mat&amp;Bem'!$BD$30)</f>
        <v>0.79932442087174316</v>
      </c>
      <c r="DL217" s="553">
        <f>0.5*(1+'Hilfstabellen_Mat&amp;Bem'!$BD$31*(DK217-0.3)+DK217^2)</f>
        <v>0.84442598594456086</v>
      </c>
      <c r="DM217" s="550">
        <f t="shared" si="222"/>
        <v>0.89549186164836869</v>
      </c>
      <c r="DO217" s="551">
        <f t="shared" si="223"/>
        <v>64798.686600737608</v>
      </c>
      <c r="DS217" s="546">
        <f t="shared" si="224"/>
        <v>269</v>
      </c>
      <c r="DT217" s="551">
        <f t="shared" si="225"/>
        <v>51.51080468606326</v>
      </c>
      <c r="DU217" s="553">
        <f>DT217/PI()*SQRT('Hilfstabellen_Mat&amp;Bem'!f.Rd.3/'Hilfstabellen_Mat&amp;Bem'!$BD$30)</f>
        <v>0.81981991884281347</v>
      </c>
      <c r="DV217" s="553">
        <f>0.5*(1+'Hilfstabellen_Mat&amp;Bem'!$BD$31*(DU217-0.3)+DU217^2)</f>
        <v>0.86204334560785933</v>
      </c>
      <c r="DW217" s="550">
        <f t="shared" si="226"/>
        <v>0.88611010766790643</v>
      </c>
      <c r="DY217" s="551">
        <f t="shared" si="227"/>
        <v>64119.813500957374</v>
      </c>
      <c r="EC217" s="546">
        <f t="shared" si="228"/>
        <v>269</v>
      </c>
      <c r="ED217" s="551">
        <f t="shared" si="229"/>
        <v>52.798574803214848</v>
      </c>
      <c r="EE217" s="553">
        <f>ED217/PI()*SQRT('Hilfstabellen_Mat&amp;Bem'!f.Rd.3/'Hilfstabellen_Mat&amp;Bem'!$BD$30)</f>
        <v>0.84031541681388389</v>
      </c>
      <c r="EF217" s="553">
        <f>0.5*(1+'Hilfstabellen_Mat&amp;Bem'!$BD$31*(EE217-0.3)+EE217^2)</f>
        <v>0.88008077070823987</v>
      </c>
      <c r="EG217" s="550">
        <f t="shared" si="230"/>
        <v>0.87593443376604074</v>
      </c>
      <c r="EI217" s="551">
        <f t="shared" si="231"/>
        <v>63383.491561744471</v>
      </c>
      <c r="EM217" s="546">
        <f t="shared" si="232"/>
        <v>269</v>
      </c>
      <c r="EN217" s="551">
        <f t="shared" si="233"/>
        <v>54.086344920366422</v>
      </c>
      <c r="EO217" s="553">
        <f>EN217/PI()*SQRT('Hilfstabellen_Mat&amp;Bem'!f.Rd.3/'Hilfstabellen_Mat&amp;Bem'!$BD$30)</f>
        <v>0.8608109147849542</v>
      </c>
      <c r="EP217" s="553">
        <f>0.5*(1+'Hilfstabellen_Mat&amp;Bem'!$BD$31*(EO217-0.3)+EO217^2)</f>
        <v>0.89853826124570257</v>
      </c>
      <c r="EQ217" s="550">
        <f t="shared" si="234"/>
        <v>0.86492258409827549</v>
      </c>
      <c r="ES217" s="551">
        <f t="shared" si="235"/>
        <v>62586.66310793531</v>
      </c>
    </row>
    <row r="218" spans="3:149">
      <c r="C218" s="546">
        <v>270</v>
      </c>
      <c r="D218" s="551">
        <f t="shared" si="185"/>
        <v>35.924016749576708</v>
      </c>
      <c r="E218" s="553">
        <f>$D218/PI()*SQRT('Hilfstabellen_Mat&amp;Bem'!f.Rd.3/'Hilfstabellen_Mat&amp;Bem'!$BD$30)</f>
        <v>0.57174848414111767</v>
      </c>
      <c r="F218" s="553">
        <f>0.5*(1+'Hilfstabellen_Mat&amp;Bem'!$BD$31*($E218-0.3)+$E218^2)</f>
        <v>0.67703558876588876</v>
      </c>
      <c r="G218" s="550">
        <f t="shared" si="186"/>
        <v>0.96187282000449648</v>
      </c>
      <c r="I218" s="551">
        <f t="shared" si="187"/>
        <v>70120.528578327794</v>
      </c>
      <c r="M218" s="546">
        <f t="shared" si="188"/>
        <v>270</v>
      </c>
      <c r="N218" s="551">
        <f t="shared" si="177"/>
        <v>37.207017347775881</v>
      </c>
      <c r="O218" s="553">
        <f>$N218/PI()*SQRT('Hilfstabellen_Mat&amp;Bem'!f.Rd.3/'Hilfstabellen_Mat&amp;Bem'!$BD$30)</f>
        <v>0.59216807286044337</v>
      </c>
      <c r="P218" s="553">
        <f>0.5*(1+'Hilfstabellen_Mat&amp;Bem'!$BD$31*($O218-0.3)+$O218^2)</f>
        <v>0.68993991690064793</v>
      </c>
      <c r="Q218" s="550">
        <f t="shared" si="178"/>
        <v>0.95786021082191408</v>
      </c>
      <c r="S218" s="551">
        <f t="shared" si="189"/>
        <v>69828.009368917541</v>
      </c>
      <c r="W218" s="546">
        <f t="shared" si="190"/>
        <v>270</v>
      </c>
      <c r="X218" s="551">
        <f t="shared" si="179"/>
        <v>38.490017945975048</v>
      </c>
      <c r="Y218" s="553">
        <f>$X218/PI()*SQRT('Hilfstabellen_Mat&amp;Bem'!f.Rd.3/'Hilfstabellen_Mat&amp;Bem'!$BD$30)</f>
        <v>0.61258766157976896</v>
      </c>
      <c r="Z218" s="553">
        <f>0.5*(1+'Hilfstabellen_Mat&amp;Bem'!$BD$31*($Y218-0.3)+$Y218^2)</f>
        <v>0.70326120463887321</v>
      </c>
      <c r="AA218" s="550">
        <f t="shared" si="180"/>
        <v>0.95358166712411119</v>
      </c>
      <c r="AC218" s="551">
        <f t="shared" si="191"/>
        <v>69516.103533347705</v>
      </c>
      <c r="AG218" s="546">
        <f t="shared" si="192"/>
        <v>270</v>
      </c>
      <c r="AH218" s="551">
        <f t="shared" si="181"/>
        <v>39.773018544174214</v>
      </c>
      <c r="AI218" s="553">
        <f>$AH218/PI()*SQRT('Hilfstabellen_Mat&amp;Bem'!f.Rd.3/'Hilfstabellen_Mat&amp;Bem'!$BD$30)</f>
        <v>0.63300725029909455</v>
      </c>
      <c r="AJ218" s="553">
        <f>0.5*(1+'Hilfstabellen_Mat&amp;Bem'!$BD$31*($AI218-0.3)+$AI218^2)</f>
        <v>0.71699945198056503</v>
      </c>
      <c r="AK218" s="550">
        <f t="shared" si="182"/>
        <v>0.94900626720818371</v>
      </c>
      <c r="AM218" s="551">
        <f t="shared" si="193"/>
        <v>69182.556879476586</v>
      </c>
      <c r="AQ218" s="546">
        <f t="shared" si="194"/>
        <v>270</v>
      </c>
      <c r="AR218" s="551">
        <f t="shared" si="183"/>
        <v>41.05601914237338</v>
      </c>
      <c r="AS218" s="553">
        <f>$AR218/PI()*SQRT('Hilfstabellen_Mat&amp;Bem'!f.Rd.3/'Hilfstabellen_Mat&amp;Bem'!$BD$30)</f>
        <v>0.65342683901842014</v>
      </c>
      <c r="AT218" s="553">
        <f>0.5*(1+'Hilfstabellen_Mat&amp;Bem'!$BD$31*($AS218-0.3)+$AS218^2)</f>
        <v>0.73115465892572318</v>
      </c>
      <c r="AU218" s="550">
        <f t="shared" si="184"/>
        <v>0.94409958375634717</v>
      </c>
      <c r="AW218" s="551">
        <f t="shared" si="195"/>
        <v>68824.859655837703</v>
      </c>
      <c r="BA218" s="546">
        <f t="shared" si="196"/>
        <v>270</v>
      </c>
      <c r="BB218" s="551">
        <f t="shared" si="197"/>
        <v>42.339019740572553</v>
      </c>
      <c r="BC218" s="553">
        <f>$BB218/PI()*SQRT('Hilfstabellen_Mat&amp;Bem'!f.Rd.3/'Hilfstabellen_Mat&amp;Bem'!$BD$30)</f>
        <v>0.67384642773774583</v>
      </c>
      <c r="BD218" s="553">
        <f>0.5*(1+'Hilfstabellen_Mat&amp;Bem'!$BD$31*($BC218-0.3)+$BC218^2)</f>
        <v>0.74572682547434788</v>
      </c>
      <c r="BE218" s="550">
        <f t="shared" si="198"/>
        <v>0.93882341945011794</v>
      </c>
      <c r="BG218" s="551">
        <f t="shared" si="199"/>
        <v>68440.227277913596</v>
      </c>
      <c r="BK218" s="546">
        <f t="shared" si="200"/>
        <v>270</v>
      </c>
      <c r="BL218" s="551">
        <f t="shared" si="201"/>
        <v>43.622020338771726</v>
      </c>
      <c r="BM218" s="553">
        <f>$BL218/PI()*SQRT('Hilfstabellen_Mat&amp;Bem'!f.Rd.3/'Hilfstabellen_Mat&amp;Bem'!$BD$30)</f>
        <v>0.69426601645707153</v>
      </c>
      <c r="BN218" s="553">
        <f>0.5*(1+'Hilfstabellen_Mat&amp;Bem'!$BD$31*($BM218-0.3)+$BM218^2)</f>
        <v>0.76071595162643901</v>
      </c>
      <c r="BO218" s="550">
        <f t="shared" si="202"/>
        <v>0.93313561859070893</v>
      </c>
      <c r="BQ218" s="551">
        <f t="shared" si="203"/>
        <v>68025.586595262677</v>
      </c>
      <c r="BU218" s="546">
        <f t="shared" si="204"/>
        <v>270</v>
      </c>
      <c r="BV218" s="551">
        <f t="shared" si="205"/>
        <v>44.905020936970892</v>
      </c>
      <c r="BW218" s="553">
        <f>$BV218/PI()*SQRT('Hilfstabellen_Mat&amp;Bem'!f.Rd.3/'Hilfstabellen_Mat&amp;Bem'!$BD$30)</f>
        <v>0.71468560517639723</v>
      </c>
      <c r="BX218" s="553">
        <f>0.5*(1+'Hilfstabellen_Mat&amp;Bem'!$BD$31*($BW218-0.3)+$BW218^2)</f>
        <v>0.77612203738199637</v>
      </c>
      <c r="BY218" s="550">
        <f t="shared" si="206"/>
        <v>0.92699001204304887</v>
      </c>
      <c r="CA218" s="551">
        <f t="shared" si="207"/>
        <v>67577.571877938259</v>
      </c>
      <c r="CE218" s="546">
        <f t="shared" si="208"/>
        <v>270</v>
      </c>
      <c r="CF218" s="551">
        <f t="shared" si="209"/>
        <v>46.188021535170058</v>
      </c>
      <c r="CG218" s="553">
        <f>CF218/PI()*SQRT('Hilfstabellen_Mat&amp;Bem'!f.Rd.3/'Hilfstabellen_Mat&amp;Bem'!$BD$30)</f>
        <v>0.73510519389572282</v>
      </c>
      <c r="CH218" s="553">
        <f>0.5*(1+'Hilfstabellen_Mat&amp;Bem'!$BD$31*(CG218-0.3)+CG218^2)</f>
        <v>0.79194508274102016</v>
      </c>
      <c r="CI218" s="550">
        <f t="shared" si="210"/>
        <v>0.92033657436610028</v>
      </c>
      <c r="CK218" s="551">
        <f t="shared" si="211"/>
        <v>67092.536271288714</v>
      </c>
      <c r="CO218" s="546">
        <f t="shared" si="212"/>
        <v>270</v>
      </c>
      <c r="CP218" s="551">
        <f t="shared" si="213"/>
        <v>47.471022133369232</v>
      </c>
      <c r="CQ218" s="553">
        <f>CP218/PI()*SQRT('Hilfstabellen_Mat&amp;Bem'!f.Rd.3/'Hilfstabellen_Mat&amp;Bem'!$BD$30)</f>
        <v>0.75552478261504852</v>
      </c>
      <c r="CR218" s="553">
        <f>0.5*(1+'Hilfstabellen_Mat&amp;Bem'!$BD$31*(CQ218-0.3)+CQ218^2)</f>
        <v>0.80818508770351061</v>
      </c>
      <c r="CS218" s="550">
        <f t="shared" si="214"/>
        <v>0.91312189611746508</v>
      </c>
      <c r="CU218" s="551">
        <f t="shared" si="215"/>
        <v>66566.586226963205</v>
      </c>
      <c r="CY218" s="546">
        <f t="shared" si="216"/>
        <v>270</v>
      </c>
      <c r="CZ218" s="551">
        <f t="shared" si="217"/>
        <v>48.754022731568398</v>
      </c>
      <c r="DA218" s="553">
        <f>CZ218/PI()*SQRT('Hilfstabellen_Mat&amp;Bem'!f.Rd.3/'Hilfstabellen_Mat&amp;Bem'!$BD$30)</f>
        <v>0.77594437133437411</v>
      </c>
      <c r="DB218" s="553">
        <f>0.5*(1+'Hilfstabellen_Mat&amp;Bem'!$BD$31*(DA218-0.3)+DA218^2)</f>
        <v>0.82484205226946727</v>
      </c>
      <c r="DC218" s="550">
        <f t="shared" si="218"/>
        <v>0.90529009713278707</v>
      </c>
      <c r="DE218" s="551">
        <f t="shared" si="219"/>
        <v>65995.648080980172</v>
      </c>
      <c r="DI218" s="546">
        <f t="shared" si="220"/>
        <v>270</v>
      </c>
      <c r="DJ218" s="551">
        <f t="shared" si="221"/>
        <v>50.037023329767564</v>
      </c>
      <c r="DK218" s="553">
        <f>DJ218/PI()*SQRT('Hilfstabellen_Mat&amp;Bem'!f.Rd.3/'Hilfstabellen_Mat&amp;Bem'!$BD$30)</f>
        <v>0.79636396005369958</v>
      </c>
      <c r="DL218" s="553">
        <f>0.5*(1+'Hilfstabellen_Mat&amp;Bem'!$BD$31*(DK218-0.3)+DK218^2)</f>
        <v>0.84191597643889027</v>
      </c>
      <c r="DM218" s="550">
        <f t="shared" si="222"/>
        <v>0.89678432041935363</v>
      </c>
      <c r="DO218" s="551">
        <f t="shared" si="223"/>
        <v>65375.576958570877</v>
      </c>
      <c r="DS218" s="546">
        <f t="shared" si="224"/>
        <v>270</v>
      </c>
      <c r="DT218" s="551">
        <f t="shared" si="225"/>
        <v>51.32002392796673</v>
      </c>
      <c r="DU218" s="553">
        <f>DT218/PI()*SQRT('Hilfstabellen_Mat&amp;Bem'!f.Rd.3/'Hilfstabellen_Mat&amp;Bem'!$BD$30)</f>
        <v>0.81678354877302528</v>
      </c>
      <c r="DV218" s="553">
        <f>0.5*(1+'Hilfstabellen_Mat&amp;Bem'!$BD$31*(DU218-0.3)+DU218^2)</f>
        <v>0.8594068602117797</v>
      </c>
      <c r="DW218" s="550">
        <f t="shared" si="226"/>
        <v>0.88754893868220897</v>
      </c>
      <c r="DY218" s="551">
        <f t="shared" si="227"/>
        <v>64702.317629933037</v>
      </c>
      <c r="EC218" s="546">
        <f t="shared" si="228"/>
        <v>270</v>
      </c>
      <c r="ED218" s="551">
        <f t="shared" si="229"/>
        <v>52.603024526165896</v>
      </c>
      <c r="EE218" s="553">
        <f>ED218/PI()*SQRT('Hilfstabellen_Mat&amp;Bem'!f.Rd.3/'Hilfstabellen_Mat&amp;Bem'!$BD$30)</f>
        <v>0.83720313749235098</v>
      </c>
      <c r="EF218" s="553">
        <f>0.5*(1+'Hilfstabellen_Mat&amp;Bem'!$BD$31*(EE218-0.3)+EE218^2)</f>
        <v>0.87731470358813568</v>
      </c>
      <c r="EG218" s="550">
        <f t="shared" si="230"/>
        <v>0.87753255950655018</v>
      </c>
      <c r="EI218" s="551">
        <f t="shared" si="231"/>
        <v>63972.123588027505</v>
      </c>
      <c r="EM218" s="546">
        <f t="shared" si="232"/>
        <v>270</v>
      </c>
      <c r="EN218" s="551">
        <f t="shared" si="233"/>
        <v>53.886025124365069</v>
      </c>
      <c r="EO218" s="553">
        <f>EN218/PI()*SQRT('Hilfstabellen_Mat&amp;Bem'!f.Rd.3/'Hilfstabellen_Mat&amp;Bem'!$BD$30)</f>
        <v>0.85762272621167657</v>
      </c>
      <c r="EP218" s="553">
        <f>0.5*(1+'Hilfstabellen_Mat&amp;Bem'!$BD$31*(EO218-0.3)+EO218^2)</f>
        <v>0.8956395065679581</v>
      </c>
      <c r="EQ218" s="550">
        <f t="shared" si="234"/>
        <v>0.86669181327531264</v>
      </c>
      <c r="ES218" s="551">
        <f t="shared" si="235"/>
        <v>63181.833187770295</v>
      </c>
    </row>
    <row r="219" spans="3:149">
      <c r="C219" s="546">
        <v>271</v>
      </c>
      <c r="D219" s="551">
        <f t="shared" si="185"/>
        <v>35.791455802161302</v>
      </c>
      <c r="E219" s="553">
        <f>$D219/PI()*SQRT('Hilfstabellen_Mat&amp;Bem'!f.Rd.3/'Hilfstabellen_Mat&amp;Bem'!$BD$30)</f>
        <v>0.56963871113690689</v>
      </c>
      <c r="F219" s="553">
        <f>0.5*(1+'Hilfstabellen_Mat&amp;Bem'!$BD$31*($E219-0.3)+$E219^2)</f>
        <v>0.67572606616970354</v>
      </c>
      <c r="G219" s="550">
        <f t="shared" si="186"/>
        <v>0.96227338375058624</v>
      </c>
      <c r="I219" s="551">
        <f t="shared" si="187"/>
        <v>70670.319576026799</v>
      </c>
      <c r="M219" s="546">
        <f t="shared" si="188"/>
        <v>271</v>
      </c>
      <c r="N219" s="551">
        <f t="shared" si="177"/>
        <v>37.069722080809917</v>
      </c>
      <c r="O219" s="553">
        <f>$N219/PI()*SQRT('Hilfstabellen_Mat&amp;Bem'!f.Rd.3/'Hilfstabellen_Mat&amp;Bem'!$BD$30)</f>
        <v>0.58998295082036789</v>
      </c>
      <c r="P219" s="553">
        <f>0.5*(1+'Hilfstabellen_Mat&amp;Bem'!$BD$31*($O219-0.3)+$O219^2)</f>
        <v>0.68853908867037272</v>
      </c>
      <c r="Q219" s="550">
        <f t="shared" si="178"/>
        <v>0.9583017964129571</v>
      </c>
      <c r="S219" s="551">
        <f t="shared" si="189"/>
        <v>70378.642230363985</v>
      </c>
      <c r="W219" s="546">
        <f t="shared" si="190"/>
        <v>271</v>
      </c>
      <c r="X219" s="551">
        <f t="shared" si="179"/>
        <v>38.347988359458533</v>
      </c>
      <c r="Y219" s="553">
        <f>$X219/PI()*SQRT('Hilfstabellen_Mat&amp;Bem'!f.Rd.3/'Hilfstabellen_Mat&amp;Bem'!$BD$30)</f>
        <v>0.61032719050382889</v>
      </c>
      <c r="Z219" s="553">
        <f>0.5*(1+'Hilfstabellen_Mat&amp;Bem'!$BD$31*($Y219-0.3)+$Y219^2)</f>
        <v>0.70176599925934002</v>
      </c>
      <c r="AA219" s="550">
        <f t="shared" si="180"/>
        <v>0.95406932621560037</v>
      </c>
      <c r="AC219" s="551">
        <f t="shared" si="191"/>
        <v>70067.80538659991</v>
      </c>
      <c r="AG219" s="546">
        <f t="shared" si="192"/>
        <v>271</v>
      </c>
      <c r="AH219" s="551">
        <f t="shared" si="181"/>
        <v>39.626254638107156</v>
      </c>
      <c r="AI219" s="553">
        <f>$AH219/PI()*SQRT('Hilfstabellen_Mat&amp;Bem'!f.Rd.3/'Hilfstabellen_Mat&amp;Bem'!$BD$30)</f>
        <v>0.63067143018728988</v>
      </c>
      <c r="AJ219" s="553">
        <f>0.5*(1+'Hilfstabellen_Mat&amp;Bem'!$BD$31*($AI219-0.3)+$AI219^2)</f>
        <v>0.71540679793660533</v>
      </c>
      <c r="AK219" s="550">
        <f t="shared" si="182"/>
        <v>0.94954575259079355</v>
      </c>
      <c r="AM219" s="551">
        <f t="shared" si="193"/>
        <v>69735.589616020472</v>
      </c>
      <c r="AQ219" s="546">
        <f t="shared" si="194"/>
        <v>271</v>
      </c>
      <c r="AR219" s="551">
        <f t="shared" si="183"/>
        <v>40.904520916755772</v>
      </c>
      <c r="AS219" s="553">
        <f>$AR219/PI()*SQRT('Hilfstabellen_Mat&amp;Bem'!f.Rd.3/'Hilfstabellen_Mat&amp;Bem'!$BD$30)</f>
        <v>0.65101566987075077</v>
      </c>
      <c r="AT219" s="553">
        <f>0.5*(1+'Hilfstabellen_Mat&amp;Bem'!$BD$31*($AS219-0.3)+$AS219^2)</f>
        <v>0.72946148470216876</v>
      </c>
      <c r="AU219" s="550">
        <f t="shared" si="184"/>
        <v>0.94469743238061588</v>
      </c>
      <c r="AW219" s="551">
        <f t="shared" si="195"/>
        <v>69379.524131464816</v>
      </c>
      <c r="BA219" s="546">
        <f t="shared" si="196"/>
        <v>271</v>
      </c>
      <c r="BB219" s="551">
        <f t="shared" si="197"/>
        <v>42.182787195404387</v>
      </c>
      <c r="BC219" s="553">
        <f>$BB219/PI()*SQRT('Hilfstabellen_Mat&amp;Bem'!f.Rd.3/'Hilfstabellen_Mat&amp;Bem'!$BD$30)</f>
        <v>0.67135990955421176</v>
      </c>
      <c r="BD219" s="553">
        <f>0.5*(1+'Hilfstabellen_Mat&amp;Bem'!$BD$31*($BC219-0.3)+$BC219^2)</f>
        <v>0.74393005955603031</v>
      </c>
      <c r="BE219" s="550">
        <f t="shared" si="198"/>
        <v>0.93948703456283045</v>
      </c>
      <c r="BG219" s="551">
        <f t="shared" si="199"/>
        <v>68996.867305328837</v>
      </c>
      <c r="BK219" s="546">
        <f t="shared" si="200"/>
        <v>271</v>
      </c>
      <c r="BL219" s="551">
        <f t="shared" si="201"/>
        <v>43.46105347405301</v>
      </c>
      <c r="BM219" s="553">
        <f>$BL219/PI()*SQRT('Hilfstabellen_Mat&amp;Bem'!f.Rd.3/'Hilfstabellen_Mat&amp;Bem'!$BD$30)</f>
        <v>0.69170414923767276</v>
      </c>
      <c r="BN219" s="553">
        <f>0.5*(1+'Hilfstabellen_Mat&amp;Bem'!$BD$31*($BM219-0.3)+$BM219^2)</f>
        <v>0.75881252249818998</v>
      </c>
      <c r="BO219" s="550">
        <f t="shared" si="202"/>
        <v>0.93387334404238487</v>
      </c>
      <c r="BQ219" s="551">
        <f t="shared" si="203"/>
        <v>68584.592259816782</v>
      </c>
      <c r="BU219" s="546">
        <f t="shared" si="204"/>
        <v>271</v>
      </c>
      <c r="BV219" s="551">
        <f t="shared" si="205"/>
        <v>44.739319752701626</v>
      </c>
      <c r="BW219" s="553">
        <f>$BV219/PI()*SQRT('Hilfstabellen_Mat&amp;Bem'!f.Rd.3/'Hilfstabellen_Mat&amp;Bem'!$BD$30)</f>
        <v>0.71204838892113376</v>
      </c>
      <c r="BX219" s="553">
        <f>0.5*(1+'Hilfstabellen_Mat&amp;Bem'!$BD$31*($BW219-0.3)+$BW219^2)</f>
        <v>0.77410887352864777</v>
      </c>
      <c r="BY219" s="550">
        <f t="shared" si="206"/>
        <v>0.92781118815711272</v>
      </c>
      <c r="CA219" s="551">
        <f t="shared" si="207"/>
        <v>68139.381469446511</v>
      </c>
      <c r="CE219" s="546">
        <f t="shared" si="208"/>
        <v>271</v>
      </c>
      <c r="CF219" s="551">
        <f t="shared" si="209"/>
        <v>46.017586031350241</v>
      </c>
      <c r="CG219" s="553">
        <f>CF219/PI()*SQRT('Hilfstabellen_Mat&amp;Bem'!f.Rd.3/'Hilfstabellen_Mat&amp;Bem'!$BD$30)</f>
        <v>0.73239262860459453</v>
      </c>
      <c r="CH219" s="553">
        <f>0.5*(1+'Hilfstabellen_Mat&amp;Bem'!$BD$31*(CG219-0.3)+CG219^2)</f>
        <v>0.78981911264740345</v>
      </c>
      <c r="CI219" s="550">
        <f t="shared" si="210"/>
        <v>0.92125156004359798</v>
      </c>
      <c r="CK219" s="551">
        <f t="shared" si="211"/>
        <v>67657.635821161879</v>
      </c>
      <c r="CO219" s="546">
        <f t="shared" si="212"/>
        <v>271</v>
      </c>
      <c r="CP219" s="551">
        <f t="shared" si="213"/>
        <v>47.295852309998864</v>
      </c>
      <c r="CQ219" s="553">
        <f>CP219/PI()*SQRT('Hilfstabellen_Mat&amp;Bem'!f.Rd.3/'Hilfstabellen_Mat&amp;Bem'!$BD$30)</f>
        <v>0.75273686828805564</v>
      </c>
      <c r="CR219" s="553">
        <f>0.5*(1+'Hilfstabellen_Mat&amp;Bem'!$BD$31*(CQ219-0.3)+CQ219^2)</f>
        <v>0.80594323985445748</v>
      </c>
      <c r="CS219" s="550">
        <f t="shared" si="214"/>
        <v>0.91414203627752977</v>
      </c>
      <c r="CU219" s="551">
        <f t="shared" si="215"/>
        <v>67135.505286258063</v>
      </c>
      <c r="CY219" s="546">
        <f t="shared" si="216"/>
        <v>271</v>
      </c>
      <c r="CZ219" s="551">
        <f t="shared" si="217"/>
        <v>48.57411858864748</v>
      </c>
      <c r="DA219" s="553">
        <f>CZ219/PI()*SQRT('Hilfstabellen_Mat&amp;Bem'!f.Rd.3/'Hilfstabellen_Mat&amp;Bem'!$BD$30)</f>
        <v>0.77308110797151652</v>
      </c>
      <c r="DB219" s="553">
        <f>0.5*(1+'Hilfstabellen_Mat&amp;Bem'!$BD$31*(DA219-0.3)+DA219^2)</f>
        <v>0.82248125514980952</v>
      </c>
      <c r="DC219" s="550">
        <f t="shared" si="218"/>
        <v>0.90642760884733797</v>
      </c>
      <c r="DE219" s="551">
        <f t="shared" si="219"/>
        <v>66568.950021357348</v>
      </c>
      <c r="DI219" s="546">
        <f t="shared" si="220"/>
        <v>271</v>
      </c>
      <c r="DJ219" s="551">
        <f t="shared" si="221"/>
        <v>49.852384867296095</v>
      </c>
      <c r="DK219" s="553">
        <f>DJ219/PI()*SQRT('Hilfstabellen_Mat&amp;Bem'!f.Rd.3/'Hilfstabellen_Mat&amp;Bem'!$BD$30)</f>
        <v>0.79342534765497752</v>
      </c>
      <c r="DL219" s="553">
        <f>0.5*(1+'Hilfstabellen_Mat&amp;Bem'!$BD$31*(DK219-0.3)+DK219^2)</f>
        <v>0.83943315853345979</v>
      </c>
      <c r="DM219" s="550">
        <f t="shared" si="222"/>
        <v>0.89805206668609616</v>
      </c>
      <c r="DO219" s="551">
        <f t="shared" si="223"/>
        <v>65953.841829493584</v>
      </c>
      <c r="DS219" s="546">
        <f t="shared" si="224"/>
        <v>271</v>
      </c>
      <c r="DT219" s="551">
        <f t="shared" si="225"/>
        <v>51.130651145944718</v>
      </c>
      <c r="DU219" s="553">
        <f>DT219/PI()*SQRT('Hilfstabellen_Mat&amp;Bem'!f.Rd.3/'Hilfstabellen_Mat&amp;Bem'!$BD$30)</f>
        <v>0.81376958733843852</v>
      </c>
      <c r="DV219" s="553">
        <f>0.5*(1+'Hilfstabellen_Mat&amp;Bem'!$BD$31*(DU219-0.3)+DU219^2)</f>
        <v>0.85679895000540807</v>
      </c>
      <c r="DW219" s="550">
        <f t="shared" si="226"/>
        <v>0.88896005826607749</v>
      </c>
      <c r="DY219" s="551">
        <f t="shared" si="227"/>
        <v>65286.115639118994</v>
      </c>
      <c r="EC219" s="546">
        <f t="shared" si="228"/>
        <v>271</v>
      </c>
      <c r="ED219" s="551">
        <f t="shared" si="229"/>
        <v>52.408917424593334</v>
      </c>
      <c r="EE219" s="553">
        <f>ED219/PI()*SQRT('Hilfstabellen_Mat&amp;Bem'!f.Rd.3/'Hilfstabellen_Mat&amp;Bem'!$BD$30)</f>
        <v>0.83411382702189951</v>
      </c>
      <c r="EF219" s="553">
        <f>0.5*(1+'Hilfstabellen_Mat&amp;Bem'!$BD$31*(EE219-0.3)+EE219^2)</f>
        <v>0.87457862956565469</v>
      </c>
      <c r="EG219" s="550">
        <f t="shared" si="230"/>
        <v>0.87909992829444861</v>
      </c>
      <c r="EI219" s="551">
        <f t="shared" si="231"/>
        <v>64561.977833872603</v>
      </c>
      <c r="EM219" s="546">
        <f t="shared" si="232"/>
        <v>271</v>
      </c>
      <c r="EN219" s="551">
        <f t="shared" si="233"/>
        <v>53.687183703241949</v>
      </c>
      <c r="EO219" s="553">
        <f>EN219/PI()*SQRT('Hilfstabellen_Mat&amp;Bem'!f.Rd.3/'Hilfstabellen_Mat&amp;Bem'!$BD$30)</f>
        <v>0.8544580667053604</v>
      </c>
      <c r="EP219" s="553">
        <f>0.5*(1+'Hilfstabellen_Mat&amp;Bem'!$BD$31*(EO219-0.3)+EO219^2)</f>
        <v>0.89277219721419909</v>
      </c>
      <c r="EQ219" s="550">
        <f t="shared" si="234"/>
        <v>0.86842733107477588</v>
      </c>
      <c r="ES219" s="551">
        <f t="shared" si="235"/>
        <v>63778.171621462614</v>
      </c>
    </row>
    <row r="220" spans="3:149">
      <c r="C220" s="546">
        <v>272</v>
      </c>
      <c r="D220" s="551">
        <f t="shared" si="185"/>
        <v>35.659869567594534</v>
      </c>
      <c r="E220" s="553">
        <f>$D220/PI()*SQRT('Hilfstabellen_Mat&amp;Bem'!f.Rd.3/'Hilfstabellen_Mat&amp;Bem'!$BD$30)</f>
        <v>0.56754445116949181</v>
      </c>
      <c r="F220" s="553">
        <f>0.5*(1+'Hilfstabellen_Mat&amp;Bem'!$BD$31*($E220-0.3)+$E220^2)</f>
        <v>0.67443057458511446</v>
      </c>
      <c r="G220" s="550">
        <f t="shared" si="186"/>
        <v>0.96266851798141373</v>
      </c>
      <c r="I220" s="551">
        <f t="shared" si="187"/>
        <v>71222.067634336912</v>
      </c>
      <c r="M220" s="546">
        <f t="shared" si="188"/>
        <v>272</v>
      </c>
      <c r="N220" s="551">
        <f t="shared" si="177"/>
        <v>36.933436337865764</v>
      </c>
      <c r="O220" s="553">
        <f>$N220/PI()*SQRT('Hilfstabellen_Mat&amp;Bem'!f.Rd.3/'Hilfstabellen_Mat&amp;Bem'!$BD$30)</f>
        <v>0.58781389585411659</v>
      </c>
      <c r="P220" s="553">
        <f>0.5*(1+'Hilfstabellen_Mat&amp;Bem'!$BD$31*($O220-0.3)+$O220^2)</f>
        <v>0.68715328287230293</v>
      </c>
      <c r="Q220" s="550">
        <f t="shared" si="178"/>
        <v>0.9587371613804202</v>
      </c>
      <c r="S220" s="551">
        <f t="shared" si="189"/>
        <v>70931.210147569014</v>
      </c>
      <c r="W220" s="546">
        <f t="shared" si="190"/>
        <v>272</v>
      </c>
      <c r="X220" s="551">
        <f t="shared" si="179"/>
        <v>38.207003108136995</v>
      </c>
      <c r="Y220" s="553">
        <f>$X220/PI()*SQRT('Hilfstabellen_Mat&amp;Bem'!f.Rd.3/'Hilfstabellen_Mat&amp;Bem'!$BD$30)</f>
        <v>0.60808334053874125</v>
      </c>
      <c r="Z220" s="553">
        <f>0.5*(1+'Hilfstabellen_Mat&amp;Bem'!$BD$31*($Y220-0.3)+$Y220^2)</f>
        <v>0.70028684154731446</v>
      </c>
      <c r="AA220" s="550">
        <f t="shared" si="180"/>
        <v>0.95454984858793968</v>
      </c>
      <c r="AC220" s="551">
        <f t="shared" si="191"/>
        <v>70621.415997930133</v>
      </c>
      <c r="AG220" s="546">
        <f t="shared" si="192"/>
        <v>272</v>
      </c>
      <c r="AH220" s="551">
        <f t="shared" si="181"/>
        <v>39.480569878408225</v>
      </c>
      <c r="AI220" s="553">
        <f>$AH220/PI()*SQRT('Hilfstabellen_Mat&amp;Bem'!f.Rd.3/'Hilfstabellen_Mat&amp;Bem'!$BD$30)</f>
        <v>0.62835278522336591</v>
      </c>
      <c r="AJ220" s="553">
        <f>0.5*(1+'Hilfstabellen_Mat&amp;Bem'!$BD$31*($AI220-0.3)+$AI220^2)</f>
        <v>0.71383125061014907</v>
      </c>
      <c r="AK220" s="550">
        <f t="shared" si="182"/>
        <v>0.95007704115059255</v>
      </c>
      <c r="AM220" s="551">
        <f t="shared" si="193"/>
        <v>70290.499812485446</v>
      </c>
      <c r="AQ220" s="546">
        <f t="shared" si="194"/>
        <v>272</v>
      </c>
      <c r="AR220" s="551">
        <f t="shared" si="183"/>
        <v>40.754136648679463</v>
      </c>
      <c r="AS220" s="553">
        <f>$AR220/PI()*SQRT('Hilfstabellen_Mat&amp;Bem'!f.Rd.3/'Hilfstabellen_Mat&amp;Bem'!$BD$30)</f>
        <v>0.64862222990799068</v>
      </c>
      <c r="AT220" s="553">
        <f>0.5*(1+'Hilfstabellen_Mat&amp;Bem'!$BD$31*($AS220-0.3)+$AS220^2)</f>
        <v>0.72778651006080675</v>
      </c>
      <c r="AU220" s="550">
        <f t="shared" si="184"/>
        <v>0.94528585933696407</v>
      </c>
      <c r="AW220" s="551">
        <f t="shared" si="195"/>
        <v>69936.029017185952</v>
      </c>
      <c r="BA220" s="546">
        <f t="shared" si="196"/>
        <v>272</v>
      </c>
      <c r="BB220" s="551">
        <f t="shared" si="197"/>
        <v>42.027703418950701</v>
      </c>
      <c r="BC220" s="553">
        <f>$BB220/PI()*SQRT('Hilfstabellen_Mat&amp;Bem'!f.Rd.3/'Hilfstabellen_Mat&amp;Bem'!$BD$30)</f>
        <v>0.66889167459261545</v>
      </c>
      <c r="BD220" s="553">
        <f>0.5*(1+'Hilfstabellen_Mat&amp;Bem'!$BD$31*($BC220-0.3)+$BC220^2)</f>
        <v>0.74215261989928738</v>
      </c>
      <c r="BE220" s="550">
        <f t="shared" si="198"/>
        <v>0.94013981658058887</v>
      </c>
      <c r="BG220" s="551">
        <f t="shared" si="199"/>
        <v>69555.304189898292</v>
      </c>
      <c r="BK220" s="546">
        <f t="shared" si="200"/>
        <v>272</v>
      </c>
      <c r="BL220" s="551">
        <f t="shared" si="201"/>
        <v>43.301270189221931</v>
      </c>
      <c r="BM220" s="553">
        <f>$BL220/PI()*SQRT('Hilfstabellen_Mat&amp;Bem'!f.Rd.3/'Hilfstabellen_Mat&amp;Bem'!$BD$30)</f>
        <v>0.68916111927724011</v>
      </c>
      <c r="BN220" s="553">
        <f>0.5*(1+'Hilfstabellen_Mat&amp;Bem'!$BD$31*($BM220-0.3)+$BM220^2)</f>
        <v>0.75692958012559108</v>
      </c>
      <c r="BO220" s="550">
        <f t="shared" si="202"/>
        <v>0.9345986165714808</v>
      </c>
      <c r="BQ220" s="551">
        <f t="shared" si="203"/>
        <v>69145.344048424435</v>
      </c>
      <c r="BU220" s="546">
        <f t="shared" si="204"/>
        <v>272</v>
      </c>
      <c r="BV220" s="551">
        <f t="shared" si="205"/>
        <v>44.574836959493162</v>
      </c>
      <c r="BW220" s="553">
        <f>$BV220/PI()*SQRT('Hilfstabellen_Mat&amp;Bem'!f.Rd.3/'Hilfstabellen_Mat&amp;Bem'!$BD$30)</f>
        <v>0.70943056396186477</v>
      </c>
      <c r="BX220" s="553">
        <f>0.5*(1+'Hilfstabellen_Mat&amp;Bem'!$BD$31*($BW220-0.3)+$BW220^2)</f>
        <v>0.77211739073971808</v>
      </c>
      <c r="BY220" s="550">
        <f t="shared" si="206"/>
        <v>0.92861806319968909</v>
      </c>
      <c r="CA220" s="551">
        <f t="shared" si="207"/>
        <v>68702.878787765803</v>
      </c>
      <c r="CE220" s="546">
        <f t="shared" si="208"/>
        <v>272</v>
      </c>
      <c r="CF220" s="551">
        <f t="shared" si="209"/>
        <v>45.848403729764392</v>
      </c>
      <c r="CG220" s="553">
        <f>CF220/PI()*SQRT('Hilfstabellen_Mat&amp;Bem'!f.Rd.3/'Hilfstabellen_Mat&amp;Bem'!$BD$30)</f>
        <v>0.72970000864648943</v>
      </c>
      <c r="CH220" s="553">
        <f>0.5*(1+'Hilfstabellen_Mat&amp;Bem'!$BD$31*(CG220-0.3)+CG220^2)</f>
        <v>0.78771605174166792</v>
      </c>
      <c r="CI220" s="550">
        <f t="shared" si="210"/>
        <v>0.92215015303583658</v>
      </c>
      <c r="CK220" s="551">
        <f t="shared" si="211"/>
        <v>68224.35692220334</v>
      </c>
      <c r="CO220" s="546">
        <f t="shared" si="212"/>
        <v>272</v>
      </c>
      <c r="CP220" s="551">
        <f t="shared" si="213"/>
        <v>47.12197050003563</v>
      </c>
      <c r="CQ220" s="553">
        <f>CP220/PI()*SQRT('Hilfstabellen_Mat&amp;Bem'!f.Rd.3/'Hilfstabellen_Mat&amp;Bem'!$BD$30)</f>
        <v>0.7499694533311142</v>
      </c>
      <c r="CR220" s="553">
        <f>0.5*(1+'Hilfstabellen_Mat&amp;Bem'!$BD$31*(CQ220-0.3)+CQ220^2)</f>
        <v>0.80372556313144083</v>
      </c>
      <c r="CS220" s="550">
        <f t="shared" si="214"/>
        <v>0.91514344242918688</v>
      </c>
      <c r="CU220" s="551">
        <f t="shared" si="215"/>
        <v>67705.972444680956</v>
      </c>
      <c r="CY220" s="546">
        <f t="shared" si="216"/>
        <v>272</v>
      </c>
      <c r="CZ220" s="551">
        <f t="shared" si="217"/>
        <v>48.39553727030686</v>
      </c>
      <c r="DA220" s="553">
        <f>CZ220/PI()*SQRT('Hilfstabellen_Mat&amp;Bem'!f.Rd.3/'Hilfstabellen_Mat&amp;Bem'!$BD$30)</f>
        <v>0.77023889801573886</v>
      </c>
      <c r="DB220" s="553">
        <f>0.5*(1+'Hilfstabellen_Mat&amp;Bem'!$BD$31*(DA220-0.3)+DA220^2)</f>
        <v>0.82014592490903682</v>
      </c>
      <c r="DC220" s="550">
        <f t="shared" si="218"/>
        <v>0.90754380366412257</v>
      </c>
      <c r="DE220" s="551">
        <f t="shared" si="219"/>
        <v>67143.72077028644</v>
      </c>
      <c r="DI220" s="546">
        <f t="shared" si="220"/>
        <v>272</v>
      </c>
      <c r="DJ220" s="551">
        <f t="shared" si="221"/>
        <v>49.669104040578098</v>
      </c>
      <c r="DK220" s="553">
        <f>DJ220/PI()*SQRT('Hilfstabellen_Mat&amp;Bem'!f.Rd.3/'Hilfstabellen_Mat&amp;Bem'!$BD$30)</f>
        <v>0.79050834270036363</v>
      </c>
      <c r="DL220" s="553">
        <f>0.5*(1+'Hilfstabellen_Mat&amp;Bem'!$BD$31*(DK220-0.3)+DK220^2)</f>
        <v>0.83697713707445598</v>
      </c>
      <c r="DM220" s="550">
        <f t="shared" si="222"/>
        <v>0.89929570082260257</v>
      </c>
      <c r="DO220" s="551">
        <f t="shared" si="223"/>
        <v>66533.49312965943</v>
      </c>
      <c r="DS220" s="546">
        <f t="shared" si="224"/>
        <v>272</v>
      </c>
      <c r="DT220" s="551">
        <f t="shared" si="225"/>
        <v>50.942670810849329</v>
      </c>
      <c r="DU220" s="553">
        <f>DT220/PI()*SQRT('Hilfstabellen_Mat&amp;Bem'!f.Rd.3/'Hilfstabellen_Mat&amp;Bem'!$BD$30)</f>
        <v>0.8107777873849884</v>
      </c>
      <c r="DV220" s="553">
        <f>0.5*(1+'Hilfstabellen_Mat&amp;Bem'!$BD$31*(DU220-0.3)+DU220^2)</f>
        <v>0.85421919962769821</v>
      </c>
      <c r="DW220" s="550">
        <f t="shared" si="226"/>
        <v>0.89034411565570126</v>
      </c>
      <c r="DY220" s="551">
        <f t="shared" si="227"/>
        <v>65871.219052671397</v>
      </c>
      <c r="EC220" s="546">
        <f t="shared" si="228"/>
        <v>272</v>
      </c>
      <c r="ED220" s="551">
        <f t="shared" si="229"/>
        <v>52.216237581120566</v>
      </c>
      <c r="EE220" s="553">
        <f>ED220/PI()*SQRT('Hilfstabellen_Mat&amp;Bem'!f.Rd.3/'Hilfstabellen_Mat&amp;Bem'!$BD$30)</f>
        <v>0.83104723206961306</v>
      </c>
      <c r="EF220" s="553">
        <f>0.5*(1+'Hilfstabellen_Mat&amp;Bem'!$BD$31*(EE220-0.3)+EE220^2)</f>
        <v>0.87187211256876329</v>
      </c>
      <c r="EG220" s="550">
        <f t="shared" si="230"/>
        <v>0.88063722206051653</v>
      </c>
      <c r="EI220" s="551">
        <f t="shared" si="231"/>
        <v>65153.064236925253</v>
      </c>
      <c r="EM220" s="546">
        <f t="shared" si="232"/>
        <v>272</v>
      </c>
      <c r="EN220" s="551">
        <f t="shared" si="233"/>
        <v>53.489804351391797</v>
      </c>
      <c r="EO220" s="553">
        <f>EN220/PI()*SQRT('Hilfstabellen_Mat&amp;Bem'!f.Rd.3/'Hilfstabellen_Mat&amp;Bem'!$BD$30)</f>
        <v>0.85131667675423783</v>
      </c>
      <c r="EP220" s="553">
        <f>0.5*(1+'Hilfstabellen_Mat&amp;Bem'!$BD$31*(EO220-0.3)+EO220^2)</f>
        <v>0.88993587589765166</v>
      </c>
      <c r="EQ220" s="550">
        <f t="shared" si="234"/>
        <v>0.87012982788655779</v>
      </c>
      <c r="ES220" s="551">
        <f t="shared" si="235"/>
        <v>64375.685186359093</v>
      </c>
    </row>
    <row r="221" spans="3:149">
      <c r="C221" s="546">
        <v>273</v>
      </c>
      <c r="D221" s="551">
        <f t="shared" si="185"/>
        <v>35.529247334746202</v>
      </c>
      <c r="E221" s="553">
        <f>$D221/PI()*SQRT('Hilfstabellen_Mat&amp;Bem'!f.Rd.3/'Hilfstabellen_Mat&amp;Bem'!$BD$30)</f>
        <v>0.56546553376594066</v>
      </c>
      <c r="F221" s="553">
        <f>0.5*(1+'Hilfstabellen_Mat&amp;Bem'!$BD$31*($E221-0.3)+$E221^2)</f>
        <v>0.67314891162689716</v>
      </c>
      <c r="G221" s="550">
        <f t="shared" si="186"/>
        <v>0.96305833703650445</v>
      </c>
      <c r="I221" s="551">
        <f t="shared" si="187"/>
        <v>71775.774800993633</v>
      </c>
      <c r="M221" s="546">
        <f t="shared" si="188"/>
        <v>273</v>
      </c>
      <c r="N221" s="551">
        <f t="shared" si="177"/>
        <v>36.798149025272849</v>
      </c>
      <c r="O221" s="553">
        <f>$N221/PI()*SQRT('Hilfstabellen_Mat&amp;Bem'!f.Rd.3/'Hilfstabellen_Mat&amp;Bem'!$BD$30)</f>
        <v>0.58566073140043851</v>
      </c>
      <c r="P221" s="553">
        <f>0.5*(1+'Hilfstabellen_Mat&amp;Bem'!$BD$31*($O221-0.3)+$O221^2)</f>
        <v>0.68578228272227026</v>
      </c>
      <c r="Q221" s="550">
        <f t="shared" si="178"/>
        <v>0.95916644070433421</v>
      </c>
      <c r="S221" s="551">
        <f t="shared" si="189"/>
        <v>71485.715659253328</v>
      </c>
      <c r="W221" s="546">
        <f t="shared" si="190"/>
        <v>273</v>
      </c>
      <c r="X221" s="551">
        <f t="shared" si="179"/>
        <v>38.067050715799496</v>
      </c>
      <c r="Y221" s="553">
        <f>$X221/PI()*SQRT('Hilfstabellen_Mat&amp;Bem'!f.Rd.3/'Hilfstabellen_Mat&amp;Bem'!$BD$30)</f>
        <v>0.60585592903493635</v>
      </c>
      <c r="Z221" s="553">
        <f>0.5*(1+'Hilfstabellen_Mat&amp;Bem'!$BD$31*($Y221-0.3)+$Y221^2)</f>
        <v>0.6988234998251398</v>
      </c>
      <c r="AA221" s="550">
        <f t="shared" si="180"/>
        <v>0.95502339357674515</v>
      </c>
      <c r="AC221" s="551">
        <f t="shared" si="191"/>
        <v>71176.938499881246</v>
      </c>
      <c r="AG221" s="546">
        <f t="shared" si="192"/>
        <v>273</v>
      </c>
      <c r="AH221" s="551">
        <f t="shared" si="181"/>
        <v>39.33595240632615</v>
      </c>
      <c r="AI221" s="553">
        <f>$AH221/PI()*SQRT('Hilfstabellen_Mat&amp;Bem'!f.Rd.3/'Hilfstabellen_Mat&amp;Bem'!$BD$30)</f>
        <v>0.6260511266694343</v>
      </c>
      <c r="AJ221" s="553">
        <f>0.5*(1+'Hilfstabellen_Mat&amp;Bem'!$BD$31*($AI221-0.3)+$AI221^2)</f>
        <v>0.71227256293550567</v>
      </c>
      <c r="AK221" s="550">
        <f t="shared" si="182"/>
        <v>0.95060032084307911</v>
      </c>
      <c r="AM221" s="551">
        <f t="shared" si="193"/>
        <v>70847.291312113841</v>
      </c>
      <c r="AQ221" s="546">
        <f t="shared" si="194"/>
        <v>273</v>
      </c>
      <c r="AR221" s="551">
        <f t="shared" si="183"/>
        <v>40.604854096852797</v>
      </c>
      <c r="AS221" s="553">
        <f>$AR221/PI()*SQRT('Hilfstabellen_Mat&amp;Bem'!f.Rd.3/'Hilfstabellen_Mat&amp;Bem'!$BD$30)</f>
        <v>0.64624632430393214</v>
      </c>
      <c r="AT221" s="553">
        <f>0.5*(1+'Hilfstabellen_Mat&amp;Bem'!$BD$31*($AS221-0.3)+$AS221^2)</f>
        <v>0.72612947205336809</v>
      </c>
      <c r="AU221" s="550">
        <f t="shared" si="184"/>
        <v>0.94586508600947683</v>
      </c>
      <c r="AW221" s="551">
        <f t="shared" si="195"/>
        <v>70494.378995200299</v>
      </c>
      <c r="BA221" s="546">
        <f t="shared" si="196"/>
        <v>273</v>
      </c>
      <c r="BB221" s="551">
        <f t="shared" si="197"/>
        <v>41.873755787379444</v>
      </c>
      <c r="BC221" s="553">
        <f>$BB221/PI()*SQRT('Hilfstabellen_Mat&amp;Bem'!f.Rd.3/'Hilfstabellen_Mat&amp;Bem'!$BD$30)</f>
        <v>0.66644152193842987</v>
      </c>
      <c r="BD221" s="553">
        <f>0.5*(1+'Hilfstabellen_Mat&amp;Bem'!$BD$31*($BC221-0.3)+$BC221^2)</f>
        <v>0.74039422717872683</v>
      </c>
      <c r="BE221" s="550">
        <f t="shared" si="198"/>
        <v>0.94078202560309598</v>
      </c>
      <c r="BG221" s="551">
        <f t="shared" si="199"/>
        <v>70115.543586173138</v>
      </c>
      <c r="BK221" s="546">
        <f t="shared" si="200"/>
        <v>273</v>
      </c>
      <c r="BL221" s="551">
        <f t="shared" si="201"/>
        <v>43.142657477906099</v>
      </c>
      <c r="BM221" s="553">
        <f>$BL221/PI()*SQRT('Hilfstabellen_Mat&amp;Bem'!f.Rd.3/'Hilfstabellen_Mat&amp;Bem'!$BD$30)</f>
        <v>0.68663671957292793</v>
      </c>
      <c r="BN221" s="553">
        <f>0.5*(1+'Hilfstabellen_Mat&amp;Bem'!$BD$31*($BM221-0.3)+$BM221^2)</f>
        <v>0.75506682831158223</v>
      </c>
      <c r="BO221" s="550">
        <f t="shared" si="202"/>
        <v>0.93531174059410116</v>
      </c>
      <c r="BQ221" s="551">
        <f t="shared" si="203"/>
        <v>69707.84871473776</v>
      </c>
      <c r="BU221" s="546">
        <f t="shared" si="204"/>
        <v>273</v>
      </c>
      <c r="BV221" s="551">
        <f t="shared" si="205"/>
        <v>44.411559168432753</v>
      </c>
      <c r="BW221" s="553">
        <f>$BV221/PI()*SQRT('Hilfstabellen_Mat&amp;Bem'!f.Rd.3/'Hilfstabellen_Mat&amp;Bem'!$BD$30)</f>
        <v>0.70683191720742578</v>
      </c>
      <c r="BX221" s="553">
        <f>0.5*(1+'Hilfstabellen_Mat&amp;Bem'!$BD$31*($BW221-0.3)+$BW221^2)</f>
        <v>0.77014727545193395</v>
      </c>
      <c r="BY221" s="550">
        <f t="shared" si="206"/>
        <v>0.92941099150532003</v>
      </c>
      <c r="CA221" s="551">
        <f t="shared" si="207"/>
        <v>69268.0717859</v>
      </c>
      <c r="CE221" s="546">
        <f t="shared" si="208"/>
        <v>273</v>
      </c>
      <c r="CF221" s="551">
        <f t="shared" si="209"/>
        <v>45.6804608589594</v>
      </c>
      <c r="CG221" s="553">
        <f>CF221/PI()*SQRT('Hilfstabellen_Mat&amp;Bem'!f.Rd.3/'Hilfstabellen_Mat&amp;Bem'!$BD$30)</f>
        <v>0.72702711484192362</v>
      </c>
      <c r="CH221" s="553">
        <f>0.5*(1+'Hilfstabellen_Mat&amp;Bem'!$BD$31*(CG221-0.3)+CG221^2)</f>
        <v>0.78563556859978201</v>
      </c>
      <c r="CI221" s="550">
        <f t="shared" si="210"/>
        <v>0.92303276267891199</v>
      </c>
      <c r="CK221" s="551">
        <f t="shared" si="211"/>
        <v>68792.708769696634</v>
      </c>
      <c r="CO221" s="546">
        <f t="shared" si="212"/>
        <v>273</v>
      </c>
      <c r="CP221" s="551">
        <f t="shared" si="213"/>
        <v>46.949362549486047</v>
      </c>
      <c r="CQ221" s="553">
        <f>CP221/PI()*SQRT('Hilfstabellen_Mat&amp;Bem'!f.Rd.3/'Hilfstabellen_Mat&amp;Bem'!$BD$30)</f>
        <v>0.74722231247642146</v>
      </c>
      <c r="CR221" s="553">
        <f>0.5*(1+'Hilfstabellen_Mat&amp;Bem'!$BD$31*(CQ221-0.3)+CQ221^2)</f>
        <v>0.8015317077551265</v>
      </c>
      <c r="CS221" s="550">
        <f t="shared" si="214"/>
        <v>0.91612658268497593</v>
      </c>
      <c r="CU221" s="551">
        <f t="shared" si="215"/>
        <v>68277.998080928577</v>
      </c>
      <c r="CY221" s="546">
        <f t="shared" si="216"/>
        <v>273</v>
      </c>
      <c r="CZ221" s="551">
        <f t="shared" si="217"/>
        <v>48.218264240012701</v>
      </c>
      <c r="DA221" s="553">
        <f>CZ221/PI()*SQRT('Hilfstabellen_Mat&amp;Bem'!f.Rd.3/'Hilfstabellen_Mat&amp;Bem'!$BD$30)</f>
        <v>0.76741751011091941</v>
      </c>
      <c r="DB221" s="553">
        <f>0.5*(1+'Hilfstabellen_Mat&amp;Bem'!$BD$31*(DA221-0.3)+DA221^2)</f>
        <v>0.81783569291796754</v>
      </c>
      <c r="DC221" s="550">
        <f t="shared" si="218"/>
        <v>0.90863920983702096</v>
      </c>
      <c r="DE221" s="551">
        <f t="shared" si="219"/>
        <v>67719.971669943334</v>
      </c>
      <c r="DI221" s="546">
        <f t="shared" si="220"/>
        <v>273</v>
      </c>
      <c r="DJ221" s="551">
        <f t="shared" si="221"/>
        <v>49.487165930539348</v>
      </c>
      <c r="DK221" s="553">
        <f>DJ221/PI()*SQRT('Hilfstabellen_Mat&amp;Bem'!f.Rd.3/'Hilfstabellen_Mat&amp;Bem'!$BD$30)</f>
        <v>0.78761270774541725</v>
      </c>
      <c r="DL221" s="553">
        <f>0.5*(1+'Hilfstabellen_Mat&amp;Bem'!$BD$31*(DK221-0.3)+DK221^2)</f>
        <v>0.8345475240883049</v>
      </c>
      <c r="DM221" s="550">
        <f t="shared" si="222"/>
        <v>0.90051580877540705</v>
      </c>
      <c r="DO221" s="551">
        <f t="shared" si="223"/>
        <v>67114.542712222305</v>
      </c>
      <c r="DS221" s="546">
        <f t="shared" si="224"/>
        <v>273</v>
      </c>
      <c r="DT221" s="551">
        <f t="shared" si="225"/>
        <v>50.756067621065995</v>
      </c>
      <c r="DU221" s="553">
        <f>DT221/PI()*SQRT('Hilfstabellen_Mat&amp;Bem'!f.Rd.3/'Hilfstabellen_Mat&amp;Bem'!$BD$30)</f>
        <v>0.80780790537991509</v>
      </c>
      <c r="DV221" s="553">
        <f>0.5*(1+'Hilfstabellen_Mat&amp;Bem'!$BD$31*(DU221-0.3)+DU221^2)</f>
        <v>0.85166720126613871</v>
      </c>
      <c r="DW221" s="550">
        <f t="shared" si="226"/>
        <v>0.89170174663891277</v>
      </c>
      <c r="DY221" s="551">
        <f t="shared" si="227"/>
        <v>66457.639475251533</v>
      </c>
      <c r="EC221" s="546">
        <f t="shared" si="228"/>
        <v>273</v>
      </c>
      <c r="ED221" s="551">
        <f t="shared" si="229"/>
        <v>52.024969311592649</v>
      </c>
      <c r="EE221" s="553">
        <f>ED221/PI()*SQRT('Hilfstabellen_Mat&amp;Bem'!f.Rd.3/'Hilfstabellen_Mat&amp;Bem'!$BD$30)</f>
        <v>0.82800310301441304</v>
      </c>
      <c r="EF221" s="553">
        <f>0.5*(1+'Hilfstabellen_Mat&amp;Bem'!$BD$31*(EE221-0.3)+EE221^2)</f>
        <v>0.86919472445146906</v>
      </c>
      <c r="EG221" s="550">
        <f t="shared" si="230"/>
        <v>0.88214511168318499</v>
      </c>
      <c r="EI221" s="551">
        <f t="shared" si="231"/>
        <v>65745.393028636099</v>
      </c>
      <c r="EM221" s="546">
        <f t="shared" si="232"/>
        <v>273</v>
      </c>
      <c r="EN221" s="551">
        <f t="shared" si="233"/>
        <v>53.293871002119303</v>
      </c>
      <c r="EO221" s="553">
        <f>EN221/PI()*SQRT('Hilfstabellen_Mat&amp;Bem'!f.Rd.3/'Hilfstabellen_Mat&amp;Bem'!$BD$30)</f>
        <v>0.848198300648911</v>
      </c>
      <c r="EP221" s="553">
        <f>0.5*(1+'Hilfstabellen_Mat&amp;Bem'!$BD$31*(EO221-0.3)+EO221^2)</f>
        <v>0.88713009364429585</v>
      </c>
      <c r="EQ221" s="550">
        <f t="shared" si="234"/>
        <v>0.871799987092294</v>
      </c>
      <c r="ES221" s="551">
        <f t="shared" si="235"/>
        <v>64974.381238001581</v>
      </c>
    </row>
    <row r="222" spans="3:149">
      <c r="C222" s="546">
        <v>274</v>
      </c>
      <c r="D222" s="551">
        <f t="shared" si="185"/>
        <v>35.399578548852965</v>
      </c>
      <c r="E222" s="553">
        <f>$D222/PI()*SQRT('Hilfstabellen_Mat&amp;Bem'!f.Rd.3/'Hilfstabellen_Mat&amp;Bem'!$BD$30)</f>
        <v>0.56340179094197729</v>
      </c>
      <c r="F222" s="553">
        <f>0.5*(1+'Hilfstabellen_Mat&amp;Bem'!$BD$31*($E222-0.3)+$E222^2)</f>
        <v>0.67188087856541256</v>
      </c>
      <c r="G222" s="550">
        <f t="shared" si="186"/>
        <v>0.9634429520909239</v>
      </c>
      <c r="I222" s="551">
        <f t="shared" si="187"/>
        <v>72331.443071178204</v>
      </c>
      <c r="M222" s="546">
        <f t="shared" si="188"/>
        <v>274</v>
      </c>
      <c r="N222" s="551">
        <f t="shared" si="177"/>
        <v>36.663849211311998</v>
      </c>
      <c r="O222" s="553">
        <f>$N222/PI()*SQRT('Hilfstabellen_Mat&amp;Bem'!f.Rd.3/'Hilfstabellen_Mat&amp;Bem'!$BD$30)</f>
        <v>0.58352328347561933</v>
      </c>
      <c r="P222" s="553">
        <f>0.5*(1+'Hilfstabellen_Mat&amp;Bem'!$BD$31*($O222-0.3)+$O222^2)</f>
        <v>0.68442587535286492</v>
      </c>
      <c r="Q222" s="550">
        <f t="shared" si="178"/>
        <v>0.95958976554615472</v>
      </c>
      <c r="S222" s="551">
        <f t="shared" si="189"/>
        <v>72042.161238143119</v>
      </c>
      <c r="W222" s="546">
        <f t="shared" si="190"/>
        <v>274</v>
      </c>
      <c r="X222" s="551">
        <f t="shared" si="179"/>
        <v>37.928119873771031</v>
      </c>
      <c r="Y222" s="553">
        <f>$X222/PI()*SQRT('Hilfstabellen_Mat&amp;Bem'!f.Rd.3/'Hilfstabellen_Mat&amp;Bem'!$BD$30)</f>
        <v>0.60364477600926136</v>
      </c>
      <c r="Z222" s="553">
        <f>0.5*(1+'Hilfstabellen_Mat&amp;Bem'!$BD$31*($Y222-0.3)+$Y222^2)</f>
        <v>0.69737574660209878</v>
      </c>
      <c r="AA222" s="550">
        <f t="shared" si="180"/>
        <v>0.95549011592119693</v>
      </c>
      <c r="AC222" s="551">
        <f t="shared" si="191"/>
        <v>71734.375942899787</v>
      </c>
      <c r="AG222" s="546">
        <f t="shared" si="192"/>
        <v>274</v>
      </c>
      <c r="AH222" s="551">
        <f t="shared" si="181"/>
        <v>39.192390536230064</v>
      </c>
      <c r="AI222" s="553">
        <f>$AH222/PI()*SQRT('Hilfstabellen_Mat&amp;Bem'!f.Rd.3/'Hilfstabellen_Mat&amp;Bem'!$BD$30)</f>
        <v>0.6237662685429034</v>
      </c>
      <c r="AJ222" s="553">
        <f>0.5*(1+'Hilfstabellen_Mat&amp;Bem'!$BD$31*($AI222-0.3)+$AI222^2)</f>
        <v>0.71073049231311392</v>
      </c>
      <c r="AK222" s="550">
        <f t="shared" si="182"/>
        <v>0.95111577411183146</v>
      </c>
      <c r="AM222" s="551">
        <f t="shared" si="193"/>
        <v>71405.967857219861</v>
      </c>
      <c r="AQ222" s="546">
        <f t="shared" si="194"/>
        <v>274</v>
      </c>
      <c r="AR222" s="551">
        <f t="shared" si="183"/>
        <v>40.456661198689105</v>
      </c>
      <c r="AS222" s="553">
        <f>$AR222/PI()*SQRT('Hilfstabellen_Mat&amp;Bem'!f.Rd.3/'Hilfstabellen_Mat&amp;Bem'!$BD$30)</f>
        <v>0.64388776107654555</v>
      </c>
      <c r="AT222" s="553">
        <f>0.5*(1+'Hilfstabellen_Mat&amp;Bem'!$BD$31*($AS222-0.3)+$AS222^2)</f>
        <v>0.72449011248591055</v>
      </c>
      <c r="AU222" s="550">
        <f t="shared" si="184"/>
        <v>0.94643532720834289</v>
      </c>
      <c r="AW222" s="551">
        <f t="shared" si="195"/>
        <v>71054.578625493552</v>
      </c>
      <c r="BA222" s="546">
        <f t="shared" si="196"/>
        <v>274</v>
      </c>
      <c r="BB222" s="551">
        <f t="shared" si="197"/>
        <v>41.720931861148138</v>
      </c>
      <c r="BC222" s="553">
        <f>$BB222/PI()*SQRT('Hilfstabellen_Mat&amp;Bem'!f.Rd.3/'Hilfstabellen_Mat&amp;Bem'!$BD$30)</f>
        <v>0.66400925361018759</v>
      </c>
      <c r="BD222" s="553">
        <f>0.5*(1+'Hilfstabellen_Mat&amp;Bem'!$BD$31*($BC222-0.3)+$BC222^2)</f>
        <v>0.73865460712048858</v>
      </c>
      <c r="BE222" s="550">
        <f t="shared" si="198"/>
        <v>0.9414139139489327</v>
      </c>
      <c r="BG222" s="551">
        <f t="shared" si="199"/>
        <v>70677.591003630077</v>
      </c>
      <c r="BK222" s="546">
        <f t="shared" si="200"/>
        <v>274</v>
      </c>
      <c r="BL222" s="551">
        <f t="shared" si="201"/>
        <v>42.985202523607171</v>
      </c>
      <c r="BM222" s="553">
        <f>$BL222/PI()*SQRT('Hilfstabellen_Mat&amp;Bem'!f.Rd.3/'Hilfstabellen_Mat&amp;Bem'!$BD$30)</f>
        <v>0.68413074614382952</v>
      </c>
      <c r="BN222" s="553">
        <f>0.5*(1+'Hilfstabellen_Mat&amp;Bem'!$BD$31*($BM222-0.3)+$BM222^2)</f>
        <v>0.75322397621684789</v>
      </c>
      <c r="BO222" s="550">
        <f t="shared" si="202"/>
        <v>0.93601301141177784</v>
      </c>
      <c r="BQ222" s="551">
        <f t="shared" si="203"/>
        <v>70272.112844750634</v>
      </c>
      <c r="BU222" s="546">
        <f t="shared" si="204"/>
        <v>274</v>
      </c>
      <c r="BV222" s="551">
        <f t="shared" si="205"/>
        <v>44.249473186066204</v>
      </c>
      <c r="BW222" s="553">
        <f>$BV222/PI()*SQRT('Hilfstabellen_Mat&amp;Bem'!f.Rd.3/'Hilfstabellen_Mat&amp;Bem'!$BD$30)</f>
        <v>0.70425223867747155</v>
      </c>
      <c r="BX222" s="553">
        <f>0.5*(1+'Hilfstabellen_Mat&amp;Bem'!$BD$31*($BW222-0.3)+$BW222^2)</f>
        <v>0.76819821977498881</v>
      </c>
      <c r="BY222" s="550">
        <f t="shared" si="206"/>
        <v>0.93019031688173692</v>
      </c>
      <c r="CA222" s="551">
        <f t="shared" si="207"/>
        <v>69834.968230213286</v>
      </c>
      <c r="CE222" s="546">
        <f t="shared" si="208"/>
        <v>274</v>
      </c>
      <c r="CF222" s="551">
        <f t="shared" si="209"/>
        <v>45.513743848525245</v>
      </c>
      <c r="CG222" s="553">
        <f>CF222/PI()*SQRT('Hilfstabellen_Mat&amp;Bem'!f.Rd.3/'Hilfstabellen_Mat&amp;Bem'!$BD$30)</f>
        <v>0.72437373121111381</v>
      </c>
      <c r="CH222" s="553">
        <f>0.5*(1+'Hilfstabellen_Mat&amp;Bem'!$BD$31*(CG222-0.3)+CG222^2)</f>
        <v>0.78357733779491112</v>
      </c>
      <c r="CI222" s="550">
        <f t="shared" si="210"/>
        <v>0.92389978638044601</v>
      </c>
      <c r="CK222" s="551">
        <f t="shared" si="211"/>
        <v>69362.700362298361</v>
      </c>
      <c r="CO222" s="546">
        <f t="shared" si="212"/>
        <v>274</v>
      </c>
      <c r="CP222" s="551">
        <f t="shared" si="213"/>
        <v>46.778014510984271</v>
      </c>
      <c r="CQ222" s="553">
        <f>CP222/PI()*SQRT('Hilfstabellen_Mat&amp;Bem'!f.Rd.3/'Hilfstabellen_Mat&amp;Bem'!$BD$30)</f>
        <v>0.74449522374475574</v>
      </c>
      <c r="CR222" s="553">
        <f>0.5*(1+'Hilfstabellen_Mat&amp;Bem'!$BD$31*(CQ222-0.3)+CQ222^2)</f>
        <v>0.79936133027661471</v>
      </c>
      <c r="CS222" s="550">
        <f t="shared" si="214"/>
        <v>0.91709191198404305</v>
      </c>
      <c r="CU222" s="551">
        <f t="shared" si="215"/>
        <v>68851.592384114017</v>
      </c>
      <c r="CY222" s="546">
        <f t="shared" si="216"/>
        <v>274</v>
      </c>
      <c r="CZ222" s="551">
        <f t="shared" si="217"/>
        <v>48.042285173443304</v>
      </c>
      <c r="DA222" s="553">
        <f>CZ222/PI()*SQRT('Hilfstabellen_Mat&amp;Bem'!f.Rd.3/'Hilfstabellen_Mat&amp;Bem'!$BD$30)</f>
        <v>0.76461671627839767</v>
      </c>
      <c r="DB222" s="553">
        <f>0.5*(1+'Hilfstabellen_Mat&amp;Bem'!$BD$31*(DA222-0.3)+DA222^2)</f>
        <v>0.8155501972200998</v>
      </c>
      <c r="DC222" s="550">
        <f t="shared" si="218"/>
        <v>0.90971434157374209</v>
      </c>
      <c r="DE222" s="551">
        <f t="shared" si="219"/>
        <v>68297.713907990255</v>
      </c>
      <c r="DI222" s="546">
        <f t="shared" si="220"/>
        <v>274</v>
      </c>
      <c r="DJ222" s="551">
        <f t="shared" si="221"/>
        <v>49.306555835902344</v>
      </c>
      <c r="DK222" s="553">
        <f>DJ222/PI()*SQRT('Hilfstabellen_Mat&amp;Bem'!f.Rd.3/'Hilfstabellen_Mat&amp;Bem'!$BD$30)</f>
        <v>0.78473820881203982</v>
      </c>
      <c r="DL222" s="553">
        <f>0.5*(1+'Hilfstabellen_Mat&amp;Bem'!$BD$31*(DK222-0.3)+DK222^2)</f>
        <v>0.83214393862536618</v>
      </c>
      <c r="DM222" s="550">
        <f t="shared" si="222"/>
        <v>0.90171296223135144</v>
      </c>
      <c r="DO222" s="551">
        <f t="shared" si="223"/>
        <v>67697.002352480937</v>
      </c>
      <c r="DS222" s="546">
        <f t="shared" si="224"/>
        <v>274</v>
      </c>
      <c r="DT222" s="551">
        <f t="shared" si="225"/>
        <v>50.570826498361377</v>
      </c>
      <c r="DU222" s="553">
        <f>DT222/PI()*SQRT('Hilfstabellen_Mat&amp;Bem'!f.Rd.3/'Hilfstabellen_Mat&amp;Bem'!$BD$30)</f>
        <v>0.80485970134568197</v>
      </c>
      <c r="DV222" s="553">
        <f>0.5*(1+'Hilfstabellen_Mat&amp;Bem'!$BD$31*(DU222-0.3)+DU222^2)</f>
        <v>0.84914255449241427</v>
      </c>
      <c r="DW222" s="550">
        <f t="shared" si="226"/>
        <v>0.89303357352983048</v>
      </c>
      <c r="DY222" s="551">
        <f t="shared" si="227"/>
        <v>67045.38856632555</v>
      </c>
      <c r="EC222" s="546">
        <f t="shared" si="228"/>
        <v>274</v>
      </c>
      <c r="ED222" s="551">
        <f t="shared" si="229"/>
        <v>51.835097160820411</v>
      </c>
      <c r="EE222" s="553">
        <f>ED222/PI()*SQRT('Hilfstabellen_Mat&amp;Bem'!f.Rd.3/'Hilfstabellen_Mat&amp;Bem'!$BD$30)</f>
        <v>0.82498119387932389</v>
      </c>
      <c r="EF222" s="553">
        <f>0.5*(1+'Hilfstabellen_Mat&amp;Bem'!$BD$31*(EE222-0.3)+EE222^2)</f>
        <v>0.86654604482124342</v>
      </c>
      <c r="EG222" s="550">
        <f t="shared" si="230"/>
        <v>0.8836242566938316</v>
      </c>
      <c r="EI222" s="551">
        <f t="shared" si="231"/>
        <v>66338.974695546101</v>
      </c>
      <c r="EM222" s="546">
        <f t="shared" si="232"/>
        <v>274</v>
      </c>
      <c r="EN222" s="551">
        <f t="shared" si="233"/>
        <v>53.099367823279451</v>
      </c>
      <c r="EO222" s="553">
        <f>EN222/PI()*SQRT('Hilfstabellen_Mat&amp;Bem'!f.Rd.3/'Hilfstabellen_Mat&amp;Bem'!$BD$30)</f>
        <v>0.84510268641296593</v>
      </c>
      <c r="EP222" s="553">
        <f>0.5*(1+'Hilfstabellen_Mat&amp;Bem'!$BD$31*(EO222-0.3)+EO222^2)</f>
        <v>0.8843544096118543</v>
      </c>
      <c r="EQ222" s="550">
        <f t="shared" si="234"/>
        <v>0.87343848444323169</v>
      </c>
      <c r="ES222" s="551">
        <f t="shared" si="235"/>
        <v>65574.267658060067</v>
      </c>
    </row>
    <row r="223" spans="3:149">
      <c r="C223" s="546">
        <v>275</v>
      </c>
      <c r="D223" s="551">
        <f t="shared" si="185"/>
        <v>35.270852808675315</v>
      </c>
      <c r="E223" s="553">
        <f>$D223/PI()*SQRT('Hilfstabellen_Mat&amp;Bem'!f.Rd.3/'Hilfstabellen_Mat&amp;Bem'!$BD$30)</f>
        <v>0.56135305715673367</v>
      </c>
      <c r="F223" s="553">
        <f>0.5*(1+'Hilfstabellen_Mat&amp;Bem'!$BD$31*($E223-0.3)+$E223^2)</f>
        <v>0.67062628024744231</v>
      </c>
      <c r="G223" s="550">
        <f t="shared" si="186"/>
        <v>0.96382247126121734</v>
      </c>
      <c r="I223" s="551">
        <f t="shared" si="187"/>
        <v>72889.074389129557</v>
      </c>
      <c r="M223" s="546">
        <f t="shared" si="188"/>
        <v>275</v>
      </c>
      <c r="N223" s="551">
        <f t="shared" si="177"/>
        <v>36.53052612327086</v>
      </c>
      <c r="O223" s="553">
        <f>$N223/PI()*SQRT('Hilfstabellen_Mat&amp;Bem'!f.Rd.3/'Hilfstabellen_Mat&amp;Bem'!$BD$30)</f>
        <v>0.58140138062661695</v>
      </c>
      <c r="P223" s="553">
        <f>0.5*(1+'Hilfstabellen_Mat&amp;Bem'!$BD$31*($O223-0.3)+$O223^2)</f>
        <v>0.68308385172859909</v>
      </c>
      <c r="Q223" s="550">
        <f t="shared" si="178"/>
        <v>0.96000726337840603</v>
      </c>
      <c r="S223" s="551">
        <f t="shared" si="189"/>
        <v>72600.549292991956</v>
      </c>
      <c r="W223" s="546">
        <f t="shared" si="190"/>
        <v>275</v>
      </c>
      <c r="X223" s="551">
        <f t="shared" si="179"/>
        <v>37.790199437866406</v>
      </c>
      <c r="Y223" s="553">
        <f>$X223/PI()*SQRT('Hilfstabellen_Mat&amp;Bem'!f.Rd.3/'Hilfstabellen_Mat&amp;Bem'!$BD$30)</f>
        <v>0.60144970409650034</v>
      </c>
      <c r="Z223" s="553">
        <f>0.5*(1+'Hilfstabellen_Mat&amp;Bem'!$BD$31*($Y223-0.3)+$Y223^2)</f>
        <v>0.69594335848370892</v>
      </c>
      <c r="AA223" s="550">
        <f t="shared" si="180"/>
        <v>0.95595016592166893</v>
      </c>
      <c r="AC223" s="551">
        <f t="shared" si="191"/>
        <v>72293.73129782622</v>
      </c>
      <c r="AG223" s="546">
        <f t="shared" si="192"/>
        <v>275</v>
      </c>
      <c r="AH223" s="551">
        <f t="shared" si="181"/>
        <v>39.049872752461958</v>
      </c>
      <c r="AI223" s="553">
        <f>$AH223/PI()*SQRT('Hilfstabellen_Mat&amp;Bem'!f.Rd.3/'Hilfstabellen_Mat&amp;Bem'!$BD$30)</f>
        <v>0.62149802756638373</v>
      </c>
      <c r="AJ223" s="553">
        <f>0.5*(1+'Hilfstabellen_Mat&amp;Bem'!$BD$31*($AI223-0.3)+$AI223^2)</f>
        <v>0.70920480051277202</v>
      </c>
      <c r="AK223" s="550">
        <f t="shared" si="182"/>
        <v>0.95162357807844711</v>
      </c>
      <c r="AM223" s="551">
        <f t="shared" si="193"/>
        <v>71966.533092182566</v>
      </c>
      <c r="AQ223" s="546">
        <f t="shared" si="194"/>
        <v>275</v>
      </c>
      <c r="AR223" s="551">
        <f t="shared" si="183"/>
        <v>40.309546067057504</v>
      </c>
      <c r="AS223" s="553">
        <f>$AR223/PI()*SQRT('Hilfstabellen_Mat&amp;Bem'!f.Rd.3/'Hilfstabellen_Mat&amp;Bem'!$BD$30)</f>
        <v>0.64154635103626712</v>
      </c>
      <c r="AT223" s="553">
        <f>0.5*(1+'Hilfstabellen_Mat&amp;Bem'!$BD$31*($AS223-0.3)+$AS223^2)</f>
        <v>0.72286817781578805</v>
      </c>
      <c r="AU223" s="550">
        <f t="shared" si="184"/>
        <v>0.94699679139588067</v>
      </c>
      <c r="AW223" s="551">
        <f t="shared" si="195"/>
        <v>71616.63234931347</v>
      </c>
      <c r="BA223" s="546">
        <f t="shared" si="196"/>
        <v>275</v>
      </c>
      <c r="BB223" s="551">
        <f t="shared" si="197"/>
        <v>41.569219381653056</v>
      </c>
      <c r="BC223" s="553">
        <f>$BB223/PI()*SQRT('Hilfstabellen_Mat&amp;Bem'!f.Rd.3/'Hilfstabellen_Mat&amp;Bem'!$BD$30)</f>
        <v>0.6615946745061505</v>
      </c>
      <c r="BD223" s="553">
        <f>0.5*(1+'Hilfstabellen_Mat&amp;Bem'!$BD$31*($BC223-0.3)+$BC223^2)</f>
        <v>0.73693349039275713</v>
      </c>
      <c r="BE223" s="550">
        <f t="shared" si="198"/>
        <v>0.94203572641994926</v>
      </c>
      <c r="BG223" s="551">
        <f t="shared" si="199"/>
        <v>71241.451810508661</v>
      </c>
      <c r="BK223" s="546">
        <f t="shared" si="200"/>
        <v>275</v>
      </c>
      <c r="BL223" s="551">
        <f t="shared" si="201"/>
        <v>42.828892696248602</v>
      </c>
      <c r="BM223" s="553">
        <f>$BL223/PI()*SQRT('Hilfstabellen_Mat&amp;Bem'!f.Rd.3/'Hilfstabellen_Mat&amp;Bem'!$BD$30)</f>
        <v>0.68164299797603389</v>
      </c>
      <c r="BN223" s="553">
        <f>0.5*(1+'Hilfstabellen_Mat&amp;Bem'!$BD$31*($BM223-0.3)+$BM223^2)</f>
        <v>0.75140073824367937</v>
      </c>
      <c r="BO223" s="550">
        <f t="shared" si="202"/>
        <v>0.93670271551346718</v>
      </c>
      <c r="BQ223" s="551">
        <f t="shared" si="203"/>
        <v>70838.14286070595</v>
      </c>
      <c r="BU223" s="546">
        <f t="shared" si="204"/>
        <v>275</v>
      </c>
      <c r="BV223" s="551">
        <f t="shared" si="205"/>
        <v>44.088566010844147</v>
      </c>
      <c r="BW223" s="553">
        <f>$BV223/PI()*SQRT('Hilfstabellen_Mat&amp;Bem'!f.Rd.3/'Hilfstabellen_Mat&amp;Bem'!$BD$30)</f>
        <v>0.70169132144591717</v>
      </c>
      <c r="BX223" s="553">
        <f>0.5*(1+'Hilfstabellen_Mat&amp;Bem'!$BD$31*($BW223-0.3)+$BW223^2)</f>
        <v>0.76626992136855465</v>
      </c>
      <c r="BY223" s="550">
        <f t="shared" si="206"/>
        <v>0.93095637294343947</v>
      </c>
      <c r="CA223" s="551">
        <f t="shared" si="207"/>
        <v>70403.575703847615</v>
      </c>
      <c r="CE223" s="546">
        <f t="shared" si="208"/>
        <v>275</v>
      </c>
      <c r="CF223" s="551">
        <f t="shared" si="209"/>
        <v>45.3482393254397</v>
      </c>
      <c r="CG223" s="553">
        <f>CF223/PI()*SQRT('Hilfstabellen_Mat&amp;Bem'!f.Rd.3/'Hilfstabellen_Mat&amp;Bem'!$BD$30)</f>
        <v>0.72173964491580067</v>
      </c>
      <c r="CH223" s="553">
        <f>0.5*(1+'Hilfstabellen_Mat&amp;Bem'!$BD$31*(CG223-0.3)+CG223^2)</f>
        <v>0.78154103976738309</v>
      </c>
      <c r="CI223" s="550">
        <f t="shared" si="210"/>
        <v>0.92475160997047101</v>
      </c>
      <c r="CK223" s="551">
        <f t="shared" si="211"/>
        <v>69934.340504016873</v>
      </c>
      <c r="CO223" s="546">
        <f t="shared" si="212"/>
        <v>275</v>
      </c>
      <c r="CP223" s="551">
        <f t="shared" si="213"/>
        <v>46.607912640035245</v>
      </c>
      <c r="CQ223" s="553">
        <f>CP223/PI()*SQRT('Hilfstabellen_Mat&amp;Bem'!f.Rd.3/'Hilfstabellen_Mat&amp;Bem'!$BD$30)</f>
        <v>0.74178796838568395</v>
      </c>
      <c r="CR223" s="553">
        <f>0.5*(1+'Hilfstabellen_Mat&amp;Bem'!$BD$31*(CQ223-0.3)+CQ223^2)</f>
        <v>0.79721409344016447</v>
      </c>
      <c r="CS223" s="550">
        <f t="shared" si="214"/>
        <v>0.91803987243434559</v>
      </c>
      <c r="CU223" s="551">
        <f t="shared" si="215"/>
        <v>69426.765352847389</v>
      </c>
      <c r="CY223" s="546">
        <f t="shared" si="216"/>
        <v>275</v>
      </c>
      <c r="CZ223" s="551">
        <f t="shared" si="217"/>
        <v>47.86758595463079</v>
      </c>
      <c r="DA223" s="553">
        <f>CZ223/PI()*SQRT('Hilfstabellen_Mat&amp;Bem'!f.Rd.3/'Hilfstabellen_Mat&amp;Bem'!$BD$30)</f>
        <v>0.76183629185556723</v>
      </c>
      <c r="DB223" s="553">
        <f>0.5*(1+'Hilfstabellen_Mat&amp;Bem'!$BD$31*(DA223-0.3)+DA223^2)</f>
        <v>0.81328908238689879</v>
      </c>
      <c r="DC223" s="550">
        <f t="shared" si="218"/>
        <v>0.91076969932842433</v>
      </c>
      <c r="DE223" s="551">
        <f t="shared" si="219"/>
        <v>68876.958511712088</v>
      </c>
      <c r="DI223" s="546">
        <f t="shared" si="220"/>
        <v>275</v>
      </c>
      <c r="DJ223" s="551">
        <f t="shared" si="221"/>
        <v>49.127259269226336</v>
      </c>
      <c r="DK223" s="553">
        <f>DJ223/PI()*SQRT('Hilfstabellen_Mat&amp;Bem'!f.Rd.3/'Hilfstabellen_Mat&amp;Bem'!$BD$30)</f>
        <v>0.78188461532545062</v>
      </c>
      <c r="DL223" s="553">
        <f>0.5*(1+'Hilfstabellen_Mat&amp;Bem'!$BD$31*(DK223-0.3)+DK223^2)</f>
        <v>0.82976600660758648</v>
      </c>
      <c r="DM223" s="550">
        <f t="shared" si="222"/>
        <v>0.90288771880326457</v>
      </c>
      <c r="DO223" s="551">
        <f t="shared" si="223"/>
        <v>68280.883734496878</v>
      </c>
      <c r="DS223" s="546">
        <f t="shared" si="224"/>
        <v>275</v>
      </c>
      <c r="DT223" s="551">
        <f t="shared" si="225"/>
        <v>50.386932583821881</v>
      </c>
      <c r="DU223" s="553">
        <f>DT223/PI()*SQRT('Hilfstabellen_Mat&amp;Bem'!f.Rd.3/'Hilfstabellen_Mat&amp;Bem'!$BD$30)</f>
        <v>0.80193293879533378</v>
      </c>
      <c r="DV223" s="553">
        <f>0.5*(1+'Hilfstabellen_Mat&amp;Bem'!$BD$31*(DU223-0.3)+DU223^2)</f>
        <v>0.846644866102227</v>
      </c>
      <c r="DW223" s="550">
        <f t="shared" si="226"/>
        <v>0.89434020517662705</v>
      </c>
      <c r="DY223" s="551">
        <f t="shared" si="227"/>
        <v>67634.478016482419</v>
      </c>
      <c r="EC223" s="546">
        <f t="shared" si="228"/>
        <v>275</v>
      </c>
      <c r="ED223" s="551">
        <f t="shared" si="229"/>
        <v>51.646605898417427</v>
      </c>
      <c r="EE223" s="553">
        <f>ED223/PI()*SQRT('Hilfstabellen_Mat&amp;Bem'!f.Rd.3/'Hilfstabellen_Mat&amp;Bem'!$BD$30)</f>
        <v>0.82198126226521728</v>
      </c>
      <c r="EF223" s="553">
        <f>0.5*(1+'Hilfstabellen_Mat&amp;Bem'!$BD$31*(EE223-0.3)+EE223^2)</f>
        <v>0.86392566087082079</v>
      </c>
      <c r="EG223" s="550">
        <f t="shared" si="230"/>
        <v>0.88507530503158571</v>
      </c>
      <c r="EI223" s="551">
        <f t="shared" si="231"/>
        <v>66933.819943013674</v>
      </c>
      <c r="EM223" s="546">
        <f t="shared" si="232"/>
        <v>275</v>
      </c>
      <c r="EN223" s="551">
        <f t="shared" si="233"/>
        <v>52.906279213012979</v>
      </c>
      <c r="EO223" s="553">
        <f>EN223/PI()*SQRT('Hilfstabellen_Mat&amp;Bem'!f.Rd.3/'Hilfstabellen_Mat&amp;Bem'!$BD$30)</f>
        <v>0.84202958573510056</v>
      </c>
      <c r="EP223" s="553">
        <f>0.5*(1+'Hilfstabellen_Mat&amp;Bem'!$BD$31*(EO223-0.3)+EO223^2)</f>
        <v>0.88160839091336751</v>
      </c>
      <c r="EQ223" s="550">
        <f t="shared" si="234"/>
        <v>0.87504598750125484</v>
      </c>
      <c r="ES223" s="551">
        <f t="shared" si="235"/>
        <v>66175.352804782393</v>
      </c>
    </row>
    <row r="224" spans="3:149">
      <c r="C224" s="546">
        <v>276</v>
      </c>
      <c r="D224" s="551">
        <f t="shared" si="185"/>
        <v>35.143059863716353</v>
      </c>
      <c r="E224" s="553">
        <f>$D224/PI()*SQRT('Hilfstabellen_Mat&amp;Bem'!f.Rd.3/'Hilfstabellen_Mat&amp;Bem'!$BD$30)</f>
        <v>0.55931916926848479</v>
      </c>
      <c r="F224" s="553">
        <f>0.5*(1+'Hilfstabellen_Mat&amp;Bem'!$BD$31*($E224-0.3)+$E224^2)</f>
        <v>0.66938492501901814</v>
      </c>
      <c r="G224" s="550">
        <f t="shared" si="186"/>
        <v>0.96419699970727202</v>
      </c>
      <c r="I224" s="551">
        <f t="shared" si="187"/>
        <v>73448.670649701147</v>
      </c>
      <c r="M224" s="546">
        <f t="shared" si="188"/>
        <v>276</v>
      </c>
      <c r="N224" s="551">
        <f t="shared" si="177"/>
        <v>36.398169144563361</v>
      </c>
      <c r="O224" s="553">
        <f>$N224/PI()*SQRT('Hilfstabellen_Mat&amp;Bem'!f.Rd.3/'Hilfstabellen_Mat&amp;Bem'!$BD$30)</f>
        <v>0.57929485388521629</v>
      </c>
      <c r="P224" s="553">
        <f>0.5*(1+'Hilfstabellen_Mat&amp;Bem'!$BD$31*($O224-0.3)+$O224^2)</f>
        <v>0.68175600656320789</v>
      </c>
      <c r="Q224" s="550">
        <f t="shared" si="178"/>
        <v>0.96041905810931527</v>
      </c>
      <c r="S224" s="551">
        <f t="shared" si="189"/>
        <v>73160.882170535202</v>
      </c>
      <c r="W224" s="546">
        <f t="shared" si="190"/>
        <v>276</v>
      </c>
      <c r="X224" s="551">
        <f t="shared" si="179"/>
        <v>37.653278425410377</v>
      </c>
      <c r="Y224" s="553">
        <f>$X224/PI()*SQRT('Hilfstabellen_Mat&amp;Bem'!f.Rd.3/'Hilfstabellen_Mat&amp;Bem'!$BD$30)</f>
        <v>0.599270538501948</v>
      </c>
      <c r="Z224" s="553">
        <f>0.5*(1+'Hilfstabellen_Mat&amp;Bem'!$BD$31*($Y224-0.3)+$Y224^2)</f>
        <v>0.69452611608330472</v>
      </c>
      <c r="AA224" s="550">
        <f t="shared" si="180"/>
        <v>0.95640368959127675</v>
      </c>
      <c r="AC224" s="551">
        <f t="shared" si="191"/>
        <v>72855.007458305103</v>
      </c>
      <c r="AG224" s="546">
        <f t="shared" si="192"/>
        <v>276</v>
      </c>
      <c r="AH224" s="551">
        <f t="shared" si="181"/>
        <v>38.908387706257386</v>
      </c>
      <c r="AI224" s="553">
        <f>$AH224/PI()*SQRT('Hilfstabellen_Mat&amp;Bem'!f.Rd.3/'Hilfstabellen_Mat&amp;Bem'!$BD$30)</f>
        <v>0.6192462231186795</v>
      </c>
      <c r="AJ224" s="553">
        <f>0.5*(1+'Hilfstabellen_Mat&amp;Bem'!$BD$31*($AI224-0.3)+$AI224^2)</f>
        <v>0.70769525357930863</v>
      </c>
      <c r="AK224" s="550">
        <f t="shared" si="182"/>
        <v>0.95212390472523178</v>
      </c>
      <c r="AM224" s="551">
        <f t="shared" si="193"/>
        <v>72528.990566349254</v>
      </c>
      <c r="AQ224" s="546">
        <f t="shared" si="194"/>
        <v>276</v>
      </c>
      <c r="AR224" s="551">
        <f t="shared" si="183"/>
        <v>40.163496987104402</v>
      </c>
      <c r="AS224" s="553">
        <f>$AR224/PI()*SQRT('Hilfstabellen_Mat&amp;Bem'!f.Rd.3/'Hilfstabellen_Mat&amp;Bem'!$BD$30)</f>
        <v>0.63922190773541121</v>
      </c>
      <c r="AT224" s="553">
        <f>0.5*(1+'Hilfstabellen_Mat&amp;Bem'!$BD$31*($AS224-0.3)+$AS224^2)</f>
        <v>0.72126341905121993</v>
      </c>
      <c r="AU224" s="550">
        <f t="shared" si="184"/>
        <v>0.94754968090415725</v>
      </c>
      <c r="AW224" s="551">
        <f t="shared" si="195"/>
        <v>72180.544492555084</v>
      </c>
      <c r="BA224" s="546">
        <f t="shared" si="196"/>
        <v>276</v>
      </c>
      <c r="BB224" s="551">
        <f t="shared" si="197"/>
        <v>41.418606267951411</v>
      </c>
      <c r="BC224" s="553">
        <f>$BB224/PI()*SQRT('Hilfstabellen_Mat&amp;Bem'!f.Rd.3/'Hilfstabellen_Mat&amp;Bem'!$BD$30)</f>
        <v>0.6591975923521427</v>
      </c>
      <c r="BD224" s="553">
        <f>0.5*(1+'Hilfstabellen_Mat&amp;Bem'!$BD$31*($BC224-0.3)+$BC224^2)</f>
        <v>0.73523061249903798</v>
      </c>
      <c r="BE224" s="550">
        <f t="shared" si="198"/>
        <v>0.94264770055627711</v>
      </c>
      <c r="BG224" s="551">
        <f t="shared" si="199"/>
        <v>71807.131237574969</v>
      </c>
      <c r="BK224" s="546">
        <f t="shared" si="200"/>
        <v>276</v>
      </c>
      <c r="BL224" s="551">
        <f t="shared" si="201"/>
        <v>42.67371554879842</v>
      </c>
      <c r="BM224" s="553">
        <f>$BL224/PI()*SQRT('Hilfstabellen_Mat&amp;Bem'!f.Rd.3/'Hilfstabellen_Mat&amp;Bem'!$BD$30)</f>
        <v>0.6791732769688742</v>
      </c>
      <c r="BN224" s="553">
        <f>0.5*(1+'Hilfstabellen_Mat&amp;Bem'!$BD$31*($BM224-0.3)+$BM224^2)</f>
        <v>0.74959683392276322</v>
      </c>
      <c r="BO224" s="550">
        <f t="shared" si="202"/>
        <v>0.93738113086767672</v>
      </c>
      <c r="BQ224" s="551">
        <f t="shared" si="203"/>
        <v>71405.945024976143</v>
      </c>
      <c r="BU224" s="546">
        <f t="shared" si="204"/>
        <v>276</v>
      </c>
      <c r="BV224" s="551">
        <f t="shared" si="205"/>
        <v>43.928824829645436</v>
      </c>
      <c r="BW224" s="553">
        <f>$BV224/PI()*SQRT('Hilfstabellen_Mat&amp;Bem'!f.Rd.3/'Hilfstabellen_Mat&amp;Bem'!$BD$30)</f>
        <v>0.69914896158560591</v>
      </c>
      <c r="BX224" s="553">
        <f>0.5*(1+'Hilfstabellen_Mat&amp;Bem'!$BD$31*($BW224-0.3)+$BW224^2)</f>
        <v>0.76436208332239586</v>
      </c>
      <c r="BY224" s="550">
        <f t="shared" si="206"/>
        <v>0.93170948343583704</v>
      </c>
      <c r="CA224" s="551">
        <f t="shared" si="207"/>
        <v>70973.901610208326</v>
      </c>
      <c r="CE224" s="546">
        <f t="shared" si="208"/>
        <v>276</v>
      </c>
      <c r="CF224" s="551">
        <f t="shared" si="209"/>
        <v>45.183934110492444</v>
      </c>
      <c r="CG224" s="553">
        <f>CF224/PI()*SQRT('Hilfstabellen_Mat&amp;Bem'!f.Rd.3/'Hilfstabellen_Mat&amp;Bem'!$BD$30)</f>
        <v>0.7191246462023374</v>
      </c>
      <c r="CH224" s="553">
        <f>0.5*(1+'Hilfstabellen_Mat&amp;Bem'!$BD$31*(CG224-0.3)+CG224^2)</f>
        <v>0.77952636069793535</v>
      </c>
      <c r="CI224" s="550">
        <f t="shared" si="210"/>
        <v>0.92558860804488929</v>
      </c>
      <c r="CK224" s="551">
        <f t="shared" si="211"/>
        <v>70507.63780642749</v>
      </c>
      <c r="CO224" s="546">
        <f t="shared" si="212"/>
        <v>276</v>
      </c>
      <c r="CP224" s="551">
        <f t="shared" si="213"/>
        <v>46.43904339133946</v>
      </c>
      <c r="CQ224" s="553">
        <f>CP224/PI()*SQRT('Hilfstabellen_Mat&amp;Bem'!f.Rd.3/'Hilfstabellen_Mat&amp;Bem'!$BD$30)</f>
        <v>0.73910033081906912</v>
      </c>
      <c r="CR224" s="553">
        <f>0.5*(1+'Hilfstabellen_Mat&amp;Bem'!$BD$31*(CQ224-0.3)+CQ224^2)</f>
        <v>0.79508966604938214</v>
      </c>
      <c r="CS224" s="550">
        <f t="shared" si="214"/>
        <v>0.9189708936518024</v>
      </c>
      <c r="CU224" s="551">
        <f t="shared" si="215"/>
        <v>70003.5267948197</v>
      </c>
      <c r="CY224" s="546">
        <f t="shared" si="216"/>
        <v>276</v>
      </c>
      <c r="CZ224" s="551">
        <f t="shared" si="217"/>
        <v>47.694152672186476</v>
      </c>
      <c r="DA224" s="553">
        <f>CZ224/PI()*SQRT('Hilfstabellen_Mat&amp;Bem'!f.Rd.3/'Hilfstabellen_Mat&amp;Bem'!$BD$30)</f>
        <v>0.75907601543580072</v>
      </c>
      <c r="DB224" s="553">
        <f>0.5*(1+'Hilfstabellen_Mat&amp;Bem'!$BD$31*(DA224-0.3)+DA224^2)</f>
        <v>0.811051999376736</v>
      </c>
      <c r="DC224" s="550">
        <f t="shared" si="218"/>
        <v>0.9118057700986969</v>
      </c>
      <c r="DE224" s="551">
        <f t="shared" si="219"/>
        <v>69457.716343038337</v>
      </c>
      <c r="DI224" s="546">
        <f t="shared" si="220"/>
        <v>276</v>
      </c>
      <c r="DJ224" s="551">
        <f t="shared" si="221"/>
        <v>48.949261953033485</v>
      </c>
      <c r="DK224" s="553">
        <f>DJ224/PI()*SQRT('Hilfstabellen_Mat&amp;Bem'!f.Rd.3/'Hilfstabellen_Mat&amp;Bem'!$BD$30)</f>
        <v>0.77905170005253233</v>
      </c>
      <c r="DL224" s="553">
        <f>0.5*(1+'Hilfstabellen_Mat&amp;Bem'!$BD$31*(DK224-0.3)+DK224^2)</f>
        <v>0.82741336067999705</v>
      </c>
      <c r="DM224" s="550">
        <f t="shared" si="222"/>
        <v>0.90404062223126247</v>
      </c>
      <c r="DO224" s="551">
        <f t="shared" si="223"/>
        <v>68866.19843908865</v>
      </c>
      <c r="DS224" s="546">
        <f t="shared" si="224"/>
        <v>276</v>
      </c>
      <c r="DT224" s="551">
        <f t="shared" si="225"/>
        <v>50.204371233880501</v>
      </c>
      <c r="DU224" s="553">
        <f>DT224/PI()*SQRT('Hilfstabellen_Mat&amp;Bem'!f.Rd.3/'Hilfstabellen_Mat&amp;Bem'!$BD$30)</f>
        <v>0.79902738466926393</v>
      </c>
      <c r="DV224" s="553">
        <f>0.5*(1+'Hilfstabellen_Mat&amp;Bem'!$BD$31*(DU224-0.3)+DU224^2)</f>
        <v>0.84417374995916505</v>
      </c>
      <c r="DW224" s="550">
        <f t="shared" si="226"/>
        <v>0.89562223699936638</v>
      </c>
      <c r="DY224" s="551">
        <f t="shared" si="227"/>
        <v>68224.919525663732</v>
      </c>
      <c r="EC224" s="546">
        <f t="shared" si="228"/>
        <v>276</v>
      </c>
      <c r="ED224" s="551">
        <f t="shared" si="229"/>
        <v>51.45948051472751</v>
      </c>
      <c r="EE224" s="553">
        <f>ED224/PI()*SQRT('Hilfstabellen_Mat&amp;Bem'!f.Rd.3/'Hilfstabellen_Mat&amp;Bem'!$BD$30)</f>
        <v>0.81900306928599553</v>
      </c>
      <c r="EF224" s="553">
        <f>0.5*(1+'Hilfstabellen_Mat&amp;Bem'!$BD$31*(EE224-0.3)+EE224^2)</f>
        <v>0.86133316721424036</v>
      </c>
      <c r="EG224" s="550">
        <f t="shared" si="230"/>
        <v>0.88649889284423322</v>
      </c>
      <c r="EI224" s="551">
        <f t="shared" si="231"/>
        <v>67529.939661302313</v>
      </c>
      <c r="EM224" s="546">
        <f t="shared" si="232"/>
        <v>276</v>
      </c>
      <c r="EN224" s="551">
        <f t="shared" si="233"/>
        <v>52.714589795574526</v>
      </c>
      <c r="EO224" s="553">
        <f>EN224/PI()*SQRT('Hilfstabellen_Mat&amp;Bem'!f.Rd.3/'Hilfstabellen_Mat&amp;Bem'!$BD$30)</f>
        <v>0.83897875390272714</v>
      </c>
      <c r="EP224" s="553">
        <f>0.5*(1+'Hilfstabellen_Mat&amp;Bem'!$BD$31*(EO224-0.3)+EO224^2)</f>
        <v>0.87889161244522285</v>
      </c>
      <c r="EQ224" s="550">
        <f t="shared" si="234"/>
        <v>0.8766231551400161</v>
      </c>
      <c r="ES224" s="551">
        <f t="shared" si="235"/>
        <v>66777.645465945869</v>
      </c>
    </row>
    <row r="225" spans="3:149">
      <c r="C225" s="546">
        <v>277</v>
      </c>
      <c r="D225" s="551">
        <f t="shared" si="185"/>
        <v>35.016189611500764</v>
      </c>
      <c r="E225" s="553">
        <f>$D225/PI()*SQRT('Hilfstabellen_Mat&amp;Bem'!f.Rd.3/'Hilfstabellen_Mat&amp;Bem'!$BD$30)</f>
        <v>0.55729996649134206</v>
      </c>
      <c r="F225" s="553">
        <f>0.5*(1+'Hilfstabellen_Mat&amp;Bem'!$BD$31*($E225-0.3)+$E225^2)</f>
        <v>0.66815662465019265</v>
      </c>
      <c r="G225" s="550">
        <f t="shared" si="186"/>
        <v>0.96456663973026802</v>
      </c>
      <c r="I225" s="551">
        <f t="shared" si="187"/>
        <v>74010.233699863733</v>
      </c>
      <c r="M225" s="546">
        <f t="shared" si="188"/>
        <v>277</v>
      </c>
      <c r="N225" s="551">
        <f t="shared" si="177"/>
        <v>36.266767811911507</v>
      </c>
      <c r="O225" s="553">
        <f>$N225/PI()*SQRT('Hilfstabellen_Mat&amp;Bem'!f.Rd.3/'Hilfstabellen_Mat&amp;Bem'!$BD$30)</f>
        <v>0.57720353672317581</v>
      </c>
      <c r="P225" s="553">
        <f>0.5*(1+'Hilfstabellen_Mat&amp;Bem'!$BD$31*($O225-0.3)+$O225^2)</f>
        <v>0.6804421382390301</v>
      </c>
      <c r="Q225" s="550">
        <f t="shared" si="178"/>
        <v>0.96082527020263531</v>
      </c>
      <c r="S225" s="551">
        <f t="shared" si="189"/>
        <v>73723.162157377999</v>
      </c>
      <c r="W225" s="546">
        <f t="shared" si="190"/>
        <v>277</v>
      </c>
      <c r="X225" s="551">
        <f t="shared" si="179"/>
        <v>37.51734601232225</v>
      </c>
      <c r="Y225" s="553">
        <f>$X225/PI()*SQRT('Hilfstabellen_Mat&amp;Bem'!f.Rd.3/'Hilfstabellen_Mat&amp;Bem'!$BD$30)</f>
        <v>0.59710710695500946</v>
      </c>
      <c r="Z225" s="553">
        <f>0.5*(1+'Hilfstabellen_Mat&amp;Bem'!$BD$31*($Y225-0.3)+$Y225^2)</f>
        <v>0.69312380393584105</v>
      </c>
      <c r="AA225" s="550">
        <f t="shared" si="180"/>
        <v>0.95685082880159111</v>
      </c>
      <c r="AC225" s="551">
        <f t="shared" si="191"/>
        <v>73418.207243117286</v>
      </c>
      <c r="AG225" s="546">
        <f t="shared" si="192"/>
        <v>277</v>
      </c>
      <c r="AH225" s="551">
        <f t="shared" si="181"/>
        <v>38.767924212732986</v>
      </c>
      <c r="AI225" s="553">
        <f>$AH225/PI()*SQRT('Hilfstabellen_Mat&amp;Bem'!f.Rd.3/'Hilfstabellen_Mat&amp;Bem'!$BD$30)</f>
        <v>0.6170106771868431</v>
      </c>
      <c r="AJ225" s="553">
        <f>0.5*(1+'Hilfstabellen_Mat&amp;Bem'!$BD$31*($AI225-0.3)+$AI225^2)</f>
        <v>0.70620162174062551</v>
      </c>
      <c r="AK225" s="550">
        <f t="shared" si="182"/>
        <v>0.95261692107092699</v>
      </c>
      <c r="AM225" s="551">
        <f t="shared" si="193"/>
        <v>73093.343736851151</v>
      </c>
      <c r="AQ225" s="546">
        <f t="shared" si="194"/>
        <v>277</v>
      </c>
      <c r="AR225" s="551">
        <f t="shared" si="183"/>
        <v>40.018502413143736</v>
      </c>
      <c r="AS225" s="553">
        <f>$AR225/PI()*SQRT('Hilfstabellen_Mat&amp;Bem'!f.Rd.3/'Hilfstabellen_Mat&amp;Bem'!$BD$30)</f>
        <v>0.63691424741867675</v>
      </c>
      <c r="AT225" s="553">
        <f>0.5*(1+'Hilfstabellen_Mat&amp;Bem'!$BD$31*($AS225-0.3)+$AS225^2)</f>
        <v>0.71967559165338346</v>
      </c>
      <c r="AU225" s="550">
        <f t="shared" si="184"/>
        <v>0.94809419214451718</v>
      </c>
      <c r="AW225" s="551">
        <f t="shared" si="195"/>
        <v>72746.319269056665</v>
      </c>
      <c r="BA225" s="546">
        <f t="shared" si="196"/>
        <v>277</v>
      </c>
      <c r="BB225" s="551">
        <f t="shared" si="197"/>
        <v>41.269080613554479</v>
      </c>
      <c r="BC225" s="553">
        <f>$BB225/PI()*SQRT('Hilfstabellen_Mat&amp;Bem'!f.Rd.3/'Hilfstabellen_Mat&amp;Bem'!$BD$30)</f>
        <v>0.6568178176505105</v>
      </c>
      <c r="BD225" s="553">
        <f>0.5*(1+'Hilfstabellen_Mat&amp;Bem'!$BD$31*($BC225-0.3)+$BC225^2)</f>
        <v>0.73354571367411514</v>
      </c>
      <c r="BE225" s="550">
        <f t="shared" si="198"/>
        <v>0.9432500668822601</v>
      </c>
      <c r="BG225" s="551">
        <f t="shared" si="199"/>
        <v>72374.634381808937</v>
      </c>
      <c r="BK225" s="546">
        <f t="shared" si="200"/>
        <v>277</v>
      </c>
      <c r="BL225" s="551">
        <f t="shared" si="201"/>
        <v>42.519658813965215</v>
      </c>
      <c r="BM225" s="553">
        <f>$BL225/PI()*SQRT('Hilfstabellen_Mat&amp;Bem'!f.Rd.3/'Hilfstabellen_Mat&amp;Bem'!$BD$30)</f>
        <v>0.67672138788234404</v>
      </c>
      <c r="BN225" s="553">
        <f>0.5*(1+'Hilfstabellen_Mat&amp;Bem'!$BD$31*($BM225-0.3)+$BM225^2)</f>
        <v>0.74781198780282021</v>
      </c>
      <c r="BO225" s="550">
        <f t="shared" si="202"/>
        <v>0.93804852720494036</v>
      </c>
      <c r="BQ225" s="551">
        <f t="shared" si="203"/>
        <v>71975.525443907871</v>
      </c>
      <c r="BU225" s="546">
        <f t="shared" si="204"/>
        <v>277</v>
      </c>
      <c r="BV225" s="551">
        <f t="shared" si="205"/>
        <v>43.770237014375958</v>
      </c>
      <c r="BW225" s="553">
        <f>$BV225/PI()*SQRT('Hilfstabellen_Mat&amp;Bem'!f.Rd.3/'Hilfstabellen_Mat&amp;Bem'!$BD$30)</f>
        <v>0.69662495811417768</v>
      </c>
      <c r="BX225" s="553">
        <f>0.5*(1+'Hilfstabellen_Mat&amp;Bem'!$BD$31*($BW225-0.3)+$BW225^2)</f>
        <v>0.76247441403949878</v>
      </c>
      <c r="BY225" s="550">
        <f t="shared" si="206"/>
        <v>0.93244996255002111</v>
      </c>
      <c r="CA225" s="551">
        <f t="shared" si="207"/>
        <v>71545.953176500567</v>
      </c>
      <c r="CE225" s="546">
        <f t="shared" si="208"/>
        <v>277</v>
      </c>
      <c r="CF225" s="551">
        <f t="shared" si="209"/>
        <v>45.020815214786701</v>
      </c>
      <c r="CG225" s="553">
        <f>CF225/PI()*SQRT('Hilfstabellen_Mat&amp;Bem'!f.Rd.3/'Hilfstabellen_Mat&amp;Bem'!$BD$30)</f>
        <v>0.71652852834601133</v>
      </c>
      <c r="CH225" s="553">
        <f>0.5*(1+'Hilfstabellen_Mat&amp;Bem'!$BD$31*(CG225-0.3)+CG225^2)</f>
        <v>0.77753299238415097</v>
      </c>
      <c r="CI225" s="550">
        <f t="shared" si="210"/>
        <v>0.92641114430128446</v>
      </c>
      <c r="CK225" s="551">
        <f t="shared" si="211"/>
        <v>71082.600691093248</v>
      </c>
      <c r="CO225" s="546">
        <f t="shared" si="212"/>
        <v>277</v>
      </c>
      <c r="CP225" s="551">
        <f t="shared" si="213"/>
        <v>46.271393415197437</v>
      </c>
      <c r="CQ225" s="553">
        <f>CP225/PI()*SQRT('Hilfstabellen_Mat&amp;Bem'!f.Rd.3/'Hilfstabellen_Mat&amp;Bem'!$BD$30)</f>
        <v>0.73643209857784497</v>
      </c>
      <c r="CR225" s="553">
        <f>0.5*(1+'Hilfstabellen_Mat&amp;Bem'!$BD$31*(CQ225-0.3)+CQ225^2)</f>
        <v>0.79298772283677665</v>
      </c>
      <c r="CS225" s="550">
        <f t="shared" si="214"/>
        <v>0.91988539309570394</v>
      </c>
      <c r="CU225" s="551">
        <f t="shared" si="215"/>
        <v>70581.886326840264</v>
      </c>
      <c r="CY225" s="546">
        <f t="shared" si="216"/>
        <v>277</v>
      </c>
      <c r="CZ225" s="551">
        <f t="shared" si="217"/>
        <v>47.52197161560818</v>
      </c>
      <c r="DA225" s="553">
        <f>CZ225/PI()*SQRT('Hilfstabellen_Mat&amp;Bem'!f.Rd.3/'Hilfstabellen_Mat&amp;Bem'!$BD$30)</f>
        <v>0.75633566880967862</v>
      </c>
      <c r="DB225" s="553">
        <f>0.5*(1+'Hilfstabellen_Mat&amp;Bem'!$BD$31*(DA225-0.3)+DA225^2)</f>
        <v>0.80883860539737595</v>
      </c>
      <c r="DC225" s="550">
        <f t="shared" si="218"/>
        <v>0.91282302772588464</v>
      </c>
      <c r="DE225" s="551">
        <f t="shared" si="219"/>
        <v>70039.998094379407</v>
      </c>
      <c r="DI225" s="546">
        <f t="shared" si="220"/>
        <v>277</v>
      </c>
      <c r="DJ225" s="551">
        <f t="shared" si="221"/>
        <v>48.772549816018923</v>
      </c>
      <c r="DK225" s="553">
        <f>DJ225/PI()*SQRT('Hilfstabellen_Mat&amp;Bem'!f.Rd.3/'Hilfstabellen_Mat&amp;Bem'!$BD$30)</f>
        <v>0.77623923904151226</v>
      </c>
      <c r="DL225" s="553">
        <f>0.5*(1+'Hilfstabellen_Mat&amp;Bem'!$BD$31*(DK225-0.3)+DK225^2)</f>
        <v>0.82508564006594853</v>
      </c>
      <c r="DM225" s="550">
        <f t="shared" si="222"/>
        <v>0.90517220259755138</v>
      </c>
      <c r="DO225" s="551">
        <f t="shared" si="223"/>
        <v>69452.957933107522</v>
      </c>
      <c r="DS225" s="546">
        <f t="shared" si="224"/>
        <v>277</v>
      </c>
      <c r="DT225" s="551">
        <f t="shared" si="225"/>
        <v>50.023128016429666</v>
      </c>
      <c r="DU225" s="553">
        <f>DT225/PI()*SQRT('Hilfstabellen_Mat&amp;Bem'!f.Rd.3/'Hilfstabellen_Mat&amp;Bem'!$BD$30)</f>
        <v>0.79614280927334591</v>
      </c>
      <c r="DV225" s="553">
        <f>0.5*(1+'Hilfstabellen_Mat&amp;Bem'!$BD$31*(DU225-0.3)+DU225^2)</f>
        <v>0.84172882684249495</v>
      </c>
      <c r="DW225" s="550">
        <f t="shared" si="226"/>
        <v>0.89688025105504465</v>
      </c>
      <c r="DY225" s="551">
        <f t="shared" si="227"/>
        <v>68816.724783202517</v>
      </c>
      <c r="EC225" s="546">
        <f t="shared" si="228"/>
        <v>277</v>
      </c>
      <c r="ED225" s="551">
        <f t="shared" si="229"/>
        <v>51.273706216840409</v>
      </c>
      <c r="EE225" s="553">
        <f>ED225/PI()*SQRT('Hilfstabellen_Mat&amp;Bem'!f.Rd.3/'Hilfstabellen_Mat&amp;Bem'!$BD$30)</f>
        <v>0.81604637950517955</v>
      </c>
      <c r="EF225" s="553">
        <f>0.5*(1+'Hilfstabellen_Mat&amp;Bem'!$BD$31*(EE225-0.3)+EE225^2)</f>
        <v>0.85876816572701475</v>
      </c>
      <c r="EG225" s="550">
        <f t="shared" si="230"/>
        <v>0.88789564433187529</v>
      </c>
      <c r="EI225" s="551">
        <f t="shared" si="231"/>
        <v>68127.344893940462</v>
      </c>
      <c r="EM225" s="546">
        <f t="shared" si="232"/>
        <v>277</v>
      </c>
      <c r="EN225" s="551">
        <f t="shared" si="233"/>
        <v>52.524284417251152</v>
      </c>
      <c r="EO225" s="553">
        <f>EN225/PI()*SQRT('Hilfstabellen_Mat&amp;Bem'!f.Rd.3/'Hilfstabellen_Mat&amp;Bem'!$BD$30)</f>
        <v>0.83594994973701331</v>
      </c>
      <c r="EP225" s="553">
        <f>0.5*(1+'Hilfstabellen_Mat&amp;Bem'!$BD$31*(EO225-0.3)+EO225^2)</f>
        <v>0.87620365671950817</v>
      </c>
      <c r="EQ225" s="550">
        <f t="shared" si="234"/>
        <v>0.87817063710308574</v>
      </c>
      <c r="ES225" s="551">
        <f t="shared" si="235"/>
        <v>67381.154814282665</v>
      </c>
    </row>
    <row r="226" spans="3:149">
      <c r="C226" s="546">
        <v>278</v>
      </c>
      <c r="D226" s="551">
        <f t="shared" si="185"/>
        <v>34.890232094912633</v>
      </c>
      <c r="E226" s="553">
        <f>$D226/PI()*SQRT('Hilfstabellen_Mat&amp;Bem'!f.Rd.3/'Hilfstabellen_Mat&amp;Bem'!$BD$30)</f>
        <v>0.55529529035288405</v>
      </c>
      <c r="F226" s="553">
        <f>0.5*(1+'Hilfstabellen_Mat&amp;Bem'!$BD$31*($E226-0.3)+$E226^2)</f>
        <v>0.66694119426169107</v>
      </c>
      <c r="G226" s="550">
        <f t="shared" si="186"/>
        <v>0.96493149086689678</v>
      </c>
      <c r="I226" s="551">
        <f t="shared" si="187"/>
        <v>74573.765340157246</v>
      </c>
      <c r="M226" s="546">
        <f t="shared" si="188"/>
        <v>278</v>
      </c>
      <c r="N226" s="551">
        <f t="shared" si="177"/>
        <v>36.13631181258809</v>
      </c>
      <c r="O226" s="553">
        <f>$N226/PI()*SQRT('Hilfstabellen_Mat&amp;Bem'!f.Rd.3/'Hilfstabellen_Mat&amp;Bem'!$BD$30)</f>
        <v>0.57512726500834432</v>
      </c>
      <c r="P226" s="553">
        <f>0.5*(1+'Hilfstabellen_Mat&amp;Bem'!$BD$31*($O226-0.3)+$O226^2)</f>
        <v>0.67914204872840633</v>
      </c>
      <c r="Q226" s="550">
        <f t="shared" si="178"/>
        <v>0.96122601679287301</v>
      </c>
      <c r="S226" s="551">
        <f t="shared" si="189"/>
        <v>74287.391481820392</v>
      </c>
      <c r="W226" s="546">
        <f t="shared" si="190"/>
        <v>278</v>
      </c>
      <c r="X226" s="551">
        <f t="shared" si="179"/>
        <v>37.38239153026354</v>
      </c>
      <c r="Y226" s="553">
        <f>$X226/PI()*SQRT('Hilfstabellen_Mat&amp;Bem'!f.Rd.3/'Hilfstabellen_Mat&amp;Bem'!$BD$30)</f>
        <v>0.59495923966380448</v>
      </c>
      <c r="Z226" s="553">
        <f>0.5*(1+'Hilfstabellen_Mat&amp;Bem'!$BD$31*($Y226-0.3)+$Y226^2)</f>
        <v>0.69173621041385636</v>
      </c>
      <c r="AA226" s="550">
        <f t="shared" si="180"/>
        <v>0.95729172142276109</v>
      </c>
      <c r="AC226" s="551">
        <f t="shared" si="191"/>
        <v>73983.333398436662</v>
      </c>
      <c r="AG226" s="546">
        <f t="shared" si="192"/>
        <v>278</v>
      </c>
      <c r="AH226" s="551">
        <f t="shared" si="181"/>
        <v>38.62847124793899</v>
      </c>
      <c r="AI226" s="553">
        <f>$AH226/PI()*SQRT('Hilfstabellen_Mat&amp;Bem'!f.Rd.3/'Hilfstabellen_Mat&amp;Bem'!$BD$30)</f>
        <v>0.61479121431926453</v>
      </c>
      <c r="AJ226" s="553">
        <f>0.5*(1+'Hilfstabellen_Mat&amp;Bem'!$BD$31*($AI226-0.3)+$AI226^2)</f>
        <v>0.70472367931804114</v>
      </c>
      <c r="AK226" s="550">
        <f t="shared" si="182"/>
        <v>0.95310278933976655</v>
      </c>
      <c r="AM226" s="551">
        <f t="shared" si="193"/>
        <v>73659.595971334522</v>
      </c>
      <c r="AQ226" s="546">
        <f t="shared" si="194"/>
        <v>278</v>
      </c>
      <c r="AR226" s="551">
        <f t="shared" si="183"/>
        <v>39.874550965614439</v>
      </c>
      <c r="AS226" s="553">
        <f>$AR226/PI()*SQRT('Hilfstabellen_Mat&amp;Bem'!f.Rd.3/'Hilfstabellen_Mat&amp;Bem'!$BD$30)</f>
        <v>0.63462318897472469</v>
      </c>
      <c r="AT226" s="553">
        <f>0.5*(1+'Hilfstabellen_Mat&amp;Bem'!$BD$31*($AS226-0.3)+$AS226^2)</f>
        <v>0.7181044554409608</v>
      </c>
      <c r="AU226" s="550">
        <f t="shared" si="184"/>
        <v>0.9486305158093119</v>
      </c>
      <c r="AW226" s="551">
        <f t="shared" si="195"/>
        <v>73313.960783806862</v>
      </c>
      <c r="BA226" s="546">
        <f t="shared" si="196"/>
        <v>278</v>
      </c>
      <c r="BB226" s="551">
        <f t="shared" si="197"/>
        <v>41.120630683289896</v>
      </c>
      <c r="BC226" s="553">
        <f>$BB226/PI()*SQRT('Hilfstabellen_Mat&amp;Bem'!f.Rd.3/'Hilfstabellen_Mat&amp;Bem'!$BD$30)</f>
        <v>0.65445516363018497</v>
      </c>
      <c r="BD226" s="553">
        <f>0.5*(1+'Hilfstabellen_Mat&amp;Bem'!$BD$31*($BC226-0.3)+$BC226^2)</f>
        <v>0.73187853878261533</v>
      </c>
      <c r="BE226" s="550">
        <f t="shared" si="198"/>
        <v>0.94384304914360295</v>
      </c>
      <c r="BG226" s="551">
        <f t="shared" si="199"/>
        <v>72943.966210014216</v>
      </c>
      <c r="BK226" s="546">
        <f t="shared" si="200"/>
        <v>278</v>
      </c>
      <c r="BL226" s="551">
        <f t="shared" si="201"/>
        <v>42.366710400965346</v>
      </c>
      <c r="BM226" s="553">
        <f>$BL226/PI()*SQRT('Hilfstabellen_Mat&amp;Bem'!f.Rd.3/'Hilfstabellen_Mat&amp;Bem'!$BD$30)</f>
        <v>0.67428713828564502</v>
      </c>
      <c r="BN226" s="553">
        <f>0.5*(1+'Hilfstabellen_Mat&amp;Bem'!$BD$31*($BM226-0.3)+$BM226^2)</f>
        <v>0.74604592934300451</v>
      </c>
      <c r="BO226" s="550">
        <f t="shared" si="202"/>
        <v>0.9387051662908974</v>
      </c>
      <c r="BQ226" s="551">
        <f t="shared" si="203"/>
        <v>72546.890071625719</v>
      </c>
      <c r="BU226" s="546">
        <f t="shared" si="204"/>
        <v>278</v>
      </c>
      <c r="BV226" s="551">
        <f t="shared" si="205"/>
        <v>43.612790118640795</v>
      </c>
      <c r="BW226" s="553">
        <f>$BV226/PI()*SQRT('Hilfstabellen_Mat&amp;Bem'!f.Rd.3/'Hilfstabellen_Mat&amp;Bem'!$BD$30)</f>
        <v>0.69411911294110518</v>
      </c>
      <c r="BX226" s="553">
        <f>0.5*(1+'Hilfstabellen_Mat&amp;Bem'!$BD$31*($BW226-0.3)+$BW226^2)</f>
        <v>0.76060662712212856</v>
      </c>
      <c r="BY226" s="550">
        <f t="shared" si="206"/>
        <v>0.93317811522828298</v>
      </c>
      <c r="CA226" s="551">
        <f t="shared" si="207"/>
        <v>72119.737457302617</v>
      </c>
      <c r="CE226" s="546">
        <f t="shared" si="208"/>
        <v>278</v>
      </c>
      <c r="CF226" s="551">
        <f t="shared" si="209"/>
        <v>44.858869836316245</v>
      </c>
      <c r="CG226" s="553">
        <f>CF226/PI()*SQRT('Hilfstabellen_Mat&amp;Bem'!f.Rd.3/'Hilfstabellen_Mat&amp;Bem'!$BD$30)</f>
        <v>0.71395108759656534</v>
      </c>
      <c r="CH226" s="553">
        <f>0.5*(1+'Hilfstabellen_Mat&amp;Bem'!$BD$31*(CG226-0.3)+CG226^2)</f>
        <v>0.77556063211998749</v>
      </c>
      <c r="CI226" s="550">
        <f t="shared" si="210"/>
        <v>0.92721957186693726</v>
      </c>
      <c r="CK226" s="551">
        <f t="shared" si="211"/>
        <v>71659.237392164374</v>
      </c>
      <c r="CO226" s="546">
        <f t="shared" si="212"/>
        <v>278</v>
      </c>
      <c r="CP226" s="551">
        <f t="shared" si="213"/>
        <v>46.104949553991695</v>
      </c>
      <c r="CQ226" s="553">
        <f>CP226/PI()*SQRT('Hilfstabellen_Mat&amp;Bem'!f.Rd.3/'Hilfstabellen_Mat&amp;Bem'!$BD$30)</f>
        <v>0.73378306225202539</v>
      </c>
      <c r="CR226" s="553">
        <f>0.5*(1+'Hilfstabellen_Mat&amp;Bem'!$BD$31*(CQ226-0.3)+CQ226^2)</f>
        <v>0.79090794433658118</v>
      </c>
      <c r="CS226" s="550">
        <f t="shared" si="214"/>
        <v>0.92078377639980979</v>
      </c>
      <c r="CU226" s="551">
        <f t="shared" si="215"/>
        <v>71161.853375282895</v>
      </c>
      <c r="CY226" s="546">
        <f t="shared" si="216"/>
        <v>278</v>
      </c>
      <c r="CZ226" s="551">
        <f t="shared" si="217"/>
        <v>47.351029271667144</v>
      </c>
      <c r="DA226" s="553">
        <f>CZ226/PI()*SQRT('Hilfstabellen_Mat&amp;Bem'!f.Rd.3/'Hilfstabellen_Mat&amp;Bem'!$BD$30)</f>
        <v>0.75361503690748555</v>
      </c>
      <c r="DB226" s="553">
        <f>0.5*(1+'Hilfstabellen_Mat&amp;Bem'!$BD$31*(DA226-0.3)+DA226^2)</f>
        <v>0.80664856377190974</v>
      </c>
      <c r="DC226" s="550">
        <f t="shared" si="218"/>
        <v>0.9138219331971541</v>
      </c>
      <c r="DE226" s="551">
        <f t="shared" si="219"/>
        <v>70623.814285208864</v>
      </c>
      <c r="DI226" s="546">
        <f t="shared" si="220"/>
        <v>278</v>
      </c>
      <c r="DJ226" s="551">
        <f t="shared" si="221"/>
        <v>48.597108989342594</v>
      </c>
      <c r="DK226" s="553">
        <f>DJ226/PI()*SQRT('Hilfstabellen_Mat&amp;Bem'!f.Rd.3/'Hilfstabellen_Mat&amp;Bem'!$BD$30)</f>
        <v>0.77344701156294571</v>
      </c>
      <c r="DL226" s="553">
        <f>0.5*(1+'Hilfstabellen_Mat&amp;Bem'!$BD$31*(DK226-0.3)+DK226^2)</f>
        <v>0.82278249042597307</v>
      </c>
      <c r="DM226" s="550">
        <f t="shared" si="222"/>
        <v>0.906282976552794</v>
      </c>
      <c r="DO226" s="551">
        <f t="shared" si="223"/>
        <v>70041.173559906136</v>
      </c>
      <c r="DS226" s="546">
        <f t="shared" si="224"/>
        <v>278</v>
      </c>
      <c r="DT226" s="551">
        <f t="shared" si="225"/>
        <v>49.843188707018044</v>
      </c>
      <c r="DU226" s="553">
        <f>DT226/PI()*SQRT('Hilfstabellen_Mat&amp;Bem'!f.Rd.3/'Hilfstabellen_Mat&amp;Bem'!$BD$30)</f>
        <v>0.79327898621840576</v>
      </c>
      <c r="DV226" s="553">
        <f>0.5*(1+'Hilfstabellen_Mat&amp;Bem'!$BD$31*(DU226-0.3)+DU226^2)</f>
        <v>0.83930972429877104</v>
      </c>
      <c r="DW226" s="550">
        <f t="shared" si="226"/>
        <v>0.89811481612713184</v>
      </c>
      <c r="DY226" s="551">
        <f t="shared" si="227"/>
        <v>69409.905449569254</v>
      </c>
      <c r="EC226" s="546">
        <f t="shared" si="228"/>
        <v>278</v>
      </c>
      <c r="ED226" s="551">
        <f t="shared" si="229"/>
        <v>51.0892684246935</v>
      </c>
      <c r="EE226" s="553">
        <f>ED226/PI()*SQRT('Hilfstabellen_Mat&amp;Bem'!f.Rd.3/'Hilfstabellen_Mat&amp;Bem'!$BD$30)</f>
        <v>0.81311096087386603</v>
      </c>
      <c r="EF226" s="553">
        <f>0.5*(1+'Hilfstabellen_Mat&amp;Bem'!$BD$31*(EE226-0.3)+EE226^2)</f>
        <v>0.85623026539030422</v>
      </c>
      <c r="EG226" s="550">
        <f t="shared" si="230"/>
        <v>0.88926617163014876</v>
      </c>
      <c r="EI226" s="551">
        <f t="shared" si="231"/>
        <v>68726.046808264422</v>
      </c>
      <c r="EM226" s="546">
        <f t="shared" si="232"/>
        <v>278</v>
      </c>
      <c r="EN226" s="551">
        <f t="shared" si="233"/>
        <v>52.33534814236895</v>
      </c>
      <c r="EO226" s="553">
        <f>EN226/PI()*SQRT('Hilfstabellen_Mat&amp;Bem'!f.Rd.3/'Hilfstabellen_Mat&amp;Bem'!$BD$30)</f>
        <v>0.83294293552932608</v>
      </c>
      <c r="EP226" s="553">
        <f>0.5*(1+'Hilfstabellen_Mat&amp;Bem'!$BD$31*(EO226-0.3)+EO226^2)</f>
        <v>0.87354411370057183</v>
      </c>
      <c r="EQ226" s="550">
        <f t="shared" si="234"/>
        <v>0.87968907361599769</v>
      </c>
      <c r="ES226" s="551">
        <f t="shared" si="235"/>
        <v>67985.890365338768</v>
      </c>
    </row>
    <row r="227" spans="3:149">
      <c r="C227" s="546">
        <v>279</v>
      </c>
      <c r="D227" s="551">
        <f t="shared" si="185"/>
        <v>34.765177499590365</v>
      </c>
      <c r="E227" s="553">
        <f>$D227/PI()*SQRT('Hilfstabellen_Mat&amp;Bem'!f.Rd.3/'Hilfstabellen_Mat&amp;Bem'!$BD$30)</f>
        <v>0.55330498465269451</v>
      </c>
      <c r="F227" s="553">
        <f>0.5*(1+'Hilfstabellen_Mat&amp;Bem'!$BD$31*($E227-0.3)+$E227^2)</f>
        <v>0.6657384522533939</v>
      </c>
      <c r="G227" s="550">
        <f t="shared" si="186"/>
        <v>0.96529164997998906</v>
      </c>
      <c r="I227" s="551">
        <f t="shared" si="187"/>
        <v>75139.267326092333</v>
      </c>
      <c r="M227" s="546">
        <f t="shared" si="188"/>
        <v>279</v>
      </c>
      <c r="N227" s="551">
        <f t="shared" si="177"/>
        <v>36.006790981718595</v>
      </c>
      <c r="O227" s="553">
        <f>$N227/PI()*SQRT('Hilfstabellen_Mat&amp;Bem'!f.Rd.3/'Hilfstabellen_Mat&amp;Bem'!$BD$30)</f>
        <v>0.57306587696171929</v>
      </c>
      <c r="P227" s="553">
        <f>0.5*(1+'Hilfstabellen_Mat&amp;Bem'!$BD$31*($O227-0.3)+$O227^2)</f>
        <v>0.67785554351703814</v>
      </c>
      <c r="Q227" s="550">
        <f t="shared" si="178"/>
        <v>0.96162141179610516</v>
      </c>
      <c r="S227" s="551">
        <f t="shared" si="189"/>
        <v>74853.572315620622</v>
      </c>
      <c r="W227" s="546">
        <f t="shared" si="190"/>
        <v>279</v>
      </c>
      <c r="X227" s="551">
        <f t="shared" si="179"/>
        <v>37.248404463846818</v>
      </c>
      <c r="Y227" s="553">
        <f>$X227/PI()*SQRT('Hilfstabellen_Mat&amp;Bem'!f.Rd.3/'Hilfstabellen_Mat&amp;Bem'!$BD$30)</f>
        <v>0.59282676927074407</v>
      </c>
      <c r="Z227" s="553">
        <f>0.5*(1+'Hilfstabellen_Mat&amp;Bem'!$BD$31*($Y227-0.3)+$Y227^2)</f>
        <v>0.6903631276455312</v>
      </c>
      <c r="AA227" s="550">
        <f t="shared" si="180"/>
        <v>0.95772650145827465</v>
      </c>
      <c r="AC227" s="551">
        <f t="shared" si="191"/>
        <v>74550.388600013554</v>
      </c>
      <c r="AG227" s="546">
        <f t="shared" si="192"/>
        <v>279</v>
      </c>
      <c r="AH227" s="551">
        <f t="shared" si="181"/>
        <v>38.490017945975048</v>
      </c>
      <c r="AI227" s="553">
        <f>$AH227/PI()*SQRT('Hilfstabellen_Mat&amp;Bem'!f.Rd.3/'Hilfstabellen_Mat&amp;Bem'!$BD$30)</f>
        <v>0.61258766157976896</v>
      </c>
      <c r="AJ227" s="553">
        <f>0.5*(1+'Hilfstabellen_Mat&amp;Bem'!$BD$31*($AI227-0.3)+$AI227^2)</f>
        <v>0.70326120463887321</v>
      </c>
      <c r="AK227" s="550">
        <f t="shared" si="182"/>
        <v>0.95358166712411119</v>
      </c>
      <c r="AM227" s="551">
        <f t="shared" si="193"/>
        <v>74227.750550607932</v>
      </c>
      <c r="AQ227" s="546">
        <f t="shared" si="194"/>
        <v>279</v>
      </c>
      <c r="AR227" s="551">
        <f t="shared" si="183"/>
        <v>39.731631428103277</v>
      </c>
      <c r="AS227" s="553">
        <f>$AR227/PI()*SQRT('Hilfstabellen_Mat&amp;Bem'!f.Rd.3/'Hilfstabellen_Mat&amp;Bem'!$BD$30)</f>
        <v>0.63234855388879385</v>
      </c>
      <c r="AT227" s="553">
        <f>0.5*(1+'Hilfstabellen_Mat&amp;Bem'!$BD$31*($AS227-0.3)+$AS227^2)</f>
        <v>0.71654977449706414</v>
      </c>
      <c r="AU227" s="550">
        <f t="shared" si="184"/>
        <v>0.94915883706613735</v>
      </c>
      <c r="AW227" s="551">
        <f t="shared" si="195"/>
        <v>73883.473036065203</v>
      </c>
      <c r="BA227" s="546">
        <f t="shared" si="196"/>
        <v>279</v>
      </c>
      <c r="BB227" s="551">
        <f t="shared" si="197"/>
        <v>40.973244910231507</v>
      </c>
      <c r="BC227" s="553">
        <f>$BB227/PI()*SQRT('Hilfstabellen_Mat&amp;Bem'!f.Rd.3/'Hilfstabellen_Mat&amp;Bem'!$BD$30)</f>
        <v>0.65210944619781863</v>
      </c>
      <c r="BD227" s="553">
        <f>0.5*(1+'Hilfstabellen_Mat&amp;Bem'!$BD$31*($BC227-0.3)+$BC227^2)</f>
        <v>0.73022883722010379</v>
      </c>
      <c r="BE227" s="550">
        <f t="shared" si="198"/>
        <v>0.94442686453602809</v>
      </c>
      <c r="BG227" s="551">
        <f t="shared" si="199"/>
        <v>73515.131562348965</v>
      </c>
      <c r="BK227" s="546">
        <f t="shared" si="200"/>
        <v>279</v>
      </c>
      <c r="BL227" s="551">
        <f t="shared" si="201"/>
        <v>42.21485839235973</v>
      </c>
      <c r="BM227" s="553">
        <f>$BL227/PI()*SQRT('Hilfstabellen_Mat&amp;Bem'!f.Rd.3/'Hilfstabellen_Mat&amp;Bem'!$BD$30)</f>
        <v>0.67187033850684341</v>
      </c>
      <c r="BN227" s="553">
        <f>0.5*(1+'Hilfstabellen_Mat&amp;Bem'!$BD$31*($BM227-0.3)+$BM227^2)</f>
        <v>0.74429839280799237</v>
      </c>
      <c r="BO227" s="550">
        <f t="shared" si="202"/>
        <v>0.93935130219020946</v>
      </c>
      <c r="BQ227" s="551">
        <f t="shared" si="203"/>
        <v>73120.044713788098</v>
      </c>
      <c r="BU227" s="546">
        <f t="shared" si="204"/>
        <v>279</v>
      </c>
      <c r="BV227" s="551">
        <f t="shared" si="205"/>
        <v>43.45647187448796</v>
      </c>
      <c r="BW227" s="553">
        <f>$BV227/PI()*SQRT('Hilfstabellen_Mat&amp;Bem'!f.Rd.3/'Hilfstabellen_Mat&amp;Bem'!$BD$30)</f>
        <v>0.6916312308158683</v>
      </c>
      <c r="BX227" s="553">
        <f>0.5*(1+'Hilfstabellen_Mat&amp;Bem'!$BD$31*($BW227-0.3)+$BW227^2)</f>
        <v>0.75875844126072978</v>
      </c>
      <c r="BY227" s="550">
        <f t="shared" si="206"/>
        <v>0.93389423746049238</v>
      </c>
      <c r="CA227" s="551">
        <f t="shared" si="207"/>
        <v>72695.261338162192</v>
      </c>
      <c r="CE227" s="546">
        <f t="shared" si="208"/>
        <v>279</v>
      </c>
      <c r="CF227" s="551">
        <f t="shared" si="209"/>
        <v>44.698085356616183</v>
      </c>
      <c r="CG227" s="553">
        <f>CF227/PI()*SQRT('Hilfstabellen_Mat&amp;Bem'!f.Rd.3/'Hilfstabellen_Mat&amp;Bem'!$BD$30)</f>
        <v>0.71139212312489297</v>
      </c>
      <c r="CH227" s="553">
        <f>0.5*(1+'Hilfstabellen_Mat&amp;Bem'!$BD$31*(CG227-0.3)+CG227^2)</f>
        <v>0.77360898257831612</v>
      </c>
      <c r="CI227" s="550">
        <f t="shared" si="210"/>
        <v>0.92801423361892288</v>
      </c>
      <c r="CK227" s="551">
        <f t="shared" si="211"/>
        <v>72237.555959130579</v>
      </c>
      <c r="CO227" s="546">
        <f t="shared" si="212"/>
        <v>279</v>
      </c>
      <c r="CP227" s="551">
        <f t="shared" si="213"/>
        <v>45.939698838744413</v>
      </c>
      <c r="CQ227" s="553">
        <f>CP227/PI()*SQRT('Hilfstabellen_Mat&amp;Bem'!f.Rd.3/'Hilfstabellen_Mat&amp;Bem'!$BD$30)</f>
        <v>0.73115301543391775</v>
      </c>
      <c r="CR227" s="553">
        <f>0.5*(1+'Hilfstabellen_Mat&amp;Bem'!$BD$31*(CQ227-0.3)+CQ227^2)</f>
        <v>0.78885001676075128</v>
      </c>
      <c r="CS227" s="550">
        <f t="shared" si="214"/>
        <v>0.92166643769861611</v>
      </c>
      <c r="CU227" s="551">
        <f t="shared" si="215"/>
        <v>71743.437176897976</v>
      </c>
      <c r="CY227" s="546">
        <f t="shared" si="216"/>
        <v>279</v>
      </c>
      <c r="CZ227" s="551">
        <f t="shared" si="217"/>
        <v>47.181312320872642</v>
      </c>
      <c r="DA227" s="553">
        <f>CZ227/PI()*SQRT('Hilfstabellen_Mat&amp;Bem'!f.Rd.3/'Hilfstabellen_Mat&amp;Bem'!$BD$30)</f>
        <v>0.75091390774294264</v>
      </c>
      <c r="DB227" s="553">
        <f>0.5*(1+'Hilfstabellen_Mat&amp;Bem'!$BD$31*(DA227-0.3)+DA227^2)</f>
        <v>0.80448154380803549</v>
      </c>
      <c r="DC227" s="550">
        <f t="shared" si="218"/>
        <v>0.9148029349485286</v>
      </c>
      <c r="DE227" s="551">
        <f t="shared" si="219"/>
        <v>71209.175259328418</v>
      </c>
      <c r="DI227" s="546">
        <f t="shared" si="220"/>
        <v>279</v>
      </c>
      <c r="DJ227" s="551">
        <f t="shared" si="221"/>
        <v>48.422925803000865</v>
      </c>
      <c r="DK227" s="553">
        <f>DJ227/PI()*SQRT('Hilfstabellen_Mat&amp;Bem'!f.Rd.3/'Hilfstabellen_Mat&amp;Bem'!$BD$30)</f>
        <v>0.77067480005196742</v>
      </c>
      <c r="DL227" s="553">
        <f>0.5*(1+'Hilfstabellen_Mat&amp;Bem'!$BD$31*(DK227-0.3)+DK227^2)</f>
        <v>0.82050356372016831</v>
      </c>
      <c r="DM227" s="550">
        <f t="shared" si="222"/>
        <v>0.9073734475522609</v>
      </c>
      <c r="DO227" s="551">
        <f t="shared" si="223"/>
        <v>70630.856530915538</v>
      </c>
      <c r="DS227" s="546">
        <f t="shared" si="224"/>
        <v>279</v>
      </c>
      <c r="DT227" s="551">
        <f t="shared" si="225"/>
        <v>49.664539285129095</v>
      </c>
      <c r="DU227" s="553">
        <f>DT227/PI()*SQRT('Hilfstabellen_Mat&amp;Bem'!f.Rd.3/'Hilfstabellen_Mat&amp;Bem'!$BD$30)</f>
        <v>0.7904356923609922</v>
      </c>
      <c r="DV227" s="553">
        <f>0.5*(1+'Hilfstabellen_Mat&amp;Bem'!$BD$31*(DU227-0.3)+DU227^2)</f>
        <v>0.83691607649715016</v>
      </c>
      <c r="DW227" s="550">
        <f t="shared" si="226"/>
        <v>0.89932648783707625</v>
      </c>
      <c r="DY227" s="551">
        <f t="shared" si="227"/>
        <v>70004.473139725858</v>
      </c>
      <c r="EC227" s="546">
        <f t="shared" si="228"/>
        <v>279</v>
      </c>
      <c r="ED227" s="551">
        <f t="shared" si="229"/>
        <v>50.906152767257325</v>
      </c>
      <c r="EE227" s="553">
        <f>ED227/PI()*SQRT('Hilfstabellen_Mat&amp;Bem'!f.Rd.3/'Hilfstabellen_Mat&amp;Bem'!$BD$30)</f>
        <v>0.81019658467001698</v>
      </c>
      <c r="EF227" s="553">
        <f>0.5*(1+'Hilfstabellen_Mat&amp;Bem'!$BD$31*(EE227-0.3)+EE227^2)</f>
        <v>0.85371908213898084</v>
      </c>
      <c r="EG227" s="550">
        <f t="shared" si="230"/>
        <v>0.89061107472991485</v>
      </c>
      <c r="EI227" s="551">
        <f t="shared" si="231"/>
        <v>69326.0566680513</v>
      </c>
      <c r="EM227" s="546">
        <f t="shared" si="232"/>
        <v>279</v>
      </c>
      <c r="EN227" s="551">
        <f t="shared" si="233"/>
        <v>52.147766249385555</v>
      </c>
      <c r="EO227" s="553">
        <f>EN227/PI()*SQRT('Hilfstabellen_Mat&amp;Bem'!f.Rd.3/'Hilfstabellen_Mat&amp;Bem'!$BD$30)</f>
        <v>0.82995747697904187</v>
      </c>
      <c r="EP227" s="553">
        <f>0.5*(1+'Hilfstabellen_Mat&amp;Bem'!$BD$31*(EO227-0.3)+EO227^2)</f>
        <v>0.87091258064566057</v>
      </c>
      <c r="EQ227" s="550">
        <f t="shared" si="234"/>
        <v>0.88117909504911385</v>
      </c>
      <c r="ES227" s="551">
        <f t="shared" si="235"/>
        <v>68591.861937718073</v>
      </c>
    </row>
    <row r="228" spans="3:149">
      <c r="C228" s="546">
        <v>280</v>
      </c>
      <c r="D228" s="551">
        <f t="shared" si="185"/>
        <v>34.641016151377542</v>
      </c>
      <c r="E228" s="553">
        <f>$D228/PI()*SQRT('Hilfstabellen_Mat&amp;Bem'!f.Rd.3/'Hilfstabellen_Mat&amp;Bem'!$BD$30)</f>
        <v>0.55132889542179198</v>
      </c>
      <c r="F228" s="553">
        <f>0.5*(1+'Hilfstabellen_Mat&amp;Bem'!$BD$31*($E228-0.3)+$E228^2)</f>
        <v>0.66454822023459625</v>
      </c>
      <c r="G228" s="550">
        <f t="shared" si="186"/>
        <v>0.96564721134572118</v>
      </c>
      <c r="I228" s="551">
        <f t="shared" si="187"/>
        <v>75706.74136950454</v>
      </c>
      <c r="M228" s="546">
        <f t="shared" si="188"/>
        <v>280</v>
      </c>
      <c r="N228" s="551">
        <f t="shared" si="177"/>
        <v>35.878195299641028</v>
      </c>
      <c r="O228" s="553">
        <f>$N228/PI()*SQRT('Hilfstabellen_Mat&amp;Bem'!f.Rd.3/'Hilfstabellen_Mat&amp;Bem'!$BD$30)</f>
        <v>0.57101921311542758</v>
      </c>
      <c r="P228" s="553">
        <f>0.5*(1+'Hilfstabellen_Mat&amp;Bem'!$BD$31*($O228-0.3)+$O228^2)</f>
        <v>0.67658243152925235</v>
      </c>
      <c r="Q228" s="550">
        <f t="shared" si="178"/>
        <v>0.962011566016577</v>
      </c>
      <c r="S228" s="551">
        <f t="shared" si="189"/>
        <v>75421.70677569964</v>
      </c>
      <c r="W228" s="546">
        <f t="shared" si="190"/>
        <v>280</v>
      </c>
      <c r="X228" s="551">
        <f t="shared" si="179"/>
        <v>37.115374447904507</v>
      </c>
      <c r="Y228" s="553">
        <f>$X228/PI()*SQRT('Hilfstabellen_Mat&amp;Bem'!f.Rd.3/'Hilfstabellen_Mat&amp;Bem'!$BD$30)</f>
        <v>0.59070953080906285</v>
      </c>
      <c r="Z228" s="553">
        <f>0.5*(1+'Hilfstabellen_Mat&amp;Bem'!$BD$31*($Y228-0.3)+$Y228^2)</f>
        <v>0.68900435143478478</v>
      </c>
      <c r="AA228" s="550">
        <f t="shared" si="180"/>
        <v>0.95815529917458298</v>
      </c>
      <c r="AC228" s="551">
        <f t="shared" si="191"/>
        <v>75119.3754552873</v>
      </c>
      <c r="AG228" s="546">
        <f t="shared" si="192"/>
        <v>280</v>
      </c>
      <c r="AH228" s="551">
        <f t="shared" si="181"/>
        <v>38.352553596167994</v>
      </c>
      <c r="AI228" s="553">
        <f>$AH228/PI()*SQRT('Hilfstabellen_Mat&amp;Bem'!f.Rd.3/'Hilfstabellen_Mat&amp;Bem'!$BD$30)</f>
        <v>0.61039984850269835</v>
      </c>
      <c r="AJ228" s="553">
        <f>0.5*(1+'Hilfstabellen_Mat&amp;Bem'!$BD$31*($AI228-0.3)+$AI228^2)</f>
        <v>0.70181397995119343</v>
      </c>
      <c r="AK228" s="550">
        <f t="shared" si="182"/>
        <v>0.95405370754092744</v>
      </c>
      <c r="AM228" s="551">
        <f t="shared" si="193"/>
        <v>74797.810671208717</v>
      </c>
      <c r="AQ228" s="546">
        <f t="shared" si="194"/>
        <v>280</v>
      </c>
      <c r="AR228" s="551">
        <f t="shared" si="183"/>
        <v>39.58973274443148</v>
      </c>
      <c r="AS228" s="553">
        <f>$AR228/PI()*SQRT('Hilfstabellen_Mat&amp;Bem'!f.Rd.3/'Hilfstabellen_Mat&amp;Bem'!$BD$30)</f>
        <v>0.63009016619633385</v>
      </c>
      <c r="AT228" s="553">
        <f>0.5*(1+'Hilfstabellen_Mat&amp;Bem'!$BD$31*($AS228-0.3)+$AS228^2)</f>
        <v>0.71501131707847843</v>
      </c>
      <c r="AU228" s="550">
        <f t="shared" si="184"/>
        <v>0.94967933574484364</v>
      </c>
      <c r="AW228" s="551">
        <f t="shared" si="195"/>
        <v>74454.859922395743</v>
      </c>
      <c r="BA228" s="546">
        <f t="shared" si="196"/>
        <v>280</v>
      </c>
      <c r="BB228" s="551">
        <f t="shared" si="197"/>
        <v>40.826911892694966</v>
      </c>
      <c r="BC228" s="553">
        <f>$BB228/PI()*SQRT('Hilfstabellen_Mat&amp;Bem'!f.Rd.3/'Hilfstabellen_Mat&amp;Bem'!$BD$30)</f>
        <v>0.64978048388996923</v>
      </c>
      <c r="BD228" s="553">
        <f>0.5*(1+'Hilfstabellen_Mat&amp;Bem'!$BD$31*($BC228-0.3)+$BC228^2)</f>
        <v>0.72859636281663975</v>
      </c>
      <c r="BE228" s="550">
        <f t="shared" si="198"/>
        <v>0.94500172392572568</v>
      </c>
      <c r="BG228" s="551">
        <f t="shared" si="199"/>
        <v>74088.135155776894</v>
      </c>
      <c r="BK228" s="546">
        <f t="shared" si="200"/>
        <v>280</v>
      </c>
      <c r="BL228" s="551">
        <f t="shared" si="201"/>
        <v>42.064091040958445</v>
      </c>
      <c r="BM228" s="553">
        <f>$BL228/PI()*SQRT('Hilfstabellen_Mat&amp;Bem'!f.Rd.3/'Hilfstabellen_Mat&amp;Bem'!$BD$30)</f>
        <v>0.66947080158360461</v>
      </c>
      <c r="BN228" s="553">
        <f>0.5*(1+'Hilfstabellen_Mat&amp;Bem'!$BD$31*($BM228-0.3)+$BM228^2)</f>
        <v>0.74256911716567731</v>
      </c>
      <c r="BO228" s="550">
        <f t="shared" si="202"/>
        <v>0.93998718152157468</v>
      </c>
      <c r="BQ228" s="551">
        <f t="shared" si="203"/>
        <v>73694.995031291459</v>
      </c>
      <c r="BU228" s="546">
        <f t="shared" si="204"/>
        <v>280</v>
      </c>
      <c r="BV228" s="551">
        <f t="shared" si="205"/>
        <v>43.301270189221931</v>
      </c>
      <c r="BW228" s="553">
        <f>$BV228/PI()*SQRT('Hilfstabellen_Mat&amp;Bem'!f.Rd.3/'Hilfstabellen_Mat&amp;Bem'!$BD$30)</f>
        <v>0.68916111927724011</v>
      </c>
      <c r="BX228" s="553">
        <f>0.5*(1+'Hilfstabellen_Mat&amp;Bem'!$BD$31*($BW228-0.3)+$BW228^2)</f>
        <v>0.75692958012559108</v>
      </c>
      <c r="BY228" s="550">
        <f t="shared" si="206"/>
        <v>0.9345986165714808</v>
      </c>
      <c r="CA228" s="551">
        <f t="shared" si="207"/>
        <v>73272.531539204094</v>
      </c>
      <c r="CE228" s="546">
        <f t="shared" si="208"/>
        <v>280</v>
      </c>
      <c r="CF228" s="551">
        <f t="shared" si="209"/>
        <v>44.538449337485417</v>
      </c>
      <c r="CG228" s="553">
        <f>CF228/PI()*SQRT('Hilfstabellen_Mat&amp;Bem'!f.Rd.3/'Hilfstabellen_Mat&amp;Bem'!$BD$30)</f>
        <v>0.7088514369708756</v>
      </c>
      <c r="CH228" s="553">
        <f>0.5*(1+'Hilfstabellen_Mat&amp;Bem'!$BD$31*(CG228-0.3)+CG228^2)</f>
        <v>0.77167775169638142</v>
      </c>
      <c r="CI228" s="550">
        <f t="shared" si="210"/>
        <v>0.92879546249622047</v>
      </c>
      <c r="CK228" s="551">
        <f t="shared" si="211"/>
        <v>72817.564259703679</v>
      </c>
      <c r="CO228" s="546">
        <f t="shared" si="212"/>
        <v>280</v>
      </c>
      <c r="CP228" s="551">
        <f t="shared" si="213"/>
        <v>45.775628485748896</v>
      </c>
      <c r="CQ228" s="553">
        <f>CP228/PI()*SQRT('Hilfstabellen_Mat&amp;Bem'!f.Rd.3/'Hilfstabellen_Mat&amp;Bem'!$BD$30)</f>
        <v>0.72854175466451088</v>
      </c>
      <c r="CR228" s="553">
        <f>0.5*(1+'Hilfstabellen_Mat&amp;Bem'!$BD$31*(CQ228-0.3)+CQ228^2)</f>
        <v>0.78681363187804765</v>
      </c>
      <c r="CS228" s="550">
        <f t="shared" si="214"/>
        <v>0.92253375994836706</v>
      </c>
      <c r="CU228" s="551">
        <f t="shared" si="215"/>
        <v>72326.646779951974</v>
      </c>
      <c r="CY228" s="546">
        <f t="shared" si="216"/>
        <v>280</v>
      </c>
      <c r="CZ228" s="551">
        <f t="shared" si="217"/>
        <v>47.012807634012383</v>
      </c>
      <c r="DA228" s="553">
        <f>CZ228/PI()*SQRT('Hilfstabellen_Mat&amp;Bem'!f.Rd.3/'Hilfstabellen_Mat&amp;Bem'!$BD$30)</f>
        <v>0.74823207235814637</v>
      </c>
      <c r="DB228" s="553">
        <f>0.5*(1+'Hilfstabellen_Mat&amp;Bem'!$BD$31*(DA228-0.3)+DA228^2)</f>
        <v>0.80233722067059055</v>
      </c>
      <c r="DC228" s="550">
        <f t="shared" si="218"/>
        <v>0.91576646916782445</v>
      </c>
      <c r="DE228" s="551">
        <f t="shared" si="219"/>
        <v>71796.091182757431</v>
      </c>
      <c r="DI228" s="546">
        <f t="shared" si="220"/>
        <v>280</v>
      </c>
      <c r="DJ228" s="551">
        <f t="shared" si="221"/>
        <v>48.249986782275869</v>
      </c>
      <c r="DK228" s="553">
        <f>DJ228/PI()*SQRT('Hilfstabellen_Mat&amp;Bem'!f.Rd.3/'Hilfstabellen_Mat&amp;Bem'!$BD$30)</f>
        <v>0.76792239005178187</v>
      </c>
      <c r="DL228" s="553">
        <f>0.5*(1+'Hilfstabellen_Mat&amp;Bem'!$BD$31*(DK228-0.3)+DK228^2)</f>
        <v>0.81824851807400956</v>
      </c>
      <c r="DM228" s="550">
        <f t="shared" si="222"/>
        <v>0.90844410610010762</v>
      </c>
      <c r="DO228" s="551">
        <f t="shared" si="223"/>
        <v>71222.017918248443</v>
      </c>
      <c r="DS228" s="546">
        <f t="shared" si="224"/>
        <v>280</v>
      </c>
      <c r="DT228" s="551">
        <f t="shared" si="225"/>
        <v>49.487165930539348</v>
      </c>
      <c r="DU228" s="553">
        <f>DT228/PI()*SQRT('Hilfstabellen_Mat&amp;Bem'!f.Rd.3/'Hilfstabellen_Mat&amp;Bem'!$BD$30)</f>
        <v>0.78761270774541725</v>
      </c>
      <c r="DV228" s="553">
        <f>0.5*(1+'Hilfstabellen_Mat&amp;Bem'!$BD$31*(DU228-0.3)+DU228^2)</f>
        <v>0.8345475240883049</v>
      </c>
      <c r="DW228" s="550">
        <f t="shared" si="226"/>
        <v>0.90051580877540705</v>
      </c>
      <c r="DY228" s="551">
        <f t="shared" si="227"/>
        <v>70600.439407991915</v>
      </c>
      <c r="EC228" s="546">
        <f t="shared" si="228"/>
        <v>280</v>
      </c>
      <c r="ED228" s="551">
        <f t="shared" si="229"/>
        <v>50.724345078802827</v>
      </c>
      <c r="EE228" s="553">
        <f>ED228/PI()*SQRT('Hilfstabellen_Mat&amp;Bem'!f.Rd.3/'Hilfstabellen_Mat&amp;Bem'!$BD$30)</f>
        <v>0.80730302543905264</v>
      </c>
      <c r="EF228" s="553">
        <f>0.5*(1+'Hilfstabellen_Mat&amp;Bem'!$BD$31*(EE228-0.3)+EE228^2)</f>
        <v>0.85123423871347637</v>
      </c>
      <c r="EG228" s="550">
        <f t="shared" si="230"/>
        <v>0.89193094143046803</v>
      </c>
      <c r="EI228" s="551">
        <f t="shared" si="231"/>
        <v>69927.385808148698</v>
      </c>
      <c r="EM228" s="546">
        <f t="shared" si="232"/>
        <v>280</v>
      </c>
      <c r="EN228" s="551">
        <f t="shared" si="233"/>
        <v>51.961524227066313</v>
      </c>
      <c r="EO228" s="553">
        <f>EN228/PI()*SQRT('Hilfstabellen_Mat&amp;Bem'!f.Rd.3/'Hilfstabellen_Mat&amp;Bem'!$BD$30)</f>
        <v>0.82699334313268802</v>
      </c>
      <c r="EP228" s="553">
        <f>0.5*(1+'Hilfstabellen_Mat&amp;Bem'!$BD$31*(EO228-0.3)+EO228^2)</f>
        <v>0.86830866194952439</v>
      </c>
      <c r="EQ228" s="550">
        <f t="shared" si="234"/>
        <v>0.88264132162822806</v>
      </c>
      <c r="ES228" s="551">
        <f t="shared" si="235"/>
        <v>69199.079615653085</v>
      </c>
    </row>
    <row r="229" spans="3:149">
      <c r="C229" s="546">
        <v>281</v>
      </c>
      <c r="D229" s="551">
        <f t="shared" si="185"/>
        <v>34.517738513828156</v>
      </c>
      <c r="E229" s="553">
        <f>$D229/PI()*SQRT('Hilfstabellen_Mat&amp;Bem'!f.Rd.3/'Hilfstabellen_Mat&amp;Bem'!$BD$30)</f>
        <v>0.54936687088292446</v>
      </c>
      <c r="F229" s="553">
        <f>0.5*(1+'Hilfstabellen_Mat&amp;Bem'!$BD$31*($E229-0.3)+$E229^2)</f>
        <v>0.66337032295599418</v>
      </c>
      <c r="G229" s="550">
        <f t="shared" si="186"/>
        <v>0.96599826673753231</v>
      </c>
      <c r="I229" s="551">
        <f t="shared" si="187"/>
        <v>76276.189139862283</v>
      </c>
      <c r="M229" s="546">
        <f t="shared" si="188"/>
        <v>281</v>
      </c>
      <c r="N229" s="551">
        <f t="shared" si="177"/>
        <v>35.750514889322019</v>
      </c>
      <c r="O229" s="553">
        <f>$N229/PI()*SQRT('Hilfstabellen_Mat&amp;Bem'!f.Rd.3/'Hilfstabellen_Mat&amp;Bem'!$BD$30)</f>
        <v>0.56898711627160037</v>
      </c>
      <c r="P229" s="553">
        <f>0.5*(1+'Hilfstabellen_Mat&amp;Bem'!$BD$31*($O229-0.3)+$O229^2)</f>
        <v>0.67532252505511581</v>
      </c>
      <c r="Q229" s="550">
        <f t="shared" si="178"/>
        <v>0.96239658724925148</v>
      </c>
      <c r="S229" s="551">
        <f t="shared" si="189"/>
        <v>75991.796925788149</v>
      </c>
      <c r="W229" s="546">
        <f t="shared" si="190"/>
        <v>281</v>
      </c>
      <c r="X229" s="551">
        <f t="shared" si="179"/>
        <v>36.983291264815882</v>
      </c>
      <c r="Y229" s="553">
        <f>$X229/PI()*SQRT('Hilfstabellen_Mat&amp;Bem'!f.Rd.3/'Hilfstabellen_Mat&amp;Bem'!$BD$30)</f>
        <v>0.58860736166027627</v>
      </c>
      <c r="Z229" s="553">
        <f>0.5*(1+'Hilfstabellen_Mat&amp;Bem'!$BD$31*($Y229-0.3)+$Y229^2)</f>
        <v>0.68765968118334941</v>
      </c>
      <c r="AA229" s="550">
        <f t="shared" si="180"/>
        <v>0.95857824122579671</v>
      </c>
      <c r="AC229" s="551">
        <f t="shared" si="191"/>
        <v>75690.296505430131</v>
      </c>
      <c r="AG229" s="546">
        <f t="shared" si="192"/>
        <v>281</v>
      </c>
      <c r="AH229" s="551">
        <f t="shared" si="181"/>
        <v>38.216067640309745</v>
      </c>
      <c r="AI229" s="553">
        <f>$AH229/PI()*SQRT('Hilfstabellen_Mat&amp;Bem'!f.Rd.3/'Hilfstabellen_Mat&amp;Bem'!$BD$30)</f>
        <v>0.60822760704895207</v>
      </c>
      <c r="AJ229" s="553">
        <f>0.5*(1+'Hilfstabellen_Mat&amp;Bem'!$BD$31*($AI229-0.3)+$AI229^2)</f>
        <v>0.70038179134069489</v>
      </c>
      <c r="AK229" s="550">
        <f t="shared" si="182"/>
        <v>0.95451905938235704</v>
      </c>
      <c r="AM229" s="551">
        <f t="shared" si="193"/>
        <v>75369.779447890294</v>
      </c>
      <c r="AQ229" s="546">
        <f t="shared" si="194"/>
        <v>281</v>
      </c>
      <c r="AR229" s="551">
        <f t="shared" si="183"/>
        <v>39.448844015803608</v>
      </c>
      <c r="AS229" s="553">
        <f>$AR229/PI()*SQRT('Hilfstabellen_Mat&amp;Bem'!f.Rd.3/'Hilfstabellen_Mat&amp;Bem'!$BD$30)</f>
        <v>0.62784785243762797</v>
      </c>
      <c r="AT229" s="553">
        <f>0.5*(1+'Hilfstabellen_Mat&amp;Bem'!$BD$31*($AS229-0.3)+$AS229^2)</f>
        <v>0.71348885552715213</v>
      </c>
      <c r="AU229" s="550">
        <f t="shared" si="184"/>
        <v>0.95019218651759996</v>
      </c>
      <c r="AW229" s="551">
        <f t="shared" si="195"/>
        <v>75028.125239616216</v>
      </c>
      <c r="BA229" s="546">
        <f t="shared" si="196"/>
        <v>281</v>
      </c>
      <c r="BB229" s="551">
        <f t="shared" si="197"/>
        <v>40.681620391297471</v>
      </c>
      <c r="BC229" s="553">
        <f>$BB229/PI()*SQRT('Hilfstabellen_Mat&amp;Bem'!f.Rd.3/'Hilfstabellen_Mat&amp;Bem'!$BD$30)</f>
        <v>0.64746809782630388</v>
      </c>
      <c r="BD229" s="553">
        <f>0.5*(1+'Hilfstabellen_Mat&amp;Bem'!$BD$31*($BC229-0.3)+$BC229^2)</f>
        <v>0.72698087374272136</v>
      </c>
      <c r="BE229" s="550">
        <f t="shared" si="198"/>
        <v>0.94556783206188055</v>
      </c>
      <c r="BG229" s="551">
        <f t="shared" si="199"/>
        <v>74662.981587438146</v>
      </c>
      <c r="BK229" s="546">
        <f t="shared" si="200"/>
        <v>281</v>
      </c>
      <c r="BL229" s="551">
        <f t="shared" si="201"/>
        <v>41.914396766791334</v>
      </c>
      <c r="BM229" s="553">
        <f>$BL229/PI()*SQRT('Hilfstabellen_Mat&amp;Bem'!f.Rd.3/'Hilfstabellen_Mat&amp;Bem'!$BD$30)</f>
        <v>0.66708834321497967</v>
      </c>
      <c r="BN229" s="553">
        <f>0.5*(1+'Hilfstabellen_Mat&amp;Bem'!$BD$31*($BM229-0.3)+$BM229^2)</f>
        <v>0.74085784598740223</v>
      </c>
      <c r="BO229" s="550">
        <f t="shared" si="202"/>
        <v>0.94061304370408194</v>
      </c>
      <c r="BQ229" s="551">
        <f t="shared" si="203"/>
        <v>74271.746543918009</v>
      </c>
      <c r="BU229" s="546">
        <f t="shared" si="204"/>
        <v>281</v>
      </c>
      <c r="BV229" s="551">
        <f t="shared" si="205"/>
        <v>43.147173142285197</v>
      </c>
      <c r="BW229" s="553">
        <f>$BV229/PI()*SQRT('Hilfstabellen_Mat&amp;Bem'!f.Rd.3/'Hilfstabellen_Mat&amp;Bem'!$BD$30)</f>
        <v>0.68670858860365558</v>
      </c>
      <c r="BX229" s="553">
        <f>0.5*(1+'Hilfstabellen_Mat&amp;Bem'!$BD$31*($BW229-0.3)+$BW229^2)</f>
        <v>0.75511977226119509</v>
      </c>
      <c r="BY229" s="550">
        <f t="shared" si="206"/>
        <v>0.93529153149958422</v>
      </c>
      <c r="CA229" s="551">
        <f t="shared" si="207"/>
        <v>73851.554618738664</v>
      </c>
      <c r="CE229" s="546">
        <f t="shared" si="208"/>
        <v>281</v>
      </c>
      <c r="CF229" s="551">
        <f t="shared" si="209"/>
        <v>44.37994951777906</v>
      </c>
      <c r="CG229" s="553">
        <f>CF229/PI()*SQRT('Hilfstabellen_Mat&amp;Bem'!f.Rd.3/'Hilfstabellen_Mat&amp;Bem'!$BD$30)</f>
        <v>0.70632883399233148</v>
      </c>
      <c r="CH229" s="553">
        <f>0.5*(1+'Hilfstabellen_Mat&amp;Bem'!$BD$31*(CG229-0.3)+CG229^2)</f>
        <v>0.76976665256409982</v>
      </c>
      <c r="CI229" s="550">
        <f t="shared" si="210"/>
        <v>0.92956358180379328</v>
      </c>
      <c r="CK229" s="551">
        <f t="shared" si="211"/>
        <v>73399.269982809317</v>
      </c>
      <c r="CO229" s="546">
        <f t="shared" si="212"/>
        <v>281</v>
      </c>
      <c r="CP229" s="551">
        <f t="shared" si="213"/>
        <v>45.612725893272923</v>
      </c>
      <c r="CQ229" s="553">
        <f>CP229/PI()*SQRT('Hilfstabellen_Mat&amp;Bem'!f.Rd.3/'Hilfstabellen_Mat&amp;Bem'!$BD$30)</f>
        <v>0.72594907938100739</v>
      </c>
      <c r="CR229" s="553">
        <f>0.5*(1+'Hilfstabellen_Mat&amp;Bem'!$BD$31*(CQ229-0.3)+CQ229^2)</f>
        <v>0.78479848689611642</v>
      </c>
      <c r="CS229" s="550">
        <f t="shared" si="214"/>
        <v>0.92338611524243963</v>
      </c>
      <c r="CU229" s="551">
        <f t="shared" si="215"/>
        <v>72911.491045658273</v>
      </c>
      <c r="CY229" s="546">
        <f t="shared" si="216"/>
        <v>281</v>
      </c>
      <c r="CZ229" s="551">
        <f t="shared" si="217"/>
        <v>46.845502268766786</v>
      </c>
      <c r="DA229" s="553">
        <f>CZ229/PI()*SQRT('Hilfstabellen_Mat&amp;Bem'!f.Rd.3/'Hilfstabellen_Mat&amp;Bem'!$BD$30)</f>
        <v>0.74556932476968329</v>
      </c>
      <c r="DB229" s="553">
        <f>0.5*(1+'Hilfstabellen_Mat&amp;Bem'!$BD$31*(DA229-0.3)+DA229^2)</f>
        <v>0.8002152752572449</v>
      </c>
      <c r="DC229" s="550">
        <f t="shared" si="218"/>
        <v>0.91671296009663561</v>
      </c>
      <c r="DE229" s="551">
        <f t="shared" si="219"/>
        <v>72384.572042190441</v>
      </c>
      <c r="DI229" s="546">
        <f t="shared" si="220"/>
        <v>281</v>
      </c>
      <c r="DJ229" s="551">
        <f t="shared" si="221"/>
        <v>48.078278644260642</v>
      </c>
      <c r="DK229" s="553">
        <f>DJ229/PI()*SQRT('Hilfstabellen_Mat&amp;Bem'!f.Rd.3/'Hilfstabellen_Mat&amp;Bem'!$BD$30)</f>
        <v>0.76518957015835909</v>
      </c>
      <c r="DL229" s="553">
        <f>0.5*(1+'Hilfstabellen_Mat&amp;Bem'!$BD$31*(DK229-0.3)+DK229^2)</f>
        <v>0.81601701764748513</v>
      </c>
      <c r="DM229" s="550">
        <f t="shared" si="222"/>
        <v>0.90949543000030464</v>
      </c>
      <c r="DO229" s="551">
        <f t="shared" si="223"/>
        <v>71814.668648254054</v>
      </c>
      <c r="DS229" s="546">
        <f t="shared" si="224"/>
        <v>281</v>
      </c>
      <c r="DT229" s="551">
        <f t="shared" si="225"/>
        <v>49.311055019754512</v>
      </c>
      <c r="DU229" s="553">
        <f>DT229/PI()*SQRT('Hilfstabellen_Mat&amp;Bem'!f.Rd.3/'Hilfstabellen_Mat&amp;Bem'!$BD$30)</f>
        <v>0.78480981554703499</v>
      </c>
      <c r="DV229" s="553">
        <f>0.5*(1+'Hilfstabellen_Mat&amp;Bem'!$BD$31*(DU229-0.3)+DU229^2)</f>
        <v>0.83220371406683735</v>
      </c>
      <c r="DW229" s="550">
        <f t="shared" si="226"/>
        <v>0.90168330865021529</v>
      </c>
      <c r="DY229" s="551">
        <f t="shared" si="227"/>
        <v>71197.815734329648</v>
      </c>
      <c r="EC229" s="546">
        <f t="shared" si="228"/>
        <v>281</v>
      </c>
      <c r="ED229" s="551">
        <f t="shared" si="229"/>
        <v>50.543831395248375</v>
      </c>
      <c r="EE229" s="553">
        <f>ED229/PI()*SQRT('Hilfstabellen_Mat&amp;Bem'!f.Rd.3/'Hilfstabellen_Mat&amp;Bem'!$BD$30)</f>
        <v>0.8044300609357109</v>
      </c>
      <c r="EF229" s="553">
        <f>0.5*(1+'Hilfstabellen_Mat&amp;Bem'!$BD$31*(EE229-0.3)+EE229^2)</f>
        <v>0.84877536451530133</v>
      </c>
      <c r="EG229" s="550">
        <f t="shared" si="230"/>
        <v>0.89322634732345352</v>
      </c>
      <c r="EI229" s="551">
        <f t="shared" si="231"/>
        <v>70530.045611007212</v>
      </c>
      <c r="EM229" s="546">
        <f t="shared" si="232"/>
        <v>281</v>
      </c>
      <c r="EN229" s="551">
        <f t="shared" si="233"/>
        <v>51.776607770742238</v>
      </c>
      <c r="EO229" s="553">
        <f>EN229/PI()*SQRT('Hilfstabellen_Mat&amp;Bem'!f.Rd.3/'Hilfstabellen_Mat&amp;Bem'!$BD$30)</f>
        <v>0.82405030632438681</v>
      </c>
      <c r="EP229" s="553">
        <f>0.5*(1+'Hilfstabellen_Mat&amp;Bem'!$BD$31*(EO229-0.3)+EO229^2)</f>
        <v>0.86573196899287719</v>
      </c>
      <c r="EQ229" s="550">
        <f t="shared" si="234"/>
        <v>0.88407636318990013</v>
      </c>
      <c r="ES229" s="551">
        <f t="shared" si="235"/>
        <v>69807.553713837697</v>
      </c>
    </row>
    <row r="230" spans="3:149">
      <c r="C230" s="546">
        <v>282</v>
      </c>
      <c r="D230" s="551">
        <f t="shared" si="185"/>
        <v>34.395335185764935</v>
      </c>
      <c r="E230" s="553">
        <f>$D230/PI()*SQRT('Hilfstabellen_Mat&amp;Bem'!f.Rd.3/'Hilfstabellen_Mat&amp;Bem'!$BD$30)</f>
        <v>0.54741876141170842</v>
      </c>
      <c r="F230" s="553">
        <f>0.5*(1+'Hilfstabellen_Mat&amp;Bem'!$BD$31*($E230-0.3)+$E230^2)</f>
        <v>0.66220458824334993</v>
      </c>
      <c r="G230" s="550">
        <f t="shared" si="186"/>
        <v>0.96634490550689367</v>
      </c>
      <c r="I230" s="551">
        <f t="shared" si="187"/>
        <v>76847.612265530217</v>
      </c>
      <c r="M230" s="546">
        <f t="shared" si="188"/>
        <v>282</v>
      </c>
      <c r="N230" s="551">
        <f t="shared" si="177"/>
        <v>35.62374001382797</v>
      </c>
      <c r="O230" s="553">
        <f>$N230/PI()*SQRT('Hilfstabellen_Mat&amp;Bem'!f.Rd.3/'Hilfstabellen_Mat&amp;Bem'!$BD$30)</f>
        <v>0.56696943146212664</v>
      </c>
      <c r="P230" s="553">
        <f>0.5*(1+'Hilfstabellen_Mat&amp;Bem'!$BD$31*($O230-0.3)+$O230^2)</f>
        <v>0.67407563967934991</v>
      </c>
      <c r="Q230" s="550">
        <f t="shared" si="178"/>
        <v>0.96277658037848635</v>
      </c>
      <c r="S230" s="551">
        <f t="shared" si="189"/>
        <v>76563.844778018742</v>
      </c>
      <c r="W230" s="546">
        <f t="shared" si="190"/>
        <v>282</v>
      </c>
      <c r="X230" s="551">
        <f t="shared" si="179"/>
        <v>36.852144841891004</v>
      </c>
      <c r="Y230" s="553">
        <f>$X230/PI()*SQRT('Hilfstabellen_Mat&amp;Bem'!f.Rd.3/'Hilfstabellen_Mat&amp;Bem'!$BD$30)</f>
        <v>0.58652010151254474</v>
      </c>
      <c r="Z230" s="553">
        <f>0.5*(1+'Hilfstabellen_Mat&amp;Bem'!$BD$31*($Y230-0.3)+$Y230^2)</f>
        <v>0.68632891981477007</v>
      </c>
      <c r="AA230" s="550">
        <f t="shared" si="180"/>
        <v>0.95899545077365933</v>
      </c>
      <c r="AC230" s="551">
        <f t="shared" si="191"/>
        <v>76263.154227324485</v>
      </c>
      <c r="AG230" s="546">
        <f t="shared" si="192"/>
        <v>282</v>
      </c>
      <c r="AH230" s="551">
        <f t="shared" si="181"/>
        <v>38.080549669954038</v>
      </c>
      <c r="AI230" s="553">
        <f>$AH230/PI()*SQRT('Hilfstabellen_Mat&amp;Bem'!f.Rd.3/'Hilfstabellen_Mat&amp;Bem'!$BD$30)</f>
        <v>0.60607077156296296</v>
      </c>
      <c r="AJ230" s="553">
        <f>0.5*(1+'Hilfstabellen_Mat&amp;Bem'!$BD$31*($AI230-0.3)+$AI230^2)</f>
        <v>0.69896442864961073</v>
      </c>
      <c r="AK230" s="550">
        <f t="shared" si="182"/>
        <v>0.95497786726061185</v>
      </c>
      <c r="AM230" s="551">
        <f t="shared" si="193"/>
        <v>75943.659916032891</v>
      </c>
      <c r="AQ230" s="546">
        <f t="shared" si="194"/>
        <v>282</v>
      </c>
      <c r="AR230" s="551">
        <f t="shared" si="183"/>
        <v>39.308954498017073</v>
      </c>
      <c r="AS230" s="553">
        <f>$AR230/PI()*SQRT('Hilfstabellen_Mat&amp;Bem'!f.Rd.3/'Hilfstabellen_Mat&amp;Bem'!$BD$30)</f>
        <v>0.62562144161338118</v>
      </c>
      <c r="AT230" s="553">
        <f>0.5*(1+'Hilfstabellen_Mat&amp;Bem'!$BD$31*($AS230-0.3)+$AS230^2)</f>
        <v>0.71198216618387178</v>
      </c>
      <c r="AU230" s="550">
        <f t="shared" si="184"/>
        <v>0.95069755907228304</v>
      </c>
      <c r="AW230" s="551">
        <f t="shared" si="195"/>
        <v>75603.272687664241</v>
      </c>
      <c r="BA230" s="546">
        <f t="shared" si="196"/>
        <v>282</v>
      </c>
      <c r="BB230" s="551">
        <f t="shared" si="197"/>
        <v>40.537359326080107</v>
      </c>
      <c r="BC230" s="553">
        <f>$BB230/PI()*SQRT('Hilfstabellen_Mat&amp;Bem'!f.Rd.3/'Hilfstabellen_Mat&amp;Bem'!$BD$30)</f>
        <v>0.64517211166379929</v>
      </c>
      <c r="BD230" s="553">
        <f>0.5*(1+'Hilfstabellen_Mat&amp;Bem'!$BD$31*($BC230-0.3)+$BC230^2)</f>
        <v>0.72538213241755289</v>
      </c>
      <c r="BE230" s="550">
        <f t="shared" si="198"/>
        <v>0.94612538778154942</v>
      </c>
      <c r="BG230" s="551">
        <f t="shared" si="199"/>
        <v>75239.675337939931</v>
      </c>
      <c r="BK230" s="546">
        <f t="shared" si="200"/>
        <v>282</v>
      </c>
      <c r="BL230" s="551">
        <f t="shared" si="201"/>
        <v>41.765764154143135</v>
      </c>
      <c r="BM230" s="553">
        <f>$BL230/PI()*SQRT('Hilfstabellen_Mat&amp;Bem'!f.Rd.3/'Hilfstabellen_Mat&amp;Bem'!$BD$30)</f>
        <v>0.66472278171421728</v>
      </c>
      <c r="BN230" s="553">
        <f>0.5*(1+'Hilfstabellen_Mat&amp;Bem'!$BD$31*($BM230-0.3)+$BM230^2)</f>
        <v>0.73916432735065429</v>
      </c>
      <c r="BO230" s="550">
        <f t="shared" si="202"/>
        <v>0.94122912119515967</v>
      </c>
      <c r="BQ230" s="551">
        <f t="shared" si="203"/>
        <v>74850.304633923879</v>
      </c>
      <c r="BU230" s="546">
        <f t="shared" si="204"/>
        <v>282</v>
      </c>
      <c r="BV230" s="551">
        <f t="shared" si="205"/>
        <v>42.994168982206169</v>
      </c>
      <c r="BW230" s="553">
        <f>$BV230/PI()*SQRT('Hilfstabellen_Mat&amp;Bem'!f.Rd.3/'Hilfstabellen_Mat&amp;Bem'!$BD$30)</f>
        <v>0.6842734517646355</v>
      </c>
      <c r="BX230" s="553">
        <f>0.5*(1+'Hilfstabellen_Mat&amp;Bem'!$BD$31*($BW230-0.3)+$BW230^2)</f>
        <v>0.75332875098317631</v>
      </c>
      <c r="BY230" s="550">
        <f t="shared" si="206"/>
        <v>0.93597325306651635</v>
      </c>
      <c r="CA230" s="551">
        <f t="shared" si="207"/>
        <v>74432.336976861639</v>
      </c>
      <c r="CE230" s="546">
        <f t="shared" si="208"/>
        <v>282</v>
      </c>
      <c r="CF230" s="551">
        <f t="shared" si="209"/>
        <v>44.222573810269203</v>
      </c>
      <c r="CG230" s="553">
        <f>CF230/PI()*SQRT('Hilfstabellen_Mat&amp;Bem'!f.Rd.3/'Hilfstabellen_Mat&amp;Bem'!$BD$30)</f>
        <v>0.7038241218150536</v>
      </c>
      <c r="CH230" s="553">
        <f>0.5*(1+'Hilfstabellen_Mat&amp;Bem'!$BD$31*(CG230-0.3)+CG230^2)</f>
        <v>0.76787540331511839</v>
      </c>
      <c r="CI230" s="550">
        <f t="shared" si="210"/>
        <v>0.93031890550863872</v>
      </c>
      <c r="CK230" s="551">
        <f t="shared" si="211"/>
        <v>73982.68064166898</v>
      </c>
      <c r="CO230" s="546">
        <f t="shared" si="212"/>
        <v>282</v>
      </c>
      <c r="CP230" s="551">
        <f t="shared" si="213"/>
        <v>45.450978638332238</v>
      </c>
      <c r="CQ230" s="553">
        <f>CP230/PI()*SQRT('Hilfstabellen_Mat&amp;Bem'!f.Rd.3/'Hilfstabellen_Mat&amp;Bem'!$BD$30)</f>
        <v>0.72337479186547182</v>
      </c>
      <c r="CR230" s="553">
        <f>0.5*(1+'Hilfstabellen_Mat&amp;Bem'!$BD$31*(CQ230-0.3)+CQ230^2)</f>
        <v>0.78280428434648086</v>
      </c>
      <c r="CS230" s="550">
        <f t="shared" si="214"/>
        <v>0.92422386512080468</v>
      </c>
      <c r="CU230" s="551">
        <f t="shared" si="215"/>
        <v>73497.978649866869</v>
      </c>
      <c r="CY230" s="546">
        <f t="shared" si="216"/>
        <v>282</v>
      </c>
      <c r="CZ230" s="551">
        <f t="shared" si="217"/>
        <v>46.679383466395272</v>
      </c>
      <c r="DA230" s="553">
        <f>CZ230/PI()*SQRT('Hilfstabellen_Mat&amp;Bem'!f.Rd.3/'Hilfstabellen_Mat&amp;Bem'!$BD$30)</f>
        <v>0.74292546191589004</v>
      </c>
      <c r="DB230" s="553">
        <f>0.5*(1+'Hilfstabellen_Mat&amp;Bem'!$BD$31*(DA230-0.3)+DA230^2)</f>
        <v>0.79811539407726384</v>
      </c>
      <c r="DC230" s="550">
        <f t="shared" si="218"/>
        <v>0.91764282033062217</v>
      </c>
      <c r="DE230" s="551">
        <f t="shared" si="219"/>
        <v>72974.627643972402</v>
      </c>
      <c r="DI230" s="546">
        <f t="shared" si="220"/>
        <v>282</v>
      </c>
      <c r="DJ230" s="551">
        <f t="shared" si="221"/>
        <v>47.907788294458307</v>
      </c>
      <c r="DK230" s="553">
        <f>DJ230/PI()*SQRT('Hilfstabellen_Mat&amp;Bem'!f.Rd.3/'Hilfstabellen_Mat&amp;Bem'!$BD$30)</f>
        <v>0.76247613196630815</v>
      </c>
      <c r="DL230" s="553">
        <f>0.5*(1+'Hilfstabellen_Mat&amp;Bem'!$BD$31*(DK230-0.3)+DK230^2)</f>
        <v>0.81380873250746677</v>
      </c>
      <c r="DM230" s="550">
        <f t="shared" si="222"/>
        <v>0.91052788461283884</v>
      </c>
      <c r="DO230" s="551">
        <f t="shared" si="223"/>
        <v>72408.819495951393</v>
      </c>
      <c r="DS230" s="546">
        <f t="shared" si="224"/>
        <v>282</v>
      </c>
      <c r="DT230" s="551">
        <f t="shared" si="225"/>
        <v>49.136193122521334</v>
      </c>
      <c r="DU230" s="553">
        <f>DT230/PI()*SQRT('Hilfstabellen_Mat&amp;Bem'!f.Rd.3/'Hilfstabellen_Mat&amp;Bem'!$BD$30)</f>
        <v>0.78202680201672625</v>
      </c>
      <c r="DV230" s="553">
        <f>0.5*(1+'Hilfstabellen_Mat&amp;Bem'!$BD$31*(DU230-0.3)+DU230^2)</f>
        <v>0.82988429963709032</v>
      </c>
      <c r="DW230" s="550">
        <f t="shared" si="226"/>
        <v>0.90282950445096311</v>
      </c>
      <c r="DY230" s="551">
        <f t="shared" si="227"/>
        <v>71796.613511958392</v>
      </c>
      <c r="EC230" s="546">
        <f t="shared" si="228"/>
        <v>282</v>
      </c>
      <c r="ED230" s="551">
        <f t="shared" si="229"/>
        <v>50.364597950584368</v>
      </c>
      <c r="EE230" s="553">
        <f>ED230/PI()*SQRT('Hilfstabellen_Mat&amp;Bem'!f.Rd.3/'Hilfstabellen_Mat&amp;Bem'!$BD$30)</f>
        <v>0.80157747206714447</v>
      </c>
      <c r="EF230" s="553">
        <f>0.5*(1+'Hilfstabellen_Mat&amp;Bem'!$BD$31*(EE230-0.3)+EE230^2)</f>
        <v>0.84634209546613415</v>
      </c>
      <c r="EG230" s="550">
        <f t="shared" si="230"/>
        <v>0.89449785580481689</v>
      </c>
      <c r="EI230" s="551">
        <f t="shared" si="231"/>
        <v>71134.047485022253</v>
      </c>
      <c r="EM230" s="546">
        <f t="shared" si="232"/>
        <v>282</v>
      </c>
      <c r="EN230" s="551">
        <f t="shared" si="233"/>
        <v>51.593002778647403</v>
      </c>
      <c r="EO230" s="553">
        <f>EN230/PI()*SQRT('Hilfstabellen_Mat&amp;Bem'!f.Rd.3/'Hilfstabellen_Mat&amp;Bem'!$BD$30)</f>
        <v>0.82112814211756258</v>
      </c>
      <c r="EP230" s="553">
        <f>0.5*(1+'Hilfstabellen_Mat&amp;Bem'!$BD$31*(EO230-0.3)+EO230^2)</f>
        <v>0.86318211999459815</v>
      </c>
      <c r="EQ230" s="550">
        <f t="shared" si="234"/>
        <v>0.8854848189785719</v>
      </c>
      <c r="ES230" s="551">
        <f t="shared" si="235"/>
        <v>70417.294744451952</v>
      </c>
    </row>
    <row r="231" spans="3:149">
      <c r="C231" s="546">
        <v>283</v>
      </c>
      <c r="D231" s="551">
        <f t="shared" si="185"/>
        <v>34.273796898889437</v>
      </c>
      <c r="E231" s="553">
        <f>$D231/PI()*SQRT('Hilfstabellen_Mat&amp;Bem'!f.Rd.3/'Hilfstabellen_Mat&amp;Bem'!$BD$30)</f>
        <v>0.54548441949859272</v>
      </c>
      <c r="F231" s="553">
        <f>0.5*(1+'Hilfstabellen_Mat&amp;Bem'!$BD$31*($E231-0.3)+$E231^2)</f>
        <v>0.66105084693278793</v>
      </c>
      <c r="G231" s="550">
        <f t="shared" si="186"/>
        <v>0.96668721466106489</v>
      </c>
      <c r="I231" s="551">
        <f t="shared" si="187"/>
        <v>77421.012334990024</v>
      </c>
      <c r="M231" s="546">
        <f t="shared" si="188"/>
        <v>283</v>
      </c>
      <c r="N231" s="551">
        <f t="shared" si="177"/>
        <v>35.497861073849776</v>
      </c>
      <c r="O231" s="553">
        <f>$N231/PI()*SQRT('Hilfstabellen_Mat&amp;Bem'!f.Rd.3/'Hilfstabellen_Mat&amp;Bem'!$BD$30)</f>
        <v>0.56496600590925683</v>
      </c>
      <c r="P231" s="553">
        <f>0.5*(1+'Hilfstabellen_Mat&amp;Bem'!$BD$31*($O231-0.3)+$O231^2)</f>
        <v>0.67284159421199208</v>
      </c>
      <c r="Q231" s="550">
        <f t="shared" si="178"/>
        <v>0.96315164747299509</v>
      </c>
      <c r="S231" s="551">
        <f t="shared" si="189"/>
        <v>77137.852294464697</v>
      </c>
      <c r="W231" s="546">
        <f t="shared" si="190"/>
        <v>283</v>
      </c>
      <c r="X231" s="551">
        <f t="shared" si="179"/>
        <v>36.721925248810116</v>
      </c>
      <c r="Y231" s="553">
        <f>$X231/PI()*SQRT('Hilfstabellen_Mat&amp;Bem'!f.Rd.3/'Hilfstabellen_Mat&amp;Bem'!$BD$30)</f>
        <v>0.58444759231992094</v>
      </c>
      <c r="Z231" s="553">
        <f>0.5*(1+'Hilfstabellen_Mat&amp;Bem'!$BD$31*($Y231-0.3)+$Y231^2)</f>
        <v>0.68501187370027228</v>
      </c>
      <c r="AA231" s="550">
        <f t="shared" si="180"/>
        <v>0.95940704760299211</v>
      </c>
      <c r="AC231" s="551">
        <f t="shared" si="191"/>
        <v>76837.951035476042</v>
      </c>
      <c r="AG231" s="546">
        <f t="shared" si="192"/>
        <v>283</v>
      </c>
      <c r="AH231" s="551">
        <f t="shared" si="181"/>
        <v>37.945989423770456</v>
      </c>
      <c r="AI231" s="553">
        <f>$AH231/PI()*SQRT('Hilfstabellen_Mat&amp;Bem'!f.Rd.3/'Hilfstabellen_Mat&amp;Bem'!$BD$30)</f>
        <v>0.60392917873058494</v>
      </c>
      <c r="AJ231" s="553">
        <f>0.5*(1+'Hilfstabellen_Mat&amp;Bem'!$BD$31*($AI231-0.3)+$AI231^2)</f>
        <v>0.69756168539762864</v>
      </c>
      <c r="AK231" s="550">
        <f t="shared" si="182"/>
        <v>0.95543027174741868</v>
      </c>
      <c r="AM231" s="551">
        <f t="shared" si="193"/>
        <v>76519.455033979015</v>
      </c>
      <c r="AQ231" s="546">
        <f t="shared" si="194"/>
        <v>283</v>
      </c>
      <c r="AR231" s="551">
        <f t="shared" si="183"/>
        <v>39.170053598730796</v>
      </c>
      <c r="AS231" s="553">
        <f>$AR231/PI()*SQRT('Hilfstabellen_Mat&amp;Bem'!f.Rd.3/'Hilfstabellen_Mat&amp;Bem'!$BD$30)</f>
        <v>0.62341076514124905</v>
      </c>
      <c r="AT231" s="553">
        <f>0.5*(1+'Hilfstabellen_Mat&amp;Bem'!$BD$31*($AS231-0.3)+$AS231^2)</f>
        <v>0.71049102930406127</v>
      </c>
      <c r="AU231" s="550">
        <f t="shared" si="184"/>
        <v>0.95119561827943178</v>
      </c>
      <c r="AW231" s="551">
        <f t="shared" si="195"/>
        <v>76180.305872381417</v>
      </c>
      <c r="BA231" s="546">
        <f t="shared" si="196"/>
        <v>283</v>
      </c>
      <c r="BB231" s="551">
        <f t="shared" si="197"/>
        <v>40.394117773691129</v>
      </c>
      <c r="BC231" s="553">
        <f>$BB231/PI()*SQRT('Hilfstabellen_Mat&amp;Bem'!f.Rd.3/'Hilfstabellen_Mat&amp;Bem'!$BD$30)</f>
        <v>0.64289235155191304</v>
      </c>
      <c r="BD231" s="553">
        <f>0.5*(1+'Hilfstabellen_Mat&amp;Bem'!$BD$31*($BC231-0.3)+$BC231^2)</f>
        <v>0.72379990541956996</v>
      </c>
      <c r="BE231" s="550">
        <f t="shared" si="198"/>
        <v>0.94667458420715</v>
      </c>
      <c r="BG231" s="551">
        <f t="shared" si="199"/>
        <v>75818.220774566435</v>
      </c>
      <c r="BK231" s="546">
        <f t="shared" si="200"/>
        <v>283</v>
      </c>
      <c r="BL231" s="551">
        <f t="shared" si="201"/>
        <v>41.618181948651468</v>
      </c>
      <c r="BM231" s="553">
        <f>$BL231/PI()*SQRT('Hilfstabellen_Mat&amp;Bem'!f.Rd.3/'Hilfstabellen_Mat&amp;Bem'!$BD$30)</f>
        <v>0.66237393796257704</v>
      </c>
      <c r="BN231" s="553">
        <f>0.5*(1+'Hilfstabellen_Mat&amp;Bem'!$BD$31*($BM231-0.3)+$BM231^2)</f>
        <v>0.7374883137441548</v>
      </c>
      <c r="BO231" s="550">
        <f t="shared" si="202"/>
        <v>0.94183563972036533</v>
      </c>
      <c r="BQ231" s="551">
        <f t="shared" si="203"/>
        <v>75430.674549564341</v>
      </c>
      <c r="BU231" s="546">
        <f t="shared" si="204"/>
        <v>283</v>
      </c>
      <c r="BV231" s="551">
        <f t="shared" si="205"/>
        <v>42.842246123611808</v>
      </c>
      <c r="BW231" s="553">
        <f>$BV231/PI()*SQRT('Hilfstabellen_Mat&amp;Bem'!f.Rd.3/'Hilfstabellen_Mat&amp;Bem'!$BD$30)</f>
        <v>0.68185552437324115</v>
      </c>
      <c r="BX231" s="553">
        <f>0.5*(1+'Hilfstabellen_Mat&amp;Bem'!$BD$31*($BW231-0.3)+$BW231^2)</f>
        <v>0.75155625427781581</v>
      </c>
      <c r="BY231" s="550">
        <f t="shared" si="206"/>
        <v>0.93664404423874259</v>
      </c>
      <c r="CA231" s="551">
        <f t="shared" si="207"/>
        <v>75014.884859036654</v>
      </c>
      <c r="CE231" s="546">
        <f t="shared" si="208"/>
        <v>283</v>
      </c>
      <c r="CF231" s="551">
        <f t="shared" si="209"/>
        <v>44.066310298572141</v>
      </c>
      <c r="CG231" s="553">
        <f>CF231/PI()*SQRT('Hilfstabellen_Mat&amp;Bem'!f.Rd.3/'Hilfstabellen_Mat&amp;Bem'!$BD$30)</f>
        <v>0.70133711078390515</v>
      </c>
      <c r="CH231" s="553">
        <f>0.5*(1+'Hilfstabellen_Mat&amp;Bem'!$BD$31*(CG231-0.3)+CG231^2)</f>
        <v>0.76600372702055308</v>
      </c>
      <c r="CI231" s="550">
        <f t="shared" si="210"/>
        <v>0.93106173852782892</v>
      </c>
      <c r="CK231" s="551">
        <f t="shared" si="211"/>
        <v>74567.803576955295</v>
      </c>
      <c r="CO231" s="546">
        <f t="shared" si="212"/>
        <v>283</v>
      </c>
      <c r="CP231" s="551">
        <f t="shared" si="213"/>
        <v>45.290374473532481</v>
      </c>
      <c r="CQ231" s="553">
        <f>CP231/PI()*SQRT('Hilfstabellen_Mat&amp;Bem'!f.Rd.3/'Hilfstabellen_Mat&amp;Bem'!$BD$30)</f>
        <v>0.72081869719456915</v>
      </c>
      <c r="CR231" s="553">
        <f>0.5*(1+'Hilfstabellen_Mat&amp;Bem'!$BD$31*(CQ231-0.3)+CQ231^2)</f>
        <v>0.78083073197236641</v>
      </c>
      <c r="CS231" s="550">
        <f t="shared" si="214"/>
        <v>0.92504736087329975</v>
      </c>
      <c r="CU231" s="551">
        <f t="shared" si="215"/>
        <v>74086.118084981703</v>
      </c>
      <c r="CY231" s="546">
        <f t="shared" si="216"/>
        <v>283</v>
      </c>
      <c r="CZ231" s="551">
        <f t="shared" si="217"/>
        <v>46.514438648492813</v>
      </c>
      <c r="DA231" s="553">
        <f>CZ231/PI()*SQRT('Hilfstabellen_Mat&amp;Bem'!f.Rd.3/'Hilfstabellen_Mat&amp;Bem'!$BD$30)</f>
        <v>0.74030028360523314</v>
      </c>
      <c r="DB231" s="553">
        <f>0.5*(1+'Hilfstabellen_Mat&amp;Bem'!$BD$31*(DA231-0.3)+DA231^2)</f>
        <v>0.79603726913325601</v>
      </c>
      <c r="DC231" s="550">
        <f t="shared" si="218"/>
        <v>0.91855645111742112</v>
      </c>
      <c r="DE231" s="551">
        <f t="shared" si="219"/>
        <v>73566.267613543139</v>
      </c>
      <c r="DI231" s="546">
        <f t="shared" si="220"/>
        <v>283</v>
      </c>
      <c r="DJ231" s="551">
        <f t="shared" si="221"/>
        <v>47.738502823453153</v>
      </c>
      <c r="DK231" s="553">
        <f>DJ231/PI()*SQRT('Hilfstabellen_Mat&amp;Bem'!f.Rd.3/'Hilfstabellen_Mat&amp;Bem'!$BD$30)</f>
        <v>0.75978187001589725</v>
      </c>
      <c r="DL231" s="553">
        <f>0.5*(1+'Hilfstabellen_Mat&amp;Bem'!$BD$31*(DK231-0.3)+DK231^2)</f>
        <v>0.81162333850322166</v>
      </c>
      <c r="DM231" s="550">
        <f t="shared" si="222"/>
        <v>0.91154192311394422</v>
      </c>
      <c r="DO231" s="551">
        <f t="shared" si="223"/>
        <v>73004.481080272672</v>
      </c>
      <c r="DS231" s="546">
        <f t="shared" si="224"/>
        <v>283</v>
      </c>
      <c r="DT231" s="551">
        <f t="shared" si="225"/>
        <v>48.962566998413486</v>
      </c>
      <c r="DU231" s="553">
        <f>DT231/PI()*SQRT('Hilfstabellen_Mat&amp;Bem'!f.Rd.3/'Hilfstabellen_Mat&amp;Bem'!$BD$30)</f>
        <v>0.77926345642656125</v>
      </c>
      <c r="DV231" s="553">
        <f>0.5*(1+'Hilfstabellen_Mat&amp;Bem'!$BD$31*(DU231-0.3)+DU231^2)</f>
        <v>0.82758894008226358</v>
      </c>
      <c r="DW231" s="550">
        <f t="shared" si="226"/>
        <v>0.90395490062570283</v>
      </c>
      <c r="DY231" s="551">
        <f t="shared" si="227"/>
        <v>72396.844036211914</v>
      </c>
      <c r="EC231" s="546">
        <f t="shared" si="228"/>
        <v>283</v>
      </c>
      <c r="ED231" s="551">
        <f t="shared" si="229"/>
        <v>50.186631173373826</v>
      </c>
      <c r="EE231" s="553">
        <f>ED231/PI()*SQRT('Hilfstabellen_Mat&amp;Bem'!f.Rd.3/'Hilfstabellen_Mat&amp;Bem'!$BD$30)</f>
        <v>0.79874504283722525</v>
      </c>
      <c r="EF231" s="553">
        <f>0.5*(1+'Hilfstabellen_Mat&amp;Bem'!$BD$31*(EE231-0.3)+EE231^2)</f>
        <v>0.84393407387038166</v>
      </c>
      <c r="EG231" s="550">
        <f t="shared" si="230"/>
        <v>0.89574601811224919</v>
      </c>
      <c r="EI231" s="551">
        <f t="shared" si="231"/>
        <v>71739.402844591925</v>
      </c>
      <c r="EM231" s="546">
        <f t="shared" si="232"/>
        <v>283</v>
      </c>
      <c r="EN231" s="551">
        <f t="shared" si="233"/>
        <v>51.410695348334166</v>
      </c>
      <c r="EO231" s="553">
        <f>EN231/PI()*SQRT('Hilfstabellen_Mat&amp;Bem'!f.Rd.3/'Hilfstabellen_Mat&amp;Bem'!$BD$30)</f>
        <v>0.81822662924788936</v>
      </c>
      <c r="EP231" s="553">
        <f>0.5*(1+'Hilfstabellen_Mat&amp;Bem'!$BD$31*(EO231-0.3)+EO231^2)</f>
        <v>0.86065873986757591</v>
      </c>
      <c r="EQ231" s="550">
        <f t="shared" si="234"/>
        <v>0.88686727748259975</v>
      </c>
      <c r="ES231" s="551">
        <f t="shared" si="235"/>
        <v>71028.313386303926</v>
      </c>
    </row>
    <row r="232" spans="3:149">
      <c r="C232" s="546">
        <v>284</v>
      </c>
      <c r="D232" s="551">
        <f t="shared" si="185"/>
        <v>34.153114515442645</v>
      </c>
      <c r="E232" s="553">
        <f>$D232/PI()*SQRT('Hilfstabellen_Mat&amp;Bem'!f.Rd.3/'Hilfstabellen_Mat&amp;Bem'!$BD$30)</f>
        <v>0.54356369971162588</v>
      </c>
      <c r="F232" s="553">
        <f>0.5*(1+'Hilfstabellen_Mat&amp;Bem'!$BD$31*($E232-0.3)+$E232^2)</f>
        <v>0.6599089328076766</v>
      </c>
      <c r="G232" s="550">
        <f t="shared" si="186"/>
        <v>0.96702527893795687</v>
      </c>
      <c r="I232" s="551">
        <f t="shared" si="187"/>
        <v>77996.390898019847</v>
      </c>
      <c r="M232" s="546">
        <f t="shared" si="188"/>
        <v>284</v>
      </c>
      <c r="N232" s="551">
        <f t="shared" si="177"/>
        <v>35.372868605279884</v>
      </c>
      <c r="O232" s="553">
        <f>$N232/PI()*SQRT('Hilfstabellen_Mat&amp;Bem'!f.Rd.3/'Hilfstabellen_Mat&amp;Bem'!$BD$30)</f>
        <v>0.56297668898704112</v>
      </c>
      <c r="P232" s="553">
        <f>0.5*(1+'Hilfstabellen_Mat&amp;Bem'!$BD$31*($O232-0.3)+$O232^2)</f>
        <v>0.67162021062075794</v>
      </c>
      <c r="Q232" s="550">
        <f t="shared" si="178"/>
        <v>0.96352188787724824</v>
      </c>
      <c r="S232" s="551">
        <f t="shared" si="189"/>
        <v>77713.82138862733</v>
      </c>
      <c r="W232" s="546">
        <f t="shared" si="190"/>
        <v>284</v>
      </c>
      <c r="X232" s="551">
        <f t="shared" si="179"/>
        <v>36.592622695117122</v>
      </c>
      <c r="Y232" s="553">
        <f>$X232/PI()*SQRT('Hilfstabellen_Mat&amp;Bem'!f.Rd.3/'Hilfstabellen_Mat&amp;Bem'!$BD$30)</f>
        <v>0.58238967826245636</v>
      </c>
      <c r="Z232" s="553">
        <f>0.5*(1+'Hilfstabellen_Mat&amp;Bem'!$BD$31*($Y232-0.3)+$Y232^2)</f>
        <v>0.68370835258644647</v>
      </c>
      <c r="AA232" s="550">
        <f t="shared" si="180"/>
        <v>0.95981314823279518</v>
      </c>
      <c r="AC232" s="551">
        <f t="shared" si="191"/>
        <v>77414.689283864325</v>
      </c>
      <c r="AG232" s="546">
        <f t="shared" si="192"/>
        <v>284</v>
      </c>
      <c r="AH232" s="551">
        <f t="shared" si="181"/>
        <v>37.81237678495436</v>
      </c>
      <c r="AI232" s="553">
        <f>$AH232/PI()*SQRT('Hilfstabellen_Mat&amp;Bem'!f.Rd.3/'Hilfstabellen_Mat&amp;Bem'!$BD$30)</f>
        <v>0.60180266753787159</v>
      </c>
      <c r="AJ232" s="553">
        <f>0.5*(1+'Hilfstabellen_Mat&amp;Bem'!$BD$31*($AI232-0.3)+$AI232^2)</f>
        <v>0.69617335870474262</v>
      </c>
      <c r="AK232" s="550">
        <f t="shared" si="182"/>
        <v>0.95587640950824015</v>
      </c>
      <c r="AM232" s="551">
        <f t="shared" si="193"/>
        <v>77097.167685296619</v>
      </c>
      <c r="AQ232" s="546">
        <f t="shared" si="194"/>
        <v>284</v>
      </c>
      <c r="AR232" s="551">
        <f t="shared" si="183"/>
        <v>39.032130874791598</v>
      </c>
      <c r="AS232" s="553">
        <f>$AR232/PI()*SQRT('Hilfstabellen_Mat&amp;Bem'!f.Rd.3/'Hilfstabellen_Mat&amp;Bem'!$BD$30)</f>
        <v>0.62121565681328683</v>
      </c>
      <c r="AT232" s="553">
        <f>0.5*(1+'Hilfstabellen_Mat&amp;Bem'!$BD$31*($AS232-0.3)+$AS232^2)</f>
        <v>0.70901522897564606</v>
      </c>
      <c r="AU232" s="550">
        <f t="shared" si="184"/>
        <v>0.95168652435302326</v>
      </c>
      <c r="AW232" s="551">
        <f t="shared" si="195"/>
        <v>76759.22830821744</v>
      </c>
      <c r="BA232" s="546">
        <f t="shared" si="196"/>
        <v>284</v>
      </c>
      <c r="BB232" s="551">
        <f t="shared" si="197"/>
        <v>40.251884964628836</v>
      </c>
      <c r="BC232" s="553">
        <f>$BB232/PI()*SQRT('Hilfstabellen_Mat&amp;Bem'!f.Rd.3/'Hilfstabellen_Mat&amp;Bem'!$BD$30)</f>
        <v>0.64062864608870207</v>
      </c>
      <c r="BD232" s="553">
        <f>0.5*(1+'Hilfstabellen_Mat&amp;Bem'!$BD$31*($BC232-0.3)+$BC232^2)</f>
        <v>0.72223396339915691</v>
      </c>
      <c r="BE232" s="550">
        <f t="shared" si="198"/>
        <v>0.94721560893683643</v>
      </c>
      <c r="BG232" s="551">
        <f t="shared" si="199"/>
        <v>76398.622154409473</v>
      </c>
      <c r="BK232" s="546">
        <f t="shared" si="200"/>
        <v>284</v>
      </c>
      <c r="BL232" s="551">
        <f t="shared" si="201"/>
        <v>41.471639054466074</v>
      </c>
      <c r="BM232" s="553">
        <f>$BL232/PI()*SQRT('Hilfstabellen_Mat&amp;Bem'!f.Rd.3/'Hilfstabellen_Mat&amp;Bem'!$BD$30)</f>
        <v>0.66004163536411731</v>
      </c>
      <c r="BN232" s="553">
        <f>0.5*(1+'Hilfstabellen_Mat&amp;Bem'!$BD$31*($BM232-0.3)+$BM232^2)</f>
        <v>0.73582956197527505</v>
      </c>
      <c r="BO232" s="550">
        <f t="shared" si="202"/>
        <v>0.94243281849526661</v>
      </c>
      <c r="BQ232" s="551">
        <f t="shared" si="203"/>
        <v>76012.861408554221</v>
      </c>
      <c r="BU232" s="546">
        <f t="shared" si="204"/>
        <v>284</v>
      </c>
      <c r="BV232" s="551">
        <f t="shared" si="205"/>
        <v>42.691393144303305</v>
      </c>
      <c r="BW232" s="553">
        <f>$BV232/PI()*SQRT('Hilfstabellen_Mat&amp;Bem'!f.Rd.3/'Hilfstabellen_Mat&amp;Bem'!$BD$30)</f>
        <v>0.67945462463953232</v>
      </c>
      <c r="BX232" s="553">
        <f>0.5*(1+'Hilfstabellen_Mat&amp;Bem'!$BD$31*($BW232-0.3)+$BW232^2)</f>
        <v>0.74980202470400048</v>
      </c>
      <c r="BY232" s="550">
        <f t="shared" si="206"/>
        <v>0.93730416038054809</v>
      </c>
      <c r="CA232" s="551">
        <f t="shared" si="207"/>
        <v>75599.204359653493</v>
      </c>
      <c r="CE232" s="546">
        <f t="shared" si="208"/>
        <v>284</v>
      </c>
      <c r="CF232" s="551">
        <f t="shared" si="209"/>
        <v>43.91114723414055</v>
      </c>
      <c r="CG232" s="553">
        <f>CF232/PI()*SQRT('Hilfstabellen_Mat&amp;Bem'!f.Rd.3/'Hilfstabellen_Mat&amp;Bem'!$BD$30)</f>
        <v>0.69886761391494767</v>
      </c>
      <c r="CH232" s="553">
        <f>0.5*(1+'Hilfstabellen_Mat&amp;Bem'!$BD$31*(CG232-0.3)+CG232^2)</f>
        <v>0.76415135158533354</v>
      </c>
      <c r="CI232" s="550">
        <f t="shared" si="210"/>
        <v>0.93179237700858564</v>
      </c>
      <c r="CK232" s="551">
        <f t="shared" si="211"/>
        <v>75154.645960004476</v>
      </c>
      <c r="CO232" s="546">
        <f t="shared" si="212"/>
        <v>284</v>
      </c>
      <c r="CP232" s="551">
        <f t="shared" si="213"/>
        <v>45.130901323977788</v>
      </c>
      <c r="CQ232" s="553">
        <f>CP232/PI()*SQRT('Hilfstabellen_Mat&amp;Bem'!f.Rd.3/'Hilfstabellen_Mat&amp;Bem'!$BD$30)</f>
        <v>0.71828060319036302</v>
      </c>
      <c r="CR232" s="553">
        <f>0.5*(1+'Hilfstabellen_Mat&amp;Bem'!$BD$31*(CQ232-0.3)+CQ232^2)</f>
        <v>0.778877542619274</v>
      </c>
      <c r="CS232" s="550">
        <f t="shared" si="214"/>
        <v>0.92585694383652695</v>
      </c>
      <c r="CU232" s="551">
        <f t="shared" si="215"/>
        <v>74675.917662078922</v>
      </c>
      <c r="CY232" s="546">
        <f t="shared" si="216"/>
        <v>284</v>
      </c>
      <c r="CZ232" s="551">
        <f t="shared" si="217"/>
        <v>46.350655413815026</v>
      </c>
      <c r="DA232" s="553">
        <f>CZ232/PI()*SQRT('Hilfstabellen_Mat&amp;Bem'!f.Rd.3/'Hilfstabellen_Mat&amp;Bem'!$BD$30)</f>
        <v>0.73769359246577815</v>
      </c>
      <c r="DB232" s="553">
        <f>0.5*(1+'Hilfstabellen_Mat&amp;Bem'!$BD$31*(DA232-0.3)+DA232^2)</f>
        <v>0.79398059780582164</v>
      </c>
      <c r="DC232" s="550">
        <f t="shared" si="218"/>
        <v>0.9194542426515957</v>
      </c>
      <c r="DE232" s="551">
        <f t="shared" si="219"/>
        <v>74159.501395307103</v>
      </c>
      <c r="DI232" s="546">
        <f t="shared" si="220"/>
        <v>284</v>
      </c>
      <c r="DJ232" s="551">
        <f t="shared" si="221"/>
        <v>47.570409503652265</v>
      </c>
      <c r="DK232" s="553">
        <f>DJ232/PI()*SQRT('Hilfstabellen_Mat&amp;Bem'!f.Rd.3/'Hilfstabellen_Mat&amp;Bem'!$BD$30)</f>
        <v>0.75710658174119339</v>
      </c>
      <c r="DL232" s="553">
        <f>0.5*(1+'Hilfstabellen_Mat&amp;Bem'!$BD$31*(DK232-0.3)+DK232^2)</f>
        <v>0.80946051714497691</v>
      </c>
      <c r="DM232" s="550">
        <f t="shared" si="222"/>
        <v>0.9125379867592478</v>
      </c>
      <c r="DO232" s="551">
        <f t="shared" si="223"/>
        <v>73601.663860053886</v>
      </c>
      <c r="DS232" s="546">
        <f t="shared" si="224"/>
        <v>284</v>
      </c>
      <c r="DT232" s="551">
        <f t="shared" si="225"/>
        <v>48.790163593489503</v>
      </c>
      <c r="DU232" s="553">
        <f>DT232/PI()*SQRT('Hilfstabellen_Mat&amp;Bem'!f.Rd.3/'Hilfstabellen_Mat&amp;Bem'!$BD$30)</f>
        <v>0.77651957101660862</v>
      </c>
      <c r="DV232" s="553">
        <f>0.5*(1+'Hilfstabellen_Mat&amp;Bem'!$BD$31*(DU232-0.3)+DU232^2)</f>
        <v>0.82531730063673936</v>
      </c>
      <c r="DW232" s="550">
        <f t="shared" si="226"/>
        <v>0.90505998926994491</v>
      </c>
      <c r="DY232" s="551">
        <f t="shared" si="227"/>
        <v>72998.518494556673</v>
      </c>
      <c r="EC232" s="546">
        <f t="shared" si="228"/>
        <v>284</v>
      </c>
      <c r="ED232" s="551">
        <f t="shared" si="229"/>
        <v>50.009917683326741</v>
      </c>
      <c r="EE232" s="553">
        <f>ED232/PI()*SQRT('Hilfstabellen_Mat&amp;Bem'!f.Rd.3/'Hilfstabellen_Mat&amp;Bem'!$BD$30)</f>
        <v>0.79593256029202386</v>
      </c>
      <c r="EF232" s="553">
        <f>0.5*(1+'Hilfstabellen_Mat&amp;Bem'!$BD$31*(EE232-0.3)+EE232^2)</f>
        <v>0.84155094828110932</v>
      </c>
      <c r="EG232" s="550">
        <f t="shared" si="230"/>
        <v>0.89697137338573607</v>
      </c>
      <c r="EI232" s="551">
        <f t="shared" si="231"/>
        <v>72346.123091799935</v>
      </c>
      <c r="EM232" s="546">
        <f t="shared" si="232"/>
        <v>284</v>
      </c>
      <c r="EN232" s="551">
        <f t="shared" si="233"/>
        <v>51.229671773163979</v>
      </c>
      <c r="EO232" s="553">
        <f>EN232/PI()*SQRT('Hilfstabellen_Mat&amp;Bem'!f.Rd.3/'Hilfstabellen_Mat&amp;Bem'!$BD$30)</f>
        <v>0.81534554956743899</v>
      </c>
      <c r="EP232" s="553">
        <f>0.5*(1+'Hilfstabellen_Mat&amp;Bem'!$BD$31*(EO232-0.3)+EO232^2)</f>
        <v>0.85816146007808647</v>
      </c>
      <c r="EQ232" s="550">
        <f t="shared" si="234"/>
        <v>0.88822431630641718</v>
      </c>
      <c r="ES232" s="551">
        <f t="shared" si="235"/>
        <v>71640.62045601038</v>
      </c>
    </row>
    <row r="233" spans="3:149">
      <c r="C233" s="546">
        <v>285</v>
      </c>
      <c r="D233" s="551">
        <f t="shared" si="185"/>
        <v>34.03327902591478</v>
      </c>
      <c r="E233" s="553">
        <f>$D233/PI()*SQRT('Hilfstabellen_Mat&amp;Bem'!f.Rd.3/'Hilfstabellen_Mat&amp;Bem'!$BD$30)</f>
        <v>0.54165645866000622</v>
      </c>
      <c r="F233" s="553">
        <f>0.5*(1+'Hilfstabellen_Mat&amp;Bem'!$BD$31*($E233-0.3)+$E233^2)</f>
        <v>0.65877868253704985</v>
      </c>
      <c r="G233" s="550">
        <f t="shared" si="186"/>
        <v>0.96735918087822925</v>
      </c>
      <c r="I233" s="551">
        <f t="shared" si="187"/>
        <v>78573.749466834168</v>
      </c>
      <c r="M233" s="546">
        <f t="shared" si="188"/>
        <v>285</v>
      </c>
      <c r="N233" s="551">
        <f t="shared" si="177"/>
        <v>35.248753276840304</v>
      </c>
      <c r="O233" s="553">
        <f>$N233/PI()*SQRT('Hilfstabellen_Mat&amp;Bem'!f.Rd.3/'Hilfstabellen_Mat&amp;Bem'!$BD$30)</f>
        <v>0.56100133218357784</v>
      </c>
      <c r="P233" s="553">
        <f>0.5*(1+'Hilfstabellen_Mat&amp;Bem'!$BD$31*($O233-0.3)+$O233^2)</f>
        <v>0.67041131396505338</v>
      </c>
      <c r="Q233" s="550">
        <f t="shared" si="178"/>
        <v>0.9638873982994649</v>
      </c>
      <c r="S233" s="551">
        <f t="shared" si="189"/>
        <v>78291.753926874037</v>
      </c>
      <c r="W233" s="546">
        <f t="shared" si="190"/>
        <v>285</v>
      </c>
      <c r="X233" s="551">
        <f t="shared" si="179"/>
        <v>36.464227527765836</v>
      </c>
      <c r="Y233" s="553">
        <f>$X233/PI()*SQRT('Hilfstabellen_Mat&amp;Bem'!f.Rd.3/'Hilfstabellen_Mat&amp;Bem'!$BD$30)</f>
        <v>0.58034620570714945</v>
      </c>
      <c r="Z233" s="553">
        <f>0.5*(1+'Hilfstabellen_Mat&amp;Bem'!$BD$31*($Y233-0.3)+$Y233^2)</f>
        <v>0.68241816952470002</v>
      </c>
      <c r="AA233" s="550">
        <f t="shared" si="180"/>
        <v>0.96021386602318637</v>
      </c>
      <c r="AC233" s="551">
        <f t="shared" si="191"/>
        <v>77993.37126773331</v>
      </c>
      <c r="AG233" s="546">
        <f t="shared" si="192"/>
        <v>285</v>
      </c>
      <c r="AH233" s="551">
        <f t="shared" si="181"/>
        <v>37.679701778691367</v>
      </c>
      <c r="AI233" s="553">
        <f>$AH233/PI()*SQRT('Hilfstabellen_Mat&amp;Bem'!f.Rd.3/'Hilfstabellen_Mat&amp;Bem'!$BD$30)</f>
        <v>0.59969107923072129</v>
      </c>
      <c r="AJ233" s="553">
        <f>0.5*(1+'Hilfstabellen_Mat&amp;Bem'!$BD$31*($AI233-0.3)+$AI233^2)</f>
        <v>0.69479924921598968</v>
      </c>
      <c r="AK233" s="550">
        <f t="shared" si="182"/>
        <v>0.95631641343147433</v>
      </c>
      <c r="AM233" s="551">
        <f t="shared" si="193"/>
        <v>77676.800680971501</v>
      </c>
      <c r="AQ233" s="546">
        <f t="shared" si="194"/>
        <v>285</v>
      </c>
      <c r="AR233" s="551">
        <f t="shared" si="183"/>
        <v>38.895176029616891</v>
      </c>
      <c r="AS233" s="553">
        <f>$AR233/PI()*SQRT('Hilfstabellen_Mat&amp;Bem'!f.Rd.3/'Hilfstabellen_Mat&amp;Bem'!$BD$30)</f>
        <v>0.61903595275429291</v>
      </c>
      <c r="AT233" s="553">
        <f>0.5*(1+'Hilfstabellen_Mat&amp;Bem'!$BD$31*($AS233-0.3)+$AS233^2)</f>
        <v>0.70755455303892223</v>
      </c>
      <c r="AU233" s="550">
        <f t="shared" si="184"/>
        <v>0.95217043300530646</v>
      </c>
      <c r="AW233" s="551">
        <f t="shared" si="195"/>
        <v>77340.043420856018</v>
      </c>
      <c r="BA233" s="546">
        <f t="shared" si="196"/>
        <v>285</v>
      </c>
      <c r="BB233" s="551">
        <f t="shared" si="197"/>
        <v>40.110650280542423</v>
      </c>
      <c r="BC233" s="553">
        <f>$BB233/PI()*SQRT('Hilfstabellen_Mat&amp;Bem'!f.Rd.3/'Hilfstabellen_Mat&amp;Bem'!$BD$30)</f>
        <v>0.63838082627786452</v>
      </c>
      <c r="BD233" s="553">
        <f>0.5*(1+'Hilfstabellen_Mat&amp;Bem'!$BD$31*($BC233-0.3)+$BC233^2)</f>
        <v>0.72068408099349779</v>
      </c>
      <c r="BE233" s="550">
        <f t="shared" si="198"/>
        <v>0.94774864422799698</v>
      </c>
      <c r="BG233" s="551">
        <f t="shared" si="199"/>
        <v>76980.883627419054</v>
      </c>
      <c r="BK233" s="546">
        <f t="shared" si="200"/>
        <v>285</v>
      </c>
      <c r="BL233" s="551">
        <f t="shared" si="201"/>
        <v>41.326124531467947</v>
      </c>
      <c r="BM233" s="553">
        <f>$BL233/PI()*SQRT('Hilfstabellen_Mat&amp;Bem'!f.Rd.3/'Hilfstabellen_Mat&amp;Bem'!$BD$30)</f>
        <v>0.65772569980143614</v>
      </c>
      <c r="BN233" s="553">
        <f>0.5*(1+'Hilfstabellen_Mat&amp;Bem'!$BD$31*($BM233-0.3)+$BM233^2)</f>
        <v>0.73418783307971625</v>
      </c>
      <c r="BO233" s="550">
        <f t="shared" si="202"/>
        <v>0.94302087043965721</v>
      </c>
      <c r="BQ233" s="551">
        <f t="shared" si="203"/>
        <v>76596.870201461163</v>
      </c>
      <c r="BU233" s="546">
        <f t="shared" si="204"/>
        <v>285</v>
      </c>
      <c r="BV233" s="551">
        <f t="shared" si="205"/>
        <v>42.541598782393478</v>
      </c>
      <c r="BW233" s="553">
        <f>$BV233/PI()*SQRT('Hilfstabellen_Mat&amp;Bem'!f.Rd.3/'Hilfstabellen_Mat&amp;Bem'!$BD$30)</f>
        <v>0.67707057332500786</v>
      </c>
      <c r="BX233" s="553">
        <f>0.5*(1+'Hilfstabellen_Mat&amp;Bem'!$BD$31*($BW233-0.3)+$BW233^2)</f>
        <v>0.74806580929757782</v>
      </c>
      <c r="BY233" s="550">
        <f t="shared" si="206"/>
        <v>0.9379538494989923</v>
      </c>
      <c r="CA233" s="551">
        <f t="shared" si="207"/>
        <v>76185.301425555648</v>
      </c>
      <c r="CE233" s="546">
        <f t="shared" si="208"/>
        <v>285</v>
      </c>
      <c r="CF233" s="551">
        <f t="shared" si="209"/>
        <v>43.757073033319003</v>
      </c>
      <c r="CG233" s="553">
        <f>CF233/PI()*SQRT('Hilfstabellen_Mat&amp;Bem'!f.Rd.3/'Hilfstabellen_Mat&amp;Bem'!$BD$30)</f>
        <v>0.69641544684857948</v>
      </c>
      <c r="CH233" s="553">
        <f>0.5*(1+'Hilfstabellen_Mat&amp;Bem'!$BD$31*(CG233-0.3)+CG233^2)</f>
        <v>0.7623180096470823</v>
      </c>
      <c r="CI233" s="550">
        <f t="shared" si="210"/>
        <v>0.93251110860046404</v>
      </c>
      <c r="CK233" s="551">
        <f t="shared" si="211"/>
        <v>75743.214796072687</v>
      </c>
      <c r="CO233" s="546">
        <f t="shared" si="212"/>
        <v>285</v>
      </c>
      <c r="CP233" s="551">
        <f t="shared" si="213"/>
        <v>44.972547284244527</v>
      </c>
      <c r="CQ233" s="553">
        <f>CP233/PI()*SQRT('Hilfstabellen_Mat&amp;Bem'!f.Rd.3/'Hilfstabellen_Mat&amp;Bem'!$BD$30)</f>
        <v>0.71576032037215098</v>
      </c>
      <c r="CR233" s="553">
        <f>0.5*(1+'Hilfstabellen_Mat&amp;Bem'!$BD$31*(CQ233-0.3)+CQ233^2)</f>
        <v>0.77694443412822967</v>
      </c>
      <c r="CS233" s="550">
        <f t="shared" si="214"/>
        <v>0.92665294568420897</v>
      </c>
      <c r="CU233" s="551">
        <f t="shared" si="215"/>
        <v>75267.385513199872</v>
      </c>
      <c r="CY233" s="546">
        <f t="shared" si="216"/>
        <v>285</v>
      </c>
      <c r="CZ233" s="551">
        <f t="shared" si="217"/>
        <v>46.188021535170058</v>
      </c>
      <c r="DA233" s="553">
        <f>CZ233/PI()*SQRT('Hilfstabellen_Mat&amp;Bem'!f.Rd.3/'Hilfstabellen_Mat&amp;Bem'!$BD$30)</f>
        <v>0.73510519389572282</v>
      </c>
      <c r="DB233" s="553">
        <f>0.5*(1+'Hilfstabellen_Mat&amp;Bem'!$BD$31*(DA233-0.3)+DA233^2)</f>
        <v>0.79194508274102016</v>
      </c>
      <c r="DC233" s="550">
        <f t="shared" si="218"/>
        <v>0.92033657436610028</v>
      </c>
      <c r="DE233" s="551">
        <f t="shared" si="219"/>
        <v>74754.338252886489</v>
      </c>
      <c r="DI233" s="546">
        <f t="shared" si="220"/>
        <v>285</v>
      </c>
      <c r="DJ233" s="551">
        <f t="shared" si="221"/>
        <v>47.403495786095583</v>
      </c>
      <c r="DK233" s="553">
        <f>DJ233/PI()*SQRT('Hilfstabellen_Mat&amp;Bem'!f.Rd.3/'Hilfstabellen_Mat&amp;Bem'!$BD$30)</f>
        <v>0.75445006741929443</v>
      </c>
      <c r="DL233" s="553">
        <f>0.5*(1+'Hilfstabellen_Mat&amp;Bem'!$BD$31*(DK233-0.3)+DK233^2)</f>
        <v>0.80731995548545366</v>
      </c>
      <c r="DM233" s="550">
        <f t="shared" si="222"/>
        <v>0.91351650514880023</v>
      </c>
      <c r="DO233" s="551">
        <f t="shared" si="223"/>
        <v>74200.378130711295</v>
      </c>
      <c r="DS233" s="546">
        <f t="shared" si="224"/>
        <v>285</v>
      </c>
      <c r="DT233" s="551">
        <f t="shared" si="225"/>
        <v>48.618970037021114</v>
      </c>
      <c r="DU233" s="553">
        <f>DT233/PI()*SQRT('Hilfstabellen_Mat&amp;Bem'!f.Rd.3/'Hilfstabellen_Mat&amp;Bem'!$BD$30)</f>
        <v>0.77379494094286605</v>
      </c>
      <c r="DV233" s="553">
        <f>0.5*(1+'Hilfstabellen_Mat&amp;Bem'!$BD$31*(DU233-0.3)+DU233^2)</f>
        <v>0.82306905236153005</v>
      </c>
      <c r="DW233" s="550">
        <f t="shared" si="226"/>
        <v>0.90614525032553728</v>
      </c>
      <c r="DY233" s="551">
        <f t="shared" si="227"/>
        <v>73601.647957691763</v>
      </c>
      <c r="EC233" s="546">
        <f t="shared" si="228"/>
        <v>285</v>
      </c>
      <c r="ED233" s="551">
        <f t="shared" si="229"/>
        <v>49.834444287946646</v>
      </c>
      <c r="EE233" s="553">
        <f>ED233/PI()*SQRT('Hilfstabellen_Mat&amp;Bem'!f.Rd.3/'Hilfstabellen_Mat&amp;Bem'!$BD$30)</f>
        <v>0.79313981446643778</v>
      </c>
      <c r="EF233" s="553">
        <f>0.5*(1+'Hilfstabellen_Mat&amp;Bem'!$BD$31*(EE233-0.3)+EE233^2)</f>
        <v>0.83919237336924946</v>
      </c>
      <c r="EG233" s="550">
        <f t="shared" si="230"/>
        <v>0.89817444874896246</v>
      </c>
      <c r="EI233" s="551">
        <f t="shared" si="231"/>
        <v>72954.219599634482</v>
      </c>
      <c r="EM233" s="546">
        <f t="shared" si="232"/>
        <v>285</v>
      </c>
      <c r="EN233" s="551">
        <f t="shared" si="233"/>
        <v>51.04991853887217</v>
      </c>
      <c r="EO233" s="553">
        <f>EN233/PI()*SQRT('Hilfstabellen_Mat&amp;Bem'!f.Rd.3/'Hilfstabellen_Mat&amp;Bem'!$BD$30)</f>
        <v>0.81248468799000939</v>
      </c>
      <c r="EP233" s="553">
        <f>0.5*(1+'Hilfstabellen_Mat&amp;Bem'!$BD$31*(EO233-0.3)+EO233^2)</f>
        <v>0.85568991850861198</v>
      </c>
      <c r="EQ233" s="550">
        <f t="shared" si="234"/>
        <v>0.88955650207615644</v>
      </c>
      <c r="ES233" s="551">
        <f t="shared" si="235"/>
        <v>72254.226881135808</v>
      </c>
    </row>
    <row r="234" spans="3:149">
      <c r="C234" s="546">
        <v>286</v>
      </c>
      <c r="D234" s="551">
        <f t="shared" si="185"/>
        <v>33.914281546803188</v>
      </c>
      <c r="E234" s="553">
        <f>$D234/PI()*SQRT('Hilfstabellen_Mat&amp;Bem'!f.Rd.3/'Hilfstabellen_Mat&amp;Bem'!$BD$30)</f>
        <v>0.53976255495839787</v>
      </c>
      <c r="F234" s="553">
        <f>0.5*(1+'Hilfstabellen_Mat&amp;Bem'!$BD$31*($E234-0.3)+$E234^2)</f>
        <v>0.6576599356155286</v>
      </c>
      <c r="G234" s="550">
        <f t="shared" si="186"/>
        <v>0.96768900089472787</v>
      </c>
      <c r="I234" s="551">
        <f t="shared" si="187"/>
        <v>79153.089517185159</v>
      </c>
      <c r="M234" s="546">
        <f t="shared" si="188"/>
        <v>286</v>
      </c>
      <c r="N234" s="551">
        <f t="shared" si="177"/>
        <v>35.125505887760447</v>
      </c>
      <c r="O234" s="553">
        <f>$N234/PI()*SQRT('Hilfstabellen_Mat&amp;Bem'!f.Rd.3/'Hilfstabellen_Mat&amp;Bem'!$BD$30)</f>
        <v>0.55903978906405483</v>
      </c>
      <c r="P234" s="553">
        <f>0.5*(1+'Hilfstabellen_Mat&amp;Bem'!$BD$31*($O234-0.3)+$O234^2)</f>
        <v>0.66921473233159423</v>
      </c>
      <c r="Q234" s="550">
        <f t="shared" si="178"/>
        <v>0.96424827289632875</v>
      </c>
      <c r="S234" s="551">
        <f t="shared" si="189"/>
        <v>78871.651729828111</v>
      </c>
      <c r="W234" s="546">
        <f t="shared" si="190"/>
        <v>286</v>
      </c>
      <c r="X234" s="551">
        <f t="shared" si="179"/>
        <v>36.336730228717705</v>
      </c>
      <c r="Y234" s="553">
        <f>$X234/PI()*SQRT('Hilfstabellen_Mat&amp;Bem'!f.Rd.3/'Hilfstabellen_Mat&amp;Bem'!$BD$30)</f>
        <v>0.57831702316971201</v>
      </c>
      <c r="Z234" s="553">
        <f>0.5*(1+'Hilfstabellen_Mat&amp;Bem'!$BD$31*($Y234-0.3)+$Y234^2)</f>
        <v>0.68114114080242416</v>
      </c>
      <c r="AA234" s="550">
        <f t="shared" si="180"/>
        <v>0.96060931127834448</v>
      </c>
      <c r="AC234" s="551">
        <f t="shared" si="191"/>
        <v>78573.999225323467</v>
      </c>
      <c r="AG234" s="546">
        <f t="shared" si="192"/>
        <v>286</v>
      </c>
      <c r="AH234" s="551">
        <f t="shared" si="181"/>
        <v>37.547954569674957</v>
      </c>
      <c r="AI234" s="553">
        <f>$AH234/PI()*SQRT('Hilfstabellen_Mat&amp;Bem'!f.Rd.3/'Hilfstabellen_Mat&amp;Bem'!$BD$30)</f>
        <v>0.59759425727536897</v>
      </c>
      <c r="AJ234" s="553">
        <f>0.5*(1+'Hilfstabellen_Mat&amp;Bem'!$BD$31*($AI234-0.3)+$AI234^2)</f>
        <v>0.69343916102801839</v>
      </c>
      <c r="AK234" s="550">
        <f t="shared" si="182"/>
        <v>0.95675041275283701</v>
      </c>
      <c r="AM234" s="551">
        <f t="shared" si="193"/>
        <v>78258.35676153106</v>
      </c>
      <c r="AQ234" s="546">
        <f t="shared" si="194"/>
        <v>286</v>
      </c>
      <c r="AR234" s="551">
        <f t="shared" si="183"/>
        <v>38.759178910632215</v>
      </c>
      <c r="AS234" s="553">
        <f>$AR234/PI()*SQRT('Hilfstabellen_Mat&amp;Bem'!f.Rd.3/'Hilfstabellen_Mat&amp;Bem'!$BD$30)</f>
        <v>0.61687149138102604</v>
      </c>
      <c r="AT234" s="553">
        <f>0.5*(1+'Hilfstabellen_Mat&amp;Bem'!$BD$31*($AS234-0.3)+$AS234^2)</f>
        <v>0.70610879300837692</v>
      </c>
      <c r="AU234" s="550">
        <f t="shared" si="184"/>
        <v>0.95264749559592032</v>
      </c>
      <c r="AW234" s="551">
        <f t="shared" si="195"/>
        <v>77922.754549763893</v>
      </c>
      <c r="BA234" s="546">
        <f t="shared" si="196"/>
        <v>286</v>
      </c>
      <c r="BB234" s="551">
        <f t="shared" si="197"/>
        <v>39.970403251589474</v>
      </c>
      <c r="BC234" s="553">
        <f>$BB234/PI()*SQRT('Hilfstabellen_Mat&amp;Bem'!f.Rd.3/'Hilfstabellen_Mat&amp;Bem'!$BD$30)</f>
        <v>0.63614872548668311</v>
      </c>
      <c r="BD234" s="553">
        <f>0.5*(1+'Hilfstabellen_Mat&amp;Bem'!$BD$31*($BC234-0.3)+$BC234^2)</f>
        <v>0.71915003674349975</v>
      </c>
      <c r="BE234" s="550">
        <f t="shared" si="198"/>
        <v>0.94827386717413598</v>
      </c>
      <c r="BG234" s="551">
        <f t="shared" si="199"/>
        <v>77565.00923937562</v>
      </c>
      <c r="BK234" s="546">
        <f t="shared" si="200"/>
        <v>286</v>
      </c>
      <c r="BL234" s="551">
        <f t="shared" si="201"/>
        <v>41.181627592546732</v>
      </c>
      <c r="BM234" s="553">
        <f>$BL234/PI()*SQRT('Hilfstabellen_Mat&amp;Bem'!f.Rd.3/'Hilfstabellen_Mat&amp;Bem'!$BD$30)</f>
        <v>0.65542595959234029</v>
      </c>
      <c r="BN234" s="553">
        <f>0.5*(1+'Hilfstabellen_Mat&amp;Bem'!$BD$31*($BM234-0.3)+$BM234^2)</f>
        <v>0.732562892233387</v>
      </c>
      <c r="BO234" s="550">
        <f t="shared" si="202"/>
        <v>0.94360000238434816</v>
      </c>
      <c r="BQ234" s="551">
        <f t="shared" si="203"/>
        <v>77182.705795030139</v>
      </c>
      <c r="BU234" s="546">
        <f t="shared" si="204"/>
        <v>286</v>
      </c>
      <c r="BV234" s="551">
        <f t="shared" si="205"/>
        <v>42.392851933503991</v>
      </c>
      <c r="BW234" s="553">
        <f>$BV234/PI()*SQRT('Hilfstabellen_Mat&amp;Bem'!f.Rd.3/'Hilfstabellen_Mat&amp;Bem'!$BD$30)</f>
        <v>0.67470319369799736</v>
      </c>
      <c r="BX234" s="553">
        <f>0.5*(1+'Hilfstabellen_Mat&amp;Bem'!$BD$31*($BW234-0.3)+$BW234^2)</f>
        <v>0.74634735947803854</v>
      </c>
      <c r="BY234" s="550">
        <f t="shared" si="206"/>
        <v>0.93859335248093867</v>
      </c>
      <c r="CA234" s="551">
        <f t="shared" si="207"/>
        <v>76773.181859530858</v>
      </c>
      <c r="CE234" s="546">
        <f t="shared" si="208"/>
        <v>286</v>
      </c>
      <c r="CF234" s="551">
        <f t="shared" si="209"/>
        <v>43.604076274461242</v>
      </c>
      <c r="CG234" s="553">
        <f>CF234/PI()*SQRT('Hilfstabellen_Mat&amp;Bem'!f.Rd.3/'Hilfstabellen_Mat&amp;Bem'!$BD$30)</f>
        <v>0.69398042780365432</v>
      </c>
      <c r="CH234" s="553">
        <f>0.5*(1+'Hilfstabellen_Mat&amp;Bem'!$BD$31*(CG234-0.3)+CG234^2)</f>
        <v>0.76050343847745427</v>
      </c>
      <c r="CI234" s="550">
        <f t="shared" si="210"/>
        <v>0.93321821271972938</v>
      </c>
      <c r="CK234" s="551">
        <f t="shared" si="211"/>
        <v>76333.516927622986</v>
      </c>
      <c r="CO234" s="546">
        <f t="shared" si="212"/>
        <v>286</v>
      </c>
      <c r="CP234" s="551">
        <f t="shared" si="213"/>
        <v>44.815300615418501</v>
      </c>
      <c r="CQ234" s="553">
        <f>CP234/PI()*SQRT('Hilfstabellen_Mat&amp;Bem'!f.Rd.3/'Hilfstabellen_Mat&amp;Bem'!$BD$30)</f>
        <v>0.71325766190931139</v>
      </c>
      <c r="CR234" s="553">
        <f>0.5*(1+'Hilfstabellen_Mat&amp;Bem'!$BD$31*(CQ234-0.3)+CQ234^2)</f>
        <v>0.77503112923163431</v>
      </c>
      <c r="CS234" s="550">
        <f t="shared" si="214"/>
        <v>0.927435688710885</v>
      </c>
      <c r="CU234" s="551">
        <f t="shared" si="215"/>
        <v>75860.529593795553</v>
      </c>
      <c r="CY234" s="546">
        <f t="shared" si="216"/>
        <v>286</v>
      </c>
      <c r="CZ234" s="551">
        <f t="shared" si="217"/>
        <v>46.026524956375759</v>
      </c>
      <c r="DA234" s="553">
        <f>CZ234/PI()*SQRT('Hilfstabellen_Mat&amp;Bem'!f.Rd.3/'Hilfstabellen_Mat&amp;Bem'!$BD$30)</f>
        <v>0.73253489601496857</v>
      </c>
      <c r="DB234" s="553">
        <f>0.5*(1+'Hilfstabellen_Mat&amp;Bem'!$BD$31*(DA234-0.3)+DA234^2)</f>
        <v>0.78993043174057886</v>
      </c>
      <c r="DC234" s="550">
        <f t="shared" si="218"/>
        <v>0.92120381521982264</v>
      </c>
      <c r="DE234" s="551">
        <f t="shared" si="219"/>
        <v>75350.787269720618</v>
      </c>
      <c r="DI234" s="546">
        <f t="shared" si="220"/>
        <v>286</v>
      </c>
      <c r="DJ234" s="551">
        <f t="shared" si="221"/>
        <v>47.237749297333018</v>
      </c>
      <c r="DK234" s="553">
        <f>DJ234/PI()*SQRT('Hilfstabellen_Mat&amp;Bem'!f.Rd.3/'Hilfstabellen_Mat&amp;Bem'!$BD$30)</f>
        <v>0.75181213012062553</v>
      </c>
      <c r="DL234" s="553">
        <f>0.5*(1+'Hilfstabellen_Mat&amp;Bem'!$BD$31*(DK234-0.3)+DK234^2)</f>
        <v>0.8052013460042875</v>
      </c>
      <c r="DM234" s="550">
        <f t="shared" si="222"/>
        <v>0.91447789649307298</v>
      </c>
      <c r="DO234" s="551">
        <f t="shared" si="223"/>
        <v>74800.634021547405</v>
      </c>
      <c r="DS234" s="546">
        <f t="shared" si="224"/>
        <v>286</v>
      </c>
      <c r="DT234" s="551">
        <f t="shared" si="225"/>
        <v>48.448973638290276</v>
      </c>
      <c r="DU234" s="553">
        <f>DT234/PI()*SQRT('Hilfstabellen_Mat&amp;Bem'!f.Rd.3/'Hilfstabellen_Mat&amp;Bem'!$BD$30)</f>
        <v>0.77108936422628271</v>
      </c>
      <c r="DV234" s="553">
        <f>0.5*(1+'Hilfstabellen_Mat&amp;Bem'!$BD$31*(DU234-0.3)+DU234^2)</f>
        <v>0.82084387202276055</v>
      </c>
      <c r="DW234" s="550">
        <f t="shared" si="226"/>
        <v>0.90721115178805189</v>
      </c>
      <c r="DY234" s="551">
        <f t="shared" si="227"/>
        <v>74206.243371655495</v>
      </c>
      <c r="EC234" s="546">
        <f t="shared" si="228"/>
        <v>286</v>
      </c>
      <c r="ED234" s="551">
        <f t="shared" si="229"/>
        <v>49.660197979247528</v>
      </c>
      <c r="EE234" s="553">
        <f>ED234/PI()*SQRT('Hilfstabellen_Mat&amp;Bem'!f.Rd.3/'Hilfstabellen_Mat&amp;Bem'!$BD$30)</f>
        <v>0.79036659833193967</v>
      </c>
      <c r="EF234" s="553">
        <f>0.5*(1+'Hilfstabellen_Mat&amp;Bem'!$BD$31*(EE234-0.3)+EE234^2)</f>
        <v>0.83685800979599778</v>
      </c>
      <c r="EG234" s="550">
        <f t="shared" si="230"/>
        <v>0.89935575940944201</v>
      </c>
      <c r="EI234" s="551">
        <f t="shared" si="231"/>
        <v>73563.703696654717</v>
      </c>
      <c r="EM234" s="546">
        <f t="shared" si="232"/>
        <v>286</v>
      </c>
      <c r="EN234" s="551">
        <f t="shared" si="233"/>
        <v>50.871422320204786</v>
      </c>
      <c r="EO234" s="553">
        <f>EN234/PI()*SQRT('Hilfstabellen_Mat&amp;Bem'!f.Rd.3/'Hilfstabellen_Mat&amp;Bem'!$BD$30)</f>
        <v>0.80964383243759674</v>
      </c>
      <c r="EP234" s="553">
        <f>0.5*(1+'Hilfstabellen_Mat&amp;Bem'!$BD$31*(EO234-0.3)+EO234^2)</f>
        <v>0.85324375932399943</v>
      </c>
      <c r="EQ234" s="550">
        <f t="shared" si="234"/>
        <v>0.89086439037614829</v>
      </c>
      <c r="ES234" s="551">
        <f t="shared" si="235"/>
        <v>72869.143675207422</v>
      </c>
    </row>
    <row r="235" spans="3:149">
      <c r="C235" s="546">
        <v>287</v>
      </c>
      <c r="D235" s="551">
        <f t="shared" si="185"/>
        <v>33.796113318417113</v>
      </c>
      <c r="E235" s="553">
        <f>$D235/PI()*SQRT('Hilfstabellen_Mat&amp;Bem'!f.Rd.3/'Hilfstabellen_Mat&amp;Bem'!$BD$30)</f>
        <v>0.53788184919199222</v>
      </c>
      <c r="F235" s="553">
        <f>0.5*(1+'Hilfstabellen_Mat&amp;Bem'!$BD$31*($E235-0.3)+$E235^2)</f>
        <v>0.65655253430469818</v>
      </c>
      <c r="G235" s="550">
        <f t="shared" si="186"/>
        <v>0.96801481733937977</v>
      </c>
      <c r="I235" s="551">
        <f t="shared" si="187"/>
        <v>79734.41248942737</v>
      </c>
      <c r="M235" s="546">
        <f t="shared" si="188"/>
        <v>287</v>
      </c>
      <c r="N235" s="551">
        <f t="shared" si="177"/>
        <v>35.003117365503442</v>
      </c>
      <c r="O235" s="553">
        <f>$N235/PI()*SQRT('Hilfstabellen_Mat&amp;Bem'!f.Rd.3/'Hilfstabellen_Mat&amp;Bem'!$BD$30)</f>
        <v>0.55709191523456336</v>
      </c>
      <c r="P235" s="553">
        <f>0.5*(1+'Hilfstabellen_Mat&amp;Bem'!$BD$31*($O235-0.3)+$O235^2)</f>
        <v>0.66803029677158521</v>
      </c>
      <c r="Q235" s="550">
        <f t="shared" si="178"/>
        <v>0.96460460335457532</v>
      </c>
      <c r="S235" s="551">
        <f t="shared" si="189"/>
        <v>79453.516573713016</v>
      </c>
      <c r="W235" s="546">
        <f t="shared" si="190"/>
        <v>287</v>
      </c>
      <c r="X235" s="551">
        <f t="shared" si="179"/>
        <v>36.210121412589764</v>
      </c>
      <c r="Y235" s="553">
        <f>$X235/PI()*SQRT('Hilfstabellen_Mat&amp;Bem'!f.Rd.3/'Hilfstabellen_Mat&amp;Bem'!$BD$30)</f>
        <v>0.5763019812771345</v>
      </c>
      <c r="Z235" s="553">
        <f>0.5*(1+'Hilfstabellen_Mat&amp;Bem'!$BD$31*($Y235-0.3)+$Y235^2)</f>
        <v>0.67987708587583207</v>
      </c>
      <c r="AA235" s="550">
        <f t="shared" si="180"/>
        <v>0.96099959134562174</v>
      </c>
      <c r="AC235" s="551">
        <f t="shared" si="191"/>
        <v>79156.575339547519</v>
      </c>
      <c r="AG235" s="546">
        <f t="shared" si="192"/>
        <v>287</v>
      </c>
      <c r="AH235" s="551">
        <f t="shared" si="181"/>
        <v>37.417125459676093</v>
      </c>
      <c r="AI235" s="553">
        <f>$AH235/PI()*SQRT('Hilfstabellen_Mat&amp;Bem'!f.Rd.3/'Hilfstabellen_Mat&amp;Bem'!$BD$30)</f>
        <v>0.59551204731970564</v>
      </c>
      <c r="AJ235" s="553">
        <f>0.5*(1+'Hilfstabellen_Mat&amp;Bem'!$BD$31*($AI235-0.3)+$AI235^2)</f>
        <v>0.69209290161743897</v>
      </c>
      <c r="AK235" s="550">
        <f t="shared" si="182"/>
        <v>0.95717853317512136</v>
      </c>
      <c r="AM235" s="551">
        <f t="shared" si="193"/>
        <v>78841.838599101568</v>
      </c>
      <c r="AQ235" s="546">
        <f t="shared" si="194"/>
        <v>287</v>
      </c>
      <c r="AR235" s="551">
        <f t="shared" si="183"/>
        <v>38.624129506762422</v>
      </c>
      <c r="AS235" s="553">
        <f>$AR235/PI()*SQRT('Hilfstabellen_Mat&amp;Bem'!f.Rd.3/'Hilfstabellen_Mat&amp;Bem'!$BD$30)</f>
        <v>0.61472211336227689</v>
      </c>
      <c r="AT235" s="553">
        <f>0.5*(1+'Hilfstabellen_Mat&amp;Bem'!$BD$31*($AS235-0.3)+$AS235^2)</f>
        <v>0.70467774399640593</v>
      </c>
      <c r="AU235" s="550">
        <f t="shared" si="184"/>
        <v>0.95311785927551762</v>
      </c>
      <c r="AW235" s="551">
        <f t="shared" si="195"/>
        <v>78507.364950665113</v>
      </c>
      <c r="BA235" s="546">
        <f t="shared" si="196"/>
        <v>287</v>
      </c>
      <c r="BB235" s="551">
        <f t="shared" si="197"/>
        <v>39.831133553848744</v>
      </c>
      <c r="BC235" s="553">
        <f>$BB235/PI()*SQRT('Hilfstabellen_Mat&amp;Bem'!f.Rd.3/'Hilfstabellen_Mat&amp;Bem'!$BD$30)</f>
        <v>0.63393217940484803</v>
      </c>
      <c r="BD235" s="553">
        <f>0.5*(1+'Hilfstabellen_Mat&amp;Bem'!$BD$31*($BC235-0.3)+$BC235^2)</f>
        <v>0.71763161301273259</v>
      </c>
      <c r="BE235" s="550">
        <f t="shared" si="198"/>
        <v>0.94879144987536868</v>
      </c>
      <c r="BG235" s="551">
        <f t="shared" si="199"/>
        <v>78151.002934784236</v>
      </c>
      <c r="BK235" s="546">
        <f t="shared" si="200"/>
        <v>287</v>
      </c>
      <c r="BL235" s="551">
        <f t="shared" si="201"/>
        <v>41.038137600935073</v>
      </c>
      <c r="BM235" s="553">
        <f>$BL235/PI()*SQRT('Hilfstabellen_Mat&amp;Bem'!f.Rd.3/'Hilfstabellen_Mat&amp;Bem'!$BD$30)</f>
        <v>0.65314224544741917</v>
      </c>
      <c r="BN235" s="553">
        <f>0.5*(1+'Hilfstabellen_Mat&amp;Bem'!$BD$31*($BM235-0.3)+$BM235^2)</f>
        <v>0.73095450866641931</v>
      </c>
      <c r="BO235" s="550">
        <f t="shared" si="202"/>
        <v>0.94417041527077794</v>
      </c>
      <c r="BQ235" s="551">
        <f t="shared" si="203"/>
        <v>77770.372935438703</v>
      </c>
      <c r="BU235" s="546">
        <f t="shared" si="204"/>
        <v>287</v>
      </c>
      <c r="BV235" s="551">
        <f t="shared" si="205"/>
        <v>42.245141648021395</v>
      </c>
      <c r="BW235" s="553">
        <f>$BV235/PI()*SQRT('Hilfstabellen_Mat&amp;Bem'!f.Rd.3/'Hilfstabellen_Mat&amp;Bem'!$BD$30)</f>
        <v>0.67235231148999031</v>
      </c>
      <c r="BX235" s="553">
        <f>0.5*(1+'Hilfstabellen_Mat&amp;Bem'!$BD$31*($BW235-0.3)+$BW235^2)</f>
        <v>0.74464643095746597</v>
      </c>
      <c r="BY235" s="550">
        <f t="shared" si="206"/>
        <v>0.93922290332237113</v>
      </c>
      <c r="CA235" s="551">
        <f t="shared" si="207"/>
        <v>77362.851323760391</v>
      </c>
      <c r="CE235" s="546">
        <f t="shared" si="208"/>
        <v>287</v>
      </c>
      <c r="CF235" s="551">
        <f t="shared" si="209"/>
        <v>43.452145695107717</v>
      </c>
      <c r="CG235" s="553">
        <f>CF235/PI()*SQRT('Hilfstabellen_Mat&amp;Bem'!f.Rd.3/'Hilfstabellen_Mat&amp;Bem'!$BD$30)</f>
        <v>0.69156237753256145</v>
      </c>
      <c r="CH235" s="553">
        <f>0.5*(1+'Hilfstabellen_Mat&amp;Bem'!$BD$31*(CG235-0.3)+CG235^2)</f>
        <v>0.75870737988587256</v>
      </c>
      <c r="CI235" s="550">
        <f t="shared" si="210"/>
        <v>0.93391396080602929</v>
      </c>
      <c r="CK235" s="551">
        <f t="shared" si="211"/>
        <v>76925.559037631829</v>
      </c>
      <c r="CO235" s="546">
        <f t="shared" si="212"/>
        <v>287</v>
      </c>
      <c r="CP235" s="551">
        <f t="shared" si="213"/>
        <v>44.659149742194046</v>
      </c>
      <c r="CQ235" s="553">
        <f>CP235/PI()*SQRT('Hilfstabellen_Mat&amp;Bem'!f.Rd.3/'Hilfstabellen_Mat&amp;Bem'!$BD$30)</f>
        <v>0.71077244357513258</v>
      </c>
      <c r="CR235" s="553">
        <f>0.5*(1+'Hilfstabellen_Mat&amp;Bem'!$BD$31*(CQ235-0.3)+CQ235^2)</f>
        <v>0.7731373554516392</v>
      </c>
      <c r="CS235" s="550">
        <f t="shared" si="214"/>
        <v>0.92820548610887021</v>
      </c>
      <c r="CU235" s="551">
        <f t="shared" si="215"/>
        <v>76455.357685301526</v>
      </c>
      <c r="CY235" s="546">
        <f t="shared" si="216"/>
        <v>287</v>
      </c>
      <c r="CZ235" s="551">
        <f t="shared" si="217"/>
        <v>45.866153789280368</v>
      </c>
      <c r="DA235" s="553">
        <f>CZ235/PI()*SQRT('Hilfstabellen_Mat&amp;Bem'!f.Rd.3/'Hilfstabellen_Mat&amp;Bem'!$BD$30)</f>
        <v>0.72998250961770372</v>
      </c>
      <c r="DB235" s="553">
        <f>0.5*(1+'Hilfstabellen_Mat&amp;Bem'!$BD$31*(DA235-0.3)+DA235^2)</f>
        <v>0.78793635765476555</v>
      </c>
      <c r="DC235" s="550">
        <f t="shared" si="218"/>
        <v>0.92205632398081028</v>
      </c>
      <c r="DE235" s="551">
        <f t="shared" si="219"/>
        <v>75948.857349975355</v>
      </c>
      <c r="DI235" s="546">
        <f t="shared" si="220"/>
        <v>287</v>
      </c>
      <c r="DJ235" s="551">
        <f t="shared" si="221"/>
        <v>47.073157836366697</v>
      </c>
      <c r="DK235" s="553">
        <f>DJ235/PI()*SQRT('Hilfstabellen_Mat&amp;Bem'!f.Rd.3/'Hilfstabellen_Mat&amp;Bem'!$BD$30)</f>
        <v>0.74919257566027486</v>
      </c>
      <c r="DL235" s="553">
        <f>0.5*(1+'Hilfstabellen_Mat&amp;Bem'!$BD$31*(DK235-0.3)+DK235^2)</f>
        <v>0.80310438649525207</v>
      </c>
      <c r="DM235" s="550">
        <f t="shared" si="222"/>
        <v>0.91542256787911258</v>
      </c>
      <c r="DO235" s="551">
        <f t="shared" si="223"/>
        <v>75402.441493634629</v>
      </c>
      <c r="DS235" s="546">
        <f t="shared" si="224"/>
        <v>287</v>
      </c>
      <c r="DT235" s="551">
        <f t="shared" si="225"/>
        <v>48.280161883453019</v>
      </c>
      <c r="DU235" s="553">
        <f>DT235/PI()*SQRT('Hilfstabellen_Mat&amp;Bem'!f.Rd.3/'Hilfstabellen_Mat&amp;Bem'!$BD$30)</f>
        <v>0.768402641702846</v>
      </c>
      <c r="DV235" s="553">
        <f>0.5*(1+'Hilfstabellen_Mat&amp;Bem'!$BD$31*(DU235-0.3)+DU235^2)</f>
        <v>0.8186414419730984</v>
      </c>
      <c r="DW235" s="550">
        <f t="shared" si="226"/>
        <v>0.90825814992129827</v>
      </c>
      <c r="DY235" s="551">
        <f t="shared" si="227"/>
        <v>74812.315550867424</v>
      </c>
      <c r="EC235" s="546">
        <f t="shared" si="228"/>
        <v>287</v>
      </c>
      <c r="ED235" s="551">
        <f t="shared" si="229"/>
        <v>49.487165930539348</v>
      </c>
      <c r="EE235" s="553">
        <f>ED235/PI()*SQRT('Hilfstabellen_Mat&amp;Bem'!f.Rd.3/'Hilfstabellen_Mat&amp;Bem'!$BD$30)</f>
        <v>0.78761270774541725</v>
      </c>
      <c r="EF235" s="553">
        <f>0.5*(1+'Hilfstabellen_Mat&amp;Bem'!$BD$31*(EE235-0.3)+EE235^2)</f>
        <v>0.8345475240883049</v>
      </c>
      <c r="EG235" s="550">
        <f t="shared" si="230"/>
        <v>0.90051580877540705</v>
      </c>
      <c r="EI235" s="551">
        <f t="shared" si="231"/>
        <v>74174.586653021499</v>
      </c>
      <c r="EM235" s="546">
        <f t="shared" si="232"/>
        <v>287</v>
      </c>
      <c r="EN235" s="551">
        <f t="shared" si="233"/>
        <v>50.694169977625677</v>
      </c>
      <c r="EO235" s="553">
        <f>EN235/PI()*SQRT('Hilfstabellen_Mat&amp;Bem'!f.Rd.3/'Hilfstabellen_Mat&amp;Bem'!$BD$30)</f>
        <v>0.80682277378798839</v>
      </c>
      <c r="EP235" s="553">
        <f>0.5*(1+'Hilfstabellen_Mat&amp;Bem'!$BD$31*(EO235-0.3)+EO235^2)</f>
        <v>0.85082263284087123</v>
      </c>
      <c r="EQ235" s="550">
        <f t="shared" si="234"/>
        <v>0.89214852571383851</v>
      </c>
      <c r="ES235" s="551">
        <f t="shared" si="235"/>
        <v>73485.381914523168</v>
      </c>
    </row>
    <row r="236" spans="3:149">
      <c r="C236" s="546">
        <v>288</v>
      </c>
      <c r="D236" s="551">
        <f t="shared" si="185"/>
        <v>33.678765702728164</v>
      </c>
      <c r="E236" s="553">
        <f>$D236/PI()*SQRT('Hilfstabellen_Mat&amp;Bem'!f.Rd.3/'Hilfstabellen_Mat&amp;Bem'!$BD$30)</f>
        <v>0.53601420388229781</v>
      </c>
      <c r="F236" s="553">
        <f>0.5*(1+'Hilfstabellen_Mat&amp;Bem'!$BD$31*($E236-0.3)+$E236^2)</f>
        <v>0.65545632357590167</v>
      </c>
      <c r="G236" s="550">
        <f t="shared" si="186"/>
        <v>0.9683367065676467</v>
      </c>
      <c r="I236" s="551">
        <f t="shared" si="187"/>
        <v>80317.719789546885</v>
      </c>
      <c r="M236" s="546">
        <f t="shared" si="188"/>
        <v>288</v>
      </c>
      <c r="N236" s="551">
        <f t="shared" si="177"/>
        <v>34.881578763539892</v>
      </c>
      <c r="O236" s="553">
        <f>$N236/PI()*SQRT('Hilfstabellen_Mat&amp;Bem'!f.Rd.3/'Hilfstabellen_Mat&amp;Bem'!$BD$30)</f>
        <v>0.55515756830666563</v>
      </c>
      <c r="P236" s="553">
        <f>0.5*(1+'Hilfstabellen_Mat&amp;Bem'!$BD$31*($O236-0.3)+$O236^2)</f>
        <v>0.66685784123941838</v>
      </c>
      <c r="Q236" s="550">
        <f t="shared" si="178"/>
        <v>0.96495647896956449</v>
      </c>
      <c r="S236" s="551">
        <f t="shared" si="189"/>
        <v>80037.350191651552</v>
      </c>
      <c r="W236" s="546">
        <f t="shared" si="190"/>
        <v>288</v>
      </c>
      <c r="X236" s="551">
        <f t="shared" si="179"/>
        <v>36.084391824351606</v>
      </c>
      <c r="Y236" s="553">
        <f>$X236/PI()*SQRT('Hilfstabellen_Mat&amp;Bem'!f.Rd.3/'Hilfstabellen_Mat&amp;Bem'!$BD$30)</f>
        <v>0.57430093273103333</v>
      </c>
      <c r="Z236" s="553">
        <f>0.5*(1+'Hilfstabellen_Mat&amp;Bem'!$BD$31*($Y236-0.3)+$Y236^2)</f>
        <v>0.67862582730441912</v>
      </c>
      <c r="AA236" s="550">
        <f t="shared" si="180"/>
        <v>0.96138481071098469</v>
      </c>
      <c r="AC236" s="551">
        <f t="shared" si="191"/>
        <v>79741.101739611913</v>
      </c>
      <c r="AG236" s="546">
        <f t="shared" si="192"/>
        <v>288</v>
      </c>
      <c r="AH236" s="551">
        <f t="shared" si="181"/>
        <v>37.287204885163327</v>
      </c>
      <c r="AI236" s="553">
        <f>$AH236/PI()*SQRT('Hilfstabellen_Mat&amp;Bem'!f.Rd.3/'Hilfstabellen_Mat&amp;Bem'!$BD$30)</f>
        <v>0.59344429715540115</v>
      </c>
      <c r="AJ236" s="553">
        <f>0.5*(1+'Hilfstabellen_Mat&amp;Bem'!$BD$31*($AI236-0.3)+$AI236^2)</f>
        <v>0.69076028177090409</v>
      </c>
      <c r="AK236" s="550">
        <f t="shared" si="182"/>
        <v>0.95760089698351636</v>
      </c>
      <c r="AM236" s="551">
        <f t="shared" si="193"/>
        <v>79427.248799400782</v>
      </c>
      <c r="AQ236" s="546">
        <f t="shared" si="194"/>
        <v>288</v>
      </c>
      <c r="AR236" s="551">
        <f t="shared" si="183"/>
        <v>38.490017945975048</v>
      </c>
      <c r="AS236" s="553">
        <f>$AR236/PI()*SQRT('Hilfstabellen_Mat&amp;Bem'!f.Rd.3/'Hilfstabellen_Mat&amp;Bem'!$BD$30)</f>
        <v>0.61258766157976896</v>
      </c>
      <c r="AT236" s="553">
        <f>0.5*(1+'Hilfstabellen_Mat&amp;Bem'!$BD$31*($AS236-0.3)+$AS236^2)</f>
        <v>0.70326120463887321</v>
      </c>
      <c r="AU236" s="550">
        <f t="shared" si="184"/>
        <v>0.95358166712411119</v>
      </c>
      <c r="AW236" s="551">
        <f t="shared" si="195"/>
        <v>79093.877797942274</v>
      </c>
      <c r="BA236" s="546">
        <f t="shared" si="196"/>
        <v>288</v>
      </c>
      <c r="BB236" s="551">
        <f t="shared" si="197"/>
        <v>39.692831006786768</v>
      </c>
      <c r="BC236" s="553">
        <f>$BB236/PI()*SQRT('Hilfstabellen_Mat&amp;Bem'!f.Rd.3/'Hilfstabellen_Mat&amp;Bem'!$BD$30)</f>
        <v>0.63173102600413678</v>
      </c>
      <c r="BD236" s="553">
        <f>0.5*(1+'Hilfstabellen_Mat&amp;Bem'!$BD$31*($BC236-0.3)+$BC236^2)</f>
        <v>0.71612859590832645</v>
      </c>
      <c r="BE236" s="550">
        <f t="shared" si="198"/>
        <v>0.94930155960276952</v>
      </c>
      <c r="BG236" s="551">
        <f t="shared" si="199"/>
        <v>78738.868559692113</v>
      </c>
      <c r="BK236" s="546">
        <f t="shared" si="200"/>
        <v>288</v>
      </c>
      <c r="BL236" s="551">
        <f t="shared" si="201"/>
        <v>40.895644067598489</v>
      </c>
      <c r="BM236" s="553">
        <f>$BL236/PI()*SQRT('Hilfstabellen_Mat&amp;Bem'!f.Rd.3/'Hilfstabellen_Mat&amp;Bem'!$BD$30)</f>
        <v>0.65087439042850459</v>
      </c>
      <c r="BN236" s="553">
        <f>0.5*(1+'Hilfstabellen_Mat&amp;Bem'!$BD$31*($BM236-0.3)+$BM236^2)</f>
        <v>0.72936245557926394</v>
      </c>
      <c r="BO236" s="550">
        <f t="shared" si="202"/>
        <v>0.94473230434366862</v>
      </c>
      <c r="BQ236" s="551">
        <f t="shared" si="203"/>
        <v>78359.876251481255</v>
      </c>
      <c r="BU236" s="546">
        <f t="shared" si="204"/>
        <v>288</v>
      </c>
      <c r="BV236" s="551">
        <f t="shared" si="205"/>
        <v>42.09845712841021</v>
      </c>
      <c r="BW236" s="553">
        <f>$BV236/PI()*SQRT('Hilfstabellen_Mat&amp;Bem'!f.Rd.3/'Hilfstabellen_Mat&amp;Bem'!$BD$30)</f>
        <v>0.67001775485287229</v>
      </c>
      <c r="BX236" s="553">
        <f>0.5*(1+'Hilfstabellen_Mat&amp;Bem'!$BD$31*($BW236-0.3)+$BW236^2)</f>
        <v>0.74296278365168544</v>
      </c>
      <c r="BY236" s="550">
        <f t="shared" si="206"/>
        <v>0.93984272935019275</v>
      </c>
      <c r="CA236" s="551">
        <f t="shared" si="207"/>
        <v>77954.315343222392</v>
      </c>
      <c r="CE236" s="546">
        <f t="shared" si="208"/>
        <v>288</v>
      </c>
      <c r="CF236" s="551">
        <f t="shared" si="209"/>
        <v>43.301270189221931</v>
      </c>
      <c r="CG236" s="553">
        <f>CF236/PI()*SQRT('Hilfstabellen_Mat&amp;Bem'!f.Rd.3/'Hilfstabellen_Mat&amp;Bem'!$BD$30)</f>
        <v>0.68916111927724011</v>
      </c>
      <c r="CH236" s="553">
        <f>0.5*(1+'Hilfstabellen_Mat&amp;Bem'!$BD$31*(CG236-0.3)+CG236^2)</f>
        <v>0.75692958012559108</v>
      </c>
      <c r="CI236" s="550">
        <f t="shared" si="210"/>
        <v>0.9345986165714808</v>
      </c>
      <c r="CK236" s="551">
        <f t="shared" si="211"/>
        <v>77519.347652904908</v>
      </c>
      <c r="CO236" s="546">
        <f t="shared" si="212"/>
        <v>288</v>
      </c>
      <c r="CP236" s="551">
        <f t="shared" si="213"/>
        <v>44.504083250033645</v>
      </c>
      <c r="CQ236" s="553">
        <f>CP236/PI()*SQRT('Hilfstabellen_Mat&amp;Bem'!f.Rd.3/'Hilfstabellen_Mat&amp;Bem'!$BD$30)</f>
        <v>0.70830448370160781</v>
      </c>
      <c r="CR236" s="553">
        <f>0.5*(1+'Hilfstabellen_Mat&amp;Bem'!$BD$31*(CQ236-0.3)+CQ236^2)</f>
        <v>0.77126284500098097</v>
      </c>
      <c r="CS236" s="550">
        <f t="shared" si="214"/>
        <v>0.92896264223842362</v>
      </c>
      <c r="CU236" s="551">
        <f t="shared" si="215"/>
        <v>77051.877397823802</v>
      </c>
      <c r="CY236" s="546">
        <f t="shared" si="216"/>
        <v>288</v>
      </c>
      <c r="CZ236" s="551">
        <f t="shared" si="217"/>
        <v>45.706896310845373</v>
      </c>
      <c r="DA236" s="553">
        <f>CZ236/PI()*SQRT('Hilfstabellen_Mat&amp;Bem'!f.Rd.3/'Hilfstabellen_Mat&amp;Bem'!$BD$30)</f>
        <v>0.72744784812597574</v>
      </c>
      <c r="DB236" s="553">
        <f>0.5*(1+'Hilfstabellen_Mat&amp;Bem'!$BD$31*(DA236-0.3)+DA236^2)</f>
        <v>0.78596257827785498</v>
      </c>
      <c r="DC236" s="550">
        <f t="shared" si="218"/>
        <v>0.92289444950484711</v>
      </c>
      <c r="DE236" s="551">
        <f t="shared" si="219"/>
        <v>76548.557219730035</v>
      </c>
      <c r="DI236" s="546">
        <f t="shared" si="220"/>
        <v>288</v>
      </c>
      <c r="DJ236" s="551">
        <f t="shared" si="221"/>
        <v>46.909709371657087</v>
      </c>
      <c r="DK236" s="553">
        <f>DJ236/PI()*SQRT('Hilfstabellen_Mat&amp;Bem'!f.Rd.3/'Hilfstabellen_Mat&amp;Bem'!$BD$30)</f>
        <v>0.74659121255034333</v>
      </c>
      <c r="DL236" s="553">
        <f>0.5*(1+'Hilfstabellen_Mat&amp;Bem'!$BD$31*(DK236-0.3)+DK236^2)</f>
        <v>0.80102877995621302</v>
      </c>
      <c r="DM236" s="550">
        <f t="shared" si="222"/>
        <v>0.91635091553609316</v>
      </c>
      <c r="DO236" s="551">
        <f t="shared" si="223"/>
        <v>76005.81033822571</v>
      </c>
      <c r="DS236" s="546">
        <f t="shared" si="224"/>
        <v>288</v>
      </c>
      <c r="DT236" s="551">
        <f t="shared" si="225"/>
        <v>48.112522432468815</v>
      </c>
      <c r="DU236" s="553">
        <f>DT236/PI()*SQRT('Hilfstabellen_Mat&amp;Bem'!f.Rd.3/'Hilfstabellen_Mat&amp;Bem'!$BD$30)</f>
        <v>0.76573457697471126</v>
      </c>
      <c r="DV236" s="553">
        <f>0.5*(1+'Hilfstabellen_Mat&amp;Bem'!$BD$31*(DU236-0.3)+DU236^2)</f>
        <v>0.81646145003605564</v>
      </c>
      <c r="DW236" s="550">
        <f t="shared" si="226"/>
        <v>0.90928668947769287</v>
      </c>
      <c r="DY236" s="551">
        <f t="shared" si="227"/>
        <v>75419.875172037762</v>
      </c>
      <c r="EC236" s="546">
        <f t="shared" si="228"/>
        <v>288</v>
      </c>
      <c r="ED236" s="551">
        <f t="shared" si="229"/>
        <v>49.315335493280529</v>
      </c>
      <c r="EE236" s="553">
        <f>ED236/PI()*SQRT('Hilfstabellen_Mat&amp;Bem'!f.Rd.3/'Hilfstabellen_Mat&amp;Bem'!$BD$30)</f>
        <v>0.78487794139907896</v>
      </c>
      <c r="EF236" s="553">
        <f>0.5*(1+'Hilfstabellen_Mat&amp;Bem'!$BD$31*(EE236-0.3)+EE236^2)</f>
        <v>0.83226058851738194</v>
      </c>
      <c r="EG236" s="550">
        <f t="shared" si="230"/>
        <v>0.90165508858758681</v>
      </c>
      <c r="EI236" s="551">
        <f t="shared" si="231"/>
        <v>74786.879667808797</v>
      </c>
      <c r="EM236" s="546">
        <f t="shared" si="232"/>
        <v>288</v>
      </c>
      <c r="EN236" s="551">
        <f t="shared" si="233"/>
        <v>50.518148554092257</v>
      </c>
      <c r="EO236" s="553">
        <f>EN236/PI()*SQRT('Hilfstabellen_Mat&amp;Bem'!f.Rd.3/'Hilfstabellen_Mat&amp;Bem'!$BD$30)</f>
        <v>0.80402130582344677</v>
      </c>
      <c r="EP236" s="553">
        <f>0.5*(1+'Hilfstabellen_Mat&amp;Bem'!$BD$31*(EO236-0.3)+EO236^2)</f>
        <v>0.8484261954001926</v>
      </c>
      <c r="EQ236" s="550">
        <f t="shared" si="234"/>
        <v>0.89340944151077073</v>
      </c>
      <c r="ES236" s="551">
        <f t="shared" si="235"/>
        <v>74102.952716669373</v>
      </c>
    </row>
    <row r="237" spans="3:149">
      <c r="C237" s="546">
        <v>289</v>
      </c>
      <c r="D237" s="551">
        <f t="shared" si="185"/>
        <v>33.562230181265434</v>
      </c>
      <c r="E237" s="553">
        <f>$D237/PI()*SQRT('Hilfstabellen_Mat&amp;Bem'!f.Rd.3/'Hilfstabellen_Mat&amp;Bem'!$BD$30)</f>
        <v>0.53415948345363928</v>
      </c>
      <c r="F237" s="553">
        <f>0.5*(1+'Hilfstabellen_Mat&amp;Bem'!$BD$31*($E237-0.3)+$E237^2)</f>
        <v>0.65437115105441135</v>
      </c>
      <c r="G237" s="550">
        <f t="shared" si="186"/>
        <v>0.96865474300063548</v>
      </c>
      <c r="I237" s="551">
        <f t="shared" si="187"/>
        <v>80903.012790156077</v>
      </c>
      <c r="M237" s="546">
        <f t="shared" si="188"/>
        <v>289</v>
      </c>
      <c r="N237" s="551">
        <f t="shared" si="177"/>
        <v>34.760881259167775</v>
      </c>
      <c r="O237" s="553">
        <f>$N237/PI()*SQRT('Hilfstabellen_Mat&amp;Bem'!f.Rd.3/'Hilfstabellen_Mat&amp;Bem'!$BD$30)</f>
        <v>0.5532366078626979</v>
      </c>
      <c r="P237" s="553">
        <f>0.5*(1+'Hilfstabellen_Mat&amp;Bem'!$BD$31*($O237-0.3)+$O237^2)</f>
        <v>0.66569720253284714</v>
      </c>
      <c r="Q237" s="550">
        <f t="shared" si="178"/>
        <v>0.96530398672097317</v>
      </c>
      <c r="S237" s="551">
        <f t="shared" si="189"/>
        <v>80623.154274922403</v>
      </c>
      <c r="W237" s="546">
        <f t="shared" si="190"/>
        <v>289</v>
      </c>
      <c r="X237" s="551">
        <f t="shared" si="179"/>
        <v>35.959532337070115</v>
      </c>
      <c r="Y237" s="553">
        <f>$X237/PI()*SQRT('Hilfstabellen_Mat&amp;Bem'!f.Rd.3/'Hilfstabellen_Mat&amp;Bem'!$BD$30)</f>
        <v>0.57231373227175641</v>
      </c>
      <c r="Z237" s="553">
        <f>0.5*(1+'Hilfstabellen_Mat&amp;Bem'!$BD$31*($Y237-0.3)+$Y237^2)</f>
        <v>0.67738719068700171</v>
      </c>
      <c r="AA237" s="550">
        <f t="shared" si="180"/>
        <v>0.96176507109092846</v>
      </c>
      <c r="AC237" s="551">
        <f t="shared" si="191"/>
        <v>80327.580502585435</v>
      </c>
      <c r="AG237" s="546">
        <f t="shared" si="192"/>
        <v>289</v>
      </c>
      <c r="AH237" s="551">
        <f t="shared" si="181"/>
        <v>37.158183414972449</v>
      </c>
      <c r="AI237" s="553">
        <f>$AH237/PI()*SQRT('Hilfstabellen_Mat&amp;Bem'!f.Rd.3/'Hilfstabellen_Mat&amp;Bem'!$BD$30)</f>
        <v>0.59139085668081492</v>
      </c>
      <c r="AJ237" s="553">
        <f>0.5*(1+'Hilfstabellen_Mat&amp;Bem'!$BD$31*($AI237-0.3)+$AI237^2)</f>
        <v>0.68944111551687493</v>
      </c>
      <c r="AK237" s="550">
        <f t="shared" si="182"/>
        <v>0.95801762315666561</v>
      </c>
      <c r="AM237" s="551">
        <f t="shared" si="193"/>
        <v>80014.589903667875</v>
      </c>
      <c r="AQ237" s="546">
        <f t="shared" si="194"/>
        <v>289</v>
      </c>
      <c r="AR237" s="551">
        <f t="shared" si="183"/>
        <v>38.356834492874789</v>
      </c>
      <c r="AS237" s="553">
        <f>$AR237/PI()*SQRT('Hilfstabellen_Mat&amp;Bem'!f.Rd.3/'Hilfstabellen_Mat&amp;Bem'!$BD$30)</f>
        <v>0.61046798108987366</v>
      </c>
      <c r="AT237" s="553">
        <f>0.5*(1+'Hilfstabellen_Mat&amp;Bem'!$BD$31*($AS237-0.3)+$AS237^2)</f>
        <v>0.70185897702246691</v>
      </c>
      <c r="AU237" s="550">
        <f t="shared" si="184"/>
        <v>0.95403905828433577</v>
      </c>
      <c r="AW237" s="551">
        <f t="shared" si="195"/>
        <v>79682.296186966007</v>
      </c>
      <c r="BA237" s="546">
        <f t="shared" si="196"/>
        <v>289</v>
      </c>
      <c r="BB237" s="551">
        <f t="shared" si="197"/>
        <v>39.55548557077713</v>
      </c>
      <c r="BC237" s="553">
        <f>$BB237/PI()*SQRT('Hilfstabellen_Mat&amp;Bem'!f.Rd.3/'Hilfstabellen_Mat&amp;Bem'!$BD$30)</f>
        <v>0.62954510549893217</v>
      </c>
      <c r="BD237" s="553">
        <f>0.5*(1+'Hilfstabellen_Mat&amp;Bem'!$BD$31*($BC237-0.3)+$BC237^2)</f>
        <v>0.71464077520377745</v>
      </c>
      <c r="BE237" s="550">
        <f t="shared" si="198"/>
        <v>0.94980435895679138</v>
      </c>
      <c r="BG237" s="551">
        <f t="shared" si="199"/>
        <v>79328.609864430167</v>
      </c>
      <c r="BK237" s="546">
        <f t="shared" si="200"/>
        <v>289</v>
      </c>
      <c r="BL237" s="551">
        <f t="shared" si="201"/>
        <v>40.754136648679463</v>
      </c>
      <c r="BM237" s="553">
        <f>$BL237/PI()*SQRT('Hilfstabellen_Mat&amp;Bem'!f.Rd.3/'Hilfstabellen_Mat&amp;Bem'!$BD$30)</f>
        <v>0.64862222990799068</v>
      </c>
      <c r="BN237" s="553">
        <f>0.5*(1+'Hilfstabellen_Mat&amp;Bem'!$BD$31*($BM237-0.3)+$BM237^2)</f>
        <v>0.72778651006080675</v>
      </c>
      <c r="BO237" s="550">
        <f t="shared" si="202"/>
        <v>0.94528585933696407</v>
      </c>
      <c r="BQ237" s="551">
        <f t="shared" si="203"/>
        <v>78951.22025768258</v>
      </c>
      <c r="BU237" s="546">
        <f t="shared" si="204"/>
        <v>289</v>
      </c>
      <c r="BV237" s="551">
        <f t="shared" si="205"/>
        <v>41.952787726581803</v>
      </c>
      <c r="BW237" s="553">
        <f>$BV237/PI()*SQRT('Hilfstabellen_Mat&amp;Bem'!f.Rd.3/'Hilfstabellen_Mat&amp;Bem'!$BD$30)</f>
        <v>0.6676993543170493</v>
      </c>
      <c r="BX237" s="553">
        <f>0.5*(1+'Hilfstabellen_Mat&amp;Bem'!$BD$31*($BW237-0.3)+$BW237^2)</f>
        <v>0.74129618159355481</v>
      </c>
      <c r="BY237" s="550">
        <f t="shared" si="206"/>
        <v>0.94045305143671276</v>
      </c>
      <c r="CA237" s="551">
        <f t="shared" si="207"/>
        <v>78547.579309045686</v>
      </c>
      <c r="CE237" s="546">
        <f t="shared" si="208"/>
        <v>289</v>
      </c>
      <c r="CF237" s="551">
        <f t="shared" si="209"/>
        <v>43.151438804484144</v>
      </c>
      <c r="CG237" s="553">
        <f>CF237/PI()*SQRT('Hilfstabellen_Mat&amp;Bem'!f.Rd.3/'Hilfstabellen_Mat&amp;Bem'!$BD$30)</f>
        <v>0.68677647872610781</v>
      </c>
      <c r="CH237" s="553">
        <f>0.5*(1+'Hilfstabellen_Mat&amp;Bem'!$BD$31*(CG237-0.3)+CG237^2)</f>
        <v>0.75516978980202132</v>
      </c>
      <c r="CI237" s="550">
        <f t="shared" si="210"/>
        <v>0.93527243624229772</v>
      </c>
      <c r="CK237" s="551">
        <f t="shared" si="211"/>
        <v>78114.889147392954</v>
      </c>
      <c r="CO237" s="546">
        <f t="shared" si="212"/>
        <v>289</v>
      </c>
      <c r="CP237" s="551">
        <f t="shared" si="213"/>
        <v>44.350089882386477</v>
      </c>
      <c r="CQ237" s="553">
        <f>CP237/PI()*SQRT('Hilfstabellen_Mat&amp;Bem'!f.Rd.3/'Hilfstabellen_Mat&amp;Bem'!$BD$30)</f>
        <v>0.70585360313516632</v>
      </c>
      <c r="CR237" s="553">
        <f>0.5*(1+'Hilfstabellen_Mat&amp;Bem'!$BD$31*(CQ237-0.3)+CQ237^2)</f>
        <v>0.76940733468620681</v>
      </c>
      <c r="CS237" s="550">
        <f t="shared" si="214"/>
        <v>0.9297074528910968</v>
      </c>
      <c r="CU237" s="551">
        <f t="shared" si="215"/>
        <v>77650.0961729173</v>
      </c>
      <c r="CY237" s="546">
        <f t="shared" si="216"/>
        <v>289</v>
      </c>
      <c r="CZ237" s="551">
        <f t="shared" si="217"/>
        <v>45.548740960288818</v>
      </c>
      <c r="DA237" s="553">
        <f>CZ237/PI()*SQRT('Hilfstabellen_Mat&amp;Bem'!f.Rd.3/'Hilfstabellen_Mat&amp;Bem'!$BD$30)</f>
        <v>0.72493072754422494</v>
      </c>
      <c r="DB237" s="553">
        <f>0.5*(1+'Hilfstabellen_Mat&amp;Bem'!$BD$31*(DA237-0.3)+DA237^2)</f>
        <v>0.78400881624611096</v>
      </c>
      <c r="DC237" s="550">
        <f t="shared" si="218"/>
        <v>0.92371853100911672</v>
      </c>
      <c r="DE237" s="551">
        <f t="shared" si="219"/>
        <v>77149.895428412434</v>
      </c>
      <c r="DI237" s="546">
        <f t="shared" si="220"/>
        <v>289</v>
      </c>
      <c r="DJ237" s="551">
        <f t="shared" si="221"/>
        <v>46.747392038191151</v>
      </c>
      <c r="DK237" s="553">
        <f>DJ237/PI()*SQRT('Hilfstabellen_Mat&amp;Bem'!f.Rd.3/'Hilfstabellen_Mat&amp;Bem'!$BD$30)</f>
        <v>0.74400785195328345</v>
      </c>
      <c r="DL237" s="553">
        <f>0.5*(1+'Hilfstabellen_Mat&amp;Bem'!$BD$31*(DK237-0.3)+DK237^2)</f>
        <v>0.79897423448173366</v>
      </c>
      <c r="DM237" s="550">
        <f t="shared" si="222"/>
        <v>0.91726332509962283</v>
      </c>
      <c r="DO237" s="551">
        <f t="shared" si="223"/>
        <v>76610.750175645604</v>
      </c>
      <c r="DS237" s="546">
        <f t="shared" si="224"/>
        <v>289</v>
      </c>
      <c r="DT237" s="551">
        <f t="shared" si="225"/>
        <v>47.946043116093492</v>
      </c>
      <c r="DU237" s="553">
        <f>DT237/PI()*SQRT('Hilfstabellen_Mat&amp;Bem'!f.Rd.3/'Hilfstabellen_Mat&amp;Bem'!$BD$30)</f>
        <v>0.76308497636234207</v>
      </c>
      <c r="DV237" s="553">
        <f>0.5*(1+'Hilfstabellen_Mat&amp;Bem'!$BD$31*(DU237-0.3)+DU237^2)</f>
        <v>0.81430358939307523</v>
      </c>
      <c r="DW237" s="550">
        <f t="shared" si="226"/>
        <v>0.91029720392333358</v>
      </c>
      <c r="DY237" s="551">
        <f t="shared" si="227"/>
        <v>76028.932768880739</v>
      </c>
      <c r="EC237" s="546">
        <f t="shared" si="228"/>
        <v>289</v>
      </c>
      <c r="ED237" s="551">
        <f t="shared" si="229"/>
        <v>49.144694193995825</v>
      </c>
      <c r="EE237" s="553">
        <f>ED237/PI()*SQRT('Hilfstabellen_Mat&amp;Bem'!f.Rd.3/'Hilfstabellen_Mat&amp;Bem'!$BD$30)</f>
        <v>0.78216210077140058</v>
      </c>
      <c r="EF237" s="553">
        <f>0.5*(1+'Hilfstabellen_Mat&amp;Bem'!$BD$31*(EE237-0.3)+EE237^2)</f>
        <v>0.82999688098013535</v>
      </c>
      <c r="EG237" s="550">
        <f t="shared" si="230"/>
        <v>0.90277407906416229</v>
      </c>
      <c r="EI237" s="551">
        <f t="shared" si="231"/>
        <v>75400.593857517903</v>
      </c>
      <c r="EM237" s="546">
        <f t="shared" si="232"/>
        <v>289</v>
      </c>
      <c r="EN237" s="551">
        <f t="shared" si="233"/>
        <v>50.343345271898166</v>
      </c>
      <c r="EO237" s="553">
        <f>EN237/PI()*SQRT('Hilfstabellen_Mat&amp;Bem'!f.Rd.3/'Hilfstabellen_Mat&amp;Bem'!$BD$30)</f>
        <v>0.8012392251804592</v>
      </c>
      <c r="EP237" s="553">
        <f>0.5*(1+'Hilfstabellen_Mat&amp;Bem'!$BD$31*(EO237-0.3)+EO237^2)</f>
        <v>0.84605410924291424</v>
      </c>
      <c r="EQ237" s="550">
        <f t="shared" si="234"/>
        <v>0.89464766011739549</v>
      </c>
      <c r="ES237" s="551">
        <f t="shared" si="235"/>
        <v>74721.867220664994</v>
      </c>
    </row>
    <row r="238" spans="3:149">
      <c r="C238" s="546">
        <v>290</v>
      </c>
      <c r="D238" s="551">
        <f t="shared" si="185"/>
        <v>33.446498353054182</v>
      </c>
      <c r="E238" s="553">
        <f>$D238/PI()*SQRT('Hilfstabellen_Mat&amp;Bem'!f.Rd.3/'Hilfstabellen_Mat&amp;Bem'!$BD$30)</f>
        <v>0.53231755420035098</v>
      </c>
      <c r="F238" s="553">
        <f>0.5*(1+'Hilfstabellen_Mat&amp;Bem'!$BD$31*($E238-0.3)+$E238^2)</f>
        <v>0.65329686696493938</v>
      </c>
      <c r="G238" s="550">
        <f t="shared" si="186"/>
        <v>0.96896899918496437</v>
      </c>
      <c r="I238" s="551">
        <f t="shared" si="187"/>
        <v>81490.292831455503</v>
      </c>
      <c r="M238" s="546">
        <f t="shared" si="188"/>
        <v>290</v>
      </c>
      <c r="N238" s="551">
        <f t="shared" si="177"/>
        <v>34.641016151377542</v>
      </c>
      <c r="O238" s="553">
        <f>$N238/PI()*SQRT('Hilfstabellen_Mat&amp;Bem'!f.Rd.3/'Hilfstabellen_Mat&amp;Bem'!$BD$30)</f>
        <v>0.55132889542179198</v>
      </c>
      <c r="P238" s="553">
        <f>0.5*(1+'Hilfstabellen_Mat&amp;Bem'!$BD$31*($O238-0.3)+$O238^2)</f>
        <v>0.66454822023459625</v>
      </c>
      <c r="Q238" s="550">
        <f t="shared" si="178"/>
        <v>0.96564721134572118</v>
      </c>
      <c r="S238" s="551">
        <f t="shared" si="189"/>
        <v>81210.930474175155</v>
      </c>
      <c r="W238" s="546">
        <f t="shared" si="190"/>
        <v>290</v>
      </c>
      <c r="X238" s="551">
        <f t="shared" si="179"/>
        <v>35.83553394970091</v>
      </c>
      <c r="Y238" s="553">
        <f>$X238/PI()*SQRT('Hilfstabellen_Mat&amp;Bem'!f.Rd.3/'Hilfstabellen_Mat&amp;Bem'!$BD$30)</f>
        <v>0.57034023664323319</v>
      </c>
      <c r="Z238" s="553">
        <f>0.5*(1+'Hilfstabellen_Mat&amp;Bem'!$BD$31*($Y238-0.3)+$Y238^2)</f>
        <v>0.67616100459929129</v>
      </c>
      <c r="AA238" s="550">
        <f t="shared" si="180"/>
        <v>0.96214047152100968</v>
      </c>
      <c r="AC238" s="551">
        <f t="shared" si="191"/>
        <v>80916.013654916911</v>
      </c>
      <c r="AG238" s="546">
        <f t="shared" si="192"/>
        <v>290</v>
      </c>
      <c r="AH238" s="551">
        <f t="shared" si="181"/>
        <v>37.03005174802427</v>
      </c>
      <c r="AI238" s="553">
        <f>$AH238/PI()*SQRT('Hilfstabellen_Mat&amp;Bem'!f.Rd.3/'Hilfstabellen_Mat&amp;Bem'!$BD$30)</f>
        <v>0.58935157786467429</v>
      </c>
      <c r="AJ238" s="553">
        <f>0.5*(1+'Hilfstabellen_Mat&amp;Bem'!$BD$31*($AI238-0.3)+$AI238^2)</f>
        <v>0.68813522005902428</v>
      </c>
      <c r="AK238" s="550">
        <f t="shared" si="182"/>
        <v>0.95842882747363589</v>
      </c>
      <c r="AM238" s="551">
        <f t="shared" si="193"/>
        <v>80603.864390532777</v>
      </c>
      <c r="AQ238" s="546">
        <f t="shared" si="194"/>
        <v>290</v>
      </c>
      <c r="AR238" s="551">
        <f t="shared" si="183"/>
        <v>38.224569546347638</v>
      </c>
      <c r="AS238" s="553">
        <f>$AR238/PI()*SQRT('Hilfstabellen_Mat&amp;Bem'!f.Rd.3/'Hilfstabellen_Mat&amp;Bem'!$BD$30)</f>
        <v>0.60836291908611539</v>
      </c>
      <c r="AT238" s="553">
        <f>0.5*(1+'Hilfstabellen_Mat&amp;Bem'!$BD$31*($AS238-0.3)+$AS238^2)</f>
        <v>0.70047086661379554</v>
      </c>
      <c r="AU238" s="550">
        <f t="shared" si="184"/>
        <v>0.95449016808984111</v>
      </c>
      <c r="AW238" s="551">
        <f t="shared" si="195"/>
        <v>80272.623136355644</v>
      </c>
      <c r="BA238" s="546">
        <f t="shared" si="196"/>
        <v>290</v>
      </c>
      <c r="BB238" s="551">
        <f t="shared" si="197"/>
        <v>39.419087344670999</v>
      </c>
      <c r="BC238" s="553">
        <f>$BB238/PI()*SQRT('Hilfstabellen_Mat&amp;Bem'!f.Rd.3/'Hilfstabellen_Mat&amp;Bem'!$BD$30)</f>
        <v>0.6273742603075565</v>
      </c>
      <c r="BD238" s="553">
        <f>0.5*(1+'Hilfstabellen_Mat&amp;Bem'!$BD$31*($BC238-0.3)+$BC238^2)</f>
        <v>0.71316794426360464</v>
      </c>
      <c r="BE238" s="550">
        <f t="shared" si="198"/>
        <v>0.9503000060199791</v>
      </c>
      <c r="BG238" s="551">
        <f t="shared" si="199"/>
        <v>79920.230506280248</v>
      </c>
      <c r="BK238" s="546">
        <f t="shared" si="200"/>
        <v>290</v>
      </c>
      <c r="BL238" s="551">
        <f t="shared" si="201"/>
        <v>40.613605142994359</v>
      </c>
      <c r="BM238" s="553">
        <f>$BL238/PI()*SQRT('Hilfstabellen_Mat&amp;Bem'!f.Rd.3/'Hilfstabellen_Mat&amp;Bem'!$BD$30)</f>
        <v>0.6463856015289976</v>
      </c>
      <c r="BN238" s="553">
        <f>0.5*(1+'Hilfstabellen_Mat&amp;Bem'!$BD$31*($BM238-0.3)+$BM238^2)</f>
        <v>0.7262264530084519</v>
      </c>
      <c r="BO238" s="550">
        <f t="shared" si="202"/>
        <v>0.9458312646532695</v>
      </c>
      <c r="BQ238" s="551">
        <f t="shared" si="203"/>
        <v>79544.409357339959</v>
      </c>
      <c r="BU238" s="546">
        <f t="shared" si="204"/>
        <v>290</v>
      </c>
      <c r="BV238" s="551">
        <f t="shared" si="205"/>
        <v>41.808122941317727</v>
      </c>
      <c r="BW238" s="553">
        <f>$BV238/PI()*SQRT('Hilfstabellen_Mat&amp;Bem'!f.Rd.3/'Hilfstabellen_Mat&amp;Bem'!$BD$30)</f>
        <v>0.6653969427504387</v>
      </c>
      <c r="BX238" s="553">
        <f>0.5*(1+'Hilfstabellen_Mat&amp;Bem'!$BD$31*($BW238-0.3)+$BW238^2)</f>
        <v>0.73964639284833722</v>
      </c>
      <c r="BY238" s="550">
        <f t="shared" si="206"/>
        <v>0.94105408420703018</v>
      </c>
      <c r="CA238" s="551">
        <f t="shared" si="207"/>
        <v>79142.648481811237</v>
      </c>
      <c r="CE238" s="546">
        <f t="shared" si="208"/>
        <v>290</v>
      </c>
      <c r="CF238" s="551">
        <f t="shared" si="209"/>
        <v>43.002640739641087</v>
      </c>
      <c r="CG238" s="553">
        <f>CF238/PI()*SQRT('Hilfstabellen_Mat&amp;Bem'!f.Rd.3/'Hilfstabellen_Mat&amp;Bem'!$BD$30)</f>
        <v>0.68440828397187981</v>
      </c>
      <c r="CH238" s="553">
        <f>0.5*(1+'Hilfstabellen_Mat&amp;Bem'!$BD$31*(CG238-0.3)+CG238^2)</f>
        <v>0.7534277637832606</v>
      </c>
      <c r="CI238" s="550">
        <f t="shared" si="210"/>
        <v>0.93593566879310153</v>
      </c>
      <c r="CK238" s="551">
        <f t="shared" si="211"/>
        <v>78712.18974549984</v>
      </c>
      <c r="CO238" s="546">
        <f t="shared" si="212"/>
        <v>290</v>
      </c>
      <c r="CP238" s="551">
        <f t="shared" si="213"/>
        <v>44.197158537964455</v>
      </c>
      <c r="CQ238" s="553">
        <f>CP238/PI()*SQRT('Hilfstabellen_Mat&amp;Bem'!f.Rd.3/'Hilfstabellen_Mat&amp;Bem'!$BD$30)</f>
        <v>0.70341962519332091</v>
      </c>
      <c r="CR238" s="553">
        <f>0.5*(1+'Hilfstabellen_Mat&amp;Bem'!$BD$31*(CQ238-0.3)+CQ238^2)</f>
        <v>0.76757056581322214</v>
      </c>
      <c r="CS238" s="550">
        <f t="shared" si="214"/>
        <v>0.93044020554627915</v>
      </c>
      <c r="CU238" s="551">
        <f t="shared" si="215"/>
        <v>78250.021286442076</v>
      </c>
      <c r="CY238" s="546">
        <f t="shared" si="216"/>
        <v>290</v>
      </c>
      <c r="CZ238" s="551">
        <f t="shared" si="217"/>
        <v>45.391676336287816</v>
      </c>
      <c r="DA238" s="553">
        <f>CZ238/PI()*SQRT('Hilfstabellen_Mat&amp;Bem'!f.Rd.3/'Hilfstabellen_Mat&amp;Bem'!$BD$30)</f>
        <v>0.72243096641476201</v>
      </c>
      <c r="DB238" s="553">
        <f>0.5*(1+'Hilfstabellen_Mat&amp;Bem'!$BD$31*(DA238-0.3)+DA238^2)</f>
        <v>0.78207479893822152</v>
      </c>
      <c r="DC238" s="550">
        <f t="shared" si="218"/>
        <v>0.92452889834070651</v>
      </c>
      <c r="DE238" s="551">
        <f t="shared" si="219"/>
        <v>77752.880350453415</v>
      </c>
      <c r="DI238" s="546">
        <f t="shared" si="220"/>
        <v>290</v>
      </c>
      <c r="DJ238" s="551">
        <f t="shared" si="221"/>
        <v>46.586194134611183</v>
      </c>
      <c r="DK238" s="553">
        <f>DJ238/PI()*SQRT('Hilfstabellen_Mat&amp;Bem'!f.Rd.3/'Hilfstabellen_Mat&amp;Bem'!$BD$30)</f>
        <v>0.74144230763620322</v>
      </c>
      <c r="DL238" s="553">
        <f>0.5*(1+'Hilfstabellen_Mat&amp;Bem'!$BD$31*(DK238-0.3)+DK238^2)</f>
        <v>0.79694046315825928</v>
      </c>
      <c r="DM238" s="550">
        <f t="shared" si="222"/>
        <v>0.9181601718742205</v>
      </c>
      <c r="DO238" s="551">
        <f t="shared" si="223"/>
        <v>77217.270454621947</v>
      </c>
      <c r="DS238" s="546">
        <f t="shared" si="224"/>
        <v>290</v>
      </c>
      <c r="DT238" s="551">
        <f t="shared" si="225"/>
        <v>47.780711932934537</v>
      </c>
      <c r="DU238" s="553">
        <f>DT238/PI()*SQRT('Hilfstabellen_Mat&amp;Bem'!f.Rd.3/'Hilfstabellen_Mat&amp;Bem'!$BD$30)</f>
        <v>0.7604536488576441</v>
      </c>
      <c r="DV238" s="553">
        <f>0.5*(1+'Hilfstabellen_Mat&amp;Bem'!$BD$31*(DU238-0.3)+DU238^2)</f>
        <v>0.81216755847333477</v>
      </c>
      <c r="DW238" s="550">
        <f t="shared" si="226"/>
        <v>0.9112901156667117</v>
      </c>
      <c r="DY238" s="551">
        <f t="shared" si="227"/>
        <v>76639.498727570448</v>
      </c>
      <c r="EC238" s="546">
        <f t="shared" si="228"/>
        <v>290</v>
      </c>
      <c r="ED238" s="551">
        <f t="shared" si="229"/>
        <v>48.975229731257905</v>
      </c>
      <c r="EE238" s="553">
        <f>ED238/PI()*SQRT('Hilfstabellen_Mat&amp;Bem'!f.Rd.3/'Hilfstabellen_Mat&amp;Bem'!$BD$30)</f>
        <v>0.77946499007908532</v>
      </c>
      <c r="EF238" s="553">
        <f>0.5*(1+'Hilfstabellen_Mat&amp;Bem'!$BD$31*(EE238-0.3)+EE238^2)</f>
        <v>0.82775608488344865</v>
      </c>
      <c r="EG238" s="550">
        <f t="shared" si="230"/>
        <v>0.90387324905728472</v>
      </c>
      <c r="EI238" s="551">
        <f t="shared" si="231"/>
        <v>76015.74024571765</v>
      </c>
      <c r="EM238" s="546">
        <f t="shared" si="232"/>
        <v>290</v>
      </c>
      <c r="EN238" s="551">
        <f t="shared" si="233"/>
        <v>50.169747529581272</v>
      </c>
      <c r="EO238" s="553">
        <f>EN238/PI()*SQRT('Hilfstabellen_Mat&amp;Bem'!f.Rd.3/'Hilfstabellen_Mat&amp;Bem'!$BD$30)</f>
        <v>0.79847633130052653</v>
      </c>
      <c r="EP238" s="553">
        <f>0.5*(1+'Hilfstabellen_Mat&amp;Bem'!$BD$31*(EO238-0.3)+EO238^2)</f>
        <v>0.84370604238860047</v>
      </c>
      <c r="EQ238" s="550">
        <f t="shared" si="234"/>
        <v>0.89586369284959455</v>
      </c>
      <c r="ES238" s="551">
        <f t="shared" si="235"/>
        <v>75342.136568650909</v>
      </c>
    </row>
    <row r="239" spans="3:149">
      <c r="C239" s="546">
        <v>291</v>
      </c>
      <c r="D239" s="551">
        <f t="shared" si="185"/>
        <v>33.331561932596948</v>
      </c>
      <c r="E239" s="553">
        <f>$D239/PI()*SQRT('Hilfstabellen_Mat&amp;Bem'!f.Rd.3/'Hilfstabellen_Mat&amp;Bem'!$BD$30)</f>
        <v>0.53048828425464523</v>
      </c>
      <c r="F239" s="553">
        <f>0.5*(1+'Hilfstabellen_Mat&amp;Bem'!$BD$31*($E239-0.3)+$E239^2)</f>
        <v>0.65223332407845092</v>
      </c>
      <c r="G239" s="550">
        <f t="shared" si="186"/>
        <v>0.96927954585047393</v>
      </c>
      <c r="I239" s="551">
        <f t="shared" si="187"/>
        <v>82079.561222163989</v>
      </c>
      <c r="M239" s="546">
        <f t="shared" si="188"/>
        <v>291</v>
      </c>
      <c r="N239" s="551">
        <f t="shared" si="177"/>
        <v>34.521974858761126</v>
      </c>
      <c r="O239" s="553">
        <f>$N239/PI()*SQRT('Hilfstabellen_Mat&amp;Bem'!f.Rd.3/'Hilfstabellen_Mat&amp;Bem'!$BD$30)</f>
        <v>0.54943429440659697</v>
      </c>
      <c r="P239" s="553">
        <f>0.5*(1+'Hilfstabellen_Mat&amp;Bem'!$BD$31*($O239-0.3)+$O239^2)</f>
        <v>0.66341073665536732</v>
      </c>
      <c r="Q239" s="550">
        <f t="shared" si="178"/>
        <v>0.9659862354082448</v>
      </c>
      <c r="S239" s="551">
        <f t="shared" si="189"/>
        <v>81800.680400605575</v>
      </c>
      <c r="W239" s="546">
        <f t="shared" si="190"/>
        <v>291</v>
      </c>
      <c r="X239" s="551">
        <f t="shared" si="179"/>
        <v>35.712387784925305</v>
      </c>
      <c r="Y239" s="553">
        <f>$X239/PI()*SQRT('Hilfstabellen_Mat&amp;Bem'!f.Rd.3/'Hilfstabellen_Mat&amp;Bem'!$BD$30)</f>
        <v>0.56838030455854849</v>
      </c>
      <c r="Z239" s="553">
        <f>0.5*(1+'Hilfstabellen_Mat&amp;Bem'!$BD$31*($Y239-0.3)+$Y239^2)</f>
        <v>0.67494710053296159</v>
      </c>
      <c r="AA239" s="550">
        <f t="shared" si="180"/>
        <v>0.96251110844113619</v>
      </c>
      <c r="AC239" s="551">
        <f t="shared" si="191"/>
        <v>81506.403173903847</v>
      </c>
      <c r="AG239" s="546">
        <f t="shared" si="192"/>
        <v>291</v>
      </c>
      <c r="AH239" s="551">
        <f t="shared" si="181"/>
        <v>36.902800711089476</v>
      </c>
      <c r="AI239" s="553">
        <f>$AH239/PI()*SQRT('Hilfstabellen_Mat&amp;Bem'!f.Rd.3/'Hilfstabellen_Mat&amp;Bem'!$BD$30)</f>
        <v>0.58732631471050012</v>
      </c>
      <c r="AJ239" s="553">
        <f>0.5*(1+'Hilfstabellen_Mat&amp;Bem'!$BD$31*($AI239-0.3)+$AI239^2)</f>
        <v>0.68684241571123372</v>
      </c>
      <c r="AK239" s="550">
        <f t="shared" si="182"/>
        <v>0.95883462261695451</v>
      </c>
      <c r="AM239" s="551">
        <f t="shared" si="193"/>
        <v>81195.074677826327</v>
      </c>
      <c r="AQ239" s="546">
        <f t="shared" si="194"/>
        <v>291</v>
      </c>
      <c r="AR239" s="551">
        <f t="shared" si="183"/>
        <v>38.093213637253655</v>
      </c>
      <c r="AS239" s="553">
        <f>$AR239/PI()*SQRT('Hilfstabellen_Mat&amp;Bem'!f.Rd.3/'Hilfstabellen_Mat&amp;Bem'!$BD$30)</f>
        <v>0.60627232486245175</v>
      </c>
      <c r="AT239" s="553">
        <f>0.5*(1+'Hilfstabellen_Mat&amp;Bem'!$BD$31*($AS239-0.3)+$AS239^2)</f>
        <v>0.69909668219018362</v>
      </c>
      <c r="AU239" s="550">
        <f t="shared" si="184"/>
        <v>0.95493512818898596</v>
      </c>
      <c r="AW239" s="551">
        <f t="shared" si="195"/>
        <v>80864.861590171524</v>
      </c>
      <c r="BA239" s="546">
        <f t="shared" si="196"/>
        <v>291</v>
      </c>
      <c r="BB239" s="551">
        <f t="shared" si="197"/>
        <v>39.283626563417833</v>
      </c>
      <c r="BC239" s="553">
        <f>$BB239/PI()*SQRT('Hilfstabellen_Mat&amp;Bem'!f.Rd.3/'Hilfstabellen_Mat&amp;Bem'!$BD$30)</f>
        <v>0.62521833501440338</v>
      </c>
      <c r="BD239" s="553">
        <f>0.5*(1+'Hilfstabellen_Mat&amp;Bem'!$BD$31*($BC239-0.3)+$BC239^2)</f>
        <v>0.71170989996981149</v>
      </c>
      <c r="BE239" s="550">
        <f t="shared" si="198"/>
        <v>0.95078865450418548</v>
      </c>
      <c r="BG239" s="551">
        <f t="shared" si="199"/>
        <v>80513.734052068932</v>
      </c>
      <c r="BK239" s="546">
        <f t="shared" si="200"/>
        <v>291</v>
      </c>
      <c r="BL239" s="551">
        <f t="shared" si="201"/>
        <v>40.474039489582005</v>
      </c>
      <c r="BM239" s="553">
        <f>$BL239/PI()*SQRT('Hilfstabellen_Mat&amp;Bem'!f.Rd.3/'Hilfstabellen_Mat&amp;Bem'!$BD$30)</f>
        <v>0.6441643451663549</v>
      </c>
      <c r="BN239" s="553">
        <f>0.5*(1+'Hilfstabellen_Mat&amp;Bem'!$BD$31*($BM239-0.3)+$BM239^2)</f>
        <v>0.72468206905011723</v>
      </c>
      <c r="BO239" s="550">
        <f t="shared" si="202"/>
        <v>0.94636869953701364</v>
      </c>
      <c r="BQ239" s="551">
        <f t="shared" si="203"/>
        <v>80139.447845493851</v>
      </c>
      <c r="BU239" s="546">
        <f t="shared" si="204"/>
        <v>291</v>
      </c>
      <c r="BV239" s="551">
        <f t="shared" si="205"/>
        <v>41.664452415746183</v>
      </c>
      <c r="BW239" s="553">
        <f>$BV239/PI()*SQRT('Hilfstabellen_Mat&amp;Bem'!f.Rd.3/'Hilfstabellen_Mat&amp;Bem'!$BD$30)</f>
        <v>0.66311035531830653</v>
      </c>
      <c r="BX239" s="553">
        <f>0.5*(1+'Hilfstabellen_Mat&amp;Bem'!$BD$31*($BW239-0.3)+$BW239^2)</f>
        <v>0.73801318943110061</v>
      </c>
      <c r="BY239" s="550">
        <f t="shared" si="206"/>
        <v>0.9416460362395076</v>
      </c>
      <c r="CA239" s="551">
        <f t="shared" si="207"/>
        <v>79739.52799479774</v>
      </c>
      <c r="CE239" s="546">
        <f t="shared" si="208"/>
        <v>291</v>
      </c>
      <c r="CF239" s="551">
        <f t="shared" si="209"/>
        <v>42.854865341910369</v>
      </c>
      <c r="CG239" s="553">
        <f>CF239/PI()*SQRT('Hilfstabellen_Mat&amp;Bem'!f.Rd.3/'Hilfstabellen_Mat&amp;Bem'!$BD$30)</f>
        <v>0.68205636547025827</v>
      </c>
      <c r="CH239" s="553">
        <f>0.5*(1+'Hilfstabellen_Mat&amp;Bem'!$BD$31*(CG239-0.3)+CG239^2)</f>
        <v>0.7517032611127622</v>
      </c>
      <c r="CI239" s="550">
        <f t="shared" si="210"/>
        <v>0.93658855617405579</v>
      </c>
      <c r="CK239" s="551">
        <f t="shared" si="211"/>
        <v>79311.255525375222</v>
      </c>
      <c r="CO239" s="546">
        <f t="shared" si="212"/>
        <v>291</v>
      </c>
      <c r="CP239" s="551">
        <f t="shared" si="213"/>
        <v>44.04527826807454</v>
      </c>
      <c r="CQ239" s="553">
        <f>CP239/PI()*SQRT('Hilfstabellen_Mat&amp;Bem'!f.Rd.3/'Hilfstabellen_Mat&amp;Bem'!$BD$30)</f>
        <v>0.70100237562220979</v>
      </c>
      <c r="CR239" s="553">
        <f>0.5*(1+'Hilfstabellen_Mat&amp;Bem'!$BD$31*(CQ239-0.3)+CQ239^2)</f>
        <v>0.76575228409510143</v>
      </c>
      <c r="CS239" s="550">
        <f t="shared" si="214"/>
        <v>0.93116117962094569</v>
      </c>
      <c r="CU239" s="551">
        <f t="shared" si="215"/>
        <v>78851.659851481309</v>
      </c>
      <c r="CY239" s="546">
        <f t="shared" si="216"/>
        <v>291</v>
      </c>
      <c r="CZ239" s="551">
        <f t="shared" si="217"/>
        <v>45.235691194238719</v>
      </c>
      <c r="DA239" s="553">
        <f>CZ239/PI()*SQRT('Hilfstabellen_Mat&amp;Bem'!f.Rd.3/'Hilfstabellen_Mat&amp;Bem'!$BD$30)</f>
        <v>0.71994838577416154</v>
      </c>
      <c r="DB239" s="553">
        <f>0.5*(1+'Hilfstabellen_Mat&amp;Bem'!$BD$31*(DA239-0.3)+DA239^2)</f>
        <v>0.78016025837811864</v>
      </c>
      <c r="DC239" s="550">
        <f t="shared" si="218"/>
        <v>0.92532587223976448</v>
      </c>
      <c r="DE239" s="551">
        <f t="shared" si="219"/>
        <v>78357.520187135495</v>
      </c>
      <c r="DI239" s="546">
        <f t="shared" si="220"/>
        <v>291</v>
      </c>
      <c r="DJ239" s="551">
        <f t="shared" si="221"/>
        <v>46.426104120402897</v>
      </c>
      <c r="DK239" s="553">
        <f>DJ239/PI()*SQRT('Hilfstabellen_Mat&amp;Bem'!f.Rd.3/'Hilfstabellen_Mat&amp;Bem'!$BD$30)</f>
        <v>0.73889439592611317</v>
      </c>
      <c r="DL239" s="553">
        <f>0.5*(1+'Hilfstabellen_Mat&amp;Bem'!$BD$31*(DK239-0.3)+DK239^2)</f>
        <v>0.7949271839618135</v>
      </c>
      <c r="DM239" s="550">
        <f t="shared" si="222"/>
        <v>0.9190418210934318</v>
      </c>
      <c r="DO239" s="551">
        <f t="shared" si="223"/>
        <v>77825.380452012905</v>
      </c>
      <c r="DS239" s="546">
        <f t="shared" si="224"/>
        <v>291</v>
      </c>
      <c r="DT239" s="551">
        <f t="shared" si="225"/>
        <v>47.616517046567068</v>
      </c>
      <c r="DU239" s="553">
        <f>DT239/PI()*SQRT('Hilfstabellen_Mat&amp;Bem'!f.Rd.3/'Hilfstabellen_Mat&amp;Bem'!$BD$30)</f>
        <v>0.75784040607806469</v>
      </c>
      <c r="DV239" s="553">
        <f>0.5*(1+'Hilfstabellen_Mat&amp;Bem'!$BD$31*(DU239-0.3)+DU239^2)</f>
        <v>0.81005306084618622</v>
      </c>
      <c r="DW239" s="550">
        <f t="shared" si="226"/>
        <v>0.91226583629010771</v>
      </c>
      <c r="DY239" s="551">
        <f t="shared" si="227"/>
        <v>77251.58328288261</v>
      </c>
      <c r="EC239" s="546">
        <f t="shared" si="228"/>
        <v>291</v>
      </c>
      <c r="ED239" s="551">
        <f t="shared" si="229"/>
        <v>48.806929972731247</v>
      </c>
      <c r="EE239" s="553">
        <f>ED239/PI()*SQRT('Hilfstabellen_Mat&amp;Bem'!f.Rd.3/'Hilfstabellen_Mat&amp;Bem'!$BD$30)</f>
        <v>0.77678641623001632</v>
      </c>
      <c r="EF239" s="553">
        <f>0.5*(1+'Hilfstabellen_Mat&amp;Bem'!$BD$31*(EE239-0.3)+EE239^2)</f>
        <v>0.82553788903123693</v>
      </c>
      <c r="EG239" s="550">
        <f t="shared" si="230"/>
        <v>0.90495305621966993</v>
      </c>
      <c r="EI239" s="551">
        <f t="shared" si="231"/>
        <v>76632.329753737868</v>
      </c>
      <c r="EM239" s="546">
        <f t="shared" si="232"/>
        <v>291</v>
      </c>
      <c r="EN239" s="551">
        <f t="shared" si="233"/>
        <v>49.997342898895425</v>
      </c>
      <c r="EO239" s="553">
        <f>EN239/PI()*SQRT('Hilfstabellen_Mat&amp;Bem'!f.Rd.3/'Hilfstabellen_Mat&amp;Bem'!$BD$30)</f>
        <v>0.79573242638196795</v>
      </c>
      <c r="EP239" s="553">
        <f>0.5*(1+'Hilfstabellen_Mat&amp;Bem'!$BD$31*(EO239-0.3)+EO239^2)</f>
        <v>0.84138166851696539</v>
      </c>
      <c r="EQ239" s="550">
        <f t="shared" si="234"/>
        <v>0.89705804004490841</v>
      </c>
      <c r="ES239" s="551">
        <f t="shared" si="235"/>
        <v>75963.771889042895</v>
      </c>
    </row>
    <row r="240" spans="3:149">
      <c r="C240" s="546">
        <v>292</v>
      </c>
      <c r="D240" s="551">
        <f t="shared" si="185"/>
        <v>33.217412747896269</v>
      </c>
      <c r="E240" s="553">
        <f>$D240/PI()*SQRT('Hilfstabellen_Mat&amp;Bem'!f.Rd.3/'Hilfstabellen_Mat&amp;Bem'!$BD$30)</f>
        <v>0.52867154355514301</v>
      </c>
      <c r="F240" s="553">
        <f>0.5*(1+'Hilfstabellen_Mat&amp;Bem'!$BD$31*($E240-0.3)+$E240^2)</f>
        <v>0.65118037766024595</v>
      </c>
      <c r="G240" s="550">
        <f t="shared" si="186"/>
        <v>0.96958645196587145</v>
      </c>
      <c r="I240" s="551">
        <f t="shared" si="187"/>
        <v>82670.819240418059</v>
      </c>
      <c r="M240" s="546">
        <f t="shared" si="188"/>
        <v>292</v>
      </c>
      <c r="N240" s="551">
        <f t="shared" si="177"/>
        <v>34.403748917464</v>
      </c>
      <c r="O240" s="553">
        <f>$N240/PI()*SQRT('Hilfstabellen_Mat&amp;Bem'!f.Rd.3/'Hilfstabellen_Mat&amp;Bem'!$BD$30)</f>
        <v>0.54755267011068387</v>
      </c>
      <c r="P240" s="553">
        <f>0.5*(1+'Hilfstabellen_Mat&amp;Bem'!$BD$31*($O240-0.3)+$O240^2)</f>
        <v>0.66228459677820395</v>
      </c>
      <c r="Q240" s="550">
        <f t="shared" si="178"/>
        <v>0.96632113936822062</v>
      </c>
      <c r="S240" s="551">
        <f t="shared" si="189"/>
        <v>82392.405627091968</v>
      </c>
      <c r="W240" s="546">
        <f t="shared" si="190"/>
        <v>292</v>
      </c>
      <c r="X240" s="551">
        <f t="shared" si="179"/>
        <v>35.590085087031724</v>
      </c>
      <c r="Y240" s="553">
        <f>$X240/PI()*SQRT('Hilfstabellen_Mat&amp;Bem'!f.Rd.3/'Hilfstabellen_Mat&amp;Bem'!$BD$30)</f>
        <v>0.56643379666622473</v>
      </c>
      <c r="Z240" s="553">
        <f>0.5*(1+'Hilfstabellen_Mat&amp;Bem'!$BD$31*($Y240-0.3)+$Y240^2)</f>
        <v>0.67374531283616834</v>
      </c>
      <c r="AA240" s="550">
        <f t="shared" si="180"/>
        <v>0.96287707577774162</v>
      </c>
      <c r="AC240" s="551">
        <f t="shared" si="191"/>
        <v>82098.750989113367</v>
      </c>
      <c r="AG240" s="546">
        <f t="shared" si="192"/>
        <v>292</v>
      </c>
      <c r="AH240" s="551">
        <f t="shared" si="181"/>
        <v>36.776421256599448</v>
      </c>
      <c r="AI240" s="553">
        <f>$AH240/PI()*SQRT('Hilfstabellen_Mat&amp;Bem'!f.Rd.3/'Hilfstabellen_Mat&amp;Bem'!$BD$30)</f>
        <v>0.58531492322176548</v>
      </c>
      <c r="AJ240" s="553">
        <f>0.5*(1+'Hilfstabellen_Mat&amp;Bem'!$BD$31*($AI240-0.3)+$AI240^2)</f>
        <v>0.68556252583413879</v>
      </c>
      <c r="AK240" s="550">
        <f t="shared" si="182"/>
        <v>0.95923511827188235</v>
      </c>
      <c r="AM240" s="551">
        <f t="shared" si="193"/>
        <v>81788.223124333774</v>
      </c>
      <c r="AQ240" s="546">
        <f t="shared" si="194"/>
        <v>292</v>
      </c>
      <c r="AR240" s="551">
        <f t="shared" si="183"/>
        <v>37.962757426167173</v>
      </c>
      <c r="AS240" s="553">
        <f>$AR240/PI()*SQRT('Hilfstabellen_Mat&amp;Bem'!f.Rd.3/'Hilfstabellen_Mat&amp;Bem'!$BD$30)</f>
        <v>0.60419604977730634</v>
      </c>
      <c r="AT240" s="553">
        <f>0.5*(1+'Hilfstabellen_Mat&amp;Bem'!$BD$31*($AS240-0.3)+$AS240^2)</f>
        <v>0.69773623577211596</v>
      </c>
      <c r="AU240" s="550">
        <f t="shared" si="184"/>
        <v>0.95537406666402747</v>
      </c>
      <c r="AW240" s="551">
        <f t="shared" si="195"/>
        <v>81459.01442004164</v>
      </c>
      <c r="BA240" s="546">
        <f t="shared" si="196"/>
        <v>292</v>
      </c>
      <c r="BB240" s="551">
        <f t="shared" si="197"/>
        <v>39.149093595734897</v>
      </c>
      <c r="BC240" s="553">
        <f>$BB240/PI()*SQRT('Hilfstabellen_Mat&amp;Bem'!f.Rd.3/'Hilfstabellen_Mat&amp;Bem'!$BD$30)</f>
        <v>0.62307717633284732</v>
      </c>
      <c r="BD240" s="553">
        <f>0.5*(1+'Hilfstabellen_Mat&amp;Bem'!$BD$31*($BC240-0.3)+$BC240^2)</f>
        <v>0.71026644265009942</v>
      </c>
      <c r="BE240" s="550">
        <f t="shared" si="198"/>
        <v>0.95127045389249221</v>
      </c>
      <c r="BG240" s="551">
        <f t="shared" si="199"/>
        <v>81109.123980689459</v>
      </c>
      <c r="BK240" s="546">
        <f t="shared" si="200"/>
        <v>292</v>
      </c>
      <c r="BL240" s="551">
        <f t="shared" si="201"/>
        <v>40.335429765302621</v>
      </c>
      <c r="BM240" s="553">
        <f>$BL240/PI()*SQRT('Hilfstabellen_Mat&amp;Bem'!f.Rd.3/'Hilfstabellen_Mat&amp;Bem'!$BD$30)</f>
        <v>0.64195830288838807</v>
      </c>
      <c r="BN240" s="553">
        <f>0.5*(1+'Hilfstabellen_Mat&amp;Bem'!$BD$31*($BM240-0.3)+$BM240^2)</f>
        <v>0.72315314646808915</v>
      </c>
      <c r="BO240" s="550">
        <f t="shared" si="202"/>
        <v>0.94689833824155345</v>
      </c>
      <c r="BQ240" s="551">
        <f t="shared" si="203"/>
        <v>80736.339911827818</v>
      </c>
      <c r="BU240" s="546">
        <f t="shared" si="204"/>
        <v>292</v>
      </c>
      <c r="BV240" s="551">
        <f t="shared" si="205"/>
        <v>41.521765934870345</v>
      </c>
      <c r="BW240" s="553">
        <f>$BV240/PI()*SQRT('Hilfstabellen_Mat&amp;Bem'!f.Rd.3/'Hilfstabellen_Mat&amp;Bem'!$BD$30)</f>
        <v>0.66083942944392893</v>
      </c>
      <c r="BX240" s="553">
        <f>0.5*(1+'Hilfstabellen_Mat&amp;Bem'!$BD$31*($BW240-0.3)+$BW240^2)</f>
        <v>0.73639634722608516</v>
      </c>
      <c r="BY240" s="550">
        <f t="shared" si="206"/>
        <v>0.94222911025955047</v>
      </c>
      <c r="CA240" s="551">
        <f t="shared" si="207"/>
        <v>80338.222857170316</v>
      </c>
      <c r="CE240" s="546">
        <f t="shared" si="208"/>
        <v>292</v>
      </c>
      <c r="CF240" s="551">
        <f t="shared" si="209"/>
        <v>42.708102104438069</v>
      </c>
      <c r="CG240" s="553">
        <f>CF240/PI()*SQRT('Hilfstabellen_Mat&amp;Bem'!f.Rd.3/'Hilfstabellen_Mat&amp;Bem'!$BD$30)</f>
        <v>0.67972055599946968</v>
      </c>
      <c r="CH240" s="553">
        <f>0.5*(1+'Hilfstabellen_Mat&amp;Bem'!$BD$31*(CG240-0.3)+CG240^2)</f>
        <v>0.74999604492408756</v>
      </c>
      <c r="CI240" s="550">
        <f t="shared" si="210"/>
        <v>0.93723133353097965</v>
      </c>
      <c r="CK240" s="551">
        <f t="shared" si="211"/>
        <v>79912.092422185451</v>
      </c>
      <c r="CO240" s="546">
        <f t="shared" si="212"/>
        <v>292</v>
      </c>
      <c r="CP240" s="551">
        <f t="shared" si="213"/>
        <v>43.894438274005793</v>
      </c>
      <c r="CQ240" s="553">
        <f>CP240/PI()*SQRT('Hilfstabellen_Mat&amp;Bem'!f.Rd.3/'Hilfstabellen_Mat&amp;Bem'!$BD$30)</f>
        <v>0.69860168255501054</v>
      </c>
      <c r="CR240" s="553">
        <f>0.5*(1+'Hilfstabellen_Mat&amp;Bem'!$BD$31*(CQ240-0.3)+CQ240^2)</f>
        <v>0.76395223956209635</v>
      </c>
      <c r="CS240" s="550">
        <f t="shared" si="214"/>
        <v>0.93187064671266295</v>
      </c>
      <c r="CU240" s="551">
        <f t="shared" si="215"/>
        <v>79455.018821308491</v>
      </c>
      <c r="CY240" s="546">
        <f t="shared" si="216"/>
        <v>292</v>
      </c>
      <c r="CZ240" s="551">
        <f t="shared" si="217"/>
        <v>45.080774443573517</v>
      </c>
      <c r="DA240" s="553">
        <f>CZ240/PI()*SQRT('Hilfstabellen_Mat&amp;Bem'!f.Rd.3/'Hilfstabellen_Mat&amp;Bem'!$BD$30)</f>
        <v>0.7174828091105514</v>
      </c>
      <c r="DB240" s="553">
        <f>0.5*(1+'Hilfstabellen_Mat&amp;Bem'!$BD$31*(DA240-0.3)+DA240^2)</f>
        <v>0.77826493114011153</v>
      </c>
      <c r="DC240" s="550">
        <f t="shared" si="218"/>
        <v>0.9261097645971702</v>
      </c>
      <c r="DE240" s="551">
        <f t="shared" si="219"/>
        <v>78963.822968613124</v>
      </c>
      <c r="DI240" s="546">
        <f t="shared" si="220"/>
        <v>292</v>
      </c>
      <c r="DJ240" s="551">
        <f t="shared" si="221"/>
        <v>46.267110613141242</v>
      </c>
      <c r="DK240" s="553">
        <f>DJ240/PI()*SQRT('Hilfstabellen_Mat&amp;Bem'!f.Rd.3/'Hilfstabellen_Mat&amp;Bem'!$BD$30)</f>
        <v>0.73636393566609215</v>
      </c>
      <c r="DL240" s="553">
        <f>0.5*(1+'Hilfstabellen_Mat&amp;Bem'!$BD$31*(DK240-0.3)+DK240^2)</f>
        <v>0.79293411965813299</v>
      </c>
      <c r="DM240" s="550">
        <f t="shared" si="222"/>
        <v>0.9199086281771488</v>
      </c>
      <c r="DO240" s="551">
        <f t="shared" si="223"/>
        <v>78435.08927289641</v>
      </c>
      <c r="DS240" s="546">
        <f t="shared" si="224"/>
        <v>292</v>
      </c>
      <c r="DT240" s="551">
        <f t="shared" si="225"/>
        <v>47.453446782708966</v>
      </c>
      <c r="DU240" s="553">
        <f>DT240/PI()*SQRT('Hilfstabellen_Mat&amp;Bem'!f.Rd.3/'Hilfstabellen_Mat&amp;Bem'!$BD$30)</f>
        <v>0.75524506222163301</v>
      </c>
      <c r="DV240" s="553">
        <f>0.5*(1+'Hilfstabellen_Mat&amp;Bem'!$BD$31*(DU240-0.3)+DU240^2)</f>
        <v>0.80795980511616072</v>
      </c>
      <c r="DW240" s="550">
        <f t="shared" si="226"/>
        <v>0.91322476678279985</v>
      </c>
      <c r="DY240" s="551">
        <f t="shared" si="227"/>
        <v>77865.196514968644</v>
      </c>
      <c r="EC240" s="546">
        <f t="shared" si="228"/>
        <v>292</v>
      </c>
      <c r="ED240" s="551">
        <f t="shared" si="229"/>
        <v>48.63978295227669</v>
      </c>
      <c r="EE240" s="553">
        <f>ED240/PI()*SQRT('Hilfstabellen_Mat&amp;Bem'!f.Rd.3/'Hilfstabellen_Mat&amp;Bem'!$BD$30)</f>
        <v>0.77412618877717376</v>
      </c>
      <c r="EF240" s="553">
        <f>0.5*(1+'Hilfstabellen_Mat&amp;Bem'!$BD$31*(EE240-0.3)+EE240^2)</f>
        <v>0.82334198751419496</v>
      </c>
      <c r="EG240" s="550">
        <f t="shared" si="230"/>
        <v>0.90601394717989137</v>
      </c>
      <c r="EI240" s="551">
        <f t="shared" si="231"/>
        <v>77250.373192346262</v>
      </c>
      <c r="EM240" s="546">
        <f t="shared" si="232"/>
        <v>292</v>
      </c>
      <c r="EN240" s="551">
        <f t="shared" si="233"/>
        <v>49.826119121844414</v>
      </c>
      <c r="EO240" s="553">
        <f>EN240/PI()*SQRT('Hilfstabellen_Mat&amp;Bem'!f.Rd.3/'Hilfstabellen_Mat&amp;Bem'!$BD$30)</f>
        <v>0.79300731533271462</v>
      </c>
      <c r="EP240" s="553">
        <f>0.5*(1+'Hilfstabellen_Mat&amp;Bem'!$BD$31*(EO240-0.3)+EO240^2)</f>
        <v>0.83908066685223548</v>
      </c>
      <c r="EQ240" s="550">
        <f t="shared" si="234"/>
        <v>0.89823119113658056</v>
      </c>
      <c r="ES240" s="551">
        <f t="shared" si="235"/>
        <v>76586.784281069398</v>
      </c>
    </row>
    <row r="241" spans="3:149">
      <c r="C241" s="546">
        <v>293</v>
      </c>
      <c r="D241" s="551">
        <f t="shared" si="185"/>
        <v>33.104042738517791</v>
      </c>
      <c r="E241" s="553">
        <f>$D241/PI()*SQRT('Hilfstabellen_Mat&amp;Bem'!f.Rd.3/'Hilfstabellen_Mat&amp;Bem'!$BD$30)</f>
        <v>0.52686720381604701</v>
      </c>
      <c r="F241" s="553">
        <f>0.5*(1+'Hilfstabellen_Mat&amp;Bem'!$BD$31*($E241-0.3)+$E241^2)</f>
        <v>0.65013788541927242</v>
      </c>
      <c r="G241" s="550">
        <f t="shared" si="186"/>
        <v>0.96988978479238919</v>
      </c>
      <c r="I241" s="551">
        <f t="shared" si="187"/>
        <v>83264.068134641813</v>
      </c>
      <c r="M241" s="546">
        <f t="shared" si="188"/>
        <v>293</v>
      </c>
      <c r="N241" s="551">
        <f t="shared" si="177"/>
        <v>34.286329979179143</v>
      </c>
      <c r="O241" s="553">
        <f>$N241/PI()*SQRT('Hilfstabellen_Mat&amp;Bem'!f.Rd.3/'Hilfstabellen_Mat&amp;Bem'!$BD$30)</f>
        <v>0.54568388966662018</v>
      </c>
      <c r="P241" s="553">
        <f>0.5*(1+'Hilfstabellen_Mat&amp;Bem'!$BD$31*($O241-0.3)+$O241^2)</f>
        <v>0.66116964820417701</v>
      </c>
      <c r="Q241" s="550">
        <f t="shared" si="178"/>
        <v>0.96665200164585063</v>
      </c>
      <c r="S241" s="551">
        <f t="shared" si="189"/>
        <v>82986.107689294629</v>
      </c>
      <c r="W241" s="546">
        <f t="shared" si="190"/>
        <v>293</v>
      </c>
      <c r="X241" s="551">
        <f t="shared" si="179"/>
        <v>35.468617219840489</v>
      </c>
      <c r="Y241" s="553">
        <f>$X241/PI()*SQRT('Hilfstabellen_Mat&amp;Bem'!f.Rd.3/'Hilfstabellen_Mat&amp;Bem'!$BD$30)</f>
        <v>0.56450057551719324</v>
      </c>
      <c r="Z241" s="553">
        <f>0.5*(1+'Hilfstabellen_Mat&amp;Bem'!$BD$31*($Y241-0.3)+$Y241^2)</f>
        <v>0.67255547865548082</v>
      </c>
      <c r="AA241" s="550">
        <f t="shared" si="180"/>
        <v>0.96323846502297661</v>
      </c>
      <c r="AC241" s="551">
        <f t="shared" si="191"/>
        <v>82693.058983757524</v>
      </c>
      <c r="AG241" s="546">
        <f t="shared" si="192"/>
        <v>293</v>
      </c>
      <c r="AH241" s="551">
        <f t="shared" si="181"/>
        <v>36.650904460501842</v>
      </c>
      <c r="AI241" s="553">
        <f>$AH241/PI()*SQRT('Hilfstabellen_Mat&amp;Bem'!f.Rd.3/'Hilfstabellen_Mat&amp;Bem'!$BD$30)</f>
        <v>0.5833172613677664</v>
      </c>
      <c r="AJ241" s="553">
        <f>0.5*(1+'Hilfstabellen_Mat&amp;Bem'!$BD$31*($AI241-0.3)+$AI241^2)</f>
        <v>0.68429537677318386</v>
      </c>
      <c r="AK241" s="550">
        <f t="shared" si="182"/>
        <v>0.95963042122205888</v>
      </c>
      <c r="AM241" s="551">
        <f t="shared" si="193"/>
        <v>82383.312031492533</v>
      </c>
      <c r="AQ241" s="546">
        <f t="shared" si="194"/>
        <v>293</v>
      </c>
      <c r="AR241" s="551">
        <f t="shared" si="183"/>
        <v>37.833191701163187</v>
      </c>
      <c r="AS241" s="553">
        <f>$AR241/PI()*SQRT('Hilfstabellen_Mat&amp;Bem'!f.Rd.3/'Hilfstabellen_Mat&amp;Bem'!$BD$30)</f>
        <v>0.60213394721833946</v>
      </c>
      <c r="AT241" s="553">
        <f>0.5*(1+'Hilfstabellen_Mat&amp;Bem'!$BD$31*($AS241-0.3)+$AS241^2)</f>
        <v>0.69638934255728602</v>
      </c>
      <c r="AU241" s="550">
        <f t="shared" si="184"/>
        <v>0.95580710814598158</v>
      </c>
      <c r="AW241" s="551">
        <f t="shared" si="195"/>
        <v>82055.08442722437</v>
      </c>
      <c r="BA241" s="546">
        <f t="shared" si="196"/>
        <v>293</v>
      </c>
      <c r="BB241" s="551">
        <f t="shared" si="197"/>
        <v>39.015478941824533</v>
      </c>
      <c r="BC241" s="553">
        <f>$BB241/PI()*SQRT('Hilfstabellen_Mat&amp;Bem'!f.Rd.3/'Hilfstabellen_Mat&amp;Bem'!$BD$30)</f>
        <v>0.62095063306891252</v>
      </c>
      <c r="BD241" s="553">
        <f>0.5*(1+'Hilfstabellen_Mat&amp;Bem'!$BD$31*($BC241-0.3)+$BC241^2)</f>
        <v>0.70883737600778729</v>
      </c>
      <c r="BE241" s="550">
        <f t="shared" si="198"/>
        <v>0.95174554957603963</v>
      </c>
      <c r="BG241" s="551">
        <f t="shared" si="199"/>
        <v>81706.403685553421</v>
      </c>
      <c r="BK241" s="546">
        <f t="shared" si="200"/>
        <v>293</v>
      </c>
      <c r="BL241" s="551">
        <f t="shared" si="201"/>
        <v>40.197766182485886</v>
      </c>
      <c r="BM241" s="553">
        <f>$BL241/PI()*SQRT('Hilfstabellen_Mat&amp;Bem'!f.Rd.3/'Hilfstabellen_Mat&amp;Bem'!$BD$30)</f>
        <v>0.63976731891948568</v>
      </c>
      <c r="BN241" s="553">
        <f>0.5*(1+'Hilfstabellen_Mat&amp;Bem'!$BD$31*($BM241-0.3)+$BM241^2)</f>
        <v>0.72163947712468779</v>
      </c>
      <c r="BO241" s="550">
        <f t="shared" si="202"/>
        <v>0.94742035019041815</v>
      </c>
      <c r="BQ241" s="551">
        <f t="shared" si="203"/>
        <v>81335.089643497209</v>
      </c>
      <c r="BU241" s="546">
        <f t="shared" si="204"/>
        <v>293</v>
      </c>
      <c r="BV241" s="551">
        <f t="shared" si="205"/>
        <v>41.380053423147231</v>
      </c>
      <c r="BW241" s="553">
        <f>$BV241/PI()*SQRT('Hilfstabellen_Mat&amp;Bem'!f.Rd.3/'Hilfstabellen_Mat&amp;Bem'!$BD$30)</f>
        <v>0.65858400477005874</v>
      </c>
      <c r="BX241" s="553">
        <f>0.5*(1+'Hilfstabellen_Mat&amp;Bem'!$BD$31*($BW241-0.3)+$BW241^2)</f>
        <v>0.7347956459079874</v>
      </c>
      <c r="BY241" s="550">
        <f t="shared" si="206"/>
        <v>0.94280350332688601</v>
      </c>
      <c r="CA241" s="551">
        <f t="shared" si="207"/>
        <v>80938.737957109843</v>
      </c>
      <c r="CE241" s="546">
        <f t="shared" si="208"/>
        <v>293</v>
      </c>
      <c r="CF241" s="551">
        <f t="shared" si="209"/>
        <v>42.562340663808584</v>
      </c>
      <c r="CG241" s="553">
        <f>CF241/PI()*SQRT('Hilfstabellen_Mat&amp;Bem'!f.Rd.3/'Hilfstabellen_Mat&amp;Bem'!$BD$30)</f>
        <v>0.6774006906206318</v>
      </c>
      <c r="CH241" s="553">
        <f>0.5*(1+'Hilfstabellen_Mat&amp;Bem'!$BD$31*(CG241-0.3)+CG241^2)</f>
        <v>0.74830588235768614</v>
      </c>
      <c r="CI241" s="550">
        <f t="shared" si="210"/>
        <v>0.93786422941859926</v>
      </c>
      <c r="CK241" s="551">
        <f t="shared" si="211"/>
        <v>80514.706231357326</v>
      </c>
      <c r="CO241" s="546">
        <f t="shared" si="212"/>
        <v>293</v>
      </c>
      <c r="CP241" s="551">
        <f t="shared" si="213"/>
        <v>43.744627904469937</v>
      </c>
      <c r="CQ241" s="553">
        <f>CP241/PI()*SQRT('Hilfstabellen_Mat&amp;Bem'!f.Rd.3/'Hilfstabellen_Mat&amp;Bem'!$BD$30)</f>
        <v>0.69621737647120507</v>
      </c>
      <c r="CR241" s="553">
        <f>0.5*(1+'Hilfstabellen_Mat&amp;Bem'!$BD$31*(CQ241-0.3)+CQ241^2)</f>
        <v>0.76217018647378421</v>
      </c>
      <c r="CS241" s="550">
        <f t="shared" si="214"/>
        <v>0.93256887083590678</v>
      </c>
      <c r="CU241" s="551">
        <f t="shared" si="215"/>
        <v>80060.10499239176</v>
      </c>
      <c r="CY241" s="546">
        <f t="shared" si="216"/>
        <v>293</v>
      </c>
      <c r="CZ241" s="551">
        <f t="shared" si="217"/>
        <v>44.926915145131282</v>
      </c>
      <c r="DA241" s="553">
        <f>CZ241/PI()*SQRT('Hilfstabellen_Mat&amp;Bem'!f.Rd.3/'Hilfstabellen_Mat&amp;Bem'!$BD$30)</f>
        <v>0.71503406232177813</v>
      </c>
      <c r="DB241" s="553">
        <f>0.5*(1+'Hilfstabellen_Mat&amp;Bem'!$BD$31*(DA241-0.3)+DA241^2)</f>
        <v>0.77638855825628106</v>
      </c>
      <c r="DC241" s="550">
        <f t="shared" si="218"/>
        <v>0.92688087870657865</v>
      </c>
      <c r="DE241" s="551">
        <f t="shared" si="219"/>
        <v>79571.79655608107</v>
      </c>
      <c r="DI241" s="546">
        <f t="shared" si="220"/>
        <v>293</v>
      </c>
      <c r="DJ241" s="551">
        <f t="shared" si="221"/>
        <v>46.109202385792635</v>
      </c>
      <c r="DK241" s="553">
        <f>DJ241/PI()*SQRT('Hilfstabellen_Mat&amp;Bem'!f.Rd.3/'Hilfstabellen_Mat&amp;Bem'!$BD$30)</f>
        <v>0.73385074817235119</v>
      </c>
      <c r="DL241" s="553">
        <f>0.5*(1+'Hilfstabellen_Mat&amp;Bem'!$BD$31*(DK241-0.3)+DK241^2)</f>
        <v>0.79096099770517736</v>
      </c>
      <c r="DM241" s="550">
        <f t="shared" si="222"/>
        <v>0.92076093898572509</v>
      </c>
      <c r="DO241" s="551">
        <f t="shared" si="223"/>
        <v>79046.405850985509</v>
      </c>
      <c r="DS241" s="546">
        <f t="shared" si="224"/>
        <v>293</v>
      </c>
      <c r="DT241" s="551">
        <f t="shared" si="225"/>
        <v>47.291489626453988</v>
      </c>
      <c r="DU241" s="553">
        <f>DT241/PI()*SQRT('Hilfstabellen_Mat&amp;Bem'!f.Rd.3/'Hilfstabellen_Mat&amp;Bem'!$BD$30)</f>
        <v>0.75266743402292446</v>
      </c>
      <c r="DV241" s="553">
        <f>0.5*(1+'Hilfstabellen_Mat&amp;Bem'!$BD$31*(DU241-0.3)+DU241^2)</f>
        <v>0.80588750482047289</v>
      </c>
      <c r="DW241" s="550">
        <f t="shared" si="226"/>
        <v>0.91416729777529326</v>
      </c>
      <c r="DY241" s="551">
        <f t="shared" si="227"/>
        <v>78480.348346711151</v>
      </c>
      <c r="EC241" s="546">
        <f t="shared" si="228"/>
        <v>293</v>
      </c>
      <c r="ED241" s="551">
        <f t="shared" si="229"/>
        <v>48.473776867115333</v>
      </c>
      <c r="EE241" s="553">
        <f>ED241/PI()*SQRT('Hilfstabellen_Mat&amp;Bem'!f.Rd.3/'Hilfstabellen_Mat&amp;Bem'!$BD$30)</f>
        <v>0.77148411987349741</v>
      </c>
      <c r="EF241" s="553">
        <f>0.5*(1+'Hilfstabellen_Mat&amp;Bem'!$BD$31*(EE241-0.3)+EE241^2)</f>
        <v>0.82116807960216742</v>
      </c>
      <c r="EG241" s="550">
        <f t="shared" si="230"/>
        <v>0.90705635772509974</v>
      </c>
      <c r="EI241" s="551">
        <f t="shared" si="231"/>
        <v>77869.881254342094</v>
      </c>
      <c r="EM241" s="546">
        <f t="shared" si="232"/>
        <v>293</v>
      </c>
      <c r="EN241" s="551">
        <f t="shared" si="233"/>
        <v>49.656064107776686</v>
      </c>
      <c r="EO241" s="553">
        <f>EN241/PI()*SQRT('Hilfstabellen_Mat&amp;Bem'!f.Rd.3/'Hilfstabellen_Mat&amp;Bem'!$BD$30)</f>
        <v>0.79030080572407058</v>
      </c>
      <c r="EP241" s="553">
        <f>0.5*(1+'Hilfstabellen_Mat&amp;Bem'!$BD$31*(EO241-0.3)+EO241^2)</f>
        <v>0.83680272205026118</v>
      </c>
      <c r="EQ241" s="550">
        <f t="shared" si="234"/>
        <v>0.89938362474364897</v>
      </c>
      <c r="ES241" s="551">
        <f t="shared" si="235"/>
        <v>77211.184800617513</v>
      </c>
    </row>
    <row r="242" spans="3:149">
      <c r="C242" s="546">
        <v>294</v>
      </c>
      <c r="D242" s="551">
        <f t="shared" si="185"/>
        <v>32.991443953692901</v>
      </c>
      <c r="E242" s="553">
        <f>$D242/PI()*SQRT('Hilfstabellen_Mat&amp;Bem'!f.Rd.3/'Hilfstabellen_Mat&amp;Bem'!$BD$30)</f>
        <v>0.52507513849694487</v>
      </c>
      <c r="F242" s="553">
        <f>0.5*(1+'Hilfstabellen_Mat&amp;Bem'!$BD$31*($E242-0.3)+$E242^2)</f>
        <v>0.64910570745864016</v>
      </c>
      <c r="G242" s="550">
        <f t="shared" si="186"/>
        <v>0.97018960993554149</v>
      </c>
      <c r="I242" s="551">
        <f t="shared" si="187"/>
        <v>83859.30912438847</v>
      </c>
      <c r="M242" s="546">
        <f t="shared" si="188"/>
        <v>294</v>
      </c>
      <c r="N242" s="551">
        <f t="shared" si="177"/>
        <v>34.169709809181931</v>
      </c>
      <c r="O242" s="553">
        <f>$N242/PI()*SQRT('Hilfstabellen_Mat&amp;Bem'!f.Rd.3/'Hilfstabellen_Mat&amp;Bem'!$BD$30)</f>
        <v>0.54382782201469293</v>
      </c>
      <c r="P242" s="553">
        <f>0.5*(1+'Hilfstabellen_Mat&amp;Bem'!$BD$31*($O242-0.3)+$O242^2)</f>
        <v>0.6600657410993569</v>
      </c>
      <c r="Q242" s="550">
        <f t="shared" si="178"/>
        <v>0.96697889868479914</v>
      </c>
      <c r="S242" s="551">
        <f t="shared" si="189"/>
        <v>83581.788086719302</v>
      </c>
      <c r="W242" s="546">
        <f t="shared" si="190"/>
        <v>294</v>
      </c>
      <c r="X242" s="551">
        <f t="shared" si="179"/>
        <v>35.347975664670962</v>
      </c>
      <c r="Y242" s="553">
        <f>$X242/PI()*SQRT('Hilfstabellen_Mat&amp;Bem'!f.Rd.3/'Hilfstabellen_Mat&amp;Bem'!$BD$30)</f>
        <v>0.56258050553244088</v>
      </c>
      <c r="Z242" s="553">
        <f>0.5*(1+'Hilfstabellen_Mat&amp;Bem'!$BD$31*($Y242-0.3)+$Y242^2)</f>
        <v>0.67137743787919046</v>
      </c>
      <c r="AA242" s="550">
        <f t="shared" si="180"/>
        <v>0.96359536531102441</v>
      </c>
      <c r="AC242" s="551">
        <f t="shared" si="191"/>
        <v>83289.328996023702</v>
      </c>
      <c r="AG242" s="546">
        <f t="shared" si="192"/>
        <v>294</v>
      </c>
      <c r="AH242" s="551">
        <f t="shared" si="181"/>
        <v>36.526241520159999</v>
      </c>
      <c r="AI242" s="553">
        <f>$AH242/PI()*SQRT('Hilfstabellen_Mat&amp;Bem'!f.Rd.3/'Hilfstabellen_Mat&amp;Bem'!$BD$30)</f>
        <v>0.58133318905018905</v>
      </c>
      <c r="AJ242" s="553">
        <f>0.5*(1+'Hilfstabellen_Mat&amp;Bem'!$BD$31*($AI242-0.3)+$AI242^2)</f>
        <v>0.68304079779814075</v>
      </c>
      <c r="AK242" s="550">
        <f t="shared" si="182"/>
        <v>0.9600206354416797</v>
      </c>
      <c r="AM242" s="551">
        <f t="shared" si="193"/>
        <v>82980.343645037021</v>
      </c>
      <c r="AQ242" s="546">
        <f t="shared" si="194"/>
        <v>294</v>
      </c>
      <c r="AR242" s="551">
        <f t="shared" si="183"/>
        <v>37.70450737564903</v>
      </c>
      <c r="AS242" s="553">
        <f>$AR242/PI()*SQRT('Hilfstabellen_Mat&amp;Bem'!f.Rd.3/'Hilfstabellen_Mat&amp;Bem'!$BD$30)</f>
        <v>0.600085872567937</v>
      </c>
      <c r="AT242" s="553">
        <f>0.5*(1+'Hilfstabellen_Mat&amp;Bem'!$BD$31*($AS242-0.3)+$AS242^2)</f>
        <v>0.69505582085620798</v>
      </c>
      <c r="AU242" s="550">
        <f t="shared" si="184"/>
        <v>0.95623437392531341</v>
      </c>
      <c r="AW242" s="551">
        <f t="shared" si="195"/>
        <v>82653.074344608394</v>
      </c>
      <c r="BA242" s="546">
        <f t="shared" si="196"/>
        <v>294</v>
      </c>
      <c r="BB242" s="551">
        <f t="shared" si="197"/>
        <v>38.88277323113806</v>
      </c>
      <c r="BC242" s="553">
        <f>$BB242/PI()*SQRT('Hilfstabellen_Mat&amp;Bem'!f.Rd.3/'Hilfstabellen_Mat&amp;Bem'!$BD$30)</f>
        <v>0.61883855608568494</v>
      </c>
      <c r="BD242" s="553">
        <f>0.5*(1+'Hilfstabellen_Mat&amp;Bem'!$BD$31*($BC242-0.3)+$BC242^2)</f>
        <v>0.70742250705339194</v>
      </c>
      <c r="BE242" s="550">
        <f t="shared" si="198"/>
        <v>0.95221408298594412</v>
      </c>
      <c r="BG242" s="551">
        <f t="shared" si="199"/>
        <v>82305.576476973059</v>
      </c>
      <c r="BK242" s="546">
        <f t="shared" si="200"/>
        <v>294</v>
      </c>
      <c r="BL242" s="551">
        <f t="shared" si="201"/>
        <v>40.06103908662709</v>
      </c>
      <c r="BM242" s="553">
        <f>$BL242/PI()*SQRT('Hilfstabellen_Mat&amp;Bem'!f.Rd.3/'Hilfstabellen_Mat&amp;Bem'!$BD$30)</f>
        <v>0.637591239603433</v>
      </c>
      <c r="BN242" s="553">
        <f>0.5*(1+'Hilfstabellen_Mat&amp;Bem'!$BD$31*($BM242-0.3)+$BM242^2)</f>
        <v>0.72014085638969272</v>
      </c>
      <c r="BO242" s="550">
        <f t="shared" si="202"/>
        <v>0.94793490013290804</v>
      </c>
      <c r="BQ242" s="551">
        <f t="shared" si="203"/>
        <v>81935.701027888033</v>
      </c>
      <c r="BU242" s="546">
        <f t="shared" si="204"/>
        <v>294</v>
      </c>
      <c r="BV242" s="551">
        <f t="shared" si="205"/>
        <v>41.239304942116128</v>
      </c>
      <c r="BW242" s="553">
        <f>$BV242/PI()*SQRT('Hilfstabellen_Mat&amp;Bem'!f.Rd.3/'Hilfstabellen_Mat&amp;Bem'!$BD$30)</f>
        <v>0.65634392312118106</v>
      </c>
      <c r="BX242" s="553">
        <f>0.5*(1+'Hilfstabellen_Mat&amp;Bem'!$BD$31*($BW242-0.3)+$BW242^2)</f>
        <v>0.73321086886511044</v>
      </c>
      <c r="BY242" s="550">
        <f t="shared" si="206"/>
        <v>0.9433694070165376</v>
      </c>
      <c r="CA242" s="551">
        <f t="shared" si="207"/>
        <v>81541.07806488144</v>
      </c>
      <c r="CE242" s="546">
        <f t="shared" si="208"/>
        <v>294</v>
      </c>
      <c r="CF242" s="551">
        <f t="shared" si="209"/>
        <v>42.417570797605151</v>
      </c>
      <c r="CG242" s="553">
        <f>CF242/PI()*SQRT('Hilfstabellen_Mat&amp;Bem'!f.Rd.3/'Hilfstabellen_Mat&amp;Bem'!$BD$30)</f>
        <v>0.67509660663892901</v>
      </c>
      <c r="CH242" s="553">
        <f>0.5*(1+'Hilfstabellen_Mat&amp;Bem'!$BD$31*(CG242-0.3)+CG242^2)</f>
        <v>0.74663254447964489</v>
      </c>
      <c r="CI242" s="550">
        <f t="shared" si="210"/>
        <v>0.93848746600709954</v>
      </c>
      <c r="CK242" s="551">
        <f t="shared" si="211"/>
        <v>81119.102611789654</v>
      </c>
      <c r="CO242" s="546">
        <f t="shared" si="212"/>
        <v>294</v>
      </c>
      <c r="CP242" s="551">
        <f t="shared" si="213"/>
        <v>43.595836653094189</v>
      </c>
      <c r="CQ242" s="553">
        <f>CP242/PI()*SQRT('Hilfstabellen_Mat&amp;Bem'!f.Rd.3/'Hilfstabellen_Mat&amp;Bem'!$BD$30)</f>
        <v>0.69384929015667707</v>
      </c>
      <c r="CR242" s="553">
        <f>0.5*(1+'Hilfstabellen_Mat&amp;Bem'!$BD$31*(CQ242-0.3)+CQ242^2)</f>
        <v>0.76040588323329628</v>
      </c>
      <c r="CS242" s="550">
        <f t="shared" si="214"/>
        <v>0.93325610865177189</v>
      </c>
      <c r="CU242" s="551">
        <f t="shared" si="215"/>
        <v>80666.92500742455</v>
      </c>
      <c r="CY242" s="546">
        <f t="shared" si="216"/>
        <v>294</v>
      </c>
      <c r="CZ242" s="551">
        <f t="shared" si="217"/>
        <v>44.774102508583219</v>
      </c>
      <c r="DA242" s="553">
        <f>CZ242/PI()*SQRT('Hilfstabellen_Mat&amp;Bem'!f.Rd.3/'Hilfstabellen_Mat&amp;Bem'!$BD$30)</f>
        <v>0.71260197367442513</v>
      </c>
      <c r="DB242" s="553">
        <f>0.5*(1+'Hilfstabellen_Mat&amp;Bem'!$BD$31*(DA242-0.3)+DA242^2)</f>
        <v>0.77453088512606427</v>
      </c>
      <c r="DC242" s="550">
        <f t="shared" si="218"/>
        <v>0.92763950951077456</v>
      </c>
      <c r="DE242" s="551">
        <f t="shared" si="219"/>
        <v>80181.448644073316</v>
      </c>
      <c r="DI242" s="546">
        <f t="shared" si="220"/>
        <v>294</v>
      </c>
      <c r="DJ242" s="551">
        <f t="shared" si="221"/>
        <v>45.95236836407225</v>
      </c>
      <c r="DK242" s="553">
        <f>DJ242/PI()*SQRT('Hilfstabellen_Mat&amp;Bem'!f.Rd.3/'Hilfstabellen_Mat&amp;Bem'!$BD$30)</f>
        <v>0.73135465719217319</v>
      </c>
      <c r="DL242" s="553">
        <f>0.5*(1+'Hilfstabellen_Mat&amp;Bem'!$BD$31*(DK242-0.3)+DK242^2)</f>
        <v>0.78900755015794921</v>
      </c>
      <c r="DM242" s="550">
        <f t="shared" si="222"/>
        <v>0.92159909007054375</v>
      </c>
      <c r="DO242" s="551">
        <f t="shared" si="223"/>
        <v>79659.338949337514</v>
      </c>
      <c r="DS242" s="546">
        <f t="shared" si="224"/>
        <v>294</v>
      </c>
      <c r="DT242" s="551">
        <f t="shared" si="225"/>
        <v>47.13063421956128</v>
      </c>
      <c r="DU242" s="553">
        <f>DT242/PI()*SQRT('Hilfstabellen_Mat&amp;Bem'!f.Rd.3/'Hilfstabellen_Mat&amp;Bem'!$BD$30)</f>
        <v>0.75010734070992113</v>
      </c>
      <c r="DV242" s="553">
        <f>0.5*(1+'Hilfstabellen_Mat&amp;Bem'!$BD$31*(DU242-0.3)+DU242^2)</f>
        <v>0.80383587832895098</v>
      </c>
      <c r="DW242" s="550">
        <f t="shared" si="226"/>
        <v>0.91509380977386245</v>
      </c>
      <c r="DY242" s="551">
        <f t="shared" si="227"/>
        <v>79097.048541613578</v>
      </c>
      <c r="EC242" s="546">
        <f t="shared" si="228"/>
        <v>294</v>
      </c>
      <c r="ED242" s="551">
        <f t="shared" si="229"/>
        <v>48.308900075050317</v>
      </c>
      <c r="EE242" s="553">
        <f>ED242/PI()*SQRT('Hilfstabellen_Mat&amp;Bem'!f.Rd.3/'Hilfstabellen_Mat&amp;Bem'!$BD$30)</f>
        <v>0.7688600242276693</v>
      </c>
      <c r="EF242" s="553">
        <f>0.5*(1+'Hilfstabellen_Mat&amp;Bem'!$BD$31*(EE242-0.3)+EE242^2)</f>
        <v>0.81901586963906947</v>
      </c>
      <c r="EG242" s="550">
        <f t="shared" si="230"/>
        <v>0.90808071298999993</v>
      </c>
      <c r="EI242" s="551">
        <f t="shared" si="231"/>
        <v>78490.864508003637</v>
      </c>
      <c r="EM242" s="546">
        <f t="shared" si="232"/>
        <v>294</v>
      </c>
      <c r="EN242" s="551">
        <f t="shared" si="233"/>
        <v>49.487165930539348</v>
      </c>
      <c r="EO242" s="553">
        <f>EN242/PI()*SQRT('Hilfstabellen_Mat&amp;Bem'!f.Rd.3/'Hilfstabellen_Mat&amp;Bem'!$BD$30)</f>
        <v>0.78761270774541725</v>
      </c>
      <c r="EP242" s="553">
        <f>0.5*(1+'Hilfstabellen_Mat&amp;Bem'!$BD$31*(EO242-0.3)+EO242^2)</f>
        <v>0.8345475240883049</v>
      </c>
      <c r="EQ242" s="550">
        <f t="shared" si="234"/>
        <v>0.90051580877540705</v>
      </c>
      <c r="ES242" s="551">
        <f t="shared" si="235"/>
        <v>77836.984447311086</v>
      </c>
    </row>
    <row r="243" spans="3:149">
      <c r="C243" s="546">
        <v>295</v>
      </c>
      <c r="D243" s="551">
        <f t="shared" si="185"/>
        <v>32.879608550460041</v>
      </c>
      <c r="E243" s="553">
        <f>$D243/PI()*SQRT('Hilfstabellen_Mat&amp;Bem'!f.Rd.3/'Hilfstabellen_Mat&amp;Bem'!$BD$30)</f>
        <v>0.52329522277322638</v>
      </c>
      <c r="F243" s="553">
        <f>0.5*(1+'Hilfstabellen_Mat&amp;Bem'!$BD$31*($E243-0.3)+$E243^2)</f>
        <v>0.6480837062273016</v>
      </c>
      <c r="G243" s="550">
        <f t="shared" si="186"/>
        <v>0.97048599139504843</v>
      </c>
      <c r="I243" s="551">
        <f t="shared" si="187"/>
        <v>84456.543401154093</v>
      </c>
      <c r="M243" s="546">
        <f t="shared" si="188"/>
        <v>295</v>
      </c>
      <c r="N243" s="551">
        <f t="shared" si="177"/>
        <v>34.053880284405047</v>
      </c>
      <c r="O243" s="553">
        <f>$N243/PI()*SQRT('Hilfstabellen_Mat&amp;Bem'!f.Rd.3/'Hilfstabellen_Mat&amp;Bem'!$BD$30)</f>
        <v>0.54198433787227029</v>
      </c>
      <c r="P243" s="553">
        <f>0.5*(1+'Hilfstabellen_Mat&amp;Bem'!$BD$31*($O243-0.3)+$O243^2)</f>
        <v>0.65897272814303509</v>
      </c>
      <c r="Q243" s="550">
        <f t="shared" si="178"/>
        <v>0.9673019050128836</v>
      </c>
      <c r="S243" s="551">
        <f t="shared" si="189"/>
        <v>84179.448283746198</v>
      </c>
      <c r="W243" s="546">
        <f t="shared" si="190"/>
        <v>295</v>
      </c>
      <c r="X243" s="551">
        <f t="shared" si="179"/>
        <v>35.228152018350045</v>
      </c>
      <c r="Y243" s="553">
        <f>$X243/PI()*SQRT('Hilfstabellen_Mat&amp;Bem'!f.Rd.3/'Hilfstabellen_Mat&amp;Bem'!$BD$30)</f>
        <v>0.56067345297131399</v>
      </c>
      <c r="Z243" s="553">
        <f>0.5*(1+'Hilfstabellen_Mat&amp;Bem'!$BD$31*($Y243-0.3)+$Y243^2)</f>
        <v>0.67021103308195384</v>
      </c>
      <c r="AA243" s="550">
        <f t="shared" si="180"/>
        <v>0.96394786349167327</v>
      </c>
      <c r="AC243" s="551">
        <f t="shared" si="191"/>
        <v>83887.562820362873</v>
      </c>
      <c r="AG243" s="546">
        <f t="shared" si="192"/>
        <v>295</v>
      </c>
      <c r="AH243" s="551">
        <f t="shared" si="181"/>
        <v>36.40242375229505</v>
      </c>
      <c r="AI243" s="553">
        <f>$AH243/PI()*SQRT('Hilfstabellen_Mat&amp;Bem'!f.Rd.3/'Hilfstabellen_Mat&amp;Bem'!$BD$30)</f>
        <v>0.57936256807035791</v>
      </c>
      <c r="AJ243" s="553">
        <f>0.5*(1+'Hilfstabellen_Mat&amp;Bem'!$BD$31*($AI243-0.3)+$AI243^2)</f>
        <v>0.68179862104405797</v>
      </c>
      <c r="AK243" s="550">
        <f t="shared" si="182"/>
        <v>0.96040586218432511</v>
      </c>
      <c r="AM243" s="551">
        <f t="shared" si="193"/>
        <v>83579.320156590897</v>
      </c>
      <c r="AQ243" s="546">
        <f t="shared" si="194"/>
        <v>295</v>
      </c>
      <c r="AR243" s="551">
        <f t="shared" si="183"/>
        <v>37.576695486240048</v>
      </c>
      <c r="AS243" s="553">
        <f>$AR243/PI()*SQRT('Hilfstabellen_Mat&amp;Bem'!f.Rd.3/'Hilfstabellen_Mat&amp;Bem'!$BD$30)</f>
        <v>0.5980516831694016</v>
      </c>
      <c r="AT243" s="553">
        <f>0.5*(1+'Hilfstabellen_Mat&amp;Bem'!$BD$31*($AS243-0.3)+$AS243^2)</f>
        <v>0.69373549202934726</v>
      </c>
      <c r="AU243" s="550">
        <f t="shared" si="184"/>
        <v>0.95665598205862867</v>
      </c>
      <c r="AW243" s="551">
        <f t="shared" si="195"/>
        <v>83252.986838652156</v>
      </c>
      <c r="BA243" s="546">
        <f t="shared" si="196"/>
        <v>295</v>
      </c>
      <c r="BB243" s="551">
        <f t="shared" si="197"/>
        <v>38.750967220185053</v>
      </c>
      <c r="BC243" s="553">
        <f>$BB243/PI()*SQRT('Hilfstabellen_Mat&amp;Bem'!f.Rd.3/'Hilfstabellen_Mat&amp;Bem'!$BD$30)</f>
        <v>0.61674079826844541</v>
      </c>
      <c r="BD243" s="553">
        <f>0.5*(1+'Hilfstabellen_Mat&amp;Bem'!$BD$31*($BC243-0.3)+$BC243^2)</f>
        <v>0.70602164603782191</v>
      </c>
      <c r="BE243" s="550">
        <f t="shared" si="198"/>
        <v>0.95267619172049567</v>
      </c>
      <c r="BG243" s="551">
        <f t="shared" si="199"/>
        <v>82906.645584476137</v>
      </c>
      <c r="BK243" s="546">
        <f t="shared" si="200"/>
        <v>295</v>
      </c>
      <c r="BL243" s="551">
        <f t="shared" si="201"/>
        <v>39.925238954130052</v>
      </c>
      <c r="BM243" s="553">
        <f>$BL243/PI()*SQRT('Hilfstabellen_Mat&amp;Bem'!f.Rd.3/'Hilfstabellen_Mat&amp;Bem'!$BD$30)</f>
        <v>0.63542991336748922</v>
      </c>
      <c r="BN243" s="553">
        <f>0.5*(1+'Hilfstabellen_Mat&amp;Bem'!$BD$31*($BM243-0.3)+$BM243^2)</f>
        <v>0.71865708306948184</v>
      </c>
      <c r="BO243" s="550">
        <f t="shared" si="202"/>
        <v>0.9484421482942369</v>
      </c>
      <c r="BQ243" s="551">
        <f t="shared" si="203"/>
        <v>82538.17795530596</v>
      </c>
      <c r="BU243" s="546">
        <f t="shared" si="204"/>
        <v>295</v>
      </c>
      <c r="BV243" s="551">
        <f t="shared" si="205"/>
        <v>41.09951068807505</v>
      </c>
      <c r="BW243" s="553">
        <f>$BV243/PI()*SQRT('Hilfstabellen_Mat&amp;Bem'!f.Rd.3/'Hilfstabellen_Mat&amp;Bem'!$BD$30)</f>
        <v>0.65411902846653291</v>
      </c>
      <c r="BX243" s="553">
        <f>0.5*(1+'Hilfstabellen_Mat&amp;Bem'!$BD$31*($BW243-0.3)+$BW243^2)</f>
        <v>0.73164180312432714</v>
      </c>
      <c r="BY243" s="550">
        <f t="shared" si="206"/>
        <v>0.94392700759369352</v>
      </c>
      <c r="CA243" s="551">
        <f t="shared" si="207"/>
        <v>82145.247835841175</v>
      </c>
      <c r="CE243" s="546">
        <f t="shared" si="208"/>
        <v>295</v>
      </c>
      <c r="CF243" s="551">
        <f t="shared" si="209"/>
        <v>42.273782422020055</v>
      </c>
      <c r="CG243" s="553">
        <f>CF243/PI()*SQRT('Hilfstabellen_Mat&amp;Bem'!f.Rd.3/'Hilfstabellen_Mat&amp;Bem'!$BD$30)</f>
        <v>0.67280814356557683</v>
      </c>
      <c r="CH243" s="553">
        <f>0.5*(1+'Hilfstabellen_Mat&amp;Bem'!$BD$31*(CG243-0.3)+CG243^2)</f>
        <v>0.74497580620235782</v>
      </c>
      <c r="CI243" s="550">
        <f t="shared" si="210"/>
        <v>0.93910125928213295</v>
      </c>
      <c r="CK243" s="551">
        <f t="shared" si="211"/>
        <v>81725.287089027624</v>
      </c>
      <c r="CO243" s="546">
        <f t="shared" si="212"/>
        <v>295</v>
      </c>
      <c r="CP243" s="551">
        <f t="shared" si="213"/>
        <v>43.448054155965053</v>
      </c>
      <c r="CQ243" s="553">
        <f>CP243/PI()*SQRT('Hilfstabellen_Mat&amp;Bem'!f.Rd.3/'Hilfstabellen_Mat&amp;Bem'!$BD$30)</f>
        <v>0.69149725866462053</v>
      </c>
      <c r="CR243" s="553">
        <f>0.5*(1+'Hilfstabellen_Mat&amp;Bem'!$BD$31*(CQ243-0.3)+CQ243^2)</f>
        <v>0.75865909230357365</v>
      </c>
      <c r="CS243" s="550">
        <f t="shared" si="214"/>
        <v>0.93393260969114933</v>
      </c>
      <c r="CU243" s="551">
        <f t="shared" si="215"/>
        <v>81275.485358372272</v>
      </c>
      <c r="CY243" s="546">
        <f t="shared" si="216"/>
        <v>295</v>
      </c>
      <c r="CZ243" s="551">
        <f t="shared" si="217"/>
        <v>44.622325889910051</v>
      </c>
      <c r="DA243" s="553">
        <f>CZ243/PI()*SQRT('Hilfstabellen_Mat&amp;Bem'!f.Rd.3/'Hilfstabellen_Mat&amp;Bem'!$BD$30)</f>
        <v>0.71018637376366422</v>
      </c>
      <c r="DB243" s="553">
        <f>0.5*(1+'Hilfstabellen_Mat&amp;Bem'!$BD$31*(DA243-0.3)+DA243^2)</f>
        <v>0.77269166142797463</v>
      </c>
      <c r="DC243" s="550">
        <f t="shared" si="218"/>
        <v>0.9283859438422617</v>
      </c>
      <c r="DE243" s="551">
        <f t="shared" si="219"/>
        <v>80792.786762872827</v>
      </c>
      <c r="DI243" s="546">
        <f t="shared" si="220"/>
        <v>295</v>
      </c>
      <c r="DJ243" s="551">
        <f t="shared" si="221"/>
        <v>45.796597623855057</v>
      </c>
      <c r="DK243" s="553">
        <f>DJ243/PI()*SQRT('Hilfstabellen_Mat&amp;Bem'!f.Rd.3/'Hilfstabellen_Mat&amp;Bem'!$BD$30)</f>
        <v>0.72887548886270814</v>
      </c>
      <c r="DL243" s="553">
        <f>0.5*(1+'Hilfstabellen_Mat&amp;Bem'!$BD$31*(DK243-0.3)+DK243^2)</f>
        <v>0.78707351357556132</v>
      </c>
      <c r="DM243" s="550">
        <f t="shared" si="222"/>
        <v>0.92242340892074337</v>
      </c>
      <c r="DO243" s="551">
        <f t="shared" si="223"/>
        <v>80273.897161327695</v>
      </c>
      <c r="DS243" s="546">
        <f t="shared" si="224"/>
        <v>295</v>
      </c>
      <c r="DT243" s="551">
        <f t="shared" si="225"/>
        <v>46.970869357800055</v>
      </c>
      <c r="DU243" s="553">
        <f>DT243/PI()*SQRT('Hilfstabellen_Mat&amp;Bem'!f.Rd.3/'Hilfstabellen_Mat&amp;Bem'!$BD$30)</f>
        <v>0.74756460396175184</v>
      </c>
      <c r="DV243" s="553">
        <f>0.5*(1+'Hilfstabellen_Mat&amp;Bem'!$BD$31*(DU243-0.3)+DU243^2)</f>
        <v>0.80180464874633306</v>
      </c>
      <c r="DW243" s="550">
        <f t="shared" si="226"/>
        <v>0.91600467339476555</v>
      </c>
      <c r="DY243" s="551">
        <f t="shared" si="227"/>
        <v>79715.30670217947</v>
      </c>
      <c r="EC243" s="546">
        <f t="shared" si="228"/>
        <v>295</v>
      </c>
      <c r="ED243" s="551">
        <f t="shared" si="229"/>
        <v>48.14514109174506</v>
      </c>
      <c r="EE243" s="553">
        <f>ED243/PI()*SQRT('Hilfstabellen_Mat&amp;Bem'!f.Rd.3/'Hilfstabellen_Mat&amp;Bem'!$BD$30)</f>
        <v>0.76625371906079576</v>
      </c>
      <c r="EF243" s="553">
        <f>0.5*(1+'Hilfstabellen_Mat&amp;Bem'!$BD$31*(EE243-0.3)+EE243^2)</f>
        <v>0.81688506694029028</v>
      </c>
      <c r="EG243" s="550">
        <f t="shared" si="230"/>
        <v>0.90908742765099937</v>
      </c>
      <c r="EI243" s="551">
        <f t="shared" si="231"/>
        <v>79113.333391328226</v>
      </c>
      <c r="EM243" s="546">
        <f t="shared" si="232"/>
        <v>295</v>
      </c>
      <c r="EN243" s="551">
        <f t="shared" si="233"/>
        <v>49.319412825690058</v>
      </c>
      <c r="EO243" s="553">
        <f>EN243/PI()*SQRT('Hilfstabellen_Mat&amp;Bem'!f.Rd.3/'Hilfstabellen_Mat&amp;Bem'!$BD$30)</f>
        <v>0.78494283415983945</v>
      </c>
      <c r="EP243" s="553">
        <f>0.5*(1+'Hilfstabellen_Mat&amp;Bem'!$BD$31*(EO243-0.3)+EO243^2)</f>
        <v>0.83231476815743266</v>
      </c>
      <c r="EQ243" s="550">
        <f t="shared" si="234"/>
        <v>0.90162820054868553</v>
      </c>
      <c r="ES243" s="551">
        <f t="shared" si="235"/>
        <v>78464.194152749362</v>
      </c>
    </row>
    <row r="244" spans="3:149">
      <c r="C244" s="546">
        <v>296</v>
      </c>
      <c r="D244" s="551">
        <f t="shared" si="185"/>
        <v>32.768528791843622</v>
      </c>
      <c r="E244" s="553">
        <f>$D244/PI()*SQRT('Hilfstabellen_Mat&amp;Bem'!f.Rd.3/'Hilfstabellen_Mat&amp;Bem'!$BD$30)</f>
        <v>0.52152733350710057</v>
      </c>
      <c r="F244" s="553">
        <f>0.5*(1+'Hilfstabellen_Mat&amp;Bem'!$BD$31*($E244-0.3)+$E244^2)</f>
        <v>0.64707174647286836</v>
      </c>
      <c r="G244" s="550">
        <f t="shared" si="186"/>
        <v>0.97077899161300896</v>
      </c>
      <c r="I244" s="551">
        <f t="shared" si="187"/>
        <v>85055.772129165387</v>
      </c>
      <c r="M244" s="546">
        <f t="shared" si="188"/>
        <v>296</v>
      </c>
      <c r="N244" s="551">
        <f t="shared" si="177"/>
        <v>33.938833391552322</v>
      </c>
      <c r="O244" s="553">
        <f>$N244/PI()*SQRT('Hilfstabellen_Mat&amp;Bem'!f.Rd.3/'Hilfstabellen_Mat&amp;Bem'!$BD$30)</f>
        <v>0.54015330970378272</v>
      </c>
      <c r="P244" s="553">
        <f>0.5*(1+'Hilfstabellen_Mat&amp;Bem'!$BD$31*($O244-0.3)+$O244^2)</f>
        <v>0.65789046447716448</v>
      </c>
      <c r="Q244" s="550">
        <f t="shared" si="178"/>
        <v>0.96762109330059842</v>
      </c>
      <c r="S244" s="551">
        <f t="shared" si="189"/>
        <v>84779.089710625238</v>
      </c>
      <c r="W244" s="546">
        <f t="shared" si="190"/>
        <v>296</v>
      </c>
      <c r="X244" s="551">
        <f t="shared" si="179"/>
        <v>35.109137991261022</v>
      </c>
      <c r="Y244" s="553">
        <f>$X244/PI()*SQRT('Hilfstabellen_Mat&amp;Bem'!f.Rd.3/'Hilfstabellen_Mat&amp;Bem'!$BD$30)</f>
        <v>0.55877928590046488</v>
      </c>
      <c r="Z244" s="553">
        <f>0.5*(1+'Hilfstabellen_Mat&amp;Bem'!$BD$31*($Y244-0.3)+$Y244^2)</f>
        <v>0.66905610947074001</v>
      </c>
      <c r="AA244" s="550">
        <f t="shared" si="180"/>
        <v>0.96429604420123838</v>
      </c>
      <c r="AC244" s="551">
        <f t="shared" si="191"/>
        <v>84487.762208735701</v>
      </c>
      <c r="AG244" s="546">
        <f t="shared" si="192"/>
        <v>296</v>
      </c>
      <c r="AH244" s="551">
        <f t="shared" si="181"/>
        <v>36.27944259096973</v>
      </c>
      <c r="AI244" s="553">
        <f>$AH244/PI()*SQRT('Hilfstabellen_Mat&amp;Bem'!f.Rd.3/'Hilfstabellen_Mat&amp;Bem'!$BD$30)</f>
        <v>0.57740526209714715</v>
      </c>
      <c r="AJ244" s="553">
        <f>0.5*(1+'Hilfstabellen_Mat&amp;Bem'!$BD$31*($AI244-0.3)+$AI244^2)</f>
        <v>0.68056868145359495</v>
      </c>
      <c r="AK244" s="550">
        <f t="shared" si="182"/>
        <v>0.96078620006859328</v>
      </c>
      <c r="AM244" s="551">
        <f t="shared" si="193"/>
        <v>84180.243705209868</v>
      </c>
      <c r="AQ244" s="546">
        <f t="shared" si="194"/>
        <v>296</v>
      </c>
      <c r="AR244" s="551">
        <f t="shared" si="183"/>
        <v>37.449747190678423</v>
      </c>
      <c r="AS244" s="553">
        <f>$AR244/PI()*SQRT('Hilfstabellen_Mat&amp;Bem'!f.Rd.3/'Hilfstabellen_Mat&amp;Bem'!$BD$30)</f>
        <v>0.5960312382938292</v>
      </c>
      <c r="AT244" s="553">
        <f>0.5*(1+'Hilfstabellen_Mat&amp;Bem'!$BD$31*($AS244-0.3)+$AS244^2)</f>
        <v>0.69242818042572918</v>
      </c>
      <c r="AU244" s="550">
        <f t="shared" si="184"/>
        <v>0.95707204747151975</v>
      </c>
      <c r="AW244" s="551">
        <f t="shared" si="195"/>
        <v>83854.824511264669</v>
      </c>
      <c r="BA244" s="546">
        <f t="shared" si="196"/>
        <v>296</v>
      </c>
      <c r="BB244" s="551">
        <f t="shared" si="197"/>
        <v>38.62005179038713</v>
      </c>
      <c r="BC244" s="553">
        <f>$BB244/PI()*SQRT('Hilfstabellen_Mat&amp;Bem'!f.Rd.3/'Hilfstabellen_Mat&amp;Bem'!$BD$30)</f>
        <v>0.61465721449051147</v>
      </c>
      <c r="BD244" s="553">
        <f>0.5*(1+'Hilfstabellen_Mat&amp;Bem'!$BD$31*($BC244-0.3)+$BC244^2)</f>
        <v>0.70463460638714293</v>
      </c>
      <c r="BE244" s="550">
        <f t="shared" si="198"/>
        <v>0.95313200966781142</v>
      </c>
      <c r="BG244" s="551">
        <f t="shared" si="199"/>
        <v>83509.614159054967</v>
      </c>
      <c r="BK244" s="546">
        <f t="shared" si="200"/>
        <v>296</v>
      </c>
      <c r="BL244" s="551">
        <f t="shared" si="201"/>
        <v>39.790356390095823</v>
      </c>
      <c r="BM244" s="553">
        <f>$BL244/PI()*SQRT('Hilfstabellen_Mat&amp;Bem'!f.Rd.3/'Hilfstabellen_Mat&amp;Bem'!$BD$30)</f>
        <v>0.63328319068719352</v>
      </c>
      <c r="BN244" s="553">
        <f>0.5*(1+'Hilfstabellen_Mat&amp;Bem'!$BD$31*($BM244-0.3)+$BM244^2)</f>
        <v>0.71718795933783575</v>
      </c>
      <c r="BO244" s="550">
        <f t="shared" si="202"/>
        <v>0.94894225052041625</v>
      </c>
      <c r="BQ244" s="551">
        <f t="shared" si="203"/>
        <v>83142.524221596788</v>
      </c>
      <c r="BU244" s="546">
        <f t="shared" si="204"/>
        <v>296</v>
      </c>
      <c r="BV244" s="551">
        <f t="shared" si="205"/>
        <v>40.960660989804531</v>
      </c>
      <c r="BW244" s="553">
        <f>$BV244/PI()*SQRT('Hilfstabellen_Mat&amp;Bem'!f.Rd.3/'Hilfstabellen_Mat&amp;Bem'!$BD$30)</f>
        <v>0.65190916688387579</v>
      </c>
      <c r="BX244" s="553">
        <f>0.5*(1+'Hilfstabellen_Mat&amp;Bem'!$BD$31*($BW244-0.3)+$BW244^2)</f>
        <v>0.7300882392778083</v>
      </c>
      <c r="BY244" s="550">
        <f t="shared" si="206"/>
        <v>0.94447648618266711</v>
      </c>
      <c r="CA244" s="551">
        <f t="shared" si="207"/>
        <v>82751.251813380557</v>
      </c>
      <c r="CE244" s="546">
        <f t="shared" si="208"/>
        <v>296</v>
      </c>
      <c r="CF244" s="551">
        <f t="shared" si="209"/>
        <v>42.130965589513224</v>
      </c>
      <c r="CG244" s="553">
        <f>CF244/PI()*SQRT('Hilfstabellen_Mat&amp;Bem'!f.Rd.3/'Hilfstabellen_Mat&amp;Bem'!$BD$30)</f>
        <v>0.67053514308055784</v>
      </c>
      <c r="CH244" s="553">
        <f>0.5*(1+'Hilfstabellen_Mat&amp;Bem'!$BD$31*(CG244-0.3)+CG244^2)</f>
        <v>0.74333544620705994</v>
      </c>
      <c r="CI244" s="550">
        <f t="shared" si="210"/>
        <v>0.93970581923846619</v>
      </c>
      <c r="CK244" s="551">
        <f t="shared" si="211"/>
        <v>82333.265058397446</v>
      </c>
      <c r="CO244" s="546">
        <f t="shared" si="212"/>
        <v>296</v>
      </c>
      <c r="CP244" s="551">
        <f t="shared" si="213"/>
        <v>43.301270189221931</v>
      </c>
      <c r="CQ244" s="553">
        <f>CP244/PI()*SQRT('Hilfstabellen_Mat&amp;Bem'!f.Rd.3/'Hilfstabellen_Mat&amp;Bem'!$BD$30)</f>
        <v>0.68916111927724011</v>
      </c>
      <c r="CR244" s="553">
        <f>0.5*(1+'Hilfstabellen_Mat&amp;Bem'!$BD$31*(CQ244-0.3)+CQ244^2)</f>
        <v>0.75692958012559108</v>
      </c>
      <c r="CS244" s="550">
        <f t="shared" si="214"/>
        <v>0.9345986165714808</v>
      </c>
      <c r="CU244" s="551">
        <f t="shared" si="215"/>
        <v>81885.792389526861</v>
      </c>
      <c r="CY244" s="546">
        <f t="shared" si="216"/>
        <v>296</v>
      </c>
      <c r="CZ244" s="551">
        <f t="shared" si="217"/>
        <v>44.471574788930631</v>
      </c>
      <c r="DA244" s="553">
        <f>CZ244/PI()*SQRT('Hilfstabellen_Mat&amp;Bem'!f.Rd.3/'Hilfstabellen_Mat&amp;Bem'!$BD$30)</f>
        <v>0.70778709547392227</v>
      </c>
      <c r="DB244" s="553">
        <f>0.5*(1+'Hilfstabellen_Mat&amp;Bem'!$BD$31*(DA244-0.3)+DA244^2)</f>
        <v>0.77087064103340164</v>
      </c>
      <c r="DC244" s="550">
        <f t="shared" si="218"/>
        <v>0.92912046065805443</v>
      </c>
      <c r="DE244" s="551">
        <f t="shared" si="219"/>
        <v>81405.818281016094</v>
      </c>
      <c r="DI244" s="546">
        <f t="shared" si="220"/>
        <v>296</v>
      </c>
      <c r="DJ244" s="551">
        <f t="shared" si="221"/>
        <v>45.641879388639332</v>
      </c>
      <c r="DK244" s="553">
        <f>DJ244/PI()*SQRT('Hilfstabellen_Mat&amp;Bem'!f.Rd.3/'Hilfstabellen_Mat&amp;Bem'!$BD$30)</f>
        <v>0.72641307167060443</v>
      </c>
      <c r="DL244" s="553">
        <f>0.5*(1+'Hilfstabellen_Mat&amp;Bem'!$BD$31*(DK244-0.3)+DK244^2)</f>
        <v>0.78515862893049149</v>
      </c>
      <c r="DM244" s="550">
        <f t="shared" si="222"/>
        <v>0.92323421420585083</v>
      </c>
      <c r="DO244" s="551">
        <f t="shared" si="223"/>
        <v>80890.088911859828</v>
      </c>
      <c r="DS244" s="546">
        <f t="shared" si="224"/>
        <v>296</v>
      </c>
      <c r="DT244" s="551">
        <f t="shared" si="225"/>
        <v>46.812183988348032</v>
      </c>
      <c r="DU244" s="553">
        <f>DT244/PI()*SQRT('Hilfstabellen_Mat&amp;Bem'!f.Rd.3/'Hilfstabellen_Mat&amp;Bem'!$BD$30)</f>
        <v>0.74503904786728659</v>
      </c>
      <c r="DV244" s="553">
        <f>0.5*(1+'Hilfstabellen_Mat&amp;Bem'!$BD$31*(DU244-0.3)+DU244^2)</f>
        <v>0.79979354381686085</v>
      </c>
      <c r="DW244" s="550">
        <f t="shared" si="226"/>
        <v>0.91690024959756122</v>
      </c>
      <c r="DY244" s="551">
        <f t="shared" si="227"/>
        <v>80335.132268739922</v>
      </c>
      <c r="EC244" s="546">
        <f t="shared" si="228"/>
        <v>296</v>
      </c>
      <c r="ED244" s="551">
        <f t="shared" si="229"/>
        <v>47.982488588056732</v>
      </c>
      <c r="EE244" s="553">
        <f>ED244/PI()*SQRT('Hilfstabellen_Mat&amp;Bem'!f.Rd.3/'Hilfstabellen_Mat&amp;Bem'!$BD$30)</f>
        <v>0.76366502406396874</v>
      </c>
      <c r="EF244" s="553">
        <f>0.5*(1+'Hilfstabellen_Mat&amp;Bem'!$BD$31*(EE244-0.3)+EE244^2)</f>
        <v>0.8147753856925094</v>
      </c>
      <c r="EG244" s="550">
        <f t="shared" si="230"/>
        <v>0.91007690612455949</v>
      </c>
      <c r="EI244" s="551">
        <f t="shared" si="231"/>
        <v>79737.2982070094</v>
      </c>
      <c r="EM244" s="546">
        <f t="shared" si="232"/>
        <v>296</v>
      </c>
      <c r="EN244" s="551">
        <f t="shared" si="233"/>
        <v>49.152793187765432</v>
      </c>
      <c r="EO244" s="553">
        <f>EN244/PI()*SQRT('Hilfstabellen_Mat&amp;Bem'!f.Rd.3/'Hilfstabellen_Mat&amp;Bem'!$BD$30)</f>
        <v>0.7822910002606509</v>
      </c>
      <c r="EP244" s="553">
        <f>0.5*(1+'Hilfstabellen_Mat&amp;Bem'!$BD$31*(EO244-0.3)+EO244^2)</f>
        <v>0.83010415455743747</v>
      </c>
      <c r="EQ244" s="550">
        <f t="shared" si="234"/>
        <v>0.90272124691649669</v>
      </c>
      <c r="ES244" s="551">
        <f t="shared" si="235"/>
        <v>79092.824769835774</v>
      </c>
    </row>
    <row r="245" spans="3:149">
      <c r="C245" s="546">
        <v>297</v>
      </c>
      <c r="D245" s="551">
        <f t="shared" si="185"/>
        <v>32.658197045069734</v>
      </c>
      <c r="E245" s="553">
        <f>$D245/PI()*SQRT('Hilfstabellen_Mat&amp;Bem'!f.Rd.3/'Hilfstabellen_Mat&amp;Bem'!$BD$30)</f>
        <v>0.51977134921919788</v>
      </c>
      <c r="F245" s="553">
        <f>0.5*(1+'Hilfstabellen_Mat&amp;Bem'!$BD$31*($E245-0.3)+$E245^2)</f>
        <v>0.64606969519553259</v>
      </c>
      <c r="G245" s="550">
        <f t="shared" si="186"/>
        <v>0.97106867152038623</v>
      </c>
      <c r="I245" s="551">
        <f t="shared" si="187"/>
        <v>85656.996446141755</v>
      </c>
      <c r="M245" s="546">
        <f t="shared" si="188"/>
        <v>297</v>
      </c>
      <c r="N245" s="551">
        <f t="shared" si="177"/>
        <v>33.824561225250804</v>
      </c>
      <c r="O245" s="553">
        <f>$N245/PI()*SQRT('Hilfstabellen_Mat&amp;Bem'!f.Rd.3/'Hilfstabellen_Mat&amp;Bem'!$BD$30)</f>
        <v>0.53833461169131214</v>
      </c>
      <c r="P245" s="553">
        <f>0.5*(1+'Hilfstabellen_Mat&amp;Bem'!$BD$31*($O245-0.3)+$O245^2)</f>
        <v>0.65681880765698364</v>
      </c>
      <c r="Q245" s="550">
        <f t="shared" si="178"/>
        <v>0.96793653441757199</v>
      </c>
      <c r="S245" s="551">
        <f t="shared" si="189"/>
        <v>85380.713764439613</v>
      </c>
      <c r="W245" s="546">
        <f t="shared" si="190"/>
        <v>297</v>
      </c>
      <c r="X245" s="551">
        <f t="shared" si="179"/>
        <v>34.990925405431859</v>
      </c>
      <c r="Y245" s="553">
        <f>$X245/PI()*SQRT('Hilfstabellen_Mat&amp;Bem'!f.Rd.3/'Hilfstabellen_Mat&amp;Bem'!$BD$30)</f>
        <v>0.55689787416342629</v>
      </c>
      <c r="Z245" s="553">
        <f>0.5*(1+'Hilfstabellen_Mat&amp;Bem'!$BD$31*($Y245-0.3)+$Y245^2)</f>
        <v>0.66791251483204306</v>
      </c>
      <c r="AA245" s="550">
        <f t="shared" si="180"/>
        <v>0.96463998993095157</v>
      </c>
      <c r="AC245" s="551">
        <f t="shared" si="191"/>
        <v>85089.928871819313</v>
      </c>
      <c r="AG245" s="546">
        <f t="shared" si="192"/>
        <v>297</v>
      </c>
      <c r="AH245" s="551">
        <f t="shared" si="181"/>
        <v>36.157289585612922</v>
      </c>
      <c r="AI245" s="553">
        <f>$AH245/PI()*SQRT('Hilfstabellen_Mat&amp;Bem'!f.Rd.3/'Hilfstabellen_Mat&amp;Bem'!$BD$30)</f>
        <v>0.57546113663554044</v>
      </c>
      <c r="AJ245" s="553">
        <f>0.5*(1+'Hilfstabellen_Mat&amp;Bem'!$BD$31*($AI245-0.3)+$AI245^2)</f>
        <v>0.67935081672071107</v>
      </c>
      <c r="AK245" s="550">
        <f t="shared" si="182"/>
        <v>0.96116174516064523</v>
      </c>
      <c r="AM245" s="551">
        <f t="shared" si="193"/>
        <v>84783.116378875362</v>
      </c>
      <c r="AQ245" s="546">
        <f t="shared" si="194"/>
        <v>297</v>
      </c>
      <c r="AR245" s="551">
        <f t="shared" si="183"/>
        <v>37.323653765793992</v>
      </c>
      <c r="AS245" s="553">
        <f>$AR245/PI()*SQRT('Hilfstabellen_Mat&amp;Bem'!f.Rd.3/'Hilfstabellen_Mat&amp;Bem'!$BD$30)</f>
        <v>0.59402439910765481</v>
      </c>
      <c r="AT245" s="553">
        <f>0.5*(1+'Hilfstabellen_Mat&amp;Bem'!$BD$31*($AS245-0.3)+$AS245^2)</f>
        <v>0.69113371332298801</v>
      </c>
      <c r="AU245" s="550">
        <f t="shared" si="184"/>
        <v>0.95748268205771103</v>
      </c>
      <c r="AW245" s="551">
        <f t="shared" si="195"/>
        <v>84458.589901628628</v>
      </c>
      <c r="BA245" s="546">
        <f t="shared" si="196"/>
        <v>297</v>
      </c>
      <c r="BB245" s="551">
        <f t="shared" si="197"/>
        <v>38.490017945975048</v>
      </c>
      <c r="BC245" s="553">
        <f>$BB245/PI()*SQRT('Hilfstabellen_Mat&amp;Bem'!f.Rd.3/'Hilfstabellen_Mat&amp;Bem'!$BD$30)</f>
        <v>0.61258766157976896</v>
      </c>
      <c r="BD245" s="553">
        <f>0.5*(1+'Hilfstabellen_Mat&amp;Bem'!$BD$31*($BC245-0.3)+$BC245^2)</f>
        <v>0.70326120463887321</v>
      </c>
      <c r="BE245" s="550">
        <f t="shared" si="198"/>
        <v>0.95358166712411119</v>
      </c>
      <c r="BG245" s="551">
        <f t="shared" si="199"/>
        <v>84114.485275350729</v>
      </c>
      <c r="BK245" s="546">
        <f t="shared" si="200"/>
        <v>297</v>
      </c>
      <c r="BL245" s="551">
        <f t="shared" si="201"/>
        <v>39.65638212615611</v>
      </c>
      <c r="BM245" s="553">
        <f>$BL245/PI()*SQRT('Hilfstabellen_Mat&amp;Bem'!f.Rd.3/'Hilfstabellen_Mat&amp;Bem'!$BD$30)</f>
        <v>0.63115092405188322</v>
      </c>
      <c r="BN245" s="553">
        <f>0.5*(1+'Hilfstabellen_Mat&amp;Bem'!$BD$31*($BM245-0.3)+$BM245^2)</f>
        <v>0.71573329066836722</v>
      </c>
      <c r="BO245" s="550">
        <f t="shared" si="202"/>
        <v>0.94943535841806248</v>
      </c>
      <c r="BQ245" s="551">
        <f t="shared" si="203"/>
        <v>83748.743530698877</v>
      </c>
      <c r="BU245" s="546">
        <f t="shared" si="204"/>
        <v>297</v>
      </c>
      <c r="BV245" s="551">
        <f t="shared" si="205"/>
        <v>40.822746306337173</v>
      </c>
      <c r="BW245" s="553">
        <f>$BV245/PI()*SQRT('Hilfstabellen_Mat&amp;Bem'!f.Rd.3/'Hilfstabellen_Mat&amp;Bem'!$BD$30)</f>
        <v>0.64971418652399748</v>
      </c>
      <c r="BX245" s="553">
        <f>0.5*(1+'Hilfstabellen_Mat&amp;Bem'!$BD$31*($BW245-0.3)+$BW245^2)</f>
        <v>0.72854997141146982</v>
      </c>
      <c r="BY245" s="550">
        <f t="shared" si="206"/>
        <v>0.94501801893012605</v>
      </c>
      <c r="CA245" s="551">
        <f t="shared" si="207"/>
        <v>83359.094431807491</v>
      </c>
      <c r="CE245" s="546">
        <f t="shared" si="208"/>
        <v>297</v>
      </c>
      <c r="CF245" s="551">
        <f t="shared" si="209"/>
        <v>41.989110486518236</v>
      </c>
      <c r="CG245" s="553">
        <f>CF245/PI()*SQRT('Hilfstabellen_Mat&amp;Bem'!f.Rd.3/'Hilfstabellen_Mat&amp;Bem'!$BD$30)</f>
        <v>0.66827744899611163</v>
      </c>
      <c r="CH245" s="553">
        <f>0.5*(1+'Hilfstabellen_Mat&amp;Bem'!$BD$31*(CG245-0.3)+CG245^2)</f>
        <v>0.74171124686818091</v>
      </c>
      <c r="CI245" s="550">
        <f t="shared" si="210"/>
        <v>0.94030135006741433</v>
      </c>
      <c r="CK245" s="551">
        <f t="shared" si="211"/>
        <v>82943.041788096554</v>
      </c>
      <c r="CO245" s="546">
        <f t="shared" si="212"/>
        <v>297</v>
      </c>
      <c r="CP245" s="551">
        <f t="shared" si="213"/>
        <v>43.155474666699298</v>
      </c>
      <c r="CQ245" s="553">
        <f>CP245/PI()*SQRT('Hilfstabellen_Mat&amp;Bem'!f.Rd.3/'Hilfstabellen_Mat&amp;Bem'!$BD$30)</f>
        <v>0.68684071146822578</v>
      </c>
      <c r="CR245" s="553">
        <f>0.5*(1+'Hilfstabellen_Mat&amp;Bem'!$BD$31*(CQ245-0.3)+CQ245^2)</f>
        <v>0.75521711703850058</v>
      </c>
      <c r="CS245" s="550">
        <f t="shared" si="214"/>
        <v>0.93525436520718841</v>
      </c>
      <c r="CU245" s="551">
        <f t="shared" si="215"/>
        <v>82497.852300560888</v>
      </c>
      <c r="CY245" s="546">
        <f t="shared" si="216"/>
        <v>297</v>
      </c>
      <c r="CZ245" s="551">
        <f t="shared" si="217"/>
        <v>44.321838846880354</v>
      </c>
      <c r="DA245" s="553">
        <f>CZ245/PI()*SQRT('Hilfstabellen_Mat&amp;Bem'!f.Rd.3/'Hilfstabellen_Mat&amp;Bem'!$BD$30)</f>
        <v>0.70540397394033993</v>
      </c>
      <c r="DB245" s="553">
        <f>0.5*(1+'Hilfstabellen_Mat&amp;Bem'!$BD$31*(DA245-0.3)+DA245^2)</f>
        <v>0.76906758192242886</v>
      </c>
      <c r="DC245" s="550">
        <f t="shared" si="218"/>
        <v>0.92984333126866758</v>
      </c>
      <c r="DE245" s="551">
        <f t="shared" si="219"/>
        <v>82020.550407877905</v>
      </c>
      <c r="DI245" s="546">
        <f t="shared" si="220"/>
        <v>297</v>
      </c>
      <c r="DJ245" s="551">
        <f t="shared" si="221"/>
        <v>45.488203027061424</v>
      </c>
      <c r="DK245" s="553">
        <f>DJ245/PI()*SQRT('Hilfstabellen_Mat&amp;Bem'!f.Rd.3/'Hilfstabellen_Mat&amp;Bem'!$BD$30)</f>
        <v>0.72396723641245431</v>
      </c>
      <c r="DL245" s="553">
        <f>0.5*(1+'Hilfstabellen_Mat&amp;Bem'!$BD$31*(DK245-0.3)+DK245^2)</f>
        <v>0.78326264151996594</v>
      </c>
      <c r="DM245" s="550">
        <f t="shared" si="222"/>
        <v>0.92403181601409978</v>
      </c>
      <c r="DO245" s="551">
        <f t="shared" si="223"/>
        <v>81507.922458787725</v>
      </c>
      <c r="DS245" s="546">
        <f t="shared" si="224"/>
        <v>297</v>
      </c>
      <c r="DT245" s="551">
        <f t="shared" si="225"/>
        <v>46.654567207242486</v>
      </c>
      <c r="DU245" s="553">
        <f>DT245/PI()*SQRT('Hilfstabellen_Mat&amp;Bem'!f.Rd.3/'Hilfstabellen_Mat&amp;Bem'!$BD$30)</f>
        <v>0.74253049888456846</v>
      </c>
      <c r="DV245" s="553">
        <f>0.5*(1+'Hilfstabellen_Mat&amp;Bem'!$BD$31*(DU245-0.3)+DU245^2)</f>
        <v>0.79780229583111151</v>
      </c>
      <c r="DW245" s="550">
        <f t="shared" si="226"/>
        <v>0.91778088991702012</v>
      </c>
      <c r="DY245" s="551">
        <f t="shared" si="227"/>
        <v>80956.534518690431</v>
      </c>
      <c r="EC245" s="546">
        <f t="shared" si="228"/>
        <v>297</v>
      </c>
      <c r="ED245" s="551">
        <f t="shared" si="229"/>
        <v>47.820931387423542</v>
      </c>
      <c r="EE245" s="553">
        <f>ED245/PI()*SQRT('Hilfstabellen_Mat&amp;Bem'!f.Rd.3/'Hilfstabellen_Mat&amp;Bem'!$BD$30)</f>
        <v>0.76109376135668261</v>
      </c>
      <c r="EF245" s="553">
        <f>0.5*(1+'Hilfstabellen_Mat&amp;Bem'!$BD$31*(EE245-0.3)+EE245^2)</f>
        <v>0.81268654485586567</v>
      </c>
      <c r="EG245" s="550">
        <f t="shared" si="230"/>
        <v>0.91104954276882755</v>
      </c>
      <c r="EI245" s="551">
        <f t="shared" si="231"/>
        <v>80362.769118095515</v>
      </c>
      <c r="EM245" s="546">
        <f t="shared" si="232"/>
        <v>297</v>
      </c>
      <c r="EN245" s="551">
        <f t="shared" si="233"/>
        <v>48.987295567604612</v>
      </c>
      <c r="EO245" s="553">
        <f>EN245/PI()*SQRT('Hilfstabellen_Mat&amp;Bem'!f.Rd.3/'Hilfstabellen_Mat&amp;Bem'!$BD$30)</f>
        <v>0.77965702382879698</v>
      </c>
      <c r="EP245" s="553">
        <f>0.5*(1+'Hilfstabellen_Mat&amp;Bem'!$BD$31*(EO245-0.3)+EO245^2)</f>
        <v>0.82791538859422853</v>
      </c>
      <c r="EQ245" s="550">
        <f t="shared" si="234"/>
        <v>0.90379538440668372</v>
      </c>
      <c r="ES245" s="551">
        <f t="shared" si="235"/>
        <v>79722.887063129165</v>
      </c>
    </row>
    <row r="246" spans="3:149">
      <c r="C246" s="546">
        <v>298</v>
      </c>
      <c r="D246" s="551">
        <f t="shared" si="185"/>
        <v>32.548605779817827</v>
      </c>
      <c r="E246" s="553">
        <f>$D246/PI()*SQRT('Hilfstabellen_Mat&amp;Bem'!f.Rd.3/'Hilfstabellen_Mat&amp;Bem'!$BD$30)</f>
        <v>0.51802715006074418</v>
      </c>
      <c r="F246" s="553">
        <f>0.5*(1+'Hilfstabellen_Mat&amp;Bem'!$BD$31*($E246-0.3)+$E246^2)</f>
        <v>0.64507742160306558</v>
      </c>
      <c r="G246" s="550">
        <f t="shared" si="186"/>
        <v>0.97135509058187086</v>
      </c>
      <c r="I246" s="551">
        <f t="shared" si="187"/>
        <v>86260.217464032467</v>
      </c>
      <c r="M246" s="546">
        <f t="shared" si="188"/>
        <v>298</v>
      </c>
      <c r="N246" s="551">
        <f t="shared" si="177"/>
        <v>33.711055986239892</v>
      </c>
      <c r="O246" s="553">
        <f>$N246/PI()*SQRT('Hilfstabellen_Mat&amp;Bem'!f.Rd.3/'Hilfstabellen_Mat&amp;Bem'!$BD$30)</f>
        <v>0.53652811970577075</v>
      </c>
      <c r="P246" s="553">
        <f>0.5*(1+'Hilfstabellen_Mat&amp;Bem'!$BD$31*($O246-0.3)+$O246^2)</f>
        <v>0.6557576176027935</v>
      </c>
      <c r="Q246" s="550">
        <f t="shared" si="178"/>
        <v>0.96824829748702712</v>
      </c>
      <c r="S246" s="551">
        <f t="shared" si="189"/>
        <v>85984.32181003796</v>
      </c>
      <c r="W246" s="546">
        <f t="shared" si="190"/>
        <v>298</v>
      </c>
      <c r="X246" s="551">
        <f t="shared" si="179"/>
        <v>34.873506192661957</v>
      </c>
      <c r="Y246" s="553">
        <f>$X246/PI()*SQRT('Hilfstabellen_Mat&amp;Bem'!f.Rd.3/'Hilfstabellen_Mat&amp;Bem'!$BD$30)</f>
        <v>0.55502908935079742</v>
      </c>
      <c r="Z246" s="553">
        <f>0.5*(1+'Hilfstabellen_Mat&amp;Bem'!$BD$31*($Y246-0.3)+$Y246^2)</f>
        <v>0.66678009948032768</v>
      </c>
      <c r="AA246" s="550">
        <f t="shared" si="180"/>
        <v>0.96497978109291105</v>
      </c>
      <c r="AC246" s="551">
        <f t="shared" si="191"/>
        <v>85694.064480174871</v>
      </c>
      <c r="AG246" s="546">
        <f t="shared" si="192"/>
        <v>298</v>
      </c>
      <c r="AH246" s="551">
        <f t="shared" si="181"/>
        <v>36.035956399084021</v>
      </c>
      <c r="AI246" s="553">
        <f>$AH246/PI()*SQRT('Hilfstabellen_Mat&amp;Bem'!f.Rd.3/'Hilfstabellen_Mat&amp;Bem'!$BD$30)</f>
        <v>0.57353005899582399</v>
      </c>
      <c r="AJ246" s="553">
        <f>0.5*(1+'Hilfstabellen_Mat&amp;Bem'!$BD$31*($AI246-0.3)+$AI246^2)</f>
        <v>0.6781448672356678</v>
      </c>
      <c r="AK246" s="550">
        <f t="shared" si="182"/>
        <v>0.9615325910537984</v>
      </c>
      <c r="AM246" s="551">
        <f t="shared" si="193"/>
        <v>85387.940215941519</v>
      </c>
      <c r="AQ246" s="546">
        <f t="shared" si="194"/>
        <v>298</v>
      </c>
      <c r="AR246" s="551">
        <f t="shared" si="183"/>
        <v>37.198406605506086</v>
      </c>
      <c r="AS246" s="553">
        <f>$AR246/PI()*SQRT('Hilfstabellen_Mat&amp;Bem'!f.Rd.3/'Hilfstabellen_Mat&amp;Bem'!$BD$30)</f>
        <v>0.59203102864085044</v>
      </c>
      <c r="AT246" s="553">
        <f>0.5*(1+'Hilfstabellen_Mat&amp;Bem'!$BD$31*($AS246-0.3)+$AS246^2)</f>
        <v>0.68985192086881431</v>
      </c>
      <c r="AU246" s="550">
        <f t="shared" si="184"/>
        <v>0.95788799477465403</v>
      </c>
      <c r="AW246" s="551">
        <f t="shared" si="195"/>
        <v>85064.285487968373</v>
      </c>
      <c r="BA246" s="546">
        <f t="shared" si="196"/>
        <v>298</v>
      </c>
      <c r="BB246" s="551">
        <f t="shared" si="197"/>
        <v>38.360856811928151</v>
      </c>
      <c r="BC246" s="553">
        <f>$BB246/PI()*SQRT('Hilfstabellen_Mat&amp;Bem'!f.Rd.3/'Hilfstabellen_Mat&amp;Bem'!$BD$30)</f>
        <v>0.61053199828587712</v>
      </c>
      <c r="BD246" s="553">
        <f>0.5*(1+'Hilfstabellen_Mat&amp;Bem'!$BD$31*($BC246-0.3)+$BC246^2)</f>
        <v>0.70190126037976697</v>
      </c>
      <c r="BE246" s="550">
        <f t="shared" si="198"/>
        <v>0.95402529090778365</v>
      </c>
      <c r="BG246" s="551">
        <f t="shared" si="199"/>
        <v>84721.261933774818</v>
      </c>
      <c r="BK246" s="546">
        <f t="shared" si="200"/>
        <v>298</v>
      </c>
      <c r="BL246" s="551">
        <f t="shared" si="201"/>
        <v>39.523307018350216</v>
      </c>
      <c r="BM246" s="553">
        <f>$BL246/PI()*SQRT('Hilfstabellen_Mat&amp;Bem'!f.Rd.3/'Hilfstabellen_Mat&amp;Bem'!$BD$30)</f>
        <v>0.62903296793090369</v>
      </c>
      <c r="BN246" s="553">
        <f>0.5*(1+'Hilfstabellen_Mat&amp;Bem'!$BD$31*($BM246-0.3)+$BM246^2)</f>
        <v>0.7142928857685259</v>
      </c>
      <c r="BO246" s="550">
        <f t="shared" si="202"/>
        <v>0.94992161948931242</v>
      </c>
      <c r="BQ246" s="551">
        <f t="shared" si="203"/>
        <v>84356.839497128894</v>
      </c>
      <c r="BU246" s="546">
        <f t="shared" si="204"/>
        <v>298</v>
      </c>
      <c r="BV246" s="551">
        <f t="shared" si="205"/>
        <v>40.685757224772281</v>
      </c>
      <c r="BW246" s="553">
        <f>$BV246/PI()*SQRT('Hilfstabellen_Mat&amp;Bem'!f.Rd.3/'Hilfstabellen_Mat&amp;Bem'!$BD$30)</f>
        <v>0.64753393757593025</v>
      </c>
      <c r="BX246" s="553">
        <f>0.5*(1+'Hilfstabellen_Mat&amp;Bem'!$BD$31*($BW246-0.3)+$BW246^2)</f>
        <v>0.72702679703509088</v>
      </c>
      <c r="BY246" s="550">
        <f t="shared" si="206"/>
        <v>0.94555177716278593</v>
      </c>
      <c r="CA246" s="551">
        <f t="shared" si="207"/>
        <v>83968.780019164042</v>
      </c>
      <c r="CE246" s="546">
        <f t="shared" si="208"/>
        <v>298</v>
      </c>
      <c r="CF246" s="551">
        <f t="shared" si="209"/>
        <v>41.848207431194346</v>
      </c>
      <c r="CG246" s="553">
        <f>CF246/PI()*SQRT('Hilfstabellen_Mat&amp;Bem'!f.Rd.3/'Hilfstabellen_Mat&amp;Bem'!$BD$30)</f>
        <v>0.66603490722095682</v>
      </c>
      <c r="CH246" s="553">
        <f>0.5*(1+'Hilfstabellen_Mat&amp;Bem'!$BD$31*(CG246-0.3)+CG246^2)</f>
        <v>0.74010299417946213</v>
      </c>
      <c r="CI246" s="550">
        <f t="shared" si="210"/>
        <v>0.94088805033824907</v>
      </c>
      <c r="CK246" s="551">
        <f t="shared" si="211"/>
        <v>83554.622422237866</v>
      </c>
      <c r="CO246" s="546">
        <f t="shared" si="212"/>
        <v>298</v>
      </c>
      <c r="CP246" s="551">
        <f t="shared" si="213"/>
        <v>43.010657637616411</v>
      </c>
      <c r="CQ246" s="553">
        <f>CP246/PI()*SQRT('Hilfstabellen_Mat&amp;Bem'!f.Rd.3/'Hilfstabellen_Mat&amp;Bem'!$BD$30)</f>
        <v>0.68453587686598338</v>
      </c>
      <c r="CR246" s="553">
        <f>0.5*(1+'Hilfstabellen_Mat&amp;Bem'!$BD$31*(CQ246-0.3)+CQ246^2)</f>
        <v>0.75352147720163953</v>
      </c>
      <c r="CS246" s="550">
        <f t="shared" si="214"/>
        <v>0.93590008501390443</v>
      </c>
      <c r="CU246" s="551">
        <f t="shared" si="215"/>
        <v>83111.671149574773</v>
      </c>
      <c r="CY246" s="546">
        <f t="shared" si="216"/>
        <v>298</v>
      </c>
      <c r="CZ246" s="551">
        <f t="shared" si="217"/>
        <v>44.173107844038483</v>
      </c>
      <c r="DA246" s="553">
        <f>CZ246/PI()*SQRT('Hilfstabellen_Mat&amp;Bem'!f.Rd.3/'Hilfstabellen_Mat&amp;Bem'!$BD$30)</f>
        <v>0.70303684651101017</v>
      </c>
      <c r="DB246" s="553">
        <f>0.5*(1+'Hilfstabellen_Mat&amp;Bem'!$BD$31*(DA246-0.3)+DA246^2)</f>
        <v>0.76728224610162343</v>
      </c>
      <c r="DC246" s="550">
        <f t="shared" si="218"/>
        <v>0.93055481956129604</v>
      </c>
      <c r="DE246" s="551">
        <f t="shared" si="219"/>
        <v>82636.990196321334</v>
      </c>
      <c r="DI246" s="546">
        <f t="shared" si="220"/>
        <v>298</v>
      </c>
      <c r="DJ246" s="551">
        <f t="shared" si="221"/>
        <v>45.335558050460548</v>
      </c>
      <c r="DK246" s="553">
        <f>DJ246/PI()*SQRT('Hilfstabellen_Mat&amp;Bem'!f.Rd.3/'Hilfstabellen_Mat&amp;Bem'!$BD$30)</f>
        <v>0.72153781615603663</v>
      </c>
      <c r="DL246" s="553">
        <f>0.5*(1+'Hilfstabellen_Mat&amp;Bem'!$BD$31*(DK246-0.3)+DK246^2)</f>
        <v>0.78138530087941316</v>
      </c>
      <c r="DM246" s="550">
        <f t="shared" si="222"/>
        <v>0.92481651608626936</v>
      </c>
      <c r="DO246" s="551">
        <f t="shared" si="223"/>
        <v>82127.405894525058</v>
      </c>
      <c r="DS246" s="546">
        <f t="shared" si="224"/>
        <v>298</v>
      </c>
      <c r="DT246" s="551">
        <f t="shared" si="225"/>
        <v>46.498008256882606</v>
      </c>
      <c r="DU246" s="553">
        <f>DT246/PI()*SQRT('Hilfstabellen_Mat&amp;Bem'!f.Rd.3/'Hilfstabellen_Mat&amp;Bem'!$BD$30)</f>
        <v>0.74003878580106308</v>
      </c>
      <c r="DV246" s="553">
        <f>0.5*(1+'Hilfstabellen_Mat&amp;Bem'!$BD$31*(DU246-0.3)+DU246^2)</f>
        <v>0.79583064153500893</v>
      </c>
      <c r="DW246" s="550">
        <f t="shared" si="226"/>
        <v>0.91864693669317243</v>
      </c>
      <c r="DY246" s="551">
        <f t="shared" si="227"/>
        <v>81579.522566100481</v>
      </c>
      <c r="EC246" s="546">
        <f t="shared" si="228"/>
        <v>298</v>
      </c>
      <c r="ED246" s="551">
        <f t="shared" si="229"/>
        <v>47.660458463304671</v>
      </c>
      <c r="EE246" s="553">
        <f>ED246/PI()*SQRT('Hilfstabellen_Mat&amp;Bem'!f.Rd.3/'Hilfstabellen_Mat&amp;Bem'!$BD$30)</f>
        <v>0.75853975544608965</v>
      </c>
      <c r="EF246" s="553">
        <f>0.5*(1+'Hilfstabellen_Mat&amp;Bem'!$BD$31*(EE246-0.3)+EE246^2)</f>
        <v>0.81061826806841131</v>
      </c>
      <c r="EG246" s="550">
        <f t="shared" si="230"/>
        <v>0.91200572208774067</v>
      </c>
      <c r="EI246" s="551">
        <f t="shared" si="231"/>
        <v>80989.756144279716</v>
      </c>
      <c r="EM246" s="546">
        <f t="shared" si="232"/>
        <v>298</v>
      </c>
      <c r="EN246" s="551">
        <f t="shared" si="233"/>
        <v>48.822908669726736</v>
      </c>
      <c r="EO246" s="553">
        <f>EN246/PI()*SQRT('Hilfstabellen_Mat&amp;Bem'!f.Rd.3/'Hilfstabellen_Mat&amp;Bem'!$BD$30)</f>
        <v>0.77704072509111632</v>
      </c>
      <c r="EP246" s="553">
        <f>0.5*(1+'Hilfstabellen_Mat&amp;Bem'!$BD$31*(EO246-0.3)+EO246^2)</f>
        <v>0.82574818047961962</v>
      </c>
      <c r="EQ246" s="550">
        <f t="shared" si="234"/>
        <v>0.90485103936932088</v>
      </c>
      <c r="ES246" s="551">
        <f t="shared" si="235"/>
        <v>80354.391700153166</v>
      </c>
    </row>
    <row r="247" spans="3:149">
      <c r="C247" s="546">
        <v>299</v>
      </c>
      <c r="D247" s="551">
        <f t="shared" si="185"/>
        <v>32.4397475665074</v>
      </c>
      <c r="E247" s="553">
        <f>$D247/PI()*SQRT('Hilfstabellen_Mat&amp;Bem'!f.Rd.3/'Hilfstabellen_Mat&amp;Bem'!$BD$30)</f>
        <v>0.5162946177862936</v>
      </c>
      <c r="F247" s="553">
        <f>0.5*(1+'Hilfstabellen_Mat&amp;Bem'!$BD$31*($E247-0.3)+$E247^2)</f>
        <v>0.64409479706686223</v>
      </c>
      <c r="G247" s="550">
        <f t="shared" si="186"/>
        <v>0.9716383068391925</v>
      </c>
      <c r="I247" s="551">
        <f t="shared" si="187"/>
        <v>86865.43626973065</v>
      </c>
      <c r="M247" s="546">
        <f t="shared" si="188"/>
        <v>299</v>
      </c>
      <c r="N247" s="551">
        <f t="shared" si="177"/>
        <v>33.598309979596948</v>
      </c>
      <c r="O247" s="553">
        <f>$N247/PI()*SQRT('Hilfstabellen_Mat&amp;Bem'!f.Rd.3/'Hilfstabellen_Mat&amp;Bem'!$BD$30)</f>
        <v>0.53473371127866121</v>
      </c>
      <c r="P247" s="553">
        <f>0.5*(1+'Hilfstabellen_Mat&amp;Bem'!$BD$31*($O247-0.3)+$O247^2)</f>
        <v>0.65470675655285837</v>
      </c>
      <c r="Q247" s="550">
        <f t="shared" si="178"/>
        <v>0.96855644993832701</v>
      </c>
      <c r="S247" s="551">
        <f t="shared" si="189"/>
        <v>86589.915180936368</v>
      </c>
      <c r="W247" s="546">
        <f t="shared" si="190"/>
        <v>299</v>
      </c>
      <c r="X247" s="551">
        <f t="shared" si="179"/>
        <v>34.756872392686503</v>
      </c>
      <c r="Y247" s="553">
        <f>$X247/PI()*SQRT('Hilfstabellen_Mat&amp;Bem'!f.Rd.3/'Hilfstabellen_Mat&amp;Bem'!$BD$30)</f>
        <v>0.55317280477102881</v>
      </c>
      <c r="Z247" s="553">
        <f>0.5*(1+'Hilfstabellen_Mat&amp;Bem'!$BD$31*($Y247-0.3)+$Y247^2)</f>
        <v>0.66565871620767481</v>
      </c>
      <c r="AA247" s="550">
        <f t="shared" si="180"/>
        <v>0.96531549608369493</v>
      </c>
      <c r="AC247" s="551">
        <f t="shared" si="191"/>
        <v>86300.170665378406</v>
      </c>
      <c r="AG247" s="546">
        <f t="shared" si="192"/>
        <v>299</v>
      </c>
      <c r="AH247" s="551">
        <f t="shared" si="181"/>
        <v>35.915434805776044</v>
      </c>
      <c r="AI247" s="553">
        <f>$AH247/PI()*SQRT('Hilfstabellen_Mat&amp;Bem'!f.Rd.3/'Hilfstabellen_Mat&amp;Bem'!$BD$30)</f>
        <v>0.57161189826339631</v>
      </c>
      <c r="AJ247" s="553">
        <f>0.5*(1+'Hilfstabellen_Mat&amp;Bem'!$BD$31*($AI247-0.3)+$AI247^2)</f>
        <v>0.67695067603131143</v>
      </c>
      <c r="AK247" s="550">
        <f t="shared" si="182"/>
        <v>0.96189882894527479</v>
      </c>
      <c r="AM247" s="551">
        <f t="shared" si="193"/>
        <v>85994.717206536516</v>
      </c>
      <c r="AQ247" s="546">
        <f t="shared" si="194"/>
        <v>299</v>
      </c>
      <c r="AR247" s="551">
        <f t="shared" si="183"/>
        <v>37.0739972188656</v>
      </c>
      <c r="AS247" s="553">
        <f>$AR247/PI()*SQRT('Hilfstabellen_Mat&amp;Bem'!f.Rd.3/'Hilfstabellen_Mat&amp;Bem'!$BD$30)</f>
        <v>0.59005099175576414</v>
      </c>
      <c r="AT247" s="553">
        <f>0.5*(1+'Hilfstabellen_Mat&amp;Bem'!$BD$31*($AS247-0.3)+$AS247^2)</f>
        <v>0.68858263602376857</v>
      </c>
      <c r="AU247" s="550">
        <f t="shared" si="184"/>
        <v>0.95828809173570417</v>
      </c>
      <c r="AW247" s="551">
        <f t="shared" si="195"/>
        <v>85671.913689263689</v>
      </c>
      <c r="BA247" s="546">
        <f t="shared" si="196"/>
        <v>299</v>
      </c>
      <c r="BB247" s="551">
        <f t="shared" si="197"/>
        <v>38.232559631955148</v>
      </c>
      <c r="BC247" s="553">
        <f>$BB247/PI()*SQRT('Hilfstabellen_Mat&amp;Bem'!f.Rd.3/'Hilfstabellen_Mat&amp;Bem'!$BD$30)</f>
        <v>0.60849008524813175</v>
      </c>
      <c r="BD247" s="553">
        <f>0.5*(1+'Hilfstabellen_Mat&amp;Bem'!$BD$31*($BC247-0.3)+$BC247^2)</f>
        <v>0.7005545961850459</v>
      </c>
      <c r="BE247" s="550">
        <f t="shared" si="198"/>
        <v>0.95446300446940147</v>
      </c>
      <c r="BG247" s="551">
        <f t="shared" si="199"/>
        <v>85329.947062568957</v>
      </c>
      <c r="BK247" s="546">
        <f t="shared" si="200"/>
        <v>299</v>
      </c>
      <c r="BL247" s="551">
        <f t="shared" si="201"/>
        <v>39.391122045044696</v>
      </c>
      <c r="BM247" s="553">
        <f>$BL247/PI()*SQRT('Hilfstabellen_Mat&amp;Bem'!f.Rd.3/'Hilfstabellen_Mat&amp;Bem'!$BD$30)</f>
        <v>0.62692917874049936</v>
      </c>
      <c r="BN247" s="553">
        <f>0.5*(1+'Hilfstabellen_Mat&amp;Bem'!$BD$31*($BM247-0.3)+$BM247^2)</f>
        <v>0.71286655651514352</v>
      </c>
      <c r="BO247" s="550">
        <f t="shared" si="202"/>
        <v>0.95040117726201556</v>
      </c>
      <c r="BQ247" s="551">
        <f t="shared" si="203"/>
        <v>84966.815648401447</v>
      </c>
      <c r="BU247" s="546">
        <f t="shared" si="204"/>
        <v>299</v>
      </c>
      <c r="BV247" s="551">
        <f t="shared" si="205"/>
        <v>40.549684458134251</v>
      </c>
      <c r="BW247" s="553">
        <f>$BV247/PI()*SQRT('Hilfstabellen_Mat&amp;Bem'!f.Rd.3/'Hilfstabellen_Mat&amp;Bem'!$BD$30)</f>
        <v>0.64536827223286697</v>
      </c>
      <c r="BX247" s="553">
        <f>0.5*(1+'Hilfstabellen_Mat&amp;Bem'!$BD$31*($BW247-0.3)+$BW247^2)</f>
        <v>0.72551851701406123</v>
      </c>
      <c r="BY247" s="550">
        <f t="shared" si="206"/>
        <v>0.94607792753974373</v>
      </c>
      <c r="CA247" s="551">
        <f t="shared" si="207"/>
        <v>84580.312799980631</v>
      </c>
      <c r="CE247" s="546">
        <f t="shared" si="208"/>
        <v>299</v>
      </c>
      <c r="CF247" s="551">
        <f t="shared" si="209"/>
        <v>41.7082468712238</v>
      </c>
      <c r="CG247" s="553">
        <f>CF247/PI()*SQRT('Hilfstabellen_Mat&amp;Bem'!f.Rd.3/'Hilfstabellen_Mat&amp;Bem'!$BD$30)</f>
        <v>0.66380736572523469</v>
      </c>
      <c r="CH247" s="553">
        <f>0.5*(1+'Hilfstabellen_Mat&amp;Bem'!$BD$31*(CG247-0.3)+CG247^2)</f>
        <v>0.73851047768179945</v>
      </c>
      <c r="CI247" s="550">
        <f t="shared" si="210"/>
        <v>0.94146611317373186</v>
      </c>
      <c r="CK247" s="551">
        <f t="shared" si="211"/>
        <v>84168.011983844801</v>
      </c>
      <c r="CO247" s="546">
        <f t="shared" si="212"/>
        <v>299</v>
      </c>
      <c r="CP247" s="551">
        <f t="shared" si="213"/>
        <v>42.866809284313348</v>
      </c>
      <c r="CQ247" s="553">
        <f>CP247/PI()*SQRT('Hilfstabellen_Mat&amp;Bem'!f.Rd.3/'Hilfstabellen_Mat&amp;Bem'!$BD$30)</f>
        <v>0.6822464592176023</v>
      </c>
      <c r="CR247" s="553">
        <f>0.5*(1+'Hilfstabellen_Mat&amp;Bem'!$BD$31*(CQ247-0.3)+CQ247^2)</f>
        <v>0.75184243851835797</v>
      </c>
      <c r="CS247" s="550">
        <f t="shared" si="214"/>
        <v>0.93653599910660235</v>
      </c>
      <c r="CU247" s="551">
        <f t="shared" si="215"/>
        <v>83727.254856129352</v>
      </c>
      <c r="CY247" s="546">
        <f t="shared" si="216"/>
        <v>299</v>
      </c>
      <c r="CZ247" s="551">
        <f t="shared" si="217"/>
        <v>44.025371697402903</v>
      </c>
      <c r="DA247" s="553">
        <f>CZ247/PI()*SQRT('Hilfstabellen_Mat&amp;Bem'!f.Rd.3/'Hilfstabellen_Mat&amp;Bem'!$BD$30)</f>
        <v>0.70068555270996991</v>
      </c>
      <c r="DB247" s="553">
        <f>0.5*(1+'Hilfstabellen_Mat&amp;Bem'!$BD$31*(DA247-0.3)+DA247^2)</f>
        <v>0.76551439952373646</v>
      </c>
      <c r="DC247" s="550">
        <f t="shared" si="218"/>
        <v>0.93125518221722314</v>
      </c>
      <c r="DE247" s="551">
        <f t="shared" si="219"/>
        <v>83255.14454540197</v>
      </c>
      <c r="DI247" s="546">
        <f t="shared" si="220"/>
        <v>299</v>
      </c>
      <c r="DJ247" s="551">
        <f t="shared" si="221"/>
        <v>45.183934110492444</v>
      </c>
      <c r="DK247" s="553">
        <f>DJ247/PI()*SQRT('Hilfstabellen_Mat&amp;Bem'!f.Rd.3/'Hilfstabellen_Mat&amp;Bem'!$BD$30)</f>
        <v>0.7191246462023374</v>
      </c>
      <c r="DL247" s="553">
        <f>0.5*(1+'Hilfstabellen_Mat&amp;Bem'!$BD$31*(DK247-0.3)+DK247^2)</f>
        <v>0.77952636069793535</v>
      </c>
      <c r="DM247" s="550">
        <f t="shared" si="222"/>
        <v>0.92558860804488929</v>
      </c>
      <c r="DO247" s="551">
        <f t="shared" si="223"/>
        <v>82748.547147821155</v>
      </c>
      <c r="DS247" s="546">
        <f t="shared" si="224"/>
        <v>299</v>
      </c>
      <c r="DT247" s="551">
        <f t="shared" si="225"/>
        <v>46.342496523582</v>
      </c>
      <c r="DU247" s="553">
        <f>DT247/PI()*SQRT('Hilfstabellen_Mat&amp;Bem'!f.Rd.3/'Hilfstabellen_Mat&amp;Bem'!$BD$30)</f>
        <v>0.73756373969470512</v>
      </c>
      <c r="DV247" s="553">
        <f>0.5*(1+'Hilfstabellen_Mat&amp;Bem'!$BD$31*(DU247-0.3)+DU247^2)</f>
        <v>0.79387832204095465</v>
      </c>
      <c r="DW247" s="550">
        <f t="shared" si="226"/>
        <v>0.91949872329909677</v>
      </c>
      <c r="DY247" s="551">
        <f t="shared" si="227"/>
        <v>82204.105361662543</v>
      </c>
      <c r="EC247" s="546">
        <f t="shared" si="228"/>
        <v>299</v>
      </c>
      <c r="ED247" s="551">
        <f t="shared" si="229"/>
        <v>47.501058936671548</v>
      </c>
      <c r="EE247" s="553">
        <f>ED247/PI()*SQRT('Hilfstabellen_Mat&amp;Bem'!f.Rd.3/'Hilfstabellen_Mat&amp;Bem'!$BD$30)</f>
        <v>0.75600283318707273</v>
      </c>
      <c r="EF247" s="553">
        <f>0.5*(1+'Hilfstabellen_Mat&amp;Bem'!$BD$31*(EE247-0.3)+EE247^2)</f>
        <v>0.80857028355279414</v>
      </c>
      <c r="EG247" s="550">
        <f t="shared" si="230"/>
        <v>0.91294581893684801</v>
      </c>
      <c r="EI247" s="551">
        <f t="shared" si="231"/>
        <v>81618.269158773153</v>
      </c>
      <c r="EM247" s="546">
        <f t="shared" si="232"/>
        <v>299</v>
      </c>
      <c r="EN247" s="551">
        <f t="shared" si="233"/>
        <v>48.659621349761096</v>
      </c>
      <c r="EO247" s="553">
        <f>EN247/PI()*SQRT('Hilfstabellen_Mat&amp;Bem'!f.Rd.3/'Hilfstabellen_Mat&amp;Bem'!$BD$30)</f>
        <v>0.77444192667944034</v>
      </c>
      <c r="EP247" s="553">
        <f>0.5*(1+'Hilfstabellen_Mat&amp;Bem'!$BD$31*(EO247-0.3)+EO247^2)</f>
        <v>0.82360224523345393</v>
      </c>
      <c r="EQ247" s="550">
        <f t="shared" si="234"/>
        <v>0.90588862813169024</v>
      </c>
      <c r="ES247" s="551">
        <f t="shared" si="235"/>
        <v>80987.349243601246</v>
      </c>
    </row>
    <row r="248" spans="3:149">
      <c r="C248" s="546">
        <v>300</v>
      </c>
      <c r="D248" s="551">
        <f t="shared" si="185"/>
        <v>32.331615074619044</v>
      </c>
      <c r="E248" s="553">
        <f>$D248/PI()*SQRT('Hilfstabellen_Mat&amp;Bem'!f.Rd.3/'Hilfstabellen_Mat&amp;Bem'!$BD$30)</f>
        <v>0.51457363572700598</v>
      </c>
      <c r="F248" s="553">
        <f>0.5*(1+'Hilfstabellen_Mat&amp;Bem'!$BD$31*($E248-0.3)+$E248^2)</f>
        <v>0.64312169507900507</v>
      </c>
      <c r="G248" s="550">
        <f t="shared" si="186"/>
        <v>0.97191837695293481</v>
      </c>
      <c r="I248" s="551">
        <f t="shared" si="187"/>
        <v>87472.653925764127</v>
      </c>
      <c r="M248" s="546">
        <f t="shared" si="188"/>
        <v>300</v>
      </c>
      <c r="N248" s="551">
        <f t="shared" si="177"/>
        <v>33.48631561299829</v>
      </c>
      <c r="O248" s="553">
        <f>$N248/PI()*SQRT('Hilfstabellen_Mat&amp;Bem'!f.Rd.3/'Hilfstabellen_Mat&amp;Bem'!$BD$30)</f>
        <v>0.53295126557439898</v>
      </c>
      <c r="P248" s="553">
        <f>0.5*(1+'Hilfstabellen_Mat&amp;Bem'!$BD$31*($O248-0.3)+$O248^2)</f>
        <v>0.65366608901739676</v>
      </c>
      <c r="Q248" s="550">
        <f t="shared" si="178"/>
        <v>0.96886105755768848</v>
      </c>
      <c r="S248" s="551">
        <f t="shared" si="189"/>
        <v>87197.495180191967</v>
      </c>
      <c r="W248" s="546">
        <f t="shared" si="190"/>
        <v>300</v>
      </c>
      <c r="X248" s="551">
        <f t="shared" si="179"/>
        <v>34.641016151377542</v>
      </c>
      <c r="Y248" s="553">
        <f>$X248/PI()*SQRT('Hilfstabellen_Mat&amp;Bem'!f.Rd.3/'Hilfstabellen_Mat&amp;Bem'!$BD$30)</f>
        <v>0.55132889542179198</v>
      </c>
      <c r="Z248" s="553">
        <f>0.5*(1+'Hilfstabellen_Mat&amp;Bem'!$BD$31*($Y248-0.3)+$Y248^2)</f>
        <v>0.66454822023459625</v>
      </c>
      <c r="AA248" s="550">
        <f t="shared" si="180"/>
        <v>0.96564721134572118</v>
      </c>
      <c r="AC248" s="551">
        <f t="shared" si="191"/>
        <v>86908.249021114912</v>
      </c>
      <c r="AG248" s="546">
        <f t="shared" si="192"/>
        <v>300</v>
      </c>
      <c r="AH248" s="551">
        <f t="shared" si="181"/>
        <v>35.795716689756794</v>
      </c>
      <c r="AI248" s="553">
        <f>$AH248/PI()*SQRT('Hilfstabellen_Mat&amp;Bem'!f.Rd.3/'Hilfstabellen_Mat&amp;Bem'!$BD$30)</f>
        <v>0.56970652526918508</v>
      </c>
      <c r="AJ248" s="553">
        <f>0.5*(1+'Hilfstabellen_Mat&amp;Bem'!$BD$31*($AI248-0.3)+$AI248^2)</f>
        <v>0.67576808873060357</v>
      </c>
      <c r="AK248" s="550">
        <f t="shared" si="182"/>
        <v>0.96226054771022274</v>
      </c>
      <c r="AM248" s="551">
        <f t="shared" si="193"/>
        <v>86603.449293920043</v>
      </c>
      <c r="AQ248" s="546">
        <f t="shared" si="194"/>
        <v>300</v>
      </c>
      <c r="AR248" s="551">
        <f t="shared" si="183"/>
        <v>36.950417228136047</v>
      </c>
      <c r="AS248" s="553">
        <f>$AR248/PI()*SQRT('Hilfstabellen_Mat&amp;Bem'!f.Rd.3/'Hilfstabellen_Mat&amp;Bem'!$BD$30)</f>
        <v>0.58808415511657819</v>
      </c>
      <c r="AT248" s="553">
        <f>0.5*(1+'Hilfstabellen_Mat&amp;Bem'!$BD$31*($AS248-0.3)+$AS248^2)</f>
        <v>0.68732569450541869</v>
      </c>
      <c r="AU248" s="550">
        <f t="shared" si="184"/>
        <v>0.95868307629901528</v>
      </c>
      <c r="AW248" s="551">
        <f t="shared" si="195"/>
        <v>86281.476866911369</v>
      </c>
      <c r="BA248" s="546">
        <f t="shared" si="196"/>
        <v>300</v>
      </c>
      <c r="BB248" s="551">
        <f t="shared" si="197"/>
        <v>38.105117766515299</v>
      </c>
      <c r="BC248" s="553">
        <f>$BB248/PI()*SQRT('Hilfstabellen_Mat&amp;Bem'!f.Rd.3/'Hilfstabellen_Mat&amp;Bem'!$BD$30)</f>
        <v>0.6064617849639713</v>
      </c>
      <c r="BD248" s="553">
        <f>0.5*(1+'Hilfstabellen_Mat&amp;Bem'!$BD$31*($BC248-0.3)+$BC248^2)</f>
        <v>0.69922103755904164</v>
      </c>
      <c r="BE248" s="550">
        <f t="shared" si="198"/>
        <v>0.95489492799783648</v>
      </c>
      <c r="BG248" s="551">
        <f t="shared" si="199"/>
        <v>85940.543519805287</v>
      </c>
      <c r="BK248" s="546">
        <f t="shared" si="200"/>
        <v>300</v>
      </c>
      <c r="BL248" s="551">
        <f t="shared" si="201"/>
        <v>39.259818304894551</v>
      </c>
      <c r="BM248" s="553">
        <f>$BL248/PI()*SQRT('Hilfstabellen_Mat&amp;Bem'!f.Rd.3/'Hilfstabellen_Mat&amp;Bem'!$BD$30)</f>
        <v>0.6248394148113644</v>
      </c>
      <c r="BN248" s="553">
        <f>0.5*(1+'Hilfstabellen_Mat&amp;Bem'!$BD$31*($BM248-0.3)+$BM248^2)</f>
        <v>0.71145411789147239</v>
      </c>
      <c r="BO248" s="550">
        <f t="shared" si="202"/>
        <v>0.95087417141538089</v>
      </c>
      <c r="BQ248" s="551">
        <f t="shared" si="203"/>
        <v>85578.675427384282</v>
      </c>
      <c r="BU248" s="546">
        <f t="shared" si="204"/>
        <v>300</v>
      </c>
      <c r="BV248" s="551">
        <f t="shared" si="205"/>
        <v>40.414518843273797</v>
      </c>
      <c r="BW248" s="553">
        <f>$BV248/PI()*SQRT('Hilfstabellen_Mat&amp;Bem'!f.Rd.3/'Hilfstabellen_Mat&amp;Bem'!$BD$30)</f>
        <v>0.6432170446587574</v>
      </c>
      <c r="BX248" s="553">
        <f>0.5*(1+'Hilfstabellen_Mat&amp;Bem'!$BD$31*($BW248-0.3)+$BW248^2)</f>
        <v>0.72402493550271085</v>
      </c>
      <c r="BY248" s="550">
        <f t="shared" si="206"/>
        <v>0.94659663219963075</v>
      </c>
      <c r="CA248" s="551">
        <f t="shared" si="207"/>
        <v>85193.696897966773</v>
      </c>
      <c r="CE248" s="546">
        <f t="shared" si="208"/>
        <v>300</v>
      </c>
      <c r="CF248" s="551">
        <f t="shared" si="209"/>
        <v>41.569219381653056</v>
      </c>
      <c r="CG248" s="553">
        <f>CF248/PI()*SQRT('Hilfstabellen_Mat&amp;Bem'!f.Rd.3/'Hilfstabellen_Mat&amp;Bem'!$BD$30)</f>
        <v>0.6615946745061505</v>
      </c>
      <c r="CH248" s="553">
        <f>0.5*(1+'Hilfstabellen_Mat&amp;Bem'!$BD$31*(CG248-0.3)+CG248^2)</f>
        <v>0.73693349039275713</v>
      </c>
      <c r="CI248" s="550">
        <f t="shared" si="210"/>
        <v>0.94203572641994926</v>
      </c>
      <c r="CK248" s="551">
        <f t="shared" si="211"/>
        <v>84783.215377795437</v>
      </c>
      <c r="CO248" s="546">
        <f t="shared" si="212"/>
        <v>300</v>
      </c>
      <c r="CP248" s="551">
        <f t="shared" si="213"/>
        <v>42.723919920032309</v>
      </c>
      <c r="CQ248" s="553">
        <f>CP248/PI()*SQRT('Hilfstabellen_Mat&amp;Bem'!f.Rd.3/'Hilfstabellen_Mat&amp;Bem'!$BD$30)</f>
        <v>0.67997230435354361</v>
      </c>
      <c r="CR248" s="553">
        <f>0.5*(1+'Hilfstabellen_Mat&amp;Bem'!$BD$31*(CQ248-0.3)+CQ248^2)</f>
        <v>0.75017978256161122</v>
      </c>
      <c r="CS248" s="550">
        <f t="shared" si="214"/>
        <v>0.93716232449178205</v>
      </c>
      <c r="CU248" s="551">
        <f t="shared" si="215"/>
        <v>84344.609204260385</v>
      </c>
      <c r="CY248" s="546">
        <f t="shared" si="216"/>
        <v>300</v>
      </c>
      <c r="CZ248" s="551">
        <f t="shared" si="217"/>
        <v>43.878620458411554</v>
      </c>
      <c r="DA248" s="553">
        <f>CZ248/PI()*SQRT('Hilfstabellen_Mat&amp;Bem'!f.Rd.3/'Hilfstabellen_Mat&amp;Bem'!$BD$30)</f>
        <v>0.69834993420093661</v>
      </c>
      <c r="DB248" s="553">
        <f>0.5*(1+'Hilfstabellen_Mat&amp;Bem'!$BD$31*(DA248-0.3)+DA248^2)</f>
        <v>0.76376381200927312</v>
      </c>
      <c r="DC248" s="550">
        <f t="shared" si="218"/>
        <v>0.93194466892348093</v>
      </c>
      <c r="DE248" s="551">
        <f t="shared" si="219"/>
        <v>83875.020203113279</v>
      </c>
      <c r="DI248" s="546">
        <f t="shared" si="220"/>
        <v>300</v>
      </c>
      <c r="DJ248" s="551">
        <f t="shared" si="221"/>
        <v>45.033320996790806</v>
      </c>
      <c r="DK248" s="553">
        <f>DJ248/PI()*SQRT('Hilfstabellen_Mat&amp;Bem'!f.Rd.3/'Hilfstabellen_Mat&amp;Bem'!$BD$30)</f>
        <v>0.71672756404832971</v>
      </c>
      <c r="DL248" s="553">
        <f>0.5*(1+'Hilfstabellen_Mat&amp;Bem'!$BD$31*(DK248-0.3)+DK248^2)</f>
        <v>0.77768557873574273</v>
      </c>
      <c r="DM248" s="550">
        <f t="shared" si="222"/>
        <v>0.92634837761869893</v>
      </c>
      <c r="DO248" s="551">
        <f t="shared" si="223"/>
        <v>83371.353985682901</v>
      </c>
      <c r="DS248" s="546">
        <f t="shared" si="224"/>
        <v>300</v>
      </c>
      <c r="DT248" s="551">
        <f t="shared" si="225"/>
        <v>46.188021535170058</v>
      </c>
      <c r="DU248" s="553">
        <f>DT248/PI()*SQRT('Hilfstabellen_Mat&amp;Bem'!f.Rd.3/'Hilfstabellen_Mat&amp;Bem'!$BD$30)</f>
        <v>0.73510519389572282</v>
      </c>
      <c r="DV248" s="553">
        <f>0.5*(1+'Hilfstabellen_Mat&amp;Bem'!$BD$31*(DU248-0.3)+DU248^2)</f>
        <v>0.79194508274102016</v>
      </c>
      <c r="DW248" s="550">
        <f t="shared" si="226"/>
        <v>0.92033657436610028</v>
      </c>
      <c r="DY248" s="551">
        <f t="shared" si="227"/>
        <v>82830.291692949031</v>
      </c>
      <c r="EC248" s="546">
        <f t="shared" si="228"/>
        <v>300</v>
      </c>
      <c r="ED248" s="551">
        <f t="shared" si="229"/>
        <v>47.342722073549311</v>
      </c>
      <c r="EE248" s="553">
        <f>ED248/PI()*SQRT('Hilfstabellen_Mat&amp;Bem'!f.Rd.3/'Hilfstabellen_Mat&amp;Bem'!$BD$30)</f>
        <v>0.75348282374311593</v>
      </c>
      <c r="EF248" s="553">
        <f>0.5*(1+'Hilfstabellen_Mat&amp;Bem'!$BD$31*(EE248-0.3)+EE248^2)</f>
        <v>0.80654232402510551</v>
      </c>
      <c r="EG248" s="550">
        <f t="shared" si="230"/>
        <v>0.91387019873017272</v>
      </c>
      <c r="EI248" s="551">
        <f t="shared" si="231"/>
        <v>82248.317885715544</v>
      </c>
      <c r="EM248" s="546">
        <f t="shared" si="232"/>
        <v>300</v>
      </c>
      <c r="EN248" s="551">
        <f t="shared" si="233"/>
        <v>48.497422611928563</v>
      </c>
      <c r="EO248" s="553">
        <f>EN248/PI()*SQRT('Hilfstabellen_Mat&amp;Bem'!f.Rd.3/'Hilfstabellen_Mat&amp;Bem'!$BD$30)</f>
        <v>0.77186045359050892</v>
      </c>
      <c r="EP248" s="553">
        <f>0.5*(1+'Hilfstabellen_Mat&amp;Bem'!$BD$31*(EO248-0.3)+EO248^2)</f>
        <v>0.82147730258799856</v>
      </c>
      <c r="EQ248" s="550">
        <f t="shared" si="234"/>
        <v>0.90690855715976848</v>
      </c>
      <c r="ES248" s="551">
        <f t="shared" si="235"/>
        <v>81621.770144379159</v>
      </c>
    </row>
    <row r="249" spans="3:149">
      <c r="C249" s="546">
        <v>301</v>
      </c>
      <c r="D249" s="551">
        <f t="shared" si="185"/>
        <v>32.224201071048881</v>
      </c>
      <c r="E249" s="553">
        <f>$D249/PI()*SQRT('Hilfstabellen_Mat&amp;Bem'!f.Rd.3/'Hilfstabellen_Mat&amp;Bem'!$BD$30)</f>
        <v>0.51286408876445777</v>
      </c>
      <c r="F249" s="553">
        <f>0.5*(1+'Hilfstabellen_Mat&amp;Bem'!$BD$31*($E249-0.3)+$E249^2)</f>
        <v>0.64215799121032169</v>
      </c>
      <c r="G249" s="550">
        <f t="shared" si="186"/>
        <v>0.97219535624291342</v>
      </c>
      <c r="I249" s="551">
        <f t="shared" si="187"/>
        <v>88081.871470964194</v>
      </c>
      <c r="M249" s="546">
        <f t="shared" si="188"/>
        <v>301</v>
      </c>
      <c r="N249" s="551">
        <f t="shared" si="177"/>
        <v>33.375065395014907</v>
      </c>
      <c r="O249" s="553">
        <f>$N249/PI()*SQRT('Hilfstabellen_Mat&amp;Bem'!f.Rd.3/'Hilfstabellen_Mat&amp;Bem'!$BD$30)</f>
        <v>0.53118066336318825</v>
      </c>
      <c r="P249" s="553">
        <f>0.5*(1+'Hilfstabellen_Mat&amp;Bem'!$BD$31*($O249-0.3)+$O249^2)</f>
        <v>0.65263548173363772</v>
      </c>
      <c r="Q249" s="550">
        <f t="shared" si="178"/>
        <v>0.96916218453712766</v>
      </c>
      <c r="S249" s="551">
        <f t="shared" si="189"/>
        <v>87807.0630812483</v>
      </c>
      <c r="W249" s="546">
        <f t="shared" si="190"/>
        <v>301</v>
      </c>
      <c r="X249" s="551">
        <f t="shared" si="179"/>
        <v>34.52592971898094</v>
      </c>
      <c r="Y249" s="553">
        <f>$X249/PI()*SQRT('Hilfstabellen_Mat&amp;Bem'!f.Rd.3/'Hilfstabellen_Mat&amp;Bem'!$BD$30)</f>
        <v>0.54949723796191907</v>
      </c>
      <c r="Z249" s="553">
        <f>0.5*(1+'Hilfstabellen_Mat&amp;Bem'!$BD$31*($Y249-0.3)+$Y249^2)</f>
        <v>0.66344846916198497</v>
      </c>
      <c r="AA249" s="550">
        <f t="shared" si="180"/>
        <v>0.9659750014264562</v>
      </c>
      <c r="AC249" s="551">
        <f t="shared" si="191"/>
        <v>87518.301104238359</v>
      </c>
      <c r="AG249" s="546">
        <f t="shared" si="192"/>
        <v>301</v>
      </c>
      <c r="AH249" s="551">
        <f t="shared" si="181"/>
        <v>35.676794042946973</v>
      </c>
      <c r="AI249" s="553">
        <f>$AH249/PI()*SQRT('Hilfstabellen_Mat&amp;Bem'!f.Rd.3/'Hilfstabellen_Mat&amp;Bem'!$BD$30)</f>
        <v>0.56781381256064967</v>
      </c>
      <c r="AJ249" s="553">
        <f>0.5*(1+'Hilfstabellen_Mat&amp;Bem'!$BD$31*($AI249-0.3)+$AI249^2)</f>
        <v>0.67459695349536275</v>
      </c>
      <c r="AK249" s="550">
        <f t="shared" si="182"/>
        <v>0.96261783397311351</v>
      </c>
      <c r="AM249" s="551">
        <f t="shared" si="193"/>
        <v>87214.138375798051</v>
      </c>
      <c r="AQ249" s="546">
        <f t="shared" si="194"/>
        <v>301</v>
      </c>
      <c r="AR249" s="551">
        <f t="shared" si="183"/>
        <v>36.827658366913006</v>
      </c>
      <c r="AS249" s="553">
        <f>$AR249/PI()*SQRT('Hilfstabellen_Mat&amp;Bem'!f.Rd.3/'Hilfstabellen_Mat&amp;Bem'!$BD$30)</f>
        <v>0.58613038715938026</v>
      </c>
      <c r="AT249" s="553">
        <f>0.5*(1+'Hilfstabellen_Mat&amp;Bem'!$BD$31*($AS249-0.3)+$AS249^2)</f>
        <v>0.68608093473377152</v>
      </c>
      <c r="AU249" s="550">
        <f t="shared" si="184"/>
        <v>0.95907304915327818</v>
      </c>
      <c r="AW249" s="551">
        <f t="shared" si="195"/>
        <v>86892.977326336157</v>
      </c>
      <c r="BA249" s="546">
        <f t="shared" si="196"/>
        <v>301</v>
      </c>
      <c r="BB249" s="551">
        <f t="shared" si="197"/>
        <v>37.978522690879032</v>
      </c>
      <c r="BC249" s="553">
        <f>$BB249/PI()*SQRT('Hilfstabellen_Mat&amp;Bem'!f.Rd.3/'Hilfstabellen_Mat&amp;Bem'!$BD$30)</f>
        <v>0.60444696175811086</v>
      </c>
      <c r="BD249" s="553">
        <f>0.5*(1+'Hilfstabellen_Mat&amp;Bem'!$BD$31*($BC249-0.3)+$BC249^2)</f>
        <v>0.69790041287721116</v>
      </c>
      <c r="BE249" s="550">
        <f t="shared" si="198"/>
        <v>0.95532117852262211</v>
      </c>
      <c r="BG249" s="551">
        <f t="shared" si="199"/>
        <v>86553.054095328087</v>
      </c>
      <c r="BK249" s="546">
        <f t="shared" si="200"/>
        <v>301</v>
      </c>
      <c r="BL249" s="551">
        <f t="shared" si="201"/>
        <v>39.129387014845065</v>
      </c>
      <c r="BM249" s="553">
        <f>$BL249/PI()*SQRT('Hilfstabellen_Mat&amp;Bem'!f.Rd.3/'Hilfstabellen_Mat&amp;Bem'!$BD$30)</f>
        <v>0.62276353635684156</v>
      </c>
      <c r="BN249" s="553">
        <f>0.5*(1+'Hilfstabellen_Mat&amp;Bem'!$BD$31*($BM249-0.3)+$BM249^2)</f>
        <v>0.71005538792568168</v>
      </c>
      <c r="BO249" s="550">
        <f t="shared" si="202"/>
        <v>0.95134073790123497</v>
      </c>
      <c r="BQ249" s="551">
        <f t="shared" si="203"/>
        <v>86192.422194589788</v>
      </c>
      <c r="BU249" s="546">
        <f t="shared" si="204"/>
        <v>301</v>
      </c>
      <c r="BV249" s="551">
        <f t="shared" si="205"/>
        <v>40.280251338811098</v>
      </c>
      <c r="BW249" s="553">
        <f>$BV249/PI()*SQRT('Hilfstabellen_Mat&amp;Bem'!f.Rd.3/'Hilfstabellen_Mat&amp;Bem'!$BD$30)</f>
        <v>0.64108011095557216</v>
      </c>
      <c r="BX249" s="553">
        <f>0.5*(1+'Hilfstabellen_Mat&amp;Bem'!$BD$31*($BW249-0.3)+$BW249^2)</f>
        <v>0.72254585987918296</v>
      </c>
      <c r="BY249" s="550">
        <f t="shared" si="206"/>
        <v>0.94710804890275635</v>
      </c>
      <c r="CA249" s="551">
        <f t="shared" si="207"/>
        <v>85808.936338638625</v>
      </c>
      <c r="CE249" s="546">
        <f t="shared" si="208"/>
        <v>301</v>
      </c>
      <c r="CF249" s="551">
        <f t="shared" si="209"/>
        <v>41.431115662777131</v>
      </c>
      <c r="CG249" s="553">
        <f>CF249/PI()*SQRT('Hilfstabellen_Mat&amp;Bem'!f.Rd.3/'Hilfstabellen_Mat&amp;Bem'!$BD$30)</f>
        <v>0.65939668555430286</v>
      </c>
      <c r="CH249" s="553">
        <f>0.5*(1+'Hilfstabellen_Mat&amp;Bem'!$BD$31*(CG249-0.3)+CG249^2)</f>
        <v>0.73537182873771523</v>
      </c>
      <c r="CI249" s="550">
        <f t="shared" si="210"/>
        <v>0.94259707281061367</v>
      </c>
      <c r="CK249" s="551">
        <f t="shared" si="211"/>
        <v>85400.237393714415</v>
      </c>
      <c r="CO249" s="546">
        <f t="shared" si="212"/>
        <v>301</v>
      </c>
      <c r="CP249" s="551">
        <f t="shared" si="213"/>
        <v>42.581979986743157</v>
      </c>
      <c r="CQ249" s="553">
        <f>CP249/PI()*SQRT('Hilfstabellen_Mat&amp;Bem'!f.Rd.3/'Hilfstabellen_Mat&amp;Bem'!$BD$30)</f>
        <v>0.67771326015303346</v>
      </c>
      <c r="CR249" s="553">
        <f>0.5*(1+'Hilfstabellen_Mat&amp;Bem'!$BD$31*(CQ249-0.3)+CQ249^2)</f>
        <v>0.74853329450127837</v>
      </c>
      <c r="CS249" s="550">
        <f t="shared" si="214"/>
        <v>0.93777927225381141</v>
      </c>
      <c r="CU249" s="551">
        <f t="shared" si="215"/>
        <v>84963.739845467571</v>
      </c>
      <c r="CY249" s="546">
        <f t="shared" si="216"/>
        <v>301</v>
      </c>
      <c r="CZ249" s="551">
        <f t="shared" si="217"/>
        <v>43.73284431070919</v>
      </c>
      <c r="DA249" s="553">
        <f>CZ249/PI()*SQRT('Hilfstabellen_Mat&amp;Bem'!f.Rd.3/'Hilfstabellen_Mat&amp;Bem'!$BD$30)</f>
        <v>0.69602983475176405</v>
      </c>
      <c r="DB249" s="553">
        <f>0.5*(1+'Hilfstabellen_Mat&amp;Bem'!$BD$31*(DA249-0.3)+DA249^2)</f>
        <v>0.76203025716987216</v>
      </c>
      <c r="DC249" s="550">
        <f t="shared" si="218"/>
        <v>0.93262352257882986</v>
      </c>
      <c r="DE249" s="551">
        <f t="shared" si="219"/>
        <v>84496.623769164566</v>
      </c>
      <c r="DI249" s="546">
        <f t="shared" si="220"/>
        <v>301</v>
      </c>
      <c r="DJ249" s="551">
        <f t="shared" si="221"/>
        <v>44.883708634675223</v>
      </c>
      <c r="DK249" s="553">
        <f>DJ249/PI()*SQRT('Hilfstabellen_Mat&amp;Bem'!f.Rd.3/'Hilfstabellen_Mat&amp;Bem'!$BD$30)</f>
        <v>0.71434640935049476</v>
      </c>
      <c r="DL249" s="553">
        <f>0.5*(1+'Hilfstabellen_Mat&amp;Bem'!$BD$31*(DK249-0.3)+DK249^2)</f>
        <v>0.77586271674349705</v>
      </c>
      <c r="DM249" s="550">
        <f t="shared" si="222"/>
        <v>0.92709610286227506</v>
      </c>
      <c r="DO249" s="551">
        <f t="shared" si="223"/>
        <v>83995.834015424989</v>
      </c>
      <c r="DS249" s="546">
        <f t="shared" si="224"/>
        <v>301</v>
      </c>
      <c r="DT249" s="551">
        <f t="shared" si="225"/>
        <v>46.034572958641256</v>
      </c>
      <c r="DU249" s="553">
        <f>DT249/PI()*SQRT('Hilfstabellen_Mat&amp;Bem'!f.Rd.3/'Hilfstabellen_Mat&amp;Bem'!$BD$30)</f>
        <v>0.73266298394922535</v>
      </c>
      <c r="DV249" s="553">
        <f>0.5*(1+'Hilfstabellen_Mat&amp;Bem'!$BD$31*(DU249-0.3)+DU249^2)</f>
        <v>0.7900306732221527</v>
      </c>
      <c r="DW249" s="550">
        <f t="shared" si="226"/>
        <v>0.92116080600597172</v>
      </c>
      <c r="DY249" s="551">
        <f t="shared" si="227"/>
        <v>83458.090184947039</v>
      </c>
      <c r="EC249" s="546">
        <f t="shared" si="228"/>
        <v>301</v>
      </c>
      <c r="ED249" s="551">
        <f t="shared" si="229"/>
        <v>47.185437282607289</v>
      </c>
      <c r="EE249" s="553">
        <f>ED249/PI()*SQRT('Hilfstabellen_Mat&amp;Bem'!f.Rd.3/'Hilfstabellen_Mat&amp;Bem'!$BD$30)</f>
        <v>0.75097955854795595</v>
      </c>
      <c r="EF249" s="553">
        <f>0.5*(1+'Hilfstabellen_Mat&amp;Bem'!$BD$31*(EE249-0.3)+EE249^2)</f>
        <v>0.80453412660583923</v>
      </c>
      <c r="EG249" s="550">
        <f t="shared" si="230"/>
        <v>0.91477921764750125</v>
      </c>
      <c r="EI249" s="551">
        <f t="shared" si="231"/>
        <v>82879.911898081264</v>
      </c>
      <c r="EM249" s="546">
        <f t="shared" si="232"/>
        <v>301</v>
      </c>
      <c r="EN249" s="551">
        <f t="shared" si="233"/>
        <v>48.336301606573315</v>
      </c>
      <c r="EO249" s="553">
        <f>EN249/PI()*SQRT('Hilfstabellen_Mat&amp;Bem'!f.Rd.3/'Hilfstabellen_Mat&amp;Bem'!$BD$30)</f>
        <v>0.76929613314668654</v>
      </c>
      <c r="EP249" s="553">
        <f>0.5*(1+'Hilfstabellen_Mat&amp;Bem'!$BD$31*(EO249-0.3)+EO249^2)</f>
        <v>0.81937307689455652</v>
      </c>
      <c r="EQ249" s="550">
        <f t="shared" si="234"/>
        <v>0.90791122322520768</v>
      </c>
      <c r="ES249" s="551">
        <f t="shared" si="235"/>
        <v>82257.664735427039</v>
      </c>
    </row>
    <row r="250" spans="3:149">
      <c r="C250" s="546">
        <v>302</v>
      </c>
      <c r="D250" s="551">
        <f t="shared" si="185"/>
        <v>32.117498418495735</v>
      </c>
      <c r="E250" s="553">
        <f>$D250/PI()*SQRT('Hilfstabellen_Mat&amp;Bem'!f.Rd.3/'Hilfstabellen_Mat&amp;Bem'!$BD$30)</f>
        <v>0.51116586330497282</v>
      </c>
      <c r="F250" s="553">
        <f>0.5*(1+'Hilfstabellen_Mat&amp;Bem'!$BD$31*($E250-0.3)+$E250^2)</f>
        <v>0.64120356306940773</v>
      </c>
      <c r="G250" s="550">
        <f t="shared" si="186"/>
        <v>0.97246929872717358</v>
      </c>
      <c r="I250" s="551">
        <f t="shared" si="187"/>
        <v>88693.089921113133</v>
      </c>
      <c r="M250" s="546">
        <f t="shared" si="188"/>
        <v>302</v>
      </c>
      <c r="N250" s="551">
        <f t="shared" si="177"/>
        <v>33.264551933442014</v>
      </c>
      <c r="O250" s="553">
        <f>$N250/PI()*SQRT('Hilfstabellen_Mat&amp;Bem'!f.Rd.3/'Hilfstabellen_Mat&amp;Bem'!$BD$30)</f>
        <v>0.52942178699443609</v>
      </c>
      <c r="P250" s="553">
        <f>0.5*(1+'Hilfstabellen_Mat&amp;Bem'!$BD$31*($O250-0.3)+$O250^2)</f>
        <v>0.65161480362191293</v>
      </c>
      <c r="Q250" s="550">
        <f t="shared" si="178"/>
        <v>0.96945989352170392</v>
      </c>
      <c r="S250" s="551">
        <f t="shared" si="189"/>
        <v>88418.620128753479</v>
      </c>
      <c r="W250" s="546">
        <f t="shared" si="190"/>
        <v>302</v>
      </c>
      <c r="X250" s="551">
        <f t="shared" si="179"/>
        <v>34.411605448388286</v>
      </c>
      <c r="Y250" s="553">
        <f>$X250/PI()*SQRT('Hilfstabellen_Mat&amp;Bem'!f.Rd.3/'Hilfstabellen_Mat&amp;Bem'!$BD$30)</f>
        <v>0.54767771068389937</v>
      </c>
      <c r="Z250" s="553">
        <f>0.5*(1+'Hilfstabellen_Mat&amp;Bem'!$BD$31*($Y250-0.3)+$Y250^2)</f>
        <v>0.66235932292417354</v>
      </c>
      <c r="AA250" s="550">
        <f t="shared" si="180"/>
        <v>0.96629893903554276</v>
      </c>
      <c r="AC250" s="551">
        <f t="shared" si="191"/>
        <v>88130.328435797637</v>
      </c>
      <c r="AG250" s="546">
        <f t="shared" si="192"/>
        <v>302</v>
      </c>
      <c r="AH250" s="551">
        <f t="shared" si="181"/>
        <v>35.558658963334565</v>
      </c>
      <c r="AI250" s="553">
        <f>$AH250/PI()*SQRT('Hilfstabellen_Mat&amp;Bem'!f.Rd.3/'Hilfstabellen_Mat&amp;Bem'!$BD$30)</f>
        <v>0.56593363437336275</v>
      </c>
      <c r="AJ250" s="553">
        <f>0.5*(1+'Hilfstabellen_Mat&amp;Bem'!$BD$31*($AI250-0.3)+$AI250^2)</f>
        <v>0.67343712097618968</v>
      </c>
      <c r="AK250" s="550">
        <f t="shared" si="182"/>
        <v>0.96297077217661908</v>
      </c>
      <c r="AM250" s="551">
        <f t="shared" si="193"/>
        <v>87826.786305596368</v>
      </c>
      <c r="AQ250" s="546">
        <f t="shared" si="194"/>
        <v>302</v>
      </c>
      <c r="AR250" s="551">
        <f t="shared" si="183"/>
        <v>36.705712478280844</v>
      </c>
      <c r="AS250" s="553">
        <f>$AR250/PI()*SQRT('Hilfstabellen_Mat&amp;Bem'!f.Rd.3/'Hilfstabellen_Mat&amp;Bem'!$BD$30)</f>
        <v>0.58418955806282602</v>
      </c>
      <c r="AT250" s="553">
        <f>0.5*(1+'Hilfstabellen_Mat&amp;Bem'!$BD$31*($AS250-0.3)+$AS250^2)</f>
        <v>0.68484819777796124</v>
      </c>
      <c r="AU250" s="550">
        <f t="shared" si="184"/>
        <v>0.959458108400423</v>
      </c>
      <c r="AW250" s="551">
        <f t="shared" si="195"/>
        <v>87506.417318552179</v>
      </c>
      <c r="BA250" s="546">
        <f t="shared" si="196"/>
        <v>302</v>
      </c>
      <c r="BB250" s="551">
        <f t="shared" si="197"/>
        <v>37.852765993227116</v>
      </c>
      <c r="BC250" s="553">
        <f>$BB250/PI()*SQRT('Hilfstabellen_Mat&amp;Bem'!f.Rd.3/'Hilfstabellen_Mat&amp;Bem'!$BD$30)</f>
        <v>0.6024454817522894</v>
      </c>
      <c r="BD250" s="553">
        <f>0.5*(1+'Hilfstabellen_Mat&amp;Bem'!$BD$31*($BC250-0.3)+$BC250^2)</f>
        <v>0.69659255332948855</v>
      </c>
      <c r="BE250" s="550">
        <f t="shared" si="198"/>
        <v>0.95574187001270616</v>
      </c>
      <c r="BG250" s="551">
        <f t="shared" si="199"/>
        <v>87167.481512638857</v>
      </c>
      <c r="BK250" s="546">
        <f t="shared" si="200"/>
        <v>302</v>
      </c>
      <c r="BL250" s="551">
        <f t="shared" si="201"/>
        <v>38.999819508173395</v>
      </c>
      <c r="BM250" s="553">
        <f>$BL250/PI()*SQRT('Hilfstabellen_Mat&amp;Bem'!f.Rd.3/'Hilfstabellen_Mat&amp;Bem'!$BD$30)</f>
        <v>0.62070140544175267</v>
      </c>
      <c r="BN250" s="553">
        <f>0.5*(1+'Hilfstabellen_Mat&amp;Bem'!$BD$31*($BM250-0.3)+$BM250^2)</f>
        <v>0.70867018763077116</v>
      </c>
      <c r="BO250" s="550">
        <f t="shared" si="202"/>
        <v>0.95180100906105491</v>
      </c>
      <c r="BQ250" s="551">
        <f t="shared" si="203"/>
        <v>86808.059230404455</v>
      </c>
      <c r="BU250" s="546">
        <f t="shared" si="204"/>
        <v>302</v>
      </c>
      <c r="BV250" s="551">
        <f t="shared" si="205"/>
        <v>40.146873023119667</v>
      </c>
      <c r="BW250" s="553">
        <f>$BV250/PI()*SQRT('Hilfstabellen_Mat&amp;Bem'!f.Rd.3/'Hilfstabellen_Mat&amp;Bem'!$BD$30)</f>
        <v>0.63895732913121595</v>
      </c>
      <c r="BX250" s="553">
        <f>0.5*(1+'Hilfstabellen_Mat&amp;Bem'!$BD$31*($BW250-0.3)+$BW250^2)</f>
        <v>0.72108110068180931</v>
      </c>
      <c r="BY250" s="550">
        <f t="shared" si="206"/>
        <v>0.94761233116841015</v>
      </c>
      <c r="CA250" s="551">
        <f t="shared" si="207"/>
        <v>86426.035051883679</v>
      </c>
      <c r="CE250" s="546">
        <f t="shared" si="208"/>
        <v>302</v>
      </c>
      <c r="CF250" s="551">
        <f t="shared" si="209"/>
        <v>41.293926538065946</v>
      </c>
      <c r="CG250" s="553">
        <f>CF250/PI()*SQRT('Hilfstabellen_Mat&amp;Bem'!f.Rd.3/'Hilfstabellen_Mat&amp;Bem'!$BD$30)</f>
        <v>0.65721325282067933</v>
      </c>
      <c r="CH250" s="553">
        <f>0.5*(1+'Hilfstabellen_Mat&amp;Bem'!$BD$31*(CG250-0.3)+CG250^2)</f>
        <v>0.73382529248260298</v>
      </c>
      <c r="CI250" s="550">
        <f t="shared" si="210"/>
        <v>0.94315033012598715</v>
      </c>
      <c r="CK250" s="551">
        <f t="shared" si="211"/>
        <v>86019.082708810529</v>
      </c>
      <c r="CO250" s="546">
        <f t="shared" si="212"/>
        <v>302</v>
      </c>
      <c r="CP250" s="551">
        <f t="shared" si="213"/>
        <v>42.440980053012225</v>
      </c>
      <c r="CQ250" s="553">
        <f>CP250/PI()*SQRT('Hilfstabellen_Mat&amp;Bem'!f.Rd.3/'Hilfstabellen_Mat&amp;Bem'!$BD$30)</f>
        <v>0.6754691765101426</v>
      </c>
      <c r="CR250" s="553">
        <f>0.5*(1+'Hilfstabellen_Mat&amp;Bem'!$BD$31*(CQ250-0.3)+CQ250^2)</f>
        <v>0.74690276303315228</v>
      </c>
      <c r="CS250" s="550">
        <f t="shared" si="214"/>
        <v>0.93838704773558335</v>
      </c>
      <c r="CU250" s="551">
        <f t="shared" si="215"/>
        <v>85584.652301676149</v>
      </c>
      <c r="CY250" s="546">
        <f t="shared" si="216"/>
        <v>302</v>
      </c>
      <c r="CZ250" s="551">
        <f t="shared" si="217"/>
        <v>43.588033567958497</v>
      </c>
      <c r="DA250" s="553">
        <f>CZ250/PI()*SQRT('Hilfstabellen_Mat&amp;Bem'!f.Rd.3/'Hilfstabellen_Mat&amp;Bem'!$BD$30)</f>
        <v>0.69372510019960587</v>
      </c>
      <c r="DB250" s="553">
        <f>0.5*(1+'Hilfstabellen_Mat&amp;Bem'!$BD$31*(DA250-0.3)+DA250^2)</f>
        <v>0.7603135123334569</v>
      </c>
      <c r="DC250" s="550">
        <f t="shared" si="218"/>
        <v>0.93329197949410536</v>
      </c>
      <c r="DE250" s="551">
        <f t="shared" si="219"/>
        <v>85119.961697780382</v>
      </c>
      <c r="DI250" s="546">
        <f t="shared" si="220"/>
        <v>302</v>
      </c>
      <c r="DJ250" s="551">
        <f t="shared" si="221"/>
        <v>44.735087082904776</v>
      </c>
      <c r="DK250" s="553">
        <f>DJ250/PI()*SQRT('Hilfstabellen_Mat&amp;Bem'!f.Rd.3/'Hilfstabellen_Mat&amp;Bem'!$BD$30)</f>
        <v>0.71198102388906925</v>
      </c>
      <c r="DL250" s="553">
        <f>0.5*(1+'Hilfstabellen_Mat&amp;Bem'!$BD$31*(DK250-0.3)+DK250^2)</f>
        <v>0.77405754038351726</v>
      </c>
      <c r="DM250" s="550">
        <f t="shared" si="222"/>
        <v>0.92783205437076077</v>
      </c>
      <c r="DO250" s="551">
        <f t="shared" si="223"/>
        <v>84621.994686830862</v>
      </c>
      <c r="DS250" s="546">
        <f t="shared" si="224"/>
        <v>302</v>
      </c>
      <c r="DT250" s="551">
        <f t="shared" si="225"/>
        <v>45.882140597851055</v>
      </c>
      <c r="DU250" s="553">
        <f>DT250/PI()*SQRT('Hilfstabellen_Mat&amp;Bem'!f.Rd.3/'Hilfstabellen_Mat&amp;Bem'!$BD$30)</f>
        <v>0.73023694757853264</v>
      </c>
      <c r="DV250" s="553">
        <f>0.5*(1+'Hilfstabellen_Mat&amp;Bem'!$BD$31*(DU250-0.3)+DU250^2)</f>
        <v>0.78813484718333293</v>
      </c>
      <c r="DW250" s="550">
        <f t="shared" si="226"/>
        <v>0.92197172603005895</v>
      </c>
      <c r="DY250" s="551">
        <f t="shared" si="227"/>
        <v>84087.509300845501</v>
      </c>
      <c r="EC250" s="546">
        <f t="shared" si="228"/>
        <v>302</v>
      </c>
      <c r="ED250" s="551">
        <f t="shared" si="229"/>
        <v>47.029194112797327</v>
      </c>
      <c r="EE250" s="553">
        <f>ED250/PI()*SQRT('Hilfstabellen_Mat&amp;Bem'!f.Rd.3/'Hilfstabellen_Mat&amp;Bem'!$BD$30)</f>
        <v>0.7484928712679958</v>
      </c>
      <c r="EF250" s="553">
        <f>0.5*(1+'Hilfstabellen_Mat&amp;Bem'!$BD$31*(EE250-0.3)+EE250^2)</f>
        <v>0.80254543273290402</v>
      </c>
      <c r="EG250" s="550">
        <f t="shared" si="230"/>
        <v>0.91567322284154484</v>
      </c>
      <c r="EI250" s="551">
        <f t="shared" si="231"/>
        <v>83513.060616040253</v>
      </c>
      <c r="EM250" s="546">
        <f t="shared" si="232"/>
        <v>302</v>
      </c>
      <c r="EN250" s="551">
        <f t="shared" si="233"/>
        <v>48.176247627743606</v>
      </c>
      <c r="EO250" s="553">
        <f>EN250/PI()*SQRT('Hilfstabellen_Mat&amp;Bem'!f.Rd.3/'Hilfstabellen_Mat&amp;Bem'!$BD$30)</f>
        <v>0.76674879495745918</v>
      </c>
      <c r="EP250" s="553">
        <f>0.5*(1+'Hilfstabellen_Mat&amp;Bem'!$BD$31*(EO250-0.3)+EO250^2)</f>
        <v>0.81728929703223085</v>
      </c>
      <c r="EQ250" s="550">
        <f t="shared" si="234"/>
        <v>0.90889701357691166</v>
      </c>
      <c r="ES250" s="551">
        <f t="shared" si="235"/>
        <v>82895.043226268652</v>
      </c>
    </row>
    <row r="251" spans="3:149">
      <c r="C251" s="546">
        <v>303</v>
      </c>
      <c r="D251" s="551">
        <f t="shared" si="185"/>
        <v>32.011500073880235</v>
      </c>
      <c r="E251" s="553">
        <f>$D251/PI()*SQRT('Hilfstabellen_Mat&amp;Bem'!f.Rd.3/'Hilfstabellen_Mat&amp;Bem'!$BD$30)</f>
        <v>0.50947884725446124</v>
      </c>
      <c r="F251" s="553">
        <f>0.5*(1+'Hilfstabellen_Mat&amp;Bem'!$BD$31*($E251-0.3)+$E251^2)</f>
        <v>0.6402582902625904</v>
      </c>
      <c r="G251" s="550">
        <f t="shared" si="186"/>
        <v>0.97274025715966095</v>
      </c>
      <c r="I251" s="551">
        <f t="shared" si="187"/>
        <v>89306.310269571317</v>
      </c>
      <c r="M251" s="546">
        <f t="shared" si="188"/>
        <v>303</v>
      </c>
      <c r="N251" s="551">
        <f t="shared" si="177"/>
        <v>33.154767933661681</v>
      </c>
      <c r="O251" s="553">
        <f>$N251/PI()*SQRT('Hilfstabellen_Mat&amp;Bem'!f.Rd.3/'Hilfstabellen_Mat&amp;Bem'!$BD$30)</f>
        <v>0.52767452037069218</v>
      </c>
      <c r="P251" s="553">
        <f>0.5*(1+'Hilfstabellen_Mat&amp;Bem'!$BD$31*($O251-0.3)+$O251^2)</f>
        <v>0.65060392574275472</v>
      </c>
      <c r="Q251" s="550">
        <f t="shared" si="178"/>
        <v>0.96975424565514468</v>
      </c>
      <c r="S251" s="551">
        <f t="shared" si="189"/>
        <v>89032.167539353177</v>
      </c>
      <c r="W251" s="546">
        <f t="shared" si="190"/>
        <v>303</v>
      </c>
      <c r="X251" s="551">
        <f t="shared" si="179"/>
        <v>34.298035793443113</v>
      </c>
      <c r="Y251" s="553">
        <f>$X251/PI()*SQRT('Hilfstabellen_Mat&amp;Bem'!f.Rd.3/'Hilfstabellen_Mat&amp;Bem'!$BD$30)</f>
        <v>0.54587019348692278</v>
      </c>
      <c r="Z251" s="553">
        <f>0.5*(1+'Hilfstabellen_Mat&amp;Bem'!$BD$31*($Y251-0.3)+$Y251^2)</f>
        <v>0.66128064374307138</v>
      </c>
      <c r="AA251" s="550">
        <f t="shared" si="180"/>
        <v>0.96661909509993693</v>
      </c>
      <c r="AC251" s="551">
        <f t="shared" si="191"/>
        <v>88744.332502030113</v>
      </c>
      <c r="AG251" s="546">
        <f t="shared" si="192"/>
        <v>303</v>
      </c>
      <c r="AH251" s="551">
        <f t="shared" si="181"/>
        <v>35.441303653224551</v>
      </c>
      <c r="AI251" s="553">
        <f>$AH251/PI()*SQRT('Hilfstabellen_Mat&amp;Bem'!f.Rd.3/'Hilfstabellen_Mat&amp;Bem'!$BD$30)</f>
        <v>0.56406586660315361</v>
      </c>
      <c r="AJ251" s="553">
        <f>0.5*(1+'Hilfstabellen_Mat&amp;Bem'!$BD$31*($AI251-0.3)+$AI251^2)</f>
        <v>0.67228844426354106</v>
      </c>
      <c r="AK251" s="550">
        <f t="shared" si="182"/>
        <v>0.96331944464806807</v>
      </c>
      <c r="AM251" s="551">
        <f t="shared" si="193"/>
        <v>88441.39489369448</v>
      </c>
      <c r="AQ251" s="546">
        <f t="shared" si="194"/>
        <v>303</v>
      </c>
      <c r="AR251" s="551">
        <f t="shared" si="183"/>
        <v>36.58457151300599</v>
      </c>
      <c r="AS251" s="553">
        <f>$AR251/PI()*SQRT('Hilfstabellen_Mat&amp;Bem'!f.Rd.3/'Hilfstabellen_Mat&amp;Bem'!$BD$30)</f>
        <v>0.58226153971938444</v>
      </c>
      <c r="AT251" s="553">
        <f>0.5*(1+'Hilfstabellen_Mat&amp;Bem'!$BD$31*($AS251-0.3)+$AS251^2)</f>
        <v>0.68362732730416331</v>
      </c>
      <c r="AU251" s="550">
        <f t="shared" si="184"/>
        <v>0.95983834963540515</v>
      </c>
      <c r="AW251" s="551">
        <f t="shared" si="195"/>
        <v>88121.799041676917</v>
      </c>
      <c r="BA251" s="546">
        <f t="shared" si="196"/>
        <v>303</v>
      </c>
      <c r="BB251" s="551">
        <f t="shared" si="197"/>
        <v>37.727839372787429</v>
      </c>
      <c r="BC251" s="553">
        <f>$BB251/PI()*SQRT('Hilfstabellen_Mat&amp;Bem'!f.Rd.3/'Hilfstabellen_Mat&amp;Bem'!$BD$30)</f>
        <v>0.60045721283561526</v>
      </c>
      <c r="BD251" s="553">
        <f>0.5*(1+'Hilfstabellen_Mat&amp;Bem'!$BD$31*($BC251-0.3)+$BC251^2)</f>
        <v>0.69529729286493835</v>
      </c>
      <c r="BE251" s="550">
        <f t="shared" si="198"/>
        <v>0.95615711347172883</v>
      </c>
      <c r="BG251" s="551">
        <f t="shared" si="199"/>
        <v>87783.828430725946</v>
      </c>
      <c r="BK251" s="546">
        <f t="shared" si="200"/>
        <v>303</v>
      </c>
      <c r="BL251" s="551">
        <f t="shared" si="201"/>
        <v>38.87110723256886</v>
      </c>
      <c r="BM251" s="553">
        <f>$BL251/PI()*SQRT('Hilfstabellen_Mat&amp;Bem'!f.Rd.3/'Hilfstabellen_Mat&amp;Bem'!$BD$30)</f>
        <v>0.61865288595184587</v>
      </c>
      <c r="BN251" s="553">
        <f>0.5*(1+'Hilfstabellen_Mat&amp;Bem'!$BD$31*($BM251-0.3)+$BM251^2)</f>
        <v>0.70729834094586619</v>
      </c>
      <c r="BO251" s="550">
        <f t="shared" si="202"/>
        <v>0.95225511373892435</v>
      </c>
      <c r="BQ251" s="551">
        <f t="shared" si="203"/>
        <v>87425.589737256902</v>
      </c>
      <c r="BU251" s="546">
        <f t="shared" si="204"/>
        <v>303</v>
      </c>
      <c r="BV251" s="551">
        <f t="shared" si="205"/>
        <v>40.014375092350299</v>
      </c>
      <c r="BW251" s="553">
        <f>$BV251/PI()*SQRT('Hilfstabellen_Mat&amp;Bem'!f.Rd.3/'Hilfstabellen_Mat&amp;Bem'!$BD$30)</f>
        <v>0.63684855906807669</v>
      </c>
      <c r="BX251" s="553">
        <f>0.5*(1+'Hilfstabellen_Mat&amp;Bem'!$BD$31*($BW251-0.3)+$BW251^2)</f>
        <v>0.71963047154694659</v>
      </c>
      <c r="BY251" s="550">
        <f t="shared" si="206"/>
        <v>0.94810962840748936</v>
      </c>
      <c r="CA251" s="551">
        <f t="shared" si="207"/>
        <v>87044.996874463191</v>
      </c>
      <c r="CE251" s="546">
        <f t="shared" si="208"/>
        <v>303</v>
      </c>
      <c r="CF251" s="551">
        <f t="shared" si="209"/>
        <v>41.157642952131738</v>
      </c>
      <c r="CG251" s="553">
        <f>CF251/PI()*SQRT('Hilfstabellen_Mat&amp;Bem'!f.Rd.3/'Hilfstabellen_Mat&amp;Bem'!$BD$30)</f>
        <v>0.65504423218430752</v>
      </c>
      <c r="CH251" s="553">
        <f>0.5*(1+'Hilfstabellen_Mat&amp;Bem'!$BD$31*(CG251-0.3)+CG251^2)</f>
        <v>0.73229368466817979</v>
      </c>
      <c r="CI251" s="550">
        <f t="shared" si="210"/>
        <v>0.9436956713465986</v>
      </c>
      <c r="CK251" s="551">
        <f t="shared" si="211"/>
        <v>86639.755890659872</v>
      </c>
      <c r="CO251" s="546">
        <f t="shared" si="212"/>
        <v>303</v>
      </c>
      <c r="CP251" s="551">
        <f t="shared" si="213"/>
        <v>42.300910811913177</v>
      </c>
      <c r="CQ251" s="553">
        <f>CP251/PI()*SQRT('Hilfstabellen_Mat&amp;Bem'!f.Rd.3/'Hilfstabellen_Mat&amp;Bem'!$BD$30)</f>
        <v>0.67323990530053823</v>
      </c>
      <c r="CR251" s="553">
        <f>0.5*(1+'Hilfstabellen_Mat&amp;Bem'!$BD$31*(CQ251-0.3)+CQ251^2)</f>
        <v>0.74528798030956578</v>
      </c>
      <c r="CS251" s="550">
        <f t="shared" si="214"/>
        <v>0.93898585071360152</v>
      </c>
      <c r="CU251" s="551">
        <f t="shared" si="215"/>
        <v>86207.351968165036</v>
      </c>
      <c r="CY251" s="546">
        <f t="shared" si="216"/>
        <v>303</v>
      </c>
      <c r="CZ251" s="551">
        <f t="shared" si="217"/>
        <v>43.444178671694608</v>
      </c>
      <c r="DA251" s="553">
        <f>CZ251/PI()*SQRT('Hilfstabellen_Mat&amp;Bem'!f.Rd.3/'Hilfstabellen_Mat&amp;Bem'!$BD$30)</f>
        <v>0.69143557841676895</v>
      </c>
      <c r="DB251" s="553">
        <f>0.5*(1+'Hilfstabellen_Mat&amp;Bem'!$BD$31*(DA251-0.3)+DA251^2)</f>
        <v>0.75861335847110445</v>
      </c>
      <c r="DC251" s="550">
        <f t="shared" si="218"/>
        <v>0.93395026958701832</v>
      </c>
      <c r="DE251" s="551">
        <f t="shared" si="219"/>
        <v>85745.040300514564</v>
      </c>
      <c r="DI251" s="546">
        <f t="shared" si="220"/>
        <v>303</v>
      </c>
      <c r="DJ251" s="551">
        <f t="shared" si="221"/>
        <v>44.587446531476047</v>
      </c>
      <c r="DK251" s="553">
        <f>DJ251/PI()*SQRT('Hilfstabellen_Mat&amp;Bem'!f.Rd.3/'Hilfstabellen_Mat&amp;Bem'!$BD$30)</f>
        <v>0.70963125153299966</v>
      </c>
      <c r="DL251" s="553">
        <f>0.5*(1+'Hilfstabellen_Mat&amp;Bem'!$BD$31*(DK251-0.3)+DK251^2)</f>
        <v>0.77226981915279569</v>
      </c>
      <c r="DM251" s="550">
        <f t="shared" si="222"/>
        <v>0.92855649548965469</v>
      </c>
      <c r="DO251" s="551">
        <f t="shared" si="223"/>
        <v>85249.8432944097</v>
      </c>
      <c r="DS251" s="546">
        <f t="shared" si="224"/>
        <v>303</v>
      </c>
      <c r="DT251" s="551">
        <f t="shared" si="225"/>
        <v>45.730714391257486</v>
      </c>
      <c r="DU251" s="553">
        <f>DT251/PI()*SQRT('Hilfstabellen_Mat&amp;Bem'!f.Rd.3/'Hilfstabellen_Mat&amp;Bem'!$BD$30)</f>
        <v>0.72782692464923049</v>
      </c>
      <c r="DV251" s="553">
        <f>0.5*(1+'Hilfstabellen_Mat&amp;Bem'!$BD$31*(DU251-0.3)+DU251^2)</f>
        <v>0.78625736235463983</v>
      </c>
      <c r="DW251" s="550">
        <f t="shared" si="226"/>
        <v>0.92276963416492441</v>
      </c>
      <c r="DY251" s="551">
        <f t="shared" si="227"/>
        <v>84718.557343047549</v>
      </c>
      <c r="EC251" s="546">
        <f t="shared" si="228"/>
        <v>303</v>
      </c>
      <c r="ED251" s="551">
        <f t="shared" si="229"/>
        <v>46.873982251038925</v>
      </c>
      <c r="EE251" s="553">
        <f>ED251/PI()*SQRT('Hilfstabellen_Mat&amp;Bem'!f.Rd.3/'Hilfstabellen_Mat&amp;Bem'!$BD$30)</f>
        <v>0.74602259776546131</v>
      </c>
      <c r="EF251" s="553">
        <f>0.5*(1+'Hilfstabellen_Mat&amp;Bem'!$BD$31*(EE251-0.3)+EE251^2)</f>
        <v>0.80057598807663666</v>
      </c>
      <c r="EG251" s="550">
        <f t="shared" si="230"/>
        <v>0.9165525526444751</v>
      </c>
      <c r="EI251" s="551">
        <f t="shared" si="231"/>
        <v>84147.773305736613</v>
      </c>
      <c r="EM251" s="546">
        <f t="shared" si="232"/>
        <v>303</v>
      </c>
      <c r="EN251" s="551">
        <f t="shared" si="233"/>
        <v>48.017250110820356</v>
      </c>
      <c r="EO251" s="553">
        <f>EN251/PI()*SQRT('Hilfstabellen_Mat&amp;Bem'!f.Rd.3/'Hilfstabellen_Mat&amp;Bem'!$BD$30)</f>
        <v>0.76421827088169192</v>
      </c>
      <c r="EP251" s="553">
        <f>0.5*(1+'Hilfstabellen_Mat&amp;Bem'!$BD$31*(EO251-0.3)+EO251^2)</f>
        <v>0.81522569631878605</v>
      </c>
      <c r="EQ251" s="550">
        <f t="shared" si="234"/>
        <v>0.90986630611635411</v>
      </c>
      <c r="ES251" s="551">
        <f t="shared" si="235"/>
        <v>83533.915698236349</v>
      </c>
    </row>
    <row r="252" spans="3:149">
      <c r="C252" s="546">
        <v>304</v>
      </c>
      <c r="D252" s="551">
        <f t="shared" si="185"/>
        <v>31.906199086795109</v>
      </c>
      <c r="E252" s="553">
        <f>$D252/PI()*SQRT('Hilfstabellen_Mat&amp;Bem'!f.Rd.3/'Hilfstabellen_Mat&amp;Bem'!$BD$30)</f>
        <v>0.50780292999375587</v>
      </c>
      <c r="F252" s="553">
        <f>0.5*(1+'Hilfstabellen_Mat&amp;Bem'!$BD$31*($E252-0.3)+$E252^2)</f>
        <v>0.63932205435480949</v>
      </c>
      <c r="G252" s="550">
        <f t="shared" si="186"/>
        <v>0.97300828306661702</v>
      </c>
      <c r="I252" s="551">
        <f t="shared" si="187"/>
        <v>89921.533487884473</v>
      </c>
      <c r="M252" s="546">
        <f t="shared" si="188"/>
        <v>304</v>
      </c>
      <c r="N252" s="551">
        <f t="shared" si="177"/>
        <v>33.045706197037788</v>
      </c>
      <c r="O252" s="553">
        <f>$N252/PI()*SQRT('Hilfstabellen_Mat&amp;Bem'!f.Rd.3/'Hilfstabellen_Mat&amp;Bem'!$BD$30)</f>
        <v>0.52593874892210424</v>
      </c>
      <c r="P252" s="553">
        <f>0.5*(1+'Hilfstabellen_Mat&amp;Bem'!$BD$31*($O252-0.3)+$O252^2)</f>
        <v>0.64960272125497931</v>
      </c>
      <c r="Q252" s="550">
        <f t="shared" si="178"/>
        <v>0.97004530062389149</v>
      </c>
      <c r="S252" s="551">
        <f t="shared" si="189"/>
        <v>89647.706502457557</v>
      </c>
      <c r="W252" s="546">
        <f t="shared" si="190"/>
        <v>304</v>
      </c>
      <c r="X252" s="551">
        <f t="shared" si="179"/>
        <v>34.18521330728047</v>
      </c>
      <c r="Y252" s="553">
        <f>$X252/PI()*SQRT('Hilfstabellen_Mat&amp;Bem'!f.Rd.3/'Hilfstabellen_Mat&amp;Bem'!$BD$30)</f>
        <v>0.54407456785045272</v>
      </c>
      <c r="Z252" s="553">
        <f>0.5*(1+'Hilfstabellen_Mat&amp;Bem'!$BD$31*($Y252-0.3)+$Y252^2)</f>
        <v>0.66021229608335097</v>
      </c>
      <c r="AA252" s="550">
        <f t="shared" si="180"/>
        <v>0.96693553881712935</v>
      </c>
      <c r="AC252" s="551">
        <f t="shared" si="191"/>
        <v>89360.314755323823</v>
      </c>
      <c r="AG252" s="546">
        <f t="shared" si="192"/>
        <v>304</v>
      </c>
      <c r="AH252" s="551">
        <f t="shared" si="181"/>
        <v>35.324720417523153</v>
      </c>
      <c r="AI252" s="553">
        <f>$AH252/PI()*SQRT('Hilfstabellen_Mat&amp;Bem'!f.Rd.3/'Hilfstabellen_Mat&amp;Bem'!$BD$30)</f>
        <v>0.5622103867788012</v>
      </c>
      <c r="AJ252" s="553">
        <f>0.5*(1+'Hilfstabellen_Mat&amp;Bem'!$BD$31*($AI252-0.3)+$AI252^2)</f>
        <v>0.67115077883992469</v>
      </c>
      <c r="AK252" s="550">
        <f t="shared" si="182"/>
        <v>0.96366393166357456</v>
      </c>
      <c r="AM252" s="551">
        <f t="shared" si="193"/>
        <v>89057.965908620899</v>
      </c>
      <c r="AQ252" s="546">
        <f t="shared" si="194"/>
        <v>304</v>
      </c>
      <c r="AR252" s="551">
        <f t="shared" si="183"/>
        <v>36.464227527765836</v>
      </c>
      <c r="AS252" s="553">
        <f>$AR252/PI()*SQRT('Hilfstabellen_Mat&amp;Bem'!f.Rd.3/'Hilfstabellen_Mat&amp;Bem'!$BD$30)</f>
        <v>0.58034620570714945</v>
      </c>
      <c r="AT252" s="553">
        <f>0.5*(1+'Hilfstabellen_Mat&amp;Bem'!$BD$31*($AS252-0.3)+$AS252^2)</f>
        <v>0.68241816952470002</v>
      </c>
      <c r="AU252" s="550">
        <f t="shared" si="184"/>
        <v>0.96021386602318637</v>
      </c>
      <c r="AW252" s="551">
        <f t="shared" si="195"/>
        <v>88739.12464239879</v>
      </c>
      <c r="BA252" s="546">
        <f t="shared" si="196"/>
        <v>304</v>
      </c>
      <c r="BB252" s="551">
        <f t="shared" si="197"/>
        <v>37.603734638008518</v>
      </c>
      <c r="BC252" s="553">
        <f>$BB252/PI()*SQRT('Hilfstabellen_Mat&amp;Bem'!f.Rd.3/'Hilfstabellen_Mat&amp;Bem'!$BD$30)</f>
        <v>0.59848202463549793</v>
      </c>
      <c r="BD252" s="553">
        <f>0.5*(1+'Hilfstabellen_Mat&amp;Bem'!$BD$31*($BC252-0.3)+$BC252^2)</f>
        <v>0.69401446813767731</v>
      </c>
      <c r="BE252" s="550">
        <f t="shared" si="198"/>
        <v>0.95656701702995584</v>
      </c>
      <c r="BG252" s="551">
        <f t="shared" si="199"/>
        <v>88402.097445840394</v>
      </c>
      <c r="BK252" s="546">
        <f t="shared" si="200"/>
        <v>304</v>
      </c>
      <c r="BL252" s="551">
        <f t="shared" si="201"/>
        <v>38.743241748251201</v>
      </c>
      <c r="BM252" s="553">
        <f>$BL252/PI()*SQRT('Hilfstabellen_Mat&amp;Bem'!f.Rd.3/'Hilfstabellen_Mat&amp;Bem'!$BD$30)</f>
        <v>0.61661784356384641</v>
      </c>
      <c r="BN252" s="553">
        <f>0.5*(1+'Hilfstabellen_Mat&amp;Bem'!$BD$31*($BM252-0.3)+$BM252^2)</f>
        <v>0.70593967467885643</v>
      </c>
      <c r="BO252" s="550">
        <f t="shared" si="202"/>
        <v>0.95270317739056731</v>
      </c>
      <c r="BQ252" s="551">
        <f t="shared" si="203"/>
        <v>88045.016841726669</v>
      </c>
      <c r="BU252" s="546">
        <f t="shared" si="204"/>
        <v>304</v>
      </c>
      <c r="BV252" s="551">
        <f t="shared" si="205"/>
        <v>39.882748858493883</v>
      </c>
      <c r="BW252" s="553">
        <f>$BV252/PI()*SQRT('Hilfstabellen_Mat&amp;Bem'!f.Rd.3/'Hilfstabellen_Mat&amp;Bem'!$BD$30)</f>
        <v>0.63475366249219478</v>
      </c>
      <c r="BX252" s="553">
        <f>0.5*(1+'Hilfstabellen_Mat&amp;Bem'!$BD$31*($BW252-0.3)+$BW252^2)</f>
        <v>0.71819378914823728</v>
      </c>
      <c r="BY252" s="550">
        <f t="shared" si="206"/>
        <v>0.94860008605060731</v>
      </c>
      <c r="CA252" s="551">
        <f t="shared" si="207"/>
        <v>87665.825552452923</v>
      </c>
      <c r="CE252" s="546">
        <f t="shared" si="208"/>
        <v>304</v>
      </c>
      <c r="CF252" s="551">
        <f t="shared" si="209"/>
        <v>41.022255968736566</v>
      </c>
      <c r="CG252" s="553">
        <f>CF252/PI()*SQRT('Hilfstabellen_Mat&amp;Bem'!f.Rd.3/'Hilfstabellen_Mat&amp;Bem'!$BD$30)</f>
        <v>0.65288948142054326</v>
      </c>
      <c r="CH252" s="553">
        <f>0.5*(1+'Hilfstabellen_Mat&amp;Bem'!$BD$31*(CG252-0.3)+CG252^2)</f>
        <v>0.73077681154582019</v>
      </c>
      <c r="CI252" s="550">
        <f t="shared" si="210"/>
        <v>0.94423326480190717</v>
      </c>
      <c r="CK252" s="551">
        <f t="shared" si="211"/>
        <v>87262.26139993305</v>
      </c>
      <c r="CO252" s="546">
        <f t="shared" si="212"/>
        <v>304</v>
      </c>
      <c r="CP252" s="551">
        <f t="shared" si="213"/>
        <v>42.161763078979249</v>
      </c>
      <c r="CQ252" s="553">
        <f>CP252/PI()*SQRT('Hilfstabellen_Mat&amp;Bem'!f.Rd.3/'Hilfstabellen_Mat&amp;Bem'!$BD$30)</f>
        <v>0.67102530034889174</v>
      </c>
      <c r="CR252" s="553">
        <f>0.5*(1+'Hilfstabellen_Mat&amp;Bem'!$BD$31*(CQ252-0.3)+CQ252^2)</f>
        <v>0.74368874187160483</v>
      </c>
      <c r="CS252" s="550">
        <f t="shared" si="214"/>
        <v>0.93957587556764732</v>
      </c>
      <c r="CU252" s="551">
        <f t="shared" si="215"/>
        <v>86831.844116459688</v>
      </c>
      <c r="CY252" s="546">
        <f t="shared" si="216"/>
        <v>304</v>
      </c>
      <c r="CZ252" s="551">
        <f t="shared" si="217"/>
        <v>43.301270189221931</v>
      </c>
      <c r="DA252" s="553">
        <f>CZ252/PI()*SQRT('Hilfstabellen_Mat&amp;Bem'!f.Rd.3/'Hilfstabellen_Mat&amp;Bem'!$BD$30)</f>
        <v>0.68916111927724011</v>
      </c>
      <c r="DB252" s="553">
        <f>0.5*(1+'Hilfstabellen_Mat&amp;Bem'!$BD$31*(DA252-0.3)+DA252^2)</f>
        <v>0.75692958012559108</v>
      </c>
      <c r="DC252" s="550">
        <f t="shared" si="218"/>
        <v>0.9345986165714808</v>
      </c>
      <c r="DE252" s="551">
        <f t="shared" si="219"/>
        <v>86371.86574906997</v>
      </c>
      <c r="DI252" s="546">
        <f t="shared" si="220"/>
        <v>304</v>
      </c>
      <c r="DJ252" s="551">
        <f t="shared" si="221"/>
        <v>44.440777299464614</v>
      </c>
      <c r="DK252" s="553">
        <f>DJ252/PI()*SQRT('Hilfstabellen_Mat&amp;Bem'!f.Rd.3/'Hilfstabellen_Mat&amp;Bem'!$BD$30)</f>
        <v>0.70729693820558859</v>
      </c>
      <c r="DL252" s="553">
        <f>0.5*(1+'Hilfstabellen_Mat&amp;Bem'!$BD$31*(DK252-0.3)+DK252^2)</f>
        <v>0.77049932630777951</v>
      </c>
      <c r="DM252" s="550">
        <f t="shared" si="222"/>
        <v>0.92926968251963293</v>
      </c>
      <c r="DO252" s="551">
        <f t="shared" si="223"/>
        <v>85879.386979734394</v>
      </c>
      <c r="DS252" s="546">
        <f t="shared" si="224"/>
        <v>304</v>
      </c>
      <c r="DT252" s="551">
        <f t="shared" si="225"/>
        <v>45.580284409707289</v>
      </c>
      <c r="DU252" s="553">
        <f>DT252/PI()*SQRT('Hilfstabellen_Mat&amp;Bem'!f.Rd.3/'Hilfstabellen_Mat&amp;Bem'!$BD$30)</f>
        <v>0.72543275713393685</v>
      </c>
      <c r="DV252" s="553">
        <f>0.5*(1+'Hilfstabellen_Mat&amp;Bem'!$BD$31*(DU252-0.3)+DU252^2)</f>
        <v>0.78439798041816955</v>
      </c>
      <c r="DW252" s="550">
        <f t="shared" si="226"/>
        <v>0.92355482226439289</v>
      </c>
      <c r="DY252" s="551">
        <f t="shared" si="227"/>
        <v>85351.242454386127</v>
      </c>
      <c r="EC252" s="546">
        <f t="shared" si="228"/>
        <v>304</v>
      </c>
      <c r="ED252" s="551">
        <f t="shared" si="229"/>
        <v>46.719791519949979</v>
      </c>
      <c r="EE252" s="553">
        <f>ED252/PI()*SQRT('Hilfstabellen_Mat&amp;Bem'!f.Rd.3/'Hilfstabellen_Mat&amp;Bem'!$BD$30)</f>
        <v>0.74356857606228544</v>
      </c>
      <c r="EF252" s="553">
        <f>0.5*(1+'Hilfstabellen_Mat&amp;Bem'!$BD$31*(EE252-0.3)+EE252^2)</f>
        <v>0.79862554245676165</v>
      </c>
      <c r="EG252" s="550">
        <f t="shared" si="230"/>
        <v>0.91741753677339299</v>
      </c>
      <c r="EI252" s="551">
        <f t="shared" si="231"/>
        <v>84784.059078449893</v>
      </c>
      <c r="EM252" s="546">
        <f t="shared" si="232"/>
        <v>304</v>
      </c>
      <c r="EN252" s="551">
        <f t="shared" si="233"/>
        <v>47.859298630192662</v>
      </c>
      <c r="EO252" s="553">
        <f>EN252/PI()*SQRT('Hilfstabellen_Mat&amp;Bem'!f.Rd.3/'Hilfstabellen_Mat&amp;Bem'!$BD$30)</f>
        <v>0.7617043949906338</v>
      </c>
      <c r="EP252" s="553">
        <f>0.5*(1+'Hilfstabellen_Mat&amp;Bem'!$BD$31*(EO252-0.3)+EO252^2)</f>
        <v>0.81318201242355537</v>
      </c>
      <c r="EQ252" s="550">
        <f t="shared" si="234"/>
        <v>0.9108194695758659</v>
      </c>
      <c r="ES252" s="551">
        <f t="shared" si="235"/>
        <v>84174.292100323219</v>
      </c>
    </row>
    <row r="253" spans="3:149">
      <c r="C253" s="546">
        <v>305</v>
      </c>
      <c r="D253" s="551">
        <f t="shared" si="185"/>
        <v>31.801588597985941</v>
      </c>
      <c r="E253" s="553">
        <f>$D253/PI()*SQRT('Hilfstabellen_Mat&amp;Bem'!f.Rd.3/'Hilfstabellen_Mat&amp;Bem'!$BD$30)</f>
        <v>0.50613800235443207</v>
      </c>
      <c r="F253" s="553">
        <f>0.5*(1+'Hilfstabellen_Mat&amp;Bem'!$BD$31*($E253-0.3)+$E253^2)</f>
        <v>0.6383947388313892</v>
      </c>
      <c r="G253" s="550">
        <f t="shared" si="186"/>
        <v>0.97327342678174478</v>
      </c>
      <c r="I253" s="551">
        <f t="shared" si="187"/>
        <v>90538.760526371814</v>
      </c>
      <c r="M253" s="546">
        <f t="shared" si="188"/>
        <v>305</v>
      </c>
      <c r="N253" s="551">
        <f t="shared" si="177"/>
        <v>32.937359619342587</v>
      </c>
      <c r="O253" s="553">
        <f>$N253/PI()*SQRT('Hilfstabellen_Mat&amp;Bem'!f.Rd.3/'Hilfstabellen_Mat&amp;Bem'!$BD$30)</f>
        <v>0.52421435958137619</v>
      </c>
      <c r="P253" s="553">
        <f>0.5*(1+'Hilfstabellen_Mat&amp;Bem'!$BD$31*($O253-0.3)+$O253^2)</f>
        <v>0.64861106537472502</v>
      </c>
      <c r="Q253" s="550">
        <f t="shared" si="178"/>
        <v>0.9703331166996465</v>
      </c>
      <c r="S253" s="551">
        <f t="shared" si="189"/>
        <v>90265.238180984612</v>
      </c>
      <c r="W253" s="546">
        <f t="shared" si="190"/>
        <v>305</v>
      </c>
      <c r="X253" s="551">
        <f t="shared" si="179"/>
        <v>34.073130640699226</v>
      </c>
      <c r="Y253" s="553">
        <f>$X253/PI()*SQRT('Hilfstabellen_Mat&amp;Bem'!f.Rd.3/'Hilfstabellen_Mat&amp;Bem'!$BD$30)</f>
        <v>0.54229071680832008</v>
      </c>
      <c r="Z253" s="553">
        <f>0.5*(1+'Hilfstabellen_Mat&amp;Bem'!$BD$31*($Y253-0.3)+$Y253^2)</f>
        <v>0.65915414660865679</v>
      </c>
      <c r="AA253" s="550">
        <f t="shared" si="180"/>
        <v>0.96724833770652496</v>
      </c>
      <c r="AC253" s="551">
        <f t="shared" si="191"/>
        <v>89978.276615149487</v>
      </c>
      <c r="AG253" s="546">
        <f t="shared" si="192"/>
        <v>305</v>
      </c>
      <c r="AH253" s="551">
        <f t="shared" si="181"/>
        <v>35.208901662055865</v>
      </c>
      <c r="AI253" s="553">
        <f>$AH253/PI()*SQRT('Hilfstabellen_Mat&amp;Bem'!f.Rd.3/'Hilfstabellen_Mat&amp;Bem'!$BD$30)</f>
        <v>0.56036707403526409</v>
      </c>
      <c r="AJ253" s="553">
        <f>0.5*(1+'Hilfstabellen_Mat&amp;Bem'!$BD$31*($AI253-0.3)+$AI253^2)</f>
        <v>0.67002398253318474</v>
      </c>
      <c r="AK253" s="550">
        <f t="shared" si="182"/>
        <v>0.96400431150992794</v>
      </c>
      <c r="AM253" s="551">
        <f t="shared" si="193"/>
        <v>89676.501078211048</v>
      </c>
      <c r="AQ253" s="546">
        <f t="shared" si="194"/>
        <v>305</v>
      </c>
      <c r="AR253" s="551">
        <f t="shared" si="183"/>
        <v>36.344672683412504</v>
      </c>
      <c r="AS253" s="553">
        <f>$AR253/PI()*SQRT('Hilfstabellen_Mat&amp;Bem'!f.Rd.3/'Hilfstabellen_Mat&amp;Bem'!$BD$30)</f>
        <v>0.5784434312622081</v>
      </c>
      <c r="AT253" s="553">
        <f>0.5*(1+'Hilfstabellen_Mat&amp;Bem'!$BD$31*($AS253-0.3)+$AS253^2)</f>
        <v>0.68122057314830875</v>
      </c>
      <c r="AU253" s="550">
        <f t="shared" si="184"/>
        <v>0.96058474837301944</v>
      </c>
      <c r="AW253" s="551">
        <f t="shared" si="195"/>
        <v>89358.396217400135</v>
      </c>
      <c r="BA253" s="546">
        <f t="shared" si="196"/>
        <v>305</v>
      </c>
      <c r="BB253" s="551">
        <f t="shared" si="197"/>
        <v>37.480443704769151</v>
      </c>
      <c r="BC253" s="553">
        <f>$BB253/PI()*SQRT('Hilfstabellen_Mat&amp;Bem'!f.Rd.3/'Hilfstabellen_Mat&amp;Bem'!$BD$30)</f>
        <v>0.5965197884891521</v>
      </c>
      <c r="BD253" s="553">
        <f>0.5*(1+'Hilfstabellen_Mat&amp;Bem'!$BD$31*($BC253-0.3)+$BC253^2)</f>
        <v>0.69274391845402894</v>
      </c>
      <c r="BE253" s="550">
        <f t="shared" si="198"/>
        <v>0.95697168603299865</v>
      </c>
      <c r="BG253" s="551">
        <f t="shared" si="199"/>
        <v>89022.291093219697</v>
      </c>
      <c r="BK253" s="546">
        <f t="shared" si="200"/>
        <v>305</v>
      </c>
      <c r="BL253" s="551">
        <f t="shared" si="201"/>
        <v>38.616214726125783</v>
      </c>
      <c r="BM253" s="553">
        <f>$BL253/PI()*SQRT('Hilfstabellen_Mat&amp;Bem'!f.Rd.3/'Hilfstabellen_Mat&amp;Bem'!$BD$30)</f>
        <v>0.614596145716096</v>
      </c>
      <c r="BN253" s="553">
        <f>0.5*(1+'Hilfstabellen_Mat&amp;Bem'!$BD$31*($BM253-0.3)+$BM253^2)</f>
        <v>0.70459401845034508</v>
      </c>
      <c r="BO253" s="550">
        <f t="shared" si="202"/>
        <v>0.95314532218859571</v>
      </c>
      <c r="BQ253" s="551">
        <f t="shared" si="203"/>
        <v>88666.343596594117</v>
      </c>
      <c r="BU253" s="546">
        <f t="shared" si="204"/>
        <v>305</v>
      </c>
      <c r="BV253" s="551">
        <f t="shared" si="205"/>
        <v>39.751985747482422</v>
      </c>
      <c r="BW253" s="553">
        <f>$BV253/PI()*SQRT('Hilfstabellen_Mat&amp;Bem'!f.Rd.3/'Hilfstabellen_Mat&amp;Bem'!$BD$30)</f>
        <v>0.63267250294304</v>
      </c>
      <c r="BX253" s="553">
        <f>0.5*(1+'Hilfstabellen_Mat&amp;Bem'!$BD$31*($BW253-0.3)+$BW253^2)</f>
        <v>0.71677087313725751</v>
      </c>
      <c r="BY253" s="550">
        <f t="shared" si="206"/>
        <v>0.9490838456718409</v>
      </c>
      <c r="CA253" s="551">
        <f t="shared" si="207"/>
        <v>88288.524743622998</v>
      </c>
      <c r="CE253" s="546">
        <f t="shared" si="208"/>
        <v>305</v>
      </c>
      <c r="CF253" s="551">
        <f t="shared" si="209"/>
        <v>40.887756768839068</v>
      </c>
      <c r="CG253" s="553">
        <f>CF253/PI()*SQRT('Hilfstabellen_Mat&amp;Bem'!f.Rd.3/'Hilfstabellen_Mat&amp;Bem'!$BD$30)</f>
        <v>0.65074886016998412</v>
      </c>
      <c r="CH253" s="553">
        <f>0.5*(1+'Hilfstabellen_Mat&amp;Bem'!$BD$31*(CG253-0.3)+CG253^2)</f>
        <v>0.72927448251476601</v>
      </c>
      <c r="CI253" s="550">
        <f t="shared" si="210"/>
        <v>0.94476327431406959</v>
      </c>
      <c r="CK253" s="551">
        <f t="shared" si="211"/>
        <v>87886.60359306632</v>
      </c>
      <c r="CO253" s="546">
        <f t="shared" si="212"/>
        <v>305</v>
      </c>
      <c r="CP253" s="551">
        <f t="shared" si="213"/>
        <v>42.023527790195708</v>
      </c>
      <c r="CQ253" s="553">
        <f>CP253/PI()*SQRT('Hilfstabellen_Mat&amp;Bem'!f.Rd.3/'Hilfstabellen_Mat&amp;Bem'!$BD$30)</f>
        <v>0.66882521739692802</v>
      </c>
      <c r="CR253" s="553">
        <f>0.5*(1+'Hilfstabellen_Mat&amp;Bem'!$BD$31*(CQ253-0.3)+CQ253^2)</f>
        <v>0.74210484658287046</v>
      </c>
      <c r="CS253" s="550">
        <f t="shared" si="214"/>
        <v>0.94015731144516146</v>
      </c>
      <c r="CU253" s="551">
        <f t="shared" si="215"/>
        <v>87458.133897186141</v>
      </c>
      <c r="CY253" s="546">
        <f t="shared" si="216"/>
        <v>305</v>
      </c>
      <c r="CZ253" s="551">
        <f t="shared" si="217"/>
        <v>43.159298811552347</v>
      </c>
      <c r="DA253" s="553">
        <f>CZ253/PI()*SQRT('Hilfstabellen_Mat&amp;Bem'!f.Rd.3/'Hilfstabellen_Mat&amp;Bem'!$BD$30)</f>
        <v>0.68690157462387202</v>
      </c>
      <c r="DB253" s="553">
        <f>0.5*(1+'Hilfstabellen_Mat&amp;Bem'!$BD$31*(DA253-0.3)+DA253^2)</f>
        <v>0.75526196534157108</v>
      </c>
      <c r="DC253" s="550">
        <f t="shared" si="218"/>
        <v>0.93523723814154847</v>
      </c>
      <c r="DE253" s="551">
        <f t="shared" si="219"/>
        <v>87000.444078117551</v>
      </c>
      <c r="DI253" s="546">
        <f t="shared" si="220"/>
        <v>305</v>
      </c>
      <c r="DJ253" s="551">
        <f t="shared" si="221"/>
        <v>44.295069832908993</v>
      </c>
      <c r="DK253" s="553">
        <f>DJ253/PI()*SQRT('Hilfstabellen_Mat&amp;Bem'!f.Rd.3/'Hilfstabellen_Mat&amp;Bem'!$BD$30)</f>
        <v>0.70497793185081614</v>
      </c>
      <c r="DL253" s="553">
        <f>0.5*(1+'Hilfstabellen_Mat&amp;Bem'!$BD$31*(DK253-0.3)+DK253^2)</f>
        <v>0.76874583879086777</v>
      </c>
      <c r="DM253" s="550">
        <f t="shared" si="222"/>
        <v>0.92997186491640416</v>
      </c>
      <c r="DO253" s="551">
        <f t="shared" si="223"/>
        <v>86510.632733848499</v>
      </c>
      <c r="DS253" s="546">
        <f t="shared" si="224"/>
        <v>305</v>
      </c>
      <c r="DT253" s="551">
        <f t="shared" si="225"/>
        <v>45.430840854265632</v>
      </c>
      <c r="DU253" s="553">
        <f>DT253/PI()*SQRT('Hilfstabellen_Mat&amp;Bem'!f.Rd.3/'Hilfstabellen_Mat&amp;Bem'!$BD$30)</f>
        <v>0.72305428907776015</v>
      </c>
      <c r="DV253" s="553">
        <f>0.5*(1+'Hilfstabellen_Mat&amp;Bem'!$BD$31*(DU253-0.3)+DU253^2)</f>
        <v>0.78255646693076053</v>
      </c>
      <c r="DW253" s="550">
        <f t="shared" si="226"/>
        <v>0.92432757451782643</v>
      </c>
      <c r="DY253" s="551">
        <f t="shared" si="227"/>
        <v>85985.572619520797</v>
      </c>
      <c r="EC253" s="546">
        <f t="shared" si="228"/>
        <v>305</v>
      </c>
      <c r="ED253" s="551">
        <f t="shared" si="229"/>
        <v>46.566611875622272</v>
      </c>
      <c r="EE253" s="553">
        <f>ED253/PI()*SQRT('Hilfstabellen_Mat&amp;Bem'!f.Rd.3/'Hilfstabellen_Mat&amp;Bem'!$BD$30)</f>
        <v>0.74113064630470404</v>
      </c>
      <c r="EF253" s="553">
        <f>0.5*(1+'Hilfstabellen_Mat&amp;Bem'!$BD$31*(EE253-0.3)+EE253^2)</f>
        <v>0.79669384976124935</v>
      </c>
      <c r="EG253" s="550">
        <f t="shared" si="230"/>
        <v>0.91826849653432685</v>
      </c>
      <c r="EI253" s="551">
        <f t="shared" si="231"/>
        <v>85421.926890105751</v>
      </c>
      <c r="EM253" s="546">
        <f t="shared" si="232"/>
        <v>305</v>
      </c>
      <c r="EN253" s="551">
        <f t="shared" si="233"/>
        <v>47.702382896978911</v>
      </c>
      <c r="EO253" s="553">
        <f>EN253/PI()*SQRT('Hilfstabellen_Mat&amp;Bem'!f.Rd.3/'Hilfstabellen_Mat&amp;Bem'!$BD$30)</f>
        <v>0.75920700353164805</v>
      </c>
      <c r="EP253" s="553">
        <f>0.5*(1+'Hilfstabellen_Mat&amp;Bem'!$BD$31*(EO253-0.3)+EO253^2)</f>
        <v>0.81115798728233424</v>
      </c>
      <c r="EQ253" s="550">
        <f t="shared" si="234"/>
        <v>0.91175686369919229</v>
      </c>
      <c r="ES253" s="551">
        <f t="shared" si="235"/>
        <v>84816.182245617369</v>
      </c>
    </row>
    <row r="254" spans="3:149">
      <c r="C254" s="546">
        <v>306</v>
      </c>
      <c r="D254" s="551">
        <f t="shared" si="185"/>
        <v>31.697661837861801</v>
      </c>
      <c r="E254" s="553">
        <f>$D254/PI()*SQRT('Hilfstabellen_Mat&amp;Bem'!f.Rd.3/'Hilfstabellen_Mat&amp;Bem'!$BD$30)</f>
        <v>0.50448395659510381</v>
      </c>
      <c r="F254" s="553">
        <f>0.5*(1+'Hilfstabellen_Mat&amp;Bem'!$BD$31*($E254-0.3)+$E254^2)</f>
        <v>0.63747622906068047</v>
      </c>
      <c r="G254" s="550">
        <f t="shared" si="186"/>
        <v>0.97353573748019684</v>
      </c>
      <c r="I254" s="551">
        <f t="shared" si="187"/>
        <v>91157.992314695715</v>
      </c>
      <c r="M254" s="546">
        <f t="shared" si="188"/>
        <v>306</v>
      </c>
      <c r="N254" s="551">
        <f t="shared" si="177"/>
        <v>32.829721189214013</v>
      </c>
      <c r="O254" s="553">
        <f>$N254/PI()*SQRT('Hilfstabellen_Mat&amp;Bem'!f.Rd.3/'Hilfstabellen_Mat&amp;Bem'!$BD$30)</f>
        <v>0.52250124075921478</v>
      </c>
      <c r="P254" s="553">
        <f>0.5*(1+'Hilfstabellen_Mat&amp;Bem'!$BD$31*($O254-0.3)+$O254^2)</f>
        <v>0.64762883533542015</v>
      </c>
      <c r="Q254" s="550">
        <f t="shared" si="178"/>
        <v>0.97061775078047008</v>
      </c>
      <c r="S254" s="551">
        <f t="shared" si="189"/>
        <v>90884.763712080094</v>
      </c>
      <c r="W254" s="546">
        <f t="shared" si="190"/>
        <v>306</v>
      </c>
      <c r="X254" s="551">
        <f t="shared" si="179"/>
        <v>33.961780540566224</v>
      </c>
      <c r="Y254" s="553">
        <f>$X254/PI()*SQRT('Hilfstabellen_Mat&amp;Bem'!f.Rd.3/'Hilfstabellen_Mat&amp;Bem'!$BD$30)</f>
        <v>0.54051852492332564</v>
      </c>
      <c r="Z254" s="553">
        <f>0.5*(1+'Hilfstabellen_Mat&amp;Bem'!$BD$31*($Y254-0.3)+$Y254^2)</f>
        <v>0.65810606413881012</v>
      </c>
      <c r="AA254" s="550">
        <f t="shared" si="180"/>
        <v>0.96755755765905538</v>
      </c>
      <c r="AC254" s="551">
        <f t="shared" si="191"/>
        <v>90598.219468963303</v>
      </c>
      <c r="AG254" s="546">
        <f t="shared" si="192"/>
        <v>306</v>
      </c>
      <c r="AH254" s="551">
        <f t="shared" si="181"/>
        <v>35.093839891918428</v>
      </c>
      <c r="AI254" s="553">
        <f>$AH254/PI()*SQRT('Hilfstabellen_Mat&amp;Bem'!f.Rd.3/'Hilfstabellen_Mat&amp;Bem'!$BD$30)</f>
        <v>0.5585358090874365</v>
      </c>
      <c r="AJ254" s="553">
        <f>0.5*(1+'Hilfstabellen_Mat&amp;Bem'!$BD$31*($AI254-0.3)+$AI254^2)</f>
        <v>0.66890791547085049</v>
      </c>
      <c r="AK254" s="550">
        <f t="shared" si="182"/>
        <v>0.96434066054433243</v>
      </c>
      <c r="AM254" s="551">
        <f t="shared" si="193"/>
        <v>90297.002090729118</v>
      </c>
      <c r="AQ254" s="546">
        <f t="shared" si="194"/>
        <v>306</v>
      </c>
      <c r="AR254" s="551">
        <f t="shared" si="183"/>
        <v>36.225899243270632</v>
      </c>
      <c r="AS254" s="553">
        <f>$AR254/PI()*SQRT('Hilfstabellen_Mat&amp;Bem'!f.Rd.3/'Hilfstabellen_Mat&amp;Bem'!$BD$30)</f>
        <v>0.57655309325154724</v>
      </c>
      <c r="AT254" s="553">
        <f>0.5*(1+'Hilfstabellen_Mat&amp;Bem'!$BD$31*($AS254-0.3)+$AS254^2)</f>
        <v>0.68003438933154103</v>
      </c>
      <c r="AU254" s="550">
        <f t="shared" si="184"/>
        <v>0.96095108521013484</v>
      </c>
      <c r="AW254" s="551">
        <f t="shared" si="195"/>
        <v>89979.615814736186</v>
      </c>
      <c r="BA254" s="546">
        <f t="shared" si="196"/>
        <v>306</v>
      </c>
      <c r="BB254" s="551">
        <f t="shared" si="197"/>
        <v>37.357958594622843</v>
      </c>
      <c r="BC254" s="553">
        <f>$BB254/PI()*SQRT('Hilfstabellen_Mat&amp;Bem'!f.Rd.3/'Hilfstabellen_Mat&amp;Bem'!$BD$30)</f>
        <v>0.59457037741565821</v>
      </c>
      <c r="BD254" s="553">
        <f>0.5*(1+'Hilfstabellen_Mat&amp;Bem'!$BD$31*($BC254-0.3)+$BC254^2)</f>
        <v>0.69148548572088198</v>
      </c>
      <c r="BE254" s="550">
        <f t="shared" si="198"/>
        <v>0.95737122312743239</v>
      </c>
      <c r="BG254" s="551">
        <f t="shared" si="199"/>
        <v>89644.411848760254</v>
      </c>
      <c r="BK254" s="546">
        <f t="shared" si="200"/>
        <v>306</v>
      </c>
      <c r="BL254" s="551">
        <f t="shared" si="201"/>
        <v>38.490017945975048</v>
      </c>
      <c r="BM254" s="553">
        <f>$BL254/PI()*SQRT('Hilfstabellen_Mat&amp;Bem'!f.Rd.3/'Hilfstabellen_Mat&amp;Bem'!$BD$30)</f>
        <v>0.61258766157976896</v>
      </c>
      <c r="BN254" s="553">
        <f>0.5*(1+'Hilfstabellen_Mat&amp;Bem'!$BD$31*($BM254-0.3)+$BM254^2)</f>
        <v>0.70326120463887321</v>
      </c>
      <c r="BO254" s="550">
        <f t="shared" si="202"/>
        <v>0.95358166712411119</v>
      </c>
      <c r="BQ254" s="551">
        <f t="shared" si="203"/>
        <v>89289.57298283327</v>
      </c>
      <c r="BU254" s="546">
        <f t="shared" si="204"/>
        <v>306</v>
      </c>
      <c r="BV254" s="551">
        <f t="shared" si="205"/>
        <v>39.622077297327259</v>
      </c>
      <c r="BW254" s="553">
        <f>$BV254/PI()*SQRT('Hilfstabellen_Mat&amp;Bem'!f.Rd.3/'Hilfstabellen_Mat&amp;Bem'!$BD$30)</f>
        <v>0.63060494574387993</v>
      </c>
      <c r="BX254" s="553">
        <f>0.5*(1+'Hilfstabellen_Mat&amp;Bem'!$BD$31*($BW254-0.3)+$BW254^2)</f>
        <v>0.71536154608551483</v>
      </c>
      <c r="BY254" s="550">
        <f t="shared" si="206"/>
        <v>0.94956104510826478</v>
      </c>
      <c r="CA254" s="551">
        <f t="shared" si="207"/>
        <v>88913.098019757483</v>
      </c>
      <c r="CE254" s="546">
        <f t="shared" si="208"/>
        <v>306</v>
      </c>
      <c r="CF254" s="551">
        <f t="shared" si="209"/>
        <v>40.754136648679463</v>
      </c>
      <c r="CG254" s="553">
        <f>CF254/PI()*SQRT('Hilfstabellen_Mat&amp;Bem'!f.Rd.3/'Hilfstabellen_Mat&amp;Bem'!$BD$30)</f>
        <v>0.64862222990799068</v>
      </c>
      <c r="CH254" s="553">
        <f>0.5*(1+'Hilfstabellen_Mat&amp;Bem'!$BD$31*(CG254-0.3)+CG254^2)</f>
        <v>0.72778651006080675</v>
      </c>
      <c r="CI254" s="550">
        <f t="shared" si="210"/>
        <v>0.94528585933696407</v>
      </c>
      <c r="CK254" s="551">
        <f t="shared" si="211"/>
        <v>88512.786724875972</v>
      </c>
      <c r="CO254" s="546">
        <f t="shared" si="212"/>
        <v>306</v>
      </c>
      <c r="CP254" s="551">
        <f t="shared" si="213"/>
        <v>41.886196000031667</v>
      </c>
      <c r="CQ254" s="553">
        <f>CP254/PI()*SQRT('Hilfstabellen_Mat&amp;Bem'!f.Rd.3/'Hilfstabellen_Mat&amp;Bem'!$BD$30)</f>
        <v>0.66663951407210142</v>
      </c>
      <c r="CR254" s="553">
        <f>0.5*(1+'Hilfstabellen_Mat&amp;Bem'!$BD$31*(CQ254-0.3)+CQ254^2)</f>
        <v>0.74053609656474884</v>
      </c>
      <c r="CS254" s="550">
        <f t="shared" si="214"/>
        <v>0.94073034242047537</v>
      </c>
      <c r="CU254" s="551">
        <f t="shared" si="215"/>
        <v>88086.22634288363</v>
      </c>
      <c r="CY254" s="546">
        <f t="shared" si="216"/>
        <v>306</v>
      </c>
      <c r="CZ254" s="551">
        <f t="shared" si="217"/>
        <v>43.018255351383878</v>
      </c>
      <c r="DA254" s="553">
        <f>CZ254/PI()*SQRT('Hilfstabellen_Mat&amp;Bem'!f.Rd.3/'Hilfstabellen_Mat&amp;Bem'!$BD$30)</f>
        <v>0.68465679823621239</v>
      </c>
      <c r="DB254" s="553">
        <f>0.5*(1+'Hilfstabellen_Mat&amp;Bem'!$BD$31*(DA254-0.3)+DA254^2)</f>
        <v>0.75361030559734143</v>
      </c>
      <c r="DC254" s="550">
        <f t="shared" si="218"/>
        <v>0.9358663461500859</v>
      </c>
      <c r="DE254" s="551">
        <f t="shared" si="219"/>
        <v>87630.781188109439</v>
      </c>
      <c r="DI254" s="546">
        <f t="shared" si="220"/>
        <v>306</v>
      </c>
      <c r="DJ254" s="551">
        <f t="shared" si="221"/>
        <v>44.150314702736082</v>
      </c>
      <c r="DK254" s="553">
        <f>DJ254/PI()*SQRT('Hilfstabellen_Mat&amp;Bem'!f.Rd.3/'Hilfstabellen_Mat&amp;Bem'!$BD$30)</f>
        <v>0.70267408240032314</v>
      </c>
      <c r="DL254" s="553">
        <f>0.5*(1+'Hilfstabellen_Mat&amp;Bem'!$BD$31*(DK254-0.3)+DK254^2)</f>
        <v>0.76700913715858421</v>
      </c>
      <c r="DM254" s="550">
        <f t="shared" si="222"/>
        <v>0.93066328548560251</v>
      </c>
      <c r="DO254" s="551">
        <f t="shared" si="223"/>
        <v>87143.587399729877</v>
      </c>
      <c r="DS254" s="546">
        <f t="shared" si="224"/>
        <v>306</v>
      </c>
      <c r="DT254" s="551">
        <f t="shared" si="225"/>
        <v>45.282374054088294</v>
      </c>
      <c r="DU254" s="553">
        <f>DT254/PI()*SQRT('Hilfstabellen_Mat&amp;Bem'!f.Rd.3/'Hilfstabellen_Mat&amp;Bem'!$BD$30)</f>
        <v>0.72069136656443411</v>
      </c>
      <c r="DV254" s="553">
        <f>0.5*(1+'Hilfstabellen_Mat&amp;Bem'!$BD$31*(DU254-0.3)+DU254^2)</f>
        <v>0.78073259124847749</v>
      </c>
      <c r="DW254" s="550">
        <f t="shared" si="226"/>
        <v>0.92508816765448754</v>
      </c>
      <c r="DY254" s="551">
        <f t="shared" si="227"/>
        <v>86621.555666495595</v>
      </c>
      <c r="EC254" s="546">
        <f t="shared" si="228"/>
        <v>306</v>
      </c>
      <c r="ED254" s="551">
        <f t="shared" si="229"/>
        <v>46.414433405440498</v>
      </c>
      <c r="EE254" s="553">
        <f>ED254/PI()*SQRT('Hilfstabellen_Mat&amp;Bem'!f.Rd.3/'Hilfstabellen_Mat&amp;Bem'!$BD$30)</f>
        <v>0.73870865072854486</v>
      </c>
      <c r="EF254" s="553">
        <f>0.5*(1+'Hilfstabellen_Mat&amp;Bem'!$BD$31*(EE254-0.3)+EE254^2)</f>
        <v>0.79478066786702084</v>
      </c>
      <c r="EG254" s="550">
        <f t="shared" si="230"/>
        <v>0.91910574502441122</v>
      </c>
      <c r="EI254" s="551">
        <f t="shared" si="231"/>
        <v>86061.385541105774</v>
      </c>
      <c r="EM254" s="546">
        <f t="shared" si="232"/>
        <v>306</v>
      </c>
      <c r="EN254" s="551">
        <f t="shared" si="233"/>
        <v>47.546492756792702</v>
      </c>
      <c r="EO254" s="553">
        <f>EN254/PI()*SQRT('Hilfstabellen_Mat&amp;Bem'!f.Rd.3/'Hilfstabellen_Mat&amp;Bem'!$BD$30)</f>
        <v>0.75672593489265572</v>
      </c>
      <c r="EP254" s="553">
        <f>0.5*(1+'Hilfstabellen_Mat&amp;Bem'!$BD$31*(EO254-0.3)+EO254^2)</f>
        <v>0.80915336701421481</v>
      </c>
      <c r="EQ254" s="550">
        <f t="shared" si="234"/>
        <v>0.9126788394236639</v>
      </c>
      <c r="ES254" s="551">
        <f t="shared" si="235"/>
        <v>85459.5958082742</v>
      </c>
    </row>
    <row r="255" spans="3:149">
      <c r="C255" s="546">
        <v>307</v>
      </c>
      <c r="D255" s="551">
        <f t="shared" si="185"/>
        <v>31.594412125034896</v>
      </c>
      <c r="E255" s="553">
        <f>$D255/PI()*SQRT('Hilfstabellen_Mat&amp;Bem'!f.Rd.3/'Hilfstabellen_Mat&amp;Bem'!$BD$30)</f>
        <v>0.50284068637818169</v>
      </c>
      <c r="F255" s="553">
        <f>0.5*(1+'Hilfstabellen_Mat&amp;Bem'!$BD$31*($E255-0.3)+$E255^2)</f>
        <v>0.63656641225754951</v>
      </c>
      <c r="G255" s="550">
        <f t="shared" si="186"/>
        <v>0.97379526321142573</v>
      </c>
      <c r="I255" s="551">
        <f t="shared" si="187"/>
        <v>91779.22976241367</v>
      </c>
      <c r="M255" s="546">
        <f t="shared" si="188"/>
        <v>307</v>
      </c>
      <c r="N255" s="551">
        <f t="shared" si="177"/>
        <v>32.722783986643286</v>
      </c>
      <c r="O255" s="553">
        <f>$N255/PI()*SQRT('Hilfstabellen_Mat&amp;Bem'!f.Rd.3/'Hilfstabellen_Mat&amp;Bem'!$BD$30)</f>
        <v>0.52079928232025974</v>
      </c>
      <c r="P255" s="553">
        <f>0.5*(1+'Hilfstabellen_Mat&amp;Bem'!$BD$31*($O255-0.3)+$O255^2)</f>
        <v>0.64665591034866177</v>
      </c>
      <c r="Q255" s="550">
        <f t="shared" si="178"/>
        <v>0.97089925843048275</v>
      </c>
      <c r="S255" s="551">
        <f t="shared" si="189"/>
        <v>91506.284207814562</v>
      </c>
      <c r="W255" s="546">
        <f t="shared" si="190"/>
        <v>307</v>
      </c>
      <c r="X255" s="551">
        <f t="shared" si="179"/>
        <v>33.851155848251672</v>
      </c>
      <c r="Y255" s="553">
        <f>$X255/PI()*SQRT('Hilfstabellen_Mat&amp;Bem'!f.Rd.3/'Hilfstabellen_Mat&amp;Bem'!$BD$30)</f>
        <v>0.53875787826233756</v>
      </c>
      <c r="Z255" s="553">
        <f>0.5*(1+'Hilfstabellen_Mat&amp;Bem'!$BD$31*($Y255-0.3)+$Y255^2)</f>
        <v>0.65706791960798472</v>
      </c>
      <c r="AA255" s="550">
        <f t="shared" si="180"/>
        <v>0.96786326298508274</v>
      </c>
      <c r="AC255" s="551">
        <f t="shared" si="191"/>
        <v>91220.144673081057</v>
      </c>
      <c r="AG255" s="546">
        <f t="shared" si="192"/>
        <v>307</v>
      </c>
      <c r="AH255" s="551">
        <f t="shared" si="181"/>
        <v>34.979527709860058</v>
      </c>
      <c r="AI255" s="553">
        <f>$AH255/PI()*SQRT('Hilfstabellen_Mat&amp;Bem'!f.Rd.3/'Hilfstabellen_Mat&amp;Bem'!$BD$30)</f>
        <v>0.55671647420441539</v>
      </c>
      <c r="AJ255" s="553">
        <f>0.5*(1+'Hilfstabellen_Mat&amp;Bem'!$BD$31*($AI255-0.3)+$AI255^2)</f>
        <v>0.66780244003551847</v>
      </c>
      <c r="AK255" s="550">
        <f t="shared" si="182"/>
        <v>0.96467305325208308</v>
      </c>
      <c r="AM255" s="551">
        <f t="shared" si="193"/>
        <v>90919.470595955572</v>
      </c>
      <c r="AQ255" s="546">
        <f t="shared" si="194"/>
        <v>307</v>
      </c>
      <c r="AR255" s="551">
        <f t="shared" si="183"/>
        <v>36.107899571468444</v>
      </c>
      <c r="AS255" s="553">
        <f>$AR255/PI()*SQRT('Hilfstabellen_Mat&amp;Bem'!f.Rd.3/'Hilfstabellen_Mat&amp;Bem'!$BD$30)</f>
        <v>0.57467507014649333</v>
      </c>
      <c r="AT255" s="553">
        <f>0.5*(1+'Hilfstabellen_Mat&amp;Bem'!$BD$31*($AS255-0.3)+$AS255^2)</f>
        <v>0.67885947163126314</v>
      </c>
      <c r="AU255" s="550">
        <f t="shared" si="184"/>
        <v>0.96131296284494039</v>
      </c>
      <c r="AW255" s="551">
        <f t="shared" si="195"/>
        <v>90602.785435172787</v>
      </c>
      <c r="BA255" s="546">
        <f t="shared" si="196"/>
        <v>307</v>
      </c>
      <c r="BB255" s="551">
        <f t="shared" si="197"/>
        <v>37.236271433076837</v>
      </c>
      <c r="BC255" s="553">
        <f>$BB255/PI()*SQRT('Hilfstabellen_Mat&amp;Bem'!f.Rd.3/'Hilfstabellen_Mat&amp;Bem'!$BD$30)</f>
        <v>0.59263366608857126</v>
      </c>
      <c r="BD255" s="553">
        <f>0.5*(1+'Hilfstabellen_Mat&amp;Bem'!$BD$31*($BC255-0.3)+$BC255^2)</f>
        <v>0.69023901439521862</v>
      </c>
      <c r="BE255" s="550">
        <f t="shared" si="198"/>
        <v>0.9577657283434392</v>
      </c>
      <c r="BG255" s="551">
        <f t="shared" si="199"/>
        <v>90268.462130640808</v>
      </c>
      <c r="BK255" s="546">
        <f t="shared" si="200"/>
        <v>307</v>
      </c>
      <c r="BL255" s="551">
        <f t="shared" si="201"/>
        <v>38.364643294685223</v>
      </c>
      <c r="BM255" s="553">
        <f>$BL255/PI()*SQRT('Hilfstabellen_Mat&amp;Bem'!f.Rd.3/'Hilfstabellen_Mat&amp;Bem'!$BD$30)</f>
        <v>0.6105922620306492</v>
      </c>
      <c r="BN255" s="553">
        <f>0.5*(1+'Hilfstabellen_Mat&amp;Bem'!$BD$31*($BM255-0.3)+$BM255^2)</f>
        <v>0.7019410683273849</v>
      </c>
      <c r="BO255" s="550">
        <f t="shared" si="202"/>
        <v>0.95401232810480041</v>
      </c>
      <c r="BQ255" s="551">
        <f t="shared" si="203"/>
        <v>89914.70791154934</v>
      </c>
      <c r="BU255" s="546">
        <f t="shared" si="204"/>
        <v>307</v>
      </c>
      <c r="BV255" s="551">
        <f t="shared" si="205"/>
        <v>39.493015156293616</v>
      </c>
      <c r="BW255" s="553">
        <f>$BV255/PI()*SQRT('Hilfstabellen_Mat&amp;Bem'!f.Rd.3/'Hilfstabellen_Mat&amp;Bem'!$BD$30)</f>
        <v>0.62855085797272714</v>
      </c>
      <c r="BX255" s="553">
        <f>0.5*(1+'Hilfstabellen_Mat&amp;Bem'!$BD$31*($BW255-0.3)+$BW255^2)</f>
        <v>0.71396563342776209</v>
      </c>
      <c r="BY255" s="550">
        <f t="shared" si="206"/>
        <v>0.95003181857541952</v>
      </c>
      <c r="CA255" s="551">
        <f t="shared" si="207"/>
        <v>89539.548868914717</v>
      </c>
      <c r="CE255" s="546">
        <f t="shared" si="208"/>
        <v>307</v>
      </c>
      <c r="CF255" s="551">
        <f t="shared" si="209"/>
        <v>40.621387017902002</v>
      </c>
      <c r="CG255" s="553">
        <f>CF255/PI()*SQRT('Hilfstabellen_Mat&amp;Bem'!f.Rd.3/'Hilfstabellen_Mat&amp;Bem'!$BD$30)</f>
        <v>0.64650945391480497</v>
      </c>
      <c r="CH255" s="553">
        <f>0.5*(1+'Hilfstabellen_Mat&amp;Bem'!$BD$31*(CG255-0.3)+CG255^2)</f>
        <v>0.72631270969634998</v>
      </c>
      <c r="CI255" s="550">
        <f t="shared" si="210"/>
        <v>0.94580117509062289</v>
      </c>
      <c r="CK255" s="551">
        <f t="shared" si="211"/>
        <v>89140.814951116117</v>
      </c>
      <c r="CO255" s="546">
        <f t="shared" si="212"/>
        <v>307</v>
      </c>
      <c r="CP255" s="551">
        <f t="shared" si="213"/>
        <v>41.749758879510395</v>
      </c>
      <c r="CQ255" s="553">
        <f>CP255/PI()*SQRT('Hilfstabellen_Mat&amp;Bem'!f.Rd.3/'Hilfstabellen_Mat&amp;Bem'!$BD$30)</f>
        <v>0.6644680498568829</v>
      </c>
      <c r="CR255" s="553">
        <f>0.5*(1+'Hilfstabellen_Mat&amp;Bem'!$BD$31*(CQ255-0.3)+CQ255^2)</f>
        <v>0.73898229713314867</v>
      </c>
      <c r="CS255" s="550">
        <f t="shared" si="214"/>
        <v>0.94129514764903444</v>
      </c>
      <c r="CU255" s="551">
        <f t="shared" si="215"/>
        <v>88716.12637077384</v>
      </c>
      <c r="CY255" s="546">
        <f t="shared" si="216"/>
        <v>307</v>
      </c>
      <c r="CZ255" s="551">
        <f t="shared" si="217"/>
        <v>42.878130741118781</v>
      </c>
      <c r="DA255" s="553">
        <f>CZ255/PI()*SQRT('Hilfstabellen_Mat&amp;Bem'!f.Rd.3/'Hilfstabellen_Mat&amp;Bem'!$BD$30)</f>
        <v>0.68242664579896084</v>
      </c>
      <c r="DB255" s="553">
        <f>0.5*(1+'Hilfstabellen_Mat&amp;Bem'!$BD$31*(DA255-0.3)+DA255^2)</f>
        <v>0.75197439573815827</v>
      </c>
      <c r="DC255" s="550">
        <f t="shared" si="218"/>
        <v>0.9364861467822313</v>
      </c>
      <c r="DE255" s="551">
        <f t="shared" si="219"/>
        <v>88262.882848078516</v>
      </c>
      <c r="DI255" s="546">
        <f t="shared" si="220"/>
        <v>307</v>
      </c>
      <c r="DJ255" s="551">
        <f t="shared" si="221"/>
        <v>44.006502602727174</v>
      </c>
      <c r="DK255" s="553">
        <f>DJ255/PI()*SQRT('Hilfstabellen_Mat&amp;Bem'!f.Rd.3/'Hilfstabellen_Mat&amp;Bem'!$BD$30)</f>
        <v>0.70038524174103878</v>
      </c>
      <c r="DL255" s="553">
        <f>0.5*(1+'Hilfstabellen_Mat&amp;Bem'!$BD$31*(DK255-0.3)+DK255^2)</f>
        <v>0.76528900551137857</v>
      </c>
      <c r="DM255" s="550">
        <f t="shared" si="222"/>
        <v>0.9313441805727376</v>
      </c>
      <c r="DO255" s="551">
        <f t="shared" si="223"/>
        <v>87778.257674799941</v>
      </c>
      <c r="DS255" s="546">
        <f t="shared" si="224"/>
        <v>307</v>
      </c>
      <c r="DT255" s="551">
        <f t="shared" si="225"/>
        <v>45.13487446433556</v>
      </c>
      <c r="DU255" s="553">
        <f>DT255/PI()*SQRT('Hilfstabellen_Mat&amp;Bem'!f.Rd.3/'Hilfstabellen_Mat&amp;Bem'!$BD$30)</f>
        <v>0.7183438376831166</v>
      </c>
      <c r="DV255" s="553">
        <f>0.5*(1+'Hilfstabellen_Mat&amp;Bem'!$BD$31*(DU255-0.3)+DU255^2)</f>
        <v>0.77892612645280979</v>
      </c>
      <c r="DW255" s="550">
        <f t="shared" si="226"/>
        <v>0.92583687114388469</v>
      </c>
      <c r="DY255" s="551">
        <f t="shared" si="227"/>
        <v>87259.199268439988</v>
      </c>
      <c r="EC255" s="546">
        <f t="shared" si="228"/>
        <v>307</v>
      </c>
      <c r="ED255" s="551">
        <f t="shared" si="229"/>
        <v>46.263246325943953</v>
      </c>
      <c r="EE255" s="553">
        <f>ED255/PI()*SQRT('Hilfstabellen_Mat&amp;Bem'!f.Rd.3/'Hilfstabellen_Mat&amp;Bem'!$BD$30)</f>
        <v>0.73630243362519465</v>
      </c>
      <c r="EF255" s="553">
        <f>0.5*(1+'Hilfstabellen_Mat&amp;Bem'!$BD$31*(EE255-0.3)+EE255^2)</f>
        <v>0.7928857585624518</v>
      </c>
      <c r="EG255" s="550">
        <f t="shared" si="230"/>
        <v>0.91992958733193497</v>
      </c>
      <c r="EI255" s="551">
        <f t="shared" si="231"/>
        <v>86702.443676447539</v>
      </c>
      <c r="EM255" s="546">
        <f t="shared" si="232"/>
        <v>307</v>
      </c>
      <c r="EN255" s="551">
        <f t="shared" si="233"/>
        <v>47.391618187552339</v>
      </c>
      <c r="EO255" s="553">
        <f>EN255/PI()*SQRT('Hilfstabellen_Mat&amp;Bem'!f.Rd.3/'Hilfstabellen_Mat&amp;Bem'!$BD$30)</f>
        <v>0.75426102956727259</v>
      </c>
      <c r="EP255" s="553">
        <f>0.5*(1+'Hilfstabellen_Mat&amp;Bem'!$BD$31*(EO255-0.3)+EO255^2)</f>
        <v>0.80716790184030462</v>
      </c>
      <c r="EQ255" s="550">
        <f t="shared" si="234"/>
        <v>0.91358573906341212</v>
      </c>
      <c r="ES255" s="551">
        <f t="shared" si="235"/>
        <v>86104.54232098753</v>
      </c>
    </row>
    <row r="256" spans="3:149">
      <c r="C256" s="546">
        <v>308</v>
      </c>
      <c r="D256" s="551">
        <f t="shared" si="185"/>
        <v>31.491832864888679</v>
      </c>
      <c r="E256" s="553">
        <f>$D256/PI()*SQRT('Hilfstabellen_Mat&amp;Bem'!f.Rd.3/'Hilfstabellen_Mat&amp;Bem'!$BD$30)</f>
        <v>0.50120808674708373</v>
      </c>
      <c r="F256" s="553">
        <f>0.5*(1+'Hilfstabellen_Mat&amp;Bem'!$BD$31*($E256-0.3)+$E256^2)</f>
        <v>0.63566517744769035</v>
      </c>
      <c r="G256" s="550">
        <f t="shared" si="186"/>
        <v>0.97405205093094493</v>
      </c>
      <c r="I256" s="551">
        <f t="shared" si="187"/>
        <v>92402.473759513159</v>
      </c>
      <c r="M256" s="546">
        <f t="shared" si="188"/>
        <v>308</v>
      </c>
      <c r="N256" s="551">
        <f t="shared" si="177"/>
        <v>32.616541181491847</v>
      </c>
      <c r="O256" s="553">
        <f>$N256/PI()*SQRT('Hilfstabellen_Mat&amp;Bem'!f.Rd.3/'Hilfstabellen_Mat&amp;Bem'!$BD$30)</f>
        <v>0.51910837555947953</v>
      </c>
      <c r="P256" s="553">
        <f>0.5*(1+'Hilfstabellen_Mat&amp;Bem'!$BD$31*($O256-0.3)+$O256^2)</f>
        <v>0.6456921715659748</v>
      </c>
      <c r="Q256" s="550">
        <f t="shared" si="178"/>
        <v>0.97117769391823083</v>
      </c>
      <c r="S256" s="551">
        <f t="shared" si="189"/>
        <v>92129.800755859047</v>
      </c>
      <c r="W256" s="546">
        <f t="shared" si="190"/>
        <v>308</v>
      </c>
      <c r="X256" s="551">
        <f t="shared" si="179"/>
        <v>33.741249498095009</v>
      </c>
      <c r="Y256" s="553">
        <f>$X256/PI()*SQRT('Hilfstabellen_Mat&amp;Bem'!f.Rd.3/'Hilfstabellen_Mat&amp;Bem'!$BD$30)</f>
        <v>0.53700866437187533</v>
      </c>
      <c r="Z256" s="553">
        <f>0.5*(1+'Hilfstabellen_Mat&amp;Bem'!$BD$31*($Y256-0.3)+$Y256^2)</f>
        <v>0.6560395860238265</v>
      </c>
      <c r="AA256" s="550">
        <f t="shared" si="180"/>
        <v>0.96816551646067583</v>
      </c>
      <c r="AC256" s="551">
        <f t="shared" si="191"/>
        <v>91844.053553525548</v>
      </c>
      <c r="AG256" s="546">
        <f t="shared" si="192"/>
        <v>308</v>
      </c>
      <c r="AH256" s="551">
        <f t="shared" si="181"/>
        <v>34.865957814698177</v>
      </c>
      <c r="AI256" s="553">
        <f>$AH256/PI()*SQRT('Hilfstabellen_Mat&amp;Bem'!f.Rd.3/'Hilfstabellen_Mat&amp;Bem'!$BD$30)</f>
        <v>0.55490895318427125</v>
      </c>
      <c r="AJ256" s="553">
        <f>0.5*(1+'Hilfstabellen_Mat&amp;Bem'!$BD$31*($AI256-0.3)+$AI256^2)</f>
        <v>0.66670742082124546</v>
      </c>
      <c r="AK256" s="550">
        <f t="shared" si="182"/>
        <v>0.96500156230224454</v>
      </c>
      <c r="AM256" s="551">
        <f t="shared" si="193"/>
        <v>91543.908206240128</v>
      </c>
      <c r="AQ256" s="546">
        <f t="shared" si="194"/>
        <v>308</v>
      </c>
      <c r="AR256" s="551">
        <f t="shared" si="183"/>
        <v>35.990666131301346</v>
      </c>
      <c r="AS256" s="553">
        <f>$AR256/PI()*SQRT('Hilfstabellen_Mat&amp;Bem'!f.Rd.3/'Hilfstabellen_Mat&amp;Bem'!$BD$30)</f>
        <v>0.57280924199666705</v>
      </c>
      <c r="AT256" s="553">
        <f>0.5*(1+'Hilfstabellen_Mat&amp;Bem'!$BD$31*($AS256-0.3)+$AS256^2)</f>
        <v>0.67769567595823155</v>
      </c>
      <c r="AU256" s="550">
        <f t="shared" si="184"/>
        <v>0.96167046543981471</v>
      </c>
      <c r="AW256" s="551">
        <f t="shared" si="195"/>
        <v>91227.907033482581</v>
      </c>
      <c r="BA256" s="546">
        <f t="shared" si="196"/>
        <v>308</v>
      </c>
      <c r="BB256" s="551">
        <f t="shared" si="197"/>
        <v>37.115374447904507</v>
      </c>
      <c r="BC256" s="553">
        <f>$BB256/PI()*SQRT('Hilfstabellen_Mat&amp;Bem'!f.Rd.3/'Hilfstabellen_Mat&amp;Bem'!$BD$30)</f>
        <v>0.59070953080906285</v>
      </c>
      <c r="BD256" s="553">
        <f>0.5*(1+'Hilfstabellen_Mat&amp;Bem'!$BD$31*($BC256-0.3)+$BC256^2)</f>
        <v>0.68900435143478478</v>
      </c>
      <c r="BE256" s="550">
        <f t="shared" si="198"/>
        <v>0.95815529917458298</v>
      </c>
      <c r="BG256" s="551">
        <f t="shared" si="199"/>
        <v>90894.444300897638</v>
      </c>
      <c r="BK256" s="546">
        <f t="shared" si="200"/>
        <v>308</v>
      </c>
      <c r="BL256" s="551">
        <f t="shared" si="201"/>
        <v>38.240082764507676</v>
      </c>
      <c r="BM256" s="553">
        <f>$BL256/PI()*SQRT('Hilfstabellen_Mat&amp;Bem'!f.Rd.3/'Hilfstabellen_Mat&amp;Bem'!$BD$30)</f>
        <v>0.60860981962145877</v>
      </c>
      <c r="BN256" s="553">
        <f>0.5*(1+'Hilfstabellen_Mat&amp;Bem'!$BD$31*($BM256-0.3)+$BM256^2)</f>
        <v>0.70063344725090526</v>
      </c>
      <c r="BO256" s="550">
        <f t="shared" si="202"/>
        <v>0.95443741804964</v>
      </c>
      <c r="BQ256" s="551">
        <f t="shared" si="203"/>
        <v>90541.751225861051</v>
      </c>
      <c r="BU256" s="546">
        <f t="shared" si="204"/>
        <v>308</v>
      </c>
      <c r="BV256" s="551">
        <f t="shared" si="205"/>
        <v>39.364791081110845</v>
      </c>
      <c r="BW256" s="553">
        <f>$BV256/PI()*SQRT('Hilfstabellen_Mat&amp;Bem'!f.Rd.3/'Hilfstabellen_Mat&amp;Bem'!$BD$30)</f>
        <v>0.62651010843385457</v>
      </c>
      <c r="BX256" s="553">
        <f>0.5*(1+'Hilfstabellen_Mat&amp;Bem'!$BD$31*($BW256-0.3)+$BW256^2)</f>
        <v>0.71258296340659288</v>
      </c>
      <c r="BY256" s="550">
        <f t="shared" si="206"/>
        <v>0.95049629677885661</v>
      </c>
      <c r="CA256" s="551">
        <f t="shared" si="207"/>
        <v>90167.880697629458</v>
      </c>
      <c r="CE256" s="546">
        <f t="shared" si="208"/>
        <v>308</v>
      </c>
      <c r="CF256" s="551">
        <f t="shared" si="209"/>
        <v>40.489499397714013</v>
      </c>
      <c r="CG256" s="553">
        <f>CF256/PI()*SQRT('Hilfstabellen_Mat&amp;Bem'!f.Rd.3/'Hilfstabellen_Mat&amp;Bem'!$BD$30)</f>
        <v>0.64441039724625049</v>
      </c>
      <c r="CH256" s="553">
        <f>0.5*(1+'Hilfstabellen_Mat&amp;Bem'!$BD$31*(CG256-0.3)+CG256^2)</f>
        <v>0.72485289990184776</v>
      </c>
      <c r="CI256" s="550">
        <f t="shared" si="210"/>
        <v>0.94630937269121784</v>
      </c>
      <c r="CK256" s="551">
        <f t="shared" si="211"/>
        <v>89770.692330979684</v>
      </c>
      <c r="CO256" s="546">
        <f t="shared" si="212"/>
        <v>308</v>
      </c>
      <c r="CP256" s="551">
        <f t="shared" si="213"/>
        <v>41.614207714317182</v>
      </c>
      <c r="CQ256" s="553">
        <f>CP256/PI()*SQRT('Hilfstabellen_Mat&amp;Bem'!f.Rd.3/'Hilfstabellen_Mat&amp;Bem'!$BD$30)</f>
        <v>0.6623106860586464</v>
      </c>
      <c r="CR256" s="553">
        <f>0.5*(1+'Hilfstabellen_Mat&amp;Bem'!$BD$31*(CQ256-0.3)+CQ256^2)</f>
        <v>0.73744325673666977</v>
      </c>
      <c r="CS256" s="550">
        <f t="shared" si="214"/>
        <v>0.94185190151675247</v>
      </c>
      <c r="CU256" s="551">
        <f t="shared" si="215"/>
        <v>89347.838785485204</v>
      </c>
      <c r="CY256" s="546">
        <f t="shared" si="216"/>
        <v>308</v>
      </c>
      <c r="CZ256" s="551">
        <f t="shared" si="217"/>
        <v>42.738916030920343</v>
      </c>
      <c r="DA256" s="553">
        <f>CZ256/PI()*SQRT('Hilfstabellen_Mat&amp;Bem'!f.Rd.3/'Hilfstabellen_Mat&amp;Bem'!$BD$30)</f>
        <v>0.6802109748710421</v>
      </c>
      <c r="DB256" s="553">
        <f>0.5*(1+'Hilfstabellen_Mat&amp;Bem'!$BD$31*(DA256-0.3)+DA256^2)</f>
        <v>0.75035403391105882</v>
      </c>
      <c r="DC256" s="550">
        <f t="shared" si="218"/>
        <v>0.93709684072379207</v>
      </c>
      <c r="DE256" s="551">
        <f t="shared" si="219"/>
        <v>88896.754698421806</v>
      </c>
      <c r="DI256" s="546">
        <f t="shared" si="220"/>
        <v>308</v>
      </c>
      <c r="DJ256" s="551">
        <f t="shared" si="221"/>
        <v>43.863624347523512</v>
      </c>
      <c r="DK256" s="553">
        <f>DJ256/PI()*SQRT('Hilfstabellen_Mat&amp;Bem'!f.Rd.3/'Hilfstabellen_Mat&amp;Bem'!$BD$30)</f>
        <v>0.69811126368343801</v>
      </c>
      <c r="DL256" s="553">
        <f>0.5*(1+'Hilfstabellen_Mat&amp;Bem'!$BD$31*(DK256-0.3)+DK256^2)</f>
        <v>0.76358523142501533</v>
      </c>
      <c r="DM256" s="550">
        <f t="shared" si="222"/>
        <v>0.93201478024824447</v>
      </c>
      <c r="DO256" s="551">
        <f t="shared" si="223"/>
        <v>88414.65011346947</v>
      </c>
      <c r="DS256" s="546">
        <f t="shared" si="224"/>
        <v>308</v>
      </c>
      <c r="DT256" s="551">
        <f t="shared" si="225"/>
        <v>44.988332664126681</v>
      </c>
      <c r="DU256" s="553">
        <f>DT256/PI()*SQRT('Hilfstabellen_Mat&amp;Bem'!f.Rd.3/'Hilfstabellen_Mat&amp;Bem'!$BD$30)</f>
        <v>0.71601155249583393</v>
      </c>
      <c r="DV256" s="553">
        <f>0.5*(1+'Hilfstabellen_Mat&amp;Bem'!$BD$31*(DU256-0.3)+DU256^2)</f>
        <v>0.77713684927853888</v>
      </c>
      <c r="DW256" s="550">
        <f t="shared" si="226"/>
        <v>0.92657394739200638</v>
      </c>
      <c r="DY256" s="551">
        <f t="shared" si="227"/>
        <v>87898.51094539529</v>
      </c>
      <c r="EC256" s="546">
        <f t="shared" si="228"/>
        <v>308</v>
      </c>
      <c r="ED256" s="551">
        <f t="shared" si="229"/>
        <v>46.113040980729842</v>
      </c>
      <c r="EE256" s="553">
        <f>ED256/PI()*SQRT('Hilfstabellen_Mat&amp;Bem'!f.Rd.3/'Hilfstabellen_Mat&amp;Bem'!$BD$30)</f>
        <v>0.73391184130822962</v>
      </c>
      <c r="EF256" s="553">
        <f>0.5*(1+'Hilfstabellen_Mat&amp;Bem'!$BD$31*(EE256-0.3)+EE256^2)</f>
        <v>0.79100888747162945</v>
      </c>
      <c r="EG256" s="550">
        <f t="shared" si="230"/>
        <v>0.92074032073398349</v>
      </c>
      <c r="EI256" s="551">
        <f t="shared" si="231"/>
        <v>87345.109786108616</v>
      </c>
      <c r="EM256" s="546">
        <f t="shared" si="232"/>
        <v>308</v>
      </c>
      <c r="EN256" s="551">
        <f t="shared" si="233"/>
        <v>47.237749297333018</v>
      </c>
      <c r="EO256" s="553">
        <f>EN256/PI()*SQRT('Hilfstabellen_Mat&amp;Bem'!f.Rd.3/'Hilfstabellen_Mat&amp;Bem'!$BD$30)</f>
        <v>0.75181213012062553</v>
      </c>
      <c r="EP256" s="553">
        <f>0.5*(1+'Hilfstabellen_Mat&amp;Bem'!$BD$31*(EO256-0.3)+EO256^2)</f>
        <v>0.8052013460042875</v>
      </c>
      <c r="EQ256" s="550">
        <f t="shared" si="234"/>
        <v>0.91447789649307298</v>
      </c>
      <c r="ES256" s="551">
        <f t="shared" si="235"/>
        <v>86751.031172918869</v>
      </c>
    </row>
    <row r="257" spans="3:149">
      <c r="C257" s="546">
        <v>309</v>
      </c>
      <c r="D257" s="551">
        <f t="shared" si="185"/>
        <v>31.38991754817383</v>
      </c>
      <c r="E257" s="553">
        <f>$D257/PI()*SQRT('Hilfstabellen_Mat&amp;Bem'!f.Rd.3/'Hilfstabellen_Mat&amp;Bem'!$BD$30)</f>
        <v>0.49958605410388934</v>
      </c>
      <c r="F257" s="553">
        <f>0.5*(1+'Hilfstabellen_Mat&amp;Bem'!$BD$31*($E257-0.3)+$E257^2)</f>
        <v>0.63477241543274154</v>
      </c>
      <c r="G257" s="550">
        <f t="shared" si="186"/>
        <v>0.97430614653103664</v>
      </c>
      <c r="I257" s="551">
        <f t="shared" si="187"/>
        <v>93027.725176929904</v>
      </c>
      <c r="M257" s="546">
        <f t="shared" si="188"/>
        <v>309</v>
      </c>
      <c r="N257" s="551">
        <f t="shared" si="177"/>
        <v>32.510986032037174</v>
      </c>
      <c r="O257" s="553">
        <f>$N257/PI()*SQRT('Hilfstabellen_Mat&amp;Bem'!f.Rd.3/'Hilfstabellen_Mat&amp;Bem'!$BD$30)</f>
        <v>0.5174284131790281</v>
      </c>
      <c r="P257" s="553">
        <f>0.5*(1+'Hilfstabellen_Mat&amp;Bem'!$BD$31*($O257-0.3)+$O257^2)</f>
        <v>0.64473750204143498</v>
      </c>
      <c r="Q257" s="550">
        <f t="shared" si="178"/>
        <v>0.97145311025376113</v>
      </c>
      <c r="S257" s="551">
        <f t="shared" si="189"/>
        <v>92755.314420139373</v>
      </c>
      <c r="W257" s="546">
        <f t="shared" si="190"/>
        <v>309</v>
      </c>
      <c r="X257" s="551">
        <f t="shared" si="179"/>
        <v>33.632054515900528</v>
      </c>
      <c r="Y257" s="553">
        <f>$X257/PI()*SQRT('Hilfstabellen_Mat&amp;Bem'!f.Rd.3/'Hilfstabellen_Mat&amp;Bem'!$BD$30)</f>
        <v>0.53527077225416708</v>
      </c>
      <c r="Z257" s="553">
        <f>0.5*(1+'Hilfstabellen_Mat&amp;Bem'!$BD$31*($Y257-0.3)+$Y257^2)</f>
        <v>0.65502093842749454</v>
      </c>
      <c r="AA257" s="550">
        <f t="shared" si="180"/>
        <v>0.96846437937230689</v>
      </c>
      <c r="AC257" s="551">
        <f t="shared" si="191"/>
        <v>92469.947406847234</v>
      </c>
      <c r="AG257" s="546">
        <f t="shared" si="192"/>
        <v>309</v>
      </c>
      <c r="AH257" s="551">
        <f t="shared" si="181"/>
        <v>34.753122999763882</v>
      </c>
      <c r="AI257" s="553">
        <f>$AH257/PI()*SQRT('Hilfstabellen_Mat&amp;Bem'!f.Rd.3/'Hilfstabellen_Mat&amp;Bem'!$BD$30)</f>
        <v>0.55311313132930595</v>
      </c>
      <c r="AJ257" s="553">
        <f>0.5*(1+'Hilfstabellen_Mat&amp;Bem'!$BD$31*($AI257-0.3)+$AI257^2)</f>
        <v>0.66562272459092031</v>
      </c>
      <c r="AK257" s="550">
        <f t="shared" si="182"/>
        <v>0.96532625860142818</v>
      </c>
      <c r="AM257" s="551">
        <f t="shared" si="193"/>
        <v>92170.316497522959</v>
      </c>
      <c r="AQ257" s="546">
        <f t="shared" si="194"/>
        <v>309</v>
      </c>
      <c r="AR257" s="551">
        <f t="shared" si="183"/>
        <v>35.874191483627229</v>
      </c>
      <c r="AS257" s="553">
        <f>$AR257/PI()*SQRT('Hilfstabellen_Mat&amp;Bem'!f.Rd.3/'Hilfstabellen_Mat&amp;Bem'!$BD$30)</f>
        <v>0.57095549040444482</v>
      </c>
      <c r="AT257" s="553">
        <f>0.5*(1+'Hilfstabellen_Mat&amp;Bem'!$BD$31*($AS257-0.3)+$AS257^2)</f>
        <v>0.67654286053171231</v>
      </c>
      <c r="AU257" s="550">
        <f t="shared" si="184"/>
        <v>0.96202367507359809</v>
      </c>
      <c r="AW257" s="551">
        <f t="shared" si="195"/>
        <v>91854.982519702215</v>
      </c>
      <c r="BA257" s="546">
        <f t="shared" si="196"/>
        <v>309</v>
      </c>
      <c r="BB257" s="551">
        <f t="shared" si="197"/>
        <v>36.995259967490583</v>
      </c>
      <c r="BC257" s="553">
        <f>$BB257/PI()*SQRT('Hilfstabellen_Mat&amp;Bem'!f.Rd.3/'Hilfstabellen_Mat&amp;Bem'!$BD$30)</f>
        <v>0.5887978494795838</v>
      </c>
      <c r="BD257" s="553">
        <f>0.5*(1+'Hilfstabellen_Mat&amp;Bem'!$BD$31*($BC257-0.3)+$BC257^2)</f>
        <v>0.68778134624987042</v>
      </c>
      <c r="BE257" s="550">
        <f t="shared" si="198"/>
        <v>0.95854003065482463</v>
      </c>
      <c r="BG257" s="551">
        <f t="shared" si="199"/>
        <v>91522.360666953304</v>
      </c>
      <c r="BK257" s="546">
        <f t="shared" si="200"/>
        <v>309</v>
      </c>
      <c r="BL257" s="551">
        <f t="shared" si="201"/>
        <v>38.11632845135393</v>
      </c>
      <c r="BM257" s="553">
        <f>$BL257/PI()*SQRT('Hilfstabellen_Mat&amp;Bem'!f.Rd.3/'Hilfstabellen_Mat&amp;Bem'!$BD$30)</f>
        <v>0.60664020855472267</v>
      </c>
      <c r="BN257" s="553">
        <f>0.5*(1+'Hilfstabellen_Mat&amp;Bem'!$BD$31*($BM257-0.3)+$BM257^2)</f>
        <v>0.69933818174539486</v>
      </c>
      <c r="BO257" s="550">
        <f t="shared" si="202"/>
        <v>0.95485704698034679</v>
      </c>
      <c r="BQ257" s="551">
        <f t="shared" si="203"/>
        <v>91170.705702730498</v>
      </c>
      <c r="BU257" s="546">
        <f t="shared" si="204"/>
        <v>309</v>
      </c>
      <c r="BV257" s="551">
        <f t="shared" si="205"/>
        <v>39.237396935217276</v>
      </c>
      <c r="BW257" s="553">
        <f>$BV257/PI()*SQRT('Hilfstabellen_Mat&amp;Bem'!f.Rd.3/'Hilfstabellen_Mat&amp;Bem'!$BD$30)</f>
        <v>0.62448256762986143</v>
      </c>
      <c r="BX257" s="553">
        <f>0.5*(1+'Hilfstabellen_Mat&amp;Bem'!$BD$31*($BW257-0.3)+$BW257^2)</f>
        <v>0.71121336701828541</v>
      </c>
      <c r="BY257" s="550">
        <f t="shared" si="206"/>
        <v>0.95095460702189516</v>
      </c>
      <c r="CA257" s="551">
        <f t="shared" si="207"/>
        <v>90798.096833057571</v>
      </c>
      <c r="CE257" s="546">
        <f t="shared" si="208"/>
        <v>309</v>
      </c>
      <c r="CF257" s="551">
        <f t="shared" si="209"/>
        <v>40.358465419080638</v>
      </c>
      <c r="CG257" s="553">
        <f>CF257/PI()*SQRT('Hilfstabellen_Mat&amp;Bem'!f.Rd.3/'Hilfstabellen_Mat&amp;Bem'!$BD$30)</f>
        <v>0.64232492670500052</v>
      </c>
      <c r="CH257" s="553">
        <f>0.5*(1+'Hilfstabellen_Mat&amp;Bem'!$BD$31*(CG257-0.3)+CG257^2)</f>
        <v>0.72340690206854208</v>
      </c>
      <c r="CI257" s="550">
        <f t="shared" si="210"/>
        <v>0.94681059927674516</v>
      </c>
      <c r="CK257" s="551">
        <f t="shared" si="211"/>
        <v>90402.422829542906</v>
      </c>
      <c r="CO257" s="546">
        <f t="shared" si="212"/>
        <v>309</v>
      </c>
      <c r="CP257" s="551">
        <f t="shared" si="213"/>
        <v>41.479533902943984</v>
      </c>
      <c r="CQ257" s="553">
        <f>CP257/PI()*SQRT('Hilfstabellen_Mat&amp;Bem'!f.Rd.3/'Hilfstabellen_Mat&amp;Bem'!$BD$30)</f>
        <v>0.66016728578013939</v>
      </c>
      <c r="CR257" s="553">
        <f>0.5*(1+'Hilfstabellen_Mat&amp;Bem'!$BD$31*(CQ257-0.3)+CQ257^2)</f>
        <v>0.73591878689616508</v>
      </c>
      <c r="CS257" s="550">
        <f t="shared" si="214"/>
        <v>0.94240077378462883</v>
      </c>
      <c r="CU257" s="551">
        <f t="shared" si="215"/>
        <v>89981.368281730145</v>
      </c>
      <c r="CY257" s="546">
        <f t="shared" si="216"/>
        <v>309</v>
      </c>
      <c r="CZ257" s="551">
        <f t="shared" si="217"/>
        <v>42.600602386807338</v>
      </c>
      <c r="DA257" s="553">
        <f>CZ257/PI()*SQRT('Hilfstabellen_Mat&amp;Bem'!f.Rd.3/'Hilfstabellen_Mat&amp;Bem'!$BD$30)</f>
        <v>0.67800964485527837</v>
      </c>
      <c r="DB257" s="553">
        <f>0.5*(1+'Hilfstabellen_Mat&amp;Bem'!$BD$31*(DA257-0.3)+DA257^2)</f>
        <v>0.7487490215011543</v>
      </c>
      <c r="DC257" s="550">
        <f t="shared" si="218"/>
        <v>0.93769862332465836</v>
      </c>
      <c r="DE257" s="551">
        <f t="shared" si="219"/>
        <v>89532.402253661712</v>
      </c>
      <c r="DI257" s="546">
        <f t="shared" si="220"/>
        <v>309</v>
      </c>
      <c r="DJ257" s="551">
        <f t="shared" si="221"/>
        <v>43.721670870670685</v>
      </c>
      <c r="DK257" s="553">
        <f>DJ257/PI()*SQRT('Hilfstabellen_Mat&amp;Bem'!f.Rd.3/'Hilfstabellen_Mat&amp;Bem'!$BD$30)</f>
        <v>0.69585200393041724</v>
      </c>
      <c r="DL257" s="553">
        <f>0.5*(1+'Hilfstabellen_Mat&amp;Bem'!$BD$31*(DK257-0.3)+DK257^2)</f>
        <v>0.76189760588350952</v>
      </c>
      <c r="DM257" s="550">
        <f t="shared" si="222"/>
        <v>0.93267530848767088</v>
      </c>
      <c r="DO257" s="551">
        <f t="shared" si="223"/>
        <v>89052.771129711298</v>
      </c>
      <c r="DS257" s="546">
        <f t="shared" si="224"/>
        <v>309</v>
      </c>
      <c r="DT257" s="551">
        <f t="shared" si="225"/>
        <v>44.842739354534039</v>
      </c>
      <c r="DU257" s="553">
        <f>DT257/PI()*SQRT('Hilfstabellen_Mat&amp;Bem'!f.Rd.3/'Hilfstabellen_Mat&amp;Bem'!$BD$30)</f>
        <v>0.71369436300555611</v>
      </c>
      <c r="DV257" s="553">
        <f>0.5*(1+'Hilfstabellen_Mat&amp;Bem'!$BD$31*(DU257-0.3)+DU257^2)</f>
        <v>0.77536454004323108</v>
      </c>
      <c r="DW257" s="550">
        <f t="shared" si="226"/>
        <v>0.92729965193338171</v>
      </c>
      <c r="DY257" s="551">
        <f t="shared" si="227"/>
        <v>88539.498066251224</v>
      </c>
      <c r="EC257" s="546">
        <f t="shared" si="228"/>
        <v>309</v>
      </c>
      <c r="ED257" s="551">
        <f t="shared" si="229"/>
        <v>45.963807838397386</v>
      </c>
      <c r="EE257" s="553">
        <f>ED257/PI()*SQRT('Hilfstabellen_Mat&amp;Bem'!f.Rd.3/'Hilfstabellen_Mat&amp;Bem'!$BD$30)</f>
        <v>0.73153672208069498</v>
      </c>
      <c r="EF257" s="553">
        <f>0.5*(1+'Hilfstabellen_Mat&amp;Bem'!$BD$31*(EE257-0.3)+EE257^2)</f>
        <v>0.78914982398031874</v>
      </c>
      <c r="EG257" s="550">
        <f t="shared" si="230"/>
        <v>0.92153823489143394</v>
      </c>
      <c r="EI257" s="551">
        <f t="shared" si="231"/>
        <v>87989.392205669006</v>
      </c>
      <c r="EM257" s="546">
        <f t="shared" si="232"/>
        <v>309</v>
      </c>
      <c r="EN257" s="551">
        <f t="shared" si="233"/>
        <v>47.08487632226074</v>
      </c>
      <c r="EO257" s="553">
        <f>EN257/PI()*SQRT('Hilfstabellen_Mat&amp;Bem'!f.Rd.3/'Hilfstabellen_Mat&amp;Bem'!$BD$30)</f>
        <v>0.74937908115583385</v>
      </c>
      <c r="EP257" s="553">
        <f>0.5*(1+'Hilfstabellen_Mat&amp;Bem'!$BD$31*(EO257-0.3)+EO257^2)</f>
        <v>0.80325345769477263</v>
      </c>
      <c r="EQ257" s="550">
        <f t="shared" si="234"/>
        <v>0.91535563733152547</v>
      </c>
      <c r="ES257" s="551">
        <f t="shared" si="235"/>
        <v>87399.071608051381</v>
      </c>
    </row>
    <row r="258" spans="3:149">
      <c r="C258" s="546">
        <v>310</v>
      </c>
      <c r="D258" s="551">
        <f t="shared" si="185"/>
        <v>31.288659749631332</v>
      </c>
      <c r="E258" s="553">
        <f>$D258/PI()*SQRT('Hilfstabellen_Mat&amp;Bem'!f.Rd.3/'Hilfstabellen_Mat&amp;Bem'!$BD$30)</f>
        <v>0.49797448618742512</v>
      </c>
      <c r="F258" s="553">
        <f>0.5*(1+'Hilfstabellen_Mat&amp;Bem'!$BD$31*($E258-0.3)+$E258^2)</f>
        <v>0.63388801875618628</v>
      </c>
      <c r="G258" s="550">
        <f t="shared" si="186"/>
        <v>0.97455759487044535</v>
      </c>
      <c r="I258" s="551">
        <f t="shared" si="187"/>
        <v>93654.984867049803</v>
      </c>
      <c r="M258" s="546">
        <f t="shared" si="188"/>
        <v>310</v>
      </c>
      <c r="N258" s="551">
        <f t="shared" si="177"/>
        <v>32.406111883546735</v>
      </c>
      <c r="O258" s="553">
        <f>$N258/PI()*SQRT('Hilfstabellen_Mat&amp;Bem'!f.Rd.3/'Hilfstabellen_Mat&amp;Bem'!$BD$30)</f>
        <v>0.51575928926554748</v>
      </c>
      <c r="P258" s="553">
        <f>0.5*(1+'Hilfstabellen_Mat&amp;Bem'!$BD$31*($O258-0.3)+$O258^2)</f>
        <v>0.64379178669512871</v>
      </c>
      <c r="Q258" s="550">
        <f t="shared" si="178"/>
        <v>0.9717255592244578</v>
      </c>
      <c r="S258" s="551">
        <f t="shared" si="189"/>
        <v>93382.826241470393</v>
      </c>
      <c r="W258" s="546">
        <f t="shared" si="190"/>
        <v>310</v>
      </c>
      <c r="X258" s="551">
        <f t="shared" si="179"/>
        <v>33.523564017462142</v>
      </c>
      <c r="Y258" s="553">
        <f>$X258/PI()*SQRT('Hilfstabellen_Mat&amp;Bem'!f.Rd.3/'Hilfstabellen_Mat&amp;Bem'!$BD$30)</f>
        <v>0.53354409234366984</v>
      </c>
      <c r="Z258" s="553">
        <f>0.5*(1+'Hilfstabellen_Mat&amp;Bem'!$BD$31*($Y258-0.3)+$Y258^2)</f>
        <v>0.6540118538545987</v>
      </c>
      <c r="AA258" s="550">
        <f t="shared" si="180"/>
        <v>0.96875991156003649</v>
      </c>
      <c r="AC258" s="551">
        <f t="shared" si="191"/>
        <v>93097.827500919506</v>
      </c>
      <c r="AG258" s="546">
        <f t="shared" si="192"/>
        <v>310</v>
      </c>
      <c r="AH258" s="551">
        <f t="shared" si="181"/>
        <v>34.641016151377542</v>
      </c>
      <c r="AI258" s="553">
        <f>$AH258/PI()*SQRT('Hilfstabellen_Mat&amp;Bem'!f.Rd.3/'Hilfstabellen_Mat&amp;Bem'!$BD$30)</f>
        <v>0.55132889542179198</v>
      </c>
      <c r="AJ258" s="553">
        <f>0.5*(1+'Hilfstabellen_Mat&amp;Bem'!$BD$31*($AI258-0.3)+$AI258^2)</f>
        <v>0.66454822023459625</v>
      </c>
      <c r="AK258" s="550">
        <f t="shared" si="182"/>
        <v>0.96564721134572118</v>
      </c>
      <c r="AM258" s="551">
        <f t="shared" si="193"/>
        <v>92798.697010323798</v>
      </c>
      <c r="AQ258" s="546">
        <f t="shared" si="194"/>
        <v>310</v>
      </c>
      <c r="AR258" s="551">
        <f t="shared" si="183"/>
        <v>35.758468285292949</v>
      </c>
      <c r="AS258" s="553">
        <f>$AR258/PI()*SQRT('Hilfstabellen_Mat&amp;Bem'!f.Rd.3/'Hilfstabellen_Mat&amp;Bem'!$BD$30)</f>
        <v>0.56911369849991444</v>
      </c>
      <c r="AT258" s="553">
        <f>0.5*(1+'Hilfstabellen_Mat&amp;Bem'!$BD$31*($AS258-0.3)+$AS258^2)</f>
        <v>0.67540088583512148</v>
      </c>
      <c r="AU258" s="550">
        <f t="shared" si="184"/>
        <v>0.96237267180386055</v>
      </c>
      <c r="AW258" s="551">
        <f t="shared" si="195"/>
        <v>92484.013760350994</v>
      </c>
      <c r="BA258" s="546">
        <f t="shared" si="196"/>
        <v>310</v>
      </c>
      <c r="BB258" s="551">
        <f t="shared" si="197"/>
        <v>36.875920419208349</v>
      </c>
      <c r="BC258" s="553">
        <f>$BB258/PI()*SQRT('Hilfstabellen_Mat&amp;Bem'!f.Rd.3/'Hilfstabellen_Mat&amp;Bem'!$BD$30)</f>
        <v>0.58689850157803658</v>
      </c>
      <c r="BD258" s="553">
        <f>0.5*(1+'Hilfstabellen_Mat&amp;Bem'!$BD$31*($BC258-0.3)+$BC258^2)</f>
        <v>0.68656985065617415</v>
      </c>
      <c r="BE258" s="550">
        <f t="shared" si="198"/>
        <v>0.95892001543287919</v>
      </c>
      <c r="BG258" s="551">
        <f t="shared" si="199"/>
        <v>92152.213483099695</v>
      </c>
      <c r="BK258" s="546">
        <f t="shared" si="200"/>
        <v>310</v>
      </c>
      <c r="BL258" s="551">
        <f t="shared" si="201"/>
        <v>37.993372553123756</v>
      </c>
      <c r="BM258" s="553">
        <f>$BL258/PI()*SQRT('Hilfstabellen_Mat&amp;Bem'!f.Rd.3/'Hilfstabellen_Mat&amp;Bem'!$BD$30)</f>
        <v>0.60468330465615905</v>
      </c>
      <c r="BN258" s="553">
        <f>0.5*(1+'Hilfstabellen_Mat&amp;Bem'!$BD$31*($BM258-0.3)+$BM258^2)</f>
        <v>0.69805511469775461</v>
      </c>
      <c r="BO258" s="550">
        <f t="shared" si="202"/>
        <v>0.95527132210968346</v>
      </c>
      <c r="BQ258" s="551">
        <f t="shared" si="203"/>
        <v>91801.574054740588</v>
      </c>
      <c r="BU258" s="546">
        <f t="shared" si="204"/>
        <v>310</v>
      </c>
      <c r="BV258" s="551">
        <f t="shared" si="205"/>
        <v>39.110824687039162</v>
      </c>
      <c r="BW258" s="553">
        <f>$BV258/PI()*SQRT('Hilfstabellen_Mat&amp;Bem'!f.Rd.3/'Hilfstabellen_Mat&amp;Bem'!$BD$30)</f>
        <v>0.62246810773428141</v>
      </c>
      <c r="BX258" s="553">
        <f>0.5*(1+'Hilfstabellen_Mat&amp;Bem'!$BD$31*($BW258-0.3)+$BW258^2)</f>
        <v>0.70985667795986251</v>
      </c>
      <c r="BY258" s="550">
        <f t="shared" si="206"/>
        <v>0.95140687330972329</v>
      </c>
      <c r="CA258" s="551">
        <f t="shared" si="207"/>
        <v>91430.200525064414</v>
      </c>
      <c r="CE258" s="546">
        <f t="shared" si="208"/>
        <v>310</v>
      </c>
      <c r="CF258" s="551">
        <f t="shared" si="209"/>
        <v>40.228276820954569</v>
      </c>
      <c r="CG258" s="553">
        <f>CF258/PI()*SQRT('Hilfstabellen_Mat&amp;Bem'!f.Rd.3/'Hilfstabellen_Mat&amp;Bem'!$BD$30)</f>
        <v>0.64025291081240376</v>
      </c>
      <c r="CH258" s="553">
        <f>0.5*(1+'Hilfstabellen_Mat&amp;Bem'!$BD$31*(CG258-0.3)+CG258^2)</f>
        <v>0.72197454044249809</v>
      </c>
      <c r="CI258" s="550">
        <f t="shared" si="210"/>
        <v>0.94730499812854463</v>
      </c>
      <c r="CK258" s="551">
        <f t="shared" si="211"/>
        <v>91036.010320153146</v>
      </c>
      <c r="CO258" s="546">
        <f t="shared" si="212"/>
        <v>310</v>
      </c>
      <c r="CP258" s="551">
        <f t="shared" si="213"/>
        <v>41.345728954869969</v>
      </c>
      <c r="CQ258" s="553">
        <f>CP258/PI()*SQRT('Hilfstabellen_Mat&amp;Bem'!f.Rd.3/'Hilfstabellen_Mat&amp;Bem'!$BD$30)</f>
        <v>0.65803771389052601</v>
      </c>
      <c r="CR258" s="553">
        <f>0.5*(1+'Hilfstabellen_Mat&amp;Bem'!$BD$31*(CQ258-0.3)+CQ258^2)</f>
        <v>0.73440870214566123</v>
      </c>
      <c r="CS258" s="550">
        <f t="shared" si="214"/>
        <v>0.94294192972876723</v>
      </c>
      <c r="CU258" s="551">
        <f t="shared" si="215"/>
        <v>90616.719446934527</v>
      </c>
      <c r="CY258" s="546">
        <f t="shared" si="216"/>
        <v>310</v>
      </c>
      <c r="CZ258" s="551">
        <f t="shared" si="217"/>
        <v>42.463181088785376</v>
      </c>
      <c r="DA258" s="553">
        <f>CZ258/PI()*SQRT('Hilfstabellen_Mat&amp;Bem'!f.Rd.3/'Hilfstabellen_Mat&amp;Bem'!$BD$30)</f>
        <v>0.67582251696864837</v>
      </c>
      <c r="DB258" s="553">
        <f>0.5*(1+'Hilfstabellen_Mat&amp;Bem'!$BD$31*(DA258-0.3)+DA258^2)</f>
        <v>0.74715916306935193</v>
      </c>
      <c r="DC258" s="550">
        <f t="shared" si="218"/>
        <v>0.93829168475735847</v>
      </c>
      <c r="DE258" s="551">
        <f t="shared" si="219"/>
        <v>90169.830905182142</v>
      </c>
      <c r="DI258" s="546">
        <f t="shared" si="220"/>
        <v>310</v>
      </c>
      <c r="DJ258" s="551">
        <f t="shared" si="221"/>
        <v>43.580633222700776</v>
      </c>
      <c r="DK258" s="553">
        <f>DJ258/PI()*SQRT('Hilfstabellen_Mat&amp;Bem'!f.Rd.3/'Hilfstabellen_Mat&amp;Bem'!$BD$30)</f>
        <v>0.6936073200467705</v>
      </c>
      <c r="DL258" s="553">
        <f>0.5*(1+'Hilfstabellen_Mat&amp;Bem'!$BD$31*(DK258-0.3)+DK258^2)</f>
        <v>0.76022592321357019</v>
      </c>
      <c r="DM258" s="550">
        <f t="shared" si="222"/>
        <v>0.93332598334705597</v>
      </c>
      <c r="DO258" s="551">
        <f t="shared" si="223"/>
        <v>89692.626999652071</v>
      </c>
      <c r="DS258" s="546">
        <f t="shared" si="224"/>
        <v>310</v>
      </c>
      <c r="DT258" s="551">
        <f t="shared" si="225"/>
        <v>44.698085356616183</v>
      </c>
      <c r="DU258" s="553">
        <f>DT258/PI()*SQRT('Hilfstabellen_Mat&amp;Bem'!f.Rd.3/'Hilfstabellen_Mat&amp;Bem'!$BD$30)</f>
        <v>0.71139212312489297</v>
      </c>
      <c r="DV258" s="553">
        <f>0.5*(1+'Hilfstabellen_Mat&amp;Bem'!$BD$31*(DU258-0.3)+DU258^2)</f>
        <v>0.77360898257831612</v>
      </c>
      <c r="DW258" s="550">
        <f t="shared" si="226"/>
        <v>0.92801423361892288</v>
      </c>
      <c r="DY258" s="551">
        <f t="shared" si="227"/>
        <v>89182.167850778482</v>
      </c>
      <c r="EC258" s="546">
        <f t="shared" si="228"/>
        <v>310</v>
      </c>
      <c r="ED258" s="551">
        <f t="shared" si="229"/>
        <v>45.81553749053159</v>
      </c>
      <c r="EE258" s="553">
        <f>ED258/PI()*SQRT('Hilfstabellen_Mat&amp;Bem'!f.Rd.3/'Hilfstabellen_Mat&amp;Bem'!$BD$30)</f>
        <v>0.72917692620301533</v>
      </c>
      <c r="EF258" s="553">
        <f>0.5*(1+'Hilfstabellen_Mat&amp;Bem'!$BD$31*(EE258-0.3)+EE258^2)</f>
        <v>0.78730834116358972</v>
      </c>
      <c r="EG258" s="550">
        <f t="shared" si="230"/>
        <v>0.92232361204110125</v>
      </c>
      <c r="EI258" s="551">
        <f t="shared" si="231"/>
        <v>88635.299117149829</v>
      </c>
      <c r="EM258" s="546">
        <f t="shared" si="232"/>
        <v>310</v>
      </c>
      <c r="EN258" s="551">
        <f t="shared" si="233"/>
        <v>46.932989624446996</v>
      </c>
      <c r="EO258" s="553">
        <f>EN258/PI()*SQRT('Hilfstabellen_Mat&amp;Bem'!f.Rd.3/'Hilfstabellen_Mat&amp;Bem'!$BD$30)</f>
        <v>0.74696172928113769</v>
      </c>
      <c r="EP258" s="553">
        <f>0.5*(1+'Hilfstabellen_Mat&amp;Bem'!$BD$31*(EO258-0.3)+EO258^2)</f>
        <v>0.80132399896939066</v>
      </c>
      <c r="EQ258" s="550">
        <f t="shared" si="234"/>
        <v>0.91621927912520795</v>
      </c>
      <c r="ES258" s="551">
        <f t="shared" si="235"/>
        <v>88048.672723932483</v>
      </c>
    </row>
    <row r="259" spans="3:149">
      <c r="C259" s="546">
        <v>311</v>
      </c>
      <c r="D259" s="551">
        <f t="shared" si="185"/>
        <v>31.188053126642163</v>
      </c>
      <c r="E259" s="553">
        <f>$D259/PI()*SQRT('Hilfstabellen_Mat&amp;Bem'!f.Rd.3/'Hilfstabellen_Mat&amp;Bem'!$BD$30)</f>
        <v>0.49637328205177422</v>
      </c>
      <c r="F259" s="553">
        <f>0.5*(1+'Hilfstabellen_Mat&amp;Bem'!$BD$31*($E259-0.3)+$E259^2)</f>
        <v>0.63301188167001377</v>
      </c>
      <c r="G259" s="550">
        <f t="shared" si="186"/>
        <v>0.97480643980310522</v>
      </c>
      <c r="I259" s="551">
        <f t="shared" si="187"/>
        <v>94284.253664196134</v>
      </c>
      <c r="M259" s="546">
        <f t="shared" si="188"/>
        <v>311</v>
      </c>
      <c r="N259" s="551">
        <f t="shared" si="177"/>
        <v>32.301912166879383</v>
      </c>
      <c r="O259" s="553">
        <f>$N259/PI()*SQRT('Hilfstabellen_Mat&amp;Bem'!f.Rd.3/'Hilfstabellen_Mat&amp;Bem'!$BD$30)</f>
        <v>0.51410089926790903</v>
      </c>
      <c r="P259" s="553">
        <f>0.5*(1+'Hilfstabellen_Mat&amp;Bem'!$BD$31*($O259-0.3)+$O259^2)</f>
        <v>0.64285491227743186</v>
      </c>
      <c r="Q259" s="550">
        <f t="shared" si="178"/>
        <v>0.97199509142968432</v>
      </c>
      <c r="S259" s="551">
        <f t="shared" si="189"/>
        <v>94012.337238170498</v>
      </c>
      <c r="W259" s="546">
        <f t="shared" si="190"/>
        <v>311</v>
      </c>
      <c r="X259" s="551">
        <f t="shared" si="179"/>
        <v>33.415771207116599</v>
      </c>
      <c r="Y259" s="553">
        <f>$X259/PI()*SQRT('Hilfstabellen_Mat&amp;Bem'!f.Rd.3/'Hilfstabellen_Mat&amp;Bem'!$BD$30)</f>
        <v>0.53182851648404372</v>
      </c>
      <c r="Z259" s="553">
        <f>0.5*(1+'Hilfstabellen_Mat&amp;Bem'!$BD$31*($Y259-0.3)+$Y259^2)</f>
        <v>0.65301221129701159</v>
      </c>
      <c r="AA259" s="550">
        <f t="shared" si="180"/>
        <v>0.9690521714592425</v>
      </c>
      <c r="AC259" s="551">
        <f t="shared" si="191"/>
        <v>93727.695075709387</v>
      </c>
      <c r="AG259" s="546">
        <f t="shared" si="192"/>
        <v>311</v>
      </c>
      <c r="AH259" s="551">
        <f t="shared" si="181"/>
        <v>34.529630247353822</v>
      </c>
      <c r="AI259" s="553">
        <f>$AH259/PI()*SQRT('Hilfstabellen_Mat&amp;Bem'!f.Rd.3/'Hilfstabellen_Mat&amp;Bem'!$BD$30)</f>
        <v>0.54955613370017864</v>
      </c>
      <c r="AJ259" s="553">
        <f>0.5*(1+'Hilfstabellen_Mat&amp;Bem'!$BD$31*($AI259-0.3)+$AI259^2)</f>
        <v>0.6634837787287533</v>
      </c>
      <c r="AK259" s="550">
        <f t="shared" si="182"/>
        <v>0.965964488070853</v>
      </c>
      <c r="AM259" s="551">
        <f t="shared" si="193"/>
        <v>93429.05125070097</v>
      </c>
      <c r="AQ259" s="546">
        <f t="shared" si="194"/>
        <v>311</v>
      </c>
      <c r="AR259" s="551">
        <f t="shared" si="183"/>
        <v>35.643489287591045</v>
      </c>
      <c r="AS259" s="553">
        <f>$AR259/PI()*SQRT('Hilfstabellen_Mat&amp;Bem'!f.Rd.3/'Hilfstabellen_Mat&amp;Bem'!$BD$30)</f>
        <v>0.56728375091631345</v>
      </c>
      <c r="AT259" s="553">
        <f>0.5*(1+'Hilfstabellen_Mat&amp;Bem'!$BD$31*($AS259-0.3)+$AS259^2)</f>
        <v>0.67426961457265666</v>
      </c>
      <c r="AU259" s="550">
        <f t="shared" si="184"/>
        <v>0.96271753372703683</v>
      </c>
      <c r="AW259" s="551">
        <f t="shared" si="195"/>
        <v>93115.00257961273</v>
      </c>
      <c r="BA259" s="546">
        <f t="shared" si="196"/>
        <v>311</v>
      </c>
      <c r="BB259" s="551">
        <f t="shared" si="197"/>
        <v>36.757348327828261</v>
      </c>
      <c r="BC259" s="553">
        <f>$BB259/PI()*SQRT('Hilfstabellen_Mat&amp;Bem'!f.Rd.3/'Hilfstabellen_Mat&amp;Bem'!$BD$30)</f>
        <v>0.58501136813244814</v>
      </c>
      <c r="BD259" s="553">
        <f>0.5*(1+'Hilfstabellen_Mat&amp;Bem'!$BD$31*($BC259-0.3)+$BC259^2)</f>
        <v>0.68536971882872177</v>
      </c>
      <c r="BE259" s="550">
        <f t="shared" si="198"/>
        <v>0.95929534384402249</v>
      </c>
      <c r="BG259" s="551">
        <f t="shared" si="199"/>
        <v>92784.004951937692</v>
      </c>
      <c r="BK259" s="546">
        <f t="shared" si="200"/>
        <v>311</v>
      </c>
      <c r="BL259" s="551">
        <f t="shared" si="201"/>
        <v>37.871207368065477</v>
      </c>
      <c r="BM259" s="553">
        <f>$BL259/PI()*SQRT('Hilfstabellen_Mat&amp;Bem'!f.Rd.3/'Hilfstabellen_Mat&amp;Bem'!$BD$30)</f>
        <v>0.60273898534858283</v>
      </c>
      <c r="BN259" s="553">
        <f>0.5*(1+'Hilfstabellen_Mat&amp;Bem'!$BD$31*($BM259-0.3)+$BM259^2)</f>
        <v>0.69678409149694875</v>
      </c>
      <c r="BO259" s="550">
        <f t="shared" si="202"/>
        <v>0.95568034792674439</v>
      </c>
      <c r="BQ259" s="551">
        <f t="shared" si="203"/>
        <v>92434.358931822644</v>
      </c>
      <c r="BU259" s="546">
        <f t="shared" si="204"/>
        <v>311</v>
      </c>
      <c r="BV259" s="551">
        <f t="shared" si="205"/>
        <v>38.9850664083027</v>
      </c>
      <c r="BW259" s="553">
        <f>$BV259/PI()*SQRT('Hilfstabellen_Mat&amp;Bem'!f.Rd.3/'Hilfstabellen_Mat&amp;Bem'!$BD$30)</f>
        <v>0.62046660256471775</v>
      </c>
      <c r="BX259" s="553">
        <f>0.5*(1+'Hilfstabellen_Mat&amp;Bem'!$BD$31*($BW259-0.3)+$BW259^2)</f>
        <v>0.7085127325773376</v>
      </c>
      <c r="BY259" s="550">
        <f t="shared" si="206"/>
        <v>0.95185321644997156</v>
      </c>
      <c r="CA259" s="551">
        <f t="shared" si="207"/>
        <v>92064.194948257704</v>
      </c>
      <c r="CE259" s="546">
        <f t="shared" si="208"/>
        <v>311</v>
      </c>
      <c r="CF259" s="551">
        <f t="shared" si="209"/>
        <v>40.098925448539923</v>
      </c>
      <c r="CG259" s="553">
        <f>CF259/PI()*SQRT('Hilfstabellen_Mat&amp;Bem'!f.Rd.3/'Hilfstabellen_Mat&amp;Bem'!$BD$30)</f>
        <v>0.63819421978085256</v>
      </c>
      <c r="CH259" s="553">
        <f>0.5*(1+'Hilfstabellen_Mat&amp;Bem'!$BD$31*(CG259-0.3)+CG259^2)</f>
        <v>0.7205556420698882</v>
      </c>
      <c r="CI259" s="550">
        <f t="shared" si="210"/>
        <v>0.94779270878879962</v>
      </c>
      <c r="CK259" s="551">
        <f t="shared" si="211"/>
        <v>91671.458586761495</v>
      </c>
      <c r="CO259" s="546">
        <f t="shared" si="212"/>
        <v>311</v>
      </c>
      <c r="CP259" s="551">
        <f t="shared" si="213"/>
        <v>41.212784488777139</v>
      </c>
      <c r="CQ259" s="553">
        <f>CP259/PI()*SQRT('Hilfstabellen_Mat&amp;Bem'!f.Rd.3/'Hilfstabellen_Mat&amp;Bem'!$BD$30)</f>
        <v>0.65592183699698736</v>
      </c>
      <c r="CR259" s="553">
        <f>0.5*(1+'Hilfstabellen_Mat&amp;Bem'!$BD$31*(CQ259-0.3)+CQ259^2)</f>
        <v>0.73291281997460056</v>
      </c>
      <c r="CS259" s="550">
        <f t="shared" si="214"/>
        <v>0.94347553027593178</v>
      </c>
      <c r="CU259" s="551">
        <f t="shared" si="215"/>
        <v>91253.896763818397</v>
      </c>
      <c r="CY259" s="546">
        <f t="shared" si="216"/>
        <v>311</v>
      </c>
      <c r="CZ259" s="551">
        <f t="shared" si="217"/>
        <v>42.326643529014362</v>
      </c>
      <c r="DA259" s="553">
        <f>CZ259/PI()*SQRT('Hilfstabellen_Mat&amp;Bem'!f.Rd.3/'Hilfstabellen_Mat&amp;Bem'!$BD$30)</f>
        <v>0.67364945421312217</v>
      </c>
      <c r="DB259" s="553">
        <f>0.5*(1+'Hilfstabellen_Mat&amp;Bem'!$BD$31*(DA259-0.3)+DA259^2)</f>
        <v>0.7455842662914749</v>
      </c>
      <c r="DC259" s="550">
        <f t="shared" si="218"/>
        <v>0.93887621017085643</v>
      </c>
      <c r="DE259" s="551">
        <f t="shared" si="219"/>
        <v>90809.04592393541</v>
      </c>
      <c r="DI259" s="546">
        <f t="shared" si="220"/>
        <v>311</v>
      </c>
      <c r="DJ259" s="551">
        <f t="shared" si="221"/>
        <v>43.440502569251585</v>
      </c>
      <c r="DK259" s="553">
        <f>DJ259/PI()*SQRT('Hilfstabellen_Mat&amp;Bem'!f.Rd.3/'Hilfstabellen_Mat&amp;Bem'!$BD$30)</f>
        <v>0.69137707142925697</v>
      </c>
      <c r="DL259" s="553">
        <f>0.5*(1+'Hilfstabellen_Mat&amp;Bem'!$BD$31*(DK259-0.3)+DK259^2)</f>
        <v>0.75856998102051088</v>
      </c>
      <c r="DM259" s="550">
        <f t="shared" si="222"/>
        <v>0.93396701713357178</v>
      </c>
      <c r="DO259" s="551">
        <f t="shared" si="223"/>
        <v>90334.223864176194</v>
      </c>
      <c r="DS259" s="546">
        <f t="shared" si="224"/>
        <v>311</v>
      </c>
      <c r="DT259" s="551">
        <f t="shared" si="225"/>
        <v>44.554361609488801</v>
      </c>
      <c r="DU259" s="553">
        <f>DT259/PI()*SQRT('Hilfstabellen_Mat&amp;Bem'!f.Rd.3/'Hilfstabellen_Mat&amp;Bem'!$BD$30)</f>
        <v>0.70910468864539178</v>
      </c>
      <c r="DV259" s="553">
        <f>0.5*(1+'Hilfstabellen_Mat&amp;Bem'!$BD$31*(DU259-0.3)+DU259^2)</f>
        <v>0.77186996416170861</v>
      </c>
      <c r="DW259" s="550">
        <f t="shared" si="226"/>
        <v>0.92871793479951215</v>
      </c>
      <c r="DY259" s="551">
        <f t="shared" si="227"/>
        <v>89826.527371743621</v>
      </c>
      <c r="EC259" s="546">
        <f t="shared" si="228"/>
        <v>311</v>
      </c>
      <c r="ED259" s="551">
        <f t="shared" si="229"/>
        <v>45.668220649726024</v>
      </c>
      <c r="EE259" s="553">
        <f>ED259/PI()*SQRT('Hilfstabellen_Mat&amp;Bem'!f.Rd.3/'Hilfstabellen_Mat&amp;Bem'!$BD$30)</f>
        <v>0.72683230586152658</v>
      </c>
      <c r="EF259" s="553">
        <f>0.5*(1+'Hilfstabellen_Mat&amp;Bem'!$BD$31*(EE259-0.3)+EE259^2)</f>
        <v>0.78548421571506821</v>
      </c>
      <c r="EG259" s="550">
        <f t="shared" si="230"/>
        <v>0.92309672718485192</v>
      </c>
      <c r="EI259" s="551">
        <f t="shared" si="231"/>
        <v>89282.838550046057</v>
      </c>
      <c r="EM259" s="546">
        <f t="shared" si="232"/>
        <v>311</v>
      </c>
      <c r="EN259" s="551">
        <f t="shared" si="233"/>
        <v>46.78207968996324</v>
      </c>
      <c r="EO259" s="553">
        <f>EN259/PI()*SQRT('Hilfstabellen_Mat&amp;Bem'!f.Rd.3/'Hilfstabellen_Mat&amp;Bem'!$BD$30)</f>
        <v>0.74455992307766128</v>
      </c>
      <c r="EP259" s="553">
        <f>0.5*(1+'Hilfstabellen_Mat&amp;Bem'!$BD$31*(EO259-0.3)+EO259^2)</f>
        <v>0.79941273568058946</v>
      </c>
      <c r="EQ259" s="550">
        <f t="shared" si="234"/>
        <v>0.91706913153063652</v>
      </c>
      <c r="ES259" s="551">
        <f t="shared" si="235"/>
        <v>88699.843470774693</v>
      </c>
    </row>
    <row r="260" spans="3:149">
      <c r="C260" s="546">
        <v>312</v>
      </c>
      <c r="D260" s="551">
        <f t="shared" si="185"/>
        <v>31.088091417902923</v>
      </c>
      <c r="E260" s="553">
        <f>$D260/PI()*SQRT('Hilfstabellen_Mat&amp;Bem'!f.Rd.3/'Hilfstabellen_Mat&amp;Bem'!$BD$30)</f>
        <v>0.494782342045198</v>
      </c>
      <c r="F260" s="553">
        <f>0.5*(1+'Hilfstabellen_Mat&amp;Bem'!$BD$31*($E260-0.3)+$E260^2)</f>
        <v>0.63214390010212562</v>
      </c>
      <c r="G260" s="550">
        <f t="shared" si="186"/>
        <v>0.97505272420592104</v>
      </c>
      <c r="I260" s="551">
        <f t="shared" si="187"/>
        <v>94915.532385101178</v>
      </c>
      <c r="M260" s="546">
        <f t="shared" si="188"/>
        <v>312</v>
      </c>
      <c r="N260" s="551">
        <f t="shared" si="177"/>
        <v>32.198380397113745</v>
      </c>
      <c r="O260" s="553">
        <f>$N260/PI()*SQRT('Hilfstabellen_Mat&amp;Bem'!f.Rd.3/'Hilfstabellen_Mat&amp;Bem'!$BD$30)</f>
        <v>0.51245313997538366</v>
      </c>
      <c r="P260" s="553">
        <f>0.5*(1+'Hilfstabellen_Mat&amp;Bem'!$BD$31*($O260-0.3)+$O260^2)</f>
        <v>0.64192676733408427</v>
      </c>
      <c r="Q260" s="550">
        <f t="shared" si="178"/>
        <v>0.97226175631428013</v>
      </c>
      <c r="S260" s="551">
        <f t="shared" si="189"/>
        <v>94643.848406657286</v>
      </c>
      <c r="W260" s="546">
        <f t="shared" si="190"/>
        <v>312</v>
      </c>
      <c r="X260" s="551">
        <f t="shared" si="179"/>
        <v>33.308669376324559</v>
      </c>
      <c r="Y260" s="553">
        <f>$X260/PI()*SQRT('Hilfstabellen_Mat&amp;Bem'!f.Rd.3/'Hilfstabellen_Mat&amp;Bem'!$BD$30)</f>
        <v>0.53012393790556922</v>
      </c>
      <c r="Z260" s="553">
        <f>0.5*(1+'Hilfstabellen_Mat&amp;Bem'!$BD$31*($Y260-0.3)+$Y260^2)</f>
        <v>0.65202189166553237</v>
      </c>
      <c r="AA260" s="550">
        <f t="shared" si="180"/>
        <v>0.96934121614094892</v>
      </c>
      <c r="AC260" s="551">
        <f t="shared" si="191"/>
        <v>94359.551344024527</v>
      </c>
      <c r="AG260" s="546">
        <f t="shared" si="192"/>
        <v>312</v>
      </c>
      <c r="AH260" s="551">
        <f t="shared" si="181"/>
        <v>34.418958355535381</v>
      </c>
      <c r="AI260" s="553">
        <f>$AH260/PI()*SQRT('Hilfstabellen_Mat&amp;Bem'!f.Rd.3/'Hilfstabellen_Mat&amp;Bem'!$BD$30)</f>
        <v>0.547794735835755</v>
      </c>
      <c r="AJ260" s="553">
        <f>0.5*(1+'Hilfstabellen_Mat&amp;Bem'!$BD$31*($AI260-0.3)+$AI260^2)</f>
        <v>0.66242927309647004</v>
      </c>
      <c r="AK260" s="550">
        <f t="shared" si="182"/>
        <v>0.9662781547006577</v>
      </c>
      <c r="AM260" s="551">
        <f t="shared" si="193"/>
        <v>94061.380691180821</v>
      </c>
      <c r="AQ260" s="546">
        <f t="shared" si="194"/>
        <v>312</v>
      </c>
      <c r="AR260" s="551">
        <f t="shared" si="183"/>
        <v>35.529247334746202</v>
      </c>
      <c r="AS260" s="553">
        <f>$AR260/PI()*SQRT('Hilfstabellen_Mat&amp;Bem'!f.Rd.3/'Hilfstabellen_Mat&amp;Bem'!$BD$30)</f>
        <v>0.56546553376594066</v>
      </c>
      <c r="AT260" s="553">
        <f>0.5*(1+'Hilfstabellen_Mat&amp;Bem'!$BD$31*($AS260-0.3)+$AS260^2)</f>
        <v>0.67314891162689716</v>
      </c>
      <c r="AU260" s="550">
        <f t="shared" si="184"/>
        <v>0.96305833703650445</v>
      </c>
      <c r="AW260" s="551">
        <f t="shared" si="195"/>
        <v>93747.950760481486</v>
      </c>
      <c r="BA260" s="546">
        <f t="shared" si="196"/>
        <v>312</v>
      </c>
      <c r="BB260" s="551">
        <f t="shared" si="197"/>
        <v>36.639536313957016</v>
      </c>
      <c r="BC260" s="553">
        <f>$BB260/PI()*SQRT('Hilfstabellen_Mat&amp;Bem'!f.Rd.3/'Hilfstabellen_Mat&amp;Bem'!$BD$30)</f>
        <v>0.58313633169612622</v>
      </c>
      <c r="BD260" s="553">
        <f>0.5*(1+'Hilfstabellen_Mat&amp;Bem'!$BD$31*($BC260-0.3)+$BC260^2)</f>
        <v>0.68418080725681352</v>
      </c>
      <c r="BE260" s="550">
        <f t="shared" si="198"/>
        <v>0.95966610397943064</v>
      </c>
      <c r="BG260" s="551">
        <f t="shared" si="199"/>
        <v>93417.737225773701</v>
      </c>
      <c r="BK260" s="546">
        <f t="shared" si="200"/>
        <v>312</v>
      </c>
      <c r="BL260" s="551">
        <f t="shared" si="201"/>
        <v>37.749825293167838</v>
      </c>
      <c r="BM260" s="553">
        <f>$BL260/PI()*SQRT('Hilfstabellen_Mat&amp;Bem'!f.Rd.3/'Hilfstabellen_Mat&amp;Bem'!$BD$30)</f>
        <v>0.600807129626312</v>
      </c>
      <c r="BN260" s="553">
        <f>0.5*(1+'Hilfstabellen_Mat&amp;Bem'!$BD$31*($BM260-0.3)+$BM260^2)</f>
        <v>0.69552495998621966</v>
      </c>
      <c r="BO260" s="550">
        <f t="shared" si="202"/>
        <v>0.95608422627932044</v>
      </c>
      <c r="BQ260" s="551">
        <f t="shared" si="203"/>
        <v>93069.062922934172</v>
      </c>
      <c r="BU260" s="546">
        <f t="shared" si="204"/>
        <v>312</v>
      </c>
      <c r="BV260" s="551">
        <f t="shared" si="205"/>
        <v>38.860114272378652</v>
      </c>
      <c r="BW260" s="553">
        <f>$BV260/PI()*SQRT('Hilfstabellen_Mat&amp;Bem'!f.Rd.3/'Hilfstabellen_Mat&amp;Bem'!$BD$30)</f>
        <v>0.61847792755649744</v>
      </c>
      <c r="BX260" s="553">
        <f>0.5*(1+'Hilfstabellen_Mat&amp;Bem'!$BD$31*($BW260-0.3)+$BW260^2)</f>
        <v>0.70718136981511492</v>
      </c>
      <c r="BY260" s="550">
        <f t="shared" si="206"/>
        <v>0.95229375414989015</v>
      </c>
      <c r="CA260" s="551">
        <f t="shared" si="207"/>
        <v>92700.083203966904</v>
      </c>
      <c r="CE260" s="546">
        <f t="shared" si="208"/>
        <v>312</v>
      </c>
      <c r="CF260" s="551">
        <f t="shared" si="209"/>
        <v>39.970403251589474</v>
      </c>
      <c r="CG260" s="553">
        <f>CF260/PI()*SQRT('Hilfstabellen_Mat&amp;Bem'!f.Rd.3/'Hilfstabellen_Mat&amp;Bem'!$BD$30)</f>
        <v>0.63614872548668311</v>
      </c>
      <c r="CH260" s="553">
        <f>0.5*(1+'Hilfstabellen_Mat&amp;Bem'!$BD$31*(CG260-0.3)+CG260^2)</f>
        <v>0.71915003674349975</v>
      </c>
      <c r="CI260" s="550">
        <f t="shared" si="210"/>
        <v>0.94827386717413598</v>
      </c>
      <c r="CK260" s="551">
        <f t="shared" si="211"/>
        <v>92308.771326199087</v>
      </c>
      <c r="CO260" s="546">
        <f t="shared" si="212"/>
        <v>312</v>
      </c>
      <c r="CP260" s="551">
        <f t="shared" si="213"/>
        <v>41.080692230800295</v>
      </c>
      <c r="CQ260" s="553">
        <f>CP260/PI()*SQRT('Hilfstabellen_Mat&amp;Bem'!f.Rd.3/'Hilfstabellen_Mat&amp;Bem'!$BD$30)</f>
        <v>0.65381952341686889</v>
      </c>
      <c r="CR260" s="553">
        <f>0.5*(1+'Hilfstabellen_Mat&amp;Bem'!$BD$31*(CQ260-0.3)+CQ260^2)</f>
        <v>0.73143096077137426</v>
      </c>
      <c r="CS260" s="550">
        <f t="shared" si="214"/>
        <v>0.94400173213476479</v>
      </c>
      <c r="CU260" s="551">
        <f t="shared" si="215"/>
        <v>91892.904612926548</v>
      </c>
      <c r="CY260" s="546">
        <f t="shared" si="216"/>
        <v>312</v>
      </c>
      <c r="CZ260" s="551">
        <f t="shared" si="217"/>
        <v>42.19098121001111</v>
      </c>
      <c r="DA260" s="553">
        <f>CZ260/PI()*SQRT('Hilfstabellen_Mat&amp;Bem'!f.Rd.3/'Hilfstabellen_Mat&amp;Bem'!$BD$30)</f>
        <v>0.67149032134705444</v>
      </c>
      <c r="DB260" s="553">
        <f>0.5*(1+'Hilfstabellen_Mat&amp;Bem'!$BD$31*(DA260-0.3)+DA260^2)</f>
        <v>0.74402414189873789</v>
      </c>
      <c r="DC260" s="550">
        <f t="shared" si="218"/>
        <v>0.9394523798397223</v>
      </c>
      <c r="DE260" s="551">
        <f t="shared" si="219"/>
        <v>91450.052463117929</v>
      </c>
      <c r="DI260" s="546">
        <f t="shared" si="220"/>
        <v>312</v>
      </c>
      <c r="DJ260" s="551">
        <f t="shared" si="221"/>
        <v>43.301270189221931</v>
      </c>
      <c r="DK260" s="553">
        <f>DJ260/PI()*SQRT('Hilfstabellen_Mat&amp;Bem'!f.Rd.3/'Hilfstabellen_Mat&amp;Bem'!$BD$30)</f>
        <v>0.68916111927724011</v>
      </c>
      <c r="DL260" s="553">
        <f>0.5*(1+'Hilfstabellen_Mat&amp;Bem'!$BD$31*(DK260-0.3)+DK260^2)</f>
        <v>0.75692958012559108</v>
      </c>
      <c r="DM260" s="550">
        <f t="shared" si="222"/>
        <v>0.9345986165714808</v>
      </c>
      <c r="DO260" s="551">
        <f t="shared" si="223"/>
        <v>90977.567731534233</v>
      </c>
      <c r="DS260" s="546">
        <f t="shared" si="224"/>
        <v>312</v>
      </c>
      <c r="DT260" s="551">
        <f t="shared" si="225"/>
        <v>44.411559168432753</v>
      </c>
      <c r="DU260" s="553">
        <f>DT260/PI()*SQRT('Hilfstabellen_Mat&amp;Bem'!f.Rd.3/'Hilfstabellen_Mat&amp;Bem'!$BD$30)</f>
        <v>0.70683191720742578</v>
      </c>
      <c r="DV260" s="553">
        <f>0.5*(1+'Hilfstabellen_Mat&amp;Bem'!$BD$31*(DU260-0.3)+DU260^2)</f>
        <v>0.77014727545193395</v>
      </c>
      <c r="DW260" s="550">
        <f t="shared" si="226"/>
        <v>0.92941099150532003</v>
      </c>
      <c r="DY260" s="551">
        <f t="shared" si="227"/>
        <v>90472.58355709388</v>
      </c>
      <c r="EC260" s="546">
        <f t="shared" si="228"/>
        <v>312</v>
      </c>
      <c r="ED260" s="551">
        <f t="shared" si="229"/>
        <v>45.521848147643567</v>
      </c>
      <c r="EE260" s="553">
        <f>ED260/PI()*SQRT('Hilfstabellen_Mat&amp;Bem'!f.Rd.3/'Hilfstabellen_Mat&amp;Bem'!$BD$30)</f>
        <v>0.72450271513761133</v>
      </c>
      <c r="EF260" s="553">
        <f>0.5*(1+'Hilfstabellen_Mat&amp;Bem'!$BD$31*(EE260-0.3)+EE260^2)</f>
        <v>0.78367722787776595</v>
      </c>
      <c r="EG260" s="550">
        <f t="shared" si="230"/>
        <v>0.92385784827553463</v>
      </c>
      <c r="EI260" s="551">
        <f t="shared" si="231"/>
        <v>89932.018382533643</v>
      </c>
      <c r="EM260" s="546">
        <f t="shared" si="232"/>
        <v>312</v>
      </c>
      <c r="EN260" s="551">
        <f t="shared" si="233"/>
        <v>46.632137126854388</v>
      </c>
      <c r="EO260" s="553">
        <f>EN260/PI()*SQRT('Hilfstabellen_Mat&amp;Bem'!f.Rd.3/'Hilfstabellen_Mat&amp;Bem'!$BD$30)</f>
        <v>0.742173513067797</v>
      </c>
      <c r="EP260" s="553">
        <f>0.5*(1+'Hilfstabellen_Mat&amp;Bem'!$BD$31*(EO260-0.3)+EO260^2)</f>
        <v>0.79751943740308751</v>
      </c>
      <c r="EQ260" s="550">
        <f t="shared" si="234"/>
        <v>0.91790549649576936</v>
      </c>
      <c r="ES260" s="551">
        <f t="shared" si="235"/>
        <v>89352.592650884166</v>
      </c>
    </row>
    <row r="261" spans="3:149">
      <c r="C261" s="546">
        <v>313</v>
      </c>
      <c r="D261" s="551">
        <f t="shared" si="185"/>
        <v>30.988768442126879</v>
      </c>
      <c r="E261" s="553">
        <f>$D261/PI()*SQRT('Hilfstabellen_Mat&amp;Bem'!f.Rd.3/'Hilfstabellen_Mat&amp;Bem'!$BD$30)</f>
        <v>0.49320156778946256</v>
      </c>
      <c r="F261" s="553">
        <f>0.5*(1+'Hilfstabellen_Mat&amp;Bem'!$BD$31*($E261-0.3)+$E261^2)</f>
        <v>0.63128397162446503</v>
      </c>
      <c r="G261" s="550">
        <f t="shared" si="186"/>
        <v>0.97529649000565399</v>
      </c>
      <c r="I261" s="551">
        <f t="shared" si="187"/>
        <v>95548.821829363922</v>
      </c>
      <c r="M261" s="546">
        <f t="shared" si="188"/>
        <v>313</v>
      </c>
      <c r="N261" s="551">
        <f t="shared" si="177"/>
        <v>32.095510172202836</v>
      </c>
      <c r="O261" s="553">
        <f>$N261/PI()*SQRT('Hilfstabellen_Mat&amp;Bem'!f.Rd.3/'Hilfstabellen_Mat&amp;Bem'!$BD$30)</f>
        <v>0.51081590949622901</v>
      </c>
      <c r="P261" s="553">
        <f>0.5*(1+'Hilfstabellen_Mat&amp;Bem'!$BD$31*($O261-0.3)+$O261^2)</f>
        <v>0.6410072421720413</v>
      </c>
      <c r="Q261" s="550">
        <f t="shared" si="178"/>
        <v>0.97252560220095108</v>
      </c>
      <c r="S261" s="551">
        <f t="shared" si="189"/>
        <v>95277.360722024983</v>
      </c>
      <c r="W261" s="546">
        <f t="shared" si="190"/>
        <v>313</v>
      </c>
      <c r="X261" s="551">
        <f t="shared" si="179"/>
        <v>33.202251902278796</v>
      </c>
      <c r="Y261" s="553">
        <f>$X261/PI()*SQRT('Hilfstabellen_Mat&amp;Bem'!f.Rd.3/'Hilfstabellen_Mat&amp;Bem'!$BD$30)</f>
        <v>0.52843025120299558</v>
      </c>
      <c r="Z261" s="553">
        <f>0.5*(1+'Hilfstabellen_Mat&amp;Bem'!$BD$31*($Y261-0.3)+$Y261^2)</f>
        <v>0.65104077775338032</v>
      </c>
      <c r="AA261" s="550">
        <f t="shared" si="180"/>
        <v>0.96962710135080477</v>
      </c>
      <c r="AC261" s="551">
        <f t="shared" si="191"/>
        <v>94993.397492236996</v>
      </c>
      <c r="AG261" s="546">
        <f t="shared" si="192"/>
        <v>313</v>
      </c>
      <c r="AH261" s="551">
        <f t="shared" si="181"/>
        <v>34.308993632354756</v>
      </c>
      <c r="AI261" s="553">
        <f>$AH261/PI()*SQRT('Hilfstabellen_Mat&amp;Bem'!f.Rd.3/'Hilfstabellen_Mat&amp;Bem'!$BD$30)</f>
        <v>0.54604459290976215</v>
      </c>
      <c r="AJ261" s="553">
        <f>0.5*(1+'Hilfstabellen_Mat&amp;Bem'!$BD$31*($AI261-0.3)+$AI261^2)</f>
        <v>0.66138457836848208</v>
      </c>
      <c r="AK261" s="550">
        <f t="shared" si="182"/>
        <v>0.9665882755938966</v>
      </c>
      <c r="AM261" s="551">
        <f t="shared" si="193"/>
        <v>94695.686771658453</v>
      </c>
      <c r="AQ261" s="546">
        <f t="shared" si="194"/>
        <v>313</v>
      </c>
      <c r="AR261" s="551">
        <f t="shared" si="183"/>
        <v>35.415735362430716</v>
      </c>
      <c r="AS261" s="553">
        <f>$AR261/PI()*SQRT('Hilfstabellen_Mat&amp;Bem'!f.Rd.3/'Hilfstabellen_Mat&amp;Bem'!$BD$30)</f>
        <v>0.56365893461652872</v>
      </c>
      <c r="AT261" s="553">
        <f>0.5*(1+'Hilfstabellen_Mat&amp;Bem'!$BD$31*($AS261-0.3)+$AS261^2)</f>
        <v>0.67203864401734648</v>
      </c>
      <c r="AU261" s="550">
        <f t="shared" si="184"/>
        <v>0.96339515607868775</v>
      </c>
      <c r="AW261" s="551">
        <f t="shared" si="195"/>
        <v>94382.860045872963</v>
      </c>
      <c r="BA261" s="546">
        <f t="shared" si="196"/>
        <v>313</v>
      </c>
      <c r="BB261" s="551">
        <f t="shared" si="197"/>
        <v>36.522477092506676</v>
      </c>
      <c r="BC261" s="553">
        <f>$BB261/PI()*SQRT('Hilfstabellen_Mat&amp;Bem'!f.Rd.3/'Hilfstabellen_Mat&amp;Bem'!$BD$30)</f>
        <v>0.58127327632329517</v>
      </c>
      <c r="BD261" s="553">
        <f>0.5*(1+'Hilfstabellen_Mat&amp;Bem'!$BD$31*($BC261-0.3)+$BC261^2)</f>
        <v>0.68300297469997373</v>
      </c>
      <c r="BE261" s="550">
        <f t="shared" si="198"/>
        <v>0.96003238175315508</v>
      </c>
      <c r="BG261" s="551">
        <f t="shared" si="199"/>
        <v>94053.412407974844</v>
      </c>
      <c r="BK261" s="546">
        <f t="shared" si="200"/>
        <v>313</v>
      </c>
      <c r="BL261" s="551">
        <f t="shared" si="201"/>
        <v>37.629218822582637</v>
      </c>
      <c r="BM261" s="553">
        <f>$BL261/PI()*SQRT('Hilfstabellen_Mat&amp;Bem'!f.Rd.3/'Hilfstabellen_Mat&amp;Bem'!$BD$30)</f>
        <v>0.59888761803006163</v>
      </c>
      <c r="BN261" s="553">
        <f>0.5*(1+'Hilfstabellen_Mat&amp;Bem'!$BD$31*($BM261-0.3)+$BM261^2)</f>
        <v>0.69427757041636351</v>
      </c>
      <c r="BO261" s="550">
        <f t="shared" si="202"/>
        <v>0.95648305645346243</v>
      </c>
      <c r="BQ261" s="551">
        <f t="shared" si="203"/>
        <v>93705.688557689267</v>
      </c>
      <c r="BU261" s="546">
        <f t="shared" si="204"/>
        <v>313</v>
      </c>
      <c r="BV261" s="551">
        <f t="shared" si="205"/>
        <v>38.735960552658597</v>
      </c>
      <c r="BW261" s="553">
        <f>$BV261/PI()*SQRT('Hilfstabellen_Mat&amp;Bem'!f.Rd.3/'Hilfstabellen_Mat&amp;Bem'!$BD$30)</f>
        <v>0.6165019597368282</v>
      </c>
      <c r="BX261" s="553">
        <f>0.5*(1+'Hilfstabellen_Mat&amp;Bem'!$BD$31*($BW261-0.3)+$BW261^2)</f>
        <v>0.70586243116651626</v>
      </c>
      <c r="BY261" s="550">
        <f t="shared" si="206"/>
        <v>0.9527286011102386</v>
      </c>
      <c r="CA261" s="551">
        <f t="shared" si="207"/>
        <v>93337.868322168972</v>
      </c>
      <c r="CE261" s="546">
        <f t="shared" si="208"/>
        <v>313</v>
      </c>
      <c r="CF261" s="551">
        <f t="shared" si="209"/>
        <v>39.842702282734557</v>
      </c>
      <c r="CG261" s="553">
        <f>CF261/PI()*SQRT('Hilfstabellen_Mat&amp;Bem'!f.Rd.3/'Hilfstabellen_Mat&amp;Bem'!$BD$30)</f>
        <v>0.63411630144359477</v>
      </c>
      <c r="CH261" s="553">
        <f>0.5*(1+'Hilfstabellen_Mat&amp;Bem'!$BD$31*(CG261-0.3)+CG261^2)</f>
        <v>0.71775755695043175</v>
      </c>
      <c r="CI261" s="550">
        <f t="shared" si="210"/>
        <v>0.94874860568546282</v>
      </c>
      <c r="CK261" s="551">
        <f t="shared" si="211"/>
        <v>92947.952150399113</v>
      </c>
      <c r="CO261" s="546">
        <f t="shared" si="212"/>
        <v>313</v>
      </c>
      <c r="CP261" s="551">
        <f t="shared" si="213"/>
        <v>40.949444012810517</v>
      </c>
      <c r="CQ261" s="553">
        <f>CP261/PI()*SQRT('Hilfstabellen_Mat&amp;Bem'!f.Rd.3/'Hilfstabellen_Mat&amp;Bem'!$BD$30)</f>
        <v>0.65173064315036122</v>
      </c>
      <c r="CR261" s="553">
        <f>0.5*(1+'Hilfstabellen_Mat&amp;Bem'!$BD$31*(CQ261-0.3)+CQ261^2)</f>
        <v>0.72996294776810977</v>
      </c>
      <c r="CS261" s="550">
        <f t="shared" si="214"/>
        <v>0.94452068792280652</v>
      </c>
      <c r="CU261" s="551">
        <f t="shared" si="215"/>
        <v>92533.747275109432</v>
      </c>
      <c r="CY261" s="546">
        <f t="shared" si="216"/>
        <v>313</v>
      </c>
      <c r="CZ261" s="551">
        <f t="shared" si="217"/>
        <v>42.056185742886477</v>
      </c>
      <c r="DA261" s="553">
        <f>CZ261/PI()*SQRT('Hilfstabellen_Mat&amp;Bem'!f.Rd.3/'Hilfstabellen_Mat&amp;Bem'!$BD$30)</f>
        <v>0.66934498485712779</v>
      </c>
      <c r="DB261" s="553">
        <f>0.5*(1+'Hilfstabellen_Mat&amp;Bem'!$BD$31*(DA261-0.3)+DA261^2)</f>
        <v>0.74247860361955065</v>
      </c>
      <c r="DC261" s="550">
        <f t="shared" si="218"/>
        <v>0.94002036930876576</v>
      </c>
      <c r="DE261" s="551">
        <f t="shared" si="219"/>
        <v>92092.855560810465</v>
      </c>
      <c r="DI261" s="546">
        <f t="shared" si="220"/>
        <v>313</v>
      </c>
      <c r="DJ261" s="551">
        <f t="shared" si="221"/>
        <v>43.162927472962437</v>
      </c>
      <c r="DK261" s="553">
        <f>DJ261/PI()*SQRT('Hilfstabellen_Mat&amp;Bem'!f.Rd.3/'Hilfstabellen_Mat&amp;Bem'!$BD$30)</f>
        <v>0.68695932656389436</v>
      </c>
      <c r="DL261" s="553">
        <f>0.5*(1+'Hilfstabellen_Mat&amp;Bem'!$BD$31*(DK261-0.3)+DK261^2)</f>
        <v>0.75530452450475427</v>
      </c>
      <c r="DM261" s="550">
        <f t="shared" si="222"/>
        <v>0.93522098296349554</v>
      </c>
      <c r="DO261" s="551">
        <f t="shared" si="223"/>
        <v>91622.66447995069</v>
      </c>
      <c r="DS261" s="546">
        <f t="shared" si="224"/>
        <v>313</v>
      </c>
      <c r="DT261" s="551">
        <f t="shared" si="225"/>
        <v>44.269669203038397</v>
      </c>
      <c r="DU261" s="553">
        <f>DT261/PI()*SQRT('Hilfstabellen_Mat&amp;Bem'!f.Rd.3/'Hilfstabellen_Mat&amp;Bem'!$BD$30)</f>
        <v>0.70457366827066092</v>
      </c>
      <c r="DV261" s="553">
        <f>0.5*(1+'Hilfstabellen_Mat&amp;Bem'!$BD$31*(DU261-0.3)+DU261^2)</f>
        <v>0.76844071042372075</v>
      </c>
      <c r="DW261" s="550">
        <f t="shared" si="226"/>
        <v>0.93009363362085895</v>
      </c>
      <c r="DY261" s="551">
        <f t="shared" si="227"/>
        <v>91120.343192201937</v>
      </c>
      <c r="EC261" s="546">
        <f t="shared" si="228"/>
        <v>313</v>
      </c>
      <c r="ED261" s="551">
        <f t="shared" si="229"/>
        <v>45.37641093311435</v>
      </c>
      <c r="EE261" s="553">
        <f>ED261/PI()*SQRT('Hilfstabellen_Mat&amp;Bem'!f.Rd.3/'Hilfstabellen_Mat&amp;Bem'!$BD$30)</f>
        <v>0.72218800997742727</v>
      </c>
      <c r="EF261" s="553">
        <f>0.5*(1+'Hilfstabellen_Mat&amp;Bem'!$BD$31*(EE261-0.3)+EE261^2)</f>
        <v>0.78188716137644965</v>
      </c>
      <c r="EG261" s="550">
        <f t="shared" si="230"/>
        <v>0.92460723639960507</v>
      </c>
      <c r="EI261" s="551">
        <f t="shared" si="231"/>
        <v>90582.846342832912</v>
      </c>
      <c r="EM261" s="546">
        <f t="shared" si="232"/>
        <v>313</v>
      </c>
      <c r="EN261" s="551">
        <f t="shared" si="233"/>
        <v>46.48315266319031</v>
      </c>
      <c r="EO261" s="553">
        <f>EN261/PI()*SQRT('Hilfstabellen_Mat&amp;Bem'!f.Rd.3/'Hilfstabellen_Mat&amp;Bem'!$BD$30)</f>
        <v>0.73980235168419384</v>
      </c>
      <c r="EP261" s="553">
        <f>0.5*(1+'Hilfstabellen_Mat&amp;Bem'!$BD$31*(EO261-0.3)+EO261^2)</f>
        <v>0.79564387736294151</v>
      </c>
      <c r="EQ261" s="550">
        <f t="shared" si="234"/>
        <v>0.9187286684399073</v>
      </c>
      <c r="ES261" s="551">
        <f t="shared" si="235"/>
        <v>90006.928918389283</v>
      </c>
    </row>
    <row r="262" spans="3:149">
      <c r="C262" s="546">
        <v>314</v>
      </c>
      <c r="D262" s="551">
        <f t="shared" si="185"/>
        <v>30.890078096769784</v>
      </c>
      <c r="E262" s="553">
        <f>$D262/PI()*SQRT('Hilfstabellen_Mat&amp;Bem'!f.Rd.3/'Hilfstabellen_Mat&amp;Bem'!$BD$30)</f>
        <v>0.49163086215955981</v>
      </c>
      <c r="F262" s="553">
        <f>0.5*(1+'Hilfstabellen_Mat&amp;Bem'!$BD$31*($E262-0.3)+$E262^2)</f>
        <v>0.63043199542185402</v>
      </c>
      <c r="G262" s="550">
        <f t="shared" si="186"/>
        <v>0.97553777820493148</v>
      </c>
      <c r="I262" s="551">
        <f t="shared" si="187"/>
        <v>96184.122779893427</v>
      </c>
      <c r="M262" s="546">
        <f t="shared" si="188"/>
        <v>314</v>
      </c>
      <c r="N262" s="551">
        <f t="shared" si="177"/>
        <v>31.99329517165442</v>
      </c>
      <c r="O262" s="553">
        <f>$N262/PI()*SQRT('Hilfstabellen_Mat&amp;Bem'!f.Rd.3/'Hilfstabellen_Mat&amp;Bem'!$BD$30)</f>
        <v>0.50918910723668698</v>
      </c>
      <c r="P262" s="553">
        <f>0.5*(1+'Hilfstabellen_Mat&amp;Bem'!$BD$31*($O262-0.3)+$O262^2)</f>
        <v>0.64009622882608153</v>
      </c>
      <c r="Q262" s="550">
        <f t="shared" si="178"/>
        <v>0.97278667632159521</v>
      </c>
      <c r="S262" s="551">
        <f t="shared" si="189"/>
        <v>95912.875138603995</v>
      </c>
      <c r="W262" s="546">
        <f t="shared" si="190"/>
        <v>314</v>
      </c>
      <c r="X262" s="551">
        <f t="shared" si="179"/>
        <v>33.096512246539056</v>
      </c>
      <c r="Y262" s="553">
        <f>$X262/PI()*SQRT('Hilfstabellen_Mat&amp;Bem'!f.Rd.3/'Hilfstabellen_Mat&amp;Bem'!$BD$30)</f>
        <v>0.52674735231381409</v>
      </c>
      <c r="Z262" s="553">
        <f>0.5*(1+'Hilfstabellen_Mat&amp;Bem'!$BD$31*($Y262-0.3)+$Y262^2)</f>
        <v>0.65006875420049737</v>
      </c>
      <c r="AA262" s="550">
        <f t="shared" si="180"/>
        <v>0.96990988154676872</v>
      </c>
      <c r="AC262" s="551">
        <f t="shared" si="191"/>
        <v>95629.234680985202</v>
      </c>
      <c r="AG262" s="546">
        <f t="shared" si="192"/>
        <v>314</v>
      </c>
      <c r="AH262" s="551">
        <f t="shared" si="181"/>
        <v>34.199729321423689</v>
      </c>
      <c r="AI262" s="553">
        <f>$AH262/PI()*SQRT('Hilfstabellen_Mat&amp;Bem'!f.Rd.3/'Hilfstabellen_Mat&amp;Bem'!$BD$30)</f>
        <v>0.5443055973909412</v>
      </c>
      <c r="AJ262" s="553">
        <f>0.5*(1+'Hilfstabellen_Mat&amp;Bem'!$BD$31*($AI262-0.3)+$AI262^2)</f>
        <v>0.66034957154510177</v>
      </c>
      <c r="AK262" s="550">
        <f t="shared" si="182"/>
        <v>0.96689491358951241</v>
      </c>
      <c r="AM262" s="551">
        <f t="shared" si="193"/>
        <v>95331.970900271568</v>
      </c>
      <c r="AQ262" s="546">
        <f t="shared" si="194"/>
        <v>314</v>
      </c>
      <c r="AR262" s="551">
        <f t="shared" si="183"/>
        <v>35.302946396308322</v>
      </c>
      <c r="AS262" s="553">
        <f>$AR262/PI()*SQRT('Hilfstabellen_Mat&amp;Bem'!f.Rd.3/'Hilfstabellen_Mat&amp;Bem'!$BD$30)</f>
        <v>0.56186384246806831</v>
      </c>
      <c r="AT262" s="553">
        <f>0.5*(1+'Hilfstabellen_Mat&amp;Bem'!$BD$31*($AS262-0.3)+$AS262^2)</f>
        <v>0.67093868085989461</v>
      </c>
      <c r="AU262" s="550">
        <f t="shared" si="184"/>
        <v>0.9637280634072547</v>
      </c>
      <c r="AW262" s="551">
        <f t="shared" si="195"/>
        <v>95019.732139701679</v>
      </c>
      <c r="BA262" s="546">
        <f t="shared" si="196"/>
        <v>314</v>
      </c>
      <c r="BB262" s="551">
        <f t="shared" si="197"/>
        <v>36.406163471192961</v>
      </c>
      <c r="BC262" s="553">
        <f>$BB262/PI()*SQRT('Hilfstabellen_Mat&amp;Bem'!f.Rd.3/'Hilfstabellen_Mat&amp;Bem'!$BD$30)</f>
        <v>0.57942208754519553</v>
      </c>
      <c r="BD262" s="553">
        <f>0.5*(1+'Hilfstabellen_Mat&amp;Bem'!$BD$31*($BC262-0.3)+$BC262^2)</f>
        <v>0.6818360821448759</v>
      </c>
      <c r="BE262" s="550">
        <f t="shared" si="198"/>
        <v>0.96039426096681857</v>
      </c>
      <c r="BG262" s="551">
        <f t="shared" si="199"/>
        <v>94691.032554284437</v>
      </c>
      <c r="BK262" s="546">
        <f t="shared" si="200"/>
        <v>314</v>
      </c>
      <c r="BL262" s="551">
        <f t="shared" si="201"/>
        <v>37.509380546077594</v>
      </c>
      <c r="BM262" s="553">
        <f>$BL262/PI()*SQRT('Hilfstabellen_Mat&amp;Bem'!f.Rd.3/'Hilfstabellen_Mat&amp;Bem'!$BD$30)</f>
        <v>0.59698033262232264</v>
      </c>
      <c r="BN262" s="553">
        <f>0.5*(1+'Hilfstabellen_Mat&amp;Bem'!$BD$31*($BM262-0.3)+$BM262^2)</f>
        <v>0.69304177540004563</v>
      </c>
      <c r="BO262" s="550">
        <f t="shared" si="202"/>
        <v>0.95687693525033335</v>
      </c>
      <c r="BQ262" s="551">
        <f t="shared" si="203"/>
        <v>94344.238307941865</v>
      </c>
      <c r="BU262" s="546">
        <f t="shared" si="204"/>
        <v>314</v>
      </c>
      <c r="BV262" s="551">
        <f t="shared" si="205"/>
        <v>38.612597620962234</v>
      </c>
      <c r="BW262" s="553">
        <f>$BV262/PI()*SQRT('Hilfstabellen_Mat&amp;Bem'!f.Rd.3/'Hilfstabellen_Mat&amp;Bem'!$BD$30)</f>
        <v>0.61453857769944986</v>
      </c>
      <c r="BX262" s="553">
        <f>0.5*(1+'Hilfstabellen_Mat&amp;Bem'!$BD$31*($BW262-0.3)+$BW262^2)</f>
        <v>0.70455576062540393</v>
      </c>
      <c r="BY262" s="550">
        <f t="shared" si="206"/>
        <v>0.95315786911601108</v>
      </c>
      <c r="CA262" s="551">
        <f t="shared" si="207"/>
        <v>93977.553263362235</v>
      </c>
      <c r="CE262" s="546">
        <f t="shared" si="208"/>
        <v>314</v>
      </c>
      <c r="CF262" s="551">
        <f t="shared" si="209"/>
        <v>39.715814695846866</v>
      </c>
      <c r="CG262" s="553">
        <f>CF262/PI()*SQRT('Hilfstabellen_Mat&amp;Bem'!f.Rd.3/'Hilfstabellen_Mat&amp;Bem'!$BD$30)</f>
        <v>0.63209682277657686</v>
      </c>
      <c r="CH262" s="553">
        <f>0.5*(1+'Hilfstabellen_Mat&amp;Bem'!$BD$31*(CG262-0.3)+CG262^2)</f>
        <v>0.71637803782095044</v>
      </c>
      <c r="CI262" s="550">
        <f t="shared" si="210"/>
        <v>0.94921705331417638</v>
      </c>
      <c r="CK262" s="551">
        <f t="shared" si="211"/>
        <v>93589.004588564538</v>
      </c>
      <c r="CO262" s="546">
        <f t="shared" si="212"/>
        <v>314</v>
      </c>
      <c r="CP262" s="551">
        <f t="shared" si="213"/>
        <v>40.819031770731499</v>
      </c>
      <c r="CQ262" s="553">
        <f>CP262/PI()*SQRT('Hilfstabellen_Mat&amp;Bem'!f.Rd.3/'Hilfstabellen_Mat&amp;Bem'!$BD$30)</f>
        <v>0.64965506785370408</v>
      </c>
      <c r="CR262" s="553">
        <f>0.5*(1+'Hilfstabellen_Mat&amp;Bem'!$BD$31*(CQ262-0.3)+CQ262^2)</f>
        <v>0.72850860698668563</v>
      </c>
      <c r="CS262" s="550">
        <f t="shared" si="214"/>
        <v>0.94503254628943345</v>
      </c>
      <c r="CU262" s="551">
        <f t="shared" si="215"/>
        <v>93176.428933952979</v>
      </c>
      <c r="CY262" s="546">
        <f t="shared" si="216"/>
        <v>314</v>
      </c>
      <c r="CZ262" s="551">
        <f t="shared" si="217"/>
        <v>41.922248845616139</v>
      </c>
      <c r="DA262" s="553">
        <f>CZ262/PI()*SQRT('Hilfstabellen_Mat&amp;Bem'!f.Rd.3/'Hilfstabellen_Mat&amp;Bem'!$BD$30)</f>
        <v>0.6672133129308313</v>
      </c>
      <c r="DB262" s="553">
        <f>0.5*(1+'Hilfstabellen_Mat&amp;Bem'!$BD$31*(DA262-0.3)+DA262^2)</f>
        <v>0.74094746812260937</v>
      </c>
      <c r="DC262" s="550">
        <f t="shared" si="218"/>
        <v>0.94058034953327618</v>
      </c>
      <c r="DE262" s="551">
        <f t="shared" si="219"/>
        <v>92737.460142582902</v>
      </c>
      <c r="DI262" s="546">
        <f t="shared" si="220"/>
        <v>314</v>
      </c>
      <c r="DJ262" s="551">
        <f t="shared" si="221"/>
        <v>43.025465920500771</v>
      </c>
      <c r="DK262" s="553">
        <f>DJ262/PI()*SQRT('Hilfstabellen_Mat&amp;Bem'!f.Rd.3/'Hilfstabellen_Mat&amp;Bem'!$BD$30)</f>
        <v>0.6847715580079583</v>
      </c>
      <c r="DL262" s="553">
        <f>0.5*(1+'Hilfstabellen_Mat&amp;Bem'!$BD$31*(DK262-0.3)+DK262^2)</f>
        <v>0.75369462122872122</v>
      </c>
      <c r="DM262" s="550">
        <f t="shared" si="222"/>
        <v>0.93583431234762082</v>
      </c>
      <c r="DO262" s="551">
        <f t="shared" si="223"/>
        <v>92269.519860226021</v>
      </c>
      <c r="DS262" s="546">
        <f t="shared" si="224"/>
        <v>314</v>
      </c>
      <c r="DT262" s="551">
        <f t="shared" si="225"/>
        <v>44.128682995385411</v>
      </c>
      <c r="DU262" s="553">
        <f>DT262/PI()*SQRT('Hilfstabellen_Mat&amp;Bem'!f.Rd.3/'Hilfstabellen_Mat&amp;Bem'!$BD$30)</f>
        <v>0.70232980308508552</v>
      </c>
      <c r="DV262" s="553">
        <f>0.5*(1+'Hilfstabellen_Mat&amp;Bem'!$BD$31*(DU262-0.3)+DU262^2)</f>
        <v>0.76675006630502185</v>
      </c>
      <c r="DW262" s="550">
        <f t="shared" si="226"/>
        <v>0.93076608505577141</v>
      </c>
      <c r="DY262" s="551">
        <f t="shared" si="227"/>
        <v>91769.812922158831</v>
      </c>
      <c r="EC262" s="546">
        <f t="shared" si="228"/>
        <v>314</v>
      </c>
      <c r="ED262" s="551">
        <f t="shared" si="229"/>
        <v>45.231900070270036</v>
      </c>
      <c r="EE262" s="553">
        <f>ED262/PI()*SQRT('Hilfstabellen_Mat&amp;Bem'!f.Rd.3/'Hilfstabellen_Mat&amp;Bem'!$BD$30)</f>
        <v>0.71988804816221252</v>
      </c>
      <c r="EF262" s="553">
        <f>0.5*(1+'Hilfstabellen_Mat&amp;Bem'!$BD$31*(EE262-0.3)+EE262^2)</f>
        <v>0.7801138033515107</v>
      </c>
      <c r="EG262" s="550">
        <f t="shared" si="230"/>
        <v>0.9253451459563351</v>
      </c>
      <c r="EI262" s="551">
        <f t="shared" si="231"/>
        <v>91235.330010710823</v>
      </c>
      <c r="EM262" s="546">
        <f t="shared" si="232"/>
        <v>314</v>
      </c>
      <c r="EN262" s="551">
        <f t="shared" si="233"/>
        <v>46.335117145154676</v>
      </c>
      <c r="EO262" s="553">
        <f>EN262/PI()*SQRT('Hilfstabellen_Mat&amp;Bem'!f.Rd.3/'Hilfstabellen_Mat&amp;Bem'!$BD$30)</f>
        <v>0.73744629323933975</v>
      </c>
      <c r="EP262" s="553">
        <f>0.5*(1+'Hilfstabellen_Mat&amp;Bem'!$BD$31*(EO262-0.3)+EO262^2)</f>
        <v>0.79378583236818812</v>
      </c>
      <c r="EQ262" s="550">
        <f t="shared" si="234"/>
        <v>0.91953893443185575</v>
      </c>
      <c r="ES262" s="551">
        <f t="shared" si="235"/>
        <v>90662.860779243245</v>
      </c>
    </row>
    <row r="263" spans="3:149">
      <c r="C263" s="546">
        <v>315</v>
      </c>
      <c r="D263" s="551">
        <f t="shared" si="185"/>
        <v>30.79201435678004</v>
      </c>
      <c r="E263" s="553">
        <f>$D263/PI()*SQRT('Hilfstabellen_Mat&amp;Bem'!f.Rd.3/'Hilfstabellen_Mat&amp;Bem'!$BD$30)</f>
        <v>0.49007012926381521</v>
      </c>
      <c r="F263" s="553">
        <f>0.5*(1+'Hilfstabellen_Mat&amp;Bem'!$BD$31*($E263-0.3)+$E263^2)</f>
        <v>0.62958787226151702</v>
      </c>
      <c r="G263" s="550">
        <f t="shared" si="186"/>
        <v>0.97577662890742511</v>
      </c>
      <c r="I263" s="551">
        <f t="shared" si="187"/>
        <v>96821.436003339259</v>
      </c>
      <c r="M263" s="546">
        <f t="shared" si="188"/>
        <v>315</v>
      </c>
      <c r="N263" s="551">
        <f t="shared" si="177"/>
        <v>31.891729155236465</v>
      </c>
      <c r="O263" s="553">
        <f>$N263/PI()*SQRT('Hilfstabellen_Mat&amp;Bem'!f.Rd.3/'Hilfstabellen_Mat&amp;Bem'!$BD$30)</f>
        <v>0.50757263388037988</v>
      </c>
      <c r="P263" s="553">
        <f>0.5*(1+'Hilfstabellen_Mat&amp;Bem'!$BD$31*($O263-0.3)+$O263^2)</f>
        <v>0.63919362102615207</v>
      </c>
      <c r="Q263" s="550">
        <f t="shared" si="178"/>
        <v>0.9730450248476058</v>
      </c>
      <c r="S263" s="551">
        <f t="shared" si="189"/>
        <v>96550.392590503689</v>
      </c>
      <c r="W263" s="546">
        <f t="shared" si="190"/>
        <v>315</v>
      </c>
      <c r="X263" s="551">
        <f t="shared" si="179"/>
        <v>32.991443953692901</v>
      </c>
      <c r="Y263" s="553">
        <f>$X263/PI()*SQRT('Hilfstabellen_Mat&amp;Bem'!f.Rd.3/'Hilfstabellen_Mat&amp;Bem'!$BD$30)</f>
        <v>0.52507513849694487</v>
      </c>
      <c r="Z263" s="553">
        <f>0.5*(1+'Hilfstabellen_Mat&amp;Bem'!$BD$31*($Y263-0.3)+$Y263^2)</f>
        <v>0.64910570745864016</v>
      </c>
      <c r="AA263" s="550">
        <f t="shared" si="180"/>
        <v>0.97018960993554149</v>
      </c>
      <c r="AC263" s="551">
        <f t="shared" si="191"/>
        <v>96267.064045854102</v>
      </c>
      <c r="AG263" s="546">
        <f t="shared" si="192"/>
        <v>315</v>
      </c>
      <c r="AH263" s="551">
        <f t="shared" si="181"/>
        <v>34.091158752149333</v>
      </c>
      <c r="AI263" s="553">
        <f>$AH263/PI()*SQRT('Hilfstabellen_Mat&amp;Bem'!f.Rd.3/'Hilfstabellen_Mat&amp;Bem'!$BD$30)</f>
        <v>0.54257764311350976</v>
      </c>
      <c r="AJ263" s="553">
        <f>0.5*(1+'Hilfstabellen_Mat&amp;Bem'!$BD$31*($AI263-0.3)+$AI263^2)</f>
        <v>0.65932413155898106</v>
      </c>
      <c r="AK263" s="550">
        <f t="shared" si="182"/>
        <v>0.96719813005035893</v>
      </c>
      <c r="AM263" s="551">
        <f t="shared" si="193"/>
        <v>95970.234454246864</v>
      </c>
      <c r="AQ263" s="546">
        <f t="shared" si="194"/>
        <v>315</v>
      </c>
      <c r="AR263" s="551">
        <f t="shared" si="183"/>
        <v>35.190873550605758</v>
      </c>
      <c r="AS263" s="553">
        <f>$AR263/PI()*SQRT('Hilfstabellen_Mat&amp;Bem'!f.Rd.3/'Hilfstabellen_Mat&amp;Bem'!$BD$30)</f>
        <v>0.56008014773007442</v>
      </c>
      <c r="AT263" s="553">
        <f>0.5*(1+'Hilfstabellen_Mat&amp;Bem'!$BD$31*($AS263-0.3)+$AS263^2)</f>
        <v>0.66984889332717479</v>
      </c>
      <c r="AU263" s="550">
        <f t="shared" si="184"/>
        <v>0.9640571298354893</v>
      </c>
      <c r="AW263" s="551">
        <f t="shared" si="195"/>
        <v>95658.568707926432</v>
      </c>
      <c r="BA263" s="546">
        <f t="shared" si="196"/>
        <v>315</v>
      </c>
      <c r="BB263" s="551">
        <f t="shared" si="197"/>
        <v>36.29058834906219</v>
      </c>
      <c r="BC263" s="553">
        <f>$BB263/PI()*SQRT('Hilfstabellen_Mat&amp;Bem'!f.Rd.3/'Hilfstabellen_Mat&amp;Bem'!$BD$30)</f>
        <v>0.5775826523466393</v>
      </c>
      <c r="BD263" s="553">
        <f>0.5*(1+'Hilfstabellen_Mat&amp;Bem'!$BD$31*($BC263-0.3)+$BC263^2)</f>
        <v>0.68067999276322144</v>
      </c>
      <c r="BE263" s="550">
        <f t="shared" si="198"/>
        <v>0.96075182337211085</v>
      </c>
      <c r="BG263" s="551">
        <f t="shared" si="199"/>
        <v>95330.599674097699</v>
      </c>
      <c r="BK263" s="546">
        <f t="shared" si="200"/>
        <v>315</v>
      </c>
      <c r="BL263" s="551">
        <f t="shared" si="201"/>
        <v>37.390303147518622</v>
      </c>
      <c r="BM263" s="553">
        <f>$BL263/PI()*SQRT('Hilfstabellen_Mat&amp;Bem'!f.Rd.3/'Hilfstabellen_Mat&amp;Bem'!$BD$30)</f>
        <v>0.59508515696320419</v>
      </c>
      <c r="BN263" s="553">
        <f>0.5*(1+'Hilfstabellen_Mat&amp;Bem'!$BD$31*($BM263-0.3)+$BM263^2)</f>
        <v>0.69181742986712091</v>
      </c>
      <c r="BO263" s="550">
        <f t="shared" si="202"/>
        <v>0.95726595706046258</v>
      </c>
      <c r="BQ263" s="551">
        <f t="shared" si="203"/>
        <v>94984.714589324401</v>
      </c>
      <c r="BU263" s="546">
        <f t="shared" si="204"/>
        <v>315</v>
      </c>
      <c r="BV263" s="551">
        <f t="shared" si="205"/>
        <v>38.490017945975048</v>
      </c>
      <c r="BW263" s="553">
        <f>$BV263/PI()*SQRT('Hilfstabellen_Mat&amp;Bem'!f.Rd.3/'Hilfstabellen_Mat&amp;Bem'!$BD$30)</f>
        <v>0.61258766157976896</v>
      </c>
      <c r="BX263" s="553">
        <f>0.5*(1+'Hilfstabellen_Mat&amp;Bem'!$BD$31*($BW263-0.3)+$BW263^2)</f>
        <v>0.70326120463887321</v>
      </c>
      <c r="BY263" s="550">
        <f t="shared" si="206"/>
        <v>0.95358166712411119</v>
      </c>
      <c r="CA263" s="551">
        <f t="shared" si="207"/>
        <v>94619.140920389938</v>
      </c>
      <c r="CE263" s="546">
        <f t="shared" si="208"/>
        <v>315</v>
      </c>
      <c r="CF263" s="551">
        <f t="shared" si="209"/>
        <v>39.58973274443148</v>
      </c>
      <c r="CG263" s="553">
        <f>CF263/PI()*SQRT('Hilfstabellen_Mat&amp;Bem'!f.Rd.3/'Hilfstabellen_Mat&amp;Bem'!$BD$30)</f>
        <v>0.63009016619633385</v>
      </c>
      <c r="CH263" s="553">
        <f>0.5*(1+'Hilfstabellen_Mat&amp;Bem'!$BD$31*(CG263-0.3)+CG263^2)</f>
        <v>0.71501131707847843</v>
      </c>
      <c r="CI263" s="550">
        <f t="shared" si="210"/>
        <v>0.94967933574484364</v>
      </c>
      <c r="CK263" s="551">
        <f t="shared" si="211"/>
        <v>94231.932089282112</v>
      </c>
      <c r="CO263" s="546">
        <f t="shared" si="212"/>
        <v>315</v>
      </c>
      <c r="CP263" s="551">
        <f t="shared" si="213"/>
        <v>40.689447542887905</v>
      </c>
      <c r="CQ263" s="553">
        <f>CP263/PI()*SQRT('Hilfstabellen_Mat&amp;Bem'!f.Rd.3/'Hilfstabellen_Mat&amp;Bem'!$BD$30)</f>
        <v>0.64759267081289851</v>
      </c>
      <c r="CR263" s="553">
        <f>0.5*(1+'Hilfstabellen_Mat&amp;Bem'!$BD$31*(CQ263-0.3)+CQ263^2)</f>
        <v>0.72706776718593658</v>
      </c>
      <c r="CS263" s="550">
        <f t="shared" si="214"/>
        <v>0.9455374520348504</v>
      </c>
      <c r="CU263" s="551">
        <f t="shared" si="215"/>
        <v>93820.953678158025</v>
      </c>
      <c r="CY263" s="546">
        <f t="shared" si="216"/>
        <v>315</v>
      </c>
      <c r="CZ263" s="551">
        <f t="shared" si="217"/>
        <v>41.789162341344337</v>
      </c>
      <c r="DA263" s="553">
        <f>CZ263/PI()*SQRT('Hilfstabellen_Mat&amp;Bem'!f.Rd.3/'Hilfstabellen_Mat&amp;Bem'!$BD$30)</f>
        <v>0.66509517542946339</v>
      </c>
      <c r="DB263" s="553">
        <f>0.5*(1+'Hilfstabellen_Mat&amp;Bem'!$BD$31*(DA263-0.3)+DA263^2)</f>
        <v>0.73943055496124754</v>
      </c>
      <c r="DC263" s="550">
        <f t="shared" si="218"/>
        <v>0.94113248701496022</v>
      </c>
      <c r="DE263" s="551">
        <f t="shared" si="219"/>
        <v>93383.871024059423</v>
      </c>
      <c r="DI263" s="546">
        <f t="shared" si="220"/>
        <v>315</v>
      </c>
      <c r="DJ263" s="551">
        <f t="shared" si="221"/>
        <v>42.888877139800769</v>
      </c>
      <c r="DK263" s="553">
        <f>DJ263/PI()*SQRT('Hilfstabellen_Mat&amp;Bem'!f.Rd.3/'Hilfstabellen_Mat&amp;Bem'!$BD$30)</f>
        <v>0.68259768004602828</v>
      </c>
      <c r="DL263" s="553">
        <f>0.5*(1+'Hilfstabellen_Mat&amp;Bem'!$BD$31*(DK263-0.3)+DK263^2)</f>
        <v>0.75209968040441144</v>
      </c>
      <c r="DM263" s="550">
        <f t="shared" si="222"/>
        <v>0.9364387956495529</v>
      </c>
      <c r="DO263" s="551">
        <f t="shared" si="223"/>
        <v>92918.139498326884</v>
      </c>
      <c r="DS263" s="546">
        <f t="shared" si="224"/>
        <v>315</v>
      </c>
      <c r="DT263" s="551">
        <f t="shared" si="225"/>
        <v>43.988591938257194</v>
      </c>
      <c r="DU263" s="553">
        <f>DT263/PI()*SQRT('Hilfstabellen_Mat&amp;Bem'!f.Rd.3/'Hilfstabellen_Mat&amp;Bem'!$BD$30)</f>
        <v>0.70010018466259305</v>
      </c>
      <c r="DV263" s="553">
        <f>0.5*(1+'Hilfstabellen_Mat&amp;Bem'!$BD$31*(DU263-0.3)+DU263^2)</f>
        <v>0.76507514351542816</v>
      </c>
      <c r="DW263" s="550">
        <f t="shared" si="226"/>
        <v>0.93142856391138606</v>
      </c>
      <c r="DY263" s="551">
        <f t="shared" si="227"/>
        <v>92420.999254107286</v>
      </c>
      <c r="EC263" s="546">
        <f t="shared" si="228"/>
        <v>315</v>
      </c>
      <c r="ED263" s="551">
        <f t="shared" si="229"/>
        <v>45.088306736713626</v>
      </c>
      <c r="EE263" s="553">
        <f>ED263/PI()*SQRT('Hilfstabellen_Mat&amp;Bem'!f.Rd.3/'Hilfstabellen_Mat&amp;Bem'!$BD$30)</f>
        <v>0.71760268927915793</v>
      </c>
      <c r="EF263" s="553">
        <f>0.5*(1+'Hilfstabellen_Mat&amp;Bem'!$BD$31*(EE263-0.3)+EE263^2)</f>
        <v>0.77835694429429769</v>
      </c>
      <c r="EG263" s="550">
        <f t="shared" si="230"/>
        <v>0.92607182483352424</v>
      </c>
      <c r="EI263" s="551">
        <f t="shared" si="231"/>
        <v>91889.476819106436</v>
      </c>
      <c r="EM263" s="546">
        <f t="shared" si="232"/>
        <v>315</v>
      </c>
      <c r="EN263" s="551">
        <f t="shared" si="233"/>
        <v>46.188021535170058</v>
      </c>
      <c r="EO263" s="553">
        <f>EN263/PI()*SQRT('Hilfstabellen_Mat&amp;Bem'!f.Rd.3/'Hilfstabellen_Mat&amp;Bem'!$BD$30)</f>
        <v>0.73510519389572282</v>
      </c>
      <c r="EP263" s="553">
        <f>0.5*(1+'Hilfstabellen_Mat&amp;Bem'!$BD$31*(EO263-0.3)+EO263^2)</f>
        <v>0.79194508274102016</v>
      </c>
      <c r="EQ263" s="550">
        <f t="shared" si="234"/>
        <v>0.92033657436610028</v>
      </c>
      <c r="ES263" s="551">
        <f t="shared" si="235"/>
        <v>91320.396591476296</v>
      </c>
    </row>
    <row r="264" spans="3:149">
      <c r="C264" s="546">
        <v>316</v>
      </c>
      <c r="D264" s="551">
        <f t="shared" si="185"/>
        <v>30.694571273372503</v>
      </c>
      <c r="E264" s="553">
        <f>$D264/PI()*SQRT('Hilfstabellen_Mat&amp;Bem'!f.Rd.3/'Hilfstabellen_Mat&amp;Bem'!$BD$30)</f>
        <v>0.48851927442437265</v>
      </c>
      <c r="F264" s="553">
        <f>0.5*(1+'Hilfstabellen_Mat&amp;Bem'!$BD$31*($E264-0.3)+$E264^2)</f>
        <v>0.62875150446327632</v>
      </c>
      <c r="G264" s="550">
        <f t="shared" si="186"/>
        <v>0.97601308134221865</v>
      </c>
      <c r="I264" s="551">
        <f t="shared" si="187"/>
        <v>97460.762250508589</v>
      </c>
      <c r="M264" s="546">
        <f t="shared" si="188"/>
        <v>316</v>
      </c>
      <c r="N264" s="551">
        <f t="shared" ref="N264:N327" si="236">$L$8*10^3/$M264*SQRT(12)</f>
        <v>31.790805961707235</v>
      </c>
      <c r="O264" s="553">
        <f>$N264/PI()*SQRT('Hilfstabellen_Mat&amp;Bem'!f.Rd.3/'Hilfstabellen_Mat&amp;Bem'!$BD$30)</f>
        <v>0.50596639136810029</v>
      </c>
      <c r="P264" s="553">
        <f>0.5*(1+'Hilfstabellen_Mat&amp;Bem'!$BD$31*($O264-0.3)+$O264^2)</f>
        <v>0.63829931416543384</v>
      </c>
      <c r="Q264" s="550">
        <f t="shared" ref="Q264:Q327" si="237">MIN(1/($P264+SQRT($P264^2-$O264^2)),1)</f>
        <v>0.97330069291918908</v>
      </c>
      <c r="S264" s="551">
        <f t="shared" si="189"/>
        <v>97189.91399213855</v>
      </c>
      <c r="W264" s="546">
        <f t="shared" si="190"/>
        <v>316</v>
      </c>
      <c r="X264" s="551">
        <f t="shared" ref="X264:X327" si="238">$V$8*10^3/$W264*SQRT(12)</f>
        <v>32.887040650041975</v>
      </c>
      <c r="Y264" s="553">
        <f>$X264/PI()*SQRT('Hilfstabellen_Mat&amp;Bem'!f.Rd.3/'Hilfstabellen_Mat&amp;Bem'!$BD$30)</f>
        <v>0.52341350831182798</v>
      </c>
      <c r="Z264" s="553">
        <f>0.5*(1+'Hilfstabellen_Mat&amp;Bem'!$BD$31*($Y264-0.3)+$Y264^2)</f>
        <v>0.64815152575723933</v>
      </c>
      <c r="AA264" s="550">
        <f t="shared" ref="AA264:AA327" si="239">MIN(1/($Z264+SQRT($Z264^2-$Y264^2)),1)</f>
        <v>0.97046633850780006</v>
      </c>
      <c r="AC264" s="551">
        <f t="shared" si="191"/>
        <v>96906.886698034883</v>
      </c>
      <c r="AG264" s="546">
        <f t="shared" si="192"/>
        <v>316</v>
      </c>
      <c r="AH264" s="551">
        <f t="shared" ref="AH264:AH327" si="240">$AF$8*10^3/$AG264*SQRT(12)</f>
        <v>33.983275338376707</v>
      </c>
      <c r="AI264" s="553">
        <f>$AH264/PI()*SQRT('Hilfstabellen_Mat&amp;Bem'!f.Rd.3/'Hilfstabellen_Mat&amp;Bem'!$BD$30)</f>
        <v>0.54086062525555556</v>
      </c>
      <c r="AJ264" s="553">
        <f>0.5*(1+'Hilfstabellen_Mat&amp;Bem'!$BD$31*($AI264-0.3)+$AI264^2)</f>
        <v>0.65830813923869291</v>
      </c>
      <c r="AK264" s="550">
        <f t="shared" ref="AK264:AK327" si="241">MIN(1/($AJ264+SQRT($AJ264^2-$AI264^2)),1)</f>
        <v>0.96749798490547667</v>
      </c>
      <c r="AM264" s="551">
        <f t="shared" si="193"/>
        <v>96610.478780721285</v>
      </c>
      <c r="AQ264" s="546">
        <f t="shared" si="194"/>
        <v>316</v>
      </c>
      <c r="AR264" s="551">
        <f t="shared" ref="AR264:AR327" si="242">$AP$8*10^3/$AQ264*SQRT(12)</f>
        <v>35.079510026711439</v>
      </c>
      <c r="AS264" s="553">
        <f>$AR264/PI()*SQRT('Hilfstabellen_Mat&amp;Bem'!f.Rd.3/'Hilfstabellen_Mat&amp;Bem'!$BD$30)</f>
        <v>0.55830774219928314</v>
      </c>
      <c r="AT264" s="553">
        <f>0.5*(1+'Hilfstabellen_Mat&amp;Bem'!$BD$31*($AS264-0.3)+$AS264^2)</f>
        <v>0.6687691546097948</v>
      </c>
      <c r="AU264" s="550">
        <f t="shared" ref="AU264:AU327" si="243">MIN(1/($AT264+SQRT($AT264^2-$AS264^2)),1)</f>
        <v>0.96438242448689526</v>
      </c>
      <c r="AW264" s="551">
        <f t="shared" si="195"/>
        <v>96299.37137956341</v>
      </c>
      <c r="BA264" s="546">
        <f t="shared" si="196"/>
        <v>316</v>
      </c>
      <c r="BB264" s="551">
        <f t="shared" si="197"/>
        <v>36.175744715046172</v>
      </c>
      <c r="BC264" s="553">
        <f>$BB264/PI()*SQRT('Hilfstabellen_Mat&amp;Bem'!f.Rd.3/'Hilfstabellen_Mat&amp;Bem'!$BD$30)</f>
        <v>0.57575485914301072</v>
      </c>
      <c r="BD264" s="553">
        <f>0.5*(1+'Hilfstabellen_Mat&amp;Bem'!$BD$31*($BC264-0.3)+$BC264^2)</f>
        <v>0.67953457187054467</v>
      </c>
      <c r="BE264" s="550">
        <f t="shared" si="198"/>
        <v>0.96110514873117725</v>
      </c>
      <c r="BG264" s="551">
        <f t="shared" si="199"/>
        <v>95972.11573170044</v>
      </c>
      <c r="BK264" s="546">
        <f t="shared" si="200"/>
        <v>316</v>
      </c>
      <c r="BL264" s="551">
        <f t="shared" si="201"/>
        <v>37.271979403380904</v>
      </c>
      <c r="BM264" s="553">
        <f>$BL264/PI()*SQRT('Hilfstabellen_Mat&amp;Bem'!f.Rd.3/'Hilfstabellen_Mat&amp;Bem'!$BD$30)</f>
        <v>0.5932019760867383</v>
      </c>
      <c r="BN264" s="553">
        <f>0.5*(1+'Hilfstabellen_Mat&amp;Bem'!$BD$31*($BM264-0.3)+$BM264^2)</f>
        <v>0.69060439102094251</v>
      </c>
      <c r="BO264" s="550">
        <f t="shared" si="202"/>
        <v>0.95765021393548111</v>
      </c>
      <c r="BQ264" s="551">
        <f t="shared" si="203"/>
        <v>95627.119762741408</v>
      </c>
      <c r="BU264" s="546">
        <f t="shared" si="204"/>
        <v>316</v>
      </c>
      <c r="BV264" s="551">
        <f t="shared" si="205"/>
        <v>38.368214091715636</v>
      </c>
      <c r="BW264" s="553">
        <f>$BV264/PI()*SQRT('Hilfstabellen_Mat&amp;Bem'!f.Rd.3/'Hilfstabellen_Mat&amp;Bem'!$BD$30)</f>
        <v>0.61064909303046599</v>
      </c>
      <c r="BX264" s="553">
        <f>0.5*(1+'Hilfstabellen_Mat&amp;Bem'!$BD$31*($BW264-0.3)+$BW264^2)</f>
        <v>0.70197861206098866</v>
      </c>
      <c r="BY264" s="550">
        <f t="shared" si="206"/>
        <v>0.95400010134807711</v>
      </c>
      <c r="CA264" s="551">
        <f t="shared" si="207"/>
        <v>95262.634120213581</v>
      </c>
      <c r="CE264" s="546">
        <f t="shared" si="208"/>
        <v>316</v>
      </c>
      <c r="CF264" s="551">
        <f t="shared" si="209"/>
        <v>39.464448780050368</v>
      </c>
      <c r="CG264" s="553">
        <f>CF264/PI()*SQRT('Hilfstabellen_Mat&amp;Bem'!f.Rd.3/'Hilfstabellen_Mat&amp;Bem'!$BD$30)</f>
        <v>0.62809620997419358</v>
      </c>
      <c r="CH264" s="553">
        <f>0.5*(1+'Hilfstabellen_Mat&amp;Bem'!$BD$31*(CG264-0.3)+CG264^2)</f>
        <v>0.71365723499068279</v>
      </c>
      <c r="CI264" s="550">
        <f t="shared" si="210"/>
        <v>0.95013557545449323</v>
      </c>
      <c r="CK264" s="551">
        <f t="shared" si="211"/>
        <v>94876.738022583871</v>
      </c>
      <c r="CO264" s="546">
        <f t="shared" si="212"/>
        <v>316</v>
      </c>
      <c r="CP264" s="551">
        <f t="shared" si="213"/>
        <v>40.560683468385101</v>
      </c>
      <c r="CQ264" s="553">
        <f>CP264/PI()*SQRT('Hilfstabellen_Mat&amp;Bem'!f.Rd.3/'Hilfstabellen_Mat&amp;Bem'!$BD$30)</f>
        <v>0.64554332691792116</v>
      </c>
      <c r="CR264" s="553">
        <f>0.5*(1+'Hilfstabellen_Mat&amp;Bem'!$BD$31*(CQ264-0.3)+CQ264^2)</f>
        <v>0.72564025981002511</v>
      </c>
      <c r="CS264" s="550">
        <f t="shared" si="214"/>
        <v>0.9460355462252501</v>
      </c>
      <c r="CU264" s="551">
        <f t="shared" si="215"/>
        <v>94467.325503868575</v>
      </c>
      <c r="CY264" s="546">
        <f t="shared" si="216"/>
        <v>316</v>
      </c>
      <c r="CZ264" s="551">
        <f t="shared" si="217"/>
        <v>41.656918156719833</v>
      </c>
      <c r="DA264" s="553">
        <f>CZ264/PI()*SQRT('Hilfstabellen_Mat&amp;Bem'!f.Rd.3/'Hilfstabellen_Mat&amp;Bem'!$BD$30)</f>
        <v>0.66299044386164874</v>
      </c>
      <c r="DB264" s="553">
        <f>0.5*(1+'Hilfstabellen_Mat&amp;Bem'!$BD$31*(DA264-0.3)+DA264^2)</f>
        <v>0.73792768651901541</v>
      </c>
      <c r="DC264" s="550">
        <f t="shared" si="218"/>
        <v>0.94167694393370294</v>
      </c>
      <c r="DE264" s="551">
        <f t="shared" si="219"/>
        <v>94032.092913443834</v>
      </c>
      <c r="DI264" s="546">
        <f t="shared" si="220"/>
        <v>316</v>
      </c>
      <c r="DJ264" s="551">
        <f t="shared" si="221"/>
        <v>42.753152845054565</v>
      </c>
      <c r="DK264" s="553">
        <f>DJ264/PI()*SQRT('Hilfstabellen_Mat&amp;Bem'!f.Rd.3/'Hilfstabellen_Mat&amp;Bem'!$BD$30)</f>
        <v>0.68043756080537632</v>
      </c>
      <c r="DL264" s="553">
        <f>0.5*(1+'Hilfstabellen_Mat&amp;Bem'!$BD$31*(DK264-0.3)+DK264^2)</f>
        <v>0.75051951511765391</v>
      </c>
      <c r="DM264" s="550">
        <f t="shared" si="222"/>
        <v>0.93703461883072758</v>
      </c>
      <c r="DO264" s="551">
        <f t="shared" si="223"/>
        <v>93568.528897961136</v>
      </c>
      <c r="DS264" s="546">
        <f t="shared" si="224"/>
        <v>316</v>
      </c>
      <c r="DT264" s="551">
        <f t="shared" si="225"/>
        <v>43.849387533389297</v>
      </c>
      <c r="DU264" s="553">
        <f>DT264/PI()*SQRT('Hilfstabellen_Mat&amp;Bem'!f.Rd.3/'Hilfstabellen_Mat&amp;Bem'!$BD$30)</f>
        <v>0.6978846777491039</v>
      </c>
      <c r="DV264" s="553">
        <f>0.5*(1+'Hilfstabellen_Mat&amp;Bem'!$BD$31*(DU264-0.3)+DU264^2)</f>
        <v>0.7634157456059405</v>
      </c>
      <c r="DW264" s="550">
        <f t="shared" si="226"/>
        <v>0.93208128264306123</v>
      </c>
      <c r="DY264" s="551">
        <f t="shared" si="227"/>
        <v>93073.908559605523</v>
      </c>
      <c r="EC264" s="546">
        <f t="shared" si="228"/>
        <v>316</v>
      </c>
      <c r="ED264" s="551">
        <f t="shared" si="229"/>
        <v>44.94562222172403</v>
      </c>
      <c r="EE264" s="553">
        <f>ED264/PI()*SQRT('Hilfstabellen_Mat&amp;Bem'!f.Rd.3/'Hilfstabellen_Mat&amp;Bem'!$BD$30)</f>
        <v>0.71533179469283148</v>
      </c>
      <c r="EF264" s="553">
        <f>0.5*(1+'Hilfstabellen_Mat&amp;Bem'!$BD$31*(EE264-0.3)+EE264^2)</f>
        <v>0.77661637798387528</v>
      </c>
      <c r="EG264" s="550">
        <f t="shared" si="230"/>
        <v>0.92678751457964192</v>
      </c>
      <c r="EI264" s="551">
        <f t="shared" si="231"/>
        <v>92545.294055864724</v>
      </c>
      <c r="EM264" s="546">
        <f t="shared" si="232"/>
        <v>316</v>
      </c>
      <c r="EN264" s="551">
        <f t="shared" si="233"/>
        <v>46.041856910058762</v>
      </c>
      <c r="EO264" s="553">
        <f>EN264/PI()*SQRT('Hilfstabellen_Mat&amp;Bem'!f.Rd.3/'Hilfstabellen_Mat&amp;Bem'!$BD$30)</f>
        <v>0.73277891163655906</v>
      </c>
      <c r="EP264" s="553">
        <f>0.5*(1+'Hilfstabellen_Mat&amp;Bem'!$BD$31*(EO264-0.3)+EO264^2)</f>
        <v>0.79012141225145793</v>
      </c>
      <c r="EQ264" s="550">
        <f t="shared" si="234"/>
        <v>0.92112186113678307</v>
      </c>
      <c r="ES264" s="551">
        <f t="shared" si="235"/>
        <v>91979.544565674616</v>
      </c>
    </row>
    <row r="265" spans="3:149">
      <c r="C265" s="546">
        <v>317</v>
      </c>
      <c r="D265" s="551">
        <f t="shared" ref="D265:D328" si="244">$B$8*10^3/$C265*SQRT(12)</f>
        <v>30.597742972825593</v>
      </c>
      <c r="E265" s="553">
        <f>$D265/PI()*SQRT('Hilfstabellen_Mat&amp;Bem'!f.Rd.3/'Hilfstabellen_Mat&amp;Bem'!$BD$30)</f>
        <v>0.48697820415804982</v>
      </c>
      <c r="F265" s="553">
        <f>0.5*(1+'Hilfstabellen_Mat&amp;Bem'!$BD$31*($E265-0.3)+$E265^2)</f>
        <v>0.62792279587040212</v>
      </c>
      <c r="G265" s="550">
        <f t="shared" ref="G265:G328" si="245">MIN(1/($F265+SQRT($F265^2-$E265^2)),1)</f>
        <v>0.97624717388739923</v>
      </c>
      <c r="I265" s="551">
        <f>C265^2*G265</f>
        <v>98102.102256770857</v>
      </c>
      <c r="M265" s="546">
        <f t="shared" ref="M265:M328" si="246">$C265</f>
        <v>317</v>
      </c>
      <c r="N265" s="551">
        <f t="shared" si="236"/>
        <v>31.690519507569363</v>
      </c>
      <c r="O265" s="553">
        <f>$N265/PI()*SQRT('Hilfstabellen_Mat&amp;Bem'!f.Rd.3/'Hilfstabellen_Mat&amp;Bem'!$BD$30)</f>
        <v>0.50437028287798014</v>
      </c>
      <c r="P265" s="553">
        <f>0.5*(1+'Hilfstabellen_Mat&amp;Bem'!$BD$31*($O265-0.3)+$O265^2)</f>
        <v>0.63741320526910583</v>
      </c>
      <c r="Q265" s="550">
        <f t="shared" si="237"/>
        <v>0.97355372467372958</v>
      </c>
      <c r="S265" s="551">
        <f>M265^2*Q265</f>
        <v>97831.440238738418</v>
      </c>
      <c r="W265" s="546">
        <f t="shared" ref="W265:W328" si="247">$C265</f>
        <v>317</v>
      </c>
      <c r="X265" s="551">
        <f t="shared" si="238"/>
        <v>32.783296042313133</v>
      </c>
      <c r="Y265" s="553">
        <f>$X265/PI()*SQRT('Hilfstabellen_Mat&amp;Bem'!f.Rd.3/'Hilfstabellen_Mat&amp;Bem'!$BD$30)</f>
        <v>0.52176236159791045</v>
      </c>
      <c r="Z265" s="553">
        <f>0.5*(1+'Hilfstabellen_Mat&amp;Bem'!$BD$31*($Y265-0.3)+$Y265^2)</f>
        <v>0.64720609907000981</v>
      </c>
      <c r="AA265" s="550">
        <f t="shared" si="239"/>
        <v>0.9707401180722709</v>
      </c>
      <c r="AC265" s="551">
        <f>W265^2*AA265</f>
        <v>97548.703724964435</v>
      </c>
      <c r="AG265" s="546">
        <f t="shared" ref="AG265:AG328" si="248">$C265</f>
        <v>317</v>
      </c>
      <c r="AH265" s="551">
        <f t="shared" si="240"/>
        <v>33.876072577056902</v>
      </c>
      <c r="AI265" s="553">
        <f>$AH265/PI()*SQRT('Hilfstabellen_Mat&amp;Bem'!f.Rd.3/'Hilfstabellen_Mat&amp;Bem'!$BD$30)</f>
        <v>0.53915444031784077</v>
      </c>
      <c r="AJ265" s="553">
        <f>0.5*(1+'Hilfstabellen_Mat&amp;Bem'!$BD$31*($AI265-0.3)+$AI265^2)</f>
        <v>0.65730147727311417</v>
      </c>
      <c r="AK265" s="550">
        <f t="shared" si="241"/>
        <v>0.96779453669096172</v>
      </c>
      <c r="AM265" s="551">
        <f>AG265^2*AK265</f>
        <v>97252.705197538045</v>
      </c>
      <c r="AQ265" s="546">
        <f t="shared" ref="AQ265:AQ328" si="249">$C265</f>
        <v>317</v>
      </c>
      <c r="AR265" s="551">
        <f t="shared" si="242"/>
        <v>34.968849111800672</v>
      </c>
      <c r="AS265" s="553">
        <f>$AR265/PI()*SQRT('Hilfstabellen_Mat&amp;Bem'!f.Rd.3/'Hilfstabellen_Mat&amp;Bem'!$BD$30)</f>
        <v>0.55654651903777108</v>
      </c>
      <c r="AT265" s="553">
        <f>0.5*(1+'Hilfstabellen_Mat&amp;Bem'!$BD$31*($AS265-0.3)+$AS265^2)</f>
        <v>0.66769933987841856</v>
      </c>
      <c r="AU265" s="550">
        <f t="shared" si="243"/>
        <v>0.96470401484410706</v>
      </c>
      <c r="AW265" s="551">
        <f>AQ265^2*AU265</f>
        <v>96942.141747669477</v>
      </c>
      <c r="BA265" s="546">
        <f t="shared" si="196"/>
        <v>317</v>
      </c>
      <c r="BB265" s="551">
        <f t="shared" si="197"/>
        <v>36.061625646544442</v>
      </c>
      <c r="BC265" s="553">
        <f>$BB265/PI()*SQRT('Hilfstabellen_Mat&amp;Bem'!f.Rd.3/'Hilfstabellen_Mat&amp;Bem'!$BD$30)</f>
        <v>0.57393859775770151</v>
      </c>
      <c r="BD265" s="553">
        <f>0.5*(1+'Hilfstabellen_Mat&amp;Bem'!$BD$31*($BC265-0.3)+$BC265^2)</f>
        <v>0.67839968688592345</v>
      </c>
      <c r="BE265" s="550">
        <f t="shared" si="198"/>
        <v>0.96145431487496802</v>
      </c>
      <c r="BG265" s="551">
        <f t="shared" si="199"/>
        <v>96615.582647470656</v>
      </c>
      <c r="BK265" s="546">
        <f t="shared" si="200"/>
        <v>317</v>
      </c>
      <c r="BL265" s="551">
        <f t="shared" si="201"/>
        <v>37.154402181288219</v>
      </c>
      <c r="BM265" s="553">
        <f>$BL265/PI()*SQRT('Hilfstabellen_Mat&amp;Bem'!f.Rd.3/'Hilfstabellen_Mat&amp;Bem'!$BD$30)</f>
        <v>0.59133067647763193</v>
      </c>
      <c r="BN265" s="553">
        <f>0.5*(1+'Hilfstabellen_Mat&amp;Bem'!$BD$31*($BM265-0.3)+$BM265^2)</f>
        <v>0.68940251829562849</v>
      </c>
      <c r="BO265" s="550">
        <f t="shared" si="202"/>
        <v>0.95802979565744384</v>
      </c>
      <c r="BQ265" s="551">
        <f t="shared" si="203"/>
        <v>96271.456135820874</v>
      </c>
      <c r="BU265" s="546">
        <f t="shared" si="204"/>
        <v>317</v>
      </c>
      <c r="BV265" s="551">
        <f t="shared" si="205"/>
        <v>38.247178716031989</v>
      </c>
      <c r="BW265" s="553">
        <f>$BV265/PI()*SQRT('Hilfstabellen_Mat&amp;Bem'!f.Rd.3/'Hilfstabellen_Mat&amp;Bem'!$BD$30)</f>
        <v>0.60872275519756225</v>
      </c>
      <c r="BX265" s="553">
        <f>0.5*(1+'Hilfstabellen_Mat&amp;Bem'!$BD$31*($BW265-0.3)+$BW265^2)</f>
        <v>0.70070783410753368</v>
      </c>
      <c r="BY265" s="550">
        <f t="shared" si="206"/>
        <v>0.95441327533997156</v>
      </c>
      <c r="CA265" s="551">
        <f t="shared" si="207"/>
        <v>95908.035625638397</v>
      </c>
      <c r="CE265" s="546">
        <f t="shared" si="208"/>
        <v>317</v>
      </c>
      <c r="CF265" s="551">
        <f t="shared" si="209"/>
        <v>39.339955250775759</v>
      </c>
      <c r="CG265" s="553">
        <f>CF265/PI()*SQRT('Hilfstabellen_Mat&amp;Bem'!f.Rd.3/'Hilfstabellen_Mat&amp;Bem'!$BD$30)</f>
        <v>0.62611483391749256</v>
      </c>
      <c r="CH265" s="553">
        <f>0.5*(1+'Hilfstabellen_Mat&amp;Bem'!$BD$31*(CG265-0.3)+CG265^2)</f>
        <v>0.71231563432163925</v>
      </c>
      <c r="CI265" s="550">
        <f t="shared" si="210"/>
        <v>0.95058589180862474</v>
      </c>
      <c r="CK265" s="551">
        <f t="shared" si="211"/>
        <v>95523.425681956898</v>
      </c>
      <c r="CO265" s="546">
        <f t="shared" si="212"/>
        <v>317</v>
      </c>
      <c r="CP265" s="551">
        <f t="shared" si="213"/>
        <v>40.432731785519529</v>
      </c>
      <c r="CQ265" s="553">
        <f>CP265/PI()*SQRT('Hilfstabellen_Mat&amp;Bem'!f.Rd.3/'Hilfstabellen_Mat&amp;Bem'!$BD$30)</f>
        <v>0.64350691263742288</v>
      </c>
      <c r="CR265" s="553">
        <f>0.5*(1+'Hilfstabellen_Mat&amp;Bem'!$BD$31*(CQ265-0.3)+CQ265^2)</f>
        <v>0.72422591893794508</v>
      </c>
      <c r="CS265" s="550">
        <f t="shared" si="214"/>
        <v>0.94652696630426469</v>
      </c>
      <c r="CU265" s="551">
        <f t="shared" si="215"/>
        <v>95115.548316949251</v>
      </c>
      <c r="CY265" s="546">
        <f t="shared" si="216"/>
        <v>317</v>
      </c>
      <c r="CZ265" s="551">
        <f t="shared" si="217"/>
        <v>41.525508320263299</v>
      </c>
      <c r="DA265" s="553">
        <f>CZ265/PI()*SQRT('Hilfstabellen_Mat&amp;Bem'!f.Rd.3/'Hilfstabellen_Mat&amp;Bem'!$BD$30)</f>
        <v>0.66089899135735319</v>
      </c>
      <c r="DB265" s="553">
        <f>0.5*(1+'Hilfstabellen_Mat&amp;Bem'!$BD$31*(DA265-0.3)+DA265^2)</f>
        <v>0.73643868795645107</v>
      </c>
      <c r="DC265" s="550">
        <f t="shared" si="218"/>
        <v>0.94221387827526459</v>
      </c>
      <c r="DE265" s="551">
        <f t="shared" si="219"/>
        <v>94682.13041400307</v>
      </c>
      <c r="DI265" s="546">
        <f t="shared" si="220"/>
        <v>317</v>
      </c>
      <c r="DJ265" s="551">
        <f t="shared" si="221"/>
        <v>42.618284855007076</v>
      </c>
      <c r="DK265" s="553">
        <f>DJ265/PI()*SQRT('Hilfstabellen_Mat&amp;Bem'!f.Rd.3/'Hilfstabellen_Mat&amp;Bem'!$BD$30)</f>
        <v>0.67829107007728373</v>
      </c>
      <c r="DL265" s="553">
        <f>0.5*(1+'Hilfstabellen_Mat&amp;Bem'!$BD$31*(DK265-0.3)+DK265^2)</f>
        <v>0.74895394137715754</v>
      </c>
      <c r="DM265" s="550">
        <f t="shared" si="222"/>
        <v>0.93762196303211076</v>
      </c>
      <c r="DO265" s="551">
        <f t="shared" si="223"/>
        <v>94220.693443133772</v>
      </c>
      <c r="DS265" s="546">
        <f t="shared" si="224"/>
        <v>317</v>
      </c>
      <c r="DT265" s="551">
        <f t="shared" si="225"/>
        <v>43.711061389750846</v>
      </c>
      <c r="DU265" s="553">
        <f>DT265/PI()*SQRT('Hilfstabellen_Mat&amp;Bem'!f.Rd.3/'Hilfstabellen_Mat&amp;Bem'!$BD$30)</f>
        <v>0.69568314879721393</v>
      </c>
      <c r="DV265" s="553">
        <f>0.5*(1+'Hilfstabellen_Mat&amp;Bem'!$BD$31*(DU265-0.3)+DU265^2)</f>
        <v>0.76177167920006394</v>
      </c>
      <c r="DW265" s="550">
        <f t="shared" si="226"/>
        <v>0.9327244482183622</v>
      </c>
      <c r="DY265" s="551">
        <f t="shared" si="227"/>
        <v>93728.547077014999</v>
      </c>
      <c r="EC265" s="546">
        <f t="shared" si="228"/>
        <v>317</v>
      </c>
      <c r="ED265" s="551">
        <f t="shared" si="229"/>
        <v>44.803837924494616</v>
      </c>
      <c r="EE265" s="553">
        <f>ED265/PI()*SQRT('Hilfstabellen_Mat&amp;Bem'!f.Rd.3/'Hilfstabellen_Mat&amp;Bem'!$BD$30)</f>
        <v>0.71307522751714436</v>
      </c>
      <c r="EF265" s="553">
        <f>0.5*(1+'Hilfstabellen_Mat&amp;Bem'!$BD$31*(EE265-0.3)+EE265^2)</f>
        <v>0.77489190142517073</v>
      </c>
      <c r="EG265" s="550">
        <f t="shared" si="230"/>
        <v>0.92749245057236318</v>
      </c>
      <c r="EI265" s="551">
        <f t="shared" si="231"/>
        <v>93202.78886556621</v>
      </c>
      <c r="EM265" s="546">
        <f t="shared" si="232"/>
        <v>317</v>
      </c>
      <c r="EN265" s="551">
        <f t="shared" si="233"/>
        <v>45.896614459238386</v>
      </c>
      <c r="EO265" s="553">
        <f>EN265/PI()*SQRT('Hilfstabellen_Mat&amp;Bem'!f.Rd.3/'Hilfstabellen_Mat&amp;Bem'!$BD$30)</f>
        <v>0.73046730623707468</v>
      </c>
      <c r="EP265" s="553">
        <f>0.5*(1+'Hilfstabellen_Mat&amp;Bem'!$BD$31*(EO265-0.3)+EO265^2)</f>
        <v>0.78831460805247788</v>
      </c>
      <c r="EQ265" s="550">
        <f t="shared" si="234"/>
        <v>0.92189506080929651</v>
      </c>
      <c r="ES265" s="551">
        <f t="shared" si="235"/>
        <v>92640.312765665396</v>
      </c>
    </row>
    <row r="266" spans="3:149">
      <c r="C266" s="546">
        <v>318</v>
      </c>
      <c r="D266" s="551">
        <f t="shared" si="244"/>
        <v>30.501523655300982</v>
      </c>
      <c r="E266" s="553">
        <f>$D266/PI()*SQRT('Hilfstabellen_Mat&amp;Bem'!f.Rd.3/'Hilfstabellen_Mat&amp;Bem'!$BD$30)</f>
        <v>0.48544682615755275</v>
      </c>
      <c r="F266" s="553">
        <f>0.5*(1+'Hilfstabellen_Mat&amp;Bem'!$BD$31*($E266-0.3)+$E266^2)</f>
        <v>0.62710165182109834</v>
      </c>
      <c r="G266" s="550">
        <f t="shared" si="245"/>
        <v>0.97647894409290137</v>
      </c>
      <c r="I266" s="551">
        <f>C266^2*G266</f>
        <v>98745.456742450551</v>
      </c>
      <c r="M266" s="546">
        <f t="shared" si="246"/>
        <v>318</v>
      </c>
      <c r="N266" s="551">
        <f t="shared" si="236"/>
        <v>31.590863785847443</v>
      </c>
      <c r="O266" s="553">
        <f>$N266/PI()*SQRT('Hilfstabellen_Mat&amp;Bem'!f.Rd.3/'Hilfstabellen_Mat&amp;Bem'!$BD$30)</f>
        <v>0.5027842128060368</v>
      </c>
      <c r="P266" s="553">
        <f>0.5*(1+'Hilfstabellen_Mat&amp;Bem'!$BD$31*($O266-0.3)+$O266^2)</f>
        <v>0.6365351929637949</v>
      </c>
      <c r="Q266" s="550">
        <f t="shared" si="237"/>
        <v>0.97380416327324248</v>
      </c>
      <c r="S266" s="551">
        <f>M266^2*Q266</f>
        <v>98474.972206843377</v>
      </c>
      <c r="W266" s="546">
        <f t="shared" si="247"/>
        <v>318</v>
      </c>
      <c r="X266" s="551">
        <f t="shared" si="238"/>
        <v>32.680203916393914</v>
      </c>
      <c r="Y266" s="553">
        <f>$X266/PI()*SQRT('Hilfstabellen_Mat&amp;Bem'!f.Rd.3/'Hilfstabellen_Mat&amp;Bem'!$BD$30)</f>
        <v>0.52012159945452086</v>
      </c>
      <c r="Z266" s="553">
        <f>0.5*(1+'Hilfstabellen_Mat&amp;Bem'!$BD$31*($Y266-0.3)+$Y266^2)</f>
        <v>0.64626931908229057</v>
      </c>
      <c r="AA266" s="550">
        <f t="shared" si="239"/>
        <v>0.97101099828869164</v>
      </c>
      <c r="AC266" s="551">
        <f>W266^2*AA266</f>
        <v>98192.516190945651</v>
      </c>
      <c r="AG266" s="546">
        <f t="shared" si="248"/>
        <v>318</v>
      </c>
      <c r="AH266" s="551">
        <f t="shared" si="240"/>
        <v>33.769544046940375</v>
      </c>
      <c r="AI266" s="553">
        <f>$AH266/PI()*SQRT('Hilfstabellen_Mat&amp;Bem'!f.Rd.3/'Hilfstabellen_Mat&amp;Bem'!$BD$30)</f>
        <v>0.53745898610300491</v>
      </c>
      <c r="AJ266" s="553">
        <f>0.5*(1+'Hilfstabellen_Mat&amp;Bem'!$BD$31*($AI266-0.3)+$AI266^2)</f>
        <v>0.65630403017658523</v>
      </c>
      <c r="AK266" s="550">
        <f t="shared" si="241"/>
        <v>0.96808784258948433</v>
      </c>
      <c r="AM266" s="551">
        <f>AG266^2*AK266</f>
        <v>97896.914994019011</v>
      </c>
      <c r="AQ266" s="546">
        <f t="shared" si="249"/>
        <v>318</v>
      </c>
      <c r="AR266" s="551">
        <f t="shared" si="242"/>
        <v>34.858884177486836</v>
      </c>
      <c r="AS266" s="553">
        <f>$AR266/PI()*SQRT('Hilfstabellen_Mat&amp;Bem'!f.Rd.3/'Hilfstabellen_Mat&amp;Bem'!$BD$30)</f>
        <v>0.55479637275148885</v>
      </c>
      <c r="AT266" s="553">
        <f>0.5*(1+'Hilfstabellen_Mat&amp;Bem'!$BD$31*($AS266-0.3)+$AS266^2)</f>
        <v>0.66663932624667899</v>
      </c>
      <c r="AU266" s="550">
        <f t="shared" si="243"/>
        <v>0.96502196679616425</v>
      </c>
      <c r="AW266" s="551">
        <f>AQ266^2*AU266</f>
        <v>97586.881370295319</v>
      </c>
      <c r="BA266" s="546">
        <f t="shared" ref="BA266:BA329" si="250">$C266</f>
        <v>318</v>
      </c>
      <c r="BB266" s="551">
        <f t="shared" ref="BB266:BB329" si="251">$AZ$8*10^3/$BA266*SQRT(12)</f>
        <v>35.948224308033303</v>
      </c>
      <c r="BC266" s="553">
        <f>$BB266/PI()*SQRT('Hilfstabellen_Mat&amp;Bem'!f.Rd.3/'Hilfstabellen_Mat&amp;Bem'!$BD$30)</f>
        <v>0.57213375939997302</v>
      </c>
      <c r="BD266" s="553">
        <f>0.5*(1+'Hilfstabellen_Mat&amp;Bem'!$BD$31*($BC266-0.3)+$BC266^2)</f>
        <v>0.67727520729257173</v>
      </c>
      <c r="BE266" s="550">
        <f t="shared" ref="BE266:BE329" si="252">MIN(1/($BD266+SQRT($BD266^2-$BC266^2)),1)</f>
        <v>0.96179939775962986</v>
      </c>
      <c r="BG266" s="551">
        <f t="shared" ref="BG266:BG329" si="253">BA266^2*BE266</f>
        <v>97261.002299044805</v>
      </c>
      <c r="BK266" s="546">
        <f t="shared" ref="BK266:BK329" si="254">$C266</f>
        <v>318</v>
      </c>
      <c r="BL266" s="551">
        <f t="shared" ref="BL266:BL329" si="255">$BJ$8*10^3/$BK266*SQRT(12)</f>
        <v>37.037564438579764</v>
      </c>
      <c r="BM266" s="553">
        <f>$BL266/PI()*SQRT('Hilfstabellen_Mat&amp;Bem'!f.Rd.3/'Hilfstabellen_Mat&amp;Bem'!$BD$30)</f>
        <v>0.58947114604845685</v>
      </c>
      <c r="BN266" s="553">
        <f>0.5*(1+'Hilfstabellen_Mat&amp;Bem'!$BD$31*($BM266-0.3)+$BM266^2)</f>
        <v>0.68821167331426336</v>
      </c>
      <c r="BO266" s="550">
        <f t="shared" ref="BO266:BO329" si="256">MIN(1/($BN266+SQRT($BN266^2-$BM266^2)),1)</f>
        <v>0.95840478980582</v>
      </c>
      <c r="BQ266" s="551">
        <f t="shared" ref="BQ266:BQ329" si="257">BK266^2*BO266</f>
        <v>96917.725964323748</v>
      </c>
      <c r="BU266" s="546">
        <f t="shared" ref="BU266:BU329" si="258">$C266</f>
        <v>318</v>
      </c>
      <c r="BV266" s="551">
        <f t="shared" ref="BV266:BV329" si="259">$BT$8*10^3/$BU266*SQRT(12)</f>
        <v>38.126904569126225</v>
      </c>
      <c r="BW266" s="553">
        <f>$BV266/PI()*SQRT('Hilfstabellen_Mat&amp;Bem'!f.Rd.3/'Hilfstabellen_Mat&amp;Bem'!$BD$30)</f>
        <v>0.60680853269694091</v>
      </c>
      <c r="BX266" s="553">
        <f>0.5*(1+'Hilfstabellen_Mat&amp;Bem'!$BD$31*($BW266-0.3)+$BW266^2)</f>
        <v>0.6994487243117542</v>
      </c>
      <c r="BY266" s="550">
        <f t="shared" ref="BY266:BY329" si="260">MIN(1/($BX266+SQRT($BX266^2-$BW266^2)),1)</f>
        <v>0.95482129006952776</v>
      </c>
      <c r="CA266" s="551">
        <f t="shared" ref="CA266:CA329" si="261">BU266^2*BY266</f>
        <v>96555.348136990928</v>
      </c>
      <c r="CE266" s="546">
        <f t="shared" ref="CE266:CE329" si="262">$C266</f>
        <v>318</v>
      </c>
      <c r="CF266" s="551">
        <f t="shared" ref="CF266:CF329" si="263">$CD$8*10^3/CE266*SQRT(12)</f>
        <v>39.216244699672686</v>
      </c>
      <c r="CG266" s="553">
        <f>CF266/PI()*SQRT('Hilfstabellen_Mat&amp;Bem'!f.Rd.3/'Hilfstabellen_Mat&amp;Bem'!$BD$30)</f>
        <v>0.62414591934542496</v>
      </c>
      <c r="CH266" s="553">
        <f>0.5*(1+'Hilfstabellen_Mat&amp;Bem'!$BD$31*(CG266-0.3)+CG266^2)</f>
        <v>0.71098636028504414</v>
      </c>
      <c r="CI266" s="550">
        <f t="shared" ref="CI266:CI329" si="264">MIN(1/(CH266+SQRT(CH266^2-CG266^2)),1)</f>
        <v>0.95103040115404447</v>
      </c>
      <c r="CK266" s="551">
        <f t="shared" ref="CK266:CK329" si="265">CE266^2*CI266</f>
        <v>96171.99828630159</v>
      </c>
      <c r="CO266" s="546">
        <f t="shared" ref="CO266:CO329" si="266">$C266</f>
        <v>318</v>
      </c>
      <c r="CP266" s="551">
        <f t="shared" ref="CP266:CP329" si="267">$CN$8*10^3/CO266*SQRT(12)</f>
        <v>40.305584830219154</v>
      </c>
      <c r="CQ266" s="553">
        <f>CP266/PI()*SQRT('Hilfstabellen_Mat&amp;Bem'!f.Rd.3/'Hilfstabellen_Mat&amp;Bem'!$BD$30)</f>
        <v>0.64148330599390901</v>
      </c>
      <c r="CR266" s="553">
        <f>0.5*(1+'Hilfstabellen_Mat&amp;Bem'!$BD$31*(CQ266-0.3)+CQ266^2)</f>
        <v>0.72282458123413296</v>
      </c>
      <c r="CS266" s="550">
        <f t="shared" ref="CS266:CS329" si="268">MIN(1/(CR266+SQRT(CR266^2-CQ266^2)),1)</f>
        <v>0.94701184620082735</v>
      </c>
      <c r="CU266" s="551">
        <f t="shared" ref="CU266:CU329" si="269">CO266^2*CS266</f>
        <v>95765.625935212462</v>
      </c>
      <c r="CY266" s="546">
        <f t="shared" ref="CY266:CY329" si="270">$C266</f>
        <v>318</v>
      </c>
      <c r="CZ266" s="551">
        <f t="shared" ref="CZ266:CZ329" si="271">$CX$8*10^3/CY266*SQRT(12)</f>
        <v>41.394924960765621</v>
      </c>
      <c r="DA266" s="553">
        <f>CZ266/PI()*SQRT('Hilfstabellen_Mat&amp;Bem'!f.Rd.3/'Hilfstabellen_Mat&amp;Bem'!$BD$30)</f>
        <v>0.65882069264239318</v>
      </c>
      <c r="DB266" s="553">
        <f>0.5*(1+'Hilfstabellen_Mat&amp;Bem'!$BD$31*(DA266-0.3)+DA266^2)</f>
        <v>0.7349633871590211</v>
      </c>
      <c r="DC266" s="550">
        <f t="shared" ref="DC266:DC329" si="272">MIN(1/(DB266+SQRT(DB266^2-DA266^2)),1)</f>
        <v>0.94274344395502629</v>
      </c>
      <c r="DE266" s="551">
        <f t="shared" ref="DE266:DE329" si="273">CY266^2*DC266</f>
        <v>95333.988026508072</v>
      </c>
      <c r="DI266" s="546">
        <f t="shared" ref="DI266:DI329" si="274">$C266</f>
        <v>318</v>
      </c>
      <c r="DJ266" s="551">
        <f t="shared" ref="DJ266:DJ329" si="275">$DH$8*10^3/DI266*SQRT(12)</f>
        <v>42.484265091312082</v>
      </c>
      <c r="DK266" s="553">
        <f>DJ266/PI()*SQRT('Hilfstabellen_Mat&amp;Bem'!f.Rd.3/'Hilfstabellen_Mat&amp;Bem'!$BD$30)</f>
        <v>0.67615807929087701</v>
      </c>
      <c r="DL266" s="553">
        <f>0.5*(1+'Hilfstabellen_Mat&amp;Bem'!$BD$31*(DK266-0.3)+DK266^2)</f>
        <v>0.7474027780597079</v>
      </c>
      <c r="DM266" s="550">
        <f t="shared" ref="DM266:DM329" si="276">MIN(1/(DL266+SQRT(DL266^2-DK266^2)),1)</f>
        <v>0.93820100471381873</v>
      </c>
      <c r="DO266" s="551">
        <f t="shared" ref="DO266:DO329" si="277">DI266^2*DM266</f>
        <v>94874.638400680211</v>
      </c>
      <c r="DS266" s="546">
        <f t="shared" ref="DS266:DS329" si="278">$C266</f>
        <v>318</v>
      </c>
      <c r="DT266" s="551">
        <f t="shared" ref="DT266:DT329" si="279">$DR$8*10^3/DS266*SQRT(12)</f>
        <v>43.57360522185855</v>
      </c>
      <c r="DU266" s="553">
        <f>DT266/PI()*SQRT('Hilfstabellen_Mat&amp;Bem'!f.Rd.3/'Hilfstabellen_Mat&amp;Bem'!$BD$30)</f>
        <v>0.69349546593936118</v>
      </c>
      <c r="DV266" s="553">
        <f>0.5*(1+'Hilfstabellen_Mat&amp;Bem'!$BD$31*(DU266-0.3)+DU266^2)</f>
        <v>0.7601427539361939</v>
      </c>
      <c r="DW266" s="550">
        <f t="shared" ref="DW266:DW329" si="280">MIN(1/(DV266+SQRT(DV266^2-DU266^2)),1)</f>
        <v>0.93335826227111518</v>
      </c>
      <c r="DY266" s="551">
        <f t="shared" ref="DY266:DY329" si="281">DS266^2*DW266</f>
        <v>94384.92091390425</v>
      </c>
      <c r="EC266" s="546">
        <f t="shared" ref="EC266:EC329" si="282">$C266</f>
        <v>318</v>
      </c>
      <c r="ED266" s="551">
        <f t="shared" ref="ED266:ED329" si="283">$EB$8*10^3/EC266*SQRT(12)</f>
        <v>44.662945352405011</v>
      </c>
      <c r="EE266" s="553">
        <f>ED266/PI()*SQRT('Hilfstabellen_Mat&amp;Bem'!f.Rd.3/'Hilfstabellen_Mat&amp;Bem'!$BD$30)</f>
        <v>0.71083285258784512</v>
      </c>
      <c r="EF266" s="553">
        <f>0.5*(1+'Hilfstabellen_Mat&amp;Bem'!$BD$31*(EE266-0.3)+EE266^2)</f>
        <v>0.77318331478847879</v>
      </c>
      <c r="EG266" s="550">
        <f t="shared" ref="EG266:EG329" si="284">MIN(1/(EF266+SQRT(EF266^2-EE266^2)),1)</f>
        <v>0.92818686218344026</v>
      </c>
      <c r="EI266" s="551">
        <f t="shared" ref="EI266:EI329" si="285">EC266^2*EG266</f>
        <v>93861.968251438215</v>
      </c>
      <c r="EM266" s="546">
        <f t="shared" ref="EM266:EM329" si="286">$C266</f>
        <v>318</v>
      </c>
      <c r="EN266" s="551">
        <f t="shared" ref="EN266:EN329" si="287">$EL$8*10^3/EM266*SQRT(12)</f>
        <v>45.752285482951471</v>
      </c>
      <c r="EO266" s="553">
        <f>EN266/PI()*SQRT('Hilfstabellen_Mat&amp;Bem'!f.Rd.3/'Hilfstabellen_Mat&amp;Bem'!$BD$30)</f>
        <v>0.72817023923632906</v>
      </c>
      <c r="EP266" s="553">
        <f>0.5*(1+'Hilfstabellen_Mat&amp;Bem'!$BD$31*(EO266-0.3)+EO266^2)</f>
        <v>0.78652446061656289</v>
      </c>
      <c r="EQ266" s="550">
        <f t="shared" ref="EQ266:EQ329" si="288">MIN(1/(EP266+SQRT(EP266^2-EO266^2)),1)</f>
        <v>0.92265643278932352</v>
      </c>
      <c r="ES266" s="551">
        <f t="shared" ref="ES266:ES329" si="289">EM266^2*EQ266</f>
        <v>93302.70910938755</v>
      </c>
    </row>
    <row r="267" spans="3:149">
      <c r="C267" s="546">
        <v>319</v>
      </c>
      <c r="D267" s="551">
        <f t="shared" si="244"/>
        <v>30.405907593685615</v>
      </c>
      <c r="E267" s="553">
        <f>$D267/PI()*SQRT('Hilfstabellen_Mat&amp;Bem'!f.Rd.3/'Hilfstabellen_Mat&amp;Bem'!$BD$30)</f>
        <v>0.48392504927304625</v>
      </c>
      <c r="F267" s="553">
        <f>0.5*(1+'Hilfstabellen_Mat&amp;Bem'!$BD$31*($E267-0.3)+$E267^2)</f>
        <v>0.6262879791206124</v>
      </c>
      <c r="G267" s="550">
        <f t="shared" si="245"/>
        <v>0.97670842870262609</v>
      </c>
      <c r="I267" s="551">
        <f>C267^2*G267</f>
        <v>99390.826413207935</v>
      </c>
      <c r="M267" s="546">
        <f t="shared" si="246"/>
        <v>319</v>
      </c>
      <c r="N267" s="551">
        <f t="shared" si="236"/>
        <v>31.491832864888679</v>
      </c>
      <c r="O267" s="553">
        <f>$N267/PI()*SQRT('Hilfstabellen_Mat&amp;Bem'!f.Rd.3/'Hilfstabellen_Mat&amp;Bem'!$BD$30)</f>
        <v>0.50120808674708373</v>
      </c>
      <c r="P267" s="553">
        <f>0.5*(1+'Hilfstabellen_Mat&amp;Bem'!$BD$31*($O267-0.3)+$O267^2)</f>
        <v>0.63566517744769035</v>
      </c>
      <c r="Q267" s="550">
        <f t="shared" si="237"/>
        <v>0.97405205093094493</v>
      </c>
      <c r="S267" s="551">
        <f>M267^2*Q267</f>
        <v>99120.510754783885</v>
      </c>
      <c r="W267" s="546">
        <f t="shared" si="247"/>
        <v>319</v>
      </c>
      <c r="X267" s="551">
        <f t="shared" si="238"/>
        <v>32.577758136091738</v>
      </c>
      <c r="Y267" s="553">
        <f>$X267/PI()*SQRT('Hilfstabellen_Mat&amp;Bem'!f.Rd.3/'Hilfstabellen_Mat&amp;Bem'!$BD$30)</f>
        <v>0.51849112422112109</v>
      </c>
      <c r="Z267" s="553">
        <f>0.5*(1+'Hilfstabellen_Mat&amp;Bem'!$BD$31*($Y267-0.3)+$Y267^2)</f>
        <v>0.645341079159097</v>
      </c>
      <c r="AA267" s="550">
        <f t="shared" si="239"/>
        <v>0.97127902769969876</v>
      </c>
      <c r="AC267" s="551">
        <f>W267^2*AA267</f>
        <v>98838.325137749052</v>
      </c>
      <c r="AG267" s="546">
        <f t="shared" si="248"/>
        <v>319</v>
      </c>
      <c r="AH267" s="551">
        <f t="shared" si="240"/>
        <v>33.663683407294791</v>
      </c>
      <c r="AI267" s="553">
        <f>$AH267/PI()*SQRT('Hilfstabellen_Mat&amp;Bem'!f.Rd.3/'Hilfstabellen_Mat&amp;Bem'!$BD$30)</f>
        <v>0.53577416169515846</v>
      </c>
      <c r="AJ267" s="553">
        <f>0.5*(1+'Hilfstabellen_Mat&amp;Bem'!$BD$31*($AI267-0.3)+$AI267^2)</f>
        <v>0.65531568425483289</v>
      </c>
      <c r="AK267" s="550">
        <f t="shared" si="241"/>
        <v>0.9683779584685005</v>
      </c>
      <c r="AM267" s="551">
        <f>AG267^2*AK267</f>
        <v>98543.109431713077</v>
      </c>
      <c r="AQ267" s="546">
        <f t="shared" si="249"/>
        <v>319</v>
      </c>
      <c r="AR267" s="551">
        <f t="shared" si="242"/>
        <v>34.74960867849785</v>
      </c>
      <c r="AS267" s="553">
        <f>$AR267/PI()*SQRT('Hilfstabellen_Mat&amp;Bem'!f.Rd.3/'Hilfstabellen_Mat&amp;Bem'!$BD$30)</f>
        <v>0.55305719916919582</v>
      </c>
      <c r="AT267" s="553">
        <f>0.5*(1+'Hilfstabellen_Mat&amp;Bem'!$BD$31*($AS267-0.3)+$AS267^2)</f>
        <v>0.66558899273489758</v>
      </c>
      <c r="AU267" s="550">
        <f t="shared" si="243"/>
        <v>0.96533634468421892</v>
      </c>
      <c r="AW267" s="551">
        <f>AQ267^2*AU267</f>
        <v>98233.591771410807</v>
      </c>
      <c r="BA267" s="546">
        <f t="shared" si="250"/>
        <v>319</v>
      </c>
      <c r="BB267" s="551">
        <f t="shared" si="251"/>
        <v>35.83553394970091</v>
      </c>
      <c r="BC267" s="553">
        <f>$BB267/PI()*SQRT('Hilfstabellen_Mat&amp;Bem'!f.Rd.3/'Hilfstabellen_Mat&amp;Bem'!$BD$30)</f>
        <v>0.57034023664323319</v>
      </c>
      <c r="BD267" s="553">
        <f>0.5*(1+'Hilfstabellen_Mat&amp;Bem'!$BD$31*($BC267-0.3)+$BC267^2)</f>
        <v>0.67616100459929129</v>
      </c>
      <c r="BE267" s="550">
        <f t="shared" si="252"/>
        <v>0.96214047152100968</v>
      </c>
      <c r="BG267" s="551">
        <f t="shared" si="253"/>
        <v>97908.376522449471</v>
      </c>
      <c r="BK267" s="546">
        <f t="shared" si="254"/>
        <v>319</v>
      </c>
      <c r="BL267" s="551">
        <f t="shared" si="255"/>
        <v>36.921459220903962</v>
      </c>
      <c r="BM267" s="553">
        <f>$BL267/PI()*SQRT('Hilfstabellen_Mat&amp;Bem'!f.Rd.3/'Hilfstabellen_Mat&amp;Bem'!$BD$30)</f>
        <v>0.58762327411727044</v>
      </c>
      <c r="BN267" s="553">
        <f>0.5*(1+'Hilfstabellen_Mat&amp;Bem'!$BD$31*($BM267-0.3)+$BM267^2)</f>
        <v>0.68703171984801392</v>
      </c>
      <c r="BO267" s="550">
        <f t="shared" si="256"/>
        <v>0.95877528182223648</v>
      </c>
      <c r="BQ267" s="551">
        <f t="shared" si="257"/>
        <v>97565.931453512603</v>
      </c>
      <c r="BU267" s="546">
        <f t="shared" si="258"/>
        <v>319</v>
      </c>
      <c r="BV267" s="551">
        <f t="shared" si="259"/>
        <v>38.007384492107029</v>
      </c>
      <c r="BW267" s="553">
        <f>$BV267/PI()*SQRT('Hilfstabellen_Mat&amp;Bem'!f.Rd.3/'Hilfstabellen_Mat&amp;Bem'!$BD$30)</f>
        <v>0.60490631159130803</v>
      </c>
      <c r="BX267" s="553">
        <f>0.5*(1+'Hilfstabellen_Mat&amp;Bem'!$BD$31*($BW267-0.3)+$BW267^2)</f>
        <v>0.6982011384810658</v>
      </c>
      <c r="BY267" s="550">
        <f t="shared" si="260"/>
        <v>0.95522424400065642</v>
      </c>
      <c r="CA267" s="551">
        <f t="shared" si="261"/>
        <v>97204.574293750804</v>
      </c>
      <c r="CE267" s="546">
        <f t="shared" si="262"/>
        <v>319</v>
      </c>
      <c r="CF267" s="551">
        <f t="shared" si="263"/>
        <v>39.093309763310081</v>
      </c>
      <c r="CG267" s="553">
        <f>CF267/PI()*SQRT('Hilfstabellen_Mat&amp;Bem'!f.Rd.3/'Hilfstabellen_Mat&amp;Bem'!$BD$30)</f>
        <v>0.62218934906534529</v>
      </c>
      <c r="CH267" s="553">
        <f>0.5*(1+'Hilfstabellen_Mat&amp;Bem'!$BD$31*(CG267-0.3)+CG267^2)</f>
        <v>0.70966926049844625</v>
      </c>
      <c r="CI267" s="550">
        <f t="shared" si="264"/>
        <v>0.95146921690864283</v>
      </c>
      <c r="CK267" s="551">
        <f t="shared" si="265"/>
        <v>96822.458981840406</v>
      </c>
      <c r="CO267" s="546">
        <f t="shared" si="266"/>
        <v>319</v>
      </c>
      <c r="CP267" s="551">
        <f t="shared" si="267"/>
        <v>40.179235034513141</v>
      </c>
      <c r="CQ267" s="553">
        <f>CP267/PI()*SQRT('Hilfstabellen_Mat&amp;Bem'!f.Rd.3/'Hilfstabellen_Mat&amp;Bem'!$BD$30)</f>
        <v>0.63947238653938276</v>
      </c>
      <c r="CR267" s="553">
        <f>0.5*(1+'Hilfstabellen_Mat&amp;Bem'!$BD$31*(CQ267-0.3)+CQ267^2)</f>
        <v>0.72143608590015607</v>
      </c>
      <c r="CS267" s="550">
        <f t="shared" si="268"/>
        <v>0.9474903164335533</v>
      </c>
      <c r="CU267" s="551">
        <f t="shared" si="269"/>
        <v>96417.562090594816</v>
      </c>
      <c r="CY267" s="546">
        <f t="shared" si="270"/>
        <v>319</v>
      </c>
      <c r="CZ267" s="551">
        <f t="shared" si="271"/>
        <v>41.265160305716201</v>
      </c>
      <c r="DA267" s="553">
        <f>CZ267/PI()*SQRT('Hilfstabellen_Mat&amp;Bem'!f.Rd.3/'Hilfstabellen_Mat&amp;Bem'!$BD$30)</f>
        <v>0.65675542401342013</v>
      </c>
      <c r="DB267" s="553">
        <f>0.5*(1+'Hilfstabellen_Mat&amp;Bem'!$BD$31*(DA267-0.3)+DA267^2)</f>
        <v>0.73350161468619457</v>
      </c>
      <c r="DC267" s="550">
        <f t="shared" si="272"/>
        <v>0.94326579093789464</v>
      </c>
      <c r="DE267" s="551">
        <f t="shared" si="273"/>
        <v>95987.6701516311</v>
      </c>
      <c r="DI267" s="546">
        <f t="shared" si="274"/>
        <v>319</v>
      </c>
      <c r="DJ267" s="551">
        <f t="shared" si="275"/>
        <v>42.351085576919253</v>
      </c>
      <c r="DK267" s="553">
        <f>DJ267/PI()*SQRT('Hilfstabellen_Mat&amp;Bem'!f.Rd.3/'Hilfstabellen_Mat&amp;Bem'!$BD$30)</f>
        <v>0.67403846148745739</v>
      </c>
      <c r="DL267" s="553">
        <f>0.5*(1+'Hilfstabellen_Mat&amp;Bem'!$BD$31*(DK267-0.3)+DK267^2)</f>
        <v>0.74586584685656221</v>
      </c>
      <c r="DM267" s="550">
        <f t="shared" si="276"/>
        <v>0.93877191579066122</v>
      </c>
      <c r="DO267" s="551">
        <f t="shared" si="277"/>
        <v>95530.368922773472</v>
      </c>
      <c r="DS267" s="546">
        <f t="shared" si="278"/>
        <v>319</v>
      </c>
      <c r="DT267" s="551">
        <f t="shared" si="279"/>
        <v>43.437010848122313</v>
      </c>
      <c r="DU267" s="553">
        <f>DT267/PI()*SQRT('Hilfstabellen_Mat&amp;Bem'!f.Rd.3/'Hilfstabellen_Mat&amp;Bem'!$BD$30)</f>
        <v>0.69132149896149475</v>
      </c>
      <c r="DV267" s="553">
        <f>0.5*(1+'Hilfstabellen_Mat&amp;Bem'!$BD$31*(DU267-0.3)+DU267^2)</f>
        <v>0.75852878241125876</v>
      </c>
      <c r="DW267" s="550">
        <f t="shared" si="280"/>
        <v>0.93398292125139204</v>
      </c>
      <c r="DY267" s="551">
        <f t="shared" si="281"/>
        <v>95043.036049462899</v>
      </c>
      <c r="EC267" s="546">
        <f t="shared" si="282"/>
        <v>319</v>
      </c>
      <c r="ED267" s="551">
        <f t="shared" si="283"/>
        <v>44.522936119325365</v>
      </c>
      <c r="EE267" s="553">
        <f>ED267/PI()*SQRT('Hilfstabellen_Mat&amp;Bem'!f.Rd.3/'Hilfstabellen_Mat&amp;Bem'!$BD$30)</f>
        <v>0.70860453643553212</v>
      </c>
      <c r="EF267" s="553">
        <f>0.5*(1+'Hilfstabellen_Mat&amp;Bem'!$BD$31*(EE267-0.3)+EE267^2)</f>
        <v>0.77149042135028434</v>
      </c>
      <c r="EG267" s="550">
        <f t="shared" si="284"/>
        <v>0.92887097293991938</v>
      </c>
      <c r="EI267" s="551">
        <f t="shared" si="285"/>
        <v>94522.839077339129</v>
      </c>
      <c r="EM267" s="546">
        <f t="shared" si="286"/>
        <v>319</v>
      </c>
      <c r="EN267" s="551">
        <f t="shared" si="287"/>
        <v>45.608861390528432</v>
      </c>
      <c r="EO267" s="553">
        <f>EN267/PI()*SQRT('Hilfstabellen_Mat&amp;Bem'!f.Rd.3/'Hilfstabellen_Mat&amp;Bem'!$BD$30)</f>
        <v>0.72588757390956959</v>
      </c>
      <c r="EP267" s="553">
        <f>0.5*(1+'Hilfstabellen_Mat&amp;Bem'!$BD$31*(EO267-0.3)+EO267^2)</f>
        <v>0.78475076367363883</v>
      </c>
      <c r="EQ267" s="550">
        <f t="shared" si="288"/>
        <v>0.92340622998919175</v>
      </c>
      <c r="ES267" s="551">
        <f t="shared" si="289"/>
        <v>93966.74136993014</v>
      </c>
    </row>
    <row r="268" spans="3:149">
      <c r="C268" s="546">
        <v>320</v>
      </c>
      <c r="D268" s="551">
        <f t="shared" si="244"/>
        <v>30.310889132455351</v>
      </c>
      <c r="E268" s="553">
        <f>$D268/PI()*SQRT('Hilfstabellen_Mat&amp;Bem'!f.Rd.3/'Hilfstabellen_Mat&amp;Bem'!$BD$30)</f>
        <v>0.48241278349406802</v>
      </c>
      <c r="F268" s="553">
        <f>0.5*(1+'Hilfstabellen_Mat&amp;Bem'!$BD$31*($E268-0.3)+$E268^2)</f>
        <v>0.62548168601395071</v>
      </c>
      <c r="G268" s="550">
        <f t="shared" si="245"/>
        <v>0.97693566367586526</v>
      </c>
      <c r="I268" s="551">
        <f>C268^2*G268</f>
        <v>100038.2119604086</v>
      </c>
      <c r="M268" s="546">
        <f t="shared" si="246"/>
        <v>320</v>
      </c>
      <c r="N268" s="551">
        <f t="shared" si="236"/>
        <v>31.393420887185901</v>
      </c>
      <c r="O268" s="553">
        <f>$N268/PI()*SQRT('Hilfstabellen_Mat&amp;Bem'!f.Rd.3/'Hilfstabellen_Mat&amp;Bem'!$BD$30)</f>
        <v>0.49964181147599906</v>
      </c>
      <c r="P268" s="553">
        <f>0.5*(1+'Hilfstabellen_Mat&amp;Bem'!$BD$31*($O268-0.3)+$O268^2)</f>
        <v>0.63480306046130885</v>
      </c>
      <c r="Q268" s="550">
        <f t="shared" si="237"/>
        <v>0.97429742893697635</v>
      </c>
      <c r="S268" s="551">
        <f>M268^2*Q268</f>
        <v>99768.056723146379</v>
      </c>
      <c r="W268" s="546">
        <f t="shared" si="247"/>
        <v>320</v>
      </c>
      <c r="X268" s="551">
        <f t="shared" si="238"/>
        <v>32.47595264191645</v>
      </c>
      <c r="Y268" s="553">
        <f>$X268/PI()*SQRT('Hilfstabellen_Mat&amp;Bem'!f.Rd.3/'Hilfstabellen_Mat&amp;Bem'!$BD$30)</f>
        <v>0.51687083945793011</v>
      </c>
      <c r="Z268" s="553">
        <f>0.5*(1+'Hilfstabellen_Mat&amp;Bem'!$BD$31*($Y268-0.3)+$Y268^2)</f>
        <v>0.6444212743138692</v>
      </c>
      <c r="AA268" s="550">
        <f t="shared" si="239"/>
        <v>0.97154425376167808</v>
      </c>
      <c r="AC268" s="551">
        <f>W268^2*AA268</f>
        <v>99486.131585195835</v>
      </c>
      <c r="AG268" s="546">
        <f t="shared" si="248"/>
        <v>320</v>
      </c>
      <c r="AH268" s="551">
        <f t="shared" si="240"/>
        <v>33.558484396646996</v>
      </c>
      <c r="AI268" s="553">
        <f>$AH268/PI()*SQRT('Hilfstabellen_Mat&amp;Bem'!f.Rd.3/'Hilfstabellen_Mat&amp;Bem'!$BD$30)</f>
        <v>0.53409986743986104</v>
      </c>
      <c r="AJ268" s="553">
        <f>0.5*(1+'Hilfstabellen_Mat&amp;Bem'!$BD$31*($AI268-0.3)+$AI268^2)</f>
        <v>0.65433632757163163</v>
      </c>
      <c r="AK268" s="550">
        <f t="shared" si="241"/>
        <v>0.96866493891721461</v>
      </c>
      <c r="AM268" s="551">
        <f>AG268^2*AK268</f>
        <v>99191.289745122776</v>
      </c>
      <c r="AQ268" s="546">
        <f t="shared" si="249"/>
        <v>320</v>
      </c>
      <c r="AR268" s="551">
        <f t="shared" si="242"/>
        <v>34.641016151377542</v>
      </c>
      <c r="AS268" s="553">
        <f>$AR268/PI()*SQRT('Hilfstabellen_Mat&amp;Bem'!f.Rd.3/'Hilfstabellen_Mat&amp;Bem'!$BD$30)</f>
        <v>0.55132889542179198</v>
      </c>
      <c r="AT268" s="553">
        <f>0.5*(1+'Hilfstabellen_Mat&amp;Bem'!$BD$31*($AS268-0.3)+$AS268^2)</f>
        <v>0.66454822023459625</v>
      </c>
      <c r="AU268" s="550">
        <f t="shared" si="243"/>
        <v>0.96564721134572118</v>
      </c>
      <c r="AW268" s="551">
        <f>AQ268^2*AU268</f>
        <v>98882.274441801856</v>
      </c>
      <c r="BA268" s="546">
        <f t="shared" si="250"/>
        <v>320</v>
      </c>
      <c r="BB268" s="551">
        <f t="shared" si="251"/>
        <v>35.723547906108095</v>
      </c>
      <c r="BC268" s="553">
        <f>$BB268/PI()*SQRT('Hilfstabellen_Mat&amp;Bem'!f.Rd.3/'Hilfstabellen_Mat&amp;Bem'!$BD$30)</f>
        <v>0.56855792340372313</v>
      </c>
      <c r="BD268" s="553">
        <f>0.5*(1+'Hilfstabellen_Mat&amp;Bem'!$BD$31*($BC268-0.3)+$BC268^2)</f>
        <v>0.67505695230276308</v>
      </c>
      <c r="BE268" s="550">
        <f t="shared" si="252"/>
        <v>0.96247760852734221</v>
      </c>
      <c r="BG268" s="551">
        <f t="shared" si="253"/>
        <v>98557.707113199838</v>
      </c>
      <c r="BK268" s="546">
        <f t="shared" si="254"/>
        <v>320</v>
      </c>
      <c r="BL268" s="551">
        <f t="shared" si="255"/>
        <v>36.806079660838641</v>
      </c>
      <c r="BM268" s="553">
        <f>$BL268/PI()*SQRT('Hilfstabellen_Mat&amp;Bem'!f.Rd.3/'Hilfstabellen_Mat&amp;Bem'!$BD$30)</f>
        <v>0.58578695138565406</v>
      </c>
      <c r="BN268" s="553">
        <f>0.5*(1+'Hilfstabellen_Mat&amp;Bem'!$BD$31*($BM268-0.3)+$BM268^2)</f>
        <v>0.68586252377613199</v>
      </c>
      <c r="BO268" s="550">
        <f t="shared" si="256"/>
        <v>0.95914135507306086</v>
      </c>
      <c r="BQ268" s="551">
        <f t="shared" si="257"/>
        <v>98216.074759481431</v>
      </c>
      <c r="BU268" s="546">
        <f t="shared" si="258"/>
        <v>320</v>
      </c>
      <c r="BV268" s="551">
        <f t="shared" si="259"/>
        <v>37.888611415569187</v>
      </c>
      <c r="BW268" s="553">
        <f>$BV268/PI()*SQRT('Hilfstabellen_Mat&amp;Bem'!f.Rd.3/'Hilfstabellen_Mat&amp;Bem'!$BD$30)</f>
        <v>0.603015979367585</v>
      </c>
      <c r="BX268" s="553">
        <f>0.5*(1+'Hilfstabellen_Mat&amp;Bem'!$BD$31*($BW268-0.3)+$BW268^2)</f>
        <v>0.69696493465470311</v>
      </c>
      <c r="BY268" s="550">
        <f t="shared" si="260"/>
        <v>0.95562223316540607</v>
      </c>
      <c r="CA268" s="551">
        <f t="shared" si="261"/>
        <v>97855.716676137585</v>
      </c>
      <c r="CE268" s="546">
        <f t="shared" si="262"/>
        <v>320</v>
      </c>
      <c r="CF268" s="551">
        <f t="shared" si="263"/>
        <v>38.97114317029974</v>
      </c>
      <c r="CG268" s="553">
        <f>CF268/PI()*SQRT('Hilfstabellen_Mat&amp;Bem'!f.Rd.3/'Hilfstabellen_Mat&amp;Bem'!$BD$30)</f>
        <v>0.62024500734951615</v>
      </c>
      <c r="CH268" s="553">
        <f>0.5*(1+'Hilfstabellen_Mat&amp;Bem'!$BD$31*(CG268-0.3)+CG268^2)</f>
        <v>0.70836418493847642</v>
      </c>
      <c r="CI268" s="550">
        <f t="shared" si="264"/>
        <v>0.95190244964821191</v>
      </c>
      <c r="CK268" s="551">
        <f t="shared" si="265"/>
        <v>97474.810843976898</v>
      </c>
      <c r="CO268" s="546">
        <f t="shared" si="266"/>
        <v>320</v>
      </c>
      <c r="CP268" s="551">
        <f t="shared" si="267"/>
        <v>40.053674925030286</v>
      </c>
      <c r="CQ268" s="553">
        <f>CP268/PI()*SQRT('Hilfstabellen_Mat&amp;Bem'!f.Rd.3/'Hilfstabellen_Mat&amp;Bem'!$BD$30)</f>
        <v>0.63747403533144709</v>
      </c>
      <c r="CR268" s="553">
        <f>0.5*(1+'Hilfstabellen_Mat&amp;Bem'!$BD$31*(CQ268-0.3)+CQ268^2)</f>
        <v>0.72006027462745181</v>
      </c>
      <c r="CS268" s="550">
        <f t="shared" si="268"/>
        <v>0.94796250421175787</v>
      </c>
      <c r="CU268" s="551">
        <f t="shared" si="269"/>
        <v>97071.360431284003</v>
      </c>
      <c r="CY268" s="546">
        <f t="shared" si="270"/>
        <v>320</v>
      </c>
      <c r="CZ268" s="551">
        <f t="shared" si="271"/>
        <v>41.136206679760832</v>
      </c>
      <c r="DA268" s="553">
        <f>CZ268/PI()*SQRT('Hilfstabellen_Mat&amp;Bem'!f.Rd.3/'Hilfstabellen_Mat&amp;Bem'!$BD$30)</f>
        <v>0.65470306331337813</v>
      </c>
      <c r="DB268" s="553">
        <f>0.5*(1+'Hilfstabellen_Mat&amp;Bem'!$BD$31*(DA268-0.3)+DA268^2)</f>
        <v>0.73205320372162941</v>
      </c>
      <c r="DC268" s="550">
        <f t="shared" si="272"/>
        <v>0.94378106535447004</v>
      </c>
      <c r="DE268" s="551">
        <f t="shared" si="273"/>
        <v>96643.181092297731</v>
      </c>
      <c r="DI268" s="546">
        <f t="shared" si="274"/>
        <v>320</v>
      </c>
      <c r="DJ268" s="551">
        <f t="shared" si="275"/>
        <v>42.218738434491378</v>
      </c>
      <c r="DK268" s="553">
        <f>DJ268/PI()*SQRT('Hilfstabellen_Mat&amp;Bem'!f.Rd.3/'Hilfstabellen_Mat&amp;Bem'!$BD$30)</f>
        <v>0.67193209129530906</v>
      </c>
      <c r="DL268" s="553">
        <f>0.5*(1+'Hilfstabellen_Mat&amp;Bem'!$BD$31*(DK268-0.3)+DK268^2)</f>
        <v>0.7443429722210092</v>
      </c>
      <c r="DM268" s="550">
        <f t="shared" si="276"/>
        <v>0.93933486376370545</v>
      </c>
      <c r="DO268" s="551">
        <f t="shared" si="277"/>
        <v>96187.890049403431</v>
      </c>
      <c r="DS268" s="546">
        <f t="shared" si="278"/>
        <v>320</v>
      </c>
      <c r="DT268" s="551">
        <f t="shared" si="279"/>
        <v>43.301270189221931</v>
      </c>
      <c r="DU268" s="553">
        <f>DT268/PI()*SQRT('Hilfstabellen_Mat&amp;Bem'!f.Rd.3/'Hilfstabellen_Mat&amp;Bem'!$BD$30)</f>
        <v>0.68916111927724011</v>
      </c>
      <c r="DV268" s="553">
        <f>0.5*(1+'Hilfstabellen_Mat&amp;Bem'!$BD$31*(DU268-0.3)+DU268^2)</f>
        <v>0.75692958012559108</v>
      </c>
      <c r="DW268" s="550">
        <f t="shared" si="280"/>
        <v>0.9345986165714808</v>
      </c>
      <c r="DY268" s="551">
        <f t="shared" si="281"/>
        <v>95702.898336919636</v>
      </c>
      <c r="EC268" s="546">
        <f t="shared" si="282"/>
        <v>320</v>
      </c>
      <c r="ED268" s="551">
        <f t="shared" si="283"/>
        <v>44.383801943952477</v>
      </c>
      <c r="EE268" s="553">
        <f>ED268/PI()*SQRT('Hilfstabellen_Mat&amp;Bem'!f.Rd.3/'Hilfstabellen_Mat&amp;Bem'!$BD$30)</f>
        <v>0.70639014725917104</v>
      </c>
      <c r="EF268" s="553">
        <f>0.5*(1+'Hilfstabellen_Mat&amp;Bem'!$BD$31*(EE268-0.3)+EE268^2)</f>
        <v>0.76981302743537516</v>
      </c>
      <c r="EG268" s="550">
        <f t="shared" si="284"/>
        <v>0.9295450006816609</v>
      </c>
      <c r="EI268" s="551">
        <f t="shared" si="285"/>
        <v>95185.40806980207</v>
      </c>
      <c r="EM268" s="546">
        <f t="shared" si="286"/>
        <v>320</v>
      </c>
      <c r="EN268" s="551">
        <f t="shared" si="287"/>
        <v>45.466333698683023</v>
      </c>
      <c r="EO268" s="553">
        <f>EN268/PI()*SQRT('Hilfstabellen_Mat&amp;Bem'!f.Rd.3/'Hilfstabellen_Mat&amp;Bem'!$BD$30)</f>
        <v>0.72361917524110209</v>
      </c>
      <c r="EP268" s="553">
        <f>0.5*(1+'Hilfstabellen_Mat&amp;Bem'!$BD$31*(EO268-0.3)+EO268^2)</f>
        <v>0.78299331415036144</v>
      </c>
      <c r="EQ268" s="550">
        <f t="shared" si="288"/>
        <v>0.92414469899142115</v>
      </c>
      <c r="ES268" s="551">
        <f t="shared" si="289"/>
        <v>94632.41717672153</v>
      </c>
    </row>
    <row r="269" spans="3:149">
      <c r="C269" s="546">
        <v>321</v>
      </c>
      <c r="D269" s="551">
        <f t="shared" si="244"/>
        <v>30.216462686559847</v>
      </c>
      <c r="E269" s="553">
        <f>$D269/PI()*SQRT('Hilfstabellen_Mat&amp;Bem'!f.Rd.3/'Hilfstabellen_Mat&amp;Bem'!$BD$30)</f>
        <v>0.48090993993178116</v>
      </c>
      <c r="F269" s="553">
        <f>0.5*(1+'Hilfstabellen_Mat&amp;Bem'!$BD$31*($E269-0.3)+$E269^2)</f>
        <v>0.62468268215918377</v>
      </c>
      <c r="G269" s="550">
        <f t="shared" si="245"/>
        <v>0.97716068420805746</v>
      </c>
      <c r="I269" s="551">
        <f t="shared" ref="I269:I332" si="290">C269^2*G269</f>
        <v>100687.61406148245</v>
      </c>
      <c r="M269" s="546">
        <f t="shared" si="246"/>
        <v>321</v>
      </c>
      <c r="N269" s="551">
        <f t="shared" si="236"/>
        <v>31.295622068222706</v>
      </c>
      <c r="O269" s="553">
        <f>$N269/PI()*SQRT('Hilfstabellen_Mat&amp;Bem'!f.Rd.3/'Hilfstabellen_Mat&amp;Bem'!$BD$30)</f>
        <v>0.49808529492934489</v>
      </c>
      <c r="P269" s="553">
        <f>0.5*(1+'Hilfstabellen_Mat&amp;Bem'!$BD$31*($O269-0.3)+$O269^2)</f>
        <v>0.63394874525889344</v>
      </c>
      <c r="Q269" s="550">
        <f t="shared" si="237"/>
        <v>0.97454033768330073</v>
      </c>
      <c r="S269" s="551">
        <f t="shared" ref="S269:S332" si="291">M269^2*Q269</f>
        <v>100417.61093522499</v>
      </c>
      <c r="W269" s="546">
        <f t="shared" si="247"/>
        <v>321</v>
      </c>
      <c r="X269" s="551">
        <f t="shared" si="238"/>
        <v>32.374781449885553</v>
      </c>
      <c r="Y269" s="553">
        <f>$X269/PI()*SQRT('Hilfstabellen_Mat&amp;Bem'!f.Rd.3/'Hilfstabellen_Mat&amp;Bem'!$BD$30)</f>
        <v>0.51526064992690845</v>
      </c>
      <c r="Z269" s="553">
        <f>0.5*(1+'Hilfstabellen_Mat&amp;Bem'!$BD$31*($Y269-0.3)+$Y269^2)</f>
        <v>0.64350980117789547</v>
      </c>
      <c r="AA269" s="550">
        <f t="shared" si="239"/>
        <v>0.97180672287462677</v>
      </c>
      <c r="AC269" s="551">
        <f t="shared" ref="AC269:AC332" si="292">W269^2*AA269</f>
        <v>100135.93653172442</v>
      </c>
      <c r="AG269" s="546">
        <f t="shared" si="248"/>
        <v>321</v>
      </c>
      <c r="AH269" s="551">
        <f t="shared" si="240"/>
        <v>33.453940831548408</v>
      </c>
      <c r="AI269" s="553">
        <f>$AH269/PI()*SQRT('Hilfstabellen_Mat&amp;Bem'!f.Rd.3/'Hilfstabellen_Mat&amp;Bem'!$BD$30)</f>
        <v>0.53243600492447207</v>
      </c>
      <c r="AJ269" s="553">
        <f>0.5*(1+'Hilfstabellen_Mat&amp;Bem'!$BD$31*($AI269-0.3)+$AI269^2)</f>
        <v>0.65336584991618984</v>
      </c>
      <c r="AK269" s="550">
        <f t="shared" si="241"/>
        <v>0.96894883728233061</v>
      </c>
      <c r="AM269" s="551">
        <f t="shared" ref="AM269:AM332" si="293">AG269^2*AK269</f>
        <v>99841.457142408632</v>
      </c>
      <c r="AQ269" s="546">
        <f t="shared" si="249"/>
        <v>321</v>
      </c>
      <c r="AR269" s="551">
        <f t="shared" si="242"/>
        <v>34.533100213211256</v>
      </c>
      <c r="AS269" s="553">
        <f>$AR269/PI()*SQRT('Hilfstabellen_Mat&amp;Bem'!f.Rd.3/'Hilfstabellen_Mat&amp;Bem'!$BD$30)</f>
        <v>0.54961135992203569</v>
      </c>
      <c r="AT269" s="553">
        <f>0.5*(1+'Hilfstabellen_Mat&amp;Bem'!$BD$31*($AS269-0.3)+$AS269^2)</f>
        <v>0.66351689147377646</v>
      </c>
      <c r="AU269" s="550">
        <f t="shared" si="243"/>
        <v>0.96595462815715261</v>
      </c>
      <c r="AW269" s="551">
        <f t="shared" ref="AW269:AW332" si="294">AQ269^2*AU269</f>
        <v>99532.930839941168</v>
      </c>
      <c r="BA269" s="546">
        <f t="shared" si="250"/>
        <v>321</v>
      </c>
      <c r="BB269" s="551">
        <f t="shared" si="251"/>
        <v>35.612259594874111</v>
      </c>
      <c r="BC269" s="553">
        <f>$BB269/PI()*SQRT('Hilfstabellen_Mat&amp;Bem'!f.Rd.3/'Hilfstabellen_Mat&amp;Bem'!$BD$30)</f>
        <v>0.56678671491959931</v>
      </c>
      <c r="BD269" s="553">
        <f>0.5*(1+'Hilfstabellen_Mat&amp;Bem'!$BD$31*($BC269-0.3)+$BC269^2)</f>
        <v>0.67396292585065554</v>
      </c>
      <c r="BE269" s="550">
        <f t="shared" si="252"/>
        <v>0.96281087943018395</v>
      </c>
      <c r="BG269" s="551">
        <f t="shared" si="253"/>
        <v>99208.995827365579</v>
      </c>
      <c r="BK269" s="546">
        <f t="shared" si="254"/>
        <v>321</v>
      </c>
      <c r="BL269" s="551">
        <f t="shared" si="255"/>
        <v>36.691418976536966</v>
      </c>
      <c r="BM269" s="553">
        <f>$BL269/PI()*SQRT('Hilfstabellen_Mat&amp;Bem'!f.Rd.3/'Hilfstabellen_Mat&amp;Bem'!$BD$30)</f>
        <v>0.58396206991716304</v>
      </c>
      <c r="BN269" s="553">
        <f>0.5*(1+'Hilfstabellen_Mat&amp;Bem'!$BD$31*($BM269-0.3)+$BM269^2)</f>
        <v>0.68470395304682696</v>
      </c>
      <c r="BO269" s="550">
        <f t="shared" si="256"/>
        <v>0.95950309090989672</v>
      </c>
      <c r="BQ269" s="551">
        <f t="shared" si="257"/>
        <v>98868.157990446663</v>
      </c>
      <c r="BU269" s="546">
        <f t="shared" si="258"/>
        <v>321</v>
      </c>
      <c r="BV269" s="551">
        <f t="shared" si="259"/>
        <v>37.770578358199813</v>
      </c>
      <c r="BW269" s="553">
        <f>$BV269/PI()*SQRT('Hilfstabellen_Mat&amp;Bem'!f.Rd.3/'Hilfstabellen_Mat&amp;Bem'!$BD$30)</f>
        <v>0.60113742491472655</v>
      </c>
      <c r="BX269" s="553">
        <f>0.5*(1+'Hilfstabellen_Mat&amp;Bem'!$BD$31*($BW269-0.3)+$BW269^2)</f>
        <v>0.69573997306229052</v>
      </c>
      <c r="BY269" s="550">
        <f t="shared" si="260"/>
        <v>0.956015351235461</v>
      </c>
      <c r="CA269" s="551">
        <f t="shared" si="261"/>
        <v>98508.777806653132</v>
      </c>
      <c r="CE269" s="546">
        <f t="shared" si="262"/>
        <v>321</v>
      </c>
      <c r="CF269" s="551">
        <f t="shared" si="263"/>
        <v>38.849737739862661</v>
      </c>
      <c r="CG269" s="553">
        <f>CF269/PI()*SQRT('Hilfstabellen_Mat&amp;Bem'!f.Rd.3/'Hilfstabellen_Mat&amp;Bem'!$BD$30)</f>
        <v>0.61831277991229017</v>
      </c>
      <c r="CH269" s="553">
        <f>0.5*(1+'Hilfstabellen_Mat&amp;Bem'!$BD$31*(CG269-0.3)+CG269^2)</f>
        <v>0.70707098589704664</v>
      </c>
      <c r="CI269" s="550">
        <f t="shared" si="264"/>
        <v>0.95233020719040995</v>
      </c>
      <c r="CK269" s="551">
        <f t="shared" si="265"/>
        <v>98129.056879107025</v>
      </c>
      <c r="CO269" s="546">
        <f t="shared" si="266"/>
        <v>321</v>
      </c>
      <c r="CP269" s="551">
        <f t="shared" si="267"/>
        <v>39.928897121525523</v>
      </c>
      <c r="CQ269" s="553">
        <f>CP269/PI()*SQRT('Hilfstabellen_Mat&amp;Bem'!f.Rd.3/'Hilfstabellen_Mat&amp;Bem'!$BD$30)</f>
        <v>0.6354881349098539</v>
      </c>
      <c r="CR269" s="553">
        <f>0.5*(1+'Hilfstabellen_Mat&amp;Bem'!$BD$31*(CQ269-0.3)+CQ269^2)</f>
        <v>0.71869699155109501</v>
      </c>
      <c r="CS269" s="550">
        <f t="shared" si="268"/>
        <v>0.9484285335332121</v>
      </c>
      <c r="CU269" s="551">
        <f t="shared" si="269"/>
        <v>97727.024523795713</v>
      </c>
      <c r="CY269" s="546">
        <f t="shared" si="270"/>
        <v>321</v>
      </c>
      <c r="CZ269" s="551">
        <f t="shared" si="271"/>
        <v>41.008056503188371</v>
      </c>
      <c r="DA269" s="553">
        <f>CZ269/PI()*SQRT('Hilfstabellen_Mat&amp;Bem'!f.Rd.3/'Hilfstabellen_Mat&amp;Bem'!$BD$30)</f>
        <v>0.6526634899074174</v>
      </c>
      <c r="DB269" s="553">
        <f>0.5*(1+'Hilfstabellen_Mat&amp;Bem'!$BD$31*(DA269-0.3)+DA269^2)</f>
        <v>0.73061799002443562</v>
      </c>
      <c r="DC269" s="550">
        <f t="shared" si="272"/>
        <v>0.94428940961360242</v>
      </c>
      <c r="DE269" s="551">
        <f t="shared" si="273"/>
        <v>97300.525055995211</v>
      </c>
      <c r="DI269" s="546">
        <f t="shared" si="274"/>
        <v>321</v>
      </c>
      <c r="DJ269" s="551">
        <f t="shared" si="275"/>
        <v>42.087215884851219</v>
      </c>
      <c r="DK269" s="553">
        <f>DJ269/PI()*SQRT('Hilfstabellen_Mat&amp;Bem'!f.Rd.3/'Hilfstabellen_Mat&amp;Bem'!$BD$30)</f>
        <v>0.66983884490498102</v>
      </c>
      <c r="DL269" s="553">
        <f>0.5*(1+'Hilfstabellen_Mat&amp;Bem'!$BD$31*(DK269-0.3)+DK269^2)</f>
        <v>0.74283398131706868</v>
      </c>
      <c r="DM269" s="550">
        <f t="shared" si="276"/>
        <v>0.93989001184795451</v>
      </c>
      <c r="DO269" s="551">
        <f t="shared" si="277"/>
        <v>96847.206710825078</v>
      </c>
      <c r="DS269" s="546">
        <f t="shared" si="278"/>
        <v>321</v>
      </c>
      <c r="DT269" s="551">
        <f t="shared" si="279"/>
        <v>43.166375266514073</v>
      </c>
      <c r="DU269" s="553">
        <f>DT269/PI()*SQRT('Hilfstabellen_Mat&amp;Bem'!f.Rd.3/'Hilfstabellen_Mat&amp;Bem'!$BD$30)</f>
        <v>0.68701419990254464</v>
      </c>
      <c r="DV269" s="553">
        <f>0.5*(1+'Hilfstabellen_Mat&amp;Bem'!$BD$31*(DU269-0.3)+DU269^2)</f>
        <v>0.75534496542899399</v>
      </c>
      <c r="DW269" s="550">
        <f t="shared" si="280"/>
        <v>0.93520553474790713</v>
      </c>
      <c r="DY269" s="551">
        <f t="shared" si="281"/>
        <v>96364.513505959098</v>
      </c>
      <c r="EC269" s="546">
        <f t="shared" si="282"/>
        <v>321</v>
      </c>
      <c r="ED269" s="551">
        <f t="shared" si="283"/>
        <v>44.245534648176921</v>
      </c>
      <c r="EE269" s="553">
        <f>ED269/PI()*SQRT('Hilfstabellen_Mat&amp;Bem'!f.Rd.3/'Hilfstabellen_Mat&amp;Bem'!$BD$30)</f>
        <v>0.70418955490010815</v>
      </c>
      <c r="EF269" s="553">
        <f>0.5*(1+'Hilfstabellen_Mat&amp;Bem'!$BD$31*(EE269-0.3)+EE269^2)</f>
        <v>0.76815094236021153</v>
      </c>
      <c r="EG269" s="550">
        <f t="shared" si="284"/>
        <v>0.9302091577151862</v>
      </c>
      <c r="EI269" s="551">
        <f t="shared" si="285"/>
        <v>95849.6818201305</v>
      </c>
      <c r="EM269" s="546">
        <f t="shared" si="286"/>
        <v>321</v>
      </c>
      <c r="EN269" s="551">
        <f t="shared" si="287"/>
        <v>45.324694029839776</v>
      </c>
      <c r="EO269" s="553">
        <f>EN269/PI()*SQRT('Hilfstabellen_Mat&amp;Bem'!f.Rd.3/'Hilfstabellen_Mat&amp;Bem'!$BD$30)</f>
        <v>0.72136490989767177</v>
      </c>
      <c r="EP269" s="553">
        <f>0.5*(1+'Hilfstabellen_Mat&amp;Bem'!$BD$31*(EO269-0.3)+EO269^2)</f>
        <v>0.78125191211072165</v>
      </c>
      <c r="EQ269" s="550">
        <f t="shared" si="288"/>
        <v>0.92487208020936962</v>
      </c>
      <c r="ES269" s="551">
        <f t="shared" si="289"/>
        <v>95299.744016853656</v>
      </c>
    </row>
    <row r="270" spans="3:149">
      <c r="C270" s="546">
        <v>322</v>
      </c>
      <c r="D270" s="551">
        <f t="shared" si="244"/>
        <v>30.122622740328296</v>
      </c>
      <c r="E270" s="553">
        <f>$D270/PI()*SQRT('Hilfstabellen_Mat&amp;Bem'!f.Rd.3/'Hilfstabellen_Mat&amp;Bem'!$BD$30)</f>
        <v>0.47941643080155827</v>
      </c>
      <c r="F270" s="553">
        <f>0.5*(1+'Hilfstabellen_Mat&amp;Bem'!$BD$31*($E270-0.3)+$E270^2)</f>
        <v>0.62389087860133052</v>
      </c>
      <c r="G270" s="550">
        <f t="shared" si="245"/>
        <v>0.97738352475089252</v>
      </c>
      <c r="I270" s="551">
        <f t="shared" si="290"/>
        <v>101339.03338027155</v>
      </c>
      <c r="M270" s="546">
        <f t="shared" si="246"/>
        <v>322</v>
      </c>
      <c r="N270" s="551">
        <f t="shared" si="236"/>
        <v>31.198430695340022</v>
      </c>
      <c r="O270" s="553">
        <f>$N270/PI()*SQRT('Hilfstabellen_Mat&amp;Bem'!f.Rd.3/'Hilfstabellen_Mat&amp;Bem'!$BD$30)</f>
        <v>0.49653844618732823</v>
      </c>
      <c r="P270" s="553">
        <f>0.5*(1+'Hilfstabellen_Mat&amp;Bem'!$BD$31*($O270-0.3)+$O270^2)</f>
        <v>0.63310213658042958</v>
      </c>
      <c r="Q270" s="550">
        <f t="shared" si="237"/>
        <v>0.97478081668782113</v>
      </c>
      <c r="S270" s="551">
        <f t="shared" si="291"/>
        <v>101069.17419746004</v>
      </c>
      <c r="W270" s="546">
        <f t="shared" si="247"/>
        <v>322</v>
      </c>
      <c r="X270" s="551">
        <f t="shared" si="238"/>
        <v>32.274238650351748</v>
      </c>
      <c r="Y270" s="553">
        <f>$X270/PI()*SQRT('Hilfstabellen_Mat&amp;Bem'!f.Rd.3/'Hilfstabellen_Mat&amp;Bem'!$BD$30)</f>
        <v>0.51366046157309819</v>
      </c>
      <c r="Z270" s="553">
        <f>0.5*(1+'Hilfstabellen_Mat&amp;Bem'!$BD$31*($Y270-0.3)+$Y270^2)</f>
        <v>0.64260655797039901</v>
      </c>
      <c r="AA270" s="550">
        <f t="shared" si="239"/>
        <v>0.97206648041104704</v>
      </c>
      <c r="AC270" s="551">
        <f t="shared" si="292"/>
        <v>100787.740954939</v>
      </c>
      <c r="AG270" s="546">
        <f t="shared" si="248"/>
        <v>322</v>
      </c>
      <c r="AH270" s="551">
        <f t="shared" si="240"/>
        <v>33.350046605363474</v>
      </c>
      <c r="AI270" s="553">
        <f>$AH270/PI()*SQRT('Hilfstabellen_Mat&amp;Bem'!f.Rd.3/'Hilfstabellen_Mat&amp;Bem'!$BD$30)</f>
        <v>0.53078247695886815</v>
      </c>
      <c r="AJ270" s="553">
        <f>0.5*(1+'Hilfstabellen_Mat&amp;Bem'!$BD$31*($AI270-0.3)+$AI270^2)</f>
        <v>0.65240414277123915</v>
      </c>
      <c r="AK270" s="550">
        <f t="shared" si="241"/>
        <v>0.96922970570264089</v>
      </c>
      <c r="AM270" s="551">
        <f t="shared" si="293"/>
        <v>100493.61280607262</v>
      </c>
      <c r="AQ270" s="546">
        <f t="shared" si="249"/>
        <v>322</v>
      </c>
      <c r="AR270" s="551">
        <f t="shared" si="242"/>
        <v>34.425854560375193</v>
      </c>
      <c r="AS270" s="553">
        <f>$AR270/PI()*SQRT('Hilfstabellen_Mat&amp;Bem'!f.Rd.3/'Hilfstabellen_Mat&amp;Bem'!$BD$30)</f>
        <v>0.54790449234463801</v>
      </c>
      <c r="AT270" s="553">
        <f>0.5*(1+'Hilfstabellen_Mat&amp;Bem'!$BD$31*($AS270-0.3)+$AS270^2)</f>
        <v>0.66249489098294956</v>
      </c>
      <c r="AU270" s="550">
        <f t="shared" si="243"/>
        <v>0.96625865507535036</v>
      </c>
      <c r="AW270" s="551">
        <f t="shared" si="294"/>
        <v>100185.56239283262</v>
      </c>
      <c r="BA270" s="546">
        <f t="shared" si="250"/>
        <v>322</v>
      </c>
      <c r="BB270" s="551">
        <f t="shared" si="251"/>
        <v>35.501662515386926</v>
      </c>
      <c r="BC270" s="553">
        <f>$BB270/PI()*SQRT('Hilfstabellen_Mat&amp;Bem'!f.Rd.3/'Hilfstabellen_Mat&amp;Bem'!$BD$30)</f>
        <v>0.56502650773040808</v>
      </c>
      <c r="BD270" s="553">
        <f>0.5*(1+'Hilfstabellen_Mat&amp;Bem'!$BD$31*($BC270-0.3)+$BC270^2)</f>
        <v>0.67287880260553079</v>
      </c>
      <c r="BE270" s="550">
        <f t="shared" si="252"/>
        <v>0.96314035321366553</v>
      </c>
      <c r="BG270" s="551">
        <f t="shared" si="253"/>
        <v>99862.244382605699</v>
      </c>
      <c r="BK270" s="546">
        <f t="shared" si="254"/>
        <v>322</v>
      </c>
      <c r="BL270" s="551">
        <f t="shared" si="255"/>
        <v>36.577470470398652</v>
      </c>
      <c r="BM270" s="553">
        <f>$BL270/PI()*SQRT('Hilfstabellen_Mat&amp;Bem'!f.Rd.3/'Hilfstabellen_Mat&amp;Bem'!$BD$30)</f>
        <v>0.58214852311617793</v>
      </c>
      <c r="BN270" s="553">
        <f>0.5*(1+'Hilfstabellen_Mat&amp;Bem'!$BD$31*($BM270-0.3)+$BM270^2)</f>
        <v>0.6835558776389824</v>
      </c>
      <c r="BO270" s="550">
        <f t="shared" si="256"/>
        <v>0.95986056872807157</v>
      </c>
      <c r="BQ270" s="551">
        <f t="shared" si="257"/>
        <v>99522.18320800137</v>
      </c>
      <c r="BU270" s="546">
        <f t="shared" si="258"/>
        <v>322</v>
      </c>
      <c r="BV270" s="551">
        <f t="shared" si="259"/>
        <v>37.653278425410377</v>
      </c>
      <c r="BW270" s="553">
        <f>$BV270/PI()*SQRT('Hilfstabellen_Mat&amp;Bem'!f.Rd.3/'Hilfstabellen_Mat&amp;Bem'!$BD$30)</f>
        <v>0.599270538501948</v>
      </c>
      <c r="BX270" s="553">
        <f>0.5*(1+'Hilfstabellen_Mat&amp;Bem'!$BD$31*($BW270-0.3)+$BW270^2)</f>
        <v>0.69452611608330472</v>
      </c>
      <c r="BY270" s="550">
        <f t="shared" si="260"/>
        <v>0.95640368959127675</v>
      </c>
      <c r="CA270" s="551">
        <f t="shared" si="261"/>
        <v>99163.760151581941</v>
      </c>
      <c r="CE270" s="546">
        <f t="shared" si="262"/>
        <v>322</v>
      </c>
      <c r="CF270" s="551">
        <f t="shared" si="263"/>
        <v>38.729086380422103</v>
      </c>
      <c r="CG270" s="553">
        <f>CF270/PI()*SQRT('Hilfstabellen_Mat&amp;Bem'!f.Rd.3/'Hilfstabellen_Mat&amp;Bem'!$BD$30)</f>
        <v>0.61639255388771796</v>
      </c>
      <c r="CH270" s="553">
        <f>0.5*(1+'Hilfstabellen_Mat&amp;Bem'!$BD$31*(CG270-0.3)+CG270^2)</f>
        <v>0.70578951793849765</v>
      </c>
      <c r="CI270" s="550">
        <f t="shared" si="264"/>
        <v>0.95275259467596629</v>
      </c>
      <c r="CK270" s="551">
        <f t="shared" si="265"/>
        <v>98785.200026382896</v>
      </c>
      <c r="CO270" s="546">
        <f t="shared" si="266"/>
        <v>322</v>
      </c>
      <c r="CP270" s="551">
        <f t="shared" si="267"/>
        <v>39.804894335433822</v>
      </c>
      <c r="CQ270" s="553">
        <f>CP270/PI()*SQRT('Hilfstabellen_Mat&amp;Bem'!f.Rd.3/'Hilfstabellen_Mat&amp;Bem'!$BD$30)</f>
        <v>0.63351456927348782</v>
      </c>
      <c r="CR270" s="553">
        <f>0.5*(1+'Hilfstabellen_Mat&amp;Bem'!$BD$31*(CQ270-0.3)+CQ270^2)</f>
        <v>0.71734608320456084</v>
      </c>
      <c r="CS270" s="550">
        <f t="shared" si="268"/>
        <v>0.94888852527875145</v>
      </c>
      <c r="CU270" s="551">
        <f t="shared" si="269"/>
        <v>98384.557855002058</v>
      </c>
      <c r="CY270" s="546">
        <f t="shared" si="270"/>
        <v>322</v>
      </c>
      <c r="CZ270" s="551">
        <f t="shared" si="271"/>
        <v>40.880702290445548</v>
      </c>
      <c r="DA270" s="553">
        <f>CZ270/PI()*SQRT('Hilfstabellen_Mat&amp;Bem'!f.Rd.3/'Hilfstabellen_Mat&amp;Bem'!$BD$30)</f>
        <v>0.65063658465925778</v>
      </c>
      <c r="DB270" s="553">
        <f>0.5*(1+'Hilfstabellen_Mat&amp;Bem'!$BD$31*(DA270-0.3)+DA270^2)</f>
        <v>0.72919581188149474</v>
      </c>
      <c r="DC270" s="550">
        <f t="shared" si="272"/>
        <v>0.94479096251142181</v>
      </c>
      <c r="DE270" s="551">
        <f t="shared" si="273"/>
        <v>97959.706157034263</v>
      </c>
      <c r="DI270" s="546">
        <f t="shared" si="274"/>
        <v>322</v>
      </c>
      <c r="DJ270" s="551">
        <f t="shared" si="275"/>
        <v>41.956510245457274</v>
      </c>
      <c r="DK270" s="553">
        <f>DJ270/PI()*SQRT('Hilfstabellen_Mat&amp;Bem'!f.Rd.3/'Hilfstabellen_Mat&amp;Bem'!$BD$30)</f>
        <v>0.66775860004502763</v>
      </c>
      <c r="DL270" s="553">
        <f>0.5*(1+'Hilfstabellen_Mat&amp;Bem'!$BD$31*(DK270-0.3)+DK270^2)</f>
        <v>0.74133870396929891</v>
      </c>
      <c r="DM270" s="550">
        <f t="shared" si="276"/>
        <v>0.94043751909623752</v>
      </c>
      <c r="DO270" s="551">
        <f t="shared" si="277"/>
        <v>97508.32372997429</v>
      </c>
      <c r="DS270" s="546">
        <f t="shared" si="278"/>
        <v>322</v>
      </c>
      <c r="DT270" s="551">
        <f t="shared" si="279"/>
        <v>43.032318200469</v>
      </c>
      <c r="DU270" s="553">
        <f>DT270/PI()*SQRT('Hilfstabellen_Mat&amp;Bem'!f.Rd.3/'Hilfstabellen_Mat&amp;Bem'!$BD$30)</f>
        <v>0.68488061543079759</v>
      </c>
      <c r="DV270" s="553">
        <f>0.5*(1+'Hilfstabellen_Mat&amp;Bem'!$BD$31*(DU270-0.3)+DU270^2)</f>
        <v>0.75377475946797401</v>
      </c>
      <c r="DW270" s="550">
        <f t="shared" si="280"/>
        <v>0.93580385753957696</v>
      </c>
      <c r="DY270" s="551">
        <f t="shared" si="281"/>
        <v>97027.887165133492</v>
      </c>
      <c r="EC270" s="546">
        <f t="shared" si="282"/>
        <v>322</v>
      </c>
      <c r="ED270" s="551">
        <f t="shared" si="283"/>
        <v>44.108126155480726</v>
      </c>
      <c r="EE270" s="553">
        <f>ED270/PI()*SQRT('Hilfstabellen_Mat&amp;Bem'!f.Rd.3/'Hilfstabellen_Mat&amp;Bem'!$BD$30)</f>
        <v>0.70200263081656766</v>
      </c>
      <c r="EF270" s="553">
        <f>0.5*(1+'Hilfstabellen_Mat&amp;Bem'!$BD$31*(EE270-0.3)+EE270^2)</f>
        <v>0.76650397837751938</v>
      </c>
      <c r="EG270" s="550">
        <f t="shared" si="284"/>
        <v>0.93086365096385415</v>
      </c>
      <c r="EI270" s="551">
        <f t="shared" si="285"/>
        <v>96515.666786536254</v>
      </c>
      <c r="EM270" s="546">
        <f t="shared" si="286"/>
        <v>322</v>
      </c>
      <c r="EN270" s="551">
        <f t="shared" si="287"/>
        <v>45.183934110492444</v>
      </c>
      <c r="EO270" s="553">
        <f>EN270/PI()*SQRT('Hilfstabellen_Mat&amp;Bem'!f.Rd.3/'Hilfstabellen_Mat&amp;Bem'!$BD$30)</f>
        <v>0.7191246462023374</v>
      </c>
      <c r="EP270" s="553">
        <f>0.5*(1+'Hilfstabellen_Mat&amp;Bem'!$BD$31*(EO270-0.3)+EO270^2)</f>
        <v>0.77952636069793535</v>
      </c>
      <c r="EQ270" s="550">
        <f t="shared" si="288"/>
        <v>0.92558860804488929</v>
      </c>
      <c r="ES270" s="551">
        <f t="shared" si="289"/>
        <v>95968.729236526298</v>
      </c>
    </row>
    <row r="271" spans="3:149">
      <c r="C271" s="546">
        <v>323</v>
      </c>
      <c r="D271" s="551">
        <f t="shared" si="244"/>
        <v>30.029363846395395</v>
      </c>
      <c r="E271" s="553">
        <f>$D271/PI()*SQRT('Hilfstabellen_Mat&amp;Bem'!f.Rd.3/'Hilfstabellen_Mat&amp;Bem'!$BD$30)</f>
        <v>0.47793216940588784</v>
      </c>
      <c r="F271" s="553">
        <f>0.5*(1+'Hilfstabellen_Mat&amp;Bem'!$BD$31*($E271-0.3)+$E271^2)</f>
        <v>0.62310618774680349</v>
      </c>
      <c r="G271" s="550">
        <f t="shared" si="245"/>
        <v>0.97760421903179395</v>
      </c>
      <c r="I271" s="551">
        <f t="shared" si="290"/>
        <v>101992.47056736803</v>
      </c>
      <c r="M271" s="546">
        <f t="shared" si="246"/>
        <v>323</v>
      </c>
      <c r="N271" s="551">
        <f t="shared" si="236"/>
        <v>31.101841126623803</v>
      </c>
      <c r="O271" s="553">
        <f>$N271/PI()*SQRT('Hilfstabellen_Mat&amp;Bem'!f.Rd.3/'Hilfstabellen_Mat&amp;Bem'!$BD$30)</f>
        <v>0.49500117545609817</v>
      </c>
      <c r="P271" s="553">
        <f>0.5*(1+'Hilfstabellen_Mat&amp;Bem'!$BD$31*($O271-0.3)+$O271^2)</f>
        <v>0.63226314062426436</v>
      </c>
      <c r="Q271" s="550">
        <f t="shared" si="237"/>
        <v>0.97501890461773399</v>
      </c>
      <c r="S271" s="551">
        <f t="shared" si="291"/>
        <v>101722.74729986356</v>
      </c>
      <c r="W271" s="546">
        <f t="shared" si="247"/>
        <v>323</v>
      </c>
      <c r="X271" s="551">
        <f t="shared" si="238"/>
        <v>32.174318406852208</v>
      </c>
      <c r="Y271" s="553">
        <f>$X271/PI()*SQRT('Hilfstabellen_Mat&amp;Bem'!f.Rd.3/'Hilfstabellen_Mat&amp;Bem'!$BD$30)</f>
        <v>0.51207018150630845</v>
      </c>
      <c r="Z271" s="553">
        <f>0.5*(1+'Hilfstabellen_Mat&amp;Bem'!$BD$31*($Y271-0.3)+$Y271^2)</f>
        <v>0.6417114444692672</v>
      </c>
      <c r="AA271" s="550">
        <f t="shared" si="239"/>
        <v>0.97232357074392195</v>
      </c>
      <c r="AC271" s="551">
        <f t="shared" si="292"/>
        <v>101441.54581214263</v>
      </c>
      <c r="AG271" s="546">
        <f t="shared" si="248"/>
        <v>323</v>
      </c>
      <c r="AH271" s="551">
        <f t="shared" si="240"/>
        <v>33.24679568708062</v>
      </c>
      <c r="AI271" s="553">
        <f>$AH271/PI()*SQRT('Hilfstabellen_Mat&amp;Bem'!f.Rd.3/'Hilfstabellen_Mat&amp;Bem'!$BD$30)</f>
        <v>0.52913918755651879</v>
      </c>
      <c r="AJ271" s="553">
        <f>0.5*(1+'Hilfstabellen_Mat&amp;Bem'!$BD$31*($AI271-0.3)+$AI271^2)</f>
        <v>0.65145109928181233</v>
      </c>
      <c r="AK271" s="550">
        <f t="shared" si="241"/>
        <v>0.96950759514249529</v>
      </c>
      <c r="AM271" s="551">
        <f t="shared" si="293"/>
        <v>101147.7578936214</v>
      </c>
      <c r="AQ271" s="546">
        <f t="shared" si="249"/>
        <v>323</v>
      </c>
      <c r="AR271" s="551">
        <f t="shared" si="242"/>
        <v>34.319272967309026</v>
      </c>
      <c r="AS271" s="553">
        <f>$AR271/PI()*SQRT('Hilfstabellen_Mat&amp;Bem'!f.Rd.3/'Hilfstabellen_Mat&amp;Bem'!$BD$30)</f>
        <v>0.54620819360672901</v>
      </c>
      <c r="AT271" s="553">
        <f>0.5*(1+'Hilfstabellen_Mat&amp;Bem'!$BD$31*($AS271-0.3)+$AS271^2)</f>
        <v>0.66148210506189942</v>
      </c>
      <c r="AU271" s="550">
        <f t="shared" si="243"/>
        <v>0.96655935067748044</v>
      </c>
      <c r="AW271" s="551">
        <f t="shared" si="294"/>
        <v>100840.17049683086</v>
      </c>
      <c r="BA271" s="546">
        <f t="shared" si="250"/>
        <v>323</v>
      </c>
      <c r="BB271" s="551">
        <f t="shared" si="251"/>
        <v>35.391750247537431</v>
      </c>
      <c r="BC271" s="553">
        <f>$BB271/PI()*SQRT('Hilfstabellen_Mat&amp;Bem'!f.Rd.3/'Hilfstabellen_Mat&amp;Bem'!$BD$30)</f>
        <v>0.56327719965693923</v>
      </c>
      <c r="BD271" s="553">
        <f>0.5*(1+'Hilfstabellen_Mat&amp;Bem'!$BD$31*($BC271-0.3)+$BC271^2)</f>
        <v>0.67180446180952869</v>
      </c>
      <c r="BE271" s="550">
        <f t="shared" si="252"/>
        <v>0.96346609724211296</v>
      </c>
      <c r="BG271" s="551">
        <f t="shared" si="253"/>
        <v>100517.4544591724</v>
      </c>
      <c r="BK271" s="546">
        <f t="shared" si="254"/>
        <v>323</v>
      </c>
      <c r="BL271" s="551">
        <f t="shared" si="255"/>
        <v>36.464227527765836</v>
      </c>
      <c r="BM271" s="553">
        <f>$BL271/PI()*SQRT('Hilfstabellen_Mat&amp;Bem'!f.Rd.3/'Hilfstabellen_Mat&amp;Bem'!$BD$30)</f>
        <v>0.58034620570714945</v>
      </c>
      <c r="BN271" s="553">
        <f>0.5*(1+'Hilfstabellen_Mat&amp;Bem'!$BD$31*($BM271-0.3)+$BM271^2)</f>
        <v>0.68241816952470002</v>
      </c>
      <c r="BO271" s="550">
        <f t="shared" si="256"/>
        <v>0.96021386602318637</v>
      </c>
      <c r="BQ271" s="551">
        <f t="shared" si="257"/>
        <v>100178.15242833301</v>
      </c>
      <c r="BU271" s="546">
        <f t="shared" si="258"/>
        <v>323</v>
      </c>
      <c r="BV271" s="551">
        <f t="shared" si="259"/>
        <v>37.536704807994248</v>
      </c>
      <c r="BW271" s="553">
        <f>$BV271/PI()*SQRT('Hilfstabellen_Mat&amp;Bem'!f.Rd.3/'Hilfstabellen_Mat&amp;Bem'!$BD$30)</f>
        <v>0.5974152117573599</v>
      </c>
      <c r="BX271" s="553">
        <f>0.5*(1+'Hilfstabellen_Mat&amp;Bem'!$BD$31*($BW271-0.3)+$BW271^2)</f>
        <v>0.69332322820741354</v>
      </c>
      <c r="BY271" s="550">
        <f t="shared" si="260"/>
        <v>0.95678733738892463</v>
      </c>
      <c r="CA271" s="551">
        <f t="shared" si="261"/>
        <v>99820.666122449111</v>
      </c>
      <c r="CE271" s="546">
        <f t="shared" si="262"/>
        <v>323</v>
      </c>
      <c r="CF271" s="551">
        <f t="shared" si="263"/>
        <v>38.609182088222653</v>
      </c>
      <c r="CG271" s="553">
        <f>CF271/PI()*SQRT('Hilfstabellen_Mat&amp;Bem'!f.Rd.3/'Hilfstabellen_Mat&amp;Bem'!$BD$30)</f>
        <v>0.61448421780757023</v>
      </c>
      <c r="CH271" s="553">
        <f>0.5*(1+'Hilfstabellen_Mat&amp;Bem'!$BD$31*(CG271-0.3)+CG271^2)</f>
        <v>0.70451963785766925</v>
      </c>
      <c r="CI271" s="550">
        <f t="shared" si="264"/>
        <v>0.95316971464722366</v>
      </c>
      <c r="CK271" s="551">
        <f t="shared" si="265"/>
        <v>99443.243159430203</v>
      </c>
      <c r="CO271" s="546">
        <f t="shared" si="266"/>
        <v>323</v>
      </c>
      <c r="CP271" s="551">
        <f t="shared" si="267"/>
        <v>39.681659368451058</v>
      </c>
      <c r="CQ271" s="553">
        <f>CP271/PI()*SQRT('Hilfstabellen_Mat&amp;Bem'!f.Rd.3/'Hilfstabellen_Mat&amp;Bem'!$BD$30)</f>
        <v>0.63155322385778045</v>
      </c>
      <c r="CR271" s="553">
        <f>0.5*(1+'Hilfstabellen_Mat&amp;Bem'!$BD$31*(CQ271-0.3)+CQ271^2)</f>
        <v>0.71600739847546691</v>
      </c>
      <c r="CS271" s="550">
        <f t="shared" si="268"/>
        <v>0.94934259730383219</v>
      </c>
      <c r="CU271" s="551">
        <f t="shared" si="269"/>
        <v>99043.963834111506</v>
      </c>
      <c r="CY271" s="546">
        <f t="shared" si="270"/>
        <v>323</v>
      </c>
      <c r="CZ271" s="551">
        <f t="shared" si="271"/>
        <v>40.754136648679463</v>
      </c>
      <c r="DA271" s="553">
        <f>CZ271/PI()*SQRT('Hilfstabellen_Mat&amp;Bem'!f.Rd.3/'Hilfstabellen_Mat&amp;Bem'!$BD$30)</f>
        <v>0.64862222990799068</v>
      </c>
      <c r="DB271" s="553">
        <f>0.5*(1+'Hilfstabellen_Mat&amp;Bem'!$BD$31*(DA271-0.3)+DA271^2)</f>
        <v>0.72778651006080675</v>
      </c>
      <c r="DC271" s="550">
        <f t="shared" si="272"/>
        <v>0.94528585933696407</v>
      </c>
      <c r="DE271" s="551">
        <f t="shared" si="273"/>
        <v>98620.728418766128</v>
      </c>
      <c r="DI271" s="546">
        <f t="shared" si="274"/>
        <v>323</v>
      </c>
      <c r="DJ271" s="551">
        <f t="shared" si="275"/>
        <v>41.826613928907875</v>
      </c>
      <c r="DK271" s="553">
        <f>DJ271/PI()*SQRT('Hilfstabellen_Mat&amp;Bem'!f.Rd.3/'Hilfstabellen_Mat&amp;Bem'!$BD$30)</f>
        <v>0.66569123595820101</v>
      </c>
      <c r="DL271" s="553">
        <f>0.5*(1+'Hilfstabellen_Mat&amp;Bem'!$BD$31*(DK271-0.3)+DK271^2)</f>
        <v>0.73985697261368866</v>
      </c>
      <c r="DM271" s="550">
        <f t="shared" si="276"/>
        <v>0.94097754051940175</v>
      </c>
      <c r="DO271" s="551">
        <f t="shared" si="277"/>
        <v>98171.245824848666</v>
      </c>
      <c r="DS271" s="546">
        <f t="shared" si="278"/>
        <v>323</v>
      </c>
      <c r="DT271" s="551">
        <f t="shared" si="279"/>
        <v>42.89909120913628</v>
      </c>
      <c r="DU271" s="553">
        <f>DT271/PI()*SQRT('Hilfstabellen_Mat&amp;Bem'!f.Rd.3/'Hilfstabellen_Mat&amp;Bem'!$BD$30)</f>
        <v>0.68276024200841123</v>
      </c>
      <c r="DV271" s="553">
        <f>0.5*(1+'Hilfstabellen_Mat&amp;Bem'!$BD$31*(DU271-0.3)+DU271^2)</f>
        <v>0.75221878613411275</v>
      </c>
      <c r="DW271" s="550">
        <f t="shared" si="280"/>
        <v>0.93639376208210245</v>
      </c>
      <c r="DY271" s="551">
        <f t="shared" si="281"/>
        <v>97693.024804263667</v>
      </c>
      <c r="EC271" s="546">
        <f t="shared" si="282"/>
        <v>323</v>
      </c>
      <c r="ED271" s="551">
        <f t="shared" si="283"/>
        <v>43.971568489364678</v>
      </c>
      <c r="EE271" s="553">
        <f>ED271/PI()*SQRT('Hilfstabellen_Mat&amp;Bem'!f.Rd.3/'Hilfstabellen_Mat&amp;Bem'!$BD$30)</f>
        <v>0.69982924805862146</v>
      </c>
      <c r="EF271" s="553">
        <f>0.5*(1+'Hilfstabellen_Mat&amp;Bem'!$BD$31*(EE271-0.3)+EE271^2)</f>
        <v>0.7648719506220788</v>
      </c>
      <c r="EG271" s="550">
        <f t="shared" si="284"/>
        <v>0.93150868211438742</v>
      </c>
      <c r="EI271" s="551">
        <f t="shared" si="285"/>
        <v>97183.369296311925</v>
      </c>
      <c r="EM271" s="546">
        <f t="shared" si="286"/>
        <v>323</v>
      </c>
      <c r="EN271" s="551">
        <f t="shared" si="287"/>
        <v>45.04404576959309</v>
      </c>
      <c r="EO271" s="553">
        <f>EN271/PI()*SQRT('Hilfstabellen_Mat&amp;Bem'!f.Rd.3/'Hilfstabellen_Mat&amp;Bem'!$BD$30)</f>
        <v>0.71689825410883179</v>
      </c>
      <c r="EP271" s="553">
        <f>0.5*(1+'Hilfstabellen_Mat&amp;Bem'!$BD$31*(EO271-0.3)+EO271^2)</f>
        <v>0.77781646607758725</v>
      </c>
      <c r="EQ271" s="550">
        <f t="shared" si="288"/>
        <v>0.92629451104293081</v>
      </c>
      <c r="ES271" s="551">
        <f t="shared" si="289"/>
        <v>96639.380042597928</v>
      </c>
    </row>
    <row r="272" spans="3:149">
      <c r="C272" s="546">
        <v>324</v>
      </c>
      <c r="D272" s="551">
        <f t="shared" si="244"/>
        <v>29.936680624647259</v>
      </c>
      <c r="E272" s="553">
        <f>$D272/PI()*SQRT('Hilfstabellen_Mat&amp;Bem'!f.Rd.3/'Hilfstabellen_Mat&amp;Bem'!$BD$30)</f>
        <v>0.47645707011759808</v>
      </c>
      <c r="F272" s="553">
        <f>0.5*(1+'Hilfstabellen_Mat&amp;Bem'!$BD$31*($E272-0.3)+$E272^2)</f>
        <v>0.62232852333840272</v>
      </c>
      <c r="G272" s="550">
        <f t="shared" si="245"/>
        <v>0.97782280007280176</v>
      </c>
      <c r="I272" s="551">
        <f t="shared" si="290"/>
        <v>102647.92626044244</v>
      </c>
      <c r="M272" s="546">
        <f t="shared" si="246"/>
        <v>324</v>
      </c>
      <c r="N272" s="551">
        <f t="shared" si="236"/>
        <v>31.005847789813235</v>
      </c>
      <c r="O272" s="553">
        <f>$N272/PI()*SQRT('Hilfstabellen_Mat&amp;Bem'!f.Rd.3/'Hilfstabellen_Mat&amp;Bem'!$BD$30)</f>
        <v>0.49347339405036944</v>
      </c>
      <c r="P272" s="553">
        <f>0.5*(1+'Hilfstabellen_Mat&amp;Bem'!$BD$31*($O272-0.3)+$O272^2)</f>
        <v>0.63143166502031411</v>
      </c>
      <c r="Q272" s="550">
        <f t="shared" si="237"/>
        <v>0.97525463931214706</v>
      </c>
      <c r="S272" s="551">
        <f t="shared" si="291"/>
        <v>102378.33101643196</v>
      </c>
      <c r="W272" s="546">
        <f t="shared" si="247"/>
        <v>324</v>
      </c>
      <c r="X272" s="551">
        <f t="shared" si="238"/>
        <v>32.07501495497921</v>
      </c>
      <c r="Y272" s="553">
        <f>$X272/PI()*SQRT('Hilfstabellen_Mat&amp;Bem'!f.Rd.3/'Hilfstabellen_Mat&amp;Bem'!$BD$30)</f>
        <v>0.5104897179831408</v>
      </c>
      <c r="Z272" s="553">
        <f>0.5*(1+'Hilfstabellen_Mat&amp;Bem'!$BD$31*($Y272-0.3)+$Y272^2)</f>
        <v>0.64082436198241033</v>
      </c>
      <c r="AA272" s="550">
        <f t="shared" si="239"/>
        <v>0.97257803727379488</v>
      </c>
      <c r="AC272" s="551">
        <f t="shared" si="292"/>
        <v>102097.35204085389</v>
      </c>
      <c r="AG272" s="546">
        <f t="shared" si="248"/>
        <v>324</v>
      </c>
      <c r="AH272" s="551">
        <f t="shared" si="240"/>
        <v>33.144182120145182</v>
      </c>
      <c r="AI272" s="553">
        <f>$AH272/PI()*SQRT('Hilfstabellen_Mat&amp;Bem'!f.Rd.3/'Hilfstabellen_Mat&amp;Bem'!$BD$30)</f>
        <v>0.52750604191591222</v>
      </c>
      <c r="AJ272" s="553">
        <f>0.5*(1+'Hilfstabellen_Mat&amp;Bem'!$BD$31*($AI272-0.3)+$AI272^2)</f>
        <v>0.65050661422469169</v>
      </c>
      <c r="AK272" s="550">
        <f t="shared" si="241"/>
        <v>0.96978255542418756</v>
      </c>
      <c r="AM272" s="551">
        <f t="shared" si="293"/>
        <v>101803.89353820951</v>
      </c>
      <c r="AQ272" s="546">
        <f t="shared" si="249"/>
        <v>324</v>
      </c>
      <c r="AR272" s="551">
        <f t="shared" si="242"/>
        <v>34.213349285311153</v>
      </c>
      <c r="AS272" s="553">
        <f>$AR272/PI()*SQRT('Hilfstabellen_Mat&amp;Bem'!f.Rd.3/'Hilfstabellen_Mat&amp;Bem'!$BD$30)</f>
        <v>0.54452236584868352</v>
      </c>
      <c r="AT272" s="553">
        <f>0.5*(1+'Hilfstabellen_Mat&amp;Bem'!$BD$31*($AS272-0.3)+$AS272^2)</f>
        <v>0.66047842174715787</v>
      </c>
      <c r="AU272" s="550">
        <f t="shared" si="243"/>
        <v>0.96685677219970823</v>
      </c>
      <c r="AW272" s="551">
        <f t="shared" si="294"/>
        <v>101496.75651843657</v>
      </c>
      <c r="BA272" s="546">
        <f t="shared" si="250"/>
        <v>324</v>
      </c>
      <c r="BB272" s="551">
        <f t="shared" si="251"/>
        <v>35.282516450477125</v>
      </c>
      <c r="BC272" s="553">
        <f>$BB272/PI()*SQRT('Hilfstabellen_Mat&amp;Bem'!f.Rd.3/'Hilfstabellen_Mat&amp;Bem'!$BD$30)</f>
        <v>0.56153868978145483</v>
      </c>
      <c r="BD272" s="553">
        <f>0.5*(1+'Hilfstabellen_Mat&amp;Bem'!$BD$31*($BC272-0.3)+$BC272^2)</f>
        <v>0.67073978454980931</v>
      </c>
      <c r="BE272" s="550">
        <f t="shared" si="252"/>
        <v>0.96378817730611122</v>
      </c>
      <c r="BG272" s="551">
        <f t="shared" si="253"/>
        <v>101174.62770088633</v>
      </c>
      <c r="BK272" s="546">
        <f t="shared" si="254"/>
        <v>324</v>
      </c>
      <c r="BL272" s="551">
        <f t="shared" si="255"/>
        <v>36.351683615643104</v>
      </c>
      <c r="BM272" s="553">
        <f>$BL272/PI()*SQRT('Hilfstabellen_Mat&amp;Bem'!f.Rd.3/'Hilfstabellen_Mat&amp;Bem'!$BD$30)</f>
        <v>0.57855501371422624</v>
      </c>
      <c r="BN272" s="553">
        <f>0.5*(1+'Hilfstabellen_Mat&amp;Bem'!$BD$31*($BM272-0.3)+$BM272^2)</f>
        <v>0.68129070263264557</v>
      </c>
      <c r="BO272" s="550">
        <f t="shared" si="256"/>
        <v>0.9605630584458047</v>
      </c>
      <c r="BQ272" s="551">
        <f t="shared" si="257"/>
        <v>100836.06762340679</v>
      </c>
      <c r="BU272" s="546">
        <f t="shared" si="258"/>
        <v>324</v>
      </c>
      <c r="BV272" s="551">
        <f t="shared" si="259"/>
        <v>37.420850780809069</v>
      </c>
      <c r="BW272" s="553">
        <f>$BV272/PI()*SQRT('Hilfstabellen_Mat&amp;Bem'!f.Rd.3/'Hilfstabellen_Mat&amp;Bem'!$BD$30)</f>
        <v>0.59557133764699743</v>
      </c>
      <c r="BX272" s="553">
        <f>0.5*(1+'Hilfstabellen_Mat&amp;Bem'!$BD$31*($BW272-0.3)+$BW272^2)</f>
        <v>0.69213117599566676</v>
      </c>
      <c r="BY272" s="550">
        <f t="shared" si="260"/>
        <v>0.95716638162473655</v>
      </c>
      <c r="CA272" s="551">
        <f t="shared" si="261"/>
        <v>100479.49807743834</v>
      </c>
      <c r="CE272" s="546">
        <f t="shared" si="262"/>
        <v>324</v>
      </c>
      <c r="CF272" s="551">
        <f t="shared" si="263"/>
        <v>38.490017945975048</v>
      </c>
      <c r="CG272" s="553">
        <f>CF272/PI()*SQRT('Hilfstabellen_Mat&amp;Bem'!f.Rd.3/'Hilfstabellen_Mat&amp;Bem'!$BD$30)</f>
        <v>0.61258766157976896</v>
      </c>
      <c r="CH272" s="553">
        <f>0.5*(1+'Hilfstabellen_Mat&amp;Bem'!$BD$31*(CG272-0.3)+CG272^2)</f>
        <v>0.70326120463887321</v>
      </c>
      <c r="CI272" s="550">
        <f t="shared" si="264"/>
        <v>0.95358166712411119</v>
      </c>
      <c r="CK272" s="551">
        <f t="shared" si="265"/>
        <v>100103.18908802069</v>
      </c>
      <c r="CO272" s="546">
        <f t="shared" si="266"/>
        <v>324</v>
      </c>
      <c r="CP272" s="551">
        <f t="shared" si="267"/>
        <v>39.559185111141019</v>
      </c>
      <c r="CQ272" s="553">
        <f>CP272/PI()*SQRT('Hilfstabellen_Mat&amp;Bem'!f.Rd.3/'Hilfstabellen_Mat&amp;Bem'!$BD$30)</f>
        <v>0.62960398551254038</v>
      </c>
      <c r="CR272" s="553">
        <f>0.5*(1+'Hilfstabellen_Mat&amp;Bem'!$BD$31*(CQ272-0.3)+CQ272^2)</f>
        <v>0.71468078856226458</v>
      </c>
      <c r="CS272" s="550">
        <f t="shared" si="268"/>
        <v>0.94979086452713746</v>
      </c>
      <c r="CU272" s="551">
        <f t="shared" si="269"/>
        <v>99705.245794600778</v>
      </c>
      <c r="CY272" s="546">
        <f t="shared" si="270"/>
        <v>324</v>
      </c>
      <c r="CZ272" s="551">
        <f t="shared" si="271"/>
        <v>40.628352276306998</v>
      </c>
      <c r="DA272" s="553">
        <f>CZ272/PI()*SQRT('Hilfstabellen_Mat&amp;Bem'!f.Rd.3/'Hilfstabellen_Mat&amp;Bem'!$BD$30)</f>
        <v>0.64662030944531168</v>
      </c>
      <c r="DB272" s="553">
        <f>0.5*(1+'Hilfstabellen_Mat&amp;Bem'!$BD$31*(DA272-0.3)+DA272^2)</f>
        <v>0.72638992776584088</v>
      </c>
      <c r="DC272" s="550">
        <f t="shared" si="272"/>
        <v>0.94577423197448174</v>
      </c>
      <c r="DE272" s="551">
        <f t="shared" si="273"/>
        <v>99283.595775753201</v>
      </c>
      <c r="DI272" s="546">
        <f t="shared" si="274"/>
        <v>324</v>
      </c>
      <c r="DJ272" s="551">
        <f t="shared" si="275"/>
        <v>41.69751944147297</v>
      </c>
      <c r="DK272" s="553">
        <f>DJ272/PI()*SQRT('Hilfstabellen_Mat&amp;Bem'!f.Rd.3/'Hilfstabellen_Mat&amp;Bem'!$BD$30)</f>
        <v>0.6636366333780831</v>
      </c>
      <c r="DL272" s="553">
        <f>0.5*(1+'Hilfstabellen_Mat&amp;Bem'!$BD$31*(DK272-0.3)+DK272^2)</f>
        <v>0.73838862224960233</v>
      </c>
      <c r="DM272" s="550">
        <f t="shared" si="276"/>
        <v>0.94151022720291344</v>
      </c>
      <c r="DO272" s="551">
        <f t="shared" si="277"/>
        <v>98835.977610853035</v>
      </c>
      <c r="DS272" s="546">
        <f t="shared" si="278"/>
        <v>324</v>
      </c>
      <c r="DT272" s="551">
        <f t="shared" si="279"/>
        <v>42.766686606638942</v>
      </c>
      <c r="DU272" s="553">
        <f>DT272/PI()*SQRT('Hilfstabellen_Mat&amp;Bem'!f.Rd.3/'Hilfstabellen_Mat&amp;Bem'!$BD$30)</f>
        <v>0.6806529573108544</v>
      </c>
      <c r="DV272" s="553">
        <f>0.5*(1+'Hilfstabellen_Mat&amp;Bem'!$BD$31*(DU272-0.3)+DU272^2)</f>
        <v>0.7506768720135486</v>
      </c>
      <c r="DW272" s="550">
        <f t="shared" si="280"/>
        <v>0.93697542101838738</v>
      </c>
      <c r="DY272" s="551">
        <f t="shared" si="281"/>
        <v>98359.931796826233</v>
      </c>
      <c r="EC272" s="546">
        <f t="shared" si="282"/>
        <v>324</v>
      </c>
      <c r="ED272" s="551">
        <f t="shared" si="283"/>
        <v>43.835853771804921</v>
      </c>
      <c r="EE272" s="553">
        <f>ED272/PI()*SQRT('Hilfstabellen_Mat&amp;Bem'!f.Rd.3/'Hilfstabellen_Mat&amp;Bem'!$BD$30)</f>
        <v>0.69766928124362582</v>
      </c>
      <c r="EF272" s="553">
        <f>0.5*(1+'Hilfstabellen_Mat&amp;Bem'!$BD$31*(EE272-0.3)+EE272^2)</f>
        <v>0.76325467705768002</v>
      </c>
      <c r="EG272" s="550">
        <f t="shared" si="284"/>
        <v>0.93214444775977512</v>
      </c>
      <c r="EI272" s="551">
        <f t="shared" si="285"/>
        <v>97852.795548030146</v>
      </c>
      <c r="EM272" s="546">
        <f t="shared" si="286"/>
        <v>324</v>
      </c>
      <c r="EN272" s="551">
        <f t="shared" si="287"/>
        <v>44.905020936970892</v>
      </c>
      <c r="EO272" s="553">
        <f>EN272/PI()*SQRT('Hilfstabellen_Mat&amp;Bem'!f.Rd.3/'Hilfstabellen_Mat&amp;Bem'!$BD$30)</f>
        <v>0.71468560517639723</v>
      </c>
      <c r="EP272" s="553">
        <f>0.5*(1+'Hilfstabellen_Mat&amp;Bem'!$BD$31*(EO272-0.3)+EO272^2)</f>
        <v>0.77612203738199637</v>
      </c>
      <c r="EQ272" s="550">
        <f t="shared" si="288"/>
        <v>0.92699001204304887</v>
      </c>
      <c r="ES272" s="551">
        <f t="shared" si="289"/>
        <v>97311.703504231104</v>
      </c>
    </row>
    <row r="273" spans="3:149">
      <c r="C273" s="546">
        <v>325</v>
      </c>
      <c r="D273" s="551">
        <f t="shared" si="244"/>
        <v>29.844567761186806</v>
      </c>
      <c r="E273" s="553">
        <f>$D273/PI()*SQRT('Hilfstabellen_Mat&amp;Bem'!f.Rd.3/'Hilfstabellen_Mat&amp;Bem'!$BD$30)</f>
        <v>0.47499104836339012</v>
      </c>
      <c r="F273" s="553">
        <f>0.5*(1+'Hilfstabellen_Mat&amp;Bem'!$BD$31*($E273-0.3)+$E273^2)</f>
        <v>0.62155780043084574</v>
      </c>
      <c r="G273" s="550">
        <f t="shared" si="245"/>
        <v>0.97803930020886964</v>
      </c>
      <c r="I273" s="551">
        <f t="shared" si="290"/>
        <v>103305.40108456186</v>
      </c>
      <c r="M273" s="546">
        <f t="shared" si="246"/>
        <v>325</v>
      </c>
      <c r="N273" s="551">
        <f t="shared" si="236"/>
        <v>30.910445181229193</v>
      </c>
      <c r="O273" s="553">
        <f>$N273/PI()*SQRT('Hilfstabellen_Mat&amp;Bem'!f.Rd.3/'Hilfstabellen_Mat&amp;Bem'!$BD$30)</f>
        <v>0.49195501437636829</v>
      </c>
      <c r="P273" s="553">
        <f>0.5*(1+'Hilfstabellen_Mat&amp;Bem'!$BD$31*($O273-0.3)+$O273^2)</f>
        <v>0.63060761880384475</v>
      </c>
      <c r="Q273" s="550">
        <f t="shared" si="237"/>
        <v>0.97548805780399428</v>
      </c>
      <c r="S273" s="551">
        <f t="shared" si="291"/>
        <v>103035.9261055469</v>
      </c>
      <c r="W273" s="546">
        <f t="shared" si="247"/>
        <v>325</v>
      </c>
      <c r="X273" s="551">
        <f t="shared" si="238"/>
        <v>31.976322601271576</v>
      </c>
      <c r="Y273" s="553">
        <f>$X273/PI()*SQRT('Hilfstabellen_Mat&amp;Bem'!f.Rd.3/'Hilfstabellen_Mat&amp;Bem'!$BD$30)</f>
        <v>0.50891898038934646</v>
      </c>
      <c r="Z273" s="553">
        <f>0.5*(1+'Hilfstabellen_Mat&amp;Bem'!$BD$31*($Y273-0.3)+$Y273^2)</f>
        <v>0.63994521331973331</v>
      </c>
      <c r="AA273" s="550">
        <f t="shared" si="239"/>
        <v>0.97282992245499533</v>
      </c>
      <c r="AC273" s="551">
        <f t="shared" si="292"/>
        <v>102755.16055930888</v>
      </c>
      <c r="AG273" s="546">
        <f t="shared" si="248"/>
        <v>325</v>
      </c>
      <c r="AH273" s="551">
        <f t="shared" si="240"/>
        <v>33.042200021313967</v>
      </c>
      <c r="AI273" s="553">
        <f>$AH273/PI()*SQRT('Hilfstabellen_Mat&amp;Bem'!f.Rd.3/'Hilfstabellen_Mat&amp;Bem'!$BD$30)</f>
        <v>0.5258829464023248</v>
      </c>
      <c r="AJ273" s="553">
        <f>0.5*(1+'Hilfstabellen_Mat&amp;Bem'!$BD$31*($AI273-0.3)+$AI273^2)</f>
        <v>0.64957058397851142</v>
      </c>
      <c r="AK273" s="550">
        <f t="shared" si="241"/>
        <v>0.97005463525930247</v>
      </c>
      <c r="AM273" s="551">
        <f t="shared" si="293"/>
        <v>102462.02084926382</v>
      </c>
      <c r="AQ273" s="546">
        <f t="shared" si="249"/>
        <v>325</v>
      </c>
      <c r="AR273" s="551">
        <f t="shared" si="242"/>
        <v>34.10807744135635</v>
      </c>
      <c r="AS273" s="553">
        <f>$AR273/PI()*SQRT('Hilfstabellen_Mat&amp;Bem'!f.Rd.3/'Hilfstabellen_Mat&amp;Bem'!$BD$30)</f>
        <v>0.54284691241530292</v>
      </c>
      <c r="AT273" s="553">
        <f>0.5*(1+'Hilfstabellen_Mat&amp;Bem'!$BD$31*($AS273-0.3)+$AS273^2)</f>
        <v>0.65948373078017886</v>
      </c>
      <c r="AU273" s="550">
        <f t="shared" si="243"/>
        <v>0.96715097557460805</v>
      </c>
      <c r="AW273" s="551">
        <f t="shared" si="294"/>
        <v>102155.32179506797</v>
      </c>
      <c r="BA273" s="546">
        <f t="shared" si="250"/>
        <v>325</v>
      </c>
      <c r="BB273" s="551">
        <f t="shared" si="251"/>
        <v>35.173954861398734</v>
      </c>
      <c r="BC273" s="553">
        <f>$BB273/PI()*SQRT('Hilfstabellen_Mat&amp;Bem'!f.Rd.3/'Hilfstabellen_Mat&amp;Bem'!$BD$30)</f>
        <v>0.55981087842828114</v>
      </c>
      <c r="BD273" s="553">
        <f>0.5*(1+'Hilfstabellen_Mat&amp;Bem'!$BD$31*($BC273-0.3)+$BC273^2)</f>
        <v>0.66968465372473596</v>
      </c>
      <c r="BE273" s="550">
        <f t="shared" si="252"/>
        <v>0.96410665766705317</v>
      </c>
      <c r="BG273" s="551">
        <f t="shared" si="253"/>
        <v>101833.76571608249</v>
      </c>
      <c r="BK273" s="546">
        <f t="shared" si="254"/>
        <v>325</v>
      </c>
      <c r="BL273" s="551">
        <f t="shared" si="255"/>
        <v>36.239832281441124</v>
      </c>
      <c r="BM273" s="553">
        <f>$BL273/PI()*SQRT('Hilfstabellen_Mat&amp;Bem'!f.Rd.3/'Hilfstabellen_Mat&amp;Bem'!$BD$30)</f>
        <v>0.57677484444125937</v>
      </c>
      <c r="BN273" s="553">
        <f>0.5*(1+'Hilfstabellen_Mat&amp;Bem'!$BD$31*($BM273-0.3)+$BM273^2)</f>
        <v>0.68017335281218239</v>
      </c>
      <c r="BO273" s="550">
        <f t="shared" si="256"/>
        <v>0.96090821985433439</v>
      </c>
      <c r="BQ273" s="551">
        <f t="shared" si="257"/>
        <v>101495.93072211408</v>
      </c>
      <c r="BU273" s="546">
        <f t="shared" si="258"/>
        <v>325</v>
      </c>
      <c r="BV273" s="551">
        <f t="shared" si="259"/>
        <v>37.305709701483515</v>
      </c>
      <c r="BW273" s="553">
        <f>$BV273/PI()*SQRT('Hilfstabellen_Mat&amp;Bem'!f.Rd.3/'Hilfstabellen_Mat&amp;Bem'!$BD$30)</f>
        <v>0.59373881045423771</v>
      </c>
      <c r="BX273" s="553">
        <f>0.5*(1+'Hilfstabellen_Mat&amp;Bem'!$BD$31*($BW273-0.3)+$BW273^2)</f>
        <v>0.69094982804251848</v>
      </c>
      <c r="BY273" s="550">
        <f t="shared" si="260"/>
        <v>0.95754090719782115</v>
      </c>
      <c r="CA273" s="551">
        <f t="shared" si="261"/>
        <v>101140.25832276986</v>
      </c>
      <c r="CE273" s="546">
        <f t="shared" si="262"/>
        <v>325</v>
      </c>
      <c r="CF273" s="551">
        <f t="shared" si="263"/>
        <v>38.371587121525891</v>
      </c>
      <c r="CG273" s="553">
        <f>CF273/PI()*SQRT('Hilfstabellen_Mat&amp;Bem'!f.Rd.3/'Hilfstabellen_Mat&amp;Bem'!$BD$30)</f>
        <v>0.61070277646721571</v>
      </c>
      <c r="CH273" s="553">
        <f>0.5*(1+'Hilfstabellen_Mat&amp;Bem'!$BD$31*(CG273-0.3)+CG273^2)</f>
        <v>0.70201407941574379</v>
      </c>
      <c r="CI273" s="550">
        <f t="shared" si="264"/>
        <v>0.95398854967763314</v>
      </c>
      <c r="CK273" s="551">
        <f t="shared" si="265"/>
        <v>100765.04055970001</v>
      </c>
      <c r="CO273" s="546">
        <f t="shared" si="266"/>
        <v>325</v>
      </c>
      <c r="CP273" s="551">
        <f t="shared" si="267"/>
        <v>39.437464541568282</v>
      </c>
      <c r="CQ273" s="553">
        <f>CP273/PI()*SQRT('Hilfstabellen_Mat&amp;Bem'!f.Rd.3/'Hilfstabellen_Mat&amp;Bem'!$BD$30)</f>
        <v>0.62766674248019405</v>
      </c>
      <c r="CR273" s="553">
        <f>0.5*(1+'Hilfstabellen_Mat&amp;Bem'!$BD$31*(CQ273-0.3)+CQ273^2)</f>
        <v>0.71336610693185887</v>
      </c>
      <c r="CS273" s="550">
        <f t="shared" si="268"/>
        <v>0.9502334390163335</v>
      </c>
      <c r="CU273" s="551">
        <f t="shared" si="269"/>
        <v>100368.40699610022</v>
      </c>
      <c r="CY273" s="546">
        <f t="shared" si="270"/>
        <v>325</v>
      </c>
      <c r="CZ273" s="551">
        <f t="shared" si="271"/>
        <v>40.503341961610666</v>
      </c>
      <c r="DA273" s="553">
        <f>CZ273/PI()*SQRT('Hilfstabellen_Mat&amp;Bem'!f.Rd.3/'Hilfstabellen_Mat&amp;Bem'!$BD$30)</f>
        <v>0.64463070849317228</v>
      </c>
      <c r="DB273" s="553">
        <f>0.5*(1+'Hilfstabellen_Mat&amp;Bem'!$BD$31*(DA273-0.3)+DA273^2)</f>
        <v>0.72500591059086328</v>
      </c>
      <c r="DC273" s="550">
        <f t="shared" si="272"/>
        <v>0.94625620900255014</v>
      </c>
      <c r="DE273" s="551">
        <f t="shared" si="273"/>
        <v>99948.312075894355</v>
      </c>
      <c r="DI273" s="546">
        <f t="shared" si="274"/>
        <v>325</v>
      </c>
      <c r="DJ273" s="551">
        <f t="shared" si="275"/>
        <v>41.569219381653056</v>
      </c>
      <c r="DK273" s="553">
        <f>DJ273/PI()*SQRT('Hilfstabellen_Mat&amp;Bem'!f.Rd.3/'Hilfstabellen_Mat&amp;Bem'!$BD$30)</f>
        <v>0.6615946745061505</v>
      </c>
      <c r="DL273" s="553">
        <f>0.5*(1+'Hilfstabellen_Mat&amp;Bem'!$BD$31*(DK273-0.3)+DK273^2)</f>
        <v>0.73693349039275713</v>
      </c>
      <c r="DM273" s="550">
        <f t="shared" si="276"/>
        <v>0.94203572641994926</v>
      </c>
      <c r="DO273" s="551">
        <f t="shared" si="277"/>
        <v>99502.52360310714</v>
      </c>
      <c r="DS273" s="546">
        <f t="shared" si="278"/>
        <v>325</v>
      </c>
      <c r="DT273" s="551">
        <f t="shared" si="279"/>
        <v>42.63509680169544</v>
      </c>
      <c r="DU273" s="553">
        <f>DT273/PI()*SQRT('Hilfstabellen_Mat&amp;Bem'!f.Rd.3/'Hilfstabellen_Mat&amp;Bem'!$BD$30)</f>
        <v>0.67855864051912873</v>
      </c>
      <c r="DV273" s="553">
        <f>0.5*(1+'Hilfstabellen_Mat&amp;Bem'!$BD$31*(DU273-0.3)+DU273^2)</f>
        <v>0.74914884633754053</v>
      </c>
      <c r="DW273" s="550">
        <f t="shared" si="280"/>
        <v>0.93754900262555374</v>
      </c>
      <c r="DY273" s="551">
        <f t="shared" si="281"/>
        <v>99028.613402324117</v>
      </c>
      <c r="EC273" s="546">
        <f t="shared" si="282"/>
        <v>325</v>
      </c>
      <c r="ED273" s="551">
        <f t="shared" si="283"/>
        <v>43.700974221737823</v>
      </c>
      <c r="EE273" s="553">
        <f>ED273/PI()*SQRT('Hilfstabellen_Mat&amp;Bem'!f.Rd.3/'Hilfstabellen_Mat&amp;Bem'!$BD$30)</f>
        <v>0.69552260653210685</v>
      </c>
      <c r="EF273" s="553">
        <f>0.5*(1+'Hilfstabellen_Mat&amp;Bem'!$BD$31*(EE273-0.3)+EE273^2)</f>
        <v>0.76165197842521326</v>
      </c>
      <c r="EG273" s="550">
        <f t="shared" si="284"/>
        <v>0.93277113953858592</v>
      </c>
      <c r="EI273" s="551">
        <f t="shared" si="285"/>
        <v>98523.951613763144</v>
      </c>
      <c r="EM273" s="546">
        <f t="shared" si="286"/>
        <v>325</v>
      </c>
      <c r="EN273" s="551">
        <f t="shared" si="287"/>
        <v>44.766851641780214</v>
      </c>
      <c r="EO273" s="553">
        <f>EN273/PI()*SQRT('Hilfstabellen_Mat&amp;Bem'!f.Rd.3/'Hilfstabellen_Mat&amp;Bem'!$BD$30)</f>
        <v>0.71248657254508518</v>
      </c>
      <c r="EP273" s="553">
        <f>0.5*(1+'Hilfstabellen_Mat&amp;Bem'!$BD$31*(EO273-0.3)+EO273^2)</f>
        <v>0.77444288665577576</v>
      </c>
      <c r="EQ273" s="550">
        <f t="shared" si="288"/>
        <v>0.92767532832776112</v>
      </c>
      <c r="ES273" s="551">
        <f t="shared" si="289"/>
        <v>97985.70655461977</v>
      </c>
    </row>
    <row r="274" spans="3:149">
      <c r="C274" s="546">
        <v>326</v>
      </c>
      <c r="D274" s="551">
        <f t="shared" si="244"/>
        <v>29.753020007318135</v>
      </c>
      <c r="E274" s="553">
        <f>$D274/PI()*SQRT('Hilfstabellen_Mat&amp;Bem'!f.Rd.3/'Hilfstabellen_Mat&amp;Bem'!$BD$30)</f>
        <v>0.47353402060767413</v>
      </c>
      <c r="F274" s="553">
        <f>0.5*(1+'Hilfstabellen_Mat&amp;Bem'!$BD$31*($E274-0.3)+$E274^2)</f>
        <v>0.62079393536681837</v>
      </c>
      <c r="G274" s="550">
        <f t="shared" si="245"/>
        <v>0.97825375110560797</v>
      </c>
      <c r="I274" s="551">
        <f t="shared" si="290"/>
        <v>103964.89565249959</v>
      </c>
      <c r="M274" s="546">
        <f t="shared" si="246"/>
        <v>326</v>
      </c>
      <c r="N274" s="551">
        <f t="shared" si="236"/>
        <v>30.815627864722352</v>
      </c>
      <c r="O274" s="553">
        <f>$N274/PI()*SQRT('Hilfstabellen_Mat&amp;Bem'!f.Rd.3/'Hilfstabellen_Mat&amp;Bem'!$BD$30)</f>
        <v>0.49044594991509105</v>
      </c>
      <c r="P274" s="553">
        <f>0.5*(1+'Hilfstabellen_Mat&amp;Bem'!$BD$31*($O274-0.3)+$O274^2)</f>
        <v>0.62979091238981255</v>
      </c>
      <c r="Q274" s="550">
        <f t="shared" si="237"/>
        <v>0.97571919634126536</v>
      </c>
      <c r="S274" s="551">
        <f t="shared" si="291"/>
        <v>103695.53331036432</v>
      </c>
      <c r="W274" s="546">
        <f t="shared" si="247"/>
        <v>326</v>
      </c>
      <c r="X274" s="551">
        <f t="shared" si="238"/>
        <v>31.878235722126576</v>
      </c>
      <c r="Y274" s="553">
        <f>$X274/PI()*SQRT('Hilfstabellen_Mat&amp;Bem'!f.Rd.3/'Hilfstabellen_Mat&amp;Bem'!$BD$30)</f>
        <v>0.50735787922250808</v>
      </c>
      <c r="Z274" s="553">
        <f>0.5*(1+'Hilfstabellen_Mat&amp;Bem'!$BD$31*($Y274-0.3)+$Y274^2)</f>
        <v>0.63907390276570597</v>
      </c>
      <c r="AA274" s="550">
        <f t="shared" si="239"/>
        <v>0.97307926782102971</v>
      </c>
      <c r="AC274" s="551">
        <f t="shared" si="292"/>
        <v>103414.97226694775</v>
      </c>
      <c r="AG274" s="546">
        <f t="shared" si="248"/>
        <v>326</v>
      </c>
      <c r="AH274" s="551">
        <f t="shared" si="240"/>
        <v>32.940843579530792</v>
      </c>
      <c r="AI274" s="553">
        <f>$AH274/PI()*SQRT('Hilfstabellen_Mat&amp;Bem'!f.Rd.3/'Hilfstabellen_Mat&amp;Bem'!$BD$30)</f>
        <v>0.524269808529925</v>
      </c>
      <c r="AJ274" s="553">
        <f>0.5*(1+'Hilfstabellen_Mat&amp;Bem'!$BD$31*($AI274-0.3)+$AI274^2)</f>
        <v>0.64864290649449829</v>
      </c>
      <c r="AK274" s="550">
        <f t="shared" si="241"/>
        <v>0.97032388227905975</v>
      </c>
      <c r="AM274" s="551">
        <f t="shared" si="293"/>
        <v>103122.14091308936</v>
      </c>
      <c r="AQ274" s="546">
        <f t="shared" si="249"/>
        <v>326</v>
      </c>
      <c r="AR274" s="551">
        <f t="shared" si="242"/>
        <v>34.003451436935016</v>
      </c>
      <c r="AS274" s="553">
        <f>$AR274/PI()*SQRT('Hilfstabellen_Mat&amp;Bem'!f.Rd.3/'Hilfstabellen_Mat&amp;Bem'!$BD$30)</f>
        <v>0.54118173783734203</v>
      </c>
      <c r="AT274" s="553">
        <f>0.5*(1+'Hilfstabellen_Mat&amp;Bem'!$BD$31*($AS274-0.3)+$AS274^2)</f>
        <v>0.65849792357618986</v>
      </c>
      <c r="AU274" s="550">
        <f t="shared" si="243"/>
        <v>0.96744201546736885</v>
      </c>
      <c r="AW274" s="551">
        <f t="shared" si="294"/>
        <v>102815.86763581009</v>
      </c>
      <c r="BA274" s="546">
        <f t="shared" si="250"/>
        <v>326</v>
      </c>
      <c r="BB274" s="551">
        <f t="shared" si="251"/>
        <v>35.066059294339226</v>
      </c>
      <c r="BC274" s="553">
        <f>$BB274/PI()*SQRT('Hilfstabellen_Mat&amp;Bem'!f.Rd.3/'Hilfstabellen_Mat&amp;Bem'!$BD$30)</f>
        <v>0.55809366714475883</v>
      </c>
      <c r="BD274" s="553">
        <f>0.5*(1+'Hilfstabellen_Mat&amp;Bem'!$BD$31*($BC274-0.3)+$BC274^2)</f>
        <v>0.66863895401078033</v>
      </c>
      <c r="BE274" s="550">
        <f t="shared" si="252"/>
        <v>0.96442160110023734</v>
      </c>
      <c r="BG274" s="551">
        <f t="shared" si="253"/>
        <v>102494.87007852882</v>
      </c>
      <c r="BK274" s="546">
        <f t="shared" si="254"/>
        <v>326</v>
      </c>
      <c r="BL274" s="551">
        <f t="shared" si="255"/>
        <v>36.12866715174345</v>
      </c>
      <c r="BM274" s="553">
        <f>$BL274/PI()*SQRT('Hilfstabellen_Mat&amp;Bem'!f.Rd.3/'Hilfstabellen_Mat&amp;Bem'!$BD$30)</f>
        <v>0.57500559645217575</v>
      </c>
      <c r="BN274" s="553">
        <f>0.5*(1+'Hilfstabellen_Mat&amp;Bem'!$BD$31*($BM274-0.3)+$BM274^2)</f>
        <v>0.67906599779827004</v>
      </c>
      <c r="BO274" s="550">
        <f t="shared" si="256"/>
        <v>0.96124942236618405</v>
      </c>
      <c r="BQ274" s="551">
        <f t="shared" si="257"/>
        <v>102157.74361138858</v>
      </c>
      <c r="BU274" s="546">
        <f t="shared" si="258"/>
        <v>326</v>
      </c>
      <c r="BV274" s="551">
        <f t="shared" si="259"/>
        <v>37.191275009147667</v>
      </c>
      <c r="BW274" s="553">
        <f>$BV274/PI()*SQRT('Hilfstabellen_Mat&amp;Bem'!f.Rd.3/'Hilfstabellen_Mat&amp;Bem'!$BD$30)</f>
        <v>0.59191752575959267</v>
      </c>
      <c r="BX274" s="553">
        <f>0.5*(1+'Hilfstabellen_Mat&amp;Bem'!$BD$31*($BW274-0.3)+$BW274^2)</f>
        <v>0.68977905493865865</v>
      </c>
      <c r="BY274" s="550">
        <f t="shared" si="260"/>
        <v>0.95791099697053261</v>
      </c>
      <c r="CA274" s="551">
        <f t="shared" si="261"/>
        <v>101802.94911404033</v>
      </c>
      <c r="CE274" s="546">
        <f t="shared" si="262"/>
        <v>326</v>
      </c>
      <c r="CF274" s="551">
        <f t="shared" si="263"/>
        <v>38.253882866551891</v>
      </c>
      <c r="CG274" s="553">
        <f>CF274/PI()*SQRT('Hilfstabellen_Mat&amp;Bem'!f.Rd.3/'Hilfstabellen_Mat&amp;Bem'!$BD$30)</f>
        <v>0.60882945506700969</v>
      </c>
      <c r="CH274" s="553">
        <f>0.5*(1+'Hilfstabellen_Mat&amp;Bem'!$BD$31*(CG274-0.3)+CG274^2)</f>
        <v>0.70077812543194651</v>
      </c>
      <c r="CI274" s="550">
        <f t="shared" si="264"/>
        <v>0.95439045750096529</v>
      </c>
      <c r="CK274" s="551">
        <f t="shared" si="265"/>
        <v>101428.80026137258</v>
      </c>
      <c r="CO274" s="546">
        <f t="shared" si="266"/>
        <v>326</v>
      </c>
      <c r="CP274" s="551">
        <f t="shared" si="267"/>
        <v>39.316490723956107</v>
      </c>
      <c r="CQ274" s="553">
        <f>CP274/PI()*SQRT('Hilfstabellen_Mat&amp;Bem'!f.Rd.3/'Hilfstabellen_Mat&amp;Bem'!$BD$30)</f>
        <v>0.62574138437442661</v>
      </c>
      <c r="CR274" s="553">
        <f>0.5*(1+'Hilfstabellen_Mat&amp;Bem'!$BD$31*(CQ274-0.3)+CQ274^2)</f>
        <v>0.71206320927813338</v>
      </c>
      <c r="CS274" s="550">
        <f t="shared" si="268"/>
        <v>0.95067043007106578</v>
      </c>
      <c r="CU274" s="551">
        <f t="shared" si="269"/>
        <v>101033.45062623259</v>
      </c>
      <c r="CY274" s="546">
        <f t="shared" si="270"/>
        <v>326</v>
      </c>
      <c r="CZ274" s="551">
        <f t="shared" si="271"/>
        <v>40.379098581360331</v>
      </c>
      <c r="DA274" s="553">
        <f>CZ274/PI()*SQRT('Hilfstabellen_Mat&amp;Bem'!f.Rd.3/'Hilfstabellen_Mat&amp;Bem'!$BD$30)</f>
        <v>0.64265331368184364</v>
      </c>
      <c r="DB274" s="553">
        <f>0.5*(1+'Hilfstabellen_Mat&amp;Bem'!$BD$31*(DA274-0.3)+DA274^2)</f>
        <v>0.72363430647721927</v>
      </c>
      <c r="DC274" s="550">
        <f t="shared" si="272"/>
        <v>0.94673191579006399</v>
      </c>
      <c r="DE274" s="551">
        <f t="shared" si="273"/>
        <v>100614.88108250484</v>
      </c>
      <c r="DI274" s="546">
        <f t="shared" si="274"/>
        <v>326</v>
      </c>
      <c r="DJ274" s="551">
        <f t="shared" si="275"/>
        <v>41.441706438764541</v>
      </c>
      <c r="DK274" s="553">
        <f>DJ274/PI()*SQRT('Hilfstabellen_Mat&amp;Bem'!f.Rd.3/'Hilfstabellen_Mat&amp;Bem'!$BD$30)</f>
        <v>0.65956524298926045</v>
      </c>
      <c r="DL274" s="553">
        <f>0.5*(1+'Hilfstabellen_Mat&amp;Bem'!$BD$31*(DK274-0.3)+DK274^2)</f>
        <v>0.73549141702920418</v>
      </c>
      <c r="DM274" s="550">
        <f t="shared" si="276"/>
        <v>0.94255418174108252</v>
      </c>
      <c r="DO274" s="551">
        <f t="shared" si="277"/>
        <v>100170.88821871529</v>
      </c>
      <c r="DS274" s="546">
        <f t="shared" si="278"/>
        <v>326</v>
      </c>
      <c r="DT274" s="551">
        <f t="shared" si="279"/>
        <v>42.504314296168765</v>
      </c>
      <c r="DU274" s="553">
        <f>DT274/PI()*SQRT('Hilfstabellen_Mat&amp;Bem'!f.Rd.3/'Hilfstabellen_Mat&amp;Bem'!$BD$30)</f>
        <v>0.67647717229667736</v>
      </c>
      <c r="DV274" s="553">
        <f>0.5*(1+'Hilfstabellen_Mat&amp;Bem'!$BD$31*(DU274-0.3)+DU274^2)</f>
        <v>0.7476345409340881</v>
      </c>
      <c r="DW274" s="550">
        <f t="shared" si="280"/>
        <v>0.93811467093827516</v>
      </c>
      <c r="DY274" s="551">
        <f t="shared" si="281"/>
        <v>99699.074768636128</v>
      </c>
      <c r="EC274" s="546">
        <f t="shared" si="282"/>
        <v>326</v>
      </c>
      <c r="ED274" s="551">
        <f t="shared" si="283"/>
        <v>43.566922153572982</v>
      </c>
      <c r="EE274" s="553">
        <f>ED274/PI()*SQRT('Hilfstabellen_Mat&amp;Bem'!f.Rd.3/'Hilfstabellen_Mat&amp;Bem'!$BD$30)</f>
        <v>0.69338910160409428</v>
      </c>
      <c r="EF274" s="553">
        <f>0.5*(1+'Hilfstabellen_Mat&amp;Bem'!$BD$31*(EE274-0.3)+EE274^2)</f>
        <v>0.76006367819187115</v>
      </c>
      <c r="EG274" s="550">
        <f t="shared" si="284"/>
        <v>0.9333889442707306</v>
      </c>
      <c r="EI274" s="551">
        <f t="shared" si="285"/>
        <v>99196.843441316159</v>
      </c>
      <c r="EM274" s="546">
        <f t="shared" si="286"/>
        <v>326</v>
      </c>
      <c r="EN274" s="551">
        <f t="shared" si="287"/>
        <v>44.629530010977206</v>
      </c>
      <c r="EO274" s="553">
        <f>EN274/PI()*SQRT('Hilfstabellen_Mat&amp;Bem'!f.Rd.3/'Hilfstabellen_Mat&amp;Bem'!$BD$30)</f>
        <v>0.71030103091151131</v>
      </c>
      <c r="EP274" s="553">
        <f>0.5*(1+'Hilfstabellen_Mat&amp;Bem'!$BD$31*(EO274-0.3)+EO274^2)</f>
        <v>0.77277882880255344</v>
      </c>
      <c r="EQ274" s="550">
        <f t="shared" si="288"/>
        <v>0.92835067176774944</v>
      </c>
      <c r="ES274" s="551">
        <f t="shared" si="289"/>
        <v>98661.395992789345</v>
      </c>
    </row>
    <row r="275" spans="3:149">
      <c r="C275" s="546">
        <v>327</v>
      </c>
      <c r="D275" s="551">
        <f t="shared" si="244"/>
        <v>29.66203217854958</v>
      </c>
      <c r="E275" s="553">
        <f>$D275/PI()*SQRT('Hilfstabellen_Mat&amp;Bem'!f.Rd.3/'Hilfstabellen_Mat&amp;Bem'!$BD$30)</f>
        <v>0.47208590433670272</v>
      </c>
      <c r="F275" s="553">
        <f>0.5*(1+'Hilfstabellen_Mat&amp;Bem'!$BD$31*($E275-0.3)+$E275^2)</f>
        <v>0.62003684575353635</v>
      </c>
      <c r="G275" s="550">
        <f t="shared" si="245"/>
        <v>0.97846618377648009</v>
      </c>
      <c r="I275" s="551">
        <f t="shared" si="290"/>
        <v>104626.41056503524</v>
      </c>
      <c r="M275" s="546">
        <f t="shared" si="246"/>
        <v>327</v>
      </c>
      <c r="N275" s="551">
        <f t="shared" si="236"/>
        <v>30.721390470640635</v>
      </c>
      <c r="O275" s="553">
        <f>$N275/PI()*SQRT('Hilfstabellen_Mat&amp;Bem'!f.Rd.3/'Hilfstabellen_Mat&amp;Bem'!$BD$30)</f>
        <v>0.48894611520587061</v>
      </c>
      <c r="P275" s="553">
        <f>0.5*(1+'Hilfstabellen_Mat&amp;Bem'!$BD$31*($O275-0.3)+$O275^2)</f>
        <v>0.6289814575477497</v>
      </c>
      <c r="Q275" s="550">
        <f t="shared" si="237"/>
        <v>0.97594809040758079</v>
      </c>
      <c r="S275" s="551">
        <f t="shared" si="291"/>
        <v>104357.15335919221</v>
      </c>
      <c r="W275" s="546">
        <f t="shared" si="247"/>
        <v>327</v>
      </c>
      <c r="X275" s="551">
        <f t="shared" si="238"/>
        <v>31.78074876273169</v>
      </c>
      <c r="Y275" s="553">
        <f>$X275/PI()*SQRT('Hilfstabellen_Mat&amp;Bem'!f.Rd.3/'Hilfstabellen_Mat&amp;Bem'!$BD$30)</f>
        <v>0.50580632607503861</v>
      </c>
      <c r="Z275" s="553">
        <f>0.5*(1+'Hilfstabellen_Mat&amp;Bem'!$BD$31*($Y275-0.3)+$Y275^2)</f>
        <v>0.63821033605251598</v>
      </c>
      <c r="AA275" s="550">
        <f t="shared" si="239"/>
        <v>0.97332611400918145</v>
      </c>
      <c r="AC275" s="551">
        <f t="shared" si="292"/>
        <v>104076.78804488777</v>
      </c>
      <c r="AG275" s="546">
        <f t="shared" si="248"/>
        <v>327</v>
      </c>
      <c r="AH275" s="551">
        <f t="shared" si="240"/>
        <v>32.840107054822745</v>
      </c>
      <c r="AI275" s="553">
        <f>$AH275/PI()*SQRT('Hilfstabellen_Mat&amp;Bem'!f.Rd.3/'Hilfstabellen_Mat&amp;Bem'!$BD$30)</f>
        <v>0.52266653694420651</v>
      </c>
      <c r="AJ275" s="553">
        <f>0.5*(1+'Hilfstabellen_Mat&amp;Bem'!$BD$31*($AI275-0.3)+$AI275^2)</f>
        <v>0.64772348126783519</v>
      </c>
      <c r="AK275" s="550">
        <f t="shared" si="241"/>
        <v>0.97059034306369019</v>
      </c>
      <c r="AM275" s="551">
        <f t="shared" si="293"/>
        <v>103784.25479345732</v>
      </c>
      <c r="AQ275" s="546">
        <f t="shared" si="249"/>
        <v>327</v>
      </c>
      <c r="AR275" s="551">
        <f t="shared" si="242"/>
        <v>33.8994653469138</v>
      </c>
      <c r="AS275" s="553">
        <f>$AR275/PI()*SQRT('Hilfstabellen_Mat&amp;Bem'!f.Rd.3/'Hilfstabellen_Mat&amp;Bem'!$BD$30)</f>
        <v>0.5395267478133744</v>
      </c>
      <c r="AT275" s="553">
        <f>0.5*(1+'Hilfstabellen_Mat&amp;Bem'!$BD$31*($AS275-0.3)+$AS275^2)</f>
        <v>0.65752089319370699</v>
      </c>
      <c r="AU275" s="550">
        <f t="shared" si="243"/>
        <v>0.96772994531082734</v>
      </c>
      <c r="AW275" s="551">
        <f t="shared" si="294"/>
        <v>103478.39532214146</v>
      </c>
      <c r="BA275" s="546">
        <f t="shared" si="250"/>
        <v>327</v>
      </c>
      <c r="BB275" s="551">
        <f t="shared" si="251"/>
        <v>34.958823639004862</v>
      </c>
      <c r="BC275" s="553">
        <f>$BB275/PI()*SQRT('Hilfstabellen_Mat&amp;Bem'!f.Rd.3/'Hilfstabellen_Mat&amp;Bem'!$BD$30)</f>
        <v>0.5563869586825424</v>
      </c>
      <c r="BD275" s="553">
        <f>0.5*(1+'Hilfstabellen_Mat&amp;Bem'!$BD$31*($BC275-0.3)+$BC275^2)</f>
        <v>0.66760257183013172</v>
      </c>
      <c r="BE275" s="550">
        <f t="shared" si="252"/>
        <v>0.96473306893656618</v>
      </c>
      <c r="BG275" s="551">
        <f t="shared" si="253"/>
        <v>103157.94232831808</v>
      </c>
      <c r="BK275" s="546">
        <f t="shared" si="254"/>
        <v>327</v>
      </c>
      <c r="BL275" s="551">
        <f t="shared" si="255"/>
        <v>36.018181931095917</v>
      </c>
      <c r="BM275" s="553">
        <f>$BL275/PI()*SQRT('Hilfstabellen_Mat&amp;Bem'!f.Rd.3/'Hilfstabellen_Mat&amp;Bem'!$BD$30)</f>
        <v>0.5732471695517104</v>
      </c>
      <c r="BN275" s="553">
        <f>0.5*(1+'Hilfstabellen_Mat&amp;Bem'!$BD$31*($BM275-0.3)+$BM275^2)</f>
        <v>0.67796851717710926</v>
      </c>
      <c r="BO275" s="550">
        <f t="shared" si="256"/>
        <v>0.96158673640724401</v>
      </c>
      <c r="BQ275" s="551">
        <f t="shared" si="257"/>
        <v>102821.50813729019</v>
      </c>
      <c r="BU275" s="546">
        <f t="shared" si="258"/>
        <v>327</v>
      </c>
      <c r="BV275" s="551">
        <f t="shared" si="259"/>
        <v>37.077540223186972</v>
      </c>
      <c r="BW275" s="553">
        <f>$BV275/PI()*SQRT('Hilfstabellen_Mat&amp;Bem'!f.Rd.3/'Hilfstabellen_Mat&amp;Bem'!$BD$30)</f>
        <v>0.5901073804208784</v>
      </c>
      <c r="BX275" s="553">
        <f>0.5*(1+'Hilfstabellen_Mat&amp;Bem'!$BD$31*($BW275-0.3)+$BW275^2)</f>
        <v>0.68861872923463963</v>
      </c>
      <c r="BY275" s="550">
        <f t="shared" si="260"/>
        <v>0.95827673182695983</v>
      </c>
      <c r="CA275" s="551">
        <f t="shared" si="261"/>
        <v>102467.57265752499</v>
      </c>
      <c r="CE275" s="546">
        <f t="shared" si="262"/>
        <v>327</v>
      </c>
      <c r="CF275" s="551">
        <f t="shared" si="263"/>
        <v>38.136898515278027</v>
      </c>
      <c r="CG275" s="553">
        <f>CF275/PI()*SQRT('Hilfstabellen_Mat&amp;Bem'!f.Rd.3/'Hilfstabellen_Mat&amp;Bem'!$BD$30)</f>
        <v>0.60696759129004629</v>
      </c>
      <c r="CH275" s="553">
        <f>0.5*(1+'Hilfstabellen_Mat&amp;Bem'!$BD$31*(CG275-0.3)+CG275^2)</f>
        <v>0.69955320800272269</v>
      </c>
      <c r="CI275" s="550">
        <f t="shared" si="264"/>
        <v>0.95478748347823406</v>
      </c>
      <c r="CK275" s="551">
        <f t="shared" si="265"/>
        <v>102094.47082084409</v>
      </c>
      <c r="CO275" s="546">
        <f t="shared" si="266"/>
        <v>327</v>
      </c>
      <c r="CP275" s="551">
        <f t="shared" si="267"/>
        <v>39.196256807369082</v>
      </c>
      <c r="CQ275" s="553">
        <f>CP275/PI()*SQRT('Hilfstabellen_Mat&amp;Bem'!f.Rd.3/'Hilfstabellen_Mat&amp;Bem'!$BD$30)</f>
        <v>0.62382780215921418</v>
      </c>
      <c r="CR275" s="553">
        <f>0.5*(1+'Hilfstabellen_Mat&amp;Bem'!$BD$31*(CQ275-0.3)+CQ275^2)</f>
        <v>0.71077195348135846</v>
      </c>
      <c r="CS275" s="550">
        <f t="shared" si="268"/>
        <v>0.9511019443032892</v>
      </c>
      <c r="CU275" s="551">
        <f t="shared" si="269"/>
        <v>101700.37980240642</v>
      </c>
      <c r="CY275" s="546">
        <f t="shared" si="270"/>
        <v>327</v>
      </c>
      <c r="CZ275" s="551">
        <f t="shared" si="271"/>
        <v>40.255615099460144</v>
      </c>
      <c r="DA275" s="553">
        <f>CZ275/PI()*SQRT('Hilfstabellen_Mat&amp;Bem'!f.Rd.3/'Hilfstabellen_Mat&amp;Bem'!$BD$30)</f>
        <v>0.6406880130283823</v>
      </c>
      <c r="DB275" s="553">
        <f>0.5*(1+'Hilfstabellen_Mat&amp;Bem'!$BD$31*(DA275-0.3)+DA275^2)</f>
        <v>0.72227496567054739</v>
      </c>
      <c r="DC275" s="550">
        <f t="shared" si="272"/>
        <v>0.94720147458921622</v>
      </c>
      <c r="DE275" s="551">
        <f t="shared" si="273"/>
        <v>101283.30647635031</v>
      </c>
      <c r="DI275" s="546">
        <f t="shared" si="274"/>
        <v>327</v>
      </c>
      <c r="DJ275" s="551">
        <f t="shared" si="275"/>
        <v>41.314973391551199</v>
      </c>
      <c r="DK275" s="553">
        <f>DJ275/PI()*SQRT('Hilfstabellen_Mat&amp;Bem'!f.Rd.3/'Hilfstabellen_Mat&amp;Bem'!$BD$30)</f>
        <v>0.65754822389755019</v>
      </c>
      <c r="DL275" s="553">
        <f>0.5*(1+'Hilfstabellen_Mat&amp;Bem'!$BD$31*(DK275-0.3)+DK275^2)</f>
        <v>0.7340622445702889</v>
      </c>
      <c r="DM275" s="550">
        <f t="shared" si="276"/>
        <v>0.94306573314065167</v>
      </c>
      <c r="DO275" s="551">
        <f t="shared" si="277"/>
        <v>100841.07577899675</v>
      </c>
      <c r="DS275" s="546">
        <f t="shared" si="278"/>
        <v>327</v>
      </c>
      <c r="DT275" s="551">
        <f t="shared" si="279"/>
        <v>42.374331683642254</v>
      </c>
      <c r="DU275" s="553">
        <f>DT275/PI()*SQRT('Hilfstabellen_Mat&amp;Bem'!f.Rd.3/'Hilfstabellen_Mat&amp;Bem'!$BD$30)</f>
        <v>0.67440843476671808</v>
      </c>
      <c r="DV275" s="553">
        <f>0.5*(1+'Hilfstabellen_Mat&amp;Bem'!$BD$31*(DU275-0.3)+DU275^2)</f>
        <v>0.74613379018058323</v>
      </c>
      <c r="DW275" s="550">
        <f t="shared" si="280"/>
        <v>0.9386725858686048</v>
      </c>
      <c r="DY275" s="551">
        <f t="shared" si="281"/>
        <v>100371.32093434404</v>
      </c>
      <c r="EC275" s="546">
        <f t="shared" si="282"/>
        <v>327</v>
      </c>
      <c r="ED275" s="551">
        <f t="shared" si="283"/>
        <v>43.433689975733309</v>
      </c>
      <c r="EE275" s="553">
        <f>ED275/PI()*SQRT('Hilfstabellen_Mat&amp;Bem'!f.Rd.3/'Hilfstabellen_Mat&amp;Bem'!$BD$30)</f>
        <v>0.69126864563588608</v>
      </c>
      <c r="EF275" s="553">
        <f>0.5*(1+'Hilfstabellen_Mat&amp;Bem'!$BD$31*(EE275-0.3)+EE275^2)</f>
        <v>0.75848960250143049</v>
      </c>
      <c r="EG275" s="550">
        <f t="shared" si="284"/>
        <v>0.93399804408972242</v>
      </c>
      <c r="EI275" s="551">
        <f t="shared" si="285"/>
        <v>99871.476856469933</v>
      </c>
      <c r="EM275" s="546">
        <f t="shared" si="286"/>
        <v>327</v>
      </c>
      <c r="EN275" s="551">
        <f t="shared" si="287"/>
        <v>44.493048267824364</v>
      </c>
      <c r="EO275" s="553">
        <f>EN275/PI()*SQRT('Hilfstabellen_Mat&amp;Bem'!f.Rd.3/'Hilfstabellen_Mat&amp;Bem'!$BD$30)</f>
        <v>0.70812885650505397</v>
      </c>
      <c r="EP275" s="553">
        <f>0.5*(1+'Hilfstabellen_Mat&amp;Bem'!$BD$31*(EO275-0.3)+EO275^2)</f>
        <v>0.77112968153283035</v>
      </c>
      <c r="EQ275" s="550">
        <f t="shared" si="288"/>
        <v>0.92901624896387314</v>
      </c>
      <c r="ES275" s="551">
        <f t="shared" si="289"/>
        <v>99338.778485457995</v>
      </c>
    </row>
    <row r="276" spans="3:149">
      <c r="C276" s="546">
        <v>328</v>
      </c>
      <c r="D276" s="551">
        <f t="shared" si="244"/>
        <v>29.571599153614979</v>
      </c>
      <c r="E276" s="553">
        <f>$D276/PI()*SQRT('Hilfstabellen_Mat&amp;Bem'!f.Rd.3/'Hilfstabellen_Mat&amp;Bem'!$BD$30)</f>
        <v>0.47064661804299324</v>
      </c>
      <c r="F276" s="553">
        <f>0.5*(1+'Hilfstabellen_Mat&amp;Bem'!$BD$31*($E276-0.3)+$E276^2)</f>
        <v>0.61928645043980324</v>
      </c>
      <c r="G276" s="550">
        <f t="shared" si="245"/>
        <v>0.97867662859948013</v>
      </c>
      <c r="I276" s="551">
        <f t="shared" si="290"/>
        <v>105289.94641124646</v>
      </c>
      <c r="M276" s="546">
        <f t="shared" si="246"/>
        <v>328</v>
      </c>
      <c r="N276" s="551">
        <f t="shared" si="236"/>
        <v>30.627727694815512</v>
      </c>
      <c r="O276" s="553">
        <f>$N276/PI()*SQRT('Hilfstabellen_Mat&amp;Bem'!f.Rd.3/'Hilfstabellen_Mat&amp;Bem'!$BD$30)</f>
        <v>0.48745542583024304</v>
      </c>
      <c r="P276" s="553">
        <f>0.5*(1+'Hilfstabellen_Mat&amp;Bem'!$BD$31*($O276-0.3)+$O276^2)</f>
        <v>0.62817916737718393</v>
      </c>
      <c r="Q276" s="550">
        <f t="shared" si="237"/>
        <v>0.97617477474212944</v>
      </c>
      <c r="S276" s="551">
        <f t="shared" si="291"/>
        <v>105020.78696585726</v>
      </c>
      <c r="W276" s="546">
        <f t="shared" si="247"/>
        <v>328</v>
      </c>
      <c r="X276" s="551">
        <f t="shared" si="238"/>
        <v>31.683856236016048</v>
      </c>
      <c r="Y276" s="553">
        <f>$X276/PI()*SQRT('Hilfstabellen_Mat&amp;Bem'!f.Rd.3/'Hilfstabellen_Mat&amp;Bem'!$BD$30)</f>
        <v>0.50426423361749284</v>
      </c>
      <c r="Z276" s="553">
        <f>0.5*(1+'Hilfstabellen_Mat&amp;Bem'!$BD$31*($Y276-0.3)+$Y276^2)</f>
        <v>0.6373544203337933</v>
      </c>
      <c r="AA276" s="550">
        <f t="shared" si="239"/>
        <v>0.97357050078433194</v>
      </c>
      <c r="AC276" s="551">
        <f t="shared" si="292"/>
        <v>104740.60875638157</v>
      </c>
      <c r="AG276" s="546">
        <f t="shared" si="248"/>
        <v>328</v>
      </c>
      <c r="AH276" s="551">
        <f t="shared" si="240"/>
        <v>32.739984777216584</v>
      </c>
      <c r="AI276" s="553">
        <f>$AH276/PI()*SQRT('Hilfstabellen_Mat&amp;Bem'!f.Rd.3/'Hilfstabellen_Mat&amp;Bem'!$BD$30)</f>
        <v>0.52107304140474253</v>
      </c>
      <c r="AJ276" s="553">
        <f>0.5*(1+'Hilfstabellen_Mat&amp;Bem'!$BD$31*($AI276-0.3)+$AI276^2)</f>
        <v>0.64681220930963135</v>
      </c>
      <c r="AK276" s="550">
        <f t="shared" si="241"/>
        <v>0.97085406317088208</v>
      </c>
      <c r="AM276" s="551">
        <f t="shared" si="293"/>
        <v>104448.36353217618</v>
      </c>
      <c r="AQ276" s="546">
        <f t="shared" si="249"/>
        <v>328</v>
      </c>
      <c r="AR276" s="551">
        <f t="shared" si="242"/>
        <v>33.796113318417113</v>
      </c>
      <c r="AS276" s="553">
        <f>$AR276/PI()*SQRT('Hilfstabellen_Mat&amp;Bem'!f.Rd.3/'Hilfstabellen_Mat&amp;Bem'!$BD$30)</f>
        <v>0.53788184919199222</v>
      </c>
      <c r="AT276" s="553">
        <f>0.5*(1+'Hilfstabellen_Mat&amp;Bem'!$BD$31*($AS276-0.3)+$AS276^2)</f>
        <v>0.65655253430469818</v>
      </c>
      <c r="AU276" s="550">
        <f t="shared" si="243"/>
        <v>0.96801481733937977</v>
      </c>
      <c r="AW276" s="551">
        <f t="shared" si="294"/>
        <v>104142.90610863983</v>
      </c>
      <c r="BA276" s="546">
        <f t="shared" si="250"/>
        <v>328</v>
      </c>
      <c r="BB276" s="551">
        <f t="shared" si="251"/>
        <v>34.852241859617649</v>
      </c>
      <c r="BC276" s="553">
        <f>$BB276/PI()*SQRT('Hilfstabellen_Mat&amp;Bem'!f.Rd.3/'Hilfstabellen_Mat&amp;Bem'!$BD$30)</f>
        <v>0.55469065697924191</v>
      </c>
      <c r="BD276" s="553">
        <f>0.5*(1+'Hilfstabellen_Mat&amp;Bem'!$BD$31*($BC276-0.3)+$BC276^2)</f>
        <v>0.66657539531899357</v>
      </c>
      <c r="BE276" s="550">
        <f t="shared" si="252"/>
        <v>0.96504112110289297</v>
      </c>
      <c r="BG276" s="551">
        <f t="shared" si="253"/>
        <v>103822.98397273364</v>
      </c>
      <c r="BK276" s="546">
        <f t="shared" si="254"/>
        <v>328</v>
      </c>
      <c r="BL276" s="551">
        <f t="shared" si="255"/>
        <v>35.908370400818185</v>
      </c>
      <c r="BM276" s="553">
        <f>$BL276/PI()*SQRT('Hilfstabellen_Mat&amp;Bem'!f.Rd.3/'Hilfstabellen_Mat&amp;Bem'!$BD$30)</f>
        <v>0.57149946476649172</v>
      </c>
      <c r="BN276" s="553">
        <f>0.5*(1+'Hilfstabellen_Mat&amp;Bem'!$BD$31*($BM276-0.3)+$BM276^2)</f>
        <v>0.67688079235251786</v>
      </c>
      <c r="BO276" s="550">
        <f t="shared" si="256"/>
        <v>0.96192023075975619</v>
      </c>
      <c r="BQ276" s="551">
        <f t="shared" si="257"/>
        <v>103487.22610605761</v>
      </c>
      <c r="BU276" s="546">
        <f t="shared" si="258"/>
        <v>328</v>
      </c>
      <c r="BV276" s="551">
        <f t="shared" si="259"/>
        <v>36.964498942018722</v>
      </c>
      <c r="BW276" s="553">
        <f>$BV276/PI()*SQRT('Hilfstabellen_Mat&amp;Bem'!f.Rd.3/'Hilfstabellen_Mat&amp;Bem'!$BD$30)</f>
        <v>0.58830827255374152</v>
      </c>
      <c r="BX276" s="553">
        <f>0.5*(1+'Hilfstabellen_Mat&amp;Bem'!$BD$31*($BW276-0.3)+$BW276^2)</f>
        <v>0.68746872540527071</v>
      </c>
      <c r="BY276" s="550">
        <f t="shared" si="260"/>
        <v>0.95863819072951206</v>
      </c>
      <c r="CA276" s="551">
        <f t="shared" si="261"/>
        <v>103134.13111144383</v>
      </c>
      <c r="CE276" s="546">
        <f t="shared" si="262"/>
        <v>328</v>
      </c>
      <c r="CF276" s="551">
        <f t="shared" si="263"/>
        <v>38.020627483219258</v>
      </c>
      <c r="CG276" s="553">
        <f>CF276/PI()*SQRT('Hilfstabellen_Mat&amp;Bem'!f.Rd.3/'Hilfstabellen_Mat&amp;Bem'!$BD$30)</f>
        <v>0.60511708034099132</v>
      </c>
      <c r="CH276" s="553">
        <f>0.5*(1+'Hilfstabellen_Mat&amp;Bem'!$BD$31*(CG276-0.3)+CG276^2)</f>
        <v>0.69833919447725235</v>
      </c>
      <c r="CI276" s="550">
        <f t="shared" si="264"/>
        <v>0.95517971825106418</v>
      </c>
      <c r="CK276" s="551">
        <f t="shared" si="265"/>
        <v>102762.05480832249</v>
      </c>
      <c r="CO276" s="546">
        <f t="shared" si="266"/>
        <v>328</v>
      </c>
      <c r="CP276" s="551">
        <f t="shared" si="267"/>
        <v>39.076756024419794</v>
      </c>
      <c r="CQ276" s="553">
        <f>CP276/PI()*SQRT('Hilfstabellen_Mat&amp;Bem'!f.Rd.3/'Hilfstabellen_Mat&amp;Bem'!$BD$30)</f>
        <v>0.62192588812824112</v>
      </c>
      <c r="CR276" s="553">
        <f>0.5*(1+'Hilfstabellen_Mat&amp;Bem'!$BD$31*(CQ276-0.3)+CQ276^2)</f>
        <v>0.70949219956846277</v>
      </c>
      <c r="CS276" s="550">
        <f t="shared" si="268"/>
        <v>0.95152808571501679</v>
      </c>
      <c r="CU276" s="551">
        <f t="shared" si="269"/>
        <v>102369.19757356436</v>
      </c>
      <c r="CY276" s="546">
        <f t="shared" si="270"/>
        <v>328</v>
      </c>
      <c r="CZ276" s="551">
        <f t="shared" si="271"/>
        <v>40.13288456562033</v>
      </c>
      <c r="DA276" s="553">
        <f>CZ276/PI()*SQRT('Hilfstabellen_Mat&amp;Bem'!f.Rd.3/'Hilfstabellen_Mat&amp;Bem'!$BD$30)</f>
        <v>0.63873469591549092</v>
      </c>
      <c r="DB276" s="553">
        <f>0.5*(1+'Hilfstabellen_Mat&amp;Bem'!$BD$31*(DA276-0.3)+DA276^2)</f>
        <v>0.72092774067890186</v>
      </c>
      <c r="DC276" s="550">
        <f t="shared" si="272"/>
        <v>0.94766500462555836</v>
      </c>
      <c r="DE276" s="551">
        <f t="shared" si="273"/>
        <v>101953.59185763607</v>
      </c>
      <c r="DI276" s="546">
        <f t="shared" si="274"/>
        <v>328</v>
      </c>
      <c r="DJ276" s="551">
        <f t="shared" si="275"/>
        <v>41.189013106820859</v>
      </c>
      <c r="DK276" s="553">
        <f>DJ276/PI()*SQRT('Hilfstabellen_Mat&amp;Bem'!f.Rd.3/'Hilfstabellen_Mat&amp;Bem'!$BD$30)</f>
        <v>0.65554350370274062</v>
      </c>
      <c r="DL276" s="553">
        <f>0.5*(1+'Hilfstabellen_Mat&amp;Bem'!$BD$31*(DK276-0.3)+DK276^2)</f>
        <v>0.73264581780856952</v>
      </c>
      <c r="DM276" s="550">
        <f t="shared" si="276"/>
        <v>0.94357051709990625</v>
      </c>
      <c r="DO276" s="551">
        <f t="shared" si="277"/>
        <v>101513.09051167632</v>
      </c>
      <c r="DS276" s="546">
        <f t="shared" si="278"/>
        <v>328</v>
      </c>
      <c r="DT276" s="551">
        <f t="shared" si="279"/>
        <v>42.245141648021395</v>
      </c>
      <c r="DU276" s="553">
        <f>DT276/PI()*SQRT('Hilfstabellen_Mat&amp;Bem'!f.Rd.3/'Hilfstabellen_Mat&amp;Bem'!$BD$30)</f>
        <v>0.67235231148999031</v>
      </c>
      <c r="DV276" s="553">
        <f>0.5*(1+'Hilfstabellen_Mat&amp;Bem'!$BD$31*(DU276-0.3)+DU276^2)</f>
        <v>0.74464643095746597</v>
      </c>
      <c r="DW276" s="550">
        <f t="shared" si="280"/>
        <v>0.93922290332237113</v>
      </c>
      <c r="DY276" s="551">
        <f t="shared" si="281"/>
        <v>101045.35683103398</v>
      </c>
      <c r="EC276" s="546">
        <f t="shared" si="282"/>
        <v>328</v>
      </c>
      <c r="ED276" s="551">
        <f t="shared" si="283"/>
        <v>43.301270189221931</v>
      </c>
      <c r="EE276" s="553">
        <f>ED276/PI()*SQRT('Hilfstabellen_Mat&amp;Bem'!f.Rd.3/'Hilfstabellen_Mat&amp;Bem'!$BD$30)</f>
        <v>0.68916111927724011</v>
      </c>
      <c r="EF276" s="553">
        <f>0.5*(1+'Hilfstabellen_Mat&amp;Bem'!$BD$31*(EE276-0.3)+EE276^2)</f>
        <v>0.75692958012559108</v>
      </c>
      <c r="EG276" s="550">
        <f t="shared" si="284"/>
        <v>0.9345986165714808</v>
      </c>
      <c r="EI276" s="551">
        <f t="shared" si="285"/>
        <v>100547.85756522619</v>
      </c>
      <c r="EM276" s="546">
        <f t="shared" si="286"/>
        <v>328</v>
      </c>
      <c r="EN276" s="551">
        <f t="shared" si="287"/>
        <v>44.357398730422467</v>
      </c>
      <c r="EO276" s="553">
        <f>EN276/PI()*SQRT('Hilfstabellen_Mat&amp;Bem'!f.Rd.3/'Hilfstabellen_Mat&amp;Bem'!$BD$30)</f>
        <v>0.70596992706448991</v>
      </c>
      <c r="EP276" s="553">
        <f>0.5*(1+'Hilfstabellen_Mat&amp;Bem'!$BD$31*(EO276-0.3)+EO276^2)</f>
        <v>0.76949526531294499</v>
      </c>
      <c r="EQ276" s="550">
        <f t="shared" si="288"/>
        <v>0.92967226138599734</v>
      </c>
      <c r="ES276" s="551">
        <f t="shared" si="289"/>
        <v>100017.86056895113</v>
      </c>
    </row>
    <row r="277" spans="3:149">
      <c r="C277" s="546">
        <v>329</v>
      </c>
      <c r="D277" s="551">
        <f t="shared" si="244"/>
        <v>29.481715873512801</v>
      </c>
      <c r="E277" s="553">
        <f>$D277/PI()*SQRT('Hilfstabellen_Mat&amp;Bem'!f.Rd.3/'Hilfstabellen_Mat&amp;Bem'!$BD$30)</f>
        <v>0.46921608121003572</v>
      </c>
      <c r="F277" s="553">
        <f>0.5*(1+'Hilfstabellen_Mat&amp;Bem'!$BD$31*($E277-0.3)+$E277^2)</f>
        <v>0.61854266949355319</v>
      </c>
      <c r="G277" s="550">
        <f t="shared" si="245"/>
        <v>0.97888511533330713</v>
      </c>
      <c r="I277" s="551">
        <f t="shared" si="290"/>
        <v>105955.50376879249</v>
      </c>
      <c r="M277" s="546">
        <f t="shared" si="246"/>
        <v>329</v>
      </c>
      <c r="N277" s="551">
        <f t="shared" si="236"/>
        <v>30.534634297566829</v>
      </c>
      <c r="O277" s="553">
        <f>$N277/PI()*SQRT('Hilfstabellen_Mat&amp;Bem'!f.Rd.3/'Hilfstabellen_Mat&amp;Bem'!$BD$30)</f>
        <v>0.48597379839610844</v>
      </c>
      <c r="P277" s="553">
        <f>0.5*(1+'Hilfstabellen_Mat&amp;Bem'!$BD$31*($O277-0.3)+$O277^2)</f>
        <v>0.62738395628357613</v>
      </c>
      <c r="Q277" s="550">
        <f t="shared" si="237"/>
        <v>0.97639928335899651</v>
      </c>
      <c r="S277" s="551">
        <f t="shared" si="291"/>
        <v>105686.43483006115</v>
      </c>
      <c r="W277" s="546">
        <f t="shared" si="247"/>
        <v>329</v>
      </c>
      <c r="X277" s="551">
        <f t="shared" si="238"/>
        <v>31.587552721620863</v>
      </c>
      <c r="Y277" s="553">
        <f>$X277/PI()*SQRT('Hilfstabellen_Mat&amp;Bem'!f.Rd.3/'Hilfstabellen_Mat&amp;Bem'!$BD$30)</f>
        <v>0.50273151558218121</v>
      </c>
      <c r="Z277" s="553">
        <f>0.5*(1+'Hilfstabellen_Mat&amp;Bem'!$BD$31*($Y277-0.3)+$Y277^2)</f>
        <v>0.63650606415888755</v>
      </c>
      <c r="AA277" s="550">
        <f t="shared" si="239"/>
        <v>0.97381246706204772</v>
      </c>
      <c r="AC277" s="551">
        <f t="shared" si="292"/>
        <v>105406.4352472631</v>
      </c>
      <c r="AG277" s="546">
        <f t="shared" si="248"/>
        <v>329</v>
      </c>
      <c r="AH277" s="551">
        <f t="shared" si="240"/>
        <v>32.640471145674887</v>
      </c>
      <c r="AI277" s="553">
        <f>$AH277/PI()*SQRT('Hilfstabellen_Mat&amp;Bem'!f.Rd.3/'Hilfstabellen_Mat&amp;Bem'!$BD$30)</f>
        <v>0.51948923276825387</v>
      </c>
      <c r="AJ277" s="553">
        <f>0.5*(1+'Hilfstabellen_Mat&amp;Bem'!$BD$31*($AI277-0.3)+$AI277^2)</f>
        <v>0.64590899311948724</v>
      </c>
      <c r="AK277" s="550">
        <f t="shared" si="241"/>
        <v>0.97111508716332351</v>
      </c>
      <c r="AM277" s="551">
        <f t="shared" si="293"/>
        <v>105114.4681496453</v>
      </c>
      <c r="AQ277" s="546">
        <f t="shared" si="249"/>
        <v>329</v>
      </c>
      <c r="AR277" s="551">
        <f t="shared" si="242"/>
        <v>33.693389569728915</v>
      </c>
      <c r="AS277" s="553">
        <f>$AR277/PI()*SQRT('Hilfstabellen_Mat&amp;Bem'!f.Rd.3/'Hilfstabellen_Mat&amp;Bem'!$BD$30)</f>
        <v>0.53624694995432653</v>
      </c>
      <c r="AT277" s="553">
        <f>0.5*(1+'Hilfstabellen_Mat&amp;Bem'!$BD$31*($AS277-0.3)+$AS277^2)</f>
        <v>0.6555927431653753</v>
      </c>
      <c r="AU277" s="550">
        <f t="shared" si="243"/>
        <v>0.96829668262180968</v>
      </c>
      <c r="AW277" s="551">
        <f t="shared" si="294"/>
        <v>104809.4012236673</v>
      </c>
      <c r="BA277" s="546">
        <f t="shared" si="250"/>
        <v>329</v>
      </c>
      <c r="BB277" s="551">
        <f t="shared" si="251"/>
        <v>34.746307993782949</v>
      </c>
      <c r="BC277" s="553">
        <f>$BB277/PI()*SQRT('Hilfstabellen_Mat&amp;Bem'!f.Rd.3/'Hilfstabellen_Mat&amp;Bem'!$BD$30)</f>
        <v>0.55300466714039931</v>
      </c>
      <c r="BD277" s="553">
        <f>0.5*(1+'Hilfstabellen_Mat&amp;Bem'!$BD$31*($BC277-0.3)+$BC277^2)</f>
        <v>0.66555731429655185</v>
      </c>
      <c r="BE277" s="550">
        <f t="shared" si="252"/>
        <v>0.96534581616106629</v>
      </c>
      <c r="BG277" s="551">
        <f t="shared" si="253"/>
        <v>104489.99648708997</v>
      </c>
      <c r="BK277" s="546">
        <f t="shared" si="254"/>
        <v>329</v>
      </c>
      <c r="BL277" s="551">
        <f t="shared" si="255"/>
        <v>35.799226417836977</v>
      </c>
      <c r="BM277" s="553">
        <f>$BL277/PI()*SQRT('Hilfstabellen_Mat&amp;Bem'!f.Rd.3/'Hilfstabellen_Mat&amp;Bem'!$BD$30)</f>
        <v>0.56976238432647208</v>
      </c>
      <c r="BN277" s="553">
        <f>0.5*(1+'Hilfstabellen_Mat&amp;Bem'!$BD$31*($BM277-0.3)+$BM277^2)</f>
        <v>0.67580270651301688</v>
      </c>
      <c r="BO277" s="550">
        <f t="shared" si="256"/>
        <v>0.96224997260863154</v>
      </c>
      <c r="BQ277" s="551">
        <f t="shared" si="257"/>
        <v>104154.89928513089</v>
      </c>
      <c r="BU277" s="546">
        <f t="shared" si="258"/>
        <v>329</v>
      </c>
      <c r="BV277" s="551">
        <f t="shared" si="259"/>
        <v>36.852144841891004</v>
      </c>
      <c r="BW277" s="553">
        <f>$BV277/PI()*SQRT('Hilfstabellen_Mat&amp;Bem'!f.Rd.3/'Hilfstabellen_Mat&amp;Bem'!$BD$30)</f>
        <v>0.58652010151254474</v>
      </c>
      <c r="BX277" s="553">
        <f>0.5*(1+'Hilfstabellen_Mat&amp;Bem'!$BD$31*($BW277-0.3)+$BW277^2)</f>
        <v>0.68632891981477007</v>
      </c>
      <c r="BY277" s="550">
        <f t="shared" si="260"/>
        <v>0.95899545077365933</v>
      </c>
      <c r="CA277" s="551">
        <f t="shared" si="261"/>
        <v>103802.62658719165</v>
      </c>
      <c r="CE277" s="546">
        <f t="shared" si="262"/>
        <v>329</v>
      </c>
      <c r="CF277" s="551">
        <f t="shared" si="263"/>
        <v>37.905063265945032</v>
      </c>
      <c r="CG277" s="553">
        <f>CF277/PI()*SQRT('Hilfstabellen_Mat&amp;Bem'!f.Rd.3/'Hilfstabellen_Mat&amp;Bem'!$BD$30)</f>
        <v>0.60327781869861752</v>
      </c>
      <c r="CH277" s="553">
        <f>0.5*(1+'Hilfstabellen_Mat&amp;Bem'!$BD$31*(CG277-0.3)+CG277^2)</f>
        <v>0.69713595420181185</v>
      </c>
      <c r="CI277" s="550">
        <f t="shared" si="264"/>
        <v>0.95556725028297029</v>
      </c>
      <c r="CK277" s="551">
        <f t="shared" si="265"/>
        <v>103431.55473787899</v>
      </c>
      <c r="CO277" s="546">
        <f t="shared" si="266"/>
        <v>329</v>
      </c>
      <c r="CP277" s="551">
        <f t="shared" si="267"/>
        <v>38.957981689999066</v>
      </c>
      <c r="CQ277" s="553">
        <f>CP277/PI()*SQRT('Hilfstabellen_Mat&amp;Bem'!f.Rd.3/'Hilfstabellen_Mat&amp;Bem'!$BD$30)</f>
        <v>0.62003553588469029</v>
      </c>
      <c r="CR277" s="553">
        <f>0.5*(1+'Hilfstabellen_Mat&amp;Bem'!$BD$31*(CQ277-0.3)+CQ277^2)</f>
        <v>0.708223809674142</v>
      </c>
      <c r="CS277" s="550">
        <f t="shared" si="268"/>
        <v>0.95194895577358341</v>
      </c>
      <c r="CU277" s="551">
        <f t="shared" si="269"/>
        <v>103039.90692188844</v>
      </c>
      <c r="CY277" s="546">
        <f t="shared" si="270"/>
        <v>329</v>
      </c>
      <c r="CZ277" s="551">
        <f t="shared" si="271"/>
        <v>40.010900114053094</v>
      </c>
      <c r="DA277" s="553">
        <f>CZ277/PI()*SQRT('Hilfstabellen_Mat&amp;Bem'!f.Rd.3/'Hilfstabellen_Mat&amp;Bem'!$BD$30)</f>
        <v>0.63679325307076295</v>
      </c>
      <c r="DB277" s="553">
        <f>0.5*(1+'Hilfstabellen_Mat&amp;Bem'!$BD$31*(DA277-0.3)+DA277^2)</f>
        <v>0.71959248623176064</v>
      </c>
      <c r="DC277" s="550">
        <f t="shared" si="272"/>
        <v>0.94812262218523091</v>
      </c>
      <c r="DE277" s="551">
        <f t="shared" si="273"/>
        <v>102625.74074795158</v>
      </c>
      <c r="DI277" s="546">
        <f t="shared" si="274"/>
        <v>329</v>
      </c>
      <c r="DJ277" s="551">
        <f t="shared" si="275"/>
        <v>41.063818538107114</v>
      </c>
      <c r="DK277" s="553">
        <f>DJ277/PI()*SQRT('Hilfstabellen_Mat&amp;Bem'!f.Rd.3/'Hilfstabellen_Mat&amp;Bem'!$BD$30)</f>
        <v>0.65355097025683551</v>
      </c>
      <c r="DL277" s="553">
        <f>0.5*(1+'Hilfstabellen_Mat&amp;Bem'!$BD$31*(DK277-0.3)+DK277^2)</f>
        <v>0.73124198387466732</v>
      </c>
      <c r="DM277" s="550">
        <f t="shared" si="276"/>
        <v>0.94406866670701972</v>
      </c>
      <c r="DO277" s="551">
        <f t="shared" si="277"/>
        <v>102186.93655303452</v>
      </c>
      <c r="DS277" s="546">
        <f t="shared" si="278"/>
        <v>329</v>
      </c>
      <c r="DT277" s="551">
        <f t="shared" si="279"/>
        <v>42.116736962161148</v>
      </c>
      <c r="DU277" s="553">
        <f>DT277/PI()*SQRT('Hilfstabellen_Mat&amp;Bem'!f.Rd.3/'Hilfstabellen_Mat&amp;Bem'!$BD$30)</f>
        <v>0.67030868744290828</v>
      </c>
      <c r="DV277" s="553">
        <f>0.5*(1+'Hilfstabellen_Mat&amp;Bem'!$BD$31*(DU277-0.3)+DU277^2)</f>
        <v>0.74317230260286271</v>
      </c>
      <c r="DW277" s="550">
        <f t="shared" si="280"/>
        <v>0.9397657753122246</v>
      </c>
      <c r="DY277" s="551">
        <f t="shared" si="281"/>
        <v>101721.1872855705</v>
      </c>
      <c r="EC277" s="546">
        <f t="shared" si="282"/>
        <v>329</v>
      </c>
      <c r="ED277" s="551">
        <f t="shared" si="283"/>
        <v>43.169655386215176</v>
      </c>
      <c r="EE277" s="553">
        <f>ED277/PI()*SQRT('Hilfstabellen_Mat&amp;Bem'!f.Rd.3/'Hilfstabellen_Mat&amp;Bem'!$BD$30)</f>
        <v>0.68706640462898105</v>
      </c>
      <c r="EF277" s="553">
        <f>0.5*(1+'Hilfstabellen_Mat&amp;Bem'!$BD$31*(EE277-0.3)+EE277^2)</f>
        <v>0.75538344241634647</v>
      </c>
      <c r="EG277" s="550">
        <f t="shared" si="284"/>
        <v>0.93519083485972498</v>
      </c>
      <c r="EI277" s="551">
        <f t="shared" si="285"/>
        <v>101225.99115605149</v>
      </c>
      <c r="EM277" s="546">
        <f t="shared" si="286"/>
        <v>329</v>
      </c>
      <c r="EN277" s="551">
        <f t="shared" si="287"/>
        <v>44.222573810269203</v>
      </c>
      <c r="EO277" s="553">
        <f>EN277/PI()*SQRT('Hilfstabellen_Mat&amp;Bem'!f.Rd.3/'Hilfstabellen_Mat&amp;Bem'!$BD$30)</f>
        <v>0.7038241218150536</v>
      </c>
      <c r="EP277" s="553">
        <f>0.5*(1+'Hilfstabellen_Mat&amp;Bem'!$BD$31*(EO277-0.3)+EO277^2)</f>
        <v>0.76787540331511839</v>
      </c>
      <c r="EQ277" s="550">
        <f t="shared" si="288"/>
        <v>0.93031890550863872</v>
      </c>
      <c r="ES277" s="551">
        <f t="shared" si="289"/>
        <v>100698.64865116056</v>
      </c>
    </row>
    <row r="278" spans="3:149">
      <c r="C278" s="546">
        <v>330</v>
      </c>
      <c r="D278" s="551">
        <f t="shared" si="244"/>
        <v>29.392377340562764</v>
      </c>
      <c r="E278" s="553">
        <f>$D278/PI()*SQRT('Hilfstabellen_Mat&amp;Bem'!f.Rd.3/'Hilfstabellen_Mat&amp;Bem'!$BD$30)</f>
        <v>0.46779421429727813</v>
      </c>
      <c r="F278" s="553">
        <f>0.5*(1+'Hilfstabellen_Mat&amp;Bem'!$BD$31*($E278-0.3)+$E278^2)</f>
        <v>0.61780542417986783</v>
      </c>
      <c r="G278" s="550">
        <f t="shared" si="245"/>
        <v>0.97909167313305157</v>
      </c>
      <c r="I278" s="551">
        <f t="shared" si="290"/>
        <v>106623.08320418932</v>
      </c>
      <c r="M278" s="546">
        <f t="shared" si="246"/>
        <v>330</v>
      </c>
      <c r="N278" s="551">
        <f t="shared" si="236"/>
        <v>30.442105102725719</v>
      </c>
      <c r="O278" s="553">
        <f>$N278/PI()*SQRT('Hilfstabellen_Mat&amp;Bem'!f.Rd.3/'Hilfstabellen_Mat&amp;Bem'!$BD$30)</f>
        <v>0.4845011505221809</v>
      </c>
      <c r="P278" s="553">
        <f>0.5*(1+'Hilfstabellen_Mat&amp;Bem'!$BD$31*($O278-0.3)+$O278^2)</f>
        <v>0.62659573995476747</v>
      </c>
      <c r="Q278" s="550">
        <f t="shared" si="237"/>
        <v>0.97662164956589714</v>
      </c>
      <c r="S278" s="551">
        <f t="shared" si="291"/>
        <v>106354.0976377262</v>
      </c>
      <c r="W278" s="546">
        <f t="shared" si="247"/>
        <v>330</v>
      </c>
      <c r="X278" s="551">
        <f t="shared" si="238"/>
        <v>31.491832864888679</v>
      </c>
      <c r="Y278" s="553">
        <f>$X278/PI()*SQRT('Hilfstabellen_Mat&amp;Bem'!f.Rd.3/'Hilfstabellen_Mat&amp;Bem'!$BD$30)</f>
        <v>0.50120808674708373</v>
      </c>
      <c r="Z278" s="553">
        <f>0.5*(1+'Hilfstabellen_Mat&amp;Bem'!$BD$31*($Y278-0.3)+$Y278^2)</f>
        <v>0.63566517744769035</v>
      </c>
      <c r="AA278" s="550">
        <f t="shared" si="239"/>
        <v>0.97405205093094493</v>
      </c>
      <c r="AC278" s="551">
        <f t="shared" si="292"/>
        <v>106074.2683463799</v>
      </c>
      <c r="AG278" s="546">
        <f t="shared" si="248"/>
        <v>330</v>
      </c>
      <c r="AH278" s="551">
        <f t="shared" si="240"/>
        <v>32.541560627051631</v>
      </c>
      <c r="AI278" s="553">
        <f>$AH278/PI()*SQRT('Hilfstabellen_Mat&amp;Bem'!f.Rd.3/'Hilfstabellen_Mat&amp;Bem'!$BD$30)</f>
        <v>0.51791502297198644</v>
      </c>
      <c r="AJ278" s="553">
        <f>0.5*(1+'Hilfstabellen_Mat&amp;Bem'!$BD$31*($AI278-0.3)+$AI278^2)</f>
        <v>0.64501373665863593</v>
      </c>
      <c r="AK278" s="550">
        <f t="shared" si="241"/>
        <v>0.97137345863538438</v>
      </c>
      <c r="AM278" s="551">
        <f t="shared" si="293"/>
        <v>105782.56964539336</v>
      </c>
      <c r="AQ278" s="546">
        <f t="shared" si="249"/>
        <v>330</v>
      </c>
      <c r="AR278" s="551">
        <f t="shared" si="242"/>
        <v>33.59128838921459</v>
      </c>
      <c r="AS278" s="553">
        <f>$AR278/PI()*SQRT('Hilfstabellen_Mat&amp;Bem'!f.Rd.3/'Hilfstabellen_Mat&amp;Bem'!$BD$30)</f>
        <v>0.53462195919688937</v>
      </c>
      <c r="AT278" s="553">
        <f>0.5*(1+'Hilfstabellen_Mat&amp;Bem'!$BD$31*($AS278-0.3)+$AS278^2)</f>
        <v>0.65464141758760475</v>
      </c>
      <c r="AU278" s="550">
        <f t="shared" si="243"/>
        <v>0.96857559109306757</v>
      </c>
      <c r="AW278" s="551">
        <f t="shared" si="294"/>
        <v>105477.88187003505</v>
      </c>
      <c r="BA278" s="546">
        <f t="shared" si="250"/>
        <v>330</v>
      </c>
      <c r="BB278" s="551">
        <f t="shared" si="251"/>
        <v>34.641016151377542</v>
      </c>
      <c r="BC278" s="553">
        <f>$BB278/PI()*SQRT('Hilfstabellen_Mat&amp;Bem'!f.Rd.3/'Hilfstabellen_Mat&amp;Bem'!$BD$30)</f>
        <v>0.55132889542179198</v>
      </c>
      <c r="BD278" s="553">
        <f>0.5*(1+'Hilfstabellen_Mat&amp;Bem'!$BD$31*($BC278-0.3)+$BC278^2)</f>
        <v>0.66454822023459625</v>
      </c>
      <c r="BE278" s="550">
        <f t="shared" si="252"/>
        <v>0.96564721134572118</v>
      </c>
      <c r="BG278" s="551">
        <f t="shared" si="253"/>
        <v>105158.98131554904</v>
      </c>
      <c r="BK278" s="546">
        <f t="shared" si="254"/>
        <v>330</v>
      </c>
      <c r="BL278" s="551">
        <f t="shared" si="255"/>
        <v>35.690743913540501</v>
      </c>
      <c r="BM278" s="553">
        <f>$BL278/PI()*SQRT('Hilfstabellen_Mat&amp;Bem'!f.Rd.3/'Hilfstabellen_Mat&amp;Bem'!$BD$30)</f>
        <v>0.56803583164669491</v>
      </c>
      <c r="BN278" s="553">
        <f>0.5*(1+'Hilfstabellen_Mat&amp;Bem'!$BD$31*($BM278-0.3)+$BM278^2)</f>
        <v>0.6747341445996109</v>
      </c>
      <c r="BO278" s="550">
        <f t="shared" si="256"/>
        <v>0.9625760275862707</v>
      </c>
      <c r="BQ278" s="551">
        <f t="shared" si="257"/>
        <v>104824.52940414488</v>
      </c>
      <c r="BU278" s="546">
        <f t="shared" si="258"/>
        <v>330</v>
      </c>
      <c r="BV278" s="551">
        <f t="shared" si="259"/>
        <v>36.740471675703454</v>
      </c>
      <c r="BW278" s="553">
        <f>$BV278/PI()*SQRT('Hilfstabellen_Mat&amp;Bem'!f.Rd.3/'Hilfstabellen_Mat&amp;Bem'!$BD$30)</f>
        <v>0.58474276787159762</v>
      </c>
      <c r="BX278" s="553">
        <f>0.5*(1+'Hilfstabellen_Mat&amp;Bem'!$BD$31*($BW278-0.3)+$BW278^2)</f>
        <v>0.68519919068264845</v>
      </c>
      <c r="BY278" s="550">
        <f t="shared" si="260"/>
        <v>0.95934858724090655</v>
      </c>
      <c r="CA278" s="551">
        <f t="shared" si="261"/>
        <v>104473.06115053472</v>
      </c>
      <c r="CE278" s="546">
        <f t="shared" si="262"/>
        <v>330</v>
      </c>
      <c r="CF278" s="551">
        <f t="shared" si="263"/>
        <v>37.790199437866406</v>
      </c>
      <c r="CG278" s="553">
        <f>CF278/PI()*SQRT('Hilfstabellen_Mat&amp;Bem'!f.Rd.3/'Hilfstabellen_Mat&amp;Bem'!$BD$30)</f>
        <v>0.60144970409650034</v>
      </c>
      <c r="CH278" s="553">
        <f>0.5*(1+'Hilfstabellen_Mat&amp;Bem'!$BD$31*(CG278-0.3)+CG278^2)</f>
        <v>0.69594335848370892</v>
      </c>
      <c r="CI278" s="550">
        <f t="shared" si="264"/>
        <v>0.95595016592166893</v>
      </c>
      <c r="CK278" s="551">
        <f t="shared" si="265"/>
        <v>104102.97306886975</v>
      </c>
      <c r="CO278" s="546">
        <f t="shared" si="266"/>
        <v>330</v>
      </c>
      <c r="CP278" s="551">
        <f t="shared" si="267"/>
        <v>38.839927200029372</v>
      </c>
      <c r="CQ278" s="553">
        <f>CP278/PI()*SQRT('Hilfstabellen_Mat&amp;Bem'!f.Rd.3/'Hilfstabellen_Mat&amp;Bem'!$BD$30)</f>
        <v>0.61815664032140338</v>
      </c>
      <c r="CR278" s="553">
        <f>0.5*(1+'Hilfstabellen_Mat&amp;Bem'!$BD$31*(CQ278-0.3)+CQ278^2)</f>
        <v>0.70696664800279263</v>
      </c>
      <c r="CS278" s="550">
        <f t="shared" si="268"/>
        <v>0.95236465348449173</v>
      </c>
      <c r="CU278" s="551">
        <f t="shared" si="269"/>
        <v>103712.51076446116</v>
      </c>
      <c r="CY278" s="546">
        <f t="shared" si="270"/>
        <v>330</v>
      </c>
      <c r="CZ278" s="551">
        <f t="shared" si="271"/>
        <v>39.889654962192324</v>
      </c>
      <c r="DA278" s="553">
        <f>CZ278/PI()*SQRT('Hilfstabellen_Mat&amp;Bem'!f.Rd.3/'Hilfstabellen_Mat&amp;Bem'!$BD$30)</f>
        <v>0.63486357654630599</v>
      </c>
      <c r="DB278" s="553">
        <f>0.5*(1+'Hilfstabellen_Mat&amp;Bem'!$BD$31*(DA278-0.3)+DA278^2)</f>
        <v>0.71826905923989903</v>
      </c>
      <c r="DC278" s="550">
        <f t="shared" si="272"/>
        <v>0.94857444069945585</v>
      </c>
      <c r="DE278" s="551">
        <f t="shared" si="273"/>
        <v>103299.75659217074</v>
      </c>
      <c r="DI278" s="546">
        <f t="shared" si="274"/>
        <v>330</v>
      </c>
      <c r="DJ278" s="551">
        <f t="shared" si="275"/>
        <v>40.939382724355276</v>
      </c>
      <c r="DK278" s="553">
        <f>DJ278/PI()*SQRT('Hilfstabellen_Mat&amp;Bem'!f.Rd.3/'Hilfstabellen_Mat&amp;Bem'!$BD$30)</f>
        <v>0.65157051277120881</v>
      </c>
      <c r="DL278" s="553">
        <f>0.5*(1+'Hilfstabellen_Mat&amp;Bem'!$BD$31*(DK278-0.3)+DK278^2)</f>
        <v>0.72985059219502846</v>
      </c>
      <c r="DM278" s="550">
        <f t="shared" si="276"/>
        <v>0.94456031175405941</v>
      </c>
      <c r="DO278" s="551">
        <f t="shared" si="277"/>
        <v>102862.61795001707</v>
      </c>
      <c r="DS278" s="546">
        <f t="shared" si="278"/>
        <v>330</v>
      </c>
      <c r="DT278" s="551">
        <f t="shared" si="279"/>
        <v>41.989110486518236</v>
      </c>
      <c r="DU278" s="553">
        <f>DT278/PI()*SQRT('Hilfstabellen_Mat&amp;Bem'!f.Rd.3/'Hilfstabellen_Mat&amp;Bem'!$BD$30)</f>
        <v>0.66827744899611163</v>
      </c>
      <c r="DV278" s="553">
        <f>0.5*(1+'Hilfstabellen_Mat&amp;Bem'!$BD$31*(DU278-0.3)+DU278^2)</f>
        <v>0.74171124686818091</v>
      </c>
      <c r="DW278" s="550">
        <f t="shared" si="280"/>
        <v>0.94030135006741433</v>
      </c>
      <c r="DY278" s="551">
        <f t="shared" si="281"/>
        <v>102398.81702234142</v>
      </c>
      <c r="EC278" s="546">
        <f t="shared" si="282"/>
        <v>330</v>
      </c>
      <c r="ED278" s="551">
        <f t="shared" si="283"/>
        <v>43.038838248681188</v>
      </c>
      <c r="EE278" s="553">
        <f>ED278/PI()*SQRT('Hilfstabellen_Mat&amp;Bem'!f.Rd.3/'Hilfstabellen_Mat&amp;Bem'!$BD$30)</f>
        <v>0.68498438522101435</v>
      </c>
      <c r="EF278" s="553">
        <f>0.5*(1+'Hilfstabellen_Mat&amp;Bem'!$BD$31*(EE278-0.3)+EE278^2)</f>
        <v>0.75385102325935627</v>
      </c>
      <c r="EG278" s="550">
        <f t="shared" si="284"/>
        <v>0.93577486778803731</v>
      </c>
      <c r="EI278" s="551">
        <f t="shared" si="285"/>
        <v>101905.88310211727</v>
      </c>
      <c r="EM278" s="546">
        <f t="shared" si="286"/>
        <v>330</v>
      </c>
      <c r="EN278" s="551">
        <f t="shared" si="287"/>
        <v>44.088566010844147</v>
      </c>
      <c r="EO278" s="553">
        <f>EN278/PI()*SQRT('Hilfstabellen_Mat&amp;Bem'!f.Rd.3/'Hilfstabellen_Mat&amp;Bem'!$BD$30)</f>
        <v>0.70169132144591717</v>
      </c>
      <c r="EP278" s="553">
        <f>0.5*(1+'Hilfstabellen_Mat&amp;Bem'!$BD$31*(EO278-0.3)+EO278^2)</f>
        <v>0.76626992136855465</v>
      </c>
      <c r="EQ278" s="550">
        <f t="shared" si="288"/>
        <v>0.93095637294343947</v>
      </c>
      <c r="ES278" s="551">
        <f t="shared" si="289"/>
        <v>101381.14901354056</v>
      </c>
    </row>
    <row r="279" spans="3:149">
      <c r="C279" s="546">
        <v>331</v>
      </c>
      <c r="D279" s="551">
        <f t="shared" si="244"/>
        <v>29.303578617479495</v>
      </c>
      <c r="E279" s="553">
        <f>$D279/PI()*SQRT('Hilfstabellen_Mat&amp;Bem'!f.Rd.3/'Hilfstabellen_Mat&amp;Bem'!$BD$30)</f>
        <v>0.46638093872538305</v>
      </c>
      <c r="F279" s="553">
        <f>0.5*(1+'Hilfstabellen_Mat&amp;Bem'!$BD$31*($E279-0.3)+$E279^2)</f>
        <v>0.61707463693945397</v>
      </c>
      <c r="G279" s="550">
        <f t="shared" si="245"/>
        <v>0.97929633056541332</v>
      </c>
      <c r="I279" s="551">
        <f t="shared" si="290"/>
        <v>107292.68527307725</v>
      </c>
      <c r="M279" s="546">
        <f t="shared" si="246"/>
        <v>331</v>
      </c>
      <c r="N279" s="551">
        <f t="shared" si="236"/>
        <v>30.350134996675191</v>
      </c>
      <c r="O279" s="553">
        <f>$N279/PI()*SQRT('Hilfstabellen_Mat&amp;Bem'!f.Rd.3/'Hilfstabellen_Mat&amp;Bem'!$BD$30)</f>
        <v>0.48303740082271818</v>
      </c>
      <c r="P279" s="553">
        <f>0.5*(1+'Hilfstabellen_Mat&amp;Bem'!$BD$31*($O279-0.3)+$O279^2)</f>
        <v>0.62581443533791958</v>
      </c>
      <c r="Q279" s="550">
        <f t="shared" si="237"/>
        <v>0.97684190598234333</v>
      </c>
      <c r="S279" s="551">
        <f t="shared" si="291"/>
        <v>107023.77606133152</v>
      </c>
      <c r="W279" s="546">
        <f t="shared" si="247"/>
        <v>331</v>
      </c>
      <c r="X279" s="551">
        <f t="shared" si="238"/>
        <v>31.396691375870887</v>
      </c>
      <c r="Y279" s="553">
        <f>$X279/PI()*SQRT('Hilfstabellen_Mat&amp;Bem'!f.Rd.3/'Hilfstabellen_Mat&amp;Bem'!$BD$30)</f>
        <v>0.4996938629200533</v>
      </c>
      <c r="Z279" s="553">
        <f>0.5*(1+'Hilfstabellen_Mat&amp;Bem'!$BD$31*($Y279-0.3)+$Y279^2)</f>
        <v>0.63483167146598518</v>
      </c>
      <c r="AA279" s="550">
        <f t="shared" si="239"/>
        <v>0.97428928967436557</v>
      </c>
      <c r="AC279" s="551">
        <f t="shared" si="292"/>
        <v>106744.10886601316</v>
      </c>
      <c r="AG279" s="546">
        <f t="shared" si="248"/>
        <v>331</v>
      </c>
      <c r="AH279" s="551">
        <f t="shared" si="240"/>
        <v>32.443247755066579</v>
      </c>
      <c r="AI279" s="553">
        <f>$AH279/PI()*SQRT('Hilfstabellen_Mat&amp;Bem'!f.Rd.3/'Hilfstabellen_Mat&amp;Bem'!$BD$30)</f>
        <v>0.51635032501738831</v>
      </c>
      <c r="AJ279" s="553">
        <f>0.5*(1+'Hilfstabellen_Mat&amp;Bem'!$BD$31*($AI279-0.3)+$AI279^2)</f>
        <v>0.64412634532365076</v>
      </c>
      <c r="AK279" s="550">
        <f t="shared" si="241"/>
        <v>0.97162922023895637</v>
      </c>
      <c r="AM279" s="551">
        <f t="shared" si="293"/>
        <v>106452.6689986003</v>
      </c>
      <c r="AQ279" s="546">
        <f t="shared" si="249"/>
        <v>331</v>
      </c>
      <c r="AR279" s="551">
        <f t="shared" si="242"/>
        <v>33.489804134262279</v>
      </c>
      <c r="AS279" s="553">
        <f>$AR279/PI()*SQRT('Hilfstabellen_Mat&amp;Bem'!f.Rd.3/'Hilfstabellen_Mat&amp;Bem'!$BD$30)</f>
        <v>0.53300678711472338</v>
      </c>
      <c r="AT279" s="553">
        <f>0.5*(1+'Hilfstabellen_Mat&amp;Bem'!$BD$31*($AS279-0.3)+$AS279^2)</f>
        <v>0.6536984569109161</v>
      </c>
      <c r="AU279" s="550">
        <f t="shared" si="243"/>
        <v>0.9688515915850483</v>
      </c>
      <c r="AW279" s="551">
        <f t="shared" si="294"/>
        <v>106148.34922564948</v>
      </c>
      <c r="BA279" s="546">
        <f t="shared" si="250"/>
        <v>331</v>
      </c>
      <c r="BB279" s="551">
        <f t="shared" si="251"/>
        <v>34.536360513457971</v>
      </c>
      <c r="BC279" s="553">
        <f>$BB279/PI()*SQRT('Hilfstabellen_Mat&amp;Bem'!f.Rd.3/'Hilfstabellen_Mat&amp;Bem'!$BD$30)</f>
        <v>0.54966324921205856</v>
      </c>
      <c r="BD279" s="553">
        <f>0.5*(1+'Hilfstabellen_Mat&amp;Bem'!$BD$31*($BC279-0.3)+$BC279^2)</f>
        <v>0.66354800622778165</v>
      </c>
      <c r="BE279" s="550">
        <f t="shared" si="252"/>
        <v>0.96594536260086072</v>
      </c>
      <c r="BG279" s="551">
        <f t="shared" si="253"/>
        <v>105829.93987191289</v>
      </c>
      <c r="BK279" s="546">
        <f t="shared" si="254"/>
        <v>331</v>
      </c>
      <c r="BL279" s="551">
        <f t="shared" si="255"/>
        <v>35.582916892653671</v>
      </c>
      <c r="BM279" s="553">
        <f>$BL279/PI()*SQRT('Hilfstabellen_Mat&amp;Bem'!f.Rd.3/'Hilfstabellen_Mat&amp;Bem'!$BD$30)</f>
        <v>0.56631971130939363</v>
      </c>
      <c r="BN279" s="553">
        <f>0.5*(1+'Hilfstabellen_Mat&amp;Bem'!$BD$31*($BM279-0.3)+$BM279^2)</f>
        <v>0.67367499327424718</v>
      </c>
      <c r="BO279" s="550">
        <f t="shared" si="256"/>
        <v>0.96289845981593647</v>
      </c>
      <c r="BQ279" s="551">
        <f t="shared" si="257"/>
        <v>105496.11815589381</v>
      </c>
      <c r="BU279" s="546">
        <f t="shared" si="258"/>
        <v>331</v>
      </c>
      <c r="BV279" s="551">
        <f t="shared" si="259"/>
        <v>36.629473271849371</v>
      </c>
      <c r="BW279" s="553">
        <f>$BV279/PI()*SQRT('Hilfstabellen_Mat&amp;Bem'!f.Rd.3/'Hilfstabellen_Mat&amp;Bem'!$BD$30)</f>
        <v>0.5829761734067288</v>
      </c>
      <c r="BX279" s="553">
        <f>0.5*(1+'Hilfstabellen_Mat&amp;Bem'!$BD$31*($BW279-0.3)+$BW279^2)</f>
        <v>0.68407941805031258</v>
      </c>
      <c r="BY279" s="550">
        <f t="shared" si="260"/>
        <v>0.95969767365004843</v>
      </c>
      <c r="CA279" s="551">
        <f t="shared" si="261"/>
        <v>105145.43682277296</v>
      </c>
      <c r="CE279" s="546">
        <f t="shared" si="262"/>
        <v>331</v>
      </c>
      <c r="CF279" s="551">
        <f t="shared" si="263"/>
        <v>37.676029651045063</v>
      </c>
      <c r="CG279" s="553">
        <f>CF279/PI()*SQRT('Hilfstabellen_Mat&amp;Bem'!f.Rd.3/'Hilfstabellen_Mat&amp;Bem'!$BD$30)</f>
        <v>0.59963263550406387</v>
      </c>
      <c r="CH279" s="553">
        <f>0.5*(1+'Hilfstabellen_Mat&amp;Bem'!$BD$31*(CG279-0.3)+CG279^2)</f>
        <v>0.69476128055597797</v>
      </c>
      <c r="CI279" s="550">
        <f t="shared" si="264"/>
        <v>0.95632854945937873</v>
      </c>
      <c r="CK279" s="551">
        <f t="shared" si="265"/>
        <v>104776.31220731899</v>
      </c>
      <c r="CO279" s="546">
        <f t="shared" si="266"/>
        <v>331</v>
      </c>
      <c r="CP279" s="551">
        <f t="shared" si="267"/>
        <v>38.722586030240755</v>
      </c>
      <c r="CQ279" s="553">
        <f>CP279/PI()*SQRT('Hilfstabellen_Mat&amp;Bem'!f.Rd.3/'Hilfstabellen_Mat&amp;Bem'!$BD$30)</f>
        <v>0.61628909760139894</v>
      </c>
      <c r="CR279" s="553">
        <f>0.5*(1+'Hilfstabellen_Mat&amp;Bem'!$BD$31*(CQ279-0.3)+CQ279^2)</f>
        <v>0.70572058079124322</v>
      </c>
      <c r="CS279" s="550">
        <f t="shared" si="268"/>
        <v>0.95277527546193597</v>
      </c>
      <c r="CU279" s="551">
        <f t="shared" si="269"/>
        <v>104387.01195488517</v>
      </c>
      <c r="CY279" s="546">
        <f t="shared" si="270"/>
        <v>331</v>
      </c>
      <c r="CZ279" s="551">
        <f t="shared" si="271"/>
        <v>39.769142409436455</v>
      </c>
      <c r="DA279" s="553">
        <f>CZ279/PI()*SQRT('Hilfstabellen_Mat&amp;Bem'!f.Rd.3/'Hilfstabellen_Mat&amp;Bem'!$BD$30)</f>
        <v>0.63294555969873412</v>
      </c>
      <c r="DB279" s="553">
        <f>0.5*(1+'Hilfstabellen_Mat&amp;Bem'!$BD$31*(DA279-0.3)+DA279^2)</f>
        <v>0.71695731875610857</v>
      </c>
      <c r="DC279" s="550">
        <f t="shared" si="272"/>
        <v>0.94902057082636992</v>
      </c>
      <c r="DE279" s="551">
        <f t="shared" si="273"/>
        <v>103975.64276030792</v>
      </c>
      <c r="DI279" s="546">
        <f t="shared" si="274"/>
        <v>331</v>
      </c>
      <c r="DJ279" s="551">
        <f t="shared" si="275"/>
        <v>40.815698788632147</v>
      </c>
      <c r="DK279" s="553">
        <f>DJ279/PI()*SQRT('Hilfstabellen_Mat&amp;Bem'!f.Rd.3/'Hilfstabellen_Mat&amp;Bem'!$BD$30)</f>
        <v>0.64960202179606918</v>
      </c>
      <c r="DL279" s="553">
        <f>0.5*(1+'Hilfstabellen_Mat&amp;Bem'!$BD$31*(DK279-0.3)+DK279^2)</f>
        <v>0.72847149445057391</v>
      </c>
      <c r="DM279" s="550">
        <f t="shared" si="276"/>
        <v>0.94504557883099949</v>
      </c>
      <c r="DO279" s="551">
        <f t="shared" si="277"/>
        <v>103540.13866230313</v>
      </c>
      <c r="DS279" s="546">
        <f t="shared" si="278"/>
        <v>331</v>
      </c>
      <c r="DT279" s="551">
        <f t="shared" si="279"/>
        <v>41.862255167827847</v>
      </c>
      <c r="DU279" s="553">
        <f>DT279/PI()*SQRT('Hilfstabellen_Mat&amp;Bem'!f.Rd.3/'Hilfstabellen_Mat&amp;Bem'!$BD$30)</f>
        <v>0.66625848389340436</v>
      </c>
      <c r="DV279" s="553">
        <f>0.5*(1+'Hilfstabellen_Mat&amp;Bem'!$BD$31*(DU279-0.3)+DU279^2)</f>
        <v>0.74026310787463911</v>
      </c>
      <c r="DW279" s="550">
        <f t="shared" si="280"/>
        <v>0.94082977214037589</v>
      </c>
      <c r="DY279" s="551">
        <f t="shared" si="281"/>
        <v>103078.25066547173</v>
      </c>
      <c r="EC279" s="546">
        <f t="shared" si="282"/>
        <v>331</v>
      </c>
      <c r="ED279" s="551">
        <f t="shared" si="283"/>
        <v>42.908811547023546</v>
      </c>
      <c r="EE279" s="553">
        <f>ED279/PI()*SQRT('Hilfstabellen_Mat&amp;Bem'!f.Rd.3/'Hilfstabellen_Mat&amp;Bem'!$BD$30)</f>
        <v>0.68291494599073943</v>
      </c>
      <c r="EF279" s="553">
        <f>0.5*(1+'Hilfstabellen_Mat&amp;Bem'!$BD$31*(EE279-0.3)+EE279^2)</f>
        <v>0.7523321590283043</v>
      </c>
      <c r="EG279" s="550">
        <f t="shared" si="284"/>
        <v>0.93635087999861921</v>
      </c>
      <c r="EI279" s="551">
        <f t="shared" si="285"/>
        <v>102587.53876352872</v>
      </c>
      <c r="EM279" s="546">
        <f t="shared" si="286"/>
        <v>331</v>
      </c>
      <c r="EN279" s="551">
        <f t="shared" si="287"/>
        <v>43.955367926219239</v>
      </c>
      <c r="EO279" s="553">
        <f>EN279/PI()*SQRT('Hilfstabellen_Mat&amp;Bem'!f.Rd.3/'Hilfstabellen_Mat&amp;Bem'!$BD$30)</f>
        <v>0.6995714080880745</v>
      </c>
      <c r="EP279" s="553">
        <f>0.5*(1+'Hilfstabellen_Mat&amp;Bem'!$BD$31*(EO279-0.3)+EO279^2)</f>
        <v>0.76467864791156936</v>
      </c>
      <c r="EQ279" s="550">
        <f t="shared" si="288"/>
        <v>0.93158485056848361</v>
      </c>
      <c r="ES279" s="551">
        <f t="shared" si="289"/>
        <v>102065.36781313363</v>
      </c>
    </row>
    <row r="280" spans="3:149">
      <c r="C280" s="546">
        <v>332</v>
      </c>
      <c r="D280" s="551">
        <f t="shared" si="244"/>
        <v>29.21531482646299</v>
      </c>
      <c r="E280" s="553">
        <f>$D280/PI()*SQRT('Hilfstabellen_Mat&amp;Bem'!f.Rd.3/'Hilfstabellen_Mat&amp;Bem'!$BD$30)</f>
        <v>0.46497617686175235</v>
      </c>
      <c r="F280" s="553">
        <f>0.5*(1+'Hilfstabellen_Mat&amp;Bem'!$BD$31*($E280-0.3)+$E280^2)</f>
        <v>0.6163502313675735</v>
      </c>
      <c r="G280" s="550">
        <f t="shared" si="245"/>
        <v>0.97949911562346481</v>
      </c>
      <c r="I280" s="551">
        <f t="shared" si="290"/>
        <v>107964.31052048078</v>
      </c>
      <c r="M280" s="546">
        <f t="shared" si="246"/>
        <v>332</v>
      </c>
      <c r="N280" s="551">
        <f t="shared" si="236"/>
        <v>30.258718927408097</v>
      </c>
      <c r="O280" s="553">
        <f>$N280/PI()*SQRT('Hilfstabellen_Mat&amp;Bem'!f.Rd.3/'Hilfstabellen_Mat&amp;Bem'!$BD$30)</f>
        <v>0.4815824688925292</v>
      </c>
      <c r="P280" s="553">
        <f>0.5*(1+'Hilfstabellen_Mat&amp;Bem'!$BD$31*($O280-0.3)+$O280^2)</f>
        <v>0.62503996061693834</v>
      </c>
      <c r="Q280" s="550">
        <f t="shared" si="237"/>
        <v>0.97706008455726046</v>
      </c>
      <c r="S280" s="551">
        <f t="shared" si="291"/>
        <v>107695.47076023948</v>
      </c>
      <c r="W280" s="546">
        <f t="shared" si="247"/>
        <v>332</v>
      </c>
      <c r="X280" s="551">
        <f t="shared" si="238"/>
        <v>31.302123028353204</v>
      </c>
      <c r="Y280" s="553">
        <f>$X280/PI()*SQRT('Hilfstabellen_Mat&amp;Bem'!f.Rd.3/'Hilfstabellen_Mat&amp;Bem'!$BD$30)</f>
        <v>0.49818876092330611</v>
      </c>
      <c r="Z280" s="553">
        <f>0.5*(1+'Hilfstabellen_Mat&amp;Bem'!$BD$31*($Y280-0.3)+$Y280^2)</f>
        <v>0.63400545880131487</v>
      </c>
      <c r="AA280" s="550">
        <f t="shared" si="239"/>
        <v>0.97452421979138337</v>
      </c>
      <c r="AC280" s="551">
        <f t="shared" si="292"/>
        <v>107415.95760228545</v>
      </c>
      <c r="AG280" s="546">
        <f t="shared" si="248"/>
        <v>332</v>
      </c>
      <c r="AH280" s="551">
        <f t="shared" si="240"/>
        <v>32.345527129298311</v>
      </c>
      <c r="AI280" s="553">
        <f>$AH280/PI()*SQRT('Hilfstabellen_Mat&amp;Bem'!f.Rd.3/'Hilfstabellen_Mat&amp;Bem'!$BD$30)</f>
        <v>0.51479505295408301</v>
      </c>
      <c r="AJ280" s="553">
        <f>0.5*(1+'Hilfstabellen_Mat&amp;Bem'!$BD$31*($AI280-0.3)+$AI280^2)</f>
        <v>0.64324672592070264</v>
      </c>
      <c r="AK280" s="550">
        <f t="shared" si="241"/>
        <v>0.97188241370849293</v>
      </c>
      <c r="AM280" s="551">
        <f t="shared" si="293"/>
        <v>107124.76716860493</v>
      </c>
      <c r="AQ280" s="546">
        <f t="shared" si="249"/>
        <v>332</v>
      </c>
      <c r="AR280" s="551">
        <f t="shared" si="242"/>
        <v>33.388931230243422</v>
      </c>
      <c r="AS280" s="553">
        <f>$AR280/PI()*SQRT('Hilfstabellen_Mat&amp;Bem'!f.Rd.3/'Hilfstabellen_Mat&amp;Bem'!$BD$30)</f>
        <v>0.53140134498485991</v>
      </c>
      <c r="AT280" s="553">
        <f>0.5*(1+'Hilfstabellen_Mat&amp;Bem'!$BD$31*($AS280-0.3)+$AS280^2)</f>
        <v>0.65276376197510211</v>
      </c>
      <c r="AU280" s="550">
        <f t="shared" si="243"/>
        <v>0.96912473185638892</v>
      </c>
      <c r="AW280" s="551">
        <f t="shared" si="294"/>
        <v>106820.80444413862</v>
      </c>
      <c r="BA280" s="546">
        <f t="shared" si="250"/>
        <v>332</v>
      </c>
      <c r="BB280" s="551">
        <f t="shared" si="251"/>
        <v>34.432335331188519</v>
      </c>
      <c r="BC280" s="553">
        <f>$BB280/PI()*SQRT('Hilfstabellen_Mat&amp;Bem'!f.Rd.3/'Hilfstabellen_Mat&amp;Bem'!$BD$30)</f>
        <v>0.54800763701563671</v>
      </c>
      <c r="BD280" s="553">
        <f>0.5*(1+'Hilfstabellen_Mat&amp;Bem'!$BD$31*($BC280-0.3)+$BC280^2)</f>
        <v>0.66255656696451282</v>
      </c>
      <c r="BE280" s="550">
        <f t="shared" si="252"/>
        <v>0.96624032461526721</v>
      </c>
      <c r="BG280" s="551">
        <f t="shared" si="253"/>
        <v>106502.87354039321</v>
      </c>
      <c r="BK280" s="546">
        <f t="shared" si="254"/>
        <v>332</v>
      </c>
      <c r="BL280" s="551">
        <f t="shared" si="255"/>
        <v>35.475739432133629</v>
      </c>
      <c r="BM280" s="553">
        <f>$BL280/PI()*SQRT('Hilfstabellen_Mat&amp;Bem'!f.Rd.3/'Hilfstabellen_Mat&amp;Bem'!$BD$30)</f>
        <v>0.5646139290464135</v>
      </c>
      <c r="BN280" s="553">
        <f>0.5*(1+'Hilfstabellen_Mat&amp;Bem'!$BD$31*($BM280-0.3)+$BM280^2)</f>
        <v>0.67262514088893488</v>
      </c>
      <c r="BO280" s="550">
        <f t="shared" si="256"/>
        <v>0.96321733195373993</v>
      </c>
      <c r="BQ280" s="551">
        <f t="shared" si="257"/>
        <v>106169.66719726902</v>
      </c>
      <c r="BU280" s="546">
        <f t="shared" si="258"/>
        <v>332</v>
      </c>
      <c r="BV280" s="551">
        <f t="shared" si="259"/>
        <v>36.519143533078733</v>
      </c>
      <c r="BW280" s="553">
        <f>$BV280/PI()*SQRT('Hilfstabellen_Mat&amp;Bem'!f.Rd.3/'Hilfstabellen_Mat&amp;Bem'!$BD$30)</f>
        <v>0.58122022107719029</v>
      </c>
      <c r="BX280" s="553">
        <f>0.5*(1+'Hilfstabellen_Mat&amp;Bem'!$BD$31*($BW280-0.3)+$BW280^2)</f>
        <v>0.68296948374836841</v>
      </c>
      <c r="BY280" s="550">
        <f t="shared" si="260"/>
        <v>0.96004278180677716</v>
      </c>
      <c r="CA280" s="551">
        <f t="shared" si="261"/>
        <v>105819.75558187021</v>
      </c>
      <c r="CE280" s="546">
        <f t="shared" si="262"/>
        <v>332</v>
      </c>
      <c r="CF280" s="551">
        <f t="shared" si="263"/>
        <v>37.562547634023844</v>
      </c>
      <c r="CG280" s="553">
        <f>CF280/PI()*SQRT('Hilfstabellen_Mat&amp;Bem'!f.Rd.3/'Hilfstabellen_Mat&amp;Bem'!$BD$30)</f>
        <v>0.59782651310796731</v>
      </c>
      <c r="CH280" s="553">
        <f>0.5*(1+'Hilfstabellen_Mat&amp;Bem'!$BD$31*(CG280-0.3)+CG280^2)</f>
        <v>0.69358959554281374</v>
      </c>
      <c r="CI280" s="550">
        <f t="shared" si="264"/>
        <v>0.95670248319118312</v>
      </c>
      <c r="CK280" s="551">
        <f t="shared" si="265"/>
        <v>105451.57450726497</v>
      </c>
      <c r="CO280" s="546">
        <f t="shared" si="266"/>
        <v>332</v>
      </c>
      <c r="CP280" s="551">
        <f t="shared" si="267"/>
        <v>38.605951734968947</v>
      </c>
      <c r="CQ280" s="553">
        <f>CP280/PI()*SQRT('Hilfstabellen_Mat&amp;Bem'!f.Rd.3/'Hilfstabellen_Mat&amp;Bem'!$BD$30)</f>
        <v>0.6144328051387441</v>
      </c>
      <c r="CR280" s="553">
        <f>0.5*(1+'Hilfstabellen_Mat&amp;Bem'!$BD$31*(CQ280-0.3)+CQ280^2)</f>
        <v>0.70448547627227021</v>
      </c>
      <c r="CS280" s="550">
        <f t="shared" si="268"/>
        <v>0.953180915997071</v>
      </c>
      <c r="CU280" s="551">
        <f t="shared" si="269"/>
        <v>105063.41328486115</v>
      </c>
      <c r="CY280" s="546">
        <f t="shared" si="270"/>
        <v>332</v>
      </c>
      <c r="CZ280" s="551">
        <f t="shared" si="271"/>
        <v>39.649355835914058</v>
      </c>
      <c r="DA280" s="553">
        <f>CZ280/PI()*SQRT('Hilfstabellen_Mat&amp;Bem'!f.Rd.3/'Hilfstabellen_Mat&amp;Bem'!$BD$30)</f>
        <v>0.63103909716952111</v>
      </c>
      <c r="DB280" s="553">
        <f>0.5*(1+'Hilfstabellen_Mat&amp;Bem'!$BD$31*(DA280-0.3)+DA280^2)</f>
        <v>0.71565712593673814</v>
      </c>
      <c r="DC280" s="550">
        <f t="shared" si="272"/>
        <v>0.94946112053029574</v>
      </c>
      <c r="DE280" s="551">
        <f t="shared" si="273"/>
        <v>104653.40254933132</v>
      </c>
      <c r="DI280" s="546">
        <f t="shared" si="274"/>
        <v>332</v>
      </c>
      <c r="DJ280" s="551">
        <f t="shared" si="275"/>
        <v>40.692759936859161</v>
      </c>
      <c r="DK280" s="553">
        <f>DJ280/PI()*SQRT('Hilfstabellen_Mat&amp;Bem'!f.Rd.3/'Hilfstabellen_Mat&amp;Bem'!$BD$30)</f>
        <v>0.64764538920029791</v>
      </c>
      <c r="DL280" s="553">
        <f>0.5*(1+'Hilfstabellen_Mat&amp;Bem'!$BD$31*(DK280-0.3)+DK280^2)</f>
        <v>0.72710454453621753</v>
      </c>
      <c r="DM280" s="550">
        <f t="shared" si="276"/>
        <v>0.94552459141686551</v>
      </c>
      <c r="DO280" s="551">
        <f t="shared" si="277"/>
        <v>104219.50256433258</v>
      </c>
      <c r="DS280" s="546">
        <f t="shared" si="278"/>
        <v>332</v>
      </c>
      <c r="DT280" s="551">
        <f t="shared" si="279"/>
        <v>41.736164037804272</v>
      </c>
      <c r="DU280" s="553">
        <f>DT280/PI()*SQRT('Hilfstabellen_Mat&amp;Bem'!f.Rd.3/'Hilfstabellen_Mat&amp;Bem'!$BD$30)</f>
        <v>0.66425168123107481</v>
      </c>
      <c r="DV280" s="553">
        <f>0.5*(1+'Hilfstabellen_Mat&amp;Bem'!$BD$31*(DU280-0.3)+DU280^2)</f>
        <v>0.73882773207070851</v>
      </c>
      <c r="DW280" s="550">
        <f t="shared" si="280"/>
        <v>0.94135118251020788</v>
      </c>
      <c r="DY280" s="551">
        <f t="shared" si="281"/>
        <v>103759.49274100516</v>
      </c>
      <c r="EC280" s="546">
        <f t="shared" si="282"/>
        <v>332</v>
      </c>
      <c r="ED280" s="551">
        <f t="shared" si="283"/>
        <v>42.779568138749376</v>
      </c>
      <c r="EE280" s="553">
        <f>ED280/PI()*SQRT('Hilfstabellen_Mat&amp;Bem'!f.Rd.3/'Hilfstabellen_Mat&amp;Bem'!$BD$30)</f>
        <v>0.6808579732618516</v>
      </c>
      <c r="EF280" s="553">
        <f>0.5*(1+'Hilfstabellen_Mat&amp;Bem'!$BD$31*(EE280-0.3)+EE280^2)</f>
        <v>0.75082668854021073</v>
      </c>
      <c r="EG280" s="550">
        <f t="shared" si="284"/>
        <v>0.93691903205783744</v>
      </c>
      <c r="EI280" s="551">
        <f t="shared" si="285"/>
        <v>103270.96338954307</v>
      </c>
      <c r="EM280" s="546">
        <f t="shared" si="286"/>
        <v>332</v>
      </c>
      <c r="EN280" s="551">
        <f t="shared" si="287"/>
        <v>43.822972239694479</v>
      </c>
      <c r="EO280" s="553">
        <f>EN280/PI()*SQRT('Hilfstabellen_Mat&amp;Bem'!f.Rd.3/'Hilfstabellen_Mat&amp;Bem'!$BD$30)</f>
        <v>0.69746426529262839</v>
      </c>
      <c r="EP280" s="553">
        <f>0.5*(1+'Hilfstabellen_Mat&amp;Bem'!$BD$31*(EO280-0.3)+EO280^2)</f>
        <v>0.76310141394472442</v>
      </c>
      <c r="EQ280" s="550">
        <f t="shared" si="288"/>
        <v>0.93220452065448289</v>
      </c>
      <c r="ES280" s="551">
        <f t="shared" si="289"/>
        <v>102751.31108461972</v>
      </c>
    </row>
    <row r="281" spans="3:149">
      <c r="C281" s="546">
        <v>333</v>
      </c>
      <c r="D281" s="551">
        <f t="shared" si="244"/>
        <v>29.127581148305445</v>
      </c>
      <c r="E281" s="553">
        <f>$D281/PI()*SQRT('Hilfstabellen_Mat&amp;Bem'!f.Rd.3/'Hilfstabellen_Mat&amp;Bem'!$BD$30)</f>
        <v>0.46357985200631169</v>
      </c>
      <c r="F281" s="553">
        <f>0.5*(1+'Hilfstabellen_Mat&amp;Bem'!$BD$31*($E281-0.3)+$E281^2)</f>
        <v>0.61563213219341251</v>
      </c>
      <c r="G281" s="550">
        <f t="shared" si="245"/>
        <v>0.97970005574097752</v>
      </c>
      <c r="I281" s="551">
        <f t="shared" si="290"/>
        <v>108637.95948106126</v>
      </c>
      <c r="M281" s="546">
        <f t="shared" si="246"/>
        <v>333</v>
      </c>
      <c r="N281" s="551">
        <f t="shared" si="236"/>
        <v>30.167851903602067</v>
      </c>
      <c r="O281" s="553">
        <f>$N281/PI()*SQRT('Hilfstabellen_Mat&amp;Bem'!f.Rd.3/'Hilfstabellen_Mat&amp;Bem'!$BD$30)</f>
        <v>0.48013627529225139</v>
      </c>
      <c r="P281" s="553">
        <f>0.5*(1+'Hilfstabellen_Mat&amp;Bem'!$BD$31*($O281-0.3)+$O281^2)</f>
        <v>0.62427223519037089</v>
      </c>
      <c r="Q281" s="550">
        <f t="shared" si="237"/>
        <v>0.97727621658606667</v>
      </c>
      <c r="S281" s="551">
        <f t="shared" si="291"/>
        <v>108369.18238101235</v>
      </c>
      <c r="W281" s="546">
        <f t="shared" si="247"/>
        <v>333</v>
      </c>
      <c r="X281" s="551">
        <f t="shared" si="238"/>
        <v>31.208122658898688</v>
      </c>
      <c r="Y281" s="553">
        <f>$X281/PI()*SQRT('Hilfstabellen_Mat&amp;Bem'!f.Rd.3/'Hilfstabellen_Mat&amp;Bem'!$BD$30)</f>
        <v>0.49669269857819104</v>
      </c>
      <c r="Z281" s="553">
        <f>0.5*(1+'Hilfstabellen_Mat&amp;Bem'!$BD$31*($Y281-0.3)+$Y281^2)</f>
        <v>0.63318645333935242</v>
      </c>
      <c r="AA281" s="550">
        <f t="shared" si="239"/>
        <v>0.97475687701717195</v>
      </c>
      <c r="AC281" s="551">
        <f t="shared" si="292"/>
        <v>108089.81533555718</v>
      </c>
      <c r="AG281" s="546">
        <f t="shared" si="248"/>
        <v>333</v>
      </c>
      <c r="AH281" s="551">
        <f t="shared" si="240"/>
        <v>32.248393414195313</v>
      </c>
      <c r="AI281" s="553">
        <f>$AH281/PI()*SQRT('Hilfstabellen_Mat&amp;Bem'!f.Rd.3/'Hilfstabellen_Mat&amp;Bem'!$BD$30)</f>
        <v>0.51324912186413074</v>
      </c>
      <c r="AJ281" s="553">
        <f>0.5*(1+'Hilfstabellen_Mat&amp;Bem'!$BD$31*($AI281-0.3)+$AI281^2)</f>
        <v>0.64237478664035719</v>
      </c>
      <c r="AK281" s="550">
        <f t="shared" si="241"/>
        <v>0.97213307988526343</v>
      </c>
      <c r="AM281" s="551">
        <f t="shared" si="293"/>
        <v>107798.86509539698</v>
      </c>
      <c r="AQ281" s="546">
        <f t="shared" si="249"/>
        <v>333</v>
      </c>
      <c r="AR281" s="551">
        <f t="shared" si="242"/>
        <v>33.288664169491938</v>
      </c>
      <c r="AS281" s="553">
        <f>$AR281/PI()*SQRT('Hilfstabellen_Mat&amp;Bem'!f.Rd.3/'Hilfstabellen_Mat&amp;Bem'!$BD$30)</f>
        <v>0.5298055451500705</v>
      </c>
      <c r="AT281" s="553">
        <f>0.5*(1+'Hilfstabellen_Mat&amp;Bem'!$BD$31*($AS281-0.3)+$AS281^2)</f>
        <v>0.6518372350933852</v>
      </c>
      <c r="AU281" s="550">
        <f t="shared" si="243"/>
        <v>0.96939505862133823</v>
      </c>
      <c r="AW281" s="551">
        <f t="shared" si="294"/>
        <v>107495.24865546158</v>
      </c>
      <c r="BA281" s="546">
        <f t="shared" si="250"/>
        <v>333</v>
      </c>
      <c r="BB281" s="551">
        <f t="shared" si="251"/>
        <v>34.328934924788555</v>
      </c>
      <c r="BC281" s="553">
        <f>$BB281/PI()*SQRT('Hilfstabellen_Mat&amp;Bem'!f.Rd.3/'Hilfstabellen_Mat&amp;Bem'!$BD$30)</f>
        <v>0.54636196843601004</v>
      </c>
      <c r="BD281" s="553">
        <f>0.5*(1+'Hilfstabellen_Mat&amp;Bem'!$BD$31*($BC281-0.3)+$BC281^2)</f>
        <v>0.66157379869843636</v>
      </c>
      <c r="BE281" s="550">
        <f t="shared" si="252"/>
        <v>0.96653215085679656</v>
      </c>
      <c r="BG281" s="551">
        <f t="shared" si="253"/>
        <v>107177.78367635931</v>
      </c>
      <c r="BK281" s="546">
        <f t="shared" si="254"/>
        <v>333</v>
      </c>
      <c r="BL281" s="551">
        <f t="shared" si="255"/>
        <v>35.36920568008518</v>
      </c>
      <c r="BM281" s="553">
        <f>$BL281/PI()*SQRT('Hilfstabellen_Mat&amp;Bem'!f.Rd.3/'Hilfstabellen_Mat&amp;Bem'!$BD$30)</f>
        <v>0.5629183917219498</v>
      </c>
      <c r="BN281" s="553">
        <f>0.5*(1+'Hilfstabellen_Mat&amp;Bem'!$BD$31*($BM281-0.3)+$BM281^2)</f>
        <v>0.67158447745551075</v>
      </c>
      <c r="BO281" s="550">
        <f t="shared" si="256"/>
        <v>0.96353270522927537</v>
      </c>
      <c r="BQ281" s="551">
        <f t="shared" si="257"/>
        <v>106845.17815016911</v>
      </c>
      <c r="BU281" s="546">
        <f t="shared" si="258"/>
        <v>333</v>
      </c>
      <c r="BV281" s="551">
        <f t="shared" si="259"/>
        <v>36.409476435381805</v>
      </c>
      <c r="BW281" s="553">
        <f>$BV281/PI()*SQRT('Hilfstabellen_Mat&amp;Bem'!f.Rd.3/'Hilfstabellen_Mat&amp;Bem'!$BD$30)</f>
        <v>0.57947481500788955</v>
      </c>
      <c r="BX281" s="553">
        <f>0.5*(1+'Hilfstabellen_Mat&amp;Bem'!$BD$31*($BW281-0.3)+$BW281^2)</f>
        <v>0.6818692713646084</v>
      </c>
      <c r="BY281" s="550">
        <f t="shared" si="260"/>
        <v>0.96038398185169638</v>
      </c>
      <c r="CA281" s="551">
        <f t="shared" si="261"/>
        <v>106496.01936355275</v>
      </c>
      <c r="CE281" s="546">
        <f t="shared" si="262"/>
        <v>333</v>
      </c>
      <c r="CF281" s="551">
        <f t="shared" si="263"/>
        <v>37.449747190678423</v>
      </c>
      <c r="CG281" s="553">
        <f>CF281/PI()*SQRT('Hilfstabellen_Mat&amp;Bem'!f.Rd.3/'Hilfstabellen_Mat&amp;Bem'!$BD$30)</f>
        <v>0.5960312382938292</v>
      </c>
      <c r="CH281" s="553">
        <f>0.5*(1+'Hilfstabellen_Mat&amp;Bem'!$BD$31*(CG281-0.3)+CG281^2)</f>
        <v>0.69242818042572918</v>
      </c>
      <c r="CI281" s="550">
        <f t="shared" si="264"/>
        <v>0.95707204747151975</v>
      </c>
      <c r="CK281" s="551">
        <f t="shared" si="265"/>
        <v>106128.76227206935</v>
      </c>
      <c r="CO281" s="546">
        <f t="shared" si="266"/>
        <v>333</v>
      </c>
      <c r="CP281" s="551">
        <f t="shared" si="267"/>
        <v>38.490017945975048</v>
      </c>
      <c r="CQ281" s="553">
        <f>CP281/PI()*SQRT('Hilfstabellen_Mat&amp;Bem'!f.Rd.3/'Hilfstabellen_Mat&amp;Bem'!$BD$30)</f>
        <v>0.61258766157976896</v>
      </c>
      <c r="CR281" s="553">
        <f>0.5*(1+'Hilfstabellen_Mat&amp;Bem'!$BD$31*(CQ281-0.3)+CQ281^2)</f>
        <v>0.70326120463887321</v>
      </c>
      <c r="CS281" s="550">
        <f t="shared" si="268"/>
        <v>0.95358166712411119</v>
      </c>
      <c r="CU281" s="551">
        <f t="shared" si="269"/>
        <v>105741.71748572556</v>
      </c>
      <c r="CY281" s="546">
        <f t="shared" si="270"/>
        <v>333</v>
      </c>
      <c r="CZ281" s="551">
        <f t="shared" si="271"/>
        <v>39.530288701271672</v>
      </c>
      <c r="DA281" s="553">
        <f>CZ281/PI()*SQRT('Hilfstabellen_Mat&amp;Bem'!f.Rd.3/'Hilfstabellen_Mat&amp;Bem'!$BD$30)</f>
        <v>0.62914408486570872</v>
      </c>
      <c r="DB281" s="553">
        <f>0.5*(1+'Hilfstabellen_Mat&amp;Bem'!$BD$31*(DA281-0.3)+DA281^2)</f>
        <v>0.71436834400404048</v>
      </c>
      <c r="DC281" s="550">
        <f t="shared" si="272"/>
        <v>0.94989619515852075</v>
      </c>
      <c r="DE281" s="551">
        <f t="shared" si="273"/>
        <v>105333.03918493321</v>
      </c>
      <c r="DI281" s="546">
        <f t="shared" si="274"/>
        <v>333</v>
      </c>
      <c r="DJ281" s="551">
        <f t="shared" si="275"/>
        <v>40.57055945656829</v>
      </c>
      <c r="DK281" s="553">
        <f>DJ281/PI()*SQRT('Hilfstabellen_Mat&amp;Bem'!f.Rd.3/'Hilfstabellen_Mat&amp;Bem'!$BD$30)</f>
        <v>0.64570050815164837</v>
      </c>
      <c r="DL281" s="553">
        <f>0.5*(1+'Hilfstabellen_Mat&amp;Bem'!$BD$31*(DK281-0.3)+DK281^2)</f>
        <v>0.72574959852123078</v>
      </c>
      <c r="DM281" s="550">
        <f t="shared" si="276"/>
        <v>0.9459974699680932</v>
      </c>
      <c r="DO281" s="551">
        <f t="shared" si="277"/>
        <v>104900.71344729188</v>
      </c>
      <c r="DS281" s="546">
        <f t="shared" si="278"/>
        <v>333</v>
      </c>
      <c r="DT281" s="551">
        <f t="shared" si="279"/>
        <v>41.610830211864915</v>
      </c>
      <c r="DU281" s="553">
        <f>DT281/PI()*SQRT('Hilfstabellen_Mat&amp;Bem'!f.Rd.3/'Hilfstabellen_Mat&amp;Bem'!$BD$30)</f>
        <v>0.66225693143758813</v>
      </c>
      <c r="DV281" s="553">
        <f>0.5*(1+'Hilfstabellen_Mat&amp;Bem'!$BD$31*(DU281-0.3)+DU281^2)</f>
        <v>0.73740496819044454</v>
      </c>
      <c r="DW281" s="550">
        <f t="shared" si="280"/>
        <v>0.9418657186831213</v>
      </c>
      <c r="DY281" s="551">
        <f t="shared" si="281"/>
        <v>104442.54767905264</v>
      </c>
      <c r="EC281" s="546">
        <f t="shared" si="282"/>
        <v>333</v>
      </c>
      <c r="ED281" s="551">
        <f t="shared" si="283"/>
        <v>42.65110096716154</v>
      </c>
      <c r="EE281" s="553">
        <f>ED281/PI()*SQRT('Hilfstabellen_Mat&amp;Bem'!f.Rd.3/'Hilfstabellen_Mat&amp;Bem'!$BD$30)</f>
        <v>0.67881335472352777</v>
      </c>
      <c r="EF281" s="553">
        <f>0.5*(1+'Hilfstabellen_Mat&amp;Bem'!$BD$31*(EE281-0.3)+EE281^2)</f>
        <v>0.74933445301168145</v>
      </c>
      <c r="EG281" s="550">
        <f t="shared" si="284"/>
        <v>0.93747948056859665</v>
      </c>
      <c r="EI281" s="551">
        <f t="shared" si="285"/>
        <v>103956.16212077111</v>
      </c>
      <c r="EM281" s="546">
        <f t="shared" si="286"/>
        <v>333</v>
      </c>
      <c r="EN281" s="551">
        <f t="shared" si="287"/>
        <v>43.691371722458165</v>
      </c>
      <c r="EO281" s="553">
        <f>EN281/PI()*SQRT('Hilfstabellen_Mat&amp;Bem'!f.Rd.3/'Hilfstabellen_Mat&amp;Bem'!$BD$30)</f>
        <v>0.69536977800946742</v>
      </c>
      <c r="EP281" s="553">
        <f>0.5*(1+'Hilfstabellen_Mat&amp;Bem'!$BD$31*(EO281-0.3)+EO281^2)</f>
        <v>0.76153805298494137</v>
      </c>
      <c r="EQ281" s="550">
        <f t="shared" si="288"/>
        <v>0.93281556098786433</v>
      </c>
      <c r="ES281" s="551">
        <f t="shared" si="289"/>
        <v>103438.98474238328</v>
      </c>
    </row>
    <row r="282" spans="3:149">
      <c r="C282" s="546">
        <v>334</v>
      </c>
      <c r="D282" s="551">
        <f t="shared" si="244"/>
        <v>29.040372821514108</v>
      </c>
      <c r="E282" s="553">
        <f>$D282/PI()*SQRT('Hilfstabellen_Mat&amp;Bem'!f.Rd.3/'Hilfstabellen_Mat&amp;Bem'!$BD$30)</f>
        <v>0.46219188837755021</v>
      </c>
      <c r="F282" s="553">
        <f>0.5*(1+'Hilfstabellen_Mat&amp;Bem'!$BD$31*($E282-0.3)+$E282^2)</f>
        <v>0.61492026525988042</v>
      </c>
      <c r="G282" s="550">
        <f t="shared" si="245"/>
        <v>0.9798991778063233</v>
      </c>
      <c r="I282" s="551">
        <f t="shared" si="290"/>
        <v>109313.6326793622</v>
      </c>
      <c r="M282" s="546">
        <f t="shared" si="246"/>
        <v>334</v>
      </c>
      <c r="N282" s="551">
        <f t="shared" si="236"/>
        <v>30.077528993711041</v>
      </c>
      <c r="O282" s="553">
        <f>$N282/PI()*SQRT('Hilfstabellen_Mat&amp;Bem'!f.Rd.3/'Hilfstabellen_Mat&amp;Bem'!$BD$30)</f>
        <v>0.47869874153389136</v>
      </c>
      <c r="P282" s="553">
        <f>0.5*(1+'Hilfstabellen_Mat&amp;Bem'!$BD$31*($O282-0.3)+$O282^2)</f>
        <v>0.62351117964976022</v>
      </c>
      <c r="Q282" s="550">
        <f t="shared" si="237"/>
        <v>0.97749033272724761</v>
      </c>
      <c r="S282" s="551">
        <f t="shared" si="291"/>
        <v>109044.91155772083</v>
      </c>
      <c r="W282" s="546">
        <f t="shared" si="247"/>
        <v>334</v>
      </c>
      <c r="X282" s="551">
        <f t="shared" si="238"/>
        <v>31.114685165907975</v>
      </c>
      <c r="Y282" s="553">
        <f>$X282/PI()*SQRT('Hilfstabellen_Mat&amp;Bem'!f.Rd.3/'Hilfstabellen_Mat&amp;Bem'!$BD$30)</f>
        <v>0.49520559469023245</v>
      </c>
      <c r="Z282" s="553">
        <f>0.5*(1+'Hilfstabellen_Mat&amp;Bem'!$BD$31*($Y282-0.3)+$Y282^2)</f>
        <v>0.63237457024076504</v>
      </c>
      <c r="AA282" s="550">
        <f t="shared" si="239"/>
        <v>0.97498729634274484</v>
      </c>
      <c r="AC282" s="551">
        <f t="shared" si="292"/>
        <v>108765.68283081125</v>
      </c>
      <c r="AG282" s="546">
        <f t="shared" si="248"/>
        <v>334</v>
      </c>
      <c r="AH282" s="551">
        <f t="shared" si="240"/>
        <v>32.151841338104909</v>
      </c>
      <c r="AI282" s="553">
        <f>$AH282/PI()*SQRT('Hilfstabellen_Mat&amp;Bem'!f.Rd.3/'Hilfstabellen_Mat&amp;Bem'!$BD$30)</f>
        <v>0.51171244784657355</v>
      </c>
      <c r="AJ282" s="553">
        <f>0.5*(1+'Hilfstabellen_Mat&amp;Bem'!$BD$31*($AI282-0.3)+$AI282^2)</f>
        <v>0.64151043703289479</v>
      </c>
      <c r="AK282" s="550">
        <f t="shared" si="241"/>
        <v>0.97238125874086467</v>
      </c>
      <c r="AM282" s="551">
        <f t="shared" si="293"/>
        <v>108474.9637000959</v>
      </c>
      <c r="AQ282" s="546">
        <f t="shared" si="249"/>
        <v>334</v>
      </c>
      <c r="AR282" s="551">
        <f t="shared" si="242"/>
        <v>33.188997510301839</v>
      </c>
      <c r="AS282" s="553">
        <f>$AR282/PI()*SQRT('Hilfstabellen_Mat&amp;Bem'!f.Rd.3/'Hilfstabellen_Mat&amp;Bem'!$BD$30)</f>
        <v>0.52821930100291448</v>
      </c>
      <c r="AT282" s="553">
        <f>0.5*(1+'Hilfstabellen_Mat&amp;Bem'!$BD$31*($AS282-0.3)+$AS282^2)</f>
        <v>0.65091878002614956</v>
      </c>
      <c r="AU282" s="550">
        <f t="shared" si="243"/>
        <v>0.96966261757771222</v>
      </c>
      <c r="AW282" s="551">
        <f t="shared" si="294"/>
        <v>108171.68296649927</v>
      </c>
      <c r="BA282" s="546">
        <f t="shared" si="250"/>
        <v>334</v>
      </c>
      <c r="BB282" s="551">
        <f t="shared" si="251"/>
        <v>34.226153682498769</v>
      </c>
      <c r="BC282" s="553">
        <f>$BB282/PI()*SQRT('Hilfstabellen_Mat&amp;Bem'!f.Rd.3/'Hilfstabellen_Mat&amp;Bem'!$BD$30)</f>
        <v>0.54472615415925563</v>
      </c>
      <c r="BD282" s="553">
        <f>0.5*(1+'Hilfstabellen_Mat&amp;Bem'!$BD$31*($BC282-0.3)+$BC282^2)</f>
        <v>0.66059959922052935</v>
      </c>
      <c r="BE282" s="550">
        <f t="shared" si="252"/>
        <v>0.9668208936055761</v>
      </c>
      <c r="BG282" s="551">
        <f t="shared" si="253"/>
        <v>107854.67160706365</v>
      </c>
      <c r="BK282" s="546">
        <f t="shared" si="254"/>
        <v>334</v>
      </c>
      <c r="BL282" s="551">
        <f t="shared" si="255"/>
        <v>35.263309854695706</v>
      </c>
      <c r="BM282" s="553">
        <f>$BL282/PI()*SQRT('Hilfstabellen_Mat&amp;Bem'!f.Rd.3/'Hilfstabellen_Mat&amp;Bem'!$BD$30)</f>
        <v>0.56123300731559678</v>
      </c>
      <c r="BN282" s="553">
        <f>0.5*(1+'Hilfstabellen_Mat&amp;Bem'!$BD$31*($BM282-0.3)+$BM282^2)</f>
        <v>0.67055289461603418</v>
      </c>
      <c r="BO282" s="550">
        <f t="shared" si="256"/>
        <v>0.96384463948496668</v>
      </c>
      <c r="BQ282" s="551">
        <f t="shared" si="257"/>
        <v>107522.65260238494</v>
      </c>
      <c r="BU282" s="546">
        <f t="shared" si="258"/>
        <v>334</v>
      </c>
      <c r="BV282" s="551">
        <f t="shared" si="259"/>
        <v>36.300466026892636</v>
      </c>
      <c r="BW282" s="553">
        <f>$BV282/PI()*SQRT('Hilfstabellen_Mat&amp;Bem'!f.Rd.3/'Hilfstabellen_Mat&amp;Bem'!$BD$30)</f>
        <v>0.57773986047193782</v>
      </c>
      <c r="BX282" s="553">
        <f>0.5*(1+'Hilfstabellen_Mat&amp;Bem'!$BD$31*($BW282-0.3)+$BW282^2)</f>
        <v>0.68077866621266392</v>
      </c>
      <c r="BY282" s="550">
        <f t="shared" si="260"/>
        <v>0.96072134230679818</v>
      </c>
      <c r="CA282" s="551">
        <f t="shared" si="261"/>
        <v>107174.23006237717</v>
      </c>
      <c r="CE282" s="546">
        <f t="shared" si="262"/>
        <v>334</v>
      </c>
      <c r="CF282" s="551">
        <f t="shared" si="263"/>
        <v>37.337622199089573</v>
      </c>
      <c r="CG282" s="553">
        <f>CF282/PI()*SQRT('Hilfstabellen_Mat&amp;Bem'!f.Rd.3/'Hilfstabellen_Mat&amp;Bem'!$BD$30)</f>
        <v>0.59424671362827897</v>
      </c>
      <c r="CH282" s="553">
        <f>0.5*(1+'Hilfstabellen_Mat&amp;Bem'!$BD$31*(CG282-0.3)+CG282^2)</f>
        <v>0.69127691401041891</v>
      </c>
      <c r="CI282" s="550">
        <f t="shared" si="264"/>
        <v>0.95743732076886245</v>
      </c>
      <c r="CK282" s="551">
        <f t="shared" si="265"/>
        <v>106807.87775569122</v>
      </c>
      <c r="CO282" s="546">
        <f t="shared" si="266"/>
        <v>334</v>
      </c>
      <c r="CP282" s="551">
        <f t="shared" si="267"/>
        <v>38.374778371286496</v>
      </c>
      <c r="CQ282" s="553">
        <f>CP282/PI()*SQRT('Hilfstabellen_Mat&amp;Bem'!f.Rd.3/'Hilfstabellen_Mat&amp;Bem'!$BD$30)</f>
        <v>0.61075356678461989</v>
      </c>
      <c r="CR282" s="553">
        <f>0.5*(1+'Hilfstabellen_Mat&amp;Bem'!$BD$31*(CQ282-0.3)+CQ282^2)</f>
        <v>0.70204763800929859</v>
      </c>
      <c r="CS282" s="550">
        <f t="shared" si="268"/>
        <v>0.95397761868432229</v>
      </c>
      <c r="CU282" s="551">
        <f t="shared" si="269"/>
        <v>106421.92722994825</v>
      </c>
      <c r="CY282" s="546">
        <f t="shared" si="270"/>
        <v>334</v>
      </c>
      <c r="CZ282" s="551">
        <f t="shared" si="271"/>
        <v>39.411934543483433</v>
      </c>
      <c r="DA282" s="553">
        <f>CZ282/PI()*SQRT('Hilfstabellen_Mat&amp;Bem'!f.Rd.3/'Hilfstabellen_Mat&amp;Bem'!$BD$30)</f>
        <v>0.62726041994096104</v>
      </c>
      <c r="DB282" s="553">
        <f>0.5*(1+'Hilfstabellen_Mat&amp;Bem'!$BD$31*(DA282-0.3)+DA282^2)</f>
        <v>0.71309083820930341</v>
      </c>
      <c r="DC282" s="550">
        <f t="shared" si="272"/>
        <v>0.95032589751567331</v>
      </c>
      <c r="DE282" s="551">
        <f t="shared" si="273"/>
        <v>106014.55582325846</v>
      </c>
      <c r="DI282" s="546">
        <f t="shared" si="274"/>
        <v>334</v>
      </c>
      <c r="DJ282" s="551">
        <f t="shared" si="275"/>
        <v>40.449090715680363</v>
      </c>
      <c r="DK282" s="553">
        <f>DJ282/PI()*SQRT('Hilfstabellen_Mat&amp;Bem'!f.Rd.3/'Hilfstabellen_Mat&amp;Bem'!$BD$30)</f>
        <v>0.64376727309730208</v>
      </c>
      <c r="DL282" s="553">
        <f>0.5*(1+'Hilfstabellen_Mat&amp;Bem'!$BD$31*(DK282-0.3)+DK282^2)</f>
        <v>0.72440651461043326</v>
      </c>
      <c r="DM282" s="550">
        <f t="shared" si="276"/>
        <v>0.94646433200418645</v>
      </c>
      <c r="DO282" s="551">
        <f t="shared" si="277"/>
        <v>105583.77502105902</v>
      </c>
      <c r="DS282" s="546">
        <f t="shared" si="278"/>
        <v>334</v>
      </c>
      <c r="DT282" s="551">
        <f t="shared" si="279"/>
        <v>41.4862468878773</v>
      </c>
      <c r="DU282" s="553">
        <f>DT282/PI()*SQRT('Hilfstabellen_Mat&amp;Bem'!f.Rd.3/'Hilfstabellen_Mat&amp;Bem'!$BD$30)</f>
        <v>0.66027412625364323</v>
      </c>
      <c r="DV282" s="553">
        <f>0.5*(1+'Hilfstabellen_Mat&amp;Bem'!$BD$31*(DU282-0.3)+DU282^2)</f>
        <v>0.73599466721268825</v>
      </c>
      <c r="DW282" s="550">
        <f t="shared" si="280"/>
        <v>0.94237351478993447</v>
      </c>
      <c r="DY282" s="551">
        <f t="shared" si="281"/>
        <v>105127.41981590593</v>
      </c>
      <c r="EC282" s="546">
        <f t="shared" si="282"/>
        <v>334</v>
      </c>
      <c r="ED282" s="551">
        <f t="shared" si="283"/>
        <v>42.52340306007423</v>
      </c>
      <c r="EE282" s="553">
        <f>ED282/PI()*SQRT('Hilfstabellen_Mat&amp;Bem'!f.Rd.3/'Hilfstabellen_Mat&amp;Bem'!$BD$30)</f>
        <v>0.67678097940998427</v>
      </c>
      <c r="EF282" s="553">
        <f>0.5*(1+'Hilfstabellen_Mat&amp;Bem'!$BD$31*(EE282-0.3)+EE282^2)</f>
        <v>0.74785529601606804</v>
      </c>
      <c r="EG282" s="550">
        <f t="shared" si="284"/>
        <v>0.93803237827962016</v>
      </c>
      <c r="EI282" s="551">
        <f t="shared" si="285"/>
        <v>104643.13999136131</v>
      </c>
      <c r="EM282" s="546">
        <f t="shared" si="286"/>
        <v>334</v>
      </c>
      <c r="EN282" s="551">
        <f t="shared" si="287"/>
        <v>43.56055923227116</v>
      </c>
      <c r="EO282" s="553">
        <f>EN282/PI()*SQRT('Hilfstabellen_Mat&amp;Bem'!f.Rd.3/'Hilfstabellen_Mat&amp;Bem'!$BD$30)</f>
        <v>0.69328783256632531</v>
      </c>
      <c r="EP282" s="553">
        <f>0.5*(1+'Hilfstabellen_Mat&amp;Bem'!$BD$31*(EO282-0.3)+EO282^2)</f>
        <v>0.75998840102057286</v>
      </c>
      <c r="EQ282" s="550">
        <f t="shared" si="288"/>
        <v>0.93341814499078568</v>
      </c>
      <c r="ES282" s="551">
        <f t="shared" si="289"/>
        <v>104128.39458259208</v>
      </c>
    </row>
    <row r="283" spans="3:149">
      <c r="C283" s="546">
        <v>335</v>
      </c>
      <c r="D283" s="551">
        <f t="shared" si="244"/>
        <v>28.953685141449885</v>
      </c>
      <c r="E283" s="553">
        <f>$D283/PI()*SQRT('Hilfstabellen_Mat&amp;Bem'!f.Rd.3/'Hilfstabellen_Mat&amp;Bem'!$BD$30)</f>
        <v>0.46081221109881121</v>
      </c>
      <c r="F283" s="553">
        <f>0.5*(1+'Hilfstabellen_Mat&amp;Bem'!$BD$31*($E283-0.3)+$E283^2)</f>
        <v>0.61421455750382825</v>
      </c>
      <c r="G283" s="550">
        <f t="shared" si="245"/>
        <v>0.98009650817596983</v>
      </c>
      <c r="I283" s="551">
        <f t="shared" si="290"/>
        <v>109991.33063004821</v>
      </c>
      <c r="M283" s="546">
        <f t="shared" si="246"/>
        <v>335</v>
      </c>
      <c r="N283" s="551">
        <f t="shared" si="236"/>
        <v>29.987745325073096</v>
      </c>
      <c r="O283" s="553">
        <f>$N283/PI()*SQRT('Hilfstabellen_Mat&amp;Bem'!f.Rd.3/'Hilfstabellen_Mat&amp;Bem'!$BD$30)</f>
        <v>0.4772697900666259</v>
      </c>
      <c r="P283" s="553">
        <f>0.5*(1+'Hilfstabellen_Mat&amp;Bem'!$BD$31*($O283-0.3)+$O283^2)</f>
        <v>0.62275671575845182</v>
      </c>
      <c r="Q283" s="550">
        <f t="shared" si="237"/>
        <v>0.97770246301842934</v>
      </c>
      <c r="S283" s="551">
        <f t="shared" si="291"/>
        <v>109722.65891224323</v>
      </c>
      <c r="W283" s="546">
        <f t="shared" si="247"/>
        <v>335</v>
      </c>
      <c r="X283" s="551">
        <f t="shared" si="238"/>
        <v>31.021805508696307</v>
      </c>
      <c r="Y283" s="553">
        <f>$X283/PI()*SQRT('Hilfstabellen_Mat&amp;Bem'!f.Rd.3/'Hilfstabellen_Mat&amp;Bem'!$BD$30)</f>
        <v>0.49372736903444059</v>
      </c>
      <c r="Z283" s="553">
        <f>0.5*(1+'Hilfstabellen_Mat&amp;Bem'!$BD$31*($Y283-0.3)+$Y283^2)</f>
        <v>0.63156972591855731</v>
      </c>
      <c r="AA283" s="550">
        <f t="shared" si="239"/>
        <v>0.97521551203410195</v>
      </c>
      <c r="AC283" s="551">
        <f t="shared" si="292"/>
        <v>109443.56083802709</v>
      </c>
      <c r="AG283" s="546">
        <f t="shared" si="248"/>
        <v>335</v>
      </c>
      <c r="AH283" s="551">
        <f t="shared" si="240"/>
        <v>32.055865692319514</v>
      </c>
      <c r="AI283" s="553">
        <f>$AH283/PI()*SQRT('Hilfstabellen_Mat&amp;Bem'!f.Rd.3/'Hilfstabellen_Mat&amp;Bem'!$BD$30)</f>
        <v>0.51018494800225533</v>
      </c>
      <c r="AJ283" s="553">
        <f>0.5*(1+'Hilfstabellen_Mat&amp;Bem'!$BD$31*($AI283-0.3)+$AI283^2)</f>
        <v>0.64065358798414473</v>
      </c>
      <c r="AK283" s="550">
        <f t="shared" si="241"/>
        <v>0.97262698940000347</v>
      </c>
      <c r="AM283" s="551">
        <f t="shared" si="293"/>
        <v>109153.06388541539</v>
      </c>
      <c r="AQ283" s="546">
        <f t="shared" si="249"/>
        <v>335</v>
      </c>
      <c r="AR283" s="551">
        <f t="shared" si="242"/>
        <v>33.089925875942725</v>
      </c>
      <c r="AS283" s="553">
        <f>$AR283/PI()*SQRT('Hilfstabellen_Mat&amp;Bem'!f.Rd.3/'Hilfstabellen_Mat&amp;Bem'!$BD$30)</f>
        <v>0.52664252697006997</v>
      </c>
      <c r="AT283" s="553">
        <f>0.5*(1+'Hilfstabellen_Mat&amp;Bem'!$BD$31*($AS283-0.3)+$AS283^2)</f>
        <v>0.65000830195521386</v>
      </c>
      <c r="AU283" s="550">
        <f t="shared" si="243"/>
        <v>0.96992745343398701</v>
      </c>
      <c r="AW283" s="551">
        <f t="shared" si="294"/>
        <v>108850.10846162919</v>
      </c>
      <c r="BA283" s="546">
        <f t="shared" si="250"/>
        <v>335</v>
      </c>
      <c r="BB283" s="551">
        <f t="shared" si="251"/>
        <v>34.123986059565937</v>
      </c>
      <c r="BC283" s="553">
        <f>$BB283/PI()*SQRT('Hilfstabellen_Mat&amp;Bem'!f.Rd.3/'Hilfstabellen_Mat&amp;Bem'!$BD$30)</f>
        <v>0.54310010593788471</v>
      </c>
      <c r="BD283" s="553">
        <f>0.5*(1+'Hilfstabellen_Mat&amp;Bem'!$BD$31*($BC283-0.3)+$BC283^2)</f>
        <v>0.65963386783176503</v>
      </c>
      <c r="BE283" s="550">
        <f t="shared" si="252"/>
        <v>0.96710660398616644</v>
      </c>
      <c r="BG283" s="551">
        <f t="shared" si="253"/>
        <v>108533.53863234752</v>
      </c>
      <c r="BK283" s="546">
        <f t="shared" si="254"/>
        <v>335</v>
      </c>
      <c r="BL283" s="551">
        <f t="shared" si="255"/>
        <v>35.158046243189155</v>
      </c>
      <c r="BM283" s="553">
        <f>$BL283/PI()*SQRT('Hilfstabellen_Mat&amp;Bem'!f.Rd.3/'Hilfstabellen_Mat&amp;Bem'!$BD$30)</f>
        <v>0.55955768490569946</v>
      </c>
      <c r="BN283" s="553">
        <f>0.5*(1+'Hilfstabellen_Mat&amp;Bem'!$BD$31*($BM283-0.3)+$BM283^2)</f>
        <v>0.66953028561379802</v>
      </c>
      <c r="BO283" s="550">
        <f t="shared" si="256"/>
        <v>0.96415319321415804</v>
      </c>
      <c r="BQ283" s="551">
        <f t="shared" si="257"/>
        <v>108202.09210845889</v>
      </c>
      <c r="BU283" s="546">
        <f t="shared" si="258"/>
        <v>335</v>
      </c>
      <c r="BV283" s="551">
        <f t="shared" si="259"/>
        <v>36.192106426812359</v>
      </c>
      <c r="BW283" s="553">
        <f>$BV283/PI()*SQRT('Hilfstabellen_Mat&amp;Bem'!f.Rd.3/'Hilfstabellen_Mat&amp;Bem'!$BD$30)</f>
        <v>0.57601526387351409</v>
      </c>
      <c r="BX283" s="553">
        <f>0.5*(1+'Hilfstabellen_Mat&amp;Bem'!$BD$31*($BW283-0.3)+$BW283^2)</f>
        <v>0.67969755530131271</v>
      </c>
      <c r="BY283" s="550">
        <f t="shared" si="260"/>
        <v>0.96105493012045529</v>
      </c>
      <c r="CA283" s="551">
        <f t="shared" si="261"/>
        <v>107854.38953276809</v>
      </c>
      <c r="CE283" s="546">
        <f t="shared" si="262"/>
        <v>335</v>
      </c>
      <c r="CF283" s="551">
        <f t="shared" si="263"/>
        <v>37.22616661043557</v>
      </c>
      <c r="CG283" s="553">
        <f>CF283/PI()*SQRT('Hilfstabellen_Mat&amp;Bem'!f.Rd.3/'Hilfstabellen_Mat&amp;Bem'!$BD$30)</f>
        <v>0.59247284284132884</v>
      </c>
      <c r="CH283" s="553">
        <f>0.5*(1+'Hilfstabellen_Mat&amp;Bem'!$BD$31*(CG283-0.3)+CG283^2)</f>
        <v>0.69013567689430944</v>
      </c>
      <c r="CI283" s="550">
        <f t="shared" si="264"/>
        <v>0.95779837971865933</v>
      </c>
      <c r="CK283" s="551">
        <f t="shared" si="265"/>
        <v>107488.92316392655</v>
      </c>
      <c r="CO283" s="546">
        <f t="shared" si="266"/>
        <v>335</v>
      </c>
      <c r="CP283" s="551">
        <f t="shared" si="267"/>
        <v>38.260226794058781</v>
      </c>
      <c r="CQ283" s="553">
        <f>CP283/PI()*SQRT('Hilfstabellen_Mat&amp;Bem'!f.Rd.3/'Hilfstabellen_Mat&amp;Bem'!$BD$30)</f>
        <v>0.60893042180914358</v>
      </c>
      <c r="CR283" s="553">
        <f>0.5*(1+'Hilfstabellen_Mat&amp;Bem'!$BD$31*(CQ283-0.3)+CQ283^2)</f>
        <v>0.70084465039278798</v>
      </c>
      <c r="CS283" s="550">
        <f t="shared" si="268"/>
        <v>0.95436885838798713</v>
      </c>
      <c r="CU283" s="551">
        <f t="shared" si="269"/>
        <v>107104.04513259185</v>
      </c>
      <c r="CY283" s="546">
        <f t="shared" si="270"/>
        <v>335</v>
      </c>
      <c r="CZ283" s="551">
        <f t="shared" si="271"/>
        <v>39.294286977681992</v>
      </c>
      <c r="DA283" s="553">
        <f>CZ283/PI()*SQRT('Hilfstabellen_Mat&amp;Bem'!f.Rd.3/'Hilfstabellen_Mat&amp;Bem'!$BD$30)</f>
        <v>0.62538800077695822</v>
      </c>
      <c r="DB283" s="553">
        <f>0.5*(1+'Hilfstabellen_Mat&amp;Bem'!$BD$31*(DA283-0.3)+DA283^2)</f>
        <v>0.71182447579674824</v>
      </c>
      <c r="DC283" s="550">
        <f t="shared" si="272"/>
        <v>0.95075032793576342</v>
      </c>
      <c r="DE283" s="551">
        <f t="shared" si="273"/>
        <v>106697.95555259105</v>
      </c>
      <c r="DI283" s="546">
        <f t="shared" si="274"/>
        <v>335</v>
      </c>
      <c r="DJ283" s="551">
        <f t="shared" si="275"/>
        <v>40.328347161305203</v>
      </c>
      <c r="DK283" s="553">
        <f>DJ283/PI()*SQRT('Hilfstabellen_Mat&amp;Bem'!f.Rd.3/'Hilfstabellen_Mat&amp;Bem'!$BD$30)</f>
        <v>0.64184557974477296</v>
      </c>
      <c r="DL283" s="553">
        <f>0.5*(1+'Hilfstabellen_Mat&amp;Bem'!$BD$31*(DK283-0.3)+DK283^2)</f>
        <v>0.72307515310619053</v>
      </c>
      <c r="DM283" s="550">
        <f t="shared" si="276"/>
        <v>0.94692529219075372</v>
      </c>
      <c r="DO283" s="551">
        <f t="shared" si="277"/>
        <v>106268.69091610734</v>
      </c>
      <c r="DS283" s="546">
        <f t="shared" si="278"/>
        <v>335</v>
      </c>
      <c r="DT283" s="551">
        <f t="shared" si="279"/>
        <v>41.362407344928414</v>
      </c>
      <c r="DU283" s="553">
        <f>DT283/PI()*SQRT('Hilfstabellen_Mat&amp;Bem'!f.Rd.3/'Hilfstabellen_Mat&amp;Bem'!$BD$30)</f>
        <v>0.6583031587125876</v>
      </c>
      <c r="DV283" s="553">
        <f>0.5*(1+'Hilfstabellen_Mat&amp;Bem'!$BD$31*(DU283-0.3)+DU283^2)</f>
        <v>0.73459668232111452</v>
      </c>
      <c r="DW283" s="550">
        <f t="shared" si="280"/>
        <v>0.9428747016807012</v>
      </c>
      <c r="DY283" s="551">
        <f t="shared" si="281"/>
        <v>105814.11339611669</v>
      </c>
      <c r="EC283" s="546">
        <f t="shared" si="282"/>
        <v>335</v>
      </c>
      <c r="ED283" s="551">
        <f t="shared" si="283"/>
        <v>42.396467528551625</v>
      </c>
      <c r="EE283" s="553">
        <f>ED283/PI()*SQRT('Hilfstabellen_Mat&amp;Bem'!f.Rd.3/'Hilfstabellen_Mat&amp;Bem'!$BD$30)</f>
        <v>0.67476073768040234</v>
      </c>
      <c r="EF283" s="553">
        <f>0.5*(1+'Hilfstabellen_Mat&amp;Bem'!$BD$31*(EE283-0.3)+EE283^2)</f>
        <v>0.74638906344152045</v>
      </c>
      <c r="EG283" s="550">
        <f t="shared" si="284"/>
        <v>0.93857787419169381</v>
      </c>
      <c r="EI283" s="551">
        <f t="shared" si="285"/>
        <v>105331.90193116284</v>
      </c>
      <c r="EM283" s="546">
        <f t="shared" si="286"/>
        <v>335</v>
      </c>
      <c r="EN283" s="551">
        <f t="shared" si="287"/>
        <v>43.430527712174836</v>
      </c>
      <c r="EO283" s="553">
        <f>EN283/PI()*SQRT('Hilfstabellen_Mat&amp;Bem'!f.Rd.3/'Hilfstabellen_Mat&amp;Bem'!$BD$30)</f>
        <v>0.69121831664821709</v>
      </c>
      <c r="EP283" s="553">
        <f>0.5*(1+'Hilfstabellen_Mat&amp;Bem'!$BD$31*(EO283-0.3)+EO283^2)</f>
        <v>0.7584522964674083</v>
      </c>
      <c r="EQ283" s="550">
        <f t="shared" si="288"/>
        <v>0.93401244183812504</v>
      </c>
      <c r="ES283" s="551">
        <f t="shared" si="289"/>
        <v>104819.54628528358</v>
      </c>
    </row>
    <row r="284" spans="3:149">
      <c r="C284" s="546">
        <v>336</v>
      </c>
      <c r="D284" s="551">
        <f t="shared" si="244"/>
        <v>28.867513459481287</v>
      </c>
      <c r="E284" s="553">
        <f>$D284/PI()*SQRT('Hilfstabellen_Mat&amp;Bem'!f.Rd.3/'Hilfstabellen_Mat&amp;Bem'!$BD$30)</f>
        <v>0.45944074618482678</v>
      </c>
      <c r="F284" s="553">
        <f>0.5*(1+'Hilfstabellen_Mat&amp;Bem'!$BD$31*($E284-0.3)+$E284^2)</f>
        <v>0.61351493693667658</v>
      </c>
      <c r="G284" s="550">
        <f t="shared" si="245"/>
        <v>0.9802920726875779</v>
      </c>
      <c r="I284" s="551">
        <f t="shared" si="290"/>
        <v>110671.0538381368</v>
      </c>
      <c r="M284" s="546">
        <f t="shared" si="246"/>
        <v>336</v>
      </c>
      <c r="N284" s="551">
        <f t="shared" si="236"/>
        <v>29.898496083034193</v>
      </c>
      <c r="O284" s="553">
        <f>$N284/PI()*SQRT('Hilfstabellen_Mat&amp;Bem'!f.Rd.3/'Hilfstabellen_Mat&amp;Bem'!$BD$30)</f>
        <v>0.4758493442628563</v>
      </c>
      <c r="P284" s="553">
        <f>0.5*(1+'Hilfstabellen_Mat&amp;Bem'!$BD$31*($O284-0.3)+$O284^2)</f>
        <v>0.62200876643083802</v>
      </c>
      <c r="Q284" s="550">
        <f t="shared" si="237"/>
        <v>0.97791263689197383</v>
      </c>
      <c r="S284" s="551">
        <f t="shared" si="291"/>
        <v>110402.42505455628</v>
      </c>
      <c r="W284" s="546">
        <f t="shared" si="247"/>
        <v>336</v>
      </c>
      <c r="X284" s="551">
        <f t="shared" si="238"/>
        <v>30.929478706587094</v>
      </c>
      <c r="Y284" s="553">
        <f>$X284/PI()*SQRT('Hilfstabellen_Mat&amp;Bem'!f.Rd.3/'Hilfstabellen_Mat&amp;Bem'!$BD$30)</f>
        <v>0.49225794234088582</v>
      </c>
      <c r="Z284" s="553">
        <f>0.5*(1+'Hilfstabellen_Mat&amp;Bem'!$BD$31*($Y284-0.3)+$Y284^2)</f>
        <v>0.63077183801588577</v>
      </c>
      <c r="AA284" s="550">
        <f t="shared" si="239"/>
        <v>0.97544155765079099</v>
      </c>
      <c r="AC284" s="551">
        <f t="shared" si="292"/>
        <v>110123.4500925437</v>
      </c>
      <c r="AG284" s="546">
        <f t="shared" si="248"/>
        <v>336</v>
      </c>
      <c r="AH284" s="551">
        <f t="shared" si="240"/>
        <v>31.960461330139996</v>
      </c>
      <c r="AI284" s="553">
        <f>$AH284/PI()*SQRT('Hilfstabellen_Mat&amp;Bem'!f.Rd.3/'Hilfstabellen_Mat&amp;Bem'!$BD$30)</f>
        <v>0.50866654041891524</v>
      </c>
      <c r="AJ284" s="553">
        <f>0.5*(1+'Hilfstabellen_Mat&amp;Bem'!$BD$31*($AI284-0.3)+$AI284^2)</f>
        <v>0.63980415169181981</v>
      </c>
      <c r="AK284" s="550">
        <f t="shared" si="241"/>
        <v>0.97287031016258063</v>
      </c>
      <c r="AM284" s="551">
        <f t="shared" si="293"/>
        <v>109833.1665361147</v>
      </c>
      <c r="AQ284" s="546">
        <f t="shared" si="249"/>
        <v>336</v>
      </c>
      <c r="AR284" s="551">
        <f t="shared" si="242"/>
        <v>32.991443953692901</v>
      </c>
      <c r="AS284" s="553">
        <f>$AR284/PI()*SQRT('Hilfstabellen_Mat&amp;Bem'!f.Rd.3/'Hilfstabellen_Mat&amp;Bem'!$BD$30)</f>
        <v>0.52507513849694487</v>
      </c>
      <c r="AT284" s="553">
        <f>0.5*(1+'Hilfstabellen_Mat&amp;Bem'!$BD$31*($AS284-0.3)+$AS284^2)</f>
        <v>0.64910570745864016</v>
      </c>
      <c r="AU284" s="550">
        <f t="shared" si="243"/>
        <v>0.97018960993554149</v>
      </c>
      <c r="AW284" s="551">
        <f t="shared" si="294"/>
        <v>109530.52620328289</v>
      </c>
      <c r="BA284" s="546">
        <f t="shared" si="250"/>
        <v>336</v>
      </c>
      <c r="BB284" s="551">
        <f t="shared" si="251"/>
        <v>34.022426577245803</v>
      </c>
      <c r="BC284" s="553">
        <f>$BB284/PI()*SQRT('Hilfstabellen_Mat&amp;Bem'!f.Rd.3/'Hilfstabellen_Mat&amp;Bem'!$BD$30)</f>
        <v>0.54148373657497439</v>
      </c>
      <c r="BD284" s="553">
        <f>0.5*(1+'Hilfstabellen_Mat&amp;Bem'!$BD$31*($BC284-0.3)+$BC284^2)</f>
        <v>0.65867650531634681</v>
      </c>
      <c r="BE284" s="550">
        <f t="shared" si="252"/>
        <v>0.96738933199870625</v>
      </c>
      <c r="BG284" s="551">
        <f t="shared" si="253"/>
        <v>109214.38602532593</v>
      </c>
      <c r="BK284" s="546">
        <f t="shared" si="254"/>
        <v>336</v>
      </c>
      <c r="BL284" s="551">
        <f t="shared" si="255"/>
        <v>35.053409200798704</v>
      </c>
      <c r="BM284" s="553">
        <f>$BL284/PI()*SQRT('Hilfstabellen_Mat&amp;Bem'!f.Rd.3/'Hilfstabellen_Mat&amp;Bem'!$BD$30)</f>
        <v>0.55789233465300381</v>
      </c>
      <c r="BN284" s="553">
        <f>0.5*(1+'Hilfstabellen_Mat&amp;Bem'!$BD$31*($BM284-0.3)+$BM284^2)</f>
        <v>0.66851654526493987</v>
      </c>
      <c r="BO284" s="550">
        <f t="shared" si="256"/>
        <v>0.9644584235980036</v>
      </c>
      <c r="BQ284" s="551">
        <f t="shared" si="257"/>
        <v>108883.49819052021</v>
      </c>
      <c r="BU284" s="546">
        <f t="shared" si="258"/>
        <v>336</v>
      </c>
      <c r="BV284" s="551">
        <f t="shared" si="259"/>
        <v>36.084391824351606</v>
      </c>
      <c r="BW284" s="553">
        <f>$BV284/PI()*SQRT('Hilfstabellen_Mat&amp;Bem'!f.Rd.3/'Hilfstabellen_Mat&amp;Bem'!$BD$30)</f>
        <v>0.57430093273103333</v>
      </c>
      <c r="BX284" s="553">
        <f>0.5*(1+'Hilfstabellen_Mat&amp;Bem'!$BD$31*($BW284-0.3)+$BW284^2)</f>
        <v>0.67862582730441912</v>
      </c>
      <c r="BY284" s="550">
        <f t="shared" si="260"/>
        <v>0.96138481071098469</v>
      </c>
      <c r="CA284" s="551">
        <f t="shared" si="261"/>
        <v>108536.49959002734</v>
      </c>
      <c r="CE284" s="546">
        <f t="shared" si="262"/>
        <v>336</v>
      </c>
      <c r="CF284" s="551">
        <f t="shared" si="263"/>
        <v>37.115374447904507</v>
      </c>
      <c r="CG284" s="553">
        <f>CF284/PI()*SQRT('Hilfstabellen_Mat&amp;Bem'!f.Rd.3/'Hilfstabellen_Mat&amp;Bem'!$BD$30)</f>
        <v>0.59070953080906285</v>
      </c>
      <c r="CH284" s="553">
        <f>0.5*(1+'Hilfstabellen_Mat&amp;Bem'!$BD$31*(CG284-0.3)+CG284^2)</f>
        <v>0.68900435143478478</v>
      </c>
      <c r="CI284" s="550">
        <f t="shared" si="264"/>
        <v>0.95815529917458298</v>
      </c>
      <c r="CK284" s="551">
        <f t="shared" si="265"/>
        <v>108171.90065561372</v>
      </c>
      <c r="CO284" s="546">
        <f t="shared" si="266"/>
        <v>336</v>
      </c>
      <c r="CP284" s="551">
        <f t="shared" si="267"/>
        <v>38.146357071457416</v>
      </c>
      <c r="CQ284" s="553">
        <f>CP284/PI()*SQRT('Hilfstabellen_Mat&amp;Bem'!f.Rd.3/'Hilfstabellen_Mat&amp;Bem'!$BD$30)</f>
        <v>0.60711812888709249</v>
      </c>
      <c r="CR284" s="553">
        <f>0.5*(1+'Hilfstabellen_Mat&amp;Bem'!$BD$31*(CQ284-0.3)+CQ284^2)</f>
        <v>0.69965211765603674</v>
      </c>
      <c r="CS284" s="550">
        <f t="shared" si="268"/>
        <v>0.95475547187440613</v>
      </c>
      <c r="CU284" s="551">
        <f t="shared" si="269"/>
        <v>107788.07375273295</v>
      </c>
      <c r="CY284" s="546">
        <f t="shared" si="270"/>
        <v>336</v>
      </c>
      <c r="CZ284" s="551">
        <f t="shared" si="271"/>
        <v>39.177339695010318</v>
      </c>
      <c r="DA284" s="553">
        <f>CZ284/PI()*SQRT('Hilfstabellen_Mat&amp;Bem'!f.Rd.3/'Hilfstabellen_Mat&amp;Bem'!$BD$30)</f>
        <v>0.62352672696512201</v>
      </c>
      <c r="DB284" s="553">
        <f>0.5*(1+'Hilfstabellen_Mat&amp;Bem'!$BD$31*(DA284-0.3)+DA284^2)</f>
        <v>0.71056912596817501</v>
      </c>
      <c r="DC284" s="550">
        <f t="shared" si="272"/>
        <v>0.95116958435197518</v>
      </c>
      <c r="DE284" s="551">
        <f t="shared" si="273"/>
        <v>107383.24139500059</v>
      </c>
      <c r="DI284" s="546">
        <f t="shared" si="274"/>
        <v>336</v>
      </c>
      <c r="DJ284" s="551">
        <f t="shared" si="275"/>
        <v>40.208322318563219</v>
      </c>
      <c r="DK284" s="553">
        <f>DJ284/PI()*SQRT('Hilfstabellen_Mat&amp;Bem'!f.Rd.3/'Hilfstabellen_Mat&amp;Bem'!$BD$30)</f>
        <v>0.63993532504315143</v>
      </c>
      <c r="DL284" s="553">
        <f>0.5*(1+'Hilfstabellen_Mat&amp;Bem'!$BD$31*(DK284-0.3)+DK284^2)</f>
        <v>0.72175537637119958</v>
      </c>
      <c r="DM284" s="550">
        <f t="shared" si="276"/>
        <v>0.94738046242000096</v>
      </c>
      <c r="DO284" s="551">
        <f t="shared" si="277"/>
        <v>106955.46468536842</v>
      </c>
      <c r="DS284" s="546">
        <f t="shared" si="278"/>
        <v>336</v>
      </c>
      <c r="DT284" s="551">
        <f t="shared" si="279"/>
        <v>41.239304942116128</v>
      </c>
      <c r="DU284" s="553">
        <f>DT284/PI()*SQRT('Hilfstabellen_Mat&amp;Bem'!f.Rd.3/'Hilfstabellen_Mat&amp;Bem'!$BD$30)</f>
        <v>0.65634392312118106</v>
      </c>
      <c r="DV284" s="553">
        <f>0.5*(1+'Hilfstabellen_Mat&amp;Bem'!$BD$31*(DU284-0.3)+DU284^2)</f>
        <v>0.73321086886511044</v>
      </c>
      <c r="DW284" s="550">
        <f t="shared" si="280"/>
        <v>0.9433694070165376</v>
      </c>
      <c r="DY284" s="551">
        <f t="shared" si="281"/>
        <v>106502.63257453903</v>
      </c>
      <c r="EC284" s="546">
        <f t="shared" si="282"/>
        <v>336</v>
      </c>
      <c r="ED284" s="551">
        <f t="shared" si="283"/>
        <v>42.27028756566903</v>
      </c>
      <c r="EE284" s="553">
        <f>ED284/PI()*SQRT('Hilfstabellen_Mat&amp;Bem'!f.Rd.3/'Hilfstabellen_Mat&amp;Bem'!$BD$30)</f>
        <v>0.67275252119921058</v>
      </c>
      <c r="EF284" s="553">
        <f>0.5*(1+'Hilfstabellen_Mat&amp;Bem'!$BD$31*(EE284-0.3)+EE284^2)</f>
        <v>0.74493560344990772</v>
      </c>
      <c r="EG284" s="550">
        <f t="shared" si="284"/>
        <v>0.93911611366094516</v>
      </c>
      <c r="EI284" s="551">
        <f t="shared" si="285"/>
        <v>106022.45276786607</v>
      </c>
      <c r="EM284" s="546">
        <f t="shared" si="286"/>
        <v>336</v>
      </c>
      <c r="EN284" s="551">
        <f t="shared" si="287"/>
        <v>43.301270189221931</v>
      </c>
      <c r="EO284" s="553">
        <f>EN284/PI()*SQRT('Hilfstabellen_Mat&amp;Bem'!f.Rd.3/'Hilfstabellen_Mat&amp;Bem'!$BD$30)</f>
        <v>0.68916111927724011</v>
      </c>
      <c r="EP284" s="553">
        <f>0.5*(1+'Hilfstabellen_Mat&amp;Bem'!$BD$31*(EO284-0.3)+EO284^2)</f>
        <v>0.75692958012559108</v>
      </c>
      <c r="EQ284" s="550">
        <f t="shared" si="288"/>
        <v>0.9345986165714808</v>
      </c>
      <c r="ES284" s="551">
        <f t="shared" si="289"/>
        <v>105512.44541645389</v>
      </c>
    </row>
    <row r="285" spans="3:149">
      <c r="C285" s="546">
        <v>337</v>
      </c>
      <c r="D285" s="551">
        <f t="shared" si="244"/>
        <v>28.781853182153451</v>
      </c>
      <c r="E285" s="553">
        <f>$D285/PI()*SQRT('Hilfstabellen_Mat&amp;Bem'!f.Rd.3/'Hilfstabellen_Mat&amp;Bem'!$BD$30)</f>
        <v>0.45807742052849199</v>
      </c>
      <c r="F285" s="553">
        <f>0.5*(1+'Hilfstabellen_Mat&amp;Bem'!$BD$31*($E285-0.3)+$E285^2)</f>
        <v>0.61282133262544314</v>
      </c>
      <c r="G285" s="550">
        <f t="shared" si="245"/>
        <v>0.98048589667271857</v>
      </c>
      <c r="I285" s="551">
        <f t="shared" si="290"/>
        <v>111352.80279922398</v>
      </c>
      <c r="M285" s="546">
        <f t="shared" si="246"/>
        <v>337</v>
      </c>
      <c r="N285" s="551">
        <f t="shared" si="236"/>
        <v>29.809776510087499</v>
      </c>
      <c r="O285" s="553">
        <f>$N285/PI()*SQRT('Hilfstabellen_Mat&amp;Bem'!f.Rd.3/'Hilfstabellen_Mat&amp;Bem'!$BD$30)</f>
        <v>0.47443732840450947</v>
      </c>
      <c r="P285" s="553">
        <f>0.5*(1+'Hilfstabellen_Mat&amp;Bem'!$BD$31*($O285-0.3)+$O285^2)</f>
        <v>0.62126725571202956</v>
      </c>
      <c r="Q285" s="550">
        <f t="shared" si="237"/>
        <v>0.97812088319011525</v>
      </c>
      <c r="S285" s="551">
        <f t="shared" si="291"/>
        <v>111084.2105830182</v>
      </c>
      <c r="W285" s="546">
        <f t="shared" si="247"/>
        <v>337</v>
      </c>
      <c r="X285" s="551">
        <f t="shared" si="238"/>
        <v>30.83769983802155</v>
      </c>
      <c r="Y285" s="553">
        <f>$X285/PI()*SQRT('Hilfstabellen_Mat&amp;Bem'!f.Rd.3/'Hilfstabellen_Mat&amp;Bem'!$BD$30)</f>
        <v>0.49079723628052707</v>
      </c>
      <c r="Z285" s="553">
        <f>0.5*(1+'Hilfstabellen_Mat&amp;Bem'!$BD$31*($Y285-0.3)+$Y285^2)</f>
        <v>0.62998082538432809</v>
      </c>
      <c r="AA285" s="550">
        <f t="shared" si="239"/>
        <v>0.97566546606391669</v>
      </c>
      <c r="AC285" s="551">
        <f t="shared" si="292"/>
        <v>110805.35131541296</v>
      </c>
      <c r="AG285" s="546">
        <f t="shared" si="248"/>
        <v>337</v>
      </c>
      <c r="AH285" s="551">
        <f t="shared" si="240"/>
        <v>31.865623165955601</v>
      </c>
      <c r="AI285" s="553">
        <f>$AH285/PI()*SQRT('Hilfstabellen_Mat&amp;Bem'!f.Rd.3/'Hilfstabellen_Mat&amp;Bem'!$BD$30)</f>
        <v>0.50715714415654456</v>
      </c>
      <c r="AJ285" s="553">
        <f>0.5*(1+'Hilfstabellen_Mat&amp;Bem'!$BD$31*($AI285-0.3)+$AI285^2)</f>
        <v>0.63896204164233827</v>
      </c>
      <c r="AK285" s="550">
        <f t="shared" si="241"/>
        <v>0.97311125852510227</v>
      </c>
      <c r="AM285" s="551">
        <f t="shared" si="293"/>
        <v>110515.27251943733</v>
      </c>
      <c r="AQ285" s="546">
        <f t="shared" si="249"/>
        <v>337</v>
      </c>
      <c r="AR285" s="551">
        <f t="shared" si="242"/>
        <v>32.893546493889652</v>
      </c>
      <c r="AS285" s="553">
        <f>$AR285/PI()*SQRT('Hilfstabellen_Mat&amp;Bem'!f.Rd.3/'Hilfstabellen_Mat&amp;Bem'!$BD$30)</f>
        <v>0.52351705203256216</v>
      </c>
      <c r="AT285" s="553">
        <f>0.5*(1+'Hilfstabellen_Mat&amp;Bem'!$BD$31*($AS285-0.3)+$AS285^2)</f>
        <v>0.64821090448606034</v>
      </c>
      <c r="AU285" s="550">
        <f t="shared" si="243"/>
        <v>0.97044912989009446</v>
      </c>
      <c r="AW285" s="551">
        <f t="shared" si="294"/>
        <v>110212.93723248814</v>
      </c>
      <c r="BA285" s="546">
        <f t="shared" si="250"/>
        <v>337</v>
      </c>
      <c r="BB285" s="551">
        <f t="shared" si="251"/>
        <v>33.921469821823706</v>
      </c>
      <c r="BC285" s="553">
        <f>$BB285/PI()*SQRT('Hilfstabellen_Mat&amp;Bem'!f.Rd.3/'Hilfstabellen_Mat&amp;Bem'!$BD$30)</f>
        <v>0.53987695990857976</v>
      </c>
      <c r="BD285" s="553">
        <f>0.5*(1+'Hilfstabellen_Mat&amp;Bem'!$BD$31*($BC285-0.3)+$BC285^2)</f>
        <v>0.65772741391549416</v>
      </c>
      <c r="BE285" s="550">
        <f t="shared" si="252"/>
        <v>0.96766912654908621</v>
      </c>
      <c r="BG285" s="551">
        <f t="shared" si="253"/>
        <v>109897.21503305317</v>
      </c>
      <c r="BK285" s="546">
        <f t="shared" si="254"/>
        <v>337</v>
      </c>
      <c r="BL285" s="551">
        <f t="shared" si="255"/>
        <v>34.949393149757753</v>
      </c>
      <c r="BM285" s="553">
        <f>$BL285/PI()*SQRT('Hilfstabellen_Mat&amp;Bem'!f.Rd.3/'Hilfstabellen_Mat&amp;Bem'!$BD$30)</f>
        <v>0.55623686778459724</v>
      </c>
      <c r="BN285" s="553">
        <f>0.5*(1+'Hilfstabellen_Mat&amp;Bem'!$BD$31*($BM285-0.3)+$BM285^2)</f>
        <v>0.66751156993063965</v>
      </c>
      <c r="BO285" s="550">
        <f t="shared" si="256"/>
        <v>0.96476038654118956</v>
      </c>
      <c r="BQ285" s="551">
        <f t="shared" si="257"/>
        <v>109566.87233909636</v>
      </c>
      <c r="BU285" s="546">
        <f t="shared" si="258"/>
        <v>337</v>
      </c>
      <c r="BV285" s="551">
        <f t="shared" si="259"/>
        <v>35.977316477691808</v>
      </c>
      <c r="BW285" s="553">
        <f>$BV285/PI()*SQRT('Hilfstabellen_Mat&amp;Bem'!f.Rd.3/'Hilfstabellen_Mat&amp;Bem'!$BD$30)</f>
        <v>0.57259677566061484</v>
      </c>
      <c r="BX285" s="553">
        <f>0.5*(1+'Hilfstabellen_Mat&amp;Bem'!$BD$31*($BW285-0.3)+$BW285^2)</f>
        <v>0.6775633725314969</v>
      </c>
      <c r="BY285" s="550">
        <f t="shared" si="260"/>
        <v>0.96171104800882956</v>
      </c>
      <c r="CA285" s="551">
        <f t="shared" si="261"/>
        <v>109220.56201131476</v>
      </c>
      <c r="CE285" s="546">
        <f t="shared" si="262"/>
        <v>337</v>
      </c>
      <c r="CF285" s="551">
        <f t="shared" si="263"/>
        <v>37.005239805625862</v>
      </c>
      <c r="CG285" s="553">
        <f>CF285/PI()*SQRT('Hilfstabellen_Mat&amp;Bem'!f.Rd.3/'Hilfstabellen_Mat&amp;Bem'!$BD$30)</f>
        <v>0.58895668353663244</v>
      </c>
      <c r="CH285" s="553">
        <f>0.5*(1+'Hilfstabellen_Mat&amp;Bem'!$BD$31*(CG285-0.3)+CG285^2)</f>
        <v>0.68788282171806614</v>
      </c>
      <c r="CI285" s="550">
        <f t="shared" si="264"/>
        <v>0.95850815225815866</v>
      </c>
      <c r="CK285" s="551">
        <f t="shared" si="265"/>
        <v>108856.81234380681</v>
      </c>
      <c r="CO285" s="546">
        <f t="shared" si="266"/>
        <v>337</v>
      </c>
      <c r="CP285" s="551">
        <f t="shared" si="267"/>
        <v>38.03316313355991</v>
      </c>
      <c r="CQ285" s="553">
        <f>CP285/PI()*SQRT('Hilfstabellen_Mat&amp;Bem'!f.Rd.3/'Hilfstabellen_Mat&amp;Bem'!$BD$30)</f>
        <v>0.60531659141265004</v>
      </c>
      <c r="CR285" s="553">
        <f>0.5*(1+'Hilfstabellen_Mat&amp;Bem'!$BD$31*(CQ285-0.3)+CQ285^2)</f>
        <v>0.69846991749034704</v>
      </c>
      <c r="CS285" s="550">
        <f t="shared" si="268"/>
        <v>0.9551375427700014</v>
      </c>
      <c r="CU285" s="551">
        <f t="shared" si="269"/>
        <v>108474.01559484629</v>
      </c>
      <c r="CY285" s="546">
        <f t="shared" si="270"/>
        <v>337</v>
      </c>
      <c r="CZ285" s="551">
        <f t="shared" si="271"/>
        <v>39.061086461493964</v>
      </c>
      <c r="DA285" s="553">
        <f>CZ285/PI()*SQRT('Hilfstabellen_Mat&amp;Bem'!f.Rd.3/'Hilfstabellen_Mat&amp;Bem'!$BD$30)</f>
        <v>0.62167649928866764</v>
      </c>
      <c r="DB285" s="553">
        <f>0.5*(1+'Hilfstabellen_Mat&amp;Bem'!$BD$31*(DA285-0.3)+DA285^2)</f>
        <v>0.70932465984833981</v>
      </c>
      <c r="DC285" s="550">
        <f t="shared" si="272"/>
        <v>0.95158376236427444</v>
      </c>
      <c r="DE285" s="551">
        <f t="shared" si="273"/>
        <v>108070.41630794828</v>
      </c>
      <c r="DI285" s="546">
        <f t="shared" si="274"/>
        <v>337</v>
      </c>
      <c r="DJ285" s="551">
        <f t="shared" si="275"/>
        <v>40.089009789428019</v>
      </c>
      <c r="DK285" s="553">
        <f>DJ285/PI()*SQRT('Hilfstabellen_Mat&amp;Bem'!f.Rd.3/'Hilfstabellen_Mat&amp;Bem'!$BD$30)</f>
        <v>0.63803640716468513</v>
      </c>
      <c r="DL285" s="553">
        <f>0.5*(1+'Hilfstabellen_Mat&amp;Bem'!$BD$31*(DK285-0.3)+DK285^2)</f>
        <v>0.72044704879204424</v>
      </c>
      <c r="DM285" s="550">
        <f t="shared" si="276"/>
        <v>0.94782995188876162</v>
      </c>
      <c r="DO285" s="551">
        <f t="shared" si="277"/>
        <v>107644.09980605477</v>
      </c>
      <c r="DS285" s="546">
        <f t="shared" si="278"/>
        <v>337</v>
      </c>
      <c r="DT285" s="551">
        <f t="shared" si="279"/>
        <v>41.116933117362066</v>
      </c>
      <c r="DU285" s="553">
        <f>DT285/PI()*SQRT('Hilfstabellen_Mat&amp;Bem'!f.Rd.3/'Hilfstabellen_Mat&amp;Bem'!$BD$30)</f>
        <v>0.65439631504070273</v>
      </c>
      <c r="DV285" s="553">
        <f>0.5*(1+'Hilfstabellen_Mat&amp;Bem'!$BD$31*(DU285-0.3)+DU285^2)</f>
        <v>0.73183708432146055</v>
      </c>
      <c r="DW285" s="550">
        <f t="shared" si="280"/>
        <v>0.94385775535873495</v>
      </c>
      <c r="DY285" s="551">
        <f t="shared" si="281"/>
        <v>107192.98141833617</v>
      </c>
      <c r="EC285" s="546">
        <f t="shared" si="282"/>
        <v>337</v>
      </c>
      <c r="ED285" s="551">
        <f t="shared" si="283"/>
        <v>42.144856445296121</v>
      </c>
      <c r="EE285" s="553">
        <f>ED285/PI()*SQRT('Hilfstabellen_Mat&amp;Bem'!f.Rd.3/'Hilfstabellen_Mat&amp;Bem'!$BD$30)</f>
        <v>0.67075622291672032</v>
      </c>
      <c r="EF285" s="553">
        <f>0.5*(1+'Hilfstabellen_Mat&amp;Bem'!$BD$31*(EE285-0.3)+EE285^2)</f>
        <v>0.74349476643658852</v>
      </c>
      <c r="EG285" s="550">
        <f t="shared" si="284"/>
        <v>0.93964723849922682</v>
      </c>
      <c r="EI285" s="551">
        <f t="shared" si="285"/>
        <v>106714.79722911869</v>
      </c>
      <c r="EM285" s="546">
        <f t="shared" si="286"/>
        <v>337</v>
      </c>
      <c r="EN285" s="551">
        <f t="shared" si="287"/>
        <v>43.172779773230175</v>
      </c>
      <c r="EO285" s="553">
        <f>EN285/PI()*SQRT('Hilfstabellen_Mat&amp;Bem'!f.Rd.3/'Hilfstabellen_Mat&amp;Bem'!$BD$30)</f>
        <v>0.68711613079273792</v>
      </c>
      <c r="EP285" s="553">
        <f>0.5*(1+'Hilfstabellen_Mat&amp;Bem'!$BD$31*(EO285-0.3)+EO285^2)</f>
        <v>0.75542009513742836</v>
      </c>
      <c r="EQ285" s="550">
        <f t="shared" si="288"/>
        <v>0.93517683021022791</v>
      </c>
      <c r="ES285" s="551">
        <f t="shared" si="289"/>
        <v>106207.09743014537</v>
      </c>
    </row>
    <row r="286" spans="3:149">
      <c r="C286" s="546">
        <v>338</v>
      </c>
      <c r="D286" s="551">
        <f t="shared" si="244"/>
        <v>28.696699770371929</v>
      </c>
      <c r="E286" s="553">
        <f>$D286/PI()*SQRT('Hilfstabellen_Mat&amp;Bem'!f.Rd.3/'Hilfstabellen_Mat&amp;Bem'!$BD$30)</f>
        <v>0.45672216188787501</v>
      </c>
      <c r="F286" s="553">
        <f>0.5*(1+'Hilfstabellen_Mat&amp;Bem'!$BD$31*($E286-0.3)+$E286^2)</f>
        <v>0.61213367467416091</v>
      </c>
      <c r="G286" s="550">
        <f t="shared" si="245"/>
        <v>0.98067800496922142</v>
      </c>
      <c r="I286" s="551">
        <f t="shared" si="290"/>
        <v>112036.57799970373</v>
      </c>
      <c r="M286" s="546">
        <f t="shared" si="246"/>
        <v>338</v>
      </c>
      <c r="N286" s="551">
        <f t="shared" si="236"/>
        <v>29.721581905028071</v>
      </c>
      <c r="O286" s="553">
        <f>$N286/PI()*SQRT('Hilfstabellen_Mat&amp;Bem'!f.Rd.3/'Hilfstabellen_Mat&amp;Bem'!$BD$30)</f>
        <v>0.47303366766958493</v>
      </c>
      <c r="P286" s="553">
        <f>0.5*(1+'Hilfstabellen_Mat&amp;Bem'!$BD$31*($O286-0.3)+$O286^2)</f>
        <v>0.62053210875794884</v>
      </c>
      <c r="Q286" s="550">
        <f t="shared" si="237"/>
        <v>0.97832723017964407</v>
      </c>
      <c r="S286" s="551">
        <f t="shared" si="291"/>
        <v>111768.01608464326</v>
      </c>
      <c r="W286" s="546">
        <f t="shared" si="247"/>
        <v>338</v>
      </c>
      <c r="X286" s="551">
        <f t="shared" si="238"/>
        <v>30.746464039684209</v>
      </c>
      <c r="Y286" s="553">
        <f>$X286/PI()*SQRT('Hilfstabellen_Mat&amp;Bem'!f.Rd.3/'Hilfstabellen_Mat&amp;Bem'!$BD$30)</f>
        <v>0.48934517345129475</v>
      </c>
      <c r="Z286" s="553">
        <f>0.5*(1+'Hilfstabellen_Mat&amp;Bem'!$BD$31*($Y286-0.3)+$Y286^2)</f>
        <v>0.62919660806260358</v>
      </c>
      <c r="AA286" s="550">
        <f t="shared" si="239"/>
        <v>0.97588726947360283</v>
      </c>
      <c r="AC286" s="551">
        <f t="shared" si="292"/>
        <v>111489.26521374228</v>
      </c>
      <c r="AG286" s="546">
        <f t="shared" si="248"/>
        <v>338</v>
      </c>
      <c r="AH286" s="551">
        <f t="shared" si="240"/>
        <v>31.771346174340351</v>
      </c>
      <c r="AI286" s="553">
        <f>$AH286/PI()*SQRT('Hilfstabellen_Mat&amp;Bem'!f.Rd.3/'Hilfstabellen_Mat&amp;Bem'!$BD$30)</f>
        <v>0.5056566792330045</v>
      </c>
      <c r="AJ286" s="553">
        <f>0.5*(1+'Hilfstabellen_Mat&amp;Bem'!$BD$31*($AI286-0.3)+$AI286^2)</f>
        <v>0.63812717258812501</v>
      </c>
      <c r="AK286" s="550">
        <f t="shared" si="241"/>
        <v>0.97334987120143646</v>
      </c>
      <c r="AM286" s="551">
        <f t="shared" si="293"/>
        <v>111199.38268553691</v>
      </c>
      <c r="AQ286" s="546">
        <f t="shared" si="249"/>
        <v>338</v>
      </c>
      <c r="AR286" s="551">
        <f t="shared" si="242"/>
        <v>32.79622830899649</v>
      </c>
      <c r="AS286" s="553">
        <f>$AR286/PI()*SQRT('Hilfstabellen_Mat&amp;Bem'!f.Rd.3/'Hilfstabellen_Mat&amp;Bem'!$BD$30)</f>
        <v>0.52196818501471431</v>
      </c>
      <c r="AT286" s="553">
        <f>0.5*(1+'Hilfstabellen_Mat&amp;Bem'!$BD$31*($AS286-0.3)+$AS286^2)</f>
        <v>0.64732380233451314</v>
      </c>
      <c r="AU286" s="550">
        <f t="shared" si="243"/>
        <v>0.9707060551923542</v>
      </c>
      <c r="AW286" s="551">
        <f t="shared" si="294"/>
        <v>110897.34256939532</v>
      </c>
      <c r="BA286" s="546">
        <f t="shared" si="250"/>
        <v>338</v>
      </c>
      <c r="BB286" s="551">
        <f t="shared" si="251"/>
        <v>33.821110443652636</v>
      </c>
      <c r="BC286" s="553">
        <f>$BB286/PI()*SQRT('Hilfstabellen_Mat&amp;Bem'!f.Rd.3/'Hilfstabellen_Mat&amp;Bem'!$BD$30)</f>
        <v>0.53827969079642424</v>
      </c>
      <c r="BD286" s="553">
        <f>0.5*(1+'Hilfstabellen_Mat&amp;Bem'!$BD$31*($BC286-0.3)+$BC286^2)</f>
        <v>0.65678649730176819</v>
      </c>
      <c r="BE286" s="550">
        <f t="shared" si="252"/>
        <v>0.96794603547818281</v>
      </c>
      <c r="BG286" s="551">
        <f t="shared" si="253"/>
        <v>110582.02687716951</v>
      </c>
      <c r="BK286" s="546">
        <f t="shared" si="254"/>
        <v>338</v>
      </c>
      <c r="BL286" s="551">
        <f t="shared" si="255"/>
        <v>34.845992578308774</v>
      </c>
      <c r="BM286" s="553">
        <f>$BL286/PI()*SQRT('Hilfstabellen_Mat&amp;Bem'!f.Rd.3/'Hilfstabellen_Mat&amp;Bem'!$BD$30)</f>
        <v>0.55459119657813405</v>
      </c>
      <c r="BN286" s="553">
        <f>0.5*(1+'Hilfstabellen_Mat&amp;Bem'!$BD$31*($BM286-0.3)+$BM286^2)</f>
        <v>0.66651525748988993</v>
      </c>
      <c r="BO286" s="550">
        <f t="shared" si="256"/>
        <v>0.96505913670653609</v>
      </c>
      <c r="BQ286" s="551">
        <f t="shared" si="257"/>
        <v>110252.2160139015</v>
      </c>
      <c r="BU286" s="546">
        <f t="shared" si="258"/>
        <v>338</v>
      </c>
      <c r="BV286" s="551">
        <f t="shared" si="259"/>
        <v>35.870874712964913</v>
      </c>
      <c r="BW286" s="553">
        <f>$BV286/PI()*SQRT('Hilfstabellen_Mat&amp;Bem'!f.Rd.3/'Hilfstabellen_Mat&amp;Bem'!$BD$30)</f>
        <v>0.57090270235984386</v>
      </c>
      <c r="BX286" s="553">
        <f>0.5*(1+'Hilfstabellen_Mat&amp;Bem'!$BD$31*($BW286-0.3)+$BW286^2)</f>
        <v>0.67651008289887837</v>
      </c>
      <c r="BY286" s="550">
        <f t="shared" si="260"/>
        <v>0.96203370449740522</v>
      </c>
      <c r="CA286" s="551">
        <f t="shared" si="261"/>
        <v>109906.57853660156</v>
      </c>
      <c r="CE286" s="546">
        <f t="shared" si="262"/>
        <v>338</v>
      </c>
      <c r="CF286" s="551">
        <f t="shared" si="263"/>
        <v>36.895756847621051</v>
      </c>
      <c r="CG286" s="553">
        <f>CF286/PI()*SQRT('Hilfstabellen_Mat&amp;Bem'!f.Rd.3/'Hilfstabellen_Mat&amp;Bem'!$BD$30)</f>
        <v>0.58721420814155356</v>
      </c>
      <c r="CH286" s="553">
        <f>0.5*(1+'Hilfstabellen_Mat&amp;Bem'!$BD$31*(CG286-0.3)+CG286^2)</f>
        <v>0.68677097352873351</v>
      </c>
      <c r="CI286" s="550">
        <f t="shared" si="264"/>
        <v>0.95885701040681737</v>
      </c>
      <c r="CK286" s="551">
        <f t="shared" si="265"/>
        <v>109543.66029691644</v>
      </c>
      <c r="CO286" s="546">
        <f t="shared" si="266"/>
        <v>338</v>
      </c>
      <c r="CP286" s="551">
        <f t="shared" si="267"/>
        <v>37.92063898227719</v>
      </c>
      <c r="CQ286" s="553">
        <f>CP286/PI()*SQRT('Hilfstabellen_Mat&amp;Bem'!f.Rd.3/'Hilfstabellen_Mat&amp;Bem'!$BD$30)</f>
        <v>0.60352571392326348</v>
      </c>
      <c r="CR286" s="553">
        <f>0.5*(1+'Hilfstabellen_Mat&amp;Bem'!$BD$31*(CQ286-0.3)+CQ286^2)</f>
        <v>0.69729792937945556</v>
      </c>
      <c r="CS286" s="550">
        <f t="shared" si="268"/>
        <v>0.95551515274458954</v>
      </c>
      <c r="CU286" s="551">
        <f t="shared" si="269"/>
        <v>109161.87311015288</v>
      </c>
      <c r="CY286" s="546">
        <f t="shared" si="270"/>
        <v>338</v>
      </c>
      <c r="CZ286" s="551">
        <f t="shared" si="271"/>
        <v>38.945521116933335</v>
      </c>
      <c r="DA286" s="553">
        <f>CZ286/PI()*SQRT('Hilfstabellen_Mat&amp;Bem'!f.Rd.3/'Hilfstabellen_Mat&amp;Bem'!$BD$30)</f>
        <v>0.6198372197049733</v>
      </c>
      <c r="DB286" s="553">
        <f>0.5*(1+'Hilfstabellen_Mat&amp;Bem'!$BD$31*(DA286-0.3)+DA286^2)</f>
        <v>0.70809095045104431</v>
      </c>
      <c r="DC286" s="550">
        <f t="shared" si="272"/>
        <v>0.95199295530490458</v>
      </c>
      <c r="DE286" s="551">
        <f t="shared" si="273"/>
        <v>108759.48318585352</v>
      </c>
      <c r="DI286" s="546">
        <f t="shared" si="274"/>
        <v>338</v>
      </c>
      <c r="DJ286" s="551">
        <f t="shared" si="275"/>
        <v>39.970403251589474</v>
      </c>
      <c r="DK286" s="553">
        <f>DJ286/PI()*SQRT('Hilfstabellen_Mat&amp;Bem'!f.Rd.3/'Hilfstabellen_Mat&amp;Bem'!$BD$30)</f>
        <v>0.63614872548668311</v>
      </c>
      <c r="DL286" s="553">
        <f>0.5*(1+'Hilfstabellen_Mat&amp;Bem'!$BD$31*(DK286-0.3)+DK286^2)</f>
        <v>0.71915003674349975</v>
      </c>
      <c r="DM286" s="550">
        <f t="shared" si="276"/>
        <v>0.94827386717413598</v>
      </c>
      <c r="DO286" s="551">
        <f t="shared" si="277"/>
        <v>108334.59968144199</v>
      </c>
      <c r="DS286" s="546">
        <f t="shared" si="278"/>
        <v>338</v>
      </c>
      <c r="DT286" s="551">
        <f t="shared" si="279"/>
        <v>40.995285386245612</v>
      </c>
      <c r="DU286" s="553">
        <f>DT286/PI()*SQRT('Hilfstabellen_Mat&amp;Bem'!f.Rd.3/'Hilfstabellen_Mat&amp;Bem'!$BD$30)</f>
        <v>0.65246023126839292</v>
      </c>
      <c r="DV286" s="553">
        <f>0.5*(1+'Hilfstabellen_Mat&amp;Bem'!$BD$31*(DU286-0.3)+DU286^2)</f>
        <v>0.73047518825682201</v>
      </c>
      <c r="DW286" s="550">
        <f t="shared" si="280"/>
        <v>0.94433986825522931</v>
      </c>
      <c r="DY286" s="551">
        <f t="shared" si="281"/>
        <v>107885.16390895042</v>
      </c>
      <c r="EC286" s="546">
        <f t="shared" si="282"/>
        <v>338</v>
      </c>
      <c r="ED286" s="551">
        <f t="shared" si="283"/>
        <v>42.020167520901758</v>
      </c>
      <c r="EE286" s="553">
        <f>ED286/PI()*SQRT('Hilfstabellen_Mat&amp;Bem'!f.Rd.3/'Hilfstabellen_Mat&amp;Bem'!$BD$30)</f>
        <v>0.66877173705010284</v>
      </c>
      <c r="EF286" s="553">
        <f>0.5*(1+'Hilfstabellen_Mat&amp;Bem'!$BD$31*(EE286-0.3)+EE286^2)</f>
        <v>0.74206640499101106</v>
      </c>
      <c r="EG286" s="550">
        <f t="shared" si="284"/>
        <v>0.94017138707166226</v>
      </c>
      <c r="EI286" s="551">
        <f t="shared" si="285"/>
        <v>107408.93994461498</v>
      </c>
      <c r="EM286" s="546">
        <f t="shared" si="286"/>
        <v>338</v>
      </c>
      <c r="EN286" s="551">
        <f t="shared" si="287"/>
        <v>43.045049655557897</v>
      </c>
      <c r="EO286" s="553">
        <f>EN286/PI()*SQRT('Hilfstabellen_Mat&amp;Bem'!f.Rd.3/'Hilfstabellen_Mat&amp;Bem'!$BD$30)</f>
        <v>0.68508324283181266</v>
      </c>
      <c r="EP286" s="553">
        <f>0.5*(1+'Hilfstabellen_Mat&amp;Bem'!$BD$31*(EO286-0.3)+EO286^2)</f>
        <v>0.75392368694606682</v>
      </c>
      <c r="EQ286" s="550">
        <f t="shared" si="288"/>
        <v>0.93574723985968611</v>
      </c>
      <c r="ES286" s="551">
        <f t="shared" si="289"/>
        <v>106903.50767052997</v>
      </c>
    </row>
    <row r="287" spans="3:149">
      <c r="C287" s="546">
        <v>339</v>
      </c>
      <c r="D287" s="551">
        <f t="shared" si="244"/>
        <v>28.612048738600919</v>
      </c>
      <c r="E287" s="553">
        <f>$D287/PI()*SQRT('Hilfstabellen_Mat&amp;Bem'!f.Rd.3/'Hilfstabellen_Mat&amp;Bem'!$BD$30)</f>
        <v>0.4553748988734565</v>
      </c>
      <c r="F287" s="553">
        <f>0.5*(1+'Hilfstabellen_Mat&amp;Bem'!$BD$31*($E287-0.3)+$E287^2)</f>
        <v>0.61145189420567825</v>
      </c>
      <c r="G287" s="550">
        <f t="shared" si="245"/>
        <v>0.98086842193316348</v>
      </c>
      <c r="I287" s="551">
        <f t="shared" si="290"/>
        <v>112722.37991698108</v>
      </c>
      <c r="M287" s="546">
        <f t="shared" si="246"/>
        <v>339</v>
      </c>
      <c r="N287" s="551">
        <f t="shared" si="236"/>
        <v>29.633907622122379</v>
      </c>
      <c r="O287" s="553">
        <f>$N287/PI()*SQRT('Hilfstabellen_Mat&amp;Bem'!f.Rd.3/'Hilfstabellen_Mat&amp;Bem'!$BD$30)</f>
        <v>0.4716382881189371</v>
      </c>
      <c r="P287" s="553">
        <f>0.5*(1+'Hilfstabellen_Mat&amp;Bem'!$BD$31*($O287-0.3)+$O287^2)</f>
        <v>0.61980325181582763</v>
      </c>
      <c r="Q287" s="550">
        <f t="shared" si="237"/>
        <v>0.97853170556616531</v>
      </c>
      <c r="S287" s="551">
        <f t="shared" si="291"/>
        <v>112453.84213536928</v>
      </c>
      <c r="W287" s="546">
        <f t="shared" si="247"/>
        <v>339</v>
      </c>
      <c r="X287" s="551">
        <f t="shared" si="238"/>
        <v>30.655766505643843</v>
      </c>
      <c r="Y287" s="553">
        <f>$X287/PI()*SQRT('Hilfstabellen_Mat&amp;Bem'!f.Rd.3/'Hilfstabellen_Mat&amp;Bem'!$BD$30)</f>
        <v>0.48790167736441775</v>
      </c>
      <c r="Z287" s="553">
        <f>0.5*(1+'Hilfstabellen_Mat&amp;Bem'!$BD$31*($Y287-0.3)+$Y287^2)</f>
        <v>0.62841910725572703</v>
      </c>
      <c r="AA287" s="550">
        <f t="shared" si="239"/>
        <v>0.97610699942593881</v>
      </c>
      <c r="AC287" s="551">
        <f t="shared" si="292"/>
        <v>112175.19248102831</v>
      </c>
      <c r="AG287" s="546">
        <f t="shared" si="248"/>
        <v>339</v>
      </c>
      <c r="AH287" s="551">
        <f t="shared" si="240"/>
        <v>31.677625389165303</v>
      </c>
      <c r="AI287" s="553">
        <f>$AH287/PI()*SQRT('Hilfstabellen_Mat&amp;Bem'!f.Rd.3/'Hilfstabellen_Mat&amp;Bem'!$BD$30)</f>
        <v>0.50416506660989835</v>
      </c>
      <c r="AJ287" s="553">
        <f>0.5*(1+'Hilfstabellen_Mat&amp;Bem'!$BD$31*($AI287-0.3)+$AI287^2)</f>
        <v>0.63729946052537656</v>
      </c>
      <c r="AK287" s="550">
        <f t="shared" si="241"/>
        <v>0.97358618414294529</v>
      </c>
      <c r="AM287" s="551">
        <f t="shared" si="293"/>
        <v>111885.49786789142</v>
      </c>
      <c r="AQ287" s="546">
        <f t="shared" si="249"/>
        <v>339</v>
      </c>
      <c r="AR287" s="551">
        <f t="shared" si="242"/>
        <v>32.699484272686767</v>
      </c>
      <c r="AS287" s="553">
        <f>$AR287/PI()*SQRT('Hilfstabellen_Mat&amp;Bem'!f.Rd.3/'Hilfstabellen_Mat&amp;Bem'!$BD$30)</f>
        <v>0.520428455855379</v>
      </c>
      <c r="AT287" s="553">
        <f>0.5*(1+'Hilfstabellen_Mat&amp;Bem'!$BD$31*($AS287-0.3)+$AS287^2)</f>
        <v>0.646444311624776</v>
      </c>
      <c r="AU287" s="550">
        <f t="shared" si="243"/>
        <v>0.97096042684791106</v>
      </c>
      <c r="AW287" s="551">
        <f t="shared" si="294"/>
        <v>111583.74321378878</v>
      </c>
      <c r="BA287" s="546">
        <f t="shared" si="250"/>
        <v>339</v>
      </c>
      <c r="BB287" s="551">
        <f t="shared" si="251"/>
        <v>33.721343156208228</v>
      </c>
      <c r="BC287" s="553">
        <f>$BB287/PI()*SQRT('Hilfstabellen_Mat&amp;Bem'!f.Rd.3/'Hilfstabellen_Mat&amp;Bem'!$BD$30)</f>
        <v>0.53669184510085954</v>
      </c>
      <c r="BD287" s="553">
        <f>0.5*(1+'Hilfstabellen_Mat&amp;Bem'!$BD$31*($BC287-0.3)+$BC287^2)</f>
        <v>0.65585366055392558</v>
      </c>
      <c r="BE287" s="550">
        <f t="shared" si="252"/>
        <v>0.96822010559018101</v>
      </c>
      <c r="BG287" s="551">
        <f t="shared" si="253"/>
        <v>111268.82275452919</v>
      </c>
      <c r="BK287" s="546">
        <f t="shared" si="254"/>
        <v>339</v>
      </c>
      <c r="BL287" s="551">
        <f t="shared" si="255"/>
        <v>34.743202039729688</v>
      </c>
      <c r="BM287" s="553">
        <f>$BL287/PI()*SQRT('Hilfstabellen_Mat&amp;Bem'!f.Rd.3/'Hilfstabellen_Mat&amp;Bem'!$BD$30)</f>
        <v>0.55295523434634009</v>
      </c>
      <c r="BN287" s="553">
        <f>0.5*(1+'Hilfstabellen_Mat&amp;Bem'!$BD$31*($BM287-0.3)+$BM287^2)</f>
        <v>0.66552750731282484</v>
      </c>
      <c r="BO287" s="550">
        <f t="shared" si="256"/>
        <v>0.96535472754851492</v>
      </c>
      <c r="BQ287" s="551">
        <f t="shared" si="257"/>
        <v>110939.53064460288</v>
      </c>
      <c r="BU287" s="546">
        <f t="shared" si="258"/>
        <v>339</v>
      </c>
      <c r="BV287" s="551">
        <f t="shared" si="259"/>
        <v>35.765060923251156</v>
      </c>
      <c r="BW287" s="553">
        <f>$BV287/PI()*SQRT('Hilfstabellen_Mat&amp;Bem'!f.Rd.3/'Hilfstabellen_Mat&amp;Bem'!$BD$30)</f>
        <v>0.56921862359182074</v>
      </c>
      <c r="BX287" s="553">
        <f>0.5*(1+'Hilfstabellen_Mat&amp;Bem'!$BD$31*($BW287-0.3)+$BW287^2)</f>
        <v>0.67546585190147446</v>
      </c>
      <c r="BY287" s="550">
        <f t="shared" si="260"/>
        <v>0.96235284125266374</v>
      </c>
      <c r="CA287" s="551">
        <f t="shared" si="261"/>
        <v>110594.55086959737</v>
      </c>
      <c r="CE287" s="546">
        <f t="shared" si="262"/>
        <v>339</v>
      </c>
      <c r="CF287" s="551">
        <f t="shared" si="263"/>
        <v>36.786919806772616</v>
      </c>
      <c r="CG287" s="553">
        <f>CF287/PI()*SQRT('Hilfstabellen_Mat&amp;Bem'!f.Rd.3/'Hilfstabellen_Mat&amp;Bem'!$BD$30)</f>
        <v>0.58548201283730139</v>
      </c>
      <c r="CH287" s="553">
        <f>0.5*(1+'Hilfstabellen_Mat&amp;Bem'!$BD$31*(CG287-0.3)+CG287^2)</f>
        <v>0.68566869431987398</v>
      </c>
      <c r="CI287" s="550">
        <f t="shared" si="264"/>
        <v>0.95920194342043497</v>
      </c>
      <c r="CK287" s="551">
        <f t="shared" si="265"/>
        <v>110232.44653981981</v>
      </c>
      <c r="CO287" s="546">
        <f t="shared" si="266"/>
        <v>339</v>
      </c>
      <c r="CP287" s="551">
        <f t="shared" si="267"/>
        <v>37.808778690294076</v>
      </c>
      <c r="CQ287" s="553">
        <f>CP287/PI()*SQRT('Hilfstabellen_Mat&amp;Bem'!f.Rd.3/'Hilfstabellen_Mat&amp;Bem'!$BD$30)</f>
        <v>0.60174540208278193</v>
      </c>
      <c r="CR287" s="553">
        <f>0.5*(1+'Hilfstabellen_Mat&amp;Bem'!$BD$31*(CQ287-0.3)+CQ287^2)</f>
        <v>0.69613603456802364</v>
      </c>
      <c r="CS287" s="550">
        <f t="shared" si="268"/>
        <v>0.95588838156588285</v>
      </c>
      <c r="CU287" s="551">
        <f t="shared" si="269"/>
        <v>109851.64869793282</v>
      </c>
      <c r="CY287" s="546">
        <f t="shared" si="270"/>
        <v>339</v>
      </c>
      <c r="CZ287" s="551">
        <f t="shared" si="271"/>
        <v>38.830637573815537</v>
      </c>
      <c r="DA287" s="553">
        <f>CZ287/PI()*SQRT('Hilfstabellen_Mat&amp;Bem'!f.Rd.3/'Hilfstabellen_Mat&amp;Bem'!$BD$30)</f>
        <v>0.61800879132826259</v>
      </c>
      <c r="DB287" s="553">
        <f>0.5*(1+'Hilfstabellen_Mat&amp;Bem'!$BD$31*(DA287-0.3)+DA287^2)</f>
        <v>0.70686787264592321</v>
      </c>
      <c r="DC287" s="550">
        <f t="shared" si="272"/>
        <v>0.95239725430184408</v>
      </c>
      <c r="DE287" s="551">
        <f t="shared" si="273"/>
        <v>109450.44486162222</v>
      </c>
      <c r="DI287" s="546">
        <f t="shared" si="274"/>
        <v>339</v>
      </c>
      <c r="DJ287" s="551">
        <f t="shared" si="275"/>
        <v>39.852496457336997</v>
      </c>
      <c r="DK287" s="553">
        <f>DJ287/PI()*SQRT('Hilfstabellen_Mat&amp;Bem'!f.Rd.3/'Hilfstabellen_Mat&amp;Bem'!$BD$30)</f>
        <v>0.63427218057374313</v>
      </c>
      <c r="DL287" s="553">
        <f>0.5*(1+'Hilfstabellen_Mat&amp;Bem'!$BD$31*(DK287-0.3)+DK287^2)</f>
        <v>0.71786420855357269</v>
      </c>
      <c r="DM287" s="550">
        <f t="shared" si="276"/>
        <v>0.94871231230681441</v>
      </c>
      <c r="DO287" s="551">
        <f t="shared" si="277"/>
        <v>109026.96764261142</v>
      </c>
      <c r="DS287" s="546">
        <f t="shared" si="278"/>
        <v>339</v>
      </c>
      <c r="DT287" s="551">
        <f t="shared" si="279"/>
        <v>40.874355340858457</v>
      </c>
      <c r="DU287" s="553">
        <f>DT287/PI()*SQRT('Hilfstabellen_Mat&amp;Bem'!f.Rd.3/'Hilfstabellen_Mat&amp;Bem'!$BD$30)</f>
        <v>0.65053556981922367</v>
      </c>
      <c r="DV287" s="553">
        <f>0.5*(1+'Hilfstabellen_Mat&amp;Bem'!$BD$31*(DU287-0.3)+DU287^2)</f>
        <v>0.72912504229097219</v>
      </c>
      <c r="DW287" s="550">
        <f t="shared" si="280"/>
        <v>0.94481586432449793</v>
      </c>
      <c r="DY287" s="551">
        <f t="shared" si="281"/>
        <v>108579.18394403563</v>
      </c>
      <c r="EC287" s="546">
        <f t="shared" si="282"/>
        <v>339</v>
      </c>
      <c r="ED287" s="551">
        <f t="shared" si="283"/>
        <v>41.896214224379918</v>
      </c>
      <c r="EE287" s="553">
        <f>ED287/PI()*SQRT('Hilfstabellen_Mat&amp;Bem'!f.Rd.3/'Hilfstabellen_Mat&amp;Bem'!$BD$30)</f>
        <v>0.66679895906470421</v>
      </c>
      <c r="EF287" s="553">
        <f>0.5*(1+'Hilfstabellen_Mat&amp;Bem'!$BD$31*(EE287-0.3)+EE287^2)</f>
        <v>0.74065037385812182</v>
      </c>
      <c r="EG287" s="550">
        <f t="shared" si="284"/>
        <v>0.94068869439143221</v>
      </c>
      <c r="EI287" s="551">
        <f t="shared" si="285"/>
        <v>108104.88544815779</v>
      </c>
      <c r="EM287" s="546">
        <f t="shared" si="286"/>
        <v>339</v>
      </c>
      <c r="EN287" s="551">
        <f t="shared" si="287"/>
        <v>42.918073107901378</v>
      </c>
      <c r="EO287" s="553">
        <f>EN287/PI()*SQRT('Hilfstabellen_Mat&amp;Bem'!f.Rd.3/'Hilfstabellen_Mat&amp;Bem'!$BD$30)</f>
        <v>0.68306234831018475</v>
      </c>
      <c r="EP287" s="553">
        <f>0.5*(1+'Hilfstabellen_Mat&amp;Bem'!$BD$31*(EO287-0.3)+EO287^2)</f>
        <v>0.75244020325502137</v>
      </c>
      <c r="EQ287" s="550">
        <f t="shared" si="288"/>
        <v>0.93630999881643329</v>
      </c>
      <c r="ES287" s="551">
        <f t="shared" si="289"/>
        <v>107601.68137398333</v>
      </c>
    </row>
    <row r="288" spans="3:149">
      <c r="C288" s="546">
        <v>340</v>
      </c>
      <c r="D288" s="551">
        <f t="shared" si="244"/>
        <v>28.527895654075621</v>
      </c>
      <c r="E288" s="553">
        <f>$D288/PI()*SQRT('Hilfstabellen_Mat&amp;Bem'!f.Rd.3/'Hilfstabellen_Mat&amp;Bem'!$BD$30)</f>
        <v>0.45403556093559339</v>
      </c>
      <c r="F288" s="553">
        <f>0.5*(1+'Hilfstabellen_Mat&amp;Bem'!$BD$31*($E288-0.3)+$E288^2)</f>
        <v>0.61077592334382913</v>
      </c>
      <c r="G288" s="550">
        <f t="shared" si="245"/>
        <v>0.98105717145051785</v>
      </c>
      <c r="I288" s="551">
        <f t="shared" si="290"/>
        <v>113410.20901967987</v>
      </c>
      <c r="M288" s="546">
        <f t="shared" si="246"/>
        <v>340</v>
      </c>
      <c r="N288" s="551">
        <f t="shared" si="236"/>
        <v>29.546749070292609</v>
      </c>
      <c r="O288" s="553">
        <f>$N288/PI()*SQRT('Hilfstabellen_Mat&amp;Bem'!f.Rd.3/'Hilfstabellen_Mat&amp;Bem'!$BD$30)</f>
        <v>0.47025111668329322</v>
      </c>
      <c r="P288" s="553">
        <f>0.5*(1+'Hilfstabellen_Mat&amp;Bem'!$BD$31*($O288-0.3)+$O288^2)</f>
        <v>0.6190806122051068</v>
      </c>
      <c r="Q288" s="550">
        <f t="shared" si="237"/>
        <v>0.97873433650793595</v>
      </c>
      <c r="S288" s="551">
        <f t="shared" si="291"/>
        <v>113141.68930031739</v>
      </c>
      <c r="W288" s="546">
        <f t="shared" si="247"/>
        <v>340</v>
      </c>
      <c r="X288" s="551">
        <f t="shared" si="238"/>
        <v>30.565602486509601</v>
      </c>
      <c r="Y288" s="553">
        <f>$X288/PI()*SQRT('Hilfstabellen_Mat&amp;Bem'!f.Rd.3/'Hilfstabellen_Mat&amp;Bem'!$BD$30)</f>
        <v>0.48646667243099301</v>
      </c>
      <c r="Z288" s="553">
        <f>0.5*(1+'Hilfstabellen_Mat&amp;Bem'!$BD$31*($Y288-0.3)+$Y288^2)</f>
        <v>0.62764824531459118</v>
      </c>
      <c r="AA288" s="550">
        <f t="shared" si="239"/>
        <v>0.97632468682941875</v>
      </c>
      <c r="AC288" s="551">
        <f t="shared" si="292"/>
        <v>112863.13379748081</v>
      </c>
      <c r="AG288" s="546">
        <f t="shared" si="248"/>
        <v>340</v>
      </c>
      <c r="AH288" s="551">
        <f t="shared" si="240"/>
        <v>31.584455902726582</v>
      </c>
      <c r="AI288" s="553">
        <f>$AH288/PI()*SQRT('Hilfstabellen_Mat&amp;Bem'!f.Rd.3/'Hilfstabellen_Mat&amp;Bem'!$BD$30)</f>
        <v>0.50268222817869279</v>
      </c>
      <c r="AJ288" s="553">
        <f>0.5*(1+'Hilfstabellen_Mat&amp;Bem'!$BD$31*($AI288-0.3)+$AI288^2)</f>
        <v>0.63647882267228229</v>
      </c>
      <c r="AK288" s="550">
        <f t="shared" si="241"/>
        <v>0.97382023255800554</v>
      </c>
      <c r="AM288" s="551">
        <f t="shared" si="293"/>
        <v>112573.61888370544</v>
      </c>
      <c r="AQ288" s="546">
        <f t="shared" si="249"/>
        <v>340</v>
      </c>
      <c r="AR288" s="551">
        <f t="shared" si="242"/>
        <v>32.603309318943573</v>
      </c>
      <c r="AS288" s="553">
        <f>$AR288/PI()*SQRT('Hilfstabellen_Mat&amp;Bem'!f.Rd.3/'Hilfstabellen_Mat&amp;Bem'!$BD$30)</f>
        <v>0.51889778392639252</v>
      </c>
      <c r="AT288" s="553">
        <f>0.5*(1+'Hilfstabellen_Mat&amp;Bem'!$BD$31*($AS288-0.3)+$AS288^2)</f>
        <v>0.64557234427818022</v>
      </c>
      <c r="AU288" s="550">
        <f t="shared" si="243"/>
        <v>0.97121228499640344</v>
      </c>
      <c r="AW288" s="551">
        <f t="shared" si="294"/>
        <v>112272.14014558424</v>
      </c>
      <c r="BA288" s="546">
        <f t="shared" si="250"/>
        <v>340</v>
      </c>
      <c r="BB288" s="551">
        <f t="shared" si="251"/>
        <v>33.622162735160558</v>
      </c>
      <c r="BC288" s="553">
        <f>$BB288/PI()*SQRT('Hilfstabellen_Mat&amp;Bem'!f.Rd.3/'Hilfstabellen_Mat&amp;Bem'!$BD$30)</f>
        <v>0.53511333967409225</v>
      </c>
      <c r="BD288" s="553">
        <f>0.5*(1+'Hilfstabellen_Mat&amp;Bem'!$BD$31*($BC288-0.3)+$BC288^2)</f>
        <v>0.65492881013228477</v>
      </c>
      <c r="BE288" s="550">
        <f t="shared" si="252"/>
        <v>0.96849138268002877</v>
      </c>
      <c r="BG288" s="551">
        <f t="shared" si="253"/>
        <v>111957.60383781133</v>
      </c>
      <c r="BK288" s="546">
        <f t="shared" si="254"/>
        <v>340</v>
      </c>
      <c r="BL288" s="551">
        <f t="shared" si="255"/>
        <v>34.641016151377542</v>
      </c>
      <c r="BM288" s="553">
        <f>$BL288/PI()*SQRT('Hilfstabellen_Mat&amp;Bem'!f.Rd.3/'Hilfstabellen_Mat&amp;Bem'!$BD$30)</f>
        <v>0.55132889542179198</v>
      </c>
      <c r="BN288" s="553">
        <f>0.5*(1+'Hilfstabellen_Mat&amp;Bem'!$BD$31*($BM288-0.3)+$BM288^2)</f>
        <v>0.66454822023459625</v>
      </c>
      <c r="BO288" s="550">
        <f t="shared" si="256"/>
        <v>0.96564721134572118</v>
      </c>
      <c r="BQ288" s="551">
        <f t="shared" si="257"/>
        <v>111628.81763156537</v>
      </c>
      <c r="BU288" s="546">
        <f t="shared" si="258"/>
        <v>340</v>
      </c>
      <c r="BV288" s="551">
        <f t="shared" si="259"/>
        <v>35.659869567594534</v>
      </c>
      <c r="BW288" s="553">
        <f>$BV288/PI()*SQRT('Hilfstabellen_Mat&amp;Bem'!f.Rd.3/'Hilfstabellen_Mat&amp;Bem'!$BD$30)</f>
        <v>0.56754445116949181</v>
      </c>
      <c r="BX288" s="553">
        <f>0.5*(1+'Hilfstabellen_Mat&amp;Bem'!$BD$31*($BW288-0.3)+$BW288^2)</f>
        <v>0.67443057458511446</v>
      </c>
      <c r="BY288" s="550">
        <f t="shared" si="260"/>
        <v>0.96266851798141373</v>
      </c>
      <c r="CA288" s="551">
        <f t="shared" si="261"/>
        <v>111284.48067865142</v>
      </c>
      <c r="CE288" s="546">
        <f t="shared" si="262"/>
        <v>340</v>
      </c>
      <c r="CF288" s="551">
        <f t="shared" si="263"/>
        <v>36.678722983811518</v>
      </c>
      <c r="CG288" s="553">
        <f>CF288/PI()*SQRT('Hilfstabellen_Mat&amp;Bem'!f.Rd.3/'Hilfstabellen_Mat&amp;Bem'!$BD$30)</f>
        <v>0.58376000691719165</v>
      </c>
      <c r="CH288" s="553">
        <f>0.5*(1+'Hilfstabellen_Mat&amp;Bem'!$BD$31*(CG288-0.3)+CG288^2)</f>
        <v>0.68457587318383939</v>
      </c>
      <c r="CI288" s="550">
        <f t="shared" si="264"/>
        <v>0.95954301950640664</v>
      </c>
      <c r="CK288" s="551">
        <f t="shared" si="265"/>
        <v>110923.17305494061</v>
      </c>
      <c r="CO288" s="546">
        <f t="shared" si="266"/>
        <v>340</v>
      </c>
      <c r="CP288" s="551">
        <f t="shared" si="267"/>
        <v>37.697576400028503</v>
      </c>
      <c r="CQ288" s="553">
        <f>CP288/PI()*SQRT('Hilfstabellen_Mat&amp;Bem'!f.Rd.3/'Hilfstabellen_Mat&amp;Bem'!$BD$30)</f>
        <v>0.59997556266489138</v>
      </c>
      <c r="CR288" s="553">
        <f>0.5*(1+'Hilfstabellen_Mat&amp;Bem'!$BD$31*(CQ288-0.3)+CQ288^2)</f>
        <v>0.69498411603077104</v>
      </c>
      <c r="CS288" s="550">
        <f t="shared" si="268"/>
        <v>0.95625730715228097</v>
      </c>
      <c r="CU288" s="551">
        <f t="shared" si="269"/>
        <v>110543.34470680368</v>
      </c>
      <c r="CY288" s="546">
        <f t="shared" si="270"/>
        <v>340</v>
      </c>
      <c r="CZ288" s="551">
        <f t="shared" si="271"/>
        <v>38.716429816245487</v>
      </c>
      <c r="DA288" s="553">
        <f>CZ288/PI()*SQRT('Hilfstabellen_Mat&amp;Bem'!f.Rd.3/'Hilfstabellen_Mat&amp;Bem'!$BD$30)</f>
        <v>0.61619111841259111</v>
      </c>
      <c r="DB288" s="553">
        <f>0.5*(1+'Hilfstabellen_Mat&amp;Bem'!$BD$31*(DA288-0.3)+DA288^2)</f>
        <v>0.70565530312590952</v>
      </c>
      <c r="DC288" s="550">
        <f t="shared" si="272"/>
        <v>0.95279674834028816</v>
      </c>
      <c r="DE288" s="551">
        <f t="shared" si="273"/>
        <v>110143.30410813731</v>
      </c>
      <c r="DI288" s="546">
        <f t="shared" si="274"/>
        <v>340</v>
      </c>
      <c r="DJ288" s="551">
        <f t="shared" si="275"/>
        <v>39.735283232462479</v>
      </c>
      <c r="DK288" s="553">
        <f>DJ288/PI()*SQRT('Hilfstabellen_Mat&amp;Bem'!f.Rd.3/'Hilfstabellen_Mat&amp;Bem'!$BD$30)</f>
        <v>0.63240667416029095</v>
      </c>
      <c r="DL288" s="553">
        <f>0.5*(1+'Hilfstabellen_Mat&amp;Bem'!$BD$31*(DK288-0.3)+DK288^2)</f>
        <v>0.71658943446925472</v>
      </c>
      <c r="DM288" s="550">
        <f t="shared" si="276"/>
        <v>0.94914538884215827</v>
      </c>
      <c r="DO288" s="551">
        <f t="shared" si="277"/>
        <v>109721.2069501535</v>
      </c>
      <c r="DS288" s="546">
        <f t="shared" si="278"/>
        <v>340</v>
      </c>
      <c r="DT288" s="551">
        <f t="shared" si="279"/>
        <v>40.754136648679463</v>
      </c>
      <c r="DU288" s="553">
        <f>DT288/PI()*SQRT('Hilfstabellen_Mat&amp;Bem'!f.Rd.3/'Hilfstabellen_Mat&amp;Bem'!$BD$30)</f>
        <v>0.64862222990799068</v>
      </c>
      <c r="DV288" s="553">
        <f>0.5*(1+'Hilfstabellen_Mat&amp;Bem'!$BD$31*(DU288-0.3)+DU288^2)</f>
        <v>0.72778651006080675</v>
      </c>
      <c r="DW288" s="550">
        <f t="shared" si="280"/>
        <v>0.94528585933696407</v>
      </c>
      <c r="DY288" s="551">
        <f t="shared" si="281"/>
        <v>109275.04533935305</v>
      </c>
      <c r="EC288" s="546">
        <f t="shared" si="282"/>
        <v>340</v>
      </c>
      <c r="ED288" s="551">
        <f t="shared" si="283"/>
        <v>41.772990064896447</v>
      </c>
      <c r="EE288" s="553">
        <f>ED288/PI()*SQRT('Hilfstabellen_Mat&amp;Bem'!f.Rd.3/'Hilfstabellen_Mat&amp;Bem'!$BD$30)</f>
        <v>0.66483778565569041</v>
      </c>
      <c r="EF288" s="553">
        <f>0.5*(1+'Hilfstabellen_Mat&amp;Bem'!$BD$31*(EE288-0.3)+EE288^2)</f>
        <v>0.73924652990056527</v>
      </c>
      <c r="EG288" s="550">
        <f t="shared" si="284"/>
        <v>0.94119929221186738</v>
      </c>
      <c r="EI288" s="551">
        <f t="shared" si="285"/>
        <v>108802.63817969187</v>
      </c>
      <c r="EM288" s="546">
        <f t="shared" si="286"/>
        <v>340</v>
      </c>
      <c r="EN288" s="551">
        <f t="shared" si="287"/>
        <v>42.791843481113439</v>
      </c>
      <c r="EO288" s="553">
        <f>EN288/PI()*SQRT('Hilfstabellen_Mat&amp;Bem'!f.Rd.3/'Hilfstabellen_Mat&amp;Bem'!$BD$30)</f>
        <v>0.68105334140339024</v>
      </c>
      <c r="EP288" s="553">
        <f>0.5*(1+'Hilfstabellen_Mat&amp;Bem'!$BD$31*(EO288-0.3)+EO288^2)</f>
        <v>0.75096949398853097</v>
      </c>
      <c r="EQ288" s="550">
        <f t="shared" si="288"/>
        <v>0.93686525667083254</v>
      </c>
      <c r="ES288" s="551">
        <f t="shared" si="289"/>
        <v>108301.62367114823</v>
      </c>
    </row>
    <row r="289" spans="3:149">
      <c r="C289" s="546">
        <v>341</v>
      </c>
      <c r="D289" s="551">
        <f t="shared" si="244"/>
        <v>28.444236136028483</v>
      </c>
      <c r="E289" s="553">
        <f>$D289/PI()*SQRT('Hilfstabellen_Mat&amp;Bem'!f.Rd.3/'Hilfstabellen_Mat&amp;Bem'!$BD$30)</f>
        <v>0.45270407835220461</v>
      </c>
      <c r="F289" s="553">
        <f>0.5*(1+'Hilfstabellen_Mat&amp;Bem'!$BD$31*($E289-0.3)+$E289^2)</f>
        <v>0.61010569519596969</v>
      </c>
      <c r="G289" s="550">
        <f t="shared" si="245"/>
        <v>0.98124427694846261</v>
      </c>
      <c r="I289" s="551">
        <f t="shared" si="290"/>
        <v>114100.06576784418</v>
      </c>
      <c r="M289" s="546">
        <f t="shared" si="246"/>
        <v>341</v>
      </c>
      <c r="N289" s="551">
        <f t="shared" si="236"/>
        <v>29.460101712315211</v>
      </c>
      <c r="O289" s="553">
        <f>$N289/PI()*SQRT('Hilfstabellen_Mat&amp;Bem'!f.Rd.3/'Hilfstabellen_Mat&amp;Bem'!$BD$30)</f>
        <v>0.46887208115049761</v>
      </c>
      <c r="P289" s="553">
        <f>0.5*(1+'Hilfstabellen_Mat&amp;Bem'!$BD$31*($O289-0.3)+$O289^2)</f>
        <v>0.61836411829872429</v>
      </c>
      <c r="Q289" s="550">
        <f t="shared" si="237"/>
        <v>0.97893514962929984</v>
      </c>
      <c r="S289" s="551">
        <f t="shared" si="291"/>
        <v>113831.55813404461</v>
      </c>
      <c r="W289" s="546">
        <f t="shared" si="247"/>
        <v>341</v>
      </c>
      <c r="X289" s="551">
        <f t="shared" si="238"/>
        <v>30.475967288601943</v>
      </c>
      <c r="Y289" s="553">
        <f>$X289/PI()*SQRT('Hilfstabellen_Mat&amp;Bem'!f.Rd.3/'Hilfstabellen_Mat&amp;Bem'!$BD$30)</f>
        <v>0.48504008394879067</v>
      </c>
      <c r="Z289" s="553">
        <f>0.5*(1+'Hilfstabellen_Mat&amp;Bem'!$BD$31*($Y289-0.3)+$Y289^2)</f>
        <v>0.62688394571596451</v>
      </c>
      <c r="AA289" s="550">
        <f t="shared" si="239"/>
        <v>0.97654036197089666</v>
      </c>
      <c r="AC289" s="551">
        <f t="shared" si="292"/>
        <v>113553.08983033783</v>
      </c>
      <c r="AG289" s="546">
        <f t="shared" si="248"/>
        <v>341</v>
      </c>
      <c r="AH289" s="551">
        <f t="shared" si="240"/>
        <v>31.491832864888679</v>
      </c>
      <c r="AI289" s="553">
        <f>$AH289/PI()*SQRT('Hilfstabellen_Mat&amp;Bem'!f.Rd.3/'Hilfstabellen_Mat&amp;Bem'!$BD$30)</f>
        <v>0.50120808674708373</v>
      </c>
      <c r="AJ289" s="553">
        <f>0.5*(1+'Hilfstabellen_Mat&amp;Bem'!$BD$31*($AI289-0.3)+$AI289^2)</f>
        <v>0.63566517744769035</v>
      </c>
      <c r="AK289" s="550">
        <f t="shared" si="241"/>
        <v>0.97405205093094493</v>
      </c>
      <c r="AM289" s="551">
        <f t="shared" si="293"/>
        <v>113263.7465343012</v>
      </c>
      <c r="AQ289" s="546">
        <f t="shared" si="249"/>
        <v>341</v>
      </c>
      <c r="AR289" s="551">
        <f t="shared" si="242"/>
        <v>32.507698441175407</v>
      </c>
      <c r="AS289" s="553">
        <f>$AR289/PI()*SQRT('Hilfstabellen_Mat&amp;Bem'!f.Rd.3/'Hilfstabellen_Mat&amp;Bem'!$BD$30)</f>
        <v>0.51737608954537673</v>
      </c>
      <c r="AT289" s="553">
        <f>0.5*(1+'Hilfstabellen_Mat&amp;Bem'!$BD$31*($AS289-0.3)+$AS289^2)</f>
        <v>0.6447078134939016</v>
      </c>
      <c r="AU289" s="550">
        <f t="shared" si="243"/>
        <v>0.97146166893397445</v>
      </c>
      <c r="AW289" s="551">
        <f t="shared" si="294"/>
        <v>112962.53432531148</v>
      </c>
      <c r="BA289" s="546">
        <f t="shared" si="250"/>
        <v>341</v>
      </c>
      <c r="BB289" s="551">
        <f t="shared" si="251"/>
        <v>33.523564017462142</v>
      </c>
      <c r="BC289" s="553">
        <f>$BB289/PI()*SQRT('Hilfstabellen_Mat&amp;Bem'!f.Rd.3/'Hilfstabellen_Mat&amp;Bem'!$BD$30)</f>
        <v>0.53354409234366984</v>
      </c>
      <c r="BD289" s="553">
        <f>0.5*(1+'Hilfstabellen_Mat&amp;Bem'!$BD$31*($BC289-0.3)+$BC289^2)</f>
        <v>0.6540118538545987</v>
      </c>
      <c r="BE289" s="550">
        <f t="shared" si="252"/>
        <v>0.96875991156003649</v>
      </c>
      <c r="BG289" s="551">
        <f t="shared" si="253"/>
        <v>112648.37127611261</v>
      </c>
      <c r="BK289" s="546">
        <f t="shared" si="254"/>
        <v>341</v>
      </c>
      <c r="BL289" s="551">
        <f t="shared" si="255"/>
        <v>34.539429593748871</v>
      </c>
      <c r="BM289" s="553">
        <f>$BL289/PI()*SQRT('Hilfstabellen_Mat&amp;Bem'!f.Rd.3/'Hilfstabellen_Mat&amp;Bem'!$BD$30)</f>
        <v>0.54971209514196273</v>
      </c>
      <c r="BN289" s="553">
        <f>0.5*(1+'Hilfstabellen_Mat&amp;Bem'!$BD$31*($BM289-0.3)+$BM289^2)</f>
        <v>0.66357729852978131</v>
      </c>
      <c r="BO289" s="550">
        <f t="shared" si="256"/>
        <v>0.96593663923233841</v>
      </c>
      <c r="BQ289" s="551">
        <f t="shared" si="257"/>
        <v>112320.07834657554</v>
      </c>
      <c r="BU289" s="546">
        <f t="shared" si="258"/>
        <v>341</v>
      </c>
      <c r="BV289" s="551">
        <f t="shared" si="259"/>
        <v>35.555295170035599</v>
      </c>
      <c r="BW289" s="553">
        <f>$BV289/PI()*SQRT('Hilfstabellen_Mat&amp;Bem'!f.Rd.3/'Hilfstabellen_Mat&amp;Bem'!$BD$30)</f>
        <v>0.56588009794025573</v>
      </c>
      <c r="BX289" s="553">
        <f>0.5*(1+'Hilfstabellen_Mat&amp;Bem'!$BD$31*($BW289-0.3)+$BW289^2)</f>
        <v>0.67340414751944955</v>
      </c>
      <c r="BY289" s="550">
        <f t="shared" si="260"/>
        <v>0.96298079305844053</v>
      </c>
      <c r="CA289" s="551">
        <f t="shared" si="261"/>
        <v>111976.36959762852</v>
      </c>
      <c r="CE289" s="546">
        <f t="shared" si="262"/>
        <v>341</v>
      </c>
      <c r="CF289" s="551">
        <f t="shared" si="263"/>
        <v>36.571160746322334</v>
      </c>
      <c r="CG289" s="553">
        <f>CF289/PI()*SQRT('Hilfstabellen_Mat&amp;Bem'!f.Rd.3/'Hilfstabellen_Mat&amp;Bem'!$BD$30)</f>
        <v>0.58204810073854885</v>
      </c>
      <c r="CH289" s="553">
        <f>0.5*(1+'Hilfstabellen_Mat&amp;Bem'!$BD$31*(CG289-0.3)+CG289^2)</f>
        <v>0.68349240082360341</v>
      </c>
      <c r="CI289" s="550">
        <f t="shared" si="264"/>
        <v>0.95988030532330781</v>
      </c>
      <c r="CK289" s="551">
        <f t="shared" si="265"/>
        <v>111615.84178329956</v>
      </c>
      <c r="CO289" s="546">
        <f t="shared" si="266"/>
        <v>341</v>
      </c>
      <c r="CP289" s="551">
        <f t="shared" si="267"/>
        <v>37.587026322609063</v>
      </c>
      <c r="CQ289" s="553">
        <f>CP289/PI()*SQRT('Hilfstabellen_Mat&amp;Bem'!f.Rd.3/'Hilfstabellen_Mat&amp;Bem'!$BD$30)</f>
        <v>0.59821610353684185</v>
      </c>
      <c r="CR289" s="553">
        <f>0.5*(1+'Hilfstabellen_Mat&amp;Bem'!$BD$31*(CQ289-0.3)+CQ289^2)</f>
        <v>0.69384205844224278</v>
      </c>
      <c r="CS289" s="550">
        <f t="shared" si="268"/>
        <v>0.95662200562400612</v>
      </c>
      <c r="CU289" s="551">
        <f t="shared" si="269"/>
        <v>111236.96343596505</v>
      </c>
      <c r="CY289" s="546">
        <f t="shared" si="270"/>
        <v>341</v>
      </c>
      <c r="CZ289" s="551">
        <f t="shared" si="271"/>
        <v>38.602891898895798</v>
      </c>
      <c r="DA289" s="553">
        <f>CZ289/PI()*SQRT('Hilfstabellen_Mat&amp;Bem'!f.Rd.3/'Hilfstabellen_Mat&amp;Bem'!$BD$30)</f>
        <v>0.61438410633513485</v>
      </c>
      <c r="DB289" s="553">
        <f>0.5*(1+'Hilfstabellen_Mat&amp;Bem'!$BD$31*(DA289-0.3)+DA289^2)</f>
        <v>0.70445312037536789</v>
      </c>
      <c r="DC289" s="550">
        <f t="shared" si="272"/>
        <v>0.95319152432221521</v>
      </c>
      <c r="DE289" s="551">
        <f t="shared" si="273"/>
        <v>110838.0636397115</v>
      </c>
      <c r="DI289" s="546">
        <f t="shared" si="274"/>
        <v>341</v>
      </c>
      <c r="DJ289" s="551">
        <f t="shared" si="275"/>
        <v>39.618757475182527</v>
      </c>
      <c r="DK289" s="553">
        <f>DJ289/PI()*SQRT('Hilfstabellen_Mat&amp;Bem'!f.Rd.3/'Hilfstabellen_Mat&amp;Bem'!$BD$30)</f>
        <v>0.63055210913342785</v>
      </c>
      <c r="DL289" s="553">
        <f>0.5*(1+'Hilfstabellen_Mat&amp;Bem'!$BD$31*(DK289-0.3)+DK289^2)</f>
        <v>0.71532558662297863</v>
      </c>
      <c r="DM289" s="550">
        <f t="shared" si="276"/>
        <v>0.9495731959291035</v>
      </c>
      <c r="DO289" s="551">
        <f t="shared" si="277"/>
        <v>110417.32079583209</v>
      </c>
      <c r="DS289" s="546">
        <f t="shared" si="278"/>
        <v>341</v>
      </c>
      <c r="DT289" s="551">
        <f t="shared" si="279"/>
        <v>40.634623051469262</v>
      </c>
      <c r="DU289" s="553">
        <f>DT289/PI()*SQRT('Hilfstabellen_Mat&amp;Bem'!f.Rd.3/'Hilfstabellen_Mat&amp;Bem'!$BD$30)</f>
        <v>0.64672011193172096</v>
      </c>
      <c r="DV289" s="553">
        <f>0.5*(1+'Hilfstabellen_Mat&amp;Bem'!$BD$31*(DU289-0.3)+DU289^2)</f>
        <v>0.72645945718507499</v>
      </c>
      <c r="DW289" s="550">
        <f t="shared" si="280"/>
        <v>0.94574996629397567</v>
      </c>
      <c r="DY289" s="551">
        <f t="shared" si="281"/>
        <v>109972.75183062979</v>
      </c>
      <c r="EC289" s="546">
        <f t="shared" si="282"/>
        <v>341</v>
      </c>
      <c r="ED289" s="551">
        <f t="shared" si="283"/>
        <v>41.65048862775599</v>
      </c>
      <c r="EE289" s="553">
        <f>ED289/PI()*SQRT('Hilfstabellen_Mat&amp;Bem'!f.Rd.3/'Hilfstabellen_Mat&amp;Bem'!$BD$30)</f>
        <v>0.66288811473001397</v>
      </c>
      <c r="EF289" s="553">
        <f>0.5*(1+'Hilfstabellen_Mat&amp;Bem'!$BD$31*(EE289-0.3)+EE289^2)</f>
        <v>0.73785473206165675</v>
      </c>
      <c r="EG289" s="550">
        <f t="shared" si="284"/>
        <v>0.94170330911590028</v>
      </c>
      <c r="EI289" s="551">
        <f t="shared" si="285"/>
        <v>109502.202487306</v>
      </c>
      <c r="EM289" s="546">
        <f t="shared" si="286"/>
        <v>341</v>
      </c>
      <c r="EN289" s="551">
        <f t="shared" si="287"/>
        <v>42.666354204042719</v>
      </c>
      <c r="EO289" s="553">
        <f>EN289/PI()*SQRT('Hilfstabellen_Mat&amp;Bem'!f.Rd.3/'Hilfstabellen_Mat&amp;Bem'!$BD$30)</f>
        <v>0.67905611752830686</v>
      </c>
      <c r="EP289" s="553">
        <f>0.5*(1+'Hilfstabellen_Mat&amp;Bem'!$BD$31*(EO289-0.3)+EO289^2)</f>
        <v>0.74951141125272414</v>
      </c>
      <c r="EQ289" s="550">
        <f t="shared" si="288"/>
        <v>0.93741315940681802</v>
      </c>
      <c r="ES289" s="551">
        <f t="shared" si="289"/>
        <v>109003.33958898421</v>
      </c>
    </row>
    <row r="290" spans="3:149">
      <c r="C290" s="546">
        <v>342</v>
      </c>
      <c r="D290" s="551">
        <f t="shared" si="244"/>
        <v>28.361065854928984</v>
      </c>
      <c r="E290" s="553">
        <f>$D290/PI()*SQRT('Hilfstabellen_Mat&amp;Bem'!f.Rd.3/'Hilfstabellen_Mat&amp;Bem'!$BD$30)</f>
        <v>0.45138038221667193</v>
      </c>
      <c r="F290" s="553">
        <f>0.5*(1+'Hilfstabellen_Mat&amp;Bem'!$BD$31*($E290-0.3)+$E290^2)</f>
        <v>0.609441143835868</v>
      </c>
      <c r="G290" s="550">
        <f t="shared" si="245"/>
        <v>0.98142976140637272</v>
      </c>
      <c r="I290" s="551">
        <f t="shared" si="290"/>
        <v>114791.95061313498</v>
      </c>
      <c r="M290" s="546">
        <f t="shared" si="246"/>
        <v>342</v>
      </c>
      <c r="N290" s="551">
        <f t="shared" si="236"/>
        <v>29.373961064033587</v>
      </c>
      <c r="O290" s="553">
        <f>$N290/PI()*SQRT('Hilfstabellen_Mat&amp;Bem'!f.Rd.3/'Hilfstabellen_Mat&amp;Bem'!$BD$30)</f>
        <v>0.46750111015298157</v>
      </c>
      <c r="P290" s="553">
        <f>0.5*(1+'Hilfstabellen_Mat&amp;Bem'!$BD$31*($O290-0.3)+$O290^2)</f>
        <v>0.6176536995047841</v>
      </c>
      <c r="Q290" s="550">
        <f t="shared" si="237"/>
        <v>0.97913417103373324</v>
      </c>
      <c r="S290" s="551">
        <f t="shared" si="291"/>
        <v>114523.44918078957</v>
      </c>
      <c r="W290" s="546">
        <f t="shared" si="247"/>
        <v>342</v>
      </c>
      <c r="X290" s="551">
        <f t="shared" si="238"/>
        <v>30.3868562731382</v>
      </c>
      <c r="Y290" s="553">
        <f>$X290/PI()*SQRT('Hilfstabellen_Mat&amp;Bem'!f.Rd.3/'Hilfstabellen_Mat&amp;Bem'!$BD$30)</f>
        <v>0.48362183808929138</v>
      </c>
      <c r="Z290" s="553">
        <f>0.5*(1+'Hilfstabellen_Mat&amp;Bem'!$BD$31*($Y290-0.3)+$Y290^2)</f>
        <v>0.62612613304289699</v>
      </c>
      <c r="AA290" s="550">
        <f t="shared" si="239"/>
        <v>0.97675405453106823</v>
      </c>
      <c r="AC290" s="551">
        <f t="shared" si="292"/>
        <v>114245.06123417187</v>
      </c>
      <c r="AG290" s="546">
        <f t="shared" si="248"/>
        <v>342</v>
      </c>
      <c r="AH290" s="551">
        <f t="shared" si="240"/>
        <v>31.399751482242802</v>
      </c>
      <c r="AI290" s="553">
        <f>$AH290/PI()*SQRT('Hilfstabellen_Mat&amp;Bem'!f.Rd.3/'Hilfstabellen_Mat&amp;Bem'!$BD$30)</f>
        <v>0.49974256602560096</v>
      </c>
      <c r="AJ290" s="553">
        <f>0.5*(1+'Hilfstabellen_Mat&amp;Bem'!$BD$31*($AI290-0.3)+$AI290^2)</f>
        <v>0.63485844445020612</v>
      </c>
      <c r="AK290" s="550">
        <f t="shared" si="241"/>
        <v>0.97428167304041347</v>
      </c>
      <c r="AM290" s="551">
        <f t="shared" si="293"/>
        <v>113955.88160549891</v>
      </c>
      <c r="AQ290" s="546">
        <f t="shared" si="249"/>
        <v>342</v>
      </c>
      <c r="AR290" s="551">
        <f t="shared" si="242"/>
        <v>32.412646691347405</v>
      </c>
      <c r="AS290" s="553">
        <f>$AR290/PI()*SQRT('Hilfstabellen_Mat&amp;Bem'!f.Rd.3/'Hilfstabellen_Mat&amp;Bem'!$BD$30)</f>
        <v>0.51586329396191066</v>
      </c>
      <c r="AT290" s="553">
        <f>0.5*(1+'Hilfstabellen_Mat&amp;Bem'!$BD$31*($AS290-0.3)+$AS290^2)</f>
        <v>0.64385063372671181</v>
      </c>
      <c r="AU290" s="550">
        <f t="shared" si="243"/>
        <v>0.97170861713504986</v>
      </c>
      <c r="AW290" s="551">
        <f t="shared" si="294"/>
        <v>113654.92669458398</v>
      </c>
      <c r="BA290" s="546">
        <f t="shared" si="250"/>
        <v>342</v>
      </c>
      <c r="BB290" s="551">
        <f t="shared" si="251"/>
        <v>33.425541900452018</v>
      </c>
      <c r="BC290" s="553">
        <f>$BB290/PI()*SQRT('Hilfstabellen_Mat&amp;Bem'!f.Rd.3/'Hilfstabellen_Mat&amp;Bem'!$BD$30)</f>
        <v>0.53198402189822047</v>
      </c>
      <c r="BD290" s="553">
        <f>0.5*(1+'Hilfstabellen_Mat&amp;Bem'!$BD$31*($BC290-0.3)+$BC290^2)</f>
        <v>0.65310270087241418</v>
      </c>
      <c r="BE290" s="550">
        <f t="shared" si="252"/>
        <v>0.96902573608566966</v>
      </c>
      <c r="BG290" s="551">
        <f t="shared" si="253"/>
        <v>113341.12619552427</v>
      </c>
      <c r="BK290" s="546">
        <f t="shared" si="254"/>
        <v>342</v>
      </c>
      <c r="BL290" s="551">
        <f t="shared" si="255"/>
        <v>34.438437109556624</v>
      </c>
      <c r="BM290" s="553">
        <f>$BL290/PI()*SQRT('Hilfstabellen_Mat&amp;Bem'!f.Rd.3/'Hilfstabellen_Mat&amp;Bem'!$BD$30)</f>
        <v>0.54810474983453017</v>
      </c>
      <c r="BN290" s="553">
        <f>0.5*(1+'Hilfstabellen_Mat&amp;Bem'!$BD$31*($BM290-0.3)+$BM290^2)</f>
        <v>0.662614645887313</v>
      </c>
      <c r="BO290" s="550">
        <f t="shared" si="256"/>
        <v>0.96622306122862456</v>
      </c>
      <c r="BQ290" s="551">
        <f t="shared" si="257"/>
        <v>113013.31413354485</v>
      </c>
      <c r="BU290" s="546">
        <f t="shared" si="258"/>
        <v>342</v>
      </c>
      <c r="BV290" s="551">
        <f t="shared" si="259"/>
        <v>35.45133231866123</v>
      </c>
      <c r="BW290" s="553">
        <f>$BV290/PI()*SQRT('Hilfstabellen_Mat&amp;Bem'!f.Rd.3/'Hilfstabellen_Mat&amp;Bem'!$BD$30)</f>
        <v>0.56422547777083987</v>
      </c>
      <c r="BX290" s="553">
        <f>0.5*(1+'Hilfstabellen_Mat&amp;Bem'!$BD$31*($BW290-0.3)+$BW290^2)</f>
        <v>0.67238646877140829</v>
      </c>
      <c r="BY290" s="550">
        <f t="shared" si="260"/>
        <v>0.963289723562472</v>
      </c>
      <c r="CA290" s="551">
        <f t="shared" si="261"/>
        <v>112670.21922676098</v>
      </c>
      <c r="CE290" s="546">
        <f t="shared" si="262"/>
        <v>342</v>
      </c>
      <c r="CF290" s="551">
        <f t="shared" si="263"/>
        <v>36.464227527765836</v>
      </c>
      <c r="CG290" s="553">
        <f>CF290/PI()*SQRT('Hilfstabellen_Mat&amp;Bem'!f.Rd.3/'Hilfstabellen_Mat&amp;Bem'!$BD$30)</f>
        <v>0.58034620570714945</v>
      </c>
      <c r="CH290" s="553">
        <f>0.5*(1+'Hilfstabellen_Mat&amp;Bem'!$BD$31*(CG290-0.3)+CG290^2)</f>
        <v>0.68241816952470002</v>
      </c>
      <c r="CI290" s="550">
        <f t="shared" si="264"/>
        <v>0.96021386602318637</v>
      </c>
      <c r="CK290" s="551">
        <f t="shared" si="265"/>
        <v>112310.45462553597</v>
      </c>
      <c r="CO290" s="546">
        <f t="shared" si="266"/>
        <v>342</v>
      </c>
      <c r="CP290" s="551">
        <f t="shared" si="267"/>
        <v>37.477122736870442</v>
      </c>
      <c r="CQ290" s="553">
        <f>CP290/PI()*SQRT('Hilfstabellen_Mat&amp;Bem'!f.Rd.3/'Hilfstabellen_Mat&amp;Bem'!$BD$30)</f>
        <v>0.59646693364345926</v>
      </c>
      <c r="CR290" s="553">
        <f>0.5*(1+'Hilfstabellen_Mat&amp;Bem'!$BD$31*(CQ290-0.3)+CQ290^2)</f>
        <v>0.69270974814718844</v>
      </c>
      <c r="CS290" s="550">
        <f t="shared" si="268"/>
        <v>0.95698255135264387</v>
      </c>
      <c r="CU290" s="551">
        <f t="shared" si="269"/>
        <v>111932.50713641064</v>
      </c>
      <c r="CY290" s="546">
        <f t="shared" si="270"/>
        <v>342</v>
      </c>
      <c r="CZ290" s="551">
        <f t="shared" si="271"/>
        <v>38.490017945975048</v>
      </c>
      <c r="DA290" s="553">
        <f>CZ290/PI()*SQRT('Hilfstabellen_Mat&amp;Bem'!f.Rd.3/'Hilfstabellen_Mat&amp;Bem'!$BD$30)</f>
        <v>0.61258766157976896</v>
      </c>
      <c r="DB290" s="553">
        <f>0.5*(1+'Hilfstabellen_Mat&amp;Bem'!$BD$31*(DA290-0.3)+DA290^2)</f>
        <v>0.70326120463887321</v>
      </c>
      <c r="DC290" s="550">
        <f t="shared" si="272"/>
        <v>0.95358166712411119</v>
      </c>
      <c r="DE290" s="551">
        <f t="shared" si="273"/>
        <v>111534.72611350454</v>
      </c>
      <c r="DI290" s="546">
        <f t="shared" si="274"/>
        <v>342</v>
      </c>
      <c r="DJ290" s="551">
        <f t="shared" si="275"/>
        <v>39.502913155079661</v>
      </c>
      <c r="DK290" s="553">
        <f>DJ290/PI()*SQRT('Hilfstabellen_Mat&amp;Bem'!f.Rd.3/'Hilfstabellen_Mat&amp;Bem'!$BD$30)</f>
        <v>0.62870838951607877</v>
      </c>
      <c r="DL290" s="553">
        <f>0.5*(1+'Hilfstabellen_Mat&amp;Bem'!$BD$31*(DK290-0.3)+DK290^2)</f>
        <v>0.71407253899975465</v>
      </c>
      <c r="DM290" s="550">
        <f t="shared" si="276"/>
        <v>0.94999583037696012</v>
      </c>
      <c r="DO290" s="551">
        <f t="shared" si="277"/>
        <v>111115.31230421076</v>
      </c>
      <c r="DS290" s="546">
        <f t="shared" si="278"/>
        <v>342</v>
      </c>
      <c r="DT290" s="551">
        <f t="shared" si="279"/>
        <v>40.515808364184259</v>
      </c>
      <c r="DU290" s="553">
        <f>DT290/PI()*SQRT('Hilfstabellen_Mat&amp;Bem'!f.Rd.3/'Hilfstabellen_Mat&amp;Bem'!$BD$30)</f>
        <v>0.64482911745238836</v>
      </c>
      <c r="DV290" s="553">
        <f>0.5*(1+'Hilfstabellen_Mat&amp;Bem'!$BD$31*(DU290-0.3)+DU290^2)</f>
        <v>0.72514375122983243</v>
      </c>
      <c r="DW290" s="550">
        <f t="shared" si="280"/>
        <v>0.94620829550442687</v>
      </c>
      <c r="DY290" s="551">
        <f t="shared" si="281"/>
        <v>110672.30707537978</v>
      </c>
      <c r="EC290" s="546">
        <f t="shared" si="282"/>
        <v>342</v>
      </c>
      <c r="ED290" s="551">
        <f t="shared" si="283"/>
        <v>41.528703573288865</v>
      </c>
      <c r="EE290" s="553">
        <f>ED290/PI()*SQRT('Hilfstabellen_Mat&amp;Bem'!f.Rd.3/'Hilfstabellen_Mat&amp;Bem'!$BD$30)</f>
        <v>0.66094984538869805</v>
      </c>
      <c r="EF290" s="553">
        <f>0.5*(1+'Hilfstabellen_Mat&amp;Bem'!$BD$31*(EE290-0.3)+EE290^2)</f>
        <v>0.7364748413291069</v>
      </c>
      <c r="EG290" s="550">
        <f t="shared" si="284"/>
        <v>0.9422008706029712</v>
      </c>
      <c r="EI290" s="551">
        <f t="shared" si="285"/>
        <v>110203.58262920592</v>
      </c>
      <c r="EM290" s="546">
        <f t="shared" si="286"/>
        <v>342</v>
      </c>
      <c r="EN290" s="551">
        <f t="shared" si="287"/>
        <v>42.541598782393478</v>
      </c>
      <c r="EO290" s="553">
        <f>EN290/PI()*SQRT('Hilfstabellen_Mat&amp;Bem'!f.Rd.3/'Hilfstabellen_Mat&amp;Bem'!$BD$30)</f>
        <v>0.67707057332500786</v>
      </c>
      <c r="EP290" s="553">
        <f>0.5*(1+'Hilfstabellen_Mat&amp;Bem'!$BD$31*(EO290-0.3)+EO290^2)</f>
        <v>0.74806580929757782</v>
      </c>
      <c r="EQ290" s="550">
        <f t="shared" si="288"/>
        <v>0.9379538494989923</v>
      </c>
      <c r="ES290" s="551">
        <f t="shared" si="289"/>
        <v>109706.83405280013</v>
      </c>
    </row>
    <row r="291" spans="3:149">
      <c r="C291" s="546">
        <v>343</v>
      </c>
      <c r="D291" s="551">
        <f t="shared" si="244"/>
        <v>28.278380531736772</v>
      </c>
      <c r="E291" s="553">
        <f>$D291/PI()*SQRT('Hilfstabellen_Mat&amp;Bem'!f.Rd.3/'Hilfstabellen_Mat&amp;Bem'!$BD$30)</f>
        <v>0.45006440442595275</v>
      </c>
      <c r="F291" s="553">
        <f>0.5*(1+'Hilfstabellen_Mat&amp;Bem'!$BD$31*($E291-0.3)+$E291^2)</f>
        <v>0.60878220428694141</v>
      </c>
      <c r="G291" s="550">
        <f t="shared" si="245"/>
        <v>0.98161364736649726</v>
      </c>
      <c r="I291" s="551">
        <f t="shared" si="290"/>
        <v>115485.86399902104</v>
      </c>
      <c r="M291" s="546">
        <f t="shared" si="246"/>
        <v>343</v>
      </c>
      <c r="N291" s="551">
        <f t="shared" si="236"/>
        <v>29.288322693584512</v>
      </c>
      <c r="O291" s="553">
        <f>$N291/PI()*SQRT('Hilfstabellen_Mat&amp;Bem'!f.Rd.3/'Hilfstabellen_Mat&amp;Bem'!$BD$30)</f>
        <v>0.466138133155451</v>
      </c>
      <c r="P291" s="553">
        <f>0.5*(1+'Hilfstabellen_Mat&amp;Bem'!$BD$31*($O291-0.3)+$O291^2)</f>
        <v>0.61694928624859702</v>
      </c>
      <c r="Q291" s="550">
        <f t="shared" si="237"/>
        <v>0.97933142631651326</v>
      </c>
      <c r="S291" s="551">
        <f t="shared" si="291"/>
        <v>115217.36297471148</v>
      </c>
      <c r="W291" s="546">
        <f t="shared" si="247"/>
        <v>343</v>
      </c>
      <c r="X291" s="551">
        <f t="shared" si="238"/>
        <v>30.298264855432254</v>
      </c>
      <c r="Y291" s="553">
        <f>$X291/PI()*SQRT('Hilfstabellen_Mat&amp;Bem'!f.Rd.3/'Hilfstabellen_Mat&amp;Bem'!$BD$30)</f>
        <v>0.48221186188494936</v>
      </c>
      <c r="Z291" s="553">
        <f>0.5*(1+'Hilfstabellen_Mat&amp;Bem'!$BD$31*($Y291-0.3)+$Y291^2)</f>
        <v>0.62537473296552215</v>
      </c>
      <c r="AA291" s="550">
        <f t="shared" si="239"/>
        <v>0.97696579359950142</v>
      </c>
      <c r="AC291" s="551">
        <f t="shared" si="292"/>
        <v>114939.04865118774</v>
      </c>
      <c r="AG291" s="546">
        <f t="shared" si="248"/>
        <v>343</v>
      </c>
      <c r="AH291" s="551">
        <f t="shared" si="240"/>
        <v>31.308207017279994</v>
      </c>
      <c r="AI291" s="553">
        <f>$AH291/PI()*SQRT('Hilfstabellen_Mat&amp;Bem'!f.Rd.3/'Hilfstabellen_Mat&amp;Bem'!$BD$30)</f>
        <v>0.4982855906144476</v>
      </c>
      <c r="AJ291" s="553">
        <f>0.5*(1+'Hilfstabellen_Mat&amp;Bem'!$BD$31*($AI291-0.3)+$AI291^2)</f>
        <v>0.63405854443771681</v>
      </c>
      <c r="AK291" s="550">
        <f t="shared" si="241"/>
        <v>0.97450913197720213</v>
      </c>
      <c r="AM291" s="551">
        <f t="shared" si="293"/>
        <v>114650.02486798585</v>
      </c>
      <c r="AQ291" s="546">
        <f t="shared" si="249"/>
        <v>343</v>
      </c>
      <c r="AR291" s="551">
        <f t="shared" si="242"/>
        <v>32.318149179127737</v>
      </c>
      <c r="AS291" s="553">
        <f>$AR291/PI()*SQRT('Hilfstabellen_Mat&amp;Bem'!f.Rd.3/'Hilfstabellen_Mat&amp;Bem'!$BD$30)</f>
        <v>0.51435931934394596</v>
      </c>
      <c r="AT291" s="553">
        <f>0.5*(1+'Hilfstabellen_Mat&amp;Bem'!$BD$31*($AS291-0.3)+$AS291^2)</f>
        <v>0.64300072066518099</v>
      </c>
      <c r="AU291" s="550">
        <f t="shared" si="243"/>
        <v>0.97195316727345737</v>
      </c>
      <c r="AW291" s="551">
        <f t="shared" si="294"/>
        <v>114349.31817655498</v>
      </c>
      <c r="BA291" s="546">
        <f t="shared" si="250"/>
        <v>343</v>
      </c>
      <c r="BB291" s="551">
        <f t="shared" si="251"/>
        <v>33.328091340975476</v>
      </c>
      <c r="BC291" s="553">
        <f>$BB291/PI()*SQRT('Hilfstabellen_Mat&amp;Bem'!f.Rd.3/'Hilfstabellen_Mat&amp;Bem'!$BD$30)</f>
        <v>0.53043304807344416</v>
      </c>
      <c r="BD291" s="553">
        <f>0.5*(1+'Hilfstabellen_Mat&amp;Bem'!$BD$31*($BC291-0.3)+$BC291^2)</f>
        <v>0.65220126164791459</v>
      </c>
      <c r="BE291" s="550">
        <f t="shared" si="252"/>
        <v>0.96928889918054795</v>
      </c>
      <c r="BG291" s="551">
        <f t="shared" si="253"/>
        <v>114035.86969969228</v>
      </c>
      <c r="BK291" s="546">
        <f t="shared" si="254"/>
        <v>343</v>
      </c>
      <c r="BL291" s="551">
        <f t="shared" si="255"/>
        <v>34.338033502823222</v>
      </c>
      <c r="BM291" s="553">
        <f>$BL291/PI()*SQRT('Hilfstabellen_Mat&amp;Bem'!f.Rd.3/'Hilfstabellen_Mat&amp;Bem'!$BD$30)</f>
        <v>0.54650677680294257</v>
      </c>
      <c r="BN291" s="553">
        <f>0.5*(1+'Hilfstabellen_Mat&amp;Bem'!$BD$31*($BM291-0.3)+$BM291^2)</f>
        <v>0.66166016738591771</v>
      </c>
      <c r="BO291" s="550">
        <f t="shared" si="256"/>
        <v>0.96650652627046207</v>
      </c>
      <c r="BQ291" s="551">
        <f t="shared" si="257"/>
        <v>113708.52630919359</v>
      </c>
      <c r="BU291" s="546">
        <f t="shared" si="258"/>
        <v>343</v>
      </c>
      <c r="BV291" s="551">
        <f t="shared" si="259"/>
        <v>35.347975664670962</v>
      </c>
      <c r="BW291" s="553">
        <f>$BV291/PI()*SQRT('Hilfstabellen_Mat&amp;Bem'!f.Rd.3/'Hilfstabellen_Mat&amp;Bem'!$BD$30)</f>
        <v>0.56258050553244088</v>
      </c>
      <c r="BX291" s="553">
        <f>0.5*(1+'Hilfstabellen_Mat&amp;Bem'!$BD$31*($BW291-0.3)+$BW291^2)</f>
        <v>0.67137743787919046</v>
      </c>
      <c r="BY291" s="550">
        <f t="shared" si="260"/>
        <v>0.96359536531102441</v>
      </c>
      <c r="CA291" s="551">
        <f t="shared" si="261"/>
        <v>113366.03113347672</v>
      </c>
      <c r="CE291" s="546">
        <f t="shared" si="262"/>
        <v>343</v>
      </c>
      <c r="CF291" s="551">
        <f t="shared" si="263"/>
        <v>36.357917826518708</v>
      </c>
      <c r="CG291" s="553">
        <f>CF291/PI()*SQRT('Hilfstabellen_Mat&amp;Bem'!f.Rd.3/'Hilfstabellen_Mat&amp;Bem'!$BD$30)</f>
        <v>0.57865423426193929</v>
      </c>
      <c r="CH291" s="553">
        <f>0.5*(1+'Hilfstabellen_Mat&amp;Bem'!$BD$31*(CG291-0.3)+CG291^2)</f>
        <v>0.68135307312773263</v>
      </c>
      <c r="CI291" s="550">
        <f t="shared" si="264"/>
        <v>0.9605437652925416</v>
      </c>
      <c r="CK291" s="551">
        <f t="shared" si="265"/>
        <v>113007.01344290223</v>
      </c>
      <c r="CO291" s="546">
        <f t="shared" si="266"/>
        <v>343</v>
      </c>
      <c r="CP291" s="551">
        <f t="shared" si="267"/>
        <v>37.367859988366448</v>
      </c>
      <c r="CQ291" s="553">
        <f>CP291/PI()*SQRT('Hilfstabellen_Mat&amp;Bem'!f.Rd.3/'Hilfstabellen_Mat&amp;Bem'!$BD$30)</f>
        <v>0.59472796299143749</v>
      </c>
      <c r="CR291" s="553">
        <f>0.5*(1+'Hilfstabellen_Mat&amp;Bem'!$BD$31*(CQ291-0.3)+CQ291^2)</f>
        <v>0.69158707313154411</v>
      </c>
      <c r="CS291" s="550">
        <f t="shared" si="268"/>
        <v>0.95733901700914037</v>
      </c>
      <c r="CU291" s="551">
        <f t="shared" si="269"/>
        <v>112629.97801210836</v>
      </c>
      <c r="CY291" s="546">
        <f t="shared" si="270"/>
        <v>343</v>
      </c>
      <c r="CZ291" s="551">
        <f t="shared" si="271"/>
        <v>38.377802150214194</v>
      </c>
      <c r="DA291" s="553">
        <f>CZ291/PI()*SQRT('Hilfstabellen_Mat&amp;Bem'!f.Rd.3/'Hilfstabellen_Mat&amp;Bem'!$BD$30)</f>
        <v>0.6108016917209359</v>
      </c>
      <c r="DB291" s="553">
        <f>0.5*(1+'Hilfstabellen_Mat&amp;Bem'!$BD$31*(DA291-0.3)+DA291^2)</f>
        <v>0.70207943789062544</v>
      </c>
      <c r="DC291" s="550">
        <f t="shared" si="272"/>
        <v>0.95396725965290241</v>
      </c>
      <c r="DE291" s="551">
        <f t="shared" si="273"/>
        <v>112233.29413090431</v>
      </c>
      <c r="DI291" s="546">
        <f t="shared" si="274"/>
        <v>343</v>
      </c>
      <c r="DJ291" s="551">
        <f t="shared" si="275"/>
        <v>39.387744312061933</v>
      </c>
      <c r="DK291" s="553">
        <f>DJ291/PI()*SQRT('Hilfstabellen_Mat&amp;Bem'!f.Rd.3/'Hilfstabellen_Mat&amp;Bem'!$BD$30)</f>
        <v>0.62687542045043421</v>
      </c>
      <c r="DL291" s="553">
        <f>0.5*(1+'Hilfstabellen_Mat&amp;Bem'!$BD$31*(DK291-0.3)+DK291^2)</f>
        <v>0.71283016740497607</v>
      </c>
      <c r="DM291" s="550">
        <f t="shared" si="276"/>
        <v>0.95041338672016595</v>
      </c>
      <c r="DO291" s="551">
        <f t="shared" si="277"/>
        <v>111815.18453424081</v>
      </c>
      <c r="DS291" s="546">
        <f t="shared" si="278"/>
        <v>343</v>
      </c>
      <c r="DT291" s="551">
        <f t="shared" si="279"/>
        <v>40.397686473909673</v>
      </c>
      <c r="DU291" s="553">
        <f>DT291/PI()*SQRT('Hilfstabellen_Mat&amp;Bem'!f.Rd.3/'Hilfstabellen_Mat&amp;Bem'!$BD$30)</f>
        <v>0.64294914917993251</v>
      </c>
      <c r="DV291" s="553">
        <f>0.5*(1+'Hilfstabellen_Mat&amp;Bem'!$BD$31*(DU291-0.3)+DU291^2)</f>
        <v>0.72383926167459611</v>
      </c>
      <c r="DW291" s="550">
        <f t="shared" si="280"/>
        <v>0.94666095465909406</v>
      </c>
      <c r="DY291" s="551">
        <f t="shared" si="281"/>
        <v>111373.71465468776</v>
      </c>
      <c r="EC291" s="546">
        <f t="shared" si="282"/>
        <v>343</v>
      </c>
      <c r="ED291" s="551">
        <f t="shared" si="283"/>
        <v>41.407628635757412</v>
      </c>
      <c r="EE291" s="553">
        <f>ED291/PI()*SQRT('Hilfstabellen_Mat&amp;Bem'!f.Rd.3/'Hilfstabellen_Mat&amp;Bem'!$BD$30)</f>
        <v>0.6590228779094307</v>
      </c>
      <c r="EF291" s="553">
        <f>0.5*(1+'Hilfstabellen_Mat&amp;Bem'!$BD$31*(EE291-0.3)+EE291^2)</f>
        <v>0.73510672069948579</v>
      </c>
      <c r="EG291" s="550">
        <f t="shared" si="284"/>
        <v>0.94269209917342334</v>
      </c>
      <c r="EI291" s="551">
        <f t="shared" si="285"/>
        <v>110906.78277565408</v>
      </c>
      <c r="EM291" s="546">
        <f t="shared" si="286"/>
        <v>343</v>
      </c>
      <c r="EN291" s="551">
        <f t="shared" si="287"/>
        <v>42.417570797605151</v>
      </c>
      <c r="EO291" s="553">
        <f>EN291/PI()*SQRT('Hilfstabellen_Mat&amp;Bem'!f.Rd.3/'Hilfstabellen_Mat&amp;Bem'!$BD$30)</f>
        <v>0.67509660663892901</v>
      </c>
      <c r="EP291" s="553">
        <f>0.5*(1+'Hilfstabellen_Mat&amp;Bem'!$BD$31*(EO291-0.3)+EO291^2)</f>
        <v>0.74663254447964489</v>
      </c>
      <c r="EQ291" s="550">
        <f t="shared" si="288"/>
        <v>0.93848746600709954</v>
      </c>
      <c r="ES291" s="551">
        <f t="shared" si="289"/>
        <v>110412.11188826925</v>
      </c>
    </row>
    <row r="292" spans="3:149">
      <c r="C292" s="546">
        <v>344</v>
      </c>
      <c r="D292" s="551">
        <f t="shared" si="244"/>
        <v>28.196175937167769</v>
      </c>
      <c r="E292" s="553">
        <f>$D292/PI()*SQRT('Hilfstabellen_Mat&amp;Bem'!f.Rd.3/'Hilfstabellen_Mat&amp;Bem'!$BD$30)</f>
        <v>0.44875607766890052</v>
      </c>
      <c r="F292" s="553">
        <f>0.5*(1+'Hilfstabellen_Mat&amp;Bem'!$BD$31*($E292-0.3)+$E292^2)</f>
        <v>0.60812881250583317</v>
      </c>
      <c r="G292" s="550">
        <f t="shared" si="245"/>
        <v>0.98179595694433375</v>
      </c>
      <c r="I292" s="551">
        <f t="shared" si="290"/>
        <v>116181.80636096468</v>
      </c>
      <c r="M292" s="546">
        <f t="shared" si="246"/>
        <v>344</v>
      </c>
      <c r="N292" s="551">
        <f t="shared" si="236"/>
        <v>29.203182220638045</v>
      </c>
      <c r="O292" s="553">
        <f>$N292/PI()*SQRT('Hilfstabellen_Mat&amp;Bem'!f.Rd.3/'Hilfstabellen_Mat&amp;Bem'!$BD$30)</f>
        <v>0.46478308044278976</v>
      </c>
      <c r="P292" s="553">
        <f>0.5*(1+'Hilfstabellen_Mat&amp;Bem'!$BD$31*($O292-0.3)+$O292^2)</f>
        <v>0.61625080995508386</v>
      </c>
      <c r="Q292" s="550">
        <f t="shared" si="237"/>
        <v>0.97952694057702394</v>
      </c>
      <c r="S292" s="551">
        <f t="shared" si="291"/>
        <v>115913.3000401227</v>
      </c>
      <c r="W292" s="546">
        <f t="shared" si="247"/>
        <v>344</v>
      </c>
      <c r="X292" s="551">
        <f t="shared" si="238"/>
        <v>30.21018850410832</v>
      </c>
      <c r="Y292" s="553">
        <f>$X292/PI()*SQRT('Hilfstabellen_Mat&amp;Bem'!f.Rd.3/'Hilfstabellen_Mat&amp;Bem'!$BD$30)</f>
        <v>0.48081008321667906</v>
      </c>
      <c r="Z292" s="553">
        <f>0.5*(1+'Hilfstabellen_Mat&amp;Bem'!$BD$31*($Y292-0.3)+$Y292^2)</f>
        <v>0.62462967222224886</v>
      </c>
      <c r="AA292" s="550">
        <f t="shared" si="239"/>
        <v>0.97717560768922429</v>
      </c>
      <c r="AC292" s="551">
        <f t="shared" si="292"/>
        <v>115635.05271151205</v>
      </c>
      <c r="AG292" s="546">
        <f t="shared" si="248"/>
        <v>344</v>
      </c>
      <c r="AH292" s="551">
        <f t="shared" si="240"/>
        <v>31.217194787578599</v>
      </c>
      <c r="AI292" s="553">
        <f>$AH292/PI()*SQRT('Hilfstabellen_Mat&amp;Bem'!f.Rd.3/'Hilfstabellen_Mat&amp;Bem'!$BD$30)</f>
        <v>0.49683708599056842</v>
      </c>
      <c r="AJ292" s="553">
        <f>0.5*(1+'Hilfstabellen_Mat&amp;Bem'!$BD$31*($AI292-0.3)+$AI292^2)</f>
        <v>0.63326539930732817</v>
      </c>
      <c r="AK292" s="550">
        <f t="shared" si="241"/>
        <v>0.97473446016153953</v>
      </c>
      <c r="AM292" s="551">
        <f t="shared" si="293"/>
        <v>115346.17707767594</v>
      </c>
      <c r="AQ292" s="546">
        <f t="shared" si="249"/>
        <v>344</v>
      </c>
      <c r="AR292" s="551">
        <f t="shared" si="242"/>
        <v>32.224201071048881</v>
      </c>
      <c r="AS292" s="553">
        <f>$AR292/PI()*SQRT('Hilfstabellen_Mat&amp;Bem'!f.Rd.3/'Hilfstabellen_Mat&amp;Bem'!$BD$30)</f>
        <v>0.51286408876445777</v>
      </c>
      <c r="AT292" s="553">
        <f>0.5*(1+'Hilfstabellen_Mat&amp;Bem'!$BD$31*($AS292-0.3)+$AS292^2)</f>
        <v>0.64215799121032169</v>
      </c>
      <c r="AU292" s="550">
        <f t="shared" si="243"/>
        <v>0.97219535624291342</v>
      </c>
      <c r="AW292" s="551">
        <f t="shared" si="294"/>
        <v>115045.70967636141</v>
      </c>
      <c r="BA292" s="546">
        <f t="shared" si="250"/>
        <v>344</v>
      </c>
      <c r="BB292" s="551">
        <f t="shared" si="251"/>
        <v>33.231207354519157</v>
      </c>
      <c r="BC292" s="553">
        <f>$BB292/PI()*SQRT('Hilfstabellen_Mat&amp;Bem'!f.Rd.3/'Hilfstabellen_Mat&amp;Bem'!$BD$30)</f>
        <v>0.52889109153834701</v>
      </c>
      <c r="BD292" s="553">
        <f>0.5*(1+'Hilfstabellen_Mat&amp;Bem'!$BD$31*($BC292-0.3)+$BC292^2)</f>
        <v>0.65130744793122952</v>
      </c>
      <c r="BE292" s="550">
        <f t="shared" si="252"/>
        <v>0.96954944286068401</v>
      </c>
      <c r="BG292" s="551">
        <f t="shared" si="253"/>
        <v>114732.60287036191</v>
      </c>
      <c r="BK292" s="546">
        <f t="shared" si="254"/>
        <v>344</v>
      </c>
      <c r="BL292" s="551">
        <f t="shared" si="255"/>
        <v>34.238213637989432</v>
      </c>
      <c r="BM292" s="553">
        <f>$BL292/PI()*SQRT('Hilfstabellen_Mat&amp;Bem'!f.Rd.3/'Hilfstabellen_Mat&amp;Bem'!$BD$30)</f>
        <v>0.54491809431223637</v>
      </c>
      <c r="BN292" s="553">
        <f>0.5*(1+'Hilfstabellen_Mat&amp;Bem'!$BD$31*($BM292-0.3)+$BM292^2)</f>
        <v>0.66071376947005145</v>
      </c>
      <c r="BO292" s="550">
        <f t="shared" si="256"/>
        <v>0.96678708223799592</v>
      </c>
      <c r="BQ292" s="551">
        <f t="shared" si="257"/>
        <v>114405.71616371548</v>
      </c>
      <c r="BU292" s="546">
        <f t="shared" si="258"/>
        <v>344</v>
      </c>
      <c r="BV292" s="551">
        <f t="shared" si="259"/>
        <v>35.245219921459707</v>
      </c>
      <c r="BW292" s="553">
        <f>$BV292/PI()*SQRT('Hilfstabellen_Mat&amp;Bem'!f.Rd.3/'Hilfstabellen_Mat&amp;Bem'!$BD$30)</f>
        <v>0.56094509708612561</v>
      </c>
      <c r="BX292" s="553">
        <f>0.5*(1+'Hilfstabellen_Mat&amp;Bem'!$BD$31*($BW292-0.3)+$BW292^2)</f>
        <v>0.67037695582678769</v>
      </c>
      <c r="BY292" s="550">
        <f t="shared" si="260"/>
        <v>0.96389777289417211</v>
      </c>
      <c r="CA292" s="551">
        <f t="shared" si="261"/>
        <v>114063.80685320475</v>
      </c>
      <c r="CE292" s="546">
        <f t="shared" si="262"/>
        <v>344</v>
      </c>
      <c r="CF292" s="551">
        <f t="shared" si="263"/>
        <v>36.25222620492999</v>
      </c>
      <c r="CG292" s="553">
        <f>CF292/PI()*SQRT('Hilfstabellen_Mat&amp;Bem'!f.Rd.3/'Hilfstabellen_Mat&amp;Bem'!$BD$30)</f>
        <v>0.57697209986001496</v>
      </c>
      <c r="CH292" s="553">
        <f>0.5*(1+'Hilfstabellen_Mat&amp;Bem'!$BD$31*(CG292-0.3)+CG292^2)</f>
        <v>0.68029700700143836</v>
      </c>
      <c r="CI292" s="550">
        <f t="shared" si="264"/>
        <v>0.96087006539202302</v>
      </c>
      <c r="CK292" s="551">
        <f t="shared" si="265"/>
        <v>113705.52005823044</v>
      </c>
      <c r="CO292" s="546">
        <f t="shared" si="266"/>
        <v>344</v>
      </c>
      <c r="CP292" s="551">
        <f t="shared" si="267"/>
        <v>37.259232488400265</v>
      </c>
      <c r="CQ292" s="553">
        <f>CP292/PI()*SQRT('Hilfstabellen_Mat&amp;Bem'!f.Rd.3/'Hilfstabellen_Mat&amp;Bem'!$BD$30)</f>
        <v>0.59299910263390421</v>
      </c>
      <c r="CR292" s="553">
        <f>0.5*(1+'Hilfstabellen_Mat&amp;Bem'!$BD$31*(CQ292-0.3)+CQ292^2)</f>
        <v>0.69047392299400301</v>
      </c>
      <c r="CS292" s="550">
        <f t="shared" si="268"/>
        <v>0.95769147361030249</v>
      </c>
      <c r="CU292" s="551">
        <f t="shared" si="269"/>
        <v>113329.37822114876</v>
      </c>
      <c r="CY292" s="546">
        <f t="shared" si="270"/>
        <v>344</v>
      </c>
      <c r="CZ292" s="551">
        <f t="shared" si="271"/>
        <v>38.26623877187054</v>
      </c>
      <c r="DA292" s="553">
        <f>CZ292/PI()*SQRT('Hilfstabellen_Mat&amp;Bem'!f.Rd.3/'Hilfstabellen_Mat&amp;Bem'!$BD$30)</f>
        <v>0.60902610540779356</v>
      </c>
      <c r="DB292" s="553">
        <f>0.5*(1+'Hilfstabellen_Mat&amp;Bem'!$BD$31*(DA292-0.3)+DA292^2)</f>
        <v>0.70090770380448209</v>
      </c>
      <c r="DC292" s="550">
        <f t="shared" si="272"/>
        <v>0.95434838290016133</v>
      </c>
      <c r="DE292" s="551">
        <f t="shared" si="273"/>
        <v>112933.77023887349</v>
      </c>
      <c r="DI292" s="546">
        <f t="shared" si="274"/>
        <v>344</v>
      </c>
      <c r="DJ292" s="551">
        <f t="shared" si="275"/>
        <v>39.273245055340816</v>
      </c>
      <c r="DK292" s="553">
        <f>DJ292/PI()*SQRT('Hilfstabellen_Mat&amp;Bem'!f.Rd.3/'Hilfstabellen_Mat&amp;Bem'!$BD$30)</f>
        <v>0.6250531081816828</v>
      </c>
      <c r="DL292" s="553">
        <f>0.5*(1+'Hilfstabellen_Mat&amp;Bem'!$BD$31*(DK292-0.3)+DK292^2)</f>
        <v>0.71159834943287537</v>
      </c>
      <c r="DM292" s="550">
        <f t="shared" si="276"/>
        <v>0.95082595728107144</v>
      </c>
      <c r="DO292" s="551">
        <f t="shared" si="277"/>
        <v>112516.94048081287</v>
      </c>
      <c r="DS292" s="546">
        <f t="shared" si="278"/>
        <v>344</v>
      </c>
      <c r="DT292" s="551">
        <f t="shared" si="279"/>
        <v>40.280251338811098</v>
      </c>
      <c r="DU292" s="553">
        <f>DT292/PI()*SQRT('Hilfstabellen_Mat&amp;Bem'!f.Rd.3/'Hilfstabellen_Mat&amp;Bem'!$BD$30)</f>
        <v>0.64108011095557216</v>
      </c>
      <c r="DV292" s="553">
        <f>0.5*(1+'Hilfstabellen_Mat&amp;Bem'!$BD$31*(DU292-0.3)+DU292^2)</f>
        <v>0.72254585987918296</v>
      </c>
      <c r="DW292" s="550">
        <f t="shared" si="280"/>
        <v>0.94710804890275635</v>
      </c>
      <c r="DY292" s="551">
        <f t="shared" si="281"/>
        <v>112076.97807495657</v>
      </c>
      <c r="EC292" s="546">
        <f t="shared" si="282"/>
        <v>344</v>
      </c>
      <c r="ED292" s="551">
        <f t="shared" si="283"/>
        <v>41.287257622281381</v>
      </c>
      <c r="EE292" s="553">
        <f>ED292/PI()*SQRT('Hilfstabellen_Mat&amp;Bem'!f.Rd.3/'Hilfstabellen_Mat&amp;Bem'!$BD$30)</f>
        <v>0.65710711372946162</v>
      </c>
      <c r="EF292" s="553">
        <f>0.5*(1+'Hilfstabellen_Mat&amp;Bem'!$BD$31*(EE292-0.3)+EE292^2)</f>
        <v>0.73375023514340487</v>
      </c>
      <c r="EG292" s="550">
        <f t="shared" si="284"/>
        <v>0.94317711441047369</v>
      </c>
      <c r="EI292" s="551">
        <f t="shared" si="285"/>
        <v>111611.80701087782</v>
      </c>
      <c r="EM292" s="546">
        <f t="shared" si="286"/>
        <v>344</v>
      </c>
      <c r="EN292" s="551">
        <f t="shared" si="287"/>
        <v>42.294263905751656</v>
      </c>
      <c r="EO292" s="553">
        <f>EN292/PI()*SQRT('Hilfstabellen_Mat&amp;Bem'!f.Rd.3/'Hilfstabellen_Mat&amp;Bem'!$BD$30)</f>
        <v>0.67313411650335087</v>
      </c>
      <c r="EP292" s="553">
        <f>0.5*(1+'Hilfstabellen_Mat&amp;Bem'!$BD$31*(EO292-0.3)+EO292^2)</f>
        <v>0.74521147522554088</v>
      </c>
      <c r="EQ292" s="550">
        <f t="shared" si="288"/>
        <v>0.93901414466791988</v>
      </c>
      <c r="ES292" s="551">
        <f t="shared" si="289"/>
        <v>111119.17782342297</v>
      </c>
    </row>
    <row r="293" spans="3:149">
      <c r="C293" s="546">
        <v>345</v>
      </c>
      <c r="D293" s="551">
        <f t="shared" si="244"/>
        <v>28.114447890973082</v>
      </c>
      <c r="E293" s="553">
        <f>$D293/PI()*SQRT('Hilfstabellen_Mat&amp;Bem'!f.Rd.3/'Hilfstabellen_Mat&amp;Bem'!$BD$30)</f>
        <v>0.44745533541478777</v>
      </c>
      <c r="F293" s="553">
        <f>0.5*(1+'Hilfstabellen_Mat&amp;Bem'!$BD$31*($E293-0.3)+$E293^2)</f>
        <v>0.60748090536631949</v>
      </c>
      <c r="G293" s="550">
        <f t="shared" si="245"/>
        <v>0.98197671183871182</v>
      </c>
      <c r="I293" s="551">
        <f t="shared" si="290"/>
        <v>116879.77812660267</v>
      </c>
      <c r="M293" s="546">
        <f t="shared" si="246"/>
        <v>345</v>
      </c>
      <c r="N293" s="551">
        <f t="shared" si="236"/>
        <v>29.118535315650689</v>
      </c>
      <c r="O293" s="553">
        <f>$N293/PI()*SQRT('Hilfstabellen_Mat&amp;Bem'!f.Rd.3/'Hilfstabellen_Mat&amp;Bem'!$BD$30)</f>
        <v>0.46343588310817307</v>
      </c>
      <c r="P293" s="553">
        <f>0.5*(1+'Hilfstabellen_Mat&amp;Bem'!$BD$31*($O293-0.3)+$O293^2)</f>
        <v>0.61555820303153486</v>
      </c>
      <c r="Q293" s="550">
        <f t="shared" si="237"/>
        <v>0.97972073843070495</v>
      </c>
      <c r="S293" s="551">
        <f t="shared" si="291"/>
        <v>116611.26089171466</v>
      </c>
      <c r="W293" s="546">
        <f t="shared" si="247"/>
        <v>345</v>
      </c>
      <c r="X293" s="551">
        <f t="shared" si="238"/>
        <v>30.122622740328296</v>
      </c>
      <c r="Y293" s="553">
        <f>$X293/PI()*SQRT('Hilfstabellen_Mat&amp;Bem'!f.Rd.3/'Hilfstabellen_Mat&amp;Bem'!$BD$30)</f>
        <v>0.47941643080155827</v>
      </c>
      <c r="Z293" s="553">
        <f>0.5*(1+'Hilfstabellen_Mat&amp;Bem'!$BD$31*($Y293-0.3)+$Y293^2)</f>
        <v>0.62389087860133052</v>
      </c>
      <c r="AA293" s="550">
        <f t="shared" si="239"/>
        <v>0.97738352475089252</v>
      </c>
      <c r="AC293" s="551">
        <f t="shared" si="292"/>
        <v>116333.07403347499</v>
      </c>
      <c r="AG293" s="546">
        <f t="shared" si="248"/>
        <v>345</v>
      </c>
      <c r="AH293" s="551">
        <f t="shared" si="240"/>
        <v>31.12671016500591</v>
      </c>
      <c r="AI293" s="553">
        <f>$AH293/PI()*SQRT('Hilfstabellen_Mat&amp;Bem'!f.Rd.3/'Hilfstabellen_Mat&amp;Bem'!$BD$30)</f>
        <v>0.49539697849494363</v>
      </c>
      <c r="AJ293" s="553">
        <f>0.5*(1+'Hilfstabellen_Mat&amp;Bem'!$BD$31*($AI293-0.3)+$AI293^2)</f>
        <v>0.63247893207570705</v>
      </c>
      <c r="AK293" s="550">
        <f t="shared" si="241"/>
        <v>0.97495768935987359</v>
      </c>
      <c r="AM293" s="551">
        <f t="shared" si="293"/>
        <v>116044.33897605895</v>
      </c>
      <c r="AQ293" s="546">
        <f t="shared" si="249"/>
        <v>345</v>
      </c>
      <c r="AR293" s="551">
        <f t="shared" si="242"/>
        <v>32.130797589683517</v>
      </c>
      <c r="AS293" s="553">
        <f>$AR293/PI()*SQRT('Hilfstabellen_Mat&amp;Bem'!f.Rd.3/'Hilfstabellen_Mat&amp;Bem'!$BD$30)</f>
        <v>0.51137752618832877</v>
      </c>
      <c r="AT293" s="553">
        <f>0.5*(1+'Hilfstabellen_Mat&amp;Bem'!$BD$31*($AS293-0.3)+$AS293^2)</f>
        <v>0.64132236345466387</v>
      </c>
      <c r="AU293" s="550">
        <f t="shared" si="243"/>
        <v>0.97243522017689221</v>
      </c>
      <c r="AW293" s="551">
        <f t="shared" si="294"/>
        <v>115744.10208155459</v>
      </c>
      <c r="BA293" s="546">
        <f t="shared" si="250"/>
        <v>345</v>
      </c>
      <c r="BB293" s="551">
        <f t="shared" si="251"/>
        <v>33.134885014361132</v>
      </c>
      <c r="BC293" s="553">
        <f>$BB293/PI()*SQRT('Hilfstabellen_Mat&amp;Bem'!f.Rd.3/'Hilfstabellen_Mat&amp;Bem'!$BD$30)</f>
        <v>0.52735807388171418</v>
      </c>
      <c r="BD293" s="553">
        <f>0.5*(1+'Hilfstabellen_Mat&amp;Bem'!$BD$31*($BC293-0.3)+$BC293^2)</f>
        <v>0.65042117273820144</v>
      </c>
      <c r="BE293" s="550">
        <f t="shared" si="252"/>
        <v>0.96980740825799128</v>
      </c>
      <c r="BG293" s="551">
        <f t="shared" si="253"/>
        <v>115431.32676790741</v>
      </c>
      <c r="BK293" s="546">
        <f t="shared" si="254"/>
        <v>345</v>
      </c>
      <c r="BL293" s="551">
        <f t="shared" si="255"/>
        <v>34.138972439038739</v>
      </c>
      <c r="BM293" s="553">
        <f>$BL293/PI()*SQRT('Hilfstabellen_Mat&amp;Bem'!f.Rd.3/'Hilfstabellen_Mat&amp;Bem'!$BD$30)</f>
        <v>0.54333862157509938</v>
      </c>
      <c r="BN293" s="553">
        <f>0.5*(1+'Hilfstabellen_Mat&amp;Bem'!$BD$31*($BM293-0.3)+$BM293^2)</f>
        <v>0.65977535992631953</v>
      </c>
      <c r="BO293" s="550">
        <f t="shared" si="256"/>
        <v>0.96706477598339935</v>
      </c>
      <c r="BQ293" s="551">
        <f t="shared" si="257"/>
        <v>115104.8849614241</v>
      </c>
      <c r="BU293" s="546">
        <f t="shared" si="258"/>
        <v>345</v>
      </c>
      <c r="BV293" s="551">
        <f t="shared" si="259"/>
        <v>35.143059863716353</v>
      </c>
      <c r="BW293" s="553">
        <f>$BV293/PI()*SQRT('Hilfstabellen_Mat&amp;Bem'!f.Rd.3/'Hilfstabellen_Mat&amp;Bem'!$BD$30)</f>
        <v>0.55931916926848479</v>
      </c>
      <c r="BX293" s="553">
        <f>0.5*(1+'Hilfstabellen_Mat&amp;Bem'!$BD$31*($BW293-0.3)+$BW293^2)</f>
        <v>0.66938492501901814</v>
      </c>
      <c r="BY293" s="550">
        <f t="shared" si="260"/>
        <v>0.96419699970727202</v>
      </c>
      <c r="CA293" s="551">
        <f t="shared" si="261"/>
        <v>114763.54789015805</v>
      </c>
      <c r="CE293" s="546">
        <f t="shared" si="262"/>
        <v>345</v>
      </c>
      <c r="CF293" s="551">
        <f t="shared" si="263"/>
        <v>36.14714728839396</v>
      </c>
      <c r="CG293" s="553">
        <f>CF293/PI()*SQRT('Hilfstabellen_Mat&amp;Bem'!f.Rd.3/'Hilfstabellen_Mat&amp;Bem'!$BD$30)</f>
        <v>0.57529971696186999</v>
      </c>
      <c r="CH293" s="553">
        <f>0.5*(1+'Hilfstabellen_Mat&amp;Bem'!$BD$31*(CG293-0.3)+CG293^2)</f>
        <v>0.67924986801629739</v>
      </c>
      <c r="CI293" s="550">
        <f t="shared" si="264"/>
        <v>0.96119282719490573</v>
      </c>
      <c r="CK293" s="551">
        <f t="shared" si="265"/>
        <v>114405.97625687365</v>
      </c>
      <c r="CO293" s="546">
        <f t="shared" si="266"/>
        <v>345</v>
      </c>
      <c r="CP293" s="551">
        <f t="shared" si="267"/>
        <v>37.151234713071567</v>
      </c>
      <c r="CQ293" s="553">
        <f>CP293/PI()*SQRT('Hilfstabellen_Mat&amp;Bem'!f.Rd.3/'Hilfstabellen_Mat&amp;Bem'!$BD$30)</f>
        <v>0.59128026465525518</v>
      </c>
      <c r="CR293" s="553">
        <f>0.5*(1+'Hilfstabellen_Mat&amp;Bem'!$BD$31*(CQ293-0.3)+CQ293^2)</f>
        <v>0.68937018891815716</v>
      </c>
      <c r="CS293" s="550">
        <f t="shared" si="268"/>
        <v>0.95803999056386435</v>
      </c>
      <c r="CU293" s="551">
        <f t="shared" si="269"/>
        <v>114030.70987686396</v>
      </c>
      <c r="CY293" s="546">
        <f t="shared" si="270"/>
        <v>345</v>
      </c>
      <c r="CZ293" s="551">
        <f t="shared" si="271"/>
        <v>38.155322137749174</v>
      </c>
      <c r="DA293" s="553">
        <f>CZ293/PI()*SQRT('Hilfstabellen_Mat&amp;Bem'!f.Rd.3/'Hilfstabellen_Mat&amp;Bem'!$BD$30)</f>
        <v>0.60726081234864049</v>
      </c>
      <c r="DB293" s="553">
        <f>0.5*(1+'Hilfstabellen_Mat&amp;Bem'!$BD$31*(DA293-0.3)+DA293^2)</f>
        <v>0.69974588772459734</v>
      </c>
      <c r="DC293" s="550">
        <f t="shared" si="272"/>
        <v>0.9547251159946375</v>
      </c>
      <c r="DE293" s="551">
        <f t="shared" si="273"/>
        <v>113636.15693126172</v>
      </c>
      <c r="DI293" s="546">
        <f t="shared" si="274"/>
        <v>345</v>
      </c>
      <c r="DJ293" s="551">
        <f t="shared" si="275"/>
        <v>39.159409562426788</v>
      </c>
      <c r="DK293" s="553">
        <f>DJ293/PI()*SQRT('Hilfstabellen_Mat&amp;Bem'!f.Rd.3/'Hilfstabellen_Mat&amp;Bem'!$BD$30)</f>
        <v>0.62324136004202579</v>
      </c>
      <c r="DL293" s="553">
        <f>0.5*(1+'Hilfstabellen_Mat&amp;Bem'!$BD$31*(DK293-0.3)+DK293^2)</f>
        <v>0.71037696443561837</v>
      </c>
      <c r="DM293" s="550">
        <f t="shared" si="276"/>
        <v>0.95123363223080182</v>
      </c>
      <c r="DO293" s="551">
        <f t="shared" si="277"/>
        <v>113220.58307627118</v>
      </c>
      <c r="DS293" s="546">
        <f t="shared" si="278"/>
        <v>345</v>
      </c>
      <c r="DT293" s="551">
        <f t="shared" si="279"/>
        <v>40.163496987104402</v>
      </c>
      <c r="DU293" s="553">
        <f>DT293/PI()*SQRT('Hilfstabellen_Mat&amp;Bem'!f.Rd.3/'Hilfstabellen_Mat&amp;Bem'!$BD$30)</f>
        <v>0.63922190773541121</v>
      </c>
      <c r="DV293" s="553">
        <f>0.5*(1+'Hilfstabellen_Mat&amp;Bem'!$BD$31*(DU293-0.3)+DU293^2)</f>
        <v>0.72126341905121993</v>
      </c>
      <c r="DW293" s="550">
        <f t="shared" si="280"/>
        <v>0.94754968090415725</v>
      </c>
      <c r="DY293" s="551">
        <f t="shared" si="281"/>
        <v>112782.10076961732</v>
      </c>
      <c r="EC293" s="546">
        <f t="shared" si="282"/>
        <v>345</v>
      </c>
      <c r="ED293" s="551">
        <f t="shared" si="283"/>
        <v>41.167584411782009</v>
      </c>
      <c r="EE293" s="553">
        <f>ED293/PI()*SQRT('Hilfstabellen_Mat&amp;Bem'!f.Rd.3/'Hilfstabellen_Mat&amp;Bem'!$BD$30)</f>
        <v>0.6552024554287964</v>
      </c>
      <c r="EF293" s="553">
        <f>0.5*(1+'Hilfstabellen_Mat&amp;Bem'!$BD$31*(EE293-0.3)+EE293^2)</f>
        <v>0.73240525157140179</v>
      </c>
      <c r="EG293" s="550">
        <f t="shared" si="284"/>
        <v>0.94365603305981582</v>
      </c>
      <c r="EI293" s="551">
        <f t="shared" si="285"/>
        <v>112318.65933494458</v>
      </c>
      <c r="EM293" s="546">
        <f t="shared" si="286"/>
        <v>345</v>
      </c>
      <c r="EN293" s="551">
        <f t="shared" si="287"/>
        <v>42.171671836459623</v>
      </c>
      <c r="EO293" s="553">
        <f>EN293/PI()*SQRT('Hilfstabellen_Mat&amp;Bem'!f.Rd.3/'Hilfstabellen_Mat&amp;Bem'!$BD$30)</f>
        <v>0.67118300312218171</v>
      </c>
      <c r="EP293" s="553">
        <f>0.5*(1+'Hilfstabellen_Mat&amp;Bem'!$BD$31*(EO293-0.3)+EO293^2)</f>
        <v>0.7438024619961644</v>
      </c>
      <c r="EQ293" s="550">
        <f t="shared" si="288"/>
        <v>0.93953401798464886</v>
      </c>
      <c r="ES293" s="551">
        <f t="shared" si="289"/>
        <v>111828.03649062284</v>
      </c>
    </row>
    <row r="294" spans="3:149">
      <c r="C294" s="546">
        <v>346</v>
      </c>
      <c r="D294" s="551">
        <f t="shared" si="244"/>
        <v>28.033192261230386</v>
      </c>
      <c r="E294" s="553">
        <f>$D294/PI()*SQRT('Hilfstabellen_Mat&amp;Bem'!f.Rd.3/'Hilfstabellen_Mat&amp;Bem'!$BD$30)</f>
        <v>0.44616211190202837</v>
      </c>
      <c r="F294" s="553">
        <f>0.5*(1+'Hilfstabellen_Mat&amp;Bem'!$BD$31*($E294-0.3)+$E294^2)</f>
        <v>0.60683842064354043</v>
      </c>
      <c r="G294" s="550">
        <f t="shared" si="245"/>
        <v>0.98215593334159523</v>
      </c>
      <c r="I294" s="551">
        <f t="shared" si="290"/>
        <v>117579.77971592241</v>
      </c>
      <c r="M294" s="546">
        <f t="shared" si="246"/>
        <v>346</v>
      </c>
      <c r="N294" s="551">
        <f t="shared" si="236"/>
        <v>29.034377699131465</v>
      </c>
      <c r="O294" s="553">
        <f>$N294/PI()*SQRT('Hilfstabellen_Mat&amp;Bem'!f.Rd.3/'Hilfstabellen_Mat&amp;Bem'!$BD$30)</f>
        <v>0.46209647304138635</v>
      </c>
      <c r="P294" s="553">
        <f>0.5*(1+'Hilfstabellen_Mat&amp;Bem'!$BD$31*($O294-0.3)+$O294^2)</f>
        <v>0.61487139885071374</v>
      </c>
      <c r="Q294" s="550">
        <f t="shared" si="237"/>
        <v>0.97991284402066625</v>
      </c>
      <c r="S294" s="551">
        <f t="shared" si="291"/>
        <v>117311.24603477809</v>
      </c>
      <c r="W294" s="546">
        <f t="shared" si="247"/>
        <v>346</v>
      </c>
      <c r="X294" s="551">
        <f t="shared" si="238"/>
        <v>30.03556313703255</v>
      </c>
      <c r="Y294" s="553">
        <f>$X294/PI()*SQRT('Hilfstabellen_Mat&amp;Bem'!f.Rd.3/'Hilfstabellen_Mat&amp;Bem'!$BD$30)</f>
        <v>0.47803083418074455</v>
      </c>
      <c r="Z294" s="553">
        <f>0.5*(1+'Hilfstabellen_Mat&amp;Bem'!$BD$31*($Y294-0.3)+$Y294^2)</f>
        <v>0.62315828092280645</v>
      </c>
      <c r="AA294" s="550">
        <f t="shared" si="239"/>
        <v>0.97758957218654252</v>
      </c>
      <c r="AC294" s="551">
        <f t="shared" si="292"/>
        <v>117033.11322388412</v>
      </c>
      <c r="AG294" s="546">
        <f t="shared" si="248"/>
        <v>346</v>
      </c>
      <c r="AH294" s="551">
        <f t="shared" si="240"/>
        <v>31.03674857493364</v>
      </c>
      <c r="AI294" s="553">
        <f>$AH294/PI()*SQRT('Hilfstabellen_Mat&amp;Bem'!f.Rd.3/'Hilfstabellen_Mat&amp;Bem'!$BD$30)</f>
        <v>0.49396519532010275</v>
      </c>
      <c r="AJ294" s="553">
        <f>0.5*(1+'Hilfstabellen_Mat&amp;Bem'!$BD$31*($AI294-0.3)+$AI294^2)</f>
        <v>0.6316990668598188</v>
      </c>
      <c r="AK294" s="550">
        <f t="shared" si="241"/>
        <v>0.97517885070116028</v>
      </c>
      <c r="AM294" s="551">
        <f t="shared" si="293"/>
        <v>116744.5112905401</v>
      </c>
      <c r="AQ294" s="546">
        <f t="shared" si="249"/>
        <v>346</v>
      </c>
      <c r="AR294" s="551">
        <f t="shared" si="242"/>
        <v>32.037934012834725</v>
      </c>
      <c r="AS294" s="553">
        <f>$AR294/PI()*SQRT('Hilfstabellen_Mat&amp;Bem'!f.Rd.3/'Hilfstabellen_Mat&amp;Bem'!$BD$30)</f>
        <v>0.50989955645946095</v>
      </c>
      <c r="AT294" s="553">
        <f>0.5*(1+'Hilfstabellen_Mat&amp;Bem'!$BD$31*($AS294-0.3)+$AS294^2)</f>
        <v>0.64049375666175057</v>
      </c>
      <c r="AU294" s="550">
        <f t="shared" si="243"/>
        <v>0.97267279446790511</v>
      </c>
      <c r="AW294" s="551">
        <f t="shared" si="294"/>
        <v>116444.49626251972</v>
      </c>
      <c r="BA294" s="546">
        <f t="shared" si="250"/>
        <v>346</v>
      </c>
      <c r="BB294" s="551">
        <f t="shared" si="251"/>
        <v>33.039119450735804</v>
      </c>
      <c r="BC294" s="553">
        <f>$BB294/PI()*SQRT('Hilfstabellen_Mat&amp;Bem'!f.Rd.3/'Hilfstabellen_Mat&amp;Bem'!$BD$30)</f>
        <v>0.52583391759881903</v>
      </c>
      <c r="BD294" s="553">
        <f>0.5*(1+'Hilfstabellen_Mat&amp;Bem'!$BD$31*($BC294-0.3)+$BC294^2)</f>
        <v>0.64954235032860175</v>
      </c>
      <c r="BE294" s="550">
        <f t="shared" si="252"/>
        <v>0.97006283564307616</v>
      </c>
      <c r="BG294" s="551">
        <f t="shared" si="253"/>
        <v>116132.04243184651</v>
      </c>
      <c r="BK294" s="546">
        <f t="shared" si="254"/>
        <v>346</v>
      </c>
      <c r="BL294" s="551">
        <f t="shared" si="255"/>
        <v>34.040304888636889</v>
      </c>
      <c r="BM294" s="553">
        <f>$BL294/PI()*SQRT('Hilfstabellen_Mat&amp;Bem'!f.Rd.3/'Hilfstabellen_Mat&amp;Bem'!$BD$30)</f>
        <v>0.54176827873817712</v>
      </c>
      <c r="BN294" s="553">
        <f>0.5*(1+'Hilfstabellen_Mat&amp;Bem'!$BD$31*($BM294-0.3)+$BM294^2)</f>
        <v>0.65884484786037245</v>
      </c>
      <c r="BO294" s="550">
        <f t="shared" si="256"/>
        <v>0.96733965335778826</v>
      </c>
      <c r="BQ294" s="551">
        <f t="shared" si="257"/>
        <v>115806.03394138099</v>
      </c>
      <c r="BU294" s="546">
        <f t="shared" si="258"/>
        <v>346</v>
      </c>
      <c r="BV294" s="551">
        <f t="shared" si="259"/>
        <v>35.041490326537982</v>
      </c>
      <c r="BW294" s="553">
        <f>$BV294/PI()*SQRT('Hilfstabellen_Mat&amp;Bem'!f.Rd.3/'Hilfstabellen_Mat&amp;Bem'!$BD$30)</f>
        <v>0.55770263987753532</v>
      </c>
      <c r="BX294" s="553">
        <f>0.5*(1+'Hilfstabellen_Mat&amp;Bem'!$BD$31*($BW294-0.3)+$BW294^2)</f>
        <v>0.66840124925706268</v>
      </c>
      <c r="BY294" s="550">
        <f t="shared" si="260"/>
        <v>0.96449309798268512</v>
      </c>
      <c r="CA294" s="551">
        <f t="shared" si="261"/>
        <v>115465.25571809513</v>
      </c>
      <c r="CE294" s="546">
        <f t="shared" si="262"/>
        <v>346</v>
      </c>
      <c r="CF294" s="551">
        <f t="shared" si="263"/>
        <v>36.042675764439068</v>
      </c>
      <c r="CG294" s="553">
        <f>CF294/PI()*SQRT('Hilfstabellen_Mat&amp;Bem'!f.Rd.3/'Hilfstabellen_Mat&amp;Bem'!$BD$30)</f>
        <v>0.57363700101689352</v>
      </c>
      <c r="CH294" s="553">
        <f>0.5*(1+'Hilfstabellen_Mat&amp;Bem'!$BD$31*(CG294-0.3)+CG294^2)</f>
        <v>0.67821155451867243</v>
      </c>
      <c r="CI294" s="550">
        <f t="shared" si="264"/>
        <v>0.96151211022437033</v>
      </c>
      <c r="CK294" s="551">
        <f t="shared" si="265"/>
        <v>115108.38378762073</v>
      </c>
      <c r="CO294" s="546">
        <f t="shared" si="266"/>
        <v>346</v>
      </c>
      <c r="CP294" s="551">
        <f t="shared" si="267"/>
        <v>37.043861202340146</v>
      </c>
      <c r="CQ294" s="553">
        <f>CP294/PI()*SQRT('Hilfstabellen_Mat&amp;Bem'!f.Rd.3/'Hilfstabellen_Mat&amp;Bem'!$BD$30)</f>
        <v>0.58957136215625161</v>
      </c>
      <c r="CR294" s="553">
        <f>0.5*(1+'Hilfstabellen_Mat&amp;Bem'!$BD$31*(CQ294-0.3)+CQ294^2)</f>
        <v>0.6882757636452016</v>
      </c>
      <c r="CS294" s="550">
        <f t="shared" si="268"/>
        <v>0.95838463571215549</v>
      </c>
      <c r="CU294" s="551">
        <f t="shared" si="269"/>
        <v>114733.9750489164</v>
      </c>
      <c r="CY294" s="546">
        <f t="shared" si="270"/>
        <v>346</v>
      </c>
      <c r="CZ294" s="551">
        <f t="shared" si="271"/>
        <v>38.045046640241232</v>
      </c>
      <c r="DA294" s="553">
        <f>CZ294/PI()*SQRT('Hilfstabellen_Mat&amp;Bem'!f.Rd.3/'Hilfstabellen_Mat&amp;Bem'!$BD$30)</f>
        <v>0.60550572329560981</v>
      </c>
      <c r="DB294" s="553">
        <f>0.5*(1+'Hilfstabellen_Mat&amp;Bem'!$BD$31*(DA294-0.3)+DA294^2)</f>
        <v>0.69859387663665029</v>
      </c>
      <c r="DC294" s="550">
        <f t="shared" si="272"/>
        <v>0.95509753625317395</v>
      </c>
      <c r="DE294" s="551">
        <f t="shared" si="273"/>
        <v>114340.45665008498</v>
      </c>
      <c r="DI294" s="546">
        <f t="shared" si="274"/>
        <v>346</v>
      </c>
      <c r="DJ294" s="551">
        <f t="shared" si="275"/>
        <v>39.046232078142317</v>
      </c>
      <c r="DK294" s="553">
        <f>DJ294/PI()*SQRT('Hilfstabellen_Mat&amp;Bem'!f.Rd.3/'Hilfstabellen_Mat&amp;Bem'!$BD$30)</f>
        <v>0.6214400844349679</v>
      </c>
      <c r="DL294" s="553">
        <f>0.5*(1+'Hilfstabellen_Mat&amp;Bem'!$BD$31*(DK294-0.3)+DK294^2)</f>
        <v>0.7091658934930184</v>
      </c>
      <c r="DM294" s="550">
        <f t="shared" si="276"/>
        <v>0.95163649964827191</v>
      </c>
      <c r="DO294" s="551">
        <f t="shared" si="277"/>
        <v>113926.11519189252</v>
      </c>
      <c r="DS294" s="546">
        <f t="shared" si="278"/>
        <v>346</v>
      </c>
      <c r="DT294" s="551">
        <f t="shared" si="279"/>
        <v>40.047417516043403</v>
      </c>
      <c r="DU294" s="553">
        <f>DT294/PI()*SQRT('Hilfstabellen_Mat&amp;Bem'!f.Rd.3/'Hilfstabellen_Mat&amp;Bem'!$BD$30)</f>
        <v>0.6373744455743261</v>
      </c>
      <c r="DV294" s="553">
        <f>0.5*(1+'Hilfstabellen_Mat&amp;Bem'!$BD$31*(DU294-0.3)+DU294^2)</f>
        <v>0.71999181421430603</v>
      </c>
      <c r="DW294" s="550">
        <f t="shared" si="280"/>
        <v>0.94798595092388016</v>
      </c>
      <c r="DY294" s="551">
        <f t="shared" si="281"/>
        <v>113489.08610080324</v>
      </c>
      <c r="EC294" s="546">
        <f t="shared" si="282"/>
        <v>346</v>
      </c>
      <c r="ED294" s="551">
        <f t="shared" si="283"/>
        <v>41.048602953944489</v>
      </c>
      <c r="EE294" s="553">
        <f>ED294/PI()*SQRT('Hilfstabellen_Mat&amp;Bem'!f.Rd.3/'Hilfstabellen_Mat&amp;Bem'!$BD$30)</f>
        <v>0.6533088067136843</v>
      </c>
      <c r="EF294" s="553">
        <f>0.5*(1+'Hilfstabellen_Mat&amp;Bem'!$BD$31*(EE294-0.3)+EE294^2)</f>
        <v>0.73107163880051318</v>
      </c>
      <c r="EG294" s="550">
        <f t="shared" si="284"/>
        <v>0.94412896910692112</v>
      </c>
      <c r="EI294" s="551">
        <f t="shared" si="285"/>
        <v>113027.34366560417</v>
      </c>
      <c r="EM294" s="546">
        <f t="shared" si="286"/>
        <v>346</v>
      </c>
      <c r="EN294" s="551">
        <f t="shared" si="287"/>
        <v>42.049788391845574</v>
      </c>
      <c r="EO294" s="553">
        <f>EN294/PI()*SQRT('Hilfstabellen_Mat&amp;Bem'!f.Rd.3/'Hilfstabellen_Mat&amp;Bem'!$BD$30)</f>
        <v>0.66924316785304239</v>
      </c>
      <c r="EP294" s="553">
        <f>0.5*(1+'Hilfstabellen_Mat&amp;Bem'!$BD$31*(EO294-0.3)+EO294^2)</f>
        <v>0.74240536725163986</v>
      </c>
      <c r="EQ294" s="550">
        <f t="shared" si="288"/>
        <v>0.94004721531381763</v>
      </c>
      <c r="ES294" s="551">
        <f t="shared" si="289"/>
        <v>112538.69242850899</v>
      </c>
    </row>
    <row r="295" spans="3:149">
      <c r="C295" s="546">
        <v>347</v>
      </c>
      <c r="D295" s="551">
        <f t="shared" si="244"/>
        <v>27.952404963647584</v>
      </c>
      <c r="E295" s="553">
        <f>$D295/PI()*SQRT('Hilfstabellen_Mat&amp;Bem'!f.Rd.3/'Hilfstabellen_Mat&amp;Bem'!$BD$30)</f>
        <v>0.44487634212709443</v>
      </c>
      <c r="F295" s="553">
        <f>0.5*(1+'Hilfstabellen_Mat&amp;Bem'!$BD$31*($E295-0.3)+$E295^2)</f>
        <v>0.60620129699854641</v>
      </c>
      <c r="G295" s="550">
        <f t="shared" si="245"/>
        <v>0.98233364234760701</v>
      </c>
      <c r="I295" s="551">
        <f t="shared" si="290"/>
        <v>118281.81154143301</v>
      </c>
      <c r="M295" s="546">
        <f t="shared" si="246"/>
        <v>347</v>
      </c>
      <c r="N295" s="551">
        <f t="shared" si="236"/>
        <v>28.950705140920714</v>
      </c>
      <c r="O295" s="553">
        <f>$N295/PI()*SQRT('Hilfstabellen_Mat&amp;Bem'!f.Rd.3/'Hilfstabellen_Mat&amp;Bem'!$BD$30)</f>
        <v>0.46076478291734785</v>
      </c>
      <c r="P295" s="553">
        <f>0.5*(1+'Hilfstabellen_Mat&amp;Bem'!$BD$31*($O295-0.3)+$O295^2)</f>
        <v>0.61419033173430282</v>
      </c>
      <c r="Q295" s="550">
        <f t="shared" si="237"/>
        <v>0.98010328102896649</v>
      </c>
      <c r="S295" s="551">
        <f t="shared" si="291"/>
        <v>118013.25596541683</v>
      </c>
      <c r="W295" s="546">
        <f t="shared" si="247"/>
        <v>347</v>
      </c>
      <c r="X295" s="551">
        <f t="shared" si="238"/>
        <v>29.949005318193844</v>
      </c>
      <c r="Y295" s="553">
        <f>$X295/PI()*SQRT('Hilfstabellen_Mat&amp;Bem'!f.Rd.3/'Hilfstabellen_Mat&amp;Bem'!$BD$30)</f>
        <v>0.47665322370760121</v>
      </c>
      <c r="Z295" s="553">
        <f>0.5*(1+'Hilfstabellen_Mat&amp;Bem'!$BD$31*($Y295-0.3)+$Y295^2)</f>
        <v>0.62243180902080431</v>
      </c>
      <c r="AA295" s="550">
        <f t="shared" si="239"/>
        <v>0.9777937768629501</v>
      </c>
      <c r="AC295" s="551">
        <f t="shared" si="292"/>
        <v>117735.17087829096</v>
      </c>
      <c r="AG295" s="546">
        <f t="shared" si="248"/>
        <v>347</v>
      </c>
      <c r="AH295" s="551">
        <f t="shared" si="240"/>
        <v>30.947305495466967</v>
      </c>
      <c r="AI295" s="553">
        <f>$AH295/PI()*SQRT('Hilfstabellen_Mat&amp;Bem'!f.Rd.3/'Hilfstabellen_Mat&amp;Bem'!$BD$30)</f>
        <v>0.49254166449785458</v>
      </c>
      <c r="AJ295" s="553">
        <f>0.5*(1+'Hilfstabellen_Mat&amp;Bem'!$BD$31*($AI295-0.3)+$AI295^2)</f>
        <v>0.63092572885805132</v>
      </c>
      <c r="AK295" s="550">
        <f t="shared" si="241"/>
        <v>0.97539797469267531</v>
      </c>
      <c r="AM295" s="551">
        <f t="shared" si="293"/>
        <v>117446.69473477034</v>
      </c>
      <c r="AQ295" s="546">
        <f t="shared" si="249"/>
        <v>347</v>
      </c>
      <c r="AR295" s="551">
        <f t="shared" si="242"/>
        <v>31.945605672740097</v>
      </c>
      <c r="AS295" s="553">
        <f>$AR295/PI()*SQRT('Hilfstabellen_Mat&amp;Bem'!f.Rd.3/'Hilfstabellen_Mat&amp;Bem'!$BD$30)</f>
        <v>0.50843010528810795</v>
      </c>
      <c r="AT295" s="553">
        <f>0.5*(1+'Hilfstabellen_Mat&amp;Bem'!$BD$31*($AS295-0.3)+$AS295^2)</f>
        <v>0.63967209124604374</v>
      </c>
      <c r="AU295" s="550">
        <f t="shared" si="243"/>
        <v>0.97290811378620712</v>
      </c>
      <c r="AW295" s="551">
        <f t="shared" si="294"/>
        <v>117146.89307288341</v>
      </c>
      <c r="BA295" s="546">
        <f t="shared" si="250"/>
        <v>347</v>
      </c>
      <c r="BB295" s="551">
        <f t="shared" si="251"/>
        <v>32.94390585001323</v>
      </c>
      <c r="BC295" s="553">
        <f>$BB295/PI()*SQRT('Hilfstabellen_Mat&amp;Bem'!f.Rd.3/'Hilfstabellen_Mat&amp;Bem'!$BD$30)</f>
        <v>0.52431854607836137</v>
      </c>
      <c r="BD295" s="553">
        <f>0.5*(1+'Hilfstabellen_Mat&amp;Bem'!$BD$31*($BC295-0.3)+$BC295^2)</f>
        <v>0.64867089618478146</v>
      </c>
      <c r="BE295" s="550">
        <f t="shared" si="252"/>
        <v>0.9703157644473499</v>
      </c>
      <c r="BG295" s="551">
        <f t="shared" si="253"/>
        <v>116834.75088134095</v>
      </c>
      <c r="BK295" s="546">
        <f t="shared" si="254"/>
        <v>347</v>
      </c>
      <c r="BL295" s="551">
        <f t="shared" si="255"/>
        <v>33.942206027286353</v>
      </c>
      <c r="BM295" s="553">
        <f>$BL295/PI()*SQRT('Hilfstabellen_Mat&amp;Bem'!f.Rd.3/'Hilfstabellen_Mat&amp;Bem'!$BD$30)</f>
        <v>0.54020698686861468</v>
      </c>
      <c r="BN295" s="553">
        <f>0.5*(1+'Hilfstabellen_Mat&amp;Bem'!$BD$31*($BM295-0.3)+$BM295^2)</f>
        <v>0.65792214367426449</v>
      </c>
      <c r="BO295" s="550">
        <f t="shared" si="256"/>
        <v>0.96761175923732035</v>
      </c>
      <c r="BQ295" s="551">
        <f t="shared" si="257"/>
        <v>116509.1643180065</v>
      </c>
      <c r="BU295" s="546">
        <f t="shared" si="258"/>
        <v>347</v>
      </c>
      <c r="BV295" s="551">
        <f t="shared" si="259"/>
        <v>34.940506204559483</v>
      </c>
      <c r="BW295" s="553">
        <f>$BV295/PI()*SQRT('Hilfstabellen_Mat&amp;Bem'!f.Rd.3/'Hilfstabellen_Mat&amp;Bem'!$BD$30)</f>
        <v>0.5560954276588681</v>
      </c>
      <c r="BX295" s="553">
        <f>0.5*(1+'Hilfstabellen_Mat&amp;Bem'!$BD$31*($BW295-0.3)+$BW295^2)</f>
        <v>0.66742583371449316</v>
      </c>
      <c r="BY295" s="550">
        <f t="shared" si="260"/>
        <v>0.96478611882052512</v>
      </c>
      <c r="CA295" s="551">
        <f t="shared" si="261"/>
        <v>116168.93178106062</v>
      </c>
      <c r="CE295" s="546">
        <f t="shared" si="262"/>
        <v>347</v>
      </c>
      <c r="CF295" s="551">
        <f t="shared" si="263"/>
        <v>35.938806381832613</v>
      </c>
      <c r="CG295" s="553">
        <f>CF295/PI()*SQRT('Hilfstabellen_Mat&amp;Bem'!f.Rd.3/'Hilfstabellen_Mat&amp;Bem'!$BD$30)</f>
        <v>0.57198386844912152</v>
      </c>
      <c r="CH295" s="553">
        <f>0.5*(1+'Hilfstabellen_Mat&amp;Bem'!$BD$31*(CG295-0.3)+CG295^2)</f>
        <v>0.67718196630546701</v>
      </c>
      <c r="CI295" s="550">
        <f t="shared" si="264"/>
        <v>0.96182797268964093</v>
      </c>
      <c r="CK295" s="551">
        <f t="shared" si="265"/>
        <v>115812.74436358697</v>
      </c>
      <c r="CO295" s="546">
        <f t="shared" si="266"/>
        <v>347</v>
      </c>
      <c r="CP295" s="551">
        <f t="shared" si="267"/>
        <v>36.937106559105736</v>
      </c>
      <c r="CQ295" s="553">
        <f>CP295/PI()*SQRT('Hilfstabellen_Mat&amp;Bem'!f.Rd.3/'Hilfstabellen_Mat&amp;Bem'!$BD$30)</f>
        <v>0.58787230923937484</v>
      </c>
      <c r="CR295" s="553">
        <f>0.5*(1+'Hilfstabellen_Mat&amp;Bem'!$BD$31*(CQ295-0.3)+CQ295^2)</f>
        <v>0.68719054144718628</v>
      </c>
      <c r="CS295" s="550">
        <f t="shared" si="268"/>
        <v>0.9587254753744211</v>
      </c>
      <c r="CU295" s="551">
        <f t="shared" si="269"/>
        <v>115439.17576435868</v>
      </c>
      <c r="CY295" s="546">
        <f t="shared" si="270"/>
        <v>347</v>
      </c>
      <c r="CZ295" s="551">
        <f t="shared" si="271"/>
        <v>37.935406736378866</v>
      </c>
      <c r="DA295" s="553">
        <f>CZ295/PI()*SQRT('Hilfstabellen_Mat&amp;Bem'!f.Rd.3/'Hilfstabellen_Mat&amp;Bem'!$BD$30)</f>
        <v>0.60376075002962815</v>
      </c>
      <c r="DB295" s="553">
        <f>0.5*(1+'Hilfstabellen_Mat&amp;Bem'!$BD$31*(DA295-0.3)+DA295^2)</f>
        <v>0.69745155913965107</v>
      </c>
      <c r="DC295" s="550">
        <f t="shared" si="272"/>
        <v>0.95546571923005819</v>
      </c>
      <c r="DE295" s="551">
        <f t="shared" si="273"/>
        <v>115046.67178677207</v>
      </c>
      <c r="DI295" s="546">
        <f t="shared" si="274"/>
        <v>347</v>
      </c>
      <c r="DJ295" s="551">
        <f t="shared" si="275"/>
        <v>38.933706913651996</v>
      </c>
      <c r="DK295" s="553">
        <f>DJ295/PI()*SQRT('Hilfstabellen_Mat&amp;Bem'!f.Rd.3/'Hilfstabellen_Mat&amp;Bem'!$BD$30)</f>
        <v>0.61964919081988157</v>
      </c>
      <c r="DL295" s="553">
        <f>0.5*(1+'Hilfstabellen_Mat&amp;Bem'!$BD$31*(DK295-0.3)+DK295^2)</f>
        <v>0.70796501938286105</v>
      </c>
      <c r="DM295" s="550">
        <f t="shared" si="276"/>
        <v>0.95203464557739925</v>
      </c>
      <c r="DO295" s="551">
        <f t="shared" si="277"/>
        <v>114633.53963932907</v>
      </c>
      <c r="DS295" s="546">
        <f t="shared" si="278"/>
        <v>347</v>
      </c>
      <c r="DT295" s="551">
        <f t="shared" si="279"/>
        <v>39.932007090925119</v>
      </c>
      <c r="DU295" s="553">
        <f>DT295/PI()*SQRT('Hilfstabellen_Mat&amp;Bem'!f.Rd.3/'Hilfstabellen_Mat&amp;Bem'!$BD$30)</f>
        <v>0.63553763161013488</v>
      </c>
      <c r="DV295" s="553">
        <f>0.5*(1+'Hilfstabellen_Mat&amp;Bem'!$BD$31*(DU295-0.3)+DU295^2)</f>
        <v>0.71873092217681644</v>
      </c>
      <c r="DW295" s="550">
        <f t="shared" si="280"/>
        <v>0.94841695688019245</v>
      </c>
      <c r="DY295" s="551">
        <f t="shared" si="281"/>
        <v>114197.9373609871</v>
      </c>
      <c r="EC295" s="546">
        <f t="shared" si="282"/>
        <v>347</v>
      </c>
      <c r="ED295" s="551">
        <f t="shared" si="283"/>
        <v>40.930307268198248</v>
      </c>
      <c r="EE295" s="553">
        <f>ED295/PI()*SQRT('Hilfstabellen_Mat&amp;Bem'!f.Rd.3/'Hilfstabellen_Mat&amp;Bem'!$BD$30)</f>
        <v>0.6514260724003883</v>
      </c>
      <c r="EF295" s="553">
        <f>0.5*(1+'Hilfstabellen_Mat&amp;Bem'!$BD$31*(EE295-0.3)+EE295^2)</f>
        <v>0.72974926752151736</v>
      </c>
      <c r="EG295" s="550">
        <f t="shared" si="284"/>
        <v>0.94459603385209701</v>
      </c>
      <c r="EI295" s="551">
        <f t="shared" si="285"/>
        <v>113737.86384009715</v>
      </c>
      <c r="EM295" s="546">
        <f t="shared" si="286"/>
        <v>347</v>
      </c>
      <c r="EN295" s="551">
        <f t="shared" si="287"/>
        <v>41.928607445471378</v>
      </c>
      <c r="EO295" s="553">
        <f>EN295/PI()*SQRT('Hilfstabellen_Mat&amp;Bem'!f.Rd.3/'Hilfstabellen_Mat&amp;Bem'!$BD$30)</f>
        <v>0.66731451319064172</v>
      </c>
      <c r="EP295" s="553">
        <f>0.5*(1+'Hilfstabellen_Mat&amp;Bem'!$BD$31*(EO295-0.3)+EO295^2)</f>
        <v>0.7410200554169637</v>
      </c>
      <c r="EQ295" s="550">
        <f t="shared" si="288"/>
        <v>0.94055386294980958</v>
      </c>
      <c r="ES295" s="551">
        <f t="shared" si="289"/>
        <v>113251.15008392363</v>
      </c>
    </row>
    <row r="296" spans="3:149">
      <c r="C296" s="546">
        <v>348</v>
      </c>
      <c r="D296" s="551">
        <f t="shared" si="244"/>
        <v>27.872081960878486</v>
      </c>
      <c r="E296" s="553">
        <f>$D296/PI()*SQRT('Hilfstabellen_Mat&amp;Bem'!f.Rd.3/'Hilfstabellen_Mat&amp;Bem'!$BD$30)</f>
        <v>0.44359796183362588</v>
      </c>
      <c r="F296" s="553">
        <f>0.5*(1+'Hilfstabellen_Mat&amp;Bem'!$BD$31*($E296-0.3)+$E296^2)</f>
        <v>0.60556947396315475</v>
      </c>
      <c r="G296" s="550">
        <f t="shared" si="245"/>
        <v>0.98250985936329216</v>
      </c>
      <c r="I296" s="551">
        <f t="shared" si="290"/>
        <v>118985.87400833213</v>
      </c>
      <c r="M296" s="546">
        <f t="shared" si="246"/>
        <v>348</v>
      </c>
      <c r="N296" s="551">
        <f t="shared" si="236"/>
        <v>28.867513459481287</v>
      </c>
      <c r="O296" s="553">
        <f>$N296/PI()*SQRT('Hilfstabellen_Mat&amp;Bem'!f.Rd.3/'Hilfstabellen_Mat&amp;Bem'!$BD$30)</f>
        <v>0.45944074618482678</v>
      </c>
      <c r="P296" s="553">
        <f>0.5*(1+'Hilfstabellen_Mat&amp;Bem'!$BD$31*($O296-0.3)+$O296^2)</f>
        <v>0.61351493693667658</v>
      </c>
      <c r="Q296" s="550">
        <f t="shared" si="237"/>
        <v>0.9802920726875779</v>
      </c>
      <c r="S296" s="551">
        <f t="shared" si="291"/>
        <v>118717.29117075643</v>
      </c>
      <c r="W296" s="546">
        <f t="shared" si="247"/>
        <v>348</v>
      </c>
      <c r="X296" s="551">
        <f t="shared" si="238"/>
        <v>29.862944958084093</v>
      </c>
      <c r="Y296" s="553">
        <f>$X296/PI()*SQRT('Hilfstabellen_Mat&amp;Bem'!f.Rd.3/'Hilfstabellen_Mat&amp;Bem'!$BD$30)</f>
        <v>0.47528353053602768</v>
      </c>
      <c r="Z296" s="553">
        <f>0.5*(1+'Hilfstabellen_Mat&amp;Bem'!$BD$31*($Y296-0.3)+$Y296^2)</f>
        <v>0.62171139372619699</v>
      </c>
      <c r="AA296" s="550">
        <f t="shared" si="239"/>
        <v>0.97799616512460363</v>
      </c>
      <c r="AC296" s="551">
        <f t="shared" si="292"/>
        <v>118439.24758125001</v>
      </c>
      <c r="AG296" s="546">
        <f t="shared" si="248"/>
        <v>348</v>
      </c>
      <c r="AH296" s="551">
        <f t="shared" si="240"/>
        <v>30.858376456686891</v>
      </c>
      <c r="AI296" s="553">
        <f>$AH296/PI()*SQRT('Hilfstabellen_Mat&amp;Bem'!f.Rd.3/'Hilfstabellen_Mat&amp;Bem'!$BD$30)</f>
        <v>0.49112631488722852</v>
      </c>
      <c r="AJ296" s="553">
        <f>0.5*(1+'Hilfstabellen_Mat&amp;Bem'!$BD$31*($AI296-0.3)+$AI296^2)</f>
        <v>0.63015884433171598</v>
      </c>
      <c r="AK296" s="550">
        <f t="shared" si="241"/>
        <v>0.97561509123536494</v>
      </c>
      <c r="AM296" s="551">
        <f t="shared" si="293"/>
        <v>118150.89000896763</v>
      </c>
      <c r="AQ296" s="546">
        <f t="shared" si="249"/>
        <v>348</v>
      </c>
      <c r="AR296" s="551">
        <f t="shared" si="242"/>
        <v>31.853807955289692</v>
      </c>
      <c r="AS296" s="553">
        <f>$AR296/PI()*SQRT('Hilfstabellen_Mat&amp;Bem'!f.Rd.3/'Hilfstabellen_Mat&amp;Bem'!$BD$30)</f>
        <v>0.50696909923842948</v>
      </c>
      <c r="AT296" s="553">
        <f>0.5*(1+'Hilfstabellen_Mat&amp;Bem'!$BD$31*($AS296-0.3)+$AS296^2)</f>
        <v>0.63885728875323378</v>
      </c>
      <c r="AU296" s="550">
        <f t="shared" si="243"/>
        <v>0.97314121209794946</v>
      </c>
      <c r="AW296" s="551">
        <f t="shared" si="294"/>
        <v>117851.29334991008</v>
      </c>
      <c r="BA296" s="546">
        <f t="shared" si="250"/>
        <v>348</v>
      </c>
      <c r="BB296" s="551">
        <f t="shared" si="251"/>
        <v>32.849239453892494</v>
      </c>
      <c r="BC296" s="553">
        <f>$BB296/PI()*SQRT('Hilfstabellen_Mat&amp;Bem'!f.Rd.3/'Hilfstabellen_Mat&amp;Bem'!$BD$30)</f>
        <v>0.52281188358963038</v>
      </c>
      <c r="BD296" s="553">
        <f>0.5*(1+'Hilfstabellen_Mat&amp;Bem'!$BD$31*($BC296-0.3)+$BC296^2)</f>
        <v>0.64780672699075015</v>
      </c>
      <c r="BE296" s="550">
        <f t="shared" si="252"/>
        <v>0.97056623328447655</v>
      </c>
      <c r="BG296" s="551">
        <f t="shared" si="253"/>
        <v>117539.45311568325</v>
      </c>
      <c r="BK296" s="546">
        <f t="shared" si="254"/>
        <v>348</v>
      </c>
      <c r="BL296" s="551">
        <f t="shared" si="255"/>
        <v>33.844670952495299</v>
      </c>
      <c r="BM296" s="553">
        <f>$BL296/PI()*SQRT('Hilfstabellen_Mat&amp;Bem'!f.Rd.3/'Hilfstabellen_Mat&amp;Bem'!$BD$30)</f>
        <v>0.53865466794083128</v>
      </c>
      <c r="BN296" s="553">
        <f>0.5*(1+'Hilfstabellen_Mat&amp;Bem'!$BD$31*($BM296-0.3)+$BM296^2)</f>
        <v>0.65700715904426521</v>
      </c>
      <c r="BO296" s="550">
        <f t="shared" si="256"/>
        <v>0.96788113754850136</v>
      </c>
      <c r="BQ296" s="551">
        <f t="shared" si="257"/>
        <v>117214.27728167371</v>
      </c>
      <c r="BU296" s="546">
        <f t="shared" si="258"/>
        <v>348</v>
      </c>
      <c r="BV296" s="551">
        <f t="shared" si="259"/>
        <v>34.840102451098105</v>
      </c>
      <c r="BW296" s="553">
        <f>$BV296/PI()*SQRT('Hilfstabellen_Mat&amp;Bem'!f.Rd.3/'Hilfstabellen_Mat&amp;Bem'!$BD$30)</f>
        <v>0.55449745229203218</v>
      </c>
      <c r="BX296" s="553">
        <f>0.5*(1+'Hilfstabellen_Mat&amp;Bem'!$BD$31*($BW296-0.3)+$BW296^2)</f>
        <v>0.66645858491377896</v>
      </c>
      <c r="BY296" s="550">
        <f t="shared" si="260"/>
        <v>0.96507611221846801</v>
      </c>
      <c r="CA296" s="551">
        <f t="shared" si="261"/>
        <v>116874.57749410535</v>
      </c>
      <c r="CE296" s="546">
        <f t="shared" si="262"/>
        <v>348</v>
      </c>
      <c r="CF296" s="551">
        <f t="shared" si="263"/>
        <v>35.83553394970091</v>
      </c>
      <c r="CG296" s="553">
        <f>CF296/PI()*SQRT('Hilfstabellen_Mat&amp;Bem'!f.Rd.3/'Hilfstabellen_Mat&amp;Bem'!$BD$30)</f>
        <v>0.57034023664323319</v>
      </c>
      <c r="CH296" s="553">
        <f>0.5*(1+'Hilfstabellen_Mat&amp;Bem'!$BD$31*(CG296-0.3)+CG296^2)</f>
        <v>0.67616100459929129</v>
      </c>
      <c r="CI296" s="550">
        <f t="shared" si="264"/>
        <v>0.96214047152100968</v>
      </c>
      <c r="CK296" s="551">
        <f t="shared" si="265"/>
        <v>116519.05966308036</v>
      </c>
      <c r="CO296" s="546">
        <f t="shared" si="266"/>
        <v>348</v>
      </c>
      <c r="CP296" s="551">
        <f t="shared" si="267"/>
        <v>36.830965448303715</v>
      </c>
      <c r="CQ296" s="553">
        <f>CP296/PI()*SQRT('Hilfstabellen_Mat&amp;Bem'!f.Rd.3/'Hilfstabellen_Mat&amp;Bem'!$BD$30)</f>
        <v>0.5861830209944342</v>
      </c>
      <c r="CR296" s="553">
        <f>0.5*(1+'Hilfstabellen_Mat&amp;Bem'!$BD$31*(CQ296-0.3)+CQ296^2)</f>
        <v>0.68611441810080243</v>
      </c>
      <c r="CS296" s="550">
        <f t="shared" si="268"/>
        <v>0.95906257438784626</v>
      </c>
      <c r="CU296" s="551">
        <f t="shared" si="269"/>
        <v>116146.31400866574</v>
      </c>
      <c r="CY296" s="546">
        <f t="shared" si="270"/>
        <v>348</v>
      </c>
      <c r="CZ296" s="551">
        <f t="shared" si="271"/>
        <v>37.826396946906513</v>
      </c>
      <c r="DA296" s="553">
        <f>CZ296/PI()*SQRT('Hilfstabellen_Mat&amp;Bem'!f.Rd.3/'Hilfstabellen_Mat&amp;Bem'!$BD$30)</f>
        <v>0.60202580534563499</v>
      </c>
      <c r="DB296" s="553">
        <f>0.5*(1+'Hilfstabellen_Mat&amp;Bem'!$BD$31*(DA296-0.3)+DA296^2)</f>
        <v>0.69631882541831203</v>
      </c>
      <c r="DC296" s="550">
        <f t="shared" si="272"/>
        <v>0.95582973876485944</v>
      </c>
      <c r="DE296" s="551">
        <f t="shared" si="273"/>
        <v>115754.80468337954</v>
      </c>
      <c r="DI296" s="546">
        <f t="shared" si="274"/>
        <v>348</v>
      </c>
      <c r="DJ296" s="551">
        <f t="shared" si="275"/>
        <v>38.821828445509318</v>
      </c>
      <c r="DK296" s="553">
        <f>DJ296/PI()*SQRT('Hilfstabellen_Mat&amp;Bem'!f.Rd.3/'Hilfstabellen_Mat&amp;Bem'!$BD$30)</f>
        <v>0.617868589696836</v>
      </c>
      <c r="DL296" s="553">
        <f>0.5*(1+'Hilfstabellen_Mat&amp;Bem'!$BD$31*(DK296-0.3)+DK296^2)</f>
        <v>0.70677422655182043</v>
      </c>
      <c r="DM296" s="550">
        <f t="shared" si="276"/>
        <v>0.95242815408258541</v>
      </c>
      <c r="DO296" s="551">
        <f t="shared" si="277"/>
        <v>115342.85917201743</v>
      </c>
      <c r="DS296" s="546">
        <f t="shared" si="278"/>
        <v>348</v>
      </c>
      <c r="DT296" s="551">
        <f t="shared" si="279"/>
        <v>39.817259944112116</v>
      </c>
      <c r="DU296" s="553">
        <f>DT296/PI()*SQRT('Hilfstabellen_Mat&amp;Bem'!f.Rd.3/'Hilfstabellen_Mat&amp;Bem'!$BD$30)</f>
        <v>0.6337113740480369</v>
      </c>
      <c r="DV296" s="553">
        <f>0.5*(1+'Hilfstabellen_Mat&amp;Bem'!$BD$31*(DU296-0.3)+DU296^2)</f>
        <v>0.71748062150132741</v>
      </c>
      <c r="DW296" s="550">
        <f t="shared" si="280"/>
        <v>0.94884279441292885</v>
      </c>
      <c r="DY296" s="551">
        <f t="shared" si="281"/>
        <v>114908.65777458333</v>
      </c>
      <c r="EC296" s="546">
        <f t="shared" si="282"/>
        <v>348</v>
      </c>
      <c r="ED296" s="551">
        <f t="shared" si="283"/>
        <v>40.812691442714922</v>
      </c>
      <c r="EE296" s="553">
        <f>ED296/PI()*SQRT('Hilfstabellen_Mat&amp;Bem'!f.Rd.3/'Hilfstabellen_Mat&amp;Bem'!$BD$30)</f>
        <v>0.6495541583992378</v>
      </c>
      <c r="EF296" s="553">
        <f>0.5*(1+'Hilfstabellen_Mat&amp;Bem'!$BD$31*(EE296-0.3)+EE296^2)</f>
        <v>0.72843801026683286</v>
      </c>
      <c r="EG296" s="550">
        <f t="shared" si="284"/>
        <v>0.94505733598337116</v>
      </c>
      <c r="EI296" s="551">
        <f t="shared" si="285"/>
        <v>114450.22361693018</v>
      </c>
      <c r="EM296" s="546">
        <f t="shared" si="286"/>
        <v>348</v>
      </c>
      <c r="EN296" s="551">
        <f t="shared" si="287"/>
        <v>41.808122941317727</v>
      </c>
      <c r="EO296" s="553">
        <f>EN296/PI()*SQRT('Hilfstabellen_Mat&amp;Bem'!f.Rd.3/'Hilfstabellen_Mat&amp;Bem'!$BD$30)</f>
        <v>0.6653969427504387</v>
      </c>
      <c r="EP296" s="553">
        <f>0.5*(1+'Hilfstabellen_Mat&amp;Bem'!$BD$31*(EO296-0.3)+EO296^2)</f>
        <v>0.73964639284833722</v>
      </c>
      <c r="EQ296" s="550">
        <f t="shared" si="288"/>
        <v>0.94105408420703018</v>
      </c>
      <c r="ES296" s="551">
        <f t="shared" si="289"/>
        <v>113965.41381380818</v>
      </c>
    </row>
    <row r="297" spans="3:149">
      <c r="C297" s="546">
        <v>349</v>
      </c>
      <c r="D297" s="551">
        <f t="shared" si="244"/>
        <v>27.792219261850178</v>
      </c>
      <c r="E297" s="553">
        <f>$D297/PI()*SQRT('Hilfstabellen_Mat&amp;Bem'!f.Rd.3/'Hilfstabellen_Mat&amp;Bem'!$BD$30)</f>
        <v>0.44232690750172426</v>
      </c>
      <c r="F297" s="553">
        <f>0.5*(1+'Hilfstabellen_Mat&amp;Bem'!$BD$31*($E297-0.3)+$E297^2)</f>
        <v>0.60494289192510564</v>
      </c>
      <c r="G297" s="550">
        <f t="shared" si="245"/>
        <v>0.98268460451612571</v>
      </c>
      <c r="I297" s="551">
        <f t="shared" si="290"/>
        <v>119691.96751466863</v>
      </c>
      <c r="M297" s="546">
        <f t="shared" si="246"/>
        <v>349</v>
      </c>
      <c r="N297" s="551">
        <f t="shared" si="236"/>
        <v>28.784798521201971</v>
      </c>
      <c r="O297" s="553">
        <f>$N297/PI()*SQRT('Hilfstabellen_Mat&amp;Bem'!f.Rd.3/'Hilfstabellen_Mat&amp;Bem'!$BD$30)</f>
        <v>0.45812429705535734</v>
      </c>
      <c r="P297" s="553">
        <f>0.5*(1+'Hilfstabellen_Mat&amp;Bem'!$BD$31*($O297-0.3)+$O297^2)</f>
        <v>0.61284515062900047</v>
      </c>
      <c r="Q297" s="550">
        <f t="shared" si="237"/>
        <v>0.98047924178903811</v>
      </c>
      <c r="S297" s="551">
        <f t="shared" si="291"/>
        <v>119423.35212914663</v>
      </c>
      <c r="W297" s="546">
        <f t="shared" si="247"/>
        <v>349</v>
      </c>
      <c r="X297" s="551">
        <f t="shared" si="238"/>
        <v>29.777377780553763</v>
      </c>
      <c r="Y297" s="553">
        <f>$X297/PI()*SQRT('Hilfstabellen_Mat&amp;Bem'!f.Rd.3/'Hilfstabellen_Mat&amp;Bem'!$BD$30)</f>
        <v>0.47392168660899031</v>
      </c>
      <c r="Z297" s="553">
        <f>0.5*(1+'Hilfstabellen_Mat&amp;Bem'!$BD$31*($Y297-0.3)+$Y297^2)</f>
        <v>0.62099696684960459</v>
      </c>
      <c r="AA297" s="550">
        <f t="shared" si="239"/>
        <v>0.97819676280630818</v>
      </c>
      <c r="AC297" s="551">
        <f t="shared" si="292"/>
        <v>119145.34390657114</v>
      </c>
      <c r="AG297" s="546">
        <f t="shared" si="248"/>
        <v>349</v>
      </c>
      <c r="AH297" s="551">
        <f t="shared" si="240"/>
        <v>30.769957039905552</v>
      </c>
      <c r="AI297" s="553">
        <f>$AH297/PI()*SQRT('Hilfstabellen_Mat&amp;Bem'!f.Rd.3/'Hilfstabellen_Mat&amp;Bem'!$BD$30)</f>
        <v>0.48971907616262328</v>
      </c>
      <c r="AJ297" s="553">
        <f>0.5*(1+'Hilfstabellen_Mat&amp;Bem'!$BD$31*($AI297-0.3)+$AI297^2)</f>
        <v>0.62939834058691768</v>
      </c>
      <c r="AK297" s="550">
        <f t="shared" si="241"/>
        <v>0.97583022963875077</v>
      </c>
      <c r="AM297" s="551">
        <f t="shared" si="293"/>
        <v>118857.09780022949</v>
      </c>
      <c r="AQ297" s="546">
        <f t="shared" si="249"/>
        <v>349</v>
      </c>
      <c r="AR297" s="551">
        <f t="shared" si="242"/>
        <v>31.762536299257345</v>
      </c>
      <c r="AS297" s="553">
        <f>$AR297/PI()*SQRT('Hilfstabellen_Mat&amp;Bem'!f.Rd.3/'Hilfstabellen_Mat&amp;Bem'!$BD$30)</f>
        <v>0.5055164657162563</v>
      </c>
      <c r="AT297" s="553">
        <f>0.5*(1+'Hilfstabellen_Mat&amp;Bem'!$BD$31*($AS297-0.3)+$AS297^2)</f>
        <v>0.63804927184094029</v>
      </c>
      <c r="AU297" s="550">
        <f t="shared" si="243"/>
        <v>0.97337212268279616</v>
      </c>
      <c r="AW297" s="551">
        <f t="shared" si="294"/>
        <v>118557.69791488725</v>
      </c>
      <c r="BA297" s="546">
        <f t="shared" si="250"/>
        <v>349</v>
      </c>
      <c r="BB297" s="551">
        <f t="shared" si="251"/>
        <v>32.755115558609141</v>
      </c>
      <c r="BC297" s="553">
        <f>$BB297/PI()*SQRT('Hilfstabellen_Mat&amp;Bem'!f.Rd.3/'Hilfstabellen_Mat&amp;Bem'!$BD$30)</f>
        <v>0.52131385526988938</v>
      </c>
      <c r="BD297" s="553">
        <f>0.5*(1+'Hilfstabellen_Mat&amp;Bem'!$BD$31*($BC297-0.3)+$BC297^2)</f>
        <v>0.64694976061167209</v>
      </c>
      <c r="BE297" s="550">
        <f t="shared" si="252"/>
        <v>0.97081427997117853</v>
      </c>
      <c r="BG297" s="551">
        <f t="shared" si="253"/>
        <v>118246.15011476951</v>
      </c>
      <c r="BK297" s="546">
        <f t="shared" si="254"/>
        <v>349</v>
      </c>
      <c r="BL297" s="551">
        <f t="shared" si="255"/>
        <v>33.747694817960934</v>
      </c>
      <c r="BM297" s="553">
        <f>$BL297/PI()*SQRT('Hilfstabellen_Mat&amp;Bem'!f.Rd.3/'Hilfstabellen_Mat&amp;Bem'!$BD$30)</f>
        <v>0.53711124482352246</v>
      </c>
      <c r="BN297" s="553">
        <f>0.5*(1+'Hilfstabellen_Mat&amp;Bem'!$BD$31*($BM297-0.3)+$BM297^2)</f>
        <v>0.65609980689911307</v>
      </c>
      <c r="BO297" s="550">
        <f t="shared" si="256"/>
        <v>0.96814783129273407</v>
      </c>
      <c r="BQ297" s="551">
        <f t="shared" si="257"/>
        <v>117921.3739992863</v>
      </c>
      <c r="BU297" s="546">
        <f t="shared" si="258"/>
        <v>349</v>
      </c>
      <c r="BV297" s="551">
        <f t="shared" si="259"/>
        <v>34.740274077312726</v>
      </c>
      <c r="BW297" s="553">
        <f>$BV297/PI()*SQRT('Hilfstabellen_Mat&amp;Bem'!f.Rd.3/'Hilfstabellen_Mat&amp;Bem'!$BD$30)</f>
        <v>0.55290863437715543</v>
      </c>
      <c r="BX297" s="553">
        <f>0.5*(1+'Hilfstabellen_Mat&amp;Bem'!$BD$31*($BW297-0.3)+$BW297^2)</f>
        <v>0.66549941070326324</v>
      </c>
      <c r="BY297" s="550">
        <f t="shared" si="260"/>
        <v>0.96536312710065564</v>
      </c>
      <c r="CA297" s="551">
        <f t="shared" si="261"/>
        <v>117582.19424398696</v>
      </c>
      <c r="CE297" s="546">
        <f t="shared" si="262"/>
        <v>349</v>
      </c>
      <c r="CF297" s="551">
        <f t="shared" si="263"/>
        <v>35.732853336664519</v>
      </c>
      <c r="CG297" s="553">
        <f>CF297/PI()*SQRT('Hilfstabellen_Mat&amp;Bem'!f.Rd.3/'Hilfstabellen_Mat&amp;Bem'!$BD$30)</f>
        <v>0.56870602393078851</v>
      </c>
      <c r="CH297" s="553">
        <f>0.5*(1+'Hilfstabellen_Mat&amp;Bem'!$BD$31*(CG297-0.3)+CG297^2)</f>
        <v>0.67514857202412282</v>
      </c>
      <c r="CI297" s="550">
        <f t="shared" si="264"/>
        <v>0.96244966240379315</v>
      </c>
      <c r="CK297" s="551">
        <f t="shared" si="265"/>
        <v>117227.33133044442</v>
      </c>
      <c r="CO297" s="546">
        <f t="shared" si="266"/>
        <v>349</v>
      </c>
      <c r="CP297" s="551">
        <f t="shared" si="267"/>
        <v>36.725432596016304</v>
      </c>
      <c r="CQ297" s="553">
        <f>CP297/PI()*SQRT('Hilfstabellen_Mat&amp;Bem'!f.Rd.3/'Hilfstabellen_Mat&amp;Bem'!$BD$30)</f>
        <v>0.58450341348442136</v>
      </c>
      <c r="CR297" s="553">
        <f>0.5*(1+'Hilfstabellen_Mat&amp;Bem'!$BD$31*(CQ297-0.3)+CQ297^2)</f>
        <v>0.68504729086169125</v>
      </c>
      <c r="CS297" s="550">
        <f t="shared" si="268"/>
        <v>0.95939599614731985</v>
      </c>
      <c r="CU297" s="551">
        <f t="shared" si="269"/>
        <v>116855.3917267397</v>
      </c>
      <c r="CY297" s="546">
        <f t="shared" si="270"/>
        <v>349</v>
      </c>
      <c r="CZ297" s="551">
        <f t="shared" si="271"/>
        <v>37.718011855368097</v>
      </c>
      <c r="DA297" s="553">
        <f>CZ297/PI()*SQRT('Hilfstabellen_Mat&amp;Bem'!f.Rd.3/'Hilfstabellen_Mat&amp;Bem'!$BD$30)</f>
        <v>0.60030080303805444</v>
      </c>
      <c r="DB297" s="553">
        <f>0.5*(1+'Hilfstabellen_Mat&amp;Bem'!$BD$31*(DA297-0.3)+DA297^2)</f>
        <v>0.6951955672159692</v>
      </c>
      <c r="DC297" s="550">
        <f t="shared" si="272"/>
        <v>0.95618966702880281</v>
      </c>
      <c r="DE297" s="551">
        <f t="shared" si="273"/>
        <v>116464.85763377522</v>
      </c>
      <c r="DI297" s="546">
        <f t="shared" si="274"/>
        <v>349</v>
      </c>
      <c r="DJ297" s="551">
        <f t="shared" si="275"/>
        <v>38.71059111471989</v>
      </c>
      <c r="DK297" s="553">
        <f>DJ297/PI()*SQRT('Hilfstabellen_Mat&amp;Bem'!f.Rd.3/'Hilfstabellen_Mat&amp;Bem'!$BD$30)</f>
        <v>0.61609819259168741</v>
      </c>
      <c r="DL297" s="553">
        <f>0.5*(1+'Hilfstabellen_Mat&amp;Bem'!$BD$31*(DK297-0.3)+DK297^2)</f>
        <v>0.70559340108695634</v>
      </c>
      <c r="DM297" s="550">
        <f t="shared" si="276"/>
        <v>0.95281710730251146</v>
      </c>
      <c r="DO297" s="551">
        <f t="shared" si="277"/>
        <v>116054.0764865532</v>
      </c>
      <c r="DS297" s="546">
        <f t="shared" si="278"/>
        <v>349</v>
      </c>
      <c r="DT297" s="551">
        <f t="shared" si="279"/>
        <v>39.703170374071682</v>
      </c>
      <c r="DU297" s="553">
        <f>DT297/PI()*SQRT('Hilfstabellen_Mat&amp;Bem'!f.Rd.3/'Hilfstabellen_Mat&amp;Bem'!$BD$30)</f>
        <v>0.63189558214532049</v>
      </c>
      <c r="DV297" s="553">
        <f>0.5*(1+'Hilfstabellen_Mat&amp;Bem'!$BD$31*(DU297-0.3)+DU297^2)</f>
        <v>0.71624079247465278</v>
      </c>
      <c r="DW297" s="550">
        <f t="shared" si="280"/>
        <v>0.94926355694546627</v>
      </c>
      <c r="DY297" s="551">
        <f t="shared" si="281"/>
        <v>115621.25049951473</v>
      </c>
      <c r="EC297" s="546">
        <f t="shared" si="282"/>
        <v>349</v>
      </c>
      <c r="ED297" s="551">
        <f t="shared" si="283"/>
        <v>40.695749633423475</v>
      </c>
      <c r="EE297" s="553">
        <f>ED297/PI()*SQRT('Hilfstabellen_Mat&amp;Bem'!f.Rd.3/'Hilfstabellen_Mat&amp;Bem'!$BD$30)</f>
        <v>0.64769297169895346</v>
      </c>
      <c r="EF297" s="553">
        <f>0.5*(1+'Hilfstabellen_Mat&amp;Bem'!$BD$31*(EE297-0.3)+EE297^2)</f>
        <v>0.7271377413790584</v>
      </c>
      <c r="EG297" s="550">
        <f t="shared" si="284"/>
        <v>0.94551298164725206</v>
      </c>
      <c r="EI297" s="551">
        <f t="shared" si="285"/>
        <v>115164.42667761695</v>
      </c>
      <c r="EM297" s="546">
        <f t="shared" si="286"/>
        <v>349</v>
      </c>
      <c r="EN297" s="551">
        <f t="shared" si="287"/>
        <v>41.688328892775267</v>
      </c>
      <c r="EO297" s="553">
        <f>EN297/PI()*SQRT('Hilfstabellen_Mat&amp;Bem'!f.Rd.3/'Hilfstabellen_Mat&amp;Bem'!$BD$30)</f>
        <v>0.66349036125258642</v>
      </c>
      <c r="EP297" s="553">
        <f>0.5*(1+'Hilfstabellen_Mat&amp;Bem'!$BD$31*(EO297-0.3)+EO297^2)</f>
        <v>0.73828424780017321</v>
      </c>
      <c r="EQ297" s="550">
        <f t="shared" si="288"/>
        <v>0.94154799949978907</v>
      </c>
      <c r="ES297" s="551">
        <f t="shared" si="289"/>
        <v>114681.4878870738</v>
      </c>
    </row>
    <row r="298" spans="3:149">
      <c r="C298" s="546">
        <v>350</v>
      </c>
      <c r="D298" s="551">
        <f t="shared" si="244"/>
        <v>27.712812921102035</v>
      </c>
      <c r="E298" s="553">
        <f>$D298/PI()*SQRT('Hilfstabellen_Mat&amp;Bem'!f.Rd.3/'Hilfstabellen_Mat&amp;Bem'!$BD$30)</f>
        <v>0.44106311633743367</v>
      </c>
      <c r="F298" s="553">
        <f>0.5*(1+'Hilfstabellen_Mat&amp;Bem'!$BD$31*($E298-0.3)+$E298^2)</f>
        <v>0.60432149211351605</v>
      </c>
      <c r="G298" s="550">
        <f t="shared" si="245"/>
        <v>0.9828578975632668</v>
      </c>
      <c r="I298" s="551">
        <f t="shared" si="290"/>
        <v>120400.09245150018</v>
      </c>
      <c r="M298" s="546">
        <f t="shared" si="246"/>
        <v>350</v>
      </c>
      <c r="N298" s="551">
        <f t="shared" si="236"/>
        <v>28.702556239712823</v>
      </c>
      <c r="O298" s="553">
        <f>$N298/PI()*SQRT('Hilfstabellen_Mat&amp;Bem'!f.Rd.3/'Hilfstabellen_Mat&amp;Bem'!$BD$30)</f>
        <v>0.456815370492342</v>
      </c>
      <c r="P298" s="553">
        <f>0.5*(1+'Hilfstabellen_Mat&amp;Bem'!$BD$31*($O298-0.3)+$O298^2)</f>
        <v>0.61218090988364493</v>
      </c>
      <c r="Q298" s="550">
        <f t="shared" si="237"/>
        <v>0.98066481069680622</v>
      </c>
      <c r="S298" s="551">
        <f t="shared" si="291"/>
        <v>120131.43931035876</v>
      </c>
      <c r="W298" s="546">
        <f t="shared" si="247"/>
        <v>350</v>
      </c>
      <c r="X298" s="551">
        <f t="shared" si="238"/>
        <v>29.692299558323608</v>
      </c>
      <c r="Y298" s="553">
        <f>$X298/PI()*SQRT('Hilfstabellen_Mat&amp;Bem'!f.Rd.3/'Hilfstabellen_Mat&amp;Bem'!$BD$30)</f>
        <v>0.47256762464725033</v>
      </c>
      <c r="Z298" s="553">
        <f>0.5*(1+'Hilfstabellen_Mat&amp;Bem'!$BD$31*($Y298-0.3)+$Y298^2)</f>
        <v>0.62028846116473479</v>
      </c>
      <c r="AA298" s="550">
        <f t="shared" si="239"/>
        <v>0.97839559524542719</v>
      </c>
      <c r="AC298" s="551">
        <f t="shared" si="292"/>
        <v>119853.46041756483</v>
      </c>
      <c r="AG298" s="546">
        <f t="shared" si="248"/>
        <v>350</v>
      </c>
      <c r="AH298" s="551">
        <f t="shared" si="240"/>
        <v>30.682042876934396</v>
      </c>
      <c r="AI298" s="553">
        <f>$AH298/PI()*SQRT('Hilfstabellen_Mat&amp;Bem'!f.Rd.3/'Hilfstabellen_Mat&amp;Bem'!$BD$30)</f>
        <v>0.48831987880215871</v>
      </c>
      <c r="AJ298" s="553">
        <f>0.5*(1+'Hilfstabellen_Mat&amp;Bem'!$BD$31*($AI298-0.3)+$AI298^2)</f>
        <v>0.62864414595678542</v>
      </c>
      <c r="AK298" s="550">
        <f t="shared" si="241"/>
        <v>0.97604341863540134</v>
      </c>
      <c r="AM298" s="551">
        <f t="shared" si="293"/>
        <v>119565.31878283666</v>
      </c>
      <c r="AQ298" s="546">
        <f t="shared" si="249"/>
        <v>350</v>
      </c>
      <c r="AR298" s="551">
        <f t="shared" si="242"/>
        <v>31.671786195545181</v>
      </c>
      <c r="AS298" s="553">
        <f>$AR298/PI()*SQRT('Hilfstabellen_Mat&amp;Bem'!f.Rd.3/'Hilfstabellen_Mat&amp;Bem'!$BD$30)</f>
        <v>0.50407213295706699</v>
      </c>
      <c r="AT298" s="553">
        <f>0.5*(1+'Hilfstabellen_Mat&amp;Bem'!$BD$31*($AS298-0.3)+$AS298^2)</f>
        <v>0.63724796425979691</v>
      </c>
      <c r="AU298" s="550">
        <f t="shared" si="243"/>
        <v>0.97360087815102569</v>
      </c>
      <c r="AW298" s="551">
        <f t="shared" si="294"/>
        <v>119266.10757350065</v>
      </c>
      <c r="BA298" s="546">
        <f t="shared" si="250"/>
        <v>350</v>
      </c>
      <c r="BB298" s="551">
        <f t="shared" si="251"/>
        <v>32.661529514155973</v>
      </c>
      <c r="BC298" s="553">
        <f>$BB298/PI()*SQRT('Hilfstabellen_Mat&amp;Bem'!f.Rd.3/'Hilfstabellen_Mat&amp;Bem'!$BD$30)</f>
        <v>0.51982438711197543</v>
      </c>
      <c r="BD298" s="553">
        <f>0.5*(1+'Hilfstabellen_Mat&amp;Bem'!$BD$31*($BC298-0.3)+$BC298^2)</f>
        <v>0.64609991607376926</v>
      </c>
      <c r="BE298" s="550">
        <f t="shared" si="252"/>
        <v>0.9710599415474287</v>
      </c>
      <c r="BG298" s="551">
        <f t="shared" si="253"/>
        <v>118954.84283956002</v>
      </c>
      <c r="BK298" s="546">
        <f t="shared" si="254"/>
        <v>350</v>
      </c>
      <c r="BL298" s="551">
        <f t="shared" si="255"/>
        <v>33.651272832766757</v>
      </c>
      <c r="BM298" s="553">
        <f>$BL298/PI()*SQRT('Hilfstabellen_Mat&amp;Bem'!f.Rd.3/'Hilfstabellen_Mat&amp;Bem'!$BD$30)</f>
        <v>0.53557664126688376</v>
      </c>
      <c r="BN298" s="553">
        <f>0.5*(1+'Hilfstabellen_Mat&amp;Bem'!$BD$31*($BM298-0.3)+$BM298^2)</f>
        <v>0.65520000139870227</v>
      </c>
      <c r="BO298" s="550">
        <f t="shared" si="256"/>
        <v>0.96841188257012201</v>
      </c>
      <c r="BQ298" s="551">
        <f t="shared" si="257"/>
        <v>118630.45561483994</v>
      </c>
      <c r="BU298" s="546">
        <f t="shared" si="258"/>
        <v>350</v>
      </c>
      <c r="BV298" s="551">
        <f t="shared" si="259"/>
        <v>34.641016151377542</v>
      </c>
      <c r="BW298" s="553">
        <f>$BV298/PI()*SQRT('Hilfstabellen_Mat&amp;Bem'!f.Rd.3/'Hilfstabellen_Mat&amp;Bem'!$BD$30)</f>
        <v>0.55132889542179198</v>
      </c>
      <c r="BX298" s="553">
        <f>0.5*(1+'Hilfstabellen_Mat&amp;Bem'!$BD$31*($BW298-0.3)+$BW298^2)</f>
        <v>0.66454822023459625</v>
      </c>
      <c r="BY298" s="550">
        <f t="shared" si="260"/>
        <v>0.96564721134572118</v>
      </c>
      <c r="CA298" s="551">
        <f t="shared" si="261"/>
        <v>118291.78338985084</v>
      </c>
      <c r="CE298" s="546">
        <f t="shared" si="262"/>
        <v>350</v>
      </c>
      <c r="CF298" s="551">
        <f t="shared" si="263"/>
        <v>35.630759469988334</v>
      </c>
      <c r="CG298" s="553">
        <f>CF298/PI()*SQRT('Hilfstabellen_Mat&amp;Bem'!f.Rd.3/'Hilfstabellen_Mat&amp;Bem'!$BD$30)</f>
        <v>0.56708114957670042</v>
      </c>
      <c r="CH298" s="553">
        <f>0.5*(1+'Hilfstabellen_Mat&amp;Bem'!$BD$31*(CG298-0.3)+CG298^2)</f>
        <v>0.674144572581451</v>
      </c>
      <c r="CI298" s="550">
        <f t="shared" si="264"/>
        <v>0.96275559981125136</v>
      </c>
      <c r="CK298" s="551">
        <f t="shared" si="265"/>
        <v>117937.56097687829</v>
      </c>
      <c r="CO298" s="546">
        <f t="shared" si="266"/>
        <v>350</v>
      </c>
      <c r="CP298" s="551">
        <f t="shared" si="267"/>
        <v>36.620502788599119</v>
      </c>
      <c r="CQ298" s="553">
        <f>CP298/PI()*SQRT('Hilfstabellen_Mat&amp;Bem'!f.Rd.3/'Hilfstabellen_Mat&amp;Bem'!$BD$30)</f>
        <v>0.58283340373160875</v>
      </c>
      <c r="CR298" s="553">
        <f>0.5*(1+'Hilfstabellen_Mat&amp;Bem'!$BD$31*(CQ298-0.3)+CQ298^2)</f>
        <v>0.68398905843926661</v>
      </c>
      <c r="CS298" s="550">
        <f t="shared" si="268"/>
        <v>0.95972580264398</v>
      </c>
      <c r="CU298" s="551">
        <f t="shared" si="269"/>
        <v>117566.41082388755</v>
      </c>
      <c r="CY298" s="546">
        <f t="shared" si="270"/>
        <v>350</v>
      </c>
      <c r="CZ298" s="551">
        <f t="shared" si="271"/>
        <v>37.610246107209903</v>
      </c>
      <c r="DA298" s="553">
        <f>CZ298/PI()*SQRT('Hilfstabellen_Mat&amp;Bem'!f.Rd.3/'Hilfstabellen_Mat&amp;Bem'!$BD$30)</f>
        <v>0.59858565788651708</v>
      </c>
      <c r="DB298" s="553">
        <f>0.5*(1+'Hilfstabellen_Mat&amp;Bem'!$BD$31*(DA298-0.3)+DA298^2)</f>
        <v>0.69408167780804308</v>
      </c>
      <c r="DC298" s="550">
        <f t="shared" si="272"/>
        <v>0.95654557456972933</v>
      </c>
      <c r="DE298" s="551">
        <f t="shared" si="273"/>
        <v>117176.83288479185</v>
      </c>
      <c r="DI298" s="546">
        <f t="shared" si="274"/>
        <v>350</v>
      </c>
      <c r="DJ298" s="551">
        <f t="shared" si="275"/>
        <v>38.599989425820688</v>
      </c>
      <c r="DK298" s="553">
        <f>DJ298/PI()*SQRT('Hilfstabellen_Mat&amp;Bem'!f.Rd.3/'Hilfstabellen_Mat&amp;Bem'!$BD$30)</f>
        <v>0.6143379120414254</v>
      </c>
      <c r="DL298" s="553">
        <f>0.5*(1+'Hilfstabellen_Mat&amp;Bem'!$BD$31*(DK298-0.3)+DK298^2)</f>
        <v>0.70442243068778032</v>
      </c>
      <c r="DM298" s="550">
        <f t="shared" si="276"/>
        <v>0.95320158550230105</v>
      </c>
      <c r="DO298" s="551">
        <f t="shared" si="277"/>
        <v>116767.19422403187</v>
      </c>
      <c r="DS298" s="546">
        <f t="shared" si="278"/>
        <v>350</v>
      </c>
      <c r="DT298" s="551">
        <f t="shared" si="279"/>
        <v>39.58973274443148</v>
      </c>
      <c r="DU298" s="553">
        <f>DT298/PI()*SQRT('Hilfstabellen_Mat&amp;Bem'!f.Rd.3/'Hilfstabellen_Mat&amp;Bem'!$BD$30)</f>
        <v>0.63009016619633385</v>
      </c>
      <c r="DV298" s="553">
        <f>0.5*(1+'Hilfstabellen_Mat&amp;Bem'!$BD$31*(DU298-0.3)+DU298^2)</f>
        <v>0.71501131707847843</v>
      </c>
      <c r="DW298" s="550">
        <f t="shared" si="280"/>
        <v>0.94967933574484364</v>
      </c>
      <c r="DY298" s="551">
        <f t="shared" si="281"/>
        <v>116335.71862874334</v>
      </c>
      <c r="EC298" s="546">
        <f t="shared" si="282"/>
        <v>350</v>
      </c>
      <c r="ED298" s="551">
        <f t="shared" si="283"/>
        <v>40.579476063042264</v>
      </c>
      <c r="EE298" s="553">
        <f>ED298/PI()*SQRT('Hilfstabellen_Mat&amp;Bem'!f.Rd.3/'Hilfstabellen_Mat&amp;Bem'!$BD$30)</f>
        <v>0.64584242035124217</v>
      </c>
      <c r="EF298" s="553">
        <f>0.5*(1+'Hilfstabellen_Mat&amp;Bem'!$BD$31*(EE298-0.3)+EE298^2)</f>
        <v>0.7258483369801374</v>
      </c>
      <c r="EG298" s="550">
        <f t="shared" si="284"/>
        <v>0.94596307451743766</v>
      </c>
      <c r="EI298" s="551">
        <f t="shared" si="285"/>
        <v>115880.47662838611</v>
      </c>
      <c r="EM298" s="546">
        <f t="shared" si="286"/>
        <v>350</v>
      </c>
      <c r="EN298" s="551">
        <f t="shared" si="287"/>
        <v>41.569219381653056</v>
      </c>
      <c r="EO298" s="553">
        <f>EN298/PI()*SQRT('Hilfstabellen_Mat&amp;Bem'!f.Rd.3/'Hilfstabellen_Mat&amp;Bem'!$BD$30)</f>
        <v>0.6615946745061505</v>
      </c>
      <c r="EP298" s="553">
        <f>0.5*(1+'Hilfstabellen_Mat&amp;Bem'!$BD$31*(EO298-0.3)+EO298^2)</f>
        <v>0.73693349039275713</v>
      </c>
      <c r="EQ298" s="550">
        <f t="shared" si="288"/>
        <v>0.94203572641994926</v>
      </c>
      <c r="ES298" s="551">
        <f t="shared" si="289"/>
        <v>115399.37648644378</v>
      </c>
    </row>
    <row r="299" spans="3:149">
      <c r="C299" s="546">
        <v>351</v>
      </c>
      <c r="D299" s="551">
        <f t="shared" si="244"/>
        <v>27.633859038135935</v>
      </c>
      <c r="E299" s="553">
        <f>$D299/PI()*SQRT('Hilfstabellen_Mat&amp;Bem'!f.Rd.3/'Hilfstabellen_Mat&amp;Bem'!$BD$30)</f>
        <v>0.43980652626239825</v>
      </c>
      <c r="F299" s="553">
        <f>0.5*(1+'Hilfstabellen_Mat&amp;Bem'!$BD$31*($E299-0.3)+$E299^2)</f>
        <v>0.60370521658461873</v>
      </c>
      <c r="G299" s="550">
        <f t="shared" si="245"/>
        <v>0.98302975790007963</v>
      </c>
      <c r="I299" s="551">
        <f t="shared" si="290"/>
        <v>121110.24920304772</v>
      </c>
      <c r="M299" s="546">
        <f t="shared" si="246"/>
        <v>351</v>
      </c>
      <c r="N299" s="551">
        <f t="shared" si="236"/>
        <v>28.620782575212214</v>
      </c>
      <c r="O299" s="553">
        <f>$N299/PI()*SQRT('Hilfstabellen_Mat&amp;Bem'!f.Rd.3/'Hilfstabellen_Mat&amp;Bem'!$BD$30)</f>
        <v>0.45551390220034094</v>
      </c>
      <c r="P299" s="553">
        <f>0.5*(1+'Hilfstabellen_Mat&amp;Bem'!$BD$31*($O299-0.3)+$O299^2)</f>
        <v>0.61152215265890797</v>
      </c>
      <c r="Q299" s="550">
        <f t="shared" si="237"/>
        <v>0.98084880135532981</v>
      </c>
      <c r="S299" s="551">
        <f t="shared" si="291"/>
        <v>120841.55317577798</v>
      </c>
      <c r="W299" s="546">
        <f t="shared" si="247"/>
        <v>351</v>
      </c>
      <c r="X299" s="551">
        <f t="shared" si="238"/>
        <v>29.607706112288497</v>
      </c>
      <c r="Y299" s="553">
        <f>$X299/PI()*SQRT('Hilfstabellen_Mat&amp;Bem'!f.Rd.3/'Hilfstabellen_Mat&amp;Bem'!$BD$30)</f>
        <v>0.47122127813828379</v>
      </c>
      <c r="Z299" s="553">
        <f>0.5*(1+'Hilfstabellen_Mat&amp;Bem'!$BD$31*($Y299-0.3)+$Y299^2)</f>
        <v>0.61958581039205318</v>
      </c>
      <c r="AA299" s="550">
        <f t="shared" si="239"/>
        <v>0.97859268729378046</v>
      </c>
      <c r="AC299" s="551">
        <f t="shared" si="292"/>
        <v>120563.59766728105</v>
      </c>
      <c r="AG299" s="546">
        <f t="shared" si="248"/>
        <v>351</v>
      </c>
      <c r="AH299" s="551">
        <f t="shared" si="240"/>
        <v>30.594629649364784</v>
      </c>
      <c r="AI299" s="553">
        <f>$AH299/PI()*SQRT('Hilfstabellen_Mat&amp;Bem'!f.Rd.3/'Hilfstabellen_Mat&amp;Bem'!$BD$30)</f>
        <v>0.4869286540762266</v>
      </c>
      <c r="AJ299" s="553">
        <f>0.5*(1+'Hilfstabellen_Mat&amp;Bem'!$BD$31*($AI299-0.3)+$AI299^2)</f>
        <v>0.62789618978405404</v>
      </c>
      <c r="AK299" s="550">
        <f t="shared" si="241"/>
        <v>0.97625468639499136</v>
      </c>
      <c r="AM299" s="551">
        <f t="shared" si="293"/>
        <v>120275.55361854933</v>
      </c>
      <c r="AQ299" s="546">
        <f t="shared" si="249"/>
        <v>351</v>
      </c>
      <c r="AR299" s="551">
        <f t="shared" si="242"/>
        <v>31.581553186441067</v>
      </c>
      <c r="AS299" s="553">
        <f>$AR299/PI()*SQRT('Hilfstabellen_Mat&amp;Bem'!f.Rd.3/'Hilfstabellen_Mat&amp;Bem'!$BD$30)</f>
        <v>0.50263603001416945</v>
      </c>
      <c r="AT299" s="553">
        <f>0.5*(1+'Hilfstabellen_Mat&amp;Bem'!$BD$31*($AS299-0.3)+$AS299^2)</f>
        <v>0.63645329083491098</v>
      </c>
      <c r="AU299" s="550">
        <f t="shared" si="243"/>
        <v>0.97382751046013316</v>
      </c>
      <c r="AW299" s="551">
        <f t="shared" si="294"/>
        <v>119976.52311619886</v>
      </c>
      <c r="BA299" s="546">
        <f t="shared" si="250"/>
        <v>351</v>
      </c>
      <c r="BB299" s="551">
        <f t="shared" si="251"/>
        <v>32.56847672351735</v>
      </c>
      <c r="BC299" s="553">
        <f>$BB299/PI()*SQRT('Hilfstabellen_Mat&amp;Bem'!f.Rd.3/'Hilfstabellen_Mat&amp;Bem'!$BD$30)</f>
        <v>0.51834340595211215</v>
      </c>
      <c r="BD299" s="553">
        <f>0.5*(1+'Hilfstabellen_Mat&amp;Bem'!$BD$31*($BC299-0.3)+$BC299^2)</f>
        <v>0.64525711354462367</v>
      </c>
      <c r="BE299" s="550">
        <f t="shared" si="252"/>
        <v>0.97130325429603914</v>
      </c>
      <c r="BG299" s="551">
        <f t="shared" si="253"/>
        <v>119665.53223252631</v>
      </c>
      <c r="BK299" s="546">
        <f t="shared" si="254"/>
        <v>351</v>
      </c>
      <c r="BL299" s="551">
        <f t="shared" si="255"/>
        <v>33.555400260593636</v>
      </c>
      <c r="BM299" s="553">
        <f>$BL299/PI()*SQRT('Hilfstabellen_Mat&amp;Bem'!f.Rd.3/'Hilfstabellen_Mat&amp;Bem'!$BD$30)</f>
        <v>0.53405078189005506</v>
      </c>
      <c r="BN299" s="553">
        <f>0.5*(1+'Hilfstabellen_Mat&amp;Bem'!$BD$31*($BM299-0.3)+$BM299^2)</f>
        <v>0.65430765791319234</v>
      </c>
      <c r="BO299" s="550">
        <f t="shared" si="256"/>
        <v>0.96867333260256505</v>
      </c>
      <c r="BQ299" s="551">
        <f t="shared" si="257"/>
        <v>119341.52324996861</v>
      </c>
      <c r="BU299" s="546">
        <f t="shared" si="258"/>
        <v>351</v>
      </c>
      <c r="BV299" s="551">
        <f t="shared" si="259"/>
        <v>34.542323797669916</v>
      </c>
      <c r="BW299" s="553">
        <f>$BV299/PI()*SQRT('Hilfstabellen_Mat&amp;Bem'!f.Rd.3/'Hilfstabellen_Mat&amp;Bem'!$BD$30)</f>
        <v>0.54975815782799786</v>
      </c>
      <c r="BX299" s="553">
        <f>0.5*(1+'Hilfstabellen_Mat&amp;Bem'!$BD$31*($BW299-0.3)+$BW299^2)</f>
        <v>0.66360492394061676</v>
      </c>
      <c r="BY299" s="550">
        <f t="shared" si="260"/>
        <v>0.96592841181397282</v>
      </c>
      <c r="CA299" s="551">
        <f t="shared" si="261"/>
        <v>119003.34626389327</v>
      </c>
      <c r="CE299" s="546">
        <f t="shared" si="262"/>
        <v>351</v>
      </c>
      <c r="CF299" s="551">
        <f t="shared" si="263"/>
        <v>35.529247334746202</v>
      </c>
      <c r="CG299" s="553">
        <f>CF299/PI()*SQRT('Hilfstabellen_Mat&amp;Bem'!f.Rd.3/'Hilfstabellen_Mat&amp;Bem'!$BD$30)</f>
        <v>0.56546553376594066</v>
      </c>
      <c r="CH299" s="553">
        <f>0.5*(1+'Hilfstabellen_Mat&amp;Bem'!$BD$31*(CG299-0.3)+CG299^2)</f>
        <v>0.67314891162689716</v>
      </c>
      <c r="CI299" s="550">
        <f t="shared" si="264"/>
        <v>0.96305833703650445</v>
      </c>
      <c r="CK299" s="551">
        <f t="shared" si="265"/>
        <v>118649.75018123438</v>
      </c>
      <c r="CO299" s="546">
        <f t="shared" si="266"/>
        <v>351</v>
      </c>
      <c r="CP299" s="551">
        <f t="shared" si="267"/>
        <v>36.516170871822482</v>
      </c>
      <c r="CQ299" s="553">
        <f>CP299/PI()*SQRT('Hilfstabellen_Mat&amp;Bem'!f.Rd.3/'Hilfstabellen_Mat&amp;Bem'!$BD$30)</f>
        <v>0.58117290970388336</v>
      </c>
      <c r="CR299" s="553">
        <f>0.5*(1+'Hilfstabellen_Mat&amp;Bem'!$BD$31*(CQ299-0.3)+CQ299^2)</f>
        <v>0.68293962097203331</v>
      </c>
      <c r="CS299" s="550">
        <f t="shared" si="268"/>
        <v>0.96005205450258957</v>
      </c>
      <c r="CU299" s="551">
        <f t="shared" si="269"/>
        <v>118279.37316677354</v>
      </c>
      <c r="CY299" s="546">
        <f t="shared" si="270"/>
        <v>351</v>
      </c>
      <c r="CZ299" s="551">
        <f t="shared" si="271"/>
        <v>37.503094408898761</v>
      </c>
      <c r="DA299" s="553">
        <f>CZ299/PI()*SQRT('Hilfstabellen_Mat&amp;Bem'!f.Rd.3/'Hilfstabellen_Mat&amp;Bem'!$BD$30)</f>
        <v>0.59688028564182616</v>
      </c>
      <c r="DB299" s="553">
        <f>0.5*(1+'Hilfstabellen_Mat&amp;Bem'!$BD$31*(DA299-0.3)+DA299^2)</f>
        <v>0.69297705197602522</v>
      </c>
      <c r="DC299" s="550">
        <f t="shared" si="272"/>
        <v>0.95689753035568659</v>
      </c>
      <c r="DE299" s="551">
        <f t="shared" si="273"/>
        <v>117890.73263735094</v>
      </c>
      <c r="DI299" s="546">
        <f t="shared" si="274"/>
        <v>351</v>
      </c>
      <c r="DJ299" s="551">
        <f t="shared" si="275"/>
        <v>38.490017945975048</v>
      </c>
      <c r="DK299" s="553">
        <f>DJ299/PI()*SQRT('Hilfstabellen_Mat&amp;Bem'!f.Rd.3/'Hilfstabellen_Mat&amp;Bem'!$BD$30)</f>
        <v>0.61258766157976896</v>
      </c>
      <c r="DL299" s="553">
        <f>0.5*(1+'Hilfstabellen_Mat&amp;Bem'!$BD$31*(DK299-0.3)+DK299^2)</f>
        <v>0.70326120463887321</v>
      </c>
      <c r="DM299" s="550">
        <f t="shared" si="276"/>
        <v>0.95358166712411119</v>
      </c>
      <c r="DO299" s="551">
        <f t="shared" si="277"/>
        <v>117482.21497135762</v>
      </c>
      <c r="DS299" s="546">
        <f t="shared" si="278"/>
        <v>351</v>
      </c>
      <c r="DT299" s="551">
        <f t="shared" si="279"/>
        <v>39.476941483051334</v>
      </c>
      <c r="DU299" s="553">
        <f>DT299/PI()*SQRT('Hilfstabellen_Mat&amp;Bem'!f.Rd.3/'Hilfstabellen_Mat&amp;Bem'!$BD$30)</f>
        <v>0.62829503751771176</v>
      </c>
      <c r="DV299" s="553">
        <f>0.5*(1+'Hilfstabellen_Mat&amp;Bem'!$BD$31*(DU299-0.3)+DU299^2)</f>
        <v>0.71379207896057695</v>
      </c>
      <c r="DW299" s="550">
        <f t="shared" si="280"/>
        <v>0.95009021998009779</v>
      </c>
      <c r="DY299" s="551">
        <f t="shared" si="281"/>
        <v>117052.06519176802</v>
      </c>
      <c r="EC299" s="546">
        <f t="shared" si="282"/>
        <v>351</v>
      </c>
      <c r="ED299" s="551">
        <f t="shared" si="283"/>
        <v>40.463865020127614</v>
      </c>
      <c r="EE299" s="553">
        <f>ED299/PI()*SQRT('Hilfstabellen_Mat&amp;Bem'!f.Rd.3/'Hilfstabellen_Mat&amp;Bem'!$BD$30)</f>
        <v>0.64400241345565457</v>
      </c>
      <c r="EF299" s="553">
        <f>0.5*(1+'Hilfstabellen_Mat&amp;Bem'!$BD$31*(EE299-0.3)+EE299^2)</f>
        <v>0.72456967494113667</v>
      </c>
      <c r="EG299" s="550">
        <f t="shared" si="284"/>
        <v>0.94640771586151806</v>
      </c>
      <c r="EI299" s="551">
        <f t="shared" si="285"/>
        <v>116598.37700185488</v>
      </c>
      <c r="EM299" s="546">
        <f t="shared" si="286"/>
        <v>351</v>
      </c>
      <c r="EN299" s="551">
        <f t="shared" si="287"/>
        <v>41.4507885572039</v>
      </c>
      <c r="EO299" s="553">
        <f>EN299/PI()*SQRT('Hilfstabellen_Mat&amp;Bem'!f.Rd.3/'Hilfstabellen_Mat&amp;Bem'!$BD$30)</f>
        <v>0.65970978939359737</v>
      </c>
      <c r="EP299" s="553">
        <f>0.5*(1+'Hilfstabellen_Mat&amp;Bem'!$BD$31*(EO299-0.3)+EO299^2)</f>
        <v>0.73559399258055214</v>
      </c>
      <c r="EQ299" s="550">
        <f t="shared" si="288"/>
        <v>0.9425173798123988</v>
      </c>
      <c r="ES299" s="551">
        <f t="shared" si="289"/>
        <v>116119.08371026734</v>
      </c>
    </row>
    <row r="300" spans="3:149">
      <c r="C300" s="546">
        <v>352</v>
      </c>
      <c r="D300" s="551">
        <f t="shared" si="244"/>
        <v>27.555353756777592</v>
      </c>
      <c r="E300" s="553">
        <f>$D300/PI()*SQRT('Hilfstabellen_Mat&amp;Bem'!f.Rd.3/'Hilfstabellen_Mat&amp;Bem'!$BD$30)</f>
        <v>0.43855707590369825</v>
      </c>
      <c r="F300" s="553">
        <f>0.5*(1+'Hilfstabellen_Mat&amp;Bem'!$BD$31*($E300-0.3)+$E300^2)</f>
        <v>0.60309400820778603</v>
      </c>
      <c r="G300" s="550">
        <f t="shared" si="245"/>
        <v>0.9832002045684155</v>
      </c>
      <c r="I300" s="551">
        <f t="shared" si="290"/>
        <v>121822.43814684496</v>
      </c>
      <c r="M300" s="546">
        <f t="shared" si="246"/>
        <v>352</v>
      </c>
      <c r="N300" s="551">
        <f t="shared" si="236"/>
        <v>28.53947353380536</v>
      </c>
      <c r="O300" s="553">
        <f>$N300/PI()*SQRT('Hilfstabellen_Mat&amp;Bem'!f.Rd.3/'Hilfstabellen_Mat&amp;Bem'!$BD$30)</f>
        <v>0.45421982861454452</v>
      </c>
      <c r="P300" s="553">
        <f>0.5*(1+'Hilfstabellen_Mat&amp;Bem'!$BD$31*($O300-0.3)+$O300^2)</f>
        <v>0.61086881778404023</v>
      </c>
      <c r="Q300" s="550">
        <f t="shared" si="237"/>
        <v>0.98103123529983005</v>
      </c>
      <c r="S300" s="551">
        <f t="shared" si="291"/>
        <v>121553.69417859014</v>
      </c>
      <c r="W300" s="546">
        <f t="shared" si="247"/>
        <v>352</v>
      </c>
      <c r="X300" s="551">
        <f t="shared" si="238"/>
        <v>29.523593310833135</v>
      </c>
      <c r="Y300" s="553">
        <f>$X300/PI()*SQRT('Hilfstabellen_Mat&amp;Bem'!f.Rd.3/'Hilfstabellen_Mat&amp;Bem'!$BD$30)</f>
        <v>0.46988258132539101</v>
      </c>
      <c r="Z300" s="553">
        <f>0.5*(1+'Hilfstabellen_Mat&amp;Bem'!$BD$31*($Y300-0.3)+$Y300^2)</f>
        <v>0.61888894918277593</v>
      </c>
      <c r="AA300" s="550">
        <f t="shared" si="239"/>
        <v>0.97878806332920421</v>
      </c>
      <c r="AC300" s="551">
        <f t="shared" si="292"/>
        <v>121275.75619874171</v>
      </c>
      <c r="AG300" s="546">
        <f t="shared" si="248"/>
        <v>352</v>
      </c>
      <c r="AH300" s="551">
        <f t="shared" si="240"/>
        <v>30.507713087860903</v>
      </c>
      <c r="AI300" s="553">
        <f>$AH300/PI()*SQRT('Hilfstabellen_Mat&amp;Bem'!f.Rd.3/'Hilfstabellen_Mat&amp;Bem'!$BD$30)</f>
        <v>0.48554533403623729</v>
      </c>
      <c r="AJ300" s="553">
        <f>0.5*(1+'Hilfstabellen_Mat&amp;Bem'!$BD$31*($AI300-0.3)+$AI300^2)</f>
        <v>0.62715440240399245</v>
      </c>
      <c r="AK300" s="550">
        <f t="shared" si="241"/>
        <v>0.97646406053795143</v>
      </c>
      <c r="AM300" s="551">
        <f t="shared" si="293"/>
        <v>120987.80295689433</v>
      </c>
      <c r="AQ300" s="546">
        <f t="shared" si="249"/>
        <v>352</v>
      </c>
      <c r="AR300" s="551">
        <f t="shared" si="242"/>
        <v>31.491832864888679</v>
      </c>
      <c r="AS300" s="553">
        <f>$AR300/PI()*SQRT('Hilfstabellen_Mat&amp;Bem'!f.Rd.3/'Hilfstabellen_Mat&amp;Bem'!$BD$30)</f>
        <v>0.50120808674708373</v>
      </c>
      <c r="AT300" s="553">
        <f>0.5*(1+'Hilfstabellen_Mat&amp;Bem'!$BD$31*($AS300-0.3)+$AS300^2)</f>
        <v>0.63566517744769035</v>
      </c>
      <c r="AU300" s="550">
        <f t="shared" si="243"/>
        <v>0.97405205093094493</v>
      </c>
      <c r="AW300" s="551">
        <f t="shared" si="294"/>
        <v>120688.94531854781</v>
      </c>
      <c r="BA300" s="546">
        <f t="shared" si="250"/>
        <v>352</v>
      </c>
      <c r="BB300" s="551">
        <f t="shared" si="251"/>
        <v>32.47595264191645</v>
      </c>
      <c r="BC300" s="553">
        <f>$BB300/PI()*SQRT('Hilfstabellen_Mat&amp;Bem'!f.Rd.3/'Hilfstabellen_Mat&amp;Bem'!$BD$30)</f>
        <v>0.51687083945793011</v>
      </c>
      <c r="BD300" s="553">
        <f>0.5*(1+'Hilfstabellen_Mat&amp;Bem'!$BD$31*($BC300-0.3)+$BC300^2)</f>
        <v>0.6444212743138692</v>
      </c>
      <c r="BE300" s="550">
        <f t="shared" si="252"/>
        <v>0.97154425376167808</v>
      </c>
      <c r="BG300" s="551">
        <f t="shared" si="253"/>
        <v>120378.21921808696</v>
      </c>
      <c r="BK300" s="546">
        <f t="shared" si="254"/>
        <v>352</v>
      </c>
      <c r="BL300" s="551">
        <f t="shared" si="255"/>
        <v>33.460072418944215</v>
      </c>
      <c r="BM300" s="553">
        <f>$BL300/PI()*SQRT('Hilfstabellen_Mat&amp;Bem'!f.Rd.3/'Hilfstabellen_Mat&amp;Bem'!$BD$30)</f>
        <v>0.53253359216877638</v>
      </c>
      <c r="BN300" s="553">
        <f>0.5*(1+'Hilfstabellen_Mat&amp;Bem'!$BD$31*($BM300-0.3)+$BM300^2)</f>
        <v>0.65342269300252909</v>
      </c>
      <c r="BO300" s="550">
        <f t="shared" si="256"/>
        <v>0.96893222175616822</v>
      </c>
      <c r="BQ300" s="551">
        <f t="shared" si="257"/>
        <v>120054.57800447627</v>
      </c>
      <c r="BU300" s="546">
        <f t="shared" si="258"/>
        <v>352</v>
      </c>
      <c r="BV300" s="551">
        <f t="shared" si="259"/>
        <v>34.444192195971993</v>
      </c>
      <c r="BW300" s="553">
        <f>$BV300/PI()*SQRT('Hilfstabellen_Mat&amp;Bem'!f.Rd.3/'Hilfstabellen_Mat&amp;Bem'!$BD$30)</f>
        <v>0.54819634487962288</v>
      </c>
      <c r="BX300" s="553">
        <f>0.5*(1+'Hilfstabellen_Mat&amp;Bem'!$BD$31*($BW300-0.3)+$BW300^2)</f>
        <v>0.66266943351367036</v>
      </c>
      <c r="BY300" s="550">
        <f t="shared" si="260"/>
        <v>0.96620677437375346</v>
      </c>
      <c r="CA300" s="551">
        <f t="shared" si="261"/>
        <v>119716.88417200555</v>
      </c>
      <c r="CE300" s="546">
        <f t="shared" si="262"/>
        <v>352</v>
      </c>
      <c r="CF300" s="551">
        <f t="shared" si="263"/>
        <v>35.428311972999758</v>
      </c>
      <c r="CG300" s="553">
        <f>CF300/PI()*SQRT('Hilfstabellen_Mat&amp;Bem'!f.Rd.3/'Hilfstabellen_Mat&amp;Bem'!$BD$30)</f>
        <v>0.56385909759046915</v>
      </c>
      <c r="CH300" s="553">
        <f>0.5*(1+'Hilfstabellen_Mat&amp;Bem'!$BD$31*(CG300-0.3)+CG300^2)</f>
        <v>0.67216149584729257</v>
      </c>
      <c r="CI300" s="550">
        <f t="shared" si="264"/>
        <v>0.96335792622348981</v>
      </c>
      <c r="CK300" s="551">
        <f t="shared" si="265"/>
        <v>119363.90049079528</v>
      </c>
      <c r="CO300" s="546">
        <f t="shared" si="266"/>
        <v>352</v>
      </c>
      <c r="CP300" s="551">
        <f t="shared" si="267"/>
        <v>36.41243175002753</v>
      </c>
      <c r="CQ300" s="553">
        <f>CP300/PI()*SQRT('Hilfstabellen_Mat&amp;Bem'!f.Rd.3/'Hilfstabellen_Mat&amp;Bem'!$BD$30)</f>
        <v>0.57952185030131553</v>
      </c>
      <c r="CR300" s="553">
        <f>0.5*(1+'Hilfstabellen_Mat&amp;Bem'!$BD$31*(CQ300-0.3)+CQ300^2)</f>
        <v>0.68189888000339605</v>
      </c>
      <c r="CS300" s="550">
        <f t="shared" si="268"/>
        <v>0.96037481101777422</v>
      </c>
      <c r="CU300" s="551">
        <f t="shared" si="269"/>
        <v>118994.2805843463</v>
      </c>
      <c r="CY300" s="546">
        <f t="shared" si="270"/>
        <v>352</v>
      </c>
      <c r="CZ300" s="551">
        <f t="shared" si="271"/>
        <v>37.396551527055301</v>
      </c>
      <c r="DA300" s="553">
        <f>CZ300/PI()*SQRT('Hilfstabellen_Mat&amp;Bem'!f.Rd.3/'Hilfstabellen_Mat&amp;Bem'!$BD$30)</f>
        <v>0.59518460301216192</v>
      </c>
      <c r="DB300" s="553">
        <f>0.5*(1+'Hilfstabellen_Mat&amp;Bem'!$BD$31*(DA300-0.3)+DA300^2)</f>
        <v>0.69188158598198046</v>
      </c>
      <c r="DC300" s="550">
        <f t="shared" si="272"/>
        <v>0.95724560181719576</v>
      </c>
      <c r="DE300" s="551">
        <f t="shared" si="273"/>
        <v>118606.55904755782</v>
      </c>
      <c r="DI300" s="546">
        <f t="shared" si="274"/>
        <v>352</v>
      </c>
      <c r="DJ300" s="551">
        <f t="shared" si="275"/>
        <v>38.380671304083073</v>
      </c>
      <c r="DK300" s="553">
        <f>DJ300/PI()*SQRT('Hilfstabellen_Mat&amp;Bem'!f.Rd.3/'Hilfstabellen_Mat&amp;Bem'!$BD$30)</f>
        <v>0.61084735572300819</v>
      </c>
      <c r="DL300" s="553">
        <f>0.5*(1+'Hilfstabellen_Mat&amp;Bem'!$BD$31*(DK300-0.3)+DK300^2)</f>
        <v>0.70210961378304604</v>
      </c>
      <c r="DM300" s="550">
        <f t="shared" si="276"/>
        <v>0.95395742883619361</v>
      </c>
      <c r="DO300" s="551">
        <f t="shared" si="277"/>
        <v>118199.14126251973</v>
      </c>
      <c r="DS300" s="546">
        <f t="shared" si="278"/>
        <v>352</v>
      </c>
      <c r="DT300" s="551">
        <f t="shared" si="279"/>
        <v>39.364791081110845</v>
      </c>
      <c r="DU300" s="553">
        <f>DT300/PI()*SQRT('Hilfstabellen_Mat&amp;Bem'!f.Rd.3/'Hilfstabellen_Mat&amp;Bem'!$BD$30)</f>
        <v>0.62651010843385457</v>
      </c>
      <c r="DV300" s="553">
        <f>0.5*(1+'Hilfstabellen_Mat&amp;Bem'!$BD$31*(DU300-0.3)+DU300^2)</f>
        <v>0.71258296340659288</v>
      </c>
      <c r="DW300" s="550">
        <f t="shared" si="280"/>
        <v>0.95049629677885661</v>
      </c>
      <c r="DY300" s="551">
        <f t="shared" si="281"/>
        <v>117770.29315608744</v>
      </c>
      <c r="EC300" s="546">
        <f t="shared" si="282"/>
        <v>352</v>
      </c>
      <c r="ED300" s="551">
        <f t="shared" si="283"/>
        <v>40.348910858138616</v>
      </c>
      <c r="EE300" s="553">
        <f>ED300/PI()*SQRT('Hilfstabellen_Mat&amp;Bem'!f.Rd.3/'Hilfstabellen_Mat&amp;Bem'!$BD$30)</f>
        <v>0.64217286114470096</v>
      </c>
      <c r="EF300" s="553">
        <f>0.5*(1+'Hilfstabellen_Mat&amp;Bem'!$BD$31*(EE300-0.3)+EE300^2)</f>
        <v>0.72330163485262067</v>
      </c>
      <c r="EG300" s="550">
        <f t="shared" si="284"/>
        <v>0.9468470046057389</v>
      </c>
      <c r="EI300" s="551">
        <f t="shared" si="285"/>
        <v>117318.13125866947</v>
      </c>
      <c r="EM300" s="546">
        <f t="shared" si="286"/>
        <v>352</v>
      </c>
      <c r="EN300" s="551">
        <f t="shared" si="287"/>
        <v>41.333030635166388</v>
      </c>
      <c r="EO300" s="553">
        <f>EN300/PI()*SQRT('Hilfstabellen_Mat&amp;Bem'!f.Rd.3/'Hilfstabellen_Mat&amp;Bem'!$BD$30)</f>
        <v>0.65783561385554734</v>
      </c>
      <c r="EP300" s="553">
        <f>0.5*(1+'Hilfstabellen_Mat&amp;Bem'!$BD$31*(EO300-0.3)+EO300^2)</f>
        <v>0.73426562812112983</v>
      </c>
      <c r="EQ300" s="550">
        <f t="shared" si="288"/>
        <v>0.94299307184840075</v>
      </c>
      <c r="ES300" s="551">
        <f t="shared" si="289"/>
        <v>116840.61357430425</v>
      </c>
    </row>
    <row r="301" spans="3:149">
      <c r="C301" s="546">
        <v>353</v>
      </c>
      <c r="D301" s="551">
        <f t="shared" si="244"/>
        <v>27.477293264548759</v>
      </c>
      <c r="E301" s="553">
        <f>$D301/PI()*SQRT('Hilfstabellen_Mat&amp;Bem'!f.Rd.3/'Hilfstabellen_Mat&amp;Bem'!$BD$30)</f>
        <v>0.43731470458385768</v>
      </c>
      <c r="F301" s="553">
        <f>0.5*(1+'Hilfstabellen_Mat&amp;Bem'!$BD$31*($E301-0.3)+$E301^2)</f>
        <v>0.60248781065182622</v>
      </c>
      <c r="G301" s="550">
        <f t="shared" si="245"/>
        <v>0.98336925626467286</v>
      </c>
      <c r="I301" s="551">
        <f t="shared" si="290"/>
        <v>122536.65965388462</v>
      </c>
      <c r="M301" s="546">
        <f t="shared" si="246"/>
        <v>353</v>
      </c>
      <c r="N301" s="551">
        <f t="shared" si="236"/>
        <v>28.458625166854073</v>
      </c>
      <c r="O301" s="553">
        <f>$N301/PI()*SQRT('Hilfstabellen_Mat&amp;Bem'!f.Rd.3/'Hilfstabellen_Mat&amp;Bem'!$BD$30)</f>
        <v>0.45293308689042411</v>
      </c>
      <c r="P301" s="553">
        <f>0.5*(1+'Hilfstabellen_Mat&amp;Bem'!$BD$31*($O301-0.3)+$O301^2)</f>
        <v>0.61022084494456541</v>
      </c>
      <c r="Q301" s="550">
        <f t="shared" si="237"/>
        <v>0.9812121336658165</v>
      </c>
      <c r="S301" s="551">
        <f t="shared" si="291"/>
        <v>122267.86276396373</v>
      </c>
      <c r="W301" s="546">
        <f t="shared" si="247"/>
        <v>353</v>
      </c>
      <c r="X301" s="551">
        <f t="shared" si="238"/>
        <v>29.439957069159384</v>
      </c>
      <c r="Y301" s="553">
        <f>$X301/PI()*SQRT('Hilfstabellen_Mat&amp;Bem'!f.Rd.3/'Hilfstabellen_Mat&amp;Bem'!$BD$30)</f>
        <v>0.46855146919699042</v>
      </c>
      <c r="Z301" s="553">
        <f>0.5*(1+'Hilfstabellen_Mat&amp;Bem'!$BD$31*($Y301-0.3)+$Y301^2)</f>
        <v>0.61819781310317867</v>
      </c>
      <c r="AA301" s="550">
        <f t="shared" si="239"/>
        <v>0.97898174726678389</v>
      </c>
      <c r="AC301" s="551">
        <f t="shared" si="292"/>
        <v>121989.93654516667</v>
      </c>
      <c r="AG301" s="546">
        <f t="shared" si="248"/>
        <v>353</v>
      </c>
      <c r="AH301" s="551">
        <f t="shared" si="240"/>
        <v>30.421288971464698</v>
      </c>
      <c r="AI301" s="553">
        <f>$AH301/PI()*SQRT('Hilfstabellen_Mat&amp;Bem'!f.Rd.3/'Hilfstabellen_Mat&amp;Bem'!$BD$30)</f>
        <v>0.48416985150355674</v>
      </c>
      <c r="AJ301" s="553">
        <f>0.5*(1+'Hilfstabellen_Mat&amp;Bem'!$BD$31*($AI301-0.3)+$AI301^2)</f>
        <v>0.62641871512766589</v>
      </c>
      <c r="AK301" s="550">
        <f t="shared" si="241"/>
        <v>0.97667156814873357</v>
      </c>
      <c r="AM301" s="551">
        <f t="shared" si="293"/>
        <v>121702.06743544554</v>
      </c>
      <c r="AQ301" s="546">
        <f t="shared" si="249"/>
        <v>353</v>
      </c>
      <c r="AR301" s="551">
        <f t="shared" si="242"/>
        <v>31.402620873770012</v>
      </c>
      <c r="AS301" s="553">
        <f>$AR301/PI()*SQRT('Hilfstabellen_Mat&amp;Bem'!f.Rd.3/'Hilfstabellen_Mat&amp;Bem'!$BD$30)</f>
        <v>0.49978823381012316</v>
      </c>
      <c r="AT301" s="553">
        <f>0.5*(1+'Hilfstabellen_Mat&amp;Bem'!$BD$31*($AS301-0.3)+$AS301^2)</f>
        <v>0.63488355101802729</v>
      </c>
      <c r="AU301" s="550">
        <f t="shared" si="243"/>
        <v>0.9742745302632736</v>
      </c>
      <c r="AW301" s="551">
        <f t="shared" si="294"/>
        <v>121403.37494157626</v>
      </c>
      <c r="BA301" s="546">
        <f t="shared" si="250"/>
        <v>353</v>
      </c>
      <c r="BB301" s="551">
        <f t="shared" si="251"/>
        <v>32.383952776075326</v>
      </c>
      <c r="BC301" s="553">
        <f>$BB301/PI()*SQRT('Hilfstabellen_Mat&amp;Bem'!f.Rd.3/'Hilfstabellen_Mat&amp;Bem'!$BD$30)</f>
        <v>0.51540661611668948</v>
      </c>
      <c r="BD301" s="553">
        <f>0.5*(1+'Hilfstabellen_Mat&amp;Bem'!$BD$31*($BC301-0.3)+$BC301^2)</f>
        <v>0.64359232077426265</v>
      </c>
      <c r="BE301" s="550">
        <f t="shared" si="252"/>
        <v>0.97178297476932385</v>
      </c>
      <c r="BG301" s="551">
        <f t="shared" si="253"/>
        <v>121092.90470303067</v>
      </c>
      <c r="BK301" s="546">
        <f t="shared" si="254"/>
        <v>353</v>
      </c>
      <c r="BL301" s="551">
        <f t="shared" si="255"/>
        <v>33.36528467838064</v>
      </c>
      <c r="BM301" s="553">
        <f>$BL301/PI()*SQRT('Hilfstabellen_Mat&amp;Bem'!f.Rd.3/'Hilfstabellen_Mat&amp;Bem'!$BD$30)</f>
        <v>0.5310249984232559</v>
      </c>
      <c r="BN301" s="553">
        <f>0.5*(1+'Hilfstabellen_Mat&amp;Bem'!$BD$31*($BM301-0.3)+$BM301^2)</f>
        <v>0.65254502439637219</v>
      </c>
      <c r="BO301" s="550">
        <f t="shared" si="256"/>
        <v>0.96918858956297937</v>
      </c>
      <c r="BQ301" s="551">
        <f t="shared" si="257"/>
        <v>120769.62095685329</v>
      </c>
      <c r="BU301" s="546">
        <f t="shared" si="258"/>
        <v>353</v>
      </c>
      <c r="BV301" s="551">
        <f t="shared" si="259"/>
        <v>34.346616580685954</v>
      </c>
      <c r="BW301" s="553">
        <f>$BV301/PI()*SQRT('Hilfstabellen_Mat&amp;Bem'!f.Rd.3/'Hilfstabellen_Mat&amp;Bem'!$BD$30)</f>
        <v>0.54664338072982221</v>
      </c>
      <c r="BX301" s="553">
        <f>0.5*(1+'Hilfstabellen_Mat&amp;Bem'!$BD$31*($BW301-0.3)+$BW301^2)</f>
        <v>0.66174166188435579</v>
      </c>
      <c r="BY301" s="550">
        <f t="shared" si="260"/>
        <v>0.96648234392701637</v>
      </c>
      <c r="CA301" s="551">
        <f t="shared" si="261"/>
        <v>120432.39839440158</v>
      </c>
      <c r="CE301" s="546">
        <f t="shared" si="262"/>
        <v>353</v>
      </c>
      <c r="CF301" s="551">
        <f t="shared" si="263"/>
        <v>35.327948482991268</v>
      </c>
      <c r="CG301" s="553">
        <f>CF301/PI()*SQRT('Hilfstabellen_Mat&amp;Bem'!f.Rd.3/'Hilfstabellen_Mat&amp;Bem'!$BD$30)</f>
        <v>0.56226176303638853</v>
      </c>
      <c r="CH301" s="553">
        <f>0.5*(1+'Hilfstabellen_Mat&amp;Bem'!$BD$31*(CG301-0.3)+CG301^2)</f>
        <v>0.67118223323821335</v>
      </c>
      <c r="CI301" s="550">
        <f t="shared" si="264"/>
        <v>0.96365441839697441</v>
      </c>
      <c r="CK301" s="551">
        <f t="shared" si="265"/>
        <v>120080.01342202858</v>
      </c>
      <c r="CO301" s="546">
        <f t="shared" si="266"/>
        <v>353</v>
      </c>
      <c r="CP301" s="551">
        <f t="shared" si="267"/>
        <v>36.309280385296582</v>
      </c>
      <c r="CQ301" s="553">
        <f>CP301/PI()*SQRT('Hilfstabellen_Mat&amp;Bem'!f.Rd.3/'Hilfstabellen_Mat&amp;Bem'!$BD$30)</f>
        <v>0.57788014534295495</v>
      </c>
      <c r="CR301" s="553">
        <f>0.5*(1+'Hilfstabellen_Mat&amp;Bem'!$BD$31*(CQ301-0.3)+CQ301^2)</f>
        <v>0.6808667384579451</v>
      </c>
      <c r="CS301" s="550">
        <f t="shared" si="268"/>
        <v>0.96069413018915917</v>
      </c>
      <c r="CU301" s="551">
        <f t="shared" si="269"/>
        <v>119711.13486874093</v>
      </c>
      <c r="CY301" s="546">
        <f t="shared" si="270"/>
        <v>353</v>
      </c>
      <c r="CZ301" s="551">
        <f t="shared" si="271"/>
        <v>37.290612287601888</v>
      </c>
      <c r="DA301" s="553">
        <f>CZ301/PI()*SQRT('Hilfstabellen_Mat&amp;Bem'!f.Rd.3/'Hilfstabellen_Mat&amp;Bem'!$BD$30)</f>
        <v>0.59349852764952116</v>
      </c>
      <c r="DB301" s="553">
        <f>0.5*(1+'Hilfstabellen_Mat&amp;Bem'!$BD$31*(DA301-0.3)+DA301^2)</f>
        <v>0.6907951775435508</v>
      </c>
      <c r="DC301" s="550">
        <f t="shared" si="272"/>
        <v>0.95758985488823778</v>
      </c>
      <c r="DE301" s="551">
        <f t="shared" si="273"/>
        <v>119324.31422776842</v>
      </c>
      <c r="DI301" s="546">
        <f t="shared" si="274"/>
        <v>353</v>
      </c>
      <c r="DJ301" s="551">
        <f t="shared" si="275"/>
        <v>38.271944189907195</v>
      </c>
      <c r="DK301" s="553">
        <f>DJ301/PI()*SQRT('Hilfstabellen_Mat&amp;Bem'!f.Rd.3/'Hilfstabellen_Mat&amp;Bem'!$BD$30)</f>
        <v>0.60911690995608747</v>
      </c>
      <c r="DL301" s="553">
        <f>0.5*(1+'Hilfstabellen_Mat&amp;Bem'!$BD$31*(DK301-0.3)+DK301^2)</f>
        <v>0.70096755049503057</v>
      </c>
      <c r="DM301" s="550">
        <f t="shared" si="276"/>
        <v>0.95432894558047687</v>
      </c>
      <c r="DO301" s="551">
        <f t="shared" si="277"/>
        <v>118917.97557983764</v>
      </c>
      <c r="DS301" s="546">
        <f t="shared" si="278"/>
        <v>353</v>
      </c>
      <c r="DT301" s="551">
        <f t="shared" si="279"/>
        <v>39.253276092212509</v>
      </c>
      <c r="DU301" s="553">
        <f>DT301/PI()*SQRT('Hilfstabellen_Mat&amp;Bem'!f.Rd.3/'Hilfstabellen_Mat&amp;Bem'!$BD$30)</f>
        <v>0.6247352922626539</v>
      </c>
      <c r="DV301" s="553">
        <f>0.5*(1+'Hilfstabellen_Mat&amp;Bem'!$BD$31*(DU301-0.3)+DU301^2)</f>
        <v>0.71138385731238452</v>
      </c>
      <c r="DW301" s="550">
        <f t="shared" si="280"/>
        <v>0.95089765128224901</v>
      </c>
      <c r="DY301" s="551">
        <f t="shared" si="281"/>
        <v>118490.40542862976</v>
      </c>
      <c r="EC301" s="546">
        <f t="shared" si="282"/>
        <v>353</v>
      </c>
      <c r="ED301" s="551">
        <f t="shared" si="283"/>
        <v>40.234607994517823</v>
      </c>
      <c r="EE301" s="553">
        <f>ED301/PI()*SQRT('Hilfstabellen_Mat&amp;Bem'!f.Rd.3/'Hilfstabellen_Mat&amp;Bem'!$BD$30)</f>
        <v>0.64035367456922021</v>
      </c>
      <c r="EF301" s="553">
        <f>0.5*(1+'Hilfstabellen_Mat&amp;Bem'!$BD$31*(EE301-0.3)+EE301^2)</f>
        <v>0.72204409799561242</v>
      </c>
      <c r="EG301" s="550">
        <f t="shared" si="284"/>
        <v>0.94728103739787484</v>
      </c>
      <c r="EI301" s="551">
        <f t="shared" si="285"/>
        <v>118039.74278911178</v>
      </c>
      <c r="EM301" s="546">
        <f t="shared" si="286"/>
        <v>353</v>
      </c>
      <c r="EN301" s="551">
        <f t="shared" si="287"/>
        <v>41.215939896823137</v>
      </c>
      <c r="EO301" s="553">
        <f>EN301/PI()*SQRT('Hilfstabellen_Mat&amp;Bem'!f.Rd.3/'Hilfstabellen_Mat&amp;Bem'!$BD$30)</f>
        <v>0.65597205687578652</v>
      </c>
      <c r="EP301" s="553">
        <f>0.5*(1+'Hilfstabellen_Mat&amp;Bem'!$BD$31*(EO301-0.3)+EO301^2)</f>
        <v>0.7329482725447144</v>
      </c>
      <c r="EQ301" s="550">
        <f t="shared" si="288"/>
        <v>0.94346291209688027</v>
      </c>
      <c r="ES301" s="551">
        <f t="shared" si="289"/>
        <v>117563.97001348015</v>
      </c>
    </row>
    <row r="302" spans="3:149">
      <c r="C302" s="546">
        <v>354</v>
      </c>
      <c r="D302" s="551">
        <f t="shared" si="244"/>
        <v>27.399673792050034</v>
      </c>
      <c r="E302" s="553">
        <f>$D302/PI()*SQRT('Hilfstabellen_Mat&amp;Bem'!f.Rd.3/'Hilfstabellen_Mat&amp;Bem'!$BD$30)</f>
        <v>0.43607935231102196</v>
      </c>
      <c r="F302" s="553">
        <f>0.5*(1+'Hilfstabellen_Mat&amp;Bem'!$BD$31*($E302-0.3)+$E302^2)</f>
        <v>0.6018865683715513</v>
      </c>
      <c r="G302" s="550">
        <f t="shared" si="245"/>
        <v>0.98353693134763809</v>
      </c>
      <c r="I302" s="551">
        <f t="shared" si="290"/>
        <v>123252.91408876062</v>
      </c>
      <c r="M302" s="546">
        <f t="shared" si="246"/>
        <v>354</v>
      </c>
      <c r="N302" s="551">
        <f t="shared" si="236"/>
        <v>28.378233570337539</v>
      </c>
      <c r="O302" s="553">
        <f>$N302/PI()*SQRT('Hilfstabellen_Mat&amp;Bem'!f.Rd.3/'Hilfstabellen_Mat&amp;Bem'!$BD$30)</f>
        <v>0.45165361489355854</v>
      </c>
      <c r="P302" s="553">
        <f>0.5*(1+'Hilfstabellen_Mat&amp;Bem'!$BD$31*($O302-0.3)+$O302^2)</f>
        <v>0.60957817466788744</v>
      </c>
      <c r="Q302" s="550">
        <f t="shared" si="237"/>
        <v>0.98139151719834161</v>
      </c>
      <c r="S302" s="551">
        <f t="shared" si="291"/>
        <v>122984.05936922738</v>
      </c>
      <c r="W302" s="546">
        <f t="shared" si="247"/>
        <v>354</v>
      </c>
      <c r="X302" s="551">
        <f t="shared" si="238"/>
        <v>29.35679334862504</v>
      </c>
      <c r="Y302" s="553">
        <f>$X302/PI()*SQRT('Hilfstabellen_Mat&amp;Bem'!f.Rd.3/'Hilfstabellen_Mat&amp;Bem'!$BD$30)</f>
        <v>0.46722787747609501</v>
      </c>
      <c r="Z302" s="553">
        <f>0.5*(1+'Hilfstabellen_Mat&amp;Bem'!$BD$31*($Y302-0.3)+$Y302^2)</f>
        <v>0.61751233861921317</v>
      </c>
      <c r="AA302" s="550">
        <f t="shared" si="239"/>
        <v>0.97917376256977706</v>
      </c>
      <c r="AC302" s="551">
        <f t="shared" si="292"/>
        <v>122706.13923019418</v>
      </c>
      <c r="AG302" s="546">
        <f t="shared" si="248"/>
        <v>354</v>
      </c>
      <c r="AH302" s="551">
        <f t="shared" si="240"/>
        <v>30.33535312691254</v>
      </c>
      <c r="AI302" s="553">
        <f>$AH302/PI()*SQRT('Hilfstabellen_Mat&amp;Bem'!f.Rd.3/'Hilfstabellen_Mat&amp;Bem'!$BD$30)</f>
        <v>0.48280214005863153</v>
      </c>
      <c r="AJ302" s="553">
        <f>0.5*(1+'Hilfstabellen_Mat&amp;Bem'!$BD$31*($AI302-0.3)+$AI302^2)</f>
        <v>0.62568906022552873</v>
      </c>
      <c r="AK302" s="550">
        <f t="shared" si="241"/>
        <v>0.97687723578869534</v>
      </c>
      <c r="AM302" s="551">
        <f t="shared" si="293"/>
        <v>122418.34768009615</v>
      </c>
      <c r="AQ302" s="546">
        <f t="shared" si="249"/>
        <v>354</v>
      </c>
      <c r="AR302" s="551">
        <f t="shared" si="242"/>
        <v>31.313912905200041</v>
      </c>
      <c r="AS302" s="553">
        <f>$AR302/PI()*SQRT('Hilfstabellen_Mat&amp;Bem'!f.Rd.3/'Hilfstabellen_Mat&amp;Bem'!$BD$30)</f>
        <v>0.498376402641168</v>
      </c>
      <c r="AT302" s="553">
        <f>0.5*(1+'Hilfstabellen_Mat&amp;Bem'!$BD$31*($AS302-0.3)+$AS302^2)</f>
        <v>0.6341083394868342</v>
      </c>
      <c r="AU302" s="550">
        <f t="shared" si="243"/>
        <v>0.97449497855111233</v>
      </c>
      <c r="AW302" s="551">
        <f t="shared" si="294"/>
        <v>122119.8127321112</v>
      </c>
      <c r="BA302" s="546">
        <f t="shared" si="250"/>
        <v>354</v>
      </c>
      <c r="BB302" s="551">
        <f t="shared" si="251"/>
        <v>32.292472683487539</v>
      </c>
      <c r="BC302" s="553">
        <f>$BB302/PI()*SQRT('Hilfstabellen_Mat&amp;Bem'!f.Rd.3/'Hilfstabellen_Mat&amp;Bem'!$BD$30)</f>
        <v>0.51395066522370436</v>
      </c>
      <c r="BD302" s="553">
        <f>0.5*(1+'Hilfstabellen_Mat&amp;Bem'!$BD$31*($BC302-0.3)+$BC302^2)</f>
        <v>0.64277017640312928</v>
      </c>
      <c r="BE302" s="550">
        <f t="shared" si="252"/>
        <v>0.9720194514421806</v>
      </c>
      <c r="BG302" s="551">
        <f t="shared" si="253"/>
        <v>121809.58957692831</v>
      </c>
      <c r="BK302" s="546">
        <f t="shared" si="254"/>
        <v>354</v>
      </c>
      <c r="BL302" s="551">
        <f t="shared" si="255"/>
        <v>33.271032461775043</v>
      </c>
      <c r="BM302" s="553">
        <f>$BL302/PI()*SQRT('Hilfstabellen_Mat&amp;Bem'!f.Rd.3/'Hilfstabellen_Mat&amp;Bem'!$BD$30)</f>
        <v>0.52952492780624094</v>
      </c>
      <c r="BN302" s="553">
        <f>0.5*(1+'Hilfstabellen_Mat&amp;Bem'!$BD$31*($BM302-0.3)+$BM302^2)</f>
        <v>0.65167457097441439</v>
      </c>
      <c r="BO302" s="550">
        <f t="shared" si="256"/>
        <v>0.96944247474208878</v>
      </c>
      <c r="BQ302" s="551">
        <f t="shared" si="257"/>
        <v>121486.65316477959</v>
      </c>
      <c r="BU302" s="546">
        <f t="shared" si="258"/>
        <v>354</v>
      </c>
      <c r="BV302" s="551">
        <f t="shared" si="259"/>
        <v>34.24959224006254</v>
      </c>
      <c r="BW302" s="553">
        <f>$BV302/PI()*SQRT('Hilfstabellen_Mat&amp;Bem'!f.Rd.3/'Hilfstabellen_Mat&amp;Bem'!$BD$30)</f>
        <v>0.54509919038877741</v>
      </c>
      <c r="BX302" s="553">
        <f>0.5*(1+'Hilfstabellen_Mat&amp;Bem'!$BD$31*($BW302-0.3)+$BW302^2)</f>
        <v>0.66082152320068921</v>
      </c>
      <c r="BY302" s="550">
        <f t="shared" si="260"/>
        <v>0.96675516443413156</v>
      </c>
      <c r="CA302" s="551">
        <f t="shared" si="261"/>
        <v>121149.89018622763</v>
      </c>
      <c r="CE302" s="546">
        <f t="shared" si="262"/>
        <v>354</v>
      </c>
      <c r="CF302" s="551">
        <f t="shared" si="263"/>
        <v>35.228152018350045</v>
      </c>
      <c r="CG302" s="553">
        <f>CF302/PI()*SQRT('Hilfstabellen_Mat&amp;Bem'!f.Rd.3/'Hilfstabellen_Mat&amp;Bem'!$BD$30)</f>
        <v>0.56067345297131399</v>
      </c>
      <c r="CH302" s="553">
        <f>0.5*(1+'Hilfstabellen_Mat&amp;Bem'!$BD$31*(CG302-0.3)+CG302^2)</f>
        <v>0.67021103308195384</v>
      </c>
      <c r="CI302" s="550">
        <f t="shared" si="264"/>
        <v>0.96394786349167327</v>
      </c>
      <c r="CK302" s="551">
        <f t="shared" si="265"/>
        <v>120798.09046132253</v>
      </c>
      <c r="CO302" s="546">
        <f t="shared" si="266"/>
        <v>354</v>
      </c>
      <c r="CP302" s="551">
        <f t="shared" si="267"/>
        <v>36.206711796637542</v>
      </c>
      <c r="CQ302" s="553">
        <f>CP302/PI()*SQRT('Hilfstabellen_Mat&amp;Bem'!f.Rd.3/'Hilfstabellen_Mat&amp;Bem'!$BD$30)</f>
        <v>0.57624771555385035</v>
      </c>
      <c r="CR302" s="553">
        <f>0.5*(1+'Hilfstabellen_Mat&amp;Bem'!$BD$31*(CQ302-0.3)+CQ302^2)</f>
        <v>0.67984310061820807</v>
      </c>
      <c r="CS302" s="550">
        <f t="shared" si="268"/>
        <v>0.96101006875544859</v>
      </c>
      <c r="CU302" s="551">
        <f t="shared" si="269"/>
        <v>120429.93777615779</v>
      </c>
      <c r="CY302" s="546">
        <f t="shared" si="270"/>
        <v>354</v>
      </c>
      <c r="CZ302" s="551">
        <f t="shared" si="271"/>
        <v>37.185271574925046</v>
      </c>
      <c r="DA302" s="553">
        <f>CZ302/PI()*SQRT('Hilfstabellen_Mat&amp;Bem'!f.Rd.3/'Hilfstabellen_Mat&amp;Bem'!$BD$30)</f>
        <v>0.59182197813638693</v>
      </c>
      <c r="DB302" s="553">
        <f>0.5*(1+'Hilfstabellen_Mat&amp;Bem'!$BD$31*(DA302-0.3)+DA302^2)</f>
        <v>0.68971772580945234</v>
      </c>
      <c r="DC302" s="550">
        <f t="shared" si="272"/>
        <v>0.95793035404600191</v>
      </c>
      <c r="DE302" s="551">
        <f t="shared" si="273"/>
        <v>120044.00024762878</v>
      </c>
      <c r="DI302" s="546">
        <f t="shared" si="274"/>
        <v>354</v>
      </c>
      <c r="DJ302" s="551">
        <f t="shared" si="275"/>
        <v>38.163831353212551</v>
      </c>
      <c r="DK302" s="553">
        <f>DJ302/PI()*SQRT('Hilfstabellen_Mat&amp;Bem'!f.Rd.3/'Hilfstabellen_Mat&amp;Bem'!$BD$30)</f>
        <v>0.60739624071892351</v>
      </c>
      <c r="DL302" s="553">
        <f>0.5*(1+'Hilfstabellen_Mat&amp;Bem'!$BD$31*(DK302-0.3)+DK302^2)</f>
        <v>0.69983490865568643</v>
      </c>
      <c r="DM302" s="550">
        <f t="shared" si="276"/>
        <v>0.95469629061872008</v>
      </c>
      <c r="DO302" s="551">
        <f t="shared" si="277"/>
        <v>119638.72035517552</v>
      </c>
      <c r="DS302" s="546">
        <f t="shared" si="278"/>
        <v>354</v>
      </c>
      <c r="DT302" s="551">
        <f t="shared" si="279"/>
        <v>39.142391131500055</v>
      </c>
      <c r="DU302" s="553">
        <f>DT302/PI()*SQRT('Hilfstabellen_Mat&amp;Bem'!f.Rd.3/'Hilfstabellen_Mat&amp;Bem'!$BD$30)</f>
        <v>0.62297050330146009</v>
      </c>
      <c r="DV302" s="553">
        <f>0.5*(1+'Hilfstabellen_Mat&amp;Bem'!$BD$31*(DU302-0.3)+DU302^2)</f>
        <v>0.71019464915691022</v>
      </c>
      <c r="DW302" s="550">
        <f t="shared" si="280"/>
        <v>0.95129436669817946</v>
      </c>
      <c r="DY302" s="551">
        <f t="shared" si="281"/>
        <v>119212.40485714906</v>
      </c>
      <c r="EC302" s="546">
        <f t="shared" si="282"/>
        <v>354</v>
      </c>
      <c r="ED302" s="551">
        <f t="shared" si="283"/>
        <v>40.120950909787553</v>
      </c>
      <c r="EE302" s="553">
        <f>ED302/PI()*SQRT('Hilfstabellen_Mat&amp;Bem'!f.Rd.3/'Hilfstabellen_Mat&amp;Bem'!$BD$30)</f>
        <v>0.63854476588399656</v>
      </c>
      <c r="EF302" s="553">
        <f>0.5*(1+'Hilfstabellen_Mat&amp;Bem'!$BD$31*(EE302-0.3)+EE302^2)</f>
        <v>0.72079694731312383</v>
      </c>
      <c r="EG302" s="550">
        <f t="shared" si="284"/>
        <v>0.94770990866827409</v>
      </c>
      <c r="EI302" s="551">
        <f t="shared" si="285"/>
        <v>118763.21491467343</v>
      </c>
      <c r="EM302" s="546">
        <f t="shared" si="286"/>
        <v>354</v>
      </c>
      <c r="EN302" s="551">
        <f t="shared" si="287"/>
        <v>41.09951068807505</v>
      </c>
      <c r="EO302" s="553">
        <f>EN302/PI()*SQRT('Hilfstabellen_Mat&amp;Bem'!f.Rd.3/'Hilfstabellen_Mat&amp;Bem'!$BD$30)</f>
        <v>0.65411902846653291</v>
      </c>
      <c r="EP302" s="553">
        <f>0.5*(1+'Hilfstabellen_Mat&amp;Bem'!$BD$31*(EO302-0.3)+EO302^2)</f>
        <v>0.73164180312432714</v>
      </c>
      <c r="EQ302" s="550">
        <f t="shared" si="288"/>
        <v>0.94392700759369352</v>
      </c>
      <c r="ES302" s="551">
        <f t="shared" si="289"/>
        <v>118289.1568836113</v>
      </c>
    </row>
    <row r="303" spans="3:149">
      <c r="C303" s="546">
        <v>355</v>
      </c>
      <c r="D303" s="551">
        <f t="shared" si="244"/>
        <v>27.322491612354121</v>
      </c>
      <c r="E303" s="553">
        <f>$D303/PI()*SQRT('Hilfstabellen_Mat&amp;Bem'!f.Rd.3/'Hilfstabellen_Mat&amp;Bem'!$BD$30)</f>
        <v>0.43485095976930083</v>
      </c>
      <c r="F303" s="553">
        <f>0.5*(1+'Hilfstabellen_Mat&amp;Bem'!$BD$31*($E303-0.3)+$E303^2)</f>
        <v>0.60129022659460607</v>
      </c>
      <c r="G303" s="550">
        <f t="shared" si="245"/>
        <v>0.9837032478461154</v>
      </c>
      <c r="I303" s="551">
        <f t="shared" si="290"/>
        <v>123971.20180980669</v>
      </c>
      <c r="M303" s="546">
        <f t="shared" si="246"/>
        <v>355</v>
      </c>
      <c r="N303" s="551">
        <f t="shared" si="236"/>
        <v>28.298294884223907</v>
      </c>
      <c r="O303" s="553">
        <f>$N303/PI()*SQRT('Hilfstabellen_Mat&amp;Bem'!f.Rd.3/'Hilfstabellen_Mat&amp;Bem'!$BD$30)</f>
        <v>0.45038135118963291</v>
      </c>
      <c r="P303" s="553">
        <f>0.5*(1+'Hilfstabellen_Mat&amp;Bem'!$BD$31*($O303-0.3)+$O303^2)</f>
        <v>0.60894074830918132</v>
      </c>
      <c r="Q303" s="550">
        <f t="shared" si="237"/>
        <v>0.98156940626100053</v>
      </c>
      <c r="S303" s="551">
        <f t="shared" si="291"/>
        <v>123702.28442404259</v>
      </c>
      <c r="W303" s="546">
        <f t="shared" si="247"/>
        <v>355</v>
      </c>
      <c r="X303" s="551">
        <f t="shared" si="238"/>
        <v>29.274098156093697</v>
      </c>
      <c r="Y303" s="553">
        <f>$X303/PI()*SQRT('Hilfstabellen_Mat&amp;Bem'!f.Rd.3/'Hilfstabellen_Mat&amp;Bem'!$BD$30)</f>
        <v>0.4659117426099651</v>
      </c>
      <c r="Z303" s="553">
        <f>0.5*(1+'Hilfstabellen_Mat&amp;Bem'!$BD$31*($Y303-0.3)+$Y303^2)</f>
        <v>0.61683246308142547</v>
      </c>
      <c r="AA303" s="550">
        <f t="shared" si="239"/>
        <v>0.97936413226022667</v>
      </c>
      <c r="AC303" s="551">
        <f t="shared" si="292"/>
        <v>123424.36476809507</v>
      </c>
      <c r="AG303" s="546">
        <f t="shared" si="248"/>
        <v>355</v>
      </c>
      <c r="AH303" s="551">
        <f t="shared" si="240"/>
        <v>30.249901427963493</v>
      </c>
      <c r="AI303" s="553">
        <f>$AH303/PI()*SQRT('Hilfstabellen_Mat&amp;Bem'!f.Rd.3/'Hilfstabellen_Mat&amp;Bem'!$BD$30)</f>
        <v>0.4814421340302974</v>
      </c>
      <c r="AJ303" s="553">
        <f>0.5*(1+'Hilfstabellen_Mat&amp;Bem'!$BD$31*($AI303-0.3)+$AI303^2)</f>
        <v>0.6249653709113383</v>
      </c>
      <c r="AK303" s="550">
        <f t="shared" si="241"/>
        <v>0.97708108950861949</v>
      </c>
      <c r="AM303" s="551">
        <f t="shared" si="293"/>
        <v>123136.64430532377</v>
      </c>
      <c r="AQ303" s="546">
        <f t="shared" si="249"/>
        <v>355</v>
      </c>
      <c r="AR303" s="551">
        <f t="shared" si="242"/>
        <v>31.22570469983328</v>
      </c>
      <c r="AS303" s="553">
        <f>$AR303/PI()*SQRT('Hilfstabellen_Mat&amp;Bem'!f.Rd.3/'Hilfstabellen_Mat&amp;Bem'!$BD$30)</f>
        <v>0.49697252545062948</v>
      </c>
      <c r="AT303" s="553">
        <f>0.5*(1+'Hilfstabellen_Mat&amp;Bem'!$BD$31*($AS303-0.3)+$AS303^2)</f>
        <v>0.63333947179891981</v>
      </c>
      <c r="AU303" s="550">
        <f t="shared" si="243"/>
        <v>0.97471342529740057</v>
      </c>
      <c r="AW303" s="551">
        <f t="shared" si="294"/>
        <v>122838.2594231049</v>
      </c>
      <c r="BA303" s="546">
        <f t="shared" si="250"/>
        <v>355</v>
      </c>
      <c r="BB303" s="551">
        <f t="shared" si="251"/>
        <v>32.201507971703066</v>
      </c>
      <c r="BC303" s="553">
        <f>$BB303/PI()*SQRT('Hilfstabellen_Mat&amp;Bem'!f.Rd.3/'Hilfstabellen_Mat&amp;Bem'!$BD$30)</f>
        <v>0.51250291687096161</v>
      </c>
      <c r="BD303" s="553">
        <f>0.5*(1+'Hilfstabellen_Mat&amp;Bem'!$BD$31*($BC303-0.3)+$BC303^2)</f>
        <v>0.64195476574416999</v>
      </c>
      <c r="BE303" s="550">
        <f t="shared" si="252"/>
        <v>0.97225371721907405</v>
      </c>
      <c r="BG303" s="551">
        <f t="shared" si="253"/>
        <v>122528.27471253381</v>
      </c>
      <c r="BK303" s="546">
        <f t="shared" si="254"/>
        <v>355</v>
      </c>
      <c r="BL303" s="551">
        <f t="shared" si="255"/>
        <v>33.177311243572859</v>
      </c>
      <c r="BM303" s="553">
        <f>$BL303/PI()*SQRT('Hilfstabellen_Mat&amp;Bem'!f.Rd.3/'Hilfstabellen_Mat&amp;Bem'!$BD$30)</f>
        <v>0.5280333082912938</v>
      </c>
      <c r="BN303" s="553">
        <f>0.5*(1+'Hilfstabellen_Mat&amp;Bem'!$BD$31*($BM303-0.3)+$BM303^2)</f>
        <v>0.65081125274708895</v>
      </c>
      <c r="BO303" s="550">
        <f t="shared" si="256"/>
        <v>0.96969391522010473</v>
      </c>
      <c r="BQ303" s="551">
        <f t="shared" si="257"/>
        <v>122205.6756656137</v>
      </c>
      <c r="BU303" s="546">
        <f t="shared" si="258"/>
        <v>355</v>
      </c>
      <c r="BV303" s="551">
        <f t="shared" si="259"/>
        <v>34.153114515442645</v>
      </c>
      <c r="BW303" s="553">
        <f>$BV303/PI()*SQRT('Hilfstabellen_Mat&amp;Bem'!f.Rd.3/'Hilfstabellen_Mat&amp;Bem'!$BD$30)</f>
        <v>0.54356369971162588</v>
      </c>
      <c r="BX303" s="553">
        <f>0.5*(1+'Hilfstabellen_Mat&amp;Bem'!$BD$31*($BW303-0.3)+$BW303^2)</f>
        <v>0.6599089328076766</v>
      </c>
      <c r="BY303" s="550">
        <f t="shared" si="260"/>
        <v>0.96702527893795687</v>
      </c>
      <c r="CA303" s="551">
        <f t="shared" si="261"/>
        <v>121869.36077815601</v>
      </c>
      <c r="CE303" s="546">
        <f t="shared" si="262"/>
        <v>355</v>
      </c>
      <c r="CF303" s="551">
        <f t="shared" si="263"/>
        <v>35.128917787312439</v>
      </c>
      <c r="CG303" s="553">
        <f>CF303/PI()*SQRT('Hilfstabellen_Mat&amp;Bem'!f.Rd.3/'Hilfstabellen_Mat&amp;Bem'!$BD$30)</f>
        <v>0.55909409113195818</v>
      </c>
      <c r="CH303" s="553">
        <f>0.5*(1+'Hilfstabellen_Mat&amp;Bem'!$BD$31*(CG303-0.3)+CG303^2)</f>
        <v>0.66924780592593303</v>
      </c>
      <c r="CI303" s="550">
        <f t="shared" si="264"/>
        <v>0.96423831038049046</v>
      </c>
      <c r="CK303" s="551">
        <f t="shared" si="265"/>
        <v>121518.13306570132</v>
      </c>
      <c r="CO303" s="546">
        <f t="shared" si="266"/>
        <v>355</v>
      </c>
      <c r="CP303" s="551">
        <f t="shared" si="267"/>
        <v>36.104721059182232</v>
      </c>
      <c r="CQ303" s="553">
        <f>CP303/PI()*SQRT('Hilfstabellen_Mat&amp;Bem'!f.Rd.3/'Hilfstabellen_Mat&amp;Bem'!$BD$30)</f>
        <v>0.57462448255229037</v>
      </c>
      <c r="CR303" s="553">
        <f>0.5*(1+'Hilfstabellen_Mat&amp;Bem'!$BD$31*(CQ303-0.3)+CQ303^2)</f>
        <v>0.67882787210185824</v>
      </c>
      <c r="CS303" s="550">
        <f t="shared" si="268"/>
        <v>0.96132268222747586</v>
      </c>
      <c r="CU303" s="551">
        <f t="shared" si="269"/>
        <v>121150.69102771765</v>
      </c>
      <c r="CY303" s="546">
        <f t="shared" si="270"/>
        <v>355</v>
      </c>
      <c r="CZ303" s="551">
        <f t="shared" si="271"/>
        <v>37.080524331052018</v>
      </c>
      <c r="DA303" s="553">
        <f>CZ303/PI()*SQRT('Hilfstabellen_Mat&amp;Bem'!f.Rd.3/'Hilfstabellen_Mat&amp;Bem'!$BD$30)</f>
        <v>0.59015487397262245</v>
      </c>
      <c r="DB303" s="553">
        <f>0.5*(1+'Hilfstabellen_Mat&amp;Bem'!$BD$31*(DA303-0.3)+DA303^2)</f>
        <v>0.68864913133545214</v>
      </c>
      <c r="DC303" s="550">
        <f t="shared" si="272"/>
        <v>0.95826716234943421</v>
      </c>
      <c r="DE303" s="551">
        <f t="shared" si="273"/>
        <v>120765.61913508744</v>
      </c>
      <c r="DI303" s="546">
        <f t="shared" si="274"/>
        <v>355</v>
      </c>
      <c r="DJ303" s="551">
        <f t="shared" si="275"/>
        <v>38.056327602921804</v>
      </c>
      <c r="DK303" s="553">
        <f>DJ303/PI()*SQRT('Hilfstabellen_Mat&amp;Bem'!f.Rd.3/'Hilfstabellen_Mat&amp;Bem'!$BD$30)</f>
        <v>0.60568526539295453</v>
      </c>
      <c r="DL303" s="553">
        <f>0.5*(1+'Hilfstabellen_Mat&amp;Bem'!$BD$31*(DK303-0.3)+DK303^2)</f>
        <v>0.69871158362671459</v>
      </c>
      <c r="DM303" s="550">
        <f t="shared" si="276"/>
        <v>0.95505953557727885</v>
      </c>
      <c r="DO303" s="551">
        <f t="shared" si="277"/>
        <v>120361.37797112657</v>
      </c>
      <c r="DS303" s="546">
        <f t="shared" si="278"/>
        <v>355</v>
      </c>
      <c r="DT303" s="551">
        <f t="shared" si="279"/>
        <v>39.032130874791598</v>
      </c>
      <c r="DU303" s="553">
        <f>DT303/PI()*SQRT('Hilfstabellen_Mat&amp;Bem'!f.Rd.3/'Hilfstabellen_Mat&amp;Bem'!$BD$30)</f>
        <v>0.62121565681328683</v>
      </c>
      <c r="DV303" s="553">
        <f>0.5*(1+'Hilfstabellen_Mat&amp;Bem'!$BD$31*(DU303-0.3)+DU303^2)</f>
        <v>0.70901522897564606</v>
      </c>
      <c r="DW303" s="550">
        <f t="shared" si="280"/>
        <v>0.95168652435302326</v>
      </c>
      <c r="DY303" s="551">
        <f t="shared" si="281"/>
        <v>119936.29423158975</v>
      </c>
      <c r="EC303" s="546">
        <f t="shared" si="282"/>
        <v>355</v>
      </c>
      <c r="ED303" s="551">
        <f t="shared" si="283"/>
        <v>40.007934146661391</v>
      </c>
      <c r="EE303" s="553">
        <f>ED303/PI()*SQRT('Hilfstabellen_Mat&amp;Bem'!f.Rd.3/'Hilfstabellen_Mat&amp;Bem'!$BD$30)</f>
        <v>0.63674604823361902</v>
      </c>
      <c r="EF303" s="553">
        <f>0.5*(1+'Hilfstabellen_Mat&amp;Bem'!$BD$31*(EE303-0.3)+EE303^2)</f>
        <v>0.71956006738224598</v>
      </c>
      <c r="EG303" s="550">
        <f t="shared" si="284"/>
        <v>0.94813371068911878</v>
      </c>
      <c r="EI303" s="551">
        <f t="shared" si="285"/>
        <v>119488.5508895962</v>
      </c>
      <c r="EM303" s="546">
        <f t="shared" si="286"/>
        <v>355</v>
      </c>
      <c r="EN303" s="551">
        <f t="shared" si="287"/>
        <v>40.983737418531177</v>
      </c>
      <c r="EO303" s="553">
        <f>EN303/PI()*SQRT('Hilfstabellen_Mat&amp;Bem'!f.Rd.3/'Hilfstabellen_Mat&amp;Bem'!$BD$30)</f>
        <v>0.6522764396539511</v>
      </c>
      <c r="EP303" s="553">
        <f>0.5*(1+'Hilfstabellen_Mat&amp;Bem'!$BD$31*(EO303-0.3)+EO303^2)</f>
        <v>0.7303460988465148</v>
      </c>
      <c r="EQ303" s="550">
        <f t="shared" si="288"/>
        <v>0.94438546290894276</v>
      </c>
      <c r="ES303" s="551">
        <f t="shared" si="289"/>
        <v>119016.17796309952</v>
      </c>
    </row>
    <row r="304" spans="3:149">
      <c r="C304" s="546">
        <v>356</v>
      </c>
      <c r="D304" s="551">
        <f t="shared" si="244"/>
        <v>27.245743040409302</v>
      </c>
      <c r="E304" s="553">
        <f>$D304/PI()*SQRT('Hilfstabellen_Mat&amp;Bem'!f.Rd.3/'Hilfstabellen_Mat&amp;Bem'!$BD$30)</f>
        <v>0.43362946830927457</v>
      </c>
      <c r="F304" s="553">
        <f>0.5*(1+'Hilfstabellen_Mat&amp;Bem'!$BD$31*($E304-0.3)+$E304^2)</f>
        <v>0.60069873130855589</v>
      </c>
      <c r="G304" s="550">
        <f t="shared" si="245"/>
        <v>0.98386822346634928</v>
      </c>
      <c r="I304" s="551">
        <f t="shared" si="290"/>
        <v>124691.52316923124</v>
      </c>
      <c r="M304" s="546">
        <f t="shared" si="246"/>
        <v>356</v>
      </c>
      <c r="N304" s="551">
        <f t="shared" si="236"/>
        <v>28.218805291852494</v>
      </c>
      <c r="O304" s="553">
        <f>$N304/PI()*SQRT('Hilfstabellen_Mat&amp;Bem'!f.Rd.3/'Hilfstabellen_Mat&amp;Bem'!$BD$30)</f>
        <v>0.4491162350346059</v>
      </c>
      <c r="P304" s="553">
        <f>0.5*(1+'Hilfstabellen_Mat&amp;Bem'!$BD$31*($O304-0.3)+$O304^2)</f>
        <v>0.60830850803755998</v>
      </c>
      <c r="Q304" s="550">
        <f t="shared" si="237"/>
        <v>0.98174582084468021</v>
      </c>
      <c r="S304" s="551">
        <f t="shared" si="291"/>
        <v>124422.53835057138</v>
      </c>
      <c r="W304" s="546">
        <f t="shared" si="247"/>
        <v>356</v>
      </c>
      <c r="X304" s="551">
        <f t="shared" si="238"/>
        <v>29.191867543295686</v>
      </c>
      <c r="Y304" s="553">
        <f>$X304/PI()*SQRT('Hilfstabellen_Mat&amp;Bem'!f.Rd.3/'Hilfstabellen_Mat&amp;Bem'!$BD$30)</f>
        <v>0.46460300175993718</v>
      </c>
      <c r="Z304" s="553">
        <f>0.5*(1+'Hilfstabellen_Mat&amp;Bem'!$BD$31*($Y304-0.3)+$Y304^2)</f>
        <v>0.61615812471016895</v>
      </c>
      <c r="AA304" s="550">
        <f t="shared" si="239"/>
        <v>0.97955287892928333</v>
      </c>
      <c r="AC304" s="551">
        <f t="shared" si="292"/>
        <v>124144.61366398165</v>
      </c>
      <c r="AG304" s="546">
        <f t="shared" si="248"/>
        <v>356</v>
      </c>
      <c r="AH304" s="551">
        <f t="shared" si="240"/>
        <v>30.164929794738875</v>
      </c>
      <c r="AI304" s="553">
        <f>$AH304/PI()*SQRT('Hilfstabellen_Mat&amp;Bem'!f.Rd.3/'Hilfstabellen_Mat&amp;Bem'!$BD$30)</f>
        <v>0.48008976848526841</v>
      </c>
      <c r="AJ304" s="553">
        <f>0.5*(1+'Hilfstabellen_Mat&amp;Bem'!$BD$31*($AI304-0.3)+$AI304^2)</f>
        <v>0.62424758132638269</v>
      </c>
      <c r="AK304" s="550">
        <f t="shared" si="241"/>
        <v>0.97728315486088257</v>
      </c>
      <c r="AM304" s="551">
        <f t="shared" si="293"/>
        <v>123856.95791444881</v>
      </c>
      <c r="AQ304" s="546">
        <f t="shared" si="249"/>
        <v>356</v>
      </c>
      <c r="AR304" s="551">
        <f t="shared" si="242"/>
        <v>31.137992046182063</v>
      </c>
      <c r="AS304" s="553">
        <f>$AR304/PI()*SQRT('Hilfstabellen_Mat&amp;Bem'!f.Rd.3/'Hilfstabellen_Mat&amp;Bem'!$BD$30)</f>
        <v>0.49557653521059963</v>
      </c>
      <c r="AT304" s="553">
        <f>0.5*(1+'Hilfstabellen_Mat&amp;Bem'!$BD$31*($AS304-0.3)+$AS304^2)</f>
        <v>0.63257687788620132</v>
      </c>
      <c r="AU304" s="550">
        <f t="shared" si="243"/>
        <v>0.97492989942836117</v>
      </c>
      <c r="AW304" s="551">
        <f t="shared" si="294"/>
        <v>123558.71573395278</v>
      </c>
      <c r="BA304" s="546">
        <f t="shared" si="250"/>
        <v>356</v>
      </c>
      <c r="BB304" s="551">
        <f t="shared" si="251"/>
        <v>32.111054297625252</v>
      </c>
      <c r="BC304" s="553">
        <f>$BB304/PI()*SQRT('Hilfstabellen_Mat&amp;Bem'!f.Rd.3/'Hilfstabellen_Mat&amp;Bem'!$BD$30)</f>
        <v>0.51106330193593086</v>
      </c>
      <c r="BD304" s="553">
        <f>0.5*(1+'Hilfstabellen_Mat&amp;Bem'!$BD$31*($BC304-0.3)+$BC304^2)</f>
        <v>0.64114601438962471</v>
      </c>
      <c r="BE304" s="550">
        <f t="shared" si="252"/>
        <v>0.97248580487133984</v>
      </c>
      <c r="BG304" s="551">
        <f t="shared" si="253"/>
        <v>123248.96096617413</v>
      </c>
      <c r="BK304" s="546">
        <f t="shared" si="254"/>
        <v>356</v>
      </c>
      <c r="BL304" s="551">
        <f t="shared" si="255"/>
        <v>33.08411654906844</v>
      </c>
      <c r="BM304" s="553">
        <f>$BL304/PI()*SQRT('Hilfstabellen_Mat&amp;Bem'!f.Rd.3/'Hilfstabellen_Mat&amp;Bem'!$BD$30)</f>
        <v>0.52655006866126208</v>
      </c>
      <c r="BN304" s="553">
        <f>0.5*(1+'Hilfstabellen_Mat&amp;Bem'!$BD$31*($BM304-0.3)+$BM304^2)</f>
        <v>0.64995499083665298</v>
      </c>
      <c r="BO304" s="550">
        <f t="shared" si="256"/>
        <v>0.96994294815102722</v>
      </c>
      <c r="BQ304" s="551">
        <f t="shared" si="257"/>
        <v>122926.68947686859</v>
      </c>
      <c r="BU304" s="546">
        <f t="shared" si="258"/>
        <v>356</v>
      </c>
      <c r="BV304" s="551">
        <f t="shared" si="259"/>
        <v>34.057178800511636</v>
      </c>
      <c r="BW304" s="553">
        <f>$BV304/PI()*SQRT('Hilfstabellen_Mat&amp;Bem'!f.Rd.3/'Hilfstabellen_Mat&amp;Bem'!$BD$30)</f>
        <v>0.54203683538659342</v>
      </c>
      <c r="BX304" s="553">
        <f>0.5*(1+'Hilfstabellen_Mat&amp;Bem'!$BD$31*($BW304-0.3)+$BW304^2)</f>
        <v>0.65900380722728613</v>
      </c>
      <c r="BY304" s="550">
        <f t="shared" si="260"/>
        <v>0.96729272958719414</v>
      </c>
      <c r="CA304" s="551">
        <f t="shared" si="261"/>
        <v>122590.81137696264</v>
      </c>
      <c r="CE304" s="546">
        <f t="shared" si="262"/>
        <v>356</v>
      </c>
      <c r="CF304" s="551">
        <f t="shared" si="263"/>
        <v>35.030241051954825</v>
      </c>
      <c r="CG304" s="553">
        <f>CF304/PI()*SQRT('Hilfstabellen_Mat&amp;Bem'!f.Rd.3/'Hilfstabellen_Mat&amp;Bem'!$BD$30)</f>
        <v>0.55752360211192464</v>
      </c>
      <c r="CH304" s="553">
        <f>0.5*(1+'Hilfstabellen_Mat&amp;Bem'!$BD$31*(CG304-0.3)+CG304^2)</f>
        <v>0.66829246356152405</v>
      </c>
      <c r="CI304" s="550">
        <f t="shared" si="264"/>
        <v>0.96452580690191503</v>
      </c>
      <c r="CK304" s="551">
        <f t="shared" si="265"/>
        <v>122240.14266352111</v>
      </c>
      <c r="CO304" s="546">
        <f t="shared" si="266"/>
        <v>356</v>
      </c>
      <c r="CP304" s="551">
        <f t="shared" si="267"/>
        <v>36.003303303398013</v>
      </c>
      <c r="CQ304" s="553">
        <f>CP304/PI()*SQRT('Hilfstabellen_Mat&amp;Bem'!f.Rd.3/'Hilfstabellen_Mat&amp;Bem'!$BD$30)</f>
        <v>0.57301036883725587</v>
      </c>
      <c r="CR304" s="553">
        <f>0.5*(1+'Hilfstabellen_Mat&amp;Bem'!$BD$31*(CQ304-0.3)+CQ304^2)</f>
        <v>0.67782095983936685</v>
      </c>
      <c r="CS304" s="550">
        <f t="shared" si="268"/>
        <v>0.96163202492026467</v>
      </c>
      <c r="CU304" s="551">
        <f t="shared" si="269"/>
        <v>121873.39631029466</v>
      </c>
      <c r="CY304" s="546">
        <f t="shared" si="270"/>
        <v>356</v>
      </c>
      <c r="CZ304" s="551">
        <f t="shared" si="271"/>
        <v>36.976365554841202</v>
      </c>
      <c r="DA304" s="553">
        <f>CZ304/PI()*SQRT('Hilfstabellen_Mat&amp;Bem'!f.Rd.3/'Hilfstabellen_Mat&amp;Bem'!$BD$30)</f>
        <v>0.58849713556258709</v>
      </c>
      <c r="DB304" s="553">
        <f>0.5*(1+'Hilfstabellen_Mat&amp;Bem'!$BD$31*(DA304-0.3)+DA304^2)</f>
        <v>0.68758929606081431</v>
      </c>
      <c r="DC304" s="550">
        <f t="shared" si="272"/>
        <v>0.95860034147663187</v>
      </c>
      <c r="DE304" s="551">
        <f t="shared" si="273"/>
        <v>121489.17287738241</v>
      </c>
      <c r="DI304" s="546">
        <f t="shared" si="274"/>
        <v>356</v>
      </c>
      <c r="DJ304" s="551">
        <f t="shared" si="275"/>
        <v>37.94942780628439</v>
      </c>
      <c r="DK304" s="553">
        <f>DJ304/PI()*SQRT('Hilfstabellen_Mat&amp;Bem'!f.Rd.3/'Hilfstabellen_Mat&amp;Bem'!$BD$30)</f>
        <v>0.60398390228791832</v>
      </c>
      <c r="DL304" s="553">
        <f>0.5*(1+'Hilfstabellen_Mat&amp;Bem'!$BD$31*(DK304-0.3)+DK304^2)</f>
        <v>0.69759747222586677</v>
      </c>
      <c r="DM304" s="550">
        <f t="shared" si="276"/>
        <v>0.95541875049053171</v>
      </c>
      <c r="DO304" s="551">
        <f t="shared" si="277"/>
        <v>121085.95076216802</v>
      </c>
      <c r="DS304" s="546">
        <f t="shared" si="278"/>
        <v>356</v>
      </c>
      <c r="DT304" s="551">
        <f t="shared" si="279"/>
        <v>38.922490057727579</v>
      </c>
      <c r="DU304" s="553">
        <f>DT304/PI()*SQRT('Hilfstabellen_Mat&amp;Bem'!f.Rd.3/'Hilfstabellen_Mat&amp;Bem'!$BD$30)</f>
        <v>0.61947066901324954</v>
      </c>
      <c r="DV304" s="553">
        <f>0.5*(1+'Hilfstabellen_Mat&amp;Bem'!$BD$31*(DU304-0.3)+DU304^2)</f>
        <v>0.70784548833452399</v>
      </c>
      <c r="DW304" s="550">
        <f t="shared" si="280"/>
        <v>0.95207420374178831</v>
      </c>
      <c r="DY304" s="551">
        <f t="shared" si="281"/>
        <v>120662.07628541929</v>
      </c>
      <c r="EC304" s="546">
        <f t="shared" si="282"/>
        <v>356</v>
      </c>
      <c r="ED304" s="551">
        <f t="shared" si="283"/>
        <v>39.895552309170768</v>
      </c>
      <c r="EE304" s="553">
        <f>ED304/PI()*SQRT('Hilfstabellen_Mat&amp;Bem'!f.Rd.3/'Hilfstabellen_Mat&amp;Bem'!$BD$30)</f>
        <v>0.63495743573858077</v>
      </c>
      <c r="EF304" s="553">
        <f>0.5*(1+'Hilfstabellen_Mat&amp;Bem'!$BD$31*(EE304-0.3)+EE304^2)</f>
        <v>0.71833334438678598</v>
      </c>
      <c r="EG304" s="550">
        <f t="shared" si="284"/>
        <v>0.94855253363196013</v>
      </c>
      <c r="EI304" s="551">
        <f t="shared" si="285"/>
        <v>120215.75390238009</v>
      </c>
      <c r="EM304" s="546">
        <f t="shared" si="286"/>
        <v>356</v>
      </c>
      <c r="EN304" s="551">
        <f t="shared" si="287"/>
        <v>40.868614560613956</v>
      </c>
      <c r="EO304" s="553">
        <f>EN304/PI()*SQRT('Hilfstabellen_Mat&amp;Bem'!f.Rd.3/'Hilfstabellen_Mat&amp;Bem'!$BD$30)</f>
        <v>0.65044420246391199</v>
      </c>
      <c r="EP304" s="553">
        <f>0.5*(1+'Hilfstabellen_Mat&amp;Bem'!$BD$31*(EO304-0.3)+EO304^2)</f>
        <v>0.72906104038265285</v>
      </c>
      <c r="EQ304" s="550">
        <f t="shared" si="288"/>
        <v>0.94483838021238098</v>
      </c>
      <c r="ES304" s="551">
        <f t="shared" si="289"/>
        <v>119745.03695459632</v>
      </c>
    </row>
    <row r="305" spans="3:149">
      <c r="C305" s="546">
        <v>357</v>
      </c>
      <c r="D305" s="551">
        <f t="shared" si="244"/>
        <v>27.169424432452974</v>
      </c>
      <c r="E305" s="553">
        <f>$D305/PI()*SQRT('Hilfstabellen_Mat&amp;Bem'!f.Rd.3/'Hilfstabellen_Mat&amp;Bem'!$BD$30)</f>
        <v>0.43241481993866043</v>
      </c>
      <c r="F305" s="553">
        <f>0.5*(1+'Hilfstabellen_Mat&amp;Bem'!$BD$31*($E305-0.3)+$E305^2)</f>
        <v>0.60011202924822504</v>
      </c>
      <c r="G305" s="550">
        <f t="shared" si="245"/>
        <v>0.98403187559925209</v>
      </c>
      <c r="I305" s="551">
        <f t="shared" si="290"/>
        <v>125413.87851324907</v>
      </c>
      <c r="M305" s="546">
        <f t="shared" si="246"/>
        <v>357</v>
      </c>
      <c r="N305" s="551">
        <f t="shared" si="236"/>
        <v>28.139761019326293</v>
      </c>
      <c r="O305" s="553">
        <f>$N305/PI()*SQRT('Hilfstabellen_Mat&amp;Bem'!f.Rd.3/'Hilfstabellen_Mat&amp;Bem'!$BD$30)</f>
        <v>0.44785820636504114</v>
      </c>
      <c r="P305" s="553">
        <f>0.5*(1+'Hilfstabellen_Mat&amp;Bem'!$BD$31*($O305-0.3)+$O305^2)</f>
        <v>0.60768139682250799</v>
      </c>
      <c r="Q305" s="550">
        <f t="shared" si="237"/>
        <v>0.98192078057607957</v>
      </c>
      <c r="S305" s="551">
        <f t="shared" si="291"/>
        <v>125144.82156364077</v>
      </c>
      <c r="W305" s="546">
        <f t="shared" si="247"/>
        <v>357</v>
      </c>
      <c r="X305" s="551">
        <f t="shared" si="238"/>
        <v>29.110097606199616</v>
      </c>
      <c r="Y305" s="553">
        <f>$X305/PI()*SQRT('Hilfstabellen_Mat&amp;Bem'!f.Rd.3/'Hilfstabellen_Mat&amp;Bem'!$BD$30)</f>
        <v>0.46330159279142191</v>
      </c>
      <c r="Z305" s="553">
        <f>0.5*(1+'Hilfstabellen_Mat&amp;Bem'!$BD$31*($Y305-0.3)+$Y305^2)</f>
        <v>0.61548926258110537</v>
      </c>
      <c r="AA305" s="550">
        <f t="shared" si="239"/>
        <v>0.97974002474723776</v>
      </c>
      <c r="AC305" s="551">
        <f t="shared" si="292"/>
        <v>124866.8864140107</v>
      </c>
      <c r="AG305" s="546">
        <f t="shared" si="248"/>
        <v>357</v>
      </c>
      <c r="AH305" s="551">
        <f t="shared" si="240"/>
        <v>30.080434193072936</v>
      </c>
      <c r="AI305" s="553">
        <f>$AH305/PI()*SQRT('Hilfstabellen_Mat&amp;Bem'!f.Rd.3/'Hilfstabellen_Mat&amp;Bem'!$BD$30)</f>
        <v>0.47874497921780262</v>
      </c>
      <c r="AJ305" s="553">
        <f>0.5*(1+'Hilfstabellen_Mat&amp;Bem'!$BD$31*($AI305-0.3)+$AI305^2)</f>
        <v>0.62353562652401728</v>
      </c>
      <c r="AK305" s="550">
        <f t="shared" si="241"/>
        <v>0.97748345691127858</v>
      </c>
      <c r="AM305" s="551">
        <f t="shared" si="293"/>
        <v>124579.28909988554</v>
      </c>
      <c r="AQ305" s="546">
        <f t="shared" si="249"/>
        <v>357</v>
      </c>
      <c r="AR305" s="551">
        <f t="shared" si="242"/>
        <v>31.050770779946259</v>
      </c>
      <c r="AS305" s="553">
        <f>$AR305/PI()*SQRT('Hilfstabellen_Mat&amp;Bem'!f.Rd.3/'Hilfstabellen_Mat&amp;Bem'!$BD$30)</f>
        <v>0.49418836564418334</v>
      </c>
      <c r="AT305" s="553">
        <f>0.5*(1+'Hilfstabellen_Mat&amp;Bem'!$BD$31*($AS305-0.3)+$AS305^2)</f>
        <v>0.63182048865124374</v>
      </c>
      <c r="AU305" s="550">
        <f t="shared" si="243"/>
        <v>0.97514442930743006</v>
      </c>
      <c r="AW305" s="551">
        <f t="shared" si="294"/>
        <v>124281.18237080265</v>
      </c>
      <c r="BA305" s="546">
        <f t="shared" si="250"/>
        <v>357</v>
      </c>
      <c r="BB305" s="551">
        <f t="shared" si="251"/>
        <v>32.021107366819578</v>
      </c>
      <c r="BC305" s="553">
        <f>$BB305/PI()*SQRT('Hilfstabellen_Mat&amp;Bem'!f.Rd.3/'Hilfstabellen_Mat&amp;Bem'!$BD$30)</f>
        <v>0.5096317520705641</v>
      </c>
      <c r="BD305" s="553">
        <f>0.5*(1+'Hilfstabellen_Mat&amp;Bem'!$BD$31*($BC305-0.3)+$BC305^2)</f>
        <v>0.64034384896278473</v>
      </c>
      <c r="BE305" s="550">
        <f t="shared" si="252"/>
        <v>0.97271574651922277</v>
      </c>
      <c r="BG305" s="551">
        <f t="shared" si="253"/>
        <v>123971.64917812843</v>
      </c>
      <c r="BK305" s="546">
        <f t="shared" si="254"/>
        <v>357</v>
      </c>
      <c r="BL305" s="551">
        <f t="shared" si="255"/>
        <v>32.991443953692901</v>
      </c>
      <c r="BM305" s="553">
        <f>$BL305/PI()*SQRT('Hilfstabellen_Mat&amp;Bem'!f.Rd.3/'Hilfstabellen_Mat&amp;Bem'!$BD$30)</f>
        <v>0.52507513849694487</v>
      </c>
      <c r="BN305" s="553">
        <f>0.5*(1+'Hilfstabellen_Mat&amp;Bem'!$BD$31*($BM305-0.3)+$BM305^2)</f>
        <v>0.64910570745864016</v>
      </c>
      <c r="BO305" s="550">
        <f t="shared" si="256"/>
        <v>0.97018960993554149</v>
      </c>
      <c r="BQ305" s="551">
        <f t="shared" si="257"/>
        <v>123649.69559667482</v>
      </c>
      <c r="BU305" s="546">
        <f t="shared" si="258"/>
        <v>357</v>
      </c>
      <c r="BV305" s="551">
        <f t="shared" si="259"/>
        <v>33.961780540566224</v>
      </c>
      <c r="BW305" s="553">
        <f>$BV305/PI()*SQRT('Hilfstabellen_Mat&amp;Bem'!f.Rd.3/'Hilfstabellen_Mat&amp;Bem'!$BD$30)</f>
        <v>0.54051852492332564</v>
      </c>
      <c r="BX305" s="553">
        <f>0.5*(1+'Hilfstabellen_Mat&amp;Bem'!$BD$31*($BW305-0.3)+$BW305^2)</f>
        <v>0.65810606413881012</v>
      </c>
      <c r="BY305" s="550">
        <f t="shared" si="260"/>
        <v>0.96755755765905538</v>
      </c>
      <c r="CA305" s="551">
        <f t="shared" si="261"/>
        <v>123314.24316608896</v>
      </c>
      <c r="CE305" s="546">
        <f t="shared" si="262"/>
        <v>357</v>
      </c>
      <c r="CF305" s="551">
        <f t="shared" si="263"/>
        <v>34.93211712743954</v>
      </c>
      <c r="CG305" s="553">
        <f>CF305/PI()*SQRT('Hilfstabellen_Mat&amp;Bem'!f.Rd.3/'Hilfstabellen_Mat&amp;Bem'!$BD$30)</f>
        <v>0.55596191134970629</v>
      </c>
      <c r="CH305" s="553">
        <f>0.5*(1+'Hilfstabellen_Mat&amp;Bem'!$BD$31*(CG305-0.3)+CG305^2)</f>
        <v>0.66734491900329473</v>
      </c>
      <c r="CI305" s="550">
        <f t="shared" si="264"/>
        <v>0.96481039988660533</v>
      </c>
      <c r="CK305" s="551">
        <f t="shared" si="265"/>
        <v>122964.12065514797</v>
      </c>
      <c r="CO305" s="546">
        <f t="shared" si="266"/>
        <v>357</v>
      </c>
      <c r="CP305" s="551">
        <f t="shared" si="267"/>
        <v>35.902453714312863</v>
      </c>
      <c r="CQ305" s="553">
        <f>CP305/PI()*SQRT('Hilfstabellen_Mat&amp;Bem'!f.Rd.3/'Hilfstabellen_Mat&amp;Bem'!$BD$30)</f>
        <v>0.57140529777608706</v>
      </c>
      <c r="CR305" s="553">
        <f>0.5*(1+'Hilfstabellen_Mat&amp;Bem'!$BD$31*(CQ305-0.3)+CQ305^2)</f>
        <v>0.67682227205209367</v>
      </c>
      <c r="CS305" s="550">
        <f t="shared" si="268"/>
        <v>0.96193814998412708</v>
      </c>
      <c r="CU305" s="551">
        <f t="shared" si="269"/>
        <v>122598.05527732702</v>
      </c>
      <c r="CY305" s="546">
        <f t="shared" si="270"/>
        <v>357</v>
      </c>
      <c r="CZ305" s="551">
        <f t="shared" si="271"/>
        <v>36.872790301186178</v>
      </c>
      <c r="DA305" s="553">
        <f>CZ305/PI()*SQRT('Hilfstabellen_Mat&amp;Bem'!f.Rd.3/'Hilfstabellen_Mat&amp;Bem'!$BD$30)</f>
        <v>0.58684868420246772</v>
      </c>
      <c r="DB305" s="553">
        <f>0.5*(1+'Hilfstabellen_Mat&amp;Bem'!$BD$31*(DA305-0.3)+DA305^2)</f>
        <v>0.68653812328520725</v>
      </c>
      <c r="DC305" s="550">
        <f t="shared" si="272"/>
        <v>0.95892995176110984</v>
      </c>
      <c r="DE305" s="551">
        <f t="shared" si="273"/>
        <v>122214.66342200169</v>
      </c>
      <c r="DI305" s="546">
        <f t="shared" si="274"/>
        <v>357</v>
      </c>
      <c r="DJ305" s="551">
        <f t="shared" si="275"/>
        <v>37.843126888059501</v>
      </c>
      <c r="DK305" s="553">
        <f>DJ305/PI()*SQRT('Hilfstabellen_Mat&amp;Bem'!f.Rd.3/'Hilfstabellen_Mat&amp;Bem'!$BD$30)</f>
        <v>0.60229207062884849</v>
      </c>
      <c r="DL305" s="553">
        <f>0.5*(1+'Hilfstabellen_Mat&amp;Bem'!$BD$31*(DK305-0.3)+DK305^2)</f>
        <v>0.69649247270263537</v>
      </c>
      <c r="DM305" s="550">
        <f t="shared" si="276"/>
        <v>0.95577400384300881</v>
      </c>
      <c r="DO305" s="551">
        <f t="shared" si="277"/>
        <v>121812.44101578763</v>
      </c>
      <c r="DS305" s="546">
        <f t="shared" si="278"/>
        <v>357</v>
      </c>
      <c r="DT305" s="551">
        <f t="shared" si="279"/>
        <v>38.813463474932817</v>
      </c>
      <c r="DU305" s="553">
        <f>DT305/PI()*SQRT('Hilfstabellen_Mat&amp;Bem'!f.Rd.3/'Hilfstabellen_Mat&amp;Bem'!$BD$30)</f>
        <v>0.61773545705522914</v>
      </c>
      <c r="DV305" s="553">
        <f>0.5*(1+'Hilfstabellen_Mat&amp;Bem'!$BD$31*(DU305-0.3)+DU305^2)</f>
        <v>0.70668532030437781</v>
      </c>
      <c r="DW305" s="550">
        <f t="shared" si="280"/>
        <v>0.95245748257678786</v>
      </c>
      <c r="DY305" s="551">
        <f t="shared" si="281"/>
        <v>121389.75369692904</v>
      </c>
      <c r="EC305" s="546">
        <f t="shared" si="282"/>
        <v>357</v>
      </c>
      <c r="ED305" s="551">
        <f t="shared" si="283"/>
        <v>39.78380006180614</v>
      </c>
      <c r="EE305" s="553">
        <f>ED305/PI()*SQRT('Hilfstabellen_Mat&amp;Bem'!f.Rd.3/'Hilfstabellen_Mat&amp;Bem'!$BD$30)</f>
        <v>0.63317884348160991</v>
      </c>
      <c r="EF305" s="553">
        <f>0.5*(1+'Hilfstabellen_Mat&amp;Bem'!$BD$31*(EE305-0.3)+EE305^2)</f>
        <v>0.71711666609043501</v>
      </c>
      <c r="EG305" s="550">
        <f t="shared" si="284"/>
        <v>0.948966465623579</v>
      </c>
      <c r="EI305" s="551">
        <f t="shared" si="285"/>
        <v>120944.82707725951</v>
      </c>
      <c r="EM305" s="546">
        <f t="shared" si="286"/>
        <v>357</v>
      </c>
      <c r="EN305" s="551">
        <f t="shared" si="287"/>
        <v>40.754136648679463</v>
      </c>
      <c r="EO305" s="553">
        <f>EN305/PI()*SQRT('Hilfstabellen_Mat&amp;Bem'!f.Rd.3/'Hilfstabellen_Mat&amp;Bem'!$BD$30)</f>
        <v>0.64862222990799068</v>
      </c>
      <c r="EP305" s="553">
        <f>0.5*(1+'Hilfstabellen_Mat&amp;Bem'!$BD$31*(EO305-0.3)+EO305^2)</f>
        <v>0.72778651006080675</v>
      </c>
      <c r="EQ305" s="550">
        <f t="shared" si="288"/>
        <v>0.94528585933696407</v>
      </c>
      <c r="ES305" s="551">
        <f t="shared" si="289"/>
        <v>120475.73748663673</v>
      </c>
    </row>
    <row r="306" spans="3:149">
      <c r="C306" s="546">
        <v>358</v>
      </c>
      <c r="D306" s="551">
        <f t="shared" si="244"/>
        <v>27.093532185434952</v>
      </c>
      <c r="E306" s="553">
        <f>$D306/PI()*SQRT('Hilfstabellen_Mat&amp;Bem'!f.Rd.3/'Hilfstabellen_Mat&amp;Bem'!$BD$30)</f>
        <v>0.43120695731313347</v>
      </c>
      <c r="F306" s="553">
        <f>0.5*(1+'Hilfstabellen_Mat&amp;Bem'!$BD$31*($E306-0.3)+$E306^2)</f>
        <v>0.59953006788328189</v>
      </c>
      <c r="G306" s="550">
        <f t="shared" si="245"/>
        <v>0.98419422132743473</v>
      </c>
      <c r="I306" s="551">
        <f t="shared" si="290"/>
        <v>126138.26818220934</v>
      </c>
      <c r="M306" s="546">
        <f t="shared" si="246"/>
        <v>358</v>
      </c>
      <c r="N306" s="551">
        <f t="shared" si="236"/>
        <v>28.061158334914769</v>
      </c>
      <c r="O306" s="553">
        <f>$N306/PI()*SQRT('Hilfstabellen_Mat&amp;Bem'!f.Rd.3/'Hilfstabellen_Mat&amp;Bem'!$BD$30)</f>
        <v>0.44660720578860247</v>
      </c>
      <c r="P306" s="553">
        <f>0.5*(1+'Hilfstabellen_Mat&amp;Bem'!$BD$31*($O306-0.3)+$O306^2)</f>
        <v>0.60705935842058167</v>
      </c>
      <c r="Q306" s="550">
        <f t="shared" si="237"/>
        <v>0.98209430472598913</v>
      </c>
      <c r="S306" s="551">
        <f t="shared" si="291"/>
        <v>125869.13447090167</v>
      </c>
      <c r="W306" s="546">
        <f t="shared" si="247"/>
        <v>358</v>
      </c>
      <c r="X306" s="551">
        <f t="shared" si="238"/>
        <v>29.028784484394588</v>
      </c>
      <c r="Y306" s="553">
        <f>$X306/PI()*SQRT('Hilfstabellen_Mat&amp;Bem'!f.Rd.3/'Hilfstabellen_Mat&amp;Bem'!$BD$30)</f>
        <v>0.46200745426407153</v>
      </c>
      <c r="Z306" s="553">
        <f>0.5*(1+'Hilfstabellen_Mat&amp;Bem'!$BD$31*($Y306-0.3)+$Y306^2)</f>
        <v>0.61482581661098767</v>
      </c>
      <c r="AA306" s="550">
        <f t="shared" si="239"/>
        <v>0.97992559147328073</v>
      </c>
      <c r="AC306" s="551">
        <f t="shared" si="292"/>
        <v>125591.18350558155</v>
      </c>
      <c r="AG306" s="546">
        <f t="shared" si="248"/>
        <v>358</v>
      </c>
      <c r="AH306" s="551">
        <f t="shared" si="240"/>
        <v>29.996410633874412</v>
      </c>
      <c r="AI306" s="553">
        <f>$AH306/PI()*SQRT('Hilfstabellen_Mat&amp;Bem'!f.Rd.3/'Hilfstabellen_Mat&amp;Bem'!$BD$30)</f>
        <v>0.47740770273954064</v>
      </c>
      <c r="AJ306" s="553">
        <f>0.5*(1+'Hilfstabellen_Mat&amp;Bem'!$BD$31*($AI306-0.3)+$AI306^2)</f>
        <v>0.62282944245449978</v>
      </c>
      <c r="AK306" s="550">
        <f t="shared" si="241"/>
        <v>0.97768202025051365</v>
      </c>
      <c r="AM306" s="551">
        <f t="shared" si="293"/>
        <v>125303.63844338684</v>
      </c>
      <c r="AQ306" s="546">
        <f t="shared" si="249"/>
        <v>358</v>
      </c>
      <c r="AR306" s="551">
        <f t="shared" si="242"/>
        <v>30.964036783354228</v>
      </c>
      <c r="AS306" s="553">
        <f>$AR306/PI()*SQRT('Hilfstabellen_Mat&amp;Bem'!f.Rd.3/'Hilfstabellen_Mat&amp;Bem'!$BD$30)</f>
        <v>0.49280795121500964</v>
      </c>
      <c r="AT306" s="553">
        <f>0.5*(1+'Hilfstabellen_Mat&amp;Bem'!$BD$31*($AS306-0.3)+$AS306^2)</f>
        <v>0.63107023595111822</v>
      </c>
      <c r="AU306" s="550">
        <f t="shared" si="243"/>
        <v>0.97535704274879342</v>
      </c>
      <c r="AW306" s="551">
        <f t="shared" si="294"/>
        <v>125005.66002685636</v>
      </c>
      <c r="BA306" s="546">
        <f t="shared" si="250"/>
        <v>358</v>
      </c>
      <c r="BB306" s="551">
        <f t="shared" si="251"/>
        <v>31.931662932834051</v>
      </c>
      <c r="BC306" s="553">
        <f>$BB306/PI()*SQRT('Hilfstabellen_Mat&amp;Bem'!f.Rd.3/'Hilfstabellen_Mat&amp;Bem'!$BD$30)</f>
        <v>0.50820819969047881</v>
      </c>
      <c r="BD306" s="553">
        <f>0.5*(1+'Hilfstabellen_Mat&amp;Bem'!$BD$31*($BC306-0.3)+$BC306^2)</f>
        <v>0.63954819710084276</v>
      </c>
      <c r="BE306" s="550">
        <f t="shared" si="252"/>
        <v>0.97294357364780937</v>
      </c>
      <c r="BG306" s="551">
        <f t="shared" si="253"/>
        <v>124696.34017299784</v>
      </c>
      <c r="BK306" s="546">
        <f t="shared" si="254"/>
        <v>358</v>
      </c>
      <c r="BL306" s="551">
        <f t="shared" si="255"/>
        <v>32.899289082313871</v>
      </c>
      <c r="BM306" s="553">
        <f>$BL306/PI()*SQRT('Hilfstabellen_Mat&amp;Bem'!f.Rd.3/'Hilfstabellen_Mat&amp;Bem'!$BD$30)</f>
        <v>0.52360844816594776</v>
      </c>
      <c r="BN306" s="553">
        <f>0.5*(1+'Hilfstabellen_Mat&amp;Bem'!$BD$31*($BM306-0.3)+$BM306^2)</f>
        <v>0.64826332590367342</v>
      </c>
      <c r="BO306" s="550">
        <f t="shared" si="256"/>
        <v>0.9704339362397495</v>
      </c>
      <c r="BQ306" s="551">
        <f t="shared" si="257"/>
        <v>124374.69500423125</v>
      </c>
      <c r="BU306" s="546">
        <f t="shared" si="258"/>
        <v>358</v>
      </c>
      <c r="BV306" s="551">
        <f t="shared" si="259"/>
        <v>33.866915231793691</v>
      </c>
      <c r="BW306" s="553">
        <f>$BV306/PI()*SQRT('Hilfstabellen_Mat&amp;Bem'!f.Rd.3/'Hilfstabellen_Mat&amp;Bem'!$BD$30)</f>
        <v>0.53900869664141682</v>
      </c>
      <c r="BX306" s="553">
        <f>0.5*(1+'Hilfstabellen_Mat&amp;Bem'!$BD$31*($BW306-0.3)+$BW306^2)</f>
        <v>0.65721562235961029</v>
      </c>
      <c r="BY306" s="550">
        <f t="shared" si="260"/>
        <v>0.96781980358126196</v>
      </c>
      <c r="CA306" s="551">
        <f t="shared" si="261"/>
        <v>124039.65730618886</v>
      </c>
      <c r="CE306" s="546">
        <f t="shared" si="262"/>
        <v>358</v>
      </c>
      <c r="CF306" s="551">
        <f t="shared" si="263"/>
        <v>34.83454138127351</v>
      </c>
      <c r="CG306" s="553">
        <f>CF306/PI()*SQRT('Hilfstabellen_Mat&amp;Bem'!f.Rd.3/'Hilfstabellen_Mat&amp;Bem'!$BD$30)</f>
        <v>0.55440894511688599</v>
      </c>
      <c r="CH306" s="553">
        <f>0.5*(1+'Hilfstabellen_Mat&amp;Bem'!$BD$31*(CG306-0.3)+CG306^2)</f>
        <v>0.66640508646865348</v>
      </c>
      <c r="CI306" s="550">
        <f t="shared" si="264"/>
        <v>0.96509213518318182</v>
      </c>
      <c r="CK306" s="551">
        <f t="shared" si="265"/>
        <v>123690.06841361731</v>
      </c>
      <c r="CO306" s="546">
        <f t="shared" si="266"/>
        <v>358</v>
      </c>
      <c r="CP306" s="551">
        <f t="shared" si="267"/>
        <v>35.802167530753323</v>
      </c>
      <c r="CQ306" s="553">
        <f>CP306/PI()*SQRT('Hilfstabellen_Mat&amp;Bem'!f.Rd.3/'Hilfstabellen_Mat&amp;Bem'!$BD$30)</f>
        <v>0.56980919359235482</v>
      </c>
      <c r="CR306" s="553">
        <f>0.5*(1+'Hilfstabellen_Mat&amp;Bem'!$BD$31*(CQ306-0.3)+CQ306^2)</f>
        <v>0.67583171823080257</v>
      </c>
      <c r="CS306" s="550">
        <f t="shared" si="268"/>
        <v>0.96224110943483476</v>
      </c>
      <c r="CU306" s="551">
        <f t="shared" si="269"/>
        <v>123324.66954960616</v>
      </c>
      <c r="CY306" s="546">
        <f t="shared" si="270"/>
        <v>358</v>
      </c>
      <c r="CZ306" s="551">
        <f t="shared" si="271"/>
        <v>36.76979368023315</v>
      </c>
      <c r="DA306" s="553">
        <f>CZ306/PI()*SQRT('Hilfstabellen_Mat&amp;Bem'!f.Rd.3/'Hilfstabellen_Mat&amp;Bem'!$BD$30)</f>
        <v>0.58520944206782399</v>
      </c>
      <c r="DB306" s="553">
        <f>0.5*(1+'Hilfstabellen_Mat&amp;Bem'!$BD$31*(DA306-0.3)+DA306^2)</f>
        <v>0.68549551764605809</v>
      </c>
      <c r="DC306" s="550">
        <f t="shared" si="272"/>
        <v>0.95925605222699117</v>
      </c>
      <c r="DE306" s="551">
        <f t="shared" si="273"/>
        <v>122942.09267762009</v>
      </c>
      <c r="DI306" s="546">
        <f t="shared" si="274"/>
        <v>358</v>
      </c>
      <c r="DJ306" s="551">
        <f t="shared" si="275"/>
        <v>37.737419829712969</v>
      </c>
      <c r="DK306" s="553">
        <f>DJ306/PI()*SQRT('Hilfstabellen_Mat&amp;Bem'!f.Rd.3/'Hilfstabellen_Mat&amp;Bem'!$BD$30)</f>
        <v>0.60060969054329316</v>
      </c>
      <c r="DL306" s="553">
        <f>0.5*(1+'Hilfstabellen_Mat&amp;Bem'!$BD$31*(DK306-0.3)+DK306^2)</f>
        <v>0.69539648471441984</v>
      </c>
      <c r="DM306" s="550">
        <f t="shared" si="276"/>
        <v>0.9561253626102636</v>
      </c>
      <c r="DO306" s="551">
        <f t="shared" si="277"/>
        <v>122540.85097358182</v>
      </c>
      <c r="DS306" s="546">
        <f t="shared" si="278"/>
        <v>358</v>
      </c>
      <c r="DT306" s="551">
        <f t="shared" si="279"/>
        <v>38.705045979192782</v>
      </c>
      <c r="DU306" s="553">
        <f>DT306/PI()*SQRT('Hilfstabellen_Mat&amp;Bem'!f.Rd.3/'Hilfstabellen_Mat&amp;Bem'!$BD$30)</f>
        <v>0.616009939018762</v>
      </c>
      <c r="DV306" s="553">
        <f>0.5*(1+'Hilfstabellen_Mat&amp;Bem'!$BD$31*(DU306-0.3)+DU306^2)</f>
        <v>0.70553461943588758</v>
      </c>
      <c r="DW306" s="550">
        <f t="shared" si="280"/>
        <v>0.95283643683487418</v>
      </c>
      <c r="DY306" s="551">
        <f t="shared" si="281"/>
        <v>122119.32909050482</v>
      </c>
      <c r="EC306" s="546">
        <f t="shared" si="282"/>
        <v>358</v>
      </c>
      <c r="ED306" s="551">
        <f t="shared" si="283"/>
        <v>39.672672128672609</v>
      </c>
      <c r="EE306" s="553">
        <f>ED306/PI()*SQRT('Hilfstabellen_Mat&amp;Bem'!f.Rd.3/'Hilfstabellen_Mat&amp;Bem'!$BD$30)</f>
        <v>0.63141018749423117</v>
      </c>
      <c r="EF306" s="553">
        <f>0.5*(1+'Hilfstabellen_Mat&amp;Bem'!$BD$31*(EE306-0.3)+EE306^2)</f>
        <v>0.71590992181046165</v>
      </c>
      <c r="EG306" s="550">
        <f t="shared" si="284"/>
        <v>0.94937559280021599</v>
      </c>
      <c r="EI306" s="551">
        <f t="shared" si="285"/>
        <v>121675.77347564689</v>
      </c>
      <c r="EM306" s="546">
        <f t="shared" si="286"/>
        <v>358</v>
      </c>
      <c r="EN306" s="551">
        <f t="shared" si="287"/>
        <v>40.640298278152422</v>
      </c>
      <c r="EO306" s="553">
        <f>EN306/PI()*SQRT('Hilfstabellen_Mat&amp;Bem'!f.Rd.3/'Hilfstabellen_Mat&amp;Bem'!$BD$30)</f>
        <v>0.64681043596970011</v>
      </c>
      <c r="EP306" s="553">
        <f>0.5*(1+'Hilfstabellen_Mat&amp;Bem'!$BD$31*(EO306-0.3)+EO306^2)</f>
        <v>0.72652239183814182</v>
      </c>
      <c r="EQ306" s="550">
        <f t="shared" si="288"/>
        <v>0.94572799784059813</v>
      </c>
      <c r="ES306" s="551">
        <f t="shared" si="289"/>
        <v>121208.28311524242</v>
      </c>
    </row>
    <row r="307" spans="3:149">
      <c r="C307" s="546">
        <v>359</v>
      </c>
      <c r="D307" s="551">
        <f t="shared" si="244"/>
        <v>27.018062736450453</v>
      </c>
      <c r="E307" s="553">
        <f>$D307/PI()*SQRT('Hilfstabellen_Mat&amp;Bem'!f.Rd.3/'Hilfstabellen_Mat&amp;Bem'!$BD$30)</f>
        <v>0.430005823727303</v>
      </c>
      <c r="F307" s="553">
        <f>0.5*(1+'Hilfstabellen_Mat&amp;Bem'!$BD$31*($E307-0.3)+$E307^2)</f>
        <v>0.59895279540606339</v>
      </c>
      <c r="G307" s="550">
        <f t="shared" si="245"/>
        <v>0.98435527743205486</v>
      </c>
      <c r="I307" s="551">
        <f t="shared" si="290"/>
        <v>126864.69251072066</v>
      </c>
      <c r="M307" s="546">
        <f t="shared" si="246"/>
        <v>359</v>
      </c>
      <c r="N307" s="551">
        <f t="shared" si="236"/>
        <v>27.982993548466542</v>
      </c>
      <c r="O307" s="553">
        <f>$N307/PI()*SQRT('Hilfstabellen_Mat&amp;Bem'!f.Rd.3/'Hilfstabellen_Mat&amp;Bem'!$BD$30)</f>
        <v>0.44536317457470675</v>
      </c>
      <c r="P307" s="553">
        <f>0.5*(1+'Hilfstabellen_Mat&amp;Bem'!$BD$31*($O307-0.3)+$O307^2)</f>
        <v>0.60644233736236564</v>
      </c>
      <c r="Q307" s="550">
        <f t="shared" si="237"/>
        <v>0.98226641221735356</v>
      </c>
      <c r="S307" s="551">
        <f t="shared" si="291"/>
        <v>126595.47747298474</v>
      </c>
      <c r="W307" s="546">
        <f t="shared" si="247"/>
        <v>359</v>
      </c>
      <c r="X307" s="551">
        <f t="shared" si="238"/>
        <v>28.947924360482627</v>
      </c>
      <c r="Y307" s="553">
        <f>$X307/PI()*SQRT('Hilfstabellen_Mat&amp;Bem'!f.Rd.3/'Hilfstabellen_Mat&amp;Bem'!$BD$30)</f>
        <v>0.46072052542211034</v>
      </c>
      <c r="Z307" s="553">
        <f>0.5*(1+'Hilfstabellen_Mat&amp;Bem'!$BD$31*($Y307-0.3)+$Y307^2)</f>
        <v>0.61416772754371829</v>
      </c>
      <c r="AA307" s="550">
        <f t="shared" si="239"/>
        <v>0.9801096004649934</v>
      </c>
      <c r="AC307" s="551">
        <f t="shared" si="292"/>
        <v>126317.50541752881</v>
      </c>
      <c r="AG307" s="546">
        <f t="shared" si="248"/>
        <v>359</v>
      </c>
      <c r="AH307" s="551">
        <f t="shared" si="240"/>
        <v>29.912855172498713</v>
      </c>
      <c r="AI307" s="553">
        <f>$AH307/PI()*SQRT('Hilfstabellen_Mat&amp;Bem'!f.Rd.3/'Hilfstabellen_Mat&amp;Bem'!$BD$30)</f>
        <v>0.47607787626951403</v>
      </c>
      <c r="AJ307" s="553">
        <f>0.5*(1+'Hilfstabellen_Mat&amp;Bem'!$BD$31*($AI307-0.3)+$AI307^2)</f>
        <v>0.62212896595012102</v>
      </c>
      <c r="AK307" s="550">
        <f t="shared" si="241"/>
        <v>0.97787886900537835</v>
      </c>
      <c r="AM307" s="551">
        <f t="shared" si="293"/>
        <v>126030.00651628217</v>
      </c>
      <c r="AQ307" s="546">
        <f t="shared" si="249"/>
        <v>359</v>
      </c>
      <c r="AR307" s="551">
        <f t="shared" si="242"/>
        <v>30.877785984514805</v>
      </c>
      <c r="AS307" s="553">
        <f>$AR307/PI()*SQRT('Hilfstabellen_Mat&amp;Bem'!f.Rd.3/'Hilfstabellen_Mat&amp;Bem'!$BD$30)</f>
        <v>0.49143522711691773</v>
      </c>
      <c r="AT307" s="553">
        <f>0.5*(1+'Hilfstabellen_Mat&amp;Bem'!$BD$31*($AS307-0.3)+$AS307^2)</f>
        <v>0.63032605258157415</v>
      </c>
      <c r="AU307" s="550">
        <f t="shared" si="243"/>
        <v>0.97556776703053627</v>
      </c>
      <c r="AW307" s="551">
        <f t="shared" si="294"/>
        <v>125732.14938266255</v>
      </c>
      <c r="BA307" s="546">
        <f t="shared" si="250"/>
        <v>359</v>
      </c>
      <c r="BB307" s="551">
        <f t="shared" si="251"/>
        <v>31.84271679653089</v>
      </c>
      <c r="BC307" s="553">
        <f>$BB307/PI()*SQRT('Hilfstabellen_Mat&amp;Bem'!f.Rd.3/'Hilfstabellen_Mat&amp;Bem'!$BD$30)</f>
        <v>0.50679257796432142</v>
      </c>
      <c r="BD307" s="553">
        <f>0.5*(1+'Hilfstabellen_Mat&amp;Bem'!$BD$31*($BC307-0.3)+$BC307^2)</f>
        <v>0.63875898743807746</v>
      </c>
      <c r="BE307" s="550">
        <f t="shared" si="252"/>
        <v>0.97316931712249655</v>
      </c>
      <c r="BG307" s="551">
        <f t="shared" si="253"/>
        <v>125423.03476006447</v>
      </c>
      <c r="BK307" s="546">
        <f t="shared" si="254"/>
        <v>359</v>
      </c>
      <c r="BL307" s="551">
        <f t="shared" si="255"/>
        <v>32.807647608546979</v>
      </c>
      <c r="BM307" s="553">
        <f>$BL307/PI()*SQRT('Hilfstabellen_Mat&amp;Bem'!f.Rd.3/'Hilfstabellen_Mat&amp;Bem'!$BD$30)</f>
        <v>0.52214992881172506</v>
      </c>
      <c r="BN307" s="553">
        <f>0.5*(1+'Hilfstabellen_Mat&amp;Bem'!$BD$31*($BM307-0.3)+$BM307^2)</f>
        <v>0.64742777051963107</v>
      </c>
      <c r="BO307" s="550">
        <f t="shared" si="256"/>
        <v>0.97067596201335715</v>
      </c>
      <c r="BQ307" s="551">
        <f t="shared" si="257"/>
        <v>125101.68866024348</v>
      </c>
      <c r="BU307" s="546">
        <f t="shared" si="258"/>
        <v>359</v>
      </c>
      <c r="BV307" s="551">
        <f t="shared" si="259"/>
        <v>33.772578420563065</v>
      </c>
      <c r="BW307" s="553">
        <f>$BV307/PI()*SQRT('Hilfstabellen_Mat&amp;Bem'!f.Rd.3/'Hilfstabellen_Mat&amp;Bem'!$BD$30)</f>
        <v>0.53750727965912881</v>
      </c>
      <c r="BX307" s="553">
        <f>0.5*(1+'Hilfstabellen_Mat&amp;Bem'!$BD$31*($BW307-0.3)+$BW307^2)</f>
        <v>0.65633240182623487</v>
      </c>
      <c r="BY307" s="550">
        <f t="shared" si="260"/>
        <v>0.96807950695339973</v>
      </c>
      <c r="CA307" s="551">
        <f t="shared" si="261"/>
        <v>124767.05493566112</v>
      </c>
      <c r="CE307" s="546">
        <f t="shared" si="262"/>
        <v>359</v>
      </c>
      <c r="CF307" s="551">
        <f t="shared" si="263"/>
        <v>34.73750923257915</v>
      </c>
      <c r="CG307" s="553">
        <f>CF307/PI()*SQRT('Hilfstabellen_Mat&amp;Bem'!f.Rd.3/'Hilfstabellen_Mat&amp;Bem'!$BD$30)</f>
        <v>0.55286463050653234</v>
      </c>
      <c r="CH307" s="553">
        <f>0.5*(1+'Hilfstabellen_Mat&amp;Bem'!$BD$31*(CG307-0.3)+CG307^2)</f>
        <v>0.66547288135788896</v>
      </c>
      <c r="CI307" s="550">
        <f t="shared" si="264"/>
        <v>0.96537105768325493</v>
      </c>
      <c r="CK307" s="551">
        <f t="shared" si="265"/>
        <v>124417.98728527558</v>
      </c>
      <c r="CO307" s="546">
        <f t="shared" si="266"/>
        <v>359</v>
      </c>
      <c r="CP307" s="551">
        <f t="shared" si="267"/>
        <v>35.702440044595242</v>
      </c>
      <c r="CQ307" s="553">
        <f>CP307/PI()*SQRT('Hilfstabellen_Mat&amp;Bem'!f.Rd.3/'Hilfstabellen_Mat&amp;Bem'!$BD$30)</f>
        <v>0.56822198135393609</v>
      </c>
      <c r="CR307" s="553">
        <f>0.5*(1+'Hilfstabellen_Mat&amp;Bem'!$BD$31*(CQ307-0.3)+CQ307^2)</f>
        <v>0.67484920911459323</v>
      </c>
      <c r="CS307" s="550">
        <f t="shared" si="268"/>
        <v>0.96254095418289531</v>
      </c>
      <c r="CU307" s="551">
        <f t="shared" si="269"/>
        <v>124053.24071604574</v>
      </c>
      <c r="CY307" s="546">
        <f t="shared" si="270"/>
        <v>359</v>
      </c>
      <c r="CZ307" s="551">
        <f t="shared" si="271"/>
        <v>36.667370856611328</v>
      </c>
      <c r="DA307" s="553">
        <f>CZ307/PI()*SQRT('Hilfstabellen_Mat&amp;Bem'!f.Rd.3/'Hilfstabellen_Mat&amp;Bem'!$BD$30)</f>
        <v>0.58357933220133984</v>
      </c>
      <c r="DB307" s="553">
        <f>0.5*(1+'Hilfstabellen_Mat&amp;Bem'!$BD$31*(DA307-0.3)+DA307^2)</f>
        <v>0.68446138509634791</v>
      </c>
      <c r="DC307" s="550">
        <f t="shared" si="272"/>
        <v>0.95957870062314166</v>
      </c>
      <c r="DE307" s="551">
        <f t="shared" si="273"/>
        <v>123671.46251501112</v>
      </c>
      <c r="DI307" s="546">
        <f t="shared" si="274"/>
        <v>359</v>
      </c>
      <c r="DJ307" s="551">
        <f t="shared" si="275"/>
        <v>37.632301668627413</v>
      </c>
      <c r="DK307" s="553">
        <f>DJ307/PI()*SQRT('Hilfstabellen_Mat&amp;Bem'!f.Rd.3/'Hilfstabellen_Mat&amp;Bem'!$BD$30)</f>
        <v>0.59893668304874337</v>
      </c>
      <c r="DL307" s="553">
        <f>0.5*(1+'Hilfstabellen_Mat&amp;Bem'!$BD$31*(DK307-0.3)+DK307^2)</f>
        <v>0.69430940930315255</v>
      </c>
      <c r="DM307" s="550">
        <f t="shared" si="276"/>
        <v>0.95647289229852905</v>
      </c>
      <c r="DO307" s="551">
        <f t="shared" si="277"/>
        <v>123271.18283232673</v>
      </c>
      <c r="DS307" s="546">
        <f t="shared" si="278"/>
        <v>359</v>
      </c>
      <c r="DT307" s="551">
        <f t="shared" si="279"/>
        <v>38.597232480643505</v>
      </c>
      <c r="DU307" s="553">
        <f>DT307/PI()*SQRT('Hilfstabellen_Mat&amp;Bem'!f.Rd.3/'Hilfstabellen_Mat&amp;Bem'!$BD$30)</f>
        <v>0.61429403389614723</v>
      </c>
      <c r="DV307" s="553">
        <f>0.5*(1+'Hilfstabellen_Mat&amp;Bem'!$BD$31*(DU307-0.3)+DU307^2)</f>
        <v>0.70439328173500781</v>
      </c>
      <c r="DW307" s="550">
        <f t="shared" si="280"/>
        <v>0.95321114080328206</v>
      </c>
      <c r="DY307" s="551">
        <f t="shared" si="281"/>
        <v>122850.8050378678</v>
      </c>
      <c r="EC307" s="546">
        <f t="shared" si="282"/>
        <v>359</v>
      </c>
      <c r="ED307" s="551">
        <f t="shared" si="283"/>
        <v>39.562163292659591</v>
      </c>
      <c r="EE307" s="553">
        <f>ED307/PI()*SQRT('Hilfstabellen_Mat&amp;Bem'!f.Rd.3/'Hilfstabellen_Mat&amp;Bem'!$BD$30)</f>
        <v>0.62965138474355076</v>
      </c>
      <c r="EF307" s="553">
        <f>0.5*(1+'Hilfstabellen_Mat&amp;Bem'!$BD$31*(EE307-0.3)+EE307^2)</f>
        <v>0.71471300239191304</v>
      </c>
      <c r="EG307" s="550">
        <f t="shared" si="284"/>
        <v>0.94977999936022417</v>
      </c>
      <c r="EI307" s="551">
        <f t="shared" si="285"/>
        <v>122408.59609754506</v>
      </c>
      <c r="EM307" s="546">
        <f t="shared" si="286"/>
        <v>359</v>
      </c>
      <c r="EN307" s="551">
        <f t="shared" si="287"/>
        <v>40.527094104675676</v>
      </c>
      <c r="EO307" s="553">
        <f>EN307/PI()*SQRT('Hilfstabellen_Mat&amp;Bem'!f.Rd.3/'Hilfstabellen_Mat&amp;Bem'!$BD$30)</f>
        <v>0.64500873559095451</v>
      </c>
      <c r="EP307" s="553">
        <f>0.5*(1+'Hilfstabellen_Mat&amp;Bem'!$BD$31*(EO307-0.3)+EO307^2)</f>
        <v>0.72526857127386868</v>
      </c>
      <c r="EQ307" s="550">
        <f t="shared" si="288"/>
        <v>0.94616489106612922</v>
      </c>
      <c r="ES307" s="551">
        <f t="shared" si="289"/>
        <v>121942.6773254938</v>
      </c>
    </row>
    <row r="308" spans="3:149">
      <c r="C308" s="546">
        <v>360</v>
      </c>
      <c r="D308" s="551">
        <f t="shared" si="244"/>
        <v>26.943012562182535</v>
      </c>
      <c r="E308" s="553">
        <f>$D308/PI()*SQRT('Hilfstabellen_Mat&amp;Bem'!f.Rd.3/'Hilfstabellen_Mat&amp;Bem'!$BD$30)</f>
        <v>0.42881136310583828</v>
      </c>
      <c r="F308" s="553">
        <f>0.5*(1+'Hilfstabellen_Mat&amp;Bem'!$BD$31*($E308-0.3)+$E308^2)</f>
        <v>0.59838016071963551</v>
      </c>
      <c r="G308" s="550">
        <f t="shared" si="245"/>
        <v>0.98451506039948156</v>
      </c>
      <c r="I308" s="551">
        <f t="shared" si="290"/>
        <v>127593.1518277728</v>
      </c>
      <c r="M308" s="546">
        <f t="shared" si="246"/>
        <v>360</v>
      </c>
      <c r="N308" s="551">
        <f t="shared" si="236"/>
        <v>27.905263010831909</v>
      </c>
      <c r="O308" s="553">
        <f>$N308/PI()*SQRT('Hilfstabellen_Mat&amp;Bem'!f.Rd.3/'Hilfstabellen_Mat&amp;Bem'!$BD$30)</f>
        <v>0.4441260546453325</v>
      </c>
      <c r="P308" s="553">
        <f>0.5*(1+'Hilfstabellen_Mat&amp;Bem'!$BD$31*($O308-0.3)+$O308^2)</f>
        <v>0.60583027893968111</v>
      </c>
      <c r="Q308" s="550">
        <f t="shared" si="237"/>
        <v>0.98243712163311447</v>
      </c>
      <c r="S308" s="551">
        <f t="shared" si="291"/>
        <v>127323.85096365164</v>
      </c>
      <c r="W308" s="546">
        <f t="shared" si="247"/>
        <v>360</v>
      </c>
      <c r="X308" s="551">
        <f t="shared" si="238"/>
        <v>28.867513459481287</v>
      </c>
      <c r="Y308" s="553">
        <f>$X308/PI()*SQRT('Hilfstabellen_Mat&amp;Bem'!f.Rd.3/'Hilfstabellen_Mat&amp;Bem'!$BD$30)</f>
        <v>0.45944074618482678</v>
      </c>
      <c r="Z308" s="553">
        <f>0.5*(1+'Hilfstabellen_Mat&amp;Bem'!$BD$31*($Y308-0.3)+$Y308^2)</f>
        <v>0.61351493693667658</v>
      </c>
      <c r="AA308" s="550">
        <f t="shared" si="239"/>
        <v>0.9802920726875779</v>
      </c>
      <c r="AC308" s="551">
        <f t="shared" si="292"/>
        <v>127045.85262031009</v>
      </c>
      <c r="AG308" s="546">
        <f t="shared" si="248"/>
        <v>360</v>
      </c>
      <c r="AH308" s="551">
        <f t="shared" si="240"/>
        <v>29.829763908130662</v>
      </c>
      <c r="AI308" s="553">
        <f>$AH308/PI()*SQRT('Hilfstabellen_Mat&amp;Bem'!f.Rd.3/'Hilfstabellen_Mat&amp;Bem'!$BD$30)</f>
        <v>0.47475543772432094</v>
      </c>
      <c r="AJ308" s="553">
        <f>0.5*(1+'Hilfstabellen_Mat&amp;Bem'!$BD$31*($AI308-0.3)+$AI308^2)</f>
        <v>0.62143413471062181</v>
      </c>
      <c r="AK308" s="550">
        <f t="shared" si="241"/>
        <v>0.97807402684961298</v>
      </c>
      <c r="AM308" s="551">
        <f t="shared" si="293"/>
        <v>126758.39387970984</v>
      </c>
      <c r="AQ308" s="546">
        <f t="shared" si="249"/>
        <v>360</v>
      </c>
      <c r="AR308" s="551">
        <f t="shared" si="242"/>
        <v>30.79201435678004</v>
      </c>
      <c r="AS308" s="553">
        <f>$AR308/PI()*SQRT('Hilfstabellen_Mat&amp;Bem'!f.Rd.3/'Hilfstabellen_Mat&amp;Bem'!$BD$30)</f>
        <v>0.49007012926381521</v>
      </c>
      <c r="AT308" s="553">
        <f>0.5*(1+'Hilfstabellen_Mat&amp;Bem'!$BD$31*($AS308-0.3)+$AS308^2)</f>
        <v>0.62958787226151702</v>
      </c>
      <c r="AU308" s="550">
        <f t="shared" si="243"/>
        <v>0.97577662890742511</v>
      </c>
      <c r="AW308" s="551">
        <f t="shared" si="294"/>
        <v>126460.65110640229</v>
      </c>
      <c r="BA308" s="546">
        <f t="shared" si="250"/>
        <v>360</v>
      </c>
      <c r="BB308" s="551">
        <f t="shared" si="251"/>
        <v>31.754264805429415</v>
      </c>
      <c r="BC308" s="553">
        <f>$BB308/PI()*SQRT('Hilfstabellen_Mat&amp;Bem'!f.Rd.3/'Hilfstabellen_Mat&amp;Bem'!$BD$30)</f>
        <v>0.50538482080330938</v>
      </c>
      <c r="BD308" s="553">
        <f>0.5*(1+'Hilfstabellen_Mat&amp;Bem'!$BD$31*($BC308-0.3)+$BC308^2)</f>
        <v>0.637976149589362</v>
      </c>
      <c r="BE308" s="550">
        <f t="shared" si="252"/>
        <v>0.97339300720402377</v>
      </c>
      <c r="BG308" s="551">
        <f t="shared" si="253"/>
        <v>126151.73373364148</v>
      </c>
      <c r="BK308" s="546">
        <f t="shared" si="254"/>
        <v>360</v>
      </c>
      <c r="BL308" s="551">
        <f t="shared" si="255"/>
        <v>32.716515254078793</v>
      </c>
      <c r="BM308" s="553">
        <f>$BL308/PI()*SQRT('Hilfstabellen_Mat&amp;Bem'!f.Rd.3/'Hilfstabellen_Mat&amp;Bem'!$BD$30)</f>
        <v>0.52069951234280365</v>
      </c>
      <c r="BN308" s="553">
        <f>0.5*(1+'Hilfstabellen_Mat&amp;Bem'!$BD$31*($BM308-0.3)+$BM308^2)</f>
        <v>0.64659896669415695</v>
      </c>
      <c r="BO308" s="550">
        <f t="shared" si="256"/>
        <v>0.97091572150733585</v>
      </c>
      <c r="BQ308" s="551">
        <f t="shared" si="257"/>
        <v>125830.67750735073</v>
      </c>
      <c r="BU308" s="546">
        <f t="shared" si="258"/>
        <v>360</v>
      </c>
      <c r="BV308" s="551">
        <f t="shared" si="259"/>
        <v>33.678765702728164</v>
      </c>
      <c r="BW308" s="553">
        <f>$BV308/PI()*SQRT('Hilfstabellen_Mat&amp;Bem'!f.Rd.3/'Hilfstabellen_Mat&amp;Bem'!$BD$30)</f>
        <v>0.53601420388229781</v>
      </c>
      <c r="BX308" s="553">
        <f>0.5*(1+'Hilfstabellen_Mat&amp;Bem'!$BD$31*($BW308-0.3)+$BW308^2)</f>
        <v>0.65545632357590167</v>
      </c>
      <c r="BY308" s="550">
        <f t="shared" si="260"/>
        <v>0.9683367065676467</v>
      </c>
      <c r="CA308" s="551">
        <f t="shared" si="261"/>
        <v>125496.43717116701</v>
      </c>
      <c r="CE308" s="546">
        <f t="shared" si="262"/>
        <v>360</v>
      </c>
      <c r="CF308" s="551">
        <f t="shared" si="263"/>
        <v>34.641016151377542</v>
      </c>
      <c r="CG308" s="553">
        <f>CF308/PI()*SQRT('Hilfstabellen_Mat&amp;Bem'!f.Rd.3/'Hilfstabellen_Mat&amp;Bem'!$BD$30)</f>
        <v>0.55132889542179198</v>
      </c>
      <c r="CH308" s="553">
        <f>0.5*(1+'Hilfstabellen_Mat&amp;Bem'!$BD$31*(CG308-0.3)+CG308^2)</f>
        <v>0.66454822023459625</v>
      </c>
      <c r="CI308" s="550">
        <f t="shared" si="264"/>
        <v>0.96564721134572118</v>
      </c>
      <c r="CK308" s="551">
        <f t="shared" si="265"/>
        <v>125147.87859040547</v>
      </c>
      <c r="CO308" s="546">
        <f t="shared" si="266"/>
        <v>360</v>
      </c>
      <c r="CP308" s="551">
        <f t="shared" si="267"/>
        <v>35.60326660002692</v>
      </c>
      <c r="CQ308" s="553">
        <f>CP308/PI()*SQRT('Hilfstabellen_Mat&amp;Bem'!f.Rd.3/'Hilfstabellen_Mat&amp;Bem'!$BD$30)</f>
        <v>0.56664358696128625</v>
      </c>
      <c r="CR308" s="553">
        <f>0.5*(1+'Hilfstabellen_Mat&amp;Bem'!$BD$31*(CQ308-0.3)+CQ308^2)</f>
        <v>0.67387465667024071</v>
      </c>
      <c r="CS308" s="550">
        <f t="shared" si="268"/>
        <v>0.96283773406195705</v>
      </c>
      <c r="CU308" s="551">
        <f t="shared" si="269"/>
        <v>124783.77033442963</v>
      </c>
      <c r="CY308" s="546">
        <f t="shared" si="270"/>
        <v>360</v>
      </c>
      <c r="CZ308" s="551">
        <f t="shared" si="271"/>
        <v>36.565517048676298</v>
      </c>
      <c r="DA308" s="553">
        <f>CZ308/PI()*SQRT('Hilfstabellen_Mat&amp;Bem'!f.Rd.3/'Hilfstabellen_Mat&amp;Bem'!$BD$30)</f>
        <v>0.58195827850078052</v>
      </c>
      <c r="DB308" s="553">
        <f>0.5*(1+'Hilfstabellen_Mat&amp;Bem'!$BD$31*(DA308-0.3)+DA308^2)</f>
        <v>0.68343563288283504</v>
      </c>
      <c r="DC308" s="550">
        <f t="shared" si="272"/>
        <v>0.9598979534562937</v>
      </c>
      <c r="DE308" s="551">
        <f t="shared" si="273"/>
        <v>124402.77476793567</v>
      </c>
      <c r="DI308" s="546">
        <f t="shared" si="274"/>
        <v>360</v>
      </c>
      <c r="DJ308" s="551">
        <f t="shared" si="275"/>
        <v>37.527767497325677</v>
      </c>
      <c r="DK308" s="553">
        <f>DJ308/PI()*SQRT('Hilfstabellen_Mat&amp;Bem'!f.Rd.3/'Hilfstabellen_Mat&amp;Bem'!$BD$30)</f>
        <v>0.5972729700402748</v>
      </c>
      <c r="DL308" s="553">
        <f>0.5*(1+'Hilfstabellen_Mat&amp;Bem'!$BD$31*(DK308-0.3)+DK308^2)</f>
        <v>0.69323114887237924</v>
      </c>
      <c r="DM308" s="550">
        <f t="shared" si="276"/>
        <v>0.95681665698319507</v>
      </c>
      <c r="DO308" s="551">
        <f t="shared" si="277"/>
        <v>124003.43874502208</v>
      </c>
      <c r="DS308" s="546">
        <f t="shared" si="278"/>
        <v>360</v>
      </c>
      <c r="DT308" s="551">
        <f t="shared" si="279"/>
        <v>38.490017945975048</v>
      </c>
      <c r="DU308" s="553">
        <f>DT308/PI()*SQRT('Hilfstabellen_Mat&amp;Bem'!f.Rd.3/'Hilfstabellen_Mat&amp;Bem'!$BD$30)</f>
        <v>0.61258766157976896</v>
      </c>
      <c r="DV308" s="553">
        <f>0.5*(1+'Hilfstabellen_Mat&amp;Bem'!$BD$31*(DU308-0.3)+DU308^2)</f>
        <v>0.70326120463887321</v>
      </c>
      <c r="DW308" s="550">
        <f t="shared" si="280"/>
        <v>0.95358166712411119</v>
      </c>
      <c r="DY308" s="551">
        <f t="shared" si="281"/>
        <v>123584.18405928482</v>
      </c>
      <c r="EC308" s="546">
        <f t="shared" si="282"/>
        <v>360</v>
      </c>
      <c r="ED308" s="551">
        <f t="shared" si="283"/>
        <v>39.452268394624426</v>
      </c>
      <c r="EE308" s="553">
        <f>ED308/PI()*SQRT('Hilfstabellen_Mat&amp;Bem'!f.Rd.3/'Hilfstabellen_Mat&amp;Bem'!$BD$30)</f>
        <v>0.62790235311926323</v>
      </c>
      <c r="EF308" s="553">
        <f>0.5*(1+'Hilfstabellen_Mat&amp;Bem'!$BD$31*(EE308-0.3)+EE308^2)</f>
        <v>0.71352580018231704</v>
      </c>
      <c r="EG308" s="550">
        <f t="shared" si="284"/>
        <v>0.95017976761519085</v>
      </c>
      <c r="EI308" s="551">
        <f t="shared" si="285"/>
        <v>123143.29788292873</v>
      </c>
      <c r="EM308" s="546">
        <f t="shared" si="286"/>
        <v>360</v>
      </c>
      <c r="EN308" s="551">
        <f t="shared" si="287"/>
        <v>40.414518843273797</v>
      </c>
      <c r="EO308" s="553">
        <f>EN308/PI()*SQRT('Hilfstabellen_Mat&amp;Bem'!f.Rd.3/'Hilfstabellen_Mat&amp;Bem'!$BD$30)</f>
        <v>0.6432170446587574</v>
      </c>
      <c r="EP308" s="553">
        <f>0.5*(1+'Hilfstabellen_Mat&amp;Bem'!$BD$31*(EO308-0.3)+EO308^2)</f>
        <v>0.72402493550271085</v>
      </c>
      <c r="EQ308" s="550">
        <f t="shared" si="288"/>
        <v>0.94659663219963075</v>
      </c>
      <c r="ES308" s="551">
        <f t="shared" si="289"/>
        <v>122678.92353307214</v>
      </c>
    </row>
    <row r="309" spans="3:149">
      <c r="C309" s="546">
        <v>361</v>
      </c>
      <c r="D309" s="551">
        <f t="shared" si="244"/>
        <v>26.868378178353773</v>
      </c>
      <c r="E309" s="553">
        <f>$D309/PI()*SQRT('Hilfstabellen_Mat&amp;Bem'!f.Rd.3/'Hilfstabellen_Mat&amp;Bem'!$BD$30)</f>
        <v>0.4276235199947418</v>
      </c>
      <c r="F309" s="553">
        <f>0.5*(1+'Hilfstabellen_Mat&amp;Bem'!$BD$31*($E309-0.3)+$E309^2)</f>
        <v>0.59781211342608376</v>
      </c>
      <c r="G309" s="550">
        <f t="shared" si="245"/>
        <v>0.98467358642778502</v>
      </c>
      <c r="I309" s="551">
        <f t="shared" si="290"/>
        <v>128323.64645685538</v>
      </c>
      <c r="M309" s="546">
        <f t="shared" si="246"/>
        <v>361</v>
      </c>
      <c r="N309" s="551">
        <f t="shared" si="236"/>
        <v>27.827963113294981</v>
      </c>
      <c r="O309" s="553">
        <f>$N309/PI()*SQRT('Hilfstabellen_Mat&amp;Bem'!f.Rd.3/'Hilfstabellen_Mat&amp;Bem'!$BD$30)</f>
        <v>0.44289578856598255</v>
      </c>
      <c r="P309" s="553">
        <f>0.5*(1+'Hilfstabellen_Mat&amp;Bem'!$BD$31*($O309-0.3)+$O309^2)</f>
        <v>0.60522312919304089</v>
      </c>
      <c r="Q309" s="550">
        <f t="shared" si="237"/>
        <v>0.9826064512238456</v>
      </c>
      <c r="S309" s="551">
        <f t="shared" si="291"/>
        <v>128054.25532994278</v>
      </c>
      <c r="W309" s="546">
        <f t="shared" si="247"/>
        <v>361</v>
      </c>
      <c r="X309" s="551">
        <f t="shared" si="238"/>
        <v>28.787548048236189</v>
      </c>
      <c r="Y309" s="553">
        <f>$X309/PI()*SQRT('Hilfstabellen_Mat&amp;Bem'!f.Rd.3/'Hilfstabellen_Mat&amp;Bem'!$BD$30)</f>
        <v>0.45816805713722336</v>
      </c>
      <c r="Z309" s="553">
        <f>0.5*(1+'Hilfstabellen_Mat&amp;Bem'!$BD$31*($Y309-0.3)+$Y309^2)</f>
        <v>0.61286738714731015</v>
      </c>
      <c r="AA309" s="550">
        <f t="shared" si="239"/>
        <v>0.98047302872283681</v>
      </c>
      <c r="AC309" s="551">
        <f t="shared" si="292"/>
        <v>127776.22557618882</v>
      </c>
      <c r="AG309" s="546">
        <f t="shared" si="248"/>
        <v>361</v>
      </c>
      <c r="AH309" s="551">
        <f t="shared" si="240"/>
        <v>29.747132983177394</v>
      </c>
      <c r="AI309" s="553">
        <f>$AH309/PI()*SQRT('Hilfstabellen_Mat&amp;Bem'!f.Rd.3/'Hilfstabellen_Mat&amp;Bem'!$BD$30)</f>
        <v>0.47344032570846412</v>
      </c>
      <c r="AJ309" s="553">
        <f>0.5*(1+'Hilfstabellen_Mat&amp;Bem'!$BD$31*($AI309-0.3)+$AI309^2)</f>
        <v>0.62074488728889154</v>
      </c>
      <c r="AK309" s="550">
        <f t="shared" si="241"/>
        <v>0.97826751701446824</v>
      </c>
      <c r="AM309" s="551">
        <f t="shared" si="293"/>
        <v>127488.80108484252</v>
      </c>
      <c r="AQ309" s="546">
        <f t="shared" si="249"/>
        <v>361</v>
      </c>
      <c r="AR309" s="551">
        <f t="shared" si="242"/>
        <v>30.706717918118599</v>
      </c>
      <c r="AS309" s="553">
        <f>$AR309/PI()*SQRT('Hilfstabellen_Mat&amp;Bem'!f.Rd.3/'Hilfstabellen_Mat&amp;Bem'!$BD$30)</f>
        <v>0.48871259427970487</v>
      </c>
      <c r="AT309" s="553">
        <f>0.5*(1+'Hilfstabellen_Mat&amp;Bem'!$BD$31*($AS309-0.3)+$AS309^2)</f>
        <v>0.62885562961778496</v>
      </c>
      <c r="AU309" s="550">
        <f t="shared" si="243"/>
        <v>0.97598365462333014</v>
      </c>
      <c r="AW309" s="551">
        <f t="shared" si="294"/>
        <v>127191.165854167</v>
      </c>
      <c r="BA309" s="546">
        <f t="shared" si="250"/>
        <v>361</v>
      </c>
      <c r="BB309" s="551">
        <f t="shared" si="251"/>
        <v>31.666302853059808</v>
      </c>
      <c r="BC309" s="553">
        <f>$BB309/PI()*SQRT('Hilfstabellen_Mat&amp;Bem'!f.Rd.3/'Hilfstabellen_Mat&amp;Bem'!$BD$30)</f>
        <v>0.50398486285094568</v>
      </c>
      <c r="BD309" s="553">
        <f>0.5*(1+'Hilfstabellen_Mat&amp;Bem'!$BD$31*($BC309-0.3)+$BC309^2)</f>
        <v>0.63719961413399051</v>
      </c>
      <c r="BE309" s="550">
        <f t="shared" si="252"/>
        <v>0.97361467356307541</v>
      </c>
      <c r="BG309" s="551">
        <f t="shared" si="253"/>
        <v>126882.43787341355</v>
      </c>
      <c r="BK309" s="546">
        <f t="shared" si="254"/>
        <v>361</v>
      </c>
      <c r="BL309" s="551">
        <f t="shared" si="255"/>
        <v>32.625887788001016</v>
      </c>
      <c r="BM309" s="553">
        <f>$BL309/PI()*SQRT('Hilfstabellen_Mat&amp;Bem'!f.Rd.3/'Hilfstabellen_Mat&amp;Bem'!$BD$30)</f>
        <v>0.51925713142218644</v>
      </c>
      <c r="BN309" s="553">
        <f>0.5*(1+'Hilfstabellen_Mat&amp;Bem'!$BD$31*($BM309-0.3)+$BM309^2)</f>
        <v>0.64577684083750819</v>
      </c>
      <c r="BO309" s="550">
        <f t="shared" si="256"/>
        <v>0.97115324829107441</v>
      </c>
      <c r="BQ309" s="551">
        <f t="shared" si="257"/>
        <v>126561.66247054111</v>
      </c>
      <c r="BU309" s="546">
        <f t="shared" si="258"/>
        <v>361</v>
      </c>
      <c r="BV309" s="551">
        <f t="shared" si="259"/>
        <v>33.585472722942221</v>
      </c>
      <c r="BW309" s="553">
        <f>$BV309/PI()*SQRT('Hilfstabellen_Mat&amp;Bem'!f.Rd.3/'Hilfstabellen_Mat&amp;Bem'!$BD$30)</f>
        <v>0.53452939999342719</v>
      </c>
      <c r="BX309" s="553">
        <f>0.5*(1+'Hilfstabellen_Mat&amp;Bem'!$BD$31*($BW309-0.3)+$BW309^2)</f>
        <v>0.6545873097283379</v>
      </c>
      <c r="BY309" s="550">
        <f t="shared" si="260"/>
        <v>0.96859144042890177</v>
      </c>
      <c r="CA309" s="551">
        <f t="shared" si="261"/>
        <v>126227.80510813491</v>
      </c>
      <c r="CE309" s="546">
        <f t="shared" si="262"/>
        <v>361</v>
      </c>
      <c r="CF309" s="551">
        <f t="shared" si="263"/>
        <v>34.545057657883426</v>
      </c>
      <c r="CG309" s="553">
        <f>CF309/PI()*SQRT('Hilfstabellen_Mat&amp;Bem'!f.Rd.3/'Hilfstabellen_Mat&amp;Bem'!$BD$30)</f>
        <v>0.54980166856466794</v>
      </c>
      <c r="CH309" s="553">
        <f>0.5*(1+'Hilfstabellen_Mat&amp;Bem'!$BD$31*(CG309-0.3)+CG309^2)</f>
        <v>0.66363102080647995</v>
      </c>
      <c r="CI309" s="550">
        <f t="shared" si="264"/>
        <v>0.96592063922033977</v>
      </c>
      <c r="CK309" s="551">
        <f t="shared" si="265"/>
        <v>125879.7436238339</v>
      </c>
      <c r="CO309" s="546">
        <f t="shared" si="266"/>
        <v>361</v>
      </c>
      <c r="CP309" s="551">
        <f t="shared" si="267"/>
        <v>35.504642592824631</v>
      </c>
      <c r="CQ309" s="553">
        <f>CP309/PI()*SQRT('Hilfstabellen_Mat&amp;Bem'!f.Rd.3/'Hilfstabellen_Mat&amp;Bem'!$BD$30)</f>
        <v>0.5650739371359087</v>
      </c>
      <c r="CR309" s="553">
        <f>0.5*(1+'Hilfstabellen_Mat&amp;Bem'!$BD$31*(CQ309-0.3)+CQ309^2)</f>
        <v>0.67290797407193392</v>
      </c>
      <c r="CS309" s="550">
        <f t="shared" si="268"/>
        <v>0.96313149785637708</v>
      </c>
      <c r="CU309" s="551">
        <f t="shared" si="269"/>
        <v>125516.25993214092</v>
      </c>
      <c r="CY309" s="546">
        <f t="shared" si="270"/>
        <v>361</v>
      </c>
      <c r="CZ309" s="551">
        <f t="shared" si="271"/>
        <v>36.464227527765836</v>
      </c>
      <c r="DA309" s="553">
        <f>CZ309/PI()*SQRT('Hilfstabellen_Mat&amp;Bem'!f.Rd.3/'Hilfstabellen_Mat&amp;Bem'!$BD$30)</f>
        <v>0.58034620570714945</v>
      </c>
      <c r="DB309" s="553">
        <f>0.5*(1+'Hilfstabellen_Mat&amp;Bem'!$BD$31*(DA309-0.3)+DA309^2)</f>
        <v>0.68241816952470002</v>
      </c>
      <c r="DC309" s="550">
        <f t="shared" si="272"/>
        <v>0.96021386602318637</v>
      </c>
      <c r="DE309" s="551">
        <f t="shared" si="273"/>
        <v>125136.03123400768</v>
      </c>
      <c r="DI309" s="546">
        <f t="shared" si="274"/>
        <v>361</v>
      </c>
      <c r="DJ309" s="551">
        <f t="shared" si="275"/>
        <v>37.423812462707048</v>
      </c>
      <c r="DK309" s="553">
        <f>DJ309/PI()*SQRT('Hilfstabellen_Mat&amp;Bem'!f.Rd.3/'Hilfstabellen_Mat&amp;Bem'!$BD$30)</f>
        <v>0.59561847427839043</v>
      </c>
      <c r="DL309" s="553">
        <f>0.5*(1+'Hilfstabellen_Mat&amp;Bem'!$BD$31*(DK309-0.3)+DK309^2)</f>
        <v>0.69216160716477826</v>
      </c>
      <c r="DM309" s="550">
        <f t="shared" si="276"/>
        <v>0.95715671934614965</v>
      </c>
      <c r="DO309" s="551">
        <f t="shared" si="277"/>
        <v>124737.62082190957</v>
      </c>
      <c r="DS309" s="546">
        <f t="shared" si="278"/>
        <v>361</v>
      </c>
      <c r="DT309" s="551">
        <f t="shared" si="279"/>
        <v>38.383397397648253</v>
      </c>
      <c r="DU309" s="553">
        <f>DT309/PI()*SQRT('Hilfstabellen_Mat&amp;Bem'!f.Rd.3/'Hilfstabellen_Mat&amp;Bem'!$BD$30)</f>
        <v>0.61089074284963119</v>
      </c>
      <c r="DV309" s="553">
        <f>0.5*(1+'Hilfstabellen_Mat&amp;Bem'!$BD$31*(DU309-0.3)+DU309^2)</f>
        <v>0.70213828699216874</v>
      </c>
      <c r="DW309" s="550">
        <f t="shared" si="280"/>
        <v>0.95394808683750676</v>
      </c>
      <c r="DY309" s="551">
        <f t="shared" si="281"/>
        <v>124319.46862475072</v>
      </c>
      <c r="EC309" s="546">
        <f t="shared" si="282"/>
        <v>361</v>
      </c>
      <c r="ED309" s="551">
        <f t="shared" si="283"/>
        <v>39.342982332589457</v>
      </c>
      <c r="EE309" s="553">
        <f>ED309/PI()*SQRT('Hilfstabellen_Mat&amp;Bem'!f.Rd.3/'Hilfstabellen_Mat&amp;Bem'!$BD$30)</f>
        <v>0.62616301142087194</v>
      </c>
      <c r="EF309" s="553">
        <f>0.5*(1+'Hilfstabellen_Mat&amp;Bem'!$BD$31*(EE309-0.3)+EE309^2)</f>
        <v>0.71234820900687112</v>
      </c>
      <c r="EG309" s="550">
        <f t="shared" si="284"/>
        <v>0.9505749780395697</v>
      </c>
      <c r="EI309" s="551">
        <f t="shared" si="285"/>
        <v>123879.88171309476</v>
      </c>
      <c r="EM309" s="546">
        <f t="shared" si="286"/>
        <v>361</v>
      </c>
      <c r="EN309" s="551">
        <f t="shared" si="287"/>
        <v>40.302567267530662</v>
      </c>
      <c r="EO309" s="553">
        <f>EN309/PI()*SQRT('Hilfstabellen_Mat&amp;Bem'!f.Rd.3/'Hilfstabellen_Mat&amp;Bem'!$BD$30)</f>
        <v>0.64143527999211269</v>
      </c>
      <c r="EP309" s="553">
        <f>0.5*(1+'Hilfstabellen_Mat&amp;Bem'!$BD$31*(EO309-0.3)+EO309^2)</f>
        <v>0.72279137320888565</v>
      </c>
      <c r="EQ309" s="550">
        <f t="shared" si="288"/>
        <v>0.94702331232703119</v>
      </c>
      <c r="ES309" s="551">
        <f t="shared" si="289"/>
        <v>123417.02508577103</v>
      </c>
    </row>
    <row r="310" spans="3:149">
      <c r="C310" s="546">
        <v>362</v>
      </c>
      <c r="D310" s="551">
        <f t="shared" si="244"/>
        <v>26.794156139187049</v>
      </c>
      <c r="E310" s="553">
        <f>$D310/PI()*SQRT('Hilfstabellen_Mat&amp;Bem'!f.Rd.3/'Hilfstabellen_Mat&amp;Bem'!$BD$30)</f>
        <v>0.42644223955276728</v>
      </c>
      <c r="F310" s="553">
        <f>0.5*(1+'Hilfstabellen_Mat&amp;Bem'!$BD$31*($E310-0.3)+$E310^2)</f>
        <v>0.5972486038150282</v>
      </c>
      <c r="G310" s="550">
        <f t="shared" si="245"/>
        <v>0.98483087143305625</v>
      </c>
      <c r="I310" s="551">
        <f t="shared" si="290"/>
        <v>129056.17671607343</v>
      </c>
      <c r="M310" s="546">
        <f t="shared" si="246"/>
        <v>362</v>
      </c>
      <c r="N310" s="551">
        <f t="shared" si="236"/>
        <v>27.751090287015163</v>
      </c>
      <c r="O310" s="553">
        <f>$N310/PI()*SQRT('Hilfstabellen_Mat&amp;Bem'!f.Rd.3/'Hilfstabellen_Mat&amp;Bem'!$BD$30)</f>
        <v>0.44167231953679481</v>
      </c>
      <c r="P310" s="553">
        <f>0.5*(1+'Hilfstabellen_Mat&amp;Bem'!$BD$31*($O310-0.3)+$O310^2)</f>
        <v>0.60462083489934604</v>
      </c>
      <c r="Q310" s="550">
        <f t="shared" si="237"/>
        <v>0.98277441891517969</v>
      </c>
      <c r="S310" s="551">
        <f t="shared" si="291"/>
        <v>128786.6909523208</v>
      </c>
      <c r="W310" s="546">
        <f t="shared" si="247"/>
        <v>362</v>
      </c>
      <c r="X310" s="551">
        <f t="shared" si="238"/>
        <v>28.708024434843271</v>
      </c>
      <c r="Y310" s="553">
        <f>$X310/PI()*SQRT('Hilfstabellen_Mat&amp;Bem'!f.Rd.3/'Hilfstabellen_Mat&amp;Bem'!$BD$30)</f>
        <v>0.45690239952082223</v>
      </c>
      <c r="Z310" s="553">
        <f>0.5*(1+'Hilfstabellen_Mat&amp;Bem'!$BD$31*($Y310-0.3)+$Y310^2)</f>
        <v>0.61222502131998358</v>
      </c>
      <c r="AA310" s="550">
        <f t="shared" si="239"/>
        <v>0.98065248877791045</v>
      </c>
      <c r="AC310" s="551">
        <f t="shared" si="292"/>
        <v>128508.62473941249</v>
      </c>
      <c r="AG310" s="546">
        <f t="shared" si="248"/>
        <v>362</v>
      </c>
      <c r="AH310" s="551">
        <f t="shared" si="240"/>
        <v>29.664958582671378</v>
      </c>
      <c r="AI310" s="553">
        <f>$AH310/PI()*SQRT('Hilfstabellen_Mat&amp;Bem'!f.Rd.3/'Hilfstabellen_Mat&amp;Bem'!$BD$30)</f>
        <v>0.4721324795048496</v>
      </c>
      <c r="AJ310" s="553">
        <f>0.5*(1+'Hilfstabellen_Mat&amp;Bem'!$BD$31*($AI310-0.3)+$AI310^2)</f>
        <v>0.62006116307694104</v>
      </c>
      <c r="AK310" s="550">
        <f t="shared" si="241"/>
        <v>0.97845936229897967</v>
      </c>
      <c r="AM310" s="551">
        <f t="shared" si="293"/>
        <v>128221.22867310749</v>
      </c>
      <c r="AQ310" s="546">
        <f t="shared" si="249"/>
        <v>362</v>
      </c>
      <c r="AR310" s="551">
        <f t="shared" si="242"/>
        <v>30.621892730499489</v>
      </c>
      <c r="AS310" s="553">
        <f>$AR310/PI()*SQRT('Hilfstabellen_Mat&amp;Bem'!f.Rd.3/'Hilfstabellen_Mat&amp;Bem'!$BD$30)</f>
        <v>0.48736255948887702</v>
      </c>
      <c r="AT310" s="553">
        <f>0.5*(1+'Hilfstabellen_Mat&amp;Bem'!$BD$31*($AS310-0.3)+$AS310^2)</f>
        <v>0.62812926017021842</v>
      </c>
      <c r="AU310" s="550">
        <f t="shared" si="243"/>
        <v>0.97618886992330067</v>
      </c>
      <c r="AW310" s="551">
        <f t="shared" si="294"/>
        <v>127923.69427022901</v>
      </c>
      <c r="BA310" s="546">
        <f t="shared" si="250"/>
        <v>362</v>
      </c>
      <c r="BB310" s="551">
        <f t="shared" si="251"/>
        <v>31.578826878327597</v>
      </c>
      <c r="BC310" s="553">
        <f>$BB310/PI()*SQRT('Hilfstabellen_Mat&amp;Bem'!f.Rd.3/'Hilfstabellen_Mat&amp;Bem'!$BD$30)</f>
        <v>0.50259263947290433</v>
      </c>
      <c r="BD310" s="553">
        <f>0.5*(1+'Hilfstabellen_Mat&amp;Bem'!$BD$31*($BC310-0.3)+$BC310^2)</f>
        <v>0.63642931259981561</v>
      </c>
      <c r="BE310" s="550">
        <f t="shared" si="252"/>
        <v>0.97383434529446933</v>
      </c>
      <c r="BG310" s="551">
        <f t="shared" si="253"/>
        <v>127615.14794476844</v>
      </c>
      <c r="BK310" s="546">
        <f t="shared" si="254"/>
        <v>362</v>
      </c>
      <c r="BL310" s="551">
        <f t="shared" si="255"/>
        <v>32.535761026155704</v>
      </c>
      <c r="BM310" s="553">
        <f>$BL310/PI()*SQRT('Hilfstabellen_Mat&amp;Bem'!f.Rd.3/'Hilfstabellen_Mat&amp;Bem'!$BD$30)</f>
        <v>0.51782271945693181</v>
      </c>
      <c r="BN310" s="553">
        <f>0.5*(1+'Hilfstabellen_Mat&amp;Bem'!$BD$31*($BM310-0.3)+$BM310^2)</f>
        <v>0.64496132036573273</v>
      </c>
      <c r="BO310" s="550">
        <f t="shared" si="256"/>
        <v>0.97138857526904165</v>
      </c>
      <c r="BQ310" s="551">
        <f t="shared" si="257"/>
        <v>127294.64445755629</v>
      </c>
      <c r="BU310" s="546">
        <f t="shared" si="258"/>
        <v>362</v>
      </c>
      <c r="BV310" s="551">
        <f t="shared" si="259"/>
        <v>33.492695173983812</v>
      </c>
      <c r="BW310" s="553">
        <f>$BV310/PI()*SQRT('Hilfstabellen_Mat&amp;Bem'!f.Rd.3/'Hilfstabellen_Mat&amp;Bem'!$BD$30)</f>
        <v>0.53305279944095918</v>
      </c>
      <c r="BX310" s="553">
        <f>0.5*(1+'Hilfstabellen_Mat&amp;Bem'!$BD$31*($BW310-0.3)+$BW310^2)</f>
        <v>0.65372528346796965</v>
      </c>
      <c r="BY310" s="550">
        <f t="shared" si="260"/>
        <v>0.96884374577432408</v>
      </c>
      <c r="CA310" s="551">
        <f t="shared" si="261"/>
        <v>126961.15982125052</v>
      </c>
      <c r="CE310" s="546">
        <f t="shared" si="262"/>
        <v>362</v>
      </c>
      <c r="CF310" s="551">
        <f t="shared" si="263"/>
        <v>34.449629321811926</v>
      </c>
      <c r="CG310" s="553">
        <f>CF310/PI()*SQRT('Hilfstabellen_Mat&amp;Bem'!f.Rd.3/'Hilfstabellen_Mat&amp;Bem'!$BD$30)</f>
        <v>0.54828287942498666</v>
      </c>
      <c r="CH310" s="553">
        <f>0.5*(1+'Hilfstabellen_Mat&amp;Bem'!$BD$31*(CG310-0.3)+CG310^2)</f>
        <v>0.6627212019065265</v>
      </c>
      <c r="CI310" s="550">
        <f t="shared" si="264"/>
        <v>0.96619138347062372</v>
      </c>
      <c r="CK310" s="551">
        <f t="shared" si="265"/>
        <v>126613.58365552442</v>
      </c>
      <c r="CO310" s="546">
        <f t="shared" si="266"/>
        <v>362</v>
      </c>
      <c r="CP310" s="551">
        <f t="shared" si="267"/>
        <v>35.406563469640034</v>
      </c>
      <c r="CQ310" s="553">
        <f>CP310/PI()*SQRT('Hilfstabellen_Mat&amp;Bem'!f.Rd.3/'Hilfstabellen_Mat&amp;Bem'!$BD$30)</f>
        <v>0.56351295940901402</v>
      </c>
      <c r="CR310" s="553">
        <f>0.5*(1+'Hilfstabellen_Mat&amp;Bem'!$BD$31*(CQ310-0.3)+CQ310^2)</f>
        <v>0.67194907568140327</v>
      </c>
      <c r="CS310" s="550">
        <f t="shared" si="268"/>
        <v>0.96342229332797646</v>
      </c>
      <c r="CU310" s="551">
        <f t="shared" si="269"/>
        <v>126250.71100687135</v>
      </c>
      <c r="CY310" s="546">
        <f t="shared" si="270"/>
        <v>362</v>
      </c>
      <c r="CZ310" s="551">
        <f t="shared" si="271"/>
        <v>36.363497617468141</v>
      </c>
      <c r="DA310" s="553">
        <f>CZ310/PI()*SQRT('Hilfstabellen_Mat&amp;Bem'!f.Rd.3/'Hilfstabellen_Mat&amp;Bem'!$BD$30)</f>
        <v>0.57874303939304139</v>
      </c>
      <c r="DB310" s="553">
        <f>0.5*(1+'Hilfstabellen_Mat&amp;Bem'!$BD$31*(DA310-0.3)+DA310^2)</f>
        <v>0.68140890479259975</v>
      </c>
      <c r="DC310" s="550">
        <f t="shared" si="272"/>
        <v>0.96052649244175725</v>
      </c>
      <c r="DE310" s="551">
        <f t="shared" si="273"/>
        <v>125871.23367553763</v>
      </c>
      <c r="DI310" s="546">
        <f t="shared" si="274"/>
        <v>362</v>
      </c>
      <c r="DJ310" s="551">
        <f t="shared" si="275"/>
        <v>37.320431765296249</v>
      </c>
      <c r="DK310" s="553">
        <f>DJ310/PI()*SQRT('Hilfstabellen_Mat&amp;Bem'!f.Rd.3/'Hilfstabellen_Mat&amp;Bem'!$BD$30)</f>
        <v>0.59397311937706876</v>
      </c>
      <c r="DL310" s="553">
        <f>0.5*(1+'Hilfstabellen_Mat&amp;Bem'!$BD$31*(DK310-0.3)+DK310^2)</f>
        <v>0.69110068924011625</v>
      </c>
      <c r="DM310" s="550">
        <f t="shared" si="276"/>
        <v>0.95749314071201208</v>
      </c>
      <c r="DO310" s="551">
        <f t="shared" si="277"/>
        <v>125473.73113146491</v>
      </c>
      <c r="DS310" s="546">
        <f t="shared" si="278"/>
        <v>362</v>
      </c>
      <c r="DT310" s="551">
        <f t="shared" si="279"/>
        <v>38.277365913124356</v>
      </c>
      <c r="DU310" s="553">
        <f>DT310/PI()*SQRT('Hilfstabellen_Mat&amp;Bem'!f.Rd.3/'Hilfstabellen_Mat&amp;Bem'!$BD$30)</f>
        <v>0.60920319936109624</v>
      </c>
      <c r="DV310" s="553">
        <f>0.5*(1+'Hilfstabellen_Mat&amp;Bem'!$BD$31*(DU310-0.3)+DU310^2)</f>
        <v>0.70102442902395268</v>
      </c>
      <c r="DW310" s="550">
        <f t="shared" si="280"/>
        <v>0.95431046942356879</v>
      </c>
      <c r="DY310" s="551">
        <f t="shared" si="281"/>
        <v>125056.66115514215</v>
      </c>
      <c r="EC310" s="546">
        <f t="shared" si="282"/>
        <v>362</v>
      </c>
      <c r="ED310" s="551">
        <f t="shared" si="283"/>
        <v>39.234300060952471</v>
      </c>
      <c r="EE310" s="553">
        <f>ED310/PI()*SQRT('Hilfstabellen_Mat&amp;Bem'!f.Rd.3/'Hilfstabellen_Mat&amp;Bem'!$BD$30)</f>
        <v>0.62443327934512372</v>
      </c>
      <c r="EF310" s="553">
        <f>0.5*(1+'Hilfstabellen_Mat&amp;Bem'!$BD$31*(EE310-0.3)+EE310^2)</f>
        <v>0.71118012414410892</v>
      </c>
      <c r="EG310" s="550">
        <f t="shared" si="284"/>
        <v>0.95096570931887747</v>
      </c>
      <c r="EI310" s="551">
        <f t="shared" si="285"/>
        <v>124618.35041198297</v>
      </c>
      <c r="EM310" s="546">
        <f t="shared" si="286"/>
        <v>362</v>
      </c>
      <c r="EN310" s="551">
        <f t="shared" si="287"/>
        <v>40.191234208780578</v>
      </c>
      <c r="EO310" s="553">
        <f>EN310/PI()*SQRT('Hilfstabellen_Mat&amp;Bem'!f.Rd.3/'Hilfstabellen_Mat&amp;Bem'!$BD$30)</f>
        <v>0.63966335932915108</v>
      </c>
      <c r="EP310" s="553">
        <f>0.5*(1+'Hilfstabellen_Mat&amp;Bem'!$BD$31*(EO310-0.3)+EO310^2)</f>
        <v>0.72156777460058497</v>
      </c>
      <c r="EQ310" s="550">
        <f t="shared" si="288"/>
        <v>0.94744502048912838</v>
      </c>
      <c r="ES310" s="551">
        <f t="shared" si="289"/>
        <v>124156.98526497734</v>
      </c>
    </row>
    <row r="311" spans="3:149">
      <c r="C311" s="546">
        <v>363</v>
      </c>
      <c r="D311" s="551">
        <f t="shared" si="244"/>
        <v>26.720343036875239</v>
      </c>
      <c r="E311" s="553">
        <f>$D311/PI()*SQRT('Hilfstabellen_Mat&amp;Bem'!f.Rd.3/'Hilfstabellen_Mat&amp;Bem'!$BD$30)</f>
        <v>0.42526746754298012</v>
      </c>
      <c r="F311" s="553">
        <f>0.5*(1+'Hilfstabellen_Mat&amp;Bem'!$BD$31*($E311-0.3)+$E311^2)</f>
        <v>0.59668958285235885</v>
      </c>
      <c r="G311" s="550">
        <f t="shared" si="245"/>
        <v>0.98498693105556212</v>
      </c>
      <c r="I311" s="551">
        <f t="shared" si="290"/>
        <v>129790.74291826037</v>
      </c>
      <c r="M311" s="546">
        <f t="shared" si="246"/>
        <v>363</v>
      </c>
      <c r="N311" s="551">
        <f t="shared" si="236"/>
        <v>27.67464100247793</v>
      </c>
      <c r="O311" s="553">
        <f>$N311/PI()*SQRT('Hilfstabellen_Mat&amp;Bem'!f.Rd.3/'Hilfstabellen_Mat&amp;Bem'!$BD$30)</f>
        <v>0.44045559138380086</v>
      </c>
      <c r="P311" s="553">
        <f>0.5*(1+'Hilfstabellen_Mat&amp;Bem'!$BD$31*($O311-0.3)+$O311^2)</f>
        <v>0.60402334355981691</v>
      </c>
      <c r="Q311" s="550">
        <f t="shared" si="237"/>
        <v>0.98294104231504442</v>
      </c>
      <c r="S311" s="551">
        <f t="shared" si="291"/>
        <v>129521.15820481109</v>
      </c>
      <c r="W311" s="546">
        <f t="shared" si="247"/>
        <v>363</v>
      </c>
      <c r="X311" s="551">
        <f t="shared" si="238"/>
        <v>28.628938968080611</v>
      </c>
      <c r="Y311" s="553">
        <f>$X311/PI()*SQRT('Hilfstabellen_Mat&amp;Bem'!f.Rd.3/'Hilfstabellen_Mat&amp;Bem'!$BD$30)</f>
        <v>0.45564371522462149</v>
      </c>
      <c r="Z311" s="553">
        <f>0.5*(1+'Hilfstabellen_Mat&amp;Bem'!$BD$31*($Y311-0.3)+$Y311^2)</f>
        <v>0.61158778337307895</v>
      </c>
      <c r="AA311" s="550">
        <f t="shared" si="239"/>
        <v>0.98083047269377654</v>
      </c>
      <c r="AC311" s="551">
        <f t="shared" si="292"/>
        <v>129243.05055638624</v>
      </c>
      <c r="AG311" s="546">
        <f t="shared" si="248"/>
        <v>363</v>
      </c>
      <c r="AH311" s="551">
        <f t="shared" si="240"/>
        <v>29.583236933683303</v>
      </c>
      <c r="AI311" s="553">
        <f>$AH311/PI()*SQRT('Hilfstabellen_Mat&amp;Bem'!f.Rd.3/'Hilfstabellen_Mat&amp;Bem'!$BD$30)</f>
        <v>0.47083183906544229</v>
      </c>
      <c r="AJ311" s="553">
        <f>0.5*(1+'Hilfstabellen_Mat&amp;Bem'!$BD$31*($AI311-0.3)+$AI311^2)</f>
        <v>0.61938290229214532</v>
      </c>
      <c r="AK311" s="550">
        <f t="shared" si="241"/>
        <v>0.97864958507995536</v>
      </c>
      <c r="AM311" s="551">
        <f t="shared" si="293"/>
        <v>128955.67717640064</v>
      </c>
      <c r="AQ311" s="546">
        <f t="shared" si="249"/>
        <v>363</v>
      </c>
      <c r="AR311" s="551">
        <f t="shared" si="242"/>
        <v>30.537534899285991</v>
      </c>
      <c r="AS311" s="553">
        <f>$AR311/PI()*SQRT('Hilfstabellen_Mat&amp;Bem'!f.Rd.3/'Hilfstabellen_Mat&amp;Bem'!$BD$30)</f>
        <v>0.48601996290626304</v>
      </c>
      <c r="AT311" s="553">
        <f>0.5*(1+'Hilfstabellen_Mat&amp;Bem'!$BD$31*($AS311-0.3)+$AS311^2)</f>
        <v>0.62740870031701579</v>
      </c>
      <c r="AU311" s="550">
        <f t="shared" si="243"/>
        <v>0.97639230006530353</v>
      </c>
      <c r="AW311" s="551">
        <f t="shared" si="294"/>
        <v>128658.23698730498</v>
      </c>
      <c r="BA311" s="546">
        <f t="shared" si="250"/>
        <v>363</v>
      </c>
      <c r="BB311" s="551">
        <f t="shared" si="251"/>
        <v>31.491832864888679</v>
      </c>
      <c r="BC311" s="553">
        <f>$BB311/PI()*SQRT('Hilfstabellen_Mat&amp;Bem'!f.Rd.3/'Hilfstabellen_Mat&amp;Bem'!$BD$30)</f>
        <v>0.50120808674708373</v>
      </c>
      <c r="BD311" s="553">
        <f>0.5*(1+'Hilfstabellen_Mat&amp;Bem'!$BD$31*($BC311-0.3)+$BC311^2)</f>
        <v>0.63566517744769035</v>
      </c>
      <c r="BE311" s="550">
        <f t="shared" si="252"/>
        <v>0.97405205093094493</v>
      </c>
      <c r="BG311" s="551">
        <f t="shared" si="253"/>
        <v>128349.86469911969</v>
      </c>
      <c r="BK311" s="546">
        <f t="shared" si="254"/>
        <v>363</v>
      </c>
      <c r="BL311" s="551">
        <f t="shared" si="255"/>
        <v>32.446130830491363</v>
      </c>
      <c r="BM311" s="553">
        <f>$BL311/PI()*SQRT('Hilfstabellen_Mat&amp;Bem'!f.Rd.3/'Hilfstabellen_Mat&amp;Bem'!$BD$30)</f>
        <v>0.51639621058790441</v>
      </c>
      <c r="BN311" s="553">
        <f>0.5*(1+'Hilfstabellen_Mat&amp;Bem'!$BD$31*($BM311-0.3)+$BM311^2)</f>
        <v>0.6441523336841688</v>
      </c>
      <c r="BO311" s="550">
        <f t="shared" si="256"/>
        <v>0.97162173469696933</v>
      </c>
      <c r="BQ311" s="551">
        <f t="shared" si="257"/>
        <v>128029.62435928495</v>
      </c>
      <c r="BU311" s="546">
        <f t="shared" si="258"/>
        <v>363</v>
      </c>
      <c r="BV311" s="551">
        <f t="shared" si="259"/>
        <v>33.400428796094054</v>
      </c>
      <c r="BW311" s="553">
        <f>$BV311/PI()*SQRT('Hilfstabellen_Mat&amp;Bem'!f.Rd.3/'Hilfstabellen_Mat&amp;Bem'!$BD$30)</f>
        <v>0.5315843344287251</v>
      </c>
      <c r="BX311" s="553">
        <f>0.5*(1+'Hilfstabellen_Mat&amp;Bem'!$BD$31*($BW311-0.3)+$BW311^2)</f>
        <v>0.65287016902645156</v>
      </c>
      <c r="BY311" s="550">
        <f t="shared" si="260"/>
        <v>0.96909365909231548</v>
      </c>
      <c r="CA311" s="551">
        <f t="shared" si="261"/>
        <v>127696.50236493532</v>
      </c>
      <c r="CE311" s="546">
        <f t="shared" si="262"/>
        <v>363</v>
      </c>
      <c r="CF311" s="551">
        <f t="shared" si="263"/>
        <v>34.354726761696739</v>
      </c>
      <c r="CG311" s="553">
        <f>CF311/PI()*SQRT('Hilfstabellen_Mat&amp;Bem'!f.Rd.3/'Hilfstabellen_Mat&amp;Bem'!$BD$30)</f>
        <v>0.5467724582695459</v>
      </c>
      <c r="CH311" s="553">
        <f>0.5*(1+'Hilfstabellen_Mat&amp;Bem'!$BD$31*(CG311-0.3)+CG311^2)</f>
        <v>0.66181868347453854</v>
      </c>
      <c r="CI311" s="550">
        <f t="shared" si="264"/>
        <v>0.96645948539605975</v>
      </c>
      <c r="CK311" s="551">
        <f t="shared" si="265"/>
        <v>127349.3999311534</v>
      </c>
      <c r="CO311" s="546">
        <f t="shared" si="266"/>
        <v>363</v>
      </c>
      <c r="CP311" s="551">
        <f t="shared" si="267"/>
        <v>35.309024727299423</v>
      </c>
      <c r="CQ311" s="553">
        <f>CP311/PI()*SQRT('Hilfstabellen_Mat&amp;Bem'!f.Rd.3/'Hilfstabellen_Mat&amp;Bem'!$BD$30)</f>
        <v>0.56196058211036648</v>
      </c>
      <c r="CR311" s="553">
        <f>0.5*(1+'Hilfstabellen_Mat&amp;Bem'!$BD$31*(CQ311-0.3)+CQ311^2)</f>
        <v>0.67099787702842928</v>
      </c>
      <c r="CS311" s="550">
        <f t="shared" si="268"/>
        <v>0.96371016724200886</v>
      </c>
      <c r="CU311" s="551">
        <f t="shared" si="269"/>
        <v>126987.12502731227</v>
      </c>
      <c r="CY311" s="546">
        <f t="shared" si="270"/>
        <v>363</v>
      </c>
      <c r="CZ311" s="551">
        <f t="shared" si="271"/>
        <v>36.263322692902115</v>
      </c>
      <c r="DA311" s="553">
        <f>CZ311/PI()*SQRT('Hilfstabellen_Mat&amp;Bem'!f.Rd.3/'Hilfstabellen_Mat&amp;Bem'!$BD$30)</f>
        <v>0.57714870595118739</v>
      </c>
      <c r="DB311" s="553">
        <f>0.5*(1+'Hilfstabellen_Mat&amp;Bem'!$BD$31*(DA311-0.3)+DA311^2)</f>
        <v>0.68040774968812445</v>
      </c>
      <c r="DC311" s="550">
        <f t="shared" si="272"/>
        <v>0.96083588568141243</v>
      </c>
      <c r="DE311" s="551">
        <f t="shared" si="273"/>
        <v>126608.38382035404</v>
      </c>
      <c r="DI311" s="546">
        <f t="shared" si="274"/>
        <v>363</v>
      </c>
      <c r="DJ311" s="551">
        <f t="shared" si="275"/>
        <v>37.217620658504799</v>
      </c>
      <c r="DK311" s="553">
        <f>DJ311/PI()*SQRT('Hilfstabellen_Mat&amp;Bem'!f.Rd.3/'Hilfstabellen_Mat&amp;Bem'!$BD$30)</f>
        <v>0.59233682979200797</v>
      </c>
      <c r="DL311" s="553">
        <f>0.5*(1+'Hilfstabellen_Mat&amp;Bem'!$BD$31*(DK311-0.3)+DK311^2)</f>
        <v>0.6900483014536235</v>
      </c>
      <c r="DM311" s="550">
        <f t="shared" si="276"/>
        <v>0.95782598108330474</v>
      </c>
      <c r="DO311" s="551">
        <f t="shared" si="277"/>
        <v>126211.77170136599</v>
      </c>
      <c r="DS311" s="546">
        <f t="shared" si="278"/>
        <v>363</v>
      </c>
      <c r="DT311" s="551">
        <f t="shared" si="279"/>
        <v>38.171918624107484</v>
      </c>
      <c r="DU311" s="553">
        <f>DT311/PI()*SQRT('Hilfstabellen_Mat&amp;Bem'!f.Rd.3/'Hilfstabellen_Mat&amp;Bem'!$BD$30)</f>
        <v>0.60752495363282866</v>
      </c>
      <c r="DV311" s="553">
        <f>0.5*(1+'Hilfstabellen_Mat&amp;Bem'!$BD$31*(DU311-0.3)+DU311^2)</f>
        <v>0.69991953232492676</v>
      </c>
      <c r="DW311" s="550">
        <f t="shared" si="280"/>
        <v>0.95466888284302986</v>
      </c>
      <c r="DY311" s="551">
        <f t="shared" si="281"/>
        <v>125795.7640233432</v>
      </c>
      <c r="EC311" s="546">
        <f t="shared" si="282"/>
        <v>363</v>
      </c>
      <c r="ED311" s="551">
        <f t="shared" si="283"/>
        <v>39.126216589710175</v>
      </c>
      <c r="EE311" s="553">
        <f>ED311/PI()*SQRT('Hilfstabellen_Mat&amp;Bem'!f.Rd.3/'Hilfstabellen_Mat&amp;Bem'!$BD$30)</f>
        <v>0.62271307747364946</v>
      </c>
      <c r="EF311" s="553">
        <f>0.5*(1+'Hilfstabellen_Mat&amp;Bem'!$BD$31*(EE311-0.3)+EE311^2)</f>
        <v>0.71002144230203412</v>
      </c>
      <c r="EG311" s="550">
        <f t="shared" si="284"/>
        <v>0.95135203839648641</v>
      </c>
      <c r="EI311" s="551">
        <f t="shared" si="285"/>
        <v>125358.70674746661</v>
      </c>
      <c r="EM311" s="546">
        <f t="shared" si="286"/>
        <v>363</v>
      </c>
      <c r="EN311" s="551">
        <f t="shared" si="287"/>
        <v>40.08051455531286</v>
      </c>
      <c r="EO311" s="553">
        <f>EN311/PI()*SQRT('Hilfstabellen_Mat&amp;Bem'!f.Rd.3/'Hilfstabellen_Mat&amp;Bem'!$BD$30)</f>
        <v>0.63790120131447015</v>
      </c>
      <c r="EP311" s="553">
        <f>0.5*(1+'Hilfstabellen_Mat&amp;Bem'!$BD$31*(EO311-0.3)+EO311^2)</f>
        <v>0.72035403138494558</v>
      </c>
      <c r="EQ311" s="550">
        <f t="shared" si="288"/>
        <v>0.94786184373504134</v>
      </c>
      <c r="ES311" s="551">
        <f t="shared" si="289"/>
        <v>124898.80728712266</v>
      </c>
    </row>
    <row r="312" spans="3:149">
      <c r="C312" s="546">
        <v>364</v>
      </c>
      <c r="D312" s="551">
        <f t="shared" si="244"/>
        <v>26.646935501059652</v>
      </c>
      <c r="E312" s="553">
        <f>$D312/PI()*SQRT('Hilfstabellen_Mat&amp;Bem'!f.Rd.3/'Hilfstabellen_Mat&amp;Bem'!$BD$30)</f>
        <v>0.4240991503244555</v>
      </c>
      <c r="F312" s="553">
        <f>0.5*(1+'Hilfstabellen_Mat&amp;Bem'!$BD$31*($E312-0.3)+$E312^2)</f>
        <v>0.59613500216918525</v>
      </c>
      <c r="G312" s="550">
        <f t="shared" si="245"/>
        <v>0.98514178066574098</v>
      </c>
      <c r="I312" s="551">
        <f t="shared" si="290"/>
        <v>130527.34537108801</v>
      </c>
      <c r="M312" s="546">
        <f t="shared" si="246"/>
        <v>364</v>
      </c>
      <c r="N312" s="551">
        <f t="shared" si="236"/>
        <v>27.598611768954637</v>
      </c>
      <c r="O312" s="553">
        <f>$N312/PI()*SQRT('Hilfstabellen_Mat&amp;Bem'!f.Rd.3/'Hilfstabellen_Mat&amp;Bem'!$BD$30)</f>
        <v>0.43924554855032882</v>
      </c>
      <c r="P312" s="553">
        <f>0.5*(1+'Hilfstabellen_Mat&amp;Bem'!$BD$31*($O312-0.3)+$O312^2)</f>
        <v>0.60343060338815602</v>
      </c>
      <c r="Q312" s="550">
        <f t="shared" si="237"/>
        <v>0.9831063387207023</v>
      </c>
      <c r="S312" s="551">
        <f t="shared" si="291"/>
        <v>130257.65745513818</v>
      </c>
      <c r="W312" s="546">
        <f t="shared" si="247"/>
        <v>364</v>
      </c>
      <c r="X312" s="551">
        <f t="shared" si="238"/>
        <v>28.550288036849622</v>
      </c>
      <c r="Y312" s="553">
        <f>$X312/PI()*SQRT('Hilfstabellen_Mat&amp;Bem'!f.Rd.3/'Hilfstabellen_Mat&amp;Bem'!$BD$30)</f>
        <v>0.4543919467762022</v>
      </c>
      <c r="Z312" s="553">
        <f>0.5*(1+'Hilfstabellen_Mat&amp;Bem'!$BD$31*($Y312-0.3)+$Y312^2)</f>
        <v>0.61095561798634357</v>
      </c>
      <c r="AA312" s="550">
        <f t="shared" si="239"/>
        <v>0.98100699995352214</v>
      </c>
      <c r="AC312" s="551">
        <f t="shared" si="292"/>
        <v>129979.50346584187</v>
      </c>
      <c r="AG312" s="546">
        <f t="shared" si="248"/>
        <v>364</v>
      </c>
      <c r="AH312" s="551">
        <f t="shared" si="240"/>
        <v>29.501964304744611</v>
      </c>
      <c r="AI312" s="553">
        <f>$AH312/PI()*SQRT('Hilfstabellen_Mat&amp;Bem'!f.Rd.3/'Hilfstabellen_Mat&amp;Bem'!$BD$30)</f>
        <v>0.46953834500207564</v>
      </c>
      <c r="AJ312" s="553">
        <f>0.5*(1+'Hilfstabellen_Mat&amp;Bem'!$BD$31*($AI312-0.3)+$AI312^2)</f>
        <v>0.6187100459637479</v>
      </c>
      <c r="AK312" s="550">
        <f t="shared" si="241"/>
        <v>0.97883820732169524</v>
      </c>
      <c r="AM312" s="551">
        <f t="shared" si="293"/>
        <v>129692.14711729533</v>
      </c>
      <c r="AQ312" s="546">
        <f t="shared" si="249"/>
        <v>364</v>
      </c>
      <c r="AR312" s="551">
        <f t="shared" si="242"/>
        <v>30.453640572639603</v>
      </c>
      <c r="AS312" s="553">
        <f>$AR312/PI()*SQRT('Hilfstabellen_Mat&amp;Bem'!f.Rd.3/'Hilfstabellen_Mat&amp;Bem'!$BD$30)</f>
        <v>0.48468474322794908</v>
      </c>
      <c r="AT312" s="553">
        <f>0.5*(1+'Hilfstabellen_Mat&amp;Bem'!$BD$31*($AS312-0.3)+$AS312^2)</f>
        <v>0.6266938873203689</v>
      </c>
      <c r="AU312" s="550">
        <f t="shared" si="243"/>
        <v>0.97659396983163738</v>
      </c>
      <c r="AW312" s="551">
        <f t="shared" si="294"/>
        <v>129394.79462681263</v>
      </c>
      <c r="BA312" s="546">
        <f t="shared" si="250"/>
        <v>364</v>
      </c>
      <c r="BB312" s="551">
        <f t="shared" si="251"/>
        <v>31.405316840534585</v>
      </c>
      <c r="BC312" s="553">
        <f>$BB312/PI()*SQRT('Hilfstabellen_Mat&amp;Bem'!f.Rd.3/'Hilfstabellen_Mat&amp;Bem'!$BD$30)</f>
        <v>0.49983114145382246</v>
      </c>
      <c r="BD312" s="553">
        <f>0.5*(1+'Hilfstabellen_Mat&amp;Bem'!$BD$31*($BC312-0.3)+$BC312^2)</f>
        <v>0.63490714205620669</v>
      </c>
      <c r="BE312" s="550">
        <f t="shared" si="252"/>
        <v>0.97426781845656507</v>
      </c>
      <c r="BG312" s="551">
        <f t="shared" si="253"/>
        <v>129086.58887422105</v>
      </c>
      <c r="BK312" s="546">
        <f t="shared" si="254"/>
        <v>364</v>
      </c>
      <c r="BL312" s="551">
        <f t="shared" si="255"/>
        <v>32.356993108429577</v>
      </c>
      <c r="BM312" s="553">
        <f>$BL312/PI()*SQRT('Hilfstabellen_Mat&amp;Bem'!f.Rd.3/'Hilfstabellen_Mat&amp;Bem'!$BD$30)</f>
        <v>0.51497753967969595</v>
      </c>
      <c r="BN312" s="553">
        <f>0.5*(1+'Hilfstabellen_Mat&amp;Bem'!$BD$31*($BM312-0.3)+$BM312^2)</f>
        <v>0.64334981017126114</v>
      </c>
      <c r="BO312" s="550">
        <f t="shared" si="256"/>
        <v>0.97185275819757633</v>
      </c>
      <c r="BQ312" s="551">
        <f t="shared" si="257"/>
        <v>128766.60305014608</v>
      </c>
      <c r="BU312" s="546">
        <f t="shared" si="258"/>
        <v>364</v>
      </c>
      <c r="BV312" s="551">
        <f t="shared" si="259"/>
        <v>33.308669376324559</v>
      </c>
      <c r="BW312" s="553">
        <f>$BV312/PI()*SQRT('Hilfstabellen_Mat&amp;Bem'!f.Rd.3/'Hilfstabellen_Mat&amp;Bem'!$BD$30)</f>
        <v>0.53012393790556922</v>
      </c>
      <c r="BX312" s="553">
        <f>0.5*(1+'Hilfstabellen_Mat&amp;Bem'!$BD$31*($BW312-0.3)+$BW312^2)</f>
        <v>0.65202189166553237</v>
      </c>
      <c r="BY312" s="550">
        <f t="shared" si="260"/>
        <v>0.96934121614094892</v>
      </c>
      <c r="CA312" s="551">
        <f t="shared" si="261"/>
        <v>128433.83377381117</v>
      </c>
      <c r="CE312" s="546">
        <f t="shared" si="262"/>
        <v>364</v>
      </c>
      <c r="CF312" s="551">
        <f t="shared" si="263"/>
        <v>34.260345644219548</v>
      </c>
      <c r="CG312" s="553">
        <f>CF312/PI()*SQRT('Hilfstabellen_Mat&amp;Bem'!f.Rd.3/'Hilfstabellen_Mat&amp;Bem'!$BD$30)</f>
        <v>0.54527033613144271</v>
      </c>
      <c r="CH312" s="553">
        <f>0.5*(1+'Hilfstabellen_Mat&amp;Bem'!$BD$31*(CG312-0.3)+CG312^2)</f>
        <v>0.66092338653902039</v>
      </c>
      <c r="CI312" s="550">
        <f t="shared" si="264"/>
        <v>0.96672498545368701</v>
      </c>
      <c r="CK312" s="551">
        <f t="shared" si="265"/>
        <v>128087.19367267171</v>
      </c>
      <c r="CO312" s="546">
        <f t="shared" si="266"/>
        <v>364</v>
      </c>
      <c r="CP312" s="551">
        <f t="shared" si="267"/>
        <v>35.212021912114537</v>
      </c>
      <c r="CQ312" s="553">
        <f>CP312/PI()*SQRT('Hilfstabellen_Mat&amp;Bem'!f.Rd.3/'Hilfstabellen_Mat&amp;Bem'!$BD$30)</f>
        <v>0.56041673435731609</v>
      </c>
      <c r="CR312" s="553">
        <f>0.5*(1+'Hilfstabellen_Mat&amp;Bem'!$BD$31*(CQ312-0.3)+CQ312^2)</f>
        <v>0.67005429479172507</v>
      </c>
      <c r="CS312" s="550">
        <f t="shared" si="268"/>
        <v>0.96399516539237196</v>
      </c>
      <c r="CU312" s="551">
        <f t="shared" si="269"/>
        <v>127725.50343382772</v>
      </c>
      <c r="CY312" s="546">
        <f t="shared" si="270"/>
        <v>364</v>
      </c>
      <c r="CZ312" s="551">
        <f t="shared" si="271"/>
        <v>36.163698180009526</v>
      </c>
      <c r="DA312" s="553">
        <f>CZ312/PI()*SQRT('Hilfstabellen_Mat&amp;Bem'!f.Rd.3/'Hilfstabellen_Mat&amp;Bem'!$BD$30)</f>
        <v>0.57556313258318947</v>
      </c>
      <c r="DB312" s="553">
        <f>0.5*(1+'Hilfstabellen_Mat&amp;Bem'!$BD$31*(DA312-0.3)+DA312^2)</f>
        <v>0.67941461642364653</v>
      </c>
      <c r="DC312" s="550">
        <f t="shared" si="272"/>
        <v>0.96114209759241165</v>
      </c>
      <c r="DE312" s="551">
        <f t="shared" si="273"/>
        <v>127347.48336260418</v>
      </c>
      <c r="DI312" s="546">
        <f t="shared" si="274"/>
        <v>364</v>
      </c>
      <c r="DJ312" s="551">
        <f t="shared" si="275"/>
        <v>37.115374447904507</v>
      </c>
      <c r="DK312" s="553">
        <f>DJ312/PI()*SQRT('Hilfstabellen_Mat&amp;Bem'!f.Rd.3/'Hilfstabellen_Mat&amp;Bem'!$BD$30)</f>
        <v>0.59070953080906285</v>
      </c>
      <c r="DL312" s="553">
        <f>0.5*(1+'Hilfstabellen_Mat&amp;Bem'!$BD$31*(DK312-0.3)+DK312^2)</f>
        <v>0.68900435143478478</v>
      </c>
      <c r="DM312" s="550">
        <f t="shared" si="276"/>
        <v>0.95815529917458298</v>
      </c>
      <c r="DO312" s="551">
        <f t="shared" si="277"/>
        <v>126951.74451943554</v>
      </c>
      <c r="DS312" s="546">
        <f t="shared" si="278"/>
        <v>364</v>
      </c>
      <c r="DT312" s="551">
        <f t="shared" si="279"/>
        <v>38.067050715799496</v>
      </c>
      <c r="DU312" s="553">
        <f>DT312/PI()*SQRT('Hilfstabellen_Mat&amp;Bem'!f.Rd.3/'Hilfstabellen_Mat&amp;Bem'!$BD$30)</f>
        <v>0.60585592903493635</v>
      </c>
      <c r="DV312" s="553">
        <f>0.5*(1+'Hilfstabellen_Mat&amp;Bem'!$BD$31*(DU312-0.3)+DU312^2)</f>
        <v>0.6988234998251398</v>
      </c>
      <c r="DW312" s="550">
        <f t="shared" si="280"/>
        <v>0.95502339357674515</v>
      </c>
      <c r="DY312" s="551">
        <f t="shared" si="281"/>
        <v>126536.77955534443</v>
      </c>
      <c r="EC312" s="546">
        <f t="shared" si="282"/>
        <v>364</v>
      </c>
      <c r="ED312" s="551">
        <f t="shared" si="283"/>
        <v>39.018726983694492</v>
      </c>
      <c r="EE312" s="553">
        <f>ED312/PI()*SQRT('Hilfstabellen_Mat&amp;Bem'!f.Rd.3/'Hilfstabellen_Mat&amp;Bem'!$BD$30)</f>
        <v>0.62100232726080984</v>
      </c>
      <c r="EF312" s="553">
        <f>0.5*(1+'Hilfstabellen_Mat&amp;Bem'!$BD$31*(EE312-0.3)+EE312^2)</f>
        <v>0.7088720615947115</v>
      </c>
      <c r="EG312" s="550">
        <f t="shared" si="284"/>
        <v>0.95173404051906163</v>
      </c>
      <c r="EI312" s="551">
        <f t="shared" si="285"/>
        <v>126100.95343261359</v>
      </c>
      <c r="EM312" s="546">
        <f t="shared" si="286"/>
        <v>364</v>
      </c>
      <c r="EN312" s="551">
        <f t="shared" si="287"/>
        <v>39.970403251589474</v>
      </c>
      <c r="EO312" s="553">
        <f>EN312/PI()*SQRT('Hilfstabellen_Mat&amp;Bem'!f.Rd.3/'Hilfstabellen_Mat&amp;Bem'!$BD$30)</f>
        <v>0.63614872548668311</v>
      </c>
      <c r="EP312" s="553">
        <f>0.5*(1+'Hilfstabellen_Mat&amp;Bem'!$BD$31*(EO312-0.3)+EO312^2)</f>
        <v>0.71915003674349975</v>
      </c>
      <c r="EQ312" s="550">
        <f t="shared" si="288"/>
        <v>0.94827386717413598</v>
      </c>
      <c r="ES312" s="551">
        <f t="shared" si="289"/>
        <v>125642.49430510432</v>
      </c>
    </row>
    <row r="313" spans="3:149">
      <c r="C313" s="546">
        <v>365</v>
      </c>
      <c r="D313" s="551">
        <f t="shared" si="244"/>
        <v>26.573930198317019</v>
      </c>
      <c r="E313" s="553">
        <f>$D313/PI()*SQRT('Hilfstabellen_Mat&amp;Bem'!f.Rd.3/'Hilfstabellen_Mat&amp;Bem'!$BD$30)</f>
        <v>0.42293723484411444</v>
      </c>
      <c r="F313" s="553">
        <f>0.5*(1+'Hilfstabellen_Mat&amp;Bem'!$BD$31*($E313-0.3)+$E313^2)</f>
        <v>0.5955848140509985</v>
      </c>
      <c r="G313" s="550">
        <f t="shared" si="245"/>
        <v>0.98529543537004016</v>
      </c>
      <c r="I313" s="551">
        <f t="shared" si="290"/>
        <v>131265.98437717359</v>
      </c>
      <c r="M313" s="546">
        <f t="shared" si="246"/>
        <v>365</v>
      </c>
      <c r="N313" s="551">
        <f t="shared" si="236"/>
        <v>27.522999133971197</v>
      </c>
      <c r="O313" s="553">
        <f>$N313/PI()*SQRT('Hilfstabellen_Mat&amp;Bem'!f.Rd.3/'Hilfstabellen_Mat&amp;Bem'!$BD$30)</f>
        <v>0.43804213608854714</v>
      </c>
      <c r="P313" s="553">
        <f>0.5*(1+'Hilfstabellen_Mat&amp;Bem'!$BD$31*($O313-0.3)+$O313^2)</f>
        <v>0.60284256329893604</v>
      </c>
      <c r="Q313" s="550">
        <f t="shared" si="237"/>
        <v>0.98327032512560586</v>
      </c>
      <c r="S313" s="551">
        <f t="shared" si="291"/>
        <v>130996.18906485885</v>
      </c>
      <c r="W313" s="546">
        <f t="shared" si="247"/>
        <v>365</v>
      </c>
      <c r="X313" s="551">
        <f t="shared" si="238"/>
        <v>28.472068069625383</v>
      </c>
      <c r="Y313" s="553">
        <f>$X313/PI()*SQRT('Hilfstabellen_Mat&amp;Bem'!f.Rd.3/'Hilfstabellen_Mat&amp;Bem'!$BD$30)</f>
        <v>0.45314703733297979</v>
      </c>
      <c r="Z313" s="553">
        <f>0.5*(1+'Hilfstabellen_Mat&amp;Bem'!$BD$31*($Y313-0.3)+$Y313^2)</f>
        <v>0.6103284705884775</v>
      </c>
      <c r="AA313" s="550">
        <f t="shared" si="239"/>
        <v>0.98118208969039522</v>
      </c>
      <c r="AC313" s="551">
        <f t="shared" si="292"/>
        <v>130717.98389900291</v>
      </c>
      <c r="AG313" s="546">
        <f t="shared" si="248"/>
        <v>365</v>
      </c>
      <c r="AH313" s="551">
        <f t="shared" si="240"/>
        <v>29.421137005279558</v>
      </c>
      <c r="AI313" s="553">
        <f>$AH313/PI()*SQRT('Hilfstabellen_Mat&amp;Bem'!f.Rd.3/'Hilfstabellen_Mat&amp;Bem'!$BD$30)</f>
        <v>0.46825193857741243</v>
      </c>
      <c r="AJ313" s="553">
        <f>0.5*(1+'Hilfstabellen_Mat&amp;Bem'!$BD$31*($AI313-0.3)+$AI313^2)</f>
        <v>0.6180425359196231</v>
      </c>
      <c r="AK313" s="550">
        <f t="shared" si="241"/>
        <v>0.97902525058544421</v>
      </c>
      <c r="AM313" s="551">
        <f t="shared" si="293"/>
        <v>130430.6390092458</v>
      </c>
      <c r="AQ313" s="546">
        <f t="shared" si="249"/>
        <v>365</v>
      </c>
      <c r="AR313" s="551">
        <f t="shared" si="242"/>
        <v>30.370205940933737</v>
      </c>
      <c r="AS313" s="553">
        <f>$AR313/PI()*SQRT('Hilfstabellen_Mat&amp;Bem'!f.Rd.3/'Hilfstabellen_Mat&amp;Bem'!$BD$30)</f>
        <v>0.48335683982184507</v>
      </c>
      <c r="AT313" s="553">
        <f>0.5*(1+'Hilfstabellen_Mat&amp;Bem'!$BD$31*($AS313-0.3)+$AS313^2)</f>
        <v>0.62598475929237263</v>
      </c>
      <c r="AU313" s="550">
        <f t="shared" si="243"/>
        <v>0.97679390354003048</v>
      </c>
      <c r="AW313" s="551">
        <f t="shared" si="294"/>
        <v>130133.36779912056</v>
      </c>
      <c r="BA313" s="546">
        <f t="shared" si="250"/>
        <v>365</v>
      </c>
      <c r="BB313" s="551">
        <f t="shared" si="251"/>
        <v>31.319274876587919</v>
      </c>
      <c r="BC313" s="553">
        <f>$BB313/PI()*SQRT('Hilfstabellen_Mat&amp;Bem'!f.Rd.3/'Hilfstabellen_Mat&amp;Bem'!$BD$30)</f>
        <v>0.49846174106627777</v>
      </c>
      <c r="BD313" s="553">
        <f>0.5*(1+'Hilfstabellen_Mat&amp;Bem'!$BD$31*($BC313-0.3)+$BC313^2)</f>
        <v>0.63415514070672641</v>
      </c>
      <c r="BE313" s="550">
        <f t="shared" si="252"/>
        <v>0.97448167531973995</v>
      </c>
      <c r="BG313" s="551">
        <f t="shared" si="253"/>
        <v>129825.32119447236</v>
      </c>
      <c r="BK313" s="546">
        <f t="shared" si="254"/>
        <v>365</v>
      </c>
      <c r="BL313" s="551">
        <f t="shared" si="255"/>
        <v>32.268343812242094</v>
      </c>
      <c r="BM313" s="553">
        <f>$BL313/PI()*SQRT('Hilfstabellen_Mat&amp;Bem'!f.Rd.3/'Hilfstabellen_Mat&amp;Bem'!$BD$30)</f>
        <v>0.51356664231071036</v>
      </c>
      <c r="BN313" s="553">
        <f>0.5*(1+'Hilfstabellen_Mat&amp;Bem'!$BD$31*($BM313-0.3)+$BM313^2)</f>
        <v>0.6425536801626841</v>
      </c>
      <c r="BO313" s="550">
        <f t="shared" si="256"/>
        <v>0.97208167677584656</v>
      </c>
      <c r="BQ313" s="551">
        <f t="shared" si="257"/>
        <v>129505.58138846216</v>
      </c>
      <c r="BU313" s="546">
        <f t="shared" si="258"/>
        <v>365</v>
      </c>
      <c r="BV313" s="551">
        <f t="shared" si="259"/>
        <v>33.217412747896269</v>
      </c>
      <c r="BW313" s="553">
        <f>$BV313/PI()*SQRT('Hilfstabellen_Mat&amp;Bem'!f.Rd.3/'Hilfstabellen_Mat&amp;Bem'!$BD$30)</f>
        <v>0.52867154355514301</v>
      </c>
      <c r="BX313" s="553">
        <f>0.5*(1+'Hilfstabellen_Mat&amp;Bem'!$BD$31*($BW313-0.3)+$BW313^2)</f>
        <v>0.65118037766024595</v>
      </c>
      <c r="BY313" s="550">
        <f t="shared" si="260"/>
        <v>0.96958645196587145</v>
      </c>
      <c r="CA313" s="551">
        <f t="shared" si="261"/>
        <v>129173.15506315323</v>
      </c>
      <c r="CE313" s="546">
        <f t="shared" si="262"/>
        <v>365</v>
      </c>
      <c r="CF313" s="551">
        <f t="shared" si="263"/>
        <v>34.166481683550458</v>
      </c>
      <c r="CG313" s="553">
        <f>CF313/PI()*SQRT('Hilfstabellen_Mat&amp;Bem'!f.Rd.3/'Hilfstabellen_Mat&amp;Bem'!$BD$30)</f>
        <v>0.54377644479957576</v>
      </c>
      <c r="CH313" s="553">
        <f>0.5*(1+'Hilfstabellen_Mat&amp;Bem'!$BD$31*(CG313-0.3)+CG313^2)</f>
        <v>0.66003523319941182</v>
      </c>
      <c r="CI313" s="550">
        <f t="shared" si="264"/>
        <v>0.96698792327904548</v>
      </c>
      <c r="CK313" s="551">
        <f t="shared" si="265"/>
        <v>128826.96607885083</v>
      </c>
      <c r="CO313" s="546">
        <f t="shared" si="266"/>
        <v>365</v>
      </c>
      <c r="CP313" s="551">
        <f t="shared" si="267"/>
        <v>35.115550619204633</v>
      </c>
      <c r="CQ313" s="553">
        <f>CP313/PI()*SQRT('Hilfstabellen_Mat&amp;Bem'!f.Rd.3/'Hilfstabellen_Mat&amp;Bem'!$BD$30)</f>
        <v>0.55888134604400841</v>
      </c>
      <c r="CR313" s="553">
        <f>0.5*(1+'Hilfstabellen_Mat&amp;Bem'!$BD$31*(CQ313-0.3)+CQ313^2)</f>
        <v>0.66911824678018172</v>
      </c>
      <c r="CS313" s="550">
        <f t="shared" si="268"/>
        <v>0.96427733262608062</v>
      </c>
      <c r="CU313" s="551">
        <f t="shared" si="269"/>
        <v>128465.84763910959</v>
      </c>
      <c r="CY313" s="546">
        <f t="shared" si="270"/>
        <v>365</v>
      </c>
      <c r="CZ313" s="551">
        <f t="shared" si="271"/>
        <v>36.064619554858815</v>
      </c>
      <c r="DA313" s="553">
        <f>CZ313/PI()*SQRT('Hilfstabellen_Mat&amp;Bem'!f.Rd.3/'Hilfstabellen_Mat&amp;Bem'!$BD$30)</f>
        <v>0.57398624728844105</v>
      </c>
      <c r="DB313" s="553">
        <f>0.5*(1+'Hilfstabellen_Mat&amp;Bem'!$BD$31*(DA313-0.3)+DA313^2)</f>
        <v>0.67842941840255566</v>
      </c>
      <c r="DC313" s="550">
        <f t="shared" si="272"/>
        <v>0.96144517893438652</v>
      </c>
      <c r="DE313" s="551">
        <f t="shared" si="273"/>
        <v>128088.53396353364</v>
      </c>
      <c r="DI313" s="546">
        <f t="shared" si="274"/>
        <v>365</v>
      </c>
      <c r="DJ313" s="551">
        <f t="shared" si="275"/>
        <v>37.01368849051299</v>
      </c>
      <c r="DK313" s="553">
        <f>DJ313/PI()*SQRT('Hilfstabellen_Mat&amp;Bem'!f.Rd.3/'Hilfstabellen_Mat&amp;Bem'!$BD$30)</f>
        <v>0.5890911485328737</v>
      </c>
      <c r="DL313" s="553">
        <f>0.5*(1+'Hilfstabellen_Mat&amp;Bem'!$BD$31*(DK313-0.3)+DK313^2)</f>
        <v>0.68796874806653385</v>
      </c>
      <c r="DM313" s="550">
        <f t="shared" si="276"/>
        <v>0.95848115244557186</v>
      </c>
      <c r="DO313" s="551">
        <f t="shared" si="277"/>
        <v>127693.65153456132</v>
      </c>
      <c r="DS313" s="546">
        <f t="shared" si="278"/>
        <v>365</v>
      </c>
      <c r="DT313" s="551">
        <f t="shared" si="279"/>
        <v>37.962757426167173</v>
      </c>
      <c r="DU313" s="553">
        <f>DT313/PI()*SQRT('Hilfstabellen_Mat&amp;Bem'!f.Rd.3/'Hilfstabellen_Mat&amp;Bem'!$BD$30)</f>
        <v>0.60419604977730634</v>
      </c>
      <c r="DV313" s="553">
        <f>0.5*(1+'Hilfstabellen_Mat&amp;Bem'!$BD$31*(DU313-0.3)+DU313^2)</f>
        <v>0.69773623577211596</v>
      </c>
      <c r="DW313" s="550">
        <f t="shared" si="280"/>
        <v>0.95537406666402747</v>
      </c>
      <c r="DY313" s="551">
        <f t="shared" si="281"/>
        <v>127279.71003131506</v>
      </c>
      <c r="EC313" s="546">
        <f t="shared" si="282"/>
        <v>365</v>
      </c>
      <c r="ED313" s="551">
        <f t="shared" si="283"/>
        <v>38.911826361821355</v>
      </c>
      <c r="EE313" s="553">
        <f>ED313/PI()*SQRT('Hilfstabellen_Mat&amp;Bem'!f.Rd.3/'Hilfstabellen_Mat&amp;Bem'!$BD$30)</f>
        <v>0.6193009510217391</v>
      </c>
      <c r="EF313" s="553">
        <f>0.5*(1+'Hilfstabellen_Mat&amp;Bem'!$BD$31*(EE313-0.3)+EE313^2)</f>
        <v>0.70773188151930222</v>
      </c>
      <c r="EG313" s="550">
        <f t="shared" si="284"/>
        <v>0.9521117892806874</v>
      </c>
      <c r="EI313" s="551">
        <f t="shared" si="285"/>
        <v>126845.09312691959</v>
      </c>
      <c r="EM313" s="546">
        <f t="shared" si="286"/>
        <v>365</v>
      </c>
      <c r="EN313" s="551">
        <f t="shared" si="287"/>
        <v>39.86089529747553</v>
      </c>
      <c r="EO313" s="553">
        <f>EN313/PI()*SQRT('Hilfstabellen_Mat&amp;Bem'!f.Rd.3/'Hilfstabellen_Mat&amp;Bem'!$BD$30)</f>
        <v>0.63440585226617174</v>
      </c>
      <c r="EP313" s="553">
        <f>0.5*(1+'Hilfstabellen_Mat&amp;Bem'!$BD$31*(EO313-0.3)+EO313^2)</f>
        <v>0.7179556853080924</v>
      </c>
      <c r="EQ313" s="550">
        <f t="shared" si="288"/>
        <v>0.94868117402647678</v>
      </c>
      <c r="ES313" s="551">
        <f t="shared" si="289"/>
        <v>126388.04940967738</v>
      </c>
    </row>
    <row r="314" spans="3:149">
      <c r="C314" s="546">
        <v>366</v>
      </c>
      <c r="D314" s="551">
        <f t="shared" si="244"/>
        <v>26.50132383165495</v>
      </c>
      <c r="E314" s="553">
        <f>$D314/PI()*SQRT('Hilfstabellen_Mat&amp;Bem'!f.Rd.3/'Hilfstabellen_Mat&amp;Bem'!$BD$30)</f>
        <v>0.42178166862869332</v>
      </c>
      <c r="F314" s="553">
        <f>0.5*(1+'Hilfstabellen_Mat&amp;Bem'!$BD$31*($E314-0.3)+$E314^2)</f>
        <v>0.5950389714270371</v>
      </c>
      <c r="G314" s="550">
        <f t="shared" si="245"/>
        <v>0.98544791001660681</v>
      </c>
      <c r="I314" s="551">
        <f t="shared" si="290"/>
        <v>132006.66023418459</v>
      </c>
      <c r="M314" s="546">
        <f t="shared" si="246"/>
        <v>366</v>
      </c>
      <c r="N314" s="551">
        <f t="shared" si="236"/>
        <v>27.447799682785487</v>
      </c>
      <c r="O314" s="553">
        <f>$N314/PI()*SQRT('Hilfstabellen_Mat&amp;Bem'!f.Rd.3/'Hilfstabellen_Mat&amp;Bem'!$BD$30)</f>
        <v>0.43684529965114677</v>
      </c>
      <c r="P314" s="553">
        <f>0.5*(1+'Hilfstabellen_Mat&amp;Bem'!$BD$31*($O314-0.3)+$O314^2)</f>
        <v>0.60225917289620745</v>
      </c>
      <c r="Q314" s="550">
        <f t="shared" si="237"/>
        <v>0.98343301822607665</v>
      </c>
      <c r="S314" s="551">
        <f t="shared" si="291"/>
        <v>131736.75338949231</v>
      </c>
      <c r="W314" s="546">
        <f t="shared" si="247"/>
        <v>366</v>
      </c>
      <c r="X314" s="551">
        <f t="shared" si="238"/>
        <v>28.394275533916016</v>
      </c>
      <c r="Y314" s="553">
        <f>$X314/PI()*SQRT('Hilfstabellen_Mat&amp;Bem'!f.Rd.3/'Hilfstabellen_Mat&amp;Bem'!$BD$30)</f>
        <v>0.45190893067359994</v>
      </c>
      <c r="Z314" s="553">
        <f>0.5*(1+'Hilfstabellen_Mat&amp;Bem'!$BD$31*($Y314-0.3)+$Y314^2)</f>
        <v>0.60970628734495835</v>
      </c>
      <c r="AA314" s="550">
        <f t="shared" si="239"/>
        <v>0.98135576069563935</v>
      </c>
      <c r="AC314" s="551">
        <f t="shared" si="292"/>
        <v>131458.49227974506</v>
      </c>
      <c r="AG314" s="546">
        <f t="shared" si="248"/>
        <v>366</v>
      </c>
      <c r="AH314" s="551">
        <f t="shared" si="240"/>
        <v>29.340751385046556</v>
      </c>
      <c r="AI314" s="553">
        <f>$AH314/PI()*SQRT('Hilfstabellen_Mat&amp;Bem'!f.Rd.3/'Hilfstabellen_Mat&amp;Bem'!$BD$30)</f>
        <v>0.46697256169605339</v>
      </c>
      <c r="AJ314" s="553">
        <f>0.5*(1+'Hilfstabellen_Mat&amp;Bem'!$BD$31*($AI314-0.3)+$AI314^2)</f>
        <v>0.61738031477328981</v>
      </c>
      <c r="AK314" s="550">
        <f t="shared" si="241"/>
        <v>0.97921073603858799</v>
      </c>
      <c r="AM314" s="551">
        <f t="shared" si="293"/>
        <v>131171.1533567851</v>
      </c>
      <c r="AQ314" s="546">
        <f t="shared" si="249"/>
        <v>366</v>
      </c>
      <c r="AR314" s="551">
        <f t="shared" si="242"/>
        <v>30.287227236177092</v>
      </c>
      <c r="AS314" s="553">
        <f>$AR314/PI()*SQRT('Hilfstabellen_Mat&amp;Bem'!f.Rd.3/'Hilfstabellen_Mat&amp;Bem'!$BD$30)</f>
        <v>0.48203619271850678</v>
      </c>
      <c r="AT314" s="553">
        <f>0.5*(1+'Hilfstabellen_Mat&amp;Bem'!$BD$31*($AS314-0.3)+$AS314^2)</f>
        <v>0.62528125518120203</v>
      </c>
      <c r="AU314" s="550">
        <f t="shared" si="243"/>
        <v>0.976992125054434</v>
      </c>
      <c r="AW314" s="551">
        <f t="shared" si="294"/>
        <v>130873.95710379176</v>
      </c>
      <c r="BA314" s="546">
        <f t="shared" si="250"/>
        <v>366</v>
      </c>
      <c r="BB314" s="551">
        <f t="shared" si="251"/>
        <v>31.233703087307621</v>
      </c>
      <c r="BC314" s="553">
        <f>$BB314/PI()*SQRT('Hilfstabellen_Mat&amp;Bem'!f.Rd.3/'Hilfstabellen_Mat&amp;Bem'!$BD$30)</f>
        <v>0.49709982374096007</v>
      </c>
      <c r="BD314" s="553">
        <f>0.5*(1+'Hilfstabellen_Mat&amp;Bem'!$BD$31*($BC314-0.3)+$BC314^2)</f>
        <v>0.63340910856869481</v>
      </c>
      <c r="BE314" s="550">
        <f t="shared" si="252"/>
        <v>0.97469364844589024</v>
      </c>
      <c r="BG314" s="551">
        <f t="shared" si="253"/>
        <v>130566.06237121767</v>
      </c>
      <c r="BK314" s="546">
        <f t="shared" si="254"/>
        <v>366</v>
      </c>
      <c r="BL314" s="551">
        <f t="shared" si="255"/>
        <v>32.180178938438161</v>
      </c>
      <c r="BM314" s="553">
        <f>$BL314/PI()*SQRT('Hilfstabellen_Mat&amp;Bem'!f.Rd.3/'Hilfstabellen_Mat&amp;Bem'!$BD$30)</f>
        <v>0.51216345476341352</v>
      </c>
      <c r="BN314" s="553">
        <f>0.5*(1+'Hilfstabellen_Mat&amp;Bem'!$BD$31*($BM314-0.3)+$BM314^2)</f>
        <v>0.64176387493576825</v>
      </c>
      <c r="BO314" s="550">
        <f t="shared" si="256"/>
        <v>0.97230852083387576</v>
      </c>
      <c r="BQ314" s="551">
        <f t="shared" si="257"/>
        <v>130246.56021682266</v>
      </c>
      <c r="BU314" s="546">
        <f t="shared" si="258"/>
        <v>366</v>
      </c>
      <c r="BV314" s="551">
        <f t="shared" si="259"/>
        <v>33.12665478956869</v>
      </c>
      <c r="BW314" s="553">
        <f>$BV314/PI()*SQRT('Hilfstabellen_Mat&amp;Bem'!f.Rd.3/'Hilfstabellen_Mat&amp;Bem'!$BD$30)</f>
        <v>0.52722708578586674</v>
      </c>
      <c r="BX314" s="553">
        <f>0.5*(1+'Hilfstabellen_Mat&amp;Bem'!$BD$31*($BW314-0.3)+$BW314^2)</f>
        <v>0.65034555428242213</v>
      </c>
      <c r="BY314" s="550">
        <f t="shared" si="260"/>
        <v>0.96982940091769709</v>
      </c>
      <c r="CA314" s="551">
        <f t="shared" si="261"/>
        <v>129914.46722933103</v>
      </c>
      <c r="CE314" s="546">
        <f t="shared" si="262"/>
        <v>366</v>
      </c>
      <c r="CF314" s="551">
        <f t="shared" si="263"/>
        <v>34.073130640699226</v>
      </c>
      <c r="CG314" s="553">
        <f>CF314/PI()*SQRT('Hilfstabellen_Mat&amp;Bem'!f.Rd.3/'Hilfstabellen_Mat&amp;Bem'!$BD$30)</f>
        <v>0.54229071680832008</v>
      </c>
      <c r="CH314" s="553">
        <f>0.5*(1+'Hilfstabellen_Mat&amp;Bem'!$BD$31*(CG314-0.3)+CG314^2)</f>
        <v>0.65915414660865679</v>
      </c>
      <c r="CI314" s="550">
        <f t="shared" si="264"/>
        <v>0.96724833770652496</v>
      </c>
      <c r="CK314" s="551">
        <f t="shared" si="265"/>
        <v>129568.71832581525</v>
      </c>
      <c r="CO314" s="546">
        <f t="shared" si="266"/>
        <v>366</v>
      </c>
      <c r="CP314" s="551">
        <f t="shared" si="267"/>
        <v>35.019606491829755</v>
      </c>
      <c r="CQ314" s="553">
        <f>CP314/PI()*SQRT('Hilfstabellen_Mat&amp;Bem'!f.Rd.3/'Hilfstabellen_Mat&amp;Bem'!$BD$30)</f>
        <v>0.55735434783077342</v>
      </c>
      <c r="CR314" s="553">
        <f>0.5*(1+'Hilfstabellen_Mat&amp;Bem'!$BD$31*(CQ314-0.3)+CQ314^2)</f>
        <v>0.6681896519144721</v>
      </c>
      <c r="CS314" s="550">
        <f t="shared" si="268"/>
        <v>0.96455671286703093</v>
      </c>
      <c r="CU314" s="551">
        <f t="shared" si="269"/>
        <v>129208.15902881599</v>
      </c>
      <c r="CY314" s="546">
        <f t="shared" si="270"/>
        <v>366</v>
      </c>
      <c r="CZ314" s="551">
        <f t="shared" si="271"/>
        <v>35.966082342960291</v>
      </c>
      <c r="DA314" s="553">
        <f>CZ314/PI()*SQRT('Hilfstabellen_Mat&amp;Bem'!f.Rd.3/'Hilfstabellen_Mat&amp;Bem'!$BD$30)</f>
        <v>0.57241797885322676</v>
      </c>
      <c r="DB314" s="553">
        <f>0.5*(1+'Hilfstabellen_Mat&amp;Bem'!$BD$31*(DA314-0.3)+DA314^2)</f>
        <v>0.67745207019986797</v>
      </c>
      <c r="DC314" s="550">
        <f t="shared" si="272"/>
        <v>0.9617451794040317</v>
      </c>
      <c r="DE314" s="551">
        <f t="shared" si="273"/>
        <v>128831.53725224647</v>
      </c>
      <c r="DI314" s="546">
        <f t="shared" si="274"/>
        <v>366</v>
      </c>
      <c r="DJ314" s="551">
        <f t="shared" si="275"/>
        <v>36.912558194090828</v>
      </c>
      <c r="DK314" s="553">
        <f>DJ314/PI()*SQRT('Hilfstabellen_Mat&amp;Bem'!f.Rd.3/'Hilfstabellen_Mat&amp;Bem'!$BD$30)</f>
        <v>0.5874816098756801</v>
      </c>
      <c r="DL314" s="553">
        <f>0.5*(1+'Hilfstabellen_Mat&amp;Bem'!$BD$31*(DK314-0.3)+DK314^2)</f>
        <v>0.68694140146484439</v>
      </c>
      <c r="DM314" s="550">
        <f t="shared" si="276"/>
        <v>0.95880359713332952</v>
      </c>
      <c r="DO314" s="551">
        <f t="shared" si="277"/>
        <v>128437.49465759229</v>
      </c>
      <c r="DS314" s="546">
        <f t="shared" si="278"/>
        <v>366</v>
      </c>
      <c r="DT314" s="551">
        <f t="shared" si="279"/>
        <v>37.859034045221357</v>
      </c>
      <c r="DU314" s="553">
        <f>DT314/PI()*SQRT('Hilfstabellen_Mat&amp;Bem'!f.Rd.3/'Hilfstabellen_Mat&amp;Bem'!$BD$30)</f>
        <v>0.60254524089813344</v>
      </c>
      <c r="DV314" s="553">
        <f>0.5*(1+'Hilfstabellen_Mat&amp;Bem'!$BD$31*(DU314-0.3)+DU314^2)</f>
        <v>0.69665764570940147</v>
      </c>
      <c r="DW314" s="550">
        <f t="shared" si="280"/>
        <v>0.95572096573986376</v>
      </c>
      <c r="DY314" s="551">
        <f t="shared" si="281"/>
        <v>128024.55768664919</v>
      </c>
      <c r="EC314" s="546">
        <f t="shared" si="282"/>
        <v>366</v>
      </c>
      <c r="ED314" s="551">
        <f t="shared" si="283"/>
        <v>38.805509896351893</v>
      </c>
      <c r="EE314" s="553">
        <f>ED314/PI()*SQRT('Hilfstabellen_Mat&amp;Bem'!f.Rd.3/'Hilfstabellen_Mat&amp;Bem'!$BD$30)</f>
        <v>0.61760887192058678</v>
      </c>
      <c r="EF314" s="553">
        <f>0.5*(1+'Hilfstabellen_Mat&amp;Bem'!$BD$31*(EE314-0.3)+EE314^2)</f>
        <v>0.70660080293353922</v>
      </c>
      <c r="EG314" s="550">
        <f t="shared" si="284"/>
        <v>0.95248535666571199</v>
      </c>
      <c r="EI314" s="551">
        <f t="shared" si="285"/>
        <v>127591.12843751212</v>
      </c>
      <c r="EM314" s="546">
        <f t="shared" si="286"/>
        <v>366</v>
      </c>
      <c r="EN314" s="551">
        <f t="shared" si="287"/>
        <v>39.751985747482422</v>
      </c>
      <c r="EO314" s="553">
        <f>EN314/PI()*SQRT('Hilfstabellen_Mat&amp;Bem'!f.Rd.3/'Hilfstabellen_Mat&amp;Bem'!$BD$30)</f>
        <v>0.63267250294304</v>
      </c>
      <c r="EP314" s="553">
        <f>0.5*(1+'Hilfstabellen_Mat&amp;Bem'!$BD$31*(EO314-0.3)+EO314^2)</f>
        <v>0.71677087313725751</v>
      </c>
      <c r="EQ314" s="550">
        <f t="shared" si="288"/>
        <v>0.9490838456718409</v>
      </c>
      <c r="ES314" s="551">
        <f t="shared" si="289"/>
        <v>127135.47563081712</v>
      </c>
    </row>
    <row r="315" spans="3:149">
      <c r="C315" s="546">
        <v>367</v>
      </c>
      <c r="D315" s="551">
        <f t="shared" si="244"/>
        <v>26.429113140015563</v>
      </c>
      <c r="E315" s="553">
        <f>$D315/PI()*SQRT('Hilfstabellen_Mat&amp;Bem'!f.Rd.3/'Hilfstabellen_Mat&amp;Bem'!$BD$30)</f>
        <v>0.42063239977684408</v>
      </c>
      <c r="F315" s="553">
        <f>0.5*(1+'Hilfstabellen_Mat&amp;Bem'!$BD$31*($E315-0.3)+$E315^2)</f>
        <v>0.5944974278598556</v>
      </c>
      <c r="G315" s="550">
        <f t="shared" si="245"/>
        <v>0.98559921920083038</v>
      </c>
      <c r="I315" s="551">
        <f t="shared" si="290"/>
        <v>132749.37323494063</v>
      </c>
      <c r="M315" s="546">
        <f t="shared" si="246"/>
        <v>367</v>
      </c>
      <c r="N315" s="551">
        <f t="shared" si="236"/>
        <v>27.373010037873264</v>
      </c>
      <c r="O315" s="553">
        <f>$N315/PI()*SQRT('Hilfstabellen_Mat&amp;Bem'!f.Rd.3/'Hilfstabellen_Mat&amp;Bem'!$BD$30)</f>
        <v>0.43565498548315995</v>
      </c>
      <c r="P315" s="553">
        <f>0.5*(1+'Hilfstabellen_Mat&amp;Bem'!$BD$31*($O315-0.3)+$O315^2)</f>
        <v>0.60168038246232414</v>
      </c>
      <c r="Q315" s="550">
        <f t="shared" si="237"/>
        <v>0.98359443442780392</v>
      </c>
      <c r="S315" s="551">
        <f t="shared" si="291"/>
        <v>132479.35077864648</v>
      </c>
      <c r="W315" s="546">
        <f t="shared" si="247"/>
        <v>367</v>
      </c>
      <c r="X315" s="551">
        <f t="shared" si="238"/>
        <v>28.316906935730966</v>
      </c>
      <c r="Y315" s="553">
        <f>$X315/PI()*SQRT('Hilfstabellen_Mat&amp;Bem'!f.Rd.3/'Hilfstabellen_Mat&amp;Bem'!$BD$30)</f>
        <v>0.45067757118947588</v>
      </c>
      <c r="Z315" s="553">
        <f>0.5*(1+'Hilfstabellen_Mat&amp;Bem'!$BD$31*($Y315-0.3)+$Y315^2)</f>
        <v>0.60908901514609637</v>
      </c>
      <c r="AA315" s="550">
        <f t="shared" si="239"/>
        <v>0.98152803142612099</v>
      </c>
      <c r="AC315" s="551">
        <f t="shared" si="292"/>
        <v>132201.02902475282</v>
      </c>
      <c r="AG315" s="546">
        <f t="shared" si="248"/>
        <v>367</v>
      </c>
      <c r="AH315" s="551">
        <f t="shared" si="240"/>
        <v>29.26080383358866</v>
      </c>
      <c r="AI315" s="553">
        <f>$AH315/PI()*SQRT('Hilfstabellen_Mat&amp;Bem'!f.Rd.3/'Hilfstabellen_Mat&amp;Bem'!$BD$30)</f>
        <v>0.46570015689579169</v>
      </c>
      <c r="AJ315" s="553">
        <f>0.5*(1+'Hilfstabellen_Mat&amp;Bem'!$BD$31*($AI315-0.3)+$AI315^2)</f>
        <v>0.61672332591117207</v>
      </c>
      <c r="AK315" s="550">
        <f t="shared" si="241"/>
        <v>0.97939468446360145</v>
      </c>
      <c r="AM315" s="551">
        <f t="shared" si="293"/>
        <v>131913.690655718</v>
      </c>
      <c r="AQ315" s="546">
        <f t="shared" si="249"/>
        <v>367</v>
      </c>
      <c r="AR315" s="551">
        <f t="shared" si="242"/>
        <v>30.204700731446362</v>
      </c>
      <c r="AS315" s="553">
        <f>$AR315/PI()*SQRT('Hilfstabellen_Mat&amp;Bem'!f.Rd.3/'Hilfstabellen_Mat&amp;Bem'!$BD$30)</f>
        <v>0.48072274260210757</v>
      </c>
      <c r="AT315" s="553">
        <f>0.5*(1+'Hilfstabellen_Mat&amp;Bem'!$BD$31*($AS315-0.3)+$AS315^2)</f>
        <v>0.62458331475755147</v>
      </c>
      <c r="AU315" s="550">
        <f t="shared" si="243"/>
        <v>0.97718865779552011</v>
      </c>
      <c r="AW315" s="551">
        <f t="shared" si="294"/>
        <v>131616.5631298208</v>
      </c>
      <c r="BA315" s="546">
        <f t="shared" si="250"/>
        <v>367</v>
      </c>
      <c r="BB315" s="551">
        <f t="shared" si="251"/>
        <v>31.14859762930406</v>
      </c>
      <c r="BC315" s="553">
        <f>$BB315/PI()*SQRT('Hilfstabellen_Mat&amp;Bem'!f.Rd.3/'Hilfstabellen_Mat&amp;Bem'!$BD$30)</f>
        <v>0.49574532830842338</v>
      </c>
      <c r="BD315" s="553">
        <f>0.5*(1+'Hilfstabellen_Mat&amp;Bem'!$BD$31*($BC315-0.3)+$BC315^2)</f>
        <v>0.63266898168523444</v>
      </c>
      <c r="BE315" s="550">
        <f t="shared" si="252"/>
        <v>0.97490376424975744</v>
      </c>
      <c r="BG315" s="551">
        <f t="shared" si="253"/>
        <v>131308.81310303559</v>
      </c>
      <c r="BK315" s="546">
        <f t="shared" si="254"/>
        <v>367</v>
      </c>
      <c r="BL315" s="551">
        <f t="shared" si="255"/>
        <v>32.092494527161755</v>
      </c>
      <c r="BM315" s="553">
        <f>$BL315/PI()*SQRT('Hilfstabellen_Mat&amp;Bem'!f.Rd.3/'Hilfstabellen_Mat&amp;Bem'!$BD$30)</f>
        <v>0.5107679140147392</v>
      </c>
      <c r="BN315" s="553">
        <f>0.5*(1+'Hilfstabellen_Mat&amp;Bem'!$BD$31*($BM315-0.3)+$BM315^2)</f>
        <v>0.640980326694221</v>
      </c>
      <c r="BO315" s="550">
        <f t="shared" si="256"/>
        <v>0.97253332018529826</v>
      </c>
      <c r="BQ315" s="551">
        <f t="shared" si="257"/>
        <v>130989.54036243763</v>
      </c>
      <c r="BU315" s="546">
        <f t="shared" si="258"/>
        <v>367</v>
      </c>
      <c r="BV315" s="551">
        <f t="shared" si="259"/>
        <v>33.03639142501946</v>
      </c>
      <c r="BW315" s="553">
        <f>$BV315/PI()*SQRT('Hilfstabellen_Mat&amp;Bem'!f.Rd.3/'Hilfstabellen_Mat&amp;Bem'!$BD$30)</f>
        <v>0.52579049972105518</v>
      </c>
      <c r="BX315" s="553">
        <f>0.5*(1+'Hilfstabellen_Mat&amp;Bem'!$BD$31*($BW315-0.3)+$BW315^2)</f>
        <v>0.64951734978451126</v>
      </c>
      <c r="BY315" s="550">
        <f t="shared" si="260"/>
        <v>0.97007009666890176</v>
      </c>
      <c r="CA315" s="551">
        <f t="shared" si="261"/>
        <v>130657.77125023771</v>
      </c>
      <c r="CE315" s="546">
        <f t="shared" si="262"/>
        <v>367</v>
      </c>
      <c r="CF315" s="551">
        <f t="shared" si="263"/>
        <v>33.980288322877151</v>
      </c>
      <c r="CG315" s="553">
        <f>CF315/PI()*SQRT('Hilfstabellen_Mat&amp;Bem'!f.Rd.3/'Hilfstabellen_Mat&amp;Bem'!$BD$30)</f>
        <v>0.54081308542737083</v>
      </c>
      <c r="CH315" s="553">
        <f>0.5*(1+'Hilfstabellen_Mat&amp;Bem'!$BD$31*(CG315-0.3)+CG315^2)</f>
        <v>0.65828005095610487</v>
      </c>
      <c r="CI315" s="550">
        <f t="shared" si="264"/>
        <v>0.96750626678912655</v>
      </c>
      <c r="CK315" s="551">
        <f t="shared" si="265"/>
        <v>130312.45156756067</v>
      </c>
      <c r="CO315" s="546">
        <f t="shared" si="266"/>
        <v>367</v>
      </c>
      <c r="CP315" s="551">
        <f t="shared" si="267"/>
        <v>34.924185220734856</v>
      </c>
      <c r="CQ315" s="553">
        <f>CP315/PI()*SQRT('Hilfstabellen_Mat&amp;Bem'!f.Rd.3/'Hilfstabellen_Mat&amp;Bem'!$BD$30)</f>
        <v>0.55583567113368682</v>
      </c>
      <c r="CR315" s="553">
        <f>0.5*(1+'Hilfstabellen_Mat&amp;Bem'!$BD$31*(CQ315-0.3)+CQ315^2)</f>
        <v>0.66726843020900239</v>
      </c>
      <c r="CS315" s="550">
        <f t="shared" si="268"/>
        <v>0.96483334913907559</v>
      </c>
      <c r="CU315" s="551">
        <f t="shared" si="269"/>
        <v>129952.43896219296</v>
      </c>
      <c r="CY315" s="546">
        <f t="shared" si="270"/>
        <v>367</v>
      </c>
      <c r="CZ315" s="551">
        <f t="shared" si="271"/>
        <v>35.868082118592547</v>
      </c>
      <c r="DA315" s="553">
        <f>CZ315/PI()*SQRT('Hilfstabellen_Mat&amp;Bem'!f.Rd.3/'Hilfstabellen_Mat&amp;Bem'!$BD$30)</f>
        <v>0.57085825684000258</v>
      </c>
      <c r="DB315" s="553">
        <f>0.5*(1+'Hilfstabellen_Mat&amp;Bem'!$BD$31*(DA315-0.3)+DA315^2)</f>
        <v>0.67648248754320339</v>
      </c>
      <c r="DC315" s="550">
        <f t="shared" si="272"/>
        <v>0.96204214766198737</v>
      </c>
      <c r="DE315" s="551">
        <f t="shared" si="273"/>
        <v>129576.49482644541</v>
      </c>
      <c r="DI315" s="546">
        <f t="shared" si="274"/>
        <v>367</v>
      </c>
      <c r="DJ315" s="551">
        <f t="shared" si="275"/>
        <v>36.811979016450252</v>
      </c>
      <c r="DK315" s="553">
        <f>DJ315/PI()*SQRT('Hilfstabellen_Mat&amp;Bem'!f.Rd.3/'Hilfstabellen_Mat&amp;Bem'!$BD$30)</f>
        <v>0.58588084254631856</v>
      </c>
      <c r="DL315" s="553">
        <f>0.5*(1+'Hilfstabellen_Mat&amp;Bem'!$BD$31*(DK315-0.3)+DK315^2)</f>
        <v>0.68592222295870797</v>
      </c>
      <c r="DM315" s="550">
        <f t="shared" si="276"/>
        <v>0.95912268828347291</v>
      </c>
      <c r="DO315" s="551">
        <f t="shared" si="277"/>
        <v>129183.27576221268</v>
      </c>
      <c r="DS315" s="546">
        <f t="shared" si="278"/>
        <v>367</v>
      </c>
      <c r="DT315" s="551">
        <f t="shared" si="279"/>
        <v>37.75587591430795</v>
      </c>
      <c r="DU315" s="553">
        <f>DT315/PI()*SQRT('Hilfstabellen_Mat&amp;Bem'!f.Rd.3/'Hilfstabellen_Mat&amp;Bem'!$BD$30)</f>
        <v>0.60090342825263443</v>
      </c>
      <c r="DV315" s="553">
        <f>0.5*(1+'Hilfstabellen_Mat&amp;Bem'!$BD$31*(DU315-0.3)+DU315^2)</f>
        <v>0.69558763645551624</v>
      </c>
      <c r="DW315" s="550">
        <f t="shared" si="280"/>
        <v>0.95606415307104964</v>
      </c>
      <c r="DY315" s="551">
        <f t="shared" si="281"/>
        <v>128771.32471298661</v>
      </c>
      <c r="EC315" s="546">
        <f t="shared" si="282"/>
        <v>367</v>
      </c>
      <c r="ED315" s="551">
        <f t="shared" si="283"/>
        <v>38.699772812165648</v>
      </c>
      <c r="EE315" s="553">
        <f>ED315/PI()*SQRT('Hilfstabellen_Mat&amp;Bem'!f.Rd.3/'Hilfstabellen_Mat&amp;Bem'!$BD$30)</f>
        <v>0.6159260139589503</v>
      </c>
      <c r="EF315" s="553">
        <f>0.5*(1+'Hilfstabellen_Mat&amp;Bem'!$BD$31*(EE315-0.3)+EE315^2)</f>
        <v>0.70547872803362799</v>
      </c>
      <c r="EG315" s="550">
        <f t="shared" si="284"/>
        <v>0.95285481309036046</v>
      </c>
      <c r="EI315" s="551">
        <f t="shared" si="285"/>
        <v>128339.06192032756</v>
      </c>
      <c r="EM315" s="546">
        <f t="shared" si="286"/>
        <v>367</v>
      </c>
      <c r="EN315" s="551">
        <f t="shared" si="287"/>
        <v>39.643669710023346</v>
      </c>
      <c r="EO315" s="553">
        <f>EN315/PI()*SQRT('Hilfstabellen_Mat&amp;Bem'!f.Rd.3/'Hilfstabellen_Mat&amp;Bem'!$BD$30)</f>
        <v>0.63094859966526606</v>
      </c>
      <c r="EP315" s="553">
        <f>0.5*(1+'Hilfstabellen_Mat&amp;Bem'!$BD$31*(EO315-0.3)+EO315^2)</f>
        <v>0.71559549769304343</v>
      </c>
      <c r="EQ315" s="550">
        <f t="shared" si="288"/>
        <v>0.94948196169733989</v>
      </c>
      <c r="ES315" s="551">
        <f t="shared" si="289"/>
        <v>127884.77593905301</v>
      </c>
    </row>
    <row r="316" spans="3:149">
      <c r="C316" s="546">
        <v>368</v>
      </c>
      <c r="D316" s="551">
        <f t="shared" si="244"/>
        <v>26.357294897787263</v>
      </c>
      <c r="E316" s="553">
        <f>$D316/PI()*SQRT('Hilfstabellen_Mat&amp;Bem'!f.Rd.3/'Hilfstabellen_Mat&amp;Bem'!$BD$30)</f>
        <v>0.41948937695136357</v>
      </c>
      <c r="F316" s="553">
        <f>0.5*(1+'Hilfstabellen_Mat&amp;Bem'!$BD$31*($E316-0.3)+$E316^2)</f>
        <v>0.59396013753508969</v>
      </c>
      <c r="G316" s="550">
        <f t="shared" si="245"/>
        <v>0.9857493772707433</v>
      </c>
      <c r="I316" s="551">
        <f t="shared" si="290"/>
        <v>133494.12366751314</v>
      </c>
      <c r="M316" s="546">
        <f t="shared" si="246"/>
        <v>368</v>
      </c>
      <c r="N316" s="551">
        <f t="shared" si="236"/>
        <v>27.298626858422519</v>
      </c>
      <c r="O316" s="553">
        <f>$N316/PI()*SQRT('Hilfstabellen_Mat&amp;Bem'!f.Rd.3/'Hilfstabellen_Mat&amp;Bem'!$BD$30)</f>
        <v>0.43447114041391216</v>
      </c>
      <c r="P316" s="553">
        <f>0.5*(1+'Hilfstabellen_Mat&amp;Bem'!$BD$31*($O316-0.3)+$O316^2)</f>
        <v>0.60110614294697828</v>
      </c>
      <c r="Q316" s="550">
        <f t="shared" si="237"/>
        <v>0.98375458985217812</v>
      </c>
      <c r="S316" s="551">
        <f t="shared" si="291"/>
        <v>133223.98157614138</v>
      </c>
      <c r="W316" s="546">
        <f t="shared" si="247"/>
        <v>368</v>
      </c>
      <c r="X316" s="551">
        <f t="shared" si="238"/>
        <v>28.239958819057779</v>
      </c>
      <c r="Y316" s="553">
        <f>$X316/PI()*SQRT('Hilfstabellen_Mat&amp;Bem'!f.Rd.3/'Hilfstabellen_Mat&amp;Bem'!$BD$30)</f>
        <v>0.44945290387646097</v>
      </c>
      <c r="Z316" s="553">
        <f>0.5*(1+'Hilfstabellen_Mat&amp;Bem'!$BD$31*($Y316-0.3)+$Y316^2)</f>
        <v>0.60847660159531469</v>
      </c>
      <c r="AA316" s="550">
        <f t="shared" si="239"/>
        <v>0.98169892001175629</v>
      </c>
      <c r="AC316" s="551">
        <f t="shared" si="292"/>
        <v>132945.59454367208</v>
      </c>
      <c r="AG316" s="546">
        <f t="shared" si="248"/>
        <v>368</v>
      </c>
      <c r="AH316" s="551">
        <f t="shared" si="240"/>
        <v>29.181290779693043</v>
      </c>
      <c r="AI316" s="553">
        <f>$AH316/PI()*SQRT('Hilfstabellen_Mat&amp;Bem'!f.Rd.3/'Hilfstabellen_Mat&amp;Bem'!$BD$30)</f>
        <v>0.46443466733900962</v>
      </c>
      <c r="AJ316" s="553">
        <f>0.5*(1+'Hilfstabellen_Mat&amp;Bem'!$BD$31*($AI316-0.3)+$AI316^2)</f>
        <v>0.61607151348009881</v>
      </c>
      <c r="AK316" s="550">
        <f t="shared" si="241"/>
        <v>0.9795771162667587</v>
      </c>
      <c r="AM316" s="551">
        <f t="shared" si="293"/>
        <v>132658.25139330953</v>
      </c>
      <c r="AQ316" s="546">
        <f t="shared" si="249"/>
        <v>368</v>
      </c>
      <c r="AR316" s="551">
        <f t="shared" si="242"/>
        <v>30.122622740328296</v>
      </c>
      <c r="AS316" s="553">
        <f>$AR316/PI()*SQRT('Hilfstabellen_Mat&amp;Bem'!f.Rd.3/'Hilfstabellen_Mat&amp;Bem'!$BD$30)</f>
        <v>0.47941643080155827</v>
      </c>
      <c r="AT316" s="553">
        <f>0.5*(1+'Hilfstabellen_Mat&amp;Bem'!$BD$31*($AS316-0.3)+$AS316^2)</f>
        <v>0.62389087860133052</v>
      </c>
      <c r="AU316" s="550">
        <f t="shared" si="243"/>
        <v>0.97738352475089252</v>
      </c>
      <c r="AW316" s="551">
        <f t="shared" si="294"/>
        <v>132361.18645586487</v>
      </c>
      <c r="BA316" s="546">
        <f t="shared" si="250"/>
        <v>368</v>
      </c>
      <c r="BB316" s="551">
        <f t="shared" si="251"/>
        <v>31.06395470096356</v>
      </c>
      <c r="BC316" s="553">
        <f>$BB316/PI()*SQRT('Hilfstabellen_Mat&amp;Bem'!f.Rd.3/'Hilfstabellen_Mat&amp;Bem'!$BD$30)</f>
        <v>0.49439819426410703</v>
      </c>
      <c r="BD316" s="553">
        <f>0.5*(1+'Hilfstabellen_Mat&amp;Bem'!$BD$31*($BC316-0.3)+$BC316^2)</f>
        <v>0.63193469695901017</v>
      </c>
      <c r="BE316" s="550">
        <f t="shared" si="252"/>
        <v>0.97511204864737333</v>
      </c>
      <c r="BG316" s="551">
        <f t="shared" si="253"/>
        <v>132053.57407602188</v>
      </c>
      <c r="BK316" s="546">
        <f t="shared" si="254"/>
        <v>368</v>
      </c>
      <c r="BL316" s="551">
        <f t="shared" si="255"/>
        <v>32.005286661598817</v>
      </c>
      <c r="BM316" s="553">
        <f>$BL316/PI()*SQRT('Hilfstabellen_Mat&amp;Bem'!f.Rd.3/'Hilfstabellen_Mat&amp;Bem'!$BD$30)</f>
        <v>0.50937995772665567</v>
      </c>
      <c r="BN316" s="553">
        <f>0.5*(1+'Hilfstabellen_Mat&amp;Bem'!$BD$31*($BM316-0.3)+$BM316^2)</f>
        <v>0.64020296855313763</v>
      </c>
      <c r="BO316" s="550">
        <f t="shared" si="256"/>
        <v>0.97275610406931223</v>
      </c>
      <c r="BQ316" s="551">
        <f t="shared" si="257"/>
        <v>131734.52263748253</v>
      </c>
      <c r="BU316" s="546">
        <f t="shared" si="258"/>
        <v>368</v>
      </c>
      <c r="BV316" s="551">
        <f t="shared" si="259"/>
        <v>32.946618622234077</v>
      </c>
      <c r="BW316" s="553">
        <f>$BV316/PI()*SQRT('Hilfstabellen_Mat&amp;Bem'!f.Rd.3/'Hilfstabellen_Mat&amp;Bem'!$BD$30)</f>
        <v>0.52436172118920443</v>
      </c>
      <c r="BX316" s="553">
        <f>0.5*(1+'Hilfstabellen_Mat&amp;Bem'!$BD$31*($BW316-0.3)+$BW316^2)</f>
        <v>0.64869569338371269</v>
      </c>
      <c r="BY316" s="550">
        <f t="shared" si="260"/>
        <v>0.97030857223024092</v>
      </c>
      <c r="CA316" s="551">
        <f t="shared" si="261"/>
        <v>131403.06808570813</v>
      </c>
      <c r="CE316" s="546">
        <f t="shared" si="262"/>
        <v>368</v>
      </c>
      <c r="CF316" s="551">
        <f t="shared" si="263"/>
        <v>33.887950582869337</v>
      </c>
      <c r="CG316" s="553">
        <f>CF316/PI()*SQRT('Hilfstabellen_Mat&amp;Bem'!f.Rd.3/'Hilfstabellen_Mat&amp;Bem'!$BD$30)</f>
        <v>0.53934348465175308</v>
      </c>
      <c r="CH316" s="553">
        <f>0.5*(1+'Hilfstabellen_Mat&amp;Bem'!$BD$31*(CG316-0.3)+CG316^2)</f>
        <v>0.65741287145073557</v>
      </c>
      <c r="CI316" s="550">
        <f t="shared" si="264"/>
        <v>0.96776174781765734</v>
      </c>
      <c r="CK316" s="551">
        <f t="shared" si="265"/>
        <v>131058.16693645842</v>
      </c>
      <c r="CO316" s="546">
        <f t="shared" si="266"/>
        <v>368</v>
      </c>
      <c r="CP316" s="551">
        <f t="shared" si="267"/>
        <v>34.829282543504597</v>
      </c>
      <c r="CQ316" s="553">
        <f>CP316/PI()*SQRT('Hilfstabellen_Mat&amp;Bem'!f.Rd.3/'Hilfstabellen_Mat&amp;Bem'!$BD$30)</f>
        <v>0.55432524811430184</v>
      </c>
      <c r="CR316" s="553">
        <f>0.5*(1+'Hilfstabellen_Mat&amp;Bem'!$BD$31*(CQ316-0.3)+CQ316^2)</f>
        <v>0.66635450275420627</v>
      </c>
      <c r="CS316" s="550">
        <f t="shared" si="268"/>
        <v>0.96510728358843101</v>
      </c>
      <c r="CU316" s="551">
        <f t="shared" si="269"/>
        <v>130698.68877267968</v>
      </c>
      <c r="CY316" s="546">
        <f t="shared" si="270"/>
        <v>368</v>
      </c>
      <c r="CZ316" s="551">
        <f t="shared" si="271"/>
        <v>35.77061450413985</v>
      </c>
      <c r="DA316" s="553">
        <f>CZ316/PI()*SQRT('Hilfstabellen_Mat&amp;Bem'!f.Rd.3/'Hilfstabellen_Mat&amp;Bem'!$BD$30)</f>
        <v>0.56930701157685037</v>
      </c>
      <c r="DB316" s="553">
        <f>0.5*(1+'Hilfstabellen_Mat&amp;Bem'!$BD$31*(DA316-0.3)+DA316^2)</f>
        <v>0.67552058729412456</v>
      </c>
      <c r="DC316" s="550">
        <f t="shared" si="272"/>
        <v>0.96233613135893958</v>
      </c>
      <c r="DE316" s="551">
        <f t="shared" si="273"/>
        <v>130323.40825315303</v>
      </c>
      <c r="DI316" s="546">
        <f t="shared" si="274"/>
        <v>368</v>
      </c>
      <c r="DJ316" s="551">
        <f t="shared" si="275"/>
        <v>36.71194646477511</v>
      </c>
      <c r="DK316" s="553">
        <f>DJ316/PI()*SQRT('Hilfstabellen_Mat&amp;Bem'!f.Rd.3/'Hilfstabellen_Mat&amp;Bem'!$BD$30)</f>
        <v>0.58428877503939913</v>
      </c>
      <c r="DL316" s="553">
        <f>0.5*(1+'Hilfstabellen_Mat&amp;Bem'!$BD$31*(DK316-0.3)+DK316^2)</f>
        <v>0.68491112507049068</v>
      </c>
      <c r="DM316" s="550">
        <f t="shared" si="276"/>
        <v>0.95943847978049768</v>
      </c>
      <c r="DO316" s="551">
        <f t="shared" si="277"/>
        <v>129930.99668579412</v>
      </c>
      <c r="DS316" s="546">
        <f t="shared" si="278"/>
        <v>368</v>
      </c>
      <c r="DT316" s="551">
        <f t="shared" si="279"/>
        <v>37.653278425410377</v>
      </c>
      <c r="DU316" s="553">
        <f>DT316/PI()*SQRT('Hilfstabellen_Mat&amp;Bem'!f.Rd.3/'Hilfstabellen_Mat&amp;Bem'!$BD$30)</f>
        <v>0.599270538501948</v>
      </c>
      <c r="DV316" s="553">
        <f>0.5*(1+'Hilfstabellen_Mat&amp;Bem'!$BD$31*(DU316-0.3)+DU316^2)</f>
        <v>0.69452611608330472</v>
      </c>
      <c r="DW316" s="550">
        <f t="shared" si="280"/>
        <v>0.95640368959127675</v>
      </c>
      <c r="DY316" s="551">
        <f t="shared" si="281"/>
        <v>129520.01325920907</v>
      </c>
      <c r="EC316" s="546">
        <f t="shared" si="282"/>
        <v>368</v>
      </c>
      <c r="ED316" s="551">
        <f t="shared" si="283"/>
        <v>38.594610386045638</v>
      </c>
      <c r="EE316" s="553">
        <f>ED316/PI()*SQRT('Hilfstabellen_Mat&amp;Bem'!f.Rd.3/'Hilfstabellen_Mat&amp;Bem'!$BD$30)</f>
        <v>0.61425230196449665</v>
      </c>
      <c r="EF316" s="553">
        <f>0.5*(1+'Hilfstabellen_Mat&amp;Bem'!$BD$31*(EE316-0.3)+EE316^2)</f>
        <v>0.70436556033256648</v>
      </c>
      <c r="EG316" s="550">
        <f t="shared" si="284"/>
        <v>0.95322022744314394</v>
      </c>
      <c r="EI316" s="551">
        <f t="shared" si="285"/>
        <v>129088.89608126032</v>
      </c>
      <c r="EM316" s="546">
        <f t="shared" si="286"/>
        <v>368</v>
      </c>
      <c r="EN316" s="551">
        <f t="shared" si="287"/>
        <v>39.535942346680891</v>
      </c>
      <c r="EO316" s="553">
        <f>EN316/PI()*SQRT('Hilfstabellen_Mat&amp;Bem'!f.Rd.3/'Hilfstabellen_Mat&amp;Bem'!$BD$30)</f>
        <v>0.6292340654270453</v>
      </c>
      <c r="EP316" s="553">
        <f>0.5*(1+'Hilfstabellen_Mat&amp;Bem'!$BD$31*(EO316-0.3)+EO316^2)</f>
        <v>0.71442945781827571</v>
      </c>
      <c r="EQ316" s="550">
        <f t="shared" si="288"/>
        <v>0.94987559994368609</v>
      </c>
      <c r="ES316" s="551">
        <f t="shared" si="289"/>
        <v>128635.95324677374</v>
      </c>
    </row>
    <row r="317" spans="3:149">
      <c r="C317" s="546">
        <v>369</v>
      </c>
      <c r="D317" s="551">
        <f t="shared" si="244"/>
        <v>26.285865914324425</v>
      </c>
      <c r="E317" s="553">
        <f>$D317/PI()*SQRT('Hilfstabellen_Mat&amp;Bem'!f.Rd.3/'Hilfstabellen_Mat&amp;Bem'!$BD$30)</f>
        <v>0.41835254937154959</v>
      </c>
      <c r="F317" s="553">
        <f>0.5*(1+'Hilfstabellen_Mat&amp;Bem'!$BD$31*($E317-0.3)+$E317^2)</f>
        <v>0.59342705525141493</v>
      </c>
      <c r="G317" s="550">
        <f t="shared" si="245"/>
        <v>0.98589839833228365</v>
      </c>
      <c r="I317" s="551">
        <f t="shared" si="290"/>
        <v>134240.91181532206</v>
      </c>
      <c r="M317" s="546">
        <f t="shared" si="246"/>
        <v>369</v>
      </c>
      <c r="N317" s="551">
        <f t="shared" si="236"/>
        <v>27.224646839836009</v>
      </c>
      <c r="O317" s="553">
        <f>$N317/PI()*SQRT('Hilfstabellen_Mat&amp;Bem'!f.Rd.3/'Hilfstabellen_Mat&amp;Bem'!$BD$30)</f>
        <v>0.43329371184910487</v>
      </c>
      <c r="P317" s="553">
        <f>0.5*(1+'Hilfstabellen_Mat&amp;Bem'!$BD$31*($O317-0.3)+$O317^2)</f>
        <v>0.60053640595644286</v>
      </c>
      <c r="Q317" s="550">
        <f t="shared" si="237"/>
        <v>0.98391350034245983</v>
      </c>
      <c r="S317" s="551">
        <f t="shared" si="291"/>
        <v>133970.64612012968</v>
      </c>
      <c r="W317" s="546">
        <f t="shared" si="247"/>
        <v>369</v>
      </c>
      <c r="X317" s="551">
        <f t="shared" si="238"/>
        <v>28.163427765347599</v>
      </c>
      <c r="Y317" s="553">
        <f>$X317/PI()*SQRT('Hilfstabellen_Mat&amp;Bem'!f.Rd.3/'Hilfstabellen_Mat&amp;Bem'!$BD$30)</f>
        <v>0.4482348743266602</v>
      </c>
      <c r="Z317" s="553">
        <f>0.5*(1+'Hilfstabellen_Mat&amp;Bem'!$BD$31*($Y317-0.3)+$Y317^2)</f>
        <v>0.60786899499765146</v>
      </c>
      <c r="AA317" s="550">
        <f t="shared" si="239"/>
        <v>0.98186844426273989</v>
      </c>
      <c r="AC317" s="551">
        <f t="shared" si="292"/>
        <v>133692.18923925894</v>
      </c>
      <c r="AG317" s="546">
        <f t="shared" si="248"/>
        <v>369</v>
      </c>
      <c r="AH317" s="551">
        <f t="shared" si="240"/>
        <v>29.102208690859182</v>
      </c>
      <c r="AI317" s="553">
        <f>$AH317/PI()*SQRT('Hilfstabellen_Mat&amp;Bem'!f.Rd.3/'Hilfstabellen_Mat&amp;Bem'!$BD$30)</f>
        <v>0.46317603680421549</v>
      </c>
      <c r="AJ317" s="553">
        <f>0.5*(1+'Hilfstabellen_Mat&amp;Bem'!$BD$31*($AI317-0.3)+$AI317^2)</f>
        <v>0.61542482237504081</v>
      </c>
      <c r="AK317" s="550">
        <f t="shared" si="241"/>
        <v>0.97975805148660777</v>
      </c>
      <c r="AM317" s="551">
        <f t="shared" si="293"/>
        <v>133404.83604846799</v>
      </c>
      <c r="AQ317" s="546">
        <f t="shared" si="249"/>
        <v>369</v>
      </c>
      <c r="AR317" s="551">
        <f t="shared" si="242"/>
        <v>30.040989616370766</v>
      </c>
      <c r="AS317" s="553">
        <f>$AR317/PI()*SQRT('Hilfstabellen_Mat&amp;Bem'!f.Rd.3/'Hilfstabellen_Mat&amp;Bem'!$BD$30)</f>
        <v>0.47811719928177077</v>
      </c>
      <c r="AT317" s="553">
        <f>0.5*(1+'Hilfstabellen_Mat&amp;Bem'!$BD$31*($AS317-0.3)+$AS317^2)</f>
        <v>0.62320388808861082</v>
      </c>
      <c r="AU317" s="550">
        <f t="shared" si="243"/>
        <v>0.97757674848501908</v>
      </c>
      <c r="AW317" s="551">
        <f t="shared" si="294"/>
        <v>133107.82765046868</v>
      </c>
      <c r="BA317" s="546">
        <f t="shared" si="250"/>
        <v>369</v>
      </c>
      <c r="BB317" s="551">
        <f t="shared" si="251"/>
        <v>30.979770541882356</v>
      </c>
      <c r="BC317" s="553">
        <f>$BB317/PI()*SQRT('Hilfstabellen_Mat&amp;Bem'!f.Rd.3/'Hilfstabellen_Mat&amp;Bem'!$BD$30)</f>
        <v>0.49305836175932627</v>
      </c>
      <c r="BD317" s="553">
        <f>0.5*(1+'Hilfstabellen_Mat&amp;Bem'!$BD$31*($BC317-0.3)+$BC317^2)</f>
        <v>0.6312061921383616</v>
      </c>
      <c r="BE317" s="550">
        <f t="shared" si="252"/>
        <v>0.97531852706769928</v>
      </c>
      <c r="BG317" s="551">
        <f t="shared" si="253"/>
        <v>132800.345964065</v>
      </c>
      <c r="BK317" s="546">
        <f t="shared" si="254"/>
        <v>369</v>
      </c>
      <c r="BL317" s="551">
        <f t="shared" si="255"/>
        <v>31.918551467393939</v>
      </c>
      <c r="BM317" s="553">
        <f>$BL317/PI()*SQRT('Hilfstabellen_Mat&amp;Bem'!f.Rd.3/'Hilfstabellen_Mat&amp;Bem'!$BD$30)</f>
        <v>0.50799952423688155</v>
      </c>
      <c r="BN317" s="553">
        <f>0.5*(1+'Hilfstabellen_Mat&amp;Bem'!$BD$31*($BM317-0.3)+$BM317^2)</f>
        <v>0.63943173452429303</v>
      </c>
      <c r="BO317" s="550">
        <f t="shared" si="256"/>
        <v>0.97297690116431135</v>
      </c>
      <c r="BQ317" s="551">
        <f t="shared" si="257"/>
        <v>132481.50783943379</v>
      </c>
      <c r="BU317" s="546">
        <f t="shared" si="258"/>
        <v>369</v>
      </c>
      <c r="BV317" s="551">
        <f t="shared" si="259"/>
        <v>32.857332392905533</v>
      </c>
      <c r="BW317" s="553">
        <f>$BV317/PI()*SQRT('Hilfstabellen_Mat&amp;Bem'!f.Rd.3/'Hilfstabellen_Mat&amp;Bem'!$BD$30)</f>
        <v>0.52294068671443694</v>
      </c>
      <c r="BX317" s="553">
        <f>0.5*(1+'Hilfstabellen_Mat&amp;Bem'!$BD$31*($BW317-0.3)+$BW317^2)</f>
        <v>0.64788051524640533</v>
      </c>
      <c r="BY317" s="550">
        <f t="shared" si="260"/>
        <v>0.97054485996670181</v>
      </c>
      <c r="CA317" s="551">
        <f t="shared" si="261"/>
        <v>132150.35867792609</v>
      </c>
      <c r="CE317" s="546">
        <f t="shared" si="262"/>
        <v>369</v>
      </c>
      <c r="CF317" s="551">
        <f t="shared" si="263"/>
        <v>33.796113318417113</v>
      </c>
      <c r="CG317" s="553">
        <f>CF317/PI()*SQRT('Hilfstabellen_Mat&amp;Bem'!f.Rd.3/'Hilfstabellen_Mat&amp;Bem'!$BD$30)</f>
        <v>0.53788184919199222</v>
      </c>
      <c r="CH317" s="553">
        <f>0.5*(1+'Hilfstabellen_Mat&amp;Bem'!$BD$31*(CG317-0.3)+CG317^2)</f>
        <v>0.65655253430469818</v>
      </c>
      <c r="CI317" s="550">
        <f t="shared" si="264"/>
        <v>0.96801481733937977</v>
      </c>
      <c r="CK317" s="551">
        <f t="shared" si="265"/>
        <v>131805.86554374729</v>
      </c>
      <c r="CO317" s="546">
        <f t="shared" si="266"/>
        <v>369</v>
      </c>
      <c r="CP317" s="551">
        <f t="shared" si="267"/>
        <v>34.734894243928707</v>
      </c>
      <c r="CQ317" s="553">
        <f>CP317/PI()*SQRT('Hilfstabellen_Mat&amp;Bem'!f.Rd.3/'Hilfstabellen_Mat&amp;Bem'!$BD$30)</f>
        <v>0.55282301166954761</v>
      </c>
      <c r="CR317" s="553">
        <f>0.5*(1+'Hilfstabellen_Mat&amp;Bem'!$BD$31*(CQ317-0.3)+CQ317^2)</f>
        <v>0.66544779169917179</v>
      </c>
      <c r="CS317" s="550">
        <f t="shared" si="268"/>
        <v>0.9653785575054421</v>
      </c>
      <c r="CU317" s="551">
        <f t="shared" si="269"/>
        <v>131446.9097684985</v>
      </c>
      <c r="CY317" s="546">
        <f t="shared" si="270"/>
        <v>369</v>
      </c>
      <c r="CZ317" s="551">
        <f t="shared" si="271"/>
        <v>35.673675169440287</v>
      </c>
      <c r="DA317" s="553">
        <f>CZ317/PI()*SQRT('Hilfstabellen_Mat&amp;Bem'!f.Rd.3/'Hilfstabellen_Mat&amp;Bem'!$BD$30)</f>
        <v>0.5677641741471029</v>
      </c>
      <c r="DB317" s="553">
        <f>0.5*(1+'Hilfstabellen_Mat&amp;Bem'!$BD$31*(DA317-0.3)+DA317^2)</f>
        <v>0.67456628742982605</v>
      </c>
      <c r="DC317" s="550">
        <f t="shared" si="272"/>
        <v>0.96262717716096891</v>
      </c>
      <c r="DE317" s="551">
        <f t="shared" si="273"/>
        <v>131072.27906941468</v>
      </c>
      <c r="DI317" s="546">
        <f t="shared" si="274"/>
        <v>369</v>
      </c>
      <c r="DJ317" s="551">
        <f t="shared" si="275"/>
        <v>36.612456094951874</v>
      </c>
      <c r="DK317" s="553">
        <f>DJ317/PI()*SQRT('Hilfstabellen_Mat&amp;Bem'!f.Rd.3/'Hilfstabellen_Mat&amp;Bem'!$BD$30)</f>
        <v>0.58270533662465829</v>
      </c>
      <c r="DL317" s="553">
        <f>0.5*(1+'Hilfstabellen_Mat&amp;Bem'!$BD$31*(DK317-0.3)+DK317^2)</f>
        <v>0.68390802149666108</v>
      </c>
      <c r="DM317" s="550">
        <f t="shared" si="276"/>
        <v>0.95975102437721449</v>
      </c>
      <c r="DO317" s="551">
        <f t="shared" si="277"/>
        <v>130680.65923022591</v>
      </c>
      <c r="DS317" s="546">
        <f t="shared" si="278"/>
        <v>369</v>
      </c>
      <c r="DT317" s="551">
        <f t="shared" si="279"/>
        <v>37.551237020463461</v>
      </c>
      <c r="DU317" s="553">
        <f>DT317/PI()*SQRT('Hilfstabellen_Mat&amp;Bem'!f.Rd.3/'Hilfstabellen_Mat&amp;Bem'!$BD$30)</f>
        <v>0.59764649910221357</v>
      </c>
      <c r="DV317" s="553">
        <f>0.5*(1+'Hilfstabellen_Mat&amp;Bem'!$BD$31*(DU317-0.3)+DU317^2)</f>
        <v>0.69347299389967676</v>
      </c>
      <c r="DW317" s="550">
        <f t="shared" si="280"/>
        <v>0.95673963493519876</v>
      </c>
      <c r="DY317" s="551">
        <f t="shared" si="281"/>
        <v>130270.6254324116</v>
      </c>
      <c r="EC317" s="546">
        <f t="shared" si="282"/>
        <v>369</v>
      </c>
      <c r="ED317" s="551">
        <f t="shared" si="283"/>
        <v>38.490017945975048</v>
      </c>
      <c r="EE317" s="553">
        <f>ED317/PI()*SQRT('Hilfstabellen_Mat&amp;Bem'!f.Rd.3/'Hilfstabellen_Mat&amp;Bem'!$BD$30)</f>
        <v>0.61258766157976896</v>
      </c>
      <c r="EF317" s="553">
        <f>0.5*(1+'Hilfstabellen_Mat&amp;Bem'!$BD$31*(EE317-0.3)+EE317^2)</f>
        <v>0.70326120463887321</v>
      </c>
      <c r="EG317" s="550">
        <f t="shared" si="284"/>
        <v>0.95358166712411119</v>
      </c>
      <c r="EI317" s="551">
        <f t="shared" si="285"/>
        <v>129840.6333772861</v>
      </c>
      <c r="EM317" s="546">
        <f t="shared" si="286"/>
        <v>369</v>
      </c>
      <c r="EN317" s="551">
        <f t="shared" si="287"/>
        <v>39.428798871486634</v>
      </c>
      <c r="EO317" s="553">
        <f>EN317/PI()*SQRT('Hilfstabellen_Mat&amp;Bem'!f.Rd.3/'Hilfstabellen_Mat&amp;Bem'!$BD$30)</f>
        <v>0.62752882405732435</v>
      </c>
      <c r="EP317" s="553">
        <f>0.5*(1+'Hilfstabellen_Mat&amp;Bem'!$BD$31*(EO317-0.3)+EO317^2)</f>
        <v>0.71327265371425042</v>
      </c>
      <c r="EQ317" s="550">
        <f t="shared" si="288"/>
        <v>0.95026483655014304</v>
      </c>
      <c r="ES317" s="551">
        <f t="shared" si="289"/>
        <v>129389.01040950403</v>
      </c>
    </row>
    <row r="318" spans="3:149">
      <c r="C318" s="546">
        <v>370</v>
      </c>
      <c r="D318" s="551">
        <f t="shared" si="244"/>
        <v>26.214823033474897</v>
      </c>
      <c r="E318" s="553">
        <f>$D318/PI()*SQRT('Hilfstabellen_Mat&amp;Bem'!f.Rd.3/'Hilfstabellen_Mat&amp;Bem'!$BD$30)</f>
        <v>0.41722186680568046</v>
      </c>
      <c r="F318" s="553">
        <f>0.5*(1+'Hilfstabellen_Mat&amp;Bem'!$BD$31*($E318-0.3)+$E318^2)</f>
        <v>0.59289813641069256</v>
      </c>
      <c r="G318" s="550">
        <f t="shared" si="245"/>
        <v>0.98604629625442763</v>
      </c>
      <c r="I318" s="551">
        <f t="shared" si="290"/>
        <v>134989.73795723115</v>
      </c>
      <c r="M318" s="546">
        <f t="shared" si="246"/>
        <v>370</v>
      </c>
      <c r="N318" s="551">
        <f t="shared" si="236"/>
        <v>27.151066713241857</v>
      </c>
      <c r="O318" s="553">
        <f>$N318/PI()*SQRT('Hilfstabellen_Mat&amp;Bem'!f.Rd.3/'Hilfstabellen_Mat&amp;Bem'!$BD$30)</f>
        <v>0.43212264776302622</v>
      </c>
      <c r="P318" s="553">
        <f>0.5*(1+'Hilfstabellen_Mat&amp;Bem'!$BD$31*($O318-0.3)+$O318^2)</f>
        <v>0.59997112374301553</v>
      </c>
      <c r="Q318" s="550">
        <f t="shared" si="237"/>
        <v>0.984071181469789</v>
      </c>
      <c r="S318" s="551">
        <f t="shared" si="291"/>
        <v>134719.34474321411</v>
      </c>
      <c r="W318" s="546">
        <f t="shared" si="247"/>
        <v>370</v>
      </c>
      <c r="X318" s="551">
        <f t="shared" si="238"/>
        <v>28.087310393008821</v>
      </c>
      <c r="Y318" s="553">
        <f>$X318/PI()*SQRT('Hilfstabellen_Mat&amp;Bem'!f.Rd.3/'Hilfstabellen_Mat&amp;Bem'!$BD$30)</f>
        <v>0.44702342872037193</v>
      </c>
      <c r="Z318" s="553">
        <f>0.5*(1+'Hilfstabellen_Mat&amp;Bem'!$BD$31*($Y318-0.3)+$Y318^2)</f>
        <v>0.60726614434847737</v>
      </c>
      <c r="AA318" s="550">
        <f t="shared" si="239"/>
        <v>0.9820366216765869</v>
      </c>
      <c r="AC318" s="551">
        <f t="shared" si="292"/>
        <v>134440.81350752476</v>
      </c>
      <c r="AG318" s="546">
        <f t="shared" si="248"/>
        <v>370</v>
      </c>
      <c r="AH318" s="551">
        <f t="shared" si="240"/>
        <v>29.023554072775781</v>
      </c>
      <c r="AI318" s="553">
        <f>$AH318/PI()*SQRT('Hilfstabellen_Mat&amp;Bem'!f.Rd.3/'Hilfstabellen_Mat&amp;Bem'!$BD$30)</f>
        <v>0.46192420967771763</v>
      </c>
      <c r="AJ318" s="553">
        <f>0.5*(1+'Hilfstabellen_Mat&amp;Bem'!$BD$31*($AI318-0.3)+$AI318^2)</f>
        <v>0.61478319822707794</v>
      </c>
      <c r="AK318" s="550">
        <f t="shared" si="241"/>
        <v>0.97993750980221739</v>
      </c>
      <c r="AM318" s="551">
        <f t="shared" si="293"/>
        <v>134153.44509192355</v>
      </c>
      <c r="AQ318" s="546">
        <f t="shared" si="249"/>
        <v>370</v>
      </c>
      <c r="AR318" s="551">
        <f t="shared" si="242"/>
        <v>29.959797752542741</v>
      </c>
      <c r="AS318" s="553">
        <f>$AR318/PI()*SQRT('Hilfstabellen_Mat&amp;Bem'!f.Rd.3/'Hilfstabellen_Mat&amp;Bem'!$BD$30)</f>
        <v>0.47682499063506339</v>
      </c>
      <c r="AT318" s="553">
        <f>0.5*(1+'Hilfstabellen_Mat&amp;Bem'!$BD$31*($AS318-0.3)+$AS318^2)</f>
        <v>0.62252228537881726</v>
      </c>
      <c r="AU318" s="550">
        <f t="shared" si="243"/>
        <v>0.97776835114889848</v>
      </c>
      <c r="AW318" s="551">
        <f t="shared" si="294"/>
        <v>133856.4872722842</v>
      </c>
      <c r="BA318" s="546">
        <f t="shared" si="250"/>
        <v>370</v>
      </c>
      <c r="BB318" s="551">
        <f t="shared" si="251"/>
        <v>30.896041432309701</v>
      </c>
      <c r="BC318" s="553">
        <f>$BB318/PI()*SQRT('Hilfstabellen_Mat&amp;Bem'!f.Rd.3/'Hilfstabellen_Mat&amp;Bem'!$BD$30)</f>
        <v>0.4917257715924091</v>
      </c>
      <c r="BD318" s="553">
        <f>0.5*(1+'Hilfstabellen_Mat&amp;Bem'!$BD$31*($BC318-0.3)+$BC318^2)</f>
        <v>0.63048340580369544</v>
      </c>
      <c r="BE318" s="550">
        <f t="shared" si="252"/>
        <v>0.97552322446394746</v>
      </c>
      <c r="BG318" s="551">
        <f t="shared" si="253"/>
        <v>133549.1294291144</v>
      </c>
      <c r="BK318" s="546">
        <f t="shared" si="254"/>
        <v>370</v>
      </c>
      <c r="BL318" s="551">
        <f t="shared" si="255"/>
        <v>31.832285112076661</v>
      </c>
      <c r="BM318" s="553">
        <f>$BL318/PI()*SQRT('Hilfstabellen_Mat&amp;Bem'!f.Rd.3/'Hilfstabellen_Mat&amp;Bem'!$BD$30)</f>
        <v>0.50662655254975486</v>
      </c>
      <c r="BN318" s="553">
        <f>0.5*(1+'Hilfstabellen_Mat&amp;Bem'!$BD$31*($BM318-0.3)+$BM318^2)</f>
        <v>0.63866655950171258</v>
      </c>
      <c r="BO318" s="550">
        <f t="shared" si="256"/>
        <v>0.97319573960113592</v>
      </c>
      <c r="BQ318" s="551">
        <f t="shared" si="257"/>
        <v>133230.49675139552</v>
      </c>
      <c r="BU318" s="546">
        <f t="shared" si="258"/>
        <v>370</v>
      </c>
      <c r="BV318" s="551">
        <f t="shared" si="259"/>
        <v>32.768528791843622</v>
      </c>
      <c r="BW318" s="553">
        <f>$BV318/PI()*SQRT('Hilfstabellen_Mat&amp;Bem'!f.Rd.3/'Hilfstabellen_Mat&amp;Bem'!$BD$30)</f>
        <v>0.52152733350710057</v>
      </c>
      <c r="BX318" s="553">
        <f>0.5*(1+'Hilfstabellen_Mat&amp;Bem'!$BD$31*($BW318-0.3)+$BW318^2)</f>
        <v>0.64707174647286836</v>
      </c>
      <c r="BY318" s="550">
        <f t="shared" si="260"/>
        <v>0.97077899161300896</v>
      </c>
      <c r="CA318" s="551">
        <f t="shared" si="261"/>
        <v>132899.64395182094</v>
      </c>
      <c r="CE318" s="546">
        <f t="shared" si="262"/>
        <v>370</v>
      </c>
      <c r="CF318" s="551">
        <f t="shared" si="263"/>
        <v>33.704772471610582</v>
      </c>
      <c r="CG318" s="553">
        <f>CF318/PI()*SQRT('Hilfstabellen_Mat&amp;Bem'!f.Rd.3/'Hilfstabellen_Mat&amp;Bem'!$BD$30)</f>
        <v>0.53642811446444627</v>
      </c>
      <c r="CH318" s="553">
        <f>0.5*(1+'Hilfstabellen_Mat&amp;Bem'!$BD$31*(CG318-0.3)+CG318^2)</f>
        <v>0.65569896671716288</v>
      </c>
      <c r="CI318" s="550">
        <f t="shared" si="264"/>
        <v>0.96826551117612891</v>
      </c>
      <c r="CK318" s="551">
        <f t="shared" si="265"/>
        <v>132555.54848001205</v>
      </c>
      <c r="CO318" s="546">
        <f t="shared" si="266"/>
        <v>370</v>
      </c>
      <c r="CP318" s="551">
        <f t="shared" si="267"/>
        <v>34.641016151377542</v>
      </c>
      <c r="CQ318" s="553">
        <f>CP318/PI()*SQRT('Hilfstabellen_Mat&amp;Bem'!f.Rd.3/'Hilfstabellen_Mat&amp;Bem'!$BD$30)</f>
        <v>0.55132889542179198</v>
      </c>
      <c r="CR318" s="553">
        <f>0.5*(1+'Hilfstabellen_Mat&amp;Bem'!$BD$31*(CQ318-0.3)+CQ318^2)</f>
        <v>0.66454822023459625</v>
      </c>
      <c r="CS318" s="550">
        <f t="shared" si="268"/>
        <v>0.96564721134572118</v>
      </c>
      <c r="CU318" s="551">
        <f t="shared" si="269"/>
        <v>132197.10323322922</v>
      </c>
      <c r="CY318" s="546">
        <f t="shared" si="270"/>
        <v>370</v>
      </c>
      <c r="CZ318" s="551">
        <f t="shared" si="271"/>
        <v>35.577259831144502</v>
      </c>
      <c r="DA318" s="553">
        <f>CZ318/PI()*SQRT('Hilfstabellen_Mat&amp;Bem'!f.Rd.3/'Hilfstabellen_Mat&amp;Bem'!$BD$30)</f>
        <v>0.56622967637913779</v>
      </c>
      <c r="DB318" s="553">
        <f>0.5*(1+'Hilfstabellen_Mat&amp;Bem'!$BD$31*(DA318-0.3)+DA318^2)</f>
        <v>0.67361950702516848</v>
      </c>
      <c r="DC318" s="550">
        <f t="shared" si="272"/>
        <v>0.96291533077416513</v>
      </c>
      <c r="DE318" s="551">
        <f t="shared" si="273"/>
        <v>131823.10878298321</v>
      </c>
      <c r="DI318" s="546">
        <f t="shared" si="274"/>
        <v>370</v>
      </c>
      <c r="DJ318" s="551">
        <f t="shared" si="275"/>
        <v>36.513503510911463</v>
      </c>
      <c r="DK318" s="553">
        <f>DJ318/PI()*SQRT('Hilfstabellen_Mat&amp;Bem'!f.Rd.3/'Hilfstabellen_Mat&amp;Bem'!$BD$30)</f>
        <v>0.5811304573364835</v>
      </c>
      <c r="DL318" s="553">
        <f>0.5*(1+'Hilfstabellen_Mat&amp;Bem'!$BD$31*(DK318-0.3)+DK318^2)</f>
        <v>0.68291282708887935</v>
      </c>
      <c r="DM318" s="550">
        <f t="shared" si="276"/>
        <v>0.96006037372333952</v>
      </c>
      <c r="DO318" s="551">
        <f t="shared" si="277"/>
        <v>131432.26516272518</v>
      </c>
      <c r="DS318" s="546">
        <f t="shared" si="278"/>
        <v>370</v>
      </c>
      <c r="DT318" s="551">
        <f t="shared" si="279"/>
        <v>37.449747190678423</v>
      </c>
      <c r="DU318" s="553">
        <f>DT318/PI()*SQRT('Hilfstabellen_Mat&amp;Bem'!f.Rd.3/'Hilfstabellen_Mat&amp;Bem'!$BD$30)</f>
        <v>0.5960312382938292</v>
      </c>
      <c r="DV318" s="553">
        <f>0.5*(1+'Hilfstabellen_Mat&amp;Bem'!$BD$31*(DU318-0.3)+DU318^2)</f>
        <v>0.69242818042572918</v>
      </c>
      <c r="DW318" s="550">
        <f t="shared" si="280"/>
        <v>0.95707204747151975</v>
      </c>
      <c r="DY318" s="551">
        <f t="shared" si="281"/>
        <v>131023.16329885105</v>
      </c>
      <c r="EC318" s="546">
        <f t="shared" si="282"/>
        <v>370</v>
      </c>
      <c r="ED318" s="551">
        <f t="shared" si="283"/>
        <v>38.385990870445383</v>
      </c>
      <c r="EE318" s="553">
        <f>ED318/PI()*SQRT('Hilfstabellen_Mat&amp;Bem'!f.Rd.3/'Hilfstabellen_Mat&amp;Bem'!$BD$30)</f>
        <v>0.61093201925117491</v>
      </c>
      <c r="EF318" s="553">
        <f>0.5*(1+'Hilfstabellen_Mat&amp;Bem'!$BD$31*(EE318-0.3)+EE318^2)</f>
        <v>0.70216556703571775</v>
      </c>
      <c r="EG318" s="550">
        <f t="shared" si="284"/>
        <v>0.95393919808296557</v>
      </c>
      <c r="EI318" s="551">
        <f t="shared" si="285"/>
        <v>130594.27621755798</v>
      </c>
      <c r="EM318" s="546">
        <f t="shared" si="286"/>
        <v>370</v>
      </c>
      <c r="EN318" s="551">
        <f t="shared" si="287"/>
        <v>39.322234550212343</v>
      </c>
      <c r="EO318" s="553">
        <f>EN318/PI()*SQRT('Hilfstabellen_Mat&amp;Bem'!f.Rd.3/'Hilfstabellen_Mat&amp;Bem'!$BD$30)</f>
        <v>0.62583280020852072</v>
      </c>
      <c r="EP318" s="553">
        <f>0.5*(1+'Hilfstabellen_Mat&amp;Bem'!$BD$31*(EO318-0.3)+EO318^2)</f>
        <v>0.71212498691884518</v>
      </c>
      <c r="EQ318" s="550">
        <f t="shared" si="288"/>
        <v>0.95064974599820773</v>
      </c>
      <c r="ES318" s="551">
        <f t="shared" si="289"/>
        <v>130143.95022715464</v>
      </c>
    </row>
    <row r="319" spans="3:149">
      <c r="C319" s="546">
        <v>371</v>
      </c>
      <c r="D319" s="551">
        <f t="shared" si="244"/>
        <v>26.144163133115129</v>
      </c>
      <c r="E319" s="553">
        <f>$D319/PI()*SQRT('Hilfstabellen_Mat&amp;Bem'!f.Rd.3/'Hilfstabellen_Mat&amp;Bem'!$BD$30)</f>
        <v>0.4160972795636167</v>
      </c>
      <c r="F319" s="553">
        <f>0.5*(1+'Hilfstabellen_Mat&amp;Bem'!$BD$31*($E319-0.3)+$E319^2)</f>
        <v>0.59237333700830208</v>
      </c>
      <c r="G319" s="550">
        <f t="shared" si="245"/>
        <v>0.98619308467418698</v>
      </c>
      <c r="I319" s="551">
        <f t="shared" si="290"/>
        <v>135740.60236763977</v>
      </c>
      <c r="M319" s="546">
        <f t="shared" si="246"/>
        <v>371</v>
      </c>
      <c r="N319" s="551">
        <f t="shared" si="236"/>
        <v>27.077883245012096</v>
      </c>
      <c r="O319" s="553">
        <f>$N319/PI()*SQRT('Hilfstabellen_Mat&amp;Bem'!f.Rd.3/'Hilfstabellen_Mat&amp;Bem'!$BD$30)</f>
        <v>0.43095789669088869</v>
      </c>
      <c r="P319" s="553">
        <f>0.5*(1+'Hilfstabellen_Mat&amp;Bem'!$BD$31*($O319-0.3)+$O319^2)</f>
        <v>0.59941024919466179</v>
      </c>
      <c r="Q319" s="550">
        <f t="shared" si="237"/>
        <v>0.98422764853903844</v>
      </c>
      <c r="S319" s="551">
        <f t="shared" si="291"/>
        <v>135470.07777256178</v>
      </c>
      <c r="W319" s="546">
        <f t="shared" si="247"/>
        <v>371</v>
      </c>
      <c r="X319" s="551">
        <f t="shared" si="238"/>
        <v>28.011603356909063</v>
      </c>
      <c r="Y319" s="553">
        <f>$X319/PI()*SQRT('Hilfstabellen_Mat&amp;Bem'!f.Rd.3/'Hilfstabellen_Mat&amp;Bem'!$BD$30)</f>
        <v>0.44581851381816073</v>
      </c>
      <c r="Z319" s="553">
        <f>0.5*(1+'Hilfstabellen_Mat&amp;Bem'!$BD$31*($Y319-0.3)+$Y319^2)</f>
        <v>0.60666799932242488</v>
      </c>
      <c r="AA319" s="550">
        <f t="shared" si="239"/>
        <v>0.98220346944498804</v>
      </c>
      <c r="AC319" s="551">
        <f t="shared" si="292"/>
        <v>135191.4677378776</v>
      </c>
      <c r="AG319" s="546">
        <f t="shared" si="248"/>
        <v>371</v>
      </c>
      <c r="AH319" s="551">
        <f t="shared" si="240"/>
        <v>28.945323468806034</v>
      </c>
      <c r="AI319" s="553">
        <f>$AH319/PI()*SQRT('Hilfstabellen_Mat&amp;Bem'!f.Rd.3/'Hilfstabellen_Mat&amp;Bem'!$BD$30)</f>
        <v>0.46067913094543278</v>
      </c>
      <c r="AJ319" s="553">
        <f>0.5*(1+'Hilfstabellen_Mat&amp;Bem'!$BD$31*($AI319-0.3)+$AI319^2)</f>
        <v>0.61414658739159123</v>
      </c>
      <c r="AK319" s="550">
        <f t="shared" si="241"/>
        <v>0.98011551054121027</v>
      </c>
      <c r="AM319" s="551">
        <f t="shared" si="293"/>
        <v>134904.07898640272</v>
      </c>
      <c r="AQ319" s="546">
        <f t="shared" si="249"/>
        <v>371</v>
      </c>
      <c r="AR319" s="551">
        <f t="shared" si="242"/>
        <v>29.879043580703001</v>
      </c>
      <c r="AS319" s="553">
        <f>$AR319/PI()*SQRT('Hilfstabellen_Mat&amp;Bem'!f.Rd.3/'Hilfstabellen_Mat&amp;Bem'!$BD$30)</f>
        <v>0.47553974807270472</v>
      </c>
      <c r="AT319" s="553">
        <f>0.5*(1+'Hilfstabellen_Mat&amp;Bem'!$BD$31*($AS319-0.3)+$AS319^2)</f>
        <v>0.62184601340216095</v>
      </c>
      <c r="AU319" s="550">
        <f t="shared" si="243"/>
        <v>0.97795835448946211</v>
      </c>
      <c r="AW319" s="551">
        <f t="shared" si="294"/>
        <v>134607.16587028405</v>
      </c>
      <c r="BA319" s="546">
        <f t="shared" si="250"/>
        <v>371</v>
      </c>
      <c r="BB319" s="551">
        <f t="shared" si="251"/>
        <v>30.812763692599969</v>
      </c>
      <c r="BC319" s="553">
        <f>$BB319/PI()*SQRT('Hilfstabellen_Mat&amp;Bem'!f.Rd.3/'Hilfstabellen_Mat&amp;Bem'!$BD$30)</f>
        <v>0.49040036519997676</v>
      </c>
      <c r="BD319" s="553">
        <f>0.5*(1+'Hilfstabellen_Mat&amp;Bem'!$BD$31*($BC319-0.3)+$BC319^2)</f>
        <v>0.62976627735413415</v>
      </c>
      <c r="BE319" s="550">
        <f t="shared" si="252"/>
        <v>0.97572616532459011</v>
      </c>
      <c r="BG319" s="551">
        <f t="shared" si="253"/>
        <v>134299.92512144192</v>
      </c>
      <c r="BK319" s="546">
        <f t="shared" si="254"/>
        <v>371</v>
      </c>
      <c r="BL319" s="551">
        <f t="shared" si="255"/>
        <v>31.746483804496943</v>
      </c>
      <c r="BM319" s="553">
        <f>$BL319/PI()*SQRT('Hilfstabellen_Mat&amp;Bem'!f.Rd.3/'Hilfstabellen_Mat&amp;Bem'!$BD$30)</f>
        <v>0.50526098232724881</v>
      </c>
      <c r="BN319" s="553">
        <f>0.5*(1+'Hilfstabellen_Mat&amp;Bem'!$BD$31*($BM319-0.3)+$BM319^2)</f>
        <v>0.63790737924751062</v>
      </c>
      <c r="BO319" s="550">
        <f t="shared" si="256"/>
        <v>0.97341264697596308</v>
      </c>
      <c r="BQ319" s="551">
        <f t="shared" si="257"/>
        <v>133981.49014241854</v>
      </c>
      <c r="BU319" s="546">
        <f t="shared" si="258"/>
        <v>371</v>
      </c>
      <c r="BV319" s="551">
        <f t="shared" si="259"/>
        <v>32.680203916393914</v>
      </c>
      <c r="BW319" s="553">
        <f>$BV319/PI()*SQRT('Hilfstabellen_Mat&amp;Bem'!f.Rd.3/'Hilfstabellen_Mat&amp;Bem'!$BD$30)</f>
        <v>0.52012159945452086</v>
      </c>
      <c r="BX319" s="553">
        <f>0.5*(1+'Hilfstabellen_Mat&amp;Bem'!$BD$31*($BW319-0.3)+$BW319^2)</f>
        <v>0.64626931908229057</v>
      </c>
      <c r="BY319" s="550">
        <f t="shared" si="260"/>
        <v>0.97101099828869164</v>
      </c>
      <c r="CA319" s="551">
        <f t="shared" si="261"/>
        <v>133650.92481545379</v>
      </c>
      <c r="CE319" s="546">
        <f t="shared" si="262"/>
        <v>371</v>
      </c>
      <c r="CF319" s="551">
        <f t="shared" si="263"/>
        <v>33.613924028290882</v>
      </c>
      <c r="CG319" s="553">
        <f>CF319/PI()*SQRT('Hilfstabellen_Mat&amp;Bem'!f.Rd.3/'Hilfstabellen_Mat&amp;Bem'!$BD$30)</f>
        <v>0.5349822165817929</v>
      </c>
      <c r="CH319" s="553">
        <f>0.5*(1+'Hilfstabellen_Mat&amp;Bem'!$BD$31*(CG319-0.3)+CG319^2)</f>
        <v>0.6548520968584739</v>
      </c>
      <c r="CI319" s="550">
        <f t="shared" si="264"/>
        <v>0.96851386444191612</v>
      </c>
      <c r="CK319" s="551">
        <f t="shared" si="265"/>
        <v>133307.21681564976</v>
      </c>
      <c r="CO319" s="546">
        <f t="shared" si="266"/>
        <v>371</v>
      </c>
      <c r="CP319" s="551">
        <f t="shared" si="267"/>
        <v>34.547644140187849</v>
      </c>
      <c r="CQ319" s="553">
        <f>CP319/PI()*SQRT('Hilfstabellen_Mat&amp;Bem'!f.Rd.3/'Hilfstabellen_Mat&amp;Bem'!$BD$30)</f>
        <v>0.54984283370906484</v>
      </c>
      <c r="CR319" s="553">
        <f>0.5*(1+'Hilfstabellen_Mat&amp;Bem'!$BD$31*(CQ319-0.3)+CQ319^2)</f>
        <v>0.66365571257606037</v>
      </c>
      <c r="CS319" s="550">
        <f t="shared" si="268"/>
        <v>0.96591328475068505</v>
      </c>
      <c r="CU319" s="551">
        <f t="shared" si="269"/>
        <v>132949.27042636904</v>
      </c>
      <c r="CY319" s="546">
        <f t="shared" si="270"/>
        <v>371</v>
      </c>
      <c r="CZ319" s="551">
        <f t="shared" si="271"/>
        <v>35.481364252084816</v>
      </c>
      <c r="DA319" s="553">
        <f>CZ319/PI()*SQRT('Hilfstabellen_Mat&amp;Bem'!f.Rd.3/'Hilfstabellen_Mat&amp;Bem'!$BD$30)</f>
        <v>0.56470345083633688</v>
      </c>
      <c r="DB319" s="553">
        <f>0.5*(1+'Hilfstabellen_Mat&amp;Bem'!$BD$31*(DA319-0.3)+DA319^2)</f>
        <v>0.67268016623505034</v>
      </c>
      <c r="DC319" s="550">
        <f t="shared" si="272"/>
        <v>0.96320063696853686</v>
      </c>
      <c r="DE319" s="551">
        <f t="shared" si="273"/>
        <v>132575.89887298638</v>
      </c>
      <c r="DI319" s="546">
        <f t="shared" si="274"/>
        <v>371</v>
      </c>
      <c r="DJ319" s="551">
        <f t="shared" si="275"/>
        <v>36.415084363981784</v>
      </c>
      <c r="DK319" s="553">
        <f>DJ319/PI()*SQRT('Hilfstabellen_Mat&amp;Bem'!f.Rd.3/'Hilfstabellen_Mat&amp;Bem'!$BD$30)</f>
        <v>0.57956406796360882</v>
      </c>
      <c r="DL319" s="553">
        <f>0.5*(1+'Hilfstabellen_Mat&amp;Bem'!$BD$31*(DK319-0.3)+DK319^2)</f>
        <v>0.68192545783544378</v>
      </c>
      <c r="DM319" s="550">
        <f t="shared" si="276"/>
        <v>0.96036657839325323</v>
      </c>
      <c r="DO319" s="551">
        <f t="shared" si="277"/>
        <v>132185.81621662577</v>
      </c>
      <c r="DS319" s="546">
        <f t="shared" si="278"/>
        <v>371</v>
      </c>
      <c r="DT319" s="551">
        <f t="shared" si="279"/>
        <v>37.348804475878751</v>
      </c>
      <c r="DU319" s="553">
        <f>DT319/PI()*SQRT('Hilfstabellen_Mat&amp;Bem'!f.Rd.3/'Hilfstabellen_Mat&amp;Bem'!$BD$30)</f>
        <v>0.59442468509088087</v>
      </c>
      <c r="DV319" s="553">
        <f>0.5*(1+'Hilfstabellen_Mat&amp;Bem'!$BD$31*(DU319-0.3)+DU319^2)</f>
        <v>0.69139158737724049</v>
      </c>
      <c r="DW319" s="550">
        <f t="shared" si="280"/>
        <v>0.957400984335122</v>
      </c>
      <c r="DY319" s="551">
        <f t="shared" si="281"/>
        <v>131777.62888487053</v>
      </c>
      <c r="EC319" s="546">
        <f t="shared" si="282"/>
        <v>371</v>
      </c>
      <c r="ED319" s="551">
        <f t="shared" si="283"/>
        <v>38.282524587775718</v>
      </c>
      <c r="EE319" s="553">
        <f>ED319/PI()*SQRT('Hilfstabellen_Mat&amp;Bem'!f.Rd.3/'Hilfstabellen_Mat&amp;Bem'!$BD$30)</f>
        <v>0.60928530221815291</v>
      </c>
      <c r="EF319" s="553">
        <f>0.5*(1+'Hilfstabellen_Mat&amp;Bem'!$BD$31*(EE319-0.3)+EE319^2)</f>
        <v>0.70107855486044057</v>
      </c>
      <c r="EG319" s="550">
        <f t="shared" si="284"/>
        <v>0.95429288485609653</v>
      </c>
      <c r="EI319" s="551">
        <f t="shared" si="285"/>
        <v>131349.82696447798</v>
      </c>
      <c r="EM319" s="546">
        <f t="shared" si="286"/>
        <v>371</v>
      </c>
      <c r="EN319" s="551">
        <f t="shared" si="287"/>
        <v>39.216244699672686</v>
      </c>
      <c r="EO319" s="553">
        <f>EN319/PI()*SQRT('Hilfstabellen_Mat&amp;Bem'!f.Rd.3/'Hilfstabellen_Mat&amp;Bem'!$BD$30)</f>
        <v>0.62414591934542496</v>
      </c>
      <c r="EP319" s="553">
        <f>0.5*(1+'Hilfstabellen_Mat&amp;Bem'!$BD$31*(EO319-0.3)+EO319^2)</f>
        <v>0.71098636028504414</v>
      </c>
      <c r="EQ319" s="550">
        <f t="shared" si="288"/>
        <v>0.95103040115404447</v>
      </c>
      <c r="ES319" s="551">
        <f t="shared" si="289"/>
        <v>130900.77544524384</v>
      </c>
    </row>
    <row r="320" spans="3:149">
      <c r="C320" s="546">
        <v>372</v>
      </c>
      <c r="D320" s="551">
        <f t="shared" si="244"/>
        <v>26.073883124692777</v>
      </c>
      <c r="E320" s="553">
        <f>$D320/PI()*SQRT('Hilfstabellen_Mat&amp;Bem'!f.Rd.3/'Hilfstabellen_Mat&amp;Bem'!$BD$30)</f>
        <v>0.41497873848952094</v>
      </c>
      <c r="F320" s="553">
        <f>0.5*(1+'Hilfstabellen_Mat&amp;Bem'!$BD$31*($E320-0.3)+$E320^2)</f>
        <v>0.59185261362365316</v>
      </c>
      <c r="G320" s="550">
        <f t="shared" si="245"/>
        <v>0.98633877700148476</v>
      </c>
      <c r="I320" s="551">
        <f t="shared" si="290"/>
        <v>136493.50531657346</v>
      </c>
      <c r="M320" s="546">
        <f t="shared" si="246"/>
        <v>372</v>
      </c>
      <c r="N320" s="551">
        <f t="shared" si="236"/>
        <v>27.005093236288946</v>
      </c>
      <c r="O320" s="553">
        <f>$N320/PI()*SQRT('Hilfstabellen_Mat&amp;Bem'!f.Rd.3/'Hilfstabellen_Mat&amp;Bem'!$BD$30)</f>
        <v>0.42979940772128949</v>
      </c>
      <c r="P320" s="553">
        <f>0.5*(1+'Hilfstabellen_Mat&amp;Bem'!$BD$31*($O320-0.3)+$O320^2)</f>
        <v>0.59885373582485013</v>
      </c>
      <c r="Q320" s="550">
        <f t="shared" si="237"/>
        <v>0.98438291659451949</v>
      </c>
      <c r="S320" s="551">
        <f t="shared" si="291"/>
        <v>136222.845530016</v>
      </c>
      <c r="W320" s="546">
        <f t="shared" si="247"/>
        <v>372</v>
      </c>
      <c r="X320" s="551">
        <f t="shared" si="238"/>
        <v>27.936303347885115</v>
      </c>
      <c r="Y320" s="553">
        <f>$X320/PI()*SQRT('Hilfstabellen_Mat&amp;Bem'!f.Rd.3/'Hilfstabellen_Mat&amp;Bem'!$BD$30)</f>
        <v>0.44462007695305811</v>
      </c>
      <c r="Z320" s="553">
        <f>0.5*(1+'Hilfstabellen_Mat&amp;Bem'!$BD$31*($Y320-0.3)+$Y320^2)</f>
        <v>0.60607451026252446</v>
      </c>
      <c r="AA320" s="550">
        <f t="shared" si="239"/>
        <v>0.98236900446048858</v>
      </c>
      <c r="AC320" s="551">
        <f t="shared" si="292"/>
        <v>135944.15231326025</v>
      </c>
      <c r="AG320" s="546">
        <f t="shared" si="248"/>
        <v>372</v>
      </c>
      <c r="AH320" s="551">
        <f t="shared" si="240"/>
        <v>28.867513459481287</v>
      </c>
      <c r="AI320" s="553">
        <f>$AH320/PI()*SQRT('Hilfstabellen_Mat&amp;Bem'!f.Rd.3/'Hilfstabellen_Mat&amp;Bem'!$BD$30)</f>
        <v>0.45944074618482678</v>
      </c>
      <c r="AJ320" s="553">
        <f>0.5*(1+'Hilfstabellen_Mat&amp;Bem'!$BD$31*($AI320-0.3)+$AI320^2)</f>
        <v>0.61351493693667658</v>
      </c>
      <c r="AK320" s="550">
        <f t="shared" si="241"/>
        <v>0.9802920726875779</v>
      </c>
      <c r="AM320" s="551">
        <f t="shared" si="293"/>
        <v>135656.73818679777</v>
      </c>
      <c r="AQ320" s="546">
        <f t="shared" si="249"/>
        <v>372</v>
      </c>
      <c r="AR320" s="551">
        <f t="shared" si="242"/>
        <v>29.798723571077456</v>
      </c>
      <c r="AS320" s="553">
        <f>$AR320/PI()*SQRT('Hilfstabellen_Mat&amp;Bem'!f.Rd.3/'Hilfstabellen_Mat&amp;Bem'!$BD$30)</f>
        <v>0.47426141541659528</v>
      </c>
      <c r="AT320" s="553">
        <f>0.5*(1+'Hilfstabellen_Mat&amp;Bem'!$BD$31*($AS320-0.3)+$AS320^2)</f>
        <v>0.62117501584730594</v>
      </c>
      <c r="AU320" s="550">
        <f t="shared" si="243"/>
        <v>0.978146779858727</v>
      </c>
      <c r="AW320" s="551">
        <f t="shared" si="294"/>
        <v>135359.86398397008</v>
      </c>
      <c r="BA320" s="546">
        <f t="shared" si="250"/>
        <v>372</v>
      </c>
      <c r="BB320" s="551">
        <f t="shared" si="251"/>
        <v>30.729933682673629</v>
      </c>
      <c r="BC320" s="553">
        <f>$BB320/PI()*SQRT('Hilfstabellen_Mat&amp;Bem'!f.Rd.3/'Hilfstabellen_Mat&amp;Bem'!$BD$30)</f>
        <v>0.48908208464836395</v>
      </c>
      <c r="BD320" s="553">
        <f>0.5*(1+'Hilfstabellen_Mat&amp;Bem'!$BD$31*($BC320-0.3)+$BC320^2)</f>
        <v>0.62905474699441299</v>
      </c>
      <c r="BE320" s="550">
        <f t="shared" si="252"/>
        <v>0.97592737368407134</v>
      </c>
      <c r="BG320" s="551">
        <f t="shared" si="253"/>
        <v>135052.73367989654</v>
      </c>
      <c r="BK320" s="546">
        <f t="shared" si="254"/>
        <v>372</v>
      </c>
      <c r="BL320" s="551">
        <f t="shared" si="255"/>
        <v>31.661143794269801</v>
      </c>
      <c r="BM320" s="553">
        <f>$BL320/PI()*SQRT('Hilfstabellen_Mat&amp;Bem'!f.Rd.3/'Hilfstabellen_Mat&amp;Bem'!$BD$30)</f>
        <v>0.5039027538801325</v>
      </c>
      <c r="BN320" s="553">
        <f>0.5*(1+'Hilfstabellen_Mat&amp;Bem'!$BD$31*($BM320-0.3)+$BM320^2)</f>
        <v>0.63715413037799729</v>
      </c>
      <c r="BO320" s="550">
        <f t="shared" si="256"/>
        <v>0.97362765036283139</v>
      </c>
      <c r="BQ320" s="551">
        <f t="shared" si="257"/>
        <v>134734.48876781005</v>
      </c>
      <c r="BU320" s="546">
        <f t="shared" si="258"/>
        <v>372</v>
      </c>
      <c r="BV320" s="551">
        <f t="shared" si="259"/>
        <v>32.59235390586597</v>
      </c>
      <c r="BW320" s="553">
        <f>$BV320/PI()*SQRT('Hilfstabellen_Mat&amp;Bem'!f.Rd.3/'Hilfstabellen_Mat&amp;Bem'!$BD$30)</f>
        <v>0.51872342311190112</v>
      </c>
      <c r="BX320" s="553">
        <f>0.5*(1+'Hilfstabellen_Mat&amp;Bem'!$BD$31*($BW320-0.3)+$BW320^2)</f>
        <v>0.64547316599805926</v>
      </c>
      <c r="BY320" s="550">
        <f t="shared" si="260"/>
        <v>0.97124091051273287</v>
      </c>
      <c r="CA320" s="551">
        <f t="shared" si="261"/>
        <v>134404.20216039402</v>
      </c>
      <c r="CE320" s="546">
        <f t="shared" si="262"/>
        <v>372</v>
      </c>
      <c r="CF320" s="551">
        <f t="shared" si="263"/>
        <v>33.523564017462142</v>
      </c>
      <c r="CG320" s="553">
        <f>CF320/PI()*SQRT('Hilfstabellen_Mat&amp;Bem'!f.Rd.3/'Hilfstabellen_Mat&amp;Bem'!$BD$30)</f>
        <v>0.53354409234366984</v>
      </c>
      <c r="CH320" s="553">
        <f>0.5*(1+'Hilfstabellen_Mat&amp;Bem'!$BD$31*(CG320-0.3)+CG320^2)</f>
        <v>0.6540118538545987</v>
      </c>
      <c r="CI320" s="550">
        <f t="shared" si="264"/>
        <v>0.96875991156003649</v>
      </c>
      <c r="CK320" s="551">
        <f t="shared" si="265"/>
        <v>134060.87160132409</v>
      </c>
      <c r="CO320" s="546">
        <f t="shared" si="266"/>
        <v>372</v>
      </c>
      <c r="CP320" s="551">
        <f t="shared" si="267"/>
        <v>34.454774129058308</v>
      </c>
      <c r="CQ320" s="553">
        <f>CP320/PI()*SQRT('Hilfstabellen_Mat&amp;Bem'!f.Rd.3/'Hilfstabellen_Mat&amp;Bem'!$BD$30)</f>
        <v>0.54836476157543834</v>
      </c>
      <c r="CR320" s="553">
        <f>0.5*(1+'Hilfstabellen_Mat&amp;Bem'!$BD$31*(CQ320-0.3)+CQ320^2)</f>
        <v>0.6627701939476156</v>
      </c>
      <c r="CS320" s="550">
        <f t="shared" si="268"/>
        <v>0.96617681656750343</v>
      </c>
      <c r="CU320" s="551">
        <f t="shared" si="269"/>
        <v>133703.41258387739</v>
      </c>
      <c r="CY320" s="546">
        <f t="shared" si="270"/>
        <v>372</v>
      </c>
      <c r="CZ320" s="551">
        <f t="shared" si="271"/>
        <v>35.38598424065448</v>
      </c>
      <c r="DA320" s="553">
        <f>CZ320/PI()*SQRT('Hilfstabellen_Mat&amp;Bem'!f.Rd.3/'Hilfstabellen_Mat&amp;Bem'!$BD$30)</f>
        <v>0.56318543080720695</v>
      </c>
      <c r="DB320" s="553">
        <f>0.5*(1+'Hilfstabellen_Mat&amp;Bem'!$BD$31*(DA320-0.3)+DA320^2)</f>
        <v>0.67174818627710997</v>
      </c>
      <c r="DC320" s="550">
        <f t="shared" si="272"/>
        <v>0.96348313960123233</v>
      </c>
      <c r="DE320" s="551">
        <f t="shared" si="273"/>
        <v>133330.65079057694</v>
      </c>
      <c r="DI320" s="546">
        <f t="shared" si="274"/>
        <v>372</v>
      </c>
      <c r="DJ320" s="551">
        <f t="shared" si="275"/>
        <v>36.317194352250652</v>
      </c>
      <c r="DK320" s="553">
        <f>DJ320/PI()*SQRT('Hilfstabellen_Mat&amp;Bem'!f.Rd.3/'Hilfstabellen_Mat&amp;Bem'!$BD$30)</f>
        <v>0.57800610003897557</v>
      </c>
      <c r="DL320" s="553">
        <f>0.5*(1+'Hilfstabellen_Mat&amp;Bem'!$BD$31*(DK320-0.3)+DK320^2)</f>
        <v>0.68094583084308191</v>
      </c>
      <c r="DM320" s="550">
        <f t="shared" si="276"/>
        <v>0.96066968791296725</v>
      </c>
      <c r="DO320" s="551">
        <f t="shared" si="277"/>
        <v>132941.31409214807</v>
      </c>
      <c r="DS320" s="546">
        <f t="shared" si="278"/>
        <v>372</v>
      </c>
      <c r="DT320" s="551">
        <f t="shared" si="279"/>
        <v>37.248404463846818</v>
      </c>
      <c r="DU320" s="553">
        <f>DT320/PI()*SQRT('Hilfstabellen_Mat&amp;Bem'!f.Rd.3/'Hilfstabellen_Mat&amp;Bem'!$BD$30)</f>
        <v>0.59282676927074407</v>
      </c>
      <c r="DV320" s="553">
        <f>0.5*(1+'Hilfstabellen_Mat&amp;Bem'!$BD$31*(DU320-0.3)+DU320^2)</f>
        <v>0.6903631276455312</v>
      </c>
      <c r="DW320" s="550">
        <f t="shared" si="280"/>
        <v>0.95772650145827465</v>
      </c>
      <c r="DY320" s="551">
        <f t="shared" si="281"/>
        <v>132534.02417780188</v>
      </c>
      <c r="EC320" s="546">
        <f t="shared" si="282"/>
        <v>372</v>
      </c>
      <c r="ED320" s="551">
        <f t="shared" si="283"/>
        <v>38.17961457544299</v>
      </c>
      <c r="EE320" s="553">
        <f>ED320/PI()*SQRT('Hilfstabellen_Mat&amp;Bem'!f.Rd.3/'Hilfstabellen_Mat&amp;Bem'!$BD$30)</f>
        <v>0.60764743850251268</v>
      </c>
      <c r="EF320" s="553">
        <f>0.5*(1+'Hilfstabellen_Mat&amp;Bem'!$BD$31*(EE320-0.3)+EE320^2)</f>
        <v>0.70000007668445807</v>
      </c>
      <c r="EG320" s="550">
        <f t="shared" si="284"/>
        <v>0.95464279060254342</v>
      </c>
      <c r="EI320" s="551">
        <f t="shared" si="285"/>
        <v>132107.28793474237</v>
      </c>
      <c r="EM320" s="546">
        <f t="shared" si="286"/>
        <v>372</v>
      </c>
      <c r="EN320" s="551">
        <f t="shared" si="287"/>
        <v>39.110824687039162</v>
      </c>
      <c r="EO320" s="553">
        <f>EN320/PI()*SQRT('Hilfstabellen_Mat&amp;Bem'!f.Rd.3/'Hilfstabellen_Mat&amp;Bem'!$BD$30)</f>
        <v>0.62246810773428141</v>
      </c>
      <c r="EP320" s="553">
        <f>0.5*(1+'Hilfstabellen_Mat&amp;Bem'!$BD$31*(EO320-0.3)+EO320^2)</f>
        <v>0.70985667795986251</v>
      </c>
      <c r="EQ320" s="550">
        <f t="shared" si="288"/>
        <v>0.95140687330972329</v>
      </c>
      <c r="ES320" s="551">
        <f t="shared" si="289"/>
        <v>131659.48875609276</v>
      </c>
    </row>
    <row r="321" spans="3:149">
      <c r="C321" s="546">
        <v>373</v>
      </c>
      <c r="D321" s="551">
        <f t="shared" si="244"/>
        <v>26.003979952776707</v>
      </c>
      <c r="E321" s="553">
        <f>$D321/PI()*SQRT('Hilfstabellen_Mat&amp;Bem'!f.Rd.3/'Hilfstabellen_Mat&amp;Bem'!$BD$30)</f>
        <v>0.4138661949546964</v>
      </c>
      <c r="F321" s="553">
        <f>0.5*(1+'Hilfstabellen_Mat&amp;Bem'!$BD$31*($E321-0.3)+$E321^2)</f>
        <v>0.59133592341087426</v>
      </c>
      <c r="G321" s="550">
        <f t="shared" si="245"/>
        <v>0.98648338642390698</v>
      </c>
      <c r="I321" s="551">
        <f t="shared" si="290"/>
        <v>137248.44706977176</v>
      </c>
      <c r="M321" s="546">
        <f t="shared" si="246"/>
        <v>373</v>
      </c>
      <c r="N321" s="551">
        <f t="shared" si="236"/>
        <v>26.932693522518733</v>
      </c>
      <c r="O321" s="553">
        <f>$N321/PI()*SQRT('Hilfstabellen_Mat&amp;Bem'!f.Rd.3/'Hilfstabellen_Mat&amp;Bem'!$BD$30)</f>
        <v>0.42864713048879272</v>
      </c>
      <c r="P321" s="553">
        <f>0.5*(1+'Hilfstabellen_Mat&amp;Bem'!$BD$31*($O321-0.3)+$O321^2)</f>
        <v>0.59830153776257766</v>
      </c>
      <c r="Q321" s="550">
        <f t="shared" si="237"/>
        <v>0.98453700042554182</v>
      </c>
      <c r="S321" s="551">
        <f t="shared" si="291"/>
        <v>136977.64833220519</v>
      </c>
      <c r="W321" s="546">
        <f t="shared" si="247"/>
        <v>373</v>
      </c>
      <c r="X321" s="551">
        <f t="shared" si="238"/>
        <v>27.861407092260759</v>
      </c>
      <c r="Y321" s="553">
        <f>$X321/PI()*SQRT('Hilfstabellen_Mat&amp;Bem'!f.Rd.3/'Hilfstabellen_Mat&amp;Bem'!$BD$30)</f>
        <v>0.44342806602288909</v>
      </c>
      <c r="Z321" s="553">
        <f>0.5*(1+'Hilfstabellen_Mat&amp;Bem'!$BD$31*($Y321-0.3)+$Y321^2)</f>
        <v>0.60548562816954421</v>
      </c>
      <c r="AA321" s="550">
        <f t="shared" si="239"/>
        <v>0.98253324332299108</v>
      </c>
      <c r="AC321" s="551">
        <f t="shared" si="292"/>
        <v>136698.86761028442</v>
      </c>
      <c r="AG321" s="546">
        <f t="shared" si="248"/>
        <v>373</v>
      </c>
      <c r="AH321" s="551">
        <f t="shared" si="240"/>
        <v>28.790120662002781</v>
      </c>
      <c r="AI321" s="553">
        <f>$AH321/PI()*SQRT('Hilfstabellen_Mat&amp;Bem'!f.Rd.3/'Hilfstabellen_Mat&amp;Bem'!$BD$30)</f>
        <v>0.4582090015569853</v>
      </c>
      <c r="AJ321" s="553">
        <f>0.5*(1+'Hilfstabellen_Mat&amp;Bem'!$BD$31*($AI321-0.3)+$AI321^2)</f>
        <v>0.61288819463177402</v>
      </c>
      <c r="AK321" s="550">
        <f t="shared" si="241"/>
        <v>0.98046721488929467</v>
      </c>
      <c r="AM321" s="551">
        <f t="shared" si="293"/>
        <v>136411.42314033268</v>
      </c>
      <c r="AQ321" s="546">
        <f t="shared" si="249"/>
        <v>373</v>
      </c>
      <c r="AR321" s="551">
        <f t="shared" si="242"/>
        <v>29.718834231744811</v>
      </c>
      <c r="AS321" s="553">
        <f>$AR321/PI()*SQRT('Hilfstabellen_Mat&amp;Bem'!f.Rd.3/'Hilfstabellen_Mat&amp;Bem'!$BD$30)</f>
        <v>0.47298993709108167</v>
      </c>
      <c r="AT321" s="553">
        <f>0.5*(1+'Hilfstabellen_Mat&amp;Bem'!$BD$31*($AS321-0.3)+$AS321^2)</f>
        <v>0.62050923714926676</v>
      </c>
      <c r="AU321" s="550">
        <f t="shared" si="243"/>
        <v>0.97833364822270252</v>
      </c>
      <c r="AW321" s="551">
        <f t="shared" si="294"/>
        <v>136114.58214357638</v>
      </c>
      <c r="BA321" s="546">
        <f t="shared" si="250"/>
        <v>373</v>
      </c>
      <c r="BB321" s="551">
        <f t="shared" si="251"/>
        <v>30.647547801486834</v>
      </c>
      <c r="BC321" s="553">
        <f>$BB321/PI()*SQRT('Hilfstabellen_Mat&amp;Bem'!f.Rd.3/'Hilfstabellen_Mat&amp;Bem'!$BD$30)</f>
        <v>0.48777087262517793</v>
      </c>
      <c r="BD321" s="553">
        <f>0.5*(1+'Hilfstabellen_Mat&amp;Bem'!$BD$31*($BC321-0.3)+$BC321^2)</f>
        <v>0.62834875572202264</v>
      </c>
      <c r="BE321" s="550">
        <f t="shared" si="252"/>
        <v>0.97612687313322655</v>
      </c>
      <c r="BG321" s="551">
        <f t="shared" si="253"/>
        <v>135807.55573215269</v>
      </c>
      <c r="BK321" s="546">
        <f t="shared" si="254"/>
        <v>373</v>
      </c>
      <c r="BL321" s="551">
        <f t="shared" si="255"/>
        <v>31.576261371228863</v>
      </c>
      <c r="BM321" s="553">
        <f>$BL321/PI()*SQRT('Hilfstabellen_Mat&amp;Bem'!f.Rd.3/'Hilfstabellen_Mat&amp;Bem'!$BD$30)</f>
        <v>0.50255180815927436</v>
      </c>
      <c r="BN321" s="553">
        <f>0.5*(1+'Hilfstabellen_Mat&amp;Bem'!$BD$31*($BM321-0.3)+$BM321^2)</f>
        <v>0.63640675035004179</v>
      </c>
      <c r="BO321" s="550">
        <f t="shared" si="256"/>
        <v>0.97384077632582899</v>
      </c>
      <c r="BQ321" s="551">
        <f t="shared" si="257"/>
        <v>135489.49336943627</v>
      </c>
      <c r="BU321" s="546">
        <f t="shared" si="258"/>
        <v>373</v>
      </c>
      <c r="BV321" s="551">
        <f t="shared" si="259"/>
        <v>32.504974940970882</v>
      </c>
      <c r="BW321" s="553">
        <f>$BV321/PI()*SQRT('Hilfstabellen_Mat&amp;Bem'!f.Rd.3/'Hilfstabellen_Mat&amp;Bem'!$BD$30)</f>
        <v>0.51733274369337046</v>
      </c>
      <c r="BX321" s="553">
        <f>0.5*(1+'Hilfstabellen_Mat&amp;Bem'!$BD$31*($BW321-0.3)+$BW321^2)</f>
        <v>0.64468322103332376</v>
      </c>
      <c r="BY321" s="550">
        <f t="shared" si="260"/>
        <v>0.97146875821780942</v>
      </c>
      <c r="CA321" s="551">
        <f t="shared" si="261"/>
        <v>135159.4768620856</v>
      </c>
      <c r="CE321" s="546">
        <f t="shared" si="262"/>
        <v>373</v>
      </c>
      <c r="CF321" s="551">
        <f t="shared" si="263"/>
        <v>33.433688510712912</v>
      </c>
      <c r="CG321" s="553">
        <f>CF321/PI()*SQRT('Hilfstabellen_Mat&amp;Bem'!f.Rd.3/'Hilfstabellen_Mat&amp;Bem'!$BD$30)</f>
        <v>0.53211367922746688</v>
      </c>
      <c r="CH321" s="553">
        <f>0.5*(1+'Hilfstabellen_Mat&amp;Bem'!$BD$31*(CG321-0.3)+CG321^2)</f>
        <v>0.6531781677718691</v>
      </c>
      <c r="CI321" s="550">
        <f t="shared" si="264"/>
        <v>0.96900368627969358</v>
      </c>
      <c r="CK321" s="551">
        <f t="shared" si="265"/>
        <v>134816.51386840749</v>
      </c>
      <c r="CO321" s="546">
        <f t="shared" si="266"/>
        <v>373</v>
      </c>
      <c r="CP321" s="551">
        <f t="shared" si="267"/>
        <v>34.362402080454935</v>
      </c>
      <c r="CQ321" s="553">
        <f>CP321/PI()*SQRT('Hilfstabellen_Mat&amp;Bem'!f.Rd.3/'Hilfstabellen_Mat&amp;Bem'!$BD$30)</f>
        <v>0.5468946147615632</v>
      </c>
      <c r="CR321" s="553">
        <f>0.5*(1+'Hilfstabellen_Mat&amp;Bem'!$BD$31*(CQ321-0.3)+CQ321^2)</f>
        <v>0.66189159056567748</v>
      </c>
      <c r="CS321" s="550">
        <f t="shared" si="268"/>
        <v>0.96643784486848572</v>
      </c>
      <c r="CU321" s="551">
        <f t="shared" si="269"/>
        <v>134459.53091870755</v>
      </c>
      <c r="CY321" s="546">
        <f t="shared" si="270"/>
        <v>373</v>
      </c>
      <c r="CZ321" s="551">
        <f t="shared" si="271"/>
        <v>35.291115650196957</v>
      </c>
      <c r="DA321" s="553">
        <f>CZ321/PI()*SQRT('Hilfstabellen_Mat&amp;Bem'!f.Rd.3/'Hilfstabellen_Mat&amp;Bem'!$BD$30)</f>
        <v>0.56167555029565941</v>
      </c>
      <c r="DB321" s="553">
        <f>0.5*(1+'Hilfstabellen_Mat&amp;Bem'!$BD$31*(DA321-0.3)+DA321^2)</f>
        <v>0.6708234894147489</v>
      </c>
      <c r="DC321" s="550">
        <f t="shared" si="272"/>
        <v>0.96376288163909996</v>
      </c>
      <c r="DE321" s="551">
        <f t="shared" si="273"/>
        <v>134087.36595956635</v>
      </c>
      <c r="DI321" s="546">
        <f t="shared" si="274"/>
        <v>373</v>
      </c>
      <c r="DJ321" s="551">
        <f t="shared" si="275"/>
        <v>36.219829219938987</v>
      </c>
      <c r="DK321" s="553">
        <f>DJ321/PI()*SQRT('Hilfstabellen_Mat&amp;Bem'!f.Rd.3/'Hilfstabellen_Mat&amp;Bem'!$BD$30)</f>
        <v>0.57645648582975573</v>
      </c>
      <c r="DL321" s="553">
        <f>0.5*(1+'Hilfstabellen_Mat&amp;Bem'!$BD$31*(DK321-0.3)+DK321^2)</f>
        <v>0.67997386431908335</v>
      </c>
      <c r="DM321" s="550">
        <f t="shared" si="276"/>
        <v>0.96096975078631419</v>
      </c>
      <c r="DO321" s="551">
        <f t="shared" si="277"/>
        <v>133698.7604571491</v>
      </c>
      <c r="DS321" s="546">
        <f t="shared" si="278"/>
        <v>373</v>
      </c>
      <c r="DT321" s="551">
        <f t="shared" si="279"/>
        <v>37.148542789681009</v>
      </c>
      <c r="DU321" s="553">
        <f>DT321/PI()*SQRT('Hilfstabellen_Mat&amp;Bem'!f.Rd.3/'Hilfstabellen_Mat&amp;Bem'!$BD$30)</f>
        <v>0.59123742136385204</v>
      </c>
      <c r="DV321" s="553">
        <f>0.5*(1+'Hilfstabellen_Mat&amp;Bem'!$BD$31*(DU321-0.3)+DU321^2)</f>
        <v>0.68934271527868118</v>
      </c>
      <c r="DW321" s="550">
        <f t="shared" si="280"/>
        <v>0.95804865360094438</v>
      </c>
      <c r="DY321" s="551">
        <f t="shared" si="281"/>
        <v>133292.35112684578</v>
      </c>
      <c r="EC321" s="546">
        <f t="shared" si="282"/>
        <v>373</v>
      </c>
      <c r="ED321" s="551">
        <f t="shared" si="283"/>
        <v>38.077256359423032</v>
      </c>
      <c r="EE321" s="553">
        <f>ED321/PI()*SQRT('Hilfstabellen_Mat&amp;Bem'!f.Rd.3/'Hilfstabellen_Mat&amp;Bem'!$BD$30)</f>
        <v>0.60601835689794825</v>
      </c>
      <c r="EF321" s="553">
        <f>0.5*(1+'Hilfstabellen_Mat&amp;Bem'!$BD$31*(EE321-0.3)+EE321^2)</f>
        <v>0.69893004229354183</v>
      </c>
      <c r="EG321" s="550">
        <f t="shared" si="284"/>
        <v>0.95498897713893871</v>
      </c>
      <c r="EI321" s="551">
        <f t="shared" si="285"/>
        <v>132866.6614003634</v>
      </c>
      <c r="EM321" s="546">
        <f t="shared" si="286"/>
        <v>373</v>
      </c>
      <c r="EN321" s="551">
        <f t="shared" si="287"/>
        <v>39.005969929165062</v>
      </c>
      <c r="EO321" s="553">
        <f>EN321/PI()*SQRT('Hilfstabellen_Mat&amp;Bem'!f.Rd.3/'Hilfstabellen_Mat&amp;Bem'!$BD$30)</f>
        <v>0.62079929243204468</v>
      </c>
      <c r="EP321" s="553">
        <f>0.5*(1+'Hilfstabellen_Mat&amp;Bem'!$BD$31*(EO321-0.3)+EO321^2)</f>
        <v>0.70873584536366596</v>
      </c>
      <c r="EQ321" s="550">
        <f t="shared" si="288"/>
        <v>0.9517792322232882</v>
      </c>
      <c r="ES321" s="551">
        <f t="shared" si="289"/>
        <v>132420.09279999387</v>
      </c>
    </row>
    <row r="322" spans="3:149">
      <c r="C322" s="546">
        <v>374</v>
      </c>
      <c r="D322" s="551">
        <f t="shared" si="244"/>
        <v>25.934450594614201</v>
      </c>
      <c r="E322" s="553">
        <f>$D322/PI()*SQRT('Hilfstabellen_Mat&amp;Bem'!f.Rd.3/'Hilfstabellen_Mat&amp;Bem'!$BD$30)</f>
        <v>0.41275960085053942</v>
      </c>
      <c r="F322" s="553">
        <f>0.5*(1+'Hilfstabellen_Mat&amp;Bem'!$BD$31*($E322-0.3)+$E322^2)</f>
        <v>0.59082322408967536</v>
      </c>
      <c r="G322" s="550">
        <f t="shared" si="245"/>
        <v>0.98662692591133749</v>
      </c>
      <c r="I322" s="551">
        <f t="shared" si="290"/>
        <v>138005.42788877425</v>
      </c>
      <c r="M322" s="546">
        <f t="shared" si="246"/>
        <v>374</v>
      </c>
      <c r="N322" s="551">
        <f t="shared" si="236"/>
        <v>26.860680972993283</v>
      </c>
      <c r="O322" s="553">
        <f>$N322/PI()*SQRT('Hilfstabellen_Mat&amp;Bem'!f.Rd.3/'Hilfstabellen_Mat&amp;Bem'!$BD$30)</f>
        <v>0.42750101516663019</v>
      </c>
      <c r="P322" s="553">
        <f>0.5*(1+'Hilfstabellen_Mat&amp;Bem'!$BD$31*($O322-0.3)+$O322^2)</f>
        <v>0.59775360974258129</v>
      </c>
      <c r="Q322" s="550">
        <f t="shared" si="237"/>
        <v>0.98468991457182919</v>
      </c>
      <c r="S322" s="551">
        <f t="shared" si="291"/>
        <v>137734.48649064917</v>
      </c>
      <c r="W322" s="546">
        <f t="shared" si="247"/>
        <v>374</v>
      </c>
      <c r="X322" s="551">
        <f t="shared" si="238"/>
        <v>27.78691135137236</v>
      </c>
      <c r="Y322" s="553">
        <f>$X322/PI()*SQRT('Hilfstabellen_Mat&amp;Bem'!f.Rd.3/'Hilfstabellen_Mat&amp;Bem'!$BD$30)</f>
        <v>0.44224242948272086</v>
      </c>
      <c r="Z322" s="553">
        <f>0.5*(1+'Hilfstabellen_Mat&amp;Bem'!$BD$31*($Y322-0.3)+$Y322^2)</f>
        <v>0.6049013046915257</v>
      </c>
      <c r="AA322" s="550">
        <f t="shared" si="239"/>
        <v>0.98269620234609456</v>
      </c>
      <c r="AC322" s="551">
        <f t="shared" si="292"/>
        <v>137455.61399936234</v>
      </c>
      <c r="AG322" s="546">
        <f t="shared" si="248"/>
        <v>374</v>
      </c>
      <c r="AH322" s="551">
        <f t="shared" si="240"/>
        <v>28.713141729751442</v>
      </c>
      <c r="AI322" s="553">
        <f>$AH322/PI()*SQRT('Hilfstabellen_Mat&amp;Bem'!f.Rd.3/'Hilfstabellen_Mat&amp;Bem'!$BD$30)</f>
        <v>0.45698384379881163</v>
      </c>
      <c r="AJ322" s="553">
        <f>0.5*(1+'Hilfstabellen_Mat&amp;Bem'!$BD$31*($AI322-0.3)+$AI322^2)</f>
        <v>0.61226630893650902</v>
      </c>
      <c r="AK322" s="550">
        <f t="shared" si="241"/>
        <v>0.9806409554657286</v>
      </c>
      <c r="AM322" s="551">
        <f t="shared" si="293"/>
        <v>137168.13428672426</v>
      </c>
      <c r="AQ322" s="546">
        <f t="shared" si="249"/>
        <v>374</v>
      </c>
      <c r="AR322" s="551">
        <f t="shared" si="242"/>
        <v>29.639372108130519</v>
      </c>
      <c r="AS322" s="553">
        <f>$AR322/PI()*SQRT('Hilfstabellen_Mat&amp;Bem'!f.Rd.3/'Hilfstabellen_Mat&amp;Bem'!$BD$30)</f>
        <v>0.47172525811490229</v>
      </c>
      <c r="AT322" s="553">
        <f>0.5*(1+'Hilfstabellen_Mat&amp;Bem'!$BD$31*($AS322-0.3)+$AS322^2)</f>
        <v>0.61984862247753081</v>
      </c>
      <c r="AU322" s="550">
        <f t="shared" si="243"/>
        <v>0.97851898017005734</v>
      </c>
      <c r="AW322" s="551">
        <f t="shared" si="294"/>
        <v>136871.32087026694</v>
      </c>
      <c r="BA322" s="546">
        <f t="shared" si="250"/>
        <v>374</v>
      </c>
      <c r="BB322" s="551">
        <f t="shared" si="251"/>
        <v>30.565602486509601</v>
      </c>
      <c r="BC322" s="553">
        <f>$BB322/PI()*SQRT('Hilfstabellen_Mat&amp;Bem'!f.Rd.3/'Hilfstabellen_Mat&amp;Bem'!$BD$30)</f>
        <v>0.48646667243099301</v>
      </c>
      <c r="BD322" s="553">
        <f>0.5*(1+'Hilfstabellen_Mat&amp;Bem'!$BD$31*($BC322-0.3)+$BC322^2)</f>
        <v>0.62764824531459118</v>
      </c>
      <c r="BE322" s="550">
        <f t="shared" si="252"/>
        <v>0.97632468682941875</v>
      </c>
      <c r="BG322" s="551">
        <f t="shared" si="253"/>
        <v>136564.39189495178</v>
      </c>
      <c r="BK322" s="546">
        <f t="shared" si="254"/>
        <v>374</v>
      </c>
      <c r="BL322" s="551">
        <f t="shared" si="255"/>
        <v>31.491832864888679</v>
      </c>
      <c r="BM322" s="553">
        <f>$BL322/PI()*SQRT('Hilfstabellen_Mat&amp;Bem'!f.Rd.3/'Hilfstabellen_Mat&amp;Bem'!$BD$30)</f>
        <v>0.50120808674708373</v>
      </c>
      <c r="BN322" s="553">
        <f>0.5*(1+'Hilfstabellen_Mat&amp;Bem'!$BD$31*($BM322-0.3)+$BM322^2)</f>
        <v>0.63566517744769035</v>
      </c>
      <c r="BO322" s="550">
        <f t="shared" si="256"/>
        <v>0.97405205093094493</v>
      </c>
      <c r="BQ322" s="551">
        <f t="shared" si="257"/>
        <v>136246.50467601686</v>
      </c>
      <c r="BU322" s="546">
        <f t="shared" si="258"/>
        <v>374</v>
      </c>
      <c r="BV322" s="551">
        <f t="shared" si="259"/>
        <v>32.418063243267753</v>
      </c>
      <c r="BW322" s="553">
        <f>$BV322/PI()*SQRT('Hilfstabellen_Mat&amp;Bem'!f.Rd.3/'Hilfstabellen_Mat&amp;Bem'!$BD$30)</f>
        <v>0.51594950106317439</v>
      </c>
      <c r="BX322" s="553">
        <f>0.5*(1+'Hilfstabellen_Mat&amp;Bem'!$BD$31*($BW322-0.3)+$BW322^2)</f>
        <v>0.64389941887682811</v>
      </c>
      <c r="BY322" s="550">
        <f t="shared" si="260"/>
        <v>0.97169457076413723</v>
      </c>
      <c r="CA322" s="551">
        <f t="shared" si="261"/>
        <v>135916.74978020447</v>
      </c>
      <c r="CE322" s="546">
        <f t="shared" si="262"/>
        <v>374</v>
      </c>
      <c r="CF322" s="551">
        <f t="shared" si="263"/>
        <v>33.344293621646834</v>
      </c>
      <c r="CG322" s="553">
        <f>CF322/PI()*SQRT('Hilfstabellen_Mat&amp;Bem'!f.Rd.3/'Hilfstabellen_Mat&amp;Bem'!$BD$30)</f>
        <v>0.53069091537926505</v>
      </c>
      <c r="CH322" s="553">
        <f>0.5*(1+'Hilfstabellen_Mat&amp;Bem'!$BD$31*(CG322-0.3)+CG322^2)</f>
        <v>0.65235096960200445</v>
      </c>
      <c r="CI322" s="550">
        <f t="shared" si="264"/>
        <v>0.96924522169216065</v>
      </c>
      <c r="CK322" s="551">
        <f t="shared" si="265"/>
        <v>135574.14462941265</v>
      </c>
      <c r="CO322" s="546">
        <f t="shared" si="266"/>
        <v>374</v>
      </c>
      <c r="CP322" s="551">
        <f t="shared" si="267"/>
        <v>34.270524000025908</v>
      </c>
      <c r="CQ322" s="553">
        <f>CP322/PI()*SQRT('Hilfstabellen_Mat&amp;Bem'!f.Rd.3/'Hilfstabellen_Mat&amp;Bem'!$BD$30)</f>
        <v>0.54543232969535571</v>
      </c>
      <c r="CR322" s="553">
        <f>0.5*(1+'Hilfstabellen_Mat&amp;Bem'!$BD$31*(CQ322-0.3)+CQ322^2)</f>
        <v>0.66101982962321948</v>
      </c>
      <c r="CS322" s="550">
        <f t="shared" si="268"/>
        <v>0.96669640696991488</v>
      </c>
      <c r="CU322" s="551">
        <f t="shared" si="269"/>
        <v>135217.62662132381</v>
      </c>
      <c r="CY322" s="546">
        <f t="shared" si="270"/>
        <v>374</v>
      </c>
      <c r="CZ322" s="551">
        <f t="shared" si="271"/>
        <v>35.196754378404989</v>
      </c>
      <c r="DA322" s="553">
        <f>CZ322/PI()*SQRT('Hilfstabellen_Mat&amp;Bem'!f.Rd.3/'Hilfstabellen_Mat&amp;Bem'!$BD$30)</f>
        <v>0.56017374401144637</v>
      </c>
      <c r="DB322" s="553">
        <f>0.5*(1+'Hilfstabellen_Mat&amp;Bem'!$BD$31*(DA322-0.3)+DA322^2)</f>
        <v>0.66990599894047309</v>
      </c>
      <c r="DC322" s="550">
        <f t="shared" si="272"/>
        <v>0.96403990518060512</v>
      </c>
      <c r="DE322" s="551">
        <f t="shared" si="273"/>
        <v>134846.04577704231</v>
      </c>
      <c r="DI322" s="546">
        <f t="shared" si="274"/>
        <v>374</v>
      </c>
      <c r="DJ322" s="551">
        <f t="shared" si="275"/>
        <v>36.122984756784071</v>
      </c>
      <c r="DK322" s="553">
        <f>DJ322/PI()*SQRT('Hilfstabellen_Mat&amp;Bem'!f.Rd.3/'Hilfstabellen_Mat&amp;Bem'!$BD$30)</f>
        <v>0.57491515832753715</v>
      </c>
      <c r="DL322" s="553">
        <f>0.5*(1+'Hilfstabellen_Mat&amp;Bem'!$BD$31*(DK322-0.3)+DK322^2)</f>
        <v>0.67900947755376539</v>
      </c>
      <c r="DM322" s="550">
        <f t="shared" si="276"/>
        <v>0.96126681452038809</v>
      </c>
      <c r="DO322" s="551">
        <f t="shared" si="277"/>
        <v>134458.1569478538</v>
      </c>
      <c r="DS322" s="546">
        <f t="shared" si="278"/>
        <v>374</v>
      </c>
      <c r="DT322" s="551">
        <f t="shared" si="279"/>
        <v>37.049215135163152</v>
      </c>
      <c r="DU322" s="553">
        <f>DT322/PI()*SQRT('Hilfstabellen_Mat&amp;Bem'!f.Rd.3/'Hilfstabellen_Mat&amp;Bem'!$BD$30)</f>
        <v>0.58965657264362792</v>
      </c>
      <c r="DV322" s="553">
        <f>0.5*(1+'Hilfstabellen_Mat&amp;Bem'!$BD$31*(DU322-0.3)+DU322^2)</f>
        <v>0.6883302654630965</v>
      </c>
      <c r="DW322" s="550">
        <f t="shared" si="280"/>
        <v>0.95836749438023972</v>
      </c>
      <c r="DY322" s="551">
        <f t="shared" si="281"/>
        <v>134052.6116439304</v>
      </c>
      <c r="EC322" s="546">
        <f t="shared" si="282"/>
        <v>374</v>
      </c>
      <c r="ED322" s="551">
        <f t="shared" si="283"/>
        <v>37.975445513542226</v>
      </c>
      <c r="EE322" s="553">
        <f>ED322/PI()*SQRT('Hilfstabellen_Mat&amp;Bem'!f.Rd.3/'Hilfstabellen_Mat&amp;Bem'!$BD$30)</f>
        <v>0.60439798695971858</v>
      </c>
      <c r="EF322" s="553">
        <f>0.5*(1+'Hilfstabellen_Mat&amp;Bem'!$BD$31*(EE322-0.3)+EE322^2)</f>
        <v>0.69786836266846608</v>
      </c>
      <c r="EG322" s="550">
        <f t="shared" si="284"/>
        <v>0.95533150497344854</v>
      </c>
      <c r="EI322" s="551">
        <f t="shared" si="285"/>
        <v>133627.9495896661</v>
      </c>
      <c r="EM322" s="546">
        <f t="shared" si="286"/>
        <v>374</v>
      </c>
      <c r="EN322" s="551">
        <f t="shared" si="287"/>
        <v>38.901675891921307</v>
      </c>
      <c r="EO322" s="553">
        <f>EN322/PI()*SQRT('Hilfstabellen_Mat&amp;Bem'!f.Rd.3/'Hilfstabellen_Mat&amp;Bem'!$BD$30)</f>
        <v>0.61913940127580935</v>
      </c>
      <c r="EP322" s="553">
        <f>0.5*(1+'Hilfstabellen_Mat&amp;Bem'!$BD$31*(EO322-0.3)+EO322^2)</f>
        <v>0.70762376916987435</v>
      </c>
      <c r="EQ322" s="550">
        <f t="shared" si="288"/>
        <v>0.9521475461576957</v>
      </c>
      <c r="ES322" s="551">
        <f t="shared" si="289"/>
        <v>133182.59016635385</v>
      </c>
    </row>
    <row r="323" spans="3:149">
      <c r="C323" s="546">
        <v>375</v>
      </c>
      <c r="D323" s="551">
        <f t="shared" si="244"/>
        <v>25.865292059695232</v>
      </c>
      <c r="E323" s="553">
        <f>$D323/PI()*SQRT('Hilfstabellen_Mat&amp;Bem'!f.Rd.3/'Hilfstabellen_Mat&amp;Bem'!$BD$30)</f>
        <v>0.4116589085816047</v>
      </c>
      <c r="F323" s="553">
        <f>0.5*(1+'Hilfstabellen_Mat&amp;Bem'!$BD$31*($E323-0.3)+$E323^2)</f>
        <v>0.59031447393637926</v>
      </c>
      <c r="G323" s="550">
        <f t="shared" si="245"/>
        <v>0.98676940822047421</v>
      </c>
      <c r="I323" s="551">
        <f t="shared" si="290"/>
        <v>138764.4480310042</v>
      </c>
      <c r="M323" s="546">
        <f t="shared" si="246"/>
        <v>375</v>
      </c>
      <c r="N323" s="551">
        <f t="shared" si="236"/>
        <v>26.789052490398635</v>
      </c>
      <c r="O323" s="553">
        <f>$N323/PI()*SQRT('Hilfstabellen_Mat&amp;Bem'!f.Rd.3/'Hilfstabellen_Mat&amp;Bem'!$BD$30)</f>
        <v>0.42636101245951918</v>
      </c>
      <c r="P323" s="553">
        <f>0.5*(1+'Hilfstabellen_Mat&amp;Bem'!$BD$31*($O323-0.3)+$O323^2)</f>
        <v>0.59720990709572908</v>
      </c>
      <c r="Q323" s="550">
        <f t="shared" si="237"/>
        <v>0.98484167332880401</v>
      </c>
      <c r="S323" s="551">
        <f t="shared" si="291"/>
        <v>138493.36031186307</v>
      </c>
      <c r="W323" s="546">
        <f t="shared" si="247"/>
        <v>375</v>
      </c>
      <c r="X323" s="551">
        <f t="shared" si="238"/>
        <v>27.712812921102035</v>
      </c>
      <c r="Y323" s="553">
        <f>$X323/PI()*SQRT('Hilfstabellen_Mat&amp;Bem'!f.Rd.3/'Hilfstabellen_Mat&amp;Bem'!$BD$30)</f>
        <v>0.44106311633743367</v>
      </c>
      <c r="Z323" s="553">
        <f>0.5*(1+'Hilfstabellen_Mat&amp;Bem'!$BD$31*($Y323-0.3)+$Y323^2)</f>
        <v>0.60432149211351605</v>
      </c>
      <c r="AA323" s="550">
        <f t="shared" si="239"/>
        <v>0.9828578975632668</v>
      </c>
      <c r="AC323" s="551">
        <f t="shared" si="292"/>
        <v>138214.3918448344</v>
      </c>
      <c r="AG323" s="546">
        <f t="shared" si="248"/>
        <v>375</v>
      </c>
      <c r="AH323" s="551">
        <f t="shared" si="240"/>
        <v>28.636573351805438</v>
      </c>
      <c r="AI323" s="553">
        <f>$AH323/PI()*SQRT('Hilfstabellen_Mat&amp;Bem'!f.Rd.3/'Hilfstabellen_Mat&amp;Bem'!$BD$30)</f>
        <v>0.45576522021534815</v>
      </c>
      <c r="AJ323" s="553">
        <f>0.5*(1+'Hilfstabellen_Mat&amp;Bem'!$BD$31*($AI323-0.3)+$AI323^2)</f>
        <v>0.61164922898973983</v>
      </c>
      <c r="AK323" s="550">
        <f t="shared" si="241"/>
        <v>0.98081331241485936</v>
      </c>
      <c r="AM323" s="551">
        <f t="shared" si="293"/>
        <v>137926.87205833959</v>
      </c>
      <c r="AQ323" s="546">
        <f t="shared" si="249"/>
        <v>375</v>
      </c>
      <c r="AR323" s="551">
        <f t="shared" si="242"/>
        <v>29.560333782508838</v>
      </c>
      <c r="AS323" s="553">
        <f>$AR323/PI()*SQRT('Hilfstabellen_Mat&amp;Bem'!f.Rd.3/'Hilfstabellen_Mat&amp;Bem'!$BD$30)</f>
        <v>0.47046732409326258</v>
      </c>
      <c r="AT323" s="553">
        <f>0.5*(1+'Hilfstabellen_Mat&amp;Bem'!$BD$31*($AS323-0.3)+$AS323^2)</f>
        <v>0.61919311772440055</v>
      </c>
      <c r="AU323" s="550">
        <f t="shared" si="243"/>
        <v>0.97870279592056353</v>
      </c>
      <c r="AW323" s="551">
        <f t="shared" si="294"/>
        <v>137630.08067632923</v>
      </c>
      <c r="BA323" s="546">
        <f t="shared" si="250"/>
        <v>375</v>
      </c>
      <c r="BB323" s="551">
        <f t="shared" si="251"/>
        <v>30.484094213212241</v>
      </c>
      <c r="BC323" s="553">
        <f>$BB323/PI()*SQRT('Hilfstabellen_Mat&amp;Bem'!f.Rd.3/'Hilfstabellen_Mat&amp;Bem'!$BD$30)</f>
        <v>0.48516942797117707</v>
      </c>
      <c r="BD323" s="553">
        <f>0.5*(1+'Hilfstabellen_Mat&amp;Bem'!$BD$31*($BC323-0.3)+$BC323^2)</f>
        <v>0.62695315831749843</v>
      </c>
      <c r="BE323" s="550">
        <f t="shared" si="252"/>
        <v>0.97652083750640783</v>
      </c>
      <c r="BG323" s="551">
        <f t="shared" si="253"/>
        <v>137323.24277433861</v>
      </c>
      <c r="BK323" s="546">
        <f t="shared" si="254"/>
        <v>375</v>
      </c>
      <c r="BL323" s="551">
        <f t="shared" si="255"/>
        <v>31.407854643915638</v>
      </c>
      <c r="BM323" s="553">
        <f>$BL323/PI()*SQRT('Hilfstabellen_Mat&amp;Bem'!f.Rd.3/'Hilfstabellen_Mat&amp;Bem'!$BD$30)</f>
        <v>0.49987153184909144</v>
      </c>
      <c r="BN323" s="553">
        <f>0.5*(1+'Hilfstabellen_Mat&amp;Bem'!$BD$31*($BM323-0.3)+$BM323^2)</f>
        <v>0.63492935076903323</v>
      </c>
      <c r="BO323" s="550">
        <f t="shared" si="256"/>
        <v>0.97426149975759713</v>
      </c>
      <c r="BQ323" s="551">
        <f t="shared" si="257"/>
        <v>137005.52340341211</v>
      </c>
      <c r="BU323" s="546">
        <f t="shared" si="258"/>
        <v>375</v>
      </c>
      <c r="BV323" s="551">
        <f t="shared" si="259"/>
        <v>32.331615074619044</v>
      </c>
      <c r="BW323" s="553">
        <f>$BV323/PI()*SQRT('Hilfstabellen_Mat&amp;Bem'!f.Rd.3/'Hilfstabellen_Mat&amp;Bem'!$BD$30)</f>
        <v>0.51457363572700598</v>
      </c>
      <c r="BX323" s="553">
        <f>0.5*(1+'Hilfstabellen_Mat&amp;Bem'!$BD$31*($BW323-0.3)+$BW323^2)</f>
        <v>0.64312169507900507</v>
      </c>
      <c r="BY323" s="550">
        <f t="shared" si="260"/>
        <v>0.97191837695293481</v>
      </c>
      <c r="CA323" s="551">
        <f t="shared" si="261"/>
        <v>136676.02175900646</v>
      </c>
      <c r="CE323" s="546">
        <f t="shared" si="262"/>
        <v>375</v>
      </c>
      <c r="CF323" s="551">
        <f t="shared" si="263"/>
        <v>33.255375505322441</v>
      </c>
      <c r="CG323" s="553">
        <f>CF323/PI()*SQRT('Hilfstabellen_Mat&amp;Bem'!f.Rd.3/'Hilfstabellen_Mat&amp;Bem'!$BD$30)</f>
        <v>0.52927573960492036</v>
      </c>
      <c r="CH323" s="553">
        <f>0.5*(1+'Hilfstabellen_Mat&amp;Bem'!$BD$31*(CG323-0.3)+CG323^2)</f>
        <v>0.65153019124741374</v>
      </c>
      <c r="CI323" s="550">
        <f t="shared" si="264"/>
        <v>0.96948455024648839</v>
      </c>
      <c r="CK323" s="551">
        <f t="shared" si="265"/>
        <v>136333.76487841242</v>
      </c>
      <c r="CO323" s="546">
        <f t="shared" si="266"/>
        <v>375</v>
      </c>
      <c r="CP323" s="551">
        <f t="shared" si="267"/>
        <v>34.179135936025844</v>
      </c>
      <c r="CQ323" s="553">
        <f>CP323/PI()*SQRT('Hilfstabellen_Mat&amp;Bem'!f.Rd.3/'Hilfstabellen_Mat&amp;Bem'!$BD$30)</f>
        <v>0.54397784348283484</v>
      </c>
      <c r="CR323" s="553">
        <f>0.5*(1+'Hilfstabellen_Mat&amp;Bem'!$BD$31*(CQ323-0.3)+CQ323^2)</f>
        <v>0.66015483927425955</v>
      </c>
      <c r="CS323" s="550">
        <f t="shared" si="268"/>
        <v>0.96695253945035431</v>
      </c>
      <c r="CU323" s="551">
        <f t="shared" si="269"/>
        <v>135977.70086020607</v>
      </c>
      <c r="CY323" s="546">
        <f t="shared" si="270"/>
        <v>375</v>
      </c>
      <c r="CZ323" s="551">
        <f t="shared" si="271"/>
        <v>35.10289636672924</v>
      </c>
      <c r="DA323" s="553">
        <f>CZ323/PI()*SQRT('Hilfstabellen_Mat&amp;Bem'!f.Rd.3/'Hilfstabellen_Mat&amp;Bem'!$BD$30)</f>
        <v>0.55867994736074922</v>
      </c>
      <c r="DB323" s="553">
        <f>0.5*(1+'Hilfstabellen_Mat&amp;Bem'!$BD$31*(DA323-0.3)+DA323^2)</f>
        <v>0.66899563915954219</v>
      </c>
      <c r="DC323" s="550">
        <f t="shared" si="272"/>
        <v>0.96431425147712424</v>
      </c>
      <c r="DE323" s="551">
        <f t="shared" si="273"/>
        <v>135606.69161397059</v>
      </c>
      <c r="DI323" s="546">
        <f t="shared" si="274"/>
        <v>375</v>
      </c>
      <c r="DJ323" s="551">
        <f t="shared" si="275"/>
        <v>36.026656797432643</v>
      </c>
      <c r="DK323" s="553">
        <f>DJ323/PI()*SQRT('Hilfstabellen_Mat&amp;Bem'!f.Rd.3/'Hilfstabellen_Mat&amp;Bem'!$BD$30)</f>
        <v>0.5733820512386637</v>
      </c>
      <c r="DL323" s="553">
        <f>0.5*(1+'Hilfstabellen_Mat&amp;Bem'!$BD$31*(DK323-0.3)+DK323^2)</f>
        <v>0.67805259090326198</v>
      </c>
      <c r="DM323" s="550">
        <f t="shared" si="276"/>
        <v>0.96156092565026341</v>
      </c>
      <c r="DO323" s="551">
        <f t="shared" si="277"/>
        <v>135219.50516956829</v>
      </c>
      <c r="DS323" s="546">
        <f t="shared" si="278"/>
        <v>375</v>
      </c>
      <c r="DT323" s="551">
        <f t="shared" si="279"/>
        <v>36.950417228136047</v>
      </c>
      <c r="DU323" s="553">
        <f>DT323/PI()*SQRT('Hilfstabellen_Mat&amp;Bem'!f.Rd.3/'Hilfstabellen_Mat&amp;Bem'!$BD$30)</f>
        <v>0.58808415511657819</v>
      </c>
      <c r="DV323" s="553">
        <f>0.5*(1+'Hilfstabellen_Mat&amp;Bem'!$BD$31*(DU323-0.3)+DU323^2)</f>
        <v>0.68732569450541869</v>
      </c>
      <c r="DW323" s="550">
        <f t="shared" si="280"/>
        <v>0.95868307629901528</v>
      </c>
      <c r="DY323" s="551">
        <f t="shared" si="281"/>
        <v>134814.80760454902</v>
      </c>
      <c r="EC323" s="546">
        <f t="shared" si="282"/>
        <v>375</v>
      </c>
      <c r="ED323" s="551">
        <f t="shared" si="283"/>
        <v>37.87417765883945</v>
      </c>
      <c r="EE323" s="553">
        <f>ED323/PI()*SQRT('Hilfstabellen_Mat&amp;Bem'!f.Rd.3/'Hilfstabellen_Mat&amp;Bem'!$BD$30)</f>
        <v>0.60278625899449267</v>
      </c>
      <c r="EF323" s="553">
        <f>0.5*(1+'Hilfstabellen_Mat&amp;Bem'!$BD$31*(EE323-0.3)+EE323^2)</f>
        <v>0.69681494996601234</v>
      </c>
      <c r="EG323" s="550">
        <f t="shared" si="284"/>
        <v>0.95567043333875457</v>
      </c>
      <c r="EI323" s="551">
        <f t="shared" si="285"/>
        <v>134391.15468826235</v>
      </c>
      <c r="EM323" s="546">
        <f t="shared" si="286"/>
        <v>375</v>
      </c>
      <c r="EN323" s="551">
        <f t="shared" si="287"/>
        <v>38.797938089542846</v>
      </c>
      <c r="EO323" s="553">
        <f>EN323/PI()*SQRT('Hilfstabellen_Mat&amp;Bem'!f.Rd.3/'Hilfstabellen_Mat&amp;Bem'!$BD$30)</f>
        <v>0.61748836287240705</v>
      </c>
      <c r="EP323" s="553">
        <f>0.5*(1+'Hilfstabellen_Mat&amp;Bem'!$BD$31*(EO323-0.3)+EO323^2)</f>
        <v>0.70652035728504303</v>
      </c>
      <c r="EQ323" s="550">
        <f t="shared" si="288"/>
        <v>0.95251188191865255</v>
      </c>
      <c r="ES323" s="551">
        <f t="shared" si="289"/>
        <v>133946.98339481052</v>
      </c>
    </row>
    <row r="324" spans="3:149">
      <c r="C324" s="546">
        <v>376</v>
      </c>
      <c r="D324" s="551">
        <f t="shared" si="244"/>
        <v>25.796501389323701</v>
      </c>
      <c r="E324" s="553">
        <f>$D324/PI()*SQRT('Hilfstabellen_Mat&amp;Bem'!f.Rd.3/'Hilfstabellen_Mat&amp;Bem'!$BD$30)</f>
        <v>0.41056407105878129</v>
      </c>
      <c r="F324" s="553">
        <f>0.5*(1+'Hilfstabellen_Mat&amp;Bem'!$BD$31*($E324-0.3)+$E324^2)</f>
        <v>0.58980963177511903</v>
      </c>
      <c r="G324" s="550">
        <f t="shared" si="245"/>
        <v>0.98691084589923661</v>
      </c>
      <c r="I324" s="551">
        <f t="shared" si="290"/>
        <v>139525.50774985048</v>
      </c>
      <c r="M324" s="546">
        <f t="shared" si="246"/>
        <v>376</v>
      </c>
      <c r="N324" s="551">
        <f t="shared" si="236"/>
        <v>26.717805010370977</v>
      </c>
      <c r="O324" s="553">
        <f>$N324/PI()*SQRT('Hilfstabellen_Mat&amp;Bem'!f.Rd.3/'Hilfstabellen_Mat&amp;Bem'!$BD$30)</f>
        <v>0.4252270735965949</v>
      </c>
      <c r="P324" s="553">
        <f>0.5*(1+'Hilfstabellen_Mat&amp;Bem'!$BD$31*($O324-0.3)+$O324^2)</f>
        <v>0.59667038573959164</v>
      </c>
      <c r="Q324" s="550">
        <f t="shared" si="237"/>
        <v>0.98499229075273154</v>
      </c>
      <c r="S324" s="551">
        <f t="shared" si="291"/>
        <v>139254.27009745818</v>
      </c>
      <c r="W324" s="546">
        <f t="shared" si="247"/>
        <v>376</v>
      </c>
      <c r="X324" s="551">
        <f t="shared" si="238"/>
        <v>27.639108631418253</v>
      </c>
      <c r="Y324" s="553">
        <f>$X324/PI()*SQRT('Hilfstabellen_Mat&amp;Bem'!f.Rd.3/'Hilfstabellen_Mat&amp;Bem'!$BD$30)</f>
        <v>0.43989007613440861</v>
      </c>
      <c r="Z324" s="553">
        <f>0.5*(1+'Hilfstabellen_Mat&amp;Bem'!$BD$31*($Y324-0.3)+$Y324^2)</f>
        <v>0.60374614334748833</v>
      </c>
      <c r="AA324" s="550">
        <f t="shared" si="239"/>
        <v>0.98301834473386063</v>
      </c>
      <c r="AC324" s="551">
        <f t="shared" si="292"/>
        <v>138975.20150509427</v>
      </c>
      <c r="AG324" s="546">
        <f t="shared" si="248"/>
        <v>376</v>
      </c>
      <c r="AH324" s="551">
        <f t="shared" si="240"/>
        <v>28.560412252465529</v>
      </c>
      <c r="AI324" s="553">
        <f>$AH324/PI()*SQRT('Hilfstabellen_Mat&amp;Bem'!f.Rd.3/'Hilfstabellen_Mat&amp;Bem'!$BD$30)</f>
        <v>0.45455307867222222</v>
      </c>
      <c r="AJ324" s="553">
        <f>0.5*(1+'Hilfstabellen_Mat&amp;Bem'!$BD$31*($AI324-0.3)+$AI324^2)</f>
        <v>0.61103690459880877</v>
      </c>
      <c r="AK324" s="550">
        <f t="shared" si="241"/>
        <v>0.98098430342030796</v>
      </c>
      <c r="AM324" s="551">
        <f t="shared" si="293"/>
        <v>138687.63688034946</v>
      </c>
      <c r="AQ324" s="546">
        <f t="shared" si="249"/>
        <v>376</v>
      </c>
      <c r="AR324" s="551">
        <f t="shared" si="242"/>
        <v>29.481715873512801</v>
      </c>
      <c r="AS324" s="553">
        <f>$AR324/PI()*SQRT('Hilfstabellen_Mat&amp;Bem'!f.Rd.3/'Hilfstabellen_Mat&amp;Bem'!$BD$30)</f>
        <v>0.46921608121003572</v>
      </c>
      <c r="AT324" s="553">
        <f>0.5*(1+'Hilfstabellen_Mat&amp;Bem'!$BD$31*($AS324-0.3)+$AS324^2)</f>
        <v>0.61854266949355319</v>
      </c>
      <c r="AU324" s="550">
        <f t="shared" si="243"/>
        <v>0.97888511533330713</v>
      </c>
      <c r="AW324" s="551">
        <f t="shared" si="294"/>
        <v>138390.86206536164</v>
      </c>
      <c r="BA324" s="546">
        <f t="shared" si="250"/>
        <v>376</v>
      </c>
      <c r="BB324" s="551">
        <f t="shared" si="251"/>
        <v>30.403019494560077</v>
      </c>
      <c r="BC324" s="553">
        <f>$BB324/PI()*SQRT('Hilfstabellen_Mat&amp;Bem'!f.Rd.3/'Hilfstabellen_Mat&amp;Bem'!$BD$30)</f>
        <v>0.48387908374784944</v>
      </c>
      <c r="BD324" s="553">
        <f>0.5*(1+'Hilfstabellen_Mat&amp;Bem'!$BD$31*($BC324-0.3)+$BC324^2)</f>
        <v>0.62626343803172158</v>
      </c>
      <c r="BE324" s="550">
        <f t="shared" si="252"/>
        <v>0.97671534748394762</v>
      </c>
      <c r="BG324" s="551">
        <f t="shared" si="253"/>
        <v>138084.10896589057</v>
      </c>
      <c r="BK324" s="546">
        <f t="shared" si="254"/>
        <v>376</v>
      </c>
      <c r="BL324" s="551">
        <f t="shared" si="255"/>
        <v>31.324323115607353</v>
      </c>
      <c r="BM324" s="553">
        <f>$BL324/PI()*SQRT('Hilfstabellen_Mat&amp;Bem'!f.Rd.3/'Hilfstabellen_Mat&amp;Bem'!$BD$30)</f>
        <v>0.49854208628566304</v>
      </c>
      <c r="BN324" s="553">
        <f>0.5*(1+'Hilfstabellen_Mat&amp;Bem'!$BD$31*($BM324-0.3)+$BM324^2)</f>
        <v>0.63419921021331382</v>
      </c>
      <c r="BO324" s="550">
        <f t="shared" si="256"/>
        <v>0.97446914790984529</v>
      </c>
      <c r="BQ324" s="551">
        <f t="shared" si="257"/>
        <v>137766.55025490228</v>
      </c>
      <c r="BU324" s="546">
        <f t="shared" si="258"/>
        <v>376</v>
      </c>
      <c r="BV324" s="551">
        <f t="shared" si="259"/>
        <v>32.245626736654629</v>
      </c>
      <c r="BW324" s="553">
        <f>$BV324/PI()*SQRT('Hilfstabellen_Mat&amp;Bem'!f.Rd.3/'Hilfstabellen_Mat&amp;Bem'!$BD$30)</f>
        <v>0.5132050888234766</v>
      </c>
      <c r="BX324" s="553">
        <f>0.5*(1+'Hilfstabellen_Mat&amp;Bem'!$BD$31*($BW324-0.3)+$BW324^2)</f>
        <v>0.64234998603833005</v>
      </c>
      <c r="BY324" s="550">
        <f t="shared" si="260"/>
        <v>0.97214020503951493</v>
      </c>
      <c r="CA324" s="551">
        <f t="shared" si="261"/>
        <v>137437.29362766645</v>
      </c>
      <c r="CE324" s="546">
        <f t="shared" si="262"/>
        <v>376</v>
      </c>
      <c r="CF324" s="551">
        <f t="shared" si="263"/>
        <v>33.166930357701908</v>
      </c>
      <c r="CG324" s="553">
        <f>CF324/PI()*SQRT('Hilfstabellen_Mat&amp;Bem'!f.Rd.3/'Hilfstabellen_Mat&amp;Bem'!$BD$30)</f>
        <v>0.52786809136129031</v>
      </c>
      <c r="CH324" s="553">
        <f>0.5*(1+'Hilfstabellen_Mat&amp;Bem'!$BD$31*(CG324-0.3)+CG324^2)</f>
        <v>0.65071576550677024</v>
      </c>
      <c r="CI324" s="550">
        <f t="shared" si="264"/>
        <v>0.96972170376477562</v>
      </c>
      <c r="CK324" s="551">
        <f t="shared" si="265"/>
        <v>137095.37559144892</v>
      </c>
      <c r="CO324" s="546">
        <f t="shared" si="266"/>
        <v>376</v>
      </c>
      <c r="CP324" s="551">
        <f t="shared" si="267"/>
        <v>34.08823397874918</v>
      </c>
      <c r="CQ324" s="553">
        <f>CP324/PI()*SQRT('Hilfstabellen_Mat&amp;Bem'!f.Rd.3/'Hilfstabellen_Mat&amp;Bem'!$BD$30)</f>
        <v>0.54253109389910392</v>
      </c>
      <c r="CR324" s="553">
        <f>0.5*(1+'Hilfstabellen_Mat&amp;Bem'!$BD$31*(CQ324-0.3)+CQ324^2)</f>
        <v>0.65929654861863429</v>
      </c>
      <c r="CS324" s="550">
        <f t="shared" si="268"/>
        <v>0.96720627816843741</v>
      </c>
      <c r="CU324" s="551">
        <f t="shared" si="269"/>
        <v>136739.75478234101</v>
      </c>
      <c r="CY324" s="546">
        <f t="shared" si="270"/>
        <v>376</v>
      </c>
      <c r="CZ324" s="551">
        <f t="shared" si="271"/>
        <v>35.009537599796452</v>
      </c>
      <c r="DA324" s="553">
        <f>CZ324/PI()*SQRT('Hilfstabellen_Mat&amp;Bem'!f.Rd.3/'Hilfstabellen_Mat&amp;Bem'!$BD$30)</f>
        <v>0.55719409643691742</v>
      </c>
      <c r="DB324" s="553">
        <f>0.5*(1+'Hilfstabellen_Mat&amp;Bem'!$BD$31*(DA324-0.3)+DA324^2)</f>
        <v>0.66809233537392232</v>
      </c>
      <c r="DC324" s="550">
        <f t="shared" si="272"/>
        <v>0.96458596095363636</v>
      </c>
      <c r="DE324" s="551">
        <f t="shared" si="273"/>
        <v>136369.3048157813</v>
      </c>
      <c r="DI324" s="546">
        <f t="shared" si="274"/>
        <v>376</v>
      </c>
      <c r="DJ324" s="551">
        <f t="shared" si="275"/>
        <v>35.930841220843732</v>
      </c>
      <c r="DK324" s="553">
        <f>DJ324/PI()*SQRT('Hilfstabellen_Mat&amp;Bem'!f.Rd.3/'Hilfstabellen_Mat&amp;Bem'!$BD$30)</f>
        <v>0.57185709897473114</v>
      </c>
      <c r="DL324" s="553">
        <f>0.5*(1+'Hilfstabellen_Mat&amp;Bem'!$BD$31*(DK324-0.3)+DK324^2)</f>
        <v>0.67710312577263421</v>
      </c>
      <c r="DM324" s="550">
        <f t="shared" si="276"/>
        <v>0.96185212976300671</v>
      </c>
      <c r="DO324" s="551">
        <f t="shared" si="277"/>
        <v>135982.80669737485</v>
      </c>
      <c r="DS324" s="546">
        <f t="shared" si="278"/>
        <v>376</v>
      </c>
      <c r="DT324" s="551">
        <f t="shared" si="279"/>
        <v>36.852144841891004</v>
      </c>
      <c r="DU324" s="553">
        <f>DT324/PI()*SQRT('Hilfstabellen_Mat&amp;Bem'!f.Rd.3/'Hilfstabellen_Mat&amp;Bem'!$BD$30)</f>
        <v>0.58652010151254474</v>
      </c>
      <c r="DV324" s="553">
        <f>0.5*(1+'Hilfstabellen_Mat&amp;Bem'!$BD$31*(DU324-0.3)+DU324^2)</f>
        <v>0.68632891981477007</v>
      </c>
      <c r="DW324" s="550">
        <f t="shared" si="280"/>
        <v>0.95899545077365933</v>
      </c>
      <c r="DY324" s="551">
        <f t="shared" si="281"/>
        <v>135578.94084857687</v>
      </c>
      <c r="EC324" s="546">
        <f t="shared" si="282"/>
        <v>376</v>
      </c>
      <c r="ED324" s="551">
        <f t="shared" si="283"/>
        <v>37.773448462938276</v>
      </c>
      <c r="EE324" s="553">
        <f>ED324/PI()*SQRT('Hilfstabellen_Mat&amp;Bem'!f.Rd.3/'Hilfstabellen_Mat&amp;Bem'!$BD$30)</f>
        <v>0.60118310405035835</v>
      </c>
      <c r="EF324" s="553">
        <f>0.5*(1+'Hilfstabellen_Mat&amp;Bem'!$BD$31*(EE324-0.3)+EE324^2)</f>
        <v>0.6957697175003299</v>
      </c>
      <c r="EG324" s="550">
        <f t="shared" si="284"/>
        <v>0.95600582022408787</v>
      </c>
      <c r="EI324" s="551">
        <f t="shared" si="285"/>
        <v>135156.27884000065</v>
      </c>
      <c r="EM324" s="546">
        <f t="shared" si="286"/>
        <v>376</v>
      </c>
      <c r="EN324" s="551">
        <f t="shared" si="287"/>
        <v>38.694752083985549</v>
      </c>
      <c r="EO324" s="553">
        <f>EN324/PI()*SQRT('Hilfstabellen_Mat&amp;Bem'!f.Rd.3/'Hilfstabellen_Mat&amp;Bem'!$BD$30)</f>
        <v>0.61584610658817196</v>
      </c>
      <c r="EP324" s="553">
        <f>0.5*(1+'Hilfstabellen_Mat&amp;Bem'!$BD$31*(EO324-0.3)+EO324^2)</f>
        <v>0.70542551882931359</v>
      </c>
      <c r="EQ324" s="550">
        <f t="shared" si="288"/>
        <v>0.95287230489138497</v>
      </c>
      <c r="ES324" s="551">
        <f t="shared" si="289"/>
        <v>134713.27497632444</v>
      </c>
    </row>
    <row r="325" spans="3:149">
      <c r="C325" s="546">
        <v>377</v>
      </c>
      <c r="D325" s="551">
        <f t="shared" si="244"/>
        <v>25.728075656195525</v>
      </c>
      <c r="E325" s="553">
        <f>$D325/PI()*SQRT('Hilfstabellen_Mat&amp;Bem'!f.Rd.3/'Hilfstabellen_Mat&amp;Bem'!$BD$30)</f>
        <v>0.4094750416925777</v>
      </c>
      <c r="F325" s="553">
        <f>0.5*(1+'Hilfstabellen_Mat&amp;Bem'!$BD$31*($E325-0.3)+$E325^2)</f>
        <v>0.58930865696919799</v>
      </c>
      <c r="G325" s="550">
        <f t="shared" si="245"/>
        <v>0.98705125129106286</v>
      </c>
      <c r="I325" s="551">
        <f t="shared" si="290"/>
        <v>140288.60729474746</v>
      </c>
      <c r="M325" s="546">
        <f t="shared" si="246"/>
        <v>377</v>
      </c>
      <c r="N325" s="551">
        <f t="shared" si="236"/>
        <v>26.646935501059652</v>
      </c>
      <c r="O325" s="553">
        <f>$N325/PI()*SQRT('Hilfstabellen_Mat&amp;Bem'!f.Rd.3/'Hilfstabellen_Mat&amp;Bem'!$BD$30)</f>
        <v>0.4240991503244555</v>
      </c>
      <c r="P325" s="553">
        <f>0.5*(1+'Hilfstabellen_Mat&amp;Bem'!$BD$31*($O325-0.3)+$O325^2)</f>
        <v>0.59613500216918525</v>
      </c>
      <c r="Q325" s="550">
        <f t="shared" si="237"/>
        <v>0.98514178066574098</v>
      </c>
      <c r="S325" s="551">
        <f t="shared" si="291"/>
        <v>140017.2161442411</v>
      </c>
      <c r="W325" s="546">
        <f t="shared" si="247"/>
        <v>377</v>
      </c>
      <c r="X325" s="551">
        <f t="shared" si="238"/>
        <v>27.565795345923775</v>
      </c>
      <c r="Y325" s="553">
        <f>$X325/PI()*SQRT('Hilfstabellen_Mat&amp;Bem'!f.Rd.3/'Hilfstabellen_Mat&amp;Bem'!$BD$30)</f>
        <v>0.43872325895633318</v>
      </c>
      <c r="Z325" s="553">
        <f>0.5*(1+'Hilfstabellen_Mat&amp;Bem'!$BD$31*($Y325-0.3)+$Y325^2)</f>
        <v>0.60317521192244949</v>
      </c>
      <c r="AA325" s="550">
        <f t="shared" si="239"/>
        <v>0.98317755934897444</v>
      </c>
      <c r="AC325" s="551">
        <f t="shared" si="292"/>
        <v>139738.0433327104</v>
      </c>
      <c r="AG325" s="546">
        <f t="shared" si="248"/>
        <v>377</v>
      </c>
      <c r="AH325" s="551">
        <f t="shared" si="240"/>
        <v>28.484655190787898</v>
      </c>
      <c r="AI325" s="553">
        <f>$AH325/PI()*SQRT('Hilfstabellen_Mat&amp;Bem'!f.Rd.3/'Hilfstabellen_Mat&amp;Bem'!$BD$30)</f>
        <v>0.45334736758821093</v>
      </c>
      <c r="AJ325" s="553">
        <f>0.5*(1+'Hilfstabellen_Mat&amp;Bem'!$BD$31*($AI325-0.3)+$AI325^2)</f>
        <v>0.61042928622899073</v>
      </c>
      <c r="AK325" s="550">
        <f t="shared" si="241"/>
        <v>0.9811539458581866</v>
      </c>
      <c r="AM325" s="551">
        <f t="shared" si="293"/>
        <v>139450.4291708782</v>
      </c>
      <c r="AQ325" s="546">
        <f t="shared" si="249"/>
        <v>377</v>
      </c>
      <c r="AR325" s="551">
        <f t="shared" si="242"/>
        <v>29.403515035652031</v>
      </c>
      <c r="AS325" s="553">
        <f>$AR325/PI()*SQRT('Hilfstabellen_Mat&amp;Bem'!f.Rd.3/'Hilfstabellen_Mat&amp;Bem'!$BD$30)</f>
        <v>0.46797147622008883</v>
      </c>
      <c r="AT325" s="553">
        <f>0.5*(1+'Hilfstabellen_Mat&amp;Bem'!$BD$31*($AS325-0.3)+$AS325^2)</f>
        <v>0.61789722508880895</v>
      </c>
      <c r="AU325" s="550">
        <f t="shared" si="243"/>
        <v>0.97906595791469186</v>
      </c>
      <c r="AW325" s="551">
        <f t="shared" si="294"/>
        <v>139153.66553245723</v>
      </c>
      <c r="BA325" s="546">
        <f t="shared" si="250"/>
        <v>377</v>
      </c>
      <c r="BB325" s="551">
        <f t="shared" si="251"/>
        <v>30.322374880516154</v>
      </c>
      <c r="BC325" s="553">
        <f>$BB325/PI()*SQRT('Hilfstabellen_Mat&amp;Bem'!f.Rd.3/'Hilfstabellen_Mat&amp;Bem'!$BD$30)</f>
        <v>0.48259558485196657</v>
      </c>
      <c r="BD325" s="553">
        <f>0.5*(1+'Hilfstabellen_Mat&amp;Bem'!$BD$31*($BC325-0.3)+$BC325^2)</f>
        <v>0.62557902850190406</v>
      </c>
      <c r="BE325" s="550">
        <f t="shared" si="252"/>
        <v>0.9769082386771315</v>
      </c>
      <c r="BG325" s="551">
        <f t="shared" si="253"/>
        <v>138846.99105494202</v>
      </c>
      <c r="BK325" s="546">
        <f t="shared" si="254"/>
        <v>377</v>
      </c>
      <c r="BL325" s="551">
        <f t="shared" si="255"/>
        <v>31.241234725380281</v>
      </c>
      <c r="BM325" s="553">
        <f>$BL325/PI()*SQRT('Hilfstabellen_Mat&amp;Bem'!f.Rd.3/'Hilfstabellen_Mat&amp;Bem'!$BD$30)</f>
        <v>0.49721969348384437</v>
      </c>
      <c r="BN325" s="553">
        <f>0.5*(1+'Hilfstabellen_Mat&amp;Bem'!$BD$31*($BM325-0.3)+$BM325^2)</f>
        <v>0.63347469646827625</v>
      </c>
      <c r="BO325" s="550">
        <f t="shared" si="256"/>
        <v>0.97467502002730311</v>
      </c>
      <c r="BQ325" s="551">
        <f t="shared" si="257"/>
        <v>138529.58592146056</v>
      </c>
      <c r="BU325" s="546">
        <f t="shared" si="258"/>
        <v>377</v>
      </c>
      <c r="BV325" s="551">
        <f t="shared" si="259"/>
        <v>32.160094570244404</v>
      </c>
      <c r="BW325" s="553">
        <f>$BV325/PI()*SQRT('Hilfstabellen_Mat&amp;Bem'!f.Rd.3/'Hilfstabellen_Mat&amp;Bem'!$BD$30)</f>
        <v>0.511843802115722</v>
      </c>
      <c r="BX325" s="553">
        <f>0.5*(1+'Hilfstabellen_Mat&amp;Bem'!$BD$31*($BW325-0.3)+$BW325^2)</f>
        <v>0.64158422898792522</v>
      </c>
      <c r="BY325" s="550">
        <f t="shared" si="260"/>
        <v>0.97236008274601737</v>
      </c>
      <c r="CA325" s="551">
        <f t="shared" si="261"/>
        <v>138200.56620060871</v>
      </c>
      <c r="CE325" s="546">
        <f t="shared" si="262"/>
        <v>377</v>
      </c>
      <c r="CF325" s="551">
        <f t="shared" si="263"/>
        <v>33.078954415108534</v>
      </c>
      <c r="CG325" s="553">
        <f>CF325/PI()*SQRT('Hilfstabellen_Mat&amp;Bem'!f.Rd.3/'Hilfstabellen_Mat&amp;Bem'!$BD$30)</f>
        <v>0.52646791074759991</v>
      </c>
      <c r="CH325" s="553">
        <f>0.5*(1+'Hilfstabellen_Mat&amp;Bem'!$BD$31*(CG325-0.3)+CG325^2)</f>
        <v>0.6499076260608514</v>
      </c>
      <c r="CI325" s="550">
        <f t="shared" si="264"/>
        <v>0.96995671345701695</v>
      </c>
      <c r="CK325" s="551">
        <f t="shared" si="265"/>
        <v>137858.97772693235</v>
      </c>
      <c r="CO325" s="546">
        <f t="shared" si="266"/>
        <v>377</v>
      </c>
      <c r="CP325" s="551">
        <f t="shared" si="267"/>
        <v>33.997814259972657</v>
      </c>
      <c r="CQ325" s="553">
        <f>CP325/PI()*SQRT('Hilfstabellen_Mat&amp;Bem'!f.Rd.3/'Hilfstabellen_Mat&amp;Bem'!$BD$30)</f>
        <v>0.5410920193794776</v>
      </c>
      <c r="CR325" s="553">
        <f>0.5*(1+'Hilfstabellen_Mat&amp;Bem'!$BD$31*(CQ325-0.3)+CQ325^2)</f>
        <v>0.65844488768705445</v>
      </c>
      <c r="CS325" s="550">
        <f t="shared" si="268"/>
        <v>0.9674576582801605</v>
      </c>
      <c r="CU325" s="551">
        <f t="shared" si="269"/>
        <v>137503.78951370093</v>
      </c>
      <c r="CY325" s="546">
        <f t="shared" si="270"/>
        <v>377</v>
      </c>
      <c r="CZ325" s="551">
        <f t="shared" si="271"/>
        <v>34.91667410483678</v>
      </c>
      <c r="DA325" s="553">
        <f>CZ325/PI()*SQRT('Hilfstabellen_Mat&amp;Bem'!f.Rd.3/'Hilfstabellen_Mat&amp;Bem'!$BD$30)</f>
        <v>0.55571612801135539</v>
      </c>
      <c r="DB325" s="553">
        <f>0.5*(1+'Hilfstabellen_Mat&amp;Bem'!$BD$31*(DA325-0.3)+DA325^2)</f>
        <v>0.66719601386653438</v>
      </c>
      <c r="DC325" s="550">
        <f t="shared" si="272"/>
        <v>0.96485507322883368</v>
      </c>
      <c r="DE325" s="551">
        <f t="shared" si="273"/>
        <v>137133.88670294092</v>
      </c>
      <c r="DI325" s="546">
        <f t="shared" si="274"/>
        <v>377</v>
      </c>
      <c r="DJ325" s="551">
        <f t="shared" si="275"/>
        <v>35.83553394970091</v>
      </c>
      <c r="DK325" s="553">
        <f>DJ325/PI()*SQRT('Hilfstabellen_Mat&amp;Bem'!f.Rd.3/'Hilfstabellen_Mat&amp;Bem'!$BD$30)</f>
        <v>0.57034023664323319</v>
      </c>
      <c r="DL325" s="553">
        <f>0.5*(1+'Hilfstabellen_Mat&amp;Bem'!$BD$31*(DK325-0.3)+DK325^2)</f>
        <v>0.67616100459929129</v>
      </c>
      <c r="DM325" s="550">
        <f t="shared" si="276"/>
        <v>0.96214047152100968</v>
      </c>
      <c r="DO325" s="551">
        <f t="shared" si="277"/>
        <v>136748.06307680957</v>
      </c>
      <c r="DS325" s="546">
        <f t="shared" si="278"/>
        <v>377</v>
      </c>
      <c r="DT325" s="551">
        <f t="shared" si="279"/>
        <v>36.754393794565033</v>
      </c>
      <c r="DU325" s="553">
        <f>DT325/PI()*SQRT('Hilfstabellen_Mat&amp;Bem'!f.Rd.3/'Hilfstabellen_Mat&amp;Bem'!$BD$30)</f>
        <v>0.58496434527511088</v>
      </c>
      <c r="DV325" s="553">
        <f>0.5*(1+'Hilfstabellen_Mat&amp;Bem'!$BD$31*(DU325-0.3)+DU325^2)</f>
        <v>0.68533985988532509</v>
      </c>
      <c r="DW325" s="550">
        <f t="shared" si="280"/>
        <v>0.95930466816109539</v>
      </c>
      <c r="DY325" s="551">
        <f t="shared" si="281"/>
        <v>136345.01318106832</v>
      </c>
      <c r="EC325" s="546">
        <f t="shared" si="282"/>
        <v>377</v>
      </c>
      <c r="ED325" s="551">
        <f t="shared" si="283"/>
        <v>37.673253639429163</v>
      </c>
      <c r="EE325" s="553">
        <f>ED325/PI()*SQRT('Hilfstabellen_Mat&amp;Bem'!f.Rd.3/'Hilfstabellen_Mat&amp;Bem'!$BD$30)</f>
        <v>0.59958845390698878</v>
      </c>
      <c r="EF325" s="553">
        <f>0.5*(1+'Hilfstabellen_Mat&amp;Bem'!$BD$31*(EE325-0.3)+EE325^2)</f>
        <v>0.69473257972463609</v>
      </c>
      <c r="EG325" s="550">
        <f t="shared" si="284"/>
        <v>0.95633772240636872</v>
      </c>
      <c r="EI325" s="551">
        <f t="shared" si="285"/>
        <v>135923.32414789477</v>
      </c>
      <c r="EM325" s="546">
        <f t="shared" si="286"/>
        <v>377</v>
      </c>
      <c r="EN325" s="551">
        <f t="shared" si="287"/>
        <v>38.592113484293286</v>
      </c>
      <c r="EO325" s="553">
        <f>EN325/PI()*SQRT('Hilfstabellen_Mat&amp;Bem'!f.Rd.3/'Hilfstabellen_Mat&amp;Bem'!$BD$30)</f>
        <v>0.61421256253886647</v>
      </c>
      <c r="EP325" s="553">
        <f>0.5*(1+'Hilfstabellen_Mat&amp;Bem'!$BD$31*(EO325-0.3)+EO325^2)</f>
        <v>0.70433916411722386</v>
      </c>
      <c r="EQ325" s="550">
        <f t="shared" si="288"/>
        <v>0.95322887907637877</v>
      </c>
      <c r="ES325" s="551">
        <f t="shared" si="289"/>
        <v>135481.46735424665</v>
      </c>
    </row>
    <row r="326" spans="3:149">
      <c r="C326" s="546">
        <v>378</v>
      </c>
      <c r="D326" s="551">
        <f t="shared" si="244"/>
        <v>25.660011963983365</v>
      </c>
      <c r="E326" s="553">
        <f>$D326/PI()*SQRT('Hilfstabellen_Mat&amp;Bem'!f.Rd.3/'Hilfstabellen_Mat&amp;Bem'!$BD$30)</f>
        <v>0.40839177438651264</v>
      </c>
      <c r="F326" s="553">
        <f>0.5*(1+'Hilfstabellen_Mat&amp;Bem'!$BD$31*($E326-0.3)+$E326^2)</f>
        <v>0.58881150941260785</v>
      </c>
      <c r="G326" s="550">
        <f t="shared" si="245"/>
        <v>0.98719063653910111</v>
      </c>
      <c r="I326" s="551">
        <f t="shared" si="290"/>
        <v>141053.74691125294</v>
      </c>
      <c r="M326" s="546">
        <f t="shared" si="246"/>
        <v>378</v>
      </c>
      <c r="N326" s="551">
        <f t="shared" si="236"/>
        <v>26.576440962697056</v>
      </c>
      <c r="O326" s="553">
        <f>$N326/PI()*SQRT('Hilfstabellen_Mat&amp;Bem'!f.Rd.3/'Hilfstabellen_Mat&amp;Bem'!$BD$30)</f>
        <v>0.42297719490031666</v>
      </c>
      <c r="P326" s="553">
        <f>0.5*(1+'Hilfstabellen_Mat&amp;Bem'!$BD$31*($O326-0.3)+$O326^2)</f>
        <v>0.5956037134478861</v>
      </c>
      <c r="Q326" s="550">
        <f t="shared" si="237"/>
        <v>0.98529015666071684</v>
      </c>
      <c r="S326" s="551">
        <f t="shared" si="291"/>
        <v>140782.19874430986</v>
      </c>
      <c r="W326" s="546">
        <f t="shared" si="247"/>
        <v>378</v>
      </c>
      <c r="X326" s="551">
        <f t="shared" si="238"/>
        <v>27.492869961410751</v>
      </c>
      <c r="Y326" s="553">
        <f>$X326/PI()*SQRT('Hilfstabellen_Mat&amp;Bem'!f.Rd.3/'Hilfstabellen_Mat&amp;Bem'!$BD$30)</f>
        <v>0.43756261541412073</v>
      </c>
      <c r="Z326" s="553">
        <f>0.5*(1+'Hilfstabellen_Mat&amp;Bem'!$BD$31*($Y326-0.3)+$Y326^2)</f>
        <v>0.6026086519747289</v>
      </c>
      <c r="AA326" s="550">
        <f t="shared" si="239"/>
        <v>0.98333555663716621</v>
      </c>
      <c r="AC326" s="551">
        <f t="shared" si="292"/>
        <v>140502.91767454485</v>
      </c>
      <c r="AG326" s="546">
        <f t="shared" si="248"/>
        <v>378</v>
      </c>
      <c r="AH326" s="551">
        <f t="shared" si="240"/>
        <v>28.409298960124442</v>
      </c>
      <c r="AI326" s="553">
        <f>$AH326/PI()*SQRT('Hilfstabellen_Mat&amp;Bem'!f.Rd.3/'Hilfstabellen_Mat&amp;Bem'!$BD$30)</f>
        <v>0.45214803592792469</v>
      </c>
      <c r="AJ326" s="553">
        <f>0.5*(1+'Hilfstabellen_Mat&amp;Bem'!$BD$31*($AI326-0.3)+$AI326^2)</f>
        <v>0.60982632499313616</v>
      </c>
      <c r="AK326" s="550">
        <f t="shared" si="241"/>
        <v>0.98132225680376806</v>
      </c>
      <c r="AM326" s="551">
        <f t="shared" si="293"/>
        <v>140215.24934114958</v>
      </c>
      <c r="AQ326" s="546">
        <f t="shared" si="249"/>
        <v>378</v>
      </c>
      <c r="AR326" s="551">
        <f t="shared" si="242"/>
        <v>29.325727958838129</v>
      </c>
      <c r="AS326" s="553">
        <f>$AR326/PI()*SQRT('Hilfstabellen_Mat&amp;Bem'!f.Rd.3/'Hilfstabellen_Mat&amp;Bem'!$BD$30)</f>
        <v>0.4667334564417287</v>
      </c>
      <c r="AT326" s="553">
        <f>0.5*(1+'Hilfstabellen_Mat&amp;Bem'!$BD$31*($AS326-0.3)+$AS326^2)</f>
        <v>0.61725673250310797</v>
      </c>
      <c r="AU326" s="550">
        <f t="shared" si="243"/>
        <v>0.97924534282622677</v>
      </c>
      <c r="AW326" s="551">
        <f t="shared" si="294"/>
        <v>139918.4915643826</v>
      </c>
      <c r="BA326" s="546">
        <f t="shared" si="250"/>
        <v>378</v>
      </c>
      <c r="BB326" s="551">
        <f t="shared" si="251"/>
        <v>30.242156957551821</v>
      </c>
      <c r="BC326" s="553">
        <f>$BB326/PI()*SQRT('Hilfstabellen_Mat&amp;Bem'!f.Rd.3/'Hilfstabellen_Mat&amp;Bem'!$BD$30)</f>
        <v>0.48131887695553266</v>
      </c>
      <c r="BD326" s="553">
        <f>0.5*(1+'Hilfstabellen_Mat&amp;Bem'!$BD$31*($BC326-0.3)+$BC326^2)</f>
        <v>0.62489987450464413</v>
      </c>
      <c r="BE326" s="550">
        <f t="shared" si="252"/>
        <v>0.97709953260548765</v>
      </c>
      <c r="BG326" s="551">
        <f t="shared" si="253"/>
        <v>139611.88961680251</v>
      </c>
      <c r="BK326" s="546">
        <f t="shared" si="254"/>
        <v>378</v>
      </c>
      <c r="BL326" s="551">
        <f t="shared" si="255"/>
        <v>31.158585956265519</v>
      </c>
      <c r="BM326" s="553">
        <f>$BL326/PI()*SQRT('Hilfstabellen_Mat&amp;Bem'!f.Rd.3/'Hilfstabellen_Mat&amp;Bem'!$BD$30)</f>
        <v>0.49590429746933684</v>
      </c>
      <c r="BN326" s="553">
        <f>0.5*(1+'Hilfstabellen_Mat&amp;Bem'!$BD$31*($BM326-0.3)+$BM326^2)</f>
        <v>0.63275575099774506</v>
      </c>
      <c r="BO326" s="550">
        <f t="shared" si="256"/>
        <v>0.97487914029575584</v>
      </c>
      <c r="BQ326" s="551">
        <f t="shared" si="257"/>
        <v>139294.63108201878</v>
      </c>
      <c r="BU326" s="546">
        <f t="shared" si="258"/>
        <v>378</v>
      </c>
      <c r="BV326" s="551">
        <f t="shared" si="259"/>
        <v>32.07501495497921</v>
      </c>
      <c r="BW326" s="553">
        <f>$BV326/PI()*SQRT('Hilfstabellen_Mat&amp;Bem'!f.Rd.3/'Hilfstabellen_Mat&amp;Bem'!$BD$30)</f>
        <v>0.5104897179831408</v>
      </c>
      <c r="BX326" s="553">
        <f>0.5*(1+'Hilfstabellen_Mat&amp;Bem'!$BD$31*($BW326-0.3)+$BW326^2)</f>
        <v>0.64082436198241033</v>
      </c>
      <c r="BY326" s="550">
        <f t="shared" si="260"/>
        <v>0.97257803727379488</v>
      </c>
      <c r="CA326" s="551">
        <f t="shared" si="261"/>
        <v>138965.84027782892</v>
      </c>
      <c r="CE326" s="546">
        <f t="shared" si="262"/>
        <v>378</v>
      </c>
      <c r="CF326" s="551">
        <f t="shared" si="263"/>
        <v>32.991443953692901</v>
      </c>
      <c r="CG326" s="553">
        <f>CF326/PI()*SQRT('Hilfstabellen_Mat&amp;Bem'!f.Rd.3/'Hilfstabellen_Mat&amp;Bem'!$BD$30)</f>
        <v>0.52507513849694487</v>
      </c>
      <c r="CH326" s="553">
        <f>0.5*(1+'Hilfstabellen_Mat&amp;Bem'!$BD$31*(CG326-0.3)+CG326^2)</f>
        <v>0.64910570745864016</v>
      </c>
      <c r="CI326" s="550">
        <f t="shared" si="264"/>
        <v>0.97018960993554149</v>
      </c>
      <c r="CK326" s="551">
        <f t="shared" si="265"/>
        <v>138624.57222602991</v>
      </c>
      <c r="CO326" s="546">
        <f t="shared" si="266"/>
        <v>378</v>
      </c>
      <c r="CP326" s="551">
        <f t="shared" si="267"/>
        <v>33.907872952406592</v>
      </c>
      <c r="CQ326" s="553">
        <f>CP326/PI()*SQRT('Hilfstabellen_Mat&amp;Bem'!f.Rd.3/'Hilfstabellen_Mat&amp;Bem'!$BD$30)</f>
        <v>0.53966055901074883</v>
      </c>
      <c r="CR326" s="553">
        <f>0.5*(1+'Hilfstabellen_Mat&amp;Bem'!$BD$31*(CQ326-0.3)+CQ326^2)</f>
        <v>0.65759978742643432</v>
      </c>
      <c r="CS326" s="550">
        <f t="shared" si="268"/>
        <v>0.96770671425569565</v>
      </c>
      <c r="CU326" s="551">
        <f t="shared" si="269"/>
        <v>138269.80615971083</v>
      </c>
      <c r="CY326" s="546">
        <f t="shared" si="270"/>
        <v>378</v>
      </c>
      <c r="CZ326" s="551">
        <f t="shared" si="271"/>
        <v>34.824301951120276</v>
      </c>
      <c r="DA326" s="553">
        <f>CZ326/PI()*SQRT('Hilfstabellen_Mat&amp;Bem'!f.Rd.3/'Hilfstabellen_Mat&amp;Bem'!$BD$30)</f>
        <v>0.55424597952455279</v>
      </c>
      <c r="DB326" s="553">
        <f>0.5*(1+'Hilfstabellen_Mat&amp;Bem'!$BD$31*(DA326-0.3)+DA326^2)</f>
        <v>0.66630660188579305</v>
      </c>
      <c r="DC326" s="550">
        <f t="shared" si="272"/>
        <v>0.96512162713466287</v>
      </c>
      <c r="DE326" s="551">
        <f t="shared" si="273"/>
        <v>137900.43857150918</v>
      </c>
      <c r="DI326" s="546">
        <f t="shared" si="274"/>
        <v>378</v>
      </c>
      <c r="DJ326" s="551">
        <f t="shared" si="275"/>
        <v>35.740730949833974</v>
      </c>
      <c r="DK326" s="553">
        <f>DJ326/PI()*SQRT('Hilfstabellen_Mat&amp;Bem'!f.Rd.3/'Hilfstabellen_Mat&amp;Bem'!$BD$30)</f>
        <v>0.56883140003835686</v>
      </c>
      <c r="DL326" s="553">
        <f>0.5*(1+'Hilfstabellen_Mat&amp;Bem'!$BD$31*(DK326-0.3)+DK326^2)</f>
        <v>0.67522615083671633</v>
      </c>
      <c r="DM326" s="550">
        <f t="shared" si="276"/>
        <v>0.96242599468466483</v>
      </c>
      <c r="DO326" s="551">
        <f t="shared" si="277"/>
        <v>137515.27582452365</v>
      </c>
      <c r="DS326" s="546">
        <f t="shared" si="278"/>
        <v>378</v>
      </c>
      <c r="DT326" s="551">
        <f t="shared" si="279"/>
        <v>36.657159948547665</v>
      </c>
      <c r="DU326" s="553">
        <f>DT326/PI()*SQRT('Hilfstabellen_Mat&amp;Bem'!f.Rd.3/'Hilfstabellen_Mat&amp;Bem'!$BD$30)</f>
        <v>0.58341682055216093</v>
      </c>
      <c r="DV326" s="553">
        <f>0.5*(1+'Hilfstabellen_Mat&amp;Bem'!$BD$31*(DU326-0.3)+DU326^2)</f>
        <v>0.68435843427920418</v>
      </c>
      <c r="DW326" s="550">
        <f t="shared" si="280"/>
        <v>0.95961077778501669</v>
      </c>
      <c r="DY326" s="551">
        <f t="shared" si="281"/>
        <v>137113.02637303431</v>
      </c>
      <c r="EC326" s="546">
        <f t="shared" si="282"/>
        <v>378</v>
      </c>
      <c r="ED326" s="551">
        <f t="shared" si="283"/>
        <v>37.573588947261356</v>
      </c>
      <c r="EE326" s="553">
        <f>ED326/PI()*SQRT('Hilfstabellen_Mat&amp;Bem'!f.Rd.3/'Hilfstabellen_Mat&amp;Bem'!$BD$30)</f>
        <v>0.598002241065965</v>
      </c>
      <c r="EF326" s="553">
        <f>0.5*(1+'Hilfstabellen_Mat&amp;Bem'!$BD$31*(EE326-0.3)+EE326^2)</f>
        <v>0.69370345221325647</v>
      </c>
      <c r="EG326" s="550">
        <f t="shared" si="284"/>
        <v>0.95666619548045584</v>
      </c>
      <c r="EI326" s="551">
        <f t="shared" si="285"/>
        <v>136692.29267502946</v>
      </c>
      <c r="EM326" s="546">
        <f t="shared" si="286"/>
        <v>378</v>
      </c>
      <c r="EN326" s="551">
        <f t="shared" si="287"/>
        <v>38.490017945975048</v>
      </c>
      <c r="EO326" s="553">
        <f>EN326/PI()*SQRT('Hilfstabellen_Mat&amp;Bem'!f.Rd.3/'Hilfstabellen_Mat&amp;Bem'!$BD$30)</f>
        <v>0.61258766157976896</v>
      </c>
      <c r="EP326" s="553">
        <f>0.5*(1+'Hilfstabellen_Mat&amp;Bem'!$BD$31*(EO326-0.3)+EO326^2)</f>
        <v>0.70326120463887321</v>
      </c>
      <c r="EQ326" s="550">
        <f t="shared" si="288"/>
        <v>0.95358166712411119</v>
      </c>
      <c r="ES326" s="551">
        <f t="shared" si="289"/>
        <v>136251.5629253615</v>
      </c>
    </row>
    <row r="327" spans="3:149">
      <c r="C327" s="546">
        <v>379</v>
      </c>
      <c r="D327" s="551">
        <f t="shared" si="244"/>
        <v>25.592307446928</v>
      </c>
      <c r="E327" s="553">
        <f>$D327/PI()*SQRT('Hilfstabellen_Mat&amp;Bem'!f.Rd.3/'Hilfstabellen_Mat&amp;Bem'!$BD$30)</f>
        <v>0.40731422353061153</v>
      </c>
      <c r="F327" s="553">
        <f>0.5*(1+'Hilfstabellen_Mat&amp;Bem'!$BD$31*($E327-0.3)+$E327^2)</f>
        <v>0.58831814952170314</v>
      </c>
      <c r="G327" s="550">
        <f t="shared" si="245"/>
        <v>0.98732901359030179</v>
      </c>
      <c r="I327" s="551">
        <f t="shared" si="290"/>
        <v>141820.92684112454</v>
      </c>
      <c r="M327" s="546">
        <f t="shared" si="246"/>
        <v>379</v>
      </c>
      <c r="N327" s="551">
        <f t="shared" si="236"/>
        <v>26.50631842717543</v>
      </c>
      <c r="O327" s="553">
        <f>$N327/PI()*SQRT('Hilfstabellen_Mat&amp;Bem'!f.Rd.3/'Hilfstabellen_Mat&amp;Bem'!$BD$30)</f>
        <v>0.42186116008527624</v>
      </c>
      <c r="P327" s="553">
        <f>0.5*(1+'Hilfstabellen_Mat&amp;Bem'!$BD$31*($O327-0.3)+$O327^2)</f>
        <v>0.59507647719851142</v>
      </c>
      <c r="Q327" s="550">
        <f t="shared" si="237"/>
        <v>0.9854374321060726</v>
      </c>
      <c r="S327" s="551">
        <f t="shared" si="291"/>
        <v>141549.21818514838</v>
      </c>
      <c r="W327" s="546">
        <f t="shared" si="247"/>
        <v>379</v>
      </c>
      <c r="X327" s="551">
        <f t="shared" si="238"/>
        <v>27.420329407422855</v>
      </c>
      <c r="Y327" s="553">
        <f>$X327/PI()*SQRT('Hilfstabellen_Mat&amp;Bem'!f.Rd.3/'Hilfstabellen_Mat&amp;Bem'!$BD$30)</f>
        <v>0.4364080966399409</v>
      </c>
      <c r="Z327" s="553">
        <f>0.5*(1+'Hilfstabellen_Mat&amp;Bem'!$BD$31*($Y327-0.3)+$Y327^2)</f>
        <v>0.60204641823844507</v>
      </c>
      <c r="AA327" s="550">
        <f t="shared" si="239"/>
        <v>0.98349235157002324</v>
      </c>
      <c r="AC327" s="551">
        <f t="shared" si="292"/>
        <v>141269.8248718697</v>
      </c>
      <c r="AG327" s="546">
        <f t="shared" si="248"/>
        <v>379</v>
      </c>
      <c r="AH327" s="551">
        <f t="shared" si="240"/>
        <v>28.334340387670288</v>
      </c>
      <c r="AI327" s="553">
        <f>$AH327/PI()*SQRT('Hilfstabellen_Mat&amp;Bem'!f.Rd.3/'Hilfstabellen_Mat&amp;Bem'!$BD$30)</f>
        <v>0.45095503319460567</v>
      </c>
      <c r="AJ327" s="553">
        <f>0.5*(1+'Hilfstabellen_Mat&amp;Bem'!$BD$31*($AI327-0.3)+$AI327^2)</f>
        <v>0.6092279726415043</v>
      </c>
      <c r="AK327" s="550">
        <f t="shared" si="241"/>
        <v>0.98148925303798618</v>
      </c>
      <c r="AM327" s="551">
        <f t="shared" si="293"/>
        <v>140982.09779562938</v>
      </c>
      <c r="AQ327" s="546">
        <f t="shared" si="249"/>
        <v>379</v>
      </c>
      <c r="AR327" s="551">
        <f t="shared" si="242"/>
        <v>29.248351367917714</v>
      </c>
      <c r="AS327" s="553">
        <f>$AR327/PI()*SQRT('Hilfstabellen_Mat&amp;Bem'!f.Rd.3/'Hilfstabellen_Mat&amp;Bem'!$BD$30)</f>
        <v>0.46550196974927033</v>
      </c>
      <c r="AT327" s="553">
        <f>0.5*(1+'Hilfstabellen_Mat&amp;Bem'!$BD$31*($AS327-0.3)+$AS327^2)</f>
        <v>0.61662114040768889</v>
      </c>
      <c r="AU327" s="550">
        <f t="shared" si="243"/>
        <v>0.97942328889211561</v>
      </c>
      <c r="AW327" s="551">
        <f t="shared" si="294"/>
        <v>140685.34063975236</v>
      </c>
      <c r="BA327" s="546">
        <f t="shared" si="250"/>
        <v>379</v>
      </c>
      <c r="BB327" s="551">
        <f t="shared" si="251"/>
        <v>30.162362348165143</v>
      </c>
      <c r="BC327" s="553">
        <f>$BB327/PI()*SQRT('Hilfstabellen_Mat&amp;Bem'!f.Rd.3/'Hilfstabellen_Mat&amp;Bem'!$BD$30)</f>
        <v>0.48004890630393504</v>
      </c>
      <c r="BD327" s="553">
        <f>0.5*(1+'Hilfstabellen_Mat&amp;Bem'!$BD$31*($BC327-0.3)+$BC327^2)</f>
        <v>0.62422592153699885</v>
      </c>
      <c r="BE327" s="550">
        <f t="shared" si="252"/>
        <v>0.97728925040183312</v>
      </c>
      <c r="BG327" s="551">
        <f t="shared" si="253"/>
        <v>140378.80521696972</v>
      </c>
      <c r="BK327" s="546">
        <f t="shared" si="254"/>
        <v>379</v>
      </c>
      <c r="BL327" s="551">
        <f t="shared" si="255"/>
        <v>31.076373328412572</v>
      </c>
      <c r="BM327" s="553">
        <f>$BL327/PI()*SQRT('Hilfstabellen_Mat&amp;Bem'!f.Rd.3/'Hilfstabellen_Mat&amp;Bem'!$BD$30)</f>
        <v>0.4945958428585997</v>
      </c>
      <c r="BN327" s="553">
        <f>0.5*(1+'Hilfstabellen_Mat&amp;Bem'!$BD$31*($BM327-0.3)+$BM327^2)</f>
        <v>0.63204231602943439</v>
      </c>
      <c r="BO327" s="550">
        <f t="shared" si="256"/>
        <v>0.97508153245748874</v>
      </c>
      <c r="BQ327" s="551">
        <f t="shared" si="257"/>
        <v>140061.68640372614</v>
      </c>
      <c r="BU327" s="546">
        <f t="shared" si="258"/>
        <v>379</v>
      </c>
      <c r="BV327" s="551">
        <f t="shared" si="259"/>
        <v>31.990384308659998</v>
      </c>
      <c r="BW327" s="553">
        <f>$BV327/PI()*SQRT('Hilfstabellen_Mat&amp;Bem'!f.Rd.3/'Hilfstabellen_Mat&amp;Bem'!$BD$30)</f>
        <v>0.50914277941326436</v>
      </c>
      <c r="BX327" s="553">
        <f>0.5*(1+'Hilfstabellen_Mat&amp;Bem'!$BD$31*($BW327-0.3)+$BW327^2)</f>
        <v>0.64007032388499518</v>
      </c>
      <c r="BY327" s="550">
        <f t="shared" si="260"/>
        <v>0.97279409531546279</v>
      </c>
      <c r="CA327" s="551">
        <f t="shared" si="261"/>
        <v>139733.11664520839</v>
      </c>
      <c r="CE327" s="546">
        <f t="shared" si="262"/>
        <v>379</v>
      </c>
      <c r="CF327" s="551">
        <f t="shared" si="263"/>
        <v>32.90439528890743</v>
      </c>
      <c r="CG327" s="553">
        <f>CF327/PI()*SQRT('Hilfstabellen_Mat&amp;Bem'!f.Rd.3/'Hilfstabellen_Mat&amp;Bem'!$BD$30)</f>
        <v>0.52368971596792913</v>
      </c>
      <c r="CH327" s="553">
        <f>0.5*(1+'Hilfstabellen_Mat&amp;Bem'!$BD$31*(CG327-0.3)+CG327^2)</f>
        <v>0.64830994510368156</v>
      </c>
      <c r="CI327" s="550">
        <f t="shared" si="264"/>
        <v>0.97042042322905098</v>
      </c>
      <c r="CK327" s="551">
        <f t="shared" si="265"/>
        <v>139392.16001304411</v>
      </c>
      <c r="CO327" s="546">
        <f t="shared" si="266"/>
        <v>379</v>
      </c>
      <c r="CP327" s="551">
        <f t="shared" si="267"/>
        <v>33.818406269154856</v>
      </c>
      <c r="CQ327" s="553">
        <f>CP327/PI()*SQRT('Hilfstabellen_Mat&amp;Bem'!f.Rd.3/'Hilfstabellen_Mat&amp;Bem'!$BD$30)</f>
        <v>0.53823665252259378</v>
      </c>
      <c r="CR327" s="553">
        <f>0.5*(1+'Hilfstabellen_Mat&amp;Bem'!$BD$31*(CQ327-0.3)+CQ327^2)</f>
        <v>0.65676117968549341</v>
      </c>
      <c r="CS327" s="550">
        <f t="shared" si="268"/>
        <v>0.96795347989572933</v>
      </c>
      <c r="CU327" s="551">
        <f t="shared" si="269"/>
        <v>139037.80580570246</v>
      </c>
      <c r="CY327" s="546">
        <f t="shared" si="270"/>
        <v>379</v>
      </c>
      <c r="CZ327" s="551">
        <f t="shared" si="271"/>
        <v>34.732417249402289</v>
      </c>
      <c r="DA327" s="553">
        <f>CZ327/PI()*SQRT('Hilfstabellen_Mat&amp;Bem'!f.Rd.3/'Hilfstabellen_Mat&amp;Bem'!$BD$30)</f>
        <v>0.55278358907725855</v>
      </c>
      <c r="DB327" s="553">
        <f>0.5*(1+'Hilfstabellen_Mat&amp;Bem'!$BD$31*(DA327-0.3)+DA327^2)</f>
        <v>0.66542402763043063</v>
      </c>
      <c r="DC327" s="550">
        <f t="shared" si="272"/>
        <v>0.96538566073532084</v>
      </c>
      <c r="DE327" s="551">
        <f t="shared" si="273"/>
        <v>138668.96169368221</v>
      </c>
      <c r="DI327" s="546">
        <f t="shared" si="274"/>
        <v>379</v>
      </c>
      <c r="DJ327" s="551">
        <f t="shared" si="275"/>
        <v>35.646428229649715</v>
      </c>
      <c r="DK327" s="553">
        <f>DJ327/PI()*SQRT('Hilfstabellen_Mat&amp;Bem'!f.Rd.3/'Hilfstabellen_Mat&amp;Bem'!$BD$30)</f>
        <v>0.56733052563192321</v>
      </c>
      <c r="DL327" s="553">
        <f>0.5*(1+'Hilfstabellen_Mat&amp;Bem'!$BD$31*(DK327-0.3)+DK327^2)</f>
        <v>0.67429848893849331</v>
      </c>
      <c r="DM327" s="550">
        <f t="shared" si="276"/>
        <v>0.96270874213439683</v>
      </c>
      <c r="DO327" s="551">
        <f t="shared" si="277"/>
        <v>138284.44642892689</v>
      </c>
      <c r="DS327" s="546">
        <f t="shared" si="278"/>
        <v>379</v>
      </c>
      <c r="DT327" s="551">
        <f t="shared" si="279"/>
        <v>36.56043920989714</v>
      </c>
      <c r="DU327" s="553">
        <f>DT327/PI()*SQRT('Hilfstabellen_Mat&amp;Bem'!f.Rd.3/'Hilfstabellen_Mat&amp;Bem'!$BD$30)</f>
        <v>0.58187746218658787</v>
      </c>
      <c r="DV327" s="553">
        <f>0.5*(1+'Hilfstabellen_Mat&amp;Bem'!$BD$31*(DU327-0.3)+DU327^2)</f>
        <v>0.68338456360968136</v>
      </c>
      <c r="DW327" s="550">
        <f t="shared" si="280"/>
        <v>0.95991382796138092</v>
      </c>
      <c r="DY327" s="551">
        <f t="shared" si="281"/>
        <v>137882.98216220073</v>
      </c>
      <c r="EC327" s="546">
        <f t="shared" si="282"/>
        <v>379</v>
      </c>
      <c r="ED327" s="551">
        <f t="shared" si="283"/>
        <v>37.474450190144573</v>
      </c>
      <c r="EE327" s="553">
        <f>ED327/PI()*SQRT('Hilfstabellen_Mat&amp;Bem'!f.Rd.3/'Hilfstabellen_Mat&amp;Bem'!$BD$30)</f>
        <v>0.59642439874125264</v>
      </c>
      <c r="EF327" s="553">
        <f>0.5*(1+'Hilfstabellen_Mat&amp;Bem'!$BD$31*(EE327-0.3)+EE327^2)</f>
        <v>0.692682251643995</v>
      </c>
      <c r="EG327" s="550">
        <f t="shared" si="284"/>
        <v>0.95699129388854487</v>
      </c>
      <c r="EI327" s="551">
        <f t="shared" si="285"/>
        <v>137463.18644544447</v>
      </c>
      <c r="EM327" s="546">
        <f t="shared" si="286"/>
        <v>379</v>
      </c>
      <c r="EN327" s="551">
        <f t="shared" si="287"/>
        <v>38.388461170392006</v>
      </c>
      <c r="EO327" s="553">
        <f>EN327/PI()*SQRT('Hilfstabellen_Mat&amp;Bem'!f.Rd.3/'Hilfstabellen_Mat&amp;Bem'!$BD$30)</f>
        <v>0.61097133529591741</v>
      </c>
      <c r="EP327" s="553">
        <f>0.5*(1+'Hilfstabellen_Mat&amp;Bem'!$BD$31*(EO327-0.3)+EO327^2)</f>
        <v>0.70219155304143399</v>
      </c>
      <c r="EQ327" s="550">
        <f t="shared" si="288"/>
        <v>0.95393073036880693</v>
      </c>
      <c r="ES327" s="551">
        <f t="shared" si="289"/>
        <v>137023.5640409058</v>
      </c>
    </row>
    <row r="328" spans="3:149">
      <c r="C328" s="546">
        <v>380</v>
      </c>
      <c r="D328" s="551">
        <f t="shared" si="244"/>
        <v>25.524959269436085</v>
      </c>
      <c r="E328" s="553">
        <f>$D328/PI()*SQRT('Hilfstabellen_Mat&amp;Bem'!f.Rd.3/'Hilfstabellen_Mat&amp;Bem'!$BD$30)</f>
        <v>0.4062423439950047</v>
      </c>
      <c r="F328" s="553">
        <f>0.5*(1+'Hilfstabellen_Mat&amp;Bem'!$BD$31*($E328-0.3)+$E328^2)</f>
        <v>0.58782853822702807</v>
      </c>
      <c r="G328" s="550">
        <f t="shared" si="245"/>
        <v>0.98746639419940252</v>
      </c>
      <c r="I328" s="551">
        <f t="shared" si="290"/>
        <v>142590.14732239372</v>
      </c>
      <c r="M328" s="546">
        <f t="shared" si="246"/>
        <v>380</v>
      </c>
      <c r="N328" s="551">
        <f t="shared" ref="N328:N348" si="295">$L$8*10^3/$M328*SQRT(12)</f>
        <v>26.436564957630232</v>
      </c>
      <c r="O328" s="553">
        <f>$N328/PI()*SQRT('Hilfstabellen_Mat&amp;Bem'!f.Rd.3/'Hilfstabellen_Mat&amp;Bem'!$BD$30)</f>
        <v>0.42075099913768343</v>
      </c>
      <c r="P328" s="553">
        <f>0.5*(1+'Hilfstabellen_Mat&amp;Bem'!$BD$31*($O328-0.3)+$O328^2)</f>
        <v>0.59455325159456363</v>
      </c>
      <c r="Q328" s="550">
        <f t="shared" ref="Q328:Q348" si="296">MIN(1/($P328+SQRT($P328^2-$O328^2)),1)</f>
        <v>0.98558362015040146</v>
      </c>
      <c r="S328" s="551">
        <f t="shared" si="291"/>
        <v>142318.27474971797</v>
      </c>
      <c r="W328" s="546">
        <f t="shared" si="247"/>
        <v>380</v>
      </c>
      <c r="X328" s="551">
        <f t="shared" ref="X328:X348" si="297">$V$8*10^3/$W328*SQRT(12)</f>
        <v>27.348170645824375</v>
      </c>
      <c r="Y328" s="553">
        <f>$X328/PI()*SQRT('Hilfstabellen_Mat&amp;Bem'!f.Rd.3/'Hilfstabellen_Mat&amp;Bem'!$BD$30)</f>
        <v>0.43525965428036212</v>
      </c>
      <c r="Z328" s="553">
        <f>0.5*(1+'Hilfstabellen_Mat&amp;Bem'!$BD$31*($Y328-0.3)+$Y328^2)</f>
        <v>0.60148846603614825</v>
      </c>
      <c r="AA328" s="550">
        <f t="shared" ref="AA328:AA348" si="298">MIN(1/($Z328+SQRT($Z328^2-$Y328^2)),1)</f>
        <v>0.98364795886758671</v>
      </c>
      <c r="AC328" s="551">
        <f t="shared" si="292"/>
        <v>142038.76526047953</v>
      </c>
      <c r="AG328" s="546">
        <f t="shared" si="248"/>
        <v>380</v>
      </c>
      <c r="AH328" s="551">
        <f t="shared" ref="AH328:AH348" si="299">$AF$8*10^3/$AG328*SQRT(12)</f>
        <v>28.259776334018518</v>
      </c>
      <c r="AI328" s="553">
        <f>$AH328/PI()*SQRT('Hilfstabellen_Mat&amp;Bem'!f.Rd.3/'Hilfstabellen_Mat&amp;Bem'!$BD$30)</f>
        <v>0.4497683094230408</v>
      </c>
      <c r="AJ328" s="553">
        <f>0.5*(1+'Hilfstabellen_Mat&amp;Bem'!$BD$31*($AI328-0.3)+$AI328^2)</f>
        <v>0.60863418155178217</v>
      </c>
      <c r="AK328" s="550">
        <f t="shared" ref="AK328:AK348" si="300">MIN(1/($AJ328+SQRT($AJ328^2-$AI328^2)),1)</f>
        <v>0.98165495105376765</v>
      </c>
      <c r="AM328" s="551">
        <f t="shared" si="293"/>
        <v>141750.97493216404</v>
      </c>
      <c r="AQ328" s="546">
        <f t="shared" si="249"/>
        <v>380</v>
      </c>
      <c r="AR328" s="551">
        <f t="shared" ref="AR328:AR348" si="301">$AP$8*10^3/$AQ328*SQRT(12)</f>
        <v>29.171382022212669</v>
      </c>
      <c r="AS328" s="553">
        <f>$AR328/PI()*SQRT('Hilfstabellen_Mat&amp;Bem'!f.Rd.3/'Hilfstabellen_Mat&amp;Bem'!$BD$30)</f>
        <v>0.46427696456571965</v>
      </c>
      <c r="AT328" s="553">
        <f>0.5*(1+'Hilfstabellen_Mat&amp;Bem'!$BD$31*($AS328-0.3)+$AS328^2)</f>
        <v>0.61599039814146517</v>
      </c>
      <c r="AU328" s="550">
        <f t="shared" ref="AU328:AU348" si="302">MIN(1/($AT328+SQRT($AT328^2-$AS328^2)),1)</f>
        <v>0.97959981460664292</v>
      </c>
      <c r="AW328" s="551">
        <f t="shared" si="294"/>
        <v>141454.21322919923</v>
      </c>
      <c r="BA328" s="546">
        <f t="shared" si="250"/>
        <v>380</v>
      </c>
      <c r="BB328" s="551">
        <f t="shared" si="251"/>
        <v>30.082987710406815</v>
      </c>
      <c r="BC328" s="553">
        <f>$BB328/PI()*SQRT('Hilfstabellen_Mat&amp;Bem'!f.Rd.3/'Hilfstabellen_Mat&amp;Bem'!$BD$30)</f>
        <v>0.47878561970839839</v>
      </c>
      <c r="BD328" s="553">
        <f>0.5*(1+'Hilfstabellen_Mat&amp;Bem'!$BD$31*($BC328-0.3)+$BC328^2)</f>
        <v>0.62355711580519746</v>
      </c>
      <c r="BE328" s="550">
        <f t="shared" si="252"/>
        <v>0.97747741282089551</v>
      </c>
      <c r="BG328" s="551">
        <f t="shared" si="253"/>
        <v>141147.73841133731</v>
      </c>
      <c r="BK328" s="546">
        <f t="shared" si="254"/>
        <v>380</v>
      </c>
      <c r="BL328" s="551">
        <f t="shared" si="255"/>
        <v>30.994593398600962</v>
      </c>
      <c r="BM328" s="553">
        <f>$BL328/PI()*SQRT('Hilfstabellen_Mat&amp;Bem'!f.Rd.3/'Hilfstabellen_Mat&amp;Bem'!$BD$30)</f>
        <v>0.49329427485107713</v>
      </c>
      <c r="BN328" s="553">
        <f>0.5*(1+'Hilfstabellen_Mat&amp;Bem'!$BD$31*($BM328-0.3)+$BM328^2)</f>
        <v>0.63133433454297883</v>
      </c>
      <c r="BO328" s="550">
        <f t="shared" si="256"/>
        <v>0.97528221982134455</v>
      </c>
      <c r="BQ328" s="551">
        <f t="shared" si="257"/>
        <v>140830.75254220216</v>
      </c>
      <c r="BU328" s="546">
        <f t="shared" si="258"/>
        <v>380</v>
      </c>
      <c r="BV328" s="551">
        <f t="shared" si="259"/>
        <v>31.906199086795109</v>
      </c>
      <c r="BW328" s="553">
        <f>$BV328/PI()*SQRT('Hilfstabellen_Mat&amp;Bem'!f.Rd.3/'Hilfstabellen_Mat&amp;Bem'!$BD$30)</f>
        <v>0.50780292999375587</v>
      </c>
      <c r="BX328" s="553">
        <f>0.5*(1+'Hilfstabellen_Mat&amp;Bem'!$BD$31*($BW328-0.3)+$BW328^2)</f>
        <v>0.63932205435480949</v>
      </c>
      <c r="BY328" s="550">
        <f t="shared" si="260"/>
        <v>0.97300828306661702</v>
      </c>
      <c r="CA328" s="551">
        <f t="shared" si="261"/>
        <v>140502.39607481949</v>
      </c>
      <c r="CE328" s="546">
        <f t="shared" si="262"/>
        <v>380</v>
      </c>
      <c r="CF328" s="551">
        <f t="shared" si="263"/>
        <v>32.817804774989249</v>
      </c>
      <c r="CG328" s="553">
        <f>CF328/PI()*SQRT('Hilfstabellen_Mat&amp;Bem'!f.Rd.3/'Hilfstabellen_Mat&amp;Bem'!$BD$30)</f>
        <v>0.5223115851364345</v>
      </c>
      <c r="CH328" s="553">
        <f>0.5*(1+'Hilfstabellen_Mat&amp;Bem'!$BD$31*(CG328-0.3)+CG328^2)</f>
        <v>0.64752027524068911</v>
      </c>
      <c r="CI328" s="550">
        <f t="shared" si="264"/>
        <v>0.9706491827962761</v>
      </c>
      <c r="CK328" s="551">
        <f t="shared" si="265"/>
        <v>140161.74199578227</v>
      </c>
      <c r="CO328" s="546">
        <f t="shared" si="266"/>
        <v>380</v>
      </c>
      <c r="CP328" s="551">
        <f t="shared" si="267"/>
        <v>33.729410463183399</v>
      </c>
      <c r="CQ328" s="553">
        <f>CP328/PI()*SQRT('Hilfstabellen_Mat&amp;Bem'!f.Rd.3/'Hilfstabellen_Mat&amp;Bem'!$BD$30)</f>
        <v>0.53682024027911335</v>
      </c>
      <c r="CR328" s="553">
        <f>0.5*(1+'Hilfstabellen_Mat&amp;Bem'!$BD$31*(CQ328-0.3)+CQ328^2)</f>
        <v>0.65592899720061815</v>
      </c>
      <c r="CS328" s="550">
        <f t="shared" si="268"/>
        <v>0.96819798834735804</v>
      </c>
      <c r="CU328" s="551">
        <f t="shared" si="269"/>
        <v>139807.7895173585</v>
      </c>
      <c r="CY328" s="546">
        <f t="shared" si="270"/>
        <v>380</v>
      </c>
      <c r="CZ328" s="551">
        <f t="shared" si="271"/>
        <v>34.641016151377542</v>
      </c>
      <c r="DA328" s="553">
        <f>CZ328/PI()*SQRT('Hilfstabellen_Mat&amp;Bem'!f.Rd.3/'Hilfstabellen_Mat&amp;Bem'!$BD$30)</f>
        <v>0.55132889542179198</v>
      </c>
      <c r="DB328" s="553">
        <f>0.5*(1+'Hilfstabellen_Mat&amp;Bem'!$BD$31*(DA328-0.3)+DA328^2)</f>
        <v>0.66454822023459625</v>
      </c>
      <c r="DC328" s="550">
        <f t="shared" si="272"/>
        <v>0.96564721134572118</v>
      </c>
      <c r="DE328" s="551">
        <f t="shared" si="273"/>
        <v>139439.45731832215</v>
      </c>
      <c r="DI328" s="546">
        <f t="shared" si="274"/>
        <v>380</v>
      </c>
      <c r="DJ328" s="551">
        <f t="shared" si="275"/>
        <v>35.552621839571692</v>
      </c>
      <c r="DK328" s="553">
        <f>DJ328/PI()*SQRT('Hilfstabellen_Mat&amp;Bem'!f.Rd.3/'Hilfstabellen_Mat&amp;Bem'!$BD$30)</f>
        <v>0.56583755056447083</v>
      </c>
      <c r="DL328" s="553">
        <f>0.5*(1+'Hilfstabellen_Mat&amp;Bem'!$BD$31*(DK328-0.3)+DK328^2)</f>
        <v>0.67337794434262366</v>
      </c>
      <c r="DM328" s="550">
        <f t="shared" si="276"/>
        <v>0.96298875589208255</v>
      </c>
      <c r="DO328" s="551">
        <f t="shared" si="277"/>
        <v>139055.57635081673</v>
      </c>
      <c r="DS328" s="546">
        <f t="shared" si="278"/>
        <v>380</v>
      </c>
      <c r="DT328" s="551">
        <f t="shared" si="279"/>
        <v>36.464227527765836</v>
      </c>
      <c r="DU328" s="553">
        <f>DT328/PI()*SQRT('Hilfstabellen_Mat&amp;Bem'!f.Rd.3/'Hilfstabellen_Mat&amp;Bem'!$BD$30)</f>
        <v>0.58034620570714945</v>
      </c>
      <c r="DV328" s="553">
        <f>0.5*(1+'Hilfstabellen_Mat&amp;Bem'!$BD$31*(DU328-0.3)+DU328^2)</f>
        <v>0.68241816952470002</v>
      </c>
      <c r="DW328" s="550">
        <f t="shared" si="280"/>
        <v>0.96021386602318637</v>
      </c>
      <c r="DY328" s="551">
        <f t="shared" si="281"/>
        <v>138654.8822537481</v>
      </c>
      <c r="EC328" s="546">
        <f t="shared" si="282"/>
        <v>380</v>
      </c>
      <c r="ED328" s="551">
        <f t="shared" si="283"/>
        <v>37.375833215959979</v>
      </c>
      <c r="EE328" s="553">
        <f>ED328/PI()*SQRT('Hilfstabellen_Mat&amp;Bem'!f.Rd.3/'Hilfstabellen_Mat&amp;Bem'!$BD$30)</f>
        <v>0.59485486084982819</v>
      </c>
      <c r="EF328" s="553">
        <f>0.5*(1+'Hilfstabellen_Mat&amp;Bem'!$BD$31*(EE328-0.3)+EE328^2)</f>
        <v>0.69166889578082569</v>
      </c>
      <c r="EG328" s="550">
        <f t="shared" si="284"/>
        <v>0.9573130709487413</v>
      </c>
      <c r="EI328" s="551">
        <f t="shared" si="285"/>
        <v>138236.00744499825</v>
      </c>
      <c r="EM328" s="546">
        <f t="shared" si="286"/>
        <v>380</v>
      </c>
      <c r="EN328" s="551">
        <f t="shared" si="287"/>
        <v>38.287438904154129</v>
      </c>
      <c r="EO328" s="553">
        <f>EN328/PI()*SQRT('Hilfstabellen_Mat&amp;Bem'!f.Rd.3/'Hilfstabellen_Mat&amp;Bem'!$BD$30)</f>
        <v>0.60936351599250704</v>
      </c>
      <c r="EP328" s="553">
        <f>0.5*(1+'Hilfstabellen_Mat&amp;Bem'!$BD$31*(EO328-0.3)+EO328^2)</f>
        <v>0.70113012311100054</v>
      </c>
      <c r="EQ328" s="550">
        <f t="shared" si="288"/>
        <v>0.95427612886125357</v>
      </c>
      <c r="ES328" s="551">
        <f t="shared" si="289"/>
        <v>137797.47300756501</v>
      </c>
    </row>
    <row r="329" spans="3:149">
      <c r="C329" s="546">
        <v>381</v>
      </c>
      <c r="D329" s="551">
        <f t="shared" ref="D329:D348" si="303">$B$8*10^3/$C329*SQRT(12)</f>
        <v>25.457964625684284</v>
      </c>
      <c r="E329" s="553">
        <f>$D329/PI()*SQRT('Hilfstabellen_Mat&amp;Bem'!f.Rd.3/'Hilfstabellen_Mat&amp;Bem'!$BD$30)</f>
        <v>0.40517609112362668</v>
      </c>
      <c r="F329" s="553">
        <f>0.5*(1+'Hilfstabellen_Mat&amp;Bem'!$BD$31*($E329-0.3)+$E329^2)</f>
        <v>0.5873426369652921</v>
      </c>
      <c r="G329" s="550">
        <f t="shared" ref="G329:G348" si="304">MIN(1/($F329+SQRT($F329^2-$E329^2)),1)</f>
        <v>0.98760278993282291</v>
      </c>
      <c r="I329" s="551">
        <f t="shared" si="290"/>
        <v>143361.40858943851</v>
      </c>
      <c r="M329" s="546">
        <f t="shared" ref="M329:M348" si="305">$C329</f>
        <v>381</v>
      </c>
      <c r="N329" s="551">
        <f t="shared" si="295"/>
        <v>26.367177648030154</v>
      </c>
      <c r="O329" s="553">
        <f>$N329/PI()*SQRT('Hilfstabellen_Mat&amp;Bem'!f.Rd.3/'Hilfstabellen_Mat&amp;Bem'!$BD$30)</f>
        <v>0.41964666580661342</v>
      </c>
      <c r="P329" s="553">
        <f>0.5*(1+'Hilfstabellen_Mat&amp;Bem'!$BD$31*($O329-0.3)+$O329^2)</f>
        <v>0.59403399535163448</v>
      </c>
      <c r="Q329" s="550">
        <f t="shared" si="296"/>
        <v>0.98572873372701386</v>
      </c>
      <c r="S329" s="551">
        <f t="shared" si="291"/>
        <v>143089.36871654706</v>
      </c>
      <c r="W329" s="546">
        <f t="shared" ref="W329:W348" si="306">$C329</f>
        <v>381</v>
      </c>
      <c r="X329" s="551">
        <f t="shared" si="297"/>
        <v>27.276390670376021</v>
      </c>
      <c r="Y329" s="553">
        <f>$X329/PI()*SQRT('Hilfstabellen_Mat&amp;Bem'!f.Rd.3/'Hilfstabellen_Mat&amp;Bem'!$BD$30)</f>
        <v>0.4341172404896001</v>
      </c>
      <c r="Z329" s="553">
        <f>0.5*(1+'Hilfstabellen_Mat&amp;Bem'!$BD$31*($Y329-0.3)+$Y329^2)</f>
        <v>0.60093475126963258</v>
      </c>
      <c r="AA329" s="550">
        <f t="shared" si="298"/>
        <v>0.98380239300364625</v>
      </c>
      <c r="AC329" s="551">
        <f t="shared" si="292"/>
        <v>142809.73917080229</v>
      </c>
      <c r="AG329" s="546">
        <f t="shared" ref="AG329:AG348" si="307">$C329</f>
        <v>381</v>
      </c>
      <c r="AH329" s="551">
        <f t="shared" si="299"/>
        <v>28.185603692721884</v>
      </c>
      <c r="AI329" s="553">
        <f>$AH329/PI()*SQRT('Hilfstabellen_Mat&amp;Bem'!f.Rd.3/'Hilfstabellen_Mat&amp;Bem'!$BD$30)</f>
        <v>0.44858781517258672</v>
      </c>
      <c r="AJ329" s="553">
        <f>0.5*(1+'Hilfstabellen_Mat&amp;Bem'!$BD$31*($AI329-0.3)+$AI329^2)</f>
        <v>0.60804490471928674</v>
      </c>
      <c r="AK329" s="550">
        <f t="shared" si="300"/>
        <v>0.98181936706220418</v>
      </c>
      <c r="AM329" s="551">
        <f t="shared" si="293"/>
        <v>142521.88114211662</v>
      </c>
      <c r="AQ329" s="546">
        <f t="shared" ref="AQ329:AQ348" si="308">$C329</f>
        <v>381</v>
      </c>
      <c r="AR329" s="551">
        <f t="shared" si="301"/>
        <v>29.094816715067754</v>
      </c>
      <c r="AS329" s="553">
        <f>$AR329/PI()*SQRT('Hilfstabellen_Mat&amp;Bem'!f.Rd.3/'Hilfstabellen_Mat&amp;Bem'!$BD$30)</f>
        <v>0.46305838985557335</v>
      </c>
      <c r="AT329" s="553">
        <f>0.5*(1+'Hilfstabellen_Mat&amp;Bem'!$BD$31*($AS329-0.3)+$AS329^2)</f>
        <v>0.61536445570059672</v>
      </c>
      <c r="AU329" s="550">
        <f t="shared" si="302"/>
        <v>0.97977493814137118</v>
      </c>
      <c r="AW329" s="551">
        <f t="shared" si="294"/>
        <v>142225.10979553958</v>
      </c>
      <c r="BA329" s="546">
        <f t="shared" si="250"/>
        <v>381</v>
      </c>
      <c r="BB329" s="551">
        <f t="shared" si="251"/>
        <v>30.004029737413624</v>
      </c>
      <c r="BC329" s="553">
        <f>$BB329/PI()*SQRT('Hilfstabellen_Mat&amp;Bem'!f.Rd.3/'Hilfstabellen_Mat&amp;Bem'!$BD$30)</f>
        <v>0.47752896453856009</v>
      </c>
      <c r="BD329" s="553">
        <f>0.5*(1+'Hilfstabellen_Mat&amp;Bem'!$BD$31*($BC329-0.3)+$BC329^2)</f>
        <v>0.62289340421356276</v>
      </c>
      <c r="BE329" s="550">
        <f t="shared" si="252"/>
        <v>0.97766404024770448</v>
      </c>
      <c r="BG329" s="551">
        <f t="shared" si="253"/>
        <v>141918.68974639702</v>
      </c>
      <c r="BK329" s="546">
        <f t="shared" si="254"/>
        <v>381</v>
      </c>
      <c r="BL329" s="551">
        <f t="shared" si="255"/>
        <v>30.913242759759488</v>
      </c>
      <c r="BM329" s="553">
        <f>$BL329/PI()*SQRT('Hilfstabellen_Mat&amp;Bem'!f.Rd.3/'Hilfstabellen_Mat&amp;Bem'!$BD$30)</f>
        <v>0.49199953922154677</v>
      </c>
      <c r="BN329" s="553">
        <f>0.5*(1+'Hilfstabellen_Mat&amp;Bem'!$BD$31*($BM329-0.3)+$BM329^2)</f>
        <v>0.63063175025818441</v>
      </c>
      <c r="BO329" s="550">
        <f t="shared" si="256"/>
        <v>0.9754812252725068</v>
      </c>
      <c r="BQ329" s="551">
        <f t="shared" si="257"/>
        <v>141601.83014178235</v>
      </c>
      <c r="BU329" s="546">
        <f t="shared" si="258"/>
        <v>381</v>
      </c>
      <c r="BV329" s="551">
        <f t="shared" si="259"/>
        <v>31.822455782105354</v>
      </c>
      <c r="BW329" s="553">
        <f>$BV329/PI()*SQRT('Hilfstabellen_Mat&amp;Bem'!f.Rd.3/'Hilfstabellen_Mat&amp;Bem'!$BD$30)</f>
        <v>0.50647011390453345</v>
      </c>
      <c r="BX329" s="553">
        <f>0.5*(1+'Hilfstabellen_Mat&amp;Bem'!$BD$31*($BW329-0.3)+$BW329^2)</f>
        <v>0.63857949383446222</v>
      </c>
      <c r="BY329" s="550">
        <f t="shared" si="260"/>
        <v>0.97322062623724348</v>
      </c>
      <c r="CA329" s="551">
        <f t="shared" si="261"/>
        <v>141273.67932522451</v>
      </c>
      <c r="CE329" s="546">
        <f t="shared" si="262"/>
        <v>381</v>
      </c>
      <c r="CF329" s="551">
        <f t="shared" si="263"/>
        <v>32.731668804451218</v>
      </c>
      <c r="CG329" s="553">
        <f>CF329/PI()*SQRT('Hilfstabellen_Mat&amp;Bem'!f.Rd.3/'Hilfstabellen_Mat&amp;Bem'!$BD$30)</f>
        <v>0.52094068858751996</v>
      </c>
      <c r="CH329" s="553">
        <f>0.5*(1+'Hilfstabellen_Mat&amp;Bem'!$BD$31*(CG329-0.3)+CG329^2)</f>
        <v>0.64673663494239575</v>
      </c>
      <c r="CI329" s="550">
        <f t="shared" si="264"/>
        <v>0.97087591753925706</v>
      </c>
      <c r="CK329" s="551">
        <f t="shared" si="265"/>
        <v>140933.31906591609</v>
      </c>
      <c r="CO329" s="546">
        <f t="shared" si="266"/>
        <v>381</v>
      </c>
      <c r="CP329" s="551">
        <f t="shared" si="267"/>
        <v>33.640881826797091</v>
      </c>
      <c r="CQ329" s="553">
        <f>CP329/PI()*SQRT('Hilfstabellen_Mat&amp;Bem'!f.Rd.3/'Hilfstabellen_Mat&amp;Bem'!$BD$30)</f>
        <v>0.53541126327050681</v>
      </c>
      <c r="CR329" s="553">
        <f>0.5*(1+'Hilfstabellen_Mat&amp;Bem'!$BD$31*(CQ329-0.3)+CQ329^2)</f>
        <v>0.65510317358198533</v>
      </c>
      <c r="CS329" s="550">
        <f t="shared" si="268"/>
        <v>0.96844027211953543</v>
      </c>
      <c r="CU329" s="551">
        <f t="shared" si="269"/>
        <v>140579.75834114387</v>
      </c>
      <c r="CY329" s="546">
        <f t="shared" si="270"/>
        <v>381</v>
      </c>
      <c r="CZ329" s="551">
        <f t="shared" si="271"/>
        <v>34.550094849142958</v>
      </c>
      <c r="DA329" s="553">
        <f>CZ329/PI()*SQRT('Hilfstabellen_Mat&amp;Bem'!f.Rd.3/'Hilfstabellen_Mat&amp;Bem'!$BD$30)</f>
        <v>0.54988183795349344</v>
      </c>
      <c r="DB329" s="553">
        <f>0.5*(1+'Hilfstabellen_Mat&amp;Bem'!$BD$31*(DA329-0.3)+DA329^2)</f>
        <v>0.66367910975323074</v>
      </c>
      <c r="DC329" s="550">
        <f t="shared" si="272"/>
        <v>0.96590631554944495</v>
      </c>
      <c r="DE329" s="551">
        <f t="shared" si="273"/>
        <v>140211.92667147299</v>
      </c>
      <c r="DI329" s="546">
        <f t="shared" si="274"/>
        <v>381</v>
      </c>
      <c r="DJ329" s="551">
        <f t="shared" si="275"/>
        <v>35.459307871488825</v>
      </c>
      <c r="DK329" s="553">
        <f>DJ329/PI()*SQRT('Hilfstabellen_Mat&amp;Bem'!f.Rd.3/'Hilfstabellen_Mat&amp;Bem'!$BD$30)</f>
        <v>0.56435241263648006</v>
      </c>
      <c r="DL329" s="553">
        <f>0.5*(1+'Hilfstabellen_Mat&amp;Bem'!$BD$31*(DK329-0.3)+DK329^2)</f>
        <v>0.67246444345613188</v>
      </c>
      <c r="DM329" s="550">
        <f t="shared" si="276"/>
        <v>0.96326607714186552</v>
      </c>
      <c r="DO329" s="551">
        <f t="shared" si="277"/>
        <v>139828.66702399033</v>
      </c>
      <c r="DS329" s="546">
        <f t="shared" si="278"/>
        <v>381</v>
      </c>
      <c r="DT329" s="551">
        <f t="shared" si="279"/>
        <v>36.368520893834692</v>
      </c>
      <c r="DU329" s="553">
        <f>DT329/PI()*SQRT('Hilfstabellen_Mat&amp;Bem'!f.Rd.3/'Hilfstabellen_Mat&amp;Bem'!$BD$30)</f>
        <v>0.57882298731946669</v>
      </c>
      <c r="DV329" s="553">
        <f>0.5*(1+'Hilfstabellen_Mat&amp;Bem'!$BD$31*(DU329-0.3)+DU329^2)</f>
        <v>0.68145917469068906</v>
      </c>
      <c r="DW329" s="550">
        <f t="shared" si="280"/>
        <v>0.96051093834455281</v>
      </c>
      <c r="DY329" s="551">
        <f t="shared" si="281"/>
        <v>139428.72832103362</v>
      </c>
      <c r="EC329" s="546">
        <f t="shared" si="282"/>
        <v>381</v>
      </c>
      <c r="ED329" s="551">
        <f t="shared" si="283"/>
        <v>37.277733916180559</v>
      </c>
      <c r="EE329" s="553">
        <f>ED329/PI()*SQRT('Hilfstabellen_Mat&amp;Bem'!f.Rd.3/'Hilfstabellen_Mat&amp;Bem'!$BD$30)</f>
        <v>0.59329356200245342</v>
      </c>
      <c r="EF329" s="553">
        <f>0.5*(1+'Hilfstabellen_Mat&amp;Bem'!$BD$31*(EE329-0.3)+EE329^2)</f>
        <v>0.69066330345690208</v>
      </c>
      <c r="EG329" s="550">
        <f t="shared" si="284"/>
        <v>0.95763157888282879</v>
      </c>
      <c r="EI329" s="551">
        <f t="shared" si="285"/>
        <v>139010.75762221031</v>
      </c>
      <c r="EM329" s="546">
        <f t="shared" si="286"/>
        <v>381</v>
      </c>
      <c r="EN329" s="551">
        <f t="shared" si="287"/>
        <v>38.186946938526425</v>
      </c>
      <c r="EO329" s="553">
        <f>EN329/PI()*SQRT('Hilfstabellen_Mat&amp;Bem'!f.Rd.3/'Hilfstabellen_Mat&amp;Bem'!$BD$30)</f>
        <v>0.60776413668544005</v>
      </c>
      <c r="EP329" s="553">
        <f>0.5*(1+'Hilfstabellen_Mat&amp;Bem'!$BD$31*(EO329-0.3)+EO329^2)</f>
        <v>0.70007682975477115</v>
      </c>
      <c r="EQ329" s="550">
        <f t="shared" si="288"/>
        <v>0.9546179214006959</v>
      </c>
      <c r="ES329" s="551">
        <f t="shared" si="289"/>
        <v>138573.29208844641</v>
      </c>
    </row>
    <row r="330" spans="3:149">
      <c r="C330" s="546">
        <v>382</v>
      </c>
      <c r="D330" s="551">
        <f t="shared" si="303"/>
        <v>25.391320739229613</v>
      </c>
      <c r="E330" s="553">
        <f>$D330/PI()*SQRT('Hilfstabellen_Mat&amp;Bem'!f.Rd.3/'Hilfstabellen_Mat&amp;Bem'!$BD$30)</f>
        <v>0.4041154207280151</v>
      </c>
      <c r="F330" s="553">
        <f>0.5*(1+'Hilfstabellen_Mat&amp;Bem'!$BD$31*($E330-0.3)+$E330^2)</f>
        <v>0.58686040767149106</v>
      </c>
      <c r="G330" s="550">
        <f t="shared" si="304"/>
        <v>0.98773821217246516</v>
      </c>
      <c r="I330" s="551">
        <f t="shared" si="290"/>
        <v>144134.71087305481</v>
      </c>
      <c r="M330" s="546">
        <f t="shared" si="305"/>
        <v>382</v>
      </c>
      <c r="N330" s="551">
        <f t="shared" si="295"/>
        <v>26.298153622773526</v>
      </c>
      <c r="O330" s="553">
        <f>$N330/PI()*SQRT('Hilfstabellen_Mat&amp;Bem'!f.Rd.3/'Hilfstabellen_Mat&amp;Bem'!$BD$30)</f>
        <v>0.41854811432544425</v>
      </c>
      <c r="P330" s="553">
        <f>0.5*(1+'Hilfstabellen_Mat&amp;Bem'!$BD$31*($O330-0.3)+$O330^2)</f>
        <v>0.59351866771896478</v>
      </c>
      <c r="Q330" s="550">
        <f t="shared" si="296"/>
        <v>0.98587278555836699</v>
      </c>
      <c r="S330" s="551">
        <f t="shared" si="291"/>
        <v>143862.50035981915</v>
      </c>
      <c r="W330" s="546">
        <f t="shared" si="306"/>
        <v>382</v>
      </c>
      <c r="X330" s="551">
        <f t="shared" si="297"/>
        <v>27.204986506317443</v>
      </c>
      <c r="Y330" s="553">
        <f>$X330/PI()*SQRT('Hilfstabellen_Mat&amp;Bem'!f.Rd.3/'Hilfstabellen_Mat&amp;Bem'!$BD$30)</f>
        <v>0.43298080792287341</v>
      </c>
      <c r="Z330" s="553">
        <f>0.5*(1+'Hilfstabellen_Mat&amp;Bem'!$BD$31*($Y330-0.3)+$Y330^2)</f>
        <v>0.60038523041091574</v>
      </c>
      <c r="AA330" s="550">
        <f t="shared" si="298"/>
        <v>0.98395566821089631</v>
      </c>
      <c r="AC330" s="551">
        <f t="shared" si="292"/>
        <v>143582.74692800682</v>
      </c>
      <c r="AG330" s="546">
        <f t="shared" si="307"/>
        <v>382</v>
      </c>
      <c r="AH330" s="551">
        <f t="shared" si="299"/>
        <v>28.11181938986136</v>
      </c>
      <c r="AI330" s="553">
        <f>$AH330/PI()*SQRT('Hilfstabellen_Mat&amp;Bem'!f.Rd.3/'Hilfstabellen_Mat&amp;Bem'!$BD$30)</f>
        <v>0.44741350152030251</v>
      </c>
      <c r="AJ330" s="553">
        <f>0.5*(1+'Hilfstabellen_Mat&amp;Bem'!$BD$31*($AI330-0.3)+$AI330^2)</f>
        <v>0.60746009574734394</v>
      </c>
      <c r="AK330" s="550">
        <f t="shared" si="300"/>
        <v>0.98198251699856576</v>
      </c>
      <c r="AM330" s="551">
        <f t="shared" si="293"/>
        <v>143294.81681049871</v>
      </c>
      <c r="AQ330" s="546">
        <f t="shared" si="308"/>
        <v>382</v>
      </c>
      <c r="AR330" s="551">
        <f t="shared" si="301"/>
        <v>29.018652273405273</v>
      </c>
      <c r="AS330" s="553">
        <f>$AR330/PI()*SQRT('Hilfstabellen_Mat&amp;Bem'!f.Rd.3/'Hilfstabellen_Mat&amp;Bem'!$BD$30)</f>
        <v>0.46184619511773156</v>
      </c>
      <c r="AT330" s="553">
        <f>0.5*(1+'Hilfstabellen_Mat&amp;Bem'!$BD$31*($AS330-0.3)+$AS330^2)</f>
        <v>0.6147432637282495</v>
      </c>
      <c r="AU330" s="550">
        <f t="shared" si="302"/>
        <v>0.97994867735215574</v>
      </c>
      <c r="AW330" s="551">
        <f t="shared" si="294"/>
        <v>142998.03079393596</v>
      </c>
      <c r="BA330" s="546">
        <f t="shared" ref="BA330:BA348" si="309">$C330</f>
        <v>382</v>
      </c>
      <c r="BB330" s="551">
        <f t="shared" ref="BB330:BB348" si="310">$AZ$8*10^3/$BA330*SQRT(12)</f>
        <v>29.925485156949186</v>
      </c>
      <c r="BC330" s="553">
        <f>$BB330/PI()*SQRT('Hilfstabellen_Mat&amp;Bem'!f.Rd.3/'Hilfstabellen_Mat&amp;Bem'!$BD$30)</f>
        <v>0.47627888871516072</v>
      </c>
      <c r="BD330" s="553">
        <f>0.5*(1+'Hilfstabellen_Mat&amp;Bem'!$BD$31*($BC330-0.3)+$BC330^2)</f>
        <v>0.62223473435363219</v>
      </c>
      <c r="BE330" s="550">
        <f t="shared" ref="BE330:BE348" si="311">MIN(1/($BD330+SQRT($BD330^2-$BC330^2)),1)</f>
        <v>0.97784915270576767</v>
      </c>
      <c r="BG330" s="551">
        <f t="shared" ref="BG330:BG348" si="312">BA330^2*BE330</f>
        <v>142691.65975943644</v>
      </c>
      <c r="BK330" s="546">
        <f t="shared" ref="BK330:BK348" si="313">$C330</f>
        <v>382</v>
      </c>
      <c r="BL330" s="551">
        <f t="shared" ref="BL330:BL348" si="314">$BJ$8*10^3/$BK330*SQRT(12)</f>
        <v>30.832318040493099</v>
      </c>
      <c r="BM330" s="553">
        <f>$BL330/PI()*SQRT('Hilfstabellen_Mat&amp;Bem'!f.Rd.3/'Hilfstabellen_Mat&amp;Bem'!$BD$30)</f>
        <v>0.49071158231258977</v>
      </c>
      <c r="BN330" s="553">
        <f>0.5*(1+'Hilfstabellen_Mat&amp;Bem'!$BD$31*($BM330-0.3)+$BM330^2)</f>
        <v>0.62993450762349235</v>
      </c>
      <c r="BO330" s="550">
        <f t="shared" ref="BO330:BO348" si="315">MIN(1/($BN330+SQRT($BN330^2-$BM330^2)),1)</f>
        <v>0.9756785712820274</v>
      </c>
      <c r="BQ330" s="551">
        <f t="shared" ref="BQ330:BQ348" si="316">BK330^2*BO330</f>
        <v>142374.91983575857</v>
      </c>
      <c r="BU330" s="546">
        <f t="shared" ref="BU330:BU348" si="317">$C330</f>
        <v>382</v>
      </c>
      <c r="BV330" s="551">
        <f t="shared" ref="BV330:BV348" si="318">$BT$8*10^3/$BU330*SQRT(12)</f>
        <v>31.739150924037013</v>
      </c>
      <c r="BW330" s="553">
        <f>$BV330/PI()*SQRT('Hilfstabellen_Mat&amp;Bem'!f.Rd.3/'Hilfstabellen_Mat&amp;Bem'!$BD$30)</f>
        <v>0.50514427591001876</v>
      </c>
      <c r="BX330" s="553">
        <f>0.5*(1+'Hilfstabellen_Mat&amp;Bem'!$BD$31*($BW330-0.3)+$BW330^2)</f>
        <v>0.63784258353782952</v>
      </c>
      <c r="BY330" s="550">
        <f t="shared" ref="BY330:BY348" si="319">MIN(1/($BX330+SQRT($BX330^2-$BW330^2)),1)</f>
        <v>0.97343115006281145</v>
      </c>
      <c r="CA330" s="551">
        <f t="shared" ref="CA330:CA348" si="320">BU330^2*BY330</f>
        <v>142046.96714176569</v>
      </c>
      <c r="CE330" s="546">
        <f t="shared" ref="CE330:CE348" si="321">$C330</f>
        <v>382</v>
      </c>
      <c r="CF330" s="551">
        <f t="shared" ref="CF330:CF348" si="322">$CD$8*10^3/CE330*SQRT(12)</f>
        <v>32.645983807580933</v>
      </c>
      <c r="CG330" s="553">
        <f>CF330/PI()*SQRT('Hilfstabellen_Mat&amp;Bem'!f.Rd.3/'Hilfstabellen_Mat&amp;Bem'!$BD$30)</f>
        <v>0.51957696950744803</v>
      </c>
      <c r="CH330" s="553">
        <f>0.5*(1+'Hilfstabellen_Mat&amp;Bem'!$BD$31*(CG330-0.3)+CG330^2)</f>
        <v>0.64595896209664427</v>
      </c>
      <c r="CI330" s="550">
        <f t="shared" ref="CI330:CI348" si="323">MIN(1/(CH330+SQRT(CH330^2-CG330^2)),1)</f>
        <v>0.97110065581626581</v>
      </c>
      <c r="CK330" s="551">
        <f t="shared" ref="CK330:CK348" si="324">CE330^2*CI330</f>
        <v>141706.89209933276</v>
      </c>
      <c r="CO330" s="546">
        <f t="shared" ref="CO330:CO348" si="325">$C330</f>
        <v>382</v>
      </c>
      <c r="CP330" s="551">
        <f t="shared" ref="CP330:CP348" si="326">$CN$8*10^3/CO330*SQRT(12)</f>
        <v>33.552816691124846</v>
      </c>
      <c r="CQ330" s="553">
        <f>CP330/PI()*SQRT('Hilfstabellen_Mat&amp;Bem'!f.Rd.3/'Hilfstabellen_Mat&amp;Bem'!$BD$30)</f>
        <v>0.53400966310487719</v>
      </c>
      <c r="CR330" s="553">
        <f>0.5*(1+'Hilfstabellen_Mat&amp;Bem'!$BD$31*(CQ330-0.3)+CQ330^2)</f>
        <v>0.65428364329993605</v>
      </c>
      <c r="CS330" s="550">
        <f t="shared" ref="CS330:CS348" si="327">MIN(1/(CR330+SQRT(CR330^2-CQ330^2)),1)</f>
        <v>0.96868036309810279</v>
      </c>
      <c r="CU330" s="551">
        <f t="shared" ref="CU330:CU348" si="328">CO330^2*CS330</f>
        <v>141353.71330472754</v>
      </c>
      <c r="CY330" s="546">
        <f t="shared" ref="CY330:CY348" si="329">$C330</f>
        <v>382</v>
      </c>
      <c r="CZ330" s="551">
        <f t="shared" ref="CZ330:CZ348" si="330">$CX$8*10^3/CY330*SQRT(12)</f>
        <v>34.459649574668759</v>
      </c>
      <c r="DA330" s="553">
        <f>CZ330/PI()*SQRT('Hilfstabellen_Mat&amp;Bem'!f.Rd.3/'Hilfstabellen_Mat&amp;Bem'!$BD$30)</f>
        <v>0.54844235670230623</v>
      </c>
      <c r="DB330" s="553">
        <f>0.5*(1+'Hilfstabellen_Mat&amp;Bem'!$BD$31*(DA330-0.3)+DA330^2)</f>
        <v>0.66281662714770517</v>
      </c>
      <c r="DC330" s="550">
        <f t="shared" ref="DC330:DC348" si="331">MIN(1/(DB330+SQRT(DB330^2-DA330^2)),1)</f>
        <v>0.96616300921619391</v>
      </c>
      <c r="DE330" s="551">
        <f t="shared" ref="DE330:DE348" si="332">CY330^2*DC330</f>
        <v>140986.37095686389</v>
      </c>
      <c r="DI330" s="546">
        <f t="shared" ref="DI330:DI348" si="333">$C330</f>
        <v>382</v>
      </c>
      <c r="DJ330" s="551">
        <f t="shared" ref="DJ330:DJ348" si="334">$DH$8*10^3/DI330*SQRT(12)</f>
        <v>35.366482458212673</v>
      </c>
      <c r="DK330" s="553">
        <f>DJ330/PI()*SQRT('Hilfstabellen_Mat&amp;Bem'!f.Rd.3/'Hilfstabellen_Mat&amp;Bem'!$BD$30)</f>
        <v>0.56287505029973528</v>
      </c>
      <c r="DL330" s="553">
        <f>0.5*(1+'Hilfstabellen_Mat&amp;Bem'!$BD$31*(DK330-0.3)+DK330^2)</f>
        <v>0.67155791363995154</v>
      </c>
      <c r="DM330" s="550">
        <f t="shared" ref="DM330:DM348" si="335">MIN(1/(DL330+SQRT(DL330^2-DK330^2)),1)</f>
        <v>0.9635407462503901</v>
      </c>
      <c r="DO330" s="551">
        <f t="shared" ref="DO330:DO348" si="336">DI330^2*DM330</f>
        <v>140603.71985584192</v>
      </c>
      <c r="DS330" s="546">
        <f t="shared" ref="DS330:DS348" si="337">$C330</f>
        <v>382</v>
      </c>
      <c r="DT330" s="551">
        <f t="shared" ref="DT330:DT348" si="338">$DR$8*10^3/DS330*SQRT(12)</f>
        <v>36.273315341756586</v>
      </c>
      <c r="DU330" s="553">
        <f>DT330/PI()*SQRT('Hilfstabellen_Mat&amp;Bem'!f.Rd.3/'Hilfstabellen_Mat&amp;Bem'!$BD$30)</f>
        <v>0.57730774389716444</v>
      </c>
      <c r="DV330" s="553">
        <f>0.5*(1+'Hilfstabellen_Mat&amp;Bem'!$BD$31*(DU330-0.3)+DU330^2)</f>
        <v>0.68050750277667515</v>
      </c>
      <c r="DW330" s="550">
        <f t="shared" ref="DW330:DW348" si="339">MIN(1/(DV330+SQRT(DV330^2-DU330^2)),1)</f>
        <v>0.96080509036412576</v>
      </c>
      <c r="DY330" s="551">
        <f t="shared" ref="DY330:DY348" si="340">DS330^2*DW330</f>
        <v>140204.52200629469</v>
      </c>
      <c r="EC330" s="546">
        <f t="shared" ref="EC330:EC348" si="341">$C330</f>
        <v>382</v>
      </c>
      <c r="ED330" s="551">
        <f t="shared" ref="ED330:ED348" si="342">$EB$8*10^3/EC330*SQRT(12)</f>
        <v>37.180148225300499</v>
      </c>
      <c r="EE330" s="553">
        <f>ED330/PI()*SQRT('Hilfstabellen_Mat&amp;Bem'!f.Rd.3/'Hilfstabellen_Mat&amp;Bem'!$BD$30)</f>
        <v>0.59174043749459349</v>
      </c>
      <c r="EF330" s="553">
        <f>0.5*(1+'Hilfstabellen_Mat&amp;Bem'!$BD$31*(EE330-0.3)+EE330^2)</f>
        <v>0.68966539455787612</v>
      </c>
      <c r="EG330" s="550">
        <f t="shared" ref="EG330:EG348" si="343">MIN(1/(EF330+SQRT(EF330^2-EE330^2)),1)</f>
        <v>0.95794686884325875</v>
      </c>
      <c r="EI330" s="551">
        <f t="shared" ref="EI330:EI348" si="344">EC330^2*EG330</f>
        <v>139787.43888908369</v>
      </c>
      <c r="EM330" s="546">
        <f t="shared" ref="EM330:EM348" si="345">$C330</f>
        <v>382</v>
      </c>
      <c r="EN330" s="551">
        <f t="shared" ref="EN330:EN348" si="346">$EL$8*10^3/EM330*SQRT(12)</f>
        <v>38.086981108844419</v>
      </c>
      <c r="EO330" s="553">
        <f>EN330/PI()*SQRT('Hilfstabellen_Mat&amp;Bem'!f.Rd.3/'Hilfstabellen_Mat&amp;Bem'!$BD$30)</f>
        <v>0.60617313109202264</v>
      </c>
      <c r="EP330" s="553">
        <f>0.5*(1+'Hilfstabellen_Mat&amp;Bem'!$BD$31*(EO330-0.3)+EO330^2)</f>
        <v>0.69903158898355433</v>
      </c>
      <c r="EQ330" s="550">
        <f t="shared" ref="EQ330:EQ348" si="347">MIN(1/(EP330+SQRT(EP330^2-EO330^2)),1)</f>
        <v>0.95495616556584229</v>
      </c>
      <c r="ES330" s="551">
        <f t="shared" ref="ES330:ES348" si="348">EM330^2*EQ330</f>
        <v>139351.02350402996</v>
      </c>
    </row>
    <row r="331" spans="3:149">
      <c r="C331" s="546">
        <v>383</v>
      </c>
      <c r="D331" s="551">
        <f t="shared" si="303"/>
        <v>25.325024862625881</v>
      </c>
      <c r="E331" s="553">
        <f>$D331/PI()*SQRT('Hilfstabellen_Mat&amp;Bem'!f.Rd.3/'Hilfstabellen_Mat&amp;Bem'!$BD$30)</f>
        <v>0.40306028908120572</v>
      </c>
      <c r="F331" s="553">
        <f>0.5*(1+'Hilfstabellen_Mat&amp;Bem'!$BD$31*($E331-0.3)+$E331^2)</f>
        <v>0.58638181277117285</v>
      </c>
      <c r="G331" s="550">
        <f t="shared" si="304"/>
        <v>0.98787267211941643</v>
      </c>
      <c r="I331" s="551">
        <f t="shared" si="290"/>
        <v>144910.05440052508</v>
      </c>
      <c r="M331" s="546">
        <f t="shared" si="305"/>
        <v>383</v>
      </c>
      <c r="N331" s="551">
        <f t="shared" si="295"/>
        <v>26.229490036291089</v>
      </c>
      <c r="O331" s="553">
        <f>$N331/PI()*SQRT('Hilfstabellen_Mat&amp;Bem'!f.Rd.3/'Hilfstabellen_Mat&amp;Bem'!$BD$30)</f>
        <v>0.41745529940553444</v>
      </c>
      <c r="P331" s="553">
        <f>0.5*(1+'Hilfstabellen_Mat&amp;Bem'!$BD$31*($O331-0.3)+$O331^2)</f>
        <v>0.59300722847115894</v>
      </c>
      <c r="Q331" s="550">
        <f t="shared" si="296"/>
        <v>0.98601578816037772</v>
      </c>
      <c r="S331" s="551">
        <f t="shared" si="291"/>
        <v>144637.66994945766</v>
      </c>
      <c r="W331" s="546">
        <f t="shared" si="306"/>
        <v>383</v>
      </c>
      <c r="X331" s="551">
        <f t="shared" si="297"/>
        <v>27.133955209956302</v>
      </c>
      <c r="Y331" s="553">
        <f>$X331/PI()*SQRT('Hilfstabellen_Mat&amp;Bem'!f.Rd.3/'Hilfstabellen_Mat&amp;Bem'!$BD$30)</f>
        <v>0.43185030972986321</v>
      </c>
      <c r="Z331" s="553">
        <f>0.5*(1+'Hilfstabellen_Mat&amp;Bem'!$BD$31*($Y331-0.3)+$Y331^2)</f>
        <v>0.59983986049338256</v>
      </c>
      <c r="AA331" s="550">
        <f t="shared" si="298"/>
        <v>0.98410779848596996</v>
      </c>
      <c r="AC331" s="551">
        <f t="shared" si="292"/>
        <v>144357.78885210844</v>
      </c>
      <c r="AG331" s="546">
        <f t="shared" si="307"/>
        <v>383</v>
      </c>
      <c r="AH331" s="551">
        <f t="shared" si="299"/>
        <v>28.038420383621506</v>
      </c>
      <c r="AI331" s="553">
        <f>$AH331/PI()*SQRT('Hilfstabellen_Mat&amp;Bem'!f.Rd.3/'Hilfstabellen_Mat&amp;Bem'!$BD$30)</f>
        <v>0.44624532005419193</v>
      </c>
      <c r="AJ331" s="553">
        <f>0.5*(1+'Hilfstabellen_Mat&amp;Bem'!$BD$31*($AI331-0.3)+$AI331^2)</f>
        <v>0.6068797088378437</v>
      </c>
      <c r="AK331" s="550">
        <f t="shared" si="300"/>
        <v>0.9821444165281632</v>
      </c>
      <c r="AM331" s="551">
        <f t="shared" si="293"/>
        <v>144069.78231609974</v>
      </c>
      <c r="AQ331" s="546">
        <f t="shared" si="308"/>
        <v>383</v>
      </c>
      <c r="AR331" s="551">
        <f t="shared" si="301"/>
        <v>28.942885557286722</v>
      </c>
      <c r="AS331" s="553">
        <f>$AR331/PI()*SQRT('Hilfstabellen_Mat&amp;Bem'!f.Rd.3/'Hilfstabellen_Mat&amp;Bem'!$BD$30)</f>
        <v>0.46064033037852081</v>
      </c>
      <c r="AT331" s="553">
        <f>0.5*(1+'Hilfstabellen_Mat&amp;Bem'!$BD$31*($AS331-0.3)+$AS331^2)</f>
        <v>0.61412677350454248</v>
      </c>
      <c r="AU331" s="550">
        <f t="shared" si="302"/>
        <v>0.98012104978597325</v>
      </c>
      <c r="AW331" s="551">
        <f t="shared" si="294"/>
        <v>143772.97667205462</v>
      </c>
      <c r="BA331" s="546">
        <f t="shared" si="309"/>
        <v>383</v>
      </c>
      <c r="BB331" s="551">
        <f t="shared" si="310"/>
        <v>29.847350730951934</v>
      </c>
      <c r="BC331" s="553">
        <f>$BB331/PI()*SQRT('Hilfstabellen_Mat&amp;Bem'!f.Rd.3/'Hilfstabellen_Mat&amp;Bem'!$BD$30)</f>
        <v>0.47503534070284958</v>
      </c>
      <c r="BD331" s="553">
        <f>0.5*(1+'Hilfstabellen_Mat&amp;Bem'!$BD$31*($BC331-0.3)+$BC331^2)</f>
        <v>0.62158105449347867</v>
      </c>
      <c r="BE331" s="550">
        <f t="shared" si="311"/>
        <v>0.97803276986502841</v>
      </c>
      <c r="BG331" s="551">
        <f t="shared" si="312"/>
        <v>143466.64897873116</v>
      </c>
      <c r="BK331" s="546">
        <f t="shared" si="313"/>
        <v>383</v>
      </c>
      <c r="BL331" s="551">
        <f t="shared" si="314"/>
        <v>30.751815904617143</v>
      </c>
      <c r="BM331" s="553">
        <f>$BL331/PI()*SQRT('Hilfstabellen_Mat&amp;Bem'!f.Rd.3/'Hilfstabellen_Mat&amp;Bem'!$BD$30)</f>
        <v>0.48943035102717841</v>
      </c>
      <c r="BN331" s="553">
        <f>0.5*(1+'Hilfstabellen_Mat&amp;Bem'!$BD$31*($BM331-0.3)+$BM331^2)</f>
        <v>0.62924255180465238</v>
      </c>
      <c r="BO331" s="550">
        <f t="shared" si="315"/>
        <v>0.97587427991610343</v>
      </c>
      <c r="BQ331" s="551">
        <f t="shared" si="316"/>
        <v>143150.02224661328</v>
      </c>
      <c r="BU331" s="546">
        <f t="shared" si="317"/>
        <v>383</v>
      </c>
      <c r="BV331" s="551">
        <f t="shared" si="318"/>
        <v>31.656281078282355</v>
      </c>
      <c r="BW331" s="553">
        <f>$BV331/PI()*SQRT('Hilfstabellen_Mat&amp;Bem'!f.Rd.3/'Hilfstabellen_Mat&amp;Bem'!$BD$30)</f>
        <v>0.50382536135150724</v>
      </c>
      <c r="BX331" s="553">
        <f>0.5*(1+'Hilfstabellen_Mat&amp;Bem'!$BD$31*($BW331-0.3)+$BW331^2)</f>
        <v>0.63711126543806373</v>
      </c>
      <c r="BY331" s="550">
        <f t="shared" si="319"/>
        <v>0.97363987931507712</v>
      </c>
      <c r="CA331" s="551">
        <f t="shared" si="320"/>
        <v>142822.26025684935</v>
      </c>
      <c r="CE331" s="546">
        <f t="shared" si="321"/>
        <v>383</v>
      </c>
      <c r="CF331" s="551">
        <f t="shared" si="322"/>
        <v>32.560746251947563</v>
      </c>
      <c r="CG331" s="553">
        <f>CF331/PI()*SQRT('Hilfstabellen_Mat&amp;Bem'!f.Rd.3/'Hilfstabellen_Mat&amp;Bem'!$BD$30)</f>
        <v>0.5182203716758359</v>
      </c>
      <c r="CH331" s="553">
        <f>0.5*(1+'Hilfstabellen_Mat&amp;Bem'!$BD$31*(CG331-0.3)+CG331^2)</f>
        <v>0.64518719539371261</v>
      </c>
      <c r="CI331" s="550">
        <f t="shared" si="323"/>
        <v>0.97132342545437256</v>
      </c>
      <c r="CK331" s="551">
        <f t="shared" si="324"/>
        <v>142482.46195647644</v>
      </c>
      <c r="CO331" s="546">
        <f t="shared" si="325"/>
        <v>383</v>
      </c>
      <c r="CP331" s="551">
        <f t="shared" si="326"/>
        <v>33.465211425612772</v>
      </c>
      <c r="CQ331" s="553">
        <f>CP331/PI()*SQRT('Hilfstabellen_Mat&amp;Bem'!f.Rd.3/'Hilfstabellen_Mat&amp;Bem'!$BD$30)</f>
        <v>0.53261538200016467</v>
      </c>
      <c r="CR331" s="553">
        <f>0.5*(1+'Hilfstabellen_Mat&amp;Bem'!$BD$31*(CQ331-0.3)+CQ331^2)</f>
        <v>0.6534703416715989</v>
      </c>
      <c r="CS331" s="550">
        <f t="shared" si="327"/>
        <v>0.9689182925604003</v>
      </c>
      <c r="CU331" s="551">
        <f t="shared" si="328"/>
        <v>142129.65541739255</v>
      </c>
      <c r="CY331" s="546">
        <f t="shared" si="329"/>
        <v>383</v>
      </c>
      <c r="CZ331" s="551">
        <f t="shared" si="330"/>
        <v>34.36967659927798</v>
      </c>
      <c r="DA331" s="553">
        <f>CZ331/PI()*SQRT('Hilfstabellen_Mat&amp;Bem'!f.Rd.3/'Hilfstabellen_Mat&amp;Bem'!$BD$30)</f>
        <v>0.54701039232449344</v>
      </c>
      <c r="DB331" s="553">
        <f>0.5*(1+'Hilfstabellen_Mat&amp;Bem'!$BD$31*(DA331-0.3)+DA331^2)</f>
        <v>0.66196070427172282</v>
      </c>
      <c r="DC331" s="550">
        <f t="shared" si="331"/>
        <v>0.96641732751876053</v>
      </c>
      <c r="DE331" s="551">
        <f t="shared" si="332"/>
        <v>141762.79135639945</v>
      </c>
      <c r="DI331" s="546">
        <f t="shared" si="333"/>
        <v>383</v>
      </c>
      <c r="DJ331" s="551">
        <f t="shared" si="334"/>
        <v>35.274141772943196</v>
      </c>
      <c r="DK331" s="553">
        <f>DJ331/PI()*SQRT('Hilfstabellen_Mat&amp;Bem'!f.Rd.3/'Hilfstabellen_Mat&amp;Bem'!$BD$30)</f>
        <v>0.56140540264882233</v>
      </c>
      <c r="DL331" s="553">
        <f>0.5*(1+'Hilfstabellen_Mat&amp;Bem'!$BD$31*(DK331-0.3)+DK331^2)</f>
        <v>0.67065828319408427</v>
      </c>
      <c r="DM331" s="550">
        <f t="shared" si="335"/>
        <v>0.96381280278647607</v>
      </c>
      <c r="DO331" s="551">
        <f t="shared" si="336"/>
        <v>141380.7362279454</v>
      </c>
      <c r="DS331" s="546">
        <f t="shared" si="337"/>
        <v>383</v>
      </c>
      <c r="DT331" s="551">
        <f t="shared" si="338"/>
        <v>36.178606946608404</v>
      </c>
      <c r="DU331" s="553">
        <f>DT331/PI()*SQRT('Hilfstabellen_Mat&amp;Bem'!f.Rd.3/'Hilfstabellen_Mat&amp;Bem'!$BD$30)</f>
        <v>0.57580041297315099</v>
      </c>
      <c r="DV331" s="553">
        <f>0.5*(1+'Hilfstabellen_Mat&amp;Bem'!$BD$31*(DU331-0.3)+DU331^2)</f>
        <v>0.67956307843868313</v>
      </c>
      <c r="DW331" s="550">
        <f t="shared" si="339"/>
        <v>0.96109636660782904</v>
      </c>
      <c r="DY331" s="551">
        <f t="shared" si="340"/>
        <v>140982.26492133582</v>
      </c>
      <c r="EC331" s="546">
        <f t="shared" si="341"/>
        <v>383</v>
      </c>
      <c r="ED331" s="551">
        <f t="shared" si="342"/>
        <v>37.083072120273613</v>
      </c>
      <c r="EE331" s="553">
        <f>ED331/PI()*SQRT('Hilfstabellen_Mat&amp;Bem'!f.Rd.3/'Hilfstabellen_Mat&amp;Bem'!$BD$30)</f>
        <v>0.59019542329747976</v>
      </c>
      <c r="EF331" s="553">
        <f>0.5*(1+'Hilfstabellen_Mat&amp;Bem'!$BD$31*(EE331-0.3)+EE331^2)</f>
        <v>0.68867509000551963</v>
      </c>
      <c r="EG331" s="550">
        <f t="shared" si="343"/>
        <v>0.9582589909393906</v>
      </c>
      <c r="EI331" s="551">
        <f t="shared" si="344"/>
        <v>140566.05312190828</v>
      </c>
      <c r="EM331" s="546">
        <f t="shared" si="345"/>
        <v>383</v>
      </c>
      <c r="EN331" s="551">
        <f t="shared" si="346"/>
        <v>37.987537293938821</v>
      </c>
      <c r="EO331" s="553">
        <f>EN331/PI()*SQRT('Hilfstabellen_Mat&amp;Bem'!f.Rd.3/'Hilfstabellen_Mat&amp;Bem'!$BD$30)</f>
        <v>0.60459043362180853</v>
      </c>
      <c r="EP331" s="553">
        <f>0.5*(1+'Hilfstabellen_Mat&amp;Bem'!$BD$31*(EO331-0.3)+EO331^2)</f>
        <v>0.69799431789459354</v>
      </c>
      <c r="EQ331" s="550">
        <f t="shared" si="347"/>
        <v>0.95529091774500496</v>
      </c>
      <c r="ES331" s="551">
        <f t="shared" si="348"/>
        <v>140130.66943309703</v>
      </c>
    </row>
    <row r="332" spans="3:149">
      <c r="C332" s="546">
        <v>384</v>
      </c>
      <c r="D332" s="551">
        <f t="shared" si="303"/>
        <v>25.259074277046128</v>
      </c>
      <c r="E332" s="553">
        <f>$D332/PI()*SQRT('Hilfstabellen_Mat&amp;Bem'!f.Rd.3/'Hilfstabellen_Mat&amp;Bem'!$BD$30)</f>
        <v>0.40201065291172339</v>
      </c>
      <c r="F332" s="553">
        <f>0.5*(1+'Hilfstabellen_Mat&amp;Bem'!$BD$31*($E332-0.3)+$E332^2)</f>
        <v>0.58590681517284127</v>
      </c>
      <c r="G332" s="550">
        <f t="shared" si="304"/>
        <v>0.98800618079757008</v>
      </c>
      <c r="I332" s="551">
        <f t="shared" si="290"/>
        <v>145687.4393956865</v>
      </c>
      <c r="M332" s="546">
        <f t="shared" si="305"/>
        <v>384</v>
      </c>
      <c r="N332" s="551">
        <f t="shared" si="295"/>
        <v>26.161184072654915</v>
      </c>
      <c r="O332" s="553">
        <f>$N332/PI()*SQRT('Hilfstabellen_Mat&amp;Bem'!f.Rd.3/'Hilfstabellen_Mat&amp;Bem'!$BD$30)</f>
        <v>0.41636817622999917</v>
      </c>
      <c r="P332" s="553">
        <f>0.5*(1+'Hilfstabellen_Mat&amp;Bem'!$BD$31*($O332-0.3)+$O332^2)</f>
        <v>0.59249963790004778</v>
      </c>
      <c r="Q332" s="550">
        <f t="shared" si="296"/>
        <v>0.98615775384663906</v>
      </c>
      <c r="S332" s="551">
        <f t="shared" si="291"/>
        <v>145414.87775121001</v>
      </c>
      <c r="W332" s="546">
        <f t="shared" si="306"/>
        <v>384</v>
      </c>
      <c r="X332" s="551">
        <f t="shared" si="297"/>
        <v>27.063293868263706</v>
      </c>
      <c r="Y332" s="553">
        <f>$X332/PI()*SQRT('Hilfstabellen_Mat&amp;Bem'!f.Rd.3/'Hilfstabellen_Mat&amp;Bem'!$BD$30)</f>
        <v>0.43072569954827505</v>
      </c>
      <c r="Z332" s="553">
        <f>0.5*(1+'Hilfstabellen_Mat&amp;Bem'!$BD$31*($Y332-0.3)+$Y332^2)</f>
        <v>0.59929859910308925</v>
      </c>
      <c r="AA332" s="550">
        <f t="shared" si="298"/>
        <v>0.98425879759434087</v>
      </c>
      <c r="AC332" s="551">
        <f t="shared" si="292"/>
        <v>145134.86525807114</v>
      </c>
      <c r="AG332" s="546">
        <f t="shared" si="307"/>
        <v>384</v>
      </c>
      <c r="AH332" s="551">
        <f t="shared" si="299"/>
        <v>27.965403663872493</v>
      </c>
      <c r="AI332" s="553">
        <f>$AH332/PI()*SQRT('Hilfstabellen_Mat&amp;Bem'!f.Rd.3/'Hilfstabellen_Mat&amp;Bem'!$BD$30)</f>
        <v>0.44508322286655083</v>
      </c>
      <c r="AJ332" s="553">
        <f>0.5*(1+'Hilfstabellen_Mat&amp;Bem'!$BD$31*($AI332-0.3)+$AI332^2)</f>
        <v>0.60630369878196544</v>
      </c>
      <c r="AK332" s="550">
        <f t="shared" si="300"/>
        <v>0.98230508105206216</v>
      </c>
      <c r="AM332" s="551">
        <f t="shared" si="293"/>
        <v>144846.77803161286</v>
      </c>
      <c r="AQ332" s="546">
        <f t="shared" si="308"/>
        <v>384</v>
      </c>
      <c r="AR332" s="551">
        <f t="shared" si="301"/>
        <v>28.867513459481287</v>
      </c>
      <c r="AS332" s="553">
        <f>$AR332/PI()*SQRT('Hilfstabellen_Mat&amp;Bem'!f.Rd.3/'Hilfstabellen_Mat&amp;Bem'!$BD$30)</f>
        <v>0.45944074618482678</v>
      </c>
      <c r="AT332" s="553">
        <f>0.5*(1+'Hilfstabellen_Mat&amp;Bem'!$BD$31*($AS332-0.3)+$AS332^2)</f>
        <v>0.61351493693667658</v>
      </c>
      <c r="AU332" s="550">
        <f t="shared" si="302"/>
        <v>0.9802920726875779</v>
      </c>
      <c r="AW332" s="551">
        <f t="shared" si="294"/>
        <v>144549.94787021948</v>
      </c>
      <c r="BA332" s="546">
        <f t="shared" si="309"/>
        <v>384</v>
      </c>
      <c r="BB332" s="551">
        <f t="shared" si="310"/>
        <v>29.769623255090078</v>
      </c>
      <c r="BC332" s="553">
        <f>$BB332/PI()*SQRT('Hilfstabellen_Mat&amp;Bem'!f.Rd.3/'Hilfstabellen_Mat&amp;Bem'!$BD$30)</f>
        <v>0.47379826950310255</v>
      </c>
      <c r="BD332" s="553">
        <f>0.5*(1+'Hilfstabellen_Mat&amp;Bem'!$BD$31*($BC332-0.3)+$BC332^2)</f>
        <v>0.62093231356722245</v>
      </c>
      <c r="BE332" s="550">
        <f t="shared" si="311"/>
        <v>0.97821491104962244</v>
      </c>
      <c r="BG332" s="551">
        <f t="shared" si="312"/>
        <v>144243.65792373312</v>
      </c>
      <c r="BK332" s="546">
        <f t="shared" si="313"/>
        <v>384</v>
      </c>
      <c r="BL332" s="551">
        <f t="shared" si="314"/>
        <v>30.671733050698865</v>
      </c>
      <c r="BM332" s="553">
        <f>$BL332/PI()*SQRT('Hilfstabellen_Mat&amp;Bem'!f.Rd.3/'Hilfstabellen_Mat&amp;Bem'!$BD$30)</f>
        <v>0.48815579282137833</v>
      </c>
      <c r="BN332" s="553">
        <f>0.5*(1+'Hilfstabellen_Mat&amp;Bem'!$BD$31*($BM332-0.3)+$BM332^2)</f>
        <v>0.62855582867360316</v>
      </c>
      <c r="BO332" s="550">
        <f t="shared" si="315"/>
        <v>0.97606837284510051</v>
      </c>
      <c r="BQ332" s="551">
        <f t="shared" si="316"/>
        <v>143927.13798624714</v>
      </c>
      <c r="BU332" s="546">
        <f t="shared" si="317"/>
        <v>384</v>
      </c>
      <c r="BV332" s="551">
        <f t="shared" si="318"/>
        <v>31.573842846307659</v>
      </c>
      <c r="BW332" s="553">
        <f>$BV332/PI()*SQRT('Hilfstabellen_Mat&amp;Bem'!f.Rd.3/'Hilfstabellen_Mat&amp;Bem'!$BD$30)</f>
        <v>0.50251331613965433</v>
      </c>
      <c r="BX332" s="553">
        <f>0.5*(1+'Hilfstabellen_Mat&amp;Bem'!$BD$31*($BW332-0.3)+$BW332^2)</f>
        <v>0.63638548225581881</v>
      </c>
      <c r="BY332" s="550">
        <f t="shared" si="319"/>
        <v>0.973846838312594</v>
      </c>
      <c r="CA332" s="551">
        <f t="shared" si="320"/>
        <v>143599.55939022187</v>
      </c>
      <c r="CE332" s="546">
        <f t="shared" si="321"/>
        <v>384</v>
      </c>
      <c r="CF332" s="551">
        <f t="shared" si="322"/>
        <v>32.47595264191645</v>
      </c>
      <c r="CG332" s="553">
        <f>CF332/PI()*SQRT('Hilfstabellen_Mat&amp;Bem'!f.Rd.3/'Hilfstabellen_Mat&amp;Bem'!$BD$30)</f>
        <v>0.51687083945793011</v>
      </c>
      <c r="CH332" s="553">
        <f>0.5*(1+'Hilfstabellen_Mat&amp;Bem'!$BD$31*(CG332-0.3)+CG332^2)</f>
        <v>0.6444212743138692</v>
      </c>
      <c r="CI332" s="550">
        <f t="shared" si="323"/>
        <v>0.97154425376167808</v>
      </c>
      <c r="CK332" s="551">
        <f t="shared" si="324"/>
        <v>143260.029482682</v>
      </c>
      <c r="CO332" s="546">
        <f t="shared" si="325"/>
        <v>384</v>
      </c>
      <c r="CP332" s="551">
        <f t="shared" si="326"/>
        <v>33.378062437525237</v>
      </c>
      <c r="CQ332" s="553">
        <f>CP332/PI()*SQRT('Hilfstabellen_Mat&amp;Bem'!f.Rd.3/'Hilfstabellen_Mat&amp;Bem'!$BD$30)</f>
        <v>0.53122836277620589</v>
      </c>
      <c r="CR332" s="553">
        <f>0.5*(1+'Hilfstabellen_Mat&amp;Bem'!$BD$31*(CQ332-0.3)+CQ332^2)</f>
        <v>0.65266320484775442</v>
      </c>
      <c r="CS332" s="550">
        <f t="shared" si="327"/>
        <v>0.96915409118948603</v>
      </c>
      <c r="CU332" s="551">
        <f t="shared" si="328"/>
        <v>142907.58567043685</v>
      </c>
      <c r="CY332" s="546">
        <f t="shared" si="329"/>
        <v>384</v>
      </c>
      <c r="CZ332" s="551">
        <f t="shared" si="330"/>
        <v>34.280172233134032</v>
      </c>
      <c r="DA332" s="553">
        <f>CZ332/PI()*SQRT('Hilfstabellen_Mat&amp;Bem'!f.Rd.3/'Hilfstabellen_Mat&amp;Bem'!$BD$30)</f>
        <v>0.54558588609448178</v>
      </c>
      <c r="DB332" s="553">
        <f>0.5*(1+'Hilfstabellen_Mat&amp;Bem'!$BD$31*(DA332-0.3)+DA332^2)</f>
        <v>0.66111127385747448</v>
      </c>
      <c r="DC332" s="550">
        <f t="shared" si="331"/>
        <v>0.96666930494953307</v>
      </c>
      <c r="DE332" s="551">
        <f t="shared" si="332"/>
        <v>142541.18903063834</v>
      </c>
      <c r="DI332" s="546">
        <f t="shared" si="333"/>
        <v>384</v>
      </c>
      <c r="DJ332" s="551">
        <f t="shared" si="334"/>
        <v>35.182282028742819</v>
      </c>
      <c r="DK332" s="553">
        <f>DJ332/PI()*SQRT('Hilfstabellen_Mat&amp;Bem'!f.Rd.3/'Hilfstabellen_Mat&amp;Bem'!$BD$30)</f>
        <v>0.55994340941275755</v>
      </c>
      <c r="DL332" s="553">
        <f>0.5*(1+'Hilfstabellen_Mat&amp;Bem'!$BD$31*(DK332-0.3)+DK332^2)</f>
        <v>0.66976548134302938</v>
      </c>
      <c r="DM332" s="550">
        <f t="shared" si="335"/>
        <v>0.96408228554024467</v>
      </c>
      <c r="DO332" s="551">
        <f t="shared" si="336"/>
        <v>142159.71749662232</v>
      </c>
      <c r="DS332" s="546">
        <f t="shared" si="337"/>
        <v>384</v>
      </c>
      <c r="DT332" s="551">
        <f t="shared" si="338"/>
        <v>36.084391824351606</v>
      </c>
      <c r="DU332" s="553">
        <f>DT332/PI()*SQRT('Hilfstabellen_Mat&amp;Bem'!f.Rd.3/'Hilfstabellen_Mat&amp;Bem'!$BD$30)</f>
        <v>0.57430093273103333</v>
      </c>
      <c r="DV332" s="553">
        <f>0.5*(1+'Hilfstabellen_Mat&amp;Bem'!$BD$31*(DU332-0.3)+DU332^2)</f>
        <v>0.67862582730441912</v>
      </c>
      <c r="DW332" s="550">
        <f t="shared" si="339"/>
        <v>0.96138481071098469</v>
      </c>
      <c r="DY332" s="551">
        <f t="shared" si="340"/>
        <v>141761.95864819895</v>
      </c>
      <c r="EC332" s="546">
        <f t="shared" si="341"/>
        <v>384</v>
      </c>
      <c r="ED332" s="551">
        <f t="shared" si="342"/>
        <v>36.9865016199604</v>
      </c>
      <c r="EE332" s="553">
        <f>ED332/PI()*SQRT('Hilfstabellen_Mat&amp;Bem'!f.Rd.3/'Hilfstabellen_Mat&amp;Bem'!$BD$30)</f>
        <v>0.58865845604930922</v>
      </c>
      <c r="EF332" s="553">
        <f>0.5*(1+'Hilfstabellen_Mat&amp;Bem'!$BD$31*(EE332-0.3)+EE332^2)</f>
        <v>0.68769231174164369</v>
      </c>
      <c r="EG332" s="550">
        <f t="shared" si="343"/>
        <v>0.958567994262993</v>
      </c>
      <c r="EI332" s="551">
        <f t="shared" si="344"/>
        <v>141346.60216204388</v>
      </c>
      <c r="EM332" s="546">
        <f t="shared" si="345"/>
        <v>384</v>
      </c>
      <c r="EN332" s="551">
        <f t="shared" si="346"/>
        <v>37.888611415569187</v>
      </c>
      <c r="EO332" s="553">
        <f>EN332/PI()*SQRT('Hilfstabellen_Mat&amp;Bem'!f.Rd.3/'Hilfstabellen_Mat&amp;Bem'!$BD$30)</f>
        <v>0.603015979367585</v>
      </c>
      <c r="EP332" s="553">
        <f>0.5*(1+'Hilfstabellen_Mat&amp;Bem'!$BD$31*(EO332-0.3)+EO332^2)</f>
        <v>0.69696493465470311</v>
      </c>
      <c r="EQ332" s="550">
        <f t="shared" si="347"/>
        <v>0.95562223316540607</v>
      </c>
      <c r="ES332" s="551">
        <f t="shared" si="348"/>
        <v>140912.23201363813</v>
      </c>
    </row>
    <row r="333" spans="3:149">
      <c r="C333" s="546">
        <v>385</v>
      </c>
      <c r="D333" s="551">
        <f t="shared" si="303"/>
        <v>25.193466291910941</v>
      </c>
      <c r="E333" s="553">
        <f>$D333/PI()*SQRT('Hilfstabellen_Mat&amp;Bem'!f.Rd.3/'Hilfstabellen_Mat&amp;Bem'!$BD$30)</f>
        <v>0.40096646939766689</v>
      </c>
      <c r="F333" s="553">
        <f>0.5*(1+'Hilfstabellen_Mat&amp;Bem'!$BD$31*($E333-0.3)+$E333^2)</f>
        <v>0.58543537826049841</v>
      </c>
      <c r="G333" s="550">
        <f t="shared" si="304"/>
        <v>0.98813874905715537</v>
      </c>
      <c r="I333" s="551">
        <f t="shared" ref="I333:I348" si="349">C333^2*G333</f>
        <v>146466.86607899686</v>
      </c>
      <c r="M333" s="546">
        <f t="shared" si="305"/>
        <v>385</v>
      </c>
      <c r="N333" s="551">
        <f t="shared" si="295"/>
        <v>26.093232945193474</v>
      </c>
      <c r="O333" s="553">
        <f>$N333/PI()*SQRT('Hilfstabellen_Mat&amp;Bem'!f.Rd.3/'Hilfstabellen_Mat&amp;Bem'!$BD$30)</f>
        <v>0.41528670044758365</v>
      </c>
      <c r="P333" s="553">
        <f>0.5*(1+'Hilfstabellen_Mat&amp;Bem'!$BD$31*($O333-0.3)+$O333^2)</f>
        <v>0.59199585680669964</v>
      </c>
      <c r="Q333" s="550">
        <f t="shared" si="296"/>
        <v>0.98629869473252785</v>
      </c>
      <c r="S333" s="551">
        <f t="shared" ref="S333:S348" si="350">M333^2*Q333</f>
        <v>146194.12402672894</v>
      </c>
      <c r="W333" s="546">
        <f t="shared" si="306"/>
        <v>385</v>
      </c>
      <c r="X333" s="551">
        <f t="shared" si="297"/>
        <v>26.992999598476008</v>
      </c>
      <c r="Y333" s="553">
        <f>$X333/PI()*SQRT('Hilfstabellen_Mat&amp;Bem'!f.Rd.3/'Hilfstabellen_Mat&amp;Bem'!$BD$30)</f>
        <v>0.42960693149750029</v>
      </c>
      <c r="Z333" s="553">
        <f>0.5*(1+'Hilfstabellen_Mat&amp;Bem'!$BD$31*($Y333-0.3)+$Y333^2)</f>
        <v>0.59876140437022407</v>
      </c>
      <c r="AA333" s="550">
        <f t="shared" si="298"/>
        <v>0.98440867907510976</v>
      </c>
      <c r="AC333" s="551">
        <f t="shared" ref="AC333:AC348" si="351">W333^2*AA333</f>
        <v>145913.97645590815</v>
      </c>
      <c r="AG333" s="546">
        <f t="shared" si="307"/>
        <v>385</v>
      </c>
      <c r="AH333" s="551">
        <f t="shared" si="299"/>
        <v>27.892766251758545</v>
      </c>
      <c r="AI333" s="553">
        <f>$AH333/PI()*SQRT('Hilfstabellen_Mat&amp;Bem'!f.Rd.3/'Hilfstabellen_Mat&amp;Bem'!$BD$30)</f>
        <v>0.44392716254741704</v>
      </c>
      <c r="AJ333" s="553">
        <f>0.5*(1+'Hilfstabellen_Mat&amp;Bem'!$BD$31*($AI333-0.3)+$AI333^2)</f>
        <v>0.60573202095107126</v>
      </c>
      <c r="AK333" s="550">
        <f t="shared" si="300"/>
        <v>0.98246452571265319</v>
      </c>
      <c r="AM333" s="551">
        <f t="shared" ref="AM333:AM348" si="352">AG333^2*AK333</f>
        <v>145625.80432375803</v>
      </c>
      <c r="AQ333" s="546">
        <f t="shared" si="308"/>
        <v>385</v>
      </c>
      <c r="AR333" s="551">
        <f t="shared" si="301"/>
        <v>28.792532905041071</v>
      </c>
      <c r="AS333" s="553">
        <f>$AR333/PI()*SQRT('Hilfstabellen_Mat&amp;Bem'!f.Rd.3/'Hilfstabellen_Mat&amp;Bem'!$BD$30)</f>
        <v>0.45824739359733357</v>
      </c>
      <c r="AT333" s="553">
        <f>0.5*(1+'Hilfstabellen_Mat&amp;Bem'!$BD$31*($AS333-0.3)+$AS333^2)</f>
        <v>0.61290770654924143</v>
      </c>
      <c r="AU333" s="550">
        <f t="shared" si="302"/>
        <v>0.98046176300598886</v>
      </c>
      <c r="AW333" s="551">
        <f t="shared" ref="AW333:AW348" si="353">AQ333^2*AU333</f>
        <v>145328.94482156271</v>
      </c>
      <c r="BA333" s="546">
        <f t="shared" si="309"/>
        <v>385</v>
      </c>
      <c r="BB333" s="551">
        <f t="shared" si="310"/>
        <v>29.692299558323608</v>
      </c>
      <c r="BC333" s="553">
        <f>$BB333/PI()*SQRT('Hilfstabellen_Mat&amp;Bem'!f.Rd.3/'Hilfstabellen_Mat&amp;Bem'!$BD$30)</f>
        <v>0.47256762464725033</v>
      </c>
      <c r="BD333" s="553">
        <f>0.5*(1+'Hilfstabellen_Mat&amp;Bem'!$BD$31*($BC333-0.3)+$BC333^2)</f>
        <v>0.62028846116473479</v>
      </c>
      <c r="BE333" s="550">
        <f t="shared" si="311"/>
        <v>0.97839559524542719</v>
      </c>
      <c r="BG333" s="551">
        <f t="shared" si="312"/>
        <v>145022.68710525346</v>
      </c>
      <c r="BK333" s="546">
        <f t="shared" si="313"/>
        <v>385</v>
      </c>
      <c r="BL333" s="551">
        <f t="shared" si="314"/>
        <v>30.592066211606145</v>
      </c>
      <c r="BM333" s="553">
        <f>$BL333/PI()*SQRT('Hilfstabellen_Mat&amp;Bem'!f.Rd.3/'Hilfstabellen_Mat&amp;Bem'!$BD$30)</f>
        <v>0.48688785569716703</v>
      </c>
      <c r="BN333" s="553">
        <f>0.5*(1+'Hilfstabellen_Mat&amp;Bem'!$BD$31*($BM333-0.3)+$BM333^2)</f>
        <v>0.62787428479755103</v>
      </c>
      <c r="BO333" s="550">
        <f t="shared" si="315"/>
        <v>0.97626087135235196</v>
      </c>
      <c r="BQ333" s="551">
        <f t="shared" si="316"/>
        <v>144706.26765620237</v>
      </c>
      <c r="BU333" s="546">
        <f t="shared" si="317"/>
        <v>385</v>
      </c>
      <c r="BV333" s="551">
        <f t="shared" si="318"/>
        <v>31.491832864888679</v>
      </c>
      <c r="BW333" s="553">
        <f>$BV333/PI()*SQRT('Hilfstabellen_Mat&amp;Bem'!f.Rd.3/'Hilfstabellen_Mat&amp;Bem'!$BD$30)</f>
        <v>0.50120808674708373</v>
      </c>
      <c r="BX333" s="553">
        <f>0.5*(1+'Hilfstabellen_Mat&amp;Bem'!$BD$31*($BW333-0.3)+$BW333^2)</f>
        <v>0.63566517744769035</v>
      </c>
      <c r="BY333" s="550">
        <f t="shared" si="319"/>
        <v>0.97405205093094493</v>
      </c>
      <c r="CA333" s="551">
        <f t="shared" si="320"/>
        <v>144378.86524923932</v>
      </c>
      <c r="CE333" s="546">
        <f t="shared" si="321"/>
        <v>385</v>
      </c>
      <c r="CF333" s="551">
        <f t="shared" si="322"/>
        <v>32.391599518171205</v>
      </c>
      <c r="CG333" s="553">
        <f>CF333/PI()*SQRT('Hilfstabellen_Mat&amp;Bem'!f.Rd.3/'Hilfstabellen_Mat&amp;Bem'!$BD$30)</f>
        <v>0.51552831779700037</v>
      </c>
      <c r="CH333" s="553">
        <f>0.5*(1+'Hilfstabellen_Mat&amp;Bem'!$BD$31*(CG333-0.3)+CG333^2)</f>
        <v>0.64366113911515255</v>
      </c>
      <c r="CI333" s="550">
        <f t="shared" si="323"/>
        <v>0.9717631675392121</v>
      </c>
      <c r="CK333" s="551">
        <f t="shared" si="324"/>
        <v>144039.59550849971</v>
      </c>
      <c r="CO333" s="546">
        <f t="shared" si="325"/>
        <v>385</v>
      </c>
      <c r="CP333" s="551">
        <f t="shared" si="326"/>
        <v>33.291366171453745</v>
      </c>
      <c r="CQ333" s="553">
        <f>CP333/PI()*SQRT('Hilfstabellen_Mat&amp;Bem'!f.Rd.3/'Hilfstabellen_Mat&amp;Bem'!$BD$30)</f>
        <v>0.52984854884691701</v>
      </c>
      <c r="CR333" s="553">
        <f>0.5*(1+'Hilfstabellen_Mat&amp;Bem'!$BD$31*(CQ333-0.3)+CQ333^2)</f>
        <v>0.65186216979993772</v>
      </c>
      <c r="CS333" s="550">
        <f t="shared" si="327"/>
        <v>0.96938778908796241</v>
      </c>
      <c r="CU333" s="551">
        <f t="shared" si="328"/>
        <v>143687.50503756324</v>
      </c>
      <c r="CY333" s="546">
        <f t="shared" si="329"/>
        <v>385</v>
      </c>
      <c r="CZ333" s="551">
        <f t="shared" si="330"/>
        <v>34.191132824736279</v>
      </c>
      <c r="DA333" s="553">
        <f>CZ333/PI()*SQRT('Hilfstabellen_Mat&amp;Bem'!f.Rd.3/'Hilfstabellen_Mat&amp;Bem'!$BD$30)</f>
        <v>0.54416877989683377</v>
      </c>
      <c r="DB333" s="553">
        <f>0.5*(1+'Hilfstabellen_Mat&amp;Bem'!$BD$31*(DA333-0.3)+DA333^2)</f>
        <v>0.66026826950204609</v>
      </c>
      <c r="DC333" s="550">
        <f t="shared" si="331"/>
        <v>0.96691897533654247</v>
      </c>
      <c r="DE333" s="551">
        <f t="shared" si="332"/>
        <v>143321.565119259</v>
      </c>
      <c r="DI333" s="546">
        <f t="shared" si="333"/>
        <v>385</v>
      </c>
      <c r="DJ333" s="551">
        <f t="shared" si="334"/>
        <v>35.090899478018805</v>
      </c>
      <c r="DK333" s="553">
        <f>DJ333/PI()*SQRT('Hilfstabellen_Mat&amp;Bem'!f.Rd.3/'Hilfstabellen_Mat&amp;Bem'!$BD$30)</f>
        <v>0.5584890109467503</v>
      </c>
      <c r="DL333" s="553">
        <f>0.5*(1+'Hilfstabellen_Mat&amp;Bem'!$BD$31*(DK333-0.3)+DK333^2)</f>
        <v>0.66887943822147711</v>
      </c>
      <c r="DM333" s="550">
        <f t="shared" si="335"/>
        <v>0.96434923254171478</v>
      </c>
      <c r="DO333" s="551">
        <f t="shared" si="336"/>
        <v>142940.66499349568</v>
      </c>
      <c r="DS333" s="546">
        <f t="shared" si="337"/>
        <v>385</v>
      </c>
      <c r="DT333" s="551">
        <f t="shared" si="338"/>
        <v>35.990666131301346</v>
      </c>
      <c r="DU333" s="553">
        <f>DT333/PI()*SQRT('Hilfstabellen_Mat&amp;Bem'!f.Rd.3/'Hilfstabellen_Mat&amp;Bem'!$BD$30)</f>
        <v>0.57280924199666705</v>
      </c>
      <c r="DV333" s="553">
        <f>0.5*(1+'Hilfstabellen_Mat&amp;Bem'!$BD$31*(DU333-0.3)+DU333^2)</f>
        <v>0.67769567595823155</v>
      </c>
      <c r="DW333" s="550">
        <f t="shared" si="339"/>
        <v>0.96167046543981471</v>
      </c>
      <c r="DY333" s="551">
        <f t="shared" si="340"/>
        <v>142543.60473981654</v>
      </c>
      <c r="EC333" s="546">
        <f t="shared" si="341"/>
        <v>385</v>
      </c>
      <c r="ED333" s="551">
        <f t="shared" si="342"/>
        <v>36.890432784583879</v>
      </c>
      <c r="EE333" s="553">
        <f>ED333/PI()*SQRT('Hilfstabellen_Mat&amp;Bem'!f.Rd.3/'Hilfstabellen_Mat&amp;Bem'!$BD$30)</f>
        <v>0.58712947304658381</v>
      </c>
      <c r="EF333" s="553">
        <f>0.5*(1+'Hilfstabellen_Mat&amp;Bem'!$BD$31*(EE333-0.3)+EE333^2)</f>
        <v>0.68671698271230874</v>
      </c>
      <c r="EG333" s="550">
        <f t="shared" si="343"/>
        <v>0.95887392691304163</v>
      </c>
      <c r="EI333" s="551">
        <f t="shared" si="344"/>
        <v>142129.08781668558</v>
      </c>
      <c r="EM333" s="546">
        <f t="shared" si="345"/>
        <v>385</v>
      </c>
      <c r="EN333" s="551">
        <f t="shared" si="346"/>
        <v>37.790199437866406</v>
      </c>
      <c r="EO333" s="553">
        <f>EN333/PI()*SQRT('Hilfstabellen_Mat&amp;Bem'!f.Rd.3/'Hilfstabellen_Mat&amp;Bem'!$BD$30)</f>
        <v>0.60144970409650034</v>
      </c>
      <c r="EP333" s="553">
        <f>0.5*(1+'Hilfstabellen_Mat&amp;Bem'!$BD$31*(EO333-0.3)+EO333^2)</f>
        <v>0.69594335848370892</v>
      </c>
      <c r="EQ333" s="550">
        <f t="shared" si="347"/>
        <v>0.95595016592166893</v>
      </c>
      <c r="ES333" s="551">
        <f t="shared" si="348"/>
        <v>141695.71334373936</v>
      </c>
    </row>
    <row r="334" spans="3:149">
      <c r="C334" s="546">
        <v>386</v>
      </c>
      <c r="D334" s="551">
        <f t="shared" si="303"/>
        <v>25.128198244522572</v>
      </c>
      <c r="E334" s="553">
        <f>$D334/PI()*SQRT('Hilfstabellen_Mat&amp;Bem'!f.Rd.3/'Hilfstabellen_Mat&amp;Bem'!$BD$30)</f>
        <v>0.39992769616088547</v>
      </c>
      <c r="F334" s="553">
        <f>0.5*(1+'Hilfstabellen_Mat&amp;Bem'!$BD$31*($E334-0.3)+$E334^2)</f>
        <v>0.58496746588632109</v>
      </c>
      <c r="G334" s="550">
        <f t="shared" si="304"/>
        <v>0.98827038757818486</v>
      </c>
      <c r="I334" s="551">
        <f t="shared" si="349"/>
        <v>147248.33466759924</v>
      </c>
      <c r="M334" s="546">
        <f t="shared" si="305"/>
        <v>386</v>
      </c>
      <c r="N334" s="551">
        <f t="shared" si="295"/>
        <v>26.025633896112662</v>
      </c>
      <c r="O334" s="553">
        <f>$N334/PI()*SQRT('Hilfstabellen_Mat&amp;Bem'!f.Rd.3/'Hilfstabellen_Mat&amp;Bem'!$BD$30)</f>
        <v>0.4142108281666313</v>
      </c>
      <c r="P334" s="553">
        <f>0.5*(1+'Hilfstabellen_Mat&amp;Bem'!$BD$31*($O334-0.3)+$O334^2)</f>
        <v>0.59149584649357489</v>
      </c>
      <c r="Q334" s="550">
        <f t="shared" si="296"/>
        <v>0.98643862273921412</v>
      </c>
      <c r="S334" s="551">
        <f t="shared" si="350"/>
        <v>146975.40903365196</v>
      </c>
      <c r="W334" s="546">
        <f t="shared" si="306"/>
        <v>386</v>
      </c>
      <c r="X334" s="551">
        <f t="shared" si="297"/>
        <v>26.923069547702756</v>
      </c>
      <c r="Y334" s="553">
        <f>$X334/PI()*SQRT('Hilfstabellen_Mat&amp;Bem'!f.Rd.3/'Hilfstabellen_Mat&amp;Bem'!$BD$30)</f>
        <v>0.42849396017237729</v>
      </c>
      <c r="Z334" s="553">
        <f>0.5*(1+'Hilfstabellen_Mat&amp;Bem'!$BD$31*($Y334-0.3)+$Y334^2)</f>
        <v>0.5982282349607223</v>
      </c>
      <c r="AA334" s="550">
        <f t="shared" si="298"/>
        <v>0.98455745624567037</v>
      </c>
      <c r="AC334" s="551">
        <f t="shared" si="351"/>
        <v>146695.1227507799</v>
      </c>
      <c r="AG334" s="546">
        <f t="shared" si="307"/>
        <v>386</v>
      </c>
      <c r="AH334" s="551">
        <f t="shared" si="299"/>
        <v>27.820505199292846</v>
      </c>
      <c r="AI334" s="553">
        <f>$AH334/PI()*SQRT('Hilfstabellen_Mat&amp;Bem'!f.Rd.3/'Hilfstabellen_Mat&amp;Bem'!$BD$30)</f>
        <v>0.44277709217812317</v>
      </c>
      <c r="AJ334" s="553">
        <f>0.5*(1+'Hilfstabellen_Mat&amp;Bem'!$BD$31*($AI334-0.3)+$AI334^2)</f>
        <v>0.60516463128776321</v>
      </c>
      <c r="AK334" s="550">
        <f t="shared" si="300"/>
        <v>0.98262276539908255</v>
      </c>
      <c r="AM334" s="551">
        <f t="shared" si="352"/>
        <v>146406.86155340172</v>
      </c>
      <c r="AQ334" s="546">
        <f t="shared" si="308"/>
        <v>386</v>
      </c>
      <c r="AR334" s="551">
        <f t="shared" si="301"/>
        <v>28.717940850882936</v>
      </c>
      <c r="AS334" s="553">
        <f>$AR334/PI()*SQRT('Hilfstabellen_Mat&amp;Bem'!f.Rd.3/'Hilfstabellen_Mat&amp;Bem'!$BD$30)</f>
        <v>0.45706022418386905</v>
      </c>
      <c r="AT334" s="553">
        <f>0.5*(1+'Hilfstabellen_Mat&amp;Bem'!$BD$31*($AS334-0.3)+$AS334^2)</f>
        <v>0.61230503547469772</v>
      </c>
      <c r="AU334" s="550">
        <f t="shared" si="302"/>
        <v>0.9806301374008104</v>
      </c>
      <c r="AW334" s="551">
        <f t="shared" si="353"/>
        <v>146109.96795217114</v>
      </c>
      <c r="BA334" s="546">
        <f t="shared" si="309"/>
        <v>386</v>
      </c>
      <c r="BB334" s="551">
        <f t="shared" si="310"/>
        <v>29.61537650247303</v>
      </c>
      <c r="BC334" s="553">
        <f>$BB334/PI()*SQRT('Hilfstabellen_Mat&amp;Bem'!f.Rd.3/'Hilfstabellen_Mat&amp;Bem'!$BD$30)</f>
        <v>0.47134335618961498</v>
      </c>
      <c r="BD334" s="553">
        <f>0.5*(1+'Hilfstabellen_Mat&amp;Bem'!$BD$31*($BC334-0.3)+$BC334^2)</f>
        <v>0.61964944752152584</v>
      </c>
      <c r="BE334" s="550">
        <f t="shared" si="311"/>
        <v>0.97857484110742143</v>
      </c>
      <c r="BG334" s="551">
        <f t="shared" si="312"/>
        <v>145803.73702564137</v>
      </c>
      <c r="BK334" s="546">
        <f t="shared" si="313"/>
        <v>386</v>
      </c>
      <c r="BL334" s="551">
        <f t="shared" si="314"/>
        <v>30.51281215406312</v>
      </c>
      <c r="BM334" s="553">
        <f>$BL334/PI()*SQRT('Hilfstabellen_Mat&amp;Bem'!f.Rd.3/'Hilfstabellen_Mat&amp;Bem'!$BD$30)</f>
        <v>0.48562648819536086</v>
      </c>
      <c r="BN334" s="553">
        <f>0.5*(1+'Hilfstabellen_Mat&amp;Bem'!$BD$31*($BM334-0.3)+$BM334^2)</f>
        <v>0.62719786742824746</v>
      </c>
      <c r="BO334" s="550">
        <f t="shared" si="315"/>
        <v>0.97645179634271595</v>
      </c>
      <c r="BQ334" s="551">
        <f t="shared" si="316"/>
        <v>145487.4118478793</v>
      </c>
      <c r="BU334" s="546">
        <f t="shared" si="317"/>
        <v>386</v>
      </c>
      <c r="BV334" s="551">
        <f t="shared" si="318"/>
        <v>31.410247805653214</v>
      </c>
      <c r="BW334" s="553">
        <f>$BV334/PI()*SQRT('Hilfstabellen_Mat&amp;Bem'!f.Rd.3/'Hilfstabellen_Mat&amp;Bem'!$BD$30)</f>
        <v>0.49990962020110685</v>
      </c>
      <c r="BX334" s="553">
        <f>0.5*(1+'Hilfstabellen_Mat&amp;Bem'!$BD$31*($BW334-0.3)+$BW334^2)</f>
        <v>0.63495029519486279</v>
      </c>
      <c r="BY334" s="550">
        <f t="shared" si="319"/>
        <v>0.97425554061270414</v>
      </c>
      <c r="CA334" s="551">
        <f t="shared" si="320"/>
        <v>145160.17852913047</v>
      </c>
      <c r="CE334" s="546">
        <f t="shared" si="321"/>
        <v>386</v>
      </c>
      <c r="CF334" s="551">
        <f t="shared" si="322"/>
        <v>32.3076834572433</v>
      </c>
      <c r="CG334" s="553">
        <f>CF334/PI()*SQRT('Hilfstabellen_Mat&amp;Bem'!f.Rd.3/'Hilfstabellen_Mat&amp;Bem'!$BD$30)</f>
        <v>0.51419275220685268</v>
      </c>
      <c r="CH334" s="553">
        <f>0.5*(1+'Hilfstabellen_Mat&amp;Bem'!$BD$31*(CG334-0.3)+CG334^2)</f>
        <v>0.64290673082137151</v>
      </c>
      <c r="CI334" s="550">
        <f t="shared" si="323"/>
        <v>0.97198019309251626</v>
      </c>
      <c r="CK334" s="551">
        <f t="shared" si="324"/>
        <v>144821.16085001256</v>
      </c>
      <c r="CO334" s="546">
        <f t="shared" si="325"/>
        <v>386</v>
      </c>
      <c r="CP334" s="551">
        <f t="shared" si="326"/>
        <v>33.205119108833401</v>
      </c>
      <c r="CQ334" s="553">
        <f>CP334/PI()*SQRT('Hilfstabellen_Mat&amp;Bem'!f.Rd.3/'Hilfstabellen_Mat&amp;Bem'!$BD$30)</f>
        <v>0.52847588421259872</v>
      </c>
      <c r="CR334" s="553">
        <f>0.5*(1+'Hilfstabellen_Mat&amp;Bem'!$BD$31*(CQ334-0.3)+CQ334^2)</f>
        <v>0.65106717430777394</v>
      </c>
      <c r="CS334" s="550">
        <f t="shared" si="327"/>
        <v>0.96961941579143074</v>
      </c>
      <c r="CU334" s="551">
        <f t="shared" si="328"/>
        <v>144469.41447526001</v>
      </c>
      <c r="CY334" s="546">
        <f t="shared" si="329"/>
        <v>386</v>
      </c>
      <c r="CZ334" s="551">
        <f t="shared" si="330"/>
        <v>34.102554760423487</v>
      </c>
      <c r="DA334" s="553">
        <f>CZ334/PI()*SQRT('Hilfstabellen_Mat&amp;Bem'!f.Rd.3/'Hilfstabellen_Mat&amp;Bem'!$BD$30)</f>
        <v>0.54275901621834455</v>
      </c>
      <c r="DB334" s="553">
        <f>0.5*(1+'Hilfstabellen_Mat&amp;Bem'!$BD$31*(DA334-0.3)+DA334^2)</f>
        <v>0.65943162565406976</v>
      </c>
      <c r="DC334" s="550">
        <f t="shared" si="331"/>
        <v>0.96716637185907772</v>
      </c>
      <c r="DE334" s="551">
        <f t="shared" si="332"/>
        <v>144103.92074151515</v>
      </c>
      <c r="DI334" s="546">
        <f t="shared" si="333"/>
        <v>386</v>
      </c>
      <c r="DJ334" s="551">
        <f t="shared" si="334"/>
        <v>34.999990412013581</v>
      </c>
      <c r="DK334" s="553">
        <f>DJ334/PI()*SQRT('Hilfstabellen_Mat&amp;Bem'!f.Rd.3/'Hilfstabellen_Mat&amp;Bem'!$BD$30)</f>
        <v>0.55704214822409037</v>
      </c>
      <c r="DL334" s="553">
        <f>0.5*(1+'Hilfstabellen_Mat&amp;Bem'!$BD$31*(DK334-0.3)+DK334^2)</f>
        <v>0.6680000848602593</v>
      </c>
      <c r="DM334" s="550">
        <f t="shared" si="335"/>
        <v>0.96461368107888978</v>
      </c>
      <c r="DO334" s="551">
        <f t="shared" si="336"/>
        <v>143723.58002603025</v>
      </c>
      <c r="DS334" s="546">
        <f t="shared" si="337"/>
        <v>386</v>
      </c>
      <c r="DT334" s="551">
        <f t="shared" si="338"/>
        <v>35.897426063603668</v>
      </c>
      <c r="DU334" s="553">
        <f>DT334/PI()*SQRT('Hilfstabellen_Mat&amp;Bem'!f.Rd.3/'Hilfstabellen_Mat&amp;Bem'!$BD$30)</f>
        <v>0.57132528022983631</v>
      </c>
      <c r="DV334" s="553">
        <f>0.5*(1+'Hilfstabellen_Mat&amp;Bem'!$BD$31*(DU334-0.3)+DU334^2)</f>
        <v>0.67677255192634234</v>
      </c>
      <c r="DW334" s="550">
        <f t="shared" si="339"/>
        <v>0.96195337271235015</v>
      </c>
      <c r="DY334" s="551">
        <f t="shared" si="340"/>
        <v>143327.20472064932</v>
      </c>
      <c r="EC334" s="546">
        <f t="shared" si="341"/>
        <v>386</v>
      </c>
      <c r="ED334" s="551">
        <f t="shared" si="342"/>
        <v>36.794861715193768</v>
      </c>
      <c r="EE334" s="553">
        <f>ED334/PI()*SQRT('Hilfstabellen_Mat&amp;Bem'!f.Rd.3/'Hilfstabellen_Mat&amp;Bem'!$BD$30)</f>
        <v>0.58560841223558224</v>
      </c>
      <c r="EF334" s="553">
        <f>0.5*(1+'Hilfstabellen_Mat&amp;Bem'!$BD$31*(EE334-0.3)+EE334^2)</f>
        <v>0.68574902685231898</v>
      </c>
      <c r="EG334" s="550">
        <f t="shared" si="343"/>
        <v>0.95917683601982695</v>
      </c>
      <c r="EI334" s="551">
        <f t="shared" si="344"/>
        <v>142913.51185961012</v>
      </c>
      <c r="EM334" s="546">
        <f t="shared" si="345"/>
        <v>386</v>
      </c>
      <c r="EN334" s="551">
        <f t="shared" si="346"/>
        <v>37.692297366783855</v>
      </c>
      <c r="EO334" s="553">
        <f>EN334/PI()*SQRT('Hilfstabellen_Mat&amp;Bem'!f.Rd.3/'Hilfstabellen_Mat&amp;Bem'!$BD$30)</f>
        <v>0.59989154424132818</v>
      </c>
      <c r="EP334" s="553">
        <f>0.5*(1+'Hilfstabellen_Mat&amp;Bem'!$BD$31*(EO334-0.3)+EO334^2)</f>
        <v>0.69492950963818911</v>
      </c>
      <c r="EQ334" s="550">
        <f t="shared" si="347"/>
        <v>0.95627476900351949</v>
      </c>
      <c r="ES334" s="551">
        <f t="shared" si="348"/>
        <v>142481.1154824484</v>
      </c>
    </row>
    <row r="335" spans="3:149">
      <c r="C335" s="546">
        <v>387</v>
      </c>
      <c r="D335" s="551">
        <f t="shared" si="303"/>
        <v>25.063267499704683</v>
      </c>
      <c r="E335" s="553">
        <f>$D335/PI()*SQRT('Hilfstabellen_Mat&amp;Bem'!f.Rd.3/'Hilfstabellen_Mat&amp;Bem'!$BD$30)</f>
        <v>0.39889429126124493</v>
      </c>
      <c r="F335" s="553">
        <f>0.5*(1+'Hilfstabellen_Mat&amp;Bem'!$BD$31*($E335-0.3)+$E335^2)</f>
        <v>0.58450304236346762</v>
      </c>
      <c r="G335" s="550">
        <f t="shared" si="304"/>
        <v>0.98840110687382055</v>
      </c>
      <c r="I335" s="551">
        <f t="shared" si="349"/>
        <v>148031.84537538522</v>
      </c>
      <c r="M335" s="546">
        <f t="shared" si="305"/>
        <v>387</v>
      </c>
      <c r="N335" s="551">
        <f t="shared" si="295"/>
        <v>25.958384196122708</v>
      </c>
      <c r="O335" s="553">
        <f>$N335/PI()*SQRT('Hilfstabellen_Mat&amp;Bem'!f.Rd.3/'Hilfstabellen_Mat&amp;Bem'!$BD$30)</f>
        <v>0.41314051594914658</v>
      </c>
      <c r="P335" s="553">
        <f>0.5*(1+'Hilfstabellen_Mat&amp;Bem'!$BD$31*($O335-0.3)+$O335^2)</f>
        <v>0.5909995687568208</v>
      </c>
      <c r="Q335" s="550">
        <f t="shared" si="296"/>
        <v>0.98657754959757726</v>
      </c>
      <c r="S335" s="551">
        <f t="shared" si="350"/>
        <v>147758.73302567954</v>
      </c>
      <c r="W335" s="546">
        <f t="shared" si="306"/>
        <v>387</v>
      </c>
      <c r="X335" s="551">
        <f t="shared" si="297"/>
        <v>26.85350089254073</v>
      </c>
      <c r="Y335" s="553">
        <f>$X335/PI()*SQRT('Hilfstabellen_Mat&amp;Bem'!f.Rd.3/'Hilfstabellen_Mat&amp;Bem'!$BD$30)</f>
        <v>0.42738674063704807</v>
      </c>
      <c r="Z335" s="553">
        <f>0.5*(1+'Hilfstabellen_Mat&amp;Bem'!$BD$31*($Y335-0.3)+$Y335^2)</f>
        <v>0.59769905006803203</v>
      </c>
      <c r="AA335" s="550">
        <f t="shared" si="298"/>
        <v>0.98470514220626004</v>
      </c>
      <c r="AC335" s="551">
        <f t="shared" si="351"/>
        <v>147478.30444308935</v>
      </c>
      <c r="AG335" s="546">
        <f t="shared" si="307"/>
        <v>387</v>
      </c>
      <c r="AH335" s="551">
        <f t="shared" si="299"/>
        <v>27.748617588958755</v>
      </c>
      <c r="AI335" s="553">
        <f>$AH335/PI()*SQRT('Hilfstabellen_Mat&amp;Bem'!f.Rd.3/'Hilfstabellen_Mat&amp;Bem'!$BD$30)</f>
        <v>0.44163296532494967</v>
      </c>
      <c r="AJ335" s="553">
        <f>0.5*(1+'Hilfstabellen_Mat&amp;Bem'!$BD$31*($AI335-0.3)+$AI335^2)</f>
        <v>0.60460148629710153</v>
      </c>
      <c r="AK335" s="550">
        <f t="shared" si="300"/>
        <v>0.98277981475254717</v>
      </c>
      <c r="AM335" s="551">
        <f t="shared" si="352"/>
        <v>147189.95007567425</v>
      </c>
      <c r="AQ335" s="546">
        <f t="shared" si="308"/>
        <v>387</v>
      </c>
      <c r="AR335" s="551">
        <f t="shared" si="301"/>
        <v>28.643734285376777</v>
      </c>
      <c r="AS335" s="553">
        <f>$AR335/PI()*SQRT('Hilfstabellen_Mat&amp;Bem'!f.Rd.3/'Hilfstabellen_Mat&amp;Bem'!$BD$30)</f>
        <v>0.45587919001285127</v>
      </c>
      <c r="AT335" s="553">
        <f>0.5*(1+'Hilfstabellen_Mat&amp;Bem'!$BD$31*($AS335-0.3)+$AS335^2)</f>
        <v>0.61170687744402918</v>
      </c>
      <c r="AU335" s="550">
        <f t="shared" si="302"/>
        <v>0.98079721224839389</v>
      </c>
      <c r="AW335" s="551">
        <f t="shared" si="353"/>
        <v>146893.01768122971</v>
      </c>
      <c r="BA335" s="546">
        <f t="shared" si="309"/>
        <v>387</v>
      </c>
      <c r="BB335" s="551">
        <f t="shared" si="310"/>
        <v>29.538850981794802</v>
      </c>
      <c r="BC335" s="553">
        <f>$BB335/PI()*SQRT('Hilfstabellen_Mat&amp;Bem'!f.Rd.3/'Hilfstabellen_Mat&amp;Bem'!$BD$30)</f>
        <v>0.47012541470075286</v>
      </c>
      <c r="BD335" s="553">
        <f>0.5*(1+'Hilfstabellen_Mat&amp;Bem'!$BD$31*($BC335-0.3)+$BC335^2)</f>
        <v>0.6190152235088151</v>
      </c>
      <c r="BE335" s="550">
        <f t="shared" si="311"/>
        <v>0.97875266696685215</v>
      </c>
      <c r="BG335" s="551">
        <f t="shared" si="312"/>
        <v>146586.80817895848</v>
      </c>
      <c r="BK335" s="546">
        <f t="shared" si="313"/>
        <v>387</v>
      </c>
      <c r="BL335" s="551">
        <f t="shared" si="314"/>
        <v>30.433967678212831</v>
      </c>
      <c r="BM335" s="553">
        <f>$BL335/PI()*SQRT('Hilfstabellen_Mat&amp;Bem'!f.Rd.3/'Hilfstabellen_Mat&amp;Bem'!$BD$30)</f>
        <v>0.48437163938865457</v>
      </c>
      <c r="BN335" s="553">
        <f>0.5*(1+'Hilfstabellen_Mat&amp;Bem'!$BD$31*($BM335-0.3)+$BM335^2)</f>
        <v>0.62652652449145907</v>
      </c>
      <c r="BO335" s="550">
        <f t="shared" si="315"/>
        <v>0.97664116835091674</v>
      </c>
      <c r="BQ335" s="551">
        <f t="shared" si="316"/>
        <v>146270.57114274846</v>
      </c>
      <c r="BU335" s="546">
        <f t="shared" si="317"/>
        <v>387</v>
      </c>
      <c r="BV335" s="551">
        <f t="shared" si="318"/>
        <v>31.329084374630856</v>
      </c>
      <c r="BW335" s="553">
        <f>$BV335/PI()*SQRT('Hilfstabellen_Mat&amp;Bem'!f.Rd.3/'Hilfstabellen_Mat&amp;Bem'!$BD$30)</f>
        <v>0.49861786407655617</v>
      </c>
      <c r="BX335" s="553">
        <f>0.5*(1+'Hilfstabellen_Mat&amp;Bem'!$BD$31*($BW335-0.3)+$BW335^2)</f>
        <v>0.6342407803919613</v>
      </c>
      <c r="BY335" s="550">
        <f t="shared" si="319"/>
        <v>0.97445733037713211</v>
      </c>
      <c r="CA335" s="551">
        <f t="shared" si="320"/>
        <v>145943.49991325269</v>
      </c>
      <c r="CE335" s="546">
        <f t="shared" si="321"/>
        <v>387</v>
      </c>
      <c r="CF335" s="551">
        <f t="shared" si="322"/>
        <v>32.224201071048881</v>
      </c>
      <c r="CG335" s="553">
        <f>CF335/PI()*SQRT('Hilfstabellen_Mat&amp;Bem'!f.Rd.3/'Hilfstabellen_Mat&amp;Bem'!$BD$30)</f>
        <v>0.51286408876445777</v>
      </c>
      <c r="CH335" s="553">
        <f>0.5*(1+'Hilfstabellen_Mat&amp;Bem'!$BD$31*(CG335-0.3)+CG335^2)</f>
        <v>0.64215799121032169</v>
      </c>
      <c r="CI335" s="550">
        <f t="shared" si="323"/>
        <v>0.97219535624291342</v>
      </c>
      <c r="CK335" s="551">
        <f t="shared" si="324"/>
        <v>145604.7263091449</v>
      </c>
      <c r="CO335" s="546">
        <f t="shared" si="325"/>
        <v>387</v>
      </c>
      <c r="CP335" s="551">
        <f t="shared" si="326"/>
        <v>33.119317767466903</v>
      </c>
      <c r="CQ335" s="553">
        <f>CP335/PI()*SQRT('Hilfstabellen_Mat&amp;Bem'!f.Rd.3/'Hilfstabellen_Mat&amp;Bem'!$BD$30)</f>
        <v>0.52711031345235937</v>
      </c>
      <c r="CR335" s="553">
        <f>0.5*(1+'Hilfstabellen_Mat&amp;Bem'!$BD$31*(CQ335-0.3)+CQ335^2)</f>
        <v>0.65027815694654023</v>
      </c>
      <c r="CS335" s="550">
        <f t="shared" si="327"/>
        <v>0.96984900028158061</v>
      </c>
      <c r="CU335" s="551">
        <f t="shared" si="328"/>
        <v>145253.31492317206</v>
      </c>
      <c r="CY335" s="546">
        <f t="shared" si="329"/>
        <v>387</v>
      </c>
      <c r="CZ335" s="551">
        <f t="shared" si="330"/>
        <v>34.014434463884925</v>
      </c>
      <c r="DA335" s="553">
        <f>CZ335/PI()*SQRT('Hilfstabellen_Mat&amp;Bem'!f.Rd.3/'Hilfstabellen_Mat&amp;Bem'!$BD$30)</f>
        <v>0.54135653814026097</v>
      </c>
      <c r="DB335" s="553">
        <f>0.5*(1+'Hilfstabellen_Mat&amp;Bem'!$BD$31*(DA335-0.3)+DA335^2)</f>
        <v>0.65860127760061693</v>
      </c>
      <c r="DC335" s="550">
        <f t="shared" si="331"/>
        <v>0.96741152706286571</v>
      </c>
      <c r="DE335" s="551">
        <f t="shared" si="332"/>
        <v>144888.25699667833</v>
      </c>
      <c r="DI335" s="546">
        <f t="shared" si="333"/>
        <v>387</v>
      </c>
      <c r="DJ335" s="551">
        <f t="shared" si="334"/>
        <v>34.909551160302954</v>
      </c>
      <c r="DK335" s="553">
        <f>DJ335/PI()*SQRT('Hilfstabellen_Mat&amp;Bem'!f.Rd.3/'Hilfstabellen_Mat&amp;Bem'!$BD$30)</f>
        <v>0.55560276282816257</v>
      </c>
      <c r="DL335" s="553">
        <f>0.5*(1+'Hilfstabellen_Mat&amp;Bem'!$BD$31*(DK335-0.3)+DK335^2)</f>
        <v>0.6671273531725519</v>
      </c>
      <c r="DM335" s="550">
        <f t="shared" si="335"/>
        <v>0.96487566771534627</v>
      </c>
      <c r="DO335" s="551">
        <f t="shared" si="336"/>
        <v>144508.4638780597</v>
      </c>
      <c r="DS335" s="546">
        <f t="shared" si="337"/>
        <v>387</v>
      </c>
      <c r="DT335" s="551">
        <f t="shared" si="338"/>
        <v>35.804667856720975</v>
      </c>
      <c r="DU335" s="553">
        <f>DT335/PI()*SQRT('Hilfstabellen_Mat&amp;Bem'!f.Rd.3/'Hilfstabellen_Mat&amp;Bem'!$BD$30)</f>
        <v>0.56984898751606416</v>
      </c>
      <c r="DV335" s="553">
        <f>0.5*(1+'Hilfstabellen_Mat&amp;Bem'!$BD$31*(DU335-0.3)+DU335^2)</f>
        <v>0.67585638366234491</v>
      </c>
      <c r="DW335" s="550">
        <f t="shared" si="339"/>
        <v>0.96223357361876283</v>
      </c>
      <c r="DY335" s="551">
        <f t="shared" si="340"/>
        <v>144112.7600873085</v>
      </c>
      <c r="EC335" s="546">
        <f t="shared" si="341"/>
        <v>387</v>
      </c>
      <c r="ED335" s="551">
        <f t="shared" si="342"/>
        <v>36.699784553138997</v>
      </c>
      <c r="EE335" s="553">
        <f>ED335/PI()*SQRT('Hilfstabellen_Mat&amp;Bem'!f.Rd.3/'Hilfstabellen_Mat&amp;Bem'!$BD$30)</f>
        <v>0.58409521220396576</v>
      </c>
      <c r="EF335" s="553">
        <f>0.5*(1+'Hilfstabellen_Mat&amp;Bem'!$BD$31*(EE335-0.3)+EE335^2)</f>
        <v>0.68478836906999618</v>
      </c>
      <c r="EG335" s="550">
        <f t="shared" si="343"/>
        <v>0.95947676776839597</v>
      </c>
      <c r="EI335" s="551">
        <f t="shared" si="344"/>
        <v>143699.87603190489</v>
      </c>
      <c r="EM335" s="546">
        <f t="shared" si="345"/>
        <v>387</v>
      </c>
      <c r="EN335" s="551">
        <f t="shared" si="346"/>
        <v>37.594901249557026</v>
      </c>
      <c r="EO335" s="553">
        <f>EN335/PI()*SQRT('Hilfstabellen_Mat&amp;Bem'!f.Rd.3/'Hilfstabellen_Mat&amp;Bem'!$BD$30)</f>
        <v>0.59834143689186736</v>
      </c>
      <c r="EP335" s="553">
        <f>0.5*(1+'Hilfstabellen_Mat&amp;Bem'!$BD$31*(EO335-0.3)+EO335^2)</f>
        <v>0.69392330939550562</v>
      </c>
      <c r="EQ335" s="550">
        <f t="shared" si="347"/>
        <v>0.95659609432272474</v>
      </c>
      <c r="ES335" s="551">
        <f t="shared" si="348"/>
        <v>143268.44045062017</v>
      </c>
    </row>
    <row r="336" spans="3:149">
      <c r="C336" s="546">
        <v>388</v>
      </c>
      <c r="D336" s="551">
        <f t="shared" si="303"/>
        <v>24.998671449447713</v>
      </c>
      <c r="E336" s="553">
        <f>$D336/PI()*SQRT('Hilfstabellen_Mat&amp;Bem'!f.Rd.3/'Hilfstabellen_Mat&amp;Bem'!$BD$30)</f>
        <v>0.39786621319098397</v>
      </c>
      <c r="F336" s="553">
        <f>0.5*(1+'Hilfstabellen_Mat&amp;Bem'!$BD$31*($E336-0.3)+$E336^2)</f>
        <v>0.58404207245901596</v>
      </c>
      <c r="G336" s="550">
        <f t="shared" si="304"/>
        <v>0.98853091729365616</v>
      </c>
      <c r="I336" s="551">
        <f t="shared" si="349"/>
        <v>148817.39841305619</v>
      </c>
      <c r="M336" s="546">
        <f t="shared" si="305"/>
        <v>388</v>
      </c>
      <c r="N336" s="551">
        <f t="shared" si="295"/>
        <v>25.891481144070845</v>
      </c>
      <c r="O336" s="553">
        <f>$N336/PI()*SQRT('Hilfstabellen_Mat&amp;Bem'!f.Rd.3/'Hilfstabellen_Mat&amp;Bem'!$BD$30)</f>
        <v>0.4120757208049477</v>
      </c>
      <c r="P336" s="553">
        <f>0.5*(1+'Hilfstabellen_Mat&amp;Bem'!$BD$31*($O336-0.3)+$O336^2)</f>
        <v>0.59050698587870598</v>
      </c>
      <c r="Q336" s="550">
        <f t="shared" si="296"/>
        <v>0.98671548685202115</v>
      </c>
      <c r="S336" s="551">
        <f t="shared" si="350"/>
        <v>148544.09625265066</v>
      </c>
      <c r="W336" s="546">
        <f t="shared" si="306"/>
        <v>388</v>
      </c>
      <c r="X336" s="551">
        <f t="shared" si="297"/>
        <v>26.784290838693977</v>
      </c>
      <c r="Y336" s="553">
        <f>$X336/PI()*SQRT('Hilfstabellen_Mat&amp;Bem'!f.Rd.3/'Hilfstabellen_Mat&amp;Bem'!$BD$30)</f>
        <v>0.42628522841891137</v>
      </c>
      <c r="Z336" s="553">
        <f>0.5*(1+'Hilfstabellen_Mat&amp;Bem'!$BD$31*($Y336-0.3)+$Y336^2)</f>
        <v>0.59717380940502729</v>
      </c>
      <c r="AA336" s="550">
        <f t="shared" si="298"/>
        <v>0.98485174984440094</v>
      </c>
      <c r="AC336" s="551">
        <f t="shared" si="351"/>
        <v>148263.5218285755</v>
      </c>
      <c r="AG336" s="546">
        <f t="shared" si="307"/>
        <v>388</v>
      </c>
      <c r="AH336" s="551">
        <f t="shared" si="299"/>
        <v>27.677100533317109</v>
      </c>
      <c r="AI336" s="553">
        <f>$AH336/PI()*SQRT('Hilfstabellen_Mat&amp;Bem'!f.Rd.3/'Hilfstabellen_Mat&amp;Bem'!$BD$30)</f>
        <v>0.44049473603287509</v>
      </c>
      <c r="AJ336" s="553">
        <f>0.5*(1+'Hilfstabellen_Mat&amp;Bem'!$BD$31*($AI336-0.3)+$AI336^2)</f>
        <v>0.60404254303797988</v>
      </c>
      <c r="AK336" s="550">
        <f t="shared" si="300"/>
        <v>0.98293568817145993</v>
      </c>
      <c r="AM336" s="551">
        <f t="shared" si="352"/>
        <v>147975.07024008426</v>
      </c>
      <c r="AQ336" s="546">
        <f t="shared" si="308"/>
        <v>388</v>
      </c>
      <c r="AR336" s="551">
        <f t="shared" si="301"/>
        <v>28.569910227940241</v>
      </c>
      <c r="AS336" s="553">
        <f>$AR336/PI()*SQRT('Hilfstabellen_Mat&amp;Bem'!f.Rd.3/'Hilfstabellen_Mat&amp;Bem'!$BD$30)</f>
        <v>0.45470424364683881</v>
      </c>
      <c r="AT336" s="553">
        <f>0.5*(1+'Hilfstabellen_Mat&amp;Bem'!$BD$31*($AS336-0.3)+$AS336^2)</f>
        <v>0.61111318677756388</v>
      </c>
      <c r="AU336" s="550">
        <f t="shared" si="302"/>
        <v>0.98096300364784272</v>
      </c>
      <c r="AW336" s="551">
        <f t="shared" si="353"/>
        <v>147678.09442116084</v>
      </c>
      <c r="BA336" s="546">
        <f t="shared" si="309"/>
        <v>388</v>
      </c>
      <c r="BB336" s="551">
        <f t="shared" si="310"/>
        <v>29.462719922563373</v>
      </c>
      <c r="BC336" s="553">
        <f>$BB336/PI()*SQRT('Hilfstabellen_Mat&amp;Bem'!f.Rd.3/'Hilfstabellen_Mat&amp;Bem'!$BD$30)</f>
        <v>0.46891375126080254</v>
      </c>
      <c r="BD336" s="553">
        <f>0.5*(1+'Hilfstabellen_Mat&amp;Bem'!$BD$31*($BC336-0.3)+$BC336^2)</f>
        <v>0.61838574062377893</v>
      </c>
      <c r="BE336" s="550">
        <f t="shared" si="311"/>
        <v>0.97892909083822055</v>
      </c>
      <c r="BG336" s="551">
        <f t="shared" si="312"/>
        <v>147371.90105114906</v>
      </c>
      <c r="BK336" s="546">
        <f t="shared" si="313"/>
        <v>388</v>
      </c>
      <c r="BL336" s="551">
        <f t="shared" si="314"/>
        <v>30.355529617186509</v>
      </c>
      <c r="BM336" s="553">
        <f>$BL336/PI()*SQRT('Hilfstabellen_Mat&amp;Bem'!f.Rd.3/'Hilfstabellen_Mat&amp;Bem'!$BD$30)</f>
        <v>0.48312325887476626</v>
      </c>
      <c r="BN336" s="553">
        <f>0.5*(1+'Hilfstabellen_Mat&amp;Bem'!$BD$31*($BM336-0.3)+$BM336^2)</f>
        <v>0.6258602045766255</v>
      </c>
      <c r="BO336" s="550">
        <f t="shared" si="315"/>
        <v>0.97682900754966684</v>
      </c>
      <c r="BQ336" s="551">
        <f t="shared" si="316"/>
        <v>147055.74611255704</v>
      </c>
      <c r="BU336" s="546">
        <f t="shared" si="317"/>
        <v>388</v>
      </c>
      <c r="BV336" s="551">
        <f t="shared" si="318"/>
        <v>31.248339311809641</v>
      </c>
      <c r="BW336" s="553">
        <f>$BV336/PI()*SQRT('Hilfstabellen_Mat&amp;Bem'!f.Rd.3/'Hilfstabellen_Mat&amp;Bem'!$BD$30)</f>
        <v>0.49733276648872993</v>
      </c>
      <c r="BX336" s="553">
        <f>0.5*(1+'Hilfstabellen_Mat&amp;Bem'!$BD$31*($BW336-0.3)+$BW336^2)</f>
        <v>0.63353657863610324</v>
      </c>
      <c r="BY336" s="550">
        <f t="shared" si="319"/>
        <v>0.9746574428296203</v>
      </c>
      <c r="CA336" s="551">
        <f t="shared" si="320"/>
        <v>146728.83007334237</v>
      </c>
      <c r="CE336" s="546">
        <f t="shared" si="321"/>
        <v>388</v>
      </c>
      <c r="CF336" s="551">
        <f t="shared" si="322"/>
        <v>32.141149006432777</v>
      </c>
      <c r="CG336" s="553">
        <f>CF336/PI()*SQRT('Hilfstabellen_Mat&amp;Bem'!f.Rd.3/'Hilfstabellen_Mat&amp;Bem'!$BD$30)</f>
        <v>0.51154227410269371</v>
      </c>
      <c r="CH336" s="553">
        <f>0.5*(1+'Hilfstabellen_Mat&amp;Bem'!$BD$31*(CG336-0.3)+CG336^2)</f>
        <v>0.64141486280221238</v>
      </c>
      <c r="CI336" s="550">
        <f t="shared" si="323"/>
        <v>0.97240868233848066</v>
      </c>
      <c r="CK336" s="551">
        <f t="shared" si="324"/>
        <v>146390.29267396423</v>
      </c>
      <c r="CO336" s="546">
        <f t="shared" si="325"/>
        <v>388</v>
      </c>
      <c r="CP336" s="551">
        <f t="shared" si="326"/>
        <v>33.033958701055901</v>
      </c>
      <c r="CQ336" s="553">
        <f>CP336/PI()*SQRT('Hilfstabellen_Mat&amp;Bem'!f.Rd.3/'Hilfstabellen_Mat&amp;Bem'!$BD$30)</f>
        <v>0.52575178171665726</v>
      </c>
      <c r="CR336" s="553">
        <f>0.5*(1+'Hilfstabellen_Mat&amp;Bem'!$BD$31*(CQ336-0.3)+CQ336^2)</f>
        <v>0.6494950570749527</v>
      </c>
      <c r="CS336" s="550">
        <f t="shared" si="327"/>
        <v>0.97007657099892763</v>
      </c>
      <c r="CU336" s="551">
        <f t="shared" si="328"/>
        <v>146039.20730446256</v>
      </c>
      <c r="CY336" s="546">
        <f t="shared" si="329"/>
        <v>388</v>
      </c>
      <c r="CZ336" s="551">
        <f t="shared" si="330"/>
        <v>33.926768395679041</v>
      </c>
      <c r="DA336" s="553">
        <f>CZ336/PI()*SQRT('Hilfstabellen_Mat&amp;Bem'!f.Rd.3/'Hilfstabellen_Mat&amp;Bem'!$BD$30)</f>
        <v>0.53996128933062115</v>
      </c>
      <c r="DB336" s="553">
        <f>0.5*(1+'Hilfstabellen_Mat&amp;Bem'!$BD$31*(DA336-0.3)+DA336^2)</f>
        <v>0.65777716145432441</v>
      </c>
      <c r="DC336" s="550">
        <f t="shared" si="331"/>
        <v>0.96765447287484641</v>
      </c>
      <c r="DE336" s="551">
        <f t="shared" si="332"/>
        <v>145674.57496447087</v>
      </c>
      <c r="DI336" s="546">
        <f t="shared" si="333"/>
        <v>388</v>
      </c>
      <c r="DJ336" s="551">
        <f t="shared" si="334"/>
        <v>34.819578090302173</v>
      </c>
      <c r="DK336" s="553">
        <f>DJ336/PI()*SQRT('Hilfstabellen_Mat&amp;Bem'!f.Rd.3/'Hilfstabellen_Mat&amp;Bem'!$BD$30)</f>
        <v>0.55417079694458482</v>
      </c>
      <c r="DL336" s="553">
        <f>0.5*(1+'Hilfstabellen_Mat&amp;Bem'!$BD$31*(DK336-0.3)+DK336^2)</f>
        <v>0.6662611759403273</v>
      </c>
      <c r="DM336" s="550">
        <f t="shared" si="335"/>
        <v>0.96513522830733789</v>
      </c>
      <c r="DO336" s="551">
        <f t="shared" si="336"/>
        <v>145295.31781029986</v>
      </c>
      <c r="DS336" s="546">
        <f t="shared" si="337"/>
        <v>388</v>
      </c>
      <c r="DT336" s="551">
        <f t="shared" si="338"/>
        <v>35.712387784925305</v>
      </c>
      <c r="DU336" s="553">
        <f>DT336/PI()*SQRT('Hilfstabellen_Mat&amp;Bem'!f.Rd.3/'Hilfstabellen_Mat&amp;Bem'!$BD$30)</f>
        <v>0.56838030455854849</v>
      </c>
      <c r="DV336" s="553">
        <f>0.5*(1+'Hilfstabellen_Mat&amp;Bem'!$BD$31*(DU336-0.3)+DU336^2)</f>
        <v>0.67494710053296159</v>
      </c>
      <c r="DW336" s="550">
        <f t="shared" si="339"/>
        <v>0.96251110844113619</v>
      </c>
      <c r="DY336" s="551">
        <f t="shared" si="340"/>
        <v>144900.27230916239</v>
      </c>
      <c r="EC336" s="546">
        <f t="shared" si="341"/>
        <v>388</v>
      </c>
      <c r="ED336" s="551">
        <f t="shared" si="342"/>
        <v>36.605197479548437</v>
      </c>
      <c r="EE336" s="553">
        <f>ED336/PI()*SQRT('Hilfstabellen_Mat&amp;Bem'!f.Rd.3/'Hilfstabellen_Mat&amp;Bem'!$BD$30)</f>
        <v>0.58258981217251227</v>
      </c>
      <c r="EF336" s="553">
        <f>0.5*(1+'Hilfstabellen_Mat&amp;Bem'!$BD$31*(EE336-0.3)+EE336^2)</f>
        <v>0.68383493523222716</v>
      </c>
      <c r="EG336" s="550">
        <f t="shared" si="343"/>
        <v>0.95977376742134468</v>
      </c>
      <c r="EI336" s="551">
        <f t="shared" si="344"/>
        <v>144488.18204267891</v>
      </c>
      <c r="EM336" s="546">
        <f t="shared" si="345"/>
        <v>388</v>
      </c>
      <c r="EN336" s="551">
        <f t="shared" si="346"/>
        <v>37.498007174171569</v>
      </c>
      <c r="EO336" s="553">
        <f>EN336/PI()*SQRT('Hilfstabellen_Mat&amp;Bem'!f.Rd.3/'Hilfstabellen_Mat&amp;Bem'!$BD$30)</f>
        <v>0.59679931978647593</v>
      </c>
      <c r="EP336" s="553">
        <f>0.5*(1+'Hilfstabellen_Mat&amp;Bem'!$BD$31*(EO336-0.3)+EO336^2)</f>
        <v>0.69292468003812402</v>
      </c>
      <c r="EQ336" s="550">
        <f t="shared" si="347"/>
        <v>0.95691419273928702</v>
      </c>
      <c r="ES336" s="551">
        <f t="shared" si="348"/>
        <v>144057.69023174321</v>
      </c>
    </row>
    <row r="337" spans="3:149">
      <c r="C337" s="546">
        <v>389</v>
      </c>
      <c r="D337" s="551">
        <f t="shared" si="303"/>
        <v>24.934407512559673</v>
      </c>
      <c r="E337" s="553">
        <f>$D337/PI()*SQRT('Hilfstabellen_Mat&amp;Bem'!f.Rd.3/'Hilfstabellen_Mat&amp;Bem'!$BD$30)</f>
        <v>0.39684342086915625</v>
      </c>
      <c r="F337" s="553">
        <f>0.5*(1+'Hilfstabellen_Mat&amp;Bem'!$BD$31*($E337-0.3)+$E337^2)</f>
        <v>0.58358452138702499</v>
      </c>
      <c r="G337" s="550">
        <f t="shared" si="304"/>
        <v>0.98865982902693073</v>
      </c>
      <c r="I337" s="551">
        <f t="shared" si="349"/>
        <v>149604.99398818417</v>
      </c>
      <c r="M337" s="546">
        <f t="shared" si="305"/>
        <v>389</v>
      </c>
      <c r="N337" s="551">
        <f t="shared" si="295"/>
        <v>25.82492206657966</v>
      </c>
      <c r="O337" s="553">
        <f>$N337/PI()*SQRT('Hilfstabellen_Mat&amp;Bem'!f.Rd.3/'Hilfstabellen_Mat&amp;Bem'!$BD$30)</f>
        <v>0.41101640018591185</v>
      </c>
      <c r="P337" s="553">
        <f>0.5*(1+'Hilfstabellen_Mat&amp;Bem'!$BD$31*($O337-0.3)+$O337^2)</f>
        <v>0.59001806062018847</v>
      </c>
      <c r="Q337" s="550">
        <f t="shared" si="296"/>
        <v>0.98685244586420495</v>
      </c>
      <c r="S337" s="551">
        <f t="shared" si="350"/>
        <v>149331.49896061735</v>
      </c>
      <c r="W337" s="546">
        <f t="shared" si="306"/>
        <v>389</v>
      </c>
      <c r="X337" s="551">
        <f t="shared" si="297"/>
        <v>26.715436620599647</v>
      </c>
      <c r="Y337" s="553">
        <f>$X337/PI()*SQRT('Hilfstabellen_Mat&amp;Bem'!f.Rd.3/'Hilfstabellen_Mat&amp;Bem'!$BD$30)</f>
        <v>0.42518937950266739</v>
      </c>
      <c r="Z337" s="553">
        <f>0.5*(1+'Hilfstabellen_Mat&amp;Bem'!$BD$31*($Y337-0.3)+$Y337^2)</f>
        <v>0.59665247319606507</v>
      </c>
      <c r="AA337" s="550">
        <f t="shared" si="298"/>
        <v>0.98499729183923324</v>
      </c>
      <c r="AC337" s="551">
        <f t="shared" si="351"/>
        <v>149050.77519840462</v>
      </c>
      <c r="AG337" s="546">
        <f t="shared" si="307"/>
        <v>389</v>
      </c>
      <c r="AH337" s="551">
        <f t="shared" si="299"/>
        <v>27.605951174619637</v>
      </c>
      <c r="AI337" s="553">
        <f>$AH337/PI()*SQRT('Hilfstabellen_Mat&amp;Bem'!f.Rd.3/'Hilfstabellen_Mat&amp;Bem'!$BD$30)</f>
        <v>0.43936235881942304</v>
      </c>
      <c r="AJ337" s="553">
        <f>0.5*(1+'Hilfstabellen_Mat&amp;Bem'!$BD$31*($AI337-0.3)+$AI337^2)</f>
        <v>0.60348775911465491</v>
      </c>
      <c r="AK337" s="550">
        <f t="shared" si="300"/>
        <v>0.98309039981648361</v>
      </c>
      <c r="AM337" s="551">
        <f t="shared" si="352"/>
        <v>148762.22239063011</v>
      </c>
      <c r="AQ337" s="546">
        <f t="shared" si="308"/>
        <v>389</v>
      </c>
      <c r="AR337" s="551">
        <f t="shared" si="301"/>
        <v>28.496465728639624</v>
      </c>
      <c r="AS337" s="553">
        <f>$AR337/PI()*SQRT('Hilfstabellen_Mat&amp;Bem'!f.Rd.3/'Hilfstabellen_Mat&amp;Bem'!$BD$30)</f>
        <v>0.45353533813617858</v>
      </c>
      <c r="AT337" s="553">
        <f>0.5*(1+'Hilfstabellen_Mat&amp;Bem'!$BD$31*($AS337-0.3)+$AS337^2)</f>
        <v>0.61052391837595787</v>
      </c>
      <c r="AU337" s="550">
        <f t="shared" si="302"/>
        <v>0.98112752742686871</v>
      </c>
      <c r="AW337" s="551">
        <f t="shared" si="353"/>
        <v>148465.19857776121</v>
      </c>
      <c r="BA337" s="546">
        <f t="shared" si="309"/>
        <v>389</v>
      </c>
      <c r="BB337" s="551">
        <f t="shared" si="310"/>
        <v>29.386980282659614</v>
      </c>
      <c r="BC337" s="553">
        <f>$BB337/PI()*SQRT('Hilfstabellen_Mat&amp;Bem'!f.Rd.3/'Hilfstabellen_Mat&amp;Bem'!$BD$30)</f>
        <v>0.46770831745293417</v>
      </c>
      <c r="BD337" s="553">
        <f>0.5*(1+'Hilfstabellen_Mat&amp;Bem'!$BD$31*($BC337-0.3)+$BC337^2)</f>
        <v>0.61776095097997408</v>
      </c>
      <c r="BE337" s="550">
        <f t="shared" si="311"/>
        <v>0.97910413042608713</v>
      </c>
      <c r="BG337" s="551">
        <f t="shared" si="312"/>
        <v>148159.01612020592</v>
      </c>
      <c r="BK337" s="546">
        <f t="shared" si="313"/>
        <v>389</v>
      </c>
      <c r="BL337" s="551">
        <f t="shared" si="314"/>
        <v>30.277494836679601</v>
      </c>
      <c r="BM337" s="553">
        <f>$BL337/PI()*SQRT('Hilfstabellen_Mat&amp;Bem'!f.Rd.3/'Hilfstabellen_Mat&amp;Bem'!$BD$30)</f>
        <v>0.48188129676968972</v>
      </c>
      <c r="BN337" s="553">
        <f>0.5*(1+'Hilfstabellen_Mat&amp;Bem'!$BD$31*($BM337-0.3)+$BM337^2)</f>
        <v>0.62519885692670341</v>
      </c>
      <c r="BO337" s="550">
        <f t="shared" si="315"/>
        <v>0.97701533375757899</v>
      </c>
      <c r="BQ337" s="551">
        <f t="shared" si="316"/>
        <v>147842.93731953061</v>
      </c>
      <c r="BU337" s="546">
        <f t="shared" si="317"/>
        <v>389</v>
      </c>
      <c r="BV337" s="551">
        <f t="shared" si="318"/>
        <v>31.168009390699591</v>
      </c>
      <c r="BW337" s="553">
        <f>$BV337/PI()*SQRT('Hilfstabellen_Mat&amp;Bem'!f.Rd.3/'Hilfstabellen_Mat&amp;Bem'!$BD$30)</f>
        <v>0.49605427608644537</v>
      </c>
      <c r="BX337" s="553">
        <f>0.5*(1+'Hilfstabellen_Mat&amp;Bem'!$BD$31*($BW337-0.3)+$BW337^2)</f>
        <v>0.63283763621614597</v>
      </c>
      <c r="BY337" s="550">
        <f t="shared" si="319"/>
        <v>0.97485590017088464</v>
      </c>
      <c r="CA337" s="551">
        <f t="shared" si="320"/>
        <v>147516.16966975844</v>
      </c>
      <c r="CE337" s="546">
        <f t="shared" si="321"/>
        <v>389</v>
      </c>
      <c r="CF337" s="551">
        <f t="shared" si="322"/>
        <v>32.058523944719582</v>
      </c>
      <c r="CG337" s="553">
        <f>CF337/PI()*SQRT('Hilfstabellen_Mat&amp;Bem'!f.Rd.3/'Hilfstabellen_Mat&amp;Bem'!$BD$30)</f>
        <v>0.51022725540320091</v>
      </c>
      <c r="CH337" s="553">
        <f>0.5*(1+'Hilfstabellen_Mat&amp;Bem'!$BD$31*(CG337-0.3)+CG337^2)</f>
        <v>0.64067728884830166</v>
      </c>
      <c r="CI337" s="550">
        <f t="shared" si="323"/>
        <v>0.97262019626472773</v>
      </c>
      <c r="CK337" s="551">
        <f t="shared" si="324"/>
        <v>147177.86071897487</v>
      </c>
      <c r="CO337" s="546">
        <f t="shared" si="325"/>
        <v>389</v>
      </c>
      <c r="CP337" s="551">
        <f t="shared" si="326"/>
        <v>32.949038498739561</v>
      </c>
      <c r="CQ337" s="553">
        <f>CP337/PI()*SQRT('Hilfstabellen_Mat&amp;Bem'!f.Rd.3/'Hilfstabellen_Mat&amp;Bem'!$BD$30)</f>
        <v>0.52440023471995634</v>
      </c>
      <c r="CR337" s="553">
        <f>0.5*(1+'Hilfstabellen_Mat&amp;Bem'!$BD$31*(CQ337-0.3)+CQ337^2)</f>
        <v>0.64871781482317048</v>
      </c>
      <c r="CS337" s="550">
        <f t="shared" si="327"/>
        <v>0.97030215585520951</v>
      </c>
      <c r="CU337" s="551">
        <f t="shared" si="328"/>
        <v>146827.09252616615</v>
      </c>
      <c r="CY337" s="546">
        <f t="shared" si="329"/>
        <v>389</v>
      </c>
      <c r="CZ337" s="551">
        <f t="shared" si="330"/>
        <v>33.839553052759555</v>
      </c>
      <c r="DA337" s="553">
        <f>CZ337/PI()*SQRT('Hilfstabellen_Mat&amp;Bem'!f.Rd.3/'Hilfstabellen_Mat&amp;Bem'!$BD$30)</f>
        <v>0.5385732140367121</v>
      </c>
      <c r="DB337" s="553">
        <f>0.5*(1+'Hilfstabellen_Mat&amp;Bem'!$BD$31*(DA337-0.3)+DA337^2)</f>
        <v>0.65695921414075265</v>
      </c>
      <c r="DC337" s="550">
        <f t="shared" si="331"/>
        <v>0.96789524061754417</v>
      </c>
      <c r="DE337" s="551">
        <f t="shared" si="332"/>
        <v>146462.87570548741</v>
      </c>
      <c r="DI337" s="546">
        <f t="shared" si="333"/>
        <v>389</v>
      </c>
      <c r="DJ337" s="551">
        <f t="shared" si="334"/>
        <v>34.730067606779542</v>
      </c>
      <c r="DK337" s="553">
        <f>DJ337/PI()*SQRT('Hilfstabellen_Mat&amp;Bem'!f.Rd.3/'Hilfstabellen_Mat&amp;Bem'!$BD$30)</f>
        <v>0.55274619335346764</v>
      </c>
      <c r="DL337" s="553">
        <f>0.5*(1+'Hilfstabellen_Mat&amp;Bem'!$BD$31*(DK337-0.3)+DK337^2)</f>
        <v>0.66540148680104794</v>
      </c>
      <c r="DM337" s="550">
        <f t="shared" si="335"/>
        <v>0.96539239802043675</v>
      </c>
      <c r="DO337" s="551">
        <f t="shared" si="336"/>
        <v>146084.1430608505</v>
      </c>
      <c r="DS337" s="546">
        <f t="shared" si="337"/>
        <v>389</v>
      </c>
      <c r="DT337" s="551">
        <f t="shared" si="338"/>
        <v>35.620582160799529</v>
      </c>
      <c r="DU337" s="553">
        <f>DT337/PI()*SQRT('Hilfstabellen_Mat&amp;Bem'!f.Rd.3/'Hilfstabellen_Mat&amp;Bem'!$BD$30)</f>
        <v>0.56691917267022318</v>
      </c>
      <c r="DV337" s="553">
        <f>0.5*(1+'Hilfstabellen_Mat&amp;Bem'!$BD$31*(DU337-0.3)+DU337^2)</f>
        <v>0.67404463280405635</v>
      </c>
      <c r="DW337" s="550">
        <f t="shared" si="339"/>
        <v>0.96278601667269437</v>
      </c>
      <c r="DY337" s="551">
        <f t="shared" si="340"/>
        <v>145689.74282892878</v>
      </c>
      <c r="EC337" s="546">
        <f t="shared" si="341"/>
        <v>389</v>
      </c>
      <c r="ED337" s="551">
        <f t="shared" si="342"/>
        <v>36.511096714819523</v>
      </c>
      <c r="EE337" s="553">
        <f>ED337/PI()*SQRT('Hilfstabellen_Mat&amp;Bem'!f.Rd.3/'Hilfstabellen_Mat&amp;Bem'!$BD$30)</f>
        <v>0.58109215198697883</v>
      </c>
      <c r="EF337" s="553">
        <f>0.5*(1+'Hilfstabellen_Mat&amp;Bem'!$BD$31*(EE337-0.3)+EE337^2)</f>
        <v>0.68288865214977801</v>
      </c>
      <c r="EG337" s="550">
        <f t="shared" si="343"/>
        <v>0.96006787934098625</v>
      </c>
      <c r="EI337" s="551">
        <f t="shared" si="344"/>
        <v>145278.43156975738</v>
      </c>
      <c r="EM337" s="546">
        <f t="shared" si="345"/>
        <v>389</v>
      </c>
      <c r="EN337" s="551">
        <f t="shared" si="346"/>
        <v>37.401611268839503</v>
      </c>
      <c r="EO337" s="553">
        <f>EN337/PI()*SQRT('Hilfstabellen_Mat&amp;Bem'!f.Rd.3/'Hilfstabellen_Mat&amp;Bem'!$BD$30)</f>
        <v>0.59526513130373426</v>
      </c>
      <c r="EP337" s="553">
        <f>0.5*(1+'Hilfstabellen_Mat&amp;Bem'!$BD$31*(EO337-0.3)+EO337^2)</f>
        <v>0.69193354483821268</v>
      </c>
      <c r="EQ337" s="550">
        <f t="shared" si="347"/>
        <v>0.95722911408691969</v>
      </c>
      <c r="ES337" s="551">
        <f t="shared" si="348"/>
        <v>144848.86677274678</v>
      </c>
    </row>
    <row r="338" spans="3:149">
      <c r="C338" s="546">
        <v>390</v>
      </c>
      <c r="D338" s="551">
        <f t="shared" si="303"/>
        <v>24.870473134322339</v>
      </c>
      <c r="E338" s="553">
        <f>$D338/PI()*SQRT('Hilfstabellen_Mat&amp;Bem'!f.Rd.3/'Hilfstabellen_Mat&amp;Bem'!$BD$30)</f>
        <v>0.3958258736361584</v>
      </c>
      <c r="F338" s="553">
        <f>0.5*(1+'Hilfstabellen_Mat&amp;Bem'!$BD$31*($E338-0.3)+$E338^2)</f>
        <v>0.58313035480172204</v>
      </c>
      <c r="G338" s="550">
        <f t="shared" si="304"/>
        <v>0.98878785210565712</v>
      </c>
      <c r="I338" s="551">
        <f t="shared" si="349"/>
        <v>150394.63230527044</v>
      </c>
      <c r="M338" s="546">
        <f t="shared" si="305"/>
        <v>390</v>
      </c>
      <c r="N338" s="551">
        <f t="shared" si="295"/>
        <v>25.758704317690995</v>
      </c>
      <c r="O338" s="553">
        <f>$N338/PI()*SQRT('Hilfstabellen_Mat&amp;Bem'!f.Rd.3/'Hilfstabellen_Mat&amp;Bem'!$BD$30)</f>
        <v>0.40996251198030698</v>
      </c>
      <c r="P338" s="553">
        <f>0.5*(1+'Hilfstabellen_Mat&amp;Bem'!$BD$31*($O338-0.3)+$O338^2)</f>
        <v>0.589532756213617</v>
      </c>
      <c r="Q338" s="550">
        <f t="shared" si="296"/>
        <v>0.98698843781668133</v>
      </c>
      <c r="S338" s="551">
        <f t="shared" si="350"/>
        <v>150120.94139191724</v>
      </c>
      <c r="W338" s="546">
        <f t="shared" si="306"/>
        <v>390</v>
      </c>
      <c r="X338" s="551">
        <f t="shared" si="297"/>
        <v>26.646935501059652</v>
      </c>
      <c r="Y338" s="553">
        <f>$X338/PI()*SQRT('Hilfstabellen_Mat&amp;Bem'!f.Rd.3/'Hilfstabellen_Mat&amp;Bem'!$BD$30)</f>
        <v>0.4240991503244555</v>
      </c>
      <c r="Z338" s="553">
        <f>0.5*(1+'Hilfstabellen_Mat&amp;Bem'!$BD$31*($Y338-0.3)+$Y338^2)</f>
        <v>0.59613500216918525</v>
      </c>
      <c r="AA338" s="550">
        <f t="shared" si="298"/>
        <v>0.98514178066574098</v>
      </c>
      <c r="AC338" s="551">
        <f t="shared" si="351"/>
        <v>149840.0648392592</v>
      </c>
      <c r="AG338" s="546">
        <f t="shared" si="307"/>
        <v>390</v>
      </c>
      <c r="AH338" s="551">
        <f t="shared" si="299"/>
        <v>27.535166684428305</v>
      </c>
      <c r="AI338" s="553">
        <f>$AH338/PI()*SQRT('Hilfstabellen_Mat&amp;Bem'!f.Rd.3/'Hilfstabellen_Mat&amp;Bem'!$BD$30)</f>
        <v>0.43823578866860391</v>
      </c>
      <c r="AJ338" s="553">
        <f>0.5*(1+'Hilfstabellen_Mat&amp;Bem'!$BD$31*($AI338-0.3)+$AI338^2)</f>
        <v>0.60293709266842677</v>
      </c>
      <c r="AK338" s="550">
        <f t="shared" si="300"/>
        <v>0.98324396361544542</v>
      </c>
      <c r="AM338" s="551">
        <f t="shared" si="352"/>
        <v>149551.40686590926</v>
      </c>
      <c r="AQ338" s="546">
        <f t="shared" si="308"/>
        <v>390</v>
      </c>
      <c r="AR338" s="551">
        <f t="shared" si="301"/>
        <v>28.423397867796957</v>
      </c>
      <c r="AS338" s="553">
        <f>$AR338/PI()*SQRT('Hilfstabellen_Mat&amp;Bem'!f.Rd.3/'Hilfstabellen_Mat&amp;Bem'!$BD$30)</f>
        <v>0.45237242701275249</v>
      </c>
      <c r="AT338" s="553">
        <f>0.5*(1+'Hilfstabellen_Mat&amp;Bem'!$BD$31*($AS338-0.3)+$AS338^2)</f>
        <v>0.60993902771134167</v>
      </c>
      <c r="AU338" s="550">
        <f t="shared" si="302"/>
        <v>0.98129079914749717</v>
      </c>
      <c r="AW338" s="551">
        <f t="shared" si="353"/>
        <v>149254.33055033433</v>
      </c>
      <c r="BA338" s="546">
        <f t="shared" si="309"/>
        <v>390</v>
      </c>
      <c r="BB338" s="551">
        <f t="shared" si="310"/>
        <v>29.311629051165614</v>
      </c>
      <c r="BC338" s="553">
        <f>$BB338/PI()*SQRT('Hilfstabellen_Mat&amp;Bem'!f.Rd.3/'Hilfstabellen_Mat&amp;Bem'!$BD$30)</f>
        <v>0.46650906535690101</v>
      </c>
      <c r="BD338" s="553">
        <f>0.5*(1+'Hilfstabellen_Mat&amp;Bem'!$BD$31*($BC338-0.3)+$BC338^2)</f>
        <v>0.61714080729792975</v>
      </c>
      <c r="BE338" s="550">
        <f t="shared" si="311"/>
        <v>0.97927780313170754</v>
      </c>
      <c r="BG338" s="551">
        <f t="shared" si="312"/>
        <v>148948.1538563327</v>
      </c>
      <c r="BK338" s="546">
        <f t="shared" si="313"/>
        <v>390</v>
      </c>
      <c r="BL338" s="551">
        <f t="shared" si="314"/>
        <v>30.199860234534267</v>
      </c>
      <c r="BM338" s="553">
        <f>$BL338/PI()*SQRT('Hilfstabellen_Mat&amp;Bem'!f.Rd.3/'Hilfstabellen_Mat&amp;Bem'!$BD$30)</f>
        <v>0.48064570370104942</v>
      </c>
      <c r="BN338" s="553">
        <f>0.5*(1+'Hilfstabellen_Mat&amp;Bem'!$BD$31*($BM338-0.3)+$BM338^2)</f>
        <v>0.62454243142819099</v>
      </c>
      <c r="BO338" s="550">
        <f t="shared" si="315"/>
        <v>0.97720016644687435</v>
      </c>
      <c r="BQ338" s="551">
        <f t="shared" si="316"/>
        <v>148632.1453165696</v>
      </c>
      <c r="BU338" s="546">
        <f t="shared" si="317"/>
        <v>390</v>
      </c>
      <c r="BV338" s="551">
        <f t="shared" si="318"/>
        <v>31.088091417902923</v>
      </c>
      <c r="BW338" s="553">
        <f>$BV338/PI()*SQRT('Hilfstabellen_Mat&amp;Bem'!f.Rd.3/'Hilfstabellen_Mat&amp;Bem'!$BD$30)</f>
        <v>0.494782342045198</v>
      </c>
      <c r="BX338" s="553">
        <f>0.5*(1+'Hilfstabellen_Mat&amp;Bem'!$BD$31*($BW338-0.3)+$BW338^2)</f>
        <v>0.63214390010212562</v>
      </c>
      <c r="BY338" s="550">
        <f t="shared" si="319"/>
        <v>0.97505272420592104</v>
      </c>
      <c r="CA338" s="551">
        <f t="shared" si="320"/>
        <v>148305.51935172058</v>
      </c>
      <c r="CE338" s="546">
        <f t="shared" si="321"/>
        <v>390</v>
      </c>
      <c r="CF338" s="551">
        <f t="shared" si="322"/>
        <v>31.976322601271576</v>
      </c>
      <c r="CG338" s="553">
        <f>CF338/PI()*SQRT('Hilfstabellen_Mat&amp;Bem'!f.Rd.3/'Hilfstabellen_Mat&amp;Bem'!$BD$30)</f>
        <v>0.50891898038934646</v>
      </c>
      <c r="CH338" s="553">
        <f>0.5*(1+'Hilfstabellen_Mat&amp;Bem'!$BD$31*(CG338-0.3)+CG338^2)</f>
        <v>0.63994521331973331</v>
      </c>
      <c r="CI338" s="550">
        <f t="shared" si="323"/>
        <v>0.97282992245499533</v>
      </c>
      <c r="CK338" s="551">
        <f t="shared" si="324"/>
        <v>147967.43120540478</v>
      </c>
      <c r="CO338" s="546">
        <f t="shared" si="325"/>
        <v>390</v>
      </c>
      <c r="CP338" s="551">
        <f t="shared" si="326"/>
        <v>32.864553784640236</v>
      </c>
      <c r="CQ338" s="553">
        <f>CP338/PI()*SQRT('Hilfstabellen_Mat&amp;Bem'!f.Rd.3/'Hilfstabellen_Mat&amp;Bem'!$BD$30)</f>
        <v>0.52305561873349504</v>
      </c>
      <c r="CR338" s="553">
        <f>0.5*(1+'Hilfstabellen_Mat&amp;Bem'!$BD$31*(CQ338-0.3)+CQ338^2)</f>
        <v>0.64794637108101438</v>
      </c>
      <c r="CS338" s="550">
        <f t="shared" si="327"/>
        <v>0.97052578224544916</v>
      </c>
      <c r="CU338" s="551">
        <f t="shared" si="328"/>
        <v>147616.9714795328</v>
      </c>
      <c r="CY338" s="546">
        <f t="shared" si="329"/>
        <v>390</v>
      </c>
      <c r="CZ338" s="551">
        <f t="shared" si="330"/>
        <v>33.752784968008889</v>
      </c>
      <c r="DA338" s="553">
        <f>CZ338/PI()*SQRT('Hilfstabellen_Mat&amp;Bem'!f.Rd.3/'Hilfstabellen_Mat&amp;Bem'!$BD$30)</f>
        <v>0.53719225707764362</v>
      </c>
      <c r="DB338" s="553">
        <f>0.5*(1+'Hilfstabellen_Mat&amp;Bem'!$BD$31*(DA338-0.3)+DA338^2)</f>
        <v>0.65614737338596874</v>
      </c>
      <c r="DC338" s="550">
        <f t="shared" si="331"/>
        <v>0.96813386102305121</v>
      </c>
      <c r="DE338" s="551">
        <f t="shared" si="332"/>
        <v>147253.1602616061</v>
      </c>
      <c r="DI338" s="546">
        <f t="shared" si="333"/>
        <v>390</v>
      </c>
      <c r="DJ338" s="551">
        <f t="shared" si="334"/>
        <v>34.641016151377542</v>
      </c>
      <c r="DK338" s="553">
        <f>DJ338/PI()*SQRT('Hilfstabellen_Mat&amp;Bem'!f.Rd.3/'Hilfstabellen_Mat&amp;Bem'!$BD$30)</f>
        <v>0.55132889542179198</v>
      </c>
      <c r="DL338" s="553">
        <f>0.5*(1+'Hilfstabellen_Mat&amp;Bem'!$BD$31*(DK338-0.3)+DK338^2)</f>
        <v>0.66454822023459625</v>
      </c>
      <c r="DM338" s="550">
        <f t="shared" si="335"/>
        <v>0.96564721134572118</v>
      </c>
      <c r="DO338" s="551">
        <f t="shared" si="336"/>
        <v>146874.94084568418</v>
      </c>
      <c r="DS338" s="546">
        <f t="shared" si="337"/>
        <v>390</v>
      </c>
      <c r="DT338" s="551">
        <f t="shared" si="338"/>
        <v>35.529247334746202</v>
      </c>
      <c r="DU338" s="553">
        <f>DT338/PI()*SQRT('Hilfstabellen_Mat&amp;Bem'!f.Rd.3/'Hilfstabellen_Mat&amp;Bem'!$BD$30)</f>
        <v>0.56546553376594066</v>
      </c>
      <c r="DV338" s="553">
        <f>0.5*(1+'Hilfstabellen_Mat&amp;Bem'!$BD$31*(DU338-0.3)+DU338^2)</f>
        <v>0.67314891162689716</v>
      </c>
      <c r="DW338" s="550">
        <f t="shared" si="339"/>
        <v>0.96305833703650445</v>
      </c>
      <c r="DY338" s="551">
        <f t="shared" si="340"/>
        <v>146481.17306325232</v>
      </c>
      <c r="EC338" s="546">
        <f t="shared" si="341"/>
        <v>390</v>
      </c>
      <c r="ED338" s="551">
        <f t="shared" si="342"/>
        <v>36.417478518114855</v>
      </c>
      <c r="EE338" s="553">
        <f>ED338/PI()*SQRT('Hilfstabellen_Mat&amp;Bem'!f.Rd.3/'Hilfstabellen_Mat&amp;Bem'!$BD$30)</f>
        <v>0.57960217211008913</v>
      </c>
      <c r="EF338" s="553">
        <f>0.5*(1+'Hilfstabellen_Mat&amp;Bem'!$BD$31*(EE338-0.3)+EE338^2)</f>
        <v>0.68194944756287112</v>
      </c>
      <c r="EG338" s="550">
        <f t="shared" si="343"/>
        <v>0.96035914701091007</v>
      </c>
      <c r="EI338" s="551">
        <f t="shared" si="344"/>
        <v>146070.62626035942</v>
      </c>
      <c r="EM338" s="546">
        <f t="shared" si="345"/>
        <v>390</v>
      </c>
      <c r="EN338" s="551">
        <f t="shared" si="346"/>
        <v>37.305709701483515</v>
      </c>
      <c r="EO338" s="553">
        <f>EN338/PI()*SQRT('Hilfstabellen_Mat&amp;Bem'!f.Rd.3/'Hilfstabellen_Mat&amp;Bem'!$BD$30)</f>
        <v>0.59373881045423771</v>
      </c>
      <c r="EP338" s="553">
        <f>0.5*(1+'Hilfstabellen_Mat&amp;Bem'!$BD$31*(EO338-0.3)+EO338^2)</f>
        <v>0.69094982804251848</v>
      </c>
      <c r="EQ338" s="550">
        <f t="shared" si="347"/>
        <v>0.95754090719782115</v>
      </c>
      <c r="ES338" s="551">
        <f t="shared" si="348"/>
        <v>145641.9719847886</v>
      </c>
    </row>
    <row r="339" spans="3:149">
      <c r="C339" s="546">
        <v>391</v>
      </c>
      <c r="D339" s="551">
        <f t="shared" si="303"/>
        <v>24.806865786152716</v>
      </c>
      <c r="E339" s="553">
        <f>$D339/PI()*SQRT('Hilfstabellen_Mat&amp;Bem'!f.Rd.3/'Hilfstabellen_Mat&amp;Bem'!$BD$30)</f>
        <v>0.39481353124834212</v>
      </c>
      <c r="F339" s="553">
        <f>0.5*(1+'Hilfstabellen_Mat&amp;Bem'!$BD$31*($E339-0.3)+$E339^2)</f>
        <v>0.58267953879080991</v>
      </c>
      <c r="G339" s="550">
        <f t="shared" si="304"/>
        <v>0.98891499640768399</v>
      </c>
      <c r="I339" s="551">
        <f t="shared" si="349"/>
        <v>151186.31356580314</v>
      </c>
      <c r="M339" s="546">
        <f t="shared" si="305"/>
        <v>391</v>
      </c>
      <c r="N339" s="551">
        <f t="shared" si="295"/>
        <v>25.692825278515315</v>
      </c>
      <c r="O339" s="553">
        <f>$N339/PI()*SQRT('Hilfstabellen_Mat&amp;Bem'!f.Rd.3/'Hilfstabellen_Mat&amp;Bem'!$BD$30)</f>
        <v>0.40891401450721149</v>
      </c>
      <c r="P339" s="553">
        <f>0.5*(1+'Hilfstabellen_Mat&amp;Bem'!$BD$31*($O339-0.3)+$O339^2)</f>
        <v>0.58905103635556255</v>
      </c>
      <c r="Q339" s="550">
        <f t="shared" si="296"/>
        <v>0.98712347371644682</v>
      </c>
      <c r="S339" s="551">
        <f t="shared" si="350"/>
        <v>150912.42378524411</v>
      </c>
      <c r="W339" s="546">
        <f t="shared" si="306"/>
        <v>391</v>
      </c>
      <c r="X339" s="551">
        <f t="shared" si="297"/>
        <v>26.57878477087791</v>
      </c>
      <c r="Y339" s="553">
        <f>$X339/PI()*SQRT('Hilfstabellen_Mat&amp;Bem'!f.Rd.3/'Hilfstabellen_Mat&amp;Bem'!$BD$30)</f>
        <v>0.42301449776608085</v>
      </c>
      <c r="Z339" s="553">
        <f>0.5*(1+'Hilfstabellen_Mat&amp;Bem'!$BD$31*($Y339-0.3)+$Y339^2)</f>
        <v>0.5956213575484488</v>
      </c>
      <c r="AA339" s="550">
        <f t="shared" si="298"/>
        <v>0.98528522859887668</v>
      </c>
      <c r="AC339" s="551">
        <f t="shared" si="351"/>
        <v>150631.39103342488</v>
      </c>
      <c r="AG339" s="546">
        <f t="shared" si="307"/>
        <v>391</v>
      </c>
      <c r="AH339" s="551">
        <f t="shared" si="299"/>
        <v>27.464744263240508</v>
      </c>
      <c r="AI339" s="553">
        <f>$AH339/PI()*SQRT('Hilfstabellen_Mat&amp;Bem'!f.Rd.3/'Hilfstabellen_Mat&amp;Bem'!$BD$30)</f>
        <v>0.43711498102495022</v>
      </c>
      <c r="AJ339" s="553">
        <f>0.5*(1+'Hilfstabellen_Mat&amp;Bem'!$BD$31*($AI339-0.3)+$AI339^2)</f>
        <v>0.60239050236946878</v>
      </c>
      <c r="AK339" s="550">
        <f t="shared" si="300"/>
        <v>0.98339639326812411</v>
      </c>
      <c r="AM339" s="551">
        <f t="shared" si="352"/>
        <v>150342.62399922407</v>
      </c>
      <c r="AQ339" s="546">
        <f t="shared" si="308"/>
        <v>391</v>
      </c>
      <c r="AR339" s="551">
        <f t="shared" si="301"/>
        <v>28.350703755603107</v>
      </c>
      <c r="AS339" s="553">
        <f>$AR339/PI()*SQRT('Hilfstabellen_Mat&amp;Bem'!f.Rd.3/'Hilfstabellen_Mat&amp;Bem'!$BD$30)</f>
        <v>0.45121546428381959</v>
      </c>
      <c r="AT339" s="553">
        <f>0.5*(1+'Hilfstabellen_Mat&amp;Bem'!$BD$31*($AS339-0.3)+$AS339^2)</f>
        <v>0.60935847081862249</v>
      </c>
      <c r="AU339" s="550">
        <f t="shared" si="302"/>
        <v>0.98145283411163475</v>
      </c>
      <c r="AW339" s="551">
        <f t="shared" si="353"/>
        <v>150045.49073182084</v>
      </c>
      <c r="BA339" s="546">
        <f t="shared" si="309"/>
        <v>391</v>
      </c>
      <c r="BB339" s="551">
        <f t="shared" si="310"/>
        <v>29.236663247965698</v>
      </c>
      <c r="BC339" s="553">
        <f>$BB339/PI()*SQRT('Hilfstabellen_Mat&amp;Bem'!f.Rd.3/'Hilfstabellen_Mat&amp;Bem'!$BD$30)</f>
        <v>0.4653159475426889</v>
      </c>
      <c r="BD339" s="553">
        <f>0.5*(1+'Hilfstabellen_Mat&amp;Bem'!$BD$31*($BC339-0.3)+$BC339^2)</f>
        <v>0.61652526289590959</v>
      </c>
      <c r="BE339" s="550">
        <f t="shared" si="311"/>
        <v>0.97945012605949633</v>
      </c>
      <c r="BG339" s="551">
        <f t="shared" si="312"/>
        <v>149739.31472210184</v>
      </c>
      <c r="BK339" s="546">
        <f t="shared" si="313"/>
        <v>391</v>
      </c>
      <c r="BL339" s="551">
        <f t="shared" si="314"/>
        <v>30.122622740328296</v>
      </c>
      <c r="BM339" s="553">
        <f>$BL339/PI()*SQRT('Hilfstabellen_Mat&amp;Bem'!f.Rd.3/'Hilfstabellen_Mat&amp;Bem'!$BD$30)</f>
        <v>0.47941643080155827</v>
      </c>
      <c r="BN339" s="553">
        <f>0.5*(1+'Hilfstabellen_Mat&amp;Bem'!$BD$31*($BM339-0.3)+$BM339^2)</f>
        <v>0.62389087860133052</v>
      </c>
      <c r="BO339" s="550">
        <f t="shared" si="315"/>
        <v>0.97738352475089252</v>
      </c>
      <c r="BQ339" s="551">
        <f t="shared" si="316"/>
        <v>149423.37064744119</v>
      </c>
      <c r="BU339" s="546">
        <f t="shared" si="317"/>
        <v>391</v>
      </c>
      <c r="BV339" s="551">
        <f t="shared" si="318"/>
        <v>31.008582232690895</v>
      </c>
      <c r="BW339" s="553">
        <f>$BV339/PI()*SQRT('Hilfstabellen_Mat&amp;Bem'!f.Rd.3/'Hilfstabellen_Mat&amp;Bem'!$BD$30)</f>
        <v>0.49351691406042764</v>
      </c>
      <c r="BX339" s="553">
        <f>0.5*(1+'Hilfstabellen_Mat&amp;Bem'!$BD$31*($BW339-0.3)+$BW339^2)</f>
        <v>0.63145531793488519</v>
      </c>
      <c r="BY339" s="550">
        <f t="shared" si="319"/>
        <v>0.97524793635272589</v>
      </c>
      <c r="CA339" s="551">
        <f t="shared" si="320"/>
        <v>149096.87975754109</v>
      </c>
      <c r="CE339" s="546">
        <f t="shared" si="321"/>
        <v>391</v>
      </c>
      <c r="CF339" s="551">
        <f t="shared" si="322"/>
        <v>31.894541725053493</v>
      </c>
      <c r="CG339" s="553">
        <f>CF339/PI()*SQRT('Hilfstabellen_Mat&amp;Bem'!f.Rd.3/'Hilfstabellen_Mat&amp;Bem'!$BD$30)</f>
        <v>0.50761739731929711</v>
      </c>
      <c r="CH339" s="553">
        <f>0.5*(1+'Hilfstabellen_Mat&amp;Bem'!$BD$31*(CG339-0.3)+CG339^2)</f>
        <v>0.63921858089657346</v>
      </c>
      <c r="CI339" s="550">
        <f t="shared" si="323"/>
        <v>0.97303788490057685</v>
      </c>
      <c r="CK339" s="551">
        <f t="shared" si="324"/>
        <v>148759.0048814851</v>
      </c>
      <c r="CO339" s="546">
        <f t="shared" si="325"/>
        <v>391</v>
      </c>
      <c r="CP339" s="551">
        <f t="shared" si="326"/>
        <v>32.780501217416095</v>
      </c>
      <c r="CQ339" s="553">
        <f>CP339/PI()*SQRT('Hilfstabellen_Mat&amp;Bem'!f.Rd.3/'Hilfstabellen_Mat&amp;Bem'!$BD$30)</f>
        <v>0.52171788057816648</v>
      </c>
      <c r="CR339" s="553">
        <f>0.5*(1+'Hilfstabellen_Mat&amp;Bem'!$BD$31*(CQ339-0.3)+CQ339^2)</f>
        <v>0.64718066748639536</v>
      </c>
      <c r="CS339" s="550">
        <f t="shared" si="327"/>
        <v>0.97074747705969799</v>
      </c>
      <c r="CU339" s="551">
        <f t="shared" si="328"/>
        <v>148408.8450403637</v>
      </c>
      <c r="CY339" s="546">
        <f t="shared" si="329"/>
        <v>391</v>
      </c>
      <c r="CZ339" s="551">
        <f t="shared" si="330"/>
        <v>33.666460709778683</v>
      </c>
      <c r="DA339" s="553">
        <f>CZ339/PI()*SQRT('Hilfstabellen_Mat&amp;Bem'!f.Rd.3/'Hilfstabellen_Mat&amp;Bem'!$BD$30)</f>
        <v>0.53581836383703574</v>
      </c>
      <c r="DB339" s="553">
        <f>0.5*(1+'Hilfstabellen_Mat&amp;Bem'!$BD$31*(DA339-0.3)+DA339^2)</f>
        <v>0.65534157770435075</v>
      </c>
      <c r="DC339" s="550">
        <f t="shared" si="331"/>
        <v>0.9683703642466347</v>
      </c>
      <c r="DE339" s="551">
        <f t="shared" si="332"/>
        <v>148045.42965638975</v>
      </c>
      <c r="DI339" s="546">
        <f t="shared" si="333"/>
        <v>391</v>
      </c>
      <c r="DJ339" s="551">
        <f t="shared" si="334"/>
        <v>34.552420202141285</v>
      </c>
      <c r="DK339" s="553">
        <f>DJ339/PI()*SQRT('Hilfstabellen_Mat&amp;Bem'!f.Rd.3/'Hilfstabellen_Mat&amp;Bem'!$BD$30)</f>
        <v>0.54991884709590522</v>
      </c>
      <c r="DL339" s="553">
        <f>0.5*(1+'Hilfstabellen_Mat&amp;Bem'!$BD$31*(DK339-0.3)+DK339^2)</f>
        <v>0.66370131155043999</v>
      </c>
      <c r="DM339" s="550">
        <f t="shared" si="335"/>
        <v>0.96589970211552101</v>
      </c>
      <c r="DO339" s="551">
        <f t="shared" si="336"/>
        <v>147667.71235912296</v>
      </c>
      <c r="DS339" s="546">
        <f t="shared" si="337"/>
        <v>391</v>
      </c>
      <c r="DT339" s="551">
        <f t="shared" si="338"/>
        <v>35.43837969450388</v>
      </c>
      <c r="DU339" s="553">
        <f>DT339/PI()*SQRT('Hilfstabellen_Mat&amp;Bem'!f.Rd.3/'Hilfstabellen_Mat&amp;Bem'!$BD$30)</f>
        <v>0.56401933035477447</v>
      </c>
      <c r="DV339" s="553">
        <f>0.5*(1+'Hilfstabellen_Mat&amp;Bem'!$BD$31*(DU339-0.3)+DU339^2)</f>
        <v>0.67225986902466284</v>
      </c>
      <c r="DW339" s="550">
        <f t="shared" si="339"/>
        <v>0.9633281075036696</v>
      </c>
      <c r="DY339" s="551">
        <f t="shared" si="340"/>
        <v>147274.56440326851</v>
      </c>
      <c r="EC339" s="546">
        <f t="shared" si="341"/>
        <v>391</v>
      </c>
      <c r="ED339" s="551">
        <f t="shared" si="342"/>
        <v>36.324339186866482</v>
      </c>
      <c r="EE339" s="553">
        <f>ED339/PI()*SQRT('Hilfstabellen_Mat&amp;Bem'!f.Rd.3/'Hilfstabellen_Mat&amp;Bem'!$BD$30)</f>
        <v>0.57811981361364395</v>
      </c>
      <c r="EF339" s="553">
        <f>0.5*(1+'Hilfstabellen_Mat&amp;Bem'!$BD$31*(EE339-0.3)+EE339^2)</f>
        <v>0.68101725012701941</v>
      </c>
      <c r="EG339" s="550">
        <f t="shared" si="343"/>
        <v>0.96064761305694757</v>
      </c>
      <c r="EI339" s="551">
        <f t="shared" si="344"/>
        <v>146864.7677317592</v>
      </c>
      <c r="EM339" s="546">
        <f t="shared" si="345"/>
        <v>391</v>
      </c>
      <c r="EN339" s="551">
        <f t="shared" si="346"/>
        <v>37.210298679229069</v>
      </c>
      <c r="EO339" s="553">
        <f>EN339/PI()*SQRT('Hilfstabellen_Mat&amp;Bem'!f.Rd.3/'Hilfstabellen_Mat&amp;Bem'!$BD$30)</f>
        <v>0.5922202968725131</v>
      </c>
      <c r="EP339" s="553">
        <f>0.5*(1+'Hilfstabellen_Mat&amp;Bem'!$BD$31*(EO339-0.3)+EO339^2)</f>
        <v>0.68997345485750949</v>
      </c>
      <c r="EQ339" s="550">
        <f t="shared" si="347"/>
        <v>0.95784961992677387</v>
      </c>
      <c r="ES339" s="551">
        <f t="shared" si="348"/>
        <v>146437.00774402512</v>
      </c>
    </row>
    <row r="340" spans="3:149">
      <c r="C340" s="546">
        <v>392</v>
      </c>
      <c r="D340" s="551">
        <f t="shared" si="303"/>
        <v>24.743582965269674</v>
      </c>
      <c r="E340" s="553">
        <f>$D340/PI()*SQRT('Hilfstabellen_Mat&amp;Bem'!f.Rd.3/'Hilfstabellen_Mat&amp;Bem'!$BD$30)</f>
        <v>0.39380635387270863</v>
      </c>
      <c r="F340" s="553">
        <f>0.5*(1+'Hilfstabellen_Mat&amp;Bem'!$BD$31*($E340-0.3)+$E340^2)</f>
        <v>0.58223203986889405</v>
      </c>
      <c r="G340" s="550">
        <f t="shared" si="304"/>
        <v>0.98904127165968225</v>
      </c>
      <c r="I340" s="551">
        <f t="shared" si="349"/>
        <v>151980.03796831341</v>
      </c>
      <c r="M340" s="546">
        <f t="shared" si="305"/>
        <v>392</v>
      </c>
      <c r="N340" s="551">
        <f t="shared" si="295"/>
        <v>25.62728235688645</v>
      </c>
      <c r="O340" s="553">
        <f>$N340/PI()*SQRT('Hilfstabellen_Mat&amp;Bem'!f.Rd.3/'Hilfstabellen_Mat&amp;Bem'!$BD$30)</f>
        <v>0.40787086651101973</v>
      </c>
      <c r="P340" s="553">
        <f>0.5*(1+'Hilfstabellen_Mat&amp;Bem'!$BD$31*($O340-0.3)+$O340^2)</f>
        <v>0.58857286519977603</v>
      </c>
      <c r="Q340" s="550">
        <f t="shared" si="296"/>
        <v>0.9872575643984115</v>
      </c>
      <c r="S340" s="551">
        <f t="shared" si="350"/>
        <v>151705.9463757175</v>
      </c>
      <c r="W340" s="546">
        <f t="shared" si="306"/>
        <v>392</v>
      </c>
      <c r="X340" s="551">
        <f t="shared" si="297"/>
        <v>26.510981748503223</v>
      </c>
      <c r="Y340" s="553">
        <f>$X340/PI()*SQRT('Hilfstabellen_Mat&amp;Bem'!f.Rd.3/'Hilfstabellen_Mat&amp;Bem'!$BD$30)</f>
        <v>0.42193537914933066</v>
      </c>
      <c r="Z340" s="553">
        <f>0.5*(1+'Hilfstabellen_Mat&amp;Bem'!$BD$31*($Y340-0.3)+$Y340^2)</f>
        <v>0.59511150104641131</v>
      </c>
      <c r="AA340" s="550">
        <f t="shared" si="298"/>
        <v>0.9854276477175884</v>
      </c>
      <c r="AC340" s="551">
        <f t="shared" si="351"/>
        <v>151424.75405887549</v>
      </c>
      <c r="AG340" s="546">
        <f t="shared" si="307"/>
        <v>392</v>
      </c>
      <c r="AH340" s="551">
        <f t="shared" si="299"/>
        <v>27.394681140119996</v>
      </c>
      <c r="AI340" s="553">
        <f>$AH340/PI()*SQRT('Hilfstabellen_Mat&amp;Bem'!f.Rd.3/'Hilfstabellen_Mat&amp;Bem'!$BD$30)</f>
        <v>0.4359998917876417</v>
      </c>
      <c r="AJ340" s="553">
        <f>0.5*(1+'Hilfstabellen_Mat&amp;Bem'!$BD$31*($AI340-0.3)+$AI340^2)</f>
        <v>0.60184794740879966</v>
      </c>
      <c r="AK340" s="550">
        <f t="shared" si="300"/>
        <v>0.98354770225092836</v>
      </c>
      <c r="AM340" s="551">
        <f t="shared" si="352"/>
        <v>151135.87411868665</v>
      </c>
      <c r="AQ340" s="546">
        <f t="shared" si="308"/>
        <v>392</v>
      </c>
      <c r="AR340" s="551">
        <f t="shared" si="301"/>
        <v>28.278380531736772</v>
      </c>
      <c r="AS340" s="553">
        <f>$AR340/PI()*SQRT('Hilfstabellen_Mat&amp;Bem'!f.Rd.3/'Hilfstabellen_Mat&amp;Bem'!$BD$30)</f>
        <v>0.45006440442595275</v>
      </c>
      <c r="AT340" s="553">
        <f>0.5*(1+'Hilfstabellen_Mat&amp;Bem'!$BD$31*($AS340-0.3)+$AS340^2)</f>
        <v>0.60878220428694141</v>
      </c>
      <c r="AU340" s="550">
        <f t="shared" si="302"/>
        <v>0.98161364736649726</v>
      </c>
      <c r="AW340" s="551">
        <f t="shared" si="353"/>
        <v>150838.67950892544</v>
      </c>
      <c r="BA340" s="546">
        <f t="shared" si="309"/>
        <v>392</v>
      </c>
      <c r="BB340" s="551">
        <f t="shared" si="310"/>
        <v>29.162079923353549</v>
      </c>
      <c r="BC340" s="553">
        <f>$BB340/PI()*SQRT('Hilfstabellen_Mat&amp;Bem'!f.Rd.3/'Hilfstabellen_Mat&amp;Bem'!$BD$30)</f>
        <v>0.46412891706426374</v>
      </c>
      <c r="BD340" s="553">
        <f>0.5*(1+'Hilfstabellen_Mat&amp;Bem'!$BD$31*($BC340-0.3)+$BC340^2)</f>
        <v>0.61591427168083623</v>
      </c>
      <c r="BE340" s="550">
        <f t="shared" si="311"/>
        <v>0.97962111602332869</v>
      </c>
      <c r="BG340" s="551">
        <f t="shared" si="312"/>
        <v>150532.49917260878</v>
      </c>
      <c r="BK340" s="546">
        <f t="shared" si="313"/>
        <v>392</v>
      </c>
      <c r="BL340" s="551">
        <f t="shared" si="314"/>
        <v>30.045779314970318</v>
      </c>
      <c r="BM340" s="553">
        <f>$BL340/PI()*SQRT('Hilfstabellen_Mat&amp;Bem'!f.Rd.3/'Hilfstabellen_Mat&amp;Bem'!$BD$30)</f>
        <v>0.47819342970257472</v>
      </c>
      <c r="BN340" s="553">
        <f>0.5*(1+'Hilfstabellen_Mat&amp;Bem'!$BD$31*($BM340-0.3)+$BM340^2)</f>
        <v>0.62324414959048435</v>
      </c>
      <c r="BO340" s="550">
        <f t="shared" si="315"/>
        <v>0.97756542747140984</v>
      </c>
      <c r="BQ340" s="551">
        <f t="shared" si="316"/>
        <v>150216.61384696673</v>
      </c>
      <c r="BU340" s="546">
        <f t="shared" si="317"/>
        <v>392</v>
      </c>
      <c r="BV340" s="551">
        <f t="shared" si="318"/>
        <v>30.929478706587094</v>
      </c>
      <c r="BW340" s="553">
        <f>$BV340/PI()*SQRT('Hilfstabellen_Mat&amp;Bem'!f.Rd.3/'Hilfstabellen_Mat&amp;Bem'!$BD$30)</f>
        <v>0.49225794234088582</v>
      </c>
      <c r="BX340" s="553">
        <f>0.5*(1+'Hilfstabellen_Mat&amp;Bem'!$BD$31*($BW340-0.3)+$BW340^2)</f>
        <v>0.63077183801588577</v>
      </c>
      <c r="BY340" s="550">
        <f t="shared" si="319"/>
        <v>0.97544155765079099</v>
      </c>
      <c r="CA340" s="551">
        <f t="shared" si="320"/>
        <v>149890.25151485114</v>
      </c>
      <c r="CE340" s="546">
        <f t="shared" si="321"/>
        <v>392</v>
      </c>
      <c r="CF340" s="551">
        <f t="shared" si="322"/>
        <v>31.813178098203871</v>
      </c>
      <c r="CG340" s="553">
        <f>CF340/PI()*SQRT('Hilfstabellen_Mat&amp;Bem'!f.Rd.3/'Hilfstabellen_Mat&amp;Bem'!$BD$30)</f>
        <v>0.50632245497919681</v>
      </c>
      <c r="CH340" s="553">
        <f>0.5*(1+'Hilfstabellen_Mat&amp;Bem'!$BD$31*(CG340-0.3)+CG340^2)</f>
        <v>0.63849733695704025</v>
      </c>
      <c r="CI340" s="550">
        <f t="shared" si="323"/>
        <v>0.97324410716057896</v>
      </c>
      <c r="CK340" s="551">
        <f t="shared" si="324"/>
        <v>149552.5824827232</v>
      </c>
      <c r="CO340" s="546">
        <f t="shared" si="325"/>
        <v>392</v>
      </c>
      <c r="CP340" s="551">
        <f t="shared" si="326"/>
        <v>32.696877489820643</v>
      </c>
      <c r="CQ340" s="553">
        <f>CP340/PI()*SQRT('Hilfstabellen_Mat&amp;Bem'!f.Rd.3/'Hilfstabellen_Mat&amp;Bem'!$BD$30)</f>
        <v>0.52038696761750791</v>
      </c>
      <c r="CR340" s="553">
        <f>0.5*(1+'Hilfstabellen_Mat&amp;Bem'!$BD$31*(CQ340-0.3)+CQ340^2)</f>
        <v>0.64642064641394792</v>
      </c>
      <c r="CS340" s="550">
        <f t="shared" si="327"/>
        <v>0.97096726669446765</v>
      </c>
      <c r="CU340" s="551">
        <f t="shared" si="328"/>
        <v>149202.71406933869</v>
      </c>
      <c r="CY340" s="546">
        <f t="shared" si="329"/>
        <v>392</v>
      </c>
      <c r="CZ340" s="551">
        <f t="shared" si="330"/>
        <v>33.580576881437416</v>
      </c>
      <c r="DA340" s="553">
        <f>CZ340/PI()*SQRT('Hilfstabellen_Mat&amp;Bem'!f.Rd.3/'Hilfstabellen_Mat&amp;Bem'!$BD$30)</f>
        <v>0.53445148025581879</v>
      </c>
      <c r="DB340" s="553">
        <f>0.5*(1+'Hilfstabellen_Mat&amp;Bem'!$BD$31*(DA340-0.3)+DA340^2)</f>
        <v>0.65454176638660888</v>
      </c>
      <c r="DC340" s="550">
        <f t="shared" si="331"/>
        <v>0.96860477987998073</v>
      </c>
      <c r="DE340" s="551">
        <f t="shared" si="332"/>
        <v>148839.68489547734</v>
      </c>
      <c r="DI340" s="546">
        <f t="shared" si="333"/>
        <v>392</v>
      </c>
      <c r="DJ340" s="551">
        <f t="shared" si="334"/>
        <v>34.464276273054189</v>
      </c>
      <c r="DK340" s="553">
        <f>DJ340/PI()*SQRT('Hilfstabellen_Mat&amp;Bem'!f.Rd.3/'Hilfstabellen_Mat&amp;Bem'!$BD$30)</f>
        <v>0.54851599289412989</v>
      </c>
      <c r="DL340" s="553">
        <f>0.5*(1+'Hilfstabellen_Mat&amp;Bem'!$BD$31*(DK340-0.3)+DK340^2)</f>
        <v>0.66286069687502303</v>
      </c>
      <c r="DM340" s="550">
        <f t="shared" si="335"/>
        <v>0.96614990351873986</v>
      </c>
      <c r="DO340" s="551">
        <f t="shared" si="336"/>
        <v>148462.45877430364</v>
      </c>
      <c r="DS340" s="546">
        <f t="shared" si="337"/>
        <v>392</v>
      </c>
      <c r="DT340" s="551">
        <f t="shared" si="338"/>
        <v>35.347975664670962</v>
      </c>
      <c r="DU340" s="553">
        <f>DT340/PI()*SQRT('Hilfstabellen_Mat&amp;Bem'!f.Rd.3/'Hilfstabellen_Mat&amp;Bem'!$BD$30)</f>
        <v>0.56258050553244088</v>
      </c>
      <c r="DV340" s="553">
        <f>0.5*(1+'Hilfstabellen_Mat&amp;Bem'!$BD$31*(DU340-0.3)+DU340^2)</f>
        <v>0.67137743787919046</v>
      </c>
      <c r="DW340" s="550">
        <f t="shared" si="339"/>
        <v>0.96359536531102441</v>
      </c>
      <c r="DY340" s="551">
        <f t="shared" si="340"/>
        <v>148069.91821515324</v>
      </c>
      <c r="EC340" s="546">
        <f t="shared" si="341"/>
        <v>392</v>
      </c>
      <c r="ED340" s="551">
        <f t="shared" si="342"/>
        <v>36.231675056287742</v>
      </c>
      <c r="EE340" s="553">
        <f>ED340/PI()*SQRT('Hilfstabellen_Mat&amp;Bem'!f.Rd.3/'Hilfstabellen_Mat&amp;Bem'!$BD$30)</f>
        <v>0.57664501817075198</v>
      </c>
      <c r="EF340" s="553">
        <f>0.5*(1+'Hilfstabellen_Mat&amp;Bem'!$BD$31*(EE340-0.3)+EE340^2)</f>
        <v>0.68009198939911097</v>
      </c>
      <c r="EG340" s="550">
        <f t="shared" si="343"/>
        <v>0.96093331926757108</v>
      </c>
      <c r="EI340" s="551">
        <f t="shared" si="344"/>
        <v>147660.85757193205</v>
      </c>
      <c r="EM340" s="546">
        <f t="shared" si="345"/>
        <v>392</v>
      </c>
      <c r="EN340" s="551">
        <f t="shared" si="346"/>
        <v>37.115374447904507</v>
      </c>
      <c r="EO340" s="553">
        <f>EN340/PI()*SQRT('Hilfstabellen_Mat&amp;Bem'!f.Rd.3/'Hilfstabellen_Mat&amp;Bem'!$BD$30)</f>
        <v>0.59070953080906285</v>
      </c>
      <c r="EP340" s="553">
        <f>0.5*(1+'Hilfstabellen_Mat&amp;Bem'!$BD$31*(EO340-0.3)+EO340^2)</f>
        <v>0.68900435143478478</v>
      </c>
      <c r="EQ340" s="550">
        <f t="shared" si="347"/>
        <v>0.95815529917458298</v>
      </c>
      <c r="ES340" s="551">
        <f t="shared" si="348"/>
        <v>147233.97589236312</v>
      </c>
    </row>
    <row r="341" spans="3:149">
      <c r="C341" s="546">
        <v>393</v>
      </c>
      <c r="D341" s="551">
        <f t="shared" si="303"/>
        <v>24.680622194365679</v>
      </c>
      <c r="E341" s="553">
        <f>$D341/PI()*SQRT('Hilfstabellen_Mat&amp;Bem'!f.Rd.3/'Hilfstabellen_Mat&amp;Bem'!$BD$30)</f>
        <v>0.39280430208168388</v>
      </c>
      <c r="F341" s="553">
        <f>0.5*(1+'Hilfstabellen_Mat&amp;Bem'!$BD$31*($E341-0.3)+$E341^2)</f>
        <v>0.58178782497102355</v>
      </c>
      <c r="G341" s="550">
        <f t="shared" si="304"/>
        <v>0.98916668744006708</v>
      </c>
      <c r="I341" s="551">
        <f t="shared" si="349"/>
        <v>152775.80570843091</v>
      </c>
      <c r="M341" s="546">
        <f t="shared" si="305"/>
        <v>393</v>
      </c>
      <c r="N341" s="551">
        <f t="shared" si="295"/>
        <v>25.562072987021597</v>
      </c>
      <c r="O341" s="553">
        <f>$N341/PI()*SQRT('Hilfstabellen_Mat&amp;Bem'!f.Rd.3/'Hilfstabellen_Mat&amp;Bem'!$BD$30)</f>
        <v>0.40683302715602976</v>
      </c>
      <c r="P341" s="553">
        <f>0.5*(1+'Hilfstabellen_Mat&amp;Bem'!$BD$31*($O341-0.3)+$O341^2)</f>
        <v>0.58809820735027096</v>
      </c>
      <c r="Q341" s="550">
        <f t="shared" si="296"/>
        <v>0.9873907205287844</v>
      </c>
      <c r="S341" s="551">
        <f t="shared" si="350"/>
        <v>152501.50939495023</v>
      </c>
      <c r="W341" s="546">
        <f t="shared" si="306"/>
        <v>393</v>
      </c>
      <c r="X341" s="551">
        <f t="shared" si="297"/>
        <v>26.443523779677516</v>
      </c>
      <c r="Y341" s="553">
        <f>$X341/PI()*SQRT('Hilfstabellen_Mat&amp;Bem'!f.Rd.3/'Hilfstabellen_Mat&amp;Bem'!$BD$30)</f>
        <v>0.42086175223037564</v>
      </c>
      <c r="Z341" s="553">
        <f>0.5*(1+'Hilfstabellen_Mat&amp;Bem'!$BD$31*($Y341-0.3)+$Y341^2)</f>
        <v>0.59460539485672981</v>
      </c>
      <c r="AA341" s="550">
        <f t="shared" si="298"/>
        <v>0.98556904990874861</v>
      </c>
      <c r="AC341" s="551">
        <f t="shared" si="351"/>
        <v>152220.15418935631</v>
      </c>
      <c r="AG341" s="546">
        <f t="shared" si="307"/>
        <v>393</v>
      </c>
      <c r="AH341" s="551">
        <f t="shared" si="299"/>
        <v>27.324974572333431</v>
      </c>
      <c r="AI341" s="553">
        <f>$AH341/PI()*SQRT('Hilfstabellen_Mat&amp;Bem'!f.Rd.3/'Hilfstabellen_Mat&amp;Bem'!$BD$30)</f>
        <v>0.43489047730472152</v>
      </c>
      <c r="AJ341" s="553">
        <f>0.5*(1+'Hilfstabellen_Mat&amp;Bem'!$BD$31*($AI341-0.3)+$AI341^2)</f>
        <v>0.6013093874904003</v>
      </c>
      <c r="AK341" s="550">
        <f t="shared" si="300"/>
        <v>0.98369790382145372</v>
      </c>
      <c r="AM341" s="551">
        <f t="shared" si="352"/>
        <v>151931.15754731972</v>
      </c>
      <c r="AQ341" s="546">
        <f t="shared" si="308"/>
        <v>393</v>
      </c>
      <c r="AR341" s="551">
        <f t="shared" si="301"/>
        <v>28.20642536498935</v>
      </c>
      <c r="AS341" s="553">
        <f>$AR341/PI()*SQRT('Hilfstabellen_Mat&amp;Bem'!f.Rd.3/'Hilfstabellen_Mat&amp;Bem'!$BD$30)</f>
        <v>0.44891920237906735</v>
      </c>
      <c r="AT341" s="553">
        <f>0.5*(1+'Hilfstabellen_Mat&amp;Bem'!$BD$31*($AS341-0.3)+$AS341^2)</f>
        <v>0.60821018525128234</v>
      </c>
      <c r="AU341" s="550">
        <f t="shared" si="302"/>
        <v>0.98177325370990065</v>
      </c>
      <c r="AW341" s="551">
        <f t="shared" si="353"/>
        <v>151633.89726224044</v>
      </c>
      <c r="BA341" s="546">
        <f t="shared" si="309"/>
        <v>393</v>
      </c>
      <c r="BB341" s="551">
        <f t="shared" si="310"/>
        <v>29.087876157645265</v>
      </c>
      <c r="BC341" s="553">
        <f>$BB341/PI()*SQRT('Hilfstabellen_Mat&amp;Bem'!f.Rd.3/'Hilfstabellen_Mat&amp;Bem'!$BD$30)</f>
        <v>0.46294792745341318</v>
      </c>
      <c r="BD341" s="553">
        <f>0.5*(1+'Hilfstabellen_Mat&amp;Bem'!$BD$31*($BC341-0.3)+$BC341^2)</f>
        <v>0.61530778813937603</v>
      </c>
      <c r="BE341" s="550">
        <f t="shared" si="311"/>
        <v>0.97979078955268673</v>
      </c>
      <c r="BG341" s="551">
        <f t="shared" si="312"/>
        <v>151327.70765562291</v>
      </c>
      <c r="BK341" s="546">
        <f t="shared" si="313"/>
        <v>393</v>
      </c>
      <c r="BL341" s="551">
        <f t="shared" si="314"/>
        <v>29.969326950301184</v>
      </c>
      <c r="BM341" s="553">
        <f>$BL341/PI()*SQRT('Hilfstabellen_Mat&amp;Bem'!f.Rd.3/'Hilfstabellen_Mat&amp;Bem'!$BD$30)</f>
        <v>0.476976652527759</v>
      </c>
      <c r="BN341" s="553">
        <f>0.5*(1+'Hilfstabellen_Mat&amp;Bem'!$BD$31*($BM341-0.3)+$BM341^2)</f>
        <v>0.62260219615468115</v>
      </c>
      <c r="BO341" s="550">
        <f t="shared" si="315"/>
        <v>0.97774589308577131</v>
      </c>
      <c r="BQ341" s="551">
        <f t="shared" si="316"/>
        <v>151011.87544120429</v>
      </c>
      <c r="BU341" s="546">
        <f t="shared" si="317"/>
        <v>393</v>
      </c>
      <c r="BV341" s="551">
        <f t="shared" si="318"/>
        <v>30.850777742957103</v>
      </c>
      <c r="BW341" s="553">
        <f>$BV341/PI()*SQRT('Hilfstabellen_Mat&amp;Bem'!f.Rd.3/'Hilfstabellen_Mat&amp;Bem'!$BD$30)</f>
        <v>0.49100537760210489</v>
      </c>
      <c r="BX341" s="553">
        <f>0.5*(1+'Hilfstabellen_Mat&amp;Bem'!$BD$31*($BW341-0.3)+$BW341^2)</f>
        <v>0.63009340929719804</v>
      </c>
      <c r="BY341" s="550">
        <f t="shared" si="319"/>
        <v>0.97563360876938088</v>
      </c>
      <c r="CA341" s="551">
        <f t="shared" si="320"/>
        <v>150685.6352408221</v>
      </c>
      <c r="CE341" s="546">
        <f t="shared" si="321"/>
        <v>393</v>
      </c>
      <c r="CF341" s="551">
        <f t="shared" si="322"/>
        <v>31.732228535613014</v>
      </c>
      <c r="CG341" s="553">
        <f>CF341/PI()*SQRT('Hilfstabellen_Mat&amp;Bem'!f.Rd.3/'Hilfstabellen_Mat&amp;Bem'!$BD$30)</f>
        <v>0.50503410267645066</v>
      </c>
      <c r="CH341" s="553">
        <f>0.5*(1+'Hilfstabellen_Mat&amp;Bem'!$BD$31*(CG341-0.3)+CG341^2)</f>
        <v>0.63778142756692646</v>
      </c>
      <c r="CI341" s="550">
        <f t="shared" si="323"/>
        <v>0.97344861237151825</v>
      </c>
      <c r="CK341" s="551">
        <f t="shared" si="324"/>
        <v>150348.16473216863</v>
      </c>
      <c r="CO341" s="546">
        <f t="shared" si="325"/>
        <v>393</v>
      </c>
      <c r="CP341" s="551">
        <f t="shared" si="326"/>
        <v>32.61367932826893</v>
      </c>
      <c r="CQ341" s="553">
        <f>CP341/PI()*SQRT('Hilfstabellen_Mat&amp;Bem'!f.Rd.3/'Hilfstabellen_Mat&amp;Bem'!$BD$30)</f>
        <v>0.5190628277507966</v>
      </c>
      <c r="CR341" s="553">
        <f>0.5*(1+'Hilfstabellen_Mat&amp;Bem'!$BD$31*(CQ341-0.3)+CQ341^2)</f>
        <v>0.64566625096386632</v>
      </c>
      <c r="CS341" s="550">
        <f t="shared" si="327"/>
        <v>0.97118517706385532</v>
      </c>
      <c r="CU341" s="551">
        <f t="shared" si="328"/>
        <v>149998.57941233538</v>
      </c>
      <c r="CY341" s="546">
        <f t="shared" si="329"/>
        <v>393</v>
      </c>
      <c r="CZ341" s="551">
        <f t="shared" si="330"/>
        <v>33.495130120924848</v>
      </c>
      <c r="DA341" s="553">
        <f>CZ341/PI()*SQRT('Hilfstabellen_Mat&amp;Bem'!f.Rd.3/'Hilfstabellen_Mat&amp;Bem'!$BD$30)</f>
        <v>0.53309155282514242</v>
      </c>
      <c r="DB341" s="553">
        <f>0.5*(1+'Hilfstabellen_Mat&amp;Bem'!$BD$31*(DA341-0.3)+DA341^2)</f>
        <v>0.65374787948801794</v>
      </c>
      <c r="DC341" s="550">
        <f t="shared" si="331"/>
        <v>0.96883713696408236</v>
      </c>
      <c r="DE341" s="551">
        <f t="shared" si="332"/>
        <v>149635.92696696555</v>
      </c>
      <c r="DI341" s="546">
        <f t="shared" si="333"/>
        <v>393</v>
      </c>
      <c r="DJ341" s="551">
        <f t="shared" si="334"/>
        <v>34.376580913580767</v>
      </c>
      <c r="DK341" s="553">
        <f>DJ341/PI()*SQRT('Hilfstabellen_Mat&amp;Bem'!f.Rd.3/'Hilfstabellen_Mat&amp;Bem'!$BD$30)</f>
        <v>0.54712027789948825</v>
      </c>
      <c r="DL341" s="553">
        <f>0.5*(1+'Hilfstabellen_Mat&amp;Bem'!$BD$31*(DK341-0.3)+DK341^2)</f>
        <v>0.6620263131393811</v>
      </c>
      <c r="DM341" s="550">
        <f t="shared" si="335"/>
        <v>0.96639784811576601</v>
      </c>
      <c r="DO341" s="551">
        <f t="shared" si="336"/>
        <v>149259.18124363193</v>
      </c>
      <c r="DS341" s="546">
        <f t="shared" si="337"/>
        <v>393</v>
      </c>
      <c r="DT341" s="551">
        <f t="shared" si="338"/>
        <v>35.258031706236686</v>
      </c>
      <c r="DU341" s="553">
        <f>DT341/PI()*SQRT('Hilfstabellen_Mat&amp;Bem'!f.Rd.3/'Hilfstabellen_Mat&amp;Bem'!$BD$30)</f>
        <v>0.56114900297383419</v>
      </c>
      <c r="DV341" s="553">
        <f>0.5*(1+'Hilfstabellen_Mat&amp;Bem'!$BD$31*(DU341-0.3)+DU341^2)</f>
        <v>0.6705015519179558</v>
      </c>
      <c r="DW341" s="550">
        <f t="shared" si="339"/>
        <v>0.96386014697835498</v>
      </c>
      <c r="DY341" s="551">
        <f t="shared" si="340"/>
        <v>148867.23584065994</v>
      </c>
      <c r="EC341" s="546">
        <f t="shared" si="341"/>
        <v>393</v>
      </c>
      <c r="ED341" s="551">
        <f t="shared" si="342"/>
        <v>36.139482498892605</v>
      </c>
      <c r="EE341" s="553">
        <f>ED341/PI()*SQRT('Hilfstabellen_Mat&amp;Bem'!f.Rd.3/'Hilfstabellen_Mat&amp;Bem'!$BD$30)</f>
        <v>0.57517772804818001</v>
      </c>
      <c r="EF341" s="553">
        <f>0.5*(1+'Hilfstabellen_Mat&amp;Bem'!$BD$31*(EE341-0.3)+EE341^2)</f>
        <v>0.67917359582374204</v>
      </c>
      <c r="EG341" s="550">
        <f t="shared" si="343"/>
        <v>0.96121630661373247</v>
      </c>
      <c r="EI341" s="551">
        <f t="shared" si="344"/>
        <v>148458.89734018437</v>
      </c>
      <c r="EM341" s="546">
        <f t="shared" si="345"/>
        <v>393</v>
      </c>
      <c r="EN341" s="551">
        <f t="shared" si="346"/>
        <v>37.020933291548516</v>
      </c>
      <c r="EO341" s="553">
        <f>EN341/PI()*SQRT('Hilfstabellen_Mat&amp;Bem'!f.Rd.3/'Hilfstabellen_Mat&amp;Bem'!$BD$30)</f>
        <v>0.58920645312252584</v>
      </c>
      <c r="EP341" s="553">
        <f>0.5*(1+'Hilfstabellen_Mat&amp;Bem'!$BD$31*(EO341-0.3)+EO341^2)</f>
        <v>0.68804244485673993</v>
      </c>
      <c r="EQ341" s="550">
        <f t="shared" si="347"/>
        <v>0.95845799091087636</v>
      </c>
      <c r="ES341" s="551">
        <f t="shared" si="348"/>
        <v>148032.87823819395</v>
      </c>
    </row>
    <row r="342" spans="3:149">
      <c r="C342" s="546">
        <v>394</v>
      </c>
      <c r="D342" s="551">
        <f t="shared" si="303"/>
        <v>24.617981021283533</v>
      </c>
      <c r="E342" s="553">
        <f>$D342/PI()*SQRT('Hilfstabellen_Mat&amp;Bem'!f.Rd.3/'Hilfstabellen_Mat&amp;Bem'!$BD$30)</f>
        <v>0.39180733684797403</v>
      </c>
      <c r="F342" s="553">
        <f>0.5*(1+'Hilfstabellen_Mat&amp;Bem'!$BD$31*($E342-0.3)+$E342^2)</f>
        <v>0.58134686144634951</v>
      </c>
      <c r="G342" s="550">
        <f t="shared" si="304"/>
        <v>0.9892912531818463</v>
      </c>
      <c r="I342" s="551">
        <f t="shared" si="349"/>
        <v>153573.61697893709</v>
      </c>
      <c r="M342" s="546">
        <f t="shared" si="305"/>
        <v>394</v>
      </c>
      <c r="N342" s="551">
        <f t="shared" si="295"/>
        <v>25.497194629186517</v>
      </c>
      <c r="O342" s="553">
        <f>$N342/PI()*SQRT('Hilfstabellen_Mat&amp;Bem'!f.Rd.3/'Hilfstabellen_Mat&amp;Bem'!$BD$30)</f>
        <v>0.40580045602111597</v>
      </c>
      <c r="P342" s="553">
        <f>0.5*(1+'Hilfstabellen_Mat&amp;Bem'!$BD$31*($O342-0.3)+$O342^2)</f>
        <v>0.58762702785452869</v>
      </c>
      <c r="Q342" s="550">
        <f t="shared" si="296"/>
        <v>0.98752295260838052</v>
      </c>
      <c r="S342" s="551">
        <f t="shared" si="350"/>
        <v>153299.11307111455</v>
      </c>
      <c r="W342" s="546">
        <f t="shared" si="306"/>
        <v>394</v>
      </c>
      <c r="X342" s="551">
        <f t="shared" si="297"/>
        <v>26.3764082370895</v>
      </c>
      <c r="Y342" s="553">
        <f>$X342/PI()*SQRT('Hilfstabellen_Mat&amp;Bem'!f.Rd.3/'Hilfstabellen_Mat&amp;Bem'!$BD$30)</f>
        <v>0.41979357519425786</v>
      </c>
      <c r="Z342" s="553">
        <f>0.5*(1+'Hilfstabellen_Mat&amp;Bem'!$BD$31*($Y342-0.3)+$Y342^2)</f>
        <v>0.59410300164690144</v>
      </c>
      <c r="AA342" s="550">
        <f t="shared" si="298"/>
        <v>0.98570944687098694</v>
      </c>
      <c r="AC342" s="551">
        <f t="shared" si="351"/>
        <v>153017.59169446453</v>
      </c>
      <c r="AG342" s="546">
        <f t="shared" si="307"/>
        <v>394</v>
      </c>
      <c r="AH342" s="551">
        <f t="shared" si="299"/>
        <v>27.255621844992486</v>
      </c>
      <c r="AI342" s="553">
        <f>$AH342/PI()*SQRT('Hilfstabellen_Mat&amp;Bem'!f.Rd.3/'Hilfstabellen_Mat&amp;Bem'!$BD$30)</f>
        <v>0.43378669436739986</v>
      </c>
      <c r="AJ342" s="553">
        <f>0.5*(1+'Hilfstabellen_Mat&amp;Bem'!$BD$31*($AI342-0.3)+$AI342^2)</f>
        <v>0.60077478282346797</v>
      </c>
      <c r="AK342" s="550">
        <f t="shared" si="300"/>
        <v>0.9838470110229327</v>
      </c>
      <c r="AM342" s="551">
        <f t="shared" si="352"/>
        <v>152728.47460315598</v>
      </c>
      <c r="AQ342" s="546">
        <f t="shared" si="308"/>
        <v>394</v>
      </c>
      <c r="AR342" s="551">
        <f t="shared" si="301"/>
        <v>28.134835452895466</v>
      </c>
      <c r="AS342" s="553">
        <f>$AR342/PI()*SQRT('Hilfstabellen_Mat&amp;Bem'!f.Rd.3/'Hilfstabellen_Mat&amp;Bem'!$BD$30)</f>
        <v>0.44777981354054175</v>
      </c>
      <c r="AT342" s="553">
        <f>0.5*(1+'Hilfstabellen_Mat&amp;Bem'!$BD$31*($AS342-0.3)+$AS342^2)</f>
        <v>0.60764237138422827</v>
      </c>
      <c r="AU342" s="550">
        <f t="shared" si="302"/>
        <v>0.9819316676954245</v>
      </c>
      <c r="AW342" s="551">
        <f t="shared" si="353"/>
        <v>152431.14436636691</v>
      </c>
      <c r="BA342" s="546">
        <f t="shared" si="309"/>
        <v>394</v>
      </c>
      <c r="BB342" s="551">
        <f t="shared" si="310"/>
        <v>29.014049060798452</v>
      </c>
      <c r="BC342" s="553">
        <f>$BB342/PI()*SQRT('Hilfstabellen_Mat&amp;Bem'!f.Rd.3/'Hilfstabellen_Mat&amp;Bem'!$BD$30)</f>
        <v>0.46177293271368375</v>
      </c>
      <c r="BD342" s="553">
        <f>0.5*(1+'Hilfstabellen_Mat&amp;Bem'!$BD$31*($BC342-0.3)+$BC342^2)</f>
        <v>0.61470576732918236</v>
      </c>
      <c r="BE342" s="550">
        <f t="shared" si="311"/>
        <v>0.97995916289864893</v>
      </c>
      <c r="BG342" s="551">
        <f t="shared" si="312"/>
        <v>152124.94061173467</v>
      </c>
      <c r="BK342" s="546">
        <f t="shared" si="313"/>
        <v>394</v>
      </c>
      <c r="BL342" s="551">
        <f t="shared" si="314"/>
        <v>29.893262668701432</v>
      </c>
      <c r="BM342" s="553">
        <f>$BL342/PI()*SQRT('Hilfstabellen_Mat&amp;Bem'!f.Rd.3/'Hilfstabellen_Mat&amp;Bem'!$BD$30)</f>
        <v>0.47576605188682558</v>
      </c>
      <c r="BN342" s="553">
        <f>0.5*(1+'Hilfstabellen_Mat&amp;Bem'!$BD$31*($BM342-0.3)+$BM342^2)</f>
        <v>0.62196497065833012</v>
      </c>
      <c r="BO342" s="550">
        <f t="shared" si="315"/>
        <v>0.97792493975383954</v>
      </c>
      <c r="BQ342" s="551">
        <f t="shared" si="316"/>
        <v>151809.15594762703</v>
      </c>
      <c r="BU342" s="546">
        <f t="shared" si="317"/>
        <v>394</v>
      </c>
      <c r="BV342" s="551">
        <f t="shared" si="318"/>
        <v>30.772476276604419</v>
      </c>
      <c r="BW342" s="553">
        <f>$BV342/PI()*SQRT('Hilfstabellen_Mat&amp;Bem'!f.Rd.3/'Hilfstabellen_Mat&amp;Bem'!$BD$30)</f>
        <v>0.48975917105996758</v>
      </c>
      <c r="BX342" s="553">
        <f>0.5*(1+'Hilfstabellen_Mat&amp;Bem'!$BD$31*($BW342-0.3)+$BW342^2)</f>
        <v>0.62941998137167166</v>
      </c>
      <c r="BY342" s="550">
        <f t="shared" si="319"/>
        <v>0.97582411001559355</v>
      </c>
      <c r="CA342" s="551">
        <f t="shared" si="320"/>
        <v>151483.03154238069</v>
      </c>
      <c r="CE342" s="546">
        <f t="shared" si="321"/>
        <v>394</v>
      </c>
      <c r="CF342" s="551">
        <f t="shared" si="322"/>
        <v>31.651689884507402</v>
      </c>
      <c r="CG342" s="553">
        <f>CF342/PI()*SQRT('Hilfstabellen_Mat&amp;Bem'!f.Rd.3/'Hilfstabellen_Mat&amp;Bem'!$BD$30)</f>
        <v>0.50375229023310952</v>
      </c>
      <c r="CH342" s="553">
        <f>0.5*(1+'Hilfstabellen_Mat&amp;Bem'!$BD$31*(CG342-0.3)+CG342^2)</f>
        <v>0.63707079946920697</v>
      </c>
      <c r="CI342" s="550">
        <f t="shared" si="323"/>
        <v>0.97365142325667275</v>
      </c>
      <c r="CK342" s="551">
        <f t="shared" si="324"/>
        <v>151145.75234067286</v>
      </c>
      <c r="CO342" s="546">
        <f t="shared" si="325"/>
        <v>394</v>
      </c>
      <c r="CP342" s="551">
        <f t="shared" si="326"/>
        <v>32.530903492410388</v>
      </c>
      <c r="CQ342" s="553">
        <f>CP342/PI()*SQRT('Hilfstabellen_Mat&amp;Bem'!f.Rd.3/'Hilfstabellen_Mat&amp;Bem'!$BD$30)</f>
        <v>0.51774540940625158</v>
      </c>
      <c r="CR342" s="553">
        <f>0.5*(1+'Hilfstabellen_Mat&amp;Bem'!$BD$31*(CQ342-0.3)+CQ342^2)</f>
        <v>0.64491742495093607</v>
      </c>
      <c r="CS342" s="550">
        <f t="shared" si="327"/>
        <v>0.97140123361038211</v>
      </c>
      <c r="CU342" s="551">
        <f t="shared" si="328"/>
        <v>150796.44190074128</v>
      </c>
      <c r="CY342" s="546">
        <f t="shared" si="329"/>
        <v>394</v>
      </c>
      <c r="CZ342" s="551">
        <f t="shared" si="330"/>
        <v>33.410117100313364</v>
      </c>
      <c r="DA342" s="553">
        <f>CZ342/PI()*SQRT('Hilfstabellen_Mat&amp;Bem'!f.Rd.3/'Hilfstabellen_Mat&amp;Bem'!$BD$30)</f>
        <v>0.5317385285793933</v>
      </c>
      <c r="DB342" s="553">
        <f>0.5*(1+'Hilfstabellen_Mat&amp;Bem'!$BD$31*(DA342-0.3)+DA342^2)</f>
        <v>0.65295985781685872</v>
      </c>
      <c r="DC342" s="550">
        <f t="shared" si="331"/>
        <v>0.96906746400178456</v>
      </c>
      <c r="DE342" s="551">
        <f t="shared" si="332"/>
        <v>150434.15684178102</v>
      </c>
      <c r="DI342" s="546">
        <f t="shared" si="333"/>
        <v>394</v>
      </c>
      <c r="DJ342" s="551">
        <f t="shared" si="334"/>
        <v>34.289330708216347</v>
      </c>
      <c r="DK342" s="553">
        <f>DJ342/PI()*SQRT('Hilfstabellen_Mat&amp;Bem'!f.Rd.3/'Hilfstabellen_Mat&amp;Bem'!$BD$30)</f>
        <v>0.54573164775253524</v>
      </c>
      <c r="DL342" s="553">
        <f>0.5*(1+'Hilfstabellen_Mat&amp;Bem'!$BD$31*(DK342-0.3)+DK342^2)</f>
        <v>0.66119809806697538</v>
      </c>
      <c r="DM342" s="550">
        <f t="shared" si="335"/>
        <v>0.96664356785298033</v>
      </c>
      <c r="DO342" s="551">
        <f t="shared" si="336"/>
        <v>150057.88089922525</v>
      </c>
      <c r="DS342" s="546">
        <f t="shared" si="337"/>
        <v>394</v>
      </c>
      <c r="DT342" s="551">
        <f t="shared" si="338"/>
        <v>35.168544316119338</v>
      </c>
      <c r="DU342" s="553">
        <f>DT342/PI()*SQRT('Hilfstabellen_Mat&amp;Bem'!f.Rd.3/'Hilfstabellen_Mat&amp;Bem'!$BD$30)</f>
        <v>0.5597247669256773</v>
      </c>
      <c r="DV342" s="553">
        <f>0.5*(1+'Hilfstabellen_Mat&amp;Bem'!$BD$31*(DU342-0.3)+DU342^2)</f>
        <v>0.66963214570128571</v>
      </c>
      <c r="DW342" s="550">
        <f t="shared" si="339"/>
        <v>0.96412248832514857</v>
      </c>
      <c r="DY342" s="551">
        <f t="shared" si="340"/>
        <v>149666.51859764277</v>
      </c>
      <c r="EC342" s="546">
        <f t="shared" si="341"/>
        <v>394</v>
      </c>
      <c r="ED342" s="551">
        <f t="shared" si="342"/>
        <v>36.047757924022314</v>
      </c>
      <c r="EE342" s="553">
        <f>ED342/PI()*SQRT('Hilfstabellen_Mat&amp;Bem'!f.Rd.3/'Hilfstabellen_Mat&amp;Bem'!$BD$30)</f>
        <v>0.57371788609881913</v>
      </c>
      <c r="EF342" s="553">
        <f>0.5*(1+'Hilfstabellen_Mat&amp;Bem'!$BD$31*(EE342-0.3)+EE342^2)</f>
        <v>0.6782620007197897</v>
      </c>
      <c r="EG342" s="550">
        <f t="shared" si="343"/>
        <v>0.96149661526816621</v>
      </c>
      <c r="EI342" s="551">
        <f t="shared" si="344"/>
        <v>149258.88856776906</v>
      </c>
      <c r="EM342" s="546">
        <f t="shared" si="345"/>
        <v>394</v>
      </c>
      <c r="EN342" s="551">
        <f t="shared" si="346"/>
        <v>36.926971531925304</v>
      </c>
      <c r="EO342" s="553">
        <f>EN342/PI()*SQRT('Hilfstabellen_Mat&amp;Bem'!f.Rd.3/'Hilfstabellen_Mat&amp;Bem'!$BD$30)</f>
        <v>0.58771100527196107</v>
      </c>
      <c r="EP342" s="553">
        <f>0.5*(1+'Hilfstabellen_Mat&amp;Bem'!$BD$31*(EO342-0.3)+EO342^2)</f>
        <v>0.68708766312248759</v>
      </c>
      <c r="EQ342" s="550">
        <f t="shared" si="347"/>
        <v>0.95875774019628679</v>
      </c>
      <c r="ES342" s="551">
        <f t="shared" si="348"/>
        <v>148833.71655711078</v>
      </c>
    </row>
    <row r="343" spans="3:149">
      <c r="C343" s="546">
        <v>395</v>
      </c>
      <c r="D343" s="551">
        <f t="shared" si="303"/>
        <v>24.555657018698003</v>
      </c>
      <c r="E343" s="553">
        <f>$D343/PI()*SQRT('Hilfstabellen_Mat&amp;Bem'!f.Rd.3/'Hilfstabellen_Mat&amp;Bem'!$BD$30)</f>
        <v>0.39081541953949817</v>
      </c>
      <c r="F343" s="553">
        <f>0.5*(1+'Hilfstabellen_Mat&amp;Bem'!$BD$31*($E343-0.3)+$E343^2)</f>
        <v>0.58090911705189185</v>
      </c>
      <c r="G343" s="550">
        <f t="shared" si="304"/>
        <v>0.9894149781754078</v>
      </c>
      <c r="I343" s="551">
        <f t="shared" si="349"/>
        <v>154373.471969818</v>
      </c>
      <c r="M343" s="546">
        <f t="shared" si="305"/>
        <v>395</v>
      </c>
      <c r="N343" s="551">
        <f t="shared" si="295"/>
        <v>25.43264476936579</v>
      </c>
      <c r="O343" s="553">
        <f>$N343/PI()*SQRT('Hilfstabellen_Mat&amp;Bem'!f.Rd.3/'Hilfstabellen_Mat&amp;Bem'!$BD$30)</f>
        <v>0.40477311309448027</v>
      </c>
      <c r="P343" s="553">
        <f>0.5*(1+'Hilfstabellen_Mat&amp;Bem'!$BD$31*($O343-0.3)+$O343^2)</f>
        <v>0.5871592921968225</v>
      </c>
      <c r="Q343" s="550">
        <f t="shared" si="296"/>
        <v>0.98765427097584901</v>
      </c>
      <c r="S343" s="551">
        <f t="shared" si="350"/>
        <v>154098.75762900684</v>
      </c>
      <c r="W343" s="546">
        <f t="shared" si="306"/>
        <v>395</v>
      </c>
      <c r="X343" s="551">
        <f t="shared" si="297"/>
        <v>26.309632520033578</v>
      </c>
      <c r="Y343" s="553">
        <f>$X343/PI()*SQRT('Hilfstabellen_Mat&amp;Bem'!f.Rd.3/'Hilfstabellen_Mat&amp;Bem'!$BD$30)</f>
        <v>0.41873080664946233</v>
      </c>
      <c r="Z343" s="553">
        <f>0.5*(1+'Hilfstabellen_Mat&amp;Bem'!$BD$31*($Y343-0.3)+$Y343^2)</f>
        <v>0.59360428455112779</v>
      </c>
      <c r="AA343" s="550">
        <f t="shared" si="298"/>
        <v>0.98584885011843726</v>
      </c>
      <c r="AC343" s="551">
        <f t="shared" si="351"/>
        <v>153817.06683972917</v>
      </c>
      <c r="AG343" s="546">
        <f t="shared" si="307"/>
        <v>395</v>
      </c>
      <c r="AH343" s="551">
        <f t="shared" si="299"/>
        <v>27.186620270701365</v>
      </c>
      <c r="AI343" s="553">
        <f>$AH343/PI()*SQRT('Hilfstabellen_Mat&amp;Bem'!f.Rd.3/'Hilfstabellen_Mat&amp;Bem'!$BD$30)</f>
        <v>0.43268850020444449</v>
      </c>
      <c r="AJ343" s="553">
        <f>0.5*(1+'Hilfstabellen_Mat&amp;Bem'!$BD$31*($AI343-0.3)+$AI343^2)</f>
        <v>0.60024409411480806</v>
      </c>
      <c r="AK343" s="550">
        <f t="shared" si="300"/>
        <v>0.98399503668857624</v>
      </c>
      <c r="AM343" s="551">
        <f t="shared" si="352"/>
        <v>153527.8255993351</v>
      </c>
      <c r="AQ343" s="546">
        <f t="shared" si="308"/>
        <v>395</v>
      </c>
      <c r="AR343" s="551">
        <f t="shared" si="301"/>
        <v>28.063608021369152</v>
      </c>
      <c r="AS343" s="553">
        <f>$AR343/PI()*SQRT('Hilfstabellen_Mat&amp;Bem'!f.Rd.3/'Hilfstabellen_Mat&amp;Bem'!$BD$30)</f>
        <v>0.44664619375942655</v>
      </c>
      <c r="AT343" s="553">
        <f>0.5*(1+'Hilfstabellen_Mat&amp;Bem'!$BD$31*($AS343-0.3)+$AS343^2)</f>
        <v>0.60707872088786297</v>
      </c>
      <c r="AU343" s="550">
        <f t="shared" si="302"/>
        <v>0.98208890363744827</v>
      </c>
      <c r="AW343" s="551">
        <f t="shared" si="353"/>
        <v>153230.42119003288</v>
      </c>
      <c r="BA343" s="546">
        <f t="shared" si="309"/>
        <v>395</v>
      </c>
      <c r="BB343" s="551">
        <f t="shared" si="310"/>
        <v>28.940595772036936</v>
      </c>
      <c r="BC343" s="553">
        <f>$BB343/PI()*SQRT('Hilfstabellen_Mat&amp;Bem'!f.Rd.3/'Hilfstabellen_Mat&amp;Bem'!$BD$30)</f>
        <v>0.4606038873144086</v>
      </c>
      <c r="BD343" s="553">
        <f>0.5*(1+'Hilfstabellen_Mat&amp;Bem'!$BD$31*($BC343-0.3)+$BC343^2)</f>
        <v>0.61410816487029263</v>
      </c>
      <c r="BE343" s="550">
        <f t="shared" si="311"/>
        <v>0.98012625203973014</v>
      </c>
      <c r="BG343" s="551">
        <f t="shared" si="312"/>
        <v>152924.1984744989</v>
      </c>
      <c r="BK343" s="546">
        <f t="shared" si="313"/>
        <v>395</v>
      </c>
      <c r="BL343" s="551">
        <f t="shared" si="314"/>
        <v>29.817583522704719</v>
      </c>
      <c r="BM343" s="553">
        <f>$BL343/PI()*SQRT('Hilfstabellen_Mat&amp;Bem'!f.Rd.3/'Hilfstabellen_Mat&amp;Bem'!$BD$30)</f>
        <v>0.4745615808693906</v>
      </c>
      <c r="BN343" s="553">
        <f>0.5*(1+'Hilfstabellen_Mat&amp;Bem'!$BD$31*($BM343-0.3)+$BM343^2)</f>
        <v>0.62133242606209704</v>
      </c>
      <c r="BO343" s="550">
        <f t="shared" si="315"/>
        <v>0.97810258532477157</v>
      </c>
      <c r="BQ343" s="551">
        <f t="shared" si="316"/>
        <v>152608.45587529748</v>
      </c>
      <c r="BU343" s="546">
        <f t="shared" si="317"/>
        <v>395</v>
      </c>
      <c r="BV343" s="551">
        <f t="shared" si="318"/>
        <v>30.694571273372503</v>
      </c>
      <c r="BW343" s="553">
        <f>$BV343/PI()*SQRT('Hilfstabellen_Mat&amp;Bem'!f.Rd.3/'Hilfstabellen_Mat&amp;Bem'!$BD$30)</f>
        <v>0.48851927442437265</v>
      </c>
      <c r="BX343" s="553">
        <f>0.5*(1+'Hilfstabellen_Mat&amp;Bem'!$BD$31*($BW343-0.3)+$BW343^2)</f>
        <v>0.62875150446327632</v>
      </c>
      <c r="BY343" s="550">
        <f t="shared" si="319"/>
        <v>0.97601308134221865</v>
      </c>
      <c r="CA343" s="551">
        <f t="shared" si="320"/>
        <v>152282.44101641967</v>
      </c>
      <c r="CE343" s="546">
        <f t="shared" si="321"/>
        <v>395</v>
      </c>
      <c r="CF343" s="551">
        <f t="shared" si="322"/>
        <v>31.571559024040294</v>
      </c>
      <c r="CG343" s="553">
        <f>CF343/PI()*SQRT('Hilfstabellen_Mat&amp;Bem'!f.Rd.3/'Hilfstabellen_Mat&amp;Bem'!$BD$30)</f>
        <v>0.50247696797935482</v>
      </c>
      <c r="CH343" s="553">
        <f>0.5*(1+'Hilfstabellen_Mat&amp;Bem'!$BD$31*(CG343-0.3)+CG343^2)</f>
        <v>0.63636540007383058</v>
      </c>
      <c r="CI343" s="550">
        <f t="shared" si="323"/>
        <v>0.97385256213518712</v>
      </c>
      <c r="CK343" s="551">
        <f t="shared" si="324"/>
        <v>151945.34600714257</v>
      </c>
      <c r="CO343" s="546">
        <f t="shared" si="325"/>
        <v>395</v>
      </c>
      <c r="CP343" s="551">
        <f t="shared" si="326"/>
        <v>32.448546774708078</v>
      </c>
      <c r="CQ343" s="553">
        <f>CP343/PI()*SQRT('Hilfstabellen_Mat&amp;Bem'!f.Rd.3/'Hilfstabellen_Mat&amp;Bem'!$BD$30)</f>
        <v>0.51643466153433681</v>
      </c>
      <c r="CR343" s="553">
        <f>0.5*(1+'Hilfstabellen_Mat&amp;Bem'!$BD$31*(CQ343-0.3)+CQ343^2)</f>
        <v>0.64417411289375937</v>
      </c>
      <c r="CS343" s="550">
        <f t="shared" si="327"/>
        <v>0.97161546131554222</v>
      </c>
      <c r="CU343" s="551">
        <f t="shared" si="328"/>
        <v>151596.30235175748</v>
      </c>
      <c r="CY343" s="546">
        <f t="shared" si="329"/>
        <v>395</v>
      </c>
      <c r="CZ343" s="551">
        <f t="shared" si="330"/>
        <v>33.325534525375865</v>
      </c>
      <c r="DA343" s="553">
        <f>CZ343/PI()*SQRT('Hilfstabellen_Mat&amp;Bem'!f.Rd.3/'Hilfstabellen_Mat&amp;Bem'!$BD$30)</f>
        <v>0.53039235508931892</v>
      </c>
      <c r="DB343" s="553">
        <f>0.5*(1+'Hilfstabellen_Mat&amp;Bem'!$BD$31*(DA343-0.3)+DA343^2)</f>
        <v>0.65217764292306302</v>
      </c>
      <c r="DC343" s="550">
        <f t="shared" si="331"/>
        <v>0.96929578896999713</v>
      </c>
      <c r="DE343" s="551">
        <f t="shared" si="332"/>
        <v>151234.3754740438</v>
      </c>
      <c r="DI343" s="546">
        <f t="shared" si="333"/>
        <v>395</v>
      </c>
      <c r="DJ343" s="551">
        <f t="shared" si="334"/>
        <v>34.202522276043652</v>
      </c>
      <c r="DK343" s="553">
        <f>DJ343/PI()*SQRT('Hilfstabellen_Mat&amp;Bem'!f.Rd.3/'Hilfstabellen_Mat&amp;Bem'!$BD$30)</f>
        <v>0.54435004864430103</v>
      </c>
      <c r="DL343" s="553">
        <f>0.5*(1+'Hilfstabellen_Mat&amp;Bem'!$BD$31*(DK343-0.3)+DK343^2)</f>
        <v>0.66037599016174153</v>
      </c>
      <c r="DM343" s="550">
        <f t="shared" si="335"/>
        <v>0.9668870940768739</v>
      </c>
      <c r="DO343" s="551">
        <f t="shared" si="336"/>
        <v>150858.55885334426</v>
      </c>
      <c r="DS343" s="546">
        <f t="shared" si="337"/>
        <v>395</v>
      </c>
      <c r="DT343" s="551">
        <f t="shared" si="338"/>
        <v>35.079510026711439</v>
      </c>
      <c r="DU343" s="553">
        <f>DT343/PI()*SQRT('Hilfstabellen_Mat&amp;Bem'!f.Rd.3/'Hilfstabellen_Mat&amp;Bem'!$BD$30)</f>
        <v>0.55830774219928314</v>
      </c>
      <c r="DV343" s="553">
        <f>0.5*(1+'Hilfstabellen_Mat&amp;Bem'!$BD$31*(DU343-0.3)+DU343^2)</f>
        <v>0.6687691546097948</v>
      </c>
      <c r="DW343" s="550">
        <f t="shared" si="339"/>
        <v>0.96438242448689526</v>
      </c>
      <c r="DY343" s="551">
        <f t="shared" si="340"/>
        <v>150467.76778056784</v>
      </c>
      <c r="EC343" s="546">
        <f t="shared" si="341"/>
        <v>395</v>
      </c>
      <c r="ED343" s="551">
        <f t="shared" si="342"/>
        <v>35.956497777379226</v>
      </c>
      <c r="EE343" s="553">
        <f>ED343/PI()*SQRT('Hilfstabellen_Mat&amp;Bem'!f.Rd.3/'Hilfstabellen_Mat&amp;Bem'!$BD$30)</f>
        <v>0.57226543575426525</v>
      </c>
      <c r="EF343" s="553">
        <f>0.5*(1+'Hilfstabellen_Mat&amp;Bem'!$BD$31*(EE343-0.3)+EE343^2)</f>
        <v>0.67735713626722271</v>
      </c>
      <c r="EG343" s="550">
        <f t="shared" si="343"/>
        <v>0.96177428462416836</v>
      </c>
      <c r="EI343" s="551">
        <f t="shared" si="344"/>
        <v>150060.83275848586</v>
      </c>
      <c r="EM343" s="546">
        <f t="shared" si="345"/>
        <v>395</v>
      </c>
      <c r="EN343" s="551">
        <f t="shared" si="346"/>
        <v>36.833485528047007</v>
      </c>
      <c r="EO343" s="553">
        <f>EN343/PI()*SQRT('Hilfstabellen_Mat&amp;Bem'!f.Rd.3/'Hilfstabellen_Mat&amp;Bem'!$BD$30)</f>
        <v>0.58622312930924714</v>
      </c>
      <c r="EP343" s="553">
        <f>0.5*(1+'Hilfstabellen_Mat&amp;Bem'!$BD$31*(EO343-0.3)+EO343^2)</f>
        <v>0.68613993513402549</v>
      </c>
      <c r="EQ343" s="550">
        <f t="shared" si="347"/>
        <v>0.95905459120403125</v>
      </c>
      <c r="ES343" s="551">
        <f t="shared" si="348"/>
        <v>149636.49259260896</v>
      </c>
    </row>
    <row r="344" spans="3:149">
      <c r="C344" s="546">
        <v>396</v>
      </c>
      <c r="D344" s="551">
        <f t="shared" si="303"/>
        <v>24.493647783802306</v>
      </c>
      <c r="E344" s="553">
        <f>$D344/PI()*SQRT('Hilfstabellen_Mat&amp;Bem'!f.Rd.3/'Hilfstabellen_Mat&amp;Bem'!$BD$30)</f>
        <v>0.38982851191439849</v>
      </c>
      <c r="F344" s="553">
        <f>0.5*(1+'Hilfstabellen_Mat&amp;Bem'!$BD$31*($E344-0.3)+$E344^2)</f>
        <v>0.58047455994641706</v>
      </c>
      <c r="G344" s="550">
        <f t="shared" si="304"/>
        <v>0.98953787157124229</v>
      </c>
      <c r="I344" s="551">
        <f t="shared" si="349"/>
        <v>155175.37086831592</v>
      </c>
      <c r="M344" s="546">
        <f t="shared" si="305"/>
        <v>396</v>
      </c>
      <c r="N344" s="551">
        <f t="shared" si="295"/>
        <v>25.368420918938103</v>
      </c>
      <c r="O344" s="553">
        <f>$N344/PI()*SQRT('Hilfstabellen_Mat&amp;Bem'!f.Rd.3/'Hilfstabellen_Mat&amp;Bem'!$BD$30)</f>
        <v>0.40375095876848416</v>
      </c>
      <c r="P344" s="553">
        <f>0.5*(1+'Hilfstabellen_Mat&amp;Bem'!$BD$31*($O344-0.3)+$O344^2)</f>
        <v>0.58669496629165929</v>
      </c>
      <c r="Q344" s="550">
        <f t="shared" si="296"/>
        <v>0.98778468581082746</v>
      </c>
      <c r="S344" s="551">
        <f t="shared" si="350"/>
        <v>154900.44329011071</v>
      </c>
      <c r="W344" s="546">
        <f t="shared" si="306"/>
        <v>396</v>
      </c>
      <c r="X344" s="551">
        <f t="shared" si="297"/>
        <v>26.2431940540739</v>
      </c>
      <c r="Y344" s="553">
        <f>$X344/PI()*SQRT('Hilfstabellen_Mat&amp;Bem'!f.Rd.3/'Hilfstabellen_Mat&amp;Bem'!$BD$30)</f>
        <v>0.41767340562256977</v>
      </c>
      <c r="Z344" s="553">
        <f>0.5*(1+'Hilfstabellen_Mat&amp;Bem'!$BD$31*($Y344-0.3)+$Y344^2)</f>
        <v>0.59310920716330628</v>
      </c>
      <c r="AA344" s="550">
        <f t="shared" si="298"/>
        <v>0.98598727098439054</v>
      </c>
      <c r="AC344" s="551">
        <f t="shared" si="351"/>
        <v>154618.57988668818</v>
      </c>
      <c r="AG344" s="546">
        <f t="shared" si="307"/>
        <v>396</v>
      </c>
      <c r="AH344" s="551">
        <f t="shared" si="299"/>
        <v>27.117967189209693</v>
      </c>
      <c r="AI344" s="553">
        <f>$AH344/PI()*SQRT('Hilfstabellen_Mat&amp;Bem'!f.Rd.3/'Hilfstabellen_Mat&amp;Bem'!$BD$30)</f>
        <v>0.43159585247665544</v>
      </c>
      <c r="AJ344" s="553">
        <f>0.5*(1+'Hilfstabellen_Mat&amp;Bem'!$BD$31*($AI344-0.3)+$AI344^2)</f>
        <v>0.59971728256135826</v>
      </c>
      <c r="AK344" s="550">
        <f t="shared" si="300"/>
        <v>0.98414199344581221</v>
      </c>
      <c r="AM344" s="551">
        <f t="shared" si="352"/>
        <v>154329.21084419847</v>
      </c>
      <c r="AQ344" s="546">
        <f t="shared" si="308"/>
        <v>396</v>
      </c>
      <c r="AR344" s="551">
        <f t="shared" si="301"/>
        <v>27.99274032434549</v>
      </c>
      <c r="AS344" s="553">
        <f>$AR344/PI()*SQRT('Hilfstabellen_Mat&amp;Bem'!f.Rd.3/'Hilfstabellen_Mat&amp;Bem'!$BD$30)</f>
        <v>0.44551829933074105</v>
      </c>
      <c r="AT344" s="553">
        <f>0.5*(1+'Hilfstabellen_Mat&amp;Bem'!$BD$31*($AS344-0.3)+$AS344^2)</f>
        <v>0.60651919248581487</v>
      </c>
      <c r="AU344" s="550">
        <f t="shared" si="302"/>
        <v>0.98224497561606228</v>
      </c>
      <c r="AW344" s="551">
        <f t="shared" si="353"/>
        <v>154031.72809620842</v>
      </c>
      <c r="BA344" s="546">
        <f t="shared" si="309"/>
        <v>396</v>
      </c>
      <c r="BB344" s="551">
        <f t="shared" si="310"/>
        <v>28.867513459481287</v>
      </c>
      <c r="BC344" s="553">
        <f>$BB344/PI()*SQRT('Hilfstabellen_Mat&amp;Bem'!f.Rd.3/'Hilfstabellen_Mat&amp;Bem'!$BD$30)</f>
        <v>0.45944074618482678</v>
      </c>
      <c r="BD344" s="553">
        <f>0.5*(1+'Hilfstabellen_Mat&amp;Bem'!$BD$31*($BC344-0.3)+$BC344^2)</f>
        <v>0.61351493693667658</v>
      </c>
      <c r="BE344" s="550">
        <f t="shared" si="311"/>
        <v>0.9802920726875779</v>
      </c>
      <c r="BG344" s="551">
        <f t="shared" si="312"/>
        <v>153725.48167057522</v>
      </c>
      <c r="BK344" s="546">
        <f t="shared" si="313"/>
        <v>396</v>
      </c>
      <c r="BL344" s="551">
        <f t="shared" si="314"/>
        <v>29.742286594617084</v>
      </c>
      <c r="BM344" s="553">
        <f>$BL344/PI()*SQRT('Hilfstabellen_Mat&amp;Bem'!f.Rd.3/'Hilfstabellen_Mat&amp;Bem'!$BD$30)</f>
        <v>0.47336319303891239</v>
      </c>
      <c r="BN344" s="553">
        <f>0.5*(1+'Hilfstabellen_Mat&amp;Bem'!$BD$31*($BM344-0.3)+$BM344^2)</f>
        <v>0.62070451591394304</v>
      </c>
      <c r="BO344" s="550">
        <f t="shared" si="315"/>
        <v>0.97827884734361992</v>
      </c>
      <c r="BQ344" s="551">
        <f t="shared" si="316"/>
        <v>153409.77572503709</v>
      </c>
      <c r="BU344" s="546">
        <f t="shared" si="317"/>
        <v>396</v>
      </c>
      <c r="BV344" s="551">
        <f t="shared" si="318"/>
        <v>30.617059729752881</v>
      </c>
      <c r="BW344" s="553">
        <f>$BV344/PI()*SQRT('Hilfstabellen_Mat&amp;Bem'!f.Rd.3/'Hilfstabellen_Mat&amp;Bem'!$BD$30)</f>
        <v>0.48728563989299806</v>
      </c>
      <c r="BX344" s="553">
        <f>0.5*(1+'Hilfstabellen_Mat&amp;Bem'!$BD$31*($BW344-0.3)+$BW344^2)</f>
        <v>0.62808792941761415</v>
      </c>
      <c r="BY344" s="550">
        <f t="shared" si="319"/>
        <v>0.97620054235539044</v>
      </c>
      <c r="CA344" s="551">
        <f t="shared" si="320"/>
        <v>153083.86425000289</v>
      </c>
      <c r="CE344" s="546">
        <f t="shared" si="321"/>
        <v>396</v>
      </c>
      <c r="CF344" s="551">
        <f t="shared" si="322"/>
        <v>31.491832864888679</v>
      </c>
      <c r="CG344" s="553">
        <f>CF344/PI()*SQRT('Hilfstabellen_Mat&amp;Bem'!f.Rd.3/'Hilfstabellen_Mat&amp;Bem'!$BD$30)</f>
        <v>0.50120808674708373</v>
      </c>
      <c r="CH344" s="553">
        <f>0.5*(1+'Hilfstabellen_Mat&amp;Bem'!$BD$31*(CG344-0.3)+CG344^2)</f>
        <v>0.63566517744769035</v>
      </c>
      <c r="CI344" s="550">
        <f t="shared" si="323"/>
        <v>0.97405205093094493</v>
      </c>
      <c r="CK344" s="551">
        <f t="shared" si="324"/>
        <v>152746.94641878706</v>
      </c>
      <c r="CO344" s="546">
        <f t="shared" si="325"/>
        <v>396</v>
      </c>
      <c r="CP344" s="551">
        <f t="shared" si="326"/>
        <v>32.366606000024476</v>
      </c>
      <c r="CQ344" s="553">
        <f>CP344/PI()*SQRT('Hilfstabellen_Mat&amp;Bem'!f.Rd.3/'Hilfstabellen_Mat&amp;Bem'!$BD$30)</f>
        <v>0.51513053360116945</v>
      </c>
      <c r="CR344" s="553">
        <f>0.5*(1+'Hilfstabellen_Mat&amp;Bem'!$BD$31*(CQ344-0.3)+CQ344^2)</f>
        <v>0.6434362600041712</v>
      </c>
      <c r="CS344" s="550">
        <f t="shared" si="327"/>
        <v>0.97182788471007653</v>
      </c>
      <c r="CU344" s="551">
        <f t="shared" si="328"/>
        <v>152398.16156869536</v>
      </c>
      <c r="CY344" s="546">
        <f t="shared" si="329"/>
        <v>396</v>
      </c>
      <c r="CZ344" s="551">
        <f t="shared" si="330"/>
        <v>33.241379135160265</v>
      </c>
      <c r="DA344" s="553">
        <f>CZ344/PI()*SQRT('Hilfstabellen_Mat&amp;Bem'!f.Rd.3/'Hilfstabellen_Mat&amp;Bem'!$BD$30)</f>
        <v>0.52905298045525495</v>
      </c>
      <c r="DB344" s="553">
        <f>0.5*(1+'Hilfstabellen_Mat&amp;Bem'!$BD$31*(DA344-0.3)+DA344^2)</f>
        <v>0.65140117708705692</v>
      </c>
      <c r="DC344" s="550">
        <f t="shared" si="331"/>
        <v>0.96952213933158549</v>
      </c>
      <c r="DE344" s="551">
        <f t="shared" si="332"/>
        <v>152036.58380142192</v>
      </c>
      <c r="DI344" s="546">
        <f t="shared" si="333"/>
        <v>396</v>
      </c>
      <c r="DJ344" s="551">
        <f t="shared" si="334"/>
        <v>34.116152270296062</v>
      </c>
      <c r="DK344" s="553">
        <f>DJ344/PI()*SQRT('Hilfstabellen_Mat&amp;Bem'!f.Rd.3/'Hilfstabellen_Mat&amp;Bem'!$BD$30)</f>
        <v>0.54297542730934056</v>
      </c>
      <c r="DL344" s="553">
        <f>0.5*(1+'Hilfstabellen_Mat&amp;Bem'!$BD$31*(DK344-0.3)+DK344^2)</f>
        <v>0.6595599286963475</v>
      </c>
      <c r="DM344" s="550">
        <f t="shared" si="335"/>
        <v>0.9671284575477952</v>
      </c>
      <c r="DO344" s="551">
        <f t="shared" si="336"/>
        <v>151661.21619881506</v>
      </c>
      <c r="DS344" s="546">
        <f t="shared" si="337"/>
        <v>396</v>
      </c>
      <c r="DT344" s="551">
        <f t="shared" si="338"/>
        <v>34.990925405431859</v>
      </c>
      <c r="DU344" s="553">
        <f>DT344/PI()*SQRT('Hilfstabellen_Mat&amp;Bem'!f.Rd.3/'Hilfstabellen_Mat&amp;Bem'!$BD$30)</f>
        <v>0.55689787416342629</v>
      </c>
      <c r="DV344" s="553">
        <f>0.5*(1+'Hilfstabellen_Mat&amp;Bem'!$BD$31*(DU344-0.3)+DU344^2)</f>
        <v>0.66791251483204306</v>
      </c>
      <c r="DW344" s="550">
        <f t="shared" si="339"/>
        <v>0.96463998993095157</v>
      </c>
      <c r="DY344" s="551">
        <f t="shared" si="340"/>
        <v>151270.9846610121</v>
      </c>
      <c r="EC344" s="546">
        <f t="shared" si="341"/>
        <v>396</v>
      </c>
      <c r="ED344" s="551">
        <f t="shared" si="342"/>
        <v>35.865698540567656</v>
      </c>
      <c r="EE344" s="553">
        <f>ED344/PI()*SQRT('Hilfstabellen_Mat&amp;Bem'!f.Rd.3/'Hilfstabellen_Mat&amp;Bem'!$BD$30)</f>
        <v>0.5708203210175119</v>
      </c>
      <c r="EF344" s="553">
        <f>0.5*(1+'Hilfstabellen_Mat&amp;Bem'!$BD$31*(EE344-0.3)+EE344^2)</f>
        <v>0.67645893549414327</v>
      </c>
      <c r="EG344" s="550">
        <f t="shared" si="343"/>
        <v>0.9620493533138692</v>
      </c>
      <c r="EI344" s="551">
        <f t="shared" si="344"/>
        <v>150864.73138926772</v>
      </c>
      <c r="EM344" s="546">
        <f t="shared" si="345"/>
        <v>396</v>
      </c>
      <c r="EN344" s="551">
        <f t="shared" si="346"/>
        <v>36.740471675703454</v>
      </c>
      <c r="EO344" s="553">
        <f>EN344/PI()*SQRT('Hilfstabellen_Mat&amp;Bem'!f.Rd.3/'Hilfstabellen_Mat&amp;Bem'!$BD$30)</f>
        <v>0.58474276787159762</v>
      </c>
      <c r="EP344" s="553">
        <f>0.5*(1+'Hilfstabellen_Mat&amp;Bem'!$BD$31*(EO344-0.3)+EO344^2)</f>
        <v>0.68519919068264845</v>
      </c>
      <c r="EQ344" s="550">
        <f t="shared" si="347"/>
        <v>0.95934858724090655</v>
      </c>
      <c r="ES344" s="551">
        <f t="shared" si="348"/>
        <v>150441.20805677</v>
      </c>
    </row>
    <row r="345" spans="3:149">
      <c r="C345" s="546">
        <v>397</v>
      </c>
      <c r="D345" s="551">
        <f t="shared" si="303"/>
        <v>24.431950937999275</v>
      </c>
      <c r="E345" s="553">
        <f>$D345/PI()*SQRT('Hilfstabellen_Mat&amp;Bem'!f.Rd.3/'Hilfstabellen_Mat&amp;Bem'!$BD$30)</f>
        <v>0.38884657611612539</v>
      </c>
      <c r="F345" s="553">
        <f>0.5*(1+'Hilfstabellen_Mat&amp;Bem'!$BD$31*($E345-0.3)+$E345^2)</f>
        <v>0.58004315868442313</v>
      </c>
      <c r="G345" s="550">
        <f t="shared" si="304"/>
        <v>0.98965994238260169</v>
      </c>
      <c r="I345" s="551">
        <f t="shared" si="349"/>
        <v>155979.31385897947</v>
      </c>
      <c r="M345" s="546">
        <f t="shared" si="305"/>
        <v>397</v>
      </c>
      <c r="N345" s="551">
        <f t="shared" si="295"/>
        <v>25.304520614356395</v>
      </c>
      <c r="O345" s="553">
        <f>$N345/PI()*SQRT('Hilfstabellen_Mat&amp;Bem'!f.Rd.3/'Hilfstabellen_Mat&amp;Bem'!$BD$30)</f>
        <v>0.40273395383455846</v>
      </c>
      <c r="P345" s="553">
        <f>0.5*(1+'Hilfstabellen_Mat&amp;Bem'!$BD$31*($O345-0.3)+$O345^2)</f>
        <v>0.58623401647733608</v>
      </c>
      <c r="Q345" s="550">
        <f t="shared" si="296"/>
        <v>0.98791420713702216</v>
      </c>
      <c r="S345" s="551">
        <f t="shared" si="350"/>
        <v>155704.17027265893</v>
      </c>
      <c r="W345" s="546">
        <f t="shared" si="306"/>
        <v>397</v>
      </c>
      <c r="X345" s="551">
        <f t="shared" si="297"/>
        <v>26.177090290713512</v>
      </c>
      <c r="Y345" s="553">
        <f>$X345/PI()*SQRT('Hilfstabellen_Mat&amp;Bem'!f.Rd.3/'Hilfstabellen_Mat&amp;Bem'!$BD$30)</f>
        <v>0.41662133155299153</v>
      </c>
      <c r="Z345" s="553">
        <f>0.5*(1+'Hilfstabellen_Mat&amp;Bem'!$BD$31*($Y345-0.3)+$Y345^2)</f>
        <v>0.59261773353014335</v>
      </c>
      <c r="AA345" s="550">
        <f t="shared" si="298"/>
        <v>0.98612472062486389</v>
      </c>
      <c r="AC345" s="551">
        <f t="shared" si="351"/>
        <v>155422.13109296418</v>
      </c>
      <c r="AG345" s="546">
        <f t="shared" si="307"/>
        <v>397</v>
      </c>
      <c r="AH345" s="551">
        <f t="shared" si="299"/>
        <v>27.049659967070628</v>
      </c>
      <c r="AI345" s="553">
        <f>$AH345/PI()*SQRT('Hilfstabellen_Mat&amp;Bem'!f.Rd.3/'Hilfstabellen_Mat&amp;Bem'!$BD$30)</f>
        <v>0.43050870927142459</v>
      </c>
      <c r="AJ345" s="553">
        <f>0.5*(1+'Hilfstabellen_Mat&amp;Bem'!$BD$31*($AI345-0.3)+$AI345^2)</f>
        <v>0.59919430984284516</v>
      </c>
      <c r="AK345" s="550">
        <f t="shared" si="300"/>
        <v>0.98428789372041692</v>
      </c>
      <c r="AM345" s="551">
        <f t="shared" si="352"/>
        <v>155132.6306413812</v>
      </c>
      <c r="AQ345" s="546">
        <f t="shared" si="308"/>
        <v>397</v>
      </c>
      <c r="AR345" s="551">
        <f t="shared" si="301"/>
        <v>27.922229643427745</v>
      </c>
      <c r="AS345" s="553">
        <f>$AR345/PI()*SQRT('Hilfstabellen_Mat&amp;Bem'!f.Rd.3/'Hilfstabellen_Mat&amp;Bem'!$BD$30)</f>
        <v>0.44439608698985761</v>
      </c>
      <c r="AT345" s="553">
        <f>0.5*(1+'Hilfstabellen_Mat&amp;Bem'!$BD$31*($AS345-0.3)+$AS345^2)</f>
        <v>0.6059637454154414</v>
      </c>
      <c r="AU345" s="550">
        <f t="shared" si="302"/>
        <v>0.98239989748186018</v>
      </c>
      <c r="AW345" s="551">
        <f t="shared" si="353"/>
        <v>154835.0654422185</v>
      </c>
      <c r="BA345" s="546">
        <f t="shared" si="309"/>
        <v>397</v>
      </c>
      <c r="BB345" s="551">
        <f t="shared" si="310"/>
        <v>28.794799319784861</v>
      </c>
      <c r="BC345" s="553">
        <f>$BB345/PI()*SQRT('Hilfstabellen_Mat&amp;Bem'!f.Rd.3/'Hilfstabellen_Mat&amp;Bem'!$BD$30)</f>
        <v>0.45828346470829068</v>
      </c>
      <c r="BD345" s="553">
        <f>0.5*(1+'Hilfstabellen_Mat&amp;Bem'!$BD$31*($BC345-0.3)+$BC345^2)</f>
        <v>0.61292604024793207</v>
      </c>
      <c r="BE345" s="550">
        <f t="shared" si="311"/>
        <v>0.98045664029252722</v>
      </c>
      <c r="BG345" s="551">
        <f t="shared" si="312"/>
        <v>154528.79061986491</v>
      </c>
      <c r="BK345" s="546">
        <f t="shared" si="313"/>
        <v>397</v>
      </c>
      <c r="BL345" s="551">
        <f t="shared" si="314"/>
        <v>29.667368996141978</v>
      </c>
      <c r="BM345" s="553">
        <f>$BL345/PI()*SQRT('Hilfstabellen_Mat&amp;Bem'!f.Rd.3/'Hilfstabellen_Mat&amp;Bem'!$BD$30)</f>
        <v>0.47217084242672369</v>
      </c>
      <c r="BN345" s="553">
        <f>0.5*(1+'Hilfstabellen_Mat&amp;Bem'!$BD$31*($BM345-0.3)+$BM345^2)</f>
        <v>0.62008119434031717</v>
      </c>
      <c r="BO345" s="550">
        <f t="shared" si="315"/>
        <v>0.97845374305777344</v>
      </c>
      <c r="BQ345" s="551">
        <f t="shared" si="316"/>
        <v>154213.11598959262</v>
      </c>
      <c r="BU345" s="546">
        <f t="shared" si="317"/>
        <v>397</v>
      </c>
      <c r="BV345" s="551">
        <f t="shared" si="318"/>
        <v>30.539938672499094</v>
      </c>
      <c r="BW345" s="553">
        <f>$BV345/PI()*SQRT('Hilfstabellen_Mat&amp;Bem'!f.Rd.3/'Hilfstabellen_Mat&amp;Bem'!$BD$30)</f>
        <v>0.48605822014515676</v>
      </c>
      <c r="BX345" s="553">
        <f>0.5*(1+'Hilfstabellen_Mat&amp;Bem'!$BD$31*($BW345-0.3)+$BW345^2)</f>
        <v>0.62742920769259669</v>
      </c>
      <c r="BY345" s="550">
        <f t="shared" si="319"/>
        <v>0.97638651232204987</v>
      </c>
      <c r="CA345" s="551">
        <f t="shared" si="320"/>
        <v>153887.30182056595</v>
      </c>
      <c r="CE345" s="546">
        <f t="shared" si="321"/>
        <v>397</v>
      </c>
      <c r="CF345" s="551">
        <f t="shared" si="322"/>
        <v>31.41250834885621</v>
      </c>
      <c r="CG345" s="553">
        <f>CF345/PI()*SQRT('Hilfstabellen_Mat&amp;Bem'!f.Rd.3/'Hilfstabellen_Mat&amp;Bem'!$BD$30)</f>
        <v>0.49994559786358983</v>
      </c>
      <c r="CH345" s="553">
        <f>0.5*(1+'Hilfstabellen_Mat&amp;Bem'!$BD$31*(CG345-0.3)+CG345^2)</f>
        <v>0.63497008030477053</v>
      </c>
      <c r="CI345" s="550">
        <f t="shared" si="323"/>
        <v>0.97424991118121085</v>
      </c>
      <c r="CK345" s="551">
        <f t="shared" si="324"/>
        <v>153550.55425135946</v>
      </c>
      <c r="CO345" s="546">
        <f t="shared" si="325"/>
        <v>397</v>
      </c>
      <c r="CP345" s="551">
        <f t="shared" si="326"/>
        <v>32.285078025213323</v>
      </c>
      <c r="CQ345" s="553">
        <f>CP345/PI()*SQRT('Hilfstabellen_Mat&amp;Bem'!f.Rd.3/'Hilfstabellen_Mat&amp;Bem'!$BD$30)</f>
        <v>0.51383297558202279</v>
      </c>
      <c r="CR345" s="553">
        <f>0.5*(1+'Hilfstabellen_Mat&amp;Bem'!$BD$31*(CQ345-0.3)+CQ345^2)</f>
        <v>0.64270381217683892</v>
      </c>
      <c r="CS345" s="550">
        <f t="shared" si="327"/>
        <v>0.97203852788397849</v>
      </c>
      <c r="CU345" s="551">
        <f t="shared" si="328"/>
        <v>153202.02034126598</v>
      </c>
      <c r="CY345" s="546">
        <f t="shared" si="329"/>
        <v>397</v>
      </c>
      <c r="CZ345" s="551">
        <f t="shared" si="330"/>
        <v>33.15764770157044</v>
      </c>
      <c r="DA345" s="553">
        <f>CZ345/PI()*SQRT('Hilfstabellen_Mat&amp;Bem'!f.Rd.3/'Hilfstabellen_Mat&amp;Bem'!$BD$30)</f>
        <v>0.52772035330045586</v>
      </c>
      <c r="DB345" s="553">
        <f>0.5*(1+'Hilfstabellen_Mat&amp;Bem'!$BD$31*(DA345-0.3)+DA345^2)</f>
        <v>0.65063040330880173</v>
      </c>
      <c r="DC345" s="550">
        <f t="shared" si="331"/>
        <v>0.96974654204694377</v>
      </c>
      <c r="DE345" s="551">
        <f t="shared" si="332"/>
        <v>152840.78274547675</v>
      </c>
      <c r="DI345" s="546">
        <f t="shared" si="333"/>
        <v>397</v>
      </c>
      <c r="DJ345" s="551">
        <f t="shared" si="334"/>
        <v>34.030217377927556</v>
      </c>
      <c r="DK345" s="553">
        <f>DJ345/PI()*SQRT('Hilfstabellen_Mat&amp;Bem'!f.Rd.3/'Hilfstabellen_Mat&amp;Bem'!$BD$30)</f>
        <v>0.54160773101888882</v>
      </c>
      <c r="DL345" s="553">
        <f>0.5*(1+'Hilfstabellen_Mat&amp;Bem'!$BD$31*(DK345-0.3)+DK345^2)</f>
        <v>0.65874985370065897</v>
      </c>
      <c r="DM345" s="550">
        <f t="shared" si="335"/>
        <v>0.96736768845332444</v>
      </c>
      <c r="DO345" s="551">
        <f t="shared" si="336"/>
        <v>152465.85400944002</v>
      </c>
      <c r="DS345" s="546">
        <f t="shared" si="337"/>
        <v>397</v>
      </c>
      <c r="DT345" s="551">
        <f t="shared" si="338"/>
        <v>34.90278705428468</v>
      </c>
      <c r="DU345" s="553">
        <f>DT345/PI()*SQRT('Hilfstabellen_Mat&amp;Bem'!f.Rd.3/'Hilfstabellen_Mat&amp;Bem'!$BD$30)</f>
        <v>0.555495108737322</v>
      </c>
      <c r="DV345" s="553">
        <f>0.5*(1+'Hilfstabellen_Mat&amp;Bem'!$BD$31*(DU345-0.3)+DU345^2)</f>
        <v>0.66706216335241075</v>
      </c>
      <c r="DW345" s="550">
        <f t="shared" si="339"/>
        <v>0.9648952184719749</v>
      </c>
      <c r="DY345" s="551">
        <f t="shared" si="340"/>
        <v>152076.17048814948</v>
      </c>
      <c r="EC345" s="546">
        <f t="shared" si="341"/>
        <v>397</v>
      </c>
      <c r="ED345" s="551">
        <f t="shared" si="342"/>
        <v>35.775356730641796</v>
      </c>
      <c r="EE345" s="553">
        <f>ED345/PI()*SQRT('Hilfstabellen_Mat&amp;Bem'!f.Rd.3/'Hilfstabellen_Mat&amp;Bem'!$BD$30)</f>
        <v>0.56938248645575507</v>
      </c>
      <c r="EF345" s="553">
        <f>0.5*(1+'Hilfstabellen_Mat&amp;Bem'!$BD$31*(EE345-0.3)+EE345^2)</f>
        <v>0.67556733226405685</v>
      </c>
      <c r="EG345" s="550">
        <f t="shared" si="343"/>
        <v>0.96232185922601476</v>
      </c>
      <c r="EI345" s="551">
        <f t="shared" si="344"/>
        <v>151670.58591075297</v>
      </c>
      <c r="EM345" s="546">
        <f t="shared" si="345"/>
        <v>397</v>
      </c>
      <c r="EN345" s="551">
        <f t="shared" si="346"/>
        <v>36.647926406998913</v>
      </c>
      <c r="EO345" s="553">
        <f>EN345/PI()*SQRT('Hilfstabellen_Mat&amp;Bem'!f.Rd.3/'Hilfstabellen_Mat&amp;Bem'!$BD$30)</f>
        <v>0.58326986417418814</v>
      </c>
      <c r="EP345" s="553">
        <f>0.5*(1+'Hilfstabellen_Mat&amp;Bem'!$BD$31*(EO345-0.3)+EO345^2)</f>
        <v>0.68426536043559727</v>
      </c>
      <c r="EQ345" s="550">
        <f t="shared" si="347"/>
        <v>0.95963977076772</v>
      </c>
      <c r="ES345" s="551">
        <f t="shared" si="348"/>
        <v>151247.86463092957</v>
      </c>
    </row>
    <row r="346" spans="3:149">
      <c r="C346" s="546">
        <v>398</v>
      </c>
      <c r="D346" s="551">
        <f t="shared" si="303"/>
        <v>24.370564126597269</v>
      </c>
      <c r="E346" s="553">
        <f>$D346/PI()*SQRT('Hilfstabellen_Mat&amp;Bem'!f.Rd.3/'Hilfstabellen_Mat&amp;Bem'!$BD$30)</f>
        <v>0.38786957466859745</v>
      </c>
      <c r="F346" s="553">
        <f>0.5*(1+'Hilfstabellen_Mat&amp;Bem'!$BD$31*($E346-0.3)+$E346^2)</f>
        <v>0.57961488221022917</v>
      </c>
      <c r="G346" s="550">
        <f t="shared" si="304"/>
        <v>0.98978119948809862</v>
      </c>
      <c r="I346" s="551">
        <f t="shared" si="349"/>
        <v>156785.30112371276</v>
      </c>
      <c r="M346" s="546">
        <f t="shared" si="305"/>
        <v>398</v>
      </c>
      <c r="N346" s="551">
        <f t="shared" si="295"/>
        <v>25.240941416832886</v>
      </c>
      <c r="O346" s="553">
        <f>$N346/PI()*SQRT('Hilfstabellen_Mat&amp;Bem'!f.Rd.3/'Hilfstabellen_Mat&amp;Bem'!$BD$30)</f>
        <v>0.40172205947819023</v>
      </c>
      <c r="P346" s="553">
        <f>0.5*(1+'Hilfstabellen_Mat&amp;Bem'!$BD$31*($O346-0.3)+$O346^2)</f>
        <v>0.58577640950960885</v>
      </c>
      <c r="Q346" s="550">
        <f t="shared" si="296"/>
        <v>0.98804284482521831</v>
      </c>
      <c r="S346" s="551">
        <f t="shared" si="350"/>
        <v>156509.93879169389</v>
      </c>
      <c r="W346" s="546">
        <f t="shared" si="306"/>
        <v>398</v>
      </c>
      <c r="X346" s="551">
        <f t="shared" si="297"/>
        <v>26.111318707068502</v>
      </c>
      <c r="Y346" s="553">
        <f>$X346/PI()*SQRT('Hilfstabellen_Mat&amp;Bem'!f.Rd.3/'Hilfstabellen_Mat&amp;Bem'!$BD$30)</f>
        <v>0.41557454428778301</v>
      </c>
      <c r="Z346" s="553">
        <f>0.5*(1+'Hilfstabellen_Mat&amp;Bem'!$BD$31*($Y346-0.3)+$Y346^2)</f>
        <v>0.5921298281443883</v>
      </c>
      <c r="AA346" s="550">
        <f t="shared" si="298"/>
        <v>0.98626121002208589</v>
      </c>
      <c r="AC346" s="551">
        <f t="shared" si="351"/>
        <v>156227.72071233849</v>
      </c>
      <c r="AG346" s="546">
        <f t="shared" si="307"/>
        <v>398</v>
      </c>
      <c r="AH346" s="551">
        <f t="shared" si="299"/>
        <v>26.981695997304119</v>
      </c>
      <c r="AI346" s="553">
        <f>$AH346/PI()*SQRT('Hilfstabellen_Mat&amp;Bem'!f.Rd.3/'Hilfstabellen_Mat&amp;Bem'!$BD$30)</f>
        <v>0.42942702909737573</v>
      </c>
      <c r="AJ346" s="553">
        <f>0.5*(1+'Hilfstabellen_Mat&amp;Bem'!$BD$31*($AI346-0.3)+$AI346^2)</f>
        <v>0.59867513811456796</v>
      </c>
      <c r="AK346" s="550">
        <f t="shared" si="300"/>
        <v>0.98443274974055472</v>
      </c>
      <c r="AM346" s="551">
        <f t="shared" si="352"/>
        <v>155938.08528990284</v>
      </c>
      <c r="AQ346" s="546">
        <f t="shared" si="308"/>
        <v>398</v>
      </c>
      <c r="AR346" s="551">
        <f t="shared" si="301"/>
        <v>27.852073287539731</v>
      </c>
      <c r="AS346" s="553">
        <f>$AR346/PI()*SQRT('Hilfstabellen_Mat&amp;Bem'!f.Rd.3/'Hilfstabellen_Mat&amp;Bem'!$BD$30)</f>
        <v>0.44327951390696846</v>
      </c>
      <c r="AT346" s="553">
        <f>0.5*(1+'Hilfstabellen_Mat&amp;Bem'!$BD$31*($AS346-0.3)+$AS346^2)</f>
        <v>0.6054123394201476</v>
      </c>
      <c r="AU346" s="550">
        <f t="shared" si="302"/>
        <v>0.98255368286061651</v>
      </c>
      <c r="AW346" s="551">
        <f t="shared" si="353"/>
        <v>155640.4335798531</v>
      </c>
      <c r="BA346" s="546">
        <f t="shared" si="309"/>
        <v>398</v>
      </c>
      <c r="BB346" s="551">
        <f t="shared" si="310"/>
        <v>28.722450577775351</v>
      </c>
      <c r="BC346" s="553">
        <f>$BB346/PI()*SQRT('Hilfstabellen_Mat&amp;Bem'!f.Rd.3/'Hilfstabellen_Mat&amp;Bem'!$BD$30)</f>
        <v>0.45713199871656124</v>
      </c>
      <c r="BD346" s="553">
        <f>0.5*(1+'Hilfstabellen_Mat&amp;Bem'!$BD$31*($BC346-0.3)+$BC346^2)</f>
        <v>0.61234143206112712</v>
      </c>
      <c r="BE346" s="550">
        <f t="shared" si="311"/>
        <v>0.98061997004901802</v>
      </c>
      <c r="BG346" s="551">
        <f t="shared" si="312"/>
        <v>155334.12573564466</v>
      </c>
      <c r="BK346" s="546">
        <f t="shared" si="313"/>
        <v>398</v>
      </c>
      <c r="BL346" s="551">
        <f t="shared" si="314"/>
        <v>29.592827868010964</v>
      </c>
      <c r="BM346" s="553">
        <f>$BL346/PI()*SQRT('Hilfstabellen_Mat&amp;Bem'!f.Rd.3/'Hilfstabellen_Mat&amp;Bem'!$BD$30)</f>
        <v>0.47098448352615396</v>
      </c>
      <c r="BN346" s="553">
        <f>0.5*(1+'Hilfstabellen_Mat&amp;Bem'!$BD$31*($BM346-0.3)+$BM346^2)</f>
        <v>0.61946241603750662</v>
      </c>
      <c r="BO346" s="550">
        <f t="shared" si="315"/>
        <v>0.97862728942323129</v>
      </c>
      <c r="BQ346" s="551">
        <f t="shared" si="316"/>
        <v>155018.47715379752</v>
      </c>
      <c r="BU346" s="546">
        <f t="shared" si="317"/>
        <v>398</v>
      </c>
      <c r="BV346" s="551">
        <f t="shared" si="318"/>
        <v>30.463205158246584</v>
      </c>
      <c r="BW346" s="553">
        <f>$BV346/PI()*SQRT('Hilfstabellen_Mat&amp;Bem'!f.Rd.3/'Hilfstabellen_Mat&amp;Bem'!$BD$30)</f>
        <v>0.48483696833574674</v>
      </c>
      <c r="BX346" s="553">
        <f>0.5*(1+'Hilfstabellen_Mat&amp;Bem'!$BD$31*($BW346-0.3)+$BW346^2)</f>
        <v>0.62677529134928622</v>
      </c>
      <c r="BY346" s="550">
        <f t="shared" si="319"/>
        <v>0.97657101017721548</v>
      </c>
      <c r="CA346" s="551">
        <f t="shared" si="320"/>
        <v>154692.75429611164</v>
      </c>
      <c r="CE346" s="546">
        <f t="shared" si="321"/>
        <v>398</v>
      </c>
      <c r="CF346" s="551">
        <f t="shared" si="322"/>
        <v>31.333582448482197</v>
      </c>
      <c r="CG346" s="553">
        <f>CF346/PI()*SQRT('Hilfstabellen_Mat&amp;Bem'!f.Rd.3/'Hilfstabellen_Mat&amp;Bem'!$BD$30)</f>
        <v>0.49868945314533947</v>
      </c>
      <c r="CH346" s="553">
        <f>0.5*(1+'Hilfstabellen_Mat&amp;Bem'!$BD$31*(CG346-0.3)+CG346^2)</f>
        <v>0.63428005799646581</v>
      </c>
      <c r="CI346" s="550">
        <f t="shared" si="323"/>
        <v>0.97444616404504847</v>
      </c>
      <c r="CK346" s="551">
        <f t="shared" si="324"/>
        <v>154356.17016939184</v>
      </c>
      <c r="CO346" s="546">
        <f t="shared" si="325"/>
        <v>398</v>
      </c>
      <c r="CP346" s="551">
        <f t="shared" si="326"/>
        <v>32.20395973871782</v>
      </c>
      <c r="CQ346" s="553">
        <f>CP346/PI()*SQRT('Hilfstabellen_Mat&amp;Bem'!f.Rd.3/'Hilfstabellen_Mat&amp;Bem'!$BD$30)</f>
        <v>0.51254193795493241</v>
      </c>
      <c r="CR346" s="553">
        <f>0.5*(1+'Hilfstabellen_Mat&amp;Bem'!$BD$31*(CQ346-0.3)+CQ346^2)</f>
        <v>0.64197671597904549</v>
      </c>
      <c r="CS346" s="550">
        <f t="shared" si="327"/>
        <v>0.9722474144962413</v>
      </c>
      <c r="CU346" s="551">
        <f t="shared" si="328"/>
        <v>154007.87944586261</v>
      </c>
      <c r="CY346" s="546">
        <f t="shared" si="329"/>
        <v>398</v>
      </c>
      <c r="CZ346" s="551">
        <f t="shared" si="330"/>
        <v>33.07433702895343</v>
      </c>
      <c r="DA346" s="553">
        <f>CZ346/PI()*SQRT('Hilfstabellen_Mat&amp;Bem'!f.Rd.3/'Hilfstabellen_Mat&amp;Bem'!$BD$30)</f>
        <v>0.52639442276452497</v>
      </c>
      <c r="DB346" s="553">
        <f>0.5*(1+'Hilfstabellen_Mat&amp;Bem'!$BD$31*(DA346-0.3)+DA346^2)</f>
        <v>0.64986526529702493</v>
      </c>
      <c r="DC346" s="550">
        <f t="shared" si="331"/>
        <v>0.96996902358527026</v>
      </c>
      <c r="DE346" s="551">
        <f t="shared" si="332"/>
        <v>153646.97321200115</v>
      </c>
      <c r="DI346" s="546">
        <f t="shared" si="333"/>
        <v>398</v>
      </c>
      <c r="DJ346" s="551">
        <f t="shared" si="334"/>
        <v>33.944714319189053</v>
      </c>
      <c r="DK346" s="553">
        <f>DJ346/PI()*SQRT('Hilfstabellen_Mat&amp;Bem'!f.Rd.3/'Hilfstabellen_Mat&amp;Bem'!$BD$30)</f>
        <v>0.54024690757411786</v>
      </c>
      <c r="DL346" s="553">
        <f>0.5*(1+'Hilfstabellen_Mat&amp;Bem'!$BD$31*(DK346-0.3)+DK346^2)</f>
        <v>0.65794570595040458</v>
      </c>
      <c r="DM346" s="550">
        <f t="shared" si="335"/>
        <v>0.96760481642130047</v>
      </c>
      <c r="DO346" s="551">
        <f t="shared" si="336"/>
        <v>153272.47334039968</v>
      </c>
      <c r="DS346" s="546">
        <f t="shared" si="337"/>
        <v>398</v>
      </c>
      <c r="DT346" s="551">
        <f t="shared" si="338"/>
        <v>34.81509160942467</v>
      </c>
      <c r="DU346" s="553">
        <f>DT346/PI()*SQRT('Hilfstabellen_Mat&amp;Bem'!f.Rd.3/'Hilfstabellen_Mat&amp;Bem'!$BD$30)</f>
        <v>0.55409939238371064</v>
      </c>
      <c r="DV346" s="553">
        <f>0.5*(1+'Hilfstabellen_Mat&amp;Bem'!$BD$31*(DU346-0.3)+DU346^2)</f>
        <v>0.66621803793918422</v>
      </c>
      <c r="DW346" s="550">
        <f t="shared" si="339"/>
        <v>0.96514814328695253</v>
      </c>
      <c r="DY346" s="551">
        <f t="shared" si="340"/>
        <v>152883.32648922643</v>
      </c>
      <c r="EC346" s="546">
        <f t="shared" si="341"/>
        <v>398</v>
      </c>
      <c r="ED346" s="551">
        <f t="shared" si="342"/>
        <v>35.685468899660286</v>
      </c>
      <c r="EE346" s="553">
        <f>ED346/PI()*SQRT('Hilfstabellen_Mat&amp;Bem'!f.Rd.3/'Hilfstabellen_Mat&amp;Bem'!$BD$30)</f>
        <v>0.56795187719330342</v>
      </c>
      <c r="EF346" s="553">
        <f>0.5*(1+'Hilfstabellen_Mat&amp;Bem'!$BD$31*(EE346-0.3)+EE346^2)</f>
        <v>0.67468226126336384</v>
      </c>
      <c r="EG346" s="550">
        <f t="shared" si="343"/>
        <v>0.96259183952326965</v>
      </c>
      <c r="EI346" s="551">
        <f t="shared" si="344"/>
        <v>152478.39774784399</v>
      </c>
      <c r="EM346" s="546">
        <f t="shared" si="345"/>
        <v>398</v>
      </c>
      <c r="EN346" s="551">
        <f t="shared" si="346"/>
        <v>36.555846189895902</v>
      </c>
      <c r="EO346" s="553">
        <f>EN346/PI()*SQRT('Hilfstabellen_Mat&amp;Bem'!f.Rd.3/'Hilfstabellen_Mat&amp;Bem'!$BD$30)</f>
        <v>0.5818043620028962</v>
      </c>
      <c r="EP346" s="553">
        <f>0.5*(1+'Hilfstabellen_Mat&amp;Bem'!$BD$31*(EO346-0.3)+EO346^2)</f>
        <v>0.68333837592294333</v>
      </c>
      <c r="EQ346" s="550">
        <f t="shared" si="347"/>
        <v>0.95992818341916852</v>
      </c>
      <c r="ES346" s="551">
        <f t="shared" si="348"/>
        <v>152056.46396632996</v>
      </c>
    </row>
    <row r="347" spans="3:149">
      <c r="C347" s="546">
        <v>399</v>
      </c>
      <c r="D347" s="551">
        <f t="shared" si="303"/>
        <v>24.309485018510557</v>
      </c>
      <c r="E347" s="553">
        <f>$D347/PI()*SQRT('Hilfstabellen_Mat&amp;Bem'!f.Rd.3/'Hilfstabellen_Mat&amp;Bem'!$BD$30)</f>
        <v>0.38689747047143302</v>
      </c>
      <c r="F347" s="553">
        <f>0.5*(1+'Hilfstabellen_Mat&amp;Bem'!$BD$31*($E347-0.3)+$E347^2)</f>
        <v>0.57918969985216828</v>
      </c>
      <c r="G347" s="550">
        <f t="shared" si="304"/>
        <v>0.98990165163424648</v>
      </c>
      <c r="I347" s="551">
        <f t="shared" si="349"/>
        <v>157593.33284182366</v>
      </c>
      <c r="M347" s="546">
        <f t="shared" si="305"/>
        <v>399</v>
      </c>
      <c r="N347" s="551">
        <f t="shared" si="295"/>
        <v>25.177680912028791</v>
      </c>
      <c r="O347" s="553">
        <f>$N347/PI()*SQRT('Hilfstabellen_Mat&amp;Bem'!f.Rd.3/'Hilfstabellen_Mat&amp;Bem'!$BD$30)</f>
        <v>0.40071523727398423</v>
      </c>
      <c r="P347" s="553">
        <f>0.5*(1+'Hilfstabellen_Mat&amp;Bem'!$BD$31*($O347-0.3)+$O347^2)</f>
        <v>0.58532211255547195</v>
      </c>
      <c r="Q347" s="550">
        <f t="shared" si="296"/>
        <v>0.9881706085962163</v>
      </c>
      <c r="S347" s="551">
        <f t="shared" si="350"/>
        <v>157317.74905912622</v>
      </c>
      <c r="W347" s="546">
        <f t="shared" si="306"/>
        <v>399</v>
      </c>
      <c r="X347" s="551">
        <f t="shared" si="297"/>
        <v>26.045876805547024</v>
      </c>
      <c r="Y347" s="553">
        <f>$X347/PI()*SQRT('Hilfstabellen_Mat&amp;Bem'!f.Rd.3/'Hilfstabellen_Mat&amp;Bem'!$BD$30)</f>
        <v>0.41453300407653537</v>
      </c>
      <c r="Z347" s="553">
        <f>0.5*(1+'Hilfstabellen_Mat&amp;Bem'!$BD$31*($Y347-0.3)+$Y347^2)</f>
        <v>0.59164545593818518</v>
      </c>
      <c r="AA347" s="550">
        <f t="shared" si="298"/>
        <v>0.98639674998789784</v>
      </c>
      <c r="AC347" s="551">
        <f t="shared" si="351"/>
        <v>157035.34899482332</v>
      </c>
      <c r="AG347" s="546">
        <f t="shared" si="307"/>
        <v>399</v>
      </c>
      <c r="AH347" s="551">
        <f t="shared" si="299"/>
        <v>26.914072699065258</v>
      </c>
      <c r="AI347" s="553">
        <f>$AH347/PI()*SQRT('Hilfstabellen_Mat&amp;Bem'!f.Rd.3/'Hilfstabellen_Mat&amp;Bem'!$BD$30)</f>
        <v>0.42835077087908657</v>
      </c>
      <c r="AJ347" s="553">
        <f>0.5*(1+'Hilfstabellen_Mat&amp;Bem'!$BD$31*($AI347-0.3)+$AI347^2)</f>
        <v>0.5981597300003082</v>
      </c>
      <c r="AK347" s="550">
        <f t="shared" si="300"/>
        <v>0.9845765735407167</v>
      </c>
      <c r="AM347" s="551">
        <f t="shared" si="352"/>
        <v>156745.57508425563</v>
      </c>
      <c r="AQ347" s="546">
        <f t="shared" si="308"/>
        <v>399</v>
      </c>
      <c r="AR347" s="551">
        <f t="shared" si="301"/>
        <v>27.782268592583492</v>
      </c>
      <c r="AS347" s="553">
        <f>$AR347/PI()*SQRT('Hilfstabellen_Mat&amp;Bem'!f.Rd.3/'Hilfstabellen_Mat&amp;Bem'!$BD$30)</f>
        <v>0.44216853768163777</v>
      </c>
      <c r="AT347" s="553">
        <f>0.5*(1+'Hilfstabellen_Mat&amp;Bem'!$BD$31*($AS347-0.3)+$AS347^2)</f>
        <v>0.60486493474184089</v>
      </c>
      <c r="AU347" s="550">
        <f t="shared" si="302"/>
        <v>0.98270634515784805</v>
      </c>
      <c r="AW347" s="551">
        <f t="shared" si="353"/>
        <v>156447.83285547455</v>
      </c>
      <c r="BA347" s="546">
        <f t="shared" si="309"/>
        <v>399</v>
      </c>
      <c r="BB347" s="551">
        <f t="shared" si="310"/>
        <v>28.650464486101725</v>
      </c>
      <c r="BC347" s="553">
        <f>$BB347/PI()*SQRT('Hilfstabellen_Mat&amp;Bem'!f.Rd.3/'Hilfstabellen_Mat&amp;Bem'!$BD$30)</f>
        <v>0.45598630448418886</v>
      </c>
      <c r="BD347" s="553">
        <f>0.5*(1+'Hilfstabellen_Mat&amp;Bem'!$BD$31*($BC347-0.3)+$BC347^2)</f>
        <v>0.61176107016278314</v>
      </c>
      <c r="BE347" s="550">
        <f t="shared" si="311"/>
        <v>0.98078207690087926</v>
      </c>
      <c r="BG347" s="551">
        <f t="shared" si="312"/>
        <v>156141.48742469688</v>
      </c>
      <c r="BK347" s="546">
        <f t="shared" si="313"/>
        <v>399</v>
      </c>
      <c r="BL347" s="551">
        <f t="shared" si="314"/>
        <v>29.518660379619966</v>
      </c>
      <c r="BM347" s="553">
        <f>$BL347/PI()*SQRT('Hilfstabellen_Mat&amp;Bem'!f.Rd.3/'Hilfstabellen_Mat&amp;Bem'!$BD$30)</f>
        <v>0.46980407128674018</v>
      </c>
      <c r="BN347" s="553">
        <f>0.5*(1+'Hilfstabellen_Mat&amp;Bem'!$BD$31*($BM347-0.3)+$BM347^2)</f>
        <v>0.61884813626313528</v>
      </c>
      <c r="BO347" s="550">
        <f t="shared" si="315"/>
        <v>0.97879950311072428</v>
      </c>
      <c r="BQ347" s="551">
        <f t="shared" si="316"/>
        <v>155825.8596947304</v>
      </c>
      <c r="BU347" s="546">
        <f t="shared" si="317"/>
        <v>399</v>
      </c>
      <c r="BV347" s="551">
        <f t="shared" si="318"/>
        <v>30.3868562731382</v>
      </c>
      <c r="BW347" s="553">
        <f>$BV347/PI()*SQRT('Hilfstabellen_Mat&amp;Bem'!f.Rd.3/'Hilfstabellen_Mat&amp;Bem'!$BD$30)</f>
        <v>0.48362183808929138</v>
      </c>
      <c r="BX347" s="553">
        <f>0.5*(1+'Hilfstabellen_Mat&amp;Bem'!$BD$31*($BW347-0.3)+$BW347^2)</f>
        <v>0.62612613304289699</v>
      </c>
      <c r="BY347" s="550">
        <f t="shared" si="319"/>
        <v>0.97675405453106823</v>
      </c>
      <c r="CA347" s="551">
        <f t="shared" si="320"/>
        <v>155500.22223540058</v>
      </c>
      <c r="CE347" s="546">
        <f t="shared" si="321"/>
        <v>399</v>
      </c>
      <c r="CF347" s="551">
        <f t="shared" si="322"/>
        <v>31.255052166656434</v>
      </c>
      <c r="CG347" s="553">
        <f>CF347/PI()*SQRT('Hilfstabellen_Mat&amp;Bem'!f.Rd.3/'Hilfstabellen_Mat&amp;Bem'!$BD$30)</f>
        <v>0.49743960489184247</v>
      </c>
      <c r="CH347" s="553">
        <f>0.5*(1+'Hilfstabellen_Mat&amp;Bem'!$BD$31*(CG347-0.3)+CG347^2)</f>
        <v>0.63359506050206826</v>
      </c>
      <c r="CI347" s="550">
        <f t="shared" si="323"/>
        <v>0.97464083031152904</v>
      </c>
      <c r="CK347" s="551">
        <f t="shared" si="324"/>
        <v>155163.79482642573</v>
      </c>
      <c r="CO347" s="546">
        <f t="shared" si="325"/>
        <v>399</v>
      </c>
      <c r="CP347" s="551">
        <f t="shared" si="326"/>
        <v>32.123248060174667</v>
      </c>
      <c r="CQ347" s="553">
        <f>CP347/PI()*SQRT('Hilfstabellen_Mat&amp;Bem'!f.Rd.3/'Hilfstabellen_Mat&amp;Bem'!$BD$30)</f>
        <v>0.51125737169439367</v>
      </c>
      <c r="CR347" s="553">
        <f>0.5*(1+'Hilfstabellen_Mat&amp;Bem'!$BD$31*(CQ347-0.3)+CQ347^2)</f>
        <v>0.64125491864064932</v>
      </c>
      <c r="CS347" s="550">
        <f t="shared" si="327"/>
        <v>0.97245456778435047</v>
      </c>
      <c r="CU347" s="551">
        <f t="shared" si="328"/>
        <v>154815.73964583638</v>
      </c>
      <c r="CY347" s="546">
        <f t="shared" si="329"/>
        <v>399</v>
      </c>
      <c r="CZ347" s="551">
        <f t="shared" si="330"/>
        <v>32.991443953692901</v>
      </c>
      <c r="DA347" s="553">
        <f>CZ347/PI()*SQRT('Hilfstabellen_Mat&amp;Bem'!f.Rd.3/'Hilfstabellen_Mat&amp;Bem'!$BD$30)</f>
        <v>0.52507513849694487</v>
      </c>
      <c r="DB347" s="553">
        <f>0.5*(1+'Hilfstabellen_Mat&amp;Bem'!$BD$31*(DA347-0.3)+DA347^2)</f>
        <v>0.64910570745864016</v>
      </c>
      <c r="DC347" s="550">
        <f t="shared" si="331"/>
        <v>0.97018960993554149</v>
      </c>
      <c r="DE347" s="551">
        <f t="shared" si="332"/>
        <v>154455.15609134815</v>
      </c>
      <c r="DI347" s="546">
        <f t="shared" si="333"/>
        <v>399</v>
      </c>
      <c r="DJ347" s="551">
        <f t="shared" si="334"/>
        <v>33.859639847211135</v>
      </c>
      <c r="DK347" s="553">
        <f>DJ347/PI()*SQRT('Hilfstabellen_Mat&amp;Bem'!f.Rd.3/'Hilfstabellen_Mat&amp;Bem'!$BD$30)</f>
        <v>0.53889290529949596</v>
      </c>
      <c r="DL347" s="553">
        <f>0.5*(1+'Hilfstabellen_Mat&amp;Bem'!$BD$31*(DK347-0.3)+DK347^2)</f>
        <v>0.65714742695604067</v>
      </c>
      <c r="DM347" s="550">
        <f t="shared" si="335"/>
        <v>0.96783987053249565</v>
      </c>
      <c r="DO347" s="551">
        <f t="shared" si="336"/>
        <v>154081.07522864384</v>
      </c>
      <c r="DS347" s="546">
        <f t="shared" si="337"/>
        <v>399</v>
      </c>
      <c r="DT347" s="551">
        <f t="shared" si="338"/>
        <v>34.727835740729368</v>
      </c>
      <c r="DU347" s="553">
        <f>DT347/PI()*SQRT('Hilfstabellen_Mat&amp;Bem'!f.Rd.3/'Hilfstabellen_Mat&amp;Bem'!$BD$30)</f>
        <v>0.55271067210204716</v>
      </c>
      <c r="DV347" s="553">
        <f>0.5*(1+'Hilfstabellen_Mat&amp;Bem'!$BD$31*(DU347-0.3)+DU347^2)</f>
        <v>0.66538007713285074</v>
      </c>
      <c r="DW347" s="550">
        <f t="shared" si="339"/>
        <v>0.96539879692982411</v>
      </c>
      <c r="DY347" s="551">
        <f t="shared" si="340"/>
        <v>153692.45387002494</v>
      </c>
      <c r="EC347" s="546">
        <f t="shared" si="341"/>
        <v>399</v>
      </c>
      <c r="ED347" s="551">
        <f t="shared" si="342"/>
        <v>35.596031634247602</v>
      </c>
      <c r="EE347" s="553">
        <f>ED347/PI()*SQRT('Hilfstabellen_Mat&amp;Bem'!f.Rd.3/'Hilfstabellen_Mat&amp;Bem'!$BD$30)</f>
        <v>0.56652843890459836</v>
      </c>
      <c r="EF347" s="553">
        <f>0.5*(1+'Hilfstabellen_Mat&amp;Bem'!$BD$31*(EE347-0.3)+EE347^2)</f>
        <v>0.67380365798907049</v>
      </c>
      <c r="EG347" s="550">
        <f t="shared" si="343"/>
        <v>0.96285933065905838</v>
      </c>
      <c r="EI347" s="551">
        <f t="shared" si="344"/>
        <v>153288.16830025276</v>
      </c>
      <c r="EM347" s="546">
        <f t="shared" si="345"/>
        <v>399</v>
      </c>
      <c r="EN347" s="551">
        <f t="shared" si="346"/>
        <v>36.464227527765836</v>
      </c>
      <c r="EO347" s="553">
        <f>EN347/PI()*SQRT('Hilfstabellen_Mat&amp;Bem'!f.Rd.3/'Hilfstabellen_Mat&amp;Bem'!$BD$30)</f>
        <v>0.58034620570714945</v>
      </c>
      <c r="EP347" s="553">
        <f>0.5*(1+'Hilfstabellen_Mat&amp;Bem'!$BD$31*(EO347-0.3)+EO347^2)</f>
        <v>0.68241816952470002</v>
      </c>
      <c r="EQ347" s="550">
        <f t="shared" si="347"/>
        <v>0.96021386602318637</v>
      </c>
      <c r="ES347" s="551">
        <f t="shared" si="348"/>
        <v>152867.00768475729</v>
      </c>
    </row>
    <row r="348" spans="3:149">
      <c r="C348" s="546">
        <v>400</v>
      </c>
      <c r="D348" s="551">
        <f t="shared" si="303"/>
        <v>24.248711305964282</v>
      </c>
      <c r="E348" s="553">
        <f>$D348/PI()*SQRT('Hilfstabellen_Mat&amp;Bem'!f.Rd.3/'Hilfstabellen_Mat&amp;Bem'!$BD$30)</f>
        <v>0.38593022679525446</v>
      </c>
      <c r="F348" s="553">
        <f>0.5*(1+'Hilfstabellen_Mat&amp;Bem'!$BD$31*($E348-0.3)+$E348^2)</f>
        <v>0.578767581316881</v>
      </c>
      <c r="G348" s="550">
        <f t="shared" si="304"/>
        <v>0.99002130743794203</v>
      </c>
      <c r="I348" s="551">
        <f t="shared" si="349"/>
        <v>158403.40919007073</v>
      </c>
      <c r="M348" s="546">
        <f t="shared" si="305"/>
        <v>400</v>
      </c>
      <c r="N348" s="551">
        <f t="shared" si="295"/>
        <v>25.114736709748719</v>
      </c>
      <c r="O348" s="553">
        <f>$N348/PI()*SQRT('Hilfstabellen_Mat&amp;Bem'!f.Rd.3/'Hilfstabellen_Mat&amp;Bem'!$BD$30)</f>
        <v>0.39971344918079921</v>
      </c>
      <c r="P348" s="553">
        <f>0.5*(1+'Hilfstabellen_Mat&amp;Bem'!$BD$31*($O348-0.3)+$O348^2)</f>
        <v>0.58487109318704555</v>
      </c>
      <c r="Q348" s="550">
        <f t="shared" si="296"/>
        <v>0.98829750802370819</v>
      </c>
      <c r="S348" s="551">
        <f t="shared" si="350"/>
        <v>158127.60128379331</v>
      </c>
      <c r="W348" s="546">
        <f t="shared" si="306"/>
        <v>400</v>
      </c>
      <c r="X348" s="551">
        <f t="shared" si="297"/>
        <v>25.980762113533157</v>
      </c>
      <c r="Y348" s="553">
        <f>$X348/PI()*SQRT('Hilfstabellen_Mat&amp;Bem'!f.Rd.3/'Hilfstabellen_Mat&amp;Bem'!$BD$30)</f>
        <v>0.41349667156634401</v>
      </c>
      <c r="Z348" s="553">
        <f>0.5*(1+'Hilfstabellen_Mat&amp;Bem'!$BD$31*($Y348-0.3)+$Y348^2)</f>
        <v>0.59116458227653967</v>
      </c>
      <c r="AA348" s="550">
        <f t="shared" si="298"/>
        <v>0.98653135116707913</v>
      </c>
      <c r="AC348" s="551">
        <f t="shared" si="351"/>
        <v>157845.01618673265</v>
      </c>
      <c r="AG348" s="546">
        <f t="shared" si="307"/>
        <v>400</v>
      </c>
      <c r="AH348" s="551">
        <f t="shared" si="299"/>
        <v>26.846787517317598</v>
      </c>
      <c r="AI348" s="553">
        <f>$AH348/PI()*SQRT('Hilfstabellen_Mat&amp;Bem'!f.Rd.3/'Hilfstabellen_Mat&amp;Bem'!$BD$30)</f>
        <v>0.42727989395188887</v>
      </c>
      <c r="AJ348" s="553">
        <f>0.5*(1+'Hilfstabellen_Mat&amp;Bem'!$BD$31*($AI348-0.3)+$AI348^2)</f>
        <v>0.59764804858536313</v>
      </c>
      <c r="AK348" s="550">
        <f t="shared" si="300"/>
        <v>0.98471937696556733</v>
      </c>
      <c r="AM348" s="551">
        <f t="shared" si="352"/>
        <v>157555.10031449076</v>
      </c>
      <c r="AQ348" s="546">
        <f t="shared" si="308"/>
        <v>400</v>
      </c>
      <c r="AR348" s="551">
        <f t="shared" si="301"/>
        <v>27.712812921102035</v>
      </c>
      <c r="AS348" s="553">
        <f>$AR348/PI()*SQRT('Hilfstabellen_Mat&amp;Bem'!f.Rd.3/'Hilfstabellen_Mat&amp;Bem'!$BD$30)</f>
        <v>0.44106311633743367</v>
      </c>
      <c r="AT348" s="553">
        <f>0.5*(1+'Hilfstabellen_Mat&amp;Bem'!$BD$31*($AS348-0.3)+$AS348^2)</f>
        <v>0.60432149211351605</v>
      </c>
      <c r="AU348" s="550">
        <f t="shared" si="302"/>
        <v>0.9828578975632668</v>
      </c>
      <c r="AW348" s="551">
        <f t="shared" si="353"/>
        <v>157257.2636101227</v>
      </c>
      <c r="BA348" s="546">
        <f t="shared" si="309"/>
        <v>400</v>
      </c>
      <c r="BB348" s="551">
        <f t="shared" si="310"/>
        <v>28.578838324886473</v>
      </c>
      <c r="BC348" s="553">
        <f>$BB348/PI()*SQRT('Hilfstabellen_Mat&amp;Bem'!f.Rd.3/'Hilfstabellen_Mat&amp;Bem'!$BD$30)</f>
        <v>0.45484633872297842</v>
      </c>
      <c r="BD348" s="553">
        <f>0.5*(1+'Hilfstabellen_Mat&amp;Bem'!$BD$31*($BC348-0.3)+$BC348^2)</f>
        <v>0.61118491286099808</v>
      </c>
      <c r="BE348" s="550">
        <f t="shared" si="311"/>
        <v>0.98094297554648535</v>
      </c>
      <c r="BG348" s="551">
        <f t="shared" si="312"/>
        <v>156950.87608743765</v>
      </c>
      <c r="BK348" s="546">
        <f t="shared" si="313"/>
        <v>400</v>
      </c>
      <c r="BL348" s="551">
        <f t="shared" si="314"/>
        <v>29.444863728670914</v>
      </c>
      <c r="BM348" s="553">
        <f>$BL348/PI()*SQRT('Hilfstabellen_Mat&amp;Bem'!f.Rd.3/'Hilfstabellen_Mat&amp;Bem'!$BD$30)</f>
        <v>0.46862956110852327</v>
      </c>
      <c r="BN348" s="553">
        <f>0.5*(1+'Hilfstabellen_Mat&amp;Bem'!$BD$31*($BM348-0.3)+$BM348^2)</f>
        <v>0.61823831082780978</v>
      </c>
      <c r="BO348" s="550">
        <f t="shared" si="315"/>
        <v>0.97897040051168527</v>
      </c>
      <c r="BQ348" s="551">
        <f t="shared" si="316"/>
        <v>156635.26408186965</v>
      </c>
      <c r="BU348" s="546">
        <f t="shared" si="317"/>
        <v>400</v>
      </c>
      <c r="BV348" s="551">
        <f t="shared" si="318"/>
        <v>30.310889132455351</v>
      </c>
      <c r="BW348" s="553">
        <f>$BV348/PI()*SQRT('Hilfstabellen_Mat&amp;Bem'!f.Rd.3/'Hilfstabellen_Mat&amp;Bem'!$BD$30)</f>
        <v>0.48241278349406802</v>
      </c>
      <c r="BX348" s="553">
        <f>0.5*(1+'Hilfstabellen_Mat&amp;Bem'!$BD$31*($BW348-0.3)+$BW348^2)</f>
        <v>0.62548168601395071</v>
      </c>
      <c r="BY348" s="550">
        <f t="shared" si="319"/>
        <v>0.97693566367586526</v>
      </c>
      <c r="CA348" s="551">
        <f t="shared" si="320"/>
        <v>156309.70618813843</v>
      </c>
      <c r="CE348" s="546">
        <f t="shared" si="321"/>
        <v>400</v>
      </c>
      <c r="CF348" s="551">
        <f t="shared" si="322"/>
        <v>31.176914536239789</v>
      </c>
      <c r="CG348" s="553">
        <f>CF348/PI()*SQRT('Hilfstabellen_Mat&amp;Bem'!f.Rd.3/'Hilfstabellen_Mat&amp;Bem'!$BD$30)</f>
        <v>0.49619600587961288</v>
      </c>
      <c r="CH348" s="553">
        <f>0.5*(1+'Hilfstabellen_Mat&amp;Bem'!$BD$31*(CG348-0.3)+CG348^2)</f>
        <v>0.63291503841942098</v>
      </c>
      <c r="CI348" s="550">
        <f t="shared" si="323"/>
        <v>0.97483393040772359</v>
      </c>
      <c r="CK348" s="551">
        <f t="shared" si="324"/>
        <v>155973.42886523576</v>
      </c>
      <c r="CO348" s="546">
        <f t="shared" si="325"/>
        <v>400</v>
      </c>
      <c r="CP348" s="551">
        <f t="shared" si="326"/>
        <v>32.042939940024226</v>
      </c>
      <c r="CQ348" s="553">
        <f>CP348/PI()*SQRT('Hilfstabellen_Mat&amp;Bem'!f.Rd.3/'Hilfstabellen_Mat&amp;Bem'!$BD$30)</f>
        <v>0.50997922826515762</v>
      </c>
      <c r="CR348" s="553">
        <f>0.5*(1+'Hilfstabellen_Mat&amp;Bem'!$BD$31*(CQ348-0.3)+CQ348^2)</f>
        <v>0.64053836804422071</v>
      </c>
      <c r="CS348" s="550">
        <f t="shared" si="327"/>
        <v>0.9726600105735328</v>
      </c>
      <c r="CU348" s="551">
        <f t="shared" si="328"/>
        <v>155625.60169176525</v>
      </c>
      <c r="CY348" s="546">
        <f t="shared" si="329"/>
        <v>400</v>
      </c>
      <c r="CZ348" s="551">
        <f t="shared" si="330"/>
        <v>32.908965343808667</v>
      </c>
      <c r="DA348" s="553">
        <f>CZ348/PI()*SQRT('Hilfstabellen_Mat&amp;Bem'!f.Rd.3/'Hilfstabellen_Mat&amp;Bem'!$BD$30)</f>
        <v>0.52376245065070248</v>
      </c>
      <c r="DB348" s="553">
        <f>0.5*(1+'Hilfstabellen_Mat&amp;Bem'!$BD$31*(DA348-0.3)+DA348^2)</f>
        <v>0.64835167488834988</v>
      </c>
      <c r="DC348" s="550">
        <f t="shared" si="331"/>
        <v>0.97040832661720422</v>
      </c>
      <c r="DE348" s="551">
        <f t="shared" si="332"/>
        <v>155265.33225875266</v>
      </c>
      <c r="DI348" s="546">
        <f t="shared" si="333"/>
        <v>400</v>
      </c>
      <c r="DJ348" s="551">
        <f t="shared" si="334"/>
        <v>33.774990747593108</v>
      </c>
      <c r="DK348" s="553">
        <f>DJ348/PI()*SQRT('Hilfstabellen_Mat&amp;Bem'!f.Rd.3/'Hilfstabellen_Mat&amp;Bem'!$BD$30)</f>
        <v>0.53754567303624723</v>
      </c>
      <c r="DL348" s="553">
        <f>0.5*(1+'Hilfstabellen_Mat&amp;Bem'!$BD$31*(DK348-0.3)+DK348^2)</f>
        <v>0.6563549589518084</v>
      </c>
      <c r="DM348" s="550">
        <f t="shared" si="335"/>
        <v>0.96807287933296571</v>
      </c>
      <c r="DO348" s="551">
        <f t="shared" si="336"/>
        <v>154891.66069327452</v>
      </c>
      <c r="DS348" s="546">
        <f t="shared" si="337"/>
        <v>400</v>
      </c>
      <c r="DT348" s="551">
        <f t="shared" si="338"/>
        <v>34.641016151377542</v>
      </c>
      <c r="DU348" s="553">
        <f>DT348/PI()*SQRT('Hilfstabellen_Mat&amp;Bem'!f.Rd.3/'Hilfstabellen_Mat&amp;Bem'!$BD$30)</f>
        <v>0.55132889542179198</v>
      </c>
      <c r="DV348" s="553">
        <f>0.5*(1+'Hilfstabellen_Mat&amp;Bem'!$BD$31*(DU348-0.3)+DU348^2)</f>
        <v>0.66454822023459625</v>
      </c>
      <c r="DW348" s="550">
        <f t="shared" si="339"/>
        <v>0.96564721134572118</v>
      </c>
      <c r="DY348" s="551">
        <f t="shared" si="340"/>
        <v>154503.55381531539</v>
      </c>
      <c r="EC348" s="546">
        <f t="shared" si="341"/>
        <v>400</v>
      </c>
      <c r="ED348" s="551">
        <f t="shared" si="342"/>
        <v>35.507041555161983</v>
      </c>
      <c r="EE348" s="553">
        <f>ED348/PI()*SQRT('Hilfstabellen_Mat&amp;Bem'!f.Rd.3/'Hilfstabellen_Mat&amp;Bem'!$BD$30)</f>
        <v>0.56511211780733683</v>
      </c>
      <c r="EF348" s="553">
        <f>0.5*(1+'Hilfstabellen_Mat&amp;Bem'!$BD$31*(EE348-0.3)+EE348^2)</f>
        <v>0.67293145873671356</v>
      </c>
      <c r="EG348" s="550">
        <f t="shared" si="343"/>
        <v>0.96312436839395421</v>
      </c>
      <c r="EI348" s="551">
        <f t="shared" si="344"/>
        <v>154099.89894303266</v>
      </c>
      <c r="EM348" s="546">
        <f t="shared" si="345"/>
        <v>400</v>
      </c>
      <c r="EN348" s="551">
        <f t="shared" si="346"/>
        <v>36.373066958946424</v>
      </c>
      <c r="EO348" s="553">
        <f>EN348/PI()*SQRT('Hilfstabellen_Mat&amp;Bem'!f.Rd.3/'Hilfstabellen_Mat&amp;Bem'!$BD$30)</f>
        <v>0.57889534019288169</v>
      </c>
      <c r="EP348" s="553">
        <f>0.5*(1+'Hilfstabellen_Mat&amp;Bem'!$BD$31*(EO348-0.3)+EO348^2)</f>
        <v>0.68150467445816021</v>
      </c>
      <c r="EQ348" s="550">
        <f t="shared" si="347"/>
        <v>0.96049685861977396</v>
      </c>
      <c r="ES348" s="551">
        <f t="shared" si="348"/>
        <v>153679.49737916383</v>
      </c>
    </row>
  </sheetData>
  <sheetProtection algorithmName="SHA-512" hashValue="0mVY2bXbVtw7kXQGeD2UONVBXhLwyPmAEVmb/EcANELkq9TBTKPT5iClEglF0tD6puDI/QVLNyCB5B8jz0o1mQ==" saltValue="hW8GrFRkdmiGryzGXl0mAA==" spinCount="100000" sheet="1" objects="1" scenarios="1"/>
  <pageMargins left="0.7" right="0.7" top="0.78740157499999996" bottom="0.78740157499999996"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Tabelle27">
    <tabColor rgb="FFFF9999"/>
  </sheetPr>
  <dimension ref="A4:CL350"/>
  <sheetViews>
    <sheetView topLeftCell="A223" workbookViewId="0">
      <selection activeCell="D1" sqref="D1:E2"/>
    </sheetView>
  </sheetViews>
  <sheetFormatPr baseColWidth="10" defaultColWidth="4.6640625" defaultRowHeight="15" customHeight="1"/>
  <cols>
    <col min="1" max="1" width="9" style="642" bestFit="1" customWidth="1"/>
    <col min="2" max="16" width="7" bestFit="1" customWidth="1"/>
    <col min="19" max="19" width="7" style="773" bestFit="1" customWidth="1"/>
    <col min="20" max="28" width="7" bestFit="1" customWidth="1"/>
    <col min="29" max="88" width="7" customWidth="1"/>
  </cols>
  <sheetData>
    <row r="4" spans="1:90" ht="15" customHeight="1">
      <c r="S4" s="776" t="s">
        <v>1549</v>
      </c>
    </row>
    <row r="7" spans="1:90" ht="15" customHeight="1">
      <c r="A7" s="642" t="s">
        <v>1545</v>
      </c>
      <c r="B7" s="769">
        <f ca="1">INDIRECT("'Hilfstabellen_Mat&amp;Bem'!J"&amp;(49+COLUMN()))</f>
        <v>2.8</v>
      </c>
      <c r="C7" s="769">
        <f t="shared" ref="C7:P7" ca="1" si="0">INDIRECT("'Hilfstabellen_Mat&amp;Bem'!J"&amp;(49+COLUMN()))</f>
        <v>2.9</v>
      </c>
      <c r="D7" s="769">
        <f t="shared" ca="1" si="0"/>
        <v>3</v>
      </c>
      <c r="E7" s="769">
        <f t="shared" ca="1" si="0"/>
        <v>3.1</v>
      </c>
      <c r="F7" s="769">
        <f t="shared" ca="1" si="0"/>
        <v>3.2</v>
      </c>
      <c r="G7" s="769">
        <f t="shared" ca="1" si="0"/>
        <v>3.3</v>
      </c>
      <c r="H7" s="769">
        <f t="shared" ca="1" si="0"/>
        <v>3.4</v>
      </c>
      <c r="I7" s="769">
        <f t="shared" ca="1" si="0"/>
        <v>3.5</v>
      </c>
      <c r="J7" s="769">
        <f ca="1">INDIRECT("'Hilfstabellen_Mat&amp;Bem'!J"&amp;(49+COLUMN()))</f>
        <v>3.6</v>
      </c>
      <c r="K7" s="769">
        <f t="shared" ca="1" si="0"/>
        <v>3.7</v>
      </c>
      <c r="L7" s="769">
        <f t="shared" ca="1" si="0"/>
        <v>3.8</v>
      </c>
      <c r="M7" s="769">
        <f t="shared" ca="1" si="0"/>
        <v>3.9</v>
      </c>
      <c r="N7" s="769">
        <f t="shared" ca="1" si="0"/>
        <v>4</v>
      </c>
      <c r="O7" s="769">
        <f t="shared" ca="1" si="0"/>
        <v>4.0999999999999996</v>
      </c>
      <c r="P7" s="769">
        <f t="shared" ca="1" si="0"/>
        <v>4.2</v>
      </c>
      <c r="S7" s="771">
        <f ca="1">'Hilfstabellen_Mat&amp;Bem'!D171</f>
        <v>3</v>
      </c>
      <c r="T7" s="771">
        <f ca="1">'Hilfstabellen_Mat&amp;Bem'!E171</f>
        <v>3</v>
      </c>
      <c r="U7" s="771">
        <f ca="1">'Hilfstabellen_Mat&amp;Bem'!F171</f>
        <v>3</v>
      </c>
      <c r="V7" s="771">
        <f ca="1">'Hilfstabellen_Mat&amp;Bem'!G171</f>
        <v>3.1</v>
      </c>
      <c r="W7" s="771">
        <f ca="1">'Hilfstabellen_Mat&amp;Bem'!H171</f>
        <v>3.2</v>
      </c>
      <c r="X7" s="771">
        <f ca="1">'Hilfstabellen_Mat&amp;Bem'!I171</f>
        <v>3.3000000000000003</v>
      </c>
      <c r="Y7" s="771">
        <f ca="1">'Hilfstabellen_Mat&amp;Bem'!J171</f>
        <v>3.4</v>
      </c>
      <c r="Z7" s="771">
        <f ca="1">'Hilfstabellen_Mat&amp;Bem'!K171</f>
        <v>3</v>
      </c>
      <c r="AA7" s="771">
        <f ca="1">'Hilfstabellen_Mat&amp;Bem'!L171</f>
        <v>3</v>
      </c>
      <c r="AB7" s="771">
        <f ca="1">'Hilfstabellen_Mat&amp;Bem'!M171</f>
        <v>3.1</v>
      </c>
      <c r="AC7" s="771">
        <f ca="1">'Hilfstabellen_Mat&amp;Bem'!N171</f>
        <v>3.1</v>
      </c>
      <c r="AD7" s="771">
        <f ca="1">'Hilfstabellen_Mat&amp;Bem'!O171</f>
        <v>3.2</v>
      </c>
      <c r="AE7" s="771">
        <f ca="1">'Hilfstabellen_Mat&amp;Bem'!P171</f>
        <v>3.2</v>
      </c>
      <c r="AF7" s="771">
        <f ca="1">'Hilfstabellen_Mat&amp;Bem'!Q171</f>
        <v>3.3000000000000003</v>
      </c>
      <c r="AG7" s="771">
        <f ca="1">'Hilfstabellen_Mat&amp;Bem'!R171</f>
        <v>3.3000000000000003</v>
      </c>
      <c r="AH7" s="771">
        <f ca="1">'Hilfstabellen_Mat&amp;Bem'!S171</f>
        <v>3.3000000000000003</v>
      </c>
      <c r="AI7" s="771">
        <f ca="1">'Hilfstabellen_Mat&amp;Bem'!T171</f>
        <v>3</v>
      </c>
      <c r="AJ7" s="771">
        <f ca="1">'Hilfstabellen_Mat&amp;Bem'!U171</f>
        <v>3</v>
      </c>
      <c r="AK7" s="771">
        <f ca="1">'Hilfstabellen_Mat&amp;Bem'!V171</f>
        <v>3.1</v>
      </c>
      <c r="AL7" s="771">
        <f ca="1">'Hilfstabellen_Mat&amp;Bem'!W171</f>
        <v>3.1</v>
      </c>
      <c r="AM7" s="771">
        <f ca="1">'Hilfstabellen_Mat&amp;Bem'!X171</f>
        <v>3.2</v>
      </c>
      <c r="AN7" s="771">
        <f ca="1">'Hilfstabellen_Mat&amp;Bem'!Y171</f>
        <v>3.2</v>
      </c>
      <c r="AO7" s="771">
        <f ca="1">'Hilfstabellen_Mat&amp;Bem'!Z171</f>
        <v>3.3000000000000003</v>
      </c>
      <c r="AP7" s="771">
        <f ca="1">'Hilfstabellen_Mat&amp;Bem'!AA171</f>
        <v>3.3000000000000003</v>
      </c>
      <c r="AQ7" s="771">
        <f ca="1">'Hilfstabellen_Mat&amp;Bem'!AB171</f>
        <v>3.3000000000000003</v>
      </c>
      <c r="AR7" s="771">
        <f ca="1">'Hilfstabellen_Mat&amp;Bem'!AC171</f>
        <v>3</v>
      </c>
      <c r="AS7" s="771">
        <f ca="1">'Hilfstabellen_Mat&amp;Bem'!AD171</f>
        <v>3</v>
      </c>
      <c r="AT7" s="771">
        <f ca="1">'Hilfstabellen_Mat&amp;Bem'!AE171</f>
        <v>3.1</v>
      </c>
      <c r="AU7" s="771">
        <f ca="1">'Hilfstabellen_Mat&amp;Bem'!AF171</f>
        <v>3.1</v>
      </c>
      <c r="AV7" s="771">
        <f ca="1">'Hilfstabellen_Mat&amp;Bem'!AG171</f>
        <v>3.2</v>
      </c>
      <c r="AW7" s="771">
        <f ca="1">'Hilfstabellen_Mat&amp;Bem'!AH171</f>
        <v>3.2</v>
      </c>
      <c r="AX7" s="771">
        <f ca="1">'Hilfstabellen_Mat&amp;Bem'!AI171</f>
        <v>3.3000000000000003</v>
      </c>
      <c r="AY7" s="771">
        <f ca="1">'Hilfstabellen_Mat&amp;Bem'!AJ171</f>
        <v>3.3000000000000003</v>
      </c>
      <c r="AZ7" s="771">
        <f ca="1">'Hilfstabellen_Mat&amp;Bem'!AK171</f>
        <v>3.3000000000000003</v>
      </c>
      <c r="BA7" s="771">
        <f ca="1">'Hilfstabellen_Mat&amp;Bem'!AL171</f>
        <v>3</v>
      </c>
      <c r="BB7" s="771">
        <f ca="1">'Hilfstabellen_Mat&amp;Bem'!AM171</f>
        <v>3</v>
      </c>
      <c r="BC7" s="771">
        <f ca="1">'Hilfstabellen_Mat&amp;Bem'!AN171</f>
        <v>3.1</v>
      </c>
      <c r="BD7" s="771">
        <f ca="1">'Hilfstabellen_Mat&amp;Bem'!AO171</f>
        <v>3.2</v>
      </c>
      <c r="BE7" s="771">
        <f ca="1">'Hilfstabellen_Mat&amp;Bem'!AP171</f>
        <v>3.2</v>
      </c>
      <c r="BF7" s="771">
        <f ca="1">'Hilfstabellen_Mat&amp;Bem'!AQ171</f>
        <v>3.3000000000000003</v>
      </c>
      <c r="BG7" s="771">
        <f ca="1">'Hilfstabellen_Mat&amp;Bem'!AR171</f>
        <v>3.3000000000000003</v>
      </c>
      <c r="BH7" s="771">
        <f ca="1">'Hilfstabellen_Mat&amp;Bem'!AS171</f>
        <v>3.4</v>
      </c>
      <c r="BI7" s="771">
        <f ca="1">'Hilfstabellen_Mat&amp;Bem'!AT171</f>
        <v>3.4</v>
      </c>
      <c r="BJ7" s="771">
        <f ca="1">'Hilfstabellen_Mat&amp;Bem'!AU171</f>
        <v>3.1</v>
      </c>
      <c r="BK7" s="771">
        <f ca="1">'Hilfstabellen_Mat&amp;Bem'!AV171</f>
        <v>3.1</v>
      </c>
      <c r="BL7" s="771">
        <f ca="1">'Hilfstabellen_Mat&amp;Bem'!AW171</f>
        <v>3.1</v>
      </c>
      <c r="BM7" s="771">
        <f ca="1">'Hilfstabellen_Mat&amp;Bem'!AX171</f>
        <v>3.1</v>
      </c>
      <c r="BN7" s="771">
        <f ca="1">'Hilfstabellen_Mat&amp;Bem'!AY171</f>
        <v>3.3000000000000003</v>
      </c>
      <c r="BO7" s="771">
        <f ca="1">'Hilfstabellen_Mat&amp;Bem'!AZ171</f>
        <v>3.3000000000000003</v>
      </c>
      <c r="BP7" s="771">
        <f ca="1">'Hilfstabellen_Mat&amp;Bem'!BA171</f>
        <v>3.4</v>
      </c>
      <c r="BQ7" s="771">
        <f ca="1">'Hilfstabellen_Mat&amp;Bem'!BB171</f>
        <v>3.4</v>
      </c>
      <c r="BR7" s="771">
        <f ca="1">'Hilfstabellen_Mat&amp;Bem'!BC171</f>
        <v>3.5</v>
      </c>
      <c r="BS7" s="771">
        <f ca="1">'Hilfstabellen_Mat&amp;Bem'!BD171</f>
        <v>3.1</v>
      </c>
      <c r="BT7" s="771">
        <f ca="1">'Hilfstabellen_Mat&amp;Bem'!BE171</f>
        <v>3.1</v>
      </c>
      <c r="BU7" s="771">
        <f ca="1">'Hilfstabellen_Mat&amp;Bem'!BF171</f>
        <v>3.1</v>
      </c>
      <c r="BV7" s="771">
        <f ca="1">'Hilfstabellen_Mat&amp;Bem'!BG171</f>
        <v>3.2</v>
      </c>
      <c r="BW7" s="771">
        <f ca="1">'Hilfstabellen_Mat&amp;Bem'!BH171</f>
        <v>3.2</v>
      </c>
      <c r="BX7" s="771">
        <f ca="1">'Hilfstabellen_Mat&amp;Bem'!BI171</f>
        <v>3.4</v>
      </c>
      <c r="BY7" s="771">
        <f ca="1">'Hilfstabellen_Mat&amp;Bem'!BJ171</f>
        <v>3.4</v>
      </c>
      <c r="BZ7" s="771">
        <f ca="1">'Hilfstabellen_Mat&amp;Bem'!BK171</f>
        <v>3.5</v>
      </c>
      <c r="CA7" s="771">
        <f ca="1">'Hilfstabellen_Mat&amp;Bem'!BL171</f>
        <v>3.5</v>
      </c>
      <c r="CB7" s="771">
        <f ca="1">'Hilfstabellen_Mat&amp;Bem'!BM171</f>
        <v>3.2</v>
      </c>
      <c r="CC7" s="771">
        <f ca="1">'Hilfstabellen_Mat&amp;Bem'!BN171</f>
        <v>3.2</v>
      </c>
      <c r="CD7" s="771">
        <f ca="1">'Hilfstabellen_Mat&amp;Bem'!BO171</f>
        <v>3.2</v>
      </c>
      <c r="CE7" s="771">
        <f ca="1">'Hilfstabellen_Mat&amp;Bem'!BP171</f>
        <v>3.2</v>
      </c>
      <c r="CF7" s="771">
        <f ca="1">'Hilfstabellen_Mat&amp;Bem'!BQ171</f>
        <v>3.3000000000000003</v>
      </c>
      <c r="CG7" s="771">
        <f ca="1">'Hilfstabellen_Mat&amp;Bem'!BR171</f>
        <v>3.4</v>
      </c>
      <c r="CH7" s="771">
        <f ca="1">'Hilfstabellen_Mat&amp;Bem'!BS171</f>
        <v>3.5</v>
      </c>
      <c r="CI7" s="771">
        <f ca="1">'Hilfstabellen_Mat&amp;Bem'!BT171</f>
        <v>3.5</v>
      </c>
      <c r="CJ7" s="771">
        <f ca="1">'Hilfstabellen_Mat&amp;Bem'!BU171</f>
        <v>3.6</v>
      </c>
      <c r="CK7" s="771"/>
      <c r="CL7" s="771"/>
    </row>
    <row r="8" spans="1:90" ht="15" customHeight="1">
      <c r="A8" s="770">
        <f>'kc-Wert für Stützen'!C8</f>
        <v>60</v>
      </c>
      <c r="B8" s="768">
        <f ca="1">INDIRECT("'kc-Wert für Stützen'!"&amp;SUBSTITUTE(ADDRESS(MATCH($A8,'kc-Wert für Stützen'!$C:$C,0),MATCH(B$7,'kc-Wert für Stützen'!$A$8:$ES$8,0)+7,4),,))</f>
        <v>522.83365476613062</v>
      </c>
      <c r="C8" s="768">
        <f ca="1">INDIRECT("'kc-Wert für Stützen'!"&amp;SUBSTITUTE(ADDRESS(MATCH($A8,'kc-Wert für Stützen'!$C:$C,0),MATCH(C$7,'kc-Wert für Stützen'!$A$8:$ES$8,0)+7,4),,))</f>
        <v>488.1687521754356</v>
      </c>
      <c r="D8" s="768">
        <f ca="1">INDIRECT("'kc-Wert für Stützen'!"&amp;SUBSTITUTE(ADDRESS(MATCH($A8,'kc-Wert für Stützen'!$C:$C,0),MATCH(D$7,'kc-Wert für Stützen'!$A$8:$ES$8,0)+7,4),,))</f>
        <v>456.8262468851367</v>
      </c>
      <c r="E8" s="768">
        <f ca="1">INDIRECT("'kc-Wert für Stützen'!"&amp;SUBSTITUTE(ADDRESS(MATCH($A8,'kc-Wert für Stützen'!$C:$C,0),MATCH(E$7,'kc-Wert für Stützen'!$A$8:$ES$8,0)+7,4),,))</f>
        <v>428.39725808764024</v>
      </c>
      <c r="F8" s="768">
        <f ca="1">INDIRECT("'kc-Wert für Stützen'!"&amp;SUBSTITUTE(ADDRESS(MATCH($A8,'kc-Wert für Stützen'!$C:$C,0),MATCH(F$7,'kc-Wert für Stützen'!$A$8:$ES$8,0)+7,4),,))</f>
        <v>402.53340973315028</v>
      </c>
      <c r="G8" s="768">
        <f ca="1">INDIRECT("'kc-Wert für Stützen'!"&amp;SUBSTITUTE(ADDRESS(MATCH($A8,'kc-Wert für Stützen'!$C:$C,0),MATCH(G$7,'kc-Wert für Stützen'!$A$8:$ES$8,0)+7,4),,))</f>
        <v>378.93651528184455</v>
      </c>
      <c r="H8" s="768">
        <f ca="1">INDIRECT("'kc-Wert für Stützen'!"&amp;SUBSTITUTE(ADDRESS(MATCH($A8,'kc-Wert für Stützen'!$C:$C,0),MATCH(H$7,'kc-Wert für Stützen'!$A$8:$ES$8,0)+7,4),,))</f>
        <v>357.35022638245738</v>
      </c>
      <c r="I8" s="768">
        <f ca="1">INDIRECT("'kc-Wert für Stützen'!"&amp;SUBSTITUTE(ADDRESS(MATCH($A8,'kc-Wert für Stützen'!$C:$C,0),MATCH(I$7,'kc-Wert für Stützen'!$A$8:$ES$8,0)+7,4),,))</f>
        <v>337.55323840371813</v>
      </c>
      <c r="J8" s="768">
        <f ca="1">INDIRECT("'kc-Wert für Stützen'!"&amp;SUBSTITUTE(ADDRESS(MATCH($A8,'kc-Wert für Stützen'!$C:$C,0),MATCH(J$7,'kc-Wert für Stützen'!$A$8:$ES$8,0)+7,4),,))</f>
        <v>319.35373544604727</v>
      </c>
      <c r="K8" s="768">
        <f ca="1">INDIRECT("'kc-Wert für Stützen'!"&amp;SUBSTITUTE(ADDRESS(MATCH($A8,'kc-Wert für Stützen'!$C:$C,0),MATCH(K$7,'kc-Wert für Stützen'!$A$8:$ES$8,0)+7,4),,))</f>
        <v>302.58482670142041</v>
      </c>
      <c r="L8" s="768">
        <f ca="1">INDIRECT("'kc-Wert für Stützen'!"&amp;SUBSTITUTE(ADDRESS(MATCH($A8,'kc-Wert für Stützen'!$C:$C,0),MATCH(L$7,'kc-Wert für Stützen'!$A$8:$ES$8,0)+7,4),,))</f>
        <v>287.10077945844682</v>
      </c>
      <c r="M8" s="768">
        <f ca="1">INDIRECT("'kc-Wert für Stützen'!"&amp;SUBSTITUTE(ADDRESS(MATCH($A8,'kc-Wert für Stützen'!$C:$C,0),MATCH(M$7,'kc-Wert für Stützen'!$A$8:$ES$8,0)+7,4),,))</f>
        <v>272.77389534229548</v>
      </c>
      <c r="N8" s="768">
        <f ca="1">INDIRECT("'kc-Wert für Stützen'!"&amp;SUBSTITUTE(ADDRESS(MATCH($A8,'kc-Wert für Stützen'!$C:$C,0),MATCH(N$7,'kc-Wert für Stützen'!$A$8:$ES$8,0)+7,4),,))</f>
        <v>259.49190837982133</v>
      </c>
      <c r="O8" s="768">
        <f ca="1">INDIRECT("'kc-Wert für Stützen'!"&amp;SUBSTITUTE(ADDRESS(MATCH($A8,'kc-Wert für Stützen'!$C:$C,0),MATCH(O$7,'kc-Wert für Stützen'!$A$8:$ES$8,0)+7,4),,))</f>
        <v>247.15580836695102</v>
      </c>
      <c r="P8" s="768">
        <f ca="1">INDIRECT("'kc-Wert für Stützen'!"&amp;SUBSTITUTE(ADDRESS(MATCH($A8,'kc-Wert für Stützen'!$C:$C,0),MATCH(P$7,'kc-Wert für Stützen'!$A$8:$ES$8,0)+7,4),,))</f>
        <v>235.6780124464959</v>
      </c>
      <c r="S8" s="772">
        <f ca="1">HLOOKUP(S$7,$A$7:$P$348,ROW()-6)</f>
        <v>456.8262468851367</v>
      </c>
      <c r="T8" s="772">
        <f t="shared" ref="T8:AI23" ca="1" si="1">HLOOKUP(T$7,$A$7:$P$348,ROW()-6)</f>
        <v>456.8262468851367</v>
      </c>
      <c r="U8" s="772">
        <f t="shared" ca="1" si="1"/>
        <v>456.8262468851367</v>
      </c>
      <c r="V8" s="772">
        <f t="shared" ca="1" si="1"/>
        <v>428.39725808764024</v>
      </c>
      <c r="W8" s="772">
        <f t="shared" ca="1" si="1"/>
        <v>402.53340973315028</v>
      </c>
      <c r="X8" s="772">
        <f t="shared" ca="1" si="1"/>
        <v>378.93651528184455</v>
      </c>
      <c r="Y8" s="772">
        <f t="shared" ca="1" si="1"/>
        <v>357.35022638245738</v>
      </c>
      <c r="Z8" s="772">
        <f t="shared" ca="1" si="1"/>
        <v>456.8262468851367</v>
      </c>
      <c r="AA8" s="772">
        <f t="shared" ca="1" si="1"/>
        <v>456.8262468851367</v>
      </c>
      <c r="AB8" s="772">
        <f ca="1">HLOOKUP(AB$7,$A$7:$P$348,ROW()-6)</f>
        <v>428.39725808764024</v>
      </c>
      <c r="AC8" s="772">
        <f t="shared" ref="AC8:CJ12" ca="1" si="2">HLOOKUP(AC$7,$A$7:$P$348,ROW()-6)</f>
        <v>428.39725808764024</v>
      </c>
      <c r="AD8" s="772">
        <f t="shared" ca="1" si="2"/>
        <v>402.53340973315028</v>
      </c>
      <c r="AE8" s="772">
        <f t="shared" ca="1" si="2"/>
        <v>402.53340973315028</v>
      </c>
      <c r="AF8" s="772">
        <f t="shared" ca="1" si="2"/>
        <v>378.93651528184455</v>
      </c>
      <c r="AG8" s="772">
        <f t="shared" ca="1" si="2"/>
        <v>378.93651528184455</v>
      </c>
      <c r="AH8" s="772">
        <f t="shared" ca="1" si="2"/>
        <v>378.93651528184455</v>
      </c>
      <c r="AI8" s="772">
        <f t="shared" ca="1" si="2"/>
        <v>456.8262468851367</v>
      </c>
      <c r="AJ8" s="772">
        <f t="shared" ca="1" si="2"/>
        <v>456.8262468851367</v>
      </c>
      <c r="AK8" s="772">
        <f t="shared" ca="1" si="2"/>
        <v>428.39725808764024</v>
      </c>
      <c r="AL8" s="772">
        <f t="shared" ca="1" si="2"/>
        <v>428.39725808764024</v>
      </c>
      <c r="AM8" s="772">
        <f t="shared" ca="1" si="2"/>
        <v>402.53340973315028</v>
      </c>
      <c r="AN8" s="772">
        <f t="shared" ca="1" si="2"/>
        <v>402.53340973315028</v>
      </c>
      <c r="AO8" s="772">
        <f t="shared" ca="1" si="2"/>
        <v>378.93651528184455</v>
      </c>
      <c r="AP8" s="772">
        <f t="shared" ca="1" si="2"/>
        <v>378.93651528184455</v>
      </c>
      <c r="AQ8" s="772">
        <f t="shared" ca="1" si="2"/>
        <v>378.93651528184455</v>
      </c>
      <c r="AR8" s="772">
        <f t="shared" ca="1" si="2"/>
        <v>456.8262468851367</v>
      </c>
      <c r="AS8" s="772">
        <f t="shared" ca="1" si="2"/>
        <v>456.8262468851367</v>
      </c>
      <c r="AT8" s="772">
        <f t="shared" ca="1" si="2"/>
        <v>428.39725808764024</v>
      </c>
      <c r="AU8" s="772">
        <f t="shared" ca="1" si="2"/>
        <v>428.39725808764024</v>
      </c>
      <c r="AV8" s="772">
        <f t="shared" ca="1" si="2"/>
        <v>402.53340973315028</v>
      </c>
      <c r="AW8" s="772">
        <f t="shared" ca="1" si="2"/>
        <v>402.53340973315028</v>
      </c>
      <c r="AX8" s="772">
        <f t="shared" ca="1" si="2"/>
        <v>378.93651528184455</v>
      </c>
      <c r="AY8" s="772">
        <f t="shared" ca="1" si="2"/>
        <v>378.93651528184455</v>
      </c>
      <c r="AZ8" s="772">
        <f t="shared" ca="1" si="2"/>
        <v>378.93651528184455</v>
      </c>
      <c r="BA8" s="772">
        <f t="shared" ca="1" si="2"/>
        <v>456.8262468851367</v>
      </c>
      <c r="BB8" s="772">
        <f t="shared" ca="1" si="2"/>
        <v>456.8262468851367</v>
      </c>
      <c r="BC8" s="772">
        <f t="shared" ca="1" si="2"/>
        <v>428.39725808764024</v>
      </c>
      <c r="BD8" s="772">
        <f t="shared" ca="1" si="2"/>
        <v>402.53340973315028</v>
      </c>
      <c r="BE8" s="772">
        <f t="shared" ca="1" si="2"/>
        <v>402.53340973315028</v>
      </c>
      <c r="BF8" s="772">
        <f t="shared" ca="1" si="2"/>
        <v>378.93651528184455</v>
      </c>
      <c r="BG8" s="772">
        <f t="shared" ca="1" si="2"/>
        <v>378.93651528184455</v>
      </c>
      <c r="BH8" s="772">
        <f t="shared" ca="1" si="2"/>
        <v>357.35022638245738</v>
      </c>
      <c r="BI8" s="772">
        <f t="shared" ca="1" si="2"/>
        <v>357.35022638245738</v>
      </c>
      <c r="BJ8" s="772">
        <f t="shared" ca="1" si="2"/>
        <v>428.39725808764024</v>
      </c>
      <c r="BK8" s="772">
        <f t="shared" ca="1" si="2"/>
        <v>428.39725808764024</v>
      </c>
      <c r="BL8" s="772">
        <f t="shared" ca="1" si="2"/>
        <v>428.39725808764024</v>
      </c>
      <c r="BM8" s="772">
        <f t="shared" ca="1" si="2"/>
        <v>428.39725808764024</v>
      </c>
      <c r="BN8" s="772">
        <f t="shared" ca="1" si="2"/>
        <v>378.93651528184455</v>
      </c>
      <c r="BO8" s="772">
        <f t="shared" ca="1" si="2"/>
        <v>378.93651528184455</v>
      </c>
      <c r="BP8" s="772">
        <f t="shared" ca="1" si="2"/>
        <v>357.35022638245738</v>
      </c>
      <c r="BQ8" s="772">
        <f t="shared" ca="1" si="2"/>
        <v>357.35022638245738</v>
      </c>
      <c r="BR8" s="772">
        <f t="shared" ca="1" si="2"/>
        <v>337.55323840371813</v>
      </c>
      <c r="BS8" s="772">
        <f t="shared" ca="1" si="2"/>
        <v>428.39725808764024</v>
      </c>
      <c r="BT8" s="772">
        <f t="shared" ca="1" si="2"/>
        <v>428.39725808764024</v>
      </c>
      <c r="BU8" s="772">
        <f t="shared" ca="1" si="2"/>
        <v>428.39725808764024</v>
      </c>
      <c r="BV8" s="772">
        <f t="shared" ca="1" si="2"/>
        <v>402.53340973315028</v>
      </c>
      <c r="BW8" s="772">
        <f t="shared" ca="1" si="2"/>
        <v>402.53340973315028</v>
      </c>
      <c r="BX8" s="772">
        <f t="shared" ca="1" si="2"/>
        <v>357.35022638245738</v>
      </c>
      <c r="BY8" s="772">
        <f t="shared" ca="1" si="2"/>
        <v>357.35022638245738</v>
      </c>
      <c r="BZ8" s="772">
        <f t="shared" ca="1" si="2"/>
        <v>337.55323840371813</v>
      </c>
      <c r="CA8" s="772">
        <f t="shared" ca="1" si="2"/>
        <v>337.55323840371813</v>
      </c>
      <c r="CB8" s="772">
        <f t="shared" ca="1" si="2"/>
        <v>402.53340973315028</v>
      </c>
      <c r="CC8" s="772">
        <f t="shared" ca="1" si="2"/>
        <v>402.53340973315028</v>
      </c>
      <c r="CD8" s="772">
        <f t="shared" ca="1" si="2"/>
        <v>402.53340973315028</v>
      </c>
      <c r="CE8" s="772">
        <f t="shared" ca="1" si="2"/>
        <v>402.53340973315028</v>
      </c>
      <c r="CF8" s="772">
        <f t="shared" ca="1" si="2"/>
        <v>378.93651528184455</v>
      </c>
      <c r="CG8" s="772">
        <f t="shared" ca="1" si="2"/>
        <v>357.35022638245738</v>
      </c>
      <c r="CH8" s="772">
        <f t="shared" ca="1" si="2"/>
        <v>337.55323840371813</v>
      </c>
      <c r="CI8" s="772">
        <f t="shared" ca="1" si="2"/>
        <v>337.55323840371813</v>
      </c>
      <c r="CJ8" s="772">
        <f t="shared" ca="1" si="2"/>
        <v>319.35373544604727</v>
      </c>
    </row>
    <row r="9" spans="1:90" ht="15" customHeight="1">
      <c r="A9" s="770">
        <f>'kc-Wert für Stützen'!C9</f>
        <v>61</v>
      </c>
      <c r="B9" s="768">
        <f ca="1">INDIRECT("'kc-Wert für Stützen'!"&amp;SUBSTITUTE(ADDRESS(MATCH($A9,'kc-Wert für Stützen'!$C:$C,0),MATCH(B$7,'kc-Wert für Stützen'!$A$8:$ES$8,0)+7,4),,))</f>
        <v>558.13674800710248</v>
      </c>
      <c r="C9" s="768">
        <f ca="1">INDIRECT("'kc-Wert für Stützen'!"&amp;SUBSTITUTE(ADDRESS(MATCH($A9,'kc-Wert für Stützen'!$C:$C,0),MATCH(C$7,'kc-Wert für Stützen'!$A$8:$ES$8,0)+7,4),,))</f>
        <v>521.15375351638261</v>
      </c>
      <c r="D9" s="768">
        <f ca="1">INDIRECT("'kc-Wert für Stützen'!"&amp;SUBSTITUTE(ADDRESS(MATCH($A9,'kc-Wert für Stützen'!$C:$C,0),MATCH(D$7,'kc-Wert für Stützen'!$A$8:$ES$8,0)+7,4),,))</f>
        <v>487.71213878303558</v>
      </c>
      <c r="E9" s="768">
        <f ca="1">INDIRECT("'kc-Wert für Stützen'!"&amp;SUBSTITUTE(ADDRESS(MATCH($A9,'kc-Wert für Stützen'!$C:$C,0),MATCH(E$7,'kc-Wert für Stützen'!$A$8:$ES$8,0)+7,4),,))</f>
        <v>457.37665883606167</v>
      </c>
      <c r="F9" s="768">
        <f ca="1">INDIRECT("'kc-Wert für Stützen'!"&amp;SUBSTITUTE(ADDRESS(MATCH($A9,'kc-Wert für Stützen'!$C:$C,0),MATCH(F$7,'kc-Wert für Stützen'!$A$8:$ES$8,0)+7,4),,))</f>
        <v>429.7763455034156</v>
      </c>
      <c r="G9" s="768">
        <f ca="1">INDIRECT("'kc-Wert für Stützen'!"&amp;SUBSTITUTE(ADDRESS(MATCH($A9,'kc-Wert für Stützen'!$C:$C,0),MATCH(G$7,'kc-Wert für Stützen'!$A$8:$ES$8,0)+7,4),,))</f>
        <v>404.59358196529598</v>
      </c>
      <c r="H9" s="768">
        <f ca="1">INDIRECT("'kc-Wert für Stützen'!"&amp;SUBSTITUTE(ADDRESS(MATCH($A9,'kc-Wert für Stützen'!$C:$C,0),MATCH(H$7,'kc-Wert für Stützen'!$A$8:$ES$8,0)+7,4),,))</f>
        <v>381.55524800410211</v>
      </c>
      <c r="I9" s="768">
        <f ca="1">INDIRECT("'kc-Wert für Stützen'!"&amp;SUBSTITUTE(ADDRESS(MATCH($A9,'kc-Wert für Stützen'!$C:$C,0),MATCH(I$7,'kc-Wert für Stützen'!$A$8:$ES$8,0)+7,4),,))</f>
        <v>360.42550972492364</v>
      </c>
      <c r="J9" s="768">
        <f ca="1">INDIRECT("'kc-Wert für Stützen'!"&amp;SUBSTITUTE(ADDRESS(MATCH($A9,'kc-Wert für Stützen'!$C:$C,0),MATCH(J$7,'kc-Wert für Stützen'!$A$8:$ES$8,0)+7,4),,))</f>
        <v>340.99992040666183</v>
      </c>
      <c r="K9" s="768">
        <f ca="1">INDIRECT("'kc-Wert für Stützen'!"&amp;SUBSTITUTE(ADDRESS(MATCH($A9,'kc-Wert für Stützen'!$C:$C,0),MATCH(K$7,'kc-Wert für Stützen'!$A$8:$ES$8,0)+7,4),,))</f>
        <v>323.10057123718474</v>
      </c>
      <c r="L9" s="768">
        <f ca="1">INDIRECT("'kc-Wert für Stützen'!"&amp;SUBSTITUTE(ADDRESS(MATCH($A9,'kc-Wert für Stützen'!$C:$C,0),MATCH(L$7,'kc-Wert für Stützen'!$A$8:$ES$8,0)+7,4),,))</f>
        <v>306.57208654551431</v>
      </c>
      <c r="M9" s="768">
        <f ca="1">INDIRECT("'kc-Wert für Stützen'!"&amp;SUBSTITUTE(ADDRESS(MATCH($A9,'kc-Wert für Stützen'!$C:$C,0),MATCH(M$7,'kc-Wert für Stützen'!$A$8:$ES$8,0)+7,4),,))</f>
        <v>291.27830145202017</v>
      </c>
      <c r="N9" s="768">
        <f ca="1">INDIRECT("'kc-Wert für Stützen'!"&amp;SUBSTITUTE(ADDRESS(MATCH($A9,'kc-Wert für Stützen'!$C:$C,0),MATCH(N$7,'kc-Wert für Stützen'!$A$8:$ES$8,0)+7,4),,))</f>
        <v>277.09949350403366</v>
      </c>
      <c r="O9" s="768">
        <f ca="1">INDIRECT("'kc-Wert für Stützen'!"&amp;SUBSTITUTE(ADDRESS(MATCH($A9,'kc-Wert für Stützen'!$C:$C,0),MATCH(O$7,'kc-Wert für Stützen'!$A$8:$ES$8,0)+7,4),,))</f>
        <v>263.93006608333729</v>
      </c>
      <c r="P9" s="768">
        <f ca="1">INDIRECT("'kc-Wert für Stützen'!"&amp;SUBSTITUTE(ADDRESS(MATCH($A9,'kc-Wert für Stützen'!$C:$C,0),MATCH(P$7,'kc-Wert für Stützen'!$A$8:$ES$8,0)+7,4),,))</f>
        <v>251.67660187680124</v>
      </c>
      <c r="S9" s="772">
        <f t="shared" ref="S9:AA47" ca="1" si="3">HLOOKUP(S$7,$A$7:$P$348,ROW()-6)</f>
        <v>487.71213878303558</v>
      </c>
      <c r="T9" s="772">
        <f t="shared" ca="1" si="1"/>
        <v>487.71213878303558</v>
      </c>
      <c r="U9" s="772">
        <f t="shared" ca="1" si="1"/>
        <v>487.71213878303558</v>
      </c>
      <c r="V9" s="772">
        <f t="shared" ca="1" si="1"/>
        <v>457.37665883606167</v>
      </c>
      <c r="W9" s="772">
        <f t="shared" ca="1" si="1"/>
        <v>429.7763455034156</v>
      </c>
      <c r="X9" s="772">
        <f t="shared" ca="1" si="1"/>
        <v>404.59358196529598</v>
      </c>
      <c r="Y9" s="772">
        <f t="shared" ca="1" si="1"/>
        <v>381.55524800410211</v>
      </c>
      <c r="Z9" s="772">
        <f t="shared" ca="1" si="1"/>
        <v>487.71213878303558</v>
      </c>
      <c r="AA9" s="772">
        <f t="shared" ca="1" si="1"/>
        <v>487.71213878303558</v>
      </c>
      <c r="AB9" s="772">
        <f t="shared" ca="1" si="1"/>
        <v>457.37665883606167</v>
      </c>
      <c r="AC9" s="772">
        <f t="shared" ca="1" si="2"/>
        <v>457.37665883606167</v>
      </c>
      <c r="AD9" s="772">
        <f t="shared" ca="1" si="2"/>
        <v>429.7763455034156</v>
      </c>
      <c r="AE9" s="772">
        <f t="shared" ca="1" si="2"/>
        <v>429.7763455034156</v>
      </c>
      <c r="AF9" s="772">
        <f t="shared" ca="1" si="2"/>
        <v>404.59358196529598</v>
      </c>
      <c r="AG9" s="772">
        <f t="shared" ca="1" si="2"/>
        <v>404.59358196529598</v>
      </c>
      <c r="AH9" s="772">
        <f t="shared" ca="1" si="2"/>
        <v>404.59358196529598</v>
      </c>
      <c r="AI9" s="772">
        <f t="shared" ca="1" si="2"/>
        <v>487.71213878303558</v>
      </c>
      <c r="AJ9" s="772">
        <f t="shared" ca="1" si="2"/>
        <v>487.71213878303558</v>
      </c>
      <c r="AK9" s="772">
        <f t="shared" ca="1" si="2"/>
        <v>457.37665883606167</v>
      </c>
      <c r="AL9" s="772">
        <f t="shared" ca="1" si="2"/>
        <v>457.37665883606167</v>
      </c>
      <c r="AM9" s="772">
        <f t="shared" ca="1" si="2"/>
        <v>429.7763455034156</v>
      </c>
      <c r="AN9" s="772">
        <f t="shared" ca="1" si="2"/>
        <v>429.7763455034156</v>
      </c>
      <c r="AO9" s="772">
        <f t="shared" ca="1" si="2"/>
        <v>404.59358196529598</v>
      </c>
      <c r="AP9" s="772">
        <f t="shared" ca="1" si="2"/>
        <v>404.59358196529598</v>
      </c>
      <c r="AQ9" s="772">
        <f t="shared" ca="1" si="2"/>
        <v>404.59358196529598</v>
      </c>
      <c r="AR9" s="772">
        <f t="shared" ca="1" si="2"/>
        <v>487.71213878303558</v>
      </c>
      <c r="AS9" s="772">
        <f t="shared" ca="1" si="2"/>
        <v>487.71213878303558</v>
      </c>
      <c r="AT9" s="772">
        <f t="shared" ca="1" si="2"/>
        <v>457.37665883606167</v>
      </c>
      <c r="AU9" s="772">
        <f t="shared" ca="1" si="2"/>
        <v>457.37665883606167</v>
      </c>
      <c r="AV9" s="772">
        <f t="shared" ca="1" si="2"/>
        <v>429.7763455034156</v>
      </c>
      <c r="AW9" s="772">
        <f t="shared" ca="1" si="2"/>
        <v>429.7763455034156</v>
      </c>
      <c r="AX9" s="772">
        <f t="shared" ca="1" si="2"/>
        <v>404.59358196529598</v>
      </c>
      <c r="AY9" s="772">
        <f t="shared" ca="1" si="2"/>
        <v>404.59358196529598</v>
      </c>
      <c r="AZ9" s="772">
        <f t="shared" ca="1" si="2"/>
        <v>404.59358196529598</v>
      </c>
      <c r="BA9" s="772">
        <f t="shared" ca="1" si="2"/>
        <v>487.71213878303558</v>
      </c>
      <c r="BB9" s="772">
        <f t="shared" ca="1" si="2"/>
        <v>487.71213878303558</v>
      </c>
      <c r="BC9" s="772">
        <f t="shared" ca="1" si="2"/>
        <v>457.37665883606167</v>
      </c>
      <c r="BD9" s="772">
        <f t="shared" ca="1" si="2"/>
        <v>429.7763455034156</v>
      </c>
      <c r="BE9" s="772">
        <f t="shared" ca="1" si="2"/>
        <v>429.7763455034156</v>
      </c>
      <c r="BF9" s="772">
        <f t="shared" ca="1" si="2"/>
        <v>404.59358196529598</v>
      </c>
      <c r="BG9" s="772">
        <f t="shared" ca="1" si="2"/>
        <v>404.59358196529598</v>
      </c>
      <c r="BH9" s="772">
        <f t="shared" ca="1" si="2"/>
        <v>381.55524800410211</v>
      </c>
      <c r="BI9" s="772">
        <f t="shared" ca="1" si="2"/>
        <v>381.55524800410211</v>
      </c>
      <c r="BJ9" s="772">
        <f t="shared" ca="1" si="2"/>
        <v>457.37665883606167</v>
      </c>
      <c r="BK9" s="772">
        <f t="shared" ca="1" si="2"/>
        <v>457.37665883606167</v>
      </c>
      <c r="BL9" s="772">
        <f t="shared" ca="1" si="2"/>
        <v>457.37665883606167</v>
      </c>
      <c r="BM9" s="772">
        <f t="shared" ca="1" si="2"/>
        <v>457.37665883606167</v>
      </c>
      <c r="BN9" s="772">
        <f t="shared" ca="1" si="2"/>
        <v>404.59358196529598</v>
      </c>
      <c r="BO9" s="772">
        <f t="shared" ca="1" si="2"/>
        <v>404.59358196529598</v>
      </c>
      <c r="BP9" s="772">
        <f t="shared" ca="1" si="2"/>
        <v>381.55524800410211</v>
      </c>
      <c r="BQ9" s="772">
        <f t="shared" ca="1" si="2"/>
        <v>381.55524800410211</v>
      </c>
      <c r="BR9" s="772">
        <f t="shared" ca="1" si="2"/>
        <v>360.42550972492364</v>
      </c>
      <c r="BS9" s="772">
        <f t="shared" ca="1" si="2"/>
        <v>457.37665883606167</v>
      </c>
      <c r="BT9" s="772">
        <f t="shared" ca="1" si="2"/>
        <v>457.37665883606167</v>
      </c>
      <c r="BU9" s="772">
        <f t="shared" ca="1" si="2"/>
        <v>457.37665883606167</v>
      </c>
      <c r="BV9" s="772">
        <f t="shared" ca="1" si="2"/>
        <v>429.7763455034156</v>
      </c>
      <c r="BW9" s="772">
        <f t="shared" ca="1" si="2"/>
        <v>429.7763455034156</v>
      </c>
      <c r="BX9" s="772">
        <f t="shared" ca="1" si="2"/>
        <v>381.55524800410211</v>
      </c>
      <c r="BY9" s="772">
        <f t="shared" ca="1" si="2"/>
        <v>381.55524800410211</v>
      </c>
      <c r="BZ9" s="772">
        <f t="shared" ca="1" si="2"/>
        <v>360.42550972492364</v>
      </c>
      <c r="CA9" s="772">
        <f t="shared" ca="1" si="2"/>
        <v>360.42550972492364</v>
      </c>
      <c r="CB9" s="772">
        <f t="shared" ca="1" si="2"/>
        <v>429.7763455034156</v>
      </c>
      <c r="CC9" s="772">
        <f t="shared" ca="1" si="2"/>
        <v>429.7763455034156</v>
      </c>
      <c r="CD9" s="772">
        <f t="shared" ca="1" si="2"/>
        <v>429.7763455034156</v>
      </c>
      <c r="CE9" s="772">
        <f t="shared" ca="1" si="2"/>
        <v>429.7763455034156</v>
      </c>
      <c r="CF9" s="772">
        <f t="shared" ca="1" si="2"/>
        <v>404.59358196529598</v>
      </c>
      <c r="CG9" s="772">
        <f t="shared" ca="1" si="2"/>
        <v>381.55524800410211</v>
      </c>
      <c r="CH9" s="772">
        <f t="shared" ca="1" si="2"/>
        <v>360.42550972492364</v>
      </c>
      <c r="CI9" s="772">
        <f t="shared" ca="1" si="2"/>
        <v>360.42550972492364</v>
      </c>
      <c r="CJ9" s="772">
        <f t="shared" ca="1" si="2"/>
        <v>340.99992040666183</v>
      </c>
    </row>
    <row r="10" spans="1:90" ht="15" customHeight="1">
      <c r="A10" s="770">
        <f>'kc-Wert für Stützen'!C10</f>
        <v>62</v>
      </c>
      <c r="B10" s="768">
        <f ca="1">INDIRECT("'kc-Wert für Stützen'!"&amp;SUBSTITUTE(ADDRESS(MATCH($A10,'kc-Wert für Stützen'!$C:$C,0),MATCH(B$7,'kc-Wert für Stützen'!$A$8:$ES$8,0)+7,4),,))</f>
        <v>595.17818720008665</v>
      </c>
      <c r="C10" s="768">
        <f ca="1">INDIRECT("'kc-Wert für Stützen'!"&amp;SUBSTITUTE(ADDRESS(MATCH($A10,'kc-Wert für Stützen'!$C:$C,0),MATCH(C$7,'kc-Wert für Stützen'!$A$8:$ES$8,0)+7,4),,))</f>
        <v>555.76550580067646</v>
      </c>
      <c r="D10" s="768">
        <f ca="1">INDIRECT("'kc-Wert für Stützen'!"&amp;SUBSTITUTE(ADDRESS(MATCH($A10,'kc-Wert für Stützen'!$C:$C,0),MATCH(D$7,'kc-Wert für Stützen'!$A$8:$ES$8,0)+7,4),,))</f>
        <v>520.12333226728117</v>
      </c>
      <c r="E10" s="768">
        <f ca="1">INDIRECT("'kc-Wert für Stützen'!"&amp;SUBSTITUTE(ADDRESS(MATCH($A10,'kc-Wert für Stützen'!$C:$C,0),MATCH(E$7,'kc-Wert für Stützen'!$A$8:$ES$8,0)+7,4),,))</f>
        <v>487.78891472957372</v>
      </c>
      <c r="F10" s="768">
        <f ca="1">INDIRECT("'kc-Wert für Stützen'!"&amp;SUBSTITUTE(ADDRESS(MATCH($A10,'kc-Wert für Stützen'!$C:$C,0),MATCH(F$7,'kc-Wert für Stützen'!$A$8:$ES$8,0)+7,4),,))</f>
        <v>458.36769496877162</v>
      </c>
      <c r="G10" s="768">
        <f ca="1">INDIRECT("'kc-Wert für Stützen'!"&amp;SUBSTITUTE(ADDRESS(MATCH($A10,'kc-Wert für Stützen'!$C:$C,0),MATCH(G$7,'kc-Wert für Stützen'!$A$8:$ES$8,0)+7,4),,))</f>
        <v>431.52175446558016</v>
      </c>
      <c r="H10" s="768">
        <f ca="1">INDIRECT("'kc-Wert für Stützen'!"&amp;SUBSTITUTE(ADDRESS(MATCH($A10,'kc-Wert für Stützen'!$C:$C,0),MATCH(H$7,'kc-Wert für Stützen'!$A$8:$ES$8,0)+7,4),,))</f>
        <v>406.96043952437452</v>
      </c>
      <c r="I10" s="768">
        <f ca="1">INDIRECT("'kc-Wert für Stützen'!"&amp;SUBSTITUTE(ADDRESS(MATCH($A10,'kc-Wert für Stützen'!$C:$C,0),MATCH(I$7,'kc-Wert für Stützen'!$A$8:$ES$8,0)+7,4),,))</f>
        <v>384.43272036937572</v>
      </c>
      <c r="J10" s="768">
        <f ca="1">INDIRECT("'kc-Wert für Stützen'!"&amp;SUBSTITUTE(ADDRESS(MATCH($A10,'kc-Wert für Stützen'!$C:$C,0),MATCH(J$7,'kc-Wert für Stützen'!$A$8:$ES$8,0)+7,4),,))</f>
        <v>363.72093490409162</v>
      </c>
      <c r="K10" s="768">
        <f ca="1">INDIRECT("'kc-Wert für Stützen'!"&amp;SUBSTITUTE(ADDRESS(MATCH($A10,'kc-Wert für Stützen'!$C:$C,0),MATCH(K$7,'kc-Wert für Stützen'!$A$8:$ES$8,0)+7,4),,))</f>
        <v>344.63564264168457</v>
      </c>
      <c r="L10" s="768">
        <f ca="1">INDIRECT("'kc-Wert für Stützen'!"&amp;SUBSTITUTE(ADDRESS(MATCH($A10,'kc-Wert für Stützen'!$C:$C,0),MATCH(L$7,'kc-Wert für Stützen'!$A$8:$ES$8,0)+7,4),,))</f>
        <v>327.01137255203457</v>
      </c>
      <c r="M10" s="768">
        <f ca="1">INDIRECT("'kc-Wert für Stützen'!"&amp;SUBSTITUTE(ADDRESS(MATCH($A10,'kc-Wert für Stützen'!$C:$C,0),MATCH(M$7,'kc-Wert für Stützen'!$A$8:$ES$8,0)+7,4),,))</f>
        <v>310.70309388284272</v>
      </c>
      <c r="N10" s="768">
        <f ca="1">INDIRECT("'kc-Wert für Stützen'!"&amp;SUBSTITUTE(ADDRESS(MATCH($A10,'kc-Wert für Stützen'!$C:$C,0),MATCH(N$7,'kc-Wert für Stützen'!$A$8:$ES$8,0)+7,4),,))</f>
        <v>295.58327431246329</v>
      </c>
      <c r="O10" s="768">
        <f ca="1">INDIRECT("'kc-Wert für Stützen'!"&amp;SUBSTITUTE(ADDRESS(MATCH($A10,'kc-Wert für Stützen'!$C:$C,0),MATCH(O$7,'kc-Wert für Stützen'!$A$8:$ES$8,0)+7,4),,))</f>
        <v>281.53941736054725</v>
      </c>
      <c r="P10" s="768">
        <f ca="1">INDIRECT("'kc-Wert für Stützen'!"&amp;SUBSTITUTE(ADDRESS(MATCH($A10,'kc-Wert für Stützen'!$C:$C,0),MATCH(P$7,'kc-Wert für Stützen'!$A$8:$ES$8,0)+7,4),,))</f>
        <v>268.47199258115813</v>
      </c>
      <c r="S10" s="772">
        <f t="shared" ca="1" si="3"/>
        <v>520.12333226728117</v>
      </c>
      <c r="T10" s="772">
        <f t="shared" ca="1" si="1"/>
        <v>520.12333226728117</v>
      </c>
      <c r="U10" s="772">
        <f t="shared" ca="1" si="1"/>
        <v>520.12333226728117</v>
      </c>
      <c r="V10" s="772">
        <f t="shared" ca="1" si="1"/>
        <v>487.78891472957372</v>
      </c>
      <c r="W10" s="772">
        <f t="shared" ca="1" si="1"/>
        <v>458.36769496877162</v>
      </c>
      <c r="X10" s="772">
        <f t="shared" ca="1" si="1"/>
        <v>431.52175446558016</v>
      </c>
      <c r="Y10" s="772">
        <f t="shared" ca="1" si="1"/>
        <v>406.96043952437452</v>
      </c>
      <c r="Z10" s="772">
        <f t="shared" ca="1" si="1"/>
        <v>520.12333226728117</v>
      </c>
      <c r="AA10" s="772">
        <f t="shared" ca="1" si="1"/>
        <v>520.12333226728117</v>
      </c>
      <c r="AB10" s="772">
        <f t="shared" ca="1" si="1"/>
        <v>487.78891472957372</v>
      </c>
      <c r="AC10" s="772">
        <f t="shared" ca="1" si="2"/>
        <v>487.78891472957372</v>
      </c>
      <c r="AD10" s="772">
        <f t="shared" ca="1" si="2"/>
        <v>458.36769496877162</v>
      </c>
      <c r="AE10" s="772">
        <f t="shared" ca="1" si="2"/>
        <v>458.36769496877162</v>
      </c>
      <c r="AF10" s="772">
        <f t="shared" ca="1" si="2"/>
        <v>431.52175446558016</v>
      </c>
      <c r="AG10" s="772">
        <f t="shared" ca="1" si="2"/>
        <v>431.52175446558016</v>
      </c>
      <c r="AH10" s="772">
        <f t="shared" ca="1" si="2"/>
        <v>431.52175446558016</v>
      </c>
      <c r="AI10" s="772">
        <f t="shared" ca="1" si="2"/>
        <v>520.12333226728117</v>
      </c>
      <c r="AJ10" s="772">
        <f t="shared" ca="1" si="2"/>
        <v>520.12333226728117</v>
      </c>
      <c r="AK10" s="772">
        <f t="shared" ca="1" si="2"/>
        <v>487.78891472957372</v>
      </c>
      <c r="AL10" s="772">
        <f t="shared" ca="1" si="2"/>
        <v>487.78891472957372</v>
      </c>
      <c r="AM10" s="772">
        <f t="shared" ca="1" si="2"/>
        <v>458.36769496877162</v>
      </c>
      <c r="AN10" s="772">
        <f t="shared" ca="1" si="2"/>
        <v>458.36769496877162</v>
      </c>
      <c r="AO10" s="772">
        <f t="shared" ca="1" si="2"/>
        <v>431.52175446558016</v>
      </c>
      <c r="AP10" s="772">
        <f t="shared" ca="1" si="2"/>
        <v>431.52175446558016</v>
      </c>
      <c r="AQ10" s="772">
        <f t="shared" ca="1" si="2"/>
        <v>431.52175446558016</v>
      </c>
      <c r="AR10" s="772">
        <f t="shared" ca="1" si="2"/>
        <v>520.12333226728117</v>
      </c>
      <c r="AS10" s="772">
        <f t="shared" ca="1" si="2"/>
        <v>520.12333226728117</v>
      </c>
      <c r="AT10" s="772">
        <f t="shared" ca="1" si="2"/>
        <v>487.78891472957372</v>
      </c>
      <c r="AU10" s="772">
        <f t="shared" ca="1" si="2"/>
        <v>487.78891472957372</v>
      </c>
      <c r="AV10" s="772">
        <f t="shared" ca="1" si="2"/>
        <v>458.36769496877162</v>
      </c>
      <c r="AW10" s="772">
        <f t="shared" ca="1" si="2"/>
        <v>458.36769496877162</v>
      </c>
      <c r="AX10" s="772">
        <f t="shared" ca="1" si="2"/>
        <v>431.52175446558016</v>
      </c>
      <c r="AY10" s="772">
        <f t="shared" ca="1" si="2"/>
        <v>431.52175446558016</v>
      </c>
      <c r="AZ10" s="772">
        <f t="shared" ca="1" si="2"/>
        <v>431.52175446558016</v>
      </c>
      <c r="BA10" s="772">
        <f t="shared" ca="1" si="2"/>
        <v>520.12333226728117</v>
      </c>
      <c r="BB10" s="772">
        <f t="shared" ca="1" si="2"/>
        <v>520.12333226728117</v>
      </c>
      <c r="BC10" s="772">
        <f t="shared" ca="1" si="2"/>
        <v>487.78891472957372</v>
      </c>
      <c r="BD10" s="772">
        <f t="shared" ca="1" si="2"/>
        <v>458.36769496877162</v>
      </c>
      <c r="BE10" s="772">
        <f t="shared" ca="1" si="2"/>
        <v>458.36769496877162</v>
      </c>
      <c r="BF10" s="772">
        <f t="shared" ca="1" si="2"/>
        <v>431.52175446558016</v>
      </c>
      <c r="BG10" s="772">
        <f t="shared" ca="1" si="2"/>
        <v>431.52175446558016</v>
      </c>
      <c r="BH10" s="772">
        <f t="shared" ca="1" si="2"/>
        <v>406.96043952437452</v>
      </c>
      <c r="BI10" s="772">
        <f t="shared" ca="1" si="2"/>
        <v>406.96043952437452</v>
      </c>
      <c r="BJ10" s="772">
        <f t="shared" ca="1" si="2"/>
        <v>487.78891472957372</v>
      </c>
      <c r="BK10" s="772">
        <f t="shared" ca="1" si="2"/>
        <v>487.78891472957372</v>
      </c>
      <c r="BL10" s="772">
        <f t="shared" ca="1" si="2"/>
        <v>487.78891472957372</v>
      </c>
      <c r="BM10" s="772">
        <f t="shared" ca="1" si="2"/>
        <v>487.78891472957372</v>
      </c>
      <c r="BN10" s="772">
        <f t="shared" ca="1" si="2"/>
        <v>431.52175446558016</v>
      </c>
      <c r="BO10" s="772">
        <f t="shared" ca="1" si="2"/>
        <v>431.52175446558016</v>
      </c>
      <c r="BP10" s="772">
        <f t="shared" ca="1" si="2"/>
        <v>406.96043952437452</v>
      </c>
      <c r="BQ10" s="772">
        <f t="shared" ca="1" si="2"/>
        <v>406.96043952437452</v>
      </c>
      <c r="BR10" s="772">
        <f t="shared" ca="1" si="2"/>
        <v>384.43272036937572</v>
      </c>
      <c r="BS10" s="772">
        <f t="shared" ca="1" si="2"/>
        <v>487.78891472957372</v>
      </c>
      <c r="BT10" s="772">
        <f t="shared" ca="1" si="2"/>
        <v>487.78891472957372</v>
      </c>
      <c r="BU10" s="772">
        <f t="shared" ca="1" si="2"/>
        <v>487.78891472957372</v>
      </c>
      <c r="BV10" s="772">
        <f t="shared" ca="1" si="2"/>
        <v>458.36769496877162</v>
      </c>
      <c r="BW10" s="772">
        <f t="shared" ca="1" si="2"/>
        <v>458.36769496877162</v>
      </c>
      <c r="BX10" s="772">
        <f t="shared" ca="1" si="2"/>
        <v>406.96043952437452</v>
      </c>
      <c r="BY10" s="772">
        <f t="shared" ca="1" si="2"/>
        <v>406.96043952437452</v>
      </c>
      <c r="BZ10" s="772">
        <f t="shared" ca="1" si="2"/>
        <v>384.43272036937572</v>
      </c>
      <c r="CA10" s="772">
        <f t="shared" ca="1" si="2"/>
        <v>384.43272036937572</v>
      </c>
      <c r="CB10" s="772">
        <f t="shared" ca="1" si="2"/>
        <v>458.36769496877162</v>
      </c>
      <c r="CC10" s="772">
        <f t="shared" ca="1" si="2"/>
        <v>458.36769496877162</v>
      </c>
      <c r="CD10" s="772">
        <f t="shared" ca="1" si="2"/>
        <v>458.36769496877162</v>
      </c>
      <c r="CE10" s="772">
        <f t="shared" ca="1" si="2"/>
        <v>458.36769496877162</v>
      </c>
      <c r="CF10" s="772">
        <f t="shared" ca="1" si="2"/>
        <v>431.52175446558016</v>
      </c>
      <c r="CG10" s="772">
        <f t="shared" ca="1" si="2"/>
        <v>406.96043952437452</v>
      </c>
      <c r="CH10" s="772">
        <f t="shared" ca="1" si="2"/>
        <v>384.43272036937572</v>
      </c>
      <c r="CI10" s="772">
        <f t="shared" ca="1" si="2"/>
        <v>384.43272036937572</v>
      </c>
      <c r="CJ10" s="772">
        <f t="shared" ca="1" si="2"/>
        <v>363.72093490409162</v>
      </c>
    </row>
    <row r="11" spans="1:90" ht="15" customHeight="1">
      <c r="A11" s="770">
        <f>'kc-Wert für Stützen'!C11</f>
        <v>63</v>
      </c>
      <c r="B11" s="768">
        <f ca="1">INDIRECT("'kc-Wert für Stützen'!"&amp;SUBSTITUTE(ADDRESS(MATCH($A11,'kc-Wert für Stützen'!$C:$C,0),MATCH(B$7,'kc-Wert für Stützen'!$A$8:$ES$8,0)+7,4),,))</f>
        <v>634.0120374381795</v>
      </c>
      <c r="C11" s="768">
        <f ca="1">INDIRECT("'kc-Wert für Stützen'!"&amp;SUBSTITUTE(ADDRESS(MATCH($A11,'kc-Wert für Stützen'!$C:$C,0),MATCH(C$7,'kc-Wert für Stützen'!$A$8:$ES$8,0)+7,4),,))</f>
        <v>592.05486652511843</v>
      </c>
      <c r="D11" s="768">
        <f ca="1">INDIRECT("'kc-Wert für Stützen'!"&amp;SUBSTITUTE(ADDRESS(MATCH($A11,'kc-Wert für Stützen'!$C:$C,0),MATCH(D$7,'kc-Wert für Stützen'!$A$8:$ES$8,0)+7,4),,))</f>
        <v>554.1077229120533</v>
      </c>
      <c r="E11" s="768">
        <f ca="1">INDIRECT("'kc-Wert für Stützen'!"&amp;SUBSTITUTE(ADDRESS(MATCH($A11,'kc-Wert für Stützen'!$C:$C,0),MATCH(E$7,'kc-Wert für Stützen'!$A$8:$ES$8,0)+7,4),,))</f>
        <v>519.67918755655319</v>
      </c>
      <c r="F11" s="768">
        <f ca="1">INDIRECT("'kc-Wert für Stützen'!"&amp;SUBSTITUTE(ADDRESS(MATCH($A11,'kc-Wert für Stützen'!$C:$C,0),MATCH(F$7,'kc-Wert für Stützen'!$A$8:$ES$8,0)+7,4),,))</f>
        <v>488.35009625573804</v>
      </c>
      <c r="G11" s="768">
        <f ca="1">INDIRECT("'kc-Wert für Stützen'!"&amp;SUBSTITUTE(ADDRESS(MATCH($A11,'kc-Wert für Stützen'!$C:$C,0),MATCH(G$7,'kc-Wert für Stützen'!$A$8:$ES$8,0)+7,4),,))</f>
        <v>459.76133980677639</v>
      </c>
      <c r="H11" s="768">
        <f ca="1">INDIRECT("'kc-Wert für Stützen'!"&amp;SUBSTITUTE(ADDRESS(MATCH($A11,'kc-Wert für Stützen'!$C:$C,0),MATCH(H$7,'kc-Wert für Stützen'!$A$8:$ES$8,0)+7,4),,))</f>
        <v>433.60395279928031</v>
      </c>
      <c r="I11" s="768">
        <f ca="1">INDIRECT("'kc-Wert für Stützen'!"&amp;SUBSTITUTE(ADDRESS(MATCH($A11,'kc-Wert für Stützen'!$C:$C,0),MATCH(I$7,'kc-Wert für Stützen'!$A$8:$ES$8,0)+7,4),,))</f>
        <v>409.61102750756385</v>
      </c>
      <c r="J11" s="768">
        <f ca="1">INDIRECT("'kc-Wert für Stützen'!"&amp;SUBSTITUTE(ADDRESS(MATCH($A11,'kc-Wert für Stützen'!$C:$C,0),MATCH(J$7,'kc-Wert für Stützen'!$A$8:$ES$8,0)+7,4),,))</f>
        <v>387.55108770940325</v>
      </c>
      <c r="K11" s="768">
        <f ca="1">INDIRECT("'kc-Wert für Stützen'!"&amp;SUBSTITUTE(ADDRESS(MATCH($A11,'kc-Wert für Stützen'!$C:$C,0),MATCH(K$7,'kc-Wert für Stützen'!$A$8:$ES$8,0)+7,4),,))</f>
        <v>367.22263462612466</v>
      </c>
      <c r="L11" s="768">
        <f ca="1">INDIRECT("'kc-Wert für Stützen'!"&amp;SUBSTITUTE(ADDRESS(MATCH($A11,'kc-Wert für Stützen'!$C:$C,0),MATCH(L$7,'kc-Wert für Stützen'!$A$8:$ES$8,0)+7,4),,))</f>
        <v>348.44963771827167</v>
      </c>
      <c r="M11" s="768">
        <f ca="1">INDIRECT("'kc-Wert für Stützen'!"&amp;SUBSTITUTE(ADDRESS(MATCH($A11,'kc-Wert für Stützen'!$C:$C,0),MATCH(M$7,'kc-Wert für Stützen'!$A$8:$ES$8,0)+7,4),,))</f>
        <v>331.0777903592716</v>
      </c>
      <c r="N11" s="768">
        <f ca="1">INDIRECT("'kc-Wert für Stützen'!"&amp;SUBSTITUTE(ADDRESS(MATCH($A11,'kc-Wert für Stützen'!$C:$C,0),MATCH(N$7,'kc-Wert für Stützen'!$A$8:$ES$8,0)+7,4),,))</f>
        <v>314.97138736249082</v>
      </c>
      <c r="O11" s="768">
        <f ca="1">INDIRECT("'kc-Wert für Stützen'!"&amp;SUBSTITUTE(ADDRESS(MATCH($A11,'kc-Wert für Stützen'!$C:$C,0),MATCH(O$7,'kc-Wert für Stützen'!$A$8:$ES$8,0)+7,4),,))</f>
        <v>300.01071026607553</v>
      </c>
      <c r="P11" s="768">
        <f ca="1">INDIRECT("'kc-Wert für Stützen'!"&amp;SUBSTITUTE(ADDRESS(MATCH($A11,'kc-Wert für Stützen'!$C:$C,0),MATCH(P$7,'kc-Wert für Stützen'!$A$8:$ES$8,0)+7,4),,))</f>
        <v>286.08982898875297</v>
      </c>
      <c r="S11" s="772">
        <f t="shared" ca="1" si="3"/>
        <v>554.1077229120533</v>
      </c>
      <c r="T11" s="772">
        <f t="shared" ca="1" si="1"/>
        <v>554.1077229120533</v>
      </c>
      <c r="U11" s="772">
        <f t="shared" ca="1" si="1"/>
        <v>554.1077229120533</v>
      </c>
      <c r="V11" s="772">
        <f t="shared" ca="1" si="1"/>
        <v>519.67918755655319</v>
      </c>
      <c r="W11" s="772">
        <f t="shared" ca="1" si="1"/>
        <v>488.35009625573804</v>
      </c>
      <c r="X11" s="772">
        <f t="shared" ca="1" si="1"/>
        <v>459.76133980677639</v>
      </c>
      <c r="Y11" s="772">
        <f t="shared" ca="1" si="1"/>
        <v>433.60395279928031</v>
      </c>
      <c r="Z11" s="772">
        <f t="shared" ca="1" si="1"/>
        <v>554.1077229120533</v>
      </c>
      <c r="AA11" s="772">
        <f t="shared" ca="1" si="1"/>
        <v>554.1077229120533</v>
      </c>
      <c r="AB11" s="772">
        <f t="shared" ca="1" si="1"/>
        <v>519.67918755655319</v>
      </c>
      <c r="AC11" s="772">
        <f t="shared" ca="1" si="2"/>
        <v>519.67918755655319</v>
      </c>
      <c r="AD11" s="772">
        <f t="shared" ca="1" si="2"/>
        <v>488.35009625573804</v>
      </c>
      <c r="AE11" s="772">
        <f t="shared" ca="1" si="2"/>
        <v>488.35009625573804</v>
      </c>
      <c r="AF11" s="772">
        <f t="shared" ca="1" si="2"/>
        <v>459.76133980677639</v>
      </c>
      <c r="AG11" s="772">
        <f t="shared" ca="1" si="2"/>
        <v>459.76133980677639</v>
      </c>
      <c r="AH11" s="772">
        <f t="shared" ca="1" si="2"/>
        <v>459.76133980677639</v>
      </c>
      <c r="AI11" s="772">
        <f t="shared" ca="1" si="2"/>
        <v>554.1077229120533</v>
      </c>
      <c r="AJ11" s="772">
        <f t="shared" ca="1" si="2"/>
        <v>554.1077229120533</v>
      </c>
      <c r="AK11" s="772">
        <f t="shared" ca="1" si="2"/>
        <v>519.67918755655319</v>
      </c>
      <c r="AL11" s="772">
        <f t="shared" ca="1" si="2"/>
        <v>519.67918755655319</v>
      </c>
      <c r="AM11" s="772">
        <f t="shared" ca="1" si="2"/>
        <v>488.35009625573804</v>
      </c>
      <c r="AN11" s="772">
        <f t="shared" ca="1" si="2"/>
        <v>488.35009625573804</v>
      </c>
      <c r="AO11" s="772">
        <f t="shared" ca="1" si="2"/>
        <v>459.76133980677639</v>
      </c>
      <c r="AP11" s="772">
        <f t="shared" ca="1" si="2"/>
        <v>459.76133980677639</v>
      </c>
      <c r="AQ11" s="772">
        <f t="shared" ca="1" si="2"/>
        <v>459.76133980677639</v>
      </c>
      <c r="AR11" s="772">
        <f t="shared" ca="1" si="2"/>
        <v>554.1077229120533</v>
      </c>
      <c r="AS11" s="772">
        <f t="shared" ca="1" si="2"/>
        <v>554.1077229120533</v>
      </c>
      <c r="AT11" s="772">
        <f t="shared" ca="1" si="2"/>
        <v>519.67918755655319</v>
      </c>
      <c r="AU11" s="772">
        <f t="shared" ca="1" si="2"/>
        <v>519.67918755655319</v>
      </c>
      <c r="AV11" s="772">
        <f t="shared" ca="1" si="2"/>
        <v>488.35009625573804</v>
      </c>
      <c r="AW11" s="772">
        <f t="shared" ca="1" si="2"/>
        <v>488.35009625573804</v>
      </c>
      <c r="AX11" s="772">
        <f t="shared" ca="1" si="2"/>
        <v>459.76133980677639</v>
      </c>
      <c r="AY11" s="772">
        <f t="shared" ca="1" si="2"/>
        <v>459.76133980677639</v>
      </c>
      <c r="AZ11" s="772">
        <f t="shared" ca="1" si="2"/>
        <v>459.76133980677639</v>
      </c>
      <c r="BA11" s="772">
        <f t="shared" ca="1" si="2"/>
        <v>554.1077229120533</v>
      </c>
      <c r="BB11" s="772">
        <f t="shared" ca="1" si="2"/>
        <v>554.1077229120533</v>
      </c>
      <c r="BC11" s="772">
        <f t="shared" ca="1" si="2"/>
        <v>519.67918755655319</v>
      </c>
      <c r="BD11" s="772">
        <f t="shared" ca="1" si="2"/>
        <v>488.35009625573804</v>
      </c>
      <c r="BE11" s="772">
        <f t="shared" ca="1" si="2"/>
        <v>488.35009625573804</v>
      </c>
      <c r="BF11" s="772">
        <f t="shared" ca="1" si="2"/>
        <v>459.76133980677639</v>
      </c>
      <c r="BG11" s="772">
        <f t="shared" ca="1" si="2"/>
        <v>459.76133980677639</v>
      </c>
      <c r="BH11" s="772">
        <f t="shared" ca="1" si="2"/>
        <v>433.60395279928031</v>
      </c>
      <c r="BI11" s="772">
        <f t="shared" ca="1" si="2"/>
        <v>433.60395279928031</v>
      </c>
      <c r="BJ11" s="772">
        <f t="shared" ca="1" si="2"/>
        <v>519.67918755655319</v>
      </c>
      <c r="BK11" s="772">
        <f t="shared" ca="1" si="2"/>
        <v>519.67918755655319</v>
      </c>
      <c r="BL11" s="772">
        <f t="shared" ca="1" si="2"/>
        <v>519.67918755655319</v>
      </c>
      <c r="BM11" s="772">
        <f t="shared" ca="1" si="2"/>
        <v>519.67918755655319</v>
      </c>
      <c r="BN11" s="772">
        <f t="shared" ca="1" si="2"/>
        <v>459.76133980677639</v>
      </c>
      <c r="BO11" s="772">
        <f t="shared" ca="1" si="2"/>
        <v>459.76133980677639</v>
      </c>
      <c r="BP11" s="772">
        <f t="shared" ca="1" si="2"/>
        <v>433.60395279928031</v>
      </c>
      <c r="BQ11" s="772">
        <f t="shared" ca="1" si="2"/>
        <v>433.60395279928031</v>
      </c>
      <c r="BR11" s="772">
        <f t="shared" ca="1" si="2"/>
        <v>409.61102750756385</v>
      </c>
      <c r="BS11" s="772">
        <f t="shared" ca="1" si="2"/>
        <v>519.67918755655319</v>
      </c>
      <c r="BT11" s="772">
        <f t="shared" ca="1" si="2"/>
        <v>519.67918755655319</v>
      </c>
      <c r="BU11" s="772">
        <f t="shared" ca="1" si="2"/>
        <v>519.67918755655319</v>
      </c>
      <c r="BV11" s="772">
        <f t="shared" ca="1" si="2"/>
        <v>488.35009625573804</v>
      </c>
      <c r="BW11" s="772">
        <f t="shared" ca="1" si="2"/>
        <v>488.35009625573804</v>
      </c>
      <c r="BX11" s="772">
        <f t="shared" ca="1" si="2"/>
        <v>433.60395279928031</v>
      </c>
      <c r="BY11" s="772">
        <f t="shared" ca="1" si="2"/>
        <v>433.60395279928031</v>
      </c>
      <c r="BZ11" s="772">
        <f t="shared" ca="1" si="2"/>
        <v>409.61102750756385</v>
      </c>
      <c r="CA11" s="772">
        <f t="shared" ca="1" si="2"/>
        <v>409.61102750756385</v>
      </c>
      <c r="CB11" s="772">
        <f t="shared" ca="1" si="2"/>
        <v>488.35009625573804</v>
      </c>
      <c r="CC11" s="772">
        <f t="shared" ca="1" si="2"/>
        <v>488.35009625573804</v>
      </c>
      <c r="CD11" s="772">
        <f t="shared" ca="1" si="2"/>
        <v>488.35009625573804</v>
      </c>
      <c r="CE11" s="772">
        <f t="shared" ca="1" si="2"/>
        <v>488.35009625573804</v>
      </c>
      <c r="CF11" s="772">
        <f t="shared" ca="1" si="2"/>
        <v>459.76133980677639</v>
      </c>
      <c r="CG11" s="772">
        <f t="shared" ca="1" si="2"/>
        <v>433.60395279928031</v>
      </c>
      <c r="CH11" s="772">
        <f t="shared" ca="1" si="2"/>
        <v>409.61102750756385</v>
      </c>
      <c r="CI11" s="772">
        <f t="shared" ca="1" si="2"/>
        <v>409.61102750756385</v>
      </c>
      <c r="CJ11" s="772">
        <f t="shared" ca="1" si="2"/>
        <v>387.55108770940325</v>
      </c>
    </row>
    <row r="12" spans="1:90" ht="15" customHeight="1">
      <c r="A12" s="770">
        <f>'kc-Wert für Stützen'!C12</f>
        <v>64</v>
      </c>
      <c r="B12" s="768">
        <f ca="1">INDIRECT("'kc-Wert für Stützen'!"&amp;SUBSTITUTE(ADDRESS(MATCH($A12,'kc-Wert für Stützen'!$C:$C,0),MATCH(B$7,'kc-Wert für Stützen'!$A$8:$ES$8,0)+7,4),,))</f>
        <v>674.69299541272869</v>
      </c>
      <c r="C12" s="768">
        <f ca="1">INDIRECT("'kc-Wert für Stützen'!"&amp;SUBSTITUTE(ADDRESS(MATCH($A12,'kc-Wert für Stützen'!$C:$C,0),MATCH(C$7,'kc-Wert für Stützen'!$A$8:$ES$8,0)+7,4),,))</f>
        <v>630.07331297850521</v>
      </c>
      <c r="D12" s="768">
        <f ca="1">INDIRECT("'kc-Wert für Stützen'!"&amp;SUBSTITUTE(ADDRESS(MATCH($A12,'kc-Wert für Stützen'!$C:$C,0),MATCH(D$7,'kc-Wert für Stützen'!$A$8:$ES$8,0)+7,4),,))</f>
        <v>589.71380987944406</v>
      </c>
      <c r="E12" s="768">
        <f ca="1">INDIRECT("'kc-Wert für Stützen'!"&amp;SUBSTITUTE(ADDRESS(MATCH($A12,'kc-Wert für Stützen'!$C:$C,0),MATCH(E$7,'kc-Wert für Stützen'!$A$8:$ES$8,0)+7,4),,))</f>
        <v>553.09322387090572</v>
      </c>
      <c r="F12" s="768">
        <f ca="1">INDIRECT("'kc-Wert für Stützen'!"&amp;SUBSTITUTE(ADDRESS(MATCH($A12,'kc-Wert für Stützen'!$C:$C,0),MATCH(F$7,'kc-Wert für Stützen'!$A$8:$ES$8,0)+7,4),,))</f>
        <v>519.7667520115333</v>
      </c>
      <c r="G12" s="768">
        <f ca="1">INDIRECT("'kc-Wert für Stützen'!"&amp;SUBSTITUTE(ADDRESS(MATCH($A12,'kc-Wert für Stützen'!$C:$C,0),MATCH(G$7,'kc-Wert für Stützen'!$A$8:$ES$8,0)+7,4),,))</f>
        <v>489.3531886709921</v>
      </c>
      <c r="H12" s="768">
        <f ca="1">INDIRECT("'kc-Wert für Stützen'!"&amp;SUBSTITUTE(ADDRESS(MATCH($A12,'kc-Wert für Stützen'!$C:$C,0),MATCH(H$7,'kc-Wert für Stützen'!$A$8:$ES$8,0)+7,4),,))</f>
        <v>461.5244624018473</v>
      </c>
      <c r="I12" s="768">
        <f ca="1">INDIRECT("'kc-Wert für Stützen'!"&amp;SUBSTITUTE(ADDRESS(MATCH($A12,'kc-Wert für Stützen'!$C:$C,0),MATCH(I$7,'kc-Wert für Stützen'!$A$8:$ES$8,0)+7,4),,))</f>
        <v>435.99709036590633</v>
      </c>
      <c r="J12" s="768">
        <f ca="1">INDIRECT("'kc-Wert für Stützen'!"&amp;SUBSTITUTE(ADDRESS(MATCH($A12,'kc-Wert für Stützen'!$C:$C,0),MATCH(J$7,'kc-Wert für Stützen'!$A$8:$ES$8,0)+7,4),,))</f>
        <v>412.52516950192421</v>
      </c>
      <c r="K12" s="768">
        <f ca="1">INDIRECT("'kc-Wert für Stützen'!"&amp;SUBSTITUTE(ADDRESS(MATCH($A12,'kc-Wert für Stützen'!$C:$C,0),MATCH(K$7,'kc-Wert für Stützen'!$A$8:$ES$8,0)+7,4),,))</f>
        <v>390.89460332296812</v>
      </c>
      <c r="L12" s="768">
        <f ca="1">INDIRECT("'kc-Wert für Stützen'!"&amp;SUBSTITUTE(ADDRESS(MATCH($A12,'kc-Wert für Stützen'!$C:$C,0),MATCH(L$7,'kc-Wert für Stützen'!$A$8:$ES$8,0)+7,4),,))</f>
        <v>370.91832596687374</v>
      </c>
      <c r="M12" s="768">
        <f ca="1">INDIRECT("'kc-Wert für Stützen'!"&amp;SUBSTITUTE(ADDRESS(MATCH($A12,'kc-Wert für Stützen'!$C:$C,0),MATCH(M$7,'kc-Wert für Stützen'!$A$8:$ES$8,0)+7,4),,))</f>
        <v>352.43233434350481</v>
      </c>
      <c r="N12" s="768">
        <f ca="1">INDIRECT("'kc-Wert für Stützen'!"&amp;SUBSTITUTE(ADDRESS(MATCH($A12,'kc-Wert für Stützen'!$C:$C,0),MATCH(N$7,'kc-Wert für Stützen'!$A$8:$ES$8,0)+7,4),,))</f>
        <v>335.29237781617019</v>
      </c>
      <c r="O12" s="768">
        <f ca="1">INDIRECT("'kc-Wert für Stützen'!"&amp;SUBSTITUTE(ADDRESS(MATCH($A12,'kc-Wert für Stützen'!$C:$C,0),MATCH(O$7,'kc-Wert für Stützen'!$A$8:$ES$8,0)+7,4),,))</f>
        <v>319.37118514871702</v>
      </c>
      <c r="P12" s="768">
        <f ca="1">INDIRECT("'kc-Wert für Stützen'!"&amp;SUBSTITUTE(ADDRESS(MATCH($A12,'kc-Wert für Stützen'!$C:$C,0),MATCH(P$7,'kc-Wert für Stützen'!$A$8:$ES$8,0)+7,4),,))</f>
        <v>304.55613228114942</v>
      </c>
      <c r="S12" s="772">
        <f t="shared" ca="1" si="3"/>
        <v>589.71380987944406</v>
      </c>
      <c r="T12" s="772">
        <f t="shared" ca="1" si="1"/>
        <v>589.71380987944406</v>
      </c>
      <c r="U12" s="772">
        <f t="shared" ca="1" si="1"/>
        <v>589.71380987944406</v>
      </c>
      <c r="V12" s="772">
        <f t="shared" ca="1" si="1"/>
        <v>553.09322387090572</v>
      </c>
      <c r="W12" s="772">
        <f t="shared" ca="1" si="1"/>
        <v>519.7667520115333</v>
      </c>
      <c r="X12" s="772">
        <f t="shared" ca="1" si="1"/>
        <v>489.3531886709921</v>
      </c>
      <c r="Y12" s="772">
        <f t="shared" ca="1" si="1"/>
        <v>461.5244624018473</v>
      </c>
      <c r="Z12" s="772">
        <f t="shared" ca="1" si="1"/>
        <v>589.71380987944406</v>
      </c>
      <c r="AA12" s="772">
        <f t="shared" ca="1" si="1"/>
        <v>589.71380987944406</v>
      </c>
      <c r="AB12" s="772">
        <f t="shared" ca="1" si="1"/>
        <v>553.09322387090572</v>
      </c>
      <c r="AC12" s="772">
        <f t="shared" ca="1" si="2"/>
        <v>553.09322387090572</v>
      </c>
      <c r="AD12" s="772">
        <f t="shared" ca="1" si="2"/>
        <v>519.7667520115333</v>
      </c>
      <c r="AE12" s="772">
        <f t="shared" ca="1" si="2"/>
        <v>519.7667520115333</v>
      </c>
      <c r="AF12" s="772">
        <f t="shared" ca="1" si="2"/>
        <v>489.3531886709921</v>
      </c>
      <c r="AG12" s="772">
        <f t="shared" ca="1" si="2"/>
        <v>489.3531886709921</v>
      </c>
      <c r="AH12" s="772">
        <f t="shared" ca="1" si="2"/>
        <v>489.3531886709921</v>
      </c>
      <c r="AI12" s="772">
        <f t="shared" ca="1" si="2"/>
        <v>589.71380987944406</v>
      </c>
      <c r="AJ12" s="772">
        <f t="shared" ca="1" si="2"/>
        <v>589.71380987944406</v>
      </c>
      <c r="AK12" s="772">
        <f t="shared" ca="1" si="2"/>
        <v>553.09322387090572</v>
      </c>
      <c r="AL12" s="772">
        <f t="shared" ca="1" si="2"/>
        <v>553.09322387090572</v>
      </c>
      <c r="AM12" s="772">
        <f t="shared" ca="1" si="2"/>
        <v>519.7667520115333</v>
      </c>
      <c r="AN12" s="772">
        <f t="shared" ca="1" si="2"/>
        <v>519.7667520115333</v>
      </c>
      <c r="AO12" s="772">
        <f t="shared" ca="1" si="2"/>
        <v>489.3531886709921</v>
      </c>
      <c r="AP12" s="772">
        <f t="shared" ca="1" si="2"/>
        <v>489.3531886709921</v>
      </c>
      <c r="AQ12" s="772">
        <f t="shared" ca="1" si="2"/>
        <v>489.3531886709921</v>
      </c>
      <c r="AR12" s="772">
        <f t="shared" ref="AR12:BG32" ca="1" si="4">HLOOKUP(AR$7,$A$7:$P$348,ROW()-6)</f>
        <v>589.71380987944406</v>
      </c>
      <c r="AS12" s="772">
        <f t="shared" ca="1" si="4"/>
        <v>589.71380987944406</v>
      </c>
      <c r="AT12" s="772">
        <f t="shared" ca="1" si="4"/>
        <v>553.09322387090572</v>
      </c>
      <c r="AU12" s="772">
        <f t="shared" ca="1" si="4"/>
        <v>553.09322387090572</v>
      </c>
      <c r="AV12" s="772">
        <f t="shared" ca="1" si="4"/>
        <v>519.7667520115333</v>
      </c>
      <c r="AW12" s="772">
        <f t="shared" ca="1" si="4"/>
        <v>519.7667520115333</v>
      </c>
      <c r="AX12" s="772">
        <f t="shared" ca="1" si="4"/>
        <v>489.3531886709921</v>
      </c>
      <c r="AY12" s="772">
        <f t="shared" ca="1" si="4"/>
        <v>489.3531886709921</v>
      </c>
      <c r="AZ12" s="772">
        <f t="shared" ca="1" si="4"/>
        <v>489.3531886709921</v>
      </c>
      <c r="BA12" s="772">
        <f t="shared" ca="1" si="4"/>
        <v>589.71380987944406</v>
      </c>
      <c r="BB12" s="772">
        <f t="shared" ca="1" si="4"/>
        <v>589.71380987944406</v>
      </c>
      <c r="BC12" s="772">
        <f t="shared" ca="1" si="4"/>
        <v>553.09322387090572</v>
      </c>
      <c r="BD12" s="772">
        <f t="shared" ca="1" si="4"/>
        <v>519.7667520115333</v>
      </c>
      <c r="BE12" s="772">
        <f t="shared" ca="1" si="4"/>
        <v>519.7667520115333</v>
      </c>
      <c r="BF12" s="772">
        <f t="shared" ca="1" si="4"/>
        <v>489.3531886709921</v>
      </c>
      <c r="BG12" s="772">
        <f t="shared" ca="1" si="4"/>
        <v>489.3531886709921</v>
      </c>
      <c r="BH12" s="772">
        <f t="shared" ref="BH12:BW27" ca="1" si="5">HLOOKUP(BH$7,$A$7:$P$348,ROW()-6)</f>
        <v>461.5244624018473</v>
      </c>
      <c r="BI12" s="772">
        <f t="shared" ca="1" si="5"/>
        <v>461.5244624018473</v>
      </c>
      <c r="BJ12" s="772">
        <f t="shared" ca="1" si="5"/>
        <v>553.09322387090572</v>
      </c>
      <c r="BK12" s="772">
        <f t="shared" ca="1" si="5"/>
        <v>553.09322387090572</v>
      </c>
      <c r="BL12" s="772">
        <f t="shared" ca="1" si="5"/>
        <v>553.09322387090572</v>
      </c>
      <c r="BM12" s="772">
        <f t="shared" ca="1" si="5"/>
        <v>553.09322387090572</v>
      </c>
      <c r="BN12" s="772">
        <f t="shared" ca="1" si="5"/>
        <v>489.3531886709921</v>
      </c>
      <c r="BO12" s="772">
        <f t="shared" ca="1" si="5"/>
        <v>489.3531886709921</v>
      </c>
      <c r="BP12" s="772">
        <f t="shared" ca="1" si="5"/>
        <v>461.5244624018473</v>
      </c>
      <c r="BQ12" s="772">
        <f t="shared" ca="1" si="5"/>
        <v>461.5244624018473</v>
      </c>
      <c r="BR12" s="772">
        <f t="shared" ca="1" si="5"/>
        <v>435.99709036590633</v>
      </c>
      <c r="BS12" s="772">
        <f t="shared" ca="1" si="5"/>
        <v>553.09322387090572</v>
      </c>
      <c r="BT12" s="772">
        <f t="shared" ca="1" si="5"/>
        <v>553.09322387090572</v>
      </c>
      <c r="BU12" s="772">
        <f t="shared" ca="1" si="5"/>
        <v>553.09322387090572</v>
      </c>
      <c r="BV12" s="772">
        <f t="shared" ca="1" si="5"/>
        <v>519.7667520115333</v>
      </c>
      <c r="BW12" s="772">
        <f t="shared" ca="1" si="5"/>
        <v>519.7667520115333</v>
      </c>
      <c r="BX12" s="772">
        <f t="shared" ref="BX12:CJ26" ca="1" si="6">HLOOKUP(BX$7,$A$7:$P$348,ROW()-6)</f>
        <v>461.5244624018473</v>
      </c>
      <c r="BY12" s="772">
        <f t="shared" ca="1" si="6"/>
        <v>461.5244624018473</v>
      </c>
      <c r="BZ12" s="772">
        <f t="shared" ca="1" si="6"/>
        <v>435.99709036590633</v>
      </c>
      <c r="CA12" s="772">
        <f t="shared" ca="1" si="6"/>
        <v>435.99709036590633</v>
      </c>
      <c r="CB12" s="772">
        <f t="shared" ca="1" si="6"/>
        <v>519.7667520115333</v>
      </c>
      <c r="CC12" s="772">
        <f t="shared" ca="1" si="6"/>
        <v>519.7667520115333</v>
      </c>
      <c r="CD12" s="772">
        <f t="shared" ca="1" si="6"/>
        <v>519.7667520115333</v>
      </c>
      <c r="CE12" s="772">
        <f t="shared" ca="1" si="6"/>
        <v>519.7667520115333</v>
      </c>
      <c r="CF12" s="772">
        <f t="shared" ca="1" si="6"/>
        <v>489.3531886709921</v>
      </c>
      <c r="CG12" s="772">
        <f t="shared" ca="1" si="6"/>
        <v>461.5244624018473</v>
      </c>
      <c r="CH12" s="772">
        <f t="shared" ca="1" si="6"/>
        <v>435.99709036590633</v>
      </c>
      <c r="CI12" s="772">
        <f t="shared" ca="1" si="6"/>
        <v>435.99709036590633</v>
      </c>
      <c r="CJ12" s="772">
        <f t="shared" ca="1" si="6"/>
        <v>412.52516950192421</v>
      </c>
    </row>
    <row r="13" spans="1:90" ht="15" customHeight="1">
      <c r="A13" s="770">
        <f>'kc-Wert für Stützen'!C13</f>
        <v>65</v>
      </c>
      <c r="B13" s="768">
        <f ca="1">INDIRECT("'kc-Wert für Stützen'!"&amp;SUBSTITUTE(ADDRESS(MATCH($A13,'kc-Wert für Stützen'!$C:$C,0),MATCH(B$7,'kc-Wert für Stützen'!$A$8:$ES$8,0)+7,4),,))</f>
        <v>717.2763726079877</v>
      </c>
      <c r="C13" s="768">
        <f ca="1">INDIRECT("'kc-Wert für Stützen'!"&amp;SUBSTITUTE(ADDRESS(MATCH($A13,'kc-Wert für Stützen'!$C:$C,0),MATCH(C$7,'kc-Wert für Stützen'!$A$8:$ES$8,0)+7,4),,))</f>
        <v>669.87292864974279</v>
      </c>
      <c r="D13" s="768">
        <f ca="1">INDIRECT("'kc-Wert für Stützen'!"&amp;SUBSTITUTE(ADDRESS(MATCH($A13,'kc-Wert für Stützen'!$C:$C,0),MATCH(D$7,'kc-Wert für Stützen'!$A$8:$ES$8,0)+7,4),,))</f>
        <v>626.99068479211769</v>
      </c>
      <c r="E13" s="768">
        <f ca="1">INDIRECT("'kc-Wert für Stützen'!"&amp;SUBSTITUTE(ADDRESS(MATCH($A13,'kc-Wert für Stützen'!$C:$C,0),MATCH(E$7,'kc-Wert für Stützen'!$A$8:$ES$8,0)+7,4),,))</f>
        <v>588.07734578122017</v>
      </c>
      <c r="F13" s="768">
        <f ca="1">INDIRECT("'kc-Wert für Stützen'!"&amp;SUBSTITUTE(ADDRESS(MATCH($A13,'kc-Wert für Stützen'!$C:$C,0),MATCH(F$7,'kc-Wert für Stützen'!$A$8:$ES$8,0)+7,4),,))</f>
        <v>552.66142170252772</v>
      </c>
      <c r="G13" s="768">
        <f ca="1">INDIRECT("'kc-Wert für Stützen'!"&amp;SUBSTITUTE(ADDRESS(MATCH($A13,'kc-Wert für Stützen'!$C:$C,0),MATCH(G$7,'kc-Wert für Stützen'!$A$8:$ES$8,0)+7,4),,))</f>
        <v>520.33868889932592</v>
      </c>
      <c r="H13" s="768">
        <f ca="1">INDIRECT("'kc-Wert für Stützen'!"&amp;SUBSTITUTE(ADDRESS(MATCH($A13,'kc-Wert für Stützen'!$C:$C,0),MATCH(H$7,'kc-Wert für Stützen'!$A$8:$ES$8,0)+7,4),,))</f>
        <v>490.76116009143965</v>
      </c>
      <c r="I13" s="768">
        <f ca="1">INDIRECT("'kc-Wert für Stützen'!"&amp;SUBSTITUTE(ADDRESS(MATCH($A13,'kc-Wert für Stützen'!$C:$C,0),MATCH(I$7,'kc-Wert für Stützen'!$A$8:$ES$8,0)+7,4),,))</f>
        <v>463.6280654835731</v>
      </c>
      <c r="J13" s="768">
        <f ca="1">INDIRECT("'kc-Wert für Stützen'!"&amp;SUBSTITUTE(ADDRESS(MATCH($A13,'kc-Wert für Stützen'!$C:$C,0),MATCH(J$7,'kc-Wert für Stützen'!$A$8:$ES$8,0)+7,4),,))</f>
        <v>438.67844877234353</v>
      </c>
      <c r="K13" s="768">
        <f ca="1">INDIRECT("'kc-Wert für Stützen'!"&amp;SUBSTITUTE(ADDRESS(MATCH($A13,'kc-Wert für Stützen'!$C:$C,0),MATCH(K$7,'kc-Wert für Stützen'!$A$8:$ES$8,0)+7,4),,))</f>
        <v>415.68506372389686</v>
      </c>
      <c r="L13" s="768">
        <f ca="1">INDIRECT("'kc-Wert für Stützen'!"&amp;SUBSTITUTE(ADDRESS(MATCH($A13,'kc-Wert für Stützen'!$C:$C,0),MATCH(L$7,'kc-Wert für Stützen'!$A$8:$ES$8,0)+7,4),,))</f>
        <v>394.44932178694847</v>
      </c>
      <c r="M13" s="768">
        <f ca="1">INDIRECT("'kc-Wert für Stützen'!"&amp;SUBSTITUTE(ADDRESS(MATCH($A13,'kc-Wert für Stützen'!$C:$C,0),MATCH(M$7,'kc-Wert für Stützen'!$A$8:$ES$8,0)+7,4),,))</f>
        <v>374.79709229431938</v>
      </c>
      <c r="N13" s="768">
        <f ca="1">INDIRECT("'kc-Wert für Stützen'!"&amp;SUBSTITUTE(ADDRESS(MATCH($A13,'kc-Wert für Stützen'!$C:$C,0),MATCH(N$7,'kc-Wert für Stützen'!$A$8:$ES$8,0)+7,4),,))</f>
        <v>356.575197016159</v>
      </c>
      <c r="O13" s="768">
        <f ca="1">INDIRECT("'kc-Wert für Stützen'!"&amp;SUBSTITUTE(ADDRESS(MATCH($A13,'kc-Wert für Stützen'!$C:$C,0),MATCH(O$7,'kc-Wert für Stützen'!$A$8:$ES$8,0)+7,4),,))</f>
        <v>339.64847248437093</v>
      </c>
      <c r="P13" s="768">
        <f ca="1">INDIRECT("'kc-Wert für Stützen'!"&amp;SUBSTITUTE(ADDRESS(MATCH($A13,'kc-Wert für Stützen'!$C:$C,0),MATCH(P$7,'kc-Wert für Stützen'!$A$8:$ES$8,0)+7,4),,))</f>
        <v>323.8972984691809</v>
      </c>
      <c r="S13" s="772">
        <f t="shared" ca="1" si="3"/>
        <v>626.99068479211769</v>
      </c>
      <c r="T13" s="772">
        <f t="shared" ca="1" si="1"/>
        <v>626.99068479211769</v>
      </c>
      <c r="U13" s="772">
        <f t="shared" ca="1" si="1"/>
        <v>626.99068479211769</v>
      </c>
      <c r="V13" s="772">
        <f t="shared" ca="1" si="1"/>
        <v>588.07734578122017</v>
      </c>
      <c r="W13" s="772">
        <f t="shared" ca="1" si="1"/>
        <v>552.66142170252772</v>
      </c>
      <c r="X13" s="772">
        <f t="shared" ca="1" si="1"/>
        <v>520.33868889932592</v>
      </c>
      <c r="Y13" s="772">
        <f t="shared" ca="1" si="1"/>
        <v>490.76116009143965</v>
      </c>
      <c r="Z13" s="772">
        <f t="shared" ca="1" si="1"/>
        <v>626.99068479211769</v>
      </c>
      <c r="AA13" s="772">
        <f t="shared" ca="1" si="1"/>
        <v>626.99068479211769</v>
      </c>
      <c r="AB13" s="772">
        <f t="shared" ca="1" si="1"/>
        <v>588.07734578122017</v>
      </c>
      <c r="AC13" s="772">
        <f t="shared" ca="1" si="1"/>
        <v>588.07734578122017</v>
      </c>
      <c r="AD13" s="772">
        <f t="shared" ca="1" si="1"/>
        <v>552.66142170252772</v>
      </c>
      <c r="AE13" s="772">
        <f t="shared" ca="1" si="1"/>
        <v>552.66142170252772</v>
      </c>
      <c r="AF13" s="772">
        <f t="shared" ca="1" si="1"/>
        <v>520.33868889932592</v>
      </c>
      <c r="AG13" s="772">
        <f t="shared" ca="1" si="1"/>
        <v>520.33868889932592</v>
      </c>
      <c r="AH13" s="772">
        <f t="shared" ca="1" si="1"/>
        <v>520.33868889932592</v>
      </c>
      <c r="AI13" s="772">
        <f t="shared" ca="1" si="1"/>
        <v>626.99068479211769</v>
      </c>
      <c r="AJ13" s="772">
        <f t="shared" ref="AJ13:AY33" ca="1" si="7">HLOOKUP(AJ$7,$A$7:$P$348,ROW()-6)</f>
        <v>626.99068479211769</v>
      </c>
      <c r="AK13" s="772">
        <f t="shared" ca="1" si="7"/>
        <v>588.07734578122017</v>
      </c>
      <c r="AL13" s="772">
        <f t="shared" ca="1" si="7"/>
        <v>588.07734578122017</v>
      </c>
      <c r="AM13" s="772">
        <f t="shared" ca="1" si="7"/>
        <v>552.66142170252772</v>
      </c>
      <c r="AN13" s="772">
        <f t="shared" ca="1" si="7"/>
        <v>552.66142170252772</v>
      </c>
      <c r="AO13" s="772">
        <f t="shared" ca="1" si="7"/>
        <v>520.33868889932592</v>
      </c>
      <c r="AP13" s="772">
        <f t="shared" ca="1" si="7"/>
        <v>520.33868889932592</v>
      </c>
      <c r="AQ13" s="772">
        <f t="shared" ca="1" si="7"/>
        <v>520.33868889932592</v>
      </c>
      <c r="AR13" s="772">
        <f t="shared" ca="1" si="7"/>
        <v>626.99068479211769</v>
      </c>
      <c r="AS13" s="772">
        <f t="shared" ca="1" si="7"/>
        <v>626.99068479211769</v>
      </c>
      <c r="AT13" s="772">
        <f t="shared" ca="1" si="7"/>
        <v>588.07734578122017</v>
      </c>
      <c r="AU13" s="772">
        <f t="shared" ca="1" si="7"/>
        <v>588.07734578122017</v>
      </c>
      <c r="AV13" s="772">
        <f t="shared" ca="1" si="7"/>
        <v>552.66142170252772</v>
      </c>
      <c r="AW13" s="772">
        <f t="shared" ca="1" si="7"/>
        <v>552.66142170252772</v>
      </c>
      <c r="AX13" s="772">
        <f t="shared" ca="1" si="7"/>
        <v>520.33868889932592</v>
      </c>
      <c r="AY13" s="772">
        <f t="shared" ca="1" si="7"/>
        <v>520.33868889932592</v>
      </c>
      <c r="AZ13" s="772">
        <f t="shared" ca="1" si="4"/>
        <v>520.33868889932592</v>
      </c>
      <c r="BA13" s="772">
        <f t="shared" ca="1" si="4"/>
        <v>626.99068479211769</v>
      </c>
      <c r="BB13" s="772">
        <f t="shared" ca="1" si="4"/>
        <v>626.99068479211769</v>
      </c>
      <c r="BC13" s="772">
        <f t="shared" ca="1" si="4"/>
        <v>588.07734578122017</v>
      </c>
      <c r="BD13" s="772">
        <f t="shared" ca="1" si="4"/>
        <v>552.66142170252772</v>
      </c>
      <c r="BE13" s="772">
        <f t="shared" ca="1" si="4"/>
        <v>552.66142170252772</v>
      </c>
      <c r="BF13" s="772">
        <f t="shared" ca="1" si="4"/>
        <v>520.33868889932592</v>
      </c>
      <c r="BG13" s="772">
        <f t="shared" ca="1" si="4"/>
        <v>520.33868889932592</v>
      </c>
      <c r="BH13" s="772">
        <f t="shared" ca="1" si="5"/>
        <v>490.76116009143965</v>
      </c>
      <c r="BI13" s="772">
        <f t="shared" ca="1" si="5"/>
        <v>490.76116009143965</v>
      </c>
      <c r="BJ13" s="772">
        <f t="shared" ca="1" si="5"/>
        <v>588.07734578122017</v>
      </c>
      <c r="BK13" s="772">
        <f t="shared" ca="1" si="5"/>
        <v>588.07734578122017</v>
      </c>
      <c r="BL13" s="772">
        <f t="shared" ca="1" si="5"/>
        <v>588.07734578122017</v>
      </c>
      <c r="BM13" s="772">
        <f t="shared" ca="1" si="5"/>
        <v>588.07734578122017</v>
      </c>
      <c r="BN13" s="772">
        <f t="shared" ca="1" si="5"/>
        <v>520.33868889932592</v>
      </c>
      <c r="BO13" s="772">
        <f t="shared" ca="1" si="5"/>
        <v>520.33868889932592</v>
      </c>
      <c r="BP13" s="772">
        <f t="shared" ca="1" si="5"/>
        <v>490.76116009143965</v>
      </c>
      <c r="BQ13" s="772">
        <f t="shared" ca="1" si="5"/>
        <v>490.76116009143965</v>
      </c>
      <c r="BR13" s="772">
        <f t="shared" ca="1" si="5"/>
        <v>463.6280654835731</v>
      </c>
      <c r="BS13" s="772">
        <f t="shared" ca="1" si="5"/>
        <v>588.07734578122017</v>
      </c>
      <c r="BT13" s="772">
        <f t="shared" ca="1" si="5"/>
        <v>588.07734578122017</v>
      </c>
      <c r="BU13" s="772">
        <f t="shared" ca="1" si="5"/>
        <v>588.07734578122017</v>
      </c>
      <c r="BV13" s="772">
        <f t="shared" ca="1" si="5"/>
        <v>552.66142170252772</v>
      </c>
      <c r="BW13" s="772">
        <f t="shared" ca="1" si="5"/>
        <v>552.66142170252772</v>
      </c>
      <c r="BX13" s="772">
        <f t="shared" ca="1" si="6"/>
        <v>490.76116009143965</v>
      </c>
      <c r="BY13" s="772">
        <f t="shared" ca="1" si="6"/>
        <v>490.76116009143965</v>
      </c>
      <c r="BZ13" s="772">
        <f t="shared" ca="1" si="6"/>
        <v>463.6280654835731</v>
      </c>
      <c r="CA13" s="772">
        <f t="shared" ca="1" si="6"/>
        <v>463.6280654835731</v>
      </c>
      <c r="CB13" s="772">
        <f t="shared" ca="1" si="6"/>
        <v>552.66142170252772</v>
      </c>
      <c r="CC13" s="772">
        <f t="shared" ca="1" si="6"/>
        <v>552.66142170252772</v>
      </c>
      <c r="CD13" s="772">
        <f t="shared" ca="1" si="6"/>
        <v>552.66142170252772</v>
      </c>
      <c r="CE13" s="772">
        <f t="shared" ca="1" si="6"/>
        <v>552.66142170252772</v>
      </c>
      <c r="CF13" s="772">
        <f t="shared" ca="1" si="6"/>
        <v>520.33868889932592</v>
      </c>
      <c r="CG13" s="772">
        <f t="shared" ca="1" si="6"/>
        <v>490.76116009143965</v>
      </c>
      <c r="CH13" s="772">
        <f t="shared" ca="1" si="6"/>
        <v>463.6280654835731</v>
      </c>
      <c r="CI13" s="772">
        <f t="shared" ca="1" si="6"/>
        <v>463.6280654835731</v>
      </c>
      <c r="CJ13" s="772">
        <f t="shared" ca="1" si="6"/>
        <v>438.67844877234353</v>
      </c>
    </row>
    <row r="14" spans="1:90" ht="15" customHeight="1">
      <c r="A14" s="770">
        <f>'kc-Wert für Stützen'!C14</f>
        <v>66</v>
      </c>
      <c r="B14" s="768">
        <f ca="1">INDIRECT("'kc-Wert für Stützen'!"&amp;SUBSTITUTE(ADDRESS(MATCH($A14,'kc-Wert für Stützen'!$C:$C,0),MATCH(B$7,'kc-Wert für Stützen'!$A$8:$ES$8,0)+7,4),,))</f>
        <v>761.8180776319831</v>
      </c>
      <c r="C14" s="768">
        <f ca="1">INDIRECT("'kc-Wert für Stützen'!"&amp;SUBSTITUTE(ADDRESS(MATCH($A14,'kc-Wert für Stützen'!$C:$C,0),MATCH(C$7,'kc-Wert für Stützen'!$A$8:$ES$8,0)+7,4),,))</f>
        <v>711.5063889718715</v>
      </c>
      <c r="D14" s="768">
        <f ca="1">INDIRECT("'kc-Wert für Stützen'!"&amp;SUBSTITUTE(ADDRESS(MATCH($A14,'kc-Wert für Stützen'!$C:$C,0),MATCH(D$7,'kc-Wert für Stützen'!$A$8:$ES$8,0)+7,4),,))</f>
        <v>665.98802008864357</v>
      </c>
      <c r="E14" s="768">
        <f ca="1">INDIRECT("'kc-Wert für Stützen'!"&amp;SUBSTITUTE(ADDRESS(MATCH($A14,'kc-Wert für Stützen'!$C:$C,0),MATCH(E$7,'kc-Wert für Stützen'!$A$8:$ES$8,0)+7,4),,))</f>
        <v>624.67844133204903</v>
      </c>
      <c r="F14" s="768">
        <f ca="1">INDIRECT("'kc-Wert für Stützen'!"&amp;SUBSTITUTE(ADDRESS(MATCH($A14,'kc-Wert für Stützen'!$C:$C,0),MATCH(F$7,'kc-Wert für Stützen'!$A$8:$ES$8,0)+7,4),,))</f>
        <v>587.07841358756536</v>
      </c>
      <c r="G14" s="768">
        <f ca="1">INDIRECT("'kc-Wert für Stützen'!"&amp;SUBSTITUTE(ADDRESS(MATCH($A14,'kc-Wert für Stützen'!$C:$C,0),MATCH(G$7,'kc-Wert für Stützen'!$A$8:$ES$8,0)+7,4),,))</f>
        <v>552.75975873101538</v>
      </c>
      <c r="H14" s="768">
        <f ca="1">INDIRECT("'kc-Wert für Stützen'!"&amp;SUBSTITUTE(ADDRESS(MATCH($A14,'kc-Wert für Stützen'!$C:$C,0),MATCH(H$7,'kc-Wert für Stützen'!$A$8:$ES$8,0)+7,4),,))</f>
        <v>521.35374907028836</v>
      </c>
      <c r="I14" s="768">
        <f ca="1">INDIRECT("'kc-Wert für Stützen'!"&amp;SUBSTITUTE(ADDRESS(MATCH($A14,'kc-Wert für Stützen'!$C:$C,0),MATCH(I$7,'kc-Wert für Stützen'!$A$8:$ES$8,0)+7,4),,))</f>
        <v>492.54160179488355</v>
      </c>
      <c r="J14" s="768">
        <f ca="1">INDIRECT("'kc-Wert für Stützen'!"&amp;SUBSTITUTE(ADDRESS(MATCH($A14,'kc-Wert für Stützen'!$C:$C,0),MATCH(J$7,'kc-Wert für Stützen'!$A$8:$ES$8,0)+7,4),,))</f>
        <v>466.04666758170447</v>
      </c>
      <c r="K14" s="768">
        <f ca="1">INDIRECT("'kc-Wert für Stützen'!"&amp;SUBSTITUTE(ADDRESS(MATCH($A14,'kc-Wert für Stützen'!$C:$C,0),MATCH(K$7,'kc-Wert für Stützen'!$A$8:$ES$8,0)+7,4),,))</f>
        <v>441.62798599783844</v>
      </c>
      <c r="L14" s="768">
        <f ca="1">INDIRECT("'kc-Wert für Stützen'!"&amp;SUBSTITUTE(ADDRESS(MATCH($A14,'kc-Wert für Stützen'!$C:$C,0),MATCH(L$7,'kc-Wert für Stützen'!$A$8:$ES$8,0)+7,4),,))</f>
        <v>419.07494701765637</v>
      </c>
      <c r="M14" s="768">
        <f ca="1">INDIRECT("'kc-Wert für Stützen'!"&amp;SUBSTITUTE(ADDRESS(MATCH($A14,'kc-Wert für Stützen'!$C:$C,0),MATCH(M$7,'kc-Wert für Stützen'!$A$8:$ES$8,0)+7,4),,))</f>
        <v>398.20285084123958</v>
      </c>
      <c r="N14" s="768">
        <f ca="1">INDIRECT("'kc-Wert für Stützen'!"&amp;SUBSTITUTE(ADDRESS(MATCH($A14,'kc-Wert für Stützen'!$C:$C,0),MATCH(N$7,'kc-Wert für Stützen'!$A$8:$ES$8,0)+7,4),,))</f>
        <v>378.84919998980388</v>
      </c>
      <c r="O14" s="768">
        <f ca="1">INDIRECT("'kc-Wert für Stützen'!"&amp;SUBSTITUTE(ADDRESS(MATCH($A14,'kc-Wert für Stützen'!$C:$C,0),MATCH(O$7,'kc-Wert für Stützen'!$A$8:$ES$8,0)+7,4),,))</f>
        <v>360.87059066058862</v>
      </c>
      <c r="P14" s="768">
        <f ca="1">INDIRECT("'kc-Wert für Stützen'!"&amp;SUBSTITUTE(ADDRESS(MATCH($A14,'kc-Wert für Stützen'!$C:$C,0),MATCH(P$7,'kc-Wert für Stützen'!$A$8:$ES$8,0)+7,4),,))</f>
        <v>344.14009641734719</v>
      </c>
      <c r="S14" s="772">
        <f t="shared" ca="1" si="3"/>
        <v>665.98802008864357</v>
      </c>
      <c r="T14" s="772">
        <f t="shared" ca="1" si="1"/>
        <v>665.98802008864357</v>
      </c>
      <c r="U14" s="772">
        <f t="shared" ca="1" si="1"/>
        <v>665.98802008864357</v>
      </c>
      <c r="V14" s="772">
        <f t="shared" ca="1" si="1"/>
        <v>624.67844133204903</v>
      </c>
      <c r="W14" s="772">
        <f t="shared" ca="1" si="1"/>
        <v>587.07841358756536</v>
      </c>
      <c r="X14" s="772">
        <f t="shared" ca="1" si="1"/>
        <v>552.75975873101538</v>
      </c>
      <c r="Y14" s="772">
        <f t="shared" ca="1" si="1"/>
        <v>521.35374907028836</v>
      </c>
      <c r="Z14" s="772">
        <f t="shared" ca="1" si="1"/>
        <v>665.98802008864357</v>
      </c>
      <c r="AA14" s="772">
        <f t="shared" ca="1" si="1"/>
        <v>665.98802008864357</v>
      </c>
      <c r="AB14" s="772">
        <f t="shared" ca="1" si="1"/>
        <v>624.67844133204903</v>
      </c>
      <c r="AC14" s="772">
        <f t="shared" ca="1" si="1"/>
        <v>624.67844133204903</v>
      </c>
      <c r="AD14" s="772">
        <f t="shared" ca="1" si="1"/>
        <v>587.07841358756536</v>
      </c>
      <c r="AE14" s="772">
        <f t="shared" ca="1" si="1"/>
        <v>587.07841358756536</v>
      </c>
      <c r="AF14" s="772">
        <f t="shared" ca="1" si="1"/>
        <v>552.75975873101538</v>
      </c>
      <c r="AG14" s="772">
        <f t="shared" ca="1" si="1"/>
        <v>552.75975873101538</v>
      </c>
      <c r="AH14" s="772">
        <f t="shared" ca="1" si="1"/>
        <v>552.75975873101538</v>
      </c>
      <c r="AI14" s="772">
        <f t="shared" ca="1" si="1"/>
        <v>665.98802008864357</v>
      </c>
      <c r="AJ14" s="772">
        <f t="shared" ca="1" si="7"/>
        <v>665.98802008864357</v>
      </c>
      <c r="AK14" s="772">
        <f t="shared" ca="1" si="7"/>
        <v>624.67844133204903</v>
      </c>
      <c r="AL14" s="772">
        <f t="shared" ca="1" si="7"/>
        <v>624.67844133204903</v>
      </c>
      <c r="AM14" s="772">
        <f t="shared" ca="1" si="7"/>
        <v>587.07841358756536</v>
      </c>
      <c r="AN14" s="772">
        <f t="shared" ca="1" si="7"/>
        <v>587.07841358756536</v>
      </c>
      <c r="AO14" s="772">
        <f t="shared" ca="1" si="7"/>
        <v>552.75975873101538</v>
      </c>
      <c r="AP14" s="772">
        <f t="shared" ca="1" si="7"/>
        <v>552.75975873101538</v>
      </c>
      <c r="AQ14" s="772">
        <f t="shared" ca="1" si="7"/>
        <v>552.75975873101538</v>
      </c>
      <c r="AR14" s="772">
        <f t="shared" ca="1" si="7"/>
        <v>665.98802008864357</v>
      </c>
      <c r="AS14" s="772">
        <f t="shared" ca="1" si="7"/>
        <v>665.98802008864357</v>
      </c>
      <c r="AT14" s="772">
        <f t="shared" ca="1" si="7"/>
        <v>624.67844133204903</v>
      </c>
      <c r="AU14" s="772">
        <f t="shared" ca="1" si="7"/>
        <v>624.67844133204903</v>
      </c>
      <c r="AV14" s="772">
        <f t="shared" ca="1" si="7"/>
        <v>587.07841358756536</v>
      </c>
      <c r="AW14" s="772">
        <f t="shared" ca="1" si="7"/>
        <v>587.07841358756536</v>
      </c>
      <c r="AX14" s="772">
        <f t="shared" ca="1" si="7"/>
        <v>552.75975873101538</v>
      </c>
      <c r="AY14" s="772">
        <f t="shared" ca="1" si="7"/>
        <v>552.75975873101538</v>
      </c>
      <c r="AZ14" s="772">
        <f t="shared" ca="1" si="4"/>
        <v>552.75975873101538</v>
      </c>
      <c r="BA14" s="772">
        <f t="shared" ca="1" si="4"/>
        <v>665.98802008864357</v>
      </c>
      <c r="BB14" s="772">
        <f t="shared" ca="1" si="4"/>
        <v>665.98802008864357</v>
      </c>
      <c r="BC14" s="772">
        <f t="shared" ca="1" si="4"/>
        <v>624.67844133204903</v>
      </c>
      <c r="BD14" s="772">
        <f t="shared" ca="1" si="4"/>
        <v>587.07841358756536</v>
      </c>
      <c r="BE14" s="772">
        <f t="shared" ca="1" si="4"/>
        <v>587.07841358756536</v>
      </c>
      <c r="BF14" s="772">
        <f t="shared" ca="1" si="4"/>
        <v>552.75975873101538</v>
      </c>
      <c r="BG14" s="772">
        <f t="shared" ca="1" si="4"/>
        <v>552.75975873101538</v>
      </c>
      <c r="BH14" s="772">
        <f t="shared" ca="1" si="5"/>
        <v>521.35374907028836</v>
      </c>
      <c r="BI14" s="772">
        <f t="shared" ca="1" si="5"/>
        <v>521.35374907028836</v>
      </c>
      <c r="BJ14" s="772">
        <f t="shared" ca="1" si="5"/>
        <v>624.67844133204903</v>
      </c>
      <c r="BK14" s="772">
        <f t="shared" ca="1" si="5"/>
        <v>624.67844133204903</v>
      </c>
      <c r="BL14" s="772">
        <f t="shared" ca="1" si="5"/>
        <v>624.67844133204903</v>
      </c>
      <c r="BM14" s="772">
        <f t="shared" ca="1" si="5"/>
        <v>624.67844133204903</v>
      </c>
      <c r="BN14" s="772">
        <f t="shared" ca="1" si="5"/>
        <v>552.75975873101538</v>
      </c>
      <c r="BO14" s="772">
        <f t="shared" ca="1" si="5"/>
        <v>552.75975873101538</v>
      </c>
      <c r="BP14" s="772">
        <f t="shared" ca="1" si="5"/>
        <v>521.35374907028836</v>
      </c>
      <c r="BQ14" s="772">
        <f t="shared" ca="1" si="5"/>
        <v>521.35374907028836</v>
      </c>
      <c r="BR14" s="772">
        <f t="shared" ca="1" si="5"/>
        <v>492.54160179488355</v>
      </c>
      <c r="BS14" s="772">
        <f t="shared" ca="1" si="5"/>
        <v>624.67844133204903</v>
      </c>
      <c r="BT14" s="772">
        <f t="shared" ca="1" si="5"/>
        <v>624.67844133204903</v>
      </c>
      <c r="BU14" s="772">
        <f t="shared" ca="1" si="5"/>
        <v>624.67844133204903</v>
      </c>
      <c r="BV14" s="772">
        <f t="shared" ca="1" si="5"/>
        <v>587.07841358756536</v>
      </c>
      <c r="BW14" s="772">
        <f t="shared" ca="1" si="5"/>
        <v>587.07841358756536</v>
      </c>
      <c r="BX14" s="772">
        <f t="shared" ca="1" si="6"/>
        <v>521.35374907028836</v>
      </c>
      <c r="BY14" s="772">
        <f t="shared" ca="1" si="6"/>
        <v>521.35374907028836</v>
      </c>
      <c r="BZ14" s="772">
        <f t="shared" ca="1" si="6"/>
        <v>492.54160179488355</v>
      </c>
      <c r="CA14" s="772">
        <f t="shared" ca="1" si="6"/>
        <v>492.54160179488355</v>
      </c>
      <c r="CB14" s="772">
        <f t="shared" ca="1" si="6"/>
        <v>587.07841358756536</v>
      </c>
      <c r="CC14" s="772">
        <f t="shared" ca="1" si="6"/>
        <v>587.07841358756536</v>
      </c>
      <c r="CD14" s="772">
        <f t="shared" ca="1" si="6"/>
        <v>587.07841358756536</v>
      </c>
      <c r="CE14" s="772">
        <f t="shared" ca="1" si="6"/>
        <v>587.07841358756536</v>
      </c>
      <c r="CF14" s="772">
        <f t="shared" ca="1" si="6"/>
        <v>552.75975873101538</v>
      </c>
      <c r="CG14" s="772">
        <f t="shared" ca="1" si="6"/>
        <v>521.35374907028836</v>
      </c>
      <c r="CH14" s="772">
        <f t="shared" ca="1" si="6"/>
        <v>492.54160179488355</v>
      </c>
      <c r="CI14" s="772">
        <f t="shared" ca="1" si="6"/>
        <v>492.54160179488355</v>
      </c>
      <c r="CJ14" s="772">
        <f t="shared" ca="1" si="6"/>
        <v>466.04666758170447</v>
      </c>
    </row>
    <row r="15" spans="1:90" ht="15" customHeight="1">
      <c r="A15" s="770">
        <f>'kc-Wert für Stützen'!C15</f>
        <v>67</v>
      </c>
      <c r="B15" s="768">
        <f ca="1">INDIRECT("'kc-Wert für Stützen'!"&amp;SUBSTITUTE(ADDRESS(MATCH($A15,'kc-Wert für Stützen'!$C:$C,0),MATCH(B$7,'kc-Wert für Stützen'!$A$8:$ES$8,0)+7,4),,))</f>
        <v>808.3745976334244</v>
      </c>
      <c r="C15" s="768">
        <f ca="1">INDIRECT("'kc-Wert für Stützen'!"&amp;SUBSTITUTE(ADDRESS(MATCH($A15,'kc-Wert für Stützen'!$C:$C,0),MATCH(C$7,'kc-Wert für Stützen'!$A$8:$ES$8,0)+7,4),,))</f>
        <v>755.02694636486285</v>
      </c>
      <c r="D15" s="768">
        <f ca="1">INDIRECT("'kc-Wert für Stützen'!"&amp;SUBSTITUTE(ADDRESS(MATCH($A15,'kc-Wert für Stützen'!$C:$C,0),MATCH(D$7,'kc-Wert für Stützen'!$A$8:$ES$8,0)+7,4),,))</f>
        <v>706.75605683362949</v>
      </c>
      <c r="E15" s="768">
        <f ca="1">INDIRECT("'kc-Wert für Stützen'!"&amp;SUBSTITUTE(ADDRESS(MATCH($A15,'kc-Wert für Stützen'!$C:$C,0),MATCH(E$7,'kc-Wert für Stützen'!$A$8:$ES$8,0)+7,4),,))</f>
        <v>662.94395445611258</v>
      </c>
      <c r="F15" s="768">
        <f ca="1">INDIRECT("'kc-Wert für Stützen'!"&amp;SUBSTITUTE(ADDRESS(MATCH($A15,'kc-Wert für Stützen'!$C:$C,0),MATCH(F$7,'kc-Wert für Stützen'!$A$8:$ES$8,0)+7,4),,))</f>
        <v>623.06257634981137</v>
      </c>
      <c r="G15" s="768">
        <f ca="1">INDIRECT("'kc-Wert für Stützen'!"&amp;SUBSTITUTE(ADDRESS(MATCH($A15,'kc-Wert für Stützen'!$C:$C,0),MATCH(G$7,'kc-Wert für Stützen'!$A$8:$ES$8,0)+7,4),,))</f>
        <v>586.65883976804719</v>
      </c>
      <c r="H15" s="768">
        <f ca="1">INDIRECT("'kc-Wert für Stützen'!"&amp;SUBSTITUTE(ADDRESS(MATCH($A15,'kc-Wert für Stützen'!$C:$C,0),MATCH(H$7,'kc-Wert für Stützen'!$A$8:$ES$8,0)+7,4),,))</f>
        <v>553.34243801721107</v>
      </c>
      <c r="I15" s="768">
        <f ca="1">INDIRECT("'kc-Wert für Stützen'!"&amp;SUBSTITUTE(ADDRESS(MATCH($A15,'kc-Wert für Stützen'!$C:$C,0),MATCH(I$7,'kc-Wert für Stützen'!$A$8:$ES$8,0)+7,4),,))</f>
        <v>522.77583552930969</v>
      </c>
      <c r="J15" s="768">
        <f ca="1">INDIRECT("'kc-Wert für Stützen'!"&amp;SUBSTITUTE(ADDRESS(MATCH($A15,'kc-Wert für Stützen'!$C:$C,0),MATCH(J$7,'kc-Wert für Stützen'!$A$8:$ES$8,0)+7,4),,))</f>
        <v>494.66603716988874</v>
      </c>
      <c r="K15" s="768">
        <f ca="1">INDIRECT("'kc-Wert für Stützen'!"&amp;SUBSTITUTE(ADDRESS(MATCH($A15,'kc-Wert für Stützen'!$C:$C,0),MATCH(K$7,'kc-Wert für Stützen'!$A$8:$ES$8,0)+7,4),,))</f>
        <v>468.75779168388414</v>
      </c>
      <c r="L15" s="768">
        <f ca="1">INDIRECT("'kc-Wert für Stützen'!"&amp;SUBSTITUTE(ADDRESS(MATCH($A15,'kc-Wert für Stützen'!$C:$C,0),MATCH(L$7,'kc-Wert für Stützen'!$A$8:$ES$8,0)+7,4),,))</f>
        <v>444.82795752708819</v>
      </c>
      <c r="M15" s="768">
        <f ca="1">INDIRECT("'kc-Wert für Stützen'!"&amp;SUBSTITUTE(ADDRESS(MATCH($A15,'kc-Wert für Stützen'!$C:$C,0),MATCH(M$7,'kc-Wert für Stützen'!$A$8:$ES$8,0)+7,4),,))</f>
        <v>422.68081387050637</v>
      </c>
      <c r="N15" s="768">
        <f ca="1">INDIRECT("'kc-Wert für Stützen'!"&amp;SUBSTITUTE(ADDRESS(MATCH($A15,'kc-Wert für Stützen'!$C:$C,0),MATCH(N$7,'kc-Wert für Stützen'!$A$8:$ES$8,0)+7,4),,))</f>
        <v>402.1441428784949</v>
      </c>
      <c r="O15" s="768">
        <f ca="1">INDIRECT("'kc-Wert für Stützen'!"&amp;SUBSTITUTE(ADDRESS(MATCH($A15,'kc-Wert für Stützen'!$C:$C,0),MATCH(O$7,'kc-Wert für Stützen'!$A$8:$ES$8,0)+7,4),,))</f>
        <v>383.06594369745443</v>
      </c>
      <c r="P15" s="768">
        <f ca="1">INDIRECT("'kc-Wert für Stützen'!"&amp;SUBSTITUTE(ADDRESS(MATCH($A15,'kc-Wert für Stützen'!$C:$C,0),MATCH(P$7,'kc-Wert für Stützen'!$A$8:$ES$8,0)+7,4),,))</f>
        <v>365.31166581369337</v>
      </c>
      <c r="S15" s="772">
        <f t="shared" ca="1" si="3"/>
        <v>706.75605683362949</v>
      </c>
      <c r="T15" s="772">
        <f t="shared" ca="1" si="1"/>
        <v>706.75605683362949</v>
      </c>
      <c r="U15" s="772">
        <f t="shared" ca="1" si="1"/>
        <v>706.75605683362949</v>
      </c>
      <c r="V15" s="772">
        <f t="shared" ca="1" si="1"/>
        <v>662.94395445611258</v>
      </c>
      <c r="W15" s="772">
        <f t="shared" ca="1" si="1"/>
        <v>623.06257634981137</v>
      </c>
      <c r="X15" s="772">
        <f t="shared" ca="1" si="1"/>
        <v>586.65883976804719</v>
      </c>
      <c r="Y15" s="772">
        <f t="shared" ca="1" si="1"/>
        <v>553.34243801721107</v>
      </c>
      <c r="Z15" s="772">
        <f t="shared" ca="1" si="1"/>
        <v>706.75605683362949</v>
      </c>
      <c r="AA15" s="772">
        <f t="shared" ca="1" si="1"/>
        <v>706.75605683362949</v>
      </c>
      <c r="AB15" s="772">
        <f t="shared" ca="1" si="1"/>
        <v>662.94395445611258</v>
      </c>
      <c r="AC15" s="772">
        <f t="shared" ca="1" si="1"/>
        <v>662.94395445611258</v>
      </c>
      <c r="AD15" s="772">
        <f t="shared" ca="1" si="1"/>
        <v>623.06257634981137</v>
      </c>
      <c r="AE15" s="772">
        <f t="shared" ca="1" si="1"/>
        <v>623.06257634981137</v>
      </c>
      <c r="AF15" s="772">
        <f t="shared" ca="1" si="1"/>
        <v>586.65883976804719</v>
      </c>
      <c r="AG15" s="772">
        <f t="shared" ca="1" si="1"/>
        <v>586.65883976804719</v>
      </c>
      <c r="AH15" s="772">
        <f t="shared" ca="1" si="1"/>
        <v>586.65883976804719</v>
      </c>
      <c r="AI15" s="772">
        <f t="shared" ca="1" si="1"/>
        <v>706.75605683362949</v>
      </c>
      <c r="AJ15" s="772">
        <f t="shared" ca="1" si="7"/>
        <v>706.75605683362949</v>
      </c>
      <c r="AK15" s="772">
        <f t="shared" ca="1" si="7"/>
        <v>662.94395445611258</v>
      </c>
      <c r="AL15" s="772">
        <f t="shared" ca="1" si="7"/>
        <v>662.94395445611258</v>
      </c>
      <c r="AM15" s="772">
        <f t="shared" ca="1" si="7"/>
        <v>623.06257634981137</v>
      </c>
      <c r="AN15" s="772">
        <f t="shared" ca="1" si="7"/>
        <v>623.06257634981137</v>
      </c>
      <c r="AO15" s="772">
        <f t="shared" ca="1" si="7"/>
        <v>586.65883976804719</v>
      </c>
      <c r="AP15" s="772">
        <f t="shared" ca="1" si="7"/>
        <v>586.65883976804719</v>
      </c>
      <c r="AQ15" s="772">
        <f t="shared" ca="1" si="7"/>
        <v>586.65883976804719</v>
      </c>
      <c r="AR15" s="772">
        <f t="shared" ca="1" si="7"/>
        <v>706.75605683362949</v>
      </c>
      <c r="AS15" s="772">
        <f t="shared" ca="1" si="7"/>
        <v>706.75605683362949</v>
      </c>
      <c r="AT15" s="772">
        <f t="shared" ca="1" si="7"/>
        <v>662.94395445611258</v>
      </c>
      <c r="AU15" s="772">
        <f t="shared" ca="1" si="7"/>
        <v>662.94395445611258</v>
      </c>
      <c r="AV15" s="772">
        <f t="shared" ca="1" si="7"/>
        <v>623.06257634981137</v>
      </c>
      <c r="AW15" s="772">
        <f t="shared" ca="1" si="7"/>
        <v>623.06257634981137</v>
      </c>
      <c r="AX15" s="772">
        <f t="shared" ca="1" si="7"/>
        <v>586.65883976804719</v>
      </c>
      <c r="AY15" s="772">
        <f t="shared" ca="1" si="7"/>
        <v>586.65883976804719</v>
      </c>
      <c r="AZ15" s="772">
        <f t="shared" ca="1" si="4"/>
        <v>586.65883976804719</v>
      </c>
      <c r="BA15" s="772">
        <f t="shared" ca="1" si="4"/>
        <v>706.75605683362949</v>
      </c>
      <c r="BB15" s="772">
        <f t="shared" ca="1" si="4"/>
        <v>706.75605683362949</v>
      </c>
      <c r="BC15" s="772">
        <f t="shared" ca="1" si="4"/>
        <v>662.94395445611258</v>
      </c>
      <c r="BD15" s="772">
        <f t="shared" ca="1" si="4"/>
        <v>623.06257634981137</v>
      </c>
      <c r="BE15" s="772">
        <f t="shared" ca="1" si="4"/>
        <v>623.06257634981137</v>
      </c>
      <c r="BF15" s="772">
        <f t="shared" ca="1" si="4"/>
        <v>586.65883976804719</v>
      </c>
      <c r="BG15" s="772">
        <f t="shared" ca="1" si="4"/>
        <v>586.65883976804719</v>
      </c>
      <c r="BH15" s="772">
        <f t="shared" ca="1" si="5"/>
        <v>553.34243801721107</v>
      </c>
      <c r="BI15" s="772">
        <f t="shared" ca="1" si="5"/>
        <v>553.34243801721107</v>
      </c>
      <c r="BJ15" s="772">
        <f t="shared" ca="1" si="5"/>
        <v>662.94395445611258</v>
      </c>
      <c r="BK15" s="772">
        <f t="shared" ca="1" si="5"/>
        <v>662.94395445611258</v>
      </c>
      <c r="BL15" s="772">
        <f t="shared" ca="1" si="5"/>
        <v>662.94395445611258</v>
      </c>
      <c r="BM15" s="772">
        <f t="shared" ca="1" si="5"/>
        <v>662.94395445611258</v>
      </c>
      <c r="BN15" s="772">
        <f t="shared" ca="1" si="5"/>
        <v>586.65883976804719</v>
      </c>
      <c r="BO15" s="772">
        <f t="shared" ca="1" si="5"/>
        <v>586.65883976804719</v>
      </c>
      <c r="BP15" s="772">
        <f t="shared" ca="1" si="5"/>
        <v>553.34243801721107</v>
      </c>
      <c r="BQ15" s="772">
        <f t="shared" ca="1" si="5"/>
        <v>553.34243801721107</v>
      </c>
      <c r="BR15" s="772">
        <f t="shared" ca="1" si="5"/>
        <v>522.77583552930969</v>
      </c>
      <c r="BS15" s="772">
        <f t="shared" ca="1" si="5"/>
        <v>662.94395445611258</v>
      </c>
      <c r="BT15" s="772">
        <f t="shared" ca="1" si="5"/>
        <v>662.94395445611258</v>
      </c>
      <c r="BU15" s="772">
        <f t="shared" ca="1" si="5"/>
        <v>662.94395445611258</v>
      </c>
      <c r="BV15" s="772">
        <f t="shared" ca="1" si="5"/>
        <v>623.06257634981137</v>
      </c>
      <c r="BW15" s="772">
        <f t="shared" ca="1" si="5"/>
        <v>623.06257634981137</v>
      </c>
      <c r="BX15" s="772">
        <f t="shared" ca="1" si="6"/>
        <v>553.34243801721107</v>
      </c>
      <c r="BY15" s="772">
        <f t="shared" ca="1" si="6"/>
        <v>553.34243801721107</v>
      </c>
      <c r="BZ15" s="772">
        <f t="shared" ca="1" si="6"/>
        <v>522.77583552930969</v>
      </c>
      <c r="CA15" s="772">
        <f t="shared" ca="1" si="6"/>
        <v>522.77583552930969</v>
      </c>
      <c r="CB15" s="772">
        <f t="shared" ca="1" si="6"/>
        <v>623.06257634981137</v>
      </c>
      <c r="CC15" s="772">
        <f t="shared" ca="1" si="6"/>
        <v>623.06257634981137</v>
      </c>
      <c r="CD15" s="772">
        <f t="shared" ca="1" si="6"/>
        <v>623.06257634981137</v>
      </c>
      <c r="CE15" s="772">
        <f t="shared" ca="1" si="6"/>
        <v>623.06257634981137</v>
      </c>
      <c r="CF15" s="772">
        <f t="shared" ca="1" si="6"/>
        <v>586.65883976804719</v>
      </c>
      <c r="CG15" s="772">
        <f t="shared" ca="1" si="6"/>
        <v>553.34243801721107</v>
      </c>
      <c r="CH15" s="772">
        <f t="shared" ca="1" si="6"/>
        <v>522.77583552930969</v>
      </c>
      <c r="CI15" s="772">
        <f t="shared" ca="1" si="6"/>
        <v>522.77583552930969</v>
      </c>
      <c r="CJ15" s="772">
        <f t="shared" ca="1" si="6"/>
        <v>494.66603716988874</v>
      </c>
    </row>
    <row r="16" spans="1:90" ht="15" customHeight="1">
      <c r="A16" s="770">
        <f>'kc-Wert für Stützen'!C16</f>
        <v>68</v>
      </c>
      <c r="B16" s="768">
        <f ca="1">INDIRECT("'kc-Wert für Stützen'!"&amp;SUBSTITUTE(ADDRESS(MATCH($A16,'kc-Wert für Stützen'!$C:$C,0),MATCH(B$7,'kc-Wert für Stützen'!$A$8:$ES$8,0)+7,4),,))</f>
        <v>857.002978751554</v>
      </c>
      <c r="C16" s="768">
        <f ca="1">INDIRECT("'kc-Wert für Stützen'!"&amp;SUBSTITUTE(ADDRESS(MATCH($A16,'kc-Wert für Stützen'!$C:$C,0),MATCH(C$7,'kc-Wert für Stützen'!$A$8:$ES$8,0)+7,4),,))</f>
        <v>800.48841453794887</v>
      </c>
      <c r="D16" s="768">
        <f ca="1">INDIRECT("'kc-Wert für Stützen'!"&amp;SUBSTITUTE(ADDRESS(MATCH($A16,'kc-Wert für Stützen'!$C:$C,0),MATCH(D$7,'kc-Wert für Stützen'!$A$8:$ES$8,0)+7,4),,))</f>
        <v>749.3455919532347</v>
      </c>
      <c r="E16" s="768">
        <f ca="1">INDIRECT("'kc-Wert für Stützen'!"&amp;SUBSTITUTE(ADDRESS(MATCH($A16,'kc-Wert für Stützen'!$C:$C,0),MATCH(E$7,'kc-Wert für Stützen'!$A$8:$ES$8,0)+7,4),,))</f>
        <v>702.92187447508149</v>
      </c>
      <c r="F16" s="768">
        <f ca="1">INDIRECT("'kc-Wert für Stützen'!"&amp;SUBSTITUTE(ADDRESS(MATCH($A16,'kc-Wert für Stützen'!$C:$C,0),MATCH(F$7,'kc-Wert für Stützen'!$A$8:$ES$8,0)+7,4),,))</f>
        <v>660.65929036995374</v>
      </c>
      <c r="G16" s="768">
        <f ca="1">INDIRECT("'kc-Wert für Stützen'!"&amp;SUBSTITUTE(ADDRESS(MATCH($A16,'kc-Wert für Stützen'!$C:$C,0),MATCH(G$7,'kc-Wert für Stützen'!$A$8:$ES$8,0)+7,4),,))</f>
        <v>622.07888965186555</v>
      </c>
      <c r="H16" s="768">
        <f ca="1">INDIRECT("'kc-Wert für Stützen'!"&amp;SUBSTITUTE(ADDRESS(MATCH($A16,'kc-Wert für Stützen'!$C:$C,0),MATCH(H$7,'kc-Wert für Stützen'!$A$8:$ES$8,0)+7,4),,))</f>
        <v>586.76793488802002</v>
      </c>
      <c r="I16" s="768">
        <f ca="1">INDIRECT("'kc-Wert für Stützen'!"&amp;SUBSTITUTE(ADDRESS(MATCH($A16,'kc-Wert für Stützen'!$C:$C,0),MATCH(I$7,'kc-Wert für Stützen'!$A$8:$ES$8,0)+7,4),,))</f>
        <v>554.36938492074148</v>
      </c>
      <c r="J16" s="768">
        <f ca="1">INDIRECT("'kc-Wert für Stützen'!"&amp;SUBSTITUTE(ADDRESS(MATCH($A16,'kc-Wert für Stützen'!$C:$C,0),MATCH(J$7,'kc-Wert für Stützen'!$A$8:$ES$8,0)+7,4),,))</f>
        <v>524.57323340691028</v>
      </c>
      <c r="K16" s="768">
        <f ca="1">INDIRECT("'kc-Wert für Stützen'!"&amp;SUBSTITUTE(ADDRESS(MATCH($A16,'kc-Wert für Stützen'!$C:$C,0),MATCH(K$7,'kc-Wert für Stützen'!$A$8:$ES$8,0)+7,4),,))</f>
        <v>497.10934975368394</v>
      </c>
      <c r="L16" s="768">
        <f ca="1">INDIRECT("'kc-Wert für Stützen'!"&amp;SUBSTITUTE(ADDRESS(MATCH($A16,'kc-Wert für Stützen'!$C:$C,0),MATCH(L$7,'kc-Wert für Stützen'!$A$8:$ES$8,0)+7,4),,))</f>
        <v>471.74153978201844</v>
      </c>
      <c r="M16" s="768">
        <f ca="1">INDIRECT("'kc-Wert für Stützen'!"&amp;SUBSTITUTE(ADDRESS(MATCH($A16,'kc-Wert für Stützen'!$C:$C,0),MATCH(M$7,'kc-Wert für Stützen'!$A$8:$ES$8,0)+7,4),,))</f>
        <v>448.26259951922236</v>
      </c>
      <c r="N16" s="768">
        <f ca="1">INDIRECT("'kc-Wert für Stützen'!"&amp;SUBSTITUTE(ADDRESS(MATCH($A16,'kc-Wert für Stützen'!$C:$C,0),MATCH(N$7,'kc-Wert für Stützen'!$A$8:$ES$8,0)+7,4),,))</f>
        <v>426.49018028929703</v>
      </c>
      <c r="O16" s="768">
        <f ca="1">INDIRECT("'kc-Wert für Stützen'!"&amp;SUBSTITUTE(ADDRESS(MATCH($A16,'kc-Wert für Stützen'!$C:$C,0),MATCH(O$7,'kc-Wert für Stützen'!$A$8:$ES$8,0)+7,4),,))</f>
        <v>406.26331890230881</v>
      </c>
      <c r="P16" s="768">
        <f ca="1">INDIRECT("'kc-Wert für Stützen'!"&amp;SUBSTITUTE(ADDRESS(MATCH($A16,'kc-Wert für Stützen'!$C:$C,0),MATCH(P$7,'kc-Wert für Stützen'!$A$8:$ES$8,0)+7,4),,))</f>
        <v>387.4395150830793</v>
      </c>
      <c r="S16" s="772">
        <f t="shared" ca="1" si="3"/>
        <v>749.3455919532347</v>
      </c>
      <c r="T16" s="772">
        <f t="shared" ca="1" si="1"/>
        <v>749.3455919532347</v>
      </c>
      <c r="U16" s="772">
        <f t="shared" ca="1" si="1"/>
        <v>749.3455919532347</v>
      </c>
      <c r="V16" s="772">
        <f t="shared" ca="1" si="1"/>
        <v>702.92187447508149</v>
      </c>
      <c r="W16" s="772">
        <f t="shared" ca="1" si="1"/>
        <v>660.65929036995374</v>
      </c>
      <c r="X16" s="772">
        <f t="shared" ca="1" si="1"/>
        <v>622.07888965186555</v>
      </c>
      <c r="Y16" s="772">
        <f t="shared" ca="1" si="1"/>
        <v>586.76793488802002</v>
      </c>
      <c r="Z16" s="772">
        <f t="shared" ca="1" si="1"/>
        <v>749.3455919532347</v>
      </c>
      <c r="AA16" s="772">
        <f t="shared" ca="1" si="1"/>
        <v>749.3455919532347</v>
      </c>
      <c r="AB16" s="772">
        <f t="shared" ca="1" si="1"/>
        <v>702.92187447508149</v>
      </c>
      <c r="AC16" s="772">
        <f t="shared" ca="1" si="1"/>
        <v>702.92187447508149</v>
      </c>
      <c r="AD16" s="772">
        <f t="shared" ca="1" si="1"/>
        <v>660.65929036995374</v>
      </c>
      <c r="AE16" s="772">
        <f t="shared" ca="1" si="1"/>
        <v>660.65929036995374</v>
      </c>
      <c r="AF16" s="772">
        <f t="shared" ca="1" si="1"/>
        <v>622.07888965186555</v>
      </c>
      <c r="AG16" s="772">
        <f t="shared" ca="1" si="1"/>
        <v>622.07888965186555</v>
      </c>
      <c r="AH16" s="772">
        <f t="shared" ca="1" si="1"/>
        <v>622.07888965186555</v>
      </c>
      <c r="AI16" s="772">
        <f t="shared" ca="1" si="1"/>
        <v>749.3455919532347</v>
      </c>
      <c r="AJ16" s="772">
        <f t="shared" ca="1" si="7"/>
        <v>749.3455919532347</v>
      </c>
      <c r="AK16" s="772">
        <f t="shared" ca="1" si="7"/>
        <v>702.92187447508149</v>
      </c>
      <c r="AL16" s="772">
        <f t="shared" ca="1" si="7"/>
        <v>702.92187447508149</v>
      </c>
      <c r="AM16" s="772">
        <f t="shared" ca="1" si="7"/>
        <v>660.65929036995374</v>
      </c>
      <c r="AN16" s="772">
        <f t="shared" ca="1" si="7"/>
        <v>660.65929036995374</v>
      </c>
      <c r="AO16" s="772">
        <f t="shared" ca="1" si="7"/>
        <v>622.07888965186555</v>
      </c>
      <c r="AP16" s="772">
        <f t="shared" ca="1" si="7"/>
        <v>622.07888965186555</v>
      </c>
      <c r="AQ16" s="772">
        <f t="shared" ca="1" si="7"/>
        <v>622.07888965186555</v>
      </c>
      <c r="AR16" s="772">
        <f t="shared" ca="1" si="7"/>
        <v>749.3455919532347</v>
      </c>
      <c r="AS16" s="772">
        <f t="shared" ca="1" si="7"/>
        <v>749.3455919532347</v>
      </c>
      <c r="AT16" s="772">
        <f t="shared" ca="1" si="7"/>
        <v>702.92187447508149</v>
      </c>
      <c r="AU16" s="772">
        <f t="shared" ca="1" si="7"/>
        <v>702.92187447508149</v>
      </c>
      <c r="AV16" s="772">
        <f t="shared" ca="1" si="7"/>
        <v>660.65929036995374</v>
      </c>
      <c r="AW16" s="772">
        <f t="shared" ca="1" si="7"/>
        <v>660.65929036995374</v>
      </c>
      <c r="AX16" s="772">
        <f t="shared" ca="1" si="7"/>
        <v>622.07888965186555</v>
      </c>
      <c r="AY16" s="772">
        <f t="shared" ca="1" si="7"/>
        <v>622.07888965186555</v>
      </c>
      <c r="AZ16" s="772">
        <f t="shared" ca="1" si="4"/>
        <v>622.07888965186555</v>
      </c>
      <c r="BA16" s="772">
        <f t="shared" ca="1" si="4"/>
        <v>749.3455919532347</v>
      </c>
      <c r="BB16" s="772">
        <f t="shared" ca="1" si="4"/>
        <v>749.3455919532347</v>
      </c>
      <c r="BC16" s="772">
        <f t="shared" ca="1" si="4"/>
        <v>702.92187447508149</v>
      </c>
      <c r="BD16" s="772">
        <f t="shared" ca="1" si="4"/>
        <v>660.65929036995374</v>
      </c>
      <c r="BE16" s="772">
        <f t="shared" ca="1" si="4"/>
        <v>660.65929036995374</v>
      </c>
      <c r="BF16" s="772">
        <f t="shared" ca="1" si="4"/>
        <v>622.07888965186555</v>
      </c>
      <c r="BG16" s="772">
        <f t="shared" ca="1" si="4"/>
        <v>622.07888965186555</v>
      </c>
      <c r="BH16" s="772">
        <f t="shared" ca="1" si="5"/>
        <v>586.76793488802002</v>
      </c>
      <c r="BI16" s="772">
        <f t="shared" ca="1" si="5"/>
        <v>586.76793488802002</v>
      </c>
      <c r="BJ16" s="772">
        <f t="shared" ca="1" si="5"/>
        <v>702.92187447508149</v>
      </c>
      <c r="BK16" s="772">
        <f t="shared" ca="1" si="5"/>
        <v>702.92187447508149</v>
      </c>
      <c r="BL16" s="772">
        <f t="shared" ca="1" si="5"/>
        <v>702.92187447508149</v>
      </c>
      <c r="BM16" s="772">
        <f t="shared" ca="1" si="5"/>
        <v>702.92187447508149</v>
      </c>
      <c r="BN16" s="772">
        <f t="shared" ca="1" si="5"/>
        <v>622.07888965186555</v>
      </c>
      <c r="BO16" s="772">
        <f t="shared" ca="1" si="5"/>
        <v>622.07888965186555</v>
      </c>
      <c r="BP16" s="772">
        <f t="shared" ca="1" si="5"/>
        <v>586.76793488802002</v>
      </c>
      <c r="BQ16" s="772">
        <f t="shared" ca="1" si="5"/>
        <v>586.76793488802002</v>
      </c>
      <c r="BR16" s="772">
        <f t="shared" ca="1" si="5"/>
        <v>554.36938492074148</v>
      </c>
      <c r="BS16" s="772">
        <f t="shared" ca="1" si="5"/>
        <v>702.92187447508149</v>
      </c>
      <c r="BT16" s="772">
        <f t="shared" ca="1" si="5"/>
        <v>702.92187447508149</v>
      </c>
      <c r="BU16" s="772">
        <f t="shared" ca="1" si="5"/>
        <v>702.92187447508149</v>
      </c>
      <c r="BV16" s="772">
        <f t="shared" ca="1" si="5"/>
        <v>660.65929036995374</v>
      </c>
      <c r="BW16" s="772">
        <f t="shared" ca="1" si="5"/>
        <v>660.65929036995374</v>
      </c>
      <c r="BX16" s="772">
        <f t="shared" ca="1" si="6"/>
        <v>586.76793488802002</v>
      </c>
      <c r="BY16" s="772">
        <f t="shared" ca="1" si="6"/>
        <v>586.76793488802002</v>
      </c>
      <c r="BZ16" s="772">
        <f t="shared" ca="1" si="6"/>
        <v>554.36938492074148</v>
      </c>
      <c r="CA16" s="772">
        <f t="shared" ca="1" si="6"/>
        <v>554.36938492074148</v>
      </c>
      <c r="CB16" s="772">
        <f t="shared" ca="1" si="6"/>
        <v>660.65929036995374</v>
      </c>
      <c r="CC16" s="772">
        <f t="shared" ca="1" si="6"/>
        <v>660.65929036995374</v>
      </c>
      <c r="CD16" s="772">
        <f t="shared" ca="1" si="6"/>
        <v>660.65929036995374</v>
      </c>
      <c r="CE16" s="772">
        <f t="shared" ca="1" si="6"/>
        <v>660.65929036995374</v>
      </c>
      <c r="CF16" s="772">
        <f t="shared" ca="1" si="6"/>
        <v>622.07888965186555</v>
      </c>
      <c r="CG16" s="772">
        <f t="shared" ca="1" si="6"/>
        <v>586.76793488802002</v>
      </c>
      <c r="CH16" s="772">
        <f t="shared" ca="1" si="6"/>
        <v>554.36938492074148</v>
      </c>
      <c r="CI16" s="772">
        <f t="shared" ca="1" si="6"/>
        <v>554.36938492074148</v>
      </c>
      <c r="CJ16" s="772">
        <f t="shared" ca="1" si="6"/>
        <v>524.57323340691028</v>
      </c>
    </row>
    <row r="17" spans="1:88" ht="15" customHeight="1">
      <c r="A17" s="770">
        <f>'kc-Wert für Stützen'!C17</f>
        <v>69</v>
      </c>
      <c r="B17" s="768">
        <f ca="1">INDIRECT("'kc-Wert für Stützen'!"&amp;SUBSTITUTE(ADDRESS(MATCH($A17,'kc-Wert für Stützen'!$C:$C,0),MATCH(B$7,'kc-Wert für Stützen'!$A$8:$ES$8,0)+7,4),,))</f>
        <v>907.76080554270254</v>
      </c>
      <c r="C17" s="768">
        <f ca="1">INDIRECT("'kc-Wert für Stützen'!"&amp;SUBSTITUTE(ADDRESS(MATCH($A17,'kc-Wert für Stützen'!$C:$C,0),MATCH(C$7,'kc-Wert für Stützen'!$A$8:$ES$8,0)+7,4),,))</f>
        <v>847.94515201000479</v>
      </c>
      <c r="D17" s="768">
        <f ca="1">INDIRECT("'kc-Wert für Stützen'!"&amp;SUBSTITUTE(ADDRESS(MATCH($A17,'kc-Wert für Stützen'!$C:$C,0),MATCH(D$7,'kc-Wert für Stützen'!$A$8:$ES$8,0)+7,4),,))</f>
        <v>793.80796486504585</v>
      </c>
      <c r="E17" s="768">
        <f ca="1">INDIRECT("'kc-Wert für Stützen'!"&amp;SUBSTITUTE(ADDRESS(MATCH($A17,'kc-Wert für Stützen'!$C:$C,0),MATCH(E$7,'kc-Wert für Stützen'!$A$8:$ES$8,0)+7,4),,))</f>
        <v>744.66072512542712</v>
      </c>
      <c r="F17" s="768">
        <f ca="1">INDIRECT("'kc-Wert für Stützen'!"&amp;SUBSTITUTE(ADDRESS(MATCH($A17,'kc-Wert für Stützen'!$C:$C,0),MATCH(F$7,'kc-Wert für Stützen'!$A$8:$ES$8,0)+7,4),,))</f>
        <v>699.91445862270939</v>
      </c>
      <c r="G17" s="768">
        <f ca="1">INDIRECT("'kc-Wert für Stützen'!"&amp;SUBSTITUTE(ADDRESS(MATCH($A17,'kc-Wert für Stützen'!$C:$C,0),MATCH(G$7,'kc-Wert für Stützen'!$A$8:$ES$8,0)+7,4),,))</f>
        <v>659.06337443816938</v>
      </c>
      <c r="H17" s="768">
        <f ca="1">INDIRECT("'kc-Wert für Stützen'!"&amp;SUBSTITUTE(ADDRESS(MATCH($A17,'kc-Wert für Stützen'!$C:$C,0),MATCH(H$7,'kc-Wert für Stützen'!$A$8:$ES$8,0)+7,4),,))</f>
        <v>621.67144047161742</v>
      </c>
      <c r="I17" s="768">
        <f ca="1">INDIRECT("'kc-Wert für Stützen'!"&amp;SUBSTITUTE(ADDRESS(MATCH($A17,'kc-Wert für Stützen'!$C:$C,0),MATCH(I$7,'kc-Wert für Stützen'!$A$8:$ES$8,0)+7,4),,))</f>
        <v>587.36134471729702</v>
      </c>
      <c r="J17" s="768">
        <f ca="1">INDIRECT("'kc-Wert für Stützen'!"&amp;SUBSTITUTE(ADDRESS(MATCH($A17,'kc-Wert für Stützen'!$C:$C,0),MATCH(J$7,'kc-Wert für Stützen'!$A$8:$ES$8,0)+7,4),,))</f>
        <v>555.80539208003336</v>
      </c>
      <c r="K17" s="768">
        <f ca="1">INDIRECT("'kc-Wert für Stützen'!"&amp;SUBSTITUTE(ADDRESS(MATCH($A17,'kc-Wert für Stützen'!$C:$C,0),MATCH(K$7,'kc-Wert für Stützen'!$A$8:$ES$8,0)+7,4),,))</f>
        <v>526.71797253769159</v>
      </c>
      <c r="L17" s="768">
        <f ca="1">INDIRECT("'kc-Wert für Stützen'!"&amp;SUBSTITUTE(ADDRESS(MATCH($A17,'kc-Wert für Stützen'!$C:$C,0),MATCH(L$7,'kc-Wert für Stützen'!$A$8:$ES$8,0)+7,4),,))</f>
        <v>499.84930730395052</v>
      </c>
      <c r="M17" s="768">
        <f ca="1">INDIRECT("'kc-Wert für Stützen'!"&amp;SUBSTITUTE(ADDRESS(MATCH($A17,'kc-Wert für Stützen'!$C:$C,0),MATCH(M$7,'kc-Wert für Stützen'!$A$8:$ES$8,0)+7,4),,))</f>
        <v>474.98023707391764</v>
      </c>
      <c r="N17" s="768">
        <f ca="1">INDIRECT("'kc-Wert für Stützen'!"&amp;SUBSTITUTE(ADDRESS(MATCH($A17,'kc-Wert für Stützen'!$C:$C,0),MATCH(N$7,'kc-Wert für Stützen'!$A$8:$ES$8,0)+7,4),,))</f>
        <v>451.91786256574437</v>
      </c>
      <c r="O17" s="768">
        <f ca="1">INDIRECT("'kc-Wert für Stützen'!"&amp;SUBSTITUTE(ADDRESS(MATCH($A17,'kc-Wert für Stützen'!$C:$C,0),MATCH(O$7,'kc-Wert für Stützen'!$A$8:$ES$8,0)+7,4),,))</f>
        <v>430.49188445572349</v>
      </c>
      <c r="P17" s="768">
        <f ca="1">INDIRECT("'kc-Wert für Stützen'!"&amp;SUBSTITUTE(ADDRESS(MATCH($A17,'kc-Wert für Stützen'!$C:$C,0),MATCH(P$7,'kc-Wert für Stützen'!$A$8:$ES$8,0)+7,4),,))</f>
        <v>410.55151924167836</v>
      </c>
      <c r="S17" s="772">
        <f t="shared" ca="1" si="3"/>
        <v>793.80796486504585</v>
      </c>
      <c r="T17" s="772">
        <f t="shared" ca="1" si="1"/>
        <v>793.80796486504585</v>
      </c>
      <c r="U17" s="772">
        <f t="shared" ca="1" si="1"/>
        <v>793.80796486504585</v>
      </c>
      <c r="V17" s="772">
        <f t="shared" ca="1" si="1"/>
        <v>744.66072512542712</v>
      </c>
      <c r="W17" s="772">
        <f t="shared" ca="1" si="1"/>
        <v>699.91445862270939</v>
      </c>
      <c r="X17" s="772">
        <f t="shared" ca="1" si="1"/>
        <v>659.06337443816938</v>
      </c>
      <c r="Y17" s="772">
        <f t="shared" ca="1" si="1"/>
        <v>621.67144047161742</v>
      </c>
      <c r="Z17" s="772">
        <f t="shared" ca="1" si="1"/>
        <v>793.80796486504585</v>
      </c>
      <c r="AA17" s="772">
        <f t="shared" ca="1" si="1"/>
        <v>793.80796486504585</v>
      </c>
      <c r="AB17" s="772">
        <f t="shared" ca="1" si="1"/>
        <v>744.66072512542712</v>
      </c>
      <c r="AC17" s="772">
        <f t="shared" ca="1" si="1"/>
        <v>744.66072512542712</v>
      </c>
      <c r="AD17" s="772">
        <f t="shared" ca="1" si="1"/>
        <v>699.91445862270939</v>
      </c>
      <c r="AE17" s="772">
        <f t="shared" ca="1" si="1"/>
        <v>699.91445862270939</v>
      </c>
      <c r="AF17" s="772">
        <f t="shared" ca="1" si="1"/>
        <v>659.06337443816938</v>
      </c>
      <c r="AG17" s="772">
        <f t="shared" ca="1" si="1"/>
        <v>659.06337443816938</v>
      </c>
      <c r="AH17" s="772">
        <f t="shared" ca="1" si="1"/>
        <v>659.06337443816938</v>
      </c>
      <c r="AI17" s="772">
        <f t="shared" ca="1" si="1"/>
        <v>793.80796486504585</v>
      </c>
      <c r="AJ17" s="772">
        <f t="shared" ca="1" si="7"/>
        <v>793.80796486504585</v>
      </c>
      <c r="AK17" s="772">
        <f t="shared" ca="1" si="7"/>
        <v>744.66072512542712</v>
      </c>
      <c r="AL17" s="772">
        <f t="shared" ca="1" si="7"/>
        <v>744.66072512542712</v>
      </c>
      <c r="AM17" s="772">
        <f t="shared" ca="1" si="7"/>
        <v>699.91445862270939</v>
      </c>
      <c r="AN17" s="772">
        <f t="shared" ca="1" si="7"/>
        <v>699.91445862270939</v>
      </c>
      <c r="AO17" s="772">
        <f t="shared" ca="1" si="7"/>
        <v>659.06337443816938</v>
      </c>
      <c r="AP17" s="772">
        <f t="shared" ca="1" si="7"/>
        <v>659.06337443816938</v>
      </c>
      <c r="AQ17" s="772">
        <f t="shared" ca="1" si="7"/>
        <v>659.06337443816938</v>
      </c>
      <c r="AR17" s="772">
        <f t="shared" ca="1" si="7"/>
        <v>793.80796486504585</v>
      </c>
      <c r="AS17" s="772">
        <f t="shared" ca="1" si="7"/>
        <v>793.80796486504585</v>
      </c>
      <c r="AT17" s="772">
        <f t="shared" ca="1" si="7"/>
        <v>744.66072512542712</v>
      </c>
      <c r="AU17" s="772">
        <f t="shared" ca="1" si="7"/>
        <v>744.66072512542712</v>
      </c>
      <c r="AV17" s="772">
        <f t="shared" ca="1" si="7"/>
        <v>699.91445862270939</v>
      </c>
      <c r="AW17" s="772">
        <f t="shared" ca="1" si="7"/>
        <v>699.91445862270939</v>
      </c>
      <c r="AX17" s="772">
        <f t="shared" ca="1" si="7"/>
        <v>659.06337443816938</v>
      </c>
      <c r="AY17" s="772">
        <f t="shared" ca="1" si="7"/>
        <v>659.06337443816938</v>
      </c>
      <c r="AZ17" s="772">
        <f t="shared" ca="1" si="4"/>
        <v>659.06337443816938</v>
      </c>
      <c r="BA17" s="772">
        <f t="shared" ca="1" si="4"/>
        <v>793.80796486504585</v>
      </c>
      <c r="BB17" s="772">
        <f t="shared" ca="1" si="4"/>
        <v>793.80796486504585</v>
      </c>
      <c r="BC17" s="772">
        <f t="shared" ca="1" si="4"/>
        <v>744.66072512542712</v>
      </c>
      <c r="BD17" s="772">
        <f t="shared" ca="1" si="4"/>
        <v>699.91445862270939</v>
      </c>
      <c r="BE17" s="772">
        <f t="shared" ca="1" si="4"/>
        <v>699.91445862270939</v>
      </c>
      <c r="BF17" s="772">
        <f t="shared" ca="1" si="4"/>
        <v>659.06337443816938</v>
      </c>
      <c r="BG17" s="772">
        <f t="shared" ca="1" si="4"/>
        <v>659.06337443816938</v>
      </c>
      <c r="BH17" s="772">
        <f t="shared" ca="1" si="5"/>
        <v>621.67144047161742</v>
      </c>
      <c r="BI17" s="772">
        <f t="shared" ca="1" si="5"/>
        <v>621.67144047161742</v>
      </c>
      <c r="BJ17" s="772">
        <f t="shared" ca="1" si="5"/>
        <v>744.66072512542712</v>
      </c>
      <c r="BK17" s="772">
        <f t="shared" ca="1" si="5"/>
        <v>744.66072512542712</v>
      </c>
      <c r="BL17" s="772">
        <f t="shared" ca="1" si="5"/>
        <v>744.66072512542712</v>
      </c>
      <c r="BM17" s="772">
        <f t="shared" ca="1" si="5"/>
        <v>744.66072512542712</v>
      </c>
      <c r="BN17" s="772">
        <f t="shared" ca="1" si="5"/>
        <v>659.06337443816938</v>
      </c>
      <c r="BO17" s="772">
        <f t="shared" ca="1" si="5"/>
        <v>659.06337443816938</v>
      </c>
      <c r="BP17" s="772">
        <f t="shared" ca="1" si="5"/>
        <v>621.67144047161742</v>
      </c>
      <c r="BQ17" s="772">
        <f t="shared" ca="1" si="5"/>
        <v>621.67144047161742</v>
      </c>
      <c r="BR17" s="772">
        <f t="shared" ca="1" si="5"/>
        <v>587.36134471729702</v>
      </c>
      <c r="BS17" s="772">
        <f t="shared" ca="1" si="5"/>
        <v>744.66072512542712</v>
      </c>
      <c r="BT17" s="772">
        <f t="shared" ca="1" si="5"/>
        <v>744.66072512542712</v>
      </c>
      <c r="BU17" s="772">
        <f t="shared" ca="1" si="5"/>
        <v>744.66072512542712</v>
      </c>
      <c r="BV17" s="772">
        <f t="shared" ca="1" si="5"/>
        <v>699.91445862270939</v>
      </c>
      <c r="BW17" s="772">
        <f t="shared" ca="1" si="5"/>
        <v>699.91445862270939</v>
      </c>
      <c r="BX17" s="772">
        <f t="shared" ca="1" si="6"/>
        <v>621.67144047161742</v>
      </c>
      <c r="BY17" s="772">
        <f t="shared" ca="1" si="6"/>
        <v>621.67144047161742</v>
      </c>
      <c r="BZ17" s="772">
        <f t="shared" ca="1" si="6"/>
        <v>587.36134471729702</v>
      </c>
      <c r="CA17" s="772">
        <f t="shared" ca="1" si="6"/>
        <v>587.36134471729702</v>
      </c>
      <c r="CB17" s="772">
        <f t="shared" ca="1" si="6"/>
        <v>699.91445862270939</v>
      </c>
      <c r="CC17" s="772">
        <f t="shared" ca="1" si="6"/>
        <v>699.91445862270939</v>
      </c>
      <c r="CD17" s="772">
        <f t="shared" ca="1" si="6"/>
        <v>699.91445862270939</v>
      </c>
      <c r="CE17" s="772">
        <f t="shared" ca="1" si="6"/>
        <v>699.91445862270939</v>
      </c>
      <c r="CF17" s="772">
        <f t="shared" ca="1" si="6"/>
        <v>659.06337443816938</v>
      </c>
      <c r="CG17" s="772">
        <f t="shared" ca="1" si="6"/>
        <v>621.67144047161742</v>
      </c>
      <c r="CH17" s="772">
        <f t="shared" ca="1" si="6"/>
        <v>587.36134471729702</v>
      </c>
      <c r="CI17" s="772">
        <f t="shared" ca="1" si="6"/>
        <v>587.36134471729702</v>
      </c>
      <c r="CJ17" s="772">
        <f t="shared" ca="1" si="6"/>
        <v>555.80539208003336</v>
      </c>
    </row>
    <row r="18" spans="1:88" ht="15" customHeight="1">
      <c r="A18" s="770">
        <f>'kc-Wert für Stützen'!C18</f>
        <v>70</v>
      </c>
      <c r="B18" s="768">
        <f ca="1">INDIRECT("'kc-Wert für Stützen'!"&amp;SUBSTITUTE(ADDRESS(MATCH($A18,'kc-Wert für Stützen'!$C:$C,0),MATCH(B$7,'kc-Wert für Stützen'!$A$8:$ES$8,0)+7,4),,))</f>
        <v>960.70617932405241</v>
      </c>
      <c r="C18" s="768">
        <f ca="1">INDIRECT("'kc-Wert für Stützen'!"&amp;SUBSTITUTE(ADDRESS(MATCH($A18,'kc-Wert für Stützen'!$C:$C,0),MATCH(C$7,'kc-Wert für Stützen'!$A$8:$ES$8,0)+7,4),,))</f>
        <v>897.45204480416646</v>
      </c>
      <c r="D18" s="768">
        <f ca="1">INDIRECT("'kc-Wert für Stützen'!"&amp;SUBSTITUTE(ADDRESS(MATCH($A18,'kc-Wert für Stützen'!$C:$C,0),MATCH(D$7,'kc-Wert für Stützen'!$A$8:$ES$8,0)+7,4),,))</f>
        <v>840.19504346957979</v>
      </c>
      <c r="E18" s="768">
        <f ca="1">INDIRECT("'kc-Wert für Stützen'!"&amp;SUBSTITUTE(ADDRESS(MATCH($A18,'kc-Wert für Stützen'!$C:$C,0),MATCH(E$7,'kc-Wert für Stützen'!$A$8:$ES$8,0)+7,4),,))</f>
        <v>788.20955308456359</v>
      </c>
      <c r="F18" s="768">
        <f ca="1">INDIRECT("'kc-Wert für Stützen'!"&amp;SUBSTITUTE(ADDRESS(MATCH($A18,'kc-Wert für Stützen'!$C:$C,0),MATCH(F$7,'kc-Wert für Stützen'!$A$8:$ES$8,0)+7,4),,))</f>
        <v>740.87449717765423</v>
      </c>
      <c r="G18" s="768">
        <f ca="1">INDIRECT("'kc-Wert für Stützen'!"&amp;SUBSTITUTE(ADDRESS(MATCH($A18,'kc-Wert für Stützen'!$C:$C,0),MATCH(G$7,'kc-Wert für Stützen'!$A$8:$ES$8,0)+7,4),,))</f>
        <v>697.65626065508081</v>
      </c>
      <c r="H18" s="768">
        <f ca="1">INDIRECT("'kc-Wert für Stützen'!"&amp;SUBSTITUTE(ADDRESS(MATCH($A18,'kc-Wert für Stützen'!$C:$C,0),MATCH(H$7,'kc-Wert für Stützen'!$A$8:$ES$8,0)+7,4),,))</f>
        <v>658.0946416902492</v>
      </c>
      <c r="I18" s="768">
        <f ca="1">INDIRECT("'kc-Wert für Stützen'!"&amp;SUBSTITUTE(ADDRESS(MATCH($A18,'kc-Wert für Stützen'!$C:$C,0),MATCH(I$7,'kc-Wert für Stützen'!$A$8:$ES$8,0)+7,4),,))</f>
        <v>621.79128048254711</v>
      </c>
      <c r="J18" s="768">
        <f ca="1">INDIRECT("'kc-Wert für Stützen'!"&amp;SUBSTITUTE(ADDRESS(MATCH($A18,'kc-Wert für Stützen'!$C:$C,0),MATCH(J$7,'kc-Wert für Stützen'!$A$8:$ES$8,0)+7,4),,))</f>
        <v>588.40010400942776</v>
      </c>
      <c r="K18" s="768">
        <f ca="1">INDIRECT("'kc-Wert für Stützen'!"&amp;SUBSTITUTE(ADDRESS(MATCH($A18,'kc-Wert für Stützen'!$C:$C,0),MATCH(K$7,'kc-Wert für Stützen'!$A$8:$ES$8,0)+7,4),,))</f>
        <v>557.6194115093723</v>
      </c>
      <c r="L18" s="768">
        <f ca="1">INDIRECT("'kc-Wert für Stützen'!"&amp;SUBSTITUTE(ADDRESS(MATCH($A18,'kc-Wert für Stützen'!$C:$C,0),MATCH(L$7,'kc-Wert für Stützen'!$A$8:$ES$8,0)+7,4),,))</f>
        <v>529.18529700667182</v>
      </c>
      <c r="M18" s="768">
        <f ca="1">INDIRECT("'kc-Wert für Stützen'!"&amp;SUBSTITUTE(ADDRESS(MATCH($A18,'kc-Wert für Stützen'!$C:$C,0),MATCH(M$7,'kc-Wert für Stützen'!$A$8:$ES$8,0)+7,4),,))</f>
        <v>502.86616376961121</v>
      </c>
      <c r="N18" s="768">
        <f ca="1">INDIRECT("'kc-Wert für Stützen'!"&amp;SUBSTITUTE(ADDRESS(MATCH($A18,'kc-Wert für Stützen'!$C:$C,0),MATCH(N$7,'kc-Wert für Stützen'!$A$8:$ES$8,0)+7,4),,))</f>
        <v>478.45813297457187</v>
      </c>
      <c r="O18" s="768">
        <f ca="1">INDIRECT("'kc-Wert für Stützen'!"&amp;SUBSTITUTE(ADDRESS(MATCH($A18,'kc-Wert für Stützen'!$C:$C,0),MATCH(O$7,'kc-Wert für Stützen'!$A$8:$ES$8,0)+7,4),,))</f>
        <v>455.78118692604704</v>
      </c>
      <c r="P18" s="768">
        <f ca="1">INDIRECT("'kc-Wert für Stützen'!"&amp;SUBSTITUTE(ADDRESS(MATCH($A18,'kc-Wert für Stützen'!$C:$C,0),MATCH(P$7,'kc-Wert für Stützen'!$A$8:$ES$8,0)+7,4),,))</f>
        <v>434.67591769045322</v>
      </c>
      <c r="S18" s="772">
        <f t="shared" ca="1" si="3"/>
        <v>840.19504346957979</v>
      </c>
      <c r="T18" s="772">
        <f t="shared" ca="1" si="1"/>
        <v>840.19504346957979</v>
      </c>
      <c r="U18" s="772">
        <f t="shared" ca="1" si="1"/>
        <v>840.19504346957979</v>
      </c>
      <c r="V18" s="772">
        <f t="shared" ca="1" si="1"/>
        <v>788.20955308456359</v>
      </c>
      <c r="W18" s="772">
        <f t="shared" ca="1" si="1"/>
        <v>740.87449717765423</v>
      </c>
      <c r="X18" s="772">
        <f t="shared" ca="1" si="1"/>
        <v>697.65626065508081</v>
      </c>
      <c r="Y18" s="772">
        <f t="shared" ca="1" si="1"/>
        <v>658.0946416902492</v>
      </c>
      <c r="Z18" s="772">
        <f t="shared" ca="1" si="1"/>
        <v>840.19504346957979</v>
      </c>
      <c r="AA18" s="772">
        <f t="shared" ca="1" si="1"/>
        <v>840.19504346957979</v>
      </c>
      <c r="AB18" s="772">
        <f t="shared" ca="1" si="1"/>
        <v>788.20955308456359</v>
      </c>
      <c r="AC18" s="772">
        <f t="shared" ca="1" si="1"/>
        <v>788.20955308456359</v>
      </c>
      <c r="AD18" s="772">
        <f t="shared" ca="1" si="1"/>
        <v>740.87449717765423</v>
      </c>
      <c r="AE18" s="772">
        <f t="shared" ca="1" si="1"/>
        <v>740.87449717765423</v>
      </c>
      <c r="AF18" s="772">
        <f t="shared" ca="1" si="1"/>
        <v>697.65626065508081</v>
      </c>
      <c r="AG18" s="772">
        <f t="shared" ca="1" si="1"/>
        <v>697.65626065508081</v>
      </c>
      <c r="AH18" s="772">
        <f t="shared" ca="1" si="1"/>
        <v>697.65626065508081</v>
      </c>
      <c r="AI18" s="772">
        <f t="shared" ca="1" si="1"/>
        <v>840.19504346957979</v>
      </c>
      <c r="AJ18" s="772">
        <f t="shared" ca="1" si="7"/>
        <v>840.19504346957979</v>
      </c>
      <c r="AK18" s="772">
        <f t="shared" ca="1" si="7"/>
        <v>788.20955308456359</v>
      </c>
      <c r="AL18" s="772">
        <f t="shared" ca="1" si="7"/>
        <v>788.20955308456359</v>
      </c>
      <c r="AM18" s="772">
        <f t="shared" ca="1" si="7"/>
        <v>740.87449717765423</v>
      </c>
      <c r="AN18" s="772">
        <f t="shared" ca="1" si="7"/>
        <v>740.87449717765423</v>
      </c>
      <c r="AO18" s="772">
        <f t="shared" ca="1" si="7"/>
        <v>697.65626065508081</v>
      </c>
      <c r="AP18" s="772">
        <f t="shared" ca="1" si="7"/>
        <v>697.65626065508081</v>
      </c>
      <c r="AQ18" s="772">
        <f t="shared" ca="1" si="7"/>
        <v>697.65626065508081</v>
      </c>
      <c r="AR18" s="772">
        <f t="shared" ca="1" si="7"/>
        <v>840.19504346957979</v>
      </c>
      <c r="AS18" s="772">
        <f t="shared" ca="1" si="7"/>
        <v>840.19504346957979</v>
      </c>
      <c r="AT18" s="772">
        <f t="shared" ca="1" si="7"/>
        <v>788.20955308456359</v>
      </c>
      <c r="AU18" s="772">
        <f t="shared" ca="1" si="7"/>
        <v>788.20955308456359</v>
      </c>
      <c r="AV18" s="772">
        <f t="shared" ca="1" si="7"/>
        <v>740.87449717765423</v>
      </c>
      <c r="AW18" s="772">
        <f t="shared" ca="1" si="7"/>
        <v>740.87449717765423</v>
      </c>
      <c r="AX18" s="772">
        <f t="shared" ca="1" si="7"/>
        <v>697.65626065508081</v>
      </c>
      <c r="AY18" s="772">
        <f t="shared" ca="1" si="7"/>
        <v>697.65626065508081</v>
      </c>
      <c r="AZ18" s="772">
        <f t="shared" ca="1" si="4"/>
        <v>697.65626065508081</v>
      </c>
      <c r="BA18" s="772">
        <f t="shared" ca="1" si="4"/>
        <v>840.19504346957979</v>
      </c>
      <c r="BB18" s="772">
        <f t="shared" ca="1" si="4"/>
        <v>840.19504346957979</v>
      </c>
      <c r="BC18" s="772">
        <f t="shared" ca="1" si="4"/>
        <v>788.20955308456359</v>
      </c>
      <c r="BD18" s="772">
        <f t="shared" ca="1" si="4"/>
        <v>740.87449717765423</v>
      </c>
      <c r="BE18" s="772">
        <f t="shared" ca="1" si="4"/>
        <v>740.87449717765423</v>
      </c>
      <c r="BF18" s="772">
        <f t="shared" ca="1" si="4"/>
        <v>697.65626065508081</v>
      </c>
      <c r="BG18" s="772">
        <f t="shared" ca="1" si="4"/>
        <v>697.65626065508081</v>
      </c>
      <c r="BH18" s="772">
        <f t="shared" ca="1" si="5"/>
        <v>658.0946416902492</v>
      </c>
      <c r="BI18" s="772">
        <f t="shared" ca="1" si="5"/>
        <v>658.0946416902492</v>
      </c>
      <c r="BJ18" s="772">
        <f t="shared" ca="1" si="5"/>
        <v>788.20955308456359</v>
      </c>
      <c r="BK18" s="772">
        <f t="shared" ca="1" si="5"/>
        <v>788.20955308456359</v>
      </c>
      <c r="BL18" s="772">
        <f t="shared" ca="1" si="5"/>
        <v>788.20955308456359</v>
      </c>
      <c r="BM18" s="772">
        <f t="shared" ca="1" si="5"/>
        <v>788.20955308456359</v>
      </c>
      <c r="BN18" s="772">
        <f t="shared" ca="1" si="5"/>
        <v>697.65626065508081</v>
      </c>
      <c r="BO18" s="772">
        <f t="shared" ca="1" si="5"/>
        <v>697.65626065508081</v>
      </c>
      <c r="BP18" s="772">
        <f t="shared" ca="1" si="5"/>
        <v>658.0946416902492</v>
      </c>
      <c r="BQ18" s="772">
        <f t="shared" ca="1" si="5"/>
        <v>658.0946416902492</v>
      </c>
      <c r="BR18" s="772">
        <f t="shared" ca="1" si="5"/>
        <v>621.79128048254711</v>
      </c>
      <c r="BS18" s="772">
        <f t="shared" ca="1" si="5"/>
        <v>788.20955308456359</v>
      </c>
      <c r="BT18" s="772">
        <f t="shared" ca="1" si="5"/>
        <v>788.20955308456359</v>
      </c>
      <c r="BU18" s="772">
        <f t="shared" ca="1" si="5"/>
        <v>788.20955308456359</v>
      </c>
      <c r="BV18" s="772">
        <f t="shared" ca="1" si="5"/>
        <v>740.87449717765423</v>
      </c>
      <c r="BW18" s="772">
        <f t="shared" ca="1" si="5"/>
        <v>740.87449717765423</v>
      </c>
      <c r="BX18" s="772">
        <f t="shared" ca="1" si="6"/>
        <v>658.0946416902492</v>
      </c>
      <c r="BY18" s="772">
        <f t="shared" ca="1" si="6"/>
        <v>658.0946416902492</v>
      </c>
      <c r="BZ18" s="772">
        <f t="shared" ca="1" si="6"/>
        <v>621.79128048254711</v>
      </c>
      <c r="CA18" s="772">
        <f t="shared" ca="1" si="6"/>
        <v>621.79128048254711</v>
      </c>
      <c r="CB18" s="772">
        <f t="shared" ca="1" si="6"/>
        <v>740.87449717765423</v>
      </c>
      <c r="CC18" s="772">
        <f t="shared" ca="1" si="6"/>
        <v>740.87449717765423</v>
      </c>
      <c r="CD18" s="772">
        <f t="shared" ca="1" si="6"/>
        <v>740.87449717765423</v>
      </c>
      <c r="CE18" s="772">
        <f t="shared" ca="1" si="6"/>
        <v>740.87449717765423</v>
      </c>
      <c r="CF18" s="772">
        <f t="shared" ca="1" si="6"/>
        <v>697.65626065508081</v>
      </c>
      <c r="CG18" s="772">
        <f t="shared" ca="1" si="6"/>
        <v>658.0946416902492</v>
      </c>
      <c r="CH18" s="772">
        <f t="shared" ca="1" si="6"/>
        <v>621.79128048254711</v>
      </c>
      <c r="CI18" s="772">
        <f t="shared" ca="1" si="6"/>
        <v>621.79128048254711</v>
      </c>
      <c r="CJ18" s="772">
        <f t="shared" ca="1" si="6"/>
        <v>588.40010400942776</v>
      </c>
    </row>
    <row r="19" spans="1:88" ht="15" customHeight="1">
      <c r="A19" s="770">
        <f>'kc-Wert für Stützen'!C19</f>
        <v>71</v>
      </c>
      <c r="B19" s="768">
        <f ca="1">INDIRECT("'kc-Wert für Stützen'!"&amp;SUBSTITUTE(ADDRESS(MATCH($A19,'kc-Wert für Stützen'!$C:$C,0),MATCH(B$7,'kc-Wert für Stützen'!$A$8:$ES$8,0)+7,4),,))</f>
        <v>1015.8976953716367</v>
      </c>
      <c r="C19" s="768">
        <f ca="1">INDIRECT("'kc-Wert für Stützen'!"&amp;SUBSTITUTE(ADDRESS(MATCH($A19,'kc-Wert für Stützen'!$C:$C,0),MATCH(C$7,'kc-Wert für Stützen'!$A$8:$ES$8,0)+7,4),,))</f>
        <v>949.06448827037843</v>
      </c>
      <c r="D19" s="768">
        <f ca="1">INDIRECT("'kc-Wert für Stützen'!"&amp;SUBSTITUTE(ADDRESS(MATCH($A19,'kc-Wert für Stützen'!$C:$C,0),MATCH(D$7,'kc-Wert für Stützen'!$A$8:$ES$8,0)+7,4),,))</f>
        <v>888.55920946888796</v>
      </c>
      <c r="E19" s="768">
        <f ca="1">INDIRECT("'kc-Wert für Stützen'!"&amp;SUBSTITUTE(ADDRESS(MATCH($A19,'kc-Wert für Stützen'!$C:$C,0),MATCH(E$7,'kc-Wert für Stützen'!$A$8:$ES$8,0)+7,4),,))</f>
        <v>833.61791597120146</v>
      </c>
      <c r="F19" s="768">
        <f ca="1">INDIRECT("'kc-Wert für Stützen'!"&amp;SUBSTITUTE(ADDRESS(MATCH($A19,'kc-Wert für Stützen'!$C:$C,0),MATCH(F$7,'kc-Wert für Stützen'!$A$8:$ES$8,0)+7,4),,))</f>
        <v>783.58632528442172</v>
      </c>
      <c r="G19" s="768">
        <f ca="1">INDIRECT("'kc-Wert für Stützen'!"&amp;SUBSTITUTE(ADDRESS(MATCH($A19,'kc-Wert für Stützen'!$C:$C,0),MATCH(G$7,'kc-Wert für Stützen'!$A$8:$ES$8,0)+7,4),,))</f>
        <v>737.9020070292471</v>
      </c>
      <c r="H19" s="768">
        <f ca="1">INDIRECT("'kc-Wert für Stützen'!"&amp;SUBSTITUTE(ADDRESS(MATCH($A19,'kc-Wert für Stützen'!$C:$C,0),MATCH(H$7,'kc-Wert für Stützen'!$A$8:$ES$8,0)+7,4),,))</f>
        <v>696.07970463183585</v>
      </c>
      <c r="I19" s="768">
        <f ca="1">INDIRECT("'kc-Wert für Stützen'!"&amp;SUBSTITUTE(ADDRESS(MATCH($A19,'kc-Wert für Stützen'!$C:$C,0),MATCH(I$7,'kc-Wert für Stützen'!$A$8:$ES$8,0)+7,4),,))</f>
        <v>657.69922267860727</v>
      </c>
      <c r="J19" s="768">
        <f ca="1">INDIRECT("'kc-Wert für Stützen'!"&amp;SUBSTITUTE(ADDRESS(MATCH($A19,'kc-Wert für Stützen'!$C:$C,0),MATCH(J$7,'kc-Wert für Stützen'!$A$8:$ES$8,0)+7,4),,))</f>
        <v>622.39540998473649</v>
      </c>
      <c r="K19" s="768">
        <f ca="1">INDIRECT("'kc-Wert für Stützen'!"&amp;SUBSTITUTE(ADDRESS(MATCH($A19,'kc-Wert für Stützen'!$C:$C,0),MATCH(K$7,'kc-Wert für Stützen'!$A$8:$ES$8,0)+7,4),,))</f>
        <v>589.84985292124293</v>
      </c>
      <c r="L19" s="768">
        <f ca="1">INDIRECT("'kc-Wert für Stützen'!"&amp;SUBSTITUTE(ADDRESS(MATCH($A19,'kc-Wert für Stützen'!$C:$C,0),MATCH(L$7,'kc-Wert für Stützen'!$A$8:$ES$8,0)+7,4),,))</f>
        <v>559.78396541033737</v>
      </c>
      <c r="M19" s="768">
        <f ca="1">INDIRECT("'kc-Wert für Stützen'!"&amp;SUBSTITUTE(ADDRESS(MATCH($A19,'kc-Wert für Stützen'!$C:$C,0),MATCH(M$7,'kc-Wert für Stützen'!$A$8:$ES$8,0)+7,4),,))</f>
        <v>531.95322148529931</v>
      </c>
      <c r="N19" s="768">
        <f ca="1">INDIRECT("'kc-Wert für Stützen'!"&amp;SUBSTITUTE(ADDRESS(MATCH($A19,'kc-Wert für Stützen'!$C:$C,0),MATCH(N$7,'kc-Wert für Stützen'!$A$8:$ES$8,0)+7,4),,))</f>
        <v>506.14232480501954</v>
      </c>
      <c r="O19" s="768">
        <f ca="1">INDIRECT("'kc-Wert für Stützen'!"&amp;SUBSTITUTE(ADDRESS(MATCH($A19,'kc-Wert für Stützen'!$C:$C,0),MATCH(O$7,'kc-Wert für Stützen'!$A$8:$ES$8,0)+7,4),,))</f>
        <v>482.16114870972928</v>
      </c>
      <c r="P19" s="768">
        <f ca="1">INDIRECT("'kc-Wert für Stützen'!"&amp;SUBSTITUTE(ADDRESS(MATCH($A19,'kc-Wert für Stützen'!$C:$C,0),MATCH(P$7,'kc-Wert für Stützen'!$A$8:$ES$8,0)+7,4),,))</f>
        <v>459.84131194528686</v>
      </c>
      <c r="S19" s="772">
        <f t="shared" ca="1" si="3"/>
        <v>888.55920946888796</v>
      </c>
      <c r="T19" s="772">
        <f t="shared" ca="1" si="1"/>
        <v>888.55920946888796</v>
      </c>
      <c r="U19" s="772">
        <f t="shared" ca="1" si="1"/>
        <v>888.55920946888796</v>
      </c>
      <c r="V19" s="772">
        <f t="shared" ca="1" si="1"/>
        <v>833.61791597120146</v>
      </c>
      <c r="W19" s="772">
        <f t="shared" ca="1" si="1"/>
        <v>783.58632528442172</v>
      </c>
      <c r="X19" s="772">
        <f t="shared" ca="1" si="1"/>
        <v>737.9020070292471</v>
      </c>
      <c r="Y19" s="772">
        <f t="shared" ca="1" si="1"/>
        <v>696.07970463183585</v>
      </c>
      <c r="Z19" s="772">
        <f t="shared" ca="1" si="1"/>
        <v>888.55920946888796</v>
      </c>
      <c r="AA19" s="772">
        <f t="shared" ca="1" si="1"/>
        <v>888.55920946888796</v>
      </c>
      <c r="AB19" s="772">
        <f t="shared" ca="1" si="1"/>
        <v>833.61791597120146</v>
      </c>
      <c r="AC19" s="772">
        <f t="shared" ca="1" si="1"/>
        <v>833.61791597120146</v>
      </c>
      <c r="AD19" s="772">
        <f t="shared" ca="1" si="1"/>
        <v>783.58632528442172</v>
      </c>
      <c r="AE19" s="772">
        <f t="shared" ca="1" si="1"/>
        <v>783.58632528442172</v>
      </c>
      <c r="AF19" s="772">
        <f t="shared" ca="1" si="1"/>
        <v>737.9020070292471</v>
      </c>
      <c r="AG19" s="772">
        <f t="shared" ca="1" si="1"/>
        <v>737.9020070292471</v>
      </c>
      <c r="AH19" s="772">
        <f t="shared" ca="1" si="1"/>
        <v>737.9020070292471</v>
      </c>
      <c r="AI19" s="772">
        <f t="shared" ca="1" si="1"/>
        <v>888.55920946888796</v>
      </c>
      <c r="AJ19" s="772">
        <f t="shared" ca="1" si="7"/>
        <v>888.55920946888796</v>
      </c>
      <c r="AK19" s="772">
        <f t="shared" ca="1" si="7"/>
        <v>833.61791597120146</v>
      </c>
      <c r="AL19" s="772">
        <f t="shared" ca="1" si="7"/>
        <v>833.61791597120146</v>
      </c>
      <c r="AM19" s="772">
        <f t="shared" ca="1" si="7"/>
        <v>783.58632528442172</v>
      </c>
      <c r="AN19" s="772">
        <f t="shared" ca="1" si="7"/>
        <v>783.58632528442172</v>
      </c>
      <c r="AO19" s="772">
        <f t="shared" ca="1" si="7"/>
        <v>737.9020070292471</v>
      </c>
      <c r="AP19" s="772">
        <f t="shared" ca="1" si="7"/>
        <v>737.9020070292471</v>
      </c>
      <c r="AQ19" s="772">
        <f t="shared" ca="1" si="7"/>
        <v>737.9020070292471</v>
      </c>
      <c r="AR19" s="772">
        <f t="shared" ca="1" si="7"/>
        <v>888.55920946888796</v>
      </c>
      <c r="AS19" s="772">
        <f t="shared" ca="1" si="7"/>
        <v>888.55920946888796</v>
      </c>
      <c r="AT19" s="772">
        <f t="shared" ca="1" si="7"/>
        <v>833.61791597120146</v>
      </c>
      <c r="AU19" s="772">
        <f t="shared" ca="1" si="7"/>
        <v>833.61791597120146</v>
      </c>
      <c r="AV19" s="772">
        <f t="shared" ca="1" si="7"/>
        <v>783.58632528442172</v>
      </c>
      <c r="AW19" s="772">
        <f t="shared" ca="1" si="7"/>
        <v>783.58632528442172</v>
      </c>
      <c r="AX19" s="772">
        <f t="shared" ca="1" si="7"/>
        <v>737.9020070292471</v>
      </c>
      <c r="AY19" s="772">
        <f t="shared" ca="1" si="7"/>
        <v>737.9020070292471</v>
      </c>
      <c r="AZ19" s="772">
        <f t="shared" ca="1" si="4"/>
        <v>737.9020070292471</v>
      </c>
      <c r="BA19" s="772">
        <f t="shared" ca="1" si="4"/>
        <v>888.55920946888796</v>
      </c>
      <c r="BB19" s="772">
        <f t="shared" ca="1" si="4"/>
        <v>888.55920946888796</v>
      </c>
      <c r="BC19" s="772">
        <f t="shared" ca="1" si="4"/>
        <v>833.61791597120146</v>
      </c>
      <c r="BD19" s="772">
        <f t="shared" ca="1" si="4"/>
        <v>783.58632528442172</v>
      </c>
      <c r="BE19" s="772">
        <f t="shared" ca="1" si="4"/>
        <v>783.58632528442172</v>
      </c>
      <c r="BF19" s="772">
        <f t="shared" ca="1" si="4"/>
        <v>737.9020070292471</v>
      </c>
      <c r="BG19" s="772">
        <f t="shared" ca="1" si="4"/>
        <v>737.9020070292471</v>
      </c>
      <c r="BH19" s="772">
        <f t="shared" ca="1" si="5"/>
        <v>696.07970463183585</v>
      </c>
      <c r="BI19" s="772">
        <f t="shared" ca="1" si="5"/>
        <v>696.07970463183585</v>
      </c>
      <c r="BJ19" s="772">
        <f t="shared" ca="1" si="5"/>
        <v>833.61791597120146</v>
      </c>
      <c r="BK19" s="772">
        <f t="shared" ca="1" si="5"/>
        <v>833.61791597120146</v>
      </c>
      <c r="BL19" s="772">
        <f t="shared" ca="1" si="5"/>
        <v>833.61791597120146</v>
      </c>
      <c r="BM19" s="772">
        <f t="shared" ca="1" si="5"/>
        <v>833.61791597120146</v>
      </c>
      <c r="BN19" s="772">
        <f t="shared" ca="1" si="5"/>
        <v>737.9020070292471</v>
      </c>
      <c r="BO19" s="772">
        <f t="shared" ca="1" si="5"/>
        <v>737.9020070292471</v>
      </c>
      <c r="BP19" s="772">
        <f t="shared" ca="1" si="5"/>
        <v>696.07970463183585</v>
      </c>
      <c r="BQ19" s="772">
        <f t="shared" ca="1" si="5"/>
        <v>696.07970463183585</v>
      </c>
      <c r="BR19" s="772">
        <f t="shared" ca="1" si="5"/>
        <v>657.69922267860727</v>
      </c>
      <c r="BS19" s="772">
        <f t="shared" ca="1" si="5"/>
        <v>833.61791597120146</v>
      </c>
      <c r="BT19" s="772">
        <f t="shared" ca="1" si="5"/>
        <v>833.61791597120146</v>
      </c>
      <c r="BU19" s="772">
        <f t="shared" ca="1" si="5"/>
        <v>833.61791597120146</v>
      </c>
      <c r="BV19" s="772">
        <f t="shared" ca="1" si="5"/>
        <v>783.58632528442172</v>
      </c>
      <c r="BW19" s="772">
        <f t="shared" ca="1" si="5"/>
        <v>783.58632528442172</v>
      </c>
      <c r="BX19" s="772">
        <f t="shared" ca="1" si="6"/>
        <v>696.07970463183585</v>
      </c>
      <c r="BY19" s="772">
        <f t="shared" ca="1" si="6"/>
        <v>696.07970463183585</v>
      </c>
      <c r="BZ19" s="772">
        <f t="shared" ca="1" si="6"/>
        <v>657.69922267860727</v>
      </c>
      <c r="CA19" s="772">
        <f t="shared" ca="1" si="6"/>
        <v>657.69922267860727</v>
      </c>
      <c r="CB19" s="772">
        <f t="shared" ca="1" si="6"/>
        <v>783.58632528442172</v>
      </c>
      <c r="CC19" s="772">
        <f t="shared" ca="1" si="6"/>
        <v>783.58632528442172</v>
      </c>
      <c r="CD19" s="772">
        <f t="shared" ca="1" si="6"/>
        <v>783.58632528442172</v>
      </c>
      <c r="CE19" s="772">
        <f t="shared" ca="1" si="6"/>
        <v>783.58632528442172</v>
      </c>
      <c r="CF19" s="772">
        <f t="shared" ca="1" si="6"/>
        <v>737.9020070292471</v>
      </c>
      <c r="CG19" s="772">
        <f t="shared" ca="1" si="6"/>
        <v>696.07970463183585</v>
      </c>
      <c r="CH19" s="772">
        <f t="shared" ca="1" si="6"/>
        <v>657.69922267860727</v>
      </c>
      <c r="CI19" s="772">
        <f t="shared" ca="1" si="6"/>
        <v>657.69922267860727</v>
      </c>
      <c r="CJ19" s="772">
        <f t="shared" ca="1" si="6"/>
        <v>622.39540998473649</v>
      </c>
    </row>
    <row r="20" spans="1:88" ht="15" customHeight="1">
      <c r="A20" s="770">
        <f>'kc-Wert für Stützen'!C20</f>
        <v>72</v>
      </c>
      <c r="B20" s="768">
        <f ca="1">INDIRECT("'kc-Wert für Stützen'!"&amp;SUBSTITUTE(ADDRESS(MATCH($A20,'kc-Wert für Stützen'!$C:$C,0),MATCH(B$7,'kc-Wert für Stützen'!$A$8:$ES$8,0)+7,4),,))</f>
        <v>1073.3944189059819</v>
      </c>
      <c r="C20" s="768">
        <f ca="1">INDIRECT("'kc-Wert für Stützen'!"&amp;SUBSTITUTE(ADDRESS(MATCH($A20,'kc-Wert für Stützen'!$C:$C,0),MATCH(C$7,'kc-Wert für Stützen'!$A$8:$ES$8,0)+7,4),,))</f>
        <v>1002.838367986954</v>
      </c>
      <c r="D20" s="768">
        <f ca="1">INDIRECT("'kc-Wert für Stützen'!"&amp;SUBSTITUTE(ADDRESS(MATCH($A20,'kc-Wert für Stützen'!$C:$C,0),MATCH(D$7,'kc-Wert für Stützen'!$A$8:$ES$8,0)+7,4),,))</f>
        <v>938.95334297585521</v>
      </c>
      <c r="E20" s="768">
        <f ca="1">INDIRECT("'kc-Wert für Stützen'!"&amp;SUBSTITUTE(ADDRESS(MATCH($A20,'kc-Wert für Stützen'!$C:$C,0),MATCH(E$7,'kc-Wert für Stützen'!$A$8:$ES$8,0)+7,4),,))</f>
        <v>880.9358697924398</v>
      </c>
      <c r="F20" s="768">
        <f ca="1">INDIRECT("'kc-Wert für Stützen'!"&amp;SUBSTITUTE(ADDRESS(MATCH($A20,'kc-Wert für Stützen'!$C:$C,0),MATCH(F$7,'kc-Wert für Stützen'!$A$8:$ES$8,0)+7,4),,))</f>
        <v>828.0973550212957</v>
      </c>
      <c r="G20" s="768">
        <f ca="1">INDIRECT("'kc-Wert für Stützen'!"&amp;SUBSTITUTE(ADDRESS(MATCH($A20,'kc-Wert für Stützen'!$C:$C,0),MATCH(G$7,'kc-Wert für Stützen'!$A$8:$ES$8,0)+7,4),,))</f>
        <v>779.84555586366241</v>
      </c>
      <c r="H20" s="768">
        <f ca="1">INDIRECT("'kc-Wert für Stützen'!"&amp;SUBSTITUTE(ADDRESS(MATCH($A20,'kc-Wert für Stützen'!$C:$C,0),MATCH(H$7,'kc-Wert für Stützen'!$A$8:$ES$8,0)+7,4),,))</f>
        <v>735.66926730171917</v>
      </c>
      <c r="I20" s="768">
        <f ca="1">INDIRECT("'kc-Wert für Stützen'!"&amp;SUBSTITUTE(ADDRESS(MATCH($A20,'kc-Wert für Stützen'!$C:$C,0),MATCH(I$7,'kc-Wert für Stützen'!$A$8:$ES$8,0)+7,4),,))</f>
        <v>695.12566052110469</v>
      </c>
      <c r="J20" s="768">
        <f ca="1">INDIRECT("'kc-Wert für Stützen'!"&amp;SUBSTITUTE(ADDRESS(MATCH($A20,'kc-Wert für Stützen'!$C:$C,0),MATCH(J$7,'kc-Wert für Stützen'!$A$8:$ES$8,0)+7,4),,))</f>
        <v>657.82979551459687</v>
      </c>
      <c r="K20" s="768">
        <f ca="1">INDIRECT("'kc-Wert für Stützen'!"&amp;SUBSTITUTE(ADDRESS(MATCH($A20,'kc-Wert für Stützen'!$C:$C,0),MATCH(K$7,'kc-Wert für Stützen'!$A$8:$ES$8,0)+7,4),,))</f>
        <v>623.44591328634647</v>
      </c>
      <c r="L20" s="768">
        <f ca="1">INDIRECT("'kc-Wert für Stützen'!"&amp;SUBSTITUTE(ADDRESS(MATCH($A20,'kc-Wert für Stützen'!$C:$C,0),MATCH(L$7,'kc-Wert für Stützen'!$A$8:$ES$8,0)+7,4),,))</f>
        <v>591.68018472689823</v>
      </c>
      <c r="M20" s="768">
        <f ca="1">INDIRECT("'kc-Wert für Stützen'!"&amp;SUBSTITUTE(ADDRESS(MATCH($A20,'kc-Wert für Stützen'!$C:$C,0),MATCH(M$7,'kc-Wert für Stützen'!$A$8:$ES$8,0)+7,4),,))</f>
        <v>562.27465333163025</v>
      </c>
      <c r="N20" s="768">
        <f ca="1">INDIRECT("'kc-Wert für Stützen'!"&amp;SUBSTITUTE(ADDRESS(MATCH($A20,'kc-Wert für Stützen'!$C:$C,0),MATCH(N$7,'kc-Wert für Stützen'!$A$8:$ES$8,0)+7,4),,))</f>
        <v>535.00215837722624</v>
      </c>
      <c r="O20" s="768">
        <f ca="1">INDIRECT("'kc-Wert für Stützen'!"&amp;SUBSTITUTE(ADDRESS(MATCH($A20,'kc-Wert für Stützen'!$C:$C,0),MATCH(O$7,'kc-Wert für Stützen'!$A$8:$ES$8,0)+7,4),,))</f>
        <v>509.66206539453901</v>
      </c>
      <c r="P20" s="768">
        <f ca="1">INDIRECT("'kc-Wert für Stützen'!"&amp;SUBSTITUTE(ADDRESS(MATCH($A20,'kc-Wert für Stützen'!$C:$C,0),MATCH(P$7,'kc-Wert für Stützen'!$A$8:$ES$8,0)+7,4),,))</f>
        <v>486.07666330135407</v>
      </c>
      <c r="S20" s="772">
        <f t="shared" ca="1" si="3"/>
        <v>938.95334297585521</v>
      </c>
      <c r="T20" s="772">
        <f t="shared" ca="1" si="1"/>
        <v>938.95334297585521</v>
      </c>
      <c r="U20" s="772">
        <f t="shared" ca="1" si="1"/>
        <v>938.95334297585521</v>
      </c>
      <c r="V20" s="772">
        <f t="shared" ca="1" si="1"/>
        <v>880.9358697924398</v>
      </c>
      <c r="W20" s="772">
        <f t="shared" ca="1" si="1"/>
        <v>828.0973550212957</v>
      </c>
      <c r="X20" s="772">
        <f t="shared" ca="1" si="1"/>
        <v>779.84555586366241</v>
      </c>
      <c r="Y20" s="772">
        <f t="shared" ca="1" si="1"/>
        <v>735.66926730171917</v>
      </c>
      <c r="Z20" s="772">
        <f t="shared" ca="1" si="1"/>
        <v>938.95334297585521</v>
      </c>
      <c r="AA20" s="772">
        <f t="shared" ca="1" si="1"/>
        <v>938.95334297585521</v>
      </c>
      <c r="AB20" s="772">
        <f t="shared" ca="1" si="1"/>
        <v>880.9358697924398</v>
      </c>
      <c r="AC20" s="772">
        <f t="shared" ca="1" si="1"/>
        <v>880.9358697924398</v>
      </c>
      <c r="AD20" s="772">
        <f t="shared" ca="1" si="1"/>
        <v>828.0973550212957</v>
      </c>
      <c r="AE20" s="772">
        <f t="shared" ca="1" si="1"/>
        <v>828.0973550212957</v>
      </c>
      <c r="AF20" s="772">
        <f t="shared" ca="1" si="1"/>
        <v>779.84555586366241</v>
      </c>
      <c r="AG20" s="772">
        <f t="shared" ca="1" si="1"/>
        <v>779.84555586366241</v>
      </c>
      <c r="AH20" s="772">
        <f t="shared" ca="1" si="1"/>
        <v>779.84555586366241</v>
      </c>
      <c r="AI20" s="772">
        <f t="shared" ca="1" si="1"/>
        <v>938.95334297585521</v>
      </c>
      <c r="AJ20" s="772">
        <f t="shared" ca="1" si="7"/>
        <v>938.95334297585521</v>
      </c>
      <c r="AK20" s="772">
        <f t="shared" ca="1" si="7"/>
        <v>880.9358697924398</v>
      </c>
      <c r="AL20" s="772">
        <f t="shared" ca="1" si="7"/>
        <v>880.9358697924398</v>
      </c>
      <c r="AM20" s="772">
        <f t="shared" ca="1" si="7"/>
        <v>828.0973550212957</v>
      </c>
      <c r="AN20" s="772">
        <f t="shared" ca="1" si="7"/>
        <v>828.0973550212957</v>
      </c>
      <c r="AO20" s="772">
        <f t="shared" ca="1" si="7"/>
        <v>779.84555586366241</v>
      </c>
      <c r="AP20" s="772">
        <f t="shared" ca="1" si="7"/>
        <v>779.84555586366241</v>
      </c>
      <c r="AQ20" s="772">
        <f t="shared" ca="1" si="7"/>
        <v>779.84555586366241</v>
      </c>
      <c r="AR20" s="772">
        <f t="shared" ca="1" si="7"/>
        <v>938.95334297585521</v>
      </c>
      <c r="AS20" s="772">
        <f t="shared" ca="1" si="7"/>
        <v>938.95334297585521</v>
      </c>
      <c r="AT20" s="772">
        <f t="shared" ca="1" si="7"/>
        <v>880.9358697924398</v>
      </c>
      <c r="AU20" s="772">
        <f t="shared" ca="1" si="7"/>
        <v>880.9358697924398</v>
      </c>
      <c r="AV20" s="772">
        <f t="shared" ca="1" si="7"/>
        <v>828.0973550212957</v>
      </c>
      <c r="AW20" s="772">
        <f t="shared" ca="1" si="7"/>
        <v>828.0973550212957</v>
      </c>
      <c r="AX20" s="772">
        <f t="shared" ca="1" si="7"/>
        <v>779.84555586366241</v>
      </c>
      <c r="AY20" s="772">
        <f t="shared" ca="1" si="7"/>
        <v>779.84555586366241</v>
      </c>
      <c r="AZ20" s="772">
        <f t="shared" ca="1" si="4"/>
        <v>779.84555586366241</v>
      </c>
      <c r="BA20" s="772">
        <f t="shared" ca="1" si="4"/>
        <v>938.95334297585521</v>
      </c>
      <c r="BB20" s="772">
        <f t="shared" ca="1" si="4"/>
        <v>938.95334297585521</v>
      </c>
      <c r="BC20" s="772">
        <f t="shared" ca="1" si="4"/>
        <v>880.9358697924398</v>
      </c>
      <c r="BD20" s="772">
        <f t="shared" ca="1" si="4"/>
        <v>828.0973550212957</v>
      </c>
      <c r="BE20" s="772">
        <f t="shared" ca="1" si="4"/>
        <v>828.0973550212957</v>
      </c>
      <c r="BF20" s="772">
        <f t="shared" ca="1" si="4"/>
        <v>779.84555586366241</v>
      </c>
      <c r="BG20" s="772">
        <f t="shared" ca="1" si="4"/>
        <v>779.84555586366241</v>
      </c>
      <c r="BH20" s="772">
        <f t="shared" ca="1" si="5"/>
        <v>735.66926730171917</v>
      </c>
      <c r="BI20" s="772">
        <f t="shared" ca="1" si="5"/>
        <v>735.66926730171917</v>
      </c>
      <c r="BJ20" s="772">
        <f t="shared" ca="1" si="5"/>
        <v>880.9358697924398</v>
      </c>
      <c r="BK20" s="772">
        <f t="shared" ca="1" si="5"/>
        <v>880.9358697924398</v>
      </c>
      <c r="BL20" s="772">
        <f t="shared" ca="1" si="5"/>
        <v>880.9358697924398</v>
      </c>
      <c r="BM20" s="772">
        <f t="shared" ca="1" si="5"/>
        <v>880.9358697924398</v>
      </c>
      <c r="BN20" s="772">
        <f t="shared" ca="1" si="5"/>
        <v>779.84555586366241</v>
      </c>
      <c r="BO20" s="772">
        <f t="shared" ca="1" si="5"/>
        <v>779.84555586366241</v>
      </c>
      <c r="BP20" s="772">
        <f t="shared" ca="1" si="5"/>
        <v>735.66926730171917</v>
      </c>
      <c r="BQ20" s="772">
        <f t="shared" ca="1" si="5"/>
        <v>735.66926730171917</v>
      </c>
      <c r="BR20" s="772">
        <f t="shared" ca="1" si="5"/>
        <v>695.12566052110469</v>
      </c>
      <c r="BS20" s="772">
        <f t="shared" ca="1" si="5"/>
        <v>880.9358697924398</v>
      </c>
      <c r="BT20" s="772">
        <f t="shared" ca="1" si="5"/>
        <v>880.9358697924398</v>
      </c>
      <c r="BU20" s="772">
        <f t="shared" ca="1" si="5"/>
        <v>880.9358697924398</v>
      </c>
      <c r="BV20" s="772">
        <f t="shared" ca="1" si="5"/>
        <v>828.0973550212957</v>
      </c>
      <c r="BW20" s="772">
        <f t="shared" ca="1" si="5"/>
        <v>828.0973550212957</v>
      </c>
      <c r="BX20" s="772">
        <f t="shared" ca="1" si="6"/>
        <v>735.66926730171917</v>
      </c>
      <c r="BY20" s="772">
        <f t="shared" ca="1" si="6"/>
        <v>735.66926730171917</v>
      </c>
      <c r="BZ20" s="772">
        <f t="shared" ca="1" si="6"/>
        <v>695.12566052110469</v>
      </c>
      <c r="CA20" s="772">
        <f t="shared" ca="1" si="6"/>
        <v>695.12566052110469</v>
      </c>
      <c r="CB20" s="772">
        <f t="shared" ca="1" si="6"/>
        <v>828.0973550212957</v>
      </c>
      <c r="CC20" s="772">
        <f t="shared" ca="1" si="6"/>
        <v>828.0973550212957</v>
      </c>
      <c r="CD20" s="772">
        <f t="shared" ca="1" si="6"/>
        <v>828.0973550212957</v>
      </c>
      <c r="CE20" s="772">
        <f t="shared" ca="1" si="6"/>
        <v>828.0973550212957</v>
      </c>
      <c r="CF20" s="772">
        <f t="shared" ca="1" si="6"/>
        <v>779.84555586366241</v>
      </c>
      <c r="CG20" s="772">
        <f t="shared" ca="1" si="6"/>
        <v>735.66926730171917</v>
      </c>
      <c r="CH20" s="772">
        <f t="shared" ca="1" si="6"/>
        <v>695.12566052110469</v>
      </c>
      <c r="CI20" s="772">
        <f t="shared" ca="1" si="6"/>
        <v>695.12566052110469</v>
      </c>
      <c r="CJ20" s="772">
        <f t="shared" ca="1" si="6"/>
        <v>657.82979551459687</v>
      </c>
    </row>
    <row r="21" spans="1:88" ht="15" customHeight="1">
      <c r="A21" s="770">
        <f>'kc-Wert für Stützen'!C21</f>
        <v>73</v>
      </c>
      <c r="B21" s="768">
        <f ca="1">INDIRECT("'kc-Wert für Stützen'!"&amp;SUBSTITUTE(ADDRESS(MATCH($A21,'kc-Wert für Stützen'!$C:$C,0),MATCH(B$7,'kc-Wert für Stützen'!$A$8:$ES$8,0)+7,4),,))</f>
        <v>1133.2558597949426</v>
      </c>
      <c r="C21" s="768">
        <f ca="1">INDIRECT("'kc-Wert für Stützen'!"&amp;SUBSTITUTE(ADDRESS(MATCH($A21,'kc-Wert für Stützen'!$C:$C,0),MATCH(C$7,'kc-Wert für Stützen'!$A$8:$ES$8,0)+7,4),,))</f>
        <v>1058.8300396895024</v>
      </c>
      <c r="D21" s="768">
        <f ca="1">INDIRECT("'kc-Wert für Stützen'!"&amp;SUBSTITUTE(ADDRESS(MATCH($A21,'kc-Wert für Stützen'!$C:$C,0),MATCH(D$7,'kc-Wert für Stützen'!$A$8:$ES$8,0)+7,4),,))</f>
        <v>991.43080637577316</v>
      </c>
      <c r="E21" s="768">
        <f ca="1">INDIRECT("'kc-Wert für Stützen'!"&amp;SUBSTITUTE(ADDRESS(MATCH($A21,'kc-Wert für Stützen'!$C:$C,0),MATCH(E$7,'kc-Wert für Stützen'!$A$8:$ES$8,0)+7,4),,))</f>
        <v>930.21395580867431</v>
      </c>
      <c r="F21" s="768">
        <f ca="1">INDIRECT("'kc-Wert für Stützen'!"&amp;SUBSTITUTE(ADDRESS(MATCH($A21,'kc-Wert für Stützen'!$C:$C,0),MATCH(F$7,'kc-Wert für Stützen'!$A$8:$ES$8,0)+7,4),,))</f>
        <v>874.45548048513376</v>
      </c>
      <c r="G21" s="768">
        <f ca="1">INDIRECT("'kc-Wert für Stützen'!"&amp;SUBSTITUTE(ADDRESS(MATCH($A21,'kc-Wert für Stützen'!$C:$C,0),MATCH(G$7,'kc-Wert für Stützen'!$A$8:$ES$8,0)+7,4),,))</f>
        <v>823.53232405019673</v>
      </c>
      <c r="H21" s="768">
        <f ca="1">INDIRECT("'kc-Wert für Stützen'!"&amp;SUBSTITUTE(ADDRESS(MATCH($A21,'kc-Wert für Stützen'!$C:$C,0),MATCH(H$7,'kc-Wert für Stützen'!$A$8:$ES$8,0)+7,4),,))</f>
        <v>776.90643208055042</v>
      </c>
      <c r="I21" s="768">
        <f ca="1">INDIRECT("'kc-Wert für Stützen'!"&amp;SUBSTITUTE(ADDRESS(MATCH($A21,'kc-Wert für Stützen'!$C:$C,0),MATCH(I$7,'kc-Wert für Stützen'!$A$8:$ES$8,0)+7,4),,))</f>
        <v>734.1115355955634</v>
      </c>
      <c r="J21" s="768">
        <f ca="1">INDIRECT("'kc-Wert für Stützen'!"&amp;SUBSTITUTE(ADDRESS(MATCH($A21,'kc-Wert für Stützen'!$C:$C,0),MATCH(J$7,'kc-Wert für Stützen'!$A$8:$ES$8,0)+7,4),,))</f>
        <v>694.74218538079538</v>
      </c>
      <c r="K21" s="768">
        <f ca="1">INDIRECT("'kc-Wert für Stützen'!"&amp;SUBSTITUTE(ADDRESS(MATCH($A21,'kc-Wert für Stützen'!$C:$C,0),MATCH(K$7,'kc-Wert für Stützen'!$A$8:$ES$8,0)+7,4),,))</f>
        <v>658.44463469847312</v>
      </c>
      <c r="L21" s="768">
        <f ca="1">INDIRECT("'kc-Wert für Stützen'!"&amp;SUBSTITUTE(ADDRESS(MATCH($A21,'kc-Wert für Stützen'!$C:$C,0),MATCH(L$7,'kc-Wert für Stützen'!$A$8:$ES$8,0)+7,4),,))</f>
        <v>624.90923881146034</v>
      </c>
      <c r="M21" s="768">
        <f ca="1">INDIRECT("'kc-Wert für Stützen'!"&amp;SUBSTITUTE(ADDRESS(MATCH($A21,'kc-Wert für Stützen'!$C:$C,0),MATCH(M$7,'kc-Wert für Stützen'!$A$8:$ES$8,0)+7,4),,))</f>
        <v>593.86410012635235</v>
      </c>
      <c r="N21" s="768">
        <f ca="1">INDIRECT("'kc-Wert für Stützen'!"&amp;SUBSTITUTE(ADDRESS(MATCH($A21,'kc-Wert für Stützen'!$C:$C,0),MATCH(N$7,'kc-Wert für Stützen'!$A$8:$ES$8,0)+7,4),,))</f>
        <v>565.06973795608042</v>
      </c>
      <c r="O21" s="768">
        <f ca="1">INDIRECT("'kc-Wert für Stützen'!"&amp;SUBSTITUTE(ADDRESS(MATCH($A21,'kc-Wert für Stützen'!$C:$C,0),MATCH(O$7,'kc-Wert für Stützen'!$A$8:$ES$8,0)+7,4),,))</f>
        <v>538.314603042665</v>
      </c>
      <c r="P21" s="768">
        <f ca="1">INDIRECT("'kc-Wert für Stützen'!"&amp;SUBSTITUTE(ADDRESS(MATCH($A21,'kc-Wert für Stützen'!$C:$C,0),MATCH(P$7,'kc-Wert für Stützen'!$A$8:$ES$8,0)+7,4),,))</f>
        <v>513.41129042923103</v>
      </c>
      <c r="S21" s="772">
        <f t="shared" ca="1" si="3"/>
        <v>991.43080637577316</v>
      </c>
      <c r="T21" s="772">
        <f t="shared" ca="1" si="1"/>
        <v>991.43080637577316</v>
      </c>
      <c r="U21" s="772">
        <f t="shared" ca="1" si="1"/>
        <v>991.43080637577316</v>
      </c>
      <c r="V21" s="772">
        <f t="shared" ca="1" si="1"/>
        <v>930.21395580867431</v>
      </c>
      <c r="W21" s="772">
        <f t="shared" ca="1" si="1"/>
        <v>874.45548048513376</v>
      </c>
      <c r="X21" s="772">
        <f t="shared" ca="1" si="1"/>
        <v>823.53232405019673</v>
      </c>
      <c r="Y21" s="772">
        <f t="shared" ca="1" si="1"/>
        <v>776.90643208055042</v>
      </c>
      <c r="Z21" s="772">
        <f t="shared" ca="1" si="1"/>
        <v>991.43080637577316</v>
      </c>
      <c r="AA21" s="772">
        <f t="shared" ca="1" si="1"/>
        <v>991.43080637577316</v>
      </c>
      <c r="AB21" s="772">
        <f t="shared" ca="1" si="1"/>
        <v>930.21395580867431</v>
      </c>
      <c r="AC21" s="772">
        <f t="shared" ca="1" si="1"/>
        <v>930.21395580867431</v>
      </c>
      <c r="AD21" s="772">
        <f t="shared" ca="1" si="1"/>
        <v>874.45548048513376</v>
      </c>
      <c r="AE21" s="772">
        <f t="shared" ca="1" si="1"/>
        <v>874.45548048513376</v>
      </c>
      <c r="AF21" s="772">
        <f t="shared" ca="1" si="1"/>
        <v>823.53232405019673</v>
      </c>
      <c r="AG21" s="772">
        <f t="shared" ca="1" si="1"/>
        <v>823.53232405019673</v>
      </c>
      <c r="AH21" s="772">
        <f t="shared" ca="1" si="1"/>
        <v>823.53232405019673</v>
      </c>
      <c r="AI21" s="772">
        <f t="shared" ca="1" si="1"/>
        <v>991.43080637577316</v>
      </c>
      <c r="AJ21" s="772">
        <f t="shared" ca="1" si="7"/>
        <v>991.43080637577316</v>
      </c>
      <c r="AK21" s="772">
        <f t="shared" ca="1" si="7"/>
        <v>930.21395580867431</v>
      </c>
      <c r="AL21" s="772">
        <f t="shared" ca="1" si="7"/>
        <v>930.21395580867431</v>
      </c>
      <c r="AM21" s="772">
        <f t="shared" ca="1" si="7"/>
        <v>874.45548048513376</v>
      </c>
      <c r="AN21" s="772">
        <f t="shared" ca="1" si="7"/>
        <v>874.45548048513376</v>
      </c>
      <c r="AO21" s="772">
        <f t="shared" ca="1" si="7"/>
        <v>823.53232405019673</v>
      </c>
      <c r="AP21" s="772">
        <f t="shared" ca="1" si="7"/>
        <v>823.53232405019673</v>
      </c>
      <c r="AQ21" s="772">
        <f t="shared" ca="1" si="7"/>
        <v>823.53232405019673</v>
      </c>
      <c r="AR21" s="772">
        <f t="shared" ca="1" si="7"/>
        <v>991.43080637577316</v>
      </c>
      <c r="AS21" s="772">
        <f t="shared" ca="1" si="7"/>
        <v>991.43080637577316</v>
      </c>
      <c r="AT21" s="772">
        <f t="shared" ca="1" si="7"/>
        <v>930.21395580867431</v>
      </c>
      <c r="AU21" s="772">
        <f t="shared" ca="1" si="7"/>
        <v>930.21395580867431</v>
      </c>
      <c r="AV21" s="772">
        <f t="shared" ca="1" si="7"/>
        <v>874.45548048513376</v>
      </c>
      <c r="AW21" s="772">
        <f t="shared" ca="1" si="7"/>
        <v>874.45548048513376</v>
      </c>
      <c r="AX21" s="772">
        <f t="shared" ca="1" si="7"/>
        <v>823.53232405019673</v>
      </c>
      <c r="AY21" s="772">
        <f t="shared" ca="1" si="7"/>
        <v>823.53232405019673</v>
      </c>
      <c r="AZ21" s="772">
        <f t="shared" ca="1" si="4"/>
        <v>823.53232405019673</v>
      </c>
      <c r="BA21" s="772">
        <f t="shared" ca="1" si="4"/>
        <v>991.43080637577316</v>
      </c>
      <c r="BB21" s="772">
        <f t="shared" ca="1" si="4"/>
        <v>991.43080637577316</v>
      </c>
      <c r="BC21" s="772">
        <f t="shared" ca="1" si="4"/>
        <v>930.21395580867431</v>
      </c>
      <c r="BD21" s="772">
        <f t="shared" ca="1" si="4"/>
        <v>874.45548048513376</v>
      </c>
      <c r="BE21" s="772">
        <f t="shared" ca="1" si="4"/>
        <v>874.45548048513376</v>
      </c>
      <c r="BF21" s="772">
        <f t="shared" ca="1" si="4"/>
        <v>823.53232405019673</v>
      </c>
      <c r="BG21" s="772">
        <f t="shared" ca="1" si="4"/>
        <v>823.53232405019673</v>
      </c>
      <c r="BH21" s="772">
        <f t="shared" ca="1" si="5"/>
        <v>776.90643208055042</v>
      </c>
      <c r="BI21" s="772">
        <f t="shared" ca="1" si="5"/>
        <v>776.90643208055042</v>
      </c>
      <c r="BJ21" s="772">
        <f t="shared" ca="1" si="5"/>
        <v>930.21395580867431</v>
      </c>
      <c r="BK21" s="772">
        <f t="shared" ca="1" si="5"/>
        <v>930.21395580867431</v>
      </c>
      <c r="BL21" s="772">
        <f t="shared" ca="1" si="5"/>
        <v>930.21395580867431</v>
      </c>
      <c r="BM21" s="772">
        <f t="shared" ca="1" si="5"/>
        <v>930.21395580867431</v>
      </c>
      <c r="BN21" s="772">
        <f t="shared" ca="1" si="5"/>
        <v>823.53232405019673</v>
      </c>
      <c r="BO21" s="772">
        <f t="shared" ca="1" si="5"/>
        <v>823.53232405019673</v>
      </c>
      <c r="BP21" s="772">
        <f t="shared" ca="1" si="5"/>
        <v>776.90643208055042</v>
      </c>
      <c r="BQ21" s="772">
        <f t="shared" ca="1" si="5"/>
        <v>776.90643208055042</v>
      </c>
      <c r="BR21" s="772">
        <f t="shared" ca="1" si="5"/>
        <v>734.1115355955634</v>
      </c>
      <c r="BS21" s="772">
        <f t="shared" ca="1" si="5"/>
        <v>930.21395580867431</v>
      </c>
      <c r="BT21" s="772">
        <f t="shared" ca="1" si="5"/>
        <v>930.21395580867431</v>
      </c>
      <c r="BU21" s="772">
        <f t="shared" ca="1" si="5"/>
        <v>930.21395580867431</v>
      </c>
      <c r="BV21" s="772">
        <f t="shared" ca="1" si="5"/>
        <v>874.45548048513376</v>
      </c>
      <c r="BW21" s="772">
        <f t="shared" ca="1" si="5"/>
        <v>874.45548048513376</v>
      </c>
      <c r="BX21" s="772">
        <f t="shared" ca="1" si="6"/>
        <v>776.90643208055042</v>
      </c>
      <c r="BY21" s="772">
        <f t="shared" ca="1" si="6"/>
        <v>776.90643208055042</v>
      </c>
      <c r="BZ21" s="772">
        <f t="shared" ca="1" si="6"/>
        <v>734.1115355955634</v>
      </c>
      <c r="CA21" s="772">
        <f t="shared" ca="1" si="6"/>
        <v>734.1115355955634</v>
      </c>
      <c r="CB21" s="772">
        <f t="shared" ca="1" si="6"/>
        <v>874.45548048513376</v>
      </c>
      <c r="CC21" s="772">
        <f t="shared" ca="1" si="6"/>
        <v>874.45548048513376</v>
      </c>
      <c r="CD21" s="772">
        <f t="shared" ca="1" si="6"/>
        <v>874.45548048513376</v>
      </c>
      <c r="CE21" s="772">
        <f t="shared" ca="1" si="6"/>
        <v>874.45548048513376</v>
      </c>
      <c r="CF21" s="772">
        <f t="shared" ca="1" si="6"/>
        <v>823.53232405019673</v>
      </c>
      <c r="CG21" s="772">
        <f t="shared" ca="1" si="6"/>
        <v>776.90643208055042</v>
      </c>
      <c r="CH21" s="772">
        <f t="shared" ca="1" si="6"/>
        <v>734.1115355955634</v>
      </c>
      <c r="CI21" s="772">
        <f t="shared" ca="1" si="6"/>
        <v>734.1115355955634</v>
      </c>
      <c r="CJ21" s="772">
        <f t="shared" ca="1" si="6"/>
        <v>694.74218538079538</v>
      </c>
    </row>
    <row r="22" spans="1:88" ht="15" customHeight="1">
      <c r="A22" s="770">
        <f>'kc-Wert für Stützen'!C22</f>
        <v>74</v>
      </c>
      <c r="B22" s="768">
        <f ca="1">INDIRECT("'kc-Wert für Stützen'!"&amp;SUBSTITUTE(ADDRESS(MATCH($A22,'kc-Wert für Stützen'!$C:$C,0),MATCH(B$7,'kc-Wert für Stützen'!$A$8:$ES$8,0)+7,4),,))</f>
        <v>1195.5419458992885</v>
      </c>
      <c r="C22" s="768">
        <f ca="1">INDIRECT("'kc-Wert für Stützen'!"&amp;SUBSTITUTE(ADDRESS(MATCH($A22,'kc-Wert für Stützen'!$C:$C,0),MATCH(C$7,'kc-Wert für Stützen'!$A$8:$ES$8,0)+7,4),,))</f>
        <v>1117.0963081726561</v>
      </c>
      <c r="D22" s="768">
        <f ca="1">INDIRECT("'kc-Wert für Stützen'!"&amp;SUBSTITUTE(ADDRESS(MATCH($A22,'kc-Wert für Stützen'!$C:$C,0),MATCH(D$7,'kc-Wert für Stützen'!$A$8:$ES$8,0)+7,4),,))</f>
        <v>1046.0454273997002</v>
      </c>
      <c r="E22" s="768">
        <f ca="1">INDIRECT("'kc-Wert für Stützen'!"&amp;SUBSTITUTE(ADDRESS(MATCH($A22,'kc-Wert für Stützen'!$C:$C,0),MATCH(E$7,'kc-Wert für Stützen'!$A$8:$ES$8,0)+7,4),,))</f>
        <v>981.50318678585541</v>
      </c>
      <c r="F22" s="768">
        <f ca="1">INDIRECT("'kc-Wert für Stützen'!"&amp;SUBSTITUTE(ADDRESS(MATCH($A22,'kc-Wert für Stützen'!$C:$C,0),MATCH(F$7,'kc-Wert für Stützen'!$A$8:$ES$8,0)+7,4),,))</f>
        <v>922.7090664994372</v>
      </c>
      <c r="G22" s="768">
        <f ca="1">INDIRECT("'kc-Wert für Stützen'!"&amp;SUBSTITUTE(ADDRESS(MATCH($A22,'kc-Wert für Stützen'!$C:$C,0),MATCH(G$7,'kc-Wert für Stützen'!$A$8:$ES$8,0)+7,4),,))</f>
        <v>869.00819369896556</v>
      </c>
      <c r="H22" s="768">
        <f ca="1">INDIRECT("'kc-Wert für Stützen'!"&amp;SUBSTITUTE(ADDRESS(MATCH($A22,'kc-Wert für Stützen'!$C:$C,0),MATCH(H$7,'kc-Wert für Stützen'!$A$8:$ES$8,0)+7,4),,))</f>
        <v>819.83475787441</v>
      </c>
      <c r="I22" s="768">
        <f ca="1">INDIRECT("'kc-Wert für Stützen'!"&amp;SUBSTITUTE(ADDRESS(MATCH($A22,'kc-Wert für Stützen'!$C:$C,0),MATCH(I$7,'kc-Wert für Stützen'!$A$8:$ES$8,0)+7,4),,))</f>
        <v>774.6982352242577</v>
      </c>
      <c r="J22" s="768">
        <f ca="1">INDIRECT("'kc-Wert für Stützen'!"&amp;SUBSTITUTE(ADDRESS(MATCH($A22,'kc-Wert für Stützen'!$C:$C,0),MATCH(J$7,'kc-Wert für Stützen'!$A$8:$ES$8,0)+7,4),,))</f>
        <v>733.1719379883599</v>
      </c>
      <c r="K22" s="768">
        <f ca="1">INDIRECT("'kc-Wert für Stützen'!"&amp;SUBSTITUTE(ADDRESS(MATCH($A22,'kc-Wert für Stützen'!$C:$C,0),MATCH(K$7,'kc-Wert für Stützen'!$A$8:$ES$8,0)+7,4),,))</f>
        <v>694.88347998416907</v>
      </c>
      <c r="L22" s="768">
        <f ca="1">INDIRECT("'kc-Wert für Stützen'!"&amp;SUBSTITUTE(ADDRESS(MATCH($A22,'kc-Wert für Stützen'!$C:$C,0),MATCH(L$7,'kc-Wert für Stützen'!$A$8:$ES$8,0)+7,4),,))</f>
        <v>659.50681897394668</v>
      </c>
      <c r="M22" s="768">
        <f ca="1">INDIRECT("'kc-Wert für Stützen'!"&amp;SUBSTITUTE(ADDRESS(MATCH($A22,'kc-Wert für Stützen'!$C:$C,0),MATCH(M$7,'kc-Wert für Stützen'!$A$8:$ES$8,0)+7,4),,))</f>
        <v>626.75559675294437</v>
      </c>
      <c r="N22" s="768">
        <f ca="1">INDIRECT("'kc-Wert für Stützen'!"&amp;SUBSTITUTE(ADDRESS(MATCH($A22,'kc-Wert für Stützen'!$C:$C,0),MATCH(N$7,'kc-Wert für Stützen'!$A$8:$ES$8,0)+7,4),,))</f>
        <v>596.37754856676145</v>
      </c>
      <c r="O22" s="768">
        <f ca="1">INDIRECT("'kc-Wert für Stützen'!"&amp;SUBSTITUTE(ADDRESS(MATCH($A22,'kc-Wert für Stützen'!$C:$C,0),MATCH(O$7,'kc-Wert für Stützen'!$A$8:$ES$8,0)+7,4),,))</f>
        <v>568.14979539059118</v>
      </c>
      <c r="P22" s="768">
        <f ca="1">INDIRECT("'kc-Wert für Stützen'!"&amp;SUBSTITUTE(ADDRESS(MATCH($A22,'kc-Wert für Stützen'!$C:$C,0),MATCH(P$7,'kc-Wert für Stützen'!$A$8:$ES$8,0)+7,4),,))</f>
        <v>541.87486690014714</v>
      </c>
      <c r="S22" s="772">
        <f t="shared" ca="1" si="3"/>
        <v>1046.0454273997002</v>
      </c>
      <c r="T22" s="772">
        <f t="shared" ca="1" si="1"/>
        <v>1046.0454273997002</v>
      </c>
      <c r="U22" s="772">
        <f t="shared" ca="1" si="1"/>
        <v>1046.0454273997002</v>
      </c>
      <c r="V22" s="772">
        <f t="shared" ca="1" si="1"/>
        <v>981.50318678585541</v>
      </c>
      <c r="W22" s="772">
        <f t="shared" ca="1" si="1"/>
        <v>922.7090664994372</v>
      </c>
      <c r="X22" s="772">
        <f t="shared" ca="1" si="1"/>
        <v>869.00819369896556</v>
      </c>
      <c r="Y22" s="772">
        <f t="shared" ca="1" si="1"/>
        <v>819.83475787441</v>
      </c>
      <c r="Z22" s="772">
        <f t="shared" ca="1" si="1"/>
        <v>1046.0454273997002</v>
      </c>
      <c r="AA22" s="772">
        <f t="shared" ca="1" si="1"/>
        <v>1046.0454273997002</v>
      </c>
      <c r="AB22" s="772">
        <f t="shared" ca="1" si="1"/>
        <v>981.50318678585541</v>
      </c>
      <c r="AC22" s="772">
        <f t="shared" ca="1" si="1"/>
        <v>981.50318678585541</v>
      </c>
      <c r="AD22" s="772">
        <f t="shared" ca="1" si="1"/>
        <v>922.7090664994372</v>
      </c>
      <c r="AE22" s="772">
        <f t="shared" ca="1" si="1"/>
        <v>922.7090664994372</v>
      </c>
      <c r="AF22" s="772">
        <f t="shared" ca="1" si="1"/>
        <v>869.00819369896556</v>
      </c>
      <c r="AG22" s="772">
        <f t="shared" ca="1" si="1"/>
        <v>869.00819369896556</v>
      </c>
      <c r="AH22" s="772">
        <f t="shared" ca="1" si="1"/>
        <v>869.00819369896556</v>
      </c>
      <c r="AI22" s="772">
        <f t="shared" ca="1" si="1"/>
        <v>1046.0454273997002</v>
      </c>
      <c r="AJ22" s="772">
        <f t="shared" ca="1" si="7"/>
        <v>1046.0454273997002</v>
      </c>
      <c r="AK22" s="772">
        <f t="shared" ca="1" si="7"/>
        <v>981.50318678585541</v>
      </c>
      <c r="AL22" s="772">
        <f t="shared" ca="1" si="7"/>
        <v>981.50318678585541</v>
      </c>
      <c r="AM22" s="772">
        <f t="shared" ca="1" si="7"/>
        <v>922.7090664994372</v>
      </c>
      <c r="AN22" s="772">
        <f t="shared" ca="1" si="7"/>
        <v>922.7090664994372</v>
      </c>
      <c r="AO22" s="772">
        <f t="shared" ca="1" si="7"/>
        <v>869.00819369896556</v>
      </c>
      <c r="AP22" s="772">
        <f t="shared" ca="1" si="7"/>
        <v>869.00819369896556</v>
      </c>
      <c r="AQ22" s="772">
        <f t="shared" ca="1" si="7"/>
        <v>869.00819369896556</v>
      </c>
      <c r="AR22" s="772">
        <f t="shared" ca="1" si="7"/>
        <v>1046.0454273997002</v>
      </c>
      <c r="AS22" s="772">
        <f t="shared" ca="1" si="7"/>
        <v>1046.0454273997002</v>
      </c>
      <c r="AT22" s="772">
        <f t="shared" ca="1" si="7"/>
        <v>981.50318678585541</v>
      </c>
      <c r="AU22" s="772">
        <f t="shared" ca="1" si="7"/>
        <v>981.50318678585541</v>
      </c>
      <c r="AV22" s="772">
        <f t="shared" ca="1" si="7"/>
        <v>922.7090664994372</v>
      </c>
      <c r="AW22" s="772">
        <f t="shared" ca="1" si="7"/>
        <v>922.7090664994372</v>
      </c>
      <c r="AX22" s="772">
        <f t="shared" ca="1" si="7"/>
        <v>869.00819369896556</v>
      </c>
      <c r="AY22" s="772">
        <f t="shared" ca="1" si="7"/>
        <v>869.00819369896556</v>
      </c>
      <c r="AZ22" s="772">
        <f t="shared" ca="1" si="4"/>
        <v>869.00819369896556</v>
      </c>
      <c r="BA22" s="772">
        <f t="shared" ca="1" si="4"/>
        <v>1046.0454273997002</v>
      </c>
      <c r="BB22" s="772">
        <f t="shared" ca="1" si="4"/>
        <v>1046.0454273997002</v>
      </c>
      <c r="BC22" s="772">
        <f t="shared" ca="1" si="4"/>
        <v>981.50318678585541</v>
      </c>
      <c r="BD22" s="772">
        <f t="shared" ca="1" si="4"/>
        <v>922.7090664994372</v>
      </c>
      <c r="BE22" s="772">
        <f t="shared" ca="1" si="4"/>
        <v>922.7090664994372</v>
      </c>
      <c r="BF22" s="772">
        <f t="shared" ca="1" si="4"/>
        <v>869.00819369896556</v>
      </c>
      <c r="BG22" s="772">
        <f t="shared" ca="1" si="4"/>
        <v>869.00819369896556</v>
      </c>
      <c r="BH22" s="772">
        <f t="shared" ca="1" si="5"/>
        <v>819.83475787441</v>
      </c>
      <c r="BI22" s="772">
        <f t="shared" ca="1" si="5"/>
        <v>819.83475787441</v>
      </c>
      <c r="BJ22" s="772">
        <f t="shared" ca="1" si="5"/>
        <v>981.50318678585541</v>
      </c>
      <c r="BK22" s="772">
        <f t="shared" ca="1" si="5"/>
        <v>981.50318678585541</v>
      </c>
      <c r="BL22" s="772">
        <f t="shared" ca="1" si="5"/>
        <v>981.50318678585541</v>
      </c>
      <c r="BM22" s="772">
        <f t="shared" ca="1" si="5"/>
        <v>981.50318678585541</v>
      </c>
      <c r="BN22" s="772">
        <f t="shared" ca="1" si="5"/>
        <v>869.00819369896556</v>
      </c>
      <c r="BO22" s="772">
        <f t="shared" ca="1" si="5"/>
        <v>869.00819369896556</v>
      </c>
      <c r="BP22" s="772">
        <f t="shared" ca="1" si="5"/>
        <v>819.83475787441</v>
      </c>
      <c r="BQ22" s="772">
        <f t="shared" ca="1" si="5"/>
        <v>819.83475787441</v>
      </c>
      <c r="BR22" s="772">
        <f t="shared" ca="1" si="5"/>
        <v>774.6982352242577</v>
      </c>
      <c r="BS22" s="772">
        <f t="shared" ca="1" si="5"/>
        <v>981.50318678585541</v>
      </c>
      <c r="BT22" s="772">
        <f t="shared" ca="1" si="5"/>
        <v>981.50318678585541</v>
      </c>
      <c r="BU22" s="772">
        <f t="shared" ca="1" si="5"/>
        <v>981.50318678585541</v>
      </c>
      <c r="BV22" s="772">
        <f t="shared" ca="1" si="5"/>
        <v>922.7090664994372</v>
      </c>
      <c r="BW22" s="772">
        <f t="shared" ca="1" si="5"/>
        <v>922.7090664994372</v>
      </c>
      <c r="BX22" s="772">
        <f t="shared" ca="1" si="6"/>
        <v>819.83475787441</v>
      </c>
      <c r="BY22" s="772">
        <f t="shared" ca="1" si="6"/>
        <v>819.83475787441</v>
      </c>
      <c r="BZ22" s="772">
        <f t="shared" ca="1" si="6"/>
        <v>774.6982352242577</v>
      </c>
      <c r="CA22" s="772">
        <f t="shared" ca="1" si="6"/>
        <v>774.6982352242577</v>
      </c>
      <c r="CB22" s="772">
        <f t="shared" ca="1" si="6"/>
        <v>922.7090664994372</v>
      </c>
      <c r="CC22" s="772">
        <f t="shared" ca="1" si="6"/>
        <v>922.7090664994372</v>
      </c>
      <c r="CD22" s="772">
        <f t="shared" ca="1" si="6"/>
        <v>922.7090664994372</v>
      </c>
      <c r="CE22" s="772">
        <f t="shared" ca="1" si="6"/>
        <v>922.7090664994372</v>
      </c>
      <c r="CF22" s="772">
        <f t="shared" ca="1" si="6"/>
        <v>869.00819369896556</v>
      </c>
      <c r="CG22" s="772">
        <f t="shared" ca="1" si="6"/>
        <v>819.83475787441</v>
      </c>
      <c r="CH22" s="772">
        <f t="shared" ca="1" si="6"/>
        <v>774.6982352242577</v>
      </c>
      <c r="CI22" s="772">
        <f t="shared" ca="1" si="6"/>
        <v>774.6982352242577</v>
      </c>
      <c r="CJ22" s="772">
        <f t="shared" ca="1" si="6"/>
        <v>733.1719379883599</v>
      </c>
    </row>
    <row r="23" spans="1:88" ht="15" customHeight="1">
      <c r="A23" s="770">
        <f>'kc-Wert für Stützen'!C23</f>
        <v>75</v>
      </c>
      <c r="B23" s="768">
        <f ca="1">INDIRECT("'kc-Wert für Stützen'!"&amp;SUBSTITUTE(ADDRESS(MATCH($A23,'kc-Wert für Stützen'!$C:$C,0),MATCH(B$7,'kc-Wert für Stützen'!$A$8:$ES$8,0)+7,4),,))</f>
        <v>1260.3129949823733</v>
      </c>
      <c r="C23" s="768">
        <f ca="1">INDIRECT("'kc-Wert für Stützen'!"&amp;SUBSTITUTE(ADDRESS(MATCH($A23,'kc-Wert für Stützen'!$C:$C,0),MATCH(C$7,'kc-Wert für Stützen'!$A$8:$ES$8,0)+7,4),,))</f>
        <v>1177.6944051070327</v>
      </c>
      <c r="D23" s="768">
        <f ca="1">INDIRECT("'kc-Wert für Stützen'!"&amp;SUBSTITUTE(ADDRESS(MATCH($A23,'kc-Wert für Stützen'!$C:$C,0),MATCH(D$7,'kc-Wert für Stützen'!$A$8:$ES$8,0)+7,4),,))</f>
        <v>1102.8514813668969</v>
      </c>
      <c r="E23" s="768">
        <f ca="1">INDIRECT("'kc-Wert für Stützen'!"&amp;SUBSTITUTE(ADDRESS(MATCH($A23,'kc-Wert für Stützen'!$C:$C,0),MATCH(E$7,'kc-Wert für Stützen'!$A$8:$ES$8,0)+7,4),,))</f>
        <v>1034.8550326030365</v>
      </c>
      <c r="F23" s="768">
        <f ca="1">INDIRECT("'kc-Wert für Stützen'!"&amp;SUBSTITUTE(ADDRESS(MATCH($A23,'kc-Wert für Stützen'!$C:$C,0),MATCH(F$7,'kc-Wert für Stützen'!$A$8:$ES$8,0)+7,4),,))</f>
        <v>972.90693681617404</v>
      </c>
      <c r="G23" s="768">
        <f ca="1">INDIRECT("'kc-Wert für Stützen'!"&amp;SUBSTITUTE(ADDRESS(MATCH($A23,'kc-Wert für Stützen'!$C:$C,0),MATCH(G$7,'kc-Wert für Stützen'!$A$8:$ES$8,0)+7,4),,))</f>
        <v>916.31950236578291</v>
      </c>
      <c r="H23" s="768">
        <f ca="1">INDIRECT("'kc-Wert für Stützen'!"&amp;SUBSTITUTE(ADDRESS(MATCH($A23,'kc-Wert für Stützen'!$C:$C,0),MATCH(H$7,'kc-Wert für Stützen'!$A$8:$ES$8,0)+7,4),,))</f>
        <v>864.49825194257505</v>
      </c>
      <c r="I23" s="768">
        <f ca="1">INDIRECT("'kc-Wert für Stützen'!"&amp;SUBSTITUTE(ADDRESS(MATCH($A23,'kc-Wert für Stützen'!$C:$C,0),MATCH(I$7,'kc-Wert für Stützen'!$A$8:$ES$8,0)+7,4),,))</f>
        <v>816.92758557207912</v>
      </c>
      <c r="J23" s="768">
        <f ca="1">INDIRECT("'kc-Wert für Stützen'!"&amp;SUBSTITUTE(ADDRESS(MATCH($A23,'kc-Wert für Stützen'!$C:$C,0),MATCH(J$7,'kc-Wert für Stützen'!$A$8:$ES$8,0)+7,4),,))</f>
        <v>773.15883950249849</v>
      </c>
      <c r="K23" s="768">
        <f ca="1">INDIRECT("'kc-Wert für Stützen'!"&amp;SUBSTITUTE(ADDRESS(MATCH($A23,'kc-Wert für Stützen'!$C:$C,0),MATCH(K$7,'kc-Wert für Stützen'!$A$8:$ES$8,0)+7,4),,))</f>
        <v>732.80032767924388</v>
      </c>
      <c r="L23" s="768">
        <f ca="1">INDIRECT("'kc-Wert für Stützen'!"&amp;SUBSTITUTE(ADDRESS(MATCH($A23,'kc-Wert für Stützen'!$C:$C,0),MATCH(L$7,'kc-Wert für Stützen'!$A$8:$ES$8,0)+7,4),,))</f>
        <v>695.50901964517948</v>
      </c>
      <c r="M23" s="768">
        <f ca="1">INDIRECT("'kc-Wert für Stützen'!"&amp;SUBSTITUTE(ADDRESS(MATCH($A23,'kc-Wert für Stützen'!$C:$C,0),MATCH(M$7,'kc-Wert für Stützen'!$A$8:$ES$8,0)+7,4),,))</f>
        <v>660.98356839764392</v>
      </c>
      <c r="N23" s="768">
        <f ca="1">INDIRECT("'kc-Wert für Stützen'!"&amp;SUBSTITUTE(ADDRESS(MATCH($A23,'kc-Wert für Stützen'!$C:$C,0),MATCH(N$7,'kc-Wert für Stützen'!$A$8:$ES$8,0)+7,4),,))</f>
        <v>628.95845270804739</v>
      </c>
      <c r="O23" s="768">
        <f ca="1">INDIRECT("'kc-Wert für Stützen'!"&amp;SUBSTITUTE(ADDRESS(MATCH($A23,'kc-Wert für Stützen'!$C:$C,0),MATCH(O$7,'kc-Wert für Stützen'!$A$8:$ES$8,0)+7,4),,))</f>
        <v>599.19904096249718</v>
      </c>
      <c r="P23" s="768">
        <f ca="1">INDIRECT("'kc-Wert für Stützen'!"&amp;SUBSTITUTE(ADDRESS(MATCH($A23,'kc-Wert für Stützen'!$C:$C,0),MATCH(P$7,'kc-Wert für Stützen'!$A$8:$ES$8,0)+7,4),,))</f>
        <v>571.49741863769179</v>
      </c>
      <c r="S23" s="772">
        <f t="shared" ca="1" si="3"/>
        <v>1102.8514813668969</v>
      </c>
      <c r="T23" s="772">
        <f t="shared" ca="1" si="1"/>
        <v>1102.8514813668969</v>
      </c>
      <c r="U23" s="772">
        <f t="shared" ca="1" si="1"/>
        <v>1102.8514813668969</v>
      </c>
      <c r="V23" s="772">
        <f t="shared" ca="1" si="1"/>
        <v>1034.8550326030365</v>
      </c>
      <c r="W23" s="772">
        <f t="shared" ca="1" si="1"/>
        <v>972.90693681617404</v>
      </c>
      <c r="X23" s="772">
        <f t="shared" ca="1" si="1"/>
        <v>916.31950236578291</v>
      </c>
      <c r="Y23" s="772">
        <f t="shared" ca="1" si="1"/>
        <v>864.49825194257505</v>
      </c>
      <c r="Z23" s="772">
        <f t="shared" ca="1" si="1"/>
        <v>1102.8514813668969</v>
      </c>
      <c r="AA23" s="772">
        <f t="shared" ca="1" si="1"/>
        <v>1102.8514813668969</v>
      </c>
      <c r="AB23" s="772">
        <f t="shared" ca="1" si="1"/>
        <v>1034.8550326030365</v>
      </c>
      <c r="AC23" s="772">
        <f t="shared" ca="1" si="1"/>
        <v>1034.8550326030365</v>
      </c>
      <c r="AD23" s="772">
        <f t="shared" ca="1" si="1"/>
        <v>972.90693681617404</v>
      </c>
      <c r="AE23" s="772">
        <f t="shared" ca="1" si="1"/>
        <v>972.90693681617404</v>
      </c>
      <c r="AF23" s="772">
        <f t="shared" ca="1" si="1"/>
        <v>916.31950236578291</v>
      </c>
      <c r="AG23" s="772">
        <f t="shared" ca="1" si="1"/>
        <v>916.31950236578291</v>
      </c>
      <c r="AH23" s="772">
        <f t="shared" ca="1" si="1"/>
        <v>916.31950236578291</v>
      </c>
      <c r="AI23" s="772">
        <f t="shared" ca="1" si="1"/>
        <v>1102.8514813668969</v>
      </c>
      <c r="AJ23" s="772">
        <f t="shared" ca="1" si="7"/>
        <v>1102.8514813668969</v>
      </c>
      <c r="AK23" s="772">
        <f t="shared" ca="1" si="7"/>
        <v>1034.8550326030365</v>
      </c>
      <c r="AL23" s="772">
        <f t="shared" ca="1" si="7"/>
        <v>1034.8550326030365</v>
      </c>
      <c r="AM23" s="772">
        <f t="shared" ca="1" si="7"/>
        <v>972.90693681617404</v>
      </c>
      <c r="AN23" s="772">
        <f t="shared" ca="1" si="7"/>
        <v>972.90693681617404</v>
      </c>
      <c r="AO23" s="772">
        <f t="shared" ca="1" si="7"/>
        <v>916.31950236578291</v>
      </c>
      <c r="AP23" s="772">
        <f t="shared" ca="1" si="7"/>
        <v>916.31950236578291</v>
      </c>
      <c r="AQ23" s="772">
        <f t="shared" ca="1" si="7"/>
        <v>916.31950236578291</v>
      </c>
      <c r="AR23" s="772">
        <f t="shared" ca="1" si="7"/>
        <v>1102.8514813668969</v>
      </c>
      <c r="AS23" s="772">
        <f t="shared" ca="1" si="7"/>
        <v>1102.8514813668969</v>
      </c>
      <c r="AT23" s="772">
        <f t="shared" ca="1" si="7"/>
        <v>1034.8550326030365</v>
      </c>
      <c r="AU23" s="772">
        <f t="shared" ca="1" si="7"/>
        <v>1034.8550326030365</v>
      </c>
      <c r="AV23" s="772">
        <f t="shared" ca="1" si="7"/>
        <v>972.90693681617404</v>
      </c>
      <c r="AW23" s="772">
        <f t="shared" ca="1" si="7"/>
        <v>972.90693681617404</v>
      </c>
      <c r="AX23" s="772">
        <f t="shared" ca="1" si="7"/>
        <v>916.31950236578291</v>
      </c>
      <c r="AY23" s="772">
        <f t="shared" ca="1" si="7"/>
        <v>916.31950236578291</v>
      </c>
      <c r="AZ23" s="772">
        <f t="shared" ca="1" si="4"/>
        <v>916.31950236578291</v>
      </c>
      <c r="BA23" s="772">
        <f t="shared" ca="1" si="4"/>
        <v>1102.8514813668969</v>
      </c>
      <c r="BB23" s="772">
        <f t="shared" ca="1" si="4"/>
        <v>1102.8514813668969</v>
      </c>
      <c r="BC23" s="772">
        <f t="shared" ca="1" si="4"/>
        <v>1034.8550326030365</v>
      </c>
      <c r="BD23" s="772">
        <f t="shared" ca="1" si="4"/>
        <v>972.90693681617404</v>
      </c>
      <c r="BE23" s="772">
        <f t="shared" ca="1" si="4"/>
        <v>972.90693681617404</v>
      </c>
      <c r="BF23" s="772">
        <f t="shared" ca="1" si="4"/>
        <v>916.31950236578291</v>
      </c>
      <c r="BG23" s="772">
        <f t="shared" ca="1" si="4"/>
        <v>916.31950236578291</v>
      </c>
      <c r="BH23" s="772">
        <f t="shared" ca="1" si="5"/>
        <v>864.49825194257505</v>
      </c>
      <c r="BI23" s="772">
        <f t="shared" ca="1" si="5"/>
        <v>864.49825194257505</v>
      </c>
      <c r="BJ23" s="772">
        <f t="shared" ca="1" si="5"/>
        <v>1034.8550326030365</v>
      </c>
      <c r="BK23" s="772">
        <f t="shared" ca="1" si="5"/>
        <v>1034.8550326030365</v>
      </c>
      <c r="BL23" s="772">
        <f t="shared" ca="1" si="5"/>
        <v>1034.8550326030365</v>
      </c>
      <c r="BM23" s="772">
        <f t="shared" ca="1" si="5"/>
        <v>1034.8550326030365</v>
      </c>
      <c r="BN23" s="772">
        <f t="shared" ca="1" si="5"/>
        <v>916.31950236578291</v>
      </c>
      <c r="BO23" s="772">
        <f t="shared" ca="1" si="5"/>
        <v>916.31950236578291</v>
      </c>
      <c r="BP23" s="772">
        <f t="shared" ca="1" si="5"/>
        <v>864.49825194257505</v>
      </c>
      <c r="BQ23" s="772">
        <f t="shared" ca="1" si="5"/>
        <v>864.49825194257505</v>
      </c>
      <c r="BR23" s="772">
        <f t="shared" ca="1" si="5"/>
        <v>816.92758557207912</v>
      </c>
      <c r="BS23" s="772">
        <f t="shared" ca="1" si="5"/>
        <v>1034.8550326030365</v>
      </c>
      <c r="BT23" s="772">
        <f t="shared" ca="1" si="5"/>
        <v>1034.8550326030365</v>
      </c>
      <c r="BU23" s="772">
        <f t="shared" ca="1" si="5"/>
        <v>1034.8550326030365</v>
      </c>
      <c r="BV23" s="772">
        <f t="shared" ca="1" si="5"/>
        <v>972.90693681617404</v>
      </c>
      <c r="BW23" s="772">
        <f t="shared" ca="1" si="5"/>
        <v>972.90693681617404</v>
      </c>
      <c r="BX23" s="772">
        <f t="shared" ca="1" si="6"/>
        <v>864.49825194257505</v>
      </c>
      <c r="BY23" s="772">
        <f t="shared" ca="1" si="6"/>
        <v>864.49825194257505</v>
      </c>
      <c r="BZ23" s="772">
        <f t="shared" ca="1" si="6"/>
        <v>816.92758557207912</v>
      </c>
      <c r="CA23" s="772">
        <f t="shared" ca="1" si="6"/>
        <v>816.92758557207912</v>
      </c>
      <c r="CB23" s="772">
        <f t="shared" ca="1" si="6"/>
        <v>972.90693681617404</v>
      </c>
      <c r="CC23" s="772">
        <f t="shared" ca="1" si="6"/>
        <v>972.90693681617404</v>
      </c>
      <c r="CD23" s="772">
        <f t="shared" ca="1" si="6"/>
        <v>972.90693681617404</v>
      </c>
      <c r="CE23" s="772">
        <f t="shared" ca="1" si="6"/>
        <v>972.90693681617404</v>
      </c>
      <c r="CF23" s="772">
        <f t="shared" ca="1" si="6"/>
        <v>916.31950236578291</v>
      </c>
      <c r="CG23" s="772">
        <f t="shared" ca="1" si="6"/>
        <v>864.49825194257505</v>
      </c>
      <c r="CH23" s="772">
        <f t="shared" ca="1" si="6"/>
        <v>816.92758557207912</v>
      </c>
      <c r="CI23" s="772">
        <f t="shared" ca="1" si="6"/>
        <v>816.92758557207912</v>
      </c>
      <c r="CJ23" s="772">
        <f t="shared" ca="1" si="6"/>
        <v>773.15883950249849</v>
      </c>
    </row>
    <row r="24" spans="1:88" ht="15" customHeight="1">
      <c r="A24" s="770">
        <f>'kc-Wert für Stützen'!C24</f>
        <v>76</v>
      </c>
      <c r="B24" s="768">
        <f ca="1">INDIRECT("'kc-Wert für Stützen'!"&amp;SUBSTITUTE(ADDRESS(MATCH($A24,'kc-Wert für Stützen'!$C:$C,0),MATCH(B$7,'kc-Wert für Stützen'!$A$8:$ES$8,0)+7,4),,))</f>
        <v>1327.6296851008087</v>
      </c>
      <c r="C24" s="768">
        <f ca="1">INDIRECT("'kc-Wert für Stützen'!"&amp;SUBSTITUTE(ADDRESS(MATCH($A24,'kc-Wert für Stützen'!$C:$C,0),MATCH(C$7,'kc-Wert für Stützen'!$A$8:$ES$8,0)+7,4),,))</f>
        <v>1240.6819657106603</v>
      </c>
      <c r="D24" s="768">
        <f ca="1">INDIRECT("'kc-Wert für Stützen'!"&amp;SUBSTITUTE(ADDRESS(MATCH($A24,'kc-Wert für Stützen'!$C:$C,0),MATCH(D$7,'kc-Wert für Stützen'!$A$8:$ES$8,0)+7,4),,))</f>
        <v>1161.9036725513399</v>
      </c>
      <c r="E24" s="768">
        <f ca="1">INDIRECT("'kc-Wert für Stützen'!"&amp;SUBSTITUTE(ADDRESS(MATCH($A24,'kc-Wert für Stützen'!$C:$C,0),MATCH(E$7,'kc-Wert für Stützen'!$A$8:$ES$8,0)+7,4),,))</f>
        <v>1090.3214051814323</v>
      </c>
      <c r="F24" s="768">
        <f ca="1">INDIRECT("'kc-Wert für Stützen'!"&amp;SUBSTITUTE(ADDRESS(MATCH($A24,'kc-Wert für Stützen'!$C:$C,0),MATCH(F$7,'kc-Wert für Stützen'!$A$8:$ES$8,0)+7,4),,))</f>
        <v>1025.0983617857364</v>
      </c>
      <c r="G24" s="768">
        <f ca="1">INDIRECT("'kc-Wert für Stützen'!"&amp;SUBSTITUTE(ADDRESS(MATCH($A24,'kc-Wert für Stützen'!$C:$C,0),MATCH(G$7,'kc-Wert für Stützen'!$A$8:$ES$8,0)+7,4),,))</f>
        <v>965.51303285802067</v>
      </c>
      <c r="H24" s="768">
        <f ca="1">INDIRECT("'kc-Wert für Stützen'!"&amp;SUBSTITUTE(ADDRESS(MATCH($A24,'kc-Wert für Stützen'!$C:$C,0),MATCH(H$7,'kc-Wert für Stützen'!$A$8:$ES$8,0)+7,4),,))</f>
        <v>910.94136138764929</v>
      </c>
      <c r="I24" s="768">
        <f ca="1">INDIRECT("'kc-Wert für Stützen'!"&amp;SUBSTITUTE(ADDRESS(MATCH($A24,'kc-Wert für Stützen'!$C:$C,0),MATCH(I$7,'kc-Wert für Stützen'!$A$8:$ES$8,0)+7,4),,))</f>
        <v>860.8418444794238</v>
      </c>
      <c r="J24" s="768">
        <f ca="1">INDIRECT("'kc-Wert für Stützen'!"&amp;SUBSTITUTE(ADDRESS(MATCH($A24,'kc-Wert für Stützen'!$C:$C,0),MATCH(J$7,'kc-Wert für Stützen'!$A$8:$ES$8,0)+7,4),,))</f>
        <v>814.74309776288499</v>
      </c>
      <c r="K24" s="768">
        <f ca="1">INDIRECT("'kc-Wert für Stützen'!"&amp;SUBSTITUTE(ADDRESS(MATCH($A24,'kc-Wert für Stützen'!$C:$C,0),MATCH(K$7,'kc-Wert für Stützen'!$A$8:$ES$8,0)+7,4),,))</f>
        <v>772.23346682219346</v>
      </c>
      <c r="L24" s="768">
        <f ca="1">INDIRECT("'kc-Wert für Stützen'!"&amp;SUBSTITUTE(ADDRESS(MATCH($A24,'kc-Wert für Stützen'!$C:$C,0),MATCH(L$7,'kc-Wert für Stützen'!$A$8:$ES$8,0)+7,4),,))</f>
        <v>732.95233389126372</v>
      </c>
      <c r="M24" s="768">
        <f ca="1">INDIRECT("'kc-Wert für Stützen'!"&amp;SUBSTITUTE(ADDRESS(MATCH($A24,'kc-Wert für Stützen'!$C:$C,0),MATCH(M$7,'kc-Wert für Stützen'!$A$8:$ES$8,0)+7,4),,))</f>
        <v>696.5828266598985</v>
      </c>
      <c r="N24" s="768">
        <f ca="1">INDIRECT("'kc-Wert für Stützen'!"&amp;SUBSTITUTE(ADDRESS(MATCH($A24,'kc-Wert für Stützen'!$C:$C,0),MATCH(N$7,'kc-Wert für Stützen'!$A$8:$ES$8,0)+7,4),,))</f>
        <v>662.84568695931466</v>
      </c>
      <c r="O24" s="768">
        <f ca="1">INDIRECT("'kc-Wert für Stützen'!"&amp;SUBSTITUTE(ADDRESS(MATCH($A24,'kc-Wert für Stützen'!$C:$C,0),MATCH(O$7,'kc-Wert für Stützen'!$A$8:$ES$8,0)+7,4),,))</f>
        <v>631.49410009383337</v>
      </c>
      <c r="P24" s="768">
        <f ca="1">INDIRECT("'kc-Wert für Stützen'!"&amp;SUBSTITUTE(ADDRESS(MATCH($A24,'kc-Wert für Stützen'!$C:$C,0),MATCH(P$7,'kc-Wert für Stützen'!$A$8:$ES$8,0)+7,4),,))</f>
        <v>602.30932129317705</v>
      </c>
      <c r="S24" s="772">
        <f t="shared" ca="1" si="3"/>
        <v>1161.9036725513399</v>
      </c>
      <c r="T24" s="772">
        <f t="shared" ca="1" si="3"/>
        <v>1161.9036725513399</v>
      </c>
      <c r="U24" s="772">
        <f t="shared" ca="1" si="3"/>
        <v>1161.9036725513399</v>
      </c>
      <c r="V24" s="772">
        <f t="shared" ca="1" si="3"/>
        <v>1090.3214051814323</v>
      </c>
      <c r="W24" s="772">
        <f t="shared" ca="1" si="3"/>
        <v>1025.0983617857364</v>
      </c>
      <c r="X24" s="772">
        <f t="shared" ca="1" si="3"/>
        <v>965.51303285802067</v>
      </c>
      <c r="Y24" s="772">
        <f t="shared" ca="1" si="3"/>
        <v>910.94136138764929</v>
      </c>
      <c r="Z24" s="772">
        <f t="shared" ca="1" si="3"/>
        <v>1161.9036725513399</v>
      </c>
      <c r="AA24" s="772">
        <f t="shared" ca="1" si="3"/>
        <v>1161.9036725513399</v>
      </c>
      <c r="AB24" s="772">
        <f t="shared" ref="AB24:AQ39" ca="1" si="8">HLOOKUP(AB$7,$A$7:$P$348,ROW()-6)</f>
        <v>1090.3214051814323</v>
      </c>
      <c r="AC24" s="772">
        <f t="shared" ca="1" si="8"/>
        <v>1090.3214051814323</v>
      </c>
      <c r="AD24" s="772">
        <f t="shared" ca="1" si="8"/>
        <v>1025.0983617857364</v>
      </c>
      <c r="AE24" s="772">
        <f t="shared" ca="1" si="8"/>
        <v>1025.0983617857364</v>
      </c>
      <c r="AF24" s="772">
        <f t="shared" ca="1" si="8"/>
        <v>965.51303285802067</v>
      </c>
      <c r="AG24" s="772">
        <f t="shared" ca="1" si="8"/>
        <v>965.51303285802067</v>
      </c>
      <c r="AH24" s="772">
        <f t="shared" ca="1" si="8"/>
        <v>965.51303285802067</v>
      </c>
      <c r="AI24" s="772">
        <f t="shared" ca="1" si="8"/>
        <v>1161.9036725513399</v>
      </c>
      <c r="AJ24" s="772">
        <f t="shared" ca="1" si="8"/>
        <v>1161.9036725513399</v>
      </c>
      <c r="AK24" s="772">
        <f t="shared" ca="1" si="8"/>
        <v>1090.3214051814323</v>
      </c>
      <c r="AL24" s="772">
        <f t="shared" ca="1" si="8"/>
        <v>1090.3214051814323</v>
      </c>
      <c r="AM24" s="772">
        <f t="shared" ca="1" si="8"/>
        <v>1025.0983617857364</v>
      </c>
      <c r="AN24" s="772">
        <f t="shared" ca="1" si="8"/>
        <v>1025.0983617857364</v>
      </c>
      <c r="AO24" s="772">
        <f t="shared" ca="1" si="8"/>
        <v>965.51303285802067</v>
      </c>
      <c r="AP24" s="772">
        <f t="shared" ca="1" si="8"/>
        <v>965.51303285802067</v>
      </c>
      <c r="AQ24" s="772">
        <f t="shared" ca="1" si="8"/>
        <v>965.51303285802067</v>
      </c>
      <c r="AR24" s="772">
        <f t="shared" ca="1" si="7"/>
        <v>1161.9036725513399</v>
      </c>
      <c r="AS24" s="772">
        <f t="shared" ca="1" si="7"/>
        <v>1161.9036725513399</v>
      </c>
      <c r="AT24" s="772">
        <f t="shared" ca="1" si="7"/>
        <v>1090.3214051814323</v>
      </c>
      <c r="AU24" s="772">
        <f t="shared" ca="1" si="7"/>
        <v>1090.3214051814323</v>
      </c>
      <c r="AV24" s="772">
        <f t="shared" ca="1" si="7"/>
        <v>1025.0983617857364</v>
      </c>
      <c r="AW24" s="772">
        <f t="shared" ca="1" si="7"/>
        <v>1025.0983617857364</v>
      </c>
      <c r="AX24" s="772">
        <f t="shared" ca="1" si="7"/>
        <v>965.51303285802067</v>
      </c>
      <c r="AY24" s="772">
        <f t="shared" ca="1" si="7"/>
        <v>965.51303285802067</v>
      </c>
      <c r="AZ24" s="772">
        <f t="shared" ca="1" si="4"/>
        <v>965.51303285802067</v>
      </c>
      <c r="BA24" s="772">
        <f t="shared" ca="1" si="4"/>
        <v>1161.9036725513399</v>
      </c>
      <c r="BB24" s="772">
        <f t="shared" ca="1" si="4"/>
        <v>1161.9036725513399</v>
      </c>
      <c r="BC24" s="772">
        <f t="shared" ca="1" si="4"/>
        <v>1090.3214051814323</v>
      </c>
      <c r="BD24" s="772">
        <f t="shared" ca="1" si="4"/>
        <v>1025.0983617857364</v>
      </c>
      <c r="BE24" s="772">
        <f t="shared" ca="1" si="4"/>
        <v>1025.0983617857364</v>
      </c>
      <c r="BF24" s="772">
        <f t="shared" ca="1" si="4"/>
        <v>965.51303285802067</v>
      </c>
      <c r="BG24" s="772">
        <f t="shared" ca="1" si="4"/>
        <v>965.51303285802067</v>
      </c>
      <c r="BH24" s="772">
        <f t="shared" ca="1" si="5"/>
        <v>910.94136138764929</v>
      </c>
      <c r="BI24" s="772">
        <f t="shared" ca="1" si="5"/>
        <v>910.94136138764929</v>
      </c>
      <c r="BJ24" s="772">
        <f t="shared" ca="1" si="5"/>
        <v>1090.3214051814323</v>
      </c>
      <c r="BK24" s="772">
        <f t="shared" ca="1" si="5"/>
        <v>1090.3214051814323</v>
      </c>
      <c r="BL24" s="772">
        <f t="shared" ca="1" si="5"/>
        <v>1090.3214051814323</v>
      </c>
      <c r="BM24" s="772">
        <f t="shared" ca="1" si="5"/>
        <v>1090.3214051814323</v>
      </c>
      <c r="BN24" s="772">
        <f t="shared" ca="1" si="5"/>
        <v>965.51303285802067</v>
      </c>
      <c r="BO24" s="772">
        <f t="shared" ca="1" si="5"/>
        <v>965.51303285802067</v>
      </c>
      <c r="BP24" s="772">
        <f t="shared" ca="1" si="5"/>
        <v>910.94136138764929</v>
      </c>
      <c r="BQ24" s="772">
        <f t="shared" ca="1" si="5"/>
        <v>910.94136138764929</v>
      </c>
      <c r="BR24" s="772">
        <f t="shared" ca="1" si="5"/>
        <v>860.8418444794238</v>
      </c>
      <c r="BS24" s="772">
        <f t="shared" ca="1" si="5"/>
        <v>1090.3214051814323</v>
      </c>
      <c r="BT24" s="772">
        <f t="shared" ca="1" si="5"/>
        <v>1090.3214051814323</v>
      </c>
      <c r="BU24" s="772">
        <f t="shared" ca="1" si="5"/>
        <v>1090.3214051814323</v>
      </c>
      <c r="BV24" s="772">
        <f t="shared" ca="1" si="5"/>
        <v>1025.0983617857364</v>
      </c>
      <c r="BW24" s="772">
        <f t="shared" ca="1" si="5"/>
        <v>1025.0983617857364</v>
      </c>
      <c r="BX24" s="772">
        <f t="shared" ca="1" si="6"/>
        <v>910.94136138764929</v>
      </c>
      <c r="BY24" s="772">
        <f t="shared" ca="1" si="6"/>
        <v>910.94136138764929</v>
      </c>
      <c r="BZ24" s="772">
        <f t="shared" ca="1" si="6"/>
        <v>860.8418444794238</v>
      </c>
      <c r="CA24" s="772">
        <f t="shared" ca="1" si="6"/>
        <v>860.8418444794238</v>
      </c>
      <c r="CB24" s="772">
        <f t="shared" ca="1" si="6"/>
        <v>1025.0983617857364</v>
      </c>
      <c r="CC24" s="772">
        <f t="shared" ca="1" si="6"/>
        <v>1025.0983617857364</v>
      </c>
      <c r="CD24" s="772">
        <f t="shared" ca="1" si="6"/>
        <v>1025.0983617857364</v>
      </c>
      <c r="CE24" s="772">
        <f t="shared" ca="1" si="6"/>
        <v>1025.0983617857364</v>
      </c>
      <c r="CF24" s="772">
        <f t="shared" ca="1" si="6"/>
        <v>965.51303285802067</v>
      </c>
      <c r="CG24" s="772">
        <f t="shared" ca="1" si="6"/>
        <v>910.94136138764929</v>
      </c>
      <c r="CH24" s="772">
        <f t="shared" ca="1" si="6"/>
        <v>860.8418444794238</v>
      </c>
      <c r="CI24" s="772">
        <f t="shared" ca="1" si="6"/>
        <v>860.8418444794238</v>
      </c>
      <c r="CJ24" s="772">
        <f t="shared" ca="1" si="6"/>
        <v>814.74309776288499</v>
      </c>
    </row>
    <row r="25" spans="1:88" ht="15" customHeight="1">
      <c r="A25" s="770">
        <f>'kc-Wert für Stützen'!C25</f>
        <v>77</v>
      </c>
      <c r="B25" s="768">
        <f ca="1">INDIRECT("'kc-Wert für Stützen'!"&amp;SUBSTITUTE(ADDRESS(MATCH($A25,'kc-Wert für Stützen'!$C:$C,0),MATCH(B$7,'kc-Wert für Stützen'!$A$8:$ES$8,0)+7,4),,))</f>
        <v>1397.5530233884624</v>
      </c>
      <c r="C25" s="768">
        <f ca="1">INDIRECT("'kc-Wert für Stützen'!"&amp;SUBSTITUTE(ADDRESS(MATCH($A25,'kc-Wert für Stützen'!$C:$C,0),MATCH(C$7,'kc-Wert für Stützen'!$A$8:$ES$8,0)+7,4),,))</f>
        <v>1306.1170042107778</v>
      </c>
      <c r="D25" s="768">
        <f ca="1">INDIRECT("'kc-Wert für Stützen'!"&amp;SUBSTITUTE(ADDRESS(MATCH($A25,'kc-Wert für Stützen'!$C:$C,0),MATCH(D$7,'kc-Wert für Stützen'!$A$8:$ES$8,0)+7,4),,))</f>
        <v>1223.2571146248713</v>
      </c>
      <c r="E25" s="768">
        <f ca="1">INDIRECT("'kc-Wert für Stützen'!"&amp;SUBSTITUTE(ADDRESS(MATCH($A25,'kc-Wert für Stützen'!$C:$C,0),MATCH(E$7,'kc-Wert für Stützen'!$A$8:$ES$8,0)+7,4),,))</f>
        <v>1147.9546426994771</v>
      </c>
      <c r="F25" s="768">
        <f ca="1">INDIRECT("'kc-Wert für Stützen'!"&amp;SUBSTITUTE(ADDRESS(MATCH($A25,'kc-Wert für Stützen'!$C:$C,0),MATCH(F$7,'kc-Wert für Stützen'!$A$8:$ES$8,0)+7,4),,))</f>
        <v>1079.3330454680686</v>
      </c>
      <c r="G25" s="768">
        <f ca="1">INDIRECT("'kc-Wert für Stützen'!"&amp;SUBSTITUTE(ADDRESS(MATCH($A25,'kc-Wert für Stützen'!$C:$C,0),MATCH(G$7,'kc-Wert für Stützen'!$A$8:$ES$8,0)+7,4),,))</f>
        <v>1016.6360025981916</v>
      </c>
      <c r="H25" s="768">
        <f ca="1">INDIRECT("'kc-Wert für Stützen'!"&amp;SUBSTITUTE(ADDRESS(MATCH($A25,'kc-Wert für Stützen'!$C:$C,0),MATCH(H$7,'kc-Wert für Stützen'!$A$8:$ES$8,0)+7,4),,))</f>
        <v>959.20896429202105</v>
      </c>
      <c r="I25" s="768">
        <f ca="1">INDIRECT("'kc-Wert für Stützen'!"&amp;SUBSTITUTE(ADDRESS(MATCH($A25,'kc-Wert für Stützen'!$C:$C,0),MATCH(I$7,'kc-Wert für Stützen'!$A$8:$ES$8,0)+7,4),,))</f>
        <v>906.48369400954266</v>
      </c>
      <c r="J25" s="768">
        <f ca="1">INDIRECT("'kc-Wert für Stützen'!"&amp;SUBSTITUTE(ADDRESS(MATCH($A25,'kc-Wert für Stützen'!$C:$C,0),MATCH(J$7,'kc-Wert für Stützen'!$A$8:$ES$8,0)+7,4),,))</f>
        <v>857.96533596535858</v>
      </c>
      <c r="K25" s="768">
        <f ca="1">INDIRECT("'kc-Wert für Stützen'!"&amp;SUBSTITUTE(ADDRESS(MATCH($A25,'kc-Wert für Stützen'!$C:$C,0),MATCH(K$7,'kc-Wert für Stützen'!$A$8:$ES$8,0)+7,4),,))</f>
        <v>813.22159155659438</v>
      </c>
      <c r="L25" s="768">
        <f ca="1">INDIRECT("'kc-Wert für Stützen'!"&amp;SUBSTITUTE(ADDRESS(MATCH($A25,'kc-Wert für Stützen'!$C:$C,0),MATCH(L$7,'kc-Wert für Stützen'!$A$8:$ES$8,0)+7,4),,))</f>
        <v>771.87364876988318</v>
      </c>
      <c r="M25" s="768">
        <f ca="1">INDIRECT("'kc-Wert für Stützen'!"&amp;SUBSTITUTE(ADDRESS(MATCH($A25,'kc-Wert für Stützen'!$C:$C,0),MATCH(M$7,'kc-Wert für Stützen'!$A$8:$ES$8,0)+7,4),,))</f>
        <v>733.5885655310542</v>
      </c>
      <c r="N25" s="768">
        <f ca="1">INDIRECT("'kc-Wert für Stützen'!"&amp;SUBSTITUTE(ADDRESS(MATCH($A25,'kc-Wert für Stützen'!$C:$C,0),MATCH(N$7,'kc-Wert für Stützen'!$A$8:$ES$8,0)+7,4),,))</f>
        <v>698.07285847698608</v>
      </c>
      <c r="O25" s="768">
        <f ca="1">INDIRECT("'kc-Wert für Stützen'!"&amp;SUBSTITUTE(ADDRESS(MATCH($A25,'kc-Wert für Stützen'!$C:$C,0),MATCH(O$7,'kc-Wert für Stützen'!$A$8:$ES$8,0)+7,4),,))</f>
        <v>665.06709186156695</v>
      </c>
      <c r="P25" s="768">
        <f ca="1">INDIRECT("'kc-Wert für Stützen'!"&amp;SUBSTITUTE(ADDRESS(MATCH($A25,'kc-Wert für Stützen'!$C:$C,0),MATCH(P$7,'kc-Wert für Stützen'!$A$8:$ES$8,0)+7,4),,))</f>
        <v>634.34129754176445</v>
      </c>
      <c r="S25" s="772">
        <f t="shared" ca="1" si="3"/>
        <v>1223.2571146248713</v>
      </c>
      <c r="T25" s="772">
        <f t="shared" ca="1" si="3"/>
        <v>1223.2571146248713</v>
      </c>
      <c r="U25" s="772">
        <f t="shared" ca="1" si="3"/>
        <v>1223.2571146248713</v>
      </c>
      <c r="V25" s="772">
        <f t="shared" ca="1" si="3"/>
        <v>1147.9546426994771</v>
      </c>
      <c r="W25" s="772">
        <f t="shared" ca="1" si="3"/>
        <v>1079.3330454680686</v>
      </c>
      <c r="X25" s="772">
        <f t="shared" ca="1" si="3"/>
        <v>1016.6360025981916</v>
      </c>
      <c r="Y25" s="772">
        <f t="shared" ca="1" si="3"/>
        <v>959.20896429202105</v>
      </c>
      <c r="Z25" s="772">
        <f t="shared" ca="1" si="3"/>
        <v>1223.2571146248713</v>
      </c>
      <c r="AA25" s="772">
        <f t="shared" ca="1" si="3"/>
        <v>1223.2571146248713</v>
      </c>
      <c r="AB25" s="772">
        <f t="shared" ca="1" si="8"/>
        <v>1147.9546426994771</v>
      </c>
      <c r="AC25" s="772">
        <f t="shared" ca="1" si="8"/>
        <v>1147.9546426994771</v>
      </c>
      <c r="AD25" s="772">
        <f t="shared" ca="1" si="8"/>
        <v>1079.3330454680686</v>
      </c>
      <c r="AE25" s="772">
        <f t="shared" ca="1" si="8"/>
        <v>1079.3330454680686</v>
      </c>
      <c r="AF25" s="772">
        <f t="shared" ca="1" si="8"/>
        <v>1016.6360025981916</v>
      </c>
      <c r="AG25" s="772">
        <f t="shared" ca="1" si="8"/>
        <v>1016.6360025981916</v>
      </c>
      <c r="AH25" s="772">
        <f t="shared" ca="1" si="8"/>
        <v>1016.6360025981916</v>
      </c>
      <c r="AI25" s="772">
        <f t="shared" ca="1" si="8"/>
        <v>1223.2571146248713</v>
      </c>
      <c r="AJ25" s="772">
        <f t="shared" ca="1" si="8"/>
        <v>1223.2571146248713</v>
      </c>
      <c r="AK25" s="772">
        <f t="shared" ca="1" si="8"/>
        <v>1147.9546426994771</v>
      </c>
      <c r="AL25" s="772">
        <f t="shared" ca="1" si="8"/>
        <v>1147.9546426994771</v>
      </c>
      <c r="AM25" s="772">
        <f t="shared" ca="1" si="8"/>
        <v>1079.3330454680686</v>
      </c>
      <c r="AN25" s="772">
        <f t="shared" ca="1" si="8"/>
        <v>1079.3330454680686</v>
      </c>
      <c r="AO25" s="772">
        <f t="shared" ca="1" si="8"/>
        <v>1016.6360025981916</v>
      </c>
      <c r="AP25" s="772">
        <f t="shared" ca="1" si="8"/>
        <v>1016.6360025981916</v>
      </c>
      <c r="AQ25" s="772">
        <f t="shared" ca="1" si="8"/>
        <v>1016.6360025981916</v>
      </c>
      <c r="AR25" s="772">
        <f t="shared" ca="1" si="7"/>
        <v>1223.2571146248713</v>
      </c>
      <c r="AS25" s="772">
        <f t="shared" ca="1" si="7"/>
        <v>1223.2571146248713</v>
      </c>
      <c r="AT25" s="772">
        <f t="shared" ca="1" si="7"/>
        <v>1147.9546426994771</v>
      </c>
      <c r="AU25" s="772">
        <f t="shared" ca="1" si="7"/>
        <v>1147.9546426994771</v>
      </c>
      <c r="AV25" s="772">
        <f t="shared" ca="1" si="7"/>
        <v>1079.3330454680686</v>
      </c>
      <c r="AW25" s="772">
        <f t="shared" ca="1" si="7"/>
        <v>1079.3330454680686</v>
      </c>
      <c r="AX25" s="772">
        <f t="shared" ca="1" si="7"/>
        <v>1016.6360025981916</v>
      </c>
      <c r="AY25" s="772">
        <f t="shared" ca="1" si="7"/>
        <v>1016.6360025981916</v>
      </c>
      <c r="AZ25" s="772">
        <f t="shared" ca="1" si="4"/>
        <v>1016.6360025981916</v>
      </c>
      <c r="BA25" s="772">
        <f t="shared" ca="1" si="4"/>
        <v>1223.2571146248713</v>
      </c>
      <c r="BB25" s="772">
        <f t="shared" ca="1" si="4"/>
        <v>1223.2571146248713</v>
      </c>
      <c r="BC25" s="772">
        <f t="shared" ca="1" si="4"/>
        <v>1147.9546426994771</v>
      </c>
      <c r="BD25" s="772">
        <f t="shared" ca="1" si="4"/>
        <v>1079.3330454680686</v>
      </c>
      <c r="BE25" s="772">
        <f t="shared" ca="1" si="4"/>
        <v>1079.3330454680686</v>
      </c>
      <c r="BF25" s="772">
        <f t="shared" ca="1" si="4"/>
        <v>1016.6360025981916</v>
      </c>
      <c r="BG25" s="772">
        <f t="shared" ca="1" si="4"/>
        <v>1016.6360025981916</v>
      </c>
      <c r="BH25" s="772">
        <f t="shared" ca="1" si="5"/>
        <v>959.20896429202105</v>
      </c>
      <c r="BI25" s="772">
        <f t="shared" ca="1" si="5"/>
        <v>959.20896429202105</v>
      </c>
      <c r="BJ25" s="772">
        <f t="shared" ca="1" si="5"/>
        <v>1147.9546426994771</v>
      </c>
      <c r="BK25" s="772">
        <f t="shared" ca="1" si="5"/>
        <v>1147.9546426994771</v>
      </c>
      <c r="BL25" s="772">
        <f t="shared" ca="1" si="5"/>
        <v>1147.9546426994771</v>
      </c>
      <c r="BM25" s="772">
        <f t="shared" ca="1" si="5"/>
        <v>1147.9546426994771</v>
      </c>
      <c r="BN25" s="772">
        <f t="shared" ca="1" si="5"/>
        <v>1016.6360025981916</v>
      </c>
      <c r="BO25" s="772">
        <f t="shared" ca="1" si="5"/>
        <v>1016.6360025981916</v>
      </c>
      <c r="BP25" s="772">
        <f t="shared" ca="1" si="5"/>
        <v>959.20896429202105</v>
      </c>
      <c r="BQ25" s="772">
        <f t="shared" ca="1" si="5"/>
        <v>959.20896429202105</v>
      </c>
      <c r="BR25" s="772">
        <f t="shared" ca="1" si="5"/>
        <v>906.48369400954266</v>
      </c>
      <c r="BS25" s="772">
        <f t="shared" ca="1" si="5"/>
        <v>1147.9546426994771</v>
      </c>
      <c r="BT25" s="772">
        <f t="shared" ca="1" si="5"/>
        <v>1147.9546426994771</v>
      </c>
      <c r="BU25" s="772">
        <f t="shared" ca="1" si="5"/>
        <v>1147.9546426994771</v>
      </c>
      <c r="BV25" s="772">
        <f t="shared" ca="1" si="5"/>
        <v>1079.3330454680686</v>
      </c>
      <c r="BW25" s="772">
        <f t="shared" ca="1" si="5"/>
        <v>1079.3330454680686</v>
      </c>
      <c r="BX25" s="772">
        <f t="shared" ca="1" si="6"/>
        <v>959.20896429202105</v>
      </c>
      <c r="BY25" s="772">
        <f t="shared" ca="1" si="6"/>
        <v>959.20896429202105</v>
      </c>
      <c r="BZ25" s="772">
        <f t="shared" ca="1" si="6"/>
        <v>906.48369400954266</v>
      </c>
      <c r="CA25" s="772">
        <f t="shared" ca="1" si="6"/>
        <v>906.48369400954266</v>
      </c>
      <c r="CB25" s="772">
        <f t="shared" ca="1" si="6"/>
        <v>1079.3330454680686</v>
      </c>
      <c r="CC25" s="772">
        <f t="shared" ca="1" si="6"/>
        <v>1079.3330454680686</v>
      </c>
      <c r="CD25" s="772">
        <f t="shared" ca="1" si="6"/>
        <v>1079.3330454680686</v>
      </c>
      <c r="CE25" s="772">
        <f t="shared" ca="1" si="6"/>
        <v>1079.3330454680686</v>
      </c>
      <c r="CF25" s="772">
        <f t="shared" ca="1" si="6"/>
        <v>1016.6360025981916</v>
      </c>
      <c r="CG25" s="772">
        <f t="shared" ca="1" si="6"/>
        <v>959.20896429202105</v>
      </c>
      <c r="CH25" s="772">
        <f t="shared" ca="1" si="6"/>
        <v>906.48369400954266</v>
      </c>
      <c r="CI25" s="772">
        <f t="shared" ca="1" si="6"/>
        <v>906.48369400954266</v>
      </c>
      <c r="CJ25" s="772">
        <f t="shared" ca="1" si="6"/>
        <v>857.96533596535858</v>
      </c>
    </row>
    <row r="26" spans="1:88" ht="15" customHeight="1">
      <c r="A26" s="770">
        <f>'kc-Wert für Stützen'!C26</f>
        <v>78</v>
      </c>
      <c r="B26" s="768">
        <f ca="1">INDIRECT("'kc-Wert für Stützen'!"&amp;SUBSTITUTE(ADDRESS(MATCH($A26,'kc-Wert für Stützen'!$C:$C,0),MATCH(B$7,'kc-Wert für Stützen'!$A$8:$ES$8,0)+7,4),,))</f>
        <v>1470.1443131413118</v>
      </c>
      <c r="C26" s="768">
        <f ca="1">INDIRECT("'kc-Wert für Stützen'!"&amp;SUBSTITUTE(ADDRESS(MATCH($A26,'kc-Wert für Stützen'!$C:$C,0),MATCH(C$7,'kc-Wert für Stützen'!$A$8:$ES$8,0)+7,4),,))</f>
        <v>1374.0578880284311</v>
      </c>
      <c r="D26" s="768">
        <f ca="1">INDIRECT("'kc-Wert für Stützen'!"&amp;SUBSTITUTE(ADDRESS(MATCH($A26,'kc-Wert für Stützen'!$C:$C,0),MATCH(D$7,'kc-Wert für Stützen'!$A$8:$ES$8,0)+7,4),,))</f>
        <v>1286.9673101270105</v>
      </c>
      <c r="E26" s="768">
        <f ca="1">INDIRECT("'kc-Wert für Stützen'!"&amp;SUBSTITUTE(ADDRESS(MATCH($A26,'kc-Wert für Stützen'!$C:$C,0),MATCH(E$7,'kc-Wert für Stützen'!$A$8:$ES$8,0)+7,4),,))</f>
        <v>1207.8074930564462</v>
      </c>
      <c r="F26" s="768">
        <f ca="1">INDIRECT("'kc-Wert für Stützen'!"&amp;SUBSTITUTE(ADDRESS(MATCH($A26,'kc-Wert für Stützen'!$C:$C,0),MATCH(F$7,'kc-Wert für Stützen'!$A$8:$ES$8,0)+7,4),,))</f>
        <v>1135.66111215666</v>
      </c>
      <c r="G26" s="768">
        <f ca="1">INDIRECT("'kc-Wert für Stützen'!"&amp;SUBSTITUTE(ADDRESS(MATCH($A26,'kc-Wert für Stützen'!$C:$C,0),MATCH(G$7,'kc-Wert für Stützen'!$A$8:$ES$8,0)+7,4),,))</f>
        <v>1069.7360525235722</v>
      </c>
      <c r="H26" s="768">
        <f ca="1">INDIRECT("'kc-Wert für Stützen'!"&amp;SUBSTITUTE(ADDRESS(MATCH($A26,'kc-Wert für Stützen'!$C:$C,0),MATCH(H$7,'kc-Wert für Stützen'!$A$8:$ES$8,0)+7,4),,))</f>
        <v>1009.3463604838586</v>
      </c>
      <c r="I26" s="768">
        <f ca="1">INDIRECT("'kc-Wert für Stützen'!"&amp;SUBSTITUTE(ADDRESS(MATCH($A26,'kc-Wert für Stützen'!$C:$C,0),MATCH(I$7,'kc-Wert für Stützen'!$A$8:$ES$8,0)+7,4),,))</f>
        <v>953.89623269720857</v>
      </c>
      <c r="J26" s="768">
        <f ca="1">INDIRECT("'kc-Wert für Stützen'!"&amp;SUBSTITUTE(ADDRESS(MATCH($A26,'kc-Wert für Stützen'!$C:$C,0),MATCH(J$7,'kc-Wert für Stützen'!$A$8:$ES$8,0)+7,4),,))</f>
        <v>902.86658610064944</v>
      </c>
      <c r="K26" s="768">
        <f ca="1">INDIRECT("'kc-Wert für Stützen'!"&amp;SUBSTITUTE(ADDRESS(MATCH($A26,'kc-Wert für Stützen'!$C:$C,0),MATCH(K$7,'kc-Wert für Stützen'!$A$8:$ES$8,0)+7,4),,))</f>
        <v>855.80379553420335</v>
      </c>
      <c r="L26" s="768">
        <f ca="1">INDIRECT("'kc-Wert für Stützen'!"&amp;SUBSTITUTE(ADDRESS(MATCH($A26,'kc-Wert für Stützen'!$C:$C,0),MATCH(L$7,'kc-Wert für Stützen'!$A$8:$ES$8,0)+7,4),,))</f>
        <v>812.31024052185001</v>
      </c>
      <c r="M26" s="768">
        <f ca="1">INDIRECT("'kc-Wert für Stützen'!"&amp;SUBSTITUTE(ADDRESS(MATCH($A26,'kc-Wert für Stützen'!$C:$C,0),MATCH(M$7,'kc-Wert für Stützen'!$A$8:$ES$8,0)+7,4),,))</f>
        <v>772.03635723588104</v>
      </c>
      <c r="N26" s="768">
        <f ca="1">INDIRECT("'kc-Wert für Stützen'!"&amp;SUBSTITUTE(ADDRESS(MATCH($A26,'kc-Wert für Stützen'!$C:$C,0),MATCH(N$7,'kc-Wert für Stützen'!$A$8:$ES$8,0)+7,4),,))</f>
        <v>734.67394137602184</v>
      </c>
      <c r="O26" s="768">
        <f ca="1">INDIRECT("'kc-Wert für Stützen'!"&amp;SUBSTITUTE(ADDRESS(MATCH($A26,'kc-Wert für Stützen'!$C:$C,0),MATCH(O$7,'kc-Wert für Stützen'!$A$8:$ES$8,0)+7,4),,))</f>
        <v>699.95049091747376</v>
      </c>
      <c r="P26" s="768">
        <f ca="1">INDIRECT("'kc-Wert für Stützen'!"&amp;SUBSTITUTE(ADDRESS(MATCH($A26,'kc-Wert für Stützen'!$C:$C,0),MATCH(P$7,'kc-Wert für Stützen'!$A$8:$ES$8,0)+7,4),,))</f>
        <v>667.62441429634521</v>
      </c>
      <c r="S26" s="772">
        <f t="shared" ca="1" si="3"/>
        <v>1286.9673101270105</v>
      </c>
      <c r="T26" s="772">
        <f t="shared" ca="1" si="3"/>
        <v>1286.9673101270105</v>
      </c>
      <c r="U26" s="772">
        <f t="shared" ca="1" si="3"/>
        <v>1286.9673101270105</v>
      </c>
      <c r="V26" s="772">
        <f t="shared" ca="1" si="3"/>
        <v>1207.8074930564462</v>
      </c>
      <c r="W26" s="772">
        <f t="shared" ca="1" si="3"/>
        <v>1135.66111215666</v>
      </c>
      <c r="X26" s="772">
        <f t="shared" ca="1" si="3"/>
        <v>1069.7360525235722</v>
      </c>
      <c r="Y26" s="772">
        <f t="shared" ca="1" si="3"/>
        <v>1009.3463604838586</v>
      </c>
      <c r="Z26" s="772">
        <f t="shared" ca="1" si="3"/>
        <v>1286.9673101270105</v>
      </c>
      <c r="AA26" s="772">
        <f t="shared" ca="1" si="3"/>
        <v>1286.9673101270105</v>
      </c>
      <c r="AB26" s="772">
        <f t="shared" ca="1" si="8"/>
        <v>1207.8074930564462</v>
      </c>
      <c r="AC26" s="772">
        <f t="shared" ca="1" si="8"/>
        <v>1207.8074930564462</v>
      </c>
      <c r="AD26" s="772">
        <f t="shared" ca="1" si="8"/>
        <v>1135.66111215666</v>
      </c>
      <c r="AE26" s="772">
        <f t="shared" ca="1" si="8"/>
        <v>1135.66111215666</v>
      </c>
      <c r="AF26" s="772">
        <f t="shared" ca="1" si="8"/>
        <v>1069.7360525235722</v>
      </c>
      <c r="AG26" s="772">
        <f t="shared" ca="1" si="8"/>
        <v>1069.7360525235722</v>
      </c>
      <c r="AH26" s="772">
        <f t="shared" ca="1" si="8"/>
        <v>1069.7360525235722</v>
      </c>
      <c r="AI26" s="772">
        <f t="shared" ca="1" si="8"/>
        <v>1286.9673101270105</v>
      </c>
      <c r="AJ26" s="772">
        <f t="shared" ca="1" si="8"/>
        <v>1286.9673101270105</v>
      </c>
      <c r="AK26" s="772">
        <f t="shared" ca="1" si="8"/>
        <v>1207.8074930564462</v>
      </c>
      <c r="AL26" s="772">
        <f t="shared" ca="1" si="8"/>
        <v>1207.8074930564462</v>
      </c>
      <c r="AM26" s="772">
        <f t="shared" ca="1" si="8"/>
        <v>1135.66111215666</v>
      </c>
      <c r="AN26" s="772">
        <f t="shared" ca="1" si="8"/>
        <v>1135.66111215666</v>
      </c>
      <c r="AO26" s="772">
        <f t="shared" ca="1" si="8"/>
        <v>1069.7360525235722</v>
      </c>
      <c r="AP26" s="772">
        <f t="shared" ca="1" si="8"/>
        <v>1069.7360525235722</v>
      </c>
      <c r="AQ26" s="772">
        <f t="shared" ca="1" si="8"/>
        <v>1069.7360525235722</v>
      </c>
      <c r="AR26" s="772">
        <f t="shared" ca="1" si="7"/>
        <v>1286.9673101270105</v>
      </c>
      <c r="AS26" s="772">
        <f t="shared" ca="1" si="7"/>
        <v>1286.9673101270105</v>
      </c>
      <c r="AT26" s="772">
        <f t="shared" ca="1" si="7"/>
        <v>1207.8074930564462</v>
      </c>
      <c r="AU26" s="772">
        <f t="shared" ca="1" si="7"/>
        <v>1207.8074930564462</v>
      </c>
      <c r="AV26" s="772">
        <f t="shared" ca="1" si="7"/>
        <v>1135.66111215666</v>
      </c>
      <c r="AW26" s="772">
        <f t="shared" ca="1" si="7"/>
        <v>1135.66111215666</v>
      </c>
      <c r="AX26" s="772">
        <f t="shared" ca="1" si="7"/>
        <v>1069.7360525235722</v>
      </c>
      <c r="AY26" s="772">
        <f t="shared" ca="1" si="7"/>
        <v>1069.7360525235722</v>
      </c>
      <c r="AZ26" s="772">
        <f t="shared" ca="1" si="4"/>
        <v>1069.7360525235722</v>
      </c>
      <c r="BA26" s="772">
        <f t="shared" ca="1" si="4"/>
        <v>1286.9673101270105</v>
      </c>
      <c r="BB26" s="772">
        <f t="shared" ca="1" si="4"/>
        <v>1286.9673101270105</v>
      </c>
      <c r="BC26" s="772">
        <f t="shared" ca="1" si="4"/>
        <v>1207.8074930564462</v>
      </c>
      <c r="BD26" s="772">
        <f t="shared" ca="1" si="4"/>
        <v>1135.66111215666</v>
      </c>
      <c r="BE26" s="772">
        <f t="shared" ca="1" si="4"/>
        <v>1135.66111215666</v>
      </c>
      <c r="BF26" s="772">
        <f t="shared" ca="1" si="4"/>
        <v>1069.7360525235722</v>
      </c>
      <c r="BG26" s="772">
        <f t="shared" ca="1" si="4"/>
        <v>1069.7360525235722</v>
      </c>
      <c r="BH26" s="772">
        <f t="shared" ca="1" si="5"/>
        <v>1009.3463604838586</v>
      </c>
      <c r="BI26" s="772">
        <f t="shared" ca="1" si="5"/>
        <v>1009.3463604838586</v>
      </c>
      <c r="BJ26" s="772">
        <f t="shared" ca="1" si="5"/>
        <v>1207.8074930564462</v>
      </c>
      <c r="BK26" s="772">
        <f t="shared" ca="1" si="5"/>
        <v>1207.8074930564462</v>
      </c>
      <c r="BL26" s="772">
        <f t="shared" ca="1" si="5"/>
        <v>1207.8074930564462</v>
      </c>
      <c r="BM26" s="772">
        <f t="shared" ca="1" si="5"/>
        <v>1207.8074930564462</v>
      </c>
      <c r="BN26" s="772">
        <f t="shared" ca="1" si="5"/>
        <v>1069.7360525235722</v>
      </c>
      <c r="BO26" s="772">
        <f t="shared" ca="1" si="5"/>
        <v>1069.7360525235722</v>
      </c>
      <c r="BP26" s="772">
        <f t="shared" ca="1" si="5"/>
        <v>1009.3463604838586</v>
      </c>
      <c r="BQ26" s="772">
        <f t="shared" ca="1" si="5"/>
        <v>1009.3463604838586</v>
      </c>
      <c r="BR26" s="772">
        <f t="shared" ca="1" si="5"/>
        <v>953.89623269720857</v>
      </c>
      <c r="BS26" s="772">
        <f t="shared" ca="1" si="5"/>
        <v>1207.8074930564462</v>
      </c>
      <c r="BT26" s="772">
        <f t="shared" ca="1" si="5"/>
        <v>1207.8074930564462</v>
      </c>
      <c r="BU26" s="772">
        <f t="shared" ca="1" si="5"/>
        <v>1207.8074930564462</v>
      </c>
      <c r="BV26" s="772">
        <f t="shared" ca="1" si="5"/>
        <v>1135.66111215666</v>
      </c>
      <c r="BW26" s="772">
        <f t="shared" ca="1" si="5"/>
        <v>1135.66111215666</v>
      </c>
      <c r="BX26" s="772">
        <f t="shared" ca="1" si="6"/>
        <v>1009.3463604838586</v>
      </c>
      <c r="BY26" s="772">
        <f t="shared" ca="1" si="6"/>
        <v>1009.3463604838586</v>
      </c>
      <c r="BZ26" s="772">
        <f t="shared" ca="1" si="6"/>
        <v>953.89623269720857</v>
      </c>
      <c r="CA26" s="772">
        <f t="shared" ca="1" si="6"/>
        <v>953.89623269720857</v>
      </c>
      <c r="CB26" s="772">
        <f t="shared" ca="1" si="6"/>
        <v>1135.66111215666</v>
      </c>
      <c r="CC26" s="772">
        <f t="shared" ca="1" si="6"/>
        <v>1135.66111215666</v>
      </c>
      <c r="CD26" s="772">
        <f t="shared" ca="1" si="6"/>
        <v>1135.66111215666</v>
      </c>
      <c r="CE26" s="772">
        <f t="shared" ca="1" si="6"/>
        <v>1135.66111215666</v>
      </c>
      <c r="CF26" s="772">
        <f t="shared" ca="1" si="6"/>
        <v>1069.7360525235722</v>
      </c>
      <c r="CG26" s="772">
        <f t="shared" ca="1" si="6"/>
        <v>1009.3463604838586</v>
      </c>
      <c r="CH26" s="772">
        <f t="shared" ca="1" si="6"/>
        <v>953.89623269720857</v>
      </c>
      <c r="CI26" s="772">
        <f t="shared" ca="1" si="6"/>
        <v>953.89623269720857</v>
      </c>
      <c r="CJ26" s="772">
        <f t="shared" ca="1" si="6"/>
        <v>902.86658610064944</v>
      </c>
    </row>
    <row r="27" spans="1:88" ht="15" customHeight="1">
      <c r="A27" s="770">
        <f>'kc-Wert für Stützen'!C27</f>
        <v>79</v>
      </c>
      <c r="B27" s="768">
        <f ca="1">INDIRECT("'kc-Wert für Stützen'!"&amp;SUBSTITUTE(ADDRESS(MATCH($A27,'kc-Wert für Stützen'!$C:$C,0),MATCH(B$7,'kc-Wert für Stützen'!$A$8:$ES$8,0)+7,4),,))</f>
        <v>1545.4651191056853</v>
      </c>
      <c r="C27" s="768">
        <f ca="1">INDIRECT("'kc-Wert für Stützen'!"&amp;SUBSTITUTE(ADDRESS(MATCH($A27,'kc-Wert für Stützen'!$C:$C,0),MATCH(C$7,'kc-Wert für Stützen'!$A$8:$ES$8,0)+7,4),,))</f>
        <v>1444.5633106146415</v>
      </c>
      <c r="D27" s="768">
        <f ca="1">INDIRECT("'kc-Wert für Stützen'!"&amp;SUBSTITUTE(ADDRESS(MATCH($A27,'kc-Wert für Stützen'!$C:$C,0),MATCH(D$7,'kc-Wert für Stützen'!$A$8:$ES$8,0)+7,4),,))</f>
        <v>1353.090128908806</v>
      </c>
      <c r="E27" s="768">
        <f ca="1">INDIRECT("'kc-Wert für Stützen'!"&amp;SUBSTITUTE(ADDRESS(MATCH($A27,'kc-Wert für Stützen'!$C:$C,0),MATCH(E$7,'kc-Wert für Stützen'!$A$8:$ES$8,0)+7,4),,))</f>
        <v>1269.93309654533</v>
      </c>
      <c r="F27" s="768">
        <f ca="1">INDIRECT("'kc-Wert für Stützen'!"&amp;SUBSTITUTE(ADDRESS(MATCH($A27,'kc-Wert für Stützen'!$C:$C,0),MATCH(F$7,'kc-Wert für Stützen'!$A$8:$ES$8,0)+7,4),,))</f>
        <v>1194.1330922856187</v>
      </c>
      <c r="G27" s="768">
        <f ca="1">INDIRECT("'kc-Wert für Stützen'!"&amp;SUBSTITUTE(ADDRESS(MATCH($A27,'kc-Wert für Stützen'!$C:$C,0),MATCH(G$7,'kc-Wert für Stützen'!$A$8:$ES$8,0)+7,4),,))</f>
        <v>1124.8612354990871</v>
      </c>
      <c r="H27" s="768">
        <f ca="1">INDIRECT("'kc-Wert für Stützen'!"&amp;SUBSTITUTE(ADDRESS(MATCH($A27,'kc-Wert für Stützen'!$C:$C,0),MATCH(H$7,'kc-Wert für Stützen'!$A$8:$ES$8,0)+7,4),,))</f>
        <v>1061.3992619150263</v>
      </c>
      <c r="I27" s="768">
        <f ca="1">INDIRECT("'kc-Wert für Stützen'!"&amp;SUBSTITUTE(ADDRESS(MATCH($A27,'kc-Wert für Stützen'!$C:$C,0),MATCH(I$7,'kc-Wert für Stützen'!$A$8:$ES$8,0)+7,4),,))</f>
        <v>1003.1229674849417</v>
      </c>
      <c r="J27" s="768">
        <f ca="1">INDIRECT("'kc-Wert für Stützen'!"&amp;SUBSTITUTE(ADDRESS(MATCH($A27,'kc-Wert für Stützen'!$C:$C,0),MATCH(J$7,'kc-Wert für Stützen'!$A$8:$ES$8,0)+7,4),,))</f>
        <v>949.4882821392772</v>
      </c>
      <c r="K27" s="768">
        <f ca="1">INDIRECT("'kc-Wert für Stützen'!"&amp;SUBSTITUTE(ADDRESS(MATCH($A27,'kc-Wert für Stützen'!$C:$C,0),MATCH(K$7,'kc-Wert für Stützen'!$A$8:$ES$8,0)+7,4),,))</f>
        <v>900.01956611010553</v>
      </c>
      <c r="L27" s="768">
        <f ca="1">INDIRECT("'kc-Wert für Stützen'!"&amp;SUBSTITUTE(ADDRESS(MATCH($A27,'kc-Wert für Stützen'!$C:$C,0),MATCH(L$7,'kc-Wert für Stützen'!$A$8:$ES$8,0)+7,4),,))</f>
        <v>854.299769590967</v>
      </c>
      <c r="M27" s="768">
        <f ca="1">INDIRECT("'kc-Wert für Stützen'!"&amp;SUBSTITUTE(ADDRESS(MATCH($A27,'kc-Wert für Stützen'!$C:$C,0),MATCH(M$7,'kc-Wert für Stützen'!$A$8:$ES$8,0)+7,4),,))</f>
        <v>811.96214793131594</v>
      </c>
      <c r="N27" s="768">
        <f ca="1">INDIRECT("'kc-Wert für Stützen'!"&amp;SUBSTITUTE(ADDRESS(MATCH($A27,'kc-Wert für Stützen'!$C:$C,0),MATCH(N$7,'kc-Wert für Stützen'!$A$8:$ES$8,0)+7,4),,))</f>
        <v>772.68327299185717</v>
      </c>
      <c r="O27" s="768">
        <f ca="1">INDIRECT("'kc-Wert für Stützen'!"&amp;SUBSTITUTE(ADDRESS(MATCH($A27,'kc-Wert für Stützen'!$C:$C,0),MATCH(O$7,'kc-Wert für Stützen'!$A$8:$ES$8,0)+7,4),,))</f>
        <v>736.17712422070804</v>
      </c>
      <c r="P27" s="768">
        <f ca="1">INDIRECT("'kc-Wert für Stützen'!"&amp;SUBSTITUTE(ADDRESS(MATCH($A27,'kc-Wert für Stützen'!$C:$C,0),MATCH(P$7,'kc-Wert für Stützen'!$A$8:$ES$8,0)+7,4),,))</f>
        <v>702.1900798360565</v>
      </c>
      <c r="S27" s="772">
        <f t="shared" ca="1" si="3"/>
        <v>1353.090128908806</v>
      </c>
      <c r="T27" s="772">
        <f t="shared" ca="1" si="3"/>
        <v>1353.090128908806</v>
      </c>
      <c r="U27" s="772">
        <f t="shared" ca="1" si="3"/>
        <v>1353.090128908806</v>
      </c>
      <c r="V27" s="772">
        <f t="shared" ca="1" si="3"/>
        <v>1269.93309654533</v>
      </c>
      <c r="W27" s="772">
        <f t="shared" ca="1" si="3"/>
        <v>1194.1330922856187</v>
      </c>
      <c r="X27" s="772">
        <f t="shared" ca="1" si="3"/>
        <v>1124.8612354990871</v>
      </c>
      <c r="Y27" s="772">
        <f t="shared" ca="1" si="3"/>
        <v>1061.3992619150263</v>
      </c>
      <c r="Z27" s="772">
        <f t="shared" ca="1" si="3"/>
        <v>1353.090128908806</v>
      </c>
      <c r="AA27" s="772">
        <f t="shared" ca="1" si="3"/>
        <v>1353.090128908806</v>
      </c>
      <c r="AB27" s="772">
        <f t="shared" ca="1" si="8"/>
        <v>1269.93309654533</v>
      </c>
      <c r="AC27" s="772">
        <f t="shared" ca="1" si="8"/>
        <v>1269.93309654533</v>
      </c>
      <c r="AD27" s="772">
        <f t="shared" ca="1" si="8"/>
        <v>1194.1330922856187</v>
      </c>
      <c r="AE27" s="772">
        <f t="shared" ca="1" si="8"/>
        <v>1194.1330922856187</v>
      </c>
      <c r="AF27" s="772">
        <f t="shared" ca="1" si="8"/>
        <v>1124.8612354990871</v>
      </c>
      <c r="AG27" s="772">
        <f t="shared" ca="1" si="8"/>
        <v>1124.8612354990871</v>
      </c>
      <c r="AH27" s="772">
        <f t="shared" ca="1" si="8"/>
        <v>1124.8612354990871</v>
      </c>
      <c r="AI27" s="772">
        <f t="shared" ca="1" si="8"/>
        <v>1353.090128908806</v>
      </c>
      <c r="AJ27" s="772">
        <f t="shared" ca="1" si="8"/>
        <v>1353.090128908806</v>
      </c>
      <c r="AK27" s="772">
        <f t="shared" ca="1" si="8"/>
        <v>1269.93309654533</v>
      </c>
      <c r="AL27" s="772">
        <f t="shared" ca="1" si="8"/>
        <v>1269.93309654533</v>
      </c>
      <c r="AM27" s="772">
        <f t="shared" ca="1" si="8"/>
        <v>1194.1330922856187</v>
      </c>
      <c r="AN27" s="772">
        <f t="shared" ca="1" si="8"/>
        <v>1194.1330922856187</v>
      </c>
      <c r="AO27" s="772">
        <f t="shared" ca="1" si="8"/>
        <v>1124.8612354990871</v>
      </c>
      <c r="AP27" s="772">
        <f t="shared" ca="1" si="8"/>
        <v>1124.8612354990871</v>
      </c>
      <c r="AQ27" s="772">
        <f t="shared" ca="1" si="8"/>
        <v>1124.8612354990871</v>
      </c>
      <c r="AR27" s="772">
        <f t="shared" ca="1" si="7"/>
        <v>1353.090128908806</v>
      </c>
      <c r="AS27" s="772">
        <f t="shared" ca="1" si="7"/>
        <v>1353.090128908806</v>
      </c>
      <c r="AT27" s="772">
        <f t="shared" ca="1" si="7"/>
        <v>1269.93309654533</v>
      </c>
      <c r="AU27" s="772">
        <f t="shared" ca="1" si="7"/>
        <v>1269.93309654533</v>
      </c>
      <c r="AV27" s="772">
        <f t="shared" ca="1" si="7"/>
        <v>1194.1330922856187</v>
      </c>
      <c r="AW27" s="772">
        <f t="shared" ca="1" si="7"/>
        <v>1194.1330922856187</v>
      </c>
      <c r="AX27" s="772">
        <f t="shared" ca="1" si="7"/>
        <v>1124.8612354990871</v>
      </c>
      <c r="AY27" s="772">
        <f t="shared" ca="1" si="7"/>
        <v>1124.8612354990871</v>
      </c>
      <c r="AZ27" s="772">
        <f t="shared" ca="1" si="4"/>
        <v>1124.8612354990871</v>
      </c>
      <c r="BA27" s="772">
        <f t="shared" ca="1" si="4"/>
        <v>1353.090128908806</v>
      </c>
      <c r="BB27" s="772">
        <f t="shared" ca="1" si="4"/>
        <v>1353.090128908806</v>
      </c>
      <c r="BC27" s="772">
        <f t="shared" ca="1" si="4"/>
        <v>1269.93309654533</v>
      </c>
      <c r="BD27" s="772">
        <f t="shared" ca="1" si="4"/>
        <v>1194.1330922856187</v>
      </c>
      <c r="BE27" s="772">
        <f t="shared" ca="1" si="4"/>
        <v>1194.1330922856187</v>
      </c>
      <c r="BF27" s="772">
        <f t="shared" ca="1" si="4"/>
        <v>1124.8612354990871</v>
      </c>
      <c r="BG27" s="772">
        <f t="shared" ca="1" si="4"/>
        <v>1124.8612354990871</v>
      </c>
      <c r="BH27" s="772">
        <f t="shared" ca="1" si="5"/>
        <v>1061.3992619150263</v>
      </c>
      <c r="BI27" s="772">
        <f t="shared" ca="1" si="5"/>
        <v>1061.3992619150263</v>
      </c>
      <c r="BJ27" s="772">
        <f t="shared" ca="1" si="5"/>
        <v>1269.93309654533</v>
      </c>
      <c r="BK27" s="772">
        <f t="shared" ca="1" si="5"/>
        <v>1269.93309654533</v>
      </c>
      <c r="BL27" s="772">
        <f t="shared" ca="1" si="5"/>
        <v>1269.93309654533</v>
      </c>
      <c r="BM27" s="772">
        <f t="shared" ca="1" si="5"/>
        <v>1269.93309654533</v>
      </c>
      <c r="BN27" s="772">
        <f t="shared" ca="1" si="5"/>
        <v>1124.8612354990871</v>
      </c>
      <c r="BO27" s="772">
        <f t="shared" ca="1" si="5"/>
        <v>1124.8612354990871</v>
      </c>
      <c r="BP27" s="772">
        <f t="shared" ca="1" si="5"/>
        <v>1061.3992619150263</v>
      </c>
      <c r="BQ27" s="772">
        <f t="shared" ca="1" si="5"/>
        <v>1061.3992619150263</v>
      </c>
      <c r="BR27" s="772">
        <f t="shared" ca="1" si="5"/>
        <v>1003.1229674849417</v>
      </c>
      <c r="BS27" s="772">
        <f t="shared" ca="1" si="5"/>
        <v>1269.93309654533</v>
      </c>
      <c r="BT27" s="772">
        <f t="shared" ca="1" si="5"/>
        <v>1269.93309654533</v>
      </c>
      <c r="BU27" s="772">
        <f t="shared" ca="1" si="5"/>
        <v>1269.93309654533</v>
      </c>
      <c r="BV27" s="772">
        <f t="shared" ca="1" si="5"/>
        <v>1194.1330922856187</v>
      </c>
      <c r="BW27" s="772">
        <f t="shared" ref="BW27:CJ46" ca="1" si="9">HLOOKUP(BW$7,$A$7:$P$348,ROW()-6)</f>
        <v>1194.1330922856187</v>
      </c>
      <c r="BX27" s="772">
        <f t="shared" ca="1" si="9"/>
        <v>1061.3992619150263</v>
      </c>
      <c r="BY27" s="772">
        <f t="shared" ca="1" si="9"/>
        <v>1061.3992619150263</v>
      </c>
      <c r="BZ27" s="772">
        <f t="shared" ca="1" si="9"/>
        <v>1003.1229674849417</v>
      </c>
      <c r="CA27" s="772">
        <f t="shared" ca="1" si="9"/>
        <v>1003.1229674849417</v>
      </c>
      <c r="CB27" s="772">
        <f t="shared" ca="1" si="9"/>
        <v>1194.1330922856187</v>
      </c>
      <c r="CC27" s="772">
        <f t="shared" ca="1" si="9"/>
        <v>1194.1330922856187</v>
      </c>
      <c r="CD27" s="772">
        <f t="shared" ca="1" si="9"/>
        <v>1194.1330922856187</v>
      </c>
      <c r="CE27" s="772">
        <f t="shared" ca="1" si="9"/>
        <v>1194.1330922856187</v>
      </c>
      <c r="CF27" s="772">
        <f t="shared" ca="1" si="9"/>
        <v>1124.8612354990871</v>
      </c>
      <c r="CG27" s="772">
        <f t="shared" ca="1" si="9"/>
        <v>1061.3992619150263</v>
      </c>
      <c r="CH27" s="772">
        <f t="shared" ca="1" si="9"/>
        <v>1003.1229674849417</v>
      </c>
      <c r="CI27" s="772">
        <f t="shared" ca="1" si="9"/>
        <v>1003.1229674849417</v>
      </c>
      <c r="CJ27" s="772">
        <f t="shared" ca="1" si="9"/>
        <v>949.4882821392772</v>
      </c>
    </row>
    <row r="28" spans="1:88" ht="15" customHeight="1">
      <c r="A28" s="770">
        <f>'kc-Wert für Stützen'!C28</f>
        <v>80</v>
      </c>
      <c r="B28" s="768">
        <f ca="1">INDIRECT("'kc-Wert für Stützen'!"&amp;SUBSTITUTE(ADDRESS(MATCH($A28,'kc-Wert für Stützen'!$C:$C,0),MATCH(B$7,'kc-Wert für Stützen'!$A$8:$ES$8,0)+7,4),,))</f>
        <v>1623.5772308672576</v>
      </c>
      <c r="C28" s="768">
        <f ca="1">INDIRECT("'kc-Wert für Stützen'!"&amp;SUBSTITUTE(ADDRESS(MATCH($A28,'kc-Wert für Stützen'!$C:$C,0),MATCH(C$7,'kc-Wert für Stützen'!$A$8:$ES$8,0)+7,4),,))</f>
        <v>1517.6922628631571</v>
      </c>
      <c r="D28" s="768">
        <f ca="1">INDIRECT("'kc-Wert für Stützen'!"&amp;SUBSTITUTE(ADDRESS(MATCH($A28,'kc-Wert für Stützen'!$C:$C,0),MATCH(D$7,'kc-Wert für Stützen'!$A$8:$ES$8,0)+7,4),,))</f>
        <v>1421.6817854953263</v>
      </c>
      <c r="E28" s="768">
        <f ca="1">INDIRECT("'kc-Wert für Stützen'!"&amp;SUBSTITUTE(ADDRESS(MATCH($A28,'kc-Wert für Stützen'!$C:$C,0),MATCH(E$7,'kc-Wert für Stützen'!$A$8:$ES$8,0)+7,4),,))</f>
        <v>1334.3849676935295</v>
      </c>
      <c r="F28" s="768">
        <f ca="1">INDIRECT("'kc-Wert für Stützen'!"&amp;SUBSTITUTE(ADDRESS(MATCH($A28,'kc-Wert für Stützen'!$C:$C,0),MATCH(F$7,'kc-Wert für Stützen'!$A$8:$ES$8,0)+7,4),,))</f>
        <v>1254.7999076885583</v>
      </c>
      <c r="G28" s="768">
        <f ca="1">INDIRECT("'kc-Wert für Stützen'!"&amp;SUBSTITUTE(ADDRESS(MATCH($A28,'kc-Wert für Stützen'!$C:$C,0),MATCH(G$7,'kc-Wert für Stützen'!$A$8:$ES$8,0)+7,4),,))</f>
        <v>1182.0600042195504</v>
      </c>
      <c r="H28" s="768">
        <f ca="1">INDIRECT("'kc-Wert für Stützen'!"&amp;SUBSTITUTE(ADDRESS(MATCH($A28,'kc-Wert für Stützen'!$C:$C,0),MATCH(H$7,'kc-Wert für Stützen'!$A$8:$ES$8,0)+7,4),,))</f>
        <v>1115.4137826324577</v>
      </c>
      <c r="I28" s="768">
        <f ca="1">INDIRECT("'kc-Wert für Stützen'!"&amp;SUBSTITUTE(ADDRESS(MATCH($A28,'kc-Wert für Stützen'!$C:$C,0),MATCH(I$7,'kc-Wert für Stützen'!$A$8:$ES$8,0)+7,4),,))</f>
        <v>1054.2078053323885</v>
      </c>
      <c r="J28" s="768">
        <f ca="1">INDIRECT("'kc-Wert für Stützen'!"&amp;SUBSTITUTE(ADDRESS(MATCH($A28,'kc-Wert für Stützen'!$C:$C,0),MATCH(J$7,'kc-Wert für Stützen'!$A$8:$ES$8,0)+7,4),,))</f>
        <v>997.87225295126962</v>
      </c>
      <c r="K28" s="768">
        <f ca="1">INDIRECT("'kc-Wert für Stützen'!"&amp;SUBSTITUTE(ADDRESS(MATCH($A28,'kc-Wert für Stützen'!$C:$C,0),MATCH(K$7,'kc-Wert für Stützen'!$A$8:$ES$8,0)+7,4),,))</f>
        <v>945.90877832089109</v>
      </c>
      <c r="L28" s="768">
        <f ca="1">INDIRECT("'kc-Wert für Stützen'!"&amp;SUBSTITUTE(ADDRESS(MATCH($A28,'kc-Wert für Stützen'!$C:$C,0),MATCH(L$7,'kc-Wert für Stützen'!$A$8:$ES$8,0)+7,4),,))</f>
        <v>897.88027546495459</v>
      </c>
      <c r="M28" s="768">
        <f ca="1">INDIRECT("'kc-Wert für Stützen'!"&amp;SUBSTITUTE(ADDRESS(MATCH($A28,'kc-Wert für Stützen'!$C:$C,0),MATCH(M$7,'kc-Wert für Stützen'!$A$8:$ES$8,0)+7,4),,))</f>
        <v>853.40225325656502</v>
      </c>
      <c r="N28" s="768">
        <f ca="1">INDIRECT("'kc-Wert für Stützen'!"&amp;SUBSTITUTE(ADDRESS(MATCH($A28,'kc-Wert für Stützen'!$C:$C,0),MATCH(N$7,'kc-Wert für Stützen'!$A$8:$ES$8,0)+7,4),,))</f>
        <v>812.13555001802081</v>
      </c>
      <c r="O28" s="768">
        <f ca="1">INDIRECT("'kc-Wert für Stützen'!"&amp;SUBSTITUTE(ADDRESS(MATCH($A28,'kc-Wert für Stützen'!$C:$C,0),MATCH(O$7,'kc-Wert für Stützen'!$A$8:$ES$8,0)+7,4),,))</f>
        <v>773.78016766572318</v>
      </c>
      <c r="P28" s="768">
        <f ca="1">INDIRECT("'kc-Wert für Stützen'!"&amp;SUBSTITUTE(ADDRESS(MATCH($A28,'kc-Wert für Stützen'!$C:$C,0),MATCH(P$7,'kc-Wert für Stützen'!$A$8:$ES$8,0)+7,4),,))</f>
        <v>738.07004084618995</v>
      </c>
      <c r="S28" s="772">
        <f t="shared" ca="1" si="3"/>
        <v>1421.6817854953263</v>
      </c>
      <c r="T28" s="772">
        <f t="shared" ca="1" si="3"/>
        <v>1421.6817854953263</v>
      </c>
      <c r="U28" s="772">
        <f t="shared" ca="1" si="3"/>
        <v>1421.6817854953263</v>
      </c>
      <c r="V28" s="772">
        <f t="shared" ca="1" si="3"/>
        <v>1334.3849676935295</v>
      </c>
      <c r="W28" s="772">
        <f t="shared" ca="1" si="3"/>
        <v>1254.7999076885583</v>
      </c>
      <c r="X28" s="772">
        <f t="shared" ca="1" si="3"/>
        <v>1182.0600042195504</v>
      </c>
      <c r="Y28" s="772">
        <f t="shared" ca="1" si="3"/>
        <v>1115.4137826324577</v>
      </c>
      <c r="Z28" s="772">
        <f t="shared" ca="1" si="3"/>
        <v>1421.6817854953263</v>
      </c>
      <c r="AA28" s="772">
        <f t="shared" ca="1" si="3"/>
        <v>1421.6817854953263</v>
      </c>
      <c r="AB28" s="772">
        <f t="shared" ca="1" si="8"/>
        <v>1334.3849676935295</v>
      </c>
      <c r="AC28" s="772">
        <f t="shared" ca="1" si="8"/>
        <v>1334.3849676935295</v>
      </c>
      <c r="AD28" s="772">
        <f t="shared" ca="1" si="8"/>
        <v>1254.7999076885583</v>
      </c>
      <c r="AE28" s="772">
        <f t="shared" ca="1" si="8"/>
        <v>1254.7999076885583</v>
      </c>
      <c r="AF28" s="772">
        <f t="shared" ca="1" si="8"/>
        <v>1182.0600042195504</v>
      </c>
      <c r="AG28" s="772">
        <f t="shared" ca="1" si="8"/>
        <v>1182.0600042195504</v>
      </c>
      <c r="AH28" s="772">
        <f t="shared" ca="1" si="8"/>
        <v>1182.0600042195504</v>
      </c>
      <c r="AI28" s="772">
        <f t="shared" ca="1" si="8"/>
        <v>1421.6817854953263</v>
      </c>
      <c r="AJ28" s="772">
        <f t="shared" ca="1" si="8"/>
        <v>1421.6817854953263</v>
      </c>
      <c r="AK28" s="772">
        <f t="shared" ca="1" si="8"/>
        <v>1334.3849676935295</v>
      </c>
      <c r="AL28" s="772">
        <f t="shared" ca="1" si="8"/>
        <v>1334.3849676935295</v>
      </c>
      <c r="AM28" s="772">
        <f t="shared" ca="1" si="8"/>
        <v>1254.7999076885583</v>
      </c>
      <c r="AN28" s="772">
        <f t="shared" ca="1" si="8"/>
        <v>1254.7999076885583</v>
      </c>
      <c r="AO28" s="772">
        <f t="shared" ca="1" si="8"/>
        <v>1182.0600042195504</v>
      </c>
      <c r="AP28" s="772">
        <f t="shared" ca="1" si="8"/>
        <v>1182.0600042195504</v>
      </c>
      <c r="AQ28" s="772">
        <f t="shared" ca="1" si="8"/>
        <v>1182.0600042195504</v>
      </c>
      <c r="AR28" s="772">
        <f t="shared" ca="1" si="7"/>
        <v>1421.6817854953263</v>
      </c>
      <c r="AS28" s="772">
        <f t="shared" ca="1" si="7"/>
        <v>1421.6817854953263</v>
      </c>
      <c r="AT28" s="772">
        <f t="shared" ca="1" si="7"/>
        <v>1334.3849676935295</v>
      </c>
      <c r="AU28" s="772">
        <f t="shared" ca="1" si="7"/>
        <v>1334.3849676935295</v>
      </c>
      <c r="AV28" s="772">
        <f t="shared" ca="1" si="7"/>
        <v>1254.7999076885583</v>
      </c>
      <c r="AW28" s="772">
        <f t="shared" ca="1" si="7"/>
        <v>1254.7999076885583</v>
      </c>
      <c r="AX28" s="772">
        <f t="shared" ca="1" si="7"/>
        <v>1182.0600042195504</v>
      </c>
      <c r="AY28" s="772">
        <f t="shared" ca="1" si="7"/>
        <v>1182.0600042195504</v>
      </c>
      <c r="AZ28" s="772">
        <f t="shared" ca="1" si="4"/>
        <v>1182.0600042195504</v>
      </c>
      <c r="BA28" s="772">
        <f t="shared" ca="1" si="4"/>
        <v>1421.6817854953263</v>
      </c>
      <c r="BB28" s="772">
        <f t="shared" ca="1" si="4"/>
        <v>1421.6817854953263</v>
      </c>
      <c r="BC28" s="772">
        <f t="shared" ca="1" si="4"/>
        <v>1334.3849676935295</v>
      </c>
      <c r="BD28" s="772">
        <f t="shared" ca="1" si="4"/>
        <v>1254.7999076885583</v>
      </c>
      <c r="BE28" s="772">
        <f t="shared" ca="1" si="4"/>
        <v>1254.7999076885583</v>
      </c>
      <c r="BF28" s="772">
        <f t="shared" ca="1" si="4"/>
        <v>1182.0600042195504</v>
      </c>
      <c r="BG28" s="772">
        <f t="shared" ca="1" si="4"/>
        <v>1182.0600042195504</v>
      </c>
      <c r="BH28" s="772">
        <f t="shared" ref="BH28:BW52" ca="1" si="10">HLOOKUP(BH$7,$A$7:$P$348,ROW()-6)</f>
        <v>1115.4137826324577</v>
      </c>
      <c r="BI28" s="772">
        <f t="shared" ca="1" si="10"/>
        <v>1115.4137826324577</v>
      </c>
      <c r="BJ28" s="772">
        <f t="shared" ca="1" si="10"/>
        <v>1334.3849676935295</v>
      </c>
      <c r="BK28" s="772">
        <f t="shared" ca="1" si="10"/>
        <v>1334.3849676935295</v>
      </c>
      <c r="BL28" s="772">
        <f t="shared" ca="1" si="10"/>
        <v>1334.3849676935295</v>
      </c>
      <c r="BM28" s="772">
        <f t="shared" ca="1" si="10"/>
        <v>1334.3849676935295</v>
      </c>
      <c r="BN28" s="772">
        <f t="shared" ca="1" si="10"/>
        <v>1182.0600042195504</v>
      </c>
      <c r="BO28" s="772">
        <f t="shared" ca="1" si="10"/>
        <v>1182.0600042195504</v>
      </c>
      <c r="BP28" s="772">
        <f t="shared" ca="1" si="10"/>
        <v>1115.4137826324577</v>
      </c>
      <c r="BQ28" s="772">
        <f t="shared" ca="1" si="10"/>
        <v>1115.4137826324577</v>
      </c>
      <c r="BR28" s="772">
        <f t="shared" ca="1" si="10"/>
        <v>1054.2078053323885</v>
      </c>
      <c r="BS28" s="772">
        <f t="shared" ca="1" si="10"/>
        <v>1334.3849676935295</v>
      </c>
      <c r="BT28" s="772">
        <f t="shared" ca="1" si="10"/>
        <v>1334.3849676935295</v>
      </c>
      <c r="BU28" s="772">
        <f t="shared" ca="1" si="10"/>
        <v>1334.3849676935295</v>
      </c>
      <c r="BV28" s="772">
        <f t="shared" ca="1" si="10"/>
        <v>1254.7999076885583</v>
      </c>
      <c r="BW28" s="772">
        <f t="shared" ca="1" si="10"/>
        <v>1254.7999076885583</v>
      </c>
      <c r="BX28" s="772">
        <f t="shared" ca="1" si="9"/>
        <v>1115.4137826324577</v>
      </c>
      <c r="BY28" s="772">
        <f t="shared" ca="1" si="9"/>
        <v>1115.4137826324577</v>
      </c>
      <c r="BZ28" s="772">
        <f t="shared" ca="1" si="9"/>
        <v>1054.2078053323885</v>
      </c>
      <c r="CA28" s="772">
        <f t="shared" ca="1" si="9"/>
        <v>1054.2078053323885</v>
      </c>
      <c r="CB28" s="772">
        <f t="shared" ca="1" si="9"/>
        <v>1254.7999076885583</v>
      </c>
      <c r="CC28" s="772">
        <f t="shared" ca="1" si="9"/>
        <v>1254.7999076885583</v>
      </c>
      <c r="CD28" s="772">
        <f t="shared" ca="1" si="9"/>
        <v>1254.7999076885583</v>
      </c>
      <c r="CE28" s="772">
        <f t="shared" ca="1" si="9"/>
        <v>1254.7999076885583</v>
      </c>
      <c r="CF28" s="772">
        <f t="shared" ca="1" si="9"/>
        <v>1182.0600042195504</v>
      </c>
      <c r="CG28" s="772">
        <f t="shared" ca="1" si="9"/>
        <v>1115.4137826324577</v>
      </c>
      <c r="CH28" s="772">
        <f t="shared" ca="1" si="9"/>
        <v>1054.2078053323885</v>
      </c>
      <c r="CI28" s="772">
        <f t="shared" ca="1" si="9"/>
        <v>1054.2078053323885</v>
      </c>
      <c r="CJ28" s="772">
        <f t="shared" ca="1" si="9"/>
        <v>997.87225295126962</v>
      </c>
    </row>
    <row r="29" spans="1:88" ht="15" customHeight="1">
      <c r="A29" s="770">
        <f>'kc-Wert für Stützen'!C29</f>
        <v>81</v>
      </c>
      <c r="B29" s="768">
        <f ca="1">INDIRECT("'kc-Wert für Stützen'!"&amp;SUBSTITUTE(ADDRESS(MATCH($A29,'kc-Wert für Stützen'!$C:$C,0),MATCH(B$7,'kc-Wert für Stützen'!$A$8:$ES$8,0)+7,4),,))</f>
        <v>1704.5426242328574</v>
      </c>
      <c r="C29" s="768">
        <f ca="1">INDIRECT("'kc-Wert für Stützen'!"&amp;SUBSTITUTE(ADDRESS(MATCH($A29,'kc-Wert für Stützen'!$C:$C,0),MATCH(C$7,'kc-Wert für Stützen'!$A$8:$ES$8,0)+7,4),,))</f>
        <v>1593.5040030208281</v>
      </c>
      <c r="D29" s="768">
        <f ca="1">INDIRECT("'kc-Wert für Stützen'!"&amp;SUBSTITUTE(ADDRESS(MATCH($A29,'kc-Wert für Stützen'!$C:$C,0),MATCH(D$7,'kc-Wert für Stützen'!$A$8:$ES$8,0)+7,4),,))</f>
        <v>1492.798815308463</v>
      </c>
      <c r="E29" s="768">
        <f ca="1">INDIRECT("'kc-Wert für Stützen'!"&amp;SUBSTITUTE(ADDRESS(MATCH($A29,'kc-Wert für Stützen'!$C:$C,0),MATCH(E$7,'kc-Wert für Stützen'!$A$8:$ES$8,0)+7,4),,))</f>
        <v>1401.2169762278729</v>
      </c>
      <c r="F29" s="768">
        <f ca="1">INDIRECT("'kc-Wert für Stützen'!"&amp;SUBSTITUTE(ADDRESS(MATCH($A29,'kc-Wert für Stützen'!$C:$C,0),MATCH(F$7,'kc-Wert für Stützen'!$A$8:$ES$8,0)+7,4),,))</f>
        <v>1317.7128561764284</v>
      </c>
      <c r="G29" s="768">
        <f ca="1">INDIRECT("'kc-Wert für Stützen'!"&amp;SUBSTITUTE(ADDRESS(MATCH($A29,'kc-Wert für Stützen'!$C:$C,0),MATCH(G$7,'kc-Wert für Stützen'!$A$8:$ES$8,0)+7,4),,))</f>
        <v>1241.3811985761881</v>
      </c>
      <c r="H29" s="768">
        <f ca="1">INDIRECT("'kc-Wert für Stützen'!"&amp;SUBSTITUTE(ADDRESS(MATCH($A29,'kc-Wert für Stützen'!$C:$C,0),MATCH(H$7,'kc-Wert für Stützen'!$A$8:$ES$8,0)+7,4),,))</f>
        <v>1171.4364283236387</v>
      </c>
      <c r="I29" s="768">
        <f ca="1">INDIRECT("'kc-Wert für Stützen'!"&amp;SUBSTITUTE(ADDRESS(MATCH($A29,'kc-Wert für Stützen'!$C:$C,0),MATCH(I$7,'kc-Wert für Stützen'!$A$8:$ES$8,0)+7,4),,))</f>
        <v>1107.195044483763</v>
      </c>
      <c r="J29" s="768">
        <f ca="1">INDIRECT("'kc-Wert für Stützen'!"&amp;SUBSTITUTE(ADDRESS(MATCH($A29,'kc-Wert für Stützen'!$C:$C,0),MATCH(J$7,'kc-Wert für Stützen'!$A$8:$ES$8,0)+7,4),,))</f>
        <v>1048.0607149488274</v>
      </c>
      <c r="K29" s="768">
        <f ca="1">INDIRECT("'kc-Wert für Stützen'!"&amp;SUBSTITUTE(ADDRESS(MATCH($A29,'kc-Wert für Stützen'!$C:$C,0),MATCH(K$7,'kc-Wert für Stützen'!$A$8:$ES$8,0)+7,4),,))</f>
        <v>993.51168863642897</v>
      </c>
      <c r="L29" s="768">
        <f ca="1">INDIRECT("'kc-Wert für Stützen'!"&amp;SUBSTITUTE(ADDRESS(MATCH($A29,'kc-Wert für Stützen'!$C:$C,0),MATCH(L$7,'kc-Wert für Stützen'!$A$8:$ES$8,0)+7,4),,))</f>
        <v>943.09017132989754</v>
      </c>
      <c r="M29" s="768">
        <f ca="1">INDIRECT("'kc-Wert für Stützen'!"&amp;SUBSTITUTE(ADDRESS(MATCH($A29,'kc-Wert für Stützen'!$C:$C,0),MATCH(M$7,'kc-Wert für Stützen'!$A$8:$ES$8,0)+7,4),,))</f>
        <v>896.39335372845926</v>
      </c>
      <c r="N29" s="768">
        <f ca="1">INDIRECT("'kc-Wert für Stützen'!"&amp;SUBSTITUTE(ADDRESS(MATCH($A29,'kc-Wert für Stützen'!$C:$C,0),MATCH(N$7,'kc-Wert für Stützen'!$A$8:$ES$8,0)+7,4),,))</f>
        <v>853.06582451446241</v>
      </c>
      <c r="O29" s="768">
        <f ca="1">INDIRECT("'kc-Wert für Stützen'!"&amp;SUBSTITUTE(ADDRESS(MATCH($A29,'kc-Wert für Stützen'!$C:$C,0),MATCH(O$7,'kc-Wert für Stützen'!$A$8:$ES$8,0)+7,4),,))</f>
        <v>812.79314260147646</v>
      </c>
      <c r="P29" s="768">
        <f ca="1">INDIRECT("'kc-Wert für Stützen'!"&amp;SUBSTITUTE(ADDRESS(MATCH($A29,'kc-Wert für Stützen'!$C:$C,0),MATCH(P$7,'kc-Wert für Stützen'!$A$8:$ES$8,0)+7,4),,))</f>
        <v>775.29637936613267</v>
      </c>
      <c r="S29" s="772">
        <f t="shared" ca="1" si="3"/>
        <v>1492.798815308463</v>
      </c>
      <c r="T29" s="772">
        <f t="shared" ca="1" si="3"/>
        <v>1492.798815308463</v>
      </c>
      <c r="U29" s="772">
        <f t="shared" ca="1" si="3"/>
        <v>1492.798815308463</v>
      </c>
      <c r="V29" s="772">
        <f t="shared" ca="1" si="3"/>
        <v>1401.2169762278729</v>
      </c>
      <c r="W29" s="772">
        <f t="shared" ca="1" si="3"/>
        <v>1317.7128561764284</v>
      </c>
      <c r="X29" s="772">
        <f t="shared" ca="1" si="3"/>
        <v>1241.3811985761881</v>
      </c>
      <c r="Y29" s="772">
        <f t="shared" ca="1" si="3"/>
        <v>1171.4364283236387</v>
      </c>
      <c r="Z29" s="772">
        <f t="shared" ca="1" si="3"/>
        <v>1492.798815308463</v>
      </c>
      <c r="AA29" s="772">
        <f t="shared" ca="1" si="3"/>
        <v>1492.798815308463</v>
      </c>
      <c r="AB29" s="772">
        <f t="shared" ca="1" si="8"/>
        <v>1401.2169762278729</v>
      </c>
      <c r="AC29" s="772">
        <f t="shared" ca="1" si="8"/>
        <v>1401.2169762278729</v>
      </c>
      <c r="AD29" s="772">
        <f t="shared" ca="1" si="8"/>
        <v>1317.7128561764284</v>
      </c>
      <c r="AE29" s="772">
        <f t="shared" ca="1" si="8"/>
        <v>1317.7128561764284</v>
      </c>
      <c r="AF29" s="772">
        <f t="shared" ca="1" si="8"/>
        <v>1241.3811985761881</v>
      </c>
      <c r="AG29" s="772">
        <f t="shared" ca="1" si="8"/>
        <v>1241.3811985761881</v>
      </c>
      <c r="AH29" s="772">
        <f t="shared" ca="1" si="8"/>
        <v>1241.3811985761881</v>
      </c>
      <c r="AI29" s="772">
        <f t="shared" ca="1" si="8"/>
        <v>1492.798815308463</v>
      </c>
      <c r="AJ29" s="772">
        <f t="shared" ca="1" si="8"/>
        <v>1492.798815308463</v>
      </c>
      <c r="AK29" s="772">
        <f t="shared" ca="1" si="8"/>
        <v>1401.2169762278729</v>
      </c>
      <c r="AL29" s="772">
        <f t="shared" ca="1" si="8"/>
        <v>1401.2169762278729</v>
      </c>
      <c r="AM29" s="772">
        <f t="shared" ca="1" si="8"/>
        <v>1317.7128561764284</v>
      </c>
      <c r="AN29" s="772">
        <f t="shared" ca="1" si="8"/>
        <v>1317.7128561764284</v>
      </c>
      <c r="AO29" s="772">
        <f t="shared" ca="1" si="8"/>
        <v>1241.3811985761881</v>
      </c>
      <c r="AP29" s="772">
        <f t="shared" ca="1" si="8"/>
        <v>1241.3811985761881</v>
      </c>
      <c r="AQ29" s="772">
        <f t="shared" ca="1" si="8"/>
        <v>1241.3811985761881</v>
      </c>
      <c r="AR29" s="772">
        <f t="shared" ca="1" si="7"/>
        <v>1492.798815308463</v>
      </c>
      <c r="AS29" s="772">
        <f t="shared" ca="1" si="7"/>
        <v>1492.798815308463</v>
      </c>
      <c r="AT29" s="772">
        <f t="shared" ca="1" si="7"/>
        <v>1401.2169762278729</v>
      </c>
      <c r="AU29" s="772">
        <f t="shared" ca="1" si="7"/>
        <v>1401.2169762278729</v>
      </c>
      <c r="AV29" s="772">
        <f t="shared" ca="1" si="7"/>
        <v>1317.7128561764284</v>
      </c>
      <c r="AW29" s="772">
        <f t="shared" ca="1" si="7"/>
        <v>1317.7128561764284</v>
      </c>
      <c r="AX29" s="772">
        <f t="shared" ca="1" si="7"/>
        <v>1241.3811985761881</v>
      </c>
      <c r="AY29" s="772">
        <f t="shared" ca="1" si="7"/>
        <v>1241.3811985761881</v>
      </c>
      <c r="AZ29" s="772">
        <f t="shared" ca="1" si="4"/>
        <v>1241.3811985761881</v>
      </c>
      <c r="BA29" s="772">
        <f t="shared" ca="1" si="4"/>
        <v>1492.798815308463</v>
      </c>
      <c r="BB29" s="772">
        <f t="shared" ca="1" si="4"/>
        <v>1492.798815308463</v>
      </c>
      <c r="BC29" s="772">
        <f t="shared" ca="1" si="4"/>
        <v>1401.2169762278729</v>
      </c>
      <c r="BD29" s="772">
        <f t="shared" ca="1" si="4"/>
        <v>1317.7128561764284</v>
      </c>
      <c r="BE29" s="772">
        <f t="shared" ca="1" si="4"/>
        <v>1317.7128561764284</v>
      </c>
      <c r="BF29" s="772">
        <f t="shared" ca="1" si="4"/>
        <v>1241.3811985761881</v>
      </c>
      <c r="BG29" s="772">
        <f t="shared" ca="1" si="4"/>
        <v>1241.3811985761881</v>
      </c>
      <c r="BH29" s="772">
        <f t="shared" ca="1" si="10"/>
        <v>1171.4364283236387</v>
      </c>
      <c r="BI29" s="772">
        <f t="shared" ca="1" si="10"/>
        <v>1171.4364283236387</v>
      </c>
      <c r="BJ29" s="772">
        <f t="shared" ca="1" si="10"/>
        <v>1401.2169762278729</v>
      </c>
      <c r="BK29" s="772">
        <f t="shared" ca="1" si="10"/>
        <v>1401.2169762278729</v>
      </c>
      <c r="BL29" s="772">
        <f t="shared" ca="1" si="10"/>
        <v>1401.2169762278729</v>
      </c>
      <c r="BM29" s="772">
        <f t="shared" ca="1" si="10"/>
        <v>1401.2169762278729</v>
      </c>
      <c r="BN29" s="772">
        <f t="shared" ca="1" si="10"/>
        <v>1241.3811985761881</v>
      </c>
      <c r="BO29" s="772">
        <f t="shared" ca="1" si="10"/>
        <v>1241.3811985761881</v>
      </c>
      <c r="BP29" s="772">
        <f t="shared" ca="1" si="10"/>
        <v>1171.4364283236387</v>
      </c>
      <c r="BQ29" s="772">
        <f t="shared" ca="1" si="10"/>
        <v>1171.4364283236387</v>
      </c>
      <c r="BR29" s="772">
        <f t="shared" ca="1" si="10"/>
        <v>1107.195044483763</v>
      </c>
      <c r="BS29" s="772">
        <f t="shared" ca="1" si="10"/>
        <v>1401.2169762278729</v>
      </c>
      <c r="BT29" s="772">
        <f t="shared" ca="1" si="10"/>
        <v>1401.2169762278729</v>
      </c>
      <c r="BU29" s="772">
        <f t="shared" ca="1" si="10"/>
        <v>1401.2169762278729</v>
      </c>
      <c r="BV29" s="772">
        <f t="shared" ca="1" si="10"/>
        <v>1317.7128561764284</v>
      </c>
      <c r="BW29" s="772">
        <f t="shared" ca="1" si="10"/>
        <v>1317.7128561764284</v>
      </c>
      <c r="BX29" s="772">
        <f t="shared" ca="1" si="9"/>
        <v>1171.4364283236387</v>
      </c>
      <c r="BY29" s="772">
        <f t="shared" ca="1" si="9"/>
        <v>1171.4364283236387</v>
      </c>
      <c r="BZ29" s="772">
        <f t="shared" ca="1" si="9"/>
        <v>1107.195044483763</v>
      </c>
      <c r="CA29" s="772">
        <f t="shared" ca="1" si="9"/>
        <v>1107.195044483763</v>
      </c>
      <c r="CB29" s="772">
        <f t="shared" ca="1" si="9"/>
        <v>1317.7128561764284</v>
      </c>
      <c r="CC29" s="772">
        <f t="shared" ca="1" si="9"/>
        <v>1317.7128561764284</v>
      </c>
      <c r="CD29" s="772">
        <f t="shared" ca="1" si="9"/>
        <v>1317.7128561764284</v>
      </c>
      <c r="CE29" s="772">
        <f t="shared" ca="1" si="9"/>
        <v>1317.7128561764284</v>
      </c>
      <c r="CF29" s="772">
        <f t="shared" ca="1" si="9"/>
        <v>1241.3811985761881</v>
      </c>
      <c r="CG29" s="772">
        <f t="shared" ca="1" si="9"/>
        <v>1171.4364283236387</v>
      </c>
      <c r="CH29" s="772">
        <f t="shared" ca="1" si="9"/>
        <v>1107.195044483763</v>
      </c>
      <c r="CI29" s="772">
        <f t="shared" ca="1" si="9"/>
        <v>1107.195044483763</v>
      </c>
      <c r="CJ29" s="772">
        <f t="shared" ca="1" si="9"/>
        <v>1048.0607149488274</v>
      </c>
    </row>
    <row r="30" spans="1:88" ht="15" customHeight="1">
      <c r="A30" s="770">
        <f>'kc-Wert für Stützen'!C30</f>
        <v>82</v>
      </c>
      <c r="B30" s="768">
        <f ca="1">INDIRECT("'kc-Wert für Stützen'!"&amp;SUBSTITUTE(ADDRESS(MATCH($A30,'kc-Wert für Stützen'!$C:$C,0),MATCH(B$7,'kc-Wert für Stützen'!$A$8:$ES$8,0)+7,4),,))</f>
        <v>1788.4234204916063</v>
      </c>
      <c r="C30" s="768">
        <f ca="1">INDIRECT("'kc-Wert für Stützen'!"&amp;SUBSTITUTE(ADDRESS(MATCH($A30,'kc-Wert für Stützen'!$C:$C,0),MATCH(C$7,'kc-Wert für Stützen'!$A$8:$ES$8,0)+7,4),,))</f>
        <v>1672.0580250125843</v>
      </c>
      <c r="D30" s="768">
        <f ca="1">INDIRECT("'kc-Wert für Stützen'!"&amp;SUBSTITUTE(ADDRESS(MATCH($A30,'kc-Wert für Stützen'!$C:$C,0),MATCH(D$7,'kc-Wert für Stützen'!$A$8:$ES$8,0)+7,4),,))</f>
        <v>1566.4980496887586</v>
      </c>
      <c r="E30" s="768">
        <f ca="1">INDIRECT("'kc-Wert für Stützen'!"&amp;SUBSTITUTE(ADDRESS(MATCH($A30,'kc-Wert für Stützen'!$C:$C,0),MATCH(E$7,'kc-Wert für Stützen'!$A$8:$ES$8,0)+7,4),,))</f>
        <v>1470.483327118181</v>
      </c>
      <c r="F30" s="768">
        <f ca="1">INDIRECT("'kc-Wert für Stützen'!"&amp;SUBSTITUTE(ADDRESS(MATCH($A30,'kc-Wert für Stützen'!$C:$C,0),MATCH(F$7,'kc-Wert für Stützen'!$A$8:$ES$8,0)+7,4),,))</f>
        <v>1382.9235953997847</v>
      </c>
      <c r="G30" s="768">
        <f ca="1">INDIRECT("'kc-Wert für Stützen'!"&amp;SUBSTITUTE(ADDRESS(MATCH($A30,'kc-Wert für Stützen'!$C:$C,0),MATCH(G$7,'kc-Wert für Stützen'!$A$8:$ES$8,0)+7,4),,))</f>
        <v>1302.8740324611128</v>
      </c>
      <c r="H30" s="768">
        <f ca="1">INDIRECT("'kc-Wert für Stützen'!"&amp;SUBSTITUTE(ADDRESS(MATCH($A30,'kc-Wert für Stützen'!$C:$C,0),MATCH(H$7,'kc-Wert für Stützen'!$A$8:$ES$8,0)+7,4),,))</f>
        <v>1229.5140854159183</v>
      </c>
      <c r="I30" s="768">
        <f ca="1">INDIRECT("'kc-Wert für Stützen'!"&amp;SUBSTITUTE(ADDRESS(MATCH($A30,'kc-Wert für Stützen'!$C:$C,0),MATCH(I$7,'kc-Wert für Stützen'!$A$8:$ES$8,0)+7,4),,))</f>
        <v>1162.1293653775747</v>
      </c>
      <c r="J30" s="768">
        <f ca="1">INDIRECT("'kc-Wert für Stützen'!"&amp;SUBSTITUTE(ADDRESS(MATCH($A30,'kc-Wert für Stützen'!$C:$C,0),MATCH(J$7,'kc-Wert für Stützen'!$A$8:$ES$8,0)+7,4),,))</f>
        <v>1100.0962644395288</v>
      </c>
      <c r="K30" s="768">
        <f ca="1">INDIRECT("'kc-Wert für Stützen'!"&amp;SUBSTITUTE(ADDRESS(MATCH($A30,'kc-Wert für Stützen'!$C:$C,0),MATCH(K$7,'kc-Wert für Stützen'!$A$8:$ES$8,0)+7,4),,))</f>
        <v>1042.8689284753934</v>
      </c>
      <c r="L30" s="768">
        <f ca="1">INDIRECT("'kc-Wert für Stützen'!"&amp;SUBSTITUTE(ADDRESS(MATCH($A30,'kc-Wert für Stützen'!$C:$C,0),MATCH(L$7,'kc-Wert für Stützen'!$A$8:$ES$8,0)+7,4),,))</f>
        <v>989.96823853032402</v>
      </c>
      <c r="M30" s="768">
        <f ca="1">INDIRECT("'kc-Wert für Stützen'!"&amp;SUBSTITUTE(ADDRESS(MATCH($A30,'kc-Wert für Stützen'!$C:$C,0),MATCH(M$7,'kc-Wert für Stützen'!$A$8:$ES$8,0)+7,4),,))</f>
        <v>940.97248997571546</v>
      </c>
      <c r="N30" s="768">
        <f ca="1">INDIRECT("'kc-Wert für Stützen'!"&amp;SUBSTITUTE(ADDRESS(MATCH($A30,'kc-Wert für Stützen'!$C:$C,0),MATCH(N$7,'kc-Wert für Stützen'!$A$8:$ES$8,0)+7,4),,))</f>
        <v>895.50949978142364</v>
      </c>
      <c r="O30" s="768">
        <f ca="1">INDIRECT("'kc-Wert für Stützen'!"&amp;SUBSTITUTE(ADDRESS(MATCH($A30,'kc-Wert für Stützen'!$C:$C,0),MATCH(O$7,'kc-Wert für Stützen'!$A$8:$ES$8,0)+7,4),,))</f>
        <v>853.24991223768313</v>
      </c>
      <c r="P30" s="768">
        <f ca="1">INDIRECT("'kc-Wert für Stützen'!"&amp;SUBSTITUTE(ADDRESS(MATCH($A30,'kc-Wert für Stützen'!$C:$C,0),MATCH(P$7,'kc-Wert für Stützen'!$A$8:$ES$8,0)+7,4),,))</f>
        <v>813.90150964184988</v>
      </c>
      <c r="S30" s="772">
        <f t="shared" ca="1" si="3"/>
        <v>1566.4980496887586</v>
      </c>
      <c r="T30" s="772">
        <f t="shared" ca="1" si="3"/>
        <v>1566.4980496887586</v>
      </c>
      <c r="U30" s="772">
        <f t="shared" ca="1" si="3"/>
        <v>1566.4980496887586</v>
      </c>
      <c r="V30" s="772">
        <f t="shared" ca="1" si="3"/>
        <v>1470.483327118181</v>
      </c>
      <c r="W30" s="772">
        <f t="shared" ca="1" si="3"/>
        <v>1382.9235953997847</v>
      </c>
      <c r="X30" s="772">
        <f t="shared" ca="1" si="3"/>
        <v>1302.8740324611128</v>
      </c>
      <c r="Y30" s="772">
        <f t="shared" ca="1" si="3"/>
        <v>1229.5140854159183</v>
      </c>
      <c r="Z30" s="772">
        <f t="shared" ca="1" si="3"/>
        <v>1566.4980496887586</v>
      </c>
      <c r="AA30" s="772">
        <f t="shared" ca="1" si="3"/>
        <v>1566.4980496887586</v>
      </c>
      <c r="AB30" s="772">
        <f t="shared" ca="1" si="8"/>
        <v>1470.483327118181</v>
      </c>
      <c r="AC30" s="772">
        <f t="shared" ca="1" si="8"/>
        <v>1470.483327118181</v>
      </c>
      <c r="AD30" s="772">
        <f t="shared" ca="1" si="8"/>
        <v>1382.9235953997847</v>
      </c>
      <c r="AE30" s="772">
        <f t="shared" ca="1" si="8"/>
        <v>1382.9235953997847</v>
      </c>
      <c r="AF30" s="772">
        <f t="shared" ca="1" si="8"/>
        <v>1302.8740324611128</v>
      </c>
      <c r="AG30" s="772">
        <f t="shared" ca="1" si="8"/>
        <v>1302.8740324611128</v>
      </c>
      <c r="AH30" s="772">
        <f t="shared" ca="1" si="8"/>
        <v>1302.8740324611128</v>
      </c>
      <c r="AI30" s="772">
        <f t="shared" ca="1" si="8"/>
        <v>1566.4980496887586</v>
      </c>
      <c r="AJ30" s="772">
        <f t="shared" ca="1" si="8"/>
        <v>1566.4980496887586</v>
      </c>
      <c r="AK30" s="772">
        <f t="shared" ca="1" si="8"/>
        <v>1470.483327118181</v>
      </c>
      <c r="AL30" s="772">
        <f t="shared" ca="1" si="8"/>
        <v>1470.483327118181</v>
      </c>
      <c r="AM30" s="772">
        <f t="shared" ca="1" si="8"/>
        <v>1382.9235953997847</v>
      </c>
      <c r="AN30" s="772">
        <f t="shared" ca="1" si="8"/>
        <v>1382.9235953997847</v>
      </c>
      <c r="AO30" s="772">
        <f t="shared" ca="1" si="8"/>
        <v>1302.8740324611128</v>
      </c>
      <c r="AP30" s="772">
        <f t="shared" ca="1" si="8"/>
        <v>1302.8740324611128</v>
      </c>
      <c r="AQ30" s="772">
        <f t="shared" ca="1" si="8"/>
        <v>1302.8740324611128</v>
      </c>
      <c r="AR30" s="772">
        <f t="shared" ca="1" si="7"/>
        <v>1566.4980496887586</v>
      </c>
      <c r="AS30" s="772">
        <f t="shared" ca="1" si="7"/>
        <v>1566.4980496887586</v>
      </c>
      <c r="AT30" s="772">
        <f t="shared" ca="1" si="7"/>
        <v>1470.483327118181</v>
      </c>
      <c r="AU30" s="772">
        <f t="shared" ca="1" si="7"/>
        <v>1470.483327118181</v>
      </c>
      <c r="AV30" s="772">
        <f t="shared" ca="1" si="7"/>
        <v>1382.9235953997847</v>
      </c>
      <c r="AW30" s="772">
        <f t="shared" ca="1" si="7"/>
        <v>1382.9235953997847</v>
      </c>
      <c r="AX30" s="772">
        <f t="shared" ca="1" si="7"/>
        <v>1302.8740324611128</v>
      </c>
      <c r="AY30" s="772">
        <f t="shared" ca="1" si="7"/>
        <v>1302.8740324611128</v>
      </c>
      <c r="AZ30" s="772">
        <f t="shared" ca="1" si="4"/>
        <v>1302.8740324611128</v>
      </c>
      <c r="BA30" s="772">
        <f t="shared" ca="1" si="4"/>
        <v>1566.4980496887586</v>
      </c>
      <c r="BB30" s="772">
        <f t="shared" ca="1" si="4"/>
        <v>1566.4980496887586</v>
      </c>
      <c r="BC30" s="772">
        <f t="shared" ca="1" si="4"/>
        <v>1470.483327118181</v>
      </c>
      <c r="BD30" s="772">
        <f t="shared" ca="1" si="4"/>
        <v>1382.9235953997847</v>
      </c>
      <c r="BE30" s="772">
        <f t="shared" ca="1" si="4"/>
        <v>1382.9235953997847</v>
      </c>
      <c r="BF30" s="772">
        <f t="shared" ca="1" si="4"/>
        <v>1302.8740324611128</v>
      </c>
      <c r="BG30" s="772">
        <f t="shared" ca="1" si="4"/>
        <v>1302.8740324611128</v>
      </c>
      <c r="BH30" s="772">
        <f t="shared" ca="1" si="10"/>
        <v>1229.5140854159183</v>
      </c>
      <c r="BI30" s="772">
        <f t="shared" ca="1" si="10"/>
        <v>1229.5140854159183</v>
      </c>
      <c r="BJ30" s="772">
        <f t="shared" ca="1" si="10"/>
        <v>1470.483327118181</v>
      </c>
      <c r="BK30" s="772">
        <f t="shared" ca="1" si="10"/>
        <v>1470.483327118181</v>
      </c>
      <c r="BL30" s="772">
        <f t="shared" ca="1" si="10"/>
        <v>1470.483327118181</v>
      </c>
      <c r="BM30" s="772">
        <f t="shared" ca="1" si="10"/>
        <v>1470.483327118181</v>
      </c>
      <c r="BN30" s="772">
        <f t="shared" ca="1" si="10"/>
        <v>1302.8740324611128</v>
      </c>
      <c r="BO30" s="772">
        <f t="shared" ca="1" si="10"/>
        <v>1302.8740324611128</v>
      </c>
      <c r="BP30" s="772">
        <f t="shared" ca="1" si="10"/>
        <v>1229.5140854159183</v>
      </c>
      <c r="BQ30" s="772">
        <f t="shared" ca="1" si="10"/>
        <v>1229.5140854159183</v>
      </c>
      <c r="BR30" s="772">
        <f t="shared" ca="1" si="10"/>
        <v>1162.1293653775747</v>
      </c>
      <c r="BS30" s="772">
        <f t="shared" ca="1" si="10"/>
        <v>1470.483327118181</v>
      </c>
      <c r="BT30" s="772">
        <f t="shared" ca="1" si="10"/>
        <v>1470.483327118181</v>
      </c>
      <c r="BU30" s="772">
        <f t="shared" ca="1" si="10"/>
        <v>1470.483327118181</v>
      </c>
      <c r="BV30" s="772">
        <f t="shared" ca="1" si="10"/>
        <v>1382.9235953997847</v>
      </c>
      <c r="BW30" s="772">
        <f t="shared" ca="1" si="10"/>
        <v>1382.9235953997847</v>
      </c>
      <c r="BX30" s="772">
        <f t="shared" ca="1" si="9"/>
        <v>1229.5140854159183</v>
      </c>
      <c r="BY30" s="772">
        <f t="shared" ca="1" si="9"/>
        <v>1229.5140854159183</v>
      </c>
      <c r="BZ30" s="772">
        <f t="shared" ca="1" si="9"/>
        <v>1162.1293653775747</v>
      </c>
      <c r="CA30" s="772">
        <f t="shared" ca="1" si="9"/>
        <v>1162.1293653775747</v>
      </c>
      <c r="CB30" s="772">
        <f t="shared" ca="1" si="9"/>
        <v>1382.9235953997847</v>
      </c>
      <c r="CC30" s="772">
        <f t="shared" ca="1" si="9"/>
        <v>1382.9235953997847</v>
      </c>
      <c r="CD30" s="772">
        <f t="shared" ca="1" si="9"/>
        <v>1382.9235953997847</v>
      </c>
      <c r="CE30" s="772">
        <f t="shared" ca="1" si="9"/>
        <v>1382.9235953997847</v>
      </c>
      <c r="CF30" s="772">
        <f t="shared" ca="1" si="9"/>
        <v>1302.8740324611128</v>
      </c>
      <c r="CG30" s="772">
        <f t="shared" ca="1" si="9"/>
        <v>1229.5140854159183</v>
      </c>
      <c r="CH30" s="772">
        <f t="shared" ca="1" si="9"/>
        <v>1162.1293653775747</v>
      </c>
      <c r="CI30" s="772">
        <f t="shared" ca="1" si="9"/>
        <v>1162.1293653775747</v>
      </c>
      <c r="CJ30" s="772">
        <f t="shared" ca="1" si="9"/>
        <v>1100.0962644395288</v>
      </c>
    </row>
    <row r="31" spans="1:88" ht="15" customHeight="1">
      <c r="A31" s="770">
        <f>'kc-Wert für Stützen'!C31</f>
        <v>83</v>
      </c>
      <c r="B31" s="768">
        <f ca="1">INDIRECT("'kc-Wert für Stützen'!"&amp;SUBSTITUTE(ADDRESS(MATCH($A31,'kc-Wert für Stützen'!$C:$C,0),MATCH(B$7,'kc-Wert für Stützen'!$A$8:$ES$8,0)+7,4),,))</f>
        <v>1875.2818434363305</v>
      </c>
      <c r="C31" s="768">
        <f ca="1">INDIRECT("'kc-Wert für Stützen'!"&amp;SUBSTITUTE(ADDRESS(MATCH($A31,'kc-Wert für Stützen'!$C:$C,0),MATCH(C$7,'kc-Wert für Stützen'!$A$8:$ES$8,0)+7,4),,))</f>
        <v>1753.4140250937592</v>
      </c>
      <c r="D31" s="768">
        <f ca="1">INDIRECT("'kc-Wert für Stützen'!"&amp;SUBSTITUTE(ADDRESS(MATCH($A31,'kc-Wert für Stützen'!$C:$C,0),MATCH(D$7,'kc-Wert für Stützen'!$A$8:$ES$8,0)+7,4),,))</f>
        <v>1642.8365896517844</v>
      </c>
      <c r="E31" s="768">
        <f ca="1">INDIRECT("'kc-Wert für Stützen'!"&amp;SUBSTITUTE(ADDRESS(MATCH($A31,'kc-Wert für Stützen'!$C:$C,0),MATCH(E$7,'kc-Wert für Stützen'!$A$8:$ES$8,0)+7,4),,))</f>
        <v>1542.2385396512966</v>
      </c>
      <c r="F31" s="768">
        <f ca="1">INDIRECT("'kc-Wert für Stützen'!"&amp;SUBSTITUTE(ADDRESS(MATCH($A31,'kc-Wert für Stützen'!$C:$C,0),MATCH(F$7,'kc-Wert für Stützen'!$A$8:$ES$8,0)+7,4),,))</f>
        <v>1450.4841259592281</v>
      </c>
      <c r="G31" s="768">
        <f ca="1">INDIRECT("'kc-Wert für Stützen'!"&amp;SUBSTITUTE(ADDRESS(MATCH($A31,'kc-Wert für Stützen'!$C:$C,0),MATCH(G$7,'kc-Wert für Stützen'!$A$8:$ES$8,0)+7,4),,))</f>
        <v>1366.5880799821487</v>
      </c>
      <c r="H31" s="768">
        <f ca="1">INDIRECT("'kc-Wert für Stützen'!"&amp;SUBSTITUTE(ADDRESS(MATCH($A31,'kc-Wert für Stützen'!$C:$C,0),MATCH(H$7,'kc-Wert für Stützen'!$A$8:$ES$8,0)+7,4),,))</f>
        <v>1289.6940097083891</v>
      </c>
      <c r="I31" s="768">
        <f ca="1">INDIRECT("'kc-Wert für Stützen'!"&amp;SUBSTITUTE(ADDRESS(MATCH($A31,'kc-Wert für Stützen'!$C:$C,0),MATCH(I$7,'kc-Wert für Stützen'!$A$8:$ES$8,0)+7,4),,))</f>
        <v>1219.0558211821094</v>
      </c>
      <c r="J31" s="768">
        <f ca="1">INDIRECT("'kc-Wert für Stützen'!"&amp;SUBSTITUTE(ADDRESS(MATCH($A31,'kc-Wert für Stützen'!$C:$C,0),MATCH(J$7,'kc-Wert für Stützen'!$A$8:$ES$8,0)+7,4),,))</f>
        <v>1154.0218696771026</v>
      </c>
      <c r="K31" s="768">
        <f ca="1">INDIRECT("'kc-Wert für Stützen'!"&amp;SUBSTITUTE(ADDRESS(MATCH($A31,'kc-Wert für Stützen'!$C:$C,0),MATCH(K$7,'kc-Wert für Stützen'!$A$8:$ES$8,0)+7,4),,))</f>
        <v>1094.0214974742635</v>
      </c>
      <c r="L31" s="768">
        <f ca="1">INDIRECT("'kc-Wert für Stützen'!"&amp;SUBSTITUTE(ADDRESS(MATCH($A31,'kc-Wert für Stützen'!$C:$C,0),MATCH(L$7,'kc-Wert für Stützen'!$A$8:$ES$8,0)+7,4),,))</f>
        <v>1038.5536208267104</v>
      </c>
      <c r="M31" s="768">
        <f ca="1">INDIRECT("'kc-Wert für Stützen'!"&amp;SUBSTITUTE(ADDRESS(MATCH($A31,'kc-Wert für Stützen'!$C:$C,0),MATCH(M$7,'kc-Wert für Stützen'!$A$8:$ES$8,0)+7,4),,))</f>
        <v>987.17705780547294</v>
      </c>
      <c r="N31" s="768">
        <f ca="1">INDIRECT("'kc-Wert für Stützen'!"&amp;SUBSTITUTE(ADDRESS(MATCH($A31,'kc-Wert für Stützen'!$C:$C,0),MATCH(N$7,'kc-Wert für Stützen'!$A$8:$ES$8,0)+7,4),,))</f>
        <v>939.50232609347063</v>
      </c>
      <c r="O31" s="768">
        <f ca="1">INDIRECT("'kc-Wert für Stützen'!"&amp;SUBSTITUTE(ADDRESS(MATCH($A31,'kc-Wert für Stützen'!$C:$C,0),MATCH(O$7,'kc-Wert für Stützen'!$A$8:$ES$8,0)+7,4),,))</f>
        <v>895.1846779337169</v>
      </c>
      <c r="P31" s="768">
        <f ca="1">INDIRECT("'kc-Wert für Stützen'!"&amp;SUBSTITUTE(ADDRESS(MATCH($A31,'kc-Wert für Stützen'!$C:$C,0),MATCH(P$7,'kc-Wert für Stützen'!$A$8:$ES$8,0)+7,4),,))</f>
        <v>853.91817487927744</v>
      </c>
      <c r="S31" s="772">
        <f t="shared" ca="1" si="3"/>
        <v>1642.8365896517844</v>
      </c>
      <c r="T31" s="772">
        <f t="shared" ca="1" si="3"/>
        <v>1642.8365896517844</v>
      </c>
      <c r="U31" s="772">
        <f t="shared" ca="1" si="3"/>
        <v>1642.8365896517844</v>
      </c>
      <c r="V31" s="772">
        <f t="shared" ca="1" si="3"/>
        <v>1542.2385396512966</v>
      </c>
      <c r="W31" s="772">
        <f t="shared" ca="1" si="3"/>
        <v>1450.4841259592281</v>
      </c>
      <c r="X31" s="772">
        <f t="shared" ca="1" si="3"/>
        <v>1366.5880799821487</v>
      </c>
      <c r="Y31" s="772">
        <f t="shared" ca="1" si="3"/>
        <v>1289.6940097083891</v>
      </c>
      <c r="Z31" s="772">
        <f t="shared" ca="1" si="3"/>
        <v>1642.8365896517844</v>
      </c>
      <c r="AA31" s="772">
        <f t="shared" ca="1" si="3"/>
        <v>1642.8365896517844</v>
      </c>
      <c r="AB31" s="772">
        <f t="shared" ca="1" si="8"/>
        <v>1542.2385396512966</v>
      </c>
      <c r="AC31" s="772">
        <f t="shared" ca="1" si="8"/>
        <v>1542.2385396512966</v>
      </c>
      <c r="AD31" s="772">
        <f t="shared" ca="1" si="8"/>
        <v>1450.4841259592281</v>
      </c>
      <c r="AE31" s="772">
        <f t="shared" ca="1" si="8"/>
        <v>1450.4841259592281</v>
      </c>
      <c r="AF31" s="772">
        <f t="shared" ca="1" si="8"/>
        <v>1366.5880799821487</v>
      </c>
      <c r="AG31" s="772">
        <f t="shared" ca="1" si="8"/>
        <v>1366.5880799821487</v>
      </c>
      <c r="AH31" s="772">
        <f t="shared" ca="1" si="8"/>
        <v>1366.5880799821487</v>
      </c>
      <c r="AI31" s="772">
        <f t="shared" ca="1" si="8"/>
        <v>1642.8365896517844</v>
      </c>
      <c r="AJ31" s="772">
        <f t="shared" ca="1" si="8"/>
        <v>1642.8365896517844</v>
      </c>
      <c r="AK31" s="772">
        <f t="shared" ca="1" si="8"/>
        <v>1542.2385396512966</v>
      </c>
      <c r="AL31" s="772">
        <f t="shared" ca="1" si="8"/>
        <v>1542.2385396512966</v>
      </c>
      <c r="AM31" s="772">
        <f t="shared" ca="1" si="8"/>
        <v>1450.4841259592281</v>
      </c>
      <c r="AN31" s="772">
        <f t="shared" ca="1" si="8"/>
        <v>1450.4841259592281</v>
      </c>
      <c r="AO31" s="772">
        <f t="shared" ca="1" si="8"/>
        <v>1366.5880799821487</v>
      </c>
      <c r="AP31" s="772">
        <f t="shared" ca="1" si="8"/>
        <v>1366.5880799821487</v>
      </c>
      <c r="AQ31" s="772">
        <f t="shared" ca="1" si="8"/>
        <v>1366.5880799821487</v>
      </c>
      <c r="AR31" s="772">
        <f t="shared" ca="1" si="7"/>
        <v>1642.8365896517844</v>
      </c>
      <c r="AS31" s="772">
        <f t="shared" ca="1" si="7"/>
        <v>1642.8365896517844</v>
      </c>
      <c r="AT31" s="772">
        <f t="shared" ca="1" si="7"/>
        <v>1542.2385396512966</v>
      </c>
      <c r="AU31" s="772">
        <f t="shared" ca="1" si="7"/>
        <v>1542.2385396512966</v>
      </c>
      <c r="AV31" s="772">
        <f t="shared" ca="1" si="7"/>
        <v>1450.4841259592281</v>
      </c>
      <c r="AW31" s="772">
        <f t="shared" ca="1" si="7"/>
        <v>1450.4841259592281</v>
      </c>
      <c r="AX31" s="772">
        <f t="shared" ca="1" si="7"/>
        <v>1366.5880799821487</v>
      </c>
      <c r="AY31" s="772">
        <f t="shared" ca="1" si="7"/>
        <v>1366.5880799821487</v>
      </c>
      <c r="AZ31" s="772">
        <f t="shared" ca="1" si="4"/>
        <v>1366.5880799821487</v>
      </c>
      <c r="BA31" s="772">
        <f t="shared" ca="1" si="4"/>
        <v>1642.8365896517844</v>
      </c>
      <c r="BB31" s="772">
        <f t="shared" ca="1" si="4"/>
        <v>1642.8365896517844</v>
      </c>
      <c r="BC31" s="772">
        <f t="shared" ca="1" si="4"/>
        <v>1542.2385396512966</v>
      </c>
      <c r="BD31" s="772">
        <f t="shared" ca="1" si="4"/>
        <v>1450.4841259592281</v>
      </c>
      <c r="BE31" s="772">
        <f t="shared" ca="1" si="4"/>
        <v>1450.4841259592281</v>
      </c>
      <c r="BF31" s="772">
        <f t="shared" ca="1" si="4"/>
        <v>1366.5880799821487</v>
      </c>
      <c r="BG31" s="772">
        <f t="shared" ca="1" si="4"/>
        <v>1366.5880799821487</v>
      </c>
      <c r="BH31" s="772">
        <f t="shared" ca="1" si="10"/>
        <v>1289.6940097083891</v>
      </c>
      <c r="BI31" s="772">
        <f t="shared" ca="1" si="10"/>
        <v>1289.6940097083891</v>
      </c>
      <c r="BJ31" s="772">
        <f t="shared" ca="1" si="10"/>
        <v>1542.2385396512966</v>
      </c>
      <c r="BK31" s="772">
        <f t="shared" ca="1" si="10"/>
        <v>1542.2385396512966</v>
      </c>
      <c r="BL31" s="772">
        <f t="shared" ca="1" si="10"/>
        <v>1542.2385396512966</v>
      </c>
      <c r="BM31" s="772">
        <f t="shared" ca="1" si="10"/>
        <v>1542.2385396512966</v>
      </c>
      <c r="BN31" s="772">
        <f t="shared" ca="1" si="10"/>
        <v>1366.5880799821487</v>
      </c>
      <c r="BO31" s="772">
        <f t="shared" ca="1" si="10"/>
        <v>1366.5880799821487</v>
      </c>
      <c r="BP31" s="772">
        <f t="shared" ca="1" si="10"/>
        <v>1289.6940097083891</v>
      </c>
      <c r="BQ31" s="772">
        <f t="shared" ca="1" si="10"/>
        <v>1289.6940097083891</v>
      </c>
      <c r="BR31" s="772">
        <f t="shared" ca="1" si="10"/>
        <v>1219.0558211821094</v>
      </c>
      <c r="BS31" s="772">
        <f t="shared" ca="1" si="10"/>
        <v>1542.2385396512966</v>
      </c>
      <c r="BT31" s="772">
        <f t="shared" ca="1" si="10"/>
        <v>1542.2385396512966</v>
      </c>
      <c r="BU31" s="772">
        <f t="shared" ca="1" si="10"/>
        <v>1542.2385396512966</v>
      </c>
      <c r="BV31" s="772">
        <f t="shared" ca="1" si="10"/>
        <v>1450.4841259592281</v>
      </c>
      <c r="BW31" s="772">
        <f t="shared" ca="1" si="10"/>
        <v>1450.4841259592281</v>
      </c>
      <c r="BX31" s="772">
        <f t="shared" ca="1" si="9"/>
        <v>1289.6940097083891</v>
      </c>
      <c r="BY31" s="772">
        <f t="shared" ca="1" si="9"/>
        <v>1289.6940097083891</v>
      </c>
      <c r="BZ31" s="772">
        <f t="shared" ca="1" si="9"/>
        <v>1219.0558211821094</v>
      </c>
      <c r="CA31" s="772">
        <f t="shared" ca="1" si="9"/>
        <v>1219.0558211821094</v>
      </c>
      <c r="CB31" s="772">
        <f t="shared" ca="1" si="9"/>
        <v>1450.4841259592281</v>
      </c>
      <c r="CC31" s="772">
        <f t="shared" ca="1" si="9"/>
        <v>1450.4841259592281</v>
      </c>
      <c r="CD31" s="772">
        <f t="shared" ca="1" si="9"/>
        <v>1450.4841259592281</v>
      </c>
      <c r="CE31" s="772">
        <f t="shared" ca="1" si="9"/>
        <v>1450.4841259592281</v>
      </c>
      <c r="CF31" s="772">
        <f t="shared" ca="1" si="9"/>
        <v>1366.5880799821487</v>
      </c>
      <c r="CG31" s="772">
        <f t="shared" ca="1" si="9"/>
        <v>1289.6940097083891</v>
      </c>
      <c r="CH31" s="772">
        <f t="shared" ca="1" si="9"/>
        <v>1219.0558211821094</v>
      </c>
      <c r="CI31" s="772">
        <f t="shared" ca="1" si="9"/>
        <v>1219.0558211821094</v>
      </c>
      <c r="CJ31" s="772">
        <f t="shared" ca="1" si="9"/>
        <v>1154.0218696771026</v>
      </c>
    </row>
    <row r="32" spans="1:88" ht="15" customHeight="1">
      <c r="A32" s="770">
        <f>'kc-Wert für Stützen'!C32</f>
        <v>84</v>
      </c>
      <c r="B32" s="768">
        <f ca="1">INDIRECT("'kc-Wert für Stützen'!"&amp;SUBSTITUTE(ADDRESS(MATCH($A32,'kc-Wert für Stützen'!$C:$C,0),MATCH(B$7,'kc-Wert für Stützen'!$A$8:$ES$8,0)+7,4),,))</f>
        <v>1965.1801740204392</v>
      </c>
      <c r="C32" s="768">
        <f ca="1">INDIRECT("'kc-Wert für Stützen'!"&amp;SUBSTITUTE(ADDRESS(MATCH($A32,'kc-Wert für Stützen'!$C:$C,0),MATCH(C$7,'kc-Wert für Stützen'!$A$8:$ES$8,0)+7,4),,))</f>
        <v>1837.631866738147</v>
      </c>
      <c r="D32" s="768">
        <f ca="1">INDIRECT("'kc-Wert für Stützen'!"&amp;SUBSTITUTE(ADDRESS(MATCH($A32,'kc-Wert für Stützen'!$C:$C,0),MATCH(D$7,'kc-Wert für Stützen'!$A$8:$ES$8,0)+7,4),,))</f>
        <v>1721.8717783113464</v>
      </c>
      <c r="E32" s="768">
        <f ca="1">INDIRECT("'kc-Wert für Stützen'!"&amp;SUBSTITUTE(ADDRESS(MATCH($A32,'kc-Wert für Stützen'!$C:$C,0),MATCH(E$7,'kc-Wert für Stützen'!$A$8:$ES$8,0)+7,4),,))</f>
        <v>1616.5374254850856</v>
      </c>
      <c r="F32" s="768">
        <f ca="1">INDIRECT("'kc-Wert für Stützen'!"&amp;SUBSTITUTE(ADDRESS(MATCH($A32,'kc-Wert für Stützen'!$C:$C,0),MATCH(F$7,'kc-Wert für Stützen'!$A$8:$ES$8,0)+7,4),,))</f>
        <v>1520.4467737259959</v>
      </c>
      <c r="G32" s="768">
        <f ca="1">INDIRECT("'kc-Wert für Stützen'!"&amp;SUBSTITUTE(ADDRESS(MATCH($A32,'kc-Wert für Stützen'!$C:$C,0),MATCH(G$7,'kc-Wert für Stützen'!$A$8:$ES$8,0)+7,4),,))</f>
        <v>1432.5732610590367</v>
      </c>
      <c r="H32" s="768">
        <f ca="1">INDIRECT("'kc-Wert für Stützen'!"&amp;SUBSTITUTE(ADDRESS(MATCH($A32,'kc-Wert für Stützen'!$C:$C,0),MATCH(H$7,'kc-Wert für Stützen'!$A$8:$ES$8,0)+7,4),,))</f>
        <v>1352.0238145140668</v>
      </c>
      <c r="I32" s="768">
        <f ca="1">INDIRECT("'kc-Wert für Stützen'!"&amp;SUBSTITUTE(ADDRESS(MATCH($A32,'kc-Wert für Stützen'!$C:$C,0),MATCH(I$7,'kc-Wert für Stützen'!$A$8:$ES$8,0)+7,4),,))</f>
        <v>1278.0198279393585</v>
      </c>
      <c r="J32" s="768">
        <f ca="1">INDIRECT("'kc-Wert für Stützen'!"&amp;SUBSTITUTE(ADDRESS(MATCH($A32,'kc-Wert für Stützen'!$C:$C,0),MATCH(J$7,'kc-Wert für Stützen'!$A$8:$ES$8,0)+7,4),,))</f>
        <v>1209.8808625961949</v>
      </c>
      <c r="K32" s="768">
        <f ca="1">INDIRECT("'kc-Wert für Stützen'!"&amp;SUBSTITUTE(ADDRESS(MATCH($A32,'kc-Wert für Stützen'!$C:$C,0),MATCH(K$7,'kc-Wert für Stützen'!$A$8:$ES$8,0)+7,4),,))</f>
        <v>1147.0107564990574</v>
      </c>
      <c r="L32" s="768">
        <f ca="1">INDIRECT("'kc-Wert für Stützen'!"&amp;SUBSTITUTE(ADDRESS(MATCH($A32,'kc-Wert für Stützen'!$C:$C,0),MATCH(L$7,'kc-Wert für Stützen'!$A$8:$ES$8,0)+7,4),,))</f>
        <v>1088.8858184418266</v>
      </c>
      <c r="M32" s="768">
        <f ca="1">INDIRECT("'kc-Wert für Stützen'!"&amp;SUBSTITUTE(ADDRESS(MATCH($A32,'kc-Wert für Stützen'!$C:$C,0),MATCH(M$7,'kc-Wert für Stützen'!$A$8:$ES$8,0)+7,4),,))</f>
        <v>1035.0448030952098</v>
      </c>
      <c r="N32" s="768">
        <f ca="1">INDIRECT("'kc-Wert für Stützen'!"&amp;SUBSTITUTE(ADDRESS(MATCH($A32,'kc-Wert für Stützen'!$C:$C,0),MATCH(N$7,'kc-Wert für Stützen'!$A$8:$ES$8,0)+7,4),,))</f>
        <v>985.08039628809479</v>
      </c>
      <c r="O32" s="768">
        <f ca="1">INDIRECT("'kc-Wert für Stützen'!"&amp;SUBSTITUTE(ADDRESS(MATCH($A32,'kc-Wert für Stützen'!$C:$C,0),MATCH(O$7,'kc-Wert für Stützen'!$A$8:$ES$8,0)+7,4),,))</f>
        <v>938.63197536558687</v>
      </c>
      <c r="P32" s="768">
        <f ca="1">INDIRECT("'kc-Wert für Stützen'!"&amp;SUBSTITUTE(ADDRESS(MATCH($A32,'kc-Wert für Stützen'!$C:$C,0),MATCH(P$7,'kc-Wert für Stützen'!$A$8:$ES$8,0)+7,4),,))</f>
        <v>895.3794438948679</v>
      </c>
      <c r="S32" s="772">
        <f t="shared" ca="1" si="3"/>
        <v>1721.8717783113464</v>
      </c>
      <c r="T32" s="772">
        <f t="shared" ca="1" si="3"/>
        <v>1721.8717783113464</v>
      </c>
      <c r="U32" s="772">
        <f t="shared" ca="1" si="3"/>
        <v>1721.8717783113464</v>
      </c>
      <c r="V32" s="772">
        <f t="shared" ca="1" si="3"/>
        <v>1616.5374254850856</v>
      </c>
      <c r="W32" s="772">
        <f t="shared" ca="1" si="3"/>
        <v>1520.4467737259959</v>
      </c>
      <c r="X32" s="772">
        <f t="shared" ca="1" si="3"/>
        <v>1432.5732610590367</v>
      </c>
      <c r="Y32" s="772">
        <f t="shared" ca="1" si="3"/>
        <v>1352.0238145140668</v>
      </c>
      <c r="Z32" s="772">
        <f t="shared" ca="1" si="3"/>
        <v>1721.8717783113464</v>
      </c>
      <c r="AA32" s="772">
        <f t="shared" ca="1" si="3"/>
        <v>1721.8717783113464</v>
      </c>
      <c r="AB32" s="772">
        <f t="shared" ca="1" si="8"/>
        <v>1616.5374254850856</v>
      </c>
      <c r="AC32" s="772">
        <f t="shared" ca="1" si="8"/>
        <v>1616.5374254850856</v>
      </c>
      <c r="AD32" s="772">
        <f t="shared" ca="1" si="8"/>
        <v>1520.4467737259959</v>
      </c>
      <c r="AE32" s="772">
        <f t="shared" ca="1" si="8"/>
        <v>1520.4467737259959</v>
      </c>
      <c r="AF32" s="772">
        <f t="shared" ca="1" si="8"/>
        <v>1432.5732610590367</v>
      </c>
      <c r="AG32" s="772">
        <f t="shared" ca="1" si="8"/>
        <v>1432.5732610590367</v>
      </c>
      <c r="AH32" s="772">
        <f t="shared" ca="1" si="8"/>
        <v>1432.5732610590367</v>
      </c>
      <c r="AI32" s="772">
        <f t="shared" ca="1" si="8"/>
        <v>1721.8717783113464</v>
      </c>
      <c r="AJ32" s="772">
        <f t="shared" ca="1" si="8"/>
        <v>1721.8717783113464</v>
      </c>
      <c r="AK32" s="772">
        <f t="shared" ca="1" si="8"/>
        <v>1616.5374254850856</v>
      </c>
      <c r="AL32" s="772">
        <f t="shared" ca="1" si="8"/>
        <v>1616.5374254850856</v>
      </c>
      <c r="AM32" s="772">
        <f t="shared" ca="1" si="8"/>
        <v>1520.4467737259959</v>
      </c>
      <c r="AN32" s="772">
        <f t="shared" ca="1" si="8"/>
        <v>1520.4467737259959</v>
      </c>
      <c r="AO32" s="772">
        <f t="shared" ca="1" si="8"/>
        <v>1432.5732610590367</v>
      </c>
      <c r="AP32" s="772">
        <f t="shared" ca="1" si="8"/>
        <v>1432.5732610590367</v>
      </c>
      <c r="AQ32" s="772">
        <f t="shared" ca="1" si="8"/>
        <v>1432.5732610590367</v>
      </c>
      <c r="AR32" s="772">
        <f t="shared" ca="1" si="7"/>
        <v>1721.8717783113464</v>
      </c>
      <c r="AS32" s="772">
        <f t="shared" ca="1" si="7"/>
        <v>1721.8717783113464</v>
      </c>
      <c r="AT32" s="772">
        <f t="shared" ca="1" si="7"/>
        <v>1616.5374254850856</v>
      </c>
      <c r="AU32" s="772">
        <f t="shared" ca="1" si="7"/>
        <v>1616.5374254850856</v>
      </c>
      <c r="AV32" s="772">
        <f t="shared" ca="1" si="7"/>
        <v>1520.4467737259959</v>
      </c>
      <c r="AW32" s="772">
        <f t="shared" ca="1" si="7"/>
        <v>1520.4467737259959</v>
      </c>
      <c r="AX32" s="772">
        <f t="shared" ca="1" si="7"/>
        <v>1432.5732610590367</v>
      </c>
      <c r="AY32" s="772">
        <f t="shared" ca="1" si="7"/>
        <v>1432.5732610590367</v>
      </c>
      <c r="AZ32" s="772">
        <f t="shared" ca="1" si="4"/>
        <v>1432.5732610590367</v>
      </c>
      <c r="BA32" s="772">
        <f t="shared" ca="1" si="4"/>
        <v>1721.8717783113464</v>
      </c>
      <c r="BB32" s="772">
        <f t="shared" ca="1" si="4"/>
        <v>1721.8717783113464</v>
      </c>
      <c r="BC32" s="772">
        <f t="shared" ca="1" si="4"/>
        <v>1616.5374254850856</v>
      </c>
      <c r="BD32" s="772">
        <f t="shared" ca="1" si="4"/>
        <v>1520.4467737259959</v>
      </c>
      <c r="BE32" s="772">
        <f t="shared" ca="1" si="4"/>
        <v>1520.4467737259959</v>
      </c>
      <c r="BF32" s="772">
        <f t="shared" ca="1" si="4"/>
        <v>1432.5732610590367</v>
      </c>
      <c r="BG32" s="772">
        <f t="shared" ca="1" si="4"/>
        <v>1432.5732610590367</v>
      </c>
      <c r="BH32" s="772">
        <f t="shared" ca="1" si="10"/>
        <v>1352.0238145140668</v>
      </c>
      <c r="BI32" s="772">
        <f t="shared" ca="1" si="10"/>
        <v>1352.0238145140668</v>
      </c>
      <c r="BJ32" s="772">
        <f t="shared" ca="1" si="10"/>
        <v>1616.5374254850856</v>
      </c>
      <c r="BK32" s="772">
        <f t="shared" ca="1" si="10"/>
        <v>1616.5374254850856</v>
      </c>
      <c r="BL32" s="772">
        <f t="shared" ca="1" si="10"/>
        <v>1616.5374254850856</v>
      </c>
      <c r="BM32" s="772">
        <f t="shared" ca="1" si="10"/>
        <v>1616.5374254850856</v>
      </c>
      <c r="BN32" s="772">
        <f t="shared" ca="1" si="10"/>
        <v>1432.5732610590367</v>
      </c>
      <c r="BO32" s="772">
        <f t="shared" ca="1" si="10"/>
        <v>1432.5732610590367</v>
      </c>
      <c r="BP32" s="772">
        <f t="shared" ca="1" si="10"/>
        <v>1352.0238145140668</v>
      </c>
      <c r="BQ32" s="772">
        <f t="shared" ca="1" si="10"/>
        <v>1352.0238145140668</v>
      </c>
      <c r="BR32" s="772">
        <f t="shared" ca="1" si="10"/>
        <v>1278.0198279393585</v>
      </c>
      <c r="BS32" s="772">
        <f t="shared" ca="1" si="10"/>
        <v>1616.5374254850856</v>
      </c>
      <c r="BT32" s="772">
        <f t="shared" ca="1" si="10"/>
        <v>1616.5374254850856</v>
      </c>
      <c r="BU32" s="772">
        <f t="shared" ca="1" si="10"/>
        <v>1616.5374254850856</v>
      </c>
      <c r="BV32" s="772">
        <f t="shared" ca="1" si="10"/>
        <v>1520.4467737259959</v>
      </c>
      <c r="BW32" s="772">
        <f t="shared" ca="1" si="10"/>
        <v>1520.4467737259959</v>
      </c>
      <c r="BX32" s="772">
        <f t="shared" ca="1" si="9"/>
        <v>1352.0238145140668</v>
      </c>
      <c r="BY32" s="772">
        <f t="shared" ca="1" si="9"/>
        <v>1352.0238145140668</v>
      </c>
      <c r="BZ32" s="772">
        <f t="shared" ca="1" si="9"/>
        <v>1278.0198279393585</v>
      </c>
      <c r="CA32" s="772">
        <f t="shared" ca="1" si="9"/>
        <v>1278.0198279393585</v>
      </c>
      <c r="CB32" s="772">
        <f t="shared" ca="1" si="9"/>
        <v>1520.4467737259959</v>
      </c>
      <c r="CC32" s="772">
        <f t="shared" ca="1" si="9"/>
        <v>1520.4467737259959</v>
      </c>
      <c r="CD32" s="772">
        <f t="shared" ca="1" si="9"/>
        <v>1520.4467737259959</v>
      </c>
      <c r="CE32" s="772">
        <f t="shared" ca="1" si="9"/>
        <v>1520.4467737259959</v>
      </c>
      <c r="CF32" s="772">
        <f t="shared" ca="1" si="9"/>
        <v>1432.5732610590367</v>
      </c>
      <c r="CG32" s="772">
        <f t="shared" ca="1" si="9"/>
        <v>1352.0238145140668</v>
      </c>
      <c r="CH32" s="772">
        <f t="shared" ca="1" si="9"/>
        <v>1278.0198279393585</v>
      </c>
      <c r="CI32" s="772">
        <f t="shared" ca="1" si="9"/>
        <v>1278.0198279393585</v>
      </c>
      <c r="CJ32" s="772">
        <f t="shared" ca="1" si="9"/>
        <v>1209.8808625961949</v>
      </c>
    </row>
    <row r="33" spans="1:88" ht="15" customHeight="1">
      <c r="A33" s="770">
        <f>'kc-Wert für Stützen'!C33</f>
        <v>85</v>
      </c>
      <c r="B33" s="768">
        <f ca="1">INDIRECT("'kc-Wert für Stützen'!"&amp;SUBSTITUTE(ADDRESS(MATCH($A33,'kc-Wert für Stützen'!$C:$C,0),MATCH(B$7,'kc-Wert für Stützen'!$A$8:$ES$8,0)+7,4),,))</f>
        <v>2058.1807025196513</v>
      </c>
      <c r="C33" s="768">
        <f ca="1">INDIRECT("'kc-Wert für Stützen'!"&amp;SUBSTITUTE(ADDRESS(MATCH($A33,'kc-Wert für Stützen'!$C:$C,0),MATCH(C$7,'kc-Wert für Stützen'!$A$8:$ES$8,0)+7,4),,))</f>
        <v>1924.7715436657265</v>
      </c>
      <c r="D33" s="768">
        <f ca="1">INDIRECT("'kc-Wert für Stützen'!"&amp;SUBSTITUTE(ADDRESS(MATCH($A33,'kc-Wert für Stützen'!$C:$C,0),MATCH(D$7,'kc-Wert für Stützen'!$A$8:$ES$8,0)+7,4),,))</f>
        <v>1803.6611718984673</v>
      </c>
      <c r="E33" s="768">
        <f ca="1">INDIRECT("'kc-Wert für Stützen'!"&amp;SUBSTITUTE(ADDRESS(MATCH($A33,'kc-Wert für Stützen'!$C:$C,0),MATCH(E$7,'kc-Wert für Stützen'!$A$8:$ES$8,0)+7,4),,))</f>
        <v>1693.4350656293686</v>
      </c>
      <c r="F33" s="768">
        <f ca="1">INDIRECT("'kc-Wert für Stützen'!"&amp;SUBSTITUTE(ADDRESS(MATCH($A33,'kc-Wert für Stützen'!$C:$C,0),MATCH(F$7,'kc-Wert für Stützen'!$A$8:$ES$8,0)+7,4),,))</f>
        <v>1592.8641713327479</v>
      </c>
      <c r="G33" s="768">
        <f ca="1">INDIRECT("'kc-Wert für Stützen'!"&amp;SUBSTITUTE(ADDRESS(MATCH($A33,'kc-Wert für Stützen'!$C:$C,0),MATCH(G$7,'kc-Wert für Stützen'!$A$8:$ES$8,0)+7,4),,))</f>
        <v>1500.879826370651</v>
      </c>
      <c r="H33" s="768">
        <f ca="1">INDIRECT("'kc-Wert für Stützen'!"&amp;SUBSTITUTE(ADDRESS(MATCH($A33,'kc-Wert für Stützen'!$C:$C,0),MATCH(H$7,'kc-Wert für Stützen'!$A$8:$ES$8,0)+7,4),,))</f>
        <v>1416.5514582890366</v>
      </c>
      <c r="I33" s="768">
        <f ca="1">INDIRECT("'kc-Wert für Stützen'!"&amp;SUBSTITUTE(ADDRESS(MATCH($A33,'kc-Wert für Stützen'!$C:$C,0),MATCH(I$7,'kc-Wert für Stützen'!$A$8:$ES$8,0)+7,4),,))</f>
        <v>1339.0671542993032</v>
      </c>
      <c r="J33" s="768">
        <f ca="1">INDIRECT("'kc-Wert für Stützen'!"&amp;SUBSTITUTE(ADDRESS(MATCH($A33,'kc-Wert für Stützen'!$C:$C,0),MATCH(J$7,'kc-Wert für Stützen'!$A$8:$ES$8,0)+7,4),,))</f>
        <v>1267.7169302169477</v>
      </c>
      <c r="K33" s="768">
        <f ca="1">INDIRECT("'kc-Wert für Stützen'!"&amp;SUBSTITUTE(ADDRESS(MATCH($A33,'kc-Wert für Stützen'!$C:$C,0),MATCH(K$7,'kc-Wert für Stützen'!$A$8:$ES$8,0)+7,4),,))</f>
        <v>1201.8784203885916</v>
      </c>
      <c r="L33" s="768">
        <f ca="1">INDIRECT("'kc-Wert für Stützen'!"&amp;SUBSTITUTE(ADDRESS(MATCH($A33,'kc-Wert für Stützen'!$C:$C,0),MATCH(L$7,'kc-Wert für Stützen'!$A$8:$ES$8,0)+7,4),,))</f>
        <v>1141.0046818869967</v>
      </c>
      <c r="M33" s="768">
        <f ca="1">INDIRECT("'kc-Wert für Stützen'!"&amp;SUBSTITUTE(ADDRESS(MATCH($A33,'kc-Wert für Stützen'!$C:$C,0),MATCH(M$7,'kc-Wert für Stützen'!$A$8:$ES$8,0)+7,4),,))</f>
        <v>1084.6138165028483</v>
      </c>
      <c r="N33" s="768">
        <f ca="1">INDIRECT("'kc-Wert für Stützen'!"&amp;SUBSTITUTE(ADDRESS(MATCH($A33,'kc-Wert für Stützen'!$C:$C,0),MATCH(N$7,'kc-Wert für Stützen'!$A$8:$ES$8,0)+7,4),,))</f>
        <v>1032.2801412030526</v>
      </c>
      <c r="O33" s="768">
        <f ca="1">INDIRECT("'kc-Wert für Stützen'!"&amp;SUBSTITUTE(ADDRESS(MATCH($A33,'kc-Wert für Stützen'!$C:$C,0),MATCH(O$7,'kc-Wert für Stützen'!$A$8:$ES$8,0)+7,4),,))</f>
        <v>983.62667056622922</v>
      </c>
      <c r="P33" s="768">
        <f ca="1">INDIRECT("'kc-Wert für Stützen'!"&amp;SUBSTITUTE(ADDRESS(MATCH($A33,'kc-Wert für Stützen'!$C:$C,0),MATCH(P$7,'kc-Wert für Stützen'!$A$8:$ES$8,0)+7,4),,))</f>
        <v>938.31870765937538</v>
      </c>
      <c r="S33" s="772">
        <f t="shared" ca="1" si="3"/>
        <v>1803.6611718984673</v>
      </c>
      <c r="T33" s="772">
        <f t="shared" ca="1" si="3"/>
        <v>1803.6611718984673</v>
      </c>
      <c r="U33" s="772">
        <f t="shared" ca="1" si="3"/>
        <v>1803.6611718984673</v>
      </c>
      <c r="V33" s="772">
        <f t="shared" ca="1" si="3"/>
        <v>1693.4350656293686</v>
      </c>
      <c r="W33" s="772">
        <f t="shared" ca="1" si="3"/>
        <v>1592.8641713327479</v>
      </c>
      <c r="X33" s="772">
        <f t="shared" ca="1" si="3"/>
        <v>1500.879826370651</v>
      </c>
      <c r="Y33" s="772">
        <f t="shared" ca="1" si="3"/>
        <v>1416.5514582890366</v>
      </c>
      <c r="Z33" s="772">
        <f t="shared" ca="1" si="3"/>
        <v>1803.6611718984673</v>
      </c>
      <c r="AA33" s="772">
        <f t="shared" ca="1" si="3"/>
        <v>1803.6611718984673</v>
      </c>
      <c r="AB33" s="772">
        <f t="shared" ca="1" si="8"/>
        <v>1693.4350656293686</v>
      </c>
      <c r="AC33" s="772">
        <f t="shared" ca="1" si="8"/>
        <v>1693.4350656293686</v>
      </c>
      <c r="AD33" s="772">
        <f t="shared" ca="1" si="8"/>
        <v>1592.8641713327479</v>
      </c>
      <c r="AE33" s="772">
        <f t="shared" ca="1" si="8"/>
        <v>1592.8641713327479</v>
      </c>
      <c r="AF33" s="772">
        <f t="shared" ca="1" si="8"/>
        <v>1500.879826370651</v>
      </c>
      <c r="AG33" s="772">
        <f t="shared" ca="1" si="8"/>
        <v>1500.879826370651</v>
      </c>
      <c r="AH33" s="772">
        <f t="shared" ca="1" si="8"/>
        <v>1500.879826370651</v>
      </c>
      <c r="AI33" s="772">
        <f t="shared" ca="1" si="8"/>
        <v>1803.6611718984673</v>
      </c>
      <c r="AJ33" s="772">
        <f t="shared" ca="1" si="8"/>
        <v>1803.6611718984673</v>
      </c>
      <c r="AK33" s="772">
        <f t="shared" ca="1" si="8"/>
        <v>1693.4350656293686</v>
      </c>
      <c r="AL33" s="772">
        <f t="shared" ca="1" si="8"/>
        <v>1693.4350656293686</v>
      </c>
      <c r="AM33" s="772">
        <f t="shared" ca="1" si="8"/>
        <v>1592.8641713327479</v>
      </c>
      <c r="AN33" s="772">
        <f t="shared" ca="1" si="8"/>
        <v>1592.8641713327479</v>
      </c>
      <c r="AO33" s="772">
        <f t="shared" ca="1" si="8"/>
        <v>1500.879826370651</v>
      </c>
      <c r="AP33" s="772">
        <f t="shared" ca="1" si="8"/>
        <v>1500.879826370651</v>
      </c>
      <c r="AQ33" s="772">
        <f t="shared" ca="1" si="8"/>
        <v>1500.879826370651</v>
      </c>
      <c r="AR33" s="772">
        <f t="shared" ca="1" si="7"/>
        <v>1803.6611718984673</v>
      </c>
      <c r="AS33" s="772">
        <f t="shared" ca="1" si="7"/>
        <v>1803.6611718984673</v>
      </c>
      <c r="AT33" s="772">
        <f t="shared" ca="1" si="7"/>
        <v>1693.4350656293686</v>
      </c>
      <c r="AU33" s="772">
        <f t="shared" ca="1" si="7"/>
        <v>1693.4350656293686</v>
      </c>
      <c r="AV33" s="772">
        <f t="shared" ca="1" si="7"/>
        <v>1592.8641713327479</v>
      </c>
      <c r="AW33" s="772">
        <f t="shared" ca="1" si="7"/>
        <v>1592.8641713327479</v>
      </c>
      <c r="AX33" s="772">
        <f t="shared" ca="1" si="7"/>
        <v>1500.879826370651</v>
      </c>
      <c r="AY33" s="772">
        <f t="shared" ref="AY33:BN38" ca="1" si="11">HLOOKUP(AY$7,$A$7:$P$348,ROW()-6)</f>
        <v>1500.879826370651</v>
      </c>
      <c r="AZ33" s="772">
        <f t="shared" ca="1" si="11"/>
        <v>1500.879826370651</v>
      </c>
      <c r="BA33" s="772">
        <f t="shared" ca="1" si="11"/>
        <v>1803.6611718984673</v>
      </c>
      <c r="BB33" s="772">
        <f t="shared" ca="1" si="11"/>
        <v>1803.6611718984673</v>
      </c>
      <c r="BC33" s="772">
        <f t="shared" ca="1" si="11"/>
        <v>1693.4350656293686</v>
      </c>
      <c r="BD33" s="772">
        <f t="shared" ca="1" si="11"/>
        <v>1592.8641713327479</v>
      </c>
      <c r="BE33" s="772">
        <f t="shared" ca="1" si="11"/>
        <v>1592.8641713327479</v>
      </c>
      <c r="BF33" s="772">
        <f t="shared" ca="1" si="11"/>
        <v>1500.879826370651</v>
      </c>
      <c r="BG33" s="772">
        <f t="shared" ca="1" si="11"/>
        <v>1500.879826370651</v>
      </c>
      <c r="BH33" s="772">
        <f t="shared" ca="1" si="11"/>
        <v>1416.5514582890366</v>
      </c>
      <c r="BI33" s="772">
        <f t="shared" ca="1" si="11"/>
        <v>1416.5514582890366</v>
      </c>
      <c r="BJ33" s="772">
        <f t="shared" ca="1" si="11"/>
        <v>1693.4350656293686</v>
      </c>
      <c r="BK33" s="772">
        <f t="shared" ca="1" si="11"/>
        <v>1693.4350656293686</v>
      </c>
      <c r="BL33" s="772">
        <f t="shared" ca="1" si="11"/>
        <v>1693.4350656293686</v>
      </c>
      <c r="BM33" s="772">
        <f t="shared" ca="1" si="11"/>
        <v>1693.4350656293686</v>
      </c>
      <c r="BN33" s="772">
        <f t="shared" ca="1" si="11"/>
        <v>1500.879826370651</v>
      </c>
      <c r="BO33" s="772">
        <f t="shared" ca="1" si="10"/>
        <v>1500.879826370651</v>
      </c>
      <c r="BP33" s="772">
        <f t="shared" ca="1" si="10"/>
        <v>1416.5514582890366</v>
      </c>
      <c r="BQ33" s="772">
        <f t="shared" ca="1" si="10"/>
        <v>1416.5514582890366</v>
      </c>
      <c r="BR33" s="772">
        <f t="shared" ca="1" si="10"/>
        <v>1339.0671542993032</v>
      </c>
      <c r="BS33" s="772">
        <f t="shared" ca="1" si="10"/>
        <v>1693.4350656293686</v>
      </c>
      <c r="BT33" s="772">
        <f t="shared" ca="1" si="10"/>
        <v>1693.4350656293686</v>
      </c>
      <c r="BU33" s="772">
        <f t="shared" ca="1" si="10"/>
        <v>1693.4350656293686</v>
      </c>
      <c r="BV33" s="772">
        <f t="shared" ca="1" si="10"/>
        <v>1592.8641713327479</v>
      </c>
      <c r="BW33" s="772">
        <f t="shared" ca="1" si="10"/>
        <v>1592.8641713327479</v>
      </c>
      <c r="BX33" s="772">
        <f t="shared" ca="1" si="9"/>
        <v>1416.5514582890366</v>
      </c>
      <c r="BY33" s="772">
        <f t="shared" ca="1" si="9"/>
        <v>1416.5514582890366</v>
      </c>
      <c r="BZ33" s="772">
        <f t="shared" ca="1" si="9"/>
        <v>1339.0671542993032</v>
      </c>
      <c r="CA33" s="772">
        <f t="shared" ca="1" si="9"/>
        <v>1339.0671542993032</v>
      </c>
      <c r="CB33" s="772">
        <f t="shared" ca="1" si="9"/>
        <v>1592.8641713327479</v>
      </c>
      <c r="CC33" s="772">
        <f t="shared" ca="1" si="9"/>
        <v>1592.8641713327479</v>
      </c>
      <c r="CD33" s="772">
        <f t="shared" ca="1" si="9"/>
        <v>1592.8641713327479</v>
      </c>
      <c r="CE33" s="772">
        <f t="shared" ca="1" si="9"/>
        <v>1592.8641713327479</v>
      </c>
      <c r="CF33" s="772">
        <f t="shared" ca="1" si="9"/>
        <v>1500.879826370651</v>
      </c>
      <c r="CG33" s="772">
        <f t="shared" ca="1" si="9"/>
        <v>1416.5514582890366</v>
      </c>
      <c r="CH33" s="772">
        <f t="shared" ca="1" si="9"/>
        <v>1339.0671542993032</v>
      </c>
      <c r="CI33" s="772">
        <f t="shared" ca="1" si="9"/>
        <v>1339.0671542993032</v>
      </c>
      <c r="CJ33" s="772">
        <f t="shared" ca="1" si="9"/>
        <v>1267.7169302169477</v>
      </c>
    </row>
    <row r="34" spans="1:88" ht="15" customHeight="1">
      <c r="A34" s="770">
        <f>'kc-Wert für Stützen'!C34</f>
        <v>86</v>
      </c>
      <c r="B34" s="768">
        <f ca="1">INDIRECT("'kc-Wert für Stützen'!"&amp;SUBSTITUTE(ADDRESS(MATCH($A34,'kc-Wert für Stützen'!$C:$C,0),MATCH(B$7,'kc-Wert für Stützen'!$A$8:$ES$8,0)+7,4),,))</f>
        <v>2154.3456780621191</v>
      </c>
      <c r="C34" s="768">
        <f ca="1">INDIRECT("'kc-Wert für Stützen'!"&amp;SUBSTITUTE(ADDRESS(MATCH($A34,'kc-Wert für Stützen'!$C:$C,0),MATCH(C$7,'kc-Wert für Stützen'!$A$8:$ES$8,0)+7,4),,))</f>
        <v>2014.8931409093741</v>
      </c>
      <c r="D34" s="768">
        <f ca="1">INDIRECT("'kc-Wert für Stützen'!"&amp;SUBSTITUTE(ADDRESS(MATCH($A34,'kc-Wert für Stützen'!$C:$C,0),MATCH(D$7,'kc-Wert für Stützen'!$A$8:$ES$8,0)+7,4),,))</f>
        <v>1888.2625093015574</v>
      </c>
      <c r="E34" s="768">
        <f ca="1">INDIRECT("'kc-Wert für Stützen'!"&amp;SUBSTITUTE(ADDRESS(MATCH($A34,'kc-Wert für Stützen'!$C:$C,0),MATCH(E$7,'kc-Wert für Stützen'!$A$8:$ES$8,0)+7,4),,))</f>
        <v>1772.9867862981725</v>
      </c>
      <c r="F34" s="768">
        <f ca="1">INDIRECT("'kc-Wert für Stützen'!"&amp;SUBSTITUTE(ADDRESS(MATCH($A34,'kc-Wert für Stützen'!$C:$C,0),MATCH(F$7,'kc-Wert für Stützen'!$A$8:$ES$8,0)+7,4),,))</f>
        <v>1667.7892387926777</v>
      </c>
      <c r="G34" s="768">
        <f ca="1">INDIRECT("'kc-Wert für Stützen'!"&amp;SUBSTITUTE(ADDRESS(MATCH($A34,'kc-Wert für Stützen'!$C:$C,0),MATCH(G$7,'kc-Wert für Stützen'!$A$8:$ES$8,0)+7,4),,))</f>
        <v>1571.5583416213838</v>
      </c>
      <c r="H34" s="768">
        <f ca="1">INDIRECT("'kc-Wert für Stützen'!"&amp;SUBSTITUTE(ADDRESS(MATCH($A34,'kc-Wert für Stützen'!$C:$C,0),MATCH(H$7,'kc-Wert für Stützen'!$A$8:$ES$8,0)+7,4),,))</f>
        <v>1483.3252317241156</v>
      </c>
      <c r="I34" s="768">
        <f ca="1">INDIRECT("'kc-Wert für Stützen'!"&amp;SUBSTITUTE(ADDRESS(MATCH($A34,'kc-Wert für Stützen'!$C:$C,0),MATCH(I$7,'kc-Wert für Stützen'!$A$8:$ES$8,0)+7,4),,))</f>
        <v>1402.243910825594</v>
      </c>
      <c r="J34" s="768">
        <f ca="1">INDIRECT("'kc-Wert für Stützen'!"&amp;SUBSTITUTE(ADDRESS(MATCH($A34,'kc-Wert für Stützen'!$C:$C,0),MATCH(J$7,'kc-Wert für Stützen'!$A$8:$ES$8,0)+7,4),,))</f>
        <v>1327.5741057045725</v>
      </c>
      <c r="K34" s="768">
        <f ca="1">INDIRECT("'kc-Wert für Stützen'!"&amp;SUBSTITUTE(ADDRESS(MATCH($A34,'kc-Wert für Stützen'!$C:$C,0),MATCH(K$7,'kc-Wert für Stützen'!$A$8:$ES$8,0)+7,4),,))</f>
        <v>1258.6665504175533</v>
      </c>
      <c r="L34" s="768">
        <f ca="1">INDIRECT("'kc-Wert für Stützen'!"&amp;SUBSTITUTE(ADDRESS(MATCH($A34,'kc-Wert für Stützen'!$C:$C,0),MATCH(L$7,'kc-Wert für Stützen'!$A$8:$ES$8,0)+7,4),,))</f>
        <v>1194.9504055589343</v>
      </c>
      <c r="M34" s="768">
        <f ca="1">INDIRECT("'kc-Wert für Stützen'!"&amp;SUBSTITUTE(ADDRESS(MATCH($A34,'kc-Wert für Stützen'!$C:$C,0),MATCH(M$7,'kc-Wert für Stützen'!$A$8:$ES$8,0)+7,4),,))</f>
        <v>1135.9225279875641</v>
      </c>
      <c r="N34" s="768">
        <f ca="1">INDIRECT("'kc-Wert für Stützen'!"&amp;SUBSTITUTE(ADDRESS(MATCH($A34,'kc-Wert für Stützen'!$C:$C,0),MATCH(N$7,'kc-Wert für Stützen'!$A$8:$ES$8,0)+7,4),,))</f>
        <v>1081.1383249563823</v>
      </c>
      <c r="O34" s="768">
        <f ca="1">INDIRECT("'kc-Wert für Stützen'!"&amp;SUBSTITUTE(ADDRESS(MATCH($A34,'kc-Wert für Stützen'!$C:$C,0),MATCH(O$7,'kc-Wert für Stützen'!$A$8:$ES$8,0)+7,4),,))</f>
        <v>1030.2039558341721</v>
      </c>
      <c r="P34" s="768">
        <f ca="1">INDIRECT("'kc-Wert für Stützen'!"&amp;SUBSTITUTE(ADDRESS(MATCH($A34,'kc-Wert für Stützen'!$C:$C,0),MATCH(P$7,'kc-Wert für Stützen'!$A$8:$ES$8,0)+7,4),,))</f>
        <v>982.7696757308172</v>
      </c>
      <c r="S34" s="772">
        <f t="shared" ca="1" si="3"/>
        <v>1888.2625093015574</v>
      </c>
      <c r="T34" s="772">
        <f t="shared" ca="1" si="3"/>
        <v>1888.2625093015574</v>
      </c>
      <c r="U34" s="772">
        <f t="shared" ca="1" si="3"/>
        <v>1888.2625093015574</v>
      </c>
      <c r="V34" s="772">
        <f t="shared" ca="1" si="3"/>
        <v>1772.9867862981725</v>
      </c>
      <c r="W34" s="772">
        <f t="shared" ca="1" si="3"/>
        <v>1667.7892387926777</v>
      </c>
      <c r="X34" s="772">
        <f t="shared" ca="1" si="3"/>
        <v>1571.5583416213838</v>
      </c>
      <c r="Y34" s="772">
        <f t="shared" ca="1" si="3"/>
        <v>1483.3252317241156</v>
      </c>
      <c r="Z34" s="772">
        <f t="shared" ca="1" si="3"/>
        <v>1888.2625093015574</v>
      </c>
      <c r="AA34" s="772">
        <f t="shared" ca="1" si="3"/>
        <v>1888.2625093015574</v>
      </c>
      <c r="AB34" s="772">
        <f t="shared" ca="1" si="8"/>
        <v>1772.9867862981725</v>
      </c>
      <c r="AC34" s="772">
        <f t="shared" ca="1" si="8"/>
        <v>1772.9867862981725</v>
      </c>
      <c r="AD34" s="772">
        <f t="shared" ca="1" si="8"/>
        <v>1667.7892387926777</v>
      </c>
      <c r="AE34" s="772">
        <f t="shared" ca="1" si="8"/>
        <v>1667.7892387926777</v>
      </c>
      <c r="AF34" s="772">
        <f t="shared" ca="1" si="8"/>
        <v>1571.5583416213838</v>
      </c>
      <c r="AG34" s="772">
        <f t="shared" ca="1" si="8"/>
        <v>1571.5583416213838</v>
      </c>
      <c r="AH34" s="772">
        <f t="shared" ca="1" si="8"/>
        <v>1571.5583416213838</v>
      </c>
      <c r="AI34" s="772">
        <f t="shared" ca="1" si="8"/>
        <v>1888.2625093015574</v>
      </c>
      <c r="AJ34" s="772">
        <f t="shared" ca="1" si="8"/>
        <v>1888.2625093015574</v>
      </c>
      <c r="AK34" s="772">
        <f t="shared" ca="1" si="8"/>
        <v>1772.9867862981725</v>
      </c>
      <c r="AL34" s="772">
        <f t="shared" ca="1" si="8"/>
        <v>1772.9867862981725</v>
      </c>
      <c r="AM34" s="772">
        <f t="shared" ca="1" si="8"/>
        <v>1667.7892387926777</v>
      </c>
      <c r="AN34" s="772">
        <f t="shared" ca="1" si="8"/>
        <v>1667.7892387926777</v>
      </c>
      <c r="AO34" s="772">
        <f t="shared" ca="1" si="8"/>
        <v>1571.5583416213838</v>
      </c>
      <c r="AP34" s="772">
        <f t="shared" ca="1" si="8"/>
        <v>1571.5583416213838</v>
      </c>
      <c r="AQ34" s="772">
        <f t="shared" ca="1" si="8"/>
        <v>1571.5583416213838</v>
      </c>
      <c r="AR34" s="772">
        <f t="shared" ref="AR34:AX38" ca="1" si="12">HLOOKUP(AR$7,$A$7:$P$348,ROW()-6)</f>
        <v>1888.2625093015574</v>
      </c>
      <c r="AS34" s="772">
        <f t="shared" ca="1" si="12"/>
        <v>1888.2625093015574</v>
      </c>
      <c r="AT34" s="772">
        <f t="shared" ca="1" si="12"/>
        <v>1772.9867862981725</v>
      </c>
      <c r="AU34" s="772">
        <f t="shared" ca="1" si="12"/>
        <v>1772.9867862981725</v>
      </c>
      <c r="AV34" s="772">
        <f t="shared" ca="1" si="12"/>
        <v>1667.7892387926777</v>
      </c>
      <c r="AW34" s="772">
        <f t="shared" ca="1" si="12"/>
        <v>1667.7892387926777</v>
      </c>
      <c r="AX34" s="772">
        <f t="shared" ca="1" si="12"/>
        <v>1571.5583416213838</v>
      </c>
      <c r="AY34" s="772">
        <f t="shared" ca="1" si="11"/>
        <v>1571.5583416213838</v>
      </c>
      <c r="AZ34" s="772">
        <f t="shared" ca="1" si="11"/>
        <v>1571.5583416213838</v>
      </c>
      <c r="BA34" s="772">
        <f t="shared" ca="1" si="11"/>
        <v>1888.2625093015574</v>
      </c>
      <c r="BB34" s="772">
        <f t="shared" ca="1" si="11"/>
        <v>1888.2625093015574</v>
      </c>
      <c r="BC34" s="772">
        <f t="shared" ca="1" si="11"/>
        <v>1772.9867862981725</v>
      </c>
      <c r="BD34" s="772">
        <f t="shared" ca="1" si="11"/>
        <v>1667.7892387926777</v>
      </c>
      <c r="BE34" s="772">
        <f t="shared" ca="1" si="11"/>
        <v>1667.7892387926777</v>
      </c>
      <c r="BF34" s="772">
        <f t="shared" ca="1" si="11"/>
        <v>1571.5583416213838</v>
      </c>
      <c r="BG34" s="772">
        <f t="shared" ca="1" si="11"/>
        <v>1571.5583416213838</v>
      </c>
      <c r="BH34" s="772">
        <f t="shared" ca="1" si="11"/>
        <v>1483.3252317241156</v>
      </c>
      <c r="BI34" s="772">
        <f t="shared" ca="1" si="11"/>
        <v>1483.3252317241156</v>
      </c>
      <c r="BJ34" s="772">
        <f t="shared" ca="1" si="11"/>
        <v>1772.9867862981725</v>
      </c>
      <c r="BK34" s="772">
        <f t="shared" ca="1" si="11"/>
        <v>1772.9867862981725</v>
      </c>
      <c r="BL34" s="772">
        <f t="shared" ca="1" si="11"/>
        <v>1772.9867862981725</v>
      </c>
      <c r="BM34" s="772">
        <f t="shared" ca="1" si="11"/>
        <v>1772.9867862981725</v>
      </c>
      <c r="BN34" s="772">
        <f t="shared" ca="1" si="11"/>
        <v>1571.5583416213838</v>
      </c>
      <c r="BO34" s="772">
        <f t="shared" ca="1" si="10"/>
        <v>1571.5583416213838</v>
      </c>
      <c r="BP34" s="772">
        <f t="shared" ca="1" si="10"/>
        <v>1483.3252317241156</v>
      </c>
      <c r="BQ34" s="772">
        <f t="shared" ca="1" si="10"/>
        <v>1483.3252317241156</v>
      </c>
      <c r="BR34" s="772">
        <f t="shared" ca="1" si="10"/>
        <v>1402.243910825594</v>
      </c>
      <c r="BS34" s="772">
        <f t="shared" ca="1" si="10"/>
        <v>1772.9867862981725</v>
      </c>
      <c r="BT34" s="772">
        <f t="shared" ca="1" si="10"/>
        <v>1772.9867862981725</v>
      </c>
      <c r="BU34" s="772">
        <f t="shared" ca="1" si="10"/>
        <v>1772.9867862981725</v>
      </c>
      <c r="BV34" s="772">
        <f t="shared" ca="1" si="10"/>
        <v>1667.7892387926777</v>
      </c>
      <c r="BW34" s="772">
        <f t="shared" ca="1" si="10"/>
        <v>1667.7892387926777</v>
      </c>
      <c r="BX34" s="772">
        <f t="shared" ca="1" si="9"/>
        <v>1483.3252317241156</v>
      </c>
      <c r="BY34" s="772">
        <f t="shared" ca="1" si="9"/>
        <v>1483.3252317241156</v>
      </c>
      <c r="BZ34" s="772">
        <f t="shared" ca="1" si="9"/>
        <v>1402.243910825594</v>
      </c>
      <c r="CA34" s="772">
        <f t="shared" ca="1" si="9"/>
        <v>1402.243910825594</v>
      </c>
      <c r="CB34" s="772">
        <f t="shared" ca="1" si="9"/>
        <v>1667.7892387926777</v>
      </c>
      <c r="CC34" s="772">
        <f t="shared" ca="1" si="9"/>
        <v>1667.7892387926777</v>
      </c>
      <c r="CD34" s="772">
        <f t="shared" ca="1" si="9"/>
        <v>1667.7892387926777</v>
      </c>
      <c r="CE34" s="772">
        <f t="shared" ca="1" si="9"/>
        <v>1667.7892387926777</v>
      </c>
      <c r="CF34" s="772">
        <f t="shared" ca="1" si="9"/>
        <v>1571.5583416213838</v>
      </c>
      <c r="CG34" s="772">
        <f t="shared" ca="1" si="9"/>
        <v>1483.3252317241156</v>
      </c>
      <c r="CH34" s="772">
        <f t="shared" ca="1" si="9"/>
        <v>1402.243910825594</v>
      </c>
      <c r="CI34" s="772">
        <f t="shared" ca="1" si="9"/>
        <v>1402.243910825594</v>
      </c>
      <c r="CJ34" s="772">
        <f t="shared" ca="1" si="9"/>
        <v>1327.5741057045725</v>
      </c>
    </row>
    <row r="35" spans="1:88" ht="15" customHeight="1">
      <c r="A35" s="770">
        <f>'kc-Wert für Stützen'!C35</f>
        <v>87</v>
      </c>
      <c r="B35" s="768">
        <f ca="1">INDIRECT("'kc-Wert für Stützen'!"&amp;SUBSTITUTE(ADDRESS(MATCH($A35,'kc-Wert für Stützen'!$C:$C,0),MATCH(B$7,'kc-Wert für Stützen'!$A$8:$ES$8,0)+7,4),,))</f>
        <v>2253.7372553847076</v>
      </c>
      <c r="C35" s="768">
        <f ca="1">INDIRECT("'kc-Wert für Stützen'!"&amp;SUBSTITUTE(ADDRESS(MATCH($A35,'kc-Wert für Stützen'!$C:$C,0),MATCH(C$7,'kc-Wert für Stützen'!$A$8:$ES$8,0)+7,4),,))</f>
        <v>2108.0567938152926</v>
      </c>
      <c r="D35" s="768">
        <f ca="1">INDIRECT("'kc-Wert für Stützen'!"&amp;SUBSTITUTE(ADDRESS(MATCH($A35,'kc-Wert für Stützen'!$C:$C,0),MATCH(D$7,'kc-Wert für Stützen'!$A$8:$ES$8,0)+7,4),,))</f>
        <v>1975.7336800496651</v>
      </c>
      <c r="E35" s="768">
        <f ca="1">INDIRECT("'kc-Wert für Stützen'!"&amp;SUBSTITUTE(ADDRESS(MATCH($A35,'kc-Wert für Stützen'!$C:$C,0),MATCH(E$7,'kc-Wert für Stützen'!$A$8:$ES$8,0)+7,4),,))</f>
        <v>1855.2481335749444</v>
      </c>
      <c r="F35" s="768">
        <f ca="1">INDIRECT("'kc-Wert für Stützen'!"&amp;SUBSTITUTE(ADDRESS(MATCH($A35,'kc-Wert für Stützen'!$C:$C,0),MATCH(F$7,'kc-Wert für Stützen'!$A$8:$ES$8,0)+7,4),,))</f>
        <v>1745.275163203027</v>
      </c>
      <c r="G35" s="768">
        <f ca="1">INDIRECT("'kc-Wert für Stützen'!"&amp;SUBSTITUTE(ADDRESS(MATCH($A35,'kc-Wert für Stützen'!$C:$C,0),MATCH(G$7,'kc-Wert für Stützen'!$A$8:$ES$8,0)+7,4),,))</f>
        <v>1644.6596710933372</v>
      </c>
      <c r="H35" s="768">
        <f ca="1">INDIRECT("'kc-Wert für Stützen'!"&amp;SUBSTITUTE(ADDRESS(MATCH($A35,'kc-Wert für Stützen'!$C:$C,0),MATCH(H$7,'kc-Wert für Stützen'!$A$8:$ES$8,0)+7,4),,))</f>
        <v>1552.3937442734461</v>
      </c>
      <c r="I35" s="768">
        <f ca="1">INDIRECT("'kc-Wert für Stützen'!"&amp;SUBSTITUTE(ADDRESS(MATCH($A35,'kc-Wert für Stützen'!$C:$C,0),MATCH(I$7,'kc-Wert für Stützen'!$A$8:$ES$8,0)+7,4),,))</f>
        <v>1467.5965388528041</v>
      </c>
      <c r="J35" s="768">
        <f ca="1">INDIRECT("'kc-Wert für Stützen'!"&amp;SUBSTITUTE(ADDRESS(MATCH($A35,'kc-Wert für Stützen'!$C:$C,0),MATCH(J$7,'kc-Wert für Stützen'!$A$8:$ES$8,0)+7,4),,))</f>
        <v>1389.4967590684037</v>
      </c>
      <c r="K35" s="768">
        <f ca="1">INDIRECT("'kc-Wert für Stützen'!"&amp;SUBSTITUTE(ADDRESS(MATCH($A35,'kc-Wert für Stützen'!$C:$C,0),MATCH(K$7,'kc-Wert für Stützen'!$A$8:$ES$8,0)+7,4),,))</f>
        <v>1317.417546467158</v>
      </c>
      <c r="L35" s="768">
        <f ca="1">INDIRECT("'kc-Wert für Stützen'!"&amp;SUBSTITUTE(ADDRESS(MATCH($A35,'kc-Wert für Stützen'!$C:$C,0),MATCH(L$7,'kc-Wert für Stützen'!$A$8:$ES$8,0)+7,4),,))</f>
        <v>1250.7635210974322</v>
      </c>
      <c r="M35" s="768">
        <f ca="1">INDIRECT("'kc-Wert für Stützen'!"&amp;SUBSTITUTE(ADDRESS(MATCH($A35,'kc-Wert für Stützen'!$C:$C,0),MATCH(M$7,'kc-Wert für Stützen'!$A$8:$ES$8,0)+7,4),,))</f>
        <v>1189.0097011334792</v>
      </c>
      <c r="N35" s="768">
        <f ca="1">INDIRECT("'kc-Wert für Stützen'!"&amp;SUBSTITUTE(ADDRESS(MATCH($A35,'kc-Wert für Stützen'!$C:$C,0),MATCH(N$7,'kc-Wert für Stützen'!$A$8:$ES$8,0)+7,4),,))</f>
        <v>1131.6920400627862</v>
      </c>
      <c r="O35" s="768">
        <f ca="1">INDIRECT("'kc-Wert für Stützen'!"&amp;SUBSTITUTE(ADDRESS(MATCH($A35,'kc-Wert für Stützen'!$C:$C,0),MATCH(O$7,'kc-Wert für Stützen'!$A$8:$ES$8,0)+7,4),,))</f>
        <v>1078.399345505436</v>
      </c>
      <c r="P35" s="768">
        <f ca="1">INDIRECT("'kc-Wert für Stützen'!"&amp;SUBSTITUTE(ADDRESS(MATCH($A35,'kc-Wert für Stützen'!$C:$C,0),MATCH(P$7,'kc-Wert für Stützen'!$A$8:$ES$8,0)+7,4),,))</f>
        <v>1028.7663725723967</v>
      </c>
      <c r="S35" s="772">
        <f t="shared" ca="1" si="3"/>
        <v>1975.7336800496651</v>
      </c>
      <c r="T35" s="772">
        <f t="shared" ca="1" si="3"/>
        <v>1975.7336800496651</v>
      </c>
      <c r="U35" s="772">
        <f t="shared" ca="1" si="3"/>
        <v>1975.7336800496651</v>
      </c>
      <c r="V35" s="772">
        <f t="shared" ca="1" si="3"/>
        <v>1855.2481335749444</v>
      </c>
      <c r="W35" s="772">
        <f t="shared" ca="1" si="3"/>
        <v>1745.275163203027</v>
      </c>
      <c r="X35" s="772">
        <f t="shared" ca="1" si="3"/>
        <v>1644.6596710933372</v>
      </c>
      <c r="Y35" s="772">
        <f t="shared" ca="1" si="3"/>
        <v>1552.3937442734461</v>
      </c>
      <c r="Z35" s="772">
        <f t="shared" ca="1" si="3"/>
        <v>1975.7336800496651</v>
      </c>
      <c r="AA35" s="772">
        <f t="shared" ca="1" si="3"/>
        <v>1975.7336800496651</v>
      </c>
      <c r="AB35" s="772">
        <f t="shared" ca="1" si="8"/>
        <v>1855.2481335749444</v>
      </c>
      <c r="AC35" s="772">
        <f t="shared" ca="1" si="8"/>
        <v>1855.2481335749444</v>
      </c>
      <c r="AD35" s="772">
        <f t="shared" ca="1" si="8"/>
        <v>1745.275163203027</v>
      </c>
      <c r="AE35" s="772">
        <f t="shared" ca="1" si="8"/>
        <v>1745.275163203027</v>
      </c>
      <c r="AF35" s="772">
        <f t="shared" ca="1" si="8"/>
        <v>1644.6596710933372</v>
      </c>
      <c r="AG35" s="772">
        <f t="shared" ca="1" si="8"/>
        <v>1644.6596710933372</v>
      </c>
      <c r="AH35" s="772">
        <f t="shared" ca="1" si="8"/>
        <v>1644.6596710933372</v>
      </c>
      <c r="AI35" s="772">
        <f t="shared" ca="1" si="8"/>
        <v>1975.7336800496651</v>
      </c>
      <c r="AJ35" s="772">
        <f t="shared" ca="1" si="8"/>
        <v>1975.7336800496651</v>
      </c>
      <c r="AK35" s="772">
        <f t="shared" ca="1" si="8"/>
        <v>1855.2481335749444</v>
      </c>
      <c r="AL35" s="772">
        <f t="shared" ca="1" si="8"/>
        <v>1855.2481335749444</v>
      </c>
      <c r="AM35" s="772">
        <f t="shared" ca="1" si="8"/>
        <v>1745.275163203027</v>
      </c>
      <c r="AN35" s="772">
        <f t="shared" ca="1" si="8"/>
        <v>1745.275163203027</v>
      </c>
      <c r="AO35" s="772">
        <f t="shared" ca="1" si="8"/>
        <v>1644.6596710933372</v>
      </c>
      <c r="AP35" s="772">
        <f t="shared" ca="1" si="8"/>
        <v>1644.6596710933372</v>
      </c>
      <c r="AQ35" s="772">
        <f t="shared" ca="1" si="8"/>
        <v>1644.6596710933372</v>
      </c>
      <c r="AR35" s="772">
        <f t="shared" ca="1" si="12"/>
        <v>1975.7336800496651</v>
      </c>
      <c r="AS35" s="772">
        <f t="shared" ca="1" si="12"/>
        <v>1975.7336800496651</v>
      </c>
      <c r="AT35" s="772">
        <f t="shared" ca="1" si="12"/>
        <v>1855.2481335749444</v>
      </c>
      <c r="AU35" s="772">
        <f t="shared" ca="1" si="12"/>
        <v>1855.2481335749444</v>
      </c>
      <c r="AV35" s="772">
        <f t="shared" ca="1" si="12"/>
        <v>1745.275163203027</v>
      </c>
      <c r="AW35" s="772">
        <f t="shared" ca="1" si="12"/>
        <v>1745.275163203027</v>
      </c>
      <c r="AX35" s="772">
        <f t="shared" ca="1" si="12"/>
        <v>1644.6596710933372</v>
      </c>
      <c r="AY35" s="772">
        <f t="shared" ca="1" si="11"/>
        <v>1644.6596710933372</v>
      </c>
      <c r="AZ35" s="772">
        <f t="shared" ca="1" si="11"/>
        <v>1644.6596710933372</v>
      </c>
      <c r="BA35" s="772">
        <f t="shared" ca="1" si="11"/>
        <v>1975.7336800496651</v>
      </c>
      <c r="BB35" s="772">
        <f t="shared" ca="1" si="11"/>
        <v>1975.7336800496651</v>
      </c>
      <c r="BC35" s="772">
        <f t="shared" ca="1" si="11"/>
        <v>1855.2481335749444</v>
      </c>
      <c r="BD35" s="772">
        <f t="shared" ca="1" si="11"/>
        <v>1745.275163203027</v>
      </c>
      <c r="BE35" s="772">
        <f t="shared" ca="1" si="11"/>
        <v>1745.275163203027</v>
      </c>
      <c r="BF35" s="772">
        <f t="shared" ca="1" si="11"/>
        <v>1644.6596710933372</v>
      </c>
      <c r="BG35" s="772">
        <f t="shared" ca="1" si="11"/>
        <v>1644.6596710933372</v>
      </c>
      <c r="BH35" s="772">
        <f t="shared" ca="1" si="11"/>
        <v>1552.3937442734461</v>
      </c>
      <c r="BI35" s="772">
        <f t="shared" ca="1" si="11"/>
        <v>1552.3937442734461</v>
      </c>
      <c r="BJ35" s="772">
        <f t="shared" ca="1" si="11"/>
        <v>1855.2481335749444</v>
      </c>
      <c r="BK35" s="772">
        <f t="shared" ca="1" si="11"/>
        <v>1855.2481335749444</v>
      </c>
      <c r="BL35" s="772">
        <f t="shared" ca="1" si="11"/>
        <v>1855.2481335749444</v>
      </c>
      <c r="BM35" s="772">
        <f t="shared" ca="1" si="11"/>
        <v>1855.2481335749444</v>
      </c>
      <c r="BN35" s="772">
        <f t="shared" ca="1" si="11"/>
        <v>1644.6596710933372</v>
      </c>
      <c r="BO35" s="772">
        <f t="shared" ca="1" si="10"/>
        <v>1644.6596710933372</v>
      </c>
      <c r="BP35" s="772">
        <f t="shared" ca="1" si="10"/>
        <v>1552.3937442734461</v>
      </c>
      <c r="BQ35" s="772">
        <f t="shared" ca="1" si="10"/>
        <v>1552.3937442734461</v>
      </c>
      <c r="BR35" s="772">
        <f t="shared" ca="1" si="10"/>
        <v>1467.5965388528041</v>
      </c>
      <c r="BS35" s="772">
        <f t="shared" ca="1" si="10"/>
        <v>1855.2481335749444</v>
      </c>
      <c r="BT35" s="772">
        <f t="shared" ca="1" si="10"/>
        <v>1855.2481335749444</v>
      </c>
      <c r="BU35" s="772">
        <f t="shared" ca="1" si="10"/>
        <v>1855.2481335749444</v>
      </c>
      <c r="BV35" s="772">
        <f t="shared" ca="1" si="10"/>
        <v>1745.275163203027</v>
      </c>
      <c r="BW35" s="772">
        <f t="shared" ca="1" si="10"/>
        <v>1745.275163203027</v>
      </c>
      <c r="BX35" s="772">
        <f t="shared" ca="1" si="9"/>
        <v>1552.3937442734461</v>
      </c>
      <c r="BY35" s="772">
        <f t="shared" ca="1" si="9"/>
        <v>1552.3937442734461</v>
      </c>
      <c r="BZ35" s="772">
        <f t="shared" ca="1" si="9"/>
        <v>1467.5965388528041</v>
      </c>
      <c r="CA35" s="772">
        <f t="shared" ca="1" si="9"/>
        <v>1467.5965388528041</v>
      </c>
      <c r="CB35" s="772">
        <f t="shared" ca="1" si="9"/>
        <v>1745.275163203027</v>
      </c>
      <c r="CC35" s="772">
        <f t="shared" ca="1" si="9"/>
        <v>1745.275163203027</v>
      </c>
      <c r="CD35" s="772">
        <f t="shared" ca="1" si="9"/>
        <v>1745.275163203027</v>
      </c>
      <c r="CE35" s="772">
        <f t="shared" ca="1" si="9"/>
        <v>1745.275163203027</v>
      </c>
      <c r="CF35" s="772">
        <f t="shared" ca="1" si="9"/>
        <v>1644.6596710933372</v>
      </c>
      <c r="CG35" s="772">
        <f t="shared" ca="1" si="9"/>
        <v>1552.3937442734461</v>
      </c>
      <c r="CH35" s="772">
        <f t="shared" ca="1" si="9"/>
        <v>1467.5965388528041</v>
      </c>
      <c r="CI35" s="772">
        <f t="shared" ca="1" si="9"/>
        <v>1467.5965388528041</v>
      </c>
      <c r="CJ35" s="772">
        <f t="shared" ca="1" si="9"/>
        <v>1389.4967590684037</v>
      </c>
    </row>
    <row r="36" spans="1:88" ht="15" customHeight="1">
      <c r="A36" s="770">
        <f>'kc-Wert für Stützen'!C36</f>
        <v>88</v>
      </c>
      <c r="B36" s="768">
        <f ca="1">INDIRECT("'kc-Wert für Stützen'!"&amp;SUBSTITUTE(ADDRESS(MATCH($A36,'kc-Wert für Stützen'!$C:$C,0),MATCH(B$7,'kc-Wert für Stützen'!$A$8:$ES$8,0)+7,4),,))</f>
        <v>2356.4174386673876</v>
      </c>
      <c r="C36" s="768">
        <f ca="1">INDIRECT("'kc-Wert für Stützen'!"&amp;SUBSTITUTE(ADDRESS(MATCH($A36,'kc-Wert für Stützen'!$C:$C,0),MATCH(C$7,'kc-Wert für Stützen'!$A$8:$ES$8,0)+7,4),,))</f>
        <v>2204.3226448671162</v>
      </c>
      <c r="D36" s="768">
        <f ca="1">INDIRECT("'kc-Wert für Stützen'!"&amp;SUBSTITUTE(ADDRESS(MATCH($A36,'kc-Wert für Stützen'!$C:$C,0),MATCH(D$7,'kc-Wert für Stützen'!$A$8:$ES$8,0)+7,4),,))</f>
        <v>2066.1326906569966</v>
      </c>
      <c r="E36" s="768">
        <f ca="1">INDIRECT("'kc-Wert für Stützen'!"&amp;SUBSTITUTE(ADDRESS(MATCH($A36,'kc-Wert für Stützen'!$C:$C,0),MATCH(E$7,'kc-Wert für Stützen'!$A$8:$ES$8,0)+7,4),,))</f>
        <v>1940.2748468296074</v>
      </c>
      <c r="F36" s="768">
        <f ca="1">INDIRECT("'kc-Wert für Stützen'!"&amp;SUBSTITUTE(ADDRESS(MATCH($A36,'kc-Wert für Stützen'!$C:$C,0),MATCH(F$7,'kc-Wert für Stützen'!$A$8:$ES$8,0)+7,4),,))</f>
        <v>1825.3753774869713</v>
      </c>
      <c r="G36" s="768">
        <f ca="1">INDIRECT("'kc-Wert für Stützen'!"&amp;SUBSTITUTE(ADDRESS(MATCH($A36,'kc-Wert für Stützen'!$C:$C,0),MATCH(G$7,'kc-Wert für Stützen'!$A$8:$ES$8,0)+7,4),,))</f>
        <v>1720.2349604493447</v>
      </c>
      <c r="H36" s="768">
        <f ca="1">INDIRECT("'kc-Wert für Stützen'!"&amp;SUBSTITUTE(ADDRESS(MATCH($A36,'kc-Wert für Stützen'!$C:$C,0),MATCH(H$7,'kc-Wert für Stützen'!$A$8:$ES$8,0)+7,4),,))</f>
        <v>1623.8059100931928</v>
      </c>
      <c r="I36" s="768">
        <f ca="1">INDIRECT("'kc-Wert für Stützen'!"&amp;SUBSTITUTE(ADDRESS(MATCH($A36,'kc-Wert für Stützen'!$C:$C,0),MATCH(I$7,'kc-Wert für Stützen'!$A$8:$ES$8,0)+7,4),,))</f>
        <v>1535.1717988745165</v>
      </c>
      <c r="J36" s="768">
        <f ca="1">INDIRECT("'kc-Wert für Stützen'!"&amp;SUBSTITUTE(ADDRESS(MATCH($A36,'kc-Wert für Stützen'!$C:$C,0),MATCH(J$7,'kc-Wert für Stützen'!$A$8:$ES$8,0)+7,4),,))</f>
        <v>1453.5295874842413</v>
      </c>
      <c r="K36" s="768">
        <f ca="1">INDIRECT("'kc-Wert für Stützen'!"&amp;SUBSTITUTE(ADDRESS(MATCH($A36,'kc-Wert für Stützen'!$C:$C,0),MATCH(K$7,'kc-Wert für Stützen'!$A$8:$ES$8,0)+7,4),,))</f>
        <v>1378.1741388906373</v>
      </c>
      <c r="L36" s="768">
        <f ca="1">INDIRECT("'kc-Wert für Stützen'!"&amp;SUBSTITUTE(ADDRESS(MATCH($A36,'kc-Wert für Stützen'!$C:$C,0),MATCH(L$7,'kc-Wert für Stützen'!$A$8:$ES$8,0)+7,4),,))</f>
        <v>1308.4848904937544</v>
      </c>
      <c r="M36" s="768">
        <f ca="1">INDIRECT("'kc-Wert für Stützen'!"&amp;SUBSTITUTE(ADDRESS(MATCH($A36,'kc-Wert für Stützen'!$C:$C,0),MATCH(M$7,'kc-Wert für Stützen'!$A$8:$ES$8,0)+7,4),,))</f>
        <v>1243.9144272681281</v>
      </c>
      <c r="N36" s="768">
        <f ca="1">INDIRECT("'kc-Wert für Stützen'!"&amp;SUBSTITUTE(ADDRESS(MATCH($A36,'kc-Wert für Stützen'!$C:$C,0),MATCH(N$7,'kc-Wert für Stützen'!$A$8:$ES$8,0)+7,4),,))</f>
        <v>1183.9787023798108</v>
      </c>
      <c r="O36" s="768">
        <f ca="1">INDIRECT("'kc-Wert für Stützen'!"&amp;SUBSTITUTE(ADDRESS(MATCH($A36,'kc-Wert für Stützen'!$C:$C,0),MATCH(O$7,'kc-Wert für Stützen'!$A$8:$ES$8,0)+7,4),,))</f>
        <v>1128.248671583309</v>
      </c>
      <c r="P36" s="768">
        <f ca="1">INDIRECT("'kc-Wert für Stützen'!"&amp;SUBSTITUTE(ADDRESS(MATCH($A36,'kc-Wert für Stützen'!$C:$C,0),MATCH(P$7,'kc-Wert für Stützen'!$A$8:$ES$8,0)+7,4),,))</f>
        <v>1076.3431337510053</v>
      </c>
      <c r="S36" s="772">
        <f t="shared" ca="1" si="3"/>
        <v>2066.1326906569966</v>
      </c>
      <c r="T36" s="772">
        <f t="shared" ca="1" si="3"/>
        <v>2066.1326906569966</v>
      </c>
      <c r="U36" s="772">
        <f t="shared" ca="1" si="3"/>
        <v>2066.1326906569966</v>
      </c>
      <c r="V36" s="772">
        <f t="shared" ca="1" si="3"/>
        <v>1940.2748468296074</v>
      </c>
      <c r="W36" s="772">
        <f t="shared" ca="1" si="3"/>
        <v>1825.3753774869713</v>
      </c>
      <c r="X36" s="772">
        <f t="shared" ca="1" si="3"/>
        <v>1720.2349604493447</v>
      </c>
      <c r="Y36" s="772">
        <f t="shared" ca="1" si="3"/>
        <v>1623.8059100931928</v>
      </c>
      <c r="Z36" s="772">
        <f t="shared" ca="1" si="3"/>
        <v>2066.1326906569966</v>
      </c>
      <c r="AA36" s="772">
        <f t="shared" ca="1" si="3"/>
        <v>2066.1326906569966</v>
      </c>
      <c r="AB36" s="772">
        <f t="shared" ca="1" si="8"/>
        <v>1940.2748468296074</v>
      </c>
      <c r="AC36" s="772">
        <f t="shared" ca="1" si="8"/>
        <v>1940.2748468296074</v>
      </c>
      <c r="AD36" s="772">
        <f t="shared" ca="1" si="8"/>
        <v>1825.3753774869713</v>
      </c>
      <c r="AE36" s="772">
        <f t="shared" ca="1" si="8"/>
        <v>1825.3753774869713</v>
      </c>
      <c r="AF36" s="772">
        <f t="shared" ca="1" si="8"/>
        <v>1720.2349604493447</v>
      </c>
      <c r="AG36" s="772">
        <f t="shared" ca="1" si="8"/>
        <v>1720.2349604493447</v>
      </c>
      <c r="AH36" s="772">
        <f t="shared" ca="1" si="8"/>
        <v>1720.2349604493447</v>
      </c>
      <c r="AI36" s="772">
        <f t="shared" ca="1" si="8"/>
        <v>2066.1326906569966</v>
      </c>
      <c r="AJ36" s="772">
        <f t="shared" ca="1" si="8"/>
        <v>2066.1326906569966</v>
      </c>
      <c r="AK36" s="772">
        <f t="shared" ca="1" si="8"/>
        <v>1940.2748468296074</v>
      </c>
      <c r="AL36" s="772">
        <f t="shared" ca="1" si="8"/>
        <v>1940.2748468296074</v>
      </c>
      <c r="AM36" s="772">
        <f t="shared" ca="1" si="8"/>
        <v>1825.3753774869713</v>
      </c>
      <c r="AN36" s="772">
        <f t="shared" ca="1" si="8"/>
        <v>1825.3753774869713</v>
      </c>
      <c r="AO36" s="772">
        <f t="shared" ca="1" si="8"/>
        <v>1720.2349604493447</v>
      </c>
      <c r="AP36" s="772">
        <f t="shared" ca="1" si="8"/>
        <v>1720.2349604493447</v>
      </c>
      <c r="AQ36" s="772">
        <f t="shared" ca="1" si="8"/>
        <v>1720.2349604493447</v>
      </c>
      <c r="AR36" s="772">
        <f t="shared" ca="1" si="12"/>
        <v>2066.1326906569966</v>
      </c>
      <c r="AS36" s="772">
        <f t="shared" ca="1" si="12"/>
        <v>2066.1326906569966</v>
      </c>
      <c r="AT36" s="772">
        <f t="shared" ca="1" si="12"/>
        <v>1940.2748468296074</v>
      </c>
      <c r="AU36" s="772">
        <f t="shared" ca="1" si="12"/>
        <v>1940.2748468296074</v>
      </c>
      <c r="AV36" s="772">
        <f t="shared" ca="1" si="12"/>
        <v>1825.3753774869713</v>
      </c>
      <c r="AW36" s="772">
        <f t="shared" ca="1" si="12"/>
        <v>1825.3753774869713</v>
      </c>
      <c r="AX36" s="772">
        <f t="shared" ca="1" si="12"/>
        <v>1720.2349604493447</v>
      </c>
      <c r="AY36" s="772">
        <f t="shared" ca="1" si="11"/>
        <v>1720.2349604493447</v>
      </c>
      <c r="AZ36" s="772">
        <f t="shared" ca="1" si="11"/>
        <v>1720.2349604493447</v>
      </c>
      <c r="BA36" s="772">
        <f t="shared" ca="1" si="11"/>
        <v>2066.1326906569966</v>
      </c>
      <c r="BB36" s="772">
        <f t="shared" ca="1" si="11"/>
        <v>2066.1326906569966</v>
      </c>
      <c r="BC36" s="772">
        <f t="shared" ca="1" si="11"/>
        <v>1940.2748468296074</v>
      </c>
      <c r="BD36" s="772">
        <f t="shared" ca="1" si="11"/>
        <v>1825.3753774869713</v>
      </c>
      <c r="BE36" s="772">
        <f t="shared" ca="1" si="11"/>
        <v>1825.3753774869713</v>
      </c>
      <c r="BF36" s="772">
        <f t="shared" ca="1" si="11"/>
        <v>1720.2349604493447</v>
      </c>
      <c r="BG36" s="772">
        <f t="shared" ca="1" si="11"/>
        <v>1720.2349604493447</v>
      </c>
      <c r="BH36" s="772">
        <f t="shared" ca="1" si="11"/>
        <v>1623.8059100931928</v>
      </c>
      <c r="BI36" s="772">
        <f t="shared" ca="1" si="11"/>
        <v>1623.8059100931928</v>
      </c>
      <c r="BJ36" s="772">
        <f t="shared" ca="1" si="11"/>
        <v>1940.2748468296074</v>
      </c>
      <c r="BK36" s="772">
        <f t="shared" ca="1" si="11"/>
        <v>1940.2748468296074</v>
      </c>
      <c r="BL36" s="772">
        <f t="shared" ca="1" si="11"/>
        <v>1940.2748468296074</v>
      </c>
      <c r="BM36" s="772">
        <f t="shared" ca="1" si="11"/>
        <v>1940.2748468296074</v>
      </c>
      <c r="BN36" s="772">
        <f t="shared" ca="1" si="11"/>
        <v>1720.2349604493447</v>
      </c>
      <c r="BO36" s="772">
        <f t="shared" ca="1" si="10"/>
        <v>1720.2349604493447</v>
      </c>
      <c r="BP36" s="772">
        <f t="shared" ca="1" si="10"/>
        <v>1623.8059100931928</v>
      </c>
      <c r="BQ36" s="772">
        <f t="shared" ca="1" si="10"/>
        <v>1623.8059100931928</v>
      </c>
      <c r="BR36" s="772">
        <f t="shared" ca="1" si="10"/>
        <v>1535.1717988745165</v>
      </c>
      <c r="BS36" s="772">
        <f t="shared" ca="1" si="10"/>
        <v>1940.2748468296074</v>
      </c>
      <c r="BT36" s="772">
        <f t="shared" ca="1" si="10"/>
        <v>1940.2748468296074</v>
      </c>
      <c r="BU36" s="772">
        <f t="shared" ca="1" si="10"/>
        <v>1940.2748468296074</v>
      </c>
      <c r="BV36" s="772">
        <f t="shared" ca="1" si="10"/>
        <v>1825.3753774869713</v>
      </c>
      <c r="BW36" s="772">
        <f t="shared" ca="1" si="10"/>
        <v>1825.3753774869713</v>
      </c>
      <c r="BX36" s="772">
        <f t="shared" ca="1" si="9"/>
        <v>1623.8059100931928</v>
      </c>
      <c r="BY36" s="772">
        <f t="shared" ca="1" si="9"/>
        <v>1623.8059100931928</v>
      </c>
      <c r="BZ36" s="772">
        <f t="shared" ca="1" si="9"/>
        <v>1535.1717988745165</v>
      </c>
      <c r="CA36" s="772">
        <f t="shared" ca="1" si="9"/>
        <v>1535.1717988745165</v>
      </c>
      <c r="CB36" s="772">
        <f t="shared" ca="1" si="9"/>
        <v>1825.3753774869713</v>
      </c>
      <c r="CC36" s="772">
        <f t="shared" ca="1" si="9"/>
        <v>1825.3753774869713</v>
      </c>
      <c r="CD36" s="772">
        <f t="shared" ca="1" si="9"/>
        <v>1825.3753774869713</v>
      </c>
      <c r="CE36" s="772">
        <f t="shared" ca="1" si="9"/>
        <v>1825.3753774869713</v>
      </c>
      <c r="CF36" s="772">
        <f t="shared" ca="1" si="9"/>
        <v>1720.2349604493447</v>
      </c>
      <c r="CG36" s="772">
        <f t="shared" ca="1" si="9"/>
        <v>1623.8059100931928</v>
      </c>
      <c r="CH36" s="772">
        <f t="shared" ca="1" si="9"/>
        <v>1535.1717988745165</v>
      </c>
      <c r="CI36" s="772">
        <f t="shared" ca="1" si="9"/>
        <v>1535.1717988745165</v>
      </c>
      <c r="CJ36" s="772">
        <f t="shared" ca="1" si="9"/>
        <v>1453.5295874842413</v>
      </c>
    </row>
    <row r="37" spans="1:88" ht="15" customHeight="1">
      <c r="A37" s="770">
        <f>'kc-Wert für Stützen'!C37</f>
        <v>89</v>
      </c>
      <c r="B37" s="768">
        <f ca="1">INDIRECT("'kc-Wert für Stützen'!"&amp;SUBSTITUTE(ADDRESS(MATCH($A37,'kc-Wert für Stützen'!$C:$C,0),MATCH(B$7,'kc-Wert für Stützen'!$A$8:$ES$8,0)+7,4),,))</f>
        <v>2462.4480222921643</v>
      </c>
      <c r="C37" s="768">
        <f ca="1">INDIRECT("'kc-Wert für Stützen'!"&amp;SUBSTITUTE(ADDRESS(MATCH($A37,'kc-Wert für Stützen'!$C:$C,0),MATCH(C$7,'kc-Wert für Stützen'!$A$8:$ES$8,0)+7,4),,))</f>
        <v>2303.75079821895</v>
      </c>
      <c r="D37" s="768">
        <f ca="1">INDIRECT("'kc-Wert für Stützen'!"&amp;SUBSTITUTE(ADDRESS(MATCH($A37,'kc-Wert für Stützen'!$C:$C,0),MATCH(D$7,'kc-Wert für Stützen'!$A$8:$ES$8,0)+7,4),,))</f>
        <v>2159.5176292431593</v>
      </c>
      <c r="E37" s="768">
        <f ca="1">INDIRECT("'kc-Wert für Stützen'!"&amp;SUBSTITUTE(ADDRESS(MATCH($A37,'kc-Wert für Stützen'!$C:$C,0),MATCH(E$7,'kc-Wert für Stützen'!$A$8:$ES$8,0)+7,4),,))</f>
        <v>2028.1228308234533</v>
      </c>
      <c r="F37" s="768">
        <f ca="1">INDIRECT("'kc-Wert für Stützen'!"&amp;SUBSTITUTE(ADDRESS(MATCH($A37,'kc-Wert für Stützen'!$C:$C,0),MATCH(F$7,'kc-Wert für Stützen'!$A$8:$ES$8,0)+7,4),,))</f>
        <v>1908.1435381256617</v>
      </c>
      <c r="G37" s="768">
        <f ca="1">INDIRECT("'kc-Wert für Stützen'!"&amp;SUBSTITUTE(ADDRESS(MATCH($A37,'kc-Wert für Stützen'!$C:$C,0),MATCH(G$7,'kc-Wert für Stützen'!$A$8:$ES$8,0)+7,4),,))</f>
        <v>1798.3356187502191</v>
      </c>
      <c r="H37" s="768">
        <f ca="1">INDIRECT("'kc-Wert für Stützen'!"&amp;SUBSTITUTE(ADDRESS(MATCH($A37,'kc-Wert für Stützen'!$C:$C,0),MATCH(H$7,'kc-Wert für Stützen'!$A$8:$ES$8,0)+7,4),,))</f>
        <v>1697.6109333623106</v>
      </c>
      <c r="I37" s="768">
        <f ca="1">INDIRECT("'kc-Wert für Stützen'!"&amp;SUBSTITUTE(ADDRESS(MATCH($A37,'kc-Wert für Stützen'!$C:$C,0),MATCH(I$7,'kc-Wert für Stützen'!$A$8:$ES$8,0)+7,4),,))</f>
        <v>1605.0167584405451</v>
      </c>
      <c r="J37" s="768">
        <f ca="1">INDIRECT("'kc-Wert für Stützen'!"&amp;SUBSTITUTE(ADDRESS(MATCH($A37,'kc-Wert für Stützen'!$C:$C,0),MATCH(J$7,'kc-Wert für Stützen'!$A$8:$ES$8,0)+7,4),,))</f>
        <v>1519.7176052230511</v>
      </c>
      <c r="K37" s="768">
        <f ca="1">INDIRECT("'kc-Wert für Stützen'!"&amp;SUBSTITUTE(ADDRESS(MATCH($A37,'kc-Wert für Stützen'!$C:$C,0),MATCH(K$7,'kc-Wert für Stützen'!$A$8:$ES$8,0)+7,4),,))</f>
        <v>1440.9793800602013</v>
      </c>
      <c r="L37" s="768">
        <f ca="1">INDIRECT("'kc-Wert für Stützen'!"&amp;SUBSTITUTE(ADDRESS(MATCH($A37,'kc-Wert für Stützen'!$C:$C,0),MATCH(L$7,'kc-Wert für Stützen'!$A$8:$ES$8,0)+7,4),,))</f>
        <v>1368.1556989391468</v>
      </c>
      <c r="M37" s="768">
        <f ca="1">INDIRECT("'kc-Wert für Stützen'!"&amp;SUBSTITUTE(ADDRESS(MATCH($A37,'kc-Wert für Stützen'!$C:$C,0),MATCH(M$7,'kc-Wert für Stützen'!$A$8:$ES$8,0)+7,4),,))</f>
        <v>1300.6761193671969</v>
      </c>
      <c r="N37" s="768">
        <f ca="1">INDIRECT("'kc-Wert für Stützen'!"&amp;SUBSTITUTE(ADDRESS(MATCH($A37,'kc-Wert für Stützen'!$C:$C,0),MATCH(N$7,'kc-Wert für Stützen'!$A$8:$ES$8,0)+7,4),,))</f>
        <v>1238.0360458769801</v>
      </c>
      <c r="O37" s="768">
        <f ca="1">INDIRECT("'kc-Wert für Stützen'!"&amp;SUBSTITUTE(ADDRESS(MATCH($A37,'kc-Wert für Stützen'!$C:$C,0),MATCH(O$7,'kc-Wert für Stützen'!$A$8:$ES$8,0)+7,4),,))</f>
        <v>1179.7880792204605</v>
      </c>
      <c r="P37" s="768">
        <f ca="1">INDIRECT("'kc-Wert für Stützen'!"&amp;SUBSTITUTE(ADDRESS(MATCH($A37,'kc-Wert für Stützen'!$C:$C,0),MATCH(P$7,'kc-Wert für Stützen'!$A$8:$ES$8,0)+7,4),,))</f>
        <v>1125.534602011752</v>
      </c>
      <c r="S37" s="772">
        <f t="shared" ca="1" si="3"/>
        <v>2159.5176292431593</v>
      </c>
      <c r="T37" s="772">
        <f t="shared" ca="1" si="3"/>
        <v>2159.5176292431593</v>
      </c>
      <c r="U37" s="772">
        <f t="shared" ca="1" si="3"/>
        <v>2159.5176292431593</v>
      </c>
      <c r="V37" s="772">
        <f t="shared" ca="1" si="3"/>
        <v>2028.1228308234533</v>
      </c>
      <c r="W37" s="772">
        <f t="shared" ca="1" si="3"/>
        <v>1908.1435381256617</v>
      </c>
      <c r="X37" s="772">
        <f t="shared" ca="1" si="3"/>
        <v>1798.3356187502191</v>
      </c>
      <c r="Y37" s="772">
        <f t="shared" ca="1" si="3"/>
        <v>1697.6109333623106</v>
      </c>
      <c r="Z37" s="772">
        <f t="shared" ca="1" si="3"/>
        <v>2159.5176292431593</v>
      </c>
      <c r="AA37" s="772">
        <f t="shared" ca="1" si="3"/>
        <v>2159.5176292431593</v>
      </c>
      <c r="AB37" s="772">
        <f t="shared" ca="1" si="8"/>
        <v>2028.1228308234533</v>
      </c>
      <c r="AC37" s="772">
        <f t="shared" ca="1" si="8"/>
        <v>2028.1228308234533</v>
      </c>
      <c r="AD37" s="772">
        <f t="shared" ca="1" si="8"/>
        <v>1908.1435381256617</v>
      </c>
      <c r="AE37" s="772">
        <f t="shared" ca="1" si="8"/>
        <v>1908.1435381256617</v>
      </c>
      <c r="AF37" s="772">
        <f t="shared" ca="1" si="8"/>
        <v>1798.3356187502191</v>
      </c>
      <c r="AG37" s="772">
        <f t="shared" ca="1" si="8"/>
        <v>1798.3356187502191</v>
      </c>
      <c r="AH37" s="772">
        <f t="shared" ca="1" si="8"/>
        <v>1798.3356187502191</v>
      </c>
      <c r="AI37" s="772">
        <f t="shared" ca="1" si="8"/>
        <v>2159.5176292431593</v>
      </c>
      <c r="AJ37" s="772">
        <f t="shared" ca="1" si="8"/>
        <v>2159.5176292431593</v>
      </c>
      <c r="AK37" s="772">
        <f t="shared" ca="1" si="8"/>
        <v>2028.1228308234533</v>
      </c>
      <c r="AL37" s="772">
        <f t="shared" ca="1" si="8"/>
        <v>2028.1228308234533</v>
      </c>
      <c r="AM37" s="772">
        <f t="shared" ca="1" si="8"/>
        <v>1908.1435381256617</v>
      </c>
      <c r="AN37" s="772">
        <f t="shared" ca="1" si="8"/>
        <v>1908.1435381256617</v>
      </c>
      <c r="AO37" s="772">
        <f t="shared" ca="1" si="8"/>
        <v>1798.3356187502191</v>
      </c>
      <c r="AP37" s="772">
        <f t="shared" ca="1" si="8"/>
        <v>1798.3356187502191</v>
      </c>
      <c r="AQ37" s="772">
        <f t="shared" ca="1" si="8"/>
        <v>1798.3356187502191</v>
      </c>
      <c r="AR37" s="772">
        <f t="shared" ca="1" si="12"/>
        <v>2159.5176292431593</v>
      </c>
      <c r="AS37" s="772">
        <f t="shared" ca="1" si="12"/>
        <v>2159.5176292431593</v>
      </c>
      <c r="AT37" s="772">
        <f t="shared" ca="1" si="12"/>
        <v>2028.1228308234533</v>
      </c>
      <c r="AU37" s="772">
        <f t="shared" ca="1" si="12"/>
        <v>2028.1228308234533</v>
      </c>
      <c r="AV37" s="772">
        <f t="shared" ca="1" si="12"/>
        <v>1908.1435381256617</v>
      </c>
      <c r="AW37" s="772">
        <f t="shared" ca="1" si="12"/>
        <v>1908.1435381256617</v>
      </c>
      <c r="AX37" s="772">
        <f t="shared" ca="1" si="12"/>
        <v>1798.3356187502191</v>
      </c>
      <c r="AY37" s="772">
        <f t="shared" ca="1" si="11"/>
        <v>1798.3356187502191</v>
      </c>
      <c r="AZ37" s="772">
        <f t="shared" ca="1" si="11"/>
        <v>1798.3356187502191</v>
      </c>
      <c r="BA37" s="772">
        <f t="shared" ca="1" si="11"/>
        <v>2159.5176292431593</v>
      </c>
      <c r="BB37" s="772">
        <f t="shared" ca="1" si="11"/>
        <v>2159.5176292431593</v>
      </c>
      <c r="BC37" s="772">
        <f t="shared" ca="1" si="11"/>
        <v>2028.1228308234533</v>
      </c>
      <c r="BD37" s="772">
        <f t="shared" ca="1" si="11"/>
        <v>1908.1435381256617</v>
      </c>
      <c r="BE37" s="772">
        <f t="shared" ca="1" si="11"/>
        <v>1908.1435381256617</v>
      </c>
      <c r="BF37" s="772">
        <f t="shared" ca="1" si="11"/>
        <v>1798.3356187502191</v>
      </c>
      <c r="BG37" s="772">
        <f t="shared" ca="1" si="11"/>
        <v>1798.3356187502191</v>
      </c>
      <c r="BH37" s="772">
        <f t="shared" ca="1" si="11"/>
        <v>1697.6109333623106</v>
      </c>
      <c r="BI37" s="772">
        <f t="shared" ca="1" si="11"/>
        <v>1697.6109333623106</v>
      </c>
      <c r="BJ37" s="772">
        <f t="shared" ca="1" si="11"/>
        <v>2028.1228308234533</v>
      </c>
      <c r="BK37" s="772">
        <f t="shared" ca="1" si="11"/>
        <v>2028.1228308234533</v>
      </c>
      <c r="BL37" s="772">
        <f t="shared" ca="1" si="11"/>
        <v>2028.1228308234533</v>
      </c>
      <c r="BM37" s="772">
        <f t="shared" ca="1" si="11"/>
        <v>2028.1228308234533</v>
      </c>
      <c r="BN37" s="772">
        <f t="shared" ca="1" si="11"/>
        <v>1798.3356187502191</v>
      </c>
      <c r="BO37" s="772">
        <f t="shared" ca="1" si="10"/>
        <v>1798.3356187502191</v>
      </c>
      <c r="BP37" s="772">
        <f t="shared" ca="1" si="10"/>
        <v>1697.6109333623106</v>
      </c>
      <c r="BQ37" s="772">
        <f t="shared" ca="1" si="10"/>
        <v>1697.6109333623106</v>
      </c>
      <c r="BR37" s="772">
        <f t="shared" ca="1" si="10"/>
        <v>1605.0167584405451</v>
      </c>
      <c r="BS37" s="772">
        <f t="shared" ca="1" si="10"/>
        <v>2028.1228308234533</v>
      </c>
      <c r="BT37" s="772">
        <f t="shared" ca="1" si="10"/>
        <v>2028.1228308234533</v>
      </c>
      <c r="BU37" s="772">
        <f t="shared" ca="1" si="10"/>
        <v>2028.1228308234533</v>
      </c>
      <c r="BV37" s="772">
        <f t="shared" ca="1" si="10"/>
        <v>1908.1435381256617</v>
      </c>
      <c r="BW37" s="772">
        <f t="shared" ca="1" si="10"/>
        <v>1908.1435381256617</v>
      </c>
      <c r="BX37" s="772">
        <f t="shared" ca="1" si="9"/>
        <v>1697.6109333623106</v>
      </c>
      <c r="BY37" s="772">
        <f t="shared" ca="1" si="9"/>
        <v>1697.6109333623106</v>
      </c>
      <c r="BZ37" s="772">
        <f t="shared" ca="1" si="9"/>
        <v>1605.0167584405451</v>
      </c>
      <c r="CA37" s="772">
        <f t="shared" ca="1" si="9"/>
        <v>1605.0167584405451</v>
      </c>
      <c r="CB37" s="772">
        <f t="shared" ca="1" si="9"/>
        <v>1908.1435381256617</v>
      </c>
      <c r="CC37" s="772">
        <f t="shared" ca="1" si="9"/>
        <v>1908.1435381256617</v>
      </c>
      <c r="CD37" s="772">
        <f t="shared" ca="1" si="9"/>
        <v>1908.1435381256617</v>
      </c>
      <c r="CE37" s="772">
        <f t="shared" ca="1" si="9"/>
        <v>1908.1435381256617</v>
      </c>
      <c r="CF37" s="772">
        <f t="shared" ca="1" si="9"/>
        <v>1798.3356187502191</v>
      </c>
      <c r="CG37" s="772">
        <f t="shared" ca="1" si="9"/>
        <v>1697.6109333623106</v>
      </c>
      <c r="CH37" s="772">
        <f t="shared" ca="1" si="9"/>
        <v>1605.0167584405451</v>
      </c>
      <c r="CI37" s="772">
        <f t="shared" ca="1" si="9"/>
        <v>1605.0167584405451</v>
      </c>
      <c r="CJ37" s="772">
        <f t="shared" ca="1" si="9"/>
        <v>1519.7176052230511</v>
      </c>
    </row>
    <row r="38" spans="1:88" ht="15" customHeight="1">
      <c r="A38" s="770">
        <f>'kc-Wert für Stützen'!C38</f>
        <v>90</v>
      </c>
      <c r="B38" s="768">
        <f ca="1">INDIRECT("'kc-Wert für Stützen'!"&amp;SUBSTITUTE(ADDRESS(MATCH($A38,'kc-Wert für Stützen'!$C:$C,0),MATCH(B$7,'kc-Wert für Stützen'!$A$8:$ES$8,0)+7,4),,))</f>
        <v>2571.8905283676136</v>
      </c>
      <c r="C38" s="768">
        <f ca="1">INDIRECT("'kc-Wert für Stützen'!"&amp;SUBSTITUTE(ADDRESS(MATCH($A38,'kc-Wert für Stützen'!$C:$C,0),MATCH(C$7,'kc-Wert für Stützen'!$A$8:$ES$8,0)+7,4),,))</f>
        <v>2406.4012718179238</v>
      </c>
      <c r="D38" s="768">
        <f ca="1">INDIRECT("'kc-Wert für Stützen'!"&amp;SUBSTITUTE(ADDRESS(MATCH($A38,'kc-Wert für Stützen'!$C:$C,0),MATCH(D$7,'kc-Wert für Stützen'!$A$8:$ES$8,0)+7,4),,))</f>
        <v>2255.9466283397896</v>
      </c>
      <c r="E38" s="768">
        <f ca="1">INDIRECT("'kc-Wert für Stützen'!"&amp;SUBSTITUTE(ADDRESS(MATCH($A38,'kc-Wert für Stützen'!$C:$C,0),MATCH(E$7,'kc-Wert für Stützen'!$A$8:$ES$8,0)+7,4),,))</f>
        <v>2118.8481264349057</v>
      </c>
      <c r="F38" s="768">
        <f ca="1">INDIRECT("'kc-Wert für Stützen'!"&amp;SUBSTITUTE(ADDRESS(MATCH($A38,'kc-Wert für Stützen'!$C:$C,0),MATCH(F$7,'kc-Wert für Stützen'!$A$8:$ES$8,0)+7,4),,))</f>
        <v>1993.6335018299558</v>
      </c>
      <c r="G38" s="768">
        <f ca="1">INDIRECT("'kc-Wert für Stützen'!"&amp;SUBSTITUTE(ADDRESS(MATCH($A38,'kc-Wert für Stützen'!$C:$C,0),MATCH(G$7,'kc-Wert für Stützen'!$A$8:$ES$8,0)+7,4),,))</f>
        <v>1879.0132996478806</v>
      </c>
      <c r="H38" s="768">
        <f ca="1">INDIRECT("'kc-Wert für Stützen'!"&amp;SUBSTITUTE(ADDRESS(MATCH($A38,'kc-Wert für Stützen'!$C:$C,0),MATCH(H$7,'kc-Wert für Stützen'!$A$8:$ES$8,0)+7,4),,))</f>
        <v>1773.8582929560096</v>
      </c>
      <c r="I38" s="768">
        <f ca="1">INDIRECT("'kc-Wert für Stützen'!"&amp;SUBSTITUTE(ADDRESS(MATCH($A38,'kc-Wert für Stützen'!$C:$C,0),MATCH(I$7,'kc-Wert für Stützen'!$A$8:$ES$8,0)+7,4),,))</f>
        <v>1677.1787795405967</v>
      </c>
      <c r="J38" s="768">
        <f ca="1">INDIRECT("'kc-Wert für Stützen'!"&amp;SUBSTITUTE(ADDRESS(MATCH($A38,'kc-Wert für Stützen'!$C:$C,0),MATCH(J$7,'kc-Wert für Stützen'!$A$8:$ES$8,0)+7,4),,))</f>
        <v>1588.1061331683316</v>
      </c>
      <c r="K38" s="768">
        <f ca="1">INDIRECT("'kc-Wert für Stützen'!"&amp;SUBSTITUTE(ADDRESS(MATCH($A38,'kc-Wert für Stützen'!$C:$C,0),MATCH(K$7,'kc-Wert für Stützen'!$A$8:$ES$8,0)+7,4),,))</f>
        <v>1505.8766355815953</v>
      </c>
      <c r="L38" s="768">
        <f ca="1">INDIRECT("'kc-Wert für Stützen'!"&amp;SUBSTITUTE(ADDRESS(MATCH($A38,'kc-Wert für Stützen'!$C:$C,0),MATCH(L$7,'kc-Wert für Stützen'!$A$8:$ES$8,0)+7,4),,))</f>
        <v>1429.8174474024304</v>
      </c>
      <c r="M38" s="768">
        <f ca="1">INDIRECT("'kc-Wert für Stützen'!"&amp;SUBSTITUTE(ADDRESS(MATCH($A38,'kc-Wert für Stützen'!$C:$C,0),MATCH(M$7,'kc-Wert für Stützen'!$A$8:$ES$8,0)+7,4),,))</f>
        <v>1359.3345057367308</v>
      </c>
      <c r="N38" s="768">
        <f ca="1">INDIRECT("'kc-Wert für Stützen'!"&amp;SUBSTITUTE(ADDRESS(MATCH($A38,'kc-Wert für Stützen'!$C:$C,0),MATCH(N$7,'kc-Wert für Stützen'!$A$8:$ES$8,0)+7,4),,))</f>
        <v>1293.9021172207745</v>
      </c>
      <c r="O38" s="768">
        <f ca="1">INDIRECT("'kc-Wert für Stützen'!"&amp;SUBSTITUTE(ADDRESS(MATCH($A38,'kc-Wert für Stützen'!$C:$C,0),MATCH(O$7,'kc-Wert für Stützen'!$A$8:$ES$8,0)+7,4),,))</f>
        <v>1233.0540220475912</v>
      </c>
      <c r="P38" s="768">
        <f ca="1">INDIRECT("'kc-Wert für Stützen'!"&amp;SUBSTITUTE(ADDRESS(MATCH($A38,'kc-Wert für Stützen'!$C:$C,0),MATCH(P$7,'kc-Wert für Stützen'!$A$8:$ES$8,0)+7,4),,))</f>
        <v>1176.375723223794</v>
      </c>
      <c r="S38" s="772">
        <f t="shared" ca="1" si="3"/>
        <v>2255.9466283397896</v>
      </c>
      <c r="T38" s="772">
        <f t="shared" ca="1" si="3"/>
        <v>2255.9466283397896</v>
      </c>
      <c r="U38" s="772">
        <f t="shared" ca="1" si="3"/>
        <v>2255.9466283397896</v>
      </c>
      <c r="V38" s="772">
        <f t="shared" ca="1" si="3"/>
        <v>2118.8481264349057</v>
      </c>
      <c r="W38" s="772">
        <f t="shared" ca="1" si="3"/>
        <v>1993.6335018299558</v>
      </c>
      <c r="X38" s="772">
        <f t="shared" ca="1" si="3"/>
        <v>1879.0132996478806</v>
      </c>
      <c r="Y38" s="772">
        <f t="shared" ca="1" si="3"/>
        <v>1773.8582929560096</v>
      </c>
      <c r="Z38" s="772">
        <f t="shared" ca="1" si="3"/>
        <v>2255.9466283397896</v>
      </c>
      <c r="AA38" s="772">
        <f t="shared" ca="1" si="3"/>
        <v>2255.9466283397896</v>
      </c>
      <c r="AB38" s="772">
        <f t="shared" ca="1" si="8"/>
        <v>2118.8481264349057</v>
      </c>
      <c r="AC38" s="772">
        <f t="shared" ca="1" si="8"/>
        <v>2118.8481264349057</v>
      </c>
      <c r="AD38" s="772">
        <f t="shared" ca="1" si="8"/>
        <v>1993.6335018299558</v>
      </c>
      <c r="AE38" s="772">
        <f t="shared" ca="1" si="8"/>
        <v>1993.6335018299558</v>
      </c>
      <c r="AF38" s="772">
        <f t="shared" ca="1" si="8"/>
        <v>1879.0132996478806</v>
      </c>
      <c r="AG38" s="772">
        <f t="shared" ca="1" si="8"/>
        <v>1879.0132996478806</v>
      </c>
      <c r="AH38" s="772">
        <f t="shared" ca="1" si="8"/>
        <v>1879.0132996478806</v>
      </c>
      <c r="AI38" s="772">
        <f t="shared" ca="1" si="8"/>
        <v>2255.9466283397896</v>
      </c>
      <c r="AJ38" s="772">
        <f t="shared" ca="1" si="8"/>
        <v>2255.9466283397896</v>
      </c>
      <c r="AK38" s="772">
        <f t="shared" ca="1" si="8"/>
        <v>2118.8481264349057</v>
      </c>
      <c r="AL38" s="772">
        <f t="shared" ca="1" si="8"/>
        <v>2118.8481264349057</v>
      </c>
      <c r="AM38" s="772">
        <f t="shared" ca="1" si="8"/>
        <v>1993.6335018299558</v>
      </c>
      <c r="AN38" s="772">
        <f t="shared" ca="1" si="8"/>
        <v>1993.6335018299558</v>
      </c>
      <c r="AO38" s="772">
        <f t="shared" ca="1" si="8"/>
        <v>1879.0132996478806</v>
      </c>
      <c r="AP38" s="772">
        <f t="shared" ca="1" si="8"/>
        <v>1879.0132996478806</v>
      </c>
      <c r="AQ38" s="772">
        <f t="shared" ca="1" si="8"/>
        <v>1879.0132996478806</v>
      </c>
      <c r="AR38" s="772">
        <f t="shared" ca="1" si="12"/>
        <v>2255.9466283397896</v>
      </c>
      <c r="AS38" s="772">
        <f t="shared" ca="1" si="12"/>
        <v>2255.9466283397896</v>
      </c>
      <c r="AT38" s="772">
        <f t="shared" ca="1" si="12"/>
        <v>2118.8481264349057</v>
      </c>
      <c r="AU38" s="772">
        <f t="shared" ca="1" si="12"/>
        <v>2118.8481264349057</v>
      </c>
      <c r="AV38" s="772">
        <f t="shared" ca="1" si="12"/>
        <v>1993.6335018299558</v>
      </c>
      <c r="AW38" s="772">
        <f t="shared" ca="1" si="12"/>
        <v>1993.6335018299558</v>
      </c>
      <c r="AX38" s="772">
        <f t="shared" ca="1" si="12"/>
        <v>1879.0132996478806</v>
      </c>
      <c r="AY38" s="772">
        <f t="shared" ca="1" si="11"/>
        <v>1879.0132996478806</v>
      </c>
      <c r="AZ38" s="772">
        <f t="shared" ca="1" si="11"/>
        <v>1879.0132996478806</v>
      </c>
      <c r="BA38" s="772">
        <f t="shared" ca="1" si="11"/>
        <v>2255.9466283397896</v>
      </c>
      <c r="BB38" s="772">
        <f t="shared" ca="1" si="11"/>
        <v>2255.9466283397896</v>
      </c>
      <c r="BC38" s="772">
        <f t="shared" ca="1" si="11"/>
        <v>2118.8481264349057</v>
      </c>
      <c r="BD38" s="772">
        <f t="shared" ca="1" si="11"/>
        <v>1993.6335018299558</v>
      </c>
      <c r="BE38" s="772">
        <f t="shared" ca="1" si="11"/>
        <v>1993.6335018299558</v>
      </c>
      <c r="BF38" s="772">
        <f t="shared" ca="1" si="11"/>
        <v>1879.0132996478806</v>
      </c>
      <c r="BG38" s="772">
        <f t="shared" ca="1" si="11"/>
        <v>1879.0132996478806</v>
      </c>
      <c r="BH38" s="772">
        <f t="shared" ca="1" si="11"/>
        <v>1773.8582929560096</v>
      </c>
      <c r="BI38" s="772">
        <f t="shared" ca="1" si="11"/>
        <v>1773.8582929560096</v>
      </c>
      <c r="BJ38" s="772">
        <f t="shared" ca="1" si="11"/>
        <v>2118.8481264349057</v>
      </c>
      <c r="BK38" s="772">
        <f t="shared" ca="1" si="11"/>
        <v>2118.8481264349057</v>
      </c>
      <c r="BL38" s="772">
        <f t="shared" ca="1" si="11"/>
        <v>2118.8481264349057</v>
      </c>
      <c r="BM38" s="772">
        <f t="shared" ca="1" si="11"/>
        <v>2118.8481264349057</v>
      </c>
      <c r="BN38" s="772">
        <f t="shared" ca="1" si="11"/>
        <v>1879.0132996478806</v>
      </c>
      <c r="BO38" s="772">
        <f t="shared" ca="1" si="10"/>
        <v>1879.0132996478806</v>
      </c>
      <c r="BP38" s="772">
        <f t="shared" ca="1" si="10"/>
        <v>1773.8582929560096</v>
      </c>
      <c r="BQ38" s="772">
        <f t="shared" ca="1" si="10"/>
        <v>1773.8582929560096</v>
      </c>
      <c r="BR38" s="772">
        <f t="shared" ca="1" si="10"/>
        <v>1677.1787795405967</v>
      </c>
      <c r="BS38" s="772">
        <f t="shared" ca="1" si="10"/>
        <v>2118.8481264349057</v>
      </c>
      <c r="BT38" s="772">
        <f t="shared" ca="1" si="10"/>
        <v>2118.8481264349057</v>
      </c>
      <c r="BU38" s="772">
        <f t="shared" ca="1" si="10"/>
        <v>2118.8481264349057</v>
      </c>
      <c r="BV38" s="772">
        <f t="shared" ca="1" si="10"/>
        <v>1993.6335018299558</v>
      </c>
      <c r="BW38" s="772">
        <f t="shared" ca="1" si="10"/>
        <v>1993.6335018299558</v>
      </c>
      <c r="BX38" s="772">
        <f t="shared" ca="1" si="9"/>
        <v>1773.8582929560096</v>
      </c>
      <c r="BY38" s="772">
        <f t="shared" ca="1" si="9"/>
        <v>1773.8582929560096</v>
      </c>
      <c r="BZ38" s="772">
        <f t="shared" ca="1" si="9"/>
        <v>1677.1787795405967</v>
      </c>
      <c r="CA38" s="772">
        <f t="shared" ca="1" si="9"/>
        <v>1677.1787795405967</v>
      </c>
      <c r="CB38" s="772">
        <f t="shared" ca="1" si="9"/>
        <v>1993.6335018299558</v>
      </c>
      <c r="CC38" s="772">
        <f t="shared" ca="1" si="9"/>
        <v>1993.6335018299558</v>
      </c>
      <c r="CD38" s="772">
        <f t="shared" ca="1" si="9"/>
        <v>1993.6335018299558</v>
      </c>
      <c r="CE38" s="772">
        <f t="shared" ca="1" si="9"/>
        <v>1993.6335018299558</v>
      </c>
      <c r="CF38" s="772">
        <f t="shared" ca="1" si="9"/>
        <v>1879.0132996478806</v>
      </c>
      <c r="CG38" s="772">
        <f t="shared" ca="1" si="9"/>
        <v>1773.8582929560096</v>
      </c>
      <c r="CH38" s="772">
        <f t="shared" ca="1" si="9"/>
        <v>1677.1787795405967</v>
      </c>
      <c r="CI38" s="772">
        <f t="shared" ca="1" si="9"/>
        <v>1677.1787795405967</v>
      </c>
      <c r="CJ38" s="772">
        <f t="shared" ca="1" si="9"/>
        <v>1588.1061331683316</v>
      </c>
    </row>
    <row r="39" spans="1:88" ht="15" customHeight="1">
      <c r="A39" s="770">
        <f>'kc-Wert für Stützen'!C39</f>
        <v>91</v>
      </c>
      <c r="B39" s="768">
        <f ca="1">INDIRECT("'kc-Wert für Stützen'!"&amp;SUBSTITUTE(ADDRESS(MATCH($A39,'kc-Wert für Stützen'!$C:$C,0),MATCH(B$7,'kc-Wert für Stützen'!$A$8:$ES$8,0)+7,4),,))</f>
        <v>2684.8061408550648</v>
      </c>
      <c r="C39" s="768">
        <f ca="1">INDIRECT("'kc-Wert für Stützen'!"&amp;SUBSTITUTE(ADDRESS(MATCH($A39,'kc-Wert für Stützen'!$C:$C,0),MATCH(C$7,'kc-Wert für Stützen'!$A$8:$ES$8,0)+7,4),,))</f>
        <v>2512.3339469920766</v>
      </c>
      <c r="D39" s="768">
        <f ca="1">INDIRECT("'kc-Wert für Stützen'!"&amp;SUBSTITUTE(ADDRESS(MATCH($A39,'kc-Wert für Stützen'!$C:$C,0),MATCH(D$7,'kc-Wert für Stützen'!$A$8:$ES$8,0)+7,4),,))</f>
        <v>2355.4778257903727</v>
      </c>
      <c r="E39" s="768">
        <f ca="1">INDIRECT("'kc-Wert für Stützen'!"&amp;SUBSTITUTE(ADDRESS(MATCH($A39,'kc-Wert für Stützen'!$C:$C,0),MATCH(E$7,'kc-Wert für Stützen'!$A$8:$ES$8,0)+7,4),,))</f>
        <v>2212.5068799361511</v>
      </c>
      <c r="F39" s="768">
        <f ca="1">INDIRECT("'kc-Wert für Stützen'!"&amp;SUBSTITUTE(ADDRESS(MATCH($A39,'kc-Wert für Stützen'!$C:$C,0),MATCH(F$7,'kc-Wert für Stützen'!$A$8:$ES$8,0)+7,4),,))</f>
        <v>2081.8993010990312</v>
      </c>
      <c r="G39" s="768">
        <f ca="1">INDIRECT("'kc-Wert für Stützen'!"&amp;SUBSTITUTE(ADDRESS(MATCH($A39,'kc-Wert für Stützen'!$C:$C,0),MATCH(G$7,'kc-Wert für Stützen'!$A$8:$ES$8,0)+7,4),,))</f>
        <v>1962.3198817142734</v>
      </c>
      <c r="H39" s="768">
        <f ca="1">INDIRECT("'kc-Wert für Stützen'!"&amp;SUBSTITUTE(ADDRESS(MATCH($A39,'kc-Wert für Stützen'!$C:$C,0),MATCH(H$7,'kc-Wert für Stützen'!$A$8:$ES$8,0)+7,4),,))</f>
        <v>1852.5977264411974</v>
      </c>
      <c r="I39" s="768">
        <f ca="1">INDIRECT("'kc-Wert für Stützen'!"&amp;SUBSTITUTE(ADDRESS(MATCH($A39,'kc-Wert für Stützen'!$C:$C,0),MATCH(I$7,'kc-Wert für Stützen'!$A$8:$ES$8,0)+7,4),,))</f>
        <v>1751.7055054506532</v>
      </c>
      <c r="J39" s="768">
        <f ca="1">INDIRECT("'kc-Wert für Stützen'!"&amp;SUBSTITUTE(ADDRESS(MATCH($A39,'kc-Wert für Stützen'!$C:$C,0),MATCH(J$7,'kc-Wert für Stützen'!$A$8:$ES$8,0)+7,4),,))</f>
        <v>1658.7407879036448</v>
      </c>
      <c r="K39" s="768">
        <f ca="1">INDIRECT("'kc-Wert für Stützen'!"&amp;SUBSTITUTE(ADDRESS(MATCH($A39,'kc-Wert für Stützen'!$C:$C,0),MATCH(K$7,'kc-Wert für Stützen'!$A$8:$ES$8,0)+7,4),,))</f>
        <v>1572.909575161684</v>
      </c>
      <c r="L39" s="768">
        <f ca="1">INDIRECT("'kc-Wert für Stützen'!"&amp;SUBSTITUTE(ADDRESS(MATCH($A39,'kc-Wert für Stützen'!$C:$C,0),MATCH(L$7,'kc-Wert für Stützen'!$A$8:$ES$8,0)+7,4),,))</f>
        <v>1493.5119449251495</v>
      </c>
      <c r="M39" s="768">
        <f ca="1">INDIRECT("'kc-Wert für Stützen'!"&amp;SUBSTITUTE(ADDRESS(MATCH($A39,'kc-Wert für Stützen'!$C:$C,0),MATCH(M$7,'kc-Wert für Stützen'!$A$8:$ES$8,0)+7,4),,))</f>
        <v>1419.9296234635899</v>
      </c>
      <c r="N39" s="768">
        <f ca="1">INDIRECT("'kc-Wert für Stützen'!"&amp;SUBSTITUTE(ADDRESS(MATCH($A39,'kc-Wert für Stützen'!$C:$C,0),MATCH(N$7,'kc-Wert für Stützen'!$A$8:$ES$8,0)+7,4),,))</f>
        <v>1351.6152701680332</v>
      </c>
      <c r="O39" s="768">
        <f ca="1">INDIRECT("'kc-Wert für Stützen'!"&amp;SUBSTITUTE(ADDRESS(MATCH($A39,'kc-Wert für Stützen'!$C:$C,0),MATCH(O$7,'kc-Wert für Stützen'!$A$8:$ES$8,0)+7,4),,))</f>
        <v>1288.0832573426198</v>
      </c>
      <c r="P39" s="768">
        <f ca="1">INDIRECT("'kc-Wert für Stützen'!"&amp;SUBSTITUTE(ADDRESS(MATCH($A39,'kc-Wert für Stützen'!$C:$C,0),MATCH(P$7,'kc-Wert für Stützen'!$A$8:$ES$8,0)+7,4),,))</f>
        <v>1228.9017421925505</v>
      </c>
      <c r="S39" s="772">
        <f t="shared" ca="1" si="3"/>
        <v>2355.4778257903727</v>
      </c>
      <c r="T39" s="772">
        <f t="shared" ca="1" si="3"/>
        <v>2355.4778257903727</v>
      </c>
      <c r="U39" s="772">
        <f t="shared" ca="1" si="3"/>
        <v>2355.4778257903727</v>
      </c>
      <c r="V39" s="772">
        <f t="shared" ca="1" si="3"/>
        <v>2212.5068799361511</v>
      </c>
      <c r="W39" s="772">
        <f t="shared" ca="1" si="3"/>
        <v>2081.8993010990312</v>
      </c>
      <c r="X39" s="772">
        <f t="shared" ca="1" si="3"/>
        <v>1962.3198817142734</v>
      </c>
      <c r="Y39" s="772">
        <f t="shared" ca="1" si="3"/>
        <v>1852.5977264411974</v>
      </c>
      <c r="Z39" s="772">
        <f t="shared" ca="1" si="3"/>
        <v>2355.4778257903727</v>
      </c>
      <c r="AA39" s="772">
        <f t="shared" ca="1" si="3"/>
        <v>2355.4778257903727</v>
      </c>
      <c r="AB39" s="772">
        <f t="shared" ca="1" si="8"/>
        <v>2212.5068799361511</v>
      </c>
      <c r="AC39" s="772">
        <f t="shared" ca="1" si="8"/>
        <v>2212.5068799361511</v>
      </c>
      <c r="AD39" s="772">
        <f t="shared" ca="1" si="8"/>
        <v>2081.8993010990312</v>
      </c>
      <c r="AE39" s="772">
        <f t="shared" ca="1" si="8"/>
        <v>2081.8993010990312</v>
      </c>
      <c r="AF39" s="772">
        <f t="shared" ca="1" si="8"/>
        <v>1962.3198817142734</v>
      </c>
      <c r="AG39" s="772">
        <f t="shared" ca="1" si="8"/>
        <v>1962.3198817142734</v>
      </c>
      <c r="AH39" s="772">
        <f t="shared" ca="1" si="8"/>
        <v>1962.3198817142734</v>
      </c>
      <c r="AI39" s="772">
        <f t="shared" ca="1" si="8"/>
        <v>2355.4778257903727</v>
      </c>
      <c r="AJ39" s="772">
        <f t="shared" ca="1" si="8"/>
        <v>2355.4778257903727</v>
      </c>
      <c r="AK39" s="772">
        <f t="shared" ca="1" si="8"/>
        <v>2212.5068799361511</v>
      </c>
      <c r="AL39" s="772">
        <f t="shared" ca="1" si="8"/>
        <v>2212.5068799361511</v>
      </c>
      <c r="AM39" s="772">
        <f t="shared" ca="1" si="8"/>
        <v>2081.8993010990312</v>
      </c>
      <c r="AN39" s="772">
        <f t="shared" ca="1" si="8"/>
        <v>2081.8993010990312</v>
      </c>
      <c r="AO39" s="772">
        <f t="shared" ca="1" si="8"/>
        <v>1962.3198817142734</v>
      </c>
      <c r="AP39" s="772">
        <f t="shared" ca="1" si="8"/>
        <v>1962.3198817142734</v>
      </c>
      <c r="AQ39" s="772">
        <f t="shared" ref="AQ39:BF54" ca="1" si="13">HLOOKUP(AQ$7,$A$7:$P$348,ROW()-6)</f>
        <v>1962.3198817142734</v>
      </c>
      <c r="AR39" s="772">
        <f t="shared" ca="1" si="13"/>
        <v>2355.4778257903727</v>
      </c>
      <c r="AS39" s="772">
        <f t="shared" ca="1" si="13"/>
        <v>2355.4778257903727</v>
      </c>
      <c r="AT39" s="772">
        <f t="shared" ca="1" si="13"/>
        <v>2212.5068799361511</v>
      </c>
      <c r="AU39" s="772">
        <f t="shared" ca="1" si="13"/>
        <v>2212.5068799361511</v>
      </c>
      <c r="AV39" s="772">
        <f t="shared" ca="1" si="13"/>
        <v>2081.8993010990312</v>
      </c>
      <c r="AW39" s="772">
        <f t="shared" ca="1" si="13"/>
        <v>2081.8993010990312</v>
      </c>
      <c r="AX39" s="772">
        <f t="shared" ca="1" si="13"/>
        <v>1962.3198817142734</v>
      </c>
      <c r="AY39" s="772">
        <f t="shared" ca="1" si="13"/>
        <v>1962.3198817142734</v>
      </c>
      <c r="AZ39" s="772">
        <f t="shared" ca="1" si="13"/>
        <v>1962.3198817142734</v>
      </c>
      <c r="BA39" s="772">
        <f t="shared" ca="1" si="13"/>
        <v>2355.4778257903727</v>
      </c>
      <c r="BB39" s="772">
        <f t="shared" ca="1" si="13"/>
        <v>2355.4778257903727</v>
      </c>
      <c r="BC39" s="772">
        <f t="shared" ca="1" si="13"/>
        <v>2212.5068799361511</v>
      </c>
      <c r="BD39" s="772">
        <f t="shared" ca="1" si="13"/>
        <v>2081.8993010990312</v>
      </c>
      <c r="BE39" s="772">
        <f t="shared" ca="1" si="13"/>
        <v>2081.8993010990312</v>
      </c>
      <c r="BF39" s="772">
        <f t="shared" ca="1" si="13"/>
        <v>1962.3198817142734</v>
      </c>
      <c r="BG39" s="772">
        <f t="shared" ref="BG39:BN48" ca="1" si="14">HLOOKUP(BG$7,$A$7:$P$348,ROW()-6)</f>
        <v>1962.3198817142734</v>
      </c>
      <c r="BH39" s="772">
        <f t="shared" ca="1" si="14"/>
        <v>1852.5977264411974</v>
      </c>
      <c r="BI39" s="772">
        <f t="shared" ca="1" si="14"/>
        <v>1852.5977264411974</v>
      </c>
      <c r="BJ39" s="772">
        <f t="shared" ca="1" si="14"/>
        <v>2212.5068799361511</v>
      </c>
      <c r="BK39" s="772">
        <f t="shared" ca="1" si="14"/>
        <v>2212.5068799361511</v>
      </c>
      <c r="BL39" s="772">
        <f t="shared" ca="1" si="14"/>
        <v>2212.5068799361511</v>
      </c>
      <c r="BM39" s="772">
        <f t="shared" ca="1" si="14"/>
        <v>2212.5068799361511</v>
      </c>
      <c r="BN39" s="772">
        <f t="shared" ca="1" si="14"/>
        <v>1962.3198817142734</v>
      </c>
      <c r="BO39" s="772">
        <f t="shared" ca="1" si="10"/>
        <v>1962.3198817142734</v>
      </c>
      <c r="BP39" s="772">
        <f t="shared" ca="1" si="10"/>
        <v>1852.5977264411974</v>
      </c>
      <c r="BQ39" s="772">
        <f t="shared" ca="1" si="10"/>
        <v>1852.5977264411974</v>
      </c>
      <c r="BR39" s="772">
        <f t="shared" ca="1" si="10"/>
        <v>1751.7055054506532</v>
      </c>
      <c r="BS39" s="772">
        <f t="shared" ca="1" si="10"/>
        <v>2212.5068799361511</v>
      </c>
      <c r="BT39" s="772">
        <f t="shared" ca="1" si="10"/>
        <v>2212.5068799361511</v>
      </c>
      <c r="BU39" s="772">
        <f t="shared" ca="1" si="10"/>
        <v>2212.5068799361511</v>
      </c>
      <c r="BV39" s="772">
        <f t="shared" ca="1" si="10"/>
        <v>2081.8993010990312</v>
      </c>
      <c r="BW39" s="772">
        <f t="shared" ca="1" si="10"/>
        <v>2081.8993010990312</v>
      </c>
      <c r="BX39" s="772">
        <f t="shared" ca="1" si="9"/>
        <v>1852.5977264411974</v>
      </c>
      <c r="BY39" s="772">
        <f t="shared" ca="1" si="9"/>
        <v>1852.5977264411974</v>
      </c>
      <c r="BZ39" s="772">
        <f t="shared" ca="1" si="9"/>
        <v>1751.7055054506532</v>
      </c>
      <c r="CA39" s="772">
        <f t="shared" ca="1" si="9"/>
        <v>1751.7055054506532</v>
      </c>
      <c r="CB39" s="772">
        <f t="shared" ca="1" si="9"/>
        <v>2081.8993010990312</v>
      </c>
      <c r="CC39" s="772">
        <f t="shared" ca="1" si="9"/>
        <v>2081.8993010990312</v>
      </c>
      <c r="CD39" s="772">
        <f t="shared" ca="1" si="9"/>
        <v>2081.8993010990312</v>
      </c>
      <c r="CE39" s="772">
        <f t="shared" ca="1" si="9"/>
        <v>2081.8993010990312</v>
      </c>
      <c r="CF39" s="772">
        <f t="shared" ca="1" si="9"/>
        <v>1962.3198817142734</v>
      </c>
      <c r="CG39" s="772">
        <f t="shared" ca="1" si="9"/>
        <v>1852.5977264411974</v>
      </c>
      <c r="CH39" s="772">
        <f t="shared" ca="1" si="9"/>
        <v>1751.7055054506532</v>
      </c>
      <c r="CI39" s="772">
        <f t="shared" ca="1" si="9"/>
        <v>1751.7055054506532</v>
      </c>
      <c r="CJ39" s="772">
        <f t="shared" ca="1" si="9"/>
        <v>1658.7407879036448</v>
      </c>
    </row>
    <row r="40" spans="1:88" ht="15" customHeight="1">
      <c r="A40" s="770">
        <f>'kc-Wert für Stützen'!C40</f>
        <v>92</v>
      </c>
      <c r="B40" s="768">
        <f ca="1">INDIRECT("'kc-Wert für Stützen'!"&amp;SUBSTITUTE(ADDRESS(MATCH($A40,'kc-Wert für Stützen'!$C:$C,0),MATCH(B$7,'kc-Wert für Stützen'!$A$8:$ES$8,0)+7,4),,))</f>
        <v>2801.2556361279535</v>
      </c>
      <c r="C40" s="768">
        <f ca="1">INDIRECT("'kc-Wert für Stützen'!"&amp;SUBSTITUTE(ADDRESS(MATCH($A40,'kc-Wert für Stützen'!$C:$C,0),MATCH(C$7,'kc-Wert für Stützen'!$A$8:$ES$8,0)+7,4),,))</f>
        <v>2621.6085153750196</v>
      </c>
      <c r="D40" s="768">
        <f ca="1">INDIRECT("'kc-Wert für Stützen'!"&amp;SUBSTITUTE(ADDRESS(MATCH($A40,'kc-Wert für Stützen'!$C:$C,0),MATCH(D$7,'kc-Wert für Stützen'!$A$8:$ES$8,0)+7,4),,))</f>
        <v>2458.1693236461824</v>
      </c>
      <c r="E40" s="768">
        <f ca="1">INDIRECT("'kc-Wert für Stützen'!"&amp;SUBSTITUTE(ADDRESS(MATCH($A40,'kc-Wert für Stützen'!$C:$C,0),MATCH(E$7,'kc-Wert für Stützen'!$A$8:$ES$8,0)+7,4),,))</f>
        <v>2309.1553107475984</v>
      </c>
      <c r="F40" s="768">
        <f ca="1">INDIRECT("'kc-Wert für Stützen'!"&amp;SUBSTITUTE(ADDRESS(MATCH($A40,'kc-Wert für Stützen'!$C:$C,0),MATCH(F$7,'kc-Wert für Stützen'!$A$8:$ES$8,0)+7,4),,))</f>
        <v>2172.9951186106846</v>
      </c>
      <c r="G40" s="768">
        <f ca="1">INDIRECT("'kc-Wert für Stützen'!"&amp;SUBSTITUTE(ADDRESS(MATCH($A40,'kc-Wert für Stützen'!$C:$C,0),MATCH(G$7,'kc-Wert für Stützen'!$A$8:$ES$8,0)+7,4),,))</f>
        <v>2048.3074478641083</v>
      </c>
      <c r="H40" s="768">
        <f ca="1">INDIRECT("'kc-Wert für Stützen'!"&amp;SUBSTITUTE(ADDRESS(MATCH($A40,'kc-Wert für Stützen'!$C:$C,0),MATCH(H$7,'kc-Wert für Stützen'!$A$8:$ES$8,0)+7,4),,))</f>
        <v>1933.8792133617919</v>
      </c>
      <c r="I40" s="768">
        <f ca="1">INDIRECT("'kc-Wert für Stützen'!"&amp;SUBSTITUTE(ADDRESS(MATCH($A40,'kc-Wert für Stützen'!$C:$C,0),MATCH(I$7,'kc-Wert für Stützen'!$A$8:$ES$8,0)+7,4),,))</f>
        <v>1828.6448470172809</v>
      </c>
      <c r="J40" s="768">
        <f ca="1">INDIRECT("'kc-Wert für Stützen'!"&amp;SUBSTITUTE(ADDRESS(MATCH($A40,'kc-Wert für Stützen'!$C:$C,0),MATCH(J$7,'kc-Wert für Stützen'!$A$8:$ES$8,0)+7,4),,))</f>
        <v>1731.6674703510419</v>
      </c>
      <c r="K40" s="768">
        <f ca="1">INDIRECT("'kc-Wert für Stützen'!"&amp;SUBSTITUTE(ADDRESS(MATCH($A40,'kc-Wert für Stützen'!$C:$C,0),MATCH(K$7,'kc-Wert für Stützen'!$A$8:$ES$8,0)+7,4),,))</f>
        <v>1642.1221631139351</v>
      </c>
      <c r="L40" s="768">
        <f ca="1">INDIRECT("'kc-Wert für Stützen'!"&amp;SUBSTITUTE(ADDRESS(MATCH($A40,'kc-Wert für Stützen'!$C:$C,0),MATCH(L$7,'kc-Wert für Stützen'!$A$8:$ES$8,0)+7,4),,))</f>
        <v>1559.2813006222857</v>
      </c>
      <c r="M40" s="768">
        <f ca="1">INDIRECT("'kc-Wert für Stützen'!"&amp;SUBSTITUTE(ADDRESS(MATCH($A40,'kc-Wert für Stützen'!$C:$C,0),MATCH(M$7,'kc-Wert für Stützen'!$A$8:$ES$8,0)+7,4),,))</f>
        <v>1482.5018116245685</v>
      </c>
      <c r="N40" s="768">
        <f ca="1">INDIRECT("'kc-Wert für Stützen'!"&amp;SUBSTITUTE(ADDRESS(MATCH($A40,'kc-Wert für Stützen'!$C:$C,0),MATCH(N$7,'kc-Wert für Stützen'!$A$8:$ES$8,0)+7,4),,))</f>
        <v>1411.2141597600814</v>
      </c>
      <c r="O40" s="768">
        <f ca="1">INDIRECT("'kc-Wert für Stützen'!"&amp;SUBSTITUTE(ADDRESS(MATCH($A40,'kc-Wert für Stützen'!$C:$C,0),MATCH(O$7,'kc-Wert für Stützen'!$A$8:$ES$8,0)+7,4),,))</f>
        <v>1344.9128410341536</v>
      </c>
      <c r="P40" s="768">
        <f ca="1">INDIRECT("'kc-Wert für Stützen'!"&amp;SUBSTITUTE(ADDRESS(MATCH($A40,'kc-Wert für Stützen'!$C:$C,0),MATCH(P$7,'kc-Wert für Stützen'!$A$8:$ES$8,0)+7,4),,))</f>
        <v>1283.1481983332064</v>
      </c>
      <c r="S40" s="772">
        <f t="shared" ca="1" si="3"/>
        <v>2458.1693236461824</v>
      </c>
      <c r="T40" s="772">
        <f t="shared" ca="1" si="3"/>
        <v>2458.1693236461824</v>
      </c>
      <c r="U40" s="772">
        <f t="shared" ca="1" si="3"/>
        <v>2458.1693236461824</v>
      </c>
      <c r="V40" s="772">
        <f t="shared" ca="1" si="3"/>
        <v>2309.1553107475984</v>
      </c>
      <c r="W40" s="772">
        <f t="shared" ca="1" si="3"/>
        <v>2172.9951186106846</v>
      </c>
      <c r="X40" s="772">
        <f t="shared" ca="1" si="3"/>
        <v>2048.3074478641083</v>
      </c>
      <c r="Y40" s="772">
        <f t="shared" ca="1" si="3"/>
        <v>1933.8792133617919</v>
      </c>
      <c r="Z40" s="772">
        <f t="shared" ca="1" si="3"/>
        <v>2458.1693236461824</v>
      </c>
      <c r="AA40" s="772">
        <f t="shared" ca="1" si="3"/>
        <v>2458.1693236461824</v>
      </c>
      <c r="AB40" s="772">
        <f t="shared" ref="AB40:AQ55" ca="1" si="15">HLOOKUP(AB$7,$A$7:$P$348,ROW()-6)</f>
        <v>2309.1553107475984</v>
      </c>
      <c r="AC40" s="772">
        <f t="shared" ca="1" si="15"/>
        <v>2309.1553107475984</v>
      </c>
      <c r="AD40" s="772">
        <f t="shared" ca="1" si="15"/>
        <v>2172.9951186106846</v>
      </c>
      <c r="AE40" s="772">
        <f t="shared" ca="1" si="15"/>
        <v>2172.9951186106846</v>
      </c>
      <c r="AF40" s="772">
        <f t="shared" ca="1" si="15"/>
        <v>2048.3074478641083</v>
      </c>
      <c r="AG40" s="772">
        <f t="shared" ca="1" si="15"/>
        <v>2048.3074478641083</v>
      </c>
      <c r="AH40" s="772">
        <f t="shared" ca="1" si="15"/>
        <v>2048.3074478641083</v>
      </c>
      <c r="AI40" s="772">
        <f t="shared" ca="1" si="15"/>
        <v>2458.1693236461824</v>
      </c>
      <c r="AJ40" s="772">
        <f t="shared" ca="1" si="15"/>
        <v>2458.1693236461824</v>
      </c>
      <c r="AK40" s="772">
        <f t="shared" ca="1" si="15"/>
        <v>2309.1553107475984</v>
      </c>
      <c r="AL40" s="772">
        <f t="shared" ca="1" si="15"/>
        <v>2309.1553107475984</v>
      </c>
      <c r="AM40" s="772">
        <f t="shared" ca="1" si="15"/>
        <v>2172.9951186106846</v>
      </c>
      <c r="AN40" s="772">
        <f t="shared" ca="1" si="15"/>
        <v>2172.9951186106846</v>
      </c>
      <c r="AO40" s="772">
        <f t="shared" ca="1" si="15"/>
        <v>2048.3074478641083</v>
      </c>
      <c r="AP40" s="772">
        <f t="shared" ca="1" si="15"/>
        <v>2048.3074478641083</v>
      </c>
      <c r="AQ40" s="772">
        <f t="shared" ca="1" si="15"/>
        <v>2048.3074478641083</v>
      </c>
      <c r="AR40" s="772">
        <f t="shared" ca="1" si="13"/>
        <v>2458.1693236461824</v>
      </c>
      <c r="AS40" s="772">
        <f t="shared" ca="1" si="13"/>
        <v>2458.1693236461824</v>
      </c>
      <c r="AT40" s="772">
        <f t="shared" ca="1" si="13"/>
        <v>2309.1553107475984</v>
      </c>
      <c r="AU40" s="772">
        <f t="shared" ca="1" si="13"/>
        <v>2309.1553107475984</v>
      </c>
      <c r="AV40" s="772">
        <f t="shared" ca="1" si="13"/>
        <v>2172.9951186106846</v>
      </c>
      <c r="AW40" s="772">
        <f t="shared" ca="1" si="13"/>
        <v>2172.9951186106846</v>
      </c>
      <c r="AX40" s="772">
        <f t="shared" ca="1" si="13"/>
        <v>2048.3074478641083</v>
      </c>
      <c r="AY40" s="772">
        <f t="shared" ca="1" si="13"/>
        <v>2048.3074478641083</v>
      </c>
      <c r="AZ40" s="772">
        <f t="shared" ca="1" si="13"/>
        <v>2048.3074478641083</v>
      </c>
      <c r="BA40" s="772">
        <f t="shared" ca="1" si="13"/>
        <v>2458.1693236461824</v>
      </c>
      <c r="BB40" s="772">
        <f t="shared" ca="1" si="13"/>
        <v>2458.1693236461824</v>
      </c>
      <c r="BC40" s="772">
        <f t="shared" ca="1" si="13"/>
        <v>2309.1553107475984</v>
      </c>
      <c r="BD40" s="772">
        <f t="shared" ca="1" si="13"/>
        <v>2172.9951186106846</v>
      </c>
      <c r="BE40" s="772">
        <f t="shared" ca="1" si="13"/>
        <v>2172.9951186106846</v>
      </c>
      <c r="BF40" s="772">
        <f t="shared" ca="1" si="13"/>
        <v>2048.3074478641083</v>
      </c>
      <c r="BG40" s="772">
        <f t="shared" ca="1" si="14"/>
        <v>2048.3074478641083</v>
      </c>
      <c r="BH40" s="772">
        <f t="shared" ca="1" si="14"/>
        <v>1933.8792133617919</v>
      </c>
      <c r="BI40" s="772">
        <f t="shared" ca="1" si="14"/>
        <v>1933.8792133617919</v>
      </c>
      <c r="BJ40" s="772">
        <f t="shared" ca="1" si="14"/>
        <v>2309.1553107475984</v>
      </c>
      <c r="BK40" s="772">
        <f t="shared" ca="1" si="14"/>
        <v>2309.1553107475984</v>
      </c>
      <c r="BL40" s="772">
        <f t="shared" ca="1" si="14"/>
        <v>2309.1553107475984</v>
      </c>
      <c r="BM40" s="772">
        <f t="shared" ca="1" si="14"/>
        <v>2309.1553107475984</v>
      </c>
      <c r="BN40" s="772">
        <f t="shared" ca="1" si="14"/>
        <v>2048.3074478641083</v>
      </c>
      <c r="BO40" s="772">
        <f t="shared" ca="1" si="10"/>
        <v>2048.3074478641083</v>
      </c>
      <c r="BP40" s="772">
        <f t="shared" ca="1" si="10"/>
        <v>1933.8792133617919</v>
      </c>
      <c r="BQ40" s="772">
        <f t="shared" ca="1" si="10"/>
        <v>1933.8792133617919</v>
      </c>
      <c r="BR40" s="772">
        <f t="shared" ca="1" si="10"/>
        <v>1828.6448470172809</v>
      </c>
      <c r="BS40" s="772">
        <f t="shared" ca="1" si="10"/>
        <v>2309.1553107475984</v>
      </c>
      <c r="BT40" s="772">
        <f t="shared" ca="1" si="10"/>
        <v>2309.1553107475984</v>
      </c>
      <c r="BU40" s="772">
        <f t="shared" ca="1" si="10"/>
        <v>2309.1553107475984</v>
      </c>
      <c r="BV40" s="772">
        <f t="shared" ca="1" si="10"/>
        <v>2172.9951186106846</v>
      </c>
      <c r="BW40" s="772">
        <f t="shared" ca="1" si="10"/>
        <v>2172.9951186106846</v>
      </c>
      <c r="BX40" s="772">
        <f t="shared" ca="1" si="9"/>
        <v>1933.8792133617919</v>
      </c>
      <c r="BY40" s="772">
        <f t="shared" ca="1" si="9"/>
        <v>1933.8792133617919</v>
      </c>
      <c r="BZ40" s="772">
        <f t="shared" ca="1" si="9"/>
        <v>1828.6448470172809</v>
      </c>
      <c r="CA40" s="772">
        <f t="shared" ca="1" si="9"/>
        <v>1828.6448470172809</v>
      </c>
      <c r="CB40" s="772">
        <f t="shared" ca="1" si="9"/>
        <v>2172.9951186106846</v>
      </c>
      <c r="CC40" s="772">
        <f t="shared" ca="1" si="9"/>
        <v>2172.9951186106846</v>
      </c>
      <c r="CD40" s="772">
        <f t="shared" ca="1" si="9"/>
        <v>2172.9951186106846</v>
      </c>
      <c r="CE40" s="772">
        <f t="shared" ca="1" si="9"/>
        <v>2172.9951186106846</v>
      </c>
      <c r="CF40" s="772">
        <f t="shared" ca="1" si="9"/>
        <v>2048.3074478641083</v>
      </c>
      <c r="CG40" s="772">
        <f t="shared" ca="1" si="9"/>
        <v>1933.8792133617919</v>
      </c>
      <c r="CH40" s="772">
        <f t="shared" ca="1" si="9"/>
        <v>1828.6448470172809</v>
      </c>
      <c r="CI40" s="772">
        <f t="shared" ca="1" si="9"/>
        <v>1828.6448470172809</v>
      </c>
      <c r="CJ40" s="772">
        <f t="shared" ca="1" si="9"/>
        <v>1731.6674703510419</v>
      </c>
    </row>
    <row r="41" spans="1:88" ht="15" customHeight="1">
      <c r="A41" s="770">
        <f>'kc-Wert für Stützen'!C41</f>
        <v>93</v>
      </c>
      <c r="B41" s="768">
        <f ca="1">INDIRECT("'kc-Wert für Stützen'!"&amp;SUBSTITUTE(ADDRESS(MATCH($A41,'kc-Wert für Stützen'!$C:$C,0),MATCH(B$7,'kc-Wert für Stützen'!$A$8:$ES$8,0)+7,4),,))</f>
        <v>2921.2993097919452</v>
      </c>
      <c r="C41" s="768">
        <f ca="1">INDIRECT("'kc-Wert für Stützen'!"&amp;SUBSTITUTE(ADDRESS(MATCH($A41,'kc-Wert für Stützen'!$C:$C,0),MATCH(C$7,'kc-Wert für Stützen'!$A$8:$ES$8,0)+7,4),,))</f>
        <v>2734.2844230343098</v>
      </c>
      <c r="D41" s="768">
        <f ca="1">INDIRECT("'kc-Wert für Stützen'!"&amp;SUBSTITUTE(ADDRESS(MATCH($A41,'kc-Wert für Stützen'!$C:$C,0),MATCH(D$7,'kc-Wert für Stützen'!$A$8:$ES$8,0)+7,4),,))</f>
        <v>2564.0791449574917</v>
      </c>
      <c r="E41" s="768">
        <f ca="1">INDIRECT("'kc-Wert für Stützen'!"&amp;SUBSTITUTE(ADDRESS(MATCH($A41,'kc-Wert für Stützen'!$C:$C,0),MATCH(E$7,'kc-Wert für Stützen'!$A$8:$ES$8,0)+7,4),,))</f>
        <v>2408.8496775939311</v>
      </c>
      <c r="F41" s="768">
        <f ca="1">INDIRECT("'kc-Wert für Stützen'!"&amp;SUBSTITUTE(ADDRESS(MATCH($A41,'kc-Wert für Stützen'!$C:$C,0),MATCH(F$7,'kc-Wert für Stützen'!$A$8:$ES$8,0)+7,4),,))</f>
        <v>2266.9752603856709</v>
      </c>
      <c r="G41" s="768">
        <f ca="1">INDIRECT("'kc-Wert für Stützen'!"&amp;SUBSTITUTE(ADDRESS(MATCH($A41,'kc-Wert für Stützen'!$C:$C,0),MATCH(G$7,'kc-Wert für Stützen'!$A$8:$ES$8,0)+7,4),,))</f>
        <v>2137.028263827588</v>
      </c>
      <c r="H41" s="768">
        <f ca="1">INDIRECT("'kc-Wert für Stützen'!"&amp;SUBSTITUTE(ADDRESS(MATCH($A41,'kc-Wert für Stützen'!$C:$C,0),MATCH(H$7,'kc-Wert für Stützen'!$A$8:$ES$8,0)+7,4),,))</f>
        <v>2017.7529577803177</v>
      </c>
      <c r="I41" s="768">
        <f ca="1">INDIRECT("'kc-Wert für Stützen'!"&amp;SUBSTITUTE(ADDRESS(MATCH($A41,'kc-Wert für Stützen'!$C:$C,0),MATCH(I$7,'kc-Wert für Stützen'!$A$8:$ES$8,0)+7,4),,))</f>
        <v>1908.0449683539503</v>
      </c>
      <c r="J41" s="768">
        <f ca="1">INDIRECT("'kc-Wert für Stützen'!"&amp;SUBSTITUTE(ADDRESS(MATCH($A41,'kc-Wert für Stützen'!$C:$C,0),MATCH(J$7,'kc-Wert für Stützen'!$A$8:$ES$8,0)+7,4),,))</f>
        <v>1806.9323539401698</v>
      </c>
      <c r="K41" s="768">
        <f ca="1">INDIRECT("'kc-Wert für Stützen'!"&amp;SUBSTITUTE(ADDRESS(MATCH($A41,'kc-Wert für Stützen'!$C:$C,0),MATCH(K$7,'kc-Wert für Stützen'!$A$8:$ES$8,0)+7,4),,))</f>
        <v>1713.5586484859498</v>
      </c>
      <c r="L41" s="768">
        <f ca="1">INDIRECT("'kc-Wert für Stützen'!"&amp;SUBSTITUTE(ADDRESS(MATCH($A41,'kc-Wert für Stützen'!$C:$C,0),MATCH(L$7,'kc-Wert für Stützen'!$A$8:$ES$8,0)+7,4),,))</f>
        <v>1627.1679153760008</v>
      </c>
      <c r="M41" s="768">
        <f ca="1">INDIRECT("'kc-Wert für Stützen'!"&amp;SUBSTITUTE(ADDRESS(MATCH($A41,'kc-Wert für Stützen'!$C:$C,0),MATCH(M$7,'kc-Wert für Stützen'!$A$8:$ES$8,0)+7,4),,))</f>
        <v>1547.0917042442125</v>
      </c>
      <c r="N41" s="768">
        <f ca="1">INDIRECT("'kc-Wert für Stützen'!"&amp;SUBSTITUTE(ADDRESS(MATCH($A41,'kc-Wert für Stützen'!$C:$C,0),MATCH(N$7,'kc-Wert für Stützen'!$A$8:$ES$8,0)+7,4),,))</f>
        <v>1472.7377363095434</v>
      </c>
      <c r="O41" s="768">
        <f ca="1">INDIRECT("'kc-Wert für Stützen'!"&amp;SUBSTITUTE(ADDRESS(MATCH($A41,'kc-Wert für Stützen'!$C:$C,0),MATCH(O$7,'kc-Wert für Stützen'!$A$8:$ES$8,0)+7,4),,))</f>
        <v>1403.5801225327368</v>
      </c>
      <c r="P41" s="768">
        <f ca="1">INDIRECT("'kc-Wert für Stützen'!"&amp;SUBSTITUTE(ADDRESS(MATCH($A41,'kc-Wert für Stützen'!$C:$C,0),MATCH(P$7,'kc-Wert für Stützen'!$A$8:$ES$8,0)+7,4),,))</f>
        <v>1339.1509212001952</v>
      </c>
      <c r="S41" s="772">
        <f t="shared" ca="1" si="3"/>
        <v>2564.0791449574917</v>
      </c>
      <c r="T41" s="772">
        <f t="shared" ca="1" si="3"/>
        <v>2564.0791449574917</v>
      </c>
      <c r="U41" s="772">
        <f t="shared" ca="1" si="3"/>
        <v>2564.0791449574917</v>
      </c>
      <c r="V41" s="772">
        <f t="shared" ca="1" si="3"/>
        <v>2408.8496775939311</v>
      </c>
      <c r="W41" s="772">
        <f t="shared" ca="1" si="3"/>
        <v>2266.9752603856709</v>
      </c>
      <c r="X41" s="772">
        <f t="shared" ca="1" si="3"/>
        <v>2137.028263827588</v>
      </c>
      <c r="Y41" s="772">
        <f t="shared" ca="1" si="3"/>
        <v>2017.7529577803177</v>
      </c>
      <c r="Z41" s="772">
        <f t="shared" ca="1" si="3"/>
        <v>2564.0791449574917</v>
      </c>
      <c r="AA41" s="772">
        <f t="shared" ca="1" si="3"/>
        <v>2564.0791449574917</v>
      </c>
      <c r="AB41" s="772">
        <f t="shared" ca="1" si="15"/>
        <v>2408.8496775939311</v>
      </c>
      <c r="AC41" s="772">
        <f t="shared" ca="1" si="15"/>
        <v>2408.8496775939311</v>
      </c>
      <c r="AD41" s="772">
        <f t="shared" ca="1" si="15"/>
        <v>2266.9752603856709</v>
      </c>
      <c r="AE41" s="772">
        <f t="shared" ca="1" si="15"/>
        <v>2266.9752603856709</v>
      </c>
      <c r="AF41" s="772">
        <f t="shared" ca="1" si="15"/>
        <v>2137.028263827588</v>
      </c>
      <c r="AG41" s="772">
        <f t="shared" ca="1" si="15"/>
        <v>2137.028263827588</v>
      </c>
      <c r="AH41" s="772">
        <f t="shared" ca="1" si="15"/>
        <v>2137.028263827588</v>
      </c>
      <c r="AI41" s="772">
        <f t="shared" ca="1" si="15"/>
        <v>2564.0791449574917</v>
      </c>
      <c r="AJ41" s="772">
        <f t="shared" ca="1" si="15"/>
        <v>2564.0791449574917</v>
      </c>
      <c r="AK41" s="772">
        <f t="shared" ca="1" si="15"/>
        <v>2408.8496775939311</v>
      </c>
      <c r="AL41" s="772">
        <f t="shared" ca="1" si="15"/>
        <v>2408.8496775939311</v>
      </c>
      <c r="AM41" s="772">
        <f t="shared" ca="1" si="15"/>
        <v>2266.9752603856709</v>
      </c>
      <c r="AN41" s="772">
        <f t="shared" ca="1" si="15"/>
        <v>2266.9752603856709</v>
      </c>
      <c r="AO41" s="772">
        <f t="shared" ca="1" si="15"/>
        <v>2137.028263827588</v>
      </c>
      <c r="AP41" s="772">
        <f t="shared" ca="1" si="15"/>
        <v>2137.028263827588</v>
      </c>
      <c r="AQ41" s="772">
        <f t="shared" ca="1" si="15"/>
        <v>2137.028263827588</v>
      </c>
      <c r="AR41" s="772">
        <f t="shared" ca="1" si="13"/>
        <v>2564.0791449574917</v>
      </c>
      <c r="AS41" s="772">
        <f t="shared" ca="1" si="13"/>
        <v>2564.0791449574917</v>
      </c>
      <c r="AT41" s="772">
        <f t="shared" ca="1" si="13"/>
        <v>2408.8496775939311</v>
      </c>
      <c r="AU41" s="772">
        <f t="shared" ca="1" si="13"/>
        <v>2408.8496775939311</v>
      </c>
      <c r="AV41" s="772">
        <f t="shared" ca="1" si="13"/>
        <v>2266.9752603856709</v>
      </c>
      <c r="AW41" s="772">
        <f t="shared" ca="1" si="13"/>
        <v>2266.9752603856709</v>
      </c>
      <c r="AX41" s="772">
        <f t="shared" ca="1" si="13"/>
        <v>2137.028263827588</v>
      </c>
      <c r="AY41" s="772">
        <f t="shared" ca="1" si="13"/>
        <v>2137.028263827588</v>
      </c>
      <c r="AZ41" s="772">
        <f t="shared" ca="1" si="13"/>
        <v>2137.028263827588</v>
      </c>
      <c r="BA41" s="772">
        <f t="shared" ca="1" si="13"/>
        <v>2564.0791449574917</v>
      </c>
      <c r="BB41" s="772">
        <f t="shared" ca="1" si="13"/>
        <v>2564.0791449574917</v>
      </c>
      <c r="BC41" s="772">
        <f t="shared" ca="1" si="13"/>
        <v>2408.8496775939311</v>
      </c>
      <c r="BD41" s="772">
        <f t="shared" ca="1" si="13"/>
        <v>2266.9752603856709</v>
      </c>
      <c r="BE41" s="772">
        <f t="shared" ca="1" si="13"/>
        <v>2266.9752603856709</v>
      </c>
      <c r="BF41" s="772">
        <f t="shared" ca="1" si="13"/>
        <v>2137.028263827588</v>
      </c>
      <c r="BG41" s="772">
        <f t="shared" ca="1" si="14"/>
        <v>2137.028263827588</v>
      </c>
      <c r="BH41" s="772">
        <f t="shared" ca="1" si="14"/>
        <v>2017.7529577803177</v>
      </c>
      <c r="BI41" s="772">
        <f t="shared" ca="1" si="14"/>
        <v>2017.7529577803177</v>
      </c>
      <c r="BJ41" s="772">
        <f t="shared" ca="1" si="14"/>
        <v>2408.8496775939311</v>
      </c>
      <c r="BK41" s="772">
        <f t="shared" ca="1" si="14"/>
        <v>2408.8496775939311</v>
      </c>
      <c r="BL41" s="772">
        <f t="shared" ca="1" si="14"/>
        <v>2408.8496775939311</v>
      </c>
      <c r="BM41" s="772">
        <f t="shared" ca="1" si="14"/>
        <v>2408.8496775939311</v>
      </c>
      <c r="BN41" s="772">
        <f t="shared" ca="1" si="14"/>
        <v>2137.028263827588</v>
      </c>
      <c r="BO41" s="772">
        <f t="shared" ca="1" si="10"/>
        <v>2137.028263827588</v>
      </c>
      <c r="BP41" s="772">
        <f t="shared" ca="1" si="10"/>
        <v>2017.7529577803177</v>
      </c>
      <c r="BQ41" s="772">
        <f t="shared" ca="1" si="10"/>
        <v>2017.7529577803177</v>
      </c>
      <c r="BR41" s="772">
        <f t="shared" ca="1" si="10"/>
        <v>1908.0449683539503</v>
      </c>
      <c r="BS41" s="772">
        <f t="shared" ca="1" si="10"/>
        <v>2408.8496775939311</v>
      </c>
      <c r="BT41" s="772">
        <f t="shared" ca="1" si="10"/>
        <v>2408.8496775939311</v>
      </c>
      <c r="BU41" s="772">
        <f t="shared" ca="1" si="10"/>
        <v>2408.8496775939311</v>
      </c>
      <c r="BV41" s="772">
        <f t="shared" ca="1" si="10"/>
        <v>2266.9752603856709</v>
      </c>
      <c r="BW41" s="772">
        <f t="shared" ca="1" si="10"/>
        <v>2266.9752603856709</v>
      </c>
      <c r="BX41" s="772">
        <f t="shared" ca="1" si="9"/>
        <v>2017.7529577803177</v>
      </c>
      <c r="BY41" s="772">
        <f t="shared" ca="1" si="9"/>
        <v>2017.7529577803177</v>
      </c>
      <c r="BZ41" s="772">
        <f t="shared" ca="1" si="9"/>
        <v>1908.0449683539503</v>
      </c>
      <c r="CA41" s="772">
        <f t="shared" ca="1" si="9"/>
        <v>1908.0449683539503</v>
      </c>
      <c r="CB41" s="772">
        <f t="shared" ca="1" si="9"/>
        <v>2266.9752603856709</v>
      </c>
      <c r="CC41" s="772">
        <f t="shared" ca="1" si="9"/>
        <v>2266.9752603856709</v>
      </c>
      <c r="CD41" s="772">
        <f t="shared" ca="1" si="9"/>
        <v>2266.9752603856709</v>
      </c>
      <c r="CE41" s="772">
        <f t="shared" ca="1" si="9"/>
        <v>2266.9752603856709</v>
      </c>
      <c r="CF41" s="772">
        <f t="shared" ca="1" si="9"/>
        <v>2137.028263827588</v>
      </c>
      <c r="CG41" s="772">
        <f t="shared" ca="1" si="9"/>
        <v>2017.7529577803177</v>
      </c>
      <c r="CH41" s="772">
        <f t="shared" ca="1" si="9"/>
        <v>1908.0449683539503</v>
      </c>
      <c r="CI41" s="772">
        <f t="shared" ca="1" si="9"/>
        <v>1908.0449683539503</v>
      </c>
      <c r="CJ41" s="772">
        <f t="shared" ca="1" si="9"/>
        <v>1806.9323539401698</v>
      </c>
    </row>
    <row r="42" spans="1:88" ht="15" customHeight="1">
      <c r="A42" s="770">
        <f>'kc-Wert für Stützen'!C42</f>
        <v>94</v>
      </c>
      <c r="B42" s="768">
        <f ca="1">INDIRECT("'kc-Wert für Stützen'!"&amp;SUBSTITUTE(ADDRESS(MATCH($A42,'kc-Wert für Stützen'!$C:$C,0),MATCH(B$7,'kc-Wert für Stützen'!$A$8:$ES$8,0)+7,4),,))</f>
        <v>3044.9968995902809</v>
      </c>
      <c r="C42" s="768">
        <f ca="1">INDIRECT("'kc-Wert für Stützen'!"&amp;SUBSTITUTE(ADDRESS(MATCH($A42,'kc-Wert für Stützen'!$C:$C,0),MATCH(C$7,'kc-Wert für Stützen'!$A$8:$ES$8,0)+7,4),,))</f>
        <v>2850.4208116665009</v>
      </c>
      <c r="D42" s="768">
        <f ca="1">INDIRECT("'kc-Wert für Stützen'!"&amp;SUBSTITUTE(ADDRESS(MATCH($A42,'kc-Wert für Stützen'!$C:$C,0),MATCH(D$7,'kc-Wert für Stützen'!$A$8:$ES$8,0)+7,4),,))</f>
        <v>2673.2651883552821</v>
      </c>
      <c r="E42" s="768">
        <f ca="1">INDIRECT("'kc-Wert für Stützen'!"&amp;SUBSTITUTE(ADDRESS(MATCH($A42,'kc-Wert für Stützen'!$C:$C,0),MATCH(E$7,'kc-Wert für Stützen'!$A$8:$ES$8,0)+7,4),,))</f>
        <v>2511.6462429824055</v>
      </c>
      <c r="F42" s="768">
        <f ca="1">INDIRECT("'kc-Wert für Stützen'!"&amp;SUBSTITUTE(ADDRESS(MATCH($A42,'kc-Wert für Stützen'!$C:$C,0),MATCH(F$7,'kc-Wert für Stützen'!$A$8:$ES$8,0)+7,4),,))</f>
        <v>2363.8941276659166</v>
      </c>
      <c r="G42" s="768">
        <f ca="1">INDIRECT("'kc-Wert für Stützen'!"&amp;SUBSTITUTE(ADDRESS(MATCH($A42,'kc-Wert für Stützen'!$C:$C,0),MATCH(G$7,'kc-Wert für Stützen'!$A$8:$ES$8,0)+7,4),,))</f>
        <v>2228.5347556273432</v>
      </c>
      <c r="H42" s="768">
        <f ca="1">INDIRECT("'kc-Wert für Stützen'!"&amp;SUBSTITUTE(ADDRESS(MATCH($A42,'kc-Wert für Stützen'!$C:$C,0),MATCH(H$7,'kc-Wert für Stützen'!$A$8:$ES$8,0)+7,4),,))</f>
        <v>2104.2693700407285</v>
      </c>
      <c r="I42" s="768">
        <f ca="1">INDIRECT("'kc-Wert für Stützen'!"&amp;SUBSTITUTE(ADDRESS(MATCH($A42,'kc-Wert für Stützen'!$C:$C,0),MATCH(I$7,'kc-Wert für Stützen'!$A$8:$ES$8,0)+7,4),,))</f>
        <v>1989.9542719222877</v>
      </c>
      <c r="J42" s="768">
        <f ca="1">INDIRECT("'kc-Wert für Stützen'!"&amp;SUBSTITUTE(ADDRESS(MATCH($A42,'kc-Wert für Stützen'!$C:$C,0),MATCH(J$7,'kc-Wert für Stützen'!$A$8:$ES$8,0)+7,4),,))</f>
        <v>1884.5818722870447</v>
      </c>
      <c r="K42" s="768">
        <f ca="1">INDIRECT("'kc-Wert für Stützen'!"&amp;SUBSTITUTE(ADDRESS(MATCH($A42,'kc-Wert für Stützen'!$C:$C,0),MATCH(K$7,'kc-Wert für Stützen'!$A$8:$ES$8,0)+7,4),,))</f>
        <v>1787.2635547925436</v>
      </c>
      <c r="L42" s="768">
        <f ca="1">INDIRECT("'kc-Wert für Stützen'!"&amp;SUBSTITUTE(ADDRESS(MATCH($A42,'kc-Wert für Stützen'!$C:$C,0),MATCH(L$7,'kc-Wert für Stützen'!$A$8:$ES$8,0)+7,4),,))</f>
        <v>1697.2144732093643</v>
      </c>
      <c r="M42" s="768">
        <f ca="1">INDIRECT("'kc-Wert für Stützen'!"&amp;SUBSTITUTE(ADDRESS(MATCH($A42,'kc-Wert für Stützen'!$C:$C,0),MATCH(M$7,'kc-Wert für Stützen'!$A$8:$ES$8,0)+7,4),,))</f>
        <v>1613.7402229909005</v>
      </c>
      <c r="N42" s="768">
        <f ca="1">INDIRECT("'kc-Wert für Stützen'!"&amp;SUBSTITUTE(ADDRESS(MATCH($A42,'kc-Wert für Stützen'!$C:$C,0),MATCH(N$7,'kc-Wert für Stützen'!$A$8:$ES$8,0)+7,4),,))</f>
        <v>1536.225239171486</v>
      </c>
      <c r="O42" s="768">
        <f ca="1">INDIRECT("'kc-Wert für Stützen'!"&amp;SUBSTITUTE(ADDRESS(MATCH($A42,'kc-Wert für Stützen'!$C:$C,0),MATCH(O$7,'kc-Wert für Stützen'!$A$8:$ES$8,0)+7,4),,))</f>
        <v>1464.1227393831209</v>
      </c>
      <c r="P42" s="768">
        <f ca="1">INDIRECT("'kc-Wert für Stützen'!"&amp;SUBSTITUTE(ADDRESS(MATCH($A42,'kc-Wert für Stützen'!$C:$C,0),MATCH(P$7,'kc-Wert für Stützen'!$A$8:$ES$8,0)+7,4),,))</f>
        <v>1396.9460258671547</v>
      </c>
      <c r="S42" s="772">
        <f t="shared" ca="1" si="3"/>
        <v>2673.2651883552821</v>
      </c>
      <c r="T42" s="772">
        <f t="shared" ca="1" si="3"/>
        <v>2673.2651883552821</v>
      </c>
      <c r="U42" s="772">
        <f t="shared" ca="1" si="3"/>
        <v>2673.2651883552821</v>
      </c>
      <c r="V42" s="772">
        <f t="shared" ca="1" si="3"/>
        <v>2511.6462429824055</v>
      </c>
      <c r="W42" s="772">
        <f t="shared" ca="1" si="3"/>
        <v>2363.8941276659166</v>
      </c>
      <c r="X42" s="772">
        <f t="shared" ca="1" si="3"/>
        <v>2228.5347556273432</v>
      </c>
      <c r="Y42" s="772">
        <f t="shared" ca="1" si="3"/>
        <v>2104.2693700407285</v>
      </c>
      <c r="Z42" s="772">
        <f t="shared" ca="1" si="3"/>
        <v>2673.2651883552821</v>
      </c>
      <c r="AA42" s="772">
        <f t="shared" ca="1" si="3"/>
        <v>2673.2651883552821</v>
      </c>
      <c r="AB42" s="772">
        <f t="shared" ca="1" si="15"/>
        <v>2511.6462429824055</v>
      </c>
      <c r="AC42" s="772">
        <f t="shared" ca="1" si="15"/>
        <v>2511.6462429824055</v>
      </c>
      <c r="AD42" s="772">
        <f t="shared" ca="1" si="15"/>
        <v>2363.8941276659166</v>
      </c>
      <c r="AE42" s="772">
        <f t="shared" ca="1" si="15"/>
        <v>2363.8941276659166</v>
      </c>
      <c r="AF42" s="772">
        <f t="shared" ca="1" si="15"/>
        <v>2228.5347556273432</v>
      </c>
      <c r="AG42" s="772">
        <f t="shared" ca="1" si="15"/>
        <v>2228.5347556273432</v>
      </c>
      <c r="AH42" s="772">
        <f t="shared" ca="1" si="15"/>
        <v>2228.5347556273432</v>
      </c>
      <c r="AI42" s="772">
        <f t="shared" ca="1" si="15"/>
        <v>2673.2651883552821</v>
      </c>
      <c r="AJ42" s="772">
        <f t="shared" ca="1" si="15"/>
        <v>2673.2651883552821</v>
      </c>
      <c r="AK42" s="772">
        <f t="shared" ca="1" si="15"/>
        <v>2511.6462429824055</v>
      </c>
      <c r="AL42" s="772">
        <f t="shared" ca="1" si="15"/>
        <v>2511.6462429824055</v>
      </c>
      <c r="AM42" s="772">
        <f t="shared" ca="1" si="15"/>
        <v>2363.8941276659166</v>
      </c>
      <c r="AN42" s="772">
        <f t="shared" ca="1" si="15"/>
        <v>2363.8941276659166</v>
      </c>
      <c r="AO42" s="772">
        <f t="shared" ca="1" si="15"/>
        <v>2228.5347556273432</v>
      </c>
      <c r="AP42" s="772">
        <f t="shared" ca="1" si="15"/>
        <v>2228.5347556273432</v>
      </c>
      <c r="AQ42" s="772">
        <f t="shared" ca="1" si="15"/>
        <v>2228.5347556273432</v>
      </c>
      <c r="AR42" s="772">
        <f t="shared" ca="1" si="13"/>
        <v>2673.2651883552821</v>
      </c>
      <c r="AS42" s="772">
        <f t="shared" ca="1" si="13"/>
        <v>2673.2651883552821</v>
      </c>
      <c r="AT42" s="772">
        <f t="shared" ca="1" si="13"/>
        <v>2511.6462429824055</v>
      </c>
      <c r="AU42" s="772">
        <f t="shared" ca="1" si="13"/>
        <v>2511.6462429824055</v>
      </c>
      <c r="AV42" s="772">
        <f t="shared" ca="1" si="13"/>
        <v>2363.8941276659166</v>
      </c>
      <c r="AW42" s="772">
        <f t="shared" ca="1" si="13"/>
        <v>2363.8941276659166</v>
      </c>
      <c r="AX42" s="772">
        <f t="shared" ca="1" si="13"/>
        <v>2228.5347556273432</v>
      </c>
      <c r="AY42" s="772">
        <f t="shared" ca="1" si="13"/>
        <v>2228.5347556273432</v>
      </c>
      <c r="AZ42" s="772">
        <f t="shared" ca="1" si="13"/>
        <v>2228.5347556273432</v>
      </c>
      <c r="BA42" s="772">
        <f t="shared" ca="1" si="13"/>
        <v>2673.2651883552821</v>
      </c>
      <c r="BB42" s="772">
        <f t="shared" ca="1" si="13"/>
        <v>2673.2651883552821</v>
      </c>
      <c r="BC42" s="772">
        <f t="shared" ca="1" si="13"/>
        <v>2511.6462429824055</v>
      </c>
      <c r="BD42" s="772">
        <f t="shared" ca="1" si="13"/>
        <v>2363.8941276659166</v>
      </c>
      <c r="BE42" s="772">
        <f t="shared" ca="1" si="13"/>
        <v>2363.8941276659166</v>
      </c>
      <c r="BF42" s="772">
        <f t="shared" ca="1" si="13"/>
        <v>2228.5347556273432</v>
      </c>
      <c r="BG42" s="772">
        <f t="shared" ca="1" si="14"/>
        <v>2228.5347556273432</v>
      </c>
      <c r="BH42" s="772">
        <f t="shared" ca="1" si="14"/>
        <v>2104.2693700407285</v>
      </c>
      <c r="BI42" s="772">
        <f t="shared" ca="1" si="14"/>
        <v>2104.2693700407285</v>
      </c>
      <c r="BJ42" s="772">
        <f t="shared" ca="1" si="14"/>
        <v>2511.6462429824055</v>
      </c>
      <c r="BK42" s="772">
        <f t="shared" ca="1" si="14"/>
        <v>2511.6462429824055</v>
      </c>
      <c r="BL42" s="772">
        <f t="shared" ca="1" si="14"/>
        <v>2511.6462429824055</v>
      </c>
      <c r="BM42" s="772">
        <f t="shared" ca="1" si="14"/>
        <v>2511.6462429824055</v>
      </c>
      <c r="BN42" s="772">
        <f t="shared" ca="1" si="14"/>
        <v>2228.5347556273432</v>
      </c>
      <c r="BO42" s="772">
        <f t="shared" ca="1" si="10"/>
        <v>2228.5347556273432</v>
      </c>
      <c r="BP42" s="772">
        <f t="shared" ca="1" si="10"/>
        <v>2104.2693700407285</v>
      </c>
      <c r="BQ42" s="772">
        <f t="shared" ca="1" si="10"/>
        <v>2104.2693700407285</v>
      </c>
      <c r="BR42" s="772">
        <f t="shared" ca="1" si="10"/>
        <v>1989.9542719222877</v>
      </c>
      <c r="BS42" s="772">
        <f t="shared" ca="1" si="10"/>
        <v>2511.6462429824055</v>
      </c>
      <c r="BT42" s="772">
        <f t="shared" ca="1" si="10"/>
        <v>2511.6462429824055</v>
      </c>
      <c r="BU42" s="772">
        <f t="shared" ca="1" si="10"/>
        <v>2511.6462429824055</v>
      </c>
      <c r="BV42" s="772">
        <f t="shared" ca="1" si="10"/>
        <v>2363.8941276659166</v>
      </c>
      <c r="BW42" s="772">
        <f t="shared" ca="1" si="10"/>
        <v>2363.8941276659166</v>
      </c>
      <c r="BX42" s="772">
        <f t="shared" ca="1" si="9"/>
        <v>2104.2693700407285</v>
      </c>
      <c r="BY42" s="772">
        <f t="shared" ca="1" si="9"/>
        <v>2104.2693700407285</v>
      </c>
      <c r="BZ42" s="772">
        <f t="shared" ca="1" si="9"/>
        <v>1989.9542719222877</v>
      </c>
      <c r="CA42" s="772">
        <f t="shared" ca="1" si="9"/>
        <v>1989.9542719222877</v>
      </c>
      <c r="CB42" s="772">
        <f t="shared" ca="1" si="9"/>
        <v>2363.8941276659166</v>
      </c>
      <c r="CC42" s="772">
        <f t="shared" ca="1" si="9"/>
        <v>2363.8941276659166</v>
      </c>
      <c r="CD42" s="772">
        <f t="shared" ca="1" si="9"/>
        <v>2363.8941276659166</v>
      </c>
      <c r="CE42" s="772">
        <f t="shared" ca="1" si="9"/>
        <v>2363.8941276659166</v>
      </c>
      <c r="CF42" s="772">
        <f t="shared" ca="1" si="9"/>
        <v>2228.5347556273432</v>
      </c>
      <c r="CG42" s="772">
        <f t="shared" ca="1" si="9"/>
        <v>2104.2693700407285</v>
      </c>
      <c r="CH42" s="772">
        <f t="shared" ca="1" si="9"/>
        <v>1989.9542719222877</v>
      </c>
      <c r="CI42" s="772">
        <f t="shared" ca="1" si="9"/>
        <v>1989.9542719222877</v>
      </c>
      <c r="CJ42" s="772">
        <f t="shared" ca="1" si="9"/>
        <v>1884.5818722870447</v>
      </c>
    </row>
    <row r="43" spans="1:88" ht="15" customHeight="1">
      <c r="A43" s="770">
        <f>'kc-Wert für Stützen'!C43</f>
        <v>95</v>
      </c>
      <c r="B43" s="768">
        <f ca="1">INDIRECT("'kc-Wert für Stützen'!"&amp;SUBSTITUTE(ADDRESS(MATCH($A43,'kc-Wert für Stützen'!$C:$C,0),MATCH(B$7,'kc-Wert für Stützen'!$A$8:$ES$8,0)+7,4),,))</f>
        <v>3172.4075042166096</v>
      </c>
      <c r="C43" s="768">
        <f ca="1">INDIRECT("'kc-Wert für Stützen'!"&amp;SUBSTITUTE(ADDRESS(MATCH($A43,'kc-Wert für Stützen'!$C:$C,0),MATCH(C$7,'kc-Wert für Stützen'!$A$8:$ES$8,0)+7,4),,))</f>
        <v>2970.0764567180272</v>
      </c>
      <c r="D43" s="768">
        <f ca="1">INDIRECT("'kc-Wert für Stützen'!"&amp;SUBSTITUTE(ADDRESS(MATCH($A43,'kc-Wert für Stützen'!$C:$C,0),MATCH(D$7,'kc-Wert für Stützen'!$A$8:$ES$8,0)+7,4),,))</f>
        <v>2785.7851803151348</v>
      </c>
      <c r="E43" s="768">
        <f ca="1">INDIRECT("'kc-Wert für Stützen'!"&amp;SUBSTITUTE(ADDRESS(MATCH($A43,'kc-Wert für Stützen'!$C:$C,0),MATCH(E$7,'kc-Wert für Stützen'!$A$8:$ES$8,0)+7,4),,))</f>
        <v>2617.6012359208557</v>
      </c>
      <c r="F43" s="768">
        <f ca="1">INDIRECT("'kc-Wert für Stützen'!"&amp;SUBSTITUTE(ADDRESS(MATCH($A43,'kc-Wert für Stützen'!$C:$C,0),MATCH(F$7,'kc-Wert für Stützen'!$A$8:$ES$8,0)+7,4),,))</f>
        <v>2463.8061874438699</v>
      </c>
      <c r="G43" s="768">
        <f ca="1">INDIRECT("'kc-Wert für Stützen'!"&amp;SUBSTITUTE(ADDRESS(MATCH($A43,'kc-Wert für Stützen'!$C:$C,0),MATCH(G$7,'kc-Wert für Stützen'!$A$8:$ES$8,0)+7,4),,))</f>
        <v>2322.8794860117487</v>
      </c>
      <c r="H43" s="768">
        <f ca="1">INDIRECT("'kc-Wert für Stützen'!"&amp;SUBSTITUTE(ADDRESS(MATCH($A43,'kc-Wert für Stützen'!$C:$C,0),MATCH(H$7,'kc-Wert für Stützen'!$A$8:$ES$8,0)+7,4),,))</f>
        <v>2193.4790477158081</v>
      </c>
      <c r="I43" s="768">
        <f ca="1">INDIRECT("'kc-Wert für Stützen'!"&amp;SUBSTITUTE(ADDRESS(MATCH($A43,'kc-Wert für Stützen'!$C:$C,0),MATCH(I$7,'kc-Wert für Stützen'!$A$8:$ES$8,0)+7,4),,))</f>
        <v>2074.4213829700138</v>
      </c>
      <c r="J43" s="768">
        <f ca="1">INDIRECT("'kc-Wert für Stützen'!"&amp;SUBSTITUTE(ADDRESS(MATCH($A43,'kc-Wert für Stützen'!$C:$C,0),MATCH(J$7,'kc-Wert für Stützen'!$A$8:$ES$8,0)+7,4),,))</f>
        <v>1964.6627063604822</v>
      </c>
      <c r="K43" s="768">
        <f ca="1">INDIRECT("'kc-Wert für Stützen'!"&amp;SUBSTITUTE(ADDRESS(MATCH($A43,'kc-Wert für Stützen'!$C:$C,0),MATCH(K$7,'kc-Wert für Stützen'!$A$8:$ES$8,0)+7,4),,))</f>
        <v>1863.2816693371501</v>
      </c>
      <c r="L43" s="768">
        <f ca="1">INDIRECT("'kc-Wert für Stützen'!"&amp;SUBSTITUTE(ADDRESS(MATCH($A43,'kc-Wert für Stützen'!$C:$C,0),MATCH(L$7,'kc-Wert für Stützen'!$A$8:$ES$8,0)+7,4),,))</f>
        <v>1769.4639323264435</v>
      </c>
      <c r="M43" s="768">
        <f ca="1">INDIRECT("'kc-Wert für Stützen'!"&amp;SUBSTITUTE(ADDRESS(MATCH($A43,'kc-Wert für Stützen'!$C:$C,0),MATCH(M$7,'kc-Wert für Stützen'!$A$8:$ES$8,0)+7,4),,))</f>
        <v>1682.4885696003689</v>
      </c>
      <c r="N43" s="768">
        <f ca="1">INDIRECT("'kc-Wert für Stützen'!"&amp;SUBSTITUTE(ADDRESS(MATCH($A43,'kc-Wert für Stützen'!$C:$C,0),MATCH(N$7,'kc-Wert für Stützen'!$A$8:$ES$8,0)+7,4),,))</f>
        <v>1601.716190290213</v>
      </c>
      <c r="O43" s="768">
        <f ca="1">INDIRECT("'kc-Wert für Stützen'!"&amp;SUBSTITUTE(ADDRESS(MATCH($A43,'kc-Wert für Stützen'!$C:$C,0),MATCH(O$7,'kc-Wert für Stützen'!$A$8:$ES$8,0)+7,4),,))</f>
        <v>1526.5786117305336</v>
      </c>
      <c r="P43" s="768">
        <f ca="1">INDIRECT("'kc-Wert für Stützen'!"&amp;SUBSTITUTE(ADDRESS(MATCH($A43,'kc-Wert für Stützen'!$C:$C,0),MATCH(P$7,'kc-Wert für Stützen'!$A$8:$ES$8,0)+7,4),,))</f>
        <v>1456.5699081516404</v>
      </c>
      <c r="S43" s="772">
        <f t="shared" ca="1" si="3"/>
        <v>2785.7851803151348</v>
      </c>
      <c r="T43" s="772">
        <f t="shared" ca="1" si="3"/>
        <v>2785.7851803151348</v>
      </c>
      <c r="U43" s="772">
        <f t="shared" ca="1" si="3"/>
        <v>2785.7851803151348</v>
      </c>
      <c r="V43" s="772">
        <f t="shared" ca="1" si="3"/>
        <v>2617.6012359208557</v>
      </c>
      <c r="W43" s="772">
        <f t="shared" ca="1" si="3"/>
        <v>2463.8061874438699</v>
      </c>
      <c r="X43" s="772">
        <f t="shared" ca="1" si="3"/>
        <v>2322.8794860117487</v>
      </c>
      <c r="Y43" s="772">
        <f t="shared" ca="1" si="3"/>
        <v>2193.4790477158081</v>
      </c>
      <c r="Z43" s="772">
        <f t="shared" ca="1" si="3"/>
        <v>2785.7851803151348</v>
      </c>
      <c r="AA43" s="772">
        <f t="shared" ca="1" si="3"/>
        <v>2785.7851803151348</v>
      </c>
      <c r="AB43" s="772">
        <f t="shared" ca="1" si="15"/>
        <v>2617.6012359208557</v>
      </c>
      <c r="AC43" s="772">
        <f t="shared" ca="1" si="15"/>
        <v>2617.6012359208557</v>
      </c>
      <c r="AD43" s="772">
        <f t="shared" ca="1" si="15"/>
        <v>2463.8061874438699</v>
      </c>
      <c r="AE43" s="772">
        <f t="shared" ca="1" si="15"/>
        <v>2463.8061874438699</v>
      </c>
      <c r="AF43" s="772">
        <f t="shared" ca="1" si="15"/>
        <v>2322.8794860117487</v>
      </c>
      <c r="AG43" s="772">
        <f t="shared" ca="1" si="15"/>
        <v>2322.8794860117487</v>
      </c>
      <c r="AH43" s="772">
        <f t="shared" ca="1" si="15"/>
        <v>2322.8794860117487</v>
      </c>
      <c r="AI43" s="772">
        <f t="shared" ca="1" si="15"/>
        <v>2785.7851803151348</v>
      </c>
      <c r="AJ43" s="772">
        <f t="shared" ca="1" si="15"/>
        <v>2785.7851803151348</v>
      </c>
      <c r="AK43" s="772">
        <f t="shared" ca="1" si="15"/>
        <v>2617.6012359208557</v>
      </c>
      <c r="AL43" s="772">
        <f t="shared" ca="1" si="15"/>
        <v>2617.6012359208557</v>
      </c>
      <c r="AM43" s="772">
        <f t="shared" ca="1" si="15"/>
        <v>2463.8061874438699</v>
      </c>
      <c r="AN43" s="772">
        <f t="shared" ca="1" si="15"/>
        <v>2463.8061874438699</v>
      </c>
      <c r="AO43" s="772">
        <f t="shared" ca="1" si="15"/>
        <v>2322.8794860117487</v>
      </c>
      <c r="AP43" s="772">
        <f t="shared" ca="1" si="15"/>
        <v>2322.8794860117487</v>
      </c>
      <c r="AQ43" s="772">
        <f t="shared" ca="1" si="15"/>
        <v>2322.8794860117487</v>
      </c>
      <c r="AR43" s="772">
        <f t="shared" ca="1" si="13"/>
        <v>2785.7851803151348</v>
      </c>
      <c r="AS43" s="772">
        <f t="shared" ca="1" si="13"/>
        <v>2785.7851803151348</v>
      </c>
      <c r="AT43" s="772">
        <f t="shared" ca="1" si="13"/>
        <v>2617.6012359208557</v>
      </c>
      <c r="AU43" s="772">
        <f t="shared" ca="1" si="13"/>
        <v>2617.6012359208557</v>
      </c>
      <c r="AV43" s="772">
        <f t="shared" ca="1" si="13"/>
        <v>2463.8061874438699</v>
      </c>
      <c r="AW43" s="772">
        <f t="shared" ca="1" si="13"/>
        <v>2463.8061874438699</v>
      </c>
      <c r="AX43" s="772">
        <f t="shared" ca="1" si="13"/>
        <v>2322.8794860117487</v>
      </c>
      <c r="AY43" s="772">
        <f t="shared" ca="1" si="13"/>
        <v>2322.8794860117487</v>
      </c>
      <c r="AZ43" s="772">
        <f t="shared" ca="1" si="13"/>
        <v>2322.8794860117487</v>
      </c>
      <c r="BA43" s="772">
        <f t="shared" ca="1" si="13"/>
        <v>2785.7851803151348</v>
      </c>
      <c r="BB43" s="772">
        <f t="shared" ca="1" si="13"/>
        <v>2785.7851803151348</v>
      </c>
      <c r="BC43" s="772">
        <f t="shared" ca="1" si="13"/>
        <v>2617.6012359208557</v>
      </c>
      <c r="BD43" s="772">
        <f t="shared" ca="1" si="13"/>
        <v>2463.8061874438699</v>
      </c>
      <c r="BE43" s="772">
        <f t="shared" ca="1" si="13"/>
        <v>2463.8061874438699</v>
      </c>
      <c r="BF43" s="772">
        <f t="shared" ca="1" si="13"/>
        <v>2322.8794860117487</v>
      </c>
      <c r="BG43" s="772">
        <f t="shared" ca="1" si="14"/>
        <v>2322.8794860117487</v>
      </c>
      <c r="BH43" s="772">
        <f t="shared" ca="1" si="14"/>
        <v>2193.4790477158081</v>
      </c>
      <c r="BI43" s="772">
        <f t="shared" ca="1" si="14"/>
        <v>2193.4790477158081</v>
      </c>
      <c r="BJ43" s="772">
        <f t="shared" ca="1" si="14"/>
        <v>2617.6012359208557</v>
      </c>
      <c r="BK43" s="772">
        <f t="shared" ca="1" si="14"/>
        <v>2617.6012359208557</v>
      </c>
      <c r="BL43" s="772">
        <f t="shared" ca="1" si="14"/>
        <v>2617.6012359208557</v>
      </c>
      <c r="BM43" s="772">
        <f t="shared" ca="1" si="14"/>
        <v>2617.6012359208557</v>
      </c>
      <c r="BN43" s="772">
        <f t="shared" ca="1" si="14"/>
        <v>2322.8794860117487</v>
      </c>
      <c r="BO43" s="772">
        <f t="shared" ca="1" si="10"/>
        <v>2322.8794860117487</v>
      </c>
      <c r="BP43" s="772">
        <f t="shared" ca="1" si="10"/>
        <v>2193.4790477158081</v>
      </c>
      <c r="BQ43" s="772">
        <f t="shared" ca="1" si="10"/>
        <v>2193.4790477158081</v>
      </c>
      <c r="BR43" s="772">
        <f t="shared" ca="1" si="10"/>
        <v>2074.4213829700138</v>
      </c>
      <c r="BS43" s="772">
        <f t="shared" ca="1" si="10"/>
        <v>2617.6012359208557</v>
      </c>
      <c r="BT43" s="772">
        <f t="shared" ca="1" si="10"/>
        <v>2617.6012359208557</v>
      </c>
      <c r="BU43" s="772">
        <f t="shared" ca="1" si="10"/>
        <v>2617.6012359208557</v>
      </c>
      <c r="BV43" s="772">
        <f t="shared" ca="1" si="10"/>
        <v>2463.8061874438699</v>
      </c>
      <c r="BW43" s="772">
        <f t="shared" ca="1" si="10"/>
        <v>2463.8061874438699</v>
      </c>
      <c r="BX43" s="772">
        <f t="shared" ca="1" si="9"/>
        <v>2193.4790477158081</v>
      </c>
      <c r="BY43" s="772">
        <f t="shared" ca="1" si="9"/>
        <v>2193.4790477158081</v>
      </c>
      <c r="BZ43" s="772">
        <f t="shared" ca="1" si="9"/>
        <v>2074.4213829700138</v>
      </c>
      <c r="CA43" s="772">
        <f t="shared" ca="1" si="9"/>
        <v>2074.4213829700138</v>
      </c>
      <c r="CB43" s="772">
        <f t="shared" ca="1" si="9"/>
        <v>2463.8061874438699</v>
      </c>
      <c r="CC43" s="772">
        <f t="shared" ca="1" si="9"/>
        <v>2463.8061874438699</v>
      </c>
      <c r="CD43" s="772">
        <f t="shared" ca="1" si="9"/>
        <v>2463.8061874438699</v>
      </c>
      <c r="CE43" s="772">
        <f t="shared" ca="1" si="9"/>
        <v>2463.8061874438699</v>
      </c>
      <c r="CF43" s="772">
        <f t="shared" ca="1" si="9"/>
        <v>2322.8794860117487</v>
      </c>
      <c r="CG43" s="772">
        <f t="shared" ca="1" si="9"/>
        <v>2193.4790477158081</v>
      </c>
      <c r="CH43" s="772">
        <f t="shared" ca="1" si="9"/>
        <v>2074.4213829700138</v>
      </c>
      <c r="CI43" s="772">
        <f t="shared" ca="1" si="9"/>
        <v>2074.4213829700138</v>
      </c>
      <c r="CJ43" s="772">
        <f t="shared" ca="1" si="9"/>
        <v>1964.6627063604822</v>
      </c>
    </row>
    <row r="44" spans="1:88" ht="15" customHeight="1">
      <c r="A44" s="770">
        <f>'kc-Wert für Stützen'!C44</f>
        <v>96</v>
      </c>
      <c r="B44" s="768">
        <f ca="1">INDIRECT("'kc-Wert für Stützen'!"&amp;SUBSTITUTE(ADDRESS(MATCH($A44,'kc-Wert für Stützen'!$C:$C,0),MATCH(B$7,'kc-Wert für Stützen'!$A$8:$ES$8,0)+7,4),,))</f>
        <v>3303.5894978566048</v>
      </c>
      <c r="C44" s="768">
        <f ca="1">INDIRECT("'kc-Wert für Stützen'!"&amp;SUBSTITUTE(ADDRESS(MATCH($A44,'kc-Wert für Stützen'!$C:$C,0),MATCH(C$7,'kc-Wert für Stützen'!$A$8:$ES$8,0)+7,4),,))</f>
        <v>3093.3097022878615</v>
      </c>
      <c r="D44" s="768">
        <f ca="1">INDIRECT("'kc-Wert für Stützen'!"&amp;SUBSTITUTE(ADDRESS(MATCH($A44,'kc-Wert für Stützen'!$C:$C,0),MATCH(D$7,'kc-Wert für Stützen'!$A$8:$ES$8,0)+7,4),,))</f>
        <v>2901.6966249912766</v>
      </c>
      <c r="E44" s="768">
        <f ca="1">INDIRECT("'kc-Wert für Stützen'!"&amp;SUBSTITUTE(ADDRESS(MATCH($A44,'kc-Wert für Stützen'!$C:$C,0),MATCH(E$7,'kc-Wert für Stützen'!$A$8:$ES$8,0)+7,4),,))</f>
        <v>2726.7708127897022</v>
      </c>
      <c r="F44" s="768">
        <f ca="1">INDIRECT("'kc-Wert für Stützen'!"&amp;SUBSTITUTE(ADDRESS(MATCH($A44,'kc-Wert für Stützen'!$C:$C,0),MATCH(F$7,'kc-Wert für Stützen'!$A$8:$ES$8,0)+7,4),,))</f>
        <v>2566.7659415777161</v>
      </c>
      <c r="G44" s="768">
        <f ca="1">INDIRECT("'kc-Wert für Stützen'!"&amp;SUBSTITUTE(ADDRESS(MATCH($A44,'kc-Wert für Stützen'!$C:$C,0),MATCH(G$7,'kc-Wert für Stützen'!$A$8:$ES$8,0)+7,4),,))</f>
        <v>2420.1151297947936</v>
      </c>
      <c r="H44" s="768">
        <f ca="1">INDIRECT("'kc-Wert für Stützen'!"&amp;SUBSTITUTE(ADDRESS(MATCH($A44,'kc-Wert für Stützen'!$C:$C,0),MATCH(H$7,'kc-Wert für Stützen'!$A$8:$ES$8,0)+7,4),,))</f>
        <v>2285.4327557009274</v>
      </c>
      <c r="I44" s="768">
        <f ca="1">INDIRECT("'kc-Wert für Stützen'!"&amp;SUBSTITUTE(ADDRESS(MATCH($A44,'kc-Wert für Stützen'!$C:$C,0),MATCH(I$7,'kc-Wert für Stützen'!$A$8:$ES$8,0)+7,4),,))</f>
        <v>2161.4951332960613</v>
      </c>
      <c r="J44" s="768">
        <f ca="1">INDIRECT("'kc-Wert für Stützen'!"&amp;SUBSTITUTE(ADDRESS(MATCH($A44,'kc-Wert für Stützen'!$C:$C,0),MATCH(J$7,'kc-Wert für Stützen'!$A$8:$ES$8,0)+7,4),,))</f>
        <v>2047.2217711132698</v>
      </c>
      <c r="K44" s="768">
        <f ca="1">INDIRECT("'kc-Wert für Stützen'!"&amp;SUBSTITUTE(ADDRESS(MATCH($A44,'kc-Wert für Stützen'!$C:$C,0),MATCH(K$7,'kc-Wert für Stützen'!$A$8:$ES$8,0)+7,4),,))</f>
        <v>1941.658032103566</v>
      </c>
      <c r="L44" s="768">
        <f ca="1">INDIRECT("'kc-Wert für Stützen'!"&amp;SUBSTITUTE(ADDRESS(MATCH($A44,'kc-Wert für Stützen'!$C:$C,0),MATCH(L$7,'kc-Wert für Stützen'!$A$8:$ES$8,0)+7,4),,))</f>
        <v>1843.9595158045809</v>
      </c>
      <c r="M44" s="768">
        <f ca="1">INDIRECT("'kc-Wert für Stützen'!"&amp;SUBSTITUTE(ADDRESS(MATCH($A44,'kc-Wert für Stützen'!$C:$C,0),MATCH(M$7,'kc-Wert für Stützen'!$A$8:$ES$8,0)+7,4),,))</f>
        <v>1753.3782180153903</v>
      </c>
      <c r="N44" s="768">
        <f ca="1">INDIRECT("'kc-Wert für Stützen'!"&amp;SUBSTITUTE(ADDRESS(MATCH($A44,'kc-Wert für Stützen'!$C:$C,0),MATCH(N$7,'kc-Wert für Stützen'!$A$8:$ES$8,0)+7,4),,))</f>
        <v>1669.2503875126315</v>
      </c>
      <c r="O44" s="768">
        <f ca="1">INDIRECT("'kc-Wert für Stützen'!"&amp;SUBSTITUTE(ADDRESS(MATCH($A44,'kc-Wert für Stützen'!$C:$C,0),MATCH(O$7,'kc-Wert für Stützen'!$A$8:$ES$8,0)+7,4),,))</f>
        <v>1590.985936593617</v>
      </c>
      <c r="P44" s="768">
        <f ca="1">INDIRECT("'kc-Wert für Stützen'!"&amp;SUBSTITUTE(ADDRESS(MATCH($A44,'kc-Wert für Stützen'!$C:$C,0),MATCH(P$7,'kc-Wert für Stützen'!$A$8:$ES$8,0)+7,4),,))</f>
        <v>1518.0592396786396</v>
      </c>
      <c r="S44" s="772">
        <f t="shared" ca="1" si="3"/>
        <v>2901.6966249912766</v>
      </c>
      <c r="T44" s="772">
        <f t="shared" ca="1" si="3"/>
        <v>2901.6966249912766</v>
      </c>
      <c r="U44" s="772">
        <f t="shared" ca="1" si="3"/>
        <v>2901.6966249912766</v>
      </c>
      <c r="V44" s="772">
        <f t="shared" ca="1" si="3"/>
        <v>2726.7708127897022</v>
      </c>
      <c r="W44" s="772">
        <f t="shared" ca="1" si="3"/>
        <v>2566.7659415777161</v>
      </c>
      <c r="X44" s="772">
        <f t="shared" ca="1" si="3"/>
        <v>2420.1151297947936</v>
      </c>
      <c r="Y44" s="772">
        <f t="shared" ca="1" si="3"/>
        <v>2285.4327557009274</v>
      </c>
      <c r="Z44" s="772">
        <f t="shared" ca="1" si="3"/>
        <v>2901.6966249912766</v>
      </c>
      <c r="AA44" s="772">
        <f t="shared" ca="1" si="3"/>
        <v>2901.6966249912766</v>
      </c>
      <c r="AB44" s="772">
        <f t="shared" ca="1" si="15"/>
        <v>2726.7708127897022</v>
      </c>
      <c r="AC44" s="772">
        <f t="shared" ca="1" si="15"/>
        <v>2726.7708127897022</v>
      </c>
      <c r="AD44" s="772">
        <f t="shared" ca="1" si="15"/>
        <v>2566.7659415777161</v>
      </c>
      <c r="AE44" s="772">
        <f t="shared" ca="1" si="15"/>
        <v>2566.7659415777161</v>
      </c>
      <c r="AF44" s="772">
        <f t="shared" ca="1" si="15"/>
        <v>2420.1151297947936</v>
      </c>
      <c r="AG44" s="772">
        <f t="shared" ca="1" si="15"/>
        <v>2420.1151297947936</v>
      </c>
      <c r="AH44" s="772">
        <f t="shared" ca="1" si="15"/>
        <v>2420.1151297947936</v>
      </c>
      <c r="AI44" s="772">
        <f t="shared" ca="1" si="15"/>
        <v>2901.6966249912766</v>
      </c>
      <c r="AJ44" s="772">
        <f t="shared" ca="1" si="15"/>
        <v>2901.6966249912766</v>
      </c>
      <c r="AK44" s="772">
        <f t="shared" ca="1" si="15"/>
        <v>2726.7708127897022</v>
      </c>
      <c r="AL44" s="772">
        <f t="shared" ca="1" si="15"/>
        <v>2726.7708127897022</v>
      </c>
      <c r="AM44" s="772">
        <f t="shared" ca="1" si="15"/>
        <v>2566.7659415777161</v>
      </c>
      <c r="AN44" s="772">
        <f t="shared" ca="1" si="15"/>
        <v>2566.7659415777161</v>
      </c>
      <c r="AO44" s="772">
        <f t="shared" ca="1" si="15"/>
        <v>2420.1151297947936</v>
      </c>
      <c r="AP44" s="772">
        <f t="shared" ca="1" si="15"/>
        <v>2420.1151297947936</v>
      </c>
      <c r="AQ44" s="772">
        <f t="shared" ca="1" si="15"/>
        <v>2420.1151297947936</v>
      </c>
      <c r="AR44" s="772">
        <f t="shared" ca="1" si="13"/>
        <v>2901.6966249912766</v>
      </c>
      <c r="AS44" s="772">
        <f t="shared" ca="1" si="13"/>
        <v>2901.6966249912766</v>
      </c>
      <c r="AT44" s="772">
        <f t="shared" ca="1" si="13"/>
        <v>2726.7708127897022</v>
      </c>
      <c r="AU44" s="772">
        <f t="shared" ca="1" si="13"/>
        <v>2726.7708127897022</v>
      </c>
      <c r="AV44" s="772">
        <f t="shared" ca="1" si="13"/>
        <v>2566.7659415777161</v>
      </c>
      <c r="AW44" s="772">
        <f t="shared" ca="1" si="13"/>
        <v>2566.7659415777161</v>
      </c>
      <c r="AX44" s="772">
        <f t="shared" ca="1" si="13"/>
        <v>2420.1151297947936</v>
      </c>
      <c r="AY44" s="772">
        <f t="shared" ca="1" si="13"/>
        <v>2420.1151297947936</v>
      </c>
      <c r="AZ44" s="772">
        <f t="shared" ca="1" si="13"/>
        <v>2420.1151297947936</v>
      </c>
      <c r="BA44" s="772">
        <f t="shared" ca="1" si="13"/>
        <v>2901.6966249912766</v>
      </c>
      <c r="BB44" s="772">
        <f t="shared" ca="1" si="13"/>
        <v>2901.6966249912766</v>
      </c>
      <c r="BC44" s="772">
        <f t="shared" ca="1" si="13"/>
        <v>2726.7708127897022</v>
      </c>
      <c r="BD44" s="772">
        <f t="shared" ca="1" si="13"/>
        <v>2566.7659415777161</v>
      </c>
      <c r="BE44" s="772">
        <f t="shared" ca="1" si="13"/>
        <v>2566.7659415777161</v>
      </c>
      <c r="BF44" s="772">
        <f t="shared" ca="1" si="13"/>
        <v>2420.1151297947936</v>
      </c>
      <c r="BG44" s="772">
        <f t="shared" ca="1" si="14"/>
        <v>2420.1151297947936</v>
      </c>
      <c r="BH44" s="772">
        <f t="shared" ca="1" si="14"/>
        <v>2285.4327557009274</v>
      </c>
      <c r="BI44" s="772">
        <f t="shared" ca="1" si="14"/>
        <v>2285.4327557009274</v>
      </c>
      <c r="BJ44" s="772">
        <f t="shared" ca="1" si="14"/>
        <v>2726.7708127897022</v>
      </c>
      <c r="BK44" s="772">
        <f t="shared" ca="1" si="14"/>
        <v>2726.7708127897022</v>
      </c>
      <c r="BL44" s="772">
        <f t="shared" ca="1" si="14"/>
        <v>2726.7708127897022</v>
      </c>
      <c r="BM44" s="772">
        <f t="shared" ca="1" si="14"/>
        <v>2726.7708127897022</v>
      </c>
      <c r="BN44" s="772">
        <f t="shared" ca="1" si="14"/>
        <v>2420.1151297947936</v>
      </c>
      <c r="BO44" s="772">
        <f t="shared" ca="1" si="10"/>
        <v>2420.1151297947936</v>
      </c>
      <c r="BP44" s="772">
        <f t="shared" ca="1" si="10"/>
        <v>2285.4327557009274</v>
      </c>
      <c r="BQ44" s="772">
        <f t="shared" ca="1" si="10"/>
        <v>2285.4327557009274</v>
      </c>
      <c r="BR44" s="772">
        <f t="shared" ca="1" si="10"/>
        <v>2161.4951332960613</v>
      </c>
      <c r="BS44" s="772">
        <f t="shared" ca="1" si="10"/>
        <v>2726.7708127897022</v>
      </c>
      <c r="BT44" s="772">
        <f t="shared" ca="1" si="10"/>
        <v>2726.7708127897022</v>
      </c>
      <c r="BU44" s="772">
        <f t="shared" ca="1" si="10"/>
        <v>2726.7708127897022</v>
      </c>
      <c r="BV44" s="772">
        <f t="shared" ca="1" si="10"/>
        <v>2566.7659415777161</v>
      </c>
      <c r="BW44" s="772">
        <f t="shared" ca="1" si="10"/>
        <v>2566.7659415777161</v>
      </c>
      <c r="BX44" s="772">
        <f t="shared" ca="1" si="9"/>
        <v>2285.4327557009274</v>
      </c>
      <c r="BY44" s="772">
        <f t="shared" ca="1" si="9"/>
        <v>2285.4327557009274</v>
      </c>
      <c r="BZ44" s="772">
        <f t="shared" ca="1" si="9"/>
        <v>2161.4951332960613</v>
      </c>
      <c r="CA44" s="772">
        <f t="shared" ca="1" si="9"/>
        <v>2161.4951332960613</v>
      </c>
      <c r="CB44" s="772">
        <f t="shared" ca="1" si="9"/>
        <v>2566.7659415777161</v>
      </c>
      <c r="CC44" s="772">
        <f t="shared" ca="1" si="9"/>
        <v>2566.7659415777161</v>
      </c>
      <c r="CD44" s="772">
        <f t="shared" ca="1" si="9"/>
        <v>2566.7659415777161</v>
      </c>
      <c r="CE44" s="772">
        <f t="shared" ca="1" si="9"/>
        <v>2566.7659415777161</v>
      </c>
      <c r="CF44" s="772">
        <f t="shared" ca="1" si="9"/>
        <v>2420.1151297947936</v>
      </c>
      <c r="CG44" s="772">
        <f t="shared" ca="1" si="9"/>
        <v>2285.4327557009274</v>
      </c>
      <c r="CH44" s="772">
        <f t="shared" ca="1" si="9"/>
        <v>2161.4951332960613</v>
      </c>
      <c r="CI44" s="772">
        <f t="shared" ca="1" si="9"/>
        <v>2161.4951332960613</v>
      </c>
      <c r="CJ44" s="772">
        <f t="shared" ca="1" si="9"/>
        <v>2047.2217711132698</v>
      </c>
    </row>
    <row r="45" spans="1:88" ht="15" customHeight="1">
      <c r="A45" s="770">
        <f>'kc-Wert für Stützen'!C45</f>
        <v>97</v>
      </c>
      <c r="B45" s="768">
        <f ca="1">INDIRECT("'kc-Wert für Stützen'!"&amp;SUBSTITUTE(ADDRESS(MATCH($A45,'kc-Wert für Stützen'!$C:$C,0),MATCH(B$7,'kc-Wert für Stützen'!$A$8:$ES$8,0)+7,4),,))</f>
        <v>3438.6004402800791</v>
      </c>
      <c r="C45" s="768">
        <f ca="1">INDIRECT("'kc-Wert für Stützen'!"&amp;SUBSTITUTE(ADDRESS(MATCH($A45,'kc-Wert für Stützen'!$C:$C,0),MATCH(C$7,'kc-Wert für Stützen'!$A$8:$ES$8,0)+7,4),,))</f>
        <v>3220.1783926651106</v>
      </c>
      <c r="D45" s="768">
        <f ca="1">INDIRECT("'kc-Wert für Stützen'!"&amp;SUBSTITUTE(ADDRESS(MATCH($A45,'kc-Wert für Stützen'!$C:$C,0),MATCH(D$7,'kc-Wert für Stützen'!$A$8:$ES$8,0)+7,4),,))</f>
        <v>3021.0567515055068</v>
      </c>
      <c r="E45" s="768">
        <f ca="1">INDIRECT("'kc-Wert für Stützen'!"&amp;SUBSTITUTE(ADDRESS(MATCH($A45,'kc-Wert für Stützen'!$C:$C,0),MATCH(E$7,'kc-Wert für Stützen'!$A$8:$ES$8,0)+7,4),,))</f>
        <v>2839.2110162791755</v>
      </c>
      <c r="F45" s="768">
        <f ca="1">INDIRECT("'kc-Wert für Stützen'!"&amp;SUBSTITUTE(ADDRESS(MATCH($A45,'kc-Wert für Stützen'!$C:$C,0),MATCH(F$7,'kc-Wert für Stützen'!$A$8:$ES$8,0)+7,4),,))</f>
        <v>2672.8278944244903</v>
      </c>
      <c r="G45" s="768">
        <f ca="1">INDIRECT("'kc-Wert für Stützen'!"&amp;SUBSTITUTE(ADDRESS(MATCH($A45,'kc-Wert für Stützen'!$C:$C,0),MATCH(G$7,'kc-Wert für Stützen'!$A$8:$ES$8,0)+7,4),,))</f>
        <v>2520.2944480505498</v>
      </c>
      <c r="H45" s="768">
        <f ca="1">INDIRECT("'kc-Wert für Stützen'!"&amp;SUBSTITUTE(ADDRESS(MATCH($A45,'kc-Wert für Stützen'!$C:$C,0),MATCH(H$7,'kc-Wert für Stützen'!$A$8:$ES$8,0)+7,4),,))</f>
        <v>2380.1814054142924</v>
      </c>
      <c r="I45" s="768">
        <f ca="1">INDIRECT("'kc-Wert für Stützen'!"&amp;SUBSTITUTE(ADDRESS(MATCH($A45,'kc-Wert für Stützen'!$C:$C,0),MATCH(I$7,'kc-Wert für Stützen'!$A$8:$ES$8,0)+7,4),,))</f>
        <v>2251.2245443120764</v>
      </c>
      <c r="J45" s="768">
        <f ca="1">INDIRECT("'kc-Wert für Stützen'!"&amp;SUBSTITUTE(ADDRESS(MATCH($A45,'kc-Wert für Stützen'!$C:$C,0),MATCH(J$7,'kc-Wert für Stützen'!$A$8:$ES$8,0)+7,4),,))</f>
        <v>2132.30620155416</v>
      </c>
      <c r="K45" s="768">
        <f ca="1">INDIRECT("'kc-Wert für Stützen'!"&amp;SUBSTITUTE(ADDRESS(MATCH($A45,'kc-Wert für Stützen'!$C:$C,0),MATCH(K$7,'kc-Wert für Stützen'!$A$8:$ES$8,0)+7,4),,))</f>
        <v>2022.4379241993252</v>
      </c>
      <c r="L45" s="768">
        <f ca="1">INDIRECT("'kc-Wert für Stützen'!"&amp;SUBSTITUTE(ADDRESS(MATCH($A45,'kc-Wert für Stützen'!$C:$C,0),MATCH(L$7,'kc-Wert für Stützen'!$A$8:$ES$8,0)+7,4),,))</f>
        <v>1920.7447019240747</v>
      </c>
      <c r="M45" s="768">
        <f ca="1">INDIRECT("'kc-Wert für Stützen'!"&amp;SUBSTITUTE(ADDRESS(MATCH($A45,'kc-Wert für Stützen'!$C:$C,0),MATCH(M$7,'kc-Wert für Stützen'!$A$8:$ES$8,0)+7,4),,))</f>
        <v>1826.4509062298439</v>
      </c>
      <c r="N45" s="768">
        <f ca="1">INDIRECT("'kc-Wert für Stützen'!"&amp;SUBSTITUTE(ADDRESS(MATCH($A45,'kc-Wert für Stützen'!$C:$C,0),MATCH(N$7,'kc-Wert für Stützen'!$A$8:$ES$8,0)+7,4),,))</f>
        <v>1738.8678976588003</v>
      </c>
      <c r="O45" s="768">
        <f ca="1">INDIRECT("'kc-Wert für Stützen'!"&amp;SUBSTITUTE(ADDRESS(MATCH($A45,'kc-Wert für Stützen'!$C:$C,0),MATCH(O$7,'kc-Wert für Stützen'!$A$8:$ES$8,0)+7,4),,))</f>
        <v>1657.3831819364616</v>
      </c>
      <c r="P45" s="768">
        <f ca="1">INDIRECT("'kc-Wert für Stützen'!"&amp;SUBSTITUTE(ADDRESS(MATCH($A45,'kc-Wert für Stützen'!$C:$C,0),MATCH(P$7,'kc-Wert für Stützen'!$A$8:$ES$8,0)+7,4),,))</f>
        <v>1581.450962776717</v>
      </c>
      <c r="S45" s="772">
        <f t="shared" ca="1" si="3"/>
        <v>3021.0567515055068</v>
      </c>
      <c r="T45" s="772">
        <f t="shared" ca="1" si="3"/>
        <v>3021.0567515055068</v>
      </c>
      <c r="U45" s="772">
        <f t="shared" ca="1" si="3"/>
        <v>3021.0567515055068</v>
      </c>
      <c r="V45" s="772">
        <f t="shared" ca="1" si="3"/>
        <v>2839.2110162791755</v>
      </c>
      <c r="W45" s="772">
        <f t="shared" ca="1" si="3"/>
        <v>2672.8278944244903</v>
      </c>
      <c r="X45" s="772">
        <f t="shared" ca="1" si="3"/>
        <v>2520.2944480505498</v>
      </c>
      <c r="Y45" s="772">
        <f t="shared" ca="1" si="3"/>
        <v>2380.1814054142924</v>
      </c>
      <c r="Z45" s="772">
        <f t="shared" ca="1" si="3"/>
        <v>3021.0567515055068</v>
      </c>
      <c r="AA45" s="772">
        <f t="shared" ca="1" si="3"/>
        <v>3021.0567515055068</v>
      </c>
      <c r="AB45" s="772">
        <f t="shared" ca="1" si="15"/>
        <v>2839.2110162791755</v>
      </c>
      <c r="AC45" s="772">
        <f t="shared" ca="1" si="15"/>
        <v>2839.2110162791755</v>
      </c>
      <c r="AD45" s="772">
        <f t="shared" ca="1" si="15"/>
        <v>2672.8278944244903</v>
      </c>
      <c r="AE45" s="772">
        <f t="shared" ca="1" si="15"/>
        <v>2672.8278944244903</v>
      </c>
      <c r="AF45" s="772">
        <f t="shared" ca="1" si="15"/>
        <v>2520.2944480505498</v>
      </c>
      <c r="AG45" s="772">
        <f t="shared" ca="1" si="15"/>
        <v>2520.2944480505498</v>
      </c>
      <c r="AH45" s="772">
        <f t="shared" ca="1" si="15"/>
        <v>2520.2944480505498</v>
      </c>
      <c r="AI45" s="772">
        <f t="shared" ca="1" si="15"/>
        <v>3021.0567515055068</v>
      </c>
      <c r="AJ45" s="772">
        <f t="shared" ca="1" si="15"/>
        <v>3021.0567515055068</v>
      </c>
      <c r="AK45" s="772">
        <f t="shared" ca="1" si="15"/>
        <v>2839.2110162791755</v>
      </c>
      <c r="AL45" s="772">
        <f t="shared" ca="1" si="15"/>
        <v>2839.2110162791755</v>
      </c>
      <c r="AM45" s="772">
        <f t="shared" ca="1" si="15"/>
        <v>2672.8278944244903</v>
      </c>
      <c r="AN45" s="772">
        <f t="shared" ca="1" si="15"/>
        <v>2672.8278944244903</v>
      </c>
      <c r="AO45" s="772">
        <f t="shared" ca="1" si="15"/>
        <v>2520.2944480505498</v>
      </c>
      <c r="AP45" s="772">
        <f t="shared" ca="1" si="15"/>
        <v>2520.2944480505498</v>
      </c>
      <c r="AQ45" s="772">
        <f t="shared" ca="1" si="15"/>
        <v>2520.2944480505498</v>
      </c>
      <c r="AR45" s="772">
        <f t="shared" ca="1" si="13"/>
        <v>3021.0567515055068</v>
      </c>
      <c r="AS45" s="772">
        <f t="shared" ca="1" si="13"/>
        <v>3021.0567515055068</v>
      </c>
      <c r="AT45" s="772">
        <f t="shared" ca="1" si="13"/>
        <v>2839.2110162791755</v>
      </c>
      <c r="AU45" s="772">
        <f t="shared" ca="1" si="13"/>
        <v>2839.2110162791755</v>
      </c>
      <c r="AV45" s="772">
        <f t="shared" ca="1" si="13"/>
        <v>2672.8278944244903</v>
      </c>
      <c r="AW45" s="772">
        <f t="shared" ca="1" si="13"/>
        <v>2672.8278944244903</v>
      </c>
      <c r="AX45" s="772">
        <f t="shared" ca="1" si="13"/>
        <v>2520.2944480505498</v>
      </c>
      <c r="AY45" s="772">
        <f t="shared" ca="1" si="13"/>
        <v>2520.2944480505498</v>
      </c>
      <c r="AZ45" s="772">
        <f t="shared" ca="1" si="13"/>
        <v>2520.2944480505498</v>
      </c>
      <c r="BA45" s="772">
        <f t="shared" ca="1" si="13"/>
        <v>3021.0567515055068</v>
      </c>
      <c r="BB45" s="772">
        <f t="shared" ca="1" si="13"/>
        <v>3021.0567515055068</v>
      </c>
      <c r="BC45" s="772">
        <f t="shared" ca="1" si="13"/>
        <v>2839.2110162791755</v>
      </c>
      <c r="BD45" s="772">
        <f t="shared" ca="1" si="13"/>
        <v>2672.8278944244903</v>
      </c>
      <c r="BE45" s="772">
        <f t="shared" ca="1" si="13"/>
        <v>2672.8278944244903</v>
      </c>
      <c r="BF45" s="772">
        <f t="shared" ca="1" si="13"/>
        <v>2520.2944480505498</v>
      </c>
      <c r="BG45" s="772">
        <f t="shared" ca="1" si="14"/>
        <v>2520.2944480505498</v>
      </c>
      <c r="BH45" s="772">
        <f t="shared" ca="1" si="14"/>
        <v>2380.1814054142924</v>
      </c>
      <c r="BI45" s="772">
        <f t="shared" ca="1" si="14"/>
        <v>2380.1814054142924</v>
      </c>
      <c r="BJ45" s="772">
        <f t="shared" ca="1" si="14"/>
        <v>2839.2110162791755</v>
      </c>
      <c r="BK45" s="772">
        <f t="shared" ca="1" si="14"/>
        <v>2839.2110162791755</v>
      </c>
      <c r="BL45" s="772">
        <f t="shared" ca="1" si="14"/>
        <v>2839.2110162791755</v>
      </c>
      <c r="BM45" s="772">
        <f t="shared" ca="1" si="14"/>
        <v>2839.2110162791755</v>
      </c>
      <c r="BN45" s="772">
        <f t="shared" ca="1" si="14"/>
        <v>2520.2944480505498</v>
      </c>
      <c r="BO45" s="772">
        <f t="shared" ca="1" si="10"/>
        <v>2520.2944480505498</v>
      </c>
      <c r="BP45" s="772">
        <f t="shared" ca="1" si="10"/>
        <v>2380.1814054142924</v>
      </c>
      <c r="BQ45" s="772">
        <f t="shared" ca="1" si="10"/>
        <v>2380.1814054142924</v>
      </c>
      <c r="BR45" s="772">
        <f t="shared" ca="1" si="10"/>
        <v>2251.2245443120764</v>
      </c>
      <c r="BS45" s="772">
        <f t="shared" ca="1" si="10"/>
        <v>2839.2110162791755</v>
      </c>
      <c r="BT45" s="772">
        <f t="shared" ca="1" si="10"/>
        <v>2839.2110162791755</v>
      </c>
      <c r="BU45" s="772">
        <f t="shared" ca="1" si="10"/>
        <v>2839.2110162791755</v>
      </c>
      <c r="BV45" s="772">
        <f t="shared" ca="1" si="10"/>
        <v>2672.8278944244903</v>
      </c>
      <c r="BW45" s="772">
        <f t="shared" ca="1" si="10"/>
        <v>2672.8278944244903</v>
      </c>
      <c r="BX45" s="772">
        <f t="shared" ca="1" si="9"/>
        <v>2380.1814054142924</v>
      </c>
      <c r="BY45" s="772">
        <f t="shared" ca="1" si="9"/>
        <v>2380.1814054142924</v>
      </c>
      <c r="BZ45" s="772">
        <f t="shared" ca="1" si="9"/>
        <v>2251.2245443120764</v>
      </c>
      <c r="CA45" s="772">
        <f t="shared" ca="1" si="9"/>
        <v>2251.2245443120764</v>
      </c>
      <c r="CB45" s="772">
        <f t="shared" ca="1" si="9"/>
        <v>2672.8278944244903</v>
      </c>
      <c r="CC45" s="772">
        <f t="shared" ca="1" si="9"/>
        <v>2672.8278944244903</v>
      </c>
      <c r="CD45" s="772">
        <f t="shared" ca="1" si="9"/>
        <v>2672.8278944244903</v>
      </c>
      <c r="CE45" s="772">
        <f t="shared" ca="1" si="9"/>
        <v>2672.8278944244903</v>
      </c>
      <c r="CF45" s="772">
        <f t="shared" ca="1" si="9"/>
        <v>2520.2944480505498</v>
      </c>
      <c r="CG45" s="772">
        <f t="shared" ca="1" si="9"/>
        <v>2380.1814054142924</v>
      </c>
      <c r="CH45" s="772">
        <f t="shared" ca="1" si="9"/>
        <v>2251.2245443120764</v>
      </c>
      <c r="CI45" s="772">
        <f t="shared" ca="1" si="9"/>
        <v>2251.2245443120764</v>
      </c>
      <c r="CJ45" s="772">
        <f t="shared" ca="1" si="9"/>
        <v>2132.30620155416</v>
      </c>
    </row>
    <row r="46" spans="1:88" ht="15" customHeight="1">
      <c r="A46" s="770">
        <f>'kc-Wert für Stützen'!C46</f>
        <v>98</v>
      </c>
      <c r="B46" s="768">
        <f ca="1">INDIRECT("'kc-Wert für Stützen'!"&amp;SUBSTITUTE(ADDRESS(MATCH($A46,'kc-Wert für Stützen'!$C:$C,0),MATCH(B$7,'kc-Wert für Stützen'!$A$8:$ES$8,0)+7,4),,))</f>
        <v>3577.496982307593</v>
      </c>
      <c r="C46" s="768">
        <f ca="1">INDIRECT("'kc-Wert für Stützen'!"&amp;SUBSTITUTE(ADDRESS(MATCH($A46,'kc-Wert für Stützen'!$C:$C,0),MATCH(C$7,'kc-Wert für Stützen'!$A$8:$ES$8,0)+7,4),,))</f>
        <v>3350.7398003528424</v>
      </c>
      <c r="D46" s="768">
        <f ca="1">INDIRECT("'kc-Wert für Stützen'!"&amp;SUBSTITUTE(ADDRESS(MATCH($A46,'kc-Wert für Stützen'!$C:$C,0),MATCH(D$7,'kc-Wert für Stützen'!$A$8:$ES$8,0)+7,4),,))</f>
        <v>3143.9224585725428</v>
      </c>
      <c r="E46" s="768">
        <f ca="1">INDIRECT("'kc-Wert für Stützen'!"&amp;SUBSTITUTE(ADDRESS(MATCH($A46,'kc-Wert für Stützen'!$C:$C,0),MATCH(E$7,'kc-Wert für Stützen'!$A$8:$ES$8,0)+7,4),,))</f>
        <v>2954.9777322998707</v>
      </c>
      <c r="F46" s="768">
        <f ca="1">INDIRECT("'kc-Wert für Stützen'!"&amp;SUBSTITUTE(ADDRESS(MATCH($A46,'kc-Wert für Stützen'!$C:$C,0),MATCH(F$7,'kc-Wert für Stützen'!$A$8:$ES$8,0)+7,4),,))</f>
        <v>2782.0465189205584</v>
      </c>
      <c r="G46" s="768">
        <f ca="1">INDIRECT("'kc-Wert für Stützen'!"&amp;SUBSTITUTE(ADDRESS(MATCH($A46,'kc-Wert für Stützen'!$C:$C,0),MATCH(G$7,'kc-Wert für Stützen'!$A$8:$ES$8,0)+7,4),,))</f>
        <v>2623.4702611081657</v>
      </c>
      <c r="H46" s="768">
        <f ca="1">INDIRECT("'kc-Wert für Stützen'!"&amp;SUBSTITUTE(ADDRESS(MATCH($A46,'kc-Wert für Stützen'!$C:$C,0),MATCH(H$7,'kc-Wert für Stützen'!$A$8:$ES$8,0)+7,4),,))</f>
        <v>2477.7760330621245</v>
      </c>
      <c r="I46" s="768">
        <f ca="1">INDIRECT("'kc-Wert für Stützen'!"&amp;SUBSTITUTE(ADDRESS(MATCH($A46,'kc-Wert für Stützen'!$C:$C,0),MATCH(I$7,'kc-Wert für Stützen'!$A$8:$ES$8,0)+7,4),,))</f>
        <v>2343.6588093682212</v>
      </c>
      <c r="J46" s="768">
        <f ca="1">INDIRECT("'kc-Wert für Stützen'!"&amp;SUBSTITUTE(ADDRESS(MATCH($A46,'kc-Wert für Stützen'!$C:$C,0),MATCH(J$7,'kc-Wert für Stützen'!$A$8:$ES$8,0)+7,4),,))</f>
        <v>2219.9633382357028</v>
      </c>
      <c r="K46" s="768">
        <f ca="1">INDIRECT("'kc-Wert für Stützen'!"&amp;SUBSTITUTE(ADDRESS(MATCH($A46,'kc-Wert für Stützen'!$C:$C,0),MATCH(K$7,'kc-Wert für Stützen'!$A$8:$ES$8,0)+7,4),,))</f>
        <v>2105.6668558311399</v>
      </c>
      <c r="L46" s="768">
        <f ca="1">INDIRECT("'kc-Wert für Stützen'!"&amp;SUBSTITUTE(ADDRESS(MATCH($A46,'kc-Wert für Stützen'!$C:$C,0),MATCH(L$7,'kc-Wert für Stützen'!$A$8:$ES$8,0)+7,4),,))</f>
        <v>1999.8632141198357</v>
      </c>
      <c r="M46" s="768">
        <f ca="1">INDIRECT("'kc-Wert für Stützen'!"&amp;SUBSTITUTE(ADDRESS(MATCH($A46,'kc-Wert für Stützen'!$C:$C,0),MATCH(M$7,'kc-Wert für Stützen'!$A$8:$ES$8,0)+7,4),,))</f>
        <v>1901.7486278249423</v>
      </c>
      <c r="N46" s="768">
        <f ca="1">INDIRECT("'kc-Wert für Stützen'!"&amp;SUBSTITUTE(ADDRESS(MATCH($A46,'kc-Wert für Stützen'!$C:$C,0),MATCH(N$7,'kc-Wert für Stützen'!$A$8:$ES$8,0)+7,4),,))</f>
        <v>1810.6090493398385</v>
      </c>
      <c r="O46" s="768">
        <f ca="1">INDIRECT("'kc-Wert für Stützen'!"&amp;SUBSTITUTE(ADDRESS(MATCH($A46,'kc-Wert für Stützen'!$C:$C,0),MATCH(O$7,'kc-Wert für Stützen'!$A$8:$ES$8,0)+7,4),,))</f>
        <v>1725.8090805318081</v>
      </c>
      <c r="P46" s="768">
        <f ca="1">INDIRECT("'kc-Wert für Stützen'!"&amp;SUBSTITUTE(ADDRESS(MATCH($A46,'kc-Wert für Stützen'!$C:$C,0),MATCH(P$7,'kc-Wert für Stützen'!$A$8:$ES$8,0)+7,4),,))</f>
        <v>1646.7822852003765</v>
      </c>
      <c r="S46" s="772">
        <f t="shared" ca="1" si="3"/>
        <v>3143.9224585725428</v>
      </c>
      <c r="T46" s="772">
        <f t="shared" ca="1" si="3"/>
        <v>3143.9224585725428</v>
      </c>
      <c r="U46" s="772">
        <f t="shared" ca="1" si="3"/>
        <v>3143.9224585725428</v>
      </c>
      <c r="V46" s="772">
        <f t="shared" ca="1" si="3"/>
        <v>2954.9777322998707</v>
      </c>
      <c r="W46" s="772">
        <f t="shared" ca="1" si="3"/>
        <v>2782.0465189205584</v>
      </c>
      <c r="X46" s="772">
        <f t="shared" ca="1" si="3"/>
        <v>2623.4702611081657</v>
      </c>
      <c r="Y46" s="772">
        <f t="shared" ca="1" si="3"/>
        <v>2477.7760330621245</v>
      </c>
      <c r="Z46" s="772">
        <f t="shared" ca="1" si="3"/>
        <v>3143.9224585725428</v>
      </c>
      <c r="AA46" s="772">
        <f t="shared" ca="1" si="3"/>
        <v>3143.9224585725428</v>
      </c>
      <c r="AB46" s="772">
        <f t="shared" ca="1" si="15"/>
        <v>2954.9777322998707</v>
      </c>
      <c r="AC46" s="772">
        <f t="shared" ca="1" si="15"/>
        <v>2954.9777322998707</v>
      </c>
      <c r="AD46" s="772">
        <f t="shared" ca="1" si="15"/>
        <v>2782.0465189205584</v>
      </c>
      <c r="AE46" s="772">
        <f t="shared" ca="1" si="15"/>
        <v>2782.0465189205584</v>
      </c>
      <c r="AF46" s="772">
        <f t="shared" ca="1" si="15"/>
        <v>2623.4702611081657</v>
      </c>
      <c r="AG46" s="772">
        <f t="shared" ca="1" si="15"/>
        <v>2623.4702611081657</v>
      </c>
      <c r="AH46" s="772">
        <f t="shared" ca="1" si="15"/>
        <v>2623.4702611081657</v>
      </c>
      <c r="AI46" s="772">
        <f t="shared" ca="1" si="15"/>
        <v>3143.9224585725428</v>
      </c>
      <c r="AJ46" s="772">
        <f t="shared" ca="1" si="15"/>
        <v>3143.9224585725428</v>
      </c>
      <c r="AK46" s="772">
        <f t="shared" ca="1" si="15"/>
        <v>2954.9777322998707</v>
      </c>
      <c r="AL46" s="772">
        <f t="shared" ca="1" si="15"/>
        <v>2954.9777322998707</v>
      </c>
      <c r="AM46" s="772">
        <f t="shared" ca="1" si="15"/>
        <v>2782.0465189205584</v>
      </c>
      <c r="AN46" s="772">
        <f t="shared" ca="1" si="15"/>
        <v>2782.0465189205584</v>
      </c>
      <c r="AO46" s="772">
        <f t="shared" ca="1" si="15"/>
        <v>2623.4702611081657</v>
      </c>
      <c r="AP46" s="772">
        <f t="shared" ca="1" si="15"/>
        <v>2623.4702611081657</v>
      </c>
      <c r="AQ46" s="772">
        <f t="shared" ca="1" si="15"/>
        <v>2623.4702611081657</v>
      </c>
      <c r="AR46" s="772">
        <f t="shared" ca="1" si="13"/>
        <v>3143.9224585725428</v>
      </c>
      <c r="AS46" s="772">
        <f t="shared" ca="1" si="13"/>
        <v>3143.9224585725428</v>
      </c>
      <c r="AT46" s="772">
        <f t="shared" ca="1" si="13"/>
        <v>2954.9777322998707</v>
      </c>
      <c r="AU46" s="772">
        <f t="shared" ca="1" si="13"/>
        <v>2954.9777322998707</v>
      </c>
      <c r="AV46" s="772">
        <f t="shared" ca="1" si="13"/>
        <v>2782.0465189205584</v>
      </c>
      <c r="AW46" s="772">
        <f t="shared" ca="1" si="13"/>
        <v>2782.0465189205584</v>
      </c>
      <c r="AX46" s="772">
        <f t="shared" ca="1" si="13"/>
        <v>2623.4702611081657</v>
      </c>
      <c r="AY46" s="772">
        <f t="shared" ca="1" si="13"/>
        <v>2623.4702611081657</v>
      </c>
      <c r="AZ46" s="772">
        <f t="shared" ca="1" si="13"/>
        <v>2623.4702611081657</v>
      </c>
      <c r="BA46" s="772">
        <f t="shared" ca="1" si="13"/>
        <v>3143.9224585725428</v>
      </c>
      <c r="BB46" s="772">
        <f t="shared" ca="1" si="13"/>
        <v>3143.9224585725428</v>
      </c>
      <c r="BC46" s="772">
        <f t="shared" ca="1" si="13"/>
        <v>2954.9777322998707</v>
      </c>
      <c r="BD46" s="772">
        <f t="shared" ca="1" si="13"/>
        <v>2782.0465189205584</v>
      </c>
      <c r="BE46" s="772">
        <f t="shared" ca="1" si="13"/>
        <v>2782.0465189205584</v>
      </c>
      <c r="BF46" s="772">
        <f t="shared" ca="1" si="13"/>
        <v>2623.4702611081657</v>
      </c>
      <c r="BG46" s="772">
        <f t="shared" ca="1" si="14"/>
        <v>2623.4702611081657</v>
      </c>
      <c r="BH46" s="772">
        <f t="shared" ca="1" si="14"/>
        <v>2477.7760330621245</v>
      </c>
      <c r="BI46" s="772">
        <f t="shared" ca="1" si="14"/>
        <v>2477.7760330621245</v>
      </c>
      <c r="BJ46" s="772">
        <f t="shared" ca="1" si="14"/>
        <v>2954.9777322998707</v>
      </c>
      <c r="BK46" s="772">
        <f t="shared" ca="1" si="14"/>
        <v>2954.9777322998707</v>
      </c>
      <c r="BL46" s="772">
        <f t="shared" ca="1" si="14"/>
        <v>2954.9777322998707</v>
      </c>
      <c r="BM46" s="772">
        <f t="shared" ca="1" si="14"/>
        <v>2954.9777322998707</v>
      </c>
      <c r="BN46" s="772">
        <f t="shared" ca="1" si="14"/>
        <v>2623.4702611081657</v>
      </c>
      <c r="BO46" s="772">
        <f t="shared" ca="1" si="10"/>
        <v>2623.4702611081657</v>
      </c>
      <c r="BP46" s="772">
        <f t="shared" ca="1" si="10"/>
        <v>2477.7760330621245</v>
      </c>
      <c r="BQ46" s="772">
        <f t="shared" ca="1" si="10"/>
        <v>2477.7760330621245</v>
      </c>
      <c r="BR46" s="772">
        <f t="shared" ca="1" si="10"/>
        <v>2343.6588093682212</v>
      </c>
      <c r="BS46" s="772">
        <f t="shared" ca="1" si="10"/>
        <v>2954.9777322998707</v>
      </c>
      <c r="BT46" s="772">
        <f t="shared" ca="1" si="10"/>
        <v>2954.9777322998707</v>
      </c>
      <c r="BU46" s="772">
        <f t="shared" ca="1" si="10"/>
        <v>2954.9777322998707</v>
      </c>
      <c r="BV46" s="772">
        <f t="shared" ca="1" si="10"/>
        <v>2782.0465189205584</v>
      </c>
      <c r="BW46" s="772">
        <f t="shared" ca="1" si="10"/>
        <v>2782.0465189205584</v>
      </c>
      <c r="BX46" s="772">
        <f t="shared" ca="1" si="9"/>
        <v>2477.7760330621245</v>
      </c>
      <c r="BY46" s="772">
        <f t="shared" ca="1" si="9"/>
        <v>2477.7760330621245</v>
      </c>
      <c r="BZ46" s="772">
        <f t="shared" ca="1" si="9"/>
        <v>2343.6588093682212</v>
      </c>
      <c r="CA46" s="772">
        <f t="shared" ca="1" si="9"/>
        <v>2343.6588093682212</v>
      </c>
      <c r="CB46" s="772">
        <f t="shared" ca="1" si="9"/>
        <v>2782.0465189205584</v>
      </c>
      <c r="CC46" s="772">
        <f t="shared" ca="1" si="9"/>
        <v>2782.0465189205584</v>
      </c>
      <c r="CD46" s="772">
        <f t="shared" ca="1" si="9"/>
        <v>2782.0465189205584</v>
      </c>
      <c r="CE46" s="772">
        <f t="shared" ref="CE46:CJ46" ca="1" si="16">HLOOKUP(CE$7,$A$7:$P$348,ROW()-6)</f>
        <v>2782.0465189205584</v>
      </c>
      <c r="CF46" s="772">
        <f t="shared" ca="1" si="16"/>
        <v>2623.4702611081657</v>
      </c>
      <c r="CG46" s="772">
        <f t="shared" ca="1" si="16"/>
        <v>2477.7760330621245</v>
      </c>
      <c r="CH46" s="772">
        <f t="shared" ca="1" si="16"/>
        <v>2343.6588093682212</v>
      </c>
      <c r="CI46" s="772">
        <f t="shared" ca="1" si="16"/>
        <v>2343.6588093682212</v>
      </c>
      <c r="CJ46" s="772">
        <f t="shared" ca="1" si="16"/>
        <v>2219.9633382357028</v>
      </c>
    </row>
    <row r="47" spans="1:88" ht="15" customHeight="1">
      <c r="A47" s="770">
        <f>'kc-Wert für Stützen'!C47</f>
        <v>99</v>
      </c>
      <c r="B47" s="768">
        <f ca="1">INDIRECT("'kc-Wert für Stützen'!"&amp;SUBSTITUTE(ADDRESS(MATCH($A47,'kc-Wert für Stützen'!$C:$C,0),MATCH(B$7,'kc-Wert für Stützen'!$A$8:$ES$8,0)+7,4),,))</f>
        <v>3720.3347664797229</v>
      </c>
      <c r="C47" s="768">
        <f ca="1">INDIRECT("'kc-Wert für Stützen'!"&amp;SUBSTITUTE(ADDRESS(MATCH($A47,'kc-Wert für Stützen'!$C:$C,0),MATCH(C$7,'kc-Wert für Stützen'!$A$8:$ES$8,0)+7,4),,))</f>
        <v>3485.0505504282482</v>
      </c>
      <c r="D47" s="768">
        <f ca="1">INDIRECT("'kc-Wert für Stützen'!"&amp;SUBSTITUTE(ADDRESS(MATCH($A47,'kc-Wert für Stützen'!$C:$C,0),MATCH(D$7,'kc-Wert für Stützen'!$A$8:$ES$8,0)+7,4),,))</f>
        <v>3270.3502563406678</v>
      </c>
      <c r="E47" s="768">
        <f ca="1">INDIRECT("'kc-Wert für Stützen'!"&amp;SUBSTITUTE(ADDRESS(MATCH($A47,'kc-Wert für Stützen'!$C:$C,0),MATCH(E$7,'kc-Wert für Stützen'!$A$8:$ES$8,0)+7,4),,))</f>
        <v>3074.1266447718276</v>
      </c>
      <c r="F47" s="768">
        <f ca="1">INDIRECT("'kc-Wert für Stützen'!"&amp;SUBSTITUTE(ADDRESS(MATCH($A47,'kc-Wert für Stützen'!$C:$C,0),MATCH(F$7,'kc-Wert für Stützen'!$A$8:$ES$8,0)+7,4),,))</f>
        <v>2894.4762210363283</v>
      </c>
      <c r="G47" s="768">
        <f ca="1">INDIRECT("'kc-Wert für Stützen'!"&amp;SUBSTITUTE(ADDRESS(MATCH($A47,'kc-Wert für Stützen'!$C:$C,0),MATCH(G$7,'kc-Wert für Stützen'!$A$8:$ES$8,0)+7,4),,))</f>
        <v>2729.6954202911456</v>
      </c>
      <c r="H47" s="768">
        <f ca="1">INDIRECT("'kc-Wert für Stützen'!"&amp;SUBSTITUTE(ADDRESS(MATCH($A47,'kc-Wert für Stützen'!$C:$C,0),MATCH(H$7,'kc-Wert für Stützen'!$A$8:$ES$8,0)+7,4),,))</f>
        <v>2578.2677769254883</v>
      </c>
      <c r="I47" s="768">
        <f ca="1">INDIRECT("'kc-Wert für Stützen'!"&amp;SUBSTITUTE(ADDRESS(MATCH($A47,'kc-Wert für Stützen'!$C:$C,0),MATCH(I$7,'kc-Wert für Stützen'!$A$8:$ES$8,0)+7,4),,))</f>
        <v>2438.8472753098372</v>
      </c>
      <c r="J47" s="768">
        <f ca="1">INDIRECT("'kc-Wert für Stützen'!"&amp;SUBSTITUTE(ADDRESS(MATCH($A47,'kc-Wert für Stützen'!$C:$C,0),MATCH(J$7,'kc-Wert für Stützen'!$A$8:$ES$8,0)+7,4),,))</f>
        <v>2310.2407121319479</v>
      </c>
      <c r="K47" s="768">
        <f ca="1">INDIRECT("'kc-Wert für Stützen'!"&amp;SUBSTITUTE(ADDRESS(MATCH($A47,'kc-Wert für Stützen'!$C:$C,0),MATCH(K$7,'kc-Wert für Stützen'!$A$8:$ES$8,0)+7,4),,))</f>
        <v>2191.3905537920887</v>
      </c>
      <c r="L47" s="768">
        <f ca="1">INDIRECT("'kc-Wert für Stützen'!"&amp;SUBSTITUTE(ADDRESS(MATCH($A47,'kc-Wert für Stützen'!$C:$C,0),MATCH(L$7,'kc-Wert für Stützen'!$A$8:$ES$8,0)+7,4),,))</f>
        <v>2081.3590105390035</v>
      </c>
      <c r="M47" s="768">
        <f ca="1">INDIRECT("'kc-Wert für Stützen'!"&amp;SUBSTITUTE(ADDRESS(MATCH($A47,'kc-Wert für Stützen'!$C:$C,0),MATCH(M$7,'kc-Wert für Stützen'!$A$8:$ES$8,0)+7,4),,))</f>
        <v>1979.3136231848662</v>
      </c>
      <c r="N47" s="768">
        <f ca="1">INDIRECT("'kc-Wert für Stützen'!"&amp;SUBSTITUTE(ADDRESS(MATCH($A47,'kc-Wert für Stützen'!$C:$C,0),MATCH(N$7,'kc-Wert für Stützen'!$A$8:$ES$8,0)+7,4),,))</f>
        <v>1884.5144255130101</v>
      </c>
      <c r="O47" s="768">
        <f ca="1">INDIRECT("'kc-Wert für Stützen'!"&amp;SUBSTITUTE(ADDRESS(MATCH($A47,'kc-Wert für Stützen'!$C:$C,0),MATCH(O$7,'kc-Wert für Stützen'!$A$8:$ES$8,0)+7,4),,))</f>
        <v>1796.3026236072189</v>
      </c>
      <c r="P47" s="768">
        <f ca="1">INDIRECT("'kc-Wert für Stützen'!"&amp;SUBSTITUTE(ADDRESS(MATCH($A47,'kc-Wert für Stützen'!$C:$C,0),MATCH(P$7,'kc-Wert für Stützen'!$A$8:$ES$8,0)+7,4),,))</f>
        <v>1714.090674671962</v>
      </c>
      <c r="S47" s="772">
        <f t="shared" ca="1" si="3"/>
        <v>3270.3502563406678</v>
      </c>
      <c r="T47" s="772">
        <f t="shared" ca="1" si="3"/>
        <v>3270.3502563406678</v>
      </c>
      <c r="U47" s="772">
        <f t="shared" ca="1" si="3"/>
        <v>3270.3502563406678</v>
      </c>
      <c r="V47" s="772">
        <f t="shared" ca="1" si="3"/>
        <v>3074.1266447718276</v>
      </c>
      <c r="W47" s="772">
        <f t="shared" ca="1" si="3"/>
        <v>2894.4762210363283</v>
      </c>
      <c r="X47" s="772">
        <f t="shared" ca="1" si="3"/>
        <v>2729.6954202911456</v>
      </c>
      <c r="Y47" s="772">
        <f t="shared" ca="1" si="3"/>
        <v>2578.2677769254883</v>
      </c>
      <c r="Z47" s="772">
        <f t="shared" ca="1" si="3"/>
        <v>3270.3502563406678</v>
      </c>
      <c r="AA47" s="772">
        <f t="shared" ca="1" si="3"/>
        <v>3270.3502563406678</v>
      </c>
      <c r="AB47" s="772">
        <f t="shared" ca="1" si="15"/>
        <v>3074.1266447718276</v>
      </c>
      <c r="AC47" s="772">
        <f t="shared" ca="1" si="15"/>
        <v>3074.1266447718276</v>
      </c>
      <c r="AD47" s="772">
        <f t="shared" ca="1" si="15"/>
        <v>2894.4762210363283</v>
      </c>
      <c r="AE47" s="772">
        <f t="shared" ca="1" si="15"/>
        <v>2894.4762210363283</v>
      </c>
      <c r="AF47" s="772">
        <f t="shared" ca="1" si="15"/>
        <v>2729.6954202911456</v>
      </c>
      <c r="AG47" s="772">
        <f t="shared" ca="1" si="15"/>
        <v>2729.6954202911456</v>
      </c>
      <c r="AH47" s="772">
        <f t="shared" ca="1" si="15"/>
        <v>2729.6954202911456</v>
      </c>
      <c r="AI47" s="772">
        <f t="shared" ca="1" si="15"/>
        <v>3270.3502563406678</v>
      </c>
      <c r="AJ47" s="772">
        <f t="shared" ca="1" si="15"/>
        <v>3270.3502563406678</v>
      </c>
      <c r="AK47" s="772">
        <f t="shared" ca="1" si="15"/>
        <v>3074.1266447718276</v>
      </c>
      <c r="AL47" s="772">
        <f t="shared" ca="1" si="15"/>
        <v>3074.1266447718276</v>
      </c>
      <c r="AM47" s="772">
        <f t="shared" ca="1" si="15"/>
        <v>2894.4762210363283</v>
      </c>
      <c r="AN47" s="772">
        <f t="shared" ca="1" si="15"/>
        <v>2894.4762210363283</v>
      </c>
      <c r="AO47" s="772">
        <f t="shared" ca="1" si="15"/>
        <v>2729.6954202911456</v>
      </c>
      <c r="AP47" s="772">
        <f t="shared" ca="1" si="15"/>
        <v>2729.6954202911456</v>
      </c>
      <c r="AQ47" s="772">
        <f t="shared" ca="1" si="15"/>
        <v>2729.6954202911456</v>
      </c>
      <c r="AR47" s="772">
        <f t="shared" ca="1" si="13"/>
        <v>3270.3502563406678</v>
      </c>
      <c r="AS47" s="772">
        <f t="shared" ca="1" si="13"/>
        <v>3270.3502563406678</v>
      </c>
      <c r="AT47" s="772">
        <f t="shared" ca="1" si="13"/>
        <v>3074.1266447718276</v>
      </c>
      <c r="AU47" s="772">
        <f t="shared" ca="1" si="13"/>
        <v>3074.1266447718276</v>
      </c>
      <c r="AV47" s="772">
        <f t="shared" ca="1" si="13"/>
        <v>2894.4762210363283</v>
      </c>
      <c r="AW47" s="772">
        <f t="shared" ca="1" si="13"/>
        <v>2894.4762210363283</v>
      </c>
      <c r="AX47" s="772">
        <f t="shared" ca="1" si="13"/>
        <v>2729.6954202911456</v>
      </c>
      <c r="AY47" s="772">
        <f t="shared" ca="1" si="13"/>
        <v>2729.6954202911456</v>
      </c>
      <c r="AZ47" s="772">
        <f t="shared" ca="1" si="13"/>
        <v>2729.6954202911456</v>
      </c>
      <c r="BA47" s="772">
        <f t="shared" ca="1" si="13"/>
        <v>3270.3502563406678</v>
      </c>
      <c r="BB47" s="772">
        <f t="shared" ca="1" si="13"/>
        <v>3270.3502563406678</v>
      </c>
      <c r="BC47" s="772">
        <f t="shared" ca="1" si="13"/>
        <v>3074.1266447718276</v>
      </c>
      <c r="BD47" s="772">
        <f t="shared" ca="1" si="13"/>
        <v>2894.4762210363283</v>
      </c>
      <c r="BE47" s="772">
        <f t="shared" ca="1" si="13"/>
        <v>2894.4762210363283</v>
      </c>
      <c r="BF47" s="772">
        <f t="shared" ca="1" si="13"/>
        <v>2729.6954202911456</v>
      </c>
      <c r="BG47" s="772">
        <f t="shared" ca="1" si="14"/>
        <v>2729.6954202911456</v>
      </c>
      <c r="BH47" s="772">
        <f t="shared" ca="1" si="14"/>
        <v>2578.2677769254883</v>
      </c>
      <c r="BI47" s="772">
        <f t="shared" ca="1" si="14"/>
        <v>2578.2677769254883</v>
      </c>
      <c r="BJ47" s="772">
        <f t="shared" ca="1" si="14"/>
        <v>3074.1266447718276</v>
      </c>
      <c r="BK47" s="772">
        <f t="shared" ca="1" si="14"/>
        <v>3074.1266447718276</v>
      </c>
      <c r="BL47" s="772">
        <f t="shared" ca="1" si="14"/>
        <v>3074.1266447718276</v>
      </c>
      <c r="BM47" s="772">
        <f t="shared" ca="1" si="14"/>
        <v>3074.1266447718276</v>
      </c>
      <c r="BN47" s="772">
        <f t="shared" ca="1" si="14"/>
        <v>2729.6954202911456</v>
      </c>
      <c r="BO47" s="772">
        <f t="shared" ca="1" si="10"/>
        <v>2729.6954202911456</v>
      </c>
      <c r="BP47" s="772">
        <f t="shared" ca="1" si="10"/>
        <v>2578.2677769254883</v>
      </c>
      <c r="BQ47" s="772">
        <f t="shared" ca="1" si="10"/>
        <v>2578.2677769254883</v>
      </c>
      <c r="BR47" s="772">
        <f t="shared" ca="1" si="10"/>
        <v>2438.8472753098372</v>
      </c>
      <c r="BS47" s="772">
        <f t="shared" ca="1" si="10"/>
        <v>3074.1266447718276</v>
      </c>
      <c r="BT47" s="772">
        <f t="shared" ca="1" si="10"/>
        <v>3074.1266447718276</v>
      </c>
      <c r="BU47" s="772">
        <f t="shared" ca="1" si="10"/>
        <v>3074.1266447718276</v>
      </c>
      <c r="BV47" s="772">
        <f t="shared" ca="1" si="10"/>
        <v>2894.4762210363283</v>
      </c>
      <c r="BW47" s="772">
        <f t="shared" ca="1" si="10"/>
        <v>2894.4762210363283</v>
      </c>
      <c r="BX47" s="772">
        <f t="shared" ref="BX47:CJ52" ca="1" si="17">HLOOKUP(BX$7,$A$7:$P$348,ROW()-6)</f>
        <v>2578.2677769254883</v>
      </c>
      <c r="BY47" s="772">
        <f t="shared" ca="1" si="17"/>
        <v>2578.2677769254883</v>
      </c>
      <c r="BZ47" s="772">
        <f t="shared" ca="1" si="17"/>
        <v>2438.8472753098372</v>
      </c>
      <c r="CA47" s="772">
        <f t="shared" ca="1" si="17"/>
        <v>2438.8472753098372</v>
      </c>
      <c r="CB47" s="772">
        <f t="shared" ca="1" si="17"/>
        <v>2894.4762210363283</v>
      </c>
      <c r="CC47" s="772">
        <f t="shared" ca="1" si="17"/>
        <v>2894.4762210363283</v>
      </c>
      <c r="CD47" s="772">
        <f t="shared" ca="1" si="17"/>
        <v>2894.4762210363283</v>
      </c>
      <c r="CE47" s="772">
        <f t="shared" ca="1" si="17"/>
        <v>2894.4762210363283</v>
      </c>
      <c r="CF47" s="772">
        <f t="shared" ca="1" si="17"/>
        <v>2729.6954202911456</v>
      </c>
      <c r="CG47" s="772">
        <f t="shared" ca="1" si="17"/>
        <v>2578.2677769254883</v>
      </c>
      <c r="CH47" s="772">
        <f t="shared" ca="1" si="17"/>
        <v>2438.8472753098372</v>
      </c>
      <c r="CI47" s="772">
        <f t="shared" ca="1" si="17"/>
        <v>2438.8472753098372</v>
      </c>
      <c r="CJ47" s="772">
        <f t="shared" ca="1" si="17"/>
        <v>2310.2407121319479</v>
      </c>
    </row>
    <row r="48" spans="1:88" ht="15" customHeight="1">
      <c r="A48" s="770">
        <f>'kc-Wert für Stützen'!C48</f>
        <v>100</v>
      </c>
      <c r="B48" s="768">
        <f ca="1">INDIRECT("'kc-Wert für Stützen'!"&amp;SUBSTITUTE(ADDRESS(MATCH($A48,'kc-Wert für Stützen'!$C:$C,0),MATCH(B$7,'kc-Wert für Stützen'!$A$8:$ES$8,0)+7,4),,))</f>
        <v>3867.1683227639483</v>
      </c>
      <c r="C48" s="768">
        <f ca="1">INDIRECT("'kc-Wert für Stützen'!"&amp;SUBSTITUTE(ADDRESS(MATCH($A48,'kc-Wert für Stützen'!$C:$C,0),MATCH(C$7,'kc-Wert für Stützen'!$A$8:$ES$8,0)+7,4),,))</f>
        <v>3623.166541089282</v>
      </c>
      <c r="D48" s="768">
        <f ca="1">INDIRECT("'kc-Wert für Stützen'!"&amp;SUBSTITUTE(ADDRESS(MATCH($A48,'kc-Wert für Stützen'!$C:$C,0),MATCH(D$7,'kc-Wert für Stützen'!$A$8:$ES$8,0)+7,4),,))</f>
        <v>3400.3962053241867</v>
      </c>
      <c r="E48" s="768">
        <f ca="1">INDIRECT("'kc-Wert für Stützen'!"&amp;SUBSTITUTE(ADDRESS(MATCH($A48,'kc-Wert für Stützen'!$C:$C,0),MATCH(E$7,'kc-Wert für Stützen'!$A$8:$ES$8,0)+7,4),,))</f>
        <v>3196.7131881946029</v>
      </c>
      <c r="F48" s="768">
        <f ca="1">INDIRECT("'kc-Wert für Stützen'!"&amp;SUBSTITUTE(ADDRESS(MATCH($A48,'kc-Wert für Stützen'!$C:$C,0),MATCH(F$7,'kc-Wert für Stützen'!$A$8:$ES$8,0)+7,4),,))</f>
        <v>3010.1713025294043</v>
      </c>
      <c r="G48" s="768">
        <f ca="1">INDIRECT("'kc-Wert für Stützen'!"&amp;SUBSTITUTE(ADDRESS(MATCH($A48,'kc-Wert für Stützen'!$C:$C,0),MATCH(G$7,'kc-Wert für Stützen'!$A$8:$ES$8,0)+7,4),,))</f>
        <v>2839.0227783425139</v>
      </c>
      <c r="H48" s="768">
        <f ca="1">INDIRECT("'kc-Wert für Stützen'!"&amp;SUBSTITUTE(ADDRESS(MATCH($A48,'kc-Wert für Stützen'!$C:$C,0),MATCH(H$7,'kc-Wert für Stützen'!$A$8:$ES$8,0)+7,4),,))</f>
        <v>2681.7078536237314</v>
      </c>
      <c r="I48" s="768">
        <f ca="1">INDIRECT("'kc-Wert für Stützen'!"&amp;SUBSTITUTE(ADDRESS(MATCH($A48,'kc-Wert für Stützen'!$C:$C,0),MATCH(I$7,'kc-Wert für Stützen'!$A$8:$ES$8,0)+7,4),,))</f>
        <v>2536.8394232300902</v>
      </c>
      <c r="J48" s="768">
        <f ca="1">INDIRECT("'kc-Wert für Stützen'!"&amp;SUBSTITUTE(ADDRESS(MATCH($A48,'kc-Wert für Stützen'!$C:$C,0),MATCH(J$7,'kc-Wert für Stützen'!$A$8:$ES$8,0)+7,4),,))</f>
        <v>2403.1860288788966</v>
      </c>
      <c r="K48" s="768">
        <f ca="1">INDIRECT("'kc-Wert für Stützen'!"&amp;SUBSTITUTE(ADDRESS(MATCH($A48,'kc-Wert für Stützen'!$C:$C,0),MATCH(K$7,'kc-Wert für Stützen'!$A$8:$ES$8,0)+7,4),,))</f>
        <v>2279.6549484393031</v>
      </c>
      <c r="L48" s="768">
        <f ca="1">INDIRECT("'kc-Wert für Stützen'!"&amp;SUBSTITUTE(ADDRESS(MATCH($A48,'kc-Wert für Stützen'!$C:$C,0),MATCH(L$7,'kc-Wert für Stützen'!$A$8:$ES$8,0)+7,4),,))</f>
        <v>2165.2762731877842</v>
      </c>
      <c r="M48" s="768">
        <f ca="1">INDIRECT("'kc-Wert für Stützen'!"&amp;SUBSTITUTE(ADDRESS(MATCH($A48,'kc-Wert für Stützen'!$C:$C,0),MATCH(M$7,'kc-Wert für Stützen'!$A$8:$ES$8,0)+7,4),,))</f>
        <v>2059.1883703785256</v>
      </c>
      <c r="N48" s="768">
        <f ca="1">INDIRECT("'kc-Wert für Stützen'!"&amp;SUBSTITUTE(ADDRESS(MATCH($A48,'kc-Wert für Stützen'!$C:$C,0),MATCH(N$7,'kc-Wert für Stützen'!$A$8:$ES$8,0)+7,4),,))</f>
        <v>1960.6248557633724</v>
      </c>
      <c r="O48" s="768">
        <f ca="1">INDIRECT("'kc-Wert für Stützen'!"&amp;SUBSTITUTE(ADDRESS(MATCH($A48,'kc-Wert für Stützen'!$C:$C,0),MATCH(O$7,'kc-Wert für Stützen'!$A$8:$ES$8,0)+7,4),,))</f>
        <v>1868.903054265664</v>
      </c>
      <c r="P48" s="768">
        <f ca="1">INDIRECT("'kc-Wert für Stützen'!"&amp;SUBSTITUTE(ADDRESS(MATCH($A48,'kc-Wert für Stützen'!$C:$C,0),MATCH(P$7,'kc-Wert für Stützen'!$A$8:$ES$8,0)+7,4),,))</f>
        <v>1783.4138532361903</v>
      </c>
      <c r="S48" s="772">
        <f t="shared" ref="S48:AA73" ca="1" si="18">HLOOKUP(S$7,$A$7:$P$348,ROW()-6)</f>
        <v>3400.3962053241867</v>
      </c>
      <c r="T48" s="772">
        <f t="shared" ca="1" si="18"/>
        <v>3400.3962053241867</v>
      </c>
      <c r="U48" s="772">
        <f t="shared" ca="1" si="18"/>
        <v>3400.3962053241867</v>
      </c>
      <c r="V48" s="772">
        <f t="shared" ca="1" si="18"/>
        <v>3196.7131881946029</v>
      </c>
      <c r="W48" s="772">
        <f t="shared" ca="1" si="18"/>
        <v>3010.1713025294043</v>
      </c>
      <c r="X48" s="772">
        <f t="shared" ca="1" si="18"/>
        <v>2839.0227783425139</v>
      </c>
      <c r="Y48" s="772">
        <f t="shared" ca="1" si="18"/>
        <v>2681.7078536237314</v>
      </c>
      <c r="Z48" s="772">
        <f t="shared" ca="1" si="18"/>
        <v>3400.3962053241867</v>
      </c>
      <c r="AA48" s="772">
        <f t="shared" ca="1" si="18"/>
        <v>3400.3962053241867</v>
      </c>
      <c r="AB48" s="772">
        <f t="shared" ca="1" si="15"/>
        <v>3196.7131881946029</v>
      </c>
      <c r="AC48" s="772">
        <f t="shared" ca="1" si="15"/>
        <v>3196.7131881946029</v>
      </c>
      <c r="AD48" s="772">
        <f t="shared" ca="1" si="15"/>
        <v>3010.1713025294043</v>
      </c>
      <c r="AE48" s="772">
        <f t="shared" ca="1" si="15"/>
        <v>3010.1713025294043</v>
      </c>
      <c r="AF48" s="772">
        <f t="shared" ca="1" si="15"/>
        <v>2839.0227783425139</v>
      </c>
      <c r="AG48" s="772">
        <f t="shared" ca="1" si="15"/>
        <v>2839.0227783425139</v>
      </c>
      <c r="AH48" s="772">
        <f t="shared" ca="1" si="15"/>
        <v>2839.0227783425139</v>
      </c>
      <c r="AI48" s="772">
        <f t="shared" ca="1" si="15"/>
        <v>3400.3962053241867</v>
      </c>
      <c r="AJ48" s="772">
        <f t="shared" ca="1" si="15"/>
        <v>3400.3962053241867</v>
      </c>
      <c r="AK48" s="772">
        <f t="shared" ca="1" si="15"/>
        <v>3196.7131881946029</v>
      </c>
      <c r="AL48" s="772">
        <f t="shared" ca="1" si="15"/>
        <v>3196.7131881946029</v>
      </c>
      <c r="AM48" s="772">
        <f t="shared" ca="1" si="15"/>
        <v>3010.1713025294043</v>
      </c>
      <c r="AN48" s="772">
        <f t="shared" ca="1" si="15"/>
        <v>3010.1713025294043</v>
      </c>
      <c r="AO48" s="772">
        <f t="shared" ca="1" si="15"/>
        <v>2839.0227783425139</v>
      </c>
      <c r="AP48" s="772">
        <f t="shared" ca="1" si="15"/>
        <v>2839.0227783425139</v>
      </c>
      <c r="AQ48" s="772">
        <f t="shared" ca="1" si="15"/>
        <v>2839.0227783425139</v>
      </c>
      <c r="AR48" s="772">
        <f t="shared" ca="1" si="13"/>
        <v>3400.3962053241867</v>
      </c>
      <c r="AS48" s="772">
        <f t="shared" ca="1" si="13"/>
        <v>3400.3962053241867</v>
      </c>
      <c r="AT48" s="772">
        <f t="shared" ca="1" si="13"/>
        <v>3196.7131881946029</v>
      </c>
      <c r="AU48" s="772">
        <f t="shared" ca="1" si="13"/>
        <v>3196.7131881946029</v>
      </c>
      <c r="AV48" s="772">
        <f t="shared" ca="1" si="13"/>
        <v>3010.1713025294043</v>
      </c>
      <c r="AW48" s="772">
        <f t="shared" ca="1" si="13"/>
        <v>3010.1713025294043</v>
      </c>
      <c r="AX48" s="772">
        <f t="shared" ca="1" si="13"/>
        <v>2839.0227783425139</v>
      </c>
      <c r="AY48" s="772">
        <f t="shared" ca="1" si="13"/>
        <v>2839.0227783425139</v>
      </c>
      <c r="AZ48" s="772">
        <f t="shared" ca="1" si="13"/>
        <v>2839.0227783425139</v>
      </c>
      <c r="BA48" s="772">
        <f t="shared" ca="1" si="13"/>
        <v>3400.3962053241867</v>
      </c>
      <c r="BB48" s="772">
        <f t="shared" ca="1" si="13"/>
        <v>3400.3962053241867</v>
      </c>
      <c r="BC48" s="772">
        <f t="shared" ca="1" si="13"/>
        <v>3196.7131881946029</v>
      </c>
      <c r="BD48" s="772">
        <f t="shared" ca="1" si="13"/>
        <v>3010.1713025294043</v>
      </c>
      <c r="BE48" s="772">
        <f t="shared" ca="1" si="13"/>
        <v>3010.1713025294043</v>
      </c>
      <c r="BF48" s="772">
        <f t="shared" ca="1" si="13"/>
        <v>2839.0227783425139</v>
      </c>
      <c r="BG48" s="772">
        <f t="shared" ca="1" si="14"/>
        <v>2839.0227783425139</v>
      </c>
      <c r="BH48" s="772">
        <f t="shared" ca="1" si="14"/>
        <v>2681.7078536237314</v>
      </c>
      <c r="BI48" s="772">
        <f t="shared" ca="1" si="14"/>
        <v>2681.7078536237314</v>
      </c>
      <c r="BJ48" s="772">
        <f t="shared" ca="1" si="14"/>
        <v>3196.7131881946029</v>
      </c>
      <c r="BK48" s="772">
        <f t="shared" ca="1" si="14"/>
        <v>3196.7131881946029</v>
      </c>
      <c r="BL48" s="772">
        <f t="shared" ca="1" si="14"/>
        <v>3196.7131881946029</v>
      </c>
      <c r="BM48" s="772">
        <f t="shared" ca="1" si="14"/>
        <v>3196.7131881946029</v>
      </c>
      <c r="BN48" s="772">
        <f t="shared" ca="1" si="14"/>
        <v>2839.0227783425139</v>
      </c>
      <c r="BO48" s="772">
        <f t="shared" ca="1" si="10"/>
        <v>2839.0227783425139</v>
      </c>
      <c r="BP48" s="772">
        <f t="shared" ca="1" si="10"/>
        <v>2681.7078536237314</v>
      </c>
      <c r="BQ48" s="772">
        <f t="shared" ca="1" si="10"/>
        <v>2681.7078536237314</v>
      </c>
      <c r="BR48" s="772">
        <f t="shared" ca="1" si="10"/>
        <v>2536.8394232300902</v>
      </c>
      <c r="BS48" s="772">
        <f t="shared" ca="1" si="10"/>
        <v>3196.7131881946029</v>
      </c>
      <c r="BT48" s="772">
        <f t="shared" ca="1" si="10"/>
        <v>3196.7131881946029</v>
      </c>
      <c r="BU48" s="772">
        <f t="shared" ca="1" si="10"/>
        <v>3196.7131881946029</v>
      </c>
      <c r="BV48" s="772">
        <f t="shared" ca="1" si="10"/>
        <v>3010.1713025294043</v>
      </c>
      <c r="BW48" s="772">
        <f t="shared" ca="1" si="10"/>
        <v>3010.1713025294043</v>
      </c>
      <c r="BX48" s="772">
        <f t="shared" ca="1" si="17"/>
        <v>2681.7078536237314</v>
      </c>
      <c r="BY48" s="772">
        <f t="shared" ca="1" si="17"/>
        <v>2681.7078536237314</v>
      </c>
      <c r="BZ48" s="772">
        <f t="shared" ca="1" si="17"/>
        <v>2536.8394232300902</v>
      </c>
      <c r="CA48" s="772">
        <f t="shared" ca="1" si="17"/>
        <v>2536.8394232300902</v>
      </c>
      <c r="CB48" s="772">
        <f t="shared" ca="1" si="17"/>
        <v>3010.1713025294043</v>
      </c>
      <c r="CC48" s="772">
        <f t="shared" ca="1" si="17"/>
        <v>3010.1713025294043</v>
      </c>
      <c r="CD48" s="772">
        <f t="shared" ca="1" si="17"/>
        <v>3010.1713025294043</v>
      </c>
      <c r="CE48" s="772">
        <f t="shared" ca="1" si="17"/>
        <v>3010.1713025294043</v>
      </c>
      <c r="CF48" s="772">
        <f t="shared" ca="1" si="17"/>
        <v>2839.0227783425139</v>
      </c>
      <c r="CG48" s="772">
        <f t="shared" ca="1" si="17"/>
        <v>2681.7078536237314</v>
      </c>
      <c r="CH48" s="772">
        <f t="shared" ca="1" si="17"/>
        <v>2536.8394232300902</v>
      </c>
      <c r="CI48" s="772">
        <f t="shared" ca="1" si="17"/>
        <v>2536.8394232300902</v>
      </c>
      <c r="CJ48" s="772">
        <f t="shared" ca="1" si="17"/>
        <v>2403.1860288788966</v>
      </c>
    </row>
    <row r="49" spans="1:88" ht="15" customHeight="1">
      <c r="A49" s="770">
        <f>'kc-Wert für Stützen'!C49</f>
        <v>101</v>
      </c>
      <c r="B49" s="768">
        <f ca="1">INDIRECT("'kc-Wert für Stützen'!"&amp;SUBSTITUTE(ADDRESS(MATCH($A49,'kc-Wert für Stützen'!$C:$C,0),MATCH(B$7,'kc-Wert für Stützen'!$A$8:$ES$8,0)+7,4),,))</f>
        <v>4018.050959143608</v>
      </c>
      <c r="C49" s="768">
        <f ca="1">INDIRECT("'kc-Wert für Stützen'!"&amp;SUBSTITUTE(ADDRESS(MATCH($A49,'kc-Wert für Stützen'!$C:$C,0),MATCH(C$7,'kc-Wert für Stützen'!$A$8:$ES$8,0)+7,4),,))</f>
        <v>3765.1428602391929</v>
      </c>
      <c r="D49" s="768">
        <f ca="1">INDIRECT("'kc-Wert für Stützen'!"&amp;SUBSTITUTE(ADDRESS(MATCH($A49,'kc-Wert für Stützen'!$C:$C,0),MATCH(D$7,'kc-Wert für Stützen'!$A$8:$ES$8,0)+7,4),,))</f>
        <v>3534.1158523024565</v>
      </c>
      <c r="E49" s="768">
        <f ca="1">INDIRECT("'kc-Wert für Stützen'!"&amp;SUBSTITUTE(ADDRESS(MATCH($A49,'kc-Wert für Stützen'!$C:$C,0),MATCH(E$7,'kc-Wert für Stützen'!$A$8:$ES$8,0)+7,4),,))</f>
        <v>3322.7924978981437</v>
      </c>
      <c r="F49" s="768">
        <f ca="1">INDIRECT("'kc-Wert für Stützen'!"&amp;SUBSTITUTE(ADDRESS(MATCH($A49,'kc-Wert für Stützen'!$C:$C,0),MATCH(F$7,'kc-Wert für Stützen'!$A$8:$ES$8,0)+7,4),,))</f>
        <v>3129.185921917986</v>
      </c>
      <c r="G49" s="768">
        <f ca="1">INDIRECT("'kc-Wert für Stützen'!"&amp;SUBSTITUTE(ADDRESS(MATCH($A49,'kc-Wert für Stützen'!$C:$C,0),MATCH(G$7,'kc-Wert für Stützen'!$A$8:$ES$8,0)+7,4),,))</f>
        <v>2951.5051584752641</v>
      </c>
      <c r="H49" s="768">
        <f ca="1">INDIRECT("'kc-Wert für Stützen'!"&amp;SUBSTITUTE(ADDRESS(MATCH($A49,'kc-Wert für Stützen'!$C:$C,0),MATCH(H$7,'kc-Wert für Stützen'!$A$8:$ES$8,0)+7,4),,))</f>
        <v>2788.1475333077178</v>
      </c>
      <c r="I49" s="768">
        <f ca="1">INDIRECT("'kc-Wert für Stützen'!"&amp;SUBSTITUTE(ADDRESS(MATCH($A49,'kc-Wert für Stützen'!$C:$C,0),MATCH(I$7,'kc-Wert für Stützen'!$A$8:$ES$8,0)+7,4),,))</f>
        <v>2637.6848483823787</v>
      </c>
      <c r="J49" s="768">
        <f ca="1">INDIRECT("'kc-Wert für Stützen'!"&amp;SUBSTITUTE(ADDRESS(MATCH($A49,'kc-Wert für Stützen'!$C:$C,0),MATCH(J$7,'kc-Wert für Stützen'!$A$8:$ES$8,0)+7,4),,))</f>
        <v>2498.8471523494959</v>
      </c>
      <c r="K49" s="768">
        <f ca="1">INDIRECT("'kc-Wert für Stützen'!"&amp;SUBSTITUTE(ADDRESS(MATCH($A49,'kc-Wert für Stützen'!$C:$C,0),MATCH(K$7,'kc-Wert für Stützen'!$A$8:$ES$8,0)+7,4),,))</f>
        <v>2370.5061601400844</v>
      </c>
      <c r="L49" s="768">
        <f ca="1">INDIRECT("'kc-Wert für Stützen'!"&amp;SUBSTITUTE(ADDRESS(MATCH($A49,'kc-Wert für Stützen'!$C:$C,0),MATCH(L$7,'kc-Wert für Stützen'!$A$8:$ES$8,0)+7,4),,))</f>
        <v>2251.6593966501136</v>
      </c>
      <c r="M49" s="768">
        <f ca="1">INDIRECT("'kc-Wert für Stützen'!"&amp;SUBSTITUTE(ADDRESS(MATCH($A49,'kc-Wert für Stützen'!$C:$C,0),MATCH(M$7,'kc-Wert für Stützen'!$A$8:$ES$8,0)+7,4),,))</f>
        <v>2141.4155756936775</v>
      </c>
      <c r="N49" s="768">
        <f ca="1">INDIRECT("'kc-Wert für Stützen'!"&amp;SUBSTITUTE(ADDRESS(MATCH($A49,'kc-Wert für Stützen'!$C:$C,0),MATCH(N$7,'kc-Wert für Stützen'!$A$8:$ES$8,0)+7,4),,))</f>
        <v>2038.9814083009517</v>
      </c>
      <c r="O49" s="768">
        <f ca="1">INDIRECT("'kc-Wert für Stützen'!"&amp;SUBSTITUTE(ADDRESS(MATCH($A49,'kc-Wert für Stützen'!$C:$C,0),MATCH(O$7,'kc-Wert für Stützen'!$A$8:$ES$8,0)+7,4),,))</f>
        <v>1943.6498606716652</v>
      </c>
      <c r="P49" s="768">
        <f ca="1">INDIRECT("'kc-Wert für Stützen'!"&amp;SUBSTITUTE(ADDRESS(MATCH($A49,'kc-Wert für Stützen'!$C:$C,0),MATCH(P$7,'kc-Wert für Stützen'!$A$8:$ES$8,0)+7,4),,))</f>
        <v>1854.7897914201064</v>
      </c>
      <c r="S49" s="772">
        <f t="shared" ca="1" si="18"/>
        <v>3534.1158523024565</v>
      </c>
      <c r="T49" s="772">
        <f t="shared" ca="1" si="18"/>
        <v>3534.1158523024565</v>
      </c>
      <c r="U49" s="772">
        <f t="shared" ca="1" si="18"/>
        <v>3534.1158523024565</v>
      </c>
      <c r="V49" s="772">
        <f t="shared" ca="1" si="18"/>
        <v>3322.7924978981437</v>
      </c>
      <c r="W49" s="772">
        <f t="shared" ca="1" si="18"/>
        <v>3129.185921917986</v>
      </c>
      <c r="X49" s="772">
        <f t="shared" ca="1" si="18"/>
        <v>2951.5051584752641</v>
      </c>
      <c r="Y49" s="772">
        <f t="shared" ca="1" si="18"/>
        <v>2788.1475333077178</v>
      </c>
      <c r="Z49" s="772">
        <f t="shared" ca="1" si="18"/>
        <v>3534.1158523024565</v>
      </c>
      <c r="AA49" s="772">
        <f t="shared" ca="1" si="18"/>
        <v>3534.1158523024565</v>
      </c>
      <c r="AB49" s="772">
        <f t="shared" ca="1" si="15"/>
        <v>3322.7924978981437</v>
      </c>
      <c r="AC49" s="772">
        <f t="shared" ca="1" si="15"/>
        <v>3322.7924978981437</v>
      </c>
      <c r="AD49" s="772">
        <f t="shared" ca="1" si="15"/>
        <v>3129.185921917986</v>
      </c>
      <c r="AE49" s="772">
        <f t="shared" ca="1" si="15"/>
        <v>3129.185921917986</v>
      </c>
      <c r="AF49" s="772">
        <f t="shared" ca="1" si="15"/>
        <v>2951.5051584752641</v>
      </c>
      <c r="AG49" s="772">
        <f t="shared" ca="1" si="15"/>
        <v>2951.5051584752641</v>
      </c>
      <c r="AH49" s="772">
        <f t="shared" ca="1" si="15"/>
        <v>2951.5051584752641</v>
      </c>
      <c r="AI49" s="772">
        <f t="shared" ca="1" si="15"/>
        <v>3534.1158523024565</v>
      </c>
      <c r="AJ49" s="772">
        <f t="shared" ca="1" si="15"/>
        <v>3534.1158523024565</v>
      </c>
      <c r="AK49" s="772">
        <f t="shared" ca="1" si="15"/>
        <v>3322.7924978981437</v>
      </c>
      <c r="AL49" s="772">
        <f t="shared" ca="1" si="15"/>
        <v>3322.7924978981437</v>
      </c>
      <c r="AM49" s="772">
        <f t="shared" ca="1" si="15"/>
        <v>3129.185921917986</v>
      </c>
      <c r="AN49" s="772">
        <f t="shared" ca="1" si="15"/>
        <v>3129.185921917986</v>
      </c>
      <c r="AO49" s="772">
        <f t="shared" ca="1" si="15"/>
        <v>2951.5051584752641</v>
      </c>
      <c r="AP49" s="772">
        <f t="shared" ca="1" si="15"/>
        <v>2951.5051584752641</v>
      </c>
      <c r="AQ49" s="772">
        <f t="shared" ca="1" si="15"/>
        <v>2951.5051584752641</v>
      </c>
      <c r="AR49" s="772">
        <f t="shared" ca="1" si="13"/>
        <v>3534.1158523024565</v>
      </c>
      <c r="AS49" s="772">
        <f t="shared" ca="1" si="13"/>
        <v>3534.1158523024565</v>
      </c>
      <c r="AT49" s="772">
        <f t="shared" ca="1" si="13"/>
        <v>3322.7924978981437</v>
      </c>
      <c r="AU49" s="772">
        <f t="shared" ca="1" si="13"/>
        <v>3322.7924978981437</v>
      </c>
      <c r="AV49" s="772">
        <f t="shared" ca="1" si="13"/>
        <v>3129.185921917986</v>
      </c>
      <c r="AW49" s="772">
        <f t="shared" ca="1" si="13"/>
        <v>3129.185921917986</v>
      </c>
      <c r="AX49" s="772">
        <f t="shared" ca="1" si="13"/>
        <v>2951.5051584752641</v>
      </c>
      <c r="AY49" s="772">
        <f t="shared" ca="1" si="13"/>
        <v>2951.5051584752641</v>
      </c>
      <c r="AZ49" s="772">
        <f t="shared" ca="1" si="13"/>
        <v>2951.5051584752641</v>
      </c>
      <c r="BA49" s="772">
        <f t="shared" ca="1" si="13"/>
        <v>3534.1158523024565</v>
      </c>
      <c r="BB49" s="772">
        <f t="shared" ca="1" si="13"/>
        <v>3534.1158523024565</v>
      </c>
      <c r="BC49" s="772">
        <f t="shared" ca="1" si="13"/>
        <v>3322.7924978981437</v>
      </c>
      <c r="BD49" s="772">
        <f t="shared" ca="1" si="13"/>
        <v>3129.185921917986</v>
      </c>
      <c r="BE49" s="772">
        <f t="shared" ca="1" si="13"/>
        <v>3129.185921917986</v>
      </c>
      <c r="BF49" s="772">
        <f t="shared" ca="1" si="13"/>
        <v>2951.5051584752641</v>
      </c>
      <c r="BG49" s="772">
        <f t="shared" ref="BG49:BN58" ca="1" si="19">HLOOKUP(BG$7,$A$7:$P$348,ROW()-6)</f>
        <v>2951.5051584752641</v>
      </c>
      <c r="BH49" s="772">
        <f t="shared" ca="1" si="19"/>
        <v>2788.1475333077178</v>
      </c>
      <c r="BI49" s="772">
        <f t="shared" ca="1" si="19"/>
        <v>2788.1475333077178</v>
      </c>
      <c r="BJ49" s="772">
        <f t="shared" ca="1" si="19"/>
        <v>3322.7924978981437</v>
      </c>
      <c r="BK49" s="772">
        <f t="shared" ca="1" si="19"/>
        <v>3322.7924978981437</v>
      </c>
      <c r="BL49" s="772">
        <f t="shared" ca="1" si="19"/>
        <v>3322.7924978981437</v>
      </c>
      <c r="BM49" s="772">
        <f t="shared" ca="1" si="19"/>
        <v>3322.7924978981437</v>
      </c>
      <c r="BN49" s="772">
        <f t="shared" ca="1" si="19"/>
        <v>2951.5051584752641</v>
      </c>
      <c r="BO49" s="772">
        <f t="shared" ca="1" si="10"/>
        <v>2951.5051584752641</v>
      </c>
      <c r="BP49" s="772">
        <f t="shared" ca="1" si="10"/>
        <v>2788.1475333077178</v>
      </c>
      <c r="BQ49" s="772">
        <f t="shared" ca="1" si="10"/>
        <v>2788.1475333077178</v>
      </c>
      <c r="BR49" s="772">
        <f t="shared" ca="1" si="10"/>
        <v>2637.6848483823787</v>
      </c>
      <c r="BS49" s="772">
        <f t="shared" ca="1" si="10"/>
        <v>3322.7924978981437</v>
      </c>
      <c r="BT49" s="772">
        <f t="shared" ca="1" si="10"/>
        <v>3322.7924978981437</v>
      </c>
      <c r="BU49" s="772">
        <f t="shared" ca="1" si="10"/>
        <v>3322.7924978981437</v>
      </c>
      <c r="BV49" s="772">
        <f t="shared" ca="1" si="10"/>
        <v>3129.185921917986</v>
      </c>
      <c r="BW49" s="772">
        <f t="shared" ca="1" si="10"/>
        <v>3129.185921917986</v>
      </c>
      <c r="BX49" s="772">
        <f t="shared" ca="1" si="17"/>
        <v>2788.1475333077178</v>
      </c>
      <c r="BY49" s="772">
        <f t="shared" ca="1" si="17"/>
        <v>2788.1475333077178</v>
      </c>
      <c r="BZ49" s="772">
        <f t="shared" ca="1" si="17"/>
        <v>2637.6848483823787</v>
      </c>
      <c r="CA49" s="772">
        <f t="shared" ca="1" si="17"/>
        <v>2637.6848483823787</v>
      </c>
      <c r="CB49" s="772">
        <f t="shared" ca="1" si="17"/>
        <v>3129.185921917986</v>
      </c>
      <c r="CC49" s="772">
        <f t="shared" ca="1" si="17"/>
        <v>3129.185921917986</v>
      </c>
      <c r="CD49" s="772">
        <f t="shared" ca="1" si="17"/>
        <v>3129.185921917986</v>
      </c>
      <c r="CE49" s="772">
        <f t="shared" ca="1" si="17"/>
        <v>3129.185921917986</v>
      </c>
      <c r="CF49" s="772">
        <f t="shared" ca="1" si="17"/>
        <v>2951.5051584752641</v>
      </c>
      <c r="CG49" s="772">
        <f t="shared" ca="1" si="17"/>
        <v>2788.1475333077178</v>
      </c>
      <c r="CH49" s="772">
        <f t="shared" ca="1" si="17"/>
        <v>2637.6848483823787</v>
      </c>
      <c r="CI49" s="772">
        <f t="shared" ca="1" si="17"/>
        <v>2637.6848483823787</v>
      </c>
      <c r="CJ49" s="772">
        <f t="shared" ca="1" si="17"/>
        <v>2498.8471523494959</v>
      </c>
    </row>
    <row r="50" spans="1:88" ht="15" customHeight="1">
      <c r="A50" s="770">
        <f>'kc-Wert für Stützen'!C50</f>
        <v>102</v>
      </c>
      <c r="B50" s="768">
        <f ca="1">INDIRECT("'kc-Wert für Stützen'!"&amp;SUBSTITUTE(ADDRESS(MATCH($A50,'kc-Wert für Stützen'!$C:$C,0),MATCH(B$7,'kc-Wert für Stützen'!$A$8:$ES$8,0)+7,4),,))</f>
        <v>4173.0346469463639</v>
      </c>
      <c r="C50" s="768">
        <f ca="1">INDIRECT("'kc-Wert für Stützen'!"&amp;SUBSTITUTE(ADDRESS(MATCH($A50,'kc-Wert für Stützen'!$C:$C,0),MATCH(C$7,'kc-Wert für Stützen'!$A$8:$ES$8,0)+7,4),,))</f>
        <v>3911.0336979630943</v>
      </c>
      <c r="D50" s="768">
        <f ca="1">INDIRECT("'kc-Wert für Stützen'!"&amp;SUBSTITUTE(ADDRESS(MATCH($A50,'kc-Wert für Stützen'!$C:$C,0),MATCH(D$7,'kc-Wert für Stützen'!$A$8:$ES$8,0)+7,4),,))</f>
        <v>3671.5641630592063</v>
      </c>
      <c r="E50" s="768">
        <f ca="1">INDIRECT("'kc-Wert für Stützen'!"&amp;SUBSTITUTE(ADDRESS(MATCH($A50,'kc-Wert für Stützen'!$C:$C,0),MATCH(E$7,'kc-Wert für Stützen'!$A$8:$ES$8,0)+7,4),,))</f>
        <v>3452.4193578720115</v>
      </c>
      <c r="F50" s="768">
        <f ca="1">INDIRECT("'kc-Wert für Stützen'!"&amp;SUBSTITUTE(ADDRESS(MATCH($A50,'kc-Wert für Stützen'!$C:$C,0),MATCH(F$7,'kc-Wert für Stützen'!$A$8:$ES$8,0)+7,4),,))</f>
        <v>3251.574053593763</v>
      </c>
      <c r="G50" s="768">
        <f ca="1">INDIRECT("'kc-Wert für Stützen'!"&amp;SUBSTITUTE(ADDRESS(MATCH($A50,'kc-Wert für Stützen'!$C:$C,0),MATCH(G$7,'kc-Wert für Stützen'!$A$8:$ES$8,0)+7,4),,))</f>
        <v>3067.1953219853481</v>
      </c>
      <c r="H50" s="768">
        <f ca="1">INDIRECT("'kc-Wert für Stützen'!"&amp;SUBSTITUTE(ADDRESS(MATCH($A50,'kc-Wert für Stützen'!$C:$C,0),MATCH(H$7,'kc-Wert für Stützen'!$A$8:$ES$8,0)+7,4),,))</f>
        <v>2897.6381137342187</v>
      </c>
      <c r="I50" s="768">
        <f ca="1">INDIRECT("'kc-Wert für Stützen'!"&amp;SUBSTITUTE(ADDRESS(MATCH($A50,'kc-Wert für Stützen'!$C:$C,0),MATCH(I$7,'kc-Wert für Stützen'!$A$8:$ES$8,0)+7,4),,))</f>
        <v>2741.4332392147467</v>
      </c>
      <c r="J50" s="768">
        <f ca="1">INDIRECT("'kc-Wert für Stützen'!"&amp;SUBSTITUTE(ADDRESS(MATCH($A50,'kc-Wert für Stützen'!$C:$C,0),MATCH(J$7,'kc-Wert für Stützen'!$A$8:$ES$8,0)+7,4),,))</f>
        <v>2597.2720875337927</v>
      </c>
      <c r="K50" s="768">
        <f ca="1">INDIRECT("'kc-Wert für Stützen'!"&amp;SUBSTITUTE(ADDRESS(MATCH($A50,'kc-Wert für Stützen'!$C:$C,0),MATCH(K$7,'kc-Wert für Stützen'!$A$8:$ES$8,0)+7,4),,))</f>
        <v>2463.9904851634778</v>
      </c>
      <c r="L50" s="768">
        <f ca="1">INDIRECT("'kc-Wert für Stützen'!"&amp;SUBSTITUTE(ADDRESS(MATCH($A50,'kc-Wert für Stützen'!$C:$C,0),MATCH(L$7,'kc-Wert für Stützen'!$A$8:$ES$8,0)+7,4),,))</f>
        <v>2340.5529763600257</v>
      </c>
      <c r="M50" s="768">
        <f ca="1">INDIRECT("'kc-Wert für Stützen'!"&amp;SUBSTITUTE(ADDRESS(MATCH($A50,'kc-Wert für Stützen'!$C:$C,0),MATCH(M$7,'kc-Wert für Stützen'!$A$8:$ES$8,0)+7,4),,))</f>
        <v>2226.0381638089771</v>
      </c>
      <c r="N50" s="768">
        <f ca="1">INDIRECT("'kc-Wert für Stützen'!"&amp;SUBSTITUTE(ADDRESS(MATCH($A50,'kc-Wert für Stützen'!$C:$C,0),MATCH(N$7,'kc-Wert für Stützen'!$A$8:$ES$8,0)+7,4),,))</f>
        <v>2119.6253816619846</v>
      </c>
      <c r="O50" s="768">
        <f ca="1">INDIRECT("'kc-Wert für Stützen'!"&amp;SUBSTITUTE(ADDRESS(MATCH($A50,'kc-Wert für Stützen'!$C:$C,0),MATCH(O$7,'kc-Wert für Stützen'!$A$8:$ES$8,0)+7,4),,))</f>
        <v>2020.5827689937407</v>
      </c>
      <c r="P50" s="768">
        <f ca="1">INDIRECT("'kc-Wert für Stützen'!"&amp;SUBSTITUTE(ADDRESS(MATCH($A50,'kc-Wert für Stützen'!$C:$C,0),MATCH(P$7,'kc-Wert für Stützen'!$A$8:$ES$8,0)+7,4),,))</f>
        <v>1928.2567021909965</v>
      </c>
      <c r="S50" s="772">
        <f t="shared" ca="1" si="18"/>
        <v>3671.5641630592063</v>
      </c>
      <c r="T50" s="772">
        <f t="shared" ca="1" si="18"/>
        <v>3671.5641630592063</v>
      </c>
      <c r="U50" s="772">
        <f t="shared" ca="1" si="18"/>
        <v>3671.5641630592063</v>
      </c>
      <c r="V50" s="772">
        <f t="shared" ca="1" si="18"/>
        <v>3452.4193578720115</v>
      </c>
      <c r="W50" s="772">
        <f t="shared" ca="1" si="18"/>
        <v>3251.574053593763</v>
      </c>
      <c r="X50" s="772">
        <f t="shared" ca="1" si="18"/>
        <v>3067.1953219853481</v>
      </c>
      <c r="Y50" s="772">
        <f t="shared" ca="1" si="18"/>
        <v>2897.6381137342187</v>
      </c>
      <c r="Z50" s="772">
        <f t="shared" ca="1" si="18"/>
        <v>3671.5641630592063</v>
      </c>
      <c r="AA50" s="772">
        <f t="shared" ca="1" si="18"/>
        <v>3671.5641630592063</v>
      </c>
      <c r="AB50" s="772">
        <f t="shared" ca="1" si="15"/>
        <v>3452.4193578720115</v>
      </c>
      <c r="AC50" s="772">
        <f t="shared" ca="1" si="15"/>
        <v>3452.4193578720115</v>
      </c>
      <c r="AD50" s="772">
        <f t="shared" ca="1" si="15"/>
        <v>3251.574053593763</v>
      </c>
      <c r="AE50" s="772">
        <f t="shared" ca="1" si="15"/>
        <v>3251.574053593763</v>
      </c>
      <c r="AF50" s="772">
        <f t="shared" ca="1" si="15"/>
        <v>3067.1953219853481</v>
      </c>
      <c r="AG50" s="772">
        <f t="shared" ca="1" si="15"/>
        <v>3067.1953219853481</v>
      </c>
      <c r="AH50" s="772">
        <f t="shared" ca="1" si="15"/>
        <v>3067.1953219853481</v>
      </c>
      <c r="AI50" s="772">
        <f t="shared" ca="1" si="15"/>
        <v>3671.5641630592063</v>
      </c>
      <c r="AJ50" s="772">
        <f t="shared" ca="1" si="15"/>
        <v>3671.5641630592063</v>
      </c>
      <c r="AK50" s="772">
        <f t="shared" ca="1" si="15"/>
        <v>3452.4193578720115</v>
      </c>
      <c r="AL50" s="772">
        <f t="shared" ca="1" si="15"/>
        <v>3452.4193578720115</v>
      </c>
      <c r="AM50" s="772">
        <f t="shared" ca="1" si="15"/>
        <v>3251.574053593763</v>
      </c>
      <c r="AN50" s="772">
        <f t="shared" ca="1" si="15"/>
        <v>3251.574053593763</v>
      </c>
      <c r="AO50" s="772">
        <f t="shared" ca="1" si="15"/>
        <v>3067.1953219853481</v>
      </c>
      <c r="AP50" s="772">
        <f t="shared" ca="1" si="15"/>
        <v>3067.1953219853481</v>
      </c>
      <c r="AQ50" s="772">
        <f t="shared" ca="1" si="15"/>
        <v>3067.1953219853481</v>
      </c>
      <c r="AR50" s="772">
        <f t="shared" ca="1" si="13"/>
        <v>3671.5641630592063</v>
      </c>
      <c r="AS50" s="772">
        <f t="shared" ca="1" si="13"/>
        <v>3671.5641630592063</v>
      </c>
      <c r="AT50" s="772">
        <f t="shared" ca="1" si="13"/>
        <v>3452.4193578720115</v>
      </c>
      <c r="AU50" s="772">
        <f t="shared" ca="1" si="13"/>
        <v>3452.4193578720115</v>
      </c>
      <c r="AV50" s="772">
        <f t="shared" ca="1" si="13"/>
        <v>3251.574053593763</v>
      </c>
      <c r="AW50" s="772">
        <f t="shared" ca="1" si="13"/>
        <v>3251.574053593763</v>
      </c>
      <c r="AX50" s="772">
        <f t="shared" ca="1" si="13"/>
        <v>3067.1953219853481</v>
      </c>
      <c r="AY50" s="772">
        <f t="shared" ca="1" si="13"/>
        <v>3067.1953219853481</v>
      </c>
      <c r="AZ50" s="772">
        <f t="shared" ca="1" si="13"/>
        <v>3067.1953219853481</v>
      </c>
      <c r="BA50" s="772">
        <f t="shared" ca="1" si="13"/>
        <v>3671.5641630592063</v>
      </c>
      <c r="BB50" s="772">
        <f t="shared" ca="1" si="13"/>
        <v>3671.5641630592063</v>
      </c>
      <c r="BC50" s="772">
        <f t="shared" ca="1" si="13"/>
        <v>3452.4193578720115</v>
      </c>
      <c r="BD50" s="772">
        <f t="shared" ca="1" si="13"/>
        <v>3251.574053593763</v>
      </c>
      <c r="BE50" s="772">
        <f t="shared" ca="1" si="13"/>
        <v>3251.574053593763</v>
      </c>
      <c r="BF50" s="772">
        <f t="shared" ca="1" si="13"/>
        <v>3067.1953219853481</v>
      </c>
      <c r="BG50" s="772">
        <f t="shared" ca="1" si="19"/>
        <v>3067.1953219853481</v>
      </c>
      <c r="BH50" s="772">
        <f t="shared" ca="1" si="19"/>
        <v>2897.6381137342187</v>
      </c>
      <c r="BI50" s="772">
        <f t="shared" ca="1" si="19"/>
        <v>2897.6381137342187</v>
      </c>
      <c r="BJ50" s="772">
        <f t="shared" ca="1" si="19"/>
        <v>3452.4193578720115</v>
      </c>
      <c r="BK50" s="772">
        <f t="shared" ca="1" si="19"/>
        <v>3452.4193578720115</v>
      </c>
      <c r="BL50" s="772">
        <f t="shared" ca="1" si="19"/>
        <v>3452.4193578720115</v>
      </c>
      <c r="BM50" s="772">
        <f t="shared" ca="1" si="19"/>
        <v>3452.4193578720115</v>
      </c>
      <c r="BN50" s="772">
        <f t="shared" ca="1" si="19"/>
        <v>3067.1953219853481</v>
      </c>
      <c r="BO50" s="772">
        <f t="shared" ca="1" si="10"/>
        <v>3067.1953219853481</v>
      </c>
      <c r="BP50" s="772">
        <f t="shared" ca="1" si="10"/>
        <v>2897.6381137342187</v>
      </c>
      <c r="BQ50" s="772">
        <f t="shared" ca="1" si="10"/>
        <v>2897.6381137342187</v>
      </c>
      <c r="BR50" s="772">
        <f t="shared" ca="1" si="10"/>
        <v>2741.4332392147467</v>
      </c>
      <c r="BS50" s="772">
        <f t="shared" ca="1" si="10"/>
        <v>3452.4193578720115</v>
      </c>
      <c r="BT50" s="772">
        <f t="shared" ca="1" si="10"/>
        <v>3452.4193578720115</v>
      </c>
      <c r="BU50" s="772">
        <f t="shared" ca="1" si="10"/>
        <v>3452.4193578720115</v>
      </c>
      <c r="BV50" s="772">
        <f t="shared" ca="1" si="10"/>
        <v>3251.574053593763</v>
      </c>
      <c r="BW50" s="772">
        <f t="shared" ca="1" si="10"/>
        <v>3251.574053593763</v>
      </c>
      <c r="BX50" s="772">
        <f t="shared" ca="1" si="17"/>
        <v>2897.6381137342187</v>
      </c>
      <c r="BY50" s="772">
        <f t="shared" ca="1" si="17"/>
        <v>2897.6381137342187</v>
      </c>
      <c r="BZ50" s="772">
        <f t="shared" ca="1" si="17"/>
        <v>2741.4332392147467</v>
      </c>
      <c r="CA50" s="772">
        <f t="shared" ca="1" si="17"/>
        <v>2741.4332392147467</v>
      </c>
      <c r="CB50" s="772">
        <f t="shared" ca="1" si="17"/>
        <v>3251.574053593763</v>
      </c>
      <c r="CC50" s="772">
        <f t="shared" ca="1" si="17"/>
        <v>3251.574053593763</v>
      </c>
      <c r="CD50" s="772">
        <f t="shared" ca="1" si="17"/>
        <v>3251.574053593763</v>
      </c>
      <c r="CE50" s="772">
        <f t="shared" ca="1" si="17"/>
        <v>3251.574053593763</v>
      </c>
      <c r="CF50" s="772">
        <f t="shared" ca="1" si="17"/>
        <v>3067.1953219853481</v>
      </c>
      <c r="CG50" s="772">
        <f t="shared" ca="1" si="17"/>
        <v>2897.6381137342187</v>
      </c>
      <c r="CH50" s="772">
        <f t="shared" ca="1" si="17"/>
        <v>2741.4332392147467</v>
      </c>
      <c r="CI50" s="772">
        <f t="shared" ca="1" si="17"/>
        <v>2741.4332392147467</v>
      </c>
      <c r="CJ50" s="772">
        <f t="shared" ca="1" si="17"/>
        <v>2597.2720875337927</v>
      </c>
    </row>
    <row r="51" spans="1:88" ht="15" customHeight="1">
      <c r="A51" s="770">
        <f>'kc-Wert für Stützen'!C51</f>
        <v>103</v>
      </c>
      <c r="B51" s="768">
        <f ca="1">INDIRECT("'kc-Wert für Stützen'!"&amp;SUBSTITUTE(ADDRESS(MATCH($A51,'kc-Wert für Stützen'!$C:$C,0),MATCH(B$7,'kc-Wert für Stützen'!$A$8:$ES$8,0)+7,4),,))</f>
        <v>4332.1699007862298</v>
      </c>
      <c r="C51" s="768">
        <f ca="1">INDIRECT("'kc-Wert für Stützen'!"&amp;SUBSTITUTE(ADDRESS(MATCH($A51,'kc-Wert für Stützen'!$C:$C,0),MATCH(C$7,'kc-Wert für Stützen'!$A$8:$ES$8,0)+7,4),,))</f>
        <v>4060.8922547553211</v>
      </c>
      <c r="D51" s="768">
        <f ca="1">INDIRECT("'kc-Wert für Stützen'!"&amp;SUBSTITUTE(ADDRESS(MATCH($A51,'kc-Wert für Stützen'!$C:$C,0),MATCH(D$7,'kc-Wert für Stützen'!$A$8:$ES$8,0)+7,4),,))</f>
        <v>3812.7954518354532</v>
      </c>
      <c r="E51" s="768">
        <f ca="1">INDIRECT("'kc-Wert für Stützen'!"&amp;SUBSTITUTE(ADDRESS(MATCH($A51,'kc-Wert für Stützen'!$C:$C,0),MATCH(E$7,'kc-Wert für Stützen'!$A$8:$ES$8,0)+7,4),,))</f>
        <v>3585.64814606855</v>
      </c>
      <c r="F51" s="768">
        <f ca="1">INDIRECT("'kc-Wert für Stützen'!"&amp;SUBSTITUTE(ADDRESS(MATCH($A51,'kc-Wert für Stützen'!$C:$C,0),MATCH(F$7,'kc-Wert für Stützen'!$A$8:$ES$8,0)+7,4),,))</f>
        <v>3377.389444991351</v>
      </c>
      <c r="G51" s="768">
        <f ca="1">INDIRECT("'kc-Wert für Stützen'!"&amp;SUBSTITUTE(ADDRESS(MATCH($A51,'kc-Wert für Stützen'!$C:$C,0),MATCH(G$7,'kc-Wert für Stützen'!$A$8:$ES$8,0)+7,4),,))</f>
        <v>3186.1459343622905</v>
      </c>
      <c r="H51" s="768">
        <f ca="1">INDIRECT("'kc-Wert für Stützen'!"&amp;SUBSTITUTE(ADDRESS(MATCH($A51,'kc-Wert für Stützen'!$C:$C,0),MATCH(H$7,'kc-Wert für Stützen'!$A$8:$ES$8,0)+7,4),,))</f>
        <v>3010.2308931710268</v>
      </c>
      <c r="I51" s="768">
        <f ca="1">INDIRECT("'kc-Wert für Stützen'!"&amp;SUBSTITUTE(ADDRESS(MATCH($A51,'kc-Wert für Stützen'!$C:$C,0),MATCH(I$7,'kc-Wert für Stützen'!$A$8:$ES$8,0)+7,4),,))</f>
        <v>2848.1343554871187</v>
      </c>
      <c r="J51" s="768">
        <f ca="1">INDIRECT("'kc-Wert für Stützen'!"&amp;SUBSTITUTE(ADDRESS(MATCH($A51,'kc-Wert für Stützen'!$C:$C,0),MATCH(J$7,'kc-Wert für Stützen'!$A$8:$ES$8,0)+7,4),,))</f>
        <v>2698.508962693707</v>
      </c>
      <c r="K51" s="768">
        <f ca="1">INDIRECT("'kc-Wert für Stützen'!"&amp;SUBSTITUTE(ADDRESS(MATCH($A51,'kc-Wert für Stützen'!$C:$C,0),MATCH(K$7,'kc-Wert für Stützen'!$A$8:$ES$8,0)+7,4),,))</f>
        <v>2560.1543809933264</v>
      </c>
      <c r="L51" s="768">
        <f ca="1">INDIRECT("'kc-Wert für Stützen'!"&amp;SUBSTITUTE(ADDRESS(MATCH($A51,'kc-Wert für Stützen'!$C:$C,0),MATCH(L$7,'kc-Wert für Stützen'!$A$8:$ES$8,0)+7,4),,))</f>
        <v>2432.0017964088811</v>
      </c>
      <c r="M51" s="768">
        <f ca="1">INDIRECT("'kc-Wert für Stützen'!"&amp;SUBSTITUTE(ADDRESS(MATCH($A51,'kc-Wert für Stützen'!$C:$C,0),MATCH(M$7,'kc-Wert für Stützen'!$A$8:$ES$8,0)+7,4),,))</f>
        <v>2313.0992675890657</v>
      </c>
      <c r="N51" s="768">
        <f ca="1">INDIRECT("'kc-Wert für Stützen'!"&amp;SUBSTITUTE(ADDRESS(MATCH($A51,'kc-Wert für Stützen'!$C:$C,0),MATCH(N$7,'kc-Wert für Stützen'!$A$8:$ES$8,0)+7,4),,))</f>
        <v>2202.5982961022692</v>
      </c>
      <c r="O51" s="768">
        <f ca="1">INDIRECT("'kc-Wert für Stützen'!"&amp;SUBSTITUTE(ADDRESS(MATCH($A51,'kc-Wert für Stützen'!$C:$C,0),MATCH(O$7,'kc-Wert für Stützen'!$A$8:$ES$8,0)+7,4),,))</f>
        <v>2099.7417360935833</v>
      </c>
      <c r="P51" s="768">
        <f ca="1">INDIRECT("'kc-Wert für Stützen'!"&amp;SUBSTITUTE(ADDRESS(MATCH($A51,'kc-Wert für Stützen'!$C:$C,0),MATCH(P$7,'kc-Wert für Stützen'!$A$8:$ES$8,0)+7,4),,))</f>
        <v>2003.8530347045091</v>
      </c>
      <c r="S51" s="772">
        <f t="shared" ca="1" si="18"/>
        <v>3812.7954518354532</v>
      </c>
      <c r="T51" s="772">
        <f t="shared" ca="1" si="18"/>
        <v>3812.7954518354532</v>
      </c>
      <c r="U51" s="772">
        <f t="shared" ca="1" si="18"/>
        <v>3812.7954518354532</v>
      </c>
      <c r="V51" s="772">
        <f t="shared" ca="1" si="18"/>
        <v>3585.64814606855</v>
      </c>
      <c r="W51" s="772">
        <f t="shared" ca="1" si="18"/>
        <v>3377.389444991351</v>
      </c>
      <c r="X51" s="772">
        <f t="shared" ca="1" si="18"/>
        <v>3186.1459343622905</v>
      </c>
      <c r="Y51" s="772">
        <f t="shared" ca="1" si="18"/>
        <v>3010.2308931710268</v>
      </c>
      <c r="Z51" s="772">
        <f t="shared" ca="1" si="18"/>
        <v>3812.7954518354532</v>
      </c>
      <c r="AA51" s="772">
        <f t="shared" ca="1" si="18"/>
        <v>3812.7954518354532</v>
      </c>
      <c r="AB51" s="772">
        <f t="shared" ca="1" si="15"/>
        <v>3585.64814606855</v>
      </c>
      <c r="AC51" s="772">
        <f t="shared" ca="1" si="15"/>
        <v>3585.64814606855</v>
      </c>
      <c r="AD51" s="772">
        <f t="shared" ca="1" si="15"/>
        <v>3377.389444991351</v>
      </c>
      <c r="AE51" s="772">
        <f t="shared" ca="1" si="15"/>
        <v>3377.389444991351</v>
      </c>
      <c r="AF51" s="772">
        <f t="shared" ca="1" si="15"/>
        <v>3186.1459343622905</v>
      </c>
      <c r="AG51" s="772">
        <f t="shared" ca="1" si="15"/>
        <v>3186.1459343622905</v>
      </c>
      <c r="AH51" s="772">
        <f t="shared" ca="1" si="15"/>
        <v>3186.1459343622905</v>
      </c>
      <c r="AI51" s="772">
        <f t="shared" ca="1" si="15"/>
        <v>3812.7954518354532</v>
      </c>
      <c r="AJ51" s="772">
        <f t="shared" ca="1" si="15"/>
        <v>3812.7954518354532</v>
      </c>
      <c r="AK51" s="772">
        <f t="shared" ca="1" si="15"/>
        <v>3585.64814606855</v>
      </c>
      <c r="AL51" s="772">
        <f t="shared" ca="1" si="15"/>
        <v>3585.64814606855</v>
      </c>
      <c r="AM51" s="772">
        <f t="shared" ca="1" si="15"/>
        <v>3377.389444991351</v>
      </c>
      <c r="AN51" s="772">
        <f t="shared" ca="1" si="15"/>
        <v>3377.389444991351</v>
      </c>
      <c r="AO51" s="772">
        <f t="shared" ca="1" si="15"/>
        <v>3186.1459343622905</v>
      </c>
      <c r="AP51" s="772">
        <f t="shared" ca="1" si="15"/>
        <v>3186.1459343622905</v>
      </c>
      <c r="AQ51" s="772">
        <f t="shared" ca="1" si="15"/>
        <v>3186.1459343622905</v>
      </c>
      <c r="AR51" s="772">
        <f t="shared" ca="1" si="13"/>
        <v>3812.7954518354532</v>
      </c>
      <c r="AS51" s="772">
        <f t="shared" ca="1" si="13"/>
        <v>3812.7954518354532</v>
      </c>
      <c r="AT51" s="772">
        <f t="shared" ca="1" si="13"/>
        <v>3585.64814606855</v>
      </c>
      <c r="AU51" s="772">
        <f t="shared" ca="1" si="13"/>
        <v>3585.64814606855</v>
      </c>
      <c r="AV51" s="772">
        <f t="shared" ca="1" si="13"/>
        <v>3377.389444991351</v>
      </c>
      <c r="AW51" s="772">
        <f t="shared" ca="1" si="13"/>
        <v>3377.389444991351</v>
      </c>
      <c r="AX51" s="772">
        <f t="shared" ca="1" si="13"/>
        <v>3186.1459343622905</v>
      </c>
      <c r="AY51" s="772">
        <f t="shared" ca="1" si="13"/>
        <v>3186.1459343622905</v>
      </c>
      <c r="AZ51" s="772">
        <f t="shared" ca="1" si="13"/>
        <v>3186.1459343622905</v>
      </c>
      <c r="BA51" s="772">
        <f t="shared" ca="1" si="13"/>
        <v>3812.7954518354532</v>
      </c>
      <c r="BB51" s="772">
        <f t="shared" ca="1" si="13"/>
        <v>3812.7954518354532</v>
      </c>
      <c r="BC51" s="772">
        <f t="shared" ca="1" si="13"/>
        <v>3585.64814606855</v>
      </c>
      <c r="BD51" s="772">
        <f t="shared" ca="1" si="13"/>
        <v>3377.389444991351</v>
      </c>
      <c r="BE51" s="772">
        <f t="shared" ca="1" si="13"/>
        <v>3377.389444991351</v>
      </c>
      <c r="BF51" s="772">
        <f t="shared" ca="1" si="13"/>
        <v>3186.1459343622905</v>
      </c>
      <c r="BG51" s="772">
        <f t="shared" ca="1" si="19"/>
        <v>3186.1459343622905</v>
      </c>
      <c r="BH51" s="772">
        <f t="shared" ca="1" si="19"/>
        <v>3010.2308931710268</v>
      </c>
      <c r="BI51" s="772">
        <f t="shared" ca="1" si="19"/>
        <v>3010.2308931710268</v>
      </c>
      <c r="BJ51" s="772">
        <f t="shared" ca="1" si="19"/>
        <v>3585.64814606855</v>
      </c>
      <c r="BK51" s="772">
        <f t="shared" ca="1" si="19"/>
        <v>3585.64814606855</v>
      </c>
      <c r="BL51" s="772">
        <f t="shared" ca="1" si="19"/>
        <v>3585.64814606855</v>
      </c>
      <c r="BM51" s="772">
        <f t="shared" ca="1" si="19"/>
        <v>3585.64814606855</v>
      </c>
      <c r="BN51" s="772">
        <f t="shared" ca="1" si="19"/>
        <v>3186.1459343622905</v>
      </c>
      <c r="BO51" s="772">
        <f t="shared" ca="1" si="10"/>
        <v>3186.1459343622905</v>
      </c>
      <c r="BP51" s="772">
        <f t="shared" ca="1" si="10"/>
        <v>3010.2308931710268</v>
      </c>
      <c r="BQ51" s="772">
        <f t="shared" ca="1" si="10"/>
        <v>3010.2308931710268</v>
      </c>
      <c r="BR51" s="772">
        <f t="shared" ca="1" si="10"/>
        <v>2848.1343554871187</v>
      </c>
      <c r="BS51" s="772">
        <f t="shared" ca="1" si="10"/>
        <v>3585.64814606855</v>
      </c>
      <c r="BT51" s="772">
        <f t="shared" ca="1" si="10"/>
        <v>3585.64814606855</v>
      </c>
      <c r="BU51" s="772">
        <f t="shared" ca="1" si="10"/>
        <v>3585.64814606855</v>
      </c>
      <c r="BV51" s="772">
        <f t="shared" ca="1" si="10"/>
        <v>3377.389444991351</v>
      </c>
      <c r="BW51" s="772">
        <f t="shared" ca="1" si="10"/>
        <v>3377.389444991351</v>
      </c>
      <c r="BX51" s="772">
        <f t="shared" ca="1" si="17"/>
        <v>3010.2308931710268</v>
      </c>
      <c r="BY51" s="772">
        <f t="shared" ca="1" si="17"/>
        <v>3010.2308931710268</v>
      </c>
      <c r="BZ51" s="772">
        <f t="shared" ca="1" si="17"/>
        <v>2848.1343554871187</v>
      </c>
      <c r="CA51" s="772">
        <f t="shared" ca="1" si="17"/>
        <v>2848.1343554871187</v>
      </c>
      <c r="CB51" s="772">
        <f t="shared" ca="1" si="17"/>
        <v>3377.389444991351</v>
      </c>
      <c r="CC51" s="772">
        <f t="shared" ca="1" si="17"/>
        <v>3377.389444991351</v>
      </c>
      <c r="CD51" s="772">
        <f t="shared" ca="1" si="17"/>
        <v>3377.389444991351</v>
      </c>
      <c r="CE51" s="772">
        <f t="shared" ca="1" si="17"/>
        <v>3377.389444991351</v>
      </c>
      <c r="CF51" s="772">
        <f t="shared" ca="1" si="17"/>
        <v>3186.1459343622905</v>
      </c>
      <c r="CG51" s="772">
        <f t="shared" ca="1" si="17"/>
        <v>3010.2308931710268</v>
      </c>
      <c r="CH51" s="772">
        <f t="shared" ca="1" si="17"/>
        <v>2848.1343554871187</v>
      </c>
      <c r="CI51" s="772">
        <f t="shared" ca="1" si="17"/>
        <v>2848.1343554871187</v>
      </c>
      <c r="CJ51" s="772">
        <f t="shared" ca="1" si="17"/>
        <v>2698.508962693707</v>
      </c>
    </row>
    <row r="52" spans="1:88" ht="15" customHeight="1">
      <c r="A52" s="770">
        <f>'kc-Wert für Stützen'!C52</f>
        <v>104</v>
      </c>
      <c r="B52" s="768">
        <f ca="1">INDIRECT("'kc-Wert für Stützen'!"&amp;SUBSTITUTE(ADDRESS(MATCH($A52,'kc-Wert für Stützen'!$C:$C,0),MATCH(B$7,'kc-Wert für Stützen'!$A$8:$ES$8,0)+7,4),,))</f>
        <v>4495.5056530144802</v>
      </c>
      <c r="C52" s="768">
        <f ca="1">INDIRECT("'kc-Wert für Stützen'!"&amp;SUBSTITUTE(ADDRESS(MATCH($A52,'kc-Wert für Stützen'!$C:$C,0),MATCH(C$7,'kc-Wert für Stützen'!$A$8:$ES$8,0)+7,4),,))</f>
        <v>4214.7706453629935</v>
      </c>
      <c r="D52" s="768">
        <f ca="1">INDIRECT("'kc-Wert für Stützen'!"&amp;SUBSTITUTE(ADDRESS(MATCH($A52,'kc-Wert für Stützen'!$C:$C,0),MATCH(D$7,'kc-Wert für Stützen'!$A$8:$ES$8,0)+7,4),,))</f>
        <v>3957.8633073701221</v>
      </c>
      <c r="E52" s="768">
        <f ca="1">INDIRECT("'kc-Wert für Stützen'!"&amp;SUBSTITUTE(ADDRESS(MATCH($A52,'kc-Wert für Stützen'!$C:$C,0),MATCH(E$7,'kc-Wert für Stützen'!$A$8:$ES$8,0)+7,4),,))</f>
        <v>3722.532777073985</v>
      </c>
      <c r="F52" s="768">
        <f ca="1">INDIRECT("'kc-Wert für Stützen'!"&amp;SUBSTITUTE(ADDRESS(MATCH($A52,'kc-Wert für Stützen'!$C:$C,0),MATCH(F$7,'kc-Wert für Stützen'!$A$8:$ES$8,0)+7,4),,))</f>
        <v>3506.6855717290641</v>
      </c>
      <c r="G52" s="768">
        <f ca="1">INDIRECT("'kc-Wert für Stützen'!"&amp;SUBSTITUTE(ADDRESS(MATCH($A52,'kc-Wert für Stützen'!$C:$C,0),MATCH(G$7,'kc-Wert für Stützen'!$A$8:$ES$8,0)+7,4),,))</f>
        <v>3308.4095298304192</v>
      </c>
      <c r="H52" s="768">
        <f ca="1">INDIRECT("'kc-Wert für Stützen'!"&amp;SUBSTITUTE(ADDRESS(MATCH($A52,'kc-Wert für Stützen'!$C:$C,0),MATCH(H$7,'kc-Wert für Stützen'!$A$8:$ES$8,0)+7,4),,))</f>
        <v>3125.9771420804977</v>
      </c>
      <c r="I52" s="768">
        <f ca="1">INDIRECT("'kc-Wert für Stützen'!"&amp;SUBSTITUTE(ADDRESS(MATCH($A52,'kc-Wert für Stützen'!$C:$C,0),MATCH(I$7,'kc-Wert für Stützen'!$A$8:$ES$8,0)+7,4),,))</f>
        <v>2957.838005430644</v>
      </c>
      <c r="J52" s="768">
        <f ca="1">INDIRECT("'kc-Wert für Stützen'!"&amp;SUBSTITUTE(ADDRESS(MATCH($A52,'kc-Wert für Stützen'!$C:$C,0),MATCH(J$7,'kc-Wert für Stützen'!$A$8:$ES$8,0)+7,4),,))</f>
        <v>2802.6060107606459</v>
      </c>
      <c r="K52" s="768">
        <f ca="1">INDIRECT("'kc-Wert für Stützen'!"&amp;SUBSTITUTE(ADDRESS(MATCH($A52,'kc-Wert für Stützen'!$C:$C,0),MATCH(K$7,'kc-Wert für Stützen'!$A$8:$ES$8,0)+7,4),,))</f>
        <v>2659.0444510379471</v>
      </c>
      <c r="L52" s="768">
        <f ca="1">INDIRECT("'kc-Wert für Stützen'!"&amp;SUBSTITUTE(ADDRESS(MATCH($A52,'kc-Wert für Stützen'!$C:$C,0),MATCH(L$7,'kc-Wert für Stützen'!$A$8:$ES$8,0)+7,4),,))</f>
        <v>2526.0508168678457</v>
      </c>
      <c r="M52" s="768">
        <f ca="1">INDIRECT("'kc-Wert für Stützen'!"&amp;SUBSTITUTE(ADDRESS(MATCH($A52,'kc-Wert für Stützen'!$C:$C,0),MATCH(M$7,'kc-Wert für Stützen'!$A$8:$ES$8,0)+7,4),,))</f>
        <v>2402.6422174871013</v>
      </c>
      <c r="N52" s="768">
        <f ca="1">INDIRECT("'kc-Wert für Stützen'!"&amp;SUBSTITUTE(ADDRESS(MATCH($A52,'kc-Wert für Stützen'!$C:$C,0),MATCH(N$7,'kc-Wert für Stützen'!$A$8:$ES$8,0)+7,4),,))</f>
        <v>2287.9418846702406</v>
      </c>
      <c r="O52" s="768">
        <f ca="1">INDIRECT("'kc-Wert für Stützen'!"&amp;SUBSTITUTE(ADDRESS(MATCH($A52,'kc-Wert für Stützen'!$C:$C,0),MATCH(O$7,'kc-Wert für Stützen'!$A$8:$ES$8,0)+7,4),,))</f>
        <v>2181.1669419520063</v>
      </c>
      <c r="P52" s="768">
        <f ca="1">INDIRECT("'kc-Wert für Stützen'!"&amp;SUBSTITUTE(ADDRESS(MATCH($A52,'kc-Wert für Stützen'!$C:$C,0),MATCH(P$7,'kc-Wert für Stützen'!$A$8:$ES$8,0)+7,4),,))</f>
        <v>2081.617467834908</v>
      </c>
      <c r="S52" s="772">
        <f t="shared" ca="1" si="18"/>
        <v>3957.8633073701221</v>
      </c>
      <c r="T52" s="772">
        <f t="shared" ca="1" si="18"/>
        <v>3957.8633073701221</v>
      </c>
      <c r="U52" s="772">
        <f t="shared" ca="1" si="18"/>
        <v>3957.8633073701221</v>
      </c>
      <c r="V52" s="772">
        <f t="shared" ca="1" si="18"/>
        <v>3722.532777073985</v>
      </c>
      <c r="W52" s="772">
        <f t="shared" ca="1" si="18"/>
        <v>3506.6855717290641</v>
      </c>
      <c r="X52" s="772">
        <f t="shared" ca="1" si="18"/>
        <v>3308.4095298304192</v>
      </c>
      <c r="Y52" s="772">
        <f t="shared" ca="1" si="18"/>
        <v>3125.9771420804977</v>
      </c>
      <c r="Z52" s="772">
        <f t="shared" ca="1" si="18"/>
        <v>3957.8633073701221</v>
      </c>
      <c r="AA52" s="772">
        <f t="shared" ca="1" si="18"/>
        <v>3957.8633073701221</v>
      </c>
      <c r="AB52" s="772">
        <f t="shared" ca="1" si="15"/>
        <v>3722.532777073985</v>
      </c>
      <c r="AC52" s="772">
        <f t="shared" ca="1" si="15"/>
        <v>3722.532777073985</v>
      </c>
      <c r="AD52" s="772">
        <f t="shared" ca="1" si="15"/>
        <v>3506.6855717290641</v>
      </c>
      <c r="AE52" s="772">
        <f t="shared" ca="1" si="15"/>
        <v>3506.6855717290641</v>
      </c>
      <c r="AF52" s="772">
        <f t="shared" ca="1" si="15"/>
        <v>3308.4095298304192</v>
      </c>
      <c r="AG52" s="772">
        <f t="shared" ca="1" si="15"/>
        <v>3308.4095298304192</v>
      </c>
      <c r="AH52" s="772">
        <f t="shared" ca="1" si="15"/>
        <v>3308.4095298304192</v>
      </c>
      <c r="AI52" s="772">
        <f t="shared" ca="1" si="15"/>
        <v>3957.8633073701221</v>
      </c>
      <c r="AJ52" s="772">
        <f t="shared" ca="1" si="15"/>
        <v>3957.8633073701221</v>
      </c>
      <c r="AK52" s="772">
        <f t="shared" ca="1" si="15"/>
        <v>3722.532777073985</v>
      </c>
      <c r="AL52" s="772">
        <f t="shared" ca="1" si="15"/>
        <v>3722.532777073985</v>
      </c>
      <c r="AM52" s="772">
        <f t="shared" ca="1" si="15"/>
        <v>3506.6855717290641</v>
      </c>
      <c r="AN52" s="772">
        <f t="shared" ca="1" si="15"/>
        <v>3506.6855717290641</v>
      </c>
      <c r="AO52" s="772">
        <f t="shared" ca="1" si="15"/>
        <v>3308.4095298304192</v>
      </c>
      <c r="AP52" s="772">
        <f t="shared" ca="1" si="15"/>
        <v>3308.4095298304192</v>
      </c>
      <c r="AQ52" s="772">
        <f t="shared" ca="1" si="15"/>
        <v>3308.4095298304192</v>
      </c>
      <c r="AR52" s="772">
        <f t="shared" ca="1" si="13"/>
        <v>3957.8633073701221</v>
      </c>
      <c r="AS52" s="772">
        <f t="shared" ca="1" si="13"/>
        <v>3957.8633073701221</v>
      </c>
      <c r="AT52" s="772">
        <f t="shared" ca="1" si="13"/>
        <v>3722.532777073985</v>
      </c>
      <c r="AU52" s="772">
        <f t="shared" ca="1" si="13"/>
        <v>3722.532777073985</v>
      </c>
      <c r="AV52" s="772">
        <f t="shared" ca="1" si="13"/>
        <v>3506.6855717290641</v>
      </c>
      <c r="AW52" s="772">
        <f t="shared" ca="1" si="13"/>
        <v>3506.6855717290641</v>
      </c>
      <c r="AX52" s="772">
        <f t="shared" ca="1" si="13"/>
        <v>3308.4095298304192</v>
      </c>
      <c r="AY52" s="772">
        <f t="shared" ca="1" si="13"/>
        <v>3308.4095298304192</v>
      </c>
      <c r="AZ52" s="772">
        <f t="shared" ca="1" si="13"/>
        <v>3308.4095298304192</v>
      </c>
      <c r="BA52" s="772">
        <f t="shared" ca="1" si="13"/>
        <v>3957.8633073701221</v>
      </c>
      <c r="BB52" s="772">
        <f t="shared" ca="1" si="13"/>
        <v>3957.8633073701221</v>
      </c>
      <c r="BC52" s="772">
        <f t="shared" ca="1" si="13"/>
        <v>3722.532777073985</v>
      </c>
      <c r="BD52" s="772">
        <f t="shared" ca="1" si="13"/>
        <v>3506.6855717290641</v>
      </c>
      <c r="BE52" s="772">
        <f t="shared" ca="1" si="13"/>
        <v>3506.6855717290641</v>
      </c>
      <c r="BF52" s="772">
        <f t="shared" ca="1" si="13"/>
        <v>3308.4095298304192</v>
      </c>
      <c r="BG52" s="772">
        <f t="shared" ca="1" si="19"/>
        <v>3308.4095298304192</v>
      </c>
      <c r="BH52" s="772">
        <f t="shared" ca="1" si="19"/>
        <v>3125.9771420804977</v>
      </c>
      <c r="BI52" s="772">
        <f t="shared" ca="1" si="19"/>
        <v>3125.9771420804977</v>
      </c>
      <c r="BJ52" s="772">
        <f t="shared" ca="1" si="19"/>
        <v>3722.532777073985</v>
      </c>
      <c r="BK52" s="772">
        <f t="shared" ca="1" si="19"/>
        <v>3722.532777073985</v>
      </c>
      <c r="BL52" s="772">
        <f t="shared" ca="1" si="19"/>
        <v>3722.532777073985</v>
      </c>
      <c r="BM52" s="772">
        <f t="shared" ca="1" si="19"/>
        <v>3722.532777073985</v>
      </c>
      <c r="BN52" s="772">
        <f t="shared" ca="1" si="19"/>
        <v>3308.4095298304192</v>
      </c>
      <c r="BO52" s="772">
        <f t="shared" ca="1" si="10"/>
        <v>3308.4095298304192</v>
      </c>
      <c r="BP52" s="772">
        <f t="shared" ca="1" si="10"/>
        <v>3125.9771420804977</v>
      </c>
      <c r="BQ52" s="772">
        <f t="shared" ca="1" si="10"/>
        <v>3125.9771420804977</v>
      </c>
      <c r="BR52" s="772">
        <f t="shared" ca="1" si="10"/>
        <v>2957.838005430644</v>
      </c>
      <c r="BS52" s="772">
        <f ca="1">HLOOKUP(BS$7,$A$7:$P$348,ROW()-6)</f>
        <v>3722.532777073985</v>
      </c>
      <c r="BT52" s="772">
        <f ca="1">HLOOKUP(BT$7,$A$7:$P$348,ROW()-6)</f>
        <v>3722.532777073985</v>
      </c>
      <c r="BU52" s="772">
        <f ca="1">HLOOKUP(BU$7,$A$7:$P$348,ROW()-6)</f>
        <v>3722.532777073985</v>
      </c>
      <c r="BV52" s="772">
        <f ca="1">HLOOKUP(BV$7,$A$7:$P$348,ROW()-6)</f>
        <v>3506.6855717290641</v>
      </c>
      <c r="BW52" s="772">
        <f ca="1">HLOOKUP(BW$7,$A$7:$P$348,ROW()-6)</f>
        <v>3506.6855717290641</v>
      </c>
      <c r="BX52" s="772">
        <f t="shared" ca="1" si="17"/>
        <v>3125.9771420804977</v>
      </c>
      <c r="BY52" s="772">
        <f t="shared" ca="1" si="17"/>
        <v>3125.9771420804977</v>
      </c>
      <c r="BZ52" s="772">
        <f t="shared" ca="1" si="17"/>
        <v>2957.838005430644</v>
      </c>
      <c r="CA52" s="772">
        <f t="shared" ca="1" si="17"/>
        <v>2957.838005430644</v>
      </c>
      <c r="CB52" s="772">
        <f t="shared" ca="1" si="17"/>
        <v>3506.6855717290641</v>
      </c>
      <c r="CC52" s="772">
        <f t="shared" ca="1" si="17"/>
        <v>3506.6855717290641</v>
      </c>
      <c r="CD52" s="772">
        <f t="shared" ca="1" si="17"/>
        <v>3506.6855717290641</v>
      </c>
      <c r="CE52" s="772">
        <f t="shared" ca="1" si="17"/>
        <v>3506.6855717290641</v>
      </c>
      <c r="CF52" s="772">
        <f t="shared" ca="1" si="17"/>
        <v>3308.4095298304192</v>
      </c>
      <c r="CG52" s="772">
        <f t="shared" ca="1" si="17"/>
        <v>3125.9771420804977</v>
      </c>
      <c r="CH52" s="772">
        <f t="shared" ca="1" si="17"/>
        <v>2957.838005430644</v>
      </c>
      <c r="CI52" s="772">
        <f t="shared" ca="1" si="17"/>
        <v>2957.838005430644</v>
      </c>
      <c r="CJ52" s="772">
        <f t="shared" ca="1" si="17"/>
        <v>2802.6060107606459</v>
      </c>
    </row>
    <row r="53" spans="1:88" ht="15" customHeight="1">
      <c r="A53" s="770">
        <f>'kc-Wert für Stützen'!C53</f>
        <v>105</v>
      </c>
      <c r="B53" s="768">
        <f ca="1">INDIRECT("'kc-Wert für Stützen'!"&amp;SUBSTITUTE(ADDRESS(MATCH($A53,'kc-Wert für Stützen'!$C:$C,0),MATCH(B$7,'kc-Wert für Stützen'!$A$8:$ES$8,0)+7,4),,))</f>
        <v>4663.0891226008571</v>
      </c>
      <c r="C53" s="768">
        <f ca="1">INDIRECT("'kc-Wert für Stützen'!"&amp;SUBSTITUTE(ADDRESS(MATCH($A53,'kc-Wert für Stützen'!$C:$C,0),MATCH(C$7,'kc-Wert für Stützen'!$A$8:$ES$8,0)+7,4),,))</f>
        <v>4372.719798120268</v>
      </c>
      <c r="D53" s="768">
        <f ca="1">INDIRECT("'kc-Wert für Stützen'!"&amp;SUBSTITUTE(ADDRESS(MATCH($A53,'kc-Wert für Stützen'!$C:$C,0),MATCH(D$7,'kc-Wert für Stützen'!$A$8:$ES$8,0)+7,4),,))</f>
        <v>4106.8205154041252</v>
      </c>
      <c r="E53" s="768">
        <f ca="1">INDIRECT("'kc-Wert für Stützen'!"&amp;SUBSTITUTE(ADDRESS(MATCH($A53,'kc-Wert für Stützen'!$C:$C,0),MATCH(E$7,'kc-Wert für Stützen'!$A$8:$ES$8,0)+7,4),,))</f>
        <v>3863.126642040409</v>
      </c>
      <c r="F53" s="768">
        <f ca="1">INDIRECT("'kc-Wert für Stützen'!"&amp;SUBSTITUTE(ADDRESS(MATCH($A53,'kc-Wert für Stützen'!$C:$C,0),MATCH(F$7,'kc-Wert für Stützen'!$A$8:$ES$8,0)+7,4),,))</f>
        <v>3639.5155906339692</v>
      </c>
      <c r="G53" s="768">
        <f ca="1">INDIRECT("'kc-Wert für Stützen'!"&amp;SUBSTITUTE(ADDRESS(MATCH($A53,'kc-Wert für Stützen'!$C:$C,0),MATCH(G$7,'kc-Wert für Stützen'!$A$8:$ES$8,0)+7,4),,))</f>
        <v>3434.0384742517026</v>
      </c>
      <c r="H53" s="768">
        <f ca="1">INDIRECT("'kc-Wert für Stützen'!"&amp;SUBSTITUTE(ADDRESS(MATCH($A53,'kc-Wert für Stützen'!$C:$C,0),MATCH(H$7,'kc-Wert für Stützen'!$A$8:$ES$8,0)+7,4),,))</f>
        <v>3244.9280735274601</v>
      </c>
      <c r="I53" s="768">
        <f ca="1">INDIRECT("'kc-Wert für Stützen'!"&amp;SUBSTITUTE(ADDRESS(MATCH($A53,'kc-Wert für Stützen'!$C:$C,0),MATCH(I$7,'kc-Wert für Stützen'!$A$8:$ES$8,0)+7,4),,))</f>
        <v>3070.5940219069362</v>
      </c>
      <c r="J53" s="768">
        <f ca="1">INDIRECT("'kc-Wert für Stützen'!"&amp;SUBSTITUTE(ADDRESS(MATCH($A53,'kc-Wert für Stützen'!$C:$C,0),MATCH(J$7,'kc-Wert für Stützen'!$A$8:$ES$8,0)+7,4),,))</f>
        <v>2909.6115499429902</v>
      </c>
      <c r="K53" s="768">
        <f ca="1">INDIRECT("'kc-Wert für Stützen'!"&amp;SUBSTITUTE(ADDRESS(MATCH($A53,'kc-Wert für Stützen'!$C:$C,0),MATCH(K$7,'kc-Wert für Stützen'!$A$8:$ES$8,0)+7,4),,))</f>
        <v>2760.7074287105797</v>
      </c>
      <c r="L53" s="768">
        <f ca="1">INDIRECT("'kc-Wert für Stützen'!"&amp;SUBSTITUTE(ADDRESS(MATCH($A53,'kc-Wert für Stützen'!$C:$C,0),MATCH(L$7,'kc-Wert für Stützen'!$A$8:$ES$8,0)+7,4),,))</f>
        <v>2622.7451606052191</v>
      </c>
      <c r="M53" s="768">
        <f ca="1">INDIRECT("'kc-Wert für Stützen'!"&amp;SUBSTITUTE(ADDRESS(MATCH($A53,'kc-Wert für Stützen'!$C:$C,0),MATCH(M$7,'kc-Wert für Stützen'!$A$8:$ES$8,0)+7,4),,))</f>
        <v>2494.7105305386272</v>
      </c>
      <c r="N53" s="768">
        <f ca="1">INDIRECT("'kc-Wert für Stützen'!"&amp;SUBSTITUTE(ADDRESS(MATCH($A53,'kc-Wert für Stützen'!$C:$C,0),MATCH(N$7,'kc-Wert für Stützen'!$A$8:$ES$8,0)+7,4),,))</f>
        <v>2375.6980839468683</v>
      </c>
      <c r="O53" s="768">
        <f ca="1">INDIRECT("'kc-Wert für Stützen'!"&amp;SUBSTITUTE(ADDRESS(MATCH($A53,'kc-Wert für Stützen'!$C:$C,0),MATCH(O$7,'kc-Wert für Stützen'!$A$8:$ES$8,0)+7,4),,))</f>
        <v>2264.8987818212822</v>
      </c>
      <c r="P53" s="768">
        <f ca="1">INDIRECT("'kc-Wert für Stützen'!"&amp;SUBSTITUTE(ADDRESS(MATCH($A53,'kc-Wert für Stützen'!$C:$C,0),MATCH(P$7,'kc-Wert für Stützen'!$A$8:$ES$8,0)+7,4),,))</f>
        <v>2161.588903479118</v>
      </c>
      <c r="S53" s="772">
        <f t="shared" ca="1" si="18"/>
        <v>4106.8205154041252</v>
      </c>
      <c r="T53" s="772">
        <f t="shared" ca="1" si="18"/>
        <v>4106.8205154041252</v>
      </c>
      <c r="U53" s="772">
        <f t="shared" ca="1" si="18"/>
        <v>4106.8205154041252</v>
      </c>
      <c r="V53" s="772">
        <f t="shared" ca="1" si="18"/>
        <v>3863.126642040409</v>
      </c>
      <c r="W53" s="772">
        <f t="shared" ca="1" si="18"/>
        <v>3639.5155906339692</v>
      </c>
      <c r="X53" s="772">
        <f t="shared" ca="1" si="18"/>
        <v>3434.0384742517026</v>
      </c>
      <c r="Y53" s="772">
        <f t="shared" ca="1" si="18"/>
        <v>3244.9280735274601</v>
      </c>
      <c r="Z53" s="772">
        <f t="shared" ca="1" si="18"/>
        <v>4106.8205154041252</v>
      </c>
      <c r="AA53" s="772">
        <f t="shared" ca="1" si="18"/>
        <v>4106.8205154041252</v>
      </c>
      <c r="AB53" s="772">
        <f t="shared" ca="1" si="15"/>
        <v>3863.126642040409</v>
      </c>
      <c r="AC53" s="772">
        <f t="shared" ca="1" si="15"/>
        <v>3863.126642040409</v>
      </c>
      <c r="AD53" s="772">
        <f t="shared" ca="1" si="15"/>
        <v>3639.5155906339692</v>
      </c>
      <c r="AE53" s="772">
        <f t="shared" ca="1" si="15"/>
        <v>3639.5155906339692</v>
      </c>
      <c r="AF53" s="772">
        <f t="shared" ca="1" si="15"/>
        <v>3434.0384742517026</v>
      </c>
      <c r="AG53" s="772">
        <f t="shared" ca="1" si="15"/>
        <v>3434.0384742517026</v>
      </c>
      <c r="AH53" s="772">
        <f t="shared" ca="1" si="15"/>
        <v>3434.0384742517026</v>
      </c>
      <c r="AI53" s="772">
        <f t="shared" ca="1" si="15"/>
        <v>4106.8205154041252</v>
      </c>
      <c r="AJ53" s="772">
        <f t="shared" ca="1" si="15"/>
        <v>4106.8205154041252</v>
      </c>
      <c r="AK53" s="772">
        <f t="shared" ca="1" si="15"/>
        <v>3863.126642040409</v>
      </c>
      <c r="AL53" s="772">
        <f t="shared" ca="1" si="15"/>
        <v>3863.126642040409</v>
      </c>
      <c r="AM53" s="772">
        <f t="shared" ca="1" si="15"/>
        <v>3639.5155906339692</v>
      </c>
      <c r="AN53" s="772">
        <f t="shared" ca="1" si="15"/>
        <v>3639.5155906339692</v>
      </c>
      <c r="AO53" s="772">
        <f t="shared" ca="1" si="15"/>
        <v>3434.0384742517026</v>
      </c>
      <c r="AP53" s="772">
        <f t="shared" ca="1" si="15"/>
        <v>3434.0384742517026</v>
      </c>
      <c r="AQ53" s="772">
        <f t="shared" ca="1" si="15"/>
        <v>3434.0384742517026</v>
      </c>
      <c r="AR53" s="772">
        <f t="shared" ca="1" si="13"/>
        <v>4106.8205154041252</v>
      </c>
      <c r="AS53" s="772">
        <f t="shared" ca="1" si="13"/>
        <v>4106.8205154041252</v>
      </c>
      <c r="AT53" s="772">
        <f t="shared" ca="1" si="13"/>
        <v>3863.126642040409</v>
      </c>
      <c r="AU53" s="772">
        <f t="shared" ca="1" si="13"/>
        <v>3863.126642040409</v>
      </c>
      <c r="AV53" s="772">
        <f t="shared" ca="1" si="13"/>
        <v>3639.5155906339692</v>
      </c>
      <c r="AW53" s="772">
        <f t="shared" ca="1" si="13"/>
        <v>3639.5155906339692</v>
      </c>
      <c r="AX53" s="772">
        <f t="shared" ca="1" si="13"/>
        <v>3434.0384742517026</v>
      </c>
      <c r="AY53" s="772">
        <f t="shared" ca="1" si="13"/>
        <v>3434.0384742517026</v>
      </c>
      <c r="AZ53" s="772">
        <f t="shared" ca="1" si="13"/>
        <v>3434.0384742517026</v>
      </c>
      <c r="BA53" s="772">
        <f t="shared" ca="1" si="13"/>
        <v>4106.8205154041252</v>
      </c>
      <c r="BB53" s="772">
        <f t="shared" ca="1" si="13"/>
        <v>4106.8205154041252</v>
      </c>
      <c r="BC53" s="772">
        <f t="shared" ca="1" si="13"/>
        <v>3863.126642040409</v>
      </c>
      <c r="BD53" s="772">
        <f t="shared" ca="1" si="13"/>
        <v>3639.5155906339692</v>
      </c>
      <c r="BE53" s="772">
        <f t="shared" ca="1" si="13"/>
        <v>3639.5155906339692</v>
      </c>
      <c r="BF53" s="772">
        <f t="shared" ca="1" si="13"/>
        <v>3434.0384742517026</v>
      </c>
      <c r="BG53" s="772">
        <f t="shared" ca="1" si="19"/>
        <v>3434.0384742517026</v>
      </c>
      <c r="BH53" s="772">
        <f t="shared" ca="1" si="19"/>
        <v>3244.9280735274601</v>
      </c>
      <c r="BI53" s="772">
        <f t="shared" ca="1" si="19"/>
        <v>3244.9280735274601</v>
      </c>
      <c r="BJ53" s="772">
        <f t="shared" ca="1" si="19"/>
        <v>3863.126642040409</v>
      </c>
      <c r="BK53" s="772">
        <f t="shared" ca="1" si="19"/>
        <v>3863.126642040409</v>
      </c>
      <c r="BL53" s="772">
        <f t="shared" ca="1" si="19"/>
        <v>3863.126642040409</v>
      </c>
      <c r="BM53" s="772">
        <f t="shared" ca="1" si="19"/>
        <v>3863.126642040409</v>
      </c>
      <c r="BN53" s="772">
        <f t="shared" ca="1" si="19"/>
        <v>3434.0384742517026</v>
      </c>
      <c r="BO53" s="772">
        <f t="shared" ref="BO53:CD68" ca="1" si="20">HLOOKUP(BO$7,$A$7:$P$348,ROW()-6)</f>
        <v>3434.0384742517026</v>
      </c>
      <c r="BP53" s="772">
        <f t="shared" ca="1" si="20"/>
        <v>3244.9280735274601</v>
      </c>
      <c r="BQ53" s="772">
        <f t="shared" ca="1" si="20"/>
        <v>3244.9280735274601</v>
      </c>
      <c r="BR53" s="772">
        <f t="shared" ca="1" si="20"/>
        <v>3070.5940219069362</v>
      </c>
      <c r="BS53" s="772">
        <f t="shared" ca="1" si="20"/>
        <v>3863.126642040409</v>
      </c>
      <c r="BT53" s="772">
        <f t="shared" ca="1" si="20"/>
        <v>3863.126642040409</v>
      </c>
      <c r="BU53" s="772">
        <f t="shared" ca="1" si="20"/>
        <v>3863.126642040409</v>
      </c>
      <c r="BV53" s="772">
        <f t="shared" ca="1" si="20"/>
        <v>3639.5155906339692</v>
      </c>
      <c r="BW53" s="772">
        <f t="shared" ca="1" si="20"/>
        <v>3639.5155906339692</v>
      </c>
      <c r="BX53" s="772">
        <f t="shared" ca="1" si="20"/>
        <v>3244.9280735274601</v>
      </c>
      <c r="BY53" s="772">
        <f t="shared" ca="1" si="20"/>
        <v>3244.9280735274601</v>
      </c>
      <c r="BZ53" s="772">
        <f t="shared" ca="1" si="20"/>
        <v>3070.5940219069362</v>
      </c>
      <c r="CA53" s="772">
        <f t="shared" ca="1" si="20"/>
        <v>3070.5940219069362</v>
      </c>
      <c r="CB53" s="772">
        <f t="shared" ca="1" si="20"/>
        <v>3639.5155906339692</v>
      </c>
      <c r="CC53" s="772">
        <f t="shared" ca="1" si="20"/>
        <v>3639.5155906339692</v>
      </c>
      <c r="CD53" s="772">
        <f t="shared" ca="1" si="20"/>
        <v>3639.5155906339692</v>
      </c>
      <c r="CE53" s="772">
        <f t="shared" ref="CE53:CJ67" ca="1" si="21">HLOOKUP(CE$7,$A$7:$P$348,ROW()-6)</f>
        <v>3639.5155906339692</v>
      </c>
      <c r="CF53" s="772">
        <f t="shared" ca="1" si="21"/>
        <v>3434.0384742517026</v>
      </c>
      <c r="CG53" s="772">
        <f t="shared" ca="1" si="21"/>
        <v>3244.9280735274601</v>
      </c>
      <c r="CH53" s="772">
        <f t="shared" ca="1" si="21"/>
        <v>3070.5940219069362</v>
      </c>
      <c r="CI53" s="772">
        <f t="shared" ca="1" si="21"/>
        <v>3070.5940219069362</v>
      </c>
      <c r="CJ53" s="772">
        <f t="shared" ca="1" si="21"/>
        <v>2909.6115499429902</v>
      </c>
    </row>
    <row r="54" spans="1:88" ht="15" customHeight="1">
      <c r="A54" s="770">
        <f>'kc-Wert für Stützen'!C54</f>
        <v>106</v>
      </c>
      <c r="B54" s="768">
        <f ca="1">INDIRECT("'kc-Wert für Stützen'!"&amp;SUBSTITUTE(ADDRESS(MATCH($A54,'kc-Wert für Stützen'!$C:$C,0),MATCH(B$7,'kc-Wert für Stützen'!$A$8:$ES$8,0)+7,4),,))</f>
        <v>4834.9656783984665</v>
      </c>
      <c r="C54" s="768">
        <f ca="1">INDIRECT("'kc-Wert für Stützen'!"&amp;SUBSTITUTE(ADDRESS(MATCH($A54,'kc-Wert für Stützen'!$C:$C,0),MATCH(C$7,'kc-Wert für Stützen'!$A$8:$ES$8,0)+7,4),,))</f>
        <v>4534.7893496596362</v>
      </c>
      <c r="D54" s="768">
        <f ca="1">INDIRECT("'kc-Wert für Stützen'!"&amp;SUBSTITUTE(ADDRESS(MATCH($A54,'kc-Wert für Stützen'!$C:$C,0),MATCH(D$7,'kc-Wert für Stützen'!$A$8:$ES$8,0)+7,4),,))</f>
        <v>4259.7189775268689</v>
      </c>
      <c r="E54" s="768">
        <f ca="1">INDIRECT("'kc-Wert für Stützen'!"&amp;SUBSTITUTE(ADDRESS(MATCH($A54,'kc-Wert für Stützen'!$C:$C,0),MATCH(E$7,'kc-Wert für Stützen'!$A$8:$ES$8,0)+7,4),,))</f>
        <v>4007.4825457711977</v>
      </c>
      <c r="F54" s="768">
        <f ca="1">INDIRECT("'kc-Wert für Stützen'!"&amp;SUBSTITUTE(ADDRESS(MATCH($A54,'kc-Wert für Stützen'!$C:$C,0),MATCH(F$7,'kc-Wert für Stützen'!$A$8:$ES$8,0)+7,4),,))</f>
        <v>3775.9322905623735</v>
      </c>
      <c r="G54" s="768">
        <f ca="1">INDIRECT("'kc-Wert für Stützen'!"&amp;SUBSTITUTE(ADDRESS(MATCH($A54,'kc-Wert für Stützen'!$C:$C,0),MATCH(G$7,'kc-Wert für Stützen'!$A$8:$ES$8,0)+7,4),,))</f>
        <v>3563.0849263192017</v>
      </c>
      <c r="H54" s="768">
        <f ca="1">INDIRECT("'kc-Wert für Stützen'!"&amp;SUBSTITUTE(ADDRESS(MATCH($A54,'kc-Wert für Stützen'!$C:$C,0),MATCH(H$7,'kc-Wert für Stützen'!$A$8:$ES$8,0)+7,4),,))</f>
        <v>3367.1348122556037</v>
      </c>
      <c r="I54" s="768">
        <f ca="1">INDIRECT("'kc-Wert für Stützen'!"&amp;SUBSTITUTE(ADDRESS(MATCH($A54,'kc-Wert für Stützen'!$C:$C,0),MATCH(I$7,'kc-Wert für Stützen'!$A$8:$ES$8,0)+7,4),,))</f>
        <v>3186.452237523441</v>
      </c>
      <c r="J54" s="768">
        <f ca="1">INDIRECT("'kc-Wert für Stützen'!"&amp;SUBSTITUTE(ADDRESS(MATCH($A54,'kc-Wert für Stützen'!$C:$C,0),MATCH(J$7,'kc-Wert für Stützen'!$A$8:$ES$8,0)+7,4),,))</f>
        <v>3019.5739635091682</v>
      </c>
      <c r="K54" s="768">
        <f ca="1">INDIRECT("'kc-Wert für Stützen'!"&amp;SUBSTITUTE(ADDRESS(MATCH($A54,'kc-Wert für Stützen'!$C:$C,0),MATCH(K$7,'kc-Wert für Stützen'!$A$8:$ES$8,0)+7,4),,))</f>
        <v>2865.1901608536496</v>
      </c>
      <c r="L54" s="768">
        <f ca="1">INDIRECT("'kc-Wert für Stützen'!"&amp;SUBSTITUTE(ADDRESS(MATCH($A54,'kc-Wert für Stützen'!$C:$C,0),MATCH(L$7,'kc-Wert für Stützen'!$A$8:$ES$8,0)+7,4),,))</f>
        <v>2722.1300995774277</v>
      </c>
      <c r="M54" s="768">
        <f ca="1">INDIRECT("'kc-Wert für Stützen'!"&amp;SUBSTITUTE(ADDRESS(MATCH($A54,'kc-Wert für Stützen'!$C:$C,0),MATCH(M$7,'kc-Wert für Stützen'!$A$8:$ES$8,0)+7,4),,))</f>
        <v>2589.3478989299097</v>
      </c>
      <c r="N54" s="768">
        <f ca="1">INDIRECT("'kc-Wert für Stützen'!"&amp;SUBSTITUTE(ADDRESS(MATCH($A54,'kc-Wert für Stützen'!$C:$C,0),MATCH(N$7,'kc-Wert für Stützen'!$A$8:$ES$8,0)+7,4),,))</f>
        <v>2465.9090244389904</v>
      </c>
      <c r="O54" s="768">
        <f ca="1">INDIRECT("'kc-Wert für Stützen'!"&amp;SUBSTITUTE(ADDRESS(MATCH($A54,'kc-Wert für Stützen'!$C:$C,0),MATCH(O$7,'kc-Wert für Stützen'!$A$8:$ES$8,0)+7,4),,))</f>
        <v>2350.9778580931556</v>
      </c>
      <c r="P54" s="768">
        <f ca="1">INDIRECT("'kc-Wert für Stützen'!"&amp;SUBSTITUTE(ADDRESS(MATCH($A54,'kc-Wert für Stützen'!$C:$C,0),MATCH(P$7,'kc-Wert für Stützen'!$A$8:$ES$8,0)+7,4),,))</f>
        <v>2243.8064596258364</v>
      </c>
      <c r="S54" s="772">
        <f t="shared" ca="1" si="18"/>
        <v>4259.7189775268689</v>
      </c>
      <c r="T54" s="772">
        <f t="shared" ca="1" si="18"/>
        <v>4259.7189775268689</v>
      </c>
      <c r="U54" s="772">
        <f t="shared" ca="1" si="18"/>
        <v>4259.7189775268689</v>
      </c>
      <c r="V54" s="772">
        <f t="shared" ca="1" si="18"/>
        <v>4007.4825457711977</v>
      </c>
      <c r="W54" s="772">
        <f t="shared" ca="1" si="18"/>
        <v>3775.9322905623735</v>
      </c>
      <c r="X54" s="772">
        <f t="shared" ca="1" si="18"/>
        <v>3563.0849263192017</v>
      </c>
      <c r="Y54" s="772">
        <f t="shared" ca="1" si="18"/>
        <v>3367.1348122556037</v>
      </c>
      <c r="Z54" s="772">
        <f t="shared" ca="1" si="18"/>
        <v>4259.7189775268689</v>
      </c>
      <c r="AA54" s="772">
        <f t="shared" ca="1" si="18"/>
        <v>4259.7189775268689</v>
      </c>
      <c r="AB54" s="772">
        <f t="shared" ca="1" si="15"/>
        <v>4007.4825457711977</v>
      </c>
      <c r="AC54" s="772">
        <f t="shared" ca="1" si="15"/>
        <v>4007.4825457711977</v>
      </c>
      <c r="AD54" s="772">
        <f t="shared" ca="1" si="15"/>
        <v>3775.9322905623735</v>
      </c>
      <c r="AE54" s="772">
        <f t="shared" ca="1" si="15"/>
        <v>3775.9322905623735</v>
      </c>
      <c r="AF54" s="772">
        <f t="shared" ca="1" si="15"/>
        <v>3563.0849263192017</v>
      </c>
      <c r="AG54" s="772">
        <f t="shared" ca="1" si="15"/>
        <v>3563.0849263192017</v>
      </c>
      <c r="AH54" s="772">
        <f t="shared" ca="1" si="15"/>
        <v>3563.0849263192017</v>
      </c>
      <c r="AI54" s="772">
        <f t="shared" ca="1" si="15"/>
        <v>4259.7189775268689</v>
      </c>
      <c r="AJ54" s="772">
        <f t="shared" ca="1" si="15"/>
        <v>4259.7189775268689</v>
      </c>
      <c r="AK54" s="772">
        <f t="shared" ca="1" si="15"/>
        <v>4007.4825457711977</v>
      </c>
      <c r="AL54" s="772">
        <f t="shared" ca="1" si="15"/>
        <v>4007.4825457711977</v>
      </c>
      <c r="AM54" s="772">
        <f t="shared" ca="1" si="15"/>
        <v>3775.9322905623735</v>
      </c>
      <c r="AN54" s="772">
        <f t="shared" ca="1" si="15"/>
        <v>3775.9322905623735</v>
      </c>
      <c r="AO54" s="772">
        <f t="shared" ca="1" si="15"/>
        <v>3563.0849263192017</v>
      </c>
      <c r="AP54" s="772">
        <f t="shared" ca="1" si="15"/>
        <v>3563.0849263192017</v>
      </c>
      <c r="AQ54" s="772">
        <f t="shared" ca="1" si="15"/>
        <v>3563.0849263192017</v>
      </c>
      <c r="AR54" s="772">
        <f t="shared" ca="1" si="13"/>
        <v>4259.7189775268689</v>
      </c>
      <c r="AS54" s="772">
        <f t="shared" ca="1" si="13"/>
        <v>4259.7189775268689</v>
      </c>
      <c r="AT54" s="772">
        <f t="shared" ca="1" si="13"/>
        <v>4007.4825457711977</v>
      </c>
      <c r="AU54" s="772">
        <f t="shared" ca="1" si="13"/>
        <v>4007.4825457711977</v>
      </c>
      <c r="AV54" s="772">
        <f t="shared" ca="1" si="13"/>
        <v>3775.9322905623735</v>
      </c>
      <c r="AW54" s="772">
        <f t="shared" ca="1" si="13"/>
        <v>3775.9322905623735</v>
      </c>
      <c r="AX54" s="772">
        <f t="shared" ca="1" si="13"/>
        <v>3563.0849263192017</v>
      </c>
      <c r="AY54" s="772">
        <f t="shared" ca="1" si="13"/>
        <v>3563.0849263192017</v>
      </c>
      <c r="AZ54" s="772">
        <f t="shared" ca="1" si="13"/>
        <v>3563.0849263192017</v>
      </c>
      <c r="BA54" s="772">
        <f t="shared" ca="1" si="13"/>
        <v>4259.7189775268689</v>
      </c>
      <c r="BB54" s="772">
        <f t="shared" ca="1" si="13"/>
        <v>4259.7189775268689</v>
      </c>
      <c r="BC54" s="772">
        <f t="shared" ca="1" si="13"/>
        <v>4007.4825457711977</v>
      </c>
      <c r="BD54" s="772">
        <f t="shared" ca="1" si="13"/>
        <v>3775.9322905623735</v>
      </c>
      <c r="BE54" s="772">
        <f t="shared" ca="1" si="13"/>
        <v>3775.9322905623735</v>
      </c>
      <c r="BF54" s="772">
        <f t="shared" ca="1" si="13"/>
        <v>3563.0849263192017</v>
      </c>
      <c r="BG54" s="772">
        <f t="shared" ca="1" si="19"/>
        <v>3563.0849263192017</v>
      </c>
      <c r="BH54" s="772">
        <f t="shared" ca="1" si="19"/>
        <v>3367.1348122556037</v>
      </c>
      <c r="BI54" s="772">
        <f t="shared" ca="1" si="19"/>
        <v>3367.1348122556037</v>
      </c>
      <c r="BJ54" s="772">
        <f t="shared" ca="1" si="19"/>
        <v>4007.4825457711977</v>
      </c>
      <c r="BK54" s="772">
        <f t="shared" ca="1" si="19"/>
        <v>4007.4825457711977</v>
      </c>
      <c r="BL54" s="772">
        <f t="shared" ca="1" si="19"/>
        <v>4007.4825457711977</v>
      </c>
      <c r="BM54" s="772">
        <f t="shared" ca="1" si="19"/>
        <v>4007.4825457711977</v>
      </c>
      <c r="BN54" s="772">
        <f t="shared" ca="1" si="19"/>
        <v>3563.0849263192017</v>
      </c>
      <c r="BO54" s="772">
        <f t="shared" ca="1" si="20"/>
        <v>3563.0849263192017</v>
      </c>
      <c r="BP54" s="772">
        <f t="shared" ca="1" si="20"/>
        <v>3367.1348122556037</v>
      </c>
      <c r="BQ54" s="772">
        <f t="shared" ca="1" si="20"/>
        <v>3367.1348122556037</v>
      </c>
      <c r="BR54" s="772">
        <f t="shared" ca="1" si="20"/>
        <v>3186.452237523441</v>
      </c>
      <c r="BS54" s="772">
        <f t="shared" ca="1" si="20"/>
        <v>4007.4825457711977</v>
      </c>
      <c r="BT54" s="772">
        <f t="shared" ca="1" si="20"/>
        <v>4007.4825457711977</v>
      </c>
      <c r="BU54" s="772">
        <f t="shared" ca="1" si="20"/>
        <v>4007.4825457711977</v>
      </c>
      <c r="BV54" s="772">
        <f t="shared" ca="1" si="20"/>
        <v>3775.9322905623735</v>
      </c>
      <c r="BW54" s="772">
        <f t="shared" ca="1" si="20"/>
        <v>3775.9322905623735</v>
      </c>
      <c r="BX54" s="772">
        <f t="shared" ca="1" si="20"/>
        <v>3367.1348122556037</v>
      </c>
      <c r="BY54" s="772">
        <f t="shared" ca="1" si="20"/>
        <v>3367.1348122556037</v>
      </c>
      <c r="BZ54" s="772">
        <f t="shared" ca="1" si="20"/>
        <v>3186.452237523441</v>
      </c>
      <c r="CA54" s="772">
        <f t="shared" ca="1" si="20"/>
        <v>3186.452237523441</v>
      </c>
      <c r="CB54" s="772">
        <f t="shared" ca="1" si="20"/>
        <v>3775.9322905623735</v>
      </c>
      <c r="CC54" s="772">
        <f t="shared" ca="1" si="20"/>
        <v>3775.9322905623735</v>
      </c>
      <c r="CD54" s="772">
        <f t="shared" ca="1" si="20"/>
        <v>3775.9322905623735</v>
      </c>
      <c r="CE54" s="772">
        <f t="shared" ca="1" si="21"/>
        <v>3775.9322905623735</v>
      </c>
      <c r="CF54" s="772">
        <f t="shared" ca="1" si="21"/>
        <v>3563.0849263192017</v>
      </c>
      <c r="CG54" s="772">
        <f t="shared" ca="1" si="21"/>
        <v>3367.1348122556037</v>
      </c>
      <c r="CH54" s="772">
        <f t="shared" ca="1" si="21"/>
        <v>3186.452237523441</v>
      </c>
      <c r="CI54" s="772">
        <f t="shared" ca="1" si="21"/>
        <v>3186.452237523441</v>
      </c>
      <c r="CJ54" s="772">
        <f t="shared" ca="1" si="21"/>
        <v>3019.5739635091682</v>
      </c>
    </row>
    <row r="55" spans="1:88" ht="15" customHeight="1">
      <c r="A55" s="770">
        <f>'kc-Wert für Stützen'!C55</f>
        <v>107</v>
      </c>
      <c r="B55" s="768">
        <f ca="1">INDIRECT("'kc-Wert für Stützen'!"&amp;SUBSTITUTE(ADDRESS(MATCH($A55,'kc-Wert für Stützen'!$C:$C,0),MATCH(B$7,'kc-Wert für Stützen'!$A$8:$ES$8,0)+7,4),,))</f>
        <v>5011.178696783978</v>
      </c>
      <c r="C55" s="768">
        <f ca="1">INDIRECT("'kc-Wert für Stützen'!"&amp;SUBSTITUTE(ADDRESS(MATCH($A55,'kc-Wert für Stützen'!$C:$C,0),MATCH(C$7,'kc-Wert für Stützen'!$A$8:$ES$8,0)+7,4),,))</f>
        <v>4701.0275349017629</v>
      </c>
      <c r="D55" s="768">
        <f ca="1">INDIRECT("'kc-Wert für Stützen'!"&amp;SUBSTITUTE(ADDRESS(MATCH($A55,'kc-Wert für Stützen'!$C:$C,0),MATCH(D$7,'kc-Wert für Stützen'!$A$8:$ES$8,0)+7,4),,))</f>
        <v>4416.6096262487645</v>
      </c>
      <c r="E55" s="768">
        <f ca="1">INDIRECT("'kc-Wert für Stützen'!"&amp;SUBSTITUTE(ADDRESS(MATCH($A55,'kc-Wert für Stützen'!$C:$C,0),MATCH(E$7,'kc-Wert für Stützen'!$A$8:$ES$8,0)+7,4),,))</f>
        <v>4155.6526408525724</v>
      </c>
      <c r="F55" s="768">
        <f ca="1">INDIRECT("'kc-Wert für Stützen'!"&amp;SUBSTITUTE(ADDRESS(MATCH($A55,'kc-Wert für Stützen'!$C:$C,0),MATCH(F$7,'kc-Wert für Stützen'!$A$8:$ES$8,0)+7,4),,))</f>
        <v>3915.9880409256502</v>
      </c>
      <c r="G55" s="768">
        <f ca="1">INDIRECT("'kc-Wert für Stützen'!"&amp;SUBSTITUTE(ADDRESS(MATCH($A55,'kc-Wert für Stützen'!$C:$C,0),MATCH(G$7,'kc-Wert für Stützen'!$A$8:$ES$8,0)+7,4),,))</f>
        <v>3695.6007969683897</v>
      </c>
      <c r="H55" s="768">
        <f ca="1">INDIRECT("'kc-Wert für Stützen'!"&amp;SUBSTITUTE(ADDRESS(MATCH($A55,'kc-Wert für Stützen'!$C:$C,0),MATCH(H$7,'kc-Wert für Stützen'!$A$8:$ES$8,0)+7,4),,))</f>
        <v>3492.648362374709</v>
      </c>
      <c r="I55" s="768">
        <f ca="1">INDIRECT("'kc-Wert für Stützen'!"&amp;SUBSTITUTE(ADDRESS(MATCH($A55,'kc-Wert für Stützen'!$C:$C,0),MATCH(I$7,'kc-Wert für Stützen'!$A$8:$ES$8,0)+7,4),,))</f>
        <v>3305.4624586596474</v>
      </c>
      <c r="J55" s="768">
        <f ca="1">INDIRECT("'kc-Wert für Stützen'!"&amp;SUBSTITUTE(ADDRESS(MATCH($A55,'kc-Wert für Stützen'!$C:$C,0),MATCH(J$7,'kc-Wert für Stützen'!$A$8:$ES$8,0)+7,4),,))</f>
        <v>3132.541678710832</v>
      </c>
      <c r="K55" s="768">
        <f ca="1">INDIRECT("'kc-Wert für Stützen'!"&amp;SUBSTITUTE(ADDRESS(MATCH($A55,'kc-Wert für Stützen'!$C:$C,0),MATCH(K$7,'kc-Wert für Stützen'!$A$8:$ES$8,0)+7,4),,))</f>
        <v>2972.5395904790289</v>
      </c>
      <c r="L55" s="768">
        <f ca="1">INDIRECT("'kc-Wert für Stützen'!"&amp;SUBSTITUTE(ADDRESS(MATCH($A55,'kc-Wert für Stützen'!$C:$C,0),MATCH(L$7,'kc-Wert für Stützen'!$A$8:$ES$8,0)+7,4),,))</f>
        <v>2824.2510405716707</v>
      </c>
      <c r="M55" s="768">
        <f ca="1">INDIRECT("'kc-Wert für Stützen'!"&amp;SUBSTITUTE(ADDRESS(MATCH($A55,'kc-Wert für Stützen'!$C:$C,0),MATCH(M$7,'kc-Wert für Stützen'!$A$8:$ES$8,0)+7,4),,))</f>
        <v>2686.5981781233459</v>
      </c>
      <c r="N55" s="768">
        <f ca="1">INDIRECT("'kc-Wert für Stützen'!"&amp;SUBSTITUTE(ADDRESS(MATCH($A55,'kc-Wert für Stützen'!$C:$C,0),MATCH(N$7,'kc-Wert für Stützen'!$A$8:$ES$8,0)+7,4),,))</f>
        <v>2558.6170206121292</v>
      </c>
      <c r="O55" s="768">
        <f ca="1">INDIRECT("'kc-Wert für Stützen'!"&amp;SUBSTITUTE(ADDRESS(MATCH($A55,'kc-Wert für Stützen'!$C:$C,0),MATCH(O$7,'kc-Wert für Stützen'!$A$8:$ES$8,0)+7,4),,))</f>
        <v>2439.4449718713363</v>
      </c>
      <c r="P55" s="768">
        <f ca="1">INDIRECT("'kc-Wert für Stützen'!"&amp;SUBSTITUTE(ADDRESS(MATCH($A55,'kc-Wert für Stützen'!$C:$C,0),MATCH(P$7,'kc-Wert für Stützen'!$A$8:$ES$8,0)+7,4),,))</f>
        <v>2328.309463180753</v>
      </c>
      <c r="S55" s="772">
        <f t="shared" ca="1" si="18"/>
        <v>4416.6096262487645</v>
      </c>
      <c r="T55" s="772">
        <f t="shared" ca="1" si="18"/>
        <v>4416.6096262487645</v>
      </c>
      <c r="U55" s="772">
        <f t="shared" ca="1" si="18"/>
        <v>4416.6096262487645</v>
      </c>
      <c r="V55" s="772">
        <f t="shared" ca="1" si="18"/>
        <v>4155.6526408525724</v>
      </c>
      <c r="W55" s="772">
        <f t="shared" ca="1" si="18"/>
        <v>3915.9880409256502</v>
      </c>
      <c r="X55" s="772">
        <f t="shared" ca="1" si="18"/>
        <v>3695.6007969683897</v>
      </c>
      <c r="Y55" s="772">
        <f t="shared" ca="1" si="18"/>
        <v>3492.648362374709</v>
      </c>
      <c r="Z55" s="772">
        <f t="shared" ca="1" si="18"/>
        <v>4416.6096262487645</v>
      </c>
      <c r="AA55" s="772">
        <f t="shared" ca="1" si="18"/>
        <v>4416.6096262487645</v>
      </c>
      <c r="AB55" s="772">
        <f t="shared" ca="1" si="15"/>
        <v>4155.6526408525724</v>
      </c>
      <c r="AC55" s="772">
        <f t="shared" ca="1" si="15"/>
        <v>4155.6526408525724</v>
      </c>
      <c r="AD55" s="772">
        <f t="shared" ca="1" si="15"/>
        <v>3915.9880409256502</v>
      </c>
      <c r="AE55" s="772">
        <f t="shared" ca="1" si="15"/>
        <v>3915.9880409256502</v>
      </c>
      <c r="AF55" s="772">
        <f t="shared" ca="1" si="15"/>
        <v>3695.6007969683897</v>
      </c>
      <c r="AG55" s="772">
        <f t="shared" ca="1" si="15"/>
        <v>3695.6007969683897</v>
      </c>
      <c r="AH55" s="772">
        <f t="shared" ca="1" si="15"/>
        <v>3695.6007969683897</v>
      </c>
      <c r="AI55" s="772">
        <f t="shared" ca="1" si="15"/>
        <v>4416.6096262487645</v>
      </c>
      <c r="AJ55" s="772">
        <f t="shared" ca="1" si="15"/>
        <v>4416.6096262487645</v>
      </c>
      <c r="AK55" s="772">
        <f t="shared" ca="1" si="15"/>
        <v>4155.6526408525724</v>
      </c>
      <c r="AL55" s="772">
        <f t="shared" ca="1" si="15"/>
        <v>4155.6526408525724</v>
      </c>
      <c r="AM55" s="772">
        <f t="shared" ca="1" si="15"/>
        <v>3915.9880409256502</v>
      </c>
      <c r="AN55" s="772">
        <f t="shared" ca="1" si="15"/>
        <v>3915.9880409256502</v>
      </c>
      <c r="AO55" s="772">
        <f t="shared" ca="1" si="15"/>
        <v>3695.6007969683897</v>
      </c>
      <c r="AP55" s="772">
        <f t="shared" ca="1" si="15"/>
        <v>3695.6007969683897</v>
      </c>
      <c r="AQ55" s="772">
        <f t="shared" ref="AQ55:BF70" ca="1" si="22">HLOOKUP(AQ$7,$A$7:$P$348,ROW()-6)</f>
        <v>3695.6007969683897</v>
      </c>
      <c r="AR55" s="772">
        <f t="shared" ca="1" si="22"/>
        <v>4416.6096262487645</v>
      </c>
      <c r="AS55" s="772">
        <f t="shared" ca="1" si="22"/>
        <v>4416.6096262487645</v>
      </c>
      <c r="AT55" s="772">
        <f t="shared" ca="1" si="22"/>
        <v>4155.6526408525724</v>
      </c>
      <c r="AU55" s="772">
        <f t="shared" ca="1" si="22"/>
        <v>4155.6526408525724</v>
      </c>
      <c r="AV55" s="772">
        <f t="shared" ca="1" si="22"/>
        <v>3915.9880409256502</v>
      </c>
      <c r="AW55" s="772">
        <f t="shared" ca="1" si="22"/>
        <v>3915.9880409256502</v>
      </c>
      <c r="AX55" s="772">
        <f t="shared" ca="1" si="22"/>
        <v>3695.6007969683897</v>
      </c>
      <c r="AY55" s="772">
        <f t="shared" ca="1" si="22"/>
        <v>3695.6007969683897</v>
      </c>
      <c r="AZ55" s="772">
        <f t="shared" ca="1" si="22"/>
        <v>3695.6007969683897</v>
      </c>
      <c r="BA55" s="772">
        <f t="shared" ca="1" si="22"/>
        <v>4416.6096262487645</v>
      </c>
      <c r="BB55" s="772">
        <f t="shared" ca="1" si="22"/>
        <v>4416.6096262487645</v>
      </c>
      <c r="BC55" s="772">
        <f t="shared" ca="1" si="22"/>
        <v>4155.6526408525724</v>
      </c>
      <c r="BD55" s="772">
        <f t="shared" ca="1" si="22"/>
        <v>3915.9880409256502</v>
      </c>
      <c r="BE55" s="772">
        <f t="shared" ca="1" si="22"/>
        <v>3915.9880409256502</v>
      </c>
      <c r="BF55" s="772">
        <f t="shared" ca="1" si="22"/>
        <v>3695.6007969683897</v>
      </c>
      <c r="BG55" s="772">
        <f t="shared" ca="1" si="19"/>
        <v>3695.6007969683897</v>
      </c>
      <c r="BH55" s="772">
        <f t="shared" ca="1" si="19"/>
        <v>3492.648362374709</v>
      </c>
      <c r="BI55" s="772">
        <f t="shared" ca="1" si="19"/>
        <v>3492.648362374709</v>
      </c>
      <c r="BJ55" s="772">
        <f t="shared" ca="1" si="19"/>
        <v>4155.6526408525724</v>
      </c>
      <c r="BK55" s="772">
        <f t="shared" ca="1" si="19"/>
        <v>4155.6526408525724</v>
      </c>
      <c r="BL55" s="772">
        <f t="shared" ca="1" si="19"/>
        <v>4155.6526408525724</v>
      </c>
      <c r="BM55" s="772">
        <f t="shared" ca="1" si="19"/>
        <v>4155.6526408525724</v>
      </c>
      <c r="BN55" s="772">
        <f t="shared" ca="1" si="19"/>
        <v>3695.6007969683897</v>
      </c>
      <c r="BO55" s="772">
        <f t="shared" ca="1" si="20"/>
        <v>3695.6007969683897</v>
      </c>
      <c r="BP55" s="772">
        <f t="shared" ca="1" si="20"/>
        <v>3492.648362374709</v>
      </c>
      <c r="BQ55" s="772">
        <f t="shared" ca="1" si="20"/>
        <v>3492.648362374709</v>
      </c>
      <c r="BR55" s="772">
        <f t="shared" ca="1" si="20"/>
        <v>3305.4624586596474</v>
      </c>
      <c r="BS55" s="772">
        <f t="shared" ca="1" si="20"/>
        <v>4155.6526408525724</v>
      </c>
      <c r="BT55" s="772">
        <f t="shared" ca="1" si="20"/>
        <v>4155.6526408525724</v>
      </c>
      <c r="BU55" s="772">
        <f t="shared" ca="1" si="20"/>
        <v>4155.6526408525724</v>
      </c>
      <c r="BV55" s="772">
        <f t="shared" ca="1" si="20"/>
        <v>3915.9880409256502</v>
      </c>
      <c r="BW55" s="772">
        <f t="shared" ca="1" si="20"/>
        <v>3915.9880409256502</v>
      </c>
      <c r="BX55" s="772">
        <f t="shared" ca="1" si="20"/>
        <v>3492.648362374709</v>
      </c>
      <c r="BY55" s="772">
        <f t="shared" ca="1" si="20"/>
        <v>3492.648362374709</v>
      </c>
      <c r="BZ55" s="772">
        <f t="shared" ca="1" si="20"/>
        <v>3305.4624586596474</v>
      </c>
      <c r="CA55" s="772">
        <f t="shared" ca="1" si="20"/>
        <v>3305.4624586596474</v>
      </c>
      <c r="CB55" s="772">
        <f t="shared" ca="1" si="20"/>
        <v>3915.9880409256502</v>
      </c>
      <c r="CC55" s="772">
        <f t="shared" ca="1" si="20"/>
        <v>3915.9880409256502</v>
      </c>
      <c r="CD55" s="772">
        <f t="shared" ca="1" si="20"/>
        <v>3915.9880409256502</v>
      </c>
      <c r="CE55" s="772">
        <f t="shared" ca="1" si="21"/>
        <v>3915.9880409256502</v>
      </c>
      <c r="CF55" s="772">
        <f t="shared" ca="1" si="21"/>
        <v>3695.6007969683897</v>
      </c>
      <c r="CG55" s="772">
        <f t="shared" ca="1" si="21"/>
        <v>3492.648362374709</v>
      </c>
      <c r="CH55" s="772">
        <f t="shared" ca="1" si="21"/>
        <v>3305.4624586596474</v>
      </c>
      <c r="CI55" s="772">
        <f t="shared" ca="1" si="21"/>
        <v>3305.4624586596474</v>
      </c>
      <c r="CJ55" s="772">
        <f t="shared" ca="1" si="21"/>
        <v>3132.541678710832</v>
      </c>
    </row>
    <row r="56" spans="1:88" ht="15" customHeight="1">
      <c r="A56" s="770">
        <f>'kc-Wert für Stützen'!C56</f>
        <v>108</v>
      </c>
      <c r="B56" s="768">
        <f ca="1">INDIRECT("'kc-Wert für Stützen'!"&amp;SUBSTITUTE(ADDRESS(MATCH($A56,'kc-Wert für Stützen'!$C:$C,0),MATCH(B$7,'kc-Wert für Stützen'!$A$8:$ES$8,0)+7,4),,))</f>
        <v>5191.7694137104299</v>
      </c>
      <c r="C56" s="768">
        <f ca="1">INDIRECT("'kc-Wert für Stützen'!"&amp;SUBSTITUTE(ADDRESS(MATCH($A56,'kc-Wert für Stützen'!$C:$C,0),MATCH(C$7,'kc-Wert für Stützen'!$A$8:$ES$8,0)+7,4),,))</f>
        <v>4871.4810722440634</v>
      </c>
      <c r="D56" s="768">
        <f ca="1">INDIRECT("'kc-Wert für Stützen'!"&amp;SUBSTITUTE(ADDRESS(MATCH($A56,'kc-Wert für Stützen'!$C:$C,0),MATCH(D$7,'kc-Wert für Stützen'!$A$8:$ES$8,0)+7,4),,))</f>
        <v>4577.542336189782</v>
      </c>
      <c r="E56" s="768">
        <f ca="1">INDIRECT("'kc-Wert für Stützen'!"&amp;SUBSTITUTE(ADDRESS(MATCH($A56,'kc-Wert für Stützen'!$C:$C,0),MATCH(E$7,'kc-Wert für Stützen'!$A$8:$ES$8,0)+7,4),,))</f>
        <v>4307.6883587252578</v>
      </c>
      <c r="F56" s="768">
        <f ca="1">INDIRECT("'kc-Wert für Stützen'!"&amp;SUBSTITUTE(ADDRESS(MATCH($A56,'kc-Wert für Stützen'!$C:$C,0),MATCH(F$7,'kc-Wert für Stützen'!$A$8:$ES$8,0)+7,4),,))</f>
        <v>4059.7347378301874</v>
      </c>
      <c r="G56" s="768">
        <f ca="1">INDIRECT("'kc-Wert für Stützen'!"&amp;SUBSTITUTE(ADDRESS(MATCH($A56,'kc-Wert für Stützen'!$C:$C,0),MATCH(G$7,'kc-Wert für Stützen'!$A$8:$ES$8,0)+7,4),,))</f>
        <v>3831.6377069318755</v>
      </c>
      <c r="H56" s="768">
        <f ca="1">INDIRECT("'kc-Wert für Stützen'!"&amp;SUBSTITUTE(ADDRESS(MATCH($A56,'kc-Wert für Stützen'!$C:$C,0),MATCH(H$7,'kc-Wert für Stützen'!$A$8:$ES$8,0)+7,4),,))</f>
        <v>3621.5195735993921</v>
      </c>
      <c r="I56" s="768">
        <f ca="1">INDIRECT("'kc-Wert für Stützen'!"&amp;SUBSTITUTE(ADDRESS(MATCH($A56,'kc-Wert für Stützen'!$C:$C,0),MATCH(I$7,'kc-Wert für Stützen'!$A$8:$ES$8,0)+7,4),,))</f>
        <v>3427.6744383573619</v>
      </c>
      <c r="J56" s="768">
        <f ca="1">INDIRECT("'kc-Wert für Stützen'!"&amp;SUBSTITUTE(ADDRESS(MATCH($A56,'kc-Wert für Stützen'!$C:$C,0),MATCH(J$7,'kc-Wert für Stützen'!$A$8:$ES$8,0)+7,4),,))</f>
        <v>3248.5631448092972</v>
      </c>
      <c r="K56" s="768">
        <f ca="1">INDIRECT("'kc-Wert für Stützen'!"&amp;SUBSTITUTE(ADDRESS(MATCH($A56,'kc-Wert für Stützen'!$C:$C,0),MATCH(K$7,'kc-Wert für Stützen'!$A$8:$ES$8,0)+7,4),,))</f>
        <v>3082.8027387952534</v>
      </c>
      <c r="L56" s="768">
        <f ca="1">INDIRECT("'kc-Wert für Stützen'!"&amp;SUBSTITUTE(ADDRESS(MATCH($A56,'kc-Wert für Stützen'!$C:$C,0),MATCH(L$7,'kc-Wert für Stützen'!$A$8:$ES$8,0)+7,4),,))</f>
        <v>2929.1535103773526</v>
      </c>
      <c r="M56" s="768">
        <f ca="1">INDIRECT("'kc-Wert für Stützen'!"&amp;SUBSTITUTE(ADDRESS(MATCH($A56,'kc-Wert für Stützen'!$C:$C,0),MATCH(M$7,'kc-Wert für Stützen'!$A$8:$ES$8,0)+7,4),,))</f>
        <v>2786.5053745217851</v>
      </c>
      <c r="N56" s="768">
        <f ca="1">INDIRECT("'kc-Wert für Stützen'!"&amp;SUBSTITUTE(ADDRESS(MATCH($A56,'kc-Wert für Stützen'!$C:$C,0),MATCH(N$7,'kc-Wert für Stützen'!$A$8:$ES$8,0)+7,4),,))</f>
        <v>2653.8645605483784</v>
      </c>
      <c r="O56" s="768">
        <f ca="1">INDIRECT("'kc-Wert für Stützen'!"&amp;SUBSTITUTE(ADDRESS(MATCH($A56,'kc-Wert für Stützen'!$C:$C,0),MATCH(O$7,'kc-Wert für Stützen'!$A$8:$ES$8,0)+7,4),,))</f>
        <v>2530.341114236885</v>
      </c>
      <c r="P56" s="768">
        <f ca="1">INDIRECT("'kc-Wert für Stützen'!"&amp;SUBSTITUTE(ADDRESS(MATCH($A56,'kc-Wert für Stützen'!$C:$C,0),MATCH(P$7,'kc-Wert für Stützen'!$A$8:$ES$8,0)+7,4),,))</f>
        <v>2415.1374425384593</v>
      </c>
      <c r="S56" s="772">
        <f t="shared" ca="1" si="18"/>
        <v>4577.542336189782</v>
      </c>
      <c r="T56" s="772">
        <f t="shared" ca="1" si="18"/>
        <v>4577.542336189782</v>
      </c>
      <c r="U56" s="772">
        <f t="shared" ca="1" si="18"/>
        <v>4577.542336189782</v>
      </c>
      <c r="V56" s="772">
        <f t="shared" ca="1" si="18"/>
        <v>4307.6883587252578</v>
      </c>
      <c r="W56" s="772">
        <f t="shared" ca="1" si="18"/>
        <v>4059.7347378301874</v>
      </c>
      <c r="X56" s="772">
        <f t="shared" ca="1" si="18"/>
        <v>3831.6377069318755</v>
      </c>
      <c r="Y56" s="772">
        <f t="shared" ca="1" si="18"/>
        <v>3621.5195735993921</v>
      </c>
      <c r="Z56" s="772">
        <f t="shared" ca="1" si="18"/>
        <v>4577.542336189782</v>
      </c>
      <c r="AA56" s="772">
        <f t="shared" ca="1" si="18"/>
        <v>4577.542336189782</v>
      </c>
      <c r="AB56" s="772">
        <f t="shared" ref="AB56:AQ71" ca="1" si="23">HLOOKUP(AB$7,$A$7:$P$348,ROW()-6)</f>
        <v>4307.6883587252578</v>
      </c>
      <c r="AC56" s="772">
        <f t="shared" ca="1" si="23"/>
        <v>4307.6883587252578</v>
      </c>
      <c r="AD56" s="772">
        <f t="shared" ca="1" si="23"/>
        <v>4059.7347378301874</v>
      </c>
      <c r="AE56" s="772">
        <f t="shared" ca="1" si="23"/>
        <v>4059.7347378301874</v>
      </c>
      <c r="AF56" s="772">
        <f t="shared" ca="1" si="23"/>
        <v>3831.6377069318755</v>
      </c>
      <c r="AG56" s="772">
        <f t="shared" ca="1" si="23"/>
        <v>3831.6377069318755</v>
      </c>
      <c r="AH56" s="772">
        <f t="shared" ca="1" si="23"/>
        <v>3831.6377069318755</v>
      </c>
      <c r="AI56" s="772">
        <f t="shared" ca="1" si="23"/>
        <v>4577.542336189782</v>
      </c>
      <c r="AJ56" s="772">
        <f t="shared" ca="1" si="23"/>
        <v>4577.542336189782</v>
      </c>
      <c r="AK56" s="772">
        <f t="shared" ca="1" si="23"/>
        <v>4307.6883587252578</v>
      </c>
      <c r="AL56" s="772">
        <f t="shared" ca="1" si="23"/>
        <v>4307.6883587252578</v>
      </c>
      <c r="AM56" s="772">
        <f t="shared" ca="1" si="23"/>
        <v>4059.7347378301874</v>
      </c>
      <c r="AN56" s="772">
        <f t="shared" ca="1" si="23"/>
        <v>4059.7347378301874</v>
      </c>
      <c r="AO56" s="772">
        <f t="shared" ca="1" si="23"/>
        <v>3831.6377069318755</v>
      </c>
      <c r="AP56" s="772">
        <f t="shared" ca="1" si="23"/>
        <v>3831.6377069318755</v>
      </c>
      <c r="AQ56" s="772">
        <f t="shared" ca="1" si="23"/>
        <v>3831.6377069318755</v>
      </c>
      <c r="AR56" s="772">
        <f t="shared" ca="1" si="22"/>
        <v>4577.542336189782</v>
      </c>
      <c r="AS56" s="772">
        <f t="shared" ca="1" si="22"/>
        <v>4577.542336189782</v>
      </c>
      <c r="AT56" s="772">
        <f t="shared" ca="1" si="22"/>
        <v>4307.6883587252578</v>
      </c>
      <c r="AU56" s="772">
        <f t="shared" ca="1" si="22"/>
        <v>4307.6883587252578</v>
      </c>
      <c r="AV56" s="772">
        <f t="shared" ca="1" si="22"/>
        <v>4059.7347378301874</v>
      </c>
      <c r="AW56" s="772">
        <f t="shared" ca="1" si="22"/>
        <v>4059.7347378301874</v>
      </c>
      <c r="AX56" s="772">
        <f t="shared" ca="1" si="22"/>
        <v>3831.6377069318755</v>
      </c>
      <c r="AY56" s="772">
        <f t="shared" ca="1" si="22"/>
        <v>3831.6377069318755</v>
      </c>
      <c r="AZ56" s="772">
        <f t="shared" ca="1" si="22"/>
        <v>3831.6377069318755</v>
      </c>
      <c r="BA56" s="772">
        <f t="shared" ca="1" si="22"/>
        <v>4577.542336189782</v>
      </c>
      <c r="BB56" s="772">
        <f t="shared" ca="1" si="22"/>
        <v>4577.542336189782</v>
      </c>
      <c r="BC56" s="772">
        <f t="shared" ca="1" si="22"/>
        <v>4307.6883587252578</v>
      </c>
      <c r="BD56" s="772">
        <f t="shared" ca="1" si="22"/>
        <v>4059.7347378301874</v>
      </c>
      <c r="BE56" s="772">
        <f t="shared" ca="1" si="22"/>
        <v>4059.7347378301874</v>
      </c>
      <c r="BF56" s="772">
        <f t="shared" ca="1" si="22"/>
        <v>3831.6377069318755</v>
      </c>
      <c r="BG56" s="772">
        <f t="shared" ca="1" si="19"/>
        <v>3831.6377069318755</v>
      </c>
      <c r="BH56" s="772">
        <f t="shared" ca="1" si="19"/>
        <v>3621.5195735993921</v>
      </c>
      <c r="BI56" s="772">
        <f t="shared" ca="1" si="19"/>
        <v>3621.5195735993921</v>
      </c>
      <c r="BJ56" s="772">
        <f t="shared" ca="1" si="19"/>
        <v>4307.6883587252578</v>
      </c>
      <c r="BK56" s="772">
        <f t="shared" ca="1" si="19"/>
        <v>4307.6883587252578</v>
      </c>
      <c r="BL56" s="772">
        <f t="shared" ca="1" si="19"/>
        <v>4307.6883587252578</v>
      </c>
      <c r="BM56" s="772">
        <f t="shared" ca="1" si="19"/>
        <v>4307.6883587252578</v>
      </c>
      <c r="BN56" s="772">
        <f t="shared" ca="1" si="19"/>
        <v>3831.6377069318755</v>
      </c>
      <c r="BO56" s="772">
        <f t="shared" ca="1" si="20"/>
        <v>3831.6377069318755</v>
      </c>
      <c r="BP56" s="772">
        <f t="shared" ca="1" si="20"/>
        <v>3621.5195735993921</v>
      </c>
      <c r="BQ56" s="772">
        <f t="shared" ca="1" si="20"/>
        <v>3621.5195735993921</v>
      </c>
      <c r="BR56" s="772">
        <f t="shared" ca="1" si="20"/>
        <v>3427.6744383573619</v>
      </c>
      <c r="BS56" s="772">
        <f t="shared" ca="1" si="20"/>
        <v>4307.6883587252578</v>
      </c>
      <c r="BT56" s="772">
        <f t="shared" ca="1" si="20"/>
        <v>4307.6883587252578</v>
      </c>
      <c r="BU56" s="772">
        <f t="shared" ca="1" si="20"/>
        <v>4307.6883587252578</v>
      </c>
      <c r="BV56" s="772">
        <f t="shared" ca="1" si="20"/>
        <v>4059.7347378301874</v>
      </c>
      <c r="BW56" s="772">
        <f t="shared" ca="1" si="20"/>
        <v>4059.7347378301874</v>
      </c>
      <c r="BX56" s="772">
        <f t="shared" ca="1" si="20"/>
        <v>3621.5195735993921</v>
      </c>
      <c r="BY56" s="772">
        <f t="shared" ca="1" si="20"/>
        <v>3621.5195735993921</v>
      </c>
      <c r="BZ56" s="772">
        <f t="shared" ca="1" si="20"/>
        <v>3427.6744383573619</v>
      </c>
      <c r="CA56" s="772">
        <f t="shared" ca="1" si="20"/>
        <v>3427.6744383573619</v>
      </c>
      <c r="CB56" s="772">
        <f t="shared" ca="1" si="20"/>
        <v>4059.7347378301874</v>
      </c>
      <c r="CC56" s="772">
        <f t="shared" ca="1" si="20"/>
        <v>4059.7347378301874</v>
      </c>
      <c r="CD56" s="772">
        <f t="shared" ca="1" si="20"/>
        <v>4059.7347378301874</v>
      </c>
      <c r="CE56" s="772">
        <f t="shared" ca="1" si="21"/>
        <v>4059.7347378301874</v>
      </c>
      <c r="CF56" s="772">
        <f t="shared" ca="1" si="21"/>
        <v>3831.6377069318755</v>
      </c>
      <c r="CG56" s="772">
        <f t="shared" ca="1" si="21"/>
        <v>3621.5195735993921</v>
      </c>
      <c r="CH56" s="772">
        <f t="shared" ca="1" si="21"/>
        <v>3427.6744383573619</v>
      </c>
      <c r="CI56" s="772">
        <f t="shared" ca="1" si="21"/>
        <v>3427.6744383573619</v>
      </c>
      <c r="CJ56" s="772">
        <f t="shared" ca="1" si="21"/>
        <v>3248.5631448092972</v>
      </c>
    </row>
    <row r="57" spans="1:88" ht="15" customHeight="1">
      <c r="A57" s="770">
        <f>'kc-Wert für Stützen'!C57</f>
        <v>109</v>
      </c>
      <c r="B57" s="768">
        <f ca="1">INDIRECT("'kc-Wert für Stützen'!"&amp;SUBSTITUTE(ADDRESS(MATCH($A57,'kc-Wert für Stützen'!$C:$C,0),MATCH(B$7,'kc-Wert für Stützen'!$A$8:$ES$8,0)+7,4),,))</f>
        <v>5376.7767712633195</v>
      </c>
      <c r="C57" s="768">
        <f ca="1">INDIRECT("'kc-Wert für Stützen'!"&amp;SUBSTITUTE(ADDRESS(MATCH($A57,'kc-Wert für Stützen'!$C:$C,0),MATCH(C$7,'kc-Wert für Stützen'!$A$8:$ES$8,0)+7,4),,))</f>
        <v>5046.1950438910853</v>
      </c>
      <c r="D57" s="768">
        <f ca="1">INDIRECT("'kc-Wert für Stützen'!"&amp;SUBSTITUTE(ADDRESS(MATCH($A57,'kc-Wert für Stützen'!$C:$C,0),MATCH(D$7,'kc-Wert für Stützen'!$A$8:$ES$8,0)+7,4),,))</f>
        <v>4742.5658312825853</v>
      </c>
      <c r="E57" s="768">
        <f ca="1">INDIRECT("'kc-Wert für Stützen'!"&amp;SUBSTITUTE(ADDRESS(MATCH($A57,'kc-Wert für Stützen'!$C:$C,0),MATCH(E$7,'kc-Wert für Stützen'!$A$8:$ES$8,0)+7,4),,))</f>
        <v>4463.6403375921964</v>
      </c>
      <c r="F57" s="768">
        <f ca="1">INDIRECT("'kc-Wert für Stützen'!"&amp;SUBSTITUTE(ADDRESS(MATCH($A57,'kc-Wert für Stützen'!$C:$C,0),MATCH(F$7,'kc-Wert für Stützen'!$A$8:$ES$8,0)+7,4),,))</f>
        <v>4207.2237477398467</v>
      </c>
      <c r="G57" s="768">
        <f ca="1">INDIRECT("'kc-Wert für Stützen'!"&amp;SUBSTITUTE(ADDRESS(MATCH($A57,'kc-Wert für Stützen'!$C:$C,0),MATCH(G$7,'kc-Wert für Stützen'!$A$8:$ES$8,0)+7,4),,))</f>
        <v>3971.2469423617322</v>
      </c>
      <c r="H57" s="768">
        <f ca="1">INDIRECT("'kc-Wert für Stützen'!"&amp;SUBSTITUTE(ADDRESS(MATCH($A57,'kc-Wert für Stützen'!$C:$C,0),MATCH(H$7,'kc-Wert für Stützen'!$A$8:$ES$8,0)+7,4),,))</f>
        <v>3753.7991059783863</v>
      </c>
      <c r="I57" s="768">
        <f ca="1">INDIRECT("'kc-Wert für Stützen'!"&amp;SUBSTITUTE(ADDRESS(MATCH($A57,'kc-Wert für Stützen'!$C:$C,0),MATCH(I$7,'kc-Wert für Stützen'!$A$8:$ES$8,0)+7,4),,))</f>
        <v>3553.1378480266558</v>
      </c>
      <c r="J57" s="768">
        <f ca="1">INDIRECT("'kc-Wert für Stützen'!"&amp;SUBSTITUTE(ADDRESS(MATCH($A57,'kc-Wert für Stützen'!$C:$C,0),MATCH(J$7,'kc-Wert für Stützen'!$A$8:$ES$8,0)+7,4),,))</f>
        <v>3367.6868101671876</v>
      </c>
      <c r="K57" s="768">
        <f ca="1">INDIRECT("'kc-Wert für Stützen'!"&amp;SUBSTITUTE(ADDRESS(MATCH($A57,'kc-Wert für Stützen'!$C:$C,0),MATCH(K$7,'kc-Wert für Stützen'!$A$8:$ES$8,0)+7,4),,))</f>
        <v>3196.0266864917307</v>
      </c>
      <c r="L57" s="768">
        <f ca="1">INDIRECT("'kc-Wert für Stützen'!"&amp;SUBSTITUTE(ADDRESS(MATCH($A57,'kc-Wert für Stützen'!$C:$C,0),MATCH(L$7,'kc-Wert für Stützen'!$A$8:$ES$8,0)+7,4),,))</f>
        <v>3036.8831403625531</v>
      </c>
      <c r="M57" s="768">
        <f ca="1">INDIRECT("'kc-Wert für Stützen'!"&amp;SUBSTITUTE(ADDRESS(MATCH($A57,'kc-Wert für Stützen'!$C:$C,0),MATCH(M$7,'kc-Wert für Stützen'!$A$8:$ES$8,0)+7,4),,))</f>
        <v>2889.1136326529345</v>
      </c>
      <c r="N57" s="768">
        <f ca="1">INDIRECT("'kc-Wert für Stützen'!"&amp;SUBSTITUTE(ADDRESS(MATCH($A57,'kc-Wert für Stützen'!$C:$C,0),MATCH(N$7,'kc-Wert für Stützen'!$A$8:$ES$8,0)+7,4),,))</f>
        <v>2751.6942952143168</v>
      </c>
      <c r="O57" s="768">
        <f ca="1">INDIRECT("'kc-Wert für Stützen'!"&amp;SUBSTITUTE(ADDRESS(MATCH($A57,'kc-Wert für Stützen'!$C:$C,0),MATCH(O$7,'kc-Wert für Stützen'!$A$8:$ES$8,0)+7,4),,))</f>
        <v>2623.7074571944477</v>
      </c>
      <c r="P57" s="768">
        <f ca="1">INDIRECT("'kc-Wert für Stützen'!"&amp;SUBSTITUTE(ADDRESS(MATCH($A57,'kc-Wert für Stützen'!$C:$C,0),MATCH(P$7,'kc-Wert für Stützen'!$A$8:$ES$8,0)+7,4),,))</f>
        <v>2504.3301198913819</v>
      </c>
      <c r="S57" s="772">
        <f t="shared" ca="1" si="18"/>
        <v>4742.5658312825853</v>
      </c>
      <c r="T57" s="772">
        <f t="shared" ca="1" si="18"/>
        <v>4742.5658312825853</v>
      </c>
      <c r="U57" s="772">
        <f t="shared" ca="1" si="18"/>
        <v>4742.5658312825853</v>
      </c>
      <c r="V57" s="772">
        <f t="shared" ca="1" si="18"/>
        <v>4463.6403375921964</v>
      </c>
      <c r="W57" s="772">
        <f t="shared" ca="1" si="18"/>
        <v>4207.2237477398467</v>
      </c>
      <c r="X57" s="772">
        <f t="shared" ca="1" si="18"/>
        <v>3971.2469423617322</v>
      </c>
      <c r="Y57" s="772">
        <f t="shared" ca="1" si="18"/>
        <v>3753.7991059783863</v>
      </c>
      <c r="Z57" s="772">
        <f t="shared" ca="1" si="18"/>
        <v>4742.5658312825853</v>
      </c>
      <c r="AA57" s="772">
        <f t="shared" ca="1" si="18"/>
        <v>4742.5658312825853</v>
      </c>
      <c r="AB57" s="772">
        <f t="shared" ca="1" si="23"/>
        <v>4463.6403375921964</v>
      </c>
      <c r="AC57" s="772">
        <f t="shared" ca="1" si="23"/>
        <v>4463.6403375921964</v>
      </c>
      <c r="AD57" s="772">
        <f t="shared" ca="1" si="23"/>
        <v>4207.2237477398467</v>
      </c>
      <c r="AE57" s="772">
        <f t="shared" ca="1" si="23"/>
        <v>4207.2237477398467</v>
      </c>
      <c r="AF57" s="772">
        <f t="shared" ca="1" si="23"/>
        <v>3971.2469423617322</v>
      </c>
      <c r="AG57" s="772">
        <f t="shared" ca="1" si="23"/>
        <v>3971.2469423617322</v>
      </c>
      <c r="AH57" s="772">
        <f t="shared" ca="1" si="23"/>
        <v>3971.2469423617322</v>
      </c>
      <c r="AI57" s="772">
        <f t="shared" ca="1" si="23"/>
        <v>4742.5658312825853</v>
      </c>
      <c r="AJ57" s="772">
        <f t="shared" ca="1" si="23"/>
        <v>4742.5658312825853</v>
      </c>
      <c r="AK57" s="772">
        <f t="shared" ca="1" si="23"/>
        <v>4463.6403375921964</v>
      </c>
      <c r="AL57" s="772">
        <f t="shared" ca="1" si="23"/>
        <v>4463.6403375921964</v>
      </c>
      <c r="AM57" s="772">
        <f t="shared" ca="1" si="23"/>
        <v>4207.2237477398467</v>
      </c>
      <c r="AN57" s="772">
        <f t="shared" ca="1" si="23"/>
        <v>4207.2237477398467</v>
      </c>
      <c r="AO57" s="772">
        <f t="shared" ca="1" si="23"/>
        <v>3971.2469423617322</v>
      </c>
      <c r="AP57" s="772">
        <f t="shared" ca="1" si="23"/>
        <v>3971.2469423617322</v>
      </c>
      <c r="AQ57" s="772">
        <f t="shared" ca="1" si="23"/>
        <v>3971.2469423617322</v>
      </c>
      <c r="AR57" s="772">
        <f t="shared" ca="1" si="22"/>
        <v>4742.5658312825853</v>
      </c>
      <c r="AS57" s="772">
        <f t="shared" ca="1" si="22"/>
        <v>4742.5658312825853</v>
      </c>
      <c r="AT57" s="772">
        <f t="shared" ca="1" si="22"/>
        <v>4463.6403375921964</v>
      </c>
      <c r="AU57" s="772">
        <f t="shared" ca="1" si="22"/>
        <v>4463.6403375921964</v>
      </c>
      <c r="AV57" s="772">
        <f t="shared" ca="1" si="22"/>
        <v>4207.2237477398467</v>
      </c>
      <c r="AW57" s="772">
        <f t="shared" ca="1" si="22"/>
        <v>4207.2237477398467</v>
      </c>
      <c r="AX57" s="772">
        <f t="shared" ca="1" si="22"/>
        <v>3971.2469423617322</v>
      </c>
      <c r="AY57" s="772">
        <f t="shared" ca="1" si="22"/>
        <v>3971.2469423617322</v>
      </c>
      <c r="AZ57" s="772">
        <f t="shared" ca="1" si="22"/>
        <v>3971.2469423617322</v>
      </c>
      <c r="BA57" s="772">
        <f t="shared" ca="1" si="22"/>
        <v>4742.5658312825853</v>
      </c>
      <c r="BB57" s="772">
        <f t="shared" ca="1" si="22"/>
        <v>4742.5658312825853</v>
      </c>
      <c r="BC57" s="772">
        <f t="shared" ca="1" si="22"/>
        <v>4463.6403375921964</v>
      </c>
      <c r="BD57" s="772">
        <f t="shared" ca="1" si="22"/>
        <v>4207.2237477398467</v>
      </c>
      <c r="BE57" s="772">
        <f t="shared" ca="1" si="22"/>
        <v>4207.2237477398467</v>
      </c>
      <c r="BF57" s="772">
        <f t="shared" ca="1" si="22"/>
        <v>3971.2469423617322</v>
      </c>
      <c r="BG57" s="772">
        <f t="shared" ca="1" si="19"/>
        <v>3971.2469423617322</v>
      </c>
      <c r="BH57" s="772">
        <f t="shared" ca="1" si="19"/>
        <v>3753.7991059783863</v>
      </c>
      <c r="BI57" s="772">
        <f t="shared" ca="1" si="19"/>
        <v>3753.7991059783863</v>
      </c>
      <c r="BJ57" s="772">
        <f t="shared" ca="1" si="19"/>
        <v>4463.6403375921964</v>
      </c>
      <c r="BK57" s="772">
        <f t="shared" ca="1" si="19"/>
        <v>4463.6403375921964</v>
      </c>
      <c r="BL57" s="772">
        <f t="shared" ca="1" si="19"/>
        <v>4463.6403375921964</v>
      </c>
      <c r="BM57" s="772">
        <f t="shared" ca="1" si="19"/>
        <v>4463.6403375921964</v>
      </c>
      <c r="BN57" s="772">
        <f t="shared" ca="1" si="19"/>
        <v>3971.2469423617322</v>
      </c>
      <c r="BO57" s="772">
        <f t="shared" ca="1" si="20"/>
        <v>3971.2469423617322</v>
      </c>
      <c r="BP57" s="772">
        <f t="shared" ca="1" si="20"/>
        <v>3753.7991059783863</v>
      </c>
      <c r="BQ57" s="772">
        <f t="shared" ca="1" si="20"/>
        <v>3753.7991059783863</v>
      </c>
      <c r="BR57" s="772">
        <f t="shared" ca="1" si="20"/>
        <v>3553.1378480266558</v>
      </c>
      <c r="BS57" s="772">
        <f t="shared" ca="1" si="20"/>
        <v>4463.6403375921964</v>
      </c>
      <c r="BT57" s="772">
        <f t="shared" ca="1" si="20"/>
        <v>4463.6403375921964</v>
      </c>
      <c r="BU57" s="772">
        <f t="shared" ca="1" si="20"/>
        <v>4463.6403375921964</v>
      </c>
      <c r="BV57" s="772">
        <f t="shared" ca="1" si="20"/>
        <v>4207.2237477398467</v>
      </c>
      <c r="BW57" s="772">
        <f t="shared" ca="1" si="20"/>
        <v>4207.2237477398467</v>
      </c>
      <c r="BX57" s="772">
        <f t="shared" ca="1" si="20"/>
        <v>3753.7991059783863</v>
      </c>
      <c r="BY57" s="772">
        <f t="shared" ca="1" si="20"/>
        <v>3753.7991059783863</v>
      </c>
      <c r="BZ57" s="772">
        <f t="shared" ca="1" si="20"/>
        <v>3553.1378480266558</v>
      </c>
      <c r="CA57" s="772">
        <f t="shared" ca="1" si="20"/>
        <v>3553.1378480266558</v>
      </c>
      <c r="CB57" s="772">
        <f t="shared" ca="1" si="20"/>
        <v>4207.2237477398467</v>
      </c>
      <c r="CC57" s="772">
        <f t="shared" ca="1" si="20"/>
        <v>4207.2237477398467</v>
      </c>
      <c r="CD57" s="772">
        <f t="shared" ca="1" si="20"/>
        <v>4207.2237477398467</v>
      </c>
      <c r="CE57" s="772">
        <f t="shared" ca="1" si="21"/>
        <v>4207.2237477398467</v>
      </c>
      <c r="CF57" s="772">
        <f t="shared" ca="1" si="21"/>
        <v>3971.2469423617322</v>
      </c>
      <c r="CG57" s="772">
        <f t="shared" ca="1" si="21"/>
        <v>3753.7991059783863</v>
      </c>
      <c r="CH57" s="772">
        <f t="shared" ca="1" si="21"/>
        <v>3553.1378480266558</v>
      </c>
      <c r="CI57" s="772">
        <f t="shared" ca="1" si="21"/>
        <v>3553.1378480266558</v>
      </c>
      <c r="CJ57" s="772">
        <f t="shared" ca="1" si="21"/>
        <v>3367.6868101671876</v>
      </c>
    </row>
    <row r="58" spans="1:88" ht="15" customHeight="1">
      <c r="A58" s="770">
        <f>'kc-Wert für Stützen'!C58</f>
        <v>110</v>
      </c>
      <c r="B58" s="768">
        <f ca="1">INDIRECT("'kc-Wert für Stützen'!"&amp;SUBSTITUTE(ADDRESS(MATCH($A58,'kc-Wert für Stützen'!$C:$C,0),MATCH(B$7,'kc-Wert für Stützen'!$A$8:$ES$8,0)+7,4),,))</f>
        <v>5566.2372588730641</v>
      </c>
      <c r="C58" s="768">
        <f ca="1">INDIRECT("'kc-Wert für Stützen'!"&amp;SUBSTITUTE(ADDRESS(MATCH($A58,'kc-Wert für Stützen'!$C:$C,0),MATCH(C$7,'kc-Wert für Stützen'!$A$8:$ES$8,0)+7,4),,))</f>
        <v>5225.2127712974343</v>
      </c>
      <c r="D58" s="768">
        <f ca="1">INDIRECT("'kc-Wert für Stützen'!"&amp;SUBSTITUTE(ADDRESS(MATCH($A58,'kc-Wert für Stützen'!$C:$C,0),MATCH(D$7,'kc-Wert für Stützen'!$A$8:$ES$8,0)+7,4),,))</f>
        <v>4911.7275878996543</v>
      </c>
      <c r="E58" s="768">
        <f ca="1">INDIRECT("'kc-Wert für Stützen'!"&amp;SUBSTITUTE(ADDRESS(MATCH($A58,'kc-Wert für Stützen'!$C:$C,0),MATCH(E$7,'kc-Wert für Stützen'!$A$8:$ES$8,0)+7,4),,))</f>
        <v>4623.5583470616202</v>
      </c>
      <c r="F58" s="768">
        <f ca="1">INDIRECT("'kc-Wert für Stützen'!"&amp;SUBSTITUTE(ADDRESS(MATCH($A58,'kc-Wert für Stützen'!$C:$C,0),MATCH(F$7,'kc-Wert für Stützen'!$A$8:$ES$8,0)+7,4),,))</f>
        <v>4358.5058485692516</v>
      </c>
      <c r="G58" s="768">
        <f ca="1">INDIRECT("'kc-Wert für Stützen'!"&amp;SUBSTITUTE(ADDRESS(MATCH($A58,'kc-Wert für Stützen'!$C:$C,0),MATCH(G$7,'kc-Wert für Stützen'!$A$8:$ES$8,0)+7,4),,))</f>
        <v>4114.4794084422656</v>
      </c>
      <c r="H58" s="768">
        <f ca="1">INDIRECT("'kc-Wert für Stützen'!"&amp;SUBSTITUTE(ADDRESS(MATCH($A58,'kc-Wert für Stützen'!$C:$C,0),MATCH(H$7,'kc-Wert für Stützen'!$A$8:$ES$8,0)+7,4),,))</f>
        <v>3889.5373930518963</v>
      </c>
      <c r="I58" s="768">
        <f ca="1">INDIRECT("'kc-Wert für Stützen'!"&amp;SUBSTITUTE(ADDRESS(MATCH($A58,'kc-Wert für Stützen'!$C:$C,0),MATCH(I$7,'kc-Wert für Stützen'!$A$8:$ES$8,0)+7,4),,))</f>
        <v>3681.9022479177934</v>
      </c>
      <c r="J58" s="768">
        <f ca="1">INDIRECT("'kc-Wert für Stützen'!"&amp;SUBSTITUTE(ADDRESS(MATCH($A58,'kc-Wert für Stützen'!$C:$C,0),MATCH(J$7,'kc-Wert für Stützen'!$A$8:$ES$8,0)+7,4),,))</f>
        <v>3489.961098365839</v>
      </c>
      <c r="K58" s="768">
        <f ca="1">INDIRECT("'kc-Wert für Stützen'!"&amp;SUBSTITUTE(ADDRESS(MATCH($A58,'kc-Wert für Stützen'!$C:$C,0),MATCH(K$7,'kc-Wert für Stützen'!$A$8:$ES$8,0)+7,4),,))</f>
        <v>3312.2585542487736</v>
      </c>
      <c r="L58" s="768">
        <f ca="1">INDIRECT("'kc-Wert für Stützen'!"&amp;SUBSTITUTE(ADDRESS(MATCH($A58,'kc-Wert für Stützen'!$C:$C,0),MATCH(L$7,'kc-Wert für Stützen'!$A$8:$ES$8,0)+7,4),,))</f>
        <v>3147.4856504309832</v>
      </c>
      <c r="M58" s="768">
        <f ca="1">INDIRECT("'kc-Wert für Stützen'!"&amp;SUBSTITUTE(ADDRESS(MATCH($A58,'kc-Wert für Stützen'!$C:$C,0),MATCH(M$7,'kc-Wert für Stützen'!$A$8:$ES$8,0)+7,4),,))</f>
        <v>2994.4672218543378</v>
      </c>
      <c r="N58" s="768">
        <f ca="1">INDIRECT("'kc-Wert für Stützen'!"&amp;SUBSTITUTE(ADDRESS(MATCH($A58,'kc-Wert für Stützen'!$C:$C,0),MATCH(N$7,'kc-Wert für Stützen'!$A$8:$ES$8,0)+7,4),,))</f>
        <v>2852.1490273233926</v>
      </c>
      <c r="O58" s="768">
        <f ca="1">INDIRECT("'kc-Wert für Stützen'!"&amp;SUBSTITUTE(ADDRESS(MATCH($A58,'kc-Wert für Stützen'!$C:$C,0),MATCH(O$7,'kc-Wert für Stützen'!$A$8:$ES$8,0)+7,4),,))</f>
        <v>2719.5853442868756</v>
      </c>
      <c r="P58" s="768">
        <f ca="1">INDIRECT("'kc-Wert für Stützen'!"&amp;SUBSTITUTE(ADDRESS(MATCH($A58,'kc-Wert für Stützen'!$C:$C,0),MATCH(P$7,'kc-Wert für Stützen'!$A$8:$ES$8,0)+7,4),,))</f>
        <v>2595.9274032656426</v>
      </c>
      <c r="S58" s="772">
        <f t="shared" ca="1" si="18"/>
        <v>4911.7275878996543</v>
      </c>
      <c r="T58" s="772">
        <f t="shared" ca="1" si="18"/>
        <v>4911.7275878996543</v>
      </c>
      <c r="U58" s="772">
        <f t="shared" ca="1" si="18"/>
        <v>4911.7275878996543</v>
      </c>
      <c r="V58" s="772">
        <f t="shared" ca="1" si="18"/>
        <v>4623.5583470616202</v>
      </c>
      <c r="W58" s="772">
        <f t="shared" ca="1" si="18"/>
        <v>4358.5058485692516</v>
      </c>
      <c r="X58" s="772">
        <f t="shared" ca="1" si="18"/>
        <v>4114.4794084422656</v>
      </c>
      <c r="Y58" s="772">
        <f t="shared" ca="1" si="18"/>
        <v>3889.5373930518963</v>
      </c>
      <c r="Z58" s="772">
        <f t="shared" ca="1" si="18"/>
        <v>4911.7275878996543</v>
      </c>
      <c r="AA58" s="772">
        <f t="shared" ca="1" si="18"/>
        <v>4911.7275878996543</v>
      </c>
      <c r="AB58" s="772">
        <f t="shared" ca="1" si="23"/>
        <v>4623.5583470616202</v>
      </c>
      <c r="AC58" s="772">
        <f t="shared" ca="1" si="23"/>
        <v>4623.5583470616202</v>
      </c>
      <c r="AD58" s="772">
        <f t="shared" ca="1" si="23"/>
        <v>4358.5058485692516</v>
      </c>
      <c r="AE58" s="772">
        <f t="shared" ca="1" si="23"/>
        <v>4358.5058485692516</v>
      </c>
      <c r="AF58" s="772">
        <f t="shared" ca="1" si="23"/>
        <v>4114.4794084422656</v>
      </c>
      <c r="AG58" s="772">
        <f t="shared" ca="1" si="23"/>
        <v>4114.4794084422656</v>
      </c>
      <c r="AH58" s="772">
        <f t="shared" ca="1" si="23"/>
        <v>4114.4794084422656</v>
      </c>
      <c r="AI58" s="772">
        <f t="shared" ca="1" si="23"/>
        <v>4911.7275878996543</v>
      </c>
      <c r="AJ58" s="772">
        <f t="shared" ca="1" si="23"/>
        <v>4911.7275878996543</v>
      </c>
      <c r="AK58" s="772">
        <f t="shared" ca="1" si="23"/>
        <v>4623.5583470616202</v>
      </c>
      <c r="AL58" s="772">
        <f t="shared" ca="1" si="23"/>
        <v>4623.5583470616202</v>
      </c>
      <c r="AM58" s="772">
        <f t="shared" ca="1" si="23"/>
        <v>4358.5058485692516</v>
      </c>
      <c r="AN58" s="772">
        <f t="shared" ca="1" si="23"/>
        <v>4358.5058485692516</v>
      </c>
      <c r="AO58" s="772">
        <f t="shared" ca="1" si="23"/>
        <v>4114.4794084422656</v>
      </c>
      <c r="AP58" s="772">
        <f t="shared" ca="1" si="23"/>
        <v>4114.4794084422656</v>
      </c>
      <c r="AQ58" s="772">
        <f t="shared" ca="1" si="23"/>
        <v>4114.4794084422656</v>
      </c>
      <c r="AR58" s="772">
        <f t="shared" ca="1" si="22"/>
        <v>4911.7275878996543</v>
      </c>
      <c r="AS58" s="772">
        <f t="shared" ca="1" si="22"/>
        <v>4911.7275878996543</v>
      </c>
      <c r="AT58" s="772">
        <f t="shared" ca="1" si="22"/>
        <v>4623.5583470616202</v>
      </c>
      <c r="AU58" s="772">
        <f t="shared" ca="1" si="22"/>
        <v>4623.5583470616202</v>
      </c>
      <c r="AV58" s="772">
        <f t="shared" ca="1" si="22"/>
        <v>4358.5058485692516</v>
      </c>
      <c r="AW58" s="772">
        <f t="shared" ca="1" si="22"/>
        <v>4358.5058485692516</v>
      </c>
      <c r="AX58" s="772">
        <f t="shared" ca="1" si="22"/>
        <v>4114.4794084422656</v>
      </c>
      <c r="AY58" s="772">
        <f t="shared" ca="1" si="22"/>
        <v>4114.4794084422656</v>
      </c>
      <c r="AZ58" s="772">
        <f t="shared" ca="1" si="22"/>
        <v>4114.4794084422656</v>
      </c>
      <c r="BA58" s="772">
        <f t="shared" ca="1" si="22"/>
        <v>4911.7275878996543</v>
      </c>
      <c r="BB58" s="772">
        <f t="shared" ca="1" si="22"/>
        <v>4911.7275878996543</v>
      </c>
      <c r="BC58" s="772">
        <f t="shared" ca="1" si="22"/>
        <v>4623.5583470616202</v>
      </c>
      <c r="BD58" s="772">
        <f t="shared" ca="1" si="22"/>
        <v>4358.5058485692516</v>
      </c>
      <c r="BE58" s="772">
        <f t="shared" ca="1" si="22"/>
        <v>4358.5058485692516</v>
      </c>
      <c r="BF58" s="772">
        <f t="shared" ca="1" si="22"/>
        <v>4114.4794084422656</v>
      </c>
      <c r="BG58" s="772">
        <f t="shared" ca="1" si="19"/>
        <v>4114.4794084422656</v>
      </c>
      <c r="BH58" s="772">
        <f t="shared" ca="1" si="19"/>
        <v>3889.5373930518963</v>
      </c>
      <c r="BI58" s="772">
        <f t="shared" ca="1" si="19"/>
        <v>3889.5373930518963</v>
      </c>
      <c r="BJ58" s="772">
        <f t="shared" ca="1" si="19"/>
        <v>4623.5583470616202</v>
      </c>
      <c r="BK58" s="772">
        <f t="shared" ca="1" si="19"/>
        <v>4623.5583470616202</v>
      </c>
      <c r="BL58" s="772">
        <f t="shared" ca="1" si="19"/>
        <v>4623.5583470616202</v>
      </c>
      <c r="BM58" s="772">
        <f t="shared" ca="1" si="19"/>
        <v>4623.5583470616202</v>
      </c>
      <c r="BN58" s="772">
        <f t="shared" ca="1" si="19"/>
        <v>4114.4794084422656</v>
      </c>
      <c r="BO58" s="772">
        <f t="shared" ca="1" si="20"/>
        <v>4114.4794084422656</v>
      </c>
      <c r="BP58" s="772">
        <f t="shared" ca="1" si="20"/>
        <v>3889.5373930518963</v>
      </c>
      <c r="BQ58" s="772">
        <f t="shared" ca="1" si="20"/>
        <v>3889.5373930518963</v>
      </c>
      <c r="BR58" s="772">
        <f t="shared" ca="1" si="20"/>
        <v>3681.9022479177934</v>
      </c>
      <c r="BS58" s="772">
        <f t="shared" ca="1" si="20"/>
        <v>4623.5583470616202</v>
      </c>
      <c r="BT58" s="772">
        <f t="shared" ca="1" si="20"/>
        <v>4623.5583470616202</v>
      </c>
      <c r="BU58" s="772">
        <f t="shared" ca="1" si="20"/>
        <v>4623.5583470616202</v>
      </c>
      <c r="BV58" s="772">
        <f t="shared" ca="1" si="20"/>
        <v>4358.5058485692516</v>
      </c>
      <c r="BW58" s="772">
        <f t="shared" ca="1" si="20"/>
        <v>4358.5058485692516</v>
      </c>
      <c r="BX58" s="772">
        <f t="shared" ca="1" si="20"/>
        <v>3889.5373930518963</v>
      </c>
      <c r="BY58" s="772">
        <f t="shared" ca="1" si="20"/>
        <v>3889.5373930518963</v>
      </c>
      <c r="BZ58" s="772">
        <f t="shared" ca="1" si="20"/>
        <v>3681.9022479177934</v>
      </c>
      <c r="CA58" s="772">
        <f t="shared" ca="1" si="20"/>
        <v>3681.9022479177934</v>
      </c>
      <c r="CB58" s="772">
        <f t="shared" ca="1" si="20"/>
        <v>4358.5058485692516</v>
      </c>
      <c r="CC58" s="772">
        <f t="shared" ca="1" si="20"/>
        <v>4358.5058485692516</v>
      </c>
      <c r="CD58" s="772">
        <f t="shared" ca="1" si="20"/>
        <v>4358.5058485692516</v>
      </c>
      <c r="CE58" s="772">
        <f t="shared" ca="1" si="21"/>
        <v>4358.5058485692516</v>
      </c>
      <c r="CF58" s="772">
        <f t="shared" ca="1" si="21"/>
        <v>4114.4794084422656</v>
      </c>
      <c r="CG58" s="772">
        <f t="shared" ca="1" si="21"/>
        <v>3889.5373930518963</v>
      </c>
      <c r="CH58" s="772">
        <f t="shared" ca="1" si="21"/>
        <v>3681.9022479177934</v>
      </c>
      <c r="CI58" s="772">
        <f t="shared" ca="1" si="21"/>
        <v>3681.9022479177934</v>
      </c>
      <c r="CJ58" s="772">
        <f t="shared" ca="1" si="21"/>
        <v>3489.961098365839</v>
      </c>
    </row>
    <row r="59" spans="1:88" ht="15" customHeight="1">
      <c r="A59" s="770">
        <f>'kc-Wert für Stützen'!C59</f>
        <v>111</v>
      </c>
      <c r="B59" s="768">
        <f ca="1">INDIRECT("'kc-Wert für Stützen'!"&amp;SUBSTITUTE(ADDRESS(MATCH($A59,'kc-Wert für Stützen'!$C:$C,0),MATCH(B$7,'kc-Wert für Stützen'!$A$8:$ES$8,0)+7,4),,))</f>
        <v>5760.1847494090971</v>
      </c>
      <c r="C59" s="768">
        <f ca="1">INDIRECT("'kc-Wert für Stützen'!"&amp;SUBSTITUTE(ADDRESS(MATCH($A59,'kc-Wert für Stützen'!$C:$C,0),MATCH(C$7,'kc-Wert für Stützen'!$A$8:$ES$8,0)+7,4),,))</f>
        <v>5408.5756857265878</v>
      </c>
      <c r="D59" s="768">
        <f ca="1">INDIRECT("'kc-Wert für Stützen'!"&amp;SUBSTITUTE(ADDRESS(MATCH($A59,'kc-Wert für Stützen'!$C:$C,0),MATCH(D$7,'kc-Wert für Stützen'!$A$8:$ES$8,0)+7,4),,))</f>
        <v>5085.0737338273884</v>
      </c>
      <c r="E59" s="768">
        <f ca="1">INDIRECT("'kc-Wert für Stützen'!"&amp;SUBSTITUTE(ADDRESS(MATCH($A59,'kc-Wert für Stützen'!$C:$C,0),MATCH(E$7,'kc-Wert für Stützen'!$A$8:$ES$8,0)+7,4),,))</f>
        <v>4787.491209429335</v>
      </c>
      <c r="F59" s="768">
        <f ca="1">INDIRECT("'kc-Wert für Stützen'!"&amp;SUBSTITUTE(ADDRESS(MATCH($A59,'kc-Wert für Stützen'!$C:$C,0),MATCH(F$7,'kc-Wert für Stützen'!$A$8:$ES$8,0)+7,4),,))</f>
        <v>4513.6311681169145</v>
      </c>
      <c r="G59" s="768">
        <f ca="1">INDIRECT("'kc-Wert für Stützen'!"&amp;SUBSTITUTE(ADDRESS(MATCH($A59,'kc-Wert für Stützen'!$C:$C,0),MATCH(G$7,'kc-Wert für Stützen'!$A$8:$ES$8,0)+7,4),,))</f>
        <v>4261.3855809153565</v>
      </c>
      <c r="H59" s="768">
        <f ca="1">INDIRECT("'kc-Wert für Stützen'!"&amp;SUBSTITUTE(ADDRESS(MATCH($A59,'kc-Wert für Stützen'!$C:$C,0),MATCH(H$7,'kc-Wert für Stützen'!$A$8:$ES$8,0)+7,4),,))</f>
        <v>4028.7846033731266</v>
      </c>
      <c r="I59" s="768">
        <f ca="1">INDIRECT("'kc-Wert für Stützen'!"&amp;SUBSTITUTE(ADDRESS(MATCH($A59,'kc-Wert für Stützen'!$C:$C,0),MATCH(I$7,'kc-Wert für Stützen'!$A$8:$ES$8,0)+7,4),,))</f>
        <v>3814.0170563078136</v>
      </c>
      <c r="J59" s="768">
        <f ca="1">INDIRECT("'kc-Wert für Stützen'!"&amp;SUBSTITUTE(ADDRESS(MATCH($A59,'kc-Wert für Stützen'!$C:$C,0),MATCH(J$7,'kc-Wert für Stützen'!$A$8:$ES$8,0)+7,4),,))</f>
        <v>3615.4343833078574</v>
      </c>
      <c r="K59" s="768">
        <f ca="1">INDIRECT("'kc-Wert für Stützen'!"&amp;SUBSTITUTE(ADDRESS(MATCH($A59,'kc-Wert für Stützen'!$C:$C,0),MATCH(K$7,'kc-Wert für Stützen'!$A$8:$ES$8,0)+7,4),,))</f>
        <v>3431.5454824413023</v>
      </c>
      <c r="L59" s="768">
        <f ca="1">INDIRECT("'kc-Wert für Stützen'!"&amp;SUBSTITUTE(ADDRESS(MATCH($A59,'kc-Wert für Stützen'!$C:$C,0),MATCH(L$7,'kc-Wert für Stützen'!$A$8:$ES$8,0)+7,4),,))</f>
        <v>3261.0068323338646</v>
      </c>
      <c r="M59" s="768">
        <f ca="1">INDIRECT("'kc-Wert für Stützen'!"&amp;SUBSTITUTE(ADDRESS(MATCH($A59,'kc-Wert für Stützen'!$C:$C,0),MATCH(M$7,'kc-Wert für Stützen'!$A$8:$ES$8,0)+7,4),,))</f>
        <v>3102.6105224386465</v>
      </c>
      <c r="N59" s="768">
        <f ca="1">INDIRECT("'kc-Wert für Stützen'!"&amp;SUBSTITUTE(ADDRESS(MATCH($A59,'kc-Wert für Stützen'!$C:$C,0),MATCH(N$7,'kc-Wert für Stützen'!$A$8:$ES$8,0)+7,4),,))</f>
        <v>2955.2716997765851</v>
      </c>
      <c r="O59" s="768">
        <f ca="1">INDIRECT("'kc-Wert für Stützen'!"&amp;SUBSTITUTE(ADDRESS(MATCH($A59,'kc-Wert für Stützen'!$C:$C,0),MATCH(O$7,'kc-Wert für Stützen'!$A$8:$ES$8,0)+7,4),,))</f>
        <v>2818.0162808652203</v>
      </c>
      <c r="P59" s="768">
        <f ca="1">INDIRECT("'kc-Wert für Stützen'!"&amp;SUBSTITUTE(ADDRESS(MATCH($A59,'kc-Wert für Stützen'!$C:$C,0),MATCH(P$7,'kc-Wert für Stützen'!$A$8:$ES$8,0)+7,4),,))</f>
        <v>2689.9693782733989</v>
      </c>
      <c r="S59" s="772">
        <f t="shared" ca="1" si="18"/>
        <v>5085.0737338273884</v>
      </c>
      <c r="T59" s="772">
        <f t="shared" ca="1" si="18"/>
        <v>5085.0737338273884</v>
      </c>
      <c r="U59" s="772">
        <f t="shared" ca="1" si="18"/>
        <v>5085.0737338273884</v>
      </c>
      <c r="V59" s="772">
        <f t="shared" ca="1" si="18"/>
        <v>4787.491209429335</v>
      </c>
      <c r="W59" s="772">
        <f t="shared" ca="1" si="18"/>
        <v>4513.6311681169145</v>
      </c>
      <c r="X59" s="772">
        <f t="shared" ca="1" si="18"/>
        <v>4261.3855809153565</v>
      </c>
      <c r="Y59" s="772">
        <f t="shared" ca="1" si="18"/>
        <v>4028.7846033731266</v>
      </c>
      <c r="Z59" s="772">
        <f t="shared" ca="1" si="18"/>
        <v>5085.0737338273884</v>
      </c>
      <c r="AA59" s="772">
        <f t="shared" ca="1" si="18"/>
        <v>5085.0737338273884</v>
      </c>
      <c r="AB59" s="772">
        <f t="shared" ca="1" si="23"/>
        <v>4787.491209429335</v>
      </c>
      <c r="AC59" s="772">
        <f t="shared" ca="1" si="23"/>
        <v>4787.491209429335</v>
      </c>
      <c r="AD59" s="772">
        <f t="shared" ca="1" si="23"/>
        <v>4513.6311681169145</v>
      </c>
      <c r="AE59" s="772">
        <f t="shared" ca="1" si="23"/>
        <v>4513.6311681169145</v>
      </c>
      <c r="AF59" s="772">
        <f t="shared" ca="1" si="23"/>
        <v>4261.3855809153565</v>
      </c>
      <c r="AG59" s="772">
        <f t="shared" ca="1" si="23"/>
        <v>4261.3855809153565</v>
      </c>
      <c r="AH59" s="772">
        <f t="shared" ca="1" si="23"/>
        <v>4261.3855809153565</v>
      </c>
      <c r="AI59" s="772">
        <f t="shared" ca="1" si="23"/>
        <v>5085.0737338273884</v>
      </c>
      <c r="AJ59" s="772">
        <f t="shared" ca="1" si="23"/>
        <v>5085.0737338273884</v>
      </c>
      <c r="AK59" s="772">
        <f t="shared" ca="1" si="23"/>
        <v>4787.491209429335</v>
      </c>
      <c r="AL59" s="772">
        <f t="shared" ca="1" si="23"/>
        <v>4787.491209429335</v>
      </c>
      <c r="AM59" s="772">
        <f t="shared" ca="1" si="23"/>
        <v>4513.6311681169145</v>
      </c>
      <c r="AN59" s="772">
        <f t="shared" ca="1" si="23"/>
        <v>4513.6311681169145</v>
      </c>
      <c r="AO59" s="772">
        <f t="shared" ca="1" si="23"/>
        <v>4261.3855809153565</v>
      </c>
      <c r="AP59" s="772">
        <f t="shared" ca="1" si="23"/>
        <v>4261.3855809153565</v>
      </c>
      <c r="AQ59" s="772">
        <f t="shared" ca="1" si="23"/>
        <v>4261.3855809153565</v>
      </c>
      <c r="AR59" s="772">
        <f t="shared" ca="1" si="22"/>
        <v>5085.0737338273884</v>
      </c>
      <c r="AS59" s="772">
        <f t="shared" ca="1" si="22"/>
        <v>5085.0737338273884</v>
      </c>
      <c r="AT59" s="772">
        <f t="shared" ca="1" si="22"/>
        <v>4787.491209429335</v>
      </c>
      <c r="AU59" s="772">
        <f t="shared" ca="1" si="22"/>
        <v>4787.491209429335</v>
      </c>
      <c r="AV59" s="772">
        <f t="shared" ca="1" si="22"/>
        <v>4513.6311681169145</v>
      </c>
      <c r="AW59" s="772">
        <f t="shared" ca="1" si="22"/>
        <v>4513.6311681169145</v>
      </c>
      <c r="AX59" s="772">
        <f t="shared" ca="1" si="22"/>
        <v>4261.3855809153565</v>
      </c>
      <c r="AY59" s="772">
        <f t="shared" ca="1" si="22"/>
        <v>4261.3855809153565</v>
      </c>
      <c r="AZ59" s="772">
        <f t="shared" ca="1" si="22"/>
        <v>4261.3855809153565</v>
      </c>
      <c r="BA59" s="772">
        <f t="shared" ca="1" si="22"/>
        <v>5085.0737338273884</v>
      </c>
      <c r="BB59" s="772">
        <f t="shared" ca="1" si="22"/>
        <v>5085.0737338273884</v>
      </c>
      <c r="BC59" s="772">
        <f t="shared" ca="1" si="22"/>
        <v>4787.491209429335</v>
      </c>
      <c r="BD59" s="772">
        <f t="shared" ca="1" si="22"/>
        <v>4513.6311681169145</v>
      </c>
      <c r="BE59" s="772">
        <f t="shared" ca="1" si="22"/>
        <v>4513.6311681169145</v>
      </c>
      <c r="BF59" s="772">
        <f t="shared" ca="1" si="22"/>
        <v>4261.3855809153565</v>
      </c>
      <c r="BG59" s="772">
        <f t="shared" ref="BG59:BN67" ca="1" si="24">HLOOKUP(BG$7,$A$7:$P$348,ROW()-6)</f>
        <v>4261.3855809153565</v>
      </c>
      <c r="BH59" s="772">
        <f t="shared" ca="1" si="24"/>
        <v>4028.7846033731266</v>
      </c>
      <c r="BI59" s="772">
        <f t="shared" ca="1" si="24"/>
        <v>4028.7846033731266</v>
      </c>
      <c r="BJ59" s="772">
        <f t="shared" ca="1" si="24"/>
        <v>4787.491209429335</v>
      </c>
      <c r="BK59" s="772">
        <f t="shared" ca="1" si="24"/>
        <v>4787.491209429335</v>
      </c>
      <c r="BL59" s="772">
        <f t="shared" ca="1" si="24"/>
        <v>4787.491209429335</v>
      </c>
      <c r="BM59" s="772">
        <f t="shared" ca="1" si="24"/>
        <v>4787.491209429335</v>
      </c>
      <c r="BN59" s="772">
        <f t="shared" ca="1" si="24"/>
        <v>4261.3855809153565</v>
      </c>
      <c r="BO59" s="772">
        <f t="shared" ca="1" si="20"/>
        <v>4261.3855809153565</v>
      </c>
      <c r="BP59" s="772">
        <f t="shared" ca="1" si="20"/>
        <v>4028.7846033731266</v>
      </c>
      <c r="BQ59" s="772">
        <f t="shared" ca="1" si="20"/>
        <v>4028.7846033731266</v>
      </c>
      <c r="BR59" s="772">
        <f t="shared" ca="1" si="20"/>
        <v>3814.0170563078136</v>
      </c>
      <c r="BS59" s="772">
        <f t="shared" ca="1" si="20"/>
        <v>4787.491209429335</v>
      </c>
      <c r="BT59" s="772">
        <f t="shared" ca="1" si="20"/>
        <v>4787.491209429335</v>
      </c>
      <c r="BU59" s="772">
        <f t="shared" ca="1" si="20"/>
        <v>4787.491209429335</v>
      </c>
      <c r="BV59" s="772">
        <f t="shared" ca="1" si="20"/>
        <v>4513.6311681169145</v>
      </c>
      <c r="BW59" s="772">
        <f t="shared" ca="1" si="20"/>
        <v>4513.6311681169145</v>
      </c>
      <c r="BX59" s="772">
        <f t="shared" ca="1" si="20"/>
        <v>4028.7846033731266</v>
      </c>
      <c r="BY59" s="772">
        <f t="shared" ca="1" si="20"/>
        <v>4028.7846033731266</v>
      </c>
      <c r="BZ59" s="772">
        <f t="shared" ca="1" si="20"/>
        <v>3814.0170563078136</v>
      </c>
      <c r="CA59" s="772">
        <f t="shared" ca="1" si="20"/>
        <v>3814.0170563078136</v>
      </c>
      <c r="CB59" s="772">
        <f t="shared" ca="1" si="20"/>
        <v>4513.6311681169145</v>
      </c>
      <c r="CC59" s="772">
        <f t="shared" ca="1" si="20"/>
        <v>4513.6311681169145</v>
      </c>
      <c r="CD59" s="772">
        <f t="shared" ca="1" si="20"/>
        <v>4513.6311681169145</v>
      </c>
      <c r="CE59" s="772">
        <f t="shared" ca="1" si="21"/>
        <v>4513.6311681169145</v>
      </c>
      <c r="CF59" s="772">
        <f t="shared" ca="1" si="21"/>
        <v>4261.3855809153565</v>
      </c>
      <c r="CG59" s="772">
        <f t="shared" ca="1" si="21"/>
        <v>4028.7846033731266</v>
      </c>
      <c r="CH59" s="772">
        <f t="shared" ca="1" si="21"/>
        <v>3814.0170563078136</v>
      </c>
      <c r="CI59" s="772">
        <f t="shared" ca="1" si="21"/>
        <v>3814.0170563078136</v>
      </c>
      <c r="CJ59" s="772">
        <f t="shared" ca="1" si="21"/>
        <v>3615.4343833078574</v>
      </c>
    </row>
    <row r="60" spans="1:88" ht="15" customHeight="1">
      <c r="A60" s="770">
        <f>'kc-Wert für Stützen'!C60</f>
        <v>112</v>
      </c>
      <c r="B60" s="768">
        <f ca="1">INDIRECT("'kc-Wert für Stützen'!"&amp;SUBSTITUTE(ADDRESS(MATCH($A60,'kc-Wert für Stützen'!$C:$C,0),MATCH(B$7,'kc-Wert für Stützen'!$A$8:$ES$8,0)+7,4),,))</f>
        <v>5958.6503304630687</v>
      </c>
      <c r="C60" s="768">
        <f ca="1">INDIRECT("'kc-Wert für Stützen'!"&amp;SUBSTITUTE(ADDRESS(MATCH($A60,'kc-Wert für Stützen'!$C:$C,0),MATCH(C$7,'kc-Wert für Stützen'!$A$8:$ES$8,0)+7,4),,))</f>
        <v>5596.3231939676953</v>
      </c>
      <c r="D60" s="768">
        <f ca="1">INDIRECT("'kc-Wert für Stützen'!"&amp;SUBSTITUTE(ADDRESS(MATCH($A60,'kc-Wert für Stützen'!$C:$C,0),MATCH(D$7,'kc-Wert für Stützen'!$A$8:$ES$8,0)+7,4),,))</f>
        <v>5262.6489430266911</v>
      </c>
      <c r="E60" s="768">
        <f ca="1">INDIRECT("'kc-Wert für Stützen'!"&amp;SUBSTITUTE(ADDRESS(MATCH($A60,'kc-Wert für Stützen'!$C:$C,0),MATCH(E$7,'kc-Wert für Stützen'!$A$8:$ES$8,0)+7,4),,))</f>
        <v>4955.4867175102081</v>
      </c>
      <c r="F60" s="768">
        <f ca="1">INDIRECT("'kc-Wert für Stützen'!"&amp;SUBSTITUTE(ADDRESS(MATCH($A60,'kc-Wert für Stützen'!$C:$C,0),MATCH(F$7,'kc-Wert für Stützen'!$A$8:$ES$8,0)+7,4),,))</f>
        <v>4672.649119748693</v>
      </c>
      <c r="G60" s="768">
        <f ca="1">INDIRECT("'kc-Wert für Stützen'!"&amp;SUBSTITUTE(ADDRESS(MATCH($A60,'kc-Wert für Stützen'!$C:$C,0),MATCH(G$7,'kc-Wert für Stützen'!$A$8:$ES$8,0)+7,4),,))</f>
        <v>4412.0154554397532</v>
      </c>
      <c r="H60" s="768">
        <f ca="1">INDIRECT("'kc-Wert für Stützen'!"&amp;SUBSTITUTE(ADDRESS(MATCH($A60,'kc-Wert für Stützen'!$C:$C,0),MATCH(H$7,'kc-Wert für Stützen'!$A$8:$ES$8,0)+7,4),,))</f>
        <v>4171.5906003288574</v>
      </c>
      <c r="I60" s="768">
        <f ca="1">INDIRECT("'kc-Wert für Stützen'!"&amp;SUBSTITUTE(ADDRESS(MATCH($A60,'kc-Wert für Stützen'!$C:$C,0),MATCH(I$7,'kc-Wert für Stützen'!$A$8:$ES$8,0)+7,4),,))</f>
        <v>3949.5315173492377</v>
      </c>
      <c r="J60" s="768">
        <f ca="1">INDIRECT("'kc-Wert für Stützen'!"&amp;SUBSTITUTE(ADDRESS(MATCH($A60,'kc-Wert für Stützen'!$C:$C,0),MATCH(J$7,'kc-Wert für Stützen'!$A$8:$ES$8,0)+7,4),,))</f>
        <v>3744.1549632627825</v>
      </c>
      <c r="K60" s="768">
        <f ca="1">INDIRECT("'kc-Wert für Stützen'!"&amp;SUBSTITUTE(ADDRESS(MATCH($A60,'kc-Wert für Stützen'!$C:$C,0),MATCH(K$7,'kc-Wert für Stützen'!$A$8:$ES$8,0)+7,4),,))</f>
        <v>3553.9346100029184</v>
      </c>
      <c r="L60" s="768">
        <f ca="1">INDIRECT("'kc-Wert für Stützen'!"&amp;SUBSTITUTE(ADDRESS(MATCH($A60,'kc-Wert für Stützen'!$C:$C,0),MATCH(L$7,'kc-Wert für Stützen'!$A$8:$ES$8,0)+7,4),,))</f>
        <v>3377.492532310343</v>
      </c>
      <c r="M60" s="768">
        <f ca="1">INDIRECT("'kc-Wert für Stützen'!"&amp;SUBSTITUTE(ADDRESS(MATCH($A60,'kc-Wert für Stützen'!$C:$C,0),MATCH(M$7,'kc-Wert für Stützen'!$A$8:$ES$8,0)+7,4),,))</f>
        <v>3213.5880113181993</v>
      </c>
      <c r="N60" s="768">
        <f ca="1">INDIRECT("'kc-Wert für Stützen'!"&amp;SUBSTITUTE(ADDRESS(MATCH($A60,'kc-Wert für Stützen'!$C:$C,0),MATCH(N$7,'kc-Wert für Stützen'!$A$8:$ES$8,0)+7,4),,))</f>
        <v>3061.1053836646156</v>
      </c>
      <c r="O60" s="768">
        <f ca="1">INDIRECT("'kc-Wert für Stützen'!"&amp;SUBSTITUTE(ADDRESS(MATCH($A60,'kc-Wert für Stützen'!$C:$C,0),MATCH(O$7,'kc-Wert für Stützen'!$A$8:$ES$8,0)+7,4),,))</f>
        <v>2919.0419240007068</v>
      </c>
      <c r="P60" s="768">
        <f ca="1">INDIRECT("'kc-Wert für Stützen'!"&amp;SUBSTITUTE(ADDRESS(MATCH($A60,'kc-Wert für Stützen'!$C:$C,0),MATCH(P$7,'kc-Wert für Stützen'!$A$8:$ES$8,0)+7,4),,))</f>
        <v>2786.4962995708393</v>
      </c>
      <c r="S60" s="772">
        <f t="shared" ca="1" si="18"/>
        <v>5262.6489430266911</v>
      </c>
      <c r="T60" s="772">
        <f t="shared" ca="1" si="18"/>
        <v>5262.6489430266911</v>
      </c>
      <c r="U60" s="772">
        <f t="shared" ca="1" si="18"/>
        <v>5262.6489430266911</v>
      </c>
      <c r="V60" s="772">
        <f t="shared" ca="1" si="18"/>
        <v>4955.4867175102081</v>
      </c>
      <c r="W60" s="772">
        <f t="shared" ca="1" si="18"/>
        <v>4672.649119748693</v>
      </c>
      <c r="X60" s="772">
        <f t="shared" ca="1" si="18"/>
        <v>4412.0154554397532</v>
      </c>
      <c r="Y60" s="772">
        <f t="shared" ca="1" si="18"/>
        <v>4171.5906003288574</v>
      </c>
      <c r="Z60" s="772">
        <f t="shared" ca="1" si="18"/>
        <v>5262.6489430266911</v>
      </c>
      <c r="AA60" s="772">
        <f t="shared" ca="1" si="18"/>
        <v>5262.6489430266911</v>
      </c>
      <c r="AB60" s="772">
        <f t="shared" ca="1" si="23"/>
        <v>4955.4867175102081</v>
      </c>
      <c r="AC60" s="772">
        <f t="shared" ca="1" si="23"/>
        <v>4955.4867175102081</v>
      </c>
      <c r="AD60" s="772">
        <f t="shared" ca="1" si="23"/>
        <v>4672.649119748693</v>
      </c>
      <c r="AE60" s="772">
        <f t="shared" ca="1" si="23"/>
        <v>4672.649119748693</v>
      </c>
      <c r="AF60" s="772">
        <f t="shared" ca="1" si="23"/>
        <v>4412.0154554397532</v>
      </c>
      <c r="AG60" s="772">
        <f t="shared" ca="1" si="23"/>
        <v>4412.0154554397532</v>
      </c>
      <c r="AH60" s="772">
        <f t="shared" ca="1" si="23"/>
        <v>4412.0154554397532</v>
      </c>
      <c r="AI60" s="772">
        <f t="shared" ca="1" si="23"/>
        <v>5262.6489430266911</v>
      </c>
      <c r="AJ60" s="772">
        <f t="shared" ca="1" si="23"/>
        <v>5262.6489430266911</v>
      </c>
      <c r="AK60" s="772">
        <f t="shared" ca="1" si="23"/>
        <v>4955.4867175102081</v>
      </c>
      <c r="AL60" s="772">
        <f t="shared" ca="1" si="23"/>
        <v>4955.4867175102081</v>
      </c>
      <c r="AM60" s="772">
        <f t="shared" ca="1" si="23"/>
        <v>4672.649119748693</v>
      </c>
      <c r="AN60" s="772">
        <f t="shared" ca="1" si="23"/>
        <v>4672.649119748693</v>
      </c>
      <c r="AO60" s="772">
        <f t="shared" ca="1" si="23"/>
        <v>4412.0154554397532</v>
      </c>
      <c r="AP60" s="772">
        <f t="shared" ca="1" si="23"/>
        <v>4412.0154554397532</v>
      </c>
      <c r="AQ60" s="772">
        <f t="shared" ca="1" si="23"/>
        <v>4412.0154554397532</v>
      </c>
      <c r="AR60" s="772">
        <f t="shared" ca="1" si="22"/>
        <v>5262.6489430266911</v>
      </c>
      <c r="AS60" s="772">
        <f t="shared" ca="1" si="22"/>
        <v>5262.6489430266911</v>
      </c>
      <c r="AT60" s="772">
        <f t="shared" ca="1" si="22"/>
        <v>4955.4867175102081</v>
      </c>
      <c r="AU60" s="772">
        <f t="shared" ca="1" si="22"/>
        <v>4955.4867175102081</v>
      </c>
      <c r="AV60" s="772">
        <f t="shared" ca="1" si="22"/>
        <v>4672.649119748693</v>
      </c>
      <c r="AW60" s="772">
        <f t="shared" ca="1" si="22"/>
        <v>4672.649119748693</v>
      </c>
      <c r="AX60" s="772">
        <f t="shared" ca="1" si="22"/>
        <v>4412.0154554397532</v>
      </c>
      <c r="AY60" s="772">
        <f t="shared" ca="1" si="22"/>
        <v>4412.0154554397532</v>
      </c>
      <c r="AZ60" s="772">
        <f t="shared" ca="1" si="22"/>
        <v>4412.0154554397532</v>
      </c>
      <c r="BA60" s="772">
        <f t="shared" ca="1" si="22"/>
        <v>5262.6489430266911</v>
      </c>
      <c r="BB60" s="772">
        <f t="shared" ca="1" si="22"/>
        <v>5262.6489430266911</v>
      </c>
      <c r="BC60" s="772">
        <f t="shared" ca="1" si="22"/>
        <v>4955.4867175102081</v>
      </c>
      <c r="BD60" s="772">
        <f t="shared" ca="1" si="22"/>
        <v>4672.649119748693</v>
      </c>
      <c r="BE60" s="772">
        <f t="shared" ca="1" si="22"/>
        <v>4672.649119748693</v>
      </c>
      <c r="BF60" s="772">
        <f t="shared" ca="1" si="22"/>
        <v>4412.0154554397532</v>
      </c>
      <c r="BG60" s="772">
        <f t="shared" ca="1" si="24"/>
        <v>4412.0154554397532</v>
      </c>
      <c r="BH60" s="772">
        <f t="shared" ca="1" si="24"/>
        <v>4171.5906003288574</v>
      </c>
      <c r="BI60" s="772">
        <f t="shared" ca="1" si="24"/>
        <v>4171.5906003288574</v>
      </c>
      <c r="BJ60" s="772">
        <f t="shared" ca="1" si="24"/>
        <v>4955.4867175102081</v>
      </c>
      <c r="BK60" s="772">
        <f t="shared" ca="1" si="24"/>
        <v>4955.4867175102081</v>
      </c>
      <c r="BL60" s="772">
        <f t="shared" ca="1" si="24"/>
        <v>4955.4867175102081</v>
      </c>
      <c r="BM60" s="772">
        <f t="shared" ca="1" si="24"/>
        <v>4955.4867175102081</v>
      </c>
      <c r="BN60" s="772">
        <f t="shared" ca="1" si="24"/>
        <v>4412.0154554397532</v>
      </c>
      <c r="BO60" s="772">
        <f t="shared" ca="1" si="20"/>
        <v>4412.0154554397532</v>
      </c>
      <c r="BP60" s="772">
        <f t="shared" ca="1" si="20"/>
        <v>4171.5906003288574</v>
      </c>
      <c r="BQ60" s="772">
        <f t="shared" ca="1" si="20"/>
        <v>4171.5906003288574</v>
      </c>
      <c r="BR60" s="772">
        <f t="shared" ca="1" si="20"/>
        <v>3949.5315173492377</v>
      </c>
      <c r="BS60" s="772">
        <f t="shared" ca="1" si="20"/>
        <v>4955.4867175102081</v>
      </c>
      <c r="BT60" s="772">
        <f t="shared" ca="1" si="20"/>
        <v>4955.4867175102081</v>
      </c>
      <c r="BU60" s="772">
        <f t="shared" ca="1" si="20"/>
        <v>4955.4867175102081</v>
      </c>
      <c r="BV60" s="772">
        <f t="shared" ca="1" si="20"/>
        <v>4672.649119748693</v>
      </c>
      <c r="BW60" s="772">
        <f t="shared" ca="1" si="20"/>
        <v>4672.649119748693</v>
      </c>
      <c r="BX60" s="772">
        <f t="shared" ca="1" si="20"/>
        <v>4171.5906003288574</v>
      </c>
      <c r="BY60" s="772">
        <f t="shared" ca="1" si="20"/>
        <v>4171.5906003288574</v>
      </c>
      <c r="BZ60" s="772">
        <f t="shared" ca="1" si="20"/>
        <v>3949.5315173492377</v>
      </c>
      <c r="CA60" s="772">
        <f t="shared" ca="1" si="20"/>
        <v>3949.5315173492377</v>
      </c>
      <c r="CB60" s="772">
        <f t="shared" ca="1" si="20"/>
        <v>4672.649119748693</v>
      </c>
      <c r="CC60" s="772">
        <f t="shared" ca="1" si="20"/>
        <v>4672.649119748693</v>
      </c>
      <c r="CD60" s="772">
        <f t="shared" ca="1" si="20"/>
        <v>4672.649119748693</v>
      </c>
      <c r="CE60" s="772">
        <f t="shared" ca="1" si="21"/>
        <v>4672.649119748693</v>
      </c>
      <c r="CF60" s="772">
        <f t="shared" ca="1" si="21"/>
        <v>4412.0154554397532</v>
      </c>
      <c r="CG60" s="772">
        <f t="shared" ca="1" si="21"/>
        <v>4171.5906003288574</v>
      </c>
      <c r="CH60" s="772">
        <f t="shared" ca="1" si="21"/>
        <v>3949.5315173492377</v>
      </c>
      <c r="CI60" s="772">
        <f t="shared" ca="1" si="21"/>
        <v>3949.5315173492377</v>
      </c>
      <c r="CJ60" s="772">
        <f t="shared" ca="1" si="21"/>
        <v>3744.1549632627825</v>
      </c>
    </row>
    <row r="61" spans="1:88" ht="15" customHeight="1">
      <c r="A61" s="770">
        <f>'kc-Wert für Stützen'!C61</f>
        <v>113</v>
      </c>
      <c r="B61" s="768">
        <f ca="1">INDIRECT("'kc-Wert für Stützen'!"&amp;SUBSTITUTE(ADDRESS(MATCH($A61,'kc-Wert für Stützen'!$C:$C,0),MATCH(B$7,'kc-Wert für Stützen'!$A$8:$ES$8,0)+7,4),,))</f>
        <v>6161.6621312226525</v>
      </c>
      <c r="C61" s="768">
        <f ca="1">INDIRECT("'kc-Wert für Stützen'!"&amp;SUBSTITUTE(ADDRESS(MATCH($A61,'kc-Wert für Stützen'!$C:$C,0),MATCH(C$7,'kc-Wert für Stützen'!$A$8:$ES$8,0)+7,4),,))</f>
        <v>5788.4925392973746</v>
      </c>
      <c r="D61" s="768">
        <f ca="1">INDIRECT("'kc-Wert für Stützen'!"&amp;SUBSTITUTE(ADDRESS(MATCH($A61,'kc-Wert für Stützen'!$C:$C,0),MATCH(D$7,'kc-Wert für Stützen'!$A$8:$ES$8,0)+7,4),,))</f>
        <v>5444.4963261396342</v>
      </c>
      <c r="E61" s="768">
        <f ca="1">INDIRECT("'kc-Wert für Stützen'!"&amp;SUBSTITUTE(ADDRESS(MATCH($A61,'kc-Wert für Stützen'!$C:$C,0),MATCH(E$7,'kc-Wert für Stützen'!$A$8:$ES$8,0)+7,4),,))</f>
        <v>5127.5915489367944</v>
      </c>
      <c r="F61" s="768">
        <f ca="1">INDIRECT("'kc-Wert für Stützen'!"&amp;SUBSTITUTE(ADDRESS(MATCH($A61,'kc-Wert für Stützen'!$C:$C,0),MATCH(F$7,'kc-Wert für Stützen'!$A$8:$ES$8,0)+7,4),,))</f>
        <v>4835.608335244252</v>
      </c>
      <c r="G61" s="768">
        <f ca="1">INDIRECT("'kc-Wert für Stützen'!"&amp;SUBSTITUTE(ADDRESS(MATCH($A61,'kc-Wert für Stützen'!$C:$C,0),MATCH(G$7,'kc-Wert für Stützen'!$A$8:$ES$8,0)+7,4),,))</f>
        <v>4566.418494705762</v>
      </c>
      <c r="H61" s="768">
        <f ca="1">INDIRECT("'kc-Wert für Stützen'!"&amp;SUBSTITUTE(ADDRESS(MATCH($A61,'kc-Wert für Stützen'!$C:$C,0),MATCH(H$7,'kc-Wert für Stützen'!$A$8:$ES$8,0)+7,4),,))</f>
        <v>4318.0049001928701</v>
      </c>
      <c r="I61" s="768">
        <f ca="1">INDIRECT("'kc-Wert für Stützen'!"&amp;SUBSTITUTE(ADDRESS(MATCH($A61,'kc-Wert für Stützen'!$C:$C,0),MATCH(I$7,'kc-Wert für Stützen'!$A$8:$ES$8,0)+7,4),,))</f>
        <v>4088.4946675269662</v>
      </c>
      <c r="J61" s="768">
        <f ca="1">INDIRECT("'kc-Wert für Stützen'!"&amp;SUBSTITUTE(ADDRESS(MATCH($A61,'kc-Wert für Stützen'!$C:$C,0),MATCH(J$7,'kc-Wert für Stützen'!$A$8:$ES$8,0)+7,4),,))</f>
        <v>3876.1710338127773</v>
      </c>
      <c r="K61" s="768">
        <f ca="1">INDIRECT("'kc-Wert für Stützen'!"&amp;SUBSTITUTE(ADDRESS(MATCH($A61,'kc-Wert für Stützen'!$C:$C,0),MATCH(K$7,'kc-Wert für Stützen'!$A$8:$ES$8,0)+7,4),,))</f>
        <v>3679.4730524158945</v>
      </c>
      <c r="L61" s="768">
        <f ca="1">INDIRECT("'kc-Wert für Stützen'!"&amp;SUBSTITUTE(ADDRESS(MATCH($A61,'kc-Wert für Stützen'!$C:$C,0),MATCH(L$7,'kc-Wert für Stützen'!$A$8:$ES$8,0)+7,4),,))</f>
        <v>3496.9886330291151</v>
      </c>
      <c r="M61" s="768">
        <f ca="1">INDIRECT("'kc-Wert für Stützen'!"&amp;SUBSTITUTE(ADDRESS(MATCH($A61,'kc-Wert für Stützen'!$C:$C,0),MATCH(M$7,'kc-Wert für Stützen'!$A$8:$ES$8,0)+7,4),,))</f>
        <v>3327.4442470671252</v>
      </c>
      <c r="N61" s="768">
        <f ca="1">INDIRECT("'kc-Wert für Stützen'!"&amp;SUBSTITUTE(ADDRESS(MATCH($A61,'kc-Wert für Stützen'!$C:$C,0),MATCH(N$7,'kc-Wert für Stützen'!$A$8:$ES$8,0)+7,4),,))</f>
        <v>3169.6932658143201</v>
      </c>
      <c r="O61" s="768">
        <f ca="1">INDIRECT("'kc-Wert für Stützen'!"&amp;SUBSTITUTE(ADDRESS(MATCH($A61,'kc-Wert für Stützen'!$C:$C,0),MATCH(O$7,'kc-Wert für Stützen'!$A$8:$ES$8,0)+7,4),,))</f>
        <v>3022.7040720247205</v>
      </c>
      <c r="P61" s="768">
        <f ca="1">INDIRECT("'kc-Wert für Stützen'!"&amp;SUBSTITUTE(ADDRESS(MATCH($A61,'kc-Wert für Stützen'!$C:$C,0),MATCH(P$7,'kc-Wert für Stützen'!$A$8:$ES$8,0)+7,4),,))</f>
        <v>2885.5485820105778</v>
      </c>
      <c r="S61" s="772">
        <f t="shared" ca="1" si="18"/>
        <v>5444.4963261396342</v>
      </c>
      <c r="T61" s="772">
        <f t="shared" ca="1" si="18"/>
        <v>5444.4963261396342</v>
      </c>
      <c r="U61" s="772">
        <f t="shared" ca="1" si="18"/>
        <v>5444.4963261396342</v>
      </c>
      <c r="V61" s="772">
        <f t="shared" ca="1" si="18"/>
        <v>5127.5915489367944</v>
      </c>
      <c r="W61" s="772">
        <f t="shared" ca="1" si="18"/>
        <v>4835.608335244252</v>
      </c>
      <c r="X61" s="772">
        <f t="shared" ca="1" si="18"/>
        <v>4566.418494705762</v>
      </c>
      <c r="Y61" s="772">
        <f t="shared" ca="1" si="18"/>
        <v>4318.0049001928701</v>
      </c>
      <c r="Z61" s="772">
        <f t="shared" ca="1" si="18"/>
        <v>5444.4963261396342</v>
      </c>
      <c r="AA61" s="772">
        <f t="shared" ca="1" si="18"/>
        <v>5444.4963261396342</v>
      </c>
      <c r="AB61" s="772">
        <f t="shared" ca="1" si="23"/>
        <v>5127.5915489367944</v>
      </c>
      <c r="AC61" s="772">
        <f t="shared" ca="1" si="23"/>
        <v>5127.5915489367944</v>
      </c>
      <c r="AD61" s="772">
        <f t="shared" ca="1" si="23"/>
        <v>4835.608335244252</v>
      </c>
      <c r="AE61" s="772">
        <f t="shared" ca="1" si="23"/>
        <v>4835.608335244252</v>
      </c>
      <c r="AF61" s="772">
        <f t="shared" ca="1" si="23"/>
        <v>4566.418494705762</v>
      </c>
      <c r="AG61" s="772">
        <f t="shared" ca="1" si="23"/>
        <v>4566.418494705762</v>
      </c>
      <c r="AH61" s="772">
        <f t="shared" ca="1" si="23"/>
        <v>4566.418494705762</v>
      </c>
      <c r="AI61" s="772">
        <f t="shared" ca="1" si="23"/>
        <v>5444.4963261396342</v>
      </c>
      <c r="AJ61" s="772">
        <f t="shared" ca="1" si="23"/>
        <v>5444.4963261396342</v>
      </c>
      <c r="AK61" s="772">
        <f t="shared" ca="1" si="23"/>
        <v>5127.5915489367944</v>
      </c>
      <c r="AL61" s="772">
        <f t="shared" ca="1" si="23"/>
        <v>5127.5915489367944</v>
      </c>
      <c r="AM61" s="772">
        <f t="shared" ca="1" si="23"/>
        <v>4835.608335244252</v>
      </c>
      <c r="AN61" s="772">
        <f t="shared" ca="1" si="23"/>
        <v>4835.608335244252</v>
      </c>
      <c r="AO61" s="772">
        <f t="shared" ca="1" si="23"/>
        <v>4566.418494705762</v>
      </c>
      <c r="AP61" s="772">
        <f t="shared" ca="1" si="23"/>
        <v>4566.418494705762</v>
      </c>
      <c r="AQ61" s="772">
        <f t="shared" ca="1" si="23"/>
        <v>4566.418494705762</v>
      </c>
      <c r="AR61" s="772">
        <f t="shared" ca="1" si="22"/>
        <v>5444.4963261396342</v>
      </c>
      <c r="AS61" s="772">
        <f t="shared" ca="1" si="22"/>
        <v>5444.4963261396342</v>
      </c>
      <c r="AT61" s="772">
        <f t="shared" ca="1" si="22"/>
        <v>5127.5915489367944</v>
      </c>
      <c r="AU61" s="772">
        <f t="shared" ca="1" si="22"/>
        <v>5127.5915489367944</v>
      </c>
      <c r="AV61" s="772">
        <f t="shared" ca="1" si="22"/>
        <v>4835.608335244252</v>
      </c>
      <c r="AW61" s="772">
        <f t="shared" ca="1" si="22"/>
        <v>4835.608335244252</v>
      </c>
      <c r="AX61" s="772">
        <f t="shared" ca="1" si="22"/>
        <v>4566.418494705762</v>
      </c>
      <c r="AY61" s="772">
        <f t="shared" ca="1" si="22"/>
        <v>4566.418494705762</v>
      </c>
      <c r="AZ61" s="772">
        <f t="shared" ca="1" si="22"/>
        <v>4566.418494705762</v>
      </c>
      <c r="BA61" s="772">
        <f t="shared" ca="1" si="22"/>
        <v>5444.4963261396342</v>
      </c>
      <c r="BB61" s="772">
        <f t="shared" ca="1" si="22"/>
        <v>5444.4963261396342</v>
      </c>
      <c r="BC61" s="772">
        <f t="shared" ca="1" si="22"/>
        <v>5127.5915489367944</v>
      </c>
      <c r="BD61" s="772">
        <f t="shared" ca="1" si="22"/>
        <v>4835.608335244252</v>
      </c>
      <c r="BE61" s="772">
        <f t="shared" ca="1" si="22"/>
        <v>4835.608335244252</v>
      </c>
      <c r="BF61" s="772">
        <f t="shared" ca="1" si="22"/>
        <v>4566.418494705762</v>
      </c>
      <c r="BG61" s="772">
        <f t="shared" ca="1" si="24"/>
        <v>4566.418494705762</v>
      </c>
      <c r="BH61" s="772">
        <f t="shared" ca="1" si="24"/>
        <v>4318.0049001928701</v>
      </c>
      <c r="BI61" s="772">
        <f t="shared" ca="1" si="24"/>
        <v>4318.0049001928701</v>
      </c>
      <c r="BJ61" s="772">
        <f t="shared" ca="1" si="24"/>
        <v>5127.5915489367944</v>
      </c>
      <c r="BK61" s="772">
        <f t="shared" ca="1" si="24"/>
        <v>5127.5915489367944</v>
      </c>
      <c r="BL61" s="772">
        <f t="shared" ca="1" si="24"/>
        <v>5127.5915489367944</v>
      </c>
      <c r="BM61" s="772">
        <f t="shared" ca="1" si="24"/>
        <v>5127.5915489367944</v>
      </c>
      <c r="BN61" s="772">
        <f t="shared" ca="1" si="24"/>
        <v>4566.418494705762</v>
      </c>
      <c r="BO61" s="772">
        <f t="shared" ca="1" si="20"/>
        <v>4566.418494705762</v>
      </c>
      <c r="BP61" s="772">
        <f t="shared" ca="1" si="20"/>
        <v>4318.0049001928701</v>
      </c>
      <c r="BQ61" s="772">
        <f t="shared" ca="1" si="20"/>
        <v>4318.0049001928701</v>
      </c>
      <c r="BR61" s="772">
        <f t="shared" ca="1" si="20"/>
        <v>4088.4946675269662</v>
      </c>
      <c r="BS61" s="772">
        <f t="shared" ca="1" si="20"/>
        <v>5127.5915489367944</v>
      </c>
      <c r="BT61" s="772">
        <f t="shared" ca="1" si="20"/>
        <v>5127.5915489367944</v>
      </c>
      <c r="BU61" s="772">
        <f t="shared" ca="1" si="20"/>
        <v>5127.5915489367944</v>
      </c>
      <c r="BV61" s="772">
        <f t="shared" ca="1" si="20"/>
        <v>4835.608335244252</v>
      </c>
      <c r="BW61" s="772">
        <f t="shared" ca="1" si="20"/>
        <v>4835.608335244252</v>
      </c>
      <c r="BX61" s="772">
        <f t="shared" ca="1" si="20"/>
        <v>4318.0049001928701</v>
      </c>
      <c r="BY61" s="772">
        <f t="shared" ca="1" si="20"/>
        <v>4318.0049001928701</v>
      </c>
      <c r="BZ61" s="772">
        <f t="shared" ca="1" si="20"/>
        <v>4088.4946675269662</v>
      </c>
      <c r="CA61" s="772">
        <f t="shared" ca="1" si="20"/>
        <v>4088.4946675269662</v>
      </c>
      <c r="CB61" s="772">
        <f t="shared" ca="1" si="20"/>
        <v>4835.608335244252</v>
      </c>
      <c r="CC61" s="772">
        <f t="shared" ca="1" si="20"/>
        <v>4835.608335244252</v>
      </c>
      <c r="CD61" s="772">
        <f t="shared" ca="1" si="20"/>
        <v>4835.608335244252</v>
      </c>
      <c r="CE61" s="772">
        <f t="shared" ca="1" si="21"/>
        <v>4835.608335244252</v>
      </c>
      <c r="CF61" s="772">
        <f t="shared" ca="1" si="21"/>
        <v>4566.418494705762</v>
      </c>
      <c r="CG61" s="772">
        <f t="shared" ca="1" si="21"/>
        <v>4318.0049001928701</v>
      </c>
      <c r="CH61" s="772">
        <f t="shared" ca="1" si="21"/>
        <v>4088.4946675269662</v>
      </c>
      <c r="CI61" s="772">
        <f t="shared" ca="1" si="21"/>
        <v>4088.4946675269662</v>
      </c>
      <c r="CJ61" s="772">
        <f t="shared" ca="1" si="21"/>
        <v>3876.1710338127773</v>
      </c>
    </row>
    <row r="62" spans="1:88" ht="15" customHeight="1">
      <c r="A62" s="770">
        <f>'kc-Wert für Stützen'!C62</f>
        <v>114</v>
      </c>
      <c r="B62" s="768">
        <f ca="1">INDIRECT("'kc-Wert für Stützen'!"&amp;SUBSTITUTE(ADDRESS(MATCH($A62,'kc-Wert für Stützen'!$C:$C,0),MATCH(B$7,'kc-Wert für Stützen'!$A$8:$ES$8,0)+7,4),,))</f>
        <v>6369.2451454429211</v>
      </c>
      <c r="C62" s="768">
        <f ca="1">INDIRECT("'kc-Wert für Stützen'!"&amp;SUBSTITUTE(ADDRESS(MATCH($A62,'kc-Wert für Stützen'!$C:$C,0),MATCH(C$7,'kc-Wert für Stützen'!$A$8:$ES$8,0)+7,4),,))</f>
        <v>5985.1186578256957</v>
      </c>
      <c r="D62" s="768">
        <f ca="1">INDIRECT("'kc-Wert für Stützen'!"&amp;SUBSTITUTE(ADDRESS(MATCH($A62,'kc-Wert für Stützen'!$C:$C,0),MATCH(D$7,'kc-Wert für Stützen'!$A$8:$ES$8,0)+7,4),,))</f>
        <v>5630.6573167256211</v>
      </c>
      <c r="E62" s="768">
        <f ca="1">INDIRECT("'kc-Wert für Stützen'!"&amp;SUBSTITUTE(ADDRESS(MATCH($A62,'kc-Wert für Stützen'!$C:$C,0),MATCH(E$7,'kc-Wert für Stützen'!$A$8:$ES$8,0)+7,4),,))</f>
        <v>5303.8511768528524</v>
      </c>
      <c r="F62" s="768">
        <f ca="1">INDIRECT("'kc-Wert für Stützen'!"&amp;SUBSTITUTE(ADDRESS(MATCH($A62,'kc-Wert für Stützen'!$C:$C,0),MATCH(F$7,'kc-Wert für Stützen'!$A$8:$ES$8,0)+7,4),,))</f>
        <v>5002.5565947225805</v>
      </c>
      <c r="G62" s="768">
        <f ca="1">INDIRECT("'kc-Wert für Stützen'!"&amp;SUBSTITUTE(ADDRESS(MATCH($A62,'kc-Wert für Stützen'!$C:$C,0),MATCH(G$7,'kc-Wert für Stützen'!$A$8:$ES$8,0)+7,4),,))</f>
        <v>4724.6435732269556</v>
      </c>
      <c r="H62" s="768">
        <f ca="1">INDIRECT("'kc-Wert für Stützen'!"&amp;SUBSTITUTE(ADDRESS(MATCH($A62,'kc-Wert für Stützen'!$C:$C,0),MATCH(H$7,'kc-Wert für Stützen'!$A$8:$ES$8,0)+7,4),,))</f>
        <v>4468.0766283452704</v>
      </c>
      <c r="I62" s="768">
        <f ca="1">INDIRECT("'kc-Wert für Stützen'!"&amp;SUBSTITUTE(ADDRESS(MATCH($A62,'kc-Wert für Stützen'!$C:$C,0),MATCH(I$7,'kc-Wert für Stützen'!$A$8:$ES$8,0)+7,4),,))</f>
        <v>4230.9553006683027</v>
      </c>
      <c r="J62" s="768">
        <f ca="1">INDIRECT("'kc-Wert für Stützen'!"&amp;SUBSTITUTE(ADDRESS(MATCH($A62,'kc-Wert für Stützen'!$C:$C,0),MATCH(J$7,'kc-Wert für Stützen'!$A$8:$ES$8,0)+7,4),,))</f>
        <v>4011.5306596537939</v>
      </c>
      <c r="K62" s="768">
        <f ca="1">INDIRECT("'kc-Wert für Stützen'!"&amp;SUBSTITUTE(ADDRESS(MATCH($A62,'kc-Wert für Stützen'!$C:$C,0),MATCH(K$7,'kc-Wert für Stützen'!$A$8:$ES$8,0)+7,4),,))</f>
        <v>3808.207878791693</v>
      </c>
      <c r="L62" s="768">
        <f ca="1">INDIRECT("'kc-Wert für Stützen'!"&amp;SUBSTITUTE(ADDRESS(MATCH($A62,'kc-Wert für Stützen'!$C:$C,0),MATCH(L$7,'kc-Wert für Stützen'!$A$8:$ES$8,0)+7,4),,))</f>
        <v>3619.5410348029518</v>
      </c>
      <c r="M62" s="768">
        <f ca="1">INDIRECT("'kc-Wert für Stützen'!"&amp;SUBSTITUTE(ADDRESS(MATCH($A62,'kc-Wert für Stützen'!$C:$C,0),MATCH(M$7,'kc-Wert für Stützen'!$A$8:$ES$8,0)+7,4),,))</f>
        <v>3444.2238543984595</v>
      </c>
      <c r="N62" s="768">
        <f ca="1">INDIRECT("'kc-Wert für Stützen'!"&amp;SUBSTITUTE(ADDRESS(MATCH($A62,'kc-Wert für Stützen'!$C:$C,0),MATCH(N$7,'kc-Wert für Stützen'!$A$8:$ES$8,0)+7,4),,))</f>
        <v>3281.078635861149</v>
      </c>
      <c r="O62" s="768">
        <f ca="1">INDIRECT("'kc-Wert für Stützen'!"&amp;SUBSTITUTE(ADDRESS(MATCH($A62,'kc-Wert für Stützen'!$C:$C,0),MATCH(O$7,'kc-Wert für Stützen'!$A$8:$ES$8,0)+7,4),,))</f>
        <v>3129.0446536823756</v>
      </c>
      <c r="P62" s="768">
        <f ca="1">INDIRECT("'kc-Wert für Stützen'!"&amp;SUBSTITUTE(ADDRESS(MATCH($A62,'kc-Wert für Stützen'!$C:$C,0),MATCH(P$7,'kc-Wert für Stützen'!$A$8:$ES$8,0)+7,4),,))</f>
        <v>2987.16679147682</v>
      </c>
      <c r="S62" s="772">
        <f t="shared" ca="1" si="18"/>
        <v>5630.6573167256211</v>
      </c>
      <c r="T62" s="772">
        <f t="shared" ca="1" si="18"/>
        <v>5630.6573167256211</v>
      </c>
      <c r="U62" s="772">
        <f t="shared" ca="1" si="18"/>
        <v>5630.6573167256211</v>
      </c>
      <c r="V62" s="772">
        <f t="shared" ca="1" si="18"/>
        <v>5303.8511768528524</v>
      </c>
      <c r="W62" s="772">
        <f t="shared" ca="1" si="18"/>
        <v>5002.5565947225805</v>
      </c>
      <c r="X62" s="772">
        <f t="shared" ca="1" si="18"/>
        <v>4724.6435732269556</v>
      </c>
      <c r="Y62" s="772">
        <f t="shared" ca="1" si="18"/>
        <v>4468.0766283452704</v>
      </c>
      <c r="Z62" s="772">
        <f t="shared" ca="1" si="18"/>
        <v>5630.6573167256211</v>
      </c>
      <c r="AA62" s="772">
        <f t="shared" ca="1" si="18"/>
        <v>5630.6573167256211</v>
      </c>
      <c r="AB62" s="772">
        <f t="shared" ca="1" si="23"/>
        <v>5303.8511768528524</v>
      </c>
      <c r="AC62" s="772">
        <f t="shared" ca="1" si="23"/>
        <v>5303.8511768528524</v>
      </c>
      <c r="AD62" s="772">
        <f t="shared" ca="1" si="23"/>
        <v>5002.5565947225805</v>
      </c>
      <c r="AE62" s="772">
        <f t="shared" ca="1" si="23"/>
        <v>5002.5565947225805</v>
      </c>
      <c r="AF62" s="772">
        <f t="shared" ca="1" si="23"/>
        <v>4724.6435732269556</v>
      </c>
      <c r="AG62" s="772">
        <f t="shared" ca="1" si="23"/>
        <v>4724.6435732269556</v>
      </c>
      <c r="AH62" s="772">
        <f t="shared" ca="1" si="23"/>
        <v>4724.6435732269556</v>
      </c>
      <c r="AI62" s="772">
        <f t="shared" ca="1" si="23"/>
        <v>5630.6573167256211</v>
      </c>
      <c r="AJ62" s="772">
        <f t="shared" ca="1" si="23"/>
        <v>5630.6573167256211</v>
      </c>
      <c r="AK62" s="772">
        <f t="shared" ca="1" si="23"/>
        <v>5303.8511768528524</v>
      </c>
      <c r="AL62" s="772">
        <f t="shared" ca="1" si="23"/>
        <v>5303.8511768528524</v>
      </c>
      <c r="AM62" s="772">
        <f t="shared" ca="1" si="23"/>
        <v>5002.5565947225805</v>
      </c>
      <c r="AN62" s="772">
        <f t="shared" ca="1" si="23"/>
        <v>5002.5565947225805</v>
      </c>
      <c r="AO62" s="772">
        <f t="shared" ca="1" si="23"/>
        <v>4724.6435732269556</v>
      </c>
      <c r="AP62" s="772">
        <f t="shared" ca="1" si="23"/>
        <v>4724.6435732269556</v>
      </c>
      <c r="AQ62" s="772">
        <f t="shared" ca="1" si="23"/>
        <v>4724.6435732269556</v>
      </c>
      <c r="AR62" s="772">
        <f t="shared" ca="1" si="22"/>
        <v>5630.6573167256211</v>
      </c>
      <c r="AS62" s="772">
        <f t="shared" ca="1" si="22"/>
        <v>5630.6573167256211</v>
      </c>
      <c r="AT62" s="772">
        <f t="shared" ca="1" si="22"/>
        <v>5303.8511768528524</v>
      </c>
      <c r="AU62" s="772">
        <f t="shared" ca="1" si="22"/>
        <v>5303.8511768528524</v>
      </c>
      <c r="AV62" s="772">
        <f t="shared" ca="1" si="22"/>
        <v>5002.5565947225805</v>
      </c>
      <c r="AW62" s="772">
        <f t="shared" ca="1" si="22"/>
        <v>5002.5565947225805</v>
      </c>
      <c r="AX62" s="772">
        <f t="shared" ca="1" si="22"/>
        <v>4724.6435732269556</v>
      </c>
      <c r="AY62" s="772">
        <f t="shared" ca="1" si="22"/>
        <v>4724.6435732269556</v>
      </c>
      <c r="AZ62" s="772">
        <f t="shared" ca="1" si="22"/>
        <v>4724.6435732269556</v>
      </c>
      <c r="BA62" s="772">
        <f t="shared" ca="1" si="22"/>
        <v>5630.6573167256211</v>
      </c>
      <c r="BB62" s="772">
        <f t="shared" ca="1" si="22"/>
        <v>5630.6573167256211</v>
      </c>
      <c r="BC62" s="772">
        <f t="shared" ca="1" si="22"/>
        <v>5303.8511768528524</v>
      </c>
      <c r="BD62" s="772">
        <f t="shared" ca="1" si="22"/>
        <v>5002.5565947225805</v>
      </c>
      <c r="BE62" s="772">
        <f t="shared" ca="1" si="22"/>
        <v>5002.5565947225805</v>
      </c>
      <c r="BF62" s="772">
        <f t="shared" ca="1" si="22"/>
        <v>4724.6435732269556</v>
      </c>
      <c r="BG62" s="772">
        <f t="shared" ca="1" si="24"/>
        <v>4724.6435732269556</v>
      </c>
      <c r="BH62" s="772">
        <f t="shared" ca="1" si="24"/>
        <v>4468.0766283452704</v>
      </c>
      <c r="BI62" s="772">
        <f t="shared" ca="1" si="24"/>
        <v>4468.0766283452704</v>
      </c>
      <c r="BJ62" s="772">
        <f t="shared" ca="1" si="24"/>
        <v>5303.8511768528524</v>
      </c>
      <c r="BK62" s="772">
        <f t="shared" ca="1" si="24"/>
        <v>5303.8511768528524</v>
      </c>
      <c r="BL62" s="772">
        <f t="shared" ca="1" si="24"/>
        <v>5303.8511768528524</v>
      </c>
      <c r="BM62" s="772">
        <f t="shared" ca="1" si="24"/>
        <v>5303.8511768528524</v>
      </c>
      <c r="BN62" s="772">
        <f t="shared" ca="1" si="24"/>
        <v>4724.6435732269556</v>
      </c>
      <c r="BO62" s="772">
        <f t="shared" ca="1" si="20"/>
        <v>4724.6435732269556</v>
      </c>
      <c r="BP62" s="772">
        <f t="shared" ca="1" si="20"/>
        <v>4468.0766283452704</v>
      </c>
      <c r="BQ62" s="772">
        <f t="shared" ca="1" si="20"/>
        <v>4468.0766283452704</v>
      </c>
      <c r="BR62" s="772">
        <f t="shared" ca="1" si="20"/>
        <v>4230.9553006683027</v>
      </c>
      <c r="BS62" s="772">
        <f t="shared" ca="1" si="20"/>
        <v>5303.8511768528524</v>
      </c>
      <c r="BT62" s="772">
        <f t="shared" ca="1" si="20"/>
        <v>5303.8511768528524</v>
      </c>
      <c r="BU62" s="772">
        <f t="shared" ca="1" si="20"/>
        <v>5303.8511768528524</v>
      </c>
      <c r="BV62" s="772">
        <f t="shared" ca="1" si="20"/>
        <v>5002.5565947225805</v>
      </c>
      <c r="BW62" s="772">
        <f t="shared" ca="1" si="20"/>
        <v>5002.5565947225805</v>
      </c>
      <c r="BX62" s="772">
        <f t="shared" ca="1" si="20"/>
        <v>4468.0766283452704</v>
      </c>
      <c r="BY62" s="772">
        <f t="shared" ca="1" si="20"/>
        <v>4468.0766283452704</v>
      </c>
      <c r="BZ62" s="772">
        <f t="shared" ca="1" si="20"/>
        <v>4230.9553006683027</v>
      </c>
      <c r="CA62" s="772">
        <f t="shared" ca="1" si="20"/>
        <v>4230.9553006683027</v>
      </c>
      <c r="CB62" s="772">
        <f t="shared" ca="1" si="20"/>
        <v>5002.5565947225805</v>
      </c>
      <c r="CC62" s="772">
        <f t="shared" ca="1" si="20"/>
        <v>5002.5565947225805</v>
      </c>
      <c r="CD62" s="772">
        <f t="shared" ca="1" si="20"/>
        <v>5002.5565947225805</v>
      </c>
      <c r="CE62" s="772">
        <f t="shared" ca="1" si="21"/>
        <v>5002.5565947225805</v>
      </c>
      <c r="CF62" s="772">
        <f t="shared" ca="1" si="21"/>
        <v>4724.6435732269556</v>
      </c>
      <c r="CG62" s="772">
        <f t="shared" ca="1" si="21"/>
        <v>4468.0766283452704</v>
      </c>
      <c r="CH62" s="772">
        <f t="shared" ca="1" si="21"/>
        <v>4230.9553006683027</v>
      </c>
      <c r="CI62" s="772">
        <f t="shared" ca="1" si="21"/>
        <v>4230.9553006683027</v>
      </c>
      <c r="CJ62" s="772">
        <f t="shared" ca="1" si="21"/>
        <v>4011.5306596537939</v>
      </c>
    </row>
    <row r="63" spans="1:88" ht="15" customHeight="1">
      <c r="A63" s="770">
        <f>'kc-Wert für Stützen'!C63</f>
        <v>115</v>
      </c>
      <c r="B63" s="768">
        <f ca="1">INDIRECT("'kc-Wert für Stützen'!"&amp;SUBSTITUTE(ADDRESS(MATCH($A63,'kc-Wert für Stützen'!$C:$C,0),MATCH(B$7,'kc-Wert für Stützen'!$A$8:$ES$8,0)+7,4),,))</f>
        <v>6581.4210511405772</v>
      </c>
      <c r="C63" s="768">
        <f ca="1">INDIRECT("'kc-Wert für Stützen'!"&amp;SUBSTITUTE(ADDRESS(MATCH($A63,'kc-Wert für Stützen'!$C:$C,0),MATCH(C$7,'kc-Wert für Stützen'!$A$8:$ES$8,0)+7,4),,))</f>
        <v>6186.2340304251284</v>
      </c>
      <c r="D63" s="768">
        <f ca="1">INDIRECT("'kc-Wert für Stützen'!"&amp;SUBSTITUTE(ADDRESS(MATCH($A63,'kc-Wert für Stützen'!$C:$C,0),MATCH(D$7,'kc-Wert für Stützen'!$A$8:$ES$8,0)+7,4),,))</f>
        <v>5821.1715532384915</v>
      </c>
      <c r="E63" s="768">
        <f ca="1">INDIRECT("'kc-Wert für Stützen'!"&amp;SUBSTITUTE(ADDRESS(MATCH($A63,'kc-Wert für Stützen'!$C:$C,0),MATCH(E$7,'kc-Wert für Stützen'!$A$8:$ES$8,0)+7,4),,))</f>
        <v>5484.3097769416472</v>
      </c>
      <c r="F63" s="768">
        <f ca="1">INDIRECT("'kc-Wert für Stützen'!"&amp;SUBSTITUTE(ADDRESS(MATCH($A63,'kc-Wert für Stützen'!$C:$C,0),MATCH(F$7,'kc-Wert für Stützen'!$A$8:$ES$8,0)+7,4),,))</f>
        <v>5173.5407535670456</v>
      </c>
      <c r="G63" s="768">
        <f ca="1">INDIRECT("'kc-Wert für Stützen'!"&amp;SUBSTITUTE(ADDRESS(MATCH($A63,'kc-Wert für Stützen'!$C:$C,0),MATCH(G$7,'kc-Wert für Stützen'!$A$8:$ES$8,0)+7,4),,))</f>
        <v>4886.7389197316315</v>
      </c>
      <c r="H63" s="768">
        <f ca="1">INDIRECT("'kc-Wert für Stützen'!"&amp;SUBSTITUTE(ADDRESS(MATCH($A63,'kc-Wert für Stützen'!$C:$C,0),MATCH(H$7,'kc-Wert für Stützen'!$A$8:$ES$8,0)+7,4),,))</f>
        <v>4621.8544735901169</v>
      </c>
      <c r="I63" s="768">
        <f ca="1">INDIRECT("'kc-Wert für Stützen'!"&amp;SUBSTITUTE(ADDRESS(MATCH($A63,'kc-Wert für Stützen'!$C:$C,0),MATCH(I$7,'kc-Wert für Stützen'!$A$8:$ES$8,0)+7,4),,))</f>
        <v>4376.9619314499278</v>
      </c>
      <c r="J63" s="768">
        <f ca="1">INDIRECT("'kc-Wert für Stützen'!"&amp;SUBSTITUTE(ADDRESS(MATCH($A63,'kc-Wert für Stützen'!$C:$C,0),MATCH(J$7,'kc-Wert für Stützen'!$A$8:$ES$8,0)+7,4),,))</f>
        <v>4150.2817452067702</v>
      </c>
      <c r="K63" s="768">
        <f ca="1">INDIRECT("'kc-Wert für Stützen'!"&amp;SUBSTITUTE(ADDRESS(MATCH($A63,'kc-Wert für Stützen'!$C:$C,0),MATCH(K$7,'kc-Wert für Stützen'!$A$8:$ES$8,0)+7,4),,))</f>
        <v>3940.1860880053664</v>
      </c>
      <c r="L63" s="768">
        <f ca="1">INDIRECT("'kc-Wert für Stützen'!"&amp;SUBSTITUTE(ADDRESS(MATCH($A63,'kc-Wert für Stützen'!$C:$C,0),MATCH(L$7,'kc-Wert für Stützen'!$A$8:$ES$8,0)+7,4),,))</f>
        <v>3745.1956360469762</v>
      </c>
      <c r="M63" s="768">
        <f ca="1">INDIRECT("'kc-Wert für Stützen'!"&amp;SUBSTITUTE(ADDRESS(MATCH($A63,'kc-Wert für Stützen'!$C:$C,0),MATCH(M$7,'kc-Wert für Stützen'!$A$8:$ES$8,0)+7,4),,))</f>
        <v>3563.9715080329629</v>
      </c>
      <c r="N63" s="768">
        <f ca="1">INDIRECT("'kc-Wert für Stützen'!"&amp;SUBSTITUTE(ADDRESS(MATCH($A63,'kc-Wert für Stützen'!$C:$C,0),MATCH(N$7,'kc-Wert für Stützen'!$A$8:$ES$8,0)+7,4),,))</f>
        <v>3395.3048728291947</v>
      </c>
      <c r="O63" s="768">
        <f ca="1">INDIRECT("'kc-Wert für Stützen'!"&amp;SUBSTITUTE(ADDRESS(MATCH($A63,'kc-Wert für Stützen'!$C:$C,0),MATCH(O$7,'kc-Wert für Stützen'!$A$8:$ES$8,0)+7,4),,))</f>
        <v>3238.1057168846905</v>
      </c>
      <c r="P63" s="768">
        <f ca="1">INDIRECT("'kc-Wert für Stützen'!"&amp;SUBSTITUTE(ADDRESS(MATCH($A63,'kc-Wert für Stützen'!$C:$C,0),MATCH(P$7,'kc-Wert für Stützen'!$A$8:$ES$8,0)+7,4),,))</f>
        <v>3091.3916353912173</v>
      </c>
      <c r="S63" s="772">
        <f t="shared" ca="1" si="18"/>
        <v>5821.1715532384915</v>
      </c>
      <c r="T63" s="772">
        <f t="shared" ca="1" si="18"/>
        <v>5821.1715532384915</v>
      </c>
      <c r="U63" s="772">
        <f t="shared" ca="1" si="18"/>
        <v>5821.1715532384915</v>
      </c>
      <c r="V63" s="772">
        <f t="shared" ca="1" si="18"/>
        <v>5484.3097769416472</v>
      </c>
      <c r="W63" s="772">
        <f t="shared" ca="1" si="18"/>
        <v>5173.5407535670456</v>
      </c>
      <c r="X63" s="772">
        <f t="shared" ca="1" si="18"/>
        <v>4886.7389197316315</v>
      </c>
      <c r="Y63" s="772">
        <f t="shared" ca="1" si="18"/>
        <v>4621.8544735901169</v>
      </c>
      <c r="Z63" s="772">
        <f t="shared" ca="1" si="18"/>
        <v>5821.1715532384915</v>
      </c>
      <c r="AA63" s="772">
        <f t="shared" ca="1" si="18"/>
        <v>5821.1715532384915</v>
      </c>
      <c r="AB63" s="772">
        <f t="shared" ca="1" si="23"/>
        <v>5484.3097769416472</v>
      </c>
      <c r="AC63" s="772">
        <f t="shared" ca="1" si="23"/>
        <v>5484.3097769416472</v>
      </c>
      <c r="AD63" s="772">
        <f t="shared" ca="1" si="23"/>
        <v>5173.5407535670456</v>
      </c>
      <c r="AE63" s="772">
        <f t="shared" ca="1" si="23"/>
        <v>5173.5407535670456</v>
      </c>
      <c r="AF63" s="772">
        <f t="shared" ca="1" si="23"/>
        <v>4886.7389197316315</v>
      </c>
      <c r="AG63" s="772">
        <f t="shared" ca="1" si="23"/>
        <v>4886.7389197316315</v>
      </c>
      <c r="AH63" s="772">
        <f t="shared" ca="1" si="23"/>
        <v>4886.7389197316315</v>
      </c>
      <c r="AI63" s="772">
        <f t="shared" ca="1" si="23"/>
        <v>5821.1715532384915</v>
      </c>
      <c r="AJ63" s="772">
        <f t="shared" ca="1" si="23"/>
        <v>5821.1715532384915</v>
      </c>
      <c r="AK63" s="772">
        <f t="shared" ca="1" si="23"/>
        <v>5484.3097769416472</v>
      </c>
      <c r="AL63" s="772">
        <f t="shared" ca="1" si="23"/>
        <v>5484.3097769416472</v>
      </c>
      <c r="AM63" s="772">
        <f t="shared" ca="1" si="23"/>
        <v>5173.5407535670456</v>
      </c>
      <c r="AN63" s="772">
        <f t="shared" ca="1" si="23"/>
        <v>5173.5407535670456</v>
      </c>
      <c r="AO63" s="772">
        <f t="shared" ca="1" si="23"/>
        <v>4886.7389197316315</v>
      </c>
      <c r="AP63" s="772">
        <f t="shared" ca="1" si="23"/>
        <v>4886.7389197316315</v>
      </c>
      <c r="AQ63" s="772">
        <f t="shared" ca="1" si="23"/>
        <v>4886.7389197316315</v>
      </c>
      <c r="AR63" s="772">
        <f t="shared" ca="1" si="22"/>
        <v>5821.1715532384915</v>
      </c>
      <c r="AS63" s="772">
        <f t="shared" ca="1" si="22"/>
        <v>5821.1715532384915</v>
      </c>
      <c r="AT63" s="772">
        <f t="shared" ca="1" si="22"/>
        <v>5484.3097769416472</v>
      </c>
      <c r="AU63" s="772">
        <f t="shared" ca="1" si="22"/>
        <v>5484.3097769416472</v>
      </c>
      <c r="AV63" s="772">
        <f t="shared" ca="1" si="22"/>
        <v>5173.5407535670456</v>
      </c>
      <c r="AW63" s="772">
        <f t="shared" ca="1" si="22"/>
        <v>5173.5407535670456</v>
      </c>
      <c r="AX63" s="772">
        <f t="shared" ca="1" si="22"/>
        <v>4886.7389197316315</v>
      </c>
      <c r="AY63" s="772">
        <f t="shared" ca="1" si="22"/>
        <v>4886.7389197316315</v>
      </c>
      <c r="AZ63" s="772">
        <f t="shared" ca="1" si="22"/>
        <v>4886.7389197316315</v>
      </c>
      <c r="BA63" s="772">
        <f t="shared" ca="1" si="22"/>
        <v>5821.1715532384915</v>
      </c>
      <c r="BB63" s="772">
        <f t="shared" ca="1" si="22"/>
        <v>5821.1715532384915</v>
      </c>
      <c r="BC63" s="772">
        <f t="shared" ca="1" si="22"/>
        <v>5484.3097769416472</v>
      </c>
      <c r="BD63" s="772">
        <f t="shared" ca="1" si="22"/>
        <v>5173.5407535670456</v>
      </c>
      <c r="BE63" s="772">
        <f t="shared" ca="1" si="22"/>
        <v>5173.5407535670456</v>
      </c>
      <c r="BF63" s="772">
        <f t="shared" ca="1" si="22"/>
        <v>4886.7389197316315</v>
      </c>
      <c r="BG63" s="772">
        <f t="shared" ca="1" si="24"/>
        <v>4886.7389197316315</v>
      </c>
      <c r="BH63" s="772">
        <f t="shared" ca="1" si="24"/>
        <v>4621.8544735901169</v>
      </c>
      <c r="BI63" s="772">
        <f t="shared" ca="1" si="24"/>
        <v>4621.8544735901169</v>
      </c>
      <c r="BJ63" s="772">
        <f t="shared" ca="1" si="24"/>
        <v>5484.3097769416472</v>
      </c>
      <c r="BK63" s="772">
        <f t="shared" ca="1" si="24"/>
        <v>5484.3097769416472</v>
      </c>
      <c r="BL63" s="772">
        <f t="shared" ca="1" si="24"/>
        <v>5484.3097769416472</v>
      </c>
      <c r="BM63" s="772">
        <f t="shared" ca="1" si="24"/>
        <v>5484.3097769416472</v>
      </c>
      <c r="BN63" s="772">
        <f t="shared" ca="1" si="24"/>
        <v>4886.7389197316315</v>
      </c>
      <c r="BO63" s="772">
        <f t="shared" ca="1" si="20"/>
        <v>4886.7389197316315</v>
      </c>
      <c r="BP63" s="772">
        <f t="shared" ca="1" si="20"/>
        <v>4621.8544735901169</v>
      </c>
      <c r="BQ63" s="772">
        <f t="shared" ca="1" si="20"/>
        <v>4621.8544735901169</v>
      </c>
      <c r="BR63" s="772">
        <f t="shared" ca="1" si="20"/>
        <v>4376.9619314499278</v>
      </c>
      <c r="BS63" s="772">
        <f t="shared" ca="1" si="20"/>
        <v>5484.3097769416472</v>
      </c>
      <c r="BT63" s="772">
        <f t="shared" ca="1" si="20"/>
        <v>5484.3097769416472</v>
      </c>
      <c r="BU63" s="772">
        <f t="shared" ca="1" si="20"/>
        <v>5484.3097769416472</v>
      </c>
      <c r="BV63" s="772">
        <f t="shared" ca="1" si="20"/>
        <v>5173.5407535670456</v>
      </c>
      <c r="BW63" s="772">
        <f t="shared" ca="1" si="20"/>
        <v>5173.5407535670456</v>
      </c>
      <c r="BX63" s="772">
        <f t="shared" ca="1" si="20"/>
        <v>4621.8544735901169</v>
      </c>
      <c r="BY63" s="772">
        <f t="shared" ca="1" si="20"/>
        <v>4621.8544735901169</v>
      </c>
      <c r="BZ63" s="772">
        <f t="shared" ca="1" si="20"/>
        <v>4376.9619314499278</v>
      </c>
      <c r="CA63" s="772">
        <f t="shared" ca="1" si="20"/>
        <v>4376.9619314499278</v>
      </c>
      <c r="CB63" s="772">
        <f t="shared" ca="1" si="20"/>
        <v>5173.5407535670456</v>
      </c>
      <c r="CC63" s="772">
        <f t="shared" ca="1" si="20"/>
        <v>5173.5407535670456</v>
      </c>
      <c r="CD63" s="772">
        <f t="shared" ca="1" si="20"/>
        <v>5173.5407535670456</v>
      </c>
      <c r="CE63" s="772">
        <f t="shared" ca="1" si="21"/>
        <v>5173.5407535670456</v>
      </c>
      <c r="CF63" s="772">
        <f t="shared" ca="1" si="21"/>
        <v>4886.7389197316315</v>
      </c>
      <c r="CG63" s="772">
        <f t="shared" ca="1" si="21"/>
        <v>4621.8544735901169</v>
      </c>
      <c r="CH63" s="772">
        <f t="shared" ca="1" si="21"/>
        <v>4376.9619314499278</v>
      </c>
      <c r="CI63" s="772">
        <f t="shared" ca="1" si="21"/>
        <v>4376.9619314499278</v>
      </c>
      <c r="CJ63" s="772">
        <f t="shared" ca="1" si="21"/>
        <v>4150.2817452067702</v>
      </c>
    </row>
    <row r="64" spans="1:88" ht="15" customHeight="1">
      <c r="A64" s="770">
        <f>'kc-Wert für Stützen'!C64</f>
        <v>116</v>
      </c>
      <c r="B64" s="768">
        <f ca="1">INDIRECT("'kc-Wert für Stützen'!"&amp;SUBSTITUTE(ADDRESS(MATCH($A64,'kc-Wert für Stützen'!$C:$C,0),MATCH(B$7,'kc-Wert für Stützen'!$A$8:$ES$8,0)+7,4),,))</f>
        <v>6798.2080277672439</v>
      </c>
      <c r="C64" s="768">
        <f ca="1">INDIRECT("'kc-Wert für Stützen'!"&amp;SUBSTITUTE(ADDRESS(MATCH($A64,'kc-Wert für Stützen'!$C:$C,0),MATCH(C$7,'kc-Wert für Stützen'!$A$8:$ES$8,0)+7,4),,))</f>
        <v>6391.8685305094905</v>
      </c>
      <c r="D64" s="768">
        <f ca="1">INDIRECT("'kc-Wert für Stützen'!"&amp;SUBSTITUTE(ADDRESS(MATCH($A64,'kc-Wert für Stützen'!$C:$C,0),MATCH(D$7,'kc-Wert für Stützen'!$A$8:$ES$8,0)+7,4),,))</f>
        <v>6016.0767567890143</v>
      </c>
      <c r="E64" s="768">
        <f ca="1">INDIRECT("'kc-Wert für Stützen'!"&amp;SUBSTITUTE(ADDRESS(MATCH($A64,'kc-Wert für Stützen'!$C:$C,0),MATCH(E$7,'kc-Wert für Stützen'!$A$8:$ES$8,0)+7,4),,))</f>
        <v>5669.0101307436389</v>
      </c>
      <c r="F64" s="768">
        <f ca="1">INDIRECT("'kc-Wert für Stützen'!"&amp;SUBSTITUTE(ADDRESS(MATCH($A64,'kc-Wert für Stützen'!$C:$C,0),MATCH(F$7,'kc-Wert für Stützen'!$A$8:$ES$8,0)+7,4),,))</f>
        <v>5348.6066662762487</v>
      </c>
      <c r="G64" s="768">
        <f ca="1">INDIRECT("'kc-Wert für Stützen'!"&amp;SUBSTITUTE(ADDRESS(MATCH($A64,'kc-Wert für Stützen'!$C:$C,0),MATCH(G$7,'kc-Wert für Stützen'!$A$8:$ES$8,0)+7,4),,))</f>
        <v>5052.7520570782526</v>
      </c>
      <c r="H64" s="768">
        <f ca="1">INDIRECT("'kc-Wert für Stützen'!"&amp;SUBSTITUTE(ADDRESS(MATCH($A64,'kc-Wert für Stützen'!$C:$C,0),MATCH(H$7,'kc-Wert für Stützen'!$A$8:$ES$8,0)+7,4),,))</f>
        <v>4779.3866405036206</v>
      </c>
      <c r="I64" s="768">
        <f ca="1">INDIRECT("'kc-Wert für Stützen'!"&amp;SUBSTITUTE(ADDRESS(MATCH($A64,'kc-Wert für Stützen'!$C:$C,0),MATCH(I$7,'kc-Wert für Stützen'!$A$8:$ES$8,0)+7,4),,))</f>
        <v>4526.5627573447782</v>
      </c>
      <c r="J64" s="768">
        <f ca="1">INDIRECT("'kc-Wert für Stützen'!"&amp;SUBSTITUTE(ADDRESS(MATCH($A64,'kc-Wert für Stützen'!$C:$C,0),MATCH(J$7,'kc-Wert für Stützen'!$A$8:$ES$8,0)+7,4),,))</f>
        <v>4292.4720039920821</v>
      </c>
      <c r="K64" s="768">
        <f ca="1">INDIRECT("'kc-Wert für Stützen'!"&amp;SUBSTITUTE(ADDRESS(MATCH($A64,'kc-Wert für Stützen'!$C:$C,0),MATCH(K$7,'kc-Wert für Stützen'!$A$8:$ES$8,0)+7,4),,))</f>
        <v>4075.4545838462386</v>
      </c>
      <c r="L64" s="768">
        <f ca="1">INDIRECT("'kc-Wert für Stützen'!"&amp;SUBSTITUTE(ADDRESS(MATCH($A64,'kc-Wert für Stützen'!$C:$C,0),MATCH(L$7,'kc-Wert für Stützen'!$A$8:$ES$8,0)+7,4),,))</f>
        <v>3873.9983129504935</v>
      </c>
      <c r="M64" s="768">
        <f ca="1">INDIRECT("'kc-Wert für Stützen'!"&amp;SUBSTITUTE(ADDRESS(MATCH($A64,'kc-Wert für Stützen'!$C:$C,0),MATCH(M$7,'kc-Wert für Stützen'!$A$8:$ES$8,0)+7,4),,))</f>
        <v>3686.7319159355197</v>
      </c>
      <c r="N64" s="768">
        <f ca="1">INDIRECT("'kc-Wert für Stützen'!"&amp;SUBSTITUTE(ADDRESS(MATCH($A64,'kc-Wert für Stützen'!$C:$C,0),MATCH(N$7,'kc-Wert für Stützen'!$A$8:$ES$8,0)+7,4),,))</f>
        <v>3512.4154311994048</v>
      </c>
      <c r="O64" s="768">
        <f ca="1">INDIRECT("'kc-Wert für Stützen'!"&amp;SUBSTITUTE(ADDRESS(MATCH($A64,'kc-Wert für Stützen'!$C:$C,0),MATCH(O$7,'kc-Wert für Stützen'!$A$8:$ES$8,0)+7,4),,))</f>
        <v>3349.929417043867</v>
      </c>
      <c r="P64" s="768">
        <f ca="1">INDIRECT("'kc-Wert für Stützen'!"&amp;SUBSTITUTE(ADDRESS(MATCH($A64,'kc-Wert für Stützen'!$C:$C,0),MATCH(P$7,'kc-Wert für Stützen'!$A$8:$ES$8,0)+7,4),,))</f>
        <v>3198.2639528769328</v>
      </c>
      <c r="S64" s="772">
        <f t="shared" ca="1" si="18"/>
        <v>6016.0767567890143</v>
      </c>
      <c r="T64" s="772">
        <f t="shared" ca="1" si="18"/>
        <v>6016.0767567890143</v>
      </c>
      <c r="U64" s="772">
        <f t="shared" ca="1" si="18"/>
        <v>6016.0767567890143</v>
      </c>
      <c r="V64" s="772">
        <f t="shared" ca="1" si="18"/>
        <v>5669.0101307436389</v>
      </c>
      <c r="W64" s="772">
        <f t="shared" ca="1" si="18"/>
        <v>5348.6066662762487</v>
      </c>
      <c r="X64" s="772">
        <f t="shared" ca="1" si="18"/>
        <v>5052.7520570782526</v>
      </c>
      <c r="Y64" s="772">
        <f t="shared" ca="1" si="18"/>
        <v>4779.3866405036206</v>
      </c>
      <c r="Z64" s="772">
        <f t="shared" ca="1" si="18"/>
        <v>6016.0767567890143</v>
      </c>
      <c r="AA64" s="772">
        <f t="shared" ca="1" si="18"/>
        <v>6016.0767567890143</v>
      </c>
      <c r="AB64" s="772">
        <f t="shared" ca="1" si="23"/>
        <v>5669.0101307436389</v>
      </c>
      <c r="AC64" s="772">
        <f t="shared" ca="1" si="23"/>
        <v>5669.0101307436389</v>
      </c>
      <c r="AD64" s="772">
        <f t="shared" ca="1" si="23"/>
        <v>5348.6066662762487</v>
      </c>
      <c r="AE64" s="772">
        <f t="shared" ca="1" si="23"/>
        <v>5348.6066662762487</v>
      </c>
      <c r="AF64" s="772">
        <f t="shared" ca="1" si="23"/>
        <v>5052.7520570782526</v>
      </c>
      <c r="AG64" s="772">
        <f t="shared" ca="1" si="23"/>
        <v>5052.7520570782526</v>
      </c>
      <c r="AH64" s="772">
        <f t="shared" ca="1" si="23"/>
        <v>5052.7520570782526</v>
      </c>
      <c r="AI64" s="772">
        <f t="shared" ca="1" si="23"/>
        <v>6016.0767567890143</v>
      </c>
      <c r="AJ64" s="772">
        <f t="shared" ca="1" si="23"/>
        <v>6016.0767567890143</v>
      </c>
      <c r="AK64" s="772">
        <f t="shared" ca="1" si="23"/>
        <v>5669.0101307436389</v>
      </c>
      <c r="AL64" s="772">
        <f t="shared" ca="1" si="23"/>
        <v>5669.0101307436389</v>
      </c>
      <c r="AM64" s="772">
        <f t="shared" ca="1" si="23"/>
        <v>5348.6066662762487</v>
      </c>
      <c r="AN64" s="772">
        <f t="shared" ca="1" si="23"/>
        <v>5348.6066662762487</v>
      </c>
      <c r="AO64" s="772">
        <f t="shared" ca="1" si="23"/>
        <v>5052.7520570782526</v>
      </c>
      <c r="AP64" s="772">
        <f t="shared" ca="1" si="23"/>
        <v>5052.7520570782526</v>
      </c>
      <c r="AQ64" s="772">
        <f t="shared" ca="1" si="23"/>
        <v>5052.7520570782526</v>
      </c>
      <c r="AR64" s="772">
        <f t="shared" ca="1" si="22"/>
        <v>6016.0767567890143</v>
      </c>
      <c r="AS64" s="772">
        <f t="shared" ca="1" si="22"/>
        <v>6016.0767567890143</v>
      </c>
      <c r="AT64" s="772">
        <f t="shared" ca="1" si="22"/>
        <v>5669.0101307436389</v>
      </c>
      <c r="AU64" s="772">
        <f t="shared" ca="1" si="22"/>
        <v>5669.0101307436389</v>
      </c>
      <c r="AV64" s="772">
        <f t="shared" ca="1" si="22"/>
        <v>5348.6066662762487</v>
      </c>
      <c r="AW64" s="772">
        <f t="shared" ca="1" si="22"/>
        <v>5348.6066662762487</v>
      </c>
      <c r="AX64" s="772">
        <f t="shared" ca="1" si="22"/>
        <v>5052.7520570782526</v>
      </c>
      <c r="AY64" s="772">
        <f t="shared" ca="1" si="22"/>
        <v>5052.7520570782526</v>
      </c>
      <c r="AZ64" s="772">
        <f t="shared" ca="1" si="22"/>
        <v>5052.7520570782526</v>
      </c>
      <c r="BA64" s="772">
        <f t="shared" ca="1" si="22"/>
        <v>6016.0767567890143</v>
      </c>
      <c r="BB64" s="772">
        <f t="shared" ca="1" si="22"/>
        <v>6016.0767567890143</v>
      </c>
      <c r="BC64" s="772">
        <f t="shared" ca="1" si="22"/>
        <v>5669.0101307436389</v>
      </c>
      <c r="BD64" s="772">
        <f t="shared" ca="1" si="22"/>
        <v>5348.6066662762487</v>
      </c>
      <c r="BE64" s="772">
        <f t="shared" ca="1" si="22"/>
        <v>5348.6066662762487</v>
      </c>
      <c r="BF64" s="772">
        <f t="shared" ca="1" si="22"/>
        <v>5052.7520570782526</v>
      </c>
      <c r="BG64" s="772">
        <f t="shared" ca="1" si="24"/>
        <v>5052.7520570782526</v>
      </c>
      <c r="BH64" s="772">
        <f t="shared" ca="1" si="24"/>
        <v>4779.3866405036206</v>
      </c>
      <c r="BI64" s="772">
        <f t="shared" ca="1" si="24"/>
        <v>4779.3866405036206</v>
      </c>
      <c r="BJ64" s="772">
        <f t="shared" ca="1" si="24"/>
        <v>5669.0101307436389</v>
      </c>
      <c r="BK64" s="772">
        <f t="shared" ca="1" si="24"/>
        <v>5669.0101307436389</v>
      </c>
      <c r="BL64" s="772">
        <f t="shared" ca="1" si="24"/>
        <v>5669.0101307436389</v>
      </c>
      <c r="BM64" s="772">
        <f t="shared" ca="1" si="24"/>
        <v>5669.0101307436389</v>
      </c>
      <c r="BN64" s="772">
        <f t="shared" ca="1" si="24"/>
        <v>5052.7520570782526</v>
      </c>
      <c r="BO64" s="772">
        <f t="shared" ca="1" si="20"/>
        <v>5052.7520570782526</v>
      </c>
      <c r="BP64" s="772">
        <f t="shared" ca="1" si="20"/>
        <v>4779.3866405036206</v>
      </c>
      <c r="BQ64" s="772">
        <f t="shared" ca="1" si="20"/>
        <v>4779.3866405036206</v>
      </c>
      <c r="BR64" s="772">
        <f t="shared" ca="1" si="20"/>
        <v>4526.5627573447782</v>
      </c>
      <c r="BS64" s="772">
        <f t="shared" ca="1" si="20"/>
        <v>5669.0101307436389</v>
      </c>
      <c r="BT64" s="772">
        <f t="shared" ca="1" si="20"/>
        <v>5669.0101307436389</v>
      </c>
      <c r="BU64" s="772">
        <f t="shared" ca="1" si="20"/>
        <v>5669.0101307436389</v>
      </c>
      <c r="BV64" s="772">
        <f t="shared" ca="1" si="20"/>
        <v>5348.6066662762487</v>
      </c>
      <c r="BW64" s="772">
        <f t="shared" ca="1" si="20"/>
        <v>5348.6066662762487</v>
      </c>
      <c r="BX64" s="772">
        <f t="shared" ca="1" si="20"/>
        <v>4779.3866405036206</v>
      </c>
      <c r="BY64" s="772">
        <f t="shared" ca="1" si="20"/>
        <v>4779.3866405036206</v>
      </c>
      <c r="BZ64" s="772">
        <f t="shared" ca="1" si="20"/>
        <v>4526.5627573447782</v>
      </c>
      <c r="CA64" s="772">
        <f t="shared" ca="1" si="20"/>
        <v>4526.5627573447782</v>
      </c>
      <c r="CB64" s="772">
        <f t="shared" ca="1" si="20"/>
        <v>5348.6066662762487</v>
      </c>
      <c r="CC64" s="772">
        <f t="shared" ca="1" si="20"/>
        <v>5348.6066662762487</v>
      </c>
      <c r="CD64" s="772">
        <f t="shared" ca="1" si="20"/>
        <v>5348.6066662762487</v>
      </c>
      <c r="CE64" s="772">
        <f t="shared" ca="1" si="21"/>
        <v>5348.6066662762487</v>
      </c>
      <c r="CF64" s="772">
        <f t="shared" ca="1" si="21"/>
        <v>5052.7520570782526</v>
      </c>
      <c r="CG64" s="772">
        <f t="shared" ca="1" si="21"/>
        <v>4779.3866405036206</v>
      </c>
      <c r="CH64" s="772">
        <f t="shared" ca="1" si="21"/>
        <v>4526.5627573447782</v>
      </c>
      <c r="CI64" s="772">
        <f t="shared" ca="1" si="21"/>
        <v>4526.5627573447782</v>
      </c>
      <c r="CJ64" s="772">
        <f t="shared" ca="1" si="21"/>
        <v>4292.4720039920821</v>
      </c>
    </row>
    <row r="65" spans="1:88" ht="15" customHeight="1">
      <c r="A65" s="770">
        <f>'kc-Wert für Stützen'!C65</f>
        <v>117</v>
      </c>
      <c r="B65" s="768">
        <f ca="1">INDIRECT("'kc-Wert für Stützen'!"&amp;SUBSTITUTE(ADDRESS(MATCH($A65,'kc-Wert für Stützen'!$C:$C,0),MATCH(B$7,'kc-Wert für Stützen'!$A$8:$ES$8,0)+7,4),,))</f>
        <v>7019.6205717621715</v>
      </c>
      <c r="C65" s="768">
        <f ca="1">INDIRECT("'kc-Wert für Stützen'!"&amp;SUBSTITUTE(ADDRESS(MATCH($A65,'kc-Wert für Stützen'!$C:$C,0),MATCH(C$7,'kc-Wert für Stützen'!$A$8:$ES$8,0)+7,4),,))</f>
        <v>6602.0492680065972</v>
      </c>
      <c r="D65" s="768">
        <f ca="1">INDIRECT("'kc-Wert für Stützen'!"&amp;SUBSTITUTE(ADDRESS(MATCH($A65,'kc-Wert für Stützen'!$C:$C,0),MATCH(D$7,'kc-Wert für Stützen'!$A$8:$ES$8,0)+7,4),,))</f>
        <v>6215.4086047750716</v>
      </c>
      <c r="E65" s="768">
        <f ca="1">INDIRECT("'kc-Wert für Stützen'!"&amp;SUBSTITUTE(ADDRESS(MATCH($A65,'kc-Wert für Stützen'!$C:$C,0),MATCH(E$7,'kc-Wert für Stützen'!$A$8:$ES$8,0)+7,4),,))</f>
        <v>5857.9935252356699</v>
      </c>
      <c r="F65" s="768">
        <f ca="1">INDIRECT("'kc-Wert für Stützen'!"&amp;SUBSTITUTE(ADDRESS(MATCH($A65,'kc-Wert für Stützen'!$C:$C,0),MATCH(F$7,'kc-Wert für Stützen'!$A$8:$ES$8,0)+7,4),,))</f>
        <v>5527.7991071741444</v>
      </c>
      <c r="G65" s="768">
        <f ca="1">INDIRECT("'kc-Wert für Stützen'!"&amp;SUBSTITUTE(ADDRESS(MATCH($A65,'kc-Wert für Stützen'!$C:$C,0),MATCH(G$7,'kc-Wert für Stützen'!$A$8:$ES$8,0)+7,4),,))</f>
        <v>5222.7297396214808</v>
      </c>
      <c r="H65" s="768">
        <f ca="1">INDIRECT("'kc-Wert für Stützen'!"&amp;SUBSTITUTE(ADDRESS(MATCH($A65,'kc-Wert für Stützen'!$C:$C,0),MATCH(H$7,'kc-Wert für Stützen'!$A$8:$ES$8,0)+7,4),,))</f>
        <v>4940.7207997453279</v>
      </c>
      <c r="I65" s="768">
        <f ca="1">INDIRECT("'kc-Wert für Stützen'!"&amp;SUBSTITUTE(ADDRESS(MATCH($A65,'kc-Wert für Stützen'!$C:$C,0),MATCH(I$7,'kc-Wert für Stützen'!$A$8:$ES$8,0)+7,4),,))</f>
        <v>4679.8056189509844</v>
      </c>
      <c r="J65" s="768">
        <f ca="1">INDIRECT("'kc-Wert für Stützen'!"&amp;SUBSTITUTE(ADDRESS(MATCH($A65,'kc-Wert für Stützen'!$C:$C,0),MATCH(J$7,'kc-Wert für Stützen'!$A$8:$ES$8,0)+7,4),,))</f>
        <v>4438.1489267195966</v>
      </c>
      <c r="K65" s="768">
        <f ca="1">INDIRECT("'kc-Wert für Stützen'!"&amp;SUBSTITUTE(ADDRESS(MATCH($A65,'kc-Wert für Stützen'!$C:$C,0),MATCH(K$7,'kc-Wert für Stützen'!$A$8:$ES$8,0)+7,4),,))</f>
        <v>4214.0601491462321</v>
      </c>
      <c r="L65" s="768">
        <f ca="1">INDIRECT("'kc-Wert für Stützen'!"&amp;SUBSTITUTE(ADDRESS(MATCH($A65,'kc-Wert für Stützen'!$C:$C,0),MATCH(L$7,'kc-Wert für Stützen'!$A$8:$ES$8,0)+7,4),,))</f>
        <v>4005.9948983313616</v>
      </c>
      <c r="M65" s="768">
        <f ca="1">INDIRECT("'kc-Wert für Stützen'!"&amp;SUBSTITUTE(ADDRESS(MATCH($A65,'kc-Wert für Stützen'!$C:$C,0),MATCH(M$7,'kc-Wert für Stützen'!$A$8:$ES$8,0)+7,4),,))</f>
        <v>3812.5498018942449</v>
      </c>
      <c r="N65" s="768">
        <f ca="1">INDIRECT("'kc-Wert für Stützen'!"&amp;SUBSTITUTE(ADDRESS(MATCH($A65,'kc-Wert für Stützen'!$C:$C,0),MATCH(N$7,'kc-Wert für Stützen'!$A$8:$ES$8,0)+7,4),,))</f>
        <v>3632.4538264460693</v>
      </c>
      <c r="O65" s="768">
        <f ca="1">INDIRECT("'kc-Wert für Stützen'!"&amp;SUBSTITUTE(ADDRESS(MATCH($A65,'kc-Wert für Stützen'!$C:$C,0),MATCH(O$7,'kc-Wert für Stützen'!$A$8:$ES$8,0)+7,4),,))</f>
        <v>3464.5580049756422</v>
      </c>
      <c r="P65" s="768">
        <f ca="1">INDIRECT("'kc-Wert für Stützen'!"&amp;SUBSTITUTE(ADDRESS(MATCH($A65,'kc-Wert für Stützen'!$C:$C,0),MATCH(P$7,'kc-Wert für Stützen'!$A$8:$ES$8,0)+7,4),,))</f>
        <v>3307.8247045679518</v>
      </c>
      <c r="S65" s="772">
        <f t="shared" ca="1" si="18"/>
        <v>6215.4086047750716</v>
      </c>
      <c r="T65" s="772">
        <f t="shared" ca="1" si="18"/>
        <v>6215.4086047750716</v>
      </c>
      <c r="U65" s="772">
        <f t="shared" ca="1" si="18"/>
        <v>6215.4086047750716</v>
      </c>
      <c r="V65" s="772">
        <f t="shared" ca="1" si="18"/>
        <v>5857.9935252356699</v>
      </c>
      <c r="W65" s="772">
        <f t="shared" ca="1" si="18"/>
        <v>5527.7991071741444</v>
      </c>
      <c r="X65" s="772">
        <f t="shared" ca="1" si="18"/>
        <v>5222.7297396214808</v>
      </c>
      <c r="Y65" s="772">
        <f t="shared" ca="1" si="18"/>
        <v>4940.7207997453279</v>
      </c>
      <c r="Z65" s="772">
        <f t="shared" ca="1" si="18"/>
        <v>6215.4086047750716</v>
      </c>
      <c r="AA65" s="772">
        <f t="shared" ca="1" si="18"/>
        <v>6215.4086047750716</v>
      </c>
      <c r="AB65" s="772">
        <f t="shared" ca="1" si="23"/>
        <v>5857.9935252356699</v>
      </c>
      <c r="AC65" s="772">
        <f t="shared" ca="1" si="23"/>
        <v>5857.9935252356699</v>
      </c>
      <c r="AD65" s="772">
        <f t="shared" ca="1" si="23"/>
        <v>5527.7991071741444</v>
      </c>
      <c r="AE65" s="772">
        <f t="shared" ca="1" si="23"/>
        <v>5527.7991071741444</v>
      </c>
      <c r="AF65" s="772">
        <f t="shared" ca="1" si="23"/>
        <v>5222.7297396214808</v>
      </c>
      <c r="AG65" s="772">
        <f t="shared" ca="1" si="23"/>
        <v>5222.7297396214808</v>
      </c>
      <c r="AH65" s="772">
        <f t="shared" ca="1" si="23"/>
        <v>5222.7297396214808</v>
      </c>
      <c r="AI65" s="772">
        <f t="shared" ca="1" si="23"/>
        <v>6215.4086047750716</v>
      </c>
      <c r="AJ65" s="772">
        <f t="shared" ca="1" si="23"/>
        <v>6215.4086047750716</v>
      </c>
      <c r="AK65" s="772">
        <f t="shared" ca="1" si="23"/>
        <v>5857.9935252356699</v>
      </c>
      <c r="AL65" s="772">
        <f t="shared" ca="1" si="23"/>
        <v>5857.9935252356699</v>
      </c>
      <c r="AM65" s="772">
        <f t="shared" ca="1" si="23"/>
        <v>5527.7991071741444</v>
      </c>
      <c r="AN65" s="772">
        <f t="shared" ca="1" si="23"/>
        <v>5527.7991071741444</v>
      </c>
      <c r="AO65" s="772">
        <f t="shared" ca="1" si="23"/>
        <v>5222.7297396214808</v>
      </c>
      <c r="AP65" s="772">
        <f t="shared" ca="1" si="23"/>
        <v>5222.7297396214808</v>
      </c>
      <c r="AQ65" s="772">
        <f t="shared" ca="1" si="23"/>
        <v>5222.7297396214808</v>
      </c>
      <c r="AR65" s="772">
        <f t="shared" ca="1" si="22"/>
        <v>6215.4086047750716</v>
      </c>
      <c r="AS65" s="772">
        <f t="shared" ca="1" si="22"/>
        <v>6215.4086047750716</v>
      </c>
      <c r="AT65" s="772">
        <f t="shared" ca="1" si="22"/>
        <v>5857.9935252356699</v>
      </c>
      <c r="AU65" s="772">
        <f t="shared" ca="1" si="22"/>
        <v>5857.9935252356699</v>
      </c>
      <c r="AV65" s="772">
        <f t="shared" ca="1" si="22"/>
        <v>5527.7991071741444</v>
      </c>
      <c r="AW65" s="772">
        <f t="shared" ca="1" si="22"/>
        <v>5527.7991071741444</v>
      </c>
      <c r="AX65" s="772">
        <f t="shared" ca="1" si="22"/>
        <v>5222.7297396214808</v>
      </c>
      <c r="AY65" s="772">
        <f t="shared" ca="1" si="22"/>
        <v>5222.7297396214808</v>
      </c>
      <c r="AZ65" s="772">
        <f t="shared" ca="1" si="22"/>
        <v>5222.7297396214808</v>
      </c>
      <c r="BA65" s="772">
        <f t="shared" ca="1" si="22"/>
        <v>6215.4086047750716</v>
      </c>
      <c r="BB65" s="772">
        <f t="shared" ca="1" si="22"/>
        <v>6215.4086047750716</v>
      </c>
      <c r="BC65" s="772">
        <f t="shared" ca="1" si="22"/>
        <v>5857.9935252356699</v>
      </c>
      <c r="BD65" s="772">
        <f t="shared" ca="1" si="22"/>
        <v>5527.7991071741444</v>
      </c>
      <c r="BE65" s="772">
        <f t="shared" ca="1" si="22"/>
        <v>5527.7991071741444</v>
      </c>
      <c r="BF65" s="772">
        <f t="shared" ca="1" si="22"/>
        <v>5222.7297396214808</v>
      </c>
      <c r="BG65" s="772">
        <f t="shared" ca="1" si="24"/>
        <v>5222.7297396214808</v>
      </c>
      <c r="BH65" s="772">
        <f t="shared" ca="1" si="24"/>
        <v>4940.7207997453279</v>
      </c>
      <c r="BI65" s="772">
        <f t="shared" ca="1" si="24"/>
        <v>4940.7207997453279</v>
      </c>
      <c r="BJ65" s="772">
        <f t="shared" ca="1" si="24"/>
        <v>5857.9935252356699</v>
      </c>
      <c r="BK65" s="772">
        <f t="shared" ca="1" si="24"/>
        <v>5857.9935252356699</v>
      </c>
      <c r="BL65" s="772">
        <f t="shared" ca="1" si="24"/>
        <v>5857.9935252356699</v>
      </c>
      <c r="BM65" s="772">
        <f t="shared" ca="1" si="24"/>
        <v>5857.9935252356699</v>
      </c>
      <c r="BN65" s="772">
        <f t="shared" ca="1" si="24"/>
        <v>5222.7297396214808</v>
      </c>
      <c r="BO65" s="772">
        <f t="shared" ca="1" si="20"/>
        <v>5222.7297396214808</v>
      </c>
      <c r="BP65" s="772">
        <f t="shared" ca="1" si="20"/>
        <v>4940.7207997453279</v>
      </c>
      <c r="BQ65" s="772">
        <f t="shared" ca="1" si="20"/>
        <v>4940.7207997453279</v>
      </c>
      <c r="BR65" s="772">
        <f t="shared" ca="1" si="20"/>
        <v>4679.8056189509844</v>
      </c>
      <c r="BS65" s="772">
        <f t="shared" ca="1" si="20"/>
        <v>5857.9935252356699</v>
      </c>
      <c r="BT65" s="772">
        <f t="shared" ca="1" si="20"/>
        <v>5857.9935252356699</v>
      </c>
      <c r="BU65" s="772">
        <f t="shared" ca="1" si="20"/>
        <v>5857.9935252356699</v>
      </c>
      <c r="BV65" s="772">
        <f t="shared" ca="1" si="20"/>
        <v>5527.7991071741444</v>
      </c>
      <c r="BW65" s="772">
        <f t="shared" ca="1" si="20"/>
        <v>5527.7991071741444</v>
      </c>
      <c r="BX65" s="772">
        <f t="shared" ca="1" si="20"/>
        <v>4940.7207997453279</v>
      </c>
      <c r="BY65" s="772">
        <f t="shared" ca="1" si="20"/>
        <v>4940.7207997453279</v>
      </c>
      <c r="BZ65" s="772">
        <f t="shared" ca="1" si="20"/>
        <v>4679.8056189509844</v>
      </c>
      <c r="CA65" s="772">
        <f t="shared" ca="1" si="20"/>
        <v>4679.8056189509844</v>
      </c>
      <c r="CB65" s="772">
        <f t="shared" ca="1" si="20"/>
        <v>5527.7991071741444</v>
      </c>
      <c r="CC65" s="772">
        <f t="shared" ca="1" si="20"/>
        <v>5527.7991071741444</v>
      </c>
      <c r="CD65" s="772">
        <f t="shared" ca="1" si="20"/>
        <v>5527.7991071741444</v>
      </c>
      <c r="CE65" s="772">
        <f t="shared" ca="1" si="21"/>
        <v>5527.7991071741444</v>
      </c>
      <c r="CF65" s="772">
        <f t="shared" ca="1" si="21"/>
        <v>5222.7297396214808</v>
      </c>
      <c r="CG65" s="772">
        <f t="shared" ca="1" si="21"/>
        <v>4940.7207997453279</v>
      </c>
      <c r="CH65" s="772">
        <f t="shared" ca="1" si="21"/>
        <v>4679.8056189509844</v>
      </c>
      <c r="CI65" s="772">
        <f t="shared" ca="1" si="21"/>
        <v>4679.8056189509844</v>
      </c>
      <c r="CJ65" s="772">
        <f t="shared" ca="1" si="21"/>
        <v>4438.1489267195966</v>
      </c>
    </row>
    <row r="66" spans="1:88" ht="15" customHeight="1">
      <c r="A66" s="770">
        <f>'kc-Wert für Stützen'!C66</f>
        <v>118</v>
      </c>
      <c r="B66" s="768">
        <f ca="1">INDIRECT("'kc-Wert für Stützen'!"&amp;SUBSTITUTE(ADDRESS(MATCH($A66,'kc-Wert für Stützen'!$C:$C,0),MATCH(B$7,'kc-Wert für Stützen'!$A$8:$ES$8,0)+7,4),,))</f>
        <v>7245.6693115416992</v>
      </c>
      <c r="C66" s="768">
        <f ca="1">INDIRECT("'kc-Wert für Stützen'!"&amp;SUBSTITUTE(ADDRESS(MATCH($A66,'kc-Wert für Stützen'!$C:$C,0),MATCH(C$7,'kc-Wert für Stützen'!$A$8:$ES$8,0)+7,4),,))</f>
        <v>6816.8004299548556</v>
      </c>
      <c r="D66" s="768">
        <f ca="1">INDIRECT("'kc-Wert für Stützen'!"&amp;SUBSTITUTE(ADDRESS(MATCH($A66,'kc-Wert für Stützen'!$C:$C,0),MATCH(D$7,'kc-Wert für Stützen'!$A$8:$ES$8,0)+7,4),,))</f>
        <v>6419.2006005055628</v>
      </c>
      <c r="E66" s="768">
        <f ca="1">INDIRECT("'kc-Wert für Stützen'!"&amp;SUBSTITUTE(ADDRESS(MATCH($A66,'kc-Wert für Stützen'!$C:$C,0),MATCH(E$7,'kc-Wert für Stützen'!$A$8:$ES$8,0)+7,4),,))</f>
        <v>6051.2996486643306</v>
      </c>
      <c r="F66" s="768">
        <f ca="1">INDIRECT("'kc-Wert für Stützen'!"&amp;SUBSTITUTE(ADDRESS(MATCH($A66,'kc-Wert für Stützen'!$C:$C,0),MATCH(F$7,'kc-Wert für Stützen'!$A$8:$ES$8,0)+7,4),,))</f>
        <v>5711.1616879219519</v>
      </c>
      <c r="G66" s="768">
        <f ca="1">INDIRECT("'kc-Wert für Stützen'!"&amp;SUBSTITUTE(ADDRESS(MATCH($A66,'kc-Wert für Stützen'!$C:$C,0),MATCH(G$7,'kc-Wert für Stützen'!$A$8:$ES$8,0)+7,4),,))</f>
        <v>5396.7178879587173</v>
      </c>
      <c r="H66" s="768">
        <f ca="1">INDIRECT("'kc-Wert für Stützen'!"&amp;SUBSTITUTE(ADDRESS(MATCH($A66,'kc-Wert für Stützen'!$C:$C,0),MATCH(H$7,'kc-Wert für Stützen'!$A$8:$ES$8,0)+7,4),,))</f>
        <v>5105.904036265285</v>
      </c>
      <c r="I66" s="768">
        <f ca="1">INDIRECT("'kc-Wert für Stützen'!"&amp;SUBSTITUTE(ADDRESS(MATCH($A66,'kc-Wert für Stützen'!$C:$C,0),MATCH(I$7,'kc-Wert für Stützen'!$A$8:$ES$8,0)+7,4),,))</f>
        <v>4836.7379586445622</v>
      </c>
      <c r="J66" s="768">
        <f ca="1">INDIRECT("'kc-Wert für Stützen'!"&amp;SUBSTITUTE(ADDRESS(MATCH($A66,'kc-Wert für Stützen'!$C:$C,0),MATCH(J$7,'kc-Wert für Stützen'!$A$8:$ES$8,0)+7,4),,))</f>
        <v>4587.3597480457129</v>
      </c>
      <c r="K66" s="768">
        <f ca="1">INDIRECT("'kc-Wert für Stützen'!"&amp;SUBSTITUTE(ADDRESS(MATCH($A66,'kc-Wert für Stützen'!$C:$C,0),MATCH(K$7,'kc-Wert für Stützen'!$A$8:$ES$8,0)+7,4),,))</f>
        <v>4356.0494188461544</v>
      </c>
      <c r="L66" s="768">
        <f ca="1">INDIRECT("'kc-Wert für Stützen'!"&amp;SUBSTITUTE(ADDRESS(MATCH($A66,'kc-Wert für Stützen'!$C:$C,0),MATCH(L$7,'kc-Wert für Stützen'!$A$8:$ES$8,0)+7,4),,))</f>
        <v>4141.2311596408726</v>
      </c>
      <c r="M66" s="768">
        <f ca="1">INDIRECT("'kc-Wert für Stützen'!"&amp;SUBSTITUTE(ADDRESS(MATCH($A66,'kc-Wert für Stützen'!$C:$C,0),MATCH(M$7,'kc-Wert für Stützen'!$A$8:$ES$8,0)+7,4),,))</f>
        <v>3941.4698874165697</v>
      </c>
      <c r="N66" s="768">
        <f ca="1">INDIRECT("'kc-Wert für Stützen'!"&amp;SUBSTITUTE(ADDRESS(MATCH($A66,'kc-Wert für Stützen'!$C:$C,0),MATCH(N$7,'kc-Wert für Stützen'!$A$8:$ES$8,0)+7,4),,))</f>
        <v>3755.4636200208747</v>
      </c>
      <c r="O66" s="768">
        <f ca="1">INDIRECT("'kc-Wert für Stützen'!"&amp;SUBSTITUTE(ADDRESS(MATCH($A66,'kc-Wert für Stützen'!$C:$C,0),MATCH(O$7,'kc-Wert für Stützen'!$A$8:$ES$8,0)+7,4),,))</f>
        <v>3582.0338143521067</v>
      </c>
      <c r="P66" s="768">
        <f ca="1">INDIRECT("'kc-Wert für Stützen'!"&amp;SUBSTITUTE(ADDRESS(MATCH($A66,'kc-Wert für Stützen'!$C:$C,0),MATCH(P$7,'kc-Wert für Stützen'!$A$8:$ES$8,0)+7,4),,))</f>
        <v>3420.1149620502561</v>
      </c>
      <c r="S66" s="772">
        <f t="shared" ca="1" si="18"/>
        <v>6419.2006005055628</v>
      </c>
      <c r="T66" s="772">
        <f t="shared" ca="1" si="18"/>
        <v>6419.2006005055628</v>
      </c>
      <c r="U66" s="772">
        <f t="shared" ca="1" si="18"/>
        <v>6419.2006005055628</v>
      </c>
      <c r="V66" s="772">
        <f t="shared" ca="1" si="18"/>
        <v>6051.2996486643306</v>
      </c>
      <c r="W66" s="772">
        <f t="shared" ca="1" si="18"/>
        <v>5711.1616879219519</v>
      </c>
      <c r="X66" s="772">
        <f t="shared" ca="1" si="18"/>
        <v>5396.7178879587173</v>
      </c>
      <c r="Y66" s="772">
        <f t="shared" ca="1" si="18"/>
        <v>5105.904036265285</v>
      </c>
      <c r="Z66" s="772">
        <f t="shared" ca="1" si="18"/>
        <v>6419.2006005055628</v>
      </c>
      <c r="AA66" s="772">
        <f t="shared" ca="1" si="18"/>
        <v>6419.2006005055628</v>
      </c>
      <c r="AB66" s="772">
        <f t="shared" ca="1" si="23"/>
        <v>6051.2996486643306</v>
      </c>
      <c r="AC66" s="772">
        <f t="shared" ca="1" si="23"/>
        <v>6051.2996486643306</v>
      </c>
      <c r="AD66" s="772">
        <f t="shared" ca="1" si="23"/>
        <v>5711.1616879219519</v>
      </c>
      <c r="AE66" s="772">
        <f t="shared" ca="1" si="23"/>
        <v>5711.1616879219519</v>
      </c>
      <c r="AF66" s="772">
        <f t="shared" ca="1" si="23"/>
        <v>5396.7178879587173</v>
      </c>
      <c r="AG66" s="772">
        <f t="shared" ca="1" si="23"/>
        <v>5396.7178879587173</v>
      </c>
      <c r="AH66" s="772">
        <f t="shared" ca="1" si="23"/>
        <v>5396.7178879587173</v>
      </c>
      <c r="AI66" s="772">
        <f t="shared" ca="1" si="23"/>
        <v>6419.2006005055628</v>
      </c>
      <c r="AJ66" s="772">
        <f t="shared" ca="1" si="23"/>
        <v>6419.2006005055628</v>
      </c>
      <c r="AK66" s="772">
        <f t="shared" ca="1" si="23"/>
        <v>6051.2996486643306</v>
      </c>
      <c r="AL66" s="772">
        <f t="shared" ca="1" si="23"/>
        <v>6051.2996486643306</v>
      </c>
      <c r="AM66" s="772">
        <f t="shared" ca="1" si="23"/>
        <v>5711.1616879219519</v>
      </c>
      <c r="AN66" s="772">
        <f t="shared" ca="1" si="23"/>
        <v>5711.1616879219519</v>
      </c>
      <c r="AO66" s="772">
        <f t="shared" ca="1" si="23"/>
        <v>5396.7178879587173</v>
      </c>
      <c r="AP66" s="772">
        <f t="shared" ca="1" si="23"/>
        <v>5396.7178879587173</v>
      </c>
      <c r="AQ66" s="772">
        <f t="shared" ca="1" si="23"/>
        <v>5396.7178879587173</v>
      </c>
      <c r="AR66" s="772">
        <f t="shared" ca="1" si="22"/>
        <v>6419.2006005055628</v>
      </c>
      <c r="AS66" s="772">
        <f t="shared" ca="1" si="22"/>
        <v>6419.2006005055628</v>
      </c>
      <c r="AT66" s="772">
        <f t="shared" ca="1" si="22"/>
        <v>6051.2996486643306</v>
      </c>
      <c r="AU66" s="772">
        <f t="shared" ca="1" si="22"/>
        <v>6051.2996486643306</v>
      </c>
      <c r="AV66" s="772">
        <f t="shared" ca="1" si="22"/>
        <v>5711.1616879219519</v>
      </c>
      <c r="AW66" s="772">
        <f t="shared" ca="1" si="22"/>
        <v>5711.1616879219519</v>
      </c>
      <c r="AX66" s="772">
        <f t="shared" ca="1" si="22"/>
        <v>5396.7178879587173</v>
      </c>
      <c r="AY66" s="772">
        <f t="shared" ca="1" si="22"/>
        <v>5396.7178879587173</v>
      </c>
      <c r="AZ66" s="772">
        <f t="shared" ca="1" si="22"/>
        <v>5396.7178879587173</v>
      </c>
      <c r="BA66" s="772">
        <f t="shared" ca="1" si="22"/>
        <v>6419.2006005055628</v>
      </c>
      <c r="BB66" s="772">
        <f t="shared" ca="1" si="22"/>
        <v>6419.2006005055628</v>
      </c>
      <c r="BC66" s="772">
        <f t="shared" ca="1" si="22"/>
        <v>6051.2996486643306</v>
      </c>
      <c r="BD66" s="772">
        <f t="shared" ca="1" si="22"/>
        <v>5711.1616879219519</v>
      </c>
      <c r="BE66" s="772">
        <f t="shared" ca="1" si="22"/>
        <v>5711.1616879219519</v>
      </c>
      <c r="BF66" s="772">
        <f t="shared" ca="1" si="22"/>
        <v>5396.7178879587173</v>
      </c>
      <c r="BG66" s="772">
        <f t="shared" ca="1" si="24"/>
        <v>5396.7178879587173</v>
      </c>
      <c r="BH66" s="772">
        <f t="shared" ca="1" si="24"/>
        <v>5105.904036265285</v>
      </c>
      <c r="BI66" s="772">
        <f t="shared" ca="1" si="24"/>
        <v>5105.904036265285</v>
      </c>
      <c r="BJ66" s="772">
        <f t="shared" ca="1" si="24"/>
        <v>6051.2996486643306</v>
      </c>
      <c r="BK66" s="772">
        <f t="shared" ca="1" si="24"/>
        <v>6051.2996486643306</v>
      </c>
      <c r="BL66" s="772">
        <f t="shared" ca="1" si="24"/>
        <v>6051.2996486643306</v>
      </c>
      <c r="BM66" s="772">
        <f t="shared" ca="1" si="24"/>
        <v>6051.2996486643306</v>
      </c>
      <c r="BN66" s="772">
        <f t="shared" ca="1" si="24"/>
        <v>5396.7178879587173</v>
      </c>
      <c r="BO66" s="772">
        <f t="shared" ca="1" si="20"/>
        <v>5396.7178879587173</v>
      </c>
      <c r="BP66" s="772">
        <f t="shared" ca="1" si="20"/>
        <v>5105.904036265285</v>
      </c>
      <c r="BQ66" s="772">
        <f t="shared" ca="1" si="20"/>
        <v>5105.904036265285</v>
      </c>
      <c r="BR66" s="772">
        <f t="shared" ca="1" si="20"/>
        <v>4836.7379586445622</v>
      </c>
      <c r="BS66" s="772">
        <f t="shared" ca="1" si="20"/>
        <v>6051.2996486643306</v>
      </c>
      <c r="BT66" s="772">
        <f t="shared" ca="1" si="20"/>
        <v>6051.2996486643306</v>
      </c>
      <c r="BU66" s="772">
        <f t="shared" ca="1" si="20"/>
        <v>6051.2996486643306</v>
      </c>
      <c r="BV66" s="772">
        <f t="shared" ca="1" si="20"/>
        <v>5711.1616879219519</v>
      </c>
      <c r="BW66" s="772">
        <f t="shared" ca="1" si="20"/>
        <v>5711.1616879219519</v>
      </c>
      <c r="BX66" s="772">
        <f t="shared" ca="1" si="20"/>
        <v>5105.904036265285</v>
      </c>
      <c r="BY66" s="772">
        <f t="shared" ca="1" si="20"/>
        <v>5105.904036265285</v>
      </c>
      <c r="BZ66" s="772">
        <f t="shared" ca="1" si="20"/>
        <v>4836.7379586445622</v>
      </c>
      <c r="CA66" s="772">
        <f t="shared" ca="1" si="20"/>
        <v>4836.7379586445622</v>
      </c>
      <c r="CB66" s="772">
        <f t="shared" ca="1" si="20"/>
        <v>5711.1616879219519</v>
      </c>
      <c r="CC66" s="772">
        <f t="shared" ca="1" si="20"/>
        <v>5711.1616879219519</v>
      </c>
      <c r="CD66" s="772">
        <f t="shared" ca="1" si="20"/>
        <v>5711.1616879219519</v>
      </c>
      <c r="CE66" s="772">
        <f t="shared" ca="1" si="21"/>
        <v>5711.1616879219519</v>
      </c>
      <c r="CF66" s="772">
        <f t="shared" ca="1" si="21"/>
        <v>5396.7178879587173</v>
      </c>
      <c r="CG66" s="772">
        <f t="shared" ca="1" si="21"/>
        <v>5105.904036265285</v>
      </c>
      <c r="CH66" s="772">
        <f t="shared" ca="1" si="21"/>
        <v>4836.7379586445622</v>
      </c>
      <c r="CI66" s="772">
        <f t="shared" ca="1" si="21"/>
        <v>4836.7379586445622</v>
      </c>
      <c r="CJ66" s="772">
        <f t="shared" ca="1" si="21"/>
        <v>4587.3597480457129</v>
      </c>
    </row>
    <row r="67" spans="1:88" ht="15" customHeight="1">
      <c r="A67" s="770">
        <f>'kc-Wert für Stützen'!C67</f>
        <v>119</v>
      </c>
      <c r="B67" s="768">
        <f ca="1">INDIRECT("'kc-Wert für Stützen'!"&amp;SUBSTITUTE(ADDRESS(MATCH($A67,'kc-Wert für Stützen'!$C:$C,0),MATCH(B$7,'kc-Wert für Stützen'!$A$8:$ES$8,0)+7,4),,))</f>
        <v>7476.3608231518301</v>
      </c>
      <c r="C67" s="768">
        <f ca="1">INDIRECT("'kc-Wert für Stützen'!"&amp;SUBSTITUTE(ADDRESS(MATCH($A67,'kc-Wert für Stützen'!$C:$C,0),MATCH(C$7,'kc-Wert für Stützen'!$A$8:$ES$8,0)+7,4),,))</f>
        <v>7036.1431182498582</v>
      </c>
      <c r="D67" s="768">
        <f ca="1">INDIRECT("'kc-Wert für Stützen'!"&amp;SUBSTITUTE(ADDRESS(MATCH($A67,'kc-Wert für Stützen'!$C:$C,0),MATCH(D$7,'kc-Wert für Stützen'!$A$8:$ES$8,0)+7,4),,))</f>
        <v>6627.4839389939925</v>
      </c>
      <c r="E67" s="768">
        <f ca="1">INDIRECT("'kc-Wert für Stützen'!"&amp;SUBSTITUTE(ADDRESS(MATCH($A67,'kc-Wert für Stützen'!$C:$C,0),MATCH(E$7,'kc-Wert für Stützen'!$A$8:$ES$8,0)+7,4),,))</f>
        <v>6248.9664826505123</v>
      </c>
      <c r="F67" s="768">
        <f ca="1">INDIRECT("'kc-Wert für Stützen'!"&amp;SUBSTITUTE(ADDRESS(MATCH($A67,'kc-Wert für Stützen'!$C:$C,0),MATCH(F$7,'kc-Wert für Stützen'!$A$8:$ES$8,0)+7,4),,))</f>
        <v>5898.7367717850975</v>
      </c>
      <c r="G67" s="768">
        <f ca="1">INDIRECT("'kc-Wert für Stützen'!"&amp;SUBSTITUTE(ADDRESS(MATCH($A67,'kc-Wert für Stützen'!$C:$C,0),MATCH(G$7,'kc-Wert für Stützen'!$A$8:$ES$8,0)+7,4),,))</f>
        <v>5574.7615209912565</v>
      </c>
      <c r="H67" s="768">
        <f ca="1">INDIRECT("'kc-Wert für Stützen'!"&amp;SUBSTITUTE(ADDRESS(MATCH($A67,'kc-Wert für Stützen'!$C:$C,0),MATCH(H$7,'kc-Wert für Stützen'!$A$8:$ES$8,0)+7,4),,))</f>
        <v>5274.9827953412978</v>
      </c>
      <c r="I67" s="768">
        <f ca="1">INDIRECT("'kc-Wert für Stützen'!"&amp;SUBSTITUTE(ADDRESS(MATCH($A67,'kc-Wert für Stützen'!$C:$C,0),MATCH(I$7,'kc-Wert für Stützen'!$A$8:$ES$8,0)+7,4),,))</f>
        <v>4997.4067774972527</v>
      </c>
      <c r="J67" s="768">
        <f ca="1">INDIRECT("'kc-Wert für Stützen'!"&amp;SUBSTITUTE(ADDRESS(MATCH($A67,'kc-Wert für Stützen'!$C:$C,0),MATCH(J$7,'kc-Wert für Stützen'!$A$8:$ES$8,0)+7,4),,))</f>
        <v>4740.1514119479143</v>
      </c>
      <c r="K67" s="768">
        <f ca="1">INDIRECT("'kc-Wert für Stützen'!"&amp;SUBSTITUTE(ADDRESS(MATCH($A67,'kc-Wert für Stützen'!$C:$C,0),MATCH(K$7,'kc-Wert für Stützen'!$A$8:$ES$8,0)+7,4),,))</f>
        <v>4501.4688519593765</v>
      </c>
      <c r="L67" s="768">
        <f ca="1">INDIRECT("'kc-Wert für Stützen'!"&amp;SUBSTITUTE(ADDRESS(MATCH($A67,'kc-Wert für Stützen'!$C:$C,0),MATCH(L$7,'kc-Wert für Stützen'!$A$8:$ES$8,0)+7,4),,))</f>
        <v>4279.7527760862795</v>
      </c>
      <c r="M67" s="768">
        <f ca="1">INDIRECT("'kc-Wert für Stützen'!"&amp;SUBSTITUTE(ADDRESS(MATCH($A67,'kc-Wert für Stützen'!$C:$C,0),MATCH(M$7,'kc-Wert für Stützen'!$A$8:$ES$8,0)+7,4),,))</f>
        <v>4073.5368729158358</v>
      </c>
      <c r="N67" s="768">
        <f ca="1">INDIRECT("'kc-Wert für Stützen'!"&amp;SUBSTITUTE(ADDRESS(MATCH($A67,'kc-Wert für Stützen'!$C:$C,0),MATCH(N$7,'kc-Wert für Stützen'!$A$8:$ES$8,0)+7,4),,))</f>
        <v>3881.4884037632819</v>
      </c>
      <c r="O67" s="768">
        <f ca="1">INDIRECT("'kc-Wert für Stützen'!"&amp;SUBSTITUTE(ADDRESS(MATCH($A67,'kc-Wert für Stützen'!$C:$C,0),MATCH(O$7,'kc-Wert für Stützen'!$A$8:$ES$8,0)+7,4),,))</f>
        <v>3702.3992486878169</v>
      </c>
      <c r="P67" s="768">
        <f ca="1">INDIRECT("'kc-Wert für Stützen'!"&amp;SUBSTITUTE(ADDRESS(MATCH($A67,'kc-Wert für Stützen'!$C:$C,0),MATCH(P$7,'kc-Wert für Stützen'!$A$8:$ES$8,0)+7,4),,))</f>
        <v>3535.1758969209959</v>
      </c>
      <c r="S67" s="772">
        <f t="shared" ca="1" si="18"/>
        <v>6627.4839389939925</v>
      </c>
      <c r="T67" s="772">
        <f t="shared" ca="1" si="18"/>
        <v>6627.4839389939925</v>
      </c>
      <c r="U67" s="772">
        <f t="shared" ca="1" si="18"/>
        <v>6627.4839389939925</v>
      </c>
      <c r="V67" s="772">
        <f t="shared" ca="1" si="18"/>
        <v>6248.9664826505123</v>
      </c>
      <c r="W67" s="772">
        <f t="shared" ca="1" si="18"/>
        <v>5898.7367717850975</v>
      </c>
      <c r="X67" s="772">
        <f t="shared" ca="1" si="18"/>
        <v>5574.7615209912565</v>
      </c>
      <c r="Y67" s="772">
        <f t="shared" ca="1" si="18"/>
        <v>5274.9827953412978</v>
      </c>
      <c r="Z67" s="772">
        <f t="shared" ca="1" si="18"/>
        <v>6627.4839389939925</v>
      </c>
      <c r="AA67" s="772">
        <f t="shared" ca="1" si="18"/>
        <v>6627.4839389939925</v>
      </c>
      <c r="AB67" s="772">
        <f t="shared" ca="1" si="23"/>
        <v>6248.9664826505123</v>
      </c>
      <c r="AC67" s="772">
        <f t="shared" ca="1" si="23"/>
        <v>6248.9664826505123</v>
      </c>
      <c r="AD67" s="772">
        <f t="shared" ca="1" si="23"/>
        <v>5898.7367717850975</v>
      </c>
      <c r="AE67" s="772">
        <f t="shared" ca="1" si="23"/>
        <v>5898.7367717850975</v>
      </c>
      <c r="AF67" s="772">
        <f t="shared" ca="1" si="23"/>
        <v>5574.7615209912565</v>
      </c>
      <c r="AG67" s="772">
        <f t="shared" ca="1" si="23"/>
        <v>5574.7615209912565</v>
      </c>
      <c r="AH67" s="772">
        <f t="shared" ca="1" si="23"/>
        <v>5574.7615209912565</v>
      </c>
      <c r="AI67" s="772">
        <f t="shared" ca="1" si="23"/>
        <v>6627.4839389939925</v>
      </c>
      <c r="AJ67" s="772">
        <f t="shared" ca="1" si="23"/>
        <v>6627.4839389939925</v>
      </c>
      <c r="AK67" s="772">
        <f t="shared" ca="1" si="23"/>
        <v>6248.9664826505123</v>
      </c>
      <c r="AL67" s="772">
        <f t="shared" ca="1" si="23"/>
        <v>6248.9664826505123</v>
      </c>
      <c r="AM67" s="772">
        <f t="shared" ca="1" si="23"/>
        <v>5898.7367717850975</v>
      </c>
      <c r="AN67" s="772">
        <f t="shared" ca="1" si="23"/>
        <v>5898.7367717850975</v>
      </c>
      <c r="AO67" s="772">
        <f t="shared" ca="1" si="23"/>
        <v>5574.7615209912565</v>
      </c>
      <c r="AP67" s="772">
        <f t="shared" ca="1" si="23"/>
        <v>5574.7615209912565</v>
      </c>
      <c r="AQ67" s="772">
        <f t="shared" ca="1" si="23"/>
        <v>5574.7615209912565</v>
      </c>
      <c r="AR67" s="772">
        <f t="shared" ca="1" si="22"/>
        <v>6627.4839389939925</v>
      </c>
      <c r="AS67" s="772">
        <f t="shared" ca="1" si="22"/>
        <v>6627.4839389939925</v>
      </c>
      <c r="AT67" s="772">
        <f t="shared" ca="1" si="22"/>
        <v>6248.9664826505123</v>
      </c>
      <c r="AU67" s="772">
        <f t="shared" ca="1" si="22"/>
        <v>6248.9664826505123</v>
      </c>
      <c r="AV67" s="772">
        <f t="shared" ca="1" si="22"/>
        <v>5898.7367717850975</v>
      </c>
      <c r="AW67" s="772">
        <f t="shared" ca="1" si="22"/>
        <v>5898.7367717850975</v>
      </c>
      <c r="AX67" s="772">
        <f t="shared" ca="1" si="22"/>
        <v>5574.7615209912565</v>
      </c>
      <c r="AY67" s="772">
        <f t="shared" ca="1" si="22"/>
        <v>5574.7615209912565</v>
      </c>
      <c r="AZ67" s="772">
        <f t="shared" ca="1" si="22"/>
        <v>5574.7615209912565</v>
      </c>
      <c r="BA67" s="772">
        <f t="shared" ca="1" si="22"/>
        <v>6627.4839389939925</v>
      </c>
      <c r="BB67" s="772">
        <f t="shared" ca="1" si="22"/>
        <v>6627.4839389939925</v>
      </c>
      <c r="BC67" s="772">
        <f t="shared" ca="1" si="22"/>
        <v>6248.9664826505123</v>
      </c>
      <c r="BD67" s="772">
        <f t="shared" ca="1" si="22"/>
        <v>5898.7367717850975</v>
      </c>
      <c r="BE67" s="772">
        <f t="shared" ca="1" si="22"/>
        <v>5898.7367717850975</v>
      </c>
      <c r="BF67" s="772">
        <f t="shared" ca="1" si="22"/>
        <v>5574.7615209912565</v>
      </c>
      <c r="BG67" s="772">
        <f t="shared" ca="1" si="24"/>
        <v>5574.7615209912565</v>
      </c>
      <c r="BH67" s="772">
        <f t="shared" ca="1" si="24"/>
        <v>5274.9827953412978</v>
      </c>
      <c r="BI67" s="772">
        <f t="shared" ca="1" si="24"/>
        <v>5274.9827953412978</v>
      </c>
      <c r="BJ67" s="772">
        <f t="shared" ca="1" si="24"/>
        <v>6248.9664826505123</v>
      </c>
      <c r="BK67" s="772">
        <f t="shared" ca="1" si="24"/>
        <v>6248.9664826505123</v>
      </c>
      <c r="BL67" s="772">
        <f t="shared" ca="1" si="24"/>
        <v>6248.9664826505123</v>
      </c>
      <c r="BM67" s="772">
        <f t="shared" ca="1" si="24"/>
        <v>6248.9664826505123</v>
      </c>
      <c r="BN67" s="772">
        <f t="shared" ca="1" si="24"/>
        <v>5574.7615209912565</v>
      </c>
      <c r="BO67" s="772">
        <f t="shared" ca="1" si="20"/>
        <v>5574.7615209912565</v>
      </c>
      <c r="BP67" s="772">
        <f t="shared" ca="1" si="20"/>
        <v>5274.9827953412978</v>
      </c>
      <c r="BQ67" s="772">
        <f t="shared" ca="1" si="20"/>
        <v>5274.9827953412978</v>
      </c>
      <c r="BR67" s="772">
        <f t="shared" ca="1" si="20"/>
        <v>4997.4067774972527</v>
      </c>
      <c r="BS67" s="772">
        <f t="shared" ca="1" si="20"/>
        <v>6248.9664826505123</v>
      </c>
      <c r="BT67" s="772">
        <f t="shared" ca="1" si="20"/>
        <v>6248.9664826505123</v>
      </c>
      <c r="BU67" s="772">
        <f t="shared" ca="1" si="20"/>
        <v>6248.9664826505123</v>
      </c>
      <c r="BV67" s="772">
        <f t="shared" ca="1" si="20"/>
        <v>5898.7367717850975</v>
      </c>
      <c r="BW67" s="772">
        <f t="shared" ca="1" si="20"/>
        <v>5898.7367717850975</v>
      </c>
      <c r="BX67" s="772">
        <f t="shared" ca="1" si="20"/>
        <v>5274.9827953412978</v>
      </c>
      <c r="BY67" s="772">
        <f t="shared" ca="1" si="20"/>
        <v>5274.9827953412978</v>
      </c>
      <c r="BZ67" s="772">
        <f t="shared" ca="1" si="20"/>
        <v>4997.4067774972527</v>
      </c>
      <c r="CA67" s="772">
        <f t="shared" ca="1" si="20"/>
        <v>4997.4067774972527</v>
      </c>
      <c r="CB67" s="772">
        <f t="shared" ca="1" si="20"/>
        <v>5898.7367717850975</v>
      </c>
      <c r="CC67" s="772">
        <f t="shared" ca="1" si="20"/>
        <v>5898.7367717850975</v>
      </c>
      <c r="CD67" s="772">
        <f t="shared" ca="1" si="20"/>
        <v>5898.7367717850975</v>
      </c>
      <c r="CE67" s="772">
        <f t="shared" ca="1" si="21"/>
        <v>5898.7367717850975</v>
      </c>
      <c r="CF67" s="772">
        <f t="shared" ca="1" si="21"/>
        <v>5574.7615209912565</v>
      </c>
      <c r="CG67" s="772">
        <f t="shared" ca="1" si="21"/>
        <v>5274.9827953412978</v>
      </c>
      <c r="CH67" s="772">
        <f t="shared" ca="1" si="21"/>
        <v>4997.4067774972527</v>
      </c>
      <c r="CI67" s="772">
        <f t="shared" ca="1" si="21"/>
        <v>4997.4067774972527</v>
      </c>
      <c r="CJ67" s="772">
        <f t="shared" ca="1" si="21"/>
        <v>4740.1514119479143</v>
      </c>
    </row>
    <row r="68" spans="1:88" ht="15" customHeight="1">
      <c r="A68" s="770">
        <f>'kc-Wert für Stützen'!C68</f>
        <v>120</v>
      </c>
      <c r="B68" s="768">
        <f ca="1">INDIRECT("'kc-Wert für Stützen'!"&amp;SUBSTITUTE(ADDRESS(MATCH($A68,'kc-Wert für Stützen'!$C:$C,0),MATCH(B$7,'kc-Wert für Stützen'!$A$8:$ES$8,0)+7,4),,))</f>
        <v>7711.6974479910323</v>
      </c>
      <c r="C68" s="768">
        <f ca="1">INDIRECT("'kc-Wert für Stützen'!"&amp;SUBSTITUTE(ADDRESS(MATCH($A68,'kc-Wert für Stützen'!$C:$C,0),MATCH(C$7,'kc-Wert für Stützen'!$A$8:$ES$8,0)+7,4),,))</f>
        <v>7260.0951851734662</v>
      </c>
      <c r="D68" s="768">
        <f ca="1">INDIRECT("'kc-Wert für Stützen'!"&amp;SUBSTITUTE(ADDRESS(MATCH($A68,'kc-Wert für Stützen'!$C:$C,0),MATCH(D$7,'kc-Wert für Stützen'!$A$8:$ES$8,0)+7,4),,))</f>
        <v>6840.2873691540326</v>
      </c>
      <c r="E68" s="768">
        <f ca="1">INDIRECT("'kc-Wert für Stützen'!"&amp;SUBSTITUTE(ADDRESS(MATCH($A68,'kc-Wert für Stützen'!$C:$C,0),MATCH(E$7,'kc-Wert für Stützen'!$A$8:$ES$8,0)+7,4),,))</f>
        <v>6451.030190610044</v>
      </c>
      <c r="F68" s="768">
        <f ca="1">INDIRECT("'kc-Wert für Stützen'!"&amp;SUBSTITUTE(ADDRESS(MATCH($A68,'kc-Wert für Stützen'!$C:$C,0),MATCH(F$7,'kc-Wert für Stützen'!$A$8:$ES$8,0)+7,4),,))</f>
        <v>6090.5653846215273</v>
      </c>
      <c r="G68" s="768">
        <f ca="1">INDIRECT("'kc-Wert für Stützen'!"&amp;SUBSTITUTE(ADDRESS(MATCH($A68,'kc-Wert für Stützen'!$C:$C,0),MATCH(G$7,'kc-Wert für Stützen'!$A$8:$ES$8,0)+7,4),,))</f>
        <v>5756.904685239514</v>
      </c>
      <c r="H68" s="768">
        <f ca="1">INDIRECT("'kc-Wert für Stützen'!"&amp;SUBSTITUTE(ADDRESS(MATCH($A68,'kc-Wert für Stützen'!$C:$C,0),MATCH(H$7,'kc-Wert für Stützen'!$A$8:$ES$8,0)+7,4),,))</f>
        <v>5448.0028263821641</v>
      </c>
      <c r="I68" s="768">
        <f ca="1">INDIRECT("'kc-Wert für Stützen'!"&amp;SUBSTITUTE(ADDRESS(MATCH($A68,'kc-Wert für Stützen'!$C:$C,0),MATCH(I$7,'kc-Wert für Stützen'!$A$8:$ES$8,0)+7,4),,))</f>
        <v>5161.8585904009451</v>
      </c>
      <c r="J68" s="768">
        <f ca="1">INDIRECT("'kc-Wert für Stützen'!"&amp;SUBSTITUTE(ADDRESS(MATCH($A68,'kc-Wert für Stützen'!$C:$C,0),MATCH(J$7,'kc-Wert für Stützen'!$A$8:$ES$8,0)+7,4),,))</f>
        <v>4896.5705356668286</v>
      </c>
      <c r="K68" s="768">
        <f ca="1">INDIRECT("'kc-Wert für Stützen'!"&amp;SUBSTITUTE(ADDRESS(MATCH($A68,'kc-Wert für Stützen'!$C:$C,0),MATCH(K$7,'kc-Wert für Stützen'!$A$8:$ES$8,0)+7,4),,))</f>
        <v>4650.36470239144</v>
      </c>
      <c r="L68" s="768">
        <f ca="1">INDIRECT("'kc-Wert für Stützen'!"&amp;SUBSTITUTE(ADDRESS(MATCH($A68,'kc-Wert für Stützen'!$C:$C,0),MATCH(L$7,'kc-Wert für Stützen'!$A$8:$ES$8,0)+7,4),,))</f>
        <v>4421.6053148371557</v>
      </c>
      <c r="M68" s="768">
        <f ca="1">INDIRECT("'kc-Wert für Stützen'!"&amp;SUBSTITUTE(ADDRESS(MATCH($A68,'kc-Wert für Stützen'!$C:$C,0),MATCH(M$7,'kc-Wert für Stützen'!$A$8:$ES$8,0)+7,4),,))</f>
        <v>4208.7954181610821</v>
      </c>
      <c r="N68" s="768">
        <f ca="1">INDIRECT("'kc-Wert für Stützen'!"&amp;SUBSTITUTE(ADDRESS(MATCH($A68,'kc-Wert für Stützen'!$C:$C,0),MATCH(N$7,'kc-Wert für Stützen'!$A$8:$ES$8,0)+7,4),,))</f>
        <v>4010.5717837151819</v>
      </c>
      <c r="O68" s="768">
        <f ca="1">INDIRECT("'kc-Wert für Stützen'!"&amp;SUBSTITUTE(ADDRESS(MATCH($A68,'kc-Wert für Stützen'!$C:$C,0),MATCH(O$7,'kc-Wert für Stützen'!$A$8:$ES$8,0)+7,4),,))</f>
        <v>3825.696767841478</v>
      </c>
      <c r="P68" s="768">
        <f ca="1">INDIRECT("'kc-Wert für Stützen'!"&amp;SUBSTITUTE(ADDRESS(MATCH($A68,'kc-Wert für Stützen'!$C:$C,0),MATCH(P$7,'kc-Wert für Stützen'!$A$8:$ES$8,0)+7,4),,))</f>
        <v>3653.0487694513295</v>
      </c>
      <c r="S68" s="772">
        <f t="shared" ca="1" si="18"/>
        <v>6840.2873691540326</v>
      </c>
      <c r="T68" s="772">
        <f t="shared" ca="1" si="18"/>
        <v>6840.2873691540326</v>
      </c>
      <c r="U68" s="772">
        <f t="shared" ca="1" si="18"/>
        <v>6840.2873691540326</v>
      </c>
      <c r="V68" s="772">
        <f t="shared" ca="1" si="18"/>
        <v>6451.030190610044</v>
      </c>
      <c r="W68" s="772">
        <f t="shared" ca="1" si="18"/>
        <v>6090.5653846215273</v>
      </c>
      <c r="X68" s="772">
        <f t="shared" ca="1" si="18"/>
        <v>5756.904685239514</v>
      </c>
      <c r="Y68" s="772">
        <f t="shared" ca="1" si="18"/>
        <v>5448.0028263821641</v>
      </c>
      <c r="Z68" s="772">
        <f t="shared" ca="1" si="18"/>
        <v>6840.2873691540326</v>
      </c>
      <c r="AA68" s="772">
        <f t="shared" ca="1" si="18"/>
        <v>6840.2873691540326</v>
      </c>
      <c r="AB68" s="772">
        <f t="shared" ca="1" si="23"/>
        <v>6451.030190610044</v>
      </c>
      <c r="AC68" s="772">
        <f t="shared" ca="1" si="23"/>
        <v>6451.030190610044</v>
      </c>
      <c r="AD68" s="772">
        <f t="shared" ca="1" si="23"/>
        <v>6090.5653846215273</v>
      </c>
      <c r="AE68" s="772">
        <f t="shared" ca="1" si="23"/>
        <v>6090.5653846215273</v>
      </c>
      <c r="AF68" s="772">
        <f t="shared" ca="1" si="23"/>
        <v>5756.904685239514</v>
      </c>
      <c r="AG68" s="772">
        <f t="shared" ca="1" si="23"/>
        <v>5756.904685239514</v>
      </c>
      <c r="AH68" s="772">
        <f t="shared" ca="1" si="23"/>
        <v>5756.904685239514</v>
      </c>
      <c r="AI68" s="772">
        <f t="shared" ca="1" si="23"/>
        <v>6840.2873691540326</v>
      </c>
      <c r="AJ68" s="772">
        <f t="shared" ca="1" si="23"/>
        <v>6840.2873691540326</v>
      </c>
      <c r="AK68" s="772">
        <f t="shared" ca="1" si="23"/>
        <v>6451.030190610044</v>
      </c>
      <c r="AL68" s="772">
        <f t="shared" ca="1" si="23"/>
        <v>6451.030190610044</v>
      </c>
      <c r="AM68" s="772">
        <f t="shared" ca="1" si="23"/>
        <v>6090.5653846215273</v>
      </c>
      <c r="AN68" s="772">
        <f t="shared" ca="1" si="23"/>
        <v>6090.5653846215273</v>
      </c>
      <c r="AO68" s="772">
        <f t="shared" ca="1" si="23"/>
        <v>5756.904685239514</v>
      </c>
      <c r="AP68" s="772">
        <f t="shared" ca="1" si="23"/>
        <v>5756.904685239514</v>
      </c>
      <c r="AQ68" s="772">
        <f t="shared" ca="1" si="23"/>
        <v>5756.904685239514</v>
      </c>
      <c r="AR68" s="772">
        <f t="shared" ca="1" si="22"/>
        <v>6840.2873691540326</v>
      </c>
      <c r="AS68" s="772">
        <f t="shared" ca="1" si="22"/>
        <v>6840.2873691540326</v>
      </c>
      <c r="AT68" s="772">
        <f t="shared" ca="1" si="22"/>
        <v>6451.030190610044</v>
      </c>
      <c r="AU68" s="772">
        <f t="shared" ca="1" si="22"/>
        <v>6451.030190610044</v>
      </c>
      <c r="AV68" s="772">
        <f t="shared" ca="1" si="22"/>
        <v>6090.5653846215273</v>
      </c>
      <c r="AW68" s="772">
        <f t="shared" ca="1" si="22"/>
        <v>6090.5653846215273</v>
      </c>
      <c r="AX68" s="772">
        <f t="shared" ca="1" si="22"/>
        <v>5756.904685239514</v>
      </c>
      <c r="AY68" s="772">
        <f t="shared" ca="1" si="22"/>
        <v>5756.904685239514</v>
      </c>
      <c r="AZ68" s="772">
        <f t="shared" ca="1" si="22"/>
        <v>5756.904685239514</v>
      </c>
      <c r="BA68" s="772">
        <f t="shared" ca="1" si="22"/>
        <v>6840.2873691540326</v>
      </c>
      <c r="BB68" s="772">
        <f t="shared" ca="1" si="22"/>
        <v>6840.2873691540326</v>
      </c>
      <c r="BC68" s="772">
        <f t="shared" ca="1" si="22"/>
        <v>6451.030190610044</v>
      </c>
      <c r="BD68" s="772">
        <f t="shared" ca="1" si="22"/>
        <v>6090.5653846215273</v>
      </c>
      <c r="BE68" s="772">
        <f t="shared" ca="1" si="22"/>
        <v>6090.5653846215273</v>
      </c>
      <c r="BF68" s="772">
        <f t="shared" ca="1" si="22"/>
        <v>5756.904685239514</v>
      </c>
      <c r="BG68" s="772">
        <f t="shared" ref="BG68:BV83" ca="1" si="25">HLOOKUP(BG$7,$A$7:$P$348,ROW()-6)</f>
        <v>5756.904685239514</v>
      </c>
      <c r="BH68" s="772">
        <f t="shared" ca="1" si="25"/>
        <v>5448.0028263821641</v>
      </c>
      <c r="BI68" s="772">
        <f t="shared" ca="1" si="25"/>
        <v>5448.0028263821641</v>
      </c>
      <c r="BJ68" s="772">
        <f t="shared" ca="1" si="25"/>
        <v>6451.030190610044</v>
      </c>
      <c r="BK68" s="772">
        <f t="shared" ca="1" si="25"/>
        <v>6451.030190610044</v>
      </c>
      <c r="BL68" s="772">
        <f t="shared" ca="1" si="25"/>
        <v>6451.030190610044</v>
      </c>
      <c r="BM68" s="772">
        <f t="shared" ca="1" si="25"/>
        <v>6451.030190610044</v>
      </c>
      <c r="BN68" s="772">
        <f t="shared" ca="1" si="25"/>
        <v>5756.904685239514</v>
      </c>
      <c r="BO68" s="772">
        <f t="shared" ca="1" si="25"/>
        <v>5756.904685239514</v>
      </c>
      <c r="BP68" s="772">
        <f t="shared" ca="1" si="25"/>
        <v>5448.0028263821641</v>
      </c>
      <c r="BQ68" s="772">
        <f t="shared" ca="1" si="25"/>
        <v>5448.0028263821641</v>
      </c>
      <c r="BR68" s="772">
        <f t="shared" ca="1" si="25"/>
        <v>5161.8585904009451</v>
      </c>
      <c r="BS68" s="772">
        <f t="shared" ca="1" si="25"/>
        <v>6451.030190610044</v>
      </c>
      <c r="BT68" s="772">
        <f t="shared" ca="1" si="25"/>
        <v>6451.030190610044</v>
      </c>
      <c r="BU68" s="772">
        <f t="shared" ca="1" si="25"/>
        <v>6451.030190610044</v>
      </c>
      <c r="BV68" s="772">
        <f t="shared" ca="1" si="25"/>
        <v>6090.5653846215273</v>
      </c>
      <c r="BW68" s="772">
        <f t="shared" ca="1" si="20"/>
        <v>6090.5653846215273</v>
      </c>
      <c r="BX68" s="772">
        <f t="shared" ca="1" si="20"/>
        <v>5448.0028263821641</v>
      </c>
      <c r="BY68" s="772">
        <f t="shared" ca="1" si="20"/>
        <v>5448.0028263821641</v>
      </c>
      <c r="BZ68" s="772">
        <f t="shared" ca="1" si="20"/>
        <v>5161.8585904009451</v>
      </c>
      <c r="CA68" s="772">
        <f t="shared" ca="1" si="20"/>
        <v>5161.8585904009451</v>
      </c>
      <c r="CB68" s="772">
        <f t="shared" ca="1" si="20"/>
        <v>6090.5653846215273</v>
      </c>
      <c r="CC68" s="772">
        <f t="shared" ca="1" si="20"/>
        <v>6090.5653846215273</v>
      </c>
      <c r="CD68" s="772">
        <f t="shared" ca="1" si="20"/>
        <v>6090.5653846215273</v>
      </c>
      <c r="CE68" s="772">
        <f t="shared" ref="CE68:CJ68" ca="1" si="26">HLOOKUP(CE$7,$A$7:$P$348,ROW()-6)</f>
        <v>6090.5653846215273</v>
      </c>
      <c r="CF68" s="772">
        <f t="shared" ca="1" si="26"/>
        <v>5756.904685239514</v>
      </c>
      <c r="CG68" s="772">
        <f t="shared" ca="1" si="26"/>
        <v>5448.0028263821641</v>
      </c>
      <c r="CH68" s="772">
        <f t="shared" ca="1" si="26"/>
        <v>5161.8585904009451</v>
      </c>
      <c r="CI68" s="772">
        <f t="shared" ca="1" si="26"/>
        <v>5161.8585904009451</v>
      </c>
      <c r="CJ68" s="772">
        <f t="shared" ca="1" si="26"/>
        <v>4896.5705356668286</v>
      </c>
    </row>
    <row r="69" spans="1:88" ht="15" customHeight="1">
      <c r="A69" s="770">
        <f>'kc-Wert für Stützen'!C69</f>
        <v>121</v>
      </c>
      <c r="B69" s="768">
        <f ca="1">INDIRECT("'kc-Wert für Stützen'!"&amp;SUBSTITUTE(ADDRESS(MATCH($A69,'kc-Wert für Stützen'!$C:$C,0),MATCH(B$7,'kc-Wert für Stützen'!$A$8:$ES$8,0)+7,4),,))</f>
        <v>7951.6771142001962</v>
      </c>
      <c r="C69" s="768">
        <f ca="1">INDIRECT("'kc-Wert für Stützen'!"&amp;SUBSTITUTE(ADDRESS(MATCH($A69,'kc-Wert für Stützen'!$C:$C,0),MATCH(C$7,'kc-Wert für Stützen'!$A$8:$ES$8,0)+7,4),,))</f>
        <v>7488.6710674539754</v>
      </c>
      <c r="D69" s="768">
        <f ca="1">INDIRECT("'kc-Wert für Stützen'!"&amp;SUBSTITUTE(ADDRESS(MATCH($A69,'kc-Wert für Stützen'!$C:$C,0),MATCH(D$7,'kc-Wert für Stützen'!$A$8:$ES$8,0)+7,4),,))</f>
        <v>7057.6370526928549</v>
      </c>
      <c r="E69" s="768">
        <f ca="1">INDIRECT("'kc-Wert für Stützen'!"&amp;SUBSTITUTE(ADDRESS(MATCH($A69,'kc-Wert für Stützen'!$C:$C,0),MATCH(E$7,'kc-Wert für Stützen'!$A$8:$ES$8,0)+7,4),,))</f>
        <v>6657.5250025675841</v>
      </c>
      <c r="F69" s="768">
        <f ca="1">INDIRECT("'kc-Wert für Stützen'!"&amp;SUBSTITUTE(ADDRESS(MATCH($A69,'kc-Wert für Stützen'!$C:$C,0),MATCH(F$7,'kc-Wert für Stützen'!$A$8:$ES$8,0)+7,4),,))</f>
        <v>6286.6871225729619</v>
      </c>
      <c r="G69" s="768">
        <f ca="1">INDIRECT("'kc-Wert für Stützen'!"&amp;SUBSTITUTE(ADDRESS(MATCH($A69,'kc-Wert für Stützen'!$C:$C,0),MATCH(G$7,'kc-Wert für Stützen'!$A$8:$ES$8,0)+7,4),,))</f>
        <v>5943.1903813585814</v>
      </c>
      <c r="H69" s="768">
        <f ca="1">INDIRECT("'kc-Wert für Stützen'!"&amp;SUBSTITUTE(ADDRESS(MATCH($A69,'kc-Wert für Stützen'!$C:$C,0),MATCH(H$7,'kc-Wert für Stützen'!$A$8:$ES$8,0)+7,4),,))</f>
        <v>5625.009124435046</v>
      </c>
      <c r="I69" s="768">
        <f ca="1">INDIRECT("'kc-Wert für Stützen'!"&amp;SUBSTITUTE(ADDRESS(MATCH($A69,'kc-Wert für Stützen'!$C:$C,0),MATCH(I$7,'kc-Wert für Stützen'!$A$8:$ES$8,0)+7,4),,))</f>
        <v>5330.1393793404704</v>
      </c>
      <c r="J69" s="768">
        <f ca="1">INDIRECT("'kc-Wert für Stützen'!"&amp;SUBSTITUTE(ADDRESS(MATCH($A69,'kc-Wert für Stützen'!$C:$C,0),MATCH(J$7,'kc-Wert für Stützen'!$A$8:$ES$8,0)+7,4),,))</f>
        <v>5056.6633721651451</v>
      </c>
      <c r="K69" s="768">
        <f ca="1">INDIRECT("'kc-Wert für Stützen'!"&amp;SUBSTITUTE(ADDRESS(MATCH($A69,'kc-Wert für Stützen'!$C:$C,0),MATCH(K$7,'kc-Wert für Stützen'!$A$8:$ES$8,0)+7,4),,))</f>
        <v>4802.7829885733199</v>
      </c>
      <c r="L69" s="768">
        <f ca="1">INDIRECT("'kc-Wert für Stützen'!"&amp;SUBSTITUTE(ADDRESS(MATCH($A69,'kc-Wert für Stützen'!$C:$C,0),MATCH(L$7,'kc-Wert für Stützen'!$A$8:$ES$8,0)+7,4),,))</f>
        <v>4566.8342062810234</v>
      </c>
      <c r="M69" s="768">
        <f ca="1">INDIRECT("'kc-Wert für Stützen'!"&amp;SUBSTITUTE(ADDRESS(MATCH($A69,'kc-Wert für Stützen'!$C:$C,0),MATCH(M$7,'kc-Wert für Stützen'!$A$8:$ES$8,0)+7,4),,))</f>
        <v>4347.2901219619534</v>
      </c>
      <c r="N69" s="768">
        <f ca="1">INDIRECT("'kc-Wert für Stützen'!"&amp;SUBSTITUTE(ADDRESS(MATCH($A69,'kc-Wert für Stützen'!$C:$C,0),MATCH(N$7,'kc-Wert für Stützen'!$A$8:$ES$8,0)+7,4),,))</f>
        <v>4142.7573633171687</v>
      </c>
      <c r="O69" s="768">
        <f ca="1">INDIRECT("'kc-Wert für Stützen'!"&amp;SUBSTITUTE(ADDRESS(MATCH($A69,'kc-Wert für Stützen'!$C:$C,0),MATCH(O$7,'kc-Wert für Stützen'!$A$8:$ES$8,0)+7,4),,))</f>
        <v>3951.9688740148631</v>
      </c>
      <c r="P69" s="768">
        <f ca="1">INDIRECT("'kc-Wert für Stützen'!"&amp;SUBSTITUTE(ADDRESS(MATCH($A69,'kc-Wert für Stützen'!$C:$C,0),MATCH(P$7,'kc-Wert für Stützen'!$A$8:$ES$8,0)+7,4),,))</f>
        <v>3773.7749168381138</v>
      </c>
      <c r="S69" s="772">
        <f t="shared" ca="1" si="18"/>
        <v>7057.6370526928549</v>
      </c>
      <c r="T69" s="772">
        <f t="shared" ca="1" si="18"/>
        <v>7057.6370526928549</v>
      </c>
      <c r="U69" s="772">
        <f t="shared" ca="1" si="18"/>
        <v>7057.6370526928549</v>
      </c>
      <c r="V69" s="772">
        <f t="shared" ca="1" si="18"/>
        <v>6657.5250025675841</v>
      </c>
      <c r="W69" s="772">
        <f t="shared" ca="1" si="18"/>
        <v>6286.6871225729619</v>
      </c>
      <c r="X69" s="772">
        <f t="shared" ca="1" si="18"/>
        <v>5943.1903813585814</v>
      </c>
      <c r="Y69" s="772">
        <f t="shared" ca="1" si="18"/>
        <v>5625.009124435046</v>
      </c>
      <c r="Z69" s="772">
        <f t="shared" ca="1" si="18"/>
        <v>7057.6370526928549</v>
      </c>
      <c r="AA69" s="772">
        <f t="shared" ca="1" si="18"/>
        <v>7057.6370526928549</v>
      </c>
      <c r="AB69" s="772">
        <f t="shared" ca="1" si="23"/>
        <v>6657.5250025675841</v>
      </c>
      <c r="AC69" s="772">
        <f t="shared" ca="1" si="23"/>
        <v>6657.5250025675841</v>
      </c>
      <c r="AD69" s="772">
        <f t="shared" ca="1" si="23"/>
        <v>6286.6871225729619</v>
      </c>
      <c r="AE69" s="772">
        <f t="shared" ca="1" si="23"/>
        <v>6286.6871225729619</v>
      </c>
      <c r="AF69" s="772">
        <f t="shared" ca="1" si="23"/>
        <v>5943.1903813585814</v>
      </c>
      <c r="AG69" s="772">
        <f t="shared" ca="1" si="23"/>
        <v>5943.1903813585814</v>
      </c>
      <c r="AH69" s="772">
        <f t="shared" ca="1" si="23"/>
        <v>5943.1903813585814</v>
      </c>
      <c r="AI69" s="772">
        <f t="shared" ca="1" si="23"/>
        <v>7057.6370526928549</v>
      </c>
      <c r="AJ69" s="772">
        <f t="shared" ca="1" si="23"/>
        <v>7057.6370526928549</v>
      </c>
      <c r="AK69" s="772">
        <f t="shared" ca="1" si="23"/>
        <v>6657.5250025675841</v>
      </c>
      <c r="AL69" s="772">
        <f t="shared" ca="1" si="23"/>
        <v>6657.5250025675841</v>
      </c>
      <c r="AM69" s="772">
        <f t="shared" ca="1" si="23"/>
        <v>6286.6871225729619</v>
      </c>
      <c r="AN69" s="772">
        <f t="shared" ca="1" si="23"/>
        <v>6286.6871225729619</v>
      </c>
      <c r="AO69" s="772">
        <f t="shared" ca="1" si="23"/>
        <v>5943.1903813585814</v>
      </c>
      <c r="AP69" s="772">
        <f t="shared" ca="1" si="23"/>
        <v>5943.1903813585814</v>
      </c>
      <c r="AQ69" s="772">
        <f t="shared" ca="1" si="23"/>
        <v>5943.1903813585814</v>
      </c>
      <c r="AR69" s="772">
        <f t="shared" ca="1" si="22"/>
        <v>7057.6370526928549</v>
      </c>
      <c r="AS69" s="772">
        <f t="shared" ca="1" si="22"/>
        <v>7057.6370526928549</v>
      </c>
      <c r="AT69" s="772">
        <f t="shared" ca="1" si="22"/>
        <v>6657.5250025675841</v>
      </c>
      <c r="AU69" s="772">
        <f t="shared" ca="1" si="22"/>
        <v>6657.5250025675841</v>
      </c>
      <c r="AV69" s="772">
        <f t="shared" ca="1" si="22"/>
        <v>6286.6871225729619</v>
      </c>
      <c r="AW69" s="772">
        <f t="shared" ca="1" si="22"/>
        <v>6286.6871225729619</v>
      </c>
      <c r="AX69" s="772">
        <f t="shared" ca="1" si="22"/>
        <v>5943.1903813585814</v>
      </c>
      <c r="AY69" s="772">
        <f t="shared" ca="1" si="22"/>
        <v>5943.1903813585814</v>
      </c>
      <c r="AZ69" s="772">
        <f t="shared" ca="1" si="22"/>
        <v>5943.1903813585814</v>
      </c>
      <c r="BA69" s="772">
        <f t="shared" ca="1" si="22"/>
        <v>7057.6370526928549</v>
      </c>
      <c r="BB69" s="772">
        <f t="shared" ca="1" si="22"/>
        <v>7057.6370526928549</v>
      </c>
      <c r="BC69" s="772">
        <f t="shared" ca="1" si="22"/>
        <v>6657.5250025675841</v>
      </c>
      <c r="BD69" s="772">
        <f t="shared" ca="1" si="22"/>
        <v>6286.6871225729619</v>
      </c>
      <c r="BE69" s="772">
        <f t="shared" ca="1" si="22"/>
        <v>6286.6871225729619</v>
      </c>
      <c r="BF69" s="772">
        <f t="shared" ca="1" si="22"/>
        <v>5943.1903813585814</v>
      </c>
      <c r="BG69" s="772">
        <f t="shared" ca="1" si="25"/>
        <v>5943.1903813585814</v>
      </c>
      <c r="BH69" s="772">
        <f t="shared" ca="1" si="25"/>
        <v>5625.009124435046</v>
      </c>
      <c r="BI69" s="772">
        <f t="shared" ca="1" si="25"/>
        <v>5625.009124435046</v>
      </c>
      <c r="BJ69" s="772">
        <f t="shared" ca="1" si="25"/>
        <v>6657.5250025675841</v>
      </c>
      <c r="BK69" s="772">
        <f t="shared" ca="1" si="25"/>
        <v>6657.5250025675841</v>
      </c>
      <c r="BL69" s="772">
        <f t="shared" ca="1" si="25"/>
        <v>6657.5250025675841</v>
      </c>
      <c r="BM69" s="772">
        <f t="shared" ca="1" si="25"/>
        <v>6657.5250025675841</v>
      </c>
      <c r="BN69" s="772">
        <f t="shared" ca="1" si="25"/>
        <v>5943.1903813585814</v>
      </c>
      <c r="BO69" s="772">
        <f t="shared" ca="1" si="25"/>
        <v>5943.1903813585814</v>
      </c>
      <c r="BP69" s="772">
        <f t="shared" ca="1" si="25"/>
        <v>5625.009124435046</v>
      </c>
      <c r="BQ69" s="772">
        <f t="shared" ca="1" si="25"/>
        <v>5625.009124435046</v>
      </c>
      <c r="BR69" s="772">
        <f t="shared" ca="1" si="25"/>
        <v>5330.1393793404704</v>
      </c>
      <c r="BS69" s="772">
        <f t="shared" ca="1" si="25"/>
        <v>6657.5250025675841</v>
      </c>
      <c r="BT69" s="772">
        <f t="shared" ca="1" si="25"/>
        <v>6657.5250025675841</v>
      </c>
      <c r="BU69" s="772">
        <f t="shared" ca="1" si="25"/>
        <v>6657.5250025675841</v>
      </c>
      <c r="BV69" s="772">
        <f t="shared" ca="1" si="25"/>
        <v>6286.6871225729619</v>
      </c>
      <c r="BW69" s="772">
        <f t="shared" ref="BW69:CJ87" ca="1" si="27">HLOOKUP(BW$7,$A$7:$P$348,ROW()-6)</f>
        <v>6286.6871225729619</v>
      </c>
      <c r="BX69" s="772">
        <f t="shared" ca="1" si="27"/>
        <v>5625.009124435046</v>
      </c>
      <c r="BY69" s="772">
        <f t="shared" ca="1" si="27"/>
        <v>5625.009124435046</v>
      </c>
      <c r="BZ69" s="772">
        <f t="shared" ca="1" si="27"/>
        <v>5330.1393793404704</v>
      </c>
      <c r="CA69" s="772">
        <f t="shared" ca="1" si="27"/>
        <v>5330.1393793404704</v>
      </c>
      <c r="CB69" s="772">
        <f t="shared" ca="1" si="27"/>
        <v>6286.6871225729619</v>
      </c>
      <c r="CC69" s="772">
        <f t="shared" ca="1" si="27"/>
        <v>6286.6871225729619</v>
      </c>
      <c r="CD69" s="772">
        <f t="shared" ca="1" si="27"/>
        <v>6286.6871225729619</v>
      </c>
      <c r="CE69" s="772">
        <f t="shared" ca="1" si="27"/>
        <v>6286.6871225729619</v>
      </c>
      <c r="CF69" s="772">
        <f t="shared" ca="1" si="27"/>
        <v>5943.1903813585814</v>
      </c>
      <c r="CG69" s="772">
        <f t="shared" ca="1" si="27"/>
        <v>5625.009124435046</v>
      </c>
      <c r="CH69" s="772">
        <f t="shared" ca="1" si="27"/>
        <v>5330.1393793404704</v>
      </c>
      <c r="CI69" s="772">
        <f t="shared" ca="1" si="27"/>
        <v>5330.1393793404704</v>
      </c>
      <c r="CJ69" s="772">
        <f t="shared" ca="1" si="27"/>
        <v>5056.6633721651451</v>
      </c>
    </row>
    <row r="70" spans="1:88" ht="15" customHeight="1">
      <c r="A70" s="770">
        <f>'kc-Wert für Stützen'!C70</f>
        <v>122</v>
      </c>
      <c r="B70" s="768">
        <f ca="1">INDIRECT("'kc-Wert für Stützen'!"&amp;SUBSTITUTE(ADDRESS(MATCH($A70,'kc-Wert für Stützen'!$C:$C,0),MATCH(B$7,'kc-Wert für Stützen'!$A$8:$ES$8,0)+7,4),,))</f>
        <v>8196.2931635142704</v>
      </c>
      <c r="C70" s="768">
        <f ca="1">INDIRECT("'kc-Wert für Stützen'!"&amp;SUBSTITUTE(ADDRESS(MATCH($A70,'kc-Wert für Stützen'!$C:$C,0),MATCH(C$7,'kc-Wert für Stützen'!$A$8:$ES$8,0)+7,4),,))</f>
        <v>7721.8816197326423</v>
      </c>
      <c r="D70" s="768">
        <f ca="1">INDIRECT("'kc-Wert für Stützen'!"&amp;SUBSTITUTE(ADDRESS(MATCH($A70,'kc-Wert für Stützen'!$C:$C,0),MATCH(D$7,'kc-Wert für Stützen'!$A$8:$ES$8,0)+7,4),,))</f>
        <v>7279.5564200690724</v>
      </c>
      <c r="E70" s="768">
        <f ca="1">INDIRECT("'kc-Wert für Stützen'!"&amp;SUBSTITUTE(ADDRESS(MATCH($A70,'kc-Wert für Stützen'!$C:$C,0),MATCH(E$7,'kc-Wert für Stützen'!$A$8:$ES$8,0)+7,4),,))</f>
        <v>6868.4830964778148</v>
      </c>
      <c r="F70" s="768">
        <f ca="1">INDIRECT("'kc-Wert für Stützen'!"&amp;SUBSTITUTE(ADDRESS(MATCH($A70,'kc-Wert für Stützen'!$C:$C,0),MATCH(F$7,'kc-Wert für Stützen'!$A$8:$ES$8,0)+7,4),,))</f>
        <v>6487.1400564586411</v>
      </c>
      <c r="G70" s="768">
        <f ca="1">INDIRECT("'kc-Wert für Stützen'!"&amp;SUBSTITUTE(ADDRESS(MATCH($A70,'kc-Wert für Stützen'!$C:$C,0),MATCH(G$7,'kc-Wert für Stützen'!$A$8:$ES$8,0)+7,4),,))</f>
        <v>6133.6604878082026</v>
      </c>
      <c r="H70" s="768">
        <f ca="1">INDIRECT("'kc-Wert für Stützen'!"&amp;SUBSTITUTE(ADDRESS(MATCH($A70,'kc-Wert für Stützen'!$C:$C,0),MATCH(H$7,'kc-Wert für Stützen'!$A$8:$ES$8,0)+7,4),,))</f>
        <v>5806.0458693383744</v>
      </c>
      <c r="I70" s="768">
        <f ca="1">INDIRECT("'kc-Wert für Stützen'!"&amp;SUBSTITUTE(ADDRESS(MATCH($A70,'kc-Wert für Stützen'!$C:$C,0),MATCH(I$7,'kc-Wert für Stützen'!$A$8:$ES$8,0)+7,4),,))</f>
        <v>5502.2945447573948</v>
      </c>
      <c r="J70" s="768">
        <f ca="1">INDIRECT("'kc-Wert für Stützen'!"&amp;SUBSTITUTE(ADDRESS(MATCH($A70,'kc-Wert für Stützen'!$C:$C,0),MATCH(J$7,'kc-Wert für Stützen'!$A$8:$ES$8,0)+7,4),,))</f>
        <v>5220.4757710525901</v>
      </c>
      <c r="K70" s="768">
        <f ca="1">INDIRECT("'kc-Wert für Stützen'!"&amp;SUBSTITUTE(ADDRESS(MATCH($A70,'kc-Wert für Stützen'!$C:$C,0),MATCH(K$7,'kc-Wert für Stützen'!$A$8:$ES$8,0)+7,4),,))</f>
        <v>4958.7694618653513</v>
      </c>
      <c r="L70" s="768">
        <f ca="1">INDIRECT("'kc-Wert für Stützen'!"&amp;SUBSTITUTE(ADDRESS(MATCH($A70,'kc-Wert für Stützen'!$C:$C,0),MATCH(L$7,'kc-Wert für Stützen'!$A$8:$ES$8,0)+7,4),,))</f>
        <v>4715.4847182927651</v>
      </c>
      <c r="M70" s="768">
        <f ca="1">INDIRECT("'kc-Wert für Stützen'!"&amp;SUBSTITUTE(ADDRESS(MATCH($A70,'kc-Wert für Stützen'!$C:$C,0),MATCH(M$7,'kc-Wert für Stützen'!$A$8:$ES$8,0)+7,4),,))</f>
        <v>4489.0655010598693</v>
      </c>
      <c r="N70" s="768">
        <f ca="1">INDIRECT("'kc-Wert für Stützen'!"&amp;SUBSTITUTE(ADDRESS(MATCH($A70,'kc-Wert für Stützen'!$C:$C,0),MATCH(N$7,'kc-Wert für Stützen'!$A$8:$ES$8,0)+7,4),,))</f>
        <v>4278.0887259630244</v>
      </c>
      <c r="O70" s="768">
        <f ca="1">INDIRECT("'kc-Wert für Stützen'!"&amp;SUBSTITUTE(ADDRESS(MATCH($A70,'kc-Wert für Stützen'!$C:$C,0),MATCH(O$7,'kc-Wert für Stützen'!$A$8:$ES$8,0)+7,4),,))</f>
        <v>4081.2580972301025</v>
      </c>
      <c r="P70" s="768">
        <f ca="1">INDIRECT("'kc-Wert für Stützen'!"&amp;SUBSTITUTE(ADDRESS(MATCH($A70,'kc-Wert für Stützen'!$C:$C,0),MATCH(P$7,'kc-Wert für Stützen'!$A$8:$ES$8,0)+7,4),,))</f>
        <v>3897.3957410291414</v>
      </c>
      <c r="S70" s="772">
        <f t="shared" ca="1" si="18"/>
        <v>7279.5564200690724</v>
      </c>
      <c r="T70" s="772">
        <f t="shared" ca="1" si="18"/>
        <v>7279.5564200690724</v>
      </c>
      <c r="U70" s="772">
        <f t="shared" ca="1" si="18"/>
        <v>7279.5564200690724</v>
      </c>
      <c r="V70" s="772">
        <f t="shared" ca="1" si="18"/>
        <v>6868.4830964778148</v>
      </c>
      <c r="W70" s="772">
        <f t="shared" ca="1" si="18"/>
        <v>6487.1400564586411</v>
      </c>
      <c r="X70" s="772">
        <f t="shared" ca="1" si="18"/>
        <v>6133.6604878082026</v>
      </c>
      <c r="Y70" s="772">
        <f t="shared" ca="1" si="18"/>
        <v>5806.0458693383744</v>
      </c>
      <c r="Z70" s="772">
        <f t="shared" ca="1" si="18"/>
        <v>7279.5564200690724</v>
      </c>
      <c r="AA70" s="772">
        <f t="shared" ca="1" si="18"/>
        <v>7279.5564200690724</v>
      </c>
      <c r="AB70" s="772">
        <f t="shared" ca="1" si="23"/>
        <v>6868.4830964778148</v>
      </c>
      <c r="AC70" s="772">
        <f t="shared" ca="1" si="23"/>
        <v>6868.4830964778148</v>
      </c>
      <c r="AD70" s="772">
        <f t="shared" ca="1" si="23"/>
        <v>6487.1400564586411</v>
      </c>
      <c r="AE70" s="772">
        <f t="shared" ca="1" si="23"/>
        <v>6487.1400564586411</v>
      </c>
      <c r="AF70" s="772">
        <f t="shared" ca="1" si="23"/>
        <v>6133.6604878082026</v>
      </c>
      <c r="AG70" s="772">
        <f t="shared" ca="1" si="23"/>
        <v>6133.6604878082026</v>
      </c>
      <c r="AH70" s="772">
        <f t="shared" ca="1" si="23"/>
        <v>6133.6604878082026</v>
      </c>
      <c r="AI70" s="772">
        <f t="shared" ca="1" si="23"/>
        <v>7279.5564200690724</v>
      </c>
      <c r="AJ70" s="772">
        <f t="shared" ca="1" si="23"/>
        <v>7279.5564200690724</v>
      </c>
      <c r="AK70" s="772">
        <f t="shared" ca="1" si="23"/>
        <v>6868.4830964778148</v>
      </c>
      <c r="AL70" s="772">
        <f t="shared" ca="1" si="23"/>
        <v>6868.4830964778148</v>
      </c>
      <c r="AM70" s="772">
        <f t="shared" ca="1" si="23"/>
        <v>6487.1400564586411</v>
      </c>
      <c r="AN70" s="772">
        <f t="shared" ca="1" si="23"/>
        <v>6487.1400564586411</v>
      </c>
      <c r="AO70" s="772">
        <f t="shared" ca="1" si="23"/>
        <v>6133.6604878082026</v>
      </c>
      <c r="AP70" s="772">
        <f t="shared" ca="1" si="23"/>
        <v>6133.6604878082026</v>
      </c>
      <c r="AQ70" s="772">
        <f t="shared" ca="1" si="23"/>
        <v>6133.6604878082026</v>
      </c>
      <c r="AR70" s="772">
        <f t="shared" ca="1" si="22"/>
        <v>7279.5564200690724</v>
      </c>
      <c r="AS70" s="772">
        <f t="shared" ca="1" si="22"/>
        <v>7279.5564200690724</v>
      </c>
      <c r="AT70" s="772">
        <f t="shared" ca="1" si="22"/>
        <v>6868.4830964778148</v>
      </c>
      <c r="AU70" s="772">
        <f t="shared" ca="1" si="22"/>
        <v>6868.4830964778148</v>
      </c>
      <c r="AV70" s="772">
        <f t="shared" ca="1" si="22"/>
        <v>6487.1400564586411</v>
      </c>
      <c r="AW70" s="772">
        <f t="shared" ca="1" si="22"/>
        <v>6487.1400564586411</v>
      </c>
      <c r="AX70" s="772">
        <f t="shared" ca="1" si="22"/>
        <v>6133.6604878082026</v>
      </c>
      <c r="AY70" s="772">
        <f t="shared" ca="1" si="22"/>
        <v>6133.6604878082026</v>
      </c>
      <c r="AZ70" s="772">
        <f t="shared" ca="1" si="22"/>
        <v>6133.6604878082026</v>
      </c>
      <c r="BA70" s="772">
        <f t="shared" ca="1" si="22"/>
        <v>7279.5564200690724</v>
      </c>
      <c r="BB70" s="772">
        <f t="shared" ca="1" si="22"/>
        <v>7279.5564200690724</v>
      </c>
      <c r="BC70" s="772">
        <f t="shared" ca="1" si="22"/>
        <v>6868.4830964778148</v>
      </c>
      <c r="BD70" s="772">
        <f t="shared" ca="1" si="22"/>
        <v>6487.1400564586411</v>
      </c>
      <c r="BE70" s="772">
        <f t="shared" ca="1" si="22"/>
        <v>6487.1400564586411</v>
      </c>
      <c r="BF70" s="772">
        <f t="shared" ca="1" si="22"/>
        <v>6133.6604878082026</v>
      </c>
      <c r="BG70" s="772">
        <f t="shared" ca="1" si="25"/>
        <v>6133.6604878082026</v>
      </c>
      <c r="BH70" s="772">
        <f t="shared" ca="1" si="25"/>
        <v>5806.0458693383744</v>
      </c>
      <c r="BI70" s="772">
        <f t="shared" ca="1" si="25"/>
        <v>5806.0458693383744</v>
      </c>
      <c r="BJ70" s="772">
        <f t="shared" ca="1" si="25"/>
        <v>6868.4830964778148</v>
      </c>
      <c r="BK70" s="772">
        <f t="shared" ca="1" si="25"/>
        <v>6868.4830964778148</v>
      </c>
      <c r="BL70" s="772">
        <f t="shared" ca="1" si="25"/>
        <v>6868.4830964778148</v>
      </c>
      <c r="BM70" s="772">
        <f t="shared" ca="1" si="25"/>
        <v>6868.4830964778148</v>
      </c>
      <c r="BN70" s="772">
        <f t="shared" ca="1" si="25"/>
        <v>6133.6604878082026</v>
      </c>
      <c r="BO70" s="772">
        <f t="shared" ca="1" si="25"/>
        <v>6133.6604878082026</v>
      </c>
      <c r="BP70" s="772">
        <f t="shared" ca="1" si="25"/>
        <v>5806.0458693383744</v>
      </c>
      <c r="BQ70" s="772">
        <f t="shared" ca="1" si="25"/>
        <v>5806.0458693383744</v>
      </c>
      <c r="BR70" s="772">
        <f t="shared" ca="1" si="25"/>
        <v>5502.2945447573948</v>
      </c>
      <c r="BS70" s="772">
        <f t="shared" ca="1" si="25"/>
        <v>6868.4830964778148</v>
      </c>
      <c r="BT70" s="772">
        <f t="shared" ca="1" si="25"/>
        <v>6868.4830964778148</v>
      </c>
      <c r="BU70" s="772">
        <f t="shared" ca="1" si="25"/>
        <v>6868.4830964778148</v>
      </c>
      <c r="BV70" s="772">
        <f t="shared" ca="1" si="25"/>
        <v>6487.1400564586411</v>
      </c>
      <c r="BW70" s="772">
        <f t="shared" ca="1" si="27"/>
        <v>6487.1400564586411</v>
      </c>
      <c r="BX70" s="772">
        <f t="shared" ca="1" si="27"/>
        <v>5806.0458693383744</v>
      </c>
      <c r="BY70" s="772">
        <f t="shared" ca="1" si="27"/>
        <v>5806.0458693383744</v>
      </c>
      <c r="BZ70" s="772">
        <f t="shared" ca="1" si="27"/>
        <v>5502.2945447573948</v>
      </c>
      <c r="CA70" s="772">
        <f t="shared" ca="1" si="27"/>
        <v>5502.2945447573948</v>
      </c>
      <c r="CB70" s="772">
        <f t="shared" ca="1" si="27"/>
        <v>6487.1400564586411</v>
      </c>
      <c r="CC70" s="772">
        <f t="shared" ca="1" si="27"/>
        <v>6487.1400564586411</v>
      </c>
      <c r="CD70" s="772">
        <f t="shared" ca="1" si="27"/>
        <v>6487.1400564586411</v>
      </c>
      <c r="CE70" s="772">
        <f t="shared" ca="1" si="27"/>
        <v>6487.1400564586411</v>
      </c>
      <c r="CF70" s="772">
        <f t="shared" ca="1" si="27"/>
        <v>6133.6604878082026</v>
      </c>
      <c r="CG70" s="772">
        <f t="shared" ca="1" si="27"/>
        <v>5806.0458693383744</v>
      </c>
      <c r="CH70" s="772">
        <f t="shared" ca="1" si="27"/>
        <v>5502.2945447573948</v>
      </c>
      <c r="CI70" s="772">
        <f t="shared" ca="1" si="27"/>
        <v>5502.2945447573948</v>
      </c>
      <c r="CJ70" s="772">
        <f t="shared" ca="1" si="27"/>
        <v>5220.4757710525901</v>
      </c>
    </row>
    <row r="71" spans="1:88" ht="15" customHeight="1">
      <c r="A71" s="770">
        <f>'kc-Wert für Stützen'!C71</f>
        <v>123</v>
      </c>
      <c r="B71" s="768">
        <f ca="1">INDIRECT("'kc-Wert für Stützen'!"&amp;SUBSTITUTE(ADDRESS(MATCH($A71,'kc-Wert für Stützen'!$C:$C,0),MATCH(B$7,'kc-Wert für Stützen'!$A$8:$ES$8,0)+7,4),,))</f>
        <v>8445.5341855715251</v>
      </c>
      <c r="C71" s="768">
        <f ca="1">INDIRECT("'kc-Wert für Stützen'!"&amp;SUBSTITUTE(ADDRESS(MATCH($A71,'kc-Wert für Stützen'!$C:$C,0),MATCH(C$7,'kc-Wert für Stützen'!$A$8:$ES$8,0)+7,4),,))</f>
        <v>7959.7339484477125</v>
      </c>
      <c r="D71" s="768">
        <f ca="1">INDIRECT("'kc-Wert für Stützen'!"&amp;SUBSTITUTE(ADDRESS(MATCH($A71,'kc-Wert für Stützen'!$C:$C,0),MATCH(D$7,'kc-Wert für Stützen'!$A$8:$ES$8,0)+7,4),,))</f>
        <v>7506.0660239605768</v>
      </c>
      <c r="E71" s="768">
        <f ca="1">INDIRECT("'kc-Wert für Stützen'!"&amp;SUBSTITUTE(ADDRESS(MATCH($A71,'kc-Wert für Stützen'!$C:$C,0),MATCH(E$7,'kc-Wert für Stützen'!$A$8:$ES$8,0)+7,4),,))</f>
        <v>7083.934476209708</v>
      </c>
      <c r="F71" s="768">
        <f ca="1">INDIRECT("'kc-Wert für Stützen'!"&amp;SUBSTITUTE(ADDRESS(MATCH($A71,'kc-Wert für Stützen'!$C:$C,0),MATCH(F$7,'kc-Wert für Stützen'!$A$8:$ES$8,0)+7,4),,))</f>
        <v>6691.9606328920245</v>
      </c>
      <c r="G71" s="768">
        <f ca="1">INDIRECT("'kc-Wert für Stützen'!"&amp;SUBSTITUTE(ADDRESS(MATCH($A71,'kc-Wert für Stützen'!$C:$C,0),MATCH(G$7,'kc-Wert für Stützen'!$A$8:$ES$8,0)+7,4),,))</f>
        <v>6328.3556816412065</v>
      </c>
      <c r="H71" s="768">
        <f ca="1">INDIRECT("'kc-Wert für Stützen'!"&amp;SUBSTITUTE(ADDRESS(MATCH($A71,'kc-Wert für Stützen'!$C:$C,0),MATCH(H$7,'kc-Wert für Stützen'!$A$8:$ES$8,0)+7,4),,))</f>
        <v>5991.1563624656055</v>
      </c>
      <c r="I71" s="768">
        <f ca="1">INDIRECT("'kc-Wert für Stützen'!"&amp;SUBSTITUTE(ADDRESS(MATCH($A71,'kc-Wert für Stützen'!$C:$C,0),MATCH(I$7,'kc-Wert für Stützen'!$A$8:$ES$8,0)+7,4),,))</f>
        <v>5678.3688549485478</v>
      </c>
      <c r="J71" s="768">
        <f ca="1">INDIRECT("'kc-Wert für Stützen'!"&amp;SUBSTITUTE(ADDRESS(MATCH($A71,'kc-Wert für Stützen'!$C:$C,0),MATCH(J$7,'kc-Wert für Stützen'!$A$8:$ES$8,0)+7,4),,))</f>
        <v>5388.053137926001</v>
      </c>
      <c r="K71" s="768">
        <f ca="1">INDIRECT("'kc-Wert für Stützen'!"&amp;SUBSTITUTE(ADDRESS(MATCH($A71,'kc-Wert für Stützen'!$C:$C,0),MATCH(K$7,'kc-Wert für Stützen'!$A$8:$ES$8,0)+7,4),,))</f>
        <v>5118.3695736883537</v>
      </c>
      <c r="L71" s="768">
        <f ca="1">INDIRECT("'kc-Wert für Stützen'!"&amp;SUBSTITUTE(ADDRESS(MATCH($A71,'kc-Wert für Stützen'!$C:$C,0),MATCH(L$7,'kc-Wert für Stützen'!$A$8:$ES$8,0)+7,4),,))</f>
        <v>4867.6019294816706</v>
      </c>
      <c r="M71" s="768">
        <f ca="1">INDIRECT("'kc-Wert für Stützen'!"&amp;SUBSTITUTE(ADDRESS(MATCH($A71,'kc-Wert für Stützen'!$C:$C,0),MATCH(M$7,'kc-Wert für Stützen'!$A$8:$ES$8,0)+7,4),,))</f>
        <v>4634.1659681958336</v>
      </c>
      <c r="N71" s="768">
        <f ca="1">INDIRECT("'kc-Wert für Stützen'!"&amp;SUBSTITUTE(ADDRESS(MATCH($A71,'kc-Wert für Stützen'!$C:$C,0),MATCH(N$7,'kc-Wert für Stützen'!$A$8:$ES$8,0)+7,4),,))</f>
        <v>4416.6094168883874</v>
      </c>
      <c r="O71" s="768">
        <f ca="1">INDIRECT("'kc-Wert für Stützen'!"&amp;SUBSTITUTE(ADDRESS(MATCH($A71,'kc-Wert für Stützen'!$C:$C,0),MATCH(O$7,'kc-Wert für Stützen'!$A$8:$ES$8,0)+7,4),,))</f>
        <v>4213.606980265763</v>
      </c>
      <c r="P71" s="768">
        <f ca="1">INDIRECT("'kc-Wert für Stützen'!"&amp;SUBSTITUTE(ADDRESS(MATCH($A71,'kc-Wert für Stützen'!$C:$C,0),MATCH(P$7,'kc-Wert für Stützen'!$A$8:$ES$8,0)+7,4),,))</f>
        <v>4023.9526961061142</v>
      </c>
      <c r="S71" s="772">
        <f t="shared" ca="1" si="18"/>
        <v>7506.0660239605768</v>
      </c>
      <c r="T71" s="772">
        <f t="shared" ca="1" si="18"/>
        <v>7506.0660239605768</v>
      </c>
      <c r="U71" s="772">
        <f t="shared" ca="1" si="18"/>
        <v>7506.0660239605768</v>
      </c>
      <c r="V71" s="772">
        <f t="shared" ca="1" si="18"/>
        <v>7083.934476209708</v>
      </c>
      <c r="W71" s="772">
        <f t="shared" ca="1" si="18"/>
        <v>6691.9606328920245</v>
      </c>
      <c r="X71" s="772">
        <f t="shared" ca="1" si="18"/>
        <v>6328.3556816412065</v>
      </c>
      <c r="Y71" s="772">
        <f t="shared" ca="1" si="18"/>
        <v>5991.1563624656055</v>
      </c>
      <c r="Z71" s="772">
        <f t="shared" ca="1" si="18"/>
        <v>7506.0660239605768</v>
      </c>
      <c r="AA71" s="772">
        <f t="shared" ca="1" si="18"/>
        <v>7506.0660239605768</v>
      </c>
      <c r="AB71" s="772">
        <f t="shared" ca="1" si="23"/>
        <v>7083.934476209708</v>
      </c>
      <c r="AC71" s="772">
        <f t="shared" ca="1" si="23"/>
        <v>7083.934476209708</v>
      </c>
      <c r="AD71" s="772">
        <f t="shared" ca="1" si="23"/>
        <v>6691.9606328920245</v>
      </c>
      <c r="AE71" s="772">
        <f t="shared" ca="1" si="23"/>
        <v>6691.9606328920245</v>
      </c>
      <c r="AF71" s="772">
        <f t="shared" ca="1" si="23"/>
        <v>6328.3556816412065</v>
      </c>
      <c r="AG71" s="772">
        <f t="shared" ca="1" si="23"/>
        <v>6328.3556816412065</v>
      </c>
      <c r="AH71" s="772">
        <f t="shared" ca="1" si="23"/>
        <v>6328.3556816412065</v>
      </c>
      <c r="AI71" s="772">
        <f t="shared" ca="1" si="23"/>
        <v>7506.0660239605768</v>
      </c>
      <c r="AJ71" s="772">
        <f t="shared" ca="1" si="23"/>
        <v>7506.0660239605768</v>
      </c>
      <c r="AK71" s="772">
        <f t="shared" ca="1" si="23"/>
        <v>7083.934476209708</v>
      </c>
      <c r="AL71" s="772">
        <f t="shared" ca="1" si="23"/>
        <v>7083.934476209708</v>
      </c>
      <c r="AM71" s="772">
        <f t="shared" ca="1" si="23"/>
        <v>6691.9606328920245</v>
      </c>
      <c r="AN71" s="772">
        <f t="shared" ca="1" si="23"/>
        <v>6691.9606328920245</v>
      </c>
      <c r="AO71" s="772">
        <f t="shared" ca="1" si="23"/>
        <v>6328.3556816412065</v>
      </c>
      <c r="AP71" s="772">
        <f t="shared" ca="1" si="23"/>
        <v>6328.3556816412065</v>
      </c>
      <c r="AQ71" s="772">
        <f t="shared" ref="AQ71:BF90" ca="1" si="28">HLOOKUP(AQ$7,$A$7:$P$348,ROW()-6)</f>
        <v>6328.3556816412065</v>
      </c>
      <c r="AR71" s="772">
        <f t="shared" ca="1" si="28"/>
        <v>7506.0660239605768</v>
      </c>
      <c r="AS71" s="772">
        <f t="shared" ca="1" si="28"/>
        <v>7506.0660239605768</v>
      </c>
      <c r="AT71" s="772">
        <f t="shared" ca="1" si="28"/>
        <v>7083.934476209708</v>
      </c>
      <c r="AU71" s="772">
        <f t="shared" ca="1" si="28"/>
        <v>7083.934476209708</v>
      </c>
      <c r="AV71" s="772">
        <f t="shared" ca="1" si="28"/>
        <v>6691.9606328920245</v>
      </c>
      <c r="AW71" s="772">
        <f t="shared" ca="1" si="28"/>
        <v>6691.9606328920245</v>
      </c>
      <c r="AX71" s="772">
        <f t="shared" ca="1" si="28"/>
        <v>6328.3556816412065</v>
      </c>
      <c r="AY71" s="772">
        <f t="shared" ca="1" si="28"/>
        <v>6328.3556816412065</v>
      </c>
      <c r="AZ71" s="772">
        <f t="shared" ca="1" si="28"/>
        <v>6328.3556816412065</v>
      </c>
      <c r="BA71" s="772">
        <f t="shared" ca="1" si="28"/>
        <v>7506.0660239605768</v>
      </c>
      <c r="BB71" s="772">
        <f t="shared" ca="1" si="28"/>
        <v>7506.0660239605768</v>
      </c>
      <c r="BC71" s="772">
        <f t="shared" ca="1" si="28"/>
        <v>7083.934476209708</v>
      </c>
      <c r="BD71" s="772">
        <f t="shared" ca="1" si="28"/>
        <v>6691.9606328920245</v>
      </c>
      <c r="BE71" s="772">
        <f t="shared" ca="1" si="28"/>
        <v>6691.9606328920245</v>
      </c>
      <c r="BF71" s="772">
        <f t="shared" ca="1" si="28"/>
        <v>6328.3556816412065</v>
      </c>
      <c r="BG71" s="772">
        <f t="shared" ca="1" si="25"/>
        <v>6328.3556816412065</v>
      </c>
      <c r="BH71" s="772">
        <f t="shared" ca="1" si="25"/>
        <v>5991.1563624656055</v>
      </c>
      <c r="BI71" s="772">
        <f t="shared" ca="1" si="25"/>
        <v>5991.1563624656055</v>
      </c>
      <c r="BJ71" s="772">
        <f t="shared" ca="1" si="25"/>
        <v>7083.934476209708</v>
      </c>
      <c r="BK71" s="772">
        <f t="shared" ca="1" si="25"/>
        <v>7083.934476209708</v>
      </c>
      <c r="BL71" s="772">
        <f t="shared" ca="1" si="25"/>
        <v>7083.934476209708</v>
      </c>
      <c r="BM71" s="772">
        <f t="shared" ca="1" si="25"/>
        <v>7083.934476209708</v>
      </c>
      <c r="BN71" s="772">
        <f t="shared" ca="1" si="25"/>
        <v>6328.3556816412065</v>
      </c>
      <c r="BO71" s="772">
        <f t="shared" ca="1" si="25"/>
        <v>6328.3556816412065</v>
      </c>
      <c r="BP71" s="772">
        <f t="shared" ca="1" si="25"/>
        <v>5991.1563624656055</v>
      </c>
      <c r="BQ71" s="772">
        <f t="shared" ca="1" si="25"/>
        <v>5991.1563624656055</v>
      </c>
      <c r="BR71" s="772">
        <f t="shared" ca="1" si="25"/>
        <v>5678.3688549485478</v>
      </c>
      <c r="BS71" s="772">
        <f t="shared" ca="1" si="25"/>
        <v>7083.934476209708</v>
      </c>
      <c r="BT71" s="772">
        <f t="shared" ca="1" si="25"/>
        <v>7083.934476209708</v>
      </c>
      <c r="BU71" s="772">
        <f t="shared" ca="1" si="25"/>
        <v>7083.934476209708</v>
      </c>
      <c r="BV71" s="772">
        <f t="shared" ca="1" si="25"/>
        <v>6691.9606328920245</v>
      </c>
      <c r="BW71" s="772">
        <f t="shared" ca="1" si="27"/>
        <v>6691.9606328920245</v>
      </c>
      <c r="BX71" s="772">
        <f t="shared" ca="1" si="27"/>
        <v>5991.1563624656055</v>
      </c>
      <c r="BY71" s="772">
        <f t="shared" ca="1" si="27"/>
        <v>5991.1563624656055</v>
      </c>
      <c r="BZ71" s="772">
        <f t="shared" ca="1" si="27"/>
        <v>5678.3688549485478</v>
      </c>
      <c r="CA71" s="772">
        <f t="shared" ca="1" si="27"/>
        <v>5678.3688549485478</v>
      </c>
      <c r="CB71" s="772">
        <f t="shared" ca="1" si="27"/>
        <v>6691.9606328920245</v>
      </c>
      <c r="CC71" s="772">
        <f t="shared" ca="1" si="27"/>
        <v>6691.9606328920245</v>
      </c>
      <c r="CD71" s="772">
        <f t="shared" ca="1" si="27"/>
        <v>6691.9606328920245</v>
      </c>
      <c r="CE71" s="772">
        <f t="shared" ca="1" si="27"/>
        <v>6691.9606328920245</v>
      </c>
      <c r="CF71" s="772">
        <f t="shared" ca="1" si="27"/>
        <v>6328.3556816412065</v>
      </c>
      <c r="CG71" s="772">
        <f t="shared" ca="1" si="27"/>
        <v>5991.1563624656055</v>
      </c>
      <c r="CH71" s="772">
        <f t="shared" ca="1" si="27"/>
        <v>5678.3688549485478</v>
      </c>
      <c r="CI71" s="772">
        <f t="shared" ca="1" si="27"/>
        <v>5678.3688549485478</v>
      </c>
      <c r="CJ71" s="772">
        <f t="shared" ca="1" si="27"/>
        <v>5388.053137926001</v>
      </c>
    </row>
    <row r="72" spans="1:88" ht="15" customHeight="1">
      <c r="A72" s="770">
        <f>'kc-Wert für Stützen'!C72</f>
        <v>124</v>
      </c>
      <c r="B72" s="768">
        <f ca="1">INDIRECT("'kc-Wert für Stützen'!"&amp;SUBSTITUTE(ADDRESS(MATCH($A72,'kc-Wert für Stützen'!$C:$C,0),MATCH(B$7,'kc-Wert für Stützen'!$A$8:$ES$8,0)+7,4),,))</f>
        <v>8699.3838618783884</v>
      </c>
      <c r="C72" s="768">
        <f ca="1">INDIRECT("'kc-Wert für Stützen'!"&amp;SUBSTITUTE(ADDRESS(MATCH($A72,'kc-Wert für Stützen'!$C:$C,0),MATCH(C$7,'kc-Wert für Stützen'!$A$8:$ES$8,0)+7,4),,))</f>
        <v>8202.2312472924059</v>
      </c>
      <c r="D72" s="768">
        <f ca="1">INDIRECT("'kc-Wert für Stützen'!"&amp;SUBSTITUTE(ADDRESS(MATCH($A72,'kc-Wert für Stützen'!$C:$C,0),MATCH(D$7,'kc-Wert für Stützen'!$A$8:$ES$8,0)+7,4),,))</f>
        <v>7737.1833907744231</v>
      </c>
      <c r="E72" s="768">
        <f ca="1">INDIRECT("'kc-Wert für Stützen'!"&amp;SUBSTITUTE(ADDRESS(MATCH($A72,'kc-Wert für Stützen'!$C:$C,0),MATCH(E$7,'kc-Wert für Stützen'!$A$8:$ES$8,0)+7,4),,))</f>
        <v>7303.9068463966951</v>
      </c>
      <c r="F72" s="768">
        <f ca="1">INDIRECT("'kc-Wert für Stützen'!"&amp;SUBSTITUTE(ADDRESS(MATCH($A72,'kc-Wert für Stützen'!$C:$C,0),MATCH(F$7,'kc-Wert für Stützen'!$A$8:$ES$8,0)+7,4),,))</f>
        <v>6901.1835721647412</v>
      </c>
      <c r="G72" s="768">
        <f ca="1">INDIRECT("'kc-Wert für Stützen'!"&amp;SUBSTITUTE(ADDRESS(MATCH($A72,'kc-Wert für Stützen'!$C:$C,0),MATCH(G$7,'kc-Wert für Stützen'!$A$8:$ES$8,0)+7,4),,))</f>
        <v>6527.3153563857295</v>
      </c>
      <c r="H72" s="768">
        <f ca="1">INDIRECT("'kc-Wert für Stützen'!"&amp;SUBSTITUTE(ADDRESS(MATCH($A72,'kc-Wert für Stützen'!$C:$C,0),MATCH(H$7,'kc-Wert für Stützen'!$A$8:$ES$8,0)+7,4),,))</f>
        <v>6180.382961010183</v>
      </c>
      <c r="I72" s="768">
        <f ca="1">INDIRECT("'kc-Wert für Stützen'!"&amp;SUBSTITUTE(ADDRESS(MATCH($A72,'kc-Wert für Stützen'!$C:$C,0),MATCH(I$7,'kc-Wert für Stützen'!$A$8:$ES$8,0)+7,4),,))</f>
        <v>5858.4063934449077</v>
      </c>
      <c r="J72" s="768">
        <f ca="1">INDIRECT("'kc-Wert für Stützen'!"&amp;SUBSTITUTE(ADDRESS(MATCH($A72,'kc-Wert für Stützen'!$C:$C,0),MATCH(J$7,'kc-Wert für Stützen'!$A$8:$ES$8,0)+7,4),,))</f>
        <v>5559.4403920738305</v>
      </c>
      <c r="K72" s="768">
        <f ca="1">INDIRECT("'kc-Wert für Stützen'!"&amp;SUBSTITUTE(ADDRESS(MATCH($A72,'kc-Wert für Stützen'!$C:$C,0),MATCH(K$7,'kc-Wert für Stützen'!$A$8:$ES$8,0)+7,4),,))</f>
        <v>5281.6284413378189</v>
      </c>
      <c r="L72" s="768">
        <f ca="1">INDIRECT("'kc-Wert für Stützen'!"&amp;SUBSTITUTE(ADDRESS(MATCH($A72,'kc-Wert für Stützen'!$C:$C,0),MATCH(L$7,'kc-Wert für Stützen'!$A$8:$ES$8,0)+7,4),,))</f>
        <v>5023.2307013792233</v>
      </c>
      <c r="M72" s="768">
        <f ca="1">INDIRECT("'kc-Wert für Stützen'!"&amp;SUBSTITUTE(ADDRESS(MATCH($A72,'kc-Wert für Stützen'!$C:$C,0),MATCH(M$7,'kc-Wert für Stützen'!$A$8:$ES$8,0)+7,4),,))</f>
        <v>4782.6358093245535</v>
      </c>
      <c r="N72" s="768">
        <f ca="1">INDIRECT("'kc-Wert für Stützen'!"&amp;SUBSTITUTE(ADDRESS(MATCH($A72,'kc-Wert für Stützen'!$C:$C,0),MATCH(N$7,'kc-Wert für Stützen'!$A$8:$ES$8,0)+7,4),,))</f>
        <v>4558.3629243688738</v>
      </c>
      <c r="O72" s="768">
        <f ca="1">INDIRECT("'kc-Wert für Stützen'!"&amp;SUBSTITUTE(ADDRESS(MATCH($A72,'kc-Wert für Stützen'!$C:$C,0),MATCH(O$7,'kc-Wert für Stützen'!$A$8:$ES$8,0)+7,4),,))</f>
        <v>4349.0580630317363</v>
      </c>
      <c r="P72" s="768">
        <f ca="1">INDIRECT("'kc-Wert für Stützen'!"&amp;SUBSTITUTE(ADDRESS(MATCH($A72,'kc-Wert für Stützen'!$C:$C,0),MATCH(P$7,'kc-Wert für Stützen'!$A$8:$ES$8,0)+7,4),,))</f>
        <v>4153.487275209055</v>
      </c>
      <c r="S72" s="772">
        <f t="shared" ca="1" si="18"/>
        <v>7737.1833907744231</v>
      </c>
      <c r="T72" s="772">
        <f t="shared" ca="1" si="18"/>
        <v>7737.1833907744231</v>
      </c>
      <c r="U72" s="772">
        <f t="shared" ca="1" si="18"/>
        <v>7737.1833907744231</v>
      </c>
      <c r="V72" s="772">
        <f t="shared" ca="1" si="18"/>
        <v>7303.9068463966951</v>
      </c>
      <c r="W72" s="772">
        <f t="shared" ca="1" si="18"/>
        <v>6901.1835721647412</v>
      </c>
      <c r="X72" s="772">
        <f t="shared" ca="1" si="18"/>
        <v>6527.3153563857295</v>
      </c>
      <c r="Y72" s="772">
        <f t="shared" ca="1" si="18"/>
        <v>6180.382961010183</v>
      </c>
      <c r="Z72" s="772">
        <f t="shared" ca="1" si="18"/>
        <v>7737.1833907744231</v>
      </c>
      <c r="AA72" s="772">
        <f t="shared" ca="1" si="18"/>
        <v>7737.1833907744231</v>
      </c>
      <c r="AB72" s="772">
        <f t="shared" ref="AB72:AQ87" ca="1" si="29">HLOOKUP(AB$7,$A$7:$P$348,ROW()-6)</f>
        <v>7303.9068463966951</v>
      </c>
      <c r="AC72" s="772">
        <f t="shared" ca="1" si="29"/>
        <v>7303.9068463966951</v>
      </c>
      <c r="AD72" s="772">
        <f t="shared" ca="1" si="29"/>
        <v>6901.1835721647412</v>
      </c>
      <c r="AE72" s="772">
        <f t="shared" ca="1" si="29"/>
        <v>6901.1835721647412</v>
      </c>
      <c r="AF72" s="772">
        <f t="shared" ca="1" si="29"/>
        <v>6527.3153563857295</v>
      </c>
      <c r="AG72" s="772">
        <f t="shared" ca="1" si="29"/>
        <v>6527.3153563857295</v>
      </c>
      <c r="AH72" s="772">
        <f t="shared" ca="1" si="29"/>
        <v>6527.3153563857295</v>
      </c>
      <c r="AI72" s="772">
        <f t="shared" ca="1" si="29"/>
        <v>7737.1833907744231</v>
      </c>
      <c r="AJ72" s="772">
        <f t="shared" ca="1" si="29"/>
        <v>7737.1833907744231</v>
      </c>
      <c r="AK72" s="772">
        <f t="shared" ca="1" si="29"/>
        <v>7303.9068463966951</v>
      </c>
      <c r="AL72" s="772">
        <f t="shared" ca="1" si="29"/>
        <v>7303.9068463966951</v>
      </c>
      <c r="AM72" s="772">
        <f t="shared" ca="1" si="29"/>
        <v>6901.1835721647412</v>
      </c>
      <c r="AN72" s="772">
        <f t="shared" ca="1" si="29"/>
        <v>6901.1835721647412</v>
      </c>
      <c r="AO72" s="772">
        <f t="shared" ca="1" si="29"/>
        <v>6527.3153563857295</v>
      </c>
      <c r="AP72" s="772">
        <f t="shared" ca="1" si="29"/>
        <v>6527.3153563857295</v>
      </c>
      <c r="AQ72" s="772">
        <f t="shared" ca="1" si="29"/>
        <v>6527.3153563857295</v>
      </c>
      <c r="AR72" s="772">
        <f t="shared" ca="1" si="28"/>
        <v>7737.1833907744231</v>
      </c>
      <c r="AS72" s="772">
        <f t="shared" ca="1" si="28"/>
        <v>7737.1833907744231</v>
      </c>
      <c r="AT72" s="772">
        <f t="shared" ca="1" si="28"/>
        <v>7303.9068463966951</v>
      </c>
      <c r="AU72" s="772">
        <f t="shared" ca="1" si="28"/>
        <v>7303.9068463966951</v>
      </c>
      <c r="AV72" s="772">
        <f t="shared" ca="1" si="28"/>
        <v>6901.1835721647412</v>
      </c>
      <c r="AW72" s="772">
        <f t="shared" ca="1" si="28"/>
        <v>6901.1835721647412</v>
      </c>
      <c r="AX72" s="772">
        <f t="shared" ca="1" si="28"/>
        <v>6527.3153563857295</v>
      </c>
      <c r="AY72" s="772">
        <f t="shared" ca="1" si="28"/>
        <v>6527.3153563857295</v>
      </c>
      <c r="AZ72" s="772">
        <f t="shared" ca="1" si="28"/>
        <v>6527.3153563857295</v>
      </c>
      <c r="BA72" s="772">
        <f t="shared" ca="1" si="28"/>
        <v>7737.1833907744231</v>
      </c>
      <c r="BB72" s="772">
        <f t="shared" ca="1" si="28"/>
        <v>7737.1833907744231</v>
      </c>
      <c r="BC72" s="772">
        <f t="shared" ca="1" si="28"/>
        <v>7303.9068463966951</v>
      </c>
      <c r="BD72" s="772">
        <f t="shared" ca="1" si="28"/>
        <v>6901.1835721647412</v>
      </c>
      <c r="BE72" s="772">
        <f t="shared" ca="1" si="28"/>
        <v>6901.1835721647412</v>
      </c>
      <c r="BF72" s="772">
        <f t="shared" ca="1" si="28"/>
        <v>6527.3153563857295</v>
      </c>
      <c r="BG72" s="772">
        <f t="shared" ca="1" si="25"/>
        <v>6527.3153563857295</v>
      </c>
      <c r="BH72" s="772">
        <f t="shared" ca="1" si="25"/>
        <v>6180.382961010183</v>
      </c>
      <c r="BI72" s="772">
        <f t="shared" ca="1" si="25"/>
        <v>6180.382961010183</v>
      </c>
      <c r="BJ72" s="772">
        <f t="shared" ca="1" si="25"/>
        <v>7303.9068463966951</v>
      </c>
      <c r="BK72" s="772">
        <f t="shared" ca="1" si="25"/>
        <v>7303.9068463966951</v>
      </c>
      <c r="BL72" s="772">
        <f t="shared" ca="1" si="25"/>
        <v>7303.9068463966951</v>
      </c>
      <c r="BM72" s="772">
        <f t="shared" ca="1" si="25"/>
        <v>7303.9068463966951</v>
      </c>
      <c r="BN72" s="772">
        <f t="shared" ca="1" si="25"/>
        <v>6527.3153563857295</v>
      </c>
      <c r="BO72" s="772">
        <f t="shared" ca="1" si="25"/>
        <v>6527.3153563857295</v>
      </c>
      <c r="BP72" s="772">
        <f t="shared" ca="1" si="25"/>
        <v>6180.382961010183</v>
      </c>
      <c r="BQ72" s="772">
        <f t="shared" ca="1" si="25"/>
        <v>6180.382961010183</v>
      </c>
      <c r="BR72" s="772">
        <f t="shared" ca="1" si="25"/>
        <v>5858.4063934449077</v>
      </c>
      <c r="BS72" s="772">
        <f t="shared" ca="1" si="25"/>
        <v>7303.9068463966951</v>
      </c>
      <c r="BT72" s="772">
        <f t="shared" ca="1" si="25"/>
        <v>7303.9068463966951</v>
      </c>
      <c r="BU72" s="772">
        <f t="shared" ca="1" si="25"/>
        <v>7303.9068463966951</v>
      </c>
      <c r="BV72" s="772">
        <f t="shared" ca="1" si="25"/>
        <v>6901.1835721647412</v>
      </c>
      <c r="BW72" s="772">
        <f t="shared" ca="1" si="27"/>
        <v>6901.1835721647412</v>
      </c>
      <c r="BX72" s="772">
        <f t="shared" ca="1" si="27"/>
        <v>6180.382961010183</v>
      </c>
      <c r="BY72" s="772">
        <f t="shared" ca="1" si="27"/>
        <v>6180.382961010183</v>
      </c>
      <c r="BZ72" s="772">
        <f t="shared" ca="1" si="27"/>
        <v>5858.4063934449077</v>
      </c>
      <c r="CA72" s="772">
        <f t="shared" ca="1" si="27"/>
        <v>5858.4063934449077</v>
      </c>
      <c r="CB72" s="772">
        <f t="shared" ca="1" si="27"/>
        <v>6901.1835721647412</v>
      </c>
      <c r="CC72" s="772">
        <f t="shared" ca="1" si="27"/>
        <v>6901.1835721647412</v>
      </c>
      <c r="CD72" s="772">
        <f t="shared" ca="1" si="27"/>
        <v>6901.1835721647412</v>
      </c>
      <c r="CE72" s="772">
        <f t="shared" ca="1" si="27"/>
        <v>6901.1835721647412</v>
      </c>
      <c r="CF72" s="772">
        <f t="shared" ca="1" si="27"/>
        <v>6527.3153563857295</v>
      </c>
      <c r="CG72" s="772">
        <f t="shared" ca="1" si="27"/>
        <v>6180.382961010183</v>
      </c>
      <c r="CH72" s="772">
        <f t="shared" ca="1" si="27"/>
        <v>5858.4063934449077</v>
      </c>
      <c r="CI72" s="772">
        <f t="shared" ca="1" si="27"/>
        <v>5858.4063934449077</v>
      </c>
      <c r="CJ72" s="772">
        <f t="shared" ca="1" si="27"/>
        <v>5559.4403920738305</v>
      </c>
    </row>
    <row r="73" spans="1:88" ht="15" customHeight="1">
      <c r="A73" s="770">
        <f>'kc-Wert für Stützen'!C73</f>
        <v>125</v>
      </c>
      <c r="B73" s="768">
        <f ca="1">INDIRECT("'kc-Wert für Stützen'!"&amp;SUBSTITUTE(ADDRESS(MATCH($A73,'kc-Wert für Stützen'!$C:$C,0),MATCH(B$7,'kc-Wert für Stützen'!$A$8:$ES$8,0)+7,4),,))</f>
        <v>8957.8208218247673</v>
      </c>
      <c r="C73" s="768">
        <f ca="1">INDIRECT("'kc-Wert für Stützen'!"&amp;SUBSTITUTE(ADDRESS(MATCH($A73,'kc-Wert für Stützen'!$C:$C,0),MATCH(C$7,'kc-Wert für Stützen'!$A$8:$ES$8,0)+7,4),,))</f>
        <v>8449.3726355558538</v>
      </c>
      <c r="D73" s="768">
        <f ca="1">INDIRECT("'kc-Wert für Stützen'!"&amp;SUBSTITUTE(ADDRESS(MATCH($A73,'kc-Wert für Stützen'!$C:$C,0),MATCH(D$7,'kc-Wert für Stützen'!$A$8:$ES$8,0)+7,4),,))</f>
        <v>7972.9228708253622</v>
      </c>
      <c r="E73" s="768">
        <f ca="1">INDIRECT("'kc-Wert für Stützen'!"&amp;SUBSTITUTE(ADDRESS(MATCH($A73,'kc-Wert für Stützen'!$C:$C,0),MATCH(E$7,'kc-Wert für Stützen'!$A$8:$ES$8,0)+7,4),,))</f>
        <v>7528.4254844084071</v>
      </c>
      <c r="F73" s="768">
        <f ca="1">INDIRECT("'kc-Wert für Stützen'!"&amp;SUBSTITUTE(ADDRESS(MATCH($A73,'kc-Wert für Stützen'!$C:$C,0),MATCH(F$7,'kc-Wert für Stützen'!$A$8:$ES$8,0)+7,4),,))</f>
        <v>7114.8417629697115</v>
      </c>
      <c r="G73" s="768">
        <f ca="1">INDIRECT("'kc-Wert für Stützen'!"&amp;SUBSTITUTE(ADDRESS(MATCH($A73,'kc-Wert für Stützen'!$C:$C,0),MATCH(G$7,'kc-Wert für Stützen'!$A$8:$ES$8,0)+7,4),,))</f>
        <v>6730.5775370100937</v>
      </c>
      <c r="H73" s="768">
        <f ca="1">INDIRECT("'kc-Wert für Stützen'!"&amp;SUBSTITUTE(ADDRESS(MATCH($A73,'kc-Wert für Stützen'!$C:$C,0),MATCH(H$7,'kc-Wert für Stützen'!$A$8:$ES$8,0)+7,4),,))</f>
        <v>6373.7670097681121</v>
      </c>
      <c r="I73" s="768">
        <f ca="1">INDIRECT("'kc-Wert für Stützen'!"&amp;SUBSTITUTE(ADDRESS(MATCH($A73,'kc-Wert für Stützen'!$C:$C,0),MATCH(I$7,'kc-Wert für Stützen'!$A$8:$ES$8,0)+7,4),,))</f>
        <v>6042.4505043186691</v>
      </c>
      <c r="J73" s="768">
        <f ca="1">INDIRECT("'kc-Wert für Stützen'!"&amp;SUBSTITUTE(ADDRESS(MATCH($A73,'kc-Wert für Stützen'!$C:$C,0),MATCH(J$7,'kc-Wert für Stützen'!$A$8:$ES$8,0)+7,4),,))</f>
        <v>5734.6819224948722</v>
      </c>
      <c r="K73" s="768">
        <f ca="1">INDIRECT("'kc-Wert für Stützen'!"&amp;SUBSTITUTE(ADDRESS(MATCH($A73,'kc-Wert für Stützen'!$C:$C,0),MATCH(K$7,'kc-Wert für Stützen'!$A$8:$ES$8,0)+7,4),,))</f>
        <v>5448.5908124369817</v>
      </c>
      <c r="L73" s="768">
        <f ca="1">INDIRECT("'kc-Wert für Stützen'!"&amp;SUBSTITUTE(ADDRESS(MATCH($A73,'kc-Wert für Stützen'!$C:$C,0),MATCH(L$7,'kc-Wert für Stützen'!$A$8:$ES$8,0)+7,4),,))</f>
        <v>5182.4156495301586</v>
      </c>
      <c r="M73" s="768">
        <f ca="1">INDIRECT("'kc-Wert für Stützen'!"&amp;SUBSTITUTE(ADDRESS(MATCH($A73,'kc-Wert für Stützen'!$C:$C,0),MATCH(M$7,'kc-Wert für Stützen'!$A$8:$ES$8,0)+7,4),,))</f>
        <v>4934.5191599438431</v>
      </c>
      <c r="N73" s="768">
        <f ca="1">INDIRECT("'kc-Wert für Stützen'!"&amp;SUBSTITUTE(ADDRESS(MATCH($A73,'kc-Wert für Stützen'!$C:$C,0),MATCH(N$7,'kc-Wert für Stützen'!$A$8:$ES$8,0)+7,4),,))</f>
        <v>4703.3926602021938</v>
      </c>
      <c r="O73" s="768">
        <f ca="1">INDIRECT("'kc-Wert für Stützen'!"&amp;SUBSTITUTE(ADDRESS(MATCH($A73,'kc-Wert für Stützen'!$C:$C,0),MATCH(O$7,'kc-Wert für Stützen'!$A$8:$ES$8,0)+7,4),,))</f>
        <v>4487.6538663621568</v>
      </c>
      <c r="P73" s="768">
        <f ca="1">INDIRECT("'kc-Wert für Stützen'!"&amp;SUBSTITUTE(ADDRESS(MATCH($A73,'kc-Wert für Stützen'!$C:$C,0),MATCH(P$7,'kc-Wert für Stützen'!$A$8:$ES$8,0)+7,4),,))</f>
        <v>4286.0409969853317</v>
      </c>
      <c r="S73" s="772">
        <f t="shared" ca="1" si="18"/>
        <v>7972.9228708253622</v>
      </c>
      <c r="T73" s="772">
        <f t="shared" ca="1" si="18"/>
        <v>7972.9228708253622</v>
      </c>
      <c r="U73" s="772">
        <f t="shared" ca="1" si="18"/>
        <v>7972.9228708253622</v>
      </c>
      <c r="V73" s="772">
        <f t="shared" ca="1" si="18"/>
        <v>7528.4254844084071</v>
      </c>
      <c r="W73" s="772">
        <f t="shared" ca="1" si="18"/>
        <v>7114.8417629697115</v>
      </c>
      <c r="X73" s="772">
        <f t="shared" ref="T73:AA101" ca="1" si="30">HLOOKUP(X$7,$A$7:$P$348,ROW()-6)</f>
        <v>6730.5775370100937</v>
      </c>
      <c r="Y73" s="772">
        <f t="shared" ca="1" si="30"/>
        <v>6373.7670097681121</v>
      </c>
      <c r="Z73" s="772">
        <f t="shared" ca="1" si="30"/>
        <v>7972.9228708253622</v>
      </c>
      <c r="AA73" s="772">
        <f t="shared" ca="1" si="30"/>
        <v>7972.9228708253622</v>
      </c>
      <c r="AB73" s="772">
        <f t="shared" ca="1" si="29"/>
        <v>7528.4254844084071</v>
      </c>
      <c r="AC73" s="772">
        <f t="shared" ca="1" si="29"/>
        <v>7528.4254844084071</v>
      </c>
      <c r="AD73" s="772">
        <f t="shared" ca="1" si="29"/>
        <v>7114.8417629697115</v>
      </c>
      <c r="AE73" s="772">
        <f t="shared" ca="1" si="29"/>
        <v>7114.8417629697115</v>
      </c>
      <c r="AF73" s="772">
        <f t="shared" ca="1" si="29"/>
        <v>6730.5775370100937</v>
      </c>
      <c r="AG73" s="772">
        <f t="shared" ca="1" si="29"/>
        <v>6730.5775370100937</v>
      </c>
      <c r="AH73" s="772">
        <f t="shared" ca="1" si="29"/>
        <v>6730.5775370100937</v>
      </c>
      <c r="AI73" s="772">
        <f t="shared" ca="1" si="29"/>
        <v>7972.9228708253622</v>
      </c>
      <c r="AJ73" s="772">
        <f t="shared" ca="1" si="29"/>
        <v>7972.9228708253622</v>
      </c>
      <c r="AK73" s="772">
        <f t="shared" ca="1" si="29"/>
        <v>7528.4254844084071</v>
      </c>
      <c r="AL73" s="772">
        <f t="shared" ca="1" si="29"/>
        <v>7528.4254844084071</v>
      </c>
      <c r="AM73" s="772">
        <f t="shared" ca="1" si="29"/>
        <v>7114.8417629697115</v>
      </c>
      <c r="AN73" s="772">
        <f t="shared" ca="1" si="29"/>
        <v>7114.8417629697115</v>
      </c>
      <c r="AO73" s="772">
        <f t="shared" ca="1" si="29"/>
        <v>6730.5775370100937</v>
      </c>
      <c r="AP73" s="772">
        <f t="shared" ca="1" si="29"/>
        <v>6730.5775370100937</v>
      </c>
      <c r="AQ73" s="772">
        <f t="shared" ca="1" si="29"/>
        <v>6730.5775370100937</v>
      </c>
      <c r="AR73" s="772">
        <f t="shared" ca="1" si="28"/>
        <v>7972.9228708253622</v>
      </c>
      <c r="AS73" s="772">
        <f t="shared" ca="1" si="28"/>
        <v>7972.9228708253622</v>
      </c>
      <c r="AT73" s="772">
        <f t="shared" ca="1" si="28"/>
        <v>7528.4254844084071</v>
      </c>
      <c r="AU73" s="772">
        <f t="shared" ca="1" si="28"/>
        <v>7528.4254844084071</v>
      </c>
      <c r="AV73" s="772">
        <f t="shared" ca="1" si="28"/>
        <v>7114.8417629697115</v>
      </c>
      <c r="AW73" s="772">
        <f t="shared" ca="1" si="28"/>
        <v>7114.8417629697115</v>
      </c>
      <c r="AX73" s="772">
        <f t="shared" ca="1" si="28"/>
        <v>6730.5775370100937</v>
      </c>
      <c r="AY73" s="772">
        <f t="shared" ca="1" si="28"/>
        <v>6730.5775370100937</v>
      </c>
      <c r="AZ73" s="772">
        <f t="shared" ca="1" si="28"/>
        <v>6730.5775370100937</v>
      </c>
      <c r="BA73" s="772">
        <f t="shared" ca="1" si="28"/>
        <v>7972.9228708253622</v>
      </c>
      <c r="BB73" s="772">
        <f t="shared" ca="1" si="28"/>
        <v>7972.9228708253622</v>
      </c>
      <c r="BC73" s="772">
        <f t="shared" ca="1" si="28"/>
        <v>7528.4254844084071</v>
      </c>
      <c r="BD73" s="772">
        <f t="shared" ca="1" si="28"/>
        <v>7114.8417629697115</v>
      </c>
      <c r="BE73" s="772">
        <f t="shared" ca="1" si="28"/>
        <v>7114.8417629697115</v>
      </c>
      <c r="BF73" s="772">
        <f t="shared" ca="1" si="28"/>
        <v>6730.5775370100937</v>
      </c>
      <c r="BG73" s="772">
        <f t="shared" ca="1" si="25"/>
        <v>6730.5775370100937</v>
      </c>
      <c r="BH73" s="772">
        <f t="shared" ca="1" si="25"/>
        <v>6373.7670097681121</v>
      </c>
      <c r="BI73" s="772">
        <f t="shared" ca="1" si="25"/>
        <v>6373.7670097681121</v>
      </c>
      <c r="BJ73" s="772">
        <f t="shared" ca="1" si="25"/>
        <v>7528.4254844084071</v>
      </c>
      <c r="BK73" s="772">
        <f t="shared" ca="1" si="25"/>
        <v>7528.4254844084071</v>
      </c>
      <c r="BL73" s="772">
        <f t="shared" ca="1" si="25"/>
        <v>7528.4254844084071</v>
      </c>
      <c r="BM73" s="772">
        <f t="shared" ca="1" si="25"/>
        <v>7528.4254844084071</v>
      </c>
      <c r="BN73" s="772">
        <f t="shared" ca="1" si="25"/>
        <v>6730.5775370100937</v>
      </c>
      <c r="BO73" s="772">
        <f t="shared" ca="1" si="25"/>
        <v>6730.5775370100937</v>
      </c>
      <c r="BP73" s="772">
        <f t="shared" ca="1" si="25"/>
        <v>6373.7670097681121</v>
      </c>
      <c r="BQ73" s="772">
        <f t="shared" ca="1" si="25"/>
        <v>6373.7670097681121</v>
      </c>
      <c r="BR73" s="772">
        <f t="shared" ca="1" si="25"/>
        <v>6042.4505043186691</v>
      </c>
      <c r="BS73" s="772">
        <f t="shared" ca="1" si="25"/>
        <v>7528.4254844084071</v>
      </c>
      <c r="BT73" s="772">
        <f t="shared" ca="1" si="25"/>
        <v>7528.4254844084071</v>
      </c>
      <c r="BU73" s="772">
        <f t="shared" ca="1" si="25"/>
        <v>7528.4254844084071</v>
      </c>
      <c r="BV73" s="772">
        <f t="shared" ca="1" si="25"/>
        <v>7114.8417629697115</v>
      </c>
      <c r="BW73" s="772">
        <f t="shared" ca="1" si="27"/>
        <v>7114.8417629697115</v>
      </c>
      <c r="BX73" s="772">
        <f t="shared" ca="1" si="27"/>
        <v>6373.7670097681121</v>
      </c>
      <c r="BY73" s="772">
        <f t="shared" ca="1" si="27"/>
        <v>6373.7670097681121</v>
      </c>
      <c r="BZ73" s="772">
        <f t="shared" ca="1" si="27"/>
        <v>6042.4505043186691</v>
      </c>
      <c r="CA73" s="772">
        <f t="shared" ca="1" si="27"/>
        <v>6042.4505043186691</v>
      </c>
      <c r="CB73" s="772">
        <f t="shared" ca="1" si="27"/>
        <v>7114.8417629697115</v>
      </c>
      <c r="CC73" s="772">
        <f t="shared" ca="1" si="27"/>
        <v>7114.8417629697115</v>
      </c>
      <c r="CD73" s="772">
        <f t="shared" ca="1" si="27"/>
        <v>7114.8417629697115</v>
      </c>
      <c r="CE73" s="772">
        <f t="shared" ca="1" si="27"/>
        <v>7114.8417629697115</v>
      </c>
      <c r="CF73" s="772">
        <f t="shared" ca="1" si="27"/>
        <v>6730.5775370100937</v>
      </c>
      <c r="CG73" s="772">
        <f t="shared" ca="1" si="27"/>
        <v>6373.7670097681121</v>
      </c>
      <c r="CH73" s="772">
        <f t="shared" ca="1" si="27"/>
        <v>6042.4505043186691</v>
      </c>
      <c r="CI73" s="772">
        <f t="shared" ca="1" si="27"/>
        <v>6042.4505043186691</v>
      </c>
      <c r="CJ73" s="772">
        <f t="shared" ca="1" si="27"/>
        <v>5734.6819224948722</v>
      </c>
    </row>
    <row r="74" spans="1:88" ht="15" customHeight="1">
      <c r="A74" s="770">
        <f>'kc-Wert für Stützen'!C74</f>
        <v>126</v>
      </c>
      <c r="B74" s="768">
        <f ca="1">INDIRECT("'kc-Wert für Stützen'!"&amp;SUBSTITUTE(ADDRESS(MATCH($A74,'kc-Wert für Stützen'!$C:$C,0),MATCH(B$7,'kc-Wert für Stützen'!$A$8:$ES$8,0)+7,4),,))</f>
        <v>9220.8185133314691</v>
      </c>
      <c r="C74" s="768">
        <f ca="1">INDIRECT("'kc-Wert für Stützen'!"&amp;SUBSTITUTE(ADDRESS(MATCH($A74,'kc-Wert für Stützen'!$C:$C,0),MATCH(C$7,'kc-Wert für Stützen'!$A$8:$ES$8,0)+7,4),,))</f>
        <v>8701.1530008150949</v>
      </c>
      <c r="D74" s="768">
        <f ca="1">INDIRECT("'kc-Wert für Stützen'!"&amp;SUBSTITUTE(ADDRESS(MATCH($A74,'kc-Wert für Stützen'!$C:$C,0),MATCH(D$7,'kc-Wert für Stützen'!$A$8:$ES$8,0)+7,4),,))</f>
        <v>8213.2954879124154</v>
      </c>
      <c r="E74" s="768">
        <f ca="1">INDIRECT("'kc-Wert für Stützen'!"&amp;SUBSTITUTE(ADDRESS(MATCH($A74,'kc-Wert für Stützen'!$C:$C,0),MATCH(E$7,'kc-Wert für Stützen'!$A$8:$ES$8,0)+7,4),,))</f>
        <v>7757.5131097581598</v>
      </c>
      <c r="F74" s="768">
        <f ca="1">INDIRECT("'kc-Wert für Stützen'!"&amp;SUBSTITUTE(ADDRESS(MATCH($A74,'kc-Wert für Stützen'!$C:$C,0),MATCH(F$7,'kc-Wert für Stützen'!$A$8:$ES$8,0)+7,4),,))</f>
        <v>7332.9661540664256</v>
      </c>
      <c r="G74" s="768">
        <f ca="1">INDIRECT("'kc-Wert für Stützen'!"&amp;SUBSTITUTE(ADDRESS(MATCH($A74,'kc-Wert für Stützen'!$C:$C,0),MATCH(G$7,'kc-Wert für Stützen'!$A$8:$ES$8,0)+7,4),,))</f>
        <v>6938.1787919747467</v>
      </c>
      <c r="H74" s="768">
        <f ca="1">INDIRECT("'kc-Wert für Stützen'!"&amp;SUBSTITUTE(ADDRESS(MATCH($A74,'kc-Wert für Stützen'!$C:$C,0),MATCH(H$7,'kc-Wert für Stützen'!$A$8:$ES$8,0)+7,4),,))</f>
        <v>6571.348770381871</v>
      </c>
      <c r="I74" s="768">
        <f ca="1">INDIRECT("'kc-Wert für Stützen'!"&amp;SUBSTITUTE(ADDRESS(MATCH($A74,'kc-Wert für Stützen'!$C:$C,0),MATCH(I$7,'kc-Wert für Stützen'!$A$8:$ES$8,0)+7,4),,))</f>
        <v>6230.543735369426</v>
      </c>
      <c r="J74" s="768">
        <f ca="1">INDIRECT("'kc-Wert für Stützen'!"&amp;SUBSTITUTE(ADDRESS(MATCH($A74,'kc-Wert für Stützen'!$C:$C,0),MATCH(J$7,'kc-Wert für Stützen'!$A$8:$ES$8,0)+7,4),,))</f>
        <v>5913.8215421819395</v>
      </c>
      <c r="K74" s="768">
        <f ca="1">INDIRECT("'kc-Wert für Stützen'!"&amp;SUBSTITUTE(ADDRESS(MATCH($A74,'kc-Wert für Stützen'!$C:$C,0),MATCH(K$7,'kc-Wert für Stützen'!$A$8:$ES$8,0)+7,4),,))</f>
        <v>5619.3010279842874</v>
      </c>
      <c r="L74" s="768">
        <f ca="1">INDIRECT("'kc-Wert für Stützen'!"&amp;SUBSTITUTE(ADDRESS(MATCH($A74,'kc-Wert für Stützen'!$C:$C,0),MATCH(L$7,'kc-Wert für Stützen'!$A$8:$ES$8,0)+7,4),,))</f>
        <v>5345.2011134487529</v>
      </c>
      <c r="M74" s="768">
        <f ca="1">INDIRECT("'kc-Wert für Stützen'!"&amp;SUBSTITUTE(ADDRESS(MATCH($A74,'kc-Wert für Stützen'!$C:$C,0),MATCH(M$7,'kc-Wert für Stützen'!$A$8:$ES$8,0)+7,4),,))</f>
        <v>5089.859980507591</v>
      </c>
      <c r="N74" s="768">
        <f ca="1">INDIRECT("'kc-Wert für Stützen'!"&amp;SUBSTITUTE(ADDRESS(MATCH($A74,'kc-Wert für Stützen'!$C:$C,0),MATCH(N$7,'kc-Wert für Stützen'!$A$8:$ES$8,0)+7,4),,))</f>
        <v>4851.7419394482822</v>
      </c>
      <c r="O74" s="768">
        <f ca="1">INDIRECT("'kc-Wert für Stützen'!"&amp;SUBSTITUTE(ADDRESS(MATCH($A74,'kc-Wert für Stützen'!$C:$C,0),MATCH(O$7,'kc-Wert für Stützen'!$A$8:$ES$8,0)+7,4),,))</f>
        <v>4629.4368752051423</v>
      </c>
      <c r="P74" s="768">
        <f ca="1">INDIRECT("'kc-Wert für Stützen'!"&amp;SUBSTITUTE(ADDRESS(MATCH($A74,'kc-Wert für Stützen'!$C:$C,0),MATCH(P$7,'kc-Wert für Stützen'!$A$8:$ES$8,0)+7,4),,))</f>
        <v>4421.6553915459881</v>
      </c>
      <c r="S74" s="772">
        <f t="shared" ref="S74:S137" ca="1" si="31">HLOOKUP(S$7,$A$7:$P$348,ROW()-6)</f>
        <v>8213.2954879124154</v>
      </c>
      <c r="T74" s="772">
        <f t="shared" ca="1" si="30"/>
        <v>8213.2954879124154</v>
      </c>
      <c r="U74" s="772">
        <f t="shared" ca="1" si="30"/>
        <v>8213.2954879124154</v>
      </c>
      <c r="V74" s="772">
        <f t="shared" ca="1" si="30"/>
        <v>7757.5131097581598</v>
      </c>
      <c r="W74" s="772">
        <f t="shared" ca="1" si="30"/>
        <v>7332.9661540664256</v>
      </c>
      <c r="X74" s="772">
        <f t="shared" ca="1" si="30"/>
        <v>6938.1787919747467</v>
      </c>
      <c r="Y74" s="772">
        <f t="shared" ca="1" si="30"/>
        <v>6571.348770381871</v>
      </c>
      <c r="Z74" s="772">
        <f t="shared" ca="1" si="30"/>
        <v>8213.2954879124154</v>
      </c>
      <c r="AA74" s="772">
        <f t="shared" ca="1" si="30"/>
        <v>8213.2954879124154</v>
      </c>
      <c r="AB74" s="772">
        <f t="shared" ca="1" si="29"/>
        <v>7757.5131097581598</v>
      </c>
      <c r="AC74" s="772">
        <f t="shared" ca="1" si="29"/>
        <v>7757.5131097581598</v>
      </c>
      <c r="AD74" s="772">
        <f t="shared" ca="1" si="29"/>
        <v>7332.9661540664256</v>
      </c>
      <c r="AE74" s="772">
        <f t="shared" ca="1" si="29"/>
        <v>7332.9661540664256</v>
      </c>
      <c r="AF74" s="772">
        <f t="shared" ca="1" si="29"/>
        <v>6938.1787919747467</v>
      </c>
      <c r="AG74" s="772">
        <f t="shared" ca="1" si="29"/>
        <v>6938.1787919747467</v>
      </c>
      <c r="AH74" s="772">
        <f t="shared" ca="1" si="29"/>
        <v>6938.1787919747467</v>
      </c>
      <c r="AI74" s="772">
        <f t="shared" ca="1" si="29"/>
        <v>8213.2954879124154</v>
      </c>
      <c r="AJ74" s="772">
        <f t="shared" ca="1" si="29"/>
        <v>8213.2954879124154</v>
      </c>
      <c r="AK74" s="772">
        <f t="shared" ca="1" si="29"/>
        <v>7757.5131097581598</v>
      </c>
      <c r="AL74" s="772">
        <f t="shared" ca="1" si="29"/>
        <v>7757.5131097581598</v>
      </c>
      <c r="AM74" s="772">
        <f t="shared" ca="1" si="29"/>
        <v>7332.9661540664256</v>
      </c>
      <c r="AN74" s="772">
        <f t="shared" ca="1" si="29"/>
        <v>7332.9661540664256</v>
      </c>
      <c r="AO74" s="772">
        <f t="shared" ca="1" si="29"/>
        <v>6938.1787919747467</v>
      </c>
      <c r="AP74" s="772">
        <f t="shared" ca="1" si="29"/>
        <v>6938.1787919747467</v>
      </c>
      <c r="AQ74" s="772">
        <f t="shared" ca="1" si="29"/>
        <v>6938.1787919747467</v>
      </c>
      <c r="AR74" s="772">
        <f t="shared" ca="1" si="28"/>
        <v>8213.2954879124154</v>
      </c>
      <c r="AS74" s="772">
        <f t="shared" ca="1" si="28"/>
        <v>8213.2954879124154</v>
      </c>
      <c r="AT74" s="772">
        <f t="shared" ca="1" si="28"/>
        <v>7757.5131097581598</v>
      </c>
      <c r="AU74" s="772">
        <f t="shared" ca="1" si="28"/>
        <v>7757.5131097581598</v>
      </c>
      <c r="AV74" s="772">
        <f t="shared" ca="1" si="28"/>
        <v>7332.9661540664256</v>
      </c>
      <c r="AW74" s="772">
        <f t="shared" ca="1" si="28"/>
        <v>7332.9661540664256</v>
      </c>
      <c r="AX74" s="772">
        <f t="shared" ca="1" si="28"/>
        <v>6938.1787919747467</v>
      </c>
      <c r="AY74" s="772">
        <f t="shared" ca="1" si="28"/>
        <v>6938.1787919747467</v>
      </c>
      <c r="AZ74" s="772">
        <f t="shared" ca="1" si="28"/>
        <v>6938.1787919747467</v>
      </c>
      <c r="BA74" s="772">
        <f t="shared" ca="1" si="28"/>
        <v>8213.2954879124154</v>
      </c>
      <c r="BB74" s="772">
        <f t="shared" ca="1" si="28"/>
        <v>8213.2954879124154</v>
      </c>
      <c r="BC74" s="772">
        <f t="shared" ca="1" si="28"/>
        <v>7757.5131097581598</v>
      </c>
      <c r="BD74" s="772">
        <f t="shared" ca="1" si="28"/>
        <v>7332.9661540664256</v>
      </c>
      <c r="BE74" s="772">
        <f t="shared" ca="1" si="28"/>
        <v>7332.9661540664256</v>
      </c>
      <c r="BF74" s="772">
        <f t="shared" ca="1" si="28"/>
        <v>6938.1787919747467</v>
      </c>
      <c r="BG74" s="772">
        <f t="shared" ca="1" si="25"/>
        <v>6938.1787919747467</v>
      </c>
      <c r="BH74" s="772">
        <f t="shared" ca="1" si="25"/>
        <v>6571.348770381871</v>
      </c>
      <c r="BI74" s="772">
        <f t="shared" ca="1" si="25"/>
        <v>6571.348770381871</v>
      </c>
      <c r="BJ74" s="772">
        <f t="shared" ca="1" si="25"/>
        <v>7757.5131097581598</v>
      </c>
      <c r="BK74" s="772">
        <f t="shared" ca="1" si="25"/>
        <v>7757.5131097581598</v>
      </c>
      <c r="BL74" s="772">
        <f t="shared" ca="1" si="25"/>
        <v>7757.5131097581598</v>
      </c>
      <c r="BM74" s="772">
        <f t="shared" ca="1" si="25"/>
        <v>7757.5131097581598</v>
      </c>
      <c r="BN74" s="772">
        <f t="shared" ca="1" si="25"/>
        <v>6938.1787919747467</v>
      </c>
      <c r="BO74" s="772">
        <f t="shared" ca="1" si="25"/>
        <v>6938.1787919747467</v>
      </c>
      <c r="BP74" s="772">
        <f t="shared" ca="1" si="25"/>
        <v>6571.348770381871</v>
      </c>
      <c r="BQ74" s="772">
        <f t="shared" ca="1" si="25"/>
        <v>6571.348770381871</v>
      </c>
      <c r="BR74" s="772">
        <f t="shared" ca="1" si="25"/>
        <v>6230.543735369426</v>
      </c>
      <c r="BS74" s="772">
        <f t="shared" ca="1" si="25"/>
        <v>7757.5131097581598</v>
      </c>
      <c r="BT74" s="772">
        <f t="shared" ca="1" si="25"/>
        <v>7757.5131097581598</v>
      </c>
      <c r="BU74" s="772">
        <f t="shared" ca="1" si="25"/>
        <v>7757.5131097581598</v>
      </c>
      <c r="BV74" s="772">
        <f t="shared" ca="1" si="25"/>
        <v>7332.9661540664256</v>
      </c>
      <c r="BW74" s="772">
        <f t="shared" ca="1" si="27"/>
        <v>7332.9661540664256</v>
      </c>
      <c r="BX74" s="772">
        <f t="shared" ca="1" si="27"/>
        <v>6571.348770381871</v>
      </c>
      <c r="BY74" s="772">
        <f t="shared" ca="1" si="27"/>
        <v>6571.348770381871</v>
      </c>
      <c r="BZ74" s="772">
        <f t="shared" ca="1" si="27"/>
        <v>6230.543735369426</v>
      </c>
      <c r="CA74" s="772">
        <f t="shared" ca="1" si="27"/>
        <v>6230.543735369426</v>
      </c>
      <c r="CB74" s="772">
        <f t="shared" ca="1" si="27"/>
        <v>7332.9661540664256</v>
      </c>
      <c r="CC74" s="772">
        <f t="shared" ca="1" si="27"/>
        <v>7332.9661540664256</v>
      </c>
      <c r="CD74" s="772">
        <f t="shared" ca="1" si="27"/>
        <v>7332.9661540664256</v>
      </c>
      <c r="CE74" s="772">
        <f t="shared" ca="1" si="27"/>
        <v>7332.9661540664256</v>
      </c>
      <c r="CF74" s="772">
        <f t="shared" ca="1" si="27"/>
        <v>6938.1787919747467</v>
      </c>
      <c r="CG74" s="772">
        <f t="shared" ca="1" si="27"/>
        <v>6571.348770381871</v>
      </c>
      <c r="CH74" s="772">
        <f t="shared" ca="1" si="27"/>
        <v>6230.543735369426</v>
      </c>
      <c r="CI74" s="772">
        <f t="shared" ca="1" si="27"/>
        <v>6230.543735369426</v>
      </c>
      <c r="CJ74" s="772">
        <f t="shared" ca="1" si="27"/>
        <v>5913.8215421819395</v>
      </c>
    </row>
    <row r="75" spans="1:88" ht="15" customHeight="1">
      <c r="A75" s="770">
        <f>'kc-Wert für Stützen'!C75</f>
        <v>127</v>
      </c>
      <c r="B75" s="768">
        <f ca="1">INDIRECT("'kc-Wert für Stützen'!"&amp;SUBSTITUTE(ADDRESS(MATCH($A75,'kc-Wert für Stützen'!$C:$C,0),MATCH(B$7,'kc-Wert für Stützen'!$A$8:$ES$8,0)+7,4),,))</f>
        <v>9488.345090880126</v>
      </c>
      <c r="C75" s="768">
        <f ca="1">INDIRECT("'kc-Wert für Stützen'!"&amp;SUBSTITUTE(ADDRESS(MATCH($A75,'kc-Wert für Stützen'!$C:$C,0),MATCH(C$7,'kc-Wert für Stützen'!$A$8:$ES$8,0)+7,4),,))</f>
        <v>8957.5628476090696</v>
      </c>
      <c r="D75" s="768">
        <f ca="1">INDIRECT("'kc-Wert für Stützen'!"&amp;SUBSTITUTE(ADDRESS(MATCH($A75,'kc-Wert für Stützen'!$C:$C,0),MATCH(D$7,'kc-Wert für Stützen'!$A$8:$ES$8,0)+7,4),,))</f>
        <v>8458.3087891330997</v>
      </c>
      <c r="E75" s="768">
        <f ca="1">INDIRECT("'kc-Wert für Stützen'!"&amp;SUBSTITUTE(ADDRESS(MATCH($A75,'kc-Wert für Stützen'!$C:$C,0),MATCH(E$7,'kc-Wert für Stützen'!$A$8:$ES$8,0)+7,4),,))</f>
        <v>7991.1897513252588</v>
      </c>
      <c r="F75" s="768">
        <f ca="1">INDIRECT("'kc-Wert für Stützen'!"&amp;SUBSTITUTE(ADDRESS(MATCH($A75,'kc-Wert für Stützen'!$C:$C,0),MATCH(F$7,'kc-Wert für Stützen'!$A$8:$ES$8,0)+7,4),,))</f>
        <v>7555.5856430265167</v>
      </c>
      <c r="G75" s="768">
        <f ca="1">INDIRECT("'kc-Wert für Stützen'!"&amp;SUBSTITUTE(ADDRESS(MATCH($A75,'kc-Wert für Stützen'!$C:$C,0),MATCH(G$7,'kc-Wert für Stützen'!$A$8:$ES$8,0)+7,4),,))</f>
        <v>7150.1541423938033</v>
      </c>
      <c r="H75" s="768">
        <f ca="1">INDIRECT("'kc-Wert für Stützen'!"&amp;SUBSTITUTE(ADDRESS(MATCH($A75,'kc-Wert für Stützen'!$C:$C,0),MATCH(H$7,'kc-Wert für Stützen'!$A$8:$ES$8,0)+7,4),,))</f>
        <v>6773.1673480178943</v>
      </c>
      <c r="I75" s="768">
        <f ca="1">INDIRECT("'kc-Wert für Stützen'!"&amp;SUBSTITUTE(ADDRESS(MATCH($A75,'kc-Wert für Stützen'!$C:$C,0),MATCH(I$7,'kc-Wert für Stützen'!$A$8:$ES$8,0)+7,4),,))</f>
        <v>6422.7277791440802</v>
      </c>
      <c r="J75" s="768">
        <f ca="1">INDIRECT("'kc-Wert für Stützen'!"&amp;SUBSTITUTE(ADDRESS(MATCH($A75,'kc-Wert für Stützen'!$C:$C,0),MATCH(J$7,'kc-Wert für Stützen'!$A$8:$ES$8,0)+7,4),,))</f>
        <v>6096.9024406224726</v>
      </c>
      <c r="K75" s="768">
        <f ca="1">INDIRECT("'kc-Wert für Stützen'!"&amp;SUBSTITUTE(ADDRESS(MATCH($A75,'kc-Wert für Stützen'!$C:$C,0),MATCH(K$7,'kc-Wert für Stützen'!$A$8:$ES$8,0)+7,4),,))</f>
        <v>5793.8029839509863</v>
      </c>
      <c r="L75" s="768">
        <f ca="1">INDIRECT("'kc-Wert für Stützen'!"&amp;SUBSTITUTE(ADDRESS(MATCH($A75,'kc-Wert für Stützen'!$C:$C,0),MATCH(L$7,'kc-Wert für Stützen'!$A$8:$ES$8,0)+7,4),,))</f>
        <v>5511.6311254019447</v>
      </c>
      <c r="M75" s="768">
        <f ca="1">INDIRECT("'kc-Wert für Stützen'!"&amp;SUBSTITUTE(ADDRESS(MATCH($A75,'kc-Wert für Stützen'!$C:$C,0),MATCH(M$7,'kc-Wert für Stützen'!$A$8:$ES$8,0)+7,4),,))</f>
        <v>5248.7020308900474</v>
      </c>
      <c r="N75" s="768">
        <f ca="1">INDIRECT("'kc-Wert für Stützen'!"&amp;SUBSTITUTE(ADDRESS(MATCH($A75,'kc-Wert für Stützen'!$C:$C,0),MATCH(N$7,'kc-Wert für Stützen'!$A$8:$ES$8,0)+7,4),,))</f>
        <v>5003.4539594007374</v>
      </c>
      <c r="O75" s="768">
        <f ca="1">INDIRECT("'kc-Wert für Stützen'!"&amp;SUBSTITUTE(ADDRESS(MATCH($A75,'kc-Wert für Stützen'!$C:$C,0),MATCH(O$7,'kc-Wert für Stützen'!$A$8:$ES$8,0)+7,4),,))</f>
        <v>4774.4495211874846</v>
      </c>
      <c r="P75" s="768">
        <f ca="1">INDIRECT("'kc-Wert für Stützen'!"&amp;SUBSTITUTE(ADDRESS(MATCH($A75,'kc-Wert für Stützen'!$C:$C,0),MATCH(P$7,'kc-Wert für Stützen'!$A$8:$ES$8,0)+7,4),,))</f>
        <v>4560.3719859115163</v>
      </c>
      <c r="S75" s="772">
        <f t="shared" ca="1" si="31"/>
        <v>8458.3087891330997</v>
      </c>
      <c r="T75" s="772">
        <f t="shared" ca="1" si="30"/>
        <v>8458.3087891330997</v>
      </c>
      <c r="U75" s="772">
        <f t="shared" ca="1" si="30"/>
        <v>8458.3087891330997</v>
      </c>
      <c r="V75" s="772">
        <f t="shared" ca="1" si="30"/>
        <v>7991.1897513252588</v>
      </c>
      <c r="W75" s="772">
        <f t="shared" ca="1" si="30"/>
        <v>7555.5856430265167</v>
      </c>
      <c r="X75" s="772">
        <f t="shared" ca="1" si="30"/>
        <v>7150.1541423938033</v>
      </c>
      <c r="Y75" s="772">
        <f t="shared" ca="1" si="30"/>
        <v>6773.1673480178943</v>
      </c>
      <c r="Z75" s="772">
        <f t="shared" ca="1" si="30"/>
        <v>8458.3087891330997</v>
      </c>
      <c r="AA75" s="772">
        <f t="shared" ca="1" si="30"/>
        <v>8458.3087891330997</v>
      </c>
      <c r="AB75" s="772">
        <f t="shared" ca="1" si="29"/>
        <v>7991.1897513252588</v>
      </c>
      <c r="AC75" s="772">
        <f t="shared" ca="1" si="29"/>
        <v>7991.1897513252588</v>
      </c>
      <c r="AD75" s="772">
        <f t="shared" ca="1" si="29"/>
        <v>7555.5856430265167</v>
      </c>
      <c r="AE75" s="772">
        <f t="shared" ca="1" si="29"/>
        <v>7555.5856430265167</v>
      </c>
      <c r="AF75" s="772">
        <f t="shared" ca="1" si="29"/>
        <v>7150.1541423938033</v>
      </c>
      <c r="AG75" s="772">
        <f t="shared" ca="1" si="29"/>
        <v>7150.1541423938033</v>
      </c>
      <c r="AH75" s="772">
        <f t="shared" ca="1" si="29"/>
        <v>7150.1541423938033</v>
      </c>
      <c r="AI75" s="772">
        <f t="shared" ca="1" si="29"/>
        <v>8458.3087891330997</v>
      </c>
      <c r="AJ75" s="772">
        <f t="shared" ca="1" si="29"/>
        <v>8458.3087891330997</v>
      </c>
      <c r="AK75" s="772">
        <f t="shared" ca="1" si="29"/>
        <v>7991.1897513252588</v>
      </c>
      <c r="AL75" s="772">
        <f t="shared" ca="1" si="29"/>
        <v>7991.1897513252588</v>
      </c>
      <c r="AM75" s="772">
        <f t="shared" ca="1" si="29"/>
        <v>7555.5856430265167</v>
      </c>
      <c r="AN75" s="772">
        <f t="shared" ca="1" si="29"/>
        <v>7555.5856430265167</v>
      </c>
      <c r="AO75" s="772">
        <f t="shared" ca="1" si="29"/>
        <v>7150.1541423938033</v>
      </c>
      <c r="AP75" s="772">
        <f t="shared" ca="1" si="29"/>
        <v>7150.1541423938033</v>
      </c>
      <c r="AQ75" s="772">
        <f t="shared" ca="1" si="29"/>
        <v>7150.1541423938033</v>
      </c>
      <c r="AR75" s="772">
        <f t="shared" ca="1" si="28"/>
        <v>8458.3087891330997</v>
      </c>
      <c r="AS75" s="772">
        <f t="shared" ca="1" si="28"/>
        <v>8458.3087891330997</v>
      </c>
      <c r="AT75" s="772">
        <f t="shared" ca="1" si="28"/>
        <v>7991.1897513252588</v>
      </c>
      <c r="AU75" s="772">
        <f t="shared" ca="1" si="28"/>
        <v>7991.1897513252588</v>
      </c>
      <c r="AV75" s="772">
        <f t="shared" ca="1" si="28"/>
        <v>7555.5856430265167</v>
      </c>
      <c r="AW75" s="772">
        <f t="shared" ca="1" si="28"/>
        <v>7555.5856430265167</v>
      </c>
      <c r="AX75" s="772">
        <f t="shared" ca="1" si="28"/>
        <v>7150.1541423938033</v>
      </c>
      <c r="AY75" s="772">
        <f t="shared" ca="1" si="28"/>
        <v>7150.1541423938033</v>
      </c>
      <c r="AZ75" s="772">
        <f t="shared" ca="1" si="28"/>
        <v>7150.1541423938033</v>
      </c>
      <c r="BA75" s="772">
        <f t="shared" ca="1" si="28"/>
        <v>8458.3087891330997</v>
      </c>
      <c r="BB75" s="772">
        <f t="shared" ca="1" si="28"/>
        <v>8458.3087891330997</v>
      </c>
      <c r="BC75" s="772">
        <f t="shared" ca="1" si="28"/>
        <v>7991.1897513252588</v>
      </c>
      <c r="BD75" s="772">
        <f t="shared" ca="1" si="28"/>
        <v>7555.5856430265167</v>
      </c>
      <c r="BE75" s="772">
        <f t="shared" ca="1" si="28"/>
        <v>7555.5856430265167</v>
      </c>
      <c r="BF75" s="772">
        <f t="shared" ca="1" si="28"/>
        <v>7150.1541423938033</v>
      </c>
      <c r="BG75" s="772">
        <f t="shared" ca="1" si="25"/>
        <v>7150.1541423938033</v>
      </c>
      <c r="BH75" s="772">
        <f t="shared" ca="1" si="25"/>
        <v>6773.1673480178943</v>
      </c>
      <c r="BI75" s="772">
        <f t="shared" ca="1" si="25"/>
        <v>6773.1673480178943</v>
      </c>
      <c r="BJ75" s="772">
        <f t="shared" ca="1" si="25"/>
        <v>7991.1897513252588</v>
      </c>
      <c r="BK75" s="772">
        <f t="shared" ca="1" si="25"/>
        <v>7991.1897513252588</v>
      </c>
      <c r="BL75" s="772">
        <f t="shared" ca="1" si="25"/>
        <v>7991.1897513252588</v>
      </c>
      <c r="BM75" s="772">
        <f t="shared" ca="1" si="25"/>
        <v>7991.1897513252588</v>
      </c>
      <c r="BN75" s="772">
        <f t="shared" ca="1" si="25"/>
        <v>7150.1541423938033</v>
      </c>
      <c r="BO75" s="772">
        <f t="shared" ca="1" si="25"/>
        <v>7150.1541423938033</v>
      </c>
      <c r="BP75" s="772">
        <f t="shared" ca="1" si="25"/>
        <v>6773.1673480178943</v>
      </c>
      <c r="BQ75" s="772">
        <f t="shared" ca="1" si="25"/>
        <v>6773.1673480178943</v>
      </c>
      <c r="BR75" s="772">
        <f t="shared" ca="1" si="25"/>
        <v>6422.7277791440802</v>
      </c>
      <c r="BS75" s="772">
        <f t="shared" ca="1" si="25"/>
        <v>7991.1897513252588</v>
      </c>
      <c r="BT75" s="772">
        <f t="shared" ca="1" si="25"/>
        <v>7991.1897513252588</v>
      </c>
      <c r="BU75" s="772">
        <f t="shared" ca="1" si="25"/>
        <v>7991.1897513252588</v>
      </c>
      <c r="BV75" s="772">
        <f t="shared" ca="1" si="25"/>
        <v>7555.5856430265167</v>
      </c>
      <c r="BW75" s="772">
        <f t="shared" ca="1" si="27"/>
        <v>7555.5856430265167</v>
      </c>
      <c r="BX75" s="772">
        <f t="shared" ca="1" si="27"/>
        <v>6773.1673480178943</v>
      </c>
      <c r="BY75" s="772">
        <f t="shared" ca="1" si="27"/>
        <v>6773.1673480178943</v>
      </c>
      <c r="BZ75" s="772">
        <f t="shared" ca="1" si="27"/>
        <v>6422.7277791440802</v>
      </c>
      <c r="CA75" s="772">
        <f t="shared" ca="1" si="27"/>
        <v>6422.7277791440802</v>
      </c>
      <c r="CB75" s="772">
        <f t="shared" ca="1" si="27"/>
        <v>7555.5856430265167</v>
      </c>
      <c r="CC75" s="772">
        <f t="shared" ca="1" si="27"/>
        <v>7555.5856430265167</v>
      </c>
      <c r="CD75" s="772">
        <f t="shared" ca="1" si="27"/>
        <v>7555.5856430265167</v>
      </c>
      <c r="CE75" s="772">
        <f t="shared" ca="1" si="27"/>
        <v>7555.5856430265167</v>
      </c>
      <c r="CF75" s="772">
        <f t="shared" ca="1" si="27"/>
        <v>7150.1541423938033</v>
      </c>
      <c r="CG75" s="772">
        <f t="shared" ca="1" si="27"/>
        <v>6773.1673480178943</v>
      </c>
      <c r="CH75" s="772">
        <f t="shared" ca="1" si="27"/>
        <v>6422.7277791440802</v>
      </c>
      <c r="CI75" s="772">
        <f t="shared" ca="1" si="27"/>
        <v>6422.7277791440802</v>
      </c>
      <c r="CJ75" s="772">
        <f t="shared" ca="1" si="27"/>
        <v>6096.9024406224726</v>
      </c>
    </row>
    <row r="76" spans="1:88" ht="15" customHeight="1">
      <c r="A76" s="770">
        <f>'kc-Wert für Stützen'!C76</f>
        <v>128</v>
      </c>
      <c r="B76" s="768">
        <f ca="1">INDIRECT("'kc-Wert für Stützen'!"&amp;SUBSTITUTE(ADDRESS(MATCH($A76,'kc-Wert für Stützen'!$C:$C,0),MATCH(B$7,'kc-Wert für Stützen'!$A$8:$ES$8,0)+7,4),,))</f>
        <v>9760.3633238193688</v>
      </c>
      <c r="C76" s="768">
        <f ca="1">INDIRECT("'kc-Wert für Stützen'!"&amp;SUBSTITUTE(ADDRESS(MATCH($A76,'kc-Wert für Stützen'!$C:$C,0),MATCH(C$7,'kc-Wert für Stützen'!$A$8:$ES$8,0)+7,4),,))</f>
        <v>9218.5881538892118</v>
      </c>
      <c r="D76" s="768">
        <f ca="1">INDIRECT("'kc-Wert für Stützen'!"&amp;SUBSTITUTE(ADDRESS(MATCH($A76,'kc-Wert für Stützen'!$C:$C,0),MATCH(D$7,'kc-Wert für Stützen'!$A$8:$ES$8,0)+7,4),,))</f>
        <v>8707.9666958924354</v>
      </c>
      <c r="E76" s="768">
        <f ca="1">INDIRECT("'kc-Wert für Stützen'!"&amp;SUBSTITUTE(ADDRESS(MATCH($A76,'kc-Wert für Stützen'!$C:$C,0),MATCH(E$7,'kc-Wert für Stützen'!$A$8:$ES$8,0)+7,4),,))</f>
        <v>8229.472612842399</v>
      </c>
      <c r="F76" s="768">
        <f ca="1">INDIRECT("'kc-Wert für Stützen'!"&amp;SUBSTITUTE(ADDRESS(MATCH($A76,'kc-Wert für Stützen'!$C:$C,0),MATCH(F$7,'kc-Wert für Stützen'!$A$8:$ES$8,0)+7,4),,))</f>
        <v>7782.726962237477</v>
      </c>
      <c r="G76" s="768">
        <f ca="1">INDIRECT("'kc-Wert für Stützen'!"&amp;SUBSTITUTE(ADDRESS(MATCH($A76,'kc-Wert für Stützen'!$C:$C,0),MATCH(G$7,'kc-Wert für Stützen'!$A$8:$ES$8,0)+7,4),,))</f>
        <v>7366.5369683492308</v>
      </c>
      <c r="H76" s="768">
        <f ca="1">INDIRECT("'kc-Wert für Stützen'!"&amp;SUBSTITUTE(ADDRESS(MATCH($A76,'kc-Wert für Stützen'!$C:$C,0),MATCH(H$7,'kc-Wert für Stützen'!$A$8:$ES$8,0)+7,4),,))</f>
        <v>6979.2606154602609</v>
      </c>
      <c r="I76" s="768">
        <f ca="1">INDIRECT("'kc-Wert für Stützen'!"&amp;SUBSTITUTE(ADDRESS(MATCH($A76,'kc-Wert für Stützen'!$C:$C,0),MATCH(I$7,'kc-Wert für Stützen'!$A$8:$ES$8,0)+7,4),,))</f>
        <v>6619.0434117496907</v>
      </c>
      <c r="J76" s="768">
        <f ca="1">INDIRECT("'kc-Wert für Stützen'!"&amp;SUBSTITUTE(ADDRESS(MATCH($A76,'kc-Wert für Stützen'!$C:$C,0),MATCH(J$7,'kc-Wert für Stützen'!$A$8:$ES$8,0)+7,4),,))</f>
        <v>6283.9671344697726</v>
      </c>
      <c r="K76" s="768">
        <f ca="1">INDIRECT("'kc-Wert für Stützen'!"&amp;SUBSTITUTE(ADDRESS(MATCH($A76,'kc-Wert für Stützen'!$C:$C,0),MATCH(K$7,'kc-Wert für Stützen'!$A$8:$ES$8,0)+7,4),,))</f>
        <v>5972.1400913848847</v>
      </c>
      <c r="L76" s="768">
        <f ca="1">INDIRECT("'kc-Wert für Stützen'!"&amp;SUBSTITUTE(ADDRESS(MATCH($A76,'kc-Wert für Stützen'!$C:$C,0),MATCH(L$7,'kc-Wert für Stützen'!$A$8:$ES$8,0)+7,4),,))</f>
        <v>5681.7493779805327</v>
      </c>
      <c r="M76" s="768">
        <f ca="1">INDIRECT("'kc-Wert für Stützen'!"&amp;SUBSTITUTE(ADDRESS(MATCH($A76,'kc-Wert für Stützen'!$C:$C,0),MATCH(M$7,'kc-Wert für Stützen'!$A$8:$ES$8,0)+7,4),,))</f>
        <v>5411.0888438685761</v>
      </c>
      <c r="N76" s="768">
        <f ca="1">INDIRECT("'kc-Wert für Stützen'!"&amp;SUBSTITUTE(ADDRESS(MATCH($A76,'kc-Wert für Stützen'!$C:$C,0),MATCH(N$7,'kc-Wert für Stützen'!$A$8:$ES$8,0)+7,4),,))</f>
        <v>5158.5717777622694</v>
      </c>
      <c r="O76" s="768">
        <f ca="1">INDIRECT("'kc-Wert für Stützen'!"&amp;SUBSTITUTE(ADDRESS(MATCH($A76,'kc-Wert für Stützen'!$C:$C,0),MATCH(O$7,'kc-Wert für Stützen'!$A$8:$ES$8,0)+7,4),,))</f>
        <v>4922.7341645318238</v>
      </c>
      <c r="P76" s="768">
        <f ca="1">INDIRECT("'kc-Wert für Stützen'!"&amp;SUBSTITUTE(ADDRESS(MATCH($A76,'kc-Wert für Stützen'!$C:$C,0),MATCH(P$7,'kc-Wert für Stützen'!$A$8:$ES$8,0)+7,4),,))</f>
        <v>4702.2322889287034</v>
      </c>
      <c r="S76" s="772">
        <f t="shared" ca="1" si="31"/>
        <v>8707.9666958924354</v>
      </c>
      <c r="T76" s="772">
        <f t="shared" ca="1" si="30"/>
        <v>8707.9666958924354</v>
      </c>
      <c r="U76" s="772">
        <f t="shared" ca="1" si="30"/>
        <v>8707.9666958924354</v>
      </c>
      <c r="V76" s="772">
        <f t="shared" ca="1" si="30"/>
        <v>8229.472612842399</v>
      </c>
      <c r="W76" s="772">
        <f t="shared" ca="1" si="30"/>
        <v>7782.726962237477</v>
      </c>
      <c r="X76" s="772">
        <f t="shared" ca="1" si="30"/>
        <v>7366.5369683492308</v>
      </c>
      <c r="Y76" s="772">
        <f t="shared" ca="1" si="30"/>
        <v>6979.2606154602609</v>
      </c>
      <c r="Z76" s="772">
        <f t="shared" ca="1" si="30"/>
        <v>8707.9666958924354</v>
      </c>
      <c r="AA76" s="772">
        <f t="shared" ca="1" si="30"/>
        <v>8707.9666958924354</v>
      </c>
      <c r="AB76" s="772">
        <f t="shared" ca="1" si="29"/>
        <v>8229.472612842399</v>
      </c>
      <c r="AC76" s="772">
        <f t="shared" ca="1" si="29"/>
        <v>8229.472612842399</v>
      </c>
      <c r="AD76" s="772">
        <f t="shared" ca="1" si="29"/>
        <v>7782.726962237477</v>
      </c>
      <c r="AE76" s="772">
        <f t="shared" ca="1" si="29"/>
        <v>7782.726962237477</v>
      </c>
      <c r="AF76" s="772">
        <f t="shared" ca="1" si="29"/>
        <v>7366.5369683492308</v>
      </c>
      <c r="AG76" s="772">
        <f t="shared" ca="1" si="29"/>
        <v>7366.5369683492308</v>
      </c>
      <c r="AH76" s="772">
        <f t="shared" ca="1" si="29"/>
        <v>7366.5369683492308</v>
      </c>
      <c r="AI76" s="772">
        <f t="shared" ca="1" si="29"/>
        <v>8707.9666958924354</v>
      </c>
      <c r="AJ76" s="772">
        <f t="shared" ca="1" si="29"/>
        <v>8707.9666958924354</v>
      </c>
      <c r="AK76" s="772">
        <f t="shared" ca="1" si="29"/>
        <v>8229.472612842399</v>
      </c>
      <c r="AL76" s="772">
        <f t="shared" ca="1" si="29"/>
        <v>8229.472612842399</v>
      </c>
      <c r="AM76" s="772">
        <f t="shared" ca="1" si="29"/>
        <v>7782.726962237477</v>
      </c>
      <c r="AN76" s="772">
        <f t="shared" ca="1" si="29"/>
        <v>7782.726962237477</v>
      </c>
      <c r="AO76" s="772">
        <f t="shared" ca="1" si="29"/>
        <v>7366.5369683492308</v>
      </c>
      <c r="AP76" s="772">
        <f t="shared" ca="1" si="29"/>
        <v>7366.5369683492308</v>
      </c>
      <c r="AQ76" s="772">
        <f t="shared" ca="1" si="29"/>
        <v>7366.5369683492308</v>
      </c>
      <c r="AR76" s="772">
        <f t="shared" ca="1" si="28"/>
        <v>8707.9666958924354</v>
      </c>
      <c r="AS76" s="772">
        <f t="shared" ca="1" si="28"/>
        <v>8707.9666958924354</v>
      </c>
      <c r="AT76" s="772">
        <f t="shared" ca="1" si="28"/>
        <v>8229.472612842399</v>
      </c>
      <c r="AU76" s="772">
        <f t="shared" ca="1" si="28"/>
        <v>8229.472612842399</v>
      </c>
      <c r="AV76" s="772">
        <f t="shared" ca="1" si="28"/>
        <v>7782.726962237477</v>
      </c>
      <c r="AW76" s="772">
        <f t="shared" ca="1" si="28"/>
        <v>7782.726962237477</v>
      </c>
      <c r="AX76" s="772">
        <f t="shared" ca="1" si="28"/>
        <v>7366.5369683492308</v>
      </c>
      <c r="AY76" s="772">
        <f t="shared" ca="1" si="28"/>
        <v>7366.5369683492308</v>
      </c>
      <c r="AZ76" s="772">
        <f t="shared" ca="1" si="28"/>
        <v>7366.5369683492308</v>
      </c>
      <c r="BA76" s="772">
        <f t="shared" ca="1" si="28"/>
        <v>8707.9666958924354</v>
      </c>
      <c r="BB76" s="772">
        <f t="shared" ca="1" si="28"/>
        <v>8707.9666958924354</v>
      </c>
      <c r="BC76" s="772">
        <f t="shared" ca="1" si="28"/>
        <v>8229.472612842399</v>
      </c>
      <c r="BD76" s="772">
        <f t="shared" ca="1" si="28"/>
        <v>7782.726962237477</v>
      </c>
      <c r="BE76" s="772">
        <f t="shared" ca="1" si="28"/>
        <v>7782.726962237477</v>
      </c>
      <c r="BF76" s="772">
        <f t="shared" ca="1" si="28"/>
        <v>7366.5369683492308</v>
      </c>
      <c r="BG76" s="772">
        <f t="shared" ca="1" si="25"/>
        <v>7366.5369683492308</v>
      </c>
      <c r="BH76" s="772">
        <f t="shared" ca="1" si="25"/>
        <v>6979.2606154602609</v>
      </c>
      <c r="BI76" s="772">
        <f t="shared" ca="1" si="25"/>
        <v>6979.2606154602609</v>
      </c>
      <c r="BJ76" s="772">
        <f t="shared" ca="1" si="25"/>
        <v>8229.472612842399</v>
      </c>
      <c r="BK76" s="772">
        <f t="shared" ca="1" si="25"/>
        <v>8229.472612842399</v>
      </c>
      <c r="BL76" s="772">
        <f t="shared" ca="1" si="25"/>
        <v>8229.472612842399</v>
      </c>
      <c r="BM76" s="772">
        <f t="shared" ca="1" si="25"/>
        <v>8229.472612842399</v>
      </c>
      <c r="BN76" s="772">
        <f t="shared" ca="1" si="25"/>
        <v>7366.5369683492308</v>
      </c>
      <c r="BO76" s="772">
        <f t="shared" ca="1" si="25"/>
        <v>7366.5369683492308</v>
      </c>
      <c r="BP76" s="772">
        <f t="shared" ca="1" si="25"/>
        <v>6979.2606154602609</v>
      </c>
      <c r="BQ76" s="772">
        <f t="shared" ca="1" si="25"/>
        <v>6979.2606154602609</v>
      </c>
      <c r="BR76" s="772">
        <f t="shared" ca="1" si="25"/>
        <v>6619.0434117496907</v>
      </c>
      <c r="BS76" s="772">
        <f t="shared" ca="1" si="25"/>
        <v>8229.472612842399</v>
      </c>
      <c r="BT76" s="772">
        <f t="shared" ca="1" si="25"/>
        <v>8229.472612842399</v>
      </c>
      <c r="BU76" s="772">
        <f t="shared" ca="1" si="25"/>
        <v>8229.472612842399</v>
      </c>
      <c r="BV76" s="772">
        <f t="shared" ca="1" si="25"/>
        <v>7782.726962237477</v>
      </c>
      <c r="BW76" s="772">
        <f t="shared" ca="1" si="27"/>
        <v>7782.726962237477</v>
      </c>
      <c r="BX76" s="772">
        <f t="shared" ca="1" si="27"/>
        <v>6979.2606154602609</v>
      </c>
      <c r="BY76" s="772">
        <f t="shared" ca="1" si="27"/>
        <v>6979.2606154602609</v>
      </c>
      <c r="BZ76" s="772">
        <f t="shared" ca="1" si="27"/>
        <v>6619.0434117496907</v>
      </c>
      <c r="CA76" s="772">
        <f t="shared" ca="1" si="27"/>
        <v>6619.0434117496907</v>
      </c>
      <c r="CB76" s="772">
        <f t="shared" ca="1" si="27"/>
        <v>7782.726962237477</v>
      </c>
      <c r="CC76" s="772">
        <f t="shared" ca="1" si="27"/>
        <v>7782.726962237477</v>
      </c>
      <c r="CD76" s="772">
        <f t="shared" ca="1" si="27"/>
        <v>7782.726962237477</v>
      </c>
      <c r="CE76" s="772">
        <f t="shared" ca="1" si="27"/>
        <v>7782.726962237477</v>
      </c>
      <c r="CF76" s="772">
        <f t="shared" ca="1" si="27"/>
        <v>7366.5369683492308</v>
      </c>
      <c r="CG76" s="772">
        <f t="shared" ca="1" si="27"/>
        <v>6979.2606154602609</v>
      </c>
      <c r="CH76" s="772">
        <f t="shared" ca="1" si="27"/>
        <v>6619.0434117496907</v>
      </c>
      <c r="CI76" s="772">
        <f t="shared" ca="1" si="27"/>
        <v>6619.0434117496907</v>
      </c>
      <c r="CJ76" s="772">
        <f t="shared" ca="1" si="27"/>
        <v>6283.9671344697726</v>
      </c>
    </row>
    <row r="77" spans="1:88" ht="15" customHeight="1">
      <c r="A77" s="770">
        <f>'kc-Wert für Stützen'!C77</f>
        <v>129</v>
      </c>
      <c r="B77" s="768">
        <f ca="1">INDIRECT("'kc-Wert für Stützen'!"&amp;SUBSTITUTE(ADDRESS(MATCH($A77,'kc-Wert für Stützen'!$C:$C,0),MATCH(B$7,'kc-Wert für Stützen'!$A$8:$ES$8,0)+7,4),,))</f>
        <v>10036.83052794998</v>
      </c>
      <c r="C77" s="768">
        <f ca="1">INDIRECT("'kc-Wert für Stützen'!"&amp;SUBSTITUTE(ADDRESS(MATCH($A77,'kc-Wert für Stützen'!$C:$C,0),MATCH(C$7,'kc-Wert für Stützen'!$A$8:$ES$8,0)+7,4),,))</f>
        <v>9484.2102372031368</v>
      </c>
      <c r="D77" s="768">
        <f ca="1">INDIRECT("'kc-Wert für Stützen'!"&amp;SUBSTITUTE(ADDRESS(MATCH($A77,'kc-Wert für Stützen'!$C:$C,0),MATCH(D$7,'kc-Wert für Stützen'!$A$8:$ES$8,0)+7,4),,))</f>
        <v>8962.2693571874552</v>
      </c>
      <c r="E77" s="768">
        <f ca="1">INDIRECT("'kc-Wert für Stützen'!"&amp;SUBSTITUTE(ADDRESS(MATCH($A77,'kc-Wert für Stützen'!$C:$C,0),MATCH(E$7,'kc-Wert für Stützen'!$A$8:$ES$8,0)+7,4),,))</f>
        <v>8472.3759371758406</v>
      </c>
      <c r="F77" s="768">
        <f ca="1">INDIRECT("'kc-Wert für Stützen'!"&amp;SUBSTITUTE(ADDRESS(MATCH($A77,'kc-Wert für Stützen'!$C:$C,0),MATCH(F$7,'kc-Wert für Stützen'!$A$8:$ES$8,0)+7,4),,))</f>
        <v>8014.414562386024</v>
      </c>
      <c r="G77" s="768">
        <f ca="1">INDIRECT("'kc-Wert für Stützen'!"&amp;SUBSTITUTE(ADDRESS(MATCH($A77,'kc-Wert für Stützen'!$C:$C,0),MATCH(G$7,'kc-Wert für Stützen'!$A$8:$ES$8,0)+7,4),,))</f>
        <v>7587.3589124242153</v>
      </c>
      <c r="H77" s="768">
        <f ca="1">INDIRECT("'kc-Wert für Stützen'!"&amp;SUBSTITUTE(ADDRESS(MATCH($A77,'kc-Wert für Stützen'!$C:$C,0),MATCH(H$7,'kc-Wert für Stützen'!$A$8:$ES$8,0)+7,4),,))</f>
        <v>7189.6651346147974</v>
      </c>
      <c r="I77" s="768">
        <f ca="1">INDIRECT("'kc-Wert für Stützen'!"&amp;SUBSTITUTE(ADDRESS(MATCH($A77,'kc-Wert für Stützen'!$C:$C,0),MATCH(I$7,'kc-Wert für Stützen'!$A$8:$ES$8,0)+7,4),,))</f>
        <v>6819.5304294240232</v>
      </c>
      <c r="J77" s="768">
        <f ca="1">INDIRECT("'kc-Wert für Stützen'!"&amp;SUBSTITUTE(ADDRESS(MATCH($A77,'kc-Wert für Stützen'!$C:$C,0),MATCH(J$7,'kc-Wert für Stützen'!$A$8:$ES$8,0)+7,4),,))</f>
        <v>6475.0574163409019</v>
      </c>
      <c r="K77" s="768">
        <f ca="1">INDIRECT("'kc-Wert für Stützen'!"&amp;SUBSTITUTE(ADDRESS(MATCH($A77,'kc-Wert für Stützen'!$C:$C,0),MATCH(K$7,'kc-Wert für Stützen'!$A$8:$ES$8,0)+7,4),,))</f>
        <v>6154.3552349769161</v>
      </c>
      <c r="L77" s="768">
        <f ca="1">INDIRECT("'kc-Wert für Stützen'!"&amp;SUBSTITUTE(ADDRESS(MATCH($A77,'kc-Wert für Stützen'!$C:$C,0),MATCH(L$7,'kc-Wert für Stützen'!$A$8:$ES$8,0)+7,4),,))</f>
        <v>5855.5991904196571</v>
      </c>
      <c r="M77" s="768">
        <f ca="1">INDIRECT("'kc-Wert für Stützen'!"&amp;SUBSTITUTE(ADDRESS(MATCH($A77,'kc-Wert für Stützen'!$C:$C,0),MATCH(M$7,'kc-Wert für Stützen'!$A$8:$ES$8,0)+7,4),,))</f>
        <v>5577.0636975915622</v>
      </c>
      <c r="N77" s="768">
        <f ca="1">INDIRECT("'kc-Wert für Stützen'!"&amp;SUBSTITUTE(ADDRESS(MATCH($A77,'kc-Wert für Stützen'!$C:$C,0),MATCH(N$7,'kc-Wert für Stützen'!$A$8:$ES$8,0)+7,4),,))</f>
        <v>5317.1382899963473</v>
      </c>
      <c r="O77" s="768">
        <f ca="1">INDIRECT("'kc-Wert für Stützen'!"&amp;SUBSTITUTE(ADDRESS(MATCH($A77,'kc-Wert für Stützen'!$C:$C,0),MATCH(O$7,'kc-Wert für Stützen'!$A$8:$ES$8,0)+7,4),,))</f>
        <v>5074.3330753033797</v>
      </c>
      <c r="P77" s="768">
        <f ca="1">INDIRECT("'kc-Wert für Stützen'!"&amp;SUBSTITUTE(ADDRESS(MATCH($A77,'kc-Wert für Stützen'!$C:$C,0),MATCH(P$7,'kc-Wert für Stützen'!$A$8:$ES$8,0)+7,4),,))</f>
        <v>4847.2777756397672</v>
      </c>
      <c r="S77" s="772">
        <f t="shared" ca="1" si="31"/>
        <v>8962.2693571874552</v>
      </c>
      <c r="T77" s="772">
        <f t="shared" ca="1" si="30"/>
        <v>8962.2693571874552</v>
      </c>
      <c r="U77" s="772">
        <f t="shared" ca="1" si="30"/>
        <v>8962.2693571874552</v>
      </c>
      <c r="V77" s="772">
        <f t="shared" ca="1" si="30"/>
        <v>8472.3759371758406</v>
      </c>
      <c r="W77" s="772">
        <f t="shared" ca="1" si="30"/>
        <v>8014.414562386024</v>
      </c>
      <c r="X77" s="772">
        <f t="shared" ca="1" si="30"/>
        <v>7587.3589124242153</v>
      </c>
      <c r="Y77" s="772">
        <f t="shared" ca="1" si="30"/>
        <v>7189.6651346147974</v>
      </c>
      <c r="Z77" s="772">
        <f t="shared" ca="1" si="30"/>
        <v>8962.2693571874552</v>
      </c>
      <c r="AA77" s="772">
        <f t="shared" ca="1" si="30"/>
        <v>8962.2693571874552</v>
      </c>
      <c r="AB77" s="772">
        <f t="shared" ca="1" si="29"/>
        <v>8472.3759371758406</v>
      </c>
      <c r="AC77" s="772">
        <f t="shared" ca="1" si="29"/>
        <v>8472.3759371758406</v>
      </c>
      <c r="AD77" s="772">
        <f t="shared" ca="1" si="29"/>
        <v>8014.414562386024</v>
      </c>
      <c r="AE77" s="772">
        <f t="shared" ca="1" si="29"/>
        <v>8014.414562386024</v>
      </c>
      <c r="AF77" s="772">
        <f t="shared" ca="1" si="29"/>
        <v>7587.3589124242153</v>
      </c>
      <c r="AG77" s="772">
        <f t="shared" ca="1" si="29"/>
        <v>7587.3589124242153</v>
      </c>
      <c r="AH77" s="772">
        <f t="shared" ca="1" si="29"/>
        <v>7587.3589124242153</v>
      </c>
      <c r="AI77" s="772">
        <f t="shared" ca="1" si="29"/>
        <v>8962.2693571874552</v>
      </c>
      <c r="AJ77" s="772">
        <f t="shared" ca="1" si="29"/>
        <v>8962.2693571874552</v>
      </c>
      <c r="AK77" s="772">
        <f t="shared" ca="1" si="29"/>
        <v>8472.3759371758406</v>
      </c>
      <c r="AL77" s="772">
        <f t="shared" ca="1" si="29"/>
        <v>8472.3759371758406</v>
      </c>
      <c r="AM77" s="772">
        <f t="shared" ca="1" si="29"/>
        <v>8014.414562386024</v>
      </c>
      <c r="AN77" s="772">
        <f t="shared" ca="1" si="29"/>
        <v>8014.414562386024</v>
      </c>
      <c r="AO77" s="772">
        <f t="shared" ca="1" si="29"/>
        <v>7587.3589124242153</v>
      </c>
      <c r="AP77" s="772">
        <f t="shared" ca="1" si="29"/>
        <v>7587.3589124242153</v>
      </c>
      <c r="AQ77" s="772">
        <f t="shared" ca="1" si="29"/>
        <v>7587.3589124242153</v>
      </c>
      <c r="AR77" s="772">
        <f t="shared" ca="1" si="28"/>
        <v>8962.2693571874552</v>
      </c>
      <c r="AS77" s="772">
        <f t="shared" ca="1" si="28"/>
        <v>8962.2693571874552</v>
      </c>
      <c r="AT77" s="772">
        <f t="shared" ca="1" si="28"/>
        <v>8472.3759371758406</v>
      </c>
      <c r="AU77" s="772">
        <f t="shared" ca="1" si="28"/>
        <v>8472.3759371758406</v>
      </c>
      <c r="AV77" s="772">
        <f t="shared" ca="1" si="28"/>
        <v>8014.414562386024</v>
      </c>
      <c r="AW77" s="772">
        <f t="shared" ca="1" si="28"/>
        <v>8014.414562386024</v>
      </c>
      <c r="AX77" s="772">
        <f t="shared" ca="1" si="28"/>
        <v>7587.3589124242153</v>
      </c>
      <c r="AY77" s="772">
        <f t="shared" ca="1" si="28"/>
        <v>7587.3589124242153</v>
      </c>
      <c r="AZ77" s="772">
        <f t="shared" ca="1" si="28"/>
        <v>7587.3589124242153</v>
      </c>
      <c r="BA77" s="772">
        <f t="shared" ca="1" si="28"/>
        <v>8962.2693571874552</v>
      </c>
      <c r="BB77" s="772">
        <f t="shared" ca="1" si="28"/>
        <v>8962.2693571874552</v>
      </c>
      <c r="BC77" s="772">
        <f t="shared" ca="1" si="28"/>
        <v>8472.3759371758406</v>
      </c>
      <c r="BD77" s="772">
        <f t="shared" ca="1" si="28"/>
        <v>8014.414562386024</v>
      </c>
      <c r="BE77" s="772">
        <f t="shared" ca="1" si="28"/>
        <v>8014.414562386024</v>
      </c>
      <c r="BF77" s="772">
        <f t="shared" ca="1" si="28"/>
        <v>7587.3589124242153</v>
      </c>
      <c r="BG77" s="772">
        <f t="shared" ca="1" si="25"/>
        <v>7587.3589124242153</v>
      </c>
      <c r="BH77" s="772">
        <f t="shared" ca="1" si="25"/>
        <v>7189.6651346147974</v>
      </c>
      <c r="BI77" s="772">
        <f t="shared" ca="1" si="25"/>
        <v>7189.6651346147974</v>
      </c>
      <c r="BJ77" s="772">
        <f t="shared" ca="1" si="25"/>
        <v>8472.3759371758406</v>
      </c>
      <c r="BK77" s="772">
        <f t="shared" ca="1" si="25"/>
        <v>8472.3759371758406</v>
      </c>
      <c r="BL77" s="772">
        <f t="shared" ca="1" si="25"/>
        <v>8472.3759371758406</v>
      </c>
      <c r="BM77" s="772">
        <f t="shared" ca="1" si="25"/>
        <v>8472.3759371758406</v>
      </c>
      <c r="BN77" s="772">
        <f t="shared" ca="1" si="25"/>
        <v>7587.3589124242153</v>
      </c>
      <c r="BO77" s="772">
        <f t="shared" ca="1" si="25"/>
        <v>7587.3589124242153</v>
      </c>
      <c r="BP77" s="772">
        <f t="shared" ca="1" si="25"/>
        <v>7189.6651346147974</v>
      </c>
      <c r="BQ77" s="772">
        <f t="shared" ca="1" si="25"/>
        <v>7189.6651346147974</v>
      </c>
      <c r="BR77" s="772">
        <f t="shared" ca="1" si="25"/>
        <v>6819.5304294240232</v>
      </c>
      <c r="BS77" s="772">
        <f t="shared" ca="1" si="25"/>
        <v>8472.3759371758406</v>
      </c>
      <c r="BT77" s="772">
        <f t="shared" ca="1" si="25"/>
        <v>8472.3759371758406</v>
      </c>
      <c r="BU77" s="772">
        <f t="shared" ca="1" si="25"/>
        <v>8472.3759371758406</v>
      </c>
      <c r="BV77" s="772">
        <f t="shared" ca="1" si="25"/>
        <v>8014.414562386024</v>
      </c>
      <c r="BW77" s="772">
        <f t="shared" ca="1" si="27"/>
        <v>8014.414562386024</v>
      </c>
      <c r="BX77" s="772">
        <f t="shared" ca="1" si="27"/>
        <v>7189.6651346147974</v>
      </c>
      <c r="BY77" s="772">
        <f t="shared" ca="1" si="27"/>
        <v>7189.6651346147974</v>
      </c>
      <c r="BZ77" s="772">
        <f t="shared" ca="1" si="27"/>
        <v>6819.5304294240232</v>
      </c>
      <c r="CA77" s="772">
        <f t="shared" ca="1" si="27"/>
        <v>6819.5304294240232</v>
      </c>
      <c r="CB77" s="772">
        <f t="shared" ca="1" si="27"/>
        <v>8014.414562386024</v>
      </c>
      <c r="CC77" s="772">
        <f t="shared" ca="1" si="27"/>
        <v>8014.414562386024</v>
      </c>
      <c r="CD77" s="772">
        <f t="shared" ca="1" si="27"/>
        <v>8014.414562386024</v>
      </c>
      <c r="CE77" s="772">
        <f t="shared" ca="1" si="27"/>
        <v>8014.414562386024</v>
      </c>
      <c r="CF77" s="772">
        <f t="shared" ca="1" si="27"/>
        <v>7587.3589124242153</v>
      </c>
      <c r="CG77" s="772">
        <f t="shared" ca="1" si="27"/>
        <v>7189.6651346147974</v>
      </c>
      <c r="CH77" s="772">
        <f t="shared" ca="1" si="27"/>
        <v>6819.5304294240232</v>
      </c>
      <c r="CI77" s="772">
        <f t="shared" ca="1" si="27"/>
        <v>6819.5304294240232</v>
      </c>
      <c r="CJ77" s="772">
        <f t="shared" ca="1" si="27"/>
        <v>6475.0574163409019</v>
      </c>
    </row>
    <row r="78" spans="1:88" ht="15" customHeight="1">
      <c r="A78" s="770">
        <f>'kc-Wert für Stützen'!C78</f>
        <v>130</v>
      </c>
      <c r="B78" s="768">
        <f ca="1">INDIRECT("'kc-Wert für Stützen'!"&amp;SUBSTITUTE(ADDRESS(MATCH($A78,'kc-Wert für Stützen'!$C:$C,0),MATCH(B$7,'kc-Wert für Stützen'!$A$8:$ES$8,0)+7,4),,))</f>
        <v>10317.698523456249</v>
      </c>
      <c r="C78" s="768">
        <f ca="1">INDIRECT("'kc-Wert für Stützen'!"&amp;SUBSTITUTE(ADDRESS(MATCH($A78,'kc-Wert für Stützen'!$C:$C,0),MATCH(C$7,'kc-Wert für Stützen'!$A$8:$ES$8,0)+7,4),,))</f>
        <v>9754.4056327222734</v>
      </c>
      <c r="D78" s="768">
        <f ca="1">INDIRECT("'kc-Wert für Stützen'!"&amp;SUBSTITUTE(ADDRESS(MATCH($A78,'kc-Wert für Stützen'!$C:$C,0),MATCH(D$7,'kc-Wert für Stützen'!$A$8:$ES$8,0)+7,4),,))</f>
        <v>9221.2130063769691</v>
      </c>
      <c r="E78" s="768">
        <f ca="1">INDIRECT("'kc-Wert für Stützen'!"&amp;SUBSTITUTE(ADDRESS(MATCH($A78,'kc-Wert für Stützen'!$C:$C,0),MATCH(E$7,'kc-Wert für Stützen'!$A$8:$ES$8,0)+7,4),,))</f>
        <v>8719.910870010046</v>
      </c>
      <c r="F78" s="768">
        <f ca="1">INDIRECT("'kc-Wert für Stützen'!"&amp;SUBSTITUTE(ADDRESS(MATCH($A78,'kc-Wert für Stützen'!$C:$C,0),MATCH(F$7,'kc-Wert für Stützen'!$A$8:$ES$8,0)+7,4),,))</f>
        <v>8250.670493691774</v>
      </c>
      <c r="G78" s="768">
        <f ca="1">INDIRECT("'kc-Wert für Stützen'!"&amp;SUBSTITUTE(ADDRESS(MATCH($A78,'kc-Wert für Stützen'!$C:$C,0),MATCH(G$7,'kc-Wert für Stützen'!$A$8:$ES$8,0)+7,4),,))</f>
        <v>7812.649780548797</v>
      </c>
      <c r="H78" s="768">
        <f ca="1">INDIRECT("'kc-Wert für Stützen'!"&amp;SUBSTITUTE(ADDRESS(MATCH($A78,'kc-Wert für Stützen'!$C:$C,0),MATCH(H$7,'kc-Wert für Stützen'!$A$8:$ES$8,0)+7,4),,))</f>
        <v>7404.4160754315199</v>
      </c>
      <c r="I78" s="768">
        <f ca="1">INDIRECT("'kc-Wert für Stützen'!"&amp;SUBSTITUTE(ADDRESS(MATCH($A78,'kc-Wert für Stützen'!$C:$C,0),MATCH(I$7,'kc-Wert für Stützen'!$A$8:$ES$8,0)+7,4),,))</f>
        <v>7024.2275828351248</v>
      </c>
      <c r="J78" s="768">
        <f ca="1">INDIRECT("'kc-Wert für Stützen'!"&amp;SUBSTITUTE(ADDRESS(MATCH($A78,'kc-Wert für Stützen'!$C:$C,0),MATCH(J$7,'kc-Wert für Stützen'!$A$8:$ES$8,0)+7,4),,))</f>
        <v>6670.2143017000235</v>
      </c>
      <c r="K78" s="768">
        <f ca="1">INDIRECT("'kc-Wert für Stützen'!"&amp;SUBSTITUTE(ADDRESS(MATCH($A78,'kc-Wert für Stützen'!$C:$C,0),MATCH(K$7,'kc-Wert für Stützen'!$A$8:$ES$8,0)+7,4),,))</f>
        <v>6340.49073004816</v>
      </c>
      <c r="L78" s="768">
        <f ca="1">INDIRECT("'kc-Wert für Stützen'!"&amp;SUBSTITUTE(ADDRESS(MATCH($A78,'kc-Wert für Stützen'!$C:$C,0),MATCH(L$7,'kc-Wert für Stützen'!$A$8:$ES$8,0)+7,4),,))</f>
        <v>6033.2234736296596</v>
      </c>
      <c r="M78" s="768">
        <f ca="1">INDIRECT("'kc-Wert für Stützen'!"&amp;SUBSTITUTE(ADDRESS(MATCH($A78,'kc-Wert für Stützen'!$C:$C,0),MATCH(M$7,'kc-Wert für Stützen'!$A$8:$ES$8,0)+7,4),,))</f>
        <v>5746.6695869978748</v>
      </c>
      <c r="N78" s="768">
        <f ca="1">INDIRECT("'kc-Wert für Stützen'!"&amp;SUBSTITUTE(ADDRESS(MATCH($A78,'kc-Wert für Stützen'!$C:$C,0),MATCH(N$7,'kc-Wert für Stützen'!$A$8:$ES$8,0)+7,4),,))</f>
        <v>5479.1962058266627</v>
      </c>
      <c r="O78" s="768">
        <f ca="1">INDIRECT("'kc-Wert für Stützen'!"&amp;SUBSTITUTE(ADDRESS(MATCH($A78,'kc-Wert für Stützen'!$C:$C,0),MATCH(O$7,'kc-Wert für Stützen'!$A$8:$ES$8,0)+7,4),,))</f>
        <v>5229.2884139626567</v>
      </c>
      <c r="P78" s="768">
        <f ca="1">INDIRECT("'kc-Wert für Stützen'!"&amp;SUBSTITUTE(ADDRESS(MATCH($A78,'kc-Wert für Stützen'!$C:$C,0),MATCH(P$7,'kc-Wert für Stützen'!$A$8:$ES$8,0)+7,4),,))</f>
        <v>4995.5498710843121</v>
      </c>
      <c r="S78" s="772">
        <f t="shared" ca="1" si="31"/>
        <v>9221.2130063769691</v>
      </c>
      <c r="T78" s="772">
        <f t="shared" ca="1" si="30"/>
        <v>9221.2130063769691</v>
      </c>
      <c r="U78" s="772">
        <f t="shared" ca="1" si="30"/>
        <v>9221.2130063769691</v>
      </c>
      <c r="V78" s="772">
        <f t="shared" ca="1" si="30"/>
        <v>8719.910870010046</v>
      </c>
      <c r="W78" s="772">
        <f t="shared" ca="1" si="30"/>
        <v>8250.670493691774</v>
      </c>
      <c r="X78" s="772">
        <f t="shared" ca="1" si="30"/>
        <v>7812.649780548797</v>
      </c>
      <c r="Y78" s="772">
        <f t="shared" ca="1" si="30"/>
        <v>7404.4160754315199</v>
      </c>
      <c r="Z78" s="772">
        <f t="shared" ca="1" si="30"/>
        <v>9221.2130063769691</v>
      </c>
      <c r="AA78" s="772">
        <f t="shared" ca="1" si="30"/>
        <v>9221.2130063769691</v>
      </c>
      <c r="AB78" s="772">
        <f t="shared" ca="1" si="29"/>
        <v>8719.910870010046</v>
      </c>
      <c r="AC78" s="772">
        <f t="shared" ca="1" si="29"/>
        <v>8719.910870010046</v>
      </c>
      <c r="AD78" s="772">
        <f t="shared" ca="1" si="29"/>
        <v>8250.670493691774</v>
      </c>
      <c r="AE78" s="772">
        <f t="shared" ca="1" si="29"/>
        <v>8250.670493691774</v>
      </c>
      <c r="AF78" s="772">
        <f t="shared" ca="1" si="29"/>
        <v>7812.649780548797</v>
      </c>
      <c r="AG78" s="772">
        <f t="shared" ca="1" si="29"/>
        <v>7812.649780548797</v>
      </c>
      <c r="AH78" s="772">
        <f t="shared" ca="1" si="29"/>
        <v>7812.649780548797</v>
      </c>
      <c r="AI78" s="772">
        <f t="shared" ca="1" si="29"/>
        <v>9221.2130063769691</v>
      </c>
      <c r="AJ78" s="772">
        <f t="shared" ca="1" si="29"/>
        <v>9221.2130063769691</v>
      </c>
      <c r="AK78" s="772">
        <f t="shared" ca="1" si="29"/>
        <v>8719.910870010046</v>
      </c>
      <c r="AL78" s="772">
        <f t="shared" ca="1" si="29"/>
        <v>8719.910870010046</v>
      </c>
      <c r="AM78" s="772">
        <f t="shared" ca="1" si="29"/>
        <v>8250.670493691774</v>
      </c>
      <c r="AN78" s="772">
        <f t="shared" ca="1" si="29"/>
        <v>8250.670493691774</v>
      </c>
      <c r="AO78" s="772">
        <f t="shared" ca="1" si="29"/>
        <v>7812.649780548797</v>
      </c>
      <c r="AP78" s="772">
        <f t="shared" ca="1" si="29"/>
        <v>7812.649780548797</v>
      </c>
      <c r="AQ78" s="772">
        <f t="shared" ca="1" si="29"/>
        <v>7812.649780548797</v>
      </c>
      <c r="AR78" s="772">
        <f t="shared" ca="1" si="28"/>
        <v>9221.2130063769691</v>
      </c>
      <c r="AS78" s="772">
        <f t="shared" ca="1" si="28"/>
        <v>9221.2130063769691</v>
      </c>
      <c r="AT78" s="772">
        <f t="shared" ca="1" si="28"/>
        <v>8719.910870010046</v>
      </c>
      <c r="AU78" s="772">
        <f t="shared" ca="1" si="28"/>
        <v>8719.910870010046</v>
      </c>
      <c r="AV78" s="772">
        <f t="shared" ca="1" si="28"/>
        <v>8250.670493691774</v>
      </c>
      <c r="AW78" s="772">
        <f t="shared" ca="1" si="28"/>
        <v>8250.670493691774</v>
      </c>
      <c r="AX78" s="772">
        <f t="shared" ca="1" si="28"/>
        <v>7812.649780548797</v>
      </c>
      <c r="AY78" s="772">
        <f t="shared" ca="1" si="28"/>
        <v>7812.649780548797</v>
      </c>
      <c r="AZ78" s="772">
        <f t="shared" ca="1" si="28"/>
        <v>7812.649780548797</v>
      </c>
      <c r="BA78" s="772">
        <f t="shared" ca="1" si="28"/>
        <v>9221.2130063769691</v>
      </c>
      <c r="BB78" s="772">
        <f t="shared" ca="1" si="28"/>
        <v>9221.2130063769691</v>
      </c>
      <c r="BC78" s="772">
        <f t="shared" ca="1" si="28"/>
        <v>8719.910870010046</v>
      </c>
      <c r="BD78" s="772">
        <f t="shared" ca="1" si="28"/>
        <v>8250.670493691774</v>
      </c>
      <c r="BE78" s="772">
        <f t="shared" ca="1" si="28"/>
        <v>8250.670493691774</v>
      </c>
      <c r="BF78" s="772">
        <f t="shared" ca="1" si="28"/>
        <v>7812.649780548797</v>
      </c>
      <c r="BG78" s="772">
        <f t="shared" ca="1" si="25"/>
        <v>7812.649780548797</v>
      </c>
      <c r="BH78" s="772">
        <f t="shared" ca="1" si="25"/>
        <v>7404.4160754315199</v>
      </c>
      <c r="BI78" s="772">
        <f t="shared" ca="1" si="25"/>
        <v>7404.4160754315199</v>
      </c>
      <c r="BJ78" s="772">
        <f t="shared" ca="1" si="25"/>
        <v>8719.910870010046</v>
      </c>
      <c r="BK78" s="772">
        <f t="shared" ca="1" si="25"/>
        <v>8719.910870010046</v>
      </c>
      <c r="BL78" s="772">
        <f t="shared" ca="1" si="25"/>
        <v>8719.910870010046</v>
      </c>
      <c r="BM78" s="772">
        <f t="shared" ca="1" si="25"/>
        <v>8719.910870010046</v>
      </c>
      <c r="BN78" s="772">
        <f t="shared" ca="1" si="25"/>
        <v>7812.649780548797</v>
      </c>
      <c r="BO78" s="772">
        <f t="shared" ca="1" si="25"/>
        <v>7812.649780548797</v>
      </c>
      <c r="BP78" s="772">
        <f t="shared" ca="1" si="25"/>
        <v>7404.4160754315199</v>
      </c>
      <c r="BQ78" s="772">
        <f t="shared" ca="1" si="25"/>
        <v>7404.4160754315199</v>
      </c>
      <c r="BR78" s="772">
        <f t="shared" ca="1" si="25"/>
        <v>7024.2275828351248</v>
      </c>
      <c r="BS78" s="772">
        <f t="shared" ca="1" si="25"/>
        <v>8719.910870010046</v>
      </c>
      <c r="BT78" s="772">
        <f t="shared" ca="1" si="25"/>
        <v>8719.910870010046</v>
      </c>
      <c r="BU78" s="772">
        <f t="shared" ca="1" si="25"/>
        <v>8719.910870010046</v>
      </c>
      <c r="BV78" s="772">
        <f t="shared" ca="1" si="25"/>
        <v>8250.670493691774</v>
      </c>
      <c r="BW78" s="772">
        <f t="shared" ca="1" si="27"/>
        <v>8250.670493691774</v>
      </c>
      <c r="BX78" s="772">
        <f t="shared" ca="1" si="27"/>
        <v>7404.4160754315199</v>
      </c>
      <c r="BY78" s="772">
        <f t="shared" ca="1" si="27"/>
        <v>7404.4160754315199</v>
      </c>
      <c r="BZ78" s="772">
        <f t="shared" ca="1" si="27"/>
        <v>7024.2275828351248</v>
      </c>
      <c r="CA78" s="772">
        <f t="shared" ca="1" si="27"/>
        <v>7024.2275828351248</v>
      </c>
      <c r="CB78" s="772">
        <f t="shared" ca="1" si="27"/>
        <v>8250.670493691774</v>
      </c>
      <c r="CC78" s="772">
        <f t="shared" ca="1" si="27"/>
        <v>8250.670493691774</v>
      </c>
      <c r="CD78" s="772">
        <f t="shared" ca="1" si="27"/>
        <v>8250.670493691774</v>
      </c>
      <c r="CE78" s="772">
        <f t="shared" ca="1" si="27"/>
        <v>8250.670493691774</v>
      </c>
      <c r="CF78" s="772">
        <f t="shared" ca="1" si="27"/>
        <v>7812.649780548797</v>
      </c>
      <c r="CG78" s="772">
        <f t="shared" ca="1" si="27"/>
        <v>7404.4160754315199</v>
      </c>
      <c r="CH78" s="772">
        <f t="shared" ca="1" si="27"/>
        <v>7024.2275828351248</v>
      </c>
      <c r="CI78" s="772">
        <f t="shared" ca="1" si="27"/>
        <v>7024.2275828351248</v>
      </c>
      <c r="CJ78" s="772">
        <f t="shared" ca="1" si="27"/>
        <v>6670.2143017000235</v>
      </c>
    </row>
    <row r="79" spans="1:88" ht="15" customHeight="1">
      <c r="A79" s="770">
        <f>'kc-Wert für Stützen'!C79</f>
        <v>131</v>
      </c>
      <c r="B79" s="768">
        <f ca="1">INDIRECT("'kc-Wert für Stützen'!"&amp;SUBSTITUTE(ADDRESS(MATCH($A79,'kc-Wert für Stützen'!$C:$C,0),MATCH(B$7,'kc-Wert für Stützen'!$A$8:$ES$8,0)+7,4),,))</f>
        <v>10602.913622261212</v>
      </c>
      <c r="C79" s="768">
        <f ca="1">INDIRECT("'kc-Wert für Stützen'!"&amp;SUBSTITUTE(ADDRESS(MATCH($A79,'kc-Wert für Stützen'!$C:$C,0),MATCH(C$7,'kc-Wert für Stützen'!$A$8:$ES$8,0)+7,4),,))</f>
        <v>10029.145985367768</v>
      </c>
      <c r="D79" s="768">
        <f ca="1">INDIRECT("'kc-Wert für Stützen'!"&amp;SUBSTITUTE(ADDRESS(MATCH($A79,'kc-Wert für Stützen'!$C:$C,0),MATCH(D$7,'kc-Wert für Stützen'!$A$8:$ES$8,0)+7,4),,))</f>
        <v>9484.7898227786081</v>
      </c>
      <c r="E79" s="768">
        <f ca="1">INDIRECT("'kc-Wert für Stützen'!"&amp;SUBSTITUTE(ADDRESS(MATCH($A79,'kc-Wert für Stützen'!$C:$C,0),MATCH(E$7,'kc-Wert für Stützen'!$A$8:$ES$8,0)+7,4),,))</f>
        <v>8972.0853236384664</v>
      </c>
      <c r="F79" s="768">
        <f ca="1">INDIRECT("'kc-Wert für Stützen'!"&amp;SUBSTITUTE(ADDRESS(MATCH($A79,'kc-Wert für Stützen'!$C:$C,0),MATCH(F$7,'kc-Wert für Stützen'!$A$8:$ES$8,0)+7,4),,))</f>
        <v>8491.5142852153604</v>
      </c>
      <c r="G79" s="768">
        <f ca="1">INDIRECT("'kc-Wert für Stützen'!"&amp;SUBSTITUTE(ADDRESS(MATCH($A79,'kc-Wert für Stützen'!$C:$C,0),MATCH(G$7,'kc-Wert für Stützen'!$A$8:$ES$8,0)+7,4),,))</f>
        <v>8042.4374402805297</v>
      </c>
      <c r="H79" s="768">
        <f ca="1">INDIRECT("'kc-Wert für Stützen'!"&amp;SUBSTITUTE(ADDRESS(MATCH($A79,'kc-Wert für Stützen'!$C:$C,0),MATCH(H$7,'kc-Wert für Stützen'!$A$8:$ES$8,0)+7,4),,))</f>
        <v>7623.5471322689928</v>
      </c>
      <c r="I79" s="768">
        <f ca="1">INDIRECT("'kc-Wert für Stützen'!"&amp;SUBSTITUTE(ADDRESS(MATCH($A79,'kc-Wert für Stützen'!$C:$C,0),MATCH(I$7,'kc-Wert für Stützen'!$A$8:$ES$8,0)+7,4),,))</f>
        <v>7233.172509088934</v>
      </c>
      <c r="J79" s="768">
        <f ca="1">INDIRECT("'kc-Wert für Stützen'!"&amp;SUBSTITUTE(ADDRESS(MATCH($A79,'kc-Wert für Stützen'!$C:$C,0),MATCH(J$7,'kc-Wert für Stützen'!$A$8:$ES$8,0)+7,4),,))</f>
        <v>6869.4779737895433</v>
      </c>
      <c r="K79" s="768">
        <f ca="1">INDIRECT("'kc-Wert für Stützen'!"&amp;SUBSTITUTE(ADDRESS(MATCH($A79,'kc-Wert für Stützen'!$C:$C,0),MATCH(K$7,'kc-Wert für Stützen'!$A$8:$ES$8,0)+7,4),,))</f>
        <v>6530.5882779162066</v>
      </c>
      <c r="L79" s="768">
        <f ca="1">INDIRECT("'kc-Wert für Stützen'!"&amp;SUBSTITUTE(ADDRESS(MATCH($A79,'kc-Wert für Stützen'!$C:$C,0),MATCH(L$7,'kc-Wert für Stützen'!$A$8:$ES$8,0)+7,4),,))</f>
        <v>6214.6646938987587</v>
      </c>
      <c r="M79" s="768">
        <f ca="1">INDIRECT("'kc-Wert für Stützen'!"&amp;SUBSTITUTE(ADDRESS(MATCH($A79,'kc-Wert für Stützen'!$C:$C,0),MATCH(M$7,'kc-Wert für Stützen'!$A$8:$ES$8,0)+7,4),,))</f>
        <v>5919.9491941538381</v>
      </c>
      <c r="N79" s="768">
        <f ca="1">INDIRECT("'kc-Wert für Stützen'!"&amp;SUBSTITUTE(ADDRESS(MATCH($A79,'kc-Wert für Stützen'!$C:$C,0),MATCH(N$7,'kc-Wert für Stützen'!$A$8:$ES$8,0)+7,4),,))</f>
        <v>5644.788024855583</v>
      </c>
      <c r="O79" s="768">
        <f ca="1">INDIRECT("'kc-Wert für Stützen'!"&amp;SUBSTITUTE(ADDRESS(MATCH($A79,'kc-Wert für Stützen'!$C:$C,0),MATCH(O$7,'kc-Wert für Stützen'!$A$8:$ES$8,0)+7,4),,))</f>
        <v>5387.6422112000864</v>
      </c>
      <c r="P79" s="768">
        <f ca="1">INDIRECT("'kc-Wert für Stützen'!"&amp;SUBSTITUTE(ADDRESS(MATCH($A79,'kc-Wert für Stützen'!$C:$C,0),MATCH(P$7,'kc-Wert für Stützen'!$A$8:$ES$8,0)+7,4),,))</f>
        <v>5147.089933514284</v>
      </c>
      <c r="S79" s="772">
        <f t="shared" ca="1" si="31"/>
        <v>9484.7898227786081</v>
      </c>
      <c r="T79" s="772">
        <f t="shared" ca="1" si="30"/>
        <v>9484.7898227786081</v>
      </c>
      <c r="U79" s="772">
        <f t="shared" ca="1" si="30"/>
        <v>9484.7898227786081</v>
      </c>
      <c r="V79" s="772">
        <f t="shared" ca="1" si="30"/>
        <v>8972.0853236384664</v>
      </c>
      <c r="W79" s="772">
        <f t="shared" ca="1" si="30"/>
        <v>8491.5142852153604</v>
      </c>
      <c r="X79" s="772">
        <f t="shared" ca="1" si="30"/>
        <v>8042.4374402805297</v>
      </c>
      <c r="Y79" s="772">
        <f t="shared" ca="1" si="30"/>
        <v>7623.5471322689928</v>
      </c>
      <c r="Z79" s="772">
        <f t="shared" ca="1" si="30"/>
        <v>9484.7898227786081</v>
      </c>
      <c r="AA79" s="772">
        <f t="shared" ca="1" si="30"/>
        <v>9484.7898227786081</v>
      </c>
      <c r="AB79" s="772">
        <f t="shared" ca="1" si="29"/>
        <v>8972.0853236384664</v>
      </c>
      <c r="AC79" s="772">
        <f t="shared" ca="1" si="29"/>
        <v>8972.0853236384664</v>
      </c>
      <c r="AD79" s="772">
        <f t="shared" ca="1" si="29"/>
        <v>8491.5142852153604</v>
      </c>
      <c r="AE79" s="772">
        <f t="shared" ca="1" si="29"/>
        <v>8491.5142852153604</v>
      </c>
      <c r="AF79" s="772">
        <f t="shared" ca="1" si="29"/>
        <v>8042.4374402805297</v>
      </c>
      <c r="AG79" s="772">
        <f t="shared" ca="1" si="29"/>
        <v>8042.4374402805297</v>
      </c>
      <c r="AH79" s="772">
        <f t="shared" ca="1" si="29"/>
        <v>8042.4374402805297</v>
      </c>
      <c r="AI79" s="772">
        <f t="shared" ca="1" si="29"/>
        <v>9484.7898227786081</v>
      </c>
      <c r="AJ79" s="772">
        <f t="shared" ca="1" si="29"/>
        <v>9484.7898227786081</v>
      </c>
      <c r="AK79" s="772">
        <f t="shared" ca="1" si="29"/>
        <v>8972.0853236384664</v>
      </c>
      <c r="AL79" s="772">
        <f t="shared" ca="1" si="29"/>
        <v>8972.0853236384664</v>
      </c>
      <c r="AM79" s="772">
        <f t="shared" ca="1" si="29"/>
        <v>8491.5142852153604</v>
      </c>
      <c r="AN79" s="772">
        <f t="shared" ca="1" si="29"/>
        <v>8491.5142852153604</v>
      </c>
      <c r="AO79" s="772">
        <f t="shared" ca="1" si="29"/>
        <v>8042.4374402805297</v>
      </c>
      <c r="AP79" s="772">
        <f t="shared" ca="1" si="29"/>
        <v>8042.4374402805297</v>
      </c>
      <c r="AQ79" s="772">
        <f t="shared" ca="1" si="29"/>
        <v>8042.4374402805297</v>
      </c>
      <c r="AR79" s="772">
        <f t="shared" ca="1" si="28"/>
        <v>9484.7898227786081</v>
      </c>
      <c r="AS79" s="772">
        <f t="shared" ca="1" si="28"/>
        <v>9484.7898227786081</v>
      </c>
      <c r="AT79" s="772">
        <f t="shared" ca="1" si="28"/>
        <v>8972.0853236384664</v>
      </c>
      <c r="AU79" s="772">
        <f t="shared" ca="1" si="28"/>
        <v>8972.0853236384664</v>
      </c>
      <c r="AV79" s="772">
        <f t="shared" ca="1" si="28"/>
        <v>8491.5142852153604</v>
      </c>
      <c r="AW79" s="772">
        <f t="shared" ca="1" si="28"/>
        <v>8491.5142852153604</v>
      </c>
      <c r="AX79" s="772">
        <f t="shared" ca="1" si="28"/>
        <v>8042.4374402805297</v>
      </c>
      <c r="AY79" s="772">
        <f t="shared" ca="1" si="28"/>
        <v>8042.4374402805297</v>
      </c>
      <c r="AZ79" s="772">
        <f t="shared" ca="1" si="28"/>
        <v>8042.4374402805297</v>
      </c>
      <c r="BA79" s="772">
        <f t="shared" ca="1" si="28"/>
        <v>9484.7898227786081</v>
      </c>
      <c r="BB79" s="772">
        <f t="shared" ca="1" si="28"/>
        <v>9484.7898227786081</v>
      </c>
      <c r="BC79" s="772">
        <f t="shared" ca="1" si="28"/>
        <v>8972.0853236384664</v>
      </c>
      <c r="BD79" s="772">
        <f t="shared" ca="1" si="28"/>
        <v>8491.5142852153604</v>
      </c>
      <c r="BE79" s="772">
        <f t="shared" ca="1" si="28"/>
        <v>8491.5142852153604</v>
      </c>
      <c r="BF79" s="772">
        <f t="shared" ca="1" si="28"/>
        <v>8042.4374402805297</v>
      </c>
      <c r="BG79" s="772">
        <f t="shared" ca="1" si="25"/>
        <v>8042.4374402805297</v>
      </c>
      <c r="BH79" s="772">
        <f t="shared" ca="1" si="25"/>
        <v>7623.5471322689928</v>
      </c>
      <c r="BI79" s="772">
        <f t="shared" ca="1" si="25"/>
        <v>7623.5471322689928</v>
      </c>
      <c r="BJ79" s="772">
        <f t="shared" ca="1" si="25"/>
        <v>8972.0853236384664</v>
      </c>
      <c r="BK79" s="772">
        <f t="shared" ca="1" si="25"/>
        <v>8972.0853236384664</v>
      </c>
      <c r="BL79" s="772">
        <f t="shared" ca="1" si="25"/>
        <v>8972.0853236384664</v>
      </c>
      <c r="BM79" s="772">
        <f t="shared" ca="1" si="25"/>
        <v>8972.0853236384664</v>
      </c>
      <c r="BN79" s="772">
        <f t="shared" ca="1" si="25"/>
        <v>8042.4374402805297</v>
      </c>
      <c r="BO79" s="772">
        <f t="shared" ca="1" si="25"/>
        <v>8042.4374402805297</v>
      </c>
      <c r="BP79" s="772">
        <f t="shared" ca="1" si="25"/>
        <v>7623.5471322689928</v>
      </c>
      <c r="BQ79" s="772">
        <f t="shared" ca="1" si="25"/>
        <v>7623.5471322689928</v>
      </c>
      <c r="BR79" s="772">
        <f t="shared" ca="1" si="25"/>
        <v>7233.172509088934</v>
      </c>
      <c r="BS79" s="772">
        <f t="shared" ca="1" si="25"/>
        <v>8972.0853236384664</v>
      </c>
      <c r="BT79" s="772">
        <f t="shared" ca="1" si="25"/>
        <v>8972.0853236384664</v>
      </c>
      <c r="BU79" s="772">
        <f t="shared" ca="1" si="25"/>
        <v>8972.0853236384664</v>
      </c>
      <c r="BV79" s="772">
        <f t="shared" ca="1" si="25"/>
        <v>8491.5142852153604</v>
      </c>
      <c r="BW79" s="772">
        <f t="shared" ca="1" si="27"/>
        <v>8491.5142852153604</v>
      </c>
      <c r="BX79" s="772">
        <f t="shared" ca="1" si="27"/>
        <v>7623.5471322689928</v>
      </c>
      <c r="BY79" s="772">
        <f t="shared" ca="1" si="27"/>
        <v>7623.5471322689928</v>
      </c>
      <c r="BZ79" s="772">
        <f t="shared" ca="1" si="27"/>
        <v>7233.172509088934</v>
      </c>
      <c r="CA79" s="772">
        <f t="shared" ca="1" si="27"/>
        <v>7233.172509088934</v>
      </c>
      <c r="CB79" s="772">
        <f t="shared" ca="1" si="27"/>
        <v>8491.5142852153604</v>
      </c>
      <c r="CC79" s="772">
        <f t="shared" ca="1" si="27"/>
        <v>8491.5142852153604</v>
      </c>
      <c r="CD79" s="772">
        <f t="shared" ca="1" si="27"/>
        <v>8491.5142852153604</v>
      </c>
      <c r="CE79" s="772">
        <f t="shared" ca="1" si="27"/>
        <v>8491.5142852153604</v>
      </c>
      <c r="CF79" s="772">
        <f t="shared" ca="1" si="27"/>
        <v>8042.4374402805297</v>
      </c>
      <c r="CG79" s="772">
        <f t="shared" ca="1" si="27"/>
        <v>7623.5471322689928</v>
      </c>
      <c r="CH79" s="772">
        <f t="shared" ca="1" si="27"/>
        <v>7233.172509088934</v>
      </c>
      <c r="CI79" s="772">
        <f t="shared" ca="1" si="27"/>
        <v>7233.172509088934</v>
      </c>
      <c r="CJ79" s="772">
        <f t="shared" ca="1" si="27"/>
        <v>6869.4779737895433</v>
      </c>
    </row>
    <row r="80" spans="1:88" ht="15" customHeight="1">
      <c r="A80" s="770">
        <f>'kc-Wert für Stützen'!C80</f>
        <v>132</v>
      </c>
      <c r="B80" s="768">
        <f ca="1">INDIRECT("'kc-Wert für Stützen'!"&amp;SUBSTITUTE(ADDRESS(MATCH($A80,'kc-Wert für Stützen'!$C:$C,0),MATCH(B$7,'kc-Wert für Stützen'!$A$8:$ES$8,0)+7,4),,))</f>
        <v>10892.416647828833</v>
      </c>
      <c r="C80" s="768">
        <f ca="1">INDIRECT("'kc-Wert für Stützen'!"&amp;SUBSTITUTE(ADDRESS(MATCH($A80,'kc-Wert für Stützen'!$C:$C,0),MATCH(C$7,'kc-Wert für Stützen'!$A$8:$ES$8,0)+7,4),,))</f>
        <v>10308.397958414371</v>
      </c>
      <c r="D80" s="768">
        <f ca="1">INDIRECT("'kc-Wert für Stützen'!"&amp;SUBSTITUTE(ADDRESS(MATCH($A80,'kc-Wert für Stützen'!$C:$C,0),MATCH(D$7,'kc-Wert für Stützen'!$A$8:$ES$8,0)+7,4),,))</f>
        <v>9752.9877995688312</v>
      </c>
      <c r="E80" s="768">
        <f ca="1">INDIRECT("'kc-Wert für Stützen'!"&amp;SUBSTITUTE(ADDRESS(MATCH($A80,'kc-Wert für Stützen'!$C:$C,0),MATCH(E$7,'kc-Wert für Stützen'!$A$8:$ES$8,0)+7,4),,))</f>
        <v>9228.9038416579278</v>
      </c>
      <c r="F80" s="768">
        <f ca="1">INDIRECT("'kc-Wert für Stützen'!"&amp;SUBSTITUTE(ADDRESS(MATCH($A80,'kc-Wert für Stützen'!$C:$C,0),MATCH(F$7,'kc-Wert für Stützen'!$A$8:$ES$8,0)+7,4),,))</f>
        <v>8736.9628226241039</v>
      </c>
      <c r="G80" s="768">
        <f ca="1">INDIRECT("'kc-Wert für Stützen'!"&amp;SUBSTITUTE(ADDRESS(MATCH($A80,'kc-Wert für Stützen'!$C:$C,0),MATCH(G$7,'kc-Wert für Stützen'!$A$8:$ES$8,0)+7,4),,))</f>
        <v>8276.7477166763802</v>
      </c>
      <c r="H80" s="768">
        <f ca="1">INDIRECT("'kc-Wert für Stützen'!"&amp;SUBSTITUTE(ADDRESS(MATCH($A80,'kc-Wert für Stützen'!$C:$C,0),MATCH(H$7,'kc-Wert für Stützen'!$A$8:$ES$8,0)+7,4),,))</f>
        <v>7847.0904377418829</v>
      </c>
      <c r="I80" s="768">
        <f ca="1">INDIRECT("'kc-Wert für Stützen'!"&amp;SUBSTITUTE(ADDRESS(MATCH($A80,'kc-Wert für Stützen'!$C:$C,0),MATCH(I$7,'kc-Wert für Stützen'!$A$8:$ES$8,0)+7,4),,))</f>
        <v>7446.4016614329357</v>
      </c>
      <c r="J80" s="768">
        <f ca="1">INDIRECT("'kc-Wert für Stützen'!"&amp;SUBSTITUTE(ADDRESS(MATCH($A80,'kc-Wert für Stützen'!$C:$C,0),MATCH(J$7,'kc-Wert für Stützen'!$A$8:$ES$8,0)+7,4),,))</f>
        <v>7072.8877265755018</v>
      </c>
      <c r="K80" s="768">
        <f ca="1">INDIRECT("'kc-Wert für Stützen'!"&amp;SUBSTITUTE(ADDRESS(MATCH($A80,'kc-Wert für Stützen'!$C:$C,0),MATCH(K$7,'kc-Wert für Stützen'!$A$8:$ES$8,0)+7,4),,))</f>
        <v>6724.6889196015009</v>
      </c>
      <c r="L80" s="768">
        <f ca="1">INDIRECT("'kc-Wert für Stützen'!"&amp;SUBSTITUTE(ADDRESS(MATCH($A80,'kc-Wert für Stützen'!$C:$C,0),MATCH(L$7,'kc-Wert für Stützen'!$A$8:$ES$8,0)+7,4),,))</f>
        <v>6399.9648352293771</v>
      </c>
      <c r="M80" s="768">
        <f ca="1">INDIRECT("'kc-Wert für Stützen'!"&amp;SUBSTITUTE(ADDRESS(MATCH($A80,'kc-Wert für Stützen'!$C:$C,0),MATCH(M$7,'kc-Wert für Stützen'!$A$8:$ES$8,0)+7,4),,))</f>
        <v>6096.9448574737116</v>
      </c>
      <c r="N80" s="768">
        <f ca="1">INDIRECT("'kc-Wert für Stützen'!"&amp;SUBSTITUTE(ADDRESS(MATCH($A80,'kc-Wert für Stützen'!$C:$C,0),MATCH(N$7,'kc-Wert für Stützen'!$A$8:$ES$8,0)+7,4),,))</f>
        <v>5813.9560112722984</v>
      </c>
      <c r="O80" s="768">
        <f ca="1">INDIRECT("'kc-Wert für Stützen'!"&amp;SUBSTITUTE(ADDRESS(MATCH($A80,'kc-Wert für Stützen'!$C:$C,0),MATCH(O$7,'kc-Wert für Stützen'!$A$8:$ES$8,0)+7,4),,))</f>
        <v>5549.4363470280732</v>
      </c>
      <c r="P80" s="768">
        <f ca="1">INDIRECT("'kc-Wert für Stützen'!"&amp;SUBSTITUTE(ADDRESS(MATCH($A80,'kc-Wert für Stützen'!$C:$C,0),MATCH(P$7,'kc-Wert für Stützen'!$A$8:$ES$8,0)+7,4),,))</f>
        <v>5301.9392370016221</v>
      </c>
      <c r="S80" s="772">
        <f t="shared" ca="1" si="31"/>
        <v>9752.9877995688312</v>
      </c>
      <c r="T80" s="772">
        <f t="shared" ca="1" si="30"/>
        <v>9752.9877995688312</v>
      </c>
      <c r="U80" s="772">
        <f t="shared" ca="1" si="30"/>
        <v>9752.9877995688312</v>
      </c>
      <c r="V80" s="772">
        <f t="shared" ca="1" si="30"/>
        <v>9228.9038416579278</v>
      </c>
      <c r="W80" s="772">
        <f t="shared" ca="1" si="30"/>
        <v>8736.9628226241039</v>
      </c>
      <c r="X80" s="772">
        <f t="shared" ca="1" si="30"/>
        <v>8276.7477166763802</v>
      </c>
      <c r="Y80" s="772">
        <f t="shared" ca="1" si="30"/>
        <v>7847.0904377418829</v>
      </c>
      <c r="Z80" s="772">
        <f t="shared" ca="1" si="30"/>
        <v>9752.9877995688312</v>
      </c>
      <c r="AA80" s="772">
        <f t="shared" ca="1" si="30"/>
        <v>9752.9877995688312</v>
      </c>
      <c r="AB80" s="772">
        <f t="shared" ca="1" si="29"/>
        <v>9228.9038416579278</v>
      </c>
      <c r="AC80" s="772">
        <f t="shared" ca="1" si="29"/>
        <v>9228.9038416579278</v>
      </c>
      <c r="AD80" s="772">
        <f t="shared" ca="1" si="29"/>
        <v>8736.9628226241039</v>
      </c>
      <c r="AE80" s="772">
        <f t="shared" ca="1" si="29"/>
        <v>8736.9628226241039</v>
      </c>
      <c r="AF80" s="772">
        <f t="shared" ca="1" si="29"/>
        <v>8276.7477166763802</v>
      </c>
      <c r="AG80" s="772">
        <f t="shared" ca="1" si="29"/>
        <v>8276.7477166763802</v>
      </c>
      <c r="AH80" s="772">
        <f t="shared" ca="1" si="29"/>
        <v>8276.7477166763802</v>
      </c>
      <c r="AI80" s="772">
        <f t="shared" ca="1" si="29"/>
        <v>9752.9877995688312</v>
      </c>
      <c r="AJ80" s="772">
        <f t="shared" ca="1" si="29"/>
        <v>9752.9877995688312</v>
      </c>
      <c r="AK80" s="772">
        <f t="shared" ca="1" si="29"/>
        <v>9228.9038416579278</v>
      </c>
      <c r="AL80" s="772">
        <f t="shared" ca="1" si="29"/>
        <v>9228.9038416579278</v>
      </c>
      <c r="AM80" s="772">
        <f t="shared" ca="1" si="29"/>
        <v>8736.9628226241039</v>
      </c>
      <c r="AN80" s="772">
        <f t="shared" ca="1" si="29"/>
        <v>8736.9628226241039</v>
      </c>
      <c r="AO80" s="772">
        <f t="shared" ca="1" si="29"/>
        <v>8276.7477166763802</v>
      </c>
      <c r="AP80" s="772">
        <f t="shared" ca="1" si="29"/>
        <v>8276.7477166763802</v>
      </c>
      <c r="AQ80" s="772">
        <f t="shared" ca="1" si="29"/>
        <v>8276.7477166763802</v>
      </c>
      <c r="AR80" s="772">
        <f t="shared" ca="1" si="28"/>
        <v>9752.9877995688312</v>
      </c>
      <c r="AS80" s="772">
        <f t="shared" ca="1" si="28"/>
        <v>9752.9877995688312</v>
      </c>
      <c r="AT80" s="772">
        <f t="shared" ca="1" si="28"/>
        <v>9228.9038416579278</v>
      </c>
      <c r="AU80" s="772">
        <f t="shared" ca="1" si="28"/>
        <v>9228.9038416579278</v>
      </c>
      <c r="AV80" s="772">
        <f t="shared" ca="1" si="28"/>
        <v>8736.9628226241039</v>
      </c>
      <c r="AW80" s="772">
        <f t="shared" ca="1" si="28"/>
        <v>8736.9628226241039</v>
      </c>
      <c r="AX80" s="772">
        <f t="shared" ca="1" si="28"/>
        <v>8276.7477166763802</v>
      </c>
      <c r="AY80" s="772">
        <f t="shared" ca="1" si="28"/>
        <v>8276.7477166763802</v>
      </c>
      <c r="AZ80" s="772">
        <f t="shared" ca="1" si="28"/>
        <v>8276.7477166763802</v>
      </c>
      <c r="BA80" s="772">
        <f t="shared" ca="1" si="28"/>
        <v>9752.9877995688312</v>
      </c>
      <c r="BB80" s="772">
        <f t="shared" ca="1" si="28"/>
        <v>9752.9877995688312</v>
      </c>
      <c r="BC80" s="772">
        <f t="shared" ca="1" si="28"/>
        <v>9228.9038416579278</v>
      </c>
      <c r="BD80" s="772">
        <f t="shared" ca="1" si="28"/>
        <v>8736.9628226241039</v>
      </c>
      <c r="BE80" s="772">
        <f t="shared" ca="1" si="28"/>
        <v>8736.9628226241039</v>
      </c>
      <c r="BF80" s="772">
        <f t="shared" ca="1" si="28"/>
        <v>8276.7477166763802</v>
      </c>
      <c r="BG80" s="772">
        <f t="shared" ca="1" si="25"/>
        <v>8276.7477166763802</v>
      </c>
      <c r="BH80" s="772">
        <f t="shared" ca="1" si="25"/>
        <v>7847.0904377418829</v>
      </c>
      <c r="BI80" s="772">
        <f t="shared" ca="1" si="25"/>
        <v>7847.0904377418829</v>
      </c>
      <c r="BJ80" s="772">
        <f t="shared" ca="1" si="25"/>
        <v>9228.9038416579278</v>
      </c>
      <c r="BK80" s="772">
        <f t="shared" ca="1" si="25"/>
        <v>9228.9038416579278</v>
      </c>
      <c r="BL80" s="772">
        <f t="shared" ca="1" si="25"/>
        <v>9228.9038416579278</v>
      </c>
      <c r="BM80" s="772">
        <f t="shared" ca="1" si="25"/>
        <v>9228.9038416579278</v>
      </c>
      <c r="BN80" s="772">
        <f t="shared" ca="1" si="25"/>
        <v>8276.7477166763802</v>
      </c>
      <c r="BO80" s="772">
        <f t="shared" ca="1" si="25"/>
        <v>8276.7477166763802</v>
      </c>
      <c r="BP80" s="772">
        <f t="shared" ca="1" si="25"/>
        <v>7847.0904377418829</v>
      </c>
      <c r="BQ80" s="772">
        <f t="shared" ca="1" si="25"/>
        <v>7847.0904377418829</v>
      </c>
      <c r="BR80" s="772">
        <f t="shared" ca="1" si="25"/>
        <v>7446.4016614329357</v>
      </c>
      <c r="BS80" s="772">
        <f t="shared" ca="1" si="25"/>
        <v>9228.9038416579278</v>
      </c>
      <c r="BT80" s="772">
        <f t="shared" ca="1" si="25"/>
        <v>9228.9038416579278</v>
      </c>
      <c r="BU80" s="772">
        <f t="shared" ca="1" si="25"/>
        <v>9228.9038416579278</v>
      </c>
      <c r="BV80" s="772">
        <f t="shared" ca="1" si="25"/>
        <v>8736.9628226241039</v>
      </c>
      <c r="BW80" s="772">
        <f t="shared" ca="1" si="27"/>
        <v>8736.9628226241039</v>
      </c>
      <c r="BX80" s="772">
        <f t="shared" ca="1" si="27"/>
        <v>7847.0904377418829</v>
      </c>
      <c r="BY80" s="772">
        <f t="shared" ca="1" si="27"/>
        <v>7847.0904377418829</v>
      </c>
      <c r="BZ80" s="772">
        <f t="shared" ca="1" si="27"/>
        <v>7446.4016614329357</v>
      </c>
      <c r="CA80" s="772">
        <f t="shared" ca="1" si="27"/>
        <v>7446.4016614329357</v>
      </c>
      <c r="CB80" s="772">
        <f t="shared" ca="1" si="27"/>
        <v>8736.9628226241039</v>
      </c>
      <c r="CC80" s="772">
        <f t="shared" ca="1" si="27"/>
        <v>8736.9628226241039</v>
      </c>
      <c r="CD80" s="772">
        <f t="shared" ca="1" si="27"/>
        <v>8736.9628226241039</v>
      </c>
      <c r="CE80" s="772">
        <f t="shared" ca="1" si="27"/>
        <v>8736.9628226241039</v>
      </c>
      <c r="CF80" s="772">
        <f t="shared" ca="1" si="27"/>
        <v>8276.7477166763802</v>
      </c>
      <c r="CG80" s="772">
        <f t="shared" ca="1" si="27"/>
        <v>7847.0904377418829</v>
      </c>
      <c r="CH80" s="772">
        <f t="shared" ca="1" si="27"/>
        <v>7446.4016614329357</v>
      </c>
      <c r="CI80" s="772">
        <f t="shared" ca="1" si="27"/>
        <v>7446.4016614329357</v>
      </c>
      <c r="CJ80" s="772">
        <f t="shared" ca="1" si="27"/>
        <v>7072.8877265755018</v>
      </c>
    </row>
    <row r="81" spans="1:88" ht="15" customHeight="1">
      <c r="A81" s="770">
        <f>'kc-Wert für Stützen'!C81</f>
        <v>133</v>
      </c>
      <c r="B81" s="768">
        <f ca="1">INDIRECT("'kc-Wert für Stützen'!"&amp;SUBSTITUTE(ADDRESS(MATCH($A81,'kc-Wert für Stützen'!$C:$C,0),MATCH(B$7,'kc-Wert für Stützen'!$A$8:$ES$8,0)+7,4),,))</f>
        <v>11186.142990307124</v>
      </c>
      <c r="C81" s="768">
        <f ca="1">INDIRECT("'kc-Wert für Stützen'!"&amp;SUBSTITUTE(ADDRESS(MATCH($A81,'kc-Wert für Stützen'!$C:$C,0),MATCH(C$7,'kc-Wert für Stützen'!$A$8:$ES$8,0)+7,4),,))</f>
        <v>10592.123161054098</v>
      </c>
      <c r="D81" s="768">
        <f ca="1">INDIRECT("'kc-Wert für Stützen'!"&amp;SUBSTITUTE(ADDRESS(MATCH($A81,'kc-Wert für Stützen'!$C:$C,0),MATCH(D$7,'kc-Wert für Stützen'!$A$8:$ES$8,0)+7,4),,))</f>
        <v>10025.790619594705</v>
      </c>
      <c r="E81" s="768">
        <f ca="1">INDIRECT("'kc-Wert für Stützen'!"&amp;SUBSTITUTE(ADDRESS(MATCH($A81,'kc-Wert für Stützen'!$C:$C,0),MATCH(E$7,'kc-Wert für Stützen'!$A$8:$ES$8,0)+7,4),,))</f>
        <v>9490.3674654648512</v>
      </c>
      <c r="F81" s="768">
        <f ca="1">INDIRECT("'kc-Wert für Stützen'!"&amp;SUBSTITUTE(ADDRESS(MATCH($A81,'kc-Wert für Stützen'!$C:$C,0),MATCH(F$7,'kc-Wert für Stützen'!$A$8:$ES$8,0)+7,4),,))</f>
        <v>8987.0302248621356</v>
      </c>
      <c r="G81" s="768">
        <f ca="1">INDIRECT("'kc-Wert für Stützen'!"&amp;SUBSTITUTE(ADDRESS(MATCH($A81,'kc-Wert für Stützen'!$C:$C,0),MATCH(G$7,'kc-Wert für Stützen'!$A$8:$ES$8,0)+7,4),,))</f>
        <v>8515.6042859487134</v>
      </c>
      <c r="H81" s="768">
        <f ca="1">INDIRECT("'kc-Wert für Stützen'!"&amp;SUBSTITUTE(ADDRESS(MATCH($A81,'kc-Wert für Stützen'!$C:$C,0),MATCH(H$7,'kc-Wert für Stützen'!$A$8:$ES$8,0)+7,4),,))</f>
        <v>8075.0764741131497</v>
      </c>
      <c r="I81" s="768">
        <f ca="1">INDIRECT("'kc-Wert für Stützen'!"&amp;SUBSTITUTE(ADDRESS(MATCH($A81,'kc-Wert für Stützen'!$C:$C,0),MATCH(I$7,'kc-Wert für Stützen'!$A$8:$ES$8,0)+7,4),,))</f>
        <v>7663.9502366543175</v>
      </c>
      <c r="J81" s="768">
        <f ca="1">INDIRECT("'kc-Wert für Stützen'!"&amp;SUBSTITUTE(ADDRESS(MATCH($A81,'kc-Wert für Stützen'!$C:$C,0),MATCH(J$7,'kc-Wert für Stützen'!$A$8:$ES$8,0)+7,4),,))</f>
        <v>7280.4819056788865</v>
      </c>
      <c r="K81" s="768">
        <f ca="1">INDIRECT("'kc-Wert für Stützen'!"&amp;SUBSTITUTE(ADDRESS(MATCH($A81,'kc-Wert für Stützen'!$C:$C,0),MATCH(K$7,'kc-Wert für Stützen'!$A$8:$ES$8,0)+7,4),,))</f>
        <v>6922.832987836432</v>
      </c>
      <c r="L81" s="768">
        <f ca="1">INDIRECT("'kc-Wert für Stützen'!"&amp;SUBSTITUTE(ADDRESS(MATCH($A81,'kc-Wert für Stützen'!$C:$C,0),MATCH(L$7,'kc-Wert für Stützen'!$A$8:$ES$8,0)+7,4),,))</f>
        <v>6589.1653602706183</v>
      </c>
      <c r="M81" s="768">
        <f ca="1">INDIRECT("'kc-Wert für Stützen'!"&amp;SUBSTITUTE(ADDRESS(MATCH($A81,'kc-Wert für Stützen'!$C:$C,0),MATCH(M$7,'kc-Wert für Stützen'!$A$8:$ES$8,0)+7,4),,))</f>
        <v>6277.6985397894687</v>
      </c>
      <c r="N81" s="768">
        <f ca="1">INDIRECT("'kc-Wert für Stützen'!"&amp;SUBSTITUTE(ADDRESS(MATCH($A81,'kc-Wert für Stützen'!$C:$C,0),MATCH(N$7,'kc-Wert für Stützen'!$A$8:$ES$8,0)+7,4),,))</f>
        <v>5986.7421676211252</v>
      </c>
      <c r="O81" s="768">
        <f ca="1">INDIRECT("'kc-Wert für Stützen'!"&amp;SUBSTITUTE(ADDRESS(MATCH($A81,'kc-Wert für Stützen'!$C:$C,0),MATCH(O$7,'kc-Wert für Stützen'!$A$8:$ES$8,0)+7,4),,))</f>
        <v>5714.712529105419</v>
      </c>
      <c r="P81" s="768">
        <f ca="1">INDIRECT("'kc-Wert für Stützen'!"&amp;SUBSTITUTE(ADDRESS(MATCH($A81,'kc-Wert für Stützen'!$C:$C,0),MATCH(P$7,'kc-Wert für Stützen'!$A$8:$ES$8,0)+7,4),,))</f>
        <v>5460.1389534176642</v>
      </c>
      <c r="S81" s="772">
        <f t="shared" ca="1" si="31"/>
        <v>10025.790619594705</v>
      </c>
      <c r="T81" s="772">
        <f t="shared" ca="1" si="30"/>
        <v>10025.790619594705</v>
      </c>
      <c r="U81" s="772">
        <f t="shared" ca="1" si="30"/>
        <v>10025.790619594705</v>
      </c>
      <c r="V81" s="772">
        <f t="shared" ca="1" si="30"/>
        <v>9490.3674654648512</v>
      </c>
      <c r="W81" s="772">
        <f t="shared" ca="1" si="30"/>
        <v>8987.0302248621356</v>
      </c>
      <c r="X81" s="772">
        <f t="shared" ca="1" si="30"/>
        <v>8515.6042859487134</v>
      </c>
      <c r="Y81" s="772">
        <f t="shared" ca="1" si="30"/>
        <v>8075.0764741131497</v>
      </c>
      <c r="Z81" s="772">
        <f t="shared" ca="1" si="30"/>
        <v>10025.790619594705</v>
      </c>
      <c r="AA81" s="772">
        <f t="shared" ca="1" si="30"/>
        <v>10025.790619594705</v>
      </c>
      <c r="AB81" s="772">
        <f t="shared" ca="1" si="29"/>
        <v>9490.3674654648512</v>
      </c>
      <c r="AC81" s="772">
        <f t="shared" ca="1" si="29"/>
        <v>9490.3674654648512</v>
      </c>
      <c r="AD81" s="772">
        <f t="shared" ca="1" si="29"/>
        <v>8987.0302248621356</v>
      </c>
      <c r="AE81" s="772">
        <f t="shared" ca="1" si="29"/>
        <v>8987.0302248621356</v>
      </c>
      <c r="AF81" s="772">
        <f t="shared" ca="1" si="29"/>
        <v>8515.6042859487134</v>
      </c>
      <c r="AG81" s="772">
        <f t="shared" ca="1" si="29"/>
        <v>8515.6042859487134</v>
      </c>
      <c r="AH81" s="772">
        <f t="shared" ca="1" si="29"/>
        <v>8515.6042859487134</v>
      </c>
      <c r="AI81" s="772">
        <f t="shared" ca="1" si="29"/>
        <v>10025.790619594705</v>
      </c>
      <c r="AJ81" s="772">
        <f t="shared" ca="1" si="29"/>
        <v>10025.790619594705</v>
      </c>
      <c r="AK81" s="772">
        <f t="shared" ca="1" si="29"/>
        <v>9490.3674654648512</v>
      </c>
      <c r="AL81" s="772">
        <f t="shared" ca="1" si="29"/>
        <v>9490.3674654648512</v>
      </c>
      <c r="AM81" s="772">
        <f t="shared" ca="1" si="29"/>
        <v>8987.0302248621356</v>
      </c>
      <c r="AN81" s="772">
        <f t="shared" ca="1" si="29"/>
        <v>8987.0302248621356</v>
      </c>
      <c r="AO81" s="772">
        <f t="shared" ca="1" si="29"/>
        <v>8515.6042859487134</v>
      </c>
      <c r="AP81" s="772">
        <f t="shared" ca="1" si="29"/>
        <v>8515.6042859487134</v>
      </c>
      <c r="AQ81" s="772">
        <f t="shared" ca="1" si="29"/>
        <v>8515.6042859487134</v>
      </c>
      <c r="AR81" s="772">
        <f t="shared" ca="1" si="28"/>
        <v>10025.790619594705</v>
      </c>
      <c r="AS81" s="772">
        <f t="shared" ca="1" si="28"/>
        <v>10025.790619594705</v>
      </c>
      <c r="AT81" s="772">
        <f t="shared" ca="1" si="28"/>
        <v>9490.3674654648512</v>
      </c>
      <c r="AU81" s="772">
        <f t="shared" ca="1" si="28"/>
        <v>9490.3674654648512</v>
      </c>
      <c r="AV81" s="772">
        <f t="shared" ca="1" si="28"/>
        <v>8987.0302248621356</v>
      </c>
      <c r="AW81" s="772">
        <f t="shared" ca="1" si="28"/>
        <v>8987.0302248621356</v>
      </c>
      <c r="AX81" s="772">
        <f t="shared" ca="1" si="28"/>
        <v>8515.6042859487134</v>
      </c>
      <c r="AY81" s="772">
        <f t="shared" ca="1" si="28"/>
        <v>8515.6042859487134</v>
      </c>
      <c r="AZ81" s="772">
        <f t="shared" ca="1" si="28"/>
        <v>8515.6042859487134</v>
      </c>
      <c r="BA81" s="772">
        <f t="shared" ca="1" si="28"/>
        <v>10025.790619594705</v>
      </c>
      <c r="BB81" s="772">
        <f t="shared" ca="1" si="28"/>
        <v>10025.790619594705</v>
      </c>
      <c r="BC81" s="772">
        <f t="shared" ca="1" si="28"/>
        <v>9490.3674654648512</v>
      </c>
      <c r="BD81" s="772">
        <f t="shared" ca="1" si="28"/>
        <v>8987.0302248621356</v>
      </c>
      <c r="BE81" s="772">
        <f t="shared" ca="1" si="28"/>
        <v>8987.0302248621356</v>
      </c>
      <c r="BF81" s="772">
        <f t="shared" ca="1" si="28"/>
        <v>8515.6042859487134</v>
      </c>
      <c r="BG81" s="772">
        <f t="shared" ca="1" si="25"/>
        <v>8515.6042859487134</v>
      </c>
      <c r="BH81" s="772">
        <f t="shared" ca="1" si="25"/>
        <v>8075.0764741131497</v>
      </c>
      <c r="BI81" s="772">
        <f t="shared" ca="1" si="25"/>
        <v>8075.0764741131497</v>
      </c>
      <c r="BJ81" s="772">
        <f t="shared" ca="1" si="25"/>
        <v>9490.3674654648512</v>
      </c>
      <c r="BK81" s="772">
        <f t="shared" ca="1" si="25"/>
        <v>9490.3674654648512</v>
      </c>
      <c r="BL81" s="772">
        <f t="shared" ca="1" si="25"/>
        <v>9490.3674654648512</v>
      </c>
      <c r="BM81" s="772">
        <f t="shared" ca="1" si="25"/>
        <v>9490.3674654648512</v>
      </c>
      <c r="BN81" s="772">
        <f t="shared" ca="1" si="25"/>
        <v>8515.6042859487134</v>
      </c>
      <c r="BO81" s="772">
        <f t="shared" ca="1" si="25"/>
        <v>8515.6042859487134</v>
      </c>
      <c r="BP81" s="772">
        <f t="shared" ca="1" si="25"/>
        <v>8075.0764741131497</v>
      </c>
      <c r="BQ81" s="772">
        <f t="shared" ca="1" si="25"/>
        <v>8075.0764741131497</v>
      </c>
      <c r="BR81" s="772">
        <f t="shared" ca="1" si="25"/>
        <v>7663.9502366543175</v>
      </c>
      <c r="BS81" s="772">
        <f t="shared" ca="1" si="25"/>
        <v>9490.3674654648512</v>
      </c>
      <c r="BT81" s="772">
        <f t="shared" ca="1" si="25"/>
        <v>9490.3674654648512</v>
      </c>
      <c r="BU81" s="772">
        <f t="shared" ca="1" si="25"/>
        <v>9490.3674654648512</v>
      </c>
      <c r="BV81" s="772">
        <f t="shared" ca="1" si="25"/>
        <v>8987.0302248621356</v>
      </c>
      <c r="BW81" s="772">
        <f t="shared" ca="1" si="27"/>
        <v>8987.0302248621356</v>
      </c>
      <c r="BX81" s="772">
        <f t="shared" ca="1" si="27"/>
        <v>8075.0764741131497</v>
      </c>
      <c r="BY81" s="772">
        <f t="shared" ca="1" si="27"/>
        <v>8075.0764741131497</v>
      </c>
      <c r="BZ81" s="772">
        <f t="shared" ca="1" si="27"/>
        <v>7663.9502366543175</v>
      </c>
      <c r="CA81" s="772">
        <f t="shared" ca="1" si="27"/>
        <v>7663.9502366543175</v>
      </c>
      <c r="CB81" s="772">
        <f t="shared" ca="1" si="27"/>
        <v>8987.0302248621356</v>
      </c>
      <c r="CC81" s="772">
        <f t="shared" ca="1" si="27"/>
        <v>8987.0302248621356</v>
      </c>
      <c r="CD81" s="772">
        <f t="shared" ca="1" si="27"/>
        <v>8987.0302248621356</v>
      </c>
      <c r="CE81" s="772">
        <f t="shared" ca="1" si="27"/>
        <v>8987.0302248621356</v>
      </c>
      <c r="CF81" s="772">
        <f t="shared" ca="1" si="27"/>
        <v>8515.6042859487134</v>
      </c>
      <c r="CG81" s="772">
        <f t="shared" ca="1" si="27"/>
        <v>8075.0764741131497</v>
      </c>
      <c r="CH81" s="772">
        <f t="shared" ca="1" si="27"/>
        <v>7663.9502366543175</v>
      </c>
      <c r="CI81" s="772">
        <f t="shared" ca="1" si="27"/>
        <v>7663.9502366543175</v>
      </c>
      <c r="CJ81" s="772">
        <f t="shared" ca="1" si="27"/>
        <v>7280.4819056788865</v>
      </c>
    </row>
    <row r="82" spans="1:88" ht="15" customHeight="1">
      <c r="A82" s="770">
        <f>'kc-Wert für Stützen'!C82</f>
        <v>134</v>
      </c>
      <c r="B82" s="768">
        <f ca="1">INDIRECT("'kc-Wert für Stützen'!"&amp;SUBSTITUTE(ADDRESS(MATCH($A82,'kc-Wert für Stützen'!$C:$C,0),MATCH(B$7,'kc-Wert für Stützen'!$A$8:$ES$8,0)+7,4),,))</f>
        <v>11484.022699692247</v>
      </c>
      <c r="C82" s="768">
        <f ca="1">INDIRECT("'kc-Wert für Stützen'!"&amp;SUBSTITUTE(ADDRESS(MATCH($A82,'kc-Wert für Stützen'!$C:$C,0),MATCH(C$7,'kc-Wert für Stützen'!$A$8:$ES$8,0)+7,4),,))</f>
        <v>10880.278097472115</v>
      </c>
      <c r="D82" s="768">
        <f ca="1">INDIRECT("'kc-Wert für Stützen'!"&amp;SUBSTITUTE(ADDRESS(MATCH($A82,'kc-Wert für Stützen'!$C:$C,0),MATCH(D$7,'kc-Wert für Stützen'!$A$8:$ES$8,0)+7,4),,))</f>
        <v>10303.177540834487</v>
      </c>
      <c r="E82" s="768">
        <f ca="1">INDIRECT("'kc-Wert für Stützen'!"&amp;SUBSTITUTE(ADDRESS(MATCH($A82,'kc-Wert für Stützen'!$C:$C,0),MATCH(E$7,'kc-Wert für Stützen'!$A$8:$ES$8,0)+7,4),,))</f>
        <v>9756.4736035568894</v>
      </c>
      <c r="F82" s="768">
        <f ca="1">INDIRECT("'kc-Wert für Stützen'!"&amp;SUBSTITUTE(ADDRESS(MATCH($A82,'kc-Wert für Stützen'!$C:$C,0),MATCH(F$7,'kc-Wert für Stützen'!$A$8:$ES$8,0)+7,4),,))</f>
        <v>9241.727720241006</v>
      </c>
      <c r="G82" s="768">
        <f ca="1">INDIRECT("'kc-Wert für Stützen'!"&amp;SUBSTITUTE(ADDRESS(MATCH($A82,'kc-Wert für Stützen'!$C:$C,0),MATCH(G$7,'kc-Wert für Stützen'!$A$8:$ES$8,0)+7,4),,))</f>
        <v>8759.0285671394431</v>
      </c>
      <c r="H82" s="768">
        <f ca="1">INDIRECT("'kc-Wert für Stützen'!"&amp;SUBSTITUTE(ADDRESS(MATCH($A82,'kc-Wert für Stützen'!$C:$C,0),MATCH(H$7,'kc-Wert für Stützen'!$A$8:$ES$8,0)+7,4),,))</f>
        <v>8307.5339823149388</v>
      </c>
      <c r="I82" s="768">
        <f ca="1">INDIRECT("'kc-Wert für Stützen'!"&amp;SUBSTITUTE(ADDRESS(MATCH($A82,'kc-Wert für Stützen'!$C:$C,0),MATCH(I$7,'kc-Wert für Stützen'!$A$8:$ES$8,0)+7,4),,))</f>
        <v>7885.8521001828612</v>
      </c>
      <c r="J82" s="768">
        <f ca="1">INDIRECT("'kc-Wert für Stützen'!"&amp;SUBSTITUTE(ADDRESS(MATCH($A82,'kc-Wert für Stützen'!$C:$C,0),MATCH(J$7,'kc-Wert für Stützen'!$A$8:$ES$8,0)+7,4),,))</f>
        <v>7492.2978472701852</v>
      </c>
      <c r="K82" s="768">
        <f ca="1">INDIRECT("'kc-Wert für Stützen'!"&amp;SUBSTITUTE(ADDRESS(MATCH($A82,'kc-Wert für Stützen'!$C:$C,0),MATCH(K$7,'kc-Wert für Stützen'!$A$8:$ES$8,0)+7,4),,))</f>
        <v>7125.0600573426573</v>
      </c>
      <c r="L82" s="768">
        <f ca="1">INDIRECT("'kc-Wert für Stützen'!"&amp;SUBSTITUTE(ADDRESS(MATCH($A82,'kc-Wert für Stützen'!$C:$C,0),MATCH(L$7,'kc-Wert für Stützen'!$A$8:$ES$8,0)+7,4),,))</f>
        <v>6782.3071698104013</v>
      </c>
      <c r="M82" s="768">
        <f ca="1">INDIRECT("'kc-Wert für Stützen'!"&amp;SUBSTITUTE(ADDRESS(MATCH($A82,'kc-Wert für Stützen'!$C:$C,0),MATCH(M$7,'kc-Wert für Stützen'!$A$8:$ES$8,0)+7,4),,))</f>
        <v>6462.2517952359103</v>
      </c>
      <c r="N82" s="768">
        <f ca="1">INDIRECT("'kc-Wert für Stützen'!"&amp;SUBSTITUTE(ADDRESS(MATCH($A82,'kc-Wert für Stützen'!$C:$C,0),MATCH(N$7,'kc-Wert für Stützen'!$A$8:$ES$8,0)+7,4),,))</f>
        <v>6163.1882076000711</v>
      </c>
      <c r="O82" s="768">
        <f ca="1">INDIRECT("'kc-Wert für Stützen'!"&amp;SUBSTITUTE(ADDRESS(MATCH($A82,'kc-Wert für Stützen'!$C:$C,0),MATCH(O$7,'kc-Wert für Stützen'!$A$8:$ES$8,0)+7,4),,))</f>
        <v>5883.5122702687277</v>
      </c>
      <c r="P82" s="768">
        <f ca="1">INDIRECT("'kc-Wert für Stützen'!"&amp;SUBSTITUTE(ADDRESS(MATCH($A82,'kc-Wert für Stützen'!$C:$C,0),MATCH(P$7,'kc-Wert für Stützen'!$A$8:$ES$8,0)+7,4),,))</f>
        <v>5621.7301337631643</v>
      </c>
      <c r="S82" s="772">
        <f t="shared" ca="1" si="31"/>
        <v>10303.177540834487</v>
      </c>
      <c r="T82" s="772">
        <f t="shared" ca="1" si="30"/>
        <v>10303.177540834487</v>
      </c>
      <c r="U82" s="772">
        <f t="shared" ca="1" si="30"/>
        <v>10303.177540834487</v>
      </c>
      <c r="V82" s="772">
        <f t="shared" ca="1" si="30"/>
        <v>9756.4736035568894</v>
      </c>
      <c r="W82" s="772">
        <f t="shared" ca="1" si="30"/>
        <v>9241.727720241006</v>
      </c>
      <c r="X82" s="772">
        <f t="shared" ca="1" si="30"/>
        <v>8759.0285671394431</v>
      </c>
      <c r="Y82" s="772">
        <f t="shared" ca="1" si="30"/>
        <v>8307.5339823149388</v>
      </c>
      <c r="Z82" s="772">
        <f t="shared" ca="1" si="30"/>
        <v>10303.177540834487</v>
      </c>
      <c r="AA82" s="772">
        <f t="shared" ca="1" si="30"/>
        <v>10303.177540834487</v>
      </c>
      <c r="AB82" s="772">
        <f t="shared" ca="1" si="29"/>
        <v>9756.4736035568894</v>
      </c>
      <c r="AC82" s="772">
        <f t="shared" ca="1" si="29"/>
        <v>9756.4736035568894</v>
      </c>
      <c r="AD82" s="772">
        <f t="shared" ca="1" si="29"/>
        <v>9241.727720241006</v>
      </c>
      <c r="AE82" s="772">
        <f t="shared" ca="1" si="29"/>
        <v>9241.727720241006</v>
      </c>
      <c r="AF82" s="772">
        <f t="shared" ca="1" si="29"/>
        <v>8759.0285671394431</v>
      </c>
      <c r="AG82" s="772">
        <f t="shared" ca="1" si="29"/>
        <v>8759.0285671394431</v>
      </c>
      <c r="AH82" s="772">
        <f t="shared" ca="1" si="29"/>
        <v>8759.0285671394431</v>
      </c>
      <c r="AI82" s="772">
        <f t="shared" ca="1" si="29"/>
        <v>10303.177540834487</v>
      </c>
      <c r="AJ82" s="772">
        <f t="shared" ca="1" si="29"/>
        <v>10303.177540834487</v>
      </c>
      <c r="AK82" s="772">
        <f t="shared" ca="1" si="29"/>
        <v>9756.4736035568894</v>
      </c>
      <c r="AL82" s="772">
        <f t="shared" ca="1" si="29"/>
        <v>9756.4736035568894</v>
      </c>
      <c r="AM82" s="772">
        <f t="shared" ca="1" si="29"/>
        <v>9241.727720241006</v>
      </c>
      <c r="AN82" s="772">
        <f t="shared" ca="1" si="29"/>
        <v>9241.727720241006</v>
      </c>
      <c r="AO82" s="772">
        <f t="shared" ca="1" si="29"/>
        <v>8759.0285671394431</v>
      </c>
      <c r="AP82" s="772">
        <f t="shared" ca="1" si="29"/>
        <v>8759.0285671394431</v>
      </c>
      <c r="AQ82" s="772">
        <f t="shared" ca="1" si="29"/>
        <v>8759.0285671394431</v>
      </c>
      <c r="AR82" s="772">
        <f t="shared" ca="1" si="28"/>
        <v>10303.177540834487</v>
      </c>
      <c r="AS82" s="772">
        <f t="shared" ca="1" si="28"/>
        <v>10303.177540834487</v>
      </c>
      <c r="AT82" s="772">
        <f t="shared" ca="1" si="28"/>
        <v>9756.4736035568894</v>
      </c>
      <c r="AU82" s="772">
        <f t="shared" ca="1" si="28"/>
        <v>9756.4736035568894</v>
      </c>
      <c r="AV82" s="772">
        <f t="shared" ca="1" si="28"/>
        <v>9241.727720241006</v>
      </c>
      <c r="AW82" s="772">
        <f t="shared" ca="1" si="28"/>
        <v>9241.727720241006</v>
      </c>
      <c r="AX82" s="772">
        <f t="shared" ca="1" si="28"/>
        <v>8759.0285671394431</v>
      </c>
      <c r="AY82" s="772">
        <f t="shared" ca="1" si="28"/>
        <v>8759.0285671394431</v>
      </c>
      <c r="AZ82" s="772">
        <f t="shared" ca="1" si="28"/>
        <v>8759.0285671394431</v>
      </c>
      <c r="BA82" s="772">
        <f t="shared" ca="1" si="28"/>
        <v>10303.177540834487</v>
      </c>
      <c r="BB82" s="772">
        <f t="shared" ca="1" si="28"/>
        <v>10303.177540834487</v>
      </c>
      <c r="BC82" s="772">
        <f t="shared" ca="1" si="28"/>
        <v>9756.4736035568894</v>
      </c>
      <c r="BD82" s="772">
        <f t="shared" ca="1" si="28"/>
        <v>9241.727720241006</v>
      </c>
      <c r="BE82" s="772">
        <f t="shared" ca="1" si="28"/>
        <v>9241.727720241006</v>
      </c>
      <c r="BF82" s="772">
        <f t="shared" ca="1" si="28"/>
        <v>8759.0285671394431</v>
      </c>
      <c r="BG82" s="772">
        <f t="shared" ca="1" si="25"/>
        <v>8759.0285671394431</v>
      </c>
      <c r="BH82" s="772">
        <f t="shared" ca="1" si="25"/>
        <v>8307.5339823149388</v>
      </c>
      <c r="BI82" s="772">
        <f t="shared" ca="1" si="25"/>
        <v>8307.5339823149388</v>
      </c>
      <c r="BJ82" s="772">
        <f t="shared" ca="1" si="25"/>
        <v>9756.4736035568894</v>
      </c>
      <c r="BK82" s="772">
        <f t="shared" ca="1" si="25"/>
        <v>9756.4736035568894</v>
      </c>
      <c r="BL82" s="772">
        <f t="shared" ca="1" si="25"/>
        <v>9756.4736035568894</v>
      </c>
      <c r="BM82" s="772">
        <f t="shared" ca="1" si="25"/>
        <v>9756.4736035568894</v>
      </c>
      <c r="BN82" s="772">
        <f t="shared" ca="1" si="25"/>
        <v>8759.0285671394431</v>
      </c>
      <c r="BO82" s="772">
        <f t="shared" ca="1" si="25"/>
        <v>8759.0285671394431</v>
      </c>
      <c r="BP82" s="772">
        <f t="shared" ca="1" si="25"/>
        <v>8307.5339823149388</v>
      </c>
      <c r="BQ82" s="772">
        <f t="shared" ca="1" si="25"/>
        <v>8307.5339823149388</v>
      </c>
      <c r="BR82" s="772">
        <f t="shared" ca="1" si="25"/>
        <v>7885.8521001828612</v>
      </c>
      <c r="BS82" s="772">
        <f t="shared" ca="1" si="25"/>
        <v>9756.4736035568894</v>
      </c>
      <c r="BT82" s="772">
        <f t="shared" ca="1" si="25"/>
        <v>9756.4736035568894</v>
      </c>
      <c r="BU82" s="772">
        <f t="shared" ca="1" si="25"/>
        <v>9756.4736035568894</v>
      </c>
      <c r="BV82" s="772">
        <f t="shared" ca="1" si="25"/>
        <v>9241.727720241006</v>
      </c>
      <c r="BW82" s="772">
        <f t="shared" ca="1" si="27"/>
        <v>9241.727720241006</v>
      </c>
      <c r="BX82" s="772">
        <f t="shared" ca="1" si="27"/>
        <v>8307.5339823149388</v>
      </c>
      <c r="BY82" s="772">
        <f t="shared" ca="1" si="27"/>
        <v>8307.5339823149388</v>
      </c>
      <c r="BZ82" s="772">
        <f t="shared" ca="1" si="27"/>
        <v>7885.8521001828612</v>
      </c>
      <c r="CA82" s="772">
        <f t="shared" ca="1" si="27"/>
        <v>7885.8521001828612</v>
      </c>
      <c r="CB82" s="772">
        <f t="shared" ca="1" si="27"/>
        <v>9241.727720241006</v>
      </c>
      <c r="CC82" s="772">
        <f t="shared" ca="1" si="27"/>
        <v>9241.727720241006</v>
      </c>
      <c r="CD82" s="772">
        <f t="shared" ca="1" si="27"/>
        <v>9241.727720241006</v>
      </c>
      <c r="CE82" s="772">
        <f t="shared" ca="1" si="27"/>
        <v>9241.727720241006</v>
      </c>
      <c r="CF82" s="772">
        <f t="shared" ca="1" si="27"/>
        <v>8759.0285671394431</v>
      </c>
      <c r="CG82" s="772">
        <f t="shared" ca="1" si="27"/>
        <v>8307.5339823149388</v>
      </c>
      <c r="CH82" s="772">
        <f t="shared" ca="1" si="27"/>
        <v>7885.8521001828612</v>
      </c>
      <c r="CI82" s="772">
        <f t="shared" ca="1" si="27"/>
        <v>7885.8521001828612</v>
      </c>
      <c r="CJ82" s="772">
        <f t="shared" ca="1" si="27"/>
        <v>7492.2978472701852</v>
      </c>
    </row>
    <row r="83" spans="1:88" ht="15" customHeight="1">
      <c r="A83" s="770">
        <f>'kc-Wert für Stützen'!C83</f>
        <v>135</v>
      </c>
      <c r="B83" s="768">
        <f ca="1">INDIRECT("'kc-Wert für Stützen'!"&amp;SUBSTITUTE(ADDRESS(MATCH($A83,'kc-Wert für Stützen'!$C:$C,0),MATCH(B$7,'kc-Wert für Stützen'!$A$8:$ES$8,0)+7,4),,))</f>
        <v>11785.980619388223</v>
      </c>
      <c r="C83" s="768">
        <f ca="1">INDIRECT("'kc-Wert für Stützen'!"&amp;SUBSTITUTE(ADDRESS(MATCH($A83,'kc-Wert für Stützen'!$C:$C,0),MATCH(C$7,'kc-Wert für Stützen'!$A$8:$ES$8,0)+7,4),,))</f>
        <v>11172.814140019882</v>
      </c>
      <c r="D83" s="768">
        <f ca="1">INDIRECT("'kc-Wert für Stützen'!"&amp;SUBSTITUTE(ADDRESS(MATCH($A83,'kc-Wert für Stützen'!$C:$C,0),MATCH(D$7,'kc-Wert für Stützen'!$A$8:$ES$8,0)+7,4),,))</f>
        <v>10585.123293365208</v>
      </c>
      <c r="E83" s="768">
        <f ca="1">INDIRECT("'kc-Wert für Stützen'!"&amp;SUBSTITUTE(ADDRESS(MATCH($A83,'kc-Wert für Stützen'!$C:$C,0),MATCH(E$7,'kc-Wert für Stützen'!$A$8:$ES$8,0)+7,4),,))</f>
        <v>10027.215904751454</v>
      </c>
      <c r="F83" s="768">
        <f ca="1">INDIRECT("'kc-Wert für Stützen'!"&amp;SUBSTITUTE(ADDRESS(MATCH($A83,'kc-Wert für Stützen'!$C:$C,0),MATCH(F$7,'kc-Wert für Stützen'!$A$8:$ES$8,0)+7,4),,))</f>
        <v>9501.0635225408205</v>
      </c>
      <c r="G83" s="768">
        <f ca="1">INDIRECT("'kc-Wert für Stützen'!"&amp;SUBSTITUTE(ADDRESS(MATCH($A83,'kc-Wert für Stützen'!$C:$C,0),MATCH(G$7,'kc-Wert für Stützen'!$A$8:$ES$8,0)+7,4),,))</f>
        <v>9007.0396120908154</v>
      </c>
      <c r="H83" s="768">
        <f ca="1">INDIRECT("'kc-Wert für Stützen'!"&amp;SUBSTITUTE(ADDRESS(MATCH($A83,'kc-Wert für Stützen'!$C:$C,0),MATCH(H$7,'kc-Wert für Stützen'!$A$8:$ES$8,0)+7,4),,))</f>
        <v>8544.4898687074347</v>
      </c>
      <c r="I83" s="768">
        <f ca="1">INDIRECT("'kc-Wert für Stützen'!"&amp;SUBSTITUTE(ADDRESS(MATCH($A83,'kc-Wert für Stützen'!$C:$C,0),MATCH(I$7,'kc-Wert für Stützen'!$A$8:$ES$8,0)+7,4),,))</f>
        <v>8112.1397089225475</v>
      </c>
      <c r="J83" s="768">
        <f ca="1">INDIRECT("'kc-Wert für Stützen'!"&amp;SUBSTITUTE(ADDRESS(MATCH($A83,'kc-Wert für Stützen'!$C:$C,0),MATCH(J$7,'kc-Wert für Stützen'!$A$8:$ES$8,0)+7,4),,))</f>
        <v>7708.3718149116203</v>
      </c>
      <c r="K83" s="768">
        <f ca="1">INDIRECT("'kc-Wert für Stützen'!"&amp;SUBSTITUTE(ADDRESS(MATCH($A83,'kc-Wert für Stützen'!$C:$C,0),MATCH(K$7,'kc-Wert für Stützen'!$A$8:$ES$8,0)+7,4),,))</f>
        <v>7331.408893345274</v>
      </c>
      <c r="L83" s="768">
        <f ca="1">INDIRECT("'kc-Wert für Stützen'!"&amp;SUBSTITUTE(ADDRESS(MATCH($A83,'kc-Wert für Stützen'!$C:$C,0),MATCH(L$7,'kc-Wert für Stützen'!$A$8:$ES$8,0)+7,4),,))</f>
        <v>6979.4305607920887</v>
      </c>
      <c r="M83" s="768">
        <f ca="1">INDIRECT("'kc-Wert für Stützen'!"&amp;SUBSTITUTE(ADDRESS(MATCH($A83,'kc-Wert für Stützen'!$C:$C,0),MATCH(M$7,'kc-Wert für Stützen'!$A$8:$ES$8,0)+7,4),,))</f>
        <v>6650.6457349174307</v>
      </c>
      <c r="N83" s="768">
        <f ca="1">INDIRECT("'kc-Wert für Stützen'!"&amp;SUBSTITUTE(ADDRESS(MATCH($A83,'kc-Wert für Stützen'!$C:$C,0),MATCH(N$7,'kc-Wert für Stützen'!$A$8:$ES$8,0)+7,4),,))</f>
        <v>6343.3355278596682</v>
      </c>
      <c r="O83" s="768">
        <f ca="1">INDIRECT("'kc-Wert für Stützen'!"&amp;SUBSTITUTE(ADDRESS(MATCH($A83,'kc-Wert für Stützen'!$C:$C,0),MATCH(O$7,'kc-Wert für Stützen'!$A$8:$ES$8,0)+7,4),,))</f>
        <v>6055.8768652449835</v>
      </c>
      <c r="P83" s="768">
        <f ca="1">INDIRECT("'kc-Wert für Stützen'!"&amp;SUBSTITUTE(ADDRESS(MATCH($A83,'kc-Wert für Stützen'!$C:$C,0),MATCH(P$7,'kc-Wert für Stützen'!$A$8:$ES$8,0)+7,4),,))</f>
        <v>5786.7536888271306</v>
      </c>
      <c r="S83" s="772">
        <f t="shared" ca="1" si="31"/>
        <v>10585.123293365208</v>
      </c>
      <c r="T83" s="772">
        <f t="shared" ca="1" si="30"/>
        <v>10585.123293365208</v>
      </c>
      <c r="U83" s="772">
        <f t="shared" ca="1" si="30"/>
        <v>10585.123293365208</v>
      </c>
      <c r="V83" s="772">
        <f t="shared" ca="1" si="30"/>
        <v>10027.215904751454</v>
      </c>
      <c r="W83" s="772">
        <f t="shared" ca="1" si="30"/>
        <v>9501.0635225408205</v>
      </c>
      <c r="X83" s="772">
        <f t="shared" ca="1" si="30"/>
        <v>9007.0396120908154</v>
      </c>
      <c r="Y83" s="772">
        <f t="shared" ca="1" si="30"/>
        <v>8544.4898687074347</v>
      </c>
      <c r="Z83" s="772">
        <f t="shared" ca="1" si="30"/>
        <v>10585.123293365208</v>
      </c>
      <c r="AA83" s="772">
        <f t="shared" ca="1" si="30"/>
        <v>10585.123293365208</v>
      </c>
      <c r="AB83" s="772">
        <f t="shared" ca="1" si="29"/>
        <v>10027.215904751454</v>
      </c>
      <c r="AC83" s="772">
        <f t="shared" ca="1" si="29"/>
        <v>10027.215904751454</v>
      </c>
      <c r="AD83" s="772">
        <f t="shared" ca="1" si="29"/>
        <v>9501.0635225408205</v>
      </c>
      <c r="AE83" s="772">
        <f t="shared" ca="1" si="29"/>
        <v>9501.0635225408205</v>
      </c>
      <c r="AF83" s="772">
        <f t="shared" ca="1" si="29"/>
        <v>9007.0396120908154</v>
      </c>
      <c r="AG83" s="772">
        <f t="shared" ca="1" si="29"/>
        <v>9007.0396120908154</v>
      </c>
      <c r="AH83" s="772">
        <f t="shared" ca="1" si="29"/>
        <v>9007.0396120908154</v>
      </c>
      <c r="AI83" s="772">
        <f t="shared" ca="1" si="29"/>
        <v>10585.123293365208</v>
      </c>
      <c r="AJ83" s="772">
        <f t="shared" ca="1" si="29"/>
        <v>10585.123293365208</v>
      </c>
      <c r="AK83" s="772">
        <f t="shared" ca="1" si="29"/>
        <v>10027.215904751454</v>
      </c>
      <c r="AL83" s="772">
        <f t="shared" ca="1" si="29"/>
        <v>10027.215904751454</v>
      </c>
      <c r="AM83" s="772">
        <f t="shared" ca="1" si="29"/>
        <v>9501.0635225408205</v>
      </c>
      <c r="AN83" s="772">
        <f t="shared" ca="1" si="29"/>
        <v>9501.0635225408205</v>
      </c>
      <c r="AO83" s="772">
        <f t="shared" ca="1" si="29"/>
        <v>9007.0396120908154</v>
      </c>
      <c r="AP83" s="772">
        <f t="shared" ca="1" si="29"/>
        <v>9007.0396120908154</v>
      </c>
      <c r="AQ83" s="772">
        <f t="shared" ca="1" si="29"/>
        <v>9007.0396120908154</v>
      </c>
      <c r="AR83" s="772">
        <f t="shared" ca="1" si="28"/>
        <v>10585.123293365208</v>
      </c>
      <c r="AS83" s="772">
        <f t="shared" ca="1" si="28"/>
        <v>10585.123293365208</v>
      </c>
      <c r="AT83" s="772">
        <f t="shared" ca="1" si="28"/>
        <v>10027.215904751454</v>
      </c>
      <c r="AU83" s="772">
        <f t="shared" ca="1" si="28"/>
        <v>10027.215904751454</v>
      </c>
      <c r="AV83" s="772">
        <f t="shared" ca="1" si="28"/>
        <v>9501.0635225408205</v>
      </c>
      <c r="AW83" s="772">
        <f t="shared" ca="1" si="28"/>
        <v>9501.0635225408205</v>
      </c>
      <c r="AX83" s="772">
        <f t="shared" ca="1" si="28"/>
        <v>9007.0396120908154</v>
      </c>
      <c r="AY83" s="772">
        <f t="shared" ca="1" si="28"/>
        <v>9007.0396120908154</v>
      </c>
      <c r="AZ83" s="772">
        <f t="shared" ca="1" si="28"/>
        <v>9007.0396120908154</v>
      </c>
      <c r="BA83" s="772">
        <f t="shared" ca="1" si="28"/>
        <v>10585.123293365208</v>
      </c>
      <c r="BB83" s="772">
        <f t="shared" ca="1" si="28"/>
        <v>10585.123293365208</v>
      </c>
      <c r="BC83" s="772">
        <f t="shared" ca="1" si="28"/>
        <v>10027.215904751454</v>
      </c>
      <c r="BD83" s="772">
        <f t="shared" ca="1" si="28"/>
        <v>9501.0635225408205</v>
      </c>
      <c r="BE83" s="772">
        <f t="shared" ca="1" si="28"/>
        <v>9501.0635225408205</v>
      </c>
      <c r="BF83" s="772">
        <f t="shared" ca="1" si="28"/>
        <v>9007.0396120908154</v>
      </c>
      <c r="BG83" s="772">
        <f t="shared" ca="1" si="25"/>
        <v>9007.0396120908154</v>
      </c>
      <c r="BH83" s="772">
        <f t="shared" ca="1" si="25"/>
        <v>8544.4898687074347</v>
      </c>
      <c r="BI83" s="772">
        <f t="shared" ca="1" si="25"/>
        <v>8544.4898687074347</v>
      </c>
      <c r="BJ83" s="772">
        <f t="shared" ca="1" si="25"/>
        <v>10027.215904751454</v>
      </c>
      <c r="BK83" s="772">
        <f t="shared" ca="1" si="25"/>
        <v>10027.215904751454</v>
      </c>
      <c r="BL83" s="772">
        <f t="shared" ca="1" si="25"/>
        <v>10027.215904751454</v>
      </c>
      <c r="BM83" s="772">
        <f t="shared" ca="1" si="25"/>
        <v>10027.215904751454</v>
      </c>
      <c r="BN83" s="772">
        <f t="shared" ca="1" si="25"/>
        <v>9007.0396120908154</v>
      </c>
      <c r="BO83" s="772">
        <f t="shared" ca="1" si="25"/>
        <v>9007.0396120908154</v>
      </c>
      <c r="BP83" s="772">
        <f t="shared" ca="1" si="25"/>
        <v>8544.4898687074347</v>
      </c>
      <c r="BQ83" s="772">
        <f t="shared" ca="1" si="25"/>
        <v>8544.4898687074347</v>
      </c>
      <c r="BR83" s="772">
        <f t="shared" ca="1" si="25"/>
        <v>8112.1397089225475</v>
      </c>
      <c r="BS83" s="772">
        <f t="shared" ca="1" si="25"/>
        <v>10027.215904751454</v>
      </c>
      <c r="BT83" s="772">
        <f t="shared" ca="1" si="25"/>
        <v>10027.215904751454</v>
      </c>
      <c r="BU83" s="772">
        <f t="shared" ca="1" si="25"/>
        <v>10027.215904751454</v>
      </c>
      <c r="BV83" s="772">
        <f t="shared" ref="BH83:BW99" ca="1" si="32">HLOOKUP(BV$7,$A$7:$P$348,ROW()-6)</f>
        <v>9501.0635225408205</v>
      </c>
      <c r="BW83" s="772">
        <f t="shared" ca="1" si="32"/>
        <v>9501.0635225408205</v>
      </c>
      <c r="BX83" s="772">
        <f t="shared" ca="1" si="27"/>
        <v>8544.4898687074347</v>
      </c>
      <c r="BY83" s="772">
        <f t="shared" ca="1" si="27"/>
        <v>8544.4898687074347</v>
      </c>
      <c r="BZ83" s="772">
        <f t="shared" ca="1" si="27"/>
        <v>8112.1397089225475</v>
      </c>
      <c r="CA83" s="772">
        <f t="shared" ca="1" si="27"/>
        <v>8112.1397089225475</v>
      </c>
      <c r="CB83" s="772">
        <f t="shared" ca="1" si="27"/>
        <v>9501.0635225408205</v>
      </c>
      <c r="CC83" s="772">
        <f t="shared" ca="1" si="27"/>
        <v>9501.0635225408205</v>
      </c>
      <c r="CD83" s="772">
        <f t="shared" ca="1" si="27"/>
        <v>9501.0635225408205</v>
      </c>
      <c r="CE83" s="772">
        <f t="shared" ca="1" si="27"/>
        <v>9501.0635225408205</v>
      </c>
      <c r="CF83" s="772">
        <f t="shared" ca="1" si="27"/>
        <v>9007.0396120908154</v>
      </c>
      <c r="CG83" s="772">
        <f t="shared" ca="1" si="27"/>
        <v>8544.4898687074347</v>
      </c>
      <c r="CH83" s="772">
        <f t="shared" ca="1" si="27"/>
        <v>8112.1397089225475</v>
      </c>
      <c r="CI83" s="772">
        <f t="shared" ca="1" si="27"/>
        <v>8112.1397089225475</v>
      </c>
      <c r="CJ83" s="772">
        <f t="shared" ca="1" si="27"/>
        <v>7708.3718149116203</v>
      </c>
    </row>
    <row r="84" spans="1:88" ht="15" customHeight="1">
      <c r="A84" s="770">
        <f>'kc-Wert für Stützen'!C84</f>
        <v>136</v>
      </c>
      <c r="B84" s="768">
        <f ca="1">INDIRECT("'kc-Wert für Stützen'!"&amp;SUBSTITUTE(ADDRESS(MATCH($A84,'kc-Wert für Stützen'!$C:$C,0),MATCH(B$7,'kc-Wert für Stützen'!$A$8:$ES$8,0)+7,4),,))</f>
        <v>12091.936562133114</v>
      </c>
      <c r="C84" s="768">
        <f ca="1">INDIRECT("'kc-Wert für Stützen'!"&amp;SUBSTITUTE(ADDRESS(MATCH($A84,'kc-Wert für Stützen'!$C:$C,0),MATCH(C$7,'kc-Wert für Stützen'!$A$8:$ES$8,0)+7,4),,))</f>
        <v>11469.677529056384</v>
      </c>
      <c r="D84" s="768">
        <f ca="1">INDIRECT("'kc-Wert für Stützen'!"&amp;SUBSTITUTE(ADDRESS(MATCH($A84,'kc-Wert für Stützen'!$C:$C,0),MATCH(D$7,'kc-Wert für Stützen'!$A$8:$ES$8,0)+7,4),,))</f>
        <v>10871.597989804261</v>
      </c>
      <c r="E84" s="768">
        <f ca="1">INDIRECT("'kc-Wert für Stützen'!"&amp;SUBSTITUTE(ADDRESS(MATCH($A84,'kc-Wert für Stützen'!$C:$C,0),MATCH(E$7,'kc-Wert für Stützen'!$A$8:$ES$8,0)+7,4),,))</f>
        <v>10302.584136542997</v>
      </c>
      <c r="F84" s="768">
        <f ca="1">INDIRECT("'kc-Wert für Stützen'!"&amp;SUBSTITUTE(ADDRESS(MATCH($A84,'kc-Wert für Stützen'!$C:$C,0),MATCH(F$7,'kc-Wert für Stützen'!$A$8:$ES$8,0)+7,4),,))</f>
        <v>9765.0427077901459</v>
      </c>
      <c r="G84" s="768">
        <f ca="1">INDIRECT("'kc-Wert für Stützen'!"&amp;SUBSTITUTE(ADDRESS(MATCH($A84,'kc-Wert für Stützen'!$C:$C,0),MATCH(G$7,'kc-Wert für Stützen'!$A$8:$ES$8,0)+7,4),,))</f>
        <v>9259.6539940404618</v>
      </c>
      <c r="H84" s="768">
        <f ca="1">INDIRECT("'kc-Wert für Stützen'!"&amp;SUBSTITUTE(ADDRESS(MATCH($A84,'kc-Wert für Stützen'!$C:$C,0),MATCH(H$7,'kc-Wert für Stützen'!$A$8:$ES$8,0)+7,4),,))</f>
        <v>8785.9691097134018</v>
      </c>
      <c r="I84" s="768">
        <f ca="1">INDIRECT("'kc-Wert für Stützen'!"&amp;SUBSTITUTE(ADDRESS(MATCH($A84,'kc-Wert für Stützen'!$C:$C,0),MATCH(I$7,'kc-Wert für Stützen'!$A$8:$ES$8,0)+7,4),,))</f>
        <v>8342.8440318510839</v>
      </c>
      <c r="J84" s="768">
        <f ca="1">INDIRECT("'kc-Wert für Stützen'!"&amp;SUBSTITUTE(ADDRESS(MATCH($A84,'kc-Wert für Stützen'!$C:$C,0),MATCH(J$7,'kc-Wert für Stützen'!$A$8:$ES$8,0)+7,4),,))</f>
        <v>7928.7389343393706</v>
      </c>
      <c r="K84" s="768">
        <f ca="1">INDIRECT("'kc-Wert für Stützen'!"&amp;SUBSTITUTE(ADDRESS(MATCH($A84,'kc-Wert für Stützen'!$C:$C,0),MATCH(K$7,'kc-Wert für Stützen'!$A$8:$ES$8,0)+7,4),,))</f>
        <v>7541.9173982964949</v>
      </c>
      <c r="L84" s="768">
        <f ca="1">INDIRECT("'kc-Wert für Stützen'!"&amp;SUBSTITUTE(ADDRESS(MATCH($A84,'kc-Wert für Stützen'!$C:$C,0),MATCH(L$7,'kc-Wert für Stützen'!$A$8:$ES$8,0)+7,4),,))</f>
        <v>7180.5751828219991</v>
      </c>
      <c r="M84" s="768">
        <f ca="1">INDIRECT("'kc-Wert für Stützen'!"&amp;SUBSTITUTE(ADDRESS(MATCH($A84,'kc-Wert für Stützen'!$C:$C,0),MATCH(M$7,'kc-Wert für Stützen'!$A$8:$ES$8,0)+7,4),,))</f>
        <v>6842.9209913232462</v>
      </c>
      <c r="N84" s="768">
        <f ca="1">INDIRECT("'kc-Wert für Stützen'!"&amp;SUBSTITUTE(ADDRESS(MATCH($A84,'kc-Wert für Stützen'!$C:$C,0),MATCH(N$7,'kc-Wert für Stützen'!$A$8:$ES$8,0)+7,4),,))</f>
        <v>6527.2251787719224</v>
      </c>
      <c r="O84" s="768">
        <f ca="1">INDIRECT("'kc-Wert für Stützen'!"&amp;SUBSTITUTE(ADDRESS(MATCH($A84,'kc-Wert für Stützen'!$C:$C,0),MATCH(O$7,'kc-Wert für Stützen'!$A$8:$ES$8,0)+7,4),,))</f>
        <v>6231.847366519245</v>
      </c>
      <c r="P84" s="768">
        <f ca="1">INDIRECT("'kc-Wert für Stützen'!"&amp;SUBSTITUTE(ADDRESS(MATCH($A84,'kc-Wert für Stützen'!$C:$C,0),MATCH(P$7,'kc-Wert für Stützen'!$A$8:$ES$8,0)+7,4),,))</f>
        <v>5955.2503691523925</v>
      </c>
      <c r="S84" s="772">
        <f t="shared" ca="1" si="31"/>
        <v>10871.597989804261</v>
      </c>
      <c r="T84" s="772">
        <f t="shared" ca="1" si="30"/>
        <v>10871.597989804261</v>
      </c>
      <c r="U84" s="772">
        <f t="shared" ca="1" si="30"/>
        <v>10871.597989804261</v>
      </c>
      <c r="V84" s="772">
        <f t="shared" ca="1" si="30"/>
        <v>10302.584136542997</v>
      </c>
      <c r="W84" s="772">
        <f t="shared" ca="1" si="30"/>
        <v>9765.0427077901459</v>
      </c>
      <c r="X84" s="772">
        <f t="shared" ca="1" si="30"/>
        <v>9259.6539940404618</v>
      </c>
      <c r="Y84" s="772">
        <f t="shared" ca="1" si="30"/>
        <v>8785.9691097134018</v>
      </c>
      <c r="Z84" s="772">
        <f t="shared" ca="1" si="30"/>
        <v>10871.597989804261</v>
      </c>
      <c r="AA84" s="772">
        <f t="shared" ca="1" si="30"/>
        <v>10871.597989804261</v>
      </c>
      <c r="AB84" s="772">
        <f t="shared" ca="1" si="29"/>
        <v>10302.584136542997</v>
      </c>
      <c r="AC84" s="772">
        <f t="shared" ca="1" si="29"/>
        <v>10302.584136542997</v>
      </c>
      <c r="AD84" s="772">
        <f t="shared" ca="1" si="29"/>
        <v>9765.0427077901459</v>
      </c>
      <c r="AE84" s="772">
        <f t="shared" ca="1" si="29"/>
        <v>9765.0427077901459</v>
      </c>
      <c r="AF84" s="772">
        <f t="shared" ca="1" si="29"/>
        <v>9259.6539940404618</v>
      </c>
      <c r="AG84" s="772">
        <f t="shared" ca="1" si="29"/>
        <v>9259.6539940404618</v>
      </c>
      <c r="AH84" s="772">
        <f t="shared" ca="1" si="29"/>
        <v>9259.6539940404618</v>
      </c>
      <c r="AI84" s="772">
        <f t="shared" ca="1" si="29"/>
        <v>10871.597989804261</v>
      </c>
      <c r="AJ84" s="772">
        <f t="shared" ca="1" si="29"/>
        <v>10871.597989804261</v>
      </c>
      <c r="AK84" s="772">
        <f t="shared" ca="1" si="29"/>
        <v>10302.584136542997</v>
      </c>
      <c r="AL84" s="772">
        <f t="shared" ca="1" si="29"/>
        <v>10302.584136542997</v>
      </c>
      <c r="AM84" s="772">
        <f t="shared" ca="1" si="29"/>
        <v>9765.0427077901459</v>
      </c>
      <c r="AN84" s="772">
        <f t="shared" ca="1" si="29"/>
        <v>9765.0427077901459</v>
      </c>
      <c r="AO84" s="772">
        <f t="shared" ca="1" si="29"/>
        <v>9259.6539940404618</v>
      </c>
      <c r="AP84" s="772">
        <f t="shared" ca="1" si="29"/>
        <v>9259.6539940404618</v>
      </c>
      <c r="AQ84" s="772">
        <f t="shared" ca="1" si="29"/>
        <v>9259.6539940404618</v>
      </c>
      <c r="AR84" s="772">
        <f t="shared" ca="1" si="28"/>
        <v>10871.597989804261</v>
      </c>
      <c r="AS84" s="772">
        <f t="shared" ca="1" si="28"/>
        <v>10871.597989804261</v>
      </c>
      <c r="AT84" s="772">
        <f t="shared" ca="1" si="28"/>
        <v>10302.584136542997</v>
      </c>
      <c r="AU84" s="772">
        <f t="shared" ca="1" si="28"/>
        <v>10302.584136542997</v>
      </c>
      <c r="AV84" s="772">
        <f t="shared" ca="1" si="28"/>
        <v>9765.0427077901459</v>
      </c>
      <c r="AW84" s="772">
        <f t="shared" ca="1" si="28"/>
        <v>9765.0427077901459</v>
      </c>
      <c r="AX84" s="772">
        <f t="shared" ca="1" si="28"/>
        <v>9259.6539940404618</v>
      </c>
      <c r="AY84" s="772">
        <f t="shared" ca="1" si="28"/>
        <v>9259.6539940404618</v>
      </c>
      <c r="AZ84" s="772">
        <f t="shared" ca="1" si="28"/>
        <v>9259.6539940404618</v>
      </c>
      <c r="BA84" s="772">
        <f t="shared" ca="1" si="28"/>
        <v>10871.597989804261</v>
      </c>
      <c r="BB84" s="772">
        <f t="shared" ca="1" si="28"/>
        <v>10871.597989804261</v>
      </c>
      <c r="BC84" s="772">
        <f t="shared" ca="1" si="28"/>
        <v>10302.584136542997</v>
      </c>
      <c r="BD84" s="772">
        <f t="shared" ca="1" si="28"/>
        <v>9765.0427077901459</v>
      </c>
      <c r="BE84" s="772">
        <f t="shared" ca="1" si="28"/>
        <v>9765.0427077901459</v>
      </c>
      <c r="BF84" s="772">
        <f t="shared" ca="1" si="28"/>
        <v>9259.6539940404618</v>
      </c>
      <c r="BG84" s="772">
        <f t="shared" ref="BG84:BG92" ca="1" si="33">HLOOKUP(BG$7,$A$7:$P$348,ROW()-6)</f>
        <v>9259.6539940404618</v>
      </c>
      <c r="BH84" s="772">
        <f t="shared" ca="1" si="32"/>
        <v>8785.9691097134018</v>
      </c>
      <c r="BI84" s="772">
        <f t="shared" ca="1" si="32"/>
        <v>8785.9691097134018</v>
      </c>
      <c r="BJ84" s="772">
        <f t="shared" ca="1" si="32"/>
        <v>10302.584136542997</v>
      </c>
      <c r="BK84" s="772">
        <f t="shared" ca="1" si="32"/>
        <v>10302.584136542997</v>
      </c>
      <c r="BL84" s="772">
        <f t="shared" ca="1" si="32"/>
        <v>10302.584136542997</v>
      </c>
      <c r="BM84" s="772">
        <f t="shared" ca="1" si="32"/>
        <v>10302.584136542997</v>
      </c>
      <c r="BN84" s="772">
        <f t="shared" ca="1" si="32"/>
        <v>9259.6539940404618</v>
      </c>
      <c r="BO84" s="772">
        <f t="shared" ca="1" si="32"/>
        <v>9259.6539940404618</v>
      </c>
      <c r="BP84" s="772">
        <f t="shared" ca="1" si="32"/>
        <v>8785.9691097134018</v>
      </c>
      <c r="BQ84" s="772">
        <f t="shared" ca="1" si="32"/>
        <v>8785.9691097134018</v>
      </c>
      <c r="BR84" s="772">
        <f t="shared" ca="1" si="32"/>
        <v>8342.8440318510839</v>
      </c>
      <c r="BS84" s="772">
        <f t="shared" ca="1" si="32"/>
        <v>10302.584136542997</v>
      </c>
      <c r="BT84" s="772">
        <f t="shared" ca="1" si="32"/>
        <v>10302.584136542997</v>
      </c>
      <c r="BU84" s="772">
        <f t="shared" ca="1" si="32"/>
        <v>10302.584136542997</v>
      </c>
      <c r="BV84" s="772">
        <f t="shared" ca="1" si="32"/>
        <v>9765.0427077901459</v>
      </c>
      <c r="BW84" s="772">
        <f t="shared" ca="1" si="32"/>
        <v>9765.0427077901459</v>
      </c>
      <c r="BX84" s="772">
        <f t="shared" ca="1" si="27"/>
        <v>8785.9691097134018</v>
      </c>
      <c r="BY84" s="772">
        <f t="shared" ca="1" si="27"/>
        <v>8785.9691097134018</v>
      </c>
      <c r="BZ84" s="772">
        <f t="shared" ca="1" si="27"/>
        <v>8342.8440318510839</v>
      </c>
      <c r="CA84" s="772">
        <f t="shared" ca="1" si="27"/>
        <v>8342.8440318510839</v>
      </c>
      <c r="CB84" s="772">
        <f t="shared" ca="1" si="27"/>
        <v>9765.0427077901459</v>
      </c>
      <c r="CC84" s="772">
        <f t="shared" ca="1" si="27"/>
        <v>9765.0427077901459</v>
      </c>
      <c r="CD84" s="772">
        <f t="shared" ca="1" si="27"/>
        <v>9765.0427077901459</v>
      </c>
      <c r="CE84" s="772">
        <f t="shared" ca="1" si="27"/>
        <v>9765.0427077901459</v>
      </c>
      <c r="CF84" s="772">
        <f t="shared" ca="1" si="27"/>
        <v>9259.6539940404618</v>
      </c>
      <c r="CG84" s="772">
        <f t="shared" ca="1" si="27"/>
        <v>8785.9691097134018</v>
      </c>
      <c r="CH84" s="772">
        <f t="shared" ca="1" si="27"/>
        <v>8342.8440318510839</v>
      </c>
      <c r="CI84" s="772">
        <f t="shared" ca="1" si="27"/>
        <v>8342.8440318510839</v>
      </c>
      <c r="CJ84" s="772">
        <f t="shared" ca="1" si="27"/>
        <v>7928.7389343393706</v>
      </c>
    </row>
    <row r="85" spans="1:88" ht="15" customHeight="1">
      <c r="A85" s="770">
        <f>'kc-Wert für Stützen'!C85</f>
        <v>137</v>
      </c>
      <c r="B85" s="768">
        <f ca="1">INDIRECT("'kc-Wert für Stützen'!"&amp;SUBSTITUTE(ADDRESS(MATCH($A85,'kc-Wert für Stützen'!$C:$C,0),MATCH(B$7,'kc-Wert für Stützen'!$A$8:$ES$8,0)+7,4),,))</f>
        <v>12401.805529758105</v>
      </c>
      <c r="C85" s="768">
        <f ca="1">INDIRECT("'kc-Wert für Stützen'!"&amp;SUBSTITUTE(ADDRESS(MATCH($A85,'kc-Wert für Stützen'!$C:$C,0),MATCH(C$7,'kc-Wert für Stützen'!$A$8:$ES$8,0)+7,4),,))</f>
        <v>11770.809401960416</v>
      </c>
      <c r="D85" s="768">
        <f ca="1">INDIRECT("'kc-Wert für Stützen'!"&amp;SUBSTITUTE(ADDRESS(MATCH($A85,'kc-Wert für Stützen'!$C:$C,0),MATCH(D$7,'kc-Wert für Stützen'!$A$8:$ES$8,0)+7,4),,))</f>
        <v>11162.567051284388</v>
      </c>
      <c r="E85" s="768">
        <f ca="1">INDIRECT("'kc-Wert für Stützen'!"&amp;SUBSTITUTE(ADDRESS(MATCH($A85,'kc-Wert für Stützen'!$C:$C,0),MATCH(E$7,'kc-Wert für Stützen'!$A$8:$ES$8,0)+7,4),,))</f>
        <v>10582.5640699297</v>
      </c>
      <c r="F85" s="768">
        <f ca="1">INDIRECT("'kc-Wert für Stützen'!"&amp;SUBSTITUTE(ADDRESS(MATCH($A85,'kc-Wert für Stützen'!$C:$C,0),MATCH(F$7,'kc-Wert für Stützen'!$A$8:$ES$8,0)+7,4),,))</f>
        <v>10033.667092476409</v>
      </c>
      <c r="G85" s="768">
        <f ca="1">INDIRECT("'kc-Wert für Stützen'!"&amp;SUBSTITUTE(ADDRESS(MATCH($A85,'kc-Wert für Stützen'!$C:$C,0),MATCH(G$7,'kc-Wert für Stützen'!$A$8:$ES$8,0)+7,4),,))</f>
        <v>9516.8856952212664</v>
      </c>
      <c r="H85" s="768">
        <f ca="1">INDIRECT("'kc-Wert für Stützen'!"&amp;SUBSTITUTE(ADDRESS(MATCH($A85,'kc-Wert für Stützen'!$C:$C,0),MATCH(H$7,'kc-Wert für Stützen'!$A$8:$ES$8,0)+7,4),,))</f>
        <v>9031.9946544968625</v>
      </c>
      <c r="I85" s="768">
        <f ca="1">INDIRECT("'kc-Wert für Stützen'!"&amp;SUBSTITUTE(ADDRESS(MATCH($A85,'kc-Wert für Stützen'!$C:$C,0),MATCH(I$7,'kc-Wert für Stützen'!$A$8:$ES$8,0)+7,4),,))</f>
        <v>8577.9944684438669</v>
      </c>
      <c r="J85" s="768">
        <f ca="1">INDIRECT("'kc-Wert für Stützen'!"&amp;SUBSTITUTE(ADDRESS(MATCH($A85,'kc-Wert für Stützen'!$C:$C,0),MATCH(J$7,'kc-Wert für Stützen'!$A$8:$ES$8,0)+7,4),,))</f>
        <v>8153.4331261871912</v>
      </c>
      <c r="K85" s="768">
        <f ca="1">INDIRECT("'kc-Wert für Stützen'!"&amp;SUBSTITUTE(ADDRESS(MATCH($A85,'kc-Wert für Stützen'!$C:$C,0),MATCH(K$7,'kc-Wert für Stützen'!$A$8:$ES$8,0)+7,4),,))</f>
        <v>7756.6225567857655</v>
      </c>
      <c r="L85" s="768">
        <f ca="1">INDIRECT("'kc-Wert für Stützen'!"&amp;SUBSTITUTE(ADDRESS(MATCH($A85,'kc-Wert für Stützen'!$C:$C,0),MATCH(L$7,'kc-Wert für Stützen'!$A$8:$ES$8,0)+7,4),,))</f>
        <v>7385.7799931363315</v>
      </c>
      <c r="M85" s="768">
        <f ca="1">INDIRECT("'kc-Wert für Stützen'!"&amp;SUBSTITUTE(ADDRESS(MATCH($A85,'kc-Wert für Stützen'!$C:$C,0),MATCH(M$7,'kc-Wert für Stützen'!$A$8:$ES$8,0)+7,4),,))</f>
        <v>7039.1176814586124</v>
      </c>
      <c r="N85" s="768">
        <f ca="1">INDIRECT("'kc-Wert für Stützen'!"&amp;SUBSTITUTE(ADDRESS(MATCH($A85,'kc-Wert für Stützen'!$C:$C,0),MATCH(N$7,'kc-Wert für Stützen'!$A$8:$ES$8,0)+7,4),,))</f>
        <v>6714.8978341394968</v>
      </c>
      <c r="O85" s="768">
        <f ca="1">INDIRECT("'kc-Wert für Stützen'!"&amp;SUBSTITUTE(ADDRESS(MATCH($A85,'kc-Wert für Stützen'!$C:$C,0),MATCH(O$7,'kc-Wert für Stützen'!$A$8:$ES$8,0)+7,4),,))</f>
        <v>6411.4645593310506</v>
      </c>
      <c r="P85" s="768">
        <f ca="1">INDIRECT("'kc-Wert für Stützen'!"&amp;SUBSTITUTE(ADDRESS(MATCH($A85,'kc-Wert für Stützen'!$C:$C,0),MATCH(P$7,'kc-Wert für Stützen'!$A$8:$ES$8,0)+7,4),,))</f>
        <v>6127.2607442854705</v>
      </c>
      <c r="S85" s="772">
        <f t="shared" ca="1" si="31"/>
        <v>11162.567051284388</v>
      </c>
      <c r="T85" s="772">
        <f t="shared" ca="1" si="30"/>
        <v>11162.567051284388</v>
      </c>
      <c r="U85" s="772">
        <f t="shared" ca="1" si="30"/>
        <v>11162.567051284388</v>
      </c>
      <c r="V85" s="772">
        <f t="shared" ca="1" si="30"/>
        <v>10582.5640699297</v>
      </c>
      <c r="W85" s="772">
        <f t="shared" ca="1" si="30"/>
        <v>10033.667092476409</v>
      </c>
      <c r="X85" s="772">
        <f t="shared" ca="1" si="30"/>
        <v>9516.8856952212664</v>
      </c>
      <c r="Y85" s="772">
        <f t="shared" ca="1" si="30"/>
        <v>9031.9946544968625</v>
      </c>
      <c r="Z85" s="772">
        <f t="shared" ca="1" si="30"/>
        <v>11162.567051284388</v>
      </c>
      <c r="AA85" s="772">
        <f t="shared" ca="1" si="30"/>
        <v>11162.567051284388</v>
      </c>
      <c r="AB85" s="772">
        <f t="shared" ca="1" si="29"/>
        <v>10582.5640699297</v>
      </c>
      <c r="AC85" s="772">
        <f t="shared" ca="1" si="29"/>
        <v>10582.5640699297</v>
      </c>
      <c r="AD85" s="772">
        <f t="shared" ca="1" si="29"/>
        <v>10033.667092476409</v>
      </c>
      <c r="AE85" s="772">
        <f t="shared" ca="1" si="29"/>
        <v>10033.667092476409</v>
      </c>
      <c r="AF85" s="772">
        <f t="shared" ca="1" si="29"/>
        <v>9516.8856952212664</v>
      </c>
      <c r="AG85" s="772">
        <f t="shared" ca="1" si="29"/>
        <v>9516.8856952212664</v>
      </c>
      <c r="AH85" s="772">
        <f t="shared" ca="1" si="29"/>
        <v>9516.8856952212664</v>
      </c>
      <c r="AI85" s="772">
        <f t="shared" ca="1" si="29"/>
        <v>11162.567051284388</v>
      </c>
      <c r="AJ85" s="772">
        <f t="shared" ca="1" si="29"/>
        <v>11162.567051284388</v>
      </c>
      <c r="AK85" s="772">
        <f t="shared" ca="1" si="29"/>
        <v>10582.5640699297</v>
      </c>
      <c r="AL85" s="772">
        <f t="shared" ca="1" si="29"/>
        <v>10582.5640699297</v>
      </c>
      <c r="AM85" s="772">
        <f t="shared" ca="1" si="29"/>
        <v>10033.667092476409</v>
      </c>
      <c r="AN85" s="772">
        <f t="shared" ca="1" si="29"/>
        <v>10033.667092476409</v>
      </c>
      <c r="AO85" s="772">
        <f t="shared" ca="1" si="29"/>
        <v>9516.8856952212664</v>
      </c>
      <c r="AP85" s="772">
        <f t="shared" ca="1" si="29"/>
        <v>9516.8856952212664</v>
      </c>
      <c r="AQ85" s="772">
        <f t="shared" ca="1" si="29"/>
        <v>9516.8856952212664</v>
      </c>
      <c r="AR85" s="772">
        <f t="shared" ca="1" si="28"/>
        <v>11162.567051284388</v>
      </c>
      <c r="AS85" s="772">
        <f t="shared" ca="1" si="28"/>
        <v>11162.567051284388</v>
      </c>
      <c r="AT85" s="772">
        <f t="shared" ca="1" si="28"/>
        <v>10582.5640699297</v>
      </c>
      <c r="AU85" s="772">
        <f t="shared" ca="1" si="28"/>
        <v>10582.5640699297</v>
      </c>
      <c r="AV85" s="772">
        <f t="shared" ca="1" si="28"/>
        <v>10033.667092476409</v>
      </c>
      <c r="AW85" s="772">
        <f t="shared" ca="1" si="28"/>
        <v>10033.667092476409</v>
      </c>
      <c r="AX85" s="772">
        <f t="shared" ca="1" si="28"/>
        <v>9516.8856952212664</v>
      </c>
      <c r="AY85" s="772">
        <f t="shared" ca="1" si="28"/>
        <v>9516.8856952212664</v>
      </c>
      <c r="AZ85" s="772">
        <f t="shared" ref="AZ85:BF92" ca="1" si="34">HLOOKUP(AZ$7,$A$7:$P$348,ROW()-6)</f>
        <v>9516.8856952212664</v>
      </c>
      <c r="BA85" s="772">
        <f t="shared" ca="1" si="34"/>
        <v>11162.567051284388</v>
      </c>
      <c r="BB85" s="772">
        <f t="shared" ca="1" si="34"/>
        <v>11162.567051284388</v>
      </c>
      <c r="BC85" s="772">
        <f t="shared" ca="1" si="34"/>
        <v>10582.5640699297</v>
      </c>
      <c r="BD85" s="772">
        <f t="shared" ca="1" si="34"/>
        <v>10033.667092476409</v>
      </c>
      <c r="BE85" s="772">
        <f t="shared" ca="1" si="34"/>
        <v>10033.667092476409</v>
      </c>
      <c r="BF85" s="772">
        <f t="shared" ca="1" si="34"/>
        <v>9516.8856952212664</v>
      </c>
      <c r="BG85" s="772">
        <f t="shared" ca="1" si="33"/>
        <v>9516.8856952212664</v>
      </c>
      <c r="BH85" s="772">
        <f t="shared" ca="1" si="32"/>
        <v>9031.9946544968625</v>
      </c>
      <c r="BI85" s="772">
        <f t="shared" ca="1" si="32"/>
        <v>9031.9946544968625</v>
      </c>
      <c r="BJ85" s="772">
        <f t="shared" ca="1" si="32"/>
        <v>10582.5640699297</v>
      </c>
      <c r="BK85" s="772">
        <f t="shared" ca="1" si="32"/>
        <v>10582.5640699297</v>
      </c>
      <c r="BL85" s="772">
        <f t="shared" ca="1" si="32"/>
        <v>10582.5640699297</v>
      </c>
      <c r="BM85" s="772">
        <f t="shared" ca="1" si="32"/>
        <v>10582.5640699297</v>
      </c>
      <c r="BN85" s="772">
        <f t="shared" ca="1" si="32"/>
        <v>9516.8856952212664</v>
      </c>
      <c r="BO85" s="772">
        <f t="shared" ca="1" si="32"/>
        <v>9516.8856952212664</v>
      </c>
      <c r="BP85" s="772">
        <f t="shared" ca="1" si="32"/>
        <v>9031.9946544968625</v>
      </c>
      <c r="BQ85" s="772">
        <f t="shared" ca="1" si="32"/>
        <v>9031.9946544968625</v>
      </c>
      <c r="BR85" s="772">
        <f t="shared" ca="1" si="32"/>
        <v>8577.9944684438669</v>
      </c>
      <c r="BS85" s="772">
        <f t="shared" ca="1" si="32"/>
        <v>10582.5640699297</v>
      </c>
      <c r="BT85" s="772">
        <f t="shared" ca="1" si="32"/>
        <v>10582.5640699297</v>
      </c>
      <c r="BU85" s="772">
        <f t="shared" ca="1" si="32"/>
        <v>10582.5640699297</v>
      </c>
      <c r="BV85" s="772">
        <f t="shared" ca="1" si="32"/>
        <v>10033.667092476409</v>
      </c>
      <c r="BW85" s="772">
        <f t="shared" ca="1" si="32"/>
        <v>10033.667092476409</v>
      </c>
      <c r="BX85" s="772">
        <f t="shared" ca="1" si="27"/>
        <v>9031.9946544968625</v>
      </c>
      <c r="BY85" s="772">
        <f t="shared" ca="1" si="27"/>
        <v>9031.9946544968625</v>
      </c>
      <c r="BZ85" s="772">
        <f t="shared" ca="1" si="27"/>
        <v>8577.9944684438669</v>
      </c>
      <c r="CA85" s="772">
        <f t="shared" ca="1" si="27"/>
        <v>8577.9944684438669</v>
      </c>
      <c r="CB85" s="772">
        <f t="shared" ca="1" si="27"/>
        <v>10033.667092476409</v>
      </c>
      <c r="CC85" s="772">
        <f t="shared" ca="1" si="27"/>
        <v>10033.667092476409</v>
      </c>
      <c r="CD85" s="772">
        <f t="shared" ca="1" si="27"/>
        <v>10033.667092476409</v>
      </c>
      <c r="CE85" s="772">
        <f t="shared" ca="1" si="27"/>
        <v>10033.667092476409</v>
      </c>
      <c r="CF85" s="772">
        <f t="shared" ca="1" si="27"/>
        <v>9516.8856952212664</v>
      </c>
      <c r="CG85" s="772">
        <f t="shared" ca="1" si="27"/>
        <v>9031.9946544968625</v>
      </c>
      <c r="CH85" s="772">
        <f t="shared" ca="1" si="27"/>
        <v>8577.9944684438669</v>
      </c>
      <c r="CI85" s="772">
        <f t="shared" ca="1" si="27"/>
        <v>8577.9944684438669</v>
      </c>
      <c r="CJ85" s="772">
        <f t="shared" ca="1" si="27"/>
        <v>8153.4331261871912</v>
      </c>
    </row>
    <row r="86" spans="1:88" ht="15" customHeight="1">
      <c r="A86" s="770">
        <f>'kc-Wert für Stützen'!C86</f>
        <v>138</v>
      </c>
      <c r="B86" s="768">
        <f ca="1">INDIRECT("'kc-Wert für Stützen'!"&amp;SUBSTITUTE(ADDRESS(MATCH($A86,'kc-Wert für Stützen'!$C:$C,0),MATCH(B$7,'kc-Wert für Stützen'!$A$8:$ES$8,0)+7,4),,))</f>
        <v>12715.497977641453</v>
      </c>
      <c r="C86" s="768">
        <f ca="1">INDIRECT("'kc-Wert für Stützen'!"&amp;SUBSTITUTE(ADDRESS(MATCH($A86,'kc-Wert für Stützen'!$C:$C,0),MATCH(C$7,'kc-Wert für Stützen'!$A$8:$ES$8,0)+7,4),,))</f>
        <v>12076.145853687221</v>
      </c>
      <c r="D86" s="768">
        <f ca="1">INDIRECT("'kc-Wert für Stützen'!"&amp;SUBSTITUTE(ADDRESS(MATCH($A86,'kc-Wert für Stützen'!$C:$C,0),MATCH(D$7,'kc-Wert für Stützen'!$A$8:$ES$8,0)+7,4),,))</f>
        <v>11457.991151091896</v>
      </c>
      <c r="E86" s="768">
        <f ca="1">INDIRECT("'kc-Wert für Stützen'!"&amp;SUBSTITUTE(ADDRESS(MATCH($A86,'kc-Wert für Stützen'!$C:$C,0),MATCH(E$7,'kc-Wert für Stützen'!$A$8:$ES$8,0)+7,4),,))</f>
        <v>10867.137372148221</v>
      </c>
      <c r="F86" s="768">
        <f ca="1">INDIRECT("'kc-Wert für Stützen'!"&amp;SUBSTITUTE(ADDRESS(MATCH($A86,'kc-Wert für Stützen'!$C:$C,0),MATCH(F$7,'kc-Wert für Stützen'!$A$8:$ES$8,0)+7,4),,))</f>
        <v>10306.935114024092</v>
      </c>
      <c r="G86" s="768">
        <f ca="1">INDIRECT("'kc-Wert für Stützen'!"&amp;SUBSTITUTE(ADDRESS(MATCH($A86,'kc-Wert für Stützen'!$C:$C,0),MATCH(G$7,'kc-Wert für Stützen'!$A$8:$ES$8,0)+7,4),,))</f>
        <v>9778.7459939037362</v>
      </c>
      <c r="H86" s="768">
        <f ca="1">INDIRECT("'kc-Wert für Stützen'!"&amp;SUBSTITUTE(ADDRESS(MATCH($A86,'kc-Wert für Stützen'!$C:$C,0),MATCH(H$7,'kc-Wert für Stützen'!$A$8:$ES$8,0)+7,4),,))</f>
        <v>9282.587325889077</v>
      </c>
      <c r="I86" s="768">
        <f ca="1">INDIRECT("'kc-Wert für Stützen'!"&amp;SUBSTITUTE(ADDRESS(MATCH($A86,'kc-Wert für Stützen'!$C:$C,0),MATCH(I$7,'kc-Wert für Stützen'!$A$8:$ES$8,0)+7,4),,))</f>
        <v>8817.6187649984731</v>
      </c>
      <c r="J86" s="768">
        <f ca="1">INDIRECT("'kc-Wert für Stützen'!"&amp;SUBSTITUTE(ADDRESS(MATCH($A86,'kc-Wert für Stützen'!$C:$C,0),MATCH(J$7,'kc-Wert für Stützen'!$A$8:$ES$8,0)+7,4),,))</f>
        <v>8382.4870366634277</v>
      </c>
      <c r="K86" s="768">
        <f ca="1">INDIRECT("'kc-Wert für Stützen'!"&amp;SUBSTITUTE(ADDRESS(MATCH($A86,'kc-Wert für Stützen'!$C:$C,0),MATCH(K$7,'kc-Wert für Stützen'!$A$8:$ES$8,0)+7,4),,))</f>
        <v>7975.560378618954</v>
      </c>
      <c r="L86" s="768">
        <f ca="1">INDIRECT("'kc-Wert für Stützen'!"&amp;SUBSTITUTE(ADDRESS(MATCH($A86,'kc-Wert für Stützen'!$C:$C,0),MATCH(L$7,'kc-Wert für Stützen'!$A$8:$ES$8,0)+7,4),,))</f>
        <v>7595.0832099985237</v>
      </c>
      <c r="M86" s="768">
        <f ca="1">INDIRECT("'kc-Wert für Stützen'!"&amp;SUBSTITUTE(ADDRESS(MATCH($A86,'kc-Wert für Stützen'!$C:$C,0),MATCH(M$7,'kc-Wert für Stützen'!$A$8:$ES$8,0)+7,4),,))</f>
        <v>7239.275368660602</v>
      </c>
      <c r="N86" s="768">
        <f ca="1">INDIRECT("'kc-Wert für Stützen'!"&amp;SUBSTITUTE(ADDRESS(MATCH($A86,'kc-Wert für Stützen'!$C:$C,0),MATCH(N$7,'kc-Wert für Stützen'!$A$8:$ES$8,0)+7,4),,))</f>
        <v>6906.3937598151897</v>
      </c>
      <c r="O86" s="768">
        <f ca="1">INDIRECT("'kc-Wert für Stützen'!"&amp;SUBSTITUTE(ADDRESS(MATCH($A86,'kc-Wert für Stützen'!$C:$C,0),MATCH(O$7,'kc-Wert für Stützen'!$A$8:$ES$8,0)+7,4),,))</f>
        <v>6594.7689357731142</v>
      </c>
      <c r="P86" s="768">
        <f ca="1">INDIRECT("'kc-Wert für Stützen'!"&amp;SUBSTITUTE(ADDRESS(MATCH($A86,'kc-Wert für Stützen'!$C:$C,0),MATCH(P$7,'kc-Wert für Stützen'!$A$8:$ES$8,0)+7,4),,))</f>
        <v>6302.8251812878962</v>
      </c>
      <c r="S86" s="772">
        <f t="shared" ca="1" si="31"/>
        <v>11457.991151091896</v>
      </c>
      <c r="T86" s="772">
        <f t="shared" ca="1" si="30"/>
        <v>11457.991151091896</v>
      </c>
      <c r="U86" s="772">
        <f t="shared" ca="1" si="30"/>
        <v>11457.991151091896</v>
      </c>
      <c r="V86" s="772">
        <f t="shared" ca="1" si="30"/>
        <v>10867.137372148221</v>
      </c>
      <c r="W86" s="772">
        <f t="shared" ca="1" si="30"/>
        <v>10306.935114024092</v>
      </c>
      <c r="X86" s="772">
        <f t="shared" ca="1" si="30"/>
        <v>9778.7459939037362</v>
      </c>
      <c r="Y86" s="772">
        <f t="shared" ca="1" si="30"/>
        <v>9282.587325889077</v>
      </c>
      <c r="Z86" s="772">
        <f t="shared" ca="1" si="30"/>
        <v>11457.991151091896</v>
      </c>
      <c r="AA86" s="772">
        <f t="shared" ca="1" si="30"/>
        <v>11457.991151091896</v>
      </c>
      <c r="AB86" s="772">
        <f t="shared" ca="1" si="29"/>
        <v>10867.137372148221</v>
      </c>
      <c r="AC86" s="772">
        <f t="shared" ca="1" si="29"/>
        <v>10867.137372148221</v>
      </c>
      <c r="AD86" s="772">
        <f t="shared" ca="1" si="29"/>
        <v>10306.935114024092</v>
      </c>
      <c r="AE86" s="772">
        <f t="shared" ca="1" si="29"/>
        <v>10306.935114024092</v>
      </c>
      <c r="AF86" s="772">
        <f t="shared" ca="1" si="29"/>
        <v>9778.7459939037362</v>
      </c>
      <c r="AG86" s="772">
        <f t="shared" ca="1" si="29"/>
        <v>9778.7459939037362</v>
      </c>
      <c r="AH86" s="772">
        <f t="shared" ca="1" si="29"/>
        <v>9778.7459939037362</v>
      </c>
      <c r="AI86" s="772">
        <f t="shared" ca="1" si="29"/>
        <v>11457.991151091896</v>
      </c>
      <c r="AJ86" s="772">
        <f t="shared" ca="1" si="29"/>
        <v>11457.991151091896</v>
      </c>
      <c r="AK86" s="772">
        <f t="shared" ca="1" si="29"/>
        <v>10867.137372148221</v>
      </c>
      <c r="AL86" s="772">
        <f t="shared" ca="1" si="29"/>
        <v>10867.137372148221</v>
      </c>
      <c r="AM86" s="772">
        <f t="shared" ca="1" si="29"/>
        <v>10306.935114024092</v>
      </c>
      <c r="AN86" s="772">
        <f t="shared" ca="1" si="29"/>
        <v>10306.935114024092</v>
      </c>
      <c r="AO86" s="772">
        <f t="shared" ca="1" si="29"/>
        <v>9778.7459939037362</v>
      </c>
      <c r="AP86" s="772">
        <f t="shared" ca="1" si="29"/>
        <v>9778.7459939037362</v>
      </c>
      <c r="AQ86" s="772">
        <f t="shared" ca="1" si="29"/>
        <v>9778.7459939037362</v>
      </c>
      <c r="AR86" s="772">
        <f t="shared" ca="1" si="28"/>
        <v>11457.991151091896</v>
      </c>
      <c r="AS86" s="772">
        <f t="shared" ca="1" si="28"/>
        <v>11457.991151091896</v>
      </c>
      <c r="AT86" s="772">
        <f t="shared" ca="1" si="28"/>
        <v>10867.137372148221</v>
      </c>
      <c r="AU86" s="772">
        <f t="shared" ca="1" si="28"/>
        <v>10867.137372148221</v>
      </c>
      <c r="AV86" s="772">
        <f t="shared" ca="1" si="28"/>
        <v>10306.935114024092</v>
      </c>
      <c r="AW86" s="772">
        <f t="shared" ca="1" si="28"/>
        <v>10306.935114024092</v>
      </c>
      <c r="AX86" s="772">
        <f t="shared" ca="1" si="28"/>
        <v>9778.7459939037362</v>
      </c>
      <c r="AY86" s="772">
        <f t="shared" ca="1" si="28"/>
        <v>9778.7459939037362</v>
      </c>
      <c r="AZ86" s="772">
        <f t="shared" ca="1" si="34"/>
        <v>9778.7459939037362</v>
      </c>
      <c r="BA86" s="772">
        <f t="shared" ca="1" si="34"/>
        <v>11457.991151091896</v>
      </c>
      <c r="BB86" s="772">
        <f t="shared" ca="1" si="34"/>
        <v>11457.991151091896</v>
      </c>
      <c r="BC86" s="772">
        <f t="shared" ca="1" si="34"/>
        <v>10867.137372148221</v>
      </c>
      <c r="BD86" s="772">
        <f t="shared" ca="1" si="34"/>
        <v>10306.935114024092</v>
      </c>
      <c r="BE86" s="772">
        <f t="shared" ca="1" si="34"/>
        <v>10306.935114024092</v>
      </c>
      <c r="BF86" s="772">
        <f t="shared" ca="1" si="34"/>
        <v>9778.7459939037362</v>
      </c>
      <c r="BG86" s="772">
        <f t="shared" ca="1" si="33"/>
        <v>9778.7459939037362</v>
      </c>
      <c r="BH86" s="772">
        <f t="shared" ca="1" si="32"/>
        <v>9282.587325889077</v>
      </c>
      <c r="BI86" s="772">
        <f t="shared" ca="1" si="32"/>
        <v>9282.587325889077</v>
      </c>
      <c r="BJ86" s="772">
        <f t="shared" ca="1" si="32"/>
        <v>10867.137372148221</v>
      </c>
      <c r="BK86" s="772">
        <f t="shared" ca="1" si="32"/>
        <v>10867.137372148221</v>
      </c>
      <c r="BL86" s="772">
        <f t="shared" ca="1" si="32"/>
        <v>10867.137372148221</v>
      </c>
      <c r="BM86" s="772">
        <f t="shared" ca="1" si="32"/>
        <v>10867.137372148221</v>
      </c>
      <c r="BN86" s="772">
        <f t="shared" ca="1" si="32"/>
        <v>9778.7459939037362</v>
      </c>
      <c r="BO86" s="772">
        <f t="shared" ca="1" si="32"/>
        <v>9778.7459939037362</v>
      </c>
      <c r="BP86" s="772">
        <f t="shared" ca="1" si="32"/>
        <v>9282.587325889077</v>
      </c>
      <c r="BQ86" s="772">
        <f t="shared" ca="1" si="32"/>
        <v>9282.587325889077</v>
      </c>
      <c r="BR86" s="772">
        <f t="shared" ca="1" si="32"/>
        <v>8817.6187649984731</v>
      </c>
      <c r="BS86" s="772">
        <f t="shared" ca="1" si="32"/>
        <v>10867.137372148221</v>
      </c>
      <c r="BT86" s="772">
        <f t="shared" ca="1" si="32"/>
        <v>10867.137372148221</v>
      </c>
      <c r="BU86" s="772">
        <f t="shared" ca="1" si="32"/>
        <v>10867.137372148221</v>
      </c>
      <c r="BV86" s="772">
        <f t="shared" ca="1" si="32"/>
        <v>10306.935114024092</v>
      </c>
      <c r="BW86" s="772">
        <f t="shared" ca="1" si="32"/>
        <v>10306.935114024092</v>
      </c>
      <c r="BX86" s="772">
        <f t="shared" ca="1" si="27"/>
        <v>9282.587325889077</v>
      </c>
      <c r="BY86" s="772">
        <f t="shared" ca="1" si="27"/>
        <v>9282.587325889077</v>
      </c>
      <c r="BZ86" s="772">
        <f t="shared" ca="1" si="27"/>
        <v>8817.6187649984731</v>
      </c>
      <c r="CA86" s="772">
        <f t="shared" ca="1" si="27"/>
        <v>8817.6187649984731</v>
      </c>
      <c r="CB86" s="772">
        <f t="shared" ca="1" si="27"/>
        <v>10306.935114024092</v>
      </c>
      <c r="CC86" s="772">
        <f t="shared" ca="1" si="27"/>
        <v>10306.935114024092</v>
      </c>
      <c r="CD86" s="772">
        <f t="shared" ca="1" si="27"/>
        <v>10306.935114024092</v>
      </c>
      <c r="CE86" s="772">
        <f t="shared" ca="1" si="27"/>
        <v>10306.935114024092</v>
      </c>
      <c r="CF86" s="772">
        <f t="shared" ca="1" si="27"/>
        <v>9778.7459939037362</v>
      </c>
      <c r="CG86" s="772">
        <f t="shared" ca="1" si="27"/>
        <v>9282.587325889077</v>
      </c>
      <c r="CH86" s="772">
        <f t="shared" ca="1" si="27"/>
        <v>8817.6187649984731</v>
      </c>
      <c r="CI86" s="772">
        <f t="shared" ca="1" si="27"/>
        <v>8817.6187649984731</v>
      </c>
      <c r="CJ86" s="772">
        <f t="shared" ca="1" si="27"/>
        <v>8382.4870366634277</v>
      </c>
    </row>
    <row r="87" spans="1:88" ht="15" customHeight="1">
      <c r="A87" s="770">
        <f>'kc-Wert für Stützen'!C87</f>
        <v>139</v>
      </c>
      <c r="B87" s="768">
        <f ca="1">INDIRECT("'kc-Wert für Stützen'!"&amp;SUBSTITUTE(ADDRESS(MATCH($A87,'kc-Wert für Stützen'!$C:$C,0),MATCH(B$7,'kc-Wert für Stützen'!$A$8:$ES$8,0)+7,4),,))</f>
        <v>13032.920124019431</v>
      </c>
      <c r="C87" s="768">
        <f ca="1">INDIRECT("'kc-Wert für Stützen'!"&amp;SUBSTITUTE(ADDRESS(MATCH($A87,'kc-Wert für Stützen'!$C:$C,0),MATCH(C$7,'kc-Wert für Stützen'!$A$8:$ES$8,0)+7,4),,))</f>
        <v>12385.618031044603</v>
      </c>
      <c r="D87" s="768">
        <f ca="1">INDIRECT("'kc-Wert für Stützen'!"&amp;SUBSTITUTE(ADDRESS(MATCH($A87,'kc-Wert für Stützen'!$C:$C,0),MATCH(D$7,'kc-Wert für Stützen'!$A$8:$ES$8,0)+7,4),,))</f>
        <v>11757.826178141031</v>
      </c>
      <c r="E87" s="768">
        <f ca="1">INDIRECT("'kc-Wert für Stützen'!"&amp;SUBSTITUTE(ADDRESS(MATCH($A87,'kc-Wert für Stützen'!$C:$C,0),MATCH(E$7,'kc-Wert für Stützen'!$A$8:$ES$8,0)+7,4),,))</f>
        <v>11156.281508856406</v>
      </c>
      <c r="F87" s="768">
        <f ca="1">INDIRECT("'kc-Wert für Stützen'!"&amp;SUBSTITUTE(ADDRESS(MATCH($A87,'kc-Wert für Stützen'!$C:$C,0),MATCH(F$7,'kc-Wert für Stützen'!$A$8:$ES$8,0)+7,4),,))</f>
        <v>10584.841714467479</v>
      </c>
      <c r="G87" s="768">
        <f ca="1">INDIRECT("'kc-Wert für Stützen'!"&amp;SUBSTITUTE(ADDRESS(MATCH($A87,'kc-Wert für Stützen'!$C:$C,0),MATCH(G$7,'kc-Wert für Stützen'!$A$8:$ES$8,0)+7,4),,))</f>
        <v>10045.243351379739</v>
      </c>
      <c r="H87" s="768">
        <f ca="1">INDIRECT("'kc-Wert für Stützen'!"&amp;SUBSTITUTE(ADDRESS(MATCH($A87,'kc-Wert für Stützen'!$C:$C,0),MATCH(H$7,'kc-Wert für Stützen'!$A$8:$ES$8,0)+7,4),,))</f>
        <v>9537.7657198023171</v>
      </c>
      <c r="I87" s="768">
        <f ca="1">INDIRECT("'kc-Wert für Stützen'!"&amp;SUBSTITUTE(ADDRESS(MATCH($A87,'kc-Wert für Stützen'!$C:$C,0),MATCH(I$7,'kc-Wert für Stützen'!$A$8:$ES$8,0)+7,4),,))</f>
        <v>9061.7429289571137</v>
      </c>
      <c r="J87" s="768">
        <f ca="1">INDIRECT("'kc-Wert für Stützen'!"&amp;SUBSTITUTE(ADDRESS(MATCH($A87,'kc-Wert für Stützen'!$C:$C,0),MATCH(J$7,'kc-Wert für Stützen'!$A$8:$ES$8,0)+7,4),,))</f>
        <v>8615.9319662050384</v>
      </c>
      <c r="K87" s="768">
        <f ca="1">INDIRECT("'kc-Wert für Stützen'!"&amp;SUBSTITUTE(ADDRESS(MATCH($A87,'kc-Wert für Stützen'!$C:$C,0),MATCH(K$7,'kc-Wert für Stützen'!$A$8:$ES$8,0)+7,4),,))</f>
        <v>8198.7658400549753</v>
      </c>
      <c r="L87" s="768">
        <f ca="1">INDIRECT("'kc-Wert für Stützen'!"&amp;SUBSTITUTE(ADDRESS(MATCH($A87,'kc-Wert für Stützen'!$C:$C,0),MATCH(L$7,'kc-Wert für Stützen'!$A$8:$ES$8,0)+7,4),,))</f>
        <v>7808.5222645009935</v>
      </c>
      <c r="M87" s="768">
        <f ca="1">INDIRECT("'kc-Wert für Stützen'!"&amp;SUBSTITUTE(ADDRESS(MATCH($A87,'kc-Wert für Stützen'!$C:$C,0),MATCH(M$7,'kc-Wert für Stützen'!$A$8:$ES$8,0)+7,4),,))</f>
        <v>7443.4330230682135</v>
      </c>
      <c r="N87" s="768">
        <f ca="1">INDIRECT("'kc-Wert für Stützen'!"&amp;SUBSTITUTE(ADDRESS(MATCH($A87,'kc-Wert für Stützen'!$C:$C,0),MATCH(N$7,'kc-Wert für Stützen'!$A$8:$ES$8,0)+7,4),,))</f>
        <v>7101.7527812023536</v>
      </c>
      <c r="O87" s="768">
        <f ca="1">INDIRECT("'kc-Wert für Stützen'!"&amp;SUBSTITUTE(ADDRESS(MATCH($A87,'kc-Wert für Stützen'!$C:$C,0),MATCH(O$7,'kc-Wert für Stützen'!$A$8:$ES$8,0)+7,4),,))</f>
        <v>6781.8006679656692</v>
      </c>
      <c r="P87" s="768">
        <f ca="1">INDIRECT("'kc-Wert für Stützen'!"&amp;SUBSTITUTE(ADDRESS(MATCH($A87,'kc-Wert für Stützen'!$C:$C,0),MATCH(P$7,'kc-Wert für Stützen'!$A$8:$ES$8,0)+7,4),,))</f>
        <v>6481.9838224859368</v>
      </c>
      <c r="S87" s="772">
        <f t="shared" ca="1" si="31"/>
        <v>11757.826178141031</v>
      </c>
      <c r="T87" s="772">
        <f t="shared" ca="1" si="30"/>
        <v>11757.826178141031</v>
      </c>
      <c r="U87" s="772">
        <f t="shared" ca="1" si="30"/>
        <v>11757.826178141031</v>
      </c>
      <c r="V87" s="772">
        <f t="shared" ca="1" si="30"/>
        <v>11156.281508856406</v>
      </c>
      <c r="W87" s="772">
        <f t="shared" ca="1" si="30"/>
        <v>10584.841714467479</v>
      </c>
      <c r="X87" s="772">
        <f t="shared" ca="1" si="30"/>
        <v>10045.243351379739</v>
      </c>
      <c r="Y87" s="772">
        <f t="shared" ca="1" si="30"/>
        <v>9537.7657198023171</v>
      </c>
      <c r="Z87" s="772">
        <f t="shared" ca="1" si="30"/>
        <v>11757.826178141031</v>
      </c>
      <c r="AA87" s="772">
        <f t="shared" ca="1" si="30"/>
        <v>11757.826178141031</v>
      </c>
      <c r="AB87" s="772">
        <f t="shared" ca="1" si="29"/>
        <v>11156.281508856406</v>
      </c>
      <c r="AC87" s="772">
        <f t="shared" ca="1" si="29"/>
        <v>11156.281508856406</v>
      </c>
      <c r="AD87" s="772">
        <f t="shared" ca="1" si="29"/>
        <v>10584.841714467479</v>
      </c>
      <c r="AE87" s="772">
        <f t="shared" ca="1" si="29"/>
        <v>10584.841714467479</v>
      </c>
      <c r="AF87" s="772">
        <f t="shared" ca="1" si="29"/>
        <v>10045.243351379739</v>
      </c>
      <c r="AG87" s="772">
        <f t="shared" ca="1" si="29"/>
        <v>10045.243351379739</v>
      </c>
      <c r="AH87" s="772">
        <f t="shared" ca="1" si="29"/>
        <v>10045.243351379739</v>
      </c>
      <c r="AI87" s="772">
        <f t="shared" ca="1" si="29"/>
        <v>11757.826178141031</v>
      </c>
      <c r="AJ87" s="772">
        <f t="shared" ca="1" si="29"/>
        <v>11757.826178141031</v>
      </c>
      <c r="AK87" s="772">
        <f t="shared" ca="1" si="29"/>
        <v>11156.281508856406</v>
      </c>
      <c r="AL87" s="772">
        <f t="shared" ca="1" si="29"/>
        <v>11156.281508856406</v>
      </c>
      <c r="AM87" s="772">
        <f t="shared" ca="1" si="29"/>
        <v>10584.841714467479</v>
      </c>
      <c r="AN87" s="772">
        <f t="shared" ca="1" si="29"/>
        <v>10584.841714467479</v>
      </c>
      <c r="AO87" s="772">
        <f t="shared" ca="1" si="29"/>
        <v>10045.243351379739</v>
      </c>
      <c r="AP87" s="772">
        <f t="shared" ca="1" si="29"/>
        <v>10045.243351379739</v>
      </c>
      <c r="AQ87" s="772">
        <f t="shared" ref="AB87:AQ103" ca="1" si="35">HLOOKUP(AQ$7,$A$7:$P$348,ROW()-6)</f>
        <v>10045.243351379739</v>
      </c>
      <c r="AR87" s="772">
        <f t="shared" ca="1" si="28"/>
        <v>11757.826178141031</v>
      </c>
      <c r="AS87" s="772">
        <f t="shared" ca="1" si="28"/>
        <v>11757.826178141031</v>
      </c>
      <c r="AT87" s="772">
        <f t="shared" ca="1" si="28"/>
        <v>11156.281508856406</v>
      </c>
      <c r="AU87" s="772">
        <f t="shared" ca="1" si="28"/>
        <v>11156.281508856406</v>
      </c>
      <c r="AV87" s="772">
        <f t="shared" ca="1" si="28"/>
        <v>10584.841714467479</v>
      </c>
      <c r="AW87" s="772">
        <f t="shared" ca="1" si="28"/>
        <v>10584.841714467479</v>
      </c>
      <c r="AX87" s="772">
        <f t="shared" ca="1" si="28"/>
        <v>10045.243351379739</v>
      </c>
      <c r="AY87" s="772">
        <f t="shared" ca="1" si="28"/>
        <v>10045.243351379739</v>
      </c>
      <c r="AZ87" s="772">
        <f t="shared" ca="1" si="34"/>
        <v>10045.243351379739</v>
      </c>
      <c r="BA87" s="772">
        <f t="shared" ca="1" si="34"/>
        <v>11757.826178141031</v>
      </c>
      <c r="BB87" s="772">
        <f t="shared" ca="1" si="34"/>
        <v>11757.826178141031</v>
      </c>
      <c r="BC87" s="772">
        <f t="shared" ca="1" si="34"/>
        <v>11156.281508856406</v>
      </c>
      <c r="BD87" s="772">
        <f t="shared" ca="1" si="34"/>
        <v>10584.841714467479</v>
      </c>
      <c r="BE87" s="772">
        <f t="shared" ca="1" si="34"/>
        <v>10584.841714467479</v>
      </c>
      <c r="BF87" s="772">
        <f t="shared" ca="1" si="34"/>
        <v>10045.243351379739</v>
      </c>
      <c r="BG87" s="772">
        <f t="shared" ca="1" si="33"/>
        <v>10045.243351379739</v>
      </c>
      <c r="BH87" s="772">
        <f t="shared" ca="1" si="32"/>
        <v>9537.7657198023171</v>
      </c>
      <c r="BI87" s="772">
        <f t="shared" ca="1" si="32"/>
        <v>9537.7657198023171</v>
      </c>
      <c r="BJ87" s="772">
        <f t="shared" ca="1" si="32"/>
        <v>11156.281508856406</v>
      </c>
      <c r="BK87" s="772">
        <f t="shared" ca="1" si="32"/>
        <v>11156.281508856406</v>
      </c>
      <c r="BL87" s="772">
        <f t="shared" ca="1" si="32"/>
        <v>11156.281508856406</v>
      </c>
      <c r="BM87" s="772">
        <f t="shared" ca="1" si="32"/>
        <v>11156.281508856406</v>
      </c>
      <c r="BN87" s="772">
        <f t="shared" ca="1" si="32"/>
        <v>10045.243351379739</v>
      </c>
      <c r="BO87" s="772">
        <f t="shared" ca="1" si="32"/>
        <v>10045.243351379739</v>
      </c>
      <c r="BP87" s="772">
        <f t="shared" ca="1" si="32"/>
        <v>9537.7657198023171</v>
      </c>
      <c r="BQ87" s="772">
        <f t="shared" ca="1" si="32"/>
        <v>9537.7657198023171</v>
      </c>
      <c r="BR87" s="772">
        <f t="shared" ca="1" si="32"/>
        <v>9061.7429289571137</v>
      </c>
      <c r="BS87" s="772">
        <f t="shared" ca="1" si="32"/>
        <v>11156.281508856406</v>
      </c>
      <c r="BT87" s="772">
        <f t="shared" ca="1" si="32"/>
        <v>11156.281508856406</v>
      </c>
      <c r="BU87" s="772">
        <f t="shared" ca="1" si="32"/>
        <v>11156.281508856406</v>
      </c>
      <c r="BV87" s="772">
        <f t="shared" ca="1" si="32"/>
        <v>10584.841714467479</v>
      </c>
      <c r="BW87" s="772">
        <f t="shared" ca="1" si="32"/>
        <v>10584.841714467479</v>
      </c>
      <c r="BX87" s="772">
        <f t="shared" ca="1" si="27"/>
        <v>9537.7657198023171</v>
      </c>
      <c r="BY87" s="772">
        <f t="shared" ca="1" si="27"/>
        <v>9537.7657198023171</v>
      </c>
      <c r="BZ87" s="772">
        <f t="shared" ca="1" si="27"/>
        <v>9061.7429289571137</v>
      </c>
      <c r="CA87" s="772">
        <f t="shared" ca="1" si="27"/>
        <v>9061.7429289571137</v>
      </c>
      <c r="CB87" s="772">
        <f t="shared" ca="1" si="27"/>
        <v>10584.841714467479</v>
      </c>
      <c r="CC87" s="772">
        <f t="shared" ca="1" si="27"/>
        <v>10584.841714467479</v>
      </c>
      <c r="CD87" s="772">
        <f t="shared" ca="1" si="27"/>
        <v>10584.841714467479</v>
      </c>
      <c r="CE87" s="772">
        <f t="shared" ref="BX87:CJ107" ca="1" si="36">HLOOKUP(CE$7,$A$7:$P$348,ROW()-6)</f>
        <v>10584.841714467479</v>
      </c>
      <c r="CF87" s="772">
        <f t="shared" ca="1" si="36"/>
        <v>10045.243351379739</v>
      </c>
      <c r="CG87" s="772">
        <f t="shared" ca="1" si="36"/>
        <v>9537.7657198023171</v>
      </c>
      <c r="CH87" s="772">
        <f t="shared" ca="1" si="36"/>
        <v>9061.7429289571137</v>
      </c>
      <c r="CI87" s="772">
        <f t="shared" ca="1" si="36"/>
        <v>9061.7429289571137</v>
      </c>
      <c r="CJ87" s="772">
        <f t="shared" ca="1" si="36"/>
        <v>8615.9319662050384</v>
      </c>
    </row>
    <row r="88" spans="1:88" ht="15" customHeight="1">
      <c r="A88" s="770">
        <f>'kc-Wert für Stützen'!C88</f>
        <v>140</v>
      </c>
      <c r="B88" s="768">
        <f ca="1">INDIRECT("'kc-Wert für Stützen'!"&amp;SUBSTITUTE(ADDRESS(MATCH($A88,'kc-Wert für Stützen'!$C:$C,0),MATCH(B$7,'kc-Wert für Stützen'!$A$8:$ES$8,0)+7,4),,))</f>
        <v>13353.974303531542</v>
      </c>
      <c r="C88" s="768">
        <f ca="1">INDIRECT("'kc-Wert für Stützen'!"&amp;SUBSTITUTE(ADDRESS(MATCH($A88,'kc-Wert für Stützen'!$C:$C,0),MATCH(C$7,'kc-Wert für Stützen'!$A$8:$ES$8,0)+7,4),,))</f>
        <v>12699.152262592039</v>
      </c>
      <c r="D88" s="768">
        <f ca="1">INDIRECT("'kc-Wert für Stützen'!"&amp;SUBSTITUTE(ADDRESS(MATCH($A88,'kc-Wert für Stützen'!$C:$C,0),MATCH(D$7,'kc-Wert für Stützen'!$A$8:$ES$8,0)+7,4),,))</f>
        <v>12062.023222467105</v>
      </c>
      <c r="E88" s="768">
        <f ca="1">INDIRECT("'kc-Wert für Stützen'!"&amp;SUBSTITUTE(ADDRESS(MATCH($A88,'kc-Wert für Stützen'!$C:$C,0),MATCH(E$7,'kc-Wert für Stützen'!$A$8:$ES$8,0)+7,4),,))</f>
        <v>11449.969657398093</v>
      </c>
      <c r="F88" s="768">
        <f ca="1">INDIRECT("'kc-Wert für Stützen'!"&amp;SUBSTITUTE(ADDRESS(MATCH($A88,'kc-Wert für Stützen'!$C:$C,0),MATCH(F$7,'kc-Wert für Stützen'!$A$8:$ES$8,0)+7,4),,))</f>
        <v>10867.378228335321</v>
      </c>
      <c r="G88" s="768">
        <f ca="1">INDIRECT("'kc-Wert für Stützen'!"&amp;SUBSTITUTE(ADDRESS(MATCH($A88,'kc-Wert für Stützen'!$C:$C,0),MATCH(G$7,'kc-Wert für Stützen'!$A$8:$ES$8,0)+7,4),,))</f>
        <v>10316.383299451294</v>
      </c>
      <c r="H88" s="768">
        <f ca="1">INDIRECT("'kc-Wert für Stützen'!"&amp;SUBSTITUTE(ADDRESS(MATCH($A88,'kc-Wert für Stützen'!$C:$C,0),MATCH(H$7,'kc-Wert für Stützen'!$A$8:$ES$8,0)+7,4),,))</f>
        <v>9797.5461034128439</v>
      </c>
      <c r="I88" s="768">
        <f ca="1">INDIRECT("'kc-Wert für Stützen'!"&amp;SUBSTITUTE(ADDRESS(MATCH($A88,'kc-Wert für Stützen'!$C:$C,0),MATCH(I$7,'kc-Wert für Stützen'!$A$8:$ES$8,0)+7,4),,))</f>
        <v>9310.3911413485439</v>
      </c>
      <c r="J88" s="768">
        <f ca="1">INDIRECT("'kc-Wert für Stützen'!"&amp;SUBSTITUTE(ADDRESS(MATCH($A88,'kc-Wert für Stützen'!$C:$C,0),MATCH(J$7,'kc-Wert für Stützen'!$A$8:$ES$8,0)+7,4),,))</f>
        <v>8853.7977961458382</v>
      </c>
      <c r="K88" s="768">
        <f ca="1">INDIRECT("'kc-Wert für Stützen'!"&amp;SUBSTITUTE(ADDRESS(MATCH($A88,'kc-Wert für Stützen'!$C:$C,0),MATCH(K$7,'kc-Wert für Stützen'!$A$8:$ES$8,0)+7,4),,))</f>
        <v>8426.2728231956389</v>
      </c>
      <c r="L88" s="768">
        <f ca="1">INDIRECT("'kc-Wert für Stützen'!"&amp;SUBSTITUTE(ADDRESS(MATCH($A88,'kc-Wert für Stützen'!$C:$C,0),MATCH(L$7,'kc-Wert für Stützen'!$A$8:$ES$8,0)+7,4),,))</f>
        <v>8026.1337507487315</v>
      </c>
      <c r="M88" s="768">
        <f ca="1">INDIRECT("'kc-Wert für Stützen'!"&amp;SUBSTITUTE(ADDRESS(MATCH($A88,'kc-Wert für Stützen'!$C:$C,0),MATCH(M$7,'kc-Wert für Stützen'!$A$8:$ES$8,0)+7,4),,))</f>
        <v>7651.6289807182084</v>
      </c>
      <c r="N88" s="768">
        <f ca="1">INDIRECT("'kc-Wert für Stützen'!"&amp;SUBSTITUTE(ADDRESS(MATCH($A88,'kc-Wert für Stützen'!$C:$C,0),MATCH(N$7,'kc-Wert für Stützen'!$A$8:$ES$8,0)+7,4),,))</f>
        <v>7301.0142496073331</v>
      </c>
      <c r="O88" s="768">
        <f ca="1">INDIRECT("'kc-Wert für Stützen'!"&amp;SUBSTITUTE(ADDRESS(MATCH($A88,'kc-Wert für Stützen'!$C:$C,0),MATCH(O$7,'kc-Wert für Stützen'!$A$8:$ES$8,0)+7,4),,))</f>
        <v>6972.599580279888</v>
      </c>
      <c r="P88" s="768">
        <f ca="1">INDIRECT("'kc-Wert für Stützen'!"&amp;SUBSTITUTE(ADDRESS(MATCH($A88,'kc-Wert für Stützen'!$C:$C,0),MATCH(P$7,'kc-Wert für Stützen'!$A$8:$ES$8,0)+7,4),,))</f>
        <v>6664.7765624354051</v>
      </c>
      <c r="S88" s="772">
        <f t="shared" ca="1" si="31"/>
        <v>12062.023222467105</v>
      </c>
      <c r="T88" s="772">
        <f t="shared" ca="1" si="30"/>
        <v>12062.023222467105</v>
      </c>
      <c r="U88" s="772">
        <f t="shared" ca="1" si="30"/>
        <v>12062.023222467105</v>
      </c>
      <c r="V88" s="772">
        <f t="shared" ca="1" si="30"/>
        <v>11449.969657398093</v>
      </c>
      <c r="W88" s="772">
        <f t="shared" ca="1" si="30"/>
        <v>10867.378228335321</v>
      </c>
      <c r="X88" s="772">
        <f t="shared" ca="1" si="30"/>
        <v>10316.383299451294</v>
      </c>
      <c r="Y88" s="772">
        <f t="shared" ca="1" si="30"/>
        <v>9797.5461034128439</v>
      </c>
      <c r="Z88" s="772">
        <f t="shared" ca="1" si="30"/>
        <v>12062.023222467105</v>
      </c>
      <c r="AA88" s="772">
        <f t="shared" ca="1" si="30"/>
        <v>12062.023222467105</v>
      </c>
      <c r="AB88" s="772">
        <f t="shared" ca="1" si="35"/>
        <v>11449.969657398093</v>
      </c>
      <c r="AC88" s="772">
        <f t="shared" ca="1" si="35"/>
        <v>11449.969657398093</v>
      </c>
      <c r="AD88" s="772">
        <f t="shared" ca="1" si="35"/>
        <v>10867.378228335321</v>
      </c>
      <c r="AE88" s="772">
        <f t="shared" ca="1" si="35"/>
        <v>10867.378228335321</v>
      </c>
      <c r="AF88" s="772">
        <f t="shared" ca="1" si="35"/>
        <v>10316.383299451294</v>
      </c>
      <c r="AG88" s="772">
        <f t="shared" ca="1" si="35"/>
        <v>10316.383299451294</v>
      </c>
      <c r="AH88" s="772">
        <f t="shared" ca="1" si="35"/>
        <v>10316.383299451294</v>
      </c>
      <c r="AI88" s="772">
        <f t="shared" ca="1" si="35"/>
        <v>12062.023222467105</v>
      </c>
      <c r="AJ88" s="772">
        <f t="shared" ca="1" si="35"/>
        <v>12062.023222467105</v>
      </c>
      <c r="AK88" s="772">
        <f t="shared" ca="1" si="35"/>
        <v>11449.969657398093</v>
      </c>
      <c r="AL88" s="772">
        <f t="shared" ca="1" si="35"/>
        <v>11449.969657398093</v>
      </c>
      <c r="AM88" s="772">
        <f t="shared" ca="1" si="35"/>
        <v>10867.378228335321</v>
      </c>
      <c r="AN88" s="772">
        <f t="shared" ca="1" si="35"/>
        <v>10867.378228335321</v>
      </c>
      <c r="AO88" s="772">
        <f t="shared" ca="1" si="35"/>
        <v>10316.383299451294</v>
      </c>
      <c r="AP88" s="772">
        <f t="shared" ca="1" si="35"/>
        <v>10316.383299451294</v>
      </c>
      <c r="AQ88" s="772">
        <f t="shared" ca="1" si="35"/>
        <v>10316.383299451294</v>
      </c>
      <c r="AR88" s="772">
        <f t="shared" ca="1" si="28"/>
        <v>12062.023222467105</v>
      </c>
      <c r="AS88" s="772">
        <f t="shared" ca="1" si="28"/>
        <v>12062.023222467105</v>
      </c>
      <c r="AT88" s="772">
        <f t="shared" ca="1" si="28"/>
        <v>11449.969657398093</v>
      </c>
      <c r="AU88" s="772">
        <f t="shared" ca="1" si="28"/>
        <v>11449.969657398093</v>
      </c>
      <c r="AV88" s="772">
        <f t="shared" ca="1" si="28"/>
        <v>10867.378228335321</v>
      </c>
      <c r="AW88" s="772">
        <f t="shared" ca="1" si="28"/>
        <v>10867.378228335321</v>
      </c>
      <c r="AX88" s="772">
        <f t="shared" ca="1" si="28"/>
        <v>10316.383299451294</v>
      </c>
      <c r="AY88" s="772">
        <f t="shared" ca="1" si="28"/>
        <v>10316.383299451294</v>
      </c>
      <c r="AZ88" s="772">
        <f t="shared" ca="1" si="34"/>
        <v>10316.383299451294</v>
      </c>
      <c r="BA88" s="772">
        <f t="shared" ca="1" si="34"/>
        <v>12062.023222467105</v>
      </c>
      <c r="BB88" s="772">
        <f t="shared" ca="1" si="34"/>
        <v>12062.023222467105</v>
      </c>
      <c r="BC88" s="772">
        <f t="shared" ca="1" si="34"/>
        <v>11449.969657398093</v>
      </c>
      <c r="BD88" s="772">
        <f t="shared" ca="1" si="34"/>
        <v>10867.378228335321</v>
      </c>
      <c r="BE88" s="772">
        <f t="shared" ca="1" si="34"/>
        <v>10867.378228335321</v>
      </c>
      <c r="BF88" s="772">
        <f t="shared" ca="1" si="34"/>
        <v>10316.383299451294</v>
      </c>
      <c r="BG88" s="772">
        <f t="shared" ca="1" si="33"/>
        <v>10316.383299451294</v>
      </c>
      <c r="BH88" s="772">
        <f t="shared" ca="1" si="32"/>
        <v>9797.5461034128439</v>
      </c>
      <c r="BI88" s="772">
        <f t="shared" ca="1" si="32"/>
        <v>9797.5461034128439</v>
      </c>
      <c r="BJ88" s="772">
        <f t="shared" ca="1" si="32"/>
        <v>11449.969657398093</v>
      </c>
      <c r="BK88" s="772">
        <f t="shared" ca="1" si="32"/>
        <v>11449.969657398093</v>
      </c>
      <c r="BL88" s="772">
        <f t="shared" ca="1" si="32"/>
        <v>11449.969657398093</v>
      </c>
      <c r="BM88" s="772">
        <f t="shared" ca="1" si="32"/>
        <v>11449.969657398093</v>
      </c>
      <c r="BN88" s="772">
        <f t="shared" ca="1" si="32"/>
        <v>10316.383299451294</v>
      </c>
      <c r="BO88" s="772">
        <f t="shared" ca="1" si="32"/>
        <v>10316.383299451294</v>
      </c>
      <c r="BP88" s="772">
        <f t="shared" ca="1" si="32"/>
        <v>9797.5461034128439</v>
      </c>
      <c r="BQ88" s="772">
        <f t="shared" ca="1" si="32"/>
        <v>9797.5461034128439</v>
      </c>
      <c r="BR88" s="772">
        <f t="shared" ca="1" si="32"/>
        <v>9310.3911413485439</v>
      </c>
      <c r="BS88" s="772">
        <f t="shared" ca="1" si="32"/>
        <v>11449.969657398093</v>
      </c>
      <c r="BT88" s="772">
        <f t="shared" ca="1" si="32"/>
        <v>11449.969657398093</v>
      </c>
      <c r="BU88" s="772">
        <f t="shared" ca="1" si="32"/>
        <v>11449.969657398093</v>
      </c>
      <c r="BV88" s="772">
        <f t="shared" ca="1" si="32"/>
        <v>10867.378228335321</v>
      </c>
      <c r="BW88" s="772">
        <f t="shared" ca="1" si="32"/>
        <v>10867.378228335321</v>
      </c>
      <c r="BX88" s="772">
        <f t="shared" ca="1" si="36"/>
        <v>9797.5461034128439</v>
      </c>
      <c r="BY88" s="772">
        <f t="shared" ca="1" si="36"/>
        <v>9797.5461034128439</v>
      </c>
      <c r="BZ88" s="772">
        <f t="shared" ca="1" si="36"/>
        <v>9310.3911413485439</v>
      </c>
      <c r="CA88" s="772">
        <f t="shared" ca="1" si="36"/>
        <v>9310.3911413485439</v>
      </c>
      <c r="CB88" s="772">
        <f t="shared" ca="1" si="36"/>
        <v>10867.378228335321</v>
      </c>
      <c r="CC88" s="772">
        <f t="shared" ca="1" si="36"/>
        <v>10867.378228335321</v>
      </c>
      <c r="CD88" s="772">
        <f t="shared" ca="1" si="36"/>
        <v>10867.378228335321</v>
      </c>
      <c r="CE88" s="772">
        <f t="shared" ca="1" si="36"/>
        <v>10867.378228335321</v>
      </c>
      <c r="CF88" s="772">
        <f t="shared" ca="1" si="36"/>
        <v>10316.383299451294</v>
      </c>
      <c r="CG88" s="772">
        <f t="shared" ca="1" si="36"/>
        <v>9797.5461034128439</v>
      </c>
      <c r="CH88" s="772">
        <f t="shared" ca="1" si="36"/>
        <v>9310.3911413485439</v>
      </c>
      <c r="CI88" s="772">
        <f t="shared" ca="1" si="36"/>
        <v>9310.3911413485439</v>
      </c>
      <c r="CJ88" s="772">
        <f t="shared" ca="1" si="36"/>
        <v>8853.7977961458382</v>
      </c>
    </row>
    <row r="89" spans="1:88" ht="15" customHeight="1">
      <c r="A89" s="770">
        <f>'kc-Wert für Stützen'!C89</f>
        <v>141</v>
      </c>
      <c r="B89" s="768">
        <f ca="1">INDIRECT("'kc-Wert für Stützen'!"&amp;SUBSTITUTE(ADDRESS(MATCH($A89,'kc-Wert für Stützen'!$C:$C,0),MATCH(B$7,'kc-Wert für Stützen'!$A$8:$ES$8,0)+7,4),,))</f>
        <v>13678.559363522034</v>
      </c>
      <c r="C89" s="768">
        <f ca="1">INDIRECT("'kc-Wert für Stützen'!"&amp;SUBSTITUTE(ADDRESS(MATCH($A89,'kc-Wert für Stützen'!$C:$C,0),MATCH(C$7,'kc-Wert für Stützen'!$A$8:$ES$8,0)+7,4),,))</f>
        <v>13016.670225716802</v>
      </c>
      <c r="D89" s="768">
        <f ca="1">INDIRECT("'kc-Wert für Stützen'!"&amp;SUBSTITUTE(ADDRESS(MATCH($A89,'kc-Wert für Stützen'!$C:$C,0),MATCH(D$7,'kc-Wert für Stützen'!$A$8:$ES$8,0)+7,4),,))</f>
        <v>12370.528584891372</v>
      </c>
      <c r="E89" s="768">
        <f ca="1">INDIRECT("'kc-Wert für Stützen'!"&amp;SUBSTITUTE(ADDRESS(MATCH($A89,'kc-Wert für Stützen'!$C:$C,0),MATCH(E$7,'kc-Wert für Stützen'!$A$8:$ES$8,0)+7,4),,))</f>
        <v>11748.170632866193</v>
      </c>
      <c r="F89" s="768">
        <f ca="1">INDIRECT("'kc-Wert für Stützen'!"&amp;SUBSTITUTE(ADDRESS(MATCH($A89,'kc-Wert für Stützen'!$C:$C,0),MATCH(F$7,'kc-Wert für Stützen'!$A$8:$ES$8,0)+7,4),,))</f>
        <v>11154.532275855425</v>
      </c>
      <c r="G89" s="768">
        <f ca="1">INDIRECT("'kc-Wert für Stützen'!"&amp;SUBSTITUTE(ADDRESS(MATCH($A89,'kc-Wert für Stützen'!$C:$C,0),MATCH(G$7,'kc-Wert für Stützen'!$A$8:$ES$8,0)+7,4),,))</f>
        <v>10592.168329056476</v>
      </c>
      <c r="H89" s="768">
        <f ca="1">INDIRECT("'kc-Wert für Stützen'!"&amp;SUBSTITUTE(ADDRESS(MATCH($A89,'kc-Wert für Stützen'!$C:$C,0),MATCH(H$7,'kc-Wert für Stützen'!$A$8:$ES$8,0)+7,4),,))</f>
        <v>10061.942312438732</v>
      </c>
      <c r="I89" s="768">
        <f ca="1">INDIRECT("'kc-Wert für Stützen'!"&amp;SUBSTITUTE(ADDRESS(MATCH($A89,'kc-Wert für Stützen'!$C:$C,0),MATCH(I$7,'kc-Wert für Stützen'!$A$8:$ES$8,0)+7,4),,))</f>
        <v>9563.5856674974857</v>
      </c>
      <c r="J89" s="768">
        <f ca="1">INDIRECT("'kc-Wert für Stützen'!"&amp;SUBSTITUTE(ADDRESS(MATCH($A89,'kc-Wert für Stützen'!$C:$C,0),MATCH(J$7,'kc-Wert für Stützen'!$A$8:$ES$8,0)+7,4),,))</f>
        <v>9096.1129134507883</v>
      </c>
      <c r="K89" s="768">
        <f ca="1">INDIRECT("'kc-Wert für Stützen'!"&amp;SUBSTITUTE(ADDRESS(MATCH($A89,'kc-Wert für Stützen'!$C:$C,0),MATCH(K$7,'kc-Wert für Stützen'!$A$8:$ES$8,0)+7,4),,))</f>
        <v>8658.1140535323975</v>
      </c>
      <c r="L89" s="768">
        <f ca="1">INDIRECT("'kc-Wert für Stützen'!"&amp;SUBSTITUTE(ADDRESS(MATCH($A89,'kc-Wert für Stützen'!$C:$C,0),MATCH(L$7,'kc-Wert für Stützen'!$A$8:$ES$8,0)+7,4),,))</f>
        <v>8247.9533744065084</v>
      </c>
      <c r="M89" s="768">
        <f ca="1">INDIRECT("'kc-Wert für Stützen'!"&amp;SUBSTITUTE(ADDRESS(MATCH($A89,'kc-Wert für Stützen'!$C:$C,0),MATCH(M$7,'kc-Wert für Stützen'!$A$8:$ES$8,0)+7,4),,))</f>
        <v>7863.9009012400056</v>
      </c>
      <c r="N89" s="768">
        <f ca="1">INDIRECT("'kc-Wert für Stützen'!"&amp;SUBSTITUTE(ADDRESS(MATCH($A89,'kc-Wert für Stützen'!$C:$C,0),MATCH(N$7,'kc-Wert für Stützen'!$A$8:$ES$8,0)+7,4),,))</f>
        <v>7504.2170074158303</v>
      </c>
      <c r="O89" s="768">
        <f ca="1">INDIRECT("'kc-Wert für Stützen'!"&amp;SUBSTITUTE(ADDRESS(MATCH($A89,'kc-Wert für Stützen'!$C:$C,0),MATCH(O$7,'kc-Wert für Stützen'!$A$8:$ES$8,0)+7,4),,))</f>
        <v>7167.2051205840235</v>
      </c>
      <c r="P89" s="768">
        <f ca="1">INDIRECT("'kc-Wert für Stützen'!"&amp;SUBSTITUTE(ADDRESS(MATCH($A89,'kc-Wert für Stützen'!$C:$C,0),MATCH(P$7,'kc-Wert für Stützen'!$A$8:$ES$8,0)+7,4),,))</f>
        <v>6851.2430240781323</v>
      </c>
      <c r="S89" s="772">
        <f t="shared" ca="1" si="31"/>
        <v>12370.528584891372</v>
      </c>
      <c r="T89" s="772">
        <f t="shared" ca="1" si="30"/>
        <v>12370.528584891372</v>
      </c>
      <c r="U89" s="772">
        <f t="shared" ca="1" si="30"/>
        <v>12370.528584891372</v>
      </c>
      <c r="V89" s="772">
        <f t="shared" ca="1" si="30"/>
        <v>11748.170632866193</v>
      </c>
      <c r="W89" s="772">
        <f t="shared" ca="1" si="30"/>
        <v>11154.532275855425</v>
      </c>
      <c r="X89" s="772">
        <f t="shared" ca="1" si="30"/>
        <v>10592.168329056476</v>
      </c>
      <c r="Y89" s="772">
        <f t="shared" ca="1" si="30"/>
        <v>10061.942312438732</v>
      </c>
      <c r="Z89" s="772">
        <f t="shared" ca="1" si="30"/>
        <v>12370.528584891372</v>
      </c>
      <c r="AA89" s="772">
        <f t="shared" ca="1" si="30"/>
        <v>12370.528584891372</v>
      </c>
      <c r="AB89" s="772">
        <f t="shared" ca="1" si="35"/>
        <v>11748.170632866193</v>
      </c>
      <c r="AC89" s="772">
        <f t="shared" ca="1" si="35"/>
        <v>11748.170632866193</v>
      </c>
      <c r="AD89" s="772">
        <f t="shared" ca="1" si="35"/>
        <v>11154.532275855425</v>
      </c>
      <c r="AE89" s="772">
        <f t="shared" ca="1" si="35"/>
        <v>11154.532275855425</v>
      </c>
      <c r="AF89" s="772">
        <f t="shared" ca="1" si="35"/>
        <v>10592.168329056476</v>
      </c>
      <c r="AG89" s="772">
        <f t="shared" ca="1" si="35"/>
        <v>10592.168329056476</v>
      </c>
      <c r="AH89" s="772">
        <f t="shared" ca="1" si="35"/>
        <v>10592.168329056476</v>
      </c>
      <c r="AI89" s="772">
        <f t="shared" ca="1" si="35"/>
        <v>12370.528584891372</v>
      </c>
      <c r="AJ89" s="772">
        <f t="shared" ca="1" si="35"/>
        <v>12370.528584891372</v>
      </c>
      <c r="AK89" s="772">
        <f t="shared" ca="1" si="35"/>
        <v>11748.170632866193</v>
      </c>
      <c r="AL89" s="772">
        <f t="shared" ca="1" si="35"/>
        <v>11748.170632866193</v>
      </c>
      <c r="AM89" s="772">
        <f t="shared" ca="1" si="35"/>
        <v>11154.532275855425</v>
      </c>
      <c r="AN89" s="772">
        <f t="shared" ca="1" si="35"/>
        <v>11154.532275855425</v>
      </c>
      <c r="AO89" s="772">
        <f t="shared" ca="1" si="35"/>
        <v>10592.168329056476</v>
      </c>
      <c r="AP89" s="772">
        <f t="shared" ca="1" si="35"/>
        <v>10592.168329056476</v>
      </c>
      <c r="AQ89" s="772">
        <f t="shared" ca="1" si="35"/>
        <v>10592.168329056476</v>
      </c>
      <c r="AR89" s="772">
        <f t="shared" ca="1" si="28"/>
        <v>12370.528584891372</v>
      </c>
      <c r="AS89" s="772">
        <f t="shared" ca="1" si="28"/>
        <v>12370.528584891372</v>
      </c>
      <c r="AT89" s="772">
        <f t="shared" ca="1" si="28"/>
        <v>11748.170632866193</v>
      </c>
      <c r="AU89" s="772">
        <f t="shared" ca="1" si="28"/>
        <v>11748.170632866193</v>
      </c>
      <c r="AV89" s="772">
        <f t="shared" ca="1" si="28"/>
        <v>11154.532275855425</v>
      </c>
      <c r="AW89" s="772">
        <f t="shared" ca="1" si="28"/>
        <v>11154.532275855425</v>
      </c>
      <c r="AX89" s="772">
        <f t="shared" ca="1" si="28"/>
        <v>10592.168329056476</v>
      </c>
      <c r="AY89" s="772">
        <f t="shared" ca="1" si="28"/>
        <v>10592.168329056476</v>
      </c>
      <c r="AZ89" s="772">
        <f t="shared" ca="1" si="34"/>
        <v>10592.168329056476</v>
      </c>
      <c r="BA89" s="772">
        <f t="shared" ca="1" si="34"/>
        <v>12370.528584891372</v>
      </c>
      <c r="BB89" s="772">
        <f t="shared" ca="1" si="34"/>
        <v>12370.528584891372</v>
      </c>
      <c r="BC89" s="772">
        <f t="shared" ca="1" si="34"/>
        <v>11748.170632866193</v>
      </c>
      <c r="BD89" s="772">
        <f t="shared" ca="1" si="34"/>
        <v>11154.532275855425</v>
      </c>
      <c r="BE89" s="772">
        <f t="shared" ca="1" si="34"/>
        <v>11154.532275855425</v>
      </c>
      <c r="BF89" s="772">
        <f t="shared" ca="1" si="34"/>
        <v>10592.168329056476</v>
      </c>
      <c r="BG89" s="772">
        <f t="shared" ca="1" si="33"/>
        <v>10592.168329056476</v>
      </c>
      <c r="BH89" s="772">
        <f t="shared" ca="1" si="32"/>
        <v>10061.942312438732</v>
      </c>
      <c r="BI89" s="772">
        <f t="shared" ca="1" si="32"/>
        <v>10061.942312438732</v>
      </c>
      <c r="BJ89" s="772">
        <f t="shared" ca="1" si="32"/>
        <v>11748.170632866193</v>
      </c>
      <c r="BK89" s="772">
        <f t="shared" ca="1" si="32"/>
        <v>11748.170632866193</v>
      </c>
      <c r="BL89" s="772">
        <f t="shared" ca="1" si="32"/>
        <v>11748.170632866193</v>
      </c>
      <c r="BM89" s="772">
        <f t="shared" ca="1" si="32"/>
        <v>11748.170632866193</v>
      </c>
      <c r="BN89" s="772">
        <f t="shared" ca="1" si="32"/>
        <v>10592.168329056476</v>
      </c>
      <c r="BO89" s="772">
        <f t="shared" ca="1" si="32"/>
        <v>10592.168329056476</v>
      </c>
      <c r="BP89" s="772">
        <f t="shared" ca="1" si="32"/>
        <v>10061.942312438732</v>
      </c>
      <c r="BQ89" s="772">
        <f t="shared" ca="1" si="32"/>
        <v>10061.942312438732</v>
      </c>
      <c r="BR89" s="772">
        <f t="shared" ca="1" si="32"/>
        <v>9563.5856674974857</v>
      </c>
      <c r="BS89" s="772">
        <f t="shared" ca="1" si="32"/>
        <v>11748.170632866193</v>
      </c>
      <c r="BT89" s="772">
        <f t="shared" ca="1" si="32"/>
        <v>11748.170632866193</v>
      </c>
      <c r="BU89" s="772">
        <f t="shared" ca="1" si="32"/>
        <v>11748.170632866193</v>
      </c>
      <c r="BV89" s="772">
        <f t="shared" ca="1" si="32"/>
        <v>11154.532275855425</v>
      </c>
      <c r="BW89" s="772">
        <f t="shared" ca="1" si="32"/>
        <v>11154.532275855425</v>
      </c>
      <c r="BX89" s="772">
        <f t="shared" ca="1" si="36"/>
        <v>10061.942312438732</v>
      </c>
      <c r="BY89" s="772">
        <f t="shared" ca="1" si="36"/>
        <v>10061.942312438732</v>
      </c>
      <c r="BZ89" s="772">
        <f t="shared" ca="1" si="36"/>
        <v>9563.5856674974857</v>
      </c>
      <c r="CA89" s="772">
        <f t="shared" ca="1" si="36"/>
        <v>9563.5856674974857</v>
      </c>
      <c r="CB89" s="772">
        <f t="shared" ca="1" si="36"/>
        <v>11154.532275855425</v>
      </c>
      <c r="CC89" s="772">
        <f t="shared" ca="1" si="36"/>
        <v>11154.532275855425</v>
      </c>
      <c r="CD89" s="772">
        <f t="shared" ca="1" si="36"/>
        <v>11154.532275855425</v>
      </c>
      <c r="CE89" s="772">
        <f t="shared" ca="1" si="36"/>
        <v>11154.532275855425</v>
      </c>
      <c r="CF89" s="772">
        <f t="shared" ca="1" si="36"/>
        <v>10592.168329056476</v>
      </c>
      <c r="CG89" s="772">
        <f t="shared" ca="1" si="36"/>
        <v>10061.942312438732</v>
      </c>
      <c r="CH89" s="772">
        <f t="shared" ca="1" si="36"/>
        <v>9563.5856674974857</v>
      </c>
      <c r="CI89" s="772">
        <f t="shared" ca="1" si="36"/>
        <v>9563.5856674974857</v>
      </c>
      <c r="CJ89" s="772">
        <f t="shared" ca="1" si="36"/>
        <v>9096.1129134507883</v>
      </c>
    </row>
    <row r="90" spans="1:88" ht="15" customHeight="1">
      <c r="A90" s="770">
        <f>'kc-Wert für Stützen'!C90</f>
        <v>142</v>
      </c>
      <c r="B90" s="768">
        <f ca="1">INDIRECT("'kc-Wert für Stützen'!"&amp;SUBSTITUTE(ADDRESS(MATCH($A90,'kc-Wert für Stützen'!$C:$C,0),MATCH(B$7,'kc-Wert für Stützen'!$A$8:$ES$8,0)+7,4),,))</f>
        <v>14006.571100714051</v>
      </c>
      <c r="C90" s="768">
        <f ca="1">INDIRECT("'kc-Wert für Stützen'!"&amp;SUBSTITUTE(ADDRESS(MATCH($A90,'kc-Wert für Stützen'!$C:$C,0),MATCH(C$7,'kc-Wert für Stützen'!$A$8:$ES$8,0)+7,4),,))</f>
        <v>13338.089152012881</v>
      </c>
      <c r="D90" s="768">
        <f ca="1">INDIRECT("'kc-Wert für Stützen'!"&amp;SUBSTITUTE(ADDRESS(MATCH($A90,'kc-Wert für Stützen'!$C:$C,0),MATCH(D$7,'kc-Wert für Stützen'!$A$8:$ES$8,0)+7,4),,))</f>
        <v>12683.283812935986</v>
      </c>
      <c r="E90" s="768">
        <f ca="1">INDIRECT("'kc-Wert für Stützen'!"&amp;SUBSTITUTE(ADDRESS(MATCH($A90,'kc-Wert für Stützen'!$C:$C,0),MATCH(E$7,'kc-Wert für Stützen'!$A$8:$ES$8,0)+7,4),,))</f>
        <v>12050.848828746728</v>
      </c>
      <c r="F90" s="768">
        <f ca="1">INDIRECT("'kc-Wert für Stützen'!"&amp;SUBSTITUTE(ADDRESS(MATCH($A90,'kc-Wert für Stützen'!$C:$C,0),MATCH(F$7,'kc-Wert für Stützen'!$A$8:$ES$8,0)+7,4),,))</f>
        <v>11446.287662676728</v>
      </c>
      <c r="G90" s="768">
        <f ca="1">INDIRECT("'kc-Wert für Stützen'!"&amp;SUBSTITUTE(ADDRESS(MATCH($A90,'kc-Wert für Stützen'!$C:$C,0),MATCH(G$7,'kc-Wert für Stützen'!$A$8:$ES$8,0)+7,4),,))</f>
        <v>10872.597780735809</v>
      </c>
      <c r="H90" s="768">
        <f ca="1">INDIRECT("'kc-Wert für Stützen'!"&amp;SUBSTITUTE(ADDRESS(MATCH($A90,'kc-Wert für Stützen'!$C:$C,0),MATCH(H$7,'kc-Wert für Stützen'!$A$8:$ES$8,0)+7,4),,))</f>
        <v>10330.965647885791</v>
      </c>
      <c r="I90" s="768">
        <f ca="1">INDIRECT("'kc-Wert für Stützen'!"&amp;SUBSTITUTE(ADDRESS(MATCH($A90,'kc-Wert für Stützen'!$C:$C,0),MATCH(I$7,'kc-Wert für Stützen'!$A$8:$ES$8,0)+7,4),,))</f>
        <v>9821.3467661782834</v>
      </c>
      <c r="J90" s="768">
        <f ca="1">INDIRECT("'kc-Wert für Stützen'!"&amp;SUBSTITUTE(ADDRESS(MATCH($A90,'kc-Wert für Stützen'!$C:$C,0),MATCH(J$7,'kc-Wert für Stützen'!$A$8:$ES$8,0)+7,4),,))</f>
        <v>9342.904133585178</v>
      </c>
      <c r="K90" s="768">
        <f ca="1">INDIRECT("'kc-Wert für Stützen'!"&amp;SUBSTITUTE(ADDRESS(MATCH($A90,'kc-Wert für Stützen'!$C:$C,0),MATCH(K$7,'kc-Wert für Stützen'!$A$8:$ES$8,0)+7,4),,))</f>
        <v>8894.3210356628933</v>
      </c>
      <c r="L90" s="768">
        <f ca="1">INDIRECT("'kc-Wert für Stützen'!"&amp;SUBSTITUTE(ADDRESS(MATCH($A90,'kc-Wert für Stützen'!$C:$C,0),MATCH(L$7,'kc-Wert für Stützen'!$A$8:$ES$8,0)+7,4),,))</f>
        <v>8474.0158995959991</v>
      </c>
      <c r="M90" s="768">
        <f ca="1">INDIRECT("'kc-Wert für Stützen'!"&amp;SUBSTITUTE(ADDRESS(MATCH($A90,'kc-Wert für Stützen'!$C:$C,0),MATCH(M$7,'kc-Wert für Stützen'!$A$8:$ES$8,0)+7,4),,))</f>
        <v>8080.2857241252368</v>
      </c>
      <c r="N90" s="768">
        <f ca="1">INDIRECT("'kc-Wert für Stützen'!"&amp;SUBSTITUTE(ADDRESS(MATCH($A90,'kc-Wert für Stützen'!$C:$C,0),MATCH(N$7,'kc-Wert für Stützen'!$A$8:$ES$8,0)+7,4),,))</f>
        <v>7711.3993520659515</v>
      </c>
      <c r="O90" s="768">
        <f ca="1">INDIRECT("'kc-Wert für Stützen'!"&amp;SUBSTITUTE(ADDRESS(MATCH($A90,'kc-Wert für Stützen'!$C:$C,0),MATCH(O$7,'kc-Wert für Stützen'!$A$8:$ES$8,0)+7,4),,))</f>
        <v>7365.6563304860538</v>
      </c>
      <c r="P90" s="768">
        <f ca="1">INDIRECT("'kc-Wert für Stützen'!"&amp;SUBSTITUTE(ADDRESS(MATCH($A90,'kc-Wert für Stützen'!$C:$C,0),MATCH(P$7,'kc-Wert für Stützen'!$A$8:$ES$8,0)+7,4),,))</f>
        <v>7041.4225340664725</v>
      </c>
      <c r="S90" s="772">
        <f t="shared" ca="1" si="31"/>
        <v>12683.283812935986</v>
      </c>
      <c r="T90" s="772">
        <f t="shared" ca="1" si="30"/>
        <v>12683.283812935986</v>
      </c>
      <c r="U90" s="772">
        <f t="shared" ca="1" si="30"/>
        <v>12683.283812935986</v>
      </c>
      <c r="V90" s="772">
        <f t="shared" ca="1" si="30"/>
        <v>12050.848828746728</v>
      </c>
      <c r="W90" s="772">
        <f t="shared" ca="1" si="30"/>
        <v>11446.287662676728</v>
      </c>
      <c r="X90" s="772">
        <f t="shared" ca="1" si="30"/>
        <v>10872.597780735809</v>
      </c>
      <c r="Y90" s="772">
        <f t="shared" ca="1" si="30"/>
        <v>10330.965647885791</v>
      </c>
      <c r="Z90" s="772">
        <f t="shared" ca="1" si="30"/>
        <v>12683.283812935986</v>
      </c>
      <c r="AA90" s="772">
        <f t="shared" ca="1" si="30"/>
        <v>12683.283812935986</v>
      </c>
      <c r="AB90" s="772">
        <f t="shared" ca="1" si="35"/>
        <v>12050.848828746728</v>
      </c>
      <c r="AC90" s="772">
        <f t="shared" ca="1" si="35"/>
        <v>12050.848828746728</v>
      </c>
      <c r="AD90" s="772">
        <f t="shared" ca="1" si="35"/>
        <v>11446.287662676728</v>
      </c>
      <c r="AE90" s="772">
        <f t="shared" ca="1" si="35"/>
        <v>11446.287662676728</v>
      </c>
      <c r="AF90" s="772">
        <f t="shared" ca="1" si="35"/>
        <v>10872.597780735809</v>
      </c>
      <c r="AG90" s="772">
        <f t="shared" ca="1" si="35"/>
        <v>10872.597780735809</v>
      </c>
      <c r="AH90" s="772">
        <f t="shared" ca="1" si="35"/>
        <v>10872.597780735809</v>
      </c>
      <c r="AI90" s="772">
        <f t="shared" ca="1" si="35"/>
        <v>12683.283812935986</v>
      </c>
      <c r="AJ90" s="772">
        <f t="shared" ca="1" si="35"/>
        <v>12683.283812935986</v>
      </c>
      <c r="AK90" s="772">
        <f t="shared" ca="1" si="35"/>
        <v>12050.848828746728</v>
      </c>
      <c r="AL90" s="772">
        <f t="shared" ca="1" si="35"/>
        <v>12050.848828746728</v>
      </c>
      <c r="AM90" s="772">
        <f t="shared" ca="1" si="35"/>
        <v>11446.287662676728</v>
      </c>
      <c r="AN90" s="772">
        <f t="shared" ca="1" si="35"/>
        <v>11446.287662676728</v>
      </c>
      <c r="AO90" s="772">
        <f t="shared" ca="1" si="35"/>
        <v>10872.597780735809</v>
      </c>
      <c r="AP90" s="772">
        <f t="shared" ca="1" si="35"/>
        <v>10872.597780735809</v>
      </c>
      <c r="AQ90" s="772">
        <f t="shared" ca="1" si="35"/>
        <v>10872.597780735809</v>
      </c>
      <c r="AR90" s="772">
        <f t="shared" ca="1" si="28"/>
        <v>12683.283812935986</v>
      </c>
      <c r="AS90" s="772">
        <f t="shared" ca="1" si="28"/>
        <v>12683.283812935986</v>
      </c>
      <c r="AT90" s="772">
        <f t="shared" ca="1" si="28"/>
        <v>12050.848828746728</v>
      </c>
      <c r="AU90" s="772">
        <f t="shared" ca="1" si="28"/>
        <v>12050.848828746728</v>
      </c>
      <c r="AV90" s="772">
        <f t="shared" ref="AR90:BG107" ca="1" si="37">HLOOKUP(AV$7,$A$7:$P$348,ROW()-6)</f>
        <v>11446.287662676728</v>
      </c>
      <c r="AW90" s="772">
        <f t="shared" ca="1" si="37"/>
        <v>11446.287662676728</v>
      </c>
      <c r="AX90" s="772">
        <f t="shared" ca="1" si="37"/>
        <v>10872.597780735809</v>
      </c>
      <c r="AY90" s="772">
        <f t="shared" ca="1" si="37"/>
        <v>10872.597780735809</v>
      </c>
      <c r="AZ90" s="772">
        <f t="shared" ca="1" si="34"/>
        <v>10872.597780735809</v>
      </c>
      <c r="BA90" s="772">
        <f t="shared" ca="1" si="34"/>
        <v>12683.283812935986</v>
      </c>
      <c r="BB90" s="772">
        <f t="shared" ca="1" si="34"/>
        <v>12683.283812935986</v>
      </c>
      <c r="BC90" s="772">
        <f t="shared" ca="1" si="34"/>
        <v>12050.848828746728</v>
      </c>
      <c r="BD90" s="772">
        <f t="shared" ca="1" si="34"/>
        <v>11446.287662676728</v>
      </c>
      <c r="BE90" s="772">
        <f t="shared" ca="1" si="34"/>
        <v>11446.287662676728</v>
      </c>
      <c r="BF90" s="772">
        <f t="shared" ca="1" si="34"/>
        <v>10872.597780735809</v>
      </c>
      <c r="BG90" s="772">
        <f t="shared" ca="1" si="33"/>
        <v>10872.597780735809</v>
      </c>
      <c r="BH90" s="772">
        <f t="shared" ca="1" si="32"/>
        <v>10330.965647885791</v>
      </c>
      <c r="BI90" s="772">
        <f t="shared" ca="1" si="32"/>
        <v>10330.965647885791</v>
      </c>
      <c r="BJ90" s="772">
        <f t="shared" ca="1" si="32"/>
        <v>12050.848828746728</v>
      </c>
      <c r="BK90" s="772">
        <f t="shared" ca="1" si="32"/>
        <v>12050.848828746728</v>
      </c>
      <c r="BL90" s="772">
        <f t="shared" ca="1" si="32"/>
        <v>12050.848828746728</v>
      </c>
      <c r="BM90" s="772">
        <f t="shared" ca="1" si="32"/>
        <v>12050.848828746728</v>
      </c>
      <c r="BN90" s="772">
        <f t="shared" ca="1" si="32"/>
        <v>10872.597780735809</v>
      </c>
      <c r="BO90" s="772">
        <f t="shared" ca="1" si="32"/>
        <v>10872.597780735809</v>
      </c>
      <c r="BP90" s="772">
        <f t="shared" ca="1" si="32"/>
        <v>10330.965647885791</v>
      </c>
      <c r="BQ90" s="772">
        <f t="shared" ca="1" si="32"/>
        <v>10330.965647885791</v>
      </c>
      <c r="BR90" s="772">
        <f t="shared" ca="1" si="32"/>
        <v>9821.3467661782834</v>
      </c>
      <c r="BS90" s="772">
        <f t="shared" ca="1" si="32"/>
        <v>12050.848828746728</v>
      </c>
      <c r="BT90" s="772">
        <f t="shared" ca="1" si="32"/>
        <v>12050.848828746728</v>
      </c>
      <c r="BU90" s="772">
        <f t="shared" ca="1" si="32"/>
        <v>12050.848828746728</v>
      </c>
      <c r="BV90" s="772">
        <f t="shared" ca="1" si="32"/>
        <v>11446.287662676728</v>
      </c>
      <c r="BW90" s="772">
        <f t="shared" ca="1" si="32"/>
        <v>11446.287662676728</v>
      </c>
      <c r="BX90" s="772">
        <f t="shared" ca="1" si="36"/>
        <v>10330.965647885791</v>
      </c>
      <c r="BY90" s="772">
        <f t="shared" ca="1" si="36"/>
        <v>10330.965647885791</v>
      </c>
      <c r="BZ90" s="772">
        <f t="shared" ca="1" si="36"/>
        <v>9821.3467661782834</v>
      </c>
      <c r="CA90" s="772">
        <f t="shared" ca="1" si="36"/>
        <v>9821.3467661782834</v>
      </c>
      <c r="CB90" s="772">
        <f t="shared" ca="1" si="36"/>
        <v>11446.287662676728</v>
      </c>
      <c r="CC90" s="772">
        <f t="shared" ca="1" si="36"/>
        <v>11446.287662676728</v>
      </c>
      <c r="CD90" s="772">
        <f t="shared" ca="1" si="36"/>
        <v>11446.287662676728</v>
      </c>
      <c r="CE90" s="772">
        <f t="shared" ca="1" si="36"/>
        <v>11446.287662676728</v>
      </c>
      <c r="CF90" s="772">
        <f t="shared" ca="1" si="36"/>
        <v>10872.597780735809</v>
      </c>
      <c r="CG90" s="772">
        <f t="shared" ca="1" si="36"/>
        <v>10330.965647885791</v>
      </c>
      <c r="CH90" s="772">
        <f t="shared" ca="1" si="36"/>
        <v>9821.3467661782834</v>
      </c>
      <c r="CI90" s="772">
        <f t="shared" ca="1" si="36"/>
        <v>9821.3467661782834</v>
      </c>
      <c r="CJ90" s="772">
        <f t="shared" ca="1" si="36"/>
        <v>9342.904133585178</v>
      </c>
    </row>
    <row r="91" spans="1:88" ht="15" customHeight="1">
      <c r="A91" s="770">
        <f>'kc-Wert für Stützen'!C91</f>
        <v>143</v>
      </c>
      <c r="B91" s="768">
        <f ca="1">INDIRECT("'kc-Wert für Stützen'!"&amp;SUBSTITUTE(ADDRESS(MATCH($A91,'kc-Wert für Stützen'!$C:$C,0),MATCH(B$7,'kc-Wert für Stützen'!$A$8:$ES$8,0)+7,4),,))</f>
        <v>14337.902734942303</v>
      </c>
      <c r="C91" s="768">
        <f ca="1">INDIRECT("'kc-Wert für Stützen'!"&amp;SUBSTITUTE(ADDRESS(MATCH($A91,'kc-Wert für Stützen'!$C:$C,0),MATCH(C$7,'kc-Wert für Stützen'!$A$8:$ES$8,0)+7,4),,))</f>
        <v>13663.322071581881</v>
      </c>
      <c r="D91" s="768">
        <f ca="1">INDIRECT("'kc-Wert für Stützen'!"&amp;SUBSTITUTE(ADDRESS(MATCH($A91,'kc-Wert für Stützen'!$C:$C,0),MATCH(D$7,'kc-Wert für Stützen'!$A$8:$ES$8,0)+7,4),,))</f>
        <v>13000.225764941437</v>
      </c>
      <c r="E91" s="768">
        <f ca="1">INDIRECT("'kc-Wert für Stützen'!"&amp;SUBSTITUTE(ADDRESS(MATCH($A91,'kc-Wert für Stützen'!$C:$C,0),MATCH(E$7,'kc-Wert für Stützen'!$A$8:$ES$8,0)+7,4),,))</f>
        <v>12357.964173973698</v>
      </c>
      <c r="F91" s="768">
        <f ca="1">INDIRECT("'kc-Wert für Stützen'!"&amp;SUBSTITUTE(ADDRESS(MATCH($A91,'kc-Wert für Stützen'!$C:$C,0),MATCH(F$7,'kc-Wert für Stützen'!$A$8:$ES$8,0)+7,4),,))</f>
        <v>11742.624287392511</v>
      </c>
      <c r="G91" s="768">
        <f ca="1">INDIRECT("'kc-Wert für Stützen'!"&amp;SUBSTITUTE(ADDRESS(MATCH($A91,'kc-Wert für Stützen'!$C:$C,0),MATCH(G$7,'kc-Wert für Stützen'!$A$8:$ES$8,0)+7,4),,))</f>
        <v>11157.667737716132</v>
      </c>
      <c r="H91" s="768">
        <f ca="1">INDIRECT("'kc-Wert für Stützen'!"&amp;SUBSTITUTE(ADDRESS(MATCH($A91,'kc-Wert für Stützen'!$C:$C,0),MATCH(H$7,'kc-Wert für Stützen'!$A$8:$ES$8,0)+7,4),,))</f>
        <v>10604.624772685622</v>
      </c>
      <c r="I91" s="768">
        <f ca="1">INDIRECT("'kc-Wert für Stützen'!"&amp;SUBSTITUTE(ADDRESS(MATCH($A91,'kc-Wert für Stützen'!$C:$C,0),MATCH(I$7,'kc-Wert für Stützen'!$A$8:$ES$8,0)+7,4),,))</f>
        <v>10083.692597421397</v>
      </c>
      <c r="J91" s="768">
        <f ca="1">INDIRECT("'kc-Wert für Stützen'!"&amp;SUBSTITUTE(ADDRESS(MATCH($A91,'kc-Wert für Stützen'!$C:$C,0),MATCH(J$7,'kc-Wert für Stützen'!$A$8:$ES$8,0)+7,4),,))</f>
        <v>9594.1966216058099</v>
      </c>
      <c r="K91" s="768">
        <f ca="1">INDIRECT("'kc-Wert für Stützen'!"&amp;SUBSTITUTE(ADDRESS(MATCH($A91,'kc-Wert für Stützen'!$C:$C,0),MATCH(K$7,'kc-Wert für Stützen'!$A$8:$ES$8,0)+7,4),,))</f>
        <v>9134.9239872005328</v>
      </c>
      <c r="L91" s="768">
        <f ca="1">INDIRECT("'kc-Wert für Stützen'!"&amp;SUBSTITUTE(ADDRESS(MATCH($A91,'kc-Wert für Stützen'!$C:$C,0),MATCH(L$7,'kc-Wert für Stützen'!$A$8:$ES$8,0)+7,4),,))</f>
        <v>8704.3550941348458</v>
      </c>
      <c r="M91" s="768">
        <f ca="1">INDIRECT("'kc-Wert für Stützen'!"&amp;SUBSTITUTE(ADDRESS(MATCH($A91,'kc-Wert für Stützen'!$C:$C,0),MATCH(M$7,'kc-Wert für Stützen'!$A$8:$ES$8,0)+7,4),,))</f>
        <v>8300.8196235504147</v>
      </c>
      <c r="N91" s="768">
        <f ca="1">INDIRECT("'kc-Wert für Stützen'!"&amp;SUBSTITUTE(ADDRESS(MATCH($A91,'kc-Wert für Stützen'!$C:$C,0),MATCH(N$7,'kc-Wert für Stützen'!$A$8:$ES$8,0)+7,4),,))</f>
        <v>7922.5989987920902</v>
      </c>
      <c r="O91" s="768">
        <f ca="1">INDIRECT("'kc-Wert für Stützen'!"&amp;SUBSTITUTE(ADDRESS(MATCH($A91,'kc-Wert für Stützen'!$C:$C,0),MATCH(O$7,'kc-Wert für Stützen'!$A$8:$ES$8,0)+7,4),,))</f>
        <v>7567.9918145470792</v>
      </c>
      <c r="P91" s="768">
        <f ca="1">INDIRECT("'kc-Wert für Stützen'!"&amp;SUBSTITUTE(ADDRESS(MATCH($A91,'kc-Wert für Stützen'!$C:$C,0),MATCH(P$7,'kc-Wert für Stützen'!$A$8:$ES$8,0)+7,4),,))</f>
        <v>7235.3540972323599</v>
      </c>
      <c r="S91" s="772">
        <f t="shared" ca="1" si="31"/>
        <v>13000.225764941437</v>
      </c>
      <c r="T91" s="772">
        <f t="shared" ca="1" si="30"/>
        <v>13000.225764941437</v>
      </c>
      <c r="U91" s="772">
        <f t="shared" ca="1" si="30"/>
        <v>13000.225764941437</v>
      </c>
      <c r="V91" s="772">
        <f t="shared" ca="1" si="30"/>
        <v>12357.964173973698</v>
      </c>
      <c r="W91" s="772">
        <f t="shared" ca="1" si="30"/>
        <v>11742.624287392511</v>
      </c>
      <c r="X91" s="772">
        <f t="shared" ca="1" si="30"/>
        <v>11157.667737716132</v>
      </c>
      <c r="Y91" s="772">
        <f t="shared" ca="1" si="30"/>
        <v>10604.624772685622</v>
      </c>
      <c r="Z91" s="772">
        <f t="shared" ca="1" si="30"/>
        <v>13000.225764941437</v>
      </c>
      <c r="AA91" s="772">
        <f t="shared" ca="1" si="30"/>
        <v>13000.225764941437</v>
      </c>
      <c r="AB91" s="772">
        <f t="shared" ca="1" si="35"/>
        <v>12357.964173973698</v>
      </c>
      <c r="AC91" s="772">
        <f t="shared" ca="1" si="35"/>
        <v>12357.964173973698</v>
      </c>
      <c r="AD91" s="772">
        <f t="shared" ca="1" si="35"/>
        <v>11742.624287392511</v>
      </c>
      <c r="AE91" s="772">
        <f t="shared" ca="1" si="35"/>
        <v>11742.624287392511</v>
      </c>
      <c r="AF91" s="772">
        <f t="shared" ca="1" si="35"/>
        <v>11157.667737716132</v>
      </c>
      <c r="AG91" s="772">
        <f t="shared" ca="1" si="35"/>
        <v>11157.667737716132</v>
      </c>
      <c r="AH91" s="772">
        <f t="shared" ca="1" si="35"/>
        <v>11157.667737716132</v>
      </c>
      <c r="AI91" s="772">
        <f t="shared" ca="1" si="35"/>
        <v>13000.225764941437</v>
      </c>
      <c r="AJ91" s="772">
        <f t="shared" ca="1" si="35"/>
        <v>13000.225764941437</v>
      </c>
      <c r="AK91" s="772">
        <f t="shared" ca="1" si="35"/>
        <v>12357.964173973698</v>
      </c>
      <c r="AL91" s="772">
        <f t="shared" ca="1" si="35"/>
        <v>12357.964173973698</v>
      </c>
      <c r="AM91" s="772">
        <f t="shared" ca="1" si="35"/>
        <v>11742.624287392511</v>
      </c>
      <c r="AN91" s="772">
        <f t="shared" ca="1" si="35"/>
        <v>11742.624287392511</v>
      </c>
      <c r="AO91" s="772">
        <f t="shared" ca="1" si="35"/>
        <v>11157.667737716132</v>
      </c>
      <c r="AP91" s="772">
        <f t="shared" ca="1" si="35"/>
        <v>11157.667737716132</v>
      </c>
      <c r="AQ91" s="772">
        <f t="shared" ca="1" si="35"/>
        <v>11157.667737716132</v>
      </c>
      <c r="AR91" s="772">
        <f t="shared" ca="1" si="37"/>
        <v>13000.225764941437</v>
      </c>
      <c r="AS91" s="772">
        <f t="shared" ca="1" si="37"/>
        <v>13000.225764941437</v>
      </c>
      <c r="AT91" s="772">
        <f t="shared" ca="1" si="37"/>
        <v>12357.964173973698</v>
      </c>
      <c r="AU91" s="772">
        <f t="shared" ca="1" si="37"/>
        <v>12357.964173973698</v>
      </c>
      <c r="AV91" s="772">
        <f t="shared" ca="1" si="37"/>
        <v>11742.624287392511</v>
      </c>
      <c r="AW91" s="772">
        <f t="shared" ca="1" si="37"/>
        <v>11742.624287392511</v>
      </c>
      <c r="AX91" s="772">
        <f t="shared" ca="1" si="37"/>
        <v>11157.667737716132</v>
      </c>
      <c r="AY91" s="772">
        <f t="shared" ca="1" si="37"/>
        <v>11157.667737716132</v>
      </c>
      <c r="AZ91" s="772">
        <f t="shared" ca="1" si="34"/>
        <v>11157.667737716132</v>
      </c>
      <c r="BA91" s="772">
        <f t="shared" ca="1" si="34"/>
        <v>13000.225764941437</v>
      </c>
      <c r="BB91" s="772">
        <f t="shared" ca="1" si="34"/>
        <v>13000.225764941437</v>
      </c>
      <c r="BC91" s="772">
        <f t="shared" ca="1" si="34"/>
        <v>12357.964173973698</v>
      </c>
      <c r="BD91" s="772">
        <f t="shared" ca="1" si="34"/>
        <v>11742.624287392511</v>
      </c>
      <c r="BE91" s="772">
        <f t="shared" ca="1" si="34"/>
        <v>11742.624287392511</v>
      </c>
      <c r="BF91" s="772">
        <f t="shared" ca="1" si="34"/>
        <v>11157.667737716132</v>
      </c>
      <c r="BG91" s="772">
        <f t="shared" ca="1" si="33"/>
        <v>11157.667737716132</v>
      </c>
      <c r="BH91" s="772">
        <f t="shared" ca="1" si="32"/>
        <v>10604.624772685622</v>
      </c>
      <c r="BI91" s="772">
        <f t="shared" ca="1" si="32"/>
        <v>10604.624772685622</v>
      </c>
      <c r="BJ91" s="772">
        <f t="shared" ca="1" si="32"/>
        <v>12357.964173973698</v>
      </c>
      <c r="BK91" s="772">
        <f t="shared" ca="1" si="32"/>
        <v>12357.964173973698</v>
      </c>
      <c r="BL91" s="772">
        <f t="shared" ca="1" si="32"/>
        <v>12357.964173973698</v>
      </c>
      <c r="BM91" s="772">
        <f t="shared" ca="1" si="32"/>
        <v>12357.964173973698</v>
      </c>
      <c r="BN91" s="772">
        <f t="shared" ca="1" si="32"/>
        <v>11157.667737716132</v>
      </c>
      <c r="BO91" s="772">
        <f t="shared" ca="1" si="32"/>
        <v>11157.667737716132</v>
      </c>
      <c r="BP91" s="772">
        <f t="shared" ca="1" si="32"/>
        <v>10604.624772685622</v>
      </c>
      <c r="BQ91" s="772">
        <f t="shared" ca="1" si="32"/>
        <v>10604.624772685622</v>
      </c>
      <c r="BR91" s="772">
        <f t="shared" ca="1" si="32"/>
        <v>10083.692597421397</v>
      </c>
      <c r="BS91" s="772">
        <f t="shared" ca="1" si="32"/>
        <v>12357.964173973698</v>
      </c>
      <c r="BT91" s="772">
        <f t="shared" ca="1" si="32"/>
        <v>12357.964173973698</v>
      </c>
      <c r="BU91" s="772">
        <f t="shared" ca="1" si="32"/>
        <v>12357.964173973698</v>
      </c>
      <c r="BV91" s="772">
        <f t="shared" ca="1" si="32"/>
        <v>11742.624287392511</v>
      </c>
      <c r="BW91" s="772">
        <f t="shared" ca="1" si="32"/>
        <v>11742.624287392511</v>
      </c>
      <c r="BX91" s="772">
        <f t="shared" ca="1" si="36"/>
        <v>10604.624772685622</v>
      </c>
      <c r="BY91" s="772">
        <f t="shared" ca="1" si="36"/>
        <v>10604.624772685622</v>
      </c>
      <c r="BZ91" s="772">
        <f t="shared" ca="1" si="36"/>
        <v>10083.692597421397</v>
      </c>
      <c r="CA91" s="772">
        <f t="shared" ca="1" si="36"/>
        <v>10083.692597421397</v>
      </c>
      <c r="CB91" s="772">
        <f t="shared" ca="1" si="36"/>
        <v>11742.624287392511</v>
      </c>
      <c r="CC91" s="772">
        <f t="shared" ca="1" si="36"/>
        <v>11742.624287392511</v>
      </c>
      <c r="CD91" s="772">
        <f t="shared" ca="1" si="36"/>
        <v>11742.624287392511</v>
      </c>
      <c r="CE91" s="772">
        <f t="shared" ca="1" si="36"/>
        <v>11742.624287392511</v>
      </c>
      <c r="CF91" s="772">
        <f t="shared" ca="1" si="36"/>
        <v>11157.667737716132</v>
      </c>
      <c r="CG91" s="772">
        <f t="shared" ca="1" si="36"/>
        <v>10604.624772685622</v>
      </c>
      <c r="CH91" s="772">
        <f t="shared" ca="1" si="36"/>
        <v>10083.692597421397</v>
      </c>
      <c r="CI91" s="772">
        <f t="shared" ca="1" si="36"/>
        <v>10083.692597421397</v>
      </c>
      <c r="CJ91" s="772">
        <f t="shared" ca="1" si="36"/>
        <v>9594.1966216058099</v>
      </c>
    </row>
    <row r="92" spans="1:88" ht="15" customHeight="1">
      <c r="A92" s="770">
        <f>'kc-Wert für Stützen'!C92</f>
        <v>144</v>
      </c>
      <c r="B92" s="768">
        <f ca="1">INDIRECT("'kc-Wert für Stützen'!"&amp;SUBSTITUTE(ADDRESS(MATCH($A92,'kc-Wert für Stützen'!$C:$C,0),MATCH(B$7,'kc-Wert für Stützen'!$A$8:$ES$8,0)+7,4),,))</f>
        <v>14672.445415704547</v>
      </c>
      <c r="C92" s="768">
        <f ca="1">INDIRECT("'kc-Wert für Stützen'!"&amp;SUBSTITUTE(ADDRESS(MATCH($A92,'kc-Wert für Stützen'!$C:$C,0),MATCH(C$7,'kc-Wert für Stützen'!$A$8:$ES$8,0)+7,4),,))</f>
        <v>13992.278096295693</v>
      </c>
      <c r="D92" s="768">
        <f ca="1">INDIRECT("'kc-Wert für Stützen'!"&amp;SUBSTITUTE(ADDRESS(MATCH($A92,'kc-Wert für Stützen'!$C:$C,0),MATCH(D$7,'kc-Wert für Stützen'!$A$8:$ES$8,0)+7,4),,))</f>
        <v>13321.286704158403</v>
      </c>
      <c r="E92" s="768">
        <f ca="1">INDIRECT("'kc-Wert für Stützen'!"&amp;SUBSTITUTE(ADDRESS(MATCH($A92,'kc-Wert für Stützen'!$C:$C,0),MATCH(E$7,'kc-Wert für Stützen'!$A$8:$ES$8,0)+7,4),,))</f>
        <v>12669.472108247281</v>
      </c>
      <c r="F92" s="768">
        <f ca="1">INDIRECT("'kc-Wert für Stützen'!"&amp;SUBSTITUTE(ADDRESS(MATCH($A92,'kc-Wert für Stützen'!$C:$C,0),MATCH(F$7,'kc-Wert für Stützen'!$A$8:$ES$8,0)+7,4),,))</f>
        <v>12043.518058228858</v>
      </c>
      <c r="G92" s="768">
        <f ca="1">INDIRECT("'kc-Wert für Stützen'!"&amp;SUBSTITUTE(ADDRESS(MATCH($A92,'kc-Wert für Stützen'!$C:$C,0),MATCH(G$7,'kc-Wert für Stützen'!$A$8:$ES$8,0)+7,4),,))</f>
        <v>11447.370922464021</v>
      </c>
      <c r="H92" s="768">
        <f ca="1">INDIRECT("'kc-Wert für Stützen'!"&amp;SUBSTITUTE(ADDRESS(MATCH($A92,'kc-Wert für Stützen'!$C:$C,0),MATCH(H$7,'kc-Wert für Stützen'!$A$8:$ES$8,0)+7,4),,))</f>
        <v>10882.925608703659</v>
      </c>
      <c r="I92" s="768">
        <f ca="1">INDIRECT("'kc-Wert für Stützen'!"&amp;SUBSTITUTE(ADDRESS(MATCH($A92,'kc-Wert für Stützen'!$C:$C,0),MATCH(I$7,'kc-Wert für Stützen'!$A$8:$ES$8,0)+7,4),,))</f>
        <v>10350.6391292157</v>
      </c>
      <c r="J92" s="768">
        <f ca="1">INDIRECT("'kc-Wert für Stützen'!"&amp;SUBSTITUTE(ADDRESS(MATCH($A92,'kc-Wert für Stützen'!$C:$C,0),MATCH(J$7,'kc-Wert für Stützen'!$A$8:$ES$8,0)+7,4),,))</f>
        <v>9850.0138115818063</v>
      </c>
      <c r="K92" s="768">
        <f ca="1">INDIRECT("'kc-Wert für Stützen'!"&amp;SUBSTITUTE(ADDRESS(MATCH($A92,'kc-Wert für Stützen'!$C:$C,0),MATCH(K$7,'kc-Wert für Stützen'!$A$8:$ES$8,0)+7,4),,))</f>
        <v>9379.9517709118536</v>
      </c>
      <c r="L92" s="768">
        <f ca="1">INDIRECT("'kc-Wert für Stützen'!"&amp;SUBSTITUTE(ADDRESS(MATCH($A92,'kc-Wert für Stützen'!$C:$C,0),MATCH(L$7,'kc-Wert für Stützen'!$A$8:$ES$8,0)+7,4),,))</f>
        <v>8939.0036731158107</v>
      </c>
      <c r="M92" s="768">
        <f ca="1">INDIRECT("'kc-Wert für Stützen'!"&amp;SUBSTITUTE(ADDRESS(MATCH($A92,'kc-Wert für Stützen'!$C:$C,0),MATCH(M$7,'kc-Wert für Stützen'!$A$8:$ES$8,0)+7,4),,))</f>
        <v>8525.5379617342824</v>
      </c>
      <c r="N92" s="768">
        <f ca="1">INDIRECT("'kc-Wert für Stützen'!"&amp;SUBSTITUTE(ADDRESS(MATCH($A92,'kc-Wert für Stützen'!$C:$C,0),MATCH(N$7,'kc-Wert für Stützen'!$A$8:$ES$8,0)+7,4),,))</f>
        <v>8137.853042115169</v>
      </c>
      <c r="O92" s="768">
        <f ca="1">INDIRECT("'kc-Wert für Stützen'!"&amp;SUBSTITUTE(ADDRESS(MATCH($A92,'kc-Wert für Stützen'!$C:$C,0),MATCH(O$7,'kc-Wert für Stützen'!$A$8:$ES$8,0)+7,4),,))</f>
        <v>7774.2497084403321</v>
      </c>
      <c r="P92" s="768">
        <f ca="1">INDIRECT("'kc-Wert für Stützen'!"&amp;SUBSTITUTE(ADDRESS(MATCH($A92,'kc-Wert für Stützen'!$C:$C,0),MATCH(P$7,'kc-Wert für Stützen'!$A$8:$ES$8,0)+7,4),,))</f>
        <v>7433.0763701773612</v>
      </c>
      <c r="S92" s="772">
        <f t="shared" ca="1" si="31"/>
        <v>13321.286704158403</v>
      </c>
      <c r="T92" s="772">
        <f t="shared" ca="1" si="30"/>
        <v>13321.286704158403</v>
      </c>
      <c r="U92" s="772">
        <f t="shared" ca="1" si="30"/>
        <v>13321.286704158403</v>
      </c>
      <c r="V92" s="772">
        <f t="shared" ca="1" si="30"/>
        <v>12669.472108247281</v>
      </c>
      <c r="W92" s="772">
        <f t="shared" ca="1" si="30"/>
        <v>12043.518058228858</v>
      </c>
      <c r="X92" s="772">
        <f t="shared" ca="1" si="30"/>
        <v>11447.370922464021</v>
      </c>
      <c r="Y92" s="772">
        <f t="shared" ca="1" si="30"/>
        <v>10882.925608703659</v>
      </c>
      <c r="Z92" s="772">
        <f t="shared" ca="1" si="30"/>
        <v>13321.286704158403</v>
      </c>
      <c r="AA92" s="772">
        <f t="shared" ca="1" si="30"/>
        <v>13321.286704158403</v>
      </c>
      <c r="AB92" s="772">
        <f t="shared" ca="1" si="35"/>
        <v>12669.472108247281</v>
      </c>
      <c r="AC92" s="772">
        <f t="shared" ca="1" si="35"/>
        <v>12669.472108247281</v>
      </c>
      <c r="AD92" s="772">
        <f t="shared" ca="1" si="35"/>
        <v>12043.518058228858</v>
      </c>
      <c r="AE92" s="772">
        <f t="shared" ca="1" si="35"/>
        <v>12043.518058228858</v>
      </c>
      <c r="AF92" s="772">
        <f t="shared" ca="1" si="35"/>
        <v>11447.370922464021</v>
      </c>
      <c r="AG92" s="772">
        <f t="shared" ca="1" si="35"/>
        <v>11447.370922464021</v>
      </c>
      <c r="AH92" s="772">
        <f t="shared" ca="1" si="35"/>
        <v>11447.370922464021</v>
      </c>
      <c r="AI92" s="772">
        <f t="shared" ca="1" si="35"/>
        <v>13321.286704158403</v>
      </c>
      <c r="AJ92" s="772">
        <f t="shared" ca="1" si="35"/>
        <v>13321.286704158403</v>
      </c>
      <c r="AK92" s="772">
        <f t="shared" ca="1" si="35"/>
        <v>12669.472108247281</v>
      </c>
      <c r="AL92" s="772">
        <f t="shared" ca="1" si="35"/>
        <v>12669.472108247281</v>
      </c>
      <c r="AM92" s="772">
        <f t="shared" ca="1" si="35"/>
        <v>12043.518058228858</v>
      </c>
      <c r="AN92" s="772">
        <f t="shared" ca="1" si="35"/>
        <v>12043.518058228858</v>
      </c>
      <c r="AO92" s="772">
        <f t="shared" ca="1" si="35"/>
        <v>11447.370922464021</v>
      </c>
      <c r="AP92" s="772">
        <f t="shared" ca="1" si="35"/>
        <v>11447.370922464021</v>
      </c>
      <c r="AQ92" s="772">
        <f t="shared" ca="1" si="35"/>
        <v>11447.370922464021</v>
      </c>
      <c r="AR92" s="772">
        <f t="shared" ca="1" si="37"/>
        <v>13321.286704158403</v>
      </c>
      <c r="AS92" s="772">
        <f t="shared" ca="1" si="37"/>
        <v>13321.286704158403</v>
      </c>
      <c r="AT92" s="772">
        <f t="shared" ca="1" si="37"/>
        <v>12669.472108247281</v>
      </c>
      <c r="AU92" s="772">
        <f t="shared" ca="1" si="37"/>
        <v>12669.472108247281</v>
      </c>
      <c r="AV92" s="772">
        <f t="shared" ca="1" si="37"/>
        <v>12043.518058228858</v>
      </c>
      <c r="AW92" s="772">
        <f t="shared" ca="1" si="37"/>
        <v>12043.518058228858</v>
      </c>
      <c r="AX92" s="772">
        <f t="shared" ca="1" si="37"/>
        <v>11447.370922464021</v>
      </c>
      <c r="AY92" s="772">
        <f t="shared" ca="1" si="37"/>
        <v>11447.370922464021</v>
      </c>
      <c r="AZ92" s="772">
        <f t="shared" ca="1" si="34"/>
        <v>11447.370922464021</v>
      </c>
      <c r="BA92" s="772">
        <f t="shared" ca="1" si="34"/>
        <v>13321.286704158403</v>
      </c>
      <c r="BB92" s="772">
        <f t="shared" ca="1" si="34"/>
        <v>13321.286704158403</v>
      </c>
      <c r="BC92" s="772">
        <f t="shared" ca="1" si="34"/>
        <v>12669.472108247281</v>
      </c>
      <c r="BD92" s="772">
        <f t="shared" ca="1" si="34"/>
        <v>12043.518058228858</v>
      </c>
      <c r="BE92" s="772">
        <f t="shared" ca="1" si="34"/>
        <v>12043.518058228858</v>
      </c>
      <c r="BF92" s="772">
        <f t="shared" ca="1" si="34"/>
        <v>11447.370922464021</v>
      </c>
      <c r="BG92" s="772">
        <f t="shared" ca="1" si="33"/>
        <v>11447.370922464021</v>
      </c>
      <c r="BH92" s="772">
        <f t="shared" ca="1" si="32"/>
        <v>10882.925608703659</v>
      </c>
      <c r="BI92" s="772">
        <f t="shared" ca="1" si="32"/>
        <v>10882.925608703659</v>
      </c>
      <c r="BJ92" s="772">
        <f t="shared" ca="1" si="32"/>
        <v>12669.472108247281</v>
      </c>
      <c r="BK92" s="772">
        <f t="shared" ca="1" si="32"/>
        <v>12669.472108247281</v>
      </c>
      <c r="BL92" s="772">
        <f t="shared" ca="1" si="32"/>
        <v>12669.472108247281</v>
      </c>
      <c r="BM92" s="772">
        <f t="shared" ca="1" si="32"/>
        <v>12669.472108247281</v>
      </c>
      <c r="BN92" s="772">
        <f t="shared" ca="1" si="32"/>
        <v>11447.370922464021</v>
      </c>
      <c r="BO92" s="772">
        <f t="shared" ca="1" si="32"/>
        <v>11447.370922464021</v>
      </c>
      <c r="BP92" s="772">
        <f t="shared" ca="1" si="32"/>
        <v>10882.925608703659</v>
      </c>
      <c r="BQ92" s="772">
        <f t="shared" ca="1" si="32"/>
        <v>10882.925608703659</v>
      </c>
      <c r="BR92" s="772">
        <f t="shared" ca="1" si="32"/>
        <v>10350.6391292157</v>
      </c>
      <c r="BS92" s="772">
        <f t="shared" ca="1" si="32"/>
        <v>12669.472108247281</v>
      </c>
      <c r="BT92" s="772">
        <f t="shared" ca="1" si="32"/>
        <v>12669.472108247281</v>
      </c>
      <c r="BU92" s="772">
        <f t="shared" ca="1" si="32"/>
        <v>12669.472108247281</v>
      </c>
      <c r="BV92" s="772">
        <f t="shared" ca="1" si="32"/>
        <v>12043.518058228858</v>
      </c>
      <c r="BW92" s="772">
        <f t="shared" ca="1" si="32"/>
        <v>12043.518058228858</v>
      </c>
      <c r="BX92" s="772">
        <f t="shared" ca="1" si="36"/>
        <v>10882.925608703659</v>
      </c>
      <c r="BY92" s="772">
        <f t="shared" ca="1" si="36"/>
        <v>10882.925608703659</v>
      </c>
      <c r="BZ92" s="772">
        <f t="shared" ca="1" si="36"/>
        <v>10350.6391292157</v>
      </c>
      <c r="CA92" s="772">
        <f t="shared" ca="1" si="36"/>
        <v>10350.6391292157</v>
      </c>
      <c r="CB92" s="772">
        <f t="shared" ca="1" si="36"/>
        <v>12043.518058228858</v>
      </c>
      <c r="CC92" s="772">
        <f t="shared" ca="1" si="36"/>
        <v>12043.518058228858</v>
      </c>
      <c r="CD92" s="772">
        <f t="shared" ca="1" si="36"/>
        <v>12043.518058228858</v>
      </c>
      <c r="CE92" s="772">
        <f t="shared" ca="1" si="36"/>
        <v>12043.518058228858</v>
      </c>
      <c r="CF92" s="772">
        <f t="shared" ca="1" si="36"/>
        <v>11447.370922464021</v>
      </c>
      <c r="CG92" s="772">
        <f t="shared" ca="1" si="36"/>
        <v>10882.925608703659</v>
      </c>
      <c r="CH92" s="772">
        <f t="shared" ca="1" si="36"/>
        <v>10350.6391292157</v>
      </c>
      <c r="CI92" s="772">
        <f t="shared" ca="1" si="36"/>
        <v>10350.6391292157</v>
      </c>
      <c r="CJ92" s="772">
        <f t="shared" ca="1" si="36"/>
        <v>9850.0138115818063</v>
      </c>
    </row>
    <row r="93" spans="1:88" ht="15" customHeight="1">
      <c r="A93" s="770">
        <f>'kc-Wert für Stützen'!C93</f>
        <v>145</v>
      </c>
      <c r="B93" s="768">
        <f ca="1">INDIRECT("'kc-Wert für Stützen'!"&amp;SUBSTITUTE(ADDRESS(MATCH($A93,'kc-Wert für Stützen'!$C:$C,0),MATCH(B$7,'kc-Wert für Stützen'!$A$8:$ES$8,0)+7,4),,))</f>
        <v>15010.088756403151</v>
      </c>
      <c r="C93" s="768">
        <f ca="1">INDIRECT("'kc-Wert für Stützen'!"&amp;SUBSTITUTE(ADDRESS(MATCH($A93,'kc-Wert für Stützen'!$C:$C,0),MATCH(C$7,'kc-Wert für Stützen'!$A$8:$ES$8,0)+7,4),,))</f>
        <v>14324.862741415851</v>
      </c>
      <c r="D93" s="768">
        <f ca="1">INDIRECT("'kc-Wert für Stützen'!"&amp;SUBSTITUTE(ADDRESS(MATCH($A93,'kc-Wert für Stützen'!$C:$C,0),MATCH(D$7,'kc-Wert für Stützen'!$A$8:$ES$8,0)+7,4),,))</f>
        <v>13646.394424344788</v>
      </c>
      <c r="E93" s="768">
        <f ca="1">INDIRECT("'kc-Wert für Stützen'!"&amp;SUBSTITUTE(ADDRESS(MATCH($A93,'kc-Wert für Stützen'!$C:$C,0),MATCH(E$7,'kc-Wert für Stützen'!$A$8:$ES$8,0)+7,4),,))</f>
        <v>12985.323577462104</v>
      </c>
      <c r="F93" s="768">
        <f ca="1">INDIRECT("'kc-Wert für Stützen'!"&amp;SUBSTITUTE(ADDRESS(MATCH($A93,'kc-Wert für Stützen'!$C:$C,0),MATCH(F$7,'kc-Wert für Stützen'!$A$8:$ES$8,0)+7,4),,))</f>
        <v>12348.940820334536</v>
      </c>
      <c r="G93" s="768">
        <f ca="1">INDIRECT("'kc-Wert für Stützen'!"&amp;SUBSTITUTE(ADDRESS(MATCH($A93,'kc-Wert für Stützen'!$C:$C,0),MATCH(G$7,'kc-Wert für Stützen'!$A$8:$ES$8,0)+7,4),,))</f>
        <v>11741.696597636457</v>
      </c>
      <c r="H93" s="768">
        <f ca="1">INDIRECT("'kc-Wert für Stützen'!"&amp;SUBSTITUTE(ADDRESS(MATCH($A93,'kc-Wert für Stützen'!$C:$C,0),MATCH(H$7,'kc-Wert für Stützen'!$A$8:$ES$8,0)+7,4),,))</f>
        <v>11165.871234651966</v>
      </c>
      <c r="I93" s="768">
        <f ca="1">INDIRECT("'kc-Wert für Stützen'!"&amp;SUBSTITUTE(ADDRESS(MATCH($A93,'kc-Wert für Stützen'!$C:$C,0),MATCH(I$7,'kc-Wert für Stützen'!$A$8:$ES$8,0)+7,4),,))</f>
        <v>10622.20004338632</v>
      </c>
      <c r="J93" s="768">
        <f ca="1">INDIRECT("'kc-Wert für Stützen'!"&amp;SUBSTITUTE(ADDRESS(MATCH($A93,'kc-Wert für Stützen'!$C:$C,0),MATCH(J$7,'kc-Wert für Stützen'!$A$8:$ES$8,0)+7,4),,))</f>
        <v>10110.377324475252</v>
      </c>
      <c r="K93" s="768">
        <f ca="1">INDIRECT("'kc-Wert für Stützen'!"&amp;SUBSTITUTE(ADDRESS(MATCH($A93,'kc-Wert für Stützen'!$C:$C,0),MATCH(K$7,'kc-Wert für Stützen'!$A$8:$ES$8,0)+7,4),,))</f>
        <v>9629.4318251295645</v>
      </c>
      <c r="L93" s="768">
        <f ca="1">INDIRECT("'kc-Wert für Stützen'!"&amp;SUBSTITUTE(ADDRESS(MATCH($A93,'kc-Wert für Stützen'!$C:$C,0),MATCH(L$7,'kc-Wert für Stützen'!$A$8:$ES$8,0)+7,4),,))</f>
        <v>9177.9932408314544</v>
      </c>
      <c r="M93" s="768">
        <f ca="1">INDIRECT("'kc-Wert für Stützen'!"&amp;SUBSTITUTE(ADDRESS(MATCH($A93,'kc-Wert für Stützen'!$C:$C,0),MATCH(M$7,'kc-Wert für Stützen'!$A$8:$ES$8,0)+7,4),,))</f>
        <v>8754.4752408152017</v>
      </c>
      <c r="N93" s="768">
        <f ca="1">INDIRECT("'kc-Wert für Stützen'!"&amp;SUBSTITUTE(ADDRESS(MATCH($A93,'kc-Wert für Stützen'!$C:$C,0),MATCH(N$7,'kc-Wert für Stützen'!$A$8:$ES$8,0)+7,4),,))</f>
        <v>8357.1979160566389</v>
      </c>
      <c r="O93" s="768">
        <f ca="1">INDIRECT("'kc-Wert für Stützen'!"&amp;SUBSTITUTE(ADDRESS(MATCH($A93,'kc-Wert für Stützen'!$C:$C,0),MATCH(O$7,'kc-Wert für Stützen'!$A$8:$ES$8,0)+7,4),,))</f>
        <v>7984.467646031334</v>
      </c>
      <c r="P93" s="768">
        <f ca="1">INDIRECT("'kc-Wert für Stützen'!"&amp;SUBSTITUTE(ADDRESS(MATCH($A93,'kc-Wert für Stützen'!$C:$C,0),MATCH(P$7,'kc-Wert für Stützen'!$A$8:$ES$8,0)+7,4),,))</f>
        <v>7634.6276339604956</v>
      </c>
      <c r="S93" s="772">
        <f t="shared" ca="1" si="31"/>
        <v>13646.394424344788</v>
      </c>
      <c r="T93" s="772">
        <f t="shared" ca="1" si="30"/>
        <v>13646.394424344788</v>
      </c>
      <c r="U93" s="772">
        <f t="shared" ca="1" si="30"/>
        <v>13646.394424344788</v>
      </c>
      <c r="V93" s="772">
        <f t="shared" ca="1" si="30"/>
        <v>12985.323577462104</v>
      </c>
      <c r="W93" s="772">
        <f t="shared" ca="1" si="30"/>
        <v>12348.940820334536</v>
      </c>
      <c r="X93" s="772">
        <f t="shared" ca="1" si="30"/>
        <v>11741.696597636457</v>
      </c>
      <c r="Y93" s="772">
        <f t="shared" ca="1" si="30"/>
        <v>11165.871234651966</v>
      </c>
      <c r="Z93" s="772">
        <f t="shared" ca="1" si="30"/>
        <v>13646.394424344788</v>
      </c>
      <c r="AA93" s="772">
        <f t="shared" ca="1" si="30"/>
        <v>13646.394424344788</v>
      </c>
      <c r="AB93" s="772">
        <f t="shared" ca="1" si="35"/>
        <v>12985.323577462104</v>
      </c>
      <c r="AC93" s="772">
        <f t="shared" ca="1" si="35"/>
        <v>12985.323577462104</v>
      </c>
      <c r="AD93" s="772">
        <f t="shared" ca="1" si="35"/>
        <v>12348.940820334536</v>
      </c>
      <c r="AE93" s="772">
        <f t="shared" ca="1" si="35"/>
        <v>12348.940820334536</v>
      </c>
      <c r="AF93" s="772">
        <f t="shared" ca="1" si="35"/>
        <v>11741.696597636457</v>
      </c>
      <c r="AG93" s="772">
        <f t="shared" ca="1" si="35"/>
        <v>11741.696597636457</v>
      </c>
      <c r="AH93" s="772">
        <f t="shared" ca="1" si="35"/>
        <v>11741.696597636457</v>
      </c>
      <c r="AI93" s="772">
        <f t="shared" ca="1" si="35"/>
        <v>13646.394424344788</v>
      </c>
      <c r="AJ93" s="772">
        <f t="shared" ca="1" si="35"/>
        <v>13646.394424344788</v>
      </c>
      <c r="AK93" s="772">
        <f t="shared" ca="1" si="35"/>
        <v>12985.323577462104</v>
      </c>
      <c r="AL93" s="772">
        <f t="shared" ca="1" si="35"/>
        <v>12985.323577462104</v>
      </c>
      <c r="AM93" s="772">
        <f t="shared" ca="1" si="35"/>
        <v>12348.940820334536</v>
      </c>
      <c r="AN93" s="772">
        <f t="shared" ca="1" si="35"/>
        <v>12348.940820334536</v>
      </c>
      <c r="AO93" s="772">
        <f t="shared" ca="1" si="35"/>
        <v>11741.696597636457</v>
      </c>
      <c r="AP93" s="772">
        <f t="shared" ca="1" si="35"/>
        <v>11741.696597636457</v>
      </c>
      <c r="AQ93" s="772">
        <f t="shared" ca="1" si="35"/>
        <v>11741.696597636457</v>
      </c>
      <c r="AR93" s="772">
        <f t="shared" ca="1" si="37"/>
        <v>13646.394424344788</v>
      </c>
      <c r="AS93" s="772">
        <f t="shared" ca="1" si="37"/>
        <v>13646.394424344788</v>
      </c>
      <c r="AT93" s="772">
        <f t="shared" ca="1" si="37"/>
        <v>12985.323577462104</v>
      </c>
      <c r="AU93" s="772">
        <f t="shared" ca="1" si="37"/>
        <v>12985.323577462104</v>
      </c>
      <c r="AV93" s="772">
        <f t="shared" ca="1" si="37"/>
        <v>12348.940820334536</v>
      </c>
      <c r="AW93" s="772">
        <f t="shared" ca="1" si="37"/>
        <v>12348.940820334536</v>
      </c>
      <c r="AX93" s="772">
        <f t="shared" ca="1" si="37"/>
        <v>11741.696597636457</v>
      </c>
      <c r="AY93" s="772">
        <f t="shared" ca="1" si="37"/>
        <v>11741.696597636457</v>
      </c>
      <c r="AZ93" s="772">
        <f t="shared" ca="1" si="37"/>
        <v>11741.696597636457</v>
      </c>
      <c r="BA93" s="772">
        <f t="shared" ca="1" si="37"/>
        <v>13646.394424344788</v>
      </c>
      <c r="BB93" s="772">
        <f t="shared" ca="1" si="37"/>
        <v>13646.394424344788</v>
      </c>
      <c r="BC93" s="772">
        <f t="shared" ca="1" si="37"/>
        <v>12985.323577462104</v>
      </c>
      <c r="BD93" s="772">
        <f t="shared" ca="1" si="37"/>
        <v>12348.940820334536</v>
      </c>
      <c r="BE93" s="772">
        <f t="shared" ca="1" si="37"/>
        <v>12348.940820334536</v>
      </c>
      <c r="BF93" s="772">
        <f t="shared" ca="1" si="37"/>
        <v>11741.696597636457</v>
      </c>
      <c r="BG93" s="772">
        <f t="shared" ca="1" si="37"/>
        <v>11741.696597636457</v>
      </c>
      <c r="BH93" s="772">
        <f t="shared" ca="1" si="32"/>
        <v>11165.871234651966</v>
      </c>
      <c r="BI93" s="772">
        <f t="shared" ca="1" si="32"/>
        <v>11165.871234651966</v>
      </c>
      <c r="BJ93" s="772">
        <f t="shared" ca="1" si="32"/>
        <v>12985.323577462104</v>
      </c>
      <c r="BK93" s="772">
        <f t="shared" ca="1" si="32"/>
        <v>12985.323577462104</v>
      </c>
      <c r="BL93" s="772">
        <f t="shared" ca="1" si="32"/>
        <v>12985.323577462104</v>
      </c>
      <c r="BM93" s="772">
        <f t="shared" ca="1" si="32"/>
        <v>12985.323577462104</v>
      </c>
      <c r="BN93" s="772">
        <f t="shared" ca="1" si="32"/>
        <v>11741.696597636457</v>
      </c>
      <c r="BO93" s="772">
        <f t="shared" ca="1" si="32"/>
        <v>11741.696597636457</v>
      </c>
      <c r="BP93" s="772">
        <f t="shared" ca="1" si="32"/>
        <v>11165.871234651966</v>
      </c>
      <c r="BQ93" s="772">
        <f t="shared" ca="1" si="32"/>
        <v>11165.871234651966</v>
      </c>
      <c r="BR93" s="772">
        <f t="shared" ca="1" si="32"/>
        <v>10622.20004338632</v>
      </c>
      <c r="BS93" s="772">
        <f t="shared" ca="1" si="32"/>
        <v>12985.323577462104</v>
      </c>
      <c r="BT93" s="772">
        <f t="shared" ca="1" si="32"/>
        <v>12985.323577462104</v>
      </c>
      <c r="BU93" s="772">
        <f t="shared" ca="1" si="32"/>
        <v>12985.323577462104</v>
      </c>
      <c r="BV93" s="772">
        <f t="shared" ca="1" si="32"/>
        <v>12348.940820334536</v>
      </c>
      <c r="BW93" s="772">
        <f t="shared" ca="1" si="32"/>
        <v>12348.940820334536</v>
      </c>
      <c r="BX93" s="772">
        <f t="shared" ca="1" si="36"/>
        <v>11165.871234651966</v>
      </c>
      <c r="BY93" s="772">
        <f t="shared" ca="1" si="36"/>
        <v>11165.871234651966</v>
      </c>
      <c r="BZ93" s="772">
        <f t="shared" ca="1" si="36"/>
        <v>10622.20004338632</v>
      </c>
      <c r="CA93" s="772">
        <f t="shared" ca="1" si="36"/>
        <v>10622.20004338632</v>
      </c>
      <c r="CB93" s="772">
        <f t="shared" ca="1" si="36"/>
        <v>12348.940820334536</v>
      </c>
      <c r="CC93" s="772">
        <f t="shared" ca="1" si="36"/>
        <v>12348.940820334536</v>
      </c>
      <c r="CD93" s="772">
        <f t="shared" ca="1" si="36"/>
        <v>12348.940820334536</v>
      </c>
      <c r="CE93" s="772">
        <f t="shared" ca="1" si="36"/>
        <v>12348.940820334536</v>
      </c>
      <c r="CF93" s="772">
        <f t="shared" ca="1" si="36"/>
        <v>11741.696597636457</v>
      </c>
      <c r="CG93" s="772">
        <f t="shared" ca="1" si="36"/>
        <v>11165.871234651966</v>
      </c>
      <c r="CH93" s="772">
        <f t="shared" ca="1" si="36"/>
        <v>10622.20004338632</v>
      </c>
      <c r="CI93" s="772">
        <f t="shared" ca="1" si="36"/>
        <v>10622.20004338632</v>
      </c>
      <c r="CJ93" s="772">
        <f t="shared" ca="1" si="36"/>
        <v>10110.377324475252</v>
      </c>
    </row>
    <row r="94" spans="1:88" ht="15" customHeight="1">
      <c r="A94" s="770">
        <f>'kc-Wert für Stützen'!C94</f>
        <v>146</v>
      </c>
      <c r="B94" s="768">
        <f ca="1">INDIRECT("'kc-Wert für Stützen'!"&amp;SUBSTITUTE(ADDRESS(MATCH($A94,'kc-Wert für Stützen'!$C:$C,0),MATCH(B$7,'kc-Wert für Stützen'!$A$8:$ES$8,0)+7,4),,))</f>
        <v>15350.721390331513</v>
      </c>
      <c r="C94" s="768">
        <f ca="1">INDIRECT("'kc-Wert für Stützen'!"&amp;SUBSTITUTE(ADDRESS(MATCH($A94,'kc-Wert für Stützen'!$C:$C,0),MATCH(C$7,'kc-Wert für Stützen'!$A$8:$ES$8,0)+7,4),,))</f>
        <v>14660.978284265895</v>
      </c>
      <c r="D94" s="768">
        <f ca="1">INDIRECT("'kc-Wert für Stützen'!"&amp;SUBSTITUTE(ADDRESS(MATCH($A94,'kc-Wert für Stützen'!$C:$C,0),MATCH(D$7,'kc-Wert für Stützen'!$A$8:$ES$8,0)+7,4),,))</f>
        <v>13975.472408097114</v>
      </c>
      <c r="E94" s="768">
        <f ca="1">INDIRECT("'kc-Wert für Stützen'!"&amp;SUBSTITUTE(ADDRESS(MATCH($A94,'kc-Wert für Stützen'!$C:$C,0),MATCH(E$7,'kc-Wert für Stützen'!$A$8:$ES$8,0)+7,4),,))</f>
        <v>13305.465051053056</v>
      </c>
      <c r="F94" s="768">
        <f ca="1">INDIRECT("'kc-Wert für Stützen'!"&amp;SUBSTITUTE(ADDRESS(MATCH($A94,'kc-Wert für Stützen'!$C:$C,0),MATCH(F$7,'kc-Wert für Stützen'!$A$8:$ES$8,0)+7,4),,))</f>
        <v>12658.860295169879</v>
      </c>
      <c r="G94" s="768">
        <f ca="1">INDIRECT("'kc-Wert für Stützen'!"&amp;SUBSTITUTE(ADDRESS(MATCH($A94,'kc-Wert für Stützen'!$C:$C,0),MATCH(G$7,'kc-Wert für Stützen'!$A$8:$ES$8,0)+7,4),,))</f>
        <v>12040.630472431549</v>
      </c>
      <c r="H94" s="768">
        <f ca="1">INDIRECT("'kc-Wert für Stützen'!"&amp;SUBSTITUTE(ADDRESS(MATCH($A94,'kc-Wert für Stützen'!$C:$C,0),MATCH(H$7,'kc-Wert für Stützen'!$A$8:$ES$8,0)+7,4),,))</f>
        <v>11453.461785500574</v>
      </c>
      <c r="I94" s="768">
        <f ca="1">INDIRECT("'kc-Wert für Stützen'!"&amp;SUBSTITUTE(ADDRESS(MATCH($A94,'kc-Wert für Stützen'!$C:$C,0),MATCH(I$7,'kc-Wert für Stützen'!$A$8:$ES$8,0)+7,4),,))</f>
        <v>10898.386640968019</v>
      </c>
      <c r="J94" s="768">
        <f ca="1">INDIRECT("'kc-Wert für Stützen'!"&amp;SUBSTITUTE(ADDRESS(MATCH($A94,'kc-Wert für Stützen'!$C:$C,0),MATCH(J$7,'kc-Wert für Stützen'!$A$8:$ES$8,0)+7,4),,))</f>
        <v>10375.306884636257</v>
      </c>
      <c r="K94" s="768">
        <f ca="1">INDIRECT("'kc-Wert für Stützen'!"&amp;SUBSTITUTE(ADDRESS(MATCH($A94,'kc-Wert für Stützen'!$C:$C,0),MATCH(K$7,'kc-Wert für Stützen'!$A$8:$ES$8,0)+7,4),,))</f>
        <v>9883.3900925033067</v>
      </c>
      <c r="L94" s="768">
        <f ca="1">INDIRECT("'kc-Wert für Stützen'!"&amp;SUBSTITUTE(ADDRESS(MATCH($A94,'kc-Wert für Stützen'!$C:$C,0),MATCH(L$7,'kc-Wert für Stützen'!$A$8:$ES$8,0)+7,4),,))</f>
        <v>9421.3542310577141</v>
      </c>
      <c r="M94" s="768">
        <f ca="1">INDIRECT("'kc-Wert für Stützen'!"&amp;SUBSTITUTE(ADDRESS(MATCH($A94,'kc-Wert für Stützen'!$C:$C,0),MATCH(M$7,'kc-Wert für Stützen'!$A$8:$ES$8,0)+7,4),,))</f>
        <v>8987.6650532383374</v>
      </c>
      <c r="N94" s="768">
        <f ca="1">INDIRECT("'kc-Wert für Stützen'!"&amp;SUBSTITUTE(ADDRESS(MATCH($A94,'kc-Wert für Stützen'!$C:$C,0),MATCH(N$7,'kc-Wert für Stützen'!$A$8:$ES$8,0)+7,4),,))</f>
        <v>8580.6693530557714</v>
      </c>
      <c r="O94" s="768">
        <f ca="1">INDIRECT("'kc-Wert für Stützen'!"&amp;SUBSTITUTE(ADDRESS(MATCH($A94,'kc-Wert für Stützen'!$C:$C,0),MATCH(O$7,'kc-Wert für Stützen'!$A$8:$ES$8,0)+7,4),,))</f>
        <v>8198.6827253557785</v>
      </c>
      <c r="P94" s="768">
        <f ca="1">INDIRECT("'kc-Wert für Stützen'!"&amp;SUBSTITUTE(ADDRESS(MATCH($A94,'kc-Wert für Stützen'!$C:$C,0),MATCH(P$7,'kc-Wert für Stützen'!$A$8:$ES$8,0)+7,4),,))</f>
        <v>7840.0457658608075</v>
      </c>
      <c r="S94" s="772">
        <f t="shared" ca="1" si="31"/>
        <v>13975.472408097114</v>
      </c>
      <c r="T94" s="772">
        <f t="shared" ca="1" si="30"/>
        <v>13975.472408097114</v>
      </c>
      <c r="U94" s="772">
        <f t="shared" ca="1" si="30"/>
        <v>13975.472408097114</v>
      </c>
      <c r="V94" s="772">
        <f t="shared" ca="1" si="30"/>
        <v>13305.465051053056</v>
      </c>
      <c r="W94" s="772">
        <f t="shared" ca="1" si="30"/>
        <v>12658.860295169879</v>
      </c>
      <c r="X94" s="772">
        <f t="shared" ca="1" si="30"/>
        <v>12040.630472431549</v>
      </c>
      <c r="Y94" s="772">
        <f t="shared" ca="1" si="30"/>
        <v>11453.461785500574</v>
      </c>
      <c r="Z94" s="772">
        <f t="shared" ca="1" si="30"/>
        <v>13975.472408097114</v>
      </c>
      <c r="AA94" s="772">
        <f t="shared" ca="1" si="30"/>
        <v>13975.472408097114</v>
      </c>
      <c r="AB94" s="772">
        <f t="shared" ca="1" si="35"/>
        <v>13305.465051053056</v>
      </c>
      <c r="AC94" s="772">
        <f t="shared" ca="1" si="35"/>
        <v>13305.465051053056</v>
      </c>
      <c r="AD94" s="772">
        <f t="shared" ca="1" si="35"/>
        <v>12658.860295169879</v>
      </c>
      <c r="AE94" s="772">
        <f t="shared" ca="1" si="35"/>
        <v>12658.860295169879</v>
      </c>
      <c r="AF94" s="772">
        <f t="shared" ca="1" si="35"/>
        <v>12040.630472431549</v>
      </c>
      <c r="AG94" s="772">
        <f t="shared" ca="1" si="35"/>
        <v>12040.630472431549</v>
      </c>
      <c r="AH94" s="772">
        <f t="shared" ca="1" si="35"/>
        <v>12040.630472431549</v>
      </c>
      <c r="AI94" s="772">
        <f t="shared" ca="1" si="35"/>
        <v>13975.472408097114</v>
      </c>
      <c r="AJ94" s="772">
        <f t="shared" ca="1" si="35"/>
        <v>13975.472408097114</v>
      </c>
      <c r="AK94" s="772">
        <f t="shared" ca="1" si="35"/>
        <v>13305.465051053056</v>
      </c>
      <c r="AL94" s="772">
        <f t="shared" ca="1" si="35"/>
        <v>13305.465051053056</v>
      </c>
      <c r="AM94" s="772">
        <f t="shared" ca="1" si="35"/>
        <v>12658.860295169879</v>
      </c>
      <c r="AN94" s="772">
        <f t="shared" ca="1" si="35"/>
        <v>12658.860295169879</v>
      </c>
      <c r="AO94" s="772">
        <f t="shared" ca="1" si="35"/>
        <v>12040.630472431549</v>
      </c>
      <c r="AP94" s="772">
        <f t="shared" ca="1" si="35"/>
        <v>12040.630472431549</v>
      </c>
      <c r="AQ94" s="772">
        <f t="shared" ca="1" si="35"/>
        <v>12040.630472431549</v>
      </c>
      <c r="AR94" s="772">
        <f t="shared" ca="1" si="37"/>
        <v>13975.472408097114</v>
      </c>
      <c r="AS94" s="772">
        <f t="shared" ca="1" si="37"/>
        <v>13975.472408097114</v>
      </c>
      <c r="AT94" s="772">
        <f t="shared" ca="1" si="37"/>
        <v>13305.465051053056</v>
      </c>
      <c r="AU94" s="772">
        <f t="shared" ca="1" si="37"/>
        <v>13305.465051053056</v>
      </c>
      <c r="AV94" s="772">
        <f t="shared" ca="1" si="37"/>
        <v>12658.860295169879</v>
      </c>
      <c r="AW94" s="772">
        <f t="shared" ca="1" si="37"/>
        <v>12658.860295169879</v>
      </c>
      <c r="AX94" s="772">
        <f t="shared" ca="1" si="37"/>
        <v>12040.630472431549</v>
      </c>
      <c r="AY94" s="772">
        <f t="shared" ca="1" si="37"/>
        <v>12040.630472431549</v>
      </c>
      <c r="AZ94" s="772">
        <f t="shared" ca="1" si="37"/>
        <v>12040.630472431549</v>
      </c>
      <c r="BA94" s="772">
        <f t="shared" ca="1" si="37"/>
        <v>13975.472408097114</v>
      </c>
      <c r="BB94" s="772">
        <f t="shared" ca="1" si="37"/>
        <v>13975.472408097114</v>
      </c>
      <c r="BC94" s="772">
        <f t="shared" ca="1" si="37"/>
        <v>13305.465051053056</v>
      </c>
      <c r="BD94" s="772">
        <f t="shared" ca="1" si="37"/>
        <v>12658.860295169879</v>
      </c>
      <c r="BE94" s="772">
        <f t="shared" ca="1" si="37"/>
        <v>12658.860295169879</v>
      </c>
      <c r="BF94" s="772">
        <f t="shared" ca="1" si="37"/>
        <v>12040.630472431549</v>
      </c>
      <c r="BG94" s="772">
        <f t="shared" ca="1" si="37"/>
        <v>12040.630472431549</v>
      </c>
      <c r="BH94" s="772">
        <f t="shared" ca="1" si="32"/>
        <v>11453.461785500574</v>
      </c>
      <c r="BI94" s="772">
        <f t="shared" ca="1" si="32"/>
        <v>11453.461785500574</v>
      </c>
      <c r="BJ94" s="772">
        <f t="shared" ca="1" si="32"/>
        <v>13305.465051053056</v>
      </c>
      <c r="BK94" s="772">
        <f t="shared" ca="1" si="32"/>
        <v>13305.465051053056</v>
      </c>
      <c r="BL94" s="772">
        <f t="shared" ca="1" si="32"/>
        <v>13305.465051053056</v>
      </c>
      <c r="BM94" s="772">
        <f t="shared" ca="1" si="32"/>
        <v>13305.465051053056</v>
      </c>
      <c r="BN94" s="772">
        <f t="shared" ca="1" si="32"/>
        <v>12040.630472431549</v>
      </c>
      <c r="BO94" s="772">
        <f t="shared" ca="1" si="32"/>
        <v>12040.630472431549</v>
      </c>
      <c r="BP94" s="772">
        <f t="shared" ca="1" si="32"/>
        <v>11453.461785500574</v>
      </c>
      <c r="BQ94" s="772">
        <f t="shared" ca="1" si="32"/>
        <v>11453.461785500574</v>
      </c>
      <c r="BR94" s="772">
        <f t="shared" ca="1" si="32"/>
        <v>10898.386640968019</v>
      </c>
      <c r="BS94" s="772">
        <f t="shared" ca="1" si="32"/>
        <v>13305.465051053056</v>
      </c>
      <c r="BT94" s="772">
        <f t="shared" ca="1" si="32"/>
        <v>13305.465051053056</v>
      </c>
      <c r="BU94" s="772">
        <f t="shared" ca="1" si="32"/>
        <v>13305.465051053056</v>
      </c>
      <c r="BV94" s="772">
        <f t="shared" ca="1" si="32"/>
        <v>12658.860295169879</v>
      </c>
      <c r="BW94" s="772">
        <f t="shared" ca="1" si="32"/>
        <v>12658.860295169879</v>
      </c>
      <c r="BX94" s="772">
        <f t="shared" ca="1" si="36"/>
        <v>11453.461785500574</v>
      </c>
      <c r="BY94" s="772">
        <f t="shared" ca="1" si="36"/>
        <v>11453.461785500574</v>
      </c>
      <c r="BZ94" s="772">
        <f t="shared" ca="1" si="36"/>
        <v>10898.386640968019</v>
      </c>
      <c r="CA94" s="772">
        <f t="shared" ca="1" si="36"/>
        <v>10898.386640968019</v>
      </c>
      <c r="CB94" s="772">
        <f t="shared" ca="1" si="36"/>
        <v>12658.860295169879</v>
      </c>
      <c r="CC94" s="772">
        <f t="shared" ca="1" si="36"/>
        <v>12658.860295169879</v>
      </c>
      <c r="CD94" s="772">
        <f t="shared" ca="1" si="36"/>
        <v>12658.860295169879</v>
      </c>
      <c r="CE94" s="772">
        <f t="shared" ca="1" si="36"/>
        <v>12658.860295169879</v>
      </c>
      <c r="CF94" s="772">
        <f t="shared" ca="1" si="36"/>
        <v>12040.630472431549</v>
      </c>
      <c r="CG94" s="772">
        <f t="shared" ca="1" si="36"/>
        <v>11453.461785500574</v>
      </c>
      <c r="CH94" s="772">
        <f t="shared" ca="1" si="36"/>
        <v>10898.386640968019</v>
      </c>
      <c r="CI94" s="772">
        <f t="shared" ca="1" si="36"/>
        <v>10898.386640968019</v>
      </c>
      <c r="CJ94" s="772">
        <f t="shared" ca="1" si="36"/>
        <v>10375.306884636257</v>
      </c>
    </row>
    <row r="95" spans="1:88" ht="15" customHeight="1">
      <c r="A95" s="770">
        <f>'kc-Wert für Stützen'!C95</f>
        <v>147</v>
      </c>
      <c r="B95" s="768">
        <f ca="1">INDIRECT("'kc-Wert für Stützen'!"&amp;SUBSTITUTE(ADDRESS(MATCH($A95,'kc-Wert für Stützen'!$C:$C,0),MATCH(B$7,'kc-Wert für Stützen'!$A$8:$ES$8,0)+7,4),,))</f>
        <v>15694.231541750389</v>
      </c>
      <c r="C95" s="768">
        <f ca="1">INDIRECT("'kc-Wert für Stützen'!"&amp;SUBSTITUTE(ADDRESS(MATCH($A95,'kc-Wert für Stützen'!$C:$C,0),MATCH(C$7,'kc-Wert für Stützen'!$A$8:$ES$8,0)+7,4),,))</f>
        <v>15000.524157917294</v>
      </c>
      <c r="D95" s="768">
        <f ca="1">INDIRECT("'kc-Wert für Stützen'!"&amp;SUBSTITUTE(ADDRESS(MATCH($A95,'kc-Wert für Stützen'!$C:$C,0),MATCH(D$7,'kc-Wert für Stützen'!$A$8:$ES$8,0)+7,4),,))</f>
        <v>14308.44001878032</v>
      </c>
      <c r="E95" s="768">
        <f ca="1">INDIRECT("'kc-Wert für Stützen'!"&amp;SUBSTITUTE(ADDRESS(MATCH($A95,'kc-Wert für Stützen'!$C:$C,0),MATCH(E$7,'kc-Wert für Stützen'!$A$8:$ES$8,0)+7,4),,))</f>
        <v>13629.838562989093</v>
      </c>
      <c r="F95" s="768">
        <f ca="1">INDIRECT("'kc-Wert für Stützen'!"&amp;SUBSTITUTE(ADDRESS(MATCH($A95,'kc-Wert für Stützen'!$C:$C,0),MATCH(F$7,'kc-Wert für Stützen'!$A$8:$ES$8,0)+7,4),,))</f>
        <v>12973.240033539141</v>
      </c>
      <c r="G95" s="768">
        <f ca="1">INDIRECT("'kc-Wert für Stützen'!"&amp;SUBSTITUTE(ADDRESS(MATCH($A95,'kc-Wert für Stützen'!$C:$C,0),MATCH(G$7,'kc-Wert für Stützen'!$A$8:$ES$8,0)+7,4),,))</f>
        <v>12344.154615414503</v>
      </c>
      <c r="H95" s="768">
        <f ca="1">INDIRECT("'kc-Wert für Stützen'!"&amp;SUBSTITUTE(ADDRESS(MATCH($A95,'kc-Wert für Stützen'!$C:$C,0),MATCH(H$7,'kc-Wert für Stützen'!$A$8:$ES$8,0)+7,4),,))</f>
        <v>11745.694354042544</v>
      </c>
      <c r="I95" s="768">
        <f ca="1">INDIRECT("'kc-Wert für Stützen'!"&amp;SUBSTITUTE(ADDRESS(MATCH($A95,'kc-Wert für Stützen'!$C:$C,0),MATCH(I$7,'kc-Wert für Stützen'!$A$8:$ES$8,0)+7,4),,))</f>
        <v>11179.207747436343</v>
      </c>
      <c r="J95" s="768">
        <f ca="1">INDIRECT("'kc-Wert für Stützen'!"&amp;SUBSTITUTE(ADDRESS(MATCH($A95,'kc-Wert für Stützen'!$C:$C,0),MATCH(J$7,'kc-Wert für Stützen'!$A$8:$ES$8,0)+7,4),,))</f>
        <v>10644.820235094046</v>
      </c>
      <c r="K95" s="768">
        <f ca="1">INDIRECT("'kc-Wert für Stützen'!"&amp;SUBSTITUTE(ADDRESS(MATCH($A95,'kc-Wert für Stützen'!$C:$C,0),MATCH(K$7,'kc-Wert für Stützen'!$A$8:$ES$8,0)+7,4),,))</f>
        <v>10141.850947166249</v>
      </c>
      <c r="L95" s="768">
        <f ca="1">INDIRECT("'kc-Wert für Stützen'!"&amp;SUBSTITUTE(ADDRESS(MATCH($A95,'kc-Wert für Stützen'!$C:$C,0),MATCH(L$7,'kc-Wert für Stützen'!$A$8:$ES$8,0)+7,4),,))</f>
        <v>9669.1158457188831</v>
      </c>
      <c r="M95" s="768">
        <f ca="1">INDIRECT("'kc-Wert für Stützen'!"&amp;SUBSTITUTE(ADDRESS(MATCH($A95,'kc-Wert für Stützen'!$C:$C,0),MATCH(M$7,'kc-Wert für Stützen'!$A$8:$ES$8,0)+7,4),,))</f>
        <v>9225.1400306470878</v>
      </c>
      <c r="N95" s="768">
        <f ca="1">INDIRECT("'kc-Wert für Stützen'!"&amp;SUBSTITUTE(ADDRESS(MATCH($A95,'kc-Wert für Stützen'!$C:$C,0),MATCH(N$7,'kc-Wert für Stützen'!$A$8:$ES$8,0)+7,4),,))</f>
        <v>8808.3023415723655</v>
      </c>
      <c r="O95" s="768">
        <f ca="1">INDIRECT("'kc-Wert für Stützen'!"&amp;SUBSTITUTE(ADDRESS(MATCH($A95,'kc-Wert für Stützen'!$C:$C,0),MATCH(O$7,'kc-Wert für Stützen'!$A$8:$ES$8,0)+7,4),,))</f>
        <v>8416.9314734727741</v>
      </c>
      <c r="P95" s="768">
        <f ca="1">INDIRECT("'kc-Wert für Stützen'!"&amp;SUBSTITUTE(ADDRESS(MATCH($A95,'kc-Wert für Stützen'!$C:$C,0),MATCH(P$7,'kc-Wert für Stützen'!$A$8:$ES$8,0)+7,4),,))</f>
        <v>8049.3682101920849</v>
      </c>
      <c r="S95" s="772">
        <f t="shared" ca="1" si="31"/>
        <v>14308.44001878032</v>
      </c>
      <c r="T95" s="772">
        <f t="shared" ca="1" si="30"/>
        <v>14308.44001878032</v>
      </c>
      <c r="U95" s="772">
        <f t="shared" ca="1" si="30"/>
        <v>14308.44001878032</v>
      </c>
      <c r="V95" s="772">
        <f t="shared" ca="1" si="30"/>
        <v>13629.838562989093</v>
      </c>
      <c r="W95" s="772">
        <f t="shared" ca="1" si="30"/>
        <v>12973.240033539141</v>
      </c>
      <c r="X95" s="772">
        <f t="shared" ca="1" si="30"/>
        <v>12344.154615414503</v>
      </c>
      <c r="Y95" s="772">
        <f t="shared" ca="1" si="30"/>
        <v>11745.694354042544</v>
      </c>
      <c r="Z95" s="772">
        <f t="shared" ca="1" si="30"/>
        <v>14308.44001878032</v>
      </c>
      <c r="AA95" s="772">
        <f t="shared" ca="1" si="30"/>
        <v>14308.44001878032</v>
      </c>
      <c r="AB95" s="772">
        <f t="shared" ca="1" si="35"/>
        <v>13629.838562989093</v>
      </c>
      <c r="AC95" s="772">
        <f t="shared" ca="1" si="35"/>
        <v>13629.838562989093</v>
      </c>
      <c r="AD95" s="772">
        <f t="shared" ca="1" si="35"/>
        <v>12973.240033539141</v>
      </c>
      <c r="AE95" s="772">
        <f t="shared" ca="1" si="35"/>
        <v>12973.240033539141</v>
      </c>
      <c r="AF95" s="772">
        <f t="shared" ca="1" si="35"/>
        <v>12344.154615414503</v>
      </c>
      <c r="AG95" s="772">
        <f t="shared" ca="1" si="35"/>
        <v>12344.154615414503</v>
      </c>
      <c r="AH95" s="772">
        <f t="shared" ca="1" si="35"/>
        <v>12344.154615414503</v>
      </c>
      <c r="AI95" s="772">
        <f t="shared" ca="1" si="35"/>
        <v>14308.44001878032</v>
      </c>
      <c r="AJ95" s="772">
        <f t="shared" ca="1" si="35"/>
        <v>14308.44001878032</v>
      </c>
      <c r="AK95" s="772">
        <f t="shared" ca="1" si="35"/>
        <v>13629.838562989093</v>
      </c>
      <c r="AL95" s="772">
        <f t="shared" ca="1" si="35"/>
        <v>13629.838562989093</v>
      </c>
      <c r="AM95" s="772">
        <f t="shared" ca="1" si="35"/>
        <v>12973.240033539141</v>
      </c>
      <c r="AN95" s="772">
        <f t="shared" ca="1" si="35"/>
        <v>12973.240033539141</v>
      </c>
      <c r="AO95" s="772">
        <f t="shared" ca="1" si="35"/>
        <v>12344.154615414503</v>
      </c>
      <c r="AP95" s="772">
        <f t="shared" ca="1" si="35"/>
        <v>12344.154615414503</v>
      </c>
      <c r="AQ95" s="772">
        <f t="shared" ca="1" si="35"/>
        <v>12344.154615414503</v>
      </c>
      <c r="AR95" s="772">
        <f t="shared" ca="1" si="37"/>
        <v>14308.44001878032</v>
      </c>
      <c r="AS95" s="772">
        <f t="shared" ca="1" si="37"/>
        <v>14308.44001878032</v>
      </c>
      <c r="AT95" s="772">
        <f t="shared" ca="1" si="37"/>
        <v>13629.838562989093</v>
      </c>
      <c r="AU95" s="772">
        <f t="shared" ca="1" si="37"/>
        <v>13629.838562989093</v>
      </c>
      <c r="AV95" s="772">
        <f t="shared" ca="1" si="37"/>
        <v>12973.240033539141</v>
      </c>
      <c r="AW95" s="772">
        <f t="shared" ca="1" si="37"/>
        <v>12973.240033539141</v>
      </c>
      <c r="AX95" s="772">
        <f t="shared" ca="1" si="37"/>
        <v>12344.154615414503</v>
      </c>
      <c r="AY95" s="772">
        <f t="shared" ca="1" si="37"/>
        <v>12344.154615414503</v>
      </c>
      <c r="AZ95" s="772">
        <f t="shared" ca="1" si="37"/>
        <v>12344.154615414503</v>
      </c>
      <c r="BA95" s="772">
        <f t="shared" ca="1" si="37"/>
        <v>14308.44001878032</v>
      </c>
      <c r="BB95" s="772">
        <f t="shared" ca="1" si="37"/>
        <v>14308.44001878032</v>
      </c>
      <c r="BC95" s="772">
        <f t="shared" ca="1" si="37"/>
        <v>13629.838562989093</v>
      </c>
      <c r="BD95" s="772">
        <f t="shared" ca="1" si="37"/>
        <v>12973.240033539141</v>
      </c>
      <c r="BE95" s="772">
        <f t="shared" ca="1" si="37"/>
        <v>12973.240033539141</v>
      </c>
      <c r="BF95" s="772">
        <f t="shared" ca="1" si="37"/>
        <v>12344.154615414503</v>
      </c>
      <c r="BG95" s="772">
        <f t="shared" ca="1" si="37"/>
        <v>12344.154615414503</v>
      </c>
      <c r="BH95" s="772">
        <f t="shared" ca="1" si="32"/>
        <v>11745.694354042544</v>
      </c>
      <c r="BI95" s="772">
        <f t="shared" ca="1" si="32"/>
        <v>11745.694354042544</v>
      </c>
      <c r="BJ95" s="772">
        <f t="shared" ca="1" si="32"/>
        <v>13629.838562989093</v>
      </c>
      <c r="BK95" s="772">
        <f t="shared" ca="1" si="32"/>
        <v>13629.838562989093</v>
      </c>
      <c r="BL95" s="772">
        <f t="shared" ca="1" si="32"/>
        <v>13629.838562989093</v>
      </c>
      <c r="BM95" s="772">
        <f t="shared" ca="1" si="32"/>
        <v>13629.838562989093</v>
      </c>
      <c r="BN95" s="772">
        <f t="shared" ca="1" si="32"/>
        <v>12344.154615414503</v>
      </c>
      <c r="BO95" s="772">
        <f t="shared" ca="1" si="32"/>
        <v>12344.154615414503</v>
      </c>
      <c r="BP95" s="772">
        <f t="shared" ca="1" si="32"/>
        <v>11745.694354042544</v>
      </c>
      <c r="BQ95" s="772">
        <f t="shared" ca="1" si="32"/>
        <v>11745.694354042544</v>
      </c>
      <c r="BR95" s="772">
        <f t="shared" ca="1" si="32"/>
        <v>11179.207747436343</v>
      </c>
      <c r="BS95" s="772">
        <f t="shared" ca="1" si="32"/>
        <v>13629.838562989093</v>
      </c>
      <c r="BT95" s="772">
        <f t="shared" ca="1" si="32"/>
        <v>13629.838562989093</v>
      </c>
      <c r="BU95" s="772">
        <f t="shared" ca="1" si="32"/>
        <v>13629.838562989093</v>
      </c>
      <c r="BV95" s="772">
        <f t="shared" ca="1" si="32"/>
        <v>12973.240033539141</v>
      </c>
      <c r="BW95" s="772">
        <f t="shared" ca="1" si="32"/>
        <v>12973.240033539141</v>
      </c>
      <c r="BX95" s="772">
        <f t="shared" ca="1" si="36"/>
        <v>11745.694354042544</v>
      </c>
      <c r="BY95" s="772">
        <f t="shared" ca="1" si="36"/>
        <v>11745.694354042544</v>
      </c>
      <c r="BZ95" s="772">
        <f t="shared" ca="1" si="36"/>
        <v>11179.207747436343</v>
      </c>
      <c r="CA95" s="772">
        <f t="shared" ca="1" si="36"/>
        <v>11179.207747436343</v>
      </c>
      <c r="CB95" s="772">
        <f t="shared" ca="1" si="36"/>
        <v>12973.240033539141</v>
      </c>
      <c r="CC95" s="772">
        <f t="shared" ca="1" si="36"/>
        <v>12973.240033539141</v>
      </c>
      <c r="CD95" s="772">
        <f t="shared" ca="1" si="36"/>
        <v>12973.240033539141</v>
      </c>
      <c r="CE95" s="772">
        <f t="shared" ca="1" si="36"/>
        <v>12973.240033539141</v>
      </c>
      <c r="CF95" s="772">
        <f t="shared" ca="1" si="36"/>
        <v>12344.154615414503</v>
      </c>
      <c r="CG95" s="772">
        <f t="shared" ca="1" si="36"/>
        <v>11745.694354042544</v>
      </c>
      <c r="CH95" s="772">
        <f t="shared" ca="1" si="36"/>
        <v>11179.207747436343</v>
      </c>
      <c r="CI95" s="772">
        <f t="shared" ca="1" si="36"/>
        <v>11179.207747436343</v>
      </c>
      <c r="CJ95" s="772">
        <f t="shared" ca="1" si="36"/>
        <v>10644.820235094046</v>
      </c>
    </row>
    <row r="96" spans="1:88" ht="15" customHeight="1">
      <c r="A96" s="770">
        <f>'kc-Wert für Stützen'!C96</f>
        <v>148</v>
      </c>
      <c r="B96" s="768">
        <f ca="1">INDIRECT("'kc-Wert für Stützen'!"&amp;SUBSTITUTE(ADDRESS(MATCH($A96,'kc-Wert für Stützen'!$C:$C,0),MATCH(B$7,'kc-Wert für Stützen'!$A$8:$ES$8,0)+7,4),,))</f>
        <v>16040.507604829339</v>
      </c>
      <c r="C96" s="768">
        <f ca="1">INDIRECT("'kc-Wert für Stützen'!"&amp;SUBSTITUTE(ADDRESS(MATCH($A96,'kc-Wert für Stützen'!$C:$C,0),MATCH(C$7,'kc-Wert für Stützen'!$A$8:$ES$8,0)+7,4),,))</f>
        <v>15343.39737709431</v>
      </c>
      <c r="D96" s="768">
        <f ca="1">INDIRECT("'kc-Wert für Stützen'!"&amp;SUBSTITUTE(ADDRESS(MATCH($A96,'kc-Wert für Stützen'!$C:$C,0),MATCH(D$7,'kc-Wert für Stützen'!$A$8:$ES$8,0)+7,4),,))</f>
        <v>14645.21272649491</v>
      </c>
      <c r="E96" s="768">
        <f ca="1">INDIRECT("'kc-Wert für Stützen'!"&amp;SUBSTITUTE(ADDRESS(MATCH($A96,'kc-Wert für Stützen'!$C:$C,0),MATCH(E$7,'kc-Wert für Stützen'!$A$8:$ES$8,0)+7,4),,))</f>
        <v>13958.38177802688</v>
      </c>
      <c r="F96" s="768">
        <f ca="1">INDIRECT("'kc-Wert für Stützen'!"&amp;SUBSTITUTE(ADDRESS(MATCH($A96,'kc-Wert für Stützen'!$C:$C,0),MATCH(F$7,'kc-Wert für Stützen'!$A$8:$ES$8,0)+7,4),,))</f>
        <v>13292.039383839965</v>
      </c>
      <c r="G96" s="768">
        <f ca="1">INDIRECT("'kc-Wert für Stützen'!"&amp;SUBSTITUTE(ADDRESS(MATCH($A96,'kc-Wert für Stützen'!$C:$C,0),MATCH(G$7,'kc-Wert für Stützen'!$A$8:$ES$8,0)+7,4),,))</f>
        <v>12652.247374963059</v>
      </c>
      <c r="H96" s="768">
        <f ca="1">INDIRECT("'kc-Wert für Stützen'!"&amp;SUBSTITUTE(ADDRESS(MATCH($A96,'kc-Wert für Stützen'!$C:$C,0),MATCH(H$7,'kc-Wert für Stützen'!$A$8:$ES$8,0)+7,4),,))</f>
        <v>12042.56289533034</v>
      </c>
      <c r="I96" s="768">
        <f ca="1">INDIRECT("'kc-Wert für Stützen'!"&amp;SUBSTITUTE(ADDRESS(MATCH($A96,'kc-Wert für Stützen'!$C:$C,0),MATCH(I$7,'kc-Wert für Stützen'!$A$8:$ES$8,0)+7,4),,))</f>
        <v>11464.669618203596</v>
      </c>
      <c r="J96" s="768">
        <f ca="1">INDIRECT("'kc-Wert für Stützen'!"&amp;SUBSTITUTE(ADDRESS(MATCH($A96,'kc-Wert für Stützen'!$C:$C,0),MATCH(J$7,'kc-Wert für Stützen'!$A$8:$ES$8,0)+7,4),,))</f>
        <v>10918.933051854507</v>
      </c>
      <c r="K96" s="768">
        <f ca="1">INDIRECT("'kc-Wert für Stützen'!"&amp;SUBSTITUTE(ADDRESS(MATCH($A96,'kc-Wert für Stützen'!$C:$C,0),MATCH(K$7,'kc-Wert für Stützen'!$A$8:$ES$8,0)+7,4),,))</f>
        <v>10404.837120413189</v>
      </c>
      <c r="L96" s="768">
        <f ca="1">INDIRECT("'kc-Wert für Stützen'!"&amp;SUBSTITUTE(ADDRESS(MATCH($A96,'kc-Wert für Stützen'!$C:$C,0),MATCH(L$7,'kc-Wert für Stützen'!$A$8:$ES$8,0)+7,4),,))</f>
        <v>9921.3059919665502</v>
      </c>
      <c r="M96" s="768">
        <f ca="1">INDIRECT("'kc-Wert für Stützen'!"&amp;SUBSTITUTE(ADDRESS(MATCH($A96,'kc-Wert für Stützen'!$C:$C,0),MATCH(M$7,'kc-Wert für Stützen'!$A$8:$ES$8,0)+7,4),,))</f>
        <v>9466.931791279123</v>
      </c>
      <c r="N96" s="768">
        <f ca="1">INDIRECT("'kc-Wert für Stützen'!"&amp;SUBSTITUTE(ADDRESS(MATCH($A96,'kc-Wert für Stützen'!$C:$C,0),MATCH(N$7,'kc-Wert für Stützen'!$A$8:$ES$8,0)+7,4),,))</f>
        <v>9040.1310823598014</v>
      </c>
      <c r="O96" s="768">
        <f ca="1">INDIRECT("'kc-Wert für Stützen'!"&amp;SUBSTITUTE(ADDRESS(MATCH($A96,'kc-Wert für Stützen'!$C:$C,0),MATCH(O$7,'kc-Wert für Stützen'!$A$8:$ES$8,0)+7,4),,))</f>
        <v>8639.2498101726724</v>
      </c>
      <c r="P96" s="768">
        <f ca="1">INDIRECT("'kc-Wert für Stützen'!"&amp;SUBSTITUTE(ADDRESS(MATCH($A96,'kc-Wert für Stützen'!$C:$C,0),MATCH(P$7,'kc-Wert für Stützen'!$A$8:$ES$8,0)+7,4),,))</f>
        <v>8262.6319481479022</v>
      </c>
      <c r="S96" s="772">
        <f t="shared" ca="1" si="31"/>
        <v>14645.21272649491</v>
      </c>
      <c r="T96" s="772">
        <f t="shared" ca="1" si="30"/>
        <v>14645.21272649491</v>
      </c>
      <c r="U96" s="772">
        <f t="shared" ca="1" si="30"/>
        <v>14645.21272649491</v>
      </c>
      <c r="V96" s="772">
        <f t="shared" ca="1" si="30"/>
        <v>13958.38177802688</v>
      </c>
      <c r="W96" s="772">
        <f t="shared" ca="1" si="30"/>
        <v>13292.039383839965</v>
      </c>
      <c r="X96" s="772">
        <f t="shared" ca="1" si="30"/>
        <v>12652.247374963059</v>
      </c>
      <c r="Y96" s="772">
        <f t="shared" ca="1" si="30"/>
        <v>12042.56289533034</v>
      </c>
      <c r="Z96" s="772">
        <f t="shared" ca="1" si="30"/>
        <v>14645.21272649491</v>
      </c>
      <c r="AA96" s="772">
        <f t="shared" ca="1" si="30"/>
        <v>14645.21272649491</v>
      </c>
      <c r="AB96" s="772">
        <f t="shared" ca="1" si="35"/>
        <v>13958.38177802688</v>
      </c>
      <c r="AC96" s="772">
        <f t="shared" ca="1" si="35"/>
        <v>13958.38177802688</v>
      </c>
      <c r="AD96" s="772">
        <f t="shared" ca="1" si="35"/>
        <v>13292.039383839965</v>
      </c>
      <c r="AE96" s="772">
        <f t="shared" ca="1" si="35"/>
        <v>13292.039383839965</v>
      </c>
      <c r="AF96" s="772">
        <f t="shared" ca="1" si="35"/>
        <v>12652.247374963059</v>
      </c>
      <c r="AG96" s="772">
        <f t="shared" ca="1" si="35"/>
        <v>12652.247374963059</v>
      </c>
      <c r="AH96" s="772">
        <f t="shared" ca="1" si="35"/>
        <v>12652.247374963059</v>
      </c>
      <c r="AI96" s="772">
        <f t="shared" ca="1" si="35"/>
        <v>14645.21272649491</v>
      </c>
      <c r="AJ96" s="772">
        <f t="shared" ca="1" si="35"/>
        <v>14645.21272649491</v>
      </c>
      <c r="AK96" s="772">
        <f t="shared" ca="1" si="35"/>
        <v>13958.38177802688</v>
      </c>
      <c r="AL96" s="772">
        <f t="shared" ca="1" si="35"/>
        <v>13958.38177802688</v>
      </c>
      <c r="AM96" s="772">
        <f t="shared" ca="1" si="35"/>
        <v>13292.039383839965</v>
      </c>
      <c r="AN96" s="772">
        <f t="shared" ca="1" si="35"/>
        <v>13292.039383839965</v>
      </c>
      <c r="AO96" s="772">
        <f t="shared" ca="1" si="35"/>
        <v>12652.247374963059</v>
      </c>
      <c r="AP96" s="772">
        <f t="shared" ca="1" si="35"/>
        <v>12652.247374963059</v>
      </c>
      <c r="AQ96" s="772">
        <f t="shared" ca="1" si="35"/>
        <v>12652.247374963059</v>
      </c>
      <c r="AR96" s="772">
        <f t="shared" ca="1" si="37"/>
        <v>14645.21272649491</v>
      </c>
      <c r="AS96" s="772">
        <f t="shared" ca="1" si="37"/>
        <v>14645.21272649491</v>
      </c>
      <c r="AT96" s="772">
        <f t="shared" ca="1" si="37"/>
        <v>13958.38177802688</v>
      </c>
      <c r="AU96" s="772">
        <f t="shared" ca="1" si="37"/>
        <v>13958.38177802688</v>
      </c>
      <c r="AV96" s="772">
        <f t="shared" ca="1" si="37"/>
        <v>13292.039383839965</v>
      </c>
      <c r="AW96" s="772">
        <f t="shared" ca="1" si="37"/>
        <v>13292.039383839965</v>
      </c>
      <c r="AX96" s="772">
        <f t="shared" ca="1" si="37"/>
        <v>12652.247374963059</v>
      </c>
      <c r="AY96" s="772">
        <f t="shared" ca="1" si="37"/>
        <v>12652.247374963059</v>
      </c>
      <c r="AZ96" s="772">
        <f t="shared" ca="1" si="37"/>
        <v>12652.247374963059</v>
      </c>
      <c r="BA96" s="772">
        <f t="shared" ca="1" si="37"/>
        <v>14645.21272649491</v>
      </c>
      <c r="BB96" s="772">
        <f t="shared" ca="1" si="37"/>
        <v>14645.21272649491</v>
      </c>
      <c r="BC96" s="772">
        <f t="shared" ca="1" si="37"/>
        <v>13958.38177802688</v>
      </c>
      <c r="BD96" s="772">
        <f t="shared" ca="1" si="37"/>
        <v>13292.039383839965</v>
      </c>
      <c r="BE96" s="772">
        <f t="shared" ca="1" si="37"/>
        <v>13292.039383839965</v>
      </c>
      <c r="BF96" s="772">
        <f t="shared" ca="1" si="37"/>
        <v>12652.247374963059</v>
      </c>
      <c r="BG96" s="772">
        <f t="shared" ca="1" si="37"/>
        <v>12652.247374963059</v>
      </c>
      <c r="BH96" s="772">
        <f t="shared" ca="1" si="32"/>
        <v>12042.56289533034</v>
      </c>
      <c r="BI96" s="772">
        <f t="shared" ca="1" si="32"/>
        <v>12042.56289533034</v>
      </c>
      <c r="BJ96" s="772">
        <f t="shared" ca="1" si="32"/>
        <v>13958.38177802688</v>
      </c>
      <c r="BK96" s="772">
        <f t="shared" ca="1" si="32"/>
        <v>13958.38177802688</v>
      </c>
      <c r="BL96" s="772">
        <f t="shared" ca="1" si="32"/>
        <v>13958.38177802688</v>
      </c>
      <c r="BM96" s="772">
        <f t="shared" ca="1" si="32"/>
        <v>13958.38177802688</v>
      </c>
      <c r="BN96" s="772">
        <f t="shared" ca="1" si="32"/>
        <v>12652.247374963059</v>
      </c>
      <c r="BO96" s="772">
        <f t="shared" ca="1" si="32"/>
        <v>12652.247374963059</v>
      </c>
      <c r="BP96" s="772">
        <f t="shared" ca="1" si="32"/>
        <v>12042.56289533034</v>
      </c>
      <c r="BQ96" s="772">
        <f t="shared" ca="1" si="32"/>
        <v>12042.56289533034</v>
      </c>
      <c r="BR96" s="772">
        <f t="shared" ca="1" si="32"/>
        <v>11464.669618203596</v>
      </c>
      <c r="BS96" s="772">
        <f t="shared" ca="1" si="32"/>
        <v>13958.38177802688</v>
      </c>
      <c r="BT96" s="772">
        <f t="shared" ca="1" si="32"/>
        <v>13958.38177802688</v>
      </c>
      <c r="BU96" s="772">
        <f t="shared" ca="1" si="32"/>
        <v>13958.38177802688</v>
      </c>
      <c r="BV96" s="772">
        <f t="shared" ca="1" si="32"/>
        <v>13292.039383839965</v>
      </c>
      <c r="BW96" s="772">
        <f t="shared" ca="1" si="32"/>
        <v>13292.039383839965</v>
      </c>
      <c r="BX96" s="772">
        <f t="shared" ca="1" si="36"/>
        <v>12042.56289533034</v>
      </c>
      <c r="BY96" s="772">
        <f t="shared" ca="1" si="36"/>
        <v>12042.56289533034</v>
      </c>
      <c r="BZ96" s="772">
        <f t="shared" ca="1" si="36"/>
        <v>11464.669618203596</v>
      </c>
      <c r="CA96" s="772">
        <f t="shared" ca="1" si="36"/>
        <v>11464.669618203596</v>
      </c>
      <c r="CB96" s="772">
        <f t="shared" ca="1" si="36"/>
        <v>13292.039383839965</v>
      </c>
      <c r="CC96" s="772">
        <f t="shared" ca="1" si="36"/>
        <v>13292.039383839965</v>
      </c>
      <c r="CD96" s="772">
        <f t="shared" ca="1" si="36"/>
        <v>13292.039383839965</v>
      </c>
      <c r="CE96" s="772">
        <f t="shared" ca="1" si="36"/>
        <v>13292.039383839965</v>
      </c>
      <c r="CF96" s="772">
        <f t="shared" ca="1" si="36"/>
        <v>12652.247374963059</v>
      </c>
      <c r="CG96" s="772">
        <f t="shared" ca="1" si="36"/>
        <v>12042.56289533034</v>
      </c>
      <c r="CH96" s="772">
        <f t="shared" ca="1" si="36"/>
        <v>11464.669618203596</v>
      </c>
      <c r="CI96" s="772">
        <f t="shared" ca="1" si="36"/>
        <v>11464.669618203596</v>
      </c>
      <c r="CJ96" s="772">
        <f t="shared" ca="1" si="36"/>
        <v>10918.933051854507</v>
      </c>
    </row>
    <row r="97" spans="1:88" ht="15" customHeight="1">
      <c r="A97" s="770">
        <f>'kc-Wert für Stützen'!C97</f>
        <v>149</v>
      </c>
      <c r="B97" s="768">
        <f ca="1">INDIRECT("'kc-Wert für Stützen'!"&amp;SUBSTITUTE(ADDRESS(MATCH($A97,'kc-Wert für Stützen'!$C:$C,0),MATCH(B$7,'kc-Wert für Stützen'!$A$8:$ES$8,0)+7,4),,))</f>
        <v>16389.438722827152</v>
      </c>
      <c r="C97" s="768">
        <f ca="1">INDIRECT("'kc-Wert für Stützen'!"&amp;SUBSTITUTE(ADDRESS(MATCH($A97,'kc-Wert für Stützen'!$C:$C,0),MATCH(C$7,'kc-Wert für Stützen'!$A$8:$ES$8,0)+7,4),,))</f>
        <v>15689.492992753218</v>
      </c>
      <c r="D97" s="768">
        <f ca="1">INDIRECT("'kc-Wert für Stützen'!"&amp;SUBSTITUTE(ADDRESS(MATCH($A97,'kc-Wert für Stützen'!$C:$C,0),MATCH(D$7,'kc-Wert für Stützen'!$A$8:$ES$8,0)+7,4),,))</f>
        <v>14985.702368037566</v>
      </c>
      <c r="E97" s="768">
        <f ca="1">INDIRECT("'kc-Wert für Stützen'!"&amp;SUBSTITUTE(ADDRESS(MATCH($A97,'kc-Wert für Stützen'!$C:$C,0),MATCH(E$7,'kc-Wert für Stützen'!$A$8:$ES$8,0)+7,4),,))</f>
        <v>14291.028084671607</v>
      </c>
      <c r="F97" s="768">
        <f ca="1">INDIRECT("'kc-Wert für Stützen'!"&amp;SUBSTITUTE(ADDRESS(MATCH($A97,'kc-Wert für Stützen'!$C:$C,0),MATCH(F$7,'kc-Wert für Stützen'!$A$8:$ES$8,0)+7,4),,))</f>
        <v>13615.213477112349</v>
      </c>
      <c r="G97" s="768">
        <f ca="1">INDIRECT("'kc-Wert für Stützen'!"&amp;SUBSTITUTE(ADDRESS(MATCH($A97,'kc-Wert für Stützen'!$C:$C,0),MATCH(G$7,'kc-Wert für Stützen'!$A$8:$ES$8,0)+7,4),,))</f>
        <v>12964.883308539938</v>
      </c>
      <c r="H97" s="768">
        <f ca="1">INDIRECT("'kc-Wert für Stützen'!"&amp;SUBSTITUTE(ADDRESS(MATCH($A97,'kc-Wert für Stützen'!$C:$C,0),MATCH(H$7,'kc-Wert für Stützen'!$A$8:$ES$8,0)+7,4),,))</f>
        <v>12344.058134764542</v>
      </c>
      <c r="I97" s="768">
        <f ca="1">INDIRECT("'kc-Wert für Stützen'!"&amp;SUBSTITUTE(ADDRESS(MATCH($A97,'kc-Wert für Stützen'!$C:$C,0),MATCH(I$7,'kc-Wert für Stützen'!$A$8:$ES$8,0)+7,4),,))</f>
        <v>11754.775844834594</v>
      </c>
      <c r="J97" s="768">
        <f ca="1">INDIRECT("'kc-Wert für Stützen'!"&amp;SUBSTITUTE(ADDRESS(MATCH($A97,'kc-Wert für Stützen'!$C:$C,0),MATCH(J$7,'kc-Wert für Stützen'!$A$8:$ES$8,0)+7,4),,))</f>
        <v>11197.65885744598</v>
      </c>
      <c r="K97" s="768">
        <f ca="1">INDIRECT("'kc-Wert für Stützen'!"&amp;SUBSTITUTE(ADDRESS(MATCH($A97,'kc-Wert für Stützen'!$C:$C,0),MATCH(K$7,'kc-Wert für Stützen'!$A$8:$ES$8,0)+7,4),,))</f>
        <v>10672.369625004878</v>
      </c>
      <c r="L97" s="768">
        <f ca="1">INDIRECT("'kc-Wert für Stützen'!"&amp;SUBSTITUTE(ADDRESS(MATCH($A97,'kc-Wert für Stützen'!$C:$C,0),MATCH(L$7,'kc-Wert für Stützen'!$A$8:$ES$8,0)+7,4),,))</f>
        <v>10177.951217716434</v>
      </c>
      <c r="M97" s="768">
        <f ca="1">INDIRECT("'kc-Wert für Stützen'!"&amp;SUBSTITUTE(ADDRESS(MATCH($A97,'kc-Wert für Stützen'!$C:$C,0),MATCH(M$7,'kc-Wert für Stützen'!$A$8:$ES$8,0)+7,4),,))</f>
        <v>9713.0708858733942</v>
      </c>
      <c r="N97" s="768">
        <f ca="1">INDIRECT("'kc-Wert für Stützen'!"&amp;SUBSTITUTE(ADDRESS(MATCH($A97,'kc-Wert für Stützen'!$C:$C,0),MATCH(N$7,'kc-Wert für Stützen'!$A$8:$ES$8,0)+7,4),,))</f>
        <v>9276.18894339695</v>
      </c>
      <c r="O97" s="768">
        <f ca="1">INDIRECT("'kc-Wert für Stützen'!"&amp;SUBSTITUTE(ADDRESS(MATCH($A97,'kc-Wert für Stützen'!$C:$C,0),MATCH(O$7,'kc-Wert für Stützen'!$A$8:$ES$8,0)+7,4),,))</f>
        <v>8865.6730105202114</v>
      </c>
      <c r="P97" s="768">
        <f ca="1">INDIRECT("'kc-Wert für Stützen'!"&amp;SUBSTITUTE(ADDRESS(MATCH($A97,'kc-Wert für Stützen'!$C:$C,0),MATCH(P$7,'kc-Wert für Stützen'!$A$8:$ES$8,0)+7,4),,))</f>
        <v>8479.8734666555811</v>
      </c>
      <c r="S97" s="772">
        <f t="shared" ca="1" si="31"/>
        <v>14985.702368037566</v>
      </c>
      <c r="T97" s="772">
        <f t="shared" ca="1" si="30"/>
        <v>14985.702368037566</v>
      </c>
      <c r="U97" s="772">
        <f t="shared" ca="1" si="30"/>
        <v>14985.702368037566</v>
      </c>
      <c r="V97" s="772">
        <f t="shared" ca="1" si="30"/>
        <v>14291.028084671607</v>
      </c>
      <c r="W97" s="772">
        <f t="shared" ca="1" si="30"/>
        <v>13615.213477112349</v>
      </c>
      <c r="X97" s="772">
        <f t="shared" ca="1" si="30"/>
        <v>12964.883308539938</v>
      </c>
      <c r="Y97" s="772">
        <f t="shared" ca="1" si="30"/>
        <v>12344.058134764542</v>
      </c>
      <c r="Z97" s="772">
        <f t="shared" ca="1" si="30"/>
        <v>14985.702368037566</v>
      </c>
      <c r="AA97" s="772">
        <f t="shared" ca="1" si="30"/>
        <v>14985.702368037566</v>
      </c>
      <c r="AB97" s="772">
        <f t="shared" ca="1" si="35"/>
        <v>14291.028084671607</v>
      </c>
      <c r="AC97" s="772">
        <f t="shared" ca="1" si="35"/>
        <v>14291.028084671607</v>
      </c>
      <c r="AD97" s="772">
        <f t="shared" ca="1" si="35"/>
        <v>13615.213477112349</v>
      </c>
      <c r="AE97" s="772">
        <f t="shared" ca="1" si="35"/>
        <v>13615.213477112349</v>
      </c>
      <c r="AF97" s="772">
        <f t="shared" ca="1" si="35"/>
        <v>12964.883308539938</v>
      </c>
      <c r="AG97" s="772">
        <f t="shared" ca="1" si="35"/>
        <v>12964.883308539938</v>
      </c>
      <c r="AH97" s="772">
        <f t="shared" ca="1" si="35"/>
        <v>12964.883308539938</v>
      </c>
      <c r="AI97" s="772">
        <f t="shared" ca="1" si="35"/>
        <v>14985.702368037566</v>
      </c>
      <c r="AJ97" s="772">
        <f t="shared" ca="1" si="35"/>
        <v>14985.702368037566</v>
      </c>
      <c r="AK97" s="772">
        <f t="shared" ca="1" si="35"/>
        <v>14291.028084671607</v>
      </c>
      <c r="AL97" s="772">
        <f t="shared" ca="1" si="35"/>
        <v>14291.028084671607</v>
      </c>
      <c r="AM97" s="772">
        <f t="shared" ca="1" si="35"/>
        <v>13615.213477112349</v>
      </c>
      <c r="AN97" s="772">
        <f t="shared" ca="1" si="35"/>
        <v>13615.213477112349</v>
      </c>
      <c r="AO97" s="772">
        <f t="shared" ca="1" si="35"/>
        <v>12964.883308539938</v>
      </c>
      <c r="AP97" s="772">
        <f t="shared" ca="1" si="35"/>
        <v>12964.883308539938</v>
      </c>
      <c r="AQ97" s="772">
        <f t="shared" ca="1" si="35"/>
        <v>12964.883308539938</v>
      </c>
      <c r="AR97" s="772">
        <f t="shared" ca="1" si="37"/>
        <v>14985.702368037566</v>
      </c>
      <c r="AS97" s="772">
        <f t="shared" ca="1" si="37"/>
        <v>14985.702368037566</v>
      </c>
      <c r="AT97" s="772">
        <f t="shared" ca="1" si="37"/>
        <v>14291.028084671607</v>
      </c>
      <c r="AU97" s="772">
        <f t="shared" ca="1" si="37"/>
        <v>14291.028084671607</v>
      </c>
      <c r="AV97" s="772">
        <f t="shared" ca="1" si="37"/>
        <v>13615.213477112349</v>
      </c>
      <c r="AW97" s="772">
        <f t="shared" ca="1" si="37"/>
        <v>13615.213477112349</v>
      </c>
      <c r="AX97" s="772">
        <f t="shared" ca="1" si="37"/>
        <v>12964.883308539938</v>
      </c>
      <c r="AY97" s="772">
        <f t="shared" ca="1" si="37"/>
        <v>12964.883308539938</v>
      </c>
      <c r="AZ97" s="772">
        <f t="shared" ca="1" si="37"/>
        <v>12964.883308539938</v>
      </c>
      <c r="BA97" s="772">
        <f t="shared" ca="1" si="37"/>
        <v>14985.702368037566</v>
      </c>
      <c r="BB97" s="772">
        <f t="shared" ca="1" si="37"/>
        <v>14985.702368037566</v>
      </c>
      <c r="BC97" s="772">
        <f t="shared" ca="1" si="37"/>
        <v>14291.028084671607</v>
      </c>
      <c r="BD97" s="772">
        <f t="shared" ca="1" si="37"/>
        <v>13615.213477112349</v>
      </c>
      <c r="BE97" s="772">
        <f t="shared" ca="1" si="37"/>
        <v>13615.213477112349</v>
      </c>
      <c r="BF97" s="772">
        <f t="shared" ca="1" si="37"/>
        <v>12964.883308539938</v>
      </c>
      <c r="BG97" s="772">
        <f t="shared" ca="1" si="37"/>
        <v>12964.883308539938</v>
      </c>
      <c r="BH97" s="772">
        <f t="shared" ca="1" si="32"/>
        <v>12344.058134764542</v>
      </c>
      <c r="BI97" s="772">
        <f t="shared" ca="1" si="32"/>
        <v>12344.058134764542</v>
      </c>
      <c r="BJ97" s="772">
        <f t="shared" ca="1" si="32"/>
        <v>14291.028084671607</v>
      </c>
      <c r="BK97" s="772">
        <f t="shared" ca="1" si="32"/>
        <v>14291.028084671607</v>
      </c>
      <c r="BL97" s="772">
        <f t="shared" ca="1" si="32"/>
        <v>14291.028084671607</v>
      </c>
      <c r="BM97" s="772">
        <f t="shared" ca="1" si="32"/>
        <v>14291.028084671607</v>
      </c>
      <c r="BN97" s="772">
        <f t="shared" ca="1" si="32"/>
        <v>12964.883308539938</v>
      </c>
      <c r="BO97" s="772">
        <f t="shared" ca="1" si="32"/>
        <v>12964.883308539938</v>
      </c>
      <c r="BP97" s="772">
        <f t="shared" ca="1" si="32"/>
        <v>12344.058134764542</v>
      </c>
      <c r="BQ97" s="772">
        <f t="shared" ca="1" si="32"/>
        <v>12344.058134764542</v>
      </c>
      <c r="BR97" s="772">
        <f t="shared" ca="1" si="32"/>
        <v>11754.775844834594</v>
      </c>
      <c r="BS97" s="772">
        <f t="shared" ca="1" si="32"/>
        <v>14291.028084671607</v>
      </c>
      <c r="BT97" s="772">
        <f t="shared" ca="1" si="32"/>
        <v>14291.028084671607</v>
      </c>
      <c r="BU97" s="772">
        <f t="shared" ca="1" si="32"/>
        <v>14291.028084671607</v>
      </c>
      <c r="BV97" s="772">
        <f t="shared" ca="1" si="32"/>
        <v>13615.213477112349</v>
      </c>
      <c r="BW97" s="772">
        <f t="shared" ca="1" si="32"/>
        <v>13615.213477112349</v>
      </c>
      <c r="BX97" s="772">
        <f t="shared" ca="1" si="36"/>
        <v>12344.058134764542</v>
      </c>
      <c r="BY97" s="772">
        <f t="shared" ca="1" si="36"/>
        <v>12344.058134764542</v>
      </c>
      <c r="BZ97" s="772">
        <f t="shared" ca="1" si="36"/>
        <v>11754.775844834594</v>
      </c>
      <c r="CA97" s="772">
        <f t="shared" ca="1" si="36"/>
        <v>11754.775844834594</v>
      </c>
      <c r="CB97" s="772">
        <f t="shared" ca="1" si="36"/>
        <v>13615.213477112349</v>
      </c>
      <c r="CC97" s="772">
        <f t="shared" ca="1" si="36"/>
        <v>13615.213477112349</v>
      </c>
      <c r="CD97" s="772">
        <f t="shared" ca="1" si="36"/>
        <v>13615.213477112349</v>
      </c>
      <c r="CE97" s="772">
        <f t="shared" ca="1" si="36"/>
        <v>13615.213477112349</v>
      </c>
      <c r="CF97" s="772">
        <f t="shared" ca="1" si="36"/>
        <v>12964.883308539938</v>
      </c>
      <c r="CG97" s="772">
        <f t="shared" ca="1" si="36"/>
        <v>12344.058134764542</v>
      </c>
      <c r="CH97" s="772">
        <f t="shared" ca="1" si="36"/>
        <v>11754.775844834594</v>
      </c>
      <c r="CI97" s="772">
        <f t="shared" ca="1" si="36"/>
        <v>11754.775844834594</v>
      </c>
      <c r="CJ97" s="772">
        <f t="shared" ca="1" si="36"/>
        <v>11197.65885744598</v>
      </c>
    </row>
    <row r="98" spans="1:88" ht="15" customHeight="1">
      <c r="A98" s="770">
        <f>'kc-Wert für Stützen'!C98</f>
        <v>150</v>
      </c>
      <c r="B98" s="768">
        <f ca="1">INDIRECT("'kc-Wert für Stützen'!"&amp;SUBSTITUTE(ADDRESS(MATCH($A98,'kc-Wert für Stützen'!$C:$C,0),MATCH(B$7,'kc-Wert für Stützen'!$A$8:$ES$8,0)+7,4),,))</f>
        <v>16740.915359677892</v>
      </c>
      <c r="C98" s="768">
        <f ca="1">INDIRECT("'kc-Wert für Stützen'!"&amp;SUBSTITUTE(ADDRESS(MATCH($A98,'kc-Wert für Stützen'!$C:$C,0),MATCH(C$7,'kc-Wert für Stützen'!$A$8:$ES$8,0)+7,4),,))</f>
        <v>16038.704571068429</v>
      </c>
      <c r="D98" s="768">
        <f ca="1">INDIRECT("'kc-Wert für Stützen'!"&amp;SUBSTITUTE(ADDRESS(MATCH($A98,'kc-Wert für Stützen'!$C:$C,0),MATCH(D$7,'kc-Wert für Stützen'!$A$8:$ES$8,0)+7,4),,))</f>
        <v>15329.817440278555</v>
      </c>
      <c r="E98" s="768">
        <f ca="1">INDIRECT("'kc-Wert für Stützen'!"&amp;SUBSTITUTE(ADDRESS(MATCH($A98,'kc-Wert für Stützen'!$C:$C,0),MATCH(E$7,'kc-Wert für Stützen'!$A$8:$ES$8,0)+7,4),,))</f>
        <v>14627.70671608068</v>
      </c>
      <c r="F98" s="768">
        <f ca="1">INDIRECT("'kc-Wert für Stützen'!"&amp;SUBSTITUTE(ADDRESS(MATCH($A98,'kc-Wert für Stützen'!$C:$C,0),MATCH(F$7,'kc-Wert für Stützen'!$A$8:$ES$8,0)+7,4),,))</f>
        <v>13942.713230452558</v>
      </c>
      <c r="G98" s="768">
        <f ca="1">INDIRECT("'kc-Wert für Stützen'!"&amp;SUBSTITUTE(ADDRESS(MATCH($A98,'kc-Wert für Stützen'!$C:$C,0),MATCH(G$7,'kc-Wert für Stützen'!$A$8:$ES$8,0)+7,4),,))</f>
        <v>13282.033122054307</v>
      </c>
      <c r="H98" s="768">
        <f ca="1">INDIRECT("'kc-Wert für Stützen'!"&amp;SUBSTITUTE(ADDRESS(MATCH($A98,'kc-Wert für Stützen'!$C:$C,0),MATCH(H$7,'kc-Wert für Stützen'!$A$8:$ES$8,0)+7,4),,))</f>
        <v>12650.16748067863</v>
      </c>
      <c r="I98" s="768">
        <f ca="1">INDIRECT("'kc-Wert für Stützen'!"&amp;SUBSTITUTE(ADDRESS(MATCH($A98,'kc-Wert für Stützen'!$C:$C,0),MATCH(I$7,'kc-Wert für Stützen'!$A$8:$ES$8,0)+7,4),,))</f>
        <v>12049.527262485988</v>
      </c>
      <c r="J98" s="768">
        <f ca="1">INDIRECT("'kc-Wert für Stützen'!"&amp;SUBSTITUTE(ADDRESS(MATCH($A98,'kc-Wert für Stützen'!$C:$C,0),MATCH(J$7,'kc-Wert für Stützen'!$A$8:$ES$8,0)+7,4),,))</f>
        <v>11481.008933988522</v>
      </c>
      <c r="K98" s="768">
        <f ca="1">INDIRECT("'kc-Wert für Stützen'!"&amp;SUBSTITUTE(ADDRESS(MATCH($A98,'kc-Wert für Stützen'!$C:$C,0),MATCH(K$7,'kc-Wert für Stützen'!$A$8:$ES$8,0)+7,4),,))</f>
        <v>10944.467678234418</v>
      </c>
      <c r="L98" s="768">
        <f ca="1">INDIRECT("'kc-Wert für Stützen'!"&amp;SUBSTITUTE(ADDRESS(MATCH($A98,'kc-Wert für Stützen'!$C:$C,0),MATCH(L$7,'kc-Wert für Stützen'!$A$8:$ES$8,0)+7,4),,))</f>
        <v>10439.076645699321</v>
      </c>
      <c r="M98" s="768">
        <f ca="1">INDIRECT("'kc-Wert für Stützen'!"&amp;SUBSTITUTE(ADDRESS(MATCH($A98,'kc-Wert für Stützen'!$C:$C,0),MATCH(M$7,'kc-Wert für Stützen'!$A$8:$ES$8,0)+7,4),,))</f>
        <v>9963.5867421018993</v>
      </c>
      <c r="N98" s="768">
        <f ca="1">INDIRECT("'kc-Wert für Stützen'!"&amp;SUBSTITUTE(ADDRESS(MATCH($A98,'kc-Wert für Stützen'!$C:$C,0),MATCH(N$7,'kc-Wert für Stützen'!$A$8:$ES$8,0)+7,4),,))</f>
        <v>9516.508413471136</v>
      </c>
      <c r="O98" s="768">
        <f ca="1">INDIRECT("'kc-Wert für Stützen'!"&amp;SUBSTITUTE(ADDRESS(MATCH($A98,'kc-Wert für Stützen'!$C:$C,0),MATCH(O$7,'kc-Wert für Stützen'!$A$8:$ES$8,0)+7,4),,))</f>
        <v>9096.2356662158963</v>
      </c>
      <c r="P98" s="768">
        <f ca="1">INDIRECT("'kc-Wert für Stützen'!"&amp;SUBSTITUTE(ADDRESS(MATCH($A98,'kc-Wert für Stützen'!$C:$C,0),MATCH(P$7,'kc-Wert für Stützen'!$A$8:$ES$8,0)+7,4),,))</f>
        <v>8701.1287262188835</v>
      </c>
      <c r="S98" s="772">
        <f t="shared" ca="1" si="31"/>
        <v>15329.817440278555</v>
      </c>
      <c r="T98" s="772">
        <f t="shared" ca="1" si="30"/>
        <v>15329.817440278555</v>
      </c>
      <c r="U98" s="772">
        <f t="shared" ca="1" si="30"/>
        <v>15329.817440278555</v>
      </c>
      <c r="V98" s="772">
        <f t="shared" ca="1" si="30"/>
        <v>14627.70671608068</v>
      </c>
      <c r="W98" s="772">
        <f t="shared" ca="1" si="30"/>
        <v>13942.713230452558</v>
      </c>
      <c r="X98" s="772">
        <f t="shared" ca="1" si="30"/>
        <v>13282.033122054307</v>
      </c>
      <c r="Y98" s="772">
        <f t="shared" ca="1" si="30"/>
        <v>12650.16748067863</v>
      </c>
      <c r="Z98" s="772">
        <f t="shared" ca="1" si="30"/>
        <v>15329.817440278555</v>
      </c>
      <c r="AA98" s="772">
        <f t="shared" ca="1" si="30"/>
        <v>15329.817440278555</v>
      </c>
      <c r="AB98" s="772">
        <f t="shared" ca="1" si="35"/>
        <v>14627.70671608068</v>
      </c>
      <c r="AC98" s="772">
        <f t="shared" ca="1" si="35"/>
        <v>14627.70671608068</v>
      </c>
      <c r="AD98" s="772">
        <f t="shared" ca="1" si="35"/>
        <v>13942.713230452558</v>
      </c>
      <c r="AE98" s="772">
        <f t="shared" ca="1" si="35"/>
        <v>13942.713230452558</v>
      </c>
      <c r="AF98" s="772">
        <f t="shared" ca="1" si="35"/>
        <v>13282.033122054307</v>
      </c>
      <c r="AG98" s="772">
        <f t="shared" ca="1" si="35"/>
        <v>13282.033122054307</v>
      </c>
      <c r="AH98" s="772">
        <f t="shared" ca="1" si="35"/>
        <v>13282.033122054307</v>
      </c>
      <c r="AI98" s="772">
        <f t="shared" ca="1" si="35"/>
        <v>15329.817440278555</v>
      </c>
      <c r="AJ98" s="772">
        <f t="shared" ca="1" si="35"/>
        <v>15329.817440278555</v>
      </c>
      <c r="AK98" s="772">
        <f t="shared" ca="1" si="35"/>
        <v>14627.70671608068</v>
      </c>
      <c r="AL98" s="772">
        <f t="shared" ca="1" si="35"/>
        <v>14627.70671608068</v>
      </c>
      <c r="AM98" s="772">
        <f t="shared" ca="1" si="35"/>
        <v>13942.713230452558</v>
      </c>
      <c r="AN98" s="772">
        <f t="shared" ca="1" si="35"/>
        <v>13942.713230452558</v>
      </c>
      <c r="AO98" s="772">
        <f t="shared" ca="1" si="35"/>
        <v>13282.033122054307</v>
      </c>
      <c r="AP98" s="772">
        <f t="shared" ca="1" si="35"/>
        <v>13282.033122054307</v>
      </c>
      <c r="AQ98" s="772">
        <f t="shared" ca="1" si="35"/>
        <v>13282.033122054307</v>
      </c>
      <c r="AR98" s="772">
        <f t="shared" ca="1" si="37"/>
        <v>15329.817440278555</v>
      </c>
      <c r="AS98" s="772">
        <f t="shared" ca="1" si="37"/>
        <v>15329.817440278555</v>
      </c>
      <c r="AT98" s="772">
        <f t="shared" ca="1" si="37"/>
        <v>14627.70671608068</v>
      </c>
      <c r="AU98" s="772">
        <f t="shared" ca="1" si="37"/>
        <v>14627.70671608068</v>
      </c>
      <c r="AV98" s="772">
        <f t="shared" ca="1" si="37"/>
        <v>13942.713230452558</v>
      </c>
      <c r="AW98" s="772">
        <f t="shared" ca="1" si="37"/>
        <v>13942.713230452558</v>
      </c>
      <c r="AX98" s="772">
        <f t="shared" ca="1" si="37"/>
        <v>13282.033122054307</v>
      </c>
      <c r="AY98" s="772">
        <f t="shared" ca="1" si="37"/>
        <v>13282.033122054307</v>
      </c>
      <c r="AZ98" s="772">
        <f t="shared" ca="1" si="37"/>
        <v>13282.033122054307</v>
      </c>
      <c r="BA98" s="772">
        <f t="shared" ca="1" si="37"/>
        <v>15329.817440278555</v>
      </c>
      <c r="BB98" s="772">
        <f t="shared" ca="1" si="37"/>
        <v>15329.817440278555</v>
      </c>
      <c r="BC98" s="772">
        <f t="shared" ca="1" si="37"/>
        <v>14627.70671608068</v>
      </c>
      <c r="BD98" s="772">
        <f t="shared" ca="1" si="37"/>
        <v>13942.713230452558</v>
      </c>
      <c r="BE98" s="772">
        <f t="shared" ca="1" si="37"/>
        <v>13942.713230452558</v>
      </c>
      <c r="BF98" s="772">
        <f t="shared" ca="1" si="37"/>
        <v>13282.033122054307</v>
      </c>
      <c r="BG98" s="772">
        <f t="shared" ca="1" si="37"/>
        <v>13282.033122054307</v>
      </c>
      <c r="BH98" s="772">
        <f t="shared" ca="1" si="32"/>
        <v>12650.16748067863</v>
      </c>
      <c r="BI98" s="772">
        <f t="shared" ca="1" si="32"/>
        <v>12650.16748067863</v>
      </c>
      <c r="BJ98" s="772">
        <f t="shared" ca="1" si="32"/>
        <v>14627.70671608068</v>
      </c>
      <c r="BK98" s="772">
        <f t="shared" ca="1" si="32"/>
        <v>14627.70671608068</v>
      </c>
      <c r="BL98" s="772">
        <f t="shared" ca="1" si="32"/>
        <v>14627.70671608068</v>
      </c>
      <c r="BM98" s="772">
        <f t="shared" ca="1" si="32"/>
        <v>14627.70671608068</v>
      </c>
      <c r="BN98" s="772">
        <f t="shared" ca="1" si="32"/>
        <v>13282.033122054307</v>
      </c>
      <c r="BO98" s="772">
        <f t="shared" ca="1" si="32"/>
        <v>13282.033122054307</v>
      </c>
      <c r="BP98" s="772">
        <f t="shared" ca="1" si="32"/>
        <v>12650.16748067863</v>
      </c>
      <c r="BQ98" s="772">
        <f t="shared" ca="1" si="32"/>
        <v>12650.16748067863</v>
      </c>
      <c r="BR98" s="772">
        <f t="shared" ca="1" si="32"/>
        <v>12049.527262485988</v>
      </c>
      <c r="BS98" s="772">
        <f t="shared" ca="1" si="32"/>
        <v>14627.70671608068</v>
      </c>
      <c r="BT98" s="772">
        <f t="shared" ca="1" si="32"/>
        <v>14627.70671608068</v>
      </c>
      <c r="BU98" s="772">
        <f t="shared" ca="1" si="32"/>
        <v>14627.70671608068</v>
      </c>
      <c r="BV98" s="772">
        <f t="shared" ca="1" si="32"/>
        <v>13942.713230452558</v>
      </c>
      <c r="BW98" s="772">
        <f t="shared" ca="1" si="32"/>
        <v>13942.713230452558</v>
      </c>
      <c r="BX98" s="772">
        <f t="shared" ca="1" si="36"/>
        <v>12650.16748067863</v>
      </c>
      <c r="BY98" s="772">
        <f t="shared" ca="1" si="36"/>
        <v>12650.16748067863</v>
      </c>
      <c r="BZ98" s="772">
        <f t="shared" ca="1" si="36"/>
        <v>12049.527262485988</v>
      </c>
      <c r="CA98" s="772">
        <f t="shared" ca="1" si="36"/>
        <v>12049.527262485988</v>
      </c>
      <c r="CB98" s="772">
        <f t="shared" ca="1" si="36"/>
        <v>13942.713230452558</v>
      </c>
      <c r="CC98" s="772">
        <f t="shared" ca="1" si="36"/>
        <v>13942.713230452558</v>
      </c>
      <c r="CD98" s="772">
        <f t="shared" ca="1" si="36"/>
        <v>13942.713230452558</v>
      </c>
      <c r="CE98" s="772">
        <f t="shared" ca="1" si="36"/>
        <v>13942.713230452558</v>
      </c>
      <c r="CF98" s="772">
        <f t="shared" ca="1" si="36"/>
        <v>13282.033122054307</v>
      </c>
      <c r="CG98" s="772">
        <f t="shared" ca="1" si="36"/>
        <v>12650.16748067863</v>
      </c>
      <c r="CH98" s="772">
        <f t="shared" ca="1" si="36"/>
        <v>12049.527262485988</v>
      </c>
      <c r="CI98" s="772">
        <f t="shared" ca="1" si="36"/>
        <v>12049.527262485988</v>
      </c>
      <c r="CJ98" s="772">
        <f t="shared" ca="1" si="36"/>
        <v>11481.008933988522</v>
      </c>
    </row>
    <row r="99" spans="1:88" ht="15" customHeight="1">
      <c r="A99" s="770">
        <f>'kc-Wert für Stützen'!C99</f>
        <v>151</v>
      </c>
      <c r="B99" s="768">
        <f ca="1">INDIRECT("'kc-Wert für Stützen'!"&amp;SUBSTITUTE(ADDRESS(MATCH($A99,'kc-Wert für Stützen'!$C:$C,0),MATCH(B$7,'kc-Wert für Stützen'!$A$8:$ES$8,0)+7,4),,))</f>
        <v>17094.829856147964</v>
      </c>
      <c r="C99" s="768">
        <f ca="1">INDIRECT("'kc-Wert für Stützen'!"&amp;SUBSTITUTE(ADDRESS(MATCH($A99,'kc-Wert für Stützen'!$C:$C,0),MATCH(C$7,'kc-Wert für Stützen'!$A$8:$ES$8,0)+7,4),,))</f>
        <v>16390.924691891443</v>
      </c>
      <c r="D99" s="768">
        <f ca="1">INDIRECT("'kc-Wert für Stützen'!"&amp;SUBSTITUTE(ADDRESS(MATCH($A99,'kc-Wert für Stützen'!$C:$C,0),MATCH(D$7,'kc-Wert für Stützen'!$A$8:$ES$8,0)+7,4),,))</f>
        <v>15677.463425805525</v>
      </c>
      <c r="E99" s="768">
        <f ca="1">INDIRECT("'kc-Wert für Stützen'!"&amp;SUBSTITUTE(ADDRESS(MATCH($A99,'kc-Wert für Stützen'!$C:$C,0),MATCH(E$7,'kc-Wert für Stützen'!$A$8:$ES$8,0)+7,4),,))</f>
        <v>14968.342899884252</v>
      </c>
      <c r="F99" s="768">
        <f ca="1">INDIRECT("'kc-Wert für Stützen'!"&amp;SUBSTITUTE(ADDRESS(MATCH($A99,'kc-Wert für Stützen'!$C:$C,0),MATCH(F$7,'kc-Wert für Stützen'!$A$8:$ES$8,0)+7,4),,))</f>
        <v>14274.485370313425</v>
      </c>
      <c r="G99" s="768">
        <f ca="1">INDIRECT("'kc-Wert für Stützen'!"&amp;SUBSTITUTE(ADDRESS(MATCH($A99,'kc-Wert für Stützen'!$C:$C,0),MATCH(G$7,'kc-Wert für Stützen'!$A$8:$ES$8,0)+7,4),,))</f>
        <v>13603.663620619884</v>
      </c>
      <c r="H99" s="768">
        <f ca="1">INDIRECT("'kc-Wert für Stützen'!"&amp;SUBSTITUTE(ADDRESS(MATCH($A99,'kc-Wert für Stützen'!$C:$C,0),MATCH(H$7,'kc-Wert für Stützen'!$A$8:$ES$8,0)+7,4),,))</f>
        <v>12960.874942325348</v>
      </c>
      <c r="I99" s="768">
        <f ca="1">INDIRECT("'kc-Wert für Stützen'!"&amp;SUBSTITUTE(ADDRESS(MATCH($A99,'kc-Wert für Stützen'!$C:$C,0),MATCH(I$7,'kc-Wert für Stützen'!$A$8:$ES$8,0)+7,4),,))</f>
        <v>12348.921859124472</v>
      </c>
      <c r="J99" s="768">
        <f ca="1">INDIRECT("'kc-Wert für Stützen'!"&amp;SUBSTITUTE(ADDRESS(MATCH($A99,'kc-Wert für Stützen'!$C:$C,0),MATCH(J$7,'kc-Wert für Stützen'!$A$8:$ES$8,0)+7,4),,))</f>
        <v>11768.992236097596</v>
      </c>
      <c r="K99" s="768">
        <f ca="1">INDIRECT("'kc-Wert für Stützen'!"&amp;SUBSTITUTE(ADDRESS(MATCH($A99,'kc-Wert für Stützen'!$C:$C,0),MATCH(K$7,'kc-Wert für Stützen'!$A$8:$ES$8,0)+7,4),,))</f>
        <v>11221.148623914298</v>
      </c>
      <c r="L99" s="768">
        <f ca="1">INDIRECT("'kc-Wert für Stützen'!"&amp;SUBSTITUTE(ADDRESS(MATCH($A99,'kc-Wert für Stützen'!$C:$C,0),MATCH(L$7,'kc-Wert für Stützen'!$A$8:$ES$8,0)+7,4),,))</f>
        <v>10704.705906096171</v>
      </c>
      <c r="M99" s="768">
        <f ca="1">INDIRECT("'kc-Wert für Stützen'!"&amp;SUBSTITUTE(ADDRESS(MATCH($A99,'kc-Wert für Stützen'!$C:$C,0),MATCH(M$7,'kc-Wert für Stützen'!$A$8:$ES$8,0)+7,4),,))</f>
        <v>10218.507607547639</v>
      </c>
      <c r="N99" s="768">
        <f ca="1">INDIRECT("'kc-Wert für Stützen'!"&amp;SUBSTITUTE(ADDRESS(MATCH($A99,'kc-Wert für Stützen'!$C:$C,0),MATCH(N$7,'kc-Wert für Stützen'!$A$8:$ES$8,0)+7,4),,))</f>
        <v>9761.1210544089772</v>
      </c>
      <c r="O99" s="768">
        <f ca="1">INDIRECT("'kc-Wert für Stützen'!"&amp;SUBSTITUTE(ADDRESS(MATCH($A99,'kc-Wert für Stützen'!$C:$C,0),MATCH(O$7,'kc-Wert für Stützen'!$A$8:$ES$8,0)+7,4),,))</f>
        <v>9330.9716457607265</v>
      </c>
      <c r="P99" s="768">
        <f ca="1">INDIRECT("'kc-Wert für Stützen'!"&amp;SUBSTITUTE(ADDRESS(MATCH($A99,'kc-Wert für Stützen'!$C:$C,0),MATCH(P$7,'kc-Wert für Stützen'!$A$8:$ES$8,0)+7,4),,))</f>
        <v>8926.4331277302535</v>
      </c>
      <c r="S99" s="772">
        <f t="shared" ca="1" si="31"/>
        <v>15677.463425805525</v>
      </c>
      <c r="T99" s="772">
        <f t="shared" ca="1" si="30"/>
        <v>15677.463425805525</v>
      </c>
      <c r="U99" s="772">
        <f t="shared" ca="1" si="30"/>
        <v>15677.463425805525</v>
      </c>
      <c r="V99" s="772">
        <f t="shared" ca="1" si="30"/>
        <v>14968.342899884252</v>
      </c>
      <c r="W99" s="772">
        <f t="shared" ca="1" si="30"/>
        <v>14274.485370313425</v>
      </c>
      <c r="X99" s="772">
        <f t="shared" ca="1" si="30"/>
        <v>13603.663620619884</v>
      </c>
      <c r="Y99" s="772">
        <f t="shared" ca="1" si="30"/>
        <v>12960.874942325348</v>
      </c>
      <c r="Z99" s="772">
        <f t="shared" ca="1" si="30"/>
        <v>15677.463425805525</v>
      </c>
      <c r="AA99" s="772">
        <f t="shared" ca="1" si="30"/>
        <v>15677.463425805525</v>
      </c>
      <c r="AB99" s="772">
        <f t="shared" ca="1" si="35"/>
        <v>14968.342899884252</v>
      </c>
      <c r="AC99" s="772">
        <f t="shared" ca="1" si="35"/>
        <v>14968.342899884252</v>
      </c>
      <c r="AD99" s="772">
        <f t="shared" ca="1" si="35"/>
        <v>14274.485370313425</v>
      </c>
      <c r="AE99" s="772">
        <f t="shared" ca="1" si="35"/>
        <v>14274.485370313425</v>
      </c>
      <c r="AF99" s="772">
        <f t="shared" ca="1" si="35"/>
        <v>13603.663620619884</v>
      </c>
      <c r="AG99" s="772">
        <f t="shared" ca="1" si="35"/>
        <v>13603.663620619884</v>
      </c>
      <c r="AH99" s="772">
        <f t="shared" ca="1" si="35"/>
        <v>13603.663620619884</v>
      </c>
      <c r="AI99" s="772">
        <f t="shared" ca="1" si="35"/>
        <v>15677.463425805525</v>
      </c>
      <c r="AJ99" s="772">
        <f t="shared" ca="1" si="35"/>
        <v>15677.463425805525</v>
      </c>
      <c r="AK99" s="772">
        <f t="shared" ca="1" si="35"/>
        <v>14968.342899884252</v>
      </c>
      <c r="AL99" s="772">
        <f t="shared" ca="1" si="35"/>
        <v>14968.342899884252</v>
      </c>
      <c r="AM99" s="772">
        <f t="shared" ca="1" si="35"/>
        <v>14274.485370313425</v>
      </c>
      <c r="AN99" s="772">
        <f t="shared" ca="1" si="35"/>
        <v>14274.485370313425</v>
      </c>
      <c r="AO99" s="772">
        <f t="shared" ca="1" si="35"/>
        <v>13603.663620619884</v>
      </c>
      <c r="AP99" s="772">
        <f t="shared" ca="1" si="35"/>
        <v>13603.663620619884</v>
      </c>
      <c r="AQ99" s="772">
        <f t="shared" ca="1" si="35"/>
        <v>13603.663620619884</v>
      </c>
      <c r="AR99" s="772">
        <f t="shared" ca="1" si="37"/>
        <v>15677.463425805525</v>
      </c>
      <c r="AS99" s="772">
        <f t="shared" ca="1" si="37"/>
        <v>15677.463425805525</v>
      </c>
      <c r="AT99" s="772">
        <f t="shared" ca="1" si="37"/>
        <v>14968.342899884252</v>
      </c>
      <c r="AU99" s="772">
        <f t="shared" ca="1" si="37"/>
        <v>14968.342899884252</v>
      </c>
      <c r="AV99" s="772">
        <f t="shared" ca="1" si="37"/>
        <v>14274.485370313425</v>
      </c>
      <c r="AW99" s="772">
        <f t="shared" ca="1" si="37"/>
        <v>14274.485370313425</v>
      </c>
      <c r="AX99" s="772">
        <f t="shared" ca="1" si="37"/>
        <v>13603.663620619884</v>
      </c>
      <c r="AY99" s="772">
        <f t="shared" ca="1" si="37"/>
        <v>13603.663620619884</v>
      </c>
      <c r="AZ99" s="772">
        <f t="shared" ca="1" si="37"/>
        <v>13603.663620619884</v>
      </c>
      <c r="BA99" s="772">
        <f t="shared" ca="1" si="37"/>
        <v>15677.463425805525</v>
      </c>
      <c r="BB99" s="772">
        <f t="shared" ca="1" si="37"/>
        <v>15677.463425805525</v>
      </c>
      <c r="BC99" s="772">
        <f t="shared" ca="1" si="37"/>
        <v>14968.342899884252</v>
      </c>
      <c r="BD99" s="772">
        <f t="shared" ca="1" si="37"/>
        <v>14274.485370313425</v>
      </c>
      <c r="BE99" s="772">
        <f t="shared" ca="1" si="37"/>
        <v>14274.485370313425</v>
      </c>
      <c r="BF99" s="772">
        <f t="shared" ca="1" si="37"/>
        <v>13603.663620619884</v>
      </c>
      <c r="BG99" s="772">
        <f t="shared" ca="1" si="37"/>
        <v>13603.663620619884</v>
      </c>
      <c r="BH99" s="772">
        <f t="shared" ca="1" si="32"/>
        <v>12960.874942325348</v>
      </c>
      <c r="BI99" s="772">
        <f t="shared" ca="1" si="32"/>
        <v>12960.874942325348</v>
      </c>
      <c r="BJ99" s="772">
        <f t="shared" ca="1" si="32"/>
        <v>14968.342899884252</v>
      </c>
      <c r="BK99" s="772">
        <f t="shared" ca="1" si="32"/>
        <v>14968.342899884252</v>
      </c>
      <c r="BL99" s="772">
        <f t="shared" ca="1" si="32"/>
        <v>14968.342899884252</v>
      </c>
      <c r="BM99" s="772">
        <f t="shared" ca="1" si="32"/>
        <v>14968.342899884252</v>
      </c>
      <c r="BN99" s="772">
        <f t="shared" ca="1" si="32"/>
        <v>13603.663620619884</v>
      </c>
      <c r="BO99" s="772">
        <f t="shared" ca="1" si="32"/>
        <v>13603.663620619884</v>
      </c>
      <c r="BP99" s="772">
        <f t="shared" ca="1" si="32"/>
        <v>12960.874942325348</v>
      </c>
      <c r="BQ99" s="772">
        <f t="shared" ca="1" si="32"/>
        <v>12960.874942325348</v>
      </c>
      <c r="BR99" s="772">
        <f t="shared" ca="1" si="32"/>
        <v>12348.921859124472</v>
      </c>
      <c r="BS99" s="772">
        <f t="shared" ca="1" si="32"/>
        <v>14968.342899884252</v>
      </c>
      <c r="BT99" s="772">
        <f t="shared" ca="1" si="32"/>
        <v>14968.342899884252</v>
      </c>
      <c r="BU99" s="772">
        <f t="shared" ref="BO99:CD120" ca="1" si="38">HLOOKUP(BU$7,$A$7:$P$348,ROW()-6)</f>
        <v>14968.342899884252</v>
      </c>
      <c r="BV99" s="772">
        <f t="shared" ca="1" si="38"/>
        <v>14274.485370313425</v>
      </c>
      <c r="BW99" s="772">
        <f t="shared" ca="1" si="38"/>
        <v>14274.485370313425</v>
      </c>
      <c r="BX99" s="772">
        <f t="shared" ca="1" si="36"/>
        <v>12960.874942325348</v>
      </c>
      <c r="BY99" s="772">
        <f t="shared" ca="1" si="36"/>
        <v>12960.874942325348</v>
      </c>
      <c r="BZ99" s="772">
        <f t="shared" ca="1" si="36"/>
        <v>12348.921859124472</v>
      </c>
      <c r="CA99" s="772">
        <f t="shared" ca="1" si="36"/>
        <v>12348.921859124472</v>
      </c>
      <c r="CB99" s="772">
        <f t="shared" ca="1" si="36"/>
        <v>14274.485370313425</v>
      </c>
      <c r="CC99" s="772">
        <f t="shared" ca="1" si="36"/>
        <v>14274.485370313425</v>
      </c>
      <c r="CD99" s="772">
        <f t="shared" ca="1" si="36"/>
        <v>14274.485370313425</v>
      </c>
      <c r="CE99" s="772">
        <f t="shared" ca="1" si="36"/>
        <v>14274.485370313425</v>
      </c>
      <c r="CF99" s="772">
        <f t="shared" ca="1" si="36"/>
        <v>13603.663620619884</v>
      </c>
      <c r="CG99" s="772">
        <f t="shared" ca="1" si="36"/>
        <v>12960.874942325348</v>
      </c>
      <c r="CH99" s="772">
        <f t="shared" ca="1" si="36"/>
        <v>12348.921859124472</v>
      </c>
      <c r="CI99" s="772">
        <f t="shared" ca="1" si="36"/>
        <v>12348.921859124472</v>
      </c>
      <c r="CJ99" s="772">
        <f t="shared" ca="1" si="36"/>
        <v>11768.992236097596</v>
      </c>
    </row>
    <row r="100" spans="1:88" ht="15" customHeight="1">
      <c r="A100" s="770">
        <f>'kc-Wert für Stützen'!C100</f>
        <v>152</v>
      </c>
      <c r="B100" s="768">
        <f ca="1">INDIRECT("'kc-Wert für Stützen'!"&amp;SUBSTITUTE(ADDRESS(MATCH($A100,'kc-Wert für Stützen'!$C:$C,0),MATCH(B$7,'kc-Wert für Stützen'!$A$8:$ES$8,0)+7,4),,))</f>
        <v>17451.076962945925</v>
      </c>
      <c r="C100" s="768">
        <f ca="1">INDIRECT("'kc-Wert für Stützen'!"&amp;SUBSTITUTE(ADDRESS(MATCH($A100,'kc-Wert für Stützen'!$C:$C,0),MATCH(C$7,'kc-Wert für Stützen'!$A$8:$ES$8,0)+7,4),,))</f>
        <v>16746.045461162525</v>
      </c>
      <c r="D100" s="768">
        <f ca="1">INDIRECT("'kc-Wert für Stützen'!"&amp;SUBSTITUTE(ADDRESS(MATCH($A100,'kc-Wert für Stützen'!$C:$C,0),MATCH(D$7,'kc-Wert für Stützen'!$A$8:$ES$8,0)+7,4),,))</f>
        <v>16028.543149080802</v>
      </c>
      <c r="E100" s="768">
        <f ca="1">INDIRECT("'kc-Wert für Stützen'!"&amp;SUBSTITUTE(ADDRESS(MATCH($A100,'kc-Wert für Stützen'!$C:$C,0),MATCH(E$7,'kc-Wert für Stützen'!$A$8:$ES$8,0)+7,4),,))</f>
        <v>15312.858037585542</v>
      </c>
      <c r="F100" s="768">
        <f ca="1">INDIRECT("'kc-Wert für Stützen'!"&amp;SUBSTITUTE(ADDRESS(MATCH($A100,'kc-Wert für Stützen'!$C:$C,0),MATCH(F$7,'kc-Wert für Stützen'!$A$8:$ES$8,0)+7,4),,))</f>
        <v>14610.472477135836</v>
      </c>
      <c r="G100" s="768">
        <f ca="1">INDIRECT("'kc-Wert für Stützen'!"&amp;SUBSTITUTE(ADDRESS(MATCH($A100,'kc-Wert für Stützen'!$C:$C,0),MATCH(G$7,'kc-Wert für Stützen'!$A$8:$ES$8,0)+7,4),,))</f>
        <v>13929.737672048461</v>
      </c>
      <c r="H100" s="768">
        <f ca="1">INDIRECT("'kc-Wert für Stützen'!"&amp;SUBSTITUTE(ADDRESS(MATCH($A100,'kc-Wert für Stützen'!$C:$C,0),MATCH(H$7,'kc-Wert für Stützen'!$A$8:$ES$8,0)+7,4),,))</f>
        <v>13276.161054228951</v>
      </c>
      <c r="I100" s="768">
        <f ca="1">INDIRECT("'kc-Wert für Stützen'!"&amp;SUBSTITUTE(ADDRESS(MATCH($A100,'kc-Wert für Stützen'!$C:$C,0),MATCH(I$7,'kc-Wert für Stützen'!$A$8:$ES$8,0)+7,4),,))</f>
        <v>12652.954687131572</v>
      </c>
      <c r="J100" s="768">
        <f ca="1">INDIRECT("'kc-Wert für Stützen'!"&amp;SUBSTITUTE(ADDRESS(MATCH($A100,'kc-Wert für Stützen'!$C:$C,0),MATCH(J$7,'kc-Wert für Stützen'!$A$8:$ES$8,0)+7,4),,))</f>
        <v>12061.615303970922</v>
      </c>
      <c r="K100" s="768">
        <f ca="1">INDIRECT("'kc-Wert für Stützen'!"&amp;SUBSTITUTE(ADDRESS(MATCH($A100,'kc-Wert für Stützen'!$C:$C,0),MATCH(K$7,'kc-Wert für Stützen'!$A$8:$ES$8,0)+7,4),,))</f>
        <v>11502.427853467174</v>
      </c>
      <c r="L100" s="768">
        <f ca="1">INDIRECT("'kc-Wert für Stützen'!"&amp;SUBSTITUTE(ADDRESS(MATCH($A100,'kc-Wert für Stützen'!$C:$C,0),MATCH(L$7,'kc-Wert für Stützen'!$A$8:$ES$8,0)+7,4),,))</f>
        <v>10974.861067842692</v>
      </c>
      <c r="M100" s="768">
        <f ca="1">INDIRECT("'kc-Wert für Stützen'!"&amp;SUBSTITUTE(ADDRESS(MATCH($A100,'kc-Wert für Stützen'!$C:$C,0),MATCH(M$7,'kc-Wert für Stützen'!$A$8:$ES$8,0)+7,4),,))</f>
        <v>10477.860491259327</v>
      </c>
      <c r="N100" s="768">
        <f ca="1">INDIRECT("'kc-Wert für Stützen'!"&amp;SUBSTITUTE(ADDRESS(MATCH($A100,'kc-Wert für Stützen'!$C:$C,0),MATCH(N$7,'kc-Wert für Stützen'!$A$8:$ES$8,0)+7,4),,))</f>
        <v>10010.05745195666</v>
      </c>
      <c r="O100" s="768">
        <f ca="1">INDIRECT("'kc-Wert für Stützen'!"&amp;SUBSTITUTE(ADDRESS(MATCH($A100,'kc-Wert für Stützen'!$C:$C,0),MATCH(O$7,'kc-Wert für Stützen'!$A$8:$ES$8,0)+7,4),,))</f>
        <v>9569.9140534120652</v>
      </c>
      <c r="P100" s="768">
        <f ca="1">INDIRECT("'kc-Wert für Stützen'!"&amp;SUBSTITUTE(ADDRESS(MATCH($A100,'kc-Wert für Stützen'!$C:$C,0),MATCH(P$7,'kc-Wert für Stützen'!$A$8:$ES$8,0)+7,4),,))</f>
        <v>9155.8214782347368</v>
      </c>
      <c r="S100" s="772">
        <f t="shared" ca="1" si="31"/>
        <v>16028.543149080802</v>
      </c>
      <c r="T100" s="772">
        <f t="shared" ca="1" si="30"/>
        <v>16028.543149080802</v>
      </c>
      <c r="U100" s="772">
        <f t="shared" ca="1" si="30"/>
        <v>16028.543149080802</v>
      </c>
      <c r="V100" s="772">
        <f t="shared" ca="1" si="30"/>
        <v>15312.858037585542</v>
      </c>
      <c r="W100" s="772">
        <f t="shared" ca="1" si="30"/>
        <v>14610.472477135836</v>
      </c>
      <c r="X100" s="772">
        <f t="shared" ca="1" si="30"/>
        <v>13929.737672048461</v>
      </c>
      <c r="Y100" s="772">
        <f t="shared" ca="1" si="30"/>
        <v>13276.161054228951</v>
      </c>
      <c r="Z100" s="772">
        <f t="shared" ca="1" si="30"/>
        <v>16028.543149080802</v>
      </c>
      <c r="AA100" s="772">
        <f t="shared" ca="1" si="30"/>
        <v>16028.543149080802</v>
      </c>
      <c r="AB100" s="772">
        <f t="shared" ca="1" si="35"/>
        <v>15312.858037585542</v>
      </c>
      <c r="AC100" s="772">
        <f t="shared" ca="1" si="35"/>
        <v>15312.858037585542</v>
      </c>
      <c r="AD100" s="772">
        <f t="shared" ca="1" si="35"/>
        <v>14610.472477135836</v>
      </c>
      <c r="AE100" s="772">
        <f t="shared" ca="1" si="35"/>
        <v>14610.472477135836</v>
      </c>
      <c r="AF100" s="772">
        <f t="shared" ca="1" si="35"/>
        <v>13929.737672048461</v>
      </c>
      <c r="AG100" s="772">
        <f t="shared" ca="1" si="35"/>
        <v>13929.737672048461</v>
      </c>
      <c r="AH100" s="772">
        <f t="shared" ca="1" si="35"/>
        <v>13929.737672048461</v>
      </c>
      <c r="AI100" s="772">
        <f t="shared" ca="1" si="35"/>
        <v>16028.543149080802</v>
      </c>
      <c r="AJ100" s="772">
        <f t="shared" ca="1" si="35"/>
        <v>16028.543149080802</v>
      </c>
      <c r="AK100" s="772">
        <f t="shared" ca="1" si="35"/>
        <v>15312.858037585542</v>
      </c>
      <c r="AL100" s="772">
        <f t="shared" ca="1" si="35"/>
        <v>15312.858037585542</v>
      </c>
      <c r="AM100" s="772">
        <f t="shared" ca="1" si="35"/>
        <v>14610.472477135836</v>
      </c>
      <c r="AN100" s="772">
        <f t="shared" ca="1" si="35"/>
        <v>14610.472477135836</v>
      </c>
      <c r="AO100" s="772">
        <f t="shared" ca="1" si="35"/>
        <v>13929.737672048461</v>
      </c>
      <c r="AP100" s="772">
        <f t="shared" ca="1" si="35"/>
        <v>13929.737672048461</v>
      </c>
      <c r="AQ100" s="772">
        <f t="shared" ca="1" si="35"/>
        <v>13929.737672048461</v>
      </c>
      <c r="AR100" s="772">
        <f t="shared" ca="1" si="37"/>
        <v>16028.543149080802</v>
      </c>
      <c r="AS100" s="772">
        <f t="shared" ca="1" si="37"/>
        <v>16028.543149080802</v>
      </c>
      <c r="AT100" s="772">
        <f t="shared" ca="1" si="37"/>
        <v>15312.858037585542</v>
      </c>
      <c r="AU100" s="772">
        <f t="shared" ca="1" si="37"/>
        <v>15312.858037585542</v>
      </c>
      <c r="AV100" s="772">
        <f t="shared" ca="1" si="37"/>
        <v>14610.472477135836</v>
      </c>
      <c r="AW100" s="772">
        <f t="shared" ca="1" si="37"/>
        <v>14610.472477135836</v>
      </c>
      <c r="AX100" s="772">
        <f t="shared" ca="1" si="37"/>
        <v>13929.737672048461</v>
      </c>
      <c r="AY100" s="772">
        <f t="shared" ca="1" si="37"/>
        <v>13929.737672048461</v>
      </c>
      <c r="AZ100" s="772">
        <f t="shared" ca="1" si="37"/>
        <v>13929.737672048461</v>
      </c>
      <c r="BA100" s="772">
        <f t="shared" ca="1" si="37"/>
        <v>16028.543149080802</v>
      </c>
      <c r="BB100" s="772">
        <f t="shared" ca="1" si="37"/>
        <v>16028.543149080802</v>
      </c>
      <c r="BC100" s="772">
        <f t="shared" ca="1" si="37"/>
        <v>15312.858037585542</v>
      </c>
      <c r="BD100" s="772">
        <f t="shared" ca="1" si="37"/>
        <v>14610.472477135836</v>
      </c>
      <c r="BE100" s="772">
        <f t="shared" ca="1" si="37"/>
        <v>14610.472477135836</v>
      </c>
      <c r="BF100" s="772">
        <f t="shared" ca="1" si="37"/>
        <v>13929.737672048461</v>
      </c>
      <c r="BG100" s="772">
        <f t="shared" ca="1" si="37"/>
        <v>13929.737672048461</v>
      </c>
      <c r="BH100" s="772">
        <f t="shared" ref="BH100:BN109" ca="1" si="39">HLOOKUP(BH$7,$A$7:$P$348,ROW()-6)</f>
        <v>13276.161054228951</v>
      </c>
      <c r="BI100" s="772">
        <f t="shared" ca="1" si="39"/>
        <v>13276.161054228951</v>
      </c>
      <c r="BJ100" s="772">
        <f t="shared" ca="1" si="39"/>
        <v>15312.858037585542</v>
      </c>
      <c r="BK100" s="772">
        <f t="shared" ca="1" si="39"/>
        <v>15312.858037585542</v>
      </c>
      <c r="BL100" s="772">
        <f t="shared" ca="1" si="39"/>
        <v>15312.858037585542</v>
      </c>
      <c r="BM100" s="772">
        <f t="shared" ca="1" si="39"/>
        <v>15312.858037585542</v>
      </c>
      <c r="BN100" s="772">
        <f t="shared" ca="1" si="39"/>
        <v>13929.737672048461</v>
      </c>
      <c r="BO100" s="772">
        <f t="shared" ca="1" si="38"/>
        <v>13929.737672048461</v>
      </c>
      <c r="BP100" s="772">
        <f t="shared" ca="1" si="38"/>
        <v>13276.161054228951</v>
      </c>
      <c r="BQ100" s="772">
        <f t="shared" ca="1" si="38"/>
        <v>13276.161054228951</v>
      </c>
      <c r="BR100" s="772">
        <f t="shared" ca="1" si="38"/>
        <v>12652.954687131572</v>
      </c>
      <c r="BS100" s="772">
        <f t="shared" ca="1" si="38"/>
        <v>15312.858037585542</v>
      </c>
      <c r="BT100" s="772">
        <f t="shared" ca="1" si="38"/>
        <v>15312.858037585542</v>
      </c>
      <c r="BU100" s="772">
        <f t="shared" ca="1" si="38"/>
        <v>15312.858037585542</v>
      </c>
      <c r="BV100" s="772">
        <f t="shared" ca="1" si="38"/>
        <v>14610.472477135836</v>
      </c>
      <c r="BW100" s="772">
        <f t="shared" ca="1" si="38"/>
        <v>14610.472477135836</v>
      </c>
      <c r="BX100" s="772">
        <f t="shared" ca="1" si="36"/>
        <v>13276.161054228951</v>
      </c>
      <c r="BY100" s="772">
        <f t="shared" ca="1" si="36"/>
        <v>13276.161054228951</v>
      </c>
      <c r="BZ100" s="772">
        <f t="shared" ca="1" si="36"/>
        <v>12652.954687131572</v>
      </c>
      <c r="CA100" s="772">
        <f t="shared" ca="1" si="36"/>
        <v>12652.954687131572</v>
      </c>
      <c r="CB100" s="772">
        <f t="shared" ca="1" si="36"/>
        <v>14610.472477135836</v>
      </c>
      <c r="CC100" s="772">
        <f t="shared" ca="1" si="36"/>
        <v>14610.472477135836</v>
      </c>
      <c r="CD100" s="772">
        <f t="shared" ca="1" si="36"/>
        <v>14610.472477135836</v>
      </c>
      <c r="CE100" s="772">
        <f t="shared" ca="1" si="36"/>
        <v>14610.472477135836</v>
      </c>
      <c r="CF100" s="772">
        <f t="shared" ca="1" si="36"/>
        <v>13929.737672048461</v>
      </c>
      <c r="CG100" s="772">
        <f t="shared" ca="1" si="36"/>
        <v>13276.161054228951</v>
      </c>
      <c r="CH100" s="772">
        <f t="shared" ca="1" si="36"/>
        <v>12652.954687131572</v>
      </c>
      <c r="CI100" s="772">
        <f t="shared" ca="1" si="36"/>
        <v>12652.954687131572</v>
      </c>
      <c r="CJ100" s="772">
        <f t="shared" ca="1" si="36"/>
        <v>12061.615303970922</v>
      </c>
    </row>
    <row r="101" spans="1:88" ht="15" customHeight="1">
      <c r="A101" s="770">
        <f>'kc-Wert für Stützen'!C101</f>
        <v>153</v>
      </c>
      <c r="B101" s="768">
        <f ca="1">INDIRECT("'kc-Wert für Stützen'!"&amp;SUBSTITUTE(ADDRESS(MATCH($A101,'kc-Wert für Stützen'!$C:$C,0),MATCH(B$7,'kc-Wert für Stützen'!$A$8:$ES$8,0)+7,4),,))</f>
        <v>17809.554343594242</v>
      </c>
      <c r="C101" s="768">
        <f ca="1">INDIRECT("'kc-Wert für Stützen'!"&amp;SUBSTITUTE(ADDRESS(MATCH($A101,'kc-Wert für Stützen'!$C:$C,0),MATCH(C$7,'kc-Wert für Stützen'!$A$8:$ES$8,0)+7,4),,))</f>
        <v>17103.959031275488</v>
      </c>
      <c r="D101" s="768">
        <f ca="1">INDIRECT("'kc-Wert für Stützen'!"&amp;SUBSTITUTE(ADDRESS(MATCH($A101,'kc-Wert für Stützen'!$C:$C,0),MATCH(D$7,'kc-Wert für Stützen'!$A$8:$ES$8,0)+7,4),,))</f>
        <v>16382.957160742688</v>
      </c>
      <c r="E101" s="768">
        <f ca="1">INDIRECT("'kc-Wert für Stützen'!"&amp;SUBSTITUTE(ADDRESS(MATCH($A101,'kc-Wert für Stützen'!$C:$C,0),MATCH(E$7,'kc-Wert für Stützen'!$A$8:$ES$8,0)+7,4),,))</f>
        <v>15661.16991384502</v>
      </c>
      <c r="F101" s="768">
        <f ca="1">INDIRECT("'kc-Wert für Stützen'!"&amp;SUBSTITUTE(ADDRESS(MATCH($A101,'kc-Wert für Stützen'!$C:$C,0),MATCH(F$7,'kc-Wert für Stützen'!$A$8:$ES$8,0)+7,4),,))</f>
        <v>14950.613052645696</v>
      </c>
      <c r="G101" s="768">
        <f ca="1">INDIRECT("'kc-Wert für Stützen'!"&amp;SUBSTITUTE(ADDRESS(MATCH($A101,'kc-Wert für Stützen'!$C:$C,0),MATCH(G$7,'kc-Wert für Stützen'!$A$8:$ES$8,0)+7,4),,))</f>
        <v>14260.214184434652</v>
      </c>
      <c r="H101" s="768">
        <f ca="1">INDIRECT("'kc-Wert für Stützen'!"&amp;SUBSTITUTE(ADDRESS(MATCH($A101,'kc-Wert für Stützen'!$C:$C,0),MATCH(H$7,'kc-Wert für Stützen'!$A$8:$ES$8,0)+7,4),,))</f>
        <v>13596.002807922421</v>
      </c>
      <c r="I101" s="768">
        <f ca="1">INDIRECT("'kc-Wert für Stützen'!"&amp;SUBSTITUTE(ADDRESS(MATCH($A101,'kc-Wert für Stützen'!$C:$C,0),MATCH(I$7,'kc-Wert für Stützen'!$A$8:$ES$8,0)+7,4),,))</f>
        <v>12961.617777955536</v>
      </c>
      <c r="J101" s="768">
        <f ca="1">INDIRECT("'kc-Wert für Stützen'!"&amp;SUBSTITUTE(ADDRESS(MATCH($A101,'kc-Wert für Stützen'!$C:$C,0),MATCH(J$7,'kc-Wert für Stützen'!$A$8:$ES$8,0)+7,4),,))</f>
        <v>12358.882177046902</v>
      </c>
      <c r="K101" s="768">
        <f ca="1">INDIRECT("'kc-Wert für Stützen'!"&amp;SUBSTITUTE(ADDRESS(MATCH($A101,'kc-Wert für Stützen'!$C:$C,0),MATCH(K$7,'kc-Wert für Stützen'!$A$8:$ES$8,0)+7,4),,))</f>
        <v>11788.318726330095</v>
      </c>
      <c r="L101" s="768">
        <f ca="1">INDIRECT("'kc-Wert für Stützen'!"&amp;SUBSTITUTE(ADDRESS(MATCH($A101,'kc-Wert für Stützen'!$C:$C,0),MATCH(L$7,'kc-Wert für Stützen'!$A$8:$ES$8,0)+7,4),,))</f>
        <v>11249.562568704723</v>
      </c>
      <c r="M101" s="768">
        <f ca="1">INDIRECT("'kc-Wert für Stützen'!"&amp;SUBSTITUTE(ADDRESS(MATCH($A101,'kc-Wert für Stützen'!$C:$C,0),MATCH(M$7,'kc-Wert für Stützen'!$A$8:$ES$8,0)+7,4),,))</f>
        <v>10741.671103922989</v>
      </c>
      <c r="N101" s="768">
        <f ca="1">INDIRECT("'kc-Wert für Stützen'!"&amp;SUBSTITUTE(ADDRESS(MATCH($A101,'kc-Wert für Stützen'!$C:$C,0),MATCH(N$7,'kc-Wert für Stützen'!$A$8:$ES$8,0)+7,4),,))</f>
        <v>10263.347165317065</v>
      </c>
      <c r="O101" s="768">
        <f ca="1">INDIRECT("'kc-Wert für Stützen'!"&amp;SUBSTITUTE(ADDRESS(MATCH($A101,'kc-Wert für Stützen'!$C:$C,0),MATCH(O$7,'kc-Wert für Stützen'!$A$8:$ES$8,0)+7,4),,))</f>
        <v>9813.0951869216733</v>
      </c>
      <c r="P101" s="768">
        <f ca="1">INDIRECT("'kc-Wert für Stützen'!"&amp;SUBSTITUTE(ADDRESS(MATCH($A101,'kc-Wert für Stützen'!$C:$C,0),MATCH(P$7,'kc-Wert für Stützen'!$A$8:$ES$8,0)+7,4),,))</f>
        <v>9389.3279556293182</v>
      </c>
      <c r="S101" s="772">
        <f t="shared" ca="1" si="31"/>
        <v>16382.957160742688</v>
      </c>
      <c r="T101" s="772">
        <f t="shared" ca="1" si="30"/>
        <v>16382.957160742688</v>
      </c>
      <c r="U101" s="772">
        <f t="shared" ca="1" si="30"/>
        <v>16382.957160742688</v>
      </c>
      <c r="V101" s="772">
        <f t="shared" ca="1" si="30"/>
        <v>15661.16991384502</v>
      </c>
      <c r="W101" s="772">
        <f t="shared" ca="1" si="30"/>
        <v>14950.613052645696</v>
      </c>
      <c r="X101" s="772">
        <f t="shared" ca="1" si="30"/>
        <v>14260.214184434652</v>
      </c>
      <c r="Y101" s="772">
        <f t="shared" ca="1" si="30"/>
        <v>13596.002807922421</v>
      </c>
      <c r="Z101" s="772">
        <f t="shared" ca="1" si="30"/>
        <v>16382.957160742688</v>
      </c>
      <c r="AA101" s="772">
        <f t="shared" ref="T101:AA130" ca="1" si="40">HLOOKUP(AA$7,$A$7:$P$348,ROW()-6)</f>
        <v>16382.957160742688</v>
      </c>
      <c r="AB101" s="772">
        <f t="shared" ca="1" si="35"/>
        <v>15661.16991384502</v>
      </c>
      <c r="AC101" s="772">
        <f t="shared" ca="1" si="35"/>
        <v>15661.16991384502</v>
      </c>
      <c r="AD101" s="772">
        <f t="shared" ca="1" si="35"/>
        <v>14950.613052645696</v>
      </c>
      <c r="AE101" s="772">
        <f t="shared" ca="1" si="35"/>
        <v>14950.613052645696</v>
      </c>
      <c r="AF101" s="772">
        <f t="shared" ca="1" si="35"/>
        <v>14260.214184434652</v>
      </c>
      <c r="AG101" s="772">
        <f t="shared" ca="1" si="35"/>
        <v>14260.214184434652</v>
      </c>
      <c r="AH101" s="772">
        <f t="shared" ca="1" si="35"/>
        <v>14260.214184434652</v>
      </c>
      <c r="AI101" s="772">
        <f t="shared" ca="1" si="35"/>
        <v>16382.957160742688</v>
      </c>
      <c r="AJ101" s="772">
        <f t="shared" ca="1" si="35"/>
        <v>16382.957160742688</v>
      </c>
      <c r="AK101" s="772">
        <f t="shared" ca="1" si="35"/>
        <v>15661.16991384502</v>
      </c>
      <c r="AL101" s="772">
        <f t="shared" ca="1" si="35"/>
        <v>15661.16991384502</v>
      </c>
      <c r="AM101" s="772">
        <f t="shared" ca="1" si="35"/>
        <v>14950.613052645696</v>
      </c>
      <c r="AN101" s="772">
        <f t="shared" ca="1" si="35"/>
        <v>14950.613052645696</v>
      </c>
      <c r="AO101" s="772">
        <f t="shared" ca="1" si="35"/>
        <v>14260.214184434652</v>
      </c>
      <c r="AP101" s="772">
        <f t="shared" ca="1" si="35"/>
        <v>14260.214184434652</v>
      </c>
      <c r="AQ101" s="772">
        <f t="shared" ca="1" si="35"/>
        <v>14260.214184434652</v>
      </c>
      <c r="AR101" s="772">
        <f t="shared" ca="1" si="37"/>
        <v>16382.957160742688</v>
      </c>
      <c r="AS101" s="772">
        <f t="shared" ca="1" si="37"/>
        <v>16382.957160742688</v>
      </c>
      <c r="AT101" s="772">
        <f t="shared" ca="1" si="37"/>
        <v>15661.16991384502</v>
      </c>
      <c r="AU101" s="772">
        <f t="shared" ca="1" si="37"/>
        <v>15661.16991384502</v>
      </c>
      <c r="AV101" s="772">
        <f t="shared" ca="1" si="37"/>
        <v>14950.613052645696</v>
      </c>
      <c r="AW101" s="772">
        <f t="shared" ca="1" si="37"/>
        <v>14950.613052645696</v>
      </c>
      <c r="AX101" s="772">
        <f t="shared" ca="1" si="37"/>
        <v>14260.214184434652</v>
      </c>
      <c r="AY101" s="772">
        <f t="shared" ca="1" si="37"/>
        <v>14260.214184434652</v>
      </c>
      <c r="AZ101" s="772">
        <f t="shared" ca="1" si="37"/>
        <v>14260.214184434652</v>
      </c>
      <c r="BA101" s="772">
        <f t="shared" ca="1" si="37"/>
        <v>16382.957160742688</v>
      </c>
      <c r="BB101" s="772">
        <f t="shared" ca="1" si="37"/>
        <v>16382.957160742688</v>
      </c>
      <c r="BC101" s="772">
        <f t="shared" ca="1" si="37"/>
        <v>15661.16991384502</v>
      </c>
      <c r="BD101" s="772">
        <f t="shared" ca="1" si="37"/>
        <v>14950.613052645696</v>
      </c>
      <c r="BE101" s="772">
        <f t="shared" ca="1" si="37"/>
        <v>14950.613052645696</v>
      </c>
      <c r="BF101" s="772">
        <f t="shared" ca="1" si="37"/>
        <v>14260.214184434652</v>
      </c>
      <c r="BG101" s="772">
        <f t="shared" ca="1" si="37"/>
        <v>14260.214184434652</v>
      </c>
      <c r="BH101" s="772">
        <f t="shared" ca="1" si="39"/>
        <v>13596.002807922421</v>
      </c>
      <c r="BI101" s="772">
        <f t="shared" ca="1" si="39"/>
        <v>13596.002807922421</v>
      </c>
      <c r="BJ101" s="772">
        <f t="shared" ca="1" si="39"/>
        <v>15661.16991384502</v>
      </c>
      <c r="BK101" s="772">
        <f t="shared" ca="1" si="39"/>
        <v>15661.16991384502</v>
      </c>
      <c r="BL101" s="772">
        <f t="shared" ca="1" si="39"/>
        <v>15661.16991384502</v>
      </c>
      <c r="BM101" s="772">
        <f t="shared" ca="1" si="39"/>
        <v>15661.16991384502</v>
      </c>
      <c r="BN101" s="772">
        <f t="shared" ca="1" si="39"/>
        <v>14260.214184434652</v>
      </c>
      <c r="BO101" s="772">
        <f t="shared" ca="1" si="38"/>
        <v>14260.214184434652</v>
      </c>
      <c r="BP101" s="772">
        <f t="shared" ca="1" si="38"/>
        <v>13596.002807922421</v>
      </c>
      <c r="BQ101" s="772">
        <f t="shared" ca="1" si="38"/>
        <v>13596.002807922421</v>
      </c>
      <c r="BR101" s="772">
        <f t="shared" ca="1" si="38"/>
        <v>12961.617777955536</v>
      </c>
      <c r="BS101" s="772">
        <f t="shared" ca="1" si="38"/>
        <v>15661.16991384502</v>
      </c>
      <c r="BT101" s="772">
        <f t="shared" ca="1" si="38"/>
        <v>15661.16991384502</v>
      </c>
      <c r="BU101" s="772">
        <f t="shared" ca="1" si="38"/>
        <v>15661.16991384502</v>
      </c>
      <c r="BV101" s="772">
        <f t="shared" ca="1" si="38"/>
        <v>14950.613052645696</v>
      </c>
      <c r="BW101" s="772">
        <f t="shared" ca="1" si="38"/>
        <v>14950.613052645696</v>
      </c>
      <c r="BX101" s="772">
        <f t="shared" ca="1" si="36"/>
        <v>13596.002807922421</v>
      </c>
      <c r="BY101" s="772">
        <f t="shared" ca="1" si="36"/>
        <v>13596.002807922421</v>
      </c>
      <c r="BZ101" s="772">
        <f t="shared" ca="1" si="36"/>
        <v>12961.617777955536</v>
      </c>
      <c r="CA101" s="772">
        <f t="shared" ca="1" si="36"/>
        <v>12961.617777955536</v>
      </c>
      <c r="CB101" s="772">
        <f t="shared" ca="1" si="36"/>
        <v>14950.613052645696</v>
      </c>
      <c r="CC101" s="772">
        <f t="shared" ca="1" si="36"/>
        <v>14950.613052645696</v>
      </c>
      <c r="CD101" s="772">
        <f t="shared" ca="1" si="36"/>
        <v>14950.613052645696</v>
      </c>
      <c r="CE101" s="772">
        <f t="shared" ca="1" si="36"/>
        <v>14950.613052645696</v>
      </c>
      <c r="CF101" s="772">
        <f t="shared" ca="1" si="36"/>
        <v>14260.214184434652</v>
      </c>
      <c r="CG101" s="772">
        <f t="shared" ca="1" si="36"/>
        <v>13596.002807922421</v>
      </c>
      <c r="CH101" s="772">
        <f t="shared" ca="1" si="36"/>
        <v>12961.617777955536</v>
      </c>
      <c r="CI101" s="772">
        <f t="shared" ca="1" si="36"/>
        <v>12961.617777955536</v>
      </c>
      <c r="CJ101" s="772">
        <f t="shared" ca="1" si="36"/>
        <v>12358.882177046902</v>
      </c>
    </row>
    <row r="102" spans="1:88" ht="15" customHeight="1">
      <c r="A102" s="770">
        <f>'kc-Wert für Stützen'!C102</f>
        <v>154</v>
      </c>
      <c r="B102" s="768">
        <f ca="1">INDIRECT("'kc-Wert für Stützen'!"&amp;SUBSTITUTE(ADDRESS(MATCH($A102,'kc-Wert für Stützen'!$C:$C,0),MATCH(B$7,'kc-Wert für Stützen'!$A$8:$ES$8,0)+7,4),,))</f>
        <v>18170.163040500211</v>
      </c>
      <c r="C102" s="768">
        <f ca="1">INDIRECT("'kc-Wert für Stützen'!"&amp;SUBSTITUTE(ADDRESS(MATCH($A102,'kc-Wert für Stützen'!$C:$C,0),MATCH(C$7,'kc-Wert für Stützen'!$A$8:$ES$8,0)+7,4),,))</f>
        <v>17464.558123045947</v>
      </c>
      <c r="D102" s="768">
        <f ca="1">INDIRECT("'kc-Wert für Stützen'!"&amp;SUBSTITUTE(ADDRESS(MATCH($A102,'kc-Wert für Stützen'!$C:$C,0),MATCH(D$7,'kc-Wert für Stützen'!$A$8:$ES$8,0)+7,4),,))</f>
        <v>16740.604147068614</v>
      </c>
      <c r="E102" s="768">
        <f ca="1">INDIRECT("'kc-Wert für Stützen'!"&amp;SUBSTITUTE(ADDRESS(MATCH($A102,'kc-Wert für Stützen'!$C:$C,0),MATCH(E$7,'kc-Wert für Stützen'!$A$8:$ES$8,0)+7,4),,))</f>
        <v>16013.192935548894</v>
      </c>
      <c r="F102" s="768">
        <f ca="1">INDIRECT("'kc-Wert für Stützen'!"&amp;SUBSTITUTE(ADDRESS(MATCH($A102,'kc-Wert für Stützen'!$C:$C,0),MATCH(F$7,'kc-Wert für Stützen'!$A$8:$ES$8,0)+7,4),,))</f>
        <v>15294.841611002987</v>
      </c>
      <c r="G102" s="768">
        <f ca="1">INDIRECT("'kc-Wert für Stützen'!"&amp;SUBSTITUTE(ADDRESS(MATCH($A102,'kc-Wert für Stützen'!$C:$C,0),MATCH(G$7,'kc-Wert für Stützen'!$A$8:$ES$8,0)+7,4),,))</f>
        <v>14595.048099185198</v>
      </c>
      <c r="H102" s="768">
        <f ca="1">INDIRECT("'kc-Wert für Stützen'!"&amp;SUBSTITUTE(ADDRESS(MATCH($A102,'kc-Wert für Stützen'!$C:$C,0),MATCH(H$7,'kc-Wert für Stützen'!$A$8:$ES$8,0)+7,4),,))</f>
        <v>13920.373592137947</v>
      </c>
      <c r="I102" s="768">
        <f ca="1">INDIRECT("'kc-Wert für Stützen'!"&amp;SUBSTITUTE(ADDRESS(MATCH($A102,'kc-Wert für Stützen'!$C:$C,0),MATCH(I$7,'kc-Wert für Stützen'!$A$8:$ES$8,0)+7,4),,))</f>
        <v>13274.900060524244</v>
      </c>
      <c r="J102" s="768">
        <f ca="1">INDIRECT("'kc-Wert für Stützen'!"&amp;SUBSTITUTE(ADDRESS(MATCH($A102,'kc-Wert für Stützen'!$C:$C,0),MATCH(J$7,'kc-Wert für Stützen'!$A$8:$ES$8,0)+7,4),,))</f>
        <v>12660.794308664616</v>
      </c>
      <c r="K102" s="768">
        <f ca="1">INDIRECT("'kc-Wert für Stützen'!"&amp;SUBSTITUTE(ADDRESS(MATCH($A102,'kc-Wert für Stützen'!$C:$C,0),MATCH(K$7,'kc-Wert für Stützen'!$A$8:$ES$8,0)+7,4),,))</f>
        <v>12078.832489910023</v>
      </c>
      <c r="L102" s="768">
        <f ca="1">INDIRECT("'kc-Wert für Stützen'!"&amp;SUBSTITUTE(ADDRESS(MATCH($A102,'kc-Wert für Stützen'!$C:$C,0),MATCH(L$7,'kc-Wert für Stützen'!$A$8:$ES$8,0)+7,4),,))</f>
        <v>11528.82914424425</v>
      </c>
      <c r="M102" s="768">
        <f ca="1">INDIRECT("'kc-Wert für Stützen'!"&amp;SUBSTITUTE(ADDRESS(MATCH($A102,'kc-Wert für Stützen'!$C:$C,0),MATCH(M$7,'kc-Wert für Stützen'!$A$8:$ES$8,0)+7,4),,))</f>
        <v>11009.96379670155</v>
      </c>
      <c r="N102" s="768">
        <f ca="1">INDIRECT("'kc-Wert für Stützen'!"&amp;SUBSTITUTE(ADDRESS(MATCH($A102,'kc-Wert für Stützen'!$C:$C,0),MATCH(N$7,'kc-Wert für Stützen'!$A$8:$ES$8,0)+7,4),,))</f>
        <v>10521.018675357333</v>
      </c>
      <c r="O102" s="768">
        <f ca="1">INDIRECT("'kc-Wert für Stützen'!"&amp;SUBSTITUTE(ADDRESS(MATCH($A102,'kc-Wert für Stützen'!$C:$C,0),MATCH(O$7,'kc-Wert für Stützen'!$A$8:$ES$8,0)+7,4),,))</f>
        <v>10060.546494050184</v>
      </c>
      <c r="P102" s="768">
        <f ca="1">INDIRECT("'kc-Wert für Stützen'!"&amp;SUBSTITUTE(ADDRESS(MATCH($A102,'kc-Wert für Stützen'!$C:$C,0),MATCH(P$7,'kc-Wert für Stützen'!$A$8:$ES$8,0)+7,4),,))</f>
        <v>9626.9860722833218</v>
      </c>
      <c r="S102" s="772">
        <f t="shared" ca="1" si="31"/>
        <v>16740.604147068614</v>
      </c>
      <c r="T102" s="772">
        <f t="shared" ca="1" si="40"/>
        <v>16740.604147068614</v>
      </c>
      <c r="U102" s="772">
        <f t="shared" ca="1" si="40"/>
        <v>16740.604147068614</v>
      </c>
      <c r="V102" s="772">
        <f t="shared" ca="1" si="40"/>
        <v>16013.192935548894</v>
      </c>
      <c r="W102" s="772">
        <f t="shared" ca="1" si="40"/>
        <v>15294.841611002987</v>
      </c>
      <c r="X102" s="772">
        <f t="shared" ca="1" si="40"/>
        <v>14595.048099185198</v>
      </c>
      <c r="Y102" s="772">
        <f t="shared" ca="1" si="40"/>
        <v>13920.373592137947</v>
      </c>
      <c r="Z102" s="772">
        <f t="shared" ca="1" si="40"/>
        <v>16740.604147068614</v>
      </c>
      <c r="AA102" s="772">
        <f t="shared" ca="1" si="40"/>
        <v>16740.604147068614</v>
      </c>
      <c r="AB102" s="772">
        <f t="shared" ca="1" si="35"/>
        <v>16013.192935548894</v>
      </c>
      <c r="AC102" s="772">
        <f t="shared" ca="1" si="35"/>
        <v>16013.192935548894</v>
      </c>
      <c r="AD102" s="772">
        <f t="shared" ca="1" si="35"/>
        <v>15294.841611002987</v>
      </c>
      <c r="AE102" s="772">
        <f t="shared" ca="1" si="35"/>
        <v>15294.841611002987</v>
      </c>
      <c r="AF102" s="772">
        <f t="shared" ca="1" si="35"/>
        <v>14595.048099185198</v>
      </c>
      <c r="AG102" s="772">
        <f t="shared" ca="1" si="35"/>
        <v>14595.048099185198</v>
      </c>
      <c r="AH102" s="772">
        <f t="shared" ca="1" si="35"/>
        <v>14595.048099185198</v>
      </c>
      <c r="AI102" s="772">
        <f t="shared" ca="1" si="35"/>
        <v>16740.604147068614</v>
      </c>
      <c r="AJ102" s="772">
        <f t="shared" ca="1" si="35"/>
        <v>16740.604147068614</v>
      </c>
      <c r="AK102" s="772">
        <f t="shared" ca="1" si="35"/>
        <v>16013.192935548894</v>
      </c>
      <c r="AL102" s="772">
        <f t="shared" ca="1" si="35"/>
        <v>16013.192935548894</v>
      </c>
      <c r="AM102" s="772">
        <f t="shared" ca="1" si="35"/>
        <v>15294.841611002987</v>
      </c>
      <c r="AN102" s="772">
        <f t="shared" ca="1" si="35"/>
        <v>15294.841611002987</v>
      </c>
      <c r="AO102" s="772">
        <f t="shared" ca="1" si="35"/>
        <v>14595.048099185198</v>
      </c>
      <c r="AP102" s="772">
        <f t="shared" ca="1" si="35"/>
        <v>14595.048099185198</v>
      </c>
      <c r="AQ102" s="772">
        <f t="shared" ca="1" si="35"/>
        <v>14595.048099185198</v>
      </c>
      <c r="AR102" s="772">
        <f t="shared" ca="1" si="37"/>
        <v>16740.604147068614</v>
      </c>
      <c r="AS102" s="772">
        <f t="shared" ca="1" si="37"/>
        <v>16740.604147068614</v>
      </c>
      <c r="AT102" s="772">
        <f t="shared" ca="1" si="37"/>
        <v>16013.192935548894</v>
      </c>
      <c r="AU102" s="772">
        <f t="shared" ca="1" si="37"/>
        <v>16013.192935548894</v>
      </c>
      <c r="AV102" s="772">
        <f t="shared" ca="1" si="37"/>
        <v>15294.841611002987</v>
      </c>
      <c r="AW102" s="772">
        <f t="shared" ca="1" si="37"/>
        <v>15294.841611002987</v>
      </c>
      <c r="AX102" s="772">
        <f t="shared" ca="1" si="37"/>
        <v>14595.048099185198</v>
      </c>
      <c r="AY102" s="772">
        <f t="shared" ca="1" si="37"/>
        <v>14595.048099185198</v>
      </c>
      <c r="AZ102" s="772">
        <f t="shared" ca="1" si="37"/>
        <v>14595.048099185198</v>
      </c>
      <c r="BA102" s="772">
        <f t="shared" ca="1" si="37"/>
        <v>16740.604147068614</v>
      </c>
      <c r="BB102" s="772">
        <f t="shared" ca="1" si="37"/>
        <v>16740.604147068614</v>
      </c>
      <c r="BC102" s="772">
        <f t="shared" ca="1" si="37"/>
        <v>16013.192935548894</v>
      </c>
      <c r="BD102" s="772">
        <f t="shared" ca="1" si="37"/>
        <v>15294.841611002987</v>
      </c>
      <c r="BE102" s="772">
        <f t="shared" ca="1" si="37"/>
        <v>15294.841611002987</v>
      </c>
      <c r="BF102" s="772">
        <f t="shared" ca="1" si="37"/>
        <v>14595.048099185198</v>
      </c>
      <c r="BG102" s="772">
        <f t="shared" ca="1" si="37"/>
        <v>14595.048099185198</v>
      </c>
      <c r="BH102" s="772">
        <f t="shared" ca="1" si="39"/>
        <v>13920.373592137947</v>
      </c>
      <c r="BI102" s="772">
        <f t="shared" ca="1" si="39"/>
        <v>13920.373592137947</v>
      </c>
      <c r="BJ102" s="772">
        <f t="shared" ca="1" si="39"/>
        <v>16013.192935548894</v>
      </c>
      <c r="BK102" s="772">
        <f t="shared" ca="1" si="39"/>
        <v>16013.192935548894</v>
      </c>
      <c r="BL102" s="772">
        <f t="shared" ca="1" si="39"/>
        <v>16013.192935548894</v>
      </c>
      <c r="BM102" s="772">
        <f t="shared" ca="1" si="39"/>
        <v>16013.192935548894</v>
      </c>
      <c r="BN102" s="772">
        <f t="shared" ca="1" si="39"/>
        <v>14595.048099185198</v>
      </c>
      <c r="BO102" s="772">
        <f t="shared" ca="1" si="38"/>
        <v>14595.048099185198</v>
      </c>
      <c r="BP102" s="772">
        <f t="shared" ca="1" si="38"/>
        <v>13920.373592137947</v>
      </c>
      <c r="BQ102" s="772">
        <f t="shared" ca="1" si="38"/>
        <v>13920.373592137947</v>
      </c>
      <c r="BR102" s="772">
        <f t="shared" ca="1" si="38"/>
        <v>13274.900060524244</v>
      </c>
      <c r="BS102" s="772">
        <f t="shared" ca="1" si="38"/>
        <v>16013.192935548894</v>
      </c>
      <c r="BT102" s="772">
        <f t="shared" ca="1" si="38"/>
        <v>16013.192935548894</v>
      </c>
      <c r="BU102" s="772">
        <f t="shared" ca="1" si="38"/>
        <v>16013.192935548894</v>
      </c>
      <c r="BV102" s="772">
        <f t="shared" ca="1" si="38"/>
        <v>15294.841611002987</v>
      </c>
      <c r="BW102" s="772">
        <f t="shared" ca="1" si="38"/>
        <v>15294.841611002987</v>
      </c>
      <c r="BX102" s="772">
        <f t="shared" ca="1" si="36"/>
        <v>13920.373592137947</v>
      </c>
      <c r="BY102" s="772">
        <f t="shared" ca="1" si="36"/>
        <v>13920.373592137947</v>
      </c>
      <c r="BZ102" s="772">
        <f t="shared" ca="1" si="36"/>
        <v>13274.900060524244</v>
      </c>
      <c r="CA102" s="772">
        <f t="shared" ca="1" si="36"/>
        <v>13274.900060524244</v>
      </c>
      <c r="CB102" s="772">
        <f t="shared" ca="1" si="36"/>
        <v>15294.841611002987</v>
      </c>
      <c r="CC102" s="772">
        <f t="shared" ca="1" si="36"/>
        <v>15294.841611002987</v>
      </c>
      <c r="CD102" s="772">
        <f t="shared" ca="1" si="36"/>
        <v>15294.841611002987</v>
      </c>
      <c r="CE102" s="772">
        <f t="shared" ca="1" si="36"/>
        <v>15294.841611002987</v>
      </c>
      <c r="CF102" s="772">
        <f t="shared" ca="1" si="36"/>
        <v>14595.048099185198</v>
      </c>
      <c r="CG102" s="772">
        <f t="shared" ca="1" si="36"/>
        <v>13920.373592137947</v>
      </c>
      <c r="CH102" s="772">
        <f t="shared" ca="1" si="36"/>
        <v>13274.900060524244</v>
      </c>
      <c r="CI102" s="772">
        <f t="shared" ca="1" si="36"/>
        <v>13274.900060524244</v>
      </c>
      <c r="CJ102" s="772">
        <f t="shared" ca="1" si="36"/>
        <v>12660.794308664616</v>
      </c>
    </row>
    <row r="103" spans="1:88" ht="15" customHeight="1">
      <c r="A103" s="770">
        <f>'kc-Wert für Stützen'!C103</f>
        <v>155</v>
      </c>
      <c r="B103" s="768">
        <f ca="1">INDIRECT("'kc-Wert für Stützen'!"&amp;SUBSTITUTE(ADDRESS(MATCH($A103,'kc-Wert für Stützen'!$C:$C,0),MATCH(B$7,'kc-Wert für Stützen'!$A$8:$ES$8,0)+7,4),,))</f>
        <v>18532.80789846916</v>
      </c>
      <c r="C103" s="768">
        <f ca="1">INDIRECT("'kc-Wert für Stützen'!"&amp;SUBSTITUTE(ADDRESS(MATCH($A103,'kc-Wert für Stützen'!$C:$C,0),MATCH(C$7,'kc-Wert für Stützen'!$A$8:$ES$8,0)+7,4),,))</f>
        <v>17827.736542730443</v>
      </c>
      <c r="D103" s="768">
        <f ca="1">INDIRECT("'kc-Wert für Stützen'!"&amp;SUBSTITUTE(ADDRESS(MATCH($A103,'kc-Wert für Stützen'!$C:$C,0),MATCH(D$7,'kc-Wert für Stützen'!$A$8:$ES$8,0)+7,4),,))</f>
        <v>17101.381361026964</v>
      </c>
      <c r="E103" s="768">
        <f ca="1">INDIRECT("'kc-Wert für Stützen'!"&amp;SUBSTITUTE(ADDRESS(MATCH($A103,'kc-Wert für Stützen'!$C:$C,0),MATCH(E$7,'kc-Wert für Stützen'!$A$8:$ES$8,0)+7,4),,))</f>
        <v>16368.838400119657</v>
      </c>
      <c r="F103" s="768">
        <f ca="1">INDIRECT("'kc-Wert für Stützen'!"&amp;SUBSTITUTE(ADDRESS(MATCH($A103,'kc-Wert für Stützen'!$C:$C,0),MATCH(F$7,'kc-Wert für Stützen'!$A$8:$ES$8,0)+7,4),,))</f>
        <v>15643.088794802503</v>
      </c>
      <c r="G103" s="768">
        <f ca="1">INDIRECT("'kc-Wert für Stützen'!"&amp;SUBSTITUTE(ADDRESS(MATCH($A103,'kc-Wert für Stützen'!$C:$C,0),MATCH(G$7,'kc-Wert für Stützen'!$A$8:$ES$8,0)+7,4),,))</f>
        <v>14934.190400823194</v>
      </c>
      <c r="H103" s="768">
        <f ca="1">INDIRECT("'kc-Wert für Stützen'!"&amp;SUBSTITUTE(ADDRESS(MATCH($A103,'kc-Wert für Stützen'!$C:$C,0),MATCH(H$7,'kc-Wert für Stützen'!$A$8:$ES$8,0)+7,4),,))</f>
        <v>14249.243142560323</v>
      </c>
      <c r="I103" s="768">
        <f ca="1">INDIRECT("'kc-Wert für Stützen'!"&amp;SUBSTITUTE(ADDRESS(MATCH($A103,'kc-Wert für Stützen'!$C:$C,0),MATCH(I$7,'kc-Wert für Stützen'!$A$8:$ES$8,0)+7,4),,))</f>
        <v>13592.78728418498</v>
      </c>
      <c r="J103" s="768">
        <f ca="1">INDIRECT("'kc-Wert für Stützen'!"&amp;SUBSTITUTE(ADDRESS(MATCH($A103,'kc-Wert für Stützen'!$C:$C,0),MATCH(J$7,'kc-Wert für Stützen'!$A$8:$ES$8,0)+7,4),,))</f>
        <v>12967.350482198239</v>
      </c>
      <c r="K103" s="768">
        <f ca="1">INDIRECT("'kc-Wert für Stützen'!"&amp;SUBSTITUTE(ADDRESS(MATCH($A103,'kc-Wert für Stützen'!$C:$C,0),MATCH(K$7,'kc-Wert für Stützen'!$A$8:$ES$8,0)+7,4),,))</f>
        <v>12373.978199358893</v>
      </c>
      <c r="L103" s="768">
        <f ca="1">INDIRECT("'kc-Wert für Stützen'!"&amp;SUBSTITUTE(ADDRESS(MATCH($A103,'kc-Wert für Stützen'!$C:$C,0),MATCH(L$7,'kc-Wert für Stützen'!$A$8:$ES$8,0)+7,4),,))</f>
        <v>11812.677755814904</v>
      </c>
      <c r="M103" s="768">
        <f ca="1">INDIRECT("'kc-Wert für Stützen'!"&amp;SUBSTITUTE(ADDRESS(MATCH($A103,'kc-Wert für Stützen'!$C:$C,0),MATCH(M$7,'kc-Wert für Stützen'!$A$8:$ES$8,0)+7,4),,))</f>
        <v>11282.761498805494</v>
      </c>
      <c r="N103" s="768">
        <f ca="1">INDIRECT("'kc-Wert für Stützen'!"&amp;SUBSTITUTE(ADDRESS(MATCH($A103,'kc-Wert für Stützen'!$C:$C,0),MATCH(N$7,'kc-Wert für Stützen'!$A$8:$ES$8,0)+7,4),,))</f>
        <v>10783.099331507408</v>
      </c>
      <c r="O103" s="768">
        <f ca="1">INDIRECT("'kc-Wert für Stützen'!"&amp;SUBSTITUTE(ADDRESS(MATCH($A103,'kc-Wert für Stützen'!$C:$C,0),MATCH(O$7,'kc-Wert für Stützen'!$A$8:$ES$8,0)+7,4),,))</f>
        <v>10312.29852785655</v>
      </c>
      <c r="P103" s="768">
        <f ca="1">INDIRECT("'kc-Wert für Stützen'!"&amp;SUBSTITUTE(ADDRESS(MATCH($A103,'kc-Wert für Stützen'!$C:$C,0),MATCH(P$7,'kc-Wert für Stützen'!$A$8:$ES$8,0)+7,4),,))</f>
        <v>9868.8286375675943</v>
      </c>
      <c r="S103" s="772">
        <f t="shared" ca="1" si="31"/>
        <v>17101.381361026964</v>
      </c>
      <c r="T103" s="772">
        <f t="shared" ca="1" si="40"/>
        <v>17101.381361026964</v>
      </c>
      <c r="U103" s="772">
        <f t="shared" ca="1" si="40"/>
        <v>17101.381361026964</v>
      </c>
      <c r="V103" s="772">
        <f t="shared" ca="1" si="40"/>
        <v>16368.838400119657</v>
      </c>
      <c r="W103" s="772">
        <f t="shared" ca="1" si="40"/>
        <v>15643.088794802503</v>
      </c>
      <c r="X103" s="772">
        <f t="shared" ca="1" si="40"/>
        <v>14934.190400823194</v>
      </c>
      <c r="Y103" s="772">
        <f t="shared" ca="1" si="40"/>
        <v>14249.243142560323</v>
      </c>
      <c r="Z103" s="772">
        <f t="shared" ca="1" si="40"/>
        <v>17101.381361026964</v>
      </c>
      <c r="AA103" s="772">
        <f t="shared" ca="1" si="40"/>
        <v>17101.381361026964</v>
      </c>
      <c r="AB103" s="772">
        <f t="shared" ca="1" si="35"/>
        <v>16368.838400119657</v>
      </c>
      <c r="AC103" s="772">
        <f t="shared" ca="1" si="35"/>
        <v>16368.838400119657</v>
      </c>
      <c r="AD103" s="772">
        <f t="shared" ca="1" si="35"/>
        <v>15643.088794802503</v>
      </c>
      <c r="AE103" s="772">
        <f t="shared" ca="1" si="35"/>
        <v>15643.088794802503</v>
      </c>
      <c r="AF103" s="772">
        <f t="shared" ca="1" si="35"/>
        <v>14934.190400823194</v>
      </c>
      <c r="AG103" s="772">
        <f t="shared" ca="1" si="35"/>
        <v>14934.190400823194</v>
      </c>
      <c r="AH103" s="772">
        <f t="shared" ca="1" si="35"/>
        <v>14934.190400823194</v>
      </c>
      <c r="AI103" s="772">
        <f t="shared" ca="1" si="35"/>
        <v>17101.381361026964</v>
      </c>
      <c r="AJ103" s="772">
        <f t="shared" ca="1" si="35"/>
        <v>17101.381361026964</v>
      </c>
      <c r="AK103" s="772">
        <f t="shared" ca="1" si="35"/>
        <v>16368.838400119657</v>
      </c>
      <c r="AL103" s="772">
        <f t="shared" ca="1" si="35"/>
        <v>16368.838400119657</v>
      </c>
      <c r="AM103" s="772">
        <f t="shared" ca="1" si="35"/>
        <v>15643.088794802503</v>
      </c>
      <c r="AN103" s="772">
        <f t="shared" ca="1" si="35"/>
        <v>15643.088794802503</v>
      </c>
      <c r="AO103" s="772">
        <f t="shared" ca="1" si="35"/>
        <v>14934.190400823194</v>
      </c>
      <c r="AP103" s="772">
        <f t="shared" ref="AB103:AQ119" ca="1" si="41">HLOOKUP(AP$7,$A$7:$P$348,ROW()-6)</f>
        <v>14934.190400823194</v>
      </c>
      <c r="AQ103" s="772">
        <f t="shared" ca="1" si="41"/>
        <v>14934.190400823194</v>
      </c>
      <c r="AR103" s="772">
        <f t="shared" ca="1" si="37"/>
        <v>17101.381361026964</v>
      </c>
      <c r="AS103" s="772">
        <f t="shared" ca="1" si="37"/>
        <v>17101.381361026964</v>
      </c>
      <c r="AT103" s="772">
        <f t="shared" ca="1" si="37"/>
        <v>16368.838400119657</v>
      </c>
      <c r="AU103" s="772">
        <f t="shared" ca="1" si="37"/>
        <v>16368.838400119657</v>
      </c>
      <c r="AV103" s="772">
        <f t="shared" ca="1" si="37"/>
        <v>15643.088794802503</v>
      </c>
      <c r="AW103" s="772">
        <f t="shared" ca="1" si="37"/>
        <v>15643.088794802503</v>
      </c>
      <c r="AX103" s="772">
        <f t="shared" ca="1" si="37"/>
        <v>14934.190400823194</v>
      </c>
      <c r="AY103" s="772">
        <f t="shared" ca="1" si="37"/>
        <v>14934.190400823194</v>
      </c>
      <c r="AZ103" s="772">
        <f t="shared" ca="1" si="37"/>
        <v>14934.190400823194</v>
      </c>
      <c r="BA103" s="772">
        <f t="shared" ca="1" si="37"/>
        <v>17101.381361026964</v>
      </c>
      <c r="BB103" s="772">
        <f t="shared" ca="1" si="37"/>
        <v>17101.381361026964</v>
      </c>
      <c r="BC103" s="772">
        <f t="shared" ca="1" si="37"/>
        <v>16368.838400119657</v>
      </c>
      <c r="BD103" s="772">
        <f t="shared" ca="1" si="37"/>
        <v>15643.088794802503</v>
      </c>
      <c r="BE103" s="772">
        <f t="shared" ca="1" si="37"/>
        <v>15643.088794802503</v>
      </c>
      <c r="BF103" s="772">
        <f t="shared" ca="1" si="37"/>
        <v>14934.190400823194</v>
      </c>
      <c r="BG103" s="772">
        <f t="shared" ca="1" si="37"/>
        <v>14934.190400823194</v>
      </c>
      <c r="BH103" s="772">
        <f t="shared" ca="1" si="39"/>
        <v>14249.243142560323</v>
      </c>
      <c r="BI103" s="772">
        <f t="shared" ca="1" si="39"/>
        <v>14249.243142560323</v>
      </c>
      <c r="BJ103" s="772">
        <f t="shared" ca="1" si="39"/>
        <v>16368.838400119657</v>
      </c>
      <c r="BK103" s="772">
        <f t="shared" ca="1" si="39"/>
        <v>16368.838400119657</v>
      </c>
      <c r="BL103" s="772">
        <f t="shared" ca="1" si="39"/>
        <v>16368.838400119657</v>
      </c>
      <c r="BM103" s="772">
        <f t="shared" ca="1" si="39"/>
        <v>16368.838400119657</v>
      </c>
      <c r="BN103" s="772">
        <f t="shared" ca="1" si="39"/>
        <v>14934.190400823194</v>
      </c>
      <c r="BO103" s="772">
        <f t="shared" ca="1" si="38"/>
        <v>14934.190400823194</v>
      </c>
      <c r="BP103" s="772">
        <f t="shared" ca="1" si="38"/>
        <v>14249.243142560323</v>
      </c>
      <c r="BQ103" s="772">
        <f t="shared" ca="1" si="38"/>
        <v>14249.243142560323</v>
      </c>
      <c r="BR103" s="772">
        <f t="shared" ca="1" si="38"/>
        <v>13592.78728418498</v>
      </c>
      <c r="BS103" s="772">
        <f t="shared" ca="1" si="38"/>
        <v>16368.838400119657</v>
      </c>
      <c r="BT103" s="772">
        <f t="shared" ca="1" si="38"/>
        <v>16368.838400119657</v>
      </c>
      <c r="BU103" s="772">
        <f t="shared" ca="1" si="38"/>
        <v>16368.838400119657</v>
      </c>
      <c r="BV103" s="772">
        <f t="shared" ca="1" si="38"/>
        <v>15643.088794802503</v>
      </c>
      <c r="BW103" s="772">
        <f t="shared" ca="1" si="38"/>
        <v>15643.088794802503</v>
      </c>
      <c r="BX103" s="772">
        <f t="shared" ca="1" si="36"/>
        <v>14249.243142560323</v>
      </c>
      <c r="BY103" s="772">
        <f t="shared" ca="1" si="36"/>
        <v>14249.243142560323</v>
      </c>
      <c r="BZ103" s="772">
        <f t="shared" ca="1" si="36"/>
        <v>13592.78728418498</v>
      </c>
      <c r="CA103" s="772">
        <f t="shared" ca="1" si="36"/>
        <v>13592.78728418498</v>
      </c>
      <c r="CB103" s="772">
        <f t="shared" ca="1" si="36"/>
        <v>15643.088794802503</v>
      </c>
      <c r="CC103" s="772">
        <f t="shared" ca="1" si="36"/>
        <v>15643.088794802503</v>
      </c>
      <c r="CD103" s="772">
        <f t="shared" ca="1" si="36"/>
        <v>15643.088794802503</v>
      </c>
      <c r="CE103" s="772">
        <f t="shared" ca="1" si="36"/>
        <v>15643.088794802503</v>
      </c>
      <c r="CF103" s="772">
        <f t="shared" ca="1" si="36"/>
        <v>14934.190400823194</v>
      </c>
      <c r="CG103" s="772">
        <f t="shared" ca="1" si="36"/>
        <v>14249.243142560323</v>
      </c>
      <c r="CH103" s="772">
        <f t="shared" ca="1" si="36"/>
        <v>13592.78728418498</v>
      </c>
      <c r="CI103" s="772">
        <f t="shared" ca="1" si="36"/>
        <v>13592.78728418498</v>
      </c>
      <c r="CJ103" s="772">
        <f t="shared" ca="1" si="36"/>
        <v>12967.350482198239</v>
      </c>
    </row>
    <row r="104" spans="1:88" ht="15" customHeight="1">
      <c r="A104" s="770">
        <f>'kc-Wert für Stützen'!C104</f>
        <v>156</v>
      </c>
      <c r="B104" s="768">
        <f ca="1">INDIRECT("'kc-Wert für Stützen'!"&amp;SUBSTITUTE(ADDRESS(MATCH($A104,'kc-Wert für Stützen'!$C:$C,0),MATCH(B$7,'kc-Wert für Stützen'!$A$8:$ES$8,0)+7,4),,))</f>
        <v>18897.397940857016</v>
      </c>
      <c r="C104" s="768">
        <f ca="1">INDIRECT("'kc-Wert für Stützen'!"&amp;SUBSTITUTE(ADDRESS(MATCH($A104,'kc-Wert für Stützen'!$C:$C,0),MATCH(C$7,'kc-Wert für Stützen'!$A$8:$ES$8,0)+7,4),,))</f>
        <v>18193.389687502593</v>
      </c>
      <c r="D104" s="768">
        <f ca="1">INDIRECT("'kc-Wert für Stützen'!"&amp;SUBSTITUTE(ADDRESS(MATCH($A104,'kc-Wert für Stützen'!$C:$C,0),MATCH(D$7,'kc-Wert für Stützen'!$A$8:$ES$8,0)+7,4),,))</f>
        <v>17465.18507079612</v>
      </c>
      <c r="E104" s="768">
        <f ca="1">INDIRECT("'kc-Wert für Stützen'!"&amp;SUBSTITUTE(ADDRESS(MATCH($A104,'kc-Wert für Stützen'!$C:$C,0),MATCH(E$7,'kc-Wert für Stützen'!$A$8:$ES$8,0)+7,4),,))</f>
        <v>16728.014792052141</v>
      </c>
      <c r="F104" s="768">
        <f ca="1">INDIRECT("'kc-Wert für Stützen'!"&amp;SUBSTITUTE(ADDRESS(MATCH($A104,'kc-Wert für Stützen'!$C:$C,0),MATCH(F$7,'kc-Wert für Stützen'!$A$8:$ES$8,0)+7,4),,))</f>
        <v>15995.281516699833</v>
      </c>
      <c r="G104" s="768">
        <f ca="1">INDIRECT("'kc-Wert für Stützen'!"&amp;SUBSTITUTE(ADDRESS(MATCH($A104,'kc-Wert für Stützen'!$C:$C,0),MATCH(G$7,'kc-Wert für Stützen'!$A$8:$ES$8,0)+7,4),,))</f>
        <v>15277.588144850673</v>
      </c>
      <c r="H104" s="768">
        <f ca="1">INDIRECT("'kc-Wert für Stützen'!"&amp;SUBSTITUTE(ADDRESS(MATCH($A104,'kc-Wert für Stützen'!$C:$C,0),MATCH(H$7,'kc-Wert für Stützen'!$A$8:$ES$8,0)+7,4),,))</f>
        <v>14582.577502285279</v>
      </c>
      <c r="I104" s="768">
        <f ca="1">INDIRECT("'kc-Wert für Stützen'!"&amp;SUBSTITUTE(ADDRESS(MATCH($A104,'kc-Wert für Stützen'!$C:$C,0),MATCH(I$7,'kc-Wert für Stützen'!$A$8:$ES$8,0)+7,4),,))</f>
        <v>13915.261946987641</v>
      </c>
      <c r="J104" s="768">
        <f ca="1">INDIRECT("'kc-Wert für Stützen'!"&amp;SUBSTITUTE(ADDRESS(MATCH($A104,'kc-Wert für Stützen'!$C:$C,0),MATCH(J$7,'kc-Wert für Stützen'!$A$8:$ES$8,0)+7,4),,))</f>
        <v>13278.546729182835</v>
      </c>
      <c r="K104" s="768">
        <f ca="1">INDIRECT("'kc-Wert für Stützen'!"&amp;SUBSTITUTE(ADDRESS(MATCH($A104,'kc-Wert für Stützen'!$C:$C,0),MATCH(K$7,'kc-Wert für Stützen'!$A$8:$ES$8,0)+7,4),,))</f>
        <v>12673.762637467937</v>
      </c>
      <c r="L104" s="768">
        <f ca="1">INDIRECT("'kc-Wert für Stützen'!"&amp;SUBSTITUTE(ADDRESS(MATCH($A104,'kc-Wert für Stützen'!$C:$C,0),MATCH(L$7,'kc-Wert für Stützen'!$A$8:$ES$8,0)+7,4),,))</f>
        <v>12101.123517747041</v>
      </c>
      <c r="M104" s="768">
        <f ca="1">INDIRECT("'kc-Wert für Stützen'!"&amp;SUBSTITUTE(ADDRESS(MATCH($A104,'kc-Wert für Stützen'!$C:$C,0),MATCH(M$7,'kc-Wert für Stützen'!$A$8:$ES$8,0)+7,4),,))</f>
        <v>11560.085653870316</v>
      </c>
      <c r="N104" s="768">
        <f ca="1">INDIRECT("'kc-Wert für Stützen'!"&amp;SUBSTITUTE(ADDRESS(MATCH($A104,'kc-Wert für Stützen'!$C:$C,0),MATCH(N$7,'kc-Wert für Stützen'!$A$8:$ES$8,0)+7,4),,))</f>
        <v>11049.615297377904</v>
      </c>
      <c r="O104" s="768">
        <f ca="1">INDIRECT("'kc-Wert für Stützen'!"&amp;SUBSTITUTE(ADDRESS(MATCH($A104,'kc-Wert für Stützen'!$C:$C,0),MATCH(O$7,'kc-Wert für Stützen'!$A$8:$ES$8,0)+7,4),,))</f>
        <v>10568.380900765107</v>
      </c>
      <c r="P104" s="768">
        <f ca="1">INDIRECT("'kc-Wert für Stützen'!"&amp;SUBSTITUTE(ADDRESS(MATCH($A104,'kc-Wert für Stützen'!$C:$C,0),MATCH(P$7,'kc-Wert für Stützen'!$A$8:$ES$8,0)+7,4),,))</f>
        <v>10114.88771928258</v>
      </c>
      <c r="S104" s="772">
        <f t="shared" ca="1" si="31"/>
        <v>17465.18507079612</v>
      </c>
      <c r="T104" s="772">
        <f t="shared" ca="1" si="40"/>
        <v>17465.18507079612</v>
      </c>
      <c r="U104" s="772">
        <f t="shared" ca="1" si="40"/>
        <v>17465.18507079612</v>
      </c>
      <c r="V104" s="772">
        <f t="shared" ca="1" si="40"/>
        <v>16728.014792052141</v>
      </c>
      <c r="W104" s="772">
        <f t="shared" ca="1" si="40"/>
        <v>15995.281516699833</v>
      </c>
      <c r="X104" s="772">
        <f t="shared" ca="1" si="40"/>
        <v>15277.588144850673</v>
      </c>
      <c r="Y104" s="772">
        <f t="shared" ca="1" si="40"/>
        <v>14582.577502285279</v>
      </c>
      <c r="Z104" s="772">
        <f t="shared" ca="1" si="40"/>
        <v>17465.18507079612</v>
      </c>
      <c r="AA104" s="772">
        <f t="shared" ca="1" si="40"/>
        <v>17465.18507079612</v>
      </c>
      <c r="AB104" s="772">
        <f t="shared" ca="1" si="41"/>
        <v>16728.014792052141</v>
      </c>
      <c r="AC104" s="772">
        <f t="shared" ca="1" si="41"/>
        <v>16728.014792052141</v>
      </c>
      <c r="AD104" s="772">
        <f t="shared" ca="1" si="41"/>
        <v>15995.281516699833</v>
      </c>
      <c r="AE104" s="772">
        <f t="shared" ca="1" si="41"/>
        <v>15995.281516699833</v>
      </c>
      <c r="AF104" s="772">
        <f t="shared" ca="1" si="41"/>
        <v>15277.588144850673</v>
      </c>
      <c r="AG104" s="772">
        <f t="shared" ca="1" si="41"/>
        <v>15277.588144850673</v>
      </c>
      <c r="AH104" s="772">
        <f t="shared" ca="1" si="41"/>
        <v>15277.588144850673</v>
      </c>
      <c r="AI104" s="772">
        <f t="shared" ca="1" si="41"/>
        <v>17465.18507079612</v>
      </c>
      <c r="AJ104" s="772">
        <f t="shared" ca="1" si="41"/>
        <v>17465.18507079612</v>
      </c>
      <c r="AK104" s="772">
        <f t="shared" ca="1" si="41"/>
        <v>16728.014792052141</v>
      </c>
      <c r="AL104" s="772">
        <f t="shared" ca="1" si="41"/>
        <v>16728.014792052141</v>
      </c>
      <c r="AM104" s="772">
        <f t="shared" ca="1" si="41"/>
        <v>15995.281516699833</v>
      </c>
      <c r="AN104" s="772">
        <f t="shared" ca="1" si="41"/>
        <v>15995.281516699833</v>
      </c>
      <c r="AO104" s="772">
        <f t="shared" ca="1" si="41"/>
        <v>15277.588144850673</v>
      </c>
      <c r="AP104" s="772">
        <f t="shared" ca="1" si="41"/>
        <v>15277.588144850673</v>
      </c>
      <c r="AQ104" s="772">
        <f t="shared" ca="1" si="41"/>
        <v>15277.588144850673</v>
      </c>
      <c r="AR104" s="772">
        <f t="shared" ca="1" si="37"/>
        <v>17465.18507079612</v>
      </c>
      <c r="AS104" s="772">
        <f t="shared" ca="1" si="37"/>
        <v>17465.18507079612</v>
      </c>
      <c r="AT104" s="772">
        <f t="shared" ca="1" si="37"/>
        <v>16728.014792052141</v>
      </c>
      <c r="AU104" s="772">
        <f t="shared" ca="1" si="37"/>
        <v>16728.014792052141</v>
      </c>
      <c r="AV104" s="772">
        <f t="shared" ca="1" si="37"/>
        <v>15995.281516699833</v>
      </c>
      <c r="AW104" s="772">
        <f t="shared" ca="1" si="37"/>
        <v>15995.281516699833</v>
      </c>
      <c r="AX104" s="772">
        <f t="shared" ca="1" si="37"/>
        <v>15277.588144850673</v>
      </c>
      <c r="AY104" s="772">
        <f t="shared" ca="1" si="37"/>
        <v>15277.588144850673</v>
      </c>
      <c r="AZ104" s="772">
        <f t="shared" ca="1" si="37"/>
        <v>15277.588144850673</v>
      </c>
      <c r="BA104" s="772">
        <f t="shared" ca="1" si="37"/>
        <v>17465.18507079612</v>
      </c>
      <c r="BB104" s="772">
        <f t="shared" ca="1" si="37"/>
        <v>17465.18507079612</v>
      </c>
      <c r="BC104" s="772">
        <f t="shared" ca="1" si="37"/>
        <v>16728.014792052141</v>
      </c>
      <c r="BD104" s="772">
        <f t="shared" ca="1" si="37"/>
        <v>15995.281516699833</v>
      </c>
      <c r="BE104" s="772">
        <f t="shared" ca="1" si="37"/>
        <v>15995.281516699833</v>
      </c>
      <c r="BF104" s="772">
        <f t="shared" ca="1" si="37"/>
        <v>15277.588144850673</v>
      </c>
      <c r="BG104" s="772">
        <f t="shared" ca="1" si="37"/>
        <v>15277.588144850673</v>
      </c>
      <c r="BH104" s="772">
        <f t="shared" ca="1" si="39"/>
        <v>14582.577502285279</v>
      </c>
      <c r="BI104" s="772">
        <f t="shared" ca="1" si="39"/>
        <v>14582.577502285279</v>
      </c>
      <c r="BJ104" s="772">
        <f t="shared" ca="1" si="39"/>
        <v>16728.014792052141</v>
      </c>
      <c r="BK104" s="772">
        <f t="shared" ca="1" si="39"/>
        <v>16728.014792052141</v>
      </c>
      <c r="BL104" s="772">
        <f t="shared" ca="1" si="39"/>
        <v>16728.014792052141</v>
      </c>
      <c r="BM104" s="772">
        <f t="shared" ca="1" si="39"/>
        <v>16728.014792052141</v>
      </c>
      <c r="BN104" s="772">
        <f t="shared" ca="1" si="39"/>
        <v>15277.588144850673</v>
      </c>
      <c r="BO104" s="772">
        <f t="shared" ca="1" si="38"/>
        <v>15277.588144850673</v>
      </c>
      <c r="BP104" s="772">
        <f t="shared" ca="1" si="38"/>
        <v>14582.577502285279</v>
      </c>
      <c r="BQ104" s="772">
        <f t="shared" ca="1" si="38"/>
        <v>14582.577502285279</v>
      </c>
      <c r="BR104" s="772">
        <f t="shared" ca="1" si="38"/>
        <v>13915.261946987641</v>
      </c>
      <c r="BS104" s="772">
        <f t="shared" ca="1" si="38"/>
        <v>16728.014792052141</v>
      </c>
      <c r="BT104" s="772">
        <f t="shared" ca="1" si="38"/>
        <v>16728.014792052141</v>
      </c>
      <c r="BU104" s="772">
        <f t="shared" ca="1" si="38"/>
        <v>16728.014792052141</v>
      </c>
      <c r="BV104" s="772">
        <f t="shared" ca="1" si="38"/>
        <v>15995.281516699833</v>
      </c>
      <c r="BW104" s="772">
        <f t="shared" ca="1" si="38"/>
        <v>15995.281516699833</v>
      </c>
      <c r="BX104" s="772">
        <f t="shared" ca="1" si="36"/>
        <v>14582.577502285279</v>
      </c>
      <c r="BY104" s="772">
        <f t="shared" ca="1" si="36"/>
        <v>14582.577502285279</v>
      </c>
      <c r="BZ104" s="772">
        <f t="shared" ca="1" si="36"/>
        <v>13915.261946987641</v>
      </c>
      <c r="CA104" s="772">
        <f t="shared" ca="1" si="36"/>
        <v>13915.261946987641</v>
      </c>
      <c r="CB104" s="772">
        <f t="shared" ca="1" si="36"/>
        <v>15995.281516699833</v>
      </c>
      <c r="CC104" s="772">
        <f t="shared" ca="1" si="36"/>
        <v>15995.281516699833</v>
      </c>
      <c r="CD104" s="772">
        <f t="shared" ca="1" si="36"/>
        <v>15995.281516699833</v>
      </c>
      <c r="CE104" s="772">
        <f t="shared" ca="1" si="36"/>
        <v>15995.281516699833</v>
      </c>
      <c r="CF104" s="772">
        <f t="shared" ca="1" si="36"/>
        <v>15277.588144850673</v>
      </c>
      <c r="CG104" s="772">
        <f t="shared" ca="1" si="36"/>
        <v>14582.577502285279</v>
      </c>
      <c r="CH104" s="772">
        <f t="shared" ca="1" si="36"/>
        <v>13915.261946987641</v>
      </c>
      <c r="CI104" s="772">
        <f t="shared" ca="1" si="36"/>
        <v>13915.261946987641</v>
      </c>
      <c r="CJ104" s="772">
        <f t="shared" ca="1" si="36"/>
        <v>13278.546729182835</v>
      </c>
    </row>
    <row r="105" spans="1:88" ht="15" customHeight="1">
      <c r="A105" s="770">
        <f>'kc-Wert für Stützen'!C105</f>
        <v>157</v>
      </c>
      <c r="B105" s="768">
        <f ca="1">INDIRECT("'kc-Wert für Stützen'!"&amp;SUBSTITUTE(ADDRESS(MATCH($A105,'kc-Wert für Stützen'!$C:$C,0),MATCH(B$7,'kc-Wert für Stützen'!$A$8:$ES$8,0)+7,4),,))</f>
        <v>19263.846694624448</v>
      </c>
      <c r="C105" s="768">
        <f ca="1">INDIRECT("'kc-Wert für Stützen'!"&amp;SUBSTITUTE(ADDRESS(MATCH($A105,'kc-Wert für Stützen'!$C:$C,0),MATCH(C$7,'kc-Wert für Stützen'!$A$8:$ES$8,0)+7,4),,))</f>
        <v>18561.415032918056</v>
      </c>
      <c r="D105" s="768">
        <f ca="1">INDIRECT("'kc-Wert für Stützen'!"&amp;SUBSTITUTE(ADDRESS(MATCH($A105,'kc-Wert für Stützen'!$C:$C,0),MATCH(D$7,'kc-Wert für Stützen'!$A$8:$ES$8,0)+7,4),,))</f>
        <v>17831.911021143045</v>
      </c>
      <c r="E105" s="768">
        <f ca="1">INDIRECT("'kc-Wert für Stützen'!"&amp;SUBSTITUTE(ADDRESS(MATCH($A105,'kc-Wert für Stützen'!$C:$C,0),MATCH(E$7,'kc-Wert für Stützen'!$A$8:$ES$8,0)+7,4),,))</f>
        <v>17090.628106162363</v>
      </c>
      <c r="F105" s="768">
        <f ca="1">INDIRECT("'kc-Wert für Stützen'!"&amp;SUBSTITUTE(ADDRESS(MATCH($A105,'kc-Wert für Stützen'!$C:$C,0),MATCH(F$7,'kc-Wert für Stützen'!$A$8:$ES$8,0)+7,4),,))</f>
        <v>16351.343127169852</v>
      </c>
      <c r="G105" s="768">
        <f ca="1">INDIRECT("'kc-Wert für Stützen'!"&amp;SUBSTITUTE(ADDRESS(MATCH($A105,'kc-Wert für Stützen'!$C:$C,0),MATCH(G$7,'kc-Wert für Stützen'!$A$8:$ES$8,0)+7,4),,))</f>
        <v>15625.184504879233</v>
      </c>
      <c r="H105" s="768">
        <f ca="1">INDIRECT("'kc-Wert für Stützen'!"&amp;SUBSTITUTE(ADDRESS(MATCH($A105,'kc-Wert für Stützen'!$C:$C,0),MATCH(H$7,'kc-Wert für Stützen'!$A$8:$ES$8,0)+7,4),,))</f>
        <v>14920.338994144968</v>
      </c>
      <c r="I105" s="768">
        <f ca="1">INDIRECT("'kc-Wert für Stützen'!"&amp;SUBSTITUTE(ADDRESS(MATCH($A105,'kc-Wert für Stützen'!$C:$C,0),MATCH(I$7,'kc-Wert für Stützen'!$A$8:$ES$8,0)+7,4),,))</f>
        <v>14242.303230175094</v>
      </c>
      <c r="J105" s="768">
        <f ca="1">INDIRECT("'kc-Wert für Stützen'!"&amp;SUBSTITUTE(ADDRESS(MATCH($A105,'kc-Wert für Stützen'!$C:$C,0),MATCH(J$7,'kc-Wert für Stützen'!$A$8:$ES$8,0)+7,4),,))</f>
        <v>13594.37624999326</v>
      </c>
      <c r="K105" s="768">
        <f ca="1">INDIRECT("'kc-Wert für Stützen'!"&amp;SUBSTITUTE(ADDRESS(MATCH($A105,'kc-Wert für Stützen'!$C:$C,0),MATCH(K$7,'kc-Wert für Stützen'!$A$8:$ES$8,0)+7,4),,))</f>
        <v>12978.190235014965</v>
      </c>
      <c r="L105" s="768">
        <f ca="1">INDIRECT("'kc-Wert für Stützen'!"&amp;SUBSTITUTE(ADDRESS(MATCH($A105,'kc-Wert für Stützen'!$C:$C,0),MATCH(L$7,'kc-Wert für Stützen'!$A$8:$ES$8,0)+7,4),,))</f>
        <v>12394.179623904738</v>
      </c>
      <c r="M105" s="768">
        <f ca="1">INDIRECT("'kc-Wert für Stützen'!"&amp;SUBSTITUTE(ADDRESS(MATCH($A105,'kc-Wert für Stützen'!$C:$C,0),MATCH(M$7,'kc-Wert für Stützen'!$A$8:$ES$8,0)+7,4),,))</f>
        <v>11841.956155231352</v>
      </c>
      <c r="N105" s="768">
        <f ca="1">INDIRECT("'kc-Wert für Stützen'!"&amp;SUBSTITUTE(ADDRESS(MATCH($A105,'kc-Wert für Stützen'!$C:$C,0),MATCH(N$7,'kc-Wert für Stützen'!$A$8:$ES$8,0)+7,4),,))</f>
        <v>11320.591495134373</v>
      </c>
      <c r="O105" s="768">
        <f ca="1">INDIRECT("'kc-Wert für Stützen'!"&amp;SUBSTITUTE(ADDRESS(MATCH($A105,'kc-Wert für Stützen'!$C:$C,0),MATCH(O$7,'kc-Wert für Stützen'!$A$8:$ES$8,0)+7,4),,))</f>
        <v>10828.822237418222</v>
      </c>
      <c r="P105" s="768">
        <f ca="1">INDIRECT("'kc-Wert für Stützen'!"&amp;SUBSTITUTE(ADDRESS(MATCH($A105,'kc-Wert für Stützen'!$C:$C,0),MATCH(P$7,'kc-Wert für Stützen'!$A$8:$ES$8,0)+7,4),,))</f>
        <v>10365.19460397834</v>
      </c>
      <c r="S105" s="772">
        <f t="shared" ca="1" si="31"/>
        <v>17831.911021143045</v>
      </c>
      <c r="T105" s="772">
        <f t="shared" ca="1" si="40"/>
        <v>17831.911021143045</v>
      </c>
      <c r="U105" s="772">
        <f t="shared" ca="1" si="40"/>
        <v>17831.911021143045</v>
      </c>
      <c r="V105" s="772">
        <f t="shared" ca="1" si="40"/>
        <v>17090.628106162363</v>
      </c>
      <c r="W105" s="772">
        <f t="shared" ca="1" si="40"/>
        <v>16351.343127169852</v>
      </c>
      <c r="X105" s="772">
        <f t="shared" ca="1" si="40"/>
        <v>15625.184504879233</v>
      </c>
      <c r="Y105" s="772">
        <f t="shared" ca="1" si="40"/>
        <v>14920.338994144968</v>
      </c>
      <c r="Z105" s="772">
        <f t="shared" ca="1" si="40"/>
        <v>17831.911021143045</v>
      </c>
      <c r="AA105" s="772">
        <f t="shared" ca="1" si="40"/>
        <v>17831.911021143045</v>
      </c>
      <c r="AB105" s="772">
        <f t="shared" ca="1" si="41"/>
        <v>17090.628106162363</v>
      </c>
      <c r="AC105" s="772">
        <f t="shared" ca="1" si="41"/>
        <v>17090.628106162363</v>
      </c>
      <c r="AD105" s="772">
        <f t="shared" ca="1" si="41"/>
        <v>16351.343127169852</v>
      </c>
      <c r="AE105" s="772">
        <f t="shared" ca="1" si="41"/>
        <v>16351.343127169852</v>
      </c>
      <c r="AF105" s="772">
        <f t="shared" ca="1" si="41"/>
        <v>15625.184504879233</v>
      </c>
      <c r="AG105" s="772">
        <f t="shared" ca="1" si="41"/>
        <v>15625.184504879233</v>
      </c>
      <c r="AH105" s="772">
        <f t="shared" ca="1" si="41"/>
        <v>15625.184504879233</v>
      </c>
      <c r="AI105" s="772">
        <f t="shared" ca="1" si="41"/>
        <v>17831.911021143045</v>
      </c>
      <c r="AJ105" s="772">
        <f t="shared" ca="1" si="41"/>
        <v>17831.911021143045</v>
      </c>
      <c r="AK105" s="772">
        <f t="shared" ca="1" si="41"/>
        <v>17090.628106162363</v>
      </c>
      <c r="AL105" s="772">
        <f t="shared" ca="1" si="41"/>
        <v>17090.628106162363</v>
      </c>
      <c r="AM105" s="772">
        <f t="shared" ca="1" si="41"/>
        <v>16351.343127169852</v>
      </c>
      <c r="AN105" s="772">
        <f t="shared" ca="1" si="41"/>
        <v>16351.343127169852</v>
      </c>
      <c r="AO105" s="772">
        <f t="shared" ca="1" si="41"/>
        <v>15625.184504879233</v>
      </c>
      <c r="AP105" s="772">
        <f t="shared" ca="1" si="41"/>
        <v>15625.184504879233</v>
      </c>
      <c r="AQ105" s="772">
        <f t="shared" ca="1" si="41"/>
        <v>15625.184504879233</v>
      </c>
      <c r="AR105" s="772">
        <f t="shared" ca="1" si="37"/>
        <v>17831.911021143045</v>
      </c>
      <c r="AS105" s="772">
        <f t="shared" ca="1" si="37"/>
        <v>17831.911021143045</v>
      </c>
      <c r="AT105" s="772">
        <f t="shared" ca="1" si="37"/>
        <v>17090.628106162363</v>
      </c>
      <c r="AU105" s="772">
        <f t="shared" ca="1" si="37"/>
        <v>17090.628106162363</v>
      </c>
      <c r="AV105" s="772">
        <f t="shared" ca="1" si="37"/>
        <v>16351.343127169852</v>
      </c>
      <c r="AW105" s="772">
        <f t="shared" ca="1" si="37"/>
        <v>16351.343127169852</v>
      </c>
      <c r="AX105" s="772">
        <f t="shared" ca="1" si="37"/>
        <v>15625.184504879233</v>
      </c>
      <c r="AY105" s="772">
        <f t="shared" ca="1" si="37"/>
        <v>15625.184504879233</v>
      </c>
      <c r="AZ105" s="772">
        <f t="shared" ca="1" si="37"/>
        <v>15625.184504879233</v>
      </c>
      <c r="BA105" s="772">
        <f t="shared" ca="1" si="37"/>
        <v>17831.911021143045</v>
      </c>
      <c r="BB105" s="772">
        <f t="shared" ca="1" si="37"/>
        <v>17831.911021143045</v>
      </c>
      <c r="BC105" s="772">
        <f t="shared" ca="1" si="37"/>
        <v>17090.628106162363</v>
      </c>
      <c r="BD105" s="772">
        <f t="shared" ca="1" si="37"/>
        <v>16351.343127169852</v>
      </c>
      <c r="BE105" s="772">
        <f t="shared" ca="1" si="37"/>
        <v>16351.343127169852</v>
      </c>
      <c r="BF105" s="772">
        <f t="shared" ca="1" si="37"/>
        <v>15625.184504879233</v>
      </c>
      <c r="BG105" s="772">
        <f t="shared" ca="1" si="37"/>
        <v>15625.184504879233</v>
      </c>
      <c r="BH105" s="772">
        <f t="shared" ca="1" si="39"/>
        <v>14920.338994144968</v>
      </c>
      <c r="BI105" s="772">
        <f t="shared" ca="1" si="39"/>
        <v>14920.338994144968</v>
      </c>
      <c r="BJ105" s="772">
        <f t="shared" ca="1" si="39"/>
        <v>17090.628106162363</v>
      </c>
      <c r="BK105" s="772">
        <f t="shared" ca="1" si="39"/>
        <v>17090.628106162363</v>
      </c>
      <c r="BL105" s="772">
        <f t="shared" ca="1" si="39"/>
        <v>17090.628106162363</v>
      </c>
      <c r="BM105" s="772">
        <f t="shared" ca="1" si="39"/>
        <v>17090.628106162363</v>
      </c>
      <c r="BN105" s="772">
        <f t="shared" ca="1" si="39"/>
        <v>15625.184504879233</v>
      </c>
      <c r="BO105" s="772">
        <f t="shared" ca="1" si="38"/>
        <v>15625.184504879233</v>
      </c>
      <c r="BP105" s="772">
        <f t="shared" ca="1" si="38"/>
        <v>14920.338994144968</v>
      </c>
      <c r="BQ105" s="772">
        <f t="shared" ca="1" si="38"/>
        <v>14920.338994144968</v>
      </c>
      <c r="BR105" s="772">
        <f t="shared" ca="1" si="38"/>
        <v>14242.303230175094</v>
      </c>
      <c r="BS105" s="772">
        <f t="shared" ca="1" si="38"/>
        <v>17090.628106162363</v>
      </c>
      <c r="BT105" s="772">
        <f t="shared" ca="1" si="38"/>
        <v>17090.628106162363</v>
      </c>
      <c r="BU105" s="772">
        <f t="shared" ca="1" si="38"/>
        <v>17090.628106162363</v>
      </c>
      <c r="BV105" s="772">
        <f t="shared" ca="1" si="38"/>
        <v>16351.343127169852</v>
      </c>
      <c r="BW105" s="772">
        <f t="shared" ca="1" si="38"/>
        <v>16351.343127169852</v>
      </c>
      <c r="BX105" s="772">
        <f t="shared" ca="1" si="36"/>
        <v>14920.338994144968</v>
      </c>
      <c r="BY105" s="772">
        <f t="shared" ca="1" si="36"/>
        <v>14920.338994144968</v>
      </c>
      <c r="BZ105" s="772">
        <f t="shared" ca="1" si="36"/>
        <v>14242.303230175094</v>
      </c>
      <c r="CA105" s="772">
        <f t="shared" ca="1" si="36"/>
        <v>14242.303230175094</v>
      </c>
      <c r="CB105" s="772">
        <f t="shared" ca="1" si="36"/>
        <v>16351.343127169852</v>
      </c>
      <c r="CC105" s="772">
        <f t="shared" ca="1" si="36"/>
        <v>16351.343127169852</v>
      </c>
      <c r="CD105" s="772">
        <f t="shared" ca="1" si="36"/>
        <v>16351.343127169852</v>
      </c>
      <c r="CE105" s="772">
        <f t="shared" ca="1" si="36"/>
        <v>16351.343127169852</v>
      </c>
      <c r="CF105" s="772">
        <f t="shared" ca="1" si="36"/>
        <v>15625.184504879233</v>
      </c>
      <c r="CG105" s="772">
        <f t="shared" ca="1" si="36"/>
        <v>14920.338994144968</v>
      </c>
      <c r="CH105" s="772">
        <f t="shared" ca="1" si="36"/>
        <v>14242.303230175094</v>
      </c>
      <c r="CI105" s="772">
        <f t="shared" ca="1" si="36"/>
        <v>14242.303230175094</v>
      </c>
      <c r="CJ105" s="772">
        <f t="shared" ca="1" si="36"/>
        <v>13594.37624999326</v>
      </c>
    </row>
    <row r="106" spans="1:88" ht="15" customHeight="1">
      <c r="A106" s="770">
        <f>'kc-Wert für Stützen'!C106</f>
        <v>158</v>
      </c>
      <c r="B106" s="768">
        <f ca="1">INDIRECT("'kc-Wert für Stützen'!"&amp;SUBSTITUTE(ADDRESS(MATCH($A106,'kc-Wert für Stützen'!$C:$C,0),MATCH(B$7,'kc-Wert für Stützen'!$A$8:$ES$8,0)+7,4),,))</f>
        <v>19632.072461690779</v>
      </c>
      <c r="C106" s="768">
        <f ca="1">INDIRECT("'kc-Wert für Stützen'!"&amp;SUBSTITUTE(ADDRESS(MATCH($A106,'kc-Wert für Stützen'!$C:$C,0),MATCH(C$7,'kc-Wert für Stützen'!$A$8:$ES$8,0)+7,4),,))</f>
        <v>18931.712596195033</v>
      </c>
      <c r="D106" s="768">
        <f ca="1">INDIRECT("'kc-Wert für Stützen'!"&amp;SUBSTITUTE(ADDRESS(MATCH($A106,'kc-Wert für Stützen'!$C:$C,0),MATCH(D$7,'kc-Wert für Stützen'!$A$8:$ES$8,0)+7,4),,))</f>
        <v>18201.454902649384</v>
      </c>
      <c r="E106" s="768">
        <f ca="1">INDIRECT("'kc-Wert für Stützen'!"&amp;SUBSTITUTE(ADDRESS(MATCH($A106,'kc-Wert für Stützen'!$C:$C,0),MATCH(E$7,'kc-Wert für Stützen'!$A$8:$ES$8,0)+7,4),,))</f>
        <v>17456.582195529278</v>
      </c>
      <c r="F106" s="768">
        <f ca="1">INDIRECT("'kc-Wert für Stützen'!"&amp;SUBSTITUTE(ADDRESS(MATCH($A106,'kc-Wert für Stützen'!$C:$C,0),MATCH(F$7,'kc-Wert für Stützen'!$A$8:$ES$8,0)+7,4),,))</f>
        <v>16711.193608601312</v>
      </c>
      <c r="G106" s="768">
        <f ca="1">INDIRECT("'kc-Wert für Stützen'!"&amp;SUBSTITUTE(ADDRESS(MATCH($A106,'kc-Wert für Stützen'!$C:$C,0),MATCH(G$7,'kc-Wert für Stützen'!$A$8:$ES$8,0)+7,4),,))</f>
        <v>15976.918840136668</v>
      </c>
      <c r="H106" s="768">
        <f ca="1">INDIRECT("'kc-Wert für Stützen'!"&amp;SUBSTITUTE(ADDRESS(MATCH($A106,'kc-Wert für Stützen'!$C:$C,0),MATCH(H$7,'kc-Wert für Stützen'!$A$8:$ES$8,0)+7,4),,))</f>
        <v>15262.486206069769</v>
      </c>
      <c r="I106" s="768">
        <f ca="1">INDIRECT("'kc-Wert für Stützen'!"&amp;SUBSTITUTE(ADDRESS(MATCH($A106,'kc-Wert für Stützen'!$C:$C,0),MATCH(I$7,'kc-Wert für Stützen'!$A$8:$ES$8,0)+7,4),,))</f>
        <v>14573.886939788184</v>
      </c>
      <c r="J106" s="768">
        <f ca="1">INDIRECT("'kc-Wert für Stützen'!"&amp;SUBSTITUTE(ADDRESS(MATCH($A106,'kc-Wert für Stützen'!$C:$C,0),MATCH(J$7,'kc-Wert für Stützen'!$A$8:$ES$8,0)+7,4),,))</f>
        <v>13914.829337682635</v>
      </c>
      <c r="K106" s="768">
        <f ca="1">INDIRECT("'kc-Wert für Stützen'!"&amp;SUBSTITUTE(ADDRESS(MATCH($A106,'kc-Wert für Stützen'!$C:$C,0),MATCH(K$7,'kc-Wert für Stützen'!$A$8:$ES$8,0)+7,4),,))</f>
        <v>13287.262991932777</v>
      </c>
      <c r="L106" s="768">
        <f ca="1">INDIRECT("'kc-Wert für Stützen'!"&amp;SUBSTITUTE(ADDRESS(MATCH($A106,'kc-Wert für Stützen'!$C:$C,0),MATCH(L$7,'kc-Wert für Stützen'!$A$8:$ES$8,0)+7,4),,))</f>
        <v>12691.857273821497</v>
      </c>
      <c r="M106" s="768">
        <f ca="1">INDIRECT("'kc-Wert für Stützen'!"&amp;SUBSTITUTE(ADDRESS(MATCH($A106,'kc-Wert für Stützen'!$C:$C,0),MATCH(M$7,'kc-Wert für Stützen'!$A$8:$ES$8,0)+7,4),,))</f>
        <v>12128.391280201206</v>
      </c>
      <c r="N106" s="768">
        <f ca="1">INDIRECT("'kc-Wert für Stützen'!"&amp;SUBSTITUTE(ADDRESS(MATCH($A106,'kc-Wert für Stützen'!$C:$C,0),MATCH(N$7,'kc-Wert für Stützen'!$A$8:$ES$8,0)+7,4),,))</f>
        <v>11596.051548674101</v>
      </c>
      <c r="O106" s="768">
        <f ca="1">INDIRECT("'kc-Wert für Stützen'!"&amp;SUBSTITUTE(ADDRESS(MATCH($A106,'kc-Wert für Stützen'!$C:$C,0),MATCH(O$7,'kc-Wert für Stützen'!$A$8:$ES$8,0)+7,4),,))</f>
        <v>11093.650126327866</v>
      </c>
      <c r="P106" s="768">
        <f ca="1">INDIRECT("'kc-Wert für Stützen'!"&amp;SUBSTITUTE(ADDRESS(MATCH($A106,'kc-Wert für Stützen'!$C:$C,0),MATCH(P$7,'kc-Wert für Stützen'!$A$8:$ES$8,0)+7,4),,))</f>
        <v>10619.779756162612</v>
      </c>
      <c r="S106" s="772">
        <f t="shared" ca="1" si="31"/>
        <v>18201.454902649384</v>
      </c>
      <c r="T106" s="772">
        <f t="shared" ca="1" si="40"/>
        <v>18201.454902649384</v>
      </c>
      <c r="U106" s="772">
        <f t="shared" ca="1" si="40"/>
        <v>18201.454902649384</v>
      </c>
      <c r="V106" s="772">
        <f t="shared" ca="1" si="40"/>
        <v>17456.582195529278</v>
      </c>
      <c r="W106" s="772">
        <f t="shared" ca="1" si="40"/>
        <v>16711.193608601312</v>
      </c>
      <c r="X106" s="772">
        <f t="shared" ca="1" si="40"/>
        <v>15976.918840136668</v>
      </c>
      <c r="Y106" s="772">
        <f t="shared" ca="1" si="40"/>
        <v>15262.486206069769</v>
      </c>
      <c r="Z106" s="772">
        <f t="shared" ca="1" si="40"/>
        <v>18201.454902649384</v>
      </c>
      <c r="AA106" s="772">
        <f t="shared" ca="1" si="40"/>
        <v>18201.454902649384</v>
      </c>
      <c r="AB106" s="772">
        <f t="shared" ca="1" si="41"/>
        <v>17456.582195529278</v>
      </c>
      <c r="AC106" s="772">
        <f t="shared" ca="1" si="41"/>
        <v>17456.582195529278</v>
      </c>
      <c r="AD106" s="772">
        <f t="shared" ca="1" si="41"/>
        <v>16711.193608601312</v>
      </c>
      <c r="AE106" s="772">
        <f t="shared" ca="1" si="41"/>
        <v>16711.193608601312</v>
      </c>
      <c r="AF106" s="772">
        <f t="shared" ca="1" si="41"/>
        <v>15976.918840136668</v>
      </c>
      <c r="AG106" s="772">
        <f t="shared" ca="1" si="41"/>
        <v>15976.918840136668</v>
      </c>
      <c r="AH106" s="772">
        <f t="shared" ca="1" si="41"/>
        <v>15976.918840136668</v>
      </c>
      <c r="AI106" s="772">
        <f t="shared" ca="1" si="41"/>
        <v>18201.454902649384</v>
      </c>
      <c r="AJ106" s="772">
        <f t="shared" ca="1" si="41"/>
        <v>18201.454902649384</v>
      </c>
      <c r="AK106" s="772">
        <f t="shared" ca="1" si="41"/>
        <v>17456.582195529278</v>
      </c>
      <c r="AL106" s="772">
        <f t="shared" ca="1" si="41"/>
        <v>17456.582195529278</v>
      </c>
      <c r="AM106" s="772">
        <f t="shared" ca="1" si="41"/>
        <v>16711.193608601312</v>
      </c>
      <c r="AN106" s="772">
        <f t="shared" ca="1" si="41"/>
        <v>16711.193608601312</v>
      </c>
      <c r="AO106" s="772">
        <f t="shared" ca="1" si="41"/>
        <v>15976.918840136668</v>
      </c>
      <c r="AP106" s="772">
        <f t="shared" ca="1" si="41"/>
        <v>15976.918840136668</v>
      </c>
      <c r="AQ106" s="772">
        <f t="shared" ca="1" si="41"/>
        <v>15976.918840136668</v>
      </c>
      <c r="AR106" s="772">
        <f t="shared" ca="1" si="37"/>
        <v>18201.454902649384</v>
      </c>
      <c r="AS106" s="772">
        <f t="shared" ca="1" si="37"/>
        <v>18201.454902649384</v>
      </c>
      <c r="AT106" s="772">
        <f t="shared" ca="1" si="37"/>
        <v>17456.582195529278</v>
      </c>
      <c r="AU106" s="772">
        <f t="shared" ca="1" si="37"/>
        <v>17456.582195529278</v>
      </c>
      <c r="AV106" s="772">
        <f t="shared" ca="1" si="37"/>
        <v>16711.193608601312</v>
      </c>
      <c r="AW106" s="772">
        <f t="shared" ca="1" si="37"/>
        <v>16711.193608601312</v>
      </c>
      <c r="AX106" s="772">
        <f t="shared" ca="1" si="37"/>
        <v>15976.918840136668</v>
      </c>
      <c r="AY106" s="772">
        <f t="shared" ca="1" si="37"/>
        <v>15976.918840136668</v>
      </c>
      <c r="AZ106" s="772">
        <f t="shared" ca="1" si="37"/>
        <v>15976.918840136668</v>
      </c>
      <c r="BA106" s="772">
        <f t="shared" ca="1" si="37"/>
        <v>18201.454902649384</v>
      </c>
      <c r="BB106" s="772">
        <f t="shared" ca="1" si="37"/>
        <v>18201.454902649384</v>
      </c>
      <c r="BC106" s="772">
        <f t="shared" ca="1" si="37"/>
        <v>17456.582195529278</v>
      </c>
      <c r="BD106" s="772">
        <f t="shared" ca="1" si="37"/>
        <v>16711.193608601312</v>
      </c>
      <c r="BE106" s="772">
        <f t="shared" ca="1" si="37"/>
        <v>16711.193608601312</v>
      </c>
      <c r="BF106" s="772">
        <f t="shared" ca="1" si="37"/>
        <v>15976.918840136668</v>
      </c>
      <c r="BG106" s="772">
        <f t="shared" ca="1" si="37"/>
        <v>15976.918840136668</v>
      </c>
      <c r="BH106" s="772">
        <f t="shared" ca="1" si="39"/>
        <v>15262.486206069769</v>
      </c>
      <c r="BI106" s="772">
        <f t="shared" ca="1" si="39"/>
        <v>15262.486206069769</v>
      </c>
      <c r="BJ106" s="772">
        <f t="shared" ca="1" si="39"/>
        <v>17456.582195529278</v>
      </c>
      <c r="BK106" s="772">
        <f t="shared" ca="1" si="39"/>
        <v>17456.582195529278</v>
      </c>
      <c r="BL106" s="772">
        <f t="shared" ca="1" si="39"/>
        <v>17456.582195529278</v>
      </c>
      <c r="BM106" s="772">
        <f t="shared" ca="1" si="39"/>
        <v>17456.582195529278</v>
      </c>
      <c r="BN106" s="772">
        <f t="shared" ca="1" si="39"/>
        <v>15976.918840136668</v>
      </c>
      <c r="BO106" s="772">
        <f t="shared" ca="1" si="38"/>
        <v>15976.918840136668</v>
      </c>
      <c r="BP106" s="772">
        <f t="shared" ca="1" si="38"/>
        <v>15262.486206069769</v>
      </c>
      <c r="BQ106" s="772">
        <f t="shared" ca="1" si="38"/>
        <v>15262.486206069769</v>
      </c>
      <c r="BR106" s="772">
        <f t="shared" ca="1" si="38"/>
        <v>14573.886939788184</v>
      </c>
      <c r="BS106" s="772">
        <f t="shared" ca="1" si="38"/>
        <v>17456.582195529278</v>
      </c>
      <c r="BT106" s="772">
        <f t="shared" ca="1" si="38"/>
        <v>17456.582195529278</v>
      </c>
      <c r="BU106" s="772">
        <f t="shared" ca="1" si="38"/>
        <v>17456.582195529278</v>
      </c>
      <c r="BV106" s="772">
        <f t="shared" ca="1" si="38"/>
        <v>16711.193608601312</v>
      </c>
      <c r="BW106" s="772">
        <f t="shared" ca="1" si="38"/>
        <v>16711.193608601312</v>
      </c>
      <c r="BX106" s="772">
        <f t="shared" ca="1" si="36"/>
        <v>15262.486206069769</v>
      </c>
      <c r="BY106" s="772">
        <f t="shared" ca="1" si="36"/>
        <v>15262.486206069769</v>
      </c>
      <c r="BZ106" s="772">
        <f t="shared" ca="1" si="36"/>
        <v>14573.886939788184</v>
      </c>
      <c r="CA106" s="772">
        <f t="shared" ca="1" si="36"/>
        <v>14573.886939788184</v>
      </c>
      <c r="CB106" s="772">
        <f t="shared" ca="1" si="36"/>
        <v>16711.193608601312</v>
      </c>
      <c r="CC106" s="772">
        <f t="shared" ca="1" si="36"/>
        <v>16711.193608601312</v>
      </c>
      <c r="CD106" s="772">
        <f t="shared" ca="1" si="36"/>
        <v>16711.193608601312</v>
      </c>
      <c r="CE106" s="772">
        <f t="shared" ca="1" si="36"/>
        <v>16711.193608601312</v>
      </c>
      <c r="CF106" s="772">
        <f t="shared" ca="1" si="36"/>
        <v>15976.918840136668</v>
      </c>
      <c r="CG106" s="772">
        <f t="shared" ca="1" si="36"/>
        <v>15262.486206069769</v>
      </c>
      <c r="CH106" s="772">
        <f t="shared" ca="1" si="36"/>
        <v>14573.886939788184</v>
      </c>
      <c r="CI106" s="772">
        <f t="shared" ca="1" si="36"/>
        <v>14573.886939788184</v>
      </c>
      <c r="CJ106" s="772">
        <f t="shared" ca="1" si="36"/>
        <v>13914.829337682635</v>
      </c>
    </row>
    <row r="107" spans="1:88" ht="15" customHeight="1">
      <c r="A107" s="770">
        <f>'kc-Wert für Stützen'!C107</f>
        <v>159</v>
      </c>
      <c r="B107" s="768">
        <f ca="1">INDIRECT("'kc-Wert für Stützen'!"&amp;SUBSTITUTE(ADDRESS(MATCH($A107,'kc-Wert für Stützen'!$C:$C,0),MATCH(B$7,'kc-Wert für Stützen'!$A$8:$ES$8,0)+7,4),,))</f>
        <v>20001.998535149283</v>
      </c>
      <c r="C107" s="768">
        <f ca="1">INDIRECT("'kc-Wert für Stützen'!"&amp;SUBSTITUTE(ADDRESS(MATCH($A107,'kc-Wert für Stützen'!$C:$C,0),MATCH(C$7,'kc-Wert für Stützen'!$A$8:$ES$8,0)+7,4),,))</f>
        <v>19304.185369590927</v>
      </c>
      <c r="D107" s="768">
        <f ca="1">INDIRECT("'kc-Wert für Stützen'!"&amp;SUBSTITUTE(ADDRESS(MATCH($A107,'kc-Wert für Stützen'!$C:$C,0),MATCH(D$7,'kc-Wert für Stützen'!$A$8:$ES$8,0)+7,4),,))</f>
        <v>18573.712823468421</v>
      </c>
      <c r="E107" s="768">
        <f ca="1">INDIRECT("'kc-Wert für Stützen'!"&amp;SUBSTITUTE(ADDRESS(MATCH($A107,'kc-Wert für Stützen'!$C:$C,0),MATCH(E$7,'kc-Wert für Stützen'!$A$8:$ES$8,0)+7,4),,))</f>
        <v>17825.779141606537</v>
      </c>
      <c r="F107" s="768">
        <f ca="1">INDIRECT("'kc-Wert für Stützen'!"&amp;SUBSTITUTE(ADDRESS(MATCH($A107,'kc-Wert für Stützen'!$C:$C,0),MATCH(F$7,'kc-Wert für Stützen'!$A$8:$ES$8,0)+7,4),,))</f>
        <v>17074.749795592012</v>
      </c>
      <c r="G107" s="768">
        <f ca="1">INDIRECT("'kc-Wert für Stützen'!"&amp;SUBSTITUTE(ADDRESS(MATCH($A107,'kc-Wert für Stützen'!$C:$C,0),MATCH(G$7,'kc-Wert für Stützen'!$A$8:$ES$8,0)+7,4),,))</f>
        <v>16332.726784324701</v>
      </c>
      <c r="H107" s="768">
        <f ca="1">INDIRECT("'kc-Wert für Stützen'!"&amp;SUBSTITUTE(ADDRESS(MATCH($A107,'kc-Wert für Stützen'!$C:$C,0),MATCH(H$7,'kc-Wert für Stützen'!$A$8:$ES$8,0)+7,4),,))</f>
        <v>15608.973990646615</v>
      </c>
      <c r="I107" s="768">
        <f ca="1">INDIRECT("'kc-Wert für Stützen'!"&amp;SUBSTITUTE(ADDRESS(MATCH($A107,'kc-Wert für Stützen'!$C:$C,0),MATCH(I$7,'kc-Wert für Stützen'!$A$8:$ES$8,0)+7,4),,))</f>
        <v>14909.985456330303</v>
      </c>
      <c r="J107" s="768">
        <f ca="1">INDIRECT("'kc-Wert für Stützen'!"&amp;SUBSTITUTE(ADDRESS(MATCH($A107,'kc-Wert für Stützen'!$C:$C,0),MATCH(J$7,'kc-Wert für Stützen'!$A$8:$ES$8,0)+7,4),,))</f>
        <v>14239.893305631629</v>
      </c>
      <c r="K107" s="768">
        <f ca="1">INDIRECT("'kc-Wert für Stützen'!"&amp;SUBSTITUTE(ADDRESS(MATCH($A107,'kc-Wert für Stützen'!$C:$C,0),MATCH(K$7,'kc-Wert für Stützen'!$A$8:$ES$8,0)+7,4),,))</f>
        <v>13600.980399703629</v>
      </c>
      <c r="L107" s="768">
        <f ca="1">INDIRECT("'kc-Wert für Stützen'!"&amp;SUBSTITUTE(ADDRESS(MATCH($A107,'kc-Wert für Stützen'!$C:$C,0),MATCH(L$7,'kc-Wert für Stützen'!$A$8:$ES$8,0)+7,4),,))</f>
        <v>12994.165598646367</v>
      </c>
      <c r="M107" s="768">
        <f ca="1">INDIRECT("'kc-Wert für Stützen'!"&amp;SUBSTITUTE(ADDRESS(MATCH($A107,'kc-Wert für Stützen'!$C:$C,0),MATCH(M$7,'kc-Wert für Stützen'!$A$8:$ES$8,0)+7,4),,))</f>
        <v>12419.407623472382</v>
      </c>
      <c r="N107" s="768">
        <f ca="1">INDIRECT("'kc-Wert für Stützen'!"&amp;SUBSTITUTE(ADDRESS(MATCH($A107,'kc-Wert für Stützen'!$C:$C,0),MATCH(N$7,'kc-Wert für Stützen'!$A$8:$ES$8,0)+7,4),,))</f>
        <v>11876.017725662374</v>
      </c>
      <c r="O107" s="768">
        <f ca="1">INDIRECT("'kc-Wert für Stützen'!"&amp;SUBSTITUTE(ADDRESS(MATCH($A107,'kc-Wert für Stützen'!$C:$C,0),MATCH(O$7,'kc-Wert für Stützen'!$A$8:$ES$8,0)+7,4),,))</f>
        <v>11362.891070345599</v>
      </c>
      <c r="P107" s="768">
        <f ca="1">INDIRECT("'kc-Wert für Stützen'!"&amp;SUBSTITUTE(ADDRESS(MATCH($A107,'kc-Wert für Stützen'!$C:$C,0),MATCH(P$7,'kc-Wert für Stützen'!$A$8:$ES$8,0)+7,4),,))</f>
        <v>10878.672776396548</v>
      </c>
      <c r="S107" s="772">
        <f t="shared" ca="1" si="31"/>
        <v>18573.712823468421</v>
      </c>
      <c r="T107" s="772">
        <f t="shared" ca="1" si="40"/>
        <v>18573.712823468421</v>
      </c>
      <c r="U107" s="772">
        <f t="shared" ca="1" si="40"/>
        <v>18573.712823468421</v>
      </c>
      <c r="V107" s="772">
        <f t="shared" ca="1" si="40"/>
        <v>17825.779141606537</v>
      </c>
      <c r="W107" s="772">
        <f t="shared" ca="1" si="40"/>
        <v>17074.749795592012</v>
      </c>
      <c r="X107" s="772">
        <f t="shared" ca="1" si="40"/>
        <v>16332.726784324701</v>
      </c>
      <c r="Y107" s="772">
        <f t="shared" ca="1" si="40"/>
        <v>15608.973990646615</v>
      </c>
      <c r="Z107" s="772">
        <f t="shared" ca="1" si="40"/>
        <v>18573.712823468421</v>
      </c>
      <c r="AA107" s="772">
        <f t="shared" ca="1" si="40"/>
        <v>18573.712823468421</v>
      </c>
      <c r="AB107" s="772">
        <f t="shared" ca="1" si="41"/>
        <v>17825.779141606537</v>
      </c>
      <c r="AC107" s="772">
        <f t="shared" ca="1" si="41"/>
        <v>17825.779141606537</v>
      </c>
      <c r="AD107" s="772">
        <f t="shared" ca="1" si="41"/>
        <v>17074.749795592012</v>
      </c>
      <c r="AE107" s="772">
        <f t="shared" ca="1" si="41"/>
        <v>17074.749795592012</v>
      </c>
      <c r="AF107" s="772">
        <f t="shared" ca="1" si="41"/>
        <v>16332.726784324701</v>
      </c>
      <c r="AG107" s="772">
        <f t="shared" ca="1" si="41"/>
        <v>16332.726784324701</v>
      </c>
      <c r="AH107" s="772">
        <f t="shared" ca="1" si="41"/>
        <v>16332.726784324701</v>
      </c>
      <c r="AI107" s="772">
        <f t="shared" ca="1" si="41"/>
        <v>18573.712823468421</v>
      </c>
      <c r="AJ107" s="772">
        <f t="shared" ca="1" si="41"/>
        <v>18573.712823468421</v>
      </c>
      <c r="AK107" s="772">
        <f t="shared" ca="1" si="41"/>
        <v>17825.779141606537</v>
      </c>
      <c r="AL107" s="772">
        <f t="shared" ca="1" si="41"/>
        <v>17825.779141606537</v>
      </c>
      <c r="AM107" s="772">
        <f t="shared" ca="1" si="41"/>
        <v>17074.749795592012</v>
      </c>
      <c r="AN107" s="772">
        <f t="shared" ca="1" si="41"/>
        <v>17074.749795592012</v>
      </c>
      <c r="AO107" s="772">
        <f t="shared" ca="1" si="41"/>
        <v>16332.726784324701</v>
      </c>
      <c r="AP107" s="772">
        <f t="shared" ca="1" si="41"/>
        <v>16332.726784324701</v>
      </c>
      <c r="AQ107" s="772">
        <f t="shared" ca="1" si="41"/>
        <v>16332.726784324701</v>
      </c>
      <c r="AR107" s="772">
        <f t="shared" ca="1" si="37"/>
        <v>18573.712823468421</v>
      </c>
      <c r="AS107" s="772">
        <f t="shared" ca="1" si="37"/>
        <v>18573.712823468421</v>
      </c>
      <c r="AT107" s="772">
        <f t="shared" ca="1" si="37"/>
        <v>17825.779141606537</v>
      </c>
      <c r="AU107" s="772">
        <f t="shared" ca="1" si="37"/>
        <v>17825.779141606537</v>
      </c>
      <c r="AV107" s="772">
        <f t="shared" ca="1" si="37"/>
        <v>17074.749795592012</v>
      </c>
      <c r="AW107" s="772">
        <f t="shared" ca="1" si="37"/>
        <v>17074.749795592012</v>
      </c>
      <c r="AX107" s="772">
        <f t="shared" ca="1" si="37"/>
        <v>16332.726784324701</v>
      </c>
      <c r="AY107" s="772">
        <f t="shared" ca="1" si="37"/>
        <v>16332.726784324701</v>
      </c>
      <c r="AZ107" s="772">
        <f t="shared" ca="1" si="37"/>
        <v>16332.726784324701</v>
      </c>
      <c r="BA107" s="772">
        <f t="shared" ca="1" si="37"/>
        <v>18573.712823468421</v>
      </c>
      <c r="BB107" s="772">
        <f t="shared" ca="1" si="37"/>
        <v>18573.712823468421</v>
      </c>
      <c r="BC107" s="772">
        <f t="shared" ref="AR107:BG123" ca="1" si="42">HLOOKUP(BC$7,$A$7:$P$348,ROW()-6)</f>
        <v>17825.779141606537</v>
      </c>
      <c r="BD107" s="772">
        <f t="shared" ca="1" si="42"/>
        <v>17074.749795592012</v>
      </c>
      <c r="BE107" s="772">
        <f t="shared" ca="1" si="42"/>
        <v>17074.749795592012</v>
      </c>
      <c r="BF107" s="772">
        <f t="shared" ca="1" si="42"/>
        <v>16332.726784324701</v>
      </c>
      <c r="BG107" s="772">
        <f t="shared" ca="1" si="42"/>
        <v>16332.726784324701</v>
      </c>
      <c r="BH107" s="772">
        <f t="shared" ca="1" si="39"/>
        <v>15608.973990646615</v>
      </c>
      <c r="BI107" s="772">
        <f t="shared" ca="1" si="39"/>
        <v>15608.973990646615</v>
      </c>
      <c r="BJ107" s="772">
        <f t="shared" ca="1" si="39"/>
        <v>17825.779141606537</v>
      </c>
      <c r="BK107" s="772">
        <f t="shared" ca="1" si="39"/>
        <v>17825.779141606537</v>
      </c>
      <c r="BL107" s="772">
        <f t="shared" ca="1" si="39"/>
        <v>17825.779141606537</v>
      </c>
      <c r="BM107" s="772">
        <f t="shared" ca="1" si="39"/>
        <v>17825.779141606537</v>
      </c>
      <c r="BN107" s="772">
        <f t="shared" ca="1" si="39"/>
        <v>16332.726784324701</v>
      </c>
      <c r="BO107" s="772">
        <f t="shared" ca="1" si="38"/>
        <v>16332.726784324701</v>
      </c>
      <c r="BP107" s="772">
        <f t="shared" ca="1" si="38"/>
        <v>15608.973990646615</v>
      </c>
      <c r="BQ107" s="772">
        <f t="shared" ca="1" si="38"/>
        <v>15608.973990646615</v>
      </c>
      <c r="BR107" s="772">
        <f t="shared" ca="1" si="38"/>
        <v>14909.985456330303</v>
      </c>
      <c r="BS107" s="772">
        <f t="shared" ca="1" si="38"/>
        <v>17825.779141606537</v>
      </c>
      <c r="BT107" s="772">
        <f t="shared" ca="1" si="38"/>
        <v>17825.779141606537</v>
      </c>
      <c r="BU107" s="772">
        <f t="shared" ca="1" si="38"/>
        <v>17825.779141606537</v>
      </c>
      <c r="BV107" s="772">
        <f t="shared" ca="1" si="38"/>
        <v>17074.749795592012</v>
      </c>
      <c r="BW107" s="772">
        <f t="shared" ca="1" si="38"/>
        <v>17074.749795592012</v>
      </c>
      <c r="BX107" s="772">
        <f t="shared" ca="1" si="36"/>
        <v>15608.973990646615</v>
      </c>
      <c r="BY107" s="772">
        <f t="shared" ca="1" si="36"/>
        <v>15608.973990646615</v>
      </c>
      <c r="BZ107" s="772">
        <f t="shared" ref="BX107:CJ138" ca="1" si="43">HLOOKUP(BZ$7,$A$7:$P$348,ROW()-6)</f>
        <v>14909.985456330303</v>
      </c>
      <c r="CA107" s="772">
        <f t="shared" ca="1" si="43"/>
        <v>14909.985456330303</v>
      </c>
      <c r="CB107" s="772">
        <f t="shared" ca="1" si="43"/>
        <v>17074.749795592012</v>
      </c>
      <c r="CC107" s="772">
        <f t="shared" ca="1" si="43"/>
        <v>17074.749795592012</v>
      </c>
      <c r="CD107" s="772">
        <f t="shared" ca="1" si="43"/>
        <v>17074.749795592012</v>
      </c>
      <c r="CE107" s="772">
        <f t="shared" ca="1" si="43"/>
        <v>17074.749795592012</v>
      </c>
      <c r="CF107" s="772">
        <f t="shared" ca="1" si="43"/>
        <v>16332.726784324701</v>
      </c>
      <c r="CG107" s="772">
        <f t="shared" ca="1" si="43"/>
        <v>15608.973990646615</v>
      </c>
      <c r="CH107" s="772">
        <f t="shared" ca="1" si="43"/>
        <v>14909.985456330303</v>
      </c>
      <c r="CI107" s="772">
        <f t="shared" ca="1" si="43"/>
        <v>14909.985456330303</v>
      </c>
      <c r="CJ107" s="772">
        <f t="shared" ca="1" si="43"/>
        <v>14239.893305631629</v>
      </c>
    </row>
    <row r="108" spans="1:88" ht="15" customHeight="1">
      <c r="A108" s="770">
        <f>'kc-Wert für Stützen'!C108</f>
        <v>160</v>
      </c>
      <c r="B108" s="768">
        <f ca="1">INDIRECT("'kc-Wert für Stützen'!"&amp;SUBSTITUTE(ADDRESS(MATCH($A108,'kc-Wert für Stützen'!$C:$C,0),MATCH(B$7,'kc-Wert für Stützen'!$A$8:$ES$8,0)+7,4),,))</f>
        <v>20373.553360055066</v>
      </c>
      <c r="C108" s="768">
        <f ca="1">INDIRECT("'kc-Wert für Stützen'!"&amp;SUBSTITUTE(ADDRESS(MATCH($A108,'kc-Wert für Stützen'!$C:$C,0),MATCH(C$7,'kc-Wert für Stützen'!$A$8:$ES$8,0)+7,4),,))</f>
        <v>19678.739718757744</v>
      </c>
      <c r="D108" s="768">
        <f ca="1">INDIRECT("'kc-Wert für Stützen'!"&amp;SUBSTITUTE(ADDRESS(MATCH($A108,'kc-Wert für Stützen'!$C:$C,0),MATCH(D$7,'kc-Wert für Stützen'!$A$8:$ES$8,0)+7,4),,))</f>
        <v>18948.581778105337</v>
      </c>
      <c r="E108" s="768">
        <f ca="1">INDIRECT("'kc-Wert für Stützen'!"&amp;SUBSTITUTE(ADDRESS(MATCH($A108,'kc-Wert für Stützen'!$C:$C,0),MATCH(E$7,'kc-Wert für Stützen'!$A$8:$ES$8,0)+7,4),,))</f>
        <v>18198.119643493985</v>
      </c>
      <c r="F108" s="768">
        <f ca="1">INDIRECT("'kc-Wert für Stützen'!"&amp;SUBSTITUTE(ADDRESS(MATCH($A108,'kc-Wert für Stützen'!$C:$C,0),MATCH(F$7,'kc-Wert für Stützen'!$A$8:$ES$8,0)+7,4),,))</f>
        <v>17441.925620939157</v>
      </c>
      <c r="G108" s="768">
        <f ca="1">INDIRECT("'kc-Wert für Stützen'!"&amp;SUBSTITUTE(ADDRESS(MATCH($A108,'kc-Wert für Stützen'!$C:$C,0),MATCH(G$7,'kc-Wert für Stützen'!$A$8:$ES$8,0)+7,4),,))</f>
        <v>16692.540356638936</v>
      </c>
      <c r="H108" s="768">
        <f ca="1">INDIRECT("'kc-Wert für Stützen'!"&amp;SUBSTITUTE(ADDRESS(MATCH($A108,'kc-Wert für Stützen'!$C:$C,0),MATCH(H$7,'kc-Wert für Stützen'!$A$8:$ES$8,0)+7,4),,))</f>
        <v>15959.753480006299</v>
      </c>
      <c r="I108" s="768">
        <f ca="1">INDIRECT("'kc-Wert für Stützen'!"&amp;SUBSTITUTE(ADDRESS(MATCH($A108,'kc-Wert für Stützen'!$C:$C,0),MATCH(I$7,'kc-Wert für Stützen'!$A$8:$ES$8,0)+7,4),,))</f>
        <v>15250.567693467763</v>
      </c>
      <c r="J108" s="768">
        <f ca="1">INDIRECT("'kc-Wert für Stützen'!"&amp;SUBSTITUTE(ADDRESS(MATCH($A108,'kc-Wert für Stützen'!$C:$C,0),MATCH(J$7,'kc-Wert für Stützen'!$A$8:$ES$8,0)+7,4),,))</f>
        <v>14569.552419702453</v>
      </c>
      <c r="K108" s="768">
        <f ca="1">INDIRECT("'kc-Wert für Stützen'!"&amp;SUBSTITUTE(ADDRESS(MATCH($A108,'kc-Wert für Stützen'!$C:$C,0),MATCH(K$7,'kc-Wert für Stützen'!$A$8:$ES$8,0)+7,4),,))</f>
        <v>13919.33936542129</v>
      </c>
      <c r="L108" s="768">
        <f ca="1">INDIRECT("'kc-Wert für Stützen'!"&amp;SUBSTITUTE(ADDRESS(MATCH($A108,'kc-Wert für Stützen'!$C:$C,0),MATCH(L$7,'kc-Wert für Stützen'!$A$8:$ES$8,0)+7,4),,))</f>
        <v>13301.111587160114</v>
      </c>
      <c r="M108" s="768">
        <f ca="1">INDIRECT("'kc-Wert für Stützen'!"&amp;SUBSTITUTE(ADDRESS(MATCH($A108,'kc-Wert für Stützen'!$C:$C,0),MATCH(M$7,'kc-Wert für Stützen'!$A$8:$ES$8,0)+7,4),,))</f>
        <v>12715.020029785122</v>
      </c>
      <c r="N108" s="768">
        <f ca="1">INDIRECT("'kc-Wert für Stützen'!"&amp;SUBSTITUTE(ADDRESS(MATCH($A108,'kc-Wert für Stützen'!$C:$C,0),MATCH(N$7,'kc-Wert für Stützen'!$A$8:$ES$8,0)+7,4),,))</f>
        <v>12160.510878496058</v>
      </c>
      <c r="O108" s="768">
        <f ca="1">INDIRECT("'kc-Wert für Stützen'!"&amp;SUBSTITUTE(ADDRESS(MATCH($A108,'kc-Wert für Stützen'!$C:$C,0),MATCH(O$7,'kc-Wert für Stützen'!$A$8:$ES$8,0)+7,4),,))</f>
        <v>11636.570435977448</v>
      </c>
      <c r="P108" s="768">
        <f ca="1">INDIRECT("'kc-Wert für Stützen'!"&amp;SUBSTITUTE(ADDRESS(MATCH($A108,'kc-Wert für Stützen'!$C:$C,0),MATCH(P$7,'kc-Wert für Stützen'!$A$8:$ES$8,0)+7,4),,))</f>
        <v>11141.902358281861</v>
      </c>
      <c r="S108" s="772">
        <f t="shared" ca="1" si="31"/>
        <v>18948.581778105337</v>
      </c>
      <c r="T108" s="772">
        <f t="shared" ca="1" si="40"/>
        <v>18948.581778105337</v>
      </c>
      <c r="U108" s="772">
        <f t="shared" ca="1" si="40"/>
        <v>18948.581778105337</v>
      </c>
      <c r="V108" s="772">
        <f t="shared" ca="1" si="40"/>
        <v>18198.119643493985</v>
      </c>
      <c r="W108" s="772">
        <f t="shared" ca="1" si="40"/>
        <v>17441.925620939157</v>
      </c>
      <c r="X108" s="772">
        <f t="shared" ca="1" si="40"/>
        <v>16692.540356638936</v>
      </c>
      <c r="Y108" s="772">
        <f t="shared" ca="1" si="40"/>
        <v>15959.753480006299</v>
      </c>
      <c r="Z108" s="772">
        <f t="shared" ca="1" si="40"/>
        <v>18948.581778105337</v>
      </c>
      <c r="AA108" s="772">
        <f t="shared" ca="1" si="40"/>
        <v>18948.581778105337</v>
      </c>
      <c r="AB108" s="772">
        <f t="shared" ca="1" si="41"/>
        <v>18198.119643493985</v>
      </c>
      <c r="AC108" s="772">
        <f t="shared" ca="1" si="41"/>
        <v>18198.119643493985</v>
      </c>
      <c r="AD108" s="772">
        <f t="shared" ca="1" si="41"/>
        <v>17441.925620939157</v>
      </c>
      <c r="AE108" s="772">
        <f t="shared" ca="1" si="41"/>
        <v>17441.925620939157</v>
      </c>
      <c r="AF108" s="772">
        <f t="shared" ca="1" si="41"/>
        <v>16692.540356638936</v>
      </c>
      <c r="AG108" s="772">
        <f t="shared" ca="1" si="41"/>
        <v>16692.540356638936</v>
      </c>
      <c r="AH108" s="772">
        <f t="shared" ca="1" si="41"/>
        <v>16692.540356638936</v>
      </c>
      <c r="AI108" s="772">
        <f t="shared" ca="1" si="41"/>
        <v>18948.581778105337</v>
      </c>
      <c r="AJ108" s="772">
        <f t="shared" ca="1" si="41"/>
        <v>18948.581778105337</v>
      </c>
      <c r="AK108" s="772">
        <f t="shared" ca="1" si="41"/>
        <v>18198.119643493985</v>
      </c>
      <c r="AL108" s="772">
        <f t="shared" ca="1" si="41"/>
        <v>18198.119643493985</v>
      </c>
      <c r="AM108" s="772">
        <f t="shared" ca="1" si="41"/>
        <v>17441.925620939157</v>
      </c>
      <c r="AN108" s="772">
        <f t="shared" ca="1" si="41"/>
        <v>17441.925620939157</v>
      </c>
      <c r="AO108" s="772">
        <f t="shared" ca="1" si="41"/>
        <v>16692.540356638936</v>
      </c>
      <c r="AP108" s="772">
        <f t="shared" ca="1" si="41"/>
        <v>16692.540356638936</v>
      </c>
      <c r="AQ108" s="772">
        <f t="shared" ca="1" si="41"/>
        <v>16692.540356638936</v>
      </c>
      <c r="AR108" s="772">
        <f t="shared" ca="1" si="42"/>
        <v>18948.581778105337</v>
      </c>
      <c r="AS108" s="772">
        <f t="shared" ca="1" si="42"/>
        <v>18948.581778105337</v>
      </c>
      <c r="AT108" s="772">
        <f t="shared" ca="1" si="42"/>
        <v>18198.119643493985</v>
      </c>
      <c r="AU108" s="772">
        <f t="shared" ca="1" si="42"/>
        <v>18198.119643493985</v>
      </c>
      <c r="AV108" s="772">
        <f t="shared" ca="1" si="42"/>
        <v>17441.925620939157</v>
      </c>
      <c r="AW108" s="772">
        <f t="shared" ca="1" si="42"/>
        <v>17441.925620939157</v>
      </c>
      <c r="AX108" s="772">
        <f t="shared" ca="1" si="42"/>
        <v>16692.540356638936</v>
      </c>
      <c r="AY108" s="772">
        <f t="shared" ca="1" si="42"/>
        <v>16692.540356638936</v>
      </c>
      <c r="AZ108" s="772">
        <f t="shared" ca="1" si="42"/>
        <v>16692.540356638936</v>
      </c>
      <c r="BA108" s="772">
        <f t="shared" ca="1" si="42"/>
        <v>18948.581778105337</v>
      </c>
      <c r="BB108" s="772">
        <f t="shared" ca="1" si="42"/>
        <v>18948.581778105337</v>
      </c>
      <c r="BC108" s="772">
        <f t="shared" ca="1" si="42"/>
        <v>18198.119643493985</v>
      </c>
      <c r="BD108" s="772">
        <f t="shared" ca="1" si="42"/>
        <v>17441.925620939157</v>
      </c>
      <c r="BE108" s="772">
        <f t="shared" ca="1" si="42"/>
        <v>17441.925620939157</v>
      </c>
      <c r="BF108" s="772">
        <f t="shared" ca="1" si="42"/>
        <v>16692.540356638936</v>
      </c>
      <c r="BG108" s="772">
        <f t="shared" ca="1" si="42"/>
        <v>16692.540356638936</v>
      </c>
      <c r="BH108" s="772">
        <f t="shared" ca="1" si="39"/>
        <v>15959.753480006299</v>
      </c>
      <c r="BI108" s="772">
        <f t="shared" ca="1" si="39"/>
        <v>15959.753480006299</v>
      </c>
      <c r="BJ108" s="772">
        <f t="shared" ca="1" si="39"/>
        <v>18198.119643493985</v>
      </c>
      <c r="BK108" s="772">
        <f t="shared" ca="1" si="39"/>
        <v>18198.119643493985</v>
      </c>
      <c r="BL108" s="772">
        <f t="shared" ca="1" si="39"/>
        <v>18198.119643493985</v>
      </c>
      <c r="BM108" s="772">
        <f t="shared" ca="1" si="39"/>
        <v>18198.119643493985</v>
      </c>
      <c r="BN108" s="772">
        <f t="shared" ca="1" si="39"/>
        <v>16692.540356638936</v>
      </c>
      <c r="BO108" s="772">
        <f t="shared" ca="1" si="38"/>
        <v>16692.540356638936</v>
      </c>
      <c r="BP108" s="772">
        <f t="shared" ca="1" si="38"/>
        <v>15959.753480006299</v>
      </c>
      <c r="BQ108" s="772">
        <f t="shared" ca="1" si="38"/>
        <v>15959.753480006299</v>
      </c>
      <c r="BR108" s="772">
        <f t="shared" ca="1" si="38"/>
        <v>15250.567693467763</v>
      </c>
      <c r="BS108" s="772">
        <f t="shared" ca="1" si="38"/>
        <v>18198.119643493985</v>
      </c>
      <c r="BT108" s="772">
        <f t="shared" ca="1" si="38"/>
        <v>18198.119643493985</v>
      </c>
      <c r="BU108" s="772">
        <f t="shared" ca="1" si="38"/>
        <v>18198.119643493985</v>
      </c>
      <c r="BV108" s="772">
        <f t="shared" ca="1" si="38"/>
        <v>17441.925620939157</v>
      </c>
      <c r="BW108" s="772">
        <f t="shared" ca="1" si="38"/>
        <v>17441.925620939157</v>
      </c>
      <c r="BX108" s="772">
        <f t="shared" ca="1" si="43"/>
        <v>15959.753480006299</v>
      </c>
      <c r="BY108" s="772">
        <f t="shared" ca="1" si="43"/>
        <v>15959.753480006299</v>
      </c>
      <c r="BZ108" s="772">
        <f t="shared" ca="1" si="43"/>
        <v>15250.567693467763</v>
      </c>
      <c r="CA108" s="772">
        <f t="shared" ca="1" si="43"/>
        <v>15250.567693467763</v>
      </c>
      <c r="CB108" s="772">
        <f t="shared" ca="1" si="43"/>
        <v>17441.925620939157</v>
      </c>
      <c r="CC108" s="772">
        <f t="shared" ca="1" si="43"/>
        <v>17441.925620939157</v>
      </c>
      <c r="CD108" s="772">
        <f t="shared" ca="1" si="43"/>
        <v>17441.925620939157</v>
      </c>
      <c r="CE108" s="772">
        <f t="shared" ca="1" si="43"/>
        <v>17441.925620939157</v>
      </c>
      <c r="CF108" s="772">
        <f t="shared" ca="1" si="43"/>
        <v>16692.540356638936</v>
      </c>
      <c r="CG108" s="772">
        <f t="shared" ca="1" si="43"/>
        <v>15959.753480006299</v>
      </c>
      <c r="CH108" s="772">
        <f t="shared" ca="1" si="43"/>
        <v>15250.567693467763</v>
      </c>
      <c r="CI108" s="772">
        <f t="shared" ca="1" si="43"/>
        <v>15250.567693467763</v>
      </c>
      <c r="CJ108" s="772">
        <f t="shared" ca="1" si="43"/>
        <v>14569.552419702453</v>
      </c>
    </row>
    <row r="109" spans="1:88" ht="15" customHeight="1">
      <c r="A109" s="770">
        <f>'kc-Wert für Stützen'!C109</f>
        <v>161</v>
      </c>
      <c r="B109" s="768">
        <f ca="1">INDIRECT("'kc-Wert für Stützen'!"&amp;SUBSTITUTE(ADDRESS(MATCH($A109,'kc-Wert für Stützen'!$C:$C,0),MATCH(B$7,'kc-Wert für Stützen'!$A$8:$ES$8,0)+7,4),,))</f>
        <v>20746.670639591503</v>
      </c>
      <c r="C109" s="768">
        <f ca="1">INDIRECT("'kc-Wert für Stützen'!"&amp;SUBSTITUTE(ADDRESS(MATCH($A109,'kc-Wert für Stützen'!$C:$C,0),MATCH(C$7,'kc-Wert für Stützen'!$A$8:$ES$8,0)+7,4),,))</f>
        <v>20055.285741685744</v>
      </c>
      <c r="D109" s="768">
        <f ca="1">INDIRECT("'kc-Wert für Stützen'!"&amp;SUBSTITUTE(ADDRESS(MATCH($A109,'kc-Wert für Stützen'!$C:$C,0),MATCH(D$7,'kc-Wert für Stützen'!$A$8:$ES$8,0)+7,4),,))</f>
        <v>19325.960107647807</v>
      </c>
      <c r="E109" s="768">
        <f ca="1">INDIRECT("'kc-Wert für Stützen'!"&amp;SUBSTITUTE(ADDRESS(MATCH($A109,'kc-Wert für Stützen'!$C:$C,0),MATCH(E$7,'kc-Wert für Stützen'!$A$8:$ES$8,0)+7,4),,))</f>
        <v>18573.503422905571</v>
      </c>
      <c r="F109" s="768">
        <f ca="1">INDIRECT("'kc-Wert für Stützen'!"&amp;SUBSTITUTE(ADDRESS(MATCH($A109,'kc-Wert für Stützen'!$C:$C,0),MATCH(F$7,'kc-Wert für Stützen'!$A$8:$ES$8,0)+7,4),,))</f>
        <v>17812.632386425448</v>
      </c>
      <c r="G109" s="768">
        <f ca="1">INDIRECT("'kc-Wert für Stützen'!"&amp;SUBSTITUTE(ADDRESS(MATCH($A109,'kc-Wert für Stützen'!$C:$C,0),MATCH(G$7,'kc-Wert für Stützen'!$A$8:$ES$8,0)+7,4),,))</f>
        <v>17056.288095565866</v>
      </c>
      <c r="H109" s="768">
        <f ca="1">INDIRECT("'kc-Wert für Stützen'!"&amp;SUBSTITUTE(ADDRESS(MATCH($A109,'kc-Wert für Stützen'!$C:$C,0),MATCH(H$7,'kc-Wert für Stützen'!$A$8:$ES$8,0)+7,4),,))</f>
        <v>16314.772117125349</v>
      </c>
      <c r="I109" s="768">
        <f ca="1">INDIRECT("'kc-Wert für Stützen'!"&amp;SUBSTITUTE(ADDRESS(MATCH($A109,'kc-Wert für Stützen'!$C:$C,0),MATCH(I$7,'kc-Wert für Stützen'!$A$8:$ES$8,0)+7,4),,))</f>
        <v>15595.599066763969</v>
      </c>
      <c r="J109" s="768">
        <f ca="1">INDIRECT("'kc-Wert für Stützen'!"&amp;SUBSTITUTE(ADDRESS(MATCH($A109,'kc-Wert für Stützen'!$C:$C,0),MATCH(J$7,'kc-Wert für Stützen'!$A$8:$ES$8,0)+7,4),,))</f>
        <v>14903.787835633222</v>
      </c>
      <c r="K109" s="768">
        <f ca="1">INDIRECT("'kc-Wert für Stützen'!"&amp;SUBSTITUTE(ADDRESS(MATCH($A109,'kc-Wert für Stützen'!$C:$C,0),MATCH(K$7,'kc-Wert für Stützen'!$A$8:$ES$8,0)+7,4),,))</f>
        <v>14242.334138000748</v>
      </c>
      <c r="L109" s="768">
        <f ca="1">INDIRECT("'kc-Wert für Stützen'!"&amp;SUBSTITUTE(ADDRESS(MATCH($A109,'kc-Wert für Stützen'!$C:$C,0),MATCH(L$7,'kc-Wert für Stützen'!$A$8:$ES$8,0)+7,4),,))</f>
        <v>13612.700012148312</v>
      </c>
      <c r="M109" s="768">
        <f ca="1">INDIRECT("'kc-Wert für Stützen'!"&amp;SUBSTITUTE(ADDRESS(MATCH($A109,'kc-Wert für Stützen'!$C:$C,0),MATCH(M$7,'kc-Wert für Stützen'!$A$8:$ES$8,0)+7,4),,))</f>
        <v>13015.241526020111</v>
      </c>
      <c r="N109" s="768">
        <f ca="1">INDIRECT("'kc-Wert für Stützen'!"&amp;SUBSTITUTE(ADDRESS(MATCH($A109,'kc-Wert für Stützen'!$C:$C,0),MATCH(N$7,'kc-Wert für Stützen'!$A$8:$ES$8,0)+7,4),,))</f>
        <v>12449.550384274844</v>
      </c>
      <c r="O109" s="768">
        <f ca="1">INDIRECT("'kc-Wert für Stützen'!"&amp;SUBSTITUTE(ADDRESS(MATCH($A109,'kc-Wert für Stützen'!$C:$C,0),MATCH(O$7,'kc-Wert für Stützen'!$A$8:$ES$8,0)+7,4),,))</f>
        <v>11914.712401577526</v>
      </c>
      <c r="P109" s="768">
        <f ca="1">INDIRECT("'kc-Wert für Stützen'!"&amp;SUBSTITUTE(ADDRESS(MATCH($A109,'kc-Wert für Stützen'!$C:$C,0),MATCH(P$7,'kc-Wert für Stützen'!$A$8:$ES$8,0)+7,4),,))</f>
        <v>11409.496244347443</v>
      </c>
      <c r="S109" s="772">
        <f t="shared" ca="1" si="31"/>
        <v>19325.960107647807</v>
      </c>
      <c r="T109" s="772">
        <f t="shared" ca="1" si="40"/>
        <v>19325.960107647807</v>
      </c>
      <c r="U109" s="772">
        <f t="shared" ca="1" si="40"/>
        <v>19325.960107647807</v>
      </c>
      <c r="V109" s="772">
        <f t="shared" ca="1" si="40"/>
        <v>18573.503422905571</v>
      </c>
      <c r="W109" s="772">
        <f t="shared" ca="1" si="40"/>
        <v>17812.632386425448</v>
      </c>
      <c r="X109" s="772">
        <f t="shared" ca="1" si="40"/>
        <v>17056.288095565866</v>
      </c>
      <c r="Y109" s="772">
        <f t="shared" ca="1" si="40"/>
        <v>16314.772117125349</v>
      </c>
      <c r="Z109" s="772">
        <f t="shared" ca="1" si="40"/>
        <v>19325.960107647807</v>
      </c>
      <c r="AA109" s="772">
        <f t="shared" ca="1" si="40"/>
        <v>19325.960107647807</v>
      </c>
      <c r="AB109" s="772">
        <f t="shared" ca="1" si="41"/>
        <v>18573.503422905571</v>
      </c>
      <c r="AC109" s="772">
        <f t="shared" ca="1" si="41"/>
        <v>18573.503422905571</v>
      </c>
      <c r="AD109" s="772">
        <f t="shared" ca="1" si="41"/>
        <v>17812.632386425448</v>
      </c>
      <c r="AE109" s="772">
        <f t="shared" ca="1" si="41"/>
        <v>17812.632386425448</v>
      </c>
      <c r="AF109" s="772">
        <f t="shared" ca="1" si="41"/>
        <v>17056.288095565866</v>
      </c>
      <c r="AG109" s="772">
        <f t="shared" ca="1" si="41"/>
        <v>17056.288095565866</v>
      </c>
      <c r="AH109" s="772">
        <f t="shared" ca="1" si="41"/>
        <v>17056.288095565866</v>
      </c>
      <c r="AI109" s="772">
        <f t="shared" ca="1" si="41"/>
        <v>19325.960107647807</v>
      </c>
      <c r="AJ109" s="772">
        <f t="shared" ca="1" si="41"/>
        <v>19325.960107647807</v>
      </c>
      <c r="AK109" s="772">
        <f t="shared" ca="1" si="41"/>
        <v>18573.503422905571</v>
      </c>
      <c r="AL109" s="772">
        <f t="shared" ca="1" si="41"/>
        <v>18573.503422905571</v>
      </c>
      <c r="AM109" s="772">
        <f t="shared" ca="1" si="41"/>
        <v>17812.632386425448</v>
      </c>
      <c r="AN109" s="772">
        <f t="shared" ca="1" si="41"/>
        <v>17812.632386425448</v>
      </c>
      <c r="AO109" s="772">
        <f t="shared" ca="1" si="41"/>
        <v>17056.288095565866</v>
      </c>
      <c r="AP109" s="772">
        <f t="shared" ca="1" si="41"/>
        <v>17056.288095565866</v>
      </c>
      <c r="AQ109" s="772">
        <f t="shared" ca="1" si="41"/>
        <v>17056.288095565866</v>
      </c>
      <c r="AR109" s="772">
        <f t="shared" ca="1" si="42"/>
        <v>19325.960107647807</v>
      </c>
      <c r="AS109" s="772">
        <f t="shared" ca="1" si="42"/>
        <v>19325.960107647807</v>
      </c>
      <c r="AT109" s="772">
        <f t="shared" ca="1" si="42"/>
        <v>18573.503422905571</v>
      </c>
      <c r="AU109" s="772">
        <f t="shared" ca="1" si="42"/>
        <v>18573.503422905571</v>
      </c>
      <c r="AV109" s="772">
        <f t="shared" ca="1" si="42"/>
        <v>17812.632386425448</v>
      </c>
      <c r="AW109" s="772">
        <f t="shared" ca="1" si="42"/>
        <v>17812.632386425448</v>
      </c>
      <c r="AX109" s="772">
        <f t="shared" ca="1" si="42"/>
        <v>17056.288095565866</v>
      </c>
      <c r="AY109" s="772">
        <f t="shared" ca="1" si="42"/>
        <v>17056.288095565866</v>
      </c>
      <c r="AZ109" s="772">
        <f t="shared" ca="1" si="42"/>
        <v>17056.288095565866</v>
      </c>
      <c r="BA109" s="772">
        <f t="shared" ca="1" si="42"/>
        <v>19325.960107647807</v>
      </c>
      <c r="BB109" s="772">
        <f t="shared" ca="1" si="42"/>
        <v>19325.960107647807</v>
      </c>
      <c r="BC109" s="772">
        <f t="shared" ca="1" si="42"/>
        <v>18573.503422905571</v>
      </c>
      <c r="BD109" s="772">
        <f t="shared" ca="1" si="42"/>
        <v>17812.632386425448</v>
      </c>
      <c r="BE109" s="772">
        <f t="shared" ca="1" si="42"/>
        <v>17812.632386425448</v>
      </c>
      <c r="BF109" s="772">
        <f t="shared" ca="1" si="42"/>
        <v>17056.288095565866</v>
      </c>
      <c r="BG109" s="772">
        <f t="shared" ca="1" si="42"/>
        <v>17056.288095565866</v>
      </c>
      <c r="BH109" s="772">
        <f t="shared" ca="1" si="39"/>
        <v>16314.772117125349</v>
      </c>
      <c r="BI109" s="772">
        <f t="shared" ca="1" si="39"/>
        <v>16314.772117125349</v>
      </c>
      <c r="BJ109" s="772">
        <f t="shared" ca="1" si="39"/>
        <v>18573.503422905571</v>
      </c>
      <c r="BK109" s="772">
        <f t="shared" ca="1" si="39"/>
        <v>18573.503422905571</v>
      </c>
      <c r="BL109" s="772">
        <f t="shared" ca="1" si="39"/>
        <v>18573.503422905571</v>
      </c>
      <c r="BM109" s="772">
        <f t="shared" ca="1" si="39"/>
        <v>18573.503422905571</v>
      </c>
      <c r="BN109" s="772">
        <f t="shared" ca="1" si="39"/>
        <v>17056.288095565866</v>
      </c>
      <c r="BO109" s="772">
        <f t="shared" ca="1" si="38"/>
        <v>17056.288095565866</v>
      </c>
      <c r="BP109" s="772">
        <f t="shared" ca="1" si="38"/>
        <v>16314.772117125349</v>
      </c>
      <c r="BQ109" s="772">
        <f t="shared" ca="1" si="38"/>
        <v>16314.772117125349</v>
      </c>
      <c r="BR109" s="772">
        <f t="shared" ca="1" si="38"/>
        <v>15595.599066763969</v>
      </c>
      <c r="BS109" s="772">
        <f t="shared" ca="1" si="38"/>
        <v>18573.503422905571</v>
      </c>
      <c r="BT109" s="772">
        <f t="shared" ca="1" si="38"/>
        <v>18573.503422905571</v>
      </c>
      <c r="BU109" s="772">
        <f t="shared" ca="1" si="38"/>
        <v>18573.503422905571</v>
      </c>
      <c r="BV109" s="772">
        <f t="shared" ca="1" si="38"/>
        <v>17812.632386425448</v>
      </c>
      <c r="BW109" s="772">
        <f t="shared" ca="1" si="38"/>
        <v>17812.632386425448</v>
      </c>
      <c r="BX109" s="772">
        <f t="shared" ca="1" si="43"/>
        <v>16314.772117125349</v>
      </c>
      <c r="BY109" s="772">
        <f t="shared" ca="1" si="43"/>
        <v>16314.772117125349</v>
      </c>
      <c r="BZ109" s="772">
        <f t="shared" ca="1" si="43"/>
        <v>15595.599066763969</v>
      </c>
      <c r="CA109" s="772">
        <f t="shared" ca="1" si="43"/>
        <v>15595.599066763969</v>
      </c>
      <c r="CB109" s="772">
        <f t="shared" ca="1" si="43"/>
        <v>17812.632386425448</v>
      </c>
      <c r="CC109" s="772">
        <f t="shared" ca="1" si="43"/>
        <v>17812.632386425448</v>
      </c>
      <c r="CD109" s="772">
        <f t="shared" ca="1" si="43"/>
        <v>17812.632386425448</v>
      </c>
      <c r="CE109" s="772">
        <f t="shared" ca="1" si="43"/>
        <v>17812.632386425448</v>
      </c>
      <c r="CF109" s="772">
        <f t="shared" ca="1" si="43"/>
        <v>17056.288095565866</v>
      </c>
      <c r="CG109" s="772">
        <f t="shared" ca="1" si="43"/>
        <v>16314.772117125349</v>
      </c>
      <c r="CH109" s="772">
        <f t="shared" ca="1" si="43"/>
        <v>15595.599066763969</v>
      </c>
      <c r="CI109" s="772">
        <f t="shared" ca="1" si="43"/>
        <v>15595.599066763969</v>
      </c>
      <c r="CJ109" s="772">
        <f t="shared" ca="1" si="43"/>
        <v>14903.787835633222</v>
      </c>
    </row>
    <row r="110" spans="1:88" ht="15" customHeight="1">
      <c r="A110" s="770">
        <f>'kc-Wert für Stützen'!C110</f>
        <v>162</v>
      </c>
      <c r="B110" s="768">
        <f ca="1">INDIRECT("'kc-Wert für Stützen'!"&amp;SUBSTITUTE(ADDRESS(MATCH($A110,'kc-Wert für Stützen'!$C:$C,0),MATCH(B$7,'kc-Wert für Stützen'!$A$8:$ES$8,0)+7,4),,))</f>
        <v>21121.289388429013</v>
      </c>
      <c r="C110" s="768">
        <f ca="1">INDIRECT("'kc-Wert für Stützen'!"&amp;SUBSTITUTE(ADDRESS(MATCH($A110,'kc-Wert für Stützen'!$C:$C,0),MATCH(C$7,'kc-Wert für Stützen'!$A$8:$ES$8,0)+7,4),,))</f>
        <v>20433.737584671813</v>
      </c>
      <c r="D110" s="768">
        <f ca="1">INDIRECT("'kc-Wert für Stützen'!"&amp;SUBSTITUTE(ADDRESS(MATCH($A110,'kc-Wert für Stützen'!$C:$C,0),MATCH(D$7,'kc-Wert für Stützen'!$A$8:$ES$8,0)+7,4),,))</f>
        <v>19705.747945940038</v>
      </c>
      <c r="E110" s="768">
        <f ca="1">INDIRECT("'kc-Wert für Stützen'!"&amp;SUBSTITUTE(ADDRESS(MATCH($A110,'kc-Wert für Stützen'!$C:$C,0),MATCH(E$7,'kc-Wert für Stützen'!$A$8:$ES$8,0)+7,4),,))</f>
        <v>18951.829640965043</v>
      </c>
      <c r="F110" s="768">
        <f ca="1">INDIRECT("'kc-Wert für Stützen'!"&amp;SUBSTITUTE(ADDRESS(MATCH($A110,'kc-Wert für Stützen'!$C:$C,0),MATCH(F$7,'kc-Wert für Stützen'!$A$8:$ES$8,0)+7,4),,))</f>
        <v>18186.77905709024</v>
      </c>
      <c r="G110" s="768">
        <f ca="1">INDIRECT("'kc-Wert für Stützen'!"&amp;SUBSTITUTE(ADDRESS(MATCH($A110,'kc-Wert für Stützen'!$C:$C,0),MATCH(G$7,'kc-Wert für Stützen'!$A$8:$ES$8,0)+7,4),,))</f>
        <v>17423.895215843786</v>
      </c>
      <c r="H110" s="768">
        <f ca="1">INDIRECT("'kc-Wert für Stützen'!"&amp;SUBSTITUTE(ADDRESS(MATCH($A110,'kc-Wert für Stützen'!$C:$C,0),MATCH(H$7,'kc-Wert für Stützen'!$A$8:$ES$8,0)+7,4),,))</f>
        <v>16673.973704557819</v>
      </c>
      <c r="I110" s="768">
        <f ca="1">INDIRECT("'kc-Wert für Stützen'!"&amp;SUBSTITUTE(ADDRESS(MATCH($A110,'kc-Wert für Stützen'!$C:$C,0),MATCH(I$7,'kc-Wert für Stützen'!$A$8:$ES$8,0)+7,4),,))</f>
        <v>15945.041473457679</v>
      </c>
      <c r="J110" s="768">
        <f ca="1">INDIRECT("'kc-Wert für Stützen'!"&amp;SUBSTITUTE(ADDRESS(MATCH($A110,'kc-Wert für Stützen'!$C:$C,0),MATCH(J$7,'kc-Wert für Stützen'!$A$8:$ES$8,0)+7,4),,))</f>
        <v>15242.577542445899</v>
      </c>
      <c r="K110" s="768">
        <f ca="1">INDIRECT("'kc-Wert für Stützen'!"&amp;SUBSTITUTE(ADDRESS(MATCH($A110,'kc-Wert für Stützen'!$C:$C,0),MATCH(K$7,'kc-Wert für Stützen'!$A$8:$ES$8,0)+7,4),,))</f>
        <v>14569.956237053206</v>
      </c>
      <c r="L110" s="768">
        <f ca="1">INDIRECT("'kc-Wert für Stützen'!"&amp;SUBSTITUTE(ADDRESS(MATCH($A110,'kc-Wert für Stützen'!$C:$C,0),MATCH(L$7,'kc-Wert für Stützen'!$A$8:$ES$8,0)+7,4),,))</f>
        <v>13928.933357449028</v>
      </c>
      <c r="M110" s="768">
        <f ca="1">INDIRECT("'kc-Wert für Stützen'!"&amp;SUBSTITUTE(ADDRESS(MATCH($A110,'kc-Wert für Stützen'!$C:$C,0),MATCH(M$7,'kc-Wert für Stützen'!$A$8:$ES$8,0)+7,4),,))</f>
        <v>13320.083252895782</v>
      </c>
      <c r="N110" s="768">
        <f ca="1">INDIRECT("'kc-Wert für Stützen'!"&amp;SUBSTITUTE(ADDRESS(MATCH($A110,'kc-Wert für Stützen'!$C:$C,0),MATCH(N$7,'kc-Wert für Stützen'!$A$8:$ES$8,0)+7,4),,))</f>
        <v>12743.154083873691</v>
      </c>
      <c r="O110" s="768">
        <f ca="1">INDIRECT("'kc-Wert für Stützen'!"&amp;SUBSTITUTE(ADDRESS(MATCH($A110,'kc-Wert für Stützen'!$C:$C,0),MATCH(O$7,'kc-Wert für Stützen'!$A$8:$ES$8,0)+7,4),,))</f>
        <v>12197.33990446256</v>
      </c>
      <c r="P110" s="768">
        <f ca="1">INDIRECT("'kc-Wert für Stützen'!"&amp;SUBSTITUTE(ADDRESS(MATCH($A110,'kc-Wert für Stützen'!$C:$C,0),MATCH(P$7,'kc-Wert für Stützen'!$A$8:$ES$8,0)+7,4),,))</f>
        <v>11681.481180848468</v>
      </c>
      <c r="S110" s="772">
        <f t="shared" ca="1" si="31"/>
        <v>19705.747945940038</v>
      </c>
      <c r="T110" s="772">
        <f t="shared" ca="1" si="40"/>
        <v>19705.747945940038</v>
      </c>
      <c r="U110" s="772">
        <f t="shared" ca="1" si="40"/>
        <v>19705.747945940038</v>
      </c>
      <c r="V110" s="772">
        <f t="shared" ca="1" si="40"/>
        <v>18951.829640965043</v>
      </c>
      <c r="W110" s="772">
        <f t="shared" ca="1" si="40"/>
        <v>18186.77905709024</v>
      </c>
      <c r="X110" s="772">
        <f t="shared" ca="1" si="40"/>
        <v>17423.895215843786</v>
      </c>
      <c r="Y110" s="772">
        <f t="shared" ca="1" si="40"/>
        <v>16673.973704557819</v>
      </c>
      <c r="Z110" s="772">
        <f t="shared" ca="1" si="40"/>
        <v>19705.747945940038</v>
      </c>
      <c r="AA110" s="772">
        <f t="shared" ca="1" si="40"/>
        <v>19705.747945940038</v>
      </c>
      <c r="AB110" s="772">
        <f t="shared" ca="1" si="41"/>
        <v>18951.829640965043</v>
      </c>
      <c r="AC110" s="772">
        <f t="shared" ca="1" si="41"/>
        <v>18951.829640965043</v>
      </c>
      <c r="AD110" s="772">
        <f t="shared" ca="1" si="41"/>
        <v>18186.77905709024</v>
      </c>
      <c r="AE110" s="772">
        <f t="shared" ca="1" si="41"/>
        <v>18186.77905709024</v>
      </c>
      <c r="AF110" s="772">
        <f t="shared" ca="1" si="41"/>
        <v>17423.895215843786</v>
      </c>
      <c r="AG110" s="772">
        <f t="shared" ca="1" si="41"/>
        <v>17423.895215843786</v>
      </c>
      <c r="AH110" s="772">
        <f t="shared" ca="1" si="41"/>
        <v>17423.895215843786</v>
      </c>
      <c r="AI110" s="772">
        <f t="shared" ca="1" si="41"/>
        <v>19705.747945940038</v>
      </c>
      <c r="AJ110" s="772">
        <f t="shared" ca="1" si="41"/>
        <v>19705.747945940038</v>
      </c>
      <c r="AK110" s="772">
        <f t="shared" ca="1" si="41"/>
        <v>18951.829640965043</v>
      </c>
      <c r="AL110" s="772">
        <f t="shared" ca="1" si="41"/>
        <v>18951.829640965043</v>
      </c>
      <c r="AM110" s="772">
        <f t="shared" ca="1" si="41"/>
        <v>18186.77905709024</v>
      </c>
      <c r="AN110" s="772">
        <f t="shared" ca="1" si="41"/>
        <v>18186.77905709024</v>
      </c>
      <c r="AO110" s="772">
        <f t="shared" ca="1" si="41"/>
        <v>17423.895215843786</v>
      </c>
      <c r="AP110" s="772">
        <f t="shared" ca="1" si="41"/>
        <v>17423.895215843786</v>
      </c>
      <c r="AQ110" s="772">
        <f t="shared" ca="1" si="41"/>
        <v>17423.895215843786</v>
      </c>
      <c r="AR110" s="772">
        <f t="shared" ca="1" si="42"/>
        <v>19705.747945940038</v>
      </c>
      <c r="AS110" s="772">
        <f t="shared" ca="1" si="42"/>
        <v>19705.747945940038</v>
      </c>
      <c r="AT110" s="772">
        <f t="shared" ca="1" si="42"/>
        <v>18951.829640965043</v>
      </c>
      <c r="AU110" s="772">
        <f t="shared" ca="1" si="42"/>
        <v>18951.829640965043</v>
      </c>
      <c r="AV110" s="772">
        <f t="shared" ca="1" si="42"/>
        <v>18186.77905709024</v>
      </c>
      <c r="AW110" s="772">
        <f t="shared" ca="1" si="42"/>
        <v>18186.77905709024</v>
      </c>
      <c r="AX110" s="772">
        <f t="shared" ca="1" si="42"/>
        <v>17423.895215843786</v>
      </c>
      <c r="AY110" s="772">
        <f t="shared" ca="1" si="42"/>
        <v>17423.895215843786</v>
      </c>
      <c r="AZ110" s="772">
        <f t="shared" ca="1" si="42"/>
        <v>17423.895215843786</v>
      </c>
      <c r="BA110" s="772">
        <f t="shared" ca="1" si="42"/>
        <v>19705.747945940038</v>
      </c>
      <c r="BB110" s="772">
        <f t="shared" ca="1" si="42"/>
        <v>19705.747945940038</v>
      </c>
      <c r="BC110" s="772">
        <f t="shared" ca="1" si="42"/>
        <v>18951.829640965043</v>
      </c>
      <c r="BD110" s="772">
        <f t="shared" ca="1" si="42"/>
        <v>18186.77905709024</v>
      </c>
      <c r="BE110" s="772">
        <f t="shared" ca="1" si="42"/>
        <v>18186.77905709024</v>
      </c>
      <c r="BF110" s="772">
        <f t="shared" ca="1" si="42"/>
        <v>17423.895215843786</v>
      </c>
      <c r="BG110" s="772">
        <f t="shared" ca="1" si="42"/>
        <v>17423.895215843786</v>
      </c>
      <c r="BH110" s="772">
        <f t="shared" ref="BH110:BN119" ca="1" si="44">HLOOKUP(BH$7,$A$7:$P$348,ROW()-6)</f>
        <v>16673.973704557819</v>
      </c>
      <c r="BI110" s="772">
        <f t="shared" ca="1" si="44"/>
        <v>16673.973704557819</v>
      </c>
      <c r="BJ110" s="772">
        <f t="shared" ca="1" si="44"/>
        <v>18951.829640965043</v>
      </c>
      <c r="BK110" s="772">
        <f t="shared" ca="1" si="44"/>
        <v>18951.829640965043</v>
      </c>
      <c r="BL110" s="772">
        <f t="shared" ca="1" si="44"/>
        <v>18951.829640965043</v>
      </c>
      <c r="BM110" s="772">
        <f t="shared" ca="1" si="44"/>
        <v>18951.829640965043</v>
      </c>
      <c r="BN110" s="772">
        <f t="shared" ca="1" si="44"/>
        <v>17423.895215843786</v>
      </c>
      <c r="BO110" s="772">
        <f t="shared" ca="1" si="38"/>
        <v>17423.895215843786</v>
      </c>
      <c r="BP110" s="772">
        <f t="shared" ca="1" si="38"/>
        <v>16673.973704557819</v>
      </c>
      <c r="BQ110" s="772">
        <f t="shared" ca="1" si="38"/>
        <v>16673.973704557819</v>
      </c>
      <c r="BR110" s="772">
        <f t="shared" ca="1" si="38"/>
        <v>15945.041473457679</v>
      </c>
      <c r="BS110" s="772">
        <f t="shared" ca="1" si="38"/>
        <v>18951.829640965043</v>
      </c>
      <c r="BT110" s="772">
        <f t="shared" ca="1" si="38"/>
        <v>18951.829640965043</v>
      </c>
      <c r="BU110" s="772">
        <f t="shared" ca="1" si="38"/>
        <v>18951.829640965043</v>
      </c>
      <c r="BV110" s="772">
        <f t="shared" ca="1" si="38"/>
        <v>18186.77905709024</v>
      </c>
      <c r="BW110" s="772">
        <f t="shared" ca="1" si="38"/>
        <v>18186.77905709024</v>
      </c>
      <c r="BX110" s="772">
        <f t="shared" ca="1" si="43"/>
        <v>16673.973704557819</v>
      </c>
      <c r="BY110" s="772">
        <f t="shared" ca="1" si="43"/>
        <v>16673.973704557819</v>
      </c>
      <c r="BZ110" s="772">
        <f t="shared" ca="1" si="43"/>
        <v>15945.041473457679</v>
      </c>
      <c r="CA110" s="772">
        <f t="shared" ca="1" si="43"/>
        <v>15945.041473457679</v>
      </c>
      <c r="CB110" s="772">
        <f t="shared" ca="1" si="43"/>
        <v>18186.77905709024</v>
      </c>
      <c r="CC110" s="772">
        <f t="shared" ca="1" si="43"/>
        <v>18186.77905709024</v>
      </c>
      <c r="CD110" s="772">
        <f t="shared" ca="1" si="43"/>
        <v>18186.77905709024</v>
      </c>
      <c r="CE110" s="772">
        <f t="shared" ca="1" si="43"/>
        <v>18186.77905709024</v>
      </c>
      <c r="CF110" s="772">
        <f t="shared" ca="1" si="43"/>
        <v>17423.895215843786</v>
      </c>
      <c r="CG110" s="772">
        <f t="shared" ca="1" si="43"/>
        <v>16673.973704557819</v>
      </c>
      <c r="CH110" s="772">
        <f t="shared" ca="1" si="43"/>
        <v>15945.041473457679</v>
      </c>
      <c r="CI110" s="772">
        <f t="shared" ca="1" si="43"/>
        <v>15945.041473457679</v>
      </c>
      <c r="CJ110" s="772">
        <f t="shared" ca="1" si="43"/>
        <v>15242.577542445899</v>
      </c>
    </row>
    <row r="111" spans="1:88" ht="15" customHeight="1">
      <c r="A111" s="770">
        <f>'kc-Wert für Stützen'!C111</f>
        <v>163</v>
      </c>
      <c r="B111" s="768">
        <f ca="1">INDIRECT("'kc-Wert für Stützen'!"&amp;SUBSTITUTE(ADDRESS(MATCH($A111,'kc-Wert für Stützen'!$C:$C,0),MATCH(B$7,'kc-Wert für Stützen'!$A$8:$ES$8,0)+7,4),,))</f>
        <v>21497.353935980351</v>
      </c>
      <c r="C111" s="768">
        <f ca="1">INDIRECT("'kc-Wert für Stützen'!"&amp;SUBSTITUTE(ADDRESS(MATCH($A111,'kc-Wert für Stützen'!$C:$C,0),MATCH(C$7,'kc-Wert für Stützen'!$A$8:$ES$8,0)+7,4),,))</f>
        <v>20814.013712647116</v>
      </c>
      <c r="D111" s="768">
        <f ca="1">INDIRECT("'kc-Wert für Stützen'!"&amp;SUBSTITUTE(ADDRESS(MATCH($A111,'kc-Wert für Stützen'!$C:$C,0),MATCH(D$7,'kc-Wert für Stützen'!$A$8:$ES$8,0)+7,4),,))</f>
        <v>20087.847646392795</v>
      </c>
      <c r="E111" s="768">
        <f ca="1">INDIRECT("'kc-Wert für Stützen'!"&amp;SUBSTITUTE(ADDRESS(MATCH($A111,'kc-Wert für Stützen'!$C:$C,0),MATCH(E$7,'kc-Wert für Stützen'!$A$8:$ES$8,0)+7,4),,))</f>
        <v>19332.997322618641</v>
      </c>
      <c r="F111" s="768">
        <f ca="1">INDIRECT("'kc-Wert für Stützen'!"&amp;SUBSTITUTE(ADDRESS(MATCH($A111,'kc-Wert für Stützen'!$C:$C,0),MATCH(F$7,'kc-Wert für Stützen'!$A$8:$ES$8,0)+7,4),,))</f>
        <v>18564.272577255506</v>
      </c>
      <c r="G111" s="768">
        <f ca="1">INDIRECT("'kc-Wert für Stützen'!"&amp;SUBSTITUTE(ADDRESS(MATCH($A111,'kc-Wert für Stützen'!$C:$C,0),MATCH(G$7,'kc-Wert für Stützen'!$A$8:$ES$8,0)+7,4),,))</f>
        <v>17795.283788715955</v>
      </c>
      <c r="H111" s="768">
        <f ca="1">INDIRECT("'kc-Wert für Stützen'!"&amp;SUBSTITUTE(ADDRESS(MATCH($A111,'kc-Wert für Stützen'!$C:$C,0),MATCH(H$7,'kc-Wert für Stützen'!$A$8:$ES$8,0)+7,4),,))</f>
        <v>17037.298471519371</v>
      </c>
      <c r="I111" s="768">
        <f ca="1">INDIRECT("'kc-Wert für Stützen'!"&amp;SUBSTITUTE(ADDRESS(MATCH($A111,'kc-Wert für Stützen'!$C:$C,0),MATCH(I$7,'kc-Wert für Stützen'!$A$8:$ES$8,0)+7,4),,))</f>
        <v>16298.853284295057</v>
      </c>
      <c r="J111" s="768">
        <f ca="1">INDIRECT("'kc-Wert für Stützen'!"&amp;SUBSTITUTE(ADDRESS(MATCH($A111,'kc-Wert für Stützen'!$C:$C,0),MATCH(J$7,'kc-Wert für Stützen'!$A$8:$ES$8,0)+7,4),,))</f>
        <v>15585.89631267555</v>
      </c>
      <c r="K111" s="768">
        <f ca="1">INDIRECT("'kc-Wert für Stützen'!"&amp;SUBSTITUTE(ADDRESS(MATCH($A111,'kc-Wert für Stützen'!$C:$C,0),MATCH(K$7,'kc-Wert für Stützen'!$A$8:$ES$8,0)+7,4),,))</f>
        <v>14902.194384982075</v>
      </c>
      <c r="L111" s="768">
        <f ca="1">INDIRECT("'kc-Wert für Stützen'!"&amp;SUBSTITUTE(ADDRESS(MATCH($A111,'kc-Wert für Stützen'!$C:$C,0),MATCH(L$7,'kc-Wert für Stützen'!$A$8:$ES$8,0)+7,4),,))</f>
        <v>14249.811746022417</v>
      </c>
      <c r="M111" s="768">
        <f ca="1">INDIRECT("'kc-Wert für Stützen'!"&amp;SUBSTITUTE(ADDRESS(MATCH($A111,'kc-Wert für Stützen'!$C:$C,0),MATCH(M$7,'kc-Wert für Stützen'!$A$8:$ES$8,0)+7,4),,))</f>
        <v>13629.554396472244</v>
      </c>
      <c r="N111" s="768">
        <f ca="1">INDIRECT("'kc-Wert für Stützen'!"&amp;SUBSTITUTE(ADDRESS(MATCH($A111,'kc-Wert für Stützen'!$C:$C,0),MATCH(N$7,'kc-Wert für Stützen'!$A$8:$ES$8,0)+7,4),,))</f>
        <v>13041.338220224461</v>
      </c>
      <c r="O111" s="768">
        <f ca="1">INDIRECT("'kc-Wert für Stützen'!"&amp;SUBSTITUTE(ADDRESS(MATCH($A111,'kc-Wert für Stützen'!$C:$C,0),MATCH(O$7,'kc-Wert für Stützen'!$A$8:$ES$8,0)+7,4),,))</f>
        <v>12484.474586998449</v>
      </c>
      <c r="P111" s="768">
        <f ca="1">INDIRECT("'kc-Wert für Stützen'!"&amp;SUBSTITUTE(ADDRESS(MATCH($A111,'kc-Wert für Stützen'!$C:$C,0),MATCH(P$7,'kc-Wert für Stützen'!$A$8:$ES$8,0)+7,4),,))</f>
        <v>11957.882871496624</v>
      </c>
      <c r="S111" s="772">
        <f t="shared" ca="1" si="31"/>
        <v>20087.847646392795</v>
      </c>
      <c r="T111" s="772">
        <f t="shared" ca="1" si="40"/>
        <v>20087.847646392795</v>
      </c>
      <c r="U111" s="772">
        <f t="shared" ca="1" si="40"/>
        <v>20087.847646392795</v>
      </c>
      <c r="V111" s="772">
        <f t="shared" ca="1" si="40"/>
        <v>19332.997322618641</v>
      </c>
      <c r="W111" s="772">
        <f t="shared" ca="1" si="40"/>
        <v>18564.272577255506</v>
      </c>
      <c r="X111" s="772">
        <f t="shared" ca="1" si="40"/>
        <v>17795.283788715955</v>
      </c>
      <c r="Y111" s="772">
        <f t="shared" ca="1" si="40"/>
        <v>17037.298471519371</v>
      </c>
      <c r="Z111" s="772">
        <f t="shared" ca="1" si="40"/>
        <v>20087.847646392795</v>
      </c>
      <c r="AA111" s="772">
        <f t="shared" ca="1" si="40"/>
        <v>20087.847646392795</v>
      </c>
      <c r="AB111" s="772">
        <f t="shared" ca="1" si="41"/>
        <v>19332.997322618641</v>
      </c>
      <c r="AC111" s="772">
        <f t="shared" ca="1" si="41"/>
        <v>19332.997322618641</v>
      </c>
      <c r="AD111" s="772">
        <f t="shared" ca="1" si="41"/>
        <v>18564.272577255506</v>
      </c>
      <c r="AE111" s="772">
        <f t="shared" ca="1" si="41"/>
        <v>18564.272577255506</v>
      </c>
      <c r="AF111" s="772">
        <f t="shared" ca="1" si="41"/>
        <v>17795.283788715955</v>
      </c>
      <c r="AG111" s="772">
        <f t="shared" ca="1" si="41"/>
        <v>17795.283788715955</v>
      </c>
      <c r="AH111" s="772">
        <f t="shared" ca="1" si="41"/>
        <v>17795.283788715955</v>
      </c>
      <c r="AI111" s="772">
        <f t="shared" ca="1" si="41"/>
        <v>20087.847646392795</v>
      </c>
      <c r="AJ111" s="772">
        <f t="shared" ca="1" si="41"/>
        <v>20087.847646392795</v>
      </c>
      <c r="AK111" s="772">
        <f t="shared" ca="1" si="41"/>
        <v>19332.997322618641</v>
      </c>
      <c r="AL111" s="772">
        <f t="shared" ca="1" si="41"/>
        <v>19332.997322618641</v>
      </c>
      <c r="AM111" s="772">
        <f t="shared" ca="1" si="41"/>
        <v>18564.272577255506</v>
      </c>
      <c r="AN111" s="772">
        <f t="shared" ca="1" si="41"/>
        <v>18564.272577255506</v>
      </c>
      <c r="AO111" s="772">
        <f t="shared" ca="1" si="41"/>
        <v>17795.283788715955</v>
      </c>
      <c r="AP111" s="772">
        <f t="shared" ca="1" si="41"/>
        <v>17795.283788715955</v>
      </c>
      <c r="AQ111" s="772">
        <f t="shared" ca="1" si="41"/>
        <v>17795.283788715955</v>
      </c>
      <c r="AR111" s="772">
        <f t="shared" ca="1" si="42"/>
        <v>20087.847646392795</v>
      </c>
      <c r="AS111" s="772">
        <f t="shared" ca="1" si="42"/>
        <v>20087.847646392795</v>
      </c>
      <c r="AT111" s="772">
        <f t="shared" ca="1" si="42"/>
        <v>19332.997322618641</v>
      </c>
      <c r="AU111" s="772">
        <f t="shared" ca="1" si="42"/>
        <v>19332.997322618641</v>
      </c>
      <c r="AV111" s="772">
        <f t="shared" ca="1" si="42"/>
        <v>18564.272577255506</v>
      </c>
      <c r="AW111" s="772">
        <f t="shared" ca="1" si="42"/>
        <v>18564.272577255506</v>
      </c>
      <c r="AX111" s="772">
        <f t="shared" ca="1" si="42"/>
        <v>17795.283788715955</v>
      </c>
      <c r="AY111" s="772">
        <f t="shared" ca="1" si="42"/>
        <v>17795.283788715955</v>
      </c>
      <c r="AZ111" s="772">
        <f t="shared" ca="1" si="42"/>
        <v>17795.283788715955</v>
      </c>
      <c r="BA111" s="772">
        <f t="shared" ca="1" si="42"/>
        <v>20087.847646392795</v>
      </c>
      <c r="BB111" s="772">
        <f t="shared" ca="1" si="42"/>
        <v>20087.847646392795</v>
      </c>
      <c r="BC111" s="772">
        <f t="shared" ca="1" si="42"/>
        <v>19332.997322618641</v>
      </c>
      <c r="BD111" s="772">
        <f t="shared" ca="1" si="42"/>
        <v>18564.272577255506</v>
      </c>
      <c r="BE111" s="772">
        <f t="shared" ca="1" si="42"/>
        <v>18564.272577255506</v>
      </c>
      <c r="BF111" s="772">
        <f t="shared" ca="1" si="42"/>
        <v>17795.283788715955</v>
      </c>
      <c r="BG111" s="772">
        <f t="shared" ca="1" si="42"/>
        <v>17795.283788715955</v>
      </c>
      <c r="BH111" s="772">
        <f t="shared" ca="1" si="44"/>
        <v>17037.298471519371</v>
      </c>
      <c r="BI111" s="772">
        <f t="shared" ca="1" si="44"/>
        <v>17037.298471519371</v>
      </c>
      <c r="BJ111" s="772">
        <f t="shared" ca="1" si="44"/>
        <v>19332.997322618641</v>
      </c>
      <c r="BK111" s="772">
        <f t="shared" ca="1" si="44"/>
        <v>19332.997322618641</v>
      </c>
      <c r="BL111" s="772">
        <f t="shared" ca="1" si="44"/>
        <v>19332.997322618641</v>
      </c>
      <c r="BM111" s="772">
        <f t="shared" ca="1" si="44"/>
        <v>19332.997322618641</v>
      </c>
      <c r="BN111" s="772">
        <f t="shared" ca="1" si="44"/>
        <v>17795.283788715955</v>
      </c>
      <c r="BO111" s="772">
        <f t="shared" ca="1" si="38"/>
        <v>17795.283788715955</v>
      </c>
      <c r="BP111" s="772">
        <f t="shared" ca="1" si="38"/>
        <v>17037.298471519371</v>
      </c>
      <c r="BQ111" s="772">
        <f t="shared" ca="1" si="38"/>
        <v>17037.298471519371</v>
      </c>
      <c r="BR111" s="772">
        <f t="shared" ca="1" si="38"/>
        <v>16298.853284295057</v>
      </c>
      <c r="BS111" s="772">
        <f t="shared" ca="1" si="38"/>
        <v>19332.997322618641</v>
      </c>
      <c r="BT111" s="772">
        <f t="shared" ca="1" si="38"/>
        <v>19332.997322618641</v>
      </c>
      <c r="BU111" s="772">
        <f t="shared" ca="1" si="38"/>
        <v>19332.997322618641</v>
      </c>
      <c r="BV111" s="772">
        <f t="shared" ca="1" si="38"/>
        <v>18564.272577255506</v>
      </c>
      <c r="BW111" s="772">
        <f t="shared" ca="1" si="38"/>
        <v>18564.272577255506</v>
      </c>
      <c r="BX111" s="772">
        <f t="shared" ca="1" si="43"/>
        <v>17037.298471519371</v>
      </c>
      <c r="BY111" s="772">
        <f t="shared" ca="1" si="43"/>
        <v>17037.298471519371</v>
      </c>
      <c r="BZ111" s="772">
        <f t="shared" ca="1" si="43"/>
        <v>16298.853284295057</v>
      </c>
      <c r="CA111" s="772">
        <f t="shared" ca="1" si="43"/>
        <v>16298.853284295057</v>
      </c>
      <c r="CB111" s="772">
        <f t="shared" ca="1" si="43"/>
        <v>18564.272577255506</v>
      </c>
      <c r="CC111" s="772">
        <f t="shared" ca="1" si="43"/>
        <v>18564.272577255506</v>
      </c>
      <c r="CD111" s="772">
        <f t="shared" ca="1" si="43"/>
        <v>18564.272577255506</v>
      </c>
      <c r="CE111" s="772">
        <f t="shared" ca="1" si="43"/>
        <v>18564.272577255506</v>
      </c>
      <c r="CF111" s="772">
        <f t="shared" ca="1" si="43"/>
        <v>17795.283788715955</v>
      </c>
      <c r="CG111" s="772">
        <f t="shared" ca="1" si="43"/>
        <v>17037.298471519371</v>
      </c>
      <c r="CH111" s="772">
        <f t="shared" ca="1" si="43"/>
        <v>16298.853284295057</v>
      </c>
      <c r="CI111" s="772">
        <f t="shared" ca="1" si="43"/>
        <v>16298.853284295057</v>
      </c>
      <c r="CJ111" s="772">
        <f t="shared" ca="1" si="43"/>
        <v>15585.89631267555</v>
      </c>
    </row>
    <row r="112" spans="1:88" ht="15" customHeight="1">
      <c r="A112" s="770">
        <f>'kc-Wert für Stützen'!C112</f>
        <v>164</v>
      </c>
      <c r="B112" s="768">
        <f ca="1">INDIRECT("'kc-Wert für Stützen'!"&amp;SUBSTITUTE(ADDRESS(MATCH($A112,'kc-Wert für Stützen'!$C:$C,0),MATCH(B$7,'kc-Wert für Stützen'!$A$8:$ES$8,0)+7,4),,))</f>
        <v>21874.813883009163</v>
      </c>
      <c r="C112" s="768">
        <f ca="1">INDIRECT("'kc-Wert für Stützen'!"&amp;SUBSTITUTE(ADDRESS(MATCH($A112,'kc-Wert für Stützen'!$C:$C,0),MATCH(C$7,'kc-Wert für Stützen'!$A$8:$ES$8,0)+7,4),,))</f>
        <v>21196.037132134283</v>
      </c>
      <c r="D112" s="768">
        <f ca="1">INDIRECT("'kc-Wert für Stützen'!"&amp;SUBSTITUTE(ADDRESS(MATCH($A112,'kc-Wert für Stützen'!$C:$C,0),MATCH(D$7,'kc-Wert für Stützen'!$A$8:$ES$8,0)+7,4),,))</f>
        <v>20472.16418445071</v>
      </c>
      <c r="E112" s="768">
        <f ca="1">INDIRECT("'kc-Wert für Stützen'!"&amp;SUBSTITUTE(ADDRESS(MATCH($A112,'kc-Wert für Stützen'!$C:$C,0),MATCH(E$7,'kc-Wert für Stützen'!$A$8:$ES$8,0)+7,4),,))</f>
        <v>19716.905784189177</v>
      </c>
      <c r="F112" s="768">
        <f ca="1">INDIRECT("'kc-Wert für Stützen'!"&amp;SUBSTITUTE(ADDRESS(MATCH($A112,'kc-Wert für Stützen'!$C:$C,0),MATCH(F$7,'kc-Wert für Stützen'!$A$8:$ES$8,0)+7,4),,))</f>
        <v>18945.018206160501</v>
      </c>
      <c r="G112" s="768">
        <f ca="1">INDIRECT("'kc-Wert für Stützen'!"&amp;SUBSTITUTE(ADDRESS(MATCH($A112,'kc-Wert für Stützen'!$C:$C,0),MATCH(G$7,'kc-Wert für Stützen'!$A$8:$ES$8,0)+7,4),,))</f>
        <v>18170.372945318817</v>
      </c>
      <c r="H112" s="768">
        <f ca="1">INDIRECT("'kc-Wert für Stützen'!"&amp;SUBSTITUTE(ADDRESS(MATCH($A112,'kc-Wert für Stützen'!$C:$C,0),MATCH(H$7,'kc-Wert für Stützen'!$A$8:$ES$8,0)+7,4),,))</f>
        <v>17404.683160127424</v>
      </c>
      <c r="I112" s="768">
        <f ca="1">INDIRECT("'kc-Wert für Stützen'!"&amp;SUBSTITUTE(ADDRESS(MATCH($A112,'kc-Wert für Stützen'!$C:$C,0),MATCH(I$7,'kc-Wert für Stützen'!$A$8:$ES$8,0)+7,4),,))</f>
        <v>16656.989348411989</v>
      </c>
      <c r="J112" s="768">
        <f ca="1">INDIRECT("'kc-Wert für Stützen'!"&amp;SUBSTITUTE(ADDRESS(MATCH($A112,'kc-Wert für Stützen'!$C:$C,0),MATCH(J$7,'kc-Wert für Stützen'!$A$8:$ES$8,0)+7,4),,))</f>
        <v>15933.71566025731</v>
      </c>
      <c r="K112" s="768">
        <f ca="1">INDIRECT("'kc-Wert für Stützen'!"&amp;SUBSTITUTE(ADDRESS(MATCH($A112,'kc-Wert für Stützen'!$C:$C,0),MATCH(K$7,'kc-Wert für Stützen'!$A$8:$ES$8,0)+7,4),,))</f>
        <v>15239.034442892887</v>
      </c>
      <c r="L112" s="768">
        <f ca="1">INDIRECT("'kc-Wert für Stützen'!"&amp;SUBSTITUTE(ADDRESS(MATCH($A112,'kc-Wert für Stützen'!$C:$C,0),MATCH(L$7,'kc-Wert für Stützen'!$A$8:$ES$8,0)+7,4),,))</f>
        <v>14575.332869421927</v>
      </c>
      <c r="M112" s="768">
        <f ca="1">INDIRECT("'kc-Wert für Stützen'!"&amp;SUBSTITUTE(ADDRESS(MATCH($A112,'kc-Wert für Stützen'!$C:$C,0),MATCH(M$7,'kc-Wert für Stützen'!$A$8:$ES$8,0)+7,4),,))</f>
        <v>13943.662119686282</v>
      </c>
      <c r="N112" s="768">
        <f ca="1">INDIRECT("'kc-Wert für Stützen'!"&amp;SUBSTITUTE(ADDRESS(MATCH($A112,'kc-Wert für Stützen'!$C:$C,0),MATCH(N$7,'kc-Wert für Stützen'!$A$8:$ES$8,0)+7,4),,))</f>
        <v>13344.117375929914</v>
      </c>
      <c r="O112" s="768">
        <f ca="1">INDIRECT("'kc-Wert für Stützen'!"&amp;SUBSTITUTE(ADDRESS(MATCH($A112,'kc-Wert für Stützen'!$C:$C,0),MATCH(O$7,'kc-Wert für Stützen'!$A$8:$ES$8,0)+7,4),,))</f>
        <v>12776.13674171992</v>
      </c>
      <c r="P112" s="768">
        <f ca="1">INDIRECT("'kc-Wert für Stützen'!"&amp;SUBSTITUTE(ADDRESS(MATCH($A112,'kc-Wert für Stützen'!$C:$C,0),MATCH(P$7,'kc-Wert für Stützen'!$A$8:$ES$8,0)+7,4),,))</f>
        <v>12238.725930145767</v>
      </c>
      <c r="S112" s="772">
        <f t="shared" ca="1" si="31"/>
        <v>20472.16418445071</v>
      </c>
      <c r="T112" s="772">
        <f t="shared" ca="1" si="40"/>
        <v>20472.16418445071</v>
      </c>
      <c r="U112" s="772">
        <f t="shared" ca="1" si="40"/>
        <v>20472.16418445071</v>
      </c>
      <c r="V112" s="772">
        <f t="shared" ca="1" si="40"/>
        <v>19716.905784189177</v>
      </c>
      <c r="W112" s="772">
        <f t="shared" ca="1" si="40"/>
        <v>18945.018206160501</v>
      </c>
      <c r="X112" s="772">
        <f t="shared" ca="1" si="40"/>
        <v>18170.372945318817</v>
      </c>
      <c r="Y112" s="772">
        <f t="shared" ca="1" si="40"/>
        <v>17404.683160127424</v>
      </c>
      <c r="Z112" s="772">
        <f t="shared" ca="1" si="40"/>
        <v>20472.16418445071</v>
      </c>
      <c r="AA112" s="772">
        <f t="shared" ca="1" si="40"/>
        <v>20472.16418445071</v>
      </c>
      <c r="AB112" s="772">
        <f t="shared" ca="1" si="41"/>
        <v>19716.905784189177</v>
      </c>
      <c r="AC112" s="772">
        <f t="shared" ca="1" si="41"/>
        <v>19716.905784189177</v>
      </c>
      <c r="AD112" s="772">
        <f t="shared" ca="1" si="41"/>
        <v>18945.018206160501</v>
      </c>
      <c r="AE112" s="772">
        <f t="shared" ca="1" si="41"/>
        <v>18945.018206160501</v>
      </c>
      <c r="AF112" s="772">
        <f t="shared" ca="1" si="41"/>
        <v>18170.372945318817</v>
      </c>
      <c r="AG112" s="772">
        <f t="shared" ca="1" si="41"/>
        <v>18170.372945318817</v>
      </c>
      <c r="AH112" s="772">
        <f t="shared" ca="1" si="41"/>
        <v>18170.372945318817</v>
      </c>
      <c r="AI112" s="772">
        <f t="shared" ca="1" si="41"/>
        <v>20472.16418445071</v>
      </c>
      <c r="AJ112" s="772">
        <f t="shared" ca="1" si="41"/>
        <v>20472.16418445071</v>
      </c>
      <c r="AK112" s="772">
        <f t="shared" ca="1" si="41"/>
        <v>19716.905784189177</v>
      </c>
      <c r="AL112" s="772">
        <f t="shared" ca="1" si="41"/>
        <v>19716.905784189177</v>
      </c>
      <c r="AM112" s="772">
        <f t="shared" ca="1" si="41"/>
        <v>18945.018206160501</v>
      </c>
      <c r="AN112" s="772">
        <f t="shared" ca="1" si="41"/>
        <v>18945.018206160501</v>
      </c>
      <c r="AO112" s="772">
        <f t="shared" ca="1" si="41"/>
        <v>18170.372945318817</v>
      </c>
      <c r="AP112" s="772">
        <f t="shared" ca="1" si="41"/>
        <v>18170.372945318817</v>
      </c>
      <c r="AQ112" s="772">
        <f t="shared" ca="1" si="41"/>
        <v>18170.372945318817</v>
      </c>
      <c r="AR112" s="772">
        <f t="shared" ca="1" si="42"/>
        <v>20472.16418445071</v>
      </c>
      <c r="AS112" s="772">
        <f t="shared" ca="1" si="42"/>
        <v>20472.16418445071</v>
      </c>
      <c r="AT112" s="772">
        <f t="shared" ca="1" si="42"/>
        <v>19716.905784189177</v>
      </c>
      <c r="AU112" s="772">
        <f t="shared" ca="1" si="42"/>
        <v>19716.905784189177</v>
      </c>
      <c r="AV112" s="772">
        <f t="shared" ca="1" si="42"/>
        <v>18945.018206160501</v>
      </c>
      <c r="AW112" s="772">
        <f t="shared" ca="1" si="42"/>
        <v>18945.018206160501</v>
      </c>
      <c r="AX112" s="772">
        <f t="shared" ca="1" si="42"/>
        <v>18170.372945318817</v>
      </c>
      <c r="AY112" s="772">
        <f t="shared" ca="1" si="42"/>
        <v>18170.372945318817</v>
      </c>
      <c r="AZ112" s="772">
        <f t="shared" ca="1" si="42"/>
        <v>18170.372945318817</v>
      </c>
      <c r="BA112" s="772">
        <f t="shared" ca="1" si="42"/>
        <v>20472.16418445071</v>
      </c>
      <c r="BB112" s="772">
        <f t="shared" ca="1" si="42"/>
        <v>20472.16418445071</v>
      </c>
      <c r="BC112" s="772">
        <f t="shared" ca="1" si="42"/>
        <v>19716.905784189177</v>
      </c>
      <c r="BD112" s="772">
        <f t="shared" ca="1" si="42"/>
        <v>18945.018206160501</v>
      </c>
      <c r="BE112" s="772">
        <f t="shared" ca="1" si="42"/>
        <v>18945.018206160501</v>
      </c>
      <c r="BF112" s="772">
        <f t="shared" ca="1" si="42"/>
        <v>18170.372945318817</v>
      </c>
      <c r="BG112" s="772">
        <f t="shared" ca="1" si="42"/>
        <v>18170.372945318817</v>
      </c>
      <c r="BH112" s="772">
        <f t="shared" ca="1" si="44"/>
        <v>17404.683160127424</v>
      </c>
      <c r="BI112" s="772">
        <f t="shared" ca="1" si="44"/>
        <v>17404.683160127424</v>
      </c>
      <c r="BJ112" s="772">
        <f t="shared" ca="1" si="44"/>
        <v>19716.905784189177</v>
      </c>
      <c r="BK112" s="772">
        <f t="shared" ca="1" si="44"/>
        <v>19716.905784189177</v>
      </c>
      <c r="BL112" s="772">
        <f t="shared" ca="1" si="44"/>
        <v>19716.905784189177</v>
      </c>
      <c r="BM112" s="772">
        <f t="shared" ca="1" si="44"/>
        <v>19716.905784189177</v>
      </c>
      <c r="BN112" s="772">
        <f t="shared" ca="1" si="44"/>
        <v>18170.372945318817</v>
      </c>
      <c r="BO112" s="772">
        <f t="shared" ca="1" si="38"/>
        <v>18170.372945318817</v>
      </c>
      <c r="BP112" s="772">
        <f t="shared" ca="1" si="38"/>
        <v>17404.683160127424</v>
      </c>
      <c r="BQ112" s="772">
        <f t="shared" ca="1" si="38"/>
        <v>17404.683160127424</v>
      </c>
      <c r="BR112" s="772">
        <f t="shared" ca="1" si="38"/>
        <v>16656.989348411989</v>
      </c>
      <c r="BS112" s="772">
        <f t="shared" ca="1" si="38"/>
        <v>19716.905784189177</v>
      </c>
      <c r="BT112" s="772">
        <f t="shared" ca="1" si="38"/>
        <v>19716.905784189177</v>
      </c>
      <c r="BU112" s="772">
        <f t="shared" ca="1" si="38"/>
        <v>19716.905784189177</v>
      </c>
      <c r="BV112" s="772">
        <f t="shared" ca="1" si="38"/>
        <v>18945.018206160501</v>
      </c>
      <c r="BW112" s="772">
        <f t="shared" ca="1" si="38"/>
        <v>18945.018206160501</v>
      </c>
      <c r="BX112" s="772">
        <f t="shared" ca="1" si="38"/>
        <v>17404.683160127424</v>
      </c>
      <c r="BY112" s="772">
        <f t="shared" ca="1" si="38"/>
        <v>17404.683160127424</v>
      </c>
      <c r="BZ112" s="772">
        <f t="shared" ca="1" si="38"/>
        <v>16656.989348411989</v>
      </c>
      <c r="CA112" s="772">
        <f t="shared" ca="1" si="38"/>
        <v>16656.989348411989</v>
      </c>
      <c r="CB112" s="772">
        <f t="shared" ca="1" si="38"/>
        <v>18945.018206160501</v>
      </c>
      <c r="CC112" s="772">
        <f t="shared" ca="1" si="38"/>
        <v>18945.018206160501</v>
      </c>
      <c r="CD112" s="772">
        <f t="shared" ca="1" si="38"/>
        <v>18945.018206160501</v>
      </c>
      <c r="CE112" s="772">
        <f t="shared" ca="1" si="43"/>
        <v>18945.018206160501</v>
      </c>
      <c r="CF112" s="772">
        <f t="shared" ca="1" si="43"/>
        <v>18170.372945318817</v>
      </c>
      <c r="CG112" s="772">
        <f t="shared" ca="1" si="43"/>
        <v>17404.683160127424</v>
      </c>
      <c r="CH112" s="772">
        <f t="shared" ca="1" si="43"/>
        <v>16656.989348411989</v>
      </c>
      <c r="CI112" s="772">
        <f t="shared" ca="1" si="43"/>
        <v>16656.989348411989</v>
      </c>
      <c r="CJ112" s="772">
        <f t="shared" ca="1" si="43"/>
        <v>15933.71566025731</v>
      </c>
    </row>
    <row r="113" spans="1:88" ht="15" customHeight="1">
      <c r="A113" s="770">
        <f>'kc-Wert für Stützen'!C113</f>
        <v>165</v>
      </c>
      <c r="B113" s="768">
        <f ca="1">INDIRECT("'kc-Wert für Stützen'!"&amp;SUBSTITUTE(ADDRESS(MATCH($A113,'kc-Wert für Stützen'!$C:$C,0),MATCH(B$7,'kc-Wert für Stützen'!$A$8:$ES$8,0)+7,4),,))</f>
        <v>22253.62401565176</v>
      </c>
      <c r="C113" s="768">
        <f ca="1">INDIRECT("'kc-Wert für Stützen'!"&amp;SUBSTITUTE(ADDRESS(MATCH($A113,'kc-Wert für Stützen'!$C:$C,0),MATCH(C$7,'kc-Wert für Stützen'!$A$8:$ES$8,0)+7,4),,))</f>
        <v>21579.735566047362</v>
      </c>
      <c r="D113" s="768">
        <f ca="1">INDIRECT("'kc-Wert für Stützen'!"&amp;SUBSTITUTE(ADDRESS(MATCH($A113,'kc-Wert für Stützen'!$C:$C,0),MATCH(D$7,'kc-Wert für Stützen'!$A$8:$ES$8,0)+7,4),,))</f>
        <v>20858.605531186466</v>
      </c>
      <c r="E113" s="768">
        <f ca="1">INDIRECT("'kc-Wert für Stützen'!"&amp;SUBSTITUTE(ADDRESS(MATCH($A113,'kc-Wert für Stützen'!$C:$C,0),MATCH(E$7,'kc-Wert für Stützen'!$A$8:$ES$8,0)+7,4),,))</f>
        <v>20103.455059420838</v>
      </c>
      <c r="F113" s="768">
        <f ca="1">INDIRECT("'kc-Wert für Stützen'!"&amp;SUBSTITUTE(ADDRESS(MATCH($A113,'kc-Wert für Stützen'!$C:$C,0),MATCH(F$7,'kc-Wert für Stützen'!$A$8:$ES$8,0)+7,4),,))</f>
        <v>19328.91987065498</v>
      </c>
      <c r="G113" s="768">
        <f ca="1">INDIRECT("'kc-Wert für Stützen'!"&amp;SUBSTITUTE(ADDRESS(MATCH($A113,'kc-Wert für Stützen'!$C:$C,0),MATCH(G$7,'kc-Wert für Stützen'!$A$8:$ES$8,0)+7,4),,))</f>
        <v>18549.079102737051</v>
      </c>
      <c r="H113" s="768">
        <f ca="1">INDIRECT("'kc-Wert für Stützen'!"&amp;SUBSTITUTE(ADDRESS(MATCH($A113,'kc-Wert für Stützen'!$C:$C,0),MATCH(H$7,'kc-Wert für Stützen'!$A$8:$ES$8,0)+7,4),,))</f>
        <v>17776.061131456692</v>
      </c>
      <c r="I113" s="768">
        <f ca="1">INDIRECT("'kc-Wert für Stützen'!"&amp;SUBSTITUTE(ADDRESS(MATCH($A113,'kc-Wert für Stützen'!$C:$C,0),MATCH(I$7,'kc-Wert für Stützen'!$A$8:$ES$8,0)+7,4),,))</f>
        <v>17019.401012232553</v>
      </c>
      <c r="J113" s="768">
        <f ca="1">INDIRECT("'kc-Wert für Stützen'!"&amp;SUBSTITUTE(ADDRESS(MATCH($A113,'kc-Wert für Stützen'!$C:$C,0),MATCH(J$7,'kc-Wert für Stützen'!$A$8:$ES$8,0)+7,4),,))</f>
        <v>16286.003806929892</v>
      </c>
      <c r="K113" s="768">
        <f ca="1">INDIRECT("'kc-Wert für Stützen'!"&amp;SUBSTITUTE(ADDRESS(MATCH($A113,'kc-Wert für Stützen'!$C:$C,0),MATCH(K$7,'kc-Wert für Stützen'!$A$8:$ES$8,0)+7,4),,))</f>
        <v>15580.459350945419</v>
      </c>
      <c r="L113" s="768">
        <f ca="1">INDIRECT("'kc-Wert für Stützen'!"&amp;SUBSTITUTE(ADDRESS(MATCH($A113,'kc-Wert für Stützen'!$C:$C,0),MATCH(L$7,'kc-Wert für Stützen'!$A$8:$ES$8,0)+7,4),,))</f>
        <v>14905.4919190784</v>
      </c>
      <c r="M113" s="768">
        <f ca="1">INDIRECT("'kc-Wert für Stützen'!"&amp;SUBSTITUTE(ADDRESS(MATCH($A113,'kc-Wert für Stützen'!$C:$C,0),MATCH(M$7,'kc-Wert für Stützen'!$A$8:$ES$8,0)+7,4),,))</f>
        <v>14262.411494166507</v>
      </c>
      <c r="N113" s="768">
        <f ca="1">INDIRECT("'kc-Wert für Stützen'!"&amp;SUBSTITUTE(ADDRESS(MATCH($A113,'kc-Wert für Stützen'!$C:$C,0),MATCH(N$7,'kc-Wert für Stützen'!$A$8:$ES$8,0)+7,4),,))</f>
        <v>13651.504410350162</v>
      </c>
      <c r="O113" s="768">
        <f ca="1">INDIRECT("'kc-Wert für Stützen'!"&amp;SUBSTITUTE(ADDRESS(MATCH($A113,'kc-Wert für Stützen'!$C:$C,0),MATCH(O$7,'kc-Wert für Stützen'!$A$8:$ES$8,0)+7,4),,))</f>
        <v>13072.34525555483</v>
      </c>
      <c r="P113" s="768">
        <f ca="1">INDIRECT("'kc-Wert für Stützen'!"&amp;SUBSTITUTE(ADDRESS(MATCH($A113,'kc-Wert für Stützen'!$C:$C,0),MATCH(P$7,'kc-Wert für Stützen'!$A$8:$ES$8,0)+7,4),,))</f>
        <v>12524.033832464394</v>
      </c>
      <c r="S113" s="772">
        <f t="shared" ca="1" si="31"/>
        <v>20858.605531186466</v>
      </c>
      <c r="T113" s="772">
        <f t="shared" ca="1" si="40"/>
        <v>20858.605531186466</v>
      </c>
      <c r="U113" s="772">
        <f t="shared" ca="1" si="40"/>
        <v>20858.605531186466</v>
      </c>
      <c r="V113" s="772">
        <f t="shared" ca="1" si="40"/>
        <v>20103.455059420838</v>
      </c>
      <c r="W113" s="772">
        <f t="shared" ca="1" si="40"/>
        <v>19328.91987065498</v>
      </c>
      <c r="X113" s="772">
        <f t="shared" ca="1" si="40"/>
        <v>18549.079102737051</v>
      </c>
      <c r="Y113" s="772">
        <f t="shared" ca="1" si="40"/>
        <v>17776.061131456692</v>
      </c>
      <c r="Z113" s="772">
        <f t="shared" ca="1" si="40"/>
        <v>20858.605531186466</v>
      </c>
      <c r="AA113" s="772">
        <f t="shared" ca="1" si="40"/>
        <v>20858.605531186466</v>
      </c>
      <c r="AB113" s="772">
        <f t="shared" ca="1" si="41"/>
        <v>20103.455059420838</v>
      </c>
      <c r="AC113" s="772">
        <f t="shared" ca="1" si="41"/>
        <v>20103.455059420838</v>
      </c>
      <c r="AD113" s="772">
        <f t="shared" ca="1" si="41"/>
        <v>19328.91987065498</v>
      </c>
      <c r="AE113" s="772">
        <f t="shared" ca="1" si="41"/>
        <v>19328.91987065498</v>
      </c>
      <c r="AF113" s="772">
        <f t="shared" ca="1" si="41"/>
        <v>18549.079102737051</v>
      </c>
      <c r="AG113" s="772">
        <f t="shared" ca="1" si="41"/>
        <v>18549.079102737051</v>
      </c>
      <c r="AH113" s="772">
        <f t="shared" ca="1" si="41"/>
        <v>18549.079102737051</v>
      </c>
      <c r="AI113" s="772">
        <f t="shared" ca="1" si="41"/>
        <v>20858.605531186466</v>
      </c>
      <c r="AJ113" s="772">
        <f t="shared" ca="1" si="41"/>
        <v>20858.605531186466</v>
      </c>
      <c r="AK113" s="772">
        <f t="shared" ca="1" si="41"/>
        <v>20103.455059420838</v>
      </c>
      <c r="AL113" s="772">
        <f t="shared" ca="1" si="41"/>
        <v>20103.455059420838</v>
      </c>
      <c r="AM113" s="772">
        <f t="shared" ca="1" si="41"/>
        <v>19328.91987065498</v>
      </c>
      <c r="AN113" s="772">
        <f t="shared" ca="1" si="41"/>
        <v>19328.91987065498</v>
      </c>
      <c r="AO113" s="772">
        <f t="shared" ca="1" si="41"/>
        <v>18549.079102737051</v>
      </c>
      <c r="AP113" s="772">
        <f t="shared" ca="1" si="41"/>
        <v>18549.079102737051</v>
      </c>
      <c r="AQ113" s="772">
        <f t="shared" ca="1" si="41"/>
        <v>18549.079102737051</v>
      </c>
      <c r="AR113" s="772">
        <f t="shared" ca="1" si="42"/>
        <v>20858.605531186466</v>
      </c>
      <c r="AS113" s="772">
        <f t="shared" ca="1" si="42"/>
        <v>20858.605531186466</v>
      </c>
      <c r="AT113" s="772">
        <f t="shared" ca="1" si="42"/>
        <v>20103.455059420838</v>
      </c>
      <c r="AU113" s="772">
        <f t="shared" ca="1" si="42"/>
        <v>20103.455059420838</v>
      </c>
      <c r="AV113" s="772">
        <f t="shared" ca="1" si="42"/>
        <v>19328.91987065498</v>
      </c>
      <c r="AW113" s="772">
        <f t="shared" ca="1" si="42"/>
        <v>19328.91987065498</v>
      </c>
      <c r="AX113" s="772">
        <f t="shared" ca="1" si="42"/>
        <v>18549.079102737051</v>
      </c>
      <c r="AY113" s="772">
        <f t="shared" ca="1" si="42"/>
        <v>18549.079102737051</v>
      </c>
      <c r="AZ113" s="772">
        <f t="shared" ca="1" si="42"/>
        <v>18549.079102737051</v>
      </c>
      <c r="BA113" s="772">
        <f t="shared" ca="1" si="42"/>
        <v>20858.605531186466</v>
      </c>
      <c r="BB113" s="772">
        <f t="shared" ca="1" si="42"/>
        <v>20858.605531186466</v>
      </c>
      <c r="BC113" s="772">
        <f t="shared" ca="1" si="42"/>
        <v>20103.455059420838</v>
      </c>
      <c r="BD113" s="772">
        <f t="shared" ca="1" si="42"/>
        <v>19328.91987065498</v>
      </c>
      <c r="BE113" s="772">
        <f t="shared" ca="1" si="42"/>
        <v>19328.91987065498</v>
      </c>
      <c r="BF113" s="772">
        <f t="shared" ca="1" si="42"/>
        <v>18549.079102737051</v>
      </c>
      <c r="BG113" s="772">
        <f t="shared" ca="1" si="42"/>
        <v>18549.079102737051</v>
      </c>
      <c r="BH113" s="772">
        <f t="shared" ca="1" si="44"/>
        <v>17776.061131456692</v>
      </c>
      <c r="BI113" s="772">
        <f t="shared" ca="1" si="44"/>
        <v>17776.061131456692</v>
      </c>
      <c r="BJ113" s="772">
        <f t="shared" ca="1" si="44"/>
        <v>20103.455059420838</v>
      </c>
      <c r="BK113" s="772">
        <f t="shared" ca="1" si="44"/>
        <v>20103.455059420838</v>
      </c>
      <c r="BL113" s="772">
        <f t="shared" ca="1" si="44"/>
        <v>20103.455059420838</v>
      </c>
      <c r="BM113" s="772">
        <f t="shared" ca="1" si="44"/>
        <v>20103.455059420838</v>
      </c>
      <c r="BN113" s="772">
        <f t="shared" ca="1" si="44"/>
        <v>18549.079102737051</v>
      </c>
      <c r="BO113" s="772">
        <f t="shared" ca="1" si="38"/>
        <v>18549.079102737051</v>
      </c>
      <c r="BP113" s="772">
        <f t="shared" ca="1" si="38"/>
        <v>17776.061131456692</v>
      </c>
      <c r="BQ113" s="772">
        <f t="shared" ca="1" si="38"/>
        <v>17776.061131456692</v>
      </c>
      <c r="BR113" s="772">
        <f t="shared" ca="1" si="38"/>
        <v>17019.401012232553</v>
      </c>
      <c r="BS113" s="772">
        <f t="shared" ca="1" si="38"/>
        <v>20103.455059420838</v>
      </c>
      <c r="BT113" s="772">
        <f t="shared" ca="1" si="38"/>
        <v>20103.455059420838</v>
      </c>
      <c r="BU113" s="772">
        <f t="shared" ca="1" si="38"/>
        <v>20103.455059420838</v>
      </c>
      <c r="BV113" s="772">
        <f t="shared" ca="1" si="38"/>
        <v>19328.91987065498</v>
      </c>
      <c r="BW113" s="772">
        <f t="shared" ca="1" si="38"/>
        <v>19328.91987065498</v>
      </c>
      <c r="BX113" s="772">
        <f t="shared" ca="1" si="38"/>
        <v>17776.061131456692</v>
      </c>
      <c r="BY113" s="772">
        <f t="shared" ca="1" si="38"/>
        <v>17776.061131456692</v>
      </c>
      <c r="BZ113" s="772">
        <f t="shared" ca="1" si="38"/>
        <v>17019.401012232553</v>
      </c>
      <c r="CA113" s="772">
        <f t="shared" ca="1" si="38"/>
        <v>17019.401012232553</v>
      </c>
      <c r="CB113" s="772">
        <f t="shared" ca="1" si="38"/>
        <v>19328.91987065498</v>
      </c>
      <c r="CC113" s="772">
        <f t="shared" ca="1" si="38"/>
        <v>19328.91987065498</v>
      </c>
      <c r="CD113" s="772">
        <f t="shared" ca="1" si="38"/>
        <v>19328.91987065498</v>
      </c>
      <c r="CE113" s="772">
        <f t="shared" ca="1" si="43"/>
        <v>19328.91987065498</v>
      </c>
      <c r="CF113" s="772">
        <f t="shared" ca="1" si="43"/>
        <v>18549.079102737051</v>
      </c>
      <c r="CG113" s="772">
        <f t="shared" ca="1" si="43"/>
        <v>17776.061131456692</v>
      </c>
      <c r="CH113" s="772">
        <f t="shared" ca="1" si="43"/>
        <v>17019.401012232553</v>
      </c>
      <c r="CI113" s="772">
        <f t="shared" ca="1" si="43"/>
        <v>17019.401012232553</v>
      </c>
      <c r="CJ113" s="772">
        <f t="shared" ca="1" si="43"/>
        <v>16286.003806929892</v>
      </c>
    </row>
    <row r="114" spans="1:88" ht="15" customHeight="1">
      <c r="A114" s="770">
        <f>'kc-Wert für Stützen'!C114</f>
        <v>166</v>
      </c>
      <c r="B114" s="768">
        <f ca="1">INDIRECT("'kc-Wert für Stützen'!"&amp;SUBSTITUTE(ADDRESS(MATCH($A114,'kc-Wert für Stützen'!$C:$C,0),MATCH(B$7,'kc-Wert für Stützen'!$A$8:$ES$8,0)+7,4),,))</f>
        <v>22633.74418135668</v>
      </c>
      <c r="C114" s="768">
        <f ca="1">INDIRECT("'kc-Wert für Stützen'!"&amp;SUBSTITUTE(ADDRESS(MATCH($A114,'kc-Wert für Stützen'!$C:$C,0),MATCH(C$7,'kc-Wert für Stützen'!$A$8:$ES$8,0)+7,4),,))</f>
        <v>21965.041580463971</v>
      </c>
      <c r="D114" s="768">
        <f ca="1">INDIRECT("'kc-Wert für Stützen'!"&amp;SUBSTITUTE(ADDRESS(MATCH($A114,'kc-Wert für Stützen'!$C:$C,0),MATCH(D$7,'kc-Wert für Stützen'!$A$8:$ES$8,0)+7,4),,))</f>
        <v>21247.082994047043</v>
      </c>
      <c r="E114" s="768">
        <f ca="1">INDIRECT("'kc-Wert für Stützen'!"&amp;SUBSTITUTE(ADDRESS(MATCH($A114,'kc-Wert für Stützen'!$C:$C,0),MATCH(E$7,'kc-Wert für Stützen'!$A$8:$ES$8,0)+7,4),,))</f>
        <v>20492.546319284931</v>
      </c>
      <c r="F114" s="768">
        <f ca="1">INDIRECT("'kc-Wert für Stützen'!"&amp;SUBSTITUTE(ADDRESS(MATCH($A114,'kc-Wert für Stützen'!$C:$C,0),MATCH(F$7,'kc-Wert für Stützen'!$A$8:$ES$8,0)+7,4),,))</f>
        <v>19715.880532024523</v>
      </c>
      <c r="G114" s="768">
        <f ca="1">INDIRECT("'kc-Wert für Stützen'!"&amp;SUBSTITUTE(ADDRESS(MATCH($A114,'kc-Wert für Stützen'!$C:$C,0),MATCH(G$7,'kc-Wert für Stützen'!$A$8:$ES$8,0)+7,4),,))</f>
        <v>18931.316211928424</v>
      </c>
      <c r="H114" s="768">
        <f ca="1">INDIRECT("'kc-Wert für Stützen'!"&amp;SUBSTITUTE(ADDRESS(MATCH($A114,'kc-Wert für Stützen'!$C:$C,0),MATCH(H$7,'kc-Wert für Stützen'!$A$8:$ES$8,0)+7,4),,))</f>
        <v>18151.362491899159</v>
      </c>
      <c r="I114" s="768">
        <f ca="1">INDIRECT("'kc-Wert für Stützen'!"&amp;SUBSTITUTE(ADDRESS(MATCH($A114,'kc-Wert für Stützen'!$C:$C,0),MATCH(I$7,'kc-Wert für Stützen'!$A$8:$ES$8,0)+7,4),,))</f>
        <v>17386.036153304289</v>
      </c>
      <c r="J114" s="768">
        <f ca="1">INDIRECT("'kc-Wert für Stützen'!"&amp;SUBSTITUTE(ADDRESS(MATCH($A114,'kc-Wert für Stützen'!$C:$C,0),MATCH(J$7,'kc-Wert für Stützen'!$A$8:$ES$8,0)+7,4),,))</f>
        <v>16642.725658029074</v>
      </c>
      <c r="K114" s="768">
        <f ca="1">INDIRECT("'kc-Wert für Stützen'!"&amp;SUBSTITUTE(ADDRESS(MATCH($A114,'kc-Wert für Stützen'!$C:$C,0),MATCH(K$7,'kc-Wert für Stützen'!$A$8:$ES$8,0)+7,4),,))</f>
        <v>15926.449073809918</v>
      </c>
      <c r="L114" s="768">
        <f ca="1">INDIRECT("'kc-Wert für Stützen'!"&amp;SUBSTITUTE(ADDRESS(MATCH($A114,'kc-Wert für Stützen'!$C:$C,0),MATCH(L$7,'kc-Wert für Stützen'!$A$8:$ES$8,0)+7,4),,))</f>
        <v>15240.281519841054</v>
      </c>
      <c r="M114" s="768">
        <f ca="1">INDIRECT("'kc-Wert für Stützen'!"&amp;SUBSTITUTE(ADDRESS(MATCH($A114,'kc-Wert für Stützen'!$C:$C,0),MATCH(M$7,'kc-Wert für Stützen'!$A$8:$ES$8,0)+7,4),,))</f>
        <v>14585.805432602621</v>
      </c>
      <c r="N114" s="768">
        <f ca="1">INDIRECT("'kc-Wert für Stützen'!"&amp;SUBSTITUTE(ADDRESS(MATCH($A114,'kc-Wert für Stützen'!$C:$C,0),MATCH(N$7,'kc-Wert für Stützen'!$A$8:$ES$8,0)+7,4),,))</f>
        <v>13963.510396318663</v>
      </c>
      <c r="O114" s="768">
        <f ca="1">INDIRECT("'kc-Wert für Stützen'!"&amp;SUBSTITUTE(ADDRESS(MATCH($A114,'kc-Wert für Stützen'!$C:$C,0),MATCH(O$7,'kc-Wert für Stützen'!$A$8:$ES$8,0)+7,4),,))</f>
        <v>13373.117553236281</v>
      </c>
      <c r="P114" s="768">
        <f ca="1">INDIRECT("'kc-Wert für Stützen'!"&amp;SUBSTITUTE(ADDRESS(MATCH($A114,'kc-Wert für Stützen'!$C:$C,0),MATCH(P$7,'kc-Wert für Stützen'!$A$8:$ES$8,0)+7,4),,))</f>
        <v>12813.828866633068</v>
      </c>
      <c r="S114" s="772">
        <f t="shared" ca="1" si="31"/>
        <v>21247.082994047043</v>
      </c>
      <c r="T114" s="772">
        <f t="shared" ca="1" si="40"/>
        <v>21247.082994047043</v>
      </c>
      <c r="U114" s="772">
        <f t="shared" ca="1" si="40"/>
        <v>21247.082994047043</v>
      </c>
      <c r="V114" s="772">
        <f t="shared" ca="1" si="40"/>
        <v>20492.546319284931</v>
      </c>
      <c r="W114" s="772">
        <f t="shared" ca="1" si="40"/>
        <v>19715.880532024523</v>
      </c>
      <c r="X114" s="772">
        <f t="shared" ca="1" si="40"/>
        <v>18931.316211928424</v>
      </c>
      <c r="Y114" s="772">
        <f t="shared" ca="1" si="40"/>
        <v>18151.362491899159</v>
      </c>
      <c r="Z114" s="772">
        <f t="shared" ca="1" si="40"/>
        <v>21247.082994047043</v>
      </c>
      <c r="AA114" s="772">
        <f t="shared" ca="1" si="40"/>
        <v>21247.082994047043</v>
      </c>
      <c r="AB114" s="772">
        <f t="shared" ca="1" si="41"/>
        <v>20492.546319284931</v>
      </c>
      <c r="AC114" s="772">
        <f t="shared" ca="1" si="41"/>
        <v>20492.546319284931</v>
      </c>
      <c r="AD114" s="772">
        <f t="shared" ca="1" si="41"/>
        <v>19715.880532024523</v>
      </c>
      <c r="AE114" s="772">
        <f t="shared" ca="1" si="41"/>
        <v>19715.880532024523</v>
      </c>
      <c r="AF114" s="772">
        <f t="shared" ca="1" si="41"/>
        <v>18931.316211928424</v>
      </c>
      <c r="AG114" s="772">
        <f t="shared" ca="1" si="41"/>
        <v>18931.316211928424</v>
      </c>
      <c r="AH114" s="772">
        <f t="shared" ca="1" si="41"/>
        <v>18931.316211928424</v>
      </c>
      <c r="AI114" s="772">
        <f t="shared" ca="1" si="41"/>
        <v>21247.082994047043</v>
      </c>
      <c r="AJ114" s="772">
        <f t="shared" ca="1" si="41"/>
        <v>21247.082994047043</v>
      </c>
      <c r="AK114" s="772">
        <f t="shared" ca="1" si="41"/>
        <v>20492.546319284931</v>
      </c>
      <c r="AL114" s="772">
        <f t="shared" ca="1" si="41"/>
        <v>20492.546319284931</v>
      </c>
      <c r="AM114" s="772">
        <f t="shared" ca="1" si="41"/>
        <v>19715.880532024523</v>
      </c>
      <c r="AN114" s="772">
        <f t="shared" ca="1" si="41"/>
        <v>19715.880532024523</v>
      </c>
      <c r="AO114" s="772">
        <f t="shared" ca="1" si="41"/>
        <v>18931.316211928424</v>
      </c>
      <c r="AP114" s="772">
        <f t="shared" ca="1" si="41"/>
        <v>18931.316211928424</v>
      </c>
      <c r="AQ114" s="772">
        <f t="shared" ca="1" si="41"/>
        <v>18931.316211928424</v>
      </c>
      <c r="AR114" s="772">
        <f t="shared" ca="1" si="42"/>
        <v>21247.082994047043</v>
      </c>
      <c r="AS114" s="772">
        <f t="shared" ca="1" si="42"/>
        <v>21247.082994047043</v>
      </c>
      <c r="AT114" s="772">
        <f t="shared" ca="1" si="42"/>
        <v>20492.546319284931</v>
      </c>
      <c r="AU114" s="772">
        <f t="shared" ca="1" si="42"/>
        <v>20492.546319284931</v>
      </c>
      <c r="AV114" s="772">
        <f t="shared" ca="1" si="42"/>
        <v>19715.880532024523</v>
      </c>
      <c r="AW114" s="772">
        <f t="shared" ca="1" si="42"/>
        <v>19715.880532024523</v>
      </c>
      <c r="AX114" s="772">
        <f t="shared" ca="1" si="42"/>
        <v>18931.316211928424</v>
      </c>
      <c r="AY114" s="772">
        <f t="shared" ca="1" si="42"/>
        <v>18931.316211928424</v>
      </c>
      <c r="AZ114" s="772">
        <f t="shared" ca="1" si="42"/>
        <v>18931.316211928424</v>
      </c>
      <c r="BA114" s="772">
        <f t="shared" ca="1" si="42"/>
        <v>21247.082994047043</v>
      </c>
      <c r="BB114" s="772">
        <f t="shared" ca="1" si="42"/>
        <v>21247.082994047043</v>
      </c>
      <c r="BC114" s="772">
        <f t="shared" ca="1" si="42"/>
        <v>20492.546319284931</v>
      </c>
      <c r="BD114" s="772">
        <f t="shared" ca="1" si="42"/>
        <v>19715.880532024523</v>
      </c>
      <c r="BE114" s="772">
        <f t="shared" ca="1" si="42"/>
        <v>19715.880532024523</v>
      </c>
      <c r="BF114" s="772">
        <f t="shared" ca="1" si="42"/>
        <v>18931.316211928424</v>
      </c>
      <c r="BG114" s="772">
        <f t="shared" ca="1" si="42"/>
        <v>18931.316211928424</v>
      </c>
      <c r="BH114" s="772">
        <f t="shared" ca="1" si="44"/>
        <v>18151.362491899159</v>
      </c>
      <c r="BI114" s="772">
        <f t="shared" ca="1" si="44"/>
        <v>18151.362491899159</v>
      </c>
      <c r="BJ114" s="772">
        <f t="shared" ca="1" si="44"/>
        <v>20492.546319284931</v>
      </c>
      <c r="BK114" s="772">
        <f t="shared" ca="1" si="44"/>
        <v>20492.546319284931</v>
      </c>
      <c r="BL114" s="772">
        <f t="shared" ca="1" si="44"/>
        <v>20492.546319284931</v>
      </c>
      <c r="BM114" s="772">
        <f t="shared" ca="1" si="44"/>
        <v>20492.546319284931</v>
      </c>
      <c r="BN114" s="772">
        <f t="shared" ca="1" si="44"/>
        <v>18931.316211928424</v>
      </c>
      <c r="BO114" s="772">
        <f t="shared" ca="1" si="38"/>
        <v>18931.316211928424</v>
      </c>
      <c r="BP114" s="772">
        <f t="shared" ca="1" si="38"/>
        <v>18151.362491899159</v>
      </c>
      <c r="BQ114" s="772">
        <f t="shared" ca="1" si="38"/>
        <v>18151.362491899159</v>
      </c>
      <c r="BR114" s="772">
        <f t="shared" ca="1" si="38"/>
        <v>17386.036153304289</v>
      </c>
      <c r="BS114" s="772">
        <f t="shared" ca="1" si="38"/>
        <v>20492.546319284931</v>
      </c>
      <c r="BT114" s="772">
        <f t="shared" ca="1" si="38"/>
        <v>20492.546319284931</v>
      </c>
      <c r="BU114" s="772">
        <f t="shared" ca="1" si="38"/>
        <v>20492.546319284931</v>
      </c>
      <c r="BV114" s="772">
        <f t="shared" ca="1" si="38"/>
        <v>19715.880532024523</v>
      </c>
      <c r="BW114" s="772">
        <f t="shared" ca="1" si="38"/>
        <v>19715.880532024523</v>
      </c>
      <c r="BX114" s="772">
        <f t="shared" ca="1" si="38"/>
        <v>18151.362491899159</v>
      </c>
      <c r="BY114" s="772">
        <f t="shared" ca="1" si="38"/>
        <v>18151.362491899159</v>
      </c>
      <c r="BZ114" s="772">
        <f t="shared" ca="1" si="38"/>
        <v>17386.036153304289</v>
      </c>
      <c r="CA114" s="772">
        <f t="shared" ca="1" si="38"/>
        <v>17386.036153304289</v>
      </c>
      <c r="CB114" s="772">
        <f t="shared" ca="1" si="38"/>
        <v>19715.880532024523</v>
      </c>
      <c r="CC114" s="772">
        <f t="shared" ca="1" si="38"/>
        <v>19715.880532024523</v>
      </c>
      <c r="CD114" s="772">
        <f t="shared" ca="1" si="38"/>
        <v>19715.880532024523</v>
      </c>
      <c r="CE114" s="772">
        <f t="shared" ca="1" si="43"/>
        <v>19715.880532024523</v>
      </c>
      <c r="CF114" s="772">
        <f t="shared" ca="1" si="43"/>
        <v>18931.316211928424</v>
      </c>
      <c r="CG114" s="772">
        <f t="shared" ca="1" si="43"/>
        <v>18151.362491899159</v>
      </c>
      <c r="CH114" s="772">
        <f t="shared" ca="1" si="43"/>
        <v>17386.036153304289</v>
      </c>
      <c r="CI114" s="772">
        <f t="shared" ca="1" si="43"/>
        <v>17386.036153304289</v>
      </c>
      <c r="CJ114" s="772">
        <f t="shared" ca="1" si="43"/>
        <v>16642.725658029074</v>
      </c>
    </row>
    <row r="115" spans="1:88" ht="15" customHeight="1">
      <c r="A115" s="770">
        <f>'kc-Wert für Stützen'!C115</f>
        <v>167</v>
      </c>
      <c r="B115" s="768">
        <f ca="1">INDIRECT("'kc-Wert für Stützen'!"&amp;SUBSTITUTE(ADDRESS(MATCH($A115,'kc-Wert für Stützen'!$C:$C,0),MATCH(B$7,'kc-Wert für Stützen'!$A$8:$ES$8,0)+7,4),,))</f>
        <v>23015.13913153885</v>
      </c>
      <c r="C115" s="768">
        <f ca="1">INDIRECT("'kc-Wert für Stützen'!"&amp;SUBSTITUTE(ADDRESS(MATCH($A115,'kc-Wert für Stützen'!$C:$C,0),MATCH(C$7,'kc-Wert für Stützen'!$A$8:$ES$8,0)+7,4),,))</f>
        <v>22351.892664364921</v>
      </c>
      <c r="D115" s="768">
        <f ca="1">INDIRECT("'kc-Wert für Stützen'!"&amp;SUBSTITUTE(ADDRESS(MATCH($A115,'kc-Wert für Stützen'!$C:$C,0),MATCH(D$7,'kc-Wert für Stützen'!$A$8:$ES$8,0)+7,4),,))</f>
        <v>21637.511521419819</v>
      </c>
      <c r="E115" s="768">
        <f ca="1">INDIRECT("'kc-Wert für Stützen'!"&amp;SUBSTITUTE(ADDRESS(MATCH($A115,'kc-Wert für Stützen'!$C:$C,0),MATCH(E$7,'kc-Wert für Stützen'!$A$8:$ES$8,0)+7,4),,))</f>
        <v>20884.082280844581</v>
      </c>
      <c r="F115" s="768">
        <f ca="1">INDIRECT("'kc-Wert für Stützen'!"&amp;SUBSTITUTE(ADDRESS(MATCH($A115,'kc-Wert für Stützen'!$C:$C,0),MATCH(F$7,'kc-Wert für Stützen'!$A$8:$ES$8,0)+7,4),,))</f>
        <v>20105.802563681296</v>
      </c>
      <c r="G115" s="768">
        <f ca="1">INDIRECT("'kc-Wert für Stützen'!"&amp;SUBSTITUTE(ADDRESS(MATCH($A115,'kc-Wert für Stützen'!$C:$C,0),MATCH(G$7,'kc-Wert für Stützen'!$A$8:$ES$8,0)+7,4),,))</f>
        <v>19316.996026378471</v>
      </c>
      <c r="H115" s="768">
        <f ca="1">INDIRECT("'kc-Wert für Stützen'!"&amp;SUBSTITUTE(ADDRESS(MATCH($A115,'kc-Wert für Stützen'!$C:$C,0),MATCH(H$7,'kc-Wert für Stützen'!$A$8:$ES$8,0)+7,4),,))</f>
        <v>18530.514240121523</v>
      </c>
      <c r="I115" s="768">
        <f ca="1">INDIRECT("'kc-Wert für Stützen'!"&amp;SUBSTITUTE(ADDRESS(MATCH($A115,'kc-Wert für Stützen'!$C:$C,0),MATCH(I$7,'kc-Wert für Stützen'!$A$8:$ES$8,0)+7,4),,))</f>
        <v>17756.839229924328</v>
      </c>
      <c r="J115" s="768">
        <f ca="1">INDIRECT("'kc-Wert für Stützen'!"&amp;SUBSTITUTE(ADDRESS(MATCH($A115,'kc-Wert für Stützen'!$C:$C,0),MATCH(J$7,'kc-Wert für Stützen'!$A$8:$ES$8,0)+7,4),,))</f>
        <v>17003.842788550053</v>
      </c>
      <c r="K115" s="768">
        <f ca="1">INDIRECT("'kc-Wert für Stützen'!"&amp;SUBSTITUTE(ADDRESS(MATCH($A115,'kc-Wert für Stützen'!$C:$C,0),MATCH(K$7,'kc-Wert für Stützen'!$A$8:$ES$8,0)+7,4),,))</f>
        <v>16276.980551919654</v>
      </c>
      <c r="L115" s="768">
        <f ca="1">INDIRECT("'kc-Wert für Stützen'!"&amp;SUBSTITUTE(ADDRESS(MATCH($A115,'kc-Wert für Stützen'!$C:$C,0),MATCH(L$7,'kc-Wert für Stützen'!$A$8:$ES$8,0)+7,4),,))</f>
        <v>15579.691666252036</v>
      </c>
      <c r="M115" s="768">
        <f ca="1">INDIRECT("'kc-Wert für Stützen'!"&amp;SUBSTITUTE(ADDRESS(MATCH($A115,'kc-Wert für Stützen'!$C:$C,0),MATCH(M$7,'kc-Wert für Stützen'!$A$8:$ES$8,0)+7,4),,))</f>
        <v>14913.844621968887</v>
      </c>
      <c r="N115" s="768">
        <f ca="1">INDIRECT("'kc-Wert für Stützen'!"&amp;SUBSTITUTE(ADDRESS(MATCH($A115,'kc-Wert für Stützen'!$C:$C,0),MATCH(N$7,'kc-Wert für Stützen'!$A$8:$ES$8,0)+7,4),,))</f>
        <v>14280.144556664034</v>
      </c>
      <c r="O115" s="768">
        <f ca="1">INDIRECT("'kc-Wert für Stützen'!"&amp;SUBSTITUTE(ADDRESS(MATCH($A115,'kc-Wert für Stützen'!$C:$C,0),MATCH(O$7,'kc-Wert für Stützen'!$A$8:$ES$8,0)+7,4),,))</f>
        <v>13678.469539998105</v>
      </c>
      <c r="P115" s="768">
        <f ca="1">INDIRECT("'kc-Wert für Stützen'!"&amp;SUBSTITUTE(ADDRESS(MATCH($A115,'kc-Wert für Stützen'!$C:$C,0),MATCH(P$7,'kc-Wert für Stützen'!$A$8:$ES$8,0)+7,4),,))</f>
        <v>13108.132083113198</v>
      </c>
      <c r="S115" s="772">
        <f t="shared" ca="1" si="31"/>
        <v>21637.511521419819</v>
      </c>
      <c r="T115" s="772">
        <f t="shared" ca="1" si="40"/>
        <v>21637.511521419819</v>
      </c>
      <c r="U115" s="772">
        <f t="shared" ca="1" si="40"/>
        <v>21637.511521419819</v>
      </c>
      <c r="V115" s="772">
        <f t="shared" ca="1" si="40"/>
        <v>20884.082280844581</v>
      </c>
      <c r="W115" s="772">
        <f t="shared" ca="1" si="40"/>
        <v>20105.802563681296</v>
      </c>
      <c r="X115" s="772">
        <f t="shared" ca="1" si="40"/>
        <v>19316.996026378471</v>
      </c>
      <c r="Y115" s="772">
        <f t="shared" ca="1" si="40"/>
        <v>18530.514240121523</v>
      </c>
      <c r="Z115" s="772">
        <f t="shared" ca="1" si="40"/>
        <v>21637.511521419819</v>
      </c>
      <c r="AA115" s="772">
        <f t="shared" ca="1" si="40"/>
        <v>21637.511521419819</v>
      </c>
      <c r="AB115" s="772">
        <f t="shared" ca="1" si="41"/>
        <v>20884.082280844581</v>
      </c>
      <c r="AC115" s="772">
        <f t="shared" ca="1" si="41"/>
        <v>20884.082280844581</v>
      </c>
      <c r="AD115" s="772">
        <f t="shared" ca="1" si="41"/>
        <v>20105.802563681296</v>
      </c>
      <c r="AE115" s="772">
        <f t="shared" ca="1" si="41"/>
        <v>20105.802563681296</v>
      </c>
      <c r="AF115" s="772">
        <f t="shared" ca="1" si="41"/>
        <v>19316.996026378471</v>
      </c>
      <c r="AG115" s="772">
        <f t="shared" ca="1" si="41"/>
        <v>19316.996026378471</v>
      </c>
      <c r="AH115" s="772">
        <f t="shared" ca="1" si="41"/>
        <v>19316.996026378471</v>
      </c>
      <c r="AI115" s="772">
        <f t="shared" ca="1" si="41"/>
        <v>21637.511521419819</v>
      </c>
      <c r="AJ115" s="772">
        <f t="shared" ca="1" si="41"/>
        <v>21637.511521419819</v>
      </c>
      <c r="AK115" s="772">
        <f t="shared" ca="1" si="41"/>
        <v>20884.082280844581</v>
      </c>
      <c r="AL115" s="772">
        <f t="shared" ca="1" si="41"/>
        <v>20884.082280844581</v>
      </c>
      <c r="AM115" s="772">
        <f t="shared" ca="1" si="41"/>
        <v>20105.802563681296</v>
      </c>
      <c r="AN115" s="772">
        <f t="shared" ca="1" si="41"/>
        <v>20105.802563681296</v>
      </c>
      <c r="AO115" s="772">
        <f t="shared" ca="1" si="41"/>
        <v>19316.996026378471</v>
      </c>
      <c r="AP115" s="772">
        <f t="shared" ca="1" si="41"/>
        <v>19316.996026378471</v>
      </c>
      <c r="AQ115" s="772">
        <f t="shared" ca="1" si="41"/>
        <v>19316.996026378471</v>
      </c>
      <c r="AR115" s="772">
        <f t="shared" ca="1" si="42"/>
        <v>21637.511521419819</v>
      </c>
      <c r="AS115" s="772">
        <f t="shared" ca="1" si="42"/>
        <v>21637.511521419819</v>
      </c>
      <c r="AT115" s="772">
        <f t="shared" ca="1" si="42"/>
        <v>20884.082280844581</v>
      </c>
      <c r="AU115" s="772">
        <f t="shared" ca="1" si="42"/>
        <v>20884.082280844581</v>
      </c>
      <c r="AV115" s="772">
        <f t="shared" ca="1" si="42"/>
        <v>20105.802563681296</v>
      </c>
      <c r="AW115" s="772">
        <f t="shared" ca="1" si="42"/>
        <v>20105.802563681296</v>
      </c>
      <c r="AX115" s="772">
        <f t="shared" ca="1" si="42"/>
        <v>19316.996026378471</v>
      </c>
      <c r="AY115" s="772">
        <f t="shared" ca="1" si="42"/>
        <v>19316.996026378471</v>
      </c>
      <c r="AZ115" s="772">
        <f t="shared" ca="1" si="42"/>
        <v>19316.996026378471</v>
      </c>
      <c r="BA115" s="772">
        <f t="shared" ca="1" si="42"/>
        <v>21637.511521419819</v>
      </c>
      <c r="BB115" s="772">
        <f t="shared" ca="1" si="42"/>
        <v>21637.511521419819</v>
      </c>
      <c r="BC115" s="772">
        <f t="shared" ca="1" si="42"/>
        <v>20884.082280844581</v>
      </c>
      <c r="BD115" s="772">
        <f t="shared" ca="1" si="42"/>
        <v>20105.802563681296</v>
      </c>
      <c r="BE115" s="772">
        <f t="shared" ca="1" si="42"/>
        <v>20105.802563681296</v>
      </c>
      <c r="BF115" s="772">
        <f t="shared" ca="1" si="42"/>
        <v>19316.996026378471</v>
      </c>
      <c r="BG115" s="772">
        <f t="shared" ca="1" si="42"/>
        <v>19316.996026378471</v>
      </c>
      <c r="BH115" s="772">
        <f t="shared" ca="1" si="44"/>
        <v>18530.514240121523</v>
      </c>
      <c r="BI115" s="772">
        <f t="shared" ca="1" si="44"/>
        <v>18530.514240121523</v>
      </c>
      <c r="BJ115" s="772">
        <f t="shared" ca="1" si="44"/>
        <v>20884.082280844581</v>
      </c>
      <c r="BK115" s="772">
        <f t="shared" ca="1" si="44"/>
        <v>20884.082280844581</v>
      </c>
      <c r="BL115" s="772">
        <f t="shared" ca="1" si="44"/>
        <v>20884.082280844581</v>
      </c>
      <c r="BM115" s="772">
        <f t="shared" ca="1" si="44"/>
        <v>20884.082280844581</v>
      </c>
      <c r="BN115" s="772">
        <f t="shared" ca="1" si="44"/>
        <v>19316.996026378471</v>
      </c>
      <c r="BO115" s="772">
        <f t="shared" ca="1" si="38"/>
        <v>19316.996026378471</v>
      </c>
      <c r="BP115" s="772">
        <f t="shared" ca="1" si="38"/>
        <v>18530.514240121523</v>
      </c>
      <c r="BQ115" s="772">
        <f t="shared" ca="1" si="38"/>
        <v>18530.514240121523</v>
      </c>
      <c r="BR115" s="772">
        <f t="shared" ca="1" si="38"/>
        <v>17756.839229924328</v>
      </c>
      <c r="BS115" s="772">
        <f t="shared" ca="1" si="38"/>
        <v>20884.082280844581</v>
      </c>
      <c r="BT115" s="772">
        <f t="shared" ca="1" si="38"/>
        <v>20884.082280844581</v>
      </c>
      <c r="BU115" s="772">
        <f t="shared" ca="1" si="38"/>
        <v>20884.082280844581</v>
      </c>
      <c r="BV115" s="772">
        <f t="shared" ca="1" si="38"/>
        <v>20105.802563681296</v>
      </c>
      <c r="BW115" s="772">
        <f t="shared" ca="1" si="38"/>
        <v>20105.802563681296</v>
      </c>
      <c r="BX115" s="772">
        <f t="shared" ca="1" si="38"/>
        <v>18530.514240121523</v>
      </c>
      <c r="BY115" s="772">
        <f t="shared" ca="1" si="38"/>
        <v>18530.514240121523</v>
      </c>
      <c r="BZ115" s="772">
        <f t="shared" ca="1" si="38"/>
        <v>17756.839229924328</v>
      </c>
      <c r="CA115" s="772">
        <f t="shared" ca="1" si="38"/>
        <v>17756.839229924328</v>
      </c>
      <c r="CB115" s="772">
        <f t="shared" ca="1" si="38"/>
        <v>20105.802563681296</v>
      </c>
      <c r="CC115" s="772">
        <f t="shared" ca="1" si="38"/>
        <v>20105.802563681296</v>
      </c>
      <c r="CD115" s="772">
        <f t="shared" ca="1" si="38"/>
        <v>20105.802563681296</v>
      </c>
      <c r="CE115" s="772">
        <f t="shared" ca="1" si="43"/>
        <v>20105.802563681296</v>
      </c>
      <c r="CF115" s="772">
        <f t="shared" ca="1" si="43"/>
        <v>19316.996026378471</v>
      </c>
      <c r="CG115" s="772">
        <f t="shared" ca="1" si="43"/>
        <v>18530.514240121523</v>
      </c>
      <c r="CH115" s="772">
        <f t="shared" ca="1" si="43"/>
        <v>17756.839229924328</v>
      </c>
      <c r="CI115" s="772">
        <f t="shared" ca="1" si="43"/>
        <v>17756.839229924328</v>
      </c>
      <c r="CJ115" s="772">
        <f t="shared" ca="1" si="43"/>
        <v>17003.842788550053</v>
      </c>
    </row>
    <row r="116" spans="1:88" ht="15" customHeight="1">
      <c r="A116" s="770">
        <f>'kc-Wert für Stützen'!C116</f>
        <v>168</v>
      </c>
      <c r="B116" s="768">
        <f ca="1">INDIRECT("'kc-Wert für Stützen'!"&amp;SUBSTITUTE(ADDRESS(MATCH($A116,'kc-Wert für Stützen'!$C:$C,0),MATCH(B$7,'kc-Wert für Stützen'!$A$8:$ES$8,0)+7,4),,))</f>
        <v>23397.77833588756</v>
      </c>
      <c r="C116" s="768">
        <f ca="1">INDIRECT("'kc-Wert für Stützen'!"&amp;SUBSTITUTE(ADDRESS(MATCH($A116,'kc-Wert für Stützen'!$C:$C,0),MATCH(C$7,'kc-Wert für Stützen'!$A$8:$ES$8,0)+7,4),,))</f>
        <v>22740.231264120561</v>
      </c>
      <c r="D116" s="768">
        <f ca="1">INDIRECT("'kc-Wert für Stützen'!"&amp;SUBSTITUTE(ADDRESS(MATCH($A116,'kc-Wert für Stützen'!$C:$C,0),MATCH(D$7,'kc-Wert für Stützen'!$A$8:$ES$8,0)+7,4),,))</f>
        <v>22029.809968395522</v>
      </c>
      <c r="E116" s="768">
        <f ca="1">INDIRECT("'kc-Wert für Stützen'!"&amp;SUBSTITUTE(ADDRESS(MATCH($A116,'kc-Wert für Stützen'!$C:$C,0),MATCH(E$7,'kc-Wert für Stützen'!$A$8:$ES$8,0)+7,4),,))</f>
        <v>21277.967600606673</v>
      </c>
      <c r="F116" s="768">
        <f ca="1">INDIRECT("'kc-Wert für Stützen'!"&amp;SUBSTITUTE(ADDRESS(MATCH($A116,'kc-Wert für Stützen'!$C:$C,0),MATCH(F$7,'kc-Wert für Stützen'!$A$8:$ES$8,0)+7,4),,))</f>
        <v>20498.588136163773</v>
      </c>
      <c r="G116" s="768">
        <f ca="1">INDIRECT("'kc-Wert für Stützen'!"&amp;SUBSTITUTE(ADDRESS(MATCH($A116,'kc-Wert für Stützen'!$C:$C,0),MATCH(G$7,'kc-Wert für Stützen'!$A$8:$ES$8,0)+7,4),,))</f>
        <v>19706.028389996045</v>
      </c>
      <c r="H116" s="768">
        <f ca="1">INDIRECT("'kc-Wert für Stützen'!"&amp;SUBSTITUTE(ADDRESS(MATCH($A116,'kc-Wert für Stützen'!$C:$C,0),MATCH(H$7,'kc-Wert für Stützen'!$A$8:$ES$8,0)+7,4),,))</f>
        <v>18913.440434693039</v>
      </c>
      <c r="I116" s="768">
        <f ca="1">INDIRECT("'kc-Wert für Stützen'!"&amp;SUBSTITUTE(ADDRESS(MATCH($A116,'kc-Wert für Stützen'!$C:$C,0),MATCH(I$7,'kc-Wert für Stützen'!$A$8:$ES$8,0)+7,4),,))</f>
        <v>18131.751347326714</v>
      </c>
      <c r="J116" s="768">
        <f ca="1">INDIRECT("'kc-Wert für Stützen'!"&amp;SUBSTITUTE(ADDRESS(MATCH($A116,'kc-Wert für Stützen'!$C:$C,0),MATCH(J$7,'kc-Wert für Stützen'!$A$8:$ES$8,0)+7,4),,))</f>
        <v>17369.313440352631</v>
      </c>
      <c r="K116" s="768">
        <f ca="1">INDIRECT("'kc-Wert für Stützen'!"&amp;SUBSTITUTE(ADDRESS(MATCH($A116,'kc-Wert für Stützen'!$C:$C,0),MATCH(K$7,'kc-Wert für Stützen'!$A$8:$ES$8,0)+7,4),,))</f>
        <v>16632.027659238771</v>
      </c>
      <c r="L116" s="768">
        <f ca="1">INDIRECT("'kc-Wert für Stützen'!"&amp;SUBSTITUTE(ADDRESS(MATCH($A116,'kc-Wert für Stützen'!$C:$C,0),MATCH(L$7,'kc-Wert für Stützen'!$A$8:$ES$8,0)+7,4),,))</f>
        <v>15923.709662062311</v>
      </c>
      <c r="M116" s="768">
        <f ca="1">INDIRECT("'kc-Wert für Stützen'!"&amp;SUBSTITUTE(ADDRESS(MATCH($A116,'kc-Wert für Stützen'!$C:$C,0),MATCH(M$7,'kc-Wert für Stützen'!$A$8:$ES$8,0)+7,4),,))</f>
        <v>15246.527457929084</v>
      </c>
      <c r="N116" s="768">
        <f ca="1">INDIRECT("'kc-Wert für Stützen'!"&amp;SUBSTITUTE(ADDRESS(MATCH($A116,'kc-Wert für Stützen'!$C:$C,0),MATCH(N$7,'kc-Wert für Stützen'!$A$8:$ES$8,0)+7,4),,))</f>
        <v>14601.414200733183</v>
      </c>
      <c r="O116" s="768">
        <f ca="1">INDIRECT("'kc-Wert für Stützen'!"&amp;SUBSTITUTE(ADDRESS(MATCH($A116,'kc-Wert für Stützen'!$C:$C,0),MATCH(O$7,'kc-Wert für Stützen'!$A$8:$ES$8,0)+7,4),,))</f>
        <v>13988.415543662521</v>
      </c>
      <c r="P116" s="768">
        <f ca="1">INDIRECT("'kc-Wert für Stützen'!"&amp;SUBSTITUTE(ADDRESS(MATCH($A116,'kc-Wert für Stützen'!$C:$C,0),MATCH(P$7,'kc-Wert für Stützen'!$A$8:$ES$8,0)+7,4),,))</f>
        <v>13406.963243541904</v>
      </c>
      <c r="S116" s="772">
        <f t="shared" ca="1" si="31"/>
        <v>22029.809968395522</v>
      </c>
      <c r="T116" s="772">
        <f t="shared" ca="1" si="40"/>
        <v>22029.809968395522</v>
      </c>
      <c r="U116" s="772">
        <f t="shared" ca="1" si="40"/>
        <v>22029.809968395522</v>
      </c>
      <c r="V116" s="772">
        <f t="shared" ca="1" si="40"/>
        <v>21277.967600606673</v>
      </c>
      <c r="W116" s="772">
        <f t="shared" ca="1" si="40"/>
        <v>20498.588136163773</v>
      </c>
      <c r="X116" s="772">
        <f t="shared" ca="1" si="40"/>
        <v>19706.028389996045</v>
      </c>
      <c r="Y116" s="772">
        <f t="shared" ca="1" si="40"/>
        <v>18913.440434693039</v>
      </c>
      <c r="Z116" s="772">
        <f t="shared" ca="1" si="40"/>
        <v>22029.809968395522</v>
      </c>
      <c r="AA116" s="772">
        <f t="shared" ca="1" si="40"/>
        <v>22029.809968395522</v>
      </c>
      <c r="AB116" s="772">
        <f t="shared" ca="1" si="41"/>
        <v>21277.967600606673</v>
      </c>
      <c r="AC116" s="772">
        <f t="shared" ca="1" si="41"/>
        <v>21277.967600606673</v>
      </c>
      <c r="AD116" s="772">
        <f t="shared" ca="1" si="41"/>
        <v>20498.588136163773</v>
      </c>
      <c r="AE116" s="772">
        <f t="shared" ca="1" si="41"/>
        <v>20498.588136163773</v>
      </c>
      <c r="AF116" s="772">
        <f t="shared" ca="1" si="41"/>
        <v>19706.028389996045</v>
      </c>
      <c r="AG116" s="772">
        <f t="shared" ca="1" si="41"/>
        <v>19706.028389996045</v>
      </c>
      <c r="AH116" s="772">
        <f t="shared" ca="1" si="41"/>
        <v>19706.028389996045</v>
      </c>
      <c r="AI116" s="772">
        <f t="shared" ca="1" si="41"/>
        <v>22029.809968395522</v>
      </c>
      <c r="AJ116" s="772">
        <f t="shared" ca="1" si="41"/>
        <v>22029.809968395522</v>
      </c>
      <c r="AK116" s="772">
        <f t="shared" ca="1" si="41"/>
        <v>21277.967600606673</v>
      </c>
      <c r="AL116" s="772">
        <f t="shared" ca="1" si="41"/>
        <v>21277.967600606673</v>
      </c>
      <c r="AM116" s="772">
        <f t="shared" ca="1" si="41"/>
        <v>20498.588136163773</v>
      </c>
      <c r="AN116" s="772">
        <f t="shared" ca="1" si="41"/>
        <v>20498.588136163773</v>
      </c>
      <c r="AO116" s="772">
        <f t="shared" ca="1" si="41"/>
        <v>19706.028389996045</v>
      </c>
      <c r="AP116" s="772">
        <f t="shared" ca="1" si="41"/>
        <v>19706.028389996045</v>
      </c>
      <c r="AQ116" s="772">
        <f t="shared" ca="1" si="41"/>
        <v>19706.028389996045</v>
      </c>
      <c r="AR116" s="772">
        <f t="shared" ca="1" si="42"/>
        <v>22029.809968395522</v>
      </c>
      <c r="AS116" s="772">
        <f t="shared" ca="1" si="42"/>
        <v>22029.809968395522</v>
      </c>
      <c r="AT116" s="772">
        <f t="shared" ca="1" si="42"/>
        <v>21277.967600606673</v>
      </c>
      <c r="AU116" s="772">
        <f t="shared" ca="1" si="42"/>
        <v>21277.967600606673</v>
      </c>
      <c r="AV116" s="772">
        <f t="shared" ca="1" si="42"/>
        <v>20498.588136163773</v>
      </c>
      <c r="AW116" s="772">
        <f t="shared" ca="1" si="42"/>
        <v>20498.588136163773</v>
      </c>
      <c r="AX116" s="772">
        <f t="shared" ca="1" si="42"/>
        <v>19706.028389996045</v>
      </c>
      <c r="AY116" s="772">
        <f t="shared" ca="1" si="42"/>
        <v>19706.028389996045</v>
      </c>
      <c r="AZ116" s="772">
        <f t="shared" ca="1" si="42"/>
        <v>19706.028389996045</v>
      </c>
      <c r="BA116" s="772">
        <f t="shared" ca="1" si="42"/>
        <v>22029.809968395522</v>
      </c>
      <c r="BB116" s="772">
        <f t="shared" ca="1" si="42"/>
        <v>22029.809968395522</v>
      </c>
      <c r="BC116" s="772">
        <f t="shared" ca="1" si="42"/>
        <v>21277.967600606673</v>
      </c>
      <c r="BD116" s="772">
        <f t="shared" ca="1" si="42"/>
        <v>20498.588136163773</v>
      </c>
      <c r="BE116" s="772">
        <f t="shared" ca="1" si="42"/>
        <v>20498.588136163773</v>
      </c>
      <c r="BF116" s="772">
        <f t="shared" ca="1" si="42"/>
        <v>19706.028389996045</v>
      </c>
      <c r="BG116" s="772">
        <f t="shared" ca="1" si="42"/>
        <v>19706.028389996045</v>
      </c>
      <c r="BH116" s="772">
        <f t="shared" ca="1" si="44"/>
        <v>18913.440434693039</v>
      </c>
      <c r="BI116" s="772">
        <f t="shared" ca="1" si="44"/>
        <v>18913.440434693039</v>
      </c>
      <c r="BJ116" s="772">
        <f t="shared" ca="1" si="44"/>
        <v>21277.967600606673</v>
      </c>
      <c r="BK116" s="772">
        <f t="shared" ca="1" si="44"/>
        <v>21277.967600606673</v>
      </c>
      <c r="BL116" s="772">
        <f t="shared" ca="1" si="44"/>
        <v>21277.967600606673</v>
      </c>
      <c r="BM116" s="772">
        <f t="shared" ca="1" si="44"/>
        <v>21277.967600606673</v>
      </c>
      <c r="BN116" s="772">
        <f t="shared" ca="1" si="44"/>
        <v>19706.028389996045</v>
      </c>
      <c r="BO116" s="772">
        <f t="shared" ca="1" si="38"/>
        <v>19706.028389996045</v>
      </c>
      <c r="BP116" s="772">
        <f t="shared" ca="1" si="38"/>
        <v>18913.440434693039</v>
      </c>
      <c r="BQ116" s="772">
        <f t="shared" ca="1" si="38"/>
        <v>18913.440434693039</v>
      </c>
      <c r="BR116" s="772">
        <f t="shared" ca="1" si="38"/>
        <v>18131.751347326714</v>
      </c>
      <c r="BS116" s="772">
        <f t="shared" ca="1" si="38"/>
        <v>21277.967600606673</v>
      </c>
      <c r="BT116" s="772">
        <f t="shared" ca="1" si="38"/>
        <v>21277.967600606673</v>
      </c>
      <c r="BU116" s="772">
        <f t="shared" ca="1" si="38"/>
        <v>21277.967600606673</v>
      </c>
      <c r="BV116" s="772">
        <f t="shared" ca="1" si="38"/>
        <v>20498.588136163773</v>
      </c>
      <c r="BW116" s="772">
        <f t="shared" ca="1" si="38"/>
        <v>20498.588136163773</v>
      </c>
      <c r="BX116" s="772">
        <f t="shared" ca="1" si="38"/>
        <v>18913.440434693039</v>
      </c>
      <c r="BY116" s="772">
        <f t="shared" ca="1" si="38"/>
        <v>18913.440434693039</v>
      </c>
      <c r="BZ116" s="772">
        <f t="shared" ca="1" si="38"/>
        <v>18131.751347326714</v>
      </c>
      <c r="CA116" s="772">
        <f t="shared" ca="1" si="38"/>
        <v>18131.751347326714</v>
      </c>
      <c r="CB116" s="772">
        <f t="shared" ca="1" si="38"/>
        <v>20498.588136163773</v>
      </c>
      <c r="CC116" s="772">
        <f t="shared" ca="1" si="38"/>
        <v>20498.588136163773</v>
      </c>
      <c r="CD116" s="772">
        <f t="shared" ca="1" si="38"/>
        <v>20498.588136163773</v>
      </c>
      <c r="CE116" s="772">
        <f t="shared" ca="1" si="43"/>
        <v>20498.588136163773</v>
      </c>
      <c r="CF116" s="772">
        <f t="shared" ca="1" si="43"/>
        <v>19706.028389996045</v>
      </c>
      <c r="CG116" s="772">
        <f t="shared" ca="1" si="43"/>
        <v>18913.440434693039</v>
      </c>
      <c r="CH116" s="772">
        <f t="shared" ca="1" si="43"/>
        <v>18131.751347326714</v>
      </c>
      <c r="CI116" s="772">
        <f t="shared" ca="1" si="43"/>
        <v>18131.751347326714</v>
      </c>
      <c r="CJ116" s="772">
        <f t="shared" ca="1" si="43"/>
        <v>17369.313440352631</v>
      </c>
    </row>
    <row r="117" spans="1:88" ht="15" customHeight="1">
      <c r="A117" s="770">
        <f>'kc-Wert für Stützen'!C117</f>
        <v>169</v>
      </c>
      <c r="B117" s="768">
        <f ca="1">INDIRECT("'kc-Wert für Stützen'!"&amp;SUBSTITUTE(ADDRESS(MATCH($A117,'kc-Wert für Stützen'!$C:$C,0),MATCH(B$7,'kc-Wert für Stützen'!$A$8:$ES$8,0)+7,4),,))</f>
        <v>23781.635773276721</v>
      </c>
      <c r="C117" s="768">
        <f ca="1">INDIRECT("'kc-Wert für Stützen'!"&amp;SUBSTITUTE(ADDRESS(MATCH($A117,'kc-Wert für Stützen'!$C:$C,0),MATCH(C$7,'kc-Wert für Stützen'!$A$8:$ES$8,0)+7,4),,))</f>
        <v>23130.004775193498</v>
      </c>
      <c r="D117" s="768">
        <f ca="1">INDIRECT("'kc-Wert für Stützen'!"&amp;SUBSTITUTE(ADDRESS(MATCH($A117,'kc-Wert für Stützen'!$C:$C,0),MATCH(D$7,'kc-Wert für Stützen'!$A$8:$ES$8,0)+7,4),,))</f>
        <v>22423.901321857113</v>
      </c>
      <c r="E117" s="768">
        <f ca="1">INDIRECT("'kc-Wert für Stützen'!"&amp;SUBSTITUTE(ADDRESS(MATCH($A117,'kc-Wert für Stützen'!$C:$C,0),MATCH(E$7,'kc-Wert für Stützen'!$A$8:$ES$8,0)+7,4),,))</f>
        <v>21674.109248027489</v>
      </c>
      <c r="F117" s="768">
        <f ca="1">INDIRECT("'kc-Wert für Stützen'!"&amp;SUBSTITUTE(ADDRESS(MATCH($A117,'kc-Wert für Stützen'!$C:$C,0),MATCH(F$7,'kc-Wert für Stützen'!$A$8:$ES$8,0)+7,4),,))</f>
        <v>20894.139605659686</v>
      </c>
      <c r="G117" s="768">
        <f ca="1">INDIRECT("'kc-Wert für Stützen'!"&amp;SUBSTITUTE(ADDRESS(MATCH($A117,'kc-Wert für Stützen'!$C:$C,0),MATCH(G$7,'kc-Wert für Stützen'!$A$8:$ES$8,0)+7,4),,))</f>
        <v>20098.321542414757</v>
      </c>
      <c r="H117" s="768">
        <f ca="1">INDIRECT("'kc-Wert für Stützen'!"&amp;SUBSTITUTE(ADDRESS(MATCH($A117,'kc-Wert für Stützen'!$C:$C,0),MATCH(H$7,'kc-Wert für Stützen'!$A$8:$ES$8,0)+7,4),,))</f>
        <v>19300.062382213899</v>
      </c>
      <c r="I117" s="768">
        <f ca="1">INDIRECT("'kc-Wert für Stützen'!"&amp;SUBSTITUTE(ADDRESS(MATCH($A117,'kc-Wert für Stützen'!$C:$C,0),MATCH(I$7,'kc-Wert für Stützen'!$A$8:$ES$8,0)+7,4),,))</f>
        <v>18510.710341094305</v>
      </c>
      <c r="J117" s="768">
        <f ca="1">INDIRECT("'kc-Wert für Stützen'!"&amp;SUBSTITUTE(ADDRESS(MATCH($A117,'kc-Wert für Stützen'!$C:$C,0),MATCH(J$7,'kc-Wert für Stützen'!$A$8:$ES$8,0)+7,4),,))</f>
        <v>17739.092531365695</v>
      </c>
      <c r="K117" s="768">
        <f ca="1">INDIRECT("'kc-Wert für Stützen'!"&amp;SUBSTITUTE(ADDRESS(MATCH($A117,'kc-Wert für Stützen'!$C:$C,0),MATCH(K$7,'kc-Wert für Stützen'!$A$8:$ES$8,0)+7,4),,))</f>
        <v>16991.561168285825</v>
      </c>
      <c r="L117" s="768">
        <f ca="1">INDIRECT("'kc-Wert für Stützen'!"&amp;SUBSTITUTE(ADDRESS(MATCH($A117,'kc-Wert für Stützen'!$C:$C,0),MATCH(L$7,'kc-Wert für Stützen'!$A$8:$ES$8,0)+7,4),,))</f>
        <v>16272.320063528334</v>
      </c>
      <c r="M117" s="768">
        <f ca="1">INDIRECT("'kc-Wert für Stützen'!"&amp;SUBSTITUTE(ADDRESS(MATCH($A117,'kc-Wert für Stützen'!$C:$C,0),MATCH(M$7,'kc-Wert für Stützen'!$A$8:$ES$8,0)+7,4),,))</f>
        <v>15583.849980777079</v>
      </c>
      <c r="N117" s="768">
        <f ca="1">INDIRECT("'kc-Wert für Stützen'!"&amp;SUBSTITUTE(ADDRESS(MATCH($A117,'kc-Wert für Stützen'!$C:$C,0),MATCH(N$7,'kc-Wert für Stützen'!$A$8:$ES$8,0)+7,4),,))</f>
        <v>14927.324661132092</v>
      </c>
      <c r="O117" s="768">
        <f ca="1">INDIRECT("'kc-Wert für Stützen'!"&amp;SUBSTITUTE(ADDRESS(MATCH($A117,'kc-Wert für Stützen'!$C:$C,0),MATCH(O$7,'kc-Wert für Stützen'!$A$8:$ES$8,0)+7,4),,))</f>
        <v>14302.968256242944</v>
      </c>
      <c r="P117" s="768">
        <f ca="1">INDIRECT("'kc-Wert für Stützen'!"&amp;SUBSTITUTE(ADDRESS(MATCH($A117,'kc-Wert für Stützen'!$C:$C,0),MATCH(P$7,'kc-Wert für Stützen'!$A$8:$ES$8,0)+7,4),,))</f>
        <v>13710.340768817045</v>
      </c>
      <c r="S117" s="772">
        <f t="shared" ca="1" si="31"/>
        <v>22423.901321857113</v>
      </c>
      <c r="T117" s="772">
        <f t="shared" ca="1" si="40"/>
        <v>22423.901321857113</v>
      </c>
      <c r="U117" s="772">
        <f t="shared" ca="1" si="40"/>
        <v>22423.901321857113</v>
      </c>
      <c r="V117" s="772">
        <f t="shared" ca="1" si="40"/>
        <v>21674.109248027489</v>
      </c>
      <c r="W117" s="772">
        <f t="shared" ca="1" si="40"/>
        <v>20894.139605659686</v>
      </c>
      <c r="X117" s="772">
        <f t="shared" ca="1" si="40"/>
        <v>20098.321542414757</v>
      </c>
      <c r="Y117" s="772">
        <f t="shared" ca="1" si="40"/>
        <v>19300.062382213899</v>
      </c>
      <c r="Z117" s="772">
        <f t="shared" ca="1" si="40"/>
        <v>22423.901321857113</v>
      </c>
      <c r="AA117" s="772">
        <f t="shared" ca="1" si="40"/>
        <v>22423.901321857113</v>
      </c>
      <c r="AB117" s="772">
        <f t="shared" ca="1" si="41"/>
        <v>21674.109248027489</v>
      </c>
      <c r="AC117" s="772">
        <f t="shared" ca="1" si="41"/>
        <v>21674.109248027489</v>
      </c>
      <c r="AD117" s="772">
        <f t="shared" ca="1" si="41"/>
        <v>20894.139605659686</v>
      </c>
      <c r="AE117" s="772">
        <f t="shared" ca="1" si="41"/>
        <v>20894.139605659686</v>
      </c>
      <c r="AF117" s="772">
        <f t="shared" ca="1" si="41"/>
        <v>20098.321542414757</v>
      </c>
      <c r="AG117" s="772">
        <f t="shared" ca="1" si="41"/>
        <v>20098.321542414757</v>
      </c>
      <c r="AH117" s="772">
        <f t="shared" ca="1" si="41"/>
        <v>20098.321542414757</v>
      </c>
      <c r="AI117" s="772">
        <f t="shared" ca="1" si="41"/>
        <v>22423.901321857113</v>
      </c>
      <c r="AJ117" s="772">
        <f t="shared" ca="1" si="41"/>
        <v>22423.901321857113</v>
      </c>
      <c r="AK117" s="772">
        <f t="shared" ca="1" si="41"/>
        <v>21674.109248027489</v>
      </c>
      <c r="AL117" s="772">
        <f t="shared" ca="1" si="41"/>
        <v>21674.109248027489</v>
      </c>
      <c r="AM117" s="772">
        <f t="shared" ca="1" si="41"/>
        <v>20894.139605659686</v>
      </c>
      <c r="AN117" s="772">
        <f t="shared" ca="1" si="41"/>
        <v>20894.139605659686</v>
      </c>
      <c r="AO117" s="772">
        <f t="shared" ca="1" si="41"/>
        <v>20098.321542414757</v>
      </c>
      <c r="AP117" s="772">
        <f t="shared" ca="1" si="41"/>
        <v>20098.321542414757</v>
      </c>
      <c r="AQ117" s="772">
        <f t="shared" ca="1" si="41"/>
        <v>20098.321542414757</v>
      </c>
      <c r="AR117" s="772">
        <f t="shared" ca="1" si="42"/>
        <v>22423.901321857113</v>
      </c>
      <c r="AS117" s="772">
        <f t="shared" ca="1" si="42"/>
        <v>22423.901321857113</v>
      </c>
      <c r="AT117" s="772">
        <f t="shared" ca="1" si="42"/>
        <v>21674.109248027489</v>
      </c>
      <c r="AU117" s="772">
        <f t="shared" ca="1" si="42"/>
        <v>21674.109248027489</v>
      </c>
      <c r="AV117" s="772">
        <f t="shared" ca="1" si="42"/>
        <v>20894.139605659686</v>
      </c>
      <c r="AW117" s="772">
        <f t="shared" ca="1" si="42"/>
        <v>20894.139605659686</v>
      </c>
      <c r="AX117" s="772">
        <f t="shared" ca="1" si="42"/>
        <v>20098.321542414757</v>
      </c>
      <c r="AY117" s="772">
        <f t="shared" ca="1" si="42"/>
        <v>20098.321542414757</v>
      </c>
      <c r="AZ117" s="772">
        <f t="shared" ca="1" si="42"/>
        <v>20098.321542414757</v>
      </c>
      <c r="BA117" s="772">
        <f t="shared" ca="1" si="42"/>
        <v>22423.901321857113</v>
      </c>
      <c r="BB117" s="772">
        <f t="shared" ca="1" si="42"/>
        <v>22423.901321857113</v>
      </c>
      <c r="BC117" s="772">
        <f t="shared" ca="1" si="42"/>
        <v>21674.109248027489</v>
      </c>
      <c r="BD117" s="772">
        <f t="shared" ca="1" si="42"/>
        <v>20894.139605659686</v>
      </c>
      <c r="BE117" s="772">
        <f t="shared" ca="1" si="42"/>
        <v>20894.139605659686</v>
      </c>
      <c r="BF117" s="772">
        <f t="shared" ca="1" si="42"/>
        <v>20098.321542414757</v>
      </c>
      <c r="BG117" s="772">
        <f t="shared" ca="1" si="42"/>
        <v>20098.321542414757</v>
      </c>
      <c r="BH117" s="772">
        <f t="shared" ca="1" si="44"/>
        <v>19300.062382213899</v>
      </c>
      <c r="BI117" s="772">
        <f t="shared" ca="1" si="44"/>
        <v>19300.062382213899</v>
      </c>
      <c r="BJ117" s="772">
        <f t="shared" ca="1" si="44"/>
        <v>21674.109248027489</v>
      </c>
      <c r="BK117" s="772">
        <f t="shared" ca="1" si="44"/>
        <v>21674.109248027489</v>
      </c>
      <c r="BL117" s="772">
        <f t="shared" ca="1" si="44"/>
        <v>21674.109248027489</v>
      </c>
      <c r="BM117" s="772">
        <f t="shared" ca="1" si="44"/>
        <v>21674.109248027489</v>
      </c>
      <c r="BN117" s="772">
        <f t="shared" ca="1" si="44"/>
        <v>20098.321542414757</v>
      </c>
      <c r="BO117" s="772">
        <f t="shared" ca="1" si="38"/>
        <v>20098.321542414757</v>
      </c>
      <c r="BP117" s="772">
        <f t="shared" ca="1" si="38"/>
        <v>19300.062382213899</v>
      </c>
      <c r="BQ117" s="772">
        <f t="shared" ca="1" si="38"/>
        <v>19300.062382213899</v>
      </c>
      <c r="BR117" s="772">
        <f t="shared" ca="1" si="38"/>
        <v>18510.710341094305</v>
      </c>
      <c r="BS117" s="772">
        <f t="shared" ca="1" si="38"/>
        <v>21674.109248027489</v>
      </c>
      <c r="BT117" s="772">
        <f t="shared" ca="1" si="38"/>
        <v>21674.109248027489</v>
      </c>
      <c r="BU117" s="772">
        <f t="shared" ca="1" si="38"/>
        <v>21674.109248027489</v>
      </c>
      <c r="BV117" s="772">
        <f t="shared" ca="1" si="38"/>
        <v>20894.139605659686</v>
      </c>
      <c r="BW117" s="772">
        <f t="shared" ca="1" si="38"/>
        <v>20894.139605659686</v>
      </c>
      <c r="BX117" s="772">
        <f t="shared" ca="1" si="38"/>
        <v>19300.062382213899</v>
      </c>
      <c r="BY117" s="772">
        <f t="shared" ca="1" si="38"/>
        <v>19300.062382213899</v>
      </c>
      <c r="BZ117" s="772">
        <f t="shared" ca="1" si="38"/>
        <v>18510.710341094305</v>
      </c>
      <c r="CA117" s="772">
        <f t="shared" ca="1" si="38"/>
        <v>18510.710341094305</v>
      </c>
      <c r="CB117" s="772">
        <f t="shared" ca="1" si="38"/>
        <v>20894.139605659686</v>
      </c>
      <c r="CC117" s="772">
        <f t="shared" ca="1" si="38"/>
        <v>20894.139605659686</v>
      </c>
      <c r="CD117" s="772">
        <f t="shared" ca="1" si="38"/>
        <v>20894.139605659686</v>
      </c>
      <c r="CE117" s="772">
        <f t="shared" ca="1" si="43"/>
        <v>20894.139605659686</v>
      </c>
      <c r="CF117" s="772">
        <f t="shared" ca="1" si="43"/>
        <v>20098.321542414757</v>
      </c>
      <c r="CG117" s="772">
        <f t="shared" ca="1" si="43"/>
        <v>19300.062382213899</v>
      </c>
      <c r="CH117" s="772">
        <f t="shared" ca="1" si="43"/>
        <v>18510.710341094305</v>
      </c>
      <c r="CI117" s="772">
        <f t="shared" ca="1" si="43"/>
        <v>18510.710341094305</v>
      </c>
      <c r="CJ117" s="772">
        <f t="shared" ca="1" si="43"/>
        <v>17739.092531365695</v>
      </c>
    </row>
    <row r="118" spans="1:88" ht="15" customHeight="1">
      <c r="A118" s="770">
        <f>'kc-Wert für Stützen'!C118</f>
        <v>170</v>
      </c>
      <c r="B118" s="768">
        <f ca="1">INDIRECT("'kc-Wert für Stützen'!"&amp;SUBSTITUTE(ADDRESS(MATCH($A118,'kc-Wert für Stützen'!$C:$C,0),MATCH(B$7,'kc-Wert für Stützen'!$A$8:$ES$8,0)+7,4),,))</f>
        <v>24166.689704115321</v>
      </c>
      <c r="C118" s="768">
        <f ca="1">INDIRECT("'kc-Wert für Stützen'!"&amp;SUBSTITUTE(ADDRESS(MATCH($A118,'kc-Wert für Stützen'!$C:$C,0),MATCH(C$7,'kc-Wert für Stützen'!$A$8:$ES$8,0)+7,4),,))</f>
        <v>23521.165494104145</v>
      </c>
      <c r="D118" s="768">
        <f ca="1">INDIRECT("'kc-Wert für Stützen'!"&amp;SUBSTITUTE(ADDRESS(MATCH($A118,'kc-Wert für Stützen'!$C:$C,0),MATCH(D$7,'kc-Wert für Stützen'!$A$8:$ES$8,0)+7,4),,))</f>
        <v>22819.712883793996</v>
      </c>
      <c r="E118" s="768">
        <f ca="1">INDIRECT("'kc-Wert für Stützen'!"&amp;SUBSTITUTE(ADDRESS(MATCH($A118,'kc-Wert für Stützen'!$C:$C,0),MATCH(E$7,'kc-Wert für Stützen'!$A$8:$ES$8,0)+7,4),,))</f>
        <v>22072.416855172462</v>
      </c>
      <c r="F118" s="768">
        <f ca="1">INDIRECT("'kc-Wert für Stützen'!"&amp;SUBSTITUTE(ADDRESS(MATCH($A118,'kc-Wert für Stützen'!$C:$C,0),MATCH(F$7,'kc-Wert für Stützen'!$A$8:$ES$8,0)+7,4),,))</f>
        <v>21292.359902105298</v>
      </c>
      <c r="G118" s="768">
        <f ca="1">INDIRECT("'kc-Wert für Stützen'!"&amp;SUBSTITUTE(ADDRESS(MATCH($A118,'kc-Wert für Stützen'!$C:$C,0),MATCH(G$7,'kc-Wert für Stützen'!$A$8:$ES$8,0)+7,4),,))</f>
        <v>20493.782439528826</v>
      </c>
      <c r="H118" s="768">
        <f ca="1">INDIRECT("'kc-Wert für Stützen'!"&amp;SUBSTITUTE(ADDRESS(MATCH($A118,'kc-Wert für Stützen'!$C:$C,0),MATCH(H$7,'kc-Wert für Stützen'!$A$8:$ES$8,0)+7,4),,))</f>
        <v>19690.298845513345</v>
      </c>
      <c r="I118" s="768">
        <f ca="1">INDIRECT("'kc-Wert für Stützen'!"&amp;SUBSTITUTE(ADDRESS(MATCH($A118,'kc-Wert für Stützen'!$C:$C,0),MATCH(I$7,'kc-Wert für Stützen'!$A$8:$ES$8,0)+7,4),,))</f>
        <v>18893.650878332992</v>
      </c>
      <c r="J118" s="768">
        <f ca="1">INDIRECT("'kc-Wert für Stützen'!"&amp;SUBSTITUTE(ADDRESS(MATCH($A118,'kc-Wert für Stützen'!$C:$C,0),MATCH(J$7,'kc-Wert für Stützen'!$A$8:$ES$8,0)+7,4),,))</f>
        <v>18113.131677617777</v>
      </c>
      <c r="K118" s="768">
        <f ca="1">INDIRECT("'kc-Wert für Stützen'!"&amp;SUBSTITUTE(ADDRESS(MATCH($A118,'kc-Wert für Stützen'!$C:$C,0),MATCH(K$7,'kc-Wert für Stützen'!$A$8:$ES$8,0)+7,4),,))</f>
        <v>17355.548723169344</v>
      </c>
      <c r="L118" s="768">
        <f ca="1">INDIRECT("'kc-Wert für Stützen'!"&amp;SUBSTITUTE(ADDRESS(MATCH($A118,'kc-Wert für Stützen'!$C:$C,0),MATCH(L$7,'kc-Wert für Stützen'!$A$8:$ES$8,0)+7,4),,))</f>
        <v>16625.5046270577</v>
      </c>
      <c r="M118" s="768">
        <f ca="1">INDIRECT("'kc-Wert für Stützen'!"&amp;SUBSTITUTE(ADDRESS(MATCH($A118,'kc-Wert für Stützen'!$C:$C,0),MATCH(M$7,'kc-Wert für Stützen'!$A$8:$ES$8,0)+7,4),,))</f>
        <v>15925.805813295587</v>
      </c>
      <c r="N118" s="768">
        <f ca="1">INDIRECT("'kc-Wert für Stützen'!"&amp;SUBSTITUTE(ADDRESS(MATCH($A118,'kc-Wert für Stützen'!$C:$C,0),MATCH(N$7,'kc-Wert für Stützen'!$A$8:$ES$8,0)+7,4),,))</f>
        <v>15257.879230922103</v>
      </c>
      <c r="O118" s="768">
        <f ca="1">INDIRECT("'kc-Wert für Stützen'!"&amp;SUBSTITUTE(ADDRESS(MATCH($A118,'kc-Wert für Stützen'!$C:$C,0),MATCH(O$7,'kc-Wert für Stützen'!$A$8:$ES$8,0)+7,4),,))</f>
        <v>14622.138675200235</v>
      </c>
      <c r="P118" s="768">
        <f ca="1">INDIRECT("'kc-Wert für Stützen'!"&amp;SUBSTITUTE(ADDRESS(MATCH($A118,'kc-Wert für Stützen'!$C:$C,0),MATCH(P$7,'kc-Wert für Stützen'!$A$8:$ES$8,0)+7,4),,))</f>
        <v>14018.281686446509</v>
      </c>
      <c r="S118" s="772">
        <f t="shared" ca="1" si="31"/>
        <v>22819.712883793996</v>
      </c>
      <c r="T118" s="772">
        <f t="shared" ca="1" si="40"/>
        <v>22819.712883793996</v>
      </c>
      <c r="U118" s="772">
        <f t="shared" ca="1" si="40"/>
        <v>22819.712883793996</v>
      </c>
      <c r="V118" s="772">
        <f t="shared" ca="1" si="40"/>
        <v>22072.416855172462</v>
      </c>
      <c r="W118" s="772">
        <f t="shared" ca="1" si="40"/>
        <v>21292.359902105298</v>
      </c>
      <c r="X118" s="772">
        <f t="shared" ca="1" si="40"/>
        <v>20493.782439528826</v>
      </c>
      <c r="Y118" s="772">
        <f t="shared" ca="1" si="40"/>
        <v>19690.298845513345</v>
      </c>
      <c r="Z118" s="772">
        <f t="shared" ca="1" si="40"/>
        <v>22819.712883793996</v>
      </c>
      <c r="AA118" s="772">
        <f t="shared" ca="1" si="40"/>
        <v>22819.712883793996</v>
      </c>
      <c r="AB118" s="772">
        <f t="shared" ca="1" si="41"/>
        <v>22072.416855172462</v>
      </c>
      <c r="AC118" s="772">
        <f t="shared" ca="1" si="41"/>
        <v>22072.416855172462</v>
      </c>
      <c r="AD118" s="772">
        <f t="shared" ca="1" si="41"/>
        <v>21292.359902105298</v>
      </c>
      <c r="AE118" s="772">
        <f t="shared" ca="1" si="41"/>
        <v>21292.359902105298</v>
      </c>
      <c r="AF118" s="772">
        <f t="shared" ca="1" si="41"/>
        <v>20493.782439528826</v>
      </c>
      <c r="AG118" s="772">
        <f t="shared" ca="1" si="41"/>
        <v>20493.782439528826</v>
      </c>
      <c r="AH118" s="772">
        <f t="shared" ca="1" si="41"/>
        <v>20493.782439528826</v>
      </c>
      <c r="AI118" s="772">
        <f t="shared" ca="1" si="41"/>
        <v>22819.712883793996</v>
      </c>
      <c r="AJ118" s="772">
        <f t="shared" ca="1" si="41"/>
        <v>22819.712883793996</v>
      </c>
      <c r="AK118" s="772">
        <f t="shared" ca="1" si="41"/>
        <v>22072.416855172462</v>
      </c>
      <c r="AL118" s="772">
        <f t="shared" ca="1" si="41"/>
        <v>22072.416855172462</v>
      </c>
      <c r="AM118" s="772">
        <f t="shared" ca="1" si="41"/>
        <v>21292.359902105298</v>
      </c>
      <c r="AN118" s="772">
        <f t="shared" ca="1" si="41"/>
        <v>21292.359902105298</v>
      </c>
      <c r="AO118" s="772">
        <f t="shared" ca="1" si="41"/>
        <v>20493.782439528826</v>
      </c>
      <c r="AP118" s="772">
        <f t="shared" ca="1" si="41"/>
        <v>20493.782439528826</v>
      </c>
      <c r="AQ118" s="772">
        <f t="shared" ca="1" si="41"/>
        <v>20493.782439528826</v>
      </c>
      <c r="AR118" s="772">
        <f t="shared" ca="1" si="42"/>
        <v>22819.712883793996</v>
      </c>
      <c r="AS118" s="772">
        <f t="shared" ca="1" si="42"/>
        <v>22819.712883793996</v>
      </c>
      <c r="AT118" s="772">
        <f t="shared" ca="1" si="42"/>
        <v>22072.416855172462</v>
      </c>
      <c r="AU118" s="772">
        <f t="shared" ca="1" si="42"/>
        <v>22072.416855172462</v>
      </c>
      <c r="AV118" s="772">
        <f t="shared" ca="1" si="42"/>
        <v>21292.359902105298</v>
      </c>
      <c r="AW118" s="772">
        <f t="shared" ca="1" si="42"/>
        <v>21292.359902105298</v>
      </c>
      <c r="AX118" s="772">
        <f t="shared" ca="1" si="42"/>
        <v>20493.782439528826</v>
      </c>
      <c r="AY118" s="772">
        <f t="shared" ca="1" si="42"/>
        <v>20493.782439528826</v>
      </c>
      <c r="AZ118" s="772">
        <f t="shared" ca="1" si="42"/>
        <v>20493.782439528826</v>
      </c>
      <c r="BA118" s="772">
        <f t="shared" ca="1" si="42"/>
        <v>22819.712883793996</v>
      </c>
      <c r="BB118" s="772">
        <f t="shared" ca="1" si="42"/>
        <v>22819.712883793996</v>
      </c>
      <c r="BC118" s="772">
        <f t="shared" ca="1" si="42"/>
        <v>22072.416855172462</v>
      </c>
      <c r="BD118" s="772">
        <f t="shared" ca="1" si="42"/>
        <v>21292.359902105298</v>
      </c>
      <c r="BE118" s="772">
        <f t="shared" ca="1" si="42"/>
        <v>21292.359902105298</v>
      </c>
      <c r="BF118" s="772">
        <f t="shared" ca="1" si="42"/>
        <v>20493.782439528826</v>
      </c>
      <c r="BG118" s="772">
        <f t="shared" ca="1" si="42"/>
        <v>20493.782439528826</v>
      </c>
      <c r="BH118" s="772">
        <f t="shared" ca="1" si="44"/>
        <v>19690.298845513345</v>
      </c>
      <c r="BI118" s="772">
        <f t="shared" ca="1" si="44"/>
        <v>19690.298845513345</v>
      </c>
      <c r="BJ118" s="772">
        <f t="shared" ca="1" si="44"/>
        <v>22072.416855172462</v>
      </c>
      <c r="BK118" s="772">
        <f t="shared" ca="1" si="44"/>
        <v>22072.416855172462</v>
      </c>
      <c r="BL118" s="772">
        <f t="shared" ca="1" si="44"/>
        <v>22072.416855172462</v>
      </c>
      <c r="BM118" s="772">
        <f t="shared" ca="1" si="44"/>
        <v>22072.416855172462</v>
      </c>
      <c r="BN118" s="772">
        <f t="shared" ca="1" si="44"/>
        <v>20493.782439528826</v>
      </c>
      <c r="BO118" s="772">
        <f t="shared" ca="1" si="38"/>
        <v>20493.782439528826</v>
      </c>
      <c r="BP118" s="772">
        <f t="shared" ca="1" si="38"/>
        <v>19690.298845513345</v>
      </c>
      <c r="BQ118" s="772">
        <f t="shared" ca="1" si="38"/>
        <v>19690.298845513345</v>
      </c>
      <c r="BR118" s="772">
        <f t="shared" ca="1" si="38"/>
        <v>18893.650878332992</v>
      </c>
      <c r="BS118" s="772">
        <f t="shared" ca="1" si="38"/>
        <v>22072.416855172462</v>
      </c>
      <c r="BT118" s="772">
        <f t="shared" ca="1" si="38"/>
        <v>22072.416855172462</v>
      </c>
      <c r="BU118" s="772">
        <f t="shared" ca="1" si="38"/>
        <v>22072.416855172462</v>
      </c>
      <c r="BV118" s="772">
        <f t="shared" ca="1" si="38"/>
        <v>21292.359902105298</v>
      </c>
      <c r="BW118" s="772">
        <f t="shared" ca="1" si="38"/>
        <v>21292.359902105298</v>
      </c>
      <c r="BX118" s="772">
        <f t="shared" ca="1" si="38"/>
        <v>19690.298845513345</v>
      </c>
      <c r="BY118" s="772">
        <f t="shared" ca="1" si="38"/>
        <v>19690.298845513345</v>
      </c>
      <c r="BZ118" s="772">
        <f t="shared" ca="1" si="38"/>
        <v>18893.650878332992</v>
      </c>
      <c r="CA118" s="772">
        <f t="shared" ca="1" si="38"/>
        <v>18893.650878332992</v>
      </c>
      <c r="CB118" s="772">
        <f t="shared" ca="1" si="38"/>
        <v>21292.359902105298</v>
      </c>
      <c r="CC118" s="772">
        <f t="shared" ca="1" si="38"/>
        <v>21292.359902105298</v>
      </c>
      <c r="CD118" s="772">
        <f t="shared" ca="1" si="38"/>
        <v>21292.359902105298</v>
      </c>
      <c r="CE118" s="772">
        <f t="shared" ca="1" si="43"/>
        <v>21292.359902105298</v>
      </c>
      <c r="CF118" s="772">
        <f t="shared" ca="1" si="43"/>
        <v>20493.782439528826</v>
      </c>
      <c r="CG118" s="772">
        <f t="shared" ca="1" si="43"/>
        <v>19690.298845513345</v>
      </c>
      <c r="CH118" s="772">
        <f t="shared" ca="1" si="43"/>
        <v>18893.650878332992</v>
      </c>
      <c r="CI118" s="772">
        <f t="shared" ca="1" si="43"/>
        <v>18893.650878332992</v>
      </c>
      <c r="CJ118" s="772">
        <f t="shared" ca="1" si="43"/>
        <v>18113.131677617777</v>
      </c>
    </row>
    <row r="119" spans="1:88" ht="15" customHeight="1">
      <c r="A119" s="770">
        <f>'kc-Wert für Stützen'!C119</f>
        <v>171</v>
      </c>
      <c r="B119" s="768">
        <f ca="1">INDIRECT("'kc-Wert für Stützen'!"&amp;SUBSTITUTE(ADDRESS(MATCH($A119,'kc-Wert für Stützen'!$C:$C,0),MATCH(B$7,'kc-Wert für Stützen'!$A$8:$ES$8,0)+7,4),,))</f>
        <v>24552.922428766509</v>
      </c>
      <c r="C119" s="768">
        <f ca="1">INDIRECT("'kc-Wert für Stützen'!"&amp;SUBSTITUTE(ADDRESS(MATCH($A119,'kc-Wert für Stützen'!$C:$C,0),MATCH(C$7,'kc-Wert für Stützen'!$A$8:$ES$8,0)+7,4),,))</f>
        <v>23913.67053416284</v>
      </c>
      <c r="D119" s="768">
        <f ca="1">INDIRECT("'kc-Wert für Stützen'!"&amp;SUBSTITUTE(ADDRESS(MATCH($A119,'kc-Wert für Stützen'!$C:$C,0),MATCH(D$7,'kc-Wert für Stützen'!$A$8:$ES$8,0)+7,4),,))</f>
        <v>23217.176412504359</v>
      </c>
      <c r="E119" s="768">
        <f ca="1">INDIRECT("'kc-Wert für Stützen'!"&amp;SUBSTITUTE(ADDRESS(MATCH($A119,'kc-Wert für Stützen'!$C:$C,0),MATCH(E$7,'kc-Wert für Stützen'!$A$8:$ES$8,0)+7,4),,))</f>
        <v>22472.803038954447</v>
      </c>
      <c r="F119" s="768">
        <f ca="1">INDIRECT("'kc-Wert für Stützen'!"&amp;SUBSTITUTE(ADDRESS(MATCH($A119,'kc-Wert für Stützen'!$C:$C,0),MATCH(F$7,'kc-Wert für Stützen'!$A$8:$ES$8,0)+7,4),,))</f>
        <v>21693.152912833229</v>
      </c>
      <c r="G119" s="768">
        <f ca="1">INDIRECT("'kc-Wert für Stützen'!"&amp;SUBSTITUTE(ADDRESS(MATCH($A119,'kc-Wert für Stützen'!$C:$C,0),MATCH(G$7,'kc-Wert für Stützen'!$A$8:$ES$8,0)+7,4),,))</f>
        <v>20892.31708677705</v>
      </c>
      <c r="H119" s="768">
        <f ca="1">INDIRECT("'kc-Wert für Stützen'!"&amp;SUBSTITUTE(ADDRESS(MATCH($A119,'kc-Wert für Stützen'!$C:$C,0),MATCH(H$7,'kc-Wert für Stützen'!$A$8:$ES$8,0)+7,4),,))</f>
        <v>20084.066271208929</v>
      </c>
      <c r="I119" s="768">
        <f ca="1">INDIRECT("'kc-Wert für Stützen'!"&amp;SUBSTITUTE(ADDRESS(MATCH($A119,'kc-Wert für Stützen'!$C:$C,0),MATCH(I$7,'kc-Wert für Stützen'!$A$8:$ES$8,0)+7,4),,))</f>
        <v>19280.504576996471</v>
      </c>
      <c r="J119" s="768">
        <f ca="1">INDIRECT("'kc-Wert für Stützen'!"&amp;SUBSTITUTE(ADDRESS(MATCH($A119,'kc-Wert für Stützen'!$C:$C,0),MATCH(J$7,'kc-Wert für Stützen'!$A$8:$ES$8,0)+7,4),,))</f>
        <v>18491.379228875041</v>
      </c>
      <c r="K119" s="768">
        <f ca="1">INDIRECT("'kc-Wert für Stützen'!"&amp;SUBSTITUTE(ADDRESS(MATCH($A119,'kc-Wert für Stützen'!$C:$C,0),MATCH(K$7,'kc-Wert für Stützen'!$A$8:$ES$8,0)+7,4),,))</f>
        <v>17723.954821400443</v>
      </c>
      <c r="L119" s="768">
        <f ca="1">INDIRECT("'kc-Wert für Stützen'!"&amp;SUBSTITUTE(ADDRESS(MATCH($A119,'kc-Wert für Stützen'!$C:$C,0),MATCH(L$7,'kc-Wert für Stützen'!$A$8:$ES$8,0)+7,4),,))</f>
        <v>16983.242261799289</v>
      </c>
      <c r="M119" s="768">
        <f ca="1">INDIRECT("'kc-Wert für Stützen'!"&amp;SUBSTITUTE(ADDRESS(MATCH($A119,'kc-Wert für Stützen'!$C:$C,0),MATCH(M$7,'kc-Wert für Stützen'!$A$8:$ES$8,0)+7,4),,))</f>
        <v>16272.386100942816</v>
      </c>
      <c r="N119" s="768">
        <f ca="1">INDIRECT("'kc-Wert für Stützen'!"&amp;SUBSTITUTE(ADDRESS(MATCH($A119,'kc-Wert für Stützen'!$C:$C,0),MATCH(N$7,'kc-Wert für Stützen'!$A$8:$ES$8,0)+7,4),,))</f>
        <v>15593.079101531634</v>
      </c>
      <c r="O119" s="768">
        <f ca="1">INDIRECT("'kc-Wert für Stützen'!"&amp;SUBSTITUTE(ADDRESS(MATCH($A119,'kc-Wert für Stützen'!$C:$C,0),MATCH(O$7,'kc-Wert für Stützen'!$A$8:$ES$8,0)+7,4),,))</f>
        <v>14945.936044506218</v>
      </c>
      <c r="P119" s="768">
        <f ca="1">INDIRECT("'kc-Wert für Stützen'!"&amp;SUBSTITUTE(ADDRESS(MATCH($A119,'kc-Wert für Stützen'!$C:$C,0),MATCH(P$7,'kc-Wert für Stützen'!$A$8:$ES$8,0)+7,4),,))</f>
        <v>14330.801577246571</v>
      </c>
      <c r="S119" s="772">
        <f t="shared" ca="1" si="31"/>
        <v>23217.176412504359</v>
      </c>
      <c r="T119" s="772">
        <f t="shared" ca="1" si="40"/>
        <v>23217.176412504359</v>
      </c>
      <c r="U119" s="772">
        <f t="shared" ca="1" si="40"/>
        <v>23217.176412504359</v>
      </c>
      <c r="V119" s="772">
        <f t="shared" ca="1" si="40"/>
        <v>22472.803038954447</v>
      </c>
      <c r="W119" s="772">
        <f t="shared" ca="1" si="40"/>
        <v>21693.152912833229</v>
      </c>
      <c r="X119" s="772">
        <f t="shared" ca="1" si="40"/>
        <v>20892.31708677705</v>
      </c>
      <c r="Y119" s="772">
        <f t="shared" ca="1" si="40"/>
        <v>20084.066271208929</v>
      </c>
      <c r="Z119" s="772">
        <f t="shared" ca="1" si="40"/>
        <v>23217.176412504359</v>
      </c>
      <c r="AA119" s="772">
        <f t="shared" ca="1" si="40"/>
        <v>23217.176412504359</v>
      </c>
      <c r="AB119" s="772">
        <f t="shared" ca="1" si="41"/>
        <v>22472.803038954447</v>
      </c>
      <c r="AC119" s="772">
        <f t="shared" ca="1" si="41"/>
        <v>22472.803038954447</v>
      </c>
      <c r="AD119" s="772">
        <f t="shared" ca="1" si="41"/>
        <v>21693.152912833229</v>
      </c>
      <c r="AE119" s="772">
        <f t="shared" ca="1" si="41"/>
        <v>21693.152912833229</v>
      </c>
      <c r="AF119" s="772">
        <f t="shared" ca="1" si="41"/>
        <v>20892.31708677705</v>
      </c>
      <c r="AG119" s="772">
        <f t="shared" ca="1" si="41"/>
        <v>20892.31708677705</v>
      </c>
      <c r="AH119" s="772">
        <f t="shared" ca="1" si="41"/>
        <v>20892.31708677705</v>
      </c>
      <c r="AI119" s="772">
        <f t="shared" ca="1" si="41"/>
        <v>23217.176412504359</v>
      </c>
      <c r="AJ119" s="772">
        <f t="shared" ca="1" si="41"/>
        <v>23217.176412504359</v>
      </c>
      <c r="AK119" s="772">
        <f t="shared" ca="1" si="41"/>
        <v>22472.803038954447</v>
      </c>
      <c r="AL119" s="772">
        <f t="shared" ca="1" si="41"/>
        <v>22472.803038954447</v>
      </c>
      <c r="AM119" s="772">
        <f t="shared" ca="1" si="41"/>
        <v>21693.152912833229</v>
      </c>
      <c r="AN119" s="772">
        <f t="shared" ca="1" si="41"/>
        <v>21693.152912833229</v>
      </c>
      <c r="AO119" s="772">
        <f t="shared" ref="AB119:AQ135" ca="1" si="45">HLOOKUP(AO$7,$A$7:$P$348,ROW()-6)</f>
        <v>20892.31708677705</v>
      </c>
      <c r="AP119" s="772">
        <f t="shared" ca="1" si="45"/>
        <v>20892.31708677705</v>
      </c>
      <c r="AQ119" s="772">
        <f t="shared" ca="1" si="45"/>
        <v>20892.31708677705</v>
      </c>
      <c r="AR119" s="772">
        <f t="shared" ca="1" si="42"/>
        <v>23217.176412504359</v>
      </c>
      <c r="AS119" s="772">
        <f t="shared" ca="1" si="42"/>
        <v>23217.176412504359</v>
      </c>
      <c r="AT119" s="772">
        <f t="shared" ca="1" si="42"/>
        <v>22472.803038954447</v>
      </c>
      <c r="AU119" s="772">
        <f t="shared" ca="1" si="42"/>
        <v>22472.803038954447</v>
      </c>
      <c r="AV119" s="772">
        <f t="shared" ca="1" si="42"/>
        <v>21693.152912833229</v>
      </c>
      <c r="AW119" s="772">
        <f t="shared" ca="1" si="42"/>
        <v>21693.152912833229</v>
      </c>
      <c r="AX119" s="772">
        <f t="shared" ca="1" si="42"/>
        <v>20892.31708677705</v>
      </c>
      <c r="AY119" s="772">
        <f t="shared" ca="1" si="42"/>
        <v>20892.31708677705</v>
      </c>
      <c r="AZ119" s="772">
        <f t="shared" ca="1" si="42"/>
        <v>20892.31708677705</v>
      </c>
      <c r="BA119" s="772">
        <f t="shared" ca="1" si="42"/>
        <v>23217.176412504359</v>
      </c>
      <c r="BB119" s="772">
        <f t="shared" ca="1" si="42"/>
        <v>23217.176412504359</v>
      </c>
      <c r="BC119" s="772">
        <f t="shared" ca="1" si="42"/>
        <v>22472.803038954447</v>
      </c>
      <c r="BD119" s="772">
        <f t="shared" ca="1" si="42"/>
        <v>21693.152912833229</v>
      </c>
      <c r="BE119" s="772">
        <f t="shared" ca="1" si="42"/>
        <v>21693.152912833229</v>
      </c>
      <c r="BF119" s="772">
        <f t="shared" ca="1" si="42"/>
        <v>20892.31708677705</v>
      </c>
      <c r="BG119" s="772">
        <f t="shared" ca="1" si="42"/>
        <v>20892.31708677705</v>
      </c>
      <c r="BH119" s="772">
        <f t="shared" ca="1" si="44"/>
        <v>20084.066271208929</v>
      </c>
      <c r="BI119" s="772">
        <f t="shared" ca="1" si="44"/>
        <v>20084.066271208929</v>
      </c>
      <c r="BJ119" s="772">
        <f t="shared" ca="1" si="44"/>
        <v>22472.803038954447</v>
      </c>
      <c r="BK119" s="772">
        <f t="shared" ca="1" si="44"/>
        <v>22472.803038954447</v>
      </c>
      <c r="BL119" s="772">
        <f t="shared" ca="1" si="44"/>
        <v>22472.803038954447</v>
      </c>
      <c r="BM119" s="772">
        <f t="shared" ca="1" si="44"/>
        <v>22472.803038954447</v>
      </c>
      <c r="BN119" s="772">
        <f t="shared" ca="1" si="44"/>
        <v>20892.31708677705</v>
      </c>
      <c r="BO119" s="772">
        <f t="shared" ca="1" si="38"/>
        <v>20892.31708677705</v>
      </c>
      <c r="BP119" s="772">
        <f t="shared" ca="1" si="38"/>
        <v>20084.066271208929</v>
      </c>
      <c r="BQ119" s="772">
        <f t="shared" ca="1" si="38"/>
        <v>20084.066271208929</v>
      </c>
      <c r="BR119" s="772">
        <f t="shared" ca="1" si="38"/>
        <v>19280.504576996471</v>
      </c>
      <c r="BS119" s="772">
        <f t="shared" ca="1" si="38"/>
        <v>22472.803038954447</v>
      </c>
      <c r="BT119" s="772">
        <f t="shared" ca="1" si="38"/>
        <v>22472.803038954447</v>
      </c>
      <c r="BU119" s="772">
        <f t="shared" ca="1" si="38"/>
        <v>22472.803038954447</v>
      </c>
      <c r="BV119" s="772">
        <f t="shared" ca="1" si="38"/>
        <v>21693.152912833229</v>
      </c>
      <c r="BW119" s="772">
        <f t="shared" ca="1" si="38"/>
        <v>21693.152912833229</v>
      </c>
      <c r="BX119" s="772">
        <f t="shared" ca="1" si="38"/>
        <v>20084.066271208929</v>
      </c>
      <c r="BY119" s="772">
        <f t="shared" ca="1" si="38"/>
        <v>20084.066271208929</v>
      </c>
      <c r="BZ119" s="772">
        <f t="shared" ca="1" si="38"/>
        <v>19280.504576996471</v>
      </c>
      <c r="CA119" s="772">
        <f t="shared" ca="1" si="38"/>
        <v>19280.504576996471</v>
      </c>
      <c r="CB119" s="772">
        <f t="shared" ca="1" si="38"/>
        <v>21693.152912833229</v>
      </c>
      <c r="CC119" s="772">
        <f t="shared" ca="1" si="38"/>
        <v>21693.152912833229</v>
      </c>
      <c r="CD119" s="772">
        <f t="shared" ca="1" si="38"/>
        <v>21693.152912833229</v>
      </c>
      <c r="CE119" s="772">
        <f t="shared" ca="1" si="43"/>
        <v>21693.152912833229</v>
      </c>
      <c r="CF119" s="772">
        <f t="shared" ca="1" si="43"/>
        <v>20892.31708677705</v>
      </c>
      <c r="CG119" s="772">
        <f t="shared" ca="1" si="43"/>
        <v>20084.066271208929</v>
      </c>
      <c r="CH119" s="772">
        <f t="shared" ca="1" si="43"/>
        <v>19280.504576996471</v>
      </c>
      <c r="CI119" s="772">
        <f t="shared" ca="1" si="43"/>
        <v>19280.504576996471</v>
      </c>
      <c r="CJ119" s="772">
        <f t="shared" ca="1" si="43"/>
        <v>18491.379228875041</v>
      </c>
    </row>
    <row r="120" spans="1:88" ht="15" customHeight="1">
      <c r="A120" s="770">
        <f>'kc-Wert für Stützen'!C120</f>
        <v>172</v>
      </c>
      <c r="B120" s="768">
        <f ca="1">INDIRECT("'kc-Wert für Stützen'!"&amp;SUBSTITUTE(ADDRESS(MATCH($A120,'kc-Wert für Stützen'!$C:$C,0),MATCH(B$7,'kc-Wert für Stützen'!$A$8:$ES$8,0)+7,4),,))</f>
        <v>24940.32003637225</v>
      </c>
      <c r="C120" s="768">
        <f ca="1">INDIRECT("'kc-Wert für Stützen'!"&amp;SUBSTITUTE(ADDRESS(MATCH($A120,'kc-Wert für Stützen'!$C:$C,0),MATCH(C$7,'kc-Wert für Stützen'!$A$8:$ES$8,0)+7,4),,))</f>
        <v>24307.481708807751</v>
      </c>
      <c r="D120" s="768">
        <f ca="1">INDIRECT("'kc-Wert für Stützen'!"&amp;SUBSTITUTE(ADDRESS(MATCH($A120,'kc-Wert für Stützen'!$C:$C,0),MATCH(D$7,'kc-Wert für Stützen'!$A$8:$ES$8,0)+7,4),,))</f>
        <v>23616.228222082358</v>
      </c>
      <c r="E120" s="768">
        <f ca="1">INDIRECT("'kc-Wert für Stützen'!"&amp;SUBSTITUTE(ADDRESS(MATCH($A120,'kc-Wert für Stützen'!$C:$C,0),MATCH(E$7,'kc-Wert für Stützen'!$A$8:$ES$8,0)+7,4),,))</f>
        <v>22875.183692875529</v>
      </c>
      <c r="F120" s="768">
        <f ca="1">INDIRECT("'kc-Wert für Stützen'!"&amp;SUBSTITUTE(ADDRESS(MATCH($A120,'kc-Wert für Stützen'!$C:$C,0),MATCH(F$7,'kc-Wert für Stützen'!$A$8:$ES$8,0)+7,4),,))</f>
        <v>22096.423857739392</v>
      </c>
      <c r="G120" s="768">
        <f ca="1">INDIRECT("'kc-Wert für Stützen'!"&amp;SUBSTITUTE(ADDRESS(MATCH($A120,'kc-Wert für Stützen'!$C:$C,0),MATCH(G$7,'kc-Wert für Stützen'!$A$8:$ES$8,0)+7,4),,))</f>
        <v>21293.830882402694</v>
      </c>
      <c r="H120" s="768">
        <f ca="1">INDIRECT("'kc-Wert für Stützen'!"&amp;SUBSTITUTE(ADDRESS(MATCH($A120,'kc-Wert für Stützen'!$C:$C,0),MATCH(H$7,'kc-Wert für Stützen'!$A$8:$ES$8,0)+7,4),,))</f>
        <v>20481.279035632735</v>
      </c>
      <c r="I120" s="768">
        <f ca="1">INDIRECT("'kc-Wert für Stützen'!"&amp;SUBSTITUTE(ADDRESS(MATCH($A120,'kc-Wert für Stützen'!$C:$C,0),MATCH(I$7,'kc-Wert für Stützen'!$A$8:$ES$8,0)+7,4),,))</f>
        <v>19671.200143582271</v>
      </c>
      <c r="J120" s="768">
        <f ca="1">INDIRECT("'kc-Wert für Stützen'!"&amp;SUBSTITUTE(ADDRESS(MATCH($A120,'kc-Wert für Stützen'!$C:$C,0),MATCH(J$7,'kc-Wert für Stützen'!$A$8:$ES$8,0)+7,4),,))</f>
        <v>18873.7803186077</v>
      </c>
      <c r="K120" s="768">
        <f ca="1">INDIRECT("'kc-Wert für Stützen'!"&amp;SUBSTITUTE(ADDRESS(MATCH($A120,'kc-Wert für Stützen'!$C:$C,0),MATCH(K$7,'kc-Wert für Stützen'!$A$8:$ES$8,0)+7,4),,))</f>
        <v>18096.740805248399</v>
      </c>
      <c r="L120" s="768">
        <f ca="1">INDIRECT("'kc-Wert für Stützen'!"&amp;SUBSTITUTE(ADDRESS(MATCH($A120,'kc-Wert für Stützen'!$C:$C,0),MATCH(L$7,'kc-Wert für Stützen'!$A$8:$ES$8,0)+7,4),,))</f>
        <v>17345.508987797373</v>
      </c>
      <c r="M120" s="768">
        <f ca="1">INDIRECT("'kc-Wert für Stützen'!"&amp;SUBSTITUTE(ADDRESS(MATCH($A120,'kc-Wert für Stützen'!$C:$C,0),MATCH(M$7,'kc-Wert für Stützen'!$A$8:$ES$8,0)+7,4),,))</f>
        <v>16623.57945480472</v>
      </c>
      <c r="N120" s="768">
        <f ca="1">INDIRECT("'kc-Wert für Stützen'!"&amp;SUBSTITUTE(ADDRESS(MATCH($A120,'kc-Wert für Stützen'!$C:$C,0),MATCH(N$7,'kc-Wert für Stützen'!$A$8:$ES$8,0)+7,4),,))</f>
        <v>15932.923301666588</v>
      </c>
      <c r="O120" s="768">
        <f ca="1">INDIRECT("'kc-Wert für Stützen'!"&amp;SUBSTITUTE(ADDRESS(MATCH($A120,'kc-Wert für Stützen'!$C:$C,0),MATCH(O$7,'kc-Wert für Stützen'!$A$8:$ES$8,0)+7,4),,))</f>
        <v>15274.367795685785</v>
      </c>
      <c r="P120" s="768">
        <f ca="1">INDIRECT("'kc-Wert für Stützen'!"&amp;SUBSTITUTE(ADDRESS(MATCH($A120,'kc-Wert für Stützen'!$C:$C,0),MATCH(P$7,'kc-Wert für Stützen'!$A$8:$ES$8,0)+7,4),,))</f>
        <v>14647.9145214856</v>
      </c>
      <c r="S120" s="772">
        <f t="shared" ca="1" si="31"/>
        <v>23616.228222082358</v>
      </c>
      <c r="T120" s="772">
        <f t="shared" ca="1" si="40"/>
        <v>23616.228222082358</v>
      </c>
      <c r="U120" s="772">
        <f t="shared" ca="1" si="40"/>
        <v>23616.228222082358</v>
      </c>
      <c r="V120" s="772">
        <f t="shared" ca="1" si="40"/>
        <v>22875.183692875529</v>
      </c>
      <c r="W120" s="772">
        <f t="shared" ca="1" si="40"/>
        <v>22096.423857739392</v>
      </c>
      <c r="X120" s="772">
        <f t="shared" ca="1" si="40"/>
        <v>21293.830882402694</v>
      </c>
      <c r="Y120" s="772">
        <f t="shared" ca="1" si="40"/>
        <v>20481.279035632735</v>
      </c>
      <c r="Z120" s="772">
        <f t="shared" ca="1" si="40"/>
        <v>23616.228222082358</v>
      </c>
      <c r="AA120" s="772">
        <f t="shared" ca="1" si="40"/>
        <v>23616.228222082358</v>
      </c>
      <c r="AB120" s="772">
        <f t="shared" ca="1" si="45"/>
        <v>22875.183692875529</v>
      </c>
      <c r="AC120" s="772">
        <f t="shared" ca="1" si="45"/>
        <v>22875.183692875529</v>
      </c>
      <c r="AD120" s="772">
        <f t="shared" ca="1" si="45"/>
        <v>22096.423857739392</v>
      </c>
      <c r="AE120" s="772">
        <f t="shared" ca="1" si="45"/>
        <v>22096.423857739392</v>
      </c>
      <c r="AF120" s="772">
        <f t="shared" ca="1" si="45"/>
        <v>21293.830882402694</v>
      </c>
      <c r="AG120" s="772">
        <f t="shared" ca="1" si="45"/>
        <v>21293.830882402694</v>
      </c>
      <c r="AH120" s="772">
        <f t="shared" ca="1" si="45"/>
        <v>21293.830882402694</v>
      </c>
      <c r="AI120" s="772">
        <f t="shared" ca="1" si="45"/>
        <v>23616.228222082358</v>
      </c>
      <c r="AJ120" s="772">
        <f t="shared" ca="1" si="45"/>
        <v>23616.228222082358</v>
      </c>
      <c r="AK120" s="772">
        <f t="shared" ca="1" si="45"/>
        <v>22875.183692875529</v>
      </c>
      <c r="AL120" s="772">
        <f t="shared" ca="1" si="45"/>
        <v>22875.183692875529</v>
      </c>
      <c r="AM120" s="772">
        <f t="shared" ca="1" si="45"/>
        <v>22096.423857739392</v>
      </c>
      <c r="AN120" s="772">
        <f t="shared" ca="1" si="45"/>
        <v>22096.423857739392</v>
      </c>
      <c r="AO120" s="772">
        <f t="shared" ca="1" si="45"/>
        <v>21293.830882402694</v>
      </c>
      <c r="AP120" s="772">
        <f t="shared" ca="1" si="45"/>
        <v>21293.830882402694</v>
      </c>
      <c r="AQ120" s="772">
        <f t="shared" ca="1" si="45"/>
        <v>21293.830882402694</v>
      </c>
      <c r="AR120" s="772">
        <f t="shared" ca="1" si="42"/>
        <v>23616.228222082358</v>
      </c>
      <c r="AS120" s="772">
        <f t="shared" ca="1" si="42"/>
        <v>23616.228222082358</v>
      </c>
      <c r="AT120" s="772">
        <f t="shared" ca="1" si="42"/>
        <v>22875.183692875529</v>
      </c>
      <c r="AU120" s="772">
        <f t="shared" ca="1" si="42"/>
        <v>22875.183692875529</v>
      </c>
      <c r="AV120" s="772">
        <f t="shared" ca="1" si="42"/>
        <v>22096.423857739392</v>
      </c>
      <c r="AW120" s="772">
        <f t="shared" ca="1" si="42"/>
        <v>22096.423857739392</v>
      </c>
      <c r="AX120" s="772">
        <f t="shared" ca="1" si="42"/>
        <v>21293.830882402694</v>
      </c>
      <c r="AY120" s="772">
        <f t="shared" ca="1" si="42"/>
        <v>21293.830882402694</v>
      </c>
      <c r="AZ120" s="772">
        <f t="shared" ca="1" si="42"/>
        <v>21293.830882402694</v>
      </c>
      <c r="BA120" s="772">
        <f t="shared" ca="1" si="42"/>
        <v>23616.228222082358</v>
      </c>
      <c r="BB120" s="772">
        <f t="shared" ca="1" si="42"/>
        <v>23616.228222082358</v>
      </c>
      <c r="BC120" s="772">
        <f t="shared" ca="1" si="42"/>
        <v>22875.183692875529</v>
      </c>
      <c r="BD120" s="772">
        <f t="shared" ca="1" si="42"/>
        <v>22096.423857739392</v>
      </c>
      <c r="BE120" s="772">
        <f t="shared" ca="1" si="42"/>
        <v>22096.423857739392</v>
      </c>
      <c r="BF120" s="772">
        <f t="shared" ca="1" si="42"/>
        <v>21293.830882402694</v>
      </c>
      <c r="BG120" s="772">
        <f t="shared" ca="1" si="42"/>
        <v>21293.830882402694</v>
      </c>
      <c r="BH120" s="772">
        <f t="shared" ref="BH120:BN130" ca="1" si="46">HLOOKUP(BH$7,$A$7:$P$348,ROW()-6)</f>
        <v>20481.279035632735</v>
      </c>
      <c r="BI120" s="772">
        <f t="shared" ca="1" si="46"/>
        <v>20481.279035632735</v>
      </c>
      <c r="BJ120" s="772">
        <f t="shared" ca="1" si="46"/>
        <v>22875.183692875529</v>
      </c>
      <c r="BK120" s="772">
        <f t="shared" ca="1" si="46"/>
        <v>22875.183692875529</v>
      </c>
      <c r="BL120" s="772">
        <f t="shared" ca="1" si="46"/>
        <v>22875.183692875529</v>
      </c>
      <c r="BM120" s="772">
        <f t="shared" ca="1" si="46"/>
        <v>22875.183692875529</v>
      </c>
      <c r="BN120" s="772">
        <f t="shared" ca="1" si="46"/>
        <v>21293.830882402694</v>
      </c>
      <c r="BO120" s="772">
        <f t="shared" ca="1" si="38"/>
        <v>21293.830882402694</v>
      </c>
      <c r="BP120" s="772">
        <f t="shared" ca="1" si="38"/>
        <v>20481.279035632735</v>
      </c>
      <c r="BQ120" s="772">
        <f t="shared" ca="1" si="38"/>
        <v>20481.279035632735</v>
      </c>
      <c r="BR120" s="772">
        <f t="shared" ca="1" si="38"/>
        <v>19671.200143582271</v>
      </c>
      <c r="BS120" s="772">
        <f t="shared" ca="1" si="38"/>
        <v>22875.183692875529</v>
      </c>
      <c r="BT120" s="772">
        <f t="shared" ca="1" si="38"/>
        <v>22875.183692875529</v>
      </c>
      <c r="BU120" s="772">
        <f t="shared" ca="1" si="38"/>
        <v>22875.183692875529</v>
      </c>
      <c r="BV120" s="772">
        <f t="shared" ca="1" si="38"/>
        <v>22096.423857739392</v>
      </c>
      <c r="BW120" s="772">
        <f t="shared" ca="1" si="38"/>
        <v>22096.423857739392</v>
      </c>
      <c r="BX120" s="772">
        <f t="shared" ca="1" si="38"/>
        <v>20481.279035632735</v>
      </c>
      <c r="BY120" s="772">
        <f t="shared" ca="1" si="38"/>
        <v>20481.279035632735</v>
      </c>
      <c r="BZ120" s="772">
        <f t="shared" ca="1" si="38"/>
        <v>19671.200143582271</v>
      </c>
      <c r="CA120" s="772">
        <f t="shared" ca="1" si="38"/>
        <v>19671.200143582271</v>
      </c>
      <c r="CB120" s="772">
        <f t="shared" ca="1" si="38"/>
        <v>22096.423857739392</v>
      </c>
      <c r="CC120" s="772">
        <f t="shared" ca="1" si="38"/>
        <v>22096.423857739392</v>
      </c>
      <c r="CD120" s="772">
        <f t="shared" ca="1" si="38"/>
        <v>22096.423857739392</v>
      </c>
      <c r="CE120" s="772">
        <f t="shared" ca="1" si="43"/>
        <v>22096.423857739392</v>
      </c>
      <c r="CF120" s="772">
        <f t="shared" ca="1" si="43"/>
        <v>21293.830882402694</v>
      </c>
      <c r="CG120" s="772">
        <f t="shared" ca="1" si="43"/>
        <v>20481.279035632735</v>
      </c>
      <c r="CH120" s="772">
        <f t="shared" ca="1" si="43"/>
        <v>19671.200143582271</v>
      </c>
      <c r="CI120" s="772">
        <f t="shared" ca="1" si="43"/>
        <v>19671.200143582271</v>
      </c>
      <c r="CJ120" s="772">
        <f t="shared" ca="1" si="43"/>
        <v>18873.7803186077</v>
      </c>
    </row>
    <row r="121" spans="1:88" ht="15" customHeight="1">
      <c r="A121" s="770">
        <f>'kc-Wert für Stützen'!C121</f>
        <v>173</v>
      </c>
      <c r="B121" s="768">
        <f ca="1">INDIRECT("'kc-Wert für Stützen'!"&amp;SUBSTITUTE(ADDRESS(MATCH($A121,'kc-Wert für Stützen'!$C:$C,0),MATCH(B$7,'kc-Wert für Stützen'!$A$8:$ES$8,0)+7,4),,))</f>
        <v>25328.872148070132</v>
      </c>
      <c r="C121" s="768">
        <f ca="1">INDIRECT("'kc-Wert für Stützen'!"&amp;SUBSTITUTE(ADDRESS(MATCH($A121,'kc-Wert für Stützen'!$C:$C,0),MATCH(C$7,'kc-Wert für Stützen'!$A$8:$ES$8,0)+7,4),,))</f>
        <v>24702.565386601906</v>
      </c>
      <c r="D121" s="768">
        <f ca="1">INDIRECT("'kc-Wert für Stützen'!"&amp;SUBSTITUTE(ADDRESS(MATCH($A121,'kc-Wert für Stützen'!$C:$C,0),MATCH(D$7,'kc-Wert für Stützen'!$A$8:$ES$8,0)+7,4),,))</f>
        <v>24016.809241271854</v>
      </c>
      <c r="E121" s="768">
        <f ca="1">INDIRECT("'kc-Wert für Stützen'!"&amp;SUBSTITUTE(ADDRESS(MATCH($A121,'kc-Wert für Stützen'!$C:$C,0),MATCH(E$7,'kc-Wert für Stützen'!$A$8:$ES$8,0)+7,4),,))</f>
        <v>23279.478245757658</v>
      </c>
      <c r="F121" s="768">
        <f ca="1">INDIRECT("'kc-Wert für Stützen'!"&amp;SUBSTITUTE(ADDRESS(MATCH($A121,'kc-Wert für Stützen'!$C:$C,0),MATCH(F$7,'kc-Wert für Stützen'!$A$8:$ES$8,0)+7,4),,))</f>
        <v>22502.079652024542</v>
      </c>
      <c r="G121" s="768">
        <f ca="1">INDIRECT("'kc-Wert für Stützen'!"&amp;SUBSTITUTE(ADDRESS(MATCH($A121,'kc-Wert für Stützen'!$C:$C,0),MATCH(G$7,'kc-Wert für Stützen'!$A$8:$ES$8,0)+7,4),,))</f>
        <v>21698.228967669813</v>
      </c>
      <c r="H121" s="768">
        <f ca="1">INDIRECT("'kc-Wert für Stützen'!"&amp;SUBSTITUTE(ADDRESS(MATCH($A121,'kc-Wert für Stützen'!$C:$C,0),MATCH(H$7,'kc-Wert für Stützen'!$A$8:$ES$8,0)+7,4),,))</f>
        <v>20881.849707837075</v>
      </c>
      <c r="I121" s="768">
        <f ca="1">INDIRECT("'kc-Wert für Stützen'!"&amp;SUBSTITUTE(ADDRESS(MATCH($A121,'kc-Wert für Stützen'!$C:$C,0),MATCH(I$7,'kc-Wert für Stützen'!$A$8:$ES$8,0)+7,4),,))</f>
        <v>20065.663529229976</v>
      </c>
      <c r="J121" s="768">
        <f ca="1">INDIRECT("'kc-Wert für Stützen'!"&amp;SUBSTITUTE(ADDRESS(MATCH($A121,'kc-Wert für Stützen'!$C:$C,0),MATCH(J$7,'kc-Wert für Stützen'!$A$8:$ES$8,0)+7,4),,))</f>
        <v>19260.276928929019</v>
      </c>
      <c r="K121" s="768">
        <f ca="1">INDIRECT("'kc-Wert für Stützen'!"&amp;SUBSTITUTE(ADDRESS(MATCH($A121,'kc-Wert für Stützen'!$C:$C,0),MATCH(K$7,'kc-Wert für Stützen'!$A$8:$ES$8,0)+7,4),,))</f>
        <v>18473.86486339628</v>
      </c>
      <c r="L121" s="768">
        <f ca="1">INDIRECT("'kc-Wert für Stützen'!"&amp;SUBSTITUTE(ADDRESS(MATCH($A121,'kc-Wert für Stützen'!$C:$C,0),MATCH(L$7,'kc-Wert für Stützen'!$A$8:$ES$8,0)+7,4),,))</f>
        <v>17712.277900349643</v>
      </c>
      <c r="M121" s="768">
        <f ca="1">INDIRECT("'kc-Wert für Stützen'!"&amp;SUBSTITUTE(ADDRESS(MATCH($A121,'kc-Wert für Stützen'!$C:$C,0),MATCH(M$7,'kc-Wert für Stützen'!$A$8:$ES$8,0)+7,4),,))</f>
        <v>16979.371897776789</v>
      </c>
      <c r="N121" s="768">
        <f ca="1">INDIRECT("'kc-Wert für Stützen'!"&amp;SUBSTITUTE(ADDRESS(MATCH($A121,'kc-Wert für Stützen'!$C:$C,0),MATCH(N$7,'kc-Wert für Stützen'!$A$8:$ES$8,0)+7,4),,))</f>
        <v>16277.408637525876</v>
      </c>
      <c r="O121" s="768">
        <f ca="1">INDIRECT("'kc-Wert für Stützen'!"&amp;SUBSTITUTE(ADDRESS(MATCH($A121,'kc-Wert für Stützen'!$C:$C,0),MATCH(O$7,'kc-Wert für Stützen'!$A$8:$ES$8,0)+7,4),,))</f>
        <v>15607.439489026012</v>
      </c>
      <c r="P121" s="768">
        <f ca="1">INDIRECT("'kc-Wert für Stützen'!"&amp;SUBSTITUTE(ADDRESS(MATCH($A121,'kc-Wert für Stützen'!$C:$C,0),MATCH(P$7,'kc-Wert für Stützen'!$A$8:$ES$8,0)+7,4),,))</f>
        <v>14969.633044581766</v>
      </c>
      <c r="S121" s="772">
        <f t="shared" ca="1" si="31"/>
        <v>24016.809241271854</v>
      </c>
      <c r="T121" s="772">
        <f t="shared" ca="1" si="40"/>
        <v>24016.809241271854</v>
      </c>
      <c r="U121" s="772">
        <f t="shared" ca="1" si="40"/>
        <v>24016.809241271854</v>
      </c>
      <c r="V121" s="772">
        <f t="shared" ca="1" si="40"/>
        <v>23279.478245757658</v>
      </c>
      <c r="W121" s="772">
        <f t="shared" ca="1" si="40"/>
        <v>22502.079652024542</v>
      </c>
      <c r="X121" s="772">
        <f t="shared" ca="1" si="40"/>
        <v>21698.228967669813</v>
      </c>
      <c r="Y121" s="772">
        <f t="shared" ca="1" si="40"/>
        <v>20881.849707837075</v>
      </c>
      <c r="Z121" s="772">
        <f t="shared" ca="1" si="40"/>
        <v>24016.809241271854</v>
      </c>
      <c r="AA121" s="772">
        <f t="shared" ca="1" si="40"/>
        <v>24016.809241271854</v>
      </c>
      <c r="AB121" s="772">
        <f t="shared" ca="1" si="45"/>
        <v>23279.478245757658</v>
      </c>
      <c r="AC121" s="772">
        <f t="shared" ca="1" si="45"/>
        <v>23279.478245757658</v>
      </c>
      <c r="AD121" s="772">
        <f t="shared" ca="1" si="45"/>
        <v>22502.079652024542</v>
      </c>
      <c r="AE121" s="772">
        <f t="shared" ca="1" si="45"/>
        <v>22502.079652024542</v>
      </c>
      <c r="AF121" s="772">
        <f t="shared" ca="1" si="45"/>
        <v>21698.228967669813</v>
      </c>
      <c r="AG121" s="772">
        <f t="shared" ca="1" si="45"/>
        <v>21698.228967669813</v>
      </c>
      <c r="AH121" s="772">
        <f t="shared" ca="1" si="45"/>
        <v>21698.228967669813</v>
      </c>
      <c r="AI121" s="772">
        <f t="shared" ca="1" si="45"/>
        <v>24016.809241271854</v>
      </c>
      <c r="AJ121" s="772">
        <f t="shared" ca="1" si="45"/>
        <v>24016.809241271854</v>
      </c>
      <c r="AK121" s="772">
        <f t="shared" ca="1" si="45"/>
        <v>23279.478245757658</v>
      </c>
      <c r="AL121" s="772">
        <f t="shared" ca="1" si="45"/>
        <v>23279.478245757658</v>
      </c>
      <c r="AM121" s="772">
        <f t="shared" ca="1" si="45"/>
        <v>22502.079652024542</v>
      </c>
      <c r="AN121" s="772">
        <f t="shared" ca="1" si="45"/>
        <v>22502.079652024542</v>
      </c>
      <c r="AO121" s="772">
        <f t="shared" ca="1" si="45"/>
        <v>21698.228967669813</v>
      </c>
      <c r="AP121" s="772">
        <f t="shared" ca="1" si="45"/>
        <v>21698.228967669813</v>
      </c>
      <c r="AQ121" s="772">
        <f t="shared" ca="1" si="45"/>
        <v>21698.228967669813</v>
      </c>
      <c r="AR121" s="772">
        <f t="shared" ca="1" si="42"/>
        <v>24016.809241271854</v>
      </c>
      <c r="AS121" s="772">
        <f t="shared" ca="1" si="42"/>
        <v>24016.809241271854</v>
      </c>
      <c r="AT121" s="772">
        <f t="shared" ca="1" si="42"/>
        <v>23279.478245757658</v>
      </c>
      <c r="AU121" s="772">
        <f t="shared" ca="1" si="42"/>
        <v>23279.478245757658</v>
      </c>
      <c r="AV121" s="772">
        <f t="shared" ca="1" si="42"/>
        <v>22502.079652024542</v>
      </c>
      <c r="AW121" s="772">
        <f t="shared" ca="1" si="42"/>
        <v>22502.079652024542</v>
      </c>
      <c r="AX121" s="772">
        <f t="shared" ca="1" si="42"/>
        <v>21698.228967669813</v>
      </c>
      <c r="AY121" s="772">
        <f t="shared" ca="1" si="42"/>
        <v>21698.228967669813</v>
      </c>
      <c r="AZ121" s="772">
        <f t="shared" ca="1" si="42"/>
        <v>21698.228967669813</v>
      </c>
      <c r="BA121" s="772">
        <f t="shared" ca="1" si="42"/>
        <v>24016.809241271854</v>
      </c>
      <c r="BB121" s="772">
        <f t="shared" ca="1" si="42"/>
        <v>24016.809241271854</v>
      </c>
      <c r="BC121" s="772">
        <f t="shared" ca="1" si="42"/>
        <v>23279.478245757658</v>
      </c>
      <c r="BD121" s="772">
        <f t="shared" ca="1" si="42"/>
        <v>22502.079652024542</v>
      </c>
      <c r="BE121" s="772">
        <f t="shared" ca="1" si="42"/>
        <v>22502.079652024542</v>
      </c>
      <c r="BF121" s="772">
        <f t="shared" ca="1" si="42"/>
        <v>21698.228967669813</v>
      </c>
      <c r="BG121" s="772">
        <f t="shared" ca="1" si="42"/>
        <v>21698.228967669813</v>
      </c>
      <c r="BH121" s="772">
        <f t="shared" ca="1" si="46"/>
        <v>20881.849707837075</v>
      </c>
      <c r="BI121" s="772">
        <f t="shared" ca="1" si="46"/>
        <v>20881.849707837075</v>
      </c>
      <c r="BJ121" s="772">
        <f t="shared" ca="1" si="46"/>
        <v>23279.478245757658</v>
      </c>
      <c r="BK121" s="772">
        <f t="shared" ca="1" si="46"/>
        <v>23279.478245757658</v>
      </c>
      <c r="BL121" s="772">
        <f t="shared" ca="1" si="46"/>
        <v>23279.478245757658</v>
      </c>
      <c r="BM121" s="772">
        <f t="shared" ca="1" si="46"/>
        <v>23279.478245757658</v>
      </c>
      <c r="BN121" s="772">
        <f t="shared" ca="1" si="46"/>
        <v>21698.228967669813</v>
      </c>
      <c r="BO121" s="772">
        <f t="shared" ref="BO121:CD130" ca="1" si="47">HLOOKUP(BO$7,$A$7:$P$348,ROW()-6)</f>
        <v>21698.228967669813</v>
      </c>
      <c r="BP121" s="772">
        <f t="shared" ca="1" si="47"/>
        <v>20881.849707837075</v>
      </c>
      <c r="BQ121" s="772">
        <f t="shared" ca="1" si="47"/>
        <v>20881.849707837075</v>
      </c>
      <c r="BR121" s="772">
        <f t="shared" ca="1" si="47"/>
        <v>20065.663529229976</v>
      </c>
      <c r="BS121" s="772">
        <f t="shared" ca="1" si="47"/>
        <v>23279.478245757658</v>
      </c>
      <c r="BT121" s="772">
        <f t="shared" ca="1" si="47"/>
        <v>23279.478245757658</v>
      </c>
      <c r="BU121" s="772">
        <f t="shared" ca="1" si="47"/>
        <v>23279.478245757658</v>
      </c>
      <c r="BV121" s="772">
        <f t="shared" ca="1" si="47"/>
        <v>22502.079652024542</v>
      </c>
      <c r="BW121" s="772">
        <f t="shared" ca="1" si="47"/>
        <v>22502.079652024542</v>
      </c>
      <c r="BX121" s="772">
        <f t="shared" ca="1" si="47"/>
        <v>20881.849707837075</v>
      </c>
      <c r="BY121" s="772">
        <f t="shared" ca="1" si="47"/>
        <v>20881.849707837075</v>
      </c>
      <c r="BZ121" s="772">
        <f t="shared" ca="1" si="47"/>
        <v>20065.663529229976</v>
      </c>
      <c r="CA121" s="772">
        <f t="shared" ca="1" si="47"/>
        <v>20065.663529229976</v>
      </c>
      <c r="CB121" s="772">
        <f t="shared" ca="1" si="47"/>
        <v>22502.079652024542</v>
      </c>
      <c r="CC121" s="772">
        <f t="shared" ca="1" si="47"/>
        <v>22502.079652024542</v>
      </c>
      <c r="CD121" s="772">
        <f t="shared" ca="1" si="47"/>
        <v>22502.079652024542</v>
      </c>
      <c r="CE121" s="772">
        <f t="shared" ca="1" si="43"/>
        <v>22502.079652024542</v>
      </c>
      <c r="CF121" s="772">
        <f t="shared" ca="1" si="43"/>
        <v>21698.228967669813</v>
      </c>
      <c r="CG121" s="772">
        <f t="shared" ca="1" si="43"/>
        <v>20881.849707837075</v>
      </c>
      <c r="CH121" s="772">
        <f t="shared" ca="1" si="43"/>
        <v>20065.663529229976</v>
      </c>
      <c r="CI121" s="772">
        <f t="shared" ca="1" si="43"/>
        <v>20065.663529229976</v>
      </c>
      <c r="CJ121" s="772">
        <f t="shared" ca="1" si="43"/>
        <v>19260.276928929019</v>
      </c>
    </row>
    <row r="122" spans="1:88" ht="15" customHeight="1">
      <c r="A122" s="770">
        <f>'kc-Wert für Stützen'!C122</f>
        <v>174</v>
      </c>
      <c r="B122" s="768">
        <f ca="1">INDIRECT("'kc-Wert für Stützen'!"&amp;SUBSTITUTE(ADDRESS(MATCH($A122,'kc-Wert für Stützen'!$C:$C,0),MATCH(B$7,'kc-Wert für Stützen'!$A$8:$ES$8,0)+7,4),,))</f>
        <v>25718.571658195753</v>
      </c>
      <c r="C122" s="768">
        <f ca="1">INDIRECT("'kc-Wert für Stützen'!"&amp;SUBSTITUTE(ADDRESS(MATCH($A122,'kc-Wert für Stützen'!$C:$C,0),MATCH(C$7,'kc-Wert für Stützen'!$A$8:$ES$8,0)+7,4),,))</f>
        <v>25098.892322042648</v>
      </c>
      <c r="D122" s="768">
        <f ca="1">INDIRECT("'kc-Wert für Stützen'!"&amp;SUBSTITUTE(ADDRESS(MATCH($A122,'kc-Wert für Stützen'!$C:$C,0),MATCH(D$7,'kc-Wert für Stützen'!$A$8:$ES$8,0)+7,4),,))</f>
        <v>24418.865033384169</v>
      </c>
      <c r="E122" s="768">
        <f ca="1">INDIRECT("'kc-Wert für Stützen'!"&amp;SUBSTITUTE(ADDRESS(MATCH($A122,'kc-Wert für Stützen'!$C:$C,0),MATCH(E$7,'kc-Wert für Stützen'!$A$8:$ES$8,0)+7,4),,))</f>
        <v>23685.609885551854</v>
      </c>
      <c r="F122" s="768">
        <f ca="1">INDIRECT("'kc-Wert für Stützen'!"&amp;SUBSTITUTE(ADDRESS(MATCH($A122,'kc-Wert für Stützen'!$C:$C,0),MATCH(F$7,'kc-Wert für Stützen'!$A$8:$ES$8,0)+7,4),,))</f>
        <v>22910.029252735687</v>
      </c>
      <c r="G122" s="768">
        <f ca="1">INDIRECT("'kc-Wert für Stützen'!"&amp;SUBSTITUTE(ADDRESS(MATCH($A122,'kc-Wert für Stützen'!$C:$C,0),MATCH(G$7,'kc-Wert für Stützen'!$A$8:$ES$8,0)+7,4),,))</f>
        <v>22105.416580818073</v>
      </c>
      <c r="H122" s="768">
        <f ca="1">INDIRECT("'kc-Wert für Stützen'!"&amp;SUBSTITUTE(ADDRESS(MATCH($A122,'kc-Wert für Stützen'!$C:$C,0),MATCH(H$7,'kc-Wert für Stützen'!$A$8:$ES$8,0)+7,4),,))</f>
        <v>21285.689328103384</v>
      </c>
      <c r="I122" s="768">
        <f ca="1">INDIRECT("'kc-Wert für Stützen'!"&amp;SUBSTITUTE(ADDRESS(MATCH($A122,'kc-Wert für Stützen'!$C:$C,0),MATCH(I$7,'kc-Wert für Stützen'!$A$8:$ES$8,0)+7,4),,))</f>
        <v>20463.818104047379</v>
      </c>
      <c r="J122" s="768">
        <f ca="1">INDIRECT("'kc-Wert für Stützen'!"&amp;SUBSTITUTE(ADDRESS(MATCH($A122,'kc-Wert für Stützen'!$C:$C,0),MATCH(J$7,'kc-Wert für Stützen'!$A$8:$ES$8,0)+7,4),,))</f>
        <v>19650.807971056493</v>
      </c>
      <c r="K122" s="768">
        <f ca="1">INDIRECT("'kc-Wert für Stützen'!"&amp;SUBSTITUTE(ADDRESS(MATCH($A122,'kc-Wert für Stützen'!$C:$C,0),MATCH(K$7,'kc-Wert für Stützen'!$A$8:$ES$8,0)+7,4),,))</f>
        <v>18855.28204363499</v>
      </c>
      <c r="L122" s="768">
        <f ca="1">INDIRECT("'kc-Wert für Stützen'!"&amp;SUBSTITUTE(ADDRESS(MATCH($A122,'kc-Wert für Stützen'!$C:$C,0),MATCH(L$7,'kc-Wert für Stützen'!$A$8:$ES$8,0)+7,4),,))</f>
        <v>18083.519141225283</v>
      </c>
      <c r="M122" s="768">
        <f ca="1">INDIRECT("'kc-Wert für Stützen'!"&amp;SUBSTITUTE(ADDRESS(MATCH($A122,'kc-Wert für Stützen'!$C:$C,0),MATCH(M$7,'kc-Wert für Stützen'!$A$8:$ES$8,0)+7,4),,))</f>
        <v>17339.74681446551</v>
      </c>
      <c r="N122" s="768">
        <f ca="1">INDIRECT("'kc-Wert für Stützen'!"&amp;SUBSTITUTE(ADDRESS(MATCH($A122,'kc-Wert für Stützen'!$C:$C,0),MATCH(N$7,'kc-Wert für Stützen'!$A$8:$ES$8,0)+7,4),,))</f>
        <v>16626.529634652434</v>
      </c>
      <c r="O122" s="768">
        <f ca="1">INDIRECT("'kc-Wert für Stützen'!"&amp;SUBSTITUTE(ADDRESS(MATCH($A122,'kc-Wert für Stützen'!$C:$C,0),MATCH(O$7,'kc-Wert für Stützen'!$A$8:$ES$8,0)+7,4),,))</f>
        <v>15945.154755159394</v>
      </c>
      <c r="P122" s="768">
        <f ca="1">INDIRECT("'kc-Wert für Stützen'!"&amp;SUBSTITUTE(ADDRESS(MATCH($A122,'kc-Wert für Stützen'!$C:$C,0),MATCH(P$7,'kc-Wert für Stützen'!$A$8:$ES$8,0)+7,4),,))</f>
        <v>15295.968062476299</v>
      </c>
      <c r="S122" s="772">
        <f t="shared" ca="1" si="31"/>
        <v>24418.865033384169</v>
      </c>
      <c r="T122" s="772">
        <f t="shared" ca="1" si="40"/>
        <v>24418.865033384169</v>
      </c>
      <c r="U122" s="772">
        <f t="shared" ca="1" si="40"/>
        <v>24418.865033384169</v>
      </c>
      <c r="V122" s="772">
        <f t="shared" ca="1" si="40"/>
        <v>23685.609885551854</v>
      </c>
      <c r="W122" s="772">
        <f t="shared" ca="1" si="40"/>
        <v>22910.029252735687</v>
      </c>
      <c r="X122" s="772">
        <f t="shared" ca="1" si="40"/>
        <v>22105.416580818073</v>
      </c>
      <c r="Y122" s="772">
        <f t="shared" ca="1" si="40"/>
        <v>21285.689328103384</v>
      </c>
      <c r="Z122" s="772">
        <f t="shared" ca="1" si="40"/>
        <v>24418.865033384169</v>
      </c>
      <c r="AA122" s="772">
        <f t="shared" ca="1" si="40"/>
        <v>24418.865033384169</v>
      </c>
      <c r="AB122" s="772">
        <f t="shared" ca="1" si="45"/>
        <v>23685.609885551854</v>
      </c>
      <c r="AC122" s="772">
        <f t="shared" ca="1" si="45"/>
        <v>23685.609885551854</v>
      </c>
      <c r="AD122" s="772">
        <f t="shared" ca="1" si="45"/>
        <v>22910.029252735687</v>
      </c>
      <c r="AE122" s="772">
        <f t="shared" ca="1" si="45"/>
        <v>22910.029252735687</v>
      </c>
      <c r="AF122" s="772">
        <f t="shared" ca="1" si="45"/>
        <v>22105.416580818073</v>
      </c>
      <c r="AG122" s="772">
        <f t="shared" ca="1" si="45"/>
        <v>22105.416580818073</v>
      </c>
      <c r="AH122" s="772">
        <f t="shared" ca="1" si="45"/>
        <v>22105.416580818073</v>
      </c>
      <c r="AI122" s="772">
        <f t="shared" ca="1" si="45"/>
        <v>24418.865033384169</v>
      </c>
      <c r="AJ122" s="772">
        <f t="shared" ca="1" si="45"/>
        <v>24418.865033384169</v>
      </c>
      <c r="AK122" s="772">
        <f t="shared" ca="1" si="45"/>
        <v>23685.609885551854</v>
      </c>
      <c r="AL122" s="772">
        <f t="shared" ca="1" si="45"/>
        <v>23685.609885551854</v>
      </c>
      <c r="AM122" s="772">
        <f t="shared" ca="1" si="45"/>
        <v>22910.029252735687</v>
      </c>
      <c r="AN122" s="772">
        <f t="shared" ca="1" si="45"/>
        <v>22910.029252735687</v>
      </c>
      <c r="AO122" s="772">
        <f t="shared" ca="1" si="45"/>
        <v>22105.416580818073</v>
      </c>
      <c r="AP122" s="772">
        <f t="shared" ca="1" si="45"/>
        <v>22105.416580818073</v>
      </c>
      <c r="AQ122" s="772">
        <f t="shared" ca="1" si="45"/>
        <v>22105.416580818073</v>
      </c>
      <c r="AR122" s="772">
        <f t="shared" ca="1" si="42"/>
        <v>24418.865033384169</v>
      </c>
      <c r="AS122" s="772">
        <f t="shared" ca="1" si="42"/>
        <v>24418.865033384169</v>
      </c>
      <c r="AT122" s="772">
        <f t="shared" ca="1" si="42"/>
        <v>23685.609885551854</v>
      </c>
      <c r="AU122" s="772">
        <f t="shared" ca="1" si="42"/>
        <v>23685.609885551854</v>
      </c>
      <c r="AV122" s="772">
        <f t="shared" ca="1" si="42"/>
        <v>22910.029252735687</v>
      </c>
      <c r="AW122" s="772">
        <f t="shared" ca="1" si="42"/>
        <v>22910.029252735687</v>
      </c>
      <c r="AX122" s="772">
        <f t="shared" ca="1" si="42"/>
        <v>22105.416580818073</v>
      </c>
      <c r="AY122" s="772">
        <f t="shared" ca="1" si="42"/>
        <v>22105.416580818073</v>
      </c>
      <c r="AZ122" s="772">
        <f t="shared" ca="1" si="42"/>
        <v>22105.416580818073</v>
      </c>
      <c r="BA122" s="772">
        <f t="shared" ca="1" si="42"/>
        <v>24418.865033384169</v>
      </c>
      <c r="BB122" s="772">
        <f t="shared" ca="1" si="42"/>
        <v>24418.865033384169</v>
      </c>
      <c r="BC122" s="772">
        <f t="shared" ca="1" si="42"/>
        <v>23685.609885551854</v>
      </c>
      <c r="BD122" s="772">
        <f t="shared" ca="1" si="42"/>
        <v>22910.029252735687</v>
      </c>
      <c r="BE122" s="772">
        <f t="shared" ca="1" si="42"/>
        <v>22910.029252735687</v>
      </c>
      <c r="BF122" s="772">
        <f t="shared" ca="1" si="42"/>
        <v>22105.416580818073</v>
      </c>
      <c r="BG122" s="772">
        <f t="shared" ca="1" si="42"/>
        <v>22105.416580818073</v>
      </c>
      <c r="BH122" s="772">
        <f t="shared" ca="1" si="46"/>
        <v>21285.689328103384</v>
      </c>
      <c r="BI122" s="772">
        <f t="shared" ca="1" si="46"/>
        <v>21285.689328103384</v>
      </c>
      <c r="BJ122" s="772">
        <f t="shared" ca="1" si="46"/>
        <v>23685.609885551854</v>
      </c>
      <c r="BK122" s="772">
        <f t="shared" ca="1" si="46"/>
        <v>23685.609885551854</v>
      </c>
      <c r="BL122" s="772">
        <f t="shared" ca="1" si="46"/>
        <v>23685.609885551854</v>
      </c>
      <c r="BM122" s="772">
        <f t="shared" ca="1" si="46"/>
        <v>23685.609885551854</v>
      </c>
      <c r="BN122" s="772">
        <f t="shared" ca="1" si="46"/>
        <v>22105.416580818073</v>
      </c>
      <c r="BO122" s="772">
        <f t="shared" ca="1" si="47"/>
        <v>22105.416580818073</v>
      </c>
      <c r="BP122" s="772">
        <f t="shared" ca="1" si="47"/>
        <v>21285.689328103384</v>
      </c>
      <c r="BQ122" s="772">
        <f t="shared" ca="1" si="47"/>
        <v>21285.689328103384</v>
      </c>
      <c r="BR122" s="772">
        <f t="shared" ca="1" si="47"/>
        <v>20463.818104047379</v>
      </c>
      <c r="BS122" s="772">
        <f t="shared" ca="1" si="47"/>
        <v>23685.609885551854</v>
      </c>
      <c r="BT122" s="772">
        <f t="shared" ca="1" si="47"/>
        <v>23685.609885551854</v>
      </c>
      <c r="BU122" s="772">
        <f t="shared" ca="1" si="47"/>
        <v>23685.609885551854</v>
      </c>
      <c r="BV122" s="772">
        <f t="shared" ca="1" si="47"/>
        <v>22910.029252735687</v>
      </c>
      <c r="BW122" s="772">
        <f t="shared" ca="1" si="47"/>
        <v>22910.029252735687</v>
      </c>
      <c r="BX122" s="772">
        <f t="shared" ca="1" si="47"/>
        <v>21285.689328103384</v>
      </c>
      <c r="BY122" s="772">
        <f t="shared" ca="1" si="47"/>
        <v>21285.689328103384</v>
      </c>
      <c r="BZ122" s="772">
        <f t="shared" ca="1" si="47"/>
        <v>20463.818104047379</v>
      </c>
      <c r="CA122" s="772">
        <f t="shared" ca="1" si="47"/>
        <v>20463.818104047379</v>
      </c>
      <c r="CB122" s="772">
        <f t="shared" ca="1" si="47"/>
        <v>22910.029252735687</v>
      </c>
      <c r="CC122" s="772">
        <f t="shared" ca="1" si="47"/>
        <v>22910.029252735687</v>
      </c>
      <c r="CD122" s="772">
        <f t="shared" ca="1" si="47"/>
        <v>22910.029252735687</v>
      </c>
      <c r="CE122" s="772">
        <f t="shared" ca="1" si="43"/>
        <v>22910.029252735687</v>
      </c>
      <c r="CF122" s="772">
        <f t="shared" ca="1" si="43"/>
        <v>22105.416580818073</v>
      </c>
      <c r="CG122" s="772">
        <f t="shared" ca="1" si="43"/>
        <v>21285.689328103384</v>
      </c>
      <c r="CH122" s="772">
        <f t="shared" ca="1" si="43"/>
        <v>20463.818104047379</v>
      </c>
      <c r="CI122" s="772">
        <f t="shared" ca="1" si="43"/>
        <v>20463.818104047379</v>
      </c>
      <c r="CJ122" s="772">
        <f t="shared" ca="1" si="43"/>
        <v>19650.807971056493</v>
      </c>
    </row>
    <row r="123" spans="1:88" ht="15" customHeight="1">
      <c r="A123" s="770">
        <f>'kc-Wert für Stützen'!C123</f>
        <v>175</v>
      </c>
      <c r="B123" s="768">
        <f ca="1">INDIRECT("'kc-Wert für Stützen'!"&amp;SUBSTITUTE(ADDRESS(MATCH($A123,'kc-Wert für Stützen'!$C:$C,0),MATCH(B$7,'kc-Wert für Stützen'!$A$8:$ES$8,0)+7,4),,))</f>
        <v>26109.414476646609</v>
      </c>
      <c r="C123" s="768">
        <f ca="1">INDIRECT("'kc-Wert für Stützen'!"&amp;SUBSTITUTE(ADDRESS(MATCH($A123,'kc-Wert für Stützen'!$C:$C,0),MATCH(C$7,'kc-Wert für Stützen'!$A$8:$ES$8,0)+7,4),,))</f>
        <v>25496.437466333533</v>
      </c>
      <c r="D123" s="768">
        <f ca="1">INDIRECT("'kc-Wert für Stützen'!"&amp;SUBSTITUTE(ADDRESS(MATCH($A123,'kc-Wert für Stützen'!$C:$C,0),MATCH(D$7,'kc-Wert für Stützen'!$A$8:$ES$8,0)+7,4),,))</f>
        <v>24822.345779514329</v>
      </c>
      <c r="E123" s="768">
        <f ca="1">INDIRECT("'kc-Wert für Stützen'!"&amp;SUBSTITUTE(ADDRESS(MATCH($A123,'kc-Wert für Stützen'!$C:$C,0),MATCH(E$7,'kc-Wert für Stützen'!$A$8:$ES$8,0)+7,4),,))</f>
        <v>24093.505746942021</v>
      </c>
      <c r="F123" s="768">
        <f ca="1">INDIRECT("'kc-Wert für Stützen'!"&amp;SUBSTITUTE(ADDRESS(MATCH($A123,'kc-Wert für Stützen'!$C:$C,0),MATCH(F$7,'kc-Wert für Stützen'!$A$8:$ES$8,0)+7,4),,))</f>
        <v>23320.183985580872</v>
      </c>
      <c r="G123" s="768">
        <f ca="1">INDIRECT("'kc-Wert für Stützen'!"&amp;SUBSTITUTE(ADDRESS(MATCH($A123,'kc-Wert für Stützen'!$C:$C,0),MATCH(G$7,'kc-Wert für Stützen'!$A$8:$ES$8,0)+7,4),,))</f>
        <v>22515.299411393094</v>
      </c>
      <c r="H123" s="768">
        <f ca="1">INDIRECT("'kc-Wert für Stützen'!"&amp;SUBSTITUTE(ADDRESS(MATCH($A123,'kc-Wert für Stützen'!$C:$C,0),MATCH(H$7,'kc-Wert für Stützen'!$A$8:$ES$8,0)+7,4),,))</f>
        <v>21692.707700096293</v>
      </c>
      <c r="I123" s="768">
        <f ca="1">INDIRECT("'kc-Wert für Stützen'!"&amp;SUBSTITUTE(ADDRESS(MATCH($A123,'kc-Wert für Stützen'!$C:$C,0),MATCH(I$7,'kc-Wert für Stützen'!$A$8:$ES$8,0)+7,4),,))</f>
        <v>20865.584849268034</v>
      </c>
      <c r="J123" s="768">
        <f ca="1">INDIRECT("'kc-Wert für Stützen'!"&amp;SUBSTITUTE(ADDRESS(MATCH($A123,'kc-Wert für Stützen'!$C:$C,0),MATCH(J$7,'kc-Wert für Stützen'!$A$8:$ES$8,0)+7,4),,))</f>
        <v>20045.309381733445</v>
      </c>
      <c r="K123" s="768">
        <f ca="1">INDIRECT("'kc-Wert für Stützen'!"&amp;SUBSTITUTE(ADDRESS(MATCH($A123,'kc-Wert für Stützen'!$C:$C,0),MATCH(K$7,'kc-Wert für Stützen'!$A$8:$ES$8,0)+7,4),,))</f>
        <v>19240.944277303846</v>
      </c>
      <c r="L123" s="768">
        <f ca="1">INDIRECT("'kc-Wert für Stützen'!"&amp;SUBSTITUTE(ADDRESS(MATCH($A123,'kc-Wert für Stützen'!$C:$C,0),MATCH(L$7,'kc-Wert für Stützen'!$A$8:$ES$8,0)+7,4),,))</f>
        <v>18459.199877409374</v>
      </c>
      <c r="M123" s="768">
        <f ca="1">INDIRECT("'kc-Wert für Stützen'!"&amp;SUBSTITUTE(ADDRESS(MATCH($A123,'kc-Wert für Stützen'!$C:$C,0),MATCH(M$7,'kc-Wert für Stützen'!$A$8:$ES$8,0)+7,4),,))</f>
        <v>17704.684905322851</v>
      </c>
      <c r="N123" s="768">
        <f ca="1">INDIRECT("'kc-Wert für Stützen'!"&amp;SUBSTITUTE(ADDRESS(MATCH($A123,'kc-Wert für Stützen'!$C:$C,0),MATCH(N$7,'kc-Wert für Stützen'!$A$8:$ES$8,0)+7,4),,))</f>
        <v>16980.278481773941</v>
      </c>
      <c r="O123" s="768">
        <f ca="1">INDIRECT("'kc-Wert für Stützen'!"&amp;SUBSTITUTE(ADDRESS(MATCH($A123,'kc-Wert für Stützen'!$C:$C,0),MATCH(O$7,'kc-Wert für Stützen'!$A$8:$ES$8,0)+7,4),,))</f>
        <v>16287.51523724757</v>
      </c>
      <c r="P123" s="768">
        <f ca="1">INDIRECT("'kc-Wert für Stützen'!"&amp;SUBSTITUTE(ADDRESS(MATCH($A123,'kc-Wert für Stützen'!$C:$C,0),MATCH(P$7,'kc-Wert für Stützen'!$A$8:$ES$8,0)+7,4),,))</f>
        <v>15626.92882681771</v>
      </c>
      <c r="S123" s="772">
        <f t="shared" ca="1" si="31"/>
        <v>24822.345779514329</v>
      </c>
      <c r="T123" s="772">
        <f t="shared" ca="1" si="40"/>
        <v>24822.345779514329</v>
      </c>
      <c r="U123" s="772">
        <f t="shared" ca="1" si="40"/>
        <v>24822.345779514329</v>
      </c>
      <c r="V123" s="772">
        <f t="shared" ca="1" si="40"/>
        <v>24093.505746942021</v>
      </c>
      <c r="W123" s="772">
        <f t="shared" ca="1" si="40"/>
        <v>23320.183985580872</v>
      </c>
      <c r="X123" s="772">
        <f t="shared" ca="1" si="40"/>
        <v>22515.299411393094</v>
      </c>
      <c r="Y123" s="772">
        <f t="shared" ca="1" si="40"/>
        <v>21692.707700096293</v>
      </c>
      <c r="Z123" s="772">
        <f t="shared" ca="1" si="40"/>
        <v>24822.345779514329</v>
      </c>
      <c r="AA123" s="772">
        <f t="shared" ca="1" si="40"/>
        <v>24822.345779514329</v>
      </c>
      <c r="AB123" s="772">
        <f t="shared" ca="1" si="45"/>
        <v>24093.505746942021</v>
      </c>
      <c r="AC123" s="772">
        <f t="shared" ca="1" si="45"/>
        <v>24093.505746942021</v>
      </c>
      <c r="AD123" s="772">
        <f t="shared" ca="1" si="45"/>
        <v>23320.183985580872</v>
      </c>
      <c r="AE123" s="772">
        <f t="shared" ca="1" si="45"/>
        <v>23320.183985580872</v>
      </c>
      <c r="AF123" s="772">
        <f t="shared" ca="1" si="45"/>
        <v>22515.299411393094</v>
      </c>
      <c r="AG123" s="772">
        <f t="shared" ca="1" si="45"/>
        <v>22515.299411393094</v>
      </c>
      <c r="AH123" s="772">
        <f t="shared" ca="1" si="45"/>
        <v>22515.299411393094</v>
      </c>
      <c r="AI123" s="772">
        <f t="shared" ca="1" si="45"/>
        <v>24822.345779514329</v>
      </c>
      <c r="AJ123" s="772">
        <f t="shared" ca="1" si="45"/>
        <v>24822.345779514329</v>
      </c>
      <c r="AK123" s="772">
        <f t="shared" ca="1" si="45"/>
        <v>24093.505746942021</v>
      </c>
      <c r="AL123" s="772">
        <f t="shared" ca="1" si="45"/>
        <v>24093.505746942021</v>
      </c>
      <c r="AM123" s="772">
        <f t="shared" ca="1" si="45"/>
        <v>23320.183985580872</v>
      </c>
      <c r="AN123" s="772">
        <f t="shared" ca="1" si="45"/>
        <v>23320.183985580872</v>
      </c>
      <c r="AO123" s="772">
        <f t="shared" ca="1" si="45"/>
        <v>22515.299411393094</v>
      </c>
      <c r="AP123" s="772">
        <f t="shared" ca="1" si="45"/>
        <v>22515.299411393094</v>
      </c>
      <c r="AQ123" s="772">
        <f t="shared" ca="1" si="45"/>
        <v>22515.299411393094</v>
      </c>
      <c r="AR123" s="772">
        <f t="shared" ca="1" si="42"/>
        <v>24822.345779514329</v>
      </c>
      <c r="AS123" s="772">
        <f t="shared" ca="1" si="42"/>
        <v>24822.345779514329</v>
      </c>
      <c r="AT123" s="772">
        <f t="shared" ca="1" si="42"/>
        <v>24093.505746942021</v>
      </c>
      <c r="AU123" s="772">
        <f t="shared" ca="1" si="42"/>
        <v>24093.505746942021</v>
      </c>
      <c r="AV123" s="772">
        <f t="shared" ca="1" si="42"/>
        <v>23320.183985580872</v>
      </c>
      <c r="AW123" s="772">
        <f t="shared" ca="1" si="42"/>
        <v>23320.183985580872</v>
      </c>
      <c r="AX123" s="772">
        <f t="shared" ca="1" si="42"/>
        <v>22515.299411393094</v>
      </c>
      <c r="AY123" s="772">
        <f t="shared" ca="1" si="42"/>
        <v>22515.299411393094</v>
      </c>
      <c r="AZ123" s="772">
        <f t="shared" ca="1" si="42"/>
        <v>22515.299411393094</v>
      </c>
      <c r="BA123" s="772">
        <f t="shared" ca="1" si="42"/>
        <v>24822.345779514329</v>
      </c>
      <c r="BB123" s="772">
        <f t="shared" ref="BB123:BG132" ca="1" si="48">HLOOKUP(BB$7,$A$7:$P$348,ROW()-6)</f>
        <v>24822.345779514329</v>
      </c>
      <c r="BC123" s="772">
        <f t="shared" ca="1" si="48"/>
        <v>24093.505746942021</v>
      </c>
      <c r="BD123" s="772">
        <f t="shared" ca="1" si="48"/>
        <v>23320.183985580872</v>
      </c>
      <c r="BE123" s="772">
        <f t="shared" ca="1" si="48"/>
        <v>23320.183985580872</v>
      </c>
      <c r="BF123" s="772">
        <f t="shared" ca="1" si="48"/>
        <v>22515.299411393094</v>
      </c>
      <c r="BG123" s="772">
        <f t="shared" ca="1" si="48"/>
        <v>22515.299411393094</v>
      </c>
      <c r="BH123" s="772">
        <f t="shared" ca="1" si="46"/>
        <v>21692.707700096293</v>
      </c>
      <c r="BI123" s="772">
        <f t="shared" ca="1" si="46"/>
        <v>21692.707700096293</v>
      </c>
      <c r="BJ123" s="772">
        <f t="shared" ca="1" si="46"/>
        <v>24093.505746942021</v>
      </c>
      <c r="BK123" s="772">
        <f t="shared" ca="1" si="46"/>
        <v>24093.505746942021</v>
      </c>
      <c r="BL123" s="772">
        <f t="shared" ca="1" si="46"/>
        <v>24093.505746942021</v>
      </c>
      <c r="BM123" s="772">
        <f t="shared" ca="1" si="46"/>
        <v>24093.505746942021</v>
      </c>
      <c r="BN123" s="772">
        <f t="shared" ca="1" si="46"/>
        <v>22515.299411393094</v>
      </c>
      <c r="BO123" s="772">
        <f t="shared" ca="1" si="47"/>
        <v>22515.299411393094</v>
      </c>
      <c r="BP123" s="772">
        <f t="shared" ca="1" si="47"/>
        <v>21692.707700096293</v>
      </c>
      <c r="BQ123" s="772">
        <f t="shared" ca="1" si="47"/>
        <v>21692.707700096293</v>
      </c>
      <c r="BR123" s="772">
        <f t="shared" ca="1" si="47"/>
        <v>20865.584849268034</v>
      </c>
      <c r="BS123" s="772">
        <f t="shared" ca="1" si="47"/>
        <v>24093.505746942021</v>
      </c>
      <c r="BT123" s="772">
        <f t="shared" ca="1" si="47"/>
        <v>24093.505746942021</v>
      </c>
      <c r="BU123" s="772">
        <f t="shared" ca="1" si="47"/>
        <v>24093.505746942021</v>
      </c>
      <c r="BV123" s="772">
        <f t="shared" ca="1" si="47"/>
        <v>23320.183985580872</v>
      </c>
      <c r="BW123" s="772">
        <f t="shared" ca="1" si="47"/>
        <v>23320.183985580872</v>
      </c>
      <c r="BX123" s="772">
        <f t="shared" ca="1" si="47"/>
        <v>21692.707700096293</v>
      </c>
      <c r="BY123" s="772">
        <f t="shared" ca="1" si="47"/>
        <v>21692.707700096293</v>
      </c>
      <c r="BZ123" s="772">
        <f t="shared" ca="1" si="47"/>
        <v>20865.584849268034</v>
      </c>
      <c r="CA123" s="772">
        <f t="shared" ca="1" si="47"/>
        <v>20865.584849268034</v>
      </c>
      <c r="CB123" s="772">
        <f t="shared" ca="1" si="47"/>
        <v>23320.183985580872</v>
      </c>
      <c r="CC123" s="772">
        <f t="shared" ca="1" si="47"/>
        <v>23320.183985580872</v>
      </c>
      <c r="CD123" s="772">
        <f t="shared" ca="1" si="47"/>
        <v>23320.183985580872</v>
      </c>
      <c r="CE123" s="772">
        <f t="shared" ca="1" si="43"/>
        <v>23320.183985580872</v>
      </c>
      <c r="CF123" s="772">
        <f t="shared" ca="1" si="43"/>
        <v>22515.299411393094</v>
      </c>
      <c r="CG123" s="772">
        <f t="shared" ca="1" si="43"/>
        <v>21692.707700096293</v>
      </c>
      <c r="CH123" s="772">
        <f t="shared" ca="1" si="43"/>
        <v>20865.584849268034</v>
      </c>
      <c r="CI123" s="772">
        <f t="shared" ca="1" si="43"/>
        <v>20865.584849268034</v>
      </c>
      <c r="CJ123" s="772">
        <f t="shared" ca="1" si="43"/>
        <v>20045.309381733445</v>
      </c>
    </row>
    <row r="124" spans="1:88" ht="15" customHeight="1">
      <c r="A124" s="770">
        <f>'kc-Wert für Stützen'!C124</f>
        <v>176</v>
      </c>
      <c r="B124" s="768">
        <f ca="1">INDIRECT("'kc-Wert für Stützen'!"&amp;SUBSTITUTE(ADDRESS(MATCH($A124,'kc-Wert für Stützen'!$C:$C,0),MATCH(B$7,'kc-Wert für Stützen'!$A$8:$ES$8,0)+7,4),,))</f>
        <v>26501.399275157903</v>
      </c>
      <c r="C124" s="768">
        <f ca="1">INDIRECT("'kc-Wert für Stützen'!"&amp;SUBSTITUTE(ADDRESS(MATCH($A124,'kc-Wert für Stützen'!$C:$C,0),MATCH(C$7,'kc-Wert für Stützen'!$A$8:$ES$8,0)+7,4),,))</f>
        <v>25895.179762172331</v>
      </c>
      <c r="D124" s="768">
        <f ca="1">INDIRECT("'kc-Wert für Stützen'!"&amp;SUBSTITUTE(ADDRESS(MATCH($A124,'kc-Wert für Stützen'!$C:$C,0),MATCH(D$7,'kc-Wert für Stützen'!$A$8:$ES$8,0)+7,4),,))</f>
        <v>25227.206227735074</v>
      </c>
      <c r="E124" s="768">
        <f ca="1">INDIRECT("'kc-Wert für Stützen'!"&amp;SUBSTITUTE(ADDRESS(MATCH($A124,'kc-Wert für Stützen'!$C:$C,0),MATCH(E$7,'kc-Wert für Stützen'!$A$8:$ES$8,0)+7,4),,))</f>
        <v>24503.097062094505</v>
      </c>
      <c r="F124" s="768">
        <f ca="1">INDIRECT("'kc-Wert für Stützen'!"&amp;SUBSTITUTE(ADDRESS(MATCH($A124,'kc-Wert für Stützen'!$C:$C,0),MATCH(F$7,'kc-Wert für Stützen'!$A$8:$ES$8,0)+7,4),,))</f>
        <v>23732.457848816604</v>
      </c>
      <c r="G124" s="768">
        <f ca="1">INDIRECT("'kc-Wert für Stützen'!"&amp;SUBSTITUTE(ADDRESS(MATCH($A124,'kc-Wert für Stützen'!$C:$C,0),MATCH(G$7,'kc-Wert für Stützen'!$A$8:$ES$8,0)+7,4),,))</f>
        <v>22927.783951507459</v>
      </c>
      <c r="H124" s="768">
        <f ca="1">INDIRECT("'kc-Wert für Stützen'!"&amp;SUBSTITUTE(ADDRESS(MATCH($A124,'kc-Wert für Stützen'!$C:$C,0),MATCH(H$7,'kc-Wert für Stützen'!$A$8:$ES$8,0)+7,4),,))</f>
        <v>22102.813694540113</v>
      </c>
      <c r="I124" s="768">
        <f ca="1">INDIRECT("'kc-Wert für Stützen'!"&amp;SUBSTITUTE(ADDRESS(MATCH($A124,'kc-Wert für Stützen'!$C:$C,0),MATCH(I$7,'kc-Wert für Stützen'!$A$8:$ES$8,0)+7,4),,))</f>
        <v>21270.882566610682</v>
      </c>
      <c r="J124" s="768">
        <f ca="1">INDIRECT("'kc-Wert für Stützen'!"&amp;SUBSTITUTE(ADDRESS(MATCH($A124,'kc-Wert für Stützen'!$C:$C,0),MATCH(J$7,'kc-Wert für Stützen'!$A$8:$ES$8,0)+7,4),,))</f>
        <v>20443.714235919859</v>
      </c>
      <c r="K124" s="768">
        <f ca="1">INDIRECT("'kc-Wert für Stützen'!"&amp;SUBSTITUTE(ADDRESS(MATCH($A124,'kc-Wert für Stützen'!$C:$C,0),MATCH(K$7,'kc-Wert für Stützen'!$A$8:$ES$8,0)+7,4),,))</f>
        <v>19630.80041614312</v>
      </c>
      <c r="L124" s="768">
        <f ca="1">INDIRECT("'kc-Wert für Stützen'!"&amp;SUBSTITUTE(ADDRESS(MATCH($A124,'kc-Wert für Stützen'!$C:$C,0),MATCH(L$7,'kc-Wert für Stützen'!$A$8:$ES$8,0)+7,4),,))</f>
        <v>18839.284288044815</v>
      </c>
      <c r="M124" s="768">
        <f ca="1">INDIRECT("'kc-Wert für Stützen'!"&amp;SUBSTITUTE(ADDRESS(MATCH($A124,'kc-Wert für Stützen'!$C:$C,0),MATCH(M$7,'kc-Wert für Stützen'!$A$8:$ES$8,0)+7,4),,))</f>
        <v>18074.164145549668</v>
      </c>
      <c r="N124" s="768">
        <f ca="1">INDIRECT("'kc-Wert für Stützen'!"&amp;SUBSTITUTE(ADDRESS(MATCH($A124,'kc-Wert für Stützen'!$C:$C,0),MATCH(N$7,'kc-Wert für Stützen'!$A$8:$ES$8,0)+7,4),,))</f>
        <v>17338.644977011256</v>
      </c>
      <c r="O124" s="768">
        <f ca="1">INDIRECT("'kc-Wert für Stützen'!"&amp;SUBSTITUTE(ADDRESS(MATCH($A124,'kc-Wert für Stützen'!$C:$C,0),MATCH(O$7,'kc-Wert für Stützen'!$A$8:$ES$8,0)+7,4),,))</f>
        <v>16634.520534011303</v>
      </c>
      <c r="P124" s="768">
        <f ca="1">INDIRECT("'kc-Wert für Stützen'!"&amp;SUBSTITUTE(ADDRESS(MATCH($A124,'kc-Wert für Stützen'!$C:$C,0),MATCH(P$7,'kc-Wert für Stützen'!$A$8:$ES$8,0)+7,4),,))</f>
        <v>15962.52287010701</v>
      </c>
      <c r="S124" s="772">
        <f t="shared" ca="1" si="31"/>
        <v>25227.206227735074</v>
      </c>
      <c r="T124" s="772">
        <f t="shared" ca="1" si="40"/>
        <v>25227.206227735074</v>
      </c>
      <c r="U124" s="772">
        <f t="shared" ca="1" si="40"/>
        <v>25227.206227735074</v>
      </c>
      <c r="V124" s="772">
        <f t="shared" ca="1" si="40"/>
        <v>24503.097062094505</v>
      </c>
      <c r="W124" s="772">
        <f t="shared" ca="1" si="40"/>
        <v>23732.457848816604</v>
      </c>
      <c r="X124" s="772">
        <f t="shared" ca="1" si="40"/>
        <v>22927.783951507459</v>
      </c>
      <c r="Y124" s="772">
        <f t="shared" ca="1" si="40"/>
        <v>22102.813694540113</v>
      </c>
      <c r="Z124" s="772">
        <f t="shared" ca="1" si="40"/>
        <v>25227.206227735074</v>
      </c>
      <c r="AA124" s="772">
        <f t="shared" ca="1" si="40"/>
        <v>25227.206227735074</v>
      </c>
      <c r="AB124" s="772">
        <f t="shared" ca="1" si="45"/>
        <v>24503.097062094505</v>
      </c>
      <c r="AC124" s="772">
        <f t="shared" ca="1" si="45"/>
        <v>24503.097062094505</v>
      </c>
      <c r="AD124" s="772">
        <f t="shared" ca="1" si="45"/>
        <v>23732.457848816604</v>
      </c>
      <c r="AE124" s="772">
        <f t="shared" ca="1" si="45"/>
        <v>23732.457848816604</v>
      </c>
      <c r="AF124" s="772">
        <f t="shared" ca="1" si="45"/>
        <v>22927.783951507459</v>
      </c>
      <c r="AG124" s="772">
        <f t="shared" ca="1" si="45"/>
        <v>22927.783951507459</v>
      </c>
      <c r="AH124" s="772">
        <f t="shared" ca="1" si="45"/>
        <v>22927.783951507459</v>
      </c>
      <c r="AI124" s="772">
        <f t="shared" ca="1" si="45"/>
        <v>25227.206227735074</v>
      </c>
      <c r="AJ124" s="772">
        <f t="shared" ca="1" si="45"/>
        <v>25227.206227735074</v>
      </c>
      <c r="AK124" s="772">
        <f t="shared" ca="1" si="45"/>
        <v>24503.097062094505</v>
      </c>
      <c r="AL124" s="772">
        <f t="shared" ca="1" si="45"/>
        <v>24503.097062094505</v>
      </c>
      <c r="AM124" s="772">
        <f t="shared" ca="1" si="45"/>
        <v>23732.457848816604</v>
      </c>
      <c r="AN124" s="772">
        <f t="shared" ca="1" si="45"/>
        <v>23732.457848816604</v>
      </c>
      <c r="AO124" s="772">
        <f t="shared" ca="1" si="45"/>
        <v>22927.783951507459</v>
      </c>
      <c r="AP124" s="772">
        <f t="shared" ca="1" si="45"/>
        <v>22927.783951507459</v>
      </c>
      <c r="AQ124" s="772">
        <f t="shared" ca="1" si="45"/>
        <v>22927.783951507459</v>
      </c>
      <c r="AR124" s="772">
        <f t="shared" ref="AR124:BA133" ca="1" si="49">HLOOKUP(AR$7,$A$7:$P$348,ROW()-6)</f>
        <v>25227.206227735074</v>
      </c>
      <c r="AS124" s="772">
        <f t="shared" ca="1" si="49"/>
        <v>25227.206227735074</v>
      </c>
      <c r="AT124" s="772">
        <f t="shared" ca="1" si="49"/>
        <v>24503.097062094505</v>
      </c>
      <c r="AU124" s="772">
        <f t="shared" ca="1" si="49"/>
        <v>24503.097062094505</v>
      </c>
      <c r="AV124" s="772">
        <f t="shared" ca="1" si="49"/>
        <v>23732.457848816604</v>
      </c>
      <c r="AW124" s="772">
        <f t="shared" ca="1" si="49"/>
        <v>23732.457848816604</v>
      </c>
      <c r="AX124" s="772">
        <f t="shared" ca="1" si="49"/>
        <v>22927.783951507459</v>
      </c>
      <c r="AY124" s="772">
        <f t="shared" ca="1" si="49"/>
        <v>22927.783951507459</v>
      </c>
      <c r="AZ124" s="772">
        <f t="shared" ca="1" si="49"/>
        <v>22927.783951507459</v>
      </c>
      <c r="BA124" s="772">
        <f t="shared" ca="1" si="49"/>
        <v>25227.206227735074</v>
      </c>
      <c r="BB124" s="772">
        <f t="shared" ca="1" si="48"/>
        <v>25227.206227735074</v>
      </c>
      <c r="BC124" s="772">
        <f t="shared" ca="1" si="48"/>
        <v>24503.097062094505</v>
      </c>
      <c r="BD124" s="772">
        <f t="shared" ca="1" si="48"/>
        <v>23732.457848816604</v>
      </c>
      <c r="BE124" s="772">
        <f t="shared" ca="1" si="48"/>
        <v>23732.457848816604</v>
      </c>
      <c r="BF124" s="772">
        <f t="shared" ca="1" si="48"/>
        <v>22927.783951507459</v>
      </c>
      <c r="BG124" s="772">
        <f t="shared" ca="1" si="48"/>
        <v>22927.783951507459</v>
      </c>
      <c r="BH124" s="772">
        <f t="shared" ca="1" si="46"/>
        <v>22102.813694540113</v>
      </c>
      <c r="BI124" s="772">
        <f t="shared" ca="1" si="46"/>
        <v>22102.813694540113</v>
      </c>
      <c r="BJ124" s="772">
        <f t="shared" ca="1" si="46"/>
        <v>24503.097062094505</v>
      </c>
      <c r="BK124" s="772">
        <f t="shared" ca="1" si="46"/>
        <v>24503.097062094505</v>
      </c>
      <c r="BL124" s="772">
        <f t="shared" ca="1" si="46"/>
        <v>24503.097062094505</v>
      </c>
      <c r="BM124" s="772">
        <f t="shared" ca="1" si="46"/>
        <v>24503.097062094505</v>
      </c>
      <c r="BN124" s="772">
        <f t="shared" ca="1" si="46"/>
        <v>22927.783951507459</v>
      </c>
      <c r="BO124" s="772">
        <f t="shared" ca="1" si="47"/>
        <v>22927.783951507459</v>
      </c>
      <c r="BP124" s="772">
        <f t="shared" ca="1" si="47"/>
        <v>22102.813694540113</v>
      </c>
      <c r="BQ124" s="772">
        <f t="shared" ca="1" si="47"/>
        <v>22102.813694540113</v>
      </c>
      <c r="BR124" s="772">
        <f t="shared" ca="1" si="47"/>
        <v>21270.882566610682</v>
      </c>
      <c r="BS124" s="772">
        <f t="shared" ca="1" si="47"/>
        <v>24503.097062094505</v>
      </c>
      <c r="BT124" s="772">
        <f t="shared" ca="1" si="47"/>
        <v>24503.097062094505</v>
      </c>
      <c r="BU124" s="772">
        <f t="shared" ca="1" si="47"/>
        <v>24503.097062094505</v>
      </c>
      <c r="BV124" s="772">
        <f t="shared" ca="1" si="47"/>
        <v>23732.457848816604</v>
      </c>
      <c r="BW124" s="772">
        <f t="shared" ca="1" si="47"/>
        <v>23732.457848816604</v>
      </c>
      <c r="BX124" s="772">
        <f t="shared" ca="1" si="47"/>
        <v>22102.813694540113</v>
      </c>
      <c r="BY124" s="772">
        <f t="shared" ca="1" si="47"/>
        <v>22102.813694540113</v>
      </c>
      <c r="BZ124" s="772">
        <f t="shared" ca="1" si="47"/>
        <v>21270.882566610682</v>
      </c>
      <c r="CA124" s="772">
        <f t="shared" ca="1" si="47"/>
        <v>21270.882566610682</v>
      </c>
      <c r="CB124" s="772">
        <f t="shared" ca="1" si="47"/>
        <v>23732.457848816604</v>
      </c>
      <c r="CC124" s="772">
        <f t="shared" ca="1" si="47"/>
        <v>23732.457848816604</v>
      </c>
      <c r="CD124" s="772">
        <f t="shared" ca="1" si="47"/>
        <v>23732.457848816604</v>
      </c>
      <c r="CE124" s="772">
        <f t="shared" ca="1" si="43"/>
        <v>23732.457848816604</v>
      </c>
      <c r="CF124" s="772">
        <f t="shared" ca="1" si="43"/>
        <v>22927.783951507459</v>
      </c>
      <c r="CG124" s="772">
        <f t="shared" ca="1" si="43"/>
        <v>22102.813694540113</v>
      </c>
      <c r="CH124" s="772">
        <f t="shared" ca="1" si="43"/>
        <v>21270.882566610682</v>
      </c>
      <c r="CI124" s="772">
        <f t="shared" ca="1" si="43"/>
        <v>21270.882566610682</v>
      </c>
      <c r="CJ124" s="772">
        <f t="shared" ca="1" si="43"/>
        <v>20443.714235919859</v>
      </c>
    </row>
    <row r="125" spans="1:88" ht="15" customHeight="1">
      <c r="A125" s="770">
        <f>'kc-Wert für Stützen'!C125</f>
        <v>177</v>
      </c>
      <c r="B125" s="768">
        <f ca="1">INDIRECT("'kc-Wert für Stützen'!"&amp;SUBSTITUTE(ADDRESS(MATCH($A125,'kc-Wert für Stützen'!$C:$C,0),MATCH(B$7,'kc-Wert für Stützen'!$A$8:$ES$8,0)+7,4),,))</f>
        <v>26894.527239818042</v>
      </c>
      <c r="C125" s="768">
        <f ca="1">INDIRECT("'kc-Wert für Stützen'!"&amp;SUBSTITUTE(ADDRESS(MATCH($A125,'kc-Wert für Stützen'!$C:$C,0),MATCH(C$7,'kc-Wert für Stützen'!$A$8:$ES$8,0)+7,4),,))</f>
        <v>26295.101926436342</v>
      </c>
      <c r="D125" s="768">
        <f ca="1">INDIRECT("'kc-Wert für Stützen'!"&amp;SUBSTITUTE(ADDRESS(MATCH($A125,'kc-Wert für Stützen'!$C:$C,0),MATCH(D$7,'kc-Wert für Stützen'!$A$8:$ES$8,0)+7,4),,))</f>
        <v>25633.405611298633</v>
      </c>
      <c r="E125" s="768">
        <f ca="1">INDIRECT("'kc-Wert für Stützen'!"&amp;SUBSTITUTE(ADDRESS(MATCH($A125,'kc-Wert für Stützen'!$C:$C,0),MATCH(E$7,'kc-Wert für Stützen'!$A$8:$ES$8,0)+7,4),,))</f>
        <v>24914.319274522219</v>
      </c>
      <c r="F125" s="768">
        <f ca="1">INDIRECT("'kc-Wert für Stützen'!"&amp;SUBSTITUTE(ADDRESS(MATCH($A125,'kc-Wert für Stützen'!$C:$C,0),MATCH(F$7,'kc-Wert für Stützen'!$A$8:$ES$8,0)+7,4),,))</f>
        <v>24146.767791395021</v>
      </c>
      <c r="G125" s="768">
        <f ca="1">INDIRECT("'kc-Wert für Stützen'!"&amp;SUBSTITUTE(ADDRESS(MATCH($A125,'kc-Wert für Stützen'!$C:$C,0),MATCH(G$7,'kc-Wert für Stützen'!$A$8:$ES$8,0)+7,4),,))</f>
        <v>23342.777840569393</v>
      </c>
      <c r="H125" s="768">
        <f ca="1">INDIRECT("'kc-Wert für Stützen'!"&amp;SUBSTITUTE(ADDRESS(MATCH($A125,'kc-Wert für Stützen'!$C:$C,0),MATCH(H$7,'kc-Wert für Stützen'!$A$8:$ES$8,0)+7,4),,))</f>
        <v>22515.915562052742</v>
      </c>
      <c r="I125" s="768">
        <f ca="1">INDIRECT("'kc-Wert für Stützen'!"&amp;SUBSTITUTE(ADDRESS(MATCH($A125,'kc-Wert für Stützen'!$C:$C,0),MATCH(I$7,'kc-Wert für Stützen'!$A$8:$ES$8,0)+7,4),,))</f>
        <v>21679.628103968997</v>
      </c>
      <c r="J125" s="768">
        <f ca="1">INDIRECT("'kc-Wert für Stützen'!"&amp;SUBSTITUTE(ADDRESS(MATCH($A125,'kc-Wert für Stützen'!$C:$C,0),MATCH(J$7,'kc-Wert für Stützen'!$A$8:$ES$8,0)+7,4),,))</f>
        <v>20845.952875915718</v>
      </c>
      <c r="K125" s="768">
        <f ca="1">INDIRECT("'kc-Wert für Stützen'!"&amp;SUBSTITUTE(ADDRESS(MATCH($A125,'kc-Wert für Stützen'!$C:$C,0),MATCH(K$7,'kc-Wert für Stützen'!$A$8:$ES$8,0)+7,4),,))</f>
        <v>20024.796282168209</v>
      </c>
      <c r="L125" s="768">
        <f ca="1">INDIRECT("'kc-Wert für Stützen'!"&amp;SUBSTITUTE(ADDRESS(MATCH($A125,'kc-Wert für Stützen'!$C:$C,0),MATCH(L$7,'kc-Wert für Stützen'!$A$8:$ES$8,0)+7,4),,))</f>
        <v>19223.733560239656</v>
      </c>
      <c r="M125" s="768">
        <f ca="1">INDIRECT("'kc-Wert für Stützen'!"&amp;SUBSTITUTE(ADDRESS(MATCH($A125,'kc-Wert für Stützen'!$C:$C,0),MATCH(M$7,'kc-Wert für Stützen'!$A$8:$ES$8,0)+7,4),,))</f>
        <v>18448.159749322276</v>
      </c>
      <c r="N125" s="768">
        <f ca="1">INDIRECT("'kc-Wert für Stützen'!"&amp;SUBSTITUTE(ADDRESS(MATCH($A125,'kc-Wert für Stützen'!$C:$C,0),MATCH(N$7,'kc-Wert für Stützen'!$A$8:$ES$8,0)+7,4),,))</f>
        <v>17701.616476855554</v>
      </c>
      <c r="O125" s="768">
        <f ca="1">INDIRECT("'kc-Wert für Stützen'!"&amp;SUBSTITUTE(ADDRESS(MATCH($A125,'kc-Wert für Stützen'!$C:$C,0),MATCH(O$7,'kc-Wert für Stützen'!$A$8:$ES$8,0)+7,4),,))</f>
        <v>16986.168143872928</v>
      </c>
      <c r="P125" s="768">
        <f ca="1">INDIRECT("'kc-Wert für Stützen'!"&amp;SUBSTITUTE(ADDRESS(MATCH($A125,'kc-Wert für Stützen'!$C:$C,0),MATCH(P$7,'kc-Wert für Stützen'!$A$8:$ES$8,0)+7,4),,))</f>
        <v>16302.755950968824</v>
      </c>
      <c r="S125" s="772">
        <f t="shared" ca="1" si="31"/>
        <v>25633.405611298633</v>
      </c>
      <c r="T125" s="772">
        <f t="shared" ca="1" si="40"/>
        <v>25633.405611298633</v>
      </c>
      <c r="U125" s="772">
        <f t="shared" ca="1" si="40"/>
        <v>25633.405611298633</v>
      </c>
      <c r="V125" s="772">
        <f t="shared" ca="1" si="40"/>
        <v>24914.319274522219</v>
      </c>
      <c r="W125" s="772">
        <f t="shared" ca="1" si="40"/>
        <v>24146.767791395021</v>
      </c>
      <c r="X125" s="772">
        <f t="shared" ca="1" si="40"/>
        <v>23342.777840569393</v>
      </c>
      <c r="Y125" s="772">
        <f t="shared" ca="1" si="40"/>
        <v>22515.915562052742</v>
      </c>
      <c r="Z125" s="772">
        <f t="shared" ca="1" si="40"/>
        <v>25633.405611298633</v>
      </c>
      <c r="AA125" s="772">
        <f t="shared" ca="1" si="40"/>
        <v>25633.405611298633</v>
      </c>
      <c r="AB125" s="772">
        <f t="shared" ca="1" si="45"/>
        <v>24914.319274522219</v>
      </c>
      <c r="AC125" s="772">
        <f t="shared" ca="1" si="45"/>
        <v>24914.319274522219</v>
      </c>
      <c r="AD125" s="772">
        <f t="shared" ca="1" si="45"/>
        <v>24146.767791395021</v>
      </c>
      <c r="AE125" s="772">
        <f t="shared" ca="1" si="45"/>
        <v>24146.767791395021</v>
      </c>
      <c r="AF125" s="772">
        <f t="shared" ca="1" si="45"/>
        <v>23342.777840569393</v>
      </c>
      <c r="AG125" s="772">
        <f t="shared" ca="1" si="45"/>
        <v>23342.777840569393</v>
      </c>
      <c r="AH125" s="772">
        <f t="shared" ca="1" si="45"/>
        <v>23342.777840569393</v>
      </c>
      <c r="AI125" s="772">
        <f t="shared" ca="1" si="45"/>
        <v>25633.405611298633</v>
      </c>
      <c r="AJ125" s="772">
        <f t="shared" ca="1" si="45"/>
        <v>25633.405611298633</v>
      </c>
      <c r="AK125" s="772">
        <f t="shared" ca="1" si="45"/>
        <v>24914.319274522219</v>
      </c>
      <c r="AL125" s="772">
        <f t="shared" ca="1" si="45"/>
        <v>24914.319274522219</v>
      </c>
      <c r="AM125" s="772">
        <f t="shared" ca="1" si="45"/>
        <v>24146.767791395021</v>
      </c>
      <c r="AN125" s="772">
        <f t="shared" ca="1" si="45"/>
        <v>24146.767791395021</v>
      </c>
      <c r="AO125" s="772">
        <f t="shared" ca="1" si="45"/>
        <v>23342.777840569393</v>
      </c>
      <c r="AP125" s="772">
        <f t="shared" ca="1" si="45"/>
        <v>23342.777840569393</v>
      </c>
      <c r="AQ125" s="772">
        <f t="shared" ca="1" si="45"/>
        <v>23342.777840569393</v>
      </c>
      <c r="AR125" s="772">
        <f t="shared" ca="1" si="49"/>
        <v>25633.405611298633</v>
      </c>
      <c r="AS125" s="772">
        <f t="shared" ca="1" si="49"/>
        <v>25633.405611298633</v>
      </c>
      <c r="AT125" s="772">
        <f t="shared" ca="1" si="49"/>
        <v>24914.319274522219</v>
      </c>
      <c r="AU125" s="772">
        <f t="shared" ca="1" si="49"/>
        <v>24914.319274522219</v>
      </c>
      <c r="AV125" s="772">
        <f t="shared" ca="1" si="49"/>
        <v>24146.767791395021</v>
      </c>
      <c r="AW125" s="772">
        <f t="shared" ca="1" si="49"/>
        <v>24146.767791395021</v>
      </c>
      <c r="AX125" s="772">
        <f t="shared" ca="1" si="49"/>
        <v>23342.777840569393</v>
      </c>
      <c r="AY125" s="772">
        <f t="shared" ca="1" si="49"/>
        <v>23342.777840569393</v>
      </c>
      <c r="AZ125" s="772">
        <f t="shared" ca="1" si="49"/>
        <v>23342.777840569393</v>
      </c>
      <c r="BA125" s="772">
        <f t="shared" ca="1" si="49"/>
        <v>25633.405611298633</v>
      </c>
      <c r="BB125" s="772">
        <f t="shared" ca="1" si="48"/>
        <v>25633.405611298633</v>
      </c>
      <c r="BC125" s="772">
        <f t="shared" ca="1" si="48"/>
        <v>24914.319274522219</v>
      </c>
      <c r="BD125" s="772">
        <f t="shared" ca="1" si="48"/>
        <v>24146.767791395021</v>
      </c>
      <c r="BE125" s="772">
        <f t="shared" ca="1" si="48"/>
        <v>24146.767791395021</v>
      </c>
      <c r="BF125" s="772">
        <f t="shared" ca="1" si="48"/>
        <v>23342.777840569393</v>
      </c>
      <c r="BG125" s="772">
        <f t="shared" ca="1" si="48"/>
        <v>23342.777840569393</v>
      </c>
      <c r="BH125" s="772">
        <f t="shared" ca="1" si="46"/>
        <v>22515.915562052742</v>
      </c>
      <c r="BI125" s="772">
        <f t="shared" ca="1" si="46"/>
        <v>22515.915562052742</v>
      </c>
      <c r="BJ125" s="772">
        <f t="shared" ca="1" si="46"/>
        <v>24914.319274522219</v>
      </c>
      <c r="BK125" s="772">
        <f t="shared" ca="1" si="46"/>
        <v>24914.319274522219</v>
      </c>
      <c r="BL125" s="772">
        <f t="shared" ca="1" si="46"/>
        <v>24914.319274522219</v>
      </c>
      <c r="BM125" s="772">
        <f t="shared" ca="1" si="46"/>
        <v>24914.319274522219</v>
      </c>
      <c r="BN125" s="772">
        <f t="shared" ca="1" si="46"/>
        <v>23342.777840569393</v>
      </c>
      <c r="BO125" s="772">
        <f t="shared" ca="1" si="47"/>
        <v>23342.777840569393</v>
      </c>
      <c r="BP125" s="772">
        <f t="shared" ca="1" si="47"/>
        <v>22515.915562052742</v>
      </c>
      <c r="BQ125" s="772">
        <f t="shared" ca="1" si="47"/>
        <v>22515.915562052742</v>
      </c>
      <c r="BR125" s="772">
        <f t="shared" ca="1" si="47"/>
        <v>21679.628103968997</v>
      </c>
      <c r="BS125" s="772">
        <f t="shared" ca="1" si="47"/>
        <v>24914.319274522219</v>
      </c>
      <c r="BT125" s="772">
        <f t="shared" ca="1" si="47"/>
        <v>24914.319274522219</v>
      </c>
      <c r="BU125" s="772">
        <f t="shared" ca="1" si="47"/>
        <v>24914.319274522219</v>
      </c>
      <c r="BV125" s="772">
        <f t="shared" ca="1" si="47"/>
        <v>24146.767791395021</v>
      </c>
      <c r="BW125" s="772">
        <f t="shared" ca="1" si="47"/>
        <v>24146.767791395021</v>
      </c>
      <c r="BX125" s="772">
        <f t="shared" ca="1" si="47"/>
        <v>22515.915562052742</v>
      </c>
      <c r="BY125" s="772">
        <f t="shared" ca="1" si="47"/>
        <v>22515.915562052742</v>
      </c>
      <c r="BZ125" s="772">
        <f t="shared" ca="1" si="47"/>
        <v>21679.628103968997</v>
      </c>
      <c r="CA125" s="772">
        <f t="shared" ca="1" si="47"/>
        <v>21679.628103968997</v>
      </c>
      <c r="CB125" s="772">
        <f t="shared" ca="1" si="47"/>
        <v>24146.767791395021</v>
      </c>
      <c r="CC125" s="772">
        <f t="shared" ca="1" si="47"/>
        <v>24146.767791395021</v>
      </c>
      <c r="CD125" s="772">
        <f t="shared" ca="1" si="47"/>
        <v>24146.767791395021</v>
      </c>
      <c r="CE125" s="772">
        <f t="shared" ca="1" si="43"/>
        <v>24146.767791395021</v>
      </c>
      <c r="CF125" s="772">
        <f t="shared" ca="1" si="43"/>
        <v>23342.777840569393</v>
      </c>
      <c r="CG125" s="772">
        <f t="shared" ca="1" si="43"/>
        <v>22515.915562052742</v>
      </c>
      <c r="CH125" s="772">
        <f t="shared" ca="1" si="43"/>
        <v>21679.628103968997</v>
      </c>
      <c r="CI125" s="772">
        <f t="shared" ca="1" si="43"/>
        <v>21679.628103968997</v>
      </c>
      <c r="CJ125" s="772">
        <f t="shared" ca="1" si="43"/>
        <v>20845.952875915718</v>
      </c>
    </row>
    <row r="126" spans="1:88" ht="15" customHeight="1">
      <c r="A126" s="770">
        <f>'kc-Wert für Stützen'!C126</f>
        <v>178</v>
      </c>
      <c r="B126" s="768">
        <f ca="1">INDIRECT("'kc-Wert für Stützen'!"&amp;SUBSTITUTE(ADDRESS(MATCH($A126,'kc-Wert für Stützen'!$C:$C,0),MATCH(B$7,'kc-Wert für Stützen'!$A$8:$ES$8,0)+7,4),,))</f>
        <v>27288.801831744415</v>
      </c>
      <c r="C126" s="768">
        <f ca="1">INDIRECT("'kc-Wert für Stützen'!"&amp;SUBSTITUTE(ADDRESS(MATCH($A126,'kc-Wert für Stützen'!$C:$C,0),MATCH(C$7,'kc-Wert für Stützen'!$A$8:$ES$8,0)+7,4),,))</f>
        <v>26696.190224409831</v>
      </c>
      <c r="D126" s="768">
        <f ca="1">INDIRECT("'kc-Wert für Stützen'!"&amp;SUBSTITUTE(ADDRESS(MATCH($A126,'kc-Wert für Stützen'!$C:$C,0),MATCH(D$7,'kc-Wert für Stützen'!$A$8:$ES$8,0)+7,4),,))</f>
        <v>26040.907539129035</v>
      </c>
      <c r="E126" s="768">
        <f ca="1">INDIRECT("'kc-Wert für Stützen'!"&amp;SUBSTITUTE(ADDRESS(MATCH($A126,'kc-Wert für Stützen'!$C:$C,0),MATCH(E$7,'kc-Wert für Stützen'!$A$8:$ES$8,0)+7,4),,))</f>
        <v>25327.112116623179</v>
      </c>
      <c r="F126" s="768">
        <f ca="1">INDIRECT("'kc-Wert für Stützen'!"&amp;SUBSTITUTE(ADDRESS(MATCH($A126,'kc-Wert für Stützen'!$C:$C,0),MATCH(F$7,'kc-Wert für Stützen'!$A$8:$ES$8,0)+7,4),,))</f>
        <v>24563.033963003403</v>
      </c>
      <c r="G126" s="768">
        <f ca="1">INDIRECT("'kc-Wert für Stützen'!"&amp;SUBSTITUTE(ADDRESS(MATCH($A126,'kc-Wert für Stützen'!$C:$C,0),MATCH(G$7,'kc-Wert für Stützen'!$A$8:$ES$8,0)+7,4),,))</f>
        <v>23760.190200067838</v>
      </c>
      <c r="H126" s="768">
        <f ca="1">INDIRECT("'kc-Wert für Stützen'!"&amp;SUBSTITUTE(ADDRESS(MATCH($A126,'kc-Wert für Stützen'!$C:$C,0),MATCH(H$7,'kc-Wert für Stützen'!$A$8:$ES$8,0)+7,4),,))</f>
        <v>22931.921252562319</v>
      </c>
      <c r="I126" s="768">
        <f ca="1">INDIRECT("'kc-Wert für Stützen'!"&amp;SUBSTITUTE(ADDRESS(MATCH($A126,'kc-Wert für Stützen'!$C:$C,0),MATCH(I$7,'kc-Wert für Stützen'!$A$8:$ES$8,0)+7,4),,))</f>
        <v>22091.736596314684</v>
      </c>
      <c r="J126" s="768">
        <f ca="1">INDIRECT("'kc-Wert für Stützen'!"&amp;SUBSTITUTE(ADDRESS(MATCH($A126,'kc-Wert für Stützen'!$C:$C,0),MATCH(J$7,'kc-Wert für Stützen'!$A$8:$ES$8,0)+7,4),,))</f>
        <v>21251.95305691785</v>
      </c>
      <c r="K126" s="768">
        <f ca="1">INDIRECT("'kc-Wert für Stützen'!"&amp;SUBSTITUTE(ADDRESS(MATCH($A126,'kc-Wert für Stützen'!$C:$C,0),MATCH(K$7,'kc-Wert für Stützen'!$A$8:$ES$8,0)+7,4),,))</f>
        <v>20422.87473110533</v>
      </c>
      <c r="L126" s="768">
        <f ca="1">INDIRECT("'kc-Wert für Stützen'!"&amp;SUBSTITUTE(ADDRESS(MATCH($A126,'kc-Wert für Stützen'!$C:$C,0),MATCH(L$7,'kc-Wert für Stützen'!$A$8:$ES$8,0)+7,4),,))</f>
        <v>19612.505894397131</v>
      </c>
      <c r="M126" s="768">
        <f ca="1">INDIRECT("'kc-Wert für Stützen'!"&amp;SUBSTITUTE(ADDRESS(MATCH($A126,'kc-Wert für Stützen'!$C:$C,0),MATCH(M$7,'kc-Wert für Stützen'!$A$8:$ES$8,0)+7,4),,))</f>
        <v>18826.64413991231</v>
      </c>
      <c r="N126" s="768">
        <f ca="1">INDIRECT("'kc-Wert für Stützen'!"&amp;SUBSTITUTE(ADDRESS(MATCH($A126,'kc-Wert für Stützen'!$C:$C,0),MATCH(N$7,'kc-Wert für Stützen'!$A$8:$ES$8,0)+7,4),,))</f>
        <v>18069.177848337979</v>
      </c>
      <c r="O126" s="768">
        <f ca="1">INDIRECT("'kc-Wert für Stützen'!"&amp;SUBSTITUTE(ADDRESS(MATCH($A126,'kc-Wert für Stützen'!$C:$C,0),MATCH(O$7,'kc-Wert für Stützen'!$A$8:$ES$8,0)+7,4),,))</f>
        <v>17342.453410497808</v>
      </c>
      <c r="P126" s="768">
        <f ca="1">INDIRECT("'kc-Wert für Stützen'!"&amp;SUBSTITUTE(ADDRESS(MATCH($A126,'kc-Wert für Stützen'!$C:$C,0),MATCH(P$7,'kc-Wert für Stützen'!$A$8:$ES$8,0)+7,4),,))</f>
        <v>16647.631999729692</v>
      </c>
      <c r="S126" s="772">
        <f t="shared" ca="1" si="31"/>
        <v>26040.907539129035</v>
      </c>
      <c r="T126" s="772">
        <f t="shared" ca="1" si="40"/>
        <v>26040.907539129035</v>
      </c>
      <c r="U126" s="772">
        <f t="shared" ca="1" si="40"/>
        <v>26040.907539129035</v>
      </c>
      <c r="V126" s="772">
        <f t="shared" ca="1" si="40"/>
        <v>25327.112116623179</v>
      </c>
      <c r="W126" s="772">
        <f t="shared" ca="1" si="40"/>
        <v>24563.033963003403</v>
      </c>
      <c r="X126" s="772">
        <f t="shared" ca="1" si="40"/>
        <v>23760.190200067838</v>
      </c>
      <c r="Y126" s="772">
        <f t="shared" ca="1" si="40"/>
        <v>22931.921252562319</v>
      </c>
      <c r="Z126" s="772">
        <f t="shared" ca="1" si="40"/>
        <v>26040.907539129035</v>
      </c>
      <c r="AA126" s="772">
        <f t="shared" ca="1" si="40"/>
        <v>26040.907539129035</v>
      </c>
      <c r="AB126" s="772">
        <f t="shared" ca="1" si="45"/>
        <v>25327.112116623179</v>
      </c>
      <c r="AC126" s="772">
        <f t="shared" ca="1" si="45"/>
        <v>25327.112116623179</v>
      </c>
      <c r="AD126" s="772">
        <f t="shared" ca="1" si="45"/>
        <v>24563.033963003403</v>
      </c>
      <c r="AE126" s="772">
        <f t="shared" ca="1" si="45"/>
        <v>24563.033963003403</v>
      </c>
      <c r="AF126" s="772">
        <f t="shared" ca="1" si="45"/>
        <v>23760.190200067838</v>
      </c>
      <c r="AG126" s="772">
        <f t="shared" ca="1" si="45"/>
        <v>23760.190200067838</v>
      </c>
      <c r="AH126" s="772">
        <f t="shared" ca="1" si="45"/>
        <v>23760.190200067838</v>
      </c>
      <c r="AI126" s="772">
        <f t="shared" ca="1" si="45"/>
        <v>26040.907539129035</v>
      </c>
      <c r="AJ126" s="772">
        <f t="shared" ca="1" si="45"/>
        <v>26040.907539129035</v>
      </c>
      <c r="AK126" s="772">
        <f t="shared" ca="1" si="45"/>
        <v>25327.112116623179</v>
      </c>
      <c r="AL126" s="772">
        <f t="shared" ca="1" si="45"/>
        <v>25327.112116623179</v>
      </c>
      <c r="AM126" s="772">
        <f t="shared" ca="1" si="45"/>
        <v>24563.033963003403</v>
      </c>
      <c r="AN126" s="772">
        <f t="shared" ca="1" si="45"/>
        <v>24563.033963003403</v>
      </c>
      <c r="AO126" s="772">
        <f t="shared" ca="1" si="45"/>
        <v>23760.190200067838</v>
      </c>
      <c r="AP126" s="772">
        <f t="shared" ca="1" si="45"/>
        <v>23760.190200067838</v>
      </c>
      <c r="AQ126" s="772">
        <f t="shared" ca="1" si="45"/>
        <v>23760.190200067838</v>
      </c>
      <c r="AR126" s="772">
        <f t="shared" ca="1" si="49"/>
        <v>26040.907539129035</v>
      </c>
      <c r="AS126" s="772">
        <f t="shared" ca="1" si="49"/>
        <v>26040.907539129035</v>
      </c>
      <c r="AT126" s="772">
        <f t="shared" ca="1" si="49"/>
        <v>25327.112116623179</v>
      </c>
      <c r="AU126" s="772">
        <f t="shared" ca="1" si="49"/>
        <v>25327.112116623179</v>
      </c>
      <c r="AV126" s="772">
        <f t="shared" ca="1" si="49"/>
        <v>24563.033963003403</v>
      </c>
      <c r="AW126" s="772">
        <f t="shared" ca="1" si="49"/>
        <v>24563.033963003403</v>
      </c>
      <c r="AX126" s="772">
        <f t="shared" ca="1" si="49"/>
        <v>23760.190200067838</v>
      </c>
      <c r="AY126" s="772">
        <f t="shared" ca="1" si="49"/>
        <v>23760.190200067838</v>
      </c>
      <c r="AZ126" s="772">
        <f t="shared" ca="1" si="49"/>
        <v>23760.190200067838</v>
      </c>
      <c r="BA126" s="772">
        <f t="shared" ca="1" si="49"/>
        <v>26040.907539129035</v>
      </c>
      <c r="BB126" s="772">
        <f t="shared" ca="1" si="48"/>
        <v>26040.907539129035</v>
      </c>
      <c r="BC126" s="772">
        <f t="shared" ca="1" si="48"/>
        <v>25327.112116623179</v>
      </c>
      <c r="BD126" s="772">
        <f t="shared" ca="1" si="48"/>
        <v>24563.033963003403</v>
      </c>
      <c r="BE126" s="772">
        <f t="shared" ca="1" si="48"/>
        <v>24563.033963003403</v>
      </c>
      <c r="BF126" s="772">
        <f t="shared" ca="1" si="48"/>
        <v>23760.190200067838</v>
      </c>
      <c r="BG126" s="772">
        <f t="shared" ca="1" si="48"/>
        <v>23760.190200067838</v>
      </c>
      <c r="BH126" s="772">
        <f t="shared" ca="1" si="46"/>
        <v>22931.921252562319</v>
      </c>
      <c r="BI126" s="772">
        <f t="shared" ca="1" si="46"/>
        <v>22931.921252562319</v>
      </c>
      <c r="BJ126" s="772">
        <f t="shared" ca="1" si="46"/>
        <v>25327.112116623179</v>
      </c>
      <c r="BK126" s="772">
        <f t="shared" ca="1" si="46"/>
        <v>25327.112116623179</v>
      </c>
      <c r="BL126" s="772">
        <f t="shared" ca="1" si="46"/>
        <v>25327.112116623179</v>
      </c>
      <c r="BM126" s="772">
        <f t="shared" ca="1" si="46"/>
        <v>25327.112116623179</v>
      </c>
      <c r="BN126" s="772">
        <f t="shared" ca="1" si="46"/>
        <v>23760.190200067838</v>
      </c>
      <c r="BO126" s="772">
        <f t="shared" ca="1" si="47"/>
        <v>23760.190200067838</v>
      </c>
      <c r="BP126" s="772">
        <f t="shared" ca="1" si="47"/>
        <v>22931.921252562319</v>
      </c>
      <c r="BQ126" s="772">
        <f t="shared" ca="1" si="47"/>
        <v>22931.921252562319</v>
      </c>
      <c r="BR126" s="772">
        <f t="shared" ca="1" si="47"/>
        <v>22091.736596314684</v>
      </c>
      <c r="BS126" s="772">
        <f t="shared" ca="1" si="47"/>
        <v>25327.112116623179</v>
      </c>
      <c r="BT126" s="772">
        <f t="shared" ca="1" si="47"/>
        <v>25327.112116623179</v>
      </c>
      <c r="BU126" s="772">
        <f t="shared" ca="1" si="47"/>
        <v>25327.112116623179</v>
      </c>
      <c r="BV126" s="772">
        <f t="shared" ca="1" si="47"/>
        <v>24563.033963003403</v>
      </c>
      <c r="BW126" s="772">
        <f t="shared" ca="1" si="47"/>
        <v>24563.033963003403</v>
      </c>
      <c r="BX126" s="772">
        <f t="shared" ca="1" si="47"/>
        <v>22931.921252562319</v>
      </c>
      <c r="BY126" s="772">
        <f t="shared" ca="1" si="47"/>
        <v>22931.921252562319</v>
      </c>
      <c r="BZ126" s="772">
        <f t="shared" ca="1" si="47"/>
        <v>22091.736596314684</v>
      </c>
      <c r="CA126" s="772">
        <f t="shared" ca="1" si="47"/>
        <v>22091.736596314684</v>
      </c>
      <c r="CB126" s="772">
        <f t="shared" ca="1" si="47"/>
        <v>24563.033963003403</v>
      </c>
      <c r="CC126" s="772">
        <f t="shared" ca="1" si="47"/>
        <v>24563.033963003403</v>
      </c>
      <c r="CD126" s="772">
        <f t="shared" ca="1" si="47"/>
        <v>24563.033963003403</v>
      </c>
      <c r="CE126" s="772">
        <f t="shared" ca="1" si="43"/>
        <v>24563.033963003403</v>
      </c>
      <c r="CF126" s="772">
        <f t="shared" ca="1" si="43"/>
        <v>23760.190200067838</v>
      </c>
      <c r="CG126" s="772">
        <f t="shared" ca="1" si="43"/>
        <v>22931.921252562319</v>
      </c>
      <c r="CH126" s="772">
        <f t="shared" ca="1" si="43"/>
        <v>22091.736596314684</v>
      </c>
      <c r="CI126" s="772">
        <f t="shared" ca="1" si="43"/>
        <v>22091.736596314684</v>
      </c>
      <c r="CJ126" s="772">
        <f t="shared" ca="1" si="43"/>
        <v>21251.95305691785</v>
      </c>
    </row>
    <row r="127" spans="1:88" ht="15" customHeight="1">
      <c r="A127" s="770">
        <f>'kc-Wert für Stützen'!C127</f>
        <v>179</v>
      </c>
      <c r="B127" s="768">
        <f ca="1">INDIRECT("'kc-Wert für Stützen'!"&amp;SUBSTITUTE(ADDRESS(MATCH($A127,'kc-Wert für Stützen'!$C:$C,0),MATCH(B$7,'kc-Wert für Stützen'!$A$8:$ES$8,0)+7,4),,))</f>
        <v>27684.228557455492</v>
      </c>
      <c r="C127" s="768">
        <f ca="1">INDIRECT("'kc-Wert für Stützen'!"&amp;SUBSTITUTE(ADDRESS(MATCH($A127,'kc-Wert für Stützen'!$C:$C,0),MATCH(C$7,'kc-Wert für Stützen'!$A$8:$ES$8,0)+7,4),,))</f>
        <v>27098.434238915524</v>
      </c>
      <c r="D127" s="768">
        <f ca="1">INDIRECT("'kc-Wert für Stützen'!"&amp;SUBSTITUTE(ADDRESS(MATCH($A127,'kc-Wert für Stützen'!$C:$C,0),MATCH(D$7,'kc-Wert für Stützen'!$A$8:$ES$8,0)+7,4),,))</f>
        <v>26449.679862046891</v>
      </c>
      <c r="E127" s="768">
        <f ca="1">INDIRECT("'kc-Wert für Stützen'!"&amp;SUBSTITUTE(ADDRESS(MATCH($A127,'kc-Wert für Stützen'!$C:$C,0),MATCH(E$7,'kc-Wert für Stützen'!$A$8:$ES$8,0)+7,4),,))</f>
        <v>25741.419651996108</v>
      </c>
      <c r="F127" s="768">
        <f ca="1">INDIRECT("'kc-Wert für Stützen'!"&amp;SUBSTITUTE(ADDRESS(MATCH($A127,'kc-Wert für Stützen'!$C:$C,0),MATCH(F$7,'kc-Wert für Stützen'!$A$8:$ES$8,0)+7,4),,))</f>
        <v>24981.179934111089</v>
      </c>
      <c r="G127" s="768">
        <f ca="1">INDIRECT("'kc-Wert für Stützen'!"&amp;SUBSTITUTE(ADDRESS(MATCH($A127,'kc-Wert für Stützen'!$C:$C,0),MATCH(G$7,'kc-Wert für Stützen'!$A$8:$ES$8,0)+7,4),,))</f>
        <v>24179.931955122058</v>
      </c>
      <c r="H127" s="768">
        <f ca="1">INDIRECT("'kc-Wert für Stützen'!"&amp;SUBSTITUTE(ADDRESS(MATCH($A127,'kc-Wert für Stützen'!$C:$C,0),MATCH(H$7,'kc-Wert für Stützen'!$A$8:$ES$8,0)+7,4),,))</f>
        <v>23350.738738558197</v>
      </c>
      <c r="I127" s="768">
        <f ca="1">INDIRECT("'kc-Wert für Stützen'!"&amp;SUBSTITUTE(ADDRESS(MATCH($A127,'kc-Wert für Stützen'!$C:$C,0),MATCH(I$7,'kc-Wert für Stützen'!$A$8:$ES$8,0)+7,4),,))</f>
        <v>22507.121720453742</v>
      </c>
      <c r="J127" s="768">
        <f ca="1">INDIRECT("'kc-Wert für Stützen'!"&amp;SUBSTITUTE(ADDRESS(MATCH($A127,'kc-Wert für Stützen'!$C:$C,0),MATCH(J$7,'kc-Wert für Stützen'!$A$8:$ES$8,0)+7,4),,))</f>
        <v>21661.64010883544</v>
      </c>
      <c r="K127" s="768">
        <f ca="1">INDIRECT("'kc-Wert für Stützen'!"&amp;SUBSTITUTE(ADDRESS(MATCH($A127,'kc-Wert für Stützen'!$C:$C,0),MATCH(K$7,'kc-Wert für Stützen'!$A$8:$ES$8,0)+7,4),,))</f>
        <v>20824.975729845122</v>
      </c>
      <c r="L127" s="768">
        <f ca="1">INDIRECT("'kc-Wert für Stützen'!"&amp;SUBSTITUTE(ADDRESS(MATCH($A127,'kc-Wert für Stützen'!$C:$C,0),MATCH(L$7,'kc-Wert für Stützen'!$A$8:$ES$8,0)+7,4),,))</f>
        <v>20005.556519705995</v>
      </c>
      <c r="M127" s="768">
        <f ca="1">INDIRECT("'kc-Wert für Stützen'!"&amp;SUBSTITUTE(ADDRESS(MATCH($A127,'kc-Wert für Stützen'!$C:$C,0),MATCH(M$7,'kc-Wert für Stützen'!$A$8:$ES$8,0)+7,4),,))</f>
        <v>19209.58692628119</v>
      </c>
      <c r="N127" s="768">
        <f ca="1">INDIRECT("'kc-Wert für Stützen'!"&amp;SUBSTITUTE(ADDRESS(MATCH($A127,'kc-Wert für Stützen'!$C:$C,0),MATCH(N$7,'kc-Wert für Stützen'!$A$8:$ES$8,0)+7,4),,))</f>
        <v>18441.311424836244</v>
      </c>
      <c r="O127" s="768">
        <f ca="1">INDIRECT("'kc-Wert für Stützen'!"&amp;SUBSTITUTE(ADDRESS(MATCH($A127,'kc-Wert für Stützen'!$C:$C,0),MATCH(O$7,'kc-Wert für Stützen'!$A$8:$ES$8,0)+7,4),,))</f>
        <v>17703.369470041849</v>
      </c>
      <c r="P127" s="768">
        <f ca="1">INDIRECT("'kc-Wert für Stützen'!"&amp;SUBSTITUTE(ADDRESS(MATCH($A127,'kc-Wert für Stützen'!$C:$C,0),MATCH(P$7,'kc-Wert für Stützen'!$A$8:$ES$8,0)+7,4),,))</f>
        <v>16997.153064500835</v>
      </c>
      <c r="S127" s="772">
        <f t="shared" ca="1" si="31"/>
        <v>26449.679862046891</v>
      </c>
      <c r="T127" s="772">
        <f t="shared" ca="1" si="40"/>
        <v>26449.679862046891</v>
      </c>
      <c r="U127" s="772">
        <f t="shared" ca="1" si="40"/>
        <v>26449.679862046891</v>
      </c>
      <c r="V127" s="772">
        <f t="shared" ca="1" si="40"/>
        <v>25741.419651996108</v>
      </c>
      <c r="W127" s="772">
        <f t="shared" ca="1" si="40"/>
        <v>24981.179934111089</v>
      </c>
      <c r="X127" s="772">
        <f t="shared" ca="1" si="40"/>
        <v>24179.931955122058</v>
      </c>
      <c r="Y127" s="772">
        <f t="shared" ca="1" si="40"/>
        <v>23350.738738558197</v>
      </c>
      <c r="Z127" s="772">
        <f t="shared" ca="1" si="40"/>
        <v>26449.679862046891</v>
      </c>
      <c r="AA127" s="772">
        <f t="shared" ca="1" si="40"/>
        <v>26449.679862046891</v>
      </c>
      <c r="AB127" s="772">
        <f t="shared" ca="1" si="45"/>
        <v>25741.419651996108</v>
      </c>
      <c r="AC127" s="772">
        <f t="shared" ca="1" si="45"/>
        <v>25741.419651996108</v>
      </c>
      <c r="AD127" s="772">
        <f t="shared" ca="1" si="45"/>
        <v>24981.179934111089</v>
      </c>
      <c r="AE127" s="772">
        <f t="shared" ca="1" si="45"/>
        <v>24981.179934111089</v>
      </c>
      <c r="AF127" s="772">
        <f t="shared" ca="1" si="45"/>
        <v>24179.931955122058</v>
      </c>
      <c r="AG127" s="772">
        <f t="shared" ca="1" si="45"/>
        <v>24179.931955122058</v>
      </c>
      <c r="AH127" s="772">
        <f t="shared" ca="1" si="45"/>
        <v>24179.931955122058</v>
      </c>
      <c r="AI127" s="772">
        <f t="shared" ca="1" si="45"/>
        <v>26449.679862046891</v>
      </c>
      <c r="AJ127" s="772">
        <f t="shared" ca="1" si="45"/>
        <v>26449.679862046891</v>
      </c>
      <c r="AK127" s="772">
        <f t="shared" ca="1" si="45"/>
        <v>25741.419651996108</v>
      </c>
      <c r="AL127" s="772">
        <f t="shared" ca="1" si="45"/>
        <v>25741.419651996108</v>
      </c>
      <c r="AM127" s="772">
        <f t="shared" ca="1" si="45"/>
        <v>24981.179934111089</v>
      </c>
      <c r="AN127" s="772">
        <f t="shared" ca="1" si="45"/>
        <v>24981.179934111089</v>
      </c>
      <c r="AO127" s="772">
        <f t="shared" ca="1" si="45"/>
        <v>24179.931955122058</v>
      </c>
      <c r="AP127" s="772">
        <f t="shared" ca="1" si="45"/>
        <v>24179.931955122058</v>
      </c>
      <c r="AQ127" s="772">
        <f t="shared" ca="1" si="45"/>
        <v>24179.931955122058</v>
      </c>
      <c r="AR127" s="772">
        <f t="shared" ca="1" si="49"/>
        <v>26449.679862046891</v>
      </c>
      <c r="AS127" s="772">
        <f t="shared" ca="1" si="49"/>
        <v>26449.679862046891</v>
      </c>
      <c r="AT127" s="772">
        <f t="shared" ca="1" si="49"/>
        <v>25741.419651996108</v>
      </c>
      <c r="AU127" s="772">
        <f t="shared" ca="1" si="49"/>
        <v>25741.419651996108</v>
      </c>
      <c r="AV127" s="772">
        <f t="shared" ca="1" si="49"/>
        <v>24981.179934111089</v>
      </c>
      <c r="AW127" s="772">
        <f t="shared" ca="1" si="49"/>
        <v>24981.179934111089</v>
      </c>
      <c r="AX127" s="772">
        <f t="shared" ca="1" si="49"/>
        <v>24179.931955122058</v>
      </c>
      <c r="AY127" s="772">
        <f t="shared" ca="1" si="49"/>
        <v>24179.931955122058</v>
      </c>
      <c r="AZ127" s="772">
        <f t="shared" ca="1" si="49"/>
        <v>24179.931955122058</v>
      </c>
      <c r="BA127" s="772">
        <f t="shared" ca="1" si="49"/>
        <v>26449.679862046891</v>
      </c>
      <c r="BB127" s="772">
        <f t="shared" ca="1" si="48"/>
        <v>26449.679862046891</v>
      </c>
      <c r="BC127" s="772">
        <f t="shared" ca="1" si="48"/>
        <v>25741.419651996108</v>
      </c>
      <c r="BD127" s="772">
        <f t="shared" ca="1" si="48"/>
        <v>24981.179934111089</v>
      </c>
      <c r="BE127" s="772">
        <f t="shared" ca="1" si="48"/>
        <v>24981.179934111089</v>
      </c>
      <c r="BF127" s="772">
        <f t="shared" ca="1" si="48"/>
        <v>24179.931955122058</v>
      </c>
      <c r="BG127" s="772">
        <f t="shared" ca="1" si="48"/>
        <v>24179.931955122058</v>
      </c>
      <c r="BH127" s="772">
        <f t="shared" ca="1" si="46"/>
        <v>23350.738738558197</v>
      </c>
      <c r="BI127" s="772">
        <f t="shared" ca="1" si="46"/>
        <v>23350.738738558197</v>
      </c>
      <c r="BJ127" s="772">
        <f t="shared" ca="1" si="46"/>
        <v>25741.419651996108</v>
      </c>
      <c r="BK127" s="772">
        <f t="shared" ca="1" si="46"/>
        <v>25741.419651996108</v>
      </c>
      <c r="BL127" s="772">
        <f t="shared" ca="1" si="46"/>
        <v>25741.419651996108</v>
      </c>
      <c r="BM127" s="772">
        <f t="shared" ca="1" si="46"/>
        <v>25741.419651996108</v>
      </c>
      <c r="BN127" s="772">
        <f t="shared" ca="1" si="46"/>
        <v>24179.931955122058</v>
      </c>
      <c r="BO127" s="772">
        <f t="shared" ca="1" si="47"/>
        <v>24179.931955122058</v>
      </c>
      <c r="BP127" s="772">
        <f t="shared" ca="1" si="47"/>
        <v>23350.738738558197</v>
      </c>
      <c r="BQ127" s="772">
        <f t="shared" ca="1" si="47"/>
        <v>23350.738738558197</v>
      </c>
      <c r="BR127" s="772">
        <f t="shared" ca="1" si="47"/>
        <v>22507.121720453742</v>
      </c>
      <c r="BS127" s="772">
        <f t="shared" ca="1" si="47"/>
        <v>25741.419651996108</v>
      </c>
      <c r="BT127" s="772">
        <f t="shared" ca="1" si="47"/>
        <v>25741.419651996108</v>
      </c>
      <c r="BU127" s="772">
        <f t="shared" ca="1" si="47"/>
        <v>25741.419651996108</v>
      </c>
      <c r="BV127" s="772">
        <f t="shared" ca="1" si="47"/>
        <v>24981.179934111089</v>
      </c>
      <c r="BW127" s="772">
        <f t="shared" ca="1" si="47"/>
        <v>24981.179934111089</v>
      </c>
      <c r="BX127" s="772">
        <f t="shared" ca="1" si="47"/>
        <v>23350.738738558197</v>
      </c>
      <c r="BY127" s="772">
        <f t="shared" ca="1" si="47"/>
        <v>23350.738738558197</v>
      </c>
      <c r="BZ127" s="772">
        <f t="shared" ca="1" si="47"/>
        <v>22507.121720453742</v>
      </c>
      <c r="CA127" s="772">
        <f t="shared" ca="1" si="47"/>
        <v>22507.121720453742</v>
      </c>
      <c r="CB127" s="772">
        <f t="shared" ca="1" si="47"/>
        <v>24981.179934111089</v>
      </c>
      <c r="CC127" s="772">
        <f t="shared" ca="1" si="47"/>
        <v>24981.179934111089</v>
      </c>
      <c r="CD127" s="772">
        <f t="shared" ca="1" si="47"/>
        <v>24981.179934111089</v>
      </c>
      <c r="CE127" s="772">
        <f t="shared" ca="1" si="43"/>
        <v>24981.179934111089</v>
      </c>
      <c r="CF127" s="772">
        <f t="shared" ca="1" si="43"/>
        <v>24179.931955122058</v>
      </c>
      <c r="CG127" s="772">
        <f t="shared" ca="1" si="43"/>
        <v>23350.738738558197</v>
      </c>
      <c r="CH127" s="772">
        <f t="shared" ca="1" si="43"/>
        <v>22507.121720453742</v>
      </c>
      <c r="CI127" s="772">
        <f t="shared" ca="1" si="43"/>
        <v>22507.121720453742</v>
      </c>
      <c r="CJ127" s="772">
        <f t="shared" ca="1" si="43"/>
        <v>21661.64010883544</v>
      </c>
    </row>
    <row r="128" spans="1:88" ht="15" customHeight="1">
      <c r="A128" s="770">
        <f>'kc-Wert für Stützen'!C128</f>
        <v>180</v>
      </c>
      <c r="B128" s="768">
        <f ca="1">INDIRECT("'kc-Wert für Stützen'!"&amp;SUBSTITUTE(ADDRESS(MATCH($A128,'kc-Wert für Stützen'!$C:$C,0),MATCH(B$7,'kc-Wert für Stützen'!$A$8:$ES$8,0)+7,4),,))</f>
        <v>28080.814750120131</v>
      </c>
      <c r="C128" s="768">
        <f ca="1">INDIRECT("'kc-Wert für Stützen'!"&amp;SUBSTITUTE(ADDRESS(MATCH($A128,'kc-Wert für Stützen'!$C:$C,0),MATCH(C$7,'kc-Wert für Stützen'!$A$8:$ES$8,0)+7,4),,))</f>
        <v>27501.826637395123</v>
      </c>
      <c r="D128" s="768">
        <f ca="1">INDIRECT("'kc-Wert für Stützen'!"&amp;SUBSTITUTE(ADDRESS(MATCH($A128,'kc-Wert für Stützen'!$C:$C,0),MATCH(D$7,'kc-Wert für Stützen'!$A$8:$ES$8,0)+7,4),,))</f>
        <v>26859.69451823827</v>
      </c>
      <c r="E128" s="768">
        <f ca="1">INDIRECT("'kc-Wert für Stützen'!"&amp;SUBSTITUTE(ADDRESS(MATCH($A128,'kc-Wert für Stützen'!$C:$C,0),MATCH(E$7,'kc-Wert für Stützen'!$A$8:$ES$8,0)+7,4),,))</f>
        <v>26157.190284123117</v>
      </c>
      <c r="F128" s="768">
        <f ca="1">INDIRECT("'kc-Wert für Stützen'!"&amp;SUBSTITUTE(ADDRESS(MATCH($A128,'kc-Wert für Stützen'!$C:$C,0),MATCH(F$7,'kc-Wert für Stützen'!$A$8:$ES$8,0)+7,4),,))</f>
        <v>25401.13288465187</v>
      </c>
      <c r="G128" s="768">
        <f ca="1">INDIRECT("'kc-Wert für Stützen'!"&amp;SUBSTITUTE(ADDRESS(MATCH($A128,'kc-Wert für Stützen'!$C:$C,0),MATCH(G$7,'kc-Wert für Stützen'!$A$8:$ES$8,0)+7,4),,))</f>
        <v>24601.916139689114</v>
      </c>
      <c r="H128" s="768">
        <f ca="1">INDIRECT("'kc-Wert für Stützen'!"&amp;SUBSTITUTE(ADDRESS(MATCH($A128,'kc-Wert für Stützen'!$C:$C,0),MATCH(H$7,'kc-Wert für Stützen'!$A$8:$ES$8,0)+7,4),,))</f>
        <v>23772.276339298551</v>
      </c>
      <c r="I128" s="768">
        <f ca="1">INDIRECT("'kc-Wert für Stützen'!"&amp;SUBSTITUTE(ADDRESS(MATCH($A128,'kc-Wert für Stützen'!$C:$C,0),MATCH(I$7,'kc-Wert für Stützen'!$A$8:$ES$8,0)+7,4),,))</f>
        <v>22925.695962038357</v>
      </c>
      <c r="J128" s="768">
        <f ca="1">INDIRECT("'kc-Wert für Stützen'!"&amp;SUBSTITUTE(ADDRESS(MATCH($A128,'kc-Wert für Stützen'!$C:$C,0),MATCH(J$7,'kc-Wert für Stützen'!$A$8:$ES$8,0)+7,4),,))</f>
        <v>22074.937114001121</v>
      </c>
      <c r="K128" s="768">
        <f ca="1">INDIRECT("'kc-Wert für Stützen'!"&amp;SUBSTITUTE(ADDRESS(MATCH($A128,'kc-Wert für Stützen'!$C:$C,0),MATCH(K$7,'kc-Wert für Stützen'!$A$8:$ES$8,0)+7,4),,))</f>
        <v>21231.03644827129</v>
      </c>
      <c r="L128" s="768">
        <f ca="1">INDIRECT("'kc-Wert für Stützen'!"&amp;SUBSTITUTE(ADDRESS(MATCH($A128,'kc-Wert für Stützen'!$C:$C,0),MATCH(L$7,'kc-Wert für Stützen'!$A$8:$ES$8,0)+7,4),,))</f>
        <v>20402.837720398787</v>
      </c>
      <c r="M128" s="768">
        <f ca="1">INDIRECT("'kc-Wert für Stützen'!"&amp;SUBSTITUTE(ADDRESS(MATCH($A128,'kc-Wert für Stützen'!$C:$C,0),MATCH(M$7,'kc-Wert für Stützen'!$A$8:$ES$8,0)+7,4),,))</f>
        <v>19596.954886737407</v>
      </c>
      <c r="N128" s="768">
        <f ca="1">INDIRECT("'kc-Wert für Stützen'!"&amp;SUBSTITUTE(ADDRESS(MATCH($A128,'kc-Wert für Stützen'!$C:$C,0),MATCH(N$7,'kc-Wert für Stützen'!$A$8:$ES$8,0)+7,4),,))</f>
        <v>18817.996965982591</v>
      </c>
      <c r="O128" s="768">
        <f ca="1">INDIRECT("'kc-Wert für Stützen'!"&amp;SUBSTITUTE(ADDRESS(MATCH($A128,'kc-Wert für Stützen'!$C:$C,0),MATCH(O$7,'kc-Wert für Stützen'!$A$8:$ES$8,0)+7,4),,))</f>
        <v>18068.907200433045</v>
      </c>
      <c r="P128" s="768">
        <f ca="1">INDIRECT("'kc-Wert für Stützen'!"&amp;SUBSTITUTE(ADDRESS(MATCH($A128,'kc-Wert für Stützen'!$C:$C,0),MATCH(P$7,'kc-Wert für Stützen'!$A$8:$ES$8,0)+7,4),,))</f>
        <v>17351.319257979823</v>
      </c>
      <c r="S128" s="772">
        <f t="shared" ca="1" si="31"/>
        <v>26859.69451823827</v>
      </c>
      <c r="T128" s="772">
        <f t="shared" ca="1" si="40"/>
        <v>26859.69451823827</v>
      </c>
      <c r="U128" s="772">
        <f t="shared" ca="1" si="40"/>
        <v>26859.69451823827</v>
      </c>
      <c r="V128" s="772">
        <f t="shared" ca="1" si="40"/>
        <v>26157.190284123117</v>
      </c>
      <c r="W128" s="772">
        <f t="shared" ca="1" si="40"/>
        <v>25401.13288465187</v>
      </c>
      <c r="X128" s="772">
        <f t="shared" ca="1" si="40"/>
        <v>24601.916139689114</v>
      </c>
      <c r="Y128" s="772">
        <f t="shared" ca="1" si="40"/>
        <v>23772.276339298551</v>
      </c>
      <c r="Z128" s="772">
        <f t="shared" ca="1" si="40"/>
        <v>26859.69451823827</v>
      </c>
      <c r="AA128" s="772">
        <f t="shared" ca="1" si="40"/>
        <v>26859.69451823827</v>
      </c>
      <c r="AB128" s="772">
        <f t="shared" ca="1" si="45"/>
        <v>26157.190284123117</v>
      </c>
      <c r="AC128" s="772">
        <f t="shared" ca="1" si="45"/>
        <v>26157.190284123117</v>
      </c>
      <c r="AD128" s="772">
        <f t="shared" ca="1" si="45"/>
        <v>25401.13288465187</v>
      </c>
      <c r="AE128" s="772">
        <f t="shared" ca="1" si="45"/>
        <v>25401.13288465187</v>
      </c>
      <c r="AF128" s="772">
        <f t="shared" ca="1" si="45"/>
        <v>24601.916139689114</v>
      </c>
      <c r="AG128" s="772">
        <f t="shared" ca="1" si="45"/>
        <v>24601.916139689114</v>
      </c>
      <c r="AH128" s="772">
        <f t="shared" ca="1" si="45"/>
        <v>24601.916139689114</v>
      </c>
      <c r="AI128" s="772">
        <f t="shared" ca="1" si="45"/>
        <v>26859.69451823827</v>
      </c>
      <c r="AJ128" s="772">
        <f t="shared" ca="1" si="45"/>
        <v>26859.69451823827</v>
      </c>
      <c r="AK128" s="772">
        <f t="shared" ca="1" si="45"/>
        <v>26157.190284123117</v>
      </c>
      <c r="AL128" s="772">
        <f t="shared" ca="1" si="45"/>
        <v>26157.190284123117</v>
      </c>
      <c r="AM128" s="772">
        <f t="shared" ca="1" si="45"/>
        <v>25401.13288465187</v>
      </c>
      <c r="AN128" s="772">
        <f t="shared" ca="1" si="45"/>
        <v>25401.13288465187</v>
      </c>
      <c r="AO128" s="772">
        <f t="shared" ca="1" si="45"/>
        <v>24601.916139689114</v>
      </c>
      <c r="AP128" s="772">
        <f t="shared" ca="1" si="45"/>
        <v>24601.916139689114</v>
      </c>
      <c r="AQ128" s="772">
        <f t="shared" ca="1" si="45"/>
        <v>24601.916139689114</v>
      </c>
      <c r="AR128" s="772">
        <f t="shared" ca="1" si="49"/>
        <v>26859.69451823827</v>
      </c>
      <c r="AS128" s="772">
        <f t="shared" ca="1" si="49"/>
        <v>26859.69451823827</v>
      </c>
      <c r="AT128" s="772">
        <f t="shared" ca="1" si="49"/>
        <v>26157.190284123117</v>
      </c>
      <c r="AU128" s="772">
        <f t="shared" ca="1" si="49"/>
        <v>26157.190284123117</v>
      </c>
      <c r="AV128" s="772">
        <f t="shared" ca="1" si="49"/>
        <v>25401.13288465187</v>
      </c>
      <c r="AW128" s="772">
        <f t="shared" ca="1" si="49"/>
        <v>25401.13288465187</v>
      </c>
      <c r="AX128" s="772">
        <f t="shared" ca="1" si="49"/>
        <v>24601.916139689114</v>
      </c>
      <c r="AY128" s="772">
        <f t="shared" ca="1" si="49"/>
        <v>24601.916139689114</v>
      </c>
      <c r="AZ128" s="772">
        <f t="shared" ca="1" si="49"/>
        <v>24601.916139689114</v>
      </c>
      <c r="BA128" s="772">
        <f t="shared" ca="1" si="49"/>
        <v>26859.69451823827</v>
      </c>
      <c r="BB128" s="772">
        <f t="shared" ca="1" si="48"/>
        <v>26859.69451823827</v>
      </c>
      <c r="BC128" s="772">
        <f t="shared" ca="1" si="48"/>
        <v>26157.190284123117</v>
      </c>
      <c r="BD128" s="772">
        <f t="shared" ca="1" si="48"/>
        <v>25401.13288465187</v>
      </c>
      <c r="BE128" s="772">
        <f t="shared" ca="1" si="48"/>
        <v>25401.13288465187</v>
      </c>
      <c r="BF128" s="772">
        <f t="shared" ca="1" si="48"/>
        <v>24601.916139689114</v>
      </c>
      <c r="BG128" s="772">
        <f t="shared" ca="1" si="48"/>
        <v>24601.916139689114</v>
      </c>
      <c r="BH128" s="772">
        <f t="shared" ca="1" si="46"/>
        <v>23772.276339298551</v>
      </c>
      <c r="BI128" s="772">
        <f t="shared" ca="1" si="46"/>
        <v>23772.276339298551</v>
      </c>
      <c r="BJ128" s="772">
        <f t="shared" ca="1" si="46"/>
        <v>26157.190284123117</v>
      </c>
      <c r="BK128" s="772">
        <f t="shared" ca="1" si="46"/>
        <v>26157.190284123117</v>
      </c>
      <c r="BL128" s="772">
        <f t="shared" ca="1" si="46"/>
        <v>26157.190284123117</v>
      </c>
      <c r="BM128" s="772">
        <f t="shared" ca="1" si="46"/>
        <v>26157.190284123117</v>
      </c>
      <c r="BN128" s="772">
        <f t="shared" ca="1" si="46"/>
        <v>24601.916139689114</v>
      </c>
      <c r="BO128" s="772">
        <f t="shared" ca="1" si="47"/>
        <v>24601.916139689114</v>
      </c>
      <c r="BP128" s="772">
        <f t="shared" ca="1" si="47"/>
        <v>23772.276339298551</v>
      </c>
      <c r="BQ128" s="772">
        <f t="shared" ca="1" si="47"/>
        <v>23772.276339298551</v>
      </c>
      <c r="BR128" s="772">
        <f t="shared" ca="1" si="47"/>
        <v>22925.695962038357</v>
      </c>
      <c r="BS128" s="772">
        <f t="shared" ca="1" si="47"/>
        <v>26157.190284123117</v>
      </c>
      <c r="BT128" s="772">
        <f t="shared" ca="1" si="47"/>
        <v>26157.190284123117</v>
      </c>
      <c r="BU128" s="772">
        <f t="shared" ca="1" si="47"/>
        <v>26157.190284123117</v>
      </c>
      <c r="BV128" s="772">
        <f t="shared" ca="1" si="47"/>
        <v>25401.13288465187</v>
      </c>
      <c r="BW128" s="772">
        <f t="shared" ca="1" si="47"/>
        <v>25401.13288465187</v>
      </c>
      <c r="BX128" s="772">
        <f t="shared" ca="1" si="47"/>
        <v>23772.276339298551</v>
      </c>
      <c r="BY128" s="772">
        <f t="shared" ca="1" si="47"/>
        <v>23772.276339298551</v>
      </c>
      <c r="BZ128" s="772">
        <f t="shared" ca="1" si="47"/>
        <v>22925.695962038357</v>
      </c>
      <c r="CA128" s="772">
        <f t="shared" ca="1" si="47"/>
        <v>22925.695962038357</v>
      </c>
      <c r="CB128" s="772">
        <f t="shared" ca="1" si="47"/>
        <v>25401.13288465187</v>
      </c>
      <c r="CC128" s="772">
        <f t="shared" ca="1" si="47"/>
        <v>25401.13288465187</v>
      </c>
      <c r="CD128" s="772">
        <f t="shared" ca="1" si="47"/>
        <v>25401.13288465187</v>
      </c>
      <c r="CE128" s="772">
        <f t="shared" ca="1" si="43"/>
        <v>25401.13288465187</v>
      </c>
      <c r="CF128" s="772">
        <f t="shared" ca="1" si="43"/>
        <v>24601.916139689114</v>
      </c>
      <c r="CG128" s="772">
        <f t="shared" ca="1" si="43"/>
        <v>23772.276339298551</v>
      </c>
      <c r="CH128" s="772">
        <f t="shared" ca="1" si="43"/>
        <v>22925.695962038357</v>
      </c>
      <c r="CI128" s="772">
        <f t="shared" ca="1" si="43"/>
        <v>22925.695962038357</v>
      </c>
      <c r="CJ128" s="772">
        <f t="shared" ca="1" si="43"/>
        <v>22074.937114001121</v>
      </c>
    </row>
    <row r="129" spans="1:88" ht="15" customHeight="1">
      <c r="A129" s="770">
        <f>'kc-Wert für Stützen'!C129</f>
        <v>181</v>
      </c>
      <c r="B129" s="768">
        <f ca="1">INDIRECT("'kc-Wert für Stützen'!"&amp;SUBSTITUTE(ADDRESS(MATCH($A129,'kc-Wert für Stützen'!$C:$C,0),MATCH(B$7,'kc-Wert für Stützen'!$A$8:$ES$8,0)+7,4),,))</f>
        <v>28478.569362541315</v>
      </c>
      <c r="C129" s="768">
        <f ca="1">INDIRECT("'kc-Wert für Stützen'!"&amp;SUBSTITUTE(ADDRESS(MATCH($A129,'kc-Wert für Stützen'!$C:$C,0),MATCH(C$7,'kc-Wert für Stützen'!$A$8:$ES$8,0)+7,4),,))</f>
        <v>27906.362939646791</v>
      </c>
      <c r="D129" s="768">
        <f ca="1">INDIRECT("'kc-Wert für Stützen'!"&amp;SUBSTITUTE(ADDRESS(MATCH($A129,'kc-Wert für Stützen'!$C:$C,0),MATCH(D$7,'kc-Wert für Stützen'!$A$8:$ES$8,0)+7,4),,))</f>
        <v>27270.927361467671</v>
      </c>
      <c r="E129" s="768">
        <f ca="1">INDIRECT("'kc-Wert für Stützen'!"&amp;SUBSTITUTE(ADDRESS(MATCH($A129,'kc-Wert für Stützen'!$C:$C,0),MATCH(E$7,'kc-Wert für Stützen'!$A$8:$ES$8,0)+7,4),,))</f>
        <v>26574.376733428824</v>
      </c>
      <c r="F129" s="768">
        <f ca="1">INDIRECT("'kc-Wert für Stützen'!"&amp;SUBSTITUTE(ADDRESS(MATCH($A129,'kc-Wert für Stützen'!$C:$C,0),MATCH(F$7,'kc-Wert für Stützen'!$A$8:$ES$8,0)+7,4),,))</f>
        <v>25822.823760492054</v>
      </c>
      <c r="G129" s="768">
        <f ca="1">INDIRECT("'kc-Wert für Stützen'!"&amp;SUBSTITUTE(ADDRESS(MATCH($A129,'kc-Wert für Stützen'!$C:$C,0),MATCH(G$7,'kc-Wert für Stützen'!$A$8:$ES$8,0)+7,4),,))</f>
        <v>25026.058182571363</v>
      </c>
      <c r="H129" s="768">
        <f ca="1">INDIRECT("'kc-Wert für Stützen'!"&amp;SUBSTITUTE(ADDRESS(MATCH($A129,'kc-Wert für Stützen'!$C:$C,0),MATCH(H$7,'kc-Wert für Stützen'!$A$8:$ES$8,0)+7,4),,))</f>
        <v>24196.443043017738</v>
      </c>
      <c r="I129" s="768">
        <f ca="1">INDIRECT("'kc-Wert für Stützen'!"&amp;SUBSTITUTE(ADDRESS(MATCH($A129,'kc-Wert für Stützen'!$C:$C,0),MATCH(I$7,'kc-Wert für Stützen'!$A$8:$ES$8,0)+7,4),,))</f>
        <v>23347.370893013591</v>
      </c>
      <c r="J129" s="768">
        <f ca="1">INDIRECT("'kc-Wert für Stützen'!"&amp;SUBSTITUTE(ADDRESS(MATCH($A129,'kc-Wert für Stützen'!$C:$C,0),MATCH(J$7,'kc-Wert für Stützen'!$A$8:$ES$8,0)+7,4),,))</f>
        <v>22491.765100215722</v>
      </c>
      <c r="K129" s="768">
        <f ca="1">INDIRECT("'kc-Wert für Stützen'!"&amp;SUBSTITUTE(ADDRESS(MATCH($A129,'kc-Wert für Stützen'!$C:$C,0),MATCH(K$7,'kc-Wert für Stützen'!$A$8:$ES$8,0)+7,4),,))</f>
        <v>21640.991365709968</v>
      </c>
      <c r="L129" s="768">
        <f ca="1">INDIRECT("'kc-Wert für Stützen'!"&amp;SUBSTITUTE(ADDRESS(MATCH($A129,'kc-Wert für Stützen'!$C:$C,0),MATCH(L$7,'kc-Wert für Stützen'!$A$8:$ES$8,0)+7,4),,))</f>
        <v>20804.298873346037</v>
      </c>
      <c r="M129" s="768">
        <f ca="1">INDIRECT("'kc-Wert für Stützen'!"&amp;SUBSTITUTE(ADDRESS(MATCH($A129,'kc-Wert für Stützen'!$C:$C,0),MATCH(M$7,'kc-Wert für Stützen'!$A$8:$ES$8,0)+7,4),,))</f>
        <v>19988.711960245302</v>
      </c>
      <c r="N129" s="768">
        <f ca="1">INDIRECT("'kc-Wert für Stützen'!"&amp;SUBSTITUTE(ADDRESS(MATCH($A129,'kc-Wert für Stützen'!$C:$C,0),MATCH(N$7,'kc-Wert für Stützen'!$A$8:$ES$8,0)+7,4),,))</f>
        <v>19199.211622154751</v>
      </c>
      <c r="O129" s="768">
        <f ca="1">INDIRECT("'kc-Wert für Stützen'!"&amp;SUBSTITUTE(ADDRESS(MATCH($A129,'kc-Wert für Stützen'!$C:$C,0),MATCH(O$7,'kc-Wert für Stützen'!$A$8:$ES$8,0)+7,4),,))</f>
        <v>18439.055173034609</v>
      </c>
      <c r="P129" s="768">
        <f ca="1">INDIRECT("'kc-Wert für Stützen'!"&amp;SUBSTITUTE(ADDRESS(MATCH($A129,'kc-Wert für Stützen'!$C:$C,0),MATCH(P$7,'kc-Wert für Stützen'!$A$8:$ES$8,0)+7,4),,))</f>
        <v>17710.128705203122</v>
      </c>
      <c r="S129" s="772">
        <f t="shared" ca="1" si="31"/>
        <v>27270.927361467671</v>
      </c>
      <c r="T129" s="772">
        <f t="shared" ca="1" si="40"/>
        <v>27270.927361467671</v>
      </c>
      <c r="U129" s="772">
        <f t="shared" ca="1" si="40"/>
        <v>27270.927361467671</v>
      </c>
      <c r="V129" s="772">
        <f t="shared" ca="1" si="40"/>
        <v>26574.376733428824</v>
      </c>
      <c r="W129" s="772">
        <f t="shared" ca="1" si="40"/>
        <v>25822.823760492054</v>
      </c>
      <c r="X129" s="772">
        <f t="shared" ca="1" si="40"/>
        <v>25026.058182571363</v>
      </c>
      <c r="Y129" s="772">
        <f t="shared" ca="1" si="40"/>
        <v>24196.443043017738</v>
      </c>
      <c r="Z129" s="772">
        <f t="shared" ca="1" si="40"/>
        <v>27270.927361467671</v>
      </c>
      <c r="AA129" s="772">
        <f t="shared" ca="1" si="40"/>
        <v>27270.927361467671</v>
      </c>
      <c r="AB129" s="772">
        <f t="shared" ca="1" si="45"/>
        <v>26574.376733428824</v>
      </c>
      <c r="AC129" s="772">
        <f t="shared" ca="1" si="45"/>
        <v>26574.376733428824</v>
      </c>
      <c r="AD129" s="772">
        <f t="shared" ca="1" si="45"/>
        <v>25822.823760492054</v>
      </c>
      <c r="AE129" s="772">
        <f t="shared" ca="1" si="45"/>
        <v>25822.823760492054</v>
      </c>
      <c r="AF129" s="772">
        <f t="shared" ca="1" si="45"/>
        <v>25026.058182571363</v>
      </c>
      <c r="AG129" s="772">
        <f t="shared" ca="1" si="45"/>
        <v>25026.058182571363</v>
      </c>
      <c r="AH129" s="772">
        <f t="shared" ca="1" si="45"/>
        <v>25026.058182571363</v>
      </c>
      <c r="AI129" s="772">
        <f t="shared" ca="1" si="45"/>
        <v>27270.927361467671</v>
      </c>
      <c r="AJ129" s="772">
        <f t="shared" ca="1" si="45"/>
        <v>27270.927361467671</v>
      </c>
      <c r="AK129" s="772">
        <f t="shared" ca="1" si="45"/>
        <v>26574.376733428824</v>
      </c>
      <c r="AL129" s="772">
        <f t="shared" ca="1" si="45"/>
        <v>26574.376733428824</v>
      </c>
      <c r="AM129" s="772">
        <f t="shared" ca="1" si="45"/>
        <v>25822.823760492054</v>
      </c>
      <c r="AN129" s="772">
        <f t="shared" ca="1" si="45"/>
        <v>25822.823760492054</v>
      </c>
      <c r="AO129" s="772">
        <f t="shared" ca="1" si="45"/>
        <v>25026.058182571363</v>
      </c>
      <c r="AP129" s="772">
        <f t="shared" ca="1" si="45"/>
        <v>25026.058182571363</v>
      </c>
      <c r="AQ129" s="772">
        <f t="shared" ca="1" si="45"/>
        <v>25026.058182571363</v>
      </c>
      <c r="AR129" s="772">
        <f t="shared" ca="1" si="49"/>
        <v>27270.927361467671</v>
      </c>
      <c r="AS129" s="772">
        <f t="shared" ca="1" si="49"/>
        <v>27270.927361467671</v>
      </c>
      <c r="AT129" s="772">
        <f t="shared" ca="1" si="49"/>
        <v>26574.376733428824</v>
      </c>
      <c r="AU129" s="772">
        <f t="shared" ca="1" si="49"/>
        <v>26574.376733428824</v>
      </c>
      <c r="AV129" s="772">
        <f t="shared" ca="1" si="49"/>
        <v>25822.823760492054</v>
      </c>
      <c r="AW129" s="772">
        <f t="shared" ca="1" si="49"/>
        <v>25822.823760492054</v>
      </c>
      <c r="AX129" s="772">
        <f t="shared" ca="1" si="49"/>
        <v>25026.058182571363</v>
      </c>
      <c r="AY129" s="772">
        <f t="shared" ca="1" si="49"/>
        <v>25026.058182571363</v>
      </c>
      <c r="AZ129" s="772">
        <f t="shared" ca="1" si="49"/>
        <v>25026.058182571363</v>
      </c>
      <c r="BA129" s="772">
        <f t="shared" ca="1" si="49"/>
        <v>27270.927361467671</v>
      </c>
      <c r="BB129" s="772">
        <f t="shared" ca="1" si="48"/>
        <v>27270.927361467671</v>
      </c>
      <c r="BC129" s="772">
        <f t="shared" ca="1" si="48"/>
        <v>26574.376733428824</v>
      </c>
      <c r="BD129" s="772">
        <f t="shared" ca="1" si="48"/>
        <v>25822.823760492054</v>
      </c>
      <c r="BE129" s="772">
        <f t="shared" ca="1" si="48"/>
        <v>25822.823760492054</v>
      </c>
      <c r="BF129" s="772">
        <f t="shared" ca="1" si="48"/>
        <v>25026.058182571363</v>
      </c>
      <c r="BG129" s="772">
        <f t="shared" ca="1" si="48"/>
        <v>25026.058182571363</v>
      </c>
      <c r="BH129" s="772">
        <f t="shared" ca="1" si="46"/>
        <v>24196.443043017738</v>
      </c>
      <c r="BI129" s="772">
        <f t="shared" ca="1" si="46"/>
        <v>24196.443043017738</v>
      </c>
      <c r="BJ129" s="772">
        <f t="shared" ca="1" si="46"/>
        <v>26574.376733428824</v>
      </c>
      <c r="BK129" s="772">
        <f t="shared" ca="1" si="46"/>
        <v>26574.376733428824</v>
      </c>
      <c r="BL129" s="772">
        <f t="shared" ca="1" si="46"/>
        <v>26574.376733428824</v>
      </c>
      <c r="BM129" s="772">
        <f t="shared" ca="1" si="46"/>
        <v>26574.376733428824</v>
      </c>
      <c r="BN129" s="772">
        <f t="shared" ca="1" si="46"/>
        <v>25026.058182571363</v>
      </c>
      <c r="BO129" s="772">
        <f t="shared" ca="1" si="47"/>
        <v>25026.058182571363</v>
      </c>
      <c r="BP129" s="772">
        <f t="shared" ca="1" si="47"/>
        <v>24196.443043017738</v>
      </c>
      <c r="BQ129" s="772">
        <f t="shared" ca="1" si="47"/>
        <v>24196.443043017738</v>
      </c>
      <c r="BR129" s="772">
        <f t="shared" ca="1" si="47"/>
        <v>23347.370893013591</v>
      </c>
      <c r="BS129" s="772">
        <f t="shared" ca="1" si="47"/>
        <v>26574.376733428824</v>
      </c>
      <c r="BT129" s="772">
        <f t="shared" ca="1" si="47"/>
        <v>26574.376733428824</v>
      </c>
      <c r="BU129" s="772">
        <f t="shared" ca="1" si="47"/>
        <v>26574.376733428824</v>
      </c>
      <c r="BV129" s="772">
        <f t="shared" ca="1" si="47"/>
        <v>25822.823760492054</v>
      </c>
      <c r="BW129" s="772">
        <f t="shared" ca="1" si="47"/>
        <v>25822.823760492054</v>
      </c>
      <c r="BX129" s="772">
        <f t="shared" ca="1" si="47"/>
        <v>24196.443043017738</v>
      </c>
      <c r="BY129" s="772">
        <f t="shared" ca="1" si="47"/>
        <v>24196.443043017738</v>
      </c>
      <c r="BZ129" s="772">
        <f t="shared" ca="1" si="47"/>
        <v>23347.370893013591</v>
      </c>
      <c r="CA129" s="772">
        <f t="shared" ca="1" si="47"/>
        <v>23347.370893013591</v>
      </c>
      <c r="CB129" s="772">
        <f t="shared" ca="1" si="47"/>
        <v>25822.823760492054</v>
      </c>
      <c r="CC129" s="772">
        <f t="shared" ca="1" si="47"/>
        <v>25822.823760492054</v>
      </c>
      <c r="CD129" s="772">
        <f t="shared" ca="1" si="47"/>
        <v>25822.823760492054</v>
      </c>
      <c r="CE129" s="772">
        <f t="shared" ca="1" si="43"/>
        <v>25822.823760492054</v>
      </c>
      <c r="CF129" s="772">
        <f t="shared" ca="1" si="43"/>
        <v>25026.058182571363</v>
      </c>
      <c r="CG129" s="772">
        <f t="shared" ca="1" si="43"/>
        <v>24196.443043017738</v>
      </c>
      <c r="CH129" s="772">
        <f t="shared" ca="1" si="43"/>
        <v>23347.370893013591</v>
      </c>
      <c r="CI129" s="772">
        <f t="shared" ca="1" si="43"/>
        <v>23347.370893013591</v>
      </c>
      <c r="CJ129" s="772">
        <f t="shared" ca="1" si="43"/>
        <v>22491.765100215722</v>
      </c>
    </row>
    <row r="130" spans="1:88" ht="15" customHeight="1">
      <c r="A130" s="770">
        <f>'kc-Wert für Stützen'!C130</f>
        <v>182</v>
      </c>
      <c r="B130" s="768">
        <f ca="1">INDIRECT("'kc-Wert für Stützen'!"&amp;SUBSTITUTE(ADDRESS(MATCH($A130,'kc-Wert für Stützen'!$C:$C,0),MATCH(B$7,'kc-Wert für Stützen'!$A$8:$ES$8,0)+7,4),,))</f>
        <v>28877.502772445147</v>
      </c>
      <c r="C130" s="768">
        <f ca="1">INDIRECT("'kc-Wert für Stützen'!"&amp;SUBSTITUTE(ADDRESS(MATCH($A130,'kc-Wert für Stützen'!$C:$C,0),MATCH(C$7,'kc-Wert für Stützen'!$A$8:$ES$8,0)+7,4),,))</f>
        <v>28312.041288582772</v>
      </c>
      <c r="D130" s="768">
        <f ca="1">INDIRECT("'kc-Wert für Stützen'!"&amp;SUBSTITUTE(ADDRESS(MATCH($A130,'kc-Wert für Stützen'!$C:$C,0),MATCH(D$7,'kc-Wert für Stützen'!$A$8:$ES$8,0)+7,4),,))</f>
        <v>27683.357975452502</v>
      </c>
      <c r="E130" s="768">
        <f ca="1">INDIRECT("'kc-Wert für Stützen'!"&amp;SUBSTITUTE(ADDRESS(MATCH($A130,'kc-Wert für Stützen'!$C:$C,0),MATCH(E$7,'kc-Wert für Stützen'!$A$8:$ES$8,0)+7,4),,))</f>
        <v>26992.935985070864</v>
      </c>
      <c r="F130" s="768">
        <f ca="1">INDIRECT("'kc-Wert für Stützen'!"&amp;SUBSTITUTE(ADDRESS(MATCH($A130,'kc-Wert für Stützen'!$C:$C,0),MATCH(F$7,'kc-Wert für Stützen'!$A$8:$ES$8,0)+7,4),,))</f>
        <v>26246.187397355403</v>
      </c>
      <c r="G130" s="768">
        <f ca="1">INDIRECT("'kc-Wert für Stützen'!"&amp;SUBSTITUTE(ADDRESS(MATCH($A130,'kc-Wert für Stützen'!$C:$C,0),MATCH(G$7,'kc-Wert für Stützen'!$A$8:$ES$8,0)+7,4),,))</f>
        <v>25452.276171668866</v>
      </c>
      <c r="H130" s="768">
        <f ca="1">INDIRECT("'kc-Wert für Stützen'!"&amp;SUBSTITUTE(ADDRESS(MATCH($A130,'kc-Wert für Stützen'!$C:$C,0),MATCH(H$7,'kc-Wert für Stützen'!$A$8:$ES$8,0)+7,4),,))</f>
        <v>24623.148824147414</v>
      </c>
      <c r="I130" s="768">
        <f ca="1">INDIRECT("'kc-Wert für Stützen'!"&amp;SUBSTITUTE(ADDRESS(MATCH($A130,'kc-Wert für Stützen'!$C:$C,0),MATCH(I$7,'kc-Wert für Stützen'!$A$8:$ES$8,0)+7,4),,))</f>
        <v>23772.0574574725</v>
      </c>
      <c r="J130" s="768">
        <f ca="1">INDIRECT("'kc-Wert für Stützen'!"&amp;SUBSTITUTE(ADDRESS(MATCH($A130,'kc-Wert für Stützen'!$C:$C,0),MATCH(J$7,'kc-Wert für Stützen'!$A$8:$ES$8,0)+7,4),,))</f>
        <v>22912.043248361813</v>
      </c>
      <c r="K130" s="768">
        <f ca="1">INDIRECT("'kc-Wert für Stützen'!"&amp;SUBSTITUTE(ADDRESS(MATCH($A130,'kc-Wert für Stützen'!$C:$C,0),MATCH(K$7,'kc-Wert für Stützen'!$A$8:$ES$8,0)+7,4),,))</f>
        <v>22054.772392117993</v>
      </c>
      <c r="L130" s="768">
        <f ca="1">INDIRECT("'kc-Wert für Stützen'!"&amp;SUBSTITUTE(ADDRESS(MATCH($A130,'kc-Wert für Stützen'!$C:$C,0),MATCH(L$7,'kc-Wert für Stützen'!$A$8:$ES$8,0)+7,4),,))</f>
        <v>21209.886497502837</v>
      </c>
      <c r="M130" s="768">
        <f ca="1">INDIRECT("'kc-Wert für Stützen'!"&amp;SUBSTITUTE(ADDRESS(MATCH($A130,'kc-Wert für Stützen'!$C:$C,0),MATCH(M$7,'kc-Wert für Stützen'!$A$8:$ES$8,0)+7,4),,))</f>
        <v>20384.819245969407</v>
      </c>
      <c r="N130" s="768">
        <f ca="1">INDIRECT("'kc-Wert für Stützen'!"&amp;SUBSTITUTE(ADDRESS(MATCH($A130,'kc-Wert für Stützen'!$C:$C,0),MATCH(N$7,'kc-Wert für Stützen'!$A$8:$ES$8,0)+7,4),,))</f>
        <v>19584.929904046083</v>
      </c>
      <c r="O130" s="768">
        <f ca="1">INDIRECT("'kc-Wert für Stützen'!"&amp;SUBSTITUTE(ADDRESS(MATCH($A130,'kc-Wert für Stützen'!$C:$C,0),MATCH(O$7,'kc-Wert für Stützen'!$A$8:$ES$8,0)+7,4),,))</f>
        <v>18813.799607057415</v>
      </c>
      <c r="P130" s="768">
        <f ca="1">INDIRECT("'kc-Wert für Stützen'!"&amp;SUBSTITUTE(ADDRESS(MATCH($A130,'kc-Wert für Stützen'!$C:$C,0),MATCH(P$7,'kc-Wert für Stützen'!$A$8:$ES$8,0)+7,4),,))</f>
        <v>18073.577492498858</v>
      </c>
      <c r="S130" s="772">
        <f t="shared" ca="1" si="31"/>
        <v>27683.357975452502</v>
      </c>
      <c r="T130" s="772">
        <f t="shared" ca="1" si="40"/>
        <v>27683.357975452502</v>
      </c>
      <c r="U130" s="772">
        <f t="shared" ref="T130:AA158" ca="1" si="50">HLOOKUP(U$7,$A$7:$P$348,ROW()-6)</f>
        <v>27683.357975452502</v>
      </c>
      <c r="V130" s="772">
        <f t="shared" ca="1" si="50"/>
        <v>26992.935985070864</v>
      </c>
      <c r="W130" s="772">
        <f t="shared" ca="1" si="50"/>
        <v>26246.187397355403</v>
      </c>
      <c r="X130" s="772">
        <f t="shared" ca="1" si="50"/>
        <v>25452.276171668866</v>
      </c>
      <c r="Y130" s="772">
        <f t="shared" ca="1" si="50"/>
        <v>24623.148824147414</v>
      </c>
      <c r="Z130" s="772">
        <f t="shared" ca="1" si="50"/>
        <v>27683.357975452502</v>
      </c>
      <c r="AA130" s="772">
        <f t="shared" ca="1" si="50"/>
        <v>27683.357975452502</v>
      </c>
      <c r="AB130" s="772">
        <f t="shared" ca="1" si="45"/>
        <v>26992.935985070864</v>
      </c>
      <c r="AC130" s="772">
        <f t="shared" ca="1" si="45"/>
        <v>26992.935985070864</v>
      </c>
      <c r="AD130" s="772">
        <f t="shared" ca="1" si="45"/>
        <v>26246.187397355403</v>
      </c>
      <c r="AE130" s="772">
        <f t="shared" ca="1" si="45"/>
        <v>26246.187397355403</v>
      </c>
      <c r="AF130" s="772">
        <f t="shared" ca="1" si="45"/>
        <v>25452.276171668866</v>
      </c>
      <c r="AG130" s="772">
        <f t="shared" ca="1" si="45"/>
        <v>25452.276171668866</v>
      </c>
      <c r="AH130" s="772">
        <f t="shared" ca="1" si="45"/>
        <v>25452.276171668866</v>
      </c>
      <c r="AI130" s="772">
        <f t="shared" ca="1" si="45"/>
        <v>27683.357975452502</v>
      </c>
      <c r="AJ130" s="772">
        <f t="shared" ca="1" si="45"/>
        <v>27683.357975452502</v>
      </c>
      <c r="AK130" s="772">
        <f t="shared" ca="1" si="45"/>
        <v>26992.935985070864</v>
      </c>
      <c r="AL130" s="772">
        <f t="shared" ca="1" si="45"/>
        <v>26992.935985070864</v>
      </c>
      <c r="AM130" s="772">
        <f t="shared" ca="1" si="45"/>
        <v>26246.187397355403</v>
      </c>
      <c r="AN130" s="772">
        <f t="shared" ca="1" si="45"/>
        <v>26246.187397355403</v>
      </c>
      <c r="AO130" s="772">
        <f t="shared" ca="1" si="45"/>
        <v>25452.276171668866</v>
      </c>
      <c r="AP130" s="772">
        <f t="shared" ca="1" si="45"/>
        <v>25452.276171668866</v>
      </c>
      <c r="AQ130" s="772">
        <f t="shared" ca="1" si="45"/>
        <v>25452.276171668866</v>
      </c>
      <c r="AR130" s="772">
        <f t="shared" ca="1" si="49"/>
        <v>27683.357975452502</v>
      </c>
      <c r="AS130" s="772">
        <f t="shared" ca="1" si="49"/>
        <v>27683.357975452502</v>
      </c>
      <c r="AT130" s="772">
        <f t="shared" ca="1" si="49"/>
        <v>26992.935985070864</v>
      </c>
      <c r="AU130" s="772">
        <f t="shared" ca="1" si="49"/>
        <v>26992.935985070864</v>
      </c>
      <c r="AV130" s="772">
        <f t="shared" ca="1" si="49"/>
        <v>26246.187397355403</v>
      </c>
      <c r="AW130" s="772">
        <f t="shared" ca="1" si="49"/>
        <v>26246.187397355403</v>
      </c>
      <c r="AX130" s="772">
        <f t="shared" ca="1" si="49"/>
        <v>25452.276171668866</v>
      </c>
      <c r="AY130" s="772">
        <f t="shared" ca="1" si="49"/>
        <v>25452.276171668866</v>
      </c>
      <c r="AZ130" s="772">
        <f t="shared" ca="1" si="49"/>
        <v>25452.276171668866</v>
      </c>
      <c r="BA130" s="772">
        <f t="shared" ca="1" si="49"/>
        <v>27683.357975452502</v>
      </c>
      <c r="BB130" s="772">
        <f t="shared" ca="1" si="48"/>
        <v>27683.357975452502</v>
      </c>
      <c r="BC130" s="772">
        <f t="shared" ca="1" si="48"/>
        <v>26992.935985070864</v>
      </c>
      <c r="BD130" s="772">
        <f t="shared" ca="1" si="48"/>
        <v>26246.187397355403</v>
      </c>
      <c r="BE130" s="772">
        <f t="shared" ca="1" si="48"/>
        <v>26246.187397355403</v>
      </c>
      <c r="BF130" s="772">
        <f t="shared" ca="1" si="48"/>
        <v>25452.276171668866</v>
      </c>
      <c r="BG130" s="772">
        <f t="shared" ca="1" si="48"/>
        <v>25452.276171668866</v>
      </c>
      <c r="BH130" s="772">
        <f t="shared" ca="1" si="46"/>
        <v>24623.148824147414</v>
      </c>
      <c r="BI130" s="772">
        <f t="shared" ca="1" si="46"/>
        <v>24623.148824147414</v>
      </c>
      <c r="BJ130" s="772">
        <f t="shared" ca="1" si="46"/>
        <v>26992.935985070864</v>
      </c>
      <c r="BK130" s="772">
        <f t="shared" ca="1" si="46"/>
        <v>26992.935985070864</v>
      </c>
      <c r="BL130" s="772">
        <f t="shared" ca="1" si="46"/>
        <v>26992.935985070864</v>
      </c>
      <c r="BM130" s="772">
        <f t="shared" ca="1" si="46"/>
        <v>26992.935985070864</v>
      </c>
      <c r="BN130" s="772">
        <f t="shared" ca="1" si="46"/>
        <v>25452.276171668866</v>
      </c>
      <c r="BO130" s="772">
        <f t="shared" ca="1" si="47"/>
        <v>25452.276171668866</v>
      </c>
      <c r="BP130" s="772">
        <f t="shared" ca="1" si="47"/>
        <v>24623.148824147414</v>
      </c>
      <c r="BQ130" s="772">
        <f t="shared" ca="1" si="47"/>
        <v>24623.148824147414</v>
      </c>
      <c r="BR130" s="772">
        <f t="shared" ca="1" si="47"/>
        <v>23772.0574574725</v>
      </c>
      <c r="BS130" s="772">
        <f t="shared" ca="1" si="47"/>
        <v>26992.935985070864</v>
      </c>
      <c r="BT130" s="772">
        <f t="shared" ca="1" si="47"/>
        <v>26992.935985070864</v>
      </c>
      <c r="BU130" s="772">
        <f t="shared" ca="1" si="47"/>
        <v>26992.935985070864</v>
      </c>
      <c r="BV130" s="772">
        <f t="shared" ca="1" si="47"/>
        <v>26246.187397355403</v>
      </c>
      <c r="BW130" s="772">
        <f t="shared" ca="1" si="47"/>
        <v>26246.187397355403</v>
      </c>
      <c r="BX130" s="772">
        <f t="shared" ca="1" si="47"/>
        <v>24623.148824147414</v>
      </c>
      <c r="BY130" s="772">
        <f t="shared" ca="1" si="47"/>
        <v>24623.148824147414</v>
      </c>
      <c r="BZ130" s="772">
        <f t="shared" ca="1" si="47"/>
        <v>23772.0574574725</v>
      </c>
      <c r="CA130" s="772">
        <f t="shared" ca="1" si="47"/>
        <v>23772.0574574725</v>
      </c>
      <c r="CB130" s="772">
        <f t="shared" ca="1" si="47"/>
        <v>26246.187397355403</v>
      </c>
      <c r="CC130" s="772">
        <f t="shared" ca="1" si="47"/>
        <v>26246.187397355403</v>
      </c>
      <c r="CD130" s="772">
        <f t="shared" ca="1" si="47"/>
        <v>26246.187397355403</v>
      </c>
      <c r="CE130" s="772">
        <f t="shared" ca="1" si="43"/>
        <v>26246.187397355403</v>
      </c>
      <c r="CF130" s="772">
        <f t="shared" ca="1" si="43"/>
        <v>25452.276171668866</v>
      </c>
      <c r="CG130" s="772">
        <f t="shared" ca="1" si="43"/>
        <v>24623.148824147414</v>
      </c>
      <c r="CH130" s="772">
        <f t="shared" ca="1" si="43"/>
        <v>23772.0574574725</v>
      </c>
      <c r="CI130" s="772">
        <f t="shared" ca="1" si="43"/>
        <v>23772.0574574725</v>
      </c>
      <c r="CJ130" s="772">
        <f t="shared" ca="1" si="43"/>
        <v>22912.043248361813</v>
      </c>
    </row>
    <row r="131" spans="1:88" ht="15" customHeight="1">
      <c r="A131" s="770">
        <f>'kc-Wert für Stützen'!C131</f>
        <v>183</v>
      </c>
      <c r="B131" s="768">
        <f ca="1">INDIRECT("'kc-Wert für Stützen'!"&amp;SUBSTITUTE(ADDRESS(MATCH($A131,'kc-Wert für Stützen'!$C:$C,0),MATCH(B$7,'kc-Wert für Stützen'!$A$8:$ES$8,0)+7,4),,))</f>
        <v>29277.626600393301</v>
      </c>
      <c r="C131" s="768">
        <f ca="1">INDIRECT("'kc-Wert für Stützen'!"&amp;SUBSTITUTE(ADDRESS(MATCH($A131,'kc-Wert für Stützen'!$C:$C,0),MATCH(C$7,'kc-Wert für Stützen'!$A$8:$ES$8,0)+7,4),,))</f>
        <v>28718.862226026689</v>
      </c>
      <c r="D131" s="768">
        <f ca="1">INDIRECT("'kc-Wert für Stützen'!"&amp;SUBSTITUTE(ADDRESS(MATCH($A131,'kc-Wert für Stützen'!$C:$C,0),MATCH(D$7,'kc-Wert für Stützen'!$A$8:$ES$8,0)+7,4),,))</f>
        <v>28096.969477673021</v>
      </c>
      <c r="E131" s="768">
        <f ca="1">INDIRECT("'kc-Wert für Stützen'!"&amp;SUBSTITUTE(ADDRESS(MATCH($A131,'kc-Wert für Stützen'!$C:$C,0),MATCH(E$7,'kc-Wert für Stützen'!$A$8:$ES$8,0)+7,4),,))</f>
        <v>27412.829210087199</v>
      </c>
      <c r="F131" s="768">
        <f ca="1">INDIRECT("'kc-Wert für Stützen'!"&amp;SUBSTITUTE(ADDRESS(MATCH($A131,'kc-Wert für Stützen'!$C:$C,0),MATCH(F$7,'kc-Wert für Stützen'!$A$8:$ES$8,0)+7,4),,))</f>
        <v>26671.162612379936</v>
      </c>
      <c r="G131" s="768">
        <f ca="1">INDIRECT("'kc-Wert für Stützen'!"&amp;SUBSTITUTE(ADDRESS(MATCH($A131,'kc-Wert für Stützen'!$C:$C,0),MATCH(G$7,'kc-Wert für Stützen'!$A$8:$ES$8,0)+7,4),,))</f>
        <v>25880.491094273399</v>
      </c>
      <c r="H131" s="768">
        <f ca="1">INDIRECT("'kc-Wert für Stützen'!"&amp;SUBSTITUTE(ADDRESS(MATCH($A131,'kc-Wert für Stützen'!$C:$C,0),MATCH(H$7,'kc-Wert für Stützen'!$A$8:$ES$8,0)+7,4),,))</f>
        <v>25052.304952594419</v>
      </c>
      <c r="I131" s="768">
        <f ca="1">INDIRECT("'kc-Wert für Stützen'!"&amp;SUBSTITUTE(ADDRESS(MATCH($A131,'kc-Wert für Stützen'!$C:$C,0),MATCH(I$7,'kc-Wert für Stützen'!$A$8:$ES$8,0)+7,4),,))</f>
        <v>24199.666263713287</v>
      </c>
      <c r="J131" s="768">
        <f ca="1">INDIRECT("'kc-Wert für Stützen'!"&amp;SUBSTITUTE(ADDRESS(MATCH($A131,'kc-Wert für Stützen'!$C:$C,0),MATCH(J$7,'kc-Wert für Stützen'!$A$8:$ES$8,0)+7,4),,))</f>
        <v>23335.689113612065</v>
      </c>
      <c r="K131" s="768">
        <f ca="1">INDIRECT("'kc-Wert für Stützen'!"&amp;SUBSTITUTE(ADDRESS(MATCH($A131,'kc-Wert für Stützen'!$C:$C,0),MATCH(K$7,'kc-Wert für Stützen'!$A$8:$ES$8,0)+7,4),,))</f>
        <v>22472.309003989219</v>
      </c>
      <c r="L131" s="768">
        <f ca="1">INDIRECT("'kc-Wert für Stützen'!"&amp;SUBSTITUTE(ADDRESS(MATCH($A131,'kc-Wert für Stützen'!$C:$C,0),MATCH(L$7,'kc-Wert für Stützen'!$A$8:$ES$8,0)+7,4),,))</f>
        <v>21619.544315661711</v>
      </c>
      <c r="M131" s="768">
        <f ca="1">INDIRECT("'kc-Wert für Stützen'!"&amp;SUBSTITUTE(ADDRESS(MATCH($A131,'kc-Wert für Stützen'!$C:$C,0),MATCH(M$7,'kc-Wert für Stützen'!$A$8:$ES$8,0)+7,4),,))</f>
        <v>20785.235011625507</v>
      </c>
      <c r="N131" s="768">
        <f ca="1">INDIRECT("'kc-Wert für Stützen'!"&amp;SUBSTITUTE(ADDRESS(MATCH($A131,'kc-Wert für Stützen'!$C:$C,0),MATCH(N$7,'kc-Wert für Stützen'!$A$8:$ES$8,0)+7,4),,))</f>
        <v>19975.123657823027</v>
      </c>
      <c r="O131" s="768">
        <f ca="1">INDIRECT("'kc-Wert für Stützen'!"&amp;SUBSTITUTE(ADDRESS(MATCH($A131,'kc-Wert für Stützen'!$C:$C,0),MATCH(O$7,'kc-Wert für Stützen'!$A$8:$ES$8,0)+7,4),,))</f>
        <v>19193.124327107733</v>
      </c>
      <c r="P131" s="768">
        <f ca="1">INDIRECT("'kc-Wert für Stützen'!"&amp;SUBSTITUTE(ADDRESS(MATCH($A131,'kc-Wert für Stützen'!$C:$C,0),MATCH(P$7,'kc-Wert für Stützen'!$A$8:$ES$8,0)+7,4),,))</f>
        <v>18441.659617907109</v>
      </c>
      <c r="S131" s="772">
        <f t="shared" ca="1" si="31"/>
        <v>28096.969477673021</v>
      </c>
      <c r="T131" s="772">
        <f t="shared" ca="1" si="50"/>
        <v>28096.969477673021</v>
      </c>
      <c r="U131" s="772">
        <f t="shared" ca="1" si="50"/>
        <v>28096.969477673021</v>
      </c>
      <c r="V131" s="772">
        <f t="shared" ca="1" si="50"/>
        <v>27412.829210087199</v>
      </c>
      <c r="W131" s="772">
        <f t="shared" ca="1" si="50"/>
        <v>26671.162612379936</v>
      </c>
      <c r="X131" s="772">
        <f t="shared" ca="1" si="50"/>
        <v>25880.491094273399</v>
      </c>
      <c r="Y131" s="772">
        <f t="shared" ca="1" si="50"/>
        <v>25052.304952594419</v>
      </c>
      <c r="Z131" s="772">
        <f t="shared" ca="1" si="50"/>
        <v>28096.969477673021</v>
      </c>
      <c r="AA131" s="772">
        <f t="shared" ca="1" si="50"/>
        <v>28096.969477673021</v>
      </c>
      <c r="AB131" s="772">
        <f t="shared" ca="1" si="45"/>
        <v>27412.829210087199</v>
      </c>
      <c r="AC131" s="772">
        <f t="shared" ca="1" si="45"/>
        <v>27412.829210087199</v>
      </c>
      <c r="AD131" s="772">
        <f t="shared" ca="1" si="45"/>
        <v>26671.162612379936</v>
      </c>
      <c r="AE131" s="772">
        <f t="shared" ca="1" si="45"/>
        <v>26671.162612379936</v>
      </c>
      <c r="AF131" s="772">
        <f t="shared" ca="1" si="45"/>
        <v>25880.491094273399</v>
      </c>
      <c r="AG131" s="772">
        <f t="shared" ca="1" si="45"/>
        <v>25880.491094273399</v>
      </c>
      <c r="AH131" s="772">
        <f t="shared" ca="1" si="45"/>
        <v>25880.491094273399</v>
      </c>
      <c r="AI131" s="772">
        <f t="shared" ca="1" si="45"/>
        <v>28096.969477673021</v>
      </c>
      <c r="AJ131" s="772">
        <f t="shared" ca="1" si="45"/>
        <v>28096.969477673021</v>
      </c>
      <c r="AK131" s="772">
        <f t="shared" ca="1" si="45"/>
        <v>27412.829210087199</v>
      </c>
      <c r="AL131" s="772">
        <f t="shared" ca="1" si="45"/>
        <v>27412.829210087199</v>
      </c>
      <c r="AM131" s="772">
        <f t="shared" ca="1" si="45"/>
        <v>26671.162612379936</v>
      </c>
      <c r="AN131" s="772">
        <f t="shared" ca="1" si="45"/>
        <v>26671.162612379936</v>
      </c>
      <c r="AO131" s="772">
        <f t="shared" ca="1" si="45"/>
        <v>25880.491094273399</v>
      </c>
      <c r="AP131" s="772">
        <f t="shared" ca="1" si="45"/>
        <v>25880.491094273399</v>
      </c>
      <c r="AQ131" s="772">
        <f t="shared" ca="1" si="45"/>
        <v>25880.491094273399</v>
      </c>
      <c r="AR131" s="772">
        <f t="shared" ca="1" si="49"/>
        <v>28096.969477673021</v>
      </c>
      <c r="AS131" s="772">
        <f t="shared" ca="1" si="49"/>
        <v>28096.969477673021</v>
      </c>
      <c r="AT131" s="772">
        <f t="shared" ca="1" si="49"/>
        <v>27412.829210087199</v>
      </c>
      <c r="AU131" s="772">
        <f t="shared" ca="1" si="49"/>
        <v>27412.829210087199</v>
      </c>
      <c r="AV131" s="772">
        <f t="shared" ca="1" si="49"/>
        <v>26671.162612379936</v>
      </c>
      <c r="AW131" s="772">
        <f t="shared" ca="1" si="49"/>
        <v>26671.162612379936</v>
      </c>
      <c r="AX131" s="772">
        <f t="shared" ca="1" si="49"/>
        <v>25880.491094273399</v>
      </c>
      <c r="AY131" s="772">
        <f t="shared" ca="1" si="49"/>
        <v>25880.491094273399</v>
      </c>
      <c r="AZ131" s="772">
        <f t="shared" ca="1" si="49"/>
        <v>25880.491094273399</v>
      </c>
      <c r="BA131" s="772">
        <f t="shared" ca="1" si="49"/>
        <v>28096.969477673021</v>
      </c>
      <c r="BB131" s="772">
        <f t="shared" ca="1" si="48"/>
        <v>28096.969477673021</v>
      </c>
      <c r="BC131" s="772">
        <f t="shared" ca="1" si="48"/>
        <v>27412.829210087199</v>
      </c>
      <c r="BD131" s="772">
        <f t="shared" ca="1" si="48"/>
        <v>26671.162612379936</v>
      </c>
      <c r="BE131" s="772">
        <f t="shared" ca="1" si="48"/>
        <v>26671.162612379936</v>
      </c>
      <c r="BF131" s="772">
        <f t="shared" ca="1" si="48"/>
        <v>25880.491094273399</v>
      </c>
      <c r="BG131" s="772">
        <f t="shared" ca="1" si="48"/>
        <v>25880.491094273399</v>
      </c>
      <c r="BH131" s="772">
        <f ca="1">HLOOKUP(BH$7,$A$7:$P$348,ROW()-6)</f>
        <v>25052.304952594419</v>
      </c>
      <c r="BI131" s="772">
        <f ca="1">HLOOKUP(BI$7,$A$7:$P$348,ROW()-6)</f>
        <v>25052.304952594419</v>
      </c>
      <c r="BJ131" s="772">
        <f t="shared" ref="BJ131:BY132" ca="1" si="51">HLOOKUP(BJ$7,$A$7:$P$348,ROW()-6)</f>
        <v>27412.829210087199</v>
      </c>
      <c r="BK131" s="772">
        <f t="shared" ca="1" si="51"/>
        <v>27412.829210087199</v>
      </c>
      <c r="BL131" s="772">
        <f t="shared" ca="1" si="51"/>
        <v>27412.829210087199</v>
      </c>
      <c r="BM131" s="772">
        <f t="shared" ca="1" si="51"/>
        <v>27412.829210087199</v>
      </c>
      <c r="BN131" s="772">
        <f t="shared" ca="1" si="51"/>
        <v>25880.491094273399</v>
      </c>
      <c r="BO131" s="772">
        <f t="shared" ca="1" si="51"/>
        <v>25880.491094273399</v>
      </c>
      <c r="BP131" s="772">
        <f t="shared" ca="1" si="51"/>
        <v>25052.304952594419</v>
      </c>
      <c r="BQ131" s="772">
        <f t="shared" ca="1" si="51"/>
        <v>25052.304952594419</v>
      </c>
      <c r="BR131" s="772">
        <f t="shared" ca="1" si="51"/>
        <v>24199.666263713287</v>
      </c>
      <c r="BS131" s="772">
        <f t="shared" ca="1" si="51"/>
        <v>27412.829210087199</v>
      </c>
      <c r="BT131" s="772">
        <f t="shared" ca="1" si="51"/>
        <v>27412.829210087199</v>
      </c>
      <c r="BU131" s="772">
        <f t="shared" ca="1" si="51"/>
        <v>27412.829210087199</v>
      </c>
      <c r="BV131" s="772">
        <f t="shared" ca="1" si="51"/>
        <v>26671.162612379936</v>
      </c>
      <c r="BW131" s="772">
        <f t="shared" ca="1" si="51"/>
        <v>26671.162612379936</v>
      </c>
      <c r="BX131" s="772">
        <f t="shared" ca="1" si="51"/>
        <v>25052.304952594419</v>
      </c>
      <c r="BY131" s="772">
        <f t="shared" ca="1" si="51"/>
        <v>25052.304952594419</v>
      </c>
      <c r="BZ131" s="772">
        <f t="shared" ref="BZ131:CD132" ca="1" si="52">HLOOKUP(BZ$7,$A$7:$P$348,ROW()-6)</f>
        <v>24199.666263713287</v>
      </c>
      <c r="CA131" s="772">
        <f t="shared" ca="1" si="52"/>
        <v>24199.666263713287</v>
      </c>
      <c r="CB131" s="772">
        <f t="shared" ca="1" si="52"/>
        <v>26671.162612379936</v>
      </c>
      <c r="CC131" s="772">
        <f t="shared" ca="1" si="52"/>
        <v>26671.162612379936</v>
      </c>
      <c r="CD131" s="772">
        <f t="shared" ca="1" si="52"/>
        <v>26671.162612379936</v>
      </c>
      <c r="CE131" s="772">
        <f t="shared" ca="1" si="43"/>
        <v>26671.162612379936</v>
      </c>
      <c r="CF131" s="772">
        <f t="shared" ca="1" si="43"/>
        <v>25880.491094273399</v>
      </c>
      <c r="CG131" s="772">
        <f t="shared" ca="1" si="43"/>
        <v>25052.304952594419</v>
      </c>
      <c r="CH131" s="772">
        <f t="shared" ca="1" si="43"/>
        <v>24199.666263713287</v>
      </c>
      <c r="CI131" s="772">
        <f t="shared" ca="1" si="43"/>
        <v>24199.666263713287</v>
      </c>
      <c r="CJ131" s="772">
        <f t="shared" ca="1" si="43"/>
        <v>23335.689113612065</v>
      </c>
    </row>
    <row r="132" spans="1:88" ht="15" customHeight="1">
      <c r="A132" s="770">
        <f>'kc-Wert für Stützen'!C132</f>
        <v>184</v>
      </c>
      <c r="B132" s="768">
        <f ca="1">INDIRECT("'kc-Wert für Stützen'!"&amp;SUBSTITUTE(ADDRESS(MATCH($A132,'kc-Wert für Stützen'!$C:$C,0),MATCH(B$7,'kc-Wert für Stützen'!$A$8:$ES$8,0)+7,4),,))</f>
        <v>29678.953540420385</v>
      </c>
      <c r="C132" s="768">
        <f ca="1">INDIRECT("'kc-Wert für Stützen'!"&amp;SUBSTITUTE(ADDRESS(MATCH($A132,'kc-Wert für Stützen'!$C:$C,0),MATCH(C$7,'kc-Wert für Stützen'!$A$8:$ES$8,0)+7,4),,))</f>
        <v>29126.828475236867</v>
      </c>
      <c r="D132" s="768">
        <f ca="1">INDIRECT("'kc-Wert für Stützen'!"&amp;SUBSTITUTE(ADDRESS(MATCH($A132,'kc-Wert für Stützen'!$C:$C,0),MATCH(D$7,'kc-Wert für Stützen'!$A$8:$ES$8,0)+7,4),,))</f>
        <v>28511.7483156987</v>
      </c>
      <c r="E132" s="768">
        <f ca="1">INDIRECT("'kc-Wert für Stützen'!"&amp;SUBSTITUTE(ADDRESS(MATCH($A132,'kc-Wert für Stützen'!$C:$C,0),MATCH(E$7,'kc-Wert für Stützen'!$A$8:$ES$8,0)+7,4),,))</f>
        <v>27834.021662717656</v>
      </c>
      <c r="F132" s="768">
        <f ca="1">INDIRECT("'kc-Wert für Stützen'!"&amp;SUBSTITUTE(ADDRESS(MATCH($A132,'kc-Wert für Stützen'!$C:$C,0),MATCH(F$7,'kc-Wert für Stützen'!$A$8:$ES$8,0)+7,4),,))</f>
        <v>27097.692263956247</v>
      </c>
      <c r="G132" s="768">
        <f ca="1">INDIRECT("'kc-Wert für Stützen'!"&amp;SUBSTITUTE(ADDRESS(MATCH($A132,'kc-Wert für Stützen'!$C:$C,0),MATCH(G$7,'kc-Wert für Stützen'!$A$8:$ES$8,0)+7,4),,))</f>
        <v>26310.627051589505</v>
      </c>
      <c r="H132" s="768">
        <f ca="1">INDIRECT("'kc-Wert für Stützen'!"&amp;SUBSTITUTE(ADDRESS(MATCH($A132,'kc-Wert für Stützen'!$C:$C,0),MATCH(H$7,'kc-Wert für Stützen'!$A$8:$ES$8,0)+7,4),,))</f>
        <v>25483.824292200479</v>
      </c>
      <c r="I132" s="768">
        <f ca="1">INDIRECT("'kc-Wert für Stützen'!"&amp;SUBSTITUTE(ADDRESS(MATCH($A132,'kc-Wert für Stützen'!$C:$C,0),MATCH(I$7,'kc-Wert für Stützen'!$A$8:$ES$8,0)+7,4),,))</f>
        <v>24630.107880141652</v>
      </c>
      <c r="J132" s="768">
        <f ca="1">INDIRECT("'kc-Wert für Stützen'!"&amp;SUBSTITUTE(ADDRESS(MATCH($A132,'kc-Wert für Stützen'!$C:$C,0),MATCH(J$7,'kc-Wert für Stützen'!$A$8:$ES$8,0)+7,4),,))</f>
        <v>23762.618859054135</v>
      </c>
      <c r="K132" s="768">
        <f ca="1">INDIRECT("'kc-Wert für Stützen'!"&amp;SUBSTITUTE(ADDRESS(MATCH($A132,'kc-Wert für Stützen'!$C:$C,0),MATCH(K$7,'kc-Wert für Stützen'!$A$8:$ES$8,0)+7,4),,))</f>
        <v>22893.52839480741</v>
      </c>
      <c r="L132" s="768">
        <f ca="1">INDIRECT("'kc-Wert für Stützen'!"&amp;SUBSTITUTE(ADDRESS(MATCH($A132,'kc-Wert für Stützen'!$C:$C,0),MATCH(L$7,'kc-Wert für Stützen'!$A$8:$ES$8,0)+7,4),,))</f>
        <v>22033.213328890521</v>
      </c>
      <c r="M132" s="768">
        <f ca="1">INDIRECT("'kc-Wert für Stützen'!"&amp;SUBSTITUTE(ADDRESS(MATCH($A132,'kc-Wert für Stützen'!$C:$C,0),MATCH(M$7,'kc-Wert für Stützen'!$A$8:$ES$8,0)+7,4),,))</f>
        <v>21189.914711189846</v>
      </c>
      <c r="N132" s="768">
        <f ca="1">INDIRECT("'kc-Wert für Stützen'!"&amp;SUBSTITUTE(ADDRESS(MATCH($A132,'kc-Wert für Stützen'!$C:$C,0),MATCH(N$7,'kc-Wert für Stützen'!$A$8:$ES$8,0)+7,4),,))</f>
        <v>20369.762046385593</v>
      </c>
      <c r="O132" s="768">
        <f ca="1">INDIRECT("'kc-Wert für Stützen'!"&amp;SUBSTITUTE(ADDRESS(MATCH($A132,'kc-Wert für Stützen'!$C:$C,0),MATCH(O$7,'kc-Wert für Stützen'!$A$8:$ES$8,0)+7,4),,))</f>
        <v>19577.010724274016</v>
      </c>
      <c r="P132" s="768">
        <f ca="1">INDIRECT("'kc-Wert für Stützen'!"&amp;SUBSTITUTE(ADDRESS(MATCH($A132,'kc-Wert für Stützen'!$C:$C,0),MATCH(P$7,'kc-Wert für Stützen'!$A$8:$ES$8,0)+7,4),,))</f>
        <v>18814.366943352808</v>
      </c>
      <c r="S132" s="772">
        <f t="shared" ca="1" si="31"/>
        <v>28511.7483156987</v>
      </c>
      <c r="T132" s="772">
        <f t="shared" ca="1" si="50"/>
        <v>28511.7483156987</v>
      </c>
      <c r="U132" s="772">
        <f t="shared" ca="1" si="50"/>
        <v>28511.7483156987</v>
      </c>
      <c r="V132" s="772">
        <f t="shared" ca="1" si="50"/>
        <v>27834.021662717656</v>
      </c>
      <c r="W132" s="772">
        <f t="shared" ca="1" si="50"/>
        <v>27097.692263956247</v>
      </c>
      <c r="X132" s="772">
        <f t="shared" ca="1" si="50"/>
        <v>26310.627051589505</v>
      </c>
      <c r="Y132" s="772">
        <f t="shared" ca="1" si="50"/>
        <v>25483.824292200479</v>
      </c>
      <c r="Z132" s="772">
        <f t="shared" ca="1" si="50"/>
        <v>28511.7483156987</v>
      </c>
      <c r="AA132" s="772">
        <f t="shared" ca="1" si="50"/>
        <v>28511.7483156987</v>
      </c>
      <c r="AB132" s="772">
        <f t="shared" ca="1" si="45"/>
        <v>27834.021662717656</v>
      </c>
      <c r="AC132" s="772">
        <f t="shared" ca="1" si="45"/>
        <v>27834.021662717656</v>
      </c>
      <c r="AD132" s="772">
        <f t="shared" ca="1" si="45"/>
        <v>27097.692263956247</v>
      </c>
      <c r="AE132" s="772">
        <f t="shared" ca="1" si="45"/>
        <v>27097.692263956247</v>
      </c>
      <c r="AF132" s="772">
        <f t="shared" ca="1" si="45"/>
        <v>26310.627051589505</v>
      </c>
      <c r="AG132" s="772">
        <f t="shared" ca="1" si="45"/>
        <v>26310.627051589505</v>
      </c>
      <c r="AH132" s="772">
        <f t="shared" ca="1" si="45"/>
        <v>26310.627051589505</v>
      </c>
      <c r="AI132" s="772">
        <f t="shared" ca="1" si="45"/>
        <v>28511.7483156987</v>
      </c>
      <c r="AJ132" s="772">
        <f t="shared" ca="1" si="45"/>
        <v>28511.7483156987</v>
      </c>
      <c r="AK132" s="772">
        <f t="shared" ca="1" si="45"/>
        <v>27834.021662717656</v>
      </c>
      <c r="AL132" s="772">
        <f t="shared" ca="1" si="45"/>
        <v>27834.021662717656</v>
      </c>
      <c r="AM132" s="772">
        <f t="shared" ca="1" si="45"/>
        <v>27097.692263956247</v>
      </c>
      <c r="AN132" s="772">
        <f t="shared" ca="1" si="45"/>
        <v>27097.692263956247</v>
      </c>
      <c r="AO132" s="772">
        <f t="shared" ca="1" si="45"/>
        <v>26310.627051589505</v>
      </c>
      <c r="AP132" s="772">
        <f t="shared" ca="1" si="45"/>
        <v>26310.627051589505</v>
      </c>
      <c r="AQ132" s="772">
        <f t="shared" ca="1" si="45"/>
        <v>26310.627051589505</v>
      </c>
      <c r="AR132" s="772">
        <f t="shared" ca="1" si="49"/>
        <v>28511.7483156987</v>
      </c>
      <c r="AS132" s="772">
        <f t="shared" ca="1" si="49"/>
        <v>28511.7483156987</v>
      </c>
      <c r="AT132" s="772">
        <f t="shared" ca="1" si="49"/>
        <v>27834.021662717656</v>
      </c>
      <c r="AU132" s="772">
        <f t="shared" ca="1" si="49"/>
        <v>27834.021662717656</v>
      </c>
      <c r="AV132" s="772">
        <f t="shared" ca="1" si="49"/>
        <v>27097.692263956247</v>
      </c>
      <c r="AW132" s="772">
        <f t="shared" ca="1" si="49"/>
        <v>27097.692263956247</v>
      </c>
      <c r="AX132" s="772">
        <f t="shared" ca="1" si="49"/>
        <v>26310.627051589505</v>
      </c>
      <c r="AY132" s="772">
        <f t="shared" ca="1" si="49"/>
        <v>26310.627051589505</v>
      </c>
      <c r="AZ132" s="772">
        <f t="shared" ca="1" si="49"/>
        <v>26310.627051589505</v>
      </c>
      <c r="BA132" s="772">
        <f t="shared" ca="1" si="49"/>
        <v>28511.7483156987</v>
      </c>
      <c r="BB132" s="772">
        <f t="shared" ca="1" si="48"/>
        <v>28511.7483156987</v>
      </c>
      <c r="BC132" s="772">
        <f t="shared" ca="1" si="48"/>
        <v>27834.021662717656</v>
      </c>
      <c r="BD132" s="772">
        <f t="shared" ca="1" si="48"/>
        <v>27097.692263956247</v>
      </c>
      <c r="BE132" s="772">
        <f t="shared" ca="1" si="48"/>
        <v>27097.692263956247</v>
      </c>
      <c r="BF132" s="772">
        <f t="shared" ca="1" si="48"/>
        <v>26310.627051589505</v>
      </c>
      <c r="BG132" s="772">
        <f t="shared" ca="1" si="48"/>
        <v>26310.627051589505</v>
      </c>
      <c r="BH132" s="772">
        <f t="shared" ref="BH132:BW147" ca="1" si="53">HLOOKUP(BH$7,$A$7:$P$348,ROW()-6)</f>
        <v>25483.824292200479</v>
      </c>
      <c r="BI132" s="772">
        <f t="shared" ca="1" si="53"/>
        <v>25483.824292200479</v>
      </c>
      <c r="BJ132" s="772">
        <f t="shared" ca="1" si="53"/>
        <v>27834.021662717656</v>
      </c>
      <c r="BK132" s="772">
        <f t="shared" ca="1" si="53"/>
        <v>27834.021662717656</v>
      </c>
      <c r="BL132" s="772">
        <f t="shared" ca="1" si="53"/>
        <v>27834.021662717656</v>
      </c>
      <c r="BM132" s="772">
        <f t="shared" ca="1" si="53"/>
        <v>27834.021662717656</v>
      </c>
      <c r="BN132" s="772">
        <f t="shared" ca="1" si="53"/>
        <v>26310.627051589505</v>
      </c>
      <c r="BO132" s="772">
        <f t="shared" ca="1" si="53"/>
        <v>26310.627051589505</v>
      </c>
      <c r="BP132" s="772">
        <f t="shared" ca="1" si="53"/>
        <v>25483.824292200479</v>
      </c>
      <c r="BQ132" s="772">
        <f t="shared" ca="1" si="53"/>
        <v>25483.824292200479</v>
      </c>
      <c r="BR132" s="772">
        <f t="shared" ca="1" si="53"/>
        <v>24630.107880141652</v>
      </c>
      <c r="BS132" s="772">
        <f t="shared" ca="1" si="53"/>
        <v>27834.021662717656</v>
      </c>
      <c r="BT132" s="772">
        <f t="shared" ca="1" si="53"/>
        <v>27834.021662717656</v>
      </c>
      <c r="BU132" s="772">
        <f t="shared" ca="1" si="53"/>
        <v>27834.021662717656</v>
      </c>
      <c r="BV132" s="772">
        <f t="shared" ca="1" si="53"/>
        <v>27097.692263956247</v>
      </c>
      <c r="BW132" s="772">
        <f t="shared" ca="1" si="53"/>
        <v>27097.692263956247</v>
      </c>
      <c r="BX132" s="772">
        <f t="shared" ca="1" si="51"/>
        <v>25483.824292200479</v>
      </c>
      <c r="BY132" s="772">
        <f t="shared" ca="1" si="51"/>
        <v>25483.824292200479</v>
      </c>
      <c r="BZ132" s="772">
        <f t="shared" ca="1" si="52"/>
        <v>24630.107880141652</v>
      </c>
      <c r="CA132" s="772">
        <f t="shared" ca="1" si="52"/>
        <v>24630.107880141652</v>
      </c>
      <c r="CB132" s="772">
        <f t="shared" ca="1" si="52"/>
        <v>27097.692263956247</v>
      </c>
      <c r="CC132" s="772">
        <f t="shared" ca="1" si="52"/>
        <v>27097.692263956247</v>
      </c>
      <c r="CD132" s="772">
        <f t="shared" ca="1" si="52"/>
        <v>27097.692263956247</v>
      </c>
      <c r="CE132" s="772">
        <f t="shared" ca="1" si="43"/>
        <v>27097.692263956247</v>
      </c>
      <c r="CF132" s="772">
        <f t="shared" ca="1" si="43"/>
        <v>26310.627051589505</v>
      </c>
      <c r="CG132" s="772">
        <f t="shared" ca="1" si="43"/>
        <v>25483.824292200479</v>
      </c>
      <c r="CH132" s="772">
        <f t="shared" ca="1" si="43"/>
        <v>24630.107880141652</v>
      </c>
      <c r="CI132" s="772">
        <f t="shared" ca="1" si="43"/>
        <v>24630.107880141652</v>
      </c>
      <c r="CJ132" s="772">
        <f t="shared" ca="1" si="43"/>
        <v>23762.618859054135</v>
      </c>
    </row>
    <row r="133" spans="1:88" ht="15" customHeight="1">
      <c r="A133" s="770">
        <f>'kc-Wert für Stützen'!C133</f>
        <v>185</v>
      </c>
      <c r="B133" s="768">
        <f ca="1">INDIRECT("'kc-Wert für Stützen'!"&amp;SUBSTITUTE(ADDRESS(MATCH($A133,'kc-Wert für Stützen'!$C:$C,0),MATCH(B$7,'kc-Wert für Stützen'!$A$8:$ES$8,0)+7,4),,))</f>
        <v>30081.497203316052</v>
      </c>
      <c r="C133" s="768">
        <f ca="1">INDIRECT("'kc-Wert für Stützen'!"&amp;SUBSTITUTE(ADDRESS(MATCH($A133,'kc-Wert für Stützen'!$C:$C,0),MATCH(C$7,'kc-Wert für Stützen'!$A$8:$ES$8,0)+7,4),,))</f>
        <v>29535.944731525164</v>
      </c>
      <c r="D133" s="768">
        <f ca="1">INDIRECT("'kc-Wert für Stützen'!"&amp;SUBSTITUTE(ADDRESS(MATCH($A133,'kc-Wert für Stützen'!$C:$C,0),MATCH(D$7,'kc-Wert für Stützen'!$A$8:$ES$8,0)+7,4),,))</f>
        <v>28927.684058882063</v>
      </c>
      <c r="E133" s="768">
        <f ca="1">INDIRECT("'kc-Wert für Stützen'!"&amp;SUBSTITUTE(ADDRESS(MATCH($A133,'kc-Wert für Stützen'!$C:$C,0),MATCH(E$7,'kc-Wert für Stützen'!$A$8:$ES$8,0)+7,4),,))</f>
        <v>28256.482556835694</v>
      </c>
      <c r="F133" s="768">
        <f ca="1">INDIRECT("'kc-Wert für Stützen'!"&amp;SUBSTITUTE(ADDRESS(MATCH($A133,'kc-Wert für Stützen'!$C:$C,0),MATCH(F$7,'kc-Wert für Stützen'!$A$8:$ES$8,0)+7,4),,))</f>
        <v>27525.723280931674</v>
      </c>
      <c r="G133" s="768">
        <f ca="1">INDIRECT("'kc-Wert für Stützen'!"&amp;SUBSTITUTE(ADDRESS(MATCH($A133,'kc-Wert für Stützen'!$C:$C,0),MATCH(G$7,'kc-Wert für Stützen'!$A$8:$ES$8,0)+7,4),,))</f>
        <v>26742.611446084305</v>
      </c>
      <c r="H133" s="768">
        <f ca="1">INDIRECT("'kc-Wert für Stützen'!"&amp;SUBSTITUTE(ADDRESS(MATCH($A133,'kc-Wert für Stützen'!$C:$C,0),MATCH(H$7,'kc-Wert für Stützen'!$A$8:$ES$8,0)+7,4),,))</f>
        <v>25917.621585647084</v>
      </c>
      <c r="I133" s="768">
        <f ca="1">INDIRECT("'kc-Wert für Stützen'!"&amp;SUBSTITUTE(ADDRESS(MATCH($A133,'kc-Wert für Stützen'!$C:$C,0),MATCH(I$7,'kc-Wert für Stützen'!$A$8:$ES$8,0)+7,4),,))</f>
        <v>25063.293132545845</v>
      </c>
      <c r="J133" s="768">
        <f ca="1">INDIRECT("'kc-Wert für Stützen'!"&amp;SUBSTITUTE(ADDRESS(MATCH($A133,'kc-Wert für Stützen'!$C:$C,0),MATCH(J$7,'kc-Wert für Stützen'!$A$8:$ES$8,0)+7,4),,))</f>
        <v>24192.747500352547</v>
      </c>
      <c r="K133" s="768">
        <f ca="1">INDIRECT("'kc-Wert für Stützen'!"&amp;SUBSTITUTE(ADDRESS(MATCH($A133,'kc-Wert für Stützen'!$C:$C,0),MATCH(K$7,'kc-Wert für Stützen'!$A$8:$ES$8,0)+7,4),,))</f>
        <v>23318.355639712601</v>
      </c>
      <c r="L133" s="768">
        <f ca="1">INDIRECT("'kc-Wert für Stützen'!"&amp;SUBSTITUTE(ADDRESS(MATCH($A133,'kc-Wert für Stützen'!$C:$C,0),MATCH(L$7,'kc-Wert für Stützen'!$A$8:$ES$8,0)+7,4),,))</f>
        <v>22450.831903947856</v>
      </c>
      <c r="M133" s="768">
        <f ca="1">INDIRECT("'kc-Wert für Stützen'!"&amp;SUBSTITUTE(ADDRESS(MATCH($A133,'kc-Wert für Stützen'!$C:$C,0),MATCH(M$7,'kc-Wert für Stützen'!$A$8:$ES$8,0)+7,4),,))</f>
        <v>21598.811012489205</v>
      </c>
      <c r="N133" s="768">
        <f ca="1">INDIRECT("'kc-Wert für Stützen'!"&amp;SUBSTITUTE(ADDRESS(MATCH($A133,'kc-Wert für Stützen'!$C:$C,0),MATCH(N$7,'kc-Wert für Stützen'!$A$8:$ES$8,0)+7,4),,))</f>
        <v>20768.811537249945</v>
      </c>
      <c r="O133" s="768">
        <f ca="1">INDIRECT("'kc-Wert für Stützen'!"&amp;SUBSTITUTE(ADDRESS(MATCH($A133,'kc-Wert für Stützen'!$C:$C,0),MATCH(O$7,'kc-Wert für Stützen'!$A$8:$ES$8,0)+7,4),,))</f>
        <v>19965.43772117202</v>
      </c>
      <c r="P133" s="768">
        <f ca="1">INDIRECT("'kc-Wert für Stützen'!"&amp;SUBSTITUTE(ADDRESS(MATCH($A133,'kc-Wert für Stützen'!$C:$C,0),MATCH(P$7,'kc-Wert für Stützen'!$A$8:$ES$8,0)+7,4),,))</f>
        <v>19191.689148874222</v>
      </c>
      <c r="S133" s="772">
        <f t="shared" ca="1" si="31"/>
        <v>28927.684058882063</v>
      </c>
      <c r="T133" s="772">
        <f t="shared" ca="1" si="50"/>
        <v>28927.684058882063</v>
      </c>
      <c r="U133" s="772">
        <f t="shared" ca="1" si="50"/>
        <v>28927.684058882063</v>
      </c>
      <c r="V133" s="772">
        <f t="shared" ca="1" si="50"/>
        <v>28256.482556835694</v>
      </c>
      <c r="W133" s="772">
        <f t="shared" ca="1" si="50"/>
        <v>27525.723280931674</v>
      </c>
      <c r="X133" s="772">
        <f t="shared" ca="1" si="50"/>
        <v>26742.611446084305</v>
      </c>
      <c r="Y133" s="772">
        <f t="shared" ca="1" si="50"/>
        <v>25917.621585647084</v>
      </c>
      <c r="Z133" s="772">
        <f t="shared" ca="1" si="50"/>
        <v>28927.684058882063</v>
      </c>
      <c r="AA133" s="772">
        <f t="shared" ca="1" si="50"/>
        <v>28927.684058882063</v>
      </c>
      <c r="AB133" s="772">
        <f t="shared" ca="1" si="45"/>
        <v>28256.482556835694</v>
      </c>
      <c r="AC133" s="772">
        <f t="shared" ca="1" si="45"/>
        <v>28256.482556835694</v>
      </c>
      <c r="AD133" s="772">
        <f t="shared" ca="1" si="45"/>
        <v>27525.723280931674</v>
      </c>
      <c r="AE133" s="772">
        <f t="shared" ca="1" si="45"/>
        <v>27525.723280931674</v>
      </c>
      <c r="AF133" s="772">
        <f t="shared" ca="1" si="45"/>
        <v>26742.611446084305</v>
      </c>
      <c r="AG133" s="772">
        <f t="shared" ca="1" si="45"/>
        <v>26742.611446084305</v>
      </c>
      <c r="AH133" s="772">
        <f t="shared" ca="1" si="45"/>
        <v>26742.611446084305</v>
      </c>
      <c r="AI133" s="772">
        <f t="shared" ca="1" si="45"/>
        <v>28927.684058882063</v>
      </c>
      <c r="AJ133" s="772">
        <f t="shared" ca="1" si="45"/>
        <v>28927.684058882063</v>
      </c>
      <c r="AK133" s="772">
        <f t="shared" ca="1" si="45"/>
        <v>28256.482556835694</v>
      </c>
      <c r="AL133" s="772">
        <f t="shared" ca="1" si="45"/>
        <v>28256.482556835694</v>
      </c>
      <c r="AM133" s="772">
        <f t="shared" ca="1" si="45"/>
        <v>27525.723280931674</v>
      </c>
      <c r="AN133" s="772">
        <f t="shared" ca="1" si="45"/>
        <v>27525.723280931674</v>
      </c>
      <c r="AO133" s="772">
        <f t="shared" ca="1" si="45"/>
        <v>26742.611446084305</v>
      </c>
      <c r="AP133" s="772">
        <f t="shared" ca="1" si="45"/>
        <v>26742.611446084305</v>
      </c>
      <c r="AQ133" s="772">
        <f t="shared" ca="1" si="45"/>
        <v>26742.611446084305</v>
      </c>
      <c r="AR133" s="772">
        <f t="shared" ca="1" si="49"/>
        <v>28927.684058882063</v>
      </c>
      <c r="AS133" s="772">
        <f t="shared" ca="1" si="49"/>
        <v>28927.684058882063</v>
      </c>
      <c r="AT133" s="772">
        <f t="shared" ca="1" si="49"/>
        <v>28256.482556835694</v>
      </c>
      <c r="AU133" s="772">
        <f t="shared" ca="1" si="49"/>
        <v>28256.482556835694</v>
      </c>
      <c r="AV133" s="772">
        <f t="shared" ca="1" si="49"/>
        <v>27525.723280931674</v>
      </c>
      <c r="AW133" s="772">
        <f t="shared" ca="1" si="49"/>
        <v>27525.723280931674</v>
      </c>
      <c r="AX133" s="772">
        <f t="shared" ca="1" si="49"/>
        <v>26742.611446084305</v>
      </c>
      <c r="AY133" s="772">
        <f t="shared" ca="1" si="49"/>
        <v>26742.611446084305</v>
      </c>
      <c r="AZ133" s="772">
        <f t="shared" ca="1" si="49"/>
        <v>26742.611446084305</v>
      </c>
      <c r="BA133" s="772">
        <f t="shared" ca="1" si="49"/>
        <v>28927.684058882063</v>
      </c>
      <c r="BB133" s="772">
        <f t="shared" ref="BB133:BG142" ca="1" si="54">HLOOKUP(BB$7,$A$7:$P$348,ROW()-6)</f>
        <v>28927.684058882063</v>
      </c>
      <c r="BC133" s="772">
        <f t="shared" ca="1" si="54"/>
        <v>28256.482556835694</v>
      </c>
      <c r="BD133" s="772">
        <f t="shared" ca="1" si="54"/>
        <v>27525.723280931674</v>
      </c>
      <c r="BE133" s="772">
        <f t="shared" ca="1" si="54"/>
        <v>27525.723280931674</v>
      </c>
      <c r="BF133" s="772">
        <f t="shared" ca="1" si="54"/>
        <v>26742.611446084305</v>
      </c>
      <c r="BG133" s="772">
        <f t="shared" ca="1" si="54"/>
        <v>26742.611446084305</v>
      </c>
      <c r="BH133" s="772">
        <f t="shared" ca="1" si="53"/>
        <v>25917.621585647084</v>
      </c>
      <c r="BI133" s="772">
        <f t="shared" ca="1" si="53"/>
        <v>25917.621585647084</v>
      </c>
      <c r="BJ133" s="772">
        <f t="shared" ca="1" si="53"/>
        <v>28256.482556835694</v>
      </c>
      <c r="BK133" s="772">
        <f t="shared" ca="1" si="53"/>
        <v>28256.482556835694</v>
      </c>
      <c r="BL133" s="772">
        <f t="shared" ca="1" si="53"/>
        <v>28256.482556835694</v>
      </c>
      <c r="BM133" s="772">
        <f t="shared" ca="1" si="53"/>
        <v>28256.482556835694</v>
      </c>
      <c r="BN133" s="772">
        <f t="shared" ca="1" si="53"/>
        <v>26742.611446084305</v>
      </c>
      <c r="BO133" s="772">
        <f t="shared" ca="1" si="53"/>
        <v>26742.611446084305</v>
      </c>
      <c r="BP133" s="772">
        <f t="shared" ca="1" si="53"/>
        <v>25917.621585647084</v>
      </c>
      <c r="BQ133" s="772">
        <f t="shared" ca="1" si="53"/>
        <v>25917.621585647084</v>
      </c>
      <c r="BR133" s="772">
        <f t="shared" ca="1" si="53"/>
        <v>25063.293132545845</v>
      </c>
      <c r="BS133" s="772">
        <f t="shared" ca="1" si="53"/>
        <v>28256.482556835694</v>
      </c>
      <c r="BT133" s="772">
        <f t="shared" ca="1" si="53"/>
        <v>28256.482556835694</v>
      </c>
      <c r="BU133" s="772">
        <f t="shared" ca="1" si="53"/>
        <v>28256.482556835694</v>
      </c>
      <c r="BV133" s="772">
        <f t="shared" ca="1" si="53"/>
        <v>27525.723280931674</v>
      </c>
      <c r="BW133" s="772">
        <f t="shared" ca="1" si="53"/>
        <v>27525.723280931674</v>
      </c>
      <c r="BX133" s="772">
        <f t="shared" ca="1" si="43"/>
        <v>25917.621585647084</v>
      </c>
      <c r="BY133" s="772">
        <f t="shared" ca="1" si="43"/>
        <v>25917.621585647084</v>
      </c>
      <c r="BZ133" s="772">
        <f t="shared" ca="1" si="43"/>
        <v>25063.293132545845</v>
      </c>
      <c r="CA133" s="772">
        <f t="shared" ca="1" si="43"/>
        <v>25063.293132545845</v>
      </c>
      <c r="CB133" s="772">
        <f t="shared" ca="1" si="43"/>
        <v>27525.723280931674</v>
      </c>
      <c r="CC133" s="772">
        <f t="shared" ca="1" si="43"/>
        <v>27525.723280931674</v>
      </c>
      <c r="CD133" s="772">
        <f t="shared" ca="1" si="43"/>
        <v>27525.723280931674</v>
      </c>
      <c r="CE133" s="772">
        <f t="shared" ca="1" si="43"/>
        <v>27525.723280931674</v>
      </c>
      <c r="CF133" s="772">
        <f t="shared" ca="1" si="43"/>
        <v>26742.611446084305</v>
      </c>
      <c r="CG133" s="772">
        <f t="shared" ca="1" si="43"/>
        <v>25917.621585647084</v>
      </c>
      <c r="CH133" s="772">
        <f t="shared" ca="1" si="43"/>
        <v>25063.293132545845</v>
      </c>
      <c r="CI133" s="772">
        <f t="shared" ca="1" si="43"/>
        <v>25063.293132545845</v>
      </c>
      <c r="CJ133" s="772">
        <f t="shared" ca="1" si="43"/>
        <v>24192.747500352547</v>
      </c>
    </row>
    <row r="134" spans="1:88" ht="15" customHeight="1">
      <c r="A134" s="770">
        <f>'kc-Wert für Stützen'!C134</f>
        <v>186</v>
      </c>
      <c r="B134" s="768">
        <f ca="1">INDIRECT("'kc-Wert für Stützen'!"&amp;SUBSTITUTE(ADDRESS(MATCH($A134,'kc-Wert für Stützen'!$C:$C,0),MATCH(B$7,'kc-Wert für Stützen'!$A$8:$ES$8,0)+7,4),,))</f>
        <v>30485.271972319144</v>
      </c>
      <c r="C134" s="768">
        <f ca="1">INDIRECT("'kc-Wert für Stützen'!"&amp;SUBSTITUTE(ADDRESS(MATCH($A134,'kc-Wert für Stützen'!$C:$C,0),MATCH(C$7,'kc-Wert für Stützen'!$A$8:$ES$8,0)+7,4),,))</f>
        <v>29946.217462046327</v>
      </c>
      <c r="D134" s="768">
        <f ca="1">INDIRECT("'kc-Wert für Stützen'!"&amp;SUBSTITUTE(ADDRESS(MATCH($A134,'kc-Wert für Stützen'!$C:$C,0),MATCH(D$7,'kc-Wert für Stützen'!$A$8:$ES$8,0)+7,4),,))</f>
        <v>29344.76918801371</v>
      </c>
      <c r="E134" s="768">
        <f ca="1">INDIRECT("'kc-Wert für Stützen'!"&amp;SUBSTITUTE(ADDRESS(MATCH($A134,'kc-Wert für Stützen'!$C:$C,0),MATCH(E$7,'kc-Wert für Stützen'!$A$8:$ES$8,0)+7,4),,))</f>
        <v>28680.184924474419</v>
      </c>
      <c r="F134" s="768">
        <f ca="1">INDIRECT("'kc-Wert für Stützen'!"&amp;SUBSTITUTE(ADDRESS(MATCH($A134,'kc-Wert für Stützen'!$C:$C,0),MATCH(F$7,'kc-Wert für Stützen'!$A$8:$ES$8,0)+7,4),,))</f>
        <v>27955.206662650293</v>
      </c>
      <c r="G134" s="768">
        <f ca="1">INDIRECT("'kc-Wert für Stützen'!"&amp;SUBSTITUTE(ADDRESS(MATCH($A134,'kc-Wert für Stützen'!$C:$C,0),MATCH(G$7,'kc-Wert für Stützen'!$A$8:$ES$8,0)+7,4),,))</f>
        <v>27176.375140698874</v>
      </c>
      <c r="H134" s="768">
        <f ca="1">INDIRECT("'kc-Wert für Stützen'!"&amp;SUBSTITUTE(ADDRESS(MATCH($A134,'kc-Wert für Stützen'!$C:$C,0),MATCH(H$7,'kc-Wert für Stützen'!$A$8:$ES$8,0)+7,4),,))</f>
        <v>26353.61372325824</v>
      </c>
      <c r="I134" s="768">
        <f ca="1">INDIRECT("'kc-Wert für Stützen'!"&amp;SUBSTITUTE(ADDRESS(MATCH($A134,'kc-Wert für Stützen'!$C:$C,0),MATCH(I$7,'kc-Wert für Stützen'!$A$8:$ES$8,0)+7,4),,))</f>
        <v>25499.133400196686</v>
      </c>
      <c r="J134" s="768">
        <f ca="1">INDIRECT("'kc-Wert für Stützen'!"&amp;SUBSTITUTE(ADDRESS(MATCH($A134,'kc-Wert für Stützen'!$C:$C,0),MATCH(J$7,'kc-Wert für Stützen'!$A$8:$ES$8,0)+7,4),,))</f>
        <v>24625.989159878827</v>
      </c>
      <c r="K134" s="768">
        <f ca="1">INDIRECT("'kc-Wert für Stützen'!"&amp;SUBSTITUTE(ADDRESS(MATCH($A134,'kc-Wert für Stützen'!$C:$C,0),MATCH(K$7,'kc-Wert für Stützen'!$A$8:$ES$8,0)+7,4),,))</f>
        <v>23746.713873879919</v>
      </c>
      <c r="L134" s="768">
        <f ca="1">INDIRECT("'kc-Wert für Stützen'!"&amp;SUBSTITUTE(ADDRESS(MATCH($A134,'kc-Wert für Stützen'!$C:$C,0),MATCH(L$7,'kc-Wert für Stützen'!$A$8:$ES$8,0)+7,4),,))</f>
        <v>22872.335873869753</v>
      </c>
      <c r="M134" s="768">
        <f ca="1">INDIRECT("'kc-Wert für Stützen'!"&amp;SUBSTITUTE(ADDRESS(MATCH($A134,'kc-Wert für Stützen'!$C:$C,0),MATCH(M$7,'kc-Wert für Stützen'!$A$8:$ES$8,0)+7,4),,))</f>
        <v>22011.873835157636</v>
      </c>
      <c r="N134" s="768">
        <f ca="1">INDIRECT("'kc-Wert für Stützen'!"&amp;SUBSTITUTE(ADDRESS(MATCH($A134,'kc-Wert für Stützen'!$C:$C,0),MATCH(N$7,'kc-Wert für Stützen'!$A$8:$ES$8,0)+7,4),,))</f>
        <v>21172.235897571016</v>
      </c>
      <c r="O134" s="768">
        <f ca="1">INDIRECT("'kc-Wert für Stützen'!"&amp;SUBSTITUTE(ADDRESS(MATCH($A134,'kc-Wert für Stützen'!$C:$C,0),MATCH(O$7,'kc-Wert für Stützen'!$A$8:$ES$8,0)+7,4),,))</f>
        <v>20358.381741381465</v>
      </c>
      <c r="P134" s="768">
        <f ca="1">INDIRECT("'kc-Wert für Stützen'!"&amp;SUBSTITUTE(ADDRESS(MATCH($A134,'kc-Wert für Stützen'!$C:$C,0),MATCH(P$7,'kc-Wert für Stützen'!$A$8:$ES$8,0)+7,4),,))</f>
        <v>19573.613689226371</v>
      </c>
      <c r="S134" s="772">
        <f t="shared" ca="1" si="31"/>
        <v>29344.76918801371</v>
      </c>
      <c r="T134" s="772">
        <f t="shared" ca="1" si="50"/>
        <v>29344.76918801371</v>
      </c>
      <c r="U134" s="772">
        <f t="shared" ca="1" si="50"/>
        <v>29344.76918801371</v>
      </c>
      <c r="V134" s="772">
        <f t="shared" ca="1" si="50"/>
        <v>28680.184924474419</v>
      </c>
      <c r="W134" s="772">
        <f t="shared" ca="1" si="50"/>
        <v>27955.206662650293</v>
      </c>
      <c r="X134" s="772">
        <f t="shared" ca="1" si="50"/>
        <v>27176.375140698874</v>
      </c>
      <c r="Y134" s="772">
        <f t="shared" ca="1" si="50"/>
        <v>26353.61372325824</v>
      </c>
      <c r="Z134" s="772">
        <f t="shared" ca="1" si="50"/>
        <v>29344.76918801371</v>
      </c>
      <c r="AA134" s="772">
        <f t="shared" ca="1" si="50"/>
        <v>29344.76918801371</v>
      </c>
      <c r="AB134" s="772">
        <f t="shared" ca="1" si="45"/>
        <v>28680.184924474419</v>
      </c>
      <c r="AC134" s="772">
        <f t="shared" ca="1" si="45"/>
        <v>28680.184924474419</v>
      </c>
      <c r="AD134" s="772">
        <f t="shared" ca="1" si="45"/>
        <v>27955.206662650293</v>
      </c>
      <c r="AE134" s="772">
        <f t="shared" ca="1" si="45"/>
        <v>27955.206662650293</v>
      </c>
      <c r="AF134" s="772">
        <f t="shared" ca="1" si="45"/>
        <v>27176.375140698874</v>
      </c>
      <c r="AG134" s="772">
        <f t="shared" ca="1" si="45"/>
        <v>27176.375140698874</v>
      </c>
      <c r="AH134" s="772">
        <f t="shared" ca="1" si="45"/>
        <v>27176.375140698874</v>
      </c>
      <c r="AI134" s="772">
        <f t="shared" ca="1" si="45"/>
        <v>29344.76918801371</v>
      </c>
      <c r="AJ134" s="772">
        <f t="shared" ca="1" si="45"/>
        <v>29344.76918801371</v>
      </c>
      <c r="AK134" s="772">
        <f t="shared" ca="1" si="45"/>
        <v>28680.184924474419</v>
      </c>
      <c r="AL134" s="772">
        <f t="shared" ca="1" si="45"/>
        <v>28680.184924474419</v>
      </c>
      <c r="AM134" s="772">
        <f t="shared" ca="1" si="45"/>
        <v>27955.206662650293</v>
      </c>
      <c r="AN134" s="772">
        <f t="shared" ca="1" si="45"/>
        <v>27955.206662650293</v>
      </c>
      <c r="AO134" s="772">
        <f t="shared" ca="1" si="45"/>
        <v>27176.375140698874</v>
      </c>
      <c r="AP134" s="772">
        <f t="shared" ca="1" si="45"/>
        <v>27176.375140698874</v>
      </c>
      <c r="AQ134" s="772">
        <f t="shared" ca="1" si="45"/>
        <v>27176.375140698874</v>
      </c>
      <c r="AR134" s="772">
        <f t="shared" ref="AR134:BA143" ca="1" si="55">HLOOKUP(AR$7,$A$7:$P$348,ROW()-6)</f>
        <v>29344.76918801371</v>
      </c>
      <c r="AS134" s="772">
        <f t="shared" ca="1" si="55"/>
        <v>29344.76918801371</v>
      </c>
      <c r="AT134" s="772">
        <f t="shared" ca="1" si="55"/>
        <v>28680.184924474419</v>
      </c>
      <c r="AU134" s="772">
        <f t="shared" ca="1" si="55"/>
        <v>28680.184924474419</v>
      </c>
      <c r="AV134" s="772">
        <f t="shared" ca="1" si="55"/>
        <v>27955.206662650293</v>
      </c>
      <c r="AW134" s="772">
        <f t="shared" ca="1" si="55"/>
        <v>27955.206662650293</v>
      </c>
      <c r="AX134" s="772">
        <f t="shared" ca="1" si="55"/>
        <v>27176.375140698874</v>
      </c>
      <c r="AY134" s="772">
        <f t="shared" ca="1" si="55"/>
        <v>27176.375140698874</v>
      </c>
      <c r="AZ134" s="772">
        <f t="shared" ca="1" si="55"/>
        <v>27176.375140698874</v>
      </c>
      <c r="BA134" s="772">
        <f t="shared" ca="1" si="55"/>
        <v>29344.76918801371</v>
      </c>
      <c r="BB134" s="772">
        <f t="shared" ca="1" si="54"/>
        <v>29344.76918801371</v>
      </c>
      <c r="BC134" s="772">
        <f t="shared" ca="1" si="54"/>
        <v>28680.184924474419</v>
      </c>
      <c r="BD134" s="772">
        <f t="shared" ca="1" si="54"/>
        <v>27955.206662650293</v>
      </c>
      <c r="BE134" s="772">
        <f t="shared" ca="1" si="54"/>
        <v>27955.206662650293</v>
      </c>
      <c r="BF134" s="772">
        <f t="shared" ca="1" si="54"/>
        <v>27176.375140698874</v>
      </c>
      <c r="BG134" s="772">
        <f t="shared" ca="1" si="54"/>
        <v>27176.375140698874</v>
      </c>
      <c r="BH134" s="772">
        <f t="shared" ca="1" si="53"/>
        <v>26353.61372325824</v>
      </c>
      <c r="BI134" s="772">
        <f t="shared" ca="1" si="53"/>
        <v>26353.61372325824</v>
      </c>
      <c r="BJ134" s="772">
        <f t="shared" ca="1" si="53"/>
        <v>28680.184924474419</v>
      </c>
      <c r="BK134" s="772">
        <f t="shared" ca="1" si="53"/>
        <v>28680.184924474419</v>
      </c>
      <c r="BL134" s="772">
        <f t="shared" ca="1" si="53"/>
        <v>28680.184924474419</v>
      </c>
      <c r="BM134" s="772">
        <f t="shared" ca="1" si="53"/>
        <v>28680.184924474419</v>
      </c>
      <c r="BN134" s="772">
        <f t="shared" ca="1" si="53"/>
        <v>27176.375140698874</v>
      </c>
      <c r="BO134" s="772">
        <f t="shared" ca="1" si="53"/>
        <v>27176.375140698874</v>
      </c>
      <c r="BP134" s="772">
        <f t="shared" ca="1" si="53"/>
        <v>26353.61372325824</v>
      </c>
      <c r="BQ134" s="772">
        <f t="shared" ca="1" si="53"/>
        <v>26353.61372325824</v>
      </c>
      <c r="BR134" s="772">
        <f t="shared" ca="1" si="53"/>
        <v>25499.133400196686</v>
      </c>
      <c r="BS134" s="772">
        <f t="shared" ca="1" si="53"/>
        <v>28680.184924474419</v>
      </c>
      <c r="BT134" s="772">
        <f t="shared" ca="1" si="53"/>
        <v>28680.184924474419</v>
      </c>
      <c r="BU134" s="772">
        <f t="shared" ca="1" si="53"/>
        <v>28680.184924474419</v>
      </c>
      <c r="BV134" s="772">
        <f t="shared" ca="1" si="53"/>
        <v>27955.206662650293</v>
      </c>
      <c r="BW134" s="772">
        <f t="shared" ca="1" si="53"/>
        <v>27955.206662650293</v>
      </c>
      <c r="BX134" s="772">
        <f t="shared" ca="1" si="43"/>
        <v>26353.61372325824</v>
      </c>
      <c r="BY134" s="772">
        <f t="shared" ca="1" si="43"/>
        <v>26353.61372325824</v>
      </c>
      <c r="BZ134" s="772">
        <f t="shared" ca="1" si="43"/>
        <v>25499.133400196686</v>
      </c>
      <c r="CA134" s="772">
        <f t="shared" ca="1" si="43"/>
        <v>25499.133400196686</v>
      </c>
      <c r="CB134" s="772">
        <f t="shared" ca="1" si="43"/>
        <v>27955.206662650293</v>
      </c>
      <c r="CC134" s="772">
        <f t="shared" ca="1" si="43"/>
        <v>27955.206662650293</v>
      </c>
      <c r="CD134" s="772">
        <f t="shared" ca="1" si="43"/>
        <v>27955.206662650293</v>
      </c>
      <c r="CE134" s="772">
        <f t="shared" ca="1" si="43"/>
        <v>27955.206662650293</v>
      </c>
      <c r="CF134" s="772">
        <f t="shared" ca="1" si="43"/>
        <v>27176.375140698874</v>
      </c>
      <c r="CG134" s="772">
        <f t="shared" ca="1" si="43"/>
        <v>26353.61372325824</v>
      </c>
      <c r="CH134" s="772">
        <f t="shared" ca="1" si="43"/>
        <v>25499.133400196686</v>
      </c>
      <c r="CI134" s="772">
        <f t="shared" ca="1" si="43"/>
        <v>25499.133400196686</v>
      </c>
      <c r="CJ134" s="772">
        <f t="shared" ca="1" si="43"/>
        <v>24625.989159878827</v>
      </c>
    </row>
    <row r="135" spans="1:88" ht="15" customHeight="1">
      <c r="A135" s="770">
        <f>'kc-Wert für Stützen'!C135</f>
        <v>187</v>
      </c>
      <c r="B135" s="768">
        <f ca="1">INDIRECT("'kc-Wert für Stützen'!"&amp;SUBSTITUTE(ADDRESS(MATCH($A135,'kc-Wert für Stützen'!$C:$C,0),MATCH(B$7,'kc-Wert für Stützen'!$A$8:$ES$8,0)+7,4),,))</f>
        <v>30890.292870871006</v>
      </c>
      <c r="C135" s="768">
        <f ca="1">INDIRECT("'kc-Wert für Stützen'!"&amp;SUBSTITUTE(ADDRESS(MATCH($A135,'kc-Wert für Stützen'!$C:$C,0),MATCH(C$7,'kc-Wert für Stützen'!$A$8:$ES$8,0)+7,4),,))</f>
        <v>30357.654715562679</v>
      </c>
      <c r="D135" s="768">
        <f ca="1">INDIRECT("'kc-Wert für Stützen'!"&amp;SUBSTITUTE(ADDRESS(MATCH($A135,'kc-Wert für Stützen'!$C:$C,0),MATCH(D$7,'kc-Wert für Stützen'!$A$8:$ES$8,0)+7,4),,))</f>
        <v>29762.998885257733</v>
      </c>
      <c r="E135" s="768">
        <f ca="1">INDIRECT("'kc-Wert für Stützen'!"&amp;SUBSTITUTE(ADDRESS(MATCH($A135,'kc-Wert für Stützen'!$C:$C,0),MATCH(E$7,'kc-Wert für Stützen'!$A$8:$ES$8,0)+7,4),,))</f>
        <v>29105.105459415405</v>
      </c>
      <c r="F135" s="768">
        <f ca="1">INDIRECT("'kc-Wert für Stützen'!"&amp;SUBSTITUTE(ADDRESS(MATCH($A135,'kc-Wert für Stützen'!$C:$C,0),MATCH(F$7,'kc-Wert für Stützen'!$A$8:$ES$8,0)+7,4),,))</f>
        <v>28386.097451628902</v>
      </c>
      <c r="G135" s="768">
        <f ca="1">INDIRECT("'kc-Wert für Stützen'!"&amp;SUBSTITUTE(ADDRESS(MATCH($A135,'kc-Wert für Stützen'!$C:$C,0),MATCH(G$7,'kc-Wert für Stützen'!$A$8:$ES$8,0)+7,4),,))</f>
        <v>27611.852589390735</v>
      </c>
      <c r="H135" s="768">
        <f ca="1">INDIRECT("'kc-Wert für Stützen'!"&amp;SUBSTITUTE(ADDRESS(MATCH($A135,'kc-Wert für Stützen'!$C:$C,0),MATCH(H$7,'kc-Wert für Stützen'!$A$8:$ES$8,0)+7,4),,))</f>
        <v>26791.719993390619</v>
      </c>
      <c r="I135" s="768">
        <f ca="1">INDIRECT("'kc-Wert für Stützen'!"&amp;SUBSTITUTE(ADDRESS(MATCH($A135,'kc-Wert für Stützen'!$C:$C,0),MATCH(I$7,'kc-Wert für Stützen'!$A$8:$ES$8,0)+7,4),,))</f>
        <v>25937.540908190716</v>
      </c>
      <c r="J135" s="768">
        <f ca="1">INDIRECT("'kc-Wert für Stützen'!"&amp;SUBSTITUTE(ADDRESS(MATCH($A135,'kc-Wert für Stützen'!$C:$C,0),MATCH(J$7,'kc-Wert für Stützen'!$A$8:$ES$8,0)+7,4),,))</f>
        <v>25062.257328565684</v>
      </c>
      <c r="K135" s="768">
        <f ca="1">INDIRECT("'kc-Wert für Stützen'!"&amp;SUBSTITUTE(ADDRESS(MATCH($A135,'kc-Wert für Stützen'!$C:$C,0),MATCH(K$7,'kc-Wert für Stützen'!$A$8:$ES$8,0)+7,4),,))</f>
        <v>24178.524483935929</v>
      </c>
      <c r="L135" s="768">
        <f ca="1">INDIRECT("'kc-Wert für Stützen'!"&amp;SUBSTITUTE(ADDRESS(MATCH($A135,'kc-Wert für Stützen'!$C:$C,0),MATCH(L$7,'kc-Wert für Stützen'!$A$8:$ES$8,0)+7,4),,))</f>
        <v>23297.658651811074</v>
      </c>
      <c r="M135" s="768">
        <f ca="1">INDIRECT("'kc-Wert für Stützen'!"&amp;SUBSTITUTE(ADDRESS(MATCH($A135,'kc-Wert für Stützen'!$C:$C,0),MATCH(M$7,'kc-Wert für Stützen'!$A$8:$ES$8,0)+7,4),,))</f>
        <v>22429.050399398086</v>
      </c>
      <c r="N135" s="768">
        <f ca="1">INDIRECT("'kc-Wert für Stützen'!"&amp;SUBSTITUTE(ADDRESS(MATCH($A135,'kc-Wert für Stützen'!$C:$C,0),MATCH(N$7,'kc-Wert für Stützen'!$A$8:$ES$8,0)+7,4),,))</f>
        <v>21579.996196815762</v>
      </c>
      <c r="O135" s="768">
        <f ca="1">INDIRECT("'kc-Wert für Stützen'!"&amp;SUBSTITUTE(ADDRESS(MATCH($A135,'kc-Wert für Stützen'!$C:$C,0),MATCH(O$7,'kc-Wert für Stützen'!$A$8:$ES$8,0)+7,4),,))</f>
        <v>20755.81668371888</v>
      </c>
      <c r="P135" s="768">
        <f ca="1">INDIRECT("'kc-Wert für Stützen'!"&amp;SUBSTITUTE(ADDRESS(MATCH($A135,'kc-Wert für Stützen'!$C:$C,0),MATCH(P$7,'kc-Wert für Stützen'!$A$8:$ES$8,0)+7,4),,))</f>
        <v>19960.12575319612</v>
      </c>
      <c r="S135" s="772">
        <f t="shared" ca="1" si="31"/>
        <v>29762.998885257733</v>
      </c>
      <c r="T135" s="772">
        <f t="shared" ca="1" si="50"/>
        <v>29762.998885257733</v>
      </c>
      <c r="U135" s="772">
        <f t="shared" ca="1" si="50"/>
        <v>29762.998885257733</v>
      </c>
      <c r="V135" s="772">
        <f t="shared" ca="1" si="50"/>
        <v>29105.105459415405</v>
      </c>
      <c r="W135" s="772">
        <f t="shared" ca="1" si="50"/>
        <v>28386.097451628902</v>
      </c>
      <c r="X135" s="772">
        <f t="shared" ca="1" si="50"/>
        <v>27611.852589390735</v>
      </c>
      <c r="Y135" s="772">
        <f t="shared" ca="1" si="50"/>
        <v>26791.719993390619</v>
      </c>
      <c r="Z135" s="772">
        <f t="shared" ca="1" si="50"/>
        <v>29762.998885257733</v>
      </c>
      <c r="AA135" s="772">
        <f t="shared" ca="1" si="50"/>
        <v>29762.998885257733</v>
      </c>
      <c r="AB135" s="772">
        <f t="shared" ca="1" si="45"/>
        <v>29105.105459415405</v>
      </c>
      <c r="AC135" s="772">
        <f t="shared" ca="1" si="45"/>
        <v>29105.105459415405</v>
      </c>
      <c r="AD135" s="772">
        <f t="shared" ca="1" si="45"/>
        <v>28386.097451628902</v>
      </c>
      <c r="AE135" s="772">
        <f t="shared" ca="1" si="45"/>
        <v>28386.097451628902</v>
      </c>
      <c r="AF135" s="772">
        <f t="shared" ca="1" si="45"/>
        <v>27611.852589390735</v>
      </c>
      <c r="AG135" s="772">
        <f t="shared" ca="1" si="45"/>
        <v>27611.852589390735</v>
      </c>
      <c r="AH135" s="772">
        <f t="shared" ca="1" si="45"/>
        <v>27611.852589390735</v>
      </c>
      <c r="AI135" s="772">
        <f t="shared" ca="1" si="45"/>
        <v>29762.998885257733</v>
      </c>
      <c r="AJ135" s="772">
        <f t="shared" ca="1" si="45"/>
        <v>29762.998885257733</v>
      </c>
      <c r="AK135" s="772">
        <f t="shared" ca="1" si="45"/>
        <v>29105.105459415405</v>
      </c>
      <c r="AL135" s="772">
        <f t="shared" ca="1" si="45"/>
        <v>29105.105459415405</v>
      </c>
      <c r="AM135" s="772">
        <f t="shared" ca="1" si="45"/>
        <v>28386.097451628902</v>
      </c>
      <c r="AN135" s="772">
        <f t="shared" ref="AN135:AQ143" ca="1" si="56">HLOOKUP(AN$7,$A$7:$P$348,ROW()-6)</f>
        <v>28386.097451628902</v>
      </c>
      <c r="AO135" s="772">
        <f t="shared" ca="1" si="56"/>
        <v>27611.852589390735</v>
      </c>
      <c r="AP135" s="772">
        <f t="shared" ca="1" si="56"/>
        <v>27611.852589390735</v>
      </c>
      <c r="AQ135" s="772">
        <f t="shared" ca="1" si="56"/>
        <v>27611.852589390735</v>
      </c>
      <c r="AR135" s="772">
        <f t="shared" ca="1" si="55"/>
        <v>29762.998885257733</v>
      </c>
      <c r="AS135" s="772">
        <f t="shared" ca="1" si="55"/>
        <v>29762.998885257733</v>
      </c>
      <c r="AT135" s="772">
        <f t="shared" ca="1" si="55"/>
        <v>29105.105459415405</v>
      </c>
      <c r="AU135" s="772">
        <f t="shared" ca="1" si="55"/>
        <v>29105.105459415405</v>
      </c>
      <c r="AV135" s="772">
        <f t="shared" ca="1" si="55"/>
        <v>28386.097451628902</v>
      </c>
      <c r="AW135" s="772">
        <f t="shared" ca="1" si="55"/>
        <v>28386.097451628902</v>
      </c>
      <c r="AX135" s="772">
        <f t="shared" ca="1" si="55"/>
        <v>27611.852589390735</v>
      </c>
      <c r="AY135" s="772">
        <f t="shared" ca="1" si="55"/>
        <v>27611.852589390735</v>
      </c>
      <c r="AZ135" s="772">
        <f t="shared" ca="1" si="55"/>
        <v>27611.852589390735</v>
      </c>
      <c r="BA135" s="772">
        <f t="shared" ca="1" si="55"/>
        <v>29762.998885257733</v>
      </c>
      <c r="BB135" s="772">
        <f t="shared" ca="1" si="54"/>
        <v>29762.998885257733</v>
      </c>
      <c r="BC135" s="772">
        <f t="shared" ca="1" si="54"/>
        <v>29105.105459415405</v>
      </c>
      <c r="BD135" s="772">
        <f t="shared" ca="1" si="54"/>
        <v>28386.097451628902</v>
      </c>
      <c r="BE135" s="772">
        <f t="shared" ca="1" si="54"/>
        <v>28386.097451628902</v>
      </c>
      <c r="BF135" s="772">
        <f t="shared" ca="1" si="54"/>
        <v>27611.852589390735</v>
      </c>
      <c r="BG135" s="772">
        <f t="shared" ca="1" si="54"/>
        <v>27611.852589390735</v>
      </c>
      <c r="BH135" s="772">
        <f t="shared" ca="1" si="53"/>
        <v>26791.719993390619</v>
      </c>
      <c r="BI135" s="772">
        <f t="shared" ca="1" si="53"/>
        <v>26791.719993390619</v>
      </c>
      <c r="BJ135" s="772">
        <f t="shared" ca="1" si="53"/>
        <v>29105.105459415405</v>
      </c>
      <c r="BK135" s="772">
        <f t="shared" ca="1" si="53"/>
        <v>29105.105459415405</v>
      </c>
      <c r="BL135" s="772">
        <f t="shared" ca="1" si="53"/>
        <v>29105.105459415405</v>
      </c>
      <c r="BM135" s="772">
        <f t="shared" ca="1" si="53"/>
        <v>29105.105459415405</v>
      </c>
      <c r="BN135" s="772">
        <f t="shared" ca="1" si="53"/>
        <v>27611.852589390735</v>
      </c>
      <c r="BO135" s="772">
        <f t="shared" ca="1" si="53"/>
        <v>27611.852589390735</v>
      </c>
      <c r="BP135" s="772">
        <f t="shared" ca="1" si="53"/>
        <v>26791.719993390619</v>
      </c>
      <c r="BQ135" s="772">
        <f t="shared" ca="1" si="53"/>
        <v>26791.719993390619</v>
      </c>
      <c r="BR135" s="772">
        <f t="shared" ca="1" si="53"/>
        <v>25937.540908190716</v>
      </c>
      <c r="BS135" s="772">
        <f t="shared" ca="1" si="53"/>
        <v>29105.105459415405</v>
      </c>
      <c r="BT135" s="772">
        <f t="shared" ca="1" si="53"/>
        <v>29105.105459415405</v>
      </c>
      <c r="BU135" s="772">
        <f t="shared" ca="1" si="53"/>
        <v>29105.105459415405</v>
      </c>
      <c r="BV135" s="772">
        <f t="shared" ca="1" si="53"/>
        <v>28386.097451628902</v>
      </c>
      <c r="BW135" s="772">
        <f t="shared" ca="1" si="53"/>
        <v>28386.097451628902</v>
      </c>
      <c r="BX135" s="772">
        <f t="shared" ca="1" si="43"/>
        <v>26791.719993390619</v>
      </c>
      <c r="BY135" s="772">
        <f t="shared" ca="1" si="43"/>
        <v>26791.719993390619</v>
      </c>
      <c r="BZ135" s="772">
        <f t="shared" ca="1" si="43"/>
        <v>25937.540908190716</v>
      </c>
      <c r="CA135" s="772">
        <f t="shared" ca="1" si="43"/>
        <v>25937.540908190716</v>
      </c>
      <c r="CB135" s="772">
        <f t="shared" ca="1" si="43"/>
        <v>28386.097451628902</v>
      </c>
      <c r="CC135" s="772">
        <f t="shared" ca="1" si="43"/>
        <v>28386.097451628902</v>
      </c>
      <c r="CD135" s="772">
        <f t="shared" ca="1" si="43"/>
        <v>28386.097451628902</v>
      </c>
      <c r="CE135" s="772">
        <f t="shared" ca="1" si="43"/>
        <v>28386.097451628902</v>
      </c>
      <c r="CF135" s="772">
        <f t="shared" ca="1" si="43"/>
        <v>27611.852589390735</v>
      </c>
      <c r="CG135" s="772">
        <f t="shared" ca="1" si="43"/>
        <v>26791.719993390619</v>
      </c>
      <c r="CH135" s="772">
        <f t="shared" ca="1" si="43"/>
        <v>25937.540908190716</v>
      </c>
      <c r="CI135" s="772">
        <f t="shared" ca="1" si="43"/>
        <v>25937.540908190716</v>
      </c>
      <c r="CJ135" s="772">
        <f t="shared" ca="1" si="43"/>
        <v>25062.257328565684</v>
      </c>
    </row>
    <row r="136" spans="1:88" ht="15" customHeight="1">
      <c r="A136" s="770">
        <f>'kc-Wert für Stützen'!C136</f>
        <v>188</v>
      </c>
      <c r="B136" s="768">
        <f ca="1">INDIRECT("'kc-Wert für Stützen'!"&amp;SUBSTITUTE(ADDRESS(MATCH($A136,'kc-Wert für Stützen'!$C:$C,0),MATCH(B$7,'kc-Wert für Stützen'!$A$8:$ES$8,0)+7,4),,))</f>
        <v>31296.575441978646</v>
      </c>
      <c r="C136" s="768">
        <f ca="1">INDIRECT("'kc-Wert für Stützen'!"&amp;SUBSTITUTE(ADDRESS(MATCH($A136,'kc-Wert für Stützen'!$C:$C,0),MATCH(C$7,'kc-Wert für Stützen'!$A$8:$ES$8,0)+7,4),,))</f>
        <v>30770.265942745336</v>
      </c>
      <c r="D136" s="768">
        <f ca="1">INDIRECT("'kc-Wert für Stützen'!"&amp;SUBSTITUTE(ADDRESS(MATCH($A136,'kc-Wert für Stützen'!$C:$C,0),MATCH(D$7,'kc-Wert für Stützen'!$A$8:$ES$8,0)+7,4),,))</f>
        <v>30182.370826406623</v>
      </c>
      <c r="E136" s="768">
        <f ca="1">INDIRECT("'kc-Wert für Stützen'!"&amp;SUBSTITUTE(ADDRESS(MATCH($A136,'kc-Wert für Stützen'!$C:$C,0),MATCH(E$7,'kc-Wert für Stützen'!$A$8:$ES$8,0)+7,4),,))</f>
        <v>29531.2243487368</v>
      </c>
      <c r="F136" s="768">
        <f ca="1">INDIRECT("'kc-Wert für Stützen'!"&amp;SUBSTITUTE(ADDRESS(MATCH($A136,'kc-Wert für Stützen'!$C:$C,0),MATCH(F$7,'kc-Wert für Stützen'!$A$8:$ES$8,0)+7,4),,))</f>
        <v>28818.354680939592</v>
      </c>
      <c r="G136" s="768">
        <f ca="1">INDIRECT("'kc-Wert für Stützen'!"&amp;SUBSTITUTE(ADDRESS(MATCH($A136,'kc-Wert für Stützen'!$C:$C,0),MATCH(G$7,'kc-Wert für Stützen'!$A$8:$ES$8,0)+7,4),,))</f>
        <v>28048.981938904129</v>
      </c>
      <c r="H136" s="768">
        <f ca="1">INDIRECT("'kc-Wert für Stützen'!"&amp;SUBSTITUTE(ADDRESS(MATCH($A136,'kc-Wert für Stützen'!$C:$C,0),MATCH(H$7,'kc-Wert für Stützen'!$A$8:$ES$8,0)+7,4),,))</f>
        <v>27231.862312379155</v>
      </c>
      <c r="I136" s="768">
        <f ca="1">INDIRECT("'kc-Wert für Stützen'!"&amp;SUBSTITUTE(ADDRESS(MATCH($A136,'kc-Wert für Stützen'!$C:$C,0),MATCH(I$7,'kc-Wert für Stützen'!$A$8:$ES$8,0)+7,4),,))</f>
        <v>26378.429013465593</v>
      </c>
      <c r="J136" s="768">
        <f ca="1">INDIRECT("'kc-Wert für Stützen'!"&amp;SUBSTITUTE(ADDRESS(MATCH($A136,'kc-Wert für Stützen'!$C:$C,0),MATCH(J$7,'kc-Wert für Stützen'!$A$8:$ES$8,0)+7,4),,))</f>
        <v>25501.465133586749</v>
      </c>
      <c r="K136" s="768">
        <f ca="1">INDIRECT("'kc-Wert für Stützen'!"&amp;SUBSTITUTE(ADDRESS(MATCH($A136,'kc-Wert für Stützen'!$C:$C,0),MATCH(K$7,'kc-Wert für Stützen'!$A$8:$ES$8,0)+7,4),,))</f>
        <v>24613.707311561284</v>
      </c>
      <c r="L136" s="768">
        <f ca="1">INDIRECT("'kc-Wert für Stützen'!"&amp;SUBSTITUTE(ADDRESS(MATCH($A136,'kc-Wert für Stützen'!$C:$C,0),MATCH(L$7,'kc-Wert für Stützen'!$A$8:$ES$8,0)+7,4),,))</f>
        <v>23726.731358105579</v>
      </c>
      <c r="M136" s="768">
        <f ca="1">INDIRECT("'kc-Wert für Stützen'!"&amp;SUBSTITUTE(ADDRESS(MATCH($A136,'kc-Wert für Stützen'!$C:$C,0),MATCH(M$7,'kc-Wert für Stützen'!$A$8:$ES$8,0)+7,4),,))</f>
        <v>22850.285285931081</v>
      </c>
      <c r="N136" s="768">
        <f ca="1">INDIRECT("'kc-Wert für Stützen'!"&amp;SUBSTITUTE(ADDRESS(MATCH($A136,'kc-Wert für Stützen'!$C:$C,0),MATCH(N$7,'kc-Wert für Stützen'!$A$8:$ES$8,0)+7,4),,))</f>
        <v>21992.050817584663</v>
      </c>
      <c r="O136" s="768">
        <f ca="1">INDIRECT("'kc-Wert für Stützen'!"&amp;SUBSTITUTE(ADDRESS(MATCH($A136,'kc-Wert für Stützen'!$C:$C,0),MATCH(O$7,'kc-Wert für Stützen'!$A$8:$ES$8,0)+7,4),,))</f>
        <v>21157.713901799325</v>
      </c>
      <c r="P136" s="768">
        <f ca="1">INDIRECT("'kc-Wert für Stützen'!"&amp;SUBSTITUTE(ADDRESS(MATCH($A136,'kc-Wert für Stützen'!$C:$C,0),MATCH(P$7,'kc-Wert für Stützen'!$A$8:$ES$8,0)+7,4),,))</f>
        <v>20351.208225980692</v>
      </c>
      <c r="S136" s="772">
        <f t="shared" ca="1" si="31"/>
        <v>30182.370826406623</v>
      </c>
      <c r="T136" s="772">
        <f t="shared" ca="1" si="50"/>
        <v>30182.370826406623</v>
      </c>
      <c r="U136" s="772">
        <f t="shared" ca="1" si="50"/>
        <v>30182.370826406623</v>
      </c>
      <c r="V136" s="772">
        <f t="shared" ca="1" si="50"/>
        <v>29531.2243487368</v>
      </c>
      <c r="W136" s="772">
        <f t="shared" ca="1" si="50"/>
        <v>28818.354680939592</v>
      </c>
      <c r="X136" s="772">
        <f t="shared" ca="1" si="50"/>
        <v>28048.981938904129</v>
      </c>
      <c r="Y136" s="772">
        <f t="shared" ca="1" si="50"/>
        <v>27231.862312379155</v>
      </c>
      <c r="Z136" s="772">
        <f t="shared" ca="1" si="50"/>
        <v>30182.370826406623</v>
      </c>
      <c r="AA136" s="772">
        <f t="shared" ca="1" si="50"/>
        <v>30182.370826406623</v>
      </c>
      <c r="AB136" s="772">
        <f t="shared" ref="AB136:AQ155" ca="1" si="57">HLOOKUP(AB$7,$A$7:$P$348,ROW()-6)</f>
        <v>29531.2243487368</v>
      </c>
      <c r="AC136" s="772">
        <f t="shared" ca="1" si="57"/>
        <v>29531.2243487368</v>
      </c>
      <c r="AD136" s="772">
        <f t="shared" ca="1" si="57"/>
        <v>28818.354680939592</v>
      </c>
      <c r="AE136" s="772">
        <f t="shared" ca="1" si="57"/>
        <v>28818.354680939592</v>
      </c>
      <c r="AF136" s="772">
        <f t="shared" ca="1" si="57"/>
        <v>28048.981938904129</v>
      </c>
      <c r="AG136" s="772">
        <f t="shared" ca="1" si="57"/>
        <v>28048.981938904129</v>
      </c>
      <c r="AH136" s="772">
        <f t="shared" ca="1" si="57"/>
        <v>28048.981938904129</v>
      </c>
      <c r="AI136" s="772">
        <f t="shared" ca="1" si="57"/>
        <v>30182.370826406623</v>
      </c>
      <c r="AJ136" s="772">
        <f t="shared" ref="AJ136:AM143" ca="1" si="58">HLOOKUP(AJ$7,$A$7:$P$348,ROW()-6)</f>
        <v>30182.370826406623</v>
      </c>
      <c r="AK136" s="772">
        <f t="shared" ca="1" si="58"/>
        <v>29531.2243487368</v>
      </c>
      <c r="AL136" s="772">
        <f t="shared" ca="1" si="58"/>
        <v>29531.2243487368</v>
      </c>
      <c r="AM136" s="772">
        <f t="shared" ca="1" si="58"/>
        <v>28818.354680939592</v>
      </c>
      <c r="AN136" s="772">
        <f t="shared" ca="1" si="56"/>
        <v>28818.354680939592</v>
      </c>
      <c r="AO136" s="772">
        <f t="shared" ca="1" si="56"/>
        <v>28048.981938904129</v>
      </c>
      <c r="AP136" s="772">
        <f t="shared" ca="1" si="56"/>
        <v>28048.981938904129</v>
      </c>
      <c r="AQ136" s="772">
        <f t="shared" ca="1" si="56"/>
        <v>28048.981938904129</v>
      </c>
      <c r="AR136" s="772">
        <f t="shared" ca="1" si="55"/>
        <v>30182.370826406623</v>
      </c>
      <c r="AS136" s="772">
        <f t="shared" ca="1" si="55"/>
        <v>30182.370826406623</v>
      </c>
      <c r="AT136" s="772">
        <f t="shared" ca="1" si="55"/>
        <v>29531.2243487368</v>
      </c>
      <c r="AU136" s="772">
        <f t="shared" ca="1" si="55"/>
        <v>29531.2243487368</v>
      </c>
      <c r="AV136" s="772">
        <f t="shared" ca="1" si="55"/>
        <v>28818.354680939592</v>
      </c>
      <c r="AW136" s="772">
        <f t="shared" ca="1" si="55"/>
        <v>28818.354680939592</v>
      </c>
      <c r="AX136" s="772">
        <f t="shared" ca="1" si="55"/>
        <v>28048.981938904129</v>
      </c>
      <c r="AY136" s="772">
        <f t="shared" ca="1" si="55"/>
        <v>28048.981938904129</v>
      </c>
      <c r="AZ136" s="772">
        <f t="shared" ca="1" si="55"/>
        <v>28048.981938904129</v>
      </c>
      <c r="BA136" s="772">
        <f t="shared" ca="1" si="55"/>
        <v>30182.370826406623</v>
      </c>
      <c r="BB136" s="772">
        <f t="shared" ca="1" si="54"/>
        <v>30182.370826406623</v>
      </c>
      <c r="BC136" s="772">
        <f t="shared" ca="1" si="54"/>
        <v>29531.2243487368</v>
      </c>
      <c r="BD136" s="772">
        <f t="shared" ca="1" si="54"/>
        <v>28818.354680939592</v>
      </c>
      <c r="BE136" s="772">
        <f t="shared" ca="1" si="54"/>
        <v>28818.354680939592</v>
      </c>
      <c r="BF136" s="772">
        <f t="shared" ca="1" si="54"/>
        <v>28048.981938904129</v>
      </c>
      <c r="BG136" s="772">
        <f t="shared" ca="1" si="54"/>
        <v>28048.981938904129</v>
      </c>
      <c r="BH136" s="772">
        <f t="shared" ca="1" si="53"/>
        <v>27231.862312379155</v>
      </c>
      <c r="BI136" s="772">
        <f t="shared" ca="1" si="53"/>
        <v>27231.862312379155</v>
      </c>
      <c r="BJ136" s="772">
        <f t="shared" ca="1" si="53"/>
        <v>29531.2243487368</v>
      </c>
      <c r="BK136" s="772">
        <f t="shared" ca="1" si="53"/>
        <v>29531.2243487368</v>
      </c>
      <c r="BL136" s="772">
        <f t="shared" ca="1" si="53"/>
        <v>29531.2243487368</v>
      </c>
      <c r="BM136" s="772">
        <f t="shared" ca="1" si="53"/>
        <v>29531.2243487368</v>
      </c>
      <c r="BN136" s="772">
        <f t="shared" ca="1" si="53"/>
        <v>28048.981938904129</v>
      </c>
      <c r="BO136" s="772">
        <f t="shared" ca="1" si="53"/>
        <v>28048.981938904129</v>
      </c>
      <c r="BP136" s="772">
        <f t="shared" ca="1" si="53"/>
        <v>27231.862312379155</v>
      </c>
      <c r="BQ136" s="772">
        <f t="shared" ca="1" si="53"/>
        <v>27231.862312379155</v>
      </c>
      <c r="BR136" s="772">
        <f t="shared" ca="1" si="53"/>
        <v>26378.429013465593</v>
      </c>
      <c r="BS136" s="772">
        <f t="shared" ca="1" si="53"/>
        <v>29531.2243487368</v>
      </c>
      <c r="BT136" s="772">
        <f t="shared" ca="1" si="53"/>
        <v>29531.2243487368</v>
      </c>
      <c r="BU136" s="772">
        <f t="shared" ca="1" si="53"/>
        <v>29531.2243487368</v>
      </c>
      <c r="BV136" s="772">
        <f t="shared" ca="1" si="53"/>
        <v>28818.354680939592</v>
      </c>
      <c r="BW136" s="772">
        <f t="shared" ca="1" si="53"/>
        <v>28818.354680939592</v>
      </c>
      <c r="BX136" s="772">
        <f t="shared" ca="1" si="43"/>
        <v>27231.862312379155</v>
      </c>
      <c r="BY136" s="772">
        <f t="shared" ca="1" si="43"/>
        <v>27231.862312379155</v>
      </c>
      <c r="BZ136" s="772">
        <f t="shared" ca="1" si="43"/>
        <v>26378.429013465593</v>
      </c>
      <c r="CA136" s="772">
        <f t="shared" ca="1" si="43"/>
        <v>26378.429013465593</v>
      </c>
      <c r="CB136" s="772">
        <f t="shared" ca="1" si="43"/>
        <v>28818.354680939592</v>
      </c>
      <c r="CC136" s="772">
        <f t="shared" ca="1" si="43"/>
        <v>28818.354680939592</v>
      </c>
      <c r="CD136" s="772">
        <f t="shared" ca="1" si="43"/>
        <v>28818.354680939592</v>
      </c>
      <c r="CE136" s="772">
        <f t="shared" ca="1" si="43"/>
        <v>28818.354680939592</v>
      </c>
      <c r="CF136" s="772">
        <f t="shared" ca="1" si="43"/>
        <v>28048.981938904129</v>
      </c>
      <c r="CG136" s="772">
        <f t="shared" ca="1" si="43"/>
        <v>27231.862312379155</v>
      </c>
      <c r="CH136" s="772">
        <f t="shared" ca="1" si="43"/>
        <v>26378.429013465593</v>
      </c>
      <c r="CI136" s="772">
        <f t="shared" ca="1" si="43"/>
        <v>26378.429013465593</v>
      </c>
      <c r="CJ136" s="772">
        <f t="shared" ca="1" si="43"/>
        <v>25501.465133586749</v>
      </c>
    </row>
    <row r="137" spans="1:88" ht="15" customHeight="1">
      <c r="A137" s="770">
        <f>'kc-Wert für Stützen'!C137</f>
        <v>189</v>
      </c>
      <c r="B137" s="768">
        <f ca="1">INDIRECT("'kc-Wert für Stützen'!"&amp;SUBSTITUTE(ADDRESS(MATCH($A137,'kc-Wert für Stützen'!$C:$C,0),MATCH(B$7,'kc-Wert für Stützen'!$A$8:$ES$8,0)+7,4),,))</f>
        <v>31704.135638667187</v>
      </c>
      <c r="C137" s="768">
        <f ca="1">INDIRECT("'kc-Wert für Stützen'!"&amp;SUBSTITUTE(ADDRESS(MATCH($A137,'kc-Wert für Stützen'!$C:$C,0),MATCH(C$7,'kc-Wert für Stützen'!$A$8:$ES$8,0)+7,4),,))</f>
        <v>31184.061827359568</v>
      </c>
      <c r="D137" s="768">
        <f ca="1">INDIRECT("'kc-Wert für Stützen'!"&amp;SUBSTITUTE(ADDRESS(MATCH($A137,'kc-Wert für Stützen'!$C:$C,0),MATCH(D$7,'kc-Wert für Stützen'!$A$8:$ES$8,0)+7,4),,))</f>
        <v>30602.884977212394</v>
      </c>
      <c r="E137" s="768">
        <f ca="1">INDIRECT("'kc-Wert für Stützen'!"&amp;SUBSTITUTE(ADDRESS(MATCH($A137,'kc-Wert für Stützen'!$C:$C,0),MATCH(E$7,'kc-Wert für Stützen'!$A$8:$ES$8,0)+7,4),,))</f>
        <v>29958.525095098266</v>
      </c>
      <c r="F137" s="768">
        <f ca="1">INDIRECT("'kc-Wert für Stützen'!"&amp;SUBSTITUTE(ADDRESS(MATCH($A137,'kc-Wert für Stützen'!$C:$C,0),MATCH(F$7,'kc-Wert für Stützen'!$A$8:$ES$8,0)+7,4),,))</f>
        <v>29251.941298578404</v>
      </c>
      <c r="G137" s="768">
        <f ca="1">INDIRECT("'kc-Wert für Stützen'!"&amp;SUBSTITUTE(ADDRESS(MATCH($A137,'kc-Wert für Stützen'!$C:$C,0),MATCH(G$7,'kc-Wert für Stützen'!$A$8:$ES$8,0)+7,4),,))</f>
        <v>28487.705102077092</v>
      </c>
      <c r="H137" s="768">
        <f ca="1">INDIRECT("'kc-Wert für Stützen'!"&amp;SUBSTITUTE(ADDRESS(MATCH($A137,'kc-Wert für Stützen'!$C:$C,0),MATCH(H$7,'kc-Wert für Stützen'!$A$8:$ES$8,0)+7,4),,))</f>
        <v>27673.965432318626</v>
      </c>
      <c r="I137" s="768">
        <f ca="1">INDIRECT("'kc-Wert für Stützen'!"&amp;SUBSTITUTE(ADDRESS(MATCH($A137,'kc-Wert für Stützen'!$C:$C,0),MATCH(I$7,'kc-Wert für Stützen'!$A$8:$ES$8,0)+7,4),,))</f>
        <v>26821.712481973944</v>
      </c>
      <c r="J137" s="768">
        <f ca="1">INDIRECT("'kc-Wert für Stützen'!"&amp;SUBSTITUTE(ADDRESS(MATCH($A137,'kc-Wert für Stützen'!$C:$C,0),MATCH(J$7,'kc-Wert für Stützen'!$A$8:$ES$8,0)+7,4),,))</f>
        <v>25943.525609832275</v>
      </c>
      <c r="K137" s="768">
        <f ca="1">INDIRECT("'kc-Wert für Stützen'!"&amp;SUBSTITUTE(ADDRESS(MATCH($A137,'kc-Wert für Stützen'!$C:$C,0),MATCH(K$7,'kc-Wert für Stützen'!$A$8:$ES$8,0)+7,4),,))</f>
        <v>25052.180868254236</v>
      </c>
      <c r="L137" s="768">
        <f ca="1">INDIRECT("'kc-Wert für Stützen'!"&amp;SUBSTITUTE(ADDRESS(MATCH($A137,'kc-Wert für Stützen'!$C:$C,0),MATCH(L$7,'kc-Wert für Stützen'!$A$8:$ES$8,0)+7,4),,))</f>
        <v>24159.48296037782</v>
      </c>
      <c r="M137" s="768">
        <f ca="1">INDIRECT("'kc-Wert für Stützen'!"&amp;SUBSTITUTE(ADDRESS(MATCH($A137,'kc-Wert für Stützen'!$C:$C,0),MATCH(M$7,'kc-Wert für Stützen'!$A$8:$ES$8,0)+7,4),,))</f>
        <v>23275.520507446006</v>
      </c>
      <c r="N137" s="768">
        <f ca="1">INDIRECT("'kc-Wert für Stützen'!"&amp;SUBSTITUTE(ADDRESS(MATCH($A137,'kc-Wert für Stützen'!$C:$C,0),MATCH(N$7,'kc-Wert für Stützen'!$A$8:$ES$8,0)+7,4),,))</f>
        <v>22408.355475059027</v>
      </c>
      <c r="O137" s="768">
        <f ca="1">INDIRECT("'kc-Wert für Stützen'!"&amp;SUBSTITUTE(ADDRESS(MATCH($A137,'kc-Wert für Stützen'!$C:$C,0),MATCH(O$7,'kc-Wert für Stützen'!$A$8:$ES$8,0)+7,4),,))</f>
        <v>21564.042189345022</v>
      </c>
      <c r="P137" s="768">
        <f ca="1">INDIRECT("'kc-Wert für Stützen'!"&amp;SUBSTITUTE(ADDRESS(MATCH($A137,'kc-Wert für Stützen'!$C:$C,0),MATCH(P$7,'kc-Wert für Stützen'!$A$8:$ES$8,0)+7,4),,))</f>
        <v>20746.841654995806</v>
      </c>
      <c r="S137" s="772">
        <f t="shared" ca="1" si="31"/>
        <v>30602.884977212394</v>
      </c>
      <c r="T137" s="772">
        <f t="shared" ca="1" si="50"/>
        <v>30602.884977212394</v>
      </c>
      <c r="U137" s="772">
        <f t="shared" ca="1" si="50"/>
        <v>30602.884977212394</v>
      </c>
      <c r="V137" s="772">
        <f t="shared" ca="1" si="50"/>
        <v>29958.525095098266</v>
      </c>
      <c r="W137" s="772">
        <f t="shared" ca="1" si="50"/>
        <v>29251.941298578404</v>
      </c>
      <c r="X137" s="772">
        <f t="shared" ca="1" si="50"/>
        <v>28487.705102077092</v>
      </c>
      <c r="Y137" s="772">
        <f t="shared" ca="1" si="50"/>
        <v>27673.965432318626</v>
      </c>
      <c r="Z137" s="772">
        <f t="shared" ca="1" si="50"/>
        <v>30602.884977212394</v>
      </c>
      <c r="AA137" s="772">
        <f t="shared" ca="1" si="50"/>
        <v>30602.884977212394</v>
      </c>
      <c r="AB137" s="772">
        <f t="shared" ca="1" si="57"/>
        <v>29958.525095098266</v>
      </c>
      <c r="AC137" s="772">
        <f t="shared" ca="1" si="57"/>
        <v>29958.525095098266</v>
      </c>
      <c r="AD137" s="772">
        <f t="shared" ca="1" si="57"/>
        <v>29251.941298578404</v>
      </c>
      <c r="AE137" s="772">
        <f t="shared" ca="1" si="57"/>
        <v>29251.941298578404</v>
      </c>
      <c r="AF137" s="772">
        <f t="shared" ca="1" si="57"/>
        <v>28487.705102077092</v>
      </c>
      <c r="AG137" s="772">
        <f t="shared" ca="1" si="57"/>
        <v>28487.705102077092</v>
      </c>
      <c r="AH137" s="772">
        <f t="shared" ca="1" si="57"/>
        <v>28487.705102077092</v>
      </c>
      <c r="AI137" s="772">
        <f t="shared" ca="1" si="57"/>
        <v>30602.884977212394</v>
      </c>
      <c r="AJ137" s="772">
        <f t="shared" ca="1" si="58"/>
        <v>30602.884977212394</v>
      </c>
      <c r="AK137" s="772">
        <f t="shared" ca="1" si="58"/>
        <v>29958.525095098266</v>
      </c>
      <c r="AL137" s="772">
        <f t="shared" ca="1" si="58"/>
        <v>29958.525095098266</v>
      </c>
      <c r="AM137" s="772">
        <f t="shared" ca="1" si="58"/>
        <v>29251.941298578404</v>
      </c>
      <c r="AN137" s="772">
        <f t="shared" ca="1" si="56"/>
        <v>29251.941298578404</v>
      </c>
      <c r="AO137" s="772">
        <f t="shared" ca="1" si="56"/>
        <v>28487.705102077092</v>
      </c>
      <c r="AP137" s="772">
        <f t="shared" ca="1" si="56"/>
        <v>28487.705102077092</v>
      </c>
      <c r="AQ137" s="772">
        <f t="shared" ca="1" si="56"/>
        <v>28487.705102077092</v>
      </c>
      <c r="AR137" s="772">
        <f t="shared" ca="1" si="55"/>
        <v>30602.884977212394</v>
      </c>
      <c r="AS137" s="772">
        <f t="shared" ca="1" si="55"/>
        <v>30602.884977212394</v>
      </c>
      <c r="AT137" s="772">
        <f t="shared" ca="1" si="55"/>
        <v>29958.525095098266</v>
      </c>
      <c r="AU137" s="772">
        <f t="shared" ca="1" si="55"/>
        <v>29958.525095098266</v>
      </c>
      <c r="AV137" s="772">
        <f t="shared" ca="1" si="55"/>
        <v>29251.941298578404</v>
      </c>
      <c r="AW137" s="772">
        <f t="shared" ca="1" si="55"/>
        <v>29251.941298578404</v>
      </c>
      <c r="AX137" s="772">
        <f t="shared" ca="1" si="55"/>
        <v>28487.705102077092</v>
      </c>
      <c r="AY137" s="772">
        <f t="shared" ca="1" si="55"/>
        <v>28487.705102077092</v>
      </c>
      <c r="AZ137" s="772">
        <f t="shared" ca="1" si="55"/>
        <v>28487.705102077092</v>
      </c>
      <c r="BA137" s="772">
        <f t="shared" ca="1" si="55"/>
        <v>30602.884977212394</v>
      </c>
      <c r="BB137" s="772">
        <f t="shared" ca="1" si="54"/>
        <v>30602.884977212394</v>
      </c>
      <c r="BC137" s="772">
        <f t="shared" ca="1" si="54"/>
        <v>29958.525095098266</v>
      </c>
      <c r="BD137" s="772">
        <f t="shared" ca="1" si="54"/>
        <v>29251.941298578404</v>
      </c>
      <c r="BE137" s="772">
        <f t="shared" ca="1" si="54"/>
        <v>29251.941298578404</v>
      </c>
      <c r="BF137" s="772">
        <f t="shared" ca="1" si="54"/>
        <v>28487.705102077092</v>
      </c>
      <c r="BG137" s="772">
        <f t="shared" ca="1" si="54"/>
        <v>28487.705102077092</v>
      </c>
      <c r="BH137" s="772">
        <f t="shared" ca="1" si="53"/>
        <v>27673.965432318626</v>
      </c>
      <c r="BI137" s="772">
        <f t="shared" ca="1" si="53"/>
        <v>27673.965432318626</v>
      </c>
      <c r="BJ137" s="772">
        <f t="shared" ca="1" si="53"/>
        <v>29958.525095098266</v>
      </c>
      <c r="BK137" s="772">
        <f t="shared" ca="1" si="53"/>
        <v>29958.525095098266</v>
      </c>
      <c r="BL137" s="772">
        <f t="shared" ca="1" si="53"/>
        <v>29958.525095098266</v>
      </c>
      <c r="BM137" s="772">
        <f t="shared" ca="1" si="53"/>
        <v>29958.525095098266</v>
      </c>
      <c r="BN137" s="772">
        <f t="shared" ca="1" si="53"/>
        <v>28487.705102077092</v>
      </c>
      <c r="BO137" s="772">
        <f t="shared" ca="1" si="53"/>
        <v>28487.705102077092</v>
      </c>
      <c r="BP137" s="772">
        <f t="shared" ca="1" si="53"/>
        <v>27673.965432318626</v>
      </c>
      <c r="BQ137" s="772">
        <f t="shared" ca="1" si="53"/>
        <v>27673.965432318626</v>
      </c>
      <c r="BR137" s="772">
        <f t="shared" ca="1" si="53"/>
        <v>26821.712481973944</v>
      </c>
      <c r="BS137" s="772">
        <f t="shared" ca="1" si="53"/>
        <v>29958.525095098266</v>
      </c>
      <c r="BT137" s="772">
        <f t="shared" ca="1" si="53"/>
        <v>29958.525095098266</v>
      </c>
      <c r="BU137" s="772">
        <f t="shared" ca="1" si="53"/>
        <v>29958.525095098266</v>
      </c>
      <c r="BV137" s="772">
        <f t="shared" ca="1" si="53"/>
        <v>29251.941298578404</v>
      </c>
      <c r="BW137" s="772">
        <f t="shared" ca="1" si="53"/>
        <v>29251.941298578404</v>
      </c>
      <c r="BX137" s="772">
        <f t="shared" ca="1" si="43"/>
        <v>27673.965432318626</v>
      </c>
      <c r="BY137" s="772">
        <f t="shared" ca="1" si="43"/>
        <v>27673.965432318626</v>
      </c>
      <c r="BZ137" s="772">
        <f t="shared" ca="1" si="43"/>
        <v>26821.712481973944</v>
      </c>
      <c r="CA137" s="772">
        <f t="shared" ca="1" si="43"/>
        <v>26821.712481973944</v>
      </c>
      <c r="CB137" s="772">
        <f t="shared" ca="1" si="43"/>
        <v>29251.941298578404</v>
      </c>
      <c r="CC137" s="772">
        <f t="shared" ca="1" si="43"/>
        <v>29251.941298578404</v>
      </c>
      <c r="CD137" s="772">
        <f t="shared" ca="1" si="43"/>
        <v>29251.941298578404</v>
      </c>
      <c r="CE137" s="772">
        <f t="shared" ca="1" si="43"/>
        <v>29251.941298578404</v>
      </c>
      <c r="CF137" s="772">
        <f t="shared" ca="1" si="43"/>
        <v>28487.705102077092</v>
      </c>
      <c r="CG137" s="772">
        <f t="shared" ca="1" si="43"/>
        <v>27673.965432318626</v>
      </c>
      <c r="CH137" s="772">
        <f t="shared" ca="1" si="43"/>
        <v>26821.712481973944</v>
      </c>
      <c r="CI137" s="772">
        <f t="shared" ca="1" si="43"/>
        <v>26821.712481973944</v>
      </c>
      <c r="CJ137" s="772">
        <f t="shared" ca="1" si="43"/>
        <v>25943.525609832275</v>
      </c>
    </row>
    <row r="138" spans="1:88" ht="15" customHeight="1">
      <c r="A138" s="770">
        <f>'kc-Wert für Stützen'!C138</f>
        <v>190</v>
      </c>
      <c r="B138" s="768">
        <f ca="1">INDIRECT("'kc-Wert für Stützen'!"&amp;SUBSTITUTE(ADDRESS(MATCH($A138,'kc-Wert für Stützen'!$C:$C,0),MATCH(B$7,'kc-Wert für Stützen'!$A$8:$ES$8,0)+7,4),,))</f>
        <v>32112.989724949246</v>
      </c>
      <c r="C138" s="768">
        <f ca="1">INDIRECT("'kc-Wert für Stützen'!"&amp;SUBSTITUTE(ADDRESS(MATCH($A138,'kc-Wert für Stützen'!$C:$C,0),MATCH(C$7,'kc-Wert für Stützen'!$A$8:$ES$8,0)+7,4),,))</f>
        <v>31599.054128493317</v>
      </c>
      <c r="D138" s="768">
        <f ca="1">INDIRECT("'kc-Wert für Stützen'!"&amp;SUBSTITUTE(ADDRESS(MATCH($A138,'kc-Wert für Stützen'!$C:$C,0),MATCH(D$7,'kc-Wert für Stützen'!$A$8:$ES$8,0)+7,4),,))</f>
        <v>31024.543395276949</v>
      </c>
      <c r="E138" s="768">
        <f ca="1">INDIRECT("'kc-Wert für Stützen'!"&amp;SUBSTITUTE(ADDRESS(MATCH($A138,'kc-Wert für Stützen'!$C:$C,0),MATCH(E$7,'kc-Wert für Stützen'!$A$8:$ES$8,0)+7,4),,))</f>
        <v>30386.994332381259</v>
      </c>
      <c r="F138" s="768">
        <f ca="1">INDIRECT("'kc-Wert für Stützen'!"&amp;SUBSTITUTE(ADDRESS(MATCH($A138,'kc-Wert für Stützen'!$C:$C,0),MATCH(F$7,'kc-Wert für Stützen'!$A$8:$ES$8,0)+7,4),,))</f>
        <v>29686.824071247338</v>
      </c>
      <c r="G138" s="768">
        <f ca="1">INDIRECT("'kc-Wert für Stützen'!"&amp;SUBSTITUTE(ADDRESS(MATCH($A138,'kc-Wert für Stützen'!$C:$C,0),MATCH(G$7,'kc-Wert für Stützen'!$A$8:$ES$8,0)+7,4),,))</f>
        <v>28927.967803376574</v>
      </c>
      <c r="H138" s="768">
        <f ca="1">INDIRECT("'kc-Wert für Stützen'!"&amp;SUBSTITUTE(ADDRESS(MATCH($A138,'kc-Wert für Stützen'!$C:$C,0),MATCH(H$7,'kc-Wert für Stützen'!$A$8:$ES$8,0)+7,4),,))</f>
        <v>28117.957125299552</v>
      </c>
      <c r="I138" s="768">
        <f ca="1">INDIRECT("'kc-Wert für Stützen'!"&amp;SUBSTITUTE(ADDRESS(MATCH($A138,'kc-Wert für Stützen'!$C:$C,0),MATCH(I$7,'kc-Wert für Stützen'!$A$8:$ES$8,0)+7,4),,))</f>
        <v>27267.307754603007</v>
      </c>
      <c r="J138" s="768">
        <f ca="1">INDIRECT("'kc-Wert für Stützen'!"&amp;SUBSTITUTE(ADDRESS(MATCH($A138,'kc-Wert für Stützen'!$C:$C,0),MATCH(J$7,'kc-Wert für Stützen'!$A$8:$ES$8,0)+7,4),,))</f>
        <v>26388.351973048208</v>
      </c>
      <c r="K138" s="768">
        <f ca="1">INDIRECT("'kc-Wert für Stützen'!"&amp;SUBSTITUTE(ADDRESS(MATCH($A138,'kc-Wert für Stützen'!$C:$C,0),MATCH(K$7,'kc-Wert für Stützen'!$A$8:$ES$8,0)+7,4),,))</f>
        <v>25493.862560059151</v>
      </c>
      <c r="L138" s="768">
        <f ca="1">INDIRECT("'kc-Wert für Stützen'!"&amp;SUBSTITUTE(ADDRESS(MATCH($A138,'kc-Wert für Stützen'!$C:$C,0),MATCH(L$7,'kc-Wert für Stützen'!$A$8:$ES$8,0)+7,4),,))</f>
        <v>24595.840426402483</v>
      </c>
      <c r="M138" s="768">
        <f ca="1">INDIRECT("'kc-Wert für Stützen'!"&amp;SUBSTITUTE(ADDRESS(MATCH($A138,'kc-Wert für Stützen'!$C:$C,0),MATCH(M$7,'kc-Wert für Stützen'!$A$8:$ES$8,0)+7,4),,))</f>
        <v>23704.695591793592</v>
      </c>
      <c r="N138" s="768">
        <f ca="1">INDIRECT("'kc-Wert für Stützen'!"&amp;SUBSTITUTE(ADDRESS(MATCH($A138,'kc-Wert für Stützen'!$C:$C,0),MATCH(N$7,'kc-Wert für Stützen'!$A$8:$ES$8,0)+7,4),,))</f>
        <v>22828.863245524743</v>
      </c>
      <c r="O138" s="768">
        <f ca="1">INDIRECT("'kc-Wert für Stützen'!"&amp;SUBSTITUTE(ADDRESS(MATCH($A138,'kc-Wert für Stützen'!$C:$C,0),MATCH(O$7,'kc-Wert für Stützen'!$A$8:$ES$8,0)+7,4),,))</f>
        <v>21974.767771699677</v>
      </c>
      <c r="P138" s="768">
        <f ca="1">INDIRECT("'kc-Wert für Stützen'!"&amp;SUBSTITUTE(ADDRESS(MATCH($A138,'kc-Wert für Stützen'!$C:$C,0),MATCH(P$7,'kc-Wert für Stützen'!$A$8:$ES$8,0)+7,4),,))</f>
        <v>21147.004219492257</v>
      </c>
      <c r="S138" s="772">
        <f t="shared" ref="S138:S201" ca="1" si="59">HLOOKUP(S$7,$A$7:$P$348,ROW()-6)</f>
        <v>31024.543395276949</v>
      </c>
      <c r="T138" s="772">
        <f t="shared" ca="1" si="50"/>
        <v>31024.543395276949</v>
      </c>
      <c r="U138" s="772">
        <f t="shared" ca="1" si="50"/>
        <v>31024.543395276949</v>
      </c>
      <c r="V138" s="772">
        <f t="shared" ca="1" si="50"/>
        <v>30386.994332381259</v>
      </c>
      <c r="W138" s="772">
        <f t="shared" ca="1" si="50"/>
        <v>29686.824071247338</v>
      </c>
      <c r="X138" s="772">
        <f t="shared" ca="1" si="50"/>
        <v>28927.967803376574</v>
      </c>
      <c r="Y138" s="772">
        <f t="shared" ca="1" si="50"/>
        <v>28117.957125299552</v>
      </c>
      <c r="Z138" s="772">
        <f t="shared" ca="1" si="50"/>
        <v>31024.543395276949</v>
      </c>
      <c r="AA138" s="772">
        <f t="shared" ca="1" si="50"/>
        <v>31024.543395276949</v>
      </c>
      <c r="AB138" s="772">
        <f t="shared" ca="1" si="57"/>
        <v>30386.994332381259</v>
      </c>
      <c r="AC138" s="772">
        <f t="shared" ca="1" si="57"/>
        <v>30386.994332381259</v>
      </c>
      <c r="AD138" s="772">
        <f t="shared" ca="1" si="57"/>
        <v>29686.824071247338</v>
      </c>
      <c r="AE138" s="772">
        <f t="shared" ca="1" si="57"/>
        <v>29686.824071247338</v>
      </c>
      <c r="AF138" s="772">
        <f t="shared" ca="1" si="57"/>
        <v>28927.967803376574</v>
      </c>
      <c r="AG138" s="772">
        <f t="shared" ca="1" si="57"/>
        <v>28927.967803376574</v>
      </c>
      <c r="AH138" s="772">
        <f t="shared" ca="1" si="57"/>
        <v>28927.967803376574</v>
      </c>
      <c r="AI138" s="772">
        <f t="shared" ca="1" si="57"/>
        <v>31024.543395276949</v>
      </c>
      <c r="AJ138" s="772">
        <f t="shared" ca="1" si="58"/>
        <v>31024.543395276949</v>
      </c>
      <c r="AK138" s="772">
        <f t="shared" ca="1" si="58"/>
        <v>30386.994332381259</v>
      </c>
      <c r="AL138" s="772">
        <f t="shared" ca="1" si="58"/>
        <v>30386.994332381259</v>
      </c>
      <c r="AM138" s="772">
        <f t="shared" ca="1" si="58"/>
        <v>29686.824071247338</v>
      </c>
      <c r="AN138" s="772">
        <f t="shared" ca="1" si="56"/>
        <v>29686.824071247338</v>
      </c>
      <c r="AO138" s="772">
        <f t="shared" ca="1" si="56"/>
        <v>28927.967803376574</v>
      </c>
      <c r="AP138" s="772">
        <f t="shared" ca="1" si="56"/>
        <v>28927.967803376574</v>
      </c>
      <c r="AQ138" s="772">
        <f t="shared" ca="1" si="56"/>
        <v>28927.967803376574</v>
      </c>
      <c r="AR138" s="772">
        <f t="shared" ca="1" si="55"/>
        <v>31024.543395276949</v>
      </c>
      <c r="AS138" s="772">
        <f t="shared" ca="1" si="55"/>
        <v>31024.543395276949</v>
      </c>
      <c r="AT138" s="772">
        <f t="shared" ca="1" si="55"/>
        <v>30386.994332381259</v>
      </c>
      <c r="AU138" s="772">
        <f t="shared" ca="1" si="55"/>
        <v>30386.994332381259</v>
      </c>
      <c r="AV138" s="772">
        <f t="shared" ca="1" si="55"/>
        <v>29686.824071247338</v>
      </c>
      <c r="AW138" s="772">
        <f t="shared" ca="1" si="55"/>
        <v>29686.824071247338</v>
      </c>
      <c r="AX138" s="772">
        <f t="shared" ca="1" si="55"/>
        <v>28927.967803376574</v>
      </c>
      <c r="AY138" s="772">
        <f t="shared" ca="1" si="55"/>
        <v>28927.967803376574</v>
      </c>
      <c r="AZ138" s="772">
        <f t="shared" ca="1" si="55"/>
        <v>28927.967803376574</v>
      </c>
      <c r="BA138" s="772">
        <f t="shared" ca="1" si="55"/>
        <v>31024.543395276949</v>
      </c>
      <c r="BB138" s="772">
        <f t="shared" ca="1" si="54"/>
        <v>31024.543395276949</v>
      </c>
      <c r="BC138" s="772">
        <f t="shared" ca="1" si="54"/>
        <v>30386.994332381259</v>
      </c>
      <c r="BD138" s="772">
        <f t="shared" ca="1" si="54"/>
        <v>29686.824071247338</v>
      </c>
      <c r="BE138" s="772">
        <f t="shared" ca="1" si="54"/>
        <v>29686.824071247338</v>
      </c>
      <c r="BF138" s="772">
        <f t="shared" ca="1" si="54"/>
        <v>28927.967803376574</v>
      </c>
      <c r="BG138" s="772">
        <f t="shared" ca="1" si="54"/>
        <v>28927.967803376574</v>
      </c>
      <c r="BH138" s="772">
        <f t="shared" ca="1" si="53"/>
        <v>28117.957125299552</v>
      </c>
      <c r="BI138" s="772">
        <f t="shared" ca="1" si="53"/>
        <v>28117.957125299552</v>
      </c>
      <c r="BJ138" s="772">
        <f t="shared" ca="1" si="53"/>
        <v>30386.994332381259</v>
      </c>
      <c r="BK138" s="772">
        <f t="shared" ca="1" si="53"/>
        <v>30386.994332381259</v>
      </c>
      <c r="BL138" s="772">
        <f t="shared" ca="1" si="53"/>
        <v>30386.994332381259</v>
      </c>
      <c r="BM138" s="772">
        <f t="shared" ca="1" si="53"/>
        <v>30386.994332381259</v>
      </c>
      <c r="BN138" s="772">
        <f t="shared" ca="1" si="53"/>
        <v>28927.967803376574</v>
      </c>
      <c r="BO138" s="772">
        <f t="shared" ca="1" si="53"/>
        <v>28927.967803376574</v>
      </c>
      <c r="BP138" s="772">
        <f t="shared" ca="1" si="53"/>
        <v>28117.957125299552</v>
      </c>
      <c r="BQ138" s="772">
        <f t="shared" ca="1" si="53"/>
        <v>28117.957125299552</v>
      </c>
      <c r="BR138" s="772">
        <f t="shared" ca="1" si="53"/>
        <v>27267.307754603007</v>
      </c>
      <c r="BS138" s="772">
        <f t="shared" ca="1" si="53"/>
        <v>30386.994332381259</v>
      </c>
      <c r="BT138" s="772">
        <f t="shared" ca="1" si="53"/>
        <v>30386.994332381259</v>
      </c>
      <c r="BU138" s="772">
        <f t="shared" ca="1" si="53"/>
        <v>30386.994332381259</v>
      </c>
      <c r="BV138" s="772">
        <f t="shared" ca="1" si="53"/>
        <v>29686.824071247338</v>
      </c>
      <c r="BW138" s="772">
        <f t="shared" ca="1" si="53"/>
        <v>29686.824071247338</v>
      </c>
      <c r="BX138" s="772">
        <f t="shared" ca="1" si="43"/>
        <v>28117.957125299552</v>
      </c>
      <c r="BY138" s="772">
        <f t="shared" ref="BY138:CJ146" ca="1" si="60">HLOOKUP(BY$7,$A$7:$P$348,ROW()-6)</f>
        <v>28117.957125299552</v>
      </c>
      <c r="BZ138" s="772">
        <f t="shared" ca="1" si="60"/>
        <v>27267.307754603007</v>
      </c>
      <c r="CA138" s="772">
        <f t="shared" ca="1" si="60"/>
        <v>27267.307754603007</v>
      </c>
      <c r="CB138" s="772">
        <f t="shared" ca="1" si="60"/>
        <v>29686.824071247338</v>
      </c>
      <c r="CC138" s="772">
        <f t="shared" ca="1" si="60"/>
        <v>29686.824071247338</v>
      </c>
      <c r="CD138" s="772">
        <f t="shared" ca="1" si="60"/>
        <v>29686.824071247338</v>
      </c>
      <c r="CE138" s="772">
        <f t="shared" ca="1" si="60"/>
        <v>29686.824071247338</v>
      </c>
      <c r="CF138" s="772">
        <f t="shared" ca="1" si="60"/>
        <v>28927.967803376574</v>
      </c>
      <c r="CG138" s="772">
        <f t="shared" ca="1" si="60"/>
        <v>28117.957125299552</v>
      </c>
      <c r="CH138" s="772">
        <f t="shared" ca="1" si="60"/>
        <v>27267.307754603007</v>
      </c>
      <c r="CI138" s="772">
        <f t="shared" ca="1" si="60"/>
        <v>27267.307754603007</v>
      </c>
      <c r="CJ138" s="772">
        <f t="shared" ca="1" si="60"/>
        <v>26388.351973048208</v>
      </c>
    </row>
    <row r="139" spans="1:88" ht="15" customHeight="1">
      <c r="A139" s="770">
        <f>'kc-Wert für Stützen'!C139</f>
        <v>191</v>
      </c>
      <c r="B139" s="768">
        <f ca="1">INDIRECT("'kc-Wert für Stützen'!"&amp;SUBSTITUTE(ADDRESS(MATCH($A139,'kc-Wert für Stützen'!$C:$C,0),MATCH(B$7,'kc-Wert für Stützen'!$A$8:$ES$8,0)+7,4),,))</f>
        <v>32523.154186705739</v>
      </c>
      <c r="C139" s="768">
        <f ca="1">INDIRECT("'kc-Wert für Stützen'!"&amp;SUBSTITUTE(ADDRESS(MATCH($A139,'kc-Wert für Stützen'!$C:$C,0),MATCH(C$7,'kc-Wert für Stützen'!$A$8:$ES$8,0)+7,4),,))</f>
        <v>32015.255533828476</v>
      </c>
      <c r="D139" s="768">
        <f ca="1">INDIRECT("'kc-Wert für Stützen'!"&amp;SUBSTITUTE(ADDRESS(MATCH($A139,'kc-Wert für Stützen'!$C:$C,0),MATCH(D$7,'kc-Wert für Stützen'!$A$8:$ES$8,0)+7,4),,))</f>
        <v>31447.350038723107</v>
      </c>
      <c r="E139" s="768">
        <f ca="1">INDIRECT("'kc-Wert für Stützen'!"&amp;SUBSTITUTE(ADDRESS(MATCH($A139,'kc-Wert für Stützen'!$C:$C,0),MATCH(E$7,'kc-Wert für Stützen'!$A$8:$ES$8,0)+7,4),,))</f>
        <v>30816.621637115182</v>
      </c>
      <c r="F139" s="768">
        <f ca="1">INDIRECT("'kc-Wert für Stützen'!"&amp;SUBSTITUTE(ADDRESS(MATCH($A139,'kc-Wert für Stützen'!$C:$C,0),MATCH(F$7,'kc-Wert für Stützen'!$A$8:$ES$8,0)+7,4),,))</f>
        <v>30122.973470064517</v>
      </c>
      <c r="G139" s="768">
        <f ca="1">INDIRECT("'kc-Wert für Stützen'!"&amp;SUBSTITUTE(ADDRESS(MATCH($A139,'kc-Wert für Stützen'!$C:$C,0),MATCH(G$7,'kc-Wert für Stützen'!$A$8:$ES$8,0)+7,4),,))</f>
        <v>29369.71959770242</v>
      </c>
      <c r="H139" s="768">
        <f ca="1">INDIRECT("'kc-Wert für Stützen'!"&amp;SUBSTITUTE(ADDRESS(MATCH($A139,'kc-Wert für Stützen'!$C:$C,0),MATCH(H$7,'kc-Wert für Stützen'!$A$8:$ES$8,0)+7,4),,))</f>
        <v>28563.768343073909</v>
      </c>
      <c r="I139" s="768">
        <f ca="1">INDIRECT("'kc-Wert für Stützen'!"&amp;SUBSTITUTE(ADDRESS(MATCH($A139,'kc-Wert für Stützen'!$C:$C,0),MATCH(I$7,'kc-Wert für Stützen'!$A$8:$ES$8,0)+7,4),,))</f>
        <v>27715.133199572436</v>
      </c>
      <c r="J139" s="768">
        <f ca="1">INDIRECT("'kc-Wert für Stützen'!"&amp;SUBSTITUTE(ADDRESS(MATCH($A139,'kc-Wert für Stützen'!$C:$C,0),MATCH(J$7,'kc-Wert für Stützen'!$A$8:$ES$8,0)+7,4),,))</f>
        <v>26835.857892435695</v>
      </c>
      <c r="K139" s="768">
        <f ca="1">INDIRECT("'kc-Wert für Stützen'!"&amp;SUBSTITUTE(ADDRESS(MATCH($A139,'kc-Wert für Stützen'!$C:$C,0),MATCH(K$7,'kc-Wert für Stützen'!$A$8:$ES$8,0)+7,4),,))</f>
        <v>25938.668920902346</v>
      </c>
      <c r="L139" s="768">
        <f ca="1">INDIRECT("'kc-Wert für Stützen'!"&amp;SUBSTITUTE(ADDRESS(MATCH($A139,'kc-Wert für Stützen'!$C:$C,0),MATCH(L$7,'kc-Wert für Stützen'!$A$8:$ES$8,0)+7,4),,))</f>
        <v>25035.728889262813</v>
      </c>
      <c r="M139" s="768">
        <f ca="1">INDIRECT("'kc-Wert für Stützen'!"&amp;SUBSTITUTE(ADDRESS(MATCH($A139,'kc-Wert für Stützen'!$C:$C,0),MATCH(M$7,'kc-Wert für Stützen'!$A$8:$ES$8,0)+7,4),,))</f>
        <v>24137.7476770721</v>
      </c>
      <c r="N139" s="768">
        <f ca="1">INDIRECT("'kc-Wert für Stützen'!"&amp;SUBSTITUTE(ADDRESS(MATCH($A139,'kc-Wert für Stützen'!$C:$C,0),MATCH(N$7,'kc-Wert für Stützen'!$A$8:$ES$8,0)+7,4),,))</f>
        <v>23253.524604388509</v>
      </c>
      <c r="O139" s="768">
        <f ca="1">INDIRECT("'kc-Wert für Stützen'!"&amp;SUBSTITUTE(ADDRESS(MATCH($A139,'kc-Wert für Stützen'!$C:$C,0),MATCH(O$7,'kc-Wert für Stützen'!$A$8:$ES$8,0)+7,4),,))</f>
        <v>22389.854304004471</v>
      </c>
      <c r="P139" s="768">
        <f ca="1">INDIRECT("'kc-Wert für Stützen'!"&amp;SUBSTITUTE(ADDRESS(MATCH($A139,'kc-Wert für Stützen'!$C:$C,0),MATCH(P$7,'kc-Wert für Stützen'!$A$8:$ES$8,0)+7,4),,))</f>
        <v>21551.671704370819</v>
      </c>
      <c r="S139" s="772">
        <f t="shared" ca="1" si="59"/>
        <v>31447.350038723107</v>
      </c>
      <c r="T139" s="772">
        <f t="shared" ca="1" si="50"/>
        <v>31447.350038723107</v>
      </c>
      <c r="U139" s="772">
        <f t="shared" ca="1" si="50"/>
        <v>31447.350038723107</v>
      </c>
      <c r="V139" s="772">
        <f t="shared" ca="1" si="50"/>
        <v>30816.621637115182</v>
      </c>
      <c r="W139" s="772">
        <f t="shared" ca="1" si="50"/>
        <v>30122.973470064517</v>
      </c>
      <c r="X139" s="772">
        <f t="shared" ca="1" si="50"/>
        <v>29369.71959770242</v>
      </c>
      <c r="Y139" s="772">
        <f t="shared" ca="1" si="50"/>
        <v>28563.768343073909</v>
      </c>
      <c r="Z139" s="772">
        <f t="shared" ca="1" si="50"/>
        <v>31447.350038723107</v>
      </c>
      <c r="AA139" s="772">
        <f t="shared" ca="1" si="50"/>
        <v>31447.350038723107</v>
      </c>
      <c r="AB139" s="772">
        <f t="shared" ca="1" si="57"/>
        <v>30816.621637115182</v>
      </c>
      <c r="AC139" s="772">
        <f t="shared" ca="1" si="57"/>
        <v>30816.621637115182</v>
      </c>
      <c r="AD139" s="772">
        <f t="shared" ca="1" si="57"/>
        <v>30122.973470064517</v>
      </c>
      <c r="AE139" s="772">
        <f t="shared" ca="1" si="57"/>
        <v>30122.973470064517</v>
      </c>
      <c r="AF139" s="772">
        <f t="shared" ca="1" si="57"/>
        <v>29369.71959770242</v>
      </c>
      <c r="AG139" s="772">
        <f t="shared" ca="1" si="57"/>
        <v>29369.71959770242</v>
      </c>
      <c r="AH139" s="772">
        <f t="shared" ca="1" si="57"/>
        <v>29369.71959770242</v>
      </c>
      <c r="AI139" s="772">
        <f t="shared" ca="1" si="57"/>
        <v>31447.350038723107</v>
      </c>
      <c r="AJ139" s="772">
        <f t="shared" ca="1" si="58"/>
        <v>31447.350038723107</v>
      </c>
      <c r="AK139" s="772">
        <f t="shared" ca="1" si="58"/>
        <v>30816.621637115182</v>
      </c>
      <c r="AL139" s="772">
        <f t="shared" ca="1" si="58"/>
        <v>30816.621637115182</v>
      </c>
      <c r="AM139" s="772">
        <f t="shared" ca="1" si="58"/>
        <v>30122.973470064517</v>
      </c>
      <c r="AN139" s="772">
        <f t="shared" ca="1" si="56"/>
        <v>30122.973470064517</v>
      </c>
      <c r="AO139" s="772">
        <f t="shared" ca="1" si="56"/>
        <v>29369.71959770242</v>
      </c>
      <c r="AP139" s="772">
        <f t="shared" ca="1" si="56"/>
        <v>29369.71959770242</v>
      </c>
      <c r="AQ139" s="772">
        <f t="shared" ca="1" si="56"/>
        <v>29369.71959770242</v>
      </c>
      <c r="AR139" s="772">
        <f t="shared" ca="1" si="55"/>
        <v>31447.350038723107</v>
      </c>
      <c r="AS139" s="772">
        <f t="shared" ca="1" si="55"/>
        <v>31447.350038723107</v>
      </c>
      <c r="AT139" s="772">
        <f t="shared" ca="1" si="55"/>
        <v>30816.621637115182</v>
      </c>
      <c r="AU139" s="772">
        <f t="shared" ca="1" si="55"/>
        <v>30816.621637115182</v>
      </c>
      <c r="AV139" s="772">
        <f t="shared" ca="1" si="55"/>
        <v>30122.973470064517</v>
      </c>
      <c r="AW139" s="772">
        <f t="shared" ca="1" si="55"/>
        <v>30122.973470064517</v>
      </c>
      <c r="AX139" s="772">
        <f t="shared" ca="1" si="55"/>
        <v>29369.71959770242</v>
      </c>
      <c r="AY139" s="772">
        <f t="shared" ca="1" si="55"/>
        <v>29369.71959770242</v>
      </c>
      <c r="AZ139" s="772">
        <f t="shared" ca="1" si="55"/>
        <v>29369.71959770242</v>
      </c>
      <c r="BA139" s="772">
        <f t="shared" ca="1" si="55"/>
        <v>31447.350038723107</v>
      </c>
      <c r="BB139" s="772">
        <f t="shared" ca="1" si="54"/>
        <v>31447.350038723107</v>
      </c>
      <c r="BC139" s="772">
        <f t="shared" ca="1" si="54"/>
        <v>30816.621637115182</v>
      </c>
      <c r="BD139" s="772">
        <f t="shared" ca="1" si="54"/>
        <v>30122.973470064517</v>
      </c>
      <c r="BE139" s="772">
        <f t="shared" ca="1" si="54"/>
        <v>30122.973470064517</v>
      </c>
      <c r="BF139" s="772">
        <f t="shared" ca="1" si="54"/>
        <v>29369.71959770242</v>
      </c>
      <c r="BG139" s="772">
        <f t="shared" ca="1" si="54"/>
        <v>29369.71959770242</v>
      </c>
      <c r="BH139" s="772">
        <f t="shared" ca="1" si="53"/>
        <v>28563.768343073909</v>
      </c>
      <c r="BI139" s="772">
        <f t="shared" ca="1" si="53"/>
        <v>28563.768343073909</v>
      </c>
      <c r="BJ139" s="772">
        <f t="shared" ca="1" si="53"/>
        <v>30816.621637115182</v>
      </c>
      <c r="BK139" s="772">
        <f t="shared" ca="1" si="53"/>
        <v>30816.621637115182</v>
      </c>
      <c r="BL139" s="772">
        <f t="shared" ca="1" si="53"/>
        <v>30816.621637115182</v>
      </c>
      <c r="BM139" s="772">
        <f t="shared" ca="1" si="53"/>
        <v>30816.621637115182</v>
      </c>
      <c r="BN139" s="772">
        <f t="shared" ca="1" si="53"/>
        <v>29369.71959770242</v>
      </c>
      <c r="BO139" s="772">
        <f t="shared" ca="1" si="53"/>
        <v>29369.71959770242</v>
      </c>
      <c r="BP139" s="772">
        <f t="shared" ca="1" si="53"/>
        <v>28563.768343073909</v>
      </c>
      <c r="BQ139" s="772">
        <f t="shared" ca="1" si="53"/>
        <v>28563.768343073909</v>
      </c>
      <c r="BR139" s="772">
        <f t="shared" ca="1" si="53"/>
        <v>27715.133199572436</v>
      </c>
      <c r="BS139" s="772">
        <f t="shared" ca="1" si="53"/>
        <v>30816.621637115182</v>
      </c>
      <c r="BT139" s="772">
        <f t="shared" ca="1" si="53"/>
        <v>30816.621637115182</v>
      </c>
      <c r="BU139" s="772">
        <f t="shared" ca="1" si="53"/>
        <v>30816.621637115182</v>
      </c>
      <c r="BV139" s="772">
        <f t="shared" ca="1" si="53"/>
        <v>30122.973470064517</v>
      </c>
      <c r="BW139" s="772">
        <f t="shared" ca="1" si="53"/>
        <v>30122.973470064517</v>
      </c>
      <c r="BX139" s="772">
        <f t="shared" ref="BX139:BX146" ca="1" si="61">HLOOKUP(BX$7,$A$7:$P$348,ROW()-6)</f>
        <v>28563.768343073909</v>
      </c>
      <c r="BY139" s="772">
        <f t="shared" ca="1" si="60"/>
        <v>28563.768343073909</v>
      </c>
      <c r="BZ139" s="772">
        <f t="shared" ca="1" si="60"/>
        <v>27715.133199572436</v>
      </c>
      <c r="CA139" s="772">
        <f t="shared" ca="1" si="60"/>
        <v>27715.133199572436</v>
      </c>
      <c r="CB139" s="772">
        <f t="shared" ca="1" si="60"/>
        <v>30122.973470064517</v>
      </c>
      <c r="CC139" s="772">
        <f t="shared" ca="1" si="60"/>
        <v>30122.973470064517</v>
      </c>
      <c r="CD139" s="772">
        <f t="shared" ca="1" si="60"/>
        <v>30122.973470064517</v>
      </c>
      <c r="CE139" s="772">
        <f t="shared" ca="1" si="60"/>
        <v>30122.973470064517</v>
      </c>
      <c r="CF139" s="772">
        <f t="shared" ca="1" si="60"/>
        <v>29369.71959770242</v>
      </c>
      <c r="CG139" s="772">
        <f t="shared" ca="1" si="60"/>
        <v>28563.768343073909</v>
      </c>
      <c r="CH139" s="772">
        <f t="shared" ca="1" si="60"/>
        <v>27715.133199572436</v>
      </c>
      <c r="CI139" s="772">
        <f t="shared" ca="1" si="60"/>
        <v>27715.133199572436</v>
      </c>
      <c r="CJ139" s="772">
        <f t="shared" ca="1" si="60"/>
        <v>26835.857892435695</v>
      </c>
    </row>
    <row r="140" spans="1:88" ht="15" customHeight="1">
      <c r="A140" s="770">
        <f>'kc-Wert für Stützen'!C140</f>
        <v>192</v>
      </c>
      <c r="B140" s="768">
        <f ca="1">INDIRECT("'kc-Wert für Stützen'!"&amp;SUBSTITUTE(ADDRESS(MATCH($A140,'kc-Wert für Stützen'!$C:$C,0),MATCH(B$7,'kc-Wert für Stützen'!$A$8:$ES$8,0)+7,4),,))</f>
        <v>32934.645651853054</v>
      </c>
      <c r="C140" s="768">
        <f ca="1">INDIRECT("'kc-Wert für Stützen'!"&amp;SUBSTITUTE(ADDRESS(MATCH($A140,'kc-Wert für Stützen'!$C:$C,0),MATCH(C$7,'kc-Wert für Stützen'!$A$8:$ES$8,0)+7,4),,))</f>
        <v>32432.679523820236</v>
      </c>
      <c r="D140" s="768">
        <f ca="1">INDIRECT("'kc-Wert für Stützen'!"&amp;SUBSTITUTE(ADDRESS(MATCH($A140,'kc-Wert für Stützen'!$C:$C,0),MATCH(D$7,'kc-Wert für Stützen'!$A$8:$ES$8,0)+7,4),,))</f>
        <v>31871.31058262126</v>
      </c>
      <c r="E140" s="768">
        <f ca="1">INDIRECT("'kc-Wert für Stützen'!"&amp;SUBSTITUTE(ADDRESS(MATCH($A140,'kc-Wert für Stützen'!$C:$C,0),MATCH(E$7,'kc-Wert für Stützen'!$A$8:$ES$8,0)+7,4),,))</f>
        <v>31247.399337909112</v>
      </c>
      <c r="F140" s="768">
        <f ca="1">INDIRECT("'kc-Wert für Stützen'!"&amp;SUBSTITUTE(ADDRESS(MATCH($A140,'kc-Wert für Stützen'!$C:$C,0),MATCH(F$7,'kc-Wert für Stützen'!$A$8:$ES$8,0)+7,4),,))</f>
        <v>30560.363540751096</v>
      </c>
      <c r="G140" s="768">
        <f ca="1">INDIRECT("'kc-Wert für Stützen'!"&amp;SUBSTITUTE(ADDRESS(MATCH($A140,'kc-Wert für Stützen'!$C:$C,0),MATCH(G$7,'kc-Wert für Stützen'!$A$8:$ES$8,0)+7,4),,))</f>
        <v>29812.913863807989</v>
      </c>
      <c r="H140" s="768">
        <f ca="1">INDIRECT("'kc-Wert für Stützen'!"&amp;SUBSTITUTE(ADDRESS(MATCH($A140,'kc-Wert für Stützen'!$C:$C,0),MATCH(H$7,'kc-Wert für Stützen'!$A$8:$ES$8,0)+7,4),,))</f>
        <v>29011.333351488618</v>
      </c>
      <c r="I140" s="768">
        <f ca="1">INDIRECT("'kc-Wert für Stützen'!"&amp;SUBSTITUTE(ADDRESS(MATCH($A140,'kc-Wert für Stützen'!$C:$C,0),MATCH(I$7,'kc-Wert für Stützen'!$A$8:$ES$8,0)+7,4),,))</f>
        <v>28165.109349226939</v>
      </c>
      <c r="J140" s="768">
        <f ca="1">INDIRECT("'kc-Wert für Stützen'!"&amp;SUBSTITUTE(ADDRESS(MATCH($A140,'kc-Wert für Stützen'!$C:$C,0),MATCH(J$7,'kc-Wert für Stützen'!$A$8:$ES$8,0)+7,4),,))</f>
        <v>27285.957760471687</v>
      </c>
      <c r="K140" s="768">
        <f ca="1">INDIRECT("'kc-Wert für Stützen'!"&amp;SUBSTITUTE(ADDRESS(MATCH($A140,'kc-Wert für Stützen'!$C:$C,0),MATCH(K$7,'kc-Wert für Stützen'!$A$8:$ES$8,0)+7,4),,))</f>
        <v>26386.515853028388</v>
      </c>
      <c r="L140" s="768">
        <f ca="1">INDIRECT("'kc-Wert für Stützen'!"&amp;SUBSTITUTE(ADDRESS(MATCH($A140,'kc-Wert für Stützen'!$C:$C,0),MATCH(L$7,'kc-Wert für Stützen'!$A$8:$ES$8,0)+7,4),,))</f>
        <v>25479.0718242113</v>
      </c>
      <c r="M140" s="768">
        <f ca="1">INDIRECT("'kc-Wert für Stützen'!"&amp;SUBSTITUTE(ADDRESS(MATCH($A140,'kc-Wert für Stützen'!$C:$C,0),MATCH(M$7,'kc-Wert für Stützen'!$A$8:$ES$8,0)+7,4),,))</f>
        <v>24574.611618664196</v>
      </c>
      <c r="N140" s="768">
        <f ca="1">INDIRECT("'kc-Wert für Stützen'!"&amp;SUBSTITUTE(ADDRESS(MATCH($A140,'kc-Wert für Stützen'!$C:$C,0),MATCH(N$7,'kc-Wert für Stützen'!$A$8:$ES$8,0)+7,4),,))</f>
        <v>23682.287474059383</v>
      </c>
      <c r="O140" s="768">
        <f ca="1">INDIRECT("'kc-Wert für Stützen'!"&amp;SUBSTITUTE(ADDRESS(MATCH($A140,'kc-Wert für Stützen'!$C:$C,0),MATCH(O$7,'kc-Wert für Stützen'!$A$8:$ES$8,0)+7,4),,))</f>
        <v>22809.262876482841</v>
      </c>
      <c r="P140" s="768">
        <f ca="1">INDIRECT("'kc-Wert für Stützen'!"&amp;SUBSTITUTE(ADDRESS(MATCH($A140,'kc-Wert für Stützen'!$C:$C,0),MATCH(P$7,'kc-Wert für Stützen'!$A$8:$ES$8,0)+7,4),,))</f>
        <v>21960.817478593581</v>
      </c>
      <c r="S140" s="772">
        <f t="shared" ca="1" si="59"/>
        <v>31871.31058262126</v>
      </c>
      <c r="T140" s="772">
        <f t="shared" ca="1" si="50"/>
        <v>31871.31058262126</v>
      </c>
      <c r="U140" s="772">
        <f t="shared" ca="1" si="50"/>
        <v>31871.31058262126</v>
      </c>
      <c r="V140" s="772">
        <f t="shared" ca="1" si="50"/>
        <v>31247.399337909112</v>
      </c>
      <c r="W140" s="772">
        <f t="shared" ca="1" si="50"/>
        <v>30560.363540751096</v>
      </c>
      <c r="X140" s="772">
        <f t="shared" ca="1" si="50"/>
        <v>29812.913863807989</v>
      </c>
      <c r="Y140" s="772">
        <f t="shared" ca="1" si="50"/>
        <v>29011.333351488618</v>
      </c>
      <c r="Z140" s="772">
        <f t="shared" ca="1" si="50"/>
        <v>31871.31058262126</v>
      </c>
      <c r="AA140" s="772">
        <f t="shared" ca="1" si="50"/>
        <v>31871.31058262126</v>
      </c>
      <c r="AB140" s="772">
        <f t="shared" ca="1" si="57"/>
        <v>31247.399337909112</v>
      </c>
      <c r="AC140" s="772">
        <f t="shared" ca="1" si="57"/>
        <v>31247.399337909112</v>
      </c>
      <c r="AD140" s="772">
        <f t="shared" ca="1" si="57"/>
        <v>30560.363540751096</v>
      </c>
      <c r="AE140" s="772">
        <f t="shared" ca="1" si="57"/>
        <v>30560.363540751096</v>
      </c>
      <c r="AF140" s="772">
        <f t="shared" ca="1" si="57"/>
        <v>29812.913863807989</v>
      </c>
      <c r="AG140" s="772">
        <f t="shared" ca="1" si="57"/>
        <v>29812.913863807989</v>
      </c>
      <c r="AH140" s="772">
        <f t="shared" ca="1" si="57"/>
        <v>29812.913863807989</v>
      </c>
      <c r="AI140" s="772">
        <f t="shared" ca="1" si="57"/>
        <v>31871.31058262126</v>
      </c>
      <c r="AJ140" s="772">
        <f t="shared" ca="1" si="58"/>
        <v>31871.31058262126</v>
      </c>
      <c r="AK140" s="772">
        <f t="shared" ca="1" si="58"/>
        <v>31247.399337909112</v>
      </c>
      <c r="AL140" s="772">
        <f t="shared" ca="1" si="58"/>
        <v>31247.399337909112</v>
      </c>
      <c r="AM140" s="772">
        <f t="shared" ca="1" si="58"/>
        <v>30560.363540751096</v>
      </c>
      <c r="AN140" s="772">
        <f t="shared" ca="1" si="56"/>
        <v>30560.363540751096</v>
      </c>
      <c r="AO140" s="772">
        <f t="shared" ca="1" si="56"/>
        <v>29812.913863807989</v>
      </c>
      <c r="AP140" s="772">
        <f t="shared" ca="1" si="56"/>
        <v>29812.913863807989</v>
      </c>
      <c r="AQ140" s="772">
        <f t="shared" ca="1" si="56"/>
        <v>29812.913863807989</v>
      </c>
      <c r="AR140" s="772">
        <f t="shared" ca="1" si="55"/>
        <v>31871.31058262126</v>
      </c>
      <c r="AS140" s="772">
        <f t="shared" ca="1" si="55"/>
        <v>31871.31058262126</v>
      </c>
      <c r="AT140" s="772">
        <f t="shared" ca="1" si="55"/>
        <v>31247.399337909112</v>
      </c>
      <c r="AU140" s="772">
        <f t="shared" ca="1" si="55"/>
        <v>31247.399337909112</v>
      </c>
      <c r="AV140" s="772">
        <f t="shared" ca="1" si="55"/>
        <v>30560.363540751096</v>
      </c>
      <c r="AW140" s="772">
        <f t="shared" ca="1" si="55"/>
        <v>30560.363540751096</v>
      </c>
      <c r="AX140" s="772">
        <f t="shared" ca="1" si="55"/>
        <v>29812.913863807989</v>
      </c>
      <c r="AY140" s="772">
        <f t="shared" ca="1" si="55"/>
        <v>29812.913863807989</v>
      </c>
      <c r="AZ140" s="772">
        <f t="shared" ca="1" si="55"/>
        <v>29812.913863807989</v>
      </c>
      <c r="BA140" s="772">
        <f t="shared" ca="1" si="55"/>
        <v>31871.31058262126</v>
      </c>
      <c r="BB140" s="772">
        <f t="shared" ca="1" si="54"/>
        <v>31871.31058262126</v>
      </c>
      <c r="BC140" s="772">
        <f t="shared" ca="1" si="54"/>
        <v>31247.399337909112</v>
      </c>
      <c r="BD140" s="772">
        <f t="shared" ca="1" si="54"/>
        <v>30560.363540751096</v>
      </c>
      <c r="BE140" s="772">
        <f t="shared" ca="1" si="54"/>
        <v>30560.363540751096</v>
      </c>
      <c r="BF140" s="772">
        <f t="shared" ca="1" si="54"/>
        <v>29812.913863807989</v>
      </c>
      <c r="BG140" s="772">
        <f t="shared" ca="1" si="54"/>
        <v>29812.913863807989</v>
      </c>
      <c r="BH140" s="772">
        <f t="shared" ca="1" si="53"/>
        <v>29011.333351488618</v>
      </c>
      <c r="BI140" s="772">
        <f t="shared" ca="1" si="53"/>
        <v>29011.333351488618</v>
      </c>
      <c r="BJ140" s="772">
        <f t="shared" ca="1" si="53"/>
        <v>31247.399337909112</v>
      </c>
      <c r="BK140" s="772">
        <f t="shared" ca="1" si="53"/>
        <v>31247.399337909112</v>
      </c>
      <c r="BL140" s="772">
        <f t="shared" ca="1" si="53"/>
        <v>31247.399337909112</v>
      </c>
      <c r="BM140" s="772">
        <f t="shared" ca="1" si="53"/>
        <v>31247.399337909112</v>
      </c>
      <c r="BN140" s="772">
        <f t="shared" ca="1" si="53"/>
        <v>29812.913863807989</v>
      </c>
      <c r="BO140" s="772">
        <f t="shared" ca="1" si="53"/>
        <v>29812.913863807989</v>
      </c>
      <c r="BP140" s="772">
        <f t="shared" ca="1" si="53"/>
        <v>29011.333351488618</v>
      </c>
      <c r="BQ140" s="772">
        <f t="shared" ca="1" si="53"/>
        <v>29011.333351488618</v>
      </c>
      <c r="BR140" s="772">
        <f t="shared" ca="1" si="53"/>
        <v>28165.109349226939</v>
      </c>
      <c r="BS140" s="772">
        <f t="shared" ca="1" si="53"/>
        <v>31247.399337909112</v>
      </c>
      <c r="BT140" s="772">
        <f t="shared" ca="1" si="53"/>
        <v>31247.399337909112</v>
      </c>
      <c r="BU140" s="772">
        <f t="shared" ca="1" si="53"/>
        <v>31247.399337909112</v>
      </c>
      <c r="BV140" s="772">
        <f t="shared" ca="1" si="53"/>
        <v>30560.363540751096</v>
      </c>
      <c r="BW140" s="772">
        <f t="shared" ca="1" si="53"/>
        <v>30560.363540751096</v>
      </c>
      <c r="BX140" s="772">
        <f t="shared" ca="1" si="61"/>
        <v>29011.333351488618</v>
      </c>
      <c r="BY140" s="772">
        <f t="shared" ca="1" si="60"/>
        <v>29011.333351488618</v>
      </c>
      <c r="BZ140" s="772">
        <f t="shared" ca="1" si="60"/>
        <v>28165.109349226939</v>
      </c>
      <c r="CA140" s="772">
        <f t="shared" ca="1" si="60"/>
        <v>28165.109349226939</v>
      </c>
      <c r="CB140" s="772">
        <f t="shared" ca="1" si="60"/>
        <v>30560.363540751096</v>
      </c>
      <c r="CC140" s="772">
        <f t="shared" ca="1" si="60"/>
        <v>30560.363540751096</v>
      </c>
      <c r="CD140" s="772">
        <f t="shared" ca="1" si="60"/>
        <v>30560.363540751096</v>
      </c>
      <c r="CE140" s="772">
        <f t="shared" ca="1" si="60"/>
        <v>30560.363540751096</v>
      </c>
      <c r="CF140" s="772">
        <f t="shared" ca="1" si="60"/>
        <v>29812.913863807989</v>
      </c>
      <c r="CG140" s="772">
        <f t="shared" ca="1" si="60"/>
        <v>29011.333351488618</v>
      </c>
      <c r="CH140" s="772">
        <f t="shared" ca="1" si="60"/>
        <v>28165.109349226939</v>
      </c>
      <c r="CI140" s="772">
        <f t="shared" ca="1" si="60"/>
        <v>28165.109349226939</v>
      </c>
      <c r="CJ140" s="772">
        <f t="shared" ca="1" si="60"/>
        <v>27285.957760471687</v>
      </c>
    </row>
    <row r="141" spans="1:88" ht="15" customHeight="1">
      <c r="A141" s="770">
        <f>'kc-Wert für Stützen'!C141</f>
        <v>193</v>
      </c>
      <c r="B141" s="768">
        <f ca="1">INDIRECT("'kc-Wert für Stützen'!"&amp;SUBSTITUTE(ADDRESS(MATCH($A141,'kc-Wert für Stützen'!$C:$C,0),MATCH(B$7,'kc-Wert für Stützen'!$A$8:$ES$8,0)+7,4),,))</f>
        <v>33347.4808191661</v>
      </c>
      <c r="C141" s="768">
        <f ca="1">INDIRECT("'kc-Wert für Stützen'!"&amp;SUBSTITUTE(ADDRESS(MATCH($A141,'kc-Wert für Stützen'!$C:$C,0),MATCH(C$7,'kc-Wert für Stützen'!$A$8:$ES$8,0)+7,4),,))</f>
        <v>32851.340246538806</v>
      </c>
      <c r="D141" s="768">
        <f ca="1">INDIRECT("'kc-Wert für Stützen'!"&amp;SUBSTITUTE(ADDRESS(MATCH($A141,'kc-Wert für Stützen'!$C:$C,0),MATCH(D$7,'kc-Wert für Stützen'!$A$8:$ES$8,0)+7,4),,))</f>
        <v>32296.432243920339</v>
      </c>
      <c r="E141" s="768">
        <f ca="1">INDIRECT("'kc-Wert für Stützen'!"&amp;SUBSTITUTE(ADDRESS(MATCH($A141,'kc-Wert für Stützen'!$C:$C,0),MATCH(E$7,'kc-Wert für Stützen'!$A$8:$ES$8,0)+7,4),,))</f>
        <v>31679.322324884921</v>
      </c>
      <c r="F141" s="768">
        <f ca="1">INDIRECT("'kc-Wert für Stützen'!"&amp;SUBSTITUTE(ADDRESS(MATCH($A141,'kc-Wert für Stützen'!$C:$C,0),MATCH(F$7,'kc-Wert für Stützen'!$A$8:$ES$8,0)+7,4),,))</f>
        <v>30998.971760825134</v>
      </c>
      <c r="G141" s="768">
        <f ca="1">INDIRECT("'kc-Wert für Stützen'!"&amp;SUBSTITUTE(ADDRESS(MATCH($A141,'kc-Wert für Stützen'!$C:$C,0),MATCH(G$7,'kc-Wert für Stützen'!$A$8:$ES$8,0)+7,4),,))</f>
        <v>30257.507773946174</v>
      </c>
      <c r="H141" s="768">
        <f ca="1">INDIRECT("'kc-Wert für Stützen'!"&amp;SUBSTITUTE(ADDRESS(MATCH($A141,'kc-Wert für Stützen'!$C:$C,0),MATCH(H$7,'kc-Wert für Stützen'!$A$8:$ES$8,0)+7,4),,))</f>
        <v>29460.589839388613</v>
      </c>
      <c r="I141" s="768">
        <f ca="1">INDIRECT("'kc-Wert für Stützen'!"&amp;SUBSTITUTE(ADDRESS(MATCH($A141,'kc-Wert für Stützen'!$C:$C,0),MATCH(I$7,'kc-Wert für Stützen'!$A$8:$ES$8,0)+7,4),,))</f>
        <v>28617.159119362426</v>
      </c>
      <c r="J141" s="768">
        <f ca="1">INDIRECT("'kc-Wert für Stützen'!"&amp;SUBSTITUTE(ADDRESS(MATCH($A141,'kc-Wert für Stützen'!$C:$C,0),MATCH(J$7,'kc-Wert für Stützen'!$A$8:$ES$8,0)+7,4),,))</f>
        <v>27738.566957709852</v>
      </c>
      <c r="K141" s="768">
        <f ca="1">INDIRECT("'kc-Wert für Stützen'!"&amp;SUBSTITUTE(ADDRESS(MATCH($A141,'kc-Wert für Stützen'!$C:$C,0),MATCH(K$7,'kc-Wert für Stützen'!$A$8:$ES$8,0)+7,4),,))</f>
        <v>26837.318872895965</v>
      </c>
      <c r="L141" s="768">
        <f ca="1">INDIRECT("'kc-Wert für Stützen'!"&amp;SUBSTITUTE(ADDRESS(MATCH($A141,'kc-Wert für Stützen'!$C:$C,0),MATCH(L$7,'kc-Wert für Stützen'!$A$8:$ES$8,0)+7,4),,))</f>
        <v>25925.791236485675</v>
      </c>
      <c r="M141" s="768">
        <f ca="1">INDIRECT("'kc-Wert für Stützen'!"&amp;SUBSTITUTE(ADDRESS(MATCH($A141,'kc-Wert für Stützen'!$C:$C,0),MATCH(M$7,'kc-Wert für Stützen'!$A$8:$ES$8,0)+7,4),,))</f>
        <v>25015.220108176563</v>
      </c>
      <c r="N141" s="768">
        <f ca="1">INDIRECT("'kc-Wert für Stützen'!"&amp;SUBSTITUTE(ADDRESS(MATCH($A141,'kc-Wert für Stützen'!$C:$C,0),MATCH(N$7,'kc-Wert für Stützen'!$A$8:$ES$8,0)+7,4),,))</f>
        <v>24115.097282018072</v>
      </c>
      <c r="O141" s="768">
        <f ca="1">INDIRECT("'kc-Wert für Stützen'!"&amp;SUBSTITUTE(ADDRESS(MATCH($A141,'kc-Wert für Stützen'!$C:$C,0),MATCH(O$7,'kc-Wert für Stützen'!$A$8:$ES$8,0)+7,4),,))</f>
        <v>23232.952027268089</v>
      </c>
      <c r="P141" s="768">
        <f ca="1">INDIRECT("'kc-Wert für Stützen'!"&amp;SUBSTITUTE(ADDRESS(MATCH($A141,'kc-Wert für Stützen'!$C:$C,0),MATCH(P$7,'kc-Wert für Stützen'!$A$8:$ES$8,0)+7,4),,))</f>
        <v>22374.412478595896</v>
      </c>
      <c r="S141" s="772">
        <f t="shared" ca="1" si="59"/>
        <v>32296.432243920339</v>
      </c>
      <c r="T141" s="772">
        <f t="shared" ca="1" si="50"/>
        <v>32296.432243920339</v>
      </c>
      <c r="U141" s="772">
        <f t="shared" ca="1" si="50"/>
        <v>32296.432243920339</v>
      </c>
      <c r="V141" s="772">
        <f t="shared" ca="1" si="50"/>
        <v>31679.322324884921</v>
      </c>
      <c r="W141" s="772">
        <f t="shared" ca="1" si="50"/>
        <v>30998.971760825134</v>
      </c>
      <c r="X141" s="772">
        <f t="shared" ca="1" si="50"/>
        <v>30257.507773946174</v>
      </c>
      <c r="Y141" s="772">
        <f t="shared" ca="1" si="50"/>
        <v>29460.589839388613</v>
      </c>
      <c r="Z141" s="772">
        <f t="shared" ca="1" si="50"/>
        <v>32296.432243920339</v>
      </c>
      <c r="AA141" s="772">
        <f t="shared" ca="1" si="50"/>
        <v>32296.432243920339</v>
      </c>
      <c r="AB141" s="772">
        <f t="shared" ca="1" si="57"/>
        <v>31679.322324884921</v>
      </c>
      <c r="AC141" s="772">
        <f t="shared" ca="1" si="57"/>
        <v>31679.322324884921</v>
      </c>
      <c r="AD141" s="772">
        <f t="shared" ca="1" si="57"/>
        <v>30998.971760825134</v>
      </c>
      <c r="AE141" s="772">
        <f t="shared" ca="1" si="57"/>
        <v>30998.971760825134</v>
      </c>
      <c r="AF141" s="772">
        <f t="shared" ca="1" si="57"/>
        <v>30257.507773946174</v>
      </c>
      <c r="AG141" s="772">
        <f t="shared" ca="1" si="57"/>
        <v>30257.507773946174</v>
      </c>
      <c r="AH141" s="772">
        <f t="shared" ca="1" si="57"/>
        <v>30257.507773946174</v>
      </c>
      <c r="AI141" s="772">
        <f t="shared" ca="1" si="57"/>
        <v>32296.432243920339</v>
      </c>
      <c r="AJ141" s="772">
        <f t="shared" ca="1" si="58"/>
        <v>32296.432243920339</v>
      </c>
      <c r="AK141" s="772">
        <f t="shared" ca="1" si="58"/>
        <v>31679.322324884921</v>
      </c>
      <c r="AL141" s="772">
        <f t="shared" ca="1" si="58"/>
        <v>31679.322324884921</v>
      </c>
      <c r="AM141" s="772">
        <f t="shared" ca="1" si="58"/>
        <v>30998.971760825134</v>
      </c>
      <c r="AN141" s="772">
        <f t="shared" ca="1" si="56"/>
        <v>30998.971760825134</v>
      </c>
      <c r="AO141" s="772">
        <f t="shared" ca="1" si="56"/>
        <v>30257.507773946174</v>
      </c>
      <c r="AP141" s="772">
        <f t="shared" ca="1" si="56"/>
        <v>30257.507773946174</v>
      </c>
      <c r="AQ141" s="772">
        <f t="shared" ca="1" si="56"/>
        <v>30257.507773946174</v>
      </c>
      <c r="AR141" s="772">
        <f t="shared" ca="1" si="55"/>
        <v>32296.432243920339</v>
      </c>
      <c r="AS141" s="772">
        <f t="shared" ca="1" si="55"/>
        <v>32296.432243920339</v>
      </c>
      <c r="AT141" s="772">
        <f t="shared" ca="1" si="55"/>
        <v>31679.322324884921</v>
      </c>
      <c r="AU141" s="772">
        <f t="shared" ca="1" si="55"/>
        <v>31679.322324884921</v>
      </c>
      <c r="AV141" s="772">
        <f t="shared" ca="1" si="55"/>
        <v>30998.971760825134</v>
      </c>
      <c r="AW141" s="772">
        <f t="shared" ca="1" si="55"/>
        <v>30998.971760825134</v>
      </c>
      <c r="AX141" s="772">
        <f t="shared" ca="1" si="55"/>
        <v>30257.507773946174</v>
      </c>
      <c r="AY141" s="772">
        <f t="shared" ca="1" si="55"/>
        <v>30257.507773946174</v>
      </c>
      <c r="AZ141" s="772">
        <f t="shared" ca="1" si="55"/>
        <v>30257.507773946174</v>
      </c>
      <c r="BA141" s="772">
        <f t="shared" ca="1" si="55"/>
        <v>32296.432243920339</v>
      </c>
      <c r="BB141" s="772">
        <f t="shared" ca="1" si="54"/>
        <v>32296.432243920339</v>
      </c>
      <c r="BC141" s="772">
        <f t="shared" ca="1" si="54"/>
        <v>31679.322324884921</v>
      </c>
      <c r="BD141" s="772">
        <f t="shared" ca="1" si="54"/>
        <v>30998.971760825134</v>
      </c>
      <c r="BE141" s="772">
        <f t="shared" ca="1" si="54"/>
        <v>30998.971760825134</v>
      </c>
      <c r="BF141" s="772">
        <f t="shared" ca="1" si="54"/>
        <v>30257.507773946174</v>
      </c>
      <c r="BG141" s="772">
        <f t="shared" ca="1" si="54"/>
        <v>30257.507773946174</v>
      </c>
      <c r="BH141" s="772">
        <f t="shared" ca="1" si="53"/>
        <v>29460.589839388613</v>
      </c>
      <c r="BI141" s="772">
        <f t="shared" ca="1" si="53"/>
        <v>29460.589839388613</v>
      </c>
      <c r="BJ141" s="772">
        <f t="shared" ca="1" si="53"/>
        <v>31679.322324884921</v>
      </c>
      <c r="BK141" s="772">
        <f t="shared" ca="1" si="53"/>
        <v>31679.322324884921</v>
      </c>
      <c r="BL141" s="772">
        <f t="shared" ca="1" si="53"/>
        <v>31679.322324884921</v>
      </c>
      <c r="BM141" s="772">
        <f t="shared" ca="1" si="53"/>
        <v>31679.322324884921</v>
      </c>
      <c r="BN141" s="772">
        <f t="shared" ca="1" si="53"/>
        <v>30257.507773946174</v>
      </c>
      <c r="BO141" s="772">
        <f t="shared" ca="1" si="53"/>
        <v>30257.507773946174</v>
      </c>
      <c r="BP141" s="772">
        <f t="shared" ca="1" si="53"/>
        <v>29460.589839388613</v>
      </c>
      <c r="BQ141" s="772">
        <f t="shared" ca="1" si="53"/>
        <v>29460.589839388613</v>
      </c>
      <c r="BR141" s="772">
        <f t="shared" ca="1" si="53"/>
        <v>28617.159119362426</v>
      </c>
      <c r="BS141" s="772">
        <f t="shared" ca="1" si="53"/>
        <v>31679.322324884921</v>
      </c>
      <c r="BT141" s="772">
        <f t="shared" ca="1" si="53"/>
        <v>31679.322324884921</v>
      </c>
      <c r="BU141" s="772">
        <f t="shared" ca="1" si="53"/>
        <v>31679.322324884921</v>
      </c>
      <c r="BV141" s="772">
        <f t="shared" ca="1" si="53"/>
        <v>30998.971760825134</v>
      </c>
      <c r="BW141" s="772">
        <f t="shared" ca="1" si="53"/>
        <v>30998.971760825134</v>
      </c>
      <c r="BX141" s="772">
        <f t="shared" ca="1" si="61"/>
        <v>29460.589839388613</v>
      </c>
      <c r="BY141" s="772">
        <f t="shared" ca="1" si="60"/>
        <v>29460.589839388613</v>
      </c>
      <c r="BZ141" s="772">
        <f t="shared" ca="1" si="60"/>
        <v>28617.159119362426</v>
      </c>
      <c r="CA141" s="772">
        <f t="shared" ca="1" si="60"/>
        <v>28617.159119362426</v>
      </c>
      <c r="CB141" s="772">
        <f t="shared" ca="1" si="60"/>
        <v>30998.971760825134</v>
      </c>
      <c r="CC141" s="772">
        <f t="shared" ca="1" si="60"/>
        <v>30998.971760825134</v>
      </c>
      <c r="CD141" s="772">
        <f t="shared" ca="1" si="60"/>
        <v>30998.971760825134</v>
      </c>
      <c r="CE141" s="772">
        <f t="shared" ca="1" si="60"/>
        <v>30998.971760825134</v>
      </c>
      <c r="CF141" s="772">
        <f t="shared" ca="1" si="60"/>
        <v>30257.507773946174</v>
      </c>
      <c r="CG141" s="772">
        <f t="shared" ca="1" si="60"/>
        <v>29460.589839388613</v>
      </c>
      <c r="CH141" s="772">
        <f t="shared" ca="1" si="60"/>
        <v>28617.159119362426</v>
      </c>
      <c r="CI141" s="772">
        <f t="shared" ca="1" si="60"/>
        <v>28617.159119362426</v>
      </c>
      <c r="CJ141" s="772">
        <f t="shared" ca="1" si="60"/>
        <v>27738.566957709852</v>
      </c>
    </row>
    <row r="142" spans="1:88" ht="15" customHeight="1">
      <c r="A142" s="770">
        <f>'kc-Wert für Stützen'!C142</f>
        <v>194</v>
      </c>
      <c r="B142" s="768">
        <f ca="1">INDIRECT("'kc-Wert für Stützen'!"&amp;SUBSTITUTE(ADDRESS(MATCH($A142,'kc-Wert für Stützen'!$C:$C,0),MATCH(B$7,'kc-Wert für Stützen'!$A$8:$ES$8,0)+7,4),,))</f>
        <v>33761.676395130176</v>
      </c>
      <c r="C142" s="768">
        <f ca="1">INDIRECT("'kc-Wert für Stützen'!"&amp;SUBSTITUTE(ADDRESS(MATCH($A142,'kc-Wert für Stützen'!$C:$C,0),MATCH(C$7,'kc-Wert für Stützen'!$A$8:$ES$8,0)+7,4),,))</f>
        <v>33271.252402839389</v>
      </c>
      <c r="D142" s="768">
        <f ca="1">INDIRECT("'kc-Wert für Stützen'!"&amp;SUBSTITUTE(ADDRESS(MATCH($A142,'kc-Wert für Stützen'!$C:$C,0),MATCH(D$7,'kc-Wert für Stützen'!$A$8:$ES$8,0)+7,4),,))</f>
        <v>32722.723615425861</v>
      </c>
      <c r="E142" s="768">
        <f ca="1">INDIRECT("'kc-Wert für Stützen'!"&amp;SUBSTITUTE(ADDRESS(MATCH($A142,'kc-Wert für Stützen'!$C:$C,0),MATCH(E$7,'kc-Wert für Stützen'!$A$8:$ES$8,0)+7,4),,))</f>
        <v>32112.387860876952</v>
      </c>
      <c r="F142" s="768">
        <f ca="1">INDIRECT("'kc-Wert für Stützen'!"&amp;SUBSTITUTE(ADDRESS(MATCH($A142,'kc-Wert für Stützen'!$C:$C,0),MATCH(F$7,'kc-Wert für Stützen'!$A$8:$ES$8,0)+7,4),,))</f>
        <v>31438.778886270637</v>
      </c>
      <c r="G142" s="768">
        <f ca="1">INDIRECT("'kc-Wert für Stützen'!"&amp;SUBSTITUTE(ADDRESS(MATCH($A142,'kc-Wert für Stützen'!$C:$C,0),MATCH(G$7,'kc-Wert für Stützen'!$A$8:$ES$8,0)+7,4),,))</f>
        <v>30703.462241563087</v>
      </c>
      <c r="H142" s="768">
        <f ca="1">INDIRECT("'kc-Wert für Stützen'!"&amp;SUBSTITUTE(ADDRESS(MATCH($A142,'kc-Wert für Stützen'!$C:$C,0),MATCH(H$7,'kc-Wert für Stützen'!$A$8:$ES$8,0)+7,4),,))</f>
        <v>29911.479002043885</v>
      </c>
      <c r="I142" s="768">
        <f ca="1">INDIRECT("'kc-Wert für Stützen'!"&amp;SUBSTITUTE(ADDRESS(MATCH($A142,'kc-Wert für Stützen'!$C:$C,0),MATCH(I$7,'kc-Wert für Stützen'!$A$8:$ES$8,0)+7,4),,))</f>
        <v>29071.208009473681</v>
      </c>
      <c r="J142" s="768">
        <f ca="1">INDIRECT("'kc-Wert für Stützen'!"&amp;SUBSTITUTE(ADDRESS(MATCH($A142,'kc-Wert für Stützen'!$C:$C,0),MATCH(J$7,'kc-Wert für Stützen'!$A$8:$ES$8,0)+7,4),,))</f>
        <v>28193.602110360007</v>
      </c>
      <c r="K142" s="768">
        <f ca="1">INDIRECT("'kc-Wert für Stützen'!"&amp;SUBSTITUTE(ADDRESS(MATCH($A142,'kc-Wert für Stützen'!$C:$C,0),MATCH(K$7,'kc-Wert für Stützen'!$A$8:$ES$8,0)+7,4),,))</f>
        <v>27290.993360778939</v>
      </c>
      <c r="L142" s="768">
        <f ca="1">INDIRECT("'kc-Wert für Stützen'!"&amp;SUBSTITUTE(ADDRESS(MATCH($A142,'kc-Wert für Stützen'!$C:$C,0),MATCH(L$7,'kc-Wert für Stützen'!$A$8:$ES$8,0)+7,4),,))</f>
        <v>26375.807859184861</v>
      </c>
      <c r="M142" s="768">
        <f ca="1">INDIRECT("'kc-Wert für Stützen'!"&amp;SUBSTITUTE(ADDRESS(MATCH($A142,'kc-Wert für Stützen'!$C:$C,0),MATCH(M$7,'kc-Wert für Stützen'!$A$8:$ES$8,0)+7,4),,))</f>
        <v>25459.503804122753</v>
      </c>
      <c r="N142" s="768">
        <f ca="1">INDIRECT("'kc-Wert für Stützen'!"&amp;SUBSTITUTE(ADDRESS(MATCH($A142,'kc-Wert für Stützen'!$C:$C,0),MATCH(N$7,'kc-Wert für Stützen'!$A$8:$ES$8,0)+7,4),,))</f>
        <v>24551.897029336582</v>
      </c>
      <c r="O142" s="768">
        <f ca="1">INDIRECT("'kc-Wert für Stützen'!"&amp;SUBSTITUTE(ADDRESS(MATCH($A142,'kc-Wert für Stützen'!$C:$C,0),MATCH(O$7,'kc-Wert für Stützen'!$A$8:$ES$8,0)+7,4),,))</f>
        <v>23660.877763188604</v>
      </c>
      <c r="P142" s="768">
        <f ca="1">INDIRECT("'kc-Wert für Stützen'!"&amp;SUBSTITUTE(ADDRESS(MATCH($A142,'kc-Wert für Stützen'!$C:$C,0),MATCH(P$7,'kc-Wert für Stützen'!$A$8:$ES$8,0)+7,4),,))</f>
        <v>22792.425197105709</v>
      </c>
      <c r="S142" s="772">
        <f t="shared" ca="1" si="59"/>
        <v>32722.723615425861</v>
      </c>
      <c r="T142" s="772">
        <f t="shared" ca="1" si="50"/>
        <v>32722.723615425861</v>
      </c>
      <c r="U142" s="772">
        <f t="shared" ca="1" si="50"/>
        <v>32722.723615425861</v>
      </c>
      <c r="V142" s="772">
        <f t="shared" ca="1" si="50"/>
        <v>32112.387860876952</v>
      </c>
      <c r="W142" s="772">
        <f t="shared" ca="1" si="50"/>
        <v>31438.778886270637</v>
      </c>
      <c r="X142" s="772">
        <f t="shared" ca="1" si="50"/>
        <v>30703.462241563087</v>
      </c>
      <c r="Y142" s="772">
        <f t="shared" ca="1" si="50"/>
        <v>29911.479002043885</v>
      </c>
      <c r="Z142" s="772">
        <f t="shared" ca="1" si="50"/>
        <v>32722.723615425861</v>
      </c>
      <c r="AA142" s="772">
        <f t="shared" ca="1" si="50"/>
        <v>32722.723615425861</v>
      </c>
      <c r="AB142" s="772">
        <f t="shared" ca="1" si="57"/>
        <v>32112.387860876952</v>
      </c>
      <c r="AC142" s="772">
        <f t="shared" ca="1" si="57"/>
        <v>32112.387860876952</v>
      </c>
      <c r="AD142" s="772">
        <f t="shared" ca="1" si="57"/>
        <v>31438.778886270637</v>
      </c>
      <c r="AE142" s="772">
        <f t="shared" ca="1" si="57"/>
        <v>31438.778886270637</v>
      </c>
      <c r="AF142" s="772">
        <f t="shared" ca="1" si="57"/>
        <v>30703.462241563087</v>
      </c>
      <c r="AG142" s="772">
        <f t="shared" ca="1" si="57"/>
        <v>30703.462241563087</v>
      </c>
      <c r="AH142" s="772">
        <f t="shared" ca="1" si="57"/>
        <v>30703.462241563087</v>
      </c>
      <c r="AI142" s="772">
        <f t="shared" ca="1" si="57"/>
        <v>32722.723615425861</v>
      </c>
      <c r="AJ142" s="772">
        <f t="shared" ca="1" si="58"/>
        <v>32722.723615425861</v>
      </c>
      <c r="AK142" s="772">
        <f t="shared" ca="1" si="58"/>
        <v>32112.387860876952</v>
      </c>
      <c r="AL142" s="772">
        <f t="shared" ca="1" si="58"/>
        <v>32112.387860876952</v>
      </c>
      <c r="AM142" s="772">
        <f t="shared" ca="1" si="58"/>
        <v>31438.778886270637</v>
      </c>
      <c r="AN142" s="772">
        <f t="shared" ca="1" si="56"/>
        <v>31438.778886270637</v>
      </c>
      <c r="AO142" s="772">
        <f t="shared" ca="1" si="56"/>
        <v>30703.462241563087</v>
      </c>
      <c r="AP142" s="772">
        <f t="shared" ca="1" si="56"/>
        <v>30703.462241563087</v>
      </c>
      <c r="AQ142" s="772">
        <f t="shared" ca="1" si="56"/>
        <v>30703.462241563087</v>
      </c>
      <c r="AR142" s="772">
        <f t="shared" ca="1" si="55"/>
        <v>32722.723615425861</v>
      </c>
      <c r="AS142" s="772">
        <f t="shared" ca="1" si="55"/>
        <v>32722.723615425861</v>
      </c>
      <c r="AT142" s="772">
        <f t="shared" ca="1" si="55"/>
        <v>32112.387860876952</v>
      </c>
      <c r="AU142" s="772">
        <f t="shared" ca="1" si="55"/>
        <v>32112.387860876952</v>
      </c>
      <c r="AV142" s="772">
        <f t="shared" ca="1" si="55"/>
        <v>31438.778886270637</v>
      </c>
      <c r="AW142" s="772">
        <f t="shared" ca="1" si="55"/>
        <v>31438.778886270637</v>
      </c>
      <c r="AX142" s="772">
        <f t="shared" ca="1" si="55"/>
        <v>30703.462241563087</v>
      </c>
      <c r="AY142" s="772">
        <f t="shared" ca="1" si="55"/>
        <v>30703.462241563087</v>
      </c>
      <c r="AZ142" s="772">
        <f t="shared" ca="1" si="55"/>
        <v>30703.462241563087</v>
      </c>
      <c r="BA142" s="772">
        <f t="shared" ca="1" si="55"/>
        <v>32722.723615425861</v>
      </c>
      <c r="BB142" s="772">
        <f t="shared" ca="1" si="54"/>
        <v>32722.723615425861</v>
      </c>
      <c r="BC142" s="772">
        <f t="shared" ca="1" si="54"/>
        <v>32112.387860876952</v>
      </c>
      <c r="BD142" s="772">
        <f t="shared" ca="1" si="54"/>
        <v>31438.778886270637</v>
      </c>
      <c r="BE142" s="772">
        <f t="shared" ca="1" si="54"/>
        <v>31438.778886270637</v>
      </c>
      <c r="BF142" s="772">
        <f t="shared" ca="1" si="54"/>
        <v>30703.462241563087</v>
      </c>
      <c r="BG142" s="772">
        <f t="shared" ca="1" si="54"/>
        <v>30703.462241563087</v>
      </c>
      <c r="BH142" s="772">
        <f t="shared" ca="1" si="53"/>
        <v>29911.479002043885</v>
      </c>
      <c r="BI142" s="772">
        <f t="shared" ca="1" si="53"/>
        <v>29911.479002043885</v>
      </c>
      <c r="BJ142" s="772">
        <f t="shared" ca="1" si="53"/>
        <v>32112.387860876952</v>
      </c>
      <c r="BK142" s="772">
        <f t="shared" ca="1" si="53"/>
        <v>32112.387860876952</v>
      </c>
      <c r="BL142" s="772">
        <f t="shared" ca="1" si="53"/>
        <v>32112.387860876952</v>
      </c>
      <c r="BM142" s="772">
        <f t="shared" ca="1" si="53"/>
        <v>32112.387860876952</v>
      </c>
      <c r="BN142" s="772">
        <f t="shared" ca="1" si="53"/>
        <v>30703.462241563087</v>
      </c>
      <c r="BO142" s="772">
        <f t="shared" ca="1" si="53"/>
        <v>30703.462241563087</v>
      </c>
      <c r="BP142" s="772">
        <f t="shared" ca="1" si="53"/>
        <v>29911.479002043885</v>
      </c>
      <c r="BQ142" s="772">
        <f t="shared" ca="1" si="53"/>
        <v>29911.479002043885</v>
      </c>
      <c r="BR142" s="772">
        <f t="shared" ca="1" si="53"/>
        <v>29071.208009473681</v>
      </c>
      <c r="BS142" s="772">
        <f t="shared" ca="1" si="53"/>
        <v>32112.387860876952</v>
      </c>
      <c r="BT142" s="772">
        <f t="shared" ca="1" si="53"/>
        <v>32112.387860876952</v>
      </c>
      <c r="BU142" s="772">
        <f t="shared" ca="1" si="53"/>
        <v>32112.387860876952</v>
      </c>
      <c r="BV142" s="772">
        <f t="shared" ca="1" si="53"/>
        <v>31438.778886270637</v>
      </c>
      <c r="BW142" s="772">
        <f t="shared" ca="1" si="53"/>
        <v>31438.778886270637</v>
      </c>
      <c r="BX142" s="772">
        <f t="shared" ca="1" si="61"/>
        <v>29911.479002043885</v>
      </c>
      <c r="BY142" s="772">
        <f t="shared" ca="1" si="60"/>
        <v>29911.479002043885</v>
      </c>
      <c r="BZ142" s="772">
        <f t="shared" ca="1" si="60"/>
        <v>29071.208009473681</v>
      </c>
      <c r="CA142" s="772">
        <f t="shared" ca="1" si="60"/>
        <v>29071.208009473681</v>
      </c>
      <c r="CB142" s="772">
        <f t="shared" ca="1" si="60"/>
        <v>31438.778886270637</v>
      </c>
      <c r="CC142" s="772">
        <f t="shared" ca="1" si="60"/>
        <v>31438.778886270637</v>
      </c>
      <c r="CD142" s="772">
        <f t="shared" ca="1" si="60"/>
        <v>31438.778886270637</v>
      </c>
      <c r="CE142" s="772">
        <f t="shared" ca="1" si="60"/>
        <v>31438.778886270637</v>
      </c>
      <c r="CF142" s="772">
        <f t="shared" ca="1" si="60"/>
        <v>30703.462241563087</v>
      </c>
      <c r="CG142" s="772">
        <f t="shared" ca="1" si="60"/>
        <v>29911.479002043885</v>
      </c>
      <c r="CH142" s="772">
        <f t="shared" ca="1" si="60"/>
        <v>29071.208009473681</v>
      </c>
      <c r="CI142" s="772">
        <f t="shared" ca="1" si="60"/>
        <v>29071.208009473681</v>
      </c>
      <c r="CJ142" s="772">
        <f t="shared" ca="1" si="60"/>
        <v>28193.602110360007</v>
      </c>
    </row>
    <row r="143" spans="1:88" ht="15" customHeight="1">
      <c r="A143" s="770">
        <f>'kc-Wert für Stützen'!C143</f>
        <v>195</v>
      </c>
      <c r="B143" s="768">
        <f ca="1">INDIRECT("'kc-Wert für Stützen'!"&amp;SUBSTITUTE(ADDRESS(MATCH($A143,'kc-Wert für Stützen'!$C:$C,0),MATCH(B$7,'kc-Wert für Stützen'!$A$8:$ES$8,0)+7,4),,))</f>
        <v>34177.249038206581</v>
      </c>
      <c r="C143" s="768">
        <f ca="1">INDIRECT("'kc-Wert für Stützen'!"&amp;SUBSTITUTE(ADDRESS(MATCH($A143,'kc-Wert für Stützen'!$C:$C,0),MATCH(C$7,'kc-Wert für Stützen'!$A$8:$ES$8,0)+7,4),,))</f>
        <v>33692.431141457389</v>
      </c>
      <c r="D143" s="768">
        <f ca="1">INDIRECT("'kc-Wert für Stützen'!"&amp;SUBSTITUTE(ADDRESS(MATCH($A143,'kc-Wert für Stützen'!$C:$C,0),MATCH(D$7,'kc-Wert für Stützen'!$A$8:$ES$8,0)+7,4),,))</f>
        <v>33150.194509184483</v>
      </c>
      <c r="E143" s="768">
        <f ca="1">INDIRECT("'kc-Wert für Stützen'!"&amp;SUBSTITUTE(ADDRESS(MATCH($A143,'kc-Wert für Stützen'!$C:$C,0),MATCH(E$7,'kc-Wert für Stützen'!$A$8:$ES$8,0)+7,4),,))</f>
        <v>32546.595395931305</v>
      </c>
      <c r="F143" s="768">
        <f ca="1">INDIRECT("'kc-Wert für Stützen'!"&amp;SUBSTITUTE(ADDRESS(MATCH($A143,'kc-Wert für Stützen'!$C:$C,0),MATCH(F$7,'kc-Wert für Stützen'!$A$8:$ES$8,0)+7,4),,))</f>
        <v>31879.768790050312</v>
      </c>
      <c r="G143" s="768">
        <f ca="1">INDIRECT("'kc-Wert für Stützen'!"&amp;SUBSTITUTE(ADDRESS(MATCH($A143,'kc-Wert für Stützen'!$C:$C,0),MATCH(G$7,'kc-Wert für Stützen'!$A$8:$ES$8,0)+7,4),,))</f>
        <v>31150.741849023103</v>
      </c>
      <c r="H143" s="768">
        <f ca="1">INDIRECT("'kc-Wert für Stützen'!"&amp;SUBSTITUTE(ADDRESS(MATCH($A143,'kc-Wert für Stützen'!$C:$C,0),MATCH(H$7,'kc-Wert für Stützen'!$A$8:$ES$8,0)+7,4),,))</f>
        <v>30363.94559949149</v>
      </c>
      <c r="I143" s="768">
        <f ca="1">INDIRECT("'kc-Wert für Stützen'!"&amp;SUBSTITUTE(ADDRESS(MATCH($A143,'kc-Wert für Stützen'!$C:$C,0),MATCH(I$7,'kc-Wert für Stützen'!$A$8:$ES$8,0)+7,4),,))</f>
        <v>29527.184282589085</v>
      </c>
      <c r="J143" s="768">
        <f ca="1">INDIRECT("'kc-Wert für Stützen'!"&amp;SUBSTITUTE(ADDRESS(MATCH($A143,'kc-Wert für Stützen'!$C:$C,0),MATCH(J$7,'kc-Wert für Stützen'!$A$8:$ES$8,0)+7,4),,))</f>
        <v>28650.981338516682</v>
      </c>
      <c r="K143" s="768">
        <f ca="1">INDIRECT("'kc-Wert für Stützen'!"&amp;SUBSTITUTE(ADDRESS(MATCH($A143,'kc-Wert für Stützen'!$C:$C,0),MATCH(K$7,'kc-Wert für Stützen'!$A$8:$ES$8,0)+7,4),,))</f>
        <v>27747.454812226257</v>
      </c>
      <c r="L143" s="768">
        <f ca="1">INDIRECT("'kc-Wert für Stützen'!"&amp;SUBSTITUTE(ADDRESS(MATCH($A143,'kc-Wert für Stützen'!$C:$C,0),MATCH(L$7,'kc-Wert für Stützen'!$A$8:$ES$8,0)+7,4),,))</f>
        <v>26829.041360163748</v>
      </c>
      <c r="M143" s="768">
        <f ca="1">INDIRECT("'kc-Wert für Stützen'!"&amp;SUBSTITUTE(ADDRESS(MATCH($A143,'kc-Wert für Stützen'!$C:$C,0),MATCH(M$7,'kc-Wert für Stützen'!$A$8:$ES$8,0)+7,4),,))</f>
        <v>25907.391474070759</v>
      </c>
      <c r="N143" s="768">
        <f ca="1">INDIRECT("'kc-Wert für Stützen'!"&amp;SUBSTITUTE(ADDRESS(MATCH($A143,'kc-Wert für Stützen'!$C:$C,0),MATCH(N$7,'kc-Wert für Stützen'!$A$8:$ES$8,0)+7,4),,))</f>
        <v>24992.627369843489</v>
      </c>
      <c r="O143" s="768">
        <f ca="1">INDIRECT("'kc-Wert für Stützen'!"&amp;SUBSTITUTE(ADDRESS(MATCH($A143,'kc-Wert für Stützen'!$C:$C,0),MATCH(O$7,'kc-Wert für Stützen'!$A$8:$ES$8,0)+7,4),,))</f>
        <v>24092.993588899328</v>
      </c>
      <c r="P143" s="768">
        <f ca="1">INDIRECT("'kc-Wert für Stützen'!"&amp;SUBSTITUTE(ADDRESS(MATCH($A143,'kc-Wert für Stützen'!$C:$C,0),MATCH(P$7,'kc-Wert für Stützen'!$A$8:$ES$8,0)+7,4),,))</f>
        <v>23214.821677776559</v>
      </c>
      <c r="S143" s="772">
        <f t="shared" ca="1" si="59"/>
        <v>33150.194509184483</v>
      </c>
      <c r="T143" s="772">
        <f t="shared" ca="1" si="50"/>
        <v>33150.194509184483</v>
      </c>
      <c r="U143" s="772">
        <f t="shared" ca="1" si="50"/>
        <v>33150.194509184483</v>
      </c>
      <c r="V143" s="772">
        <f t="shared" ca="1" si="50"/>
        <v>32546.595395931305</v>
      </c>
      <c r="W143" s="772">
        <f t="shared" ca="1" si="50"/>
        <v>31879.768790050312</v>
      </c>
      <c r="X143" s="772">
        <f t="shared" ca="1" si="50"/>
        <v>31150.741849023103</v>
      </c>
      <c r="Y143" s="772">
        <f t="shared" ca="1" si="50"/>
        <v>30363.94559949149</v>
      </c>
      <c r="Z143" s="772">
        <f t="shared" ca="1" si="50"/>
        <v>33150.194509184483</v>
      </c>
      <c r="AA143" s="772">
        <f t="shared" ca="1" si="50"/>
        <v>33150.194509184483</v>
      </c>
      <c r="AB143" s="772">
        <f t="shared" ca="1" si="57"/>
        <v>32546.595395931305</v>
      </c>
      <c r="AC143" s="772">
        <f t="shared" ca="1" si="57"/>
        <v>32546.595395931305</v>
      </c>
      <c r="AD143" s="772">
        <f t="shared" ca="1" si="57"/>
        <v>31879.768790050312</v>
      </c>
      <c r="AE143" s="772">
        <f t="shared" ca="1" si="57"/>
        <v>31879.768790050312</v>
      </c>
      <c r="AF143" s="772">
        <f t="shared" ca="1" si="57"/>
        <v>31150.741849023103</v>
      </c>
      <c r="AG143" s="772">
        <f t="shared" ca="1" si="57"/>
        <v>31150.741849023103</v>
      </c>
      <c r="AH143" s="772">
        <f t="shared" ca="1" si="57"/>
        <v>31150.741849023103</v>
      </c>
      <c r="AI143" s="772">
        <f t="shared" ca="1" si="57"/>
        <v>33150.194509184483</v>
      </c>
      <c r="AJ143" s="772">
        <f t="shared" ca="1" si="58"/>
        <v>33150.194509184483</v>
      </c>
      <c r="AK143" s="772">
        <f t="shared" ca="1" si="58"/>
        <v>32546.595395931305</v>
      </c>
      <c r="AL143" s="772">
        <f t="shared" ca="1" si="58"/>
        <v>32546.595395931305</v>
      </c>
      <c r="AM143" s="772">
        <f t="shared" ca="1" si="58"/>
        <v>31879.768790050312</v>
      </c>
      <c r="AN143" s="772">
        <f t="shared" ca="1" si="56"/>
        <v>31879.768790050312</v>
      </c>
      <c r="AO143" s="772">
        <f t="shared" ca="1" si="56"/>
        <v>31150.741849023103</v>
      </c>
      <c r="AP143" s="772">
        <f t="shared" ca="1" si="56"/>
        <v>31150.741849023103</v>
      </c>
      <c r="AQ143" s="772">
        <f t="shared" ca="1" si="56"/>
        <v>31150.741849023103</v>
      </c>
      <c r="AR143" s="772">
        <f t="shared" ca="1" si="55"/>
        <v>33150.194509184483</v>
      </c>
      <c r="AS143" s="772">
        <f t="shared" ca="1" si="55"/>
        <v>33150.194509184483</v>
      </c>
      <c r="AT143" s="772">
        <f t="shared" ca="1" si="55"/>
        <v>32546.595395931305</v>
      </c>
      <c r="AU143" s="772">
        <f t="shared" ca="1" si="55"/>
        <v>32546.595395931305</v>
      </c>
      <c r="AV143" s="772">
        <f t="shared" ca="1" si="55"/>
        <v>31879.768790050312</v>
      </c>
      <c r="AW143" s="772">
        <f t="shared" ca="1" si="55"/>
        <v>31879.768790050312</v>
      </c>
      <c r="AX143" s="772">
        <f t="shared" ca="1" si="55"/>
        <v>31150.741849023103</v>
      </c>
      <c r="AY143" s="772">
        <f t="shared" ca="1" si="55"/>
        <v>31150.741849023103</v>
      </c>
      <c r="AZ143" s="772">
        <f t="shared" ca="1" si="55"/>
        <v>31150.741849023103</v>
      </c>
      <c r="BA143" s="772">
        <f t="shared" ca="1" si="55"/>
        <v>33150.194509184483</v>
      </c>
      <c r="BB143" s="772">
        <f t="shared" ref="BB143:BG152" ca="1" si="62">HLOOKUP(BB$7,$A$7:$P$348,ROW()-6)</f>
        <v>33150.194509184483</v>
      </c>
      <c r="BC143" s="772">
        <f t="shared" ca="1" si="62"/>
        <v>32546.595395931305</v>
      </c>
      <c r="BD143" s="772">
        <f t="shared" ca="1" si="62"/>
        <v>31879.768790050312</v>
      </c>
      <c r="BE143" s="772">
        <f t="shared" ca="1" si="62"/>
        <v>31879.768790050312</v>
      </c>
      <c r="BF143" s="772">
        <f t="shared" ca="1" si="62"/>
        <v>31150.741849023103</v>
      </c>
      <c r="BG143" s="772">
        <f t="shared" ca="1" si="62"/>
        <v>31150.741849023103</v>
      </c>
      <c r="BH143" s="772">
        <f t="shared" ca="1" si="53"/>
        <v>30363.94559949149</v>
      </c>
      <c r="BI143" s="772">
        <f t="shared" ca="1" si="53"/>
        <v>30363.94559949149</v>
      </c>
      <c r="BJ143" s="772">
        <f t="shared" ca="1" si="53"/>
        <v>32546.595395931305</v>
      </c>
      <c r="BK143" s="772">
        <f t="shared" ca="1" si="53"/>
        <v>32546.595395931305</v>
      </c>
      <c r="BL143" s="772">
        <f t="shared" ca="1" si="53"/>
        <v>32546.595395931305</v>
      </c>
      <c r="BM143" s="772">
        <f t="shared" ca="1" si="53"/>
        <v>32546.595395931305</v>
      </c>
      <c r="BN143" s="772">
        <f t="shared" ca="1" si="53"/>
        <v>31150.741849023103</v>
      </c>
      <c r="BO143" s="772">
        <f t="shared" ca="1" si="53"/>
        <v>31150.741849023103</v>
      </c>
      <c r="BP143" s="772">
        <f t="shared" ca="1" si="53"/>
        <v>30363.94559949149</v>
      </c>
      <c r="BQ143" s="772">
        <f t="shared" ca="1" si="53"/>
        <v>30363.94559949149</v>
      </c>
      <c r="BR143" s="772">
        <f t="shared" ca="1" si="53"/>
        <v>29527.184282589085</v>
      </c>
      <c r="BS143" s="772">
        <f t="shared" ca="1" si="53"/>
        <v>32546.595395931305</v>
      </c>
      <c r="BT143" s="772">
        <f t="shared" ca="1" si="53"/>
        <v>32546.595395931305</v>
      </c>
      <c r="BU143" s="772">
        <f t="shared" ca="1" si="53"/>
        <v>32546.595395931305</v>
      </c>
      <c r="BV143" s="772">
        <f t="shared" ca="1" si="53"/>
        <v>31879.768790050312</v>
      </c>
      <c r="BW143" s="772">
        <f t="shared" ca="1" si="53"/>
        <v>31879.768790050312</v>
      </c>
      <c r="BX143" s="772">
        <f t="shared" ca="1" si="61"/>
        <v>30363.94559949149</v>
      </c>
      <c r="BY143" s="772">
        <f t="shared" ca="1" si="60"/>
        <v>30363.94559949149</v>
      </c>
      <c r="BZ143" s="772">
        <f t="shared" ca="1" si="60"/>
        <v>29527.184282589085</v>
      </c>
      <c r="CA143" s="772">
        <f t="shared" ca="1" si="60"/>
        <v>29527.184282589085</v>
      </c>
      <c r="CB143" s="772">
        <f t="shared" ca="1" si="60"/>
        <v>31879.768790050312</v>
      </c>
      <c r="CC143" s="772">
        <f t="shared" ca="1" si="60"/>
        <v>31879.768790050312</v>
      </c>
      <c r="CD143" s="772">
        <f t="shared" ca="1" si="60"/>
        <v>31879.768790050312</v>
      </c>
      <c r="CE143" s="772">
        <f t="shared" ca="1" si="60"/>
        <v>31879.768790050312</v>
      </c>
      <c r="CF143" s="772">
        <f t="shared" ca="1" si="60"/>
        <v>31150.741849023103</v>
      </c>
      <c r="CG143" s="772">
        <f t="shared" ca="1" si="60"/>
        <v>30363.94559949149</v>
      </c>
      <c r="CH143" s="772">
        <f t="shared" ca="1" si="60"/>
        <v>29527.184282589085</v>
      </c>
      <c r="CI143" s="772">
        <f t="shared" ca="1" si="60"/>
        <v>29527.184282589085</v>
      </c>
      <c r="CJ143" s="772">
        <f t="shared" ca="1" si="60"/>
        <v>28650.981338516682</v>
      </c>
    </row>
    <row r="144" spans="1:88" ht="15" customHeight="1">
      <c r="A144" s="770">
        <f>'kc-Wert für Stützen'!C144</f>
        <v>196</v>
      </c>
      <c r="B144" s="768">
        <f ca="1">INDIRECT("'kc-Wert für Stützen'!"&amp;SUBSTITUTE(ADDRESS(MATCH($A144,'kc-Wert für Stützen'!$C:$C,0),MATCH(B$7,'kc-Wert für Stützen'!$A$8:$ES$8,0)+7,4),,))</f>
        <v>34594.215309916035</v>
      </c>
      <c r="C144" s="768">
        <f ca="1">INDIRECT("'kc-Wert für Stützen'!"&amp;SUBSTITUTE(ADDRESS(MATCH($A144,'kc-Wert für Stützen'!$C:$C,0),MATCH(C$7,'kc-Wert für Stützen'!$A$8:$ES$8,0)+7,4),,))</f>
        <v>34114.891963574111</v>
      </c>
      <c r="D144" s="768">
        <f ca="1">INDIRECT("'kc-Wert für Stützen'!"&amp;SUBSTITUTE(ADDRESS(MATCH($A144,'kc-Wert für Stützen'!$C:$C,0),MATCH(D$7,'kc-Wert für Stützen'!$A$8:$ES$8,0)+7,4),,))</f>
        <v>33578.855809471708</v>
      </c>
      <c r="E144" s="768">
        <f ca="1">INDIRECT("'kc-Wert für Stützen'!"&amp;SUBSTITUTE(ADDRESS(MATCH($A144,'kc-Wert für Stützen'!$C:$C,0),MATCH(E$7,'kc-Wert für Stützen'!$A$8:$ES$8,0)+7,4),,))</f>
        <v>32981.946386411895</v>
      </c>
      <c r="F144" s="768">
        <f ca="1">INDIRECT("'kc-Wert für Stützen'!"&amp;SUBSTITUTE(ADDRESS(MATCH($A144,'kc-Wert für Stützen'!$C:$C,0),MATCH(F$7,'kc-Wert für Stützen'!$A$8:$ES$8,0)+7,4),,))</f>
        <v>32321.928294699024</v>
      </c>
      <c r="G144" s="768">
        <f ca="1">INDIRECT("'kc-Wert für Stützen'!"&amp;SUBSTITUTE(ADDRESS(MATCH($A144,'kc-Wert für Stützen'!$C:$C,0),MATCH(G$7,'kc-Wert für Stützen'!$A$8:$ES$8,0)+7,4),,))</f>
        <v>31599.31475746354</v>
      </c>
      <c r="H144" s="768">
        <f ca="1">INDIRECT("'kc-Wert für Stützen'!"&amp;SUBSTITUTE(ADDRESS(MATCH($A144,'kc-Wert für Stützen'!$C:$C,0),MATCH(H$7,'kc-Wert für Stützen'!$A$8:$ES$8,0)+7,4),,))</f>
        <v>30817.937990493694</v>
      </c>
      <c r="I144" s="768">
        <f ca="1">INDIRECT("'kc-Wert für Stützen'!"&amp;SUBSTITUTE(ADDRESS(MATCH($A144,'kc-Wert für Stützen'!$C:$C,0),MATCH(I$7,'kc-Wert für Stützen'!$A$8:$ES$8,0)+7,4),,))</f>
        <v>29985.019123649461</v>
      </c>
      <c r="J144" s="768">
        <f ca="1">INDIRECT("'kc-Wert für Stützen'!"&amp;SUBSTITUTE(ADDRESS(MATCH($A144,'kc-Wert für Stützen'!$C:$C,0),MATCH(J$7,'kc-Wert für Stützen'!$A$8:$ES$8,0)+7,4),,))</f>
        <v>29110.624493019306</v>
      </c>
      <c r="K144" s="768">
        <f ca="1">INDIRECT("'kc-Wert für Stützen'!"&amp;SUBSTITUTE(ADDRESS(MATCH($A144,'kc-Wert für Stützen'!$C:$C,0),MATCH(K$7,'kc-Wert für Stützen'!$A$8:$ES$8,0)+7,4),,))</f>
        <v>28206.619089469983</v>
      </c>
      <c r="L144" s="768">
        <f ca="1">INDIRECT("'kc-Wert für Stützen'!"&amp;SUBSTITUTE(ADDRESS(MATCH($A144,'kc-Wert für Stützen'!$C:$C,0),MATCH(L$7,'kc-Wert für Stützen'!$A$8:$ES$8,0)+7,4),,))</f>
        <v>27285.410556767645</v>
      </c>
      <c r="M144" s="768">
        <f ca="1">INDIRECT("'kc-Wert für Stützen'!"&amp;SUBSTITUTE(ADDRESS(MATCH($A144,'kc-Wert für Stützen'!$C:$C,0),MATCH(M$7,'kc-Wert für Stützen'!$A$8:$ES$8,0)+7,4),,))</f>
        <v>26358.81014785303</v>
      </c>
      <c r="N144" s="768">
        <f ca="1">INDIRECT("'kc-Wert für Stützen'!"&amp;SUBSTITUTE(ADDRESS(MATCH($A144,'kc-Wert für Stützen'!$C:$C,0),MATCH(N$7,'kc-Wert für Stützen'!$A$8:$ES$8,0)+7,4),,))</f>
        <v>25437.226700053903</v>
      </c>
      <c r="O144" s="768">
        <f ca="1">INDIRECT("'kc-Wert für Stützen'!"&amp;SUBSTITUTE(ADDRESS(MATCH($A144,'kc-Wert für Stützen'!$C:$C,0),MATCH(O$7,'kc-Wert für Stützen'!$A$8:$ES$8,0)+7,4),,))</f>
        <v>24529.250544716637</v>
      </c>
      <c r="P144" s="768">
        <f ca="1">INDIRECT("'kc-Wert für Stützen'!"&amp;SUBSTITUTE(ADDRESS(MATCH($A144,'kc-Wert für Stützen'!$C:$C,0),MATCH(P$7,'kc-Wert für Stützen'!$A$8:$ES$8,0)+7,4),,))</f>
        <v>23641.565516035527</v>
      </c>
      <c r="S144" s="772">
        <f t="shared" ca="1" si="59"/>
        <v>33578.855809471708</v>
      </c>
      <c r="T144" s="772">
        <f t="shared" ca="1" si="50"/>
        <v>33578.855809471708</v>
      </c>
      <c r="U144" s="772">
        <f t="shared" ca="1" si="50"/>
        <v>33578.855809471708</v>
      </c>
      <c r="V144" s="772">
        <f t="shared" ca="1" si="50"/>
        <v>32981.946386411895</v>
      </c>
      <c r="W144" s="772">
        <f t="shared" ca="1" si="50"/>
        <v>32321.928294699024</v>
      </c>
      <c r="X144" s="772">
        <f t="shared" ca="1" si="50"/>
        <v>31599.31475746354</v>
      </c>
      <c r="Y144" s="772">
        <f t="shared" ca="1" si="50"/>
        <v>30817.937990493694</v>
      </c>
      <c r="Z144" s="772">
        <f t="shared" ca="1" si="50"/>
        <v>33578.855809471708</v>
      </c>
      <c r="AA144" s="772">
        <f t="shared" ca="1" si="50"/>
        <v>33578.855809471708</v>
      </c>
      <c r="AB144" s="772">
        <f t="shared" ca="1" si="57"/>
        <v>32981.946386411895</v>
      </c>
      <c r="AC144" s="772">
        <f t="shared" ca="1" si="57"/>
        <v>32981.946386411895</v>
      </c>
      <c r="AD144" s="772">
        <f t="shared" ca="1" si="57"/>
        <v>32321.928294699024</v>
      </c>
      <c r="AE144" s="772">
        <f t="shared" ca="1" si="57"/>
        <v>32321.928294699024</v>
      </c>
      <c r="AF144" s="772">
        <f t="shared" ca="1" si="57"/>
        <v>31599.31475746354</v>
      </c>
      <c r="AG144" s="772">
        <f t="shared" ca="1" si="57"/>
        <v>31599.31475746354</v>
      </c>
      <c r="AH144" s="772">
        <f t="shared" ca="1" si="57"/>
        <v>31599.31475746354</v>
      </c>
      <c r="AI144" s="772">
        <f t="shared" ca="1" si="57"/>
        <v>33578.855809471708</v>
      </c>
      <c r="AJ144" s="772">
        <f t="shared" ca="1" si="57"/>
        <v>33578.855809471708</v>
      </c>
      <c r="AK144" s="772">
        <f t="shared" ca="1" si="57"/>
        <v>32981.946386411895</v>
      </c>
      <c r="AL144" s="772">
        <f t="shared" ca="1" si="57"/>
        <v>32981.946386411895</v>
      </c>
      <c r="AM144" s="772">
        <f t="shared" ca="1" si="57"/>
        <v>32321.928294699024</v>
      </c>
      <c r="AN144" s="772">
        <f t="shared" ca="1" si="57"/>
        <v>32321.928294699024</v>
      </c>
      <c r="AO144" s="772">
        <f t="shared" ca="1" si="57"/>
        <v>31599.31475746354</v>
      </c>
      <c r="AP144" s="772">
        <f t="shared" ca="1" si="57"/>
        <v>31599.31475746354</v>
      </c>
      <c r="AQ144" s="772">
        <f t="shared" ca="1" si="57"/>
        <v>31599.31475746354</v>
      </c>
      <c r="AR144" s="772">
        <f t="shared" ref="AR144:BA153" ca="1" si="63">HLOOKUP(AR$7,$A$7:$P$348,ROW()-6)</f>
        <v>33578.855809471708</v>
      </c>
      <c r="AS144" s="772">
        <f t="shared" ca="1" si="63"/>
        <v>33578.855809471708</v>
      </c>
      <c r="AT144" s="772">
        <f t="shared" ca="1" si="63"/>
        <v>32981.946386411895</v>
      </c>
      <c r="AU144" s="772">
        <f t="shared" ca="1" si="63"/>
        <v>32981.946386411895</v>
      </c>
      <c r="AV144" s="772">
        <f t="shared" ca="1" si="63"/>
        <v>32321.928294699024</v>
      </c>
      <c r="AW144" s="772">
        <f t="shared" ca="1" si="63"/>
        <v>32321.928294699024</v>
      </c>
      <c r="AX144" s="772">
        <f t="shared" ca="1" si="63"/>
        <v>31599.31475746354</v>
      </c>
      <c r="AY144" s="772">
        <f t="shared" ca="1" si="63"/>
        <v>31599.31475746354</v>
      </c>
      <c r="AZ144" s="772">
        <f t="shared" ca="1" si="63"/>
        <v>31599.31475746354</v>
      </c>
      <c r="BA144" s="772">
        <f t="shared" ca="1" si="63"/>
        <v>33578.855809471708</v>
      </c>
      <c r="BB144" s="772">
        <f t="shared" ca="1" si="62"/>
        <v>33578.855809471708</v>
      </c>
      <c r="BC144" s="772">
        <f t="shared" ca="1" si="62"/>
        <v>32981.946386411895</v>
      </c>
      <c r="BD144" s="772">
        <f t="shared" ca="1" si="62"/>
        <v>32321.928294699024</v>
      </c>
      <c r="BE144" s="772">
        <f t="shared" ca="1" si="62"/>
        <v>32321.928294699024</v>
      </c>
      <c r="BF144" s="772">
        <f t="shared" ca="1" si="62"/>
        <v>31599.31475746354</v>
      </c>
      <c r="BG144" s="772">
        <f t="shared" ca="1" si="62"/>
        <v>31599.31475746354</v>
      </c>
      <c r="BH144" s="772">
        <f t="shared" ca="1" si="53"/>
        <v>30817.937990493694</v>
      </c>
      <c r="BI144" s="772">
        <f t="shared" ca="1" si="53"/>
        <v>30817.937990493694</v>
      </c>
      <c r="BJ144" s="772">
        <f t="shared" ca="1" si="53"/>
        <v>32981.946386411895</v>
      </c>
      <c r="BK144" s="772">
        <f t="shared" ca="1" si="53"/>
        <v>32981.946386411895</v>
      </c>
      <c r="BL144" s="772">
        <f t="shared" ca="1" si="53"/>
        <v>32981.946386411895</v>
      </c>
      <c r="BM144" s="772">
        <f t="shared" ca="1" si="53"/>
        <v>32981.946386411895</v>
      </c>
      <c r="BN144" s="772">
        <f t="shared" ca="1" si="53"/>
        <v>31599.31475746354</v>
      </c>
      <c r="BO144" s="772">
        <f t="shared" ca="1" si="53"/>
        <v>31599.31475746354</v>
      </c>
      <c r="BP144" s="772">
        <f t="shared" ca="1" si="53"/>
        <v>30817.937990493694</v>
      </c>
      <c r="BQ144" s="772">
        <f t="shared" ca="1" si="53"/>
        <v>30817.937990493694</v>
      </c>
      <c r="BR144" s="772">
        <f t="shared" ca="1" si="53"/>
        <v>29985.019123649461</v>
      </c>
      <c r="BS144" s="772">
        <f t="shared" ca="1" si="53"/>
        <v>32981.946386411895</v>
      </c>
      <c r="BT144" s="772">
        <f t="shared" ca="1" si="53"/>
        <v>32981.946386411895</v>
      </c>
      <c r="BU144" s="772">
        <f t="shared" ca="1" si="53"/>
        <v>32981.946386411895</v>
      </c>
      <c r="BV144" s="772">
        <f t="shared" ca="1" si="53"/>
        <v>32321.928294699024</v>
      </c>
      <c r="BW144" s="772">
        <f t="shared" ca="1" si="53"/>
        <v>32321.928294699024</v>
      </c>
      <c r="BX144" s="772">
        <f t="shared" ca="1" si="61"/>
        <v>30817.937990493694</v>
      </c>
      <c r="BY144" s="772">
        <f t="shared" ca="1" si="60"/>
        <v>30817.937990493694</v>
      </c>
      <c r="BZ144" s="772">
        <f t="shared" ca="1" si="60"/>
        <v>29985.019123649461</v>
      </c>
      <c r="CA144" s="772">
        <f t="shared" ca="1" si="60"/>
        <v>29985.019123649461</v>
      </c>
      <c r="CB144" s="772">
        <f t="shared" ca="1" si="60"/>
        <v>32321.928294699024</v>
      </c>
      <c r="CC144" s="772">
        <f t="shared" ca="1" si="60"/>
        <v>32321.928294699024</v>
      </c>
      <c r="CD144" s="772">
        <f t="shared" ca="1" si="60"/>
        <v>32321.928294699024</v>
      </c>
      <c r="CE144" s="772">
        <f t="shared" ca="1" si="60"/>
        <v>32321.928294699024</v>
      </c>
      <c r="CF144" s="772">
        <f t="shared" ca="1" si="60"/>
        <v>31599.31475746354</v>
      </c>
      <c r="CG144" s="772">
        <f t="shared" ca="1" si="60"/>
        <v>30817.937990493694</v>
      </c>
      <c r="CH144" s="772">
        <f t="shared" ca="1" si="60"/>
        <v>29985.019123649461</v>
      </c>
      <c r="CI144" s="772">
        <f t="shared" ca="1" si="60"/>
        <v>29985.019123649461</v>
      </c>
      <c r="CJ144" s="772">
        <f t="shared" ca="1" si="60"/>
        <v>29110.624493019306</v>
      </c>
    </row>
    <row r="145" spans="1:88" ht="15" customHeight="1">
      <c r="A145" s="770">
        <f>'kc-Wert für Stützen'!C145</f>
        <v>197</v>
      </c>
      <c r="B145" s="768">
        <f ca="1">INDIRECT("'kc-Wert für Stützen'!"&amp;SUBSTITUTE(ADDRESS(MATCH($A145,'kc-Wert für Stützen'!$C:$C,0),MATCH(B$7,'kc-Wert für Stützen'!$A$8:$ES$8,0)+7,4),,))</f>
        <v>35012.591632166521</v>
      </c>
      <c r="C145" s="768">
        <f ca="1">INDIRECT("'kc-Wert für Stützen'!"&amp;SUBSTITUTE(ADDRESS(MATCH($A145,'kc-Wert für Stützen'!$C:$C,0),MATCH(C$7,'kc-Wert für Stützen'!$A$8:$ES$8,0)+7,4),,))</f>
        <v>34538.650636361337</v>
      </c>
      <c r="D145" s="768">
        <f ca="1">INDIRECT("'kc-Wert für Stützen'!"&amp;SUBSTITUTE(ADDRESS(MATCH($A145,'kc-Wert für Stützen'!$C:$C,0),MATCH(D$7,'kc-Wert für Stützen'!$A$8:$ES$8,0)+7,4),,))</f>
        <v>34008.719335440386</v>
      </c>
      <c r="E145" s="768">
        <f ca="1">INDIRECT("'kc-Wert für Stützen'!"&amp;SUBSTITUTE(ADDRESS(MATCH($A145,'kc-Wert für Stützen'!$C:$C,0),MATCH(E$7,'kc-Wert für Stützen'!$A$8:$ES$8,0)+7,4),,))</f>
        <v>33418.444119801687</v>
      </c>
      <c r="F145" s="768">
        <f ca="1">INDIRECT("'kc-Wert für Stützen'!"&amp;SUBSTITUTE(ADDRESS(MATCH($A145,'kc-Wert für Stützen'!$C:$C,0),MATCH(F$7,'kc-Wert für Stützen'!$A$8:$ES$8,0)+7,4),,))</f>
        <v>32765.247001080137</v>
      </c>
      <c r="G145" s="768">
        <f ca="1">INDIRECT("'kc-Wert für Stützen'!"&amp;SUBSTITUTE(ADDRESS(MATCH($A145,'kc-Wert für Stützen'!$C:$C,0),MATCH(G$7,'kc-Wert für Stützen'!$A$8:$ES$8,0)+7,4),,))</f>
        <v>32049.152600942874</v>
      </c>
      <c r="H145" s="768">
        <f ca="1">INDIRECT("'kc-Wert für Stützen'!"&amp;SUBSTITUTE(ADDRESS(MATCH($A145,'kc-Wert für Stützen'!$C:$C,0),MATCH(H$7,'kc-Wert für Stützen'!$A$8:$ES$8,0)+7,4),,))</f>
        <v>31273.408143095461</v>
      </c>
      <c r="I145" s="768">
        <f ca="1">INDIRECT("'kc-Wert für Stützen'!"&amp;SUBSTITUTE(ADDRESS(MATCH($A145,'kc-Wert für Stützen'!$C:$C,0),MATCH(I$7,'kc-Wert für Stützen'!$A$8:$ES$8,0)+7,4),,))</f>
        <v>30444.64677569209</v>
      </c>
      <c r="J145" s="768">
        <f ca="1">INDIRECT("'kc-Wert für Stützen'!"&amp;SUBSTITUTE(ADDRESS(MATCH($A145,'kc-Wert für Stützen'!$C:$C,0),MATCH(J$7,'kc-Wert für Stützen'!$A$8:$ES$8,0)+7,4),,))</f>
        <v>29572.453379069706</v>
      </c>
      <c r="K145" s="768">
        <f ca="1">INDIRECT("'kc-Wert für Stützen'!"&amp;SUBSTITUTE(ADDRESS(MATCH($A145,'kc-Wert für Stützen'!$C:$C,0),MATCH(K$7,'kc-Wert für Stützen'!$A$8:$ES$8,0)+7,4),,))</f>
        <v>28668.402670831791</v>
      </c>
      <c r="L145" s="768">
        <f ca="1">INDIRECT("'kc-Wert für Stützen'!"&amp;SUBSTITUTE(ADDRESS(MATCH($A145,'kc-Wert für Stützen'!$C:$C,0),MATCH(L$7,'kc-Wert für Stützen'!$A$8:$ES$8,0)+7,4),,))</f>
        <v>27744.833637098574</v>
      </c>
      <c r="M145" s="768">
        <f ca="1">INDIRECT("'kc-Wert für Stützen'!"&amp;SUBSTITUTE(ADDRESS(MATCH($A145,'kc-Wert für Stützen'!$C:$C,0),MATCH(M$7,'kc-Wert für Stützen'!$A$8:$ES$8,0)+7,4),,))</f>
        <v>26813.685281310489</v>
      </c>
      <c r="N145" s="768">
        <f ca="1">INDIRECT("'kc-Wert für Stützen'!"&amp;SUBSTITUTE(ADDRESS(MATCH($A145,'kc-Wert für Stützen'!$C:$C,0),MATCH(N$7,'kc-Wert für Stützen'!$A$8:$ES$8,0)+7,4),,))</f>
        <v>25885.631259899823</v>
      </c>
      <c r="O145" s="768">
        <f ca="1">INDIRECT("'kc-Wert für Stützen'!"&amp;SUBSTITUTE(ADDRESS(MATCH($A145,'kc-Wert für Stützen'!$C:$C,0),MATCH(O$7,'kc-Wert für Stützen'!$A$8:$ES$8,0)+7,4),,))</f>
        <v>24969.597253474691</v>
      </c>
      <c r="P145" s="768">
        <f ca="1">INDIRECT("'kc-Wert für Stützen'!"&amp;SUBSTITUTE(ADDRESS(MATCH($A145,'kc-Wert für Stützen'!$C:$C,0),MATCH(P$7,'kc-Wert für Stützen'!$A$8:$ES$8,0)+7,4),,))</f>
        <v>24072.617866538934</v>
      </c>
      <c r="S145" s="772">
        <f t="shared" ca="1" si="59"/>
        <v>34008.719335440386</v>
      </c>
      <c r="T145" s="772">
        <f t="shared" ca="1" si="50"/>
        <v>34008.719335440386</v>
      </c>
      <c r="U145" s="772">
        <f t="shared" ca="1" si="50"/>
        <v>34008.719335440386</v>
      </c>
      <c r="V145" s="772">
        <f t="shared" ca="1" si="50"/>
        <v>33418.444119801687</v>
      </c>
      <c r="W145" s="772">
        <f t="shared" ca="1" si="50"/>
        <v>32765.247001080137</v>
      </c>
      <c r="X145" s="772">
        <f t="shared" ca="1" si="50"/>
        <v>32049.152600942874</v>
      </c>
      <c r="Y145" s="772">
        <f t="shared" ca="1" si="50"/>
        <v>31273.408143095461</v>
      </c>
      <c r="Z145" s="772">
        <f t="shared" ca="1" si="50"/>
        <v>34008.719335440386</v>
      </c>
      <c r="AA145" s="772">
        <f t="shared" ca="1" si="50"/>
        <v>34008.719335440386</v>
      </c>
      <c r="AB145" s="772">
        <f t="shared" ca="1" si="57"/>
        <v>33418.444119801687</v>
      </c>
      <c r="AC145" s="772">
        <f t="shared" ca="1" si="57"/>
        <v>33418.444119801687</v>
      </c>
      <c r="AD145" s="772">
        <f t="shared" ca="1" si="57"/>
        <v>32765.247001080137</v>
      </c>
      <c r="AE145" s="772">
        <f t="shared" ca="1" si="57"/>
        <v>32765.247001080137</v>
      </c>
      <c r="AF145" s="772">
        <f t="shared" ca="1" si="57"/>
        <v>32049.152600942874</v>
      </c>
      <c r="AG145" s="772">
        <f t="shared" ca="1" si="57"/>
        <v>32049.152600942874</v>
      </c>
      <c r="AH145" s="772">
        <f t="shared" ca="1" si="57"/>
        <v>32049.152600942874</v>
      </c>
      <c r="AI145" s="772">
        <f t="shared" ca="1" si="57"/>
        <v>34008.719335440386</v>
      </c>
      <c r="AJ145" s="772">
        <f t="shared" ca="1" si="57"/>
        <v>34008.719335440386</v>
      </c>
      <c r="AK145" s="772">
        <f t="shared" ca="1" si="57"/>
        <v>33418.444119801687</v>
      </c>
      <c r="AL145" s="772">
        <f t="shared" ca="1" si="57"/>
        <v>33418.444119801687</v>
      </c>
      <c r="AM145" s="772">
        <f t="shared" ca="1" si="57"/>
        <v>32765.247001080137</v>
      </c>
      <c r="AN145" s="772">
        <f t="shared" ca="1" si="57"/>
        <v>32765.247001080137</v>
      </c>
      <c r="AO145" s="772">
        <f t="shared" ca="1" si="57"/>
        <v>32049.152600942874</v>
      </c>
      <c r="AP145" s="772">
        <f t="shared" ca="1" si="57"/>
        <v>32049.152600942874</v>
      </c>
      <c r="AQ145" s="772">
        <f t="shared" ca="1" si="57"/>
        <v>32049.152600942874</v>
      </c>
      <c r="AR145" s="772">
        <f t="shared" ca="1" si="63"/>
        <v>34008.719335440386</v>
      </c>
      <c r="AS145" s="772">
        <f t="shared" ca="1" si="63"/>
        <v>34008.719335440386</v>
      </c>
      <c r="AT145" s="772">
        <f t="shared" ca="1" si="63"/>
        <v>33418.444119801687</v>
      </c>
      <c r="AU145" s="772">
        <f t="shared" ca="1" si="63"/>
        <v>33418.444119801687</v>
      </c>
      <c r="AV145" s="772">
        <f t="shared" ca="1" si="63"/>
        <v>32765.247001080137</v>
      </c>
      <c r="AW145" s="772">
        <f t="shared" ca="1" si="63"/>
        <v>32765.247001080137</v>
      </c>
      <c r="AX145" s="772">
        <f t="shared" ca="1" si="63"/>
        <v>32049.152600942874</v>
      </c>
      <c r="AY145" s="772">
        <f t="shared" ca="1" si="63"/>
        <v>32049.152600942874</v>
      </c>
      <c r="AZ145" s="772">
        <f t="shared" ca="1" si="63"/>
        <v>32049.152600942874</v>
      </c>
      <c r="BA145" s="772">
        <f t="shared" ca="1" si="63"/>
        <v>34008.719335440386</v>
      </c>
      <c r="BB145" s="772">
        <f t="shared" ca="1" si="62"/>
        <v>34008.719335440386</v>
      </c>
      <c r="BC145" s="772">
        <f t="shared" ca="1" si="62"/>
        <v>33418.444119801687</v>
      </c>
      <c r="BD145" s="772">
        <f t="shared" ca="1" si="62"/>
        <v>32765.247001080137</v>
      </c>
      <c r="BE145" s="772">
        <f t="shared" ca="1" si="62"/>
        <v>32765.247001080137</v>
      </c>
      <c r="BF145" s="772">
        <f t="shared" ca="1" si="62"/>
        <v>32049.152600942874</v>
      </c>
      <c r="BG145" s="772">
        <f t="shared" ca="1" si="62"/>
        <v>32049.152600942874</v>
      </c>
      <c r="BH145" s="772">
        <f t="shared" ca="1" si="53"/>
        <v>31273.408143095461</v>
      </c>
      <c r="BI145" s="772">
        <f t="shared" ca="1" si="53"/>
        <v>31273.408143095461</v>
      </c>
      <c r="BJ145" s="772">
        <f t="shared" ca="1" si="53"/>
        <v>33418.444119801687</v>
      </c>
      <c r="BK145" s="772">
        <f t="shared" ca="1" si="53"/>
        <v>33418.444119801687</v>
      </c>
      <c r="BL145" s="772">
        <f t="shared" ca="1" si="53"/>
        <v>33418.444119801687</v>
      </c>
      <c r="BM145" s="772">
        <f t="shared" ca="1" si="53"/>
        <v>33418.444119801687</v>
      </c>
      <c r="BN145" s="772">
        <f t="shared" ca="1" si="53"/>
        <v>32049.152600942874</v>
      </c>
      <c r="BO145" s="772">
        <f t="shared" ca="1" si="53"/>
        <v>32049.152600942874</v>
      </c>
      <c r="BP145" s="772">
        <f t="shared" ca="1" si="53"/>
        <v>31273.408143095461</v>
      </c>
      <c r="BQ145" s="772">
        <f t="shared" ca="1" si="53"/>
        <v>31273.408143095461</v>
      </c>
      <c r="BR145" s="772">
        <f t="shared" ca="1" si="53"/>
        <v>30444.64677569209</v>
      </c>
      <c r="BS145" s="772">
        <f t="shared" ca="1" si="53"/>
        <v>33418.444119801687</v>
      </c>
      <c r="BT145" s="772">
        <f t="shared" ca="1" si="53"/>
        <v>33418.444119801687</v>
      </c>
      <c r="BU145" s="772">
        <f t="shared" ca="1" si="53"/>
        <v>33418.444119801687</v>
      </c>
      <c r="BV145" s="772">
        <f t="shared" ca="1" si="53"/>
        <v>32765.247001080137</v>
      </c>
      <c r="BW145" s="772">
        <f t="shared" ca="1" si="53"/>
        <v>32765.247001080137</v>
      </c>
      <c r="BX145" s="772">
        <f t="shared" ca="1" si="61"/>
        <v>31273.408143095461</v>
      </c>
      <c r="BY145" s="772">
        <f t="shared" ca="1" si="60"/>
        <v>31273.408143095461</v>
      </c>
      <c r="BZ145" s="772">
        <f t="shared" ca="1" si="60"/>
        <v>30444.64677569209</v>
      </c>
      <c r="CA145" s="772">
        <f t="shared" ca="1" si="60"/>
        <v>30444.64677569209</v>
      </c>
      <c r="CB145" s="772">
        <f t="shared" ca="1" si="60"/>
        <v>32765.247001080137</v>
      </c>
      <c r="CC145" s="772">
        <f t="shared" ca="1" si="60"/>
        <v>32765.247001080137</v>
      </c>
      <c r="CD145" s="772">
        <f t="shared" ca="1" si="60"/>
        <v>32765.247001080137</v>
      </c>
      <c r="CE145" s="772">
        <f t="shared" ca="1" si="60"/>
        <v>32765.247001080137</v>
      </c>
      <c r="CF145" s="772">
        <f t="shared" ca="1" si="60"/>
        <v>32049.152600942874</v>
      </c>
      <c r="CG145" s="772">
        <f t="shared" ca="1" si="60"/>
        <v>31273.408143095461</v>
      </c>
      <c r="CH145" s="772">
        <f t="shared" ca="1" si="60"/>
        <v>30444.64677569209</v>
      </c>
      <c r="CI145" s="772">
        <f t="shared" ca="1" si="60"/>
        <v>30444.64677569209</v>
      </c>
      <c r="CJ145" s="772">
        <f t="shared" ca="1" si="60"/>
        <v>29572.453379069706</v>
      </c>
    </row>
    <row r="146" spans="1:88" ht="15" customHeight="1">
      <c r="A146" s="770">
        <f>'kc-Wert für Stützen'!C146</f>
        <v>198</v>
      </c>
      <c r="B146" s="768">
        <f ca="1">INDIRECT("'kc-Wert für Stützen'!"&amp;SUBSTITUTE(ADDRESS(MATCH($A146,'kc-Wert für Stützen'!$C:$C,0),MATCH(B$7,'kc-Wert für Stützen'!$A$8:$ES$8,0)+7,4),,))</f>
        <v>35432.394250279627</v>
      </c>
      <c r="C146" s="768">
        <f ca="1">INDIRECT("'kc-Wert für Stützen'!"&amp;SUBSTITUTE(ADDRESS(MATCH($A146,'kc-Wert für Stützen'!$C:$C,0),MATCH(C$7,'kc-Wert für Stützen'!$A$8:$ES$8,0)+7,4),,))</f>
        <v>34963.723114991277</v>
      </c>
      <c r="D146" s="768">
        <f ca="1">INDIRECT("'kc-Wert für Stützen'!"&amp;SUBSTITUTE(ADDRESS(MATCH($A146,'kc-Wert für Stützen'!$C:$C,0),MATCH(D$7,'kc-Wert für Stützen'!$A$8:$ES$8,0)+7,4),,))</f>
        <v>34439.797713367909</v>
      </c>
      <c r="E146" s="768">
        <f ca="1">INDIRECT("'kc-Wert für Stützen'!"&amp;SUBSTITUTE(ADDRESS(MATCH($A146,'kc-Wert für Stützen'!$C:$C,0),MATCH(E$7,'kc-Wert für Stützen'!$A$8:$ES$8,0)+7,4),,))</f>
        <v>33856.09354608252</v>
      </c>
      <c r="F146" s="768">
        <f ca="1">INDIRECT("'kc-Wert für Stützen'!"&amp;SUBSTITUTE(ADDRESS(MATCH($A146,'kc-Wert für Stützen'!$C:$C,0),MATCH(F$7,'kc-Wert für Stützen'!$A$8:$ES$8,0)+7,4),,))</f>
        <v>33209.717115212916</v>
      </c>
      <c r="G146" s="768">
        <f ca="1">INDIRECT("'kc-Wert für Stützen'!"&amp;SUBSTITUTE(ADDRESS(MATCH($A146,'kc-Wert für Stützen'!$C:$C,0),MATCH(G$7,'kc-Wert für Stützen'!$A$8:$ES$8,0)+7,4),,))</f>
        <v>32500.230367068307</v>
      </c>
      <c r="H146" s="768">
        <f ca="1">INDIRECT("'kc-Wert für Stützen'!"&amp;SUBSTITUTE(ADDRESS(MATCH($A146,'kc-Wert für Stützen'!$C:$C,0),MATCH(H$7,'kc-Wert für Stützen'!$A$8:$ES$8,0)+7,4),,))</f>
        <v>31730.311623009431</v>
      </c>
      <c r="I146" s="768">
        <f ca="1">INDIRECT("'kc-Wert für Stützen'!"&amp;SUBSTITUTE(ADDRESS(MATCH($A146,'kc-Wert für Stützen'!$C:$C,0),MATCH(I$7,'kc-Wert für Stützen'!$A$8:$ES$8,0)+7,4),,))</f>
        <v>30906.004653407548</v>
      </c>
      <c r="J146" s="768">
        <f ca="1">INDIRECT("'kc-Wert für Stützen'!"&amp;SUBSTITUTE(ADDRESS(MATCH($A146,'kc-Wert für Stützen'!$C:$C,0),MATCH(J$7,'kc-Wert für Stützen'!$A$8:$ES$8,0)+7,4),,))</f>
        <v>30036.391964908511</v>
      </c>
      <c r="K146" s="768">
        <f ca="1">INDIRECT("'kc-Wert für Stützen'!"&amp;SUBSTITUTE(ADDRESS(MATCH($A146,'kc-Wert für Stützen'!$C:$C,0),MATCH(K$7,'kc-Wert für Stützen'!$A$8:$ES$8,0)+7,4),,))</f>
        <v>29132.722896172043</v>
      </c>
      <c r="L146" s="768">
        <f ca="1">INDIRECT("'kc-Wert für Stützen'!"&amp;SUBSTITUTE(ADDRESS(MATCH($A146,'kc-Wert für Stützen'!$C:$C,0),MATCH(L$7,'kc-Wert für Stützen'!$A$8:$ES$8,0)+7,4),,))</f>
        <v>28207.228386390918</v>
      </c>
      <c r="M146" s="768">
        <f ca="1">INDIRECT("'kc-Wert für Stützen'!"&amp;SUBSTITUTE(ADDRESS(MATCH($A146,'kc-Wert für Stützen'!$C:$C,0),MATCH(M$7,'kc-Wert für Stützen'!$A$8:$ES$8,0)+7,4),,))</f>
        <v>27271.940929912038</v>
      </c>
      <c r="N146" s="768">
        <f ca="1">INDIRECT("'kc-Wert für Stützen'!"&amp;SUBSTITUTE(ADDRESS(MATCH($A146,'kc-Wert für Stützen'!$C:$C,0),MATCH(N$7,'kc-Wert für Stützen'!$A$8:$ES$8,0)+7,4),,))</f>
        <v>26337.775244206274</v>
      </c>
      <c r="O146" s="768">
        <f ca="1">INDIRECT("'kc-Wert für Stützen'!"&amp;SUBSTITUTE(ADDRESS(MATCH($A146,'kc-Wert für Stützen'!$C:$C,0),MATCH(O$7,'kc-Wert für Stützen'!$A$8:$ES$8,0)+7,4),,))</f>
        <v>25413.979976675142</v>
      </c>
      <c r="P146" s="768">
        <f ca="1">INDIRECT("'kc-Wert für Stützen'!"&amp;SUBSTITUTE(ADDRESS(MATCH($A146,'kc-Wert für Stützen'!$C:$C,0),MATCH(P$7,'kc-Wert für Stützen'!$A$8:$ES$8,0)+7,4),,))</f>
        <v>24507.937457614873</v>
      </c>
      <c r="S146" s="772">
        <f t="shared" ca="1" si="59"/>
        <v>34439.797713367909</v>
      </c>
      <c r="T146" s="772">
        <f t="shared" ca="1" si="50"/>
        <v>34439.797713367909</v>
      </c>
      <c r="U146" s="772">
        <f t="shared" ca="1" si="50"/>
        <v>34439.797713367909</v>
      </c>
      <c r="V146" s="772">
        <f t="shared" ca="1" si="50"/>
        <v>33856.09354608252</v>
      </c>
      <c r="W146" s="772">
        <f t="shared" ca="1" si="50"/>
        <v>33209.717115212916</v>
      </c>
      <c r="X146" s="772">
        <f t="shared" ca="1" si="50"/>
        <v>32500.230367068307</v>
      </c>
      <c r="Y146" s="772">
        <f t="shared" ca="1" si="50"/>
        <v>31730.311623009431</v>
      </c>
      <c r="Z146" s="772">
        <f t="shared" ca="1" si="50"/>
        <v>34439.797713367909</v>
      </c>
      <c r="AA146" s="772">
        <f t="shared" ca="1" si="50"/>
        <v>34439.797713367909</v>
      </c>
      <c r="AB146" s="772">
        <f t="shared" ca="1" si="57"/>
        <v>33856.09354608252</v>
      </c>
      <c r="AC146" s="772">
        <f t="shared" ca="1" si="57"/>
        <v>33856.09354608252</v>
      </c>
      <c r="AD146" s="772">
        <f t="shared" ca="1" si="57"/>
        <v>33209.717115212916</v>
      </c>
      <c r="AE146" s="772">
        <f t="shared" ca="1" si="57"/>
        <v>33209.717115212916</v>
      </c>
      <c r="AF146" s="772">
        <f t="shared" ca="1" si="57"/>
        <v>32500.230367068307</v>
      </c>
      <c r="AG146" s="772">
        <f t="shared" ca="1" si="57"/>
        <v>32500.230367068307</v>
      </c>
      <c r="AH146" s="772">
        <f t="shared" ca="1" si="57"/>
        <v>32500.230367068307</v>
      </c>
      <c r="AI146" s="772">
        <f t="shared" ca="1" si="57"/>
        <v>34439.797713367909</v>
      </c>
      <c r="AJ146" s="772">
        <f t="shared" ca="1" si="57"/>
        <v>34439.797713367909</v>
      </c>
      <c r="AK146" s="772">
        <f t="shared" ca="1" si="57"/>
        <v>33856.09354608252</v>
      </c>
      <c r="AL146" s="772">
        <f t="shared" ca="1" si="57"/>
        <v>33856.09354608252</v>
      </c>
      <c r="AM146" s="772">
        <f t="shared" ca="1" si="57"/>
        <v>33209.717115212916</v>
      </c>
      <c r="AN146" s="772">
        <f t="shared" ca="1" si="57"/>
        <v>33209.717115212916</v>
      </c>
      <c r="AO146" s="772">
        <f t="shared" ca="1" si="57"/>
        <v>32500.230367068307</v>
      </c>
      <c r="AP146" s="772">
        <f t="shared" ca="1" si="57"/>
        <v>32500.230367068307</v>
      </c>
      <c r="AQ146" s="772">
        <f t="shared" ca="1" si="57"/>
        <v>32500.230367068307</v>
      </c>
      <c r="AR146" s="772">
        <f t="shared" ca="1" si="63"/>
        <v>34439.797713367909</v>
      </c>
      <c r="AS146" s="772">
        <f t="shared" ca="1" si="63"/>
        <v>34439.797713367909</v>
      </c>
      <c r="AT146" s="772">
        <f t="shared" ca="1" si="63"/>
        <v>33856.09354608252</v>
      </c>
      <c r="AU146" s="772">
        <f t="shared" ca="1" si="63"/>
        <v>33856.09354608252</v>
      </c>
      <c r="AV146" s="772">
        <f t="shared" ca="1" si="63"/>
        <v>33209.717115212916</v>
      </c>
      <c r="AW146" s="772">
        <f t="shared" ca="1" si="63"/>
        <v>33209.717115212916</v>
      </c>
      <c r="AX146" s="772">
        <f t="shared" ca="1" si="63"/>
        <v>32500.230367068307</v>
      </c>
      <c r="AY146" s="772">
        <f t="shared" ca="1" si="63"/>
        <v>32500.230367068307</v>
      </c>
      <c r="AZ146" s="772">
        <f t="shared" ca="1" si="63"/>
        <v>32500.230367068307</v>
      </c>
      <c r="BA146" s="772">
        <f t="shared" ca="1" si="63"/>
        <v>34439.797713367909</v>
      </c>
      <c r="BB146" s="772">
        <f t="shared" ca="1" si="62"/>
        <v>34439.797713367909</v>
      </c>
      <c r="BC146" s="772">
        <f t="shared" ca="1" si="62"/>
        <v>33856.09354608252</v>
      </c>
      <c r="BD146" s="772">
        <f t="shared" ca="1" si="62"/>
        <v>33209.717115212916</v>
      </c>
      <c r="BE146" s="772">
        <f t="shared" ca="1" si="62"/>
        <v>33209.717115212916</v>
      </c>
      <c r="BF146" s="772">
        <f t="shared" ca="1" si="62"/>
        <v>32500.230367068307</v>
      </c>
      <c r="BG146" s="772">
        <f t="shared" ca="1" si="62"/>
        <v>32500.230367068307</v>
      </c>
      <c r="BH146" s="772">
        <f t="shared" ca="1" si="53"/>
        <v>31730.311623009431</v>
      </c>
      <c r="BI146" s="772">
        <f t="shared" ca="1" si="53"/>
        <v>31730.311623009431</v>
      </c>
      <c r="BJ146" s="772">
        <f t="shared" ca="1" si="53"/>
        <v>33856.09354608252</v>
      </c>
      <c r="BK146" s="772">
        <f t="shared" ca="1" si="53"/>
        <v>33856.09354608252</v>
      </c>
      <c r="BL146" s="772">
        <f t="shared" ca="1" si="53"/>
        <v>33856.09354608252</v>
      </c>
      <c r="BM146" s="772">
        <f t="shared" ca="1" si="53"/>
        <v>33856.09354608252</v>
      </c>
      <c r="BN146" s="772">
        <f t="shared" ca="1" si="53"/>
        <v>32500.230367068307</v>
      </c>
      <c r="BO146" s="772">
        <f t="shared" ca="1" si="53"/>
        <v>32500.230367068307</v>
      </c>
      <c r="BP146" s="772">
        <f t="shared" ca="1" si="53"/>
        <v>31730.311623009431</v>
      </c>
      <c r="BQ146" s="772">
        <f t="shared" ca="1" si="53"/>
        <v>31730.311623009431</v>
      </c>
      <c r="BR146" s="772">
        <f t="shared" ca="1" si="53"/>
        <v>30906.004653407548</v>
      </c>
      <c r="BS146" s="772">
        <f t="shared" ca="1" si="53"/>
        <v>33856.09354608252</v>
      </c>
      <c r="BT146" s="772">
        <f t="shared" ca="1" si="53"/>
        <v>33856.09354608252</v>
      </c>
      <c r="BU146" s="772">
        <f t="shared" ca="1" si="53"/>
        <v>33856.09354608252</v>
      </c>
      <c r="BV146" s="772">
        <f t="shared" ca="1" si="53"/>
        <v>33209.717115212916</v>
      </c>
      <c r="BW146" s="772">
        <f t="shared" ca="1" si="53"/>
        <v>33209.717115212916</v>
      </c>
      <c r="BX146" s="772">
        <f t="shared" ca="1" si="61"/>
        <v>31730.311623009431</v>
      </c>
      <c r="BY146" s="772">
        <f t="shared" ca="1" si="60"/>
        <v>31730.311623009431</v>
      </c>
      <c r="BZ146" s="772">
        <f t="shared" ca="1" si="60"/>
        <v>30906.004653407548</v>
      </c>
      <c r="CA146" s="772">
        <f t="shared" ca="1" si="60"/>
        <v>30906.004653407548</v>
      </c>
      <c r="CB146" s="772">
        <f t="shared" ca="1" si="60"/>
        <v>33209.717115212916</v>
      </c>
      <c r="CC146" s="772">
        <f t="shared" ca="1" si="60"/>
        <v>33209.717115212916</v>
      </c>
      <c r="CD146" s="772">
        <f t="shared" ca="1" si="60"/>
        <v>33209.717115212916</v>
      </c>
      <c r="CE146" s="772">
        <f t="shared" ca="1" si="60"/>
        <v>33209.717115212916</v>
      </c>
      <c r="CF146" s="772">
        <f t="shared" ca="1" si="60"/>
        <v>32500.230367068307</v>
      </c>
      <c r="CG146" s="772">
        <f t="shared" ca="1" si="60"/>
        <v>31730.311623009431</v>
      </c>
      <c r="CH146" s="772">
        <f t="shared" ca="1" si="60"/>
        <v>30906.004653407548</v>
      </c>
      <c r="CI146" s="772">
        <f t="shared" ca="1" si="60"/>
        <v>30906.004653407548</v>
      </c>
      <c r="CJ146" s="772">
        <f t="shared" ca="1" si="60"/>
        <v>30036.391964908511</v>
      </c>
    </row>
    <row r="147" spans="1:88" ht="15" customHeight="1">
      <c r="A147" s="770">
        <f>'kc-Wert für Stützen'!C147</f>
        <v>199</v>
      </c>
      <c r="B147" s="768">
        <f ca="1">INDIRECT("'kc-Wert für Stützen'!"&amp;SUBSTITUTE(ADDRESS(MATCH($A147,'kc-Wert für Stützen'!$C:$C,0),MATCH(B$7,'kc-Wert für Stützen'!$A$8:$ES$8,0)+7,4),,))</f>
        <v>35853.639201198435</v>
      </c>
      <c r="C147" s="768">
        <f ca="1">INDIRECT("'kc-Wert für Stützen'!"&amp;SUBSTITUTE(ADDRESS(MATCH($A147,'kc-Wert für Stützen'!$C:$C,0),MATCH(C$7,'kc-Wert für Stützen'!$A$8:$ES$8,0)+7,4),,))</f>
        <v>35390.125472584339</v>
      </c>
      <c r="D147" s="768">
        <f ca="1">INDIRECT("'kc-Wert für Stützen'!"&amp;SUBSTITUTE(ADDRESS(MATCH($A147,'kc-Wert für Stützen'!$C:$C,0),MATCH(D$7,'kc-Wert für Stützen'!$A$8:$ES$8,0)+7,4),,))</f>
        <v>34872.10425834018</v>
      </c>
      <c r="E147" s="768">
        <f ca="1">INDIRECT("'kc-Wert für Stützen'!"&amp;SUBSTITUTE(ADDRESS(MATCH($A147,'kc-Wert für Stützen'!$C:$C,0),MATCH(E$7,'kc-Wert für Stützen'!$A$8:$ES$8,0)+7,4),,))</f>
        <v>34294.901116385714</v>
      </c>
      <c r="F147" s="768">
        <f ca="1">INDIRECT("'kc-Wert für Stützen'!"&amp;SUBSTITUTE(ADDRESS(MATCH($A147,'kc-Wert für Stützen'!$C:$C,0),MATCH(F$7,'kc-Wert für Stützen'!$A$8:$ES$8,0)+7,4),,))</f>
        <v>33655.33327489614</v>
      </c>
      <c r="G147" s="768">
        <f ca="1">INDIRECT("'kc-Wert für Stützen'!"&amp;SUBSTITUTE(ADDRESS(MATCH($A147,'kc-Wert für Stützen'!$C:$C,0),MATCH(G$7,'kc-Wert für Stützen'!$A$8:$ES$8,0)+7,4),,))</f>
        <v>32952.526266270041</v>
      </c>
      <c r="H147" s="768">
        <f ca="1">INDIRECT("'kc-Wert für Stützen'!"&amp;SUBSTITUTE(ADDRESS(MATCH($A147,'kc-Wert für Stützen'!$C:$C,0),MATCH(H$7,'kc-Wert für Stützen'!$A$8:$ES$8,0)+7,4),,))</f>
        <v>32188.607561264958</v>
      </c>
      <c r="I147" s="768">
        <f ca="1">INDIRECT("'kc-Wert für Stützen'!"&amp;SUBSTITUTE(ADDRESS(MATCH($A147,'kc-Wert für Stützen'!$C:$C,0),MATCH(I$7,'kc-Wert für Stützen'!$A$8:$ES$8,0)+7,4),,))</f>
        <v>31369.033433938974</v>
      </c>
      <c r="J147" s="768">
        <f ca="1">INDIRECT("'kc-Wert für Stützen'!"&amp;SUBSTITUTE(ADDRESS(MATCH($A147,'kc-Wert für Stützen'!$C:$C,0),MATCH(J$7,'kc-Wert für Stützen'!$A$8:$ES$8,0)+7,4),,))</f>
        <v>30502.366574053809</v>
      </c>
      <c r="K147" s="768">
        <f ca="1">INDIRECT("'kc-Wert für Stützen'!"&amp;SUBSTITUTE(ADDRESS(MATCH($A147,'kc-Wert für Stützen'!$C:$C,0),MATCH(K$7,'kc-Wert für Stützen'!$A$8:$ES$8,0)+7,4),,))</f>
        <v>29599.49820644689</v>
      </c>
      <c r="L147" s="768">
        <f ca="1">INDIRECT("'kc-Wert für Stützen'!"&amp;SUBSTITUTE(ADDRESS(MATCH($A147,'kc-Wert für Stützen'!$C:$C,0),MATCH(L$7,'kc-Wert für Stützen'!$A$8:$ES$8,0)+7,4),,))</f>
        <v>28672.512416972939</v>
      </c>
      <c r="M147" s="768">
        <f ca="1">INDIRECT("'kc-Wert für Stützen'!"&amp;SUBSTITUTE(ADDRESS(MATCH($A147,'kc-Wert für Stützen'!$C:$C,0),MATCH(M$7,'kc-Wert für Stützen'!$A$8:$ES$8,0)+7,4),,))</f>
        <v>27733.499931465383</v>
      </c>
      <c r="N147" s="768">
        <f ca="1">INDIRECT("'kc-Wert für Stützen'!"&amp;SUBSTITUTE(ADDRESS(MATCH($A147,'kc-Wert für Stützen'!$C:$C,0),MATCH(N$7,'kc-Wert für Stützen'!$A$8:$ES$8,0)+7,4),,))</f>
        <v>26793.590924759992</v>
      </c>
      <c r="O147" s="768">
        <f ca="1">INDIRECT("'kc-Wert für Stützen'!"&amp;SUBSTITUTE(ADDRESS(MATCH($A147,'kc-Wert für Stützen'!$C:$C,0),MATCH(O$7,'kc-Wert für Stützen'!$A$8:$ES$8,0)+7,4),,))</f>
        <v>25862.342680149537</v>
      </c>
      <c r="P147" s="768">
        <f ca="1">INDIRECT("'kc-Wert für Stützen'!"&amp;SUBSTITUTE(ADDRESS(MATCH($A147,'kc-Wert für Stützen'!$C:$C,0),MATCH(P$7,'kc-Wert für Stützen'!$A$8:$ES$8,0)+7,4),,))</f>
        <v>24947.480613052703</v>
      </c>
      <c r="S147" s="772">
        <f t="shared" ca="1" si="59"/>
        <v>34872.10425834018</v>
      </c>
      <c r="T147" s="772">
        <f t="shared" ca="1" si="50"/>
        <v>34872.10425834018</v>
      </c>
      <c r="U147" s="772">
        <f t="shared" ca="1" si="50"/>
        <v>34872.10425834018</v>
      </c>
      <c r="V147" s="772">
        <f t="shared" ca="1" si="50"/>
        <v>34294.901116385714</v>
      </c>
      <c r="W147" s="772">
        <f t="shared" ca="1" si="50"/>
        <v>33655.33327489614</v>
      </c>
      <c r="X147" s="772">
        <f t="shared" ca="1" si="50"/>
        <v>32952.526266270041</v>
      </c>
      <c r="Y147" s="772">
        <f t="shared" ca="1" si="50"/>
        <v>32188.607561264958</v>
      </c>
      <c r="Z147" s="772">
        <f t="shared" ca="1" si="50"/>
        <v>34872.10425834018</v>
      </c>
      <c r="AA147" s="772">
        <f t="shared" ca="1" si="50"/>
        <v>34872.10425834018</v>
      </c>
      <c r="AB147" s="772">
        <f t="shared" ca="1" si="57"/>
        <v>34294.901116385714</v>
      </c>
      <c r="AC147" s="772">
        <f t="shared" ca="1" si="57"/>
        <v>34294.901116385714</v>
      </c>
      <c r="AD147" s="772">
        <f t="shared" ca="1" si="57"/>
        <v>33655.33327489614</v>
      </c>
      <c r="AE147" s="772">
        <f t="shared" ca="1" si="57"/>
        <v>33655.33327489614</v>
      </c>
      <c r="AF147" s="772">
        <f t="shared" ca="1" si="57"/>
        <v>32952.526266270041</v>
      </c>
      <c r="AG147" s="772">
        <f t="shared" ca="1" si="57"/>
        <v>32952.526266270041</v>
      </c>
      <c r="AH147" s="772">
        <f t="shared" ca="1" si="57"/>
        <v>32952.526266270041</v>
      </c>
      <c r="AI147" s="772">
        <f t="shared" ca="1" si="57"/>
        <v>34872.10425834018</v>
      </c>
      <c r="AJ147" s="772">
        <f t="shared" ca="1" si="57"/>
        <v>34872.10425834018</v>
      </c>
      <c r="AK147" s="772">
        <f t="shared" ca="1" si="57"/>
        <v>34294.901116385714</v>
      </c>
      <c r="AL147" s="772">
        <f t="shared" ca="1" si="57"/>
        <v>34294.901116385714</v>
      </c>
      <c r="AM147" s="772">
        <f t="shared" ca="1" si="57"/>
        <v>33655.33327489614</v>
      </c>
      <c r="AN147" s="772">
        <f t="shared" ca="1" si="57"/>
        <v>33655.33327489614</v>
      </c>
      <c r="AO147" s="772">
        <f t="shared" ca="1" si="57"/>
        <v>32952.526266270041</v>
      </c>
      <c r="AP147" s="772">
        <f t="shared" ca="1" si="57"/>
        <v>32952.526266270041</v>
      </c>
      <c r="AQ147" s="772">
        <f t="shared" ca="1" si="57"/>
        <v>32952.526266270041</v>
      </c>
      <c r="AR147" s="772">
        <f t="shared" ca="1" si="63"/>
        <v>34872.10425834018</v>
      </c>
      <c r="AS147" s="772">
        <f t="shared" ca="1" si="63"/>
        <v>34872.10425834018</v>
      </c>
      <c r="AT147" s="772">
        <f t="shared" ca="1" si="63"/>
        <v>34294.901116385714</v>
      </c>
      <c r="AU147" s="772">
        <f t="shared" ca="1" si="63"/>
        <v>34294.901116385714</v>
      </c>
      <c r="AV147" s="772">
        <f t="shared" ca="1" si="63"/>
        <v>33655.33327489614</v>
      </c>
      <c r="AW147" s="772">
        <f t="shared" ca="1" si="63"/>
        <v>33655.33327489614</v>
      </c>
      <c r="AX147" s="772">
        <f t="shared" ca="1" si="63"/>
        <v>32952.526266270041</v>
      </c>
      <c r="AY147" s="772">
        <f t="shared" ca="1" si="63"/>
        <v>32952.526266270041</v>
      </c>
      <c r="AZ147" s="772">
        <f t="shared" ca="1" si="63"/>
        <v>32952.526266270041</v>
      </c>
      <c r="BA147" s="772">
        <f t="shared" ca="1" si="63"/>
        <v>34872.10425834018</v>
      </c>
      <c r="BB147" s="772">
        <f t="shared" ca="1" si="62"/>
        <v>34872.10425834018</v>
      </c>
      <c r="BC147" s="772">
        <f t="shared" ca="1" si="62"/>
        <v>34294.901116385714</v>
      </c>
      <c r="BD147" s="772">
        <f t="shared" ca="1" si="62"/>
        <v>33655.33327489614</v>
      </c>
      <c r="BE147" s="772">
        <f t="shared" ca="1" si="62"/>
        <v>33655.33327489614</v>
      </c>
      <c r="BF147" s="772">
        <f t="shared" ca="1" si="62"/>
        <v>32952.526266270041</v>
      </c>
      <c r="BG147" s="772">
        <f t="shared" ca="1" si="62"/>
        <v>32952.526266270041</v>
      </c>
      <c r="BH147" s="772">
        <f t="shared" ca="1" si="53"/>
        <v>32188.607561264958</v>
      </c>
      <c r="BI147" s="772">
        <f t="shared" ca="1" si="53"/>
        <v>32188.607561264958</v>
      </c>
      <c r="BJ147" s="772">
        <f t="shared" ca="1" si="53"/>
        <v>34294.901116385714</v>
      </c>
      <c r="BK147" s="772">
        <f t="shared" ca="1" si="53"/>
        <v>34294.901116385714</v>
      </c>
      <c r="BL147" s="772">
        <f t="shared" ca="1" si="53"/>
        <v>34294.901116385714</v>
      </c>
      <c r="BM147" s="772">
        <f t="shared" ca="1" si="53"/>
        <v>34294.901116385714</v>
      </c>
      <c r="BN147" s="772">
        <f t="shared" ca="1" si="53"/>
        <v>32952.526266270041</v>
      </c>
      <c r="BO147" s="772">
        <f t="shared" ca="1" si="53"/>
        <v>32952.526266270041</v>
      </c>
      <c r="BP147" s="772">
        <f t="shared" ca="1" si="53"/>
        <v>32188.607561264958</v>
      </c>
      <c r="BQ147" s="772">
        <f t="shared" ca="1" si="53"/>
        <v>32188.607561264958</v>
      </c>
      <c r="BR147" s="772">
        <f t="shared" ca="1" si="53"/>
        <v>31369.033433938974</v>
      </c>
      <c r="BS147" s="772">
        <f t="shared" ca="1" si="53"/>
        <v>34294.901116385714</v>
      </c>
      <c r="BT147" s="772">
        <f t="shared" ca="1" si="53"/>
        <v>34294.901116385714</v>
      </c>
      <c r="BU147" s="772">
        <f t="shared" ca="1" si="53"/>
        <v>34294.901116385714</v>
      </c>
      <c r="BV147" s="772">
        <f t="shared" ca="1" si="53"/>
        <v>33655.33327489614</v>
      </c>
      <c r="BW147" s="772">
        <f t="shared" ref="BW147:CJ166" ca="1" si="64">HLOOKUP(BW$7,$A$7:$P$348,ROW()-6)</f>
        <v>33655.33327489614</v>
      </c>
      <c r="BX147" s="772">
        <f t="shared" ca="1" si="64"/>
        <v>32188.607561264958</v>
      </c>
      <c r="BY147" s="772">
        <f t="shared" ca="1" si="64"/>
        <v>32188.607561264958</v>
      </c>
      <c r="BZ147" s="772">
        <f t="shared" ca="1" si="64"/>
        <v>31369.033433938974</v>
      </c>
      <c r="CA147" s="772">
        <f t="shared" ca="1" si="64"/>
        <v>31369.033433938974</v>
      </c>
      <c r="CB147" s="772">
        <f t="shared" ca="1" si="64"/>
        <v>33655.33327489614</v>
      </c>
      <c r="CC147" s="772">
        <f t="shared" ca="1" si="64"/>
        <v>33655.33327489614</v>
      </c>
      <c r="CD147" s="772">
        <f t="shared" ca="1" si="64"/>
        <v>33655.33327489614</v>
      </c>
      <c r="CE147" s="772">
        <f t="shared" ca="1" si="64"/>
        <v>33655.33327489614</v>
      </c>
      <c r="CF147" s="772">
        <f t="shared" ca="1" si="64"/>
        <v>32952.526266270041</v>
      </c>
      <c r="CG147" s="772">
        <f t="shared" ca="1" si="64"/>
        <v>32188.607561264958</v>
      </c>
      <c r="CH147" s="772">
        <f t="shared" ca="1" si="64"/>
        <v>31369.033433938974</v>
      </c>
      <c r="CI147" s="772">
        <f t="shared" ca="1" si="64"/>
        <v>31369.033433938974</v>
      </c>
      <c r="CJ147" s="772">
        <f t="shared" ca="1" si="64"/>
        <v>30502.366574053809</v>
      </c>
    </row>
    <row r="148" spans="1:88" ht="15" customHeight="1">
      <c r="A148" s="770">
        <f>'kc-Wert für Stützen'!C148</f>
        <v>200</v>
      </c>
      <c r="B148" s="768">
        <f ca="1">INDIRECT("'kc-Wert für Stützen'!"&amp;SUBSTITUTE(ADDRESS(MATCH($A148,'kc-Wert für Stützen'!$C:$C,0),MATCH(B$7,'kc-Wert für Stützen'!$A$8:$ES$8,0)+7,4),,))</f>
        <v>36276.34228639074</v>
      </c>
      <c r="C148" s="768">
        <f ca="1">INDIRECT("'kc-Wert für Stützen'!"&amp;SUBSTITUTE(ADDRESS(MATCH($A148,'kc-Wert für Stützen'!$C:$C,0),MATCH(C$7,'kc-Wert für Stützen'!$A$8:$ES$8,0)+7,4),,))</f>
        <v>35817.873837566018</v>
      </c>
      <c r="D148" s="768">
        <f ca="1">INDIRECT("'kc-Wert für Stützen'!"&amp;SUBSTITUTE(ADDRESS(MATCH($A148,'kc-Wert für Stützen'!$C:$C,0),MATCH(D$7,'kc-Wert für Stützen'!$A$8:$ES$8,0)+7,4),,))</f>
        <v>35305.652865129123</v>
      </c>
      <c r="E148" s="768">
        <f ca="1">INDIRECT("'kc-Wert für Stützen'!"&amp;SUBSTITUTE(ADDRESS(MATCH($A148,'kc-Wert für Stützen'!$C:$C,0),MATCH(E$7,'kc-Wert für Stützen'!$A$8:$ES$8,0)+7,4),,))</f>
        <v>34734.874629430837</v>
      </c>
      <c r="F148" s="768">
        <f ca="1">INDIRECT("'kc-Wert für Stützen'!"&amp;SUBSTITUTE(ADDRESS(MATCH($A148,'kc-Wert für Stützen'!$C:$C,0),MATCH(F$7,'kc-Wert für Stützen'!$A$8:$ES$8,0)+7,4),,))</f>
        <v>34102.092377660876</v>
      </c>
      <c r="G148" s="768">
        <f ca="1">INDIRECT("'kc-Wert für Stützen'!"&amp;SUBSTITUTE(ADDRESS(MATCH($A148,'kc-Wert für Stützen'!$C:$C,0),MATCH(G$7,'kc-Wert für Stützen'!$A$8:$ES$8,0)+7,4),,))</f>
        <v>33406.021591836026</v>
      </c>
      <c r="H148" s="768">
        <f ca="1">INDIRECT("'kc-Wert für Stützen'!"&amp;SUBSTITUTE(ADDRESS(MATCH($A148,'kc-Wert für Stützen'!$C:$C,0),MATCH(H$7,'kc-Wert für Stützen'!$A$8:$ES$8,0)+7,4),,))</f>
        <v>32648.258602725728</v>
      </c>
      <c r="I148" s="768">
        <f ca="1">INDIRECT("'kc-Wert für Stützen'!"&amp;SUBSTITUTE(ADDRESS(MATCH($A148,'kc-Wert für Stützen'!$C:$C,0),MATCH(I$7,'kc-Wert für Stützen'!$A$8:$ES$8,0)+7,4),,))</f>
        <v>31833.67712508604</v>
      </c>
      <c r="J148" s="768">
        <f ca="1">INDIRECT("'kc-Wert für Stützen'!"&amp;SUBSTITUTE(ADDRESS(MATCH($A148,'kc-Wert für Stützen'!$C:$C,0),MATCH(J$7,'kc-Wert für Stützen'!$A$8:$ES$8,0)+7,4),,))</f>
        <v>30970.306059830156</v>
      </c>
      <c r="K148" s="768">
        <f ca="1">INDIRECT("'kc-Wert für Stützen'!"&amp;SUBSTITUTE(ADDRESS(MATCH($A148,'kc-Wert für Stützen'!$C:$C,0),MATCH(K$7,'kc-Wert für Stützen'!$A$8:$ES$8,0)+7,4),,))</f>
        <v>30068.648375494013</v>
      </c>
      <c r="L148" s="768">
        <f ca="1">INDIRECT("'kc-Wert für Stützen'!"&amp;SUBSTITUTE(ADDRESS(MATCH($A148,'kc-Wert für Stützen'!$C:$C,0),MATCH(L$7,'kc-Wert für Stützen'!$A$8:$ES$8,0)+7,4),,))</f>
        <v>29140.603400211148</v>
      </c>
      <c r="M148" s="768">
        <f ca="1">INDIRECT("'kc-Wert für Stützen'!"&amp;SUBSTITUTE(ADDRESS(MATCH($A148,'kc-Wert für Stützen'!$C:$C,0),MATCH(M$7,'kc-Wert für Stützen'!$A$8:$ES$8,0)+7,4),,))</f>
        <v>28198.284097009557</v>
      </c>
      <c r="N148" s="768">
        <f ca="1">INDIRECT("'kc-Wert für Stützen'!"&amp;SUBSTITUTE(ADDRESS(MATCH($A148,'kc-Wert für Stützen'!$C:$C,0),MATCH(N$7,'kc-Wert für Stützen'!$A$8:$ES$8,0)+7,4),,))</f>
        <v>27253.008782717432</v>
      </c>
      <c r="O148" s="768">
        <f ca="1">INDIRECT("'kc-Wert für Stützen'!"&amp;SUBSTITUTE(ADDRESS(MATCH($A148,'kc-Wert für Stützen'!$C:$C,0),MATCH(O$7,'kc-Wert für Stützen'!$A$8:$ES$8,0)+7,4),,))</f>
        <v>26314.627109393656</v>
      </c>
      <c r="P148" s="768">
        <f ca="1">INDIRECT("'kc-Wert für Stützen'!"&amp;SUBSTITUTE(ADDRESS(MATCH($A148,'kc-Wert für Stützen'!$C:$C,0),MATCH(P$7,'kc-Wert für Stützen'!$A$8:$ES$8,0)+7,4),,))</f>
        <v>25391.201281576323</v>
      </c>
      <c r="S148" s="772">
        <f t="shared" ca="1" si="59"/>
        <v>35305.652865129123</v>
      </c>
      <c r="T148" s="772">
        <f t="shared" ca="1" si="50"/>
        <v>35305.652865129123</v>
      </c>
      <c r="U148" s="772">
        <f t="shared" ca="1" si="50"/>
        <v>35305.652865129123</v>
      </c>
      <c r="V148" s="772">
        <f t="shared" ca="1" si="50"/>
        <v>34734.874629430837</v>
      </c>
      <c r="W148" s="772">
        <f t="shared" ca="1" si="50"/>
        <v>34102.092377660876</v>
      </c>
      <c r="X148" s="772">
        <f t="shared" ca="1" si="50"/>
        <v>33406.021591836026</v>
      </c>
      <c r="Y148" s="772">
        <f t="shared" ca="1" si="50"/>
        <v>32648.258602725728</v>
      </c>
      <c r="Z148" s="772">
        <f t="shared" ca="1" si="50"/>
        <v>35305.652865129123</v>
      </c>
      <c r="AA148" s="772">
        <f t="shared" ca="1" si="50"/>
        <v>35305.652865129123</v>
      </c>
      <c r="AB148" s="772">
        <f t="shared" ca="1" si="57"/>
        <v>34734.874629430837</v>
      </c>
      <c r="AC148" s="772">
        <f t="shared" ca="1" si="57"/>
        <v>34734.874629430837</v>
      </c>
      <c r="AD148" s="772">
        <f t="shared" ca="1" si="57"/>
        <v>34102.092377660876</v>
      </c>
      <c r="AE148" s="772">
        <f t="shared" ca="1" si="57"/>
        <v>34102.092377660876</v>
      </c>
      <c r="AF148" s="772">
        <f t="shared" ca="1" si="57"/>
        <v>33406.021591836026</v>
      </c>
      <c r="AG148" s="772">
        <f t="shared" ca="1" si="57"/>
        <v>33406.021591836026</v>
      </c>
      <c r="AH148" s="772">
        <f t="shared" ca="1" si="57"/>
        <v>33406.021591836026</v>
      </c>
      <c r="AI148" s="772">
        <f t="shared" ca="1" si="57"/>
        <v>35305.652865129123</v>
      </c>
      <c r="AJ148" s="772">
        <f t="shared" ca="1" si="57"/>
        <v>35305.652865129123</v>
      </c>
      <c r="AK148" s="772">
        <f t="shared" ca="1" si="57"/>
        <v>34734.874629430837</v>
      </c>
      <c r="AL148" s="772">
        <f t="shared" ca="1" si="57"/>
        <v>34734.874629430837</v>
      </c>
      <c r="AM148" s="772">
        <f t="shared" ca="1" si="57"/>
        <v>34102.092377660876</v>
      </c>
      <c r="AN148" s="772">
        <f t="shared" ca="1" si="57"/>
        <v>34102.092377660876</v>
      </c>
      <c r="AO148" s="772">
        <f t="shared" ca="1" si="57"/>
        <v>33406.021591836026</v>
      </c>
      <c r="AP148" s="772">
        <f t="shared" ca="1" si="57"/>
        <v>33406.021591836026</v>
      </c>
      <c r="AQ148" s="772">
        <f t="shared" ca="1" si="57"/>
        <v>33406.021591836026</v>
      </c>
      <c r="AR148" s="772">
        <f t="shared" ca="1" si="63"/>
        <v>35305.652865129123</v>
      </c>
      <c r="AS148" s="772">
        <f t="shared" ca="1" si="63"/>
        <v>35305.652865129123</v>
      </c>
      <c r="AT148" s="772">
        <f t="shared" ca="1" si="63"/>
        <v>34734.874629430837</v>
      </c>
      <c r="AU148" s="772">
        <f t="shared" ca="1" si="63"/>
        <v>34734.874629430837</v>
      </c>
      <c r="AV148" s="772">
        <f t="shared" ca="1" si="63"/>
        <v>34102.092377660876</v>
      </c>
      <c r="AW148" s="772">
        <f t="shared" ca="1" si="63"/>
        <v>34102.092377660876</v>
      </c>
      <c r="AX148" s="772">
        <f t="shared" ca="1" si="63"/>
        <v>33406.021591836026</v>
      </c>
      <c r="AY148" s="772">
        <f t="shared" ca="1" si="63"/>
        <v>33406.021591836026</v>
      </c>
      <c r="AZ148" s="772">
        <f t="shared" ca="1" si="63"/>
        <v>33406.021591836026</v>
      </c>
      <c r="BA148" s="772">
        <f t="shared" ca="1" si="63"/>
        <v>35305.652865129123</v>
      </c>
      <c r="BB148" s="772">
        <f t="shared" ca="1" si="62"/>
        <v>35305.652865129123</v>
      </c>
      <c r="BC148" s="772">
        <f t="shared" ca="1" si="62"/>
        <v>34734.874629430837</v>
      </c>
      <c r="BD148" s="772">
        <f t="shared" ca="1" si="62"/>
        <v>34102.092377660876</v>
      </c>
      <c r="BE148" s="772">
        <f t="shared" ca="1" si="62"/>
        <v>34102.092377660876</v>
      </c>
      <c r="BF148" s="772">
        <f t="shared" ca="1" si="62"/>
        <v>33406.021591836026</v>
      </c>
      <c r="BG148" s="772">
        <f t="shared" ca="1" si="62"/>
        <v>33406.021591836026</v>
      </c>
      <c r="BH148" s="772">
        <f t="shared" ref="BH148:BW157" ca="1" si="65">HLOOKUP(BH$7,$A$7:$P$348,ROW()-6)</f>
        <v>32648.258602725728</v>
      </c>
      <c r="BI148" s="772">
        <f t="shared" ca="1" si="65"/>
        <v>32648.258602725728</v>
      </c>
      <c r="BJ148" s="772">
        <f t="shared" ca="1" si="65"/>
        <v>34734.874629430837</v>
      </c>
      <c r="BK148" s="772">
        <f t="shared" ca="1" si="65"/>
        <v>34734.874629430837</v>
      </c>
      <c r="BL148" s="772">
        <f t="shared" ca="1" si="65"/>
        <v>34734.874629430837</v>
      </c>
      <c r="BM148" s="772">
        <f t="shared" ca="1" si="65"/>
        <v>34734.874629430837</v>
      </c>
      <c r="BN148" s="772">
        <f t="shared" ca="1" si="65"/>
        <v>33406.021591836026</v>
      </c>
      <c r="BO148" s="772">
        <f t="shared" ca="1" si="65"/>
        <v>33406.021591836026</v>
      </c>
      <c r="BP148" s="772">
        <f t="shared" ca="1" si="65"/>
        <v>32648.258602725728</v>
      </c>
      <c r="BQ148" s="772">
        <f t="shared" ca="1" si="65"/>
        <v>32648.258602725728</v>
      </c>
      <c r="BR148" s="772">
        <f t="shared" ca="1" si="65"/>
        <v>31833.67712508604</v>
      </c>
      <c r="BS148" s="772">
        <f t="shared" ca="1" si="65"/>
        <v>34734.874629430837</v>
      </c>
      <c r="BT148" s="772">
        <f t="shared" ca="1" si="65"/>
        <v>34734.874629430837</v>
      </c>
      <c r="BU148" s="772">
        <f t="shared" ca="1" si="65"/>
        <v>34734.874629430837</v>
      </c>
      <c r="BV148" s="772">
        <f t="shared" ca="1" si="65"/>
        <v>34102.092377660876</v>
      </c>
      <c r="BW148" s="772">
        <f t="shared" ca="1" si="65"/>
        <v>34102.092377660876</v>
      </c>
      <c r="BX148" s="772">
        <f t="shared" ca="1" si="64"/>
        <v>32648.258602725728</v>
      </c>
      <c r="BY148" s="772">
        <f t="shared" ca="1" si="64"/>
        <v>32648.258602725728</v>
      </c>
      <c r="BZ148" s="772">
        <f t="shared" ca="1" si="64"/>
        <v>31833.67712508604</v>
      </c>
      <c r="CA148" s="772">
        <f t="shared" ca="1" si="64"/>
        <v>31833.67712508604</v>
      </c>
      <c r="CB148" s="772">
        <f t="shared" ca="1" si="64"/>
        <v>34102.092377660876</v>
      </c>
      <c r="CC148" s="772">
        <f t="shared" ca="1" si="64"/>
        <v>34102.092377660876</v>
      </c>
      <c r="CD148" s="772">
        <f t="shared" ca="1" si="64"/>
        <v>34102.092377660876</v>
      </c>
      <c r="CE148" s="772">
        <f t="shared" ca="1" si="64"/>
        <v>34102.092377660876</v>
      </c>
      <c r="CF148" s="772">
        <f t="shared" ca="1" si="64"/>
        <v>33406.021591836026</v>
      </c>
      <c r="CG148" s="772">
        <f t="shared" ca="1" si="64"/>
        <v>32648.258602725728</v>
      </c>
      <c r="CH148" s="772">
        <f t="shared" ca="1" si="64"/>
        <v>31833.67712508604</v>
      </c>
      <c r="CI148" s="772">
        <f t="shared" ca="1" si="64"/>
        <v>31833.67712508604</v>
      </c>
      <c r="CJ148" s="772">
        <f t="shared" ca="1" si="64"/>
        <v>30970.306059830156</v>
      </c>
    </row>
    <row r="149" spans="1:88" ht="15" customHeight="1">
      <c r="A149" s="770">
        <f>'kc-Wert für Stützen'!C149</f>
        <v>201</v>
      </c>
      <c r="B149" s="768">
        <f ca="1">INDIRECT("'kc-Wert für Stützen'!"&amp;SUBSTITUTE(ADDRESS(MATCH($A149,'kc-Wert für Stützen'!$C:$C,0),MATCH(B$7,'kc-Wert für Stützen'!$A$8:$ES$8,0)+7,4),,))</f>
        <v>36700.519048993032</v>
      </c>
      <c r="C149" s="768">
        <f ca="1">INDIRECT("'kc-Wert für Stützen'!"&amp;SUBSTITUTE(ADDRESS(MATCH($A149,'kc-Wert für Stützen'!$C:$C,0),MATCH(C$7,'kc-Wert für Stützen'!$A$8:$ES$8,0)+7,4),,))</f>
        <v>36246.98433790783</v>
      </c>
      <c r="D149" s="768">
        <f ca="1">INDIRECT("'kc-Wert für Stützen'!"&amp;SUBSTITUTE(ADDRESS(MATCH($A149,'kc-Wert für Stützen'!$C:$C,0),MATCH(D$7,'kc-Wert für Stützen'!$A$8:$ES$8,0)+7,4),,))</f>
        <v>35740.457907955031</v>
      </c>
      <c r="E149" s="768">
        <f ca="1">INDIRECT("'kc-Wert für Stützen'!"&amp;SUBSTITUTE(ADDRESS(MATCH($A149,'kc-Wert für Stützen'!$C:$C,0),MATCH(E$7,'kc-Wert für Stützen'!$A$8:$ES$8,0)+7,4),,))</f>
        <v>35176.023086112946</v>
      </c>
      <c r="F149" s="768">
        <f ca="1">INDIRECT("'kc-Wert für Stützen'!"&amp;SUBSTITUTE(ADDRESS(MATCH($A149,'kc-Wert für Stützen'!$C:$C,0),MATCH(F$7,'kc-Wert für Stützen'!$A$8:$ES$8,0)+7,4),,))</f>
        <v>34549.993411394906</v>
      </c>
      <c r="G149" s="768">
        <f ca="1">INDIRECT("'kc-Wert für Stützen'!"&amp;SUBSTITUTE(ADDRESS(MATCH($A149,'kc-Wert für Stützen'!$C:$C,0),MATCH(G$7,'kc-Wert für Stützen'!$A$8:$ES$8,0)+7,4),,))</f>
        <v>33860.700572736678</v>
      </c>
      <c r="H149" s="768">
        <f ca="1">INDIRECT("'kc-Wert für Stützen'!"&amp;SUBSTITUTE(ADDRESS(MATCH($A149,'kc-Wert für Stützen'!$C:$C,0),MATCH(H$7,'kc-Wert für Stützen'!$A$8:$ES$8,0)+7,4),,))</f>
        <v>33109.230837207659</v>
      </c>
      <c r="I149" s="768">
        <f ca="1">INDIRECT("'kc-Wert für Stützen'!"&amp;SUBSTITUTE(ADDRESS(MATCH($A149,'kc-Wert für Stützen'!$C:$C,0),MATCH(I$7,'kc-Wert für Stützen'!$A$8:$ES$8,0)+7,4),,))</f>
        <v>32299.883111350427</v>
      </c>
      <c r="J149" s="768">
        <f ca="1">INDIRECT("'kc-Wert für Stützen'!"&amp;SUBSTITUTE(ADDRESS(MATCH($A149,'kc-Wert für Stützen'!$C:$C,0),MATCH(J$7,'kc-Wert für Stützen'!$A$8:$ES$8,0)+7,4),,))</f>
        <v>31440.141961156547</v>
      </c>
      <c r="K149" s="768">
        <f ca="1">INDIRECT("'kc-Wert für Stützen'!"&amp;SUBSTITUTE(ADDRESS(MATCH($A149,'kc-Wert für Stützen'!$C:$C,0),MATCH(K$7,'kc-Wert für Stützen'!$A$8:$ES$8,0)+7,4),,))</f>
        <v>30540.094732250171</v>
      </c>
      <c r="L149" s="768">
        <f ca="1">INDIRECT("'kc-Wert für Stützen'!"&amp;SUBSTITUTE(ADDRESS(MATCH($A149,'kc-Wert für Stützen'!$C:$C,0),MATCH(L$7,'kc-Wert für Stützen'!$A$8:$ES$8,0)+7,4),,))</f>
        <v>29611.41929877345</v>
      </c>
      <c r="M149" s="768">
        <f ca="1">INDIRECT("'kc-Wert für Stützen'!"&amp;SUBSTITUTE(ADDRESS(MATCH($A149,'kc-Wert für Stützen'!$C:$C,0),MATCH(M$7,'kc-Wert für Stützen'!$A$8:$ES$8,0)+7,4),,))</f>
        <v>28666.214408860662</v>
      </c>
      <c r="N149" s="768">
        <f ca="1">INDIRECT("'kc-Wert für Stützen'!"&amp;SUBSTITUTE(ADDRESS(MATCH($A149,'kc-Wert für Stützen'!$C:$C,0),MATCH(N$7,'kc-Wert für Stützen'!$A$8:$ES$8,0)+7,4),,))</f>
        <v>27715.957650989614</v>
      </c>
      <c r="O149" s="768">
        <f ca="1">INDIRECT("'kc-Wert für Stützen'!"&amp;SUBSTITUTE(ADDRESS(MATCH($A149,'kc-Wert für Stützen'!$C:$C,0),MATCH(O$7,'kc-Wert für Stützen'!$A$8:$ES$8,0)+7,4),,))</f>
        <v>26770.772874666021</v>
      </c>
      <c r="P149" s="768">
        <f ca="1">INDIRECT("'kc-Wert für Stützen'!"&amp;SUBSTITUTE(ADDRESS(MATCH($A149,'kc-Wert für Stützen'!$C:$C,0),MATCH(P$7,'kc-Wert für Stützen'!$A$8:$ES$8,0)+7,4),,))</f>
        <v>25839.051074307557</v>
      </c>
      <c r="S149" s="772">
        <f t="shared" ca="1" si="59"/>
        <v>35740.457907955031</v>
      </c>
      <c r="T149" s="772">
        <f t="shared" ca="1" si="50"/>
        <v>35740.457907955031</v>
      </c>
      <c r="U149" s="772">
        <f t="shared" ca="1" si="50"/>
        <v>35740.457907955031</v>
      </c>
      <c r="V149" s="772">
        <f t="shared" ca="1" si="50"/>
        <v>35176.023086112946</v>
      </c>
      <c r="W149" s="772">
        <f t="shared" ca="1" si="50"/>
        <v>34549.993411394906</v>
      </c>
      <c r="X149" s="772">
        <f t="shared" ca="1" si="50"/>
        <v>33860.700572736678</v>
      </c>
      <c r="Y149" s="772">
        <f t="shared" ca="1" si="50"/>
        <v>33109.230837207659</v>
      </c>
      <c r="Z149" s="772">
        <f t="shared" ca="1" si="50"/>
        <v>35740.457907955031</v>
      </c>
      <c r="AA149" s="772">
        <f t="shared" ca="1" si="50"/>
        <v>35740.457907955031</v>
      </c>
      <c r="AB149" s="772">
        <f t="shared" ca="1" si="57"/>
        <v>35176.023086112946</v>
      </c>
      <c r="AC149" s="772">
        <f t="shared" ca="1" si="57"/>
        <v>35176.023086112946</v>
      </c>
      <c r="AD149" s="772">
        <f t="shared" ca="1" si="57"/>
        <v>34549.993411394906</v>
      </c>
      <c r="AE149" s="772">
        <f t="shared" ca="1" si="57"/>
        <v>34549.993411394906</v>
      </c>
      <c r="AF149" s="772">
        <f t="shared" ca="1" si="57"/>
        <v>33860.700572736678</v>
      </c>
      <c r="AG149" s="772">
        <f t="shared" ca="1" si="57"/>
        <v>33860.700572736678</v>
      </c>
      <c r="AH149" s="772">
        <f t="shared" ca="1" si="57"/>
        <v>33860.700572736678</v>
      </c>
      <c r="AI149" s="772">
        <f t="shared" ca="1" si="57"/>
        <v>35740.457907955031</v>
      </c>
      <c r="AJ149" s="772">
        <f t="shared" ca="1" si="57"/>
        <v>35740.457907955031</v>
      </c>
      <c r="AK149" s="772">
        <f t="shared" ca="1" si="57"/>
        <v>35176.023086112946</v>
      </c>
      <c r="AL149" s="772">
        <f t="shared" ca="1" si="57"/>
        <v>35176.023086112946</v>
      </c>
      <c r="AM149" s="772">
        <f t="shared" ca="1" si="57"/>
        <v>34549.993411394906</v>
      </c>
      <c r="AN149" s="772">
        <f t="shared" ca="1" si="57"/>
        <v>34549.993411394906</v>
      </c>
      <c r="AO149" s="772">
        <f t="shared" ca="1" si="57"/>
        <v>33860.700572736678</v>
      </c>
      <c r="AP149" s="772">
        <f t="shared" ca="1" si="57"/>
        <v>33860.700572736678</v>
      </c>
      <c r="AQ149" s="772">
        <f t="shared" ca="1" si="57"/>
        <v>33860.700572736678</v>
      </c>
      <c r="AR149" s="772">
        <f t="shared" ca="1" si="63"/>
        <v>35740.457907955031</v>
      </c>
      <c r="AS149" s="772">
        <f t="shared" ca="1" si="63"/>
        <v>35740.457907955031</v>
      </c>
      <c r="AT149" s="772">
        <f t="shared" ca="1" si="63"/>
        <v>35176.023086112946</v>
      </c>
      <c r="AU149" s="772">
        <f t="shared" ca="1" si="63"/>
        <v>35176.023086112946</v>
      </c>
      <c r="AV149" s="772">
        <f t="shared" ca="1" si="63"/>
        <v>34549.993411394906</v>
      </c>
      <c r="AW149" s="772">
        <f t="shared" ca="1" si="63"/>
        <v>34549.993411394906</v>
      </c>
      <c r="AX149" s="772">
        <f t="shared" ca="1" si="63"/>
        <v>33860.700572736678</v>
      </c>
      <c r="AY149" s="772">
        <f t="shared" ca="1" si="63"/>
        <v>33860.700572736678</v>
      </c>
      <c r="AZ149" s="772">
        <f t="shared" ca="1" si="63"/>
        <v>33860.700572736678</v>
      </c>
      <c r="BA149" s="772">
        <f t="shared" ca="1" si="63"/>
        <v>35740.457907955031</v>
      </c>
      <c r="BB149" s="772">
        <f t="shared" ca="1" si="62"/>
        <v>35740.457907955031</v>
      </c>
      <c r="BC149" s="772">
        <f t="shared" ca="1" si="62"/>
        <v>35176.023086112946</v>
      </c>
      <c r="BD149" s="772">
        <f t="shared" ca="1" si="62"/>
        <v>34549.993411394906</v>
      </c>
      <c r="BE149" s="772">
        <f t="shared" ca="1" si="62"/>
        <v>34549.993411394906</v>
      </c>
      <c r="BF149" s="772">
        <f t="shared" ca="1" si="62"/>
        <v>33860.700572736678</v>
      </c>
      <c r="BG149" s="772">
        <f t="shared" ca="1" si="62"/>
        <v>33860.700572736678</v>
      </c>
      <c r="BH149" s="772">
        <f t="shared" ca="1" si="65"/>
        <v>33109.230837207659</v>
      </c>
      <c r="BI149" s="772">
        <f t="shared" ca="1" si="65"/>
        <v>33109.230837207659</v>
      </c>
      <c r="BJ149" s="772">
        <f t="shared" ca="1" si="65"/>
        <v>35176.023086112946</v>
      </c>
      <c r="BK149" s="772">
        <f t="shared" ca="1" si="65"/>
        <v>35176.023086112946</v>
      </c>
      <c r="BL149" s="772">
        <f t="shared" ca="1" si="65"/>
        <v>35176.023086112946</v>
      </c>
      <c r="BM149" s="772">
        <f t="shared" ca="1" si="65"/>
        <v>35176.023086112946</v>
      </c>
      <c r="BN149" s="772">
        <f t="shared" ca="1" si="65"/>
        <v>33860.700572736678</v>
      </c>
      <c r="BO149" s="772">
        <f t="shared" ca="1" si="65"/>
        <v>33860.700572736678</v>
      </c>
      <c r="BP149" s="772">
        <f t="shared" ca="1" si="65"/>
        <v>33109.230837207659</v>
      </c>
      <c r="BQ149" s="772">
        <f t="shared" ca="1" si="65"/>
        <v>33109.230837207659</v>
      </c>
      <c r="BR149" s="772">
        <f t="shared" ca="1" si="65"/>
        <v>32299.883111350427</v>
      </c>
      <c r="BS149" s="772">
        <f t="shared" ca="1" si="65"/>
        <v>35176.023086112946</v>
      </c>
      <c r="BT149" s="772">
        <f t="shared" ca="1" si="65"/>
        <v>35176.023086112946</v>
      </c>
      <c r="BU149" s="772">
        <f t="shared" ca="1" si="65"/>
        <v>35176.023086112946</v>
      </c>
      <c r="BV149" s="772">
        <f t="shared" ca="1" si="65"/>
        <v>34549.993411394906</v>
      </c>
      <c r="BW149" s="772">
        <f t="shared" ca="1" si="65"/>
        <v>34549.993411394906</v>
      </c>
      <c r="BX149" s="772">
        <f t="shared" ca="1" si="64"/>
        <v>33109.230837207659</v>
      </c>
      <c r="BY149" s="772">
        <f t="shared" ca="1" si="64"/>
        <v>33109.230837207659</v>
      </c>
      <c r="BZ149" s="772">
        <f t="shared" ca="1" si="64"/>
        <v>32299.883111350427</v>
      </c>
      <c r="CA149" s="772">
        <f t="shared" ca="1" si="64"/>
        <v>32299.883111350427</v>
      </c>
      <c r="CB149" s="772">
        <f t="shared" ca="1" si="64"/>
        <v>34549.993411394906</v>
      </c>
      <c r="CC149" s="772">
        <f t="shared" ca="1" si="64"/>
        <v>34549.993411394906</v>
      </c>
      <c r="CD149" s="772">
        <f t="shared" ca="1" si="64"/>
        <v>34549.993411394906</v>
      </c>
      <c r="CE149" s="772">
        <f t="shared" ca="1" si="64"/>
        <v>34549.993411394906</v>
      </c>
      <c r="CF149" s="772">
        <f t="shared" ca="1" si="64"/>
        <v>33860.700572736678</v>
      </c>
      <c r="CG149" s="772">
        <f t="shared" ca="1" si="64"/>
        <v>33109.230837207659</v>
      </c>
      <c r="CH149" s="772">
        <f t="shared" ca="1" si="64"/>
        <v>32299.883111350427</v>
      </c>
      <c r="CI149" s="772">
        <f t="shared" ca="1" si="64"/>
        <v>32299.883111350427</v>
      </c>
      <c r="CJ149" s="772">
        <f t="shared" ca="1" si="64"/>
        <v>31440.141961156547</v>
      </c>
    </row>
    <row r="150" spans="1:88" ht="15" customHeight="1">
      <c r="A150" s="770">
        <f>'kc-Wert für Stützen'!C150</f>
        <v>202</v>
      </c>
      <c r="B150" s="768">
        <f ca="1">INDIRECT("'kc-Wert für Stützen'!"&amp;SUBSTITUTE(ADDRESS(MATCH($A150,'kc-Wert für Stützen'!$C:$C,0),MATCH(B$7,'kc-Wert für Stützen'!$A$8:$ES$8,0)+7,4),,))</f>
        <v>37126.184754771712</v>
      </c>
      <c r="C150" s="768">
        <f ca="1">INDIRECT("'kc-Wert für Stützen'!"&amp;SUBSTITUTE(ADDRESS(MATCH($A150,'kc-Wert für Stützen'!$C:$C,0),MATCH(C$7,'kc-Wert für Stützen'!$A$8:$ES$8,0)+7,4),,))</f>
        <v>36677.473051738256</v>
      </c>
      <c r="D150" s="768">
        <f ca="1">INDIRECT("'kc-Wert für Stützen'!"&amp;SUBSTITUTE(ADDRESS(MATCH($A150,'kc-Wert für Stützen'!$C:$C,0),MATCH(D$7,'kc-Wert für Stützen'!$A$8:$ES$8,0)+7,4),,))</f>
        <v>36176.534148775041</v>
      </c>
      <c r="E150" s="768">
        <f ca="1">INDIRECT("'kc-Wert für Stützen'!"&amp;SUBSTITUTE(ADDRESS(MATCH($A150,'kc-Wert für Stützen'!$C:$C,0),MATCH(E$7,'kc-Wert für Stützen'!$A$8:$ES$8,0)+7,4),,))</f>
        <v>35618.35655245815</v>
      </c>
      <c r="F150" s="768">
        <f ca="1">INDIRECT("'kc-Wert für Stützen'!"&amp;SUBSTITUTE(ADDRESS(MATCH($A150,'kc-Wert für Stützen'!$C:$C,0),MATCH(F$7,'kc-Wert für Stützen'!$A$8:$ES$8,0)+7,4),,))</f>
        <v>34999.037288792235</v>
      </c>
      <c r="G150" s="768">
        <f ca="1">INDIRECT("'kc-Wert für Stützen'!"&amp;SUBSTITUTE(ADDRESS(MATCH($A150,'kc-Wert für Stützen'!$C:$C,0),MATCH(G$7,'kc-Wert für Stützen'!$A$8:$ES$8,0)+7,4),,))</f>
        <v>34316.550221159989</v>
      </c>
      <c r="H150" s="768">
        <f ca="1">INDIRECT("'kc-Wert für Stützen'!"&amp;SUBSTITUTE(ADDRESS(MATCH($A150,'kc-Wert für Stützen'!$C:$C,0),MATCH(H$7,'kc-Wert für Stützen'!$A$8:$ES$8,0)+7,4),,))</f>
        <v>33571.493715016797</v>
      </c>
      <c r="I150" s="768">
        <f ca="1">INDIRECT("'kc-Wert für Stützen'!"&amp;SUBSTITUTE(ADDRESS(MATCH($A150,'kc-Wert für Stützen'!$C:$C,0),MATCH(I$7,'kc-Wert für Stützen'!$A$8:$ES$8,0)+7,4),,))</f>
        <v>32767.602178513145</v>
      </c>
      <c r="J150" s="768">
        <f ca="1">INDIRECT("'kc-Wert für Stützen'!"&amp;SUBSTITUTE(ADDRESS(MATCH($A150,'kc-Wert für Stützen'!$C:$C,0),MATCH(J$7,'kc-Wert für Stützen'!$A$8:$ES$8,0)+7,4),,))</f>
        <v>31911.80863881571</v>
      </c>
      <c r="K150" s="768">
        <f ca="1">INDIRECT("'kc-Wert für Stützen'!"&amp;SUBSTITUTE(ADDRESS(MATCH($A150,'kc-Wert für Stützen'!$C:$C,0),MATCH(K$7,'kc-Wert für Stützen'!$A$8:$ES$8,0)+7,4),,))</f>
        <v>31013.760371717657</v>
      </c>
      <c r="L150" s="768">
        <f ca="1">INDIRECT("'kc-Wert für Stützen'!"&amp;SUBSTITUTE(ADDRESS(MATCH($A150,'kc-Wert für Stützen'!$C:$C,0),MATCH(L$7,'kc-Wert für Stützen'!$A$8:$ES$8,0)+7,4),,))</f>
        <v>30084.878597510447</v>
      </c>
      <c r="M150" s="768">
        <f ca="1">INDIRECT("'kc-Wert für Stützen'!"&amp;SUBSTITUTE(ADDRESS(MATCH($A150,'kc-Wert für Stützen'!$C:$C,0),MATCH(M$7,'kc-Wert für Stützen'!$A$8:$ES$8,0)+7,4),,))</f>
        <v>29137.211224672508</v>
      </c>
      <c r="N150" s="768">
        <f ca="1">INDIRECT("'kc-Wert für Stützen'!"&amp;SUBSTITUTE(ADDRESS(MATCH($A150,'kc-Wert für Stützen'!$C:$C,0),MATCH(N$7,'kc-Wert für Stützen'!$A$8:$ES$8,0)+7,4),,))</f>
        <v>28182.364866134449</v>
      </c>
      <c r="O150" s="768">
        <f ca="1">INDIRECT("'kc-Wert für Stützen'!"&amp;SUBSTITUTE(ADDRESS(MATCH($A150,'kc-Wert für Stützen'!$C:$C,0),MATCH(O$7,'kc-Wert für Stützen'!$A$8:$ES$8,0)+7,4),,))</f>
        <v>27230.717545870331</v>
      </c>
      <c r="P150" s="768">
        <f ca="1">INDIRECT("'kc-Wert für Stützen'!"&amp;SUBSTITUTE(ADDRESS(MATCH($A150,'kc-Wert für Stützen'!$C:$C,0),MATCH(P$7,'kc-Wert für Stützen'!$A$8:$ES$8,0)+7,4),,))</f>
        <v>26290.979310491872</v>
      </c>
      <c r="S150" s="772">
        <f t="shared" ca="1" si="59"/>
        <v>36176.534148775041</v>
      </c>
      <c r="T150" s="772">
        <f t="shared" ca="1" si="50"/>
        <v>36176.534148775041</v>
      </c>
      <c r="U150" s="772">
        <f t="shared" ca="1" si="50"/>
        <v>36176.534148775041</v>
      </c>
      <c r="V150" s="772">
        <f t="shared" ca="1" si="50"/>
        <v>35618.35655245815</v>
      </c>
      <c r="W150" s="772">
        <f t="shared" ca="1" si="50"/>
        <v>34999.037288792235</v>
      </c>
      <c r="X150" s="772">
        <f t="shared" ca="1" si="50"/>
        <v>34316.550221159989</v>
      </c>
      <c r="Y150" s="772">
        <f t="shared" ca="1" si="50"/>
        <v>33571.493715016797</v>
      </c>
      <c r="Z150" s="772">
        <f t="shared" ca="1" si="50"/>
        <v>36176.534148775041</v>
      </c>
      <c r="AA150" s="772">
        <f t="shared" ca="1" si="50"/>
        <v>36176.534148775041</v>
      </c>
      <c r="AB150" s="772">
        <f t="shared" ca="1" si="57"/>
        <v>35618.35655245815</v>
      </c>
      <c r="AC150" s="772">
        <f t="shared" ca="1" si="57"/>
        <v>35618.35655245815</v>
      </c>
      <c r="AD150" s="772">
        <f t="shared" ca="1" si="57"/>
        <v>34999.037288792235</v>
      </c>
      <c r="AE150" s="772">
        <f t="shared" ca="1" si="57"/>
        <v>34999.037288792235</v>
      </c>
      <c r="AF150" s="772">
        <f t="shared" ca="1" si="57"/>
        <v>34316.550221159989</v>
      </c>
      <c r="AG150" s="772">
        <f t="shared" ca="1" si="57"/>
        <v>34316.550221159989</v>
      </c>
      <c r="AH150" s="772">
        <f t="shared" ca="1" si="57"/>
        <v>34316.550221159989</v>
      </c>
      <c r="AI150" s="772">
        <f t="shared" ca="1" si="57"/>
        <v>36176.534148775041</v>
      </c>
      <c r="AJ150" s="772">
        <f t="shared" ca="1" si="57"/>
        <v>36176.534148775041</v>
      </c>
      <c r="AK150" s="772">
        <f t="shared" ca="1" si="57"/>
        <v>35618.35655245815</v>
      </c>
      <c r="AL150" s="772">
        <f t="shared" ca="1" si="57"/>
        <v>35618.35655245815</v>
      </c>
      <c r="AM150" s="772">
        <f t="shared" ca="1" si="57"/>
        <v>34999.037288792235</v>
      </c>
      <c r="AN150" s="772">
        <f t="shared" ca="1" si="57"/>
        <v>34999.037288792235</v>
      </c>
      <c r="AO150" s="772">
        <f t="shared" ca="1" si="57"/>
        <v>34316.550221159989</v>
      </c>
      <c r="AP150" s="772">
        <f t="shared" ca="1" si="57"/>
        <v>34316.550221159989</v>
      </c>
      <c r="AQ150" s="772">
        <f t="shared" ca="1" si="57"/>
        <v>34316.550221159989</v>
      </c>
      <c r="AR150" s="772">
        <f t="shared" ca="1" si="63"/>
        <v>36176.534148775041</v>
      </c>
      <c r="AS150" s="772">
        <f t="shared" ca="1" si="63"/>
        <v>36176.534148775041</v>
      </c>
      <c r="AT150" s="772">
        <f t="shared" ca="1" si="63"/>
        <v>35618.35655245815</v>
      </c>
      <c r="AU150" s="772">
        <f t="shared" ca="1" si="63"/>
        <v>35618.35655245815</v>
      </c>
      <c r="AV150" s="772">
        <f t="shared" ca="1" si="63"/>
        <v>34999.037288792235</v>
      </c>
      <c r="AW150" s="772">
        <f t="shared" ca="1" si="63"/>
        <v>34999.037288792235</v>
      </c>
      <c r="AX150" s="772">
        <f t="shared" ca="1" si="63"/>
        <v>34316.550221159989</v>
      </c>
      <c r="AY150" s="772">
        <f t="shared" ca="1" si="63"/>
        <v>34316.550221159989</v>
      </c>
      <c r="AZ150" s="772">
        <f t="shared" ca="1" si="63"/>
        <v>34316.550221159989</v>
      </c>
      <c r="BA150" s="772">
        <f t="shared" ca="1" si="63"/>
        <v>36176.534148775041</v>
      </c>
      <c r="BB150" s="772">
        <f t="shared" ca="1" si="62"/>
        <v>36176.534148775041</v>
      </c>
      <c r="BC150" s="772">
        <f t="shared" ca="1" si="62"/>
        <v>35618.35655245815</v>
      </c>
      <c r="BD150" s="772">
        <f t="shared" ca="1" si="62"/>
        <v>34999.037288792235</v>
      </c>
      <c r="BE150" s="772">
        <f t="shared" ca="1" si="62"/>
        <v>34999.037288792235</v>
      </c>
      <c r="BF150" s="772">
        <f t="shared" ca="1" si="62"/>
        <v>34316.550221159989</v>
      </c>
      <c r="BG150" s="772">
        <f t="shared" ca="1" si="62"/>
        <v>34316.550221159989</v>
      </c>
      <c r="BH150" s="772">
        <f t="shared" ca="1" si="65"/>
        <v>33571.493715016797</v>
      </c>
      <c r="BI150" s="772">
        <f t="shared" ca="1" si="65"/>
        <v>33571.493715016797</v>
      </c>
      <c r="BJ150" s="772">
        <f t="shared" ca="1" si="65"/>
        <v>35618.35655245815</v>
      </c>
      <c r="BK150" s="772">
        <f t="shared" ca="1" si="65"/>
        <v>35618.35655245815</v>
      </c>
      <c r="BL150" s="772">
        <f t="shared" ca="1" si="65"/>
        <v>35618.35655245815</v>
      </c>
      <c r="BM150" s="772">
        <f t="shared" ca="1" si="65"/>
        <v>35618.35655245815</v>
      </c>
      <c r="BN150" s="772">
        <f t="shared" ca="1" si="65"/>
        <v>34316.550221159989</v>
      </c>
      <c r="BO150" s="772">
        <f t="shared" ca="1" si="65"/>
        <v>34316.550221159989</v>
      </c>
      <c r="BP150" s="772">
        <f t="shared" ca="1" si="65"/>
        <v>33571.493715016797</v>
      </c>
      <c r="BQ150" s="772">
        <f t="shared" ca="1" si="65"/>
        <v>33571.493715016797</v>
      </c>
      <c r="BR150" s="772">
        <f t="shared" ca="1" si="65"/>
        <v>32767.602178513145</v>
      </c>
      <c r="BS150" s="772">
        <f t="shared" ca="1" si="65"/>
        <v>35618.35655245815</v>
      </c>
      <c r="BT150" s="772">
        <f t="shared" ca="1" si="65"/>
        <v>35618.35655245815</v>
      </c>
      <c r="BU150" s="772">
        <f t="shared" ca="1" si="65"/>
        <v>35618.35655245815</v>
      </c>
      <c r="BV150" s="772">
        <f t="shared" ca="1" si="65"/>
        <v>34999.037288792235</v>
      </c>
      <c r="BW150" s="772">
        <f t="shared" ca="1" si="65"/>
        <v>34999.037288792235</v>
      </c>
      <c r="BX150" s="772">
        <f t="shared" ca="1" si="64"/>
        <v>33571.493715016797</v>
      </c>
      <c r="BY150" s="772">
        <f t="shared" ca="1" si="64"/>
        <v>33571.493715016797</v>
      </c>
      <c r="BZ150" s="772">
        <f t="shared" ca="1" si="64"/>
        <v>32767.602178513145</v>
      </c>
      <c r="CA150" s="772">
        <f t="shared" ca="1" si="64"/>
        <v>32767.602178513145</v>
      </c>
      <c r="CB150" s="772">
        <f t="shared" ca="1" si="64"/>
        <v>34999.037288792235</v>
      </c>
      <c r="CC150" s="772">
        <f t="shared" ca="1" si="64"/>
        <v>34999.037288792235</v>
      </c>
      <c r="CD150" s="772">
        <f t="shared" ca="1" si="64"/>
        <v>34999.037288792235</v>
      </c>
      <c r="CE150" s="772">
        <f t="shared" ca="1" si="64"/>
        <v>34999.037288792235</v>
      </c>
      <c r="CF150" s="772">
        <f t="shared" ca="1" si="64"/>
        <v>34316.550221159989</v>
      </c>
      <c r="CG150" s="772">
        <f t="shared" ca="1" si="64"/>
        <v>33571.493715016797</v>
      </c>
      <c r="CH150" s="772">
        <f t="shared" ca="1" si="64"/>
        <v>32767.602178513145</v>
      </c>
      <c r="CI150" s="772">
        <f t="shared" ca="1" si="64"/>
        <v>32767.602178513145</v>
      </c>
      <c r="CJ150" s="772">
        <f t="shared" ca="1" si="64"/>
        <v>31911.80863881571</v>
      </c>
    </row>
    <row r="151" spans="1:88" ht="15" customHeight="1">
      <c r="A151" s="770">
        <f>'kc-Wert für Stützen'!C151</f>
        <v>203</v>
      </c>
      <c r="B151" s="768">
        <f ca="1">INDIRECT("'kc-Wert für Stützen'!"&amp;SUBSTITUTE(ADDRESS(MATCH($A151,'kc-Wert für Stützen'!$C:$C,0),MATCH(B$7,'kc-Wert für Stützen'!$A$8:$ES$8,0)+7,4),,))</f>
        <v>37553.354376509524</v>
      </c>
      <c r="C151" s="768">
        <f ca="1">INDIRECT("'kc-Wert für Stützen'!"&amp;SUBSTITUTE(ADDRESS(MATCH($A151,'kc-Wert für Stützen'!$C:$C,0),MATCH(C$7,'kc-Wert für Stützen'!$A$8:$ES$8,0)+7,4),,))</f>
        <v>37109.35596382575</v>
      </c>
      <c r="D151" s="768">
        <f ca="1">INDIRECT("'kc-Wert für Stützen'!"&amp;SUBSTITUTE(ADDRESS(MATCH($A151,'kc-Wert für Stützen'!$C:$C,0),MATCH(D$7,'kc-Wert für Stützen'!$A$8:$ES$8,0)+7,4),,))</f>
        <v>36613.89665370142</v>
      </c>
      <c r="E151" s="768">
        <f ca="1">INDIRECT("'kc-Wert für Stützen'!"&amp;SUBSTITUTE(ADDRESS(MATCH($A151,'kc-Wert für Stützen'!$C:$C,0),MATCH(E$7,'kc-Wert für Stützen'!$A$8:$ES$8,0)+7,4),,))</f>
        <v>36061.886031045848</v>
      </c>
      <c r="F151" s="768">
        <f ca="1">INDIRECT("'kc-Wert für Stützen'!"&amp;SUBSTITUTE(ADDRESS(MATCH($A151,'kc-Wert für Stützen'!$C:$C,0),MATCH(F$7,'kc-Wert für Stützen'!$A$8:$ES$8,0)+7,4),,))</f>
        <v>35449.226686599373</v>
      </c>
      <c r="G151" s="768">
        <f ca="1">INDIRECT("'kc-Wert für Stützen'!"&amp;SUBSTITUTE(ADDRESS(MATCH($A151,'kc-Wert für Stützen'!$C:$C,0),MATCH(G$7,'kc-Wert für Stützen'!$A$8:$ES$8,0)+7,4),,))</f>
        <v>34773.560176548592</v>
      </c>
      <c r="H151" s="768">
        <f ca="1">INDIRECT("'kc-Wert für Stützen'!"&amp;SUBSTITUTE(ADDRESS(MATCH($A151,'kc-Wert für Stützen'!$C:$C,0),MATCH(H$7,'kc-Wert für Stützen'!$A$8:$ES$8,0)+7,4),,))</f>
        <v>34035.019948776353</v>
      </c>
      <c r="I151" s="768">
        <f ca="1">INDIRECT("'kc-Wert für Stützen'!"&amp;SUBSTITUTE(ADDRESS(MATCH($A151,'kc-Wert für Stützen'!$C:$C,0),MATCH(I$7,'kc-Wert für Stützen'!$A$8:$ES$8,0)+7,4),,))</f>
        <v>33236.788517661786</v>
      </c>
      <c r="J151" s="768">
        <f ca="1">INDIRECT("'kc-Wert für Stützen'!"&amp;SUBSTITUTE(ADDRESS(MATCH($A151,'kc-Wert für Stützen'!$C:$C,0),MATCH(J$7,'kc-Wert für Stützen'!$A$8:$ES$8,0)+7,4),,))</f>
        <v>32385.243391684391</v>
      </c>
      <c r="K151" s="768">
        <f ca="1">INDIRECT("'kc-Wert für Stützen'!"&amp;SUBSTITUTE(ADDRESS(MATCH($A151,'kc-Wert für Stützen'!$C:$C,0),MATCH(K$7,'kc-Wert für Stützen'!$A$8:$ES$8,0)+7,4),,))</f>
        <v>31489.570353134393</v>
      </c>
      <c r="L151" s="768">
        <f ca="1">INDIRECT("'kc-Wert für Stützen'!"&amp;SUBSTITUTE(ADDRESS(MATCH($A151,'kc-Wert für Stützen'!$C:$C,0),MATCH(L$7,'kc-Wert für Stützen'!$A$8:$ES$8,0)+7,4),,))</f>
        <v>30560.900531241052</v>
      </c>
      <c r="M151" s="768">
        <f ca="1">INDIRECT("'kc-Wert für Stützen'!"&amp;SUBSTITUTE(ADDRESS(MATCH($A151,'kc-Wert für Stützen'!$C:$C,0),MATCH(M$7,'kc-Wert für Stützen'!$A$8:$ES$8,0)+7,4),,))</f>
        <v>29611.194486272656</v>
      </c>
      <c r="N151" s="768">
        <f ca="1">INDIRECT("'kc-Wert für Stützen'!"&amp;SUBSTITUTE(ADDRESS(MATCH($A151,'kc-Wert für Stützen'!$C:$C,0),MATCH(N$7,'kc-Wert für Stützen'!$A$8:$ES$8,0)+7,4),,))</f>
        <v>28652.156429174942</v>
      </c>
      <c r="O151" s="768">
        <f ca="1">INDIRECT("'kc-Wert für Stützen'!"&amp;SUBSTITUTE(ADDRESS(MATCH($A151,'kc-Wert für Stützen'!$C:$C,0),MATCH(O$7,'kc-Wert für Stützen'!$A$8:$ES$8,0)+7,4),,))</f>
        <v>27694.39675716147</v>
      </c>
      <c r="P151" s="768">
        <f ca="1">INDIRECT("'kc-Wert für Stützen'!"&amp;SUBSTITUTE(ADDRESS(MATCH($A151,'kc-Wert für Stützen'!$C:$C,0),MATCH(P$7,'kc-Wert für Stützen'!$A$8:$ES$8,0)+7,4),,))</f>
        <v>26746.933071715783</v>
      </c>
      <c r="S151" s="772">
        <f t="shared" ca="1" si="59"/>
        <v>36613.89665370142</v>
      </c>
      <c r="T151" s="772">
        <f t="shared" ca="1" si="50"/>
        <v>36613.89665370142</v>
      </c>
      <c r="U151" s="772">
        <f t="shared" ca="1" si="50"/>
        <v>36613.89665370142</v>
      </c>
      <c r="V151" s="772">
        <f t="shared" ca="1" si="50"/>
        <v>36061.886031045848</v>
      </c>
      <c r="W151" s="772">
        <f t="shared" ca="1" si="50"/>
        <v>35449.226686599373</v>
      </c>
      <c r="X151" s="772">
        <f t="shared" ca="1" si="50"/>
        <v>34773.560176548592</v>
      </c>
      <c r="Y151" s="772">
        <f t="shared" ca="1" si="50"/>
        <v>34035.019948776353</v>
      </c>
      <c r="Z151" s="772">
        <f t="shared" ca="1" si="50"/>
        <v>36613.89665370142</v>
      </c>
      <c r="AA151" s="772">
        <f t="shared" ca="1" si="50"/>
        <v>36613.89665370142</v>
      </c>
      <c r="AB151" s="772">
        <f t="shared" ca="1" si="57"/>
        <v>36061.886031045848</v>
      </c>
      <c r="AC151" s="772">
        <f t="shared" ca="1" si="57"/>
        <v>36061.886031045848</v>
      </c>
      <c r="AD151" s="772">
        <f t="shared" ca="1" si="57"/>
        <v>35449.226686599373</v>
      </c>
      <c r="AE151" s="772">
        <f t="shared" ca="1" si="57"/>
        <v>35449.226686599373</v>
      </c>
      <c r="AF151" s="772">
        <f t="shared" ca="1" si="57"/>
        <v>34773.560176548592</v>
      </c>
      <c r="AG151" s="772">
        <f t="shared" ca="1" si="57"/>
        <v>34773.560176548592</v>
      </c>
      <c r="AH151" s="772">
        <f t="shared" ca="1" si="57"/>
        <v>34773.560176548592</v>
      </c>
      <c r="AI151" s="772">
        <f t="shared" ca="1" si="57"/>
        <v>36613.89665370142</v>
      </c>
      <c r="AJ151" s="772">
        <f t="shared" ca="1" si="57"/>
        <v>36613.89665370142</v>
      </c>
      <c r="AK151" s="772">
        <f t="shared" ca="1" si="57"/>
        <v>36061.886031045848</v>
      </c>
      <c r="AL151" s="772">
        <f t="shared" ca="1" si="57"/>
        <v>36061.886031045848</v>
      </c>
      <c r="AM151" s="772">
        <f t="shared" ca="1" si="57"/>
        <v>35449.226686599373</v>
      </c>
      <c r="AN151" s="772">
        <f t="shared" ca="1" si="57"/>
        <v>35449.226686599373</v>
      </c>
      <c r="AO151" s="772">
        <f t="shared" ca="1" si="57"/>
        <v>34773.560176548592</v>
      </c>
      <c r="AP151" s="772">
        <f t="shared" ca="1" si="57"/>
        <v>34773.560176548592</v>
      </c>
      <c r="AQ151" s="772">
        <f t="shared" ca="1" si="57"/>
        <v>34773.560176548592</v>
      </c>
      <c r="AR151" s="772">
        <f t="shared" ca="1" si="63"/>
        <v>36613.89665370142</v>
      </c>
      <c r="AS151" s="772">
        <f t="shared" ca="1" si="63"/>
        <v>36613.89665370142</v>
      </c>
      <c r="AT151" s="772">
        <f t="shared" ca="1" si="63"/>
        <v>36061.886031045848</v>
      </c>
      <c r="AU151" s="772">
        <f t="shared" ca="1" si="63"/>
        <v>36061.886031045848</v>
      </c>
      <c r="AV151" s="772">
        <f t="shared" ca="1" si="63"/>
        <v>35449.226686599373</v>
      </c>
      <c r="AW151" s="772">
        <f t="shared" ca="1" si="63"/>
        <v>35449.226686599373</v>
      </c>
      <c r="AX151" s="772">
        <f t="shared" ca="1" si="63"/>
        <v>34773.560176548592</v>
      </c>
      <c r="AY151" s="772">
        <f t="shared" ca="1" si="63"/>
        <v>34773.560176548592</v>
      </c>
      <c r="AZ151" s="772">
        <f t="shared" ca="1" si="63"/>
        <v>34773.560176548592</v>
      </c>
      <c r="BA151" s="772">
        <f t="shared" ca="1" si="63"/>
        <v>36613.89665370142</v>
      </c>
      <c r="BB151" s="772">
        <f t="shared" ca="1" si="62"/>
        <v>36613.89665370142</v>
      </c>
      <c r="BC151" s="772">
        <f t="shared" ca="1" si="62"/>
        <v>36061.886031045848</v>
      </c>
      <c r="BD151" s="772">
        <f t="shared" ca="1" si="62"/>
        <v>35449.226686599373</v>
      </c>
      <c r="BE151" s="772">
        <f t="shared" ca="1" si="62"/>
        <v>35449.226686599373</v>
      </c>
      <c r="BF151" s="772">
        <f t="shared" ca="1" si="62"/>
        <v>34773.560176548592</v>
      </c>
      <c r="BG151" s="772">
        <f t="shared" ca="1" si="62"/>
        <v>34773.560176548592</v>
      </c>
      <c r="BH151" s="772">
        <f t="shared" ca="1" si="65"/>
        <v>34035.019948776353</v>
      </c>
      <c r="BI151" s="772">
        <f t="shared" ca="1" si="65"/>
        <v>34035.019948776353</v>
      </c>
      <c r="BJ151" s="772">
        <f t="shared" ca="1" si="65"/>
        <v>36061.886031045848</v>
      </c>
      <c r="BK151" s="772">
        <f t="shared" ca="1" si="65"/>
        <v>36061.886031045848</v>
      </c>
      <c r="BL151" s="772">
        <f t="shared" ca="1" si="65"/>
        <v>36061.886031045848</v>
      </c>
      <c r="BM151" s="772">
        <f t="shared" ca="1" si="65"/>
        <v>36061.886031045848</v>
      </c>
      <c r="BN151" s="772">
        <f t="shared" ca="1" si="65"/>
        <v>34773.560176548592</v>
      </c>
      <c r="BO151" s="772">
        <f t="shared" ca="1" si="65"/>
        <v>34773.560176548592</v>
      </c>
      <c r="BP151" s="772">
        <f t="shared" ca="1" si="65"/>
        <v>34035.019948776353</v>
      </c>
      <c r="BQ151" s="772">
        <f t="shared" ca="1" si="65"/>
        <v>34035.019948776353</v>
      </c>
      <c r="BR151" s="772">
        <f t="shared" ca="1" si="65"/>
        <v>33236.788517661786</v>
      </c>
      <c r="BS151" s="772">
        <f t="shared" ca="1" si="65"/>
        <v>36061.886031045848</v>
      </c>
      <c r="BT151" s="772">
        <f t="shared" ca="1" si="65"/>
        <v>36061.886031045848</v>
      </c>
      <c r="BU151" s="772">
        <f t="shared" ca="1" si="65"/>
        <v>36061.886031045848</v>
      </c>
      <c r="BV151" s="772">
        <f t="shared" ca="1" si="65"/>
        <v>35449.226686599373</v>
      </c>
      <c r="BW151" s="772">
        <f t="shared" ca="1" si="65"/>
        <v>35449.226686599373</v>
      </c>
      <c r="BX151" s="772">
        <f t="shared" ca="1" si="64"/>
        <v>34035.019948776353</v>
      </c>
      <c r="BY151" s="772">
        <f t="shared" ca="1" si="64"/>
        <v>34035.019948776353</v>
      </c>
      <c r="BZ151" s="772">
        <f t="shared" ca="1" si="64"/>
        <v>33236.788517661786</v>
      </c>
      <c r="CA151" s="772">
        <f t="shared" ca="1" si="64"/>
        <v>33236.788517661786</v>
      </c>
      <c r="CB151" s="772">
        <f t="shared" ca="1" si="64"/>
        <v>35449.226686599373</v>
      </c>
      <c r="CC151" s="772">
        <f t="shared" ca="1" si="64"/>
        <v>35449.226686599373</v>
      </c>
      <c r="CD151" s="772">
        <f t="shared" ca="1" si="64"/>
        <v>35449.226686599373</v>
      </c>
      <c r="CE151" s="772">
        <f t="shared" ca="1" si="64"/>
        <v>35449.226686599373</v>
      </c>
      <c r="CF151" s="772">
        <f t="shared" ca="1" si="64"/>
        <v>34773.560176548592</v>
      </c>
      <c r="CG151" s="772">
        <f t="shared" ca="1" si="64"/>
        <v>34035.019948776353</v>
      </c>
      <c r="CH151" s="772">
        <f t="shared" ca="1" si="64"/>
        <v>33236.788517661786</v>
      </c>
      <c r="CI151" s="772">
        <f t="shared" ca="1" si="64"/>
        <v>33236.788517661786</v>
      </c>
      <c r="CJ151" s="772">
        <f t="shared" ca="1" si="64"/>
        <v>32385.243391684391</v>
      </c>
    </row>
    <row r="152" spans="1:88" ht="15" customHeight="1">
      <c r="A152" s="770">
        <f>'kc-Wert für Stützen'!C152</f>
        <v>204</v>
      </c>
      <c r="B152" s="768">
        <f ca="1">INDIRECT("'kc-Wert für Stützen'!"&amp;SUBSTITUTE(ADDRESS(MATCH($A152,'kc-Wert für Stützen'!$C:$C,0),MATCH(B$7,'kc-Wert für Stützen'!$A$8:$ES$8,0)+7,4),,))</f>
        <v>37982.0425814552</v>
      </c>
      <c r="C152" s="768">
        <f ca="1">INDIRECT("'kc-Wert für Stützen'!"&amp;SUBSTITUTE(ADDRESS(MATCH($A152,'kc-Wert für Stützen'!$C:$C,0),MATCH(C$7,'kc-Wert für Stützen'!$A$8:$ES$8,0)+7,4),,))</f>
        <v>37542.648927454655</v>
      </c>
      <c r="D152" s="768">
        <f ca="1">INDIRECT("'kc-Wert für Stützen'!"&amp;SUBSTITUTE(ADDRESS(MATCH($A152,'kc-Wert für Stützen'!$C:$C,0),MATCH(D$7,'kc-Wert für Stützen'!$A$8:$ES$8,0)+7,4),,))</f>
        <v>37052.560717127664</v>
      </c>
      <c r="E152" s="768">
        <f ca="1">INDIRECT("'kc-Wert für Stützen'!"&amp;SUBSTITUTE(ADDRESS(MATCH($A152,'kc-Wert für Stützen'!$C:$C,0),MATCH(E$7,'kc-Wert für Stützen'!$A$8:$ES$8,0)+7,4),,))</f>
        <v>36506.623340889142</v>
      </c>
      <c r="F152" s="768">
        <f ca="1">INDIRECT("'kc-Wert für Stützen'!"&amp;SUBSTITUTE(ADDRESS(MATCH($A152,'kc-Wert für Stützen'!$C:$C,0),MATCH(F$7,'kc-Wert für Stützen'!$A$8:$ES$8,0)+7,4),,))</f>
        <v>35900.565890456783</v>
      </c>
      <c r="G152" s="768">
        <f ca="1">INDIRECT("'kc-Wert für Stützen'!"&amp;SUBSTITUTE(ADDRESS(MATCH($A152,'kc-Wert für Stützen'!$C:$C,0),MATCH(G$7,'kc-Wert für Stützen'!$A$8:$ES$8,0)+7,4),,))</f>
        <v>35231.722547787242</v>
      </c>
      <c r="H152" s="768">
        <f ca="1">INDIRECT("'kc-Wert für Stützen'!"&amp;SUBSTITUTE(ADDRESS(MATCH($A152,'kc-Wert für Stützen'!$C:$C,0),MATCH(H$7,'kc-Wert für Stützen'!$A$8:$ES$8,0)+7,4),,))</f>
        <v>34499.785403426045</v>
      </c>
      <c r="I152" s="768">
        <f ca="1">INDIRECT("'kc-Wert für Stützen'!"&amp;SUBSTITUTE(ADDRESS(MATCH($A152,'kc-Wert für Stützen'!$C:$C,0),MATCH(I$7,'kc-Wert für Stützen'!$A$8:$ES$8,0)+7,4),,))</f>
        <v>33707.399709783014</v>
      </c>
      <c r="J152" s="768">
        <f ca="1">INDIRECT("'kc-Wert für Stützen'!"&amp;SUBSTITUTE(ADDRESS(MATCH($A152,'kc-Wert für Stützen'!$C:$C,0),MATCH(J$7,'kc-Wert für Stützen'!$A$8:$ES$8,0)+7,4),,))</f>
        <v>32860.386552663353</v>
      </c>
      <c r="K152" s="768">
        <f ca="1">INDIRECT("'kc-Wert für Stützen'!"&amp;SUBSTITUTE(ADDRESS(MATCH($A152,'kc-Wert für Stützen'!$C:$C,0),MATCH(K$7,'kc-Wert für Stützen'!$A$8:$ES$8,0)+7,4),,))</f>
        <v>31967.451883966751</v>
      </c>
      <c r="L152" s="768">
        <f ca="1">INDIRECT("'kc-Wert für Stützen'!"&amp;SUBSTITUTE(ADDRESS(MATCH($A152,'kc-Wert für Stützen'!$C:$C,0),MATCH(L$7,'kc-Wert für Stützen'!$A$8:$ES$8,0)+7,4),,))</f>
        <v>31039.405307741657</v>
      </c>
      <c r="M152" s="768">
        <f ca="1">INDIRECT("'kc-Wert für Stützen'!"&amp;SUBSTITUTE(ADDRESS(MATCH($A152,'kc-Wert für Stützen'!$C:$C,0),MATCH(M$7,'kc-Wert für Stützen'!$A$8:$ES$8,0)+7,4),,))</f>
        <v>30088.083931948582</v>
      </c>
      <c r="N152" s="768">
        <f ca="1">INDIRECT("'kc-Wert für Stützen'!"&amp;SUBSTITUTE(ADDRESS(MATCH($A152,'kc-Wert für Stützen'!$C:$C,0),MATCH(N$7,'kc-Wert für Stützen'!$A$8:$ES$8,0)+7,4),,))</f>
        <v>29125.257174653667</v>
      </c>
      <c r="O152" s="768">
        <f ca="1">INDIRECT("'kc-Wert für Stützen'!"&amp;SUBSTITUTE(ADDRESS(MATCH($A152,'kc-Wert für Stützen'!$C:$C,0),MATCH(O$7,'kc-Wert für Stützen'!$A$8:$ES$8,0)+7,4),,))</f>
        <v>28161.744321131569</v>
      </c>
      <c r="P152" s="768">
        <f ca="1">INDIRECT("'kc-Wert für Stützen'!"&amp;SUBSTITUTE(ADDRESS(MATCH($A152,'kc-Wert für Stützen'!$C:$C,0),MATCH(P$7,'kc-Wert für Stützen'!$A$8:$ES$8,0)+7,4),,))</f>
        <v>27206.857264799506</v>
      </c>
      <c r="S152" s="772">
        <f t="shared" ca="1" si="59"/>
        <v>37052.560717127664</v>
      </c>
      <c r="T152" s="772">
        <f t="shared" ca="1" si="50"/>
        <v>37052.560717127664</v>
      </c>
      <c r="U152" s="772">
        <f t="shared" ca="1" si="50"/>
        <v>37052.560717127664</v>
      </c>
      <c r="V152" s="772">
        <f t="shared" ca="1" si="50"/>
        <v>36506.623340889142</v>
      </c>
      <c r="W152" s="772">
        <f t="shared" ca="1" si="50"/>
        <v>35900.565890456783</v>
      </c>
      <c r="X152" s="772">
        <f t="shared" ca="1" si="50"/>
        <v>35231.722547787242</v>
      </c>
      <c r="Y152" s="772">
        <f t="shared" ca="1" si="50"/>
        <v>34499.785403426045</v>
      </c>
      <c r="Z152" s="772">
        <f t="shared" ca="1" si="50"/>
        <v>37052.560717127664</v>
      </c>
      <c r="AA152" s="772">
        <f t="shared" ca="1" si="50"/>
        <v>37052.560717127664</v>
      </c>
      <c r="AB152" s="772">
        <f t="shared" ca="1" si="57"/>
        <v>36506.623340889142</v>
      </c>
      <c r="AC152" s="772">
        <f t="shared" ca="1" si="57"/>
        <v>36506.623340889142</v>
      </c>
      <c r="AD152" s="772">
        <f t="shared" ca="1" si="57"/>
        <v>35900.565890456783</v>
      </c>
      <c r="AE152" s="772">
        <f t="shared" ca="1" si="57"/>
        <v>35900.565890456783</v>
      </c>
      <c r="AF152" s="772">
        <f t="shared" ca="1" si="57"/>
        <v>35231.722547787242</v>
      </c>
      <c r="AG152" s="772">
        <f t="shared" ca="1" si="57"/>
        <v>35231.722547787242</v>
      </c>
      <c r="AH152" s="772">
        <f t="shared" ca="1" si="57"/>
        <v>35231.722547787242</v>
      </c>
      <c r="AI152" s="772">
        <f t="shared" ca="1" si="57"/>
        <v>37052.560717127664</v>
      </c>
      <c r="AJ152" s="772">
        <f t="shared" ca="1" si="57"/>
        <v>37052.560717127664</v>
      </c>
      <c r="AK152" s="772">
        <f t="shared" ca="1" si="57"/>
        <v>36506.623340889142</v>
      </c>
      <c r="AL152" s="772">
        <f t="shared" ca="1" si="57"/>
        <v>36506.623340889142</v>
      </c>
      <c r="AM152" s="772">
        <f t="shared" ca="1" si="57"/>
        <v>35900.565890456783</v>
      </c>
      <c r="AN152" s="772">
        <f t="shared" ca="1" si="57"/>
        <v>35900.565890456783</v>
      </c>
      <c r="AO152" s="772">
        <f t="shared" ca="1" si="57"/>
        <v>35231.722547787242</v>
      </c>
      <c r="AP152" s="772">
        <f t="shared" ca="1" si="57"/>
        <v>35231.722547787242</v>
      </c>
      <c r="AQ152" s="772">
        <f t="shared" ca="1" si="57"/>
        <v>35231.722547787242</v>
      </c>
      <c r="AR152" s="772">
        <f t="shared" ca="1" si="63"/>
        <v>37052.560717127664</v>
      </c>
      <c r="AS152" s="772">
        <f t="shared" ca="1" si="63"/>
        <v>37052.560717127664</v>
      </c>
      <c r="AT152" s="772">
        <f t="shared" ca="1" si="63"/>
        <v>36506.623340889142</v>
      </c>
      <c r="AU152" s="772">
        <f t="shared" ca="1" si="63"/>
        <v>36506.623340889142</v>
      </c>
      <c r="AV152" s="772">
        <f t="shared" ca="1" si="63"/>
        <v>35900.565890456783</v>
      </c>
      <c r="AW152" s="772">
        <f t="shared" ca="1" si="63"/>
        <v>35900.565890456783</v>
      </c>
      <c r="AX152" s="772">
        <f t="shared" ca="1" si="63"/>
        <v>35231.722547787242</v>
      </c>
      <c r="AY152" s="772">
        <f t="shared" ca="1" si="63"/>
        <v>35231.722547787242</v>
      </c>
      <c r="AZ152" s="772">
        <f t="shared" ca="1" si="63"/>
        <v>35231.722547787242</v>
      </c>
      <c r="BA152" s="772">
        <f t="shared" ca="1" si="63"/>
        <v>37052.560717127664</v>
      </c>
      <c r="BB152" s="772">
        <f t="shared" ca="1" si="62"/>
        <v>37052.560717127664</v>
      </c>
      <c r="BC152" s="772">
        <f t="shared" ca="1" si="62"/>
        <v>36506.623340889142</v>
      </c>
      <c r="BD152" s="772">
        <f t="shared" ca="1" si="62"/>
        <v>35900.565890456783</v>
      </c>
      <c r="BE152" s="772">
        <f t="shared" ca="1" si="62"/>
        <v>35900.565890456783</v>
      </c>
      <c r="BF152" s="772">
        <f t="shared" ca="1" si="62"/>
        <v>35231.722547787242</v>
      </c>
      <c r="BG152" s="772">
        <f t="shared" ca="1" si="62"/>
        <v>35231.722547787242</v>
      </c>
      <c r="BH152" s="772">
        <f t="shared" ca="1" si="65"/>
        <v>34499.785403426045</v>
      </c>
      <c r="BI152" s="772">
        <f t="shared" ca="1" si="65"/>
        <v>34499.785403426045</v>
      </c>
      <c r="BJ152" s="772">
        <f t="shared" ca="1" si="65"/>
        <v>36506.623340889142</v>
      </c>
      <c r="BK152" s="772">
        <f t="shared" ca="1" si="65"/>
        <v>36506.623340889142</v>
      </c>
      <c r="BL152" s="772">
        <f t="shared" ca="1" si="65"/>
        <v>36506.623340889142</v>
      </c>
      <c r="BM152" s="772">
        <f t="shared" ca="1" si="65"/>
        <v>36506.623340889142</v>
      </c>
      <c r="BN152" s="772">
        <f t="shared" ca="1" si="65"/>
        <v>35231.722547787242</v>
      </c>
      <c r="BO152" s="772">
        <f t="shared" ca="1" si="65"/>
        <v>35231.722547787242</v>
      </c>
      <c r="BP152" s="772">
        <f t="shared" ca="1" si="65"/>
        <v>34499.785403426045</v>
      </c>
      <c r="BQ152" s="772">
        <f t="shared" ca="1" si="65"/>
        <v>34499.785403426045</v>
      </c>
      <c r="BR152" s="772">
        <f t="shared" ca="1" si="65"/>
        <v>33707.399709783014</v>
      </c>
      <c r="BS152" s="772">
        <f t="shared" ca="1" si="65"/>
        <v>36506.623340889142</v>
      </c>
      <c r="BT152" s="772">
        <f t="shared" ca="1" si="65"/>
        <v>36506.623340889142</v>
      </c>
      <c r="BU152" s="772">
        <f t="shared" ca="1" si="65"/>
        <v>36506.623340889142</v>
      </c>
      <c r="BV152" s="772">
        <f t="shared" ca="1" si="65"/>
        <v>35900.565890456783</v>
      </c>
      <c r="BW152" s="772">
        <f t="shared" ca="1" si="65"/>
        <v>35900.565890456783</v>
      </c>
      <c r="BX152" s="772">
        <f t="shared" ca="1" si="64"/>
        <v>34499.785403426045</v>
      </c>
      <c r="BY152" s="772">
        <f t="shared" ca="1" si="64"/>
        <v>34499.785403426045</v>
      </c>
      <c r="BZ152" s="772">
        <f t="shared" ca="1" si="64"/>
        <v>33707.399709783014</v>
      </c>
      <c r="CA152" s="772">
        <f t="shared" ca="1" si="64"/>
        <v>33707.399709783014</v>
      </c>
      <c r="CB152" s="772">
        <f t="shared" ca="1" si="64"/>
        <v>35900.565890456783</v>
      </c>
      <c r="CC152" s="772">
        <f t="shared" ca="1" si="64"/>
        <v>35900.565890456783</v>
      </c>
      <c r="CD152" s="772">
        <f t="shared" ca="1" si="64"/>
        <v>35900.565890456783</v>
      </c>
      <c r="CE152" s="772">
        <f t="shared" ca="1" si="64"/>
        <v>35900.565890456783</v>
      </c>
      <c r="CF152" s="772">
        <f t="shared" ca="1" si="64"/>
        <v>35231.722547787242</v>
      </c>
      <c r="CG152" s="772">
        <f t="shared" ca="1" si="64"/>
        <v>34499.785403426045</v>
      </c>
      <c r="CH152" s="772">
        <f t="shared" ca="1" si="64"/>
        <v>33707.399709783014</v>
      </c>
      <c r="CI152" s="772">
        <f t="shared" ca="1" si="64"/>
        <v>33707.399709783014</v>
      </c>
      <c r="CJ152" s="772">
        <f t="shared" ca="1" si="64"/>
        <v>32860.386552663353</v>
      </c>
    </row>
    <row r="153" spans="1:88" ht="15" customHeight="1">
      <c r="A153" s="770">
        <f>'kc-Wert für Stützen'!C153</f>
        <v>205</v>
      </c>
      <c r="B153" s="768">
        <f ca="1">INDIRECT("'kc-Wert für Stützen'!"&amp;SUBSTITUTE(ADDRESS(MATCH($A153,'kc-Wert für Stützen'!$C:$C,0),MATCH(B$7,'kc-Wert für Stützen'!$A$8:$ES$8,0)+7,4),,))</f>
        <v>38412.263721503477</v>
      </c>
      <c r="C153" s="768">
        <f ca="1">INDIRECT("'kc-Wert für Stützen'!"&amp;SUBSTITUTE(ADDRESS(MATCH($A153,'kc-Wert für Stützen'!$C:$C,0),MATCH(C$7,'kc-Wert für Stützen'!$A$8:$ES$8,0)+7,4),,))</f>
        <v>37977.367631236681</v>
      </c>
      <c r="D153" s="768">
        <f ca="1">INDIRECT("'kc-Wert für Stützen'!"&amp;SUBSTITUTE(ADDRESS(MATCH($A153,'kc-Wert für Stützen'!$C:$C,0),MATCH(D$7,'kc-Wert für Stützen'!$A$8:$ES$8,0)+7,4),,))</f>
        <v>37492.541793124066</v>
      </c>
      <c r="E153" s="768">
        <f ca="1">INDIRECT("'kc-Wert für Stützen'!"&amp;SUBSTITUTE(ADDRESS(MATCH($A153,'kc-Wert für Stützen'!$C:$C,0),MATCH(E$7,'kc-Wert für Stützen'!$A$8:$ES$8,0)+7,4),,))</f>
        <v>36952.58100567681</v>
      </c>
      <c r="F153" s="768">
        <f ca="1">INDIRECT("'kc-Wert für Stützen'!"&amp;SUBSTITUTE(ADDRESS(MATCH($A153,'kc-Wert für Stützen'!$C:$C,0),MATCH(F$7,'kc-Wert für Stützen'!$A$8:$ES$8,0)+7,4),,))</f>
        <v>36353.060645973412</v>
      </c>
      <c r="G153" s="768">
        <f ca="1">INDIRECT("'kc-Wert für Stützen'!"&amp;SUBSTITUTE(ADDRESS(MATCH($A153,'kc-Wert für Stützen'!$C:$C,0),MATCH(G$7,'kc-Wert für Stützen'!$A$8:$ES$8,0)+7,4),,))</f>
        <v>35691.03175503642</v>
      </c>
      <c r="H153" s="768">
        <f ca="1">INDIRECT("'kc-Wert für Stützen'!"&amp;SUBSTITUTE(ADDRESS(MATCH($A153,'kc-Wert für Stützen'!$C:$C,0),MATCH(H$7,'kc-Wert für Stützen'!$A$8:$ES$8,0)+7,4),,))</f>
        <v>34965.768976258667</v>
      </c>
      <c r="I153" s="768">
        <f ca="1">INDIRECT("'kc-Wert für Stützen'!"&amp;SUBSTITUTE(ADDRESS(MATCH($A153,'kc-Wert für Stützen'!$C:$C,0),MATCH(I$7,'kc-Wert für Stützen'!$A$8:$ES$8,0)+7,4),,))</f>
        <v>34179.396692201815</v>
      </c>
      <c r="J153" s="768">
        <f ca="1">INDIRECT("'kc-Wert für Stützen'!"&amp;SUBSTITUTE(ADDRESS(MATCH($A153,'kc-Wert für Stützen'!$C:$C,0),MATCH(J$7,'kc-Wert für Stützen'!$A$8:$ES$8,0)+7,4),,))</f>
        <v>33337.181564297447</v>
      </c>
      <c r="K153" s="768">
        <f ca="1">INDIRECT("'kc-Wert für Stützen'!"&amp;SUBSTITUTE(ADDRESS(MATCH($A153,'kc-Wert für Stützen'!$C:$C,0),MATCH(K$7,'kc-Wert für Stützen'!$A$8:$ES$8,0)+7,4),,))</f>
        <v>32447.33448852583</v>
      </c>
      <c r="L153" s="768">
        <f ca="1">INDIRECT("'kc-Wert für Stützen'!"&amp;SUBSTITUTE(ADDRESS(MATCH($A153,'kc-Wert für Stützen'!$C:$C,0),MATCH(L$7,'kc-Wert für Stützen'!$A$8:$ES$8,0)+7,4),,))</f>
        <v>31520.31432427551</v>
      </c>
      <c r="M153" s="768">
        <f ca="1">INDIRECT("'kc-Wert für Stützen'!"&amp;SUBSTITUTE(ADDRESS(MATCH($A153,'kc-Wert für Stützen'!$C:$C,0),MATCH(M$7,'kc-Wert für Stützen'!$A$8:$ES$8,0)+7,4),,))</f>
        <v>30567.799310784976</v>
      </c>
      <c r="N153" s="768">
        <f ca="1">INDIRECT("'kc-Wert für Stützen'!"&amp;SUBSTITUTE(ADDRESS(MATCH($A153,'kc-Wert für Stützen'!$C:$C,0),MATCH(N$7,'kc-Wert für Stützen'!$A$8:$ES$8,0)+7,4),,))</f>
        <v>29601.590947125784</v>
      </c>
      <c r="O153" s="768">
        <f ca="1">INDIRECT("'kc-Wert für Stützen'!"&amp;SUBSTITUTE(ADDRESS(MATCH($A153,'kc-Wert für Stützen'!$C:$C,0),MATCH(O$7,'kc-Wert für Stützen'!$A$8:$ES$8,0)+7,4),,))</f>
        <v>28632.692352342503</v>
      </c>
      <c r="P153" s="768">
        <f ca="1">INDIRECT("'kc-Wert für Stützen'!"&amp;SUBSTITUTE(ADDRESS(MATCH($A153,'kc-Wert für Stützen'!$C:$C,0),MATCH(P$7,'kc-Wert für Stützen'!$A$8:$ES$8,0)+7,4),,))</f>
        <v>27670.694693494032</v>
      </c>
      <c r="S153" s="772">
        <f t="shared" ca="1" si="59"/>
        <v>37492.541793124066</v>
      </c>
      <c r="T153" s="772">
        <f t="shared" ca="1" si="50"/>
        <v>37492.541793124066</v>
      </c>
      <c r="U153" s="772">
        <f t="shared" ca="1" si="50"/>
        <v>37492.541793124066</v>
      </c>
      <c r="V153" s="772">
        <f t="shared" ca="1" si="50"/>
        <v>36952.58100567681</v>
      </c>
      <c r="W153" s="772">
        <f t="shared" ca="1" si="50"/>
        <v>36353.060645973412</v>
      </c>
      <c r="X153" s="772">
        <f t="shared" ca="1" si="50"/>
        <v>35691.03175503642</v>
      </c>
      <c r="Y153" s="772">
        <f t="shared" ca="1" si="50"/>
        <v>34965.768976258667</v>
      </c>
      <c r="Z153" s="772">
        <f t="shared" ca="1" si="50"/>
        <v>37492.541793124066</v>
      </c>
      <c r="AA153" s="772">
        <f t="shared" ca="1" si="50"/>
        <v>37492.541793124066</v>
      </c>
      <c r="AB153" s="772">
        <f t="shared" ca="1" si="57"/>
        <v>36952.58100567681</v>
      </c>
      <c r="AC153" s="772">
        <f t="shared" ca="1" si="57"/>
        <v>36952.58100567681</v>
      </c>
      <c r="AD153" s="772">
        <f t="shared" ca="1" si="57"/>
        <v>36353.060645973412</v>
      </c>
      <c r="AE153" s="772">
        <f t="shared" ca="1" si="57"/>
        <v>36353.060645973412</v>
      </c>
      <c r="AF153" s="772">
        <f t="shared" ca="1" si="57"/>
        <v>35691.03175503642</v>
      </c>
      <c r="AG153" s="772">
        <f t="shared" ca="1" si="57"/>
        <v>35691.03175503642</v>
      </c>
      <c r="AH153" s="772">
        <f t="shared" ca="1" si="57"/>
        <v>35691.03175503642</v>
      </c>
      <c r="AI153" s="772">
        <f t="shared" ca="1" si="57"/>
        <v>37492.541793124066</v>
      </c>
      <c r="AJ153" s="772">
        <f t="shared" ca="1" si="57"/>
        <v>37492.541793124066</v>
      </c>
      <c r="AK153" s="772">
        <f t="shared" ca="1" si="57"/>
        <v>36952.58100567681</v>
      </c>
      <c r="AL153" s="772">
        <f t="shared" ca="1" si="57"/>
        <v>36952.58100567681</v>
      </c>
      <c r="AM153" s="772">
        <f t="shared" ca="1" si="57"/>
        <v>36353.060645973412</v>
      </c>
      <c r="AN153" s="772">
        <f t="shared" ca="1" si="57"/>
        <v>36353.060645973412</v>
      </c>
      <c r="AO153" s="772">
        <f t="shared" ca="1" si="57"/>
        <v>35691.03175503642</v>
      </c>
      <c r="AP153" s="772">
        <f t="shared" ca="1" si="57"/>
        <v>35691.03175503642</v>
      </c>
      <c r="AQ153" s="772">
        <f t="shared" ca="1" si="57"/>
        <v>35691.03175503642</v>
      </c>
      <c r="AR153" s="772">
        <f t="shared" ca="1" si="63"/>
        <v>37492.541793124066</v>
      </c>
      <c r="AS153" s="772">
        <f t="shared" ca="1" si="63"/>
        <v>37492.541793124066</v>
      </c>
      <c r="AT153" s="772">
        <f t="shared" ca="1" si="63"/>
        <v>36952.58100567681</v>
      </c>
      <c r="AU153" s="772">
        <f t="shared" ca="1" si="63"/>
        <v>36952.58100567681</v>
      </c>
      <c r="AV153" s="772">
        <f t="shared" ca="1" si="63"/>
        <v>36353.060645973412</v>
      </c>
      <c r="AW153" s="772">
        <f t="shared" ca="1" si="63"/>
        <v>36353.060645973412</v>
      </c>
      <c r="AX153" s="772">
        <f t="shared" ca="1" si="63"/>
        <v>35691.03175503642</v>
      </c>
      <c r="AY153" s="772">
        <f t="shared" ca="1" si="63"/>
        <v>35691.03175503642</v>
      </c>
      <c r="AZ153" s="772">
        <f t="shared" ca="1" si="63"/>
        <v>35691.03175503642</v>
      </c>
      <c r="BA153" s="772">
        <f t="shared" ca="1" si="63"/>
        <v>37492.541793124066</v>
      </c>
      <c r="BB153" s="772">
        <f t="shared" ref="BB153:BG160" ca="1" si="66">HLOOKUP(BB$7,$A$7:$P$348,ROW()-6)</f>
        <v>37492.541793124066</v>
      </c>
      <c r="BC153" s="772">
        <f t="shared" ca="1" si="66"/>
        <v>36952.58100567681</v>
      </c>
      <c r="BD153" s="772">
        <f t="shared" ca="1" si="66"/>
        <v>36353.060645973412</v>
      </c>
      <c r="BE153" s="772">
        <f t="shared" ca="1" si="66"/>
        <v>36353.060645973412</v>
      </c>
      <c r="BF153" s="772">
        <f t="shared" ca="1" si="66"/>
        <v>35691.03175503642</v>
      </c>
      <c r="BG153" s="772">
        <f t="shared" ca="1" si="66"/>
        <v>35691.03175503642</v>
      </c>
      <c r="BH153" s="772">
        <f t="shared" ca="1" si="65"/>
        <v>34965.768976258667</v>
      </c>
      <c r="BI153" s="772">
        <f t="shared" ca="1" si="65"/>
        <v>34965.768976258667</v>
      </c>
      <c r="BJ153" s="772">
        <f t="shared" ca="1" si="65"/>
        <v>36952.58100567681</v>
      </c>
      <c r="BK153" s="772">
        <f t="shared" ca="1" si="65"/>
        <v>36952.58100567681</v>
      </c>
      <c r="BL153" s="772">
        <f t="shared" ca="1" si="65"/>
        <v>36952.58100567681</v>
      </c>
      <c r="BM153" s="772">
        <f t="shared" ca="1" si="65"/>
        <v>36952.58100567681</v>
      </c>
      <c r="BN153" s="772">
        <f t="shared" ca="1" si="65"/>
        <v>35691.03175503642</v>
      </c>
      <c r="BO153" s="772">
        <f t="shared" ca="1" si="65"/>
        <v>35691.03175503642</v>
      </c>
      <c r="BP153" s="772">
        <f t="shared" ca="1" si="65"/>
        <v>34965.768976258667</v>
      </c>
      <c r="BQ153" s="772">
        <f t="shared" ca="1" si="65"/>
        <v>34965.768976258667</v>
      </c>
      <c r="BR153" s="772">
        <f t="shared" ca="1" si="65"/>
        <v>34179.396692201815</v>
      </c>
      <c r="BS153" s="772">
        <f t="shared" ca="1" si="65"/>
        <v>36952.58100567681</v>
      </c>
      <c r="BT153" s="772">
        <f t="shared" ca="1" si="65"/>
        <v>36952.58100567681</v>
      </c>
      <c r="BU153" s="772">
        <f t="shared" ca="1" si="65"/>
        <v>36952.58100567681</v>
      </c>
      <c r="BV153" s="772">
        <f t="shared" ca="1" si="65"/>
        <v>36353.060645973412</v>
      </c>
      <c r="BW153" s="772">
        <f t="shared" ca="1" si="65"/>
        <v>36353.060645973412</v>
      </c>
      <c r="BX153" s="772">
        <f t="shared" ca="1" si="64"/>
        <v>34965.768976258667</v>
      </c>
      <c r="BY153" s="772">
        <f t="shared" ca="1" si="64"/>
        <v>34965.768976258667</v>
      </c>
      <c r="BZ153" s="772">
        <f t="shared" ca="1" si="64"/>
        <v>34179.396692201815</v>
      </c>
      <c r="CA153" s="772">
        <f t="shared" ca="1" si="64"/>
        <v>34179.396692201815</v>
      </c>
      <c r="CB153" s="772">
        <f t="shared" ca="1" si="64"/>
        <v>36353.060645973412</v>
      </c>
      <c r="CC153" s="772">
        <f t="shared" ca="1" si="64"/>
        <v>36353.060645973412</v>
      </c>
      <c r="CD153" s="772">
        <f t="shared" ca="1" si="64"/>
        <v>36353.060645973412</v>
      </c>
      <c r="CE153" s="772">
        <f t="shared" ca="1" si="64"/>
        <v>36353.060645973412</v>
      </c>
      <c r="CF153" s="772">
        <f t="shared" ca="1" si="64"/>
        <v>35691.03175503642</v>
      </c>
      <c r="CG153" s="772">
        <f t="shared" ca="1" si="64"/>
        <v>34965.768976258667</v>
      </c>
      <c r="CH153" s="772">
        <f t="shared" ca="1" si="64"/>
        <v>34179.396692201815</v>
      </c>
      <c r="CI153" s="772">
        <f t="shared" ca="1" si="64"/>
        <v>34179.396692201815</v>
      </c>
      <c r="CJ153" s="772">
        <f t="shared" ca="1" si="64"/>
        <v>33337.181564297447</v>
      </c>
    </row>
    <row r="154" spans="1:88" ht="15" customHeight="1">
      <c r="A154" s="770">
        <f>'kc-Wert für Stützen'!C154</f>
        <v>206</v>
      </c>
      <c r="B154" s="768">
        <f ca="1">INDIRECT("'kc-Wert für Stützen'!"&amp;SUBSTITUTE(ADDRESS(MATCH($A154,'kc-Wert für Stützen'!$C:$C,0),MATCH(B$7,'kc-Wert für Stützen'!$A$8:$ES$8,0)+7,4),,))</f>
        <v>38844.031825800615</v>
      </c>
      <c r="C154" s="768">
        <f ca="1">INDIRECT("'kc-Wert für Stützen'!"&amp;SUBSTITUTE(ADDRESS(MATCH($A154,'kc-Wert für Stützen'!$C:$C,0),MATCH(C$7,'kc-Wert für Stützen'!$A$8:$ES$8,0)+7,4),,))</f>
        <v>38413.527570425344</v>
      </c>
      <c r="D154" s="768">
        <f ca="1">INDIRECT("'kc-Wert für Stützen'!"&amp;SUBSTITUTE(ADDRESS(MATCH($A154,'kc-Wert für Stützen'!$C:$C,0),MATCH(D$7,'kc-Wert für Stützen'!$A$8:$ES$8,0)+7,4),,))</f>
        <v>37933.855433657103</v>
      </c>
      <c r="E154" s="768">
        <f ca="1">INDIRECT("'kc-Wert für Stützen'!"&amp;SUBSTITUTE(ADDRESS(MATCH($A154,'kc-Wert für Stützen'!$C:$C,0),MATCH(E$7,'kc-Wert für Stützen'!$A$8:$ES$8,0)+7,4),,))</f>
        <v>37399.772150204488</v>
      </c>
      <c r="F154" s="768">
        <f ca="1">INDIRECT("'kc-Wert für Stützen'!"&amp;SUBSTITUTE(ADDRESS(MATCH($A154,'kc-Wert für Stützen'!$C:$C,0),MATCH(F$7,'kc-Wert für Stützen'!$A$8:$ES$8,0)+7,4),,))</f>
        <v>36806.718016522311</v>
      </c>
      <c r="G154" s="768">
        <f ca="1">INDIRECT("'kc-Wert für Stützen'!"&amp;SUBSTITUTE(ADDRESS(MATCH($A154,'kc-Wert für Stützen'!$C:$C,0),MATCH(G$7,'kc-Wert für Stützen'!$A$8:$ES$8,0)+7,4),,))</f>
        <v>36151.484372549494</v>
      </c>
      <c r="H154" s="768">
        <f ca="1">INDIRECT("'kc-Wert für Stützen'!"&amp;SUBSTITUTE(ADDRESS(MATCH($A154,'kc-Wert für Stützen'!$C:$C,0),MATCH(H$7,'kc-Wert für Stützen'!$A$8:$ES$8,0)+7,4),,))</f>
        <v>35432.952468812582</v>
      </c>
      <c r="I154" s="768">
        <f ca="1">INDIRECT("'kc-Wert für Stützen'!"&amp;SUBSTITUTE(ADDRESS(MATCH($A154,'kc-Wert für Stützen'!$C:$C,0),MATCH(I$7,'kc-Wert für Stützen'!$A$8:$ES$8,0)+7,4),,))</f>
        <v>34652.743708283146</v>
      </c>
      <c r="J154" s="768">
        <f ca="1">INDIRECT("'kc-Wert für Stützen'!"&amp;SUBSTITUTE(ADDRESS(MATCH($A154,'kc-Wert für Stützen'!$C:$C,0),MATCH(J$7,'kc-Wert für Stützen'!$A$8:$ES$8,0)+7,4),,))</f>
        <v>33815.575034318514</v>
      </c>
      <c r="K154" s="768">
        <f ca="1">INDIRECT("'kc-Wert für Stützen'!"&amp;SUBSTITUTE(ADDRESS(MATCH($A154,'kc-Wert für Stützen'!$C:$C,0),MATCH(K$7,'kc-Wert für Stützen'!$A$8:$ES$8,0)+7,4),,))</f>
        <v>32929.150160206947</v>
      </c>
      <c r="L154" s="768">
        <f ca="1">INDIRECT("'kc-Wert für Stützen'!"&amp;SUBSTITUTE(ADDRESS(MATCH($A154,'kc-Wert für Stützen'!$C:$C,0),MATCH(L$7,'kc-Wert für Stützen'!$A$8:$ES$8,0)+7,4),,))</f>
        <v>32003.550376063744</v>
      </c>
      <c r="M154" s="768">
        <f ca="1">INDIRECT("'kc-Wert für Stützen'!"&amp;SUBSTITUTE(ADDRESS(MATCH($A154,'kc-Wert für Stützen'!$C:$C,0),MATCH(M$7,'kc-Wert für Stützen'!$A$8:$ES$8,0)+7,4),,))</f>
        <v>31050.260597600438</v>
      </c>
      <c r="N154" s="768">
        <f ca="1">INDIRECT("'kc-Wert für Stützen'!"&amp;SUBSTITUTE(ADDRESS(MATCH($A154,'kc-Wert für Stützen'!$C:$C,0),MATCH(N$7,'kc-Wert für Stützen'!$A$8:$ES$8,0)+7,4),,))</f>
        <v>30081.080784190955</v>
      </c>
      <c r="O154" s="768">
        <f ca="1">INDIRECT("'kc-Wert für Stützen'!"&amp;SUBSTITUTE(ADDRESS(MATCH($A154,'kc-Wert für Stützen'!$C:$C,0),MATCH(O$7,'kc-Wert für Stützen'!$A$8:$ES$8,0)+7,4),,))</f>
        <v>29107.171399880379</v>
      </c>
      <c r="P154" s="768">
        <f ca="1">INDIRECT("'kc-Wert für Stützen'!"&amp;SUBSTITUTE(ADDRESS(MATCH($A154,'kc-Wert für Stützen'!$C:$C,0),MATCH(P$7,'kc-Wert für Stützen'!$A$8:$ES$8,0)+7,4),,))</f>
        <v>28138.386139054142</v>
      </c>
      <c r="S154" s="772">
        <f t="shared" ca="1" si="59"/>
        <v>37933.855433657103</v>
      </c>
      <c r="T154" s="772">
        <f t="shared" ca="1" si="50"/>
        <v>37933.855433657103</v>
      </c>
      <c r="U154" s="772">
        <f t="shared" ca="1" si="50"/>
        <v>37933.855433657103</v>
      </c>
      <c r="V154" s="772">
        <f t="shared" ca="1" si="50"/>
        <v>37399.772150204488</v>
      </c>
      <c r="W154" s="772">
        <f t="shared" ca="1" si="50"/>
        <v>36806.718016522311</v>
      </c>
      <c r="X154" s="772">
        <f t="shared" ca="1" si="50"/>
        <v>36151.484372549494</v>
      </c>
      <c r="Y154" s="772">
        <f t="shared" ca="1" si="50"/>
        <v>35432.952468812582</v>
      </c>
      <c r="Z154" s="772">
        <f t="shared" ca="1" si="50"/>
        <v>37933.855433657103</v>
      </c>
      <c r="AA154" s="772">
        <f t="shared" ca="1" si="50"/>
        <v>37933.855433657103</v>
      </c>
      <c r="AB154" s="772">
        <f t="shared" ca="1" si="57"/>
        <v>37399.772150204488</v>
      </c>
      <c r="AC154" s="772">
        <f t="shared" ca="1" si="57"/>
        <v>37399.772150204488</v>
      </c>
      <c r="AD154" s="772">
        <f t="shared" ca="1" si="57"/>
        <v>36806.718016522311</v>
      </c>
      <c r="AE154" s="772">
        <f t="shared" ca="1" si="57"/>
        <v>36806.718016522311</v>
      </c>
      <c r="AF154" s="772">
        <f t="shared" ca="1" si="57"/>
        <v>36151.484372549494</v>
      </c>
      <c r="AG154" s="772">
        <f t="shared" ca="1" si="57"/>
        <v>36151.484372549494</v>
      </c>
      <c r="AH154" s="772">
        <f t="shared" ca="1" si="57"/>
        <v>36151.484372549494</v>
      </c>
      <c r="AI154" s="772">
        <f t="shared" ca="1" si="57"/>
        <v>37933.855433657103</v>
      </c>
      <c r="AJ154" s="772">
        <f t="shared" ca="1" si="57"/>
        <v>37933.855433657103</v>
      </c>
      <c r="AK154" s="772">
        <f t="shared" ca="1" si="57"/>
        <v>37399.772150204488</v>
      </c>
      <c r="AL154" s="772">
        <f t="shared" ca="1" si="57"/>
        <v>37399.772150204488</v>
      </c>
      <c r="AM154" s="772">
        <f t="shared" ca="1" si="57"/>
        <v>36806.718016522311</v>
      </c>
      <c r="AN154" s="772">
        <f t="shared" ca="1" si="57"/>
        <v>36806.718016522311</v>
      </c>
      <c r="AO154" s="772">
        <f t="shared" ca="1" si="57"/>
        <v>36151.484372549494</v>
      </c>
      <c r="AP154" s="772">
        <f t="shared" ca="1" si="57"/>
        <v>36151.484372549494</v>
      </c>
      <c r="AQ154" s="772">
        <f t="shared" ca="1" si="57"/>
        <v>36151.484372549494</v>
      </c>
      <c r="AR154" s="772">
        <f t="shared" ref="AR154:BA160" ca="1" si="67">HLOOKUP(AR$7,$A$7:$P$348,ROW()-6)</f>
        <v>37933.855433657103</v>
      </c>
      <c r="AS154" s="772">
        <f t="shared" ca="1" si="67"/>
        <v>37933.855433657103</v>
      </c>
      <c r="AT154" s="772">
        <f t="shared" ca="1" si="67"/>
        <v>37399.772150204488</v>
      </c>
      <c r="AU154" s="772">
        <f t="shared" ca="1" si="67"/>
        <v>37399.772150204488</v>
      </c>
      <c r="AV154" s="772">
        <f t="shared" ca="1" si="67"/>
        <v>36806.718016522311</v>
      </c>
      <c r="AW154" s="772">
        <f t="shared" ca="1" si="67"/>
        <v>36806.718016522311</v>
      </c>
      <c r="AX154" s="772">
        <f t="shared" ca="1" si="67"/>
        <v>36151.484372549494</v>
      </c>
      <c r="AY154" s="772">
        <f t="shared" ca="1" si="67"/>
        <v>36151.484372549494</v>
      </c>
      <c r="AZ154" s="772">
        <f t="shared" ca="1" si="67"/>
        <v>36151.484372549494</v>
      </c>
      <c r="BA154" s="772">
        <f t="shared" ca="1" si="67"/>
        <v>37933.855433657103</v>
      </c>
      <c r="BB154" s="772">
        <f t="shared" ca="1" si="66"/>
        <v>37933.855433657103</v>
      </c>
      <c r="BC154" s="772">
        <f t="shared" ca="1" si="66"/>
        <v>37399.772150204488</v>
      </c>
      <c r="BD154" s="772">
        <f t="shared" ca="1" si="66"/>
        <v>36806.718016522311</v>
      </c>
      <c r="BE154" s="772">
        <f t="shared" ca="1" si="66"/>
        <v>36806.718016522311</v>
      </c>
      <c r="BF154" s="772">
        <f t="shared" ca="1" si="66"/>
        <v>36151.484372549494</v>
      </c>
      <c r="BG154" s="772">
        <f t="shared" ca="1" si="66"/>
        <v>36151.484372549494</v>
      </c>
      <c r="BH154" s="772">
        <f t="shared" ca="1" si="65"/>
        <v>35432.952468812582</v>
      </c>
      <c r="BI154" s="772">
        <f t="shared" ca="1" si="65"/>
        <v>35432.952468812582</v>
      </c>
      <c r="BJ154" s="772">
        <f t="shared" ca="1" si="65"/>
        <v>37399.772150204488</v>
      </c>
      <c r="BK154" s="772">
        <f t="shared" ca="1" si="65"/>
        <v>37399.772150204488</v>
      </c>
      <c r="BL154" s="772">
        <f t="shared" ca="1" si="65"/>
        <v>37399.772150204488</v>
      </c>
      <c r="BM154" s="772">
        <f t="shared" ca="1" si="65"/>
        <v>37399.772150204488</v>
      </c>
      <c r="BN154" s="772">
        <f t="shared" ca="1" si="65"/>
        <v>36151.484372549494</v>
      </c>
      <c r="BO154" s="772">
        <f t="shared" ca="1" si="65"/>
        <v>36151.484372549494</v>
      </c>
      <c r="BP154" s="772">
        <f t="shared" ca="1" si="65"/>
        <v>35432.952468812582</v>
      </c>
      <c r="BQ154" s="772">
        <f t="shared" ca="1" si="65"/>
        <v>35432.952468812582</v>
      </c>
      <c r="BR154" s="772">
        <f t="shared" ca="1" si="65"/>
        <v>34652.743708283146</v>
      </c>
      <c r="BS154" s="772">
        <f t="shared" ca="1" si="65"/>
        <v>37399.772150204488</v>
      </c>
      <c r="BT154" s="772">
        <f t="shared" ca="1" si="65"/>
        <v>37399.772150204488</v>
      </c>
      <c r="BU154" s="772">
        <f t="shared" ca="1" si="65"/>
        <v>37399.772150204488</v>
      </c>
      <c r="BV154" s="772">
        <f t="shared" ca="1" si="65"/>
        <v>36806.718016522311</v>
      </c>
      <c r="BW154" s="772">
        <f t="shared" ca="1" si="65"/>
        <v>36806.718016522311</v>
      </c>
      <c r="BX154" s="772">
        <f t="shared" ca="1" si="64"/>
        <v>35432.952468812582</v>
      </c>
      <c r="BY154" s="772">
        <f t="shared" ca="1" si="64"/>
        <v>35432.952468812582</v>
      </c>
      <c r="BZ154" s="772">
        <f t="shared" ca="1" si="64"/>
        <v>34652.743708283146</v>
      </c>
      <c r="CA154" s="772">
        <f t="shared" ca="1" si="64"/>
        <v>34652.743708283146</v>
      </c>
      <c r="CB154" s="772">
        <f t="shared" ca="1" si="64"/>
        <v>36806.718016522311</v>
      </c>
      <c r="CC154" s="772">
        <f t="shared" ca="1" si="64"/>
        <v>36806.718016522311</v>
      </c>
      <c r="CD154" s="772">
        <f t="shared" ca="1" si="64"/>
        <v>36806.718016522311</v>
      </c>
      <c r="CE154" s="772">
        <f t="shared" ca="1" si="64"/>
        <v>36806.718016522311</v>
      </c>
      <c r="CF154" s="772">
        <f t="shared" ca="1" si="64"/>
        <v>36151.484372549494</v>
      </c>
      <c r="CG154" s="772">
        <f t="shared" ca="1" si="64"/>
        <v>35432.952468812582</v>
      </c>
      <c r="CH154" s="772">
        <f t="shared" ca="1" si="64"/>
        <v>34652.743708283146</v>
      </c>
      <c r="CI154" s="772">
        <f t="shared" ca="1" si="64"/>
        <v>34652.743708283146</v>
      </c>
      <c r="CJ154" s="772">
        <f t="shared" ca="1" si="64"/>
        <v>33815.575034318514</v>
      </c>
    </row>
    <row r="155" spans="1:88" ht="15" customHeight="1">
      <c r="A155" s="770">
        <f>'kc-Wert für Stützen'!C155</f>
        <v>207</v>
      </c>
      <c r="B155" s="768">
        <f ca="1">INDIRECT("'kc-Wert für Stützen'!"&amp;SUBSTITUTE(ADDRESS(MATCH($A155,'kc-Wert für Stützen'!$C:$C,0),MATCH(B$7,'kc-Wert für Stützen'!$A$8:$ES$8,0)+7,4),,))</f>
        <v>39277.360595496968</v>
      </c>
      <c r="C155" s="768">
        <f ca="1">INDIRECT("'kc-Wert für Stützen'!"&amp;SUBSTITUTE(ADDRESS(MATCH($A155,'kc-Wert für Stützen'!$C:$C,0),MATCH(C$7,'kc-Wert für Stützen'!$A$8:$ES$8,0)+7,4),,))</f>
        <v>38851.144022323962</v>
      </c>
      <c r="D155" s="768">
        <f ca="1">INDIRECT("'kc-Wert für Stützen'!"&amp;SUBSTITUTE(ADDRESS(MATCH($A155,'kc-Wert für Stützen'!$C:$C,0),MATCH(D$7,'kc-Wert für Stützen'!$A$8:$ES$8,0)+7,4),,))</f>
        <v>38376.517233185848</v>
      </c>
      <c r="E155" s="768">
        <f ca="1">INDIRECT("'kc-Wert für Stützen'!"&amp;SUBSTITUTE(ADDRESS(MATCH($A155,'kc-Wert für Stützen'!$C:$C,0),MATCH(E$7,'kc-Wert für Stützen'!$A$8:$ES$8,0)+7,4),,))</f>
        <v>37848.210404762962</v>
      </c>
      <c r="F155" s="768">
        <f ca="1">INDIRECT("'kc-Wert für Stützen'!"&amp;SUBSTITUTE(ADDRESS(MATCH($A155,'kc-Wert für Stützen'!$C:$C,0),MATCH(F$7,'kc-Wert für Stützen'!$A$8:$ES$8,0)+7,4),,))</f>
        <v>37261.546248111321</v>
      </c>
      <c r="G155" s="768">
        <f ca="1">INDIRECT("'kc-Wert für Stützen'!"&amp;SUBSTITUTE(ADDRESS(MATCH($A155,'kc-Wert für Stützen'!$C:$C,0),MATCH(G$7,'kc-Wert für Stützen'!$A$8:$ES$8,0)+7,4),,))</f>
        <v>36613.078973650961</v>
      </c>
      <c r="H155" s="768">
        <f ca="1">INDIRECT("'kc-Wert für Stützen'!"&amp;SUBSTITUTE(ADDRESS(MATCH($A155,'kc-Wert für Stützen'!$C:$C,0),MATCH(H$7,'kc-Wert für Stützen'!$A$8:$ES$8,0)+7,4),,))</f>
        <v>35901.32045236697</v>
      </c>
      <c r="I155" s="768">
        <f ca="1">INDIRECT("'kc-Wert für Stützen'!"&amp;SUBSTITUTE(ADDRESS(MATCH($A155,'kc-Wert für Stützen'!$C:$C,0),MATCH(I$7,'kc-Wert für Stützen'!$A$8:$ES$8,0)+7,4),,))</f>
        <v>35127.408241910518</v>
      </c>
      <c r="J155" s="768">
        <f ca="1">INDIRECT("'kc-Wert für Stützen'!"&amp;SUBSTITUTE(ADDRESS(MATCH($A155,'kc-Wert für Stützen'!$C:$C,0),MATCH(J$7,'kc-Wert für Stützen'!$A$8:$ES$8,0)+7,4),,))</f>
        <v>34295.516771569623</v>
      </c>
      <c r="K155" s="768">
        <f ca="1">INDIRECT("'kc-Wert für Stützen'!"&amp;SUBSTITUTE(ADDRESS(MATCH($A155,'kc-Wert für Stützen'!$C:$C,0),MATCH(K$7,'kc-Wert für Stützen'!$A$8:$ES$8,0)+7,4),,))</f>
        <v>33412.833496562511</v>
      </c>
      <c r="L155" s="768">
        <f ca="1">INDIRECT("'kc-Wert für Stützen'!"&amp;SUBSTITUTE(ADDRESS(MATCH($A155,'kc-Wert für Stützen'!$C:$C,0),MATCH(L$7,'kc-Wert für Stützen'!$A$8:$ES$8,0)+7,4),,))</f>
        <v>32489.037855185554</v>
      </c>
      <c r="M155" s="768">
        <f ca="1">INDIRECT("'kc-Wert für Stützen'!"&amp;SUBSTITUTE(ADDRESS(MATCH($A155,'kc-Wert für Stützen'!$C:$C,0),MATCH(M$7,'kc-Wert für Stützen'!$A$8:$ES$8,0)+7,4),,))</f>
        <v>31535.388206994052</v>
      </c>
      <c r="N155" s="768">
        <f ca="1">INDIRECT("'kc-Wert für Stützen'!"&amp;SUBSTITUTE(ADDRESS(MATCH($A155,'kc-Wert für Stützen'!$C:$C,0),MATCH(N$7,'kc-Wert für Stützen'!$A$8:$ES$8,0)+7,4),,))</f>
        <v>30563.649105069155</v>
      </c>
      <c r="O155" s="768">
        <f ca="1">INDIRECT("'kc-Wert für Stützen'!"&amp;SUBSTITUTE(ADDRESS(MATCH($A155,'kc-Wert für Stützen'!$C:$C,0),MATCH(O$7,'kc-Wert für Stützen'!$A$8:$ES$8,0)+7,4),,))</f>
        <v>29585.110588512558</v>
      </c>
      <c r="P155" s="768">
        <f ca="1">INDIRECT("'kc-Wert für Stützen'!"&amp;SUBSTITUTE(ADDRESS(MATCH($A155,'kc-Wert für Stützen'!$C:$C,0),MATCH(P$7,'kc-Wert für Stützen'!$A$8:$ES$8,0)+7,4),,))</f>
        <v>28609.87044969327</v>
      </c>
      <c r="S155" s="772">
        <f t="shared" ca="1" si="59"/>
        <v>38376.517233185848</v>
      </c>
      <c r="T155" s="772">
        <f t="shared" ca="1" si="50"/>
        <v>38376.517233185848</v>
      </c>
      <c r="U155" s="772">
        <f t="shared" ca="1" si="50"/>
        <v>38376.517233185848</v>
      </c>
      <c r="V155" s="772">
        <f t="shared" ca="1" si="50"/>
        <v>37848.210404762962</v>
      </c>
      <c r="W155" s="772">
        <f t="shared" ca="1" si="50"/>
        <v>37261.546248111321</v>
      </c>
      <c r="X155" s="772">
        <f t="shared" ca="1" si="50"/>
        <v>36613.078973650961</v>
      </c>
      <c r="Y155" s="772">
        <f t="shared" ca="1" si="50"/>
        <v>35901.32045236697</v>
      </c>
      <c r="Z155" s="772">
        <f t="shared" ca="1" si="50"/>
        <v>38376.517233185848</v>
      </c>
      <c r="AA155" s="772">
        <f t="shared" ca="1" si="50"/>
        <v>38376.517233185848</v>
      </c>
      <c r="AB155" s="772">
        <f t="shared" ca="1" si="57"/>
        <v>37848.210404762962</v>
      </c>
      <c r="AC155" s="772">
        <f t="shared" ca="1" si="57"/>
        <v>37848.210404762962</v>
      </c>
      <c r="AD155" s="772">
        <f t="shared" ca="1" si="57"/>
        <v>37261.546248111321</v>
      </c>
      <c r="AE155" s="772">
        <f t="shared" ca="1" si="57"/>
        <v>37261.546248111321</v>
      </c>
      <c r="AF155" s="772">
        <f t="shared" ca="1" si="57"/>
        <v>36613.078973650961</v>
      </c>
      <c r="AG155" s="772">
        <f t="shared" ca="1" si="57"/>
        <v>36613.078973650961</v>
      </c>
      <c r="AH155" s="772">
        <f t="shared" ca="1" si="57"/>
        <v>36613.078973650961</v>
      </c>
      <c r="AI155" s="772">
        <f t="shared" ca="1" si="57"/>
        <v>38376.517233185848</v>
      </c>
      <c r="AJ155" s="772">
        <f t="shared" ca="1" si="57"/>
        <v>38376.517233185848</v>
      </c>
      <c r="AK155" s="772">
        <f t="shared" ca="1" si="57"/>
        <v>37848.210404762962</v>
      </c>
      <c r="AL155" s="772">
        <f t="shared" ca="1" si="57"/>
        <v>37848.210404762962</v>
      </c>
      <c r="AM155" s="772">
        <f t="shared" ca="1" si="57"/>
        <v>37261.546248111321</v>
      </c>
      <c r="AN155" s="772">
        <f t="shared" ca="1" si="57"/>
        <v>37261.546248111321</v>
      </c>
      <c r="AO155" s="772">
        <f t="shared" ca="1" si="57"/>
        <v>36613.078973650961</v>
      </c>
      <c r="AP155" s="772">
        <f t="shared" ca="1" si="57"/>
        <v>36613.078973650961</v>
      </c>
      <c r="AQ155" s="772">
        <f t="shared" ref="AB155:AQ171" ca="1" si="68">HLOOKUP(AQ$7,$A$7:$P$348,ROW()-6)</f>
        <v>36613.078973650961</v>
      </c>
      <c r="AR155" s="772">
        <f t="shared" ca="1" si="67"/>
        <v>38376.517233185848</v>
      </c>
      <c r="AS155" s="772">
        <f t="shared" ca="1" si="67"/>
        <v>38376.517233185848</v>
      </c>
      <c r="AT155" s="772">
        <f t="shared" ca="1" si="67"/>
        <v>37848.210404762962</v>
      </c>
      <c r="AU155" s="772">
        <f t="shared" ca="1" si="67"/>
        <v>37848.210404762962</v>
      </c>
      <c r="AV155" s="772">
        <f t="shared" ca="1" si="67"/>
        <v>37261.546248111321</v>
      </c>
      <c r="AW155" s="772">
        <f t="shared" ca="1" si="67"/>
        <v>37261.546248111321</v>
      </c>
      <c r="AX155" s="772">
        <f t="shared" ca="1" si="67"/>
        <v>36613.078973650961</v>
      </c>
      <c r="AY155" s="772">
        <f t="shared" ca="1" si="67"/>
        <v>36613.078973650961</v>
      </c>
      <c r="AZ155" s="772">
        <f t="shared" ca="1" si="67"/>
        <v>36613.078973650961</v>
      </c>
      <c r="BA155" s="772">
        <f t="shared" ca="1" si="67"/>
        <v>38376.517233185848</v>
      </c>
      <c r="BB155" s="772">
        <f t="shared" ca="1" si="66"/>
        <v>38376.517233185848</v>
      </c>
      <c r="BC155" s="772">
        <f t="shared" ca="1" si="66"/>
        <v>37848.210404762962</v>
      </c>
      <c r="BD155" s="772">
        <f t="shared" ca="1" si="66"/>
        <v>37261.546248111321</v>
      </c>
      <c r="BE155" s="772">
        <f t="shared" ca="1" si="66"/>
        <v>37261.546248111321</v>
      </c>
      <c r="BF155" s="772">
        <f t="shared" ca="1" si="66"/>
        <v>36613.078973650961</v>
      </c>
      <c r="BG155" s="772">
        <f t="shared" ca="1" si="66"/>
        <v>36613.078973650961</v>
      </c>
      <c r="BH155" s="772">
        <f t="shared" ca="1" si="65"/>
        <v>35901.32045236697</v>
      </c>
      <c r="BI155" s="772">
        <f t="shared" ca="1" si="65"/>
        <v>35901.32045236697</v>
      </c>
      <c r="BJ155" s="772">
        <f t="shared" ca="1" si="65"/>
        <v>37848.210404762962</v>
      </c>
      <c r="BK155" s="772">
        <f t="shared" ca="1" si="65"/>
        <v>37848.210404762962</v>
      </c>
      <c r="BL155" s="772">
        <f t="shared" ca="1" si="65"/>
        <v>37848.210404762962</v>
      </c>
      <c r="BM155" s="772">
        <f t="shared" ca="1" si="65"/>
        <v>37848.210404762962</v>
      </c>
      <c r="BN155" s="772">
        <f t="shared" ca="1" si="65"/>
        <v>36613.078973650961</v>
      </c>
      <c r="BO155" s="772">
        <f t="shared" ca="1" si="65"/>
        <v>36613.078973650961</v>
      </c>
      <c r="BP155" s="772">
        <f t="shared" ca="1" si="65"/>
        <v>35901.32045236697</v>
      </c>
      <c r="BQ155" s="772">
        <f t="shared" ca="1" si="65"/>
        <v>35901.32045236697</v>
      </c>
      <c r="BR155" s="772">
        <f t="shared" ca="1" si="65"/>
        <v>35127.408241910518</v>
      </c>
      <c r="BS155" s="772">
        <f t="shared" ca="1" si="65"/>
        <v>37848.210404762962</v>
      </c>
      <c r="BT155" s="772">
        <f t="shared" ca="1" si="65"/>
        <v>37848.210404762962</v>
      </c>
      <c r="BU155" s="772">
        <f t="shared" ca="1" si="65"/>
        <v>37848.210404762962</v>
      </c>
      <c r="BV155" s="772">
        <f t="shared" ca="1" si="65"/>
        <v>37261.546248111321</v>
      </c>
      <c r="BW155" s="772">
        <f t="shared" ca="1" si="65"/>
        <v>37261.546248111321</v>
      </c>
      <c r="BX155" s="772">
        <f t="shared" ca="1" si="64"/>
        <v>35901.32045236697</v>
      </c>
      <c r="BY155" s="772">
        <f t="shared" ca="1" si="64"/>
        <v>35901.32045236697</v>
      </c>
      <c r="BZ155" s="772">
        <f t="shared" ca="1" si="64"/>
        <v>35127.408241910518</v>
      </c>
      <c r="CA155" s="772">
        <f t="shared" ca="1" si="64"/>
        <v>35127.408241910518</v>
      </c>
      <c r="CB155" s="772">
        <f t="shared" ca="1" si="64"/>
        <v>37261.546248111321</v>
      </c>
      <c r="CC155" s="772">
        <f t="shared" ca="1" si="64"/>
        <v>37261.546248111321</v>
      </c>
      <c r="CD155" s="772">
        <f t="shared" ca="1" si="64"/>
        <v>37261.546248111321</v>
      </c>
      <c r="CE155" s="772">
        <f t="shared" ca="1" si="64"/>
        <v>37261.546248111321</v>
      </c>
      <c r="CF155" s="772">
        <f t="shared" ca="1" si="64"/>
        <v>36613.078973650961</v>
      </c>
      <c r="CG155" s="772">
        <f t="shared" ca="1" si="64"/>
        <v>35901.32045236697</v>
      </c>
      <c r="CH155" s="772">
        <f t="shared" ca="1" si="64"/>
        <v>35127.408241910518</v>
      </c>
      <c r="CI155" s="772">
        <f t="shared" ca="1" si="64"/>
        <v>35127.408241910518</v>
      </c>
      <c r="CJ155" s="772">
        <f t="shared" ca="1" si="64"/>
        <v>34295.516771569623</v>
      </c>
    </row>
    <row r="156" spans="1:88" ht="15" customHeight="1">
      <c r="A156" s="770">
        <f>'kc-Wert für Stützen'!C156</f>
        <v>208</v>
      </c>
      <c r="B156" s="768">
        <f ca="1">INDIRECT("'kc-Wert für Stützen'!"&amp;SUBSTITUTE(ADDRESS(MATCH($A156,'kc-Wert für Stützen'!$C:$C,0),MATCH(B$7,'kc-Wert für Stützen'!$A$8:$ES$8,0)+7,4),,))</f>
        <v>39712.263400392963</v>
      </c>
      <c r="C156" s="768">
        <f ca="1">INDIRECT("'kc-Wert für Stützen'!"&amp;SUBSTITUTE(ADDRESS(MATCH($A156,'kc-Wert für Stützen'!$C:$C,0),MATCH(C$7,'kc-Wert für Stützen'!$A$8:$ES$8,0)+7,4),,))</f>
        <v>39290.232025405443</v>
      </c>
      <c r="D156" s="768">
        <f ca="1">INDIRECT("'kc-Wert für Stützen'!"&amp;SUBSTITUTE(ADDRESS(MATCH($A156,'kc-Wert für Stützen'!$C:$C,0),MATCH(D$7,'kc-Wert für Stützen'!$A$8:$ES$8,0)+7,4),,))</f>
        <v>38820.542779193624</v>
      </c>
      <c r="E156" s="768">
        <f ca="1">INDIRECT("'kc-Wert für Stützen'!"&amp;SUBSTITUTE(ADDRESS(MATCH($A156,'kc-Wert für Stützen'!$C:$C,0),MATCH(E$7,'kc-Wert für Stützen'!$A$8:$ES$8,0)+7,4),,))</f>
        <v>38297.909817202381</v>
      </c>
      <c r="F156" s="768">
        <f ca="1">INDIRECT("'kc-Wert für Stützen'!"&amp;SUBSTITUTE(ADDRESS(MATCH($A156,'kc-Wert für Stützen'!$C:$C,0),MATCH(F$7,'kc-Wert für Stützen'!$A$8:$ES$8,0)+7,4),,))</f>
        <v>37717.554641561008</v>
      </c>
      <c r="G156" s="768">
        <f ca="1">INDIRECT("'kc-Wert für Stützen'!"&amp;SUBSTITUTE(ADDRESS(MATCH($A156,'kc-Wert für Stützen'!$C:$C,0),MATCH(G$7,'kc-Wert für Stützen'!$A$8:$ES$8,0)+7,4),,))</f>
        <v>37075.815978896957</v>
      </c>
      <c r="H156" s="768">
        <f ca="1">INDIRECT("'kc-Wert für Stützen'!"&amp;SUBSTITUTE(ADDRESS(MATCH($A156,'kc-Wert für Stützen'!$C:$C,0),MATCH(H$7,'kc-Wert für Stützen'!$A$8:$ES$8,0)+7,4),,))</f>
        <v>36370.860128695924</v>
      </c>
      <c r="I156" s="768">
        <f ca="1">INDIRECT("'kc-Wert für Stützen'!"&amp;SUBSTITUTE(ADDRESS(MATCH($A156,'kc-Wert für Stützen'!$C:$C,0),MATCH(I$7,'kc-Wert für Stützen'!$A$8:$ES$8,0)+7,4),,))</f>
        <v>35603.360938326223</v>
      </c>
      <c r="J156" s="768">
        <f ca="1">INDIRECT("'kc-Wert für Stützen'!"&amp;SUBSTITUTE(ADDRESS(MATCH($A156,'kc-Wert für Stützen'!$C:$C,0),MATCH(J$7,'kc-Wert für Stützen'!$A$8:$ES$8,0)+7,4),,))</f>
        <v>34776.959802976773</v>
      </c>
      <c r="K156" s="768">
        <f ca="1">INDIRECT("'kc-Wert für Stützen'!"&amp;SUBSTITUTE(ADDRESS(MATCH($A156,'kc-Wert für Stützen'!$C:$C,0),MATCH(K$7,'kc-Wert für Stützen'!$A$8:$ES$8,0)+7,4),,))</f>
        <v>33898.321816636657</v>
      </c>
      <c r="L156" s="768">
        <f ca="1">INDIRECT("'kc-Wert für Stützen'!"&amp;SUBSTITUTE(ADDRESS(MATCH($A156,'kc-Wert für Stützen'!$C:$C,0),MATCH(L$7,'kc-Wert für Stützen'!$A$8:$ES$8,0)+7,4),,))</f>
        <v>32976.70293850734</v>
      </c>
      <c r="M156" s="768">
        <f ca="1">INDIRECT("'kc-Wert für Stützen'!"&amp;SUBSTITUTE(ADDRESS(MATCH($A156,'kc-Wert für Stützen'!$C:$C,0),MATCH(M$7,'kc-Wert für Stützen'!$A$8:$ES$8,0)+7,4),,))</f>
        <v>32023.10320499802</v>
      </c>
      <c r="N156" s="768">
        <f ca="1">INDIRECT("'kc-Wert für Stützen'!"&amp;SUBSTITUTE(ADDRESS(MATCH($A156,'kc-Wert für Stützen'!$C:$C,0),MATCH(N$7,'kc-Wert für Stützen'!$A$8:$ES$8,0)+7,4),,))</f>
        <v>31049.217903637549</v>
      </c>
      <c r="O156" s="768">
        <f ca="1">INDIRECT("'kc-Wert für Stützen'!"&amp;SUBSTITUTE(ADDRESS(MATCH($A156,'kc-Wert für Stützen'!$C:$C,0),MATCH(O$7,'kc-Wert für Stützen'!$A$8:$ES$8,0)+7,4),,))</f>
        <v>30066.437767932337</v>
      </c>
      <c r="P156" s="768">
        <f ca="1">INDIRECT("'kc-Wert für Stützen'!"&amp;SUBSTITUTE(ADDRESS(MATCH($A156,'kc-Wert für Stützen'!$C:$C,0),MATCH(P$7,'kc-Wert für Stützen'!$A$8:$ES$8,0)+7,4),,))</f>
        <v>29085.084638858571</v>
      </c>
      <c r="S156" s="772">
        <f t="shared" ca="1" si="59"/>
        <v>38820.542779193624</v>
      </c>
      <c r="T156" s="772">
        <f t="shared" ca="1" si="50"/>
        <v>38820.542779193624</v>
      </c>
      <c r="U156" s="772">
        <f t="shared" ca="1" si="50"/>
        <v>38820.542779193624</v>
      </c>
      <c r="V156" s="772">
        <f t="shared" ca="1" si="50"/>
        <v>38297.909817202381</v>
      </c>
      <c r="W156" s="772">
        <f t="shared" ca="1" si="50"/>
        <v>37717.554641561008</v>
      </c>
      <c r="X156" s="772">
        <f t="shared" ca="1" si="50"/>
        <v>37075.815978896957</v>
      </c>
      <c r="Y156" s="772">
        <f t="shared" ca="1" si="50"/>
        <v>36370.860128695924</v>
      </c>
      <c r="Z156" s="772">
        <f t="shared" ca="1" si="50"/>
        <v>38820.542779193624</v>
      </c>
      <c r="AA156" s="772">
        <f t="shared" ca="1" si="50"/>
        <v>38820.542779193624</v>
      </c>
      <c r="AB156" s="772">
        <f t="shared" ca="1" si="68"/>
        <v>38297.909817202381</v>
      </c>
      <c r="AC156" s="772">
        <f t="shared" ca="1" si="68"/>
        <v>38297.909817202381</v>
      </c>
      <c r="AD156" s="772">
        <f t="shared" ca="1" si="68"/>
        <v>37717.554641561008</v>
      </c>
      <c r="AE156" s="772">
        <f t="shared" ca="1" si="68"/>
        <v>37717.554641561008</v>
      </c>
      <c r="AF156" s="772">
        <f t="shared" ca="1" si="68"/>
        <v>37075.815978896957</v>
      </c>
      <c r="AG156" s="772">
        <f t="shared" ca="1" si="68"/>
        <v>37075.815978896957</v>
      </c>
      <c r="AH156" s="772">
        <f t="shared" ca="1" si="68"/>
        <v>37075.815978896957</v>
      </c>
      <c r="AI156" s="772">
        <f t="shared" ca="1" si="68"/>
        <v>38820.542779193624</v>
      </c>
      <c r="AJ156" s="772">
        <f t="shared" ca="1" si="68"/>
        <v>38820.542779193624</v>
      </c>
      <c r="AK156" s="772">
        <f t="shared" ca="1" si="68"/>
        <v>38297.909817202381</v>
      </c>
      <c r="AL156" s="772">
        <f t="shared" ca="1" si="68"/>
        <v>38297.909817202381</v>
      </c>
      <c r="AM156" s="772">
        <f t="shared" ca="1" si="68"/>
        <v>37717.554641561008</v>
      </c>
      <c r="AN156" s="772">
        <f t="shared" ca="1" si="68"/>
        <v>37717.554641561008</v>
      </c>
      <c r="AO156" s="772">
        <f t="shared" ca="1" si="68"/>
        <v>37075.815978896957</v>
      </c>
      <c r="AP156" s="772">
        <f t="shared" ca="1" si="68"/>
        <v>37075.815978896957</v>
      </c>
      <c r="AQ156" s="772">
        <f t="shared" ca="1" si="68"/>
        <v>37075.815978896957</v>
      </c>
      <c r="AR156" s="772">
        <f t="shared" ca="1" si="67"/>
        <v>38820.542779193624</v>
      </c>
      <c r="AS156" s="772">
        <f t="shared" ca="1" si="67"/>
        <v>38820.542779193624</v>
      </c>
      <c r="AT156" s="772">
        <f t="shared" ca="1" si="67"/>
        <v>38297.909817202381</v>
      </c>
      <c r="AU156" s="772">
        <f t="shared" ca="1" si="67"/>
        <v>38297.909817202381</v>
      </c>
      <c r="AV156" s="772">
        <f t="shared" ca="1" si="67"/>
        <v>37717.554641561008</v>
      </c>
      <c r="AW156" s="772">
        <f t="shared" ca="1" si="67"/>
        <v>37717.554641561008</v>
      </c>
      <c r="AX156" s="772">
        <f t="shared" ca="1" si="67"/>
        <v>37075.815978896957</v>
      </c>
      <c r="AY156" s="772">
        <f t="shared" ca="1" si="67"/>
        <v>37075.815978896957</v>
      </c>
      <c r="AZ156" s="772">
        <f t="shared" ca="1" si="67"/>
        <v>37075.815978896957</v>
      </c>
      <c r="BA156" s="772">
        <f t="shared" ca="1" si="67"/>
        <v>38820.542779193624</v>
      </c>
      <c r="BB156" s="772">
        <f t="shared" ca="1" si="66"/>
        <v>38820.542779193624</v>
      </c>
      <c r="BC156" s="772">
        <f t="shared" ca="1" si="66"/>
        <v>38297.909817202381</v>
      </c>
      <c r="BD156" s="772">
        <f t="shared" ca="1" si="66"/>
        <v>37717.554641561008</v>
      </c>
      <c r="BE156" s="772">
        <f t="shared" ca="1" si="66"/>
        <v>37717.554641561008</v>
      </c>
      <c r="BF156" s="772">
        <f t="shared" ca="1" si="66"/>
        <v>37075.815978896957</v>
      </c>
      <c r="BG156" s="772">
        <f t="shared" ca="1" si="66"/>
        <v>37075.815978896957</v>
      </c>
      <c r="BH156" s="772">
        <f t="shared" ca="1" si="65"/>
        <v>36370.860128695924</v>
      </c>
      <c r="BI156" s="772">
        <f t="shared" ca="1" si="65"/>
        <v>36370.860128695924</v>
      </c>
      <c r="BJ156" s="772">
        <f t="shared" ca="1" si="65"/>
        <v>38297.909817202381</v>
      </c>
      <c r="BK156" s="772">
        <f t="shared" ca="1" si="65"/>
        <v>38297.909817202381</v>
      </c>
      <c r="BL156" s="772">
        <f t="shared" ca="1" si="65"/>
        <v>38297.909817202381</v>
      </c>
      <c r="BM156" s="772">
        <f t="shared" ca="1" si="65"/>
        <v>38297.909817202381</v>
      </c>
      <c r="BN156" s="772">
        <f t="shared" ca="1" si="65"/>
        <v>37075.815978896957</v>
      </c>
      <c r="BO156" s="772">
        <f t="shared" ca="1" si="65"/>
        <v>37075.815978896957</v>
      </c>
      <c r="BP156" s="772">
        <f t="shared" ca="1" si="65"/>
        <v>36370.860128695924</v>
      </c>
      <c r="BQ156" s="772">
        <f t="shared" ca="1" si="65"/>
        <v>36370.860128695924</v>
      </c>
      <c r="BR156" s="772">
        <f t="shared" ca="1" si="65"/>
        <v>35603.360938326223</v>
      </c>
      <c r="BS156" s="772">
        <f t="shared" ca="1" si="65"/>
        <v>38297.909817202381</v>
      </c>
      <c r="BT156" s="772">
        <f t="shared" ca="1" si="65"/>
        <v>38297.909817202381</v>
      </c>
      <c r="BU156" s="772">
        <f t="shared" ca="1" si="65"/>
        <v>38297.909817202381</v>
      </c>
      <c r="BV156" s="772">
        <f t="shared" ca="1" si="65"/>
        <v>37717.554641561008</v>
      </c>
      <c r="BW156" s="772">
        <f t="shared" ca="1" si="65"/>
        <v>37717.554641561008</v>
      </c>
      <c r="BX156" s="772">
        <f t="shared" ca="1" si="64"/>
        <v>36370.860128695924</v>
      </c>
      <c r="BY156" s="772">
        <f t="shared" ca="1" si="64"/>
        <v>36370.860128695924</v>
      </c>
      <c r="BZ156" s="772">
        <f t="shared" ca="1" si="64"/>
        <v>35603.360938326223</v>
      </c>
      <c r="CA156" s="772">
        <f t="shared" ca="1" si="64"/>
        <v>35603.360938326223</v>
      </c>
      <c r="CB156" s="772">
        <f t="shared" ca="1" si="64"/>
        <v>37717.554641561008</v>
      </c>
      <c r="CC156" s="772">
        <f t="shared" ca="1" si="64"/>
        <v>37717.554641561008</v>
      </c>
      <c r="CD156" s="772">
        <f t="shared" ca="1" si="64"/>
        <v>37717.554641561008</v>
      </c>
      <c r="CE156" s="772">
        <f t="shared" ca="1" si="64"/>
        <v>37717.554641561008</v>
      </c>
      <c r="CF156" s="772">
        <f t="shared" ca="1" si="64"/>
        <v>37075.815978896957</v>
      </c>
      <c r="CG156" s="772">
        <f t="shared" ca="1" si="64"/>
        <v>36370.860128695924</v>
      </c>
      <c r="CH156" s="772">
        <f t="shared" ca="1" si="64"/>
        <v>35603.360938326223</v>
      </c>
      <c r="CI156" s="772">
        <f t="shared" ca="1" si="64"/>
        <v>35603.360938326223</v>
      </c>
      <c r="CJ156" s="772">
        <f t="shared" ca="1" si="64"/>
        <v>34776.959802976773</v>
      </c>
    </row>
    <row r="157" spans="1:88" ht="15" customHeight="1">
      <c r="A157" s="770">
        <f>'kc-Wert für Stützen'!C157</f>
        <v>209</v>
      </c>
      <c r="B157" s="768">
        <f ca="1">INDIRECT("'kc-Wert für Stützen'!"&amp;SUBSTITUTE(ADDRESS(MATCH($A157,'kc-Wert für Stützen'!$C:$C,0),MATCH(B$7,'kc-Wert für Stützen'!$A$8:$ES$8,0)+7,4),,))</f>
        <v>40148.753277248179</v>
      </c>
      <c r="C157" s="768">
        <f ca="1">INDIRECT("'kc-Wert für Stützen'!"&amp;SUBSTITUTE(ADDRESS(MATCH($A157,'kc-Wert für Stützen'!$C:$C,0),MATCH(C$7,'kc-Wert für Stützen'!$A$8:$ES$8,0)+7,4),,))</f>
        <v>39730.806361785442</v>
      </c>
      <c r="D157" s="768">
        <f ca="1">INDIRECT("'kc-Wert für Stützen'!"&amp;SUBSTITUTE(ADDRESS(MATCH($A157,'kc-Wert für Stützen'!$C:$C,0),MATCH(D$7,'kc-Wert für Stützen'!$A$8:$ES$8,0)+7,4),,))</f>
        <v>39265.947608223083</v>
      </c>
      <c r="E157" s="768">
        <f ca="1">INDIRECT("'kc-Wert für Stützen'!"&amp;SUBSTITUTE(ADDRESS(MATCH($A157,'kc-Wert für Stützen'!$C:$C,0),MATCH(E$7,'kc-Wert für Stützen'!$A$8:$ES$8,0)+7,4),,))</f>
        <v>38748.884772355079</v>
      </c>
      <c r="F157" s="768">
        <f ca="1">INDIRECT("'kc-Wert für Stützen'!"&amp;SUBSTITUTE(ADDRESS(MATCH($A157,'kc-Wert für Stützen'!$C:$C,0),MATCH(F$7,'kc-Wert für Stützen'!$A$8:$ES$8,0)+7,4),,))</f>
        <v>38174.753432115409</v>
      </c>
      <c r="G157" s="768">
        <f ca="1">INDIRECT("'kc-Wert für Stützen'!"&amp;SUBSTITUTE(ADDRESS(MATCH($A157,'kc-Wert für Stützen'!$C:$C,0),MATCH(G$7,'kc-Wert für Stützen'!$A$8:$ES$8,0)+7,4),,))</f>
        <v>37539.697508285106</v>
      </c>
      <c r="H157" s="768">
        <f ca="1">INDIRECT("'kc-Wert für Stützen'!"&amp;SUBSTITUTE(ADDRESS(MATCH($A157,'kc-Wert für Stützen'!$C:$C,0),MATCH(H$7,'kc-Wert für Stützen'!$A$8:$ES$8,0)+7,4),,))</f>
        <v>36841.561187630054</v>
      </c>
      <c r="I157" s="768">
        <f ca="1">INDIRECT("'kc-Wert für Stützen'!"&amp;SUBSTITUTE(ADDRESS(MATCH($A157,'kc-Wert für Stützen'!$C:$C,0),MATCH(I$7,'kc-Wert für Stützen'!$A$8:$ES$8,0)+7,4),,))</f>
        <v>36080.575512952542</v>
      </c>
      <c r="J157" s="768">
        <f ca="1">INDIRECT("'kc-Wert für Stützen'!"&amp;SUBSTITUTE(ADDRESS(MATCH($A157,'kc-Wert für Stützen'!$C:$C,0),MATCH(J$7,'kc-Wert für Stützen'!$A$8:$ES$8,0)+7,4),,))</f>
        <v>35259.860372417985</v>
      </c>
      <c r="K157" s="768">
        <f ca="1">INDIRECT("'kc-Wert für Stützen'!"&amp;SUBSTITUTE(ADDRESS(MATCH($A157,'kc-Wert für Stützen'!$C:$C,0),MATCH(K$7,'kc-Wert für Stützen'!$A$8:$ES$8,0)+7,4),,))</f>
        <v>34385.555260207795</v>
      </c>
      <c r="L157" s="768">
        <f ca="1">INDIRECT("'kc-Wert für Stützen'!"&amp;SUBSTITUTE(ADDRESS(MATCH($A157,'kc-Wert für Stützen'!$C:$C,0),MATCH(L$7,'kc-Wert für Stützen'!$A$8:$ES$8,0)+7,4),,))</f>
        <v>33466.47376337029</v>
      </c>
      <c r="M157" s="768">
        <f ca="1">INDIRECT("'kc-Wert für Stützen'!"&amp;SUBSTITUTE(ADDRESS(MATCH($A157,'kc-Wert für Stützen'!$C:$C,0),MATCH(M$7,'kc-Wert für Stützen'!$A$8:$ES$8,0)+7,4),,))</f>
        <v>32513.327516836354</v>
      </c>
      <c r="N157" s="768">
        <f ca="1">INDIRECT("'kc-Wert für Stützen'!"&amp;SUBSTITUTE(ADDRESS(MATCH($A157,'kc-Wert für Stützen'!$C:$C,0),MATCH(N$7,'kc-Wert für Stützen'!$A$8:$ES$8,0)+7,4),,))</f>
        <v>31537.708944769907</v>
      </c>
      <c r="O157" s="768">
        <f ca="1">INDIRECT("'kc-Wert für Stützen'!"&amp;SUBSTITUTE(ADDRESS(MATCH($A157,'kc-Wert für Stützen'!$C:$C,0),MATCH(O$7,'kc-Wert für Stützen'!$A$8:$ES$8,0)+7,4),,))</f>
        <v>30551.07966948282</v>
      </c>
      <c r="P157" s="768">
        <f ca="1">INDIRECT("'kc-Wert für Stützen'!"&amp;SUBSTITUTE(ADDRESS(MATCH($A157,'kc-Wert für Stützen'!$C:$C,0),MATCH(P$7,'kc-Wert für Stützen'!$A$8:$ES$8,0)+7,4),,))</f>
        <v>29563.963992189219</v>
      </c>
      <c r="S157" s="772">
        <f t="shared" ca="1" si="59"/>
        <v>39265.947608223083</v>
      </c>
      <c r="T157" s="772">
        <f t="shared" ca="1" si="50"/>
        <v>39265.947608223083</v>
      </c>
      <c r="U157" s="772">
        <f t="shared" ca="1" si="50"/>
        <v>39265.947608223083</v>
      </c>
      <c r="V157" s="772">
        <f t="shared" ca="1" si="50"/>
        <v>38748.884772355079</v>
      </c>
      <c r="W157" s="772">
        <f t="shared" ca="1" si="50"/>
        <v>38174.753432115409</v>
      </c>
      <c r="X157" s="772">
        <f t="shared" ca="1" si="50"/>
        <v>37539.697508285106</v>
      </c>
      <c r="Y157" s="772">
        <f t="shared" ca="1" si="50"/>
        <v>36841.561187630054</v>
      </c>
      <c r="Z157" s="772">
        <f t="shared" ca="1" si="50"/>
        <v>39265.947608223083</v>
      </c>
      <c r="AA157" s="772">
        <f t="shared" ca="1" si="50"/>
        <v>39265.947608223083</v>
      </c>
      <c r="AB157" s="772">
        <f t="shared" ca="1" si="68"/>
        <v>38748.884772355079</v>
      </c>
      <c r="AC157" s="772">
        <f t="shared" ca="1" si="68"/>
        <v>38748.884772355079</v>
      </c>
      <c r="AD157" s="772">
        <f t="shared" ca="1" si="68"/>
        <v>38174.753432115409</v>
      </c>
      <c r="AE157" s="772">
        <f t="shared" ca="1" si="68"/>
        <v>38174.753432115409</v>
      </c>
      <c r="AF157" s="772">
        <f t="shared" ca="1" si="68"/>
        <v>37539.697508285106</v>
      </c>
      <c r="AG157" s="772">
        <f t="shared" ca="1" si="68"/>
        <v>37539.697508285106</v>
      </c>
      <c r="AH157" s="772">
        <f t="shared" ca="1" si="68"/>
        <v>37539.697508285106</v>
      </c>
      <c r="AI157" s="772">
        <f t="shared" ca="1" si="68"/>
        <v>39265.947608223083</v>
      </c>
      <c r="AJ157" s="772">
        <f t="shared" ca="1" si="68"/>
        <v>39265.947608223083</v>
      </c>
      <c r="AK157" s="772">
        <f t="shared" ca="1" si="68"/>
        <v>38748.884772355079</v>
      </c>
      <c r="AL157" s="772">
        <f t="shared" ca="1" si="68"/>
        <v>38748.884772355079</v>
      </c>
      <c r="AM157" s="772">
        <f t="shared" ca="1" si="68"/>
        <v>38174.753432115409</v>
      </c>
      <c r="AN157" s="772">
        <f t="shared" ca="1" si="68"/>
        <v>38174.753432115409</v>
      </c>
      <c r="AO157" s="772">
        <f t="shared" ca="1" si="68"/>
        <v>37539.697508285106</v>
      </c>
      <c r="AP157" s="772">
        <f t="shared" ca="1" si="68"/>
        <v>37539.697508285106</v>
      </c>
      <c r="AQ157" s="772">
        <f t="shared" ca="1" si="68"/>
        <v>37539.697508285106</v>
      </c>
      <c r="AR157" s="772">
        <f t="shared" ca="1" si="67"/>
        <v>39265.947608223083</v>
      </c>
      <c r="AS157" s="772">
        <f t="shared" ca="1" si="67"/>
        <v>39265.947608223083</v>
      </c>
      <c r="AT157" s="772">
        <f t="shared" ca="1" si="67"/>
        <v>38748.884772355079</v>
      </c>
      <c r="AU157" s="772">
        <f t="shared" ca="1" si="67"/>
        <v>38748.884772355079</v>
      </c>
      <c r="AV157" s="772">
        <f t="shared" ca="1" si="67"/>
        <v>38174.753432115409</v>
      </c>
      <c r="AW157" s="772">
        <f t="shared" ca="1" si="67"/>
        <v>38174.753432115409</v>
      </c>
      <c r="AX157" s="772">
        <f t="shared" ca="1" si="67"/>
        <v>37539.697508285106</v>
      </c>
      <c r="AY157" s="772">
        <f t="shared" ca="1" si="67"/>
        <v>37539.697508285106</v>
      </c>
      <c r="AZ157" s="772">
        <f t="shared" ca="1" si="67"/>
        <v>37539.697508285106</v>
      </c>
      <c r="BA157" s="772">
        <f t="shared" ca="1" si="67"/>
        <v>39265.947608223083</v>
      </c>
      <c r="BB157" s="772">
        <f t="shared" ca="1" si="66"/>
        <v>39265.947608223083</v>
      </c>
      <c r="BC157" s="772">
        <f t="shared" ca="1" si="66"/>
        <v>38748.884772355079</v>
      </c>
      <c r="BD157" s="772">
        <f t="shared" ca="1" si="66"/>
        <v>38174.753432115409</v>
      </c>
      <c r="BE157" s="772">
        <f t="shared" ca="1" si="66"/>
        <v>38174.753432115409</v>
      </c>
      <c r="BF157" s="772">
        <f t="shared" ca="1" si="66"/>
        <v>37539.697508285106</v>
      </c>
      <c r="BG157" s="772">
        <f t="shared" ca="1" si="66"/>
        <v>37539.697508285106</v>
      </c>
      <c r="BH157" s="772">
        <f t="shared" ca="1" si="65"/>
        <v>36841.561187630054</v>
      </c>
      <c r="BI157" s="772">
        <f t="shared" ca="1" si="65"/>
        <v>36841.561187630054</v>
      </c>
      <c r="BJ157" s="772">
        <f t="shared" ca="1" si="65"/>
        <v>38748.884772355079</v>
      </c>
      <c r="BK157" s="772">
        <f t="shared" ca="1" si="65"/>
        <v>38748.884772355079</v>
      </c>
      <c r="BL157" s="772">
        <f t="shared" ca="1" si="65"/>
        <v>38748.884772355079</v>
      </c>
      <c r="BM157" s="772">
        <f t="shared" ca="1" si="65"/>
        <v>38748.884772355079</v>
      </c>
      <c r="BN157" s="772">
        <f t="shared" ca="1" si="65"/>
        <v>37539.697508285106</v>
      </c>
      <c r="BO157" s="772">
        <f t="shared" ca="1" si="65"/>
        <v>37539.697508285106</v>
      </c>
      <c r="BP157" s="772">
        <f t="shared" ca="1" si="65"/>
        <v>36841.561187630054</v>
      </c>
      <c r="BQ157" s="772">
        <f t="shared" ca="1" si="65"/>
        <v>36841.561187630054</v>
      </c>
      <c r="BR157" s="772">
        <f t="shared" ca="1" si="65"/>
        <v>36080.575512952542</v>
      </c>
      <c r="BS157" s="772">
        <f t="shared" ca="1" si="65"/>
        <v>38748.884772355079</v>
      </c>
      <c r="BT157" s="772">
        <f t="shared" ca="1" si="65"/>
        <v>38748.884772355079</v>
      </c>
      <c r="BU157" s="772">
        <f t="shared" ca="1" si="65"/>
        <v>38748.884772355079</v>
      </c>
      <c r="BV157" s="772">
        <f t="shared" ca="1" si="65"/>
        <v>38174.753432115409</v>
      </c>
      <c r="BW157" s="772">
        <f t="shared" ca="1" si="65"/>
        <v>38174.753432115409</v>
      </c>
      <c r="BX157" s="772">
        <f t="shared" ca="1" si="64"/>
        <v>36841.561187630054</v>
      </c>
      <c r="BY157" s="772">
        <f t="shared" ca="1" si="64"/>
        <v>36841.561187630054</v>
      </c>
      <c r="BZ157" s="772">
        <f t="shared" ca="1" si="64"/>
        <v>36080.575512952542</v>
      </c>
      <c r="CA157" s="772">
        <f t="shared" ca="1" si="64"/>
        <v>36080.575512952542</v>
      </c>
      <c r="CB157" s="772">
        <f t="shared" ca="1" si="64"/>
        <v>38174.753432115409</v>
      </c>
      <c r="CC157" s="772">
        <f t="shared" ca="1" si="64"/>
        <v>38174.753432115409</v>
      </c>
      <c r="CD157" s="772">
        <f t="shared" ca="1" si="64"/>
        <v>38174.753432115409</v>
      </c>
      <c r="CE157" s="772">
        <f t="shared" ca="1" si="64"/>
        <v>38174.753432115409</v>
      </c>
      <c r="CF157" s="772">
        <f t="shared" ca="1" si="64"/>
        <v>37539.697508285106</v>
      </c>
      <c r="CG157" s="772">
        <f t="shared" ca="1" si="64"/>
        <v>36841.561187630054</v>
      </c>
      <c r="CH157" s="772">
        <f t="shared" ca="1" si="64"/>
        <v>36080.575512952542</v>
      </c>
      <c r="CI157" s="772">
        <f t="shared" ca="1" si="64"/>
        <v>36080.575512952542</v>
      </c>
      <c r="CJ157" s="772">
        <f t="shared" ca="1" si="64"/>
        <v>35259.860372417985</v>
      </c>
    </row>
    <row r="158" spans="1:88" ht="15" customHeight="1">
      <c r="A158" s="770">
        <f>'kc-Wert für Stützen'!C158</f>
        <v>210</v>
      </c>
      <c r="B158" s="768">
        <f ca="1">INDIRECT("'kc-Wert für Stützen'!"&amp;SUBSTITUTE(ADDRESS(MATCH($A158,'kc-Wert für Stützen'!$C:$C,0),MATCH(B$7,'kc-Wert für Stützen'!$A$8:$ES$8,0)+7,4),,))</f>
        <v>40586.842929545019</v>
      </c>
      <c r="C158" s="768">
        <f ca="1">INDIRECT("'kc-Wert für Stützen'!"&amp;SUBSTITUTE(ADDRESS(MATCH($A158,'kc-Wert für Stützen'!$C:$C,0),MATCH(C$7,'kc-Wert für Stützen'!$A$8:$ES$8,0)+7,4),,))</f>
        <v>40172.881542717238</v>
      </c>
      <c r="D158" s="768">
        <f ca="1">INDIRECT("'kc-Wert für Stützen'!"&amp;SUBSTITUTE(ADDRESS(MATCH($A158,'kc-Wert für Stützen'!$C:$C,0),MATCH(D$7,'kc-Wert für Stützen'!$A$8:$ES$8,0)+7,4),,))</f>
        <v>39712.747166995454</v>
      </c>
      <c r="E158" s="768">
        <f ca="1">INDIRECT("'kc-Wert für Stützen'!"&amp;SUBSTITUTE(ADDRESS(MATCH($A158,'kc-Wert für Stützen'!$C:$C,0),MATCH(E$7,'kc-Wert für Stützen'!$A$8:$ES$8,0)+7,4),,))</f>
        <v>39201.149918471609</v>
      </c>
      <c r="F158" s="768">
        <f ca="1">INDIRECT("'kc-Wert für Stützen'!"&amp;SUBSTITUTE(ADDRESS(MATCH($A158,'kc-Wert für Stützen'!$C:$C,0),MATCH(F$7,'kc-Wert für Stützen'!$A$8:$ES$8,0)+7,4),,))</f>
        <v>38633.153676517621</v>
      </c>
      <c r="G158" s="768">
        <f ca="1">INDIRECT("'kc-Wert für Stützen'!"&amp;SUBSTITUTE(ADDRESS(MATCH($A158,'kc-Wert für Stützen'!$C:$C,0),MATCH(G$7,'kc-Wert für Stützen'!$A$8:$ES$8,0)+7,4),,))</f>
        <v>38004.727238236061</v>
      </c>
      <c r="H158" s="768">
        <f ca="1">INDIRECT("'kc-Wert für Stützen'!"&amp;SUBSTITUTE(ADDRESS(MATCH($A158,'kc-Wert für Stützen'!$C:$C,0),MATCH(H$7,'kc-Wert für Stützen'!$A$8:$ES$8,0)+7,4),,))</f>
        <v>37313.415662854954</v>
      </c>
      <c r="I158" s="768">
        <f ca="1">INDIRECT("'kc-Wert für Stützen'!"&amp;SUBSTITUTE(ADDRESS(MATCH($A158,'kc-Wert für Stützen'!$C:$C,0),MATCH(I$7,'kc-Wert für Stützen'!$A$8:$ES$8,0)+7,4),,))</f>
        <v>36559.028649824308</v>
      </c>
      <c r="J158" s="768">
        <f ca="1">INDIRECT("'kc-Wert für Stützen'!"&amp;SUBSTITUTE(ADDRESS(MATCH($A158,'kc-Wert für Stützen'!$C:$C,0),MATCH(J$7,'kc-Wert für Stützen'!$A$8:$ES$8,0)+7,4),,))</f>
        <v>35744.177922500632</v>
      </c>
      <c r="K158" s="768">
        <f ca="1">INDIRECT("'kc-Wert für Stützen'!"&amp;SUBSTITUTE(ADDRESS(MATCH($A158,'kc-Wert für Stützen'!$C:$C,0),MATCH(K$7,'kc-Wert für Stützen'!$A$8:$ES$8,0)+7,4),,))</f>
        <v>34874.47686880533</v>
      </c>
      <c r="L158" s="768">
        <f ca="1">INDIRECT("'kc-Wert für Stützen'!"&amp;SUBSTITUTE(ADDRESS(MATCH($A158,'kc-Wert für Stützen'!$C:$C,0),MATCH(L$7,'kc-Wert für Stützen'!$A$8:$ES$8,0)+7,4),,))</f>
        <v>33958.280589915834</v>
      </c>
      <c r="M158" s="768">
        <f ca="1">INDIRECT("'kc-Wert für Stützen'!"&amp;SUBSTITUTE(ADDRESS(MATCH($A158,'kc-Wert für Stützen'!$C:$C,0),MATCH(M$7,'kc-Wert für Stützen'!$A$8:$ES$8,0)+7,4),,))</f>
        <v>33005.984129317134</v>
      </c>
      <c r="N158" s="768">
        <f ca="1">INDIRECT("'kc-Wert für Stützen'!"&amp;SUBSTITUTE(ADDRESS(MATCH($A158,'kc-Wert für Stützen'!$C:$C,0),MATCH(N$7,'kc-Wert für Stützen'!$A$8:$ES$8,0)+7,4),,))</f>
        <v>32029.043962755895</v>
      </c>
      <c r="O158" s="768">
        <f ca="1">INDIRECT("'kc-Wert für Stützen'!"&amp;SUBSTITUTE(ADDRESS(MATCH($A158,'kc-Wert für Stützen'!$C:$C,0),MATCH(O$7,'kc-Wert für Stützen'!$A$8:$ES$8,0)+7,4),,))</f>
        <v>31038.962069658457</v>
      </c>
      <c r="P158" s="768">
        <f ca="1">INDIRECT("'kc-Wert für Stützen'!"&amp;SUBSTITUTE(ADDRESS(MATCH($A158,'kc-Wert für Stützen'!$C:$C,0),MATCH(P$7,'kc-Wert für Stützen'!$A$8:$ES$8,0)+7,4),,))</f>
        <v>30046.442182945968</v>
      </c>
      <c r="S158" s="772">
        <f t="shared" ca="1" si="59"/>
        <v>39712.747166995454</v>
      </c>
      <c r="T158" s="772">
        <f t="shared" ca="1" si="50"/>
        <v>39712.747166995454</v>
      </c>
      <c r="U158" s="772">
        <f t="shared" ca="1" si="50"/>
        <v>39712.747166995454</v>
      </c>
      <c r="V158" s="772">
        <f t="shared" ca="1" si="50"/>
        <v>39201.149918471609</v>
      </c>
      <c r="W158" s="772">
        <f t="shared" ca="1" si="50"/>
        <v>38633.153676517621</v>
      </c>
      <c r="X158" s="772">
        <f t="shared" ref="T158:AA186" ca="1" si="69">HLOOKUP(X$7,$A$7:$P$348,ROW()-6)</f>
        <v>38004.727238236061</v>
      </c>
      <c r="Y158" s="772">
        <f t="shared" ca="1" si="69"/>
        <v>37313.415662854954</v>
      </c>
      <c r="Z158" s="772">
        <f t="shared" ca="1" si="69"/>
        <v>39712.747166995454</v>
      </c>
      <c r="AA158" s="772">
        <f t="shared" ca="1" si="69"/>
        <v>39712.747166995454</v>
      </c>
      <c r="AB158" s="772">
        <f t="shared" ca="1" si="68"/>
        <v>39201.149918471609</v>
      </c>
      <c r="AC158" s="772">
        <f t="shared" ca="1" si="68"/>
        <v>39201.149918471609</v>
      </c>
      <c r="AD158" s="772">
        <f t="shared" ca="1" si="68"/>
        <v>38633.153676517621</v>
      </c>
      <c r="AE158" s="772">
        <f t="shared" ca="1" si="68"/>
        <v>38633.153676517621</v>
      </c>
      <c r="AF158" s="772">
        <f t="shared" ca="1" si="68"/>
        <v>38004.727238236061</v>
      </c>
      <c r="AG158" s="772">
        <f t="shared" ca="1" si="68"/>
        <v>38004.727238236061</v>
      </c>
      <c r="AH158" s="772">
        <f t="shared" ca="1" si="68"/>
        <v>38004.727238236061</v>
      </c>
      <c r="AI158" s="772">
        <f t="shared" ca="1" si="68"/>
        <v>39712.747166995454</v>
      </c>
      <c r="AJ158" s="772">
        <f t="shared" ca="1" si="68"/>
        <v>39712.747166995454</v>
      </c>
      <c r="AK158" s="772">
        <f t="shared" ca="1" si="68"/>
        <v>39201.149918471609</v>
      </c>
      <c r="AL158" s="772">
        <f t="shared" ca="1" si="68"/>
        <v>39201.149918471609</v>
      </c>
      <c r="AM158" s="772">
        <f t="shared" ca="1" si="68"/>
        <v>38633.153676517621</v>
      </c>
      <c r="AN158" s="772">
        <f t="shared" ca="1" si="68"/>
        <v>38633.153676517621</v>
      </c>
      <c r="AO158" s="772">
        <f t="shared" ca="1" si="68"/>
        <v>38004.727238236061</v>
      </c>
      <c r="AP158" s="772">
        <f t="shared" ca="1" si="68"/>
        <v>38004.727238236061</v>
      </c>
      <c r="AQ158" s="772">
        <f t="shared" ca="1" si="68"/>
        <v>38004.727238236061</v>
      </c>
      <c r="AR158" s="772">
        <f t="shared" ca="1" si="67"/>
        <v>39712.747166995454</v>
      </c>
      <c r="AS158" s="772">
        <f t="shared" ca="1" si="67"/>
        <v>39712.747166995454</v>
      </c>
      <c r="AT158" s="772">
        <f t="shared" ca="1" si="67"/>
        <v>39201.149918471609</v>
      </c>
      <c r="AU158" s="772">
        <f t="shared" ca="1" si="67"/>
        <v>39201.149918471609</v>
      </c>
      <c r="AV158" s="772">
        <f t="shared" ca="1" si="67"/>
        <v>38633.153676517621</v>
      </c>
      <c r="AW158" s="772">
        <f t="shared" ca="1" si="67"/>
        <v>38633.153676517621</v>
      </c>
      <c r="AX158" s="772">
        <f t="shared" ca="1" si="67"/>
        <v>38004.727238236061</v>
      </c>
      <c r="AY158" s="772">
        <f t="shared" ca="1" si="67"/>
        <v>38004.727238236061</v>
      </c>
      <c r="AZ158" s="772">
        <f t="shared" ca="1" si="67"/>
        <v>38004.727238236061</v>
      </c>
      <c r="BA158" s="772">
        <f t="shared" ca="1" si="67"/>
        <v>39712.747166995454</v>
      </c>
      <c r="BB158" s="772">
        <f t="shared" ca="1" si="66"/>
        <v>39712.747166995454</v>
      </c>
      <c r="BC158" s="772">
        <f t="shared" ca="1" si="66"/>
        <v>39201.149918471609</v>
      </c>
      <c r="BD158" s="772">
        <f t="shared" ca="1" si="66"/>
        <v>38633.153676517621</v>
      </c>
      <c r="BE158" s="772">
        <f t="shared" ca="1" si="66"/>
        <v>38633.153676517621</v>
      </c>
      <c r="BF158" s="772">
        <f t="shared" ca="1" si="66"/>
        <v>38004.727238236061</v>
      </c>
      <c r="BG158" s="772">
        <f t="shared" ca="1" si="66"/>
        <v>38004.727238236061</v>
      </c>
      <c r="BH158" s="772">
        <f t="shared" ref="BH158:BW167" ca="1" si="70">HLOOKUP(BH$7,$A$7:$P$348,ROW()-6)</f>
        <v>37313.415662854954</v>
      </c>
      <c r="BI158" s="772">
        <f t="shared" ca="1" si="70"/>
        <v>37313.415662854954</v>
      </c>
      <c r="BJ158" s="772">
        <f t="shared" ca="1" si="70"/>
        <v>39201.149918471609</v>
      </c>
      <c r="BK158" s="772">
        <f t="shared" ca="1" si="70"/>
        <v>39201.149918471609</v>
      </c>
      <c r="BL158" s="772">
        <f t="shared" ca="1" si="70"/>
        <v>39201.149918471609</v>
      </c>
      <c r="BM158" s="772">
        <f t="shared" ca="1" si="70"/>
        <v>39201.149918471609</v>
      </c>
      <c r="BN158" s="772">
        <f t="shared" ca="1" si="70"/>
        <v>38004.727238236061</v>
      </c>
      <c r="BO158" s="772">
        <f t="shared" ca="1" si="70"/>
        <v>38004.727238236061</v>
      </c>
      <c r="BP158" s="772">
        <f t="shared" ca="1" si="70"/>
        <v>37313.415662854954</v>
      </c>
      <c r="BQ158" s="772">
        <f t="shared" ca="1" si="70"/>
        <v>37313.415662854954</v>
      </c>
      <c r="BR158" s="772">
        <f t="shared" ca="1" si="70"/>
        <v>36559.028649824308</v>
      </c>
      <c r="BS158" s="772">
        <f t="shared" ca="1" si="70"/>
        <v>39201.149918471609</v>
      </c>
      <c r="BT158" s="772">
        <f t="shared" ca="1" si="70"/>
        <v>39201.149918471609</v>
      </c>
      <c r="BU158" s="772">
        <f t="shared" ca="1" si="70"/>
        <v>39201.149918471609</v>
      </c>
      <c r="BV158" s="772">
        <f t="shared" ca="1" si="70"/>
        <v>38633.153676517621</v>
      </c>
      <c r="BW158" s="772">
        <f t="shared" ca="1" si="70"/>
        <v>38633.153676517621</v>
      </c>
      <c r="BX158" s="772">
        <f t="shared" ca="1" si="64"/>
        <v>37313.415662854954</v>
      </c>
      <c r="BY158" s="772">
        <f t="shared" ca="1" si="64"/>
        <v>37313.415662854954</v>
      </c>
      <c r="BZ158" s="772">
        <f t="shared" ca="1" si="64"/>
        <v>36559.028649824308</v>
      </c>
      <c r="CA158" s="772">
        <f t="shared" ca="1" si="64"/>
        <v>36559.028649824308</v>
      </c>
      <c r="CB158" s="772">
        <f t="shared" ca="1" si="64"/>
        <v>38633.153676517621</v>
      </c>
      <c r="CC158" s="772">
        <f t="shared" ca="1" si="64"/>
        <v>38633.153676517621</v>
      </c>
      <c r="CD158" s="772">
        <f t="shared" ca="1" si="64"/>
        <v>38633.153676517621</v>
      </c>
      <c r="CE158" s="772">
        <f t="shared" ca="1" si="64"/>
        <v>38633.153676517621</v>
      </c>
      <c r="CF158" s="772">
        <f t="shared" ca="1" si="64"/>
        <v>38004.727238236061</v>
      </c>
      <c r="CG158" s="772">
        <f t="shared" ca="1" si="64"/>
        <v>37313.415662854954</v>
      </c>
      <c r="CH158" s="772">
        <f t="shared" ca="1" si="64"/>
        <v>36559.028649824308</v>
      </c>
      <c r="CI158" s="772">
        <f t="shared" ca="1" si="64"/>
        <v>36559.028649824308</v>
      </c>
      <c r="CJ158" s="772">
        <f t="shared" ca="1" si="64"/>
        <v>35744.177922500632</v>
      </c>
    </row>
    <row r="159" spans="1:88" ht="15" customHeight="1">
      <c r="A159" s="770">
        <f>'kc-Wert für Stützen'!C159</f>
        <v>211</v>
      </c>
      <c r="B159" s="768">
        <f ca="1">INDIRECT("'kc-Wert für Stützen'!"&amp;SUBSTITUTE(ADDRESS(MATCH($A159,'kc-Wert für Stützen'!$C:$C,0),MATCH(B$7,'kc-Wert für Stützen'!$A$8:$ES$8,0)+7,4),,))</f>
        <v>41026.544728518624</v>
      </c>
      <c r="C159" s="768">
        <f ca="1">INDIRECT("'kc-Wert für Stützen'!"&amp;SUBSTITUTE(ADDRESS(MATCH($A159,'kc-Wert für Stützen'!$C:$C,0),MATCH(C$7,'kc-Wert für Stützen'!$A$8:$ES$8,0)+7,4),,))</f>
        <v>40616.471796800623</v>
      </c>
      <c r="D159" s="768">
        <f ca="1">INDIRECT("'kc-Wert für Stützen'!"&amp;SUBSTITUTE(ADDRESS(MATCH($A159,'kc-Wert für Stützen'!$C:$C,0),MATCH(D$7,'kc-Wert für Stützen'!$A$8:$ES$8,0)+7,4),,))</f>
        <v>40160.956778211323</v>
      </c>
      <c r="E159" s="768">
        <f ca="1">INDIRECT("'kc-Wert für Stützen'!"&amp;SUBSTITUTE(ADDRESS(MATCH($A159,'kc-Wert für Stützen'!$C:$C,0),MATCH(E$7,'kc-Wert für Stützen'!$A$8:$ES$8,0)+7,4),,))</f>
        <v>39654.720100306949</v>
      </c>
      <c r="F159" s="768">
        <f ca="1">INDIRECT("'kc-Wert für Stützen'!"&amp;SUBSTITUTE(ADDRESS(MATCH($A159,'kc-Wert für Stützen'!$C:$C,0),MATCH(F$7,'kc-Wert für Stützen'!$A$8:$ES$8,0)+7,4),,))</f>
        <v>39092.7671475026</v>
      </c>
      <c r="G159" s="768">
        <f ca="1">INDIRECT("'kc-Wert für Stützen'!"&amp;SUBSTITUTE(ADDRESS(MATCH($A159,'kc-Wert für Stützen'!$C:$C,0),MATCH(G$7,'kc-Wert für Stützen'!$A$8:$ES$8,0)+7,4),,))</f>
        <v>38470.910263931473</v>
      </c>
      <c r="H159" s="768">
        <f ca="1">INDIRECT("'kc-Wert für Stützen'!"&amp;SUBSTITUTE(ADDRESS(MATCH($A159,'kc-Wert für Stützen'!$C:$C,0),MATCH(H$7,'kc-Wert für Stützen'!$A$8:$ES$8,0)+7,4),,))</f>
        <v>37786.417787248582</v>
      </c>
      <c r="I159" s="768">
        <f ca="1">INDIRECT("'kc-Wert für Stützen'!"&amp;SUBSTITUTE(ADDRESS(MATCH($A159,'kc-Wert für Stützen'!$C:$C,0),MATCH(I$7,'kc-Wert für Stützen'!$A$8:$ES$8,0)+7,4),,))</f>
        <v>37038.699891243807</v>
      </c>
      <c r="J159" s="768">
        <f ca="1">INDIRECT("'kc-Wert für Stützen'!"&amp;SUBSTITUTE(ADDRESS(MATCH($A159,'kc-Wert für Stützen'!$C:$C,0),MATCH(J$7,'kc-Wert für Stützen'!$A$8:$ES$8,0)+7,4),,))</f>
        <v>36229.875060390114</v>
      </c>
      <c r="K159" s="768">
        <f ca="1">INDIRECT("'kc-Wert für Stützen'!"&amp;SUBSTITUTE(ADDRESS(MATCH($A159,'kc-Wert für Stützen'!$C:$C,0),MATCH(K$7,'kc-Wert für Stützen'!$A$8:$ES$8,0)+7,4),,))</f>
        <v>35365.03264857563</v>
      </c>
      <c r="L159" s="768">
        <f ca="1">INDIRECT("'kc-Wert für Stützen'!"&amp;SUBSTITUTE(ADDRESS(MATCH($A159,'kc-Wert für Stützen'!$C:$C,0),MATCH(L$7,'kc-Wert für Stützen'!$A$8:$ES$8,0)+7,4),,))</f>
        <v>34452.055949091999</v>
      </c>
      <c r="M159" s="768">
        <f ca="1">INDIRECT("'kc-Wert für Stützen'!"&amp;SUBSTITUTE(ADDRESS(MATCH($A159,'kc-Wert für Stützen'!$C:$C,0),MATCH(M$7,'kc-Wert für Stützen'!$A$8:$ES$8,0)+7,4),,))</f>
        <v>33500.997286433216</v>
      </c>
      <c r="N159" s="768">
        <f ca="1">INDIRECT("'kc-Wert für Stützen'!"&amp;SUBSTITUTE(ADDRESS(MATCH($A159,'kc-Wert für Stützen'!$C:$C,0),MATCH(N$7,'kc-Wert für Stützen'!$A$8:$ES$8,0)+7,4),,))</f>
        <v>32523.1448605279</v>
      </c>
      <c r="O159" s="768">
        <f ca="1">INDIRECT("'kc-Wert für Stützen'!"&amp;SUBSTITUTE(ADDRESS(MATCH($A159,'kc-Wert für Stützen'!$C:$C,0),MATCH(O$7,'kc-Wert für Stützen'!$A$8:$ES$8,0)+7,4),,))</f>
        <v>31530.009959594136</v>
      </c>
      <c r="P159" s="768">
        <f ca="1">INDIRECT("'kc-Wert für Stützen'!"&amp;SUBSTITUTE(ADDRESS(MATCH($A159,'kc-Wert für Stützen'!$C:$C,0),MATCH(P$7,'kc-Wert für Stützen'!$A$8:$ES$8,0)+7,4),,))</f>
        <v>30532.45139561766</v>
      </c>
      <c r="S159" s="772">
        <f t="shared" ca="1" si="59"/>
        <v>40160.956778211323</v>
      </c>
      <c r="T159" s="772">
        <f t="shared" ca="1" si="69"/>
        <v>40160.956778211323</v>
      </c>
      <c r="U159" s="772">
        <f t="shared" ca="1" si="69"/>
        <v>40160.956778211323</v>
      </c>
      <c r="V159" s="772">
        <f t="shared" ca="1" si="69"/>
        <v>39654.720100306949</v>
      </c>
      <c r="W159" s="772">
        <f t="shared" ca="1" si="69"/>
        <v>39092.7671475026</v>
      </c>
      <c r="X159" s="772">
        <f t="shared" ca="1" si="69"/>
        <v>38470.910263931473</v>
      </c>
      <c r="Y159" s="772">
        <f t="shared" ca="1" si="69"/>
        <v>37786.417787248582</v>
      </c>
      <c r="Z159" s="772">
        <f t="shared" ca="1" si="69"/>
        <v>40160.956778211323</v>
      </c>
      <c r="AA159" s="772">
        <f t="shared" ca="1" si="69"/>
        <v>40160.956778211323</v>
      </c>
      <c r="AB159" s="772">
        <f t="shared" ca="1" si="68"/>
        <v>39654.720100306949</v>
      </c>
      <c r="AC159" s="772">
        <f t="shared" ca="1" si="68"/>
        <v>39654.720100306949</v>
      </c>
      <c r="AD159" s="772">
        <f t="shared" ca="1" si="68"/>
        <v>39092.7671475026</v>
      </c>
      <c r="AE159" s="772">
        <f t="shared" ca="1" si="68"/>
        <v>39092.7671475026</v>
      </c>
      <c r="AF159" s="772">
        <f t="shared" ca="1" si="68"/>
        <v>38470.910263931473</v>
      </c>
      <c r="AG159" s="772">
        <f t="shared" ca="1" si="68"/>
        <v>38470.910263931473</v>
      </c>
      <c r="AH159" s="772">
        <f t="shared" ca="1" si="68"/>
        <v>38470.910263931473</v>
      </c>
      <c r="AI159" s="772">
        <f t="shared" ca="1" si="68"/>
        <v>40160.956778211323</v>
      </c>
      <c r="AJ159" s="772">
        <f t="shared" ca="1" si="68"/>
        <v>40160.956778211323</v>
      </c>
      <c r="AK159" s="772">
        <f t="shared" ca="1" si="68"/>
        <v>39654.720100306949</v>
      </c>
      <c r="AL159" s="772">
        <f t="shared" ca="1" si="68"/>
        <v>39654.720100306949</v>
      </c>
      <c r="AM159" s="772">
        <f t="shared" ca="1" si="68"/>
        <v>39092.7671475026</v>
      </c>
      <c r="AN159" s="772">
        <f t="shared" ca="1" si="68"/>
        <v>39092.7671475026</v>
      </c>
      <c r="AO159" s="772">
        <f t="shared" ca="1" si="68"/>
        <v>38470.910263931473</v>
      </c>
      <c r="AP159" s="772">
        <f t="shared" ca="1" si="68"/>
        <v>38470.910263931473</v>
      </c>
      <c r="AQ159" s="772">
        <f t="shared" ca="1" si="68"/>
        <v>38470.910263931473</v>
      </c>
      <c r="AR159" s="772">
        <f t="shared" ca="1" si="67"/>
        <v>40160.956778211323</v>
      </c>
      <c r="AS159" s="772">
        <f t="shared" ca="1" si="67"/>
        <v>40160.956778211323</v>
      </c>
      <c r="AT159" s="772">
        <f t="shared" ca="1" si="67"/>
        <v>39654.720100306949</v>
      </c>
      <c r="AU159" s="772">
        <f t="shared" ca="1" si="67"/>
        <v>39654.720100306949</v>
      </c>
      <c r="AV159" s="772">
        <f t="shared" ca="1" si="67"/>
        <v>39092.7671475026</v>
      </c>
      <c r="AW159" s="772">
        <f t="shared" ca="1" si="67"/>
        <v>39092.7671475026</v>
      </c>
      <c r="AX159" s="772">
        <f t="shared" ca="1" si="67"/>
        <v>38470.910263931473</v>
      </c>
      <c r="AY159" s="772">
        <f t="shared" ca="1" si="67"/>
        <v>38470.910263931473</v>
      </c>
      <c r="AZ159" s="772">
        <f t="shared" ca="1" si="67"/>
        <v>38470.910263931473</v>
      </c>
      <c r="BA159" s="772">
        <f t="shared" ca="1" si="67"/>
        <v>40160.956778211323</v>
      </c>
      <c r="BB159" s="772">
        <f t="shared" ca="1" si="66"/>
        <v>40160.956778211323</v>
      </c>
      <c r="BC159" s="772">
        <f t="shared" ca="1" si="66"/>
        <v>39654.720100306949</v>
      </c>
      <c r="BD159" s="772">
        <f t="shared" ca="1" si="66"/>
        <v>39092.7671475026</v>
      </c>
      <c r="BE159" s="772">
        <f t="shared" ca="1" si="66"/>
        <v>39092.7671475026</v>
      </c>
      <c r="BF159" s="772">
        <f t="shared" ca="1" si="66"/>
        <v>38470.910263931473</v>
      </c>
      <c r="BG159" s="772">
        <f t="shared" ca="1" si="66"/>
        <v>38470.910263931473</v>
      </c>
      <c r="BH159" s="772">
        <f t="shared" ca="1" si="70"/>
        <v>37786.417787248582</v>
      </c>
      <c r="BI159" s="772">
        <f t="shared" ca="1" si="70"/>
        <v>37786.417787248582</v>
      </c>
      <c r="BJ159" s="772">
        <f t="shared" ca="1" si="70"/>
        <v>39654.720100306949</v>
      </c>
      <c r="BK159" s="772">
        <f t="shared" ca="1" si="70"/>
        <v>39654.720100306949</v>
      </c>
      <c r="BL159" s="772">
        <f t="shared" ca="1" si="70"/>
        <v>39654.720100306949</v>
      </c>
      <c r="BM159" s="772">
        <f t="shared" ca="1" si="70"/>
        <v>39654.720100306949</v>
      </c>
      <c r="BN159" s="772">
        <f t="shared" ca="1" si="70"/>
        <v>38470.910263931473</v>
      </c>
      <c r="BO159" s="772">
        <f t="shared" ca="1" si="70"/>
        <v>38470.910263931473</v>
      </c>
      <c r="BP159" s="772">
        <f t="shared" ca="1" si="70"/>
        <v>37786.417787248582</v>
      </c>
      <c r="BQ159" s="772">
        <f t="shared" ca="1" si="70"/>
        <v>37786.417787248582</v>
      </c>
      <c r="BR159" s="772">
        <f t="shared" ca="1" si="70"/>
        <v>37038.699891243807</v>
      </c>
      <c r="BS159" s="772">
        <f t="shared" ca="1" si="70"/>
        <v>39654.720100306949</v>
      </c>
      <c r="BT159" s="772">
        <f t="shared" ca="1" si="70"/>
        <v>39654.720100306949</v>
      </c>
      <c r="BU159" s="772">
        <f t="shared" ca="1" si="70"/>
        <v>39654.720100306949</v>
      </c>
      <c r="BV159" s="772">
        <f t="shared" ca="1" si="70"/>
        <v>39092.7671475026</v>
      </c>
      <c r="BW159" s="772">
        <f t="shared" ca="1" si="70"/>
        <v>39092.7671475026</v>
      </c>
      <c r="BX159" s="772">
        <f t="shared" ca="1" si="64"/>
        <v>37786.417787248582</v>
      </c>
      <c r="BY159" s="772">
        <f t="shared" ca="1" si="64"/>
        <v>37786.417787248582</v>
      </c>
      <c r="BZ159" s="772">
        <f t="shared" ca="1" si="64"/>
        <v>37038.699891243807</v>
      </c>
      <c r="CA159" s="772">
        <f t="shared" ca="1" si="64"/>
        <v>37038.699891243807</v>
      </c>
      <c r="CB159" s="772">
        <f t="shared" ca="1" si="64"/>
        <v>39092.7671475026</v>
      </c>
      <c r="CC159" s="772">
        <f t="shared" ca="1" si="64"/>
        <v>39092.7671475026</v>
      </c>
      <c r="CD159" s="772">
        <f t="shared" ca="1" si="64"/>
        <v>39092.7671475026</v>
      </c>
      <c r="CE159" s="772">
        <f t="shared" ca="1" si="64"/>
        <v>39092.7671475026</v>
      </c>
      <c r="CF159" s="772">
        <f t="shared" ca="1" si="64"/>
        <v>38470.910263931473</v>
      </c>
      <c r="CG159" s="772">
        <f t="shared" ca="1" si="64"/>
        <v>37786.417787248582</v>
      </c>
      <c r="CH159" s="772">
        <f t="shared" ca="1" si="64"/>
        <v>37038.699891243807</v>
      </c>
      <c r="CI159" s="772">
        <f t="shared" ca="1" si="64"/>
        <v>37038.699891243807</v>
      </c>
      <c r="CJ159" s="772">
        <f t="shared" ca="1" si="64"/>
        <v>36229.875060390114</v>
      </c>
    </row>
    <row r="160" spans="1:88" ht="15" customHeight="1">
      <c r="A160" s="770">
        <f>'kc-Wert für Stützen'!C160</f>
        <v>212</v>
      </c>
      <c r="B160" s="768">
        <f ca="1">INDIRECT("'kc-Wert für Stützen'!"&amp;SUBSTITUTE(ADDRESS(MATCH($A160,'kc-Wert für Stützen'!$C:$C,0),MATCH(B$7,'kc-Wert für Stützen'!$A$8:$ES$8,0)+7,4),,))</f>
        <v>41467.870715283359</v>
      </c>
      <c r="C160" s="768">
        <f ca="1">INDIRECT("'kc-Wert für Stützen'!"&amp;SUBSTITUTE(ADDRESS(MATCH($A160,'kc-Wert für Stützen'!$C:$C,0),MATCH(C$7,'kc-Wert für Stützen'!$A$8:$ES$8,0)+7,4),,))</f>
        <v>41061.591060621075</v>
      </c>
      <c r="D160" s="768">
        <f ca="1">INDIRECT("'kc-Wert für Stützen'!"&amp;SUBSTITUTE(ADDRESS(MATCH($A160,'kc-Wert für Stützen'!$C:$C,0),MATCH(D$7,'kc-Wert für Stützen'!$A$8:$ES$8,0)+7,4),,))</f>
        <v>40610.591610648014</v>
      </c>
      <c r="E160" s="768">
        <f ca="1">INDIRECT("'kc-Wert für Stützen'!"&amp;SUBSTITUTE(ADDRESS(MATCH($A160,'kc-Wert für Stützen'!$C:$C,0),MATCH(E$7,'kc-Wert für Stützen'!$A$8:$ES$8,0)+7,4),,))</f>
        <v>40109.610298482046</v>
      </c>
      <c r="F160" s="768">
        <f ca="1">INDIRECT("'kc-Wert für Stützen'!"&amp;SUBSTITUTE(ADDRESS(MATCH($A160,'kc-Wert für Stützen'!$C:$C,0),MATCH(F$7,'kc-Wert für Stützen'!$A$8:$ES$8,0)+7,4),,))</f>
        <v>39553.606235591367</v>
      </c>
      <c r="G160" s="768">
        <f ca="1">INDIRECT("'kc-Wert für Stützen'!"&amp;SUBSTITUTE(ADDRESS(MATCH($A160,'kc-Wert für Stützen'!$C:$C,0),MATCH(G$7,'kc-Wert für Stützen'!$A$8:$ES$8,0)+7,4),,))</f>
        <v>38938.25296746684</v>
      </c>
      <c r="H160" s="768">
        <f ca="1">INDIRECT("'kc-Wert für Stützen'!"&amp;SUBSTITUTE(ADDRESS(MATCH($A160,'kc-Wert für Stützen'!$C:$C,0),MATCH(H$7,'kc-Wert für Stützen'!$A$8:$ES$8,0)+7,4),,))</f>
        <v>38260.563848927981</v>
      </c>
      <c r="I160" s="768">
        <f ca="1">INDIRECT("'kc-Wert für Stützen'!"&amp;SUBSTITUTE(ADDRESS(MATCH($A160,'kc-Wert für Stützen'!$C:$C,0),MATCH(I$7,'kc-Wert für Stützen'!$A$8:$ES$8,0)+7,4),,))</f>
        <v>37519.571520229292</v>
      </c>
      <c r="J160" s="768">
        <f ca="1">INDIRECT("'kc-Wert für Stützen'!"&amp;SUBSTITUTE(ADDRESS(MATCH($A160,'kc-Wert für Stützen'!$C:$C,0),MATCH(J$7,'kc-Wert für Stützen'!$A$8:$ES$8,0)+7,4),,))</f>
        <v>36716.917508940402</v>
      </c>
      <c r="K160" s="768">
        <f ca="1">INDIRECT("'kc-Wert für Stützen'!"&amp;SUBSTITUTE(ADDRESS(MATCH($A160,'kc-Wert für Stützen'!$C:$C,0),MATCH(K$7,'kc-Wert für Stützen'!$A$8:$ES$8,0)+7,4),,))</f>
        <v>35857.171615274616</v>
      </c>
      <c r="L160" s="768">
        <f ca="1">INDIRECT("'kc-Wert für Stützen'!"&amp;SUBSTITUTE(ADDRESS(MATCH($A160,'kc-Wert für Stützen'!$C:$C,0),MATCH(L$7,'kc-Wert für Stützen'!$A$8:$ES$8,0)+7,4),,))</f>
        <v>34947.734775558194</v>
      </c>
      <c r="M160" s="768">
        <f ca="1">INDIRECT("'kc-Wert für Stützen'!"&amp;SUBSTITUTE(ADDRESS(MATCH($A160,'kc-Wert für Stützen'!$C:$C,0),MATCH(M$7,'kc-Wert für Stützen'!$A$8:$ES$8,0)+7,4),,))</f>
        <v>33998.292676814264</v>
      </c>
      <c r="N160" s="768">
        <f ca="1">INDIRECT("'kc-Wert für Stützen'!"&amp;SUBSTITUTE(ADDRESS(MATCH($A160,'kc-Wert für Stützen'!$C:$C,0),MATCH(N$7,'kc-Wert für Stützen'!$A$8:$ES$8,0)+7,4),,))</f>
        <v>33019.933908388302</v>
      </c>
      <c r="O160" s="768">
        <f ca="1">INDIRECT("'kc-Wert für Stützen'!"&amp;SUBSTITUTE(ADDRESS(MATCH($A160,'kc-Wert für Stützen'!$C:$C,0),MATCH(O$7,'kc-Wert für Stützen'!$A$8:$ES$8,0)+7,4),,))</f>
        <v>32024.147719669149</v>
      </c>
      <c r="P160" s="768">
        <f ca="1">INDIRECT("'kc-Wert für Stützen'!"&amp;SUBSTITUTE(ADDRESS(MATCH($A160,'kc-Wert für Stützen'!$C:$C,0),MATCH(P$7,'kc-Wert für Stützen'!$A$8:$ES$8,0)+7,4),,))</f>
        <v>31021.922457331166</v>
      </c>
      <c r="S160" s="772">
        <f t="shared" ca="1" si="59"/>
        <v>40610.591610648014</v>
      </c>
      <c r="T160" s="772">
        <f t="shared" ca="1" si="69"/>
        <v>40610.591610648014</v>
      </c>
      <c r="U160" s="772">
        <f t="shared" ca="1" si="69"/>
        <v>40610.591610648014</v>
      </c>
      <c r="V160" s="772">
        <f t="shared" ca="1" si="69"/>
        <v>40109.610298482046</v>
      </c>
      <c r="W160" s="772">
        <f t="shared" ca="1" si="69"/>
        <v>39553.606235591367</v>
      </c>
      <c r="X160" s="772">
        <f t="shared" ca="1" si="69"/>
        <v>38938.25296746684</v>
      </c>
      <c r="Y160" s="772">
        <f t="shared" ca="1" si="69"/>
        <v>38260.563848927981</v>
      </c>
      <c r="Z160" s="772">
        <f t="shared" ca="1" si="69"/>
        <v>40610.591610648014</v>
      </c>
      <c r="AA160" s="772">
        <f t="shared" ca="1" si="69"/>
        <v>40610.591610648014</v>
      </c>
      <c r="AB160" s="772">
        <f t="shared" ca="1" si="68"/>
        <v>40109.610298482046</v>
      </c>
      <c r="AC160" s="772">
        <f t="shared" ca="1" si="68"/>
        <v>40109.610298482046</v>
      </c>
      <c r="AD160" s="772">
        <f t="shared" ca="1" si="68"/>
        <v>39553.606235591367</v>
      </c>
      <c r="AE160" s="772">
        <f t="shared" ca="1" si="68"/>
        <v>39553.606235591367</v>
      </c>
      <c r="AF160" s="772">
        <f t="shared" ca="1" si="68"/>
        <v>38938.25296746684</v>
      </c>
      <c r="AG160" s="772">
        <f t="shared" ca="1" si="68"/>
        <v>38938.25296746684</v>
      </c>
      <c r="AH160" s="772">
        <f t="shared" ca="1" si="68"/>
        <v>38938.25296746684</v>
      </c>
      <c r="AI160" s="772">
        <f t="shared" ca="1" si="68"/>
        <v>40610.591610648014</v>
      </c>
      <c r="AJ160" s="772">
        <f t="shared" ca="1" si="68"/>
        <v>40610.591610648014</v>
      </c>
      <c r="AK160" s="772">
        <f t="shared" ca="1" si="68"/>
        <v>40109.610298482046</v>
      </c>
      <c r="AL160" s="772">
        <f t="shared" ca="1" si="68"/>
        <v>40109.610298482046</v>
      </c>
      <c r="AM160" s="772">
        <f t="shared" ca="1" si="68"/>
        <v>39553.606235591367</v>
      </c>
      <c r="AN160" s="772">
        <f t="shared" ca="1" si="68"/>
        <v>39553.606235591367</v>
      </c>
      <c r="AO160" s="772">
        <f t="shared" ca="1" si="68"/>
        <v>38938.25296746684</v>
      </c>
      <c r="AP160" s="772">
        <f t="shared" ca="1" si="68"/>
        <v>38938.25296746684</v>
      </c>
      <c r="AQ160" s="772">
        <f t="shared" ca="1" si="68"/>
        <v>38938.25296746684</v>
      </c>
      <c r="AR160" s="772">
        <f t="shared" ca="1" si="67"/>
        <v>40610.591610648014</v>
      </c>
      <c r="AS160" s="772">
        <f t="shared" ca="1" si="67"/>
        <v>40610.591610648014</v>
      </c>
      <c r="AT160" s="772">
        <f t="shared" ca="1" si="67"/>
        <v>40109.610298482046</v>
      </c>
      <c r="AU160" s="772">
        <f t="shared" ca="1" si="67"/>
        <v>40109.610298482046</v>
      </c>
      <c r="AV160" s="772">
        <f t="shared" ca="1" si="67"/>
        <v>39553.606235591367</v>
      </c>
      <c r="AW160" s="772">
        <f t="shared" ca="1" si="67"/>
        <v>39553.606235591367</v>
      </c>
      <c r="AX160" s="772">
        <f t="shared" ca="1" si="67"/>
        <v>38938.25296746684</v>
      </c>
      <c r="AY160" s="772">
        <f t="shared" ca="1" si="67"/>
        <v>38938.25296746684</v>
      </c>
      <c r="AZ160" s="772">
        <f t="shared" ca="1" si="67"/>
        <v>38938.25296746684</v>
      </c>
      <c r="BA160" s="772">
        <f t="shared" ca="1" si="67"/>
        <v>40610.591610648014</v>
      </c>
      <c r="BB160" s="772">
        <f t="shared" ca="1" si="66"/>
        <v>40610.591610648014</v>
      </c>
      <c r="BC160" s="772">
        <f t="shared" ca="1" si="66"/>
        <v>40109.610298482046</v>
      </c>
      <c r="BD160" s="772">
        <f t="shared" ca="1" si="66"/>
        <v>39553.606235591367</v>
      </c>
      <c r="BE160" s="772">
        <f t="shared" ca="1" si="66"/>
        <v>39553.606235591367</v>
      </c>
      <c r="BF160" s="772">
        <f t="shared" ca="1" si="66"/>
        <v>38938.25296746684</v>
      </c>
      <c r="BG160" s="772">
        <f t="shared" ca="1" si="66"/>
        <v>38938.25296746684</v>
      </c>
      <c r="BH160" s="772">
        <f t="shared" ca="1" si="70"/>
        <v>38260.563848927981</v>
      </c>
      <c r="BI160" s="772">
        <f t="shared" ca="1" si="70"/>
        <v>38260.563848927981</v>
      </c>
      <c r="BJ160" s="772">
        <f t="shared" ca="1" si="70"/>
        <v>40109.610298482046</v>
      </c>
      <c r="BK160" s="772">
        <f t="shared" ca="1" si="70"/>
        <v>40109.610298482046</v>
      </c>
      <c r="BL160" s="772">
        <f t="shared" ca="1" si="70"/>
        <v>40109.610298482046</v>
      </c>
      <c r="BM160" s="772">
        <f t="shared" ca="1" si="70"/>
        <v>40109.610298482046</v>
      </c>
      <c r="BN160" s="772">
        <f t="shared" ca="1" si="70"/>
        <v>38938.25296746684</v>
      </c>
      <c r="BO160" s="772">
        <f t="shared" ca="1" si="70"/>
        <v>38938.25296746684</v>
      </c>
      <c r="BP160" s="772">
        <f t="shared" ca="1" si="70"/>
        <v>38260.563848927981</v>
      </c>
      <c r="BQ160" s="772">
        <f t="shared" ca="1" si="70"/>
        <v>38260.563848927981</v>
      </c>
      <c r="BR160" s="772">
        <f t="shared" ca="1" si="70"/>
        <v>37519.571520229292</v>
      </c>
      <c r="BS160" s="772">
        <f t="shared" ca="1" si="70"/>
        <v>40109.610298482046</v>
      </c>
      <c r="BT160" s="772">
        <f t="shared" ca="1" si="70"/>
        <v>40109.610298482046</v>
      </c>
      <c r="BU160" s="772">
        <f t="shared" ca="1" si="70"/>
        <v>40109.610298482046</v>
      </c>
      <c r="BV160" s="772">
        <f t="shared" ca="1" si="70"/>
        <v>39553.606235591367</v>
      </c>
      <c r="BW160" s="772">
        <f t="shared" ca="1" si="70"/>
        <v>39553.606235591367</v>
      </c>
      <c r="BX160" s="772">
        <f t="shared" ca="1" si="64"/>
        <v>38260.563848927981</v>
      </c>
      <c r="BY160" s="772">
        <f t="shared" ca="1" si="64"/>
        <v>38260.563848927981</v>
      </c>
      <c r="BZ160" s="772">
        <f t="shared" ca="1" si="64"/>
        <v>37519.571520229292</v>
      </c>
      <c r="CA160" s="772">
        <f t="shared" ca="1" si="64"/>
        <v>37519.571520229292</v>
      </c>
      <c r="CB160" s="772">
        <f t="shared" ca="1" si="64"/>
        <v>39553.606235591367</v>
      </c>
      <c r="CC160" s="772">
        <f t="shared" ca="1" si="64"/>
        <v>39553.606235591367</v>
      </c>
      <c r="CD160" s="772">
        <f t="shared" ca="1" si="64"/>
        <v>39553.606235591367</v>
      </c>
      <c r="CE160" s="772">
        <f t="shared" ca="1" si="64"/>
        <v>39553.606235591367</v>
      </c>
      <c r="CF160" s="772">
        <f t="shared" ca="1" si="64"/>
        <v>38938.25296746684</v>
      </c>
      <c r="CG160" s="772">
        <f t="shared" ca="1" si="64"/>
        <v>38260.563848927981</v>
      </c>
      <c r="CH160" s="772">
        <f t="shared" ca="1" si="64"/>
        <v>37519.571520229292</v>
      </c>
      <c r="CI160" s="772">
        <f t="shared" ca="1" si="64"/>
        <v>37519.571520229292</v>
      </c>
      <c r="CJ160" s="772">
        <f t="shared" ca="1" si="64"/>
        <v>36716.917508940402</v>
      </c>
    </row>
    <row r="161" spans="1:88" ht="15" customHeight="1">
      <c r="A161" s="770">
        <f>'kc-Wert für Stützen'!C161</f>
        <v>213</v>
      </c>
      <c r="B161" s="768">
        <f ca="1">INDIRECT("'kc-Wert für Stützen'!"&amp;SUBSTITUTE(ADDRESS(MATCH($A161,'kc-Wert für Stützen'!$C:$C,0),MATCH(B$7,'kc-Wert für Stützen'!$A$8:$ES$8,0)+7,4),,))</f>
        <v>41910.832603903043</v>
      </c>
      <c r="C161" s="768">
        <f ca="1">INDIRECT("'kc-Wert für Stützen'!"&amp;SUBSTITUTE(ADDRESS(MATCH($A161,'kc-Wert für Stützen'!$C:$C,0),MATCH(C$7,'kc-Wert für Stützen'!$A$8:$ES$8,0)+7,4),,))</f>
        <v>41508.252971558017</v>
      </c>
      <c r="D161" s="768">
        <f ca="1">INDIRECT("'kc-Wert für Stützen'!"&amp;SUBSTITUTE(ADDRESS(MATCH($A161,'kc-Wert für Stützen'!$C:$C,0),MATCH(D$7,'kc-Wert für Stützen'!$A$8:$ES$8,0)+7,4),,))</f>
        <v>41061.666653188127</v>
      </c>
      <c r="E161" s="768">
        <f ca="1">INDIRECT("'kc-Wert für Stützen'!"&amp;SUBSTITUTE(ADDRESS(MATCH($A161,'kc-Wert für Stützen'!$C:$C,0),MATCH(E$7,'kc-Wert für Stützen'!$A$8:$ES$8,0)+7,4),,))</f>
        <v>40565.835574742043</v>
      </c>
      <c r="F161" s="768">
        <f ca="1">INDIRECT("'kc-Wert für Stützen'!"&amp;SUBSTITUTE(ADDRESS(MATCH($A161,'kc-Wert für Stützen'!$C:$C,0),MATCH(F$7,'kc-Wert für Stützen'!$A$8:$ES$8,0)+7,4),,))</f>
        <v>40015.683858014811</v>
      </c>
      <c r="G161" s="768">
        <f ca="1">INDIRECT("'kc-Wert für Stützen'!"&amp;SUBSTITUTE(ADDRESS(MATCH($A161,'kc-Wert für Stützen'!$C:$C,0),MATCH(G$7,'kc-Wert für Stützen'!$A$8:$ES$8,0)+7,4),,))</f>
        <v>39406.762892160747</v>
      </c>
      <c r="H161" s="768">
        <f ca="1">INDIRECT("'kc-Wert für Stützen'!"&amp;SUBSTITUTE(ADDRESS(MATCH($A161,'kc-Wert für Stützen'!$C:$C,0),MATCH(H$7,'kc-Wert für Stützen'!$A$8:$ES$8,0)+7,4),,))</f>
        <v>38735.852049041809</v>
      </c>
      <c r="I161" s="768">
        <f ca="1">INDIRECT("'kc-Wert für Stützen'!"&amp;SUBSTITUTE(ADDRESS(MATCH($A161,'kc-Wert für Stützen'!$C:$C,0),MATCH(I$7,'kc-Wert für Stützen'!$A$8:$ES$8,0)+7,4),,))</f>
        <v>38001.628437268177</v>
      </c>
      <c r="J161" s="768">
        <f ca="1">INDIRECT("'kc-Wert für Stützen'!"&amp;SUBSTITUTE(ADDRESS(MATCH($A161,'kc-Wert für Stützen'!$C:$C,0),MATCH(J$7,'kc-Wert für Stützen'!$A$8:$ES$8,0)+7,4),,))</f>
        <v>37205.274044455888</v>
      </c>
      <c r="K161" s="768">
        <f ca="1">INDIRECT("'kc-Wert für Stützen'!"&amp;SUBSTITUTE(ADDRESS(MATCH($A161,'kc-Wert für Stützen'!$C:$C,0),MATCH(K$7,'kc-Wert für Stützen'!$A$8:$ES$8,0)+7,4),,))</f>
        <v>36350.845821849915</v>
      </c>
      <c r="L161" s="768">
        <f ca="1">INDIRECT("'kc-Wert für Stützen'!"&amp;SUBSTITUTE(ADDRESS(MATCH($A161,'kc-Wert für Stützen'!$C:$C,0),MATCH(L$7,'kc-Wert für Stützen'!$A$8:$ES$8,0)+7,4),,))</f>
        <v>35445.254524889744</v>
      </c>
      <c r="M161" s="768">
        <f ca="1">INDIRECT("'kc-Wert für Stützen'!"&amp;SUBSTITUTE(ADDRESS(MATCH($A161,'kc-Wert für Stützen'!$C:$C,0),MATCH(M$7,'kc-Wert für Stützen'!$A$8:$ES$8,0)+7,4),,))</f>
        <v>34497.797611761467</v>
      </c>
      <c r="N161" s="768">
        <f ca="1">INDIRECT("'kc-Wert für Stützen'!"&amp;SUBSTITUTE(ADDRESS(MATCH($A161,'kc-Wert für Stützen'!$C:$C,0),MATCH(N$7,'kc-Wert für Stützen'!$A$8:$ES$8,0)+7,4),,))</f>
        <v>33519.333940913581</v>
      </c>
      <c r="O161" s="768">
        <f ca="1">INDIRECT("'kc-Wert für Stützen'!"&amp;SUBSTITUTE(ADDRESS(MATCH($A161,'kc-Wert für Stützen'!$C:$C,0),MATCH(O$7,'kc-Wert für Stützen'!$A$8:$ES$8,0)+7,4),,))</f>
        <v>32521.299298277288</v>
      </c>
      <c r="P161" s="768">
        <f ca="1">INDIRECT("'kc-Wert für Stützen'!"&amp;SUBSTITUTE(ADDRESS(MATCH($A161,'kc-Wert für Stützen'!$C:$C,0),MATCH(P$7,'kc-Wert für Stützen'!$A$8:$ES$8,0)+7,4),,))</f>
        <v>31514.784976606614</v>
      </c>
      <c r="S161" s="772">
        <f t="shared" ca="1" si="59"/>
        <v>41061.666653188127</v>
      </c>
      <c r="T161" s="772">
        <f t="shared" ca="1" si="69"/>
        <v>41061.666653188127</v>
      </c>
      <c r="U161" s="772">
        <f t="shared" ca="1" si="69"/>
        <v>41061.666653188127</v>
      </c>
      <c r="V161" s="772">
        <f t="shared" ca="1" si="69"/>
        <v>40565.835574742043</v>
      </c>
      <c r="W161" s="772">
        <f t="shared" ca="1" si="69"/>
        <v>40015.683858014811</v>
      </c>
      <c r="X161" s="772">
        <f t="shared" ca="1" si="69"/>
        <v>39406.762892160747</v>
      </c>
      <c r="Y161" s="772">
        <f t="shared" ca="1" si="69"/>
        <v>38735.852049041809</v>
      </c>
      <c r="Z161" s="772">
        <f t="shared" ca="1" si="69"/>
        <v>41061.666653188127</v>
      </c>
      <c r="AA161" s="772">
        <f t="shared" ca="1" si="69"/>
        <v>41061.666653188127</v>
      </c>
      <c r="AB161" s="772">
        <f t="shared" ca="1" si="68"/>
        <v>40565.835574742043</v>
      </c>
      <c r="AC161" s="772">
        <f t="shared" ca="1" si="68"/>
        <v>40565.835574742043</v>
      </c>
      <c r="AD161" s="772">
        <f t="shared" ca="1" si="68"/>
        <v>40015.683858014811</v>
      </c>
      <c r="AE161" s="772">
        <f t="shared" ca="1" si="68"/>
        <v>40015.683858014811</v>
      </c>
      <c r="AF161" s="772">
        <f t="shared" ca="1" si="68"/>
        <v>39406.762892160747</v>
      </c>
      <c r="AG161" s="772">
        <f t="shared" ca="1" si="68"/>
        <v>39406.762892160747</v>
      </c>
      <c r="AH161" s="772">
        <f t="shared" ca="1" si="68"/>
        <v>39406.762892160747</v>
      </c>
      <c r="AI161" s="772">
        <f t="shared" ca="1" si="68"/>
        <v>41061.666653188127</v>
      </c>
      <c r="AJ161" s="772">
        <f t="shared" ca="1" si="68"/>
        <v>41061.666653188127</v>
      </c>
      <c r="AK161" s="772">
        <f t="shared" ca="1" si="68"/>
        <v>40565.835574742043</v>
      </c>
      <c r="AL161" s="772">
        <f t="shared" ca="1" si="68"/>
        <v>40565.835574742043</v>
      </c>
      <c r="AM161" s="772">
        <f t="shared" ca="1" si="68"/>
        <v>40015.683858014811</v>
      </c>
      <c r="AN161" s="772">
        <f t="shared" ca="1" si="68"/>
        <v>40015.683858014811</v>
      </c>
      <c r="AO161" s="772">
        <f t="shared" ca="1" si="68"/>
        <v>39406.762892160747</v>
      </c>
      <c r="AP161" s="772">
        <f t="shared" ca="1" si="68"/>
        <v>39406.762892160747</v>
      </c>
      <c r="AQ161" s="772">
        <f t="shared" ca="1" si="68"/>
        <v>39406.762892160747</v>
      </c>
      <c r="AR161" s="772">
        <f t="shared" ref="AR161:AZ161" ca="1" si="71">HLOOKUP(AR$7,$A$7:$P$348,ROW()-6)</f>
        <v>41061.666653188127</v>
      </c>
      <c r="AS161" s="772">
        <f t="shared" ca="1" si="71"/>
        <v>41061.666653188127</v>
      </c>
      <c r="AT161" s="772">
        <f t="shared" ca="1" si="71"/>
        <v>40565.835574742043</v>
      </c>
      <c r="AU161" s="772">
        <f t="shared" ca="1" si="71"/>
        <v>40565.835574742043</v>
      </c>
      <c r="AV161" s="772">
        <f t="shared" ca="1" si="71"/>
        <v>40015.683858014811</v>
      </c>
      <c r="AW161" s="772">
        <f t="shared" ca="1" si="71"/>
        <v>40015.683858014811</v>
      </c>
      <c r="AX161" s="772">
        <f t="shared" ca="1" si="71"/>
        <v>39406.762892160747</v>
      </c>
      <c r="AY161" s="772">
        <f t="shared" ca="1" si="71"/>
        <v>39406.762892160747</v>
      </c>
      <c r="AZ161" s="772">
        <f t="shared" ca="1" si="71"/>
        <v>39406.762892160747</v>
      </c>
      <c r="BA161" s="772">
        <f t="shared" ref="AR161:BG177" ca="1" si="72">HLOOKUP(BA$7,$A$7:$P$348,ROW()-6)</f>
        <v>41061.666653188127</v>
      </c>
      <c r="BB161" s="772">
        <f t="shared" ca="1" si="72"/>
        <v>41061.666653188127</v>
      </c>
      <c r="BC161" s="772">
        <f t="shared" ca="1" si="72"/>
        <v>40565.835574742043</v>
      </c>
      <c r="BD161" s="772">
        <f t="shared" ca="1" si="72"/>
        <v>40015.683858014811</v>
      </c>
      <c r="BE161" s="772">
        <f t="shared" ca="1" si="72"/>
        <v>40015.683858014811</v>
      </c>
      <c r="BF161" s="772">
        <f t="shared" ca="1" si="72"/>
        <v>39406.762892160747</v>
      </c>
      <c r="BG161" s="772">
        <f t="shared" ca="1" si="72"/>
        <v>39406.762892160747</v>
      </c>
      <c r="BH161" s="772">
        <f t="shared" ca="1" si="70"/>
        <v>38735.852049041809</v>
      </c>
      <c r="BI161" s="772">
        <f t="shared" ca="1" si="70"/>
        <v>38735.852049041809</v>
      </c>
      <c r="BJ161" s="772">
        <f t="shared" ca="1" si="70"/>
        <v>40565.835574742043</v>
      </c>
      <c r="BK161" s="772">
        <f t="shared" ca="1" si="70"/>
        <v>40565.835574742043</v>
      </c>
      <c r="BL161" s="772">
        <f t="shared" ca="1" si="70"/>
        <v>40565.835574742043</v>
      </c>
      <c r="BM161" s="772">
        <f t="shared" ca="1" si="70"/>
        <v>40565.835574742043</v>
      </c>
      <c r="BN161" s="772">
        <f t="shared" ca="1" si="70"/>
        <v>39406.762892160747</v>
      </c>
      <c r="BO161" s="772">
        <f t="shared" ca="1" si="70"/>
        <v>39406.762892160747</v>
      </c>
      <c r="BP161" s="772">
        <f t="shared" ca="1" si="70"/>
        <v>38735.852049041809</v>
      </c>
      <c r="BQ161" s="772">
        <f t="shared" ca="1" si="70"/>
        <v>38735.852049041809</v>
      </c>
      <c r="BR161" s="772">
        <f t="shared" ca="1" si="70"/>
        <v>38001.628437268177</v>
      </c>
      <c r="BS161" s="772">
        <f t="shared" ca="1" si="70"/>
        <v>40565.835574742043</v>
      </c>
      <c r="BT161" s="772">
        <f t="shared" ca="1" si="70"/>
        <v>40565.835574742043</v>
      </c>
      <c r="BU161" s="772">
        <f t="shared" ca="1" si="70"/>
        <v>40565.835574742043</v>
      </c>
      <c r="BV161" s="772">
        <f t="shared" ca="1" si="70"/>
        <v>40015.683858014811</v>
      </c>
      <c r="BW161" s="772">
        <f t="shared" ca="1" si="70"/>
        <v>40015.683858014811</v>
      </c>
      <c r="BX161" s="772">
        <f t="shared" ca="1" si="64"/>
        <v>38735.852049041809</v>
      </c>
      <c r="BY161" s="772">
        <f t="shared" ca="1" si="64"/>
        <v>38735.852049041809</v>
      </c>
      <c r="BZ161" s="772">
        <f t="shared" ca="1" si="64"/>
        <v>38001.628437268177</v>
      </c>
      <c r="CA161" s="772">
        <f t="shared" ca="1" si="64"/>
        <v>38001.628437268177</v>
      </c>
      <c r="CB161" s="772">
        <f t="shared" ca="1" si="64"/>
        <v>40015.683858014811</v>
      </c>
      <c r="CC161" s="772">
        <f t="shared" ca="1" si="64"/>
        <v>40015.683858014811</v>
      </c>
      <c r="CD161" s="772">
        <f t="shared" ca="1" si="64"/>
        <v>40015.683858014811</v>
      </c>
      <c r="CE161" s="772">
        <f t="shared" ca="1" si="64"/>
        <v>40015.683858014811</v>
      </c>
      <c r="CF161" s="772">
        <f t="shared" ca="1" si="64"/>
        <v>39406.762892160747</v>
      </c>
      <c r="CG161" s="772">
        <f t="shared" ca="1" si="64"/>
        <v>38735.852049041809</v>
      </c>
      <c r="CH161" s="772">
        <f t="shared" ca="1" si="64"/>
        <v>38001.628437268177</v>
      </c>
      <c r="CI161" s="772">
        <f t="shared" ca="1" si="64"/>
        <v>38001.628437268177</v>
      </c>
      <c r="CJ161" s="772">
        <f t="shared" ca="1" si="64"/>
        <v>37205.274044455888</v>
      </c>
    </row>
    <row r="162" spans="1:88" ht="15" customHeight="1">
      <c r="A162" s="770">
        <f>'kc-Wert für Stützen'!C162</f>
        <v>214</v>
      </c>
      <c r="B162" s="768">
        <f ca="1">INDIRECT("'kc-Wert für Stützen'!"&amp;SUBSTITUTE(ADDRESS(MATCH($A162,'kc-Wert für Stützen'!$C:$C,0),MATCH(B$7,'kc-Wert für Stützen'!$A$8:$ES$8,0)+7,4),,))</f>
        <v>42355.441785268289</v>
      </c>
      <c r="C162" s="768">
        <f ca="1">INDIRECT("'kc-Wert für Stützen'!"&amp;SUBSTITUTE(ADDRESS(MATCH($A162,'kc-Wert für Stützen'!$C:$C,0),MATCH(C$7,'kc-Wert für Stützen'!$A$8:$ES$8,0)+7,4),,))</f>
        <v>41956.470862523383</v>
      </c>
      <c r="D162" s="768">
        <f ca="1">INDIRECT("'kc-Wert für Stützen'!"&amp;SUBSTITUTE(ADDRESS(MATCH($A162,'kc-Wert für Stützen'!$C:$C,0),MATCH(D$7,'kc-Wert für Stützen'!$A$8:$ES$8,0)+7,4),,))</f>
        <v>41514.196692434212</v>
      </c>
      <c r="E162" s="768">
        <f ca="1">INDIRECT("'kc-Wert für Stützen'!"&amp;SUBSTITUTE(ADDRESS(MATCH($A162,'kc-Wert für Stützen'!$C:$C,0),MATCH(E$7,'kc-Wert für Stützen'!$A$8:$ES$8,0)+7,4),,))</f>
        <v>41023.411022731721</v>
      </c>
      <c r="F162" s="768">
        <f ca="1">INDIRECT("'kc-Wert für Stützen'!"&amp;SUBSTITUTE(ADDRESS(MATCH($A162,'kc-Wert für Stützen'!$C:$C,0),MATCH(F$7,'kc-Wert für Stützen'!$A$8:$ES$8,0)+7,4),,))</f>
        <v>40479.013374550486</v>
      </c>
      <c r="G162" s="768">
        <f ca="1">INDIRECT("'kc-Wert für Stützen'!"&amp;SUBSTITUTE(ADDRESS(MATCH($A162,'kc-Wert für Stützen'!$C:$C,0),MATCH(G$7,'kc-Wert für Stützen'!$A$8:$ES$8,0)+7,4),,))</f>
        <v>39876.448623257813</v>
      </c>
      <c r="H162" s="768">
        <f ca="1">INDIRECT("'kc-Wert für Stützen'!"&amp;SUBSTITUTE(ADDRESS(MATCH($A162,'kc-Wert für Stützen'!$C:$C,0),MATCH(H$7,'kc-Wert für Stützen'!$A$8:$ES$8,0)+7,4),,))</f>
        <v>39212.282362213336</v>
      </c>
      <c r="I162" s="768">
        <f ca="1">INDIRECT("'kc-Wert für Stützen'!"&amp;SUBSTITUTE(ADDRESS(MATCH($A162,'kc-Wert für Stützen'!$C:$C,0),MATCH(I$7,'kc-Wert für Stützen'!$A$8:$ES$8,0)+7,4),,))</f>
        <v>38484.858032808239</v>
      </c>
      <c r="J162" s="768">
        <f ca="1">INDIRECT("'kc-Wert für Stützen'!"&amp;SUBSTITUTE(ADDRESS(MATCH($A162,'kc-Wert für Stützen'!$C:$C,0),MATCH(J$7,'kc-Wert für Stützen'!$A$8:$ES$8,0)+7,4),,))</f>
        <v>37694.916422466842</v>
      </c>
      <c r="K162" s="768">
        <f ca="1">INDIRECT("'kc-Wert für Stützen'!"&amp;SUBSTITUTE(ADDRESS(MATCH($A162,'kc-Wert für Stützen'!$C:$C,0),MATCH(K$7,'kc-Wert für Stützen'!$A$8:$ES$8,0)+7,4),,))</f>
        <v>36846.010369245654</v>
      </c>
      <c r="L162" s="768">
        <f ca="1">INDIRECT("'kc-Wert für Stützen'!"&amp;SUBSTITUTE(ADDRESS(MATCH($A162,'kc-Wert für Stützen'!$C:$C,0),MATCH(L$7,'kc-Wert für Stützen'!$A$8:$ES$8,0)+7,4),,))</f>
        <v>35944.555274669896</v>
      </c>
      <c r="M162" s="768">
        <f ca="1">INDIRECT("'kc-Wert für Stützen'!"&amp;SUBSTITUTE(ADDRESS(MATCH($A162,'kc-Wert für Stützen'!$C:$C,0),MATCH(M$7,'kc-Wert für Stützen'!$A$8:$ES$8,0)+7,4),,))</f>
        <v>34999.441192701706</v>
      </c>
      <c r="N162" s="768">
        <f ca="1">INDIRECT("'kc-Wert für Stützen'!"&amp;SUBSTITUTE(ADDRESS(MATCH($A162,'kc-Wert für Stützen'!$C:$C,0),MATCH(N$7,'kc-Wert für Stützen'!$A$8:$ES$8,0)+7,4),,))</f>
        <v>34021.268550710498</v>
      </c>
      <c r="O162" s="768">
        <f ca="1">INDIRECT("'kc-Wert für Stützen'!"&amp;SUBSTITUTE(ADDRESS(MATCH($A162,'kc-Wert für Stützen'!$C:$C,0),MATCH(O$7,'kc-Wert für Stützen'!$A$8:$ES$8,0)+7,4),,))</f>
        <v>33021.388393747024</v>
      </c>
      <c r="P162" s="768">
        <f ca="1">INDIRECT("'kc-Wert für Stützen'!"&amp;SUBSTITUTE(ADDRESS(MATCH($A162,'kc-Wert für Stützen'!$C:$C,0),MATCH(P$7,'kc-Wert für Stützen'!$A$8:$ES$8,0)+7,4),,))</f>
        <v>32010.967488919872</v>
      </c>
      <c r="S162" s="772">
        <f t="shared" ca="1" si="59"/>
        <v>41514.196692434212</v>
      </c>
      <c r="T162" s="772">
        <f t="shared" ca="1" si="69"/>
        <v>41514.196692434212</v>
      </c>
      <c r="U162" s="772">
        <f t="shared" ca="1" si="69"/>
        <v>41514.196692434212</v>
      </c>
      <c r="V162" s="772">
        <f t="shared" ca="1" si="69"/>
        <v>41023.411022731721</v>
      </c>
      <c r="W162" s="772">
        <f t="shared" ca="1" si="69"/>
        <v>40479.013374550486</v>
      </c>
      <c r="X162" s="772">
        <f t="shared" ca="1" si="69"/>
        <v>39876.448623257813</v>
      </c>
      <c r="Y162" s="772">
        <f t="shared" ca="1" si="69"/>
        <v>39212.282362213336</v>
      </c>
      <c r="Z162" s="772">
        <f t="shared" ca="1" si="69"/>
        <v>41514.196692434212</v>
      </c>
      <c r="AA162" s="772">
        <f t="shared" ca="1" si="69"/>
        <v>41514.196692434212</v>
      </c>
      <c r="AB162" s="772">
        <f t="shared" ca="1" si="68"/>
        <v>41023.411022731721</v>
      </c>
      <c r="AC162" s="772">
        <f t="shared" ca="1" si="68"/>
        <v>41023.411022731721</v>
      </c>
      <c r="AD162" s="772">
        <f t="shared" ca="1" si="68"/>
        <v>40479.013374550486</v>
      </c>
      <c r="AE162" s="772">
        <f t="shared" ca="1" si="68"/>
        <v>40479.013374550486</v>
      </c>
      <c r="AF162" s="772">
        <f t="shared" ca="1" si="68"/>
        <v>39876.448623257813</v>
      </c>
      <c r="AG162" s="772">
        <f t="shared" ca="1" si="68"/>
        <v>39876.448623257813</v>
      </c>
      <c r="AH162" s="772">
        <f t="shared" ca="1" si="68"/>
        <v>39876.448623257813</v>
      </c>
      <c r="AI162" s="772">
        <f t="shared" ca="1" si="68"/>
        <v>41514.196692434212</v>
      </c>
      <c r="AJ162" s="772">
        <f t="shared" ca="1" si="68"/>
        <v>41514.196692434212</v>
      </c>
      <c r="AK162" s="772">
        <f t="shared" ca="1" si="68"/>
        <v>41023.411022731721</v>
      </c>
      <c r="AL162" s="772">
        <f t="shared" ca="1" si="68"/>
        <v>41023.411022731721</v>
      </c>
      <c r="AM162" s="772">
        <f t="shared" ca="1" si="68"/>
        <v>40479.013374550486</v>
      </c>
      <c r="AN162" s="772">
        <f t="shared" ca="1" si="68"/>
        <v>40479.013374550486</v>
      </c>
      <c r="AO162" s="772">
        <f t="shared" ca="1" si="68"/>
        <v>39876.448623257813</v>
      </c>
      <c r="AP162" s="772">
        <f t="shared" ca="1" si="68"/>
        <v>39876.448623257813</v>
      </c>
      <c r="AQ162" s="772">
        <f t="shared" ca="1" si="68"/>
        <v>39876.448623257813</v>
      </c>
      <c r="AR162" s="772">
        <f t="shared" ca="1" si="72"/>
        <v>41514.196692434212</v>
      </c>
      <c r="AS162" s="772">
        <f t="shared" ca="1" si="72"/>
        <v>41514.196692434212</v>
      </c>
      <c r="AT162" s="772">
        <f t="shared" ca="1" si="72"/>
        <v>41023.411022731721</v>
      </c>
      <c r="AU162" s="772">
        <f t="shared" ca="1" si="72"/>
        <v>41023.411022731721</v>
      </c>
      <c r="AV162" s="772">
        <f t="shared" ca="1" si="72"/>
        <v>40479.013374550486</v>
      </c>
      <c r="AW162" s="772">
        <f t="shared" ca="1" si="72"/>
        <v>40479.013374550486</v>
      </c>
      <c r="AX162" s="772">
        <f t="shared" ca="1" si="72"/>
        <v>39876.448623257813</v>
      </c>
      <c r="AY162" s="772">
        <f t="shared" ca="1" si="72"/>
        <v>39876.448623257813</v>
      </c>
      <c r="AZ162" s="772">
        <f t="shared" ca="1" si="72"/>
        <v>39876.448623257813</v>
      </c>
      <c r="BA162" s="772">
        <f t="shared" ca="1" si="72"/>
        <v>41514.196692434212</v>
      </c>
      <c r="BB162" s="772">
        <f t="shared" ca="1" si="72"/>
        <v>41514.196692434212</v>
      </c>
      <c r="BC162" s="772">
        <f t="shared" ca="1" si="72"/>
        <v>41023.411022731721</v>
      </c>
      <c r="BD162" s="772">
        <f t="shared" ca="1" si="72"/>
        <v>40479.013374550486</v>
      </c>
      <c r="BE162" s="772">
        <f t="shared" ca="1" si="72"/>
        <v>40479.013374550486</v>
      </c>
      <c r="BF162" s="772">
        <f t="shared" ca="1" si="72"/>
        <v>39876.448623257813</v>
      </c>
      <c r="BG162" s="772">
        <f t="shared" ca="1" si="72"/>
        <v>39876.448623257813</v>
      </c>
      <c r="BH162" s="772">
        <f t="shared" ca="1" si="70"/>
        <v>39212.282362213336</v>
      </c>
      <c r="BI162" s="772">
        <f t="shared" ca="1" si="70"/>
        <v>39212.282362213336</v>
      </c>
      <c r="BJ162" s="772">
        <f t="shared" ca="1" si="70"/>
        <v>41023.411022731721</v>
      </c>
      <c r="BK162" s="772">
        <f t="shared" ca="1" si="70"/>
        <v>41023.411022731721</v>
      </c>
      <c r="BL162" s="772">
        <f t="shared" ca="1" si="70"/>
        <v>41023.411022731721</v>
      </c>
      <c r="BM162" s="772">
        <f t="shared" ca="1" si="70"/>
        <v>41023.411022731721</v>
      </c>
      <c r="BN162" s="772">
        <f t="shared" ca="1" si="70"/>
        <v>39876.448623257813</v>
      </c>
      <c r="BO162" s="772">
        <f t="shared" ca="1" si="70"/>
        <v>39876.448623257813</v>
      </c>
      <c r="BP162" s="772">
        <f t="shared" ca="1" si="70"/>
        <v>39212.282362213336</v>
      </c>
      <c r="BQ162" s="772">
        <f t="shared" ca="1" si="70"/>
        <v>39212.282362213336</v>
      </c>
      <c r="BR162" s="772">
        <f t="shared" ca="1" si="70"/>
        <v>38484.858032808239</v>
      </c>
      <c r="BS162" s="772">
        <f t="shared" ca="1" si="70"/>
        <v>41023.411022731721</v>
      </c>
      <c r="BT162" s="772">
        <f t="shared" ca="1" si="70"/>
        <v>41023.411022731721</v>
      </c>
      <c r="BU162" s="772">
        <f t="shared" ca="1" si="70"/>
        <v>41023.411022731721</v>
      </c>
      <c r="BV162" s="772">
        <f t="shared" ca="1" si="70"/>
        <v>40479.013374550486</v>
      </c>
      <c r="BW162" s="772">
        <f t="shared" ca="1" si="70"/>
        <v>40479.013374550486</v>
      </c>
      <c r="BX162" s="772">
        <f t="shared" ca="1" si="64"/>
        <v>39212.282362213336</v>
      </c>
      <c r="BY162" s="772">
        <f t="shared" ca="1" si="64"/>
        <v>39212.282362213336</v>
      </c>
      <c r="BZ162" s="772">
        <f t="shared" ca="1" si="64"/>
        <v>38484.858032808239</v>
      </c>
      <c r="CA162" s="772">
        <f t="shared" ca="1" si="64"/>
        <v>38484.858032808239</v>
      </c>
      <c r="CB162" s="772">
        <f t="shared" ca="1" si="64"/>
        <v>40479.013374550486</v>
      </c>
      <c r="CC162" s="772">
        <f t="shared" ca="1" si="64"/>
        <v>40479.013374550486</v>
      </c>
      <c r="CD162" s="772">
        <f t="shared" ca="1" si="64"/>
        <v>40479.013374550486</v>
      </c>
      <c r="CE162" s="772">
        <f t="shared" ca="1" si="64"/>
        <v>40479.013374550486</v>
      </c>
      <c r="CF162" s="772">
        <f t="shared" ca="1" si="64"/>
        <v>39876.448623257813</v>
      </c>
      <c r="CG162" s="772">
        <f t="shared" ca="1" si="64"/>
        <v>39212.282362213336</v>
      </c>
      <c r="CH162" s="772">
        <f t="shared" ca="1" si="64"/>
        <v>38484.858032808239</v>
      </c>
      <c r="CI162" s="772">
        <f t="shared" ca="1" si="64"/>
        <v>38484.858032808239</v>
      </c>
      <c r="CJ162" s="772">
        <f t="shared" ca="1" si="64"/>
        <v>37694.916422466842</v>
      </c>
    </row>
    <row r="163" spans="1:88" ht="15" customHeight="1">
      <c r="A163" s="770">
        <f>'kc-Wert für Stützen'!C163</f>
        <v>215</v>
      </c>
      <c r="B163" s="768">
        <f ca="1">INDIRECT("'kc-Wert für Stützen'!"&amp;SUBSTITUTE(ADDRESS(MATCH($A163,'kc-Wert für Stützen'!$C:$C,0),MATCH(B$7,'kc-Wert für Stützen'!$A$8:$ES$8,0)+7,4),,))</f>
        <v>42801.709331658778</v>
      </c>
      <c r="C163" s="768">
        <f ca="1">INDIRECT("'kc-Wert für Stützen'!"&amp;SUBSTITUTE(ADDRESS(MATCH($A163,'kc-Wert für Stützen'!$C:$C,0),MATCH(C$7,'kc-Wert für Stützen'!$A$8:$ES$8,0)+7,4),,))</f>
        <v>42406.257758411113</v>
      </c>
      <c r="D163" s="768">
        <f ca="1">INDIRECT("'kc-Wert für Stützen'!"&amp;SUBSTITUTE(ADDRESS(MATCH($A163,'kc-Wert für Stützen'!$C:$C,0),MATCH(D$7,'kc-Wert für Stützen'!$A$8:$ES$8,0)+7,4),,))</f>
        <v>41968.196293585228</v>
      </c>
      <c r="E163" s="768">
        <f ca="1">INDIRECT("'kc-Wert für Stützen'!"&amp;SUBSTITUTE(ADDRESS(MATCH($A163,'kc-Wert für Stützen'!$C:$C,0),MATCH(E$7,'kc-Wert für Stützen'!$A$8:$ES$8,0)+7,4),,))</f>
        <v>41482.351723914937</v>
      </c>
      <c r="F163" s="768">
        <f ca="1">INDIRECT("'kc-Wert für Stützen'!"&amp;SUBSTITUTE(ADDRESS(MATCH($A163,'kc-Wert für Stützen'!$C:$C,0),MATCH(F$7,'kc-Wert für Stützen'!$A$8:$ES$8,0)+7,4),,))</f>
        <v>40943.608510018625</v>
      </c>
      <c r="G163" s="768">
        <f ca="1">INDIRECT("'kc-Wert für Stützen'!"&amp;SUBSTITUTE(ADDRESS(MATCH($A163,'kc-Wert für Stützen'!$C:$C,0),MATCH(G$7,'kc-Wert für Stützen'!$A$8:$ES$8,0)+7,4),,))</f>
        <v>40347.319675168401</v>
      </c>
      <c r="H163" s="768">
        <f ca="1">INDIRECT("'kc-Wert für Stützen'!"&amp;SUBSTITUTE(ADDRESS(MATCH($A163,'kc-Wert für Stützen'!$C:$C,0),MATCH(H$7,'kc-Wert für Stützen'!$A$8:$ES$8,0)+7,4),,))</f>
        <v>39689.85640040999</v>
      </c>
      <c r="I163" s="768">
        <f ca="1">INDIRECT("'kc-Wert für Stützen'!"&amp;SUBSTITUTE(ADDRESS(MATCH($A163,'kc-Wert für Stützen'!$C:$C,0),MATCH(I$7,'kc-Wert für Stützen'!$A$8:$ES$8,0)+7,4),,))</f>
        <v>38969.250056831639</v>
      </c>
      <c r="J163" s="768">
        <f ca="1">INDIRECT("'kc-Wert für Stützen'!"&amp;SUBSTITUTE(ADDRESS(MATCH($A163,'kc-Wert für Stützen'!$C:$C,0),MATCH(J$7,'kc-Wert für Stützen'!$A$8:$ES$8,0)+7,4),,))</f>
        <v>38185.81929292914</v>
      </c>
      <c r="K163" s="768">
        <f ca="1">INDIRECT("'kc-Wert für Stützen'!"&amp;SUBSTITUTE(ADDRESS(MATCH($A163,'kc-Wert für Stützen'!$C:$C,0),MATCH(K$7,'kc-Wert für Stützen'!$A$8:$ES$8,0)+7,4),,))</f>
        <v>37342.62340121399</v>
      </c>
      <c r="L163" s="768">
        <f ca="1">INDIRECT("'kc-Wert für Stützen'!"&amp;SUBSTITUTE(ADDRESS(MATCH($A163,'kc-Wert für Stützen'!$C:$C,0),MATCH(L$7,'kc-Wert für Stützen'!$A$8:$ES$8,0)+7,4),,))</f>
        <v>36445.579809243565</v>
      </c>
      <c r="M163" s="768">
        <f ca="1">INDIRECT("'kc-Wert für Stützen'!"&amp;SUBSTITUTE(ADDRESS(MATCH($A163,'kc-Wert für Stützen'!$C:$C,0),MATCH(M$7,'kc-Wert für Stützen'!$A$8:$ES$8,0)+7,4),,))</f>
        <v>35503.15446701894</v>
      </c>
      <c r="N163" s="768">
        <f ca="1">INDIRECT("'kc-Wert für Stützen'!"&amp;SUBSTITUTE(ADDRESS(MATCH($A163,'kc-Wert für Stützen'!$C:$C,0),MATCH(N$7,'kc-Wert für Stützen'!$A$8:$ES$8,0)+7,4),,))</f>
        <v>34525.662277717798</v>
      </c>
      <c r="O163" s="768">
        <f ca="1">INDIRECT("'kc-Wert für Stützen'!"&amp;SUBSTITUTE(ADDRESS(MATCH($A163,'kc-Wert für Stützen'!$C:$C,0),MATCH(O$7,'kc-Wert für Stützen'!$A$8:$ES$8,0)+7,4),,))</f>
        <v>33524.338638339068</v>
      </c>
      <c r="P163" s="768">
        <f ca="1">INDIRECT("'kc-Wert für Stützen'!"&amp;SUBSTITUTE(ADDRESS(MATCH($A163,'kc-Wert für Stützen'!$C:$C,0),MATCH(P$7,'kc-Wert für Stützen'!$A$8:$ES$8,0)+7,4),,))</f>
        <v>32510.397608452673</v>
      </c>
      <c r="S163" s="772">
        <f t="shared" ca="1" si="59"/>
        <v>41968.196293585228</v>
      </c>
      <c r="T163" s="772">
        <f t="shared" ca="1" si="69"/>
        <v>41968.196293585228</v>
      </c>
      <c r="U163" s="772">
        <f t="shared" ca="1" si="69"/>
        <v>41968.196293585228</v>
      </c>
      <c r="V163" s="772">
        <f t="shared" ca="1" si="69"/>
        <v>41482.351723914937</v>
      </c>
      <c r="W163" s="772">
        <f t="shared" ca="1" si="69"/>
        <v>40943.608510018625</v>
      </c>
      <c r="X163" s="772">
        <f t="shared" ca="1" si="69"/>
        <v>40347.319675168401</v>
      </c>
      <c r="Y163" s="772">
        <f t="shared" ca="1" si="69"/>
        <v>39689.85640040999</v>
      </c>
      <c r="Z163" s="772">
        <f t="shared" ca="1" si="69"/>
        <v>41968.196293585228</v>
      </c>
      <c r="AA163" s="772">
        <f t="shared" ca="1" si="69"/>
        <v>41968.196293585228</v>
      </c>
      <c r="AB163" s="772">
        <f t="shared" ca="1" si="68"/>
        <v>41482.351723914937</v>
      </c>
      <c r="AC163" s="772">
        <f t="shared" ca="1" si="68"/>
        <v>41482.351723914937</v>
      </c>
      <c r="AD163" s="772">
        <f t="shared" ca="1" si="68"/>
        <v>40943.608510018625</v>
      </c>
      <c r="AE163" s="772">
        <f t="shared" ca="1" si="68"/>
        <v>40943.608510018625</v>
      </c>
      <c r="AF163" s="772">
        <f t="shared" ca="1" si="68"/>
        <v>40347.319675168401</v>
      </c>
      <c r="AG163" s="772">
        <f t="shared" ca="1" si="68"/>
        <v>40347.319675168401</v>
      </c>
      <c r="AH163" s="772">
        <f t="shared" ca="1" si="68"/>
        <v>40347.319675168401</v>
      </c>
      <c r="AI163" s="772">
        <f t="shared" ca="1" si="68"/>
        <v>41968.196293585228</v>
      </c>
      <c r="AJ163" s="772">
        <f t="shared" ca="1" si="68"/>
        <v>41968.196293585228</v>
      </c>
      <c r="AK163" s="772">
        <f t="shared" ca="1" si="68"/>
        <v>41482.351723914937</v>
      </c>
      <c r="AL163" s="772">
        <f t="shared" ca="1" si="68"/>
        <v>41482.351723914937</v>
      </c>
      <c r="AM163" s="772">
        <f t="shared" ca="1" si="68"/>
        <v>40943.608510018625</v>
      </c>
      <c r="AN163" s="772">
        <f t="shared" ca="1" si="68"/>
        <v>40943.608510018625</v>
      </c>
      <c r="AO163" s="772">
        <f t="shared" ca="1" si="68"/>
        <v>40347.319675168401</v>
      </c>
      <c r="AP163" s="772">
        <f t="shared" ca="1" si="68"/>
        <v>40347.319675168401</v>
      </c>
      <c r="AQ163" s="772">
        <f t="shared" ca="1" si="68"/>
        <v>40347.319675168401</v>
      </c>
      <c r="AR163" s="772">
        <f t="shared" ca="1" si="72"/>
        <v>41968.196293585228</v>
      </c>
      <c r="AS163" s="772">
        <f t="shared" ca="1" si="72"/>
        <v>41968.196293585228</v>
      </c>
      <c r="AT163" s="772">
        <f t="shared" ca="1" si="72"/>
        <v>41482.351723914937</v>
      </c>
      <c r="AU163" s="772">
        <f t="shared" ca="1" si="72"/>
        <v>41482.351723914937</v>
      </c>
      <c r="AV163" s="772">
        <f t="shared" ca="1" si="72"/>
        <v>40943.608510018625</v>
      </c>
      <c r="AW163" s="772">
        <f t="shared" ca="1" si="72"/>
        <v>40943.608510018625</v>
      </c>
      <c r="AX163" s="772">
        <f t="shared" ca="1" si="72"/>
        <v>40347.319675168401</v>
      </c>
      <c r="AY163" s="772">
        <f t="shared" ca="1" si="72"/>
        <v>40347.319675168401</v>
      </c>
      <c r="AZ163" s="772">
        <f t="shared" ca="1" si="72"/>
        <v>40347.319675168401</v>
      </c>
      <c r="BA163" s="772">
        <f t="shared" ca="1" si="72"/>
        <v>41968.196293585228</v>
      </c>
      <c r="BB163" s="772">
        <f t="shared" ca="1" si="72"/>
        <v>41968.196293585228</v>
      </c>
      <c r="BC163" s="772">
        <f t="shared" ca="1" si="72"/>
        <v>41482.351723914937</v>
      </c>
      <c r="BD163" s="772">
        <f t="shared" ca="1" si="72"/>
        <v>40943.608510018625</v>
      </c>
      <c r="BE163" s="772">
        <f t="shared" ca="1" si="72"/>
        <v>40943.608510018625</v>
      </c>
      <c r="BF163" s="772">
        <f t="shared" ca="1" si="72"/>
        <v>40347.319675168401</v>
      </c>
      <c r="BG163" s="772">
        <f t="shared" ca="1" si="72"/>
        <v>40347.319675168401</v>
      </c>
      <c r="BH163" s="772">
        <f t="shared" ca="1" si="70"/>
        <v>39689.85640040999</v>
      </c>
      <c r="BI163" s="772">
        <f t="shared" ca="1" si="70"/>
        <v>39689.85640040999</v>
      </c>
      <c r="BJ163" s="772">
        <f t="shared" ca="1" si="70"/>
        <v>41482.351723914937</v>
      </c>
      <c r="BK163" s="772">
        <f t="shared" ca="1" si="70"/>
        <v>41482.351723914937</v>
      </c>
      <c r="BL163" s="772">
        <f t="shared" ca="1" si="70"/>
        <v>41482.351723914937</v>
      </c>
      <c r="BM163" s="772">
        <f t="shared" ca="1" si="70"/>
        <v>41482.351723914937</v>
      </c>
      <c r="BN163" s="772">
        <f t="shared" ca="1" si="70"/>
        <v>40347.319675168401</v>
      </c>
      <c r="BO163" s="772">
        <f t="shared" ca="1" si="70"/>
        <v>40347.319675168401</v>
      </c>
      <c r="BP163" s="772">
        <f t="shared" ca="1" si="70"/>
        <v>39689.85640040999</v>
      </c>
      <c r="BQ163" s="772">
        <f t="shared" ca="1" si="70"/>
        <v>39689.85640040999</v>
      </c>
      <c r="BR163" s="772">
        <f t="shared" ca="1" si="70"/>
        <v>38969.250056831639</v>
      </c>
      <c r="BS163" s="772">
        <f t="shared" ca="1" si="70"/>
        <v>41482.351723914937</v>
      </c>
      <c r="BT163" s="772">
        <f t="shared" ca="1" si="70"/>
        <v>41482.351723914937</v>
      </c>
      <c r="BU163" s="772">
        <f t="shared" ca="1" si="70"/>
        <v>41482.351723914937</v>
      </c>
      <c r="BV163" s="772">
        <f t="shared" ca="1" si="70"/>
        <v>40943.608510018625</v>
      </c>
      <c r="BW163" s="772">
        <f t="shared" ca="1" si="70"/>
        <v>40943.608510018625</v>
      </c>
      <c r="BX163" s="772">
        <f t="shared" ca="1" si="64"/>
        <v>39689.85640040999</v>
      </c>
      <c r="BY163" s="772">
        <f t="shared" ca="1" si="64"/>
        <v>39689.85640040999</v>
      </c>
      <c r="BZ163" s="772">
        <f t="shared" ca="1" si="64"/>
        <v>38969.250056831639</v>
      </c>
      <c r="CA163" s="772">
        <f t="shared" ca="1" si="64"/>
        <v>38969.250056831639</v>
      </c>
      <c r="CB163" s="772">
        <f t="shared" ca="1" si="64"/>
        <v>40943.608510018625</v>
      </c>
      <c r="CC163" s="772">
        <f t="shared" ca="1" si="64"/>
        <v>40943.608510018625</v>
      </c>
      <c r="CD163" s="772">
        <f t="shared" ca="1" si="64"/>
        <v>40943.608510018625</v>
      </c>
      <c r="CE163" s="772">
        <f t="shared" ca="1" si="64"/>
        <v>40943.608510018625</v>
      </c>
      <c r="CF163" s="772">
        <f t="shared" ca="1" si="64"/>
        <v>40347.319675168401</v>
      </c>
      <c r="CG163" s="772">
        <f t="shared" ca="1" si="64"/>
        <v>39689.85640040999</v>
      </c>
      <c r="CH163" s="772">
        <f t="shared" ca="1" si="64"/>
        <v>38969.250056831639</v>
      </c>
      <c r="CI163" s="772">
        <f t="shared" ca="1" si="64"/>
        <v>38969.250056831639</v>
      </c>
      <c r="CJ163" s="772">
        <f t="shared" ca="1" si="64"/>
        <v>38185.81929292914</v>
      </c>
    </row>
    <row r="164" spans="1:88" ht="15" customHeight="1">
      <c r="A164" s="770">
        <f>'kc-Wert für Stützen'!C164</f>
        <v>216</v>
      </c>
      <c r="B164" s="768">
        <f ca="1">INDIRECT("'kc-Wert für Stützen'!"&amp;SUBSTITUTE(ADDRESS(MATCH($A164,'kc-Wert für Stützen'!$C:$C,0),MATCH(B$7,'kc-Wert für Stützen'!$A$8:$ES$8,0)+7,4),,))</f>
        <v>43249.646001880486</v>
      </c>
      <c r="C164" s="768">
        <f ca="1">INDIRECT("'kc-Wert für Stützen'!"&amp;SUBSTITUTE(ADDRESS(MATCH($A164,'kc-Wert für Stützen'!$C:$C,0),MATCH(C$7,'kc-Wert für Stützen'!$A$8:$ES$8,0)+7,4),,))</f>
        <v>42857.626374058782</v>
      </c>
      <c r="D164" s="768">
        <f ca="1">INDIRECT("'kc-Wert für Stützen'!"&amp;SUBSTITUTE(ADDRESS(MATCH($A164,'kc-Wert für Stützen'!$C:$C,0),MATCH(D$7,'kc-Wert für Stützen'!$A$8:$ES$8,0)+7,4),,))</f>
        <v>42423.67978427124</v>
      </c>
      <c r="E164" s="768">
        <f ca="1">INDIRECT("'kc-Wert für Stützen'!"&amp;SUBSTITUTE(ADDRESS(MATCH($A164,'kc-Wert für Stützen'!$C:$C,0),MATCH(E$7,'kc-Wert für Stützen'!$A$8:$ES$8,0)+7,4),,))</f>
        <v>41942.672708272687</v>
      </c>
      <c r="F164" s="768">
        <f ca="1">INDIRECT("'kc-Wert für Stützen'!"&amp;SUBSTITUTE(ADDRESS(MATCH($A164,'kc-Wert für Stützen'!$C:$C,0),MATCH(F$7,'kc-Wert für Stützen'!$A$8:$ES$8,0)+7,4),,))</f>
        <v>41409.48328315714</v>
      </c>
      <c r="G164" s="768">
        <f ca="1">INDIRECT("'kc-Wert für Stützen'!"&amp;SUBSTITUTE(ADDRESS(MATCH($A164,'kc-Wert für Stützen'!$C:$C,0),MATCH(G$7,'kc-Wert für Stützen'!$A$8:$ES$8,0)+7,4),,))</f>
        <v>40819.386385306592</v>
      </c>
      <c r="H164" s="768">
        <f ca="1">INDIRECT("'kc-Wert für Stützen'!"&amp;SUBSTITUTE(ADDRESS(MATCH($A164,'kc-Wert für Stützen'!$C:$C,0),MATCH(H$7,'kc-Wert für Stützen'!$A$8:$ES$8,0)+7,4),,))</f>
        <v>40168.577280891674</v>
      </c>
      <c r="I164" s="768">
        <f ca="1">INDIRECT("'kc-Wert für Stützen'!"&amp;SUBSTITUTE(ADDRESS(MATCH($A164,'kc-Wert für Stützen'!$C:$C,0),MATCH(I$7,'kc-Wert für Stützen'!$A$8:$ES$8,0)+7,4),,))</f>
        <v>39454.796486755353</v>
      </c>
      <c r="J164" s="768">
        <f ca="1">INDIRECT("'kc-Wert für Stützen'!"&amp;SUBSTITUTE(ADDRESS(MATCH($A164,'kc-Wert für Stützen'!$C:$C,0),MATCH(J$7,'kc-Wert für Stützen'!$A$8:$ES$8,0)+7,4),,))</f>
        <v>38677.960106263105</v>
      </c>
      <c r="K164" s="768">
        <f ca="1">INDIRECT("'kc-Wert für Stützen'!"&amp;SUBSTITUTE(ADDRESS(MATCH($A164,'kc-Wert für Stützen'!$C:$C,0),MATCH(K$7,'kc-Wert für Stützen'!$A$8:$ES$8,0)+7,4),,))</f>
        <v>37840.646084046275</v>
      </c>
      <c r="L164" s="768">
        <f ca="1">INDIRECT("'kc-Wert für Stützen'!"&amp;SUBSTITUTE(ADDRESS(MATCH($A164,'kc-Wert für Stützen'!$C:$C,0),MATCH(L$7,'kc-Wert für Stützen'!$A$8:$ES$8,0)+7,4),,))</f>
        <v>36948.273688091074</v>
      </c>
      <c r="M164" s="768">
        <f ca="1">INDIRECT("'kc-Wert für Stützen'!"&amp;SUBSTITUTE(ADDRESS(MATCH($A164,'kc-Wert für Stützen'!$C:$C,0),MATCH(M$7,'kc-Wert für Stützen'!$A$8:$ES$8,0)+7,4),,))</f>
        <v>36008.870571356936</v>
      </c>
      <c r="N164" s="768">
        <f ca="1">INDIRECT("'kc-Wert für Stützen'!"&amp;SUBSTITUTE(ADDRESS(MATCH($A164,'kc-Wert für Stützen'!$C:$C,0),MATCH(N$7,'kc-Wert für Stützen'!$A$8:$ES$8,0)+7,4),,))</f>
        <v>35032.44079278229</v>
      </c>
      <c r="O164" s="768">
        <f ca="1">INDIRECT("'kc-Wert für Stützen'!"&amp;SUBSTITUTE(ADDRESS(MATCH($A164,'kc-Wert für Stützen'!$C:$C,0),MATCH(O$7,'kc-Wert für Stützen'!$A$8:$ES$8,0)+7,4),,))</f>
        <v>34030.073783203865</v>
      </c>
      <c r="P164" s="768">
        <f ca="1">INDIRECT("'kc-Wert für Stützen'!"&amp;SUBSTITUTE(ADDRESS(MATCH($A164,'kc-Wert für Stützen'!$C:$C,0),MATCH(P$7,'kc-Wert für Stützen'!$A$8:$ES$8,0)+7,4),,))</f>
        <v>33013.002185335237</v>
      </c>
      <c r="S164" s="772">
        <f t="shared" ca="1" si="59"/>
        <v>42423.67978427124</v>
      </c>
      <c r="T164" s="772">
        <f t="shared" ca="1" si="69"/>
        <v>42423.67978427124</v>
      </c>
      <c r="U164" s="772">
        <f t="shared" ca="1" si="69"/>
        <v>42423.67978427124</v>
      </c>
      <c r="V164" s="772">
        <f t="shared" ca="1" si="69"/>
        <v>41942.672708272687</v>
      </c>
      <c r="W164" s="772">
        <f t="shared" ca="1" si="69"/>
        <v>41409.48328315714</v>
      </c>
      <c r="X164" s="772">
        <f t="shared" ca="1" si="69"/>
        <v>40819.386385306592</v>
      </c>
      <c r="Y164" s="772">
        <f t="shared" ca="1" si="69"/>
        <v>40168.577280891674</v>
      </c>
      <c r="Z164" s="772">
        <f t="shared" ca="1" si="69"/>
        <v>42423.67978427124</v>
      </c>
      <c r="AA164" s="772">
        <f t="shared" ca="1" si="69"/>
        <v>42423.67978427124</v>
      </c>
      <c r="AB164" s="772">
        <f t="shared" ca="1" si="68"/>
        <v>41942.672708272687</v>
      </c>
      <c r="AC164" s="772">
        <f t="shared" ca="1" si="68"/>
        <v>41942.672708272687</v>
      </c>
      <c r="AD164" s="772">
        <f t="shared" ca="1" si="68"/>
        <v>41409.48328315714</v>
      </c>
      <c r="AE164" s="772">
        <f t="shared" ca="1" si="68"/>
        <v>41409.48328315714</v>
      </c>
      <c r="AF164" s="772">
        <f t="shared" ca="1" si="68"/>
        <v>40819.386385306592</v>
      </c>
      <c r="AG164" s="772">
        <f t="shared" ca="1" si="68"/>
        <v>40819.386385306592</v>
      </c>
      <c r="AH164" s="772">
        <f t="shared" ca="1" si="68"/>
        <v>40819.386385306592</v>
      </c>
      <c r="AI164" s="772">
        <f t="shared" ca="1" si="68"/>
        <v>42423.67978427124</v>
      </c>
      <c r="AJ164" s="772">
        <f t="shared" ca="1" si="68"/>
        <v>42423.67978427124</v>
      </c>
      <c r="AK164" s="772">
        <f t="shared" ca="1" si="68"/>
        <v>41942.672708272687</v>
      </c>
      <c r="AL164" s="772">
        <f t="shared" ca="1" si="68"/>
        <v>41942.672708272687</v>
      </c>
      <c r="AM164" s="772">
        <f t="shared" ca="1" si="68"/>
        <v>41409.48328315714</v>
      </c>
      <c r="AN164" s="772">
        <f t="shared" ca="1" si="68"/>
        <v>41409.48328315714</v>
      </c>
      <c r="AO164" s="772">
        <f t="shared" ca="1" si="68"/>
        <v>40819.386385306592</v>
      </c>
      <c r="AP164" s="772">
        <f t="shared" ca="1" si="68"/>
        <v>40819.386385306592</v>
      </c>
      <c r="AQ164" s="772">
        <f t="shared" ca="1" si="68"/>
        <v>40819.386385306592</v>
      </c>
      <c r="AR164" s="772">
        <f t="shared" ca="1" si="72"/>
        <v>42423.67978427124</v>
      </c>
      <c r="AS164" s="772">
        <f t="shared" ca="1" si="72"/>
        <v>42423.67978427124</v>
      </c>
      <c r="AT164" s="772">
        <f t="shared" ca="1" si="72"/>
        <v>41942.672708272687</v>
      </c>
      <c r="AU164" s="772">
        <f t="shared" ca="1" si="72"/>
        <v>41942.672708272687</v>
      </c>
      <c r="AV164" s="772">
        <f t="shared" ca="1" si="72"/>
        <v>41409.48328315714</v>
      </c>
      <c r="AW164" s="772">
        <f t="shared" ca="1" si="72"/>
        <v>41409.48328315714</v>
      </c>
      <c r="AX164" s="772">
        <f t="shared" ca="1" si="72"/>
        <v>40819.386385306592</v>
      </c>
      <c r="AY164" s="772">
        <f t="shared" ca="1" si="72"/>
        <v>40819.386385306592</v>
      </c>
      <c r="AZ164" s="772">
        <f t="shared" ca="1" si="72"/>
        <v>40819.386385306592</v>
      </c>
      <c r="BA164" s="772">
        <f t="shared" ca="1" si="72"/>
        <v>42423.67978427124</v>
      </c>
      <c r="BB164" s="772">
        <f t="shared" ca="1" si="72"/>
        <v>42423.67978427124</v>
      </c>
      <c r="BC164" s="772">
        <f t="shared" ca="1" si="72"/>
        <v>41942.672708272687</v>
      </c>
      <c r="BD164" s="772">
        <f t="shared" ca="1" si="72"/>
        <v>41409.48328315714</v>
      </c>
      <c r="BE164" s="772">
        <f t="shared" ca="1" si="72"/>
        <v>41409.48328315714</v>
      </c>
      <c r="BF164" s="772">
        <f t="shared" ca="1" si="72"/>
        <v>40819.386385306592</v>
      </c>
      <c r="BG164" s="772">
        <f t="shared" ca="1" si="72"/>
        <v>40819.386385306592</v>
      </c>
      <c r="BH164" s="772">
        <f t="shared" ca="1" si="70"/>
        <v>40168.577280891674</v>
      </c>
      <c r="BI164" s="772">
        <f t="shared" ca="1" si="70"/>
        <v>40168.577280891674</v>
      </c>
      <c r="BJ164" s="772">
        <f t="shared" ca="1" si="70"/>
        <v>41942.672708272687</v>
      </c>
      <c r="BK164" s="772">
        <f t="shared" ca="1" si="70"/>
        <v>41942.672708272687</v>
      </c>
      <c r="BL164" s="772">
        <f t="shared" ca="1" si="70"/>
        <v>41942.672708272687</v>
      </c>
      <c r="BM164" s="772">
        <f t="shared" ca="1" si="70"/>
        <v>41942.672708272687</v>
      </c>
      <c r="BN164" s="772">
        <f t="shared" ca="1" si="70"/>
        <v>40819.386385306592</v>
      </c>
      <c r="BO164" s="772">
        <f t="shared" ca="1" si="70"/>
        <v>40819.386385306592</v>
      </c>
      <c r="BP164" s="772">
        <f t="shared" ca="1" si="70"/>
        <v>40168.577280891674</v>
      </c>
      <c r="BQ164" s="772">
        <f t="shared" ca="1" si="70"/>
        <v>40168.577280891674</v>
      </c>
      <c r="BR164" s="772">
        <f t="shared" ca="1" si="70"/>
        <v>39454.796486755353</v>
      </c>
      <c r="BS164" s="772">
        <f t="shared" ca="1" si="70"/>
        <v>41942.672708272687</v>
      </c>
      <c r="BT164" s="772">
        <f t="shared" ca="1" si="70"/>
        <v>41942.672708272687</v>
      </c>
      <c r="BU164" s="772">
        <f t="shared" ca="1" si="70"/>
        <v>41942.672708272687</v>
      </c>
      <c r="BV164" s="772">
        <f t="shared" ca="1" si="70"/>
        <v>41409.48328315714</v>
      </c>
      <c r="BW164" s="772">
        <f t="shared" ca="1" si="70"/>
        <v>41409.48328315714</v>
      </c>
      <c r="BX164" s="772">
        <f t="shared" ca="1" si="64"/>
        <v>40168.577280891674</v>
      </c>
      <c r="BY164" s="772">
        <f t="shared" ca="1" si="64"/>
        <v>40168.577280891674</v>
      </c>
      <c r="BZ164" s="772">
        <f t="shared" ca="1" si="64"/>
        <v>39454.796486755353</v>
      </c>
      <c r="CA164" s="772">
        <f t="shared" ca="1" si="64"/>
        <v>39454.796486755353</v>
      </c>
      <c r="CB164" s="772">
        <f t="shared" ca="1" si="64"/>
        <v>41409.48328315714</v>
      </c>
      <c r="CC164" s="772">
        <f t="shared" ca="1" si="64"/>
        <v>41409.48328315714</v>
      </c>
      <c r="CD164" s="772">
        <f t="shared" ca="1" si="64"/>
        <v>41409.48328315714</v>
      </c>
      <c r="CE164" s="772">
        <f t="shared" ca="1" si="64"/>
        <v>41409.48328315714</v>
      </c>
      <c r="CF164" s="772">
        <f t="shared" ca="1" si="64"/>
        <v>40819.386385306592</v>
      </c>
      <c r="CG164" s="772">
        <f t="shared" ca="1" si="64"/>
        <v>40168.577280891674</v>
      </c>
      <c r="CH164" s="772">
        <f t="shared" ca="1" si="64"/>
        <v>39454.796486755353</v>
      </c>
      <c r="CI164" s="772">
        <f t="shared" ca="1" si="64"/>
        <v>39454.796486755353</v>
      </c>
      <c r="CJ164" s="772">
        <f t="shared" ca="1" si="64"/>
        <v>38677.960106263105</v>
      </c>
    </row>
    <row r="165" spans="1:88" ht="15" customHeight="1">
      <c r="A165" s="770">
        <f>'kc-Wert für Stützen'!C165</f>
        <v>217</v>
      </c>
      <c r="B165" s="768">
        <f ca="1">INDIRECT("'kc-Wert für Stützen'!"&amp;SUBSTITUTE(ADDRESS(MATCH($A165,'kc-Wert für Stützen'!$C:$C,0),MATCH(B$7,'kc-Wert für Stützen'!$A$8:$ES$8,0)+7,4),,))</f>
        <v>43699.262246881459</v>
      </c>
      <c r="C165" s="768">
        <f ca="1">INDIRECT("'kc-Wert für Stützen'!"&amp;SUBSTITUTE(ADDRESS(MATCH($A165,'kc-Wert für Stützen'!$C:$C,0),MATCH(C$7,'kc-Wert für Stützen'!$A$8:$ES$8,0)+7,4),,))</f>
        <v>43310.589113539376</v>
      </c>
      <c r="D165" s="768">
        <f ca="1">INDIRECT("'kc-Wert für Stützen'!"&amp;SUBSTITUTE(ADDRESS(MATCH($A165,'kc-Wert für Stützen'!$C:$C,0),MATCH(D$7,'kc-Wert für Stützen'!$A$8:$ES$8,0)+7,4),,))</f>
        <v>42880.661241063834</v>
      </c>
      <c r="E165" s="768">
        <f ca="1">INDIRECT("'kc-Wert für Stützen'!"&amp;SUBSTITUTE(ADDRESS(MATCH($A165,'kc-Wert für Stützen'!$C:$C,0),MATCH(E$7,'kc-Wert für Stützen'!$A$8:$ES$8,0)+7,4),,))</f>
        <v>42404.388919425139</v>
      </c>
      <c r="F165" s="768">
        <f ca="1">INDIRECT("'kc-Wert für Stützen'!"&amp;SUBSTITUTE(ADDRESS(MATCH($A165,'kc-Wert für Stützen'!$C:$C,0),MATCH(F$7,'kc-Wert für Stützen'!$A$8:$ES$8,0)+7,4),,))</f>
        <v>41876.651941575379</v>
      </c>
      <c r="G165" s="768">
        <f ca="1">INDIRECT("'kc-Wert für Stützen'!"&amp;SUBSTITUTE(ADDRESS(MATCH($A165,'kc-Wert für Stützen'!$C:$C,0),MATCH(G$7,'kc-Wert für Stützen'!$A$8:$ES$8,0)+7,4),,))</f>
        <v>41292.659814515799</v>
      </c>
      <c r="H165" s="768">
        <f ca="1">INDIRECT("'kc-Wert für Stützen'!"&amp;SUBSTITUTE(ADDRESS(MATCH($A165,'kc-Wert für Stützen'!$C:$C,0),MATCH(H$7,'kc-Wert für Stützen'!$A$8:$ES$8,0)+7,4),,))</f>
        <v>40648.449498773691</v>
      </c>
      <c r="I165" s="768">
        <f ca="1">INDIRECT("'kc-Wert für Stützen'!"&amp;SUBSTITUTE(ADDRESS(MATCH($A165,'kc-Wert für Stützen'!$C:$C,0),MATCH(I$7,'kc-Wert für Stützen'!$A$8:$ES$8,0)+7,4),,))</f>
        <v>39941.491394796438</v>
      </c>
      <c r="J165" s="768">
        <f ca="1">INDIRECT("'kc-Wert für Stützen'!"&amp;SUBSTITUTE(ADDRESS(MATCH($A165,'kc-Wert für Stützen'!$C:$C,0),MATCH(J$7,'kc-Wert für Stützen'!$A$8:$ES$8,0)+7,4),,))</f>
        <v>39171.319011629894</v>
      </c>
      <c r="K165" s="768">
        <f ca="1">INDIRECT("'kc-Wert für Stützen'!"&amp;SUBSTITUTE(ADDRESS(MATCH($A165,'kc-Wert für Stützen'!$C:$C,0),MATCH(K$7,'kc-Wert für Stützen'!$A$8:$ES$8,0)+7,4),,))</f>
        <v>38340.042572245278</v>
      </c>
      <c r="L165" s="768">
        <f ca="1">INDIRECT("'kc-Wert für Stützen'!"&amp;SUBSTITUTE(ADDRESS(MATCH($A165,'kc-Wert für Stützen'!$C:$C,0),MATCH(L$7,'kc-Wert für Stützen'!$A$8:$ES$8,0)+7,4),,))</f>
        <v>37452.585297957055</v>
      </c>
      <c r="M165" s="768">
        <f ca="1">INDIRECT("'kc-Wert für Stützen'!"&amp;SUBSTITUTE(ADDRESS(MATCH($A165,'kc-Wert für Stützen'!$C:$C,0),MATCH(M$7,'kc-Wert für Stützen'!$A$8:$ES$8,0)+7,4),,))</f>
        <v>36516.524861631893</v>
      </c>
      <c r="N165" s="768">
        <f ca="1">INDIRECT("'kc-Wert für Stützen'!"&amp;SUBSTITUTE(ADDRESS(MATCH($A165,'kc-Wert für Stützen'!$C:$C,0),MATCH(N$7,'kc-Wert für Stützen'!$A$8:$ES$8,0)+7,4),,))</f>
        <v>35541.531074291364</v>
      </c>
      <c r="O165" s="768">
        <f ca="1">INDIRECT("'kc-Wert für Stützen'!"&amp;SUBSTITUTE(ADDRESS(MATCH($A165,'kc-Wert für Stützen'!$C:$C,0),MATCH(O$7,'kc-Wert für Stützen'!$A$8:$ES$8,0)+7,4),,))</f>
        <v>34538.517883148539</v>
      </c>
      <c r="P165" s="768">
        <f ca="1">INDIRECT("'kc-Wert für Stützen'!"&amp;SUBSTITUTE(ADDRESS(MATCH($A165,'kc-Wert für Stützen'!$C:$C,0),MATCH(P$7,'kc-Wert für Stützen'!$A$8:$ES$8,0)+7,4),,))</f>
        <v>33518.707467612847</v>
      </c>
      <c r="S165" s="772">
        <f t="shared" ca="1" si="59"/>
        <v>42880.661241063834</v>
      </c>
      <c r="T165" s="772">
        <f t="shared" ca="1" si="69"/>
        <v>42880.661241063834</v>
      </c>
      <c r="U165" s="772">
        <f t="shared" ca="1" si="69"/>
        <v>42880.661241063834</v>
      </c>
      <c r="V165" s="772">
        <f t="shared" ca="1" si="69"/>
        <v>42404.388919425139</v>
      </c>
      <c r="W165" s="772">
        <f t="shared" ca="1" si="69"/>
        <v>41876.651941575379</v>
      </c>
      <c r="X165" s="772">
        <f t="shared" ca="1" si="69"/>
        <v>41292.659814515799</v>
      </c>
      <c r="Y165" s="772">
        <f t="shared" ca="1" si="69"/>
        <v>40648.449498773691</v>
      </c>
      <c r="Z165" s="772">
        <f t="shared" ca="1" si="69"/>
        <v>42880.661241063834</v>
      </c>
      <c r="AA165" s="772">
        <f t="shared" ca="1" si="69"/>
        <v>42880.661241063834</v>
      </c>
      <c r="AB165" s="772">
        <f t="shared" ca="1" si="68"/>
        <v>42404.388919425139</v>
      </c>
      <c r="AC165" s="772">
        <f t="shared" ca="1" si="68"/>
        <v>42404.388919425139</v>
      </c>
      <c r="AD165" s="772">
        <f t="shared" ca="1" si="68"/>
        <v>41876.651941575379</v>
      </c>
      <c r="AE165" s="772">
        <f t="shared" ca="1" si="68"/>
        <v>41876.651941575379</v>
      </c>
      <c r="AF165" s="772">
        <f t="shared" ca="1" si="68"/>
        <v>41292.659814515799</v>
      </c>
      <c r="AG165" s="772">
        <f t="shared" ca="1" si="68"/>
        <v>41292.659814515799</v>
      </c>
      <c r="AH165" s="772">
        <f t="shared" ca="1" si="68"/>
        <v>41292.659814515799</v>
      </c>
      <c r="AI165" s="772">
        <f t="shared" ca="1" si="68"/>
        <v>42880.661241063834</v>
      </c>
      <c r="AJ165" s="772">
        <f t="shared" ca="1" si="68"/>
        <v>42880.661241063834</v>
      </c>
      <c r="AK165" s="772">
        <f t="shared" ca="1" si="68"/>
        <v>42404.388919425139</v>
      </c>
      <c r="AL165" s="772">
        <f t="shared" ca="1" si="68"/>
        <v>42404.388919425139</v>
      </c>
      <c r="AM165" s="772">
        <f t="shared" ca="1" si="68"/>
        <v>41876.651941575379</v>
      </c>
      <c r="AN165" s="772">
        <f t="shared" ca="1" si="68"/>
        <v>41876.651941575379</v>
      </c>
      <c r="AO165" s="772">
        <f t="shared" ca="1" si="68"/>
        <v>41292.659814515799</v>
      </c>
      <c r="AP165" s="772">
        <f t="shared" ca="1" si="68"/>
        <v>41292.659814515799</v>
      </c>
      <c r="AQ165" s="772">
        <f t="shared" ca="1" si="68"/>
        <v>41292.659814515799</v>
      </c>
      <c r="AR165" s="772">
        <f t="shared" ca="1" si="72"/>
        <v>42880.661241063834</v>
      </c>
      <c r="AS165" s="772">
        <f t="shared" ca="1" si="72"/>
        <v>42880.661241063834</v>
      </c>
      <c r="AT165" s="772">
        <f t="shared" ca="1" si="72"/>
        <v>42404.388919425139</v>
      </c>
      <c r="AU165" s="772">
        <f t="shared" ca="1" si="72"/>
        <v>42404.388919425139</v>
      </c>
      <c r="AV165" s="772">
        <f t="shared" ca="1" si="72"/>
        <v>41876.651941575379</v>
      </c>
      <c r="AW165" s="772">
        <f t="shared" ca="1" si="72"/>
        <v>41876.651941575379</v>
      </c>
      <c r="AX165" s="772">
        <f t="shared" ca="1" si="72"/>
        <v>41292.659814515799</v>
      </c>
      <c r="AY165" s="772">
        <f t="shared" ca="1" si="72"/>
        <v>41292.659814515799</v>
      </c>
      <c r="AZ165" s="772">
        <f t="shared" ca="1" si="72"/>
        <v>41292.659814515799</v>
      </c>
      <c r="BA165" s="772">
        <f t="shared" ca="1" si="72"/>
        <v>42880.661241063834</v>
      </c>
      <c r="BB165" s="772">
        <f t="shared" ca="1" si="72"/>
        <v>42880.661241063834</v>
      </c>
      <c r="BC165" s="772">
        <f t="shared" ca="1" si="72"/>
        <v>42404.388919425139</v>
      </c>
      <c r="BD165" s="772">
        <f t="shared" ca="1" si="72"/>
        <v>41876.651941575379</v>
      </c>
      <c r="BE165" s="772">
        <f t="shared" ca="1" si="72"/>
        <v>41876.651941575379</v>
      </c>
      <c r="BF165" s="772">
        <f t="shared" ca="1" si="72"/>
        <v>41292.659814515799</v>
      </c>
      <c r="BG165" s="772">
        <f t="shared" ca="1" si="72"/>
        <v>41292.659814515799</v>
      </c>
      <c r="BH165" s="772">
        <f t="shared" ca="1" si="70"/>
        <v>40648.449498773691</v>
      </c>
      <c r="BI165" s="772">
        <f t="shared" ca="1" si="70"/>
        <v>40648.449498773691</v>
      </c>
      <c r="BJ165" s="772">
        <f t="shared" ca="1" si="70"/>
        <v>42404.388919425139</v>
      </c>
      <c r="BK165" s="772">
        <f t="shared" ca="1" si="70"/>
        <v>42404.388919425139</v>
      </c>
      <c r="BL165" s="772">
        <f t="shared" ca="1" si="70"/>
        <v>42404.388919425139</v>
      </c>
      <c r="BM165" s="772">
        <f t="shared" ca="1" si="70"/>
        <v>42404.388919425139</v>
      </c>
      <c r="BN165" s="772">
        <f t="shared" ca="1" si="70"/>
        <v>41292.659814515799</v>
      </c>
      <c r="BO165" s="772">
        <f t="shared" ca="1" si="70"/>
        <v>41292.659814515799</v>
      </c>
      <c r="BP165" s="772">
        <f t="shared" ca="1" si="70"/>
        <v>40648.449498773691</v>
      </c>
      <c r="BQ165" s="772">
        <f t="shared" ca="1" si="70"/>
        <v>40648.449498773691</v>
      </c>
      <c r="BR165" s="772">
        <f t="shared" ca="1" si="70"/>
        <v>39941.491394796438</v>
      </c>
      <c r="BS165" s="772">
        <f t="shared" ca="1" si="70"/>
        <v>42404.388919425139</v>
      </c>
      <c r="BT165" s="772">
        <f t="shared" ca="1" si="70"/>
        <v>42404.388919425139</v>
      </c>
      <c r="BU165" s="772">
        <f t="shared" ca="1" si="70"/>
        <v>42404.388919425139</v>
      </c>
      <c r="BV165" s="772">
        <f t="shared" ca="1" si="70"/>
        <v>41876.651941575379</v>
      </c>
      <c r="BW165" s="772">
        <f t="shared" ca="1" si="70"/>
        <v>41876.651941575379</v>
      </c>
      <c r="BX165" s="772">
        <f t="shared" ca="1" si="64"/>
        <v>40648.449498773691</v>
      </c>
      <c r="BY165" s="772">
        <f t="shared" ca="1" si="64"/>
        <v>40648.449498773691</v>
      </c>
      <c r="BZ165" s="772">
        <f t="shared" ca="1" si="64"/>
        <v>39941.491394796438</v>
      </c>
      <c r="CA165" s="772">
        <f t="shared" ca="1" si="64"/>
        <v>39941.491394796438</v>
      </c>
      <c r="CB165" s="772">
        <f t="shared" ca="1" si="64"/>
        <v>41876.651941575379</v>
      </c>
      <c r="CC165" s="772">
        <f t="shared" ca="1" si="64"/>
        <v>41876.651941575379</v>
      </c>
      <c r="CD165" s="772">
        <f t="shared" ca="1" si="64"/>
        <v>41876.651941575379</v>
      </c>
      <c r="CE165" s="772">
        <f t="shared" ca="1" si="64"/>
        <v>41876.651941575379</v>
      </c>
      <c r="CF165" s="772">
        <f t="shared" ca="1" si="64"/>
        <v>41292.659814515799</v>
      </c>
      <c r="CG165" s="772">
        <f t="shared" ca="1" si="64"/>
        <v>40648.449498773691</v>
      </c>
      <c r="CH165" s="772">
        <f t="shared" ca="1" si="64"/>
        <v>39941.491394796438</v>
      </c>
      <c r="CI165" s="772">
        <f t="shared" ca="1" si="64"/>
        <v>39941.491394796438</v>
      </c>
      <c r="CJ165" s="772">
        <f t="shared" ca="1" si="64"/>
        <v>39171.319011629894</v>
      </c>
    </row>
    <row r="166" spans="1:88" ht="15" customHeight="1">
      <c r="A166" s="770">
        <f>'kc-Wert für Stützen'!C166</f>
        <v>218</v>
      </c>
      <c r="B166" s="768">
        <f ca="1">INDIRECT("'kc-Wert für Stützen'!"&amp;SUBSTITUTE(ADDRESS(MATCH($A166,'kc-Wert für Stützen'!$C:$C,0),MATCH(B$7,'kc-Wert für Stützen'!$A$8:$ES$8,0)+7,4),,))</f>
        <v>44150.568215759107</v>
      </c>
      <c r="C166" s="768">
        <f ca="1">INDIRECT("'kc-Wert für Stützen'!"&amp;SUBSTITUTE(ADDRESS(MATCH($A166,'kc-Wert für Stützen'!$C:$C,0),MATCH(C$7,'kc-Wert für Stützen'!$A$8:$ES$8,0)+7,4),,))</f>
        <v>43765.158070619007</v>
      </c>
      <c r="D166" s="768">
        <f ca="1">INDIRECT("'kc-Wert für Stützen'!"&amp;SUBSTITUTE(ADDRESS(MATCH($A166,'kc-Wert für Stützen'!$C:$C,0),MATCH(D$7,'kc-Wert für Stützen'!$A$8:$ES$8,0)+7,4),,))</f>
        <v>43339.154478398967</v>
      </c>
      <c r="E166" s="768">
        <f ca="1">INDIRECT("'kc-Wert für Stützen'!"&amp;SUBSTITUTE(ADDRESS(MATCH($A166,'kc-Wert für Stützen'!$C:$C,0),MATCH(E$7,'kc-Wert für Stützen'!$A$8:$ES$8,0)+7,4),,))</f>
        <v>42867.515183837415</v>
      </c>
      <c r="F166" s="768">
        <f ca="1">INDIRECT("'kc-Wert für Stützen'!"&amp;SUBSTITUTE(ADDRESS(MATCH($A166,'kc-Wert für Stützen'!$C:$C,0),MATCH(F$7,'kc-Wert für Stützen'!$A$8:$ES$8,0)+7,4),,))</f>
        <v>42345.128902472796</v>
      </c>
      <c r="G166" s="768">
        <f ca="1">INDIRECT("'kc-Wert für Stützen'!"&amp;SUBSTITUTE(ADDRESS(MATCH($A166,'kc-Wert für Stützen'!$C:$C,0),MATCH(G$7,'kc-Wert für Stützen'!$A$8:$ES$8,0)+7,4),,))</f>
        <v>41767.151654010522</v>
      </c>
      <c r="H166" s="768">
        <f ca="1">INDIRECT("'kc-Wert für Stützen'!"&amp;SUBSTITUTE(ADDRESS(MATCH($A166,'kc-Wert für Stützen'!$C:$C,0),MATCH(H$7,'kc-Wert für Stützen'!$A$8:$ES$8,0)+7,4),,))</f>
        <v>41129.478804631864</v>
      </c>
      <c r="I166" s="768">
        <f ca="1">INDIRECT("'kc-Wert für Stützen'!"&amp;SUBSTITUTE(ADDRESS(MATCH($A166,'kc-Wert für Stützen'!$C:$C,0),MATCH(I$7,'kc-Wert für Stützen'!$A$8:$ES$8,0)+7,4),,))</f>
        <v>40429.330815828573</v>
      </c>
      <c r="J166" s="768">
        <f ca="1">INDIRECT("'kc-Wert für Stützen'!"&amp;SUBSTITUTE(ADDRESS(MATCH($A166,'kc-Wert für Stützen'!$C:$C,0),MATCH(J$7,'kc-Wert für Stützen'!$A$8:$ES$8,0)+7,4),,))</f>
        <v>39665.878748808471</v>
      </c>
      <c r="K166" s="768">
        <f ca="1">INDIRECT("'kc-Wert für Stützen'!"&amp;SUBSTITUTE(ADDRESS(MATCH($A166,'kc-Wert für Stützen'!$C:$C,0),MATCH(K$7,'kc-Wert für Stützen'!$A$8:$ES$8,0)+7,4),,))</f>
        <v>38840.779961244472</v>
      </c>
      <c r="L166" s="768">
        <f ca="1">INDIRECT("'kc-Wert für Stützen'!"&amp;SUBSTITUTE(ADDRESS(MATCH($A166,'kc-Wert für Stützen'!$C:$C,0),MATCH(L$7,'kc-Wert für Stützen'!$A$8:$ES$8,0)+7,4),,))</f>
        <v>37958.465889036655</v>
      </c>
      <c r="M166" s="768">
        <f ca="1">INDIRECT("'kc-Wert für Stützen'!"&amp;SUBSTITUTE(ADDRESS(MATCH($A166,'kc-Wert für Stützen'!$C:$C,0),MATCH(M$7,'kc-Wert für Stützen'!$A$8:$ES$8,0)+7,4),,))</f>
        <v>37026.055029148083</v>
      </c>
      <c r="N166" s="768">
        <f ca="1">INDIRECT("'kc-Wert für Stützen'!"&amp;SUBSTITUTE(ADDRESS(MATCH($A166,'kc-Wert für Stützen'!$C:$C,0),MATCH(N$7,'kc-Wert für Stützen'!$A$8:$ES$8,0)+7,4),,))</f>
        <v>36052.861576713738</v>
      </c>
      <c r="O166" s="768">
        <f ca="1">INDIRECT("'kc-Wert für Stützen'!"&amp;SUBSTITUTE(ADDRESS(MATCH($A166,'kc-Wert für Stützen'!$C:$C,0),MATCH(O$7,'kc-Wert für Stützen'!$A$8:$ES$8,0)+7,4),,))</f>
        <v>35049.5954800455</v>
      </c>
      <c r="P166" s="768">
        <f ca="1">INDIRECT("'kc-Wert für Stützen'!"&amp;SUBSTITUTE(ADDRESS(MATCH($A166,'kc-Wert für Stützen'!$C:$C,0),MATCH(P$7,'kc-Wert für Stützen'!$A$8:$ES$8,0)+7,4),,))</f>
        <v>34027.439267102462</v>
      </c>
      <c r="S166" s="772">
        <f t="shared" ca="1" si="59"/>
        <v>43339.154478398967</v>
      </c>
      <c r="T166" s="772">
        <f t="shared" ca="1" si="69"/>
        <v>43339.154478398967</v>
      </c>
      <c r="U166" s="772">
        <f t="shared" ca="1" si="69"/>
        <v>43339.154478398967</v>
      </c>
      <c r="V166" s="772">
        <f t="shared" ca="1" si="69"/>
        <v>42867.515183837415</v>
      </c>
      <c r="W166" s="772">
        <f t="shared" ca="1" si="69"/>
        <v>42345.128902472796</v>
      </c>
      <c r="X166" s="772">
        <f t="shared" ca="1" si="69"/>
        <v>41767.151654010522</v>
      </c>
      <c r="Y166" s="772">
        <f t="shared" ca="1" si="69"/>
        <v>41129.478804631864</v>
      </c>
      <c r="Z166" s="772">
        <f t="shared" ca="1" si="69"/>
        <v>43339.154478398967</v>
      </c>
      <c r="AA166" s="772">
        <f t="shared" ca="1" si="69"/>
        <v>43339.154478398967</v>
      </c>
      <c r="AB166" s="772">
        <f t="shared" ca="1" si="68"/>
        <v>42867.515183837415</v>
      </c>
      <c r="AC166" s="772">
        <f t="shared" ca="1" si="68"/>
        <v>42867.515183837415</v>
      </c>
      <c r="AD166" s="772">
        <f t="shared" ca="1" si="68"/>
        <v>42345.128902472796</v>
      </c>
      <c r="AE166" s="772">
        <f t="shared" ca="1" si="68"/>
        <v>42345.128902472796</v>
      </c>
      <c r="AF166" s="772">
        <f t="shared" ca="1" si="68"/>
        <v>41767.151654010522</v>
      </c>
      <c r="AG166" s="772">
        <f t="shared" ca="1" si="68"/>
        <v>41767.151654010522</v>
      </c>
      <c r="AH166" s="772">
        <f t="shared" ca="1" si="68"/>
        <v>41767.151654010522</v>
      </c>
      <c r="AI166" s="772">
        <f t="shared" ca="1" si="68"/>
        <v>43339.154478398967</v>
      </c>
      <c r="AJ166" s="772">
        <f t="shared" ca="1" si="68"/>
        <v>43339.154478398967</v>
      </c>
      <c r="AK166" s="772">
        <f t="shared" ca="1" si="68"/>
        <v>42867.515183837415</v>
      </c>
      <c r="AL166" s="772">
        <f t="shared" ca="1" si="68"/>
        <v>42867.515183837415</v>
      </c>
      <c r="AM166" s="772">
        <f t="shared" ca="1" si="68"/>
        <v>42345.128902472796</v>
      </c>
      <c r="AN166" s="772">
        <f t="shared" ca="1" si="68"/>
        <v>42345.128902472796</v>
      </c>
      <c r="AO166" s="772">
        <f t="shared" ca="1" si="68"/>
        <v>41767.151654010522</v>
      </c>
      <c r="AP166" s="772">
        <f t="shared" ca="1" si="68"/>
        <v>41767.151654010522</v>
      </c>
      <c r="AQ166" s="772">
        <f t="shared" ca="1" si="68"/>
        <v>41767.151654010522</v>
      </c>
      <c r="AR166" s="772">
        <f t="shared" ca="1" si="72"/>
        <v>43339.154478398967</v>
      </c>
      <c r="AS166" s="772">
        <f t="shared" ca="1" si="72"/>
        <v>43339.154478398967</v>
      </c>
      <c r="AT166" s="772">
        <f t="shared" ca="1" si="72"/>
        <v>42867.515183837415</v>
      </c>
      <c r="AU166" s="772">
        <f t="shared" ca="1" si="72"/>
        <v>42867.515183837415</v>
      </c>
      <c r="AV166" s="772">
        <f t="shared" ca="1" si="72"/>
        <v>42345.128902472796</v>
      </c>
      <c r="AW166" s="772">
        <f t="shared" ca="1" si="72"/>
        <v>42345.128902472796</v>
      </c>
      <c r="AX166" s="772">
        <f t="shared" ca="1" si="72"/>
        <v>41767.151654010522</v>
      </c>
      <c r="AY166" s="772">
        <f t="shared" ca="1" si="72"/>
        <v>41767.151654010522</v>
      </c>
      <c r="AZ166" s="772">
        <f t="shared" ca="1" si="72"/>
        <v>41767.151654010522</v>
      </c>
      <c r="BA166" s="772">
        <f t="shared" ca="1" si="72"/>
        <v>43339.154478398967</v>
      </c>
      <c r="BB166" s="772">
        <f t="shared" ca="1" si="72"/>
        <v>43339.154478398967</v>
      </c>
      <c r="BC166" s="772">
        <f t="shared" ca="1" si="72"/>
        <v>42867.515183837415</v>
      </c>
      <c r="BD166" s="772">
        <f t="shared" ca="1" si="72"/>
        <v>42345.128902472796</v>
      </c>
      <c r="BE166" s="772">
        <f t="shared" ca="1" si="72"/>
        <v>42345.128902472796</v>
      </c>
      <c r="BF166" s="772">
        <f t="shared" ca="1" si="72"/>
        <v>41767.151654010522</v>
      </c>
      <c r="BG166" s="772">
        <f t="shared" ca="1" si="72"/>
        <v>41767.151654010522</v>
      </c>
      <c r="BH166" s="772">
        <f t="shared" ca="1" si="70"/>
        <v>41129.478804631864</v>
      </c>
      <c r="BI166" s="772">
        <f t="shared" ca="1" si="70"/>
        <v>41129.478804631864</v>
      </c>
      <c r="BJ166" s="772">
        <f t="shared" ca="1" si="70"/>
        <v>42867.515183837415</v>
      </c>
      <c r="BK166" s="772">
        <f t="shared" ca="1" si="70"/>
        <v>42867.515183837415</v>
      </c>
      <c r="BL166" s="772">
        <f t="shared" ca="1" si="70"/>
        <v>42867.515183837415</v>
      </c>
      <c r="BM166" s="772">
        <f t="shared" ca="1" si="70"/>
        <v>42867.515183837415</v>
      </c>
      <c r="BN166" s="772">
        <f t="shared" ca="1" si="70"/>
        <v>41767.151654010522</v>
      </c>
      <c r="BO166" s="772">
        <f t="shared" ca="1" si="70"/>
        <v>41767.151654010522</v>
      </c>
      <c r="BP166" s="772">
        <f t="shared" ca="1" si="70"/>
        <v>41129.478804631864</v>
      </c>
      <c r="BQ166" s="772">
        <f t="shared" ca="1" si="70"/>
        <v>41129.478804631864</v>
      </c>
      <c r="BR166" s="772">
        <f t="shared" ca="1" si="70"/>
        <v>40429.330815828573</v>
      </c>
      <c r="BS166" s="772">
        <f t="shared" ca="1" si="70"/>
        <v>42867.515183837415</v>
      </c>
      <c r="BT166" s="772">
        <f t="shared" ca="1" si="70"/>
        <v>42867.515183837415</v>
      </c>
      <c r="BU166" s="772">
        <f t="shared" ca="1" si="70"/>
        <v>42867.515183837415</v>
      </c>
      <c r="BV166" s="772">
        <f t="shared" ca="1" si="70"/>
        <v>42345.128902472796</v>
      </c>
      <c r="BW166" s="772">
        <f t="shared" ca="1" si="70"/>
        <v>42345.128902472796</v>
      </c>
      <c r="BX166" s="772">
        <f t="shared" ca="1" si="64"/>
        <v>41129.478804631864</v>
      </c>
      <c r="BY166" s="772">
        <f t="shared" ca="1" si="64"/>
        <v>41129.478804631864</v>
      </c>
      <c r="BZ166" s="772">
        <f t="shared" ca="1" si="64"/>
        <v>40429.330815828573</v>
      </c>
      <c r="CA166" s="772">
        <f t="shared" ca="1" si="64"/>
        <v>40429.330815828573</v>
      </c>
      <c r="CB166" s="772">
        <f t="shared" ca="1" si="64"/>
        <v>42345.128902472796</v>
      </c>
      <c r="CC166" s="772">
        <f t="shared" ca="1" si="64"/>
        <v>42345.128902472796</v>
      </c>
      <c r="CD166" s="772">
        <f t="shared" ca="1" si="64"/>
        <v>42345.128902472796</v>
      </c>
      <c r="CE166" s="772">
        <f t="shared" ref="CE166:CJ175" ca="1" si="73">HLOOKUP(CE$7,$A$7:$P$348,ROW()-6)</f>
        <v>42345.128902472796</v>
      </c>
      <c r="CF166" s="772">
        <f t="shared" ca="1" si="73"/>
        <v>41767.151654010522</v>
      </c>
      <c r="CG166" s="772">
        <f t="shared" ca="1" si="73"/>
        <v>41129.478804631864</v>
      </c>
      <c r="CH166" s="772">
        <f t="shared" ca="1" si="73"/>
        <v>40429.330815828573</v>
      </c>
      <c r="CI166" s="772">
        <f t="shared" ca="1" si="73"/>
        <v>40429.330815828573</v>
      </c>
      <c r="CJ166" s="772">
        <f t="shared" ca="1" si="73"/>
        <v>39665.878748808471</v>
      </c>
    </row>
    <row r="167" spans="1:88" ht="15" customHeight="1">
      <c r="A167" s="770">
        <f>'kc-Wert für Stützen'!C167</f>
        <v>219</v>
      </c>
      <c r="B167" s="768">
        <f ca="1">INDIRECT("'kc-Wert für Stützen'!"&amp;SUBSTITUTE(ADDRESS(MATCH($A167,'kc-Wert für Stützen'!$C:$C,0),MATCH(B$7,'kc-Wert für Stützen'!$A$8:$ES$8,0)+7,4),,))</f>
        <v>44603.573762082495</v>
      </c>
      <c r="C167" s="768">
        <f ca="1">INDIRECT("'kc-Wert für Stützen'!"&amp;SUBSTITUTE(ADDRESS(MATCH($A167,'kc-Wert für Stützen'!$C:$C,0),MATCH(C$7,'kc-Wert für Stützen'!$A$8:$ES$8,0)+7,4),,))</f>
        <v>44221.34503023146</v>
      </c>
      <c r="D167" s="768">
        <f ca="1">INDIRECT("'kc-Wert für Stützen'!"&amp;SUBSTITUTE(ADDRESS(MATCH($A167,'kc-Wert für Stützen'!$C:$C,0),MATCH(D$7,'kc-Wert für Stützen'!$A$8:$ES$8,0)+7,4),,))</f>
        <v>43799.173039669862</v>
      </c>
      <c r="E167" s="768">
        <f ca="1">INDIRECT("'kc-Wert für Stützen'!"&amp;SUBSTITUTE(ADDRESS(MATCH($A167,'kc-Wert für Stützen'!$C:$C,0),MATCH(E$7,'kc-Wert für Stützen'!$A$8:$ES$8,0)+7,4),,))</f>
        <v>43332.066183782779</v>
      </c>
      <c r="F167" s="768">
        <f ca="1">INDIRECT("'kc-Wert für Stützen'!"&amp;SUBSTITUTE(ADDRESS(MATCH($A167,'kc-Wert für Stützen'!$C:$C,0),MATCH(F$7,'kc-Wert für Stützen'!$A$8:$ES$8,0)+7,4),,))</f>
        <v>42814.928698801501</v>
      </c>
      <c r="G167" s="768">
        <f ca="1">INDIRECT("'kc-Wert für Stützen'!"&amp;SUBSTITUTE(ADDRESS(MATCH($A167,'kc-Wert für Stützen'!$C:$C,0),MATCH(G$7,'kc-Wert für Stützen'!$A$8:$ES$8,0)+7,4),,))</f>
        <v>42242.874138711115</v>
      </c>
      <c r="H167" s="768">
        <f ca="1">INDIRECT("'kc-Wert für Stützen'!"&amp;SUBSTITUTE(ADDRESS(MATCH($A167,'kc-Wert für Stützen'!$C:$C,0),MATCH(H$7,'kc-Wert für Stützen'!$A$8:$ES$8,0)+7,4),,))</f>
        <v>41611.67208747664</v>
      </c>
      <c r="I167" s="768">
        <f ca="1">INDIRECT("'kc-Wert für Stützen'!"&amp;SUBSTITUTE(ADDRESS(MATCH($A167,'kc-Wert für Stützen'!$C:$C,0),MATCH(I$7,'kc-Wert für Stützen'!$A$8:$ES$8,0)+7,4),,))</f>
        <v>40918.312616645453</v>
      </c>
      <c r="J167" s="768">
        <f ca="1">INDIRECT("'kc-Wert für Stützen'!"&amp;SUBSTITUTE(ADDRESS(MATCH($A167,'kc-Wert für Stützen'!$C:$C,0),MATCH(J$7,'kc-Wert für Stützen'!$A$8:$ES$8,0)+7,4),,))</f>
        <v>40161.62453498508</v>
      </c>
      <c r="K167" s="768">
        <f ca="1">INDIRECT("'kc-Wert für Stützen'!"&amp;SUBSTITUTE(ADDRESS(MATCH($A167,'kc-Wert für Stützen'!$C:$C,0),MATCH(K$7,'kc-Wert für Stützen'!$A$8:$ES$8,0)+7,4),,))</f>
        <v>39342.828228344413</v>
      </c>
      <c r="L167" s="768">
        <f ca="1">INDIRECT("'kc-Wert für Stützen'!"&amp;SUBSTITUTE(ADDRESS(MATCH($A167,'kc-Wert für Stützen'!$C:$C,0),MATCH(L$7,'kc-Wert für Stützen'!$A$8:$ES$8,0)+7,4),,))</f>
        <v>38465.869595674514</v>
      </c>
      <c r="M167" s="768">
        <f ca="1">INDIRECT("'kc-Wert für Stützen'!"&amp;SUBSTITUTE(ADDRESS(MATCH($A167,'kc-Wert für Stützen'!$C:$C,0),MATCH(M$7,'kc-Wert für Stützen'!$A$8:$ES$8,0)+7,4),,))</f>
        <v>37537.401202367953</v>
      </c>
      <c r="N167" s="768">
        <f ca="1">INDIRECT("'kc-Wert für Stützen'!"&amp;SUBSTITUTE(ADDRESS(MATCH($A167,'kc-Wert für Stützen'!$C:$C,0),MATCH(N$7,'kc-Wert für Stützen'!$A$8:$ES$8,0)+7,4),,))</f>
        <v>36566.362389985254</v>
      </c>
      <c r="O167" s="768">
        <f ca="1">INDIRECT("'kc-Wert für Stützen'!"&amp;SUBSTITUTE(ADDRESS(MATCH($A167,'kc-Wert für Stützen'!$C:$C,0),MATCH(O$7,'kc-Wert für Stützen'!$A$8:$ES$8,0)+7,4),,))</f>
        <v>35563.231783709707</v>
      </c>
      <c r="P167" s="768">
        <f ca="1">INDIRECT("'kc-Wert für Stützen'!"&amp;SUBSTITUTE(ADDRESS(MATCH($A167,'kc-Wert für Stützen'!$C:$C,0),MATCH(P$7,'kc-Wert für Stützen'!$A$8:$ES$8,0)+7,4),,))</f>
        <v>34539.123128245905</v>
      </c>
      <c r="S167" s="772">
        <f t="shared" ca="1" si="59"/>
        <v>43799.173039669862</v>
      </c>
      <c r="T167" s="772">
        <f t="shared" ca="1" si="69"/>
        <v>43799.173039669862</v>
      </c>
      <c r="U167" s="772">
        <f t="shared" ca="1" si="69"/>
        <v>43799.173039669862</v>
      </c>
      <c r="V167" s="772">
        <f t="shared" ca="1" si="69"/>
        <v>43332.066183782779</v>
      </c>
      <c r="W167" s="772">
        <f t="shared" ca="1" si="69"/>
        <v>42814.928698801501</v>
      </c>
      <c r="X167" s="772">
        <f t="shared" ca="1" si="69"/>
        <v>42242.874138711115</v>
      </c>
      <c r="Y167" s="772">
        <f t="shared" ca="1" si="69"/>
        <v>41611.67208747664</v>
      </c>
      <c r="Z167" s="772">
        <f t="shared" ca="1" si="69"/>
        <v>43799.173039669862</v>
      </c>
      <c r="AA167" s="772">
        <f t="shared" ca="1" si="69"/>
        <v>43799.173039669862</v>
      </c>
      <c r="AB167" s="772">
        <f t="shared" ca="1" si="68"/>
        <v>43332.066183782779</v>
      </c>
      <c r="AC167" s="772">
        <f t="shared" ca="1" si="68"/>
        <v>43332.066183782779</v>
      </c>
      <c r="AD167" s="772">
        <f t="shared" ca="1" si="68"/>
        <v>42814.928698801501</v>
      </c>
      <c r="AE167" s="772">
        <f t="shared" ca="1" si="68"/>
        <v>42814.928698801501</v>
      </c>
      <c r="AF167" s="772">
        <f t="shared" ca="1" si="68"/>
        <v>42242.874138711115</v>
      </c>
      <c r="AG167" s="772">
        <f t="shared" ca="1" si="68"/>
        <v>42242.874138711115</v>
      </c>
      <c r="AH167" s="772">
        <f t="shared" ca="1" si="68"/>
        <v>42242.874138711115</v>
      </c>
      <c r="AI167" s="772">
        <f t="shared" ca="1" si="68"/>
        <v>43799.173039669862</v>
      </c>
      <c r="AJ167" s="772">
        <f t="shared" ca="1" si="68"/>
        <v>43799.173039669862</v>
      </c>
      <c r="AK167" s="772">
        <f t="shared" ca="1" si="68"/>
        <v>43332.066183782779</v>
      </c>
      <c r="AL167" s="772">
        <f t="shared" ca="1" si="68"/>
        <v>43332.066183782779</v>
      </c>
      <c r="AM167" s="772">
        <f t="shared" ca="1" si="68"/>
        <v>42814.928698801501</v>
      </c>
      <c r="AN167" s="772">
        <f t="shared" ca="1" si="68"/>
        <v>42814.928698801501</v>
      </c>
      <c r="AO167" s="772">
        <f t="shared" ca="1" si="68"/>
        <v>42242.874138711115</v>
      </c>
      <c r="AP167" s="772">
        <f t="shared" ca="1" si="68"/>
        <v>42242.874138711115</v>
      </c>
      <c r="AQ167" s="772">
        <f t="shared" ca="1" si="68"/>
        <v>42242.874138711115</v>
      </c>
      <c r="AR167" s="772">
        <f t="shared" ca="1" si="72"/>
        <v>43799.173039669862</v>
      </c>
      <c r="AS167" s="772">
        <f t="shared" ca="1" si="72"/>
        <v>43799.173039669862</v>
      </c>
      <c r="AT167" s="772">
        <f t="shared" ca="1" si="72"/>
        <v>43332.066183782779</v>
      </c>
      <c r="AU167" s="772">
        <f t="shared" ca="1" si="72"/>
        <v>43332.066183782779</v>
      </c>
      <c r="AV167" s="772">
        <f t="shared" ca="1" si="72"/>
        <v>42814.928698801501</v>
      </c>
      <c r="AW167" s="772">
        <f t="shared" ca="1" si="72"/>
        <v>42814.928698801501</v>
      </c>
      <c r="AX167" s="772">
        <f t="shared" ca="1" si="72"/>
        <v>42242.874138711115</v>
      </c>
      <c r="AY167" s="772">
        <f t="shared" ca="1" si="72"/>
        <v>42242.874138711115</v>
      </c>
      <c r="AZ167" s="772">
        <f t="shared" ca="1" si="72"/>
        <v>42242.874138711115</v>
      </c>
      <c r="BA167" s="772">
        <f t="shared" ca="1" si="72"/>
        <v>43799.173039669862</v>
      </c>
      <c r="BB167" s="772">
        <f t="shared" ca="1" si="72"/>
        <v>43799.173039669862</v>
      </c>
      <c r="BC167" s="772">
        <f t="shared" ca="1" si="72"/>
        <v>43332.066183782779</v>
      </c>
      <c r="BD167" s="772">
        <f t="shared" ca="1" si="72"/>
        <v>42814.928698801501</v>
      </c>
      <c r="BE167" s="772">
        <f t="shared" ca="1" si="72"/>
        <v>42814.928698801501</v>
      </c>
      <c r="BF167" s="772">
        <f t="shared" ca="1" si="72"/>
        <v>42242.874138711115</v>
      </c>
      <c r="BG167" s="772">
        <f t="shared" ca="1" si="72"/>
        <v>42242.874138711115</v>
      </c>
      <c r="BH167" s="772">
        <f t="shared" ca="1" si="70"/>
        <v>41611.67208747664</v>
      </c>
      <c r="BI167" s="772">
        <f t="shared" ca="1" si="70"/>
        <v>41611.67208747664</v>
      </c>
      <c r="BJ167" s="772">
        <f t="shared" ca="1" si="70"/>
        <v>43332.066183782779</v>
      </c>
      <c r="BK167" s="772">
        <f t="shared" ca="1" si="70"/>
        <v>43332.066183782779</v>
      </c>
      <c r="BL167" s="772">
        <f t="shared" ca="1" si="70"/>
        <v>43332.066183782779</v>
      </c>
      <c r="BM167" s="772">
        <f t="shared" ca="1" si="70"/>
        <v>43332.066183782779</v>
      </c>
      <c r="BN167" s="772">
        <f t="shared" ca="1" si="70"/>
        <v>42242.874138711115</v>
      </c>
      <c r="BO167" s="772">
        <f t="shared" ca="1" si="70"/>
        <v>42242.874138711115</v>
      </c>
      <c r="BP167" s="772">
        <f t="shared" ca="1" si="70"/>
        <v>41611.67208747664</v>
      </c>
      <c r="BQ167" s="772">
        <f t="shared" ca="1" si="70"/>
        <v>41611.67208747664</v>
      </c>
      <c r="BR167" s="772">
        <f t="shared" ca="1" si="70"/>
        <v>40918.312616645453</v>
      </c>
      <c r="BS167" s="772">
        <f t="shared" ca="1" si="70"/>
        <v>43332.066183782779</v>
      </c>
      <c r="BT167" s="772">
        <f t="shared" ca="1" si="70"/>
        <v>43332.066183782779</v>
      </c>
      <c r="BU167" s="772">
        <f t="shared" ca="1" si="70"/>
        <v>43332.066183782779</v>
      </c>
      <c r="BV167" s="772">
        <f t="shared" ca="1" si="70"/>
        <v>42814.928698801501</v>
      </c>
      <c r="BW167" s="772">
        <f t="shared" ca="1" si="70"/>
        <v>42814.928698801501</v>
      </c>
      <c r="BX167" s="772">
        <f t="shared" ref="BX167:CD176" ca="1" si="74">HLOOKUP(BX$7,$A$7:$P$348,ROW()-6)</f>
        <v>41611.67208747664</v>
      </c>
      <c r="BY167" s="772">
        <f t="shared" ca="1" si="74"/>
        <v>41611.67208747664</v>
      </c>
      <c r="BZ167" s="772">
        <f t="shared" ca="1" si="74"/>
        <v>40918.312616645453</v>
      </c>
      <c r="CA167" s="772">
        <f t="shared" ca="1" si="74"/>
        <v>40918.312616645453</v>
      </c>
      <c r="CB167" s="772">
        <f t="shared" ca="1" si="74"/>
        <v>42814.928698801501</v>
      </c>
      <c r="CC167" s="772">
        <f t="shared" ca="1" si="74"/>
        <v>42814.928698801501</v>
      </c>
      <c r="CD167" s="772">
        <f t="shared" ca="1" si="74"/>
        <v>42814.928698801501</v>
      </c>
      <c r="CE167" s="772">
        <f t="shared" ca="1" si="73"/>
        <v>42814.928698801501</v>
      </c>
      <c r="CF167" s="772">
        <f t="shared" ca="1" si="73"/>
        <v>42242.874138711115</v>
      </c>
      <c r="CG167" s="772">
        <f t="shared" ca="1" si="73"/>
        <v>41611.67208747664</v>
      </c>
      <c r="CH167" s="772">
        <f t="shared" ca="1" si="73"/>
        <v>40918.312616645453</v>
      </c>
      <c r="CI167" s="772">
        <f t="shared" ca="1" si="73"/>
        <v>40918.312616645453</v>
      </c>
      <c r="CJ167" s="772">
        <f t="shared" ca="1" si="73"/>
        <v>40161.62453498508</v>
      </c>
    </row>
    <row r="168" spans="1:88" ht="15" customHeight="1">
      <c r="A168" s="770">
        <f>'kc-Wert für Stützen'!C168</f>
        <v>220</v>
      </c>
      <c r="B168" s="768">
        <f ca="1">INDIRECT("'kc-Wert für Stützen'!"&amp;SUBSTITUTE(ADDRESS(MATCH($A168,'kc-Wert für Stützen'!$C:$C,0),MATCH(B$7,'kc-Wert für Stützen'!$A$8:$ES$8,0)+7,4),,))</f>
        <v>45058.288450462467</v>
      </c>
      <c r="C168" s="768">
        <f ca="1">INDIRECT("'kc-Wert für Stützen'!"&amp;SUBSTITUTE(ADDRESS(MATCH($A168,'kc-Wert für Stützen'!$C:$C,0),MATCH(C$7,'kc-Wert für Stützen'!$A$8:$ES$8,0)+7,4),,))</f>
        <v>44679.161470834995</v>
      </c>
      <c r="D168" s="768">
        <f ca="1">INDIRECT("'kc-Wert für Stützen'!"&amp;SUBSTITUTE(ADDRESS(MATCH($A168,'kc-Wert für Stützen'!$C:$C,0),MATCH(D$7,'kc-Wert für Stützen'!$A$8:$ES$8,0)+7,4),,))</f>
        <v>44260.73019026473</v>
      </c>
      <c r="E168" s="768">
        <f ca="1">INDIRECT("'kc-Wert für Stützen'!"&amp;SUBSTITUTE(ADDRESS(MATCH($A168,'kc-Wert für Stützen'!$C:$C,0),MATCH(E$7,'kc-Wert für Stützen'!$A$8:$ES$8,0)+7,4),,))</f>
        <v>43798.05643375362</v>
      </c>
      <c r="F168" s="768">
        <f ca="1">INDIRECT("'kc-Wert für Stützen'!"&amp;SUBSTITUTE(ADDRESS(MATCH($A168,'kc-Wert für Stützen'!$C:$C,0),MATCH(F$7,'kc-Wert für Stützen'!$A$8:$ES$8,0)+7,4),,))</f>
        <v>43286.06593054875</v>
      </c>
      <c r="G168" s="768">
        <f ca="1">INDIRECT("'kc-Wert für Stützen'!"&amp;SUBSTITUTE(ADDRESS(MATCH($A168,'kc-Wert für Stützen'!$C:$C,0),MATCH(G$7,'kc-Wert für Stützen'!$A$8:$ES$8,0)+7,4),,))</f>
        <v>42719.839966806241</v>
      </c>
      <c r="H168" s="768">
        <f ca="1">INDIRECT("'kc-Wert für Stützen'!"&amp;SUBSTITUTE(ADDRESS(MATCH($A168,'kc-Wert für Stützen'!$C:$C,0),MATCH(H$7,'kc-Wert für Stützen'!$A$8:$ES$8,0)+7,4),,))</f>
        <v>42095.037263332146</v>
      </c>
      <c r="I168" s="768">
        <f ca="1">INDIRECT("'kc-Wert für Stützen'!"&amp;SUBSTITUTE(ADDRESS(MATCH($A168,'kc-Wert für Stützen'!$C:$C,0),MATCH(I$7,'kc-Wert für Stützen'!$A$8:$ES$8,0)+7,4),,))</f>
        <v>41408.436367434224</v>
      </c>
      <c r="J168" s="768">
        <f ca="1">INDIRECT("'kc-Wert für Stützen'!"&amp;SUBSTITUTE(ADDRESS(MATCH($A168,'kc-Wert für Stützen'!$C:$C,0),MATCH(J$7,'kc-Wert für Stützen'!$A$8:$ES$8,0)+7,4),,))</f>
        <v>40658.543947701735</v>
      </c>
      <c r="K168" s="768">
        <f ca="1">INDIRECT("'kc-Wert für Stützen'!"&amp;SUBSTITUTE(ADDRESS(MATCH($A168,'kc-Wert für Stützen'!$C:$C,0),MATCH(K$7,'kc-Wert für Stützen'!$A$8:$ES$8,0)+7,4),,))</f>
        <v>39846.160163076172</v>
      </c>
      <c r="L168" s="768">
        <f ca="1">INDIRECT("'kc-Wert für Stützen'!"&amp;SUBSTITUTE(ADDRESS(MATCH($A168,'kc-Wert für Stützen'!$C:$C,0),MATCH(L$7,'kc-Wert für Stützen'!$A$8:$ES$8,0)+7,4),,))</f>
        <v>38974.753442173482</v>
      </c>
      <c r="M168" s="768">
        <f ca="1">INDIRECT("'kc-Wert für Stützen'!"&amp;SUBSTITUTE(ADDRESS(MATCH($A168,'kc-Wert für Stützen'!$C:$C,0),MATCH(M$7,'kc-Wert für Stützen'!$A$8:$ES$8,0)+7,4),,))</f>
        <v>38050.506034047881</v>
      </c>
      <c r="N168" s="768">
        <f ca="1">INDIRECT("'kc-Wert für Stützen'!"&amp;SUBSTITUTE(ADDRESS(MATCH($A168,'kc-Wert für Stützen'!$C:$C,0),MATCH(N$7,'kc-Wert für Stützen'!$A$8:$ES$8,0)+7,4),,))</f>
        <v>37081.965388775941</v>
      </c>
      <c r="O168" s="768">
        <f ca="1">INDIRECT("'kc-Wert für Stützen'!"&amp;SUBSTITUTE(ADDRESS(MATCH($A168,'kc-Wert für Stützen'!$C:$C,0),MATCH(O$7,'kc-Wert für Stützen'!$A$8:$ES$8,0)+7,4),,))</f>
        <v>36079.352849084156</v>
      </c>
      <c r="P168" s="768">
        <f ca="1">INDIRECT("'kc-Wert für Stützen'!"&amp;SUBSTITUTE(ADDRESS(MATCH($A168,'kc-Wert für Stützen'!$C:$C,0),MATCH(P$7,'kc-Wert für Stützen'!$A$8:$ES$8,0)+7,4),,))</f>
        <v>35053.684499015173</v>
      </c>
      <c r="S168" s="772">
        <f t="shared" ca="1" si="59"/>
        <v>44260.73019026473</v>
      </c>
      <c r="T168" s="772">
        <f t="shared" ca="1" si="69"/>
        <v>44260.73019026473</v>
      </c>
      <c r="U168" s="772">
        <f t="shared" ca="1" si="69"/>
        <v>44260.73019026473</v>
      </c>
      <c r="V168" s="772">
        <f t="shared" ca="1" si="69"/>
        <v>43798.05643375362</v>
      </c>
      <c r="W168" s="772">
        <f t="shared" ca="1" si="69"/>
        <v>43286.06593054875</v>
      </c>
      <c r="X168" s="772">
        <f t="shared" ca="1" si="69"/>
        <v>42719.839966806241</v>
      </c>
      <c r="Y168" s="772">
        <f t="shared" ca="1" si="69"/>
        <v>42095.037263332146</v>
      </c>
      <c r="Z168" s="772">
        <f t="shared" ca="1" si="69"/>
        <v>44260.73019026473</v>
      </c>
      <c r="AA168" s="772">
        <f t="shared" ca="1" si="69"/>
        <v>44260.73019026473</v>
      </c>
      <c r="AB168" s="772">
        <f t="shared" ca="1" si="68"/>
        <v>43798.05643375362</v>
      </c>
      <c r="AC168" s="772">
        <f t="shared" ca="1" si="68"/>
        <v>43798.05643375362</v>
      </c>
      <c r="AD168" s="772">
        <f t="shared" ca="1" si="68"/>
        <v>43286.06593054875</v>
      </c>
      <c r="AE168" s="772">
        <f t="shared" ca="1" si="68"/>
        <v>43286.06593054875</v>
      </c>
      <c r="AF168" s="772">
        <f t="shared" ca="1" si="68"/>
        <v>42719.839966806241</v>
      </c>
      <c r="AG168" s="772">
        <f t="shared" ca="1" si="68"/>
        <v>42719.839966806241</v>
      </c>
      <c r="AH168" s="772">
        <f t="shared" ca="1" si="68"/>
        <v>42719.839966806241</v>
      </c>
      <c r="AI168" s="772">
        <f t="shared" ca="1" si="68"/>
        <v>44260.73019026473</v>
      </c>
      <c r="AJ168" s="772">
        <f t="shared" ca="1" si="68"/>
        <v>44260.73019026473</v>
      </c>
      <c r="AK168" s="772">
        <f t="shared" ca="1" si="68"/>
        <v>43798.05643375362</v>
      </c>
      <c r="AL168" s="772">
        <f t="shared" ca="1" si="68"/>
        <v>43798.05643375362</v>
      </c>
      <c r="AM168" s="772">
        <f t="shared" ca="1" si="68"/>
        <v>43286.06593054875</v>
      </c>
      <c r="AN168" s="772">
        <f t="shared" ca="1" si="68"/>
        <v>43286.06593054875</v>
      </c>
      <c r="AO168" s="772">
        <f t="shared" ca="1" si="68"/>
        <v>42719.839966806241</v>
      </c>
      <c r="AP168" s="772">
        <f t="shared" ca="1" si="68"/>
        <v>42719.839966806241</v>
      </c>
      <c r="AQ168" s="772">
        <f t="shared" ca="1" si="68"/>
        <v>42719.839966806241</v>
      </c>
      <c r="AR168" s="772">
        <f t="shared" ca="1" si="72"/>
        <v>44260.73019026473</v>
      </c>
      <c r="AS168" s="772">
        <f t="shared" ca="1" si="72"/>
        <v>44260.73019026473</v>
      </c>
      <c r="AT168" s="772">
        <f t="shared" ca="1" si="72"/>
        <v>43798.05643375362</v>
      </c>
      <c r="AU168" s="772">
        <f t="shared" ca="1" si="72"/>
        <v>43798.05643375362</v>
      </c>
      <c r="AV168" s="772">
        <f t="shared" ca="1" si="72"/>
        <v>43286.06593054875</v>
      </c>
      <c r="AW168" s="772">
        <f t="shared" ca="1" si="72"/>
        <v>43286.06593054875</v>
      </c>
      <c r="AX168" s="772">
        <f t="shared" ca="1" si="72"/>
        <v>42719.839966806241</v>
      </c>
      <c r="AY168" s="772">
        <f t="shared" ca="1" si="72"/>
        <v>42719.839966806241</v>
      </c>
      <c r="AZ168" s="772">
        <f t="shared" ca="1" si="72"/>
        <v>42719.839966806241</v>
      </c>
      <c r="BA168" s="772">
        <f t="shared" ca="1" si="72"/>
        <v>44260.73019026473</v>
      </c>
      <c r="BB168" s="772">
        <f t="shared" ca="1" si="72"/>
        <v>44260.73019026473</v>
      </c>
      <c r="BC168" s="772">
        <f t="shared" ca="1" si="72"/>
        <v>43798.05643375362</v>
      </c>
      <c r="BD168" s="772">
        <f t="shared" ca="1" si="72"/>
        <v>43286.06593054875</v>
      </c>
      <c r="BE168" s="772">
        <f t="shared" ca="1" si="72"/>
        <v>43286.06593054875</v>
      </c>
      <c r="BF168" s="772">
        <f t="shared" ca="1" si="72"/>
        <v>42719.839966806241</v>
      </c>
      <c r="BG168" s="772">
        <f t="shared" ca="1" si="72"/>
        <v>42719.839966806241</v>
      </c>
      <c r="BH168" s="772">
        <f t="shared" ref="BH168:BW180" ca="1" si="75">HLOOKUP(BH$7,$A$7:$P$348,ROW()-6)</f>
        <v>42095.037263332146</v>
      </c>
      <c r="BI168" s="772">
        <f t="shared" ca="1" si="75"/>
        <v>42095.037263332146</v>
      </c>
      <c r="BJ168" s="772">
        <f t="shared" ca="1" si="75"/>
        <v>43798.05643375362</v>
      </c>
      <c r="BK168" s="772">
        <f t="shared" ca="1" si="75"/>
        <v>43798.05643375362</v>
      </c>
      <c r="BL168" s="772">
        <f t="shared" ca="1" si="75"/>
        <v>43798.05643375362</v>
      </c>
      <c r="BM168" s="772">
        <f t="shared" ca="1" si="75"/>
        <v>43798.05643375362</v>
      </c>
      <c r="BN168" s="772">
        <f t="shared" ca="1" si="75"/>
        <v>42719.839966806241</v>
      </c>
      <c r="BO168" s="772">
        <f t="shared" ca="1" si="75"/>
        <v>42719.839966806241</v>
      </c>
      <c r="BP168" s="772">
        <f t="shared" ca="1" si="75"/>
        <v>42095.037263332146</v>
      </c>
      <c r="BQ168" s="772">
        <f t="shared" ca="1" si="75"/>
        <v>42095.037263332146</v>
      </c>
      <c r="BR168" s="772">
        <f t="shared" ca="1" si="75"/>
        <v>41408.436367434224</v>
      </c>
      <c r="BS168" s="772">
        <f t="shared" ca="1" si="75"/>
        <v>43798.05643375362</v>
      </c>
      <c r="BT168" s="772">
        <f t="shared" ca="1" si="75"/>
        <v>43798.05643375362</v>
      </c>
      <c r="BU168" s="772">
        <f t="shared" ca="1" si="75"/>
        <v>43798.05643375362</v>
      </c>
      <c r="BV168" s="772">
        <f t="shared" ca="1" si="75"/>
        <v>43286.06593054875</v>
      </c>
      <c r="BW168" s="772">
        <f t="shared" ca="1" si="75"/>
        <v>43286.06593054875</v>
      </c>
      <c r="BX168" s="772">
        <f t="shared" ca="1" si="74"/>
        <v>42095.037263332146</v>
      </c>
      <c r="BY168" s="772">
        <f t="shared" ca="1" si="74"/>
        <v>42095.037263332146</v>
      </c>
      <c r="BZ168" s="772">
        <f t="shared" ca="1" si="74"/>
        <v>41408.436367434224</v>
      </c>
      <c r="CA168" s="772">
        <f t="shared" ca="1" si="74"/>
        <v>41408.436367434224</v>
      </c>
      <c r="CB168" s="772">
        <f t="shared" ca="1" si="74"/>
        <v>43286.06593054875</v>
      </c>
      <c r="CC168" s="772">
        <f t="shared" ca="1" si="74"/>
        <v>43286.06593054875</v>
      </c>
      <c r="CD168" s="772">
        <f t="shared" ca="1" si="74"/>
        <v>43286.06593054875</v>
      </c>
      <c r="CE168" s="772">
        <f t="shared" ca="1" si="73"/>
        <v>43286.06593054875</v>
      </c>
      <c r="CF168" s="772">
        <f t="shared" ca="1" si="73"/>
        <v>42719.839966806241</v>
      </c>
      <c r="CG168" s="772">
        <f t="shared" ca="1" si="73"/>
        <v>42095.037263332146</v>
      </c>
      <c r="CH168" s="772">
        <f t="shared" ca="1" si="73"/>
        <v>41408.436367434224</v>
      </c>
      <c r="CI168" s="772">
        <f t="shared" ca="1" si="73"/>
        <v>41408.436367434224</v>
      </c>
      <c r="CJ168" s="772">
        <f t="shared" ca="1" si="73"/>
        <v>40658.543947701735</v>
      </c>
    </row>
    <row r="169" spans="1:88" ht="15" customHeight="1">
      <c r="A169" s="770">
        <f>'kc-Wert für Stützen'!C169</f>
        <v>221</v>
      </c>
      <c r="B169" s="768">
        <f ca="1">INDIRECT("'kc-Wert für Stützen'!"&amp;SUBSTITUTE(ADDRESS(MATCH($A169,'kc-Wert für Stützen'!$C:$C,0),MATCH(B$7,'kc-Wert für Stützen'!$A$8:$ES$8,0)+7,4),,))</f>
        <v>45514.721563309293</v>
      </c>
      <c r="C169" s="768">
        <f ca="1">INDIRECT("'kc-Wert für Stützen'!"&amp;SUBSTITUTE(ADDRESS(MATCH($A169,'kc-Wert für Stützen'!$C:$C,0),MATCH(C$7,'kc-Wert für Stützen'!$A$8:$ES$8,0)+7,4),,))</f>
        <v>45138.618567530182</v>
      </c>
      <c r="D169" s="768">
        <f ca="1">INDIRECT("'kc-Wert für Stützen'!"&amp;SUBSTITUTE(ADDRESS(MATCH($A169,'kc-Wert für Stützen'!$C:$C,0),MATCH(D$7,'kc-Wert für Stützen'!$A$8:$ES$8,0)+7,4),,))</f>
        <v>44723.838912343956</v>
      </c>
      <c r="E169" s="768">
        <f ca="1">INDIRECT("'kc-Wert für Stützen'!"&amp;SUBSTITUTE(ADDRESS(MATCH($A169,'kc-Wert für Stützen'!$C:$C,0),MATCH(E$7,'kc-Wert für Stützen'!$A$8:$ES$8,0)+7,4),,))</f>
        <v>44265.500260026747</v>
      </c>
      <c r="F169" s="768">
        <f ca="1">INDIRECT("'kc-Wert für Stützen'!"&amp;SUBSTITUTE(ADDRESS(MATCH($A169,'kc-Wert für Stützen'!$C:$C,0),MATCH(F$7,'kc-Wert für Stützen'!$A$8:$ES$8,0)+7,4),,))</f>
        <v>43758.555220816648</v>
      </c>
      <c r="G169" s="768">
        <f ca="1">INDIRECT("'kc-Wert für Stützen'!"&amp;SUBSTITUTE(ADDRESS(MATCH($A169,'kc-Wert für Stützen'!$C:$C,0),MATCH(G$7,'kc-Wert für Stützen'!$A$8:$ES$8,0)+7,4),,))</f>
        <v>43198.062225343056</v>
      </c>
      <c r="H169" s="768">
        <f ca="1">INDIRECT("'kc-Wert für Stützen'!"&amp;SUBSTITUTE(ADDRESS(MATCH($A169,'kc-Wert für Stützen'!$C:$C,0),MATCH(H$7,'kc-Wert für Stützen'!$A$8:$ES$8,0)+7,4),,))</f>
        <v>42579.583169574733</v>
      </c>
      <c r="I169" s="768">
        <f ca="1">INDIRECT("'kc-Wert für Stützen'!"&amp;SUBSTITUTE(ADDRESS(MATCH($A169,'kc-Wert für Stützen'!$C:$C,0),MATCH(I$7,'kc-Wert für Stützen'!$A$8:$ES$8,0)+7,4),,))</f>
        <v>41899.703216153735</v>
      </c>
      <c r="J169" s="768">
        <f ca="1">INDIRECT("'kc-Wert für Stützen'!"&amp;SUBSTITUTE(ADDRESS(MATCH($A169,'kc-Wert für Stützen'!$C:$C,0),MATCH(J$7,'kc-Wert für Stützen'!$A$8:$ES$8,0)+7,4),,))</f>
        <v>41156.626805134656</v>
      </c>
      <c r="K169" s="768">
        <f ca="1">INDIRECT("'kc-Wert für Stützen'!"&amp;SUBSTITUTE(ADDRESS(MATCH($A169,'kc-Wert für Stützen'!$C:$C,0),MATCH(K$7,'kc-Wert für Stützen'!$A$8:$ES$8,0)+7,4),,))</f>
        <v>40350.751288224346</v>
      </c>
      <c r="L169" s="768">
        <f ca="1">INDIRECT("'kc-Wert für Stützen'!"&amp;SUBSTITUTE(ADDRESS(MATCH($A169,'kc-Wert für Stützen'!$C:$C,0),MATCH(L$7,'kc-Wert für Stützen'!$A$8:$ES$8,0)+7,4),,))</f>
        <v>39485.077334432164</v>
      </c>
      <c r="M169" s="768">
        <f ca="1">INDIRECT("'kc-Wert für Stützen'!"&amp;SUBSTITUTE(ADDRESS(MATCH($A169,'kc-Wert für Stützen'!$C:$C,0),MATCH(M$7,'kc-Wert für Stützen'!$A$8:$ES$8,0)+7,4),,))</f>
        <v>38565.314773611855</v>
      </c>
      <c r="N169" s="768">
        <f ca="1">INDIRECT("'kc-Wert für Stützen'!"&amp;SUBSTITUTE(ADDRESS(MATCH($A169,'kc-Wert für Stützen'!$C:$C,0),MATCH(N$7,'kc-Wert für Stützen'!$A$8:$ES$8,0)+7,4),,))</f>
        <v>37599.604370786248</v>
      </c>
      <c r="O169" s="768">
        <f ca="1">INDIRECT("'kc-Wert für Stützen'!"&amp;SUBSTITUTE(ADDRESS(MATCH($A169,'kc-Wert für Stützen'!$C:$C,0),MATCH(O$7,'kc-Wert für Stützen'!$A$8:$ES$8,0)+7,4),,))</f>
        <v>36597.885748598506</v>
      </c>
      <c r="P169" s="768">
        <f ca="1">INDIRECT("'kc-Wert für Stützen'!"&amp;SUBSTITUTE(ADDRESS(MATCH($A169,'kc-Wert für Stützen'!$C:$C,0),MATCH(P$7,'kc-Wert für Stützen'!$A$8:$ES$8,0)+7,4),,))</f>
        <v>35571.048902886367</v>
      </c>
      <c r="S169" s="772">
        <f t="shared" ca="1" si="59"/>
        <v>44723.838912343956</v>
      </c>
      <c r="T169" s="772">
        <f t="shared" ca="1" si="69"/>
        <v>44723.838912343956</v>
      </c>
      <c r="U169" s="772">
        <f t="shared" ca="1" si="69"/>
        <v>44723.838912343956</v>
      </c>
      <c r="V169" s="772">
        <f t="shared" ca="1" si="69"/>
        <v>44265.500260026747</v>
      </c>
      <c r="W169" s="772">
        <f t="shared" ca="1" si="69"/>
        <v>43758.555220816648</v>
      </c>
      <c r="X169" s="772">
        <f t="shared" ca="1" si="69"/>
        <v>43198.062225343056</v>
      </c>
      <c r="Y169" s="772">
        <f t="shared" ca="1" si="69"/>
        <v>42579.583169574733</v>
      </c>
      <c r="Z169" s="772">
        <f t="shared" ca="1" si="69"/>
        <v>44723.838912343956</v>
      </c>
      <c r="AA169" s="772">
        <f t="shared" ca="1" si="69"/>
        <v>44723.838912343956</v>
      </c>
      <c r="AB169" s="772">
        <f t="shared" ca="1" si="68"/>
        <v>44265.500260026747</v>
      </c>
      <c r="AC169" s="772">
        <f t="shared" ca="1" si="68"/>
        <v>44265.500260026747</v>
      </c>
      <c r="AD169" s="772">
        <f t="shared" ca="1" si="68"/>
        <v>43758.555220816648</v>
      </c>
      <c r="AE169" s="772">
        <f t="shared" ca="1" si="68"/>
        <v>43758.555220816648</v>
      </c>
      <c r="AF169" s="772">
        <f t="shared" ca="1" si="68"/>
        <v>43198.062225343056</v>
      </c>
      <c r="AG169" s="772">
        <f t="shared" ca="1" si="68"/>
        <v>43198.062225343056</v>
      </c>
      <c r="AH169" s="772">
        <f t="shared" ca="1" si="68"/>
        <v>43198.062225343056</v>
      </c>
      <c r="AI169" s="772">
        <f t="shared" ca="1" si="68"/>
        <v>44723.838912343956</v>
      </c>
      <c r="AJ169" s="772">
        <f t="shared" ca="1" si="68"/>
        <v>44723.838912343956</v>
      </c>
      <c r="AK169" s="772">
        <f t="shared" ca="1" si="68"/>
        <v>44265.500260026747</v>
      </c>
      <c r="AL169" s="772">
        <f t="shared" ca="1" si="68"/>
        <v>44265.500260026747</v>
      </c>
      <c r="AM169" s="772">
        <f t="shared" ca="1" si="68"/>
        <v>43758.555220816648</v>
      </c>
      <c r="AN169" s="772">
        <f t="shared" ca="1" si="68"/>
        <v>43758.555220816648</v>
      </c>
      <c r="AO169" s="772">
        <f t="shared" ca="1" si="68"/>
        <v>43198.062225343056</v>
      </c>
      <c r="AP169" s="772">
        <f t="shared" ca="1" si="68"/>
        <v>43198.062225343056</v>
      </c>
      <c r="AQ169" s="772">
        <f t="shared" ca="1" si="68"/>
        <v>43198.062225343056</v>
      </c>
      <c r="AR169" s="772">
        <f t="shared" ca="1" si="72"/>
        <v>44723.838912343956</v>
      </c>
      <c r="AS169" s="772">
        <f t="shared" ca="1" si="72"/>
        <v>44723.838912343956</v>
      </c>
      <c r="AT169" s="772">
        <f t="shared" ca="1" si="72"/>
        <v>44265.500260026747</v>
      </c>
      <c r="AU169" s="772">
        <f t="shared" ca="1" si="72"/>
        <v>44265.500260026747</v>
      </c>
      <c r="AV169" s="772">
        <f t="shared" ca="1" si="72"/>
        <v>43758.555220816648</v>
      </c>
      <c r="AW169" s="772">
        <f t="shared" ca="1" si="72"/>
        <v>43758.555220816648</v>
      </c>
      <c r="AX169" s="772">
        <f t="shared" ca="1" si="72"/>
        <v>43198.062225343056</v>
      </c>
      <c r="AY169" s="772">
        <f t="shared" ca="1" si="72"/>
        <v>43198.062225343056</v>
      </c>
      <c r="AZ169" s="772">
        <f t="shared" ca="1" si="72"/>
        <v>43198.062225343056</v>
      </c>
      <c r="BA169" s="772">
        <f t="shared" ca="1" si="72"/>
        <v>44723.838912343956</v>
      </c>
      <c r="BB169" s="772">
        <f t="shared" ca="1" si="72"/>
        <v>44723.838912343956</v>
      </c>
      <c r="BC169" s="772">
        <f t="shared" ca="1" si="72"/>
        <v>44265.500260026747</v>
      </c>
      <c r="BD169" s="772">
        <f t="shared" ca="1" si="72"/>
        <v>43758.555220816648</v>
      </c>
      <c r="BE169" s="772">
        <f t="shared" ca="1" si="72"/>
        <v>43758.555220816648</v>
      </c>
      <c r="BF169" s="772">
        <f t="shared" ca="1" si="72"/>
        <v>43198.062225343056</v>
      </c>
      <c r="BG169" s="772">
        <f t="shared" ca="1" si="72"/>
        <v>43198.062225343056</v>
      </c>
      <c r="BH169" s="772">
        <f t="shared" ca="1" si="75"/>
        <v>42579.583169574733</v>
      </c>
      <c r="BI169" s="772">
        <f t="shared" ca="1" si="75"/>
        <v>42579.583169574733</v>
      </c>
      <c r="BJ169" s="772">
        <f t="shared" ca="1" si="75"/>
        <v>44265.500260026747</v>
      </c>
      <c r="BK169" s="772">
        <f t="shared" ca="1" si="75"/>
        <v>44265.500260026747</v>
      </c>
      <c r="BL169" s="772">
        <f t="shared" ca="1" si="75"/>
        <v>44265.500260026747</v>
      </c>
      <c r="BM169" s="772">
        <f t="shared" ca="1" si="75"/>
        <v>44265.500260026747</v>
      </c>
      <c r="BN169" s="772">
        <f t="shared" ca="1" si="75"/>
        <v>43198.062225343056</v>
      </c>
      <c r="BO169" s="772">
        <f t="shared" ca="1" si="75"/>
        <v>43198.062225343056</v>
      </c>
      <c r="BP169" s="772">
        <f t="shared" ca="1" si="75"/>
        <v>42579.583169574733</v>
      </c>
      <c r="BQ169" s="772">
        <f t="shared" ca="1" si="75"/>
        <v>42579.583169574733</v>
      </c>
      <c r="BR169" s="772">
        <f t="shared" ca="1" si="75"/>
        <v>41899.703216153735</v>
      </c>
      <c r="BS169" s="772">
        <f t="shared" ca="1" si="75"/>
        <v>44265.500260026747</v>
      </c>
      <c r="BT169" s="772">
        <f t="shared" ca="1" si="75"/>
        <v>44265.500260026747</v>
      </c>
      <c r="BU169" s="772">
        <f t="shared" ca="1" si="75"/>
        <v>44265.500260026747</v>
      </c>
      <c r="BV169" s="772">
        <f t="shared" ca="1" si="75"/>
        <v>43758.555220816648</v>
      </c>
      <c r="BW169" s="772">
        <f t="shared" ca="1" si="75"/>
        <v>43758.555220816648</v>
      </c>
      <c r="BX169" s="772">
        <f t="shared" ca="1" si="74"/>
        <v>42579.583169574733</v>
      </c>
      <c r="BY169" s="772">
        <f t="shared" ca="1" si="74"/>
        <v>42579.583169574733</v>
      </c>
      <c r="BZ169" s="772">
        <f t="shared" ca="1" si="74"/>
        <v>41899.703216153735</v>
      </c>
      <c r="CA169" s="772">
        <f t="shared" ca="1" si="74"/>
        <v>41899.703216153735</v>
      </c>
      <c r="CB169" s="772">
        <f t="shared" ca="1" si="74"/>
        <v>43758.555220816648</v>
      </c>
      <c r="CC169" s="772">
        <f t="shared" ca="1" si="74"/>
        <v>43758.555220816648</v>
      </c>
      <c r="CD169" s="772">
        <f t="shared" ca="1" si="74"/>
        <v>43758.555220816648</v>
      </c>
      <c r="CE169" s="772">
        <f t="shared" ca="1" si="73"/>
        <v>43758.555220816648</v>
      </c>
      <c r="CF169" s="772">
        <f t="shared" ca="1" si="73"/>
        <v>43198.062225343056</v>
      </c>
      <c r="CG169" s="772">
        <f t="shared" ca="1" si="73"/>
        <v>42579.583169574733</v>
      </c>
      <c r="CH169" s="772">
        <f t="shared" ca="1" si="73"/>
        <v>41899.703216153735</v>
      </c>
      <c r="CI169" s="772">
        <f t="shared" ca="1" si="73"/>
        <v>41899.703216153735</v>
      </c>
      <c r="CJ169" s="772">
        <f t="shared" ca="1" si="73"/>
        <v>41156.626805134656</v>
      </c>
    </row>
    <row r="170" spans="1:88" ht="15" customHeight="1">
      <c r="A170" s="770">
        <f>'kc-Wert für Stützen'!C170</f>
        <v>222</v>
      </c>
      <c r="B170" s="768">
        <f ca="1">INDIRECT("'kc-Wert für Stützen'!"&amp;SUBSTITUTE(ADDRESS(MATCH($A170,'kc-Wert für Stützen'!$C:$C,0),MATCH(B$7,'kc-Wert für Stützen'!$A$8:$ES$8,0)+7,4),,))</f>
        <v>45972.882107725905</v>
      </c>
      <c r="C170" s="768">
        <f ca="1">INDIRECT("'kc-Wert für Stützen'!"&amp;SUBSTITUTE(ADDRESS(MATCH($A170,'kc-Wert für Stützen'!$C:$C,0),MATCH(C$7,'kc-Wert für Stützen'!$A$8:$ES$8,0)+7,4),,))</f>
        <v>45599.727195829808</v>
      </c>
      <c r="D170" s="768">
        <f ca="1">INDIRECT("'kc-Wert für Stützen'!"&amp;SUBSTITUTE(ADDRESS(MATCH($A170,'kc-Wert für Stützen'!$C:$C,0),MATCH(D$7,'kc-Wert für Stützen'!$A$8:$ES$8,0)+7,4),,))</f>
        <v>45188.51190116621</v>
      </c>
      <c r="E170" s="768">
        <f ca="1">INDIRECT("'kc-Wert für Stützen'!"&amp;SUBSTITUTE(ADDRESS(MATCH($A170,'kc-Wert für Stützen'!$C:$C,0),MATCH(E$7,'kc-Wert für Stützen'!$A$8:$ES$8,0)+7,4),,))</f>
        <v>44734.411783107302</v>
      </c>
      <c r="F170" s="768">
        <f ca="1">INDIRECT("'kc-Wert für Stützen'!"&amp;SUBSTITUTE(ADDRESS(MATCH($A170,'kc-Wert für Stützen'!$C:$C,0),MATCH(F$7,'kc-Wert für Stützen'!$A$8:$ES$8,0)+7,4),,))</f>
        <v>44232.411176381553</v>
      </c>
      <c r="G170" s="768">
        <f ca="1">INDIRECT("'kc-Wert für Stützen'!"&amp;SUBSTITUTE(ADDRESS(MATCH($A170,'kc-Wert für Stützen'!$C:$C,0),MATCH(G$7,'kc-Wert für Stützen'!$A$8:$ES$8,0)+7,4),,))</f>
        <v>43677.554321617805</v>
      </c>
      <c r="H170" s="768">
        <f ca="1">INDIRECT("'kc-Wert für Stützen'!"&amp;SUBSTITUTE(ADDRESS(MATCH($A170,'kc-Wert für Stützen'!$C:$C,0),MATCH(H$7,'kc-Wert für Stützen'!$A$8:$ES$8,0)+7,4),,))</f>
        <v>43065.319465112334</v>
      </c>
      <c r="I170" s="768">
        <f ca="1">INDIRECT("'kc-Wert für Stützen'!"&amp;SUBSTITUTE(ADDRESS(MATCH($A170,'kc-Wert für Stützen'!$C:$C,0),MATCH(I$7,'kc-Wert für Stützen'!$A$8:$ES$8,0)+7,4),,))</f>
        <v>42392.115766407282</v>
      </c>
      <c r="J170" s="768">
        <f ca="1">INDIRECT("'kc-Wert für Stützen'!"&amp;SUBSTITUTE(ADDRESS(MATCH($A170,'kc-Wert für Stützen'!$C:$C,0),MATCH(J$7,'kc-Wert für Stützen'!$A$8:$ES$8,0)+7,4),,))</f>
        <v>41655.865044790175</v>
      </c>
      <c r="K170" s="768">
        <f ca="1">INDIRECT("'kc-Wert für Stützen'!"&amp;SUBSTITUTE(ADDRESS(MATCH($A170,'kc-Wert für Stützen'!$C:$C,0),MATCH(K$7,'kc-Wert für Stützen'!$A$8:$ES$8,0)+7,4),,))</f>
        <v>40856.579772742436</v>
      </c>
      <c r="L170" s="768">
        <f ca="1">INDIRECT("'kc-Wert für Stützen'!"&amp;SUBSTITUTE(ADDRESS(MATCH($A170,'kc-Wert für Stützen'!$C:$C,0),MATCH(L$7,'kc-Wert für Stützen'!$A$8:$ES$8,0)+7,4),,))</f>
        <v>39996.804038236114</v>
      </c>
      <c r="M170" s="768">
        <f ca="1">INDIRECT("'kc-Wert für Stützen'!"&amp;SUBSTITUTE(ADDRESS(MATCH($A170,'kc-Wert für Stützen'!$C:$C,0),MATCH(M$7,'kc-Wert für Stützen'!$A$8:$ES$8,0)+7,4),,))</f>
        <v>39081.775324786948</v>
      </c>
      <c r="N170" s="768">
        <f ca="1">INDIRECT("'kc-Wert für Stützen'!"&amp;SUBSTITUTE(ADDRESS(MATCH($A170,'kc-Wert für Stützen'!$C:$C,0),MATCH(N$7,'kc-Wert für Stützen'!$A$8:$ES$8,0)+7,4),,))</f>
        <v>38119.215183341264</v>
      </c>
      <c r="O170" s="768">
        <f ca="1">INDIRECT("'kc-Wert für Stützen'!"&amp;SUBSTITUTE(ADDRESS(MATCH($A170,'kc-Wert für Stützen'!$C:$C,0),MATCH(O$7,'kc-Wert für Stützen'!$A$8:$ES$8,0)+7,4),,))</f>
        <v>37118.758738606659</v>
      </c>
      <c r="P170" s="768">
        <f ca="1">INDIRECT("'kc-Wert für Stützen'!"&amp;SUBSTITUTE(ADDRESS(MATCH($A170,'kc-Wert für Stützen'!$C:$C,0),MATCH(P$7,'kc-Wert für Stützen'!$A$8:$ES$8,0)+7,4),,))</f>
        <v>36091.142110866014</v>
      </c>
      <c r="S170" s="772">
        <f t="shared" ca="1" si="59"/>
        <v>45188.51190116621</v>
      </c>
      <c r="T170" s="772">
        <f t="shared" ca="1" si="69"/>
        <v>45188.51190116621</v>
      </c>
      <c r="U170" s="772">
        <f t="shared" ca="1" si="69"/>
        <v>45188.51190116621</v>
      </c>
      <c r="V170" s="772">
        <f t="shared" ca="1" si="69"/>
        <v>44734.411783107302</v>
      </c>
      <c r="W170" s="772">
        <f t="shared" ca="1" si="69"/>
        <v>44232.411176381553</v>
      </c>
      <c r="X170" s="772">
        <f t="shared" ca="1" si="69"/>
        <v>43677.554321617805</v>
      </c>
      <c r="Y170" s="772">
        <f t="shared" ca="1" si="69"/>
        <v>43065.319465112334</v>
      </c>
      <c r="Z170" s="772">
        <f t="shared" ca="1" si="69"/>
        <v>45188.51190116621</v>
      </c>
      <c r="AA170" s="772">
        <f t="shared" ca="1" si="69"/>
        <v>45188.51190116621</v>
      </c>
      <c r="AB170" s="772">
        <f t="shared" ca="1" si="68"/>
        <v>44734.411783107302</v>
      </c>
      <c r="AC170" s="772">
        <f t="shared" ca="1" si="68"/>
        <v>44734.411783107302</v>
      </c>
      <c r="AD170" s="772">
        <f t="shared" ca="1" si="68"/>
        <v>44232.411176381553</v>
      </c>
      <c r="AE170" s="772">
        <f t="shared" ca="1" si="68"/>
        <v>44232.411176381553</v>
      </c>
      <c r="AF170" s="772">
        <f t="shared" ca="1" si="68"/>
        <v>43677.554321617805</v>
      </c>
      <c r="AG170" s="772">
        <f t="shared" ca="1" si="68"/>
        <v>43677.554321617805</v>
      </c>
      <c r="AH170" s="772">
        <f t="shared" ca="1" si="68"/>
        <v>43677.554321617805</v>
      </c>
      <c r="AI170" s="772">
        <f t="shared" ca="1" si="68"/>
        <v>45188.51190116621</v>
      </c>
      <c r="AJ170" s="772">
        <f t="shared" ca="1" si="68"/>
        <v>45188.51190116621</v>
      </c>
      <c r="AK170" s="772">
        <f t="shared" ca="1" si="68"/>
        <v>44734.411783107302</v>
      </c>
      <c r="AL170" s="772">
        <f t="shared" ca="1" si="68"/>
        <v>44734.411783107302</v>
      </c>
      <c r="AM170" s="772">
        <f t="shared" ca="1" si="68"/>
        <v>44232.411176381553</v>
      </c>
      <c r="AN170" s="772">
        <f t="shared" ca="1" si="68"/>
        <v>44232.411176381553</v>
      </c>
      <c r="AO170" s="772">
        <f t="shared" ca="1" si="68"/>
        <v>43677.554321617805</v>
      </c>
      <c r="AP170" s="772">
        <f t="shared" ca="1" si="68"/>
        <v>43677.554321617805</v>
      </c>
      <c r="AQ170" s="772">
        <f t="shared" ca="1" si="68"/>
        <v>43677.554321617805</v>
      </c>
      <c r="AR170" s="772">
        <f t="shared" ca="1" si="72"/>
        <v>45188.51190116621</v>
      </c>
      <c r="AS170" s="772">
        <f t="shared" ca="1" si="72"/>
        <v>45188.51190116621</v>
      </c>
      <c r="AT170" s="772">
        <f t="shared" ca="1" si="72"/>
        <v>44734.411783107302</v>
      </c>
      <c r="AU170" s="772">
        <f t="shared" ca="1" si="72"/>
        <v>44734.411783107302</v>
      </c>
      <c r="AV170" s="772">
        <f t="shared" ca="1" si="72"/>
        <v>44232.411176381553</v>
      </c>
      <c r="AW170" s="772">
        <f t="shared" ca="1" si="72"/>
        <v>44232.411176381553</v>
      </c>
      <c r="AX170" s="772">
        <f t="shared" ca="1" si="72"/>
        <v>43677.554321617805</v>
      </c>
      <c r="AY170" s="772">
        <f t="shared" ca="1" si="72"/>
        <v>43677.554321617805</v>
      </c>
      <c r="AZ170" s="772">
        <f t="shared" ca="1" si="72"/>
        <v>43677.554321617805</v>
      </c>
      <c r="BA170" s="772">
        <f t="shared" ca="1" si="72"/>
        <v>45188.51190116621</v>
      </c>
      <c r="BB170" s="772">
        <f t="shared" ca="1" si="72"/>
        <v>45188.51190116621</v>
      </c>
      <c r="BC170" s="772">
        <f t="shared" ca="1" si="72"/>
        <v>44734.411783107302</v>
      </c>
      <c r="BD170" s="772">
        <f t="shared" ca="1" si="72"/>
        <v>44232.411176381553</v>
      </c>
      <c r="BE170" s="772">
        <f t="shared" ca="1" si="72"/>
        <v>44232.411176381553</v>
      </c>
      <c r="BF170" s="772">
        <f t="shared" ca="1" si="72"/>
        <v>43677.554321617805</v>
      </c>
      <c r="BG170" s="772">
        <f t="shared" ca="1" si="72"/>
        <v>43677.554321617805</v>
      </c>
      <c r="BH170" s="772">
        <f t="shared" ca="1" si="75"/>
        <v>43065.319465112334</v>
      </c>
      <c r="BI170" s="772">
        <f t="shared" ca="1" si="75"/>
        <v>43065.319465112334</v>
      </c>
      <c r="BJ170" s="772">
        <f t="shared" ca="1" si="75"/>
        <v>44734.411783107302</v>
      </c>
      <c r="BK170" s="772">
        <f t="shared" ca="1" si="75"/>
        <v>44734.411783107302</v>
      </c>
      <c r="BL170" s="772">
        <f t="shared" ca="1" si="75"/>
        <v>44734.411783107302</v>
      </c>
      <c r="BM170" s="772">
        <f t="shared" ca="1" si="75"/>
        <v>44734.411783107302</v>
      </c>
      <c r="BN170" s="772">
        <f t="shared" ca="1" si="75"/>
        <v>43677.554321617805</v>
      </c>
      <c r="BO170" s="772">
        <f t="shared" ca="1" si="75"/>
        <v>43677.554321617805</v>
      </c>
      <c r="BP170" s="772">
        <f t="shared" ca="1" si="75"/>
        <v>43065.319465112334</v>
      </c>
      <c r="BQ170" s="772">
        <f t="shared" ca="1" si="75"/>
        <v>43065.319465112334</v>
      </c>
      <c r="BR170" s="772">
        <f t="shared" ca="1" si="75"/>
        <v>42392.115766407282</v>
      </c>
      <c r="BS170" s="772">
        <f t="shared" ca="1" si="75"/>
        <v>44734.411783107302</v>
      </c>
      <c r="BT170" s="772">
        <f t="shared" ca="1" si="75"/>
        <v>44734.411783107302</v>
      </c>
      <c r="BU170" s="772">
        <f t="shared" ca="1" si="75"/>
        <v>44734.411783107302</v>
      </c>
      <c r="BV170" s="772">
        <f t="shared" ca="1" si="75"/>
        <v>44232.411176381553</v>
      </c>
      <c r="BW170" s="772">
        <f t="shared" ca="1" si="75"/>
        <v>44232.411176381553</v>
      </c>
      <c r="BX170" s="772">
        <f t="shared" ca="1" si="74"/>
        <v>43065.319465112334</v>
      </c>
      <c r="BY170" s="772">
        <f t="shared" ca="1" si="74"/>
        <v>43065.319465112334</v>
      </c>
      <c r="BZ170" s="772">
        <f t="shared" ca="1" si="74"/>
        <v>42392.115766407282</v>
      </c>
      <c r="CA170" s="772">
        <f t="shared" ca="1" si="74"/>
        <v>42392.115766407282</v>
      </c>
      <c r="CB170" s="772">
        <f t="shared" ca="1" si="74"/>
        <v>44232.411176381553</v>
      </c>
      <c r="CC170" s="772">
        <f t="shared" ca="1" si="74"/>
        <v>44232.411176381553</v>
      </c>
      <c r="CD170" s="772">
        <f t="shared" ca="1" si="74"/>
        <v>44232.411176381553</v>
      </c>
      <c r="CE170" s="772">
        <f t="shared" ca="1" si="73"/>
        <v>44232.411176381553</v>
      </c>
      <c r="CF170" s="772">
        <f t="shared" ca="1" si="73"/>
        <v>43677.554321617805</v>
      </c>
      <c r="CG170" s="772">
        <f t="shared" ca="1" si="73"/>
        <v>43065.319465112334</v>
      </c>
      <c r="CH170" s="772">
        <f t="shared" ca="1" si="73"/>
        <v>42392.115766407282</v>
      </c>
      <c r="CI170" s="772">
        <f t="shared" ca="1" si="73"/>
        <v>42392.115766407282</v>
      </c>
      <c r="CJ170" s="772">
        <f t="shared" ca="1" si="73"/>
        <v>41655.865044790175</v>
      </c>
    </row>
    <row r="171" spans="1:88" ht="15" customHeight="1">
      <c r="A171" s="770">
        <f>'kc-Wert für Stützen'!C171</f>
        <v>223</v>
      </c>
      <c r="B171" s="768">
        <f ca="1">INDIRECT("'kc-Wert für Stützen'!"&amp;SUBSTITUTE(ADDRESS(MATCH($A171,'kc-Wert für Stützen'!$C:$C,0),MATCH(B$7,'kc-Wert für Stützen'!$A$8:$ES$8,0)+7,4),,))</f>
        <v>46432.778822490851</v>
      </c>
      <c r="C171" s="768">
        <f ca="1">INDIRECT("'kc-Wert für Stützen'!"&amp;SUBSTITUTE(ADDRESS(MATCH($A171,'kc-Wert für Stützen'!$C:$C,0),MATCH(C$7,'kc-Wert für Stützen'!$A$8:$ES$8,0)+7,4),,))</f>
        <v>46062.497935982814</v>
      </c>
      <c r="D171" s="768">
        <f ca="1">INDIRECT("'kc-Wert für Stützen'!"&amp;SUBSTITUTE(ADDRESS(MATCH($A171,'kc-Wert für Stützen'!$C:$C,0),MATCH(D$7,'kc-Wert für Stützen'!$A$8:$ES$8,0)+7,4),,))</f>
        <v>45654.761562790918</v>
      </c>
      <c r="E171" s="768">
        <f ca="1">INDIRECT("'kc-Wert für Stützen'!"&amp;SUBSTITUTE(ADDRESS(MATCH($A171,'kc-Wert für Stützen'!$C:$C,0),MATCH(E$7,'kc-Wert für Stützen'!$A$8:$ES$8,0)+7,4),,))</f>
        <v>45204.804902791744</v>
      </c>
      <c r="F171" s="768">
        <f ca="1">INDIRECT("'kc-Wert für Stützen'!"&amp;SUBSTITUTE(ADDRESS(MATCH($A171,'kc-Wert für Stützen'!$C:$C,0),MATCH(F$7,'kc-Wert für Stützen'!$A$8:$ES$8,0)+7,4),,))</f>
        <v>44707.648352422038</v>
      </c>
      <c r="G171" s="768">
        <f ca="1">INDIRECT("'kc-Wert für Stützen'!"&amp;SUBSTITUTE(ADDRESS(MATCH($A171,'kc-Wert für Stützen'!$C:$C,0),MATCH(G$7,'kc-Wert für Stützen'!$A$8:$ES$8,0)+7,4),,))</f>
        <v>44158.329920120552</v>
      </c>
      <c r="H171" s="768">
        <f ca="1">INDIRECT("'kc-Wert für Stützen'!"&amp;SUBSTITUTE(ADDRESS(MATCH($A171,'kc-Wert für Stützen'!$C:$C,0),MATCH(H$7,'kc-Wert für Stützen'!$A$8:$ES$8,0)+7,4),,))</f>
        <v>43552.256536422406</v>
      </c>
      <c r="I171" s="768">
        <f ca="1">INDIRECT("'kc-Wert für Stützen'!"&amp;SUBSTITUTE(ADDRESS(MATCH($A171,'kc-Wert für Stützen'!$C:$C,0),MATCH(I$7,'kc-Wert für Stützen'!$A$8:$ES$8,0)+7,4),,))</f>
        <v>42885.677959300177</v>
      </c>
      <c r="J171" s="768">
        <f ca="1">INDIRECT("'kc-Wert für Stützen'!"&amp;SUBSTITUTE(ADDRESS(MATCH($A171,'kc-Wert für Stützen'!$C:$C,0),MATCH(J$7,'kc-Wert für Stützen'!$A$8:$ES$8,0)+7,4),,))</f>
        <v>42156.252601615633</v>
      </c>
      <c r="K171" s="768">
        <f ca="1">INDIRECT("'kc-Wert für Stützen'!"&amp;SUBSTITUTE(ADDRESS(MATCH($A171,'kc-Wert für Stützen'!$C:$C,0),MATCH(K$7,'kc-Wert für Stützen'!$A$8:$ES$8,0)+7,4),,))</f>
        <v>41363.626337779271</v>
      </c>
      <c r="L171" s="768">
        <f ca="1">INDIRECT("'kc-Wert für Stützen'!"&amp;SUBSTITUTE(ADDRESS(MATCH($A171,'kc-Wert für Stützen'!$C:$C,0),MATCH(L$7,'kc-Wert für Stützen'!$A$8:$ES$8,0)+7,4),,))</f>
        <v>40509.899145115254</v>
      </c>
      <c r="M171" s="768">
        <f ca="1">INDIRECT("'kc-Wert für Stützen'!"&amp;SUBSTITUTE(ADDRESS(MATCH($A171,'kc-Wert für Stützen'!$C:$C,0),MATCH(M$7,'kc-Wert für Stützen'!$A$8:$ES$8,0)+7,4),,))</f>
        <v>39599.838288677034</v>
      </c>
      <c r="N171" s="768">
        <f ca="1">INDIRECT("'kc-Wert für Stützen'!"&amp;SUBSTITUTE(ADDRESS(MATCH($A171,'kc-Wert für Stützen'!$C:$C,0),MATCH(N$7,'kc-Wert für Stützen'!$A$8:$ES$8,0)+7,4),,))</f>
        <v>38640.735837681219</v>
      </c>
      <c r="O171" s="768">
        <f ca="1">INDIRECT("'kc-Wert für Stützen'!"&amp;SUBSTITUTE(ADDRESS(MATCH($A171,'kc-Wert für Stützen'!$C:$C,0),MATCH(O$7,'kc-Wert für Stützen'!$A$8:$ES$8,0)+7,4),,))</f>
        <v>37641.901418864974</v>
      </c>
      <c r="P171" s="768">
        <f ca="1">INDIRECT("'kc-Wert für Stützen'!"&amp;SUBSTITUTE(ADDRESS(MATCH($A171,'kc-Wert für Stützen'!$C:$C,0),MATCH(P$7,'kc-Wert für Stützen'!$A$8:$ES$8,0)+7,4),,))</f>
        <v>36613.890312537296</v>
      </c>
      <c r="S171" s="772">
        <f t="shared" ca="1" si="59"/>
        <v>45654.761562790918</v>
      </c>
      <c r="T171" s="772">
        <f t="shared" ca="1" si="69"/>
        <v>45654.761562790918</v>
      </c>
      <c r="U171" s="772">
        <f t="shared" ca="1" si="69"/>
        <v>45654.761562790918</v>
      </c>
      <c r="V171" s="772">
        <f t="shared" ca="1" si="69"/>
        <v>45204.804902791744</v>
      </c>
      <c r="W171" s="772">
        <f t="shared" ca="1" si="69"/>
        <v>44707.648352422038</v>
      </c>
      <c r="X171" s="772">
        <f t="shared" ca="1" si="69"/>
        <v>44158.329920120552</v>
      </c>
      <c r="Y171" s="772">
        <f t="shared" ca="1" si="69"/>
        <v>43552.256536422406</v>
      </c>
      <c r="Z171" s="772">
        <f t="shared" ca="1" si="69"/>
        <v>45654.761562790918</v>
      </c>
      <c r="AA171" s="772">
        <f t="shared" ca="1" si="69"/>
        <v>45654.761562790918</v>
      </c>
      <c r="AB171" s="772">
        <f t="shared" ca="1" si="68"/>
        <v>45204.804902791744</v>
      </c>
      <c r="AC171" s="772">
        <f t="shared" ca="1" si="68"/>
        <v>45204.804902791744</v>
      </c>
      <c r="AD171" s="772">
        <f t="shared" ca="1" si="68"/>
        <v>44707.648352422038</v>
      </c>
      <c r="AE171" s="772">
        <f t="shared" ca="1" si="68"/>
        <v>44707.648352422038</v>
      </c>
      <c r="AF171" s="772">
        <f t="shared" ca="1" si="68"/>
        <v>44158.329920120552</v>
      </c>
      <c r="AG171" s="772">
        <f t="shared" ca="1" si="68"/>
        <v>44158.329920120552</v>
      </c>
      <c r="AH171" s="772">
        <f t="shared" ca="1" si="68"/>
        <v>44158.329920120552</v>
      </c>
      <c r="AI171" s="772">
        <f t="shared" ca="1" si="68"/>
        <v>45654.761562790918</v>
      </c>
      <c r="AJ171" s="772">
        <f t="shared" ca="1" si="68"/>
        <v>45654.761562790918</v>
      </c>
      <c r="AK171" s="772">
        <f t="shared" ca="1" si="68"/>
        <v>45204.804902791744</v>
      </c>
      <c r="AL171" s="772">
        <f t="shared" ca="1" si="68"/>
        <v>45204.804902791744</v>
      </c>
      <c r="AM171" s="772">
        <f t="shared" ca="1" si="68"/>
        <v>44707.648352422038</v>
      </c>
      <c r="AN171" s="772">
        <f t="shared" ca="1" si="68"/>
        <v>44707.648352422038</v>
      </c>
      <c r="AO171" s="772">
        <f t="shared" ca="1" si="68"/>
        <v>44158.329920120552</v>
      </c>
      <c r="AP171" s="772">
        <f t="shared" ref="AB171:AQ187" ca="1" si="76">HLOOKUP(AP$7,$A$7:$P$348,ROW()-6)</f>
        <v>44158.329920120552</v>
      </c>
      <c r="AQ171" s="772">
        <f t="shared" ca="1" si="76"/>
        <v>44158.329920120552</v>
      </c>
      <c r="AR171" s="772">
        <f t="shared" ca="1" si="72"/>
        <v>45654.761562790918</v>
      </c>
      <c r="AS171" s="772">
        <f t="shared" ca="1" si="72"/>
        <v>45654.761562790918</v>
      </c>
      <c r="AT171" s="772">
        <f t="shared" ca="1" si="72"/>
        <v>45204.804902791744</v>
      </c>
      <c r="AU171" s="772">
        <f t="shared" ca="1" si="72"/>
        <v>45204.804902791744</v>
      </c>
      <c r="AV171" s="772">
        <f t="shared" ca="1" si="72"/>
        <v>44707.648352422038</v>
      </c>
      <c r="AW171" s="772">
        <f t="shared" ca="1" si="72"/>
        <v>44707.648352422038</v>
      </c>
      <c r="AX171" s="772">
        <f t="shared" ca="1" si="72"/>
        <v>44158.329920120552</v>
      </c>
      <c r="AY171" s="772">
        <f t="shared" ca="1" si="72"/>
        <v>44158.329920120552</v>
      </c>
      <c r="AZ171" s="772">
        <f t="shared" ca="1" si="72"/>
        <v>44158.329920120552</v>
      </c>
      <c r="BA171" s="772">
        <f t="shared" ca="1" si="72"/>
        <v>45654.761562790918</v>
      </c>
      <c r="BB171" s="772">
        <f t="shared" ca="1" si="72"/>
        <v>45654.761562790918</v>
      </c>
      <c r="BC171" s="772">
        <f t="shared" ca="1" si="72"/>
        <v>45204.804902791744</v>
      </c>
      <c r="BD171" s="772">
        <f t="shared" ca="1" si="72"/>
        <v>44707.648352422038</v>
      </c>
      <c r="BE171" s="772">
        <f t="shared" ca="1" si="72"/>
        <v>44707.648352422038</v>
      </c>
      <c r="BF171" s="772">
        <f t="shared" ca="1" si="72"/>
        <v>44158.329920120552</v>
      </c>
      <c r="BG171" s="772">
        <f t="shared" ca="1" si="72"/>
        <v>44158.329920120552</v>
      </c>
      <c r="BH171" s="772">
        <f t="shared" ca="1" si="75"/>
        <v>43552.256536422406</v>
      </c>
      <c r="BI171" s="772">
        <f t="shared" ca="1" si="75"/>
        <v>43552.256536422406</v>
      </c>
      <c r="BJ171" s="772">
        <f t="shared" ca="1" si="75"/>
        <v>45204.804902791744</v>
      </c>
      <c r="BK171" s="772">
        <f t="shared" ca="1" si="75"/>
        <v>45204.804902791744</v>
      </c>
      <c r="BL171" s="772">
        <f t="shared" ca="1" si="75"/>
        <v>45204.804902791744</v>
      </c>
      <c r="BM171" s="772">
        <f t="shared" ca="1" si="75"/>
        <v>45204.804902791744</v>
      </c>
      <c r="BN171" s="772">
        <f t="shared" ca="1" si="75"/>
        <v>44158.329920120552</v>
      </c>
      <c r="BO171" s="772">
        <f t="shared" ca="1" si="75"/>
        <v>44158.329920120552</v>
      </c>
      <c r="BP171" s="772">
        <f t="shared" ca="1" si="75"/>
        <v>43552.256536422406</v>
      </c>
      <c r="BQ171" s="772">
        <f t="shared" ca="1" si="75"/>
        <v>43552.256536422406</v>
      </c>
      <c r="BR171" s="772">
        <f t="shared" ca="1" si="75"/>
        <v>42885.677959300177</v>
      </c>
      <c r="BS171" s="772">
        <f t="shared" ca="1" si="75"/>
        <v>45204.804902791744</v>
      </c>
      <c r="BT171" s="772">
        <f t="shared" ca="1" si="75"/>
        <v>45204.804902791744</v>
      </c>
      <c r="BU171" s="772">
        <f t="shared" ca="1" si="75"/>
        <v>45204.804902791744</v>
      </c>
      <c r="BV171" s="772">
        <f t="shared" ca="1" si="75"/>
        <v>44707.648352422038</v>
      </c>
      <c r="BW171" s="772">
        <f t="shared" ca="1" si="75"/>
        <v>44707.648352422038</v>
      </c>
      <c r="BX171" s="772">
        <f t="shared" ca="1" si="74"/>
        <v>43552.256536422406</v>
      </c>
      <c r="BY171" s="772">
        <f t="shared" ca="1" si="74"/>
        <v>43552.256536422406</v>
      </c>
      <c r="BZ171" s="772">
        <f t="shared" ca="1" si="74"/>
        <v>42885.677959300177</v>
      </c>
      <c r="CA171" s="772">
        <f t="shared" ca="1" si="74"/>
        <v>42885.677959300177</v>
      </c>
      <c r="CB171" s="772">
        <f t="shared" ca="1" si="74"/>
        <v>44707.648352422038</v>
      </c>
      <c r="CC171" s="772">
        <f t="shared" ca="1" si="74"/>
        <v>44707.648352422038</v>
      </c>
      <c r="CD171" s="772">
        <f t="shared" ca="1" si="74"/>
        <v>44707.648352422038</v>
      </c>
      <c r="CE171" s="772">
        <f t="shared" ca="1" si="73"/>
        <v>44707.648352422038</v>
      </c>
      <c r="CF171" s="772">
        <f t="shared" ca="1" si="73"/>
        <v>44158.329920120552</v>
      </c>
      <c r="CG171" s="772">
        <f t="shared" ca="1" si="73"/>
        <v>43552.256536422406</v>
      </c>
      <c r="CH171" s="772">
        <f t="shared" ca="1" si="73"/>
        <v>42885.677959300177</v>
      </c>
      <c r="CI171" s="772">
        <f t="shared" ca="1" si="73"/>
        <v>42885.677959300177</v>
      </c>
      <c r="CJ171" s="772">
        <f t="shared" ca="1" si="73"/>
        <v>42156.252601615633</v>
      </c>
    </row>
    <row r="172" spans="1:88" ht="15" customHeight="1">
      <c r="A172" s="770">
        <f>'kc-Wert für Stützen'!C172</f>
        <v>224</v>
      </c>
      <c r="B172" s="768">
        <f ca="1">INDIRECT("'kc-Wert für Stützen'!"&amp;SUBSTITUTE(ADDRESS(MATCH($A172,'kc-Wert für Stützen'!$C:$C,0),MATCH(B$7,'kc-Wert für Stützen'!$A$8:$ES$8,0)+7,4),,))</f>
        <v>46894.420185090617</v>
      </c>
      <c r="C172" s="768">
        <f ca="1">INDIRECT("'kc-Wert für Stützen'!"&amp;SUBSTITUTE(ADDRESS(MATCH($A172,'kc-Wert für Stützen'!$C:$C,0),MATCH(C$7,'kc-Wert für Stützen'!$A$8:$ES$8,0)+7,4),,))</f>
        <v>46526.941077765201</v>
      </c>
      <c r="D172" s="768">
        <f ca="1">INDIRECT("'kc-Wert für Stützen'!"&amp;SUBSTITUTE(ADDRESS(MATCH($A172,'kc-Wert für Stützen'!$C:$C,0),MATCH(D$7,'kc-Wert für Stützen'!$A$8:$ES$8,0)+7,4),,))</f>
        <v>46122.600012998453</v>
      </c>
      <c r="E172" s="768">
        <f ca="1">INDIRECT("'kc-Wert für Stützen'!"&amp;SUBSTITUTE(ADDRESS(MATCH($A172,'kc-Wert für Stützen'!$C:$C,0),MATCH(E$7,'kc-Wert für Stützen'!$A$8:$ES$8,0)+7,4),,))</f>
        <v>45676.69328560838</v>
      </c>
      <c r="F172" s="768">
        <f ca="1">INDIRECT("'kc-Wert für Stützen'!"&amp;SUBSTITUTE(ADDRESS(MATCH($A172,'kc-Wert für Stützen'!$C:$C,0),MATCH(F$7,'kc-Wert für Stützen'!$A$8:$ES$8,0)+7,4),,))</f>
        <v>45184.281221114827</v>
      </c>
      <c r="G172" s="768">
        <f ca="1">INDIRECT("'kc-Wert für Stützen'!"&amp;SUBSTITUTE(ADDRESS(MATCH($A172,'kc-Wert für Stützen'!$C:$C,0),MATCH(G$7,'kc-Wert für Stützen'!$A$8:$ES$8,0)+7,4),,))</f>
        <v>44640.402884771152</v>
      </c>
      <c r="H172" s="768">
        <f ca="1">INDIRECT("'kc-Wert für Stützen'!"&amp;SUBSTITUTE(ADDRESS(MATCH($A172,'kc-Wert für Stützen'!$C:$C,0),MATCH(H$7,'kc-Wert für Stützen'!$A$8:$ES$8,0)+7,4),,))</f>
        <v>44040.40540941136</v>
      </c>
      <c r="I172" s="768">
        <f ca="1">INDIRECT("'kc-Wert für Stützen'!"&amp;SUBSTITUTE(ADDRESS(MATCH($A172,'kc-Wert für Stützen'!$C:$C,0),MATCH(I$7,'kc-Wert für Stützen'!$A$8:$ES$8,0)+7,4),,))</f>
        <v>43380.394959678939</v>
      </c>
      <c r="J172" s="768">
        <f ca="1">INDIRECT("'kc-Wert für Stützen'!"&amp;SUBSTITUTE(ADDRESS(MATCH($A172,'kc-Wert für Stützen'!$C:$C,0),MATCH(J$7,'kc-Wert für Stützen'!$A$8:$ES$8,0)+7,4),,))</f>
        <v>42657.785286428858</v>
      </c>
      <c r="K172" s="768">
        <f ca="1">INDIRECT("'kc-Wert für Stützen'!"&amp;SUBSTITUTE(ADDRESS(MATCH($A172,'kc-Wert für Stützen'!$C:$C,0),MATCH(K$7,'kc-Wert für Stützen'!$A$8:$ES$8,0)+7,4),,))</f>
        <v>41871.874157003265</v>
      </c>
      <c r="L172" s="768">
        <f ca="1">INDIRECT("'kc-Wert für Stützen'!"&amp;SUBSTITUTE(ADDRESS(MATCH($A172,'kc-Wert für Stützen'!$C:$C,0),MATCH(L$7,'kc-Wert für Stützen'!$A$8:$ES$8,0)+7,4),,))</f>
        <v>41024.331026748441</v>
      </c>
      <c r="M172" s="768">
        <f ca="1">INDIRECT("'kc-Wert für Stützen'!"&amp;SUBSTITUTE(ADDRESS(MATCH($A172,'kc-Wert für Stützen'!$C:$C,0),MATCH(M$7,'kc-Wert für Stützen'!$A$8:$ES$8,0)+7,4),,))</f>
        <v>40119.456992586762</v>
      </c>
      <c r="N172" s="768">
        <f ca="1">INDIRECT("'kc-Wert für Stützen'!"&amp;SUBSTITUTE(ADDRESS(MATCH($A172,'kc-Wert für Stützen'!$C:$C,0),MATCH(N$7,'kc-Wert für Stützen'!$A$8:$ES$8,0)+7,4),,))</f>
        <v>39164.106610480929</v>
      </c>
      <c r="O172" s="768">
        <f ca="1">INDIRECT("'kc-Wert für Stützen'!"&amp;SUBSTITUTE(ADDRESS(MATCH($A172,'kc-Wert für Stützen'!$C:$C,0),MATCH(O$7,'kc-Wert für Stützen'!$A$8:$ES$8,0)+7,4),,))</f>
        <v>38167.244884081832</v>
      </c>
      <c r="P172" s="768">
        <f ca="1">INDIRECT("'kc-Wert für Stützen'!"&amp;SUBSTITUTE(ADDRESS(MATCH($A172,'kc-Wert für Stützen'!$C:$C,0),MATCH(P$7,'kc-Wert für Stützen'!$A$8:$ES$8,0)+7,4),,))</f>
        <v>37139.220285086463</v>
      </c>
      <c r="S172" s="772">
        <f t="shared" ca="1" si="59"/>
        <v>46122.600012998453</v>
      </c>
      <c r="T172" s="772">
        <f t="shared" ca="1" si="69"/>
        <v>46122.600012998453</v>
      </c>
      <c r="U172" s="772">
        <f t="shared" ca="1" si="69"/>
        <v>46122.600012998453</v>
      </c>
      <c r="V172" s="772">
        <f t="shared" ca="1" si="69"/>
        <v>45676.69328560838</v>
      </c>
      <c r="W172" s="772">
        <f t="shared" ca="1" si="69"/>
        <v>45184.281221114827</v>
      </c>
      <c r="X172" s="772">
        <f t="shared" ca="1" si="69"/>
        <v>44640.402884771152</v>
      </c>
      <c r="Y172" s="772">
        <f t="shared" ca="1" si="69"/>
        <v>44040.40540941136</v>
      </c>
      <c r="Z172" s="772">
        <f t="shared" ca="1" si="69"/>
        <v>46122.600012998453</v>
      </c>
      <c r="AA172" s="772">
        <f t="shared" ca="1" si="69"/>
        <v>46122.600012998453</v>
      </c>
      <c r="AB172" s="772">
        <f t="shared" ca="1" si="76"/>
        <v>45676.69328560838</v>
      </c>
      <c r="AC172" s="772">
        <f t="shared" ca="1" si="76"/>
        <v>45676.69328560838</v>
      </c>
      <c r="AD172" s="772">
        <f t="shared" ca="1" si="76"/>
        <v>45184.281221114827</v>
      </c>
      <c r="AE172" s="772">
        <f t="shared" ca="1" si="76"/>
        <v>45184.281221114827</v>
      </c>
      <c r="AF172" s="772">
        <f t="shared" ca="1" si="76"/>
        <v>44640.402884771152</v>
      </c>
      <c r="AG172" s="772">
        <f t="shared" ca="1" si="76"/>
        <v>44640.402884771152</v>
      </c>
      <c r="AH172" s="772">
        <f t="shared" ca="1" si="76"/>
        <v>44640.402884771152</v>
      </c>
      <c r="AI172" s="772">
        <f t="shared" ca="1" si="76"/>
        <v>46122.600012998453</v>
      </c>
      <c r="AJ172" s="772">
        <f t="shared" ca="1" si="76"/>
        <v>46122.600012998453</v>
      </c>
      <c r="AK172" s="772">
        <f t="shared" ca="1" si="76"/>
        <v>45676.69328560838</v>
      </c>
      <c r="AL172" s="772">
        <f t="shared" ca="1" si="76"/>
        <v>45676.69328560838</v>
      </c>
      <c r="AM172" s="772">
        <f t="shared" ca="1" si="76"/>
        <v>45184.281221114827</v>
      </c>
      <c r="AN172" s="772">
        <f t="shared" ca="1" si="76"/>
        <v>45184.281221114827</v>
      </c>
      <c r="AO172" s="772">
        <f t="shared" ca="1" si="76"/>
        <v>44640.402884771152</v>
      </c>
      <c r="AP172" s="772">
        <f t="shared" ca="1" si="76"/>
        <v>44640.402884771152</v>
      </c>
      <c r="AQ172" s="772">
        <f t="shared" ca="1" si="76"/>
        <v>44640.402884771152</v>
      </c>
      <c r="AR172" s="772">
        <f t="shared" ca="1" si="72"/>
        <v>46122.600012998453</v>
      </c>
      <c r="AS172" s="772">
        <f t="shared" ca="1" si="72"/>
        <v>46122.600012998453</v>
      </c>
      <c r="AT172" s="772">
        <f t="shared" ca="1" si="72"/>
        <v>45676.69328560838</v>
      </c>
      <c r="AU172" s="772">
        <f t="shared" ca="1" si="72"/>
        <v>45676.69328560838</v>
      </c>
      <c r="AV172" s="772">
        <f t="shared" ca="1" si="72"/>
        <v>45184.281221114827</v>
      </c>
      <c r="AW172" s="772">
        <f t="shared" ca="1" si="72"/>
        <v>45184.281221114827</v>
      </c>
      <c r="AX172" s="772">
        <f t="shared" ca="1" si="72"/>
        <v>44640.402884771152</v>
      </c>
      <c r="AY172" s="772">
        <f t="shared" ca="1" si="72"/>
        <v>44640.402884771152</v>
      </c>
      <c r="AZ172" s="772">
        <f t="shared" ca="1" si="72"/>
        <v>44640.402884771152</v>
      </c>
      <c r="BA172" s="772">
        <f t="shared" ca="1" si="72"/>
        <v>46122.600012998453</v>
      </c>
      <c r="BB172" s="772">
        <f t="shared" ca="1" si="72"/>
        <v>46122.600012998453</v>
      </c>
      <c r="BC172" s="772">
        <f t="shared" ca="1" si="72"/>
        <v>45676.69328560838</v>
      </c>
      <c r="BD172" s="772">
        <f t="shared" ca="1" si="72"/>
        <v>45184.281221114827</v>
      </c>
      <c r="BE172" s="772">
        <f t="shared" ca="1" si="72"/>
        <v>45184.281221114827</v>
      </c>
      <c r="BF172" s="772">
        <f t="shared" ca="1" si="72"/>
        <v>44640.402884771152</v>
      </c>
      <c r="BG172" s="772">
        <f t="shared" ca="1" si="72"/>
        <v>44640.402884771152</v>
      </c>
      <c r="BH172" s="772">
        <f t="shared" ca="1" si="75"/>
        <v>44040.40540941136</v>
      </c>
      <c r="BI172" s="772">
        <f t="shared" ca="1" si="75"/>
        <v>44040.40540941136</v>
      </c>
      <c r="BJ172" s="772">
        <f t="shared" ca="1" si="75"/>
        <v>45676.69328560838</v>
      </c>
      <c r="BK172" s="772">
        <f t="shared" ca="1" si="75"/>
        <v>45676.69328560838</v>
      </c>
      <c r="BL172" s="772">
        <f t="shared" ca="1" si="75"/>
        <v>45676.69328560838</v>
      </c>
      <c r="BM172" s="772">
        <f t="shared" ca="1" si="75"/>
        <v>45676.69328560838</v>
      </c>
      <c r="BN172" s="772">
        <f t="shared" ca="1" si="75"/>
        <v>44640.402884771152</v>
      </c>
      <c r="BO172" s="772">
        <f t="shared" ca="1" si="75"/>
        <v>44640.402884771152</v>
      </c>
      <c r="BP172" s="772">
        <f t="shared" ca="1" si="75"/>
        <v>44040.40540941136</v>
      </c>
      <c r="BQ172" s="772">
        <f t="shared" ca="1" si="75"/>
        <v>44040.40540941136</v>
      </c>
      <c r="BR172" s="772">
        <f t="shared" ca="1" si="75"/>
        <v>43380.394959678939</v>
      </c>
      <c r="BS172" s="772">
        <f t="shared" ca="1" si="75"/>
        <v>45676.69328560838</v>
      </c>
      <c r="BT172" s="772">
        <f t="shared" ca="1" si="75"/>
        <v>45676.69328560838</v>
      </c>
      <c r="BU172" s="772">
        <f t="shared" ca="1" si="75"/>
        <v>45676.69328560838</v>
      </c>
      <c r="BV172" s="772">
        <f t="shared" ca="1" si="75"/>
        <v>45184.281221114827</v>
      </c>
      <c r="BW172" s="772">
        <f t="shared" ca="1" si="75"/>
        <v>45184.281221114827</v>
      </c>
      <c r="BX172" s="772">
        <f t="shared" ca="1" si="74"/>
        <v>44040.40540941136</v>
      </c>
      <c r="BY172" s="772">
        <f t="shared" ca="1" si="74"/>
        <v>44040.40540941136</v>
      </c>
      <c r="BZ172" s="772">
        <f t="shared" ca="1" si="74"/>
        <v>43380.394959678939</v>
      </c>
      <c r="CA172" s="772">
        <f t="shared" ca="1" si="74"/>
        <v>43380.394959678939</v>
      </c>
      <c r="CB172" s="772">
        <f t="shared" ca="1" si="74"/>
        <v>45184.281221114827</v>
      </c>
      <c r="CC172" s="772">
        <f t="shared" ca="1" si="74"/>
        <v>45184.281221114827</v>
      </c>
      <c r="CD172" s="772">
        <f t="shared" ca="1" si="74"/>
        <v>45184.281221114827</v>
      </c>
      <c r="CE172" s="772">
        <f t="shared" ca="1" si="73"/>
        <v>45184.281221114827</v>
      </c>
      <c r="CF172" s="772">
        <f t="shared" ca="1" si="73"/>
        <v>44640.402884771152</v>
      </c>
      <c r="CG172" s="772">
        <f t="shared" ca="1" si="73"/>
        <v>44040.40540941136</v>
      </c>
      <c r="CH172" s="772">
        <f t="shared" ca="1" si="73"/>
        <v>43380.394959678939</v>
      </c>
      <c r="CI172" s="772">
        <f t="shared" ca="1" si="73"/>
        <v>43380.394959678939</v>
      </c>
      <c r="CJ172" s="772">
        <f t="shared" ca="1" si="73"/>
        <v>42657.785286428858</v>
      </c>
    </row>
    <row r="173" spans="1:88" ht="15" customHeight="1">
      <c r="A173" s="770">
        <f>'kc-Wert für Stützen'!C173</f>
        <v>225</v>
      </c>
      <c r="B173" s="768">
        <f ca="1">INDIRECT("'kc-Wert für Stützen'!"&amp;SUBSTITUTE(ADDRESS(MATCH($A173,'kc-Wert für Stützen'!$C:$C,0),MATCH(B$7,'kc-Wert für Stützen'!$A$8:$ES$8,0)+7,4),,))</f>
        <v>47357.814418766808</v>
      </c>
      <c r="C173" s="768">
        <f ca="1">INDIRECT("'kc-Wert für Stützen'!"&amp;SUBSTITUTE(ADDRESS(MATCH($A173,'kc-Wert für Stützen'!$C:$C,0),MATCH(C$7,'kc-Wert für Stützen'!$A$8:$ES$8,0)+7,4),,))</f>
        <v>46993.066625658983</v>
      </c>
      <c r="D173" s="768">
        <f ca="1">INDIRECT("'kc-Wert für Stützen'!"&amp;SUBSTITUTE(ADDRESS(MATCH($A173,'kc-Wert für Stützen'!$C:$C,0),MATCH(D$7,'kc-Wert für Stützen'!$A$8:$ES$8,0)+7,4),,))</f>
        <v>46592.039077283829</v>
      </c>
      <c r="E173" s="768">
        <f ca="1">INDIRECT("'kc-Wert für Stützen'!"&amp;SUBSTITUTE(ADDRESS(MATCH($A173,'kc-Wert für Stützen'!$C:$C,0),MATCH(E$7,'kc-Wert für Stützen'!$A$8:$ES$8,0)+7,4),,))</f>
        <v>46150.09035440968</v>
      </c>
      <c r="F173" s="768">
        <f ca="1">INDIRECT("'kc-Wert für Stützen'!"&amp;SUBSTITUTE(ADDRESS(MATCH($A173,'kc-Wert für Stützen'!$C:$C,0),MATCH(F$7,'kc-Wert für Stützen'!$A$8:$ES$8,0)+7,4),,))</f>
        <v>45662.324143808481</v>
      </c>
      <c r="G173" s="768">
        <f ca="1">INDIRECT("'kc-Wert für Stützen'!"&amp;SUBSTITUTE(ADDRESS(MATCH($A173,'kc-Wert für Stützen'!$C:$C,0),MATCH(G$7,'kc-Wert für Stützen'!$A$8:$ES$8,0)+7,4),,))</f>
        <v>45123.787226175969</v>
      </c>
      <c r="H173" s="768">
        <f ca="1">INDIRECT("'kc-Wert für Stützen'!"&amp;SUBSTITUTE(ADDRESS(MATCH($A173,'kc-Wert für Stützen'!$C:$C,0),MATCH(H$7,'kc-Wert für Stützen'!$A$8:$ES$8,0)+7,4),,))</f>
        <v>44529.7776670112</v>
      </c>
      <c r="I173" s="768">
        <f ca="1">INDIRECT("'kc-Wert für Stützen'!"&amp;SUBSTITUTE(ADDRESS(MATCH($A173,'kc-Wert für Stützen'!$C:$C,0),MATCH(I$7,'kc-Wert für Stützen'!$A$8:$ES$8,0)+7,4),,))</f>
        <v>43876.273047062699</v>
      </c>
      <c r="J173" s="768">
        <f ca="1">INDIRECT("'kc-Wert für Stützen'!"&amp;SUBSTITUTE(ADDRESS(MATCH($A173,'kc-Wert für Stützen'!$C:$C,0),MATCH(J$7,'kc-Wert für Stützen'!$A$8:$ES$8,0)+7,4),,))</f>
        <v>43160.460665477047</v>
      </c>
      <c r="K173" s="768">
        <f ca="1">INDIRECT("'kc-Wert für Stützen'!"&amp;SUBSTITUTE(ADDRESS(MATCH($A173,'kc-Wert für Stützen'!$C:$C,0),MATCH(K$7,'kc-Wert für Stützen'!$A$8:$ES$8,0)+7,4),,))</f>
        <v>42381.308752367811</v>
      </c>
      <c r="L173" s="768">
        <f ca="1">INDIRECT("'kc-Wert für Stützen'!"&amp;SUBSTITUTE(ADDRESS(MATCH($A173,'kc-Wert für Stützen'!$C:$C,0),MATCH(L$7,'kc-Wert für Stützen'!$A$8:$ES$8,0)+7,4),,))</f>
        <v>41540.070778946363</v>
      </c>
      <c r="M173" s="768">
        <f ca="1">INDIRECT("'kc-Wert für Stützen'!"&amp;SUBSTITUTE(ADDRESS(MATCH($A173,'kc-Wert für Stützen'!$C:$C,0),MATCH(M$7,'kc-Wert für Stützen'!$A$8:$ES$8,0)+7,4),,))</f>
        <v>40640.587505038646</v>
      </c>
      <c r="N173" s="768">
        <f ca="1">INDIRECT("'kc-Wert für Stützen'!"&amp;SUBSTITUTE(ADDRESS(MATCH($A173,'kc-Wert für Stützen'!$C:$C,0),MATCH(N$7,'kc-Wert für Stützen'!$A$8:$ES$8,0)+7,4),,))</f>
        <v>39689.270132268546</v>
      </c>
      <c r="O173" s="768">
        <f ca="1">INDIRECT("'kc-Wert für Stützen'!"&amp;SUBSTITUTE(ADDRESS(MATCH($A173,'kc-Wert für Stützen'!$C:$C,0),MATCH(O$7,'kc-Wert für Stützen'!$A$8:$ES$8,0)+7,4),,))</f>
        <v>38694.721866648695</v>
      </c>
      <c r="P173" s="768">
        <f ca="1">INDIRECT("'kc-Wert für Stützen'!"&amp;SUBSTITUTE(ADDRESS(MATCH($A173,'kc-Wert für Stützen'!$C:$C,0),MATCH(P$7,'kc-Wert für Stützen'!$A$8:$ES$8,0)+7,4),,))</f>
        <v>37667.059559275258</v>
      </c>
      <c r="S173" s="772">
        <f t="shared" ca="1" si="59"/>
        <v>46592.039077283829</v>
      </c>
      <c r="T173" s="772">
        <f t="shared" ca="1" si="69"/>
        <v>46592.039077283829</v>
      </c>
      <c r="U173" s="772">
        <f t="shared" ca="1" si="69"/>
        <v>46592.039077283829</v>
      </c>
      <c r="V173" s="772">
        <f t="shared" ca="1" si="69"/>
        <v>46150.09035440968</v>
      </c>
      <c r="W173" s="772">
        <f t="shared" ca="1" si="69"/>
        <v>45662.324143808481</v>
      </c>
      <c r="X173" s="772">
        <f t="shared" ca="1" si="69"/>
        <v>45123.787226175969</v>
      </c>
      <c r="Y173" s="772">
        <f t="shared" ca="1" si="69"/>
        <v>44529.7776670112</v>
      </c>
      <c r="Z173" s="772">
        <f t="shared" ca="1" si="69"/>
        <v>46592.039077283829</v>
      </c>
      <c r="AA173" s="772">
        <f t="shared" ca="1" si="69"/>
        <v>46592.039077283829</v>
      </c>
      <c r="AB173" s="772">
        <f t="shared" ca="1" si="76"/>
        <v>46150.09035440968</v>
      </c>
      <c r="AC173" s="772">
        <f t="shared" ca="1" si="76"/>
        <v>46150.09035440968</v>
      </c>
      <c r="AD173" s="772">
        <f t="shared" ca="1" si="76"/>
        <v>45662.324143808481</v>
      </c>
      <c r="AE173" s="772">
        <f t="shared" ca="1" si="76"/>
        <v>45662.324143808481</v>
      </c>
      <c r="AF173" s="772">
        <f t="shared" ca="1" si="76"/>
        <v>45123.787226175969</v>
      </c>
      <c r="AG173" s="772">
        <f t="shared" ca="1" si="76"/>
        <v>45123.787226175969</v>
      </c>
      <c r="AH173" s="772">
        <f t="shared" ca="1" si="76"/>
        <v>45123.787226175969</v>
      </c>
      <c r="AI173" s="772">
        <f t="shared" ca="1" si="76"/>
        <v>46592.039077283829</v>
      </c>
      <c r="AJ173" s="772">
        <f t="shared" ca="1" si="76"/>
        <v>46592.039077283829</v>
      </c>
      <c r="AK173" s="772">
        <f t="shared" ca="1" si="76"/>
        <v>46150.09035440968</v>
      </c>
      <c r="AL173" s="772">
        <f t="shared" ca="1" si="76"/>
        <v>46150.09035440968</v>
      </c>
      <c r="AM173" s="772">
        <f t="shared" ca="1" si="76"/>
        <v>45662.324143808481</v>
      </c>
      <c r="AN173" s="772">
        <f t="shared" ca="1" si="76"/>
        <v>45662.324143808481</v>
      </c>
      <c r="AO173" s="772">
        <f t="shared" ca="1" si="76"/>
        <v>45123.787226175969</v>
      </c>
      <c r="AP173" s="772">
        <f t="shared" ca="1" si="76"/>
        <v>45123.787226175969</v>
      </c>
      <c r="AQ173" s="772">
        <f t="shared" ca="1" si="76"/>
        <v>45123.787226175969</v>
      </c>
      <c r="AR173" s="772">
        <f t="shared" ca="1" si="72"/>
        <v>46592.039077283829</v>
      </c>
      <c r="AS173" s="772">
        <f t="shared" ca="1" si="72"/>
        <v>46592.039077283829</v>
      </c>
      <c r="AT173" s="772">
        <f t="shared" ca="1" si="72"/>
        <v>46150.09035440968</v>
      </c>
      <c r="AU173" s="772">
        <f t="shared" ca="1" si="72"/>
        <v>46150.09035440968</v>
      </c>
      <c r="AV173" s="772">
        <f t="shared" ca="1" si="72"/>
        <v>45662.324143808481</v>
      </c>
      <c r="AW173" s="772">
        <f t="shared" ca="1" si="72"/>
        <v>45662.324143808481</v>
      </c>
      <c r="AX173" s="772">
        <f t="shared" ca="1" si="72"/>
        <v>45123.787226175969</v>
      </c>
      <c r="AY173" s="772">
        <f t="shared" ca="1" si="72"/>
        <v>45123.787226175969</v>
      </c>
      <c r="AZ173" s="772">
        <f t="shared" ca="1" si="72"/>
        <v>45123.787226175969</v>
      </c>
      <c r="BA173" s="772">
        <f t="shared" ca="1" si="72"/>
        <v>46592.039077283829</v>
      </c>
      <c r="BB173" s="772">
        <f t="shared" ca="1" si="72"/>
        <v>46592.039077283829</v>
      </c>
      <c r="BC173" s="772">
        <f t="shared" ca="1" si="72"/>
        <v>46150.09035440968</v>
      </c>
      <c r="BD173" s="772">
        <f t="shared" ca="1" si="72"/>
        <v>45662.324143808481</v>
      </c>
      <c r="BE173" s="772">
        <f t="shared" ca="1" si="72"/>
        <v>45662.324143808481</v>
      </c>
      <c r="BF173" s="772">
        <f t="shared" ca="1" si="72"/>
        <v>45123.787226175969</v>
      </c>
      <c r="BG173" s="772">
        <f t="shared" ca="1" si="72"/>
        <v>45123.787226175969</v>
      </c>
      <c r="BH173" s="772">
        <f t="shared" ca="1" si="75"/>
        <v>44529.7776670112</v>
      </c>
      <c r="BI173" s="772">
        <f t="shared" ca="1" si="75"/>
        <v>44529.7776670112</v>
      </c>
      <c r="BJ173" s="772">
        <f t="shared" ca="1" si="75"/>
        <v>46150.09035440968</v>
      </c>
      <c r="BK173" s="772">
        <f t="shared" ca="1" si="75"/>
        <v>46150.09035440968</v>
      </c>
      <c r="BL173" s="772">
        <f t="shared" ca="1" si="75"/>
        <v>46150.09035440968</v>
      </c>
      <c r="BM173" s="772">
        <f t="shared" ca="1" si="75"/>
        <v>46150.09035440968</v>
      </c>
      <c r="BN173" s="772">
        <f t="shared" ca="1" si="75"/>
        <v>45123.787226175969</v>
      </c>
      <c r="BO173" s="772">
        <f t="shared" ca="1" si="75"/>
        <v>45123.787226175969</v>
      </c>
      <c r="BP173" s="772">
        <f t="shared" ca="1" si="75"/>
        <v>44529.7776670112</v>
      </c>
      <c r="BQ173" s="772">
        <f t="shared" ca="1" si="75"/>
        <v>44529.7776670112</v>
      </c>
      <c r="BR173" s="772">
        <f t="shared" ca="1" si="75"/>
        <v>43876.273047062699</v>
      </c>
      <c r="BS173" s="772">
        <f t="shared" ca="1" si="75"/>
        <v>46150.09035440968</v>
      </c>
      <c r="BT173" s="772">
        <f t="shared" ca="1" si="75"/>
        <v>46150.09035440968</v>
      </c>
      <c r="BU173" s="772">
        <f t="shared" ca="1" si="75"/>
        <v>46150.09035440968</v>
      </c>
      <c r="BV173" s="772">
        <f t="shared" ca="1" si="75"/>
        <v>45662.324143808481</v>
      </c>
      <c r="BW173" s="772">
        <f t="shared" ca="1" si="75"/>
        <v>45662.324143808481</v>
      </c>
      <c r="BX173" s="772">
        <f t="shared" ca="1" si="74"/>
        <v>44529.7776670112</v>
      </c>
      <c r="BY173" s="772">
        <f t="shared" ca="1" si="74"/>
        <v>44529.7776670112</v>
      </c>
      <c r="BZ173" s="772">
        <f t="shared" ca="1" si="74"/>
        <v>43876.273047062699</v>
      </c>
      <c r="CA173" s="772">
        <f t="shared" ca="1" si="74"/>
        <v>43876.273047062699</v>
      </c>
      <c r="CB173" s="772">
        <f t="shared" ca="1" si="74"/>
        <v>45662.324143808481</v>
      </c>
      <c r="CC173" s="772">
        <f t="shared" ca="1" si="74"/>
        <v>45662.324143808481</v>
      </c>
      <c r="CD173" s="772">
        <f t="shared" ca="1" si="74"/>
        <v>45662.324143808481</v>
      </c>
      <c r="CE173" s="772">
        <f t="shared" ca="1" si="73"/>
        <v>45662.324143808481</v>
      </c>
      <c r="CF173" s="772">
        <f t="shared" ca="1" si="73"/>
        <v>45123.787226175969</v>
      </c>
      <c r="CG173" s="772">
        <f t="shared" ca="1" si="73"/>
        <v>44529.7776670112</v>
      </c>
      <c r="CH173" s="772">
        <f t="shared" ca="1" si="73"/>
        <v>43876.273047062699</v>
      </c>
      <c r="CI173" s="772">
        <f t="shared" ca="1" si="73"/>
        <v>43876.273047062699</v>
      </c>
      <c r="CJ173" s="772">
        <f t="shared" ca="1" si="73"/>
        <v>43160.460665477047</v>
      </c>
    </row>
    <row r="174" spans="1:88" ht="15" customHeight="1">
      <c r="A174" s="770">
        <f>'kc-Wert für Stützen'!C174</f>
        <v>226</v>
      </c>
      <c r="B174" s="768">
        <f ca="1">INDIRECT("'kc-Wert für Stützen'!"&amp;SUBSTITUTE(ADDRESS(MATCH($A174,'kc-Wert für Stützen'!$C:$C,0),MATCH(B$7,'kc-Wert für Stützen'!$A$8:$ES$8,0)+7,4),,))</f>
        <v>47822.969499548148</v>
      </c>
      <c r="C174" s="768">
        <f ca="1">INDIRECT("'kc-Wert für Stützen'!"&amp;SUBSTITUTE(ADDRESS(MATCH($A174,'kc-Wert für Stützen'!$C:$C,0),MATCH(C$7,'kc-Wert für Stützen'!$A$8:$ES$8,0)+7,4),,))</f>
        <v>47460.884304350198</v>
      </c>
      <c r="D174" s="768">
        <f ca="1">INDIRECT("'kc-Wert für Stützen'!"&amp;SUBSTITUTE(ADDRESS(MATCH($A174,'kc-Wert für Stützen'!$C:$C,0),MATCH(D$7,'kc-Wert für Stützen'!$A$8:$ES$8,0)+7,4),,))</f>
        <v>47063.090291792738</v>
      </c>
      <c r="E174" s="768">
        <f ca="1">INDIRECT("'kc-Wert für Stützen'!"&amp;SUBSTITUTE(ADDRESS(MATCH($A174,'kc-Wert für Stützen'!$C:$C,0),MATCH(E$7,'kc-Wert für Stützen'!$A$8:$ES$8,0)+7,4),,))</f>
        <v>46625.009279907303</v>
      </c>
      <c r="F174" s="768">
        <f ca="1">INDIRECT("'kc-Wert für Stützen'!"&amp;SUBSTITUTE(ADDRESS(MATCH($A174,'kc-Wert für Stützen'!$C:$C,0),MATCH(F$7,'kc-Wert für Stützen'!$A$8:$ES$8,0)+7,4),,))</f>
        <v>46141.791346497834</v>
      </c>
      <c r="G174" s="768">
        <f ca="1">INDIRECT("'kc-Wert für Stützen'!"&amp;SUBSTITUTE(ADDRESS(MATCH($A174,'kc-Wert für Stützen'!$C:$C,0),MATCH(G$7,'kc-Wert für Stützen'!$A$8:$ES$8,0)+7,4),,))</f>
        <v>45608.497053628496</v>
      </c>
      <c r="H174" s="768">
        <f ca="1">INDIRECT("'kc-Wert für Stützen'!"&amp;SUBSTITUTE(ADDRESS(MATCH($A174,'kc-Wert für Stützen'!$C:$C,0),MATCH(H$7,'kc-Wert für Stützen'!$A$8:$ES$8,0)+7,4),,))</f>
        <v>45020.385372389326</v>
      </c>
      <c r="I174" s="768">
        <f ca="1">INDIRECT("'kc-Wert für Stützen'!"&amp;SUBSTITUTE(ADDRESS(MATCH($A174,'kc-Wert für Stützen'!$C:$C,0),MATCH(I$7,'kc-Wert für Stützen'!$A$8:$ES$8,0)+7,4),,))</f>
        <v>44373.319511497844</v>
      </c>
      <c r="J174" s="768">
        <f ca="1">INDIRECT("'kc-Wert für Stützen'!"&amp;SUBSTITUTE(ADDRESS(MATCH($A174,'kc-Wert für Stützen'!$C:$C,0),MATCH(J$7,'kc-Wert für Stützen'!$A$8:$ES$8,0)+7,4),,))</f>
        <v>43664.277941839224</v>
      </c>
      <c r="K174" s="768">
        <f ca="1">INDIRECT("'kc-Wert für Stützen'!"&amp;SUBSTITUTE(ADDRESS(MATCH($A174,'kc-Wert für Stützen'!$C:$C,0),MATCH(K$7,'kc-Wert für Stützen'!$A$8:$ES$8,0)+7,4),,))</f>
        <v>42891.917886406343</v>
      </c>
      <c r="L174" s="768">
        <f ca="1">INDIRECT("'kc-Wert für Stützen'!"&amp;SUBSTITUTE(ADDRESS(MATCH($A174,'kc-Wert für Stützen'!$C:$C,0),MATCH(L$7,'kc-Wert für Stützen'!$A$8:$ES$8,0)+7,4),,))</f>
        <v>42057.092156276354</v>
      </c>
      <c r="M174" s="768">
        <f ca="1">INDIRECT("'kc-Wert für Stützen'!"&amp;SUBSTITUTE(ADDRESS(MATCH($A174,'kc-Wert für Stützen'!$C:$C,0),MATCH(M$7,'kc-Wert für Stützen'!$A$8:$ES$8,0)+7,4),,))</f>
        <v>41163.188637539577</v>
      </c>
      <c r="N174" s="768">
        <f ca="1">INDIRECT("'kc-Wert für Stützen'!"&amp;SUBSTITUTE(ADDRESS(MATCH($A174,'kc-Wert für Stützen'!$C:$C,0),MATCH(N$7,'kc-Wert für Stützen'!$A$8:$ES$8,0)+7,4),,))</f>
        <v>40216.171462550854</v>
      </c>
      <c r="O174" s="768">
        <f ca="1">INDIRECT("'kc-Wert für Stützen'!"&amp;SUBSTITUTE(ADDRESS(MATCH($A174,'kc-Wert für Stützen'!$C:$C,0),MATCH(O$7,'kc-Wert für Stützen'!$A$8:$ES$8,0)+7,4),,))</f>
        <v>39224.266869757317</v>
      </c>
      <c r="P174" s="768">
        <f ca="1">INDIRECT("'kc-Wert für Stützen'!"&amp;SUBSTITUTE(ADDRESS(MATCH($A174,'kc-Wert für Stützen'!$C:$C,0),MATCH(P$7,'kc-Wert für Stützen'!$A$8:$ES$8,0)+7,4),,))</f>
        <v>38197.336581345546</v>
      </c>
      <c r="S174" s="772">
        <f t="shared" ca="1" si="59"/>
        <v>47063.090291792738</v>
      </c>
      <c r="T174" s="772">
        <f t="shared" ca="1" si="69"/>
        <v>47063.090291792738</v>
      </c>
      <c r="U174" s="772">
        <f t="shared" ca="1" si="69"/>
        <v>47063.090291792738</v>
      </c>
      <c r="V174" s="772">
        <f t="shared" ca="1" si="69"/>
        <v>46625.009279907303</v>
      </c>
      <c r="W174" s="772">
        <f t="shared" ca="1" si="69"/>
        <v>46141.791346497834</v>
      </c>
      <c r="X174" s="772">
        <f t="shared" ca="1" si="69"/>
        <v>45608.497053628496</v>
      </c>
      <c r="Y174" s="772">
        <f t="shared" ca="1" si="69"/>
        <v>45020.385372389326</v>
      </c>
      <c r="Z174" s="772">
        <f t="shared" ca="1" si="69"/>
        <v>47063.090291792738</v>
      </c>
      <c r="AA174" s="772">
        <f t="shared" ca="1" si="69"/>
        <v>47063.090291792738</v>
      </c>
      <c r="AB174" s="772">
        <f t="shared" ca="1" si="76"/>
        <v>46625.009279907303</v>
      </c>
      <c r="AC174" s="772">
        <f t="shared" ca="1" si="76"/>
        <v>46625.009279907303</v>
      </c>
      <c r="AD174" s="772">
        <f t="shared" ca="1" si="76"/>
        <v>46141.791346497834</v>
      </c>
      <c r="AE174" s="772">
        <f t="shared" ca="1" si="76"/>
        <v>46141.791346497834</v>
      </c>
      <c r="AF174" s="772">
        <f t="shared" ca="1" si="76"/>
        <v>45608.497053628496</v>
      </c>
      <c r="AG174" s="772">
        <f t="shared" ca="1" si="76"/>
        <v>45608.497053628496</v>
      </c>
      <c r="AH174" s="772">
        <f t="shared" ca="1" si="76"/>
        <v>45608.497053628496</v>
      </c>
      <c r="AI174" s="772">
        <f t="shared" ca="1" si="76"/>
        <v>47063.090291792738</v>
      </c>
      <c r="AJ174" s="772">
        <f t="shared" ca="1" si="76"/>
        <v>47063.090291792738</v>
      </c>
      <c r="AK174" s="772">
        <f t="shared" ca="1" si="76"/>
        <v>46625.009279907303</v>
      </c>
      <c r="AL174" s="772">
        <f t="shared" ca="1" si="76"/>
        <v>46625.009279907303</v>
      </c>
      <c r="AM174" s="772">
        <f t="shared" ca="1" si="76"/>
        <v>46141.791346497834</v>
      </c>
      <c r="AN174" s="772">
        <f t="shared" ca="1" si="76"/>
        <v>46141.791346497834</v>
      </c>
      <c r="AO174" s="772">
        <f t="shared" ca="1" si="76"/>
        <v>45608.497053628496</v>
      </c>
      <c r="AP174" s="772">
        <f t="shared" ca="1" si="76"/>
        <v>45608.497053628496</v>
      </c>
      <c r="AQ174" s="772">
        <f t="shared" ca="1" si="76"/>
        <v>45608.497053628496</v>
      </c>
      <c r="AR174" s="772">
        <f t="shared" ca="1" si="72"/>
        <v>47063.090291792738</v>
      </c>
      <c r="AS174" s="772">
        <f t="shared" ca="1" si="72"/>
        <v>47063.090291792738</v>
      </c>
      <c r="AT174" s="772">
        <f t="shared" ca="1" si="72"/>
        <v>46625.009279907303</v>
      </c>
      <c r="AU174" s="772">
        <f t="shared" ca="1" si="72"/>
        <v>46625.009279907303</v>
      </c>
      <c r="AV174" s="772">
        <f t="shared" ca="1" si="72"/>
        <v>46141.791346497834</v>
      </c>
      <c r="AW174" s="772">
        <f t="shared" ca="1" si="72"/>
        <v>46141.791346497834</v>
      </c>
      <c r="AX174" s="772">
        <f t="shared" ca="1" si="72"/>
        <v>45608.497053628496</v>
      </c>
      <c r="AY174" s="772">
        <f t="shared" ca="1" si="72"/>
        <v>45608.497053628496</v>
      </c>
      <c r="AZ174" s="772">
        <f t="shared" ca="1" si="72"/>
        <v>45608.497053628496</v>
      </c>
      <c r="BA174" s="772">
        <f t="shared" ca="1" si="72"/>
        <v>47063.090291792738</v>
      </c>
      <c r="BB174" s="772">
        <f t="shared" ca="1" si="72"/>
        <v>47063.090291792738</v>
      </c>
      <c r="BC174" s="772">
        <f t="shared" ca="1" si="72"/>
        <v>46625.009279907303</v>
      </c>
      <c r="BD174" s="772">
        <f t="shared" ca="1" si="72"/>
        <v>46141.791346497834</v>
      </c>
      <c r="BE174" s="772">
        <f t="shared" ca="1" si="72"/>
        <v>46141.791346497834</v>
      </c>
      <c r="BF174" s="772">
        <f t="shared" ca="1" si="72"/>
        <v>45608.497053628496</v>
      </c>
      <c r="BG174" s="772">
        <f t="shared" ca="1" si="72"/>
        <v>45608.497053628496</v>
      </c>
      <c r="BH174" s="772">
        <f t="shared" ca="1" si="75"/>
        <v>45020.385372389326</v>
      </c>
      <c r="BI174" s="772">
        <f t="shared" ca="1" si="75"/>
        <v>45020.385372389326</v>
      </c>
      <c r="BJ174" s="772">
        <f t="shared" ca="1" si="75"/>
        <v>46625.009279907303</v>
      </c>
      <c r="BK174" s="772">
        <f t="shared" ca="1" si="75"/>
        <v>46625.009279907303</v>
      </c>
      <c r="BL174" s="772">
        <f t="shared" ca="1" si="75"/>
        <v>46625.009279907303</v>
      </c>
      <c r="BM174" s="772">
        <f t="shared" ca="1" si="75"/>
        <v>46625.009279907303</v>
      </c>
      <c r="BN174" s="772">
        <f t="shared" ca="1" si="75"/>
        <v>45608.497053628496</v>
      </c>
      <c r="BO174" s="772">
        <f t="shared" ca="1" si="75"/>
        <v>45608.497053628496</v>
      </c>
      <c r="BP174" s="772">
        <f t="shared" ca="1" si="75"/>
        <v>45020.385372389326</v>
      </c>
      <c r="BQ174" s="772">
        <f t="shared" ca="1" si="75"/>
        <v>45020.385372389326</v>
      </c>
      <c r="BR174" s="772">
        <f t="shared" ca="1" si="75"/>
        <v>44373.319511497844</v>
      </c>
      <c r="BS174" s="772">
        <f t="shared" ca="1" si="75"/>
        <v>46625.009279907303</v>
      </c>
      <c r="BT174" s="772">
        <f t="shared" ca="1" si="75"/>
        <v>46625.009279907303</v>
      </c>
      <c r="BU174" s="772">
        <f t="shared" ca="1" si="75"/>
        <v>46625.009279907303</v>
      </c>
      <c r="BV174" s="772">
        <f t="shared" ca="1" si="75"/>
        <v>46141.791346497834</v>
      </c>
      <c r="BW174" s="772">
        <f t="shared" ca="1" si="75"/>
        <v>46141.791346497834</v>
      </c>
      <c r="BX174" s="772">
        <f t="shared" ca="1" si="74"/>
        <v>45020.385372389326</v>
      </c>
      <c r="BY174" s="772">
        <f t="shared" ca="1" si="74"/>
        <v>45020.385372389326</v>
      </c>
      <c r="BZ174" s="772">
        <f t="shared" ca="1" si="74"/>
        <v>44373.319511497844</v>
      </c>
      <c r="CA174" s="772">
        <f t="shared" ca="1" si="74"/>
        <v>44373.319511497844</v>
      </c>
      <c r="CB174" s="772">
        <f t="shared" ca="1" si="74"/>
        <v>46141.791346497834</v>
      </c>
      <c r="CC174" s="772">
        <f t="shared" ca="1" si="74"/>
        <v>46141.791346497834</v>
      </c>
      <c r="CD174" s="772">
        <f t="shared" ca="1" si="74"/>
        <v>46141.791346497834</v>
      </c>
      <c r="CE174" s="772">
        <f t="shared" ca="1" si="73"/>
        <v>46141.791346497834</v>
      </c>
      <c r="CF174" s="772">
        <f t="shared" ca="1" si="73"/>
        <v>45608.497053628496</v>
      </c>
      <c r="CG174" s="772">
        <f t="shared" ca="1" si="73"/>
        <v>45020.385372389326</v>
      </c>
      <c r="CH174" s="772">
        <f t="shared" ca="1" si="73"/>
        <v>44373.319511497844</v>
      </c>
      <c r="CI174" s="772">
        <f t="shared" ca="1" si="73"/>
        <v>44373.319511497844</v>
      </c>
      <c r="CJ174" s="772">
        <f t="shared" ca="1" si="73"/>
        <v>43664.277941839224</v>
      </c>
    </row>
    <row r="175" spans="1:88" ht="15" customHeight="1">
      <c r="A175" s="770">
        <f>'kc-Wert für Stützen'!C175</f>
        <v>227</v>
      </c>
      <c r="B175" s="768">
        <f ca="1">INDIRECT("'kc-Wert für Stützen'!"&amp;SUBSTITUTE(ADDRESS(MATCH($A175,'kc-Wert für Stützen'!$C:$C,0),MATCH(B$7,'kc-Wert für Stützen'!$A$8:$ES$8,0)+7,4),,))</f>
        <v>48289.893163240813</v>
      </c>
      <c r="C175" s="768">
        <f ca="1">INDIRECT("'kc-Wert für Stützen'!"&amp;SUBSTITUTE(ADDRESS(MATCH($A175,'kc-Wert für Stützen'!$C:$C,0),MATCH(C$7,'kc-Wert für Stützen'!$A$8:$ES$8,0)+7,4),,))</f>
        <v>47930.403564483517</v>
      </c>
      <c r="D175" s="768">
        <f ca="1">INDIRECT("'kc-Wert für Stützen'!"&amp;SUBSTITUTE(ADDRESS(MATCH($A175,'kc-Wert für Stützen'!$C:$C,0),MATCH(D$7,'kc-Wert für Stützen'!$A$8:$ES$8,0)+7,4),,))</f>
        <v>47535.76490508148</v>
      </c>
      <c r="E175" s="768">
        <f ca="1">INDIRECT("'kc-Wert für Stützen'!"&amp;SUBSTITUTE(ADDRESS(MATCH($A175,'kc-Wert für Stützen'!$C:$C,0),MATCH(E$7,'kc-Wert für Stützen'!$A$8:$ES$8,0)+7,4),,))</f>
        <v>47101.462973956048</v>
      </c>
      <c r="F175" s="768">
        <f ca="1">INDIRECT("'kc-Wert für Stützen'!"&amp;SUBSTITUTE(ADDRESS(MATCH($A175,'kc-Wert für Stützen'!$C:$C,0),MATCH(F$7,'kc-Wert für Stützen'!$A$8:$ES$8,0)+7,4),,))</f>
        <v>46622.696898334354</v>
      </c>
      <c r="G175" s="768">
        <f ca="1">INDIRECT("'kc-Wert für Stützen'!"&amp;SUBSTITUTE(ADDRESS(MATCH($A175,'kc-Wert für Stützen'!$C:$C,0),MATCH(G$7,'kc-Wert für Stützen'!$A$8:$ES$8,0)+7,4),,))</f>
        <v>46094.546531576299</v>
      </c>
      <c r="H175" s="768">
        <f ca="1">INDIRECT("'kc-Wert für Stützen'!"&amp;SUBSTITUTE(ADDRESS(MATCH($A175,'kc-Wert für Stützen'!$C:$C,0),MATCH(H$7,'kc-Wert für Stützen'!$A$8:$ES$8,0)+7,4),,))</f>
        <v>45512.240997615729</v>
      </c>
      <c r="I175" s="768">
        <f ca="1">INDIRECT("'kc-Wert für Stützen'!"&amp;SUBSTITUTE(ADDRESS(MATCH($A175,'kc-Wert für Stützen'!$C:$C,0),MATCH(I$7,'kc-Wert für Stützen'!$A$8:$ES$8,0)+7,4),,))</f>
        <v>44871.542554495732</v>
      </c>
      <c r="J175" s="768">
        <f ca="1">INDIRECT("'kc-Wert für Stützen'!"&amp;SUBSTITUTE(ADDRESS(MATCH($A175,'kc-Wert für Stützen'!$C:$C,0),MATCH(J$7,'kc-Wert für Stützen'!$A$8:$ES$8,0)+7,4),,))</f>
        <v>44169.237839295914</v>
      </c>
      <c r="K175" s="768">
        <f ca="1">INDIRECT("'kc-Wert für Stützen'!"&amp;SUBSTITUTE(ADDRESS(MATCH($A175,'kc-Wert für Stützen'!$C:$C,0),MATCH(K$7,'kc-Wert für Stützen'!$A$8:$ES$8,0)+7,4),,))</f>
        <v>43403.691452080384</v>
      </c>
      <c r="L175" s="768">
        <f ca="1">INDIRECT("'kc-Wert für Stützen'!"&amp;SUBSTITUTE(ADDRESS(MATCH($A175,'kc-Wert für Stützen'!$C:$C,0),MATCH(L$7,'kc-Wert für Stützen'!$A$8:$ES$8,0)+7,4),,))</f>
        <v>42575.371498408538</v>
      </c>
      <c r="M175" s="768">
        <f ca="1">INDIRECT("'kc-Wert für Stützen'!"&amp;SUBSTITUTE(ADDRESS(MATCH($A175,'kc-Wert für Stützen'!$C:$C,0),MATCH(M$7,'kc-Wert für Stützen'!$A$8:$ES$8,0)+7,4),,))</f>
        <v>41687.221933756206</v>
      </c>
      <c r="N175" s="768">
        <f ca="1">INDIRECT("'kc-Wert für Stützen'!"&amp;SUBSTITUTE(ADDRESS(MATCH($A175,'kc-Wert für Stützen'!$C:$C,0),MATCH(N$7,'kc-Wert für Stützen'!$A$8:$ES$8,0)+7,4),,))</f>
        <v>40744.758151588627</v>
      </c>
      <c r="O175" s="768">
        <f ca="1">INDIRECT("'kc-Wert für Stützen'!"&amp;SUBSTITUTE(ADDRESS(MATCH($A175,'kc-Wert für Stützen'!$C:$C,0),MATCH(O$7,'kc-Wert für Stützen'!$A$8:$ES$8,0)+7,4),,))</f>
        <v>39755.816290206523</v>
      </c>
      <c r="P175" s="768">
        <f ca="1">INDIRECT("'kc-Wert für Stützen'!"&amp;SUBSTITUTE(ADDRESS(MATCH($A175,'kc-Wert für Stützen'!$C:$C,0),MATCH(P$7,'kc-Wert für Stützen'!$A$8:$ES$8,0)+7,4),,))</f>
        <v>38729.980869872619</v>
      </c>
      <c r="S175" s="772">
        <f t="shared" ca="1" si="59"/>
        <v>47535.76490508148</v>
      </c>
      <c r="T175" s="772">
        <f t="shared" ca="1" si="69"/>
        <v>47535.76490508148</v>
      </c>
      <c r="U175" s="772">
        <f t="shared" ca="1" si="69"/>
        <v>47535.76490508148</v>
      </c>
      <c r="V175" s="772">
        <f t="shared" ca="1" si="69"/>
        <v>47101.462973956048</v>
      </c>
      <c r="W175" s="772">
        <f t="shared" ca="1" si="69"/>
        <v>46622.696898334354</v>
      </c>
      <c r="X175" s="772">
        <f t="shared" ca="1" si="69"/>
        <v>46094.546531576299</v>
      </c>
      <c r="Y175" s="772">
        <f t="shared" ca="1" si="69"/>
        <v>45512.240997615729</v>
      </c>
      <c r="Z175" s="772">
        <f t="shared" ca="1" si="69"/>
        <v>47535.76490508148</v>
      </c>
      <c r="AA175" s="772">
        <f t="shared" ca="1" si="69"/>
        <v>47535.76490508148</v>
      </c>
      <c r="AB175" s="772">
        <f t="shared" ca="1" si="76"/>
        <v>47101.462973956048</v>
      </c>
      <c r="AC175" s="772">
        <f t="shared" ca="1" si="76"/>
        <v>47101.462973956048</v>
      </c>
      <c r="AD175" s="772">
        <f t="shared" ca="1" si="76"/>
        <v>46622.696898334354</v>
      </c>
      <c r="AE175" s="772">
        <f t="shared" ca="1" si="76"/>
        <v>46622.696898334354</v>
      </c>
      <c r="AF175" s="772">
        <f t="shared" ca="1" si="76"/>
        <v>46094.546531576299</v>
      </c>
      <c r="AG175" s="772">
        <f t="shared" ca="1" si="76"/>
        <v>46094.546531576299</v>
      </c>
      <c r="AH175" s="772">
        <f t="shared" ca="1" si="76"/>
        <v>46094.546531576299</v>
      </c>
      <c r="AI175" s="772">
        <f t="shared" ca="1" si="76"/>
        <v>47535.76490508148</v>
      </c>
      <c r="AJ175" s="772">
        <f t="shared" ca="1" si="76"/>
        <v>47535.76490508148</v>
      </c>
      <c r="AK175" s="772">
        <f t="shared" ca="1" si="76"/>
        <v>47101.462973956048</v>
      </c>
      <c r="AL175" s="772">
        <f t="shared" ca="1" si="76"/>
        <v>47101.462973956048</v>
      </c>
      <c r="AM175" s="772">
        <f t="shared" ca="1" si="76"/>
        <v>46622.696898334354</v>
      </c>
      <c r="AN175" s="772">
        <f t="shared" ca="1" si="76"/>
        <v>46622.696898334354</v>
      </c>
      <c r="AO175" s="772">
        <f t="shared" ca="1" si="76"/>
        <v>46094.546531576299</v>
      </c>
      <c r="AP175" s="772">
        <f t="shared" ca="1" si="76"/>
        <v>46094.546531576299</v>
      </c>
      <c r="AQ175" s="772">
        <f t="shared" ca="1" si="76"/>
        <v>46094.546531576299</v>
      </c>
      <c r="AR175" s="772">
        <f t="shared" ca="1" si="72"/>
        <v>47535.76490508148</v>
      </c>
      <c r="AS175" s="772">
        <f t="shared" ca="1" si="72"/>
        <v>47535.76490508148</v>
      </c>
      <c r="AT175" s="772">
        <f t="shared" ca="1" si="72"/>
        <v>47101.462973956048</v>
      </c>
      <c r="AU175" s="772">
        <f t="shared" ca="1" si="72"/>
        <v>47101.462973956048</v>
      </c>
      <c r="AV175" s="772">
        <f t="shared" ca="1" si="72"/>
        <v>46622.696898334354</v>
      </c>
      <c r="AW175" s="772">
        <f t="shared" ca="1" si="72"/>
        <v>46622.696898334354</v>
      </c>
      <c r="AX175" s="772">
        <f t="shared" ca="1" si="72"/>
        <v>46094.546531576299</v>
      </c>
      <c r="AY175" s="772">
        <f t="shared" ca="1" si="72"/>
        <v>46094.546531576299</v>
      </c>
      <c r="AZ175" s="772">
        <f t="shared" ca="1" si="72"/>
        <v>46094.546531576299</v>
      </c>
      <c r="BA175" s="772">
        <f t="shared" ca="1" si="72"/>
        <v>47535.76490508148</v>
      </c>
      <c r="BB175" s="772">
        <f t="shared" ca="1" si="72"/>
        <v>47535.76490508148</v>
      </c>
      <c r="BC175" s="772">
        <f t="shared" ca="1" si="72"/>
        <v>47101.462973956048</v>
      </c>
      <c r="BD175" s="772">
        <f t="shared" ca="1" si="72"/>
        <v>46622.696898334354</v>
      </c>
      <c r="BE175" s="772">
        <f t="shared" ca="1" si="72"/>
        <v>46622.696898334354</v>
      </c>
      <c r="BF175" s="772">
        <f t="shared" ca="1" si="72"/>
        <v>46094.546531576299</v>
      </c>
      <c r="BG175" s="772">
        <f t="shared" ca="1" si="72"/>
        <v>46094.546531576299</v>
      </c>
      <c r="BH175" s="772">
        <f t="shared" ca="1" si="75"/>
        <v>45512.240997615729</v>
      </c>
      <c r="BI175" s="772">
        <f t="shared" ca="1" si="75"/>
        <v>45512.240997615729</v>
      </c>
      <c r="BJ175" s="772">
        <f t="shared" ca="1" si="75"/>
        <v>47101.462973956048</v>
      </c>
      <c r="BK175" s="772">
        <f t="shared" ca="1" si="75"/>
        <v>47101.462973956048</v>
      </c>
      <c r="BL175" s="772">
        <f t="shared" ca="1" si="75"/>
        <v>47101.462973956048</v>
      </c>
      <c r="BM175" s="772">
        <f t="shared" ca="1" si="75"/>
        <v>47101.462973956048</v>
      </c>
      <c r="BN175" s="772">
        <f t="shared" ca="1" si="75"/>
        <v>46094.546531576299</v>
      </c>
      <c r="BO175" s="772">
        <f t="shared" ca="1" si="75"/>
        <v>46094.546531576299</v>
      </c>
      <c r="BP175" s="772">
        <f t="shared" ca="1" si="75"/>
        <v>45512.240997615729</v>
      </c>
      <c r="BQ175" s="772">
        <f t="shared" ca="1" si="75"/>
        <v>45512.240997615729</v>
      </c>
      <c r="BR175" s="772">
        <f t="shared" ca="1" si="75"/>
        <v>44871.542554495732</v>
      </c>
      <c r="BS175" s="772">
        <f t="shared" ca="1" si="75"/>
        <v>47101.462973956048</v>
      </c>
      <c r="BT175" s="772">
        <f t="shared" ca="1" si="75"/>
        <v>47101.462973956048</v>
      </c>
      <c r="BU175" s="772">
        <f t="shared" ca="1" si="75"/>
        <v>47101.462973956048</v>
      </c>
      <c r="BV175" s="772">
        <f t="shared" ca="1" si="75"/>
        <v>46622.696898334354</v>
      </c>
      <c r="BW175" s="772">
        <f t="shared" ca="1" si="75"/>
        <v>46622.696898334354</v>
      </c>
      <c r="BX175" s="772">
        <f t="shared" ca="1" si="74"/>
        <v>45512.240997615729</v>
      </c>
      <c r="BY175" s="772">
        <f t="shared" ca="1" si="74"/>
        <v>45512.240997615729</v>
      </c>
      <c r="BZ175" s="772">
        <f t="shared" ca="1" si="74"/>
        <v>44871.542554495732</v>
      </c>
      <c r="CA175" s="772">
        <f t="shared" ca="1" si="74"/>
        <v>44871.542554495732</v>
      </c>
      <c r="CB175" s="772">
        <f t="shared" ca="1" si="74"/>
        <v>46622.696898334354</v>
      </c>
      <c r="CC175" s="772">
        <f t="shared" ca="1" si="74"/>
        <v>46622.696898334354</v>
      </c>
      <c r="CD175" s="772">
        <f t="shared" ca="1" si="74"/>
        <v>46622.696898334354</v>
      </c>
      <c r="CE175" s="772">
        <f t="shared" ca="1" si="73"/>
        <v>46622.696898334354</v>
      </c>
      <c r="CF175" s="772">
        <f t="shared" ca="1" si="73"/>
        <v>46094.546531576299</v>
      </c>
      <c r="CG175" s="772">
        <f t="shared" ca="1" si="73"/>
        <v>45512.240997615729</v>
      </c>
      <c r="CH175" s="772">
        <f t="shared" ca="1" si="73"/>
        <v>44871.542554495732</v>
      </c>
      <c r="CI175" s="772">
        <f t="shared" ca="1" si="73"/>
        <v>44871.542554495732</v>
      </c>
      <c r="CJ175" s="772">
        <f t="shared" ca="1" si="73"/>
        <v>44169.237839295914</v>
      </c>
    </row>
    <row r="176" spans="1:88" ht="15" customHeight="1">
      <c r="A176" s="770">
        <f>'kc-Wert für Stützen'!C176</f>
        <v>228</v>
      </c>
      <c r="B176" s="768">
        <f ca="1">INDIRECT("'kc-Wert für Stützen'!"&amp;SUBSTITUTE(ADDRESS(MATCH($A176,'kc-Wert für Stützen'!$C:$C,0),MATCH(B$7,'kc-Wert für Stützen'!$A$8:$ES$8,0)+7,4),,))</f>
        <v>48758.592912355612</v>
      </c>
      <c r="C176" s="768">
        <f ca="1">INDIRECT("'kc-Wert für Stützen'!"&amp;SUBSTITUTE(ADDRESS(MATCH($A176,'kc-Wert für Stützen'!$C:$C,0),MATCH(C$7,'kc-Wert für Stützen'!$A$8:$ES$8,0)+7,4),,))</f>
        <v>48401.63358861873</v>
      </c>
      <c r="D176" s="768">
        <f ca="1">INDIRECT("'kc-Wert für Stützen'!"&amp;SUBSTITUTE(ADDRESS(MATCH($A176,'kc-Wert für Stützen'!$C:$C,0),MATCH(D$7,'kc-Wert für Stützen'!$A$8:$ES$8,0)+7,4),,))</f>
        <v>48010.073880592201</v>
      </c>
      <c r="E176" s="768">
        <f ca="1">INDIRECT("'kc-Wert für Stützen'!"&amp;SUBSTITUTE(ADDRESS(MATCH($A176,'kc-Wert für Stützen'!$C:$C,0),MATCH(E$7,'kc-Wert für Stützen'!$A$8:$ES$8,0)+7,4),,))</f>
        <v>47579.46408440805</v>
      </c>
      <c r="F176" s="768">
        <f ca="1">INDIRECT("'kc-Wert für Stützen'!"&amp;SUBSTITUTE(ADDRESS(MATCH($A176,'kc-Wert für Stützen'!$C:$C,0),MATCH(F$7,'kc-Wert für Stützen'!$A$8:$ES$8,0)+7,4),,))</f>
        <v>47105.054692922728</v>
      </c>
      <c r="G176" s="768">
        <f ca="1">INDIRECT("'kc-Wert für Stützen'!"&amp;SUBSTITUTE(ADDRESS(MATCH($A176,'kc-Wert für Stützen'!$C:$C,0),MATCH(G$7,'kc-Wert für Stützen'!$A$8:$ES$8,0)+7,4),,))</f>
        <v>46581.949840278096</v>
      </c>
      <c r="H176" s="768">
        <f ca="1">INDIRECT("'kc-Wert für Stützen'!"&amp;SUBSTITUTE(ADDRESS(MATCH($A176,'kc-Wert für Stützen'!$C:$C,0),MATCH(H$7,'kc-Wert für Stützen'!$A$8:$ES$8,0)+7,4),,))</f>
        <v>46005.357357605368</v>
      </c>
      <c r="I176" s="768">
        <f ca="1">INDIRECT("'kc-Wert für Stützen'!"&amp;SUBSTITUTE(ADDRESS(MATCH($A176,'kc-Wert für Stützen'!$C:$C,0),MATCH(I$7,'kc-Wert für Stützen'!$A$8:$ES$8,0)+7,4),,))</f>
        <v>45370.951195149057</v>
      </c>
      <c r="J176" s="768">
        <f ca="1">INDIRECT("'kc-Wert für Stützen'!"&amp;SUBSTITUTE(ADDRESS(MATCH($A176,'kc-Wert für Stützen'!$C:$C,0),MATCH(J$7,'kc-Wert für Stützen'!$A$8:$ES$8,0)+7,4),,))</f>
        <v>44675.342489198811</v>
      </c>
      <c r="K176" s="768">
        <f ca="1">INDIRECT("'kc-Wert für Stützen'!"&amp;SUBSTITUTE(ADDRESS(MATCH($A176,'kc-Wert für Stützen'!$C:$C,0),MATCH(K$7,'kc-Wert für Stützen'!$A$8:$ES$8,0)+7,4),,))</f>
        <v>43916.621361134552</v>
      </c>
      <c r="L176" s="768">
        <f ca="1">INDIRECT("'kc-Wert für Stützen'!"&amp;SUBSTITUTE(ADDRESS(MATCH($A176,'kc-Wert für Stützen'!$C:$C,0),MATCH(L$7,'kc-Wert für Stützen'!$A$8:$ES$8,0)+7,4),,))</f>
        <v>43094.887649262288</v>
      </c>
      <c r="M176" s="768">
        <f ca="1">INDIRECT("'kc-Wert für Stützen'!"&amp;SUBSTITUTE(ADDRESS(MATCH($A176,'kc-Wert für Stützen'!$C:$C,0),MATCH(M$7,'kc-Wert für Stützen'!$A$8:$ES$8,0)+7,4),,))</f>
        <v>42212.651646843115</v>
      </c>
      <c r="N176" s="768">
        <f ca="1">INDIRECT("'kc-Wert für Stützen'!"&amp;SUBSTITUTE(ADDRESS(MATCH($A176,'kc-Wert für Stützen'!$C:$C,0),MATCH(N$7,'kc-Wert für Stützen'!$A$8:$ES$8,0)+7,4),,))</f>
        <v>41274.980288896637</v>
      </c>
      <c r="O176" s="768">
        <f ca="1">INDIRECT("'kc-Wert für Stützen'!"&amp;SUBSTITUTE(ADDRESS(MATCH($A176,'kc-Wert für Stützen'!$C:$C,0),MATCH(O$7,'kc-Wert für Stützen'!$A$8:$ES$8,0)+7,4),,))</f>
        <v>40289.308530311951</v>
      </c>
      <c r="P176" s="768">
        <f ca="1">INDIRECT("'kc-Wert für Stützen'!"&amp;SUBSTITUTE(ADDRESS(MATCH($A176,'kc-Wert für Stützen'!$C:$C,0),MATCH(P$7,'kc-Wert für Stützen'!$A$8:$ES$8,0)+7,4),,))</f>
        <v>39264.92316662833</v>
      </c>
      <c r="S176" s="772">
        <f t="shared" ca="1" si="59"/>
        <v>48010.073880592201</v>
      </c>
      <c r="T176" s="772">
        <f t="shared" ca="1" si="69"/>
        <v>48010.073880592201</v>
      </c>
      <c r="U176" s="772">
        <f t="shared" ca="1" si="69"/>
        <v>48010.073880592201</v>
      </c>
      <c r="V176" s="772">
        <f t="shared" ca="1" si="69"/>
        <v>47579.46408440805</v>
      </c>
      <c r="W176" s="772">
        <f t="shared" ca="1" si="69"/>
        <v>47105.054692922728</v>
      </c>
      <c r="X176" s="772">
        <f t="shared" ca="1" si="69"/>
        <v>46581.949840278096</v>
      </c>
      <c r="Y176" s="772">
        <f t="shared" ca="1" si="69"/>
        <v>46005.357357605368</v>
      </c>
      <c r="Z176" s="772">
        <f t="shared" ca="1" si="69"/>
        <v>48010.073880592201</v>
      </c>
      <c r="AA176" s="772">
        <f t="shared" ca="1" si="69"/>
        <v>48010.073880592201</v>
      </c>
      <c r="AB176" s="772">
        <f t="shared" ca="1" si="76"/>
        <v>47579.46408440805</v>
      </c>
      <c r="AC176" s="772">
        <f t="shared" ca="1" si="76"/>
        <v>47579.46408440805</v>
      </c>
      <c r="AD176" s="772">
        <f t="shared" ca="1" si="76"/>
        <v>47105.054692922728</v>
      </c>
      <c r="AE176" s="772">
        <f t="shared" ca="1" si="76"/>
        <v>47105.054692922728</v>
      </c>
      <c r="AF176" s="772">
        <f t="shared" ca="1" si="76"/>
        <v>46581.949840278096</v>
      </c>
      <c r="AG176" s="772">
        <f t="shared" ca="1" si="76"/>
        <v>46581.949840278096</v>
      </c>
      <c r="AH176" s="772">
        <f t="shared" ca="1" si="76"/>
        <v>46581.949840278096</v>
      </c>
      <c r="AI176" s="772">
        <f t="shared" ca="1" si="76"/>
        <v>48010.073880592201</v>
      </c>
      <c r="AJ176" s="772">
        <f t="shared" ca="1" si="76"/>
        <v>48010.073880592201</v>
      </c>
      <c r="AK176" s="772">
        <f t="shared" ca="1" si="76"/>
        <v>47579.46408440805</v>
      </c>
      <c r="AL176" s="772">
        <f t="shared" ca="1" si="76"/>
        <v>47579.46408440805</v>
      </c>
      <c r="AM176" s="772">
        <f t="shared" ca="1" si="76"/>
        <v>47105.054692922728</v>
      </c>
      <c r="AN176" s="772">
        <f t="shared" ca="1" si="76"/>
        <v>47105.054692922728</v>
      </c>
      <c r="AO176" s="772">
        <f t="shared" ca="1" si="76"/>
        <v>46581.949840278096</v>
      </c>
      <c r="AP176" s="772">
        <f t="shared" ca="1" si="76"/>
        <v>46581.949840278096</v>
      </c>
      <c r="AQ176" s="772">
        <f t="shared" ca="1" si="76"/>
        <v>46581.949840278096</v>
      </c>
      <c r="AR176" s="772">
        <f t="shared" ca="1" si="72"/>
        <v>48010.073880592201</v>
      </c>
      <c r="AS176" s="772">
        <f t="shared" ca="1" si="72"/>
        <v>48010.073880592201</v>
      </c>
      <c r="AT176" s="772">
        <f t="shared" ca="1" si="72"/>
        <v>47579.46408440805</v>
      </c>
      <c r="AU176" s="772">
        <f t="shared" ca="1" si="72"/>
        <v>47579.46408440805</v>
      </c>
      <c r="AV176" s="772">
        <f t="shared" ca="1" si="72"/>
        <v>47105.054692922728</v>
      </c>
      <c r="AW176" s="772">
        <f t="shared" ca="1" si="72"/>
        <v>47105.054692922728</v>
      </c>
      <c r="AX176" s="772">
        <f t="shared" ca="1" si="72"/>
        <v>46581.949840278096</v>
      </c>
      <c r="AY176" s="772">
        <f t="shared" ca="1" si="72"/>
        <v>46581.949840278096</v>
      </c>
      <c r="AZ176" s="772">
        <f t="shared" ca="1" si="72"/>
        <v>46581.949840278096</v>
      </c>
      <c r="BA176" s="772">
        <f t="shared" ca="1" si="72"/>
        <v>48010.073880592201</v>
      </c>
      <c r="BB176" s="772">
        <f t="shared" ca="1" si="72"/>
        <v>48010.073880592201</v>
      </c>
      <c r="BC176" s="772">
        <f t="shared" ca="1" si="72"/>
        <v>47579.46408440805</v>
      </c>
      <c r="BD176" s="772">
        <f t="shared" ca="1" si="72"/>
        <v>47105.054692922728</v>
      </c>
      <c r="BE176" s="772">
        <f t="shared" ca="1" si="72"/>
        <v>47105.054692922728</v>
      </c>
      <c r="BF176" s="772">
        <f t="shared" ca="1" si="72"/>
        <v>46581.949840278096</v>
      </c>
      <c r="BG176" s="772">
        <f t="shared" ca="1" si="72"/>
        <v>46581.949840278096</v>
      </c>
      <c r="BH176" s="772">
        <f t="shared" ca="1" si="75"/>
        <v>46005.357357605368</v>
      </c>
      <c r="BI176" s="772">
        <f t="shared" ca="1" si="75"/>
        <v>46005.357357605368</v>
      </c>
      <c r="BJ176" s="772">
        <f t="shared" ca="1" si="75"/>
        <v>47579.46408440805</v>
      </c>
      <c r="BK176" s="772">
        <f t="shared" ca="1" si="75"/>
        <v>47579.46408440805</v>
      </c>
      <c r="BL176" s="772">
        <f t="shared" ca="1" si="75"/>
        <v>47579.46408440805</v>
      </c>
      <c r="BM176" s="772">
        <f t="shared" ca="1" si="75"/>
        <v>47579.46408440805</v>
      </c>
      <c r="BN176" s="772">
        <f t="shared" ca="1" si="75"/>
        <v>46581.949840278096</v>
      </c>
      <c r="BO176" s="772">
        <f t="shared" ca="1" si="75"/>
        <v>46581.949840278096</v>
      </c>
      <c r="BP176" s="772">
        <f t="shared" ca="1" si="75"/>
        <v>46005.357357605368</v>
      </c>
      <c r="BQ176" s="772">
        <f t="shared" ca="1" si="75"/>
        <v>46005.357357605368</v>
      </c>
      <c r="BR176" s="772">
        <f t="shared" ca="1" si="75"/>
        <v>45370.951195149057</v>
      </c>
      <c r="BS176" s="772">
        <f t="shared" ca="1" si="75"/>
        <v>47579.46408440805</v>
      </c>
      <c r="BT176" s="772">
        <f t="shared" ca="1" si="75"/>
        <v>47579.46408440805</v>
      </c>
      <c r="BU176" s="772">
        <f t="shared" ca="1" si="75"/>
        <v>47579.46408440805</v>
      </c>
      <c r="BV176" s="772">
        <f t="shared" ca="1" si="75"/>
        <v>47105.054692922728</v>
      </c>
      <c r="BW176" s="772">
        <f t="shared" ca="1" si="75"/>
        <v>47105.054692922728</v>
      </c>
      <c r="BX176" s="772">
        <f t="shared" ca="1" si="74"/>
        <v>46005.357357605368</v>
      </c>
      <c r="BY176" s="772">
        <f t="shared" ca="1" si="74"/>
        <v>46005.357357605368</v>
      </c>
      <c r="BZ176" s="772">
        <f t="shared" ca="1" si="74"/>
        <v>45370.951195149057</v>
      </c>
      <c r="CA176" s="772">
        <f t="shared" ca="1" si="74"/>
        <v>45370.951195149057</v>
      </c>
      <c r="CB176" s="772">
        <f t="shared" ca="1" si="74"/>
        <v>47105.054692922728</v>
      </c>
      <c r="CC176" s="772">
        <f t="shared" ca="1" si="74"/>
        <v>47105.054692922728</v>
      </c>
      <c r="CD176" s="772">
        <f t="shared" ca="1" si="74"/>
        <v>47105.054692922728</v>
      </c>
      <c r="CE176" s="772">
        <f t="shared" ref="CE176:CJ185" ca="1" si="77">HLOOKUP(CE$7,$A$7:$P$348,ROW()-6)</f>
        <v>47105.054692922728</v>
      </c>
      <c r="CF176" s="772">
        <f t="shared" ca="1" si="77"/>
        <v>46581.949840278096</v>
      </c>
      <c r="CG176" s="772">
        <f t="shared" ca="1" si="77"/>
        <v>46005.357357605368</v>
      </c>
      <c r="CH176" s="772">
        <f t="shared" ca="1" si="77"/>
        <v>45370.951195149057</v>
      </c>
      <c r="CI176" s="772">
        <f t="shared" ca="1" si="77"/>
        <v>45370.951195149057</v>
      </c>
      <c r="CJ176" s="772">
        <f t="shared" ca="1" si="77"/>
        <v>44675.342489198811</v>
      </c>
    </row>
    <row r="177" spans="1:88" ht="15" customHeight="1">
      <c r="A177" s="770">
        <f>'kc-Wert für Stützen'!C177</f>
        <v>229</v>
      </c>
      <c r="B177" s="768">
        <f ca="1">INDIRECT("'kc-Wert für Stützen'!"&amp;SUBSTITUTE(ADDRESS(MATCH($A177,'kc-Wert für Stützen'!$C:$C,0),MATCH(B$7,'kc-Wert für Stützen'!$A$8:$ES$8,0)+7,4),,))</f>
        <v>49229.076022952715</v>
      </c>
      <c r="C177" s="768">
        <f ca="1">INDIRECT("'kc-Wert für Stützen'!"&amp;SUBSTITUTE(ADDRESS(MATCH($A177,'kc-Wert für Stützen'!$C:$C,0),MATCH(C$7,'kc-Wert für Stützen'!$A$8:$ES$8,0)+7,4),,))</f>
        <v>48874.583297340505</v>
      </c>
      <c r="D177" s="768">
        <f ca="1">INDIRECT("'kc-Wert für Stützen'!"&amp;SUBSTITUTE(ADDRESS(MATCH($A177,'kc-Wert für Stützen'!$C:$C,0),MATCH(D$7,'kc-Wert für Stützen'!$A$8:$ES$8,0)+7,4),,))</f>
        <v>48486.027899747314</v>
      </c>
      <c r="E177" s="768">
        <f ca="1">INDIRECT("'kc-Wert für Stützen'!"&amp;SUBSTITUTE(ADDRESS(MATCH($A177,'kc-Wert für Stützen'!$C:$C,0),MATCH(E$7,'kc-Wert für Stützen'!$A$8:$ES$8,0)+7,4),,))</f>
        <v>48059.024991372353</v>
      </c>
      <c r="F177" s="768">
        <f ca="1">INDIRECT("'kc-Wert für Stützen'!"&amp;SUBSTITUTE(ADDRESS(MATCH($A177,'kc-Wert für Stützen'!$C:$C,0),MATCH(F$7,'kc-Wert für Stützen'!$A$8:$ES$8,0)+7,4),,))</f>
        <v>47588.878432166806</v>
      </c>
      <c r="G177" s="768">
        <f ca="1">INDIRECT("'kc-Wert für Stützen'!"&amp;SUBSTITUTE(ADDRESS(MATCH($A177,'kc-Wert für Stützen'!$C:$C,0),MATCH(G$7,'kc-Wert für Stützen'!$A$8:$ES$8,0)+7,4),,))</f>
        <v>47070.721140379428</v>
      </c>
      <c r="H177" s="768">
        <f ca="1">INDIRECT("'kc-Wert für Stützen'!"&amp;SUBSTITUTE(ADDRESS(MATCH($A177,'kc-Wert für Stützen'!$C:$C,0),MATCH(H$7,'kc-Wert für Stützen'!$A$8:$ES$8,0)+7,4),,))</f>
        <v>46499.747549132677</v>
      </c>
      <c r="I177" s="768">
        <f ca="1">INDIRECT("'kc-Wert für Stützen'!"&amp;SUBSTITUTE(ADDRESS(MATCH($A177,'kc-Wert für Stützen'!$C:$C,0),MATCH(I$7,'kc-Wert für Stützen'!$A$8:$ES$8,0)+7,4),,))</f>
        <v>45871.555181465301</v>
      </c>
      <c r="J177" s="768">
        <f ca="1">INDIRECT("'kc-Wert für Stützen'!"&amp;SUBSTITUTE(ADDRESS(MATCH($A177,'kc-Wert für Stützen'!$C:$C,0),MATCH(J$7,'kc-Wert für Stützen'!$A$8:$ES$8,0)+7,4),,))</f>
        <v>45182.595320788678</v>
      </c>
      <c r="K177" s="768">
        <f ca="1">INDIRECT("'kc-Wert für Stützen'!"&amp;SUBSTITUTE(ADDRESS(MATCH($A177,'kc-Wert für Stützen'!$C:$C,0),MATCH(K$7,'kc-Wert für Stützen'!$A$8:$ES$8,0)+7,4),,))</f>
        <v>44430.701431835339</v>
      </c>
      <c r="L177" s="768">
        <f ca="1">INDIRECT("'kc-Wert für Stützen'!"&amp;SUBSTITUTE(ADDRESS(MATCH($A177,'kc-Wert für Stützen'!$C:$C,0),MATCH(L$7,'kc-Wert für Stützen'!$A$8:$ES$8,0)+7,4),,))</f>
        <v>43615.62187001764</v>
      </c>
      <c r="M177" s="768">
        <f ca="1">INDIRECT("'kc-Wert für Stützen'!"&amp;SUBSTITUTE(ADDRESS(MATCH($A177,'kc-Wert für Stützen'!$C:$C,0),MATCH(M$7,'kc-Wert für Stützen'!$A$8:$ES$8,0)+7,4),,))</f>
        <v>42739.444705740949</v>
      </c>
      <c r="N177" s="768">
        <f ca="1">INDIRECT("'kc-Wert für Stützen'!"&amp;SUBSTITUTE(ADDRESS(MATCH($A177,'kc-Wert für Stützen'!$C:$C,0),MATCH(N$7,'kc-Wert für Stützen'!$A$8:$ES$8,0)+7,4),,))</f>
        <v>41806.790538666814</v>
      </c>
      <c r="O177" s="768">
        <f ca="1">INDIRECT("'kc-Wert für Stützen'!"&amp;SUBSTITUTE(ADDRESS(MATCH($A177,'kc-Wert für Stützen'!$C:$C,0),MATCH(O$7,'kc-Wert für Stützen'!$A$8:$ES$8,0)+7,4),,))</f>
        <v>40824.68409844597</v>
      </c>
      <c r="P177" s="768">
        <f ca="1">INDIRECT("'kc-Wert für Stützen'!"&amp;SUBSTITUTE(ADDRESS(MATCH($A177,'kc-Wert für Stützen'!$C:$C,0),MATCH(P$7,'kc-Wert für Stützen'!$A$8:$ES$8,0)+7,4),,))</f>
        <v>39802.095580570225</v>
      </c>
      <c r="S177" s="772">
        <f t="shared" ca="1" si="59"/>
        <v>48486.027899747314</v>
      </c>
      <c r="T177" s="772">
        <f t="shared" ca="1" si="69"/>
        <v>48486.027899747314</v>
      </c>
      <c r="U177" s="772">
        <f t="shared" ca="1" si="69"/>
        <v>48486.027899747314</v>
      </c>
      <c r="V177" s="772">
        <f t="shared" ca="1" si="69"/>
        <v>48059.024991372353</v>
      </c>
      <c r="W177" s="772">
        <f t="shared" ca="1" si="69"/>
        <v>47588.878432166806</v>
      </c>
      <c r="X177" s="772">
        <f t="shared" ca="1" si="69"/>
        <v>47070.721140379428</v>
      </c>
      <c r="Y177" s="772">
        <f t="shared" ca="1" si="69"/>
        <v>46499.747549132677</v>
      </c>
      <c r="Z177" s="772">
        <f t="shared" ca="1" si="69"/>
        <v>48486.027899747314</v>
      </c>
      <c r="AA177" s="772">
        <f t="shared" ca="1" si="69"/>
        <v>48486.027899747314</v>
      </c>
      <c r="AB177" s="772">
        <f t="shared" ca="1" si="76"/>
        <v>48059.024991372353</v>
      </c>
      <c r="AC177" s="772">
        <f t="shared" ca="1" si="76"/>
        <v>48059.024991372353</v>
      </c>
      <c r="AD177" s="772">
        <f t="shared" ca="1" si="76"/>
        <v>47588.878432166806</v>
      </c>
      <c r="AE177" s="772">
        <f t="shared" ca="1" si="76"/>
        <v>47588.878432166806</v>
      </c>
      <c r="AF177" s="772">
        <f t="shared" ca="1" si="76"/>
        <v>47070.721140379428</v>
      </c>
      <c r="AG177" s="772">
        <f t="shared" ca="1" si="76"/>
        <v>47070.721140379428</v>
      </c>
      <c r="AH177" s="772">
        <f t="shared" ca="1" si="76"/>
        <v>47070.721140379428</v>
      </c>
      <c r="AI177" s="772">
        <f t="shared" ca="1" si="76"/>
        <v>48486.027899747314</v>
      </c>
      <c r="AJ177" s="772">
        <f t="shared" ca="1" si="76"/>
        <v>48486.027899747314</v>
      </c>
      <c r="AK177" s="772">
        <f t="shared" ca="1" si="76"/>
        <v>48059.024991372353</v>
      </c>
      <c r="AL177" s="772">
        <f t="shared" ca="1" si="76"/>
        <v>48059.024991372353</v>
      </c>
      <c r="AM177" s="772">
        <f t="shared" ca="1" si="76"/>
        <v>47588.878432166806</v>
      </c>
      <c r="AN177" s="772">
        <f t="shared" ca="1" si="76"/>
        <v>47588.878432166806</v>
      </c>
      <c r="AO177" s="772">
        <f t="shared" ca="1" si="76"/>
        <v>47070.721140379428</v>
      </c>
      <c r="AP177" s="772">
        <f t="shared" ca="1" si="76"/>
        <v>47070.721140379428</v>
      </c>
      <c r="AQ177" s="772">
        <f t="shared" ca="1" si="76"/>
        <v>47070.721140379428</v>
      </c>
      <c r="AR177" s="772">
        <f t="shared" ca="1" si="72"/>
        <v>48486.027899747314</v>
      </c>
      <c r="AS177" s="772">
        <f t="shared" ca="1" si="72"/>
        <v>48486.027899747314</v>
      </c>
      <c r="AT177" s="772">
        <f t="shared" ca="1" si="72"/>
        <v>48059.024991372353</v>
      </c>
      <c r="AU177" s="772">
        <f t="shared" ca="1" si="72"/>
        <v>48059.024991372353</v>
      </c>
      <c r="AV177" s="772">
        <f t="shared" ca="1" si="72"/>
        <v>47588.878432166806</v>
      </c>
      <c r="AW177" s="772">
        <f t="shared" ca="1" si="72"/>
        <v>47588.878432166806</v>
      </c>
      <c r="AX177" s="772">
        <f t="shared" ca="1" si="72"/>
        <v>47070.721140379428</v>
      </c>
      <c r="AY177" s="772">
        <f t="shared" ca="1" si="72"/>
        <v>47070.721140379428</v>
      </c>
      <c r="AZ177" s="772">
        <f t="shared" ref="AR177:BG193" ca="1" si="78">HLOOKUP(AZ$7,$A$7:$P$348,ROW()-6)</f>
        <v>47070.721140379428</v>
      </c>
      <c r="BA177" s="772">
        <f t="shared" ca="1" si="78"/>
        <v>48486.027899747314</v>
      </c>
      <c r="BB177" s="772">
        <f t="shared" ca="1" si="78"/>
        <v>48486.027899747314</v>
      </c>
      <c r="BC177" s="772">
        <f t="shared" ca="1" si="78"/>
        <v>48059.024991372353</v>
      </c>
      <c r="BD177" s="772">
        <f t="shared" ca="1" si="78"/>
        <v>47588.878432166806</v>
      </c>
      <c r="BE177" s="772">
        <f t="shared" ca="1" si="78"/>
        <v>47588.878432166806</v>
      </c>
      <c r="BF177" s="772">
        <f t="shared" ca="1" si="78"/>
        <v>47070.721140379428</v>
      </c>
      <c r="BG177" s="772">
        <f t="shared" ca="1" si="78"/>
        <v>47070.721140379428</v>
      </c>
      <c r="BH177" s="772">
        <f t="shared" ca="1" si="75"/>
        <v>46499.747549132677</v>
      </c>
      <c r="BI177" s="772">
        <f t="shared" ca="1" si="75"/>
        <v>46499.747549132677</v>
      </c>
      <c r="BJ177" s="772">
        <f t="shared" ca="1" si="75"/>
        <v>48059.024991372353</v>
      </c>
      <c r="BK177" s="772">
        <f t="shared" ca="1" si="75"/>
        <v>48059.024991372353</v>
      </c>
      <c r="BL177" s="772">
        <f t="shared" ca="1" si="75"/>
        <v>48059.024991372353</v>
      </c>
      <c r="BM177" s="772">
        <f t="shared" ca="1" si="75"/>
        <v>48059.024991372353</v>
      </c>
      <c r="BN177" s="772">
        <f t="shared" ca="1" si="75"/>
        <v>47070.721140379428</v>
      </c>
      <c r="BO177" s="772">
        <f t="shared" ca="1" si="75"/>
        <v>47070.721140379428</v>
      </c>
      <c r="BP177" s="772">
        <f t="shared" ca="1" si="75"/>
        <v>46499.747549132677</v>
      </c>
      <c r="BQ177" s="772">
        <f t="shared" ca="1" si="75"/>
        <v>46499.747549132677</v>
      </c>
      <c r="BR177" s="772">
        <f t="shared" ca="1" si="75"/>
        <v>45871.555181465301</v>
      </c>
      <c r="BS177" s="772">
        <f t="shared" ca="1" si="75"/>
        <v>48059.024991372353</v>
      </c>
      <c r="BT177" s="772">
        <f t="shared" ca="1" si="75"/>
        <v>48059.024991372353</v>
      </c>
      <c r="BU177" s="772">
        <f t="shared" ca="1" si="75"/>
        <v>48059.024991372353</v>
      </c>
      <c r="BV177" s="772">
        <f t="shared" ca="1" si="75"/>
        <v>47588.878432166806</v>
      </c>
      <c r="BW177" s="772">
        <f t="shared" ca="1" si="75"/>
        <v>47588.878432166806</v>
      </c>
      <c r="BX177" s="772">
        <f t="shared" ref="BX177:CD186" ca="1" si="79">HLOOKUP(BX$7,$A$7:$P$348,ROW()-6)</f>
        <v>46499.747549132677</v>
      </c>
      <c r="BY177" s="772">
        <f t="shared" ca="1" si="79"/>
        <v>46499.747549132677</v>
      </c>
      <c r="BZ177" s="772">
        <f t="shared" ca="1" si="79"/>
        <v>45871.555181465301</v>
      </c>
      <c r="CA177" s="772">
        <f t="shared" ca="1" si="79"/>
        <v>45871.555181465301</v>
      </c>
      <c r="CB177" s="772">
        <f t="shared" ca="1" si="79"/>
        <v>47588.878432166806</v>
      </c>
      <c r="CC177" s="772">
        <f t="shared" ca="1" si="79"/>
        <v>47588.878432166806</v>
      </c>
      <c r="CD177" s="772">
        <f t="shared" ca="1" si="79"/>
        <v>47588.878432166806</v>
      </c>
      <c r="CE177" s="772">
        <f t="shared" ca="1" si="77"/>
        <v>47588.878432166806</v>
      </c>
      <c r="CF177" s="772">
        <f t="shared" ca="1" si="77"/>
        <v>47070.721140379428</v>
      </c>
      <c r="CG177" s="772">
        <f t="shared" ca="1" si="77"/>
        <v>46499.747549132677</v>
      </c>
      <c r="CH177" s="772">
        <f t="shared" ca="1" si="77"/>
        <v>45871.555181465301</v>
      </c>
      <c r="CI177" s="772">
        <f t="shared" ca="1" si="77"/>
        <v>45871.555181465301</v>
      </c>
      <c r="CJ177" s="772">
        <f t="shared" ca="1" si="77"/>
        <v>45182.595320788678</v>
      </c>
    </row>
    <row r="178" spans="1:88" ht="15" customHeight="1">
      <c r="A178" s="770">
        <f>'kc-Wert für Stützen'!C178</f>
        <v>230</v>
      </c>
      <c r="B178" s="768">
        <f ca="1">INDIRECT("'kc-Wert für Stützen'!"&amp;SUBSTITUTE(ADDRESS(MATCH($A178,'kc-Wert für Stützen'!$C:$C,0),MATCH(B$7,'kc-Wert für Stützen'!$A$8:$ES$8,0)+7,4),,))</f>
        <v>49701.349551387924</v>
      </c>
      <c r="C178" s="768">
        <f ca="1">INDIRECT("'kc-Wert für Stützen'!"&amp;SUBSTITUTE(ADDRESS(MATCH($A178,'kc-Wert für Stützen'!$C:$C,0),MATCH(C$7,'kc-Wert für Stützen'!$A$8:$ES$8,0)+7,4),,))</f>
        <v>49349.26135547852</v>
      </c>
      <c r="D178" s="768">
        <f ca="1">INDIRECT("'kc-Wert für Stützen'!"&amp;SUBSTITUTE(ADDRESS(MATCH($A178,'kc-Wert für Stützen'!$C:$C,0),MATCH(D$7,'kc-Wert für Stützen'!$A$8:$ES$8,0)+7,4),,))</f>
        <v>48963.637365574643</v>
      </c>
      <c r="E178" s="768">
        <f ca="1">INDIRECT("'kc-Wert für Stützen'!"&amp;SUBSTITUTE(ADDRESS(MATCH($A178,'kc-Wert für Stützen'!$C:$C,0),MATCH(E$7,'kc-Wert für Stützen'!$A$8:$ES$8,0)+7,4),,))</f>
        <v>48540.157804728842</v>
      </c>
      <c r="F178" s="768">
        <f ca="1">INDIRECT("'kc-Wert für Stützen'!"&amp;SUBSTITUTE(ADDRESS(MATCH($A178,'kc-Wert für Stützen'!$C:$C,0),MATCH(F$7,'kc-Wert für Stützen'!$A$8:$ES$8,0)+7,4),,))</f>
        <v>48074.181612443157</v>
      </c>
      <c r="G178" s="768">
        <f ca="1">INDIRECT("'kc-Wert für Stützen'!"&amp;SUBSTITUTE(ADDRESS(MATCH($A178,'kc-Wert für Stützen'!$C:$C,0),MATCH(G$7,'kc-Wert für Stützen'!$A$8:$ES$8,0)+7,4),,))</f>
        <v>47560.874541141209</v>
      </c>
      <c r="H178" s="768">
        <f ca="1">INDIRECT("'kc-Wert für Stützen'!"&amp;SUBSTITUTE(ADDRESS(MATCH($A178,'kc-Wert für Stützen'!$C:$C,0),MATCH(H$7,'kc-Wert für Stützen'!$A$8:$ES$8,0)+7,4),,))</f>
        <v>46995.424894700875</v>
      </c>
      <c r="I178" s="768">
        <f ca="1">INDIRECT("'kc-Wert für Stützen'!"&amp;SUBSTITUTE(ADDRESS(MATCH($A178,'kc-Wert für Stützen'!$C:$C,0),MATCH(I$7,'kc-Wert für Stützen'!$A$8:$ES$8,0)+7,4),,))</f>
        <v>46373.364906906849</v>
      </c>
      <c r="J178" s="768">
        <f ca="1">INDIRECT("'kc-Wert für Stützen'!"&amp;SUBSTITUTE(ADDRESS(MATCH($A178,'kc-Wert für Stützen'!$C:$C,0),MATCH(J$7,'kc-Wert für Stützen'!$A$8:$ES$8,0)+7,4),,))</f>
        <v>45691.000955329357</v>
      </c>
      <c r="K178" s="768">
        <f ca="1">INDIRECT("'kc-Wert für Stützen'!"&amp;SUBSTITUTE(ADDRESS(MATCH($A178,'kc-Wert für Stützen'!$C:$C,0),MATCH(K$7,'kc-Wert für Stützen'!$A$8:$ES$8,0)+7,4),,))</f>
        <v>44945.927276892551</v>
      </c>
      <c r="L178" s="768">
        <f ca="1">INDIRECT("'kc-Wert für Stützen'!"&amp;SUBSTITUTE(ADDRESS(MATCH($A178,'kc-Wert für Stützen'!$C:$C,0),MATCH(L$7,'kc-Wert für Stützen'!$A$8:$ES$8,0)+7,4),,))</f>
        <v>44137.557747030041</v>
      </c>
      <c r="M178" s="768">
        <f ca="1">INDIRECT("'kc-Wert für Stützen'!"&amp;SUBSTITUTE(ADDRESS(MATCH($A178,'kc-Wert für Stützen'!$C:$C,0),MATCH(M$7,'kc-Wert für Stützen'!$A$8:$ES$8,0)+7,4),,))</f>
        <v>43267.570671314759</v>
      </c>
      <c r="N178" s="768">
        <f ca="1">INDIRECT("'kc-Wert für Stützen'!"&amp;SUBSTITUTE(ADDRESS(MATCH($A178,'kc-Wert für Stützen'!$C:$C,0),MATCH(N$7,'kc-Wert für Stützen'!$A$8:$ES$8,0)+7,4),,))</f>
        <v>42340.144162431636</v>
      </c>
      <c r="O178" s="768">
        <f ca="1">INDIRECT("'kc-Wert für Stützen'!"&amp;SUBSTITUTE(ADDRESS(MATCH($A178,'kc-Wert für Stützen'!$C:$C,0),MATCH(O$7,'kc-Wert für Stützen'!$A$8:$ES$8,0)+7,4),,))</f>
        <v>41361.885697852063</v>
      </c>
      <c r="P178" s="768">
        <f ca="1">INDIRECT("'kc-Wert für Stützen'!"&amp;SUBSTITUTE(ADDRESS(MATCH($A178,'kc-Wert für Stützen'!$C:$C,0),MATCH(P$7,'kc-Wert für Stützen'!$A$8:$ES$8,0)+7,4),,))</f>
        <v>40341.431724139387</v>
      </c>
      <c r="S178" s="772">
        <f t="shared" ca="1" si="59"/>
        <v>48963.637365574643</v>
      </c>
      <c r="T178" s="772">
        <f t="shared" ca="1" si="69"/>
        <v>48963.637365574643</v>
      </c>
      <c r="U178" s="772">
        <f t="shared" ca="1" si="69"/>
        <v>48963.637365574643</v>
      </c>
      <c r="V178" s="772">
        <f t="shared" ca="1" si="69"/>
        <v>48540.157804728842</v>
      </c>
      <c r="W178" s="772">
        <f t="shared" ca="1" si="69"/>
        <v>48074.181612443157</v>
      </c>
      <c r="X178" s="772">
        <f t="shared" ca="1" si="69"/>
        <v>47560.874541141209</v>
      </c>
      <c r="Y178" s="772">
        <f t="shared" ca="1" si="69"/>
        <v>46995.424894700875</v>
      </c>
      <c r="Z178" s="772">
        <f t="shared" ca="1" si="69"/>
        <v>48963.637365574643</v>
      </c>
      <c r="AA178" s="772">
        <f t="shared" ca="1" si="69"/>
        <v>48963.637365574643</v>
      </c>
      <c r="AB178" s="772">
        <f t="shared" ca="1" si="76"/>
        <v>48540.157804728842</v>
      </c>
      <c r="AC178" s="772">
        <f t="shared" ca="1" si="76"/>
        <v>48540.157804728842</v>
      </c>
      <c r="AD178" s="772">
        <f t="shared" ca="1" si="76"/>
        <v>48074.181612443157</v>
      </c>
      <c r="AE178" s="772">
        <f t="shared" ca="1" si="76"/>
        <v>48074.181612443157</v>
      </c>
      <c r="AF178" s="772">
        <f t="shared" ca="1" si="76"/>
        <v>47560.874541141209</v>
      </c>
      <c r="AG178" s="772">
        <f t="shared" ca="1" si="76"/>
        <v>47560.874541141209</v>
      </c>
      <c r="AH178" s="772">
        <f t="shared" ca="1" si="76"/>
        <v>47560.874541141209</v>
      </c>
      <c r="AI178" s="772">
        <f t="shared" ca="1" si="76"/>
        <v>48963.637365574643</v>
      </c>
      <c r="AJ178" s="772">
        <f t="shared" ca="1" si="76"/>
        <v>48963.637365574643</v>
      </c>
      <c r="AK178" s="772">
        <f t="shared" ca="1" si="76"/>
        <v>48540.157804728842</v>
      </c>
      <c r="AL178" s="772">
        <f t="shared" ca="1" si="76"/>
        <v>48540.157804728842</v>
      </c>
      <c r="AM178" s="772">
        <f t="shared" ca="1" si="76"/>
        <v>48074.181612443157</v>
      </c>
      <c r="AN178" s="772">
        <f t="shared" ca="1" si="76"/>
        <v>48074.181612443157</v>
      </c>
      <c r="AO178" s="772">
        <f t="shared" ca="1" si="76"/>
        <v>47560.874541141209</v>
      </c>
      <c r="AP178" s="772">
        <f t="shared" ca="1" si="76"/>
        <v>47560.874541141209</v>
      </c>
      <c r="AQ178" s="772">
        <f t="shared" ca="1" si="76"/>
        <v>47560.874541141209</v>
      </c>
      <c r="AR178" s="772">
        <f t="shared" ca="1" si="78"/>
        <v>48963.637365574643</v>
      </c>
      <c r="AS178" s="772">
        <f t="shared" ca="1" si="78"/>
        <v>48963.637365574643</v>
      </c>
      <c r="AT178" s="772">
        <f t="shared" ca="1" si="78"/>
        <v>48540.157804728842</v>
      </c>
      <c r="AU178" s="772">
        <f t="shared" ca="1" si="78"/>
        <v>48540.157804728842</v>
      </c>
      <c r="AV178" s="772">
        <f t="shared" ca="1" si="78"/>
        <v>48074.181612443157</v>
      </c>
      <c r="AW178" s="772">
        <f t="shared" ca="1" si="78"/>
        <v>48074.181612443157</v>
      </c>
      <c r="AX178" s="772">
        <f t="shared" ca="1" si="78"/>
        <v>47560.874541141209</v>
      </c>
      <c r="AY178" s="772">
        <f t="shared" ca="1" si="78"/>
        <v>47560.874541141209</v>
      </c>
      <c r="AZ178" s="772">
        <f t="shared" ca="1" si="78"/>
        <v>47560.874541141209</v>
      </c>
      <c r="BA178" s="772">
        <f t="shared" ca="1" si="78"/>
        <v>48963.637365574643</v>
      </c>
      <c r="BB178" s="772">
        <f t="shared" ca="1" si="78"/>
        <v>48963.637365574643</v>
      </c>
      <c r="BC178" s="772">
        <f t="shared" ca="1" si="78"/>
        <v>48540.157804728842</v>
      </c>
      <c r="BD178" s="772">
        <f t="shared" ca="1" si="78"/>
        <v>48074.181612443157</v>
      </c>
      <c r="BE178" s="772">
        <f t="shared" ca="1" si="78"/>
        <v>48074.181612443157</v>
      </c>
      <c r="BF178" s="772">
        <f t="shared" ca="1" si="78"/>
        <v>47560.874541141209</v>
      </c>
      <c r="BG178" s="772">
        <f t="shared" ca="1" si="78"/>
        <v>47560.874541141209</v>
      </c>
      <c r="BH178" s="772">
        <f t="shared" ca="1" si="75"/>
        <v>46995.424894700875</v>
      </c>
      <c r="BI178" s="772">
        <f t="shared" ca="1" si="75"/>
        <v>46995.424894700875</v>
      </c>
      <c r="BJ178" s="772">
        <f t="shared" ca="1" si="75"/>
        <v>48540.157804728842</v>
      </c>
      <c r="BK178" s="772">
        <f t="shared" ca="1" si="75"/>
        <v>48540.157804728842</v>
      </c>
      <c r="BL178" s="772">
        <f t="shared" ca="1" si="75"/>
        <v>48540.157804728842</v>
      </c>
      <c r="BM178" s="772">
        <f t="shared" ca="1" si="75"/>
        <v>48540.157804728842</v>
      </c>
      <c r="BN178" s="772">
        <f t="shared" ca="1" si="75"/>
        <v>47560.874541141209</v>
      </c>
      <c r="BO178" s="772">
        <f t="shared" ca="1" si="75"/>
        <v>47560.874541141209</v>
      </c>
      <c r="BP178" s="772">
        <f t="shared" ca="1" si="75"/>
        <v>46995.424894700875</v>
      </c>
      <c r="BQ178" s="772">
        <f t="shared" ca="1" si="75"/>
        <v>46995.424894700875</v>
      </c>
      <c r="BR178" s="772">
        <f t="shared" ca="1" si="75"/>
        <v>46373.364906906849</v>
      </c>
      <c r="BS178" s="772">
        <f t="shared" ca="1" si="75"/>
        <v>48540.157804728842</v>
      </c>
      <c r="BT178" s="772">
        <f t="shared" ca="1" si="75"/>
        <v>48540.157804728842</v>
      </c>
      <c r="BU178" s="772">
        <f t="shared" ca="1" si="75"/>
        <v>48540.157804728842</v>
      </c>
      <c r="BV178" s="772">
        <f t="shared" ca="1" si="75"/>
        <v>48074.181612443157</v>
      </c>
      <c r="BW178" s="772">
        <f t="shared" ca="1" si="75"/>
        <v>48074.181612443157</v>
      </c>
      <c r="BX178" s="772">
        <f t="shared" ca="1" si="79"/>
        <v>46995.424894700875</v>
      </c>
      <c r="BY178" s="772">
        <f t="shared" ca="1" si="79"/>
        <v>46995.424894700875</v>
      </c>
      <c r="BZ178" s="772">
        <f t="shared" ca="1" si="79"/>
        <v>46373.364906906849</v>
      </c>
      <c r="CA178" s="772">
        <f t="shared" ca="1" si="79"/>
        <v>46373.364906906849</v>
      </c>
      <c r="CB178" s="772">
        <f t="shared" ca="1" si="79"/>
        <v>48074.181612443157</v>
      </c>
      <c r="CC178" s="772">
        <f t="shared" ca="1" si="79"/>
        <v>48074.181612443157</v>
      </c>
      <c r="CD178" s="772">
        <f t="shared" ca="1" si="79"/>
        <v>48074.181612443157</v>
      </c>
      <c r="CE178" s="772">
        <f t="shared" ca="1" si="77"/>
        <v>48074.181612443157</v>
      </c>
      <c r="CF178" s="772">
        <f t="shared" ca="1" si="77"/>
        <v>47560.874541141209</v>
      </c>
      <c r="CG178" s="772">
        <f t="shared" ca="1" si="77"/>
        <v>46995.424894700875</v>
      </c>
      <c r="CH178" s="772">
        <f t="shared" ca="1" si="77"/>
        <v>46373.364906906849</v>
      </c>
      <c r="CI178" s="772">
        <f t="shared" ca="1" si="77"/>
        <v>46373.364906906849</v>
      </c>
      <c r="CJ178" s="772">
        <f t="shared" ca="1" si="77"/>
        <v>45691.000955329357</v>
      </c>
    </row>
    <row r="179" spans="1:88" ht="15" customHeight="1">
      <c r="A179" s="770">
        <f>'kc-Wert für Stützen'!C179</f>
        <v>231</v>
      </c>
      <c r="B179" s="768">
        <f ca="1">INDIRECT("'kc-Wert für Stützen'!"&amp;SUBSTITUTE(ADDRESS(MATCH($A179,'kc-Wert für Stützen'!$C:$C,0),MATCH(B$7,'kc-Wert für Stützen'!$A$8:$ES$8,0)+7,4),,))</f>
        <v>50175.420340947298</v>
      </c>
      <c r="C179" s="768">
        <f ca="1">INDIRECT("'kc-Wert für Stützen'!"&amp;SUBSTITUTE(ADDRESS(MATCH($A179,'kc-Wert für Stützen'!$C:$C,0),MATCH(C$7,'kc-Wert für Stützen'!$A$8:$ES$8,0)+7,4),,))</f>
        <v>49825.676178400245</v>
      </c>
      <c r="D179" s="768">
        <f ca="1">INDIRECT("'kc-Wert für Stützen'!"&amp;SUBSTITUTE(ADDRESS(MATCH($A179,'kc-Wert für Stützen'!$C:$C,0),MATCH(D$7,'kc-Wert für Stützen'!$A$8:$ES$8,0)+7,4),,))</f>
        <v>49442.912406784853</v>
      </c>
      <c r="E179" s="768">
        <f ca="1">INDIRECT("'kc-Wert für Stützen'!"&amp;SUBSTITUTE(ADDRESS(MATCH($A179,'kc-Wert für Stützen'!$C:$C,0),MATCH(E$7,'kc-Wert für Stützen'!$A$8:$ES$8,0)+7,4),,))</f>
        <v>49022.874362757888</v>
      </c>
      <c r="F179" s="768">
        <f ca="1">INDIRECT("'kc-Wert für Stützen'!"&amp;SUBSTITUTE(ADDRESS(MATCH($A179,'kc-Wert für Stützen'!$C:$C,0),MATCH(F$7,'kc-Wert für Stützen'!$A$8:$ES$8,0)+7,4),,))</f>
        <v>48560.977512893951</v>
      </c>
      <c r="G179" s="768">
        <f ca="1">INDIRECT("'kc-Wert für Stützen'!"&amp;SUBSTITUTE(ADDRESS(MATCH($A179,'kc-Wert für Stützen'!$C:$C,0),MATCH(G$7,'kc-Wert für Stützen'!$A$8:$ES$8,0)+7,4),,))</f>
        <v>48052.424072064496</v>
      </c>
      <c r="H179" s="768">
        <f ca="1">INDIRECT("'kc-Wert für Stützen'!"&amp;SUBSTITUTE(ADDRESS(MATCH($A179,'kc-Wert für Stützen'!$C:$C,0),MATCH(H$7,'kc-Wert für Stützen'!$A$8:$ES$8,0)+7,4),,))</f>
        <v>47492.402891037498</v>
      </c>
      <c r="I179" s="768">
        <f ca="1">INDIRECT("'kc-Wert für Stützen'!"&amp;SUBSTITUTE(ADDRESS(MATCH($A179,'kc-Wert für Stützen'!$C:$C,0),MATCH(I$7,'kc-Wert für Stützen'!$A$8:$ES$8,0)+7,4),,))</f>
        <v>46876.391332084102</v>
      </c>
      <c r="J179" s="768">
        <f ca="1">INDIRECT("'kc-Wert für Stützen'!"&amp;SUBSTITUTE(ADDRESS(MATCH($A179,'kc-Wert für Stützen'!$C:$C,0),MATCH(J$7,'kc-Wert für Stützen'!$A$8:$ES$8,0)+7,4),,))</f>
        <v>46200.565104350491</v>
      </c>
      <c r="K179" s="768">
        <f ca="1">INDIRECT("'kc-Wert für Stützen'!"&amp;SUBSTITUTE(ADDRESS(MATCH($A179,'kc-Wert für Stützen'!$C:$C,0),MATCH(K$7,'kc-Wert für Stützen'!$A$8:$ES$8,0)+7,4),,))</f>
        <v>45462.296192281581</v>
      </c>
      <c r="L179" s="768">
        <f ca="1">INDIRECT("'kc-Wert für Stützen'!"&amp;SUBSTITUTE(ADDRESS(MATCH($A179,'kc-Wert für Stützen'!$C:$C,0),MATCH(L$7,'kc-Wert für Stützen'!$A$8:$ES$8,0)+7,4),,))</f>
        <v>44660.681095648099</v>
      </c>
      <c r="M179" s="768">
        <f ca="1">INDIRECT("'kc-Wert für Stützen'!"&amp;SUBSTITUTE(ADDRESS(MATCH($A179,'kc-Wert für Stützen'!$C:$C,0),MATCH(M$7,'kc-Wert für Stützen'!$A$8:$ES$8,0)+7,4),,))</f>
        <v>43797.0016832451</v>
      </c>
      <c r="N179" s="768">
        <f ca="1">INDIRECT("'kc-Wert für Stützen'!"&amp;SUBSTITUTE(ADDRESS(MATCH($A179,'kc-Wert für Stützen'!$C:$C,0),MATCH(N$7,'kc-Wert für Stützen'!$A$8:$ES$8,0)+7,4),,))</f>
        <v>42874.999029388571</v>
      </c>
      <c r="O179" s="768">
        <f ca="1">INDIRECT("'kc-Wert für Stützen'!"&amp;SUBSTITUTE(ADDRESS(MATCH($A179,'kc-Wert für Stützen'!$C:$C,0),MATCH(O$7,'kc-Wert für Stützen'!$A$8:$ES$8,0)+7,4),,))</f>
        <v>41900.85830349732</v>
      </c>
      <c r="P179" s="768">
        <f ca="1">INDIRECT("'kc-Wert für Stützen'!"&amp;SUBSTITUTE(ADDRESS(MATCH($A179,'kc-Wert für Stützen'!$C:$C,0),MATCH(P$7,'kc-Wert für Stützen'!$A$8:$ES$8,0)+7,4),,))</f>
        <v>40882.866841125477</v>
      </c>
      <c r="S179" s="772">
        <f t="shared" ca="1" si="59"/>
        <v>49442.912406784853</v>
      </c>
      <c r="T179" s="772">
        <f t="shared" ca="1" si="69"/>
        <v>49442.912406784853</v>
      </c>
      <c r="U179" s="772">
        <f t="shared" ca="1" si="69"/>
        <v>49442.912406784853</v>
      </c>
      <c r="V179" s="772">
        <f t="shared" ca="1" si="69"/>
        <v>49022.874362757888</v>
      </c>
      <c r="W179" s="772">
        <f t="shared" ca="1" si="69"/>
        <v>48560.977512893951</v>
      </c>
      <c r="X179" s="772">
        <f t="shared" ca="1" si="69"/>
        <v>48052.424072064496</v>
      </c>
      <c r="Y179" s="772">
        <f t="shared" ca="1" si="69"/>
        <v>47492.402891037498</v>
      </c>
      <c r="Z179" s="772">
        <f t="shared" ca="1" si="69"/>
        <v>49442.912406784853</v>
      </c>
      <c r="AA179" s="772">
        <f t="shared" ca="1" si="69"/>
        <v>49442.912406784853</v>
      </c>
      <c r="AB179" s="772">
        <f t="shared" ca="1" si="76"/>
        <v>49022.874362757888</v>
      </c>
      <c r="AC179" s="772">
        <f t="shared" ca="1" si="76"/>
        <v>49022.874362757888</v>
      </c>
      <c r="AD179" s="772">
        <f t="shared" ca="1" si="76"/>
        <v>48560.977512893951</v>
      </c>
      <c r="AE179" s="772">
        <f t="shared" ca="1" si="76"/>
        <v>48560.977512893951</v>
      </c>
      <c r="AF179" s="772">
        <f t="shared" ca="1" si="76"/>
        <v>48052.424072064496</v>
      </c>
      <c r="AG179" s="772">
        <f t="shared" ca="1" si="76"/>
        <v>48052.424072064496</v>
      </c>
      <c r="AH179" s="772">
        <f t="shared" ca="1" si="76"/>
        <v>48052.424072064496</v>
      </c>
      <c r="AI179" s="772">
        <f t="shared" ca="1" si="76"/>
        <v>49442.912406784853</v>
      </c>
      <c r="AJ179" s="772">
        <f t="shared" ca="1" si="76"/>
        <v>49442.912406784853</v>
      </c>
      <c r="AK179" s="772">
        <f t="shared" ca="1" si="76"/>
        <v>49022.874362757888</v>
      </c>
      <c r="AL179" s="772">
        <f t="shared" ca="1" si="76"/>
        <v>49022.874362757888</v>
      </c>
      <c r="AM179" s="772">
        <f t="shared" ca="1" si="76"/>
        <v>48560.977512893951</v>
      </c>
      <c r="AN179" s="772">
        <f t="shared" ca="1" si="76"/>
        <v>48560.977512893951</v>
      </c>
      <c r="AO179" s="772">
        <f t="shared" ca="1" si="76"/>
        <v>48052.424072064496</v>
      </c>
      <c r="AP179" s="772">
        <f t="shared" ca="1" si="76"/>
        <v>48052.424072064496</v>
      </c>
      <c r="AQ179" s="772">
        <f t="shared" ca="1" si="76"/>
        <v>48052.424072064496</v>
      </c>
      <c r="AR179" s="772">
        <f t="shared" ca="1" si="78"/>
        <v>49442.912406784853</v>
      </c>
      <c r="AS179" s="772">
        <f t="shared" ca="1" si="78"/>
        <v>49442.912406784853</v>
      </c>
      <c r="AT179" s="772">
        <f t="shared" ca="1" si="78"/>
        <v>49022.874362757888</v>
      </c>
      <c r="AU179" s="772">
        <f t="shared" ca="1" si="78"/>
        <v>49022.874362757888</v>
      </c>
      <c r="AV179" s="772">
        <f t="shared" ca="1" si="78"/>
        <v>48560.977512893951</v>
      </c>
      <c r="AW179" s="772">
        <f t="shared" ca="1" si="78"/>
        <v>48560.977512893951</v>
      </c>
      <c r="AX179" s="772">
        <f t="shared" ca="1" si="78"/>
        <v>48052.424072064496</v>
      </c>
      <c r="AY179" s="772">
        <f t="shared" ca="1" si="78"/>
        <v>48052.424072064496</v>
      </c>
      <c r="AZ179" s="772">
        <f t="shared" ca="1" si="78"/>
        <v>48052.424072064496</v>
      </c>
      <c r="BA179" s="772">
        <f t="shared" ca="1" si="78"/>
        <v>49442.912406784853</v>
      </c>
      <c r="BB179" s="772">
        <f t="shared" ca="1" si="78"/>
        <v>49442.912406784853</v>
      </c>
      <c r="BC179" s="772">
        <f t="shared" ca="1" si="78"/>
        <v>49022.874362757888</v>
      </c>
      <c r="BD179" s="772">
        <f t="shared" ca="1" si="78"/>
        <v>48560.977512893951</v>
      </c>
      <c r="BE179" s="772">
        <f t="shared" ca="1" si="78"/>
        <v>48560.977512893951</v>
      </c>
      <c r="BF179" s="772">
        <f t="shared" ca="1" si="78"/>
        <v>48052.424072064496</v>
      </c>
      <c r="BG179" s="772">
        <f t="shared" ca="1" si="78"/>
        <v>48052.424072064496</v>
      </c>
      <c r="BH179" s="772">
        <f t="shared" ca="1" si="75"/>
        <v>47492.402891037498</v>
      </c>
      <c r="BI179" s="772">
        <f t="shared" ca="1" si="75"/>
        <v>47492.402891037498</v>
      </c>
      <c r="BJ179" s="772">
        <f t="shared" ca="1" si="75"/>
        <v>49022.874362757888</v>
      </c>
      <c r="BK179" s="772">
        <f t="shared" ca="1" si="75"/>
        <v>49022.874362757888</v>
      </c>
      <c r="BL179" s="772">
        <f t="shared" ca="1" si="75"/>
        <v>49022.874362757888</v>
      </c>
      <c r="BM179" s="772">
        <f t="shared" ca="1" si="75"/>
        <v>49022.874362757888</v>
      </c>
      <c r="BN179" s="772">
        <f t="shared" ca="1" si="75"/>
        <v>48052.424072064496</v>
      </c>
      <c r="BO179" s="772">
        <f t="shared" ca="1" si="75"/>
        <v>48052.424072064496</v>
      </c>
      <c r="BP179" s="772">
        <f t="shared" ca="1" si="75"/>
        <v>47492.402891037498</v>
      </c>
      <c r="BQ179" s="772">
        <f t="shared" ca="1" si="75"/>
        <v>47492.402891037498</v>
      </c>
      <c r="BR179" s="772">
        <f t="shared" ca="1" si="75"/>
        <v>46876.391332084102</v>
      </c>
      <c r="BS179" s="772">
        <f t="shared" ca="1" si="75"/>
        <v>49022.874362757888</v>
      </c>
      <c r="BT179" s="772">
        <f t="shared" ca="1" si="75"/>
        <v>49022.874362757888</v>
      </c>
      <c r="BU179" s="772">
        <f t="shared" ca="1" si="75"/>
        <v>49022.874362757888</v>
      </c>
      <c r="BV179" s="772">
        <f t="shared" ca="1" si="75"/>
        <v>48560.977512893951</v>
      </c>
      <c r="BW179" s="772">
        <f t="shared" ca="1" si="75"/>
        <v>48560.977512893951</v>
      </c>
      <c r="BX179" s="772">
        <f t="shared" ca="1" si="79"/>
        <v>47492.402891037498</v>
      </c>
      <c r="BY179" s="772">
        <f t="shared" ca="1" si="79"/>
        <v>47492.402891037498</v>
      </c>
      <c r="BZ179" s="772">
        <f t="shared" ca="1" si="79"/>
        <v>46876.391332084102</v>
      </c>
      <c r="CA179" s="772">
        <f t="shared" ca="1" si="79"/>
        <v>46876.391332084102</v>
      </c>
      <c r="CB179" s="772">
        <f t="shared" ca="1" si="79"/>
        <v>48560.977512893951</v>
      </c>
      <c r="CC179" s="772">
        <f t="shared" ca="1" si="79"/>
        <v>48560.977512893951</v>
      </c>
      <c r="CD179" s="772">
        <f t="shared" ca="1" si="79"/>
        <v>48560.977512893951</v>
      </c>
      <c r="CE179" s="772">
        <f t="shared" ca="1" si="77"/>
        <v>48560.977512893951</v>
      </c>
      <c r="CF179" s="772">
        <f t="shared" ca="1" si="77"/>
        <v>48052.424072064496</v>
      </c>
      <c r="CG179" s="772">
        <f t="shared" ca="1" si="77"/>
        <v>47492.402891037498</v>
      </c>
      <c r="CH179" s="772">
        <f t="shared" ca="1" si="77"/>
        <v>46876.391332084102</v>
      </c>
      <c r="CI179" s="772">
        <f t="shared" ca="1" si="77"/>
        <v>46876.391332084102</v>
      </c>
      <c r="CJ179" s="772">
        <f t="shared" ca="1" si="77"/>
        <v>46200.565104350491</v>
      </c>
    </row>
    <row r="180" spans="1:88" ht="15" customHeight="1">
      <c r="A180" s="770">
        <f>'kc-Wert für Stützen'!C180</f>
        <v>232</v>
      </c>
      <c r="B180" s="768">
        <f ca="1">INDIRECT("'kc-Wert für Stützen'!"&amp;SUBSTITUTE(ADDRESS(MATCH($A180,'kc-Wert für Stützen'!$C:$C,0),MATCH(B$7,'kc-Wert für Stützen'!$A$8:$ES$8,0)+7,4),,))</f>
        <v>50651.295028359193</v>
      </c>
      <c r="C180" s="768">
        <f ca="1">INDIRECT("'kc-Wert für Stützen'!"&amp;SUBSTITUTE(ADDRESS(MATCH($A180,'kc-Wert für Stützen'!$C:$C,0),MATCH(C$7,'kc-Wert für Stützen'!$A$8:$ES$8,0)+7,4),,))</f>
        <v>50303.835938343385</v>
      </c>
      <c r="D180" s="768">
        <f ca="1">INDIRECT("'kc-Wert für Stützen'!"&amp;SUBSTITUTE(ADDRESS(MATCH($A180,'kc-Wert für Stützen'!$C:$C,0),MATCH(D$7,'kc-Wert für Stützen'!$A$8:$ES$8,0)+7,4),,))</f>
        <v>49923.862882230191</v>
      </c>
      <c r="E180" s="768">
        <f ca="1">INDIRECT("'kc-Wert für Stützen'!"&amp;SUBSTITUTE(ADDRESS(MATCH($A180,'kc-Wert für Stützen'!$C:$C,0),MATCH(E$7,'kc-Wert für Stützen'!$A$8:$ES$8,0)+7,4),,))</f>
        <v>49507.186231758911</v>
      </c>
      <c r="F180" s="768">
        <f ca="1">INDIRECT("'kc-Wert für Stützen'!"&amp;SUBSTITUTE(ADDRESS(MATCH($A180,'kc-Wert für Stützen'!$C:$C,0),MATCH(F$7,'kc-Wert für Stützen'!$A$8:$ES$8,0)+7,4),,))</f>
        <v>49049.279185645093</v>
      </c>
      <c r="G180" s="768">
        <f ca="1">INDIRECT("'kc-Wert für Stützen'!"&amp;SUBSTITUTE(ADDRESS(MATCH($A180,'kc-Wert für Stützen'!$C:$C,0),MATCH(G$7,'kc-Wert für Stützen'!$A$8:$ES$8,0)+7,4),,))</f>
        <v>48545.383657663486</v>
      </c>
      <c r="H180" s="768">
        <f ca="1">INDIRECT("'kc-Wert für Stützen'!"&amp;SUBSTITUTE(ADDRESS(MATCH($A180,'kc-Wert für Stützen'!$C:$C,0),MATCH(H$7,'kc-Wert für Stützen'!$A$8:$ES$8,0)+7,4),,))</f>
        <v>47990.695161980475</v>
      </c>
      <c r="I180" s="768">
        <f ca="1">INDIRECT("'kc-Wert für Stützen'!"&amp;SUBSTITUTE(ADDRESS(MATCH($A180,'kc-Wert für Stützen'!$C:$C,0),MATCH(I$7,'kc-Wert für Stützen'!$A$8:$ES$8,0)+7,4),,))</f>
        <v>47380.645911511288</v>
      </c>
      <c r="J180" s="768">
        <f ca="1">INDIRECT("'kc-Wert für Stützen'!"&amp;SUBSTITUTE(ADDRESS(MATCH($A180,'kc-Wert für Stützen'!$C:$C,0),MATCH(J$7,'kc-Wert für Stützen'!$A$8:$ES$8,0)+7,4),,))</f>
        <v>46711.294472222886</v>
      </c>
      <c r="K180" s="768">
        <f ca="1">INDIRECT("'kc-Wert für Stützen'!"&amp;SUBSTITUTE(ADDRESS(MATCH($A180,'kc-Wert für Stützen'!$C:$C,0),MATCH(K$7,'kc-Wert für Stützen'!$A$8:$ES$8,0)+7,4),,))</f>
        <v>45979.807047604561</v>
      </c>
      <c r="L180" s="768">
        <f ca="1">INDIRECT("'kc-Wert für Stützen'!"&amp;SUBSTITUTE(ADDRESS(MATCH($A180,'kc-Wert für Stützen'!$C:$C,0),MATCH(L$7,'kc-Wert für Stützen'!$A$8:$ES$8,0)+7,4),,))</f>
        <v>45184.979860887492</v>
      </c>
      <c r="M180" s="768">
        <f ca="1">INDIRECT("'kc-Wert für Stützen'!"&amp;SUBSTITUTE(ADDRESS(MATCH($A180,'kc-Wert für Stützen'!$C:$C,0),MATCH(M$7,'kc-Wert für Stützen'!$A$8:$ES$8,0)+7,4),,))</f>
        <v>44327.712398608783</v>
      </c>
      <c r="N180" s="768">
        <f ca="1">INDIRECT("'kc-Wert für Stützen'!"&amp;SUBSTITUTE(ADDRESS(MATCH($A180,'kc-Wert für Stützen'!$C:$C,0),MATCH(N$7,'kc-Wert für Stützen'!$A$8:$ES$8,0)+7,4),,))</f>
        <v>43411.315614905194</v>
      </c>
      <c r="O180" s="768">
        <f ca="1">INDIRECT("'kc-Wert für Stützen'!"&amp;SUBSTITUTE(ADDRESS(MATCH($A180,'kc-Wert für Stützen'!$C:$C,0),MATCH(O$7,'kc-Wert für Stützen'!$A$8:$ES$8,0)+7,4),,))</f>
        <v>42441.549226844138</v>
      </c>
      <c r="P180" s="768">
        <f ca="1">INDIRECT("'kc-Wert für Stützen'!"&amp;SUBSTITUTE(ADDRESS(MATCH($A180,'kc-Wert für Stützen'!$C:$C,0),MATCH(P$7,'kc-Wert für Stützen'!$A$8:$ES$8,0)+7,4),,))</f>
        <v>41426.33792544176</v>
      </c>
      <c r="S180" s="772">
        <f t="shared" ca="1" si="59"/>
        <v>49923.862882230191</v>
      </c>
      <c r="T180" s="772">
        <f t="shared" ca="1" si="69"/>
        <v>49923.862882230191</v>
      </c>
      <c r="U180" s="772">
        <f t="shared" ca="1" si="69"/>
        <v>49923.862882230191</v>
      </c>
      <c r="V180" s="772">
        <f t="shared" ca="1" si="69"/>
        <v>49507.186231758911</v>
      </c>
      <c r="W180" s="772">
        <f t="shared" ca="1" si="69"/>
        <v>49049.279185645093</v>
      </c>
      <c r="X180" s="772">
        <f t="shared" ca="1" si="69"/>
        <v>48545.383657663486</v>
      </c>
      <c r="Y180" s="772">
        <f t="shared" ca="1" si="69"/>
        <v>47990.695161980475</v>
      </c>
      <c r="Z180" s="772">
        <f t="shared" ca="1" si="69"/>
        <v>49923.862882230191</v>
      </c>
      <c r="AA180" s="772">
        <f t="shared" ca="1" si="69"/>
        <v>49923.862882230191</v>
      </c>
      <c r="AB180" s="772">
        <f t="shared" ca="1" si="76"/>
        <v>49507.186231758911</v>
      </c>
      <c r="AC180" s="772">
        <f t="shared" ca="1" si="76"/>
        <v>49507.186231758911</v>
      </c>
      <c r="AD180" s="772">
        <f t="shared" ca="1" si="76"/>
        <v>49049.279185645093</v>
      </c>
      <c r="AE180" s="772">
        <f t="shared" ca="1" si="76"/>
        <v>49049.279185645093</v>
      </c>
      <c r="AF180" s="772">
        <f t="shared" ca="1" si="76"/>
        <v>48545.383657663486</v>
      </c>
      <c r="AG180" s="772">
        <f t="shared" ca="1" si="76"/>
        <v>48545.383657663486</v>
      </c>
      <c r="AH180" s="772">
        <f t="shared" ca="1" si="76"/>
        <v>48545.383657663486</v>
      </c>
      <c r="AI180" s="772">
        <f t="shared" ca="1" si="76"/>
        <v>49923.862882230191</v>
      </c>
      <c r="AJ180" s="772">
        <f t="shared" ca="1" si="76"/>
        <v>49923.862882230191</v>
      </c>
      <c r="AK180" s="772">
        <f t="shared" ca="1" si="76"/>
        <v>49507.186231758911</v>
      </c>
      <c r="AL180" s="772">
        <f t="shared" ca="1" si="76"/>
        <v>49507.186231758911</v>
      </c>
      <c r="AM180" s="772">
        <f t="shared" ca="1" si="76"/>
        <v>49049.279185645093</v>
      </c>
      <c r="AN180" s="772">
        <f t="shared" ca="1" si="76"/>
        <v>49049.279185645093</v>
      </c>
      <c r="AO180" s="772">
        <f t="shared" ca="1" si="76"/>
        <v>48545.383657663486</v>
      </c>
      <c r="AP180" s="772">
        <f t="shared" ca="1" si="76"/>
        <v>48545.383657663486</v>
      </c>
      <c r="AQ180" s="772">
        <f t="shared" ca="1" si="76"/>
        <v>48545.383657663486</v>
      </c>
      <c r="AR180" s="772">
        <f t="shared" ca="1" si="78"/>
        <v>49923.862882230191</v>
      </c>
      <c r="AS180" s="772">
        <f t="shared" ca="1" si="78"/>
        <v>49923.862882230191</v>
      </c>
      <c r="AT180" s="772">
        <f t="shared" ca="1" si="78"/>
        <v>49507.186231758911</v>
      </c>
      <c r="AU180" s="772">
        <f t="shared" ca="1" si="78"/>
        <v>49507.186231758911</v>
      </c>
      <c r="AV180" s="772">
        <f t="shared" ca="1" si="78"/>
        <v>49049.279185645093</v>
      </c>
      <c r="AW180" s="772">
        <f t="shared" ca="1" si="78"/>
        <v>49049.279185645093</v>
      </c>
      <c r="AX180" s="772">
        <f t="shared" ca="1" si="78"/>
        <v>48545.383657663486</v>
      </c>
      <c r="AY180" s="772">
        <f t="shared" ca="1" si="78"/>
        <v>48545.383657663486</v>
      </c>
      <c r="AZ180" s="772">
        <f t="shared" ca="1" si="78"/>
        <v>48545.383657663486</v>
      </c>
      <c r="BA180" s="772">
        <f t="shared" ca="1" si="78"/>
        <v>49923.862882230191</v>
      </c>
      <c r="BB180" s="772">
        <f t="shared" ca="1" si="78"/>
        <v>49923.862882230191</v>
      </c>
      <c r="BC180" s="772">
        <f t="shared" ca="1" si="78"/>
        <v>49507.186231758911</v>
      </c>
      <c r="BD180" s="772">
        <f t="shared" ca="1" si="78"/>
        <v>49049.279185645093</v>
      </c>
      <c r="BE180" s="772">
        <f t="shared" ca="1" si="78"/>
        <v>49049.279185645093</v>
      </c>
      <c r="BF180" s="772">
        <f t="shared" ca="1" si="78"/>
        <v>48545.383657663486</v>
      </c>
      <c r="BG180" s="772">
        <f t="shared" ca="1" si="78"/>
        <v>48545.383657663486</v>
      </c>
      <c r="BH180" s="772">
        <f t="shared" ca="1" si="75"/>
        <v>47990.695161980475</v>
      </c>
      <c r="BI180" s="772">
        <f t="shared" ca="1" si="75"/>
        <v>47990.695161980475</v>
      </c>
      <c r="BJ180" s="772">
        <f t="shared" ca="1" si="75"/>
        <v>49507.186231758911</v>
      </c>
      <c r="BK180" s="772">
        <f t="shared" ca="1" si="75"/>
        <v>49507.186231758911</v>
      </c>
      <c r="BL180" s="772">
        <f t="shared" ca="1" si="75"/>
        <v>49507.186231758911</v>
      </c>
      <c r="BM180" s="772">
        <f t="shared" ca="1" si="75"/>
        <v>49507.186231758911</v>
      </c>
      <c r="BN180" s="772">
        <f t="shared" ca="1" si="75"/>
        <v>48545.383657663486</v>
      </c>
      <c r="BO180" s="772">
        <f t="shared" ca="1" si="75"/>
        <v>48545.383657663486</v>
      </c>
      <c r="BP180" s="772">
        <f t="shared" ca="1" si="75"/>
        <v>47990.695161980475</v>
      </c>
      <c r="BQ180" s="772">
        <f t="shared" ca="1" si="75"/>
        <v>47990.695161980475</v>
      </c>
      <c r="BR180" s="772">
        <f t="shared" ca="1" si="75"/>
        <v>47380.645911511288</v>
      </c>
      <c r="BS180" s="772">
        <f t="shared" ca="1" si="75"/>
        <v>49507.186231758911</v>
      </c>
      <c r="BT180" s="772">
        <f t="shared" ca="1" si="75"/>
        <v>49507.186231758911</v>
      </c>
      <c r="BU180" s="772">
        <f t="shared" ca="1" si="75"/>
        <v>49507.186231758911</v>
      </c>
      <c r="BV180" s="772">
        <f t="shared" ca="1" si="75"/>
        <v>49049.279185645093</v>
      </c>
      <c r="BW180" s="772">
        <f t="shared" ca="1" si="75"/>
        <v>49049.279185645093</v>
      </c>
      <c r="BX180" s="772">
        <f t="shared" ca="1" si="79"/>
        <v>47990.695161980475</v>
      </c>
      <c r="BY180" s="772">
        <f t="shared" ca="1" si="79"/>
        <v>47990.695161980475</v>
      </c>
      <c r="BZ180" s="772">
        <f t="shared" ca="1" si="79"/>
        <v>47380.645911511288</v>
      </c>
      <c r="CA180" s="772">
        <f t="shared" ca="1" si="79"/>
        <v>47380.645911511288</v>
      </c>
      <c r="CB180" s="772">
        <f t="shared" ca="1" si="79"/>
        <v>49049.279185645093</v>
      </c>
      <c r="CC180" s="772">
        <f t="shared" ca="1" si="79"/>
        <v>49049.279185645093</v>
      </c>
      <c r="CD180" s="772">
        <f t="shared" ca="1" si="79"/>
        <v>49049.279185645093</v>
      </c>
      <c r="CE180" s="772">
        <f t="shared" ca="1" si="77"/>
        <v>49049.279185645093</v>
      </c>
      <c r="CF180" s="772">
        <f t="shared" ca="1" si="77"/>
        <v>48545.383657663486</v>
      </c>
      <c r="CG180" s="772">
        <f t="shared" ca="1" si="77"/>
        <v>47990.695161980475</v>
      </c>
      <c r="CH180" s="772">
        <f t="shared" ca="1" si="77"/>
        <v>47380.645911511288</v>
      </c>
      <c r="CI180" s="772">
        <f t="shared" ca="1" si="77"/>
        <v>47380.645911511288</v>
      </c>
      <c r="CJ180" s="772">
        <f t="shared" ca="1" si="77"/>
        <v>46711.294472222886</v>
      </c>
    </row>
    <row r="181" spans="1:88" ht="15" customHeight="1">
      <c r="A181" s="770">
        <f>'kc-Wert für Stützen'!C181</f>
        <v>233</v>
      </c>
      <c r="B181" s="768">
        <f ca="1">INDIRECT("'kc-Wert für Stützen'!"&amp;SUBSTITUTE(ADDRESS(MATCH($A181,'kc-Wert für Stützen'!$C:$C,0),MATCH(B$7,'kc-Wert für Stützen'!$A$8:$ES$8,0)+7,4),,))</f>
        <v>51128.980050174439</v>
      </c>
      <c r="C181" s="768">
        <f ca="1">INDIRECT("'kc-Wert für Stützen'!"&amp;SUBSTITUTE(ADDRESS(MATCH($A181,'kc-Wert für Stützen'!$C:$C,0),MATCH(C$7,'kc-Wert für Stützen'!$A$8:$ES$8,0)+7,4),,))</f>
        <v>50783.748570759191</v>
      </c>
      <c r="D181" s="768">
        <f ca="1">INDIRECT("'kc-Wert für Stützen'!"&amp;SUBSTITUTE(ADDRESS(MATCH($A181,'kc-Wert für Stützen'!$C:$C,0),MATCH(D$7,'kc-Wert für Stützen'!$A$8:$ES$8,0)+7,4),,))</f>
        <v>50406.498385681312</v>
      </c>
      <c r="E181" s="768">
        <f ca="1">INDIRECT("'kc-Wert für Stützen'!"&amp;SUBSTITUTE(ADDRESS(MATCH($A181,'kc-Wert für Stützen'!$C:$C,0),MATCH(E$7,'kc-Wert für Stützen'!$A$8:$ES$8,0)+7,4),,))</f>
        <v>49993.104706542035</v>
      </c>
      <c r="F181" s="768">
        <f ca="1">INDIRECT("'kc-Wert für Stützen'!"&amp;SUBSTITUTE(ADDRESS(MATCH($A181,'kc-Wert für Stützen'!$C:$C,0),MATCH(F$7,'kc-Wert für Stützen'!$A$8:$ES$8,0)+7,4),,))</f>
        <v>49539.099447768458</v>
      </c>
      <c r="G181" s="768">
        <f ca="1">INDIRECT("'kc-Wert für Stützen'!"&amp;SUBSTITUTE(ADDRESS(MATCH($A181,'kc-Wert für Stützen'!$C:$C,0),MATCH(G$7,'kc-Wert für Stützen'!$A$8:$ES$8,0)+7,4),,))</f>
        <v>49039.767095149022</v>
      </c>
      <c r="H181" s="768">
        <f ca="1">INDIRECT("'kc-Wert für Stützen'!"&amp;SUBSTITUTE(ADDRESS(MATCH($A181,'kc-Wert für Stützen'!$C:$C,0),MATCH(H$7,'kc-Wert für Stützen'!$A$8:$ES$8,0)+7,4),,))</f>
        <v>48490.315415516416</v>
      </c>
      <c r="I181" s="768">
        <f ca="1">INDIRECT("'kc-Wert für Stützen'!"&amp;SUBSTITUTE(ADDRESS(MATCH($A181,'kc-Wert für Stützen'!$C:$C,0),MATCH(I$7,'kc-Wert für Stützen'!$A$8:$ES$8,0)+7,4),,))</f>
        <v>47886.140525305702</v>
      </c>
      <c r="J181" s="768">
        <f ca="1">INDIRECT("'kc-Wert für Stützen'!"&amp;SUBSTITUTE(ADDRESS(MATCH($A181,'kc-Wert für Stützen'!$C:$C,0),MATCH(J$7,'kc-Wert für Stützen'!$A$8:$ES$8,0)+7,4),,))</f>
        <v>47223.196663228031</v>
      </c>
      <c r="K181" s="768">
        <f ca="1">INDIRECT("'kc-Wert für Stützen'!"&amp;SUBSTITUTE(ADDRESS(MATCH($A181,'kc-Wert für Stützen'!$C:$C,0),MATCH(K$7,'kc-Wert für Stützen'!$A$8:$ES$8,0)+7,4),,))</f>
        <v>46498.460178549642</v>
      </c>
      <c r="L181" s="768">
        <f ca="1">INDIRECT("'kc-Wert für Stützen'!"&amp;SUBSTITUTE(ADDRESS(MATCH($A181,'kc-Wert für Stützen'!$C:$C,0),MATCH(L$7,'kc-Wert für Stützen'!$A$8:$ES$8,0)+7,4),,))</f>
        <v>45710.444015859684</v>
      </c>
      <c r="M181" s="768">
        <f ca="1">INDIRECT("'kc-Wert für Stützen'!"&amp;SUBSTITUTE(ADDRESS(MATCH($A181,'kc-Wert für Stützen'!$C:$C,0),MATCH(M$7,'kc-Wert für Stützen'!$A$8:$ES$8,0)+7,4),,))</f>
        <v>44859.679923097596</v>
      </c>
      <c r="N181" s="768">
        <f ca="1">INDIRECT("'kc-Wert für Stützen'!"&amp;SUBSTITUTE(ADDRESS(MATCH($A181,'kc-Wert für Stützen'!$C:$C,0),MATCH(N$7,'kc-Wert für Stützen'!$A$8:$ES$8,0)+7,4),,))</f>
        <v>43949.056987805641</v>
      </c>
      <c r="O181" s="768">
        <f ca="1">INDIRECT("'kc-Wert für Stützen'!"&amp;SUBSTITUTE(ADDRESS(MATCH($A181,'kc-Wert für Stützen'!$C:$C,0),MATCH(O$7,'kc-Wert für Stützen'!$A$8:$ES$8,0)+7,4),,))</f>
        <v>42983.908168538692</v>
      </c>
      <c r="P181" s="768">
        <f ca="1">INDIRECT("'kc-Wert für Stützen'!"&amp;SUBSTITUTE(ADDRESS(MATCH($A181,'kc-Wert für Stützen'!$C:$C,0),MATCH(P$7,'kc-Wert für Stützen'!$A$8:$ES$8,0)+7,4),,))</f>
        <v>41971.78383024472</v>
      </c>
      <c r="S181" s="772">
        <f t="shared" ca="1" si="59"/>
        <v>50406.498385681312</v>
      </c>
      <c r="T181" s="772">
        <f t="shared" ca="1" si="69"/>
        <v>50406.498385681312</v>
      </c>
      <c r="U181" s="772">
        <f t="shared" ca="1" si="69"/>
        <v>50406.498385681312</v>
      </c>
      <c r="V181" s="772">
        <f t="shared" ca="1" si="69"/>
        <v>49993.104706542035</v>
      </c>
      <c r="W181" s="772">
        <f t="shared" ca="1" si="69"/>
        <v>49539.099447768458</v>
      </c>
      <c r="X181" s="772">
        <f t="shared" ca="1" si="69"/>
        <v>49039.767095149022</v>
      </c>
      <c r="Y181" s="772">
        <f t="shared" ca="1" si="69"/>
        <v>48490.315415516416</v>
      </c>
      <c r="Z181" s="772">
        <f t="shared" ca="1" si="69"/>
        <v>50406.498385681312</v>
      </c>
      <c r="AA181" s="772">
        <f t="shared" ca="1" si="69"/>
        <v>50406.498385681312</v>
      </c>
      <c r="AB181" s="772">
        <f t="shared" ca="1" si="76"/>
        <v>49993.104706542035</v>
      </c>
      <c r="AC181" s="772">
        <f t="shared" ca="1" si="76"/>
        <v>49993.104706542035</v>
      </c>
      <c r="AD181" s="772">
        <f t="shared" ca="1" si="76"/>
        <v>49539.099447768458</v>
      </c>
      <c r="AE181" s="772">
        <f t="shared" ca="1" si="76"/>
        <v>49539.099447768458</v>
      </c>
      <c r="AF181" s="772">
        <f t="shared" ca="1" si="76"/>
        <v>49039.767095149022</v>
      </c>
      <c r="AG181" s="772">
        <f t="shared" ca="1" si="76"/>
        <v>49039.767095149022</v>
      </c>
      <c r="AH181" s="772">
        <f t="shared" ca="1" si="76"/>
        <v>49039.767095149022</v>
      </c>
      <c r="AI181" s="772">
        <f t="shared" ca="1" si="76"/>
        <v>50406.498385681312</v>
      </c>
      <c r="AJ181" s="772">
        <f t="shared" ca="1" si="76"/>
        <v>50406.498385681312</v>
      </c>
      <c r="AK181" s="772">
        <f t="shared" ca="1" si="76"/>
        <v>49993.104706542035</v>
      </c>
      <c r="AL181" s="772">
        <f t="shared" ca="1" si="76"/>
        <v>49993.104706542035</v>
      </c>
      <c r="AM181" s="772">
        <f t="shared" ca="1" si="76"/>
        <v>49539.099447768458</v>
      </c>
      <c r="AN181" s="772">
        <f t="shared" ca="1" si="76"/>
        <v>49539.099447768458</v>
      </c>
      <c r="AO181" s="772">
        <f t="shared" ca="1" si="76"/>
        <v>49039.767095149022</v>
      </c>
      <c r="AP181" s="772">
        <f t="shared" ca="1" si="76"/>
        <v>49039.767095149022</v>
      </c>
      <c r="AQ181" s="772">
        <f t="shared" ca="1" si="76"/>
        <v>49039.767095149022</v>
      </c>
      <c r="AR181" s="772">
        <f t="shared" ca="1" si="78"/>
        <v>50406.498385681312</v>
      </c>
      <c r="AS181" s="772">
        <f t="shared" ca="1" si="78"/>
        <v>50406.498385681312</v>
      </c>
      <c r="AT181" s="772">
        <f t="shared" ca="1" si="78"/>
        <v>49993.104706542035</v>
      </c>
      <c r="AU181" s="772">
        <f t="shared" ca="1" si="78"/>
        <v>49993.104706542035</v>
      </c>
      <c r="AV181" s="772">
        <f t="shared" ca="1" si="78"/>
        <v>49539.099447768458</v>
      </c>
      <c r="AW181" s="772">
        <f t="shared" ca="1" si="78"/>
        <v>49539.099447768458</v>
      </c>
      <c r="AX181" s="772">
        <f t="shared" ca="1" si="78"/>
        <v>49039.767095149022</v>
      </c>
      <c r="AY181" s="772">
        <f t="shared" ca="1" si="78"/>
        <v>49039.767095149022</v>
      </c>
      <c r="AZ181" s="772">
        <f t="shared" ca="1" si="78"/>
        <v>49039.767095149022</v>
      </c>
      <c r="BA181" s="772">
        <f t="shared" ca="1" si="78"/>
        <v>50406.498385681312</v>
      </c>
      <c r="BB181" s="772">
        <f t="shared" ca="1" si="78"/>
        <v>50406.498385681312</v>
      </c>
      <c r="BC181" s="772">
        <f t="shared" ca="1" si="78"/>
        <v>49993.104706542035</v>
      </c>
      <c r="BD181" s="772">
        <f t="shared" ca="1" si="78"/>
        <v>49539.099447768458</v>
      </c>
      <c r="BE181" s="772">
        <f t="shared" ca="1" si="78"/>
        <v>49539.099447768458</v>
      </c>
      <c r="BF181" s="772">
        <f t="shared" ca="1" si="78"/>
        <v>49039.767095149022</v>
      </c>
      <c r="BG181" s="772">
        <f t="shared" ca="1" si="78"/>
        <v>49039.767095149022</v>
      </c>
      <c r="BH181" s="772">
        <f ca="1">HLOOKUP(BH$7,$A$7:$P$348,ROW()-6)</f>
        <v>48490.315415516416</v>
      </c>
      <c r="BI181" s="772">
        <f ca="1">HLOOKUP(BI$7,$A$7:$P$348,ROW()-6)</f>
        <v>48490.315415516416</v>
      </c>
      <c r="BJ181" s="772">
        <f ca="1">HLOOKUP(BJ$7,$A$7:$P$348,ROW()-6)</f>
        <v>49993.104706542035</v>
      </c>
      <c r="BK181" s="772">
        <f t="shared" ref="BH181:BW201" ca="1" si="80">HLOOKUP(BK$7,$A$7:$P$348,ROW()-6)</f>
        <v>49993.104706542035</v>
      </c>
      <c r="BL181" s="772">
        <f t="shared" ca="1" si="80"/>
        <v>49993.104706542035</v>
      </c>
      <c r="BM181" s="772">
        <f t="shared" ca="1" si="80"/>
        <v>49993.104706542035</v>
      </c>
      <c r="BN181" s="772">
        <f t="shared" ca="1" si="80"/>
        <v>49039.767095149022</v>
      </c>
      <c r="BO181" s="772">
        <f t="shared" ref="BO181:BW187" ca="1" si="81">HLOOKUP(BO$7,$A$7:$P$348,ROW()-6)</f>
        <v>49039.767095149022</v>
      </c>
      <c r="BP181" s="772">
        <f t="shared" ca="1" si="81"/>
        <v>48490.315415516416</v>
      </c>
      <c r="BQ181" s="772">
        <f t="shared" ca="1" si="81"/>
        <v>48490.315415516416</v>
      </c>
      <c r="BR181" s="772">
        <f t="shared" ca="1" si="81"/>
        <v>47886.140525305702</v>
      </c>
      <c r="BS181" s="772">
        <f t="shared" ca="1" si="81"/>
        <v>49993.104706542035</v>
      </c>
      <c r="BT181" s="772">
        <f t="shared" ca="1" si="81"/>
        <v>49993.104706542035</v>
      </c>
      <c r="BU181" s="772">
        <f t="shared" ca="1" si="81"/>
        <v>49993.104706542035</v>
      </c>
      <c r="BV181" s="772">
        <f t="shared" ca="1" si="81"/>
        <v>49539.099447768458</v>
      </c>
      <c r="BW181" s="772">
        <f t="shared" ca="1" si="81"/>
        <v>49539.099447768458</v>
      </c>
      <c r="BX181" s="772">
        <f t="shared" ca="1" si="79"/>
        <v>48490.315415516416</v>
      </c>
      <c r="BY181" s="772">
        <f t="shared" ca="1" si="79"/>
        <v>48490.315415516416</v>
      </c>
      <c r="BZ181" s="772">
        <f t="shared" ca="1" si="79"/>
        <v>47886.140525305702</v>
      </c>
      <c r="CA181" s="772">
        <f t="shared" ca="1" si="79"/>
        <v>47886.140525305702</v>
      </c>
      <c r="CB181" s="772">
        <f t="shared" ca="1" si="79"/>
        <v>49539.099447768458</v>
      </c>
      <c r="CC181" s="772">
        <f t="shared" ca="1" si="79"/>
        <v>49539.099447768458</v>
      </c>
      <c r="CD181" s="772">
        <f t="shared" ca="1" si="79"/>
        <v>49539.099447768458</v>
      </c>
      <c r="CE181" s="772">
        <f t="shared" ca="1" si="77"/>
        <v>49539.099447768458</v>
      </c>
      <c r="CF181" s="772">
        <f t="shared" ca="1" si="77"/>
        <v>49039.767095149022</v>
      </c>
      <c r="CG181" s="772">
        <f t="shared" ca="1" si="77"/>
        <v>48490.315415516416</v>
      </c>
      <c r="CH181" s="772">
        <f t="shared" ca="1" si="77"/>
        <v>47886.140525305702</v>
      </c>
      <c r="CI181" s="772">
        <f t="shared" ca="1" si="77"/>
        <v>47886.140525305702</v>
      </c>
      <c r="CJ181" s="772">
        <f t="shared" ca="1" si="77"/>
        <v>47223.196663228031</v>
      </c>
    </row>
    <row r="182" spans="1:88" ht="15" customHeight="1">
      <c r="A182" s="770">
        <f>'kc-Wert für Stützen'!C182</f>
        <v>234</v>
      </c>
      <c r="B182" s="768">
        <f ca="1">INDIRECT("'kc-Wert für Stützen'!"&amp;SUBSTITUTE(ADDRESS(MATCH($A182,'kc-Wert für Stützen'!$C:$C,0),MATCH(B$7,'kc-Wert für Stützen'!$A$8:$ES$8,0)+7,4),,))</f>
        <v>51608.481649007706</v>
      </c>
      <c r="C182" s="768">
        <f ca="1">INDIRECT("'kc-Wert für Stützen'!"&amp;SUBSTITUTE(ADDRESS(MATCH($A182,'kc-Wert für Stützen'!$C:$C,0),MATCH(C$7,'kc-Wert für Stützen'!$A$8:$ES$8,0)+7,4),,))</f>
        <v>51265.421780641685</v>
      </c>
      <c r="D182" s="768">
        <f ca="1">INDIRECT("'kc-Wert für Stützen'!"&amp;SUBSTITUTE(ADDRESS(MATCH($A182,'kc-Wert für Stützen'!$C:$C,0),MATCH(D$7,'kc-Wert für Stützen'!$A$8:$ES$8,0)+7,4),,))</f>
        <v>50890.828250865306</v>
      </c>
      <c r="E182" s="768">
        <f ca="1">INDIRECT("'kc-Wert für Stützen'!"&amp;SUBSTITUTE(ADDRESS(MATCH($A182,'kc-Wert für Stützen'!$C:$C,0),MATCH(E$7,'kc-Wert für Stützen'!$A$8:$ES$8,0)+7,4),,))</f>
        <v>50480.640811688252</v>
      </c>
      <c r="F182" s="768">
        <f ca="1">INDIRECT("'kc-Wert für Stützen'!"&amp;SUBSTITUTE(ADDRESS(MATCH($A182,'kc-Wert für Stützen'!$C:$C,0),MATCH(F$7,'kc-Wert für Stützen'!$A$8:$ES$8,0)+7,4),,))</f>
        <v>50030.450874820555</v>
      </c>
      <c r="G182" s="768">
        <f ca="1">INDIRECT("'kc-Wert für Stützen'!"&amp;SUBSTITUTE(ADDRESS(MATCH($A182,'kc-Wert für Stützen'!$C:$C,0),MATCH(G$7,'kc-Wert für Stützen'!$A$8:$ES$8,0)+7,4),,))</f>
        <v>49535.58803479698</v>
      </c>
      <c r="H182" s="768">
        <f ca="1">INDIRECT("'kc-Wert für Stützen'!"&amp;SUBSTITUTE(ADDRESS(MATCH($A182,'kc-Wert für Stützen'!$C:$C,0),MATCH(H$7,'kc-Wert für Stützen'!$A$8:$ES$8,0)+7,4),,))</f>
        <v>48991.277404731751</v>
      </c>
      <c r="I182" s="768">
        <f ca="1">INDIRECT("'kc-Wert für Stützen'!"&amp;SUBSTITUTE(ADDRESS(MATCH($A182,'kc-Wert für Stützen'!$C:$C,0),MATCH(I$7,'kc-Wert für Stützen'!$A$8:$ES$8,0)+7,4),,))</f>
        <v>48392.887415684025</v>
      </c>
      <c r="J182" s="768">
        <f ca="1">INDIRECT("'kc-Wert für Stützen'!"&amp;SUBSTITUTE(ADDRESS(MATCH($A182,'kc-Wert für Stützen'!$C:$C,0),MATCH(J$7,'kc-Wert für Stützen'!$A$8:$ES$8,0)+7,4),,))</f>
        <v>47736.28009322565</v>
      </c>
      <c r="K182" s="768">
        <f ca="1">INDIRECT("'kc-Wert für Stützen'!"&amp;SUBSTITUTE(ADDRESS(MATCH($A182,'kc-Wert für Stützen'!$C:$C,0),MATCH(K$7,'kc-Wert für Stützen'!$A$8:$ES$8,0)+7,4),,))</f>
        <v>47018.257281931052</v>
      </c>
      <c r="L182" s="768">
        <f ca="1">INDIRECT("'kc-Wert für Stützen'!"&amp;SUBSTITUTE(ADDRESS(MATCH($A182,'kc-Wert für Stützen'!$C:$C,0),MATCH(L$7,'kc-Wert für Stützen'!$A$8:$ES$8,0)+7,4),,))</f>
        <v>46237.065458794401</v>
      </c>
      <c r="M182" s="768">
        <f ca="1">INDIRECT("'kc-Wert für Stützen'!"&amp;SUBSTITUTE(ADDRESS(MATCH($A182,'kc-Wert für Stützen'!$C:$C,0),MATCH(M$7,'kc-Wert für Stützen'!$A$8:$ES$8,0)+7,4),,))</f>
        <v>45392.883735822674</v>
      </c>
      <c r="N182" s="768">
        <f ca="1">INDIRECT("'kc-Wert für Stützen'!"&amp;SUBSTITUTE(ADDRESS(MATCH($A182,'kc-Wert für Stützen'!$C:$C,0),MATCH(N$7,'kc-Wert für Stützen'!$A$8:$ES$8,0)+7,4),,))</f>
        <v>44488.188787111518</v>
      </c>
      <c r="O182" s="768">
        <f ca="1">INDIRECT("'kc-Wert für Stützen'!"&amp;SUBSTITUTE(ADDRESS(MATCH($A182,'kc-Wert für Stützen'!$C:$C,0),MATCH(O$7,'kc-Wert für Stützen'!$A$8:$ES$8,0)+7,4),,))</f>
        <v>43527.887259124283</v>
      </c>
      <c r="P182" s="768">
        <f ca="1">INDIRECT("'kc-Wert für Stützen'!"&amp;SUBSTITUTE(ADDRESS(MATCH($A182,'kc-Wert für Stützen'!$C:$C,0),MATCH(P$7,'kc-Wert für Stützen'!$A$8:$ES$8,0)+7,4),,))</f>
        <v>42519.145366928286</v>
      </c>
      <c r="S182" s="772">
        <f t="shared" ca="1" si="59"/>
        <v>50890.828250865306</v>
      </c>
      <c r="T182" s="772">
        <f t="shared" ca="1" si="69"/>
        <v>50890.828250865306</v>
      </c>
      <c r="U182" s="772">
        <f t="shared" ca="1" si="69"/>
        <v>50890.828250865306</v>
      </c>
      <c r="V182" s="772">
        <f t="shared" ca="1" si="69"/>
        <v>50480.640811688252</v>
      </c>
      <c r="W182" s="772">
        <f t="shared" ca="1" si="69"/>
        <v>50030.450874820555</v>
      </c>
      <c r="X182" s="772">
        <f t="shared" ca="1" si="69"/>
        <v>49535.58803479698</v>
      </c>
      <c r="Y182" s="772">
        <f t="shared" ca="1" si="69"/>
        <v>48991.277404731751</v>
      </c>
      <c r="Z182" s="772">
        <f t="shared" ca="1" si="69"/>
        <v>50890.828250865306</v>
      </c>
      <c r="AA182" s="772">
        <f t="shared" ca="1" si="69"/>
        <v>50890.828250865306</v>
      </c>
      <c r="AB182" s="772">
        <f t="shared" ca="1" si="76"/>
        <v>50480.640811688252</v>
      </c>
      <c r="AC182" s="772">
        <f t="shared" ca="1" si="76"/>
        <v>50480.640811688252</v>
      </c>
      <c r="AD182" s="772">
        <f t="shared" ca="1" si="76"/>
        <v>50030.450874820555</v>
      </c>
      <c r="AE182" s="772">
        <f t="shared" ca="1" si="76"/>
        <v>50030.450874820555</v>
      </c>
      <c r="AF182" s="772">
        <f t="shared" ca="1" si="76"/>
        <v>49535.58803479698</v>
      </c>
      <c r="AG182" s="772">
        <f t="shared" ca="1" si="76"/>
        <v>49535.58803479698</v>
      </c>
      <c r="AH182" s="772">
        <f t="shared" ca="1" si="76"/>
        <v>49535.58803479698</v>
      </c>
      <c r="AI182" s="772">
        <f t="shared" ca="1" si="76"/>
        <v>50890.828250865306</v>
      </c>
      <c r="AJ182" s="772">
        <f t="shared" ca="1" si="76"/>
        <v>50890.828250865306</v>
      </c>
      <c r="AK182" s="772">
        <f t="shared" ca="1" si="76"/>
        <v>50480.640811688252</v>
      </c>
      <c r="AL182" s="772">
        <f t="shared" ca="1" si="76"/>
        <v>50480.640811688252</v>
      </c>
      <c r="AM182" s="772">
        <f t="shared" ca="1" si="76"/>
        <v>50030.450874820555</v>
      </c>
      <c r="AN182" s="772">
        <f t="shared" ca="1" si="76"/>
        <v>50030.450874820555</v>
      </c>
      <c r="AO182" s="772">
        <f t="shared" ca="1" si="76"/>
        <v>49535.58803479698</v>
      </c>
      <c r="AP182" s="772">
        <f t="shared" ca="1" si="76"/>
        <v>49535.58803479698</v>
      </c>
      <c r="AQ182" s="772">
        <f t="shared" ca="1" si="76"/>
        <v>49535.58803479698</v>
      </c>
      <c r="AR182" s="772">
        <f t="shared" ca="1" si="78"/>
        <v>50890.828250865306</v>
      </c>
      <c r="AS182" s="772">
        <f t="shared" ca="1" si="78"/>
        <v>50890.828250865306</v>
      </c>
      <c r="AT182" s="772">
        <f t="shared" ca="1" si="78"/>
        <v>50480.640811688252</v>
      </c>
      <c r="AU182" s="772">
        <f t="shared" ca="1" si="78"/>
        <v>50480.640811688252</v>
      </c>
      <c r="AV182" s="772">
        <f t="shared" ca="1" si="78"/>
        <v>50030.450874820555</v>
      </c>
      <c r="AW182" s="772">
        <f t="shared" ca="1" si="78"/>
        <v>50030.450874820555</v>
      </c>
      <c r="AX182" s="772">
        <f t="shared" ca="1" si="78"/>
        <v>49535.58803479698</v>
      </c>
      <c r="AY182" s="772">
        <f t="shared" ca="1" si="78"/>
        <v>49535.58803479698</v>
      </c>
      <c r="AZ182" s="772">
        <f t="shared" ca="1" si="78"/>
        <v>49535.58803479698</v>
      </c>
      <c r="BA182" s="772">
        <f t="shared" ca="1" si="78"/>
        <v>50890.828250865306</v>
      </c>
      <c r="BB182" s="772">
        <f t="shared" ca="1" si="78"/>
        <v>50890.828250865306</v>
      </c>
      <c r="BC182" s="772">
        <f t="shared" ca="1" si="78"/>
        <v>50480.640811688252</v>
      </c>
      <c r="BD182" s="772">
        <f t="shared" ca="1" si="78"/>
        <v>50030.450874820555</v>
      </c>
      <c r="BE182" s="772">
        <f t="shared" ca="1" si="78"/>
        <v>50030.450874820555</v>
      </c>
      <c r="BF182" s="772">
        <f t="shared" ca="1" si="78"/>
        <v>49535.58803479698</v>
      </c>
      <c r="BG182" s="772">
        <f t="shared" ca="1" si="78"/>
        <v>49535.58803479698</v>
      </c>
      <c r="BH182" s="772">
        <f t="shared" ca="1" si="80"/>
        <v>48991.277404731751</v>
      </c>
      <c r="BI182" s="772">
        <f t="shared" ca="1" si="80"/>
        <v>48991.277404731751</v>
      </c>
      <c r="BJ182" s="772">
        <f t="shared" ca="1" si="80"/>
        <v>50480.640811688252</v>
      </c>
      <c r="BK182" s="772">
        <f t="shared" ca="1" si="80"/>
        <v>50480.640811688252</v>
      </c>
      <c r="BL182" s="772">
        <f t="shared" ca="1" si="80"/>
        <v>50480.640811688252</v>
      </c>
      <c r="BM182" s="772">
        <f t="shared" ca="1" si="80"/>
        <v>50480.640811688252</v>
      </c>
      <c r="BN182" s="772">
        <f t="shared" ca="1" si="80"/>
        <v>49535.58803479698</v>
      </c>
      <c r="BO182" s="772">
        <f t="shared" ca="1" si="81"/>
        <v>49535.58803479698</v>
      </c>
      <c r="BP182" s="772">
        <f t="shared" ca="1" si="81"/>
        <v>48991.277404731751</v>
      </c>
      <c r="BQ182" s="772">
        <f t="shared" ca="1" si="81"/>
        <v>48991.277404731751</v>
      </c>
      <c r="BR182" s="772">
        <f t="shared" ca="1" si="81"/>
        <v>48392.887415684025</v>
      </c>
      <c r="BS182" s="772">
        <f t="shared" ca="1" si="81"/>
        <v>50480.640811688252</v>
      </c>
      <c r="BT182" s="772">
        <f t="shared" ca="1" si="81"/>
        <v>50480.640811688252</v>
      </c>
      <c r="BU182" s="772">
        <f t="shared" ca="1" si="81"/>
        <v>50480.640811688252</v>
      </c>
      <c r="BV182" s="772">
        <f t="shared" ca="1" si="81"/>
        <v>50030.450874820555</v>
      </c>
      <c r="BW182" s="772">
        <f t="shared" ca="1" si="81"/>
        <v>50030.450874820555</v>
      </c>
      <c r="BX182" s="772">
        <f t="shared" ca="1" si="79"/>
        <v>48991.277404731751</v>
      </c>
      <c r="BY182" s="772">
        <f t="shared" ca="1" si="79"/>
        <v>48991.277404731751</v>
      </c>
      <c r="BZ182" s="772">
        <f t="shared" ca="1" si="79"/>
        <v>48392.887415684025</v>
      </c>
      <c r="CA182" s="772">
        <f t="shared" ca="1" si="79"/>
        <v>48392.887415684025</v>
      </c>
      <c r="CB182" s="772">
        <f t="shared" ca="1" si="79"/>
        <v>50030.450874820555</v>
      </c>
      <c r="CC182" s="772">
        <f t="shared" ca="1" si="79"/>
        <v>50030.450874820555</v>
      </c>
      <c r="CD182" s="772">
        <f t="shared" ca="1" si="79"/>
        <v>50030.450874820555</v>
      </c>
      <c r="CE182" s="772">
        <f t="shared" ca="1" si="77"/>
        <v>50030.450874820555</v>
      </c>
      <c r="CF182" s="772">
        <f t="shared" ca="1" si="77"/>
        <v>49535.58803479698</v>
      </c>
      <c r="CG182" s="772">
        <f t="shared" ca="1" si="77"/>
        <v>48991.277404731751</v>
      </c>
      <c r="CH182" s="772">
        <f t="shared" ca="1" si="77"/>
        <v>48392.887415684025</v>
      </c>
      <c r="CI182" s="772">
        <f t="shared" ca="1" si="77"/>
        <v>48392.887415684025</v>
      </c>
      <c r="CJ182" s="772">
        <f t="shared" ca="1" si="77"/>
        <v>47736.28009322565</v>
      </c>
    </row>
    <row r="183" spans="1:88" ht="15" customHeight="1">
      <c r="A183" s="770">
        <f>'kc-Wert für Stützen'!C183</f>
        <v>235</v>
      </c>
      <c r="B183" s="768">
        <f ca="1">INDIRECT("'kc-Wert für Stützen'!"&amp;SUBSTITUTE(ADDRESS(MATCH($A183,'kc-Wert für Stützen'!$C:$C,0),MATCH(B$7,'kc-Wert für Stützen'!$A$8:$ES$8,0)+7,4),,))</f>
        <v>52089.80587963431</v>
      </c>
      <c r="C183" s="768">
        <f ca="1">INDIRECT("'kc-Wert für Stützen'!"&amp;SUBSTITUTE(ADDRESS(MATCH($A183,'kc-Wert für Stützen'!$C:$C,0),MATCH(C$7,'kc-Wert für Stützen'!$A$8:$ES$8,0)+7,4),,))</f>
        <v>51748.863048820618</v>
      </c>
      <c r="D183" s="768">
        <f ca="1">INDIRECT("'kc-Wert für Stützen'!"&amp;SUBSTITUTE(ADDRESS(MATCH($A183,'kc-Wert für Stützen'!$C:$C,0),MATCH(D$7,'kc-Wert für Stützen'!$A$8:$ES$8,0)+7,4),,))</f>
        <v>51376.861556714575</v>
      </c>
      <c r="E183" s="768">
        <f ca="1">INDIRECT("'kc-Wert für Stützen'!"&amp;SUBSTITUTE(ADDRESS(MATCH($A183,'kc-Wert für Stützen'!$C:$C,0),MATCH(E$7,'kc-Wert für Stützen'!$A$8:$ES$8,0)+7,4),,))</f>
        <v>50969.805303481058</v>
      </c>
      <c r="F183" s="768">
        <f ca="1">INDIRECT("'kc-Wert für Stützen'!"&amp;SUBSTITUTE(ADDRESS(MATCH($A183,'kc-Wert für Stützen'!$C:$C,0),MATCH(F$7,'kc-Wert für Stützen'!$A$8:$ES$8,0)+7,4),,))</f>
        <v>50523.345795802124</v>
      </c>
      <c r="G183" s="768">
        <f ca="1">INDIRECT("'kc-Wert für Stützen'!"&amp;SUBSTITUTE(ADDRESS(MATCH($A183,'kc-Wert für Stützen'!$C:$C,0),MATCH(G$7,'kc-Wert für Stützen'!$A$8:$ES$8,0)+7,4),,))</f>
        <v>50032.859962785857</v>
      </c>
      <c r="H183" s="768">
        <f ca="1">INDIRECT("'kc-Wert für Stützen'!"&amp;SUBSTITUTE(ADDRESS(MATCH($A183,'kc-Wert für Stützen'!$C:$C,0),MATCH(H$7,'kc-Wert für Stützen'!$A$8:$ES$8,0)+7,4),,))</f>
        <v>49493.594892439454</v>
      </c>
      <c r="I183" s="768">
        <f ca="1">INDIRECT("'kc-Wert für Stützen'!"&amp;SUBSTITUTE(ADDRESS(MATCH($A183,'kc-Wert für Stützen'!$C:$C,0),MATCH(I$7,'kc-Wert für Stützen'!$A$8:$ES$8,0)+7,4),,))</f>
        <v>48900.899128091631</v>
      </c>
      <c r="J183" s="768">
        <f ca="1">INDIRECT("'kc-Wert für Stützen'!"&amp;SUBSTITUTE(ADDRESS(MATCH($A183,'kc-Wert für Stützen'!$C:$C,0),MATCH(J$7,'kc-Wert für Stützen'!$A$8:$ES$8,0)+7,4),,))</f>
        <v>48250.553905974128</v>
      </c>
      <c r="K183" s="768">
        <f ca="1">INDIRECT("'kc-Wert für Stützen'!"&amp;SUBSTITUTE(ADDRESS(MATCH($A183,'kc-Wert für Stützen'!$C:$C,0),MATCH(K$7,'kc-Wert für Stützen'!$A$8:$ES$8,0)+7,4),,))</f>
        <v>47539.201313718877</v>
      </c>
      <c r="L183" s="768">
        <f ca="1">INDIRECT("'kc-Wert für Stützen'!"&amp;SUBSTITUTE(ADDRESS(MATCH($A183,'kc-Wert für Stützen'!$C:$C,0),MATCH(L$7,'kc-Wert für Stützen'!$A$8:$ES$8,0)+7,4),,))</f>
        <v>46764.837909429159</v>
      </c>
      <c r="M183" s="768">
        <f ca="1">INDIRECT("'kc-Wert für Stützen'!"&amp;SUBSTITUTE(ADDRESS(MATCH($A183,'kc-Wert für Stützen'!$C:$C,0),MATCH(M$7,'kc-Wert für Stützen'!$A$8:$ES$8,0)+7,4),,))</f>
        <v>45927.305608638351</v>
      </c>
      <c r="N183" s="768">
        <f ca="1">INDIRECT("'kc-Wert für Stützen'!"&amp;SUBSTITUTE(ADDRESS(MATCH($A183,'kc-Wert für Stützen'!$C:$C,0),MATCH(N$7,'kc-Wert für Stützen'!$A$8:$ES$8,0)+7,4),,))</f>
        <v>45028.679188968112</v>
      </c>
      <c r="O183" s="768">
        <f ca="1">INDIRECT("'kc-Wert für Stützen'!"&amp;SUBSTITUTE(ADDRESS(MATCH($A183,'kc-Wert für Stützen'!$C:$C,0),MATCH(O$7,'kc-Wert für Stützen'!$A$8:$ES$8,0)+7,4),,))</f>
        <v>44073.441087993335</v>
      </c>
      <c r="P183" s="768">
        <f ca="1">INDIRECT("'kc-Wert für Stützen'!"&amp;SUBSTITUTE(ADDRESS(MATCH($A183,'kc-Wert für Stützen'!$C:$C,0),MATCH(P$7,'kc-Wert für Stützen'!$A$8:$ES$8,0)+7,4),,))</f>
        <v>43068.365393625056</v>
      </c>
      <c r="S183" s="772">
        <f t="shared" ca="1" si="59"/>
        <v>51376.861556714575</v>
      </c>
      <c r="T183" s="772">
        <f t="shared" ca="1" si="69"/>
        <v>51376.861556714575</v>
      </c>
      <c r="U183" s="772">
        <f t="shared" ca="1" si="69"/>
        <v>51376.861556714575</v>
      </c>
      <c r="V183" s="772">
        <f t="shared" ca="1" si="69"/>
        <v>50969.805303481058</v>
      </c>
      <c r="W183" s="772">
        <f t="shared" ca="1" si="69"/>
        <v>50523.345795802124</v>
      </c>
      <c r="X183" s="772">
        <f t="shared" ca="1" si="69"/>
        <v>50032.859962785857</v>
      </c>
      <c r="Y183" s="772">
        <f t="shared" ca="1" si="69"/>
        <v>49493.594892439454</v>
      </c>
      <c r="Z183" s="772">
        <f t="shared" ca="1" si="69"/>
        <v>51376.861556714575</v>
      </c>
      <c r="AA183" s="772">
        <f t="shared" ca="1" si="69"/>
        <v>51376.861556714575</v>
      </c>
      <c r="AB183" s="772">
        <f t="shared" ca="1" si="76"/>
        <v>50969.805303481058</v>
      </c>
      <c r="AC183" s="772">
        <f t="shared" ca="1" si="76"/>
        <v>50969.805303481058</v>
      </c>
      <c r="AD183" s="772">
        <f t="shared" ca="1" si="76"/>
        <v>50523.345795802124</v>
      </c>
      <c r="AE183" s="772">
        <f t="shared" ca="1" si="76"/>
        <v>50523.345795802124</v>
      </c>
      <c r="AF183" s="772">
        <f t="shared" ca="1" si="76"/>
        <v>50032.859962785857</v>
      </c>
      <c r="AG183" s="772">
        <f t="shared" ca="1" si="76"/>
        <v>50032.859962785857</v>
      </c>
      <c r="AH183" s="772">
        <f t="shared" ca="1" si="76"/>
        <v>50032.859962785857</v>
      </c>
      <c r="AI183" s="772">
        <f t="shared" ca="1" si="76"/>
        <v>51376.861556714575</v>
      </c>
      <c r="AJ183" s="772">
        <f t="shared" ca="1" si="76"/>
        <v>51376.861556714575</v>
      </c>
      <c r="AK183" s="772">
        <f t="shared" ca="1" si="76"/>
        <v>50969.805303481058</v>
      </c>
      <c r="AL183" s="772">
        <f t="shared" ca="1" si="76"/>
        <v>50969.805303481058</v>
      </c>
      <c r="AM183" s="772">
        <f t="shared" ca="1" si="76"/>
        <v>50523.345795802124</v>
      </c>
      <c r="AN183" s="772">
        <f t="shared" ca="1" si="76"/>
        <v>50523.345795802124</v>
      </c>
      <c r="AO183" s="772">
        <f t="shared" ca="1" si="76"/>
        <v>50032.859962785857</v>
      </c>
      <c r="AP183" s="772">
        <f t="shared" ca="1" si="76"/>
        <v>50032.859962785857</v>
      </c>
      <c r="AQ183" s="772">
        <f t="shared" ca="1" si="76"/>
        <v>50032.859962785857</v>
      </c>
      <c r="AR183" s="772">
        <f t="shared" ca="1" si="78"/>
        <v>51376.861556714575</v>
      </c>
      <c r="AS183" s="772">
        <f t="shared" ca="1" si="78"/>
        <v>51376.861556714575</v>
      </c>
      <c r="AT183" s="772">
        <f t="shared" ca="1" si="78"/>
        <v>50969.805303481058</v>
      </c>
      <c r="AU183" s="772">
        <f t="shared" ca="1" si="78"/>
        <v>50969.805303481058</v>
      </c>
      <c r="AV183" s="772">
        <f t="shared" ca="1" si="78"/>
        <v>50523.345795802124</v>
      </c>
      <c r="AW183" s="772">
        <f t="shared" ca="1" si="78"/>
        <v>50523.345795802124</v>
      </c>
      <c r="AX183" s="772">
        <f t="shared" ca="1" si="78"/>
        <v>50032.859962785857</v>
      </c>
      <c r="AY183" s="772">
        <f t="shared" ca="1" si="78"/>
        <v>50032.859962785857</v>
      </c>
      <c r="AZ183" s="772">
        <f t="shared" ca="1" si="78"/>
        <v>50032.859962785857</v>
      </c>
      <c r="BA183" s="772">
        <f t="shared" ca="1" si="78"/>
        <v>51376.861556714575</v>
      </c>
      <c r="BB183" s="772">
        <f t="shared" ca="1" si="78"/>
        <v>51376.861556714575</v>
      </c>
      <c r="BC183" s="772">
        <f t="shared" ca="1" si="78"/>
        <v>50969.805303481058</v>
      </c>
      <c r="BD183" s="772">
        <f t="shared" ca="1" si="78"/>
        <v>50523.345795802124</v>
      </c>
      <c r="BE183" s="772">
        <f t="shared" ca="1" si="78"/>
        <v>50523.345795802124</v>
      </c>
      <c r="BF183" s="772">
        <f t="shared" ca="1" si="78"/>
        <v>50032.859962785857</v>
      </c>
      <c r="BG183" s="772">
        <f t="shared" ca="1" si="78"/>
        <v>50032.859962785857</v>
      </c>
      <c r="BH183" s="772">
        <f t="shared" ca="1" si="80"/>
        <v>49493.594892439454</v>
      </c>
      <c r="BI183" s="772">
        <f t="shared" ca="1" si="80"/>
        <v>49493.594892439454</v>
      </c>
      <c r="BJ183" s="772">
        <f t="shared" ca="1" si="80"/>
        <v>50969.805303481058</v>
      </c>
      <c r="BK183" s="772">
        <f t="shared" ca="1" si="80"/>
        <v>50969.805303481058</v>
      </c>
      <c r="BL183" s="772">
        <f t="shared" ca="1" si="80"/>
        <v>50969.805303481058</v>
      </c>
      <c r="BM183" s="772">
        <f t="shared" ca="1" si="80"/>
        <v>50969.805303481058</v>
      </c>
      <c r="BN183" s="772">
        <f t="shared" ca="1" si="80"/>
        <v>50032.859962785857</v>
      </c>
      <c r="BO183" s="772">
        <f t="shared" ca="1" si="81"/>
        <v>50032.859962785857</v>
      </c>
      <c r="BP183" s="772">
        <f t="shared" ca="1" si="81"/>
        <v>49493.594892439454</v>
      </c>
      <c r="BQ183" s="772">
        <f t="shared" ca="1" si="81"/>
        <v>49493.594892439454</v>
      </c>
      <c r="BR183" s="772">
        <f t="shared" ca="1" si="81"/>
        <v>48900.899128091631</v>
      </c>
      <c r="BS183" s="772">
        <f t="shared" ca="1" si="81"/>
        <v>50969.805303481058</v>
      </c>
      <c r="BT183" s="772">
        <f t="shared" ca="1" si="81"/>
        <v>50969.805303481058</v>
      </c>
      <c r="BU183" s="772">
        <f t="shared" ca="1" si="81"/>
        <v>50969.805303481058</v>
      </c>
      <c r="BV183" s="772">
        <f t="shared" ca="1" si="81"/>
        <v>50523.345795802124</v>
      </c>
      <c r="BW183" s="772">
        <f t="shared" ca="1" si="81"/>
        <v>50523.345795802124</v>
      </c>
      <c r="BX183" s="772">
        <f t="shared" ca="1" si="79"/>
        <v>49493.594892439454</v>
      </c>
      <c r="BY183" s="772">
        <f t="shared" ca="1" si="79"/>
        <v>49493.594892439454</v>
      </c>
      <c r="BZ183" s="772">
        <f t="shared" ca="1" si="79"/>
        <v>48900.899128091631</v>
      </c>
      <c r="CA183" s="772">
        <f t="shared" ca="1" si="79"/>
        <v>48900.899128091631</v>
      </c>
      <c r="CB183" s="772">
        <f t="shared" ca="1" si="79"/>
        <v>50523.345795802124</v>
      </c>
      <c r="CC183" s="772">
        <f t="shared" ca="1" si="79"/>
        <v>50523.345795802124</v>
      </c>
      <c r="CD183" s="772">
        <f t="shared" ca="1" si="79"/>
        <v>50523.345795802124</v>
      </c>
      <c r="CE183" s="772">
        <f t="shared" ca="1" si="77"/>
        <v>50523.345795802124</v>
      </c>
      <c r="CF183" s="772">
        <f t="shared" ca="1" si="77"/>
        <v>50032.859962785857</v>
      </c>
      <c r="CG183" s="772">
        <f t="shared" ca="1" si="77"/>
        <v>49493.594892439454</v>
      </c>
      <c r="CH183" s="772">
        <f t="shared" ca="1" si="77"/>
        <v>48900.899128091631</v>
      </c>
      <c r="CI183" s="772">
        <f t="shared" ca="1" si="77"/>
        <v>48900.899128091631</v>
      </c>
      <c r="CJ183" s="772">
        <f t="shared" ca="1" si="77"/>
        <v>48250.553905974128</v>
      </c>
    </row>
    <row r="184" spans="1:88" ht="15" customHeight="1">
      <c r="A184" s="770">
        <f>'kc-Wert für Stützen'!C184</f>
        <v>236</v>
      </c>
      <c r="B184" s="768">
        <f ca="1">INDIRECT("'kc-Wert für Stützen'!"&amp;SUBSTITUTE(ADDRESS(MATCH($A184,'kc-Wert für Stützen'!$C:$C,0),MATCH(B$7,'kc-Wert für Stützen'!$A$8:$ES$8,0)+7,4),,))</f>
        <v>52572.958614938354</v>
      </c>
      <c r="C184" s="768">
        <f ca="1">INDIRECT("'kc-Wert für Stützen'!"&amp;SUBSTITUTE(ADDRESS(MATCH($A184,'kc-Wert für Stützen'!$C:$C,0),MATCH(C$7,'kc-Wert für Stützen'!$A$8:$ES$8,0)+7,4),,))</f>
        <v>52234.079638200106</v>
      </c>
      <c r="D184" s="768">
        <f ca="1">INDIRECT("'kc-Wert für Stützen'!"&amp;SUBSTITUTE(ADDRESS(MATCH($A184,'kc-Wert für Stützen'!$C:$C,0),MATCH(D$7,'kc-Wert für Stützen'!$A$8:$ES$8,0)+7,4),,))</f>
        <v>51864.607132781326</v>
      </c>
      <c r="E184" s="768">
        <f ca="1">INDIRECT("'kc-Wert für Stützen'!"&amp;SUBSTITUTE(ADDRESS(MATCH($A184,'kc-Wert für Stützen'!$C:$C,0),MATCH(E$7,'kc-Wert für Stützen'!$A$8:$ES$8,0)+7,4),,))</f>
        <v>51460.608672424081</v>
      </c>
      <c r="F184" s="768">
        <f ca="1">INDIRECT("'kc-Wert für Stützen'!"&amp;SUBSTITUTE(ADDRESS(MATCH($A184,'kc-Wert für Stützen'!$C:$C,0),MATCH(F$7,'kc-Wert für Stützen'!$A$8:$ES$8,0)+7,4),,))</f>
        <v>51017.796289394864</v>
      </c>
      <c r="G184" s="768">
        <f ca="1">INDIRECT("'kc-Wert für Stützen'!"&amp;SUBSTITUTE(ADDRESS(MATCH($A184,'kc-Wert für Stützen'!$C:$C,0),MATCH(G$7,'kc-Wert für Stützen'!$A$8:$ES$8,0)+7,4),,))</f>
        <v>50531.59618630098</v>
      </c>
      <c r="H184" s="768">
        <f ca="1">INDIRECT("'kc-Wert für Stützen'!"&amp;SUBSTITUTE(ADDRESS(MATCH($A184,'kc-Wert für Stützen'!$C:$C,0),MATCH(H$7,'kc-Wert für Stützen'!$A$8:$ES$8,0)+7,4),,))</f>
        <v>49997.281619247908</v>
      </c>
      <c r="I184" s="768">
        <f ca="1">INDIRECT("'kc-Wert für Stützen'!"&amp;SUBSTITUTE(ADDRESS(MATCH($A184,'kc-Wert für Stützen'!$C:$C,0),MATCH(I$7,'kc-Wert für Stützen'!$A$8:$ES$8,0)+7,4),,))</f>
        <v>49410.188456783799</v>
      </c>
      <c r="J184" s="768">
        <f ca="1">INDIRECT("'kc-Wert für Stützen'!"&amp;SUBSTITUTE(ADDRESS(MATCH($A184,'kc-Wert für Stützen'!$C:$C,0),MATCH(J$7,'kc-Wert für Stützen'!$A$8:$ES$8,0)+7,4),,))</f>
        <v>48766.027894112194</v>
      </c>
      <c r="K184" s="768">
        <f ca="1">INDIRECT("'kc-Wert für Stützen'!"&amp;SUBSTITUTE(ADDRESS(MATCH($A184,'kc-Wert für Stützen'!$C:$C,0),MATCH(K$7,'kc-Wert für Stützen'!$A$8:$ES$8,0)+7,4),,))</f>
        <v>48061.29639039957</v>
      </c>
      <c r="L184" s="768">
        <f ca="1">INDIRECT("'kc-Wert für Stützen'!"&amp;SUBSTITUTE(ADDRESS(MATCH($A184,'kc-Wert für Stützen'!$C:$C,0),MATCH(L$7,'kc-Wert für Stützen'!$A$8:$ES$8,0)+7,4),,))</f>
        <v>47293.756805473815</v>
      </c>
      <c r="M184" s="768">
        <f ca="1">INDIRECT("'kc-Wert für Stützen'!"&amp;SUBSTITUTE(ADDRESS(MATCH($A184,'kc-Wert für Stützen'!$C:$C,0),MATCH(M$7,'kc-Wert für Stützen'!$A$8:$ES$8,0)+7,4),,))</f>
        <v>46462.929520896083</v>
      </c>
      <c r="N184" s="768">
        <f ca="1">INDIRECT("'kc-Wert für Stützen'!"&amp;SUBSTITUTE(ADDRESS(MATCH($A184,'kc-Wert für Stützen'!$C:$C,0),MATCH(N$7,'kc-Wert für Stützen'!$A$8:$ES$8,0)+7,4),,))</f>
        <v>45570.498864530906</v>
      </c>
      <c r="O184" s="768">
        <f ca="1">INDIRECT("'kc-Wert für Stützen'!"&amp;SUBSTITUTE(ADDRESS(MATCH($A184,'kc-Wert für Stützen'!$C:$C,0),MATCH(O$7,'kc-Wert für Stützen'!$A$8:$ES$8,0)+7,4),,))</f>
        <v>44620.526720888949</v>
      </c>
      <c r="P184" s="768">
        <f ca="1">INDIRECT("'kc-Wert für Stützen'!"&amp;SUBSTITUTE(ADDRESS(MATCH($A184,'kc-Wert für Stützen'!$C:$C,0),MATCH(P$7,'kc-Wert für Stützen'!$A$8:$ES$8,0)+7,4),,))</f>
        <v>43619.388892947107</v>
      </c>
      <c r="S184" s="772">
        <f t="shared" ca="1" si="59"/>
        <v>51864.607132781326</v>
      </c>
      <c r="T184" s="772">
        <f t="shared" ca="1" si="69"/>
        <v>51864.607132781326</v>
      </c>
      <c r="U184" s="772">
        <f t="shared" ca="1" si="69"/>
        <v>51864.607132781326</v>
      </c>
      <c r="V184" s="772">
        <f t="shared" ca="1" si="69"/>
        <v>51460.608672424081</v>
      </c>
      <c r="W184" s="772">
        <f t="shared" ca="1" si="69"/>
        <v>51017.796289394864</v>
      </c>
      <c r="X184" s="772">
        <f t="shared" ca="1" si="69"/>
        <v>50531.59618630098</v>
      </c>
      <c r="Y184" s="772">
        <f t="shared" ca="1" si="69"/>
        <v>49997.281619247908</v>
      </c>
      <c r="Z184" s="772">
        <f t="shared" ca="1" si="69"/>
        <v>51864.607132781326</v>
      </c>
      <c r="AA184" s="772">
        <f t="shared" ca="1" si="69"/>
        <v>51864.607132781326</v>
      </c>
      <c r="AB184" s="772">
        <f t="shared" ca="1" si="76"/>
        <v>51460.608672424081</v>
      </c>
      <c r="AC184" s="772">
        <f t="shared" ca="1" si="76"/>
        <v>51460.608672424081</v>
      </c>
      <c r="AD184" s="772">
        <f t="shared" ca="1" si="76"/>
        <v>51017.796289394864</v>
      </c>
      <c r="AE184" s="772">
        <f t="shared" ca="1" si="76"/>
        <v>51017.796289394864</v>
      </c>
      <c r="AF184" s="772">
        <f t="shared" ca="1" si="76"/>
        <v>50531.59618630098</v>
      </c>
      <c r="AG184" s="772">
        <f t="shared" ca="1" si="76"/>
        <v>50531.59618630098</v>
      </c>
      <c r="AH184" s="772">
        <f t="shared" ca="1" si="76"/>
        <v>50531.59618630098</v>
      </c>
      <c r="AI184" s="772">
        <f t="shared" ca="1" si="76"/>
        <v>51864.607132781326</v>
      </c>
      <c r="AJ184" s="772">
        <f t="shared" ca="1" si="76"/>
        <v>51864.607132781326</v>
      </c>
      <c r="AK184" s="772">
        <f t="shared" ca="1" si="76"/>
        <v>51460.608672424081</v>
      </c>
      <c r="AL184" s="772">
        <f t="shared" ca="1" si="76"/>
        <v>51460.608672424081</v>
      </c>
      <c r="AM184" s="772">
        <f t="shared" ca="1" si="76"/>
        <v>51017.796289394864</v>
      </c>
      <c r="AN184" s="772">
        <f t="shared" ca="1" si="76"/>
        <v>51017.796289394864</v>
      </c>
      <c r="AO184" s="772">
        <f t="shared" ca="1" si="76"/>
        <v>50531.59618630098</v>
      </c>
      <c r="AP184" s="772">
        <f t="shared" ca="1" si="76"/>
        <v>50531.59618630098</v>
      </c>
      <c r="AQ184" s="772">
        <f t="shared" ca="1" si="76"/>
        <v>50531.59618630098</v>
      </c>
      <c r="AR184" s="772">
        <f t="shared" ca="1" si="78"/>
        <v>51864.607132781326</v>
      </c>
      <c r="AS184" s="772">
        <f t="shared" ca="1" si="78"/>
        <v>51864.607132781326</v>
      </c>
      <c r="AT184" s="772">
        <f t="shared" ca="1" si="78"/>
        <v>51460.608672424081</v>
      </c>
      <c r="AU184" s="772">
        <f t="shared" ca="1" si="78"/>
        <v>51460.608672424081</v>
      </c>
      <c r="AV184" s="772">
        <f t="shared" ca="1" si="78"/>
        <v>51017.796289394864</v>
      </c>
      <c r="AW184" s="772">
        <f t="shared" ca="1" si="78"/>
        <v>51017.796289394864</v>
      </c>
      <c r="AX184" s="772">
        <f t="shared" ca="1" si="78"/>
        <v>50531.59618630098</v>
      </c>
      <c r="AY184" s="772">
        <f t="shared" ca="1" si="78"/>
        <v>50531.59618630098</v>
      </c>
      <c r="AZ184" s="772">
        <f t="shared" ca="1" si="78"/>
        <v>50531.59618630098</v>
      </c>
      <c r="BA184" s="772">
        <f t="shared" ca="1" si="78"/>
        <v>51864.607132781326</v>
      </c>
      <c r="BB184" s="772">
        <f t="shared" ca="1" si="78"/>
        <v>51864.607132781326</v>
      </c>
      <c r="BC184" s="772">
        <f t="shared" ca="1" si="78"/>
        <v>51460.608672424081</v>
      </c>
      <c r="BD184" s="772">
        <f t="shared" ca="1" si="78"/>
        <v>51017.796289394864</v>
      </c>
      <c r="BE184" s="772">
        <f t="shared" ca="1" si="78"/>
        <v>51017.796289394864</v>
      </c>
      <c r="BF184" s="772">
        <f t="shared" ca="1" si="78"/>
        <v>50531.59618630098</v>
      </c>
      <c r="BG184" s="772">
        <f t="shared" ca="1" si="78"/>
        <v>50531.59618630098</v>
      </c>
      <c r="BH184" s="772">
        <f t="shared" ca="1" si="80"/>
        <v>49997.281619247908</v>
      </c>
      <c r="BI184" s="772">
        <f t="shared" ca="1" si="80"/>
        <v>49997.281619247908</v>
      </c>
      <c r="BJ184" s="772">
        <f t="shared" ca="1" si="80"/>
        <v>51460.608672424081</v>
      </c>
      <c r="BK184" s="772">
        <f t="shared" ca="1" si="80"/>
        <v>51460.608672424081</v>
      </c>
      <c r="BL184" s="772">
        <f t="shared" ca="1" si="80"/>
        <v>51460.608672424081</v>
      </c>
      <c r="BM184" s="772">
        <f t="shared" ca="1" si="80"/>
        <v>51460.608672424081</v>
      </c>
      <c r="BN184" s="772">
        <f t="shared" ca="1" si="80"/>
        <v>50531.59618630098</v>
      </c>
      <c r="BO184" s="772">
        <f t="shared" ca="1" si="81"/>
        <v>50531.59618630098</v>
      </c>
      <c r="BP184" s="772">
        <f t="shared" ca="1" si="81"/>
        <v>49997.281619247908</v>
      </c>
      <c r="BQ184" s="772">
        <f t="shared" ca="1" si="81"/>
        <v>49997.281619247908</v>
      </c>
      <c r="BR184" s="772">
        <f t="shared" ca="1" si="81"/>
        <v>49410.188456783799</v>
      </c>
      <c r="BS184" s="772">
        <f t="shared" ca="1" si="81"/>
        <v>51460.608672424081</v>
      </c>
      <c r="BT184" s="772">
        <f t="shared" ca="1" si="81"/>
        <v>51460.608672424081</v>
      </c>
      <c r="BU184" s="772">
        <f t="shared" ca="1" si="81"/>
        <v>51460.608672424081</v>
      </c>
      <c r="BV184" s="772">
        <f t="shared" ca="1" si="81"/>
        <v>51017.796289394864</v>
      </c>
      <c r="BW184" s="772">
        <f t="shared" ca="1" si="81"/>
        <v>51017.796289394864</v>
      </c>
      <c r="BX184" s="772">
        <f t="shared" ca="1" si="79"/>
        <v>49997.281619247908</v>
      </c>
      <c r="BY184" s="772">
        <f t="shared" ca="1" si="79"/>
        <v>49997.281619247908</v>
      </c>
      <c r="BZ184" s="772">
        <f t="shared" ca="1" si="79"/>
        <v>49410.188456783799</v>
      </c>
      <c r="CA184" s="772">
        <f t="shared" ca="1" si="79"/>
        <v>49410.188456783799</v>
      </c>
      <c r="CB184" s="772">
        <f t="shared" ca="1" si="79"/>
        <v>51017.796289394864</v>
      </c>
      <c r="CC184" s="772">
        <f t="shared" ca="1" si="79"/>
        <v>51017.796289394864</v>
      </c>
      <c r="CD184" s="772">
        <f t="shared" ca="1" si="79"/>
        <v>51017.796289394864</v>
      </c>
      <c r="CE184" s="772">
        <f t="shared" ca="1" si="77"/>
        <v>51017.796289394864</v>
      </c>
      <c r="CF184" s="772">
        <f t="shared" ca="1" si="77"/>
        <v>50531.59618630098</v>
      </c>
      <c r="CG184" s="772">
        <f t="shared" ca="1" si="77"/>
        <v>49997.281619247908</v>
      </c>
      <c r="CH184" s="772">
        <f t="shared" ca="1" si="77"/>
        <v>49410.188456783799</v>
      </c>
      <c r="CI184" s="772">
        <f t="shared" ca="1" si="77"/>
        <v>49410.188456783799</v>
      </c>
      <c r="CJ184" s="772">
        <f t="shared" ca="1" si="77"/>
        <v>48766.027894112194</v>
      </c>
    </row>
    <row r="185" spans="1:88" ht="15" customHeight="1">
      <c r="A185" s="770">
        <f>'kc-Wert für Stützen'!C185</f>
        <v>237</v>
      </c>
      <c r="B185" s="768">
        <f ca="1">INDIRECT("'kc-Wert für Stützen'!"&amp;SUBSTITUTE(ADDRESS(MATCH($A185,'kc-Wert für Stützen'!$C:$C,0),MATCH(B$7,'kc-Wert für Stützen'!$A$8:$ES$8,0)+7,4),,))</f>
        <v>53057.945551708995</v>
      </c>
      <c r="C185" s="768">
        <f ca="1">INDIRECT("'kc-Wert für Stützen'!"&amp;SUBSTITUTE(ADDRESS(MATCH($A185,'kc-Wert für Stützen'!$C:$C,0),MATCH(C$7,'kc-Wert für Stützen'!$A$8:$ES$8,0)+7,4),,))</f>
        <v>52721.07859992655</v>
      </c>
      <c r="D185" s="768">
        <f ca="1">INDIRECT("'kc-Wert für Stützen'!"&amp;SUBSTITUTE(ADDRESS(MATCH($A185,'kc-Wert für Stützen'!$C:$C,0),MATCH(D$7,'kc-Wert für Stützen'!$A$8:$ES$8,0)+7,4),,))</f>
        <v>52354.073564778104</v>
      </c>
      <c r="E185" s="768">
        <f ca="1">INDIRECT("'kc-Wert für Stützen'!"&amp;SUBSTITUTE(ADDRESS(MATCH($A185,'kc-Wert für Stützen'!$C:$C,0),MATCH(E$7,'kc-Wert für Stützen'!$A$8:$ES$8,0)+7,4),,))</f>
        <v>51953.061146265281</v>
      </c>
      <c r="F185" s="768">
        <f ca="1">INDIRECT("'kc-Wert für Stützen'!"&amp;SUBSTITUTE(ADDRESS(MATCH($A185,'kc-Wert für Stützen'!$C:$C,0),MATCH(F$7,'kc-Wert für Stützen'!$A$8:$ES$8,0)+7,4),,))</f>
        <v>51513.814181343136</v>
      </c>
      <c r="G185" s="768">
        <f ca="1">INDIRECT("'kc-Wert für Stützen'!"&amp;SUBSTITUTE(ADDRESS(MATCH($A185,'kc-Wert für Stützen'!$C:$C,0),MATCH(G$7,'kc-Wert für Stützen'!$A$8:$ES$8,0)+7,4),,))</f>
        <v>51031.809820713803</v>
      </c>
      <c r="H185" s="768">
        <f ca="1">INDIRECT("'kc-Wert für Stützen'!"&amp;SUBSTITUTE(ADDRESS(MATCH($A185,'kc-Wert für Stützen'!$C:$C,0),MATCH(H$7,'kc-Wert für Stützen'!$A$8:$ES$8,0)+7,4),,))</f>
        <v>50502.351274844768</v>
      </c>
      <c r="I185" s="768">
        <f ca="1">INDIRECT("'kc-Wert für Stützen'!"&amp;SUBSTITUTE(ADDRESS(MATCH($A185,'kc-Wert für Stützen'!$C:$C,0),MATCH(I$7,'kc-Wert für Stützen'!$A$8:$ES$8,0)+7,4),,))</f>
        <v>49920.768394667219</v>
      </c>
      <c r="J185" s="768">
        <f ca="1">INDIRECT("'kc-Wert für Stützen'!"&amp;SUBSTITUTE(ADDRESS(MATCH($A185,'kc-Wert für Stützen'!$C:$C,0),MATCH(J$7,'kc-Wert für Stützen'!$A$8:$ES$8,0)+7,4),,))</f>
        <v>49282.712424773854</v>
      </c>
      <c r="K185" s="768">
        <f ca="1">INDIRECT("'kc-Wert für Stützen'!"&amp;SUBSTITUTE(ADDRESS(MATCH($A185,'kc-Wert für Stützen'!$C:$C,0),MATCH(K$7,'kc-Wert für Stützen'!$A$8:$ES$8,0)+7,4),,))</f>
        <v>48584.547693940644</v>
      </c>
      <c r="L185" s="768">
        <f ca="1">INDIRECT("'kc-Wert für Stützen'!"&amp;SUBSTITUTE(ADDRESS(MATCH($A185,'kc-Wert für Stützen'!$C:$C,0),MATCH(L$7,'kc-Wert für Stützen'!$A$8:$ES$8,0)+7,4),,))</f>
        <v>47823.819199788399</v>
      </c>
      <c r="M185" s="768">
        <f ca="1">INDIRECT("'kc-Wert für Stützen'!"&amp;SUBSTITUTE(ADDRESS(MATCH($A185,'kc-Wert für Stützen'!$C:$C,0),MATCH(M$7,'kc-Wert für Stützen'!$A$8:$ES$8,0)+7,4),,))</f>
        <v>46999.741570506296</v>
      </c>
      <c r="N185" s="768">
        <f ca="1">INDIRECT("'kc-Wert für Stützen'!"&amp;SUBSTITUTE(ADDRESS(MATCH($A185,'kc-Wert für Stützen'!$C:$C,0),MATCH(N$7,'kc-Wert für Stützen'!$A$8:$ES$8,0)+7,4),,))</f>
        <v>46113.620929621364</v>
      </c>
      <c r="O185" s="768">
        <f ca="1">INDIRECT("'kc-Wert für Stützen'!"&amp;SUBSTITUTE(ADDRESS(MATCH($A185,'kc-Wert für Stützen'!$C:$C,0),MATCH(O$7,'kc-Wert für Stützen'!$A$8:$ES$8,0)+7,4),,))</f>
        <v>45169.103706356764</v>
      </c>
      <c r="P185" s="768">
        <f ca="1">INDIRECT("'kc-Wert für Stützen'!"&amp;SUBSTITUTE(ADDRESS(MATCH($A185,'kc-Wert für Stützen'!$C:$C,0),MATCH(P$7,'kc-Wert für Stützen'!$A$8:$ES$8,0)+7,4),,))</f>
        <v>44172.163038804254</v>
      </c>
      <c r="S185" s="772">
        <f t="shared" ca="1" si="59"/>
        <v>52354.073564778104</v>
      </c>
      <c r="T185" s="772">
        <f t="shared" ca="1" si="69"/>
        <v>52354.073564778104</v>
      </c>
      <c r="U185" s="772">
        <f t="shared" ca="1" si="69"/>
        <v>52354.073564778104</v>
      </c>
      <c r="V185" s="772">
        <f t="shared" ca="1" si="69"/>
        <v>51953.061146265281</v>
      </c>
      <c r="W185" s="772">
        <f t="shared" ca="1" si="69"/>
        <v>51513.814181343136</v>
      </c>
      <c r="X185" s="772">
        <f t="shared" ca="1" si="69"/>
        <v>51031.809820713803</v>
      </c>
      <c r="Y185" s="772">
        <f t="shared" ca="1" si="69"/>
        <v>50502.351274844768</v>
      </c>
      <c r="Z185" s="772">
        <f t="shared" ca="1" si="69"/>
        <v>52354.073564778104</v>
      </c>
      <c r="AA185" s="772">
        <f t="shared" ca="1" si="69"/>
        <v>52354.073564778104</v>
      </c>
      <c r="AB185" s="772">
        <f t="shared" ca="1" si="76"/>
        <v>51953.061146265281</v>
      </c>
      <c r="AC185" s="772">
        <f t="shared" ca="1" si="76"/>
        <v>51953.061146265281</v>
      </c>
      <c r="AD185" s="772">
        <f t="shared" ca="1" si="76"/>
        <v>51513.814181343136</v>
      </c>
      <c r="AE185" s="772">
        <f t="shared" ca="1" si="76"/>
        <v>51513.814181343136</v>
      </c>
      <c r="AF185" s="772">
        <f t="shared" ca="1" si="76"/>
        <v>51031.809820713803</v>
      </c>
      <c r="AG185" s="772">
        <f t="shared" ca="1" si="76"/>
        <v>51031.809820713803</v>
      </c>
      <c r="AH185" s="772">
        <f t="shared" ca="1" si="76"/>
        <v>51031.809820713803</v>
      </c>
      <c r="AI185" s="772">
        <f t="shared" ca="1" si="76"/>
        <v>52354.073564778104</v>
      </c>
      <c r="AJ185" s="772">
        <f t="shared" ca="1" si="76"/>
        <v>52354.073564778104</v>
      </c>
      <c r="AK185" s="772">
        <f t="shared" ca="1" si="76"/>
        <v>51953.061146265281</v>
      </c>
      <c r="AL185" s="772">
        <f t="shared" ca="1" si="76"/>
        <v>51953.061146265281</v>
      </c>
      <c r="AM185" s="772">
        <f t="shared" ca="1" si="76"/>
        <v>51513.814181343136</v>
      </c>
      <c r="AN185" s="772">
        <f t="shared" ca="1" si="76"/>
        <v>51513.814181343136</v>
      </c>
      <c r="AO185" s="772">
        <f t="shared" ca="1" si="76"/>
        <v>51031.809820713803</v>
      </c>
      <c r="AP185" s="772">
        <f t="shared" ca="1" si="76"/>
        <v>51031.809820713803</v>
      </c>
      <c r="AQ185" s="772">
        <f t="shared" ca="1" si="76"/>
        <v>51031.809820713803</v>
      </c>
      <c r="AR185" s="772">
        <f t="shared" ca="1" si="78"/>
        <v>52354.073564778104</v>
      </c>
      <c r="AS185" s="772">
        <f t="shared" ca="1" si="78"/>
        <v>52354.073564778104</v>
      </c>
      <c r="AT185" s="772">
        <f t="shared" ca="1" si="78"/>
        <v>51953.061146265281</v>
      </c>
      <c r="AU185" s="772">
        <f t="shared" ca="1" si="78"/>
        <v>51953.061146265281</v>
      </c>
      <c r="AV185" s="772">
        <f t="shared" ca="1" si="78"/>
        <v>51513.814181343136</v>
      </c>
      <c r="AW185" s="772">
        <f t="shared" ca="1" si="78"/>
        <v>51513.814181343136</v>
      </c>
      <c r="AX185" s="772">
        <f t="shared" ca="1" si="78"/>
        <v>51031.809820713803</v>
      </c>
      <c r="AY185" s="772">
        <f t="shared" ca="1" si="78"/>
        <v>51031.809820713803</v>
      </c>
      <c r="AZ185" s="772">
        <f t="shared" ca="1" si="78"/>
        <v>51031.809820713803</v>
      </c>
      <c r="BA185" s="772">
        <f t="shared" ca="1" si="78"/>
        <v>52354.073564778104</v>
      </c>
      <c r="BB185" s="772">
        <f t="shared" ca="1" si="78"/>
        <v>52354.073564778104</v>
      </c>
      <c r="BC185" s="772">
        <f t="shared" ca="1" si="78"/>
        <v>51953.061146265281</v>
      </c>
      <c r="BD185" s="772">
        <f t="shared" ca="1" si="78"/>
        <v>51513.814181343136</v>
      </c>
      <c r="BE185" s="772">
        <f t="shared" ca="1" si="78"/>
        <v>51513.814181343136</v>
      </c>
      <c r="BF185" s="772">
        <f t="shared" ca="1" si="78"/>
        <v>51031.809820713803</v>
      </c>
      <c r="BG185" s="772">
        <f t="shared" ca="1" si="78"/>
        <v>51031.809820713803</v>
      </c>
      <c r="BH185" s="772">
        <f t="shared" ca="1" si="80"/>
        <v>50502.351274844768</v>
      </c>
      <c r="BI185" s="772">
        <f t="shared" ca="1" si="80"/>
        <v>50502.351274844768</v>
      </c>
      <c r="BJ185" s="772">
        <f t="shared" ca="1" si="80"/>
        <v>51953.061146265281</v>
      </c>
      <c r="BK185" s="772">
        <f t="shared" ca="1" si="80"/>
        <v>51953.061146265281</v>
      </c>
      <c r="BL185" s="772">
        <f t="shared" ca="1" si="80"/>
        <v>51953.061146265281</v>
      </c>
      <c r="BM185" s="772">
        <f t="shared" ca="1" si="80"/>
        <v>51953.061146265281</v>
      </c>
      <c r="BN185" s="772">
        <f t="shared" ca="1" si="80"/>
        <v>51031.809820713803</v>
      </c>
      <c r="BO185" s="772">
        <f t="shared" ca="1" si="81"/>
        <v>51031.809820713803</v>
      </c>
      <c r="BP185" s="772">
        <f t="shared" ca="1" si="81"/>
        <v>50502.351274844768</v>
      </c>
      <c r="BQ185" s="772">
        <f t="shared" ca="1" si="81"/>
        <v>50502.351274844768</v>
      </c>
      <c r="BR185" s="772">
        <f t="shared" ca="1" si="81"/>
        <v>49920.768394667219</v>
      </c>
      <c r="BS185" s="772">
        <f t="shared" ca="1" si="81"/>
        <v>51953.061146265281</v>
      </c>
      <c r="BT185" s="772">
        <f t="shared" ca="1" si="81"/>
        <v>51953.061146265281</v>
      </c>
      <c r="BU185" s="772">
        <f t="shared" ca="1" si="81"/>
        <v>51953.061146265281</v>
      </c>
      <c r="BV185" s="772">
        <f t="shared" ca="1" si="81"/>
        <v>51513.814181343136</v>
      </c>
      <c r="BW185" s="772">
        <f t="shared" ca="1" si="81"/>
        <v>51513.814181343136</v>
      </c>
      <c r="BX185" s="772">
        <f t="shared" ca="1" si="79"/>
        <v>50502.351274844768</v>
      </c>
      <c r="BY185" s="772">
        <f t="shared" ca="1" si="79"/>
        <v>50502.351274844768</v>
      </c>
      <c r="BZ185" s="772">
        <f t="shared" ca="1" si="79"/>
        <v>49920.768394667219</v>
      </c>
      <c r="CA185" s="772">
        <f t="shared" ca="1" si="79"/>
        <v>49920.768394667219</v>
      </c>
      <c r="CB185" s="772">
        <f t="shared" ca="1" si="79"/>
        <v>51513.814181343136</v>
      </c>
      <c r="CC185" s="772">
        <f t="shared" ca="1" si="79"/>
        <v>51513.814181343136</v>
      </c>
      <c r="CD185" s="772">
        <f t="shared" ca="1" si="79"/>
        <v>51513.814181343136</v>
      </c>
      <c r="CE185" s="772">
        <f t="shared" ca="1" si="77"/>
        <v>51513.814181343136</v>
      </c>
      <c r="CF185" s="772">
        <f t="shared" ca="1" si="77"/>
        <v>51031.809820713803</v>
      </c>
      <c r="CG185" s="772">
        <f t="shared" ca="1" si="77"/>
        <v>50502.351274844768</v>
      </c>
      <c r="CH185" s="772">
        <f t="shared" ca="1" si="77"/>
        <v>49920.768394667219</v>
      </c>
      <c r="CI185" s="772">
        <f t="shared" ca="1" si="77"/>
        <v>49920.768394667219</v>
      </c>
      <c r="CJ185" s="772">
        <f t="shared" ca="1" si="77"/>
        <v>49282.712424773854</v>
      </c>
    </row>
    <row r="186" spans="1:88" ht="15" customHeight="1">
      <c r="A186" s="770">
        <f>'kc-Wert für Stützen'!C186</f>
        <v>238</v>
      </c>
      <c r="B186" s="768">
        <f ca="1">INDIRECT("'kc-Wert für Stützen'!"&amp;SUBSTITUTE(ADDRESS(MATCH($A186,'kc-Wert für Stützen'!$C:$C,0),MATCH(B$7,'kc-Wert für Stützen'!$A$8:$ES$8,0)+7,4),,))</f>
        <v>53544.772216282996</v>
      </c>
      <c r="C186" s="768">
        <f ca="1">INDIRECT("'kc-Wert für Stützen'!"&amp;SUBSTITUTE(ADDRESS(MATCH($A186,'kc-Wert für Stützen'!$C:$C,0),MATCH(C$7,'kc-Wert für Stützen'!$A$8:$ES$8,0)+7,4),,))</f>
        <v>53209.866779472432</v>
      </c>
      <c r="D186" s="768">
        <f ca="1">INDIRECT("'kc-Wert für Stützen'!"&amp;SUBSTITUTE(ADDRESS(MATCH($A186,'kc-Wert für Stützen'!$C:$C,0),MATCH(D$7,'kc-Wert für Stützen'!$A$8:$ES$8,0)+7,4),,))</f>
        <v>52845.269200208772</v>
      </c>
      <c r="E186" s="768">
        <f ca="1">INDIRECT("'kc-Wert für Stützen'!"&amp;SUBSTITUTE(ADDRESS(MATCH($A186,'kc-Wert für Stützen'!$C:$C,0),MATCH(E$7,'kc-Wert für Stützen'!$A$8:$ES$8,0)+7,4),,))</f>
        <v>52447.172693456829</v>
      </c>
      <c r="F186" s="768">
        <f ca="1">INDIRECT("'kc-Wert für Stützen'!"&amp;SUBSTITUTE(ADDRESS(MATCH($A186,'kc-Wert für Stützen'!$C:$C,0),MATCH(F$7,'kc-Wert für Stützen'!$A$8:$ES$8,0)+7,4),,))</f>
        <v>52011.411042858963</v>
      </c>
      <c r="G186" s="768">
        <f ca="1">INDIRECT("'kc-Wert für Stützen'!"&amp;SUBSTITUTE(ADDRESS(MATCH($A186,'kc-Wert für Stützen'!$C:$C,0),MATCH(G$7,'kc-Wert für Stützen'!$A$8:$ES$8,0)+7,4),,))</f>
        <v>51533.513778656612</v>
      </c>
      <c r="H186" s="768">
        <f ca="1">INDIRECT("'kc-Wert für Stützen'!"&amp;SUBSTITUTE(ADDRESS(MATCH($A186,'kc-Wert für Stützen'!$C:$C,0),MATCH(H$7,'kc-Wert für Stützen'!$A$8:$ES$8,0)+7,4),,))</f>
        <v>51008.817472274153</v>
      </c>
      <c r="I186" s="768">
        <f ca="1">INDIRECT("'kc-Wert für Stützen'!"&amp;SUBSTITUTE(ADDRESS(MATCH($A186,'kc-Wert für Stützen'!$C:$C,0),MATCH(I$7,'kc-Wert für Stützen'!$A$8:$ES$8,0)+7,4),,))</f>
        <v>50432.652087201539</v>
      </c>
      <c r="J186" s="768">
        <f ca="1">INDIRECT("'kc-Wert für Stützen'!"&amp;SUBSTITUTE(ADDRESS(MATCH($A186,'kc-Wert für Stützen'!$C:$C,0),MATCH(J$7,'kc-Wert für Stützen'!$A$8:$ES$8,0)+7,4),,))</f>
        <v>49800.618369772899</v>
      </c>
      <c r="K186" s="768">
        <f ca="1">INDIRECT("'kc-Wert für Stützen'!"&amp;SUBSTITUTE(ADDRESS(MATCH($A186,'kc-Wert für Stützen'!$C:$C,0),MATCH(K$7,'kc-Wert für Stützen'!$A$8:$ES$8,0)+7,4),,))</f>
        <v>49108.961380575965</v>
      </c>
      <c r="L186" s="768">
        <f ca="1">INDIRECT("'kc-Wert für Stützen'!"&amp;SUBSTITUTE(ADDRESS(MATCH($A186,'kc-Wert für Stützen'!$C:$C,0),MATCH(L$7,'kc-Wert für Stützen'!$A$8:$ES$8,0)+7,4),,))</f>
        <v>48355.023658845166</v>
      </c>
      <c r="M186" s="768">
        <f ca="1">INDIRECT("'kc-Wert für Stützen'!"&amp;SUBSTITUTE(ADDRESS(MATCH($A186,'kc-Wert für Stützen'!$C:$C,0),MATCH(M$7,'kc-Wert für Stützen'!$A$8:$ES$8,0)+7,4),,))</f>
        <v>47537.729882145941</v>
      </c>
      <c r="N186" s="768">
        <f ca="1">INDIRECT("'kc-Wert für Stützen'!"&amp;SUBSTITUTE(ADDRESS(MATCH($A186,'kc-Wert für Stützen'!$C:$C,0),MATCH(N$7,'kc-Wert für Stützen'!$A$8:$ES$8,0)+7,4),,))</f>
        <v>46658.020886979008</v>
      </c>
      <c r="O186" s="768">
        <f ca="1">INDIRECT("'kc-Wert für Stützen'!"&amp;SUBSTITUTE(ADDRESS(MATCH($A186,'kc-Wert für Stützen'!$C:$C,0),MATCH(O$7,'kc-Wert für Stützen'!$A$8:$ES$8,0)+7,4),,))</f>
        <v>45719.134071626875</v>
      </c>
      <c r="P186" s="768">
        <f ca="1">INDIRECT("'kc-Wert für Stützen'!"&amp;SUBSTITUTE(ADDRESS(MATCH($A186,'kc-Wert für Stützen'!$C:$C,0),MATCH(P$7,'kc-Wert für Stützen'!$A$8:$ES$8,0)+7,4),,))</f>
        <v>44726.637252236229</v>
      </c>
      <c r="S186" s="772">
        <f t="shared" ca="1" si="59"/>
        <v>52845.269200208772</v>
      </c>
      <c r="T186" s="772">
        <f t="shared" ca="1" si="69"/>
        <v>52845.269200208772</v>
      </c>
      <c r="U186" s="772">
        <f t="shared" ca="1" si="69"/>
        <v>52845.269200208772</v>
      </c>
      <c r="V186" s="772">
        <f t="shared" ca="1" si="69"/>
        <v>52447.172693456829</v>
      </c>
      <c r="W186" s="772">
        <f t="shared" ca="1" si="69"/>
        <v>52011.411042858963</v>
      </c>
      <c r="X186" s="772">
        <f t="shared" ca="1" si="69"/>
        <v>51533.513778656612</v>
      </c>
      <c r="Y186" s="772">
        <f t="shared" ca="1" si="69"/>
        <v>51008.817472274153</v>
      </c>
      <c r="Z186" s="772">
        <f t="shared" ca="1" si="69"/>
        <v>52845.269200208772</v>
      </c>
      <c r="AA186" s="772">
        <f t="shared" ref="T186:AA215" ca="1" si="82">HLOOKUP(AA$7,$A$7:$P$348,ROW()-6)</f>
        <v>52845.269200208772</v>
      </c>
      <c r="AB186" s="772">
        <f t="shared" ca="1" si="76"/>
        <v>52447.172693456829</v>
      </c>
      <c r="AC186" s="772">
        <f t="shared" ca="1" si="76"/>
        <v>52447.172693456829</v>
      </c>
      <c r="AD186" s="772">
        <f t="shared" ca="1" si="76"/>
        <v>52011.411042858963</v>
      </c>
      <c r="AE186" s="772">
        <f t="shared" ca="1" si="76"/>
        <v>52011.411042858963</v>
      </c>
      <c r="AF186" s="772">
        <f t="shared" ca="1" si="76"/>
        <v>51533.513778656612</v>
      </c>
      <c r="AG186" s="772">
        <f t="shared" ca="1" si="76"/>
        <v>51533.513778656612</v>
      </c>
      <c r="AH186" s="772">
        <f t="shared" ca="1" si="76"/>
        <v>51533.513778656612</v>
      </c>
      <c r="AI186" s="772">
        <f t="shared" ca="1" si="76"/>
        <v>52845.269200208772</v>
      </c>
      <c r="AJ186" s="772">
        <f t="shared" ca="1" si="76"/>
        <v>52845.269200208772</v>
      </c>
      <c r="AK186" s="772">
        <f t="shared" ca="1" si="76"/>
        <v>52447.172693456829</v>
      </c>
      <c r="AL186" s="772">
        <f t="shared" ca="1" si="76"/>
        <v>52447.172693456829</v>
      </c>
      <c r="AM186" s="772">
        <f t="shared" ca="1" si="76"/>
        <v>52011.411042858963</v>
      </c>
      <c r="AN186" s="772">
        <f t="shared" ca="1" si="76"/>
        <v>52011.411042858963</v>
      </c>
      <c r="AO186" s="772">
        <f t="shared" ca="1" si="76"/>
        <v>51533.513778656612</v>
      </c>
      <c r="AP186" s="772">
        <f t="shared" ca="1" si="76"/>
        <v>51533.513778656612</v>
      </c>
      <c r="AQ186" s="772">
        <f t="shared" ca="1" si="76"/>
        <v>51533.513778656612</v>
      </c>
      <c r="AR186" s="772">
        <f t="shared" ca="1" si="78"/>
        <v>52845.269200208772</v>
      </c>
      <c r="AS186" s="772">
        <f t="shared" ca="1" si="78"/>
        <v>52845.269200208772</v>
      </c>
      <c r="AT186" s="772">
        <f t="shared" ca="1" si="78"/>
        <v>52447.172693456829</v>
      </c>
      <c r="AU186" s="772">
        <f t="shared" ca="1" si="78"/>
        <v>52447.172693456829</v>
      </c>
      <c r="AV186" s="772">
        <f t="shared" ca="1" si="78"/>
        <v>52011.411042858963</v>
      </c>
      <c r="AW186" s="772">
        <f t="shared" ca="1" si="78"/>
        <v>52011.411042858963</v>
      </c>
      <c r="AX186" s="772">
        <f t="shared" ca="1" si="78"/>
        <v>51533.513778656612</v>
      </c>
      <c r="AY186" s="772">
        <f t="shared" ca="1" si="78"/>
        <v>51533.513778656612</v>
      </c>
      <c r="AZ186" s="772">
        <f t="shared" ca="1" si="78"/>
        <v>51533.513778656612</v>
      </c>
      <c r="BA186" s="772">
        <f t="shared" ca="1" si="78"/>
        <v>52845.269200208772</v>
      </c>
      <c r="BB186" s="772">
        <f t="shared" ca="1" si="78"/>
        <v>52845.269200208772</v>
      </c>
      <c r="BC186" s="772">
        <f t="shared" ca="1" si="78"/>
        <v>52447.172693456829</v>
      </c>
      <c r="BD186" s="772">
        <f t="shared" ca="1" si="78"/>
        <v>52011.411042858963</v>
      </c>
      <c r="BE186" s="772">
        <f t="shared" ca="1" si="78"/>
        <v>52011.411042858963</v>
      </c>
      <c r="BF186" s="772">
        <f t="shared" ca="1" si="78"/>
        <v>51533.513778656612</v>
      </c>
      <c r="BG186" s="772">
        <f t="shared" ca="1" si="78"/>
        <v>51533.513778656612</v>
      </c>
      <c r="BH186" s="772">
        <f t="shared" ca="1" si="80"/>
        <v>51008.817472274153</v>
      </c>
      <c r="BI186" s="772">
        <f t="shared" ca="1" si="80"/>
        <v>51008.817472274153</v>
      </c>
      <c r="BJ186" s="772">
        <f t="shared" ca="1" si="80"/>
        <v>52447.172693456829</v>
      </c>
      <c r="BK186" s="772">
        <f t="shared" ca="1" si="80"/>
        <v>52447.172693456829</v>
      </c>
      <c r="BL186" s="772">
        <f t="shared" ca="1" si="80"/>
        <v>52447.172693456829</v>
      </c>
      <c r="BM186" s="772">
        <f t="shared" ca="1" si="80"/>
        <v>52447.172693456829</v>
      </c>
      <c r="BN186" s="772">
        <f t="shared" ca="1" si="80"/>
        <v>51533.513778656612</v>
      </c>
      <c r="BO186" s="772">
        <f t="shared" ca="1" si="81"/>
        <v>51533.513778656612</v>
      </c>
      <c r="BP186" s="772">
        <f t="shared" ca="1" si="81"/>
        <v>51008.817472274153</v>
      </c>
      <c r="BQ186" s="772">
        <f t="shared" ca="1" si="81"/>
        <v>51008.817472274153</v>
      </c>
      <c r="BR186" s="772">
        <f t="shared" ca="1" si="81"/>
        <v>50432.652087201539</v>
      </c>
      <c r="BS186" s="772">
        <f t="shared" ca="1" si="81"/>
        <v>52447.172693456829</v>
      </c>
      <c r="BT186" s="772">
        <f t="shared" ca="1" si="81"/>
        <v>52447.172693456829</v>
      </c>
      <c r="BU186" s="772">
        <f t="shared" ca="1" si="81"/>
        <v>52447.172693456829</v>
      </c>
      <c r="BV186" s="772">
        <f t="shared" ca="1" si="81"/>
        <v>52011.411042858963</v>
      </c>
      <c r="BW186" s="772">
        <f t="shared" ca="1" si="81"/>
        <v>52011.411042858963</v>
      </c>
      <c r="BX186" s="772">
        <f t="shared" ca="1" si="79"/>
        <v>51008.817472274153</v>
      </c>
      <c r="BY186" s="772">
        <f t="shared" ca="1" si="79"/>
        <v>51008.817472274153</v>
      </c>
      <c r="BZ186" s="772">
        <f t="shared" ca="1" si="79"/>
        <v>50432.652087201539</v>
      </c>
      <c r="CA186" s="772">
        <f t="shared" ca="1" si="79"/>
        <v>50432.652087201539</v>
      </c>
      <c r="CB186" s="772">
        <f t="shared" ca="1" si="79"/>
        <v>52011.411042858963</v>
      </c>
      <c r="CC186" s="772">
        <f t="shared" ca="1" si="79"/>
        <v>52011.411042858963</v>
      </c>
      <c r="CD186" s="772">
        <f t="shared" ca="1" si="79"/>
        <v>52011.411042858963</v>
      </c>
      <c r="CE186" s="772">
        <f t="shared" ref="CE186:CJ195" ca="1" si="83">HLOOKUP(CE$7,$A$7:$P$348,ROW()-6)</f>
        <v>52011.411042858963</v>
      </c>
      <c r="CF186" s="772">
        <f t="shared" ca="1" si="83"/>
        <v>51533.513778656612</v>
      </c>
      <c r="CG186" s="772">
        <f t="shared" ca="1" si="83"/>
        <v>51008.817472274153</v>
      </c>
      <c r="CH186" s="772">
        <f t="shared" ca="1" si="83"/>
        <v>50432.652087201539</v>
      </c>
      <c r="CI186" s="772">
        <f t="shared" ca="1" si="83"/>
        <v>50432.652087201539</v>
      </c>
      <c r="CJ186" s="772">
        <f t="shared" ca="1" si="83"/>
        <v>49800.618369772899</v>
      </c>
    </row>
    <row r="187" spans="1:88" ht="15" customHeight="1">
      <c r="A187" s="770">
        <f>'kc-Wert für Stützen'!C187</f>
        <v>239</v>
      </c>
      <c r="B187" s="768">
        <f ca="1">INDIRECT("'kc-Wert für Stützen'!"&amp;SUBSTITUTE(ADDRESS(MATCH($A187,'kc-Wert für Stützen'!$C:$C,0),MATCH(B$7,'kc-Wert für Stützen'!$A$8:$ES$8,0)+7,4),,))</f>
        <v>54033.443970032735</v>
      </c>
      <c r="C187" s="768">
        <f ca="1">INDIRECT("'kc-Wert für Stützen'!"&amp;SUBSTITUTE(ADDRESS(MATCH($A187,'kc-Wert für Stützen'!$C:$C,0),MATCH(C$7,'kc-Wert für Stützen'!$A$8:$ES$8,0)+7,4),,))</f>
        <v>53700.450822624414</v>
      </c>
      <c r="D187" s="768">
        <f ca="1">INDIRECT("'kc-Wert für Stützen'!"&amp;SUBSTITUTE(ADDRESS(MATCH($A187,'kc-Wert für Stützen'!$C:$C,0),MATCH(D$7,'kc-Wert für Stützen'!$A$8:$ES$8,0)+7,4),,))</f>
        <v>53338.202154058738</v>
      </c>
      <c r="E187" s="768">
        <f ca="1">INDIRECT("'kc-Wert für Stützen'!"&amp;SUBSTITUTE(ADDRESS(MATCH($A187,'kc-Wert für Stützen'!$C:$C,0),MATCH(E$7,'kc-Wert für Stützen'!$A$8:$ES$8,0)+7,4),,))</f>
        <v>52942.953026986623</v>
      </c>
      <c r="F187" s="768">
        <f ca="1">INDIRECT("'kc-Wert für Stützen'!"&amp;SUBSTITUTE(ADDRESS(MATCH($A187,'kc-Wert für Stützen'!$C:$C,0),MATCH(F$7,'kc-Wert für Stützen'!$A$8:$ES$8,0)+7,4),,))</f>
        <v>52510.598189938457</v>
      </c>
      <c r="G187" s="768">
        <f ca="1">INDIRECT("'kc-Wert für Stützen'!"&amp;SUBSTITUTE(ADDRESS(MATCH($A187,'kc-Wert für Stützen'!$C:$C,0),MATCH(G$7,'kc-Wert für Stützen'!$A$8:$ES$8,0)+7,4),,))</f>
        <v>52036.720760824486</v>
      </c>
      <c r="H187" s="768">
        <f ca="1">INDIRECT("'kc-Wert für Stützen'!"&amp;SUBSTITUTE(ADDRESS(MATCH($A187,'kc-Wert für Stützen'!$C:$C,0),MATCH(H$7,'kc-Wert für Stützen'!$A$8:$ES$8,0)+7,4),,))</f>
        <v>51516.693724995399</v>
      </c>
      <c r="I187" s="768">
        <f ca="1">INDIRECT("'kc-Wert für Stützen'!"&amp;SUBSTITUTE(ADDRESS(MATCH($A187,'kc-Wert für Stützen'!$C:$C,0),MATCH(I$7,'kc-Wert für Stützen'!$A$8:$ES$8,0)+7,4),,))</f>
        <v>50945.85279015702</v>
      </c>
      <c r="J187" s="768">
        <f ca="1">INDIRECT("'kc-Wert für Stützen'!"&amp;SUBSTITUTE(ADDRESS(MATCH($A187,'kc-Wert für Stützen'!$C:$C,0),MATCH(J$7,'kc-Wert für Stützen'!$A$8:$ES$8,0)+7,4),,))</f>
        <v>50319.757040266981</v>
      </c>
      <c r="K187" s="768">
        <f ca="1">INDIRECT("'kc-Wert für Stützen'!"&amp;SUBSTITUTE(ADDRESS(MATCH($A187,'kc-Wert für Stützen'!$C:$C,0),MATCH(K$7,'kc-Wert für Stützen'!$A$8:$ES$8,0)+7,4),,))</f>
        <v>49634.544493570575</v>
      </c>
      <c r="L187" s="768">
        <f ca="1">INDIRECT("'kc-Wert für Stützen'!"&amp;SUBSTITUTE(ADDRESS(MATCH($A187,'kc-Wert für Stützen'!$C:$C,0),MATCH(L$7,'kc-Wert für Stützen'!$A$8:$ES$8,0)+7,4),,))</f>
        <v>48887.370162976782</v>
      </c>
      <c r="M187" s="768">
        <f ca="1">INDIRECT("'kc-Wert für Stützen'!"&amp;SUBSTITUTE(ADDRESS(MATCH($A187,'kc-Wert für Stützen'!$C:$C,0),MATCH(M$7,'kc-Wert für Stützen'!$A$8:$ES$8,0)+7,4),,))</f>
        <v>48076.884513402831</v>
      </c>
      <c r="N187" s="768">
        <f ca="1">INDIRECT("'kc-Wert für Stützen'!"&amp;SUBSTITUTE(ADDRESS(MATCH($A187,'kc-Wert für Stützen'!$C:$C,0),MATCH(N$7,'kc-Wert für Stützen'!$A$8:$ES$8,0)+7,4),,))</f>
        <v>47203.676561946733</v>
      </c>
      <c r="O187" s="768">
        <f ca="1">INDIRECT("'kc-Wert für Stützen'!"&amp;SUBSTITUTE(ADDRESS(MATCH($A187,'kc-Wert für Stützen'!$C:$C,0),MATCH(O$7,'kc-Wert für Stützen'!$A$8:$ES$8,0)+7,4),,))</f>
        <v>46270.582308474899</v>
      </c>
      <c r="P187" s="768">
        <f ca="1">INDIRECT("'kc-Wert für Stützen'!"&amp;SUBSTITUTE(ADDRESS(MATCH($A187,'kc-Wert für Stützen'!$C:$C,0),MATCH(P$7,'kc-Wert für Stützen'!$A$8:$ES$8,0)+7,4),,))</f>
        <v>45282.763246297458</v>
      </c>
      <c r="S187" s="772">
        <f t="shared" ca="1" si="59"/>
        <v>53338.202154058738</v>
      </c>
      <c r="T187" s="772">
        <f t="shared" ca="1" si="82"/>
        <v>53338.202154058738</v>
      </c>
      <c r="U187" s="772">
        <f t="shared" ca="1" si="82"/>
        <v>53338.202154058738</v>
      </c>
      <c r="V187" s="772">
        <f t="shared" ca="1" si="82"/>
        <v>52942.953026986623</v>
      </c>
      <c r="W187" s="772">
        <f t="shared" ca="1" si="82"/>
        <v>52510.598189938457</v>
      </c>
      <c r="X187" s="772">
        <f t="shared" ca="1" si="82"/>
        <v>52036.720760824486</v>
      </c>
      <c r="Y187" s="772">
        <f t="shared" ca="1" si="82"/>
        <v>51516.693724995399</v>
      </c>
      <c r="Z187" s="772">
        <f t="shared" ca="1" si="82"/>
        <v>53338.202154058738</v>
      </c>
      <c r="AA187" s="772">
        <f t="shared" ca="1" si="82"/>
        <v>53338.202154058738</v>
      </c>
      <c r="AB187" s="772">
        <f t="shared" ca="1" si="76"/>
        <v>52942.953026986623</v>
      </c>
      <c r="AC187" s="772">
        <f t="shared" ca="1" si="76"/>
        <v>52942.953026986623</v>
      </c>
      <c r="AD187" s="772">
        <f t="shared" ca="1" si="76"/>
        <v>52510.598189938457</v>
      </c>
      <c r="AE187" s="772">
        <f t="shared" ca="1" si="76"/>
        <v>52510.598189938457</v>
      </c>
      <c r="AF187" s="772">
        <f t="shared" ca="1" si="76"/>
        <v>52036.720760824486</v>
      </c>
      <c r="AG187" s="772">
        <f t="shared" ca="1" si="76"/>
        <v>52036.720760824486</v>
      </c>
      <c r="AH187" s="772">
        <f t="shared" ca="1" si="76"/>
        <v>52036.720760824486</v>
      </c>
      <c r="AI187" s="772">
        <f t="shared" ca="1" si="76"/>
        <v>53338.202154058738</v>
      </c>
      <c r="AJ187" s="772">
        <f t="shared" ca="1" si="76"/>
        <v>53338.202154058738</v>
      </c>
      <c r="AK187" s="772">
        <f t="shared" ca="1" si="76"/>
        <v>52942.953026986623</v>
      </c>
      <c r="AL187" s="772">
        <f t="shared" ca="1" si="76"/>
        <v>52942.953026986623</v>
      </c>
      <c r="AM187" s="772">
        <f t="shared" ca="1" si="76"/>
        <v>52510.598189938457</v>
      </c>
      <c r="AN187" s="772">
        <f t="shared" ca="1" si="76"/>
        <v>52510.598189938457</v>
      </c>
      <c r="AO187" s="772">
        <f ca="1">HLOOKUP(AO$7,$A$7:$P$348,ROW()-6)</f>
        <v>52036.720760824486</v>
      </c>
      <c r="AP187" s="772">
        <f ca="1">HLOOKUP(AP$7,$A$7:$P$348,ROW()-6)</f>
        <v>52036.720760824486</v>
      </c>
      <c r="AQ187" s="772">
        <f ca="1">HLOOKUP(AQ$7,$A$7:$P$348,ROW()-6)</f>
        <v>52036.720760824486</v>
      </c>
      <c r="AR187" s="772">
        <f t="shared" ca="1" si="78"/>
        <v>53338.202154058738</v>
      </c>
      <c r="AS187" s="772">
        <f t="shared" ca="1" si="78"/>
        <v>53338.202154058738</v>
      </c>
      <c r="AT187" s="772">
        <f t="shared" ca="1" si="78"/>
        <v>52942.953026986623</v>
      </c>
      <c r="AU187" s="772">
        <f t="shared" ca="1" si="78"/>
        <v>52942.953026986623</v>
      </c>
      <c r="AV187" s="772">
        <f t="shared" ca="1" si="78"/>
        <v>52510.598189938457</v>
      </c>
      <c r="AW187" s="772">
        <f t="shared" ca="1" si="78"/>
        <v>52510.598189938457</v>
      </c>
      <c r="AX187" s="772">
        <f t="shared" ca="1" si="78"/>
        <v>52036.720760824486</v>
      </c>
      <c r="AY187" s="772">
        <f t="shared" ca="1" si="78"/>
        <v>52036.720760824486</v>
      </c>
      <c r="AZ187" s="772">
        <f t="shared" ca="1" si="78"/>
        <v>52036.720760824486</v>
      </c>
      <c r="BA187" s="772">
        <f t="shared" ca="1" si="78"/>
        <v>53338.202154058738</v>
      </c>
      <c r="BB187" s="772">
        <f t="shared" ca="1" si="78"/>
        <v>53338.202154058738</v>
      </c>
      <c r="BC187" s="772">
        <f t="shared" ca="1" si="78"/>
        <v>52942.953026986623</v>
      </c>
      <c r="BD187" s="772">
        <f t="shared" ca="1" si="78"/>
        <v>52510.598189938457</v>
      </c>
      <c r="BE187" s="772">
        <f t="shared" ca="1" si="78"/>
        <v>52510.598189938457</v>
      </c>
      <c r="BF187" s="772">
        <f t="shared" ca="1" si="78"/>
        <v>52036.720760824486</v>
      </c>
      <c r="BG187" s="772">
        <f t="shared" ca="1" si="78"/>
        <v>52036.720760824486</v>
      </c>
      <c r="BH187" s="772">
        <f t="shared" ca="1" si="80"/>
        <v>51516.693724995399</v>
      </c>
      <c r="BI187" s="772">
        <f t="shared" ca="1" si="80"/>
        <v>51516.693724995399</v>
      </c>
      <c r="BJ187" s="772">
        <f t="shared" ca="1" si="80"/>
        <v>52942.953026986623</v>
      </c>
      <c r="BK187" s="772">
        <f t="shared" ca="1" si="80"/>
        <v>52942.953026986623</v>
      </c>
      <c r="BL187" s="772">
        <f t="shared" ca="1" si="80"/>
        <v>52942.953026986623</v>
      </c>
      <c r="BM187" s="772">
        <f t="shared" ca="1" si="80"/>
        <v>52942.953026986623</v>
      </c>
      <c r="BN187" s="772">
        <f t="shared" ca="1" si="80"/>
        <v>52036.720760824486</v>
      </c>
      <c r="BO187" s="772">
        <f t="shared" ca="1" si="81"/>
        <v>52036.720760824486</v>
      </c>
      <c r="BP187" s="772">
        <f t="shared" ca="1" si="81"/>
        <v>51516.693724995399</v>
      </c>
      <c r="BQ187" s="772">
        <f t="shared" ca="1" si="81"/>
        <v>51516.693724995399</v>
      </c>
      <c r="BR187" s="772">
        <f t="shared" ca="1" si="81"/>
        <v>50945.85279015702</v>
      </c>
      <c r="BS187" s="772">
        <f t="shared" ca="1" si="81"/>
        <v>52942.953026986623</v>
      </c>
      <c r="BT187" s="772">
        <f t="shared" ca="1" si="81"/>
        <v>52942.953026986623</v>
      </c>
      <c r="BU187" s="772">
        <f t="shared" ca="1" si="81"/>
        <v>52942.953026986623</v>
      </c>
      <c r="BV187" s="772">
        <f t="shared" ca="1" si="81"/>
        <v>52510.598189938457</v>
      </c>
      <c r="BW187" s="772">
        <f t="shared" ca="1" si="81"/>
        <v>52510.598189938457</v>
      </c>
      <c r="BX187" s="772">
        <f t="shared" ref="BX187:CD201" ca="1" si="84">HLOOKUP(BX$7,$A$7:$P$348,ROW()-6)</f>
        <v>51516.693724995399</v>
      </c>
      <c r="BY187" s="772">
        <f t="shared" ca="1" si="84"/>
        <v>51516.693724995399</v>
      </c>
      <c r="BZ187" s="772">
        <f t="shared" ca="1" si="84"/>
        <v>50945.85279015702</v>
      </c>
      <c r="CA187" s="772">
        <f t="shared" ca="1" si="84"/>
        <v>50945.85279015702</v>
      </c>
      <c r="CB187" s="772">
        <f t="shared" ca="1" si="84"/>
        <v>52510.598189938457</v>
      </c>
      <c r="CC187" s="772">
        <f t="shared" ca="1" si="84"/>
        <v>52510.598189938457</v>
      </c>
      <c r="CD187" s="772">
        <f t="shared" ca="1" si="84"/>
        <v>52510.598189938457</v>
      </c>
      <c r="CE187" s="772">
        <f t="shared" ca="1" si="83"/>
        <v>52510.598189938457</v>
      </c>
      <c r="CF187" s="772">
        <f t="shared" ca="1" si="83"/>
        <v>52036.720760824486</v>
      </c>
      <c r="CG187" s="772">
        <f t="shared" ca="1" si="83"/>
        <v>51516.693724995399</v>
      </c>
      <c r="CH187" s="772">
        <f t="shared" ca="1" si="83"/>
        <v>50945.85279015702</v>
      </c>
      <c r="CI187" s="772">
        <f t="shared" ca="1" si="83"/>
        <v>50945.85279015702</v>
      </c>
      <c r="CJ187" s="772">
        <f t="shared" ca="1" si="83"/>
        <v>50319.757040266981</v>
      </c>
    </row>
    <row r="188" spans="1:88" ht="15" customHeight="1">
      <c r="A188" s="770">
        <f>'kc-Wert für Stützen'!C188</f>
        <v>240</v>
      </c>
      <c r="B188" s="768">
        <f ca="1">INDIRECT("'kc-Wert für Stützen'!"&amp;SUBSTITUTE(ADDRESS(MATCH($A188,'kc-Wert für Stützen'!$C:$C,0),MATCH(B$7,'kc-Wert für Stützen'!$A$8:$ES$8,0)+7,4),,))</f>
        <v>54523.96601469873</v>
      </c>
      <c r="C188" s="768">
        <f ca="1">INDIRECT("'kc-Wert für Stützen'!"&amp;SUBSTITUTE(ADDRESS(MATCH($A188,'kc-Wert für Stützen'!$C:$C,0),MATCH(C$7,'kc-Wert für Stützen'!$A$8:$ES$8,0)+7,4),,))</f>
        <v>54192.837181366427</v>
      </c>
      <c r="D188" s="768">
        <f ca="1">INDIRECT("'kc-Wert für Stützen'!"&amp;SUBSTITUTE(ADDRESS(MATCH($A188,'kc-Wert für Stützen'!$C:$C,0),MATCH(D$7,'kc-Wert für Stützen'!$A$8:$ES$8,0)+7,4),,))</f>
        <v>53832.880314517293</v>
      </c>
      <c r="E188" s="768">
        <f ca="1">INDIRECT("'kc-Wert für Stützen'!"&amp;SUBSTITUTE(ADDRESS(MATCH($A188,'kc-Wert für Stützen'!$C:$C,0),MATCH(E$7,'kc-Wert für Stützen'!$A$8:$ES$8,0)+7,4),,))</f>
        <v>53440.411608523849</v>
      </c>
      <c r="F188" s="768">
        <f ca="1">INDIRECT("'kc-Wert für Stützen'!"&amp;SUBSTITUTE(ADDRESS(MATCH($A188,'kc-Wert für Stützen'!$C:$C,0),MATCH(F$7,'kc-Wert für Stützen'!$A$8:$ES$8,0)+7,4),,))</f>
        <v>53011.386683487377</v>
      </c>
      <c r="G188" s="768">
        <f ca="1">INDIRECT("'kc-Wert für Stützen'!"&amp;SUBSTITUTE(ADDRESS(MATCH($A188,'kc-Wert für Stützen'!$C:$C,0),MATCH(G$7,'kc-Wert für Stützen'!$A$8:$ES$8,0)+7,4),,))</f>
        <v>52541.443248347401</v>
      </c>
      <c r="H188" s="768">
        <f ca="1">INDIRECT("'kc-Wert für Stützen'!"&amp;SUBSTITUTE(ADDRESS(MATCH($A188,'kc-Wert für Stützen'!$C:$C,0),MATCH(H$7,'kc-Wert für Stützen'!$A$8:$ES$8,0)+7,4),,))</f>
        <v>52025.993426518435</v>
      </c>
      <c r="I188" s="768">
        <f ca="1">INDIRECT("'kc-Wert für Stützen'!"&amp;SUBSTITUTE(ADDRESS(MATCH($A188,'kc-Wert für Stützen'!$C:$C,0),MATCH(I$7,'kc-Wert für Stützen'!$A$8:$ES$8,0)+7,4),,))</f>
        <v>51460.383831020394</v>
      </c>
      <c r="J188" s="768">
        <f ca="1">INDIRECT("'kc-Wert für Stützen'!"&amp;SUBSTITUTE(ADDRESS(MATCH($A188,'kc-Wert für Stützen'!$C:$C,0),MATCH(J$7,'kc-Wert für Stützen'!$A$8:$ES$8,0)+7,4),,))</f>
        <v>50840.14012578594</v>
      </c>
      <c r="K188" s="768">
        <f ca="1">INDIRECT("'kc-Wert für Stützen'!"&amp;SUBSTITUTE(ADDRESS(MATCH($A188,'kc-Wert für Stützen'!$C:$C,0),MATCH(K$7,'kc-Wert für Stützen'!$A$8:$ES$8,0)+7,4),,))</f>
        <v>50161.30488007488</v>
      </c>
      <c r="L188" s="768">
        <f ca="1">INDIRECT("'kc-Wert für Stützen'!"&amp;SUBSTITUTE(ADDRESS(MATCH($A188,'kc-Wert für Stützen'!$C:$C,0),MATCH(L$7,'kc-Wert für Stützen'!$A$8:$ES$8,0)+7,4),,))</f>
        <v>49420.860008848904</v>
      </c>
      <c r="M188" s="768">
        <f ca="1">INDIRECT("'kc-Wert für Stützen'!"&amp;SUBSTITUTE(ADDRESS(MATCH($A188,'kc-Wert für Stützen'!$C:$C,0),MATCH(M$7,'kc-Wert für Stützen'!$A$8:$ES$8,0)+7,4),,))</f>
        <v>48617.197359596947</v>
      </c>
      <c r="N188" s="768">
        <f ca="1">INDIRECT("'kc-Wert für Stützen'!"&amp;SUBSTITUTE(ADDRESS(MATCH($A188,'kc-Wert für Stützen'!$C:$C,0),MATCH(N$7,'kc-Wert für Stützen'!$A$8:$ES$8,0)+7,4),,))</f>
        <v>47750.568032423587</v>
      </c>
      <c r="O188" s="768">
        <f ca="1">INDIRECT("'kc-Wert für Stützen'!"&amp;SUBSTITUTE(ADDRESS(MATCH($A188,'kc-Wert für Stützen'!$C:$C,0),MATCH(O$7,'kc-Wert für Stützen'!$A$8:$ES$8,0)+7,4),,))</f>
        <v>46823.415349669885</v>
      </c>
      <c r="P188" s="768">
        <f ca="1">INDIRECT("'kc-Wert für Stützen'!"&amp;SUBSTITUTE(ADDRESS(MATCH($A188,'kc-Wert für Stützen'!$C:$C,0),MATCH(P$7,'kc-Wert für Stützen'!$A$8:$ES$8,0)+7,4),,))</f>
        <v>45840.495060123903</v>
      </c>
      <c r="S188" s="772">
        <f t="shared" ca="1" si="59"/>
        <v>53832.880314517293</v>
      </c>
      <c r="T188" s="772">
        <f t="shared" ca="1" si="82"/>
        <v>53832.880314517293</v>
      </c>
      <c r="U188" s="772">
        <f t="shared" ca="1" si="82"/>
        <v>53832.880314517293</v>
      </c>
      <c r="V188" s="772">
        <f t="shared" ca="1" si="82"/>
        <v>53440.411608523849</v>
      </c>
      <c r="W188" s="772">
        <f t="shared" ca="1" si="82"/>
        <v>53011.386683487377</v>
      </c>
      <c r="X188" s="772">
        <f t="shared" ca="1" si="82"/>
        <v>52541.443248347401</v>
      </c>
      <c r="Y188" s="772">
        <f t="shared" ca="1" si="82"/>
        <v>52025.993426518435</v>
      </c>
      <c r="Z188" s="772">
        <f t="shared" ca="1" si="82"/>
        <v>53832.880314517293</v>
      </c>
      <c r="AA188" s="772">
        <f t="shared" ca="1" si="82"/>
        <v>53832.880314517293</v>
      </c>
      <c r="AB188" s="772">
        <f t="shared" ref="AB188:AQ209" ca="1" si="85">HLOOKUP(AB$7,$A$7:$P$348,ROW()-6)</f>
        <v>53440.411608523849</v>
      </c>
      <c r="AC188" s="772">
        <f t="shared" ca="1" si="85"/>
        <v>53440.411608523849</v>
      </c>
      <c r="AD188" s="772">
        <f t="shared" ca="1" si="85"/>
        <v>53011.386683487377</v>
      </c>
      <c r="AE188" s="772">
        <f t="shared" ca="1" si="85"/>
        <v>53011.386683487377</v>
      </c>
      <c r="AF188" s="772">
        <f t="shared" ca="1" si="85"/>
        <v>52541.443248347401</v>
      </c>
      <c r="AG188" s="772">
        <f t="shared" ca="1" si="85"/>
        <v>52541.443248347401</v>
      </c>
      <c r="AH188" s="772">
        <f t="shared" ca="1" si="85"/>
        <v>52541.443248347401</v>
      </c>
      <c r="AI188" s="772">
        <f t="shared" ca="1" si="85"/>
        <v>53832.880314517293</v>
      </c>
      <c r="AJ188" s="772">
        <f t="shared" ca="1" si="85"/>
        <v>53832.880314517293</v>
      </c>
      <c r="AK188" s="772">
        <f t="shared" ca="1" si="85"/>
        <v>53440.411608523849</v>
      </c>
      <c r="AL188" s="772">
        <f t="shared" ca="1" si="85"/>
        <v>53440.411608523849</v>
      </c>
      <c r="AM188" s="772">
        <f t="shared" ca="1" si="85"/>
        <v>53011.386683487377</v>
      </c>
      <c r="AN188" s="772">
        <f t="shared" ca="1" si="85"/>
        <v>53011.386683487377</v>
      </c>
      <c r="AO188" s="772">
        <f t="shared" ca="1" si="85"/>
        <v>52541.443248347401</v>
      </c>
      <c r="AP188" s="772">
        <f t="shared" ca="1" si="85"/>
        <v>52541.443248347401</v>
      </c>
      <c r="AQ188" s="772">
        <f t="shared" ca="1" si="85"/>
        <v>52541.443248347401</v>
      </c>
      <c r="AR188" s="772">
        <f t="shared" ca="1" si="78"/>
        <v>53832.880314517293</v>
      </c>
      <c r="AS188" s="772">
        <f t="shared" ca="1" si="78"/>
        <v>53832.880314517293</v>
      </c>
      <c r="AT188" s="772">
        <f t="shared" ca="1" si="78"/>
        <v>53440.411608523849</v>
      </c>
      <c r="AU188" s="772">
        <f t="shared" ca="1" si="78"/>
        <v>53440.411608523849</v>
      </c>
      <c r="AV188" s="772">
        <f t="shared" ca="1" si="78"/>
        <v>53011.386683487377</v>
      </c>
      <c r="AW188" s="772">
        <f t="shared" ca="1" si="78"/>
        <v>53011.386683487377</v>
      </c>
      <c r="AX188" s="772">
        <f t="shared" ca="1" si="78"/>
        <v>52541.443248347401</v>
      </c>
      <c r="AY188" s="772">
        <f t="shared" ca="1" si="78"/>
        <v>52541.443248347401</v>
      </c>
      <c r="AZ188" s="772">
        <f t="shared" ca="1" si="78"/>
        <v>52541.443248347401</v>
      </c>
      <c r="BA188" s="772">
        <f t="shared" ca="1" si="78"/>
        <v>53832.880314517293</v>
      </c>
      <c r="BB188" s="772">
        <f t="shared" ca="1" si="78"/>
        <v>53832.880314517293</v>
      </c>
      <c r="BC188" s="772">
        <f t="shared" ca="1" si="78"/>
        <v>53440.411608523849</v>
      </c>
      <c r="BD188" s="772">
        <f t="shared" ca="1" si="78"/>
        <v>53011.386683487377</v>
      </c>
      <c r="BE188" s="772">
        <f t="shared" ca="1" si="78"/>
        <v>53011.386683487377</v>
      </c>
      <c r="BF188" s="772">
        <f t="shared" ca="1" si="78"/>
        <v>52541.443248347401</v>
      </c>
      <c r="BG188" s="772">
        <f t="shared" ca="1" si="78"/>
        <v>52541.443248347401</v>
      </c>
      <c r="BH188" s="772">
        <f t="shared" ca="1" si="80"/>
        <v>52025.993426518435</v>
      </c>
      <c r="BI188" s="772">
        <f t="shared" ca="1" si="80"/>
        <v>52025.993426518435</v>
      </c>
      <c r="BJ188" s="772">
        <f t="shared" ca="1" si="80"/>
        <v>53440.411608523849</v>
      </c>
      <c r="BK188" s="772">
        <f t="shared" ca="1" si="80"/>
        <v>53440.411608523849</v>
      </c>
      <c r="BL188" s="772">
        <f t="shared" ca="1" si="80"/>
        <v>53440.411608523849</v>
      </c>
      <c r="BM188" s="772">
        <f t="shared" ca="1" si="80"/>
        <v>53440.411608523849</v>
      </c>
      <c r="BN188" s="772">
        <f t="shared" ca="1" si="80"/>
        <v>52541.443248347401</v>
      </c>
      <c r="BO188" s="772">
        <f t="shared" ca="1" si="80"/>
        <v>52541.443248347401</v>
      </c>
      <c r="BP188" s="772">
        <f t="shared" ca="1" si="80"/>
        <v>52025.993426518435</v>
      </c>
      <c r="BQ188" s="772">
        <f t="shared" ca="1" si="80"/>
        <v>52025.993426518435</v>
      </c>
      <c r="BR188" s="772">
        <f t="shared" ca="1" si="80"/>
        <v>51460.383831020394</v>
      </c>
      <c r="BS188" s="772">
        <f t="shared" ca="1" si="80"/>
        <v>53440.411608523849</v>
      </c>
      <c r="BT188" s="772">
        <f t="shared" ca="1" si="80"/>
        <v>53440.411608523849</v>
      </c>
      <c r="BU188" s="772">
        <f t="shared" ca="1" si="80"/>
        <v>53440.411608523849</v>
      </c>
      <c r="BV188" s="772">
        <f t="shared" ca="1" si="80"/>
        <v>53011.386683487377</v>
      </c>
      <c r="BW188" s="772">
        <f t="shared" ca="1" si="80"/>
        <v>53011.386683487377</v>
      </c>
      <c r="BX188" s="772">
        <f t="shared" ca="1" si="84"/>
        <v>52025.993426518435</v>
      </c>
      <c r="BY188" s="772">
        <f t="shared" ca="1" si="84"/>
        <v>52025.993426518435</v>
      </c>
      <c r="BZ188" s="772">
        <f t="shared" ca="1" si="84"/>
        <v>51460.383831020394</v>
      </c>
      <c r="CA188" s="772">
        <f t="shared" ca="1" si="84"/>
        <v>51460.383831020394</v>
      </c>
      <c r="CB188" s="772">
        <f t="shared" ca="1" si="84"/>
        <v>53011.386683487377</v>
      </c>
      <c r="CC188" s="772">
        <f t="shared" ca="1" si="84"/>
        <v>53011.386683487377</v>
      </c>
      <c r="CD188" s="772">
        <f t="shared" ca="1" si="84"/>
        <v>53011.386683487377</v>
      </c>
      <c r="CE188" s="772">
        <f t="shared" ca="1" si="83"/>
        <v>53011.386683487377</v>
      </c>
      <c r="CF188" s="772">
        <f t="shared" ca="1" si="83"/>
        <v>52541.443248347401</v>
      </c>
      <c r="CG188" s="772">
        <f t="shared" ca="1" si="83"/>
        <v>52025.993426518435</v>
      </c>
      <c r="CH188" s="772">
        <f t="shared" ca="1" si="83"/>
        <v>51460.383831020394</v>
      </c>
      <c r="CI188" s="772">
        <f t="shared" ca="1" si="83"/>
        <v>51460.383831020394</v>
      </c>
      <c r="CJ188" s="772">
        <f t="shared" ca="1" si="83"/>
        <v>50840.14012578594</v>
      </c>
    </row>
    <row r="189" spans="1:88" ht="15" customHeight="1">
      <c r="A189" s="770">
        <f>'kc-Wert für Stützen'!C189</f>
        <v>241</v>
      </c>
      <c r="B189" s="768">
        <f ca="1">INDIRECT("'kc-Wert für Stützen'!"&amp;SUBSTITUTE(ADDRESS(MATCH($A189,'kc-Wert für Stützen'!$C:$C,0),MATCH(B$7,'kc-Wert für Stützen'!$A$8:$ES$8,0)+7,4),,))</f>
        <v>55016.343397568104</v>
      </c>
      <c r="C189" s="768">
        <f ca="1">INDIRECT("'kc-Wert für Stützen'!"&amp;SUBSTITUTE(ADDRESS(MATCH($A189,'kc-Wert für Stützen'!$C:$C,0),MATCH(C$7,'kc-Wert für Stützen'!$A$8:$ES$8,0)+7,4),,))</f>
        <v>54687.03211964955</v>
      </c>
      <c r="D189" s="768">
        <f ca="1">INDIRECT("'kc-Wert für Stützen'!"&amp;SUBSTITUTE(ADDRESS(MATCH($A189,'kc-Wert für Stützen'!$C:$C,0),MATCH(D$7,'kc-Wert für Stützen'!$A$8:$ES$8,0)+7,4),,))</f>
        <v>54329.311348707452</v>
      </c>
      <c r="E189" s="768">
        <f ca="1">INDIRECT("'kc-Wert für Stützen'!"&amp;SUBSTITUTE(ADDRESS(MATCH($A189,'kc-Wert für Stützen'!$C:$C,0),MATCH(E$7,'kc-Wert für Stützen'!$A$8:$ES$8,0)+7,4),,))</f>
        <v>53939.557652826705</v>
      </c>
      <c r="F189" s="768">
        <f ca="1">INDIRECT("'kc-Wert für Stützen'!"&amp;SUBSTITUTE(ADDRESS(MATCH($A189,'kc-Wert für Stützen'!$C:$C,0),MATCH(F$7,'kc-Wert für Stützen'!$A$8:$ES$8,0)+7,4),,))</f>
        <v>53513.787330162711</v>
      </c>
      <c r="G189" s="768">
        <f ca="1">INDIRECT("'kc-Wert für Stützen'!"&amp;SUBSTITUTE(ADDRESS(MATCH($A189,'kc-Wert für Stützen'!$C:$C,0),MATCH(G$7,'kc-Wert für Stützen'!$A$8:$ES$8,0)+7,4),,))</f>
        <v>53047.693496586799</v>
      </c>
      <c r="H189" s="768">
        <f ca="1">INDIRECT("'kc-Wert für Stützen'!"&amp;SUBSTITUTE(ADDRESS(MATCH($A189,'kc-Wert für Stützen'!$C:$C,0),MATCH(H$7,'kc-Wert für Stützen'!$A$8:$ES$8,0)+7,4),,))</f>
        <v>52536.729832421574</v>
      </c>
      <c r="I189" s="768">
        <f ca="1">INDIRECT("'kc-Wert für Stützen'!"&amp;SUBSTITUTE(ADDRESS(MATCH($A189,'kc-Wert für Stützen'!$C:$C,0),MATCH(I$7,'kc-Wert für Stützen'!$A$8:$ES$8,0)+7,4),,))</f>
        <v>51976.258573843108</v>
      </c>
      <c r="J189" s="768">
        <f ca="1">INDIRECT("'kc-Wert für Stützen'!"&amp;SUBSTITUTE(ADDRESS(MATCH($A189,'kc-Wert für Stützen'!$C:$C,0),MATCH(J$7,'kc-Wert für Stützen'!$A$8:$ES$8,0)+7,4),,))</f>
        <v>51361.779637491782</v>
      </c>
      <c r="K189" s="768">
        <f ca="1">INDIRECT("'kc-Wert für Stützen'!"&amp;SUBSTITUTE(ADDRESS(MATCH($A189,'kc-Wert für Stützen'!$C:$C,0),MATCH(K$7,'kc-Wert für Stützen'!$A$8:$ES$8,0)+7,4),,))</f>
        <v>50689.251112133257</v>
      </c>
      <c r="L189" s="768">
        <f ca="1">INDIRECT("'kc-Wert für Stützen'!"&amp;SUBSTITUTE(ADDRESS(MATCH($A189,'kc-Wert für Stützen'!$C:$C,0),MATCH(L$7,'kc-Wert für Stützen'!$A$8:$ES$8,0)+7,4),,))</f>
        <v>49955.495714530072</v>
      </c>
      <c r="M189" s="768">
        <f ca="1">INDIRECT("'kc-Wert für Stützen'!"&amp;SUBSTITUTE(ADDRESS(MATCH($A189,'kc-Wert für Stützen'!$C:$C,0),MATCH(M$7,'kc-Wert für Stützen'!$A$8:$ES$8,0)+7,4),,))</f>
        <v>49158.662057963542</v>
      </c>
      <c r="N189" s="768">
        <f ca="1">INDIRECT("'kc-Wert für Stützen'!"&amp;SUBSTITUTE(ADDRESS(MATCH($A189,'kc-Wert für Stützen'!$C:$C,0),MATCH(N$7,'kc-Wert für Stützen'!$A$8:$ES$8,0)+7,4),,))</f>
        <v>48298.677553906571</v>
      </c>
      <c r="O189" s="768">
        <f ca="1">INDIRECT("'kc-Wert für Stützen'!"&amp;SUBSTITUTE(ADDRESS(MATCH($A189,'kc-Wert für Stützen'!$C:$C,0),MATCH(O$7,'kc-Wert für Stützen'!$A$8:$ES$8,0)+7,4),,))</f>
        <v>47377.602536664308</v>
      </c>
      <c r="P189" s="768">
        <f ca="1">INDIRECT("'kc-Wert für Stützen'!"&amp;SUBSTITUTE(ADDRESS(MATCH($A189,'kc-Wert für Stützen'!$C:$C,0),MATCH(P$7,'kc-Wert für Stützen'!$A$8:$ES$8,0)+7,4),,))</f>
        <v>46399.789082403237</v>
      </c>
      <c r="S189" s="772">
        <f t="shared" ca="1" si="59"/>
        <v>54329.311348707452</v>
      </c>
      <c r="T189" s="772">
        <f t="shared" ca="1" si="82"/>
        <v>54329.311348707452</v>
      </c>
      <c r="U189" s="772">
        <f t="shared" ca="1" si="82"/>
        <v>54329.311348707452</v>
      </c>
      <c r="V189" s="772">
        <f t="shared" ca="1" si="82"/>
        <v>53939.557652826705</v>
      </c>
      <c r="W189" s="772">
        <f t="shared" ca="1" si="82"/>
        <v>53513.787330162711</v>
      </c>
      <c r="X189" s="772">
        <f t="shared" ca="1" si="82"/>
        <v>53047.693496586799</v>
      </c>
      <c r="Y189" s="772">
        <f t="shared" ca="1" si="82"/>
        <v>52536.729832421574</v>
      </c>
      <c r="Z189" s="772">
        <f t="shared" ca="1" si="82"/>
        <v>54329.311348707452</v>
      </c>
      <c r="AA189" s="772">
        <f t="shared" ca="1" si="82"/>
        <v>54329.311348707452</v>
      </c>
      <c r="AB189" s="772">
        <f t="shared" ca="1" si="85"/>
        <v>53939.557652826705</v>
      </c>
      <c r="AC189" s="772">
        <f t="shared" ca="1" si="85"/>
        <v>53939.557652826705</v>
      </c>
      <c r="AD189" s="772">
        <f t="shared" ca="1" si="85"/>
        <v>53513.787330162711</v>
      </c>
      <c r="AE189" s="772">
        <f t="shared" ca="1" si="85"/>
        <v>53513.787330162711</v>
      </c>
      <c r="AF189" s="772">
        <f t="shared" ca="1" si="85"/>
        <v>53047.693496586799</v>
      </c>
      <c r="AG189" s="772">
        <f t="shared" ca="1" si="85"/>
        <v>53047.693496586799</v>
      </c>
      <c r="AH189" s="772">
        <f t="shared" ca="1" si="85"/>
        <v>53047.693496586799</v>
      </c>
      <c r="AI189" s="772">
        <f t="shared" ca="1" si="85"/>
        <v>54329.311348707452</v>
      </c>
      <c r="AJ189" s="772">
        <f t="shared" ca="1" si="85"/>
        <v>54329.311348707452</v>
      </c>
      <c r="AK189" s="772">
        <f t="shared" ca="1" si="85"/>
        <v>53939.557652826705</v>
      </c>
      <c r="AL189" s="772">
        <f t="shared" ca="1" si="85"/>
        <v>53939.557652826705</v>
      </c>
      <c r="AM189" s="772">
        <f t="shared" ca="1" si="85"/>
        <v>53513.787330162711</v>
      </c>
      <c r="AN189" s="772">
        <f t="shared" ca="1" si="85"/>
        <v>53513.787330162711</v>
      </c>
      <c r="AO189" s="772">
        <f t="shared" ca="1" si="85"/>
        <v>53047.693496586799</v>
      </c>
      <c r="AP189" s="772">
        <f t="shared" ca="1" si="85"/>
        <v>53047.693496586799</v>
      </c>
      <c r="AQ189" s="772">
        <f t="shared" ca="1" si="85"/>
        <v>53047.693496586799</v>
      </c>
      <c r="AR189" s="772">
        <f t="shared" ca="1" si="78"/>
        <v>54329.311348707452</v>
      </c>
      <c r="AS189" s="772">
        <f t="shared" ca="1" si="78"/>
        <v>54329.311348707452</v>
      </c>
      <c r="AT189" s="772">
        <f t="shared" ca="1" si="78"/>
        <v>53939.557652826705</v>
      </c>
      <c r="AU189" s="772">
        <f t="shared" ca="1" si="78"/>
        <v>53939.557652826705</v>
      </c>
      <c r="AV189" s="772">
        <f t="shared" ca="1" si="78"/>
        <v>53513.787330162711</v>
      </c>
      <c r="AW189" s="772">
        <f t="shared" ca="1" si="78"/>
        <v>53513.787330162711</v>
      </c>
      <c r="AX189" s="772">
        <f t="shared" ca="1" si="78"/>
        <v>53047.693496586799</v>
      </c>
      <c r="AY189" s="772">
        <f t="shared" ca="1" si="78"/>
        <v>53047.693496586799</v>
      </c>
      <c r="AZ189" s="772">
        <f t="shared" ca="1" si="78"/>
        <v>53047.693496586799</v>
      </c>
      <c r="BA189" s="772">
        <f t="shared" ca="1" si="78"/>
        <v>54329.311348707452</v>
      </c>
      <c r="BB189" s="772">
        <f t="shared" ca="1" si="78"/>
        <v>54329.311348707452</v>
      </c>
      <c r="BC189" s="772">
        <f t="shared" ca="1" si="78"/>
        <v>53939.557652826705</v>
      </c>
      <c r="BD189" s="772">
        <f t="shared" ca="1" si="78"/>
        <v>53513.787330162711</v>
      </c>
      <c r="BE189" s="772">
        <f t="shared" ca="1" si="78"/>
        <v>53513.787330162711</v>
      </c>
      <c r="BF189" s="772">
        <f t="shared" ca="1" si="78"/>
        <v>53047.693496586799</v>
      </c>
      <c r="BG189" s="772">
        <f t="shared" ca="1" si="78"/>
        <v>53047.693496586799</v>
      </c>
      <c r="BH189" s="772">
        <f t="shared" ca="1" si="80"/>
        <v>52536.729832421574</v>
      </c>
      <c r="BI189" s="772">
        <f t="shared" ca="1" si="80"/>
        <v>52536.729832421574</v>
      </c>
      <c r="BJ189" s="772">
        <f t="shared" ca="1" si="80"/>
        <v>53939.557652826705</v>
      </c>
      <c r="BK189" s="772">
        <f t="shared" ca="1" si="80"/>
        <v>53939.557652826705</v>
      </c>
      <c r="BL189" s="772">
        <f t="shared" ca="1" si="80"/>
        <v>53939.557652826705</v>
      </c>
      <c r="BM189" s="772">
        <f t="shared" ca="1" si="80"/>
        <v>53939.557652826705</v>
      </c>
      <c r="BN189" s="772">
        <f t="shared" ca="1" si="80"/>
        <v>53047.693496586799</v>
      </c>
      <c r="BO189" s="772">
        <f t="shared" ca="1" si="80"/>
        <v>53047.693496586799</v>
      </c>
      <c r="BP189" s="772">
        <f t="shared" ca="1" si="80"/>
        <v>52536.729832421574</v>
      </c>
      <c r="BQ189" s="772">
        <f t="shared" ca="1" si="80"/>
        <v>52536.729832421574</v>
      </c>
      <c r="BR189" s="772">
        <f t="shared" ca="1" si="80"/>
        <v>51976.258573843108</v>
      </c>
      <c r="BS189" s="772">
        <f t="shared" ca="1" si="80"/>
        <v>53939.557652826705</v>
      </c>
      <c r="BT189" s="772">
        <f t="shared" ca="1" si="80"/>
        <v>53939.557652826705</v>
      </c>
      <c r="BU189" s="772">
        <f t="shared" ca="1" si="80"/>
        <v>53939.557652826705</v>
      </c>
      <c r="BV189" s="772">
        <f t="shared" ca="1" si="80"/>
        <v>53513.787330162711</v>
      </c>
      <c r="BW189" s="772">
        <f t="shared" ca="1" si="80"/>
        <v>53513.787330162711</v>
      </c>
      <c r="BX189" s="772">
        <f t="shared" ca="1" si="84"/>
        <v>52536.729832421574</v>
      </c>
      <c r="BY189" s="772">
        <f t="shared" ca="1" si="84"/>
        <v>52536.729832421574</v>
      </c>
      <c r="BZ189" s="772">
        <f t="shared" ca="1" si="84"/>
        <v>51976.258573843108</v>
      </c>
      <c r="CA189" s="772">
        <f t="shared" ca="1" si="84"/>
        <v>51976.258573843108</v>
      </c>
      <c r="CB189" s="772">
        <f t="shared" ca="1" si="84"/>
        <v>53513.787330162711</v>
      </c>
      <c r="CC189" s="772">
        <f t="shared" ca="1" si="84"/>
        <v>53513.787330162711</v>
      </c>
      <c r="CD189" s="772">
        <f t="shared" ca="1" si="84"/>
        <v>53513.787330162711</v>
      </c>
      <c r="CE189" s="772">
        <f t="shared" ca="1" si="83"/>
        <v>53513.787330162711</v>
      </c>
      <c r="CF189" s="772">
        <f t="shared" ca="1" si="83"/>
        <v>53047.693496586799</v>
      </c>
      <c r="CG189" s="772">
        <f t="shared" ca="1" si="83"/>
        <v>52536.729832421574</v>
      </c>
      <c r="CH189" s="772">
        <f t="shared" ca="1" si="83"/>
        <v>51976.258573843108</v>
      </c>
      <c r="CI189" s="772">
        <f t="shared" ca="1" si="83"/>
        <v>51976.258573843108</v>
      </c>
      <c r="CJ189" s="772">
        <f t="shared" ca="1" si="83"/>
        <v>51361.779637491782</v>
      </c>
    </row>
    <row r="190" spans="1:88" ht="15" customHeight="1">
      <c r="A190" s="770">
        <f>'kc-Wert für Stützen'!C190</f>
        <v>242</v>
      </c>
      <c r="B190" s="768">
        <f ca="1">INDIRECT("'kc-Wert für Stützen'!"&amp;SUBSTITUTE(ADDRESS(MATCH($A190,'kc-Wert für Stützen'!$C:$C,0),MATCH(B$7,'kc-Wert für Stützen'!$A$8:$ES$8,0)+7,4),,))</f>
        <v>55510.58101649896</v>
      </c>
      <c r="C190" s="768">
        <f ca="1">INDIRECT("'kc-Wert für Stützen'!"&amp;SUBSTITUTE(ADDRESS(MATCH($A190,'kc-Wert für Stützen'!$C:$C,0),MATCH(C$7,'kc-Wert für Stützen'!$A$8:$ES$8,0)+7,4),,))</f>
        <v>55183.041719042747</v>
      </c>
      <c r="D190" s="768">
        <f ca="1">INDIRECT("'kc-Wert für Stützen'!"&amp;SUBSTITUTE(ADDRESS(MATCH($A190,'kc-Wert für Stützen'!$C:$C,0),MATCH(D$7,'kc-Wert für Stützen'!$A$8:$ES$8,0)+7,4),,))</f>
        <v>54827.502708403241</v>
      </c>
      <c r="E190" s="768">
        <f ca="1">INDIRECT("'kc-Wert für Stützen'!"&amp;SUBSTITUTE(ADDRESS(MATCH($A190,'kc-Wert für Stützen'!$C:$C,0),MATCH(E$7,'kc-Wert für Stützen'!$A$8:$ES$8,0)+7,4),,))</f>
        <v>54440.40013236567</v>
      </c>
      <c r="F190" s="768">
        <f ca="1">INDIRECT("'kc-Wert für Stützen'!"&amp;SUBSTITUTE(ADDRESS(MATCH($A190,'kc-Wert für Stützen'!$C:$C,0),MATCH(F$7,'kc-Wert für Stützen'!$A$8:$ES$8,0)+7,4),,))</f>
        <v>54017.810683844567</v>
      </c>
      <c r="G190" s="768">
        <f ca="1">INDIRECT("'kc-Wert für Stützen'!"&amp;SUBSTITUTE(ADDRESS(MATCH($A190,'kc-Wert für Stützen'!$C:$C,0),MATCH(G$7,'kc-Wert für Stützen'!$A$8:$ES$8,0)+7,4),,))</f>
        <v>53555.483530220328</v>
      </c>
      <c r="H190" s="768">
        <f ca="1">INDIRECT("'kc-Wert für Stützen'!"&amp;SUBSTITUTE(ADDRESS(MATCH($A190,'kc-Wert für Stützen'!$C:$C,0),MATCH(H$7,'kc-Wert für Stützen'!$A$8:$ES$8,0)+7,4),,))</f>
        <v>53048.916044565929</v>
      </c>
      <c r="I190" s="768">
        <f ca="1">INDIRECT("'kc-Wert für Stützen'!"&amp;SUBSTITUTE(ADDRESS(MATCH($A190,'kc-Wert für Stützen'!$C:$C,0),MATCH(I$7,'kc-Wert für Stützen'!$A$8:$ES$8,0)+7,4),,))</f>
        <v>52493.490387326579</v>
      </c>
      <c r="J190" s="768">
        <f ca="1">INDIRECT("'kc-Wert für Stützen'!"&amp;SUBSTITUTE(ADDRESS(MATCH($A190,'kc-Wert für Stützen'!$C:$C,0),MATCH(J$7,'kc-Wert für Stützen'!$A$8:$ES$8,0)+7,4),,))</f>
        <v>51884.687855520453</v>
      </c>
      <c r="K190" s="768">
        <f ca="1">INDIRECT("'kc-Wert für Stützen'!"&amp;SUBSTITUTE(ADDRESS(MATCH($A190,'kc-Wert für Stützen'!$C:$C,0),MATCH(K$7,'kc-Wert für Stützen'!$A$8:$ES$8,0)+7,4),,))</f>
        <v>51218.392411871886</v>
      </c>
      <c r="L190" s="768">
        <f ca="1">INDIRECT("'kc-Wert für Stützen'!"&amp;SUBSTITUTE(ADDRESS(MATCH($A190,'kc-Wert für Stützen'!$C:$C,0),MATCH(L$7,'kc-Wert für Stützen'!$A$8:$ES$8,0)+7,4),,))</f>
        <v>50491.280927473352</v>
      </c>
      <c r="M190" s="768">
        <f ca="1">INDIRECT("'kc-Wert für Stützen'!"&amp;SUBSTITUTE(ADDRESS(MATCH($A190,'kc-Wert für Stützen'!$C:$C,0),MATCH(M$7,'kc-Wert für Stützen'!$A$8:$ES$8,0)+7,4),,))</f>
        <v>49701.273891825957</v>
      </c>
      <c r="N190" s="768">
        <f ca="1">INDIRECT("'kc-Wert für Stützen'!"&amp;SUBSTITUTE(ADDRESS(MATCH($A190,'kc-Wert für Stützen'!$C:$C,0),MATCH(N$7,'kc-Wert für Stützen'!$A$8:$ES$8,0)+7,4),,))</f>
        <v>48847.989480423501</v>
      </c>
      <c r="O190" s="768">
        <f ca="1">INDIRECT("'kc-Wert für Stützen'!"&amp;SUBSTITUTE(ADDRESS(MATCH($A190,'kc-Wert für Stützen'!$C:$C,0),MATCH(O$7,'kc-Wert für Stützen'!$A$8:$ES$8,0)+7,4),,))</f>
        <v>47933.115579217578</v>
      </c>
      <c r="P190" s="768">
        <f ca="1">INDIRECT("'kc-Wert für Stützen'!"&amp;SUBSTITUTE(ADDRESS(MATCH($A190,'kc-Wert für Stützen'!$C:$C,0),MATCH(P$7,'kc-Wert für Stützen'!$A$8:$ES$8,0)+7,4),,))</f>
        <v>46960.604064550418</v>
      </c>
      <c r="S190" s="772">
        <f t="shared" ca="1" si="59"/>
        <v>54827.502708403241</v>
      </c>
      <c r="T190" s="772">
        <f t="shared" ca="1" si="82"/>
        <v>54827.502708403241</v>
      </c>
      <c r="U190" s="772">
        <f t="shared" ca="1" si="82"/>
        <v>54827.502708403241</v>
      </c>
      <c r="V190" s="772">
        <f t="shared" ca="1" si="82"/>
        <v>54440.40013236567</v>
      </c>
      <c r="W190" s="772">
        <f t="shared" ca="1" si="82"/>
        <v>54017.810683844567</v>
      </c>
      <c r="X190" s="772">
        <f t="shared" ca="1" si="82"/>
        <v>53555.483530220328</v>
      </c>
      <c r="Y190" s="772">
        <f t="shared" ca="1" si="82"/>
        <v>53048.916044565929</v>
      </c>
      <c r="Z190" s="772">
        <f t="shared" ca="1" si="82"/>
        <v>54827.502708403241</v>
      </c>
      <c r="AA190" s="772">
        <f t="shared" ca="1" si="82"/>
        <v>54827.502708403241</v>
      </c>
      <c r="AB190" s="772">
        <f t="shared" ca="1" si="85"/>
        <v>54440.40013236567</v>
      </c>
      <c r="AC190" s="772">
        <f t="shared" ca="1" si="85"/>
        <v>54440.40013236567</v>
      </c>
      <c r="AD190" s="772">
        <f t="shared" ca="1" si="85"/>
        <v>54017.810683844567</v>
      </c>
      <c r="AE190" s="772">
        <f t="shared" ca="1" si="85"/>
        <v>54017.810683844567</v>
      </c>
      <c r="AF190" s="772">
        <f t="shared" ca="1" si="85"/>
        <v>53555.483530220328</v>
      </c>
      <c r="AG190" s="772">
        <f t="shared" ca="1" si="85"/>
        <v>53555.483530220328</v>
      </c>
      <c r="AH190" s="772">
        <f t="shared" ca="1" si="85"/>
        <v>53555.483530220328</v>
      </c>
      <c r="AI190" s="772">
        <f t="shared" ca="1" si="85"/>
        <v>54827.502708403241</v>
      </c>
      <c r="AJ190" s="772">
        <f t="shared" ca="1" si="85"/>
        <v>54827.502708403241</v>
      </c>
      <c r="AK190" s="772">
        <f t="shared" ca="1" si="85"/>
        <v>54440.40013236567</v>
      </c>
      <c r="AL190" s="772">
        <f t="shared" ca="1" si="85"/>
        <v>54440.40013236567</v>
      </c>
      <c r="AM190" s="772">
        <f t="shared" ca="1" si="85"/>
        <v>54017.810683844567</v>
      </c>
      <c r="AN190" s="772">
        <f t="shared" ca="1" si="85"/>
        <v>54017.810683844567</v>
      </c>
      <c r="AO190" s="772">
        <f t="shared" ca="1" si="85"/>
        <v>53555.483530220328</v>
      </c>
      <c r="AP190" s="772">
        <f t="shared" ca="1" si="85"/>
        <v>53555.483530220328</v>
      </c>
      <c r="AQ190" s="772">
        <f t="shared" ca="1" si="85"/>
        <v>53555.483530220328</v>
      </c>
      <c r="AR190" s="772">
        <f t="shared" ca="1" si="78"/>
        <v>54827.502708403241</v>
      </c>
      <c r="AS190" s="772">
        <f t="shared" ca="1" si="78"/>
        <v>54827.502708403241</v>
      </c>
      <c r="AT190" s="772">
        <f t="shared" ca="1" si="78"/>
        <v>54440.40013236567</v>
      </c>
      <c r="AU190" s="772">
        <f t="shared" ca="1" si="78"/>
        <v>54440.40013236567</v>
      </c>
      <c r="AV190" s="772">
        <f t="shared" ca="1" si="78"/>
        <v>54017.810683844567</v>
      </c>
      <c r="AW190" s="772">
        <f t="shared" ca="1" si="78"/>
        <v>54017.810683844567</v>
      </c>
      <c r="AX190" s="772">
        <f t="shared" ca="1" si="78"/>
        <v>53555.483530220328</v>
      </c>
      <c r="AY190" s="772">
        <f t="shared" ca="1" si="78"/>
        <v>53555.483530220328</v>
      </c>
      <c r="AZ190" s="772">
        <f t="shared" ca="1" si="78"/>
        <v>53555.483530220328</v>
      </c>
      <c r="BA190" s="772">
        <f t="shared" ca="1" si="78"/>
        <v>54827.502708403241</v>
      </c>
      <c r="BB190" s="772">
        <f t="shared" ca="1" si="78"/>
        <v>54827.502708403241</v>
      </c>
      <c r="BC190" s="772">
        <f t="shared" ca="1" si="78"/>
        <v>54440.40013236567</v>
      </c>
      <c r="BD190" s="772">
        <f t="shared" ca="1" si="78"/>
        <v>54017.810683844567</v>
      </c>
      <c r="BE190" s="772">
        <f t="shared" ca="1" si="78"/>
        <v>54017.810683844567</v>
      </c>
      <c r="BF190" s="772">
        <f t="shared" ca="1" si="78"/>
        <v>53555.483530220328</v>
      </c>
      <c r="BG190" s="772">
        <f t="shared" ca="1" si="78"/>
        <v>53555.483530220328</v>
      </c>
      <c r="BH190" s="772">
        <f t="shared" ca="1" si="80"/>
        <v>53048.916044565929</v>
      </c>
      <c r="BI190" s="772">
        <f t="shared" ca="1" si="80"/>
        <v>53048.916044565929</v>
      </c>
      <c r="BJ190" s="772">
        <f t="shared" ca="1" si="80"/>
        <v>54440.40013236567</v>
      </c>
      <c r="BK190" s="772">
        <f t="shared" ca="1" si="80"/>
        <v>54440.40013236567</v>
      </c>
      <c r="BL190" s="772">
        <f t="shared" ca="1" si="80"/>
        <v>54440.40013236567</v>
      </c>
      <c r="BM190" s="772">
        <f t="shared" ca="1" si="80"/>
        <v>54440.40013236567</v>
      </c>
      <c r="BN190" s="772">
        <f t="shared" ca="1" si="80"/>
        <v>53555.483530220328</v>
      </c>
      <c r="BO190" s="772">
        <f t="shared" ca="1" si="80"/>
        <v>53555.483530220328</v>
      </c>
      <c r="BP190" s="772">
        <f t="shared" ca="1" si="80"/>
        <v>53048.916044565929</v>
      </c>
      <c r="BQ190" s="772">
        <f t="shared" ca="1" si="80"/>
        <v>53048.916044565929</v>
      </c>
      <c r="BR190" s="772">
        <f t="shared" ca="1" si="80"/>
        <v>52493.490387326579</v>
      </c>
      <c r="BS190" s="772">
        <f t="shared" ca="1" si="80"/>
        <v>54440.40013236567</v>
      </c>
      <c r="BT190" s="772">
        <f t="shared" ca="1" si="80"/>
        <v>54440.40013236567</v>
      </c>
      <c r="BU190" s="772">
        <f t="shared" ca="1" si="80"/>
        <v>54440.40013236567</v>
      </c>
      <c r="BV190" s="772">
        <f t="shared" ca="1" si="80"/>
        <v>54017.810683844567</v>
      </c>
      <c r="BW190" s="772">
        <f t="shared" ca="1" si="80"/>
        <v>54017.810683844567</v>
      </c>
      <c r="BX190" s="772">
        <f t="shared" ca="1" si="84"/>
        <v>53048.916044565929</v>
      </c>
      <c r="BY190" s="772">
        <f t="shared" ca="1" si="84"/>
        <v>53048.916044565929</v>
      </c>
      <c r="BZ190" s="772">
        <f t="shared" ca="1" si="84"/>
        <v>52493.490387326579</v>
      </c>
      <c r="CA190" s="772">
        <f t="shared" ca="1" si="84"/>
        <v>52493.490387326579</v>
      </c>
      <c r="CB190" s="772">
        <f t="shared" ca="1" si="84"/>
        <v>54017.810683844567</v>
      </c>
      <c r="CC190" s="772">
        <f t="shared" ca="1" si="84"/>
        <v>54017.810683844567</v>
      </c>
      <c r="CD190" s="772">
        <f t="shared" ca="1" si="84"/>
        <v>54017.810683844567</v>
      </c>
      <c r="CE190" s="772">
        <f t="shared" ca="1" si="83"/>
        <v>54017.810683844567</v>
      </c>
      <c r="CF190" s="772">
        <f t="shared" ca="1" si="83"/>
        <v>53555.483530220328</v>
      </c>
      <c r="CG190" s="772">
        <f t="shared" ca="1" si="83"/>
        <v>53048.916044565929</v>
      </c>
      <c r="CH190" s="772">
        <f t="shared" ca="1" si="83"/>
        <v>52493.490387326579</v>
      </c>
      <c r="CI190" s="772">
        <f t="shared" ca="1" si="83"/>
        <v>52493.490387326579</v>
      </c>
      <c r="CJ190" s="772">
        <f t="shared" ca="1" si="83"/>
        <v>51884.687855520453</v>
      </c>
    </row>
    <row r="191" spans="1:88" ht="15" customHeight="1">
      <c r="A191" s="770">
        <f>'kc-Wert für Stützen'!C191</f>
        <v>243</v>
      </c>
      <c r="B191" s="768">
        <f ca="1">INDIRECT("'kc-Wert für Stützen'!"&amp;SUBSTITUTE(ADDRESS(MATCH($A191,'kc-Wert für Stützen'!$C:$C,0),MATCH(B$7,'kc-Wert für Stützen'!$A$8:$ES$8,0)+7,4),,))</f>
        <v>56006.683624793193</v>
      </c>
      <c r="C191" s="768">
        <f ca="1">INDIRECT("'kc-Wert für Stützen'!"&amp;SUBSTITUTE(ADDRESS(MATCH($A191,'kc-Wert für Stützen'!$C:$C,0),MATCH(C$7,'kc-Wert für Stützen'!$A$8:$ES$8,0)+7,4),,))</f>
        <v>55680.871884259046</v>
      </c>
      <c r="D191" s="768">
        <f ca="1">INDIRECT("'kc-Wert für Stützen'!"&amp;SUBSTITUTE(ADDRESS(MATCH($A191,'kc-Wert für Stützen'!$C:$C,0),MATCH(D$7,'kc-Wert für Stützen'!$A$8:$ES$8,0)+7,4),,))</f>
        <v>55327.461635714753</v>
      </c>
      <c r="E191" s="768">
        <f ca="1">INDIRECT("'kc-Wert für Stützen'!"&amp;SUBSTITUTE(ADDRESS(MATCH($A191,'kc-Wert für Stützen'!$C:$C,0),MATCH(E$7,'kc-Wert für Stützen'!$A$8:$ES$8,0)+7,4),,))</f>
        <v>54942.947782121111</v>
      </c>
      <c r="F191" s="768">
        <f ca="1">INDIRECT("'kc-Wert für Stützen'!"&amp;SUBSTITUTE(ADDRESS(MATCH($A191,'kc-Wert für Stützen'!$C:$C,0),MATCH(F$7,'kc-Wert für Stützen'!$A$8:$ES$8,0)+7,4),,))</f>
        <v>54523.467047660684</v>
      </c>
      <c r="G191" s="768">
        <f ca="1">INDIRECT("'kc-Wert für Stützen'!"&amp;SUBSTITUTE(ADDRESS(MATCH($A191,'kc-Wert für Stützen'!$C:$C,0),MATCH(G$7,'kc-Wert für Stützen'!$A$8:$ES$8,0)+7,4),,))</f>
        <v>54064.825139489716</v>
      </c>
      <c r="H191" s="768">
        <f ca="1">INDIRECT("'kc-Wert für Stützen'!"&amp;SUBSTITUTE(ADDRESS(MATCH($A191,'kc-Wert für Stützen'!$C:$C,0),MATCH(H$7,'kc-Wert für Stützen'!$A$8:$ES$8,0)+7,4),,))</f>
        <v>53562.564997331647</v>
      </c>
      <c r="I191" s="768">
        <f ca="1">INDIRECT("'kc-Wert für Stützen'!"&amp;SUBSTITUTE(ADDRESS(MATCH($A191,'kc-Wert für Stützen'!$C:$C,0),MATCH(I$7,'kc-Wert für Stützen'!$A$8:$ES$8,0)+7,4),,))</f>
        <v>53012.092615943715</v>
      </c>
      <c r="J191" s="768">
        <f ca="1">INDIRECT("'kc-Wert für Stützen'!"&amp;SUBSTITUTE(ADDRESS(MATCH($A191,'kc-Wert für Stützen'!$C:$C,0),MATCH(J$7,'kc-Wert für Stützen'!$A$8:$ES$8,0)+7,4),,))</f>
        <v>52408.877280245761</v>
      </c>
      <c r="K191" s="768">
        <f ca="1">INDIRECT("'kc-Wert für Stützen'!"&amp;SUBSTITUTE(ADDRESS(MATCH($A191,'kc-Wert für Stützen'!$C:$C,0),MATCH(K$7,'kc-Wert für Stützen'!$A$8:$ES$8,0)+7,4),,))</f>
        <v>51748.738580855381</v>
      </c>
      <c r="L191" s="768">
        <f ca="1">INDIRECT("'kc-Wert für Stützen'!"&amp;SUBSTITUTE(ADDRESS(MATCH($A191,'kc-Wert für Stützen'!$C:$C,0),MATCH(L$7,'kc-Wert für Stützen'!$A$8:$ES$8,0)+7,4),,))</f>
        <v>51028.220335666992</v>
      </c>
      <c r="M191" s="768">
        <f ca="1">INDIRECT("'kc-Wert für Stützen'!"&amp;SUBSTITUTE(ADDRESS(MATCH($A191,'kc-Wert für Stützen'!$C:$C,0),MATCH(M$7,'kc-Wert für Stützen'!$A$8:$ES$8,0)+7,4),,))</f>
        <v>50245.029695327932</v>
      </c>
      <c r="N191" s="768">
        <f ca="1">INDIRECT("'kc-Wert für Stützen'!"&amp;SUBSTITUTE(ADDRESS(MATCH($A191,'kc-Wert für Stützen'!$C:$C,0),MATCH(N$7,'kc-Wert für Stützen'!$A$8:$ES$8,0)+7,4),,))</f>
        <v>49398.490182129732</v>
      </c>
      <c r="O191" s="768">
        <f ca="1">INDIRECT("'kc-Wert für Stützen'!"&amp;SUBSTITUTE(ADDRESS(MATCH($A191,'kc-Wert für Stützen'!$C:$C,0),MATCH(O$7,'kc-Wert für Stützen'!$A$8:$ES$8,0)+7,4),,))</f>
        <v>48489.928507671422</v>
      </c>
      <c r="P191" s="768">
        <f ca="1">INDIRECT("'kc-Wert für Stützen'!"&amp;SUBSTITUTE(ADDRESS(MATCH($A191,'kc-Wert für Stützen'!$C:$C,0),MATCH(P$7,'kc-Wert für Stützen'!$A$8:$ES$8,0)+7,4),,))</f>
        <v>47522.901123965283</v>
      </c>
      <c r="S191" s="772">
        <f t="shared" ca="1" si="59"/>
        <v>55327.461635714753</v>
      </c>
      <c r="T191" s="772">
        <f t="shared" ca="1" si="82"/>
        <v>55327.461635714753</v>
      </c>
      <c r="U191" s="772">
        <f t="shared" ca="1" si="82"/>
        <v>55327.461635714753</v>
      </c>
      <c r="V191" s="772">
        <f t="shared" ca="1" si="82"/>
        <v>54942.947782121111</v>
      </c>
      <c r="W191" s="772">
        <f t="shared" ca="1" si="82"/>
        <v>54523.467047660684</v>
      </c>
      <c r="X191" s="772">
        <f t="shared" ca="1" si="82"/>
        <v>54064.825139489716</v>
      </c>
      <c r="Y191" s="772">
        <f t="shared" ca="1" si="82"/>
        <v>53562.564997331647</v>
      </c>
      <c r="Z191" s="772">
        <f t="shared" ca="1" si="82"/>
        <v>55327.461635714753</v>
      </c>
      <c r="AA191" s="772">
        <f t="shared" ca="1" si="82"/>
        <v>55327.461635714753</v>
      </c>
      <c r="AB191" s="772">
        <f t="shared" ca="1" si="85"/>
        <v>54942.947782121111</v>
      </c>
      <c r="AC191" s="772">
        <f t="shared" ca="1" si="85"/>
        <v>54942.947782121111</v>
      </c>
      <c r="AD191" s="772">
        <f t="shared" ca="1" si="85"/>
        <v>54523.467047660684</v>
      </c>
      <c r="AE191" s="772">
        <f t="shared" ca="1" si="85"/>
        <v>54523.467047660684</v>
      </c>
      <c r="AF191" s="772">
        <f t="shared" ca="1" si="85"/>
        <v>54064.825139489716</v>
      </c>
      <c r="AG191" s="772">
        <f t="shared" ca="1" si="85"/>
        <v>54064.825139489716</v>
      </c>
      <c r="AH191" s="772">
        <f t="shared" ca="1" si="85"/>
        <v>54064.825139489716</v>
      </c>
      <c r="AI191" s="772">
        <f t="shared" ca="1" si="85"/>
        <v>55327.461635714753</v>
      </c>
      <c r="AJ191" s="772">
        <f t="shared" ca="1" si="85"/>
        <v>55327.461635714753</v>
      </c>
      <c r="AK191" s="772">
        <f t="shared" ca="1" si="85"/>
        <v>54942.947782121111</v>
      </c>
      <c r="AL191" s="772">
        <f t="shared" ca="1" si="85"/>
        <v>54942.947782121111</v>
      </c>
      <c r="AM191" s="772">
        <f t="shared" ca="1" si="85"/>
        <v>54523.467047660684</v>
      </c>
      <c r="AN191" s="772">
        <f t="shared" ca="1" si="85"/>
        <v>54523.467047660684</v>
      </c>
      <c r="AO191" s="772">
        <f t="shared" ca="1" si="85"/>
        <v>54064.825139489716</v>
      </c>
      <c r="AP191" s="772">
        <f t="shared" ca="1" si="85"/>
        <v>54064.825139489716</v>
      </c>
      <c r="AQ191" s="772">
        <f t="shared" ca="1" si="85"/>
        <v>54064.825139489716</v>
      </c>
      <c r="AR191" s="772">
        <f t="shared" ca="1" si="78"/>
        <v>55327.461635714753</v>
      </c>
      <c r="AS191" s="772">
        <f t="shared" ca="1" si="78"/>
        <v>55327.461635714753</v>
      </c>
      <c r="AT191" s="772">
        <f t="shared" ca="1" si="78"/>
        <v>54942.947782121111</v>
      </c>
      <c r="AU191" s="772">
        <f t="shared" ca="1" si="78"/>
        <v>54942.947782121111</v>
      </c>
      <c r="AV191" s="772">
        <f t="shared" ca="1" si="78"/>
        <v>54523.467047660684</v>
      </c>
      <c r="AW191" s="772">
        <f t="shared" ca="1" si="78"/>
        <v>54523.467047660684</v>
      </c>
      <c r="AX191" s="772">
        <f t="shared" ca="1" si="78"/>
        <v>54064.825139489716</v>
      </c>
      <c r="AY191" s="772">
        <f t="shared" ca="1" si="78"/>
        <v>54064.825139489716</v>
      </c>
      <c r="AZ191" s="772">
        <f t="shared" ca="1" si="78"/>
        <v>54064.825139489716</v>
      </c>
      <c r="BA191" s="772">
        <f t="shared" ca="1" si="78"/>
        <v>55327.461635714753</v>
      </c>
      <c r="BB191" s="772">
        <f t="shared" ca="1" si="78"/>
        <v>55327.461635714753</v>
      </c>
      <c r="BC191" s="772">
        <f t="shared" ca="1" si="78"/>
        <v>54942.947782121111</v>
      </c>
      <c r="BD191" s="772">
        <f t="shared" ca="1" si="78"/>
        <v>54523.467047660684</v>
      </c>
      <c r="BE191" s="772">
        <f t="shared" ca="1" si="78"/>
        <v>54523.467047660684</v>
      </c>
      <c r="BF191" s="772">
        <f t="shared" ca="1" si="78"/>
        <v>54064.825139489716</v>
      </c>
      <c r="BG191" s="772">
        <f t="shared" ca="1" si="78"/>
        <v>54064.825139489716</v>
      </c>
      <c r="BH191" s="772">
        <f t="shared" ca="1" si="80"/>
        <v>53562.564997331647</v>
      </c>
      <c r="BI191" s="772">
        <f t="shared" ca="1" si="80"/>
        <v>53562.564997331647</v>
      </c>
      <c r="BJ191" s="772">
        <f t="shared" ca="1" si="80"/>
        <v>54942.947782121111</v>
      </c>
      <c r="BK191" s="772">
        <f t="shared" ca="1" si="80"/>
        <v>54942.947782121111</v>
      </c>
      <c r="BL191" s="772">
        <f t="shared" ca="1" si="80"/>
        <v>54942.947782121111</v>
      </c>
      <c r="BM191" s="772">
        <f t="shared" ca="1" si="80"/>
        <v>54942.947782121111</v>
      </c>
      <c r="BN191" s="772">
        <f t="shared" ca="1" si="80"/>
        <v>54064.825139489716</v>
      </c>
      <c r="BO191" s="772">
        <f t="shared" ca="1" si="80"/>
        <v>54064.825139489716</v>
      </c>
      <c r="BP191" s="772">
        <f t="shared" ca="1" si="80"/>
        <v>53562.564997331647</v>
      </c>
      <c r="BQ191" s="772">
        <f t="shared" ca="1" si="80"/>
        <v>53562.564997331647</v>
      </c>
      <c r="BR191" s="772">
        <f t="shared" ca="1" si="80"/>
        <v>53012.092615943715</v>
      </c>
      <c r="BS191" s="772">
        <f t="shared" ca="1" si="80"/>
        <v>54942.947782121111</v>
      </c>
      <c r="BT191" s="772">
        <f t="shared" ca="1" si="80"/>
        <v>54942.947782121111</v>
      </c>
      <c r="BU191" s="772">
        <f t="shared" ca="1" si="80"/>
        <v>54942.947782121111</v>
      </c>
      <c r="BV191" s="772">
        <f t="shared" ca="1" si="80"/>
        <v>54523.467047660684</v>
      </c>
      <c r="BW191" s="772">
        <f t="shared" ca="1" si="80"/>
        <v>54523.467047660684</v>
      </c>
      <c r="BX191" s="772">
        <f t="shared" ca="1" si="84"/>
        <v>53562.564997331647</v>
      </c>
      <c r="BY191" s="772">
        <f t="shared" ca="1" si="84"/>
        <v>53562.564997331647</v>
      </c>
      <c r="BZ191" s="772">
        <f t="shared" ca="1" si="84"/>
        <v>53012.092615943715</v>
      </c>
      <c r="CA191" s="772">
        <f t="shared" ca="1" si="84"/>
        <v>53012.092615943715</v>
      </c>
      <c r="CB191" s="772">
        <f t="shared" ca="1" si="84"/>
        <v>54523.467047660684</v>
      </c>
      <c r="CC191" s="772">
        <f t="shared" ca="1" si="84"/>
        <v>54523.467047660684</v>
      </c>
      <c r="CD191" s="772">
        <f t="shared" ca="1" si="84"/>
        <v>54523.467047660684</v>
      </c>
      <c r="CE191" s="772">
        <f t="shared" ca="1" si="83"/>
        <v>54523.467047660684</v>
      </c>
      <c r="CF191" s="772">
        <f t="shared" ca="1" si="83"/>
        <v>54064.825139489716</v>
      </c>
      <c r="CG191" s="772">
        <f t="shared" ca="1" si="83"/>
        <v>53562.564997331647</v>
      </c>
      <c r="CH191" s="772">
        <f t="shared" ca="1" si="83"/>
        <v>53012.092615943715</v>
      </c>
      <c r="CI191" s="772">
        <f t="shared" ca="1" si="83"/>
        <v>53012.092615943715</v>
      </c>
      <c r="CJ191" s="772">
        <f t="shared" ca="1" si="83"/>
        <v>52408.877280245761</v>
      </c>
    </row>
    <row r="192" spans="1:88" ht="15" customHeight="1">
      <c r="A192" s="770">
        <f>'kc-Wert für Stützen'!C192</f>
        <v>244</v>
      </c>
      <c r="B192" s="768">
        <f ca="1">INDIRECT("'kc-Wert für Stützen'!"&amp;SUBSTITUTE(ADDRESS(MATCH($A192,'kc-Wert für Stützen'!$C:$C,0),MATCH(B$7,'kc-Wert für Stützen'!$A$8:$ES$8,0)+7,4),,))</f>
        <v>56504.655835918718</v>
      </c>
      <c r="C192" s="768">
        <f ca="1">INDIRECT("'kc-Wert für Stützen'!"&amp;SUBSTITUTE(ADDRESS(MATCH($A192,'kc-Wert für Stützen'!$C:$C,0),MATCH(C$7,'kc-Wert für Stützen'!$A$8:$ES$8,0)+7,4),,))</f>
        <v>56180.528348553671</v>
      </c>
      <c r="D192" s="768">
        <f ca="1">INDIRECT("'kc-Wert für Stützen'!"&amp;SUBSTITUTE(ADDRESS(MATCH($A192,'kc-Wert für Stützen'!$C:$C,0),MATCH(D$7,'kc-Wert für Stützen'!$A$8:$ES$8,0)+7,4),,))</f>
        <v>55829.195168726808</v>
      </c>
      <c r="E192" s="768">
        <f ca="1">INDIRECT("'kc-Wert für Stützen'!"&amp;SUBSTITUTE(ADDRESS(MATCH($A192,'kc-Wert für Stützen'!$C:$C,0),MATCH(E$7,'kc-Wert für Stützen'!$A$8:$ES$8,0)+7,4),,))</f>
        <v>55447.20910451778</v>
      </c>
      <c r="F192" s="768">
        <f ca="1">INDIRECT("'kc-Wert für Stützen'!"&amp;SUBSTITUTE(ADDRESS(MATCH($A192,'kc-Wert für Stützen'!$C:$C,0),MATCH(F$7,'kc-Wert für Stützen'!$A$8:$ES$8,0)+7,4),,))</f>
        <v>55030.766476493314</v>
      </c>
      <c r="G192" s="768">
        <f ca="1">INDIRECT("'kc-Wert für Stützen'!"&amp;SUBSTITUTE(ADDRESS(MATCH($A192,'kc-Wert für Stützen'!$C:$C,0),MATCH(G$7,'kc-Wert für Stützen'!$A$8:$ES$8,0)+7,4),,))</f>
        <v>54575.729877494981</v>
      </c>
      <c r="H192" s="768">
        <f ca="1">INDIRECT("'kc-Wert für Stützen'!"&amp;SUBSTITUTE(ADDRESS(MATCH($A192,'kc-Wert für Stützen'!$C:$C,0),MATCH(H$7,'kc-Wert für Stützen'!$A$8:$ES$8,0)+7,4),,))</f>
        <v>54077.689445709882</v>
      </c>
      <c r="I192" s="768">
        <f ca="1">INDIRECT("'kc-Wert für Stützen'!"&amp;SUBSTITUTE(ADDRESS(MATCH($A192,'kc-Wert für Stützen'!$C:$C,0),MATCH(I$7,'kc-Wert für Stützen'!$A$8:$ES$8,0)+7,4),,))</f>
        <v>53532.078553899933</v>
      </c>
      <c r="J192" s="768">
        <f ca="1">INDIRECT("'kc-Wert für Stützen'!"&amp;SUBSTITUTE(ADDRESS(MATCH($A192,'kc-Wert für Stützen'!$C:$C,0),MATCH(J$7,'kc-Wert für Stützen'!$A$8:$ES$8,0)+7,4),,))</f>
        <v>52934.360587294854</v>
      </c>
      <c r="K192" s="768">
        <f ca="1">INDIRECT("'kc-Wert für Stützen'!"&amp;SUBSTITUTE(ADDRESS(MATCH($A192,'kc-Wert für Stützen'!$C:$C,0),MATCH(K$7,'kc-Wert für Stützen'!$A$8:$ES$8,0)+7,4),,))</f>
        <v>52280.29993357174</v>
      </c>
      <c r="L192" s="768">
        <f ca="1">INDIRECT("'kc-Wert für Stützen'!"&amp;SUBSTITUTE(ADDRESS(MATCH($A192,'kc-Wert für Stützen'!$C:$C,0),MATCH(L$7,'kc-Wert für Stützen'!$A$8:$ES$8,0)+7,4),,))</f>
        <v>51566.319582158794</v>
      </c>
      <c r="M192" s="768">
        <f ca="1">INDIRECT("'kc-Wert für Stützen'!"&amp;SUBSTITUTE(ADDRESS(MATCH($A192,'kc-Wert für Stützen'!$C:$C,0),MATCH(M$7,'kc-Wert für Stützen'!$A$8:$ES$8,0)+7,4),,))</f>
        <v>50789.927759236103</v>
      </c>
      <c r="N192" s="768">
        <f ca="1">INDIRECT("'kc-Wert für Stützen'!"&amp;SUBSTITUTE(ADDRESS(MATCH($A192,'kc-Wert für Stützen'!$C:$C,0),MATCH(N$7,'kc-Wert für Stützen'!$A$8:$ES$8,0)+7,4),,))</f>
        <v>49950.16796030759</v>
      </c>
      <c r="O192" s="768">
        <f ca="1">INDIRECT("'kc-Wert für Stützen'!"&amp;SUBSTITUTE(ADDRESS(MATCH($A192,'kc-Wert für Stützen'!$C:$C,0),MATCH(O$7,'kc-Wert für Stützen'!$A$8:$ES$8,0)+7,4),,))</f>
        <v>49048.01761861016</v>
      </c>
      <c r="P192" s="768">
        <f ca="1">INDIRECT("'kc-Wert für Stützen'!"&amp;SUBSTITUTE(ADDRESS(MATCH($A192,'kc-Wert für Stützen'!$C:$C,0),MATCH(P$7,'kc-Wert für Stützen'!$A$8:$ES$8,0)+7,4),,))</f>
        <v>48086.643737815903</v>
      </c>
      <c r="S192" s="772">
        <f t="shared" ca="1" si="59"/>
        <v>55829.195168726808</v>
      </c>
      <c r="T192" s="772">
        <f t="shared" ca="1" si="82"/>
        <v>55829.195168726808</v>
      </c>
      <c r="U192" s="772">
        <f t="shared" ca="1" si="82"/>
        <v>55829.195168726808</v>
      </c>
      <c r="V192" s="772">
        <f t="shared" ca="1" si="82"/>
        <v>55447.20910451778</v>
      </c>
      <c r="W192" s="772">
        <f t="shared" ca="1" si="82"/>
        <v>55030.766476493314</v>
      </c>
      <c r="X192" s="772">
        <f t="shared" ca="1" si="82"/>
        <v>54575.729877494981</v>
      </c>
      <c r="Y192" s="772">
        <f t="shared" ca="1" si="82"/>
        <v>54077.689445709882</v>
      </c>
      <c r="Z192" s="772">
        <f t="shared" ca="1" si="82"/>
        <v>55829.195168726808</v>
      </c>
      <c r="AA192" s="772">
        <f t="shared" ca="1" si="82"/>
        <v>55829.195168726808</v>
      </c>
      <c r="AB192" s="772">
        <f t="shared" ca="1" si="85"/>
        <v>55447.20910451778</v>
      </c>
      <c r="AC192" s="772">
        <f t="shared" ca="1" si="85"/>
        <v>55447.20910451778</v>
      </c>
      <c r="AD192" s="772">
        <f t="shared" ca="1" si="85"/>
        <v>55030.766476493314</v>
      </c>
      <c r="AE192" s="772">
        <f t="shared" ca="1" si="85"/>
        <v>55030.766476493314</v>
      </c>
      <c r="AF192" s="772">
        <f t="shared" ca="1" si="85"/>
        <v>54575.729877494981</v>
      </c>
      <c r="AG192" s="772">
        <f t="shared" ca="1" si="85"/>
        <v>54575.729877494981</v>
      </c>
      <c r="AH192" s="772">
        <f t="shared" ca="1" si="85"/>
        <v>54575.729877494981</v>
      </c>
      <c r="AI192" s="772">
        <f t="shared" ca="1" si="85"/>
        <v>55829.195168726808</v>
      </c>
      <c r="AJ192" s="772">
        <f t="shared" ca="1" si="85"/>
        <v>55829.195168726808</v>
      </c>
      <c r="AK192" s="772">
        <f t="shared" ca="1" si="85"/>
        <v>55447.20910451778</v>
      </c>
      <c r="AL192" s="772">
        <f t="shared" ca="1" si="85"/>
        <v>55447.20910451778</v>
      </c>
      <c r="AM192" s="772">
        <f t="shared" ca="1" si="85"/>
        <v>55030.766476493314</v>
      </c>
      <c r="AN192" s="772">
        <f t="shared" ca="1" si="85"/>
        <v>55030.766476493314</v>
      </c>
      <c r="AO192" s="772">
        <f t="shared" ca="1" si="85"/>
        <v>54575.729877494981</v>
      </c>
      <c r="AP192" s="772">
        <f t="shared" ca="1" si="85"/>
        <v>54575.729877494981</v>
      </c>
      <c r="AQ192" s="772">
        <f t="shared" ca="1" si="85"/>
        <v>54575.729877494981</v>
      </c>
      <c r="AR192" s="772">
        <f t="shared" ca="1" si="78"/>
        <v>55829.195168726808</v>
      </c>
      <c r="AS192" s="772">
        <f t="shared" ca="1" si="78"/>
        <v>55829.195168726808</v>
      </c>
      <c r="AT192" s="772">
        <f t="shared" ca="1" si="78"/>
        <v>55447.20910451778</v>
      </c>
      <c r="AU192" s="772">
        <f t="shared" ca="1" si="78"/>
        <v>55447.20910451778</v>
      </c>
      <c r="AV192" s="772">
        <f t="shared" ca="1" si="78"/>
        <v>55030.766476493314</v>
      </c>
      <c r="AW192" s="772">
        <f t="shared" ca="1" si="78"/>
        <v>55030.766476493314</v>
      </c>
      <c r="AX192" s="772">
        <f t="shared" ca="1" si="78"/>
        <v>54575.729877494981</v>
      </c>
      <c r="AY192" s="772">
        <f t="shared" ca="1" si="78"/>
        <v>54575.729877494981</v>
      </c>
      <c r="AZ192" s="772">
        <f t="shared" ca="1" si="78"/>
        <v>54575.729877494981</v>
      </c>
      <c r="BA192" s="772">
        <f t="shared" ca="1" si="78"/>
        <v>55829.195168726808</v>
      </c>
      <c r="BB192" s="772">
        <f t="shared" ca="1" si="78"/>
        <v>55829.195168726808</v>
      </c>
      <c r="BC192" s="772">
        <f t="shared" ca="1" si="78"/>
        <v>55447.20910451778</v>
      </c>
      <c r="BD192" s="772">
        <f t="shared" ca="1" si="78"/>
        <v>55030.766476493314</v>
      </c>
      <c r="BE192" s="772">
        <f t="shared" ca="1" si="78"/>
        <v>55030.766476493314</v>
      </c>
      <c r="BF192" s="772">
        <f t="shared" ca="1" si="78"/>
        <v>54575.729877494981</v>
      </c>
      <c r="BG192" s="772">
        <f t="shared" ca="1" si="78"/>
        <v>54575.729877494981</v>
      </c>
      <c r="BH192" s="772">
        <f t="shared" ca="1" si="80"/>
        <v>54077.689445709882</v>
      </c>
      <c r="BI192" s="772">
        <f t="shared" ca="1" si="80"/>
        <v>54077.689445709882</v>
      </c>
      <c r="BJ192" s="772">
        <f t="shared" ca="1" si="80"/>
        <v>55447.20910451778</v>
      </c>
      <c r="BK192" s="772">
        <f t="shared" ca="1" si="80"/>
        <v>55447.20910451778</v>
      </c>
      <c r="BL192" s="772">
        <f t="shared" ca="1" si="80"/>
        <v>55447.20910451778</v>
      </c>
      <c r="BM192" s="772">
        <f t="shared" ca="1" si="80"/>
        <v>55447.20910451778</v>
      </c>
      <c r="BN192" s="772">
        <f t="shared" ca="1" si="80"/>
        <v>54575.729877494981</v>
      </c>
      <c r="BO192" s="772">
        <f t="shared" ca="1" si="80"/>
        <v>54575.729877494981</v>
      </c>
      <c r="BP192" s="772">
        <f t="shared" ca="1" si="80"/>
        <v>54077.689445709882</v>
      </c>
      <c r="BQ192" s="772">
        <f t="shared" ca="1" si="80"/>
        <v>54077.689445709882</v>
      </c>
      <c r="BR192" s="772">
        <f t="shared" ca="1" si="80"/>
        <v>53532.078553899933</v>
      </c>
      <c r="BS192" s="772">
        <f t="shared" ca="1" si="80"/>
        <v>55447.20910451778</v>
      </c>
      <c r="BT192" s="772">
        <f t="shared" ca="1" si="80"/>
        <v>55447.20910451778</v>
      </c>
      <c r="BU192" s="772">
        <f t="shared" ca="1" si="80"/>
        <v>55447.20910451778</v>
      </c>
      <c r="BV192" s="772">
        <f t="shared" ca="1" si="80"/>
        <v>55030.766476493314</v>
      </c>
      <c r="BW192" s="772">
        <f t="shared" ca="1" si="80"/>
        <v>55030.766476493314</v>
      </c>
      <c r="BX192" s="772">
        <f t="shared" ca="1" si="84"/>
        <v>54077.689445709882</v>
      </c>
      <c r="BY192" s="772">
        <f t="shared" ca="1" si="84"/>
        <v>54077.689445709882</v>
      </c>
      <c r="BZ192" s="772">
        <f t="shared" ca="1" si="84"/>
        <v>53532.078553899933</v>
      </c>
      <c r="CA192" s="772">
        <f t="shared" ca="1" si="84"/>
        <v>53532.078553899933</v>
      </c>
      <c r="CB192" s="772">
        <f t="shared" ca="1" si="84"/>
        <v>55030.766476493314</v>
      </c>
      <c r="CC192" s="772">
        <f t="shared" ca="1" si="84"/>
        <v>55030.766476493314</v>
      </c>
      <c r="CD192" s="772">
        <f t="shared" ca="1" si="84"/>
        <v>55030.766476493314</v>
      </c>
      <c r="CE192" s="772">
        <f t="shared" ca="1" si="83"/>
        <v>55030.766476493314</v>
      </c>
      <c r="CF192" s="772">
        <f t="shared" ca="1" si="83"/>
        <v>54575.729877494981</v>
      </c>
      <c r="CG192" s="772">
        <f t="shared" ca="1" si="83"/>
        <v>54077.689445709882</v>
      </c>
      <c r="CH192" s="772">
        <f t="shared" ca="1" si="83"/>
        <v>53532.078553899933</v>
      </c>
      <c r="CI192" s="772">
        <f t="shared" ca="1" si="83"/>
        <v>53532.078553899933</v>
      </c>
      <c r="CJ192" s="772">
        <f t="shared" ca="1" si="83"/>
        <v>52934.360587294854</v>
      </c>
    </row>
    <row r="193" spans="1:88" ht="15" customHeight="1">
      <c r="A193" s="770">
        <f>'kc-Wert für Stützen'!C193</f>
        <v>245</v>
      </c>
      <c r="B193" s="768">
        <f ca="1">INDIRECT("'kc-Wert für Stützen'!"&amp;SUBSTITUTE(ADDRESS(MATCH($A193,'kc-Wert für Stützen'!$C:$C,0),MATCH(B$7,'kc-Wert für Stützen'!$A$8:$ES$8,0)+7,4),,))</f>
        <v>57004.502128084241</v>
      </c>
      <c r="C193" s="768">
        <f ca="1">INDIRECT("'kc-Wert für Stützen'!"&amp;SUBSTITUTE(ADDRESS(MATCH($A193,'kc-Wert für Stützen'!$C:$C,0),MATCH(C$7,'kc-Wert für Stützen'!$A$8:$ES$8,0)+7,4),,))</f>
        <v>56682.016678990694</v>
      </c>
      <c r="D193" s="768">
        <f ca="1">INDIRECT("'kc-Wert für Stützen'!"&amp;SUBSTITUTE(ADDRESS(MATCH($A193,'kc-Wert für Stützen'!$C:$C,0),MATCH(D$7,'kc-Wert für Stützen'!$A$8:$ES$8,0)+7,4),,))</f>
        <v>56332.710147076148</v>
      </c>
      <c r="E193" s="768">
        <f ca="1">INDIRECT("'kc-Wert für Stützen'!"&amp;SUBSTITUTE(ADDRESS(MATCH($A193,'kc-Wert für Stützen'!$C:$C,0),MATCH(E$7,'kc-Wert für Stützen'!$A$8:$ES$8,0)+7,4),,))</f>
        <v>55953.192374463382</v>
      </c>
      <c r="F193" s="768">
        <f ca="1">INDIRECT("'kc-Wert für Stützen'!"&amp;SUBSTITUTE(ADDRESS(MATCH($A193,'kc-Wert für Stützen'!$C:$C,0),MATCH(F$7,'kc-Wert für Stützen'!$A$8:$ES$8,0)+7,4),,))</f>
        <v>55539.718779903997</v>
      </c>
      <c r="G193" s="768">
        <f ca="1">INDIRECT("'kc-Wert für Stützen'!"&amp;SUBSTITUTE(ADDRESS(MATCH($A193,'kc-Wert für Stützen'!$C:$C,0),MATCH(G$7,'kc-Wert für Stützen'!$A$8:$ES$8,0)+7,4),,))</f>
        <v>55088.209058428307</v>
      </c>
      <c r="H193" s="768">
        <f ca="1">INDIRECT("'kc-Wert für Stützen'!"&amp;SUBSTITUTE(ADDRESS(MATCH($A193,'kc-Wert für Stützen'!$C:$C,0),MATCH(H$7,'kc-Wert für Stützen'!$A$8:$ES$8,0)+7,4),,))</f>
        <v>54594.301955094845</v>
      </c>
      <c r="I193" s="768">
        <f ca="1">INDIRECT("'kc-Wert für Stützen'!"&amp;SUBSTITUTE(ADDRESS(MATCH($A193,'kc-Wert für Stützen'!$C:$C,0),MATCH(I$7,'kc-Wert für Stützen'!$A$8:$ES$8,0)+7,4),,))</f>
        <v>54053.461421743807</v>
      </c>
      <c r="J193" s="768">
        <f ca="1">INDIRECT("'kc-Wert für Stützen'!"&amp;SUBSTITUTE(ADDRESS(MATCH($A193,'kc-Wert für Stützen'!$C:$C,0),MATCH(J$7,'kc-Wert für Stützen'!$A$8:$ES$8,0)+7,4),,))</f>
        <v>53461.150586141732</v>
      </c>
      <c r="K193" s="768">
        <f ca="1">INDIRECT("'kc-Wert für Stützen'!"&amp;SUBSTITUTE(ADDRESS(MATCH($A193,'kc-Wert für Stützen'!$C:$C,0),MATCH(K$7,'kc-Wert für Stützen'!$A$8:$ES$8,0)+7,4),,))</f>
        <v>52813.087234978986</v>
      </c>
      <c r="L193" s="768">
        <f ca="1">INDIRECT("'kc-Wert für Stützen'!"&amp;SUBSTITUTE(ADDRESS(MATCH($A193,'kc-Wert für Stützen'!$C:$C,0),MATCH(L$7,'kc-Wert für Stützen'!$A$8:$ES$8,0)+7,4),,))</f>
        <v>52105.585183110961</v>
      </c>
      <c r="M193" s="768">
        <f ca="1">INDIRECT("'kc-Wert für Stützen'!"&amp;SUBSTITUTE(ADDRESS(MATCH($A193,'kc-Wert für Stützen'!$C:$C,0),MATCH(M$7,'kc-Wert für Stützen'!$A$8:$ES$8,0)+7,4),,))</f>
        <v>51335.967738265332</v>
      </c>
      <c r="N193" s="768">
        <f ca="1">INDIRECT("'kc-Wert für Stützen'!"&amp;SUBSTITUTE(ADDRESS(MATCH($A193,'kc-Wert für Stützen'!$C:$C,0),MATCH(N$7,'kc-Wert für Stützen'!$A$8:$ES$8,0)+7,4),,))</f>
        <v>50503.012960467226</v>
      </c>
      <c r="O193" s="768">
        <f ca="1">INDIRECT("'kc-Wert für Stützen'!"&amp;SUBSTITUTE(ADDRESS(MATCH($A193,'kc-Wert für Stützen'!$C:$C,0),MATCH(O$7,'kc-Wert für Stützen'!$A$8:$ES$8,0)+7,4),,))</f>
        <v>49607.361414645886</v>
      </c>
      <c r="P193" s="768">
        <f ca="1">INDIRECT("'kc-Wert für Stützen'!"&amp;SUBSTITUTE(ADDRESS(MATCH($A193,'kc-Wert für Stützen'!$C:$C,0),MATCH(P$7,'kc-Wert für Stützen'!$A$8:$ES$8,0)+7,4),,))</f>
        <v>48651.79772784809</v>
      </c>
      <c r="S193" s="772">
        <f t="shared" ca="1" si="59"/>
        <v>56332.710147076148</v>
      </c>
      <c r="T193" s="772">
        <f t="shared" ca="1" si="82"/>
        <v>56332.710147076148</v>
      </c>
      <c r="U193" s="772">
        <f t="shared" ca="1" si="82"/>
        <v>56332.710147076148</v>
      </c>
      <c r="V193" s="772">
        <f t="shared" ca="1" si="82"/>
        <v>55953.192374463382</v>
      </c>
      <c r="W193" s="772">
        <f t="shared" ca="1" si="82"/>
        <v>55539.718779903997</v>
      </c>
      <c r="X193" s="772">
        <f t="shared" ca="1" si="82"/>
        <v>55088.209058428307</v>
      </c>
      <c r="Y193" s="772">
        <f t="shared" ca="1" si="82"/>
        <v>54594.301955094845</v>
      </c>
      <c r="Z193" s="772">
        <f t="shared" ca="1" si="82"/>
        <v>56332.710147076148</v>
      </c>
      <c r="AA193" s="772">
        <f t="shared" ca="1" si="82"/>
        <v>56332.710147076148</v>
      </c>
      <c r="AB193" s="772">
        <f t="shared" ca="1" si="85"/>
        <v>55953.192374463382</v>
      </c>
      <c r="AC193" s="772">
        <f t="shared" ca="1" si="85"/>
        <v>55953.192374463382</v>
      </c>
      <c r="AD193" s="772">
        <f t="shared" ca="1" si="85"/>
        <v>55539.718779903997</v>
      </c>
      <c r="AE193" s="772">
        <f t="shared" ca="1" si="85"/>
        <v>55539.718779903997</v>
      </c>
      <c r="AF193" s="772">
        <f t="shared" ca="1" si="85"/>
        <v>55088.209058428307</v>
      </c>
      <c r="AG193" s="772">
        <f t="shared" ca="1" si="85"/>
        <v>55088.209058428307</v>
      </c>
      <c r="AH193" s="772">
        <f t="shared" ca="1" si="85"/>
        <v>55088.209058428307</v>
      </c>
      <c r="AI193" s="772">
        <f t="shared" ca="1" si="85"/>
        <v>56332.710147076148</v>
      </c>
      <c r="AJ193" s="772">
        <f t="shared" ref="AJ193:AY194" ca="1" si="86">HLOOKUP(AJ$7,$A$7:$P$348,ROW()-6)</f>
        <v>56332.710147076148</v>
      </c>
      <c r="AK193" s="772">
        <f t="shared" ca="1" si="86"/>
        <v>55953.192374463382</v>
      </c>
      <c r="AL193" s="772">
        <f t="shared" ca="1" si="86"/>
        <v>55953.192374463382</v>
      </c>
      <c r="AM193" s="772">
        <f t="shared" ca="1" si="86"/>
        <v>55539.718779903997</v>
      </c>
      <c r="AN193" s="772">
        <f t="shared" ca="1" si="86"/>
        <v>55539.718779903997</v>
      </c>
      <c r="AO193" s="772">
        <f t="shared" ca="1" si="86"/>
        <v>55088.209058428307</v>
      </c>
      <c r="AP193" s="772">
        <f t="shared" ca="1" si="86"/>
        <v>55088.209058428307</v>
      </c>
      <c r="AQ193" s="772">
        <f t="shared" ca="1" si="86"/>
        <v>55088.209058428307</v>
      </c>
      <c r="AR193" s="772">
        <f t="shared" ca="1" si="86"/>
        <v>56332.710147076148</v>
      </c>
      <c r="AS193" s="772">
        <f t="shared" ca="1" si="86"/>
        <v>56332.710147076148</v>
      </c>
      <c r="AT193" s="772">
        <f t="shared" ca="1" si="86"/>
        <v>55953.192374463382</v>
      </c>
      <c r="AU193" s="772">
        <f t="shared" ca="1" si="86"/>
        <v>55953.192374463382</v>
      </c>
      <c r="AV193" s="772">
        <f t="shared" ca="1" si="86"/>
        <v>55539.718779903997</v>
      </c>
      <c r="AW193" s="772">
        <f t="shared" ca="1" si="86"/>
        <v>55539.718779903997</v>
      </c>
      <c r="AX193" s="772">
        <f t="shared" ca="1" si="86"/>
        <v>55088.209058428307</v>
      </c>
      <c r="AY193" s="772">
        <f t="shared" ca="1" si="86"/>
        <v>55088.209058428307</v>
      </c>
      <c r="AZ193" s="772">
        <f t="shared" ca="1" si="78"/>
        <v>55088.209058428307</v>
      </c>
      <c r="BA193" s="772">
        <f t="shared" ca="1" si="78"/>
        <v>56332.710147076148</v>
      </c>
      <c r="BB193" s="772">
        <f t="shared" ca="1" si="78"/>
        <v>56332.710147076148</v>
      </c>
      <c r="BC193" s="772">
        <f t="shared" ca="1" si="78"/>
        <v>55953.192374463382</v>
      </c>
      <c r="BD193" s="772">
        <f t="shared" ca="1" si="78"/>
        <v>55539.718779903997</v>
      </c>
      <c r="BE193" s="772">
        <f t="shared" ca="1" si="78"/>
        <v>55539.718779903997</v>
      </c>
      <c r="BF193" s="772">
        <f t="shared" ca="1" si="78"/>
        <v>55088.209058428307</v>
      </c>
      <c r="BG193" s="772">
        <f t="shared" ref="AZ193:BN221" ca="1" si="87">HLOOKUP(BG$7,$A$7:$P$348,ROW()-6)</f>
        <v>55088.209058428307</v>
      </c>
      <c r="BH193" s="772">
        <f t="shared" ca="1" si="80"/>
        <v>54594.301955094845</v>
      </c>
      <c r="BI193" s="772">
        <f t="shared" ca="1" si="80"/>
        <v>54594.301955094845</v>
      </c>
      <c r="BJ193" s="772">
        <f t="shared" ca="1" si="80"/>
        <v>55953.192374463382</v>
      </c>
      <c r="BK193" s="772">
        <f t="shared" ca="1" si="80"/>
        <v>55953.192374463382</v>
      </c>
      <c r="BL193" s="772">
        <f t="shared" ca="1" si="80"/>
        <v>55953.192374463382</v>
      </c>
      <c r="BM193" s="772">
        <f t="shared" ca="1" si="80"/>
        <v>55953.192374463382</v>
      </c>
      <c r="BN193" s="772">
        <f t="shared" ca="1" si="80"/>
        <v>55088.209058428307</v>
      </c>
      <c r="BO193" s="772">
        <f t="shared" ca="1" si="80"/>
        <v>55088.209058428307</v>
      </c>
      <c r="BP193" s="772">
        <f t="shared" ca="1" si="80"/>
        <v>54594.301955094845</v>
      </c>
      <c r="BQ193" s="772">
        <f t="shared" ca="1" si="80"/>
        <v>54594.301955094845</v>
      </c>
      <c r="BR193" s="772">
        <f t="shared" ca="1" si="80"/>
        <v>54053.461421743807</v>
      </c>
      <c r="BS193" s="772">
        <f t="shared" ca="1" si="80"/>
        <v>55953.192374463382</v>
      </c>
      <c r="BT193" s="772">
        <f t="shared" ca="1" si="80"/>
        <v>55953.192374463382</v>
      </c>
      <c r="BU193" s="772">
        <f t="shared" ca="1" si="80"/>
        <v>55953.192374463382</v>
      </c>
      <c r="BV193" s="772">
        <f t="shared" ca="1" si="80"/>
        <v>55539.718779903997</v>
      </c>
      <c r="BW193" s="772">
        <f t="shared" ca="1" si="80"/>
        <v>55539.718779903997</v>
      </c>
      <c r="BX193" s="772">
        <f t="shared" ca="1" si="84"/>
        <v>54594.301955094845</v>
      </c>
      <c r="BY193" s="772">
        <f t="shared" ca="1" si="84"/>
        <v>54594.301955094845</v>
      </c>
      <c r="BZ193" s="772">
        <f t="shared" ca="1" si="84"/>
        <v>54053.461421743807</v>
      </c>
      <c r="CA193" s="772">
        <f t="shared" ca="1" si="84"/>
        <v>54053.461421743807</v>
      </c>
      <c r="CB193" s="772">
        <f t="shared" ca="1" si="84"/>
        <v>55539.718779903997</v>
      </c>
      <c r="CC193" s="772">
        <f t="shared" ca="1" si="84"/>
        <v>55539.718779903997</v>
      </c>
      <c r="CD193" s="772">
        <f t="shared" ca="1" si="84"/>
        <v>55539.718779903997</v>
      </c>
      <c r="CE193" s="772">
        <f t="shared" ca="1" si="83"/>
        <v>55539.718779903997</v>
      </c>
      <c r="CF193" s="772">
        <f t="shared" ca="1" si="83"/>
        <v>55088.209058428307</v>
      </c>
      <c r="CG193" s="772">
        <f t="shared" ca="1" si="83"/>
        <v>54594.301955094845</v>
      </c>
      <c r="CH193" s="772">
        <f t="shared" ca="1" si="83"/>
        <v>54053.461421743807</v>
      </c>
      <c r="CI193" s="772">
        <f t="shared" ca="1" si="83"/>
        <v>54053.461421743807</v>
      </c>
      <c r="CJ193" s="772">
        <f t="shared" ca="1" si="83"/>
        <v>53461.150586141732</v>
      </c>
    </row>
    <row r="194" spans="1:88" ht="15" customHeight="1">
      <c r="A194" s="770">
        <f>'kc-Wert für Stützen'!C194</f>
        <v>246</v>
      </c>
      <c r="B194" s="768">
        <f ca="1">INDIRECT("'kc-Wert für Stützen'!"&amp;SUBSTITUTE(ADDRESS(MATCH($A194,'kc-Wert für Stützen'!$C:$C,0),MATCH(B$7,'kc-Wert für Stützen'!$A$8:$ES$8,0)+7,4),,))</f>
        <v>57506.226848668455</v>
      </c>
      <c r="C194" s="768">
        <f ca="1">INDIRECT("'kc-Wert für Stützen'!"&amp;SUBSTITUTE(ADDRESS(MATCH($A194,'kc-Wert für Stützen'!$C:$C,0),MATCH(C$7,'kc-Wert für Stützen'!$A$8:$ES$8,0)+7,4),,))</f>
        <v>57185.34228157709</v>
      </c>
      <c r="D194" s="768">
        <f ca="1">INDIRECT("'kc-Wert für Stützen'!"&amp;SUBSTITUTE(ADDRESS(MATCH($A194,'kc-Wert für Stützen'!$C:$C,0),MATCH(D$7,'kc-Wert für Stützen'!$A$8:$ES$8,0)+7,4),,))</f>
        <v>56838.01321745661</v>
      </c>
      <c r="E194" s="768">
        <f ca="1">INDIRECT("'kc-Wert für Stützen'!"&amp;SUBSTITUTE(ADDRESS(MATCH($A194,'kc-Wert für Stützen'!$C:$C,0),MATCH(E$7,'kc-Wert für Stützen'!$A$8:$ES$8,0)+7,4),,))</f>
        <v>56460.905644461862</v>
      </c>
      <c r="F194" s="768">
        <f ca="1">INDIRECT("'kc-Wert für Stützen'!"&amp;SUBSTITUTE(ADDRESS(MATCH($A194,'kc-Wert für Stützen'!$C:$C,0),MATCH(F$7,'kc-Wert für Stützen'!$A$8:$ES$8,0)+7,4),,))</f>
        <v>56050.333525418537</v>
      </c>
      <c r="G194" s="768">
        <f ca="1">INDIRECT("'kc-Wert für Stützen'!"&amp;SUBSTITUTE(ADDRESS(MATCH($A194,'kc-Wert für Stützen'!$C:$C,0),MATCH(G$7,'kc-Wert für Stützen'!$A$8:$ES$8,0)+7,4),,))</f>
        <v>55602.273756648523</v>
      </c>
      <c r="H194" s="768">
        <f ca="1">INDIRECT("'kc-Wert für Stützen'!"&amp;SUBSTITUTE(ADDRESS(MATCH($A194,'kc-Wert für Stützen'!$C:$C,0),MATCH(H$7,'kc-Wert für Stützen'!$A$8:$ES$8,0)+7,4),,))</f>
        <v>55112.414892630244</v>
      </c>
      <c r="I194" s="768">
        <f ca="1">INDIRECT("'kc-Wert für Stützen'!"&amp;SUBSTITUTE(ADDRESS(MATCH($A194,'kc-Wert für Stützen'!$C:$C,0),MATCH(I$7,'kc-Wert für Stützen'!$A$8:$ES$8,0)+7,4),,))</f>
        <v>54576.254345443696</v>
      </c>
      <c r="J194" s="768">
        <f ca="1">INDIRECT("'kc-Wert für Stützen'!"&amp;SUBSTITUTE(ADDRESS(MATCH($A194,'kc-Wert für Stützen'!$C:$C,0),MATCH(J$7,'kc-Wert für Stützen'!$A$8:$ES$8,0)+7,4),,))</f>
        <v>53989.260182098653</v>
      </c>
      <c r="K194" s="768">
        <f ca="1">INDIRECT("'kc-Wert für Stützen'!"&amp;SUBSTITUTE(ADDRESS(MATCH($A194,'kc-Wert für Stützen'!$C:$C,0),MATCH(K$7,'kc-Wert für Stützen'!$A$8:$ES$8,0)+7,4),,))</f>
        <v>53347.111642023658</v>
      </c>
      <c r="L194" s="768">
        <f ca="1">INDIRECT("'kc-Wert für Stützen'!"&amp;SUBSTITUTE(ADDRESS(MATCH($A194,'kc-Wert für Stützen'!$C:$C,0),MATCH(L$7,'kc-Wert für Stützen'!$A$8:$ES$8,0)+7,4),,))</f>
        <v>52646.024449497083</v>
      </c>
      <c r="M194" s="768">
        <f ca="1">INDIRECT("'kc-Wert für Stützen'!"&amp;SUBSTITUTE(ADDRESS(MATCH($A194,'kc-Wert für Stützen'!$C:$C,0),MATCH(M$7,'kc-Wert für Stützen'!$A$8:$ES$8,0)+7,4),,))</f>
        <v>51883.150560323724</v>
      </c>
      <c r="N194" s="768">
        <f ca="1">INDIRECT("'kc-Wert für Stützen'!"&amp;SUBSTITUTE(ADDRESS(MATCH($A194,'kc-Wert für Stützen'!$C:$C,0),MATCH(N$7,'kc-Wert für Stützen'!$A$8:$ES$8,0)+7,4),,))</f>
        <v>51057.017084203995</v>
      </c>
      <c r="O194" s="768">
        <f ca="1">INDIRECT("'kc-Wert für Stützen'!"&amp;SUBSTITUTE(ADDRESS(MATCH($A194,'kc-Wert für Stützen'!$C:$C,0),MATCH(O$7,'kc-Wert für Stützen'!$A$8:$ES$8,0)+7,4),,))</f>
        <v>50167.940539065035</v>
      </c>
      <c r="P194" s="768">
        <f ca="1">INDIRECT("'kc-Wert für Stützen'!"&amp;SUBSTITUTE(ADDRESS(MATCH($A194,'kc-Wert für Stützen'!$C:$C,0),MATCH(P$7,'kc-Wert für Stützen'!$A$8:$ES$8,0)+7,4),,))</f>
        <v>49218.331236770617</v>
      </c>
      <c r="S194" s="772">
        <f t="shared" ca="1" si="59"/>
        <v>56838.01321745661</v>
      </c>
      <c r="T194" s="772">
        <f t="shared" ca="1" si="82"/>
        <v>56838.01321745661</v>
      </c>
      <c r="U194" s="772">
        <f t="shared" ca="1" si="82"/>
        <v>56838.01321745661</v>
      </c>
      <c r="V194" s="772">
        <f t="shared" ca="1" si="82"/>
        <v>56460.905644461862</v>
      </c>
      <c r="W194" s="772">
        <f t="shared" ca="1" si="82"/>
        <v>56050.333525418537</v>
      </c>
      <c r="X194" s="772">
        <f t="shared" ca="1" si="82"/>
        <v>55602.273756648523</v>
      </c>
      <c r="Y194" s="772">
        <f t="shared" ca="1" si="82"/>
        <v>55112.414892630244</v>
      </c>
      <c r="Z194" s="772">
        <f t="shared" ca="1" si="82"/>
        <v>56838.01321745661</v>
      </c>
      <c r="AA194" s="772">
        <f t="shared" ca="1" si="82"/>
        <v>56838.01321745661</v>
      </c>
      <c r="AB194" s="772">
        <f t="shared" ca="1" si="85"/>
        <v>56460.905644461862</v>
      </c>
      <c r="AC194" s="772">
        <f t="shared" ca="1" si="85"/>
        <v>56460.905644461862</v>
      </c>
      <c r="AD194" s="772">
        <f t="shared" ca="1" si="85"/>
        <v>56050.333525418537</v>
      </c>
      <c r="AE194" s="772">
        <f t="shared" ca="1" si="85"/>
        <v>56050.333525418537</v>
      </c>
      <c r="AF194" s="772">
        <f t="shared" ca="1" si="85"/>
        <v>55602.273756648523</v>
      </c>
      <c r="AG194" s="772">
        <f t="shared" ca="1" si="85"/>
        <v>55602.273756648523</v>
      </c>
      <c r="AH194" s="772">
        <f t="shared" ca="1" si="85"/>
        <v>55602.273756648523</v>
      </c>
      <c r="AI194" s="772">
        <f t="shared" ca="1" si="85"/>
        <v>56838.01321745661</v>
      </c>
      <c r="AJ194" s="772">
        <f t="shared" ca="1" si="86"/>
        <v>56838.01321745661</v>
      </c>
      <c r="AK194" s="772">
        <f t="shared" ca="1" si="86"/>
        <v>56460.905644461862</v>
      </c>
      <c r="AL194" s="772">
        <f t="shared" ca="1" si="86"/>
        <v>56460.905644461862</v>
      </c>
      <c r="AM194" s="772">
        <f t="shared" ca="1" si="86"/>
        <v>56050.333525418537</v>
      </c>
      <c r="AN194" s="772">
        <f t="shared" ca="1" si="86"/>
        <v>56050.333525418537</v>
      </c>
      <c r="AO194" s="772">
        <f t="shared" ca="1" si="86"/>
        <v>55602.273756648523</v>
      </c>
      <c r="AP194" s="772">
        <f t="shared" ca="1" si="86"/>
        <v>55602.273756648523</v>
      </c>
      <c r="AQ194" s="772">
        <f t="shared" ca="1" si="86"/>
        <v>55602.273756648523</v>
      </c>
      <c r="AR194" s="772">
        <f t="shared" ca="1" si="86"/>
        <v>56838.01321745661</v>
      </c>
      <c r="AS194" s="772">
        <f t="shared" ca="1" si="86"/>
        <v>56838.01321745661</v>
      </c>
      <c r="AT194" s="772">
        <f t="shared" ca="1" si="86"/>
        <v>56460.905644461862</v>
      </c>
      <c r="AU194" s="772">
        <f t="shared" ca="1" si="86"/>
        <v>56460.905644461862</v>
      </c>
      <c r="AV194" s="772">
        <f t="shared" ca="1" si="86"/>
        <v>56050.333525418537</v>
      </c>
      <c r="AW194" s="772">
        <f t="shared" ca="1" si="86"/>
        <v>56050.333525418537</v>
      </c>
      <c r="AX194" s="772">
        <f t="shared" ca="1" si="86"/>
        <v>55602.273756648523</v>
      </c>
      <c r="AY194" s="772">
        <f t="shared" ca="1" si="86"/>
        <v>55602.273756648523</v>
      </c>
      <c r="AZ194" s="772">
        <f t="shared" ca="1" si="87"/>
        <v>55602.273756648523</v>
      </c>
      <c r="BA194" s="772">
        <f t="shared" ca="1" si="87"/>
        <v>56838.01321745661</v>
      </c>
      <c r="BB194" s="772">
        <f t="shared" ca="1" si="87"/>
        <v>56838.01321745661</v>
      </c>
      <c r="BC194" s="772">
        <f t="shared" ca="1" si="87"/>
        <v>56460.905644461862</v>
      </c>
      <c r="BD194" s="772">
        <f t="shared" ca="1" si="87"/>
        <v>56050.333525418537</v>
      </c>
      <c r="BE194" s="772">
        <f t="shared" ca="1" si="87"/>
        <v>56050.333525418537</v>
      </c>
      <c r="BF194" s="772">
        <f t="shared" ca="1" si="87"/>
        <v>55602.273756648523</v>
      </c>
      <c r="BG194" s="772">
        <f t="shared" ca="1" si="87"/>
        <v>55602.273756648523</v>
      </c>
      <c r="BH194" s="772">
        <f t="shared" ca="1" si="80"/>
        <v>55112.414892630244</v>
      </c>
      <c r="BI194" s="772">
        <f t="shared" ca="1" si="80"/>
        <v>55112.414892630244</v>
      </c>
      <c r="BJ194" s="772">
        <f t="shared" ca="1" si="80"/>
        <v>56460.905644461862</v>
      </c>
      <c r="BK194" s="772">
        <f t="shared" ca="1" si="80"/>
        <v>56460.905644461862</v>
      </c>
      <c r="BL194" s="772">
        <f t="shared" ca="1" si="80"/>
        <v>56460.905644461862</v>
      </c>
      <c r="BM194" s="772">
        <f t="shared" ca="1" si="80"/>
        <v>56460.905644461862</v>
      </c>
      <c r="BN194" s="772">
        <f t="shared" ca="1" si="80"/>
        <v>55602.273756648523</v>
      </c>
      <c r="BO194" s="772">
        <f t="shared" ca="1" si="80"/>
        <v>55602.273756648523</v>
      </c>
      <c r="BP194" s="772">
        <f t="shared" ca="1" si="80"/>
        <v>55112.414892630244</v>
      </c>
      <c r="BQ194" s="772">
        <f t="shared" ca="1" si="80"/>
        <v>55112.414892630244</v>
      </c>
      <c r="BR194" s="772">
        <f t="shared" ca="1" si="80"/>
        <v>54576.254345443696</v>
      </c>
      <c r="BS194" s="772">
        <f t="shared" ca="1" si="80"/>
        <v>56460.905644461862</v>
      </c>
      <c r="BT194" s="772">
        <f t="shared" ca="1" si="80"/>
        <v>56460.905644461862</v>
      </c>
      <c r="BU194" s="772">
        <f t="shared" ca="1" si="80"/>
        <v>56460.905644461862</v>
      </c>
      <c r="BV194" s="772">
        <f t="shared" ca="1" si="80"/>
        <v>56050.333525418537</v>
      </c>
      <c r="BW194" s="772">
        <f t="shared" ca="1" si="80"/>
        <v>56050.333525418537</v>
      </c>
      <c r="BX194" s="772">
        <f t="shared" ca="1" si="84"/>
        <v>55112.414892630244</v>
      </c>
      <c r="BY194" s="772">
        <f t="shared" ca="1" si="84"/>
        <v>55112.414892630244</v>
      </c>
      <c r="BZ194" s="772">
        <f t="shared" ca="1" si="84"/>
        <v>54576.254345443696</v>
      </c>
      <c r="CA194" s="772">
        <f t="shared" ca="1" si="84"/>
        <v>54576.254345443696</v>
      </c>
      <c r="CB194" s="772">
        <f t="shared" ca="1" si="84"/>
        <v>56050.333525418537</v>
      </c>
      <c r="CC194" s="772">
        <f t="shared" ca="1" si="84"/>
        <v>56050.333525418537</v>
      </c>
      <c r="CD194" s="772">
        <f t="shared" ca="1" si="84"/>
        <v>56050.333525418537</v>
      </c>
      <c r="CE194" s="772">
        <f t="shared" ca="1" si="83"/>
        <v>56050.333525418537</v>
      </c>
      <c r="CF194" s="772">
        <f t="shared" ca="1" si="83"/>
        <v>55602.273756648523</v>
      </c>
      <c r="CG194" s="772">
        <f t="shared" ca="1" si="83"/>
        <v>55112.414892630244</v>
      </c>
      <c r="CH194" s="772">
        <f t="shared" ca="1" si="83"/>
        <v>54576.254345443696</v>
      </c>
      <c r="CI194" s="772">
        <f t="shared" ca="1" si="83"/>
        <v>54576.254345443696</v>
      </c>
      <c r="CJ194" s="772">
        <f t="shared" ca="1" si="83"/>
        <v>53989.260182098653</v>
      </c>
    </row>
    <row r="195" spans="1:88" ht="15" customHeight="1">
      <c r="A195" s="770">
        <f>'kc-Wert für Stützen'!C195</f>
        <v>247</v>
      </c>
      <c r="B195" s="768">
        <f ca="1">INDIRECT("'kc-Wert für Stützen'!"&amp;SUBSTITUTE(ADDRESS(MATCH($A195,'kc-Wert für Stützen'!$C:$C,0),MATCH(B$7,'kc-Wert für Stützen'!$A$8:$ES$8,0)+7,4),,))</f>
        <v>58009.834218507269</v>
      </c>
      <c r="C195" s="768">
        <f ca="1">INDIRECT("'kc-Wert für Stützen'!"&amp;SUBSTITUTE(ADDRESS(MATCH($A195,'kc-Wert für Stützen'!$C:$C,0),MATCH(C$7,'kc-Wert für Stützen'!$A$8:$ES$8,0)+7,4),,))</f>
        <v>57690.510406262081</v>
      </c>
      <c r="D195" s="768">
        <f ca="1">INDIRECT("'kc-Wert für Stützen'!"&amp;SUBSTITUTE(ADDRESS(MATCH($A195,'kc-Wert für Stützen'!$C:$C,0),MATCH(D$7,'kc-Wert für Stützen'!$A$8:$ES$8,0)+7,4),,))</f>
        <v>57345.110839041801</v>
      </c>
      <c r="E195" s="768">
        <f ca="1">INDIRECT("'kc-Wert für Stützen'!"&amp;SUBSTITUTE(ADDRESS(MATCH($A195,'kc-Wert für Stützen'!$C:$C,0),MATCH(E$7,'kc-Wert für Stützen'!$A$8:$ES$8,0)+7,4),,))</f>
        <v>56970.356749775441</v>
      </c>
      <c r="F195" s="768">
        <f ca="1">INDIRECT("'kc-Wert für Stützen'!"&amp;SUBSTITUTE(ADDRESS(MATCH($A195,'kc-Wert für Stützen'!$C:$C,0),MATCH(F$7,'kc-Wert für Stützen'!$A$8:$ES$8,0)+7,4),,))</f>
        <v>56562.620042119379</v>
      </c>
      <c r="G195" s="768">
        <f ca="1">INDIRECT("'kc-Wert für Stützen'!"&amp;SUBSTITUTE(ADDRESS(MATCH($A195,'kc-Wert für Stützen'!$C:$C,0),MATCH(G$7,'kc-Wert für Stützen'!$A$8:$ES$8,0)+7,4),,))</f>
        <v>56117.934806505575</v>
      </c>
      <c r="H195" s="768">
        <f ca="1">INDIRECT("'kc-Wert für Stützen'!"&amp;SUBSTITUTE(ADDRESS(MATCH($A195,'kc-Wert für Stützen'!$C:$C,0),MATCH(H$7,'kc-Wert für Stützen'!$A$8:$ES$8,0)+7,4),,))</f>
        <v>55632.040419972349</v>
      </c>
      <c r="I195" s="768">
        <f ca="1">INDIRECT("'kc-Wert für Stützen'!"&amp;SUBSTITUTE(ADDRESS(MATCH($A195,'kc-Wert für Stützen'!$C:$C,0),MATCH(I$7,'kc-Wert für Stützen'!$A$8:$ES$8,0)+7,4),,))</f>
        <v>55100.470337753854</v>
      </c>
      <c r="J195" s="768">
        <f ca="1">INDIRECT("'kc-Wert für Stützen'!"&amp;SUBSTITUTE(ADDRESS(MATCH($A195,'kc-Wert für Stützen'!$C:$C,0),MATCH(J$7,'kc-Wert für Stützen'!$A$8:$ES$8,0)+7,4),,))</f>
        <v>54518.702341526892</v>
      </c>
      <c r="K195" s="768">
        <f ca="1">INDIRECT("'kc-Wert für Stützen'!"&amp;SUBSTITUTE(ADDRESS(MATCH($A195,'kc-Wert für Stützen'!$C:$C,0),MATCH(K$7,'kc-Wert für Stützen'!$A$8:$ES$8,0)+7,4),,))</f>
        <v>53882.384649025262</v>
      </c>
      <c r="L195" s="768">
        <f ca="1">INDIRECT("'kc-Wert für Stützen'!"&amp;SUBSTITUTE(ADDRESS(MATCH($A195,'kc-Wert für Stützen'!$C:$C,0),MATCH(L$7,'kc-Wert für Stützen'!$A$8:$ES$8,0)+7,4),,))</f>
        <v>53187.645412513768</v>
      </c>
      <c r="M195" s="768">
        <f ca="1">INDIRECT("'kc-Wert für Stützen'!"&amp;SUBSTITUTE(ADDRESS(MATCH($A195,'kc-Wert für Stützen'!$C:$C,0),MATCH(M$7,'kc-Wert für Stützen'!$A$8:$ES$8,0)+7,4),,))</f>
        <v>52431.478338018045</v>
      </c>
      <c r="N195" s="768">
        <f ca="1">INDIRECT("'kc-Wert für Stützen'!"&amp;SUBSTITUTE(ADDRESS(MATCH($A195,'kc-Wert für Stützen'!$C:$C,0),MATCH(N$7,'kc-Wert für Stützen'!$A$8:$ES$8,0)+7,4),,))</f>
        <v>51612.17390041989</v>
      </c>
      <c r="O195" s="768">
        <f ca="1">INDIRECT("'kc-Wert für Stützen'!"&amp;SUBSTITUTE(ADDRESS(MATCH($A195,'kc-Wert für Stützen'!$C:$C,0),MATCH(O$7,'kc-Wert für Stützen'!$A$8:$ES$8,0)+7,4),,))</f>
        <v>50729.737706062406</v>
      </c>
      <c r="P195" s="768">
        <f ca="1">INDIRECT("'kc-Wert für Stützen'!"&amp;SUBSTITUTE(ADDRESS(MATCH($A195,'kc-Wert für Stützen'!$C:$C,0),MATCH(P$7,'kc-Wert für Stützen'!$A$8:$ES$8,0)+7,4),,))</f>
        <v>49786.214696804185</v>
      </c>
      <c r="S195" s="772">
        <f t="shared" ca="1" si="59"/>
        <v>57345.110839041801</v>
      </c>
      <c r="T195" s="772">
        <f t="shared" ca="1" si="82"/>
        <v>57345.110839041801</v>
      </c>
      <c r="U195" s="772">
        <f t="shared" ca="1" si="82"/>
        <v>57345.110839041801</v>
      </c>
      <c r="V195" s="772">
        <f t="shared" ca="1" si="82"/>
        <v>56970.356749775441</v>
      </c>
      <c r="W195" s="772">
        <f t="shared" ca="1" si="82"/>
        <v>56562.620042119379</v>
      </c>
      <c r="X195" s="772">
        <f t="shared" ca="1" si="82"/>
        <v>56117.934806505575</v>
      </c>
      <c r="Y195" s="772">
        <f t="shared" ca="1" si="82"/>
        <v>55632.040419972349</v>
      </c>
      <c r="Z195" s="772">
        <f t="shared" ca="1" si="82"/>
        <v>57345.110839041801</v>
      </c>
      <c r="AA195" s="772">
        <f t="shared" ca="1" si="82"/>
        <v>57345.110839041801</v>
      </c>
      <c r="AB195" s="772">
        <f t="shared" ca="1" si="85"/>
        <v>56970.356749775441</v>
      </c>
      <c r="AC195" s="772">
        <f t="shared" ca="1" si="85"/>
        <v>56970.356749775441</v>
      </c>
      <c r="AD195" s="772">
        <f t="shared" ca="1" si="85"/>
        <v>56562.620042119379</v>
      </c>
      <c r="AE195" s="772">
        <f t="shared" ca="1" si="85"/>
        <v>56562.620042119379</v>
      </c>
      <c r="AF195" s="772">
        <f t="shared" ca="1" si="85"/>
        <v>56117.934806505575</v>
      </c>
      <c r="AG195" s="772">
        <f t="shared" ca="1" si="85"/>
        <v>56117.934806505575</v>
      </c>
      <c r="AH195" s="772">
        <f t="shared" ca="1" si="85"/>
        <v>56117.934806505575</v>
      </c>
      <c r="AI195" s="772">
        <f t="shared" ca="1" si="85"/>
        <v>57345.110839041801</v>
      </c>
      <c r="AJ195" s="772">
        <f ca="1">HLOOKUP(AJ$7,$A$7:$P$348,ROW()-6)</f>
        <v>57345.110839041801</v>
      </c>
      <c r="AK195" s="772">
        <f ca="1">HLOOKUP(AK$7,$A$7:$P$348,ROW()-6)</f>
        <v>56970.356749775441</v>
      </c>
      <c r="AL195" s="772">
        <f ca="1">HLOOKUP(AL$7,$A$7:$P$348,ROW()-6)</f>
        <v>56970.356749775441</v>
      </c>
      <c r="AM195" s="772">
        <f t="shared" ref="AJ195:AY218" ca="1" si="88">HLOOKUP(AM$7,$A$7:$P$348,ROW()-6)</f>
        <v>56562.620042119379</v>
      </c>
      <c r="AN195" s="772">
        <f t="shared" ca="1" si="88"/>
        <v>56562.620042119379</v>
      </c>
      <c r="AO195" s="772">
        <f t="shared" ca="1" si="88"/>
        <v>56117.934806505575</v>
      </c>
      <c r="AP195" s="772">
        <f t="shared" ca="1" si="88"/>
        <v>56117.934806505575</v>
      </c>
      <c r="AQ195" s="772">
        <f t="shared" ca="1" si="88"/>
        <v>56117.934806505575</v>
      </c>
      <c r="AR195" s="772">
        <f t="shared" ca="1" si="88"/>
        <v>57345.110839041801</v>
      </c>
      <c r="AS195" s="772">
        <f t="shared" ca="1" si="88"/>
        <v>57345.110839041801</v>
      </c>
      <c r="AT195" s="772">
        <f t="shared" ca="1" si="88"/>
        <v>56970.356749775441</v>
      </c>
      <c r="AU195" s="772">
        <f t="shared" ca="1" si="88"/>
        <v>56970.356749775441</v>
      </c>
      <c r="AV195" s="772">
        <f t="shared" ca="1" si="88"/>
        <v>56562.620042119379</v>
      </c>
      <c r="AW195" s="772">
        <f t="shared" ca="1" si="88"/>
        <v>56562.620042119379</v>
      </c>
      <c r="AX195" s="772">
        <f t="shared" ca="1" si="88"/>
        <v>56117.934806505575</v>
      </c>
      <c r="AY195" s="772">
        <f t="shared" ca="1" si="88"/>
        <v>56117.934806505575</v>
      </c>
      <c r="AZ195" s="772">
        <f t="shared" ca="1" si="87"/>
        <v>56117.934806505575</v>
      </c>
      <c r="BA195" s="772">
        <f t="shared" ca="1" si="87"/>
        <v>57345.110839041801</v>
      </c>
      <c r="BB195" s="772">
        <f t="shared" ca="1" si="87"/>
        <v>57345.110839041801</v>
      </c>
      <c r="BC195" s="772">
        <f t="shared" ca="1" si="87"/>
        <v>56970.356749775441</v>
      </c>
      <c r="BD195" s="772">
        <f t="shared" ca="1" si="87"/>
        <v>56562.620042119379</v>
      </c>
      <c r="BE195" s="772">
        <f t="shared" ca="1" si="87"/>
        <v>56562.620042119379</v>
      </c>
      <c r="BF195" s="772">
        <f t="shared" ca="1" si="87"/>
        <v>56117.934806505575</v>
      </c>
      <c r="BG195" s="772">
        <f t="shared" ca="1" si="87"/>
        <v>56117.934806505575</v>
      </c>
      <c r="BH195" s="772">
        <f t="shared" ca="1" si="80"/>
        <v>55632.040419972349</v>
      </c>
      <c r="BI195" s="772">
        <f t="shared" ca="1" si="80"/>
        <v>55632.040419972349</v>
      </c>
      <c r="BJ195" s="772">
        <f t="shared" ca="1" si="80"/>
        <v>56970.356749775441</v>
      </c>
      <c r="BK195" s="772">
        <f t="shared" ca="1" si="80"/>
        <v>56970.356749775441</v>
      </c>
      <c r="BL195" s="772">
        <f t="shared" ca="1" si="80"/>
        <v>56970.356749775441</v>
      </c>
      <c r="BM195" s="772">
        <f t="shared" ca="1" si="80"/>
        <v>56970.356749775441</v>
      </c>
      <c r="BN195" s="772">
        <f t="shared" ca="1" si="80"/>
        <v>56117.934806505575</v>
      </c>
      <c r="BO195" s="772">
        <f t="shared" ca="1" si="80"/>
        <v>56117.934806505575</v>
      </c>
      <c r="BP195" s="772">
        <f t="shared" ca="1" si="80"/>
        <v>55632.040419972349</v>
      </c>
      <c r="BQ195" s="772">
        <f t="shared" ca="1" si="80"/>
        <v>55632.040419972349</v>
      </c>
      <c r="BR195" s="772">
        <f t="shared" ca="1" si="80"/>
        <v>55100.470337753854</v>
      </c>
      <c r="BS195" s="772">
        <f t="shared" ca="1" si="80"/>
        <v>56970.356749775441</v>
      </c>
      <c r="BT195" s="772">
        <f t="shared" ca="1" si="80"/>
        <v>56970.356749775441</v>
      </c>
      <c r="BU195" s="772">
        <f t="shared" ca="1" si="80"/>
        <v>56970.356749775441</v>
      </c>
      <c r="BV195" s="772">
        <f t="shared" ca="1" si="80"/>
        <v>56562.620042119379</v>
      </c>
      <c r="BW195" s="772">
        <f t="shared" ca="1" si="80"/>
        <v>56562.620042119379</v>
      </c>
      <c r="BX195" s="772">
        <f t="shared" ca="1" si="84"/>
        <v>55632.040419972349</v>
      </c>
      <c r="BY195" s="772">
        <f t="shared" ca="1" si="84"/>
        <v>55632.040419972349</v>
      </c>
      <c r="BZ195" s="772">
        <f t="shared" ca="1" si="84"/>
        <v>55100.470337753854</v>
      </c>
      <c r="CA195" s="772">
        <f t="shared" ca="1" si="84"/>
        <v>55100.470337753854</v>
      </c>
      <c r="CB195" s="772">
        <f t="shared" ca="1" si="84"/>
        <v>56562.620042119379</v>
      </c>
      <c r="CC195" s="772">
        <f t="shared" ca="1" si="84"/>
        <v>56562.620042119379</v>
      </c>
      <c r="CD195" s="772">
        <f t="shared" ca="1" si="84"/>
        <v>56562.620042119379</v>
      </c>
      <c r="CE195" s="772">
        <f t="shared" ca="1" si="83"/>
        <v>56562.620042119379</v>
      </c>
      <c r="CF195" s="772">
        <f t="shared" ca="1" si="83"/>
        <v>56117.934806505575</v>
      </c>
      <c r="CG195" s="772">
        <f t="shared" ca="1" si="83"/>
        <v>55632.040419972349</v>
      </c>
      <c r="CH195" s="772">
        <f t="shared" ca="1" si="83"/>
        <v>55100.470337753854</v>
      </c>
      <c r="CI195" s="772">
        <f t="shared" ca="1" si="83"/>
        <v>55100.470337753854</v>
      </c>
      <c r="CJ195" s="772">
        <f t="shared" ca="1" si="83"/>
        <v>54518.702341526892</v>
      </c>
    </row>
    <row r="196" spans="1:88" ht="15" customHeight="1">
      <c r="A196" s="770">
        <f>'kc-Wert für Stützen'!C196</f>
        <v>248</v>
      </c>
      <c r="B196" s="768">
        <f ca="1">INDIRECT("'kc-Wert für Stützen'!"&amp;SUBSTITUTE(ADDRESS(MATCH($A196,'kc-Wert für Stützen'!$C:$C,0),MATCH(B$7,'kc-Wert für Stützen'!$A$8:$ES$8,0)+7,4),,))</f>
        <v>58515.328336041224</v>
      </c>
      <c r="C196" s="768">
        <f ca="1">INDIRECT("'kc-Wert für Stützen'!"&amp;SUBSTITUTE(ADDRESS(MATCH($A196,'kc-Wert für Stützen'!$C:$C,0),MATCH(C$7,'kc-Wert für Stützen'!$A$8:$ES$8,0)+7,4),,))</f>
        <v>58197.526151802238</v>
      </c>
      <c r="D196" s="768">
        <f ca="1">INDIRECT("'kc-Wert für Stützen'!"&amp;SUBSTITUTE(ADDRESS(MATCH($A196,'kc-Wert für Stützen'!$C:$C,0),MATCH(D$7,'kc-Wert für Stützen'!$A$8:$ES$8,0)+7,4),,))</f>
        <v>57854.009288817302</v>
      </c>
      <c r="E196" s="768">
        <f ca="1">INDIRECT("'kc-Wert für Stützen'!"&amp;SUBSTITUTE(ADDRESS(MATCH($A196,'kc-Wert für Stützen'!$C:$C,0),MATCH(E$7,'kc-Wert für Stützen'!$A$8:$ES$8,0)+7,4),,))</f>
        <v>57481.553313612356</v>
      </c>
      <c r="F196" s="768">
        <f ca="1">INDIRECT("'kc-Wert für Stützen'!"&amp;SUBSTITUTE(ADDRESS(MATCH($A196,'kc-Wert für Stützen'!$C:$C,0),MATCH(F$7,'kc-Wert für Stützen'!$A$8:$ES$8,0)+7,4),,))</f>
        <v>57076.587424498233</v>
      </c>
      <c r="G196" s="768">
        <f ca="1">INDIRECT("'kc-Wert für Stützen'!"&amp;SUBSTITUTE(ADDRESS(MATCH($A196,'kc-Wert für Stützen'!$C:$C,0),MATCH(G$7,'kc-Wert für Stützen'!$A$8:$ES$8,0)+7,4),,))</f>
        <v>56635.202802832187</v>
      </c>
      <c r="H196" s="768">
        <f ca="1">INDIRECT("'kc-Wert für Stützen'!"&amp;SUBSTITUTE(ADDRESS(MATCH($A196,'kc-Wert für Stützen'!$C:$C,0),MATCH(H$7,'kc-Wert für Stützen'!$A$8:$ES$8,0)+7,4),,))</f>
        <v>56153.190487343512</v>
      </c>
      <c r="I196" s="768">
        <f ca="1">INDIRECT("'kc-Wert für Stützen'!"&amp;SUBSTITUTE(ADDRESS(MATCH($A196,'kc-Wert für Stützen'!$C:$C,0),MATCH(I$7,'kc-Wert für Stützen'!$A$8:$ES$8,0)+7,4),,))</f>
        <v>55626.122281701733</v>
      </c>
      <c r="J196" s="768">
        <f ca="1">INDIRECT("'kc-Wert für Stützen'!"&amp;SUBSTITUTE(ADDRESS(MATCH($A196,'kc-Wert für Stützen'!$C:$C,0),MATCH(J$7,'kc-Wert für Stützen'!$A$8:$ES$8,0)+7,4),,))</f>
        <v>55049.490060086544</v>
      </c>
      <c r="K196" s="768">
        <f ca="1">INDIRECT("'kc-Wert für Stützen'!"&amp;SUBSTITUTE(ADDRESS(MATCH($A196,'kc-Wert für Stützen'!$C:$C,0),MATCH(K$7,'kc-Wert für Stützen'!$A$8:$ES$8,0)+7,4),,))</f>
        <v>54418.918036803167</v>
      </c>
      <c r="L196" s="768">
        <f ca="1">INDIRECT("'kc-Wert für Stützen'!"&amp;SUBSTITUTE(ADDRESS(MATCH($A196,'kc-Wert für Stützen'!$C:$C,0),MATCH(L$7,'kc-Wert für Stützen'!$A$8:$ES$8,0)+7,4),,))</f>
        <v>53730.45675274323</v>
      </c>
      <c r="M196" s="768">
        <f ca="1">INDIRECT("'kc-Wert für Stützen'!"&amp;SUBSTITUTE(ADDRESS(MATCH($A196,'kc-Wert für Stützen'!$C:$C,0),MATCH(M$7,'kc-Wert für Stützen'!$A$8:$ES$8,0)+7,4),,))</f>
        <v>52980.954282710118</v>
      </c>
      <c r="N196" s="768">
        <f ca="1">INDIRECT("'kc-Wert für Stützen'!"&amp;SUBSTITUTE(ADDRESS(MATCH($A196,'kc-Wert für Stützen'!$C:$C,0),MATCH(N$7,'kc-Wert für Stützen'!$A$8:$ES$8,0)+7,4),,))</f>
        <v>52168.478556468814</v>
      </c>
      <c r="O196" s="768">
        <f ca="1">INDIRECT("'kc-Wert für Stützen'!"&amp;SUBSTITUTE(ADDRESS(MATCH($A196,'kc-Wert für Stützen'!$C:$C,0),MATCH(O$7,'kc-Wert für Stützen'!$A$8:$ES$8,0)+7,4),,))</f>
        <v>51292.737627269991</v>
      </c>
      <c r="P196" s="768">
        <f ca="1">INDIRECT("'kc-Wert für Stützen'!"&amp;SUBSTITUTE(ADDRESS(MATCH($A196,'kc-Wert für Stützen'!$C:$C,0),MATCH(P$7,'kc-Wert für Stützen'!$A$8:$ES$8,0)+7,4),,))</f>
        <v>50355.420791012089</v>
      </c>
      <c r="S196" s="772">
        <f t="shared" ca="1" si="59"/>
        <v>57854.009288817302</v>
      </c>
      <c r="T196" s="772">
        <f t="shared" ca="1" si="82"/>
        <v>57854.009288817302</v>
      </c>
      <c r="U196" s="772">
        <f t="shared" ca="1" si="82"/>
        <v>57854.009288817302</v>
      </c>
      <c r="V196" s="772">
        <f t="shared" ca="1" si="82"/>
        <v>57481.553313612356</v>
      </c>
      <c r="W196" s="772">
        <f t="shared" ca="1" si="82"/>
        <v>57076.587424498233</v>
      </c>
      <c r="X196" s="772">
        <f t="shared" ca="1" si="82"/>
        <v>56635.202802832187</v>
      </c>
      <c r="Y196" s="772">
        <f t="shared" ca="1" si="82"/>
        <v>56153.190487343512</v>
      </c>
      <c r="Z196" s="772">
        <f t="shared" ca="1" si="82"/>
        <v>57854.009288817302</v>
      </c>
      <c r="AA196" s="772">
        <f t="shared" ca="1" si="82"/>
        <v>57854.009288817302</v>
      </c>
      <c r="AB196" s="772">
        <f t="shared" ca="1" si="85"/>
        <v>57481.553313612356</v>
      </c>
      <c r="AC196" s="772">
        <f t="shared" ca="1" si="85"/>
        <v>57481.553313612356</v>
      </c>
      <c r="AD196" s="772">
        <f t="shared" ca="1" si="85"/>
        <v>57076.587424498233</v>
      </c>
      <c r="AE196" s="772">
        <f t="shared" ca="1" si="85"/>
        <v>57076.587424498233</v>
      </c>
      <c r="AF196" s="772">
        <f t="shared" ca="1" si="85"/>
        <v>56635.202802832187</v>
      </c>
      <c r="AG196" s="772">
        <f t="shared" ca="1" si="85"/>
        <v>56635.202802832187</v>
      </c>
      <c r="AH196" s="772">
        <f t="shared" ca="1" si="85"/>
        <v>56635.202802832187</v>
      </c>
      <c r="AI196" s="772">
        <f t="shared" ca="1" si="85"/>
        <v>57854.009288817302</v>
      </c>
      <c r="AJ196" s="772">
        <f t="shared" ca="1" si="88"/>
        <v>57854.009288817302</v>
      </c>
      <c r="AK196" s="772">
        <f t="shared" ca="1" si="88"/>
        <v>57481.553313612356</v>
      </c>
      <c r="AL196" s="772">
        <f t="shared" ca="1" si="88"/>
        <v>57481.553313612356</v>
      </c>
      <c r="AM196" s="772">
        <f t="shared" ca="1" si="88"/>
        <v>57076.587424498233</v>
      </c>
      <c r="AN196" s="772">
        <f t="shared" ca="1" si="88"/>
        <v>57076.587424498233</v>
      </c>
      <c r="AO196" s="772">
        <f t="shared" ca="1" si="88"/>
        <v>56635.202802832187</v>
      </c>
      <c r="AP196" s="772">
        <f t="shared" ca="1" si="88"/>
        <v>56635.202802832187</v>
      </c>
      <c r="AQ196" s="772">
        <f t="shared" ca="1" si="88"/>
        <v>56635.202802832187</v>
      </c>
      <c r="AR196" s="772">
        <f t="shared" ca="1" si="88"/>
        <v>57854.009288817302</v>
      </c>
      <c r="AS196" s="772">
        <f t="shared" ca="1" si="88"/>
        <v>57854.009288817302</v>
      </c>
      <c r="AT196" s="772">
        <f t="shared" ca="1" si="88"/>
        <v>57481.553313612356</v>
      </c>
      <c r="AU196" s="772">
        <f t="shared" ca="1" si="88"/>
        <v>57481.553313612356</v>
      </c>
      <c r="AV196" s="772">
        <f t="shared" ca="1" si="88"/>
        <v>57076.587424498233</v>
      </c>
      <c r="AW196" s="772">
        <f t="shared" ca="1" si="88"/>
        <v>57076.587424498233</v>
      </c>
      <c r="AX196" s="772">
        <f t="shared" ca="1" si="88"/>
        <v>56635.202802832187</v>
      </c>
      <c r="AY196" s="772">
        <f t="shared" ca="1" si="88"/>
        <v>56635.202802832187</v>
      </c>
      <c r="AZ196" s="772">
        <f t="shared" ca="1" si="87"/>
        <v>56635.202802832187</v>
      </c>
      <c r="BA196" s="772">
        <f t="shared" ca="1" si="87"/>
        <v>57854.009288817302</v>
      </c>
      <c r="BB196" s="772">
        <f t="shared" ca="1" si="87"/>
        <v>57854.009288817302</v>
      </c>
      <c r="BC196" s="772">
        <f t="shared" ca="1" si="87"/>
        <v>57481.553313612356</v>
      </c>
      <c r="BD196" s="772">
        <f t="shared" ca="1" si="87"/>
        <v>57076.587424498233</v>
      </c>
      <c r="BE196" s="772">
        <f t="shared" ca="1" si="87"/>
        <v>57076.587424498233</v>
      </c>
      <c r="BF196" s="772">
        <f t="shared" ca="1" si="87"/>
        <v>56635.202802832187</v>
      </c>
      <c r="BG196" s="772">
        <f t="shared" ca="1" si="87"/>
        <v>56635.202802832187</v>
      </c>
      <c r="BH196" s="772">
        <f t="shared" ca="1" si="80"/>
        <v>56153.190487343512</v>
      </c>
      <c r="BI196" s="772">
        <f t="shared" ca="1" si="80"/>
        <v>56153.190487343512</v>
      </c>
      <c r="BJ196" s="772">
        <f t="shared" ca="1" si="80"/>
        <v>57481.553313612356</v>
      </c>
      <c r="BK196" s="772">
        <f t="shared" ca="1" si="80"/>
        <v>57481.553313612356</v>
      </c>
      <c r="BL196" s="772">
        <f t="shared" ca="1" si="80"/>
        <v>57481.553313612356</v>
      </c>
      <c r="BM196" s="772">
        <f t="shared" ca="1" si="80"/>
        <v>57481.553313612356</v>
      </c>
      <c r="BN196" s="772">
        <f t="shared" ca="1" si="80"/>
        <v>56635.202802832187</v>
      </c>
      <c r="BO196" s="772">
        <f t="shared" ca="1" si="80"/>
        <v>56635.202802832187</v>
      </c>
      <c r="BP196" s="772">
        <f t="shared" ca="1" si="80"/>
        <v>56153.190487343512</v>
      </c>
      <c r="BQ196" s="772">
        <f t="shared" ca="1" si="80"/>
        <v>56153.190487343512</v>
      </c>
      <c r="BR196" s="772">
        <f t="shared" ca="1" si="80"/>
        <v>55626.122281701733</v>
      </c>
      <c r="BS196" s="772">
        <f t="shared" ca="1" si="80"/>
        <v>57481.553313612356</v>
      </c>
      <c r="BT196" s="772">
        <f t="shared" ca="1" si="80"/>
        <v>57481.553313612356</v>
      </c>
      <c r="BU196" s="772">
        <f t="shared" ca="1" si="80"/>
        <v>57481.553313612356</v>
      </c>
      <c r="BV196" s="772">
        <f t="shared" ca="1" si="80"/>
        <v>57076.587424498233</v>
      </c>
      <c r="BW196" s="772">
        <f t="shared" ca="1" si="80"/>
        <v>57076.587424498233</v>
      </c>
      <c r="BX196" s="772">
        <f t="shared" ca="1" si="84"/>
        <v>56153.190487343512</v>
      </c>
      <c r="BY196" s="772">
        <f t="shared" ca="1" si="84"/>
        <v>56153.190487343512</v>
      </c>
      <c r="BZ196" s="772">
        <f t="shared" ca="1" si="84"/>
        <v>55626.122281701733</v>
      </c>
      <c r="CA196" s="772">
        <f t="shared" ca="1" si="84"/>
        <v>55626.122281701733</v>
      </c>
      <c r="CB196" s="772">
        <f t="shared" ca="1" si="84"/>
        <v>57076.587424498233</v>
      </c>
      <c r="CC196" s="772">
        <f t="shared" ca="1" si="84"/>
        <v>57076.587424498233</v>
      </c>
      <c r="CD196" s="772">
        <f t="shared" ca="1" si="84"/>
        <v>57076.587424498233</v>
      </c>
      <c r="CE196" s="772">
        <f t="shared" ref="CE196:CJ201" ca="1" si="89">HLOOKUP(CE$7,$A$7:$P$348,ROW()-6)</f>
        <v>57076.587424498233</v>
      </c>
      <c r="CF196" s="772">
        <f t="shared" ca="1" si="89"/>
        <v>56635.202802832187</v>
      </c>
      <c r="CG196" s="772">
        <f t="shared" ca="1" si="89"/>
        <v>56153.190487343512</v>
      </c>
      <c r="CH196" s="772">
        <f t="shared" ca="1" si="89"/>
        <v>55626.122281701733</v>
      </c>
      <c r="CI196" s="772">
        <f t="shared" ca="1" si="89"/>
        <v>55626.122281701733</v>
      </c>
      <c r="CJ196" s="772">
        <f t="shared" ca="1" si="89"/>
        <v>55049.490060086544</v>
      </c>
    </row>
    <row r="197" spans="1:88" ht="15" customHeight="1">
      <c r="A197" s="770">
        <f>'kc-Wert für Stützen'!C197</f>
        <v>249</v>
      </c>
      <c r="B197" s="768">
        <f ca="1">INDIRECT("'kc-Wert für Stützen'!"&amp;SUBSTITUTE(ADDRESS(MATCH($A197,'kc-Wert für Stützen'!$C:$C,0),MATCH(B$7,'kc-Wert für Stützen'!$A$8:$ES$8,0)+7,4),,))</f>
        <v>59022.713181326922</v>
      </c>
      <c r="C197" s="768">
        <f ca="1">INDIRECT("'kc-Wert für Stützen'!"&amp;SUBSTITUTE(ADDRESS(MATCH($A197,'kc-Wert für Stützen'!$C:$C,0),MATCH(C$7,'kc-Wert für Stützen'!$A$8:$ES$8,0)+7,4),,))</f>
        <v>58706.394470491701</v>
      </c>
      <c r="D197" s="768">
        <f ca="1">INDIRECT("'kc-Wert für Stützen'!"&amp;SUBSTITUTE(ADDRESS(MATCH($A197,'kc-Wert für Stützen'!$C:$C,0),MATCH(D$7,'kc-Wert für Stützen'!$A$8:$ES$8,0)+7,4),,))</f>
        <v>58364.714666815402</v>
      </c>
      <c r="E197" s="768">
        <f ca="1">INDIRECT("'kc-Wert für Stützen'!"&amp;SUBSTITUTE(ADDRESS(MATCH($A197,'kc-Wert für Stützen'!$C:$C,0),MATCH(E$7,'kc-Wert für Stützen'!$A$8:$ES$8,0)+7,4),,))</f>
        <v>57994.502752319953</v>
      </c>
      <c r="F197" s="768">
        <f ca="1">INDIRECT("'kc-Wert für Stützen'!"&amp;SUBSTITUTE(ADDRESS(MATCH($A197,'kc-Wert für Stützen'!$C:$C,0),MATCH(F$7,'kc-Wert für Stützen'!$A$8:$ES$8,0)+7,4),,))</f>
        <v>57592.244536526334</v>
      </c>
      <c r="G197" s="768">
        <f ca="1">INDIRECT("'kc-Wert für Stützen'!"&amp;SUBSTITUTE(ADDRESS(MATCH($A197,'kc-Wert für Stützen'!$C:$C,0),MATCH(G$7,'kc-Wert für Stützen'!$A$8:$ES$8,0)+7,4),,))</f>
        <v>57154.088102026093</v>
      </c>
      <c r="H197" s="768">
        <f ca="1">INDIRECT("'kc-Wert für Stützen'!"&amp;SUBSTITUTE(ADDRESS(MATCH($A197,'kc-Wert für Stützen'!$C:$C,0),MATCH(H$7,'kc-Wert für Stützen'!$A$8:$ES$8,0)+7,4),,))</f>
        <v>56675.876828755841</v>
      </c>
      <c r="I197" s="768">
        <f ca="1">INDIRECT("'kc-Wert für Stützen'!"&amp;SUBSTITUTE(ADDRESS(MATCH($A197,'kc-Wert für Stützen'!$C:$C,0),MATCH(I$7,'kc-Wert für Stützen'!$A$8:$ES$8,0)+7,4),,))</f>
        <v>56153.222916036408</v>
      </c>
      <c r="J197" s="768">
        <f ca="1">INDIRECT("'kc-Wert für Stützen'!"&amp;SUBSTITUTE(ADDRESS(MATCH($A197,'kc-Wert für Stützen'!$C:$C,0),MATCH(J$7,'kc-Wert für Stützen'!$A$8:$ES$8,0)+7,4),,))</f>
        <v>55581.636333848481</v>
      </c>
      <c r="K197" s="768">
        <f ca="1">INDIRECT("'kc-Wert für Stützen'!"&amp;SUBSTITUTE(ADDRESS(MATCH($A197,'kc-Wert für Stützen'!$C:$C,0),MATCH(K$7,'kc-Wert für Stützen'!$A$8:$ES$8,0)+7,4),,))</f>
        <v>54956.723825412853</v>
      </c>
      <c r="L197" s="768">
        <f ca="1">INDIRECT("'kc-Wert für Stützen'!"&amp;SUBSTITUTE(ADDRESS(MATCH($A197,'kc-Wert für Stützen'!$C:$C,0),MATCH(L$7,'kc-Wert für Stützen'!$A$8:$ES$8,0)+7,4),,))</f>
        <v>54274.467733071302</v>
      </c>
      <c r="M197" s="768">
        <f ca="1">INDIRECT("'kc-Wert für Stützen'!"&amp;SUBSTITUTE(ADDRESS(MATCH($A197,'kc-Wert für Stützen'!$C:$C,0),MATCH(M$7,'kc-Wert für Stützen'!$A$8:$ES$8,0)+7,4),,))</f>
        <v>53531.582621363545</v>
      </c>
      <c r="N197" s="768">
        <f ca="1">INDIRECT("'kc-Wert für Stützen'!"&amp;SUBSTITUTE(ADDRESS(MATCH($A197,'kc-Wert für Stützen'!$C:$C,0),MATCH(N$7,'kc-Wert für Stützen'!$A$8:$ES$8,0)+7,4),,))</f>
        <v>52725.927689733784</v>
      </c>
      <c r="O197" s="768">
        <f ca="1">INDIRECT("'kc-Wert für Stützen'!"&amp;SUBSTITUTE(ADDRESS(MATCH($A197,'kc-Wert für Stützen'!$C:$C,0),MATCH(O$7,'kc-Wert für Stützen'!$A$8:$ES$8,0)+7,4),,))</f>
        <v>51856.926935264251</v>
      </c>
      <c r="P197" s="768">
        <f ca="1">INDIRECT("'kc-Wert für Stützen'!"&amp;SUBSTITUTE(ADDRESS(MATCH($A197,'kc-Wert für Stützen'!$C:$C,0),MATCH(P$7,'kc-Wert für Stützen'!$A$8:$ES$8,0)+7,4),,))</f>
        <v>50925.924408052531</v>
      </c>
      <c r="S197" s="772">
        <f t="shared" ca="1" si="59"/>
        <v>58364.714666815402</v>
      </c>
      <c r="T197" s="772">
        <f t="shared" ca="1" si="82"/>
        <v>58364.714666815402</v>
      </c>
      <c r="U197" s="772">
        <f t="shared" ca="1" si="82"/>
        <v>58364.714666815402</v>
      </c>
      <c r="V197" s="772">
        <f t="shared" ca="1" si="82"/>
        <v>57994.502752319953</v>
      </c>
      <c r="W197" s="772">
        <f t="shared" ca="1" si="82"/>
        <v>57592.244536526334</v>
      </c>
      <c r="X197" s="772">
        <f t="shared" ca="1" si="82"/>
        <v>57154.088102026093</v>
      </c>
      <c r="Y197" s="772">
        <f t="shared" ca="1" si="82"/>
        <v>56675.876828755841</v>
      </c>
      <c r="Z197" s="772">
        <f t="shared" ca="1" si="82"/>
        <v>58364.714666815402</v>
      </c>
      <c r="AA197" s="772">
        <f t="shared" ca="1" si="82"/>
        <v>58364.714666815402</v>
      </c>
      <c r="AB197" s="772">
        <f t="shared" ca="1" si="85"/>
        <v>57994.502752319953</v>
      </c>
      <c r="AC197" s="772">
        <f t="shared" ca="1" si="85"/>
        <v>57994.502752319953</v>
      </c>
      <c r="AD197" s="772">
        <f t="shared" ca="1" si="85"/>
        <v>57592.244536526334</v>
      </c>
      <c r="AE197" s="772">
        <f t="shared" ca="1" si="85"/>
        <v>57592.244536526334</v>
      </c>
      <c r="AF197" s="772">
        <f t="shared" ca="1" si="85"/>
        <v>57154.088102026093</v>
      </c>
      <c r="AG197" s="772">
        <f t="shared" ca="1" si="85"/>
        <v>57154.088102026093</v>
      </c>
      <c r="AH197" s="772">
        <f t="shared" ca="1" si="85"/>
        <v>57154.088102026093</v>
      </c>
      <c r="AI197" s="772">
        <f t="shared" ca="1" si="85"/>
        <v>58364.714666815402</v>
      </c>
      <c r="AJ197" s="772">
        <f t="shared" ca="1" si="88"/>
        <v>58364.714666815402</v>
      </c>
      <c r="AK197" s="772">
        <f t="shared" ca="1" si="88"/>
        <v>57994.502752319953</v>
      </c>
      <c r="AL197" s="772">
        <f t="shared" ca="1" si="88"/>
        <v>57994.502752319953</v>
      </c>
      <c r="AM197" s="772">
        <f t="shared" ca="1" si="88"/>
        <v>57592.244536526334</v>
      </c>
      <c r="AN197" s="772">
        <f t="shared" ca="1" si="88"/>
        <v>57592.244536526334</v>
      </c>
      <c r="AO197" s="772">
        <f t="shared" ca="1" si="88"/>
        <v>57154.088102026093</v>
      </c>
      <c r="AP197" s="772">
        <f t="shared" ca="1" si="88"/>
        <v>57154.088102026093</v>
      </c>
      <c r="AQ197" s="772">
        <f t="shared" ca="1" si="88"/>
        <v>57154.088102026093</v>
      </c>
      <c r="AR197" s="772">
        <f t="shared" ca="1" si="88"/>
        <v>58364.714666815402</v>
      </c>
      <c r="AS197" s="772">
        <f t="shared" ca="1" si="88"/>
        <v>58364.714666815402</v>
      </c>
      <c r="AT197" s="772">
        <f t="shared" ca="1" si="88"/>
        <v>57994.502752319953</v>
      </c>
      <c r="AU197" s="772">
        <f t="shared" ca="1" si="88"/>
        <v>57994.502752319953</v>
      </c>
      <c r="AV197" s="772">
        <f t="shared" ca="1" si="88"/>
        <v>57592.244536526334</v>
      </c>
      <c r="AW197" s="772">
        <f t="shared" ca="1" si="88"/>
        <v>57592.244536526334</v>
      </c>
      <c r="AX197" s="772">
        <f t="shared" ca="1" si="88"/>
        <v>57154.088102026093</v>
      </c>
      <c r="AY197" s="772">
        <f t="shared" ca="1" si="88"/>
        <v>57154.088102026093</v>
      </c>
      <c r="AZ197" s="772">
        <f t="shared" ca="1" si="87"/>
        <v>57154.088102026093</v>
      </c>
      <c r="BA197" s="772">
        <f t="shared" ca="1" si="87"/>
        <v>58364.714666815402</v>
      </c>
      <c r="BB197" s="772">
        <f t="shared" ca="1" si="87"/>
        <v>58364.714666815402</v>
      </c>
      <c r="BC197" s="772">
        <f t="shared" ca="1" si="87"/>
        <v>57994.502752319953</v>
      </c>
      <c r="BD197" s="772">
        <f t="shared" ca="1" si="87"/>
        <v>57592.244536526334</v>
      </c>
      <c r="BE197" s="772">
        <f t="shared" ca="1" si="87"/>
        <v>57592.244536526334</v>
      </c>
      <c r="BF197" s="772">
        <f t="shared" ca="1" si="87"/>
        <v>57154.088102026093</v>
      </c>
      <c r="BG197" s="772">
        <f t="shared" ca="1" si="87"/>
        <v>57154.088102026093</v>
      </c>
      <c r="BH197" s="772">
        <f t="shared" ca="1" si="80"/>
        <v>56675.876828755841</v>
      </c>
      <c r="BI197" s="772">
        <f t="shared" ca="1" si="80"/>
        <v>56675.876828755841</v>
      </c>
      <c r="BJ197" s="772">
        <f t="shared" ca="1" si="80"/>
        <v>57994.502752319953</v>
      </c>
      <c r="BK197" s="772">
        <f t="shared" ca="1" si="80"/>
        <v>57994.502752319953</v>
      </c>
      <c r="BL197" s="772">
        <f t="shared" ca="1" si="80"/>
        <v>57994.502752319953</v>
      </c>
      <c r="BM197" s="772">
        <f t="shared" ca="1" si="80"/>
        <v>57994.502752319953</v>
      </c>
      <c r="BN197" s="772">
        <f t="shared" ca="1" si="80"/>
        <v>57154.088102026093</v>
      </c>
      <c r="BO197" s="772">
        <f t="shared" ca="1" si="80"/>
        <v>57154.088102026093</v>
      </c>
      <c r="BP197" s="772">
        <f t="shared" ca="1" si="80"/>
        <v>56675.876828755841</v>
      </c>
      <c r="BQ197" s="772">
        <f t="shared" ca="1" si="80"/>
        <v>56675.876828755841</v>
      </c>
      <c r="BR197" s="772">
        <f t="shared" ca="1" si="80"/>
        <v>56153.222916036408</v>
      </c>
      <c r="BS197" s="772">
        <f t="shared" ca="1" si="80"/>
        <v>57994.502752319953</v>
      </c>
      <c r="BT197" s="772">
        <f t="shared" ca="1" si="80"/>
        <v>57994.502752319953</v>
      </c>
      <c r="BU197" s="772">
        <f t="shared" ca="1" si="80"/>
        <v>57994.502752319953</v>
      </c>
      <c r="BV197" s="772">
        <f t="shared" ca="1" si="80"/>
        <v>57592.244536526334</v>
      </c>
      <c r="BW197" s="772">
        <f t="shared" ca="1" si="80"/>
        <v>57592.244536526334</v>
      </c>
      <c r="BX197" s="772">
        <f t="shared" ca="1" si="84"/>
        <v>56675.876828755841</v>
      </c>
      <c r="BY197" s="772">
        <f t="shared" ca="1" si="84"/>
        <v>56675.876828755841</v>
      </c>
      <c r="BZ197" s="772">
        <f t="shared" ca="1" si="84"/>
        <v>56153.222916036408</v>
      </c>
      <c r="CA197" s="772">
        <f t="shared" ca="1" si="84"/>
        <v>56153.222916036408</v>
      </c>
      <c r="CB197" s="772">
        <f t="shared" ca="1" si="84"/>
        <v>57592.244536526334</v>
      </c>
      <c r="CC197" s="772">
        <f t="shared" ca="1" si="84"/>
        <v>57592.244536526334</v>
      </c>
      <c r="CD197" s="772">
        <f t="shared" ca="1" si="84"/>
        <v>57592.244536526334</v>
      </c>
      <c r="CE197" s="772">
        <f t="shared" ca="1" si="89"/>
        <v>57592.244536526334</v>
      </c>
      <c r="CF197" s="772">
        <f t="shared" ca="1" si="89"/>
        <v>57154.088102026093</v>
      </c>
      <c r="CG197" s="772">
        <f t="shared" ca="1" si="89"/>
        <v>56675.876828755841</v>
      </c>
      <c r="CH197" s="772">
        <f t="shared" ca="1" si="89"/>
        <v>56153.222916036408</v>
      </c>
      <c r="CI197" s="772">
        <f t="shared" ca="1" si="89"/>
        <v>56153.222916036408</v>
      </c>
      <c r="CJ197" s="772">
        <f t="shared" ca="1" si="89"/>
        <v>55581.636333848481</v>
      </c>
    </row>
    <row r="198" spans="1:88" ht="15" customHeight="1">
      <c r="A198" s="770">
        <f>'kc-Wert für Stützen'!C198</f>
        <v>250</v>
      </c>
      <c r="B198" s="768">
        <f ca="1">INDIRECT("'kc-Wert für Stützen'!"&amp;SUBSTITUTE(ADDRESS(MATCH($A198,'kc-Wert für Stützen'!$C:$C,0),MATCH(B$7,'kc-Wert für Stützen'!$A$8:$ES$8,0)+7,4),,))</f>
        <v>59531.992619915785</v>
      </c>
      <c r="C198" s="768">
        <f ca="1">INDIRECT("'kc-Wert für Stützen'!"&amp;SUBSTITUTE(ADDRESS(MATCH($A198,'kc-Wert für Stützen'!$C:$C,0),MATCH(C$7,'kc-Wert für Stützen'!$A$8:$ES$8,0)+7,4),,))</f>
        <v>59217.120172758288</v>
      </c>
      <c r="D198" s="768">
        <f ca="1">INDIRECT("'kc-Wert für Stützen'!"&amp;SUBSTITUTE(ADDRESS(MATCH($A198,'kc-Wert für Stützen'!$C:$C,0),MATCH(D$7,'kc-Wert für Stützen'!$A$8:$ES$8,0)+7,4),,))</f>
        <v>58877.232901246825</v>
      </c>
      <c r="E198" s="768">
        <f ca="1">INDIRECT("'kc-Wert für Stützen'!"&amp;SUBSTITUTE(ADDRESS(MATCH($A198,'kc-Wert für Stützen'!$C:$C,0),MATCH(E$7,'kc-Wert für Stützen'!$A$8:$ES$8,0)+7,4),,))</f>
        <v>58509.212280566389</v>
      </c>
      <c r="F198" s="768">
        <f ca="1">INDIRECT("'kc-Wert für Stützen'!"&amp;SUBSTITUTE(ADDRESS(MATCH($A198,'kc-Wert für Stützen'!$C:$C,0),MATCH(F$7,'kc-Wert für Stützen'!$A$8:$ES$8,0)+7,4),,))</f>
        <v>58109.600015903547</v>
      </c>
      <c r="G198" s="768">
        <f ca="1">INDIRECT("'kc-Wert für Stützen'!"&amp;SUBSTITUTE(ADDRESS(MATCH($A198,'kc-Wert für Stützen'!$C:$C,0),MATCH(G$7,'kc-Wert für Stützen'!$A$8:$ES$8,0)+7,4),,))</f>
        <v>57674.6008236532</v>
      </c>
      <c r="H198" s="768">
        <f ca="1">INDIRECT("'kc-Wert für Stützen'!"&amp;SUBSTITUTE(ADDRESS(MATCH($A198,'kc-Wert für Stützen'!$C:$C,0),MATCH(H$7,'kc-Wert für Stützen'!$A$8:$ES$8,0)+7,4),,))</f>
        <v>57200.110958295736</v>
      </c>
      <c r="I198" s="768">
        <f ca="1">INDIRECT("'kc-Wert für Stützen'!"&amp;SUBSTITUTE(ADDRESS(MATCH($A198,'kc-Wert für Stützen'!$C:$C,0),MATCH(I$7,'kc-Wert für Stützen'!$A$8:$ES$8,0)+7,4),,))</f>
        <v>56681.784822485533</v>
      </c>
      <c r="J198" s="768">
        <f ca="1">INDIRECT("'kc-Wert für Stützen'!"&amp;SUBSTITUTE(ADDRESS(MATCH($A198,'kc-Wert für Stützen'!$C:$C,0),MATCH(J$7,'kc-Wert für Stützen'!$A$8:$ES$8,0)+7,4),,))</f>
        <v>56115.154133094118</v>
      </c>
      <c r="K198" s="768">
        <f ca="1">INDIRECT("'kc-Wert für Stützen'!"&amp;SUBSTITUTE(ADDRESS(MATCH($A198,'kc-Wert für Stützen'!$C:$C,0),MATCH(K$7,'kc-Wert für Stützen'!$A$8:$ES$8,0)+7,4),,))</f>
        <v>55495.814230348369</v>
      </c>
      <c r="L198" s="768">
        <f ca="1">INDIRECT("'kc-Wert für Stützen'!"&amp;SUBSTITUTE(ADDRESS(MATCH($A198,'kc-Wert für Stützen'!$C:$C,0),MATCH(L$7,'kc-Wert für Stützen'!$A$8:$ES$8,0)+7,4),,))</f>
        <v>54819.688135338016</v>
      </c>
      <c r="M198" s="768">
        <f ca="1">INDIRECT("'kc-Wert für Stützen'!"&amp;SUBSTITUTE(ADDRESS(MATCH($A198,'kc-Wert für Stützen'!$C:$C,0),MATCH(M$7,'kc-Wert für Stützen'!$A$8:$ES$8,0)+7,4),,))</f>
        <v>54083.368516375442</v>
      </c>
      <c r="N198" s="768">
        <f ca="1">INDIRECT("'kc-Wert für Stützen'!"&amp;SUBSTITUTE(ADDRESS(MATCH($A198,'kc-Wert für Stützen'!$C:$C,0),MATCH(N$7,'kc-Wert für Stützen'!$A$8:$ES$8,0)+7,4),,))</f>
        <v>53284.519340095118</v>
      </c>
      <c r="O198" s="768">
        <f ca="1">INDIRECT("'kc-Wert für Stützen'!"&amp;SUBSTITUTE(ADDRESS(MATCH($A198,'kc-Wert für Stützen'!$C:$C,0),MATCH(O$7,'kc-Wert für Stützen'!$A$8:$ES$8,0)+7,4),,))</f>
        <v>52422.29410470451</v>
      </c>
      <c r="P198" s="768">
        <f ca="1">INDIRECT("'kc-Wert für Stützen'!"&amp;SUBSTITUTE(ADDRESS(MATCH($A198,'kc-Wert für Stützen'!$C:$C,0),MATCH(P$7,'kc-Wert für Stützen'!$A$8:$ES$8,0)+7,4),,))</f>
        <v>51497.702591003268</v>
      </c>
      <c r="S198" s="772">
        <f t="shared" ca="1" si="59"/>
        <v>58877.232901246825</v>
      </c>
      <c r="T198" s="772">
        <f t="shared" ca="1" si="82"/>
        <v>58877.232901246825</v>
      </c>
      <c r="U198" s="772">
        <f t="shared" ca="1" si="82"/>
        <v>58877.232901246825</v>
      </c>
      <c r="V198" s="772">
        <f t="shared" ca="1" si="82"/>
        <v>58509.212280566389</v>
      </c>
      <c r="W198" s="772">
        <f t="shared" ca="1" si="82"/>
        <v>58109.600015903547</v>
      </c>
      <c r="X198" s="772">
        <f t="shared" ca="1" si="82"/>
        <v>57674.6008236532</v>
      </c>
      <c r="Y198" s="772">
        <f t="shared" ca="1" si="82"/>
        <v>57200.110958295736</v>
      </c>
      <c r="Z198" s="772">
        <f t="shared" ca="1" si="82"/>
        <v>58877.232901246825</v>
      </c>
      <c r="AA198" s="772">
        <f t="shared" ca="1" si="82"/>
        <v>58877.232901246825</v>
      </c>
      <c r="AB198" s="772">
        <f t="shared" ca="1" si="85"/>
        <v>58509.212280566389</v>
      </c>
      <c r="AC198" s="772">
        <f t="shared" ca="1" si="85"/>
        <v>58509.212280566389</v>
      </c>
      <c r="AD198" s="772">
        <f t="shared" ca="1" si="85"/>
        <v>58109.600015903547</v>
      </c>
      <c r="AE198" s="772">
        <f t="shared" ca="1" si="85"/>
        <v>58109.600015903547</v>
      </c>
      <c r="AF198" s="772">
        <f t="shared" ca="1" si="85"/>
        <v>57674.6008236532</v>
      </c>
      <c r="AG198" s="772">
        <f t="shared" ca="1" si="85"/>
        <v>57674.6008236532</v>
      </c>
      <c r="AH198" s="772">
        <f t="shared" ca="1" si="85"/>
        <v>57674.6008236532</v>
      </c>
      <c r="AI198" s="772">
        <f t="shared" ca="1" si="85"/>
        <v>58877.232901246825</v>
      </c>
      <c r="AJ198" s="772">
        <f t="shared" ca="1" si="88"/>
        <v>58877.232901246825</v>
      </c>
      <c r="AK198" s="772">
        <f t="shared" ca="1" si="88"/>
        <v>58509.212280566389</v>
      </c>
      <c r="AL198" s="772">
        <f t="shared" ca="1" si="88"/>
        <v>58509.212280566389</v>
      </c>
      <c r="AM198" s="772">
        <f t="shared" ca="1" si="88"/>
        <v>58109.600015903547</v>
      </c>
      <c r="AN198" s="772">
        <f t="shared" ca="1" si="88"/>
        <v>58109.600015903547</v>
      </c>
      <c r="AO198" s="772">
        <f t="shared" ca="1" si="88"/>
        <v>57674.6008236532</v>
      </c>
      <c r="AP198" s="772">
        <f t="shared" ca="1" si="88"/>
        <v>57674.6008236532</v>
      </c>
      <c r="AQ198" s="772">
        <f t="shared" ca="1" si="88"/>
        <v>57674.6008236532</v>
      </c>
      <c r="AR198" s="772">
        <f t="shared" ca="1" si="88"/>
        <v>58877.232901246825</v>
      </c>
      <c r="AS198" s="772">
        <f t="shared" ca="1" si="88"/>
        <v>58877.232901246825</v>
      </c>
      <c r="AT198" s="772">
        <f t="shared" ca="1" si="88"/>
        <v>58509.212280566389</v>
      </c>
      <c r="AU198" s="772">
        <f t="shared" ca="1" si="88"/>
        <v>58509.212280566389</v>
      </c>
      <c r="AV198" s="772">
        <f t="shared" ca="1" si="88"/>
        <v>58109.600015903547</v>
      </c>
      <c r="AW198" s="772">
        <f t="shared" ca="1" si="88"/>
        <v>58109.600015903547</v>
      </c>
      <c r="AX198" s="772">
        <f t="shared" ca="1" si="88"/>
        <v>57674.6008236532</v>
      </c>
      <c r="AY198" s="772">
        <f t="shared" ca="1" si="88"/>
        <v>57674.6008236532</v>
      </c>
      <c r="AZ198" s="772">
        <f t="shared" ca="1" si="87"/>
        <v>57674.6008236532</v>
      </c>
      <c r="BA198" s="772">
        <f t="shared" ca="1" si="87"/>
        <v>58877.232901246825</v>
      </c>
      <c r="BB198" s="772">
        <f t="shared" ca="1" si="87"/>
        <v>58877.232901246825</v>
      </c>
      <c r="BC198" s="772">
        <f t="shared" ca="1" si="87"/>
        <v>58509.212280566389</v>
      </c>
      <c r="BD198" s="772">
        <f t="shared" ca="1" si="87"/>
        <v>58109.600015903547</v>
      </c>
      <c r="BE198" s="772">
        <f t="shared" ca="1" si="87"/>
        <v>58109.600015903547</v>
      </c>
      <c r="BF198" s="772">
        <f t="shared" ca="1" si="87"/>
        <v>57674.6008236532</v>
      </c>
      <c r="BG198" s="772">
        <f t="shared" ca="1" si="87"/>
        <v>57674.6008236532</v>
      </c>
      <c r="BH198" s="772">
        <f t="shared" ca="1" si="80"/>
        <v>57200.110958295736</v>
      </c>
      <c r="BI198" s="772">
        <f t="shared" ca="1" si="80"/>
        <v>57200.110958295736</v>
      </c>
      <c r="BJ198" s="772">
        <f t="shared" ca="1" si="80"/>
        <v>58509.212280566389</v>
      </c>
      <c r="BK198" s="772">
        <f t="shared" ca="1" si="80"/>
        <v>58509.212280566389</v>
      </c>
      <c r="BL198" s="772">
        <f t="shared" ca="1" si="80"/>
        <v>58509.212280566389</v>
      </c>
      <c r="BM198" s="772">
        <f t="shared" ca="1" si="80"/>
        <v>58509.212280566389</v>
      </c>
      <c r="BN198" s="772">
        <f t="shared" ca="1" si="80"/>
        <v>57674.6008236532</v>
      </c>
      <c r="BO198" s="772">
        <f t="shared" ca="1" si="80"/>
        <v>57674.6008236532</v>
      </c>
      <c r="BP198" s="772">
        <f t="shared" ca="1" si="80"/>
        <v>57200.110958295736</v>
      </c>
      <c r="BQ198" s="772">
        <f t="shared" ca="1" si="80"/>
        <v>57200.110958295736</v>
      </c>
      <c r="BR198" s="772">
        <f t="shared" ca="1" si="80"/>
        <v>56681.784822485533</v>
      </c>
      <c r="BS198" s="772">
        <f t="shared" ca="1" si="80"/>
        <v>58509.212280566389</v>
      </c>
      <c r="BT198" s="772">
        <f t="shared" ca="1" si="80"/>
        <v>58509.212280566389</v>
      </c>
      <c r="BU198" s="772">
        <f t="shared" ca="1" si="80"/>
        <v>58509.212280566389</v>
      </c>
      <c r="BV198" s="772">
        <f t="shared" ca="1" si="80"/>
        <v>58109.600015903547</v>
      </c>
      <c r="BW198" s="772">
        <f t="shared" ca="1" si="80"/>
        <v>58109.600015903547</v>
      </c>
      <c r="BX198" s="772">
        <f t="shared" ca="1" si="84"/>
        <v>57200.110958295736</v>
      </c>
      <c r="BY198" s="772">
        <f t="shared" ca="1" si="84"/>
        <v>57200.110958295736</v>
      </c>
      <c r="BZ198" s="772">
        <f t="shared" ca="1" si="84"/>
        <v>56681.784822485533</v>
      </c>
      <c r="CA198" s="772">
        <f t="shared" ca="1" si="84"/>
        <v>56681.784822485533</v>
      </c>
      <c r="CB198" s="772">
        <f t="shared" ca="1" si="84"/>
        <v>58109.600015903547</v>
      </c>
      <c r="CC198" s="772">
        <f t="shared" ca="1" si="84"/>
        <v>58109.600015903547</v>
      </c>
      <c r="CD198" s="772">
        <f t="shared" ca="1" si="84"/>
        <v>58109.600015903547</v>
      </c>
      <c r="CE198" s="772">
        <f t="shared" ca="1" si="89"/>
        <v>58109.600015903547</v>
      </c>
      <c r="CF198" s="772">
        <f t="shared" ca="1" si="89"/>
        <v>57674.6008236532</v>
      </c>
      <c r="CG198" s="772">
        <f t="shared" ca="1" si="89"/>
        <v>57200.110958295736</v>
      </c>
      <c r="CH198" s="772">
        <f t="shared" ca="1" si="89"/>
        <v>56681.784822485533</v>
      </c>
      <c r="CI198" s="772">
        <f t="shared" ca="1" si="89"/>
        <v>56681.784822485533</v>
      </c>
      <c r="CJ198" s="772">
        <f t="shared" ca="1" si="89"/>
        <v>56115.154133094118</v>
      </c>
    </row>
    <row r="199" spans="1:88" ht="15" customHeight="1">
      <c r="A199" s="770">
        <f>'kc-Wert für Stützen'!C199</f>
        <v>251</v>
      </c>
      <c r="B199" s="768">
        <f ca="1">INDIRECT("'kc-Wert für Stützen'!"&amp;SUBSTITUTE(ADDRESS(MATCH($A199,'kc-Wert für Stützen'!$C:$C,0),MATCH(B$7,'kc-Wert für Stützen'!$A$8:$ES$8,0)+7,4),,))</f>
        <v>60043.170406602723</v>
      </c>
      <c r="C199" s="768">
        <f ca="1">INDIRECT("'kc-Wert für Stützen'!"&amp;SUBSTITUTE(ADDRESS(MATCH($A199,'kc-Wert für Stützen'!$C:$C,0),MATCH(C$7,'kc-Wert für Stützen'!$A$8:$ES$8,0)+7,4),,))</f>
        <v>59729.707931626959</v>
      </c>
      <c r="D199" s="768">
        <f ca="1">INDIRECT("'kc-Wert für Stützen'!"&amp;SUBSTITUTE(ADDRESS(MATCH($A199,'kc-Wert für Stützen'!$C:$C,0),MATCH(D$7,'kc-Wert für Stützen'!$A$8:$ES$8,0)+7,4),,))</f>
        <v>59391.569753524818</v>
      </c>
      <c r="E199" s="768">
        <f ca="1">INDIRECT("'kc-Wert für Stützen'!"&amp;SUBSTITUTE(ADDRESS(MATCH($A199,'kc-Wert für Stützen'!$C:$C,0),MATCH(E$7,'kc-Wert für Stützen'!$A$8:$ES$8,0)+7,4),,))</f>
        <v>59025.688916493695</v>
      </c>
      <c r="F199" s="768">
        <f ca="1">INDIRECT("'kc-Wert für Stützen'!"&amp;SUBSTITUTE(ADDRESS(MATCH($A199,'kc-Wert für Stützen'!$C:$C,0),MATCH(F$7,'kc-Wert für Stützen'!$A$8:$ES$8,0)+7,4),,))</f>
        <v>58628.662278452975</v>
      </c>
      <c r="G199" s="768">
        <f ca="1">INDIRECT("'kc-Wert für Stützen'!"&amp;SUBSTITUTE(ADDRESS(MATCH($A199,'kc-Wert für Stützen'!$C:$C,0),MATCH(G$7,'kc-Wert für Stützen'!$A$8:$ES$8,0)+7,4),,))</f>
        <v>58196.750852508834</v>
      </c>
      <c r="H199" s="768">
        <f ca="1">INDIRECT("'kc-Wert für Stützen'!"&amp;SUBSTITUTE(ADDRESS(MATCH($A199,'kc-Wert für Stützen'!$C:$C,0),MATCH(H$7,'kc-Wert für Stützen'!$A$8:$ES$8,0)+7,4),,))</f>
        <v>57725.90416736652</v>
      </c>
      <c r="I199" s="768">
        <f ca="1">INDIRECT("'kc-Wert für Stützen'!"&amp;SUBSTITUTE(ADDRESS(MATCH($A199,'kc-Wert für Stützen'!$C:$C,0),MATCH(I$7,'kc-Wert für Stützen'!$A$8:$ES$8,0)+7,4),,))</f>
        <v>57211.820414677219</v>
      </c>
      <c r="J199" s="768">
        <f ca="1">INDIRECT("'kc-Wert für Stützen'!"&amp;SUBSTITUTE(ADDRESS(MATCH($A199,'kc-Wert für Stützen'!$C:$C,0),MATCH(J$7,'kc-Wert für Stützen'!$A$8:$ES$8,0)+7,4),,))</f>
        <v>56650.056378632951</v>
      </c>
      <c r="K199" s="768">
        <f ca="1">INDIRECT("'kc-Wert für Stützen'!"&amp;SUBSTITUTE(ADDRESS(MATCH($A199,'kc-Wert für Stützen'!$C:$C,0),MATCH(K$7,'kc-Wert für Stützen'!$A$8:$ES$8,0)+7,4),,))</f>
        <v>56036.201622061169</v>
      </c>
      <c r="L199" s="768">
        <f ca="1">INDIRECT("'kc-Wert für Stützen'!"&amp;SUBSTITUTE(ADDRESS(MATCH($A199,'kc-Wert für Stützen'!$C:$C,0),MATCH(L$7,'kc-Wert für Stützen'!$A$8:$ES$8,0)+7,4),,))</f>
        <v>55366.128200673025</v>
      </c>
      <c r="M199" s="768">
        <f ca="1">INDIRECT("'kc-Wert für Stützen'!"&amp;SUBSTITUTE(ADDRESS(MATCH($A199,'kc-Wert für Stützen'!$C:$C,0),MATCH(M$7,'kc-Wert für Stützen'!$A$8:$ES$8,0)+7,4),,))</f>
        <v>54636.317988544972</v>
      </c>
      <c r="N199" s="768">
        <f ca="1">INDIRECT("'kc-Wert für Stützen'!"&amp;SUBSTITUTE(ADDRESS(MATCH($A199,'kc-Wert für Stützen'!$C:$C,0),MATCH(N$7,'kc-Wert für Stützen'!$A$8:$ES$8,0)+7,4),,))</f>
        <v>53844.252863697744</v>
      </c>
      <c r="O199" s="768">
        <f ca="1">INDIRECT("'kc-Wert für Stützen'!"&amp;SUBSTITUTE(ADDRESS(MATCH($A199,'kc-Wert für Stützen'!$C:$C,0),MATCH(O$7,'kc-Wert für Stützen'!$A$8:$ES$8,0)+7,4),,))</f>
        <v>52988.829371722088</v>
      </c>
      <c r="P199" s="768">
        <f ca="1">INDIRECT("'kc-Wert für Stützen'!"&amp;SUBSTITUTE(ADDRESS(MATCH($A199,'kc-Wert für Stützen'!$C:$C,0),MATCH(P$7,'kc-Wert für Stützen'!$A$8:$ES$8,0)+7,4),,))</f>
        <v>52070.73448091522</v>
      </c>
      <c r="S199" s="772">
        <f t="shared" ca="1" si="59"/>
        <v>59391.569753524818</v>
      </c>
      <c r="T199" s="772">
        <f t="shared" ca="1" si="82"/>
        <v>59391.569753524818</v>
      </c>
      <c r="U199" s="772">
        <f t="shared" ca="1" si="82"/>
        <v>59391.569753524818</v>
      </c>
      <c r="V199" s="772">
        <f t="shared" ca="1" si="82"/>
        <v>59025.688916493695</v>
      </c>
      <c r="W199" s="772">
        <f t="shared" ca="1" si="82"/>
        <v>58628.662278452975</v>
      </c>
      <c r="X199" s="772">
        <f t="shared" ca="1" si="82"/>
        <v>58196.750852508834</v>
      </c>
      <c r="Y199" s="772">
        <f t="shared" ca="1" si="82"/>
        <v>57725.90416736652</v>
      </c>
      <c r="Z199" s="772">
        <f t="shared" ca="1" si="82"/>
        <v>59391.569753524818</v>
      </c>
      <c r="AA199" s="772">
        <f t="shared" ca="1" si="82"/>
        <v>59391.569753524818</v>
      </c>
      <c r="AB199" s="772">
        <f t="shared" ca="1" si="85"/>
        <v>59025.688916493695</v>
      </c>
      <c r="AC199" s="772">
        <f t="shared" ca="1" si="85"/>
        <v>59025.688916493695</v>
      </c>
      <c r="AD199" s="772">
        <f t="shared" ca="1" si="85"/>
        <v>58628.662278452975</v>
      </c>
      <c r="AE199" s="772">
        <f t="shared" ca="1" si="85"/>
        <v>58628.662278452975</v>
      </c>
      <c r="AF199" s="772">
        <f t="shared" ca="1" si="85"/>
        <v>58196.750852508834</v>
      </c>
      <c r="AG199" s="772">
        <f t="shared" ca="1" si="85"/>
        <v>58196.750852508834</v>
      </c>
      <c r="AH199" s="772">
        <f t="shared" ca="1" si="85"/>
        <v>58196.750852508834</v>
      </c>
      <c r="AI199" s="772">
        <f t="shared" ca="1" si="85"/>
        <v>59391.569753524818</v>
      </c>
      <c r="AJ199" s="772">
        <f t="shared" ca="1" si="88"/>
        <v>59391.569753524818</v>
      </c>
      <c r="AK199" s="772">
        <f t="shared" ca="1" si="88"/>
        <v>59025.688916493695</v>
      </c>
      <c r="AL199" s="772">
        <f t="shared" ca="1" si="88"/>
        <v>59025.688916493695</v>
      </c>
      <c r="AM199" s="772">
        <f t="shared" ca="1" si="88"/>
        <v>58628.662278452975</v>
      </c>
      <c r="AN199" s="772">
        <f t="shared" ca="1" si="88"/>
        <v>58628.662278452975</v>
      </c>
      <c r="AO199" s="772">
        <f t="shared" ca="1" si="88"/>
        <v>58196.750852508834</v>
      </c>
      <c r="AP199" s="772">
        <f t="shared" ca="1" si="88"/>
        <v>58196.750852508834</v>
      </c>
      <c r="AQ199" s="772">
        <f t="shared" ca="1" si="88"/>
        <v>58196.750852508834</v>
      </c>
      <c r="AR199" s="772">
        <f t="shared" ca="1" si="88"/>
        <v>59391.569753524818</v>
      </c>
      <c r="AS199" s="772">
        <f t="shared" ca="1" si="88"/>
        <v>59391.569753524818</v>
      </c>
      <c r="AT199" s="772">
        <f t="shared" ca="1" si="88"/>
        <v>59025.688916493695</v>
      </c>
      <c r="AU199" s="772">
        <f t="shared" ca="1" si="88"/>
        <v>59025.688916493695</v>
      </c>
      <c r="AV199" s="772">
        <f t="shared" ca="1" si="88"/>
        <v>58628.662278452975</v>
      </c>
      <c r="AW199" s="772">
        <f t="shared" ca="1" si="88"/>
        <v>58628.662278452975</v>
      </c>
      <c r="AX199" s="772">
        <f t="shared" ca="1" si="88"/>
        <v>58196.750852508834</v>
      </c>
      <c r="AY199" s="772">
        <f t="shared" ca="1" si="88"/>
        <v>58196.750852508834</v>
      </c>
      <c r="AZ199" s="772">
        <f t="shared" ca="1" si="87"/>
        <v>58196.750852508834</v>
      </c>
      <c r="BA199" s="772">
        <f t="shared" ca="1" si="87"/>
        <v>59391.569753524818</v>
      </c>
      <c r="BB199" s="772">
        <f t="shared" ca="1" si="87"/>
        <v>59391.569753524818</v>
      </c>
      <c r="BC199" s="772">
        <f t="shared" ca="1" si="87"/>
        <v>59025.688916493695</v>
      </c>
      <c r="BD199" s="772">
        <f t="shared" ca="1" si="87"/>
        <v>58628.662278452975</v>
      </c>
      <c r="BE199" s="772">
        <f t="shared" ca="1" si="87"/>
        <v>58628.662278452975</v>
      </c>
      <c r="BF199" s="772">
        <f t="shared" ca="1" si="87"/>
        <v>58196.750852508834</v>
      </c>
      <c r="BG199" s="772">
        <f t="shared" ca="1" si="87"/>
        <v>58196.750852508834</v>
      </c>
      <c r="BH199" s="772">
        <f t="shared" ca="1" si="80"/>
        <v>57725.90416736652</v>
      </c>
      <c r="BI199" s="772">
        <f t="shared" ca="1" si="80"/>
        <v>57725.90416736652</v>
      </c>
      <c r="BJ199" s="772">
        <f t="shared" ca="1" si="80"/>
        <v>59025.688916493695</v>
      </c>
      <c r="BK199" s="772">
        <f t="shared" ca="1" si="80"/>
        <v>59025.688916493695</v>
      </c>
      <c r="BL199" s="772">
        <f t="shared" ca="1" si="80"/>
        <v>59025.688916493695</v>
      </c>
      <c r="BM199" s="772">
        <f t="shared" ca="1" si="80"/>
        <v>59025.688916493695</v>
      </c>
      <c r="BN199" s="772">
        <f t="shared" ca="1" si="80"/>
        <v>58196.750852508834</v>
      </c>
      <c r="BO199" s="772">
        <f t="shared" ca="1" si="80"/>
        <v>58196.750852508834</v>
      </c>
      <c r="BP199" s="772">
        <f t="shared" ca="1" si="80"/>
        <v>57725.90416736652</v>
      </c>
      <c r="BQ199" s="772">
        <f t="shared" ca="1" si="80"/>
        <v>57725.90416736652</v>
      </c>
      <c r="BR199" s="772">
        <f t="shared" ca="1" si="80"/>
        <v>57211.820414677219</v>
      </c>
      <c r="BS199" s="772">
        <f t="shared" ca="1" si="80"/>
        <v>59025.688916493695</v>
      </c>
      <c r="BT199" s="772">
        <f t="shared" ca="1" si="80"/>
        <v>59025.688916493695</v>
      </c>
      <c r="BU199" s="772">
        <f t="shared" ca="1" si="80"/>
        <v>59025.688916493695</v>
      </c>
      <c r="BV199" s="772">
        <f t="shared" ca="1" si="80"/>
        <v>58628.662278452975</v>
      </c>
      <c r="BW199" s="772">
        <f t="shared" ca="1" si="80"/>
        <v>58628.662278452975</v>
      </c>
      <c r="BX199" s="772">
        <f t="shared" ca="1" si="84"/>
        <v>57725.90416736652</v>
      </c>
      <c r="BY199" s="772">
        <f t="shared" ca="1" si="84"/>
        <v>57725.90416736652</v>
      </c>
      <c r="BZ199" s="772">
        <f t="shared" ca="1" si="84"/>
        <v>57211.820414677219</v>
      </c>
      <c r="CA199" s="772">
        <f t="shared" ca="1" si="84"/>
        <v>57211.820414677219</v>
      </c>
      <c r="CB199" s="772">
        <f t="shared" ca="1" si="84"/>
        <v>58628.662278452975</v>
      </c>
      <c r="CC199" s="772">
        <f t="shared" ca="1" si="84"/>
        <v>58628.662278452975</v>
      </c>
      <c r="CD199" s="772">
        <f t="shared" ca="1" si="84"/>
        <v>58628.662278452975</v>
      </c>
      <c r="CE199" s="772">
        <f t="shared" ca="1" si="89"/>
        <v>58628.662278452975</v>
      </c>
      <c r="CF199" s="772">
        <f t="shared" ca="1" si="89"/>
        <v>58196.750852508834</v>
      </c>
      <c r="CG199" s="772">
        <f t="shared" ca="1" si="89"/>
        <v>57725.90416736652</v>
      </c>
      <c r="CH199" s="772">
        <f t="shared" ca="1" si="89"/>
        <v>57211.820414677219</v>
      </c>
      <c r="CI199" s="772">
        <f t="shared" ca="1" si="89"/>
        <v>57211.820414677219</v>
      </c>
      <c r="CJ199" s="772">
        <f t="shared" ca="1" si="89"/>
        <v>56650.056378632951</v>
      </c>
    </row>
    <row r="200" spans="1:88" ht="15" customHeight="1">
      <c r="A200" s="770">
        <f>'kc-Wert für Stützen'!C200</f>
        <v>252</v>
      </c>
      <c r="B200" s="768">
        <f ca="1">INDIRECT("'kc-Wert für Stützen'!"&amp;SUBSTITUTE(ADDRESS(MATCH($A200,'kc-Wert für Stützen'!$C:$C,0),MATCH(B$7,'kc-Wert für Stützen'!$A$8:$ES$8,0)+7,4),,))</f>
        <v>60556.250189049555</v>
      </c>
      <c r="C200" s="768">
        <f ca="1">INDIRECT("'kc-Wert für Stützen'!"&amp;SUBSTITUTE(ADDRESS(MATCH($A200,'kc-Wert für Stützen'!$C:$C,0),MATCH(C$7,'kc-Wert für Stützen'!$A$8:$ES$8,0)+7,4),,))</f>
        <v>60244.162287051739</v>
      </c>
      <c r="D200" s="768">
        <f ca="1">INDIRECT("'kc-Wert für Stützen'!"&amp;SUBSTITUTE(ADDRESS(MATCH($A200,'kc-Wert für Stützen'!$C:$C,0),MATCH(D$7,'kc-Wert für Stützen'!$A$8:$ES$8,0)+7,4),,))</f>
        <v>59907.730823178201</v>
      </c>
      <c r="E200" s="768">
        <f ca="1">INDIRECT("'kc-Wert für Stützen'!"&amp;SUBSTITUTE(ADDRESS(MATCH($A200,'kc-Wert für Stützen'!$C:$C,0),MATCH(E$7,'kc-Wert für Stützen'!$A$8:$ES$8,0)+7,4),,))</f>
        <v>59543.939486830706</v>
      </c>
      <c r="F200" s="768">
        <f ca="1">INDIRECT("'kc-Wert für Stützen'!"&amp;SUBSTITUTE(ADDRESS(MATCH($A200,'kc-Wert für Stützen'!$C:$C,0),MATCH(F$7,'kc-Wert für Stützen'!$A$8:$ES$8,0)+7,4),,))</f>
        <v>59149.439522628658</v>
      </c>
      <c r="G200" s="768">
        <f ca="1">INDIRECT("'kc-Wert für Stützen'!"&amp;SUBSTITUTE(ADDRESS(MATCH($A200,'kc-Wert für Stützen'!$C:$C,0),MATCH(G$7,'kc-Wert für Stützen'!$A$8:$ES$8,0)+7,4),,))</f>
        <v>58720.547841078398</v>
      </c>
      <c r="H200" s="768">
        <f ca="1">INDIRECT("'kc-Wert für Stützen'!"&amp;SUBSTITUTE(ADDRESS(MATCH($A200,'kc-Wert für Stützen'!$C:$C,0),MATCH(H$7,'kc-Wert für Stützen'!$A$8:$ES$8,0)+7,4),,))</f>
        <v>58253.26752279474</v>
      </c>
      <c r="I200" s="768">
        <f ca="1">INDIRECT("'kc-Wert für Stützen'!"&amp;SUBSTITUTE(ADDRESS(MATCH($A200,'kc-Wert für Stützen'!$C:$C,0),MATCH(I$7,'kc-Wert für Stützen'!$A$8:$ES$8,0)+7,4),,))</f>
        <v>57743.341928591406</v>
      </c>
      <c r="J200" s="768">
        <f ca="1">INDIRECT("'kc-Wert für Stützen'!"&amp;SUBSTITUTE(ADDRESS(MATCH($A200,'kc-Wert für Stützen'!$C:$C,0),MATCH(J$7,'kc-Wert für Stützen'!$A$8:$ES$8,0)+7,4),,))</f>
        <v>57186.355920473448</v>
      </c>
      <c r="K200" s="768">
        <f ca="1">INDIRECT("'kc-Wert für Stützen'!"&amp;SUBSTITUTE(ADDRESS(MATCH($A200,'kc-Wert für Stützen'!$C:$C,0),MATCH(K$7,'kc-Wert für Stützen'!$A$8:$ES$8,0)+7,4),,))</f>
        <v>56577.898488642182</v>
      </c>
      <c r="L200" s="768">
        <f ca="1">INDIRECT("'kc-Wert für Stützen'!"&amp;SUBSTITUTE(ADDRESS(MATCH($A200,'kc-Wert für Stützen'!$C:$C,0),MATCH(L$7,'kc-Wert für Stützen'!$A$8:$ES$8,0)+7,4),,))</f>
        <v>55913.798573448381</v>
      </c>
      <c r="M200" s="768">
        <f ca="1">INDIRECT("'kc-Wert für Stützen'!"&amp;SUBSTITUTE(ADDRESS(MATCH($A200,'kc-Wert für Stützen'!$C:$C,0),MATCH(M$7,'kc-Wert für Stützen'!$A$8:$ES$8,0)+7,4),,))</f>
        <v>55190.437843290529</v>
      </c>
      <c r="N200" s="768">
        <f ca="1">INDIRECT("'kc-Wert für Stützen'!"&amp;SUBSTITUTE(ADDRESS(MATCH($A200,'kc-Wert für Stützen'!$C:$C,0),MATCH(N$7,'kc-Wert für Stützen'!$A$8:$ES$8,0)+7,4),,))</f>
        <v>54405.128848377586</v>
      </c>
      <c r="O200" s="768">
        <f ca="1">INDIRECT("'kc-Wert für Stützen'!"&amp;SUBSTITUTE(ADDRESS(MATCH($A200,'kc-Wert für Stützen'!$C:$C,0),MATCH(O$7,'kc-Wert für Stützen'!$A$8:$ES$8,0)+7,4),,))</f>
        <v>53556.524652141161</v>
      </c>
      <c r="P200" s="768">
        <f ca="1">INDIRECT("'kc-Wert für Stützen'!"&amp;SUBSTITUTE(ADDRESS(MATCH($A200,'kc-Wert für Stützen'!$C:$C,0),MATCH(P$7,'kc-Wert für Stützen'!$A$8:$ES$8,0)+7,4),,))</f>
        <v>52645.001255747004</v>
      </c>
      <c r="S200" s="772">
        <f t="shared" ca="1" si="59"/>
        <v>59907.730823178201</v>
      </c>
      <c r="T200" s="772">
        <f t="shared" ca="1" si="82"/>
        <v>59907.730823178201</v>
      </c>
      <c r="U200" s="772">
        <f t="shared" ca="1" si="82"/>
        <v>59907.730823178201</v>
      </c>
      <c r="V200" s="772">
        <f t="shared" ca="1" si="82"/>
        <v>59543.939486830706</v>
      </c>
      <c r="W200" s="772">
        <f t="shared" ca="1" si="82"/>
        <v>59149.439522628658</v>
      </c>
      <c r="X200" s="772">
        <f t="shared" ca="1" si="82"/>
        <v>58720.547841078398</v>
      </c>
      <c r="Y200" s="772">
        <f t="shared" ca="1" si="82"/>
        <v>58253.26752279474</v>
      </c>
      <c r="Z200" s="772">
        <f t="shared" ca="1" si="82"/>
        <v>59907.730823178201</v>
      </c>
      <c r="AA200" s="772">
        <f t="shared" ca="1" si="82"/>
        <v>59907.730823178201</v>
      </c>
      <c r="AB200" s="772">
        <f t="shared" ca="1" si="85"/>
        <v>59543.939486830706</v>
      </c>
      <c r="AC200" s="772">
        <f t="shared" ca="1" si="85"/>
        <v>59543.939486830706</v>
      </c>
      <c r="AD200" s="772">
        <f t="shared" ca="1" si="85"/>
        <v>59149.439522628658</v>
      </c>
      <c r="AE200" s="772">
        <f t="shared" ca="1" si="85"/>
        <v>59149.439522628658</v>
      </c>
      <c r="AF200" s="772">
        <f t="shared" ca="1" si="85"/>
        <v>58720.547841078398</v>
      </c>
      <c r="AG200" s="772">
        <f t="shared" ca="1" si="85"/>
        <v>58720.547841078398</v>
      </c>
      <c r="AH200" s="772">
        <f t="shared" ca="1" si="85"/>
        <v>58720.547841078398</v>
      </c>
      <c r="AI200" s="772">
        <f t="shared" ca="1" si="85"/>
        <v>59907.730823178201</v>
      </c>
      <c r="AJ200" s="772">
        <f t="shared" ca="1" si="88"/>
        <v>59907.730823178201</v>
      </c>
      <c r="AK200" s="772">
        <f t="shared" ca="1" si="88"/>
        <v>59543.939486830706</v>
      </c>
      <c r="AL200" s="772">
        <f t="shared" ca="1" si="88"/>
        <v>59543.939486830706</v>
      </c>
      <c r="AM200" s="772">
        <f t="shared" ca="1" si="88"/>
        <v>59149.439522628658</v>
      </c>
      <c r="AN200" s="772">
        <f t="shared" ca="1" si="88"/>
        <v>59149.439522628658</v>
      </c>
      <c r="AO200" s="772">
        <f t="shared" ca="1" si="88"/>
        <v>58720.547841078398</v>
      </c>
      <c r="AP200" s="772">
        <f t="shared" ca="1" si="88"/>
        <v>58720.547841078398</v>
      </c>
      <c r="AQ200" s="772">
        <f t="shared" ca="1" si="88"/>
        <v>58720.547841078398</v>
      </c>
      <c r="AR200" s="772">
        <f t="shared" ca="1" si="88"/>
        <v>59907.730823178201</v>
      </c>
      <c r="AS200" s="772">
        <f t="shared" ca="1" si="88"/>
        <v>59907.730823178201</v>
      </c>
      <c r="AT200" s="772">
        <f t="shared" ca="1" si="88"/>
        <v>59543.939486830706</v>
      </c>
      <c r="AU200" s="772">
        <f t="shared" ca="1" si="88"/>
        <v>59543.939486830706</v>
      </c>
      <c r="AV200" s="772">
        <f t="shared" ca="1" si="88"/>
        <v>59149.439522628658</v>
      </c>
      <c r="AW200" s="772">
        <f t="shared" ca="1" si="88"/>
        <v>59149.439522628658</v>
      </c>
      <c r="AX200" s="772">
        <f t="shared" ca="1" si="88"/>
        <v>58720.547841078398</v>
      </c>
      <c r="AY200" s="772">
        <f t="shared" ca="1" si="88"/>
        <v>58720.547841078398</v>
      </c>
      <c r="AZ200" s="772">
        <f t="shared" ca="1" si="87"/>
        <v>58720.547841078398</v>
      </c>
      <c r="BA200" s="772">
        <f t="shared" ca="1" si="87"/>
        <v>59907.730823178201</v>
      </c>
      <c r="BB200" s="772">
        <f t="shared" ca="1" si="87"/>
        <v>59907.730823178201</v>
      </c>
      <c r="BC200" s="772">
        <f t="shared" ca="1" si="87"/>
        <v>59543.939486830706</v>
      </c>
      <c r="BD200" s="772">
        <f t="shared" ca="1" si="87"/>
        <v>59149.439522628658</v>
      </c>
      <c r="BE200" s="772">
        <f t="shared" ca="1" si="87"/>
        <v>59149.439522628658</v>
      </c>
      <c r="BF200" s="772">
        <f t="shared" ca="1" si="87"/>
        <v>58720.547841078398</v>
      </c>
      <c r="BG200" s="772">
        <f t="shared" ca="1" si="87"/>
        <v>58720.547841078398</v>
      </c>
      <c r="BH200" s="772">
        <f t="shared" ca="1" si="80"/>
        <v>58253.26752279474</v>
      </c>
      <c r="BI200" s="772">
        <f t="shared" ca="1" si="80"/>
        <v>58253.26752279474</v>
      </c>
      <c r="BJ200" s="772">
        <f t="shared" ca="1" si="80"/>
        <v>59543.939486830706</v>
      </c>
      <c r="BK200" s="772">
        <f t="shared" ca="1" si="80"/>
        <v>59543.939486830706</v>
      </c>
      <c r="BL200" s="772">
        <f t="shared" ca="1" si="80"/>
        <v>59543.939486830706</v>
      </c>
      <c r="BM200" s="772">
        <f t="shared" ca="1" si="80"/>
        <v>59543.939486830706</v>
      </c>
      <c r="BN200" s="772">
        <f t="shared" ca="1" si="80"/>
        <v>58720.547841078398</v>
      </c>
      <c r="BO200" s="772">
        <f t="shared" ca="1" si="80"/>
        <v>58720.547841078398</v>
      </c>
      <c r="BP200" s="772">
        <f t="shared" ca="1" si="80"/>
        <v>58253.26752279474</v>
      </c>
      <c r="BQ200" s="772">
        <f t="shared" ca="1" si="80"/>
        <v>58253.26752279474</v>
      </c>
      <c r="BR200" s="772">
        <f t="shared" ca="1" si="80"/>
        <v>57743.341928591406</v>
      </c>
      <c r="BS200" s="772">
        <f t="shared" ca="1" si="80"/>
        <v>59543.939486830706</v>
      </c>
      <c r="BT200" s="772">
        <f t="shared" ca="1" si="80"/>
        <v>59543.939486830706</v>
      </c>
      <c r="BU200" s="772">
        <f t="shared" ca="1" si="80"/>
        <v>59543.939486830706</v>
      </c>
      <c r="BV200" s="772">
        <f t="shared" ca="1" si="80"/>
        <v>59149.439522628658</v>
      </c>
      <c r="BW200" s="772">
        <f t="shared" ca="1" si="80"/>
        <v>59149.439522628658</v>
      </c>
      <c r="BX200" s="772">
        <f t="shared" ca="1" si="84"/>
        <v>58253.26752279474</v>
      </c>
      <c r="BY200" s="772">
        <f t="shared" ca="1" si="84"/>
        <v>58253.26752279474</v>
      </c>
      <c r="BZ200" s="772">
        <f t="shared" ca="1" si="84"/>
        <v>57743.341928591406</v>
      </c>
      <c r="CA200" s="772">
        <f t="shared" ca="1" si="84"/>
        <v>57743.341928591406</v>
      </c>
      <c r="CB200" s="772">
        <f t="shared" ca="1" si="84"/>
        <v>59149.439522628658</v>
      </c>
      <c r="CC200" s="772">
        <f t="shared" ca="1" si="84"/>
        <v>59149.439522628658</v>
      </c>
      <c r="CD200" s="772">
        <f t="shared" ca="1" si="84"/>
        <v>59149.439522628658</v>
      </c>
      <c r="CE200" s="772">
        <f t="shared" ca="1" si="89"/>
        <v>59149.439522628658</v>
      </c>
      <c r="CF200" s="772">
        <f t="shared" ca="1" si="89"/>
        <v>58720.547841078398</v>
      </c>
      <c r="CG200" s="772">
        <f t="shared" ca="1" si="89"/>
        <v>58253.26752279474</v>
      </c>
      <c r="CH200" s="772">
        <f t="shared" ca="1" si="89"/>
        <v>57743.341928591406</v>
      </c>
      <c r="CI200" s="772">
        <f t="shared" ca="1" si="89"/>
        <v>57743.341928591406</v>
      </c>
      <c r="CJ200" s="772">
        <f t="shared" ca="1" si="89"/>
        <v>57186.355920473448</v>
      </c>
    </row>
    <row r="201" spans="1:88" ht="15" customHeight="1">
      <c r="A201" s="770">
        <f>'kc-Wert für Stützen'!C201</f>
        <v>253</v>
      </c>
      <c r="B201" s="768">
        <f ca="1">INDIRECT("'kc-Wert für Stützen'!"&amp;SUBSTITUTE(ADDRESS(MATCH($A201,'kc-Wert für Stützen'!$C:$C,0),MATCH(B$7,'kc-Wert für Stützen'!$A$8:$ES$8,0)+7,4),,))</f>
        <v>61071.235511285202</v>
      </c>
      <c r="C201" s="768">
        <f ca="1">INDIRECT("'kc-Wert für Stützen'!"&amp;SUBSTITUTE(ADDRESS(MATCH($A201,'kc-Wert für Stützen'!$C:$C,0),MATCH(C$7,'kc-Wert für Stützen'!$A$8:$ES$8,0)+7,4),,))</f>
        <v>60760.487650117677</v>
      </c>
      <c r="D201" s="768">
        <f ca="1">INDIRECT("'kc-Wert für Stützen'!"&amp;SUBSTITUTE(ADDRESS(MATCH($A201,'kc-Wert für Stützen'!$C:$C,0),MATCH(D$7,'kc-Wert für Stützen'!$A$8:$ES$8,0)+7,4),,))</f>
        <v>60425.721552650604</v>
      </c>
      <c r="E201" s="768">
        <f ca="1">INDIRECT("'kc-Wert für Stützen'!"&amp;SUBSTITUTE(ADDRESS(MATCH($A201,'kc-Wert für Stützen'!$C:$C,0),MATCH(E$7,'kc-Wert für Stützen'!$A$8:$ES$8,0)+7,4),,))</f>
        <v>60063.970631952929</v>
      </c>
      <c r="F201" s="768">
        <f ca="1">INDIRECT("'kc-Wert für Stützen'!"&amp;SUBSTITUTE(ADDRESS(MATCH($A201,'kc-Wert für Stützen'!$C:$C,0),MATCH(F$7,'kc-Wert für Stützen'!$A$8:$ES$8,0)+7,4),,))</f>
        <v>59671.939734110485</v>
      </c>
      <c r="G201" s="768">
        <f ca="1">INDIRECT("'kc-Wert für Stützen'!"&amp;SUBSTITUTE(ADDRESS(MATCH($A201,'kc-Wert für Stützen'!$C:$C,0),MATCH(G$7,'kc-Wert für Stützen'!$A$8:$ES$8,0)+7,4),,))</f>
        <v>59246.00121234532</v>
      </c>
      <c r="H201" s="768">
        <f ca="1">INDIRECT("'kc-Wert für Stützen'!"&amp;SUBSTITUTE(ADDRESS(MATCH($A201,'kc-Wert für Stützen'!$C:$C,0),MATCH(H$7,'kc-Wert für Stützen'!$A$8:$ES$8,0)+7,4),,))</f>
        <v>58782.211865712095</v>
      </c>
      <c r="I201" s="768">
        <f ca="1">INDIRECT("'kc-Wert für Stützen'!"&amp;SUBSTITUTE(ADDRESS(MATCH($A201,'kc-Wert für Stützen'!$C:$C,0),MATCH(I$7,'kc-Wert für Stützen'!$A$8:$ES$8,0)+7,4),,))</f>
        <v>58276.361414412888</v>
      </c>
      <c r="J201" s="768">
        <f ca="1">INDIRECT("'kc-Wert für Stützen'!"&amp;SUBSTITUTE(ADDRESS(MATCH($A201,'kc-Wert für Stützen'!$C:$C,0),MATCH(J$7,'kc-Wert für Stützen'!$A$8:$ES$8,0)+7,4),,))</f>
        <v>57724.065518687821</v>
      </c>
      <c r="K201" s="768">
        <f ca="1">INDIRECT("'kc-Wert für Stützen'!"&amp;SUBSTITUTE(ADDRESS(MATCH($A201,'kc-Wert für Stützen'!$C:$C,0),MATCH(K$7,'kc-Wert für Stützen'!$A$8:$ES$8,0)+7,4),,))</f>
        <v>57120.917401510065</v>
      </c>
      <c r="L201" s="768">
        <f ca="1">INDIRECT("'kc-Wert für Stützen'!"&amp;SUBSTITUTE(ADDRESS(MATCH($A201,'kc-Wert für Stützen'!$C:$C,0),MATCH(L$7,'kc-Wert für Stützen'!$A$8:$ES$8,0)+7,4),,))</f>
        <v>56462.710248763135</v>
      </c>
      <c r="M201" s="768">
        <f ca="1">INDIRECT("'kc-Wert für Stützen'!"&amp;SUBSTITUTE(ADDRESS(MATCH($A201,'kc-Wert für Stützen'!$C:$C,0),MATCH(M$7,'kc-Wert für Stützen'!$A$8:$ES$8,0)+7,4),,))</f>
        <v>55745.735600192937</v>
      </c>
      <c r="N201" s="768">
        <f ca="1">INDIRECT("'kc-Wert für Stützen'!"&amp;SUBSTITUTE(ADDRESS(MATCH($A201,'kc-Wert für Stützen'!$C:$C,0),MATCH(N$7,'kc-Wert für Stützen'!$A$8:$ES$8,0)+7,4),,))</f>
        <v>54967.149031058951</v>
      </c>
      <c r="O201" s="768">
        <f ca="1">INDIRECT("'kc-Wert für Stützen'!"&amp;SUBSTITUTE(ADDRESS(MATCH($A201,'kc-Wert für Stützen'!$C:$C,0),MATCH(O$7,'kc-Wert für Stützen'!$A$8:$ES$8,0)+7,4),,))</f>
        <v>54125.373459072558</v>
      </c>
      <c r="P201" s="768">
        <f ca="1">INDIRECT("'kc-Wert für Stützen'!"&amp;SUBSTITUTE(ADDRESS(MATCH($A201,'kc-Wert für Stützen'!$C:$C,0),MATCH(P$7,'kc-Wert für Stützen'!$A$8:$ES$8,0)+7,4),,))</f>
        <v>53220.486065323799</v>
      </c>
      <c r="S201" s="772">
        <f t="shared" ca="1" si="59"/>
        <v>60425.721552650604</v>
      </c>
      <c r="T201" s="772">
        <f t="shared" ca="1" si="82"/>
        <v>60425.721552650604</v>
      </c>
      <c r="U201" s="772">
        <f t="shared" ca="1" si="82"/>
        <v>60425.721552650604</v>
      </c>
      <c r="V201" s="772">
        <f t="shared" ca="1" si="82"/>
        <v>60063.970631952929</v>
      </c>
      <c r="W201" s="772">
        <f t="shared" ca="1" si="82"/>
        <v>59671.939734110485</v>
      </c>
      <c r="X201" s="772">
        <f t="shared" ca="1" si="82"/>
        <v>59246.00121234532</v>
      </c>
      <c r="Y201" s="772">
        <f t="shared" ca="1" si="82"/>
        <v>58782.211865712095</v>
      </c>
      <c r="Z201" s="772">
        <f t="shared" ca="1" si="82"/>
        <v>60425.721552650604</v>
      </c>
      <c r="AA201" s="772">
        <f t="shared" ca="1" si="82"/>
        <v>60425.721552650604</v>
      </c>
      <c r="AB201" s="772">
        <f t="shared" ca="1" si="85"/>
        <v>60063.970631952929</v>
      </c>
      <c r="AC201" s="772">
        <f t="shared" ca="1" si="85"/>
        <v>60063.970631952929</v>
      </c>
      <c r="AD201" s="772">
        <f t="shared" ca="1" si="85"/>
        <v>59671.939734110485</v>
      </c>
      <c r="AE201" s="772">
        <f t="shared" ca="1" si="85"/>
        <v>59671.939734110485</v>
      </c>
      <c r="AF201" s="772">
        <f t="shared" ca="1" si="85"/>
        <v>59246.00121234532</v>
      </c>
      <c r="AG201" s="772">
        <f t="shared" ca="1" si="85"/>
        <v>59246.00121234532</v>
      </c>
      <c r="AH201" s="772">
        <f t="shared" ca="1" si="85"/>
        <v>59246.00121234532</v>
      </c>
      <c r="AI201" s="772">
        <f t="shared" ca="1" si="85"/>
        <v>60425.721552650604</v>
      </c>
      <c r="AJ201" s="772">
        <f t="shared" ca="1" si="88"/>
        <v>60425.721552650604</v>
      </c>
      <c r="AK201" s="772">
        <f t="shared" ca="1" si="88"/>
        <v>60063.970631952929</v>
      </c>
      <c r="AL201" s="772">
        <f t="shared" ca="1" si="88"/>
        <v>60063.970631952929</v>
      </c>
      <c r="AM201" s="772">
        <f t="shared" ca="1" si="88"/>
        <v>59671.939734110485</v>
      </c>
      <c r="AN201" s="772">
        <f t="shared" ca="1" si="88"/>
        <v>59671.939734110485</v>
      </c>
      <c r="AO201" s="772">
        <f t="shared" ca="1" si="88"/>
        <v>59246.00121234532</v>
      </c>
      <c r="AP201" s="772">
        <f t="shared" ca="1" si="88"/>
        <v>59246.00121234532</v>
      </c>
      <c r="AQ201" s="772">
        <f t="shared" ca="1" si="88"/>
        <v>59246.00121234532</v>
      </c>
      <c r="AR201" s="772">
        <f t="shared" ca="1" si="88"/>
        <v>60425.721552650604</v>
      </c>
      <c r="AS201" s="772">
        <f t="shared" ca="1" si="88"/>
        <v>60425.721552650604</v>
      </c>
      <c r="AT201" s="772">
        <f t="shared" ca="1" si="88"/>
        <v>60063.970631952929</v>
      </c>
      <c r="AU201" s="772">
        <f t="shared" ca="1" si="88"/>
        <v>60063.970631952929</v>
      </c>
      <c r="AV201" s="772">
        <f t="shared" ca="1" si="88"/>
        <v>59671.939734110485</v>
      </c>
      <c r="AW201" s="772">
        <f t="shared" ca="1" si="88"/>
        <v>59671.939734110485</v>
      </c>
      <c r="AX201" s="772">
        <f t="shared" ca="1" si="88"/>
        <v>59246.00121234532</v>
      </c>
      <c r="AY201" s="772">
        <f t="shared" ca="1" si="88"/>
        <v>59246.00121234532</v>
      </c>
      <c r="AZ201" s="772">
        <f t="shared" ca="1" si="87"/>
        <v>59246.00121234532</v>
      </c>
      <c r="BA201" s="772">
        <f t="shared" ca="1" si="87"/>
        <v>60425.721552650604</v>
      </c>
      <c r="BB201" s="772">
        <f t="shared" ca="1" si="87"/>
        <v>60425.721552650604</v>
      </c>
      <c r="BC201" s="772">
        <f t="shared" ca="1" si="87"/>
        <v>60063.970631952929</v>
      </c>
      <c r="BD201" s="772">
        <f t="shared" ca="1" si="87"/>
        <v>59671.939734110485</v>
      </c>
      <c r="BE201" s="772">
        <f t="shared" ca="1" si="87"/>
        <v>59671.939734110485</v>
      </c>
      <c r="BF201" s="772">
        <f t="shared" ca="1" si="87"/>
        <v>59246.00121234532</v>
      </c>
      <c r="BG201" s="772">
        <f t="shared" ca="1" si="87"/>
        <v>59246.00121234532</v>
      </c>
      <c r="BH201" s="772">
        <f t="shared" ca="1" si="80"/>
        <v>58782.211865712095</v>
      </c>
      <c r="BI201" s="772">
        <f t="shared" ref="BH201:BW220" ca="1" si="90">HLOOKUP(BI$7,$A$7:$P$348,ROW()-6)</f>
        <v>58782.211865712095</v>
      </c>
      <c r="BJ201" s="772">
        <f t="shared" ca="1" si="90"/>
        <v>60063.970631952929</v>
      </c>
      <c r="BK201" s="772">
        <f t="shared" ca="1" si="90"/>
        <v>60063.970631952929</v>
      </c>
      <c r="BL201" s="772">
        <f t="shared" ca="1" si="90"/>
        <v>60063.970631952929</v>
      </c>
      <c r="BM201" s="772">
        <f t="shared" ca="1" si="90"/>
        <v>60063.970631952929</v>
      </c>
      <c r="BN201" s="772">
        <f t="shared" ca="1" si="90"/>
        <v>59246.00121234532</v>
      </c>
      <c r="BO201" s="772">
        <f t="shared" ca="1" si="90"/>
        <v>59246.00121234532</v>
      </c>
      <c r="BP201" s="772">
        <f t="shared" ca="1" si="90"/>
        <v>58782.211865712095</v>
      </c>
      <c r="BQ201" s="772">
        <f t="shared" ca="1" si="90"/>
        <v>58782.211865712095</v>
      </c>
      <c r="BR201" s="772">
        <f t="shared" ca="1" si="90"/>
        <v>58276.361414412888</v>
      </c>
      <c r="BS201" s="772">
        <f t="shared" ca="1" si="90"/>
        <v>60063.970631952929</v>
      </c>
      <c r="BT201" s="772">
        <f t="shared" ca="1" si="90"/>
        <v>60063.970631952929</v>
      </c>
      <c r="BU201" s="772">
        <f t="shared" ca="1" si="90"/>
        <v>60063.970631952929</v>
      </c>
      <c r="BV201" s="772">
        <f t="shared" ca="1" si="90"/>
        <v>59671.939734110485</v>
      </c>
      <c r="BW201" s="772">
        <f t="shared" ca="1" si="90"/>
        <v>59671.939734110485</v>
      </c>
      <c r="BX201" s="772">
        <f t="shared" ca="1" si="84"/>
        <v>58782.211865712095</v>
      </c>
      <c r="BY201" s="772">
        <f t="shared" ca="1" si="84"/>
        <v>58782.211865712095</v>
      </c>
      <c r="BZ201" s="772">
        <f t="shared" ca="1" si="84"/>
        <v>58276.361414412888</v>
      </c>
      <c r="CA201" s="772">
        <f t="shared" ca="1" si="84"/>
        <v>58276.361414412888</v>
      </c>
      <c r="CB201" s="772">
        <f t="shared" ca="1" si="84"/>
        <v>59671.939734110485</v>
      </c>
      <c r="CC201" s="772">
        <f t="shared" ca="1" si="84"/>
        <v>59671.939734110485</v>
      </c>
      <c r="CD201" s="772">
        <f t="shared" ca="1" si="84"/>
        <v>59671.939734110485</v>
      </c>
      <c r="CE201" s="772">
        <f t="shared" ca="1" si="89"/>
        <v>59671.939734110485</v>
      </c>
      <c r="CF201" s="772">
        <f t="shared" ca="1" si="89"/>
        <v>59246.00121234532</v>
      </c>
      <c r="CG201" s="772">
        <f t="shared" ca="1" si="89"/>
        <v>58782.211865712095</v>
      </c>
      <c r="CH201" s="772">
        <f t="shared" ca="1" si="89"/>
        <v>58276.361414412888</v>
      </c>
      <c r="CI201" s="772">
        <f t="shared" ca="1" si="89"/>
        <v>58276.361414412888</v>
      </c>
      <c r="CJ201" s="772">
        <f t="shared" ca="1" si="89"/>
        <v>57724.065518687821</v>
      </c>
    </row>
    <row r="202" spans="1:88" ht="15" customHeight="1">
      <c r="A202" s="770">
        <f>'kc-Wert für Stützen'!C202</f>
        <v>254</v>
      </c>
      <c r="B202" s="768">
        <f ca="1">INDIRECT("'kc-Wert für Stützen'!"&amp;SUBSTITUTE(ADDRESS(MATCH($A202,'kc-Wert für Stützen'!$C:$C,0),MATCH(B$7,'kc-Wert für Stützen'!$A$8:$ES$8,0)+7,4),,))</f>
        <v>61588.129817087298</v>
      </c>
      <c r="C202" s="768">
        <f ca="1">INDIRECT("'kc-Wert für Stützen'!"&amp;SUBSTITUTE(ADDRESS(MATCH($A202,'kc-Wert für Stützen'!$C:$C,0),MATCH(C$7,'kc-Wert für Stützen'!$A$8:$ES$8,0)+7,4),,))</f>
        <v>61278.688307115342</v>
      </c>
      <c r="D202" s="768">
        <f ca="1">INDIRECT("'kc-Wert für Stützen'!"&amp;SUBSTITUTE(ADDRESS(MATCH($A202,'kc-Wert für Stützen'!$C:$C,0),MATCH(D$7,'kc-Wert für Stützen'!$A$8:$ES$8,0)+7,4),,))</f>
        <v>60945.547231984143</v>
      </c>
      <c r="E202" s="768">
        <f ca="1">INDIRECT("'kc-Wert für Stützen'!"&amp;SUBSTITUTE(ADDRESS(MATCH($A202,'kc-Wert für Stützen'!$C:$C,0),MATCH(E$7,'kc-Wert für Stützen'!$A$8:$ES$8,0)+7,4),,))</f>
        <v>60585.788810879727</v>
      </c>
      <c r="F202" s="768">
        <f ca="1">INDIRECT("'kc-Wert für Stützen'!"&amp;SUBSTITUTE(ADDRESS(MATCH($A202,'kc-Wert für Stützen'!$C:$C,0),MATCH(F$7,'kc-Wert für Stützen'!$A$8:$ES$8,0)+7,4),,))</f>
        <v>60196.170690460662</v>
      </c>
      <c r="G202" s="768">
        <f ca="1">INDIRECT("'kc-Wert für Stützen'!"&amp;SUBSTITUTE(ADDRESS(MATCH($A202,'kc-Wert für Stützen'!$C:$C,0),MATCH(G$7,'kc-Wert für Stützen'!$A$8:$ES$8,0)+7,4),,))</f>
        <v>59773.120162898522</v>
      </c>
      <c r="H202" s="768">
        <f ca="1">INDIRECT("'kc-Wert für Stützen'!"&amp;SUBSTITUTE(ADDRESS(MATCH($A202,'kc-Wert für Stützen'!$C:$C,0),MATCH(H$7,'kc-Wert für Stützen'!$A$8:$ES$8,0)+7,4),,))</f>
        <v>59312.747811133428</v>
      </c>
      <c r="I202" s="768">
        <f ca="1">INDIRECT("'kc-Wert für Stützen'!"&amp;SUBSTITUTE(ADDRESS(MATCH($A202,'kc-Wert für Stützen'!$C:$C,0),MATCH(I$7,'kc-Wert für Stützen'!$A$8:$ES$8,0)+7,4),,))</f>
        <v>58810.890729666673</v>
      </c>
      <c r="J202" s="768">
        <f ca="1">INDIRECT("'kc-Wert für Stützen'!"&amp;SUBSTITUTE(ADDRESS(MATCH($A202,'kc-Wert für Stützen'!$C:$C,0),MATCH(J$7,'kc-Wert für Stützen'!$A$8:$ES$8,0)+7,4),,))</f>
        <v>58263.197826318145</v>
      </c>
      <c r="K202" s="768">
        <f ca="1">INDIRECT("'kc-Wert für Stützen'!"&amp;SUBSTITUTE(ADDRESS(MATCH($A202,'kc-Wert für Stützen'!$C:$C,0),MATCH(K$7,'kc-Wert für Stützen'!$A$8:$ES$8,0)+7,4),,))</f>
        <v>57665.270983949958</v>
      </c>
      <c r="L202" s="768">
        <f ca="1">INDIRECT("'kc-Wert für Stützen'!"&amp;SUBSTITUTE(ADDRESS(MATCH($A202,'kc-Wert für Stützen'!$C:$C,0),MATCH(L$7,'kc-Wert für Stützen'!$A$8:$ES$8,0)+7,4),,))</f>
        <v>57012.874523360631</v>
      </c>
      <c r="M202" s="768">
        <f ca="1">INDIRECT("'kc-Wert für Stützen'!"&amp;SUBSTITUTE(ADDRESS(MATCH($A202,'kc-Wert für Stützen'!$C:$C,0),MATCH(M$7,'kc-Wert für Stützen'!$A$8:$ES$8,0)+7,4),,))</f>
        <v>56302.219425909265</v>
      </c>
      <c r="N202" s="768">
        <f ca="1">INDIRECT("'kc-Wert für Stützen'!"&amp;SUBSTITUTE(ADDRESS(MATCH($A202,'kc-Wert für Stützen'!$C:$C,0),MATCH(N$7,'kc-Wert für Stützen'!$A$8:$ES$8,0)+7,4),,))</f>
        <v>55530.31621738978</v>
      </c>
      <c r="O202" s="768">
        <f ca="1">INDIRECT("'kc-Wert für Stützen'!"&amp;SUBSTITUTE(ADDRESS(MATCH($A202,'kc-Wert für Stützen'!$C:$C,0),MATCH(O$7,'kc-Wert für Stützen'!$A$8:$ES$8,0)+7,4),,))</f>
        <v>54695.370820379525</v>
      </c>
      <c r="P202" s="768">
        <f ca="1">INDIRECT("'kc-Wert für Stützen'!"&amp;SUBSTITUTE(ADDRESS(MATCH($A202,'kc-Wert für Stützen'!$C:$C,0),MATCH(P$7,'kc-Wert für Stützen'!$A$8:$ES$8,0)+7,4),,))</f>
        <v>53797.173962946901</v>
      </c>
      <c r="S202" s="772">
        <f t="shared" ref="S202:S265" ca="1" si="91">HLOOKUP(S$7,$A$7:$P$348,ROW()-6)</f>
        <v>60945.547231984143</v>
      </c>
      <c r="T202" s="772">
        <f t="shared" ca="1" si="82"/>
        <v>60945.547231984143</v>
      </c>
      <c r="U202" s="772">
        <f t="shared" ca="1" si="82"/>
        <v>60945.547231984143</v>
      </c>
      <c r="V202" s="772">
        <f t="shared" ca="1" si="82"/>
        <v>60585.788810879727</v>
      </c>
      <c r="W202" s="772">
        <f t="shared" ca="1" si="82"/>
        <v>60196.170690460662</v>
      </c>
      <c r="X202" s="772">
        <f t="shared" ca="1" si="82"/>
        <v>59773.120162898522</v>
      </c>
      <c r="Y202" s="772">
        <f t="shared" ca="1" si="82"/>
        <v>59312.747811133428</v>
      </c>
      <c r="Z202" s="772">
        <f t="shared" ca="1" si="82"/>
        <v>60945.547231984143</v>
      </c>
      <c r="AA202" s="772">
        <f t="shared" ca="1" si="82"/>
        <v>60945.547231984143</v>
      </c>
      <c r="AB202" s="772">
        <f t="shared" ca="1" si="85"/>
        <v>60585.788810879727</v>
      </c>
      <c r="AC202" s="772">
        <f t="shared" ca="1" si="85"/>
        <v>60585.788810879727</v>
      </c>
      <c r="AD202" s="772">
        <f t="shared" ca="1" si="85"/>
        <v>60196.170690460662</v>
      </c>
      <c r="AE202" s="772">
        <f t="shared" ca="1" si="85"/>
        <v>60196.170690460662</v>
      </c>
      <c r="AF202" s="772">
        <f t="shared" ca="1" si="85"/>
        <v>59773.120162898522</v>
      </c>
      <c r="AG202" s="772">
        <f t="shared" ca="1" si="85"/>
        <v>59773.120162898522</v>
      </c>
      <c r="AH202" s="772">
        <f t="shared" ca="1" si="85"/>
        <v>59773.120162898522</v>
      </c>
      <c r="AI202" s="772">
        <f t="shared" ca="1" si="85"/>
        <v>60945.547231984143</v>
      </c>
      <c r="AJ202" s="772">
        <f t="shared" ca="1" si="88"/>
        <v>60945.547231984143</v>
      </c>
      <c r="AK202" s="772">
        <f t="shared" ca="1" si="88"/>
        <v>60585.788810879727</v>
      </c>
      <c r="AL202" s="772">
        <f t="shared" ca="1" si="88"/>
        <v>60585.788810879727</v>
      </c>
      <c r="AM202" s="772">
        <f t="shared" ca="1" si="88"/>
        <v>60196.170690460662</v>
      </c>
      <c r="AN202" s="772">
        <f t="shared" ca="1" si="88"/>
        <v>60196.170690460662</v>
      </c>
      <c r="AO202" s="772">
        <f t="shared" ca="1" si="88"/>
        <v>59773.120162898522</v>
      </c>
      <c r="AP202" s="772">
        <f t="shared" ca="1" si="88"/>
        <v>59773.120162898522</v>
      </c>
      <c r="AQ202" s="772">
        <f t="shared" ca="1" si="88"/>
        <v>59773.120162898522</v>
      </c>
      <c r="AR202" s="772">
        <f t="shared" ca="1" si="88"/>
        <v>60945.547231984143</v>
      </c>
      <c r="AS202" s="772">
        <f t="shared" ca="1" si="88"/>
        <v>60945.547231984143</v>
      </c>
      <c r="AT202" s="772">
        <f t="shared" ca="1" si="88"/>
        <v>60585.788810879727</v>
      </c>
      <c r="AU202" s="772">
        <f t="shared" ca="1" si="88"/>
        <v>60585.788810879727</v>
      </c>
      <c r="AV202" s="772">
        <f t="shared" ca="1" si="88"/>
        <v>60196.170690460662</v>
      </c>
      <c r="AW202" s="772">
        <f t="shared" ca="1" si="88"/>
        <v>60196.170690460662</v>
      </c>
      <c r="AX202" s="772">
        <f t="shared" ca="1" si="88"/>
        <v>59773.120162898522</v>
      </c>
      <c r="AY202" s="772">
        <f t="shared" ca="1" si="88"/>
        <v>59773.120162898522</v>
      </c>
      <c r="AZ202" s="772">
        <f t="shared" ca="1" si="87"/>
        <v>59773.120162898522</v>
      </c>
      <c r="BA202" s="772">
        <f t="shared" ca="1" si="87"/>
        <v>60945.547231984143</v>
      </c>
      <c r="BB202" s="772">
        <f t="shared" ca="1" si="87"/>
        <v>60945.547231984143</v>
      </c>
      <c r="BC202" s="772">
        <f t="shared" ca="1" si="87"/>
        <v>60585.788810879727</v>
      </c>
      <c r="BD202" s="772">
        <f t="shared" ca="1" si="87"/>
        <v>60196.170690460662</v>
      </c>
      <c r="BE202" s="772">
        <f t="shared" ca="1" si="87"/>
        <v>60196.170690460662</v>
      </c>
      <c r="BF202" s="772">
        <f t="shared" ca="1" si="87"/>
        <v>59773.120162898522</v>
      </c>
      <c r="BG202" s="772">
        <f t="shared" ca="1" si="87"/>
        <v>59773.120162898522</v>
      </c>
      <c r="BH202" s="772">
        <f t="shared" ca="1" si="90"/>
        <v>59312.747811133428</v>
      </c>
      <c r="BI202" s="772">
        <f t="shared" ca="1" si="90"/>
        <v>59312.747811133428</v>
      </c>
      <c r="BJ202" s="772">
        <f t="shared" ca="1" si="90"/>
        <v>60585.788810879727</v>
      </c>
      <c r="BK202" s="772">
        <f t="shared" ca="1" si="90"/>
        <v>60585.788810879727</v>
      </c>
      <c r="BL202" s="772">
        <f t="shared" ca="1" si="90"/>
        <v>60585.788810879727</v>
      </c>
      <c r="BM202" s="772">
        <f t="shared" ca="1" si="90"/>
        <v>60585.788810879727</v>
      </c>
      <c r="BN202" s="772">
        <f t="shared" ca="1" si="90"/>
        <v>59773.120162898522</v>
      </c>
      <c r="BO202" s="772">
        <f t="shared" ca="1" si="90"/>
        <v>59773.120162898522</v>
      </c>
      <c r="BP202" s="772">
        <f t="shared" ca="1" si="90"/>
        <v>59312.747811133428</v>
      </c>
      <c r="BQ202" s="772">
        <f t="shared" ca="1" si="90"/>
        <v>59312.747811133428</v>
      </c>
      <c r="BR202" s="772">
        <f t="shared" ca="1" si="90"/>
        <v>58810.890729666673</v>
      </c>
      <c r="BS202" s="772">
        <f t="shared" ca="1" si="90"/>
        <v>60585.788810879727</v>
      </c>
      <c r="BT202" s="772">
        <f t="shared" ca="1" si="90"/>
        <v>60585.788810879727</v>
      </c>
      <c r="BU202" s="772">
        <f t="shared" ca="1" si="90"/>
        <v>60585.788810879727</v>
      </c>
      <c r="BV202" s="772">
        <f t="shared" ca="1" si="90"/>
        <v>60196.170690460662</v>
      </c>
      <c r="BW202" s="772">
        <f t="shared" ca="1" si="90"/>
        <v>60196.170690460662</v>
      </c>
      <c r="BX202" s="772">
        <f t="shared" ref="BX202:CJ221" ca="1" si="92">HLOOKUP(BX$7,$A$7:$P$348,ROW()-6)</f>
        <v>59312.747811133428</v>
      </c>
      <c r="BY202" s="772">
        <f t="shared" ca="1" si="92"/>
        <v>59312.747811133428</v>
      </c>
      <c r="BZ202" s="772">
        <f t="shared" ca="1" si="92"/>
        <v>58810.890729666673</v>
      </c>
      <c r="CA202" s="772">
        <f t="shared" ca="1" si="92"/>
        <v>58810.890729666673</v>
      </c>
      <c r="CB202" s="772">
        <f t="shared" ca="1" si="92"/>
        <v>60196.170690460662</v>
      </c>
      <c r="CC202" s="772">
        <f t="shared" ca="1" si="92"/>
        <v>60196.170690460662</v>
      </c>
      <c r="CD202" s="772">
        <f t="shared" ca="1" si="92"/>
        <v>60196.170690460662</v>
      </c>
      <c r="CE202" s="772">
        <f t="shared" ca="1" si="92"/>
        <v>60196.170690460662</v>
      </c>
      <c r="CF202" s="772">
        <f t="shared" ca="1" si="92"/>
        <v>59773.120162898522</v>
      </c>
      <c r="CG202" s="772">
        <f t="shared" ca="1" si="92"/>
        <v>59312.747811133428</v>
      </c>
      <c r="CH202" s="772">
        <f t="shared" ca="1" si="92"/>
        <v>58810.890729666673</v>
      </c>
      <c r="CI202" s="772">
        <f t="shared" ca="1" si="92"/>
        <v>58810.890729666673</v>
      </c>
      <c r="CJ202" s="772">
        <f t="shared" ca="1" si="92"/>
        <v>58263.197826318145</v>
      </c>
    </row>
    <row r="203" spans="1:88" ht="15" customHeight="1">
      <c r="A203" s="770">
        <f>'kc-Wert für Stützen'!C203</f>
        <v>255</v>
      </c>
      <c r="B203" s="768">
        <f ca="1">INDIRECT("'kc-Wert für Stützen'!"&amp;SUBSTITUTE(ADDRESS(MATCH($A203,'kc-Wert für Stützen'!$C:$C,0),MATCH(B$7,'kc-Wert für Stützen'!$A$8:$ES$8,0)+7,4),,))</f>
        <v>62106.936453248018</v>
      </c>
      <c r="C203" s="768">
        <f ca="1">INDIRECT("'kc-Wert für Stützen'!"&amp;SUBSTITUTE(ADDRESS(MATCH($A203,'kc-Wert für Stützen'!$C:$C,0),MATCH(C$7,'kc-Wert für Stützen'!$A$8:$ES$8,0)+7,4),,))</f>
        <v>61798.768423489593</v>
      </c>
      <c r="D203" s="768">
        <f ca="1">INDIRECT("'kc-Wert für Stützen'!"&amp;SUBSTITUTE(ADDRESS(MATCH($A203,'kc-Wert für Stützen'!$C:$C,0),MATCH(D$7,'kc-Wert für Stützen'!$A$8:$ES$8,0)+7,4),,))</f>
        <v>61467.213003386089</v>
      </c>
      <c r="E203" s="768">
        <f ca="1">INDIRECT("'kc-Wert für Stützen'!"&amp;SUBSTITUTE(ADDRESS(MATCH($A203,'kc-Wert für Stützen'!$C:$C,0),MATCH(E$7,'kc-Wert für Stützen'!$A$8:$ES$8,0)+7,4),,))</f>
        <v>61109.40030620055</v>
      </c>
      <c r="F203" s="768">
        <f ca="1">INDIRECT("'kc-Wert für Stützen'!"&amp;SUBSTITUTE(ADDRESS(MATCH($A203,'kc-Wert für Stützen'!$C:$C,0),MATCH(F$7,'kc-Wert für Stützen'!$A$8:$ES$8,0)+7,4),,))</f>
        <v>60722.139965820556</v>
      </c>
      <c r="G203" s="768">
        <f ca="1">INDIRECT("'kc-Wert für Stützen'!"&amp;SUBSTITUTE(ADDRESS(MATCH($A203,'kc-Wert für Stützen'!$C:$C,0),MATCH(G$7,'kc-Wert für Stützen'!$A$8:$ES$8,0)+7,4),,))</f>
        <v>60301.913666295834</v>
      </c>
      <c r="H203" s="768">
        <f ca="1">INDIRECT("'kc-Wert für Stützen'!"&amp;SUBSTITUTE(ADDRESS(MATCH($A203,'kc-Wert für Stützen'!$C:$C,0),MATCH(H$7,'kc-Wert für Stützen'!$A$8:$ES$8,0)+7,4),,))</f>
        <v>59844.88574815567</v>
      </c>
      <c r="I203" s="768">
        <f ca="1">INDIRECT("'kc-Wert für Stützen'!"&amp;SUBSTITUTE(ADDRESS(MATCH($A203,'kc-Wert für Stützen'!$C:$C,0),MATCH(I$7,'kc-Wert für Stützen'!$A$8:$ES$8,0)+7,4),,))</f>
        <v>59346.941533523743</v>
      </c>
      <c r="J203" s="768">
        <f ca="1">INDIRECT("'kc-Wert für Stützen'!"&amp;SUBSTITUTE(ADDRESS(MATCH($A203,'kc-Wert für Stützen'!$C:$C,0),MATCH(J$7,'kc-Wert für Stützen'!$A$8:$ES$8,0)+7,4),,))</f>
        <v>58803.765374177674</v>
      </c>
      <c r="K203" s="768">
        <f ca="1">INDIRECT("'kc-Wert für Stützen'!"&amp;SUBSTITUTE(ADDRESS(MATCH($A203,'kc-Wert für Stützen'!$C:$C,0),MATCH(K$7,'kc-Wert für Stützen'!$A$8:$ES$8,0)+7,4),,))</f>
        <v>58210.971882345104</v>
      </c>
      <c r="L203" s="768">
        <f ca="1">INDIRECT("'kc-Wert für Stützen'!"&amp;SUBSTITUTE(ADDRESS(MATCH($A203,'kc-Wert für Stützen'!$C:$C,0),MATCH(L$7,'kc-Wert für Stützen'!$A$8:$ES$8,0)+7,4),,))</f>
        <v>57564.302949866513</v>
      </c>
      <c r="M203" s="768">
        <f ca="1">INDIRECT("'kc-Wert für Stützen'!"&amp;SUBSTITUTE(ADDRESS(MATCH($A203,'kc-Wert für Stützen'!$C:$C,0),MATCH(M$7,'kc-Wert für Stützen'!$A$8:$ES$8,0)+7,4),,))</f>
        <v>56859.898070473355</v>
      </c>
      <c r="N203" s="768">
        <f ca="1">INDIRECT("'kc-Wert für Stützen'!"&amp;SUBSTITUTE(ADDRESS(MATCH($A203,'kc-Wert für Stützen'!$C:$C,0),MATCH(N$7,'kc-Wert für Stützen'!$A$8:$ES$8,0)+7,4),,))</f>
        <v>56094.634203838723</v>
      </c>
      <c r="O203" s="768">
        <f ca="1">INDIRECT("'kc-Wert für Stützen'!"&amp;SUBSTITUTE(ADDRESS(MATCH($A203,'kc-Wert für Stützen'!$C:$C,0),MATCH(O$7,'kc-Wert für Stützen'!$A$8:$ES$8,0)+7,4),,))</f>
        <v>55266.513196470572</v>
      </c>
      <c r="P203" s="768">
        <f ca="1">INDIRECT("'kc-Wert für Stützen'!"&amp;SUBSTITUTE(ADDRESS(MATCH($A203,'kc-Wert für Stützen'!$C:$C,0),MATCH(P$7,'kc-Wert für Stützen'!$A$8:$ES$8,0)+7,4),,))</f>
        <v>54375.051834259473</v>
      </c>
      <c r="S203" s="772">
        <f t="shared" ca="1" si="91"/>
        <v>61467.213003386089</v>
      </c>
      <c r="T203" s="772">
        <f t="shared" ca="1" si="82"/>
        <v>61467.213003386089</v>
      </c>
      <c r="U203" s="772">
        <f t="shared" ca="1" si="82"/>
        <v>61467.213003386089</v>
      </c>
      <c r="V203" s="772">
        <f t="shared" ca="1" si="82"/>
        <v>61109.40030620055</v>
      </c>
      <c r="W203" s="772">
        <f t="shared" ca="1" si="82"/>
        <v>60722.139965820556</v>
      </c>
      <c r="X203" s="772">
        <f t="shared" ca="1" si="82"/>
        <v>60301.913666295834</v>
      </c>
      <c r="Y203" s="772">
        <f t="shared" ca="1" si="82"/>
        <v>59844.88574815567</v>
      </c>
      <c r="Z203" s="772">
        <f t="shared" ca="1" si="82"/>
        <v>61467.213003386089</v>
      </c>
      <c r="AA203" s="772">
        <f t="shared" ca="1" si="82"/>
        <v>61467.213003386089</v>
      </c>
      <c r="AB203" s="772">
        <f t="shared" ca="1" si="85"/>
        <v>61109.40030620055</v>
      </c>
      <c r="AC203" s="772">
        <f t="shared" ca="1" si="85"/>
        <v>61109.40030620055</v>
      </c>
      <c r="AD203" s="772">
        <f t="shared" ca="1" si="85"/>
        <v>60722.139965820556</v>
      </c>
      <c r="AE203" s="772">
        <f t="shared" ca="1" si="85"/>
        <v>60722.139965820556</v>
      </c>
      <c r="AF203" s="772">
        <f t="shared" ca="1" si="85"/>
        <v>60301.913666295834</v>
      </c>
      <c r="AG203" s="772">
        <f t="shared" ca="1" si="85"/>
        <v>60301.913666295834</v>
      </c>
      <c r="AH203" s="772">
        <f t="shared" ca="1" si="85"/>
        <v>60301.913666295834</v>
      </c>
      <c r="AI203" s="772">
        <f t="shared" ca="1" si="85"/>
        <v>61467.213003386089</v>
      </c>
      <c r="AJ203" s="772">
        <f t="shared" ca="1" si="88"/>
        <v>61467.213003386089</v>
      </c>
      <c r="AK203" s="772">
        <f t="shared" ca="1" si="88"/>
        <v>61109.40030620055</v>
      </c>
      <c r="AL203" s="772">
        <f t="shared" ca="1" si="88"/>
        <v>61109.40030620055</v>
      </c>
      <c r="AM203" s="772">
        <f t="shared" ca="1" si="88"/>
        <v>60722.139965820556</v>
      </c>
      <c r="AN203" s="772">
        <f t="shared" ca="1" si="88"/>
        <v>60722.139965820556</v>
      </c>
      <c r="AO203" s="772">
        <f t="shared" ca="1" si="88"/>
        <v>60301.913666295834</v>
      </c>
      <c r="AP203" s="772">
        <f t="shared" ca="1" si="88"/>
        <v>60301.913666295834</v>
      </c>
      <c r="AQ203" s="772">
        <f t="shared" ca="1" si="88"/>
        <v>60301.913666295834</v>
      </c>
      <c r="AR203" s="772">
        <f t="shared" ca="1" si="88"/>
        <v>61467.213003386089</v>
      </c>
      <c r="AS203" s="772">
        <f t="shared" ca="1" si="88"/>
        <v>61467.213003386089</v>
      </c>
      <c r="AT203" s="772">
        <f t="shared" ca="1" si="88"/>
        <v>61109.40030620055</v>
      </c>
      <c r="AU203" s="772">
        <f t="shared" ca="1" si="88"/>
        <v>61109.40030620055</v>
      </c>
      <c r="AV203" s="772">
        <f t="shared" ca="1" si="88"/>
        <v>60722.139965820556</v>
      </c>
      <c r="AW203" s="772">
        <f t="shared" ca="1" si="88"/>
        <v>60722.139965820556</v>
      </c>
      <c r="AX203" s="772">
        <f t="shared" ca="1" si="88"/>
        <v>60301.913666295834</v>
      </c>
      <c r="AY203" s="772">
        <f t="shared" ca="1" si="88"/>
        <v>60301.913666295834</v>
      </c>
      <c r="AZ203" s="772">
        <f t="shared" ca="1" si="87"/>
        <v>60301.913666295834</v>
      </c>
      <c r="BA203" s="772">
        <f t="shared" ca="1" si="87"/>
        <v>61467.213003386089</v>
      </c>
      <c r="BB203" s="772">
        <f t="shared" ca="1" si="87"/>
        <v>61467.213003386089</v>
      </c>
      <c r="BC203" s="772">
        <f t="shared" ca="1" si="87"/>
        <v>61109.40030620055</v>
      </c>
      <c r="BD203" s="772">
        <f t="shared" ca="1" si="87"/>
        <v>60722.139965820556</v>
      </c>
      <c r="BE203" s="772">
        <f t="shared" ca="1" si="87"/>
        <v>60722.139965820556</v>
      </c>
      <c r="BF203" s="772">
        <f t="shared" ca="1" si="87"/>
        <v>60301.913666295834</v>
      </c>
      <c r="BG203" s="772">
        <f t="shared" ca="1" si="87"/>
        <v>60301.913666295834</v>
      </c>
      <c r="BH203" s="772">
        <f t="shared" ca="1" si="90"/>
        <v>59844.88574815567</v>
      </c>
      <c r="BI203" s="772">
        <f t="shared" ca="1" si="90"/>
        <v>59844.88574815567</v>
      </c>
      <c r="BJ203" s="772">
        <f t="shared" ca="1" si="90"/>
        <v>61109.40030620055</v>
      </c>
      <c r="BK203" s="772">
        <f t="shared" ca="1" si="90"/>
        <v>61109.40030620055</v>
      </c>
      <c r="BL203" s="772">
        <f t="shared" ca="1" si="90"/>
        <v>61109.40030620055</v>
      </c>
      <c r="BM203" s="772">
        <f t="shared" ca="1" si="90"/>
        <v>61109.40030620055</v>
      </c>
      <c r="BN203" s="772">
        <f t="shared" ca="1" si="90"/>
        <v>60301.913666295834</v>
      </c>
      <c r="BO203" s="772">
        <f t="shared" ca="1" si="90"/>
        <v>60301.913666295834</v>
      </c>
      <c r="BP203" s="772">
        <f t="shared" ca="1" si="90"/>
        <v>59844.88574815567</v>
      </c>
      <c r="BQ203" s="772">
        <f t="shared" ca="1" si="90"/>
        <v>59844.88574815567</v>
      </c>
      <c r="BR203" s="772">
        <f t="shared" ca="1" si="90"/>
        <v>59346.941533523743</v>
      </c>
      <c r="BS203" s="772">
        <f t="shared" ca="1" si="90"/>
        <v>61109.40030620055</v>
      </c>
      <c r="BT203" s="772">
        <f t="shared" ca="1" si="90"/>
        <v>61109.40030620055</v>
      </c>
      <c r="BU203" s="772">
        <f t="shared" ca="1" si="90"/>
        <v>61109.40030620055</v>
      </c>
      <c r="BV203" s="772">
        <f t="shared" ca="1" si="90"/>
        <v>60722.139965820556</v>
      </c>
      <c r="BW203" s="772">
        <f t="shared" ca="1" si="90"/>
        <v>60722.139965820556</v>
      </c>
      <c r="BX203" s="772">
        <f t="shared" ca="1" si="92"/>
        <v>59844.88574815567</v>
      </c>
      <c r="BY203" s="772">
        <f t="shared" ca="1" si="92"/>
        <v>59844.88574815567</v>
      </c>
      <c r="BZ203" s="772">
        <f t="shared" ca="1" si="92"/>
        <v>59346.941533523743</v>
      </c>
      <c r="CA203" s="772">
        <f t="shared" ca="1" si="92"/>
        <v>59346.941533523743</v>
      </c>
      <c r="CB203" s="772">
        <f t="shared" ca="1" si="92"/>
        <v>60722.139965820556</v>
      </c>
      <c r="CC203" s="772">
        <f t="shared" ca="1" si="92"/>
        <v>60722.139965820556</v>
      </c>
      <c r="CD203" s="772">
        <f t="shared" ca="1" si="92"/>
        <v>60722.139965820556</v>
      </c>
      <c r="CE203" s="772">
        <f t="shared" ca="1" si="92"/>
        <v>60722.139965820556</v>
      </c>
      <c r="CF203" s="772">
        <f t="shared" ca="1" si="92"/>
        <v>60301.913666295834</v>
      </c>
      <c r="CG203" s="772">
        <f t="shared" ca="1" si="92"/>
        <v>59844.88574815567</v>
      </c>
      <c r="CH203" s="772">
        <f t="shared" ca="1" si="92"/>
        <v>59346.941533523743</v>
      </c>
      <c r="CI203" s="772">
        <f t="shared" ca="1" si="92"/>
        <v>59346.941533523743</v>
      </c>
      <c r="CJ203" s="772">
        <f t="shared" ca="1" si="92"/>
        <v>58803.765374177674</v>
      </c>
    </row>
    <row r="204" spans="1:88" ht="15" customHeight="1">
      <c r="A204" s="770">
        <f>'kc-Wert für Stützen'!C204</f>
        <v>256</v>
      </c>
      <c r="B204" s="768">
        <f ca="1">INDIRECT("'kc-Wert für Stützen'!"&amp;SUBSTITUTE(ADDRESS(MATCH($A204,'kc-Wert für Stützen'!$C:$C,0),MATCH(B$7,'kc-Wert für Stützen'!$A$8:$ES$8,0)+7,4),,))</f>
        <v>62627.658672728052</v>
      </c>
      <c r="C204" s="768">
        <f ca="1">INDIRECT("'kc-Wert für Stützen'!"&amp;SUBSTITUTE(ADDRESS(MATCH($A204,'kc-Wert für Stützen'!$C:$C,0),MATCH(C$7,'kc-Wert für Stützen'!$A$8:$ES$8,0)+7,4),,))</f>
        <v>62320.732047665682</v>
      </c>
      <c r="D204" s="768">
        <f ca="1">INDIRECT("'kc-Wert für Stützen'!"&amp;SUBSTITUTE(ADDRESS(MATCH($A204,'kc-Wert für Stützen'!$C:$C,0),MATCH(D$7,'kc-Wert für Stützen'!$A$8:$ES$8,0)+7,4),,))</f>
        <v>61990.723865678156</v>
      </c>
      <c r="E204" s="768">
        <f ca="1">INDIRECT("'kc-Wert für Stützen'!"&amp;SUBSTITUTE(ADDRESS(MATCH($A204,'kc-Wert für Stützen'!$C:$C,0),MATCH(E$7,'kc-Wert für Stützen'!$A$8:$ES$8,0)+7,4),,))</f>
        <v>61634.81122892267</v>
      </c>
      <c r="F204" s="768">
        <f ca="1">INDIRECT("'kc-Wert für Stützen'!"&amp;SUBSTITUTE(ADDRESS(MATCH($A204,'kc-Wert für Stützen'!$C:$C,0),MATCH(F$7,'kc-Wert für Stützen'!$A$8:$ES$8,0)+7,4),,))</f>
        <v>61249.854935628566</v>
      </c>
      <c r="G204" s="768">
        <f ca="1">INDIRECT("'kc-Wert für Stützen'!"&amp;SUBSTITUTE(ADDRESS(MATCH($A204,'kc-Wert für Stützen'!$C:$C,0),MATCH(G$7,'kc-Wert für Stützen'!$A$8:$ES$8,0)+7,4),,))</f>
        <v>60832.390476644563</v>
      </c>
      <c r="H204" s="768">
        <f ca="1">INDIRECT("'kc-Wert für Stützen'!"&amp;SUBSTITUTE(ADDRESS(MATCH($A204,'kc-Wert für Stützen'!$C:$C,0),MATCH(H$7,'kc-Wert für Stützen'!$A$8:$ES$8,0)+7,4),,))</f>
        <v>60378.635840710202</v>
      </c>
      <c r="I204" s="768">
        <f ca="1">INDIRECT("'kc-Wert für Stützen'!"&amp;SUBSTITUTE(ADDRESS(MATCH($A204,'kc-Wert für Stützen'!$C:$C,0),MATCH(I$7,'kc-Wert für Stützen'!$A$8:$ES$8,0)+7,4),,))</f>
        <v>59884.525282173083</v>
      </c>
      <c r="J204" s="768">
        <f ca="1">INDIRECT("'kc-Wert für Stützen'!"&amp;SUBSTITUTE(ADDRESS(MATCH($A204,'kc-Wert für Stützen'!$C:$C,0),MATCH(J$7,'kc-Wert für Stützen'!$A$8:$ES$8,0)+7,4),,))</f>
        <v>59345.780557407656</v>
      </c>
      <c r="K204" s="768">
        <f ca="1">INDIRECT("'kc-Wert für Stützen'!"&amp;SUBSTITUTE(ADDRESS(MATCH($A204,'kc-Wert für Stützen'!$C:$C,0),MATCH(K$7,'kc-Wert für Stützen'!$A$8:$ES$8,0)+7,4),,))</f>
        <v>58758.032739948401</v>
      </c>
      <c r="L204" s="768">
        <f ca="1">INDIRECT("'kc-Wert für Stützen'!"&amp;SUBSTITUTE(ADDRESS(MATCH($A204,'kc-Wert für Stützen'!$C:$C,0),MATCH(L$7,'kc-Wert für Stützen'!$A$8:$ES$8,0)+7,4),,))</f>
        <v>58117.007294227908</v>
      </c>
      <c r="M204" s="768">
        <f ca="1">INDIRECT("'kc-Wert für Stützen'!"&amp;SUBSTITUTE(ADDRESS(MATCH($A204,'kc-Wert für Stützen'!$C:$C,0),MATCH(M$7,'kc-Wert für Stützen'!$A$8:$ES$8,0)+7,4),,))</f>
        <v>57418.780806973402</v>
      </c>
      <c r="N204" s="768">
        <f ca="1">INDIRECT("'kc-Wert für Stützen'!"&amp;SUBSTITUTE(ADDRESS(MATCH($A204,'kc-Wert für Stützen'!$C:$C,0),MATCH(N$7,'kc-Wert für Stützen'!$A$8:$ES$8,0)+7,4),,))</f>
        <v>56660.107702437796</v>
      </c>
      <c r="O204" s="768">
        <f ca="1">INDIRECT("'kc-Wert für Stützen'!"&amp;SUBSTITUTE(ADDRESS(MATCH($A204,'kc-Wert für Stützen'!$C:$C,0),MATCH(O$7,'kc-Wert für Stützen'!$A$8:$ES$8,0)+7,4),,))</f>
        <v>55838.798398832951</v>
      </c>
      <c r="P204" s="768">
        <f ca="1">INDIRECT("'kc-Wert für Stützen'!"&amp;SUBSTITUTE(ADDRESS(MATCH($A204,'kc-Wert für Stützen'!$C:$C,0),MATCH(P$7,'kc-Wert für Stützen'!$A$8:$ES$8,0)+7,4),,))</f>
        <v>54954.108323947745</v>
      </c>
      <c r="S204" s="772">
        <f t="shared" ca="1" si="91"/>
        <v>61990.723865678156</v>
      </c>
      <c r="T204" s="772">
        <f t="shared" ca="1" si="82"/>
        <v>61990.723865678156</v>
      </c>
      <c r="U204" s="772">
        <f t="shared" ca="1" si="82"/>
        <v>61990.723865678156</v>
      </c>
      <c r="V204" s="772">
        <f t="shared" ca="1" si="82"/>
        <v>61634.81122892267</v>
      </c>
      <c r="W204" s="772">
        <f t="shared" ca="1" si="82"/>
        <v>61249.854935628566</v>
      </c>
      <c r="X204" s="772">
        <f t="shared" ca="1" si="82"/>
        <v>60832.390476644563</v>
      </c>
      <c r="Y204" s="772">
        <f t="shared" ca="1" si="82"/>
        <v>60378.635840710202</v>
      </c>
      <c r="Z204" s="772">
        <f t="shared" ca="1" si="82"/>
        <v>61990.723865678156</v>
      </c>
      <c r="AA204" s="772">
        <f t="shared" ca="1" si="82"/>
        <v>61990.723865678156</v>
      </c>
      <c r="AB204" s="772">
        <f t="shared" ca="1" si="85"/>
        <v>61634.81122892267</v>
      </c>
      <c r="AC204" s="772">
        <f t="shared" ca="1" si="85"/>
        <v>61634.81122892267</v>
      </c>
      <c r="AD204" s="772">
        <f t="shared" ca="1" si="85"/>
        <v>61249.854935628566</v>
      </c>
      <c r="AE204" s="772">
        <f t="shared" ca="1" si="85"/>
        <v>61249.854935628566</v>
      </c>
      <c r="AF204" s="772">
        <f t="shared" ca="1" si="85"/>
        <v>60832.390476644563</v>
      </c>
      <c r="AG204" s="772">
        <f t="shared" ca="1" si="85"/>
        <v>60832.390476644563</v>
      </c>
      <c r="AH204" s="772">
        <f t="shared" ca="1" si="85"/>
        <v>60832.390476644563</v>
      </c>
      <c r="AI204" s="772">
        <f t="shared" ca="1" si="85"/>
        <v>61990.723865678156</v>
      </c>
      <c r="AJ204" s="772">
        <f t="shared" ca="1" si="85"/>
        <v>61990.723865678156</v>
      </c>
      <c r="AK204" s="772">
        <f t="shared" ca="1" si="85"/>
        <v>61634.81122892267</v>
      </c>
      <c r="AL204" s="772">
        <f t="shared" ca="1" si="85"/>
        <v>61634.81122892267</v>
      </c>
      <c r="AM204" s="772">
        <f t="shared" ca="1" si="85"/>
        <v>61249.854935628566</v>
      </c>
      <c r="AN204" s="772">
        <f t="shared" ca="1" si="85"/>
        <v>61249.854935628566</v>
      </c>
      <c r="AO204" s="772">
        <f t="shared" ca="1" si="85"/>
        <v>60832.390476644563</v>
      </c>
      <c r="AP204" s="772">
        <f t="shared" ca="1" si="85"/>
        <v>60832.390476644563</v>
      </c>
      <c r="AQ204" s="772">
        <f t="shared" ca="1" si="85"/>
        <v>60832.390476644563</v>
      </c>
      <c r="AR204" s="772">
        <f t="shared" ca="1" si="88"/>
        <v>61990.723865678156</v>
      </c>
      <c r="AS204" s="772">
        <f t="shared" ca="1" si="88"/>
        <v>61990.723865678156</v>
      </c>
      <c r="AT204" s="772">
        <f t="shared" ca="1" si="88"/>
        <v>61634.81122892267</v>
      </c>
      <c r="AU204" s="772">
        <f t="shared" ca="1" si="88"/>
        <v>61634.81122892267</v>
      </c>
      <c r="AV204" s="772">
        <f t="shared" ca="1" si="88"/>
        <v>61249.854935628566</v>
      </c>
      <c r="AW204" s="772">
        <f t="shared" ca="1" si="88"/>
        <v>61249.854935628566</v>
      </c>
      <c r="AX204" s="772">
        <f t="shared" ca="1" si="88"/>
        <v>60832.390476644563</v>
      </c>
      <c r="AY204" s="772">
        <f t="shared" ca="1" si="88"/>
        <v>60832.390476644563</v>
      </c>
      <c r="AZ204" s="772">
        <f t="shared" ca="1" si="87"/>
        <v>60832.390476644563</v>
      </c>
      <c r="BA204" s="772">
        <f t="shared" ca="1" si="87"/>
        <v>61990.723865678156</v>
      </c>
      <c r="BB204" s="772">
        <f t="shared" ca="1" si="87"/>
        <v>61990.723865678156</v>
      </c>
      <c r="BC204" s="772">
        <f t="shared" ca="1" si="87"/>
        <v>61634.81122892267</v>
      </c>
      <c r="BD204" s="772">
        <f t="shared" ca="1" si="87"/>
        <v>61249.854935628566</v>
      </c>
      <c r="BE204" s="772">
        <f t="shared" ca="1" si="87"/>
        <v>61249.854935628566</v>
      </c>
      <c r="BF204" s="772">
        <f t="shared" ca="1" si="87"/>
        <v>60832.390476644563</v>
      </c>
      <c r="BG204" s="772">
        <f t="shared" ca="1" si="87"/>
        <v>60832.390476644563</v>
      </c>
      <c r="BH204" s="772">
        <f t="shared" ca="1" si="90"/>
        <v>60378.635840710202</v>
      </c>
      <c r="BI204" s="772">
        <f t="shared" ca="1" si="90"/>
        <v>60378.635840710202</v>
      </c>
      <c r="BJ204" s="772">
        <f t="shared" ca="1" si="90"/>
        <v>61634.81122892267</v>
      </c>
      <c r="BK204" s="772">
        <f t="shared" ca="1" si="90"/>
        <v>61634.81122892267</v>
      </c>
      <c r="BL204" s="772">
        <f t="shared" ca="1" si="90"/>
        <v>61634.81122892267</v>
      </c>
      <c r="BM204" s="772">
        <f t="shared" ca="1" si="90"/>
        <v>61634.81122892267</v>
      </c>
      <c r="BN204" s="772">
        <f t="shared" ca="1" si="90"/>
        <v>60832.390476644563</v>
      </c>
      <c r="BO204" s="772">
        <f t="shared" ca="1" si="90"/>
        <v>60832.390476644563</v>
      </c>
      <c r="BP204" s="772">
        <f t="shared" ca="1" si="90"/>
        <v>60378.635840710202</v>
      </c>
      <c r="BQ204" s="772">
        <f t="shared" ca="1" si="90"/>
        <v>60378.635840710202</v>
      </c>
      <c r="BR204" s="772">
        <f t="shared" ca="1" si="90"/>
        <v>59884.525282173083</v>
      </c>
      <c r="BS204" s="772">
        <f t="shared" ca="1" si="90"/>
        <v>61634.81122892267</v>
      </c>
      <c r="BT204" s="772">
        <f t="shared" ca="1" si="90"/>
        <v>61634.81122892267</v>
      </c>
      <c r="BU204" s="772">
        <f t="shared" ca="1" si="90"/>
        <v>61634.81122892267</v>
      </c>
      <c r="BV204" s="772">
        <f t="shared" ca="1" si="90"/>
        <v>61249.854935628566</v>
      </c>
      <c r="BW204" s="772">
        <f t="shared" ca="1" si="90"/>
        <v>61249.854935628566</v>
      </c>
      <c r="BX204" s="772">
        <f t="shared" ca="1" si="92"/>
        <v>60378.635840710202</v>
      </c>
      <c r="BY204" s="772">
        <f t="shared" ca="1" si="92"/>
        <v>60378.635840710202</v>
      </c>
      <c r="BZ204" s="772">
        <f t="shared" ca="1" si="92"/>
        <v>59884.525282173083</v>
      </c>
      <c r="CA204" s="772">
        <f t="shared" ca="1" si="92"/>
        <v>59884.525282173083</v>
      </c>
      <c r="CB204" s="772">
        <f t="shared" ca="1" si="92"/>
        <v>61249.854935628566</v>
      </c>
      <c r="CC204" s="772">
        <f t="shared" ca="1" si="92"/>
        <v>61249.854935628566</v>
      </c>
      <c r="CD204" s="772">
        <f t="shared" ca="1" si="92"/>
        <v>61249.854935628566</v>
      </c>
      <c r="CE204" s="772">
        <f t="shared" ca="1" si="92"/>
        <v>61249.854935628566</v>
      </c>
      <c r="CF204" s="772">
        <f t="shared" ca="1" si="92"/>
        <v>60832.390476644563</v>
      </c>
      <c r="CG204" s="772">
        <f t="shared" ca="1" si="92"/>
        <v>60378.635840710202</v>
      </c>
      <c r="CH204" s="772">
        <f t="shared" ca="1" si="92"/>
        <v>59884.525282173083</v>
      </c>
      <c r="CI204" s="772">
        <f t="shared" ca="1" si="92"/>
        <v>59884.525282173083</v>
      </c>
      <c r="CJ204" s="772">
        <f t="shared" ca="1" si="92"/>
        <v>59345.780557407656</v>
      </c>
    </row>
    <row r="205" spans="1:88" ht="15" customHeight="1">
      <c r="A205" s="770">
        <f>'kc-Wert für Stützen'!C205</f>
        <v>257</v>
      </c>
      <c r="B205" s="768">
        <f ca="1">INDIRECT("'kc-Wert für Stützen'!"&amp;SUBSTITUTE(ADDRESS(MATCH($A205,'kc-Wert für Stützen'!$C:$C,0),MATCH(B$7,'kc-Wert für Stützen'!$A$8:$ES$8,0)+7,4),,))</f>
        <v>63150.299637701828</v>
      </c>
      <c r="C205" s="768">
        <f ca="1">INDIRECT("'kc-Wert für Stützen'!"&amp;SUBSTITUTE(ADDRESS(MATCH($A205,'kc-Wert für Stützen'!$C:$C,0),MATCH(C$7,'kc-Wert für Stützen'!$A$8:$ES$8,0)+7,4),,))</f>
        <v>62844.583114754423</v>
      </c>
      <c r="D205" s="768">
        <f ca="1">INDIRECT("'kc-Wert für Stützen'!"&amp;SUBSTITUTE(ADDRESS(MATCH($A205,'kc-Wert für Stützen'!$C:$C,0),MATCH(D$7,'kc-Wert für Stützen'!$A$8:$ES$8,0)+7,4),,))</f>
        <v>62516.084678627914</v>
      </c>
      <c r="E205" s="768">
        <f ca="1">INDIRECT("'kc-Wert für Stützen'!"&amp;SUBSTITUTE(ADDRESS(MATCH($A205,'kc-Wert für Stützen'!$C:$C,0),MATCH(E$7,'kc-Wert für Stützen'!$A$8:$ES$8,0)+7,4),,))</f>
        <v>62162.027523234581</v>
      </c>
      <c r="F205" s="768">
        <f ca="1">INDIRECT("'kc-Wert für Stützen'!"&amp;SUBSTITUTE(ADDRESS(MATCH($A205,'kc-Wert für Stützen'!$C:$C,0),MATCH(F$7,'kc-Wert für Stützen'!$A$8:$ES$8,0)+7,4),,))</f>
        <v>61779.322781341281</v>
      </c>
      <c r="G205" s="768">
        <f ca="1">INDIRECT("'kc-Wert für Stützen'!"&amp;SUBSTITUTE(ADDRESS(MATCH($A205,'kc-Wert für Stützen'!$C:$C,0),MATCH(G$7,'kc-Wert für Stützen'!$A$8:$ES$8,0)+7,4),,))</f>
        <v>61364.559132363625</v>
      </c>
      <c r="H205" s="768">
        <f ca="1">INDIRECT("'kc-Wert für Stützen'!"&amp;SUBSTITUTE(ADDRESS(MATCH($A205,'kc-Wert für Stützen'!$C:$C,0),MATCH(H$7,'kc-Wert für Stützen'!$A$8:$ES$8,0)+7,4),,))</f>
        <v>60914.008028805983</v>
      </c>
      <c r="I205" s="768">
        <f ca="1">INDIRECT("'kc-Wert für Stützen'!"&amp;SUBSTITUTE(ADDRESS(MATCH($A205,'kc-Wert für Stützen'!$C:$C,0),MATCH(I$7,'kc-Wert für Stützen'!$A$8:$ES$8,0)+7,4),,))</f>
        <v>60423.653225162256</v>
      </c>
      <c r="J205" s="768">
        <f ca="1">INDIRECT("'kc-Wert für Stützen'!"&amp;SUBSTITUTE(ADDRESS(MATCH($A205,'kc-Wert für Stützen'!$C:$C,0),MATCH(J$7,'kc-Wert für Stützen'!$A$8:$ES$8,0)+7,4),,))</f>
        <v>59889.255623657453</v>
      </c>
      <c r="K205" s="768">
        <f ca="1">INDIRECT("'kc-Wert für Stützen'!"&amp;SUBSTITUTE(ADDRESS(MATCH($A205,'kc-Wert für Stützen'!$C:$C,0),MATCH(K$7,'kc-Wert für Stützen'!$A$8:$ES$8,0)+7,4),,))</f>
        <v>59306.466173041597</v>
      </c>
      <c r="L205" s="768">
        <f ca="1">INDIRECT("'kc-Wert für Stützen'!"&amp;SUBSTITUTE(ADDRESS(MATCH($A205,'kc-Wert für Stützen'!$C:$C,0),MATCH(L$7,'kc-Wert für Stützen'!$A$8:$ES$8,0)+7,4),,))</f>
        <v>58670.99949622625</v>
      </c>
      <c r="M205" s="768">
        <f ca="1">INDIRECT("'kc-Wert für Stützen'!"&amp;SUBSTITUTE(ADDRESS(MATCH($A205,'kc-Wert für Stützen'!$C:$C,0),MATCH(M$7,'kc-Wert für Stützen'!$A$8:$ES$8,0)+7,4),,))</f>
        <v>57978.877374576019</v>
      </c>
      <c r="N205" s="768">
        <f ca="1">INDIRECT("'kc-Wert für Stützen'!"&amp;SUBSTITUTE(ADDRESS(MATCH($A205,'kc-Wert für Stützen'!$C:$C,0),MATCH(N$7,'kc-Wert für Stützen'!$A$8:$ES$8,0)+7,4),,))</f>
        <v>57226.742268315757</v>
      </c>
      <c r="O205" s="768">
        <f ca="1">INDIRECT("'kc-Wert für Stützen'!"&amp;SUBSTITUTE(ADDRESS(MATCH($A205,'kc-Wert für Stützen'!$C:$C,0),MATCH(O$7,'kc-Wert für Stützen'!$A$8:$ES$8,0)+7,4),,))</f>
        <v>56412.225509674136</v>
      </c>
      <c r="P205" s="768">
        <f ca="1">INDIRECT("'kc-Wert für Stützen'!"&amp;SUBSTITUTE(ADDRESS(MATCH($A205,'kc-Wert für Stützen'!$C:$C,0),MATCH(P$7,'kc-Wert für Stützen'!$A$8:$ES$8,0)+7,4),,))</f>
        <v>55534.333760828194</v>
      </c>
      <c r="S205" s="772">
        <f t="shared" ca="1" si="91"/>
        <v>62516.084678627914</v>
      </c>
      <c r="T205" s="772">
        <f t="shared" ca="1" si="82"/>
        <v>62516.084678627914</v>
      </c>
      <c r="U205" s="772">
        <f t="shared" ca="1" si="82"/>
        <v>62516.084678627914</v>
      </c>
      <c r="V205" s="772">
        <f t="shared" ca="1" si="82"/>
        <v>62162.027523234581</v>
      </c>
      <c r="W205" s="772">
        <f t="shared" ca="1" si="82"/>
        <v>61779.322781341281</v>
      </c>
      <c r="X205" s="772">
        <f t="shared" ca="1" si="82"/>
        <v>61364.559132363625</v>
      </c>
      <c r="Y205" s="772">
        <f t="shared" ca="1" si="82"/>
        <v>60914.008028805983</v>
      </c>
      <c r="Z205" s="772">
        <f t="shared" ca="1" si="82"/>
        <v>62516.084678627914</v>
      </c>
      <c r="AA205" s="772">
        <f t="shared" ca="1" si="82"/>
        <v>62516.084678627914</v>
      </c>
      <c r="AB205" s="772">
        <f t="shared" ca="1" si="85"/>
        <v>62162.027523234581</v>
      </c>
      <c r="AC205" s="772">
        <f t="shared" ca="1" si="85"/>
        <v>62162.027523234581</v>
      </c>
      <c r="AD205" s="772">
        <f t="shared" ca="1" si="85"/>
        <v>61779.322781341281</v>
      </c>
      <c r="AE205" s="772">
        <f t="shared" ca="1" si="85"/>
        <v>61779.322781341281</v>
      </c>
      <c r="AF205" s="772">
        <f t="shared" ca="1" si="85"/>
        <v>61364.559132363625</v>
      </c>
      <c r="AG205" s="772">
        <f t="shared" ca="1" si="85"/>
        <v>61364.559132363625</v>
      </c>
      <c r="AH205" s="772">
        <f t="shared" ca="1" si="85"/>
        <v>61364.559132363625</v>
      </c>
      <c r="AI205" s="772">
        <f t="shared" ca="1" si="85"/>
        <v>62516.084678627914</v>
      </c>
      <c r="AJ205" s="772">
        <f t="shared" ca="1" si="85"/>
        <v>62516.084678627914</v>
      </c>
      <c r="AK205" s="772">
        <f t="shared" ca="1" si="85"/>
        <v>62162.027523234581</v>
      </c>
      <c r="AL205" s="772">
        <f t="shared" ca="1" si="85"/>
        <v>62162.027523234581</v>
      </c>
      <c r="AM205" s="772">
        <f t="shared" ca="1" si="85"/>
        <v>61779.322781341281</v>
      </c>
      <c r="AN205" s="772">
        <f t="shared" ca="1" si="85"/>
        <v>61779.322781341281</v>
      </c>
      <c r="AO205" s="772">
        <f t="shared" ca="1" si="85"/>
        <v>61364.559132363625</v>
      </c>
      <c r="AP205" s="772">
        <f t="shared" ca="1" si="85"/>
        <v>61364.559132363625</v>
      </c>
      <c r="AQ205" s="772">
        <f t="shared" ca="1" si="85"/>
        <v>61364.559132363625</v>
      </c>
      <c r="AR205" s="772">
        <f t="shared" ca="1" si="88"/>
        <v>62516.084678627914</v>
      </c>
      <c r="AS205" s="772">
        <f t="shared" ca="1" si="88"/>
        <v>62516.084678627914</v>
      </c>
      <c r="AT205" s="772">
        <f t="shared" ca="1" si="88"/>
        <v>62162.027523234581</v>
      </c>
      <c r="AU205" s="772">
        <f t="shared" ca="1" si="88"/>
        <v>62162.027523234581</v>
      </c>
      <c r="AV205" s="772">
        <f t="shared" ca="1" si="88"/>
        <v>61779.322781341281</v>
      </c>
      <c r="AW205" s="772">
        <f t="shared" ca="1" si="88"/>
        <v>61779.322781341281</v>
      </c>
      <c r="AX205" s="772">
        <f t="shared" ca="1" si="88"/>
        <v>61364.559132363625</v>
      </c>
      <c r="AY205" s="772">
        <f t="shared" ca="1" si="88"/>
        <v>61364.559132363625</v>
      </c>
      <c r="AZ205" s="772">
        <f t="shared" ca="1" si="87"/>
        <v>61364.559132363625</v>
      </c>
      <c r="BA205" s="772">
        <f t="shared" ca="1" si="87"/>
        <v>62516.084678627914</v>
      </c>
      <c r="BB205" s="772">
        <f t="shared" ca="1" si="87"/>
        <v>62516.084678627914</v>
      </c>
      <c r="BC205" s="772">
        <f t="shared" ca="1" si="87"/>
        <v>62162.027523234581</v>
      </c>
      <c r="BD205" s="772">
        <f t="shared" ca="1" si="87"/>
        <v>61779.322781341281</v>
      </c>
      <c r="BE205" s="772">
        <f t="shared" ca="1" si="87"/>
        <v>61779.322781341281</v>
      </c>
      <c r="BF205" s="772">
        <f t="shared" ca="1" si="87"/>
        <v>61364.559132363625</v>
      </c>
      <c r="BG205" s="772">
        <f t="shared" ca="1" si="87"/>
        <v>61364.559132363625</v>
      </c>
      <c r="BH205" s="772">
        <f t="shared" ca="1" si="90"/>
        <v>60914.008028805983</v>
      </c>
      <c r="BI205" s="772">
        <f t="shared" ca="1" si="90"/>
        <v>60914.008028805983</v>
      </c>
      <c r="BJ205" s="772">
        <f t="shared" ca="1" si="90"/>
        <v>62162.027523234581</v>
      </c>
      <c r="BK205" s="772">
        <f t="shared" ca="1" si="90"/>
        <v>62162.027523234581</v>
      </c>
      <c r="BL205" s="772">
        <f t="shared" ca="1" si="90"/>
        <v>62162.027523234581</v>
      </c>
      <c r="BM205" s="772">
        <f t="shared" ca="1" si="90"/>
        <v>62162.027523234581</v>
      </c>
      <c r="BN205" s="772">
        <f t="shared" ca="1" si="90"/>
        <v>61364.559132363625</v>
      </c>
      <c r="BO205" s="772">
        <f t="shared" ca="1" si="90"/>
        <v>61364.559132363625</v>
      </c>
      <c r="BP205" s="772">
        <f t="shared" ca="1" si="90"/>
        <v>60914.008028805983</v>
      </c>
      <c r="BQ205" s="772">
        <f t="shared" ca="1" si="90"/>
        <v>60914.008028805983</v>
      </c>
      <c r="BR205" s="772">
        <f t="shared" ca="1" si="90"/>
        <v>60423.653225162256</v>
      </c>
      <c r="BS205" s="772">
        <f t="shared" ca="1" si="90"/>
        <v>62162.027523234581</v>
      </c>
      <c r="BT205" s="772">
        <f t="shared" ca="1" si="90"/>
        <v>62162.027523234581</v>
      </c>
      <c r="BU205" s="772">
        <f t="shared" ca="1" si="90"/>
        <v>62162.027523234581</v>
      </c>
      <c r="BV205" s="772">
        <f t="shared" ca="1" si="90"/>
        <v>61779.322781341281</v>
      </c>
      <c r="BW205" s="772">
        <f t="shared" ca="1" si="90"/>
        <v>61779.322781341281</v>
      </c>
      <c r="BX205" s="772">
        <f t="shared" ca="1" si="92"/>
        <v>60914.008028805983</v>
      </c>
      <c r="BY205" s="772">
        <f t="shared" ca="1" si="92"/>
        <v>60914.008028805983</v>
      </c>
      <c r="BZ205" s="772">
        <f t="shared" ca="1" si="92"/>
        <v>60423.653225162256</v>
      </c>
      <c r="CA205" s="772">
        <f t="shared" ca="1" si="92"/>
        <v>60423.653225162256</v>
      </c>
      <c r="CB205" s="772">
        <f t="shared" ca="1" si="92"/>
        <v>61779.322781341281</v>
      </c>
      <c r="CC205" s="772">
        <f t="shared" ca="1" si="92"/>
        <v>61779.322781341281</v>
      </c>
      <c r="CD205" s="772">
        <f t="shared" ca="1" si="92"/>
        <v>61779.322781341281</v>
      </c>
      <c r="CE205" s="772">
        <f t="shared" ca="1" si="92"/>
        <v>61779.322781341281</v>
      </c>
      <c r="CF205" s="772">
        <f t="shared" ca="1" si="92"/>
        <v>61364.559132363625</v>
      </c>
      <c r="CG205" s="772">
        <f t="shared" ca="1" si="92"/>
        <v>60914.008028805983</v>
      </c>
      <c r="CH205" s="772">
        <f t="shared" ca="1" si="92"/>
        <v>60423.653225162256</v>
      </c>
      <c r="CI205" s="772">
        <f t="shared" ca="1" si="92"/>
        <v>60423.653225162256</v>
      </c>
      <c r="CJ205" s="772">
        <f t="shared" ca="1" si="92"/>
        <v>59889.255623657453</v>
      </c>
    </row>
    <row r="206" spans="1:88" ht="15" customHeight="1">
      <c r="A206" s="770">
        <f>'kc-Wert für Stützen'!C206</f>
        <v>258</v>
      </c>
      <c r="B206" s="768">
        <f ca="1">INDIRECT("'kc-Wert für Stützen'!"&amp;SUBSTITUTE(ADDRESS(MATCH($A206,'kc-Wert für Stützen'!$C:$C,0),MATCH(B$7,'kc-Wert für Stützen'!$A$8:$ES$8,0)+7,4),,))</f>
        <v>63674.862422497848</v>
      </c>
      <c r="C206" s="768">
        <f ca="1">INDIRECT("'kc-Wert für Stützen'!"&amp;SUBSTITUTE(ADDRESS(MATCH($A206,'kc-Wert für Stützen'!$C:$C,0),MATCH(C$7,'kc-Wert für Stützen'!$A$8:$ES$8,0)+7,4),,))</f>
        <v>63370.325450139935</v>
      </c>
      <c r="D206" s="768">
        <f ca="1">INDIRECT("'kc-Wert für Stützen'!"&amp;SUBSTITUTE(ADDRESS(MATCH($A206,'kc-Wert für Stützen'!$C:$C,0),MATCH(D$7,'kc-Wert für Stützen'!$A$8:$ES$8,0)+7,4),,))</f>
        <v>63043.300167163077</v>
      </c>
      <c r="E206" s="768">
        <f ca="1">INDIRECT("'kc-Wert für Stützen'!"&amp;SUBSTITUTE(ADDRESS(MATCH($A206,'kc-Wert für Stützen'!$C:$C,0),MATCH(E$7,'kc-Wert für Stützen'!$A$8:$ES$8,0)+7,4),,))</f>
        <v>62691.054971179874</v>
      </c>
      <c r="F206" s="768">
        <f ca="1">INDIRECT("'kc-Wert für Stützen'!"&amp;SUBSTITUTE(ADDRESS(MATCH($A206,'kc-Wert für Stützen'!$C:$C,0),MATCH(F$7,'kc-Wert für Stützen'!$A$8:$ES$8,0)+7,4),,))</f>
        <v>62310.550495144264</v>
      </c>
      <c r="G206" s="768">
        <f ca="1">INDIRECT("'kc-Wert für Stützen'!"&amp;SUBSTITUTE(ADDRESS(MATCH($A206,'kc-Wert für Stützen'!$C:$C,0),MATCH(G$7,'kc-Wert für Stützen'!$A$8:$ES$8,0)+7,4),,))</f>
        <v>61898.427960095432</v>
      </c>
      <c r="H206" s="768">
        <f ca="1">INDIRECT("'kc-Wert für Stützen'!"&amp;SUBSTITUTE(ADDRESS(MATCH($A206,'kc-Wert für Stützen'!$C:$C,0),MATCH(H$7,'kc-Wert für Stützen'!$A$8:$ES$8,0)+7,4),,))</f>
        <v>61451.012030206235</v>
      </c>
      <c r="I206" s="768">
        <f ca="1">INDIRECT("'kc-Wert für Stützen'!"&amp;SUBSTITUTE(ADDRESS(MATCH($A206,'kc-Wert für Stützen'!$C:$C,0),MATCH(I$7,'kc-Wert für Stützen'!$A$8:$ES$8,0)+7,4),,))</f>
        <v>60964.336402616784</v>
      </c>
      <c r="J206" s="768">
        <f ca="1">INDIRECT("'kc-Wert für Stützen'!"&amp;SUBSTITUTE(ADDRESS(MATCH($A206,'kc-Wert für Stützen'!$C:$C,0),MATCH(J$7,'kc-Wert für Stützen'!$A$8:$ES$8,0)+7,4),,))</f>
        <v>60434.20266276272</v>
      </c>
      <c r="K206" s="768">
        <f ca="1">INDIRECT("'kc-Wert für Stützen'!"&amp;SUBSTITUTE(ADDRESS(MATCH($A206,'kc-Wert für Stützen'!$C:$C,0),MATCH(K$7,'kc-Wert für Stützen'!$A$8:$ES$8,0)+7,4),,))</f>
        <v>59856.284749334824</v>
      </c>
      <c r="L206" s="768">
        <f ca="1">INDIRECT("'kc-Wert für Stützen'!"&amp;SUBSTITUTE(ADDRESS(MATCH($A206,'kc-Wert für Stützen'!$C:$C,0),MATCH(L$7,'kc-Wert für Stützen'!$A$8:$ES$8,0)+7,4),,))</f>
        <v>59226.291632931228</v>
      </c>
      <c r="M206" s="768">
        <f ca="1">INDIRECT("'kc-Wert für Stützen'!"&amp;SUBSTITUTE(ADDRESS(MATCH($A206,'kc-Wert für Stützen'!$C:$C,0),MATCH(M$7,'kc-Wert für Stützen'!$A$8:$ES$8,0)+7,4),,))</f>
        <v>58540.197924845575</v>
      </c>
      <c r="N206" s="768">
        <f ca="1">INDIRECT("'kc-Wert für Stützen'!"&amp;SUBSTITUTE(ADDRESS(MATCH($A206,'kc-Wert für Stützen'!$C:$C,0),MATCH(N$7,'kc-Wert für Stützen'!$A$8:$ES$8,0)+7,4),,))</f>
        <v>57794.544230133994</v>
      </c>
      <c r="O206" s="768">
        <f ca="1">INDIRECT("'kc-Wert für Stützen'!"&amp;SUBSTITUTE(ADDRESS(MATCH($A206,'kc-Wert für Stützen'!$C:$C,0),MATCH(O$7,'kc-Wert für Stützen'!$A$8:$ES$8,0)+7,4),,))</f>
        <v>56986.794802999757</v>
      </c>
      <c r="P206" s="768">
        <f ca="1">INDIRECT("'kc-Wert für Stützen'!"&amp;SUBSTITUTE(ADDRESS(MATCH($A206,'kc-Wert für Stützen'!$C:$C,0),MATCH(P$7,'kc-Wert für Stützen'!$A$8:$ES$8,0)+7,4),,))</f>
        <v>56115.720081837564</v>
      </c>
      <c r="S206" s="772">
        <f t="shared" ca="1" si="91"/>
        <v>63043.300167163077</v>
      </c>
      <c r="T206" s="772">
        <f t="shared" ca="1" si="82"/>
        <v>63043.300167163077</v>
      </c>
      <c r="U206" s="772">
        <f t="shared" ca="1" si="82"/>
        <v>63043.300167163077</v>
      </c>
      <c r="V206" s="772">
        <f t="shared" ca="1" si="82"/>
        <v>62691.054971179874</v>
      </c>
      <c r="W206" s="772">
        <f t="shared" ca="1" si="82"/>
        <v>62310.550495144264</v>
      </c>
      <c r="X206" s="772">
        <f t="shared" ca="1" si="82"/>
        <v>61898.427960095432</v>
      </c>
      <c r="Y206" s="772">
        <f t="shared" ca="1" si="82"/>
        <v>61451.012030206235</v>
      </c>
      <c r="Z206" s="772">
        <f t="shared" ca="1" si="82"/>
        <v>63043.300167163077</v>
      </c>
      <c r="AA206" s="772">
        <f t="shared" ca="1" si="82"/>
        <v>63043.300167163077</v>
      </c>
      <c r="AB206" s="772">
        <f t="shared" ca="1" si="85"/>
        <v>62691.054971179874</v>
      </c>
      <c r="AC206" s="772">
        <f t="shared" ca="1" si="85"/>
        <v>62691.054971179874</v>
      </c>
      <c r="AD206" s="772">
        <f t="shared" ca="1" si="85"/>
        <v>62310.550495144264</v>
      </c>
      <c r="AE206" s="772">
        <f t="shared" ca="1" si="85"/>
        <v>62310.550495144264</v>
      </c>
      <c r="AF206" s="772">
        <f t="shared" ca="1" si="85"/>
        <v>61898.427960095432</v>
      </c>
      <c r="AG206" s="772">
        <f t="shared" ca="1" si="85"/>
        <v>61898.427960095432</v>
      </c>
      <c r="AH206" s="772">
        <f t="shared" ca="1" si="85"/>
        <v>61898.427960095432</v>
      </c>
      <c r="AI206" s="772">
        <f t="shared" ca="1" si="85"/>
        <v>63043.300167163077</v>
      </c>
      <c r="AJ206" s="772">
        <f t="shared" ca="1" si="85"/>
        <v>63043.300167163077</v>
      </c>
      <c r="AK206" s="772">
        <f t="shared" ca="1" si="85"/>
        <v>62691.054971179874</v>
      </c>
      <c r="AL206" s="772">
        <f t="shared" ca="1" si="85"/>
        <v>62691.054971179874</v>
      </c>
      <c r="AM206" s="772">
        <f t="shared" ca="1" si="85"/>
        <v>62310.550495144264</v>
      </c>
      <c r="AN206" s="772">
        <f t="shared" ca="1" si="85"/>
        <v>62310.550495144264</v>
      </c>
      <c r="AO206" s="772">
        <f t="shared" ca="1" si="85"/>
        <v>61898.427960095432</v>
      </c>
      <c r="AP206" s="772">
        <f t="shared" ca="1" si="85"/>
        <v>61898.427960095432</v>
      </c>
      <c r="AQ206" s="772">
        <f t="shared" ca="1" si="85"/>
        <v>61898.427960095432</v>
      </c>
      <c r="AR206" s="772">
        <f t="shared" ca="1" si="88"/>
        <v>63043.300167163077</v>
      </c>
      <c r="AS206" s="772">
        <f t="shared" ca="1" si="88"/>
        <v>63043.300167163077</v>
      </c>
      <c r="AT206" s="772">
        <f t="shared" ca="1" si="88"/>
        <v>62691.054971179874</v>
      </c>
      <c r="AU206" s="772">
        <f t="shared" ca="1" si="88"/>
        <v>62691.054971179874</v>
      </c>
      <c r="AV206" s="772">
        <f t="shared" ca="1" si="88"/>
        <v>62310.550495144264</v>
      </c>
      <c r="AW206" s="772">
        <f t="shared" ca="1" si="88"/>
        <v>62310.550495144264</v>
      </c>
      <c r="AX206" s="772">
        <f t="shared" ca="1" si="88"/>
        <v>61898.427960095432</v>
      </c>
      <c r="AY206" s="772">
        <f t="shared" ca="1" si="88"/>
        <v>61898.427960095432</v>
      </c>
      <c r="AZ206" s="772">
        <f t="shared" ca="1" si="87"/>
        <v>61898.427960095432</v>
      </c>
      <c r="BA206" s="772">
        <f t="shared" ca="1" si="87"/>
        <v>63043.300167163077</v>
      </c>
      <c r="BB206" s="772">
        <f t="shared" ca="1" si="87"/>
        <v>63043.300167163077</v>
      </c>
      <c r="BC206" s="772">
        <f t="shared" ca="1" si="87"/>
        <v>62691.054971179874</v>
      </c>
      <c r="BD206" s="772">
        <f t="shared" ca="1" si="87"/>
        <v>62310.550495144264</v>
      </c>
      <c r="BE206" s="772">
        <f t="shared" ca="1" si="87"/>
        <v>62310.550495144264</v>
      </c>
      <c r="BF206" s="772">
        <f t="shared" ca="1" si="87"/>
        <v>61898.427960095432</v>
      </c>
      <c r="BG206" s="772">
        <f t="shared" ca="1" si="87"/>
        <v>61898.427960095432</v>
      </c>
      <c r="BH206" s="772">
        <f t="shared" ca="1" si="90"/>
        <v>61451.012030206235</v>
      </c>
      <c r="BI206" s="772">
        <f t="shared" ca="1" si="90"/>
        <v>61451.012030206235</v>
      </c>
      <c r="BJ206" s="772">
        <f t="shared" ca="1" si="90"/>
        <v>62691.054971179874</v>
      </c>
      <c r="BK206" s="772">
        <f t="shared" ca="1" si="90"/>
        <v>62691.054971179874</v>
      </c>
      <c r="BL206" s="772">
        <f t="shared" ca="1" si="90"/>
        <v>62691.054971179874</v>
      </c>
      <c r="BM206" s="772">
        <f t="shared" ca="1" si="90"/>
        <v>62691.054971179874</v>
      </c>
      <c r="BN206" s="772">
        <f t="shared" ca="1" si="90"/>
        <v>61898.427960095432</v>
      </c>
      <c r="BO206" s="772">
        <f t="shared" ca="1" si="90"/>
        <v>61898.427960095432</v>
      </c>
      <c r="BP206" s="772">
        <f t="shared" ca="1" si="90"/>
        <v>61451.012030206235</v>
      </c>
      <c r="BQ206" s="772">
        <f t="shared" ca="1" si="90"/>
        <v>61451.012030206235</v>
      </c>
      <c r="BR206" s="772">
        <f t="shared" ca="1" si="90"/>
        <v>60964.336402616784</v>
      </c>
      <c r="BS206" s="772">
        <f t="shared" ca="1" si="90"/>
        <v>62691.054971179874</v>
      </c>
      <c r="BT206" s="772">
        <f t="shared" ca="1" si="90"/>
        <v>62691.054971179874</v>
      </c>
      <c r="BU206" s="772">
        <f t="shared" ca="1" si="90"/>
        <v>62691.054971179874</v>
      </c>
      <c r="BV206" s="772">
        <f t="shared" ca="1" si="90"/>
        <v>62310.550495144264</v>
      </c>
      <c r="BW206" s="772">
        <f t="shared" ca="1" si="90"/>
        <v>62310.550495144264</v>
      </c>
      <c r="BX206" s="772">
        <f t="shared" ca="1" si="92"/>
        <v>61451.012030206235</v>
      </c>
      <c r="BY206" s="772">
        <f t="shared" ca="1" si="92"/>
        <v>61451.012030206235</v>
      </c>
      <c r="BZ206" s="772">
        <f t="shared" ca="1" si="92"/>
        <v>60964.336402616784</v>
      </c>
      <c r="CA206" s="772">
        <f t="shared" ca="1" si="92"/>
        <v>60964.336402616784</v>
      </c>
      <c r="CB206" s="772">
        <f t="shared" ca="1" si="92"/>
        <v>62310.550495144264</v>
      </c>
      <c r="CC206" s="772">
        <f t="shared" ca="1" si="92"/>
        <v>62310.550495144264</v>
      </c>
      <c r="CD206" s="772">
        <f t="shared" ca="1" si="92"/>
        <v>62310.550495144264</v>
      </c>
      <c r="CE206" s="772">
        <f t="shared" ca="1" si="92"/>
        <v>62310.550495144264</v>
      </c>
      <c r="CF206" s="772">
        <f t="shared" ca="1" si="92"/>
        <v>61898.427960095432</v>
      </c>
      <c r="CG206" s="772">
        <f t="shared" ca="1" si="92"/>
        <v>61451.012030206235</v>
      </c>
      <c r="CH206" s="772">
        <f t="shared" ca="1" si="92"/>
        <v>60964.336402616784</v>
      </c>
      <c r="CI206" s="772">
        <f t="shared" ca="1" si="92"/>
        <v>60964.336402616784</v>
      </c>
      <c r="CJ206" s="772">
        <f t="shared" ca="1" si="92"/>
        <v>60434.20266276272</v>
      </c>
    </row>
    <row r="207" spans="1:88" ht="15" customHeight="1">
      <c r="A207" s="770">
        <f>'kc-Wert für Stützen'!C207</f>
        <v>259</v>
      </c>
      <c r="B207" s="768">
        <f ca="1">INDIRECT("'kc-Wert für Stützen'!"&amp;SUBSTITUTE(ADDRESS(MATCH($A207,'kc-Wert für Stützen'!$C:$C,0),MATCH(B$7,'kc-Wert für Stützen'!$A$8:$ES$8,0)+7,4),,))</f>
        <v>64201.35001643702</v>
      </c>
      <c r="C207" s="768">
        <f ca="1">INDIRECT("'kc-Wert für Stützen'!"&amp;SUBSTITUTE(ADDRESS(MATCH($A207,'kc-Wert für Stützen'!$C:$C,0),MATCH(C$7,'kc-Wert für Stützen'!$A$8:$ES$8,0)+7,4),,))</f>
        <v>63897.962772952298</v>
      </c>
      <c r="D207" s="768">
        <f ca="1">INDIRECT("'kc-Wert für Stützen'!"&amp;SUBSTITUTE(ADDRESS(MATCH($A207,'kc-Wert für Stützen'!$C:$C,0),MATCH(D$7,'kc-Wert für Stützen'!$A$8:$ES$8,0)+7,4),,))</f>
        <v>63572.374925469201</v>
      </c>
      <c r="E207" s="768">
        <f ca="1">INDIRECT("'kc-Wert für Stützen'!"&amp;SUBSTITUTE(ADDRESS(MATCH($A207,'kc-Wert für Stützen'!$C:$C,0),MATCH(E$7,'kc-Wert für Stützen'!$A$8:$ES$8,0)+7,4),,))</f>
        <v>63221.899197237966</v>
      </c>
      <c r="F207" s="768">
        <f ca="1">INDIRECT("'kc-Wert für Stützen'!"&amp;SUBSTITUTE(ADDRESS(MATCH($A207,'kc-Wert für Stützen'!$C:$C,0),MATCH(F$7,'kc-Wert für Stützen'!$A$8:$ES$8,0)+7,4),,))</f>
        <v>62843.54488463782</v>
      </c>
      <c r="G207" s="768">
        <f ca="1">INDIRECT("'kc-Wert für Stützen'!"&amp;SUBSTITUTE(ADDRESS(MATCH($A207,'kc-Wert für Stützen'!$C:$C,0),MATCH(G$7,'kc-Wert für Stützen'!$A$8:$ES$8,0)+7,4),,))</f>
        <v>62434.005078738825</v>
      </c>
      <c r="H207" s="768">
        <f ca="1">INDIRECT("'kc-Wert für Stützen'!"&amp;SUBSTITUTE(ADDRESS(MATCH($A207,'kc-Wert für Stützen'!$C:$C,0),MATCH(H$7,'kc-Wert für Stützen'!$A$8:$ES$8,0)+7,4),,))</f>
        <v>61989.657342486287</v>
      </c>
      <c r="I207" s="768">
        <f ca="1">INDIRECT("'kc-Wert für Stützen'!"&amp;SUBSTITUTE(ADDRESS(MATCH($A207,'kc-Wert für Stützen'!$C:$C,0),MATCH(I$7,'kc-Wert für Stützen'!$A$8:$ES$8,0)+7,4),,))</f>
        <v>61506.585643254002</v>
      </c>
      <c r="J207" s="768">
        <f ca="1">INDIRECT("'kc-Wert für Stützen'!"&amp;SUBSTITUTE(ADDRESS(MATCH($A207,'kc-Wert für Stützen'!$C:$C,0),MATCH(J$7,'kc-Wert für Stützen'!$A$8:$ES$8,0)+7,4),,))</f>
        <v>60980.633597802444</v>
      </c>
      <c r="K207" s="768">
        <f ca="1">INDIRECT("'kc-Wert für Stützen'!"&amp;SUBSTITUTE(ADDRESS(MATCH($A207,'kc-Wert für Stützen'!$C:$C,0),MATCH(K$7,'kc-Wert für Stützen'!$A$8:$ES$8,0)+7,4),,))</f>
        <v>60407.500968463079</v>
      </c>
      <c r="L207" s="768">
        <f ca="1">INDIRECT("'kc-Wert für Stützen'!"&amp;SUBSTITUTE(ADDRESS(MATCH($A207,'kc-Wert für Stützen'!$C:$C,0),MATCH(L$7,'kc-Wert für Stützen'!$A$8:$ES$8,0)+7,4),,))</f>
        <v>59782.895884961043</v>
      </c>
      <c r="M207" s="768">
        <f ca="1">INDIRECT("'kc-Wert für Stützen'!"&amp;SUBSTITUTE(ADDRESS(MATCH($A207,'kc-Wert für Stützen'!$C:$C,0),MATCH(M$7,'kc-Wert für Stützen'!$A$8:$ES$8,0)+7,4),,))</f>
        <v>59102.752971292233</v>
      </c>
      <c r="N207" s="768">
        <f ca="1">INDIRECT("'kc-Wert für Stützen'!"&amp;SUBSTITUTE(ADDRESS(MATCH($A207,'kc-Wert für Stützen'!$C:$C,0),MATCH(N$7,'kc-Wert für Stützen'!$A$8:$ES$8,0)+7,4),,))</f>
        <v>58363.520623504322</v>
      </c>
      <c r="O207" s="768">
        <f ca="1">INDIRECT("'kc-Wert für Stützen'!"&amp;SUBSTITUTE(ADDRESS(MATCH($A207,'kc-Wert für Stützen'!$C:$C,0),MATCH(O$7,'kc-Wert für Stützen'!$A$8:$ES$8,0)+7,4),,))</f>
        <v>57562.507667412188</v>
      </c>
      <c r="P207" s="768">
        <f ca="1">INDIRECT("'kc-Wert für Stützen'!"&amp;SUBSTITUTE(ADDRESS(MATCH($A207,'kc-Wert für Stützen'!$C:$C,0),MATCH(P$7,'kc-Wert für Stützen'!$A$8:$ES$8,0)+7,4),,))</f>
        <v>56698.260755408846</v>
      </c>
      <c r="S207" s="772">
        <f t="shared" ca="1" si="91"/>
        <v>63572.374925469201</v>
      </c>
      <c r="T207" s="772">
        <f t="shared" ca="1" si="82"/>
        <v>63572.374925469201</v>
      </c>
      <c r="U207" s="772">
        <f t="shared" ca="1" si="82"/>
        <v>63572.374925469201</v>
      </c>
      <c r="V207" s="772">
        <f t="shared" ca="1" si="82"/>
        <v>63221.899197237966</v>
      </c>
      <c r="W207" s="772">
        <f t="shared" ca="1" si="82"/>
        <v>62843.54488463782</v>
      </c>
      <c r="X207" s="772">
        <f t="shared" ca="1" si="82"/>
        <v>62434.005078738825</v>
      </c>
      <c r="Y207" s="772">
        <f t="shared" ca="1" si="82"/>
        <v>61989.657342486287</v>
      </c>
      <c r="Z207" s="772">
        <f t="shared" ca="1" si="82"/>
        <v>63572.374925469201</v>
      </c>
      <c r="AA207" s="772">
        <f t="shared" ca="1" si="82"/>
        <v>63572.374925469201</v>
      </c>
      <c r="AB207" s="772">
        <f t="shared" ca="1" si="85"/>
        <v>63221.899197237966</v>
      </c>
      <c r="AC207" s="772">
        <f t="shared" ca="1" si="85"/>
        <v>63221.899197237966</v>
      </c>
      <c r="AD207" s="772">
        <f t="shared" ca="1" si="85"/>
        <v>62843.54488463782</v>
      </c>
      <c r="AE207" s="772">
        <f t="shared" ca="1" si="85"/>
        <v>62843.54488463782</v>
      </c>
      <c r="AF207" s="772">
        <f t="shared" ca="1" si="85"/>
        <v>62434.005078738825</v>
      </c>
      <c r="AG207" s="772">
        <f t="shared" ca="1" si="85"/>
        <v>62434.005078738825</v>
      </c>
      <c r="AH207" s="772">
        <f t="shared" ca="1" si="85"/>
        <v>62434.005078738825</v>
      </c>
      <c r="AI207" s="772">
        <f t="shared" ca="1" si="85"/>
        <v>63572.374925469201</v>
      </c>
      <c r="AJ207" s="772">
        <f t="shared" ca="1" si="85"/>
        <v>63572.374925469201</v>
      </c>
      <c r="AK207" s="772">
        <f t="shared" ca="1" si="85"/>
        <v>63221.899197237966</v>
      </c>
      <c r="AL207" s="772">
        <f t="shared" ca="1" si="85"/>
        <v>63221.899197237966</v>
      </c>
      <c r="AM207" s="772">
        <f t="shared" ca="1" si="85"/>
        <v>62843.54488463782</v>
      </c>
      <c r="AN207" s="772">
        <f t="shared" ca="1" si="85"/>
        <v>62843.54488463782</v>
      </c>
      <c r="AO207" s="772">
        <f t="shared" ca="1" si="85"/>
        <v>62434.005078738825</v>
      </c>
      <c r="AP207" s="772">
        <f t="shared" ca="1" si="85"/>
        <v>62434.005078738825</v>
      </c>
      <c r="AQ207" s="772">
        <f t="shared" ca="1" si="85"/>
        <v>62434.005078738825</v>
      </c>
      <c r="AR207" s="772">
        <f t="shared" ca="1" si="88"/>
        <v>63572.374925469201</v>
      </c>
      <c r="AS207" s="772">
        <f t="shared" ca="1" si="88"/>
        <v>63572.374925469201</v>
      </c>
      <c r="AT207" s="772">
        <f t="shared" ca="1" si="88"/>
        <v>63221.899197237966</v>
      </c>
      <c r="AU207" s="772">
        <f t="shared" ca="1" si="88"/>
        <v>63221.899197237966</v>
      </c>
      <c r="AV207" s="772">
        <f t="shared" ca="1" si="88"/>
        <v>62843.54488463782</v>
      </c>
      <c r="AW207" s="772">
        <f t="shared" ca="1" si="88"/>
        <v>62843.54488463782</v>
      </c>
      <c r="AX207" s="772">
        <f t="shared" ca="1" si="88"/>
        <v>62434.005078738825</v>
      </c>
      <c r="AY207" s="772">
        <f t="shared" ca="1" si="88"/>
        <v>62434.005078738825</v>
      </c>
      <c r="AZ207" s="772">
        <f t="shared" ca="1" si="87"/>
        <v>62434.005078738825</v>
      </c>
      <c r="BA207" s="772">
        <f t="shared" ca="1" si="87"/>
        <v>63572.374925469201</v>
      </c>
      <c r="BB207" s="772">
        <f t="shared" ca="1" si="87"/>
        <v>63572.374925469201</v>
      </c>
      <c r="BC207" s="772">
        <f t="shared" ca="1" si="87"/>
        <v>63221.899197237966</v>
      </c>
      <c r="BD207" s="772">
        <f t="shared" ca="1" si="87"/>
        <v>62843.54488463782</v>
      </c>
      <c r="BE207" s="772">
        <f t="shared" ca="1" si="87"/>
        <v>62843.54488463782</v>
      </c>
      <c r="BF207" s="772">
        <f t="shared" ca="1" si="87"/>
        <v>62434.005078738825</v>
      </c>
      <c r="BG207" s="772">
        <f t="shared" ca="1" si="87"/>
        <v>62434.005078738825</v>
      </c>
      <c r="BH207" s="772">
        <f t="shared" ca="1" si="90"/>
        <v>61989.657342486287</v>
      </c>
      <c r="BI207" s="772">
        <f t="shared" ca="1" si="90"/>
        <v>61989.657342486287</v>
      </c>
      <c r="BJ207" s="772">
        <f t="shared" ca="1" si="90"/>
        <v>63221.899197237966</v>
      </c>
      <c r="BK207" s="772">
        <f t="shared" ca="1" si="90"/>
        <v>63221.899197237966</v>
      </c>
      <c r="BL207" s="772">
        <f t="shared" ca="1" si="90"/>
        <v>63221.899197237966</v>
      </c>
      <c r="BM207" s="772">
        <f t="shared" ca="1" si="90"/>
        <v>63221.899197237966</v>
      </c>
      <c r="BN207" s="772">
        <f t="shared" ca="1" si="90"/>
        <v>62434.005078738825</v>
      </c>
      <c r="BO207" s="772">
        <f t="shared" ca="1" si="90"/>
        <v>62434.005078738825</v>
      </c>
      <c r="BP207" s="772">
        <f t="shared" ca="1" si="90"/>
        <v>61989.657342486287</v>
      </c>
      <c r="BQ207" s="772">
        <f t="shared" ca="1" si="90"/>
        <v>61989.657342486287</v>
      </c>
      <c r="BR207" s="772">
        <f t="shared" ca="1" si="90"/>
        <v>61506.585643254002</v>
      </c>
      <c r="BS207" s="772">
        <f t="shared" ca="1" si="90"/>
        <v>63221.899197237966</v>
      </c>
      <c r="BT207" s="772">
        <f t="shared" ca="1" si="90"/>
        <v>63221.899197237966</v>
      </c>
      <c r="BU207" s="772">
        <f t="shared" ca="1" si="90"/>
        <v>63221.899197237966</v>
      </c>
      <c r="BV207" s="772">
        <f t="shared" ca="1" si="90"/>
        <v>62843.54488463782</v>
      </c>
      <c r="BW207" s="772">
        <f t="shared" ca="1" si="90"/>
        <v>62843.54488463782</v>
      </c>
      <c r="BX207" s="772">
        <f t="shared" ca="1" si="92"/>
        <v>61989.657342486287</v>
      </c>
      <c r="BY207" s="772">
        <f t="shared" ca="1" si="92"/>
        <v>61989.657342486287</v>
      </c>
      <c r="BZ207" s="772">
        <f t="shared" ca="1" si="92"/>
        <v>61506.585643254002</v>
      </c>
      <c r="CA207" s="772">
        <f t="shared" ca="1" si="92"/>
        <v>61506.585643254002</v>
      </c>
      <c r="CB207" s="772">
        <f t="shared" ca="1" si="92"/>
        <v>62843.54488463782</v>
      </c>
      <c r="CC207" s="772">
        <f t="shared" ca="1" si="92"/>
        <v>62843.54488463782</v>
      </c>
      <c r="CD207" s="772">
        <f t="shared" ca="1" si="92"/>
        <v>62843.54488463782</v>
      </c>
      <c r="CE207" s="772">
        <f t="shared" ca="1" si="92"/>
        <v>62843.54488463782</v>
      </c>
      <c r="CF207" s="772">
        <f t="shared" ca="1" si="92"/>
        <v>62434.005078738825</v>
      </c>
      <c r="CG207" s="772">
        <f t="shared" ca="1" si="92"/>
        <v>61989.657342486287</v>
      </c>
      <c r="CH207" s="772">
        <f t="shared" ca="1" si="92"/>
        <v>61506.585643254002</v>
      </c>
      <c r="CI207" s="772">
        <f t="shared" ca="1" si="92"/>
        <v>61506.585643254002</v>
      </c>
      <c r="CJ207" s="772">
        <f t="shared" ca="1" si="92"/>
        <v>60980.633597802444</v>
      </c>
    </row>
    <row r="208" spans="1:88" ht="15" customHeight="1">
      <c r="A208" s="770">
        <f>'kc-Wert für Stützen'!C208</f>
        <v>260</v>
      </c>
      <c r="B208" s="768">
        <f ca="1">INDIRECT("'kc-Wert für Stützen'!"&amp;SUBSTITUTE(ADDRESS(MATCH($A208,'kc-Wert für Stützen'!$C:$C,0),MATCH(B$7,'kc-Wert für Stützen'!$A$8:$ES$8,0)+7,4),,))</f>
        <v>64729.765326572706</v>
      </c>
      <c r="C208" s="768">
        <f ca="1">INDIRECT("'kc-Wert für Stützen'!"&amp;SUBSTITUTE(ADDRESS(MATCH($A208,'kc-Wert für Stützen'!$C:$C,0),MATCH(C$7,'kc-Wert für Stützen'!$A$8:$ES$8,0)+7,4),,))</f>
        <v>64427.498699428055</v>
      </c>
      <c r="D208" s="768">
        <f ca="1">INDIRECT("'kc-Wert für Stützen'!"&amp;SUBSTITUTE(ADDRESS(MATCH($A208,'kc-Wert für Stützen'!$C:$C,0),MATCH(D$7,'kc-Wert für Stützen'!$A$8:$ES$8,0)+7,4),,))</f>
        <v>64103.313420971594</v>
      </c>
      <c r="E208" s="768">
        <f ca="1">INDIRECT("'kc-Wert für Stützen'!"&amp;SUBSTITUTE(ADDRESS(MATCH($A208,'kc-Wert für Stützen'!$C:$C,0),MATCH(E$7,'kc-Wert für Stützen'!$A$8:$ES$8,0)+7,4),,))</f>
        <v>63754.565672807941</v>
      </c>
      <c r="F208" s="768">
        <f ca="1">INDIRECT("'kc-Wert für Stützen'!"&amp;SUBSTITUTE(ADDRESS(MATCH($A208,'kc-Wert für Stützen'!$C:$C,0),MATCH(F$7,'kc-Wert für Stützen'!$A$8:$ES$8,0)+7,4),,))</f>
        <v>63378.312577487435</v>
      </c>
      <c r="G208" s="768">
        <f ca="1">INDIRECT("'kc-Wert für Stützen'!"&amp;SUBSTITUTE(ADDRESS(MATCH($A208,'kc-Wert für Stützen'!$C:$C,0),MATCH(G$7,'kc-Wert für Stützen'!$A$8:$ES$8,0)+7,4),,))</f>
        <v>62971.298403577464</v>
      </c>
      <c r="H208" s="768">
        <f ca="1">INDIRECT("'kc-Wert für Stützen'!"&amp;SUBSTITUTE(ADDRESS(MATCH($A208,'kc-Wert für Stützen'!$C:$C,0),MATCH(H$7,'kc-Wert für Stützen'!$A$8:$ES$8,0)+7,4),,))</f>
        <v>62529.953245425269</v>
      </c>
      <c r="I208" s="768">
        <f ca="1">INDIRECT("'kc-Wert für Stützen'!"&amp;SUBSTITUTE(ADDRESS(MATCH($A208,'kc-Wert für Stützen'!$C:$C,0),MATCH(I$7,'kc-Wert für Stützen'!$A$8:$ES$8,0)+7,4),,))</f>
        <v>62050.411563114008</v>
      </c>
      <c r="J208" s="768">
        <f ca="1">INDIRECT("'kc-Wert für Stützen'!"&amp;SUBSTITUTE(ADDRESS(MATCH($A208,'kc-Wert für Stützen'!$C:$C,0),MATCH(J$7,'kc-Wert für Stützen'!$A$8:$ES$8,0)+7,4),,))</f>
        <v>61528.56017742426</v>
      </c>
      <c r="K208" s="768">
        <f ca="1">INDIRECT("'kc-Wert für Stützen'!"&amp;SUBSTITUTE(ADDRESS(MATCH($A208,'kc-Wert für Stützen'!$C:$C,0),MATCH(K$7,'kc-Wert für Stützen'!$A$8:$ES$8,0)+7,4),,))</f>
        <v>60960.127244441675</v>
      </c>
      <c r="L208" s="768">
        <f ca="1">INDIRECT("'kc-Wert für Stützen'!"&amp;SUBSTITUTE(ADDRESS(MATCH($A208,'kc-Wert für Stützen'!$C:$C,0),MATCH(L$7,'kc-Wert für Stützen'!$A$8:$ES$8,0)+7,4),,))</f>
        <v>60340.824505411641</v>
      </c>
      <c r="M208" s="768">
        <f ca="1">INDIRECT("'kc-Wert für Stützen'!"&amp;SUBSTITUTE(ADDRESS(MATCH($A208,'kc-Wert für Stützen'!$C:$C,0),MATCH(M$7,'kc-Wert für Stützen'!$A$8:$ES$8,0)+7,4),,))</f>
        <v>59666.553342068219</v>
      </c>
      <c r="N208" s="768">
        <f ca="1">INDIRECT("'kc-Wert für Stützen'!"&amp;SUBSTITUTE(ADDRESS(MATCH($A208,'kc-Wert für Stützen'!$C:$C,0),MATCH(N$7,'kc-Wert für Stützen'!$A$8:$ES$8,0)+7,4),,))</f>
        <v>58933.679127439078</v>
      </c>
      <c r="O208" s="768">
        <f ca="1">INDIRECT("'kc-Wert für Stützen'!"&amp;SUBSTITUTE(ADDRESS(MATCH($A208,'kc-Wert für Stützen'!$C:$C,0),MATCH(O$7,'kc-Wert für Stützen'!$A$8:$ES$8,0)+7,4),,))</f>
        <v>58139.366530876141</v>
      </c>
      <c r="P208" s="768">
        <f ca="1">INDIRECT("'kc-Wert für Stützen'!"&amp;SUBSTITUTE(ADDRESS(MATCH($A208,'kc-Wert für Stützen'!$C:$C,0),MATCH(P$7,'kc-Wert für Stützen'!$A$8:$ES$8,0)+7,4),,))</f>
        <v>57281.95070467949</v>
      </c>
      <c r="S208" s="772">
        <f t="shared" ca="1" si="91"/>
        <v>64103.313420971594</v>
      </c>
      <c r="T208" s="772">
        <f t="shared" ca="1" si="82"/>
        <v>64103.313420971594</v>
      </c>
      <c r="U208" s="772">
        <f t="shared" ca="1" si="82"/>
        <v>64103.313420971594</v>
      </c>
      <c r="V208" s="772">
        <f t="shared" ca="1" si="82"/>
        <v>63754.565672807941</v>
      </c>
      <c r="W208" s="772">
        <f t="shared" ca="1" si="82"/>
        <v>63378.312577487435</v>
      </c>
      <c r="X208" s="772">
        <f t="shared" ca="1" si="82"/>
        <v>62971.298403577464</v>
      </c>
      <c r="Y208" s="772">
        <f t="shared" ca="1" si="82"/>
        <v>62529.953245425269</v>
      </c>
      <c r="Z208" s="772">
        <f t="shared" ca="1" si="82"/>
        <v>64103.313420971594</v>
      </c>
      <c r="AA208" s="772">
        <f t="shared" ca="1" si="82"/>
        <v>64103.313420971594</v>
      </c>
      <c r="AB208" s="772">
        <f t="shared" ca="1" si="85"/>
        <v>63754.565672807941</v>
      </c>
      <c r="AC208" s="772">
        <f t="shared" ca="1" si="85"/>
        <v>63754.565672807941</v>
      </c>
      <c r="AD208" s="772">
        <f t="shared" ca="1" si="85"/>
        <v>63378.312577487435</v>
      </c>
      <c r="AE208" s="772">
        <f t="shared" ca="1" si="85"/>
        <v>63378.312577487435</v>
      </c>
      <c r="AF208" s="772">
        <f t="shared" ca="1" si="85"/>
        <v>62971.298403577464</v>
      </c>
      <c r="AG208" s="772">
        <f t="shared" ca="1" si="85"/>
        <v>62971.298403577464</v>
      </c>
      <c r="AH208" s="772">
        <f t="shared" ca="1" si="85"/>
        <v>62971.298403577464</v>
      </c>
      <c r="AI208" s="772">
        <f t="shared" ca="1" si="85"/>
        <v>64103.313420971594</v>
      </c>
      <c r="AJ208" s="772">
        <f t="shared" ca="1" si="85"/>
        <v>64103.313420971594</v>
      </c>
      <c r="AK208" s="772">
        <f t="shared" ca="1" si="85"/>
        <v>63754.565672807941</v>
      </c>
      <c r="AL208" s="772">
        <f t="shared" ca="1" si="85"/>
        <v>63754.565672807941</v>
      </c>
      <c r="AM208" s="772">
        <f t="shared" ca="1" si="85"/>
        <v>63378.312577487435</v>
      </c>
      <c r="AN208" s="772">
        <f t="shared" ca="1" si="85"/>
        <v>63378.312577487435</v>
      </c>
      <c r="AO208" s="772">
        <f t="shared" ca="1" si="85"/>
        <v>62971.298403577464</v>
      </c>
      <c r="AP208" s="772">
        <f t="shared" ca="1" si="85"/>
        <v>62971.298403577464</v>
      </c>
      <c r="AQ208" s="772">
        <f t="shared" ca="1" si="85"/>
        <v>62971.298403577464</v>
      </c>
      <c r="AR208" s="772">
        <f t="shared" ca="1" si="88"/>
        <v>64103.313420971594</v>
      </c>
      <c r="AS208" s="772">
        <f t="shared" ca="1" si="88"/>
        <v>64103.313420971594</v>
      </c>
      <c r="AT208" s="772">
        <f t="shared" ca="1" si="88"/>
        <v>63754.565672807941</v>
      </c>
      <c r="AU208" s="772">
        <f t="shared" ca="1" si="88"/>
        <v>63754.565672807941</v>
      </c>
      <c r="AV208" s="772">
        <f t="shared" ca="1" si="88"/>
        <v>63378.312577487435</v>
      </c>
      <c r="AW208" s="772">
        <f t="shared" ca="1" si="88"/>
        <v>63378.312577487435</v>
      </c>
      <c r="AX208" s="772">
        <f t="shared" ca="1" si="88"/>
        <v>62971.298403577464</v>
      </c>
      <c r="AY208" s="772">
        <f t="shared" ca="1" si="88"/>
        <v>62971.298403577464</v>
      </c>
      <c r="AZ208" s="772">
        <f t="shared" ca="1" si="87"/>
        <v>62971.298403577464</v>
      </c>
      <c r="BA208" s="772">
        <f t="shared" ca="1" si="87"/>
        <v>64103.313420971594</v>
      </c>
      <c r="BB208" s="772">
        <f t="shared" ca="1" si="87"/>
        <v>64103.313420971594</v>
      </c>
      <c r="BC208" s="772">
        <f t="shared" ca="1" si="87"/>
        <v>63754.565672807941</v>
      </c>
      <c r="BD208" s="772">
        <f t="shared" ca="1" si="87"/>
        <v>63378.312577487435</v>
      </c>
      <c r="BE208" s="772">
        <f t="shared" ca="1" si="87"/>
        <v>63378.312577487435</v>
      </c>
      <c r="BF208" s="772">
        <f t="shared" ca="1" si="87"/>
        <v>62971.298403577464</v>
      </c>
      <c r="BG208" s="772">
        <f t="shared" ca="1" si="87"/>
        <v>62971.298403577464</v>
      </c>
      <c r="BH208" s="772">
        <f ca="1">HLOOKUP(BH$7,$A$7:$P$348,ROW()-6)</f>
        <v>62529.953245425269</v>
      </c>
      <c r="BI208" s="772">
        <f ca="1">HLOOKUP(BI$7,$A$7:$P$348,ROW()-6)</f>
        <v>62529.953245425269</v>
      </c>
      <c r="BJ208" s="772">
        <f ca="1">HLOOKUP(BJ$7,$A$7:$P$348,ROW()-6)</f>
        <v>63754.565672807941</v>
      </c>
      <c r="BK208" s="772">
        <f t="shared" ca="1" si="90"/>
        <v>63754.565672807941</v>
      </c>
      <c r="BL208" s="772">
        <f t="shared" ca="1" si="90"/>
        <v>63754.565672807941</v>
      </c>
      <c r="BM208" s="772">
        <f t="shared" ca="1" si="90"/>
        <v>63754.565672807941</v>
      </c>
      <c r="BN208" s="772">
        <f t="shared" ca="1" si="90"/>
        <v>62971.298403577464</v>
      </c>
      <c r="BO208" s="772">
        <f t="shared" ca="1" si="90"/>
        <v>62971.298403577464</v>
      </c>
      <c r="BP208" s="772">
        <f t="shared" ca="1" si="90"/>
        <v>62529.953245425269</v>
      </c>
      <c r="BQ208" s="772">
        <f t="shared" ca="1" si="90"/>
        <v>62529.953245425269</v>
      </c>
      <c r="BR208" s="772">
        <f t="shared" ca="1" si="90"/>
        <v>62050.411563114008</v>
      </c>
      <c r="BS208" s="772">
        <f t="shared" ca="1" si="90"/>
        <v>63754.565672807941</v>
      </c>
      <c r="BT208" s="772">
        <f t="shared" ca="1" si="90"/>
        <v>63754.565672807941</v>
      </c>
      <c r="BU208" s="772">
        <f t="shared" ca="1" si="90"/>
        <v>63754.565672807941</v>
      </c>
      <c r="BV208" s="772">
        <f t="shared" ca="1" si="90"/>
        <v>63378.312577487435</v>
      </c>
      <c r="BW208" s="772">
        <f t="shared" ca="1" si="90"/>
        <v>63378.312577487435</v>
      </c>
      <c r="BX208" s="772">
        <f t="shared" ca="1" si="92"/>
        <v>62529.953245425269</v>
      </c>
      <c r="BY208" s="772">
        <f t="shared" ca="1" si="92"/>
        <v>62529.953245425269</v>
      </c>
      <c r="BZ208" s="772">
        <f t="shared" ca="1" si="92"/>
        <v>62050.411563114008</v>
      </c>
      <c r="CA208" s="772">
        <f t="shared" ca="1" si="92"/>
        <v>62050.411563114008</v>
      </c>
      <c r="CB208" s="772">
        <f t="shared" ca="1" si="92"/>
        <v>63378.312577487435</v>
      </c>
      <c r="CC208" s="772">
        <f t="shared" ca="1" si="92"/>
        <v>63378.312577487435</v>
      </c>
      <c r="CD208" s="772">
        <f t="shared" ca="1" si="92"/>
        <v>63378.312577487435</v>
      </c>
      <c r="CE208" s="772">
        <f t="shared" ca="1" si="92"/>
        <v>63378.312577487435</v>
      </c>
      <c r="CF208" s="772">
        <f t="shared" ca="1" si="92"/>
        <v>62971.298403577464</v>
      </c>
      <c r="CG208" s="772">
        <f t="shared" ca="1" si="92"/>
        <v>62529.953245425269</v>
      </c>
      <c r="CH208" s="772">
        <f t="shared" ca="1" si="92"/>
        <v>62050.411563114008</v>
      </c>
      <c r="CI208" s="772">
        <f t="shared" ca="1" si="92"/>
        <v>62050.411563114008</v>
      </c>
      <c r="CJ208" s="772">
        <f t="shared" ca="1" si="92"/>
        <v>61528.56017742426</v>
      </c>
    </row>
    <row r="209" spans="1:88" ht="15" customHeight="1">
      <c r="A209" s="770">
        <f>'kc-Wert für Stützen'!C209</f>
        <v>261</v>
      </c>
      <c r="B209" s="768">
        <f ca="1">INDIRECT("'kc-Wert für Stützen'!"&amp;SUBSTITUTE(ADDRESS(MATCH($A209,'kc-Wert für Stützen'!$C:$C,0),MATCH(B$7,'kc-Wert für Stützen'!$A$8:$ES$8,0)+7,4),,))</f>
        <v>65260.111180335531</v>
      </c>
      <c r="C209" s="768">
        <f ca="1">INDIRECT("'kc-Wert für Stützen'!"&amp;SUBSTITUTE(ADDRESS(MATCH($A209,'kc-Wert für Stützen'!$C:$C,0),MATCH(C$7,'kc-Wert für Stützen'!$A$8:$ES$8,0)+7,4),,))</f>
        <v>64958.936746161577</v>
      </c>
      <c r="D209" s="768">
        <f ca="1">INDIRECT("'kc-Wert für Stützen'!"&amp;SUBSTITUTE(ADDRESS(MATCH($A209,'kc-Wert für Stützen'!$C:$C,0),MATCH(D$7,'kc-Wert für Stützen'!$A$8:$ES$8,0)+7,4),,))</f>
        <v>64636.119998203125</v>
      </c>
      <c r="E209" s="768">
        <f ca="1">INDIRECT("'kc-Wert für Stützen'!"&amp;SUBSTITUTE(ADDRESS(MATCH($A209,'kc-Wert für Stützen'!$C:$C,0),MATCH(E$7,'kc-Wert für Stützen'!$A$8:$ES$8,0)+7,4),,))</f>
        <v>64289.059720593286</v>
      </c>
      <c r="F209" s="768">
        <f ca="1">INDIRECT("'kc-Wert für Stützen'!"&amp;SUBSTITUTE(ADDRESS(MATCH($A209,'kc-Wert für Stützen'!$C:$C,0),MATCH(F$7,'kc-Wert für Stützen'!$A$8:$ES$8,0)+7,4),,))</f>
        <v>63914.860026027971</v>
      </c>
      <c r="G209" s="768">
        <f ca="1">INDIRECT("'kc-Wert für Stützen'!"&amp;SUBSTITUTE(ADDRESS(MATCH($A209,'kc-Wert für Stützen'!$C:$C,0),MATCH(G$7,'kc-Wert für Stützen'!$A$8:$ES$8,0)+7,4),,))</f>
        <v>63510.315650480559</v>
      </c>
      <c r="H209" s="768">
        <f ca="1">INDIRECT("'kc-Wert für Stützen'!"&amp;SUBSTITUTE(ADDRESS(MATCH($A209,'kc-Wert für Stützen'!$C:$C,0),MATCH(H$7,'kc-Wert für Stützen'!$A$8:$ES$8,0)+7,4),,))</f>
        <v>63071.908803687598</v>
      </c>
      <c r="I209" s="768">
        <f ca="1">INDIRECT("'kc-Wert für Stützen'!"&amp;SUBSTITUTE(ADDRESS(MATCH($A209,'kc-Wert für Stützen'!$C:$C,0),MATCH(I$7,'kc-Wert für Stützen'!$A$8:$ES$8,0)+7,4),,))</f>
        <v>62595.824564935785</v>
      </c>
      <c r="J209" s="768">
        <f ca="1">INDIRECT("'kc-Wert für Stützen'!"&amp;SUBSTITUTE(ADDRESS(MATCH($A209,'kc-Wert für Stützen'!$C:$C,0),MATCH(J$7,'kc-Wert für Stützen'!$A$8:$ES$8,0)+7,4),,))</f>
        <v>62077.99396933207</v>
      </c>
      <c r="K209" s="768">
        <f ca="1">INDIRECT("'kc-Wert für Stützen'!"&amp;SUBSTITUTE(ADDRESS(MATCH($A209,'kc-Wert für Stützen'!$C:$C,0),MATCH(K$7,'kc-Wert für Stützen'!$A$8:$ES$8,0)+7,4),,))</f>
        <v>61514.175889947073</v>
      </c>
      <c r="L209" s="768">
        <f ca="1">INDIRECT("'kc-Wert für Stützen'!"&amp;SUBSTITUTE(ADDRESS(MATCH($A209,'kc-Wert für Stützen'!$C:$C,0),MATCH(L$7,'kc-Wert für Stützen'!$A$8:$ES$8,0)+7,4),,))</f>
        <v>60900.089791318009</v>
      </c>
      <c r="M209" s="768">
        <f ca="1">INDIRECT("'kc-Wert für Stützen'!"&amp;SUBSTITUTE(ADDRESS(MATCH($A209,'kc-Wert für Stützen'!$C:$C,0),MATCH(M$7,'kc-Wert für Stützen'!$A$8:$ES$8,0)+7,4),,))</f>
        <v>60231.610135720381</v>
      </c>
      <c r="N209" s="768">
        <f ca="1">INDIRECT("'kc-Wert für Stützen'!"&amp;SUBSTITUTE(ADDRESS(MATCH($A209,'kc-Wert für Stützen'!$C:$C,0),MATCH(N$7,'kc-Wert für Stützen'!$A$8:$ES$8,0)+7,4),,))</f>
        <v>59505.028003858562</v>
      </c>
      <c r="O209" s="768">
        <f ca="1">INDIRECT("'kc-Wert für Stützen'!"&amp;SUBSTITUTE(ADDRESS(MATCH($A209,'kc-Wert für Stützen'!$C:$C,0),MATCH(O$7,'kc-Wert für Stützen'!$A$8:$ES$8,0)+7,4),,))</f>
        <v>58717.374787659581</v>
      </c>
      <c r="P209" s="768">
        <f ca="1">INDIRECT("'kc-Wert für Stützen'!"&amp;SUBSTITUTE(ADDRESS(MATCH($A209,'kc-Wert für Stützen'!$C:$C,0),MATCH(P$7,'kc-Wert für Stützen'!$A$8:$ES$8,0)+7,4),,))</f>
        <v>57866.786230940452</v>
      </c>
      <c r="S209" s="772">
        <f t="shared" ca="1" si="91"/>
        <v>64636.119998203125</v>
      </c>
      <c r="T209" s="772">
        <f t="shared" ca="1" si="82"/>
        <v>64636.119998203125</v>
      </c>
      <c r="U209" s="772">
        <f t="shared" ca="1" si="82"/>
        <v>64636.119998203125</v>
      </c>
      <c r="V209" s="772">
        <f t="shared" ca="1" si="82"/>
        <v>64289.059720593286</v>
      </c>
      <c r="W209" s="772">
        <f t="shared" ca="1" si="82"/>
        <v>63914.860026027971</v>
      </c>
      <c r="X209" s="772">
        <f t="shared" ca="1" si="82"/>
        <v>63510.315650480559</v>
      </c>
      <c r="Y209" s="772">
        <f t="shared" ca="1" si="82"/>
        <v>63071.908803687598</v>
      </c>
      <c r="Z209" s="772">
        <f t="shared" ca="1" si="82"/>
        <v>64636.119998203125</v>
      </c>
      <c r="AA209" s="772">
        <f t="shared" ca="1" si="82"/>
        <v>64636.119998203125</v>
      </c>
      <c r="AB209" s="772">
        <f t="shared" ca="1" si="85"/>
        <v>64289.059720593286</v>
      </c>
      <c r="AC209" s="772">
        <f t="shared" ca="1" si="85"/>
        <v>64289.059720593286</v>
      </c>
      <c r="AD209" s="772">
        <f t="shared" ca="1" si="85"/>
        <v>63914.860026027971</v>
      </c>
      <c r="AE209" s="772">
        <f t="shared" ca="1" si="85"/>
        <v>63914.860026027971</v>
      </c>
      <c r="AF209" s="772">
        <f t="shared" ca="1" si="85"/>
        <v>63510.315650480559</v>
      </c>
      <c r="AG209" s="772">
        <f t="shared" ca="1" si="85"/>
        <v>63510.315650480559</v>
      </c>
      <c r="AH209" s="772">
        <f t="shared" ca="1" si="85"/>
        <v>63510.315650480559</v>
      </c>
      <c r="AI209" s="772">
        <f t="shared" ref="AB209:AQ225" ca="1" si="93">HLOOKUP(AI$7,$A$7:$P$348,ROW()-6)</f>
        <v>64636.119998203125</v>
      </c>
      <c r="AJ209" s="772">
        <f t="shared" ca="1" si="93"/>
        <v>64636.119998203125</v>
      </c>
      <c r="AK209" s="772">
        <f t="shared" ca="1" si="93"/>
        <v>64289.059720593286</v>
      </c>
      <c r="AL209" s="772">
        <f t="shared" ca="1" si="93"/>
        <v>64289.059720593286</v>
      </c>
      <c r="AM209" s="772">
        <f t="shared" ca="1" si="93"/>
        <v>63914.860026027971</v>
      </c>
      <c r="AN209" s="772">
        <f t="shared" ca="1" si="93"/>
        <v>63914.860026027971</v>
      </c>
      <c r="AO209" s="772">
        <f t="shared" ca="1" si="93"/>
        <v>63510.315650480559</v>
      </c>
      <c r="AP209" s="772">
        <f t="shared" ca="1" si="93"/>
        <v>63510.315650480559</v>
      </c>
      <c r="AQ209" s="772">
        <f t="shared" ca="1" si="93"/>
        <v>63510.315650480559</v>
      </c>
      <c r="AR209" s="772">
        <f t="shared" ca="1" si="88"/>
        <v>64636.119998203125</v>
      </c>
      <c r="AS209" s="772">
        <f t="shared" ca="1" si="88"/>
        <v>64636.119998203125</v>
      </c>
      <c r="AT209" s="772">
        <f t="shared" ca="1" si="88"/>
        <v>64289.059720593286</v>
      </c>
      <c r="AU209" s="772">
        <f t="shared" ca="1" si="88"/>
        <v>64289.059720593286</v>
      </c>
      <c r="AV209" s="772">
        <f t="shared" ca="1" si="88"/>
        <v>63914.860026027971</v>
      </c>
      <c r="AW209" s="772">
        <f t="shared" ca="1" si="88"/>
        <v>63914.860026027971</v>
      </c>
      <c r="AX209" s="772">
        <f t="shared" ca="1" si="88"/>
        <v>63510.315650480559</v>
      </c>
      <c r="AY209" s="772">
        <f t="shared" ca="1" si="88"/>
        <v>63510.315650480559</v>
      </c>
      <c r="AZ209" s="772">
        <f t="shared" ca="1" si="87"/>
        <v>63510.315650480559</v>
      </c>
      <c r="BA209" s="772">
        <f t="shared" ca="1" si="87"/>
        <v>64636.119998203125</v>
      </c>
      <c r="BB209" s="772">
        <f t="shared" ca="1" si="87"/>
        <v>64636.119998203125</v>
      </c>
      <c r="BC209" s="772">
        <f t="shared" ca="1" si="87"/>
        <v>64289.059720593286</v>
      </c>
      <c r="BD209" s="772">
        <f t="shared" ca="1" si="87"/>
        <v>63914.860026027971</v>
      </c>
      <c r="BE209" s="772">
        <f t="shared" ca="1" si="87"/>
        <v>63914.860026027971</v>
      </c>
      <c r="BF209" s="772">
        <f t="shared" ca="1" si="87"/>
        <v>63510.315650480559</v>
      </c>
      <c r="BG209" s="772">
        <f t="shared" ca="1" si="87"/>
        <v>63510.315650480559</v>
      </c>
      <c r="BH209" s="772">
        <f t="shared" ca="1" si="90"/>
        <v>63071.908803687598</v>
      </c>
      <c r="BI209" s="772">
        <f t="shared" ca="1" si="90"/>
        <v>63071.908803687598</v>
      </c>
      <c r="BJ209" s="772">
        <f t="shared" ca="1" si="90"/>
        <v>64289.059720593286</v>
      </c>
      <c r="BK209" s="772">
        <f t="shared" ca="1" si="90"/>
        <v>64289.059720593286</v>
      </c>
      <c r="BL209" s="772">
        <f t="shared" ca="1" si="90"/>
        <v>64289.059720593286</v>
      </c>
      <c r="BM209" s="772">
        <f t="shared" ca="1" si="90"/>
        <v>64289.059720593286</v>
      </c>
      <c r="BN209" s="772">
        <f t="shared" ca="1" si="90"/>
        <v>63510.315650480559</v>
      </c>
      <c r="BO209" s="772">
        <f t="shared" ca="1" si="90"/>
        <v>63510.315650480559</v>
      </c>
      <c r="BP209" s="772">
        <f t="shared" ca="1" si="90"/>
        <v>63071.908803687598</v>
      </c>
      <c r="BQ209" s="772">
        <f t="shared" ca="1" si="90"/>
        <v>63071.908803687598</v>
      </c>
      <c r="BR209" s="772">
        <f t="shared" ca="1" si="90"/>
        <v>62595.824564935785</v>
      </c>
      <c r="BS209" s="772">
        <f t="shared" ca="1" si="90"/>
        <v>64289.059720593286</v>
      </c>
      <c r="BT209" s="772">
        <f t="shared" ca="1" si="90"/>
        <v>64289.059720593286</v>
      </c>
      <c r="BU209" s="772">
        <f t="shared" ca="1" si="90"/>
        <v>64289.059720593286</v>
      </c>
      <c r="BV209" s="772">
        <f t="shared" ca="1" si="90"/>
        <v>63914.860026027971</v>
      </c>
      <c r="BW209" s="772">
        <f t="shared" ca="1" si="90"/>
        <v>63914.860026027971</v>
      </c>
      <c r="BX209" s="772">
        <f t="shared" ca="1" si="92"/>
        <v>63071.908803687598</v>
      </c>
      <c r="BY209" s="772">
        <f t="shared" ca="1" si="92"/>
        <v>63071.908803687598</v>
      </c>
      <c r="BZ209" s="772">
        <f t="shared" ca="1" si="92"/>
        <v>62595.824564935785</v>
      </c>
      <c r="CA209" s="772">
        <f t="shared" ca="1" si="92"/>
        <v>62595.824564935785</v>
      </c>
      <c r="CB209" s="772">
        <f t="shared" ca="1" si="92"/>
        <v>63914.860026027971</v>
      </c>
      <c r="CC209" s="772">
        <f t="shared" ca="1" si="92"/>
        <v>63914.860026027971</v>
      </c>
      <c r="CD209" s="772">
        <f t="shared" ca="1" si="92"/>
        <v>63914.860026027971</v>
      </c>
      <c r="CE209" s="772">
        <f t="shared" ca="1" si="92"/>
        <v>63914.860026027971</v>
      </c>
      <c r="CF209" s="772">
        <f t="shared" ca="1" si="92"/>
        <v>63510.315650480559</v>
      </c>
      <c r="CG209" s="772">
        <f t="shared" ca="1" si="92"/>
        <v>63071.908803687598</v>
      </c>
      <c r="CH209" s="772">
        <f t="shared" ca="1" si="92"/>
        <v>62595.824564935785</v>
      </c>
      <c r="CI209" s="772">
        <f t="shared" ca="1" si="92"/>
        <v>62595.824564935785</v>
      </c>
      <c r="CJ209" s="772">
        <f t="shared" ca="1" si="92"/>
        <v>62077.99396933207</v>
      </c>
    </row>
    <row r="210" spans="1:88" ht="15" customHeight="1">
      <c r="A210" s="770">
        <f>'kc-Wert für Stützen'!C210</f>
        <v>262</v>
      </c>
      <c r="B210" s="768">
        <f ca="1">INDIRECT("'kc-Wert für Stützen'!"&amp;SUBSTITUTE(ADDRESS(MATCH($A210,'kc-Wert für Stützen'!$C:$C,0),MATCH(B$7,'kc-Wert für Stützen'!$A$8:$ES$8,0)+7,4),,))</f>
        <v>65792.3903280862</v>
      </c>
      <c r="C210" s="768">
        <f ca="1">INDIRECT("'kc-Wert für Stützen'!"&amp;SUBSTITUTE(ADDRESS(MATCH($A210,'kc-Wert für Stützen'!$C:$C,0),MATCH(C$7,'kc-Wert für Stützen'!$A$8:$ES$8,0)+7,4),,))</f>
        <v>65492.280333250084</v>
      </c>
      <c r="D210" s="768">
        <f ca="1">INDIRECT("'kc-Wert für Stützen'!"&amp;SUBSTITUTE(ADDRESS(MATCH($A210,'kc-Wert für Stützen'!$C:$C,0),MATCH(D$7,'kc-Wert für Stützen'!$A$8:$ES$8,0)+7,4),,))</f>
        <v>65170.798882559524</v>
      </c>
      <c r="E210" s="768">
        <f ca="1">INDIRECT("'kc-Wert für Stützen'!"&amp;SUBSTITUTE(ADDRESS(MATCH($A210,'kc-Wert für Stützen'!$C:$C,0),MATCH(E$7,'kc-Wert für Stützen'!$A$8:$ES$8,0)+7,4),,))</f>
        <v>64825.386518886022</v>
      </c>
      <c r="F210" s="768">
        <f ca="1">INDIRECT("'kc-Wert für Stützen'!"&amp;SUBSTITUTE(ADDRESS(MATCH($A210,'kc-Wert für Stützen'!$C:$C,0),MATCH(F$7,'kc-Wert für Stützen'!$A$8:$ES$8,0)+7,4),,))</f>
        <v>64453.19351181393</v>
      </c>
      <c r="G210" s="768">
        <f ca="1">INDIRECT("'kc-Wert für Stützen'!"&amp;SUBSTITUTE(ADDRESS(MATCH($A210,'kc-Wert für Stützen'!$C:$C,0),MATCH(G$7,'kc-Wert für Stützen'!$A$8:$ES$8,0)+7,4),,))</f>
        <v>64051.064340155019</v>
      </c>
      <c r="H210" s="768">
        <f ca="1">INDIRECT("'kc-Wert für Stützen'!"&amp;SUBSTITUTE(ADDRESS(MATCH($A210,'kc-Wert für Stützen'!$C:$C,0),MATCH(H$7,'kc-Wert für Stützen'!$A$8:$ES$8,0)+7,4),,))</f>
        <v>63615.53286975524</v>
      </c>
      <c r="I210" s="768">
        <f ca="1">INDIRECT("'kc-Wert für Stützen'!"&amp;SUBSTITUTE(ADDRESS(MATCH($A210,'kc-Wert für Stützen'!$C:$C,0),MATCH(I$7,'kc-Wert für Stützen'!$A$8:$ES$8,0)+7,4),,))</f>
        <v>63142.834838112387</v>
      </c>
      <c r="J210" s="768">
        <f ca="1">INDIRECT("'kc-Wert für Stützen'!"&amp;SUBSTITUTE(ADDRESS(MATCH($A210,'kc-Wert für Stützen'!$C:$C,0),MATCH(J$7,'kc-Wert für Stützen'!$A$8:$ES$8,0)+7,4),,))</f>
        <v>62628.94635483883</v>
      </c>
      <c r="K210" s="768">
        <f ca="1">INDIRECT("'kc-Wert für Stützen'!"&amp;SUBSTITUTE(ADDRESS(MATCH($A210,'kc-Wert für Stützen'!$C:$C,0),MATCH(K$7,'kc-Wert für Stützen'!$A$8:$ES$8,0)+7,4),,))</f>
        <v>62069.659102296078</v>
      </c>
      <c r="L210" s="768">
        <f ca="1">INDIRECT("'kc-Wert für Stützen'!"&amp;SUBSTITUTE(ADDRESS(MATCH($A210,'kc-Wert für Stützen'!$C:$C,0),MATCH(L$7,'kc-Wert für Stützen'!$A$8:$ES$8,0)+7,4),,))</f>
        <v>61460.704057510258</v>
      </c>
      <c r="M210" s="768">
        <f ca="1">INDIRECT("'kc-Wert für Stützen'!"&amp;SUBSTITUTE(ADDRESS(MATCH($A210,'kc-Wert für Stützen'!$C:$C,0),MATCH(M$7,'kc-Wert für Stützen'!$A$8:$ES$8,0)+7,4),,))</f>
        <v>60797.934679898171</v>
      </c>
      <c r="N210" s="768">
        <f ca="1">INDIRECT("'kc-Wert für Stützen'!"&amp;SUBSTITUTE(ADDRESS(MATCH($A210,'kc-Wert für Stützen'!$C:$C,0),MATCH(N$7,'kc-Wert für Stützen'!$A$8:$ES$8,0)+7,4),,))</f>
        <v>60077.576040157212</v>
      </c>
      <c r="O210" s="768">
        <f ca="1">INDIRECT("'kc-Wert für Stützen'!"&amp;SUBSTITUTE(ADDRESS(MATCH($A210,'kc-Wert für Stützen'!$C:$C,0),MATCH(O$7,'kc-Wert für Stützen'!$A$8:$ES$8,0)+7,4),,))</f>
        <v>59296.536727622777</v>
      </c>
      <c r="P210" s="768">
        <f ca="1">INDIRECT("'kc-Wert für Stützen'!"&amp;SUBSTITUTE(ADDRESS(MATCH($A210,'kc-Wert für Stützen'!$C:$C,0),MATCH(P$7,'kc-Wert für Stützen'!$A$8:$ES$8,0)+7,4),,))</f>
        <v>58452.764937698361</v>
      </c>
      <c r="S210" s="772">
        <f t="shared" ca="1" si="91"/>
        <v>65170.798882559524</v>
      </c>
      <c r="T210" s="772">
        <f t="shared" ca="1" si="82"/>
        <v>65170.798882559524</v>
      </c>
      <c r="U210" s="772">
        <f t="shared" ca="1" si="82"/>
        <v>65170.798882559524</v>
      </c>
      <c r="V210" s="772">
        <f t="shared" ca="1" si="82"/>
        <v>64825.386518886022</v>
      </c>
      <c r="W210" s="772">
        <f t="shared" ca="1" si="82"/>
        <v>64453.19351181393</v>
      </c>
      <c r="X210" s="772">
        <f t="shared" ca="1" si="82"/>
        <v>64051.064340155019</v>
      </c>
      <c r="Y210" s="772">
        <f t="shared" ca="1" si="82"/>
        <v>63615.53286975524</v>
      </c>
      <c r="Z210" s="772">
        <f t="shared" ca="1" si="82"/>
        <v>65170.798882559524</v>
      </c>
      <c r="AA210" s="772">
        <f t="shared" ca="1" si="82"/>
        <v>65170.798882559524</v>
      </c>
      <c r="AB210" s="772">
        <f t="shared" ca="1" si="93"/>
        <v>64825.386518886022</v>
      </c>
      <c r="AC210" s="772">
        <f t="shared" ca="1" si="93"/>
        <v>64825.386518886022</v>
      </c>
      <c r="AD210" s="772">
        <f t="shared" ca="1" si="93"/>
        <v>64453.19351181393</v>
      </c>
      <c r="AE210" s="772">
        <f t="shared" ca="1" si="93"/>
        <v>64453.19351181393</v>
      </c>
      <c r="AF210" s="772">
        <f t="shared" ca="1" si="93"/>
        <v>64051.064340155019</v>
      </c>
      <c r="AG210" s="772">
        <f t="shared" ca="1" si="93"/>
        <v>64051.064340155019</v>
      </c>
      <c r="AH210" s="772">
        <f t="shared" ca="1" si="93"/>
        <v>64051.064340155019</v>
      </c>
      <c r="AI210" s="772">
        <f t="shared" ca="1" si="93"/>
        <v>65170.798882559524</v>
      </c>
      <c r="AJ210" s="772">
        <f t="shared" ca="1" si="93"/>
        <v>65170.798882559524</v>
      </c>
      <c r="AK210" s="772">
        <f t="shared" ca="1" si="93"/>
        <v>64825.386518886022</v>
      </c>
      <c r="AL210" s="772">
        <f t="shared" ca="1" si="93"/>
        <v>64825.386518886022</v>
      </c>
      <c r="AM210" s="772">
        <f t="shared" ca="1" si="93"/>
        <v>64453.19351181393</v>
      </c>
      <c r="AN210" s="772">
        <f t="shared" ca="1" si="93"/>
        <v>64453.19351181393</v>
      </c>
      <c r="AO210" s="772">
        <f t="shared" ca="1" si="93"/>
        <v>64051.064340155019</v>
      </c>
      <c r="AP210" s="772">
        <f t="shared" ca="1" si="93"/>
        <v>64051.064340155019</v>
      </c>
      <c r="AQ210" s="772">
        <f t="shared" ca="1" si="93"/>
        <v>64051.064340155019</v>
      </c>
      <c r="AR210" s="772">
        <f t="shared" ca="1" si="88"/>
        <v>65170.798882559524</v>
      </c>
      <c r="AS210" s="772">
        <f t="shared" ca="1" si="88"/>
        <v>65170.798882559524</v>
      </c>
      <c r="AT210" s="772">
        <f t="shared" ca="1" si="88"/>
        <v>64825.386518886022</v>
      </c>
      <c r="AU210" s="772">
        <f t="shared" ca="1" si="88"/>
        <v>64825.386518886022</v>
      </c>
      <c r="AV210" s="772">
        <f t="shared" ca="1" si="88"/>
        <v>64453.19351181393</v>
      </c>
      <c r="AW210" s="772">
        <f t="shared" ca="1" si="88"/>
        <v>64453.19351181393</v>
      </c>
      <c r="AX210" s="772">
        <f t="shared" ca="1" si="88"/>
        <v>64051.064340155019</v>
      </c>
      <c r="AY210" s="772">
        <f t="shared" ca="1" si="88"/>
        <v>64051.064340155019</v>
      </c>
      <c r="AZ210" s="772">
        <f t="shared" ca="1" si="87"/>
        <v>64051.064340155019</v>
      </c>
      <c r="BA210" s="772">
        <f t="shared" ca="1" si="87"/>
        <v>65170.798882559524</v>
      </c>
      <c r="BB210" s="772">
        <f t="shared" ca="1" si="87"/>
        <v>65170.798882559524</v>
      </c>
      <c r="BC210" s="772">
        <f t="shared" ca="1" si="87"/>
        <v>64825.386518886022</v>
      </c>
      <c r="BD210" s="772">
        <f t="shared" ca="1" si="87"/>
        <v>64453.19351181393</v>
      </c>
      <c r="BE210" s="772">
        <f t="shared" ca="1" si="87"/>
        <v>64453.19351181393</v>
      </c>
      <c r="BF210" s="772">
        <f t="shared" ca="1" si="87"/>
        <v>64051.064340155019</v>
      </c>
      <c r="BG210" s="772">
        <f t="shared" ca="1" si="87"/>
        <v>64051.064340155019</v>
      </c>
      <c r="BH210" s="772">
        <f t="shared" ca="1" si="90"/>
        <v>63615.53286975524</v>
      </c>
      <c r="BI210" s="772">
        <f t="shared" ca="1" si="90"/>
        <v>63615.53286975524</v>
      </c>
      <c r="BJ210" s="772">
        <f t="shared" ca="1" si="90"/>
        <v>64825.386518886022</v>
      </c>
      <c r="BK210" s="772">
        <f t="shared" ca="1" si="90"/>
        <v>64825.386518886022</v>
      </c>
      <c r="BL210" s="772">
        <f t="shared" ca="1" si="90"/>
        <v>64825.386518886022</v>
      </c>
      <c r="BM210" s="772">
        <f t="shared" ca="1" si="90"/>
        <v>64825.386518886022</v>
      </c>
      <c r="BN210" s="772">
        <f t="shared" ca="1" si="90"/>
        <v>64051.064340155019</v>
      </c>
      <c r="BO210" s="772">
        <f t="shared" ca="1" si="90"/>
        <v>64051.064340155019</v>
      </c>
      <c r="BP210" s="772">
        <f t="shared" ca="1" si="90"/>
        <v>63615.53286975524</v>
      </c>
      <c r="BQ210" s="772">
        <f t="shared" ca="1" si="90"/>
        <v>63615.53286975524</v>
      </c>
      <c r="BR210" s="772">
        <f t="shared" ca="1" si="90"/>
        <v>63142.834838112387</v>
      </c>
      <c r="BS210" s="772">
        <f t="shared" ca="1" si="90"/>
        <v>64825.386518886022</v>
      </c>
      <c r="BT210" s="772">
        <f t="shared" ca="1" si="90"/>
        <v>64825.386518886022</v>
      </c>
      <c r="BU210" s="772">
        <f t="shared" ca="1" si="90"/>
        <v>64825.386518886022</v>
      </c>
      <c r="BV210" s="772">
        <f t="shared" ca="1" si="90"/>
        <v>64453.19351181393</v>
      </c>
      <c r="BW210" s="772">
        <f t="shared" ca="1" si="90"/>
        <v>64453.19351181393</v>
      </c>
      <c r="BX210" s="772">
        <f t="shared" ca="1" si="92"/>
        <v>63615.53286975524</v>
      </c>
      <c r="BY210" s="772">
        <f t="shared" ca="1" si="92"/>
        <v>63615.53286975524</v>
      </c>
      <c r="BZ210" s="772">
        <f t="shared" ca="1" si="92"/>
        <v>63142.834838112387</v>
      </c>
      <c r="CA210" s="772">
        <f t="shared" ca="1" si="92"/>
        <v>63142.834838112387</v>
      </c>
      <c r="CB210" s="772">
        <f t="shared" ca="1" si="92"/>
        <v>64453.19351181393</v>
      </c>
      <c r="CC210" s="772">
        <f t="shared" ca="1" si="92"/>
        <v>64453.19351181393</v>
      </c>
      <c r="CD210" s="772">
        <f t="shared" ca="1" si="92"/>
        <v>64453.19351181393</v>
      </c>
      <c r="CE210" s="772">
        <f t="shared" ca="1" si="92"/>
        <v>64453.19351181393</v>
      </c>
      <c r="CF210" s="772">
        <f t="shared" ca="1" si="92"/>
        <v>64051.064340155019</v>
      </c>
      <c r="CG210" s="772">
        <f t="shared" ca="1" si="92"/>
        <v>63615.53286975524</v>
      </c>
      <c r="CH210" s="772">
        <f t="shared" ca="1" si="92"/>
        <v>63142.834838112387</v>
      </c>
      <c r="CI210" s="772">
        <f t="shared" ca="1" si="92"/>
        <v>63142.834838112387</v>
      </c>
      <c r="CJ210" s="772">
        <f t="shared" ca="1" si="92"/>
        <v>62628.94635483883</v>
      </c>
    </row>
    <row r="211" spans="1:88" ht="15" customHeight="1">
      <c r="A211" s="770">
        <f>'kc-Wert für Stützen'!C211</f>
        <v>263</v>
      </c>
      <c r="B211" s="768">
        <f ca="1">INDIRECT("'kc-Wert für Stützen'!"&amp;SUBSTITUTE(ADDRESS(MATCH($A211,'kc-Wert für Stützen'!$C:$C,0),MATCH(B$7,'kc-Wert für Stützen'!$A$8:$ES$8,0)+7,4),,))</f>
        <v>66326.605445579436</v>
      </c>
      <c r="C211" s="768">
        <f ca="1">INDIRECT("'kc-Wert für Stützen'!"&amp;SUBSTITUTE(ADDRESS(MATCH($A211,'kc-Wert für Stützen'!$C:$C,0),MATCH(C$7,'kc-Wert für Stützen'!$A$8:$ES$8,0)+7,4),,))</f>
        <v>66027.532787335353</v>
      </c>
      <c r="D211" s="768">
        <f ca="1">INDIRECT("'kc-Wert für Stützen'!"&amp;SUBSTITUTE(ADDRESS(MATCH($A211,'kc-Wert für Stützen'!$C:$C,0),MATCH(D$7,'kc-Wert für Stützen'!$A$8:$ES$8,0)+7,4),,))</f>
        <v>65707.354183943287</v>
      </c>
      <c r="E211" s="768">
        <f ca="1">INDIRECT("'kc-Wert für Stützen'!"&amp;SUBSTITUTE(ADDRESS(MATCH($A211,'kc-Wert für Stützen'!$C:$C,0),MATCH(E$7,'kc-Wert für Stützen'!$A$8:$ES$8,0)+7,4),,))</f>
        <v>65363.551105748185</v>
      </c>
      <c r="F211" s="768">
        <f ca="1">INDIRECT("'kc-Wert für Stützen'!"&amp;SUBSTITUTE(ADDRESS(MATCH($A211,'kc-Wert für Stützen'!$C:$C,0),MATCH(F$7,'kc-Wert für Stützen'!$A$8:$ES$8,0)+7,4),,))</f>
        <v>64993.319150107462</v>
      </c>
      <c r="G211" s="768">
        <f ca="1">INDIRECT("'kc-Wert für Stützen'!"&amp;SUBSTITUTE(ADDRESS(MATCH($A211,'kc-Wert für Stützen'!$C:$C,0),MATCH(G$7,'kc-Wert für Stützen'!$A$8:$ES$8,0)+7,4),,))</f>
        <v>64593.551802431306</v>
      </c>
      <c r="H211" s="768">
        <f ca="1">INDIRECT("'kc-Wert für Stützen'!"&amp;SUBSTITUTE(ADDRESS(MATCH($A211,'kc-Wert für Stützen'!$C:$C,0),MATCH(H$7,'kc-Wert für Stützen'!$A$8:$ES$8,0)+7,4),,))</f>
        <v>64160.834087074123</v>
      </c>
      <c r="I211" s="768">
        <f ca="1">INDIRECT("'kc-Wert für Stützen'!"&amp;SUBSTITUTE(ADDRESS(MATCH($A211,'kc-Wert für Stützen'!$C:$C,0),MATCH(I$7,'kc-Wert für Stützen'!$A$8:$ES$8,0)+7,4),,))</f>
        <v>63691.452359164192</v>
      </c>
      <c r="J211" s="768">
        <f ca="1">INDIRECT("'kc-Wert für Stützen'!"&amp;SUBSTITUTE(ADDRESS(MATCH($A211,'kc-Wert für Stützen'!$C:$C,0),MATCH(J$7,'kc-Wert für Stützen'!$A$8:$ES$8,0)+7,4),,))</f>
        <v>63181.42852439118</v>
      </c>
      <c r="K211" s="768">
        <f ca="1">INDIRECT("'kc-Wert für Stützen'!"&amp;SUBSTITUTE(ADDRESS(MATCH($A211,'kc-Wert für Stützen'!$C:$C,0),MATCH(K$7,'kc-Wert für Stützen'!$A$8:$ES$8,0)+7,4),,))</f>
        <v>62626.588951002115</v>
      </c>
      <c r="L211" s="768">
        <f ca="1">INDIRECT("'kc-Wert für Stützen'!"&amp;SUBSTITUTE(ADDRESS(MATCH($A211,'kc-Wert für Stützen'!$C:$C,0),MATCH(L$7,'kc-Wert für Stützen'!$A$8:$ES$8,0)+7,4),,))</f>
        <v>62022.679612731175</v>
      </c>
      <c r="M211" s="768">
        <f ca="1">INDIRECT("'kc-Wert für Stützen'!"&amp;SUBSTITUTE(ADDRESS(MATCH($A211,'kc-Wert für Stützen'!$C:$C,0),MATCH(M$7,'kc-Wert für Stützen'!$A$8:$ES$8,0)+7,4),,))</f>
        <v>61365.538492908985</v>
      </c>
      <c r="N211" s="768">
        <f ca="1">INDIRECT("'kc-Wert für Stützen'!"&amp;SUBSTITUTE(ADDRESS(MATCH($A211,'kc-Wert für Stützen'!$C:$C,0),MATCH(N$7,'kc-Wert für Stützen'!$A$8:$ES$8,0)+7,4),,))</f>
        <v>60651.332494810777</v>
      </c>
      <c r="O211" s="768">
        <f ca="1">INDIRECT("'kc-Wert für Stützen'!"&amp;SUBSTITUTE(ADDRESS(MATCH($A211,'kc-Wert für Stützen'!$C:$C,0),MATCH(O$7,'kc-Wert für Stützen'!$A$8:$ES$8,0)+7,4),,))</f>
        <v>59876.8574679948</v>
      </c>
      <c r="P211" s="768">
        <f ca="1">INDIRECT("'kc-Wert für Stützen'!"&amp;SUBSTITUTE(ADDRESS(MATCH($A211,'kc-Wert für Stützen'!$C:$C,0),MATCH(P$7,'kc-Wert für Stützen'!$A$8:$ES$8,0)+7,4),,))</f>
        <v>59039.885655684142</v>
      </c>
      <c r="S211" s="772">
        <f t="shared" ca="1" si="91"/>
        <v>65707.354183943287</v>
      </c>
      <c r="T211" s="772">
        <f t="shared" ca="1" si="82"/>
        <v>65707.354183943287</v>
      </c>
      <c r="U211" s="772">
        <f t="shared" ca="1" si="82"/>
        <v>65707.354183943287</v>
      </c>
      <c r="V211" s="772">
        <f t="shared" ca="1" si="82"/>
        <v>65363.551105748185</v>
      </c>
      <c r="W211" s="772">
        <f t="shared" ca="1" si="82"/>
        <v>64993.319150107462</v>
      </c>
      <c r="X211" s="772">
        <f t="shared" ca="1" si="82"/>
        <v>64593.551802431306</v>
      </c>
      <c r="Y211" s="772">
        <f t="shared" ca="1" si="82"/>
        <v>64160.834087074123</v>
      </c>
      <c r="Z211" s="772">
        <f t="shared" ca="1" si="82"/>
        <v>65707.354183943287</v>
      </c>
      <c r="AA211" s="772">
        <f t="shared" ca="1" si="82"/>
        <v>65707.354183943287</v>
      </c>
      <c r="AB211" s="772">
        <f t="shared" ca="1" si="93"/>
        <v>65363.551105748185</v>
      </c>
      <c r="AC211" s="772">
        <f t="shared" ca="1" si="93"/>
        <v>65363.551105748185</v>
      </c>
      <c r="AD211" s="772">
        <f t="shared" ca="1" si="93"/>
        <v>64993.319150107462</v>
      </c>
      <c r="AE211" s="772">
        <f t="shared" ca="1" si="93"/>
        <v>64993.319150107462</v>
      </c>
      <c r="AF211" s="772">
        <f t="shared" ca="1" si="93"/>
        <v>64593.551802431306</v>
      </c>
      <c r="AG211" s="772">
        <f t="shared" ca="1" si="93"/>
        <v>64593.551802431306</v>
      </c>
      <c r="AH211" s="772">
        <f t="shared" ca="1" si="93"/>
        <v>64593.551802431306</v>
      </c>
      <c r="AI211" s="772">
        <f t="shared" ca="1" si="93"/>
        <v>65707.354183943287</v>
      </c>
      <c r="AJ211" s="772">
        <f t="shared" ca="1" si="93"/>
        <v>65707.354183943287</v>
      </c>
      <c r="AK211" s="772">
        <f t="shared" ca="1" si="93"/>
        <v>65363.551105748185</v>
      </c>
      <c r="AL211" s="772">
        <f t="shared" ca="1" si="93"/>
        <v>65363.551105748185</v>
      </c>
      <c r="AM211" s="772">
        <f t="shared" ca="1" si="93"/>
        <v>64993.319150107462</v>
      </c>
      <c r="AN211" s="772">
        <f t="shared" ca="1" si="93"/>
        <v>64993.319150107462</v>
      </c>
      <c r="AO211" s="772">
        <f t="shared" ca="1" si="93"/>
        <v>64593.551802431306</v>
      </c>
      <c r="AP211" s="772">
        <f t="shared" ca="1" si="93"/>
        <v>64593.551802431306</v>
      </c>
      <c r="AQ211" s="772">
        <f t="shared" ca="1" si="93"/>
        <v>64593.551802431306</v>
      </c>
      <c r="AR211" s="772">
        <f t="shared" ca="1" si="88"/>
        <v>65707.354183943287</v>
      </c>
      <c r="AS211" s="772">
        <f t="shared" ca="1" si="88"/>
        <v>65707.354183943287</v>
      </c>
      <c r="AT211" s="772">
        <f t="shared" ca="1" si="88"/>
        <v>65363.551105748185</v>
      </c>
      <c r="AU211" s="772">
        <f t="shared" ca="1" si="88"/>
        <v>65363.551105748185</v>
      </c>
      <c r="AV211" s="772">
        <f t="shared" ca="1" si="88"/>
        <v>64993.319150107462</v>
      </c>
      <c r="AW211" s="772">
        <f t="shared" ca="1" si="88"/>
        <v>64993.319150107462</v>
      </c>
      <c r="AX211" s="772">
        <f t="shared" ca="1" si="88"/>
        <v>64593.551802431306</v>
      </c>
      <c r="AY211" s="772">
        <f t="shared" ca="1" si="88"/>
        <v>64593.551802431306</v>
      </c>
      <c r="AZ211" s="772">
        <f t="shared" ca="1" si="87"/>
        <v>64593.551802431306</v>
      </c>
      <c r="BA211" s="772">
        <f t="shared" ca="1" si="87"/>
        <v>65707.354183943287</v>
      </c>
      <c r="BB211" s="772">
        <f t="shared" ca="1" si="87"/>
        <v>65707.354183943287</v>
      </c>
      <c r="BC211" s="772">
        <f t="shared" ca="1" si="87"/>
        <v>65363.551105748185</v>
      </c>
      <c r="BD211" s="772">
        <f t="shared" ca="1" si="87"/>
        <v>64993.319150107462</v>
      </c>
      <c r="BE211" s="772">
        <f t="shared" ca="1" si="87"/>
        <v>64993.319150107462</v>
      </c>
      <c r="BF211" s="772">
        <f t="shared" ca="1" si="87"/>
        <v>64593.551802431306</v>
      </c>
      <c r="BG211" s="772">
        <f t="shared" ca="1" si="87"/>
        <v>64593.551802431306</v>
      </c>
      <c r="BH211" s="772">
        <f t="shared" ca="1" si="90"/>
        <v>64160.834087074123</v>
      </c>
      <c r="BI211" s="772">
        <f t="shared" ca="1" si="90"/>
        <v>64160.834087074123</v>
      </c>
      <c r="BJ211" s="772">
        <f t="shared" ca="1" si="90"/>
        <v>65363.551105748185</v>
      </c>
      <c r="BK211" s="772">
        <f t="shared" ca="1" si="90"/>
        <v>65363.551105748185</v>
      </c>
      <c r="BL211" s="772">
        <f t="shared" ca="1" si="90"/>
        <v>65363.551105748185</v>
      </c>
      <c r="BM211" s="772">
        <f t="shared" ca="1" si="90"/>
        <v>65363.551105748185</v>
      </c>
      <c r="BN211" s="772">
        <f t="shared" ca="1" si="90"/>
        <v>64593.551802431306</v>
      </c>
      <c r="BO211" s="772">
        <f t="shared" ca="1" si="90"/>
        <v>64593.551802431306</v>
      </c>
      <c r="BP211" s="772">
        <f t="shared" ca="1" si="90"/>
        <v>64160.834087074123</v>
      </c>
      <c r="BQ211" s="772">
        <f t="shared" ca="1" si="90"/>
        <v>64160.834087074123</v>
      </c>
      <c r="BR211" s="772">
        <f t="shared" ca="1" si="90"/>
        <v>63691.452359164192</v>
      </c>
      <c r="BS211" s="772">
        <f t="shared" ca="1" si="90"/>
        <v>65363.551105748185</v>
      </c>
      <c r="BT211" s="772">
        <f t="shared" ca="1" si="90"/>
        <v>65363.551105748185</v>
      </c>
      <c r="BU211" s="772">
        <f t="shared" ca="1" si="90"/>
        <v>65363.551105748185</v>
      </c>
      <c r="BV211" s="772">
        <f t="shared" ca="1" si="90"/>
        <v>64993.319150107462</v>
      </c>
      <c r="BW211" s="772">
        <f t="shared" ca="1" si="90"/>
        <v>64993.319150107462</v>
      </c>
      <c r="BX211" s="772">
        <f t="shared" ca="1" si="92"/>
        <v>64160.834087074123</v>
      </c>
      <c r="BY211" s="772">
        <f t="shared" ca="1" si="92"/>
        <v>64160.834087074123</v>
      </c>
      <c r="BZ211" s="772">
        <f t="shared" ca="1" si="92"/>
        <v>63691.452359164192</v>
      </c>
      <c r="CA211" s="772">
        <f t="shared" ca="1" si="92"/>
        <v>63691.452359164192</v>
      </c>
      <c r="CB211" s="772">
        <f t="shared" ca="1" si="92"/>
        <v>64993.319150107462</v>
      </c>
      <c r="CC211" s="772">
        <f t="shared" ca="1" si="92"/>
        <v>64993.319150107462</v>
      </c>
      <c r="CD211" s="772">
        <f t="shared" ca="1" si="92"/>
        <v>64993.319150107462</v>
      </c>
      <c r="CE211" s="772">
        <f t="shared" ca="1" si="92"/>
        <v>64993.319150107462</v>
      </c>
      <c r="CF211" s="772">
        <f t="shared" ca="1" si="92"/>
        <v>64593.551802431306</v>
      </c>
      <c r="CG211" s="772">
        <f t="shared" ca="1" si="92"/>
        <v>64160.834087074123</v>
      </c>
      <c r="CH211" s="772">
        <f t="shared" ca="1" si="92"/>
        <v>63691.452359164192</v>
      </c>
      <c r="CI211" s="772">
        <f t="shared" ca="1" si="92"/>
        <v>63691.452359164192</v>
      </c>
      <c r="CJ211" s="772">
        <f t="shared" ca="1" si="92"/>
        <v>63181.42852439118</v>
      </c>
    </row>
    <row r="212" spans="1:88" ht="15" customHeight="1">
      <c r="A212" s="770">
        <f>'kc-Wert für Stützen'!C212</f>
        <v>264</v>
      </c>
      <c r="B212" s="768">
        <f ca="1">INDIRECT("'kc-Wert für Stützen'!"&amp;SUBSTITUTE(ADDRESS(MATCH($A212,'kc-Wert für Stützen'!$C:$C,0),MATCH(B$7,'kc-Wert für Stützen'!$A$8:$ES$8,0)+7,4),,))</f>
        <v>66862.759136342225</v>
      </c>
      <c r="C212" s="768">
        <f ca="1">INDIRECT("'kc-Wert für Stützen'!"&amp;SUBSTITUTE(ADDRESS(MATCH($A212,'kc-Wert für Stützen'!$C:$C,0),MATCH(C$7,'kc-Wert für Stützen'!$A$8:$ES$8,0)+7,4),,))</f>
        <v>66564.697344544984</v>
      </c>
      <c r="D212" s="768">
        <f ca="1">INDIRECT("'kc-Wert für Stützen'!"&amp;SUBSTITUTE(ADDRESS(MATCH($A212,'kc-Wert für Stützen'!$C:$C,0),MATCH(D$7,'kc-Wert für Stützen'!$A$8:$ES$8,0)+7,4),,))</f>
        <v>66245.789900299191</v>
      </c>
      <c r="E212" s="768">
        <f ca="1">INDIRECT("'kc-Wert für Stützen'!"&amp;SUBSTITUTE(ADDRESS(MATCH($A212,'kc-Wert für Stützen'!$C:$C,0),MATCH(E$7,'kc-Wert für Stützen'!$A$8:$ES$8,0)+7,4),,))</f>
        <v>65903.558383090683</v>
      </c>
      <c r="F212" s="768">
        <f ca="1">INDIRECT("'kc-Wert für Stützen'!"&amp;SUBSTITUTE(ADDRESS(MATCH($A212,'kc-Wert für Stützen'!$C:$C,0),MATCH(F$7,'kc-Wert für Stützen'!$A$8:$ES$8,0)+7,4),,))</f>
        <v>65535.242894298506</v>
      </c>
      <c r="G212" s="768">
        <f ca="1">INDIRECT("'kc-Wert für Stützen'!"&amp;SUBSTITUTE(ADDRESS(MATCH($A212,'kc-Wert für Stützen'!$C:$C,0),MATCH(G$7,'kc-Wert für Stützen'!$A$8:$ES$8,0)+7,4),,))</f>
        <v>65137.785180565923</v>
      </c>
      <c r="H212" s="768">
        <f ca="1">INDIRECT("'kc-Wert für Stützen'!"&amp;SUBSTITUTE(ADDRESS(MATCH($A212,'kc-Wert für Stützen'!$C:$C,0),MATCH(H$7,'kc-Wert für Stützen'!$A$8:$ES$8,0)+7,4),,))</f>
        <v>64707.820893383469</v>
      </c>
      <c r="I212" s="768">
        <f ca="1">INDIRECT("'kc-Wert für Stützen'!"&amp;SUBSTITUTE(ADDRESS(MATCH($A212,'kc-Wert für Stützen'!$C:$C,0),MATCH(I$7,'kc-Wert für Stützen'!$A$8:$ES$8,0)+7,4),,))</f>
        <v>64241.686892673548</v>
      </c>
      <c r="J212" s="768">
        <f ca="1">INDIRECT("'kc-Wert für Stützen'!"&amp;SUBSTITUTE(ADDRESS(MATCH($A212,'kc-Wert für Stützen'!$C:$C,0),MATCH(J$7,'kc-Wert für Stützen'!$A$8:$ES$8,0)+7,4),,))</f>
        <v>63735.451473981215</v>
      </c>
      <c r="K212" s="768">
        <f ca="1">INDIRECT("'kc-Wert für Stützen'!"&amp;SUBSTITUTE(ADDRESS(MATCH($A212,'kc-Wert für Stützen'!$C:$C,0),MATCH(K$7,'kc-Wert für Stützen'!$A$8:$ES$8,0)+7,4),,))</f>
        <v>63184.977366791463</v>
      </c>
      <c r="L212" s="768">
        <f ca="1">INDIRECT("'kc-Wert für Stützen'!"&amp;SUBSTITUTE(ADDRESS(MATCH($A212,'kc-Wert für Stützen'!$C:$C,0),MATCH(L$7,'kc-Wert für Stützen'!$A$8:$ES$8,0)+7,4),,))</f>
        <v>62586.028737881476</v>
      </c>
      <c r="M212" s="768">
        <f ca="1">INDIRECT("'kc-Wert für Stützen'!"&amp;SUBSTITUTE(ADDRESS(MATCH($A212,'kc-Wert für Stützen'!$C:$C,0),MATCH(M$7,'kc-Wert für Stützen'!$A$8:$ES$8,0)+7,4),,))</f>
        <v>61934.433248007765</v>
      </c>
      <c r="N212" s="768">
        <f ca="1">INDIRECT("'kc-Wert für Stützen'!"&amp;SUBSTITUTE(ADDRESS(MATCH($A212,'kc-Wert für Stützen'!$C:$C,0),MATCH(N$7,'kc-Wert für Stützen'!$A$8:$ES$8,0)+7,4),,))</f>
        <v>61226.307045987392</v>
      </c>
      <c r="O212" s="768">
        <f ca="1">INDIRECT("'kc-Wert für Stützen'!"&amp;SUBSTITUTE(ADDRESS(MATCH($A212,'kc-Wert für Stützen'!$C:$C,0),MATCH(O$7,'kc-Wert für Stützen'!$A$8:$ES$8,0)+7,4),,))</f>
        <v>60458.342887746345</v>
      </c>
      <c r="P212" s="768">
        <f ca="1">INDIRECT("'kc-Wert für Stützen'!"&amp;SUBSTITUTE(ADDRESS(MATCH($A212,'kc-Wert für Stützen'!$C:$C,0),MATCH(P$7,'kc-Wert für Stützen'!$A$8:$ES$8,0)+7,4),,))</f>
        <v>59628.148369105285</v>
      </c>
      <c r="S212" s="772">
        <f t="shared" ca="1" si="91"/>
        <v>66245.789900299191</v>
      </c>
      <c r="T212" s="772">
        <f t="shared" ca="1" si="82"/>
        <v>66245.789900299191</v>
      </c>
      <c r="U212" s="772">
        <f t="shared" ca="1" si="82"/>
        <v>66245.789900299191</v>
      </c>
      <c r="V212" s="772">
        <f t="shared" ca="1" si="82"/>
        <v>65903.558383090683</v>
      </c>
      <c r="W212" s="772">
        <f t="shared" ca="1" si="82"/>
        <v>65535.242894298506</v>
      </c>
      <c r="X212" s="772">
        <f t="shared" ca="1" si="82"/>
        <v>65137.785180565923</v>
      </c>
      <c r="Y212" s="772">
        <f t="shared" ca="1" si="82"/>
        <v>64707.820893383469</v>
      </c>
      <c r="Z212" s="772">
        <f t="shared" ca="1" si="82"/>
        <v>66245.789900299191</v>
      </c>
      <c r="AA212" s="772">
        <f t="shared" ca="1" si="82"/>
        <v>66245.789900299191</v>
      </c>
      <c r="AB212" s="772">
        <f t="shared" ca="1" si="93"/>
        <v>65903.558383090683</v>
      </c>
      <c r="AC212" s="772">
        <f t="shared" ca="1" si="93"/>
        <v>65903.558383090683</v>
      </c>
      <c r="AD212" s="772">
        <f t="shared" ca="1" si="93"/>
        <v>65535.242894298506</v>
      </c>
      <c r="AE212" s="772">
        <f t="shared" ca="1" si="93"/>
        <v>65535.242894298506</v>
      </c>
      <c r="AF212" s="772">
        <f t="shared" ca="1" si="93"/>
        <v>65137.785180565923</v>
      </c>
      <c r="AG212" s="772">
        <f t="shared" ca="1" si="93"/>
        <v>65137.785180565923</v>
      </c>
      <c r="AH212" s="772">
        <f t="shared" ca="1" si="93"/>
        <v>65137.785180565923</v>
      </c>
      <c r="AI212" s="772">
        <f t="shared" ca="1" si="93"/>
        <v>66245.789900299191</v>
      </c>
      <c r="AJ212" s="772">
        <f t="shared" ca="1" si="93"/>
        <v>66245.789900299191</v>
      </c>
      <c r="AK212" s="772">
        <f t="shared" ca="1" si="93"/>
        <v>65903.558383090683</v>
      </c>
      <c r="AL212" s="772">
        <f t="shared" ca="1" si="93"/>
        <v>65903.558383090683</v>
      </c>
      <c r="AM212" s="772">
        <f t="shared" ca="1" si="93"/>
        <v>65535.242894298506</v>
      </c>
      <c r="AN212" s="772">
        <f t="shared" ca="1" si="93"/>
        <v>65535.242894298506</v>
      </c>
      <c r="AO212" s="772">
        <f t="shared" ca="1" si="93"/>
        <v>65137.785180565923</v>
      </c>
      <c r="AP212" s="772">
        <f t="shared" ca="1" si="93"/>
        <v>65137.785180565923</v>
      </c>
      <c r="AQ212" s="772">
        <f t="shared" ca="1" si="93"/>
        <v>65137.785180565923</v>
      </c>
      <c r="AR212" s="772">
        <f t="shared" ca="1" si="88"/>
        <v>66245.789900299191</v>
      </c>
      <c r="AS212" s="772">
        <f t="shared" ca="1" si="88"/>
        <v>66245.789900299191</v>
      </c>
      <c r="AT212" s="772">
        <f t="shared" ca="1" si="88"/>
        <v>65903.558383090683</v>
      </c>
      <c r="AU212" s="772">
        <f t="shared" ca="1" si="88"/>
        <v>65903.558383090683</v>
      </c>
      <c r="AV212" s="772">
        <f t="shared" ca="1" si="88"/>
        <v>65535.242894298506</v>
      </c>
      <c r="AW212" s="772">
        <f t="shared" ca="1" si="88"/>
        <v>65535.242894298506</v>
      </c>
      <c r="AX212" s="772">
        <f t="shared" ca="1" si="88"/>
        <v>65137.785180565923</v>
      </c>
      <c r="AY212" s="772">
        <f t="shared" ca="1" si="88"/>
        <v>65137.785180565923</v>
      </c>
      <c r="AZ212" s="772">
        <f t="shared" ca="1" si="87"/>
        <v>65137.785180565923</v>
      </c>
      <c r="BA212" s="772">
        <f t="shared" ca="1" si="87"/>
        <v>66245.789900299191</v>
      </c>
      <c r="BB212" s="772">
        <f t="shared" ca="1" si="87"/>
        <v>66245.789900299191</v>
      </c>
      <c r="BC212" s="772">
        <f t="shared" ca="1" si="87"/>
        <v>65903.558383090683</v>
      </c>
      <c r="BD212" s="772">
        <f t="shared" ca="1" si="87"/>
        <v>65535.242894298506</v>
      </c>
      <c r="BE212" s="772">
        <f t="shared" ca="1" si="87"/>
        <v>65535.242894298506</v>
      </c>
      <c r="BF212" s="772">
        <f t="shared" ca="1" si="87"/>
        <v>65137.785180565923</v>
      </c>
      <c r="BG212" s="772">
        <f t="shared" ca="1" si="87"/>
        <v>65137.785180565923</v>
      </c>
      <c r="BH212" s="772">
        <f t="shared" ca="1" si="90"/>
        <v>64707.820893383469</v>
      </c>
      <c r="BI212" s="772">
        <f t="shared" ca="1" si="90"/>
        <v>64707.820893383469</v>
      </c>
      <c r="BJ212" s="772">
        <f t="shared" ca="1" si="90"/>
        <v>65903.558383090683</v>
      </c>
      <c r="BK212" s="772">
        <f t="shared" ca="1" si="90"/>
        <v>65903.558383090683</v>
      </c>
      <c r="BL212" s="772">
        <f t="shared" ca="1" si="90"/>
        <v>65903.558383090683</v>
      </c>
      <c r="BM212" s="772">
        <f t="shared" ca="1" si="90"/>
        <v>65903.558383090683</v>
      </c>
      <c r="BN212" s="772">
        <f t="shared" ca="1" si="90"/>
        <v>65137.785180565923</v>
      </c>
      <c r="BO212" s="772">
        <f t="shared" ca="1" si="90"/>
        <v>65137.785180565923</v>
      </c>
      <c r="BP212" s="772">
        <f t="shared" ca="1" si="90"/>
        <v>64707.820893383469</v>
      </c>
      <c r="BQ212" s="772">
        <f t="shared" ca="1" si="90"/>
        <v>64707.820893383469</v>
      </c>
      <c r="BR212" s="772">
        <f t="shared" ca="1" si="90"/>
        <v>64241.686892673548</v>
      </c>
      <c r="BS212" s="772">
        <f t="shared" ca="1" si="90"/>
        <v>65903.558383090683</v>
      </c>
      <c r="BT212" s="772">
        <f t="shared" ca="1" si="90"/>
        <v>65903.558383090683</v>
      </c>
      <c r="BU212" s="772">
        <f t="shared" ca="1" si="90"/>
        <v>65903.558383090683</v>
      </c>
      <c r="BV212" s="772">
        <f t="shared" ca="1" si="90"/>
        <v>65535.242894298506</v>
      </c>
      <c r="BW212" s="772">
        <f t="shared" ca="1" si="90"/>
        <v>65535.242894298506</v>
      </c>
      <c r="BX212" s="772">
        <f t="shared" ca="1" si="92"/>
        <v>64707.820893383469</v>
      </c>
      <c r="BY212" s="772">
        <f t="shared" ca="1" si="92"/>
        <v>64707.820893383469</v>
      </c>
      <c r="BZ212" s="772">
        <f t="shared" ca="1" si="92"/>
        <v>64241.686892673548</v>
      </c>
      <c r="CA212" s="772">
        <f t="shared" ca="1" si="92"/>
        <v>64241.686892673548</v>
      </c>
      <c r="CB212" s="772">
        <f t="shared" ca="1" si="92"/>
        <v>65535.242894298506</v>
      </c>
      <c r="CC212" s="772">
        <f t="shared" ca="1" si="92"/>
        <v>65535.242894298506</v>
      </c>
      <c r="CD212" s="772">
        <f t="shared" ca="1" si="92"/>
        <v>65535.242894298506</v>
      </c>
      <c r="CE212" s="772">
        <f t="shared" ca="1" si="92"/>
        <v>65535.242894298506</v>
      </c>
      <c r="CF212" s="772">
        <f t="shared" ca="1" si="92"/>
        <v>65137.785180565923</v>
      </c>
      <c r="CG212" s="772">
        <f t="shared" ca="1" si="92"/>
        <v>64707.820893383469</v>
      </c>
      <c r="CH212" s="772">
        <f t="shared" ca="1" si="92"/>
        <v>64241.686892673548</v>
      </c>
      <c r="CI212" s="772">
        <f t="shared" ca="1" si="92"/>
        <v>64241.686892673548</v>
      </c>
      <c r="CJ212" s="772">
        <f t="shared" ca="1" si="92"/>
        <v>63735.451473981215</v>
      </c>
    </row>
    <row r="213" spans="1:88" ht="15" customHeight="1">
      <c r="A213" s="770">
        <f>'kc-Wert für Stützen'!C213</f>
        <v>265</v>
      </c>
      <c r="B213" s="768">
        <f ca="1">INDIRECT("'kc-Wert für Stützen'!"&amp;SUBSTITUTE(ADDRESS(MATCH($A213,'kc-Wert für Stützen'!$C:$C,0),MATCH(B$7,'kc-Wert für Stützen'!$A$8:$ES$8,0)+7,4),,))</f>
        <v>67400.853933968901</v>
      </c>
      <c r="C213" s="768">
        <f ca="1">INDIRECT("'kc-Wert für Stützen'!"&amp;SUBSTITUTE(ADDRESS(MATCH($A213,'kc-Wert für Stützen'!$C:$C,0),MATCH(C$7,'kc-Wert für Stützen'!$A$8:$ES$8,0)+7,4),,))</f>
        <v>67103.777153336356</v>
      </c>
      <c r="D213" s="768">
        <f ca="1">INDIRECT("'kc-Wert für Stützen'!"&amp;SUBSTITUTE(ADDRESS(MATCH($A213,'kc-Wert für Stützen'!$C:$C,0),MATCH(D$7,'kc-Wert für Stützen'!$A$8:$ES$8,0)+7,4),,))</f>
        <v>66786.109921042778</v>
      </c>
      <c r="E213" s="768">
        <f ca="1">INDIRECT("'kc-Wert für Stützen'!"&amp;SUBSTITUTE(ADDRESS(MATCH($A213,'kc-Wert für Stützen'!$C:$C,0),MATCH(E$7,'kc-Wert für Stützen'!$A$8:$ES$8,0)+7,4),,))</f>
        <v>66445.413120648969</v>
      </c>
      <c r="F213" s="768">
        <f ca="1">INDIRECT("'kc-Wert für Stützen'!"&amp;SUBSTITUTE(ADDRESS(MATCH($A213,'kc-Wert für Stützen'!$C:$C,0),MATCH(F$7,'kc-Wert für Stützen'!$A$8:$ES$8,0)+7,4),,))</f>
        <v>66078.970540251525</v>
      </c>
      <c r="G213" s="768">
        <f ca="1">INDIRECT("'kc-Wert für Stützen'!"&amp;SUBSTITUTE(ADDRESS(MATCH($A213,'kc-Wert für Stützen'!$C:$C,0),MATCH(G$7,'kc-Wert für Stützen'!$A$8:$ES$8,0)+7,4),,))</f>
        <v>65683.771435546674</v>
      </c>
      <c r="H213" s="768">
        <f ca="1">INDIRECT("'kc-Wert für Stützen'!"&amp;SUBSTITUTE(ADDRESS(MATCH($A213,'kc-Wert für Stützen'!$C:$C,0),MATCH(H$7,'kc-Wert für Stützen'!$A$8:$ES$8,0)+7,4),,))</f>
        <v>65256.501524196385</v>
      </c>
      <c r="I213" s="768">
        <f ca="1">INDIRECT("'kc-Wert für Stützen'!"&amp;SUBSTITUTE(ADDRESS(MATCH($A213,'kc-Wert für Stützen'!$C:$C,0),MATCH(I$7,'kc-Wert für Stützen'!$A$8:$ES$8,0)+7,4),,))</f>
        <v>64793.547992630243</v>
      </c>
      <c r="J213" s="768">
        <f ca="1">INDIRECT("'kc-Wert für Stützen'!"&amp;SUBSTITUTE(ADDRESS(MATCH($A213,'kc-Wert für Stützen'!$C:$C,0),MATCH(J$7,'kc-Wert für Stützen'!$A$8:$ES$8,0)+7,4),,))</f>
        <v>64291.026002364822</v>
      </c>
      <c r="K213" s="768">
        <f ca="1">INDIRECT("'kc-Wert für Stützen'!"&amp;SUBSTITUTE(ADDRESS(MATCH($A213,'kc-Wert für Stützen'!$C:$C,0),MATCH(K$7,'kc-Wert für Stützen'!$A$8:$ES$8,0)+7,4),,))</f>
        <v>63744.836131971817</v>
      </c>
      <c r="L213" s="768">
        <f ca="1">INDIRECT("'kc-Wert für Stützen'!"&amp;SUBSTITUTE(ADDRESS(MATCH($A213,'kc-Wert für Stützen'!$C:$C,0),MATCH(L$7,'kc-Wert für Stützen'!$A$8:$ES$8,0)+7,4),,))</f>
        <v>63150.76366626579</v>
      </c>
      <c r="M213" s="768">
        <f ca="1">INDIRECT("'kc-Wert für Stützen'!"&amp;SUBSTITUTE(ADDRESS(MATCH($A213,'kc-Wert für Stützen'!$C:$C,0),MATCH(M$7,'kc-Wert für Stützen'!$A$8:$ES$8,0)+7,4),,))</f>
        <v>62504.630740303277</v>
      </c>
      <c r="N213" s="768">
        <f ca="1">INDIRECT("'kc-Wert für Stützen'!"&amp;SUBSTITUTE(ADDRESS(MATCH($A213,'kc-Wert für Stützen'!$C:$C,0),MATCH(N$7,'kc-Wert für Stützen'!$A$8:$ES$8,0)+7,4),,))</f>
        <v>61802.509743111506</v>
      </c>
      <c r="O213" s="768">
        <f ca="1">INDIRECT("'kc-Wert für Stützen'!"&amp;SUBSTITUTE(ADDRESS(MATCH($A213,'kc-Wert für Stützen'!$C:$C,0),MATCH(O$7,'kc-Wert für Stützen'!$A$8:$ES$8,0)+7,4),,))</f>
        <v>61040.999564639584</v>
      </c>
      <c r="P213" s="768">
        <f ca="1">INDIRECT("'kc-Wert für Stützen'!"&amp;SUBSTITUTE(ADDRESS(MATCH($A213,'kc-Wert für Stützen'!$C:$C,0),MATCH(P$7,'kc-Wert für Stützen'!$A$8:$ES$8,0)+7,4),,))</f>
        <v>60217.554143403388</v>
      </c>
      <c r="S213" s="772">
        <f t="shared" ca="1" si="91"/>
        <v>66786.109921042778</v>
      </c>
      <c r="T213" s="772">
        <f t="shared" ca="1" si="82"/>
        <v>66786.109921042778</v>
      </c>
      <c r="U213" s="772">
        <f t="shared" ca="1" si="82"/>
        <v>66786.109921042778</v>
      </c>
      <c r="V213" s="772">
        <f t="shared" ca="1" si="82"/>
        <v>66445.413120648969</v>
      </c>
      <c r="W213" s="772">
        <f t="shared" ca="1" si="82"/>
        <v>66078.970540251525</v>
      </c>
      <c r="X213" s="772">
        <f t="shared" ca="1" si="82"/>
        <v>65683.771435546674</v>
      </c>
      <c r="Y213" s="772">
        <f t="shared" ca="1" si="82"/>
        <v>65256.501524196385</v>
      </c>
      <c r="Z213" s="772">
        <f t="shared" ca="1" si="82"/>
        <v>66786.109921042778</v>
      </c>
      <c r="AA213" s="772">
        <f t="shared" ca="1" si="82"/>
        <v>66786.109921042778</v>
      </c>
      <c r="AB213" s="772">
        <f t="shared" ca="1" si="93"/>
        <v>66445.413120648969</v>
      </c>
      <c r="AC213" s="772">
        <f t="shared" ca="1" si="93"/>
        <v>66445.413120648969</v>
      </c>
      <c r="AD213" s="772">
        <f t="shared" ca="1" si="93"/>
        <v>66078.970540251525</v>
      </c>
      <c r="AE213" s="772">
        <f t="shared" ca="1" si="93"/>
        <v>66078.970540251525</v>
      </c>
      <c r="AF213" s="772">
        <f t="shared" ca="1" si="93"/>
        <v>65683.771435546674</v>
      </c>
      <c r="AG213" s="772">
        <f t="shared" ca="1" si="93"/>
        <v>65683.771435546674</v>
      </c>
      <c r="AH213" s="772">
        <f t="shared" ca="1" si="93"/>
        <v>65683.771435546674</v>
      </c>
      <c r="AI213" s="772">
        <f t="shared" ca="1" si="93"/>
        <v>66786.109921042778</v>
      </c>
      <c r="AJ213" s="772">
        <f t="shared" ca="1" si="93"/>
        <v>66786.109921042778</v>
      </c>
      <c r="AK213" s="772">
        <f t="shared" ca="1" si="93"/>
        <v>66445.413120648969</v>
      </c>
      <c r="AL213" s="772">
        <f t="shared" ca="1" si="93"/>
        <v>66445.413120648969</v>
      </c>
      <c r="AM213" s="772">
        <f t="shared" ca="1" si="93"/>
        <v>66078.970540251525</v>
      </c>
      <c r="AN213" s="772">
        <f t="shared" ca="1" si="93"/>
        <v>66078.970540251525</v>
      </c>
      <c r="AO213" s="772">
        <f t="shared" ca="1" si="93"/>
        <v>65683.771435546674</v>
      </c>
      <c r="AP213" s="772">
        <f t="shared" ca="1" si="93"/>
        <v>65683.771435546674</v>
      </c>
      <c r="AQ213" s="772">
        <f t="shared" ca="1" si="93"/>
        <v>65683.771435546674</v>
      </c>
      <c r="AR213" s="772">
        <f t="shared" ca="1" si="88"/>
        <v>66786.109921042778</v>
      </c>
      <c r="AS213" s="772">
        <f t="shared" ca="1" si="88"/>
        <v>66786.109921042778</v>
      </c>
      <c r="AT213" s="772">
        <f t="shared" ca="1" si="88"/>
        <v>66445.413120648969</v>
      </c>
      <c r="AU213" s="772">
        <f t="shared" ca="1" si="88"/>
        <v>66445.413120648969</v>
      </c>
      <c r="AV213" s="772">
        <f t="shared" ca="1" si="88"/>
        <v>66078.970540251525</v>
      </c>
      <c r="AW213" s="772">
        <f t="shared" ca="1" si="88"/>
        <v>66078.970540251525</v>
      </c>
      <c r="AX213" s="772">
        <f t="shared" ca="1" si="88"/>
        <v>65683.771435546674</v>
      </c>
      <c r="AY213" s="772">
        <f t="shared" ca="1" si="88"/>
        <v>65683.771435546674</v>
      </c>
      <c r="AZ213" s="772">
        <f t="shared" ca="1" si="87"/>
        <v>65683.771435546674</v>
      </c>
      <c r="BA213" s="772">
        <f t="shared" ca="1" si="87"/>
        <v>66786.109921042778</v>
      </c>
      <c r="BB213" s="772">
        <f t="shared" ca="1" si="87"/>
        <v>66786.109921042778</v>
      </c>
      <c r="BC213" s="772">
        <f t="shared" ca="1" si="87"/>
        <v>66445.413120648969</v>
      </c>
      <c r="BD213" s="772">
        <f t="shared" ca="1" si="87"/>
        <v>66078.970540251525</v>
      </c>
      <c r="BE213" s="772">
        <f t="shared" ca="1" si="87"/>
        <v>66078.970540251525</v>
      </c>
      <c r="BF213" s="772">
        <f t="shared" ca="1" si="87"/>
        <v>65683.771435546674</v>
      </c>
      <c r="BG213" s="772">
        <f t="shared" ca="1" si="87"/>
        <v>65683.771435546674</v>
      </c>
      <c r="BH213" s="772">
        <f t="shared" ca="1" si="87"/>
        <v>65256.501524196385</v>
      </c>
      <c r="BI213" s="772">
        <f t="shared" ca="1" si="87"/>
        <v>65256.501524196385</v>
      </c>
      <c r="BJ213" s="772">
        <f t="shared" ca="1" si="87"/>
        <v>66445.413120648969</v>
      </c>
      <c r="BK213" s="772">
        <f t="shared" ca="1" si="87"/>
        <v>66445.413120648969</v>
      </c>
      <c r="BL213" s="772">
        <f t="shared" ca="1" si="87"/>
        <v>66445.413120648969</v>
      </c>
      <c r="BM213" s="772">
        <f t="shared" ca="1" si="87"/>
        <v>66445.413120648969</v>
      </c>
      <c r="BN213" s="772">
        <f t="shared" ca="1" si="87"/>
        <v>65683.771435546674</v>
      </c>
      <c r="BO213" s="772">
        <f t="shared" ca="1" si="90"/>
        <v>65683.771435546674</v>
      </c>
      <c r="BP213" s="772">
        <f t="shared" ca="1" si="90"/>
        <v>65256.501524196385</v>
      </c>
      <c r="BQ213" s="772">
        <f t="shared" ca="1" si="90"/>
        <v>65256.501524196385</v>
      </c>
      <c r="BR213" s="772">
        <f t="shared" ca="1" si="90"/>
        <v>64793.547992630243</v>
      </c>
      <c r="BS213" s="772">
        <f t="shared" ca="1" si="90"/>
        <v>66445.413120648969</v>
      </c>
      <c r="BT213" s="772">
        <f t="shared" ca="1" si="90"/>
        <v>66445.413120648969</v>
      </c>
      <c r="BU213" s="772">
        <f t="shared" ca="1" si="90"/>
        <v>66445.413120648969</v>
      </c>
      <c r="BV213" s="772">
        <f t="shared" ca="1" si="90"/>
        <v>66078.970540251525</v>
      </c>
      <c r="BW213" s="772">
        <f t="shared" ca="1" si="90"/>
        <v>66078.970540251525</v>
      </c>
      <c r="BX213" s="772">
        <f t="shared" ca="1" si="92"/>
        <v>65256.501524196385</v>
      </c>
      <c r="BY213" s="772">
        <f t="shared" ca="1" si="92"/>
        <v>65256.501524196385</v>
      </c>
      <c r="BZ213" s="772">
        <f t="shared" ca="1" si="92"/>
        <v>64793.547992630243</v>
      </c>
      <c r="CA213" s="772">
        <f t="shared" ca="1" si="92"/>
        <v>64793.547992630243</v>
      </c>
      <c r="CB213" s="772">
        <f t="shared" ca="1" si="92"/>
        <v>66078.970540251525</v>
      </c>
      <c r="CC213" s="772">
        <f t="shared" ca="1" si="92"/>
        <v>66078.970540251525</v>
      </c>
      <c r="CD213" s="772">
        <f t="shared" ca="1" si="92"/>
        <v>66078.970540251525</v>
      </c>
      <c r="CE213" s="772">
        <f t="shared" ca="1" si="92"/>
        <v>66078.970540251525</v>
      </c>
      <c r="CF213" s="772">
        <f t="shared" ca="1" si="92"/>
        <v>65683.771435546674</v>
      </c>
      <c r="CG213" s="772">
        <f t="shared" ca="1" si="92"/>
        <v>65256.501524196385</v>
      </c>
      <c r="CH213" s="772">
        <f t="shared" ca="1" si="92"/>
        <v>64793.547992630243</v>
      </c>
      <c r="CI213" s="772">
        <f t="shared" ca="1" si="92"/>
        <v>64793.547992630243</v>
      </c>
      <c r="CJ213" s="772">
        <f t="shared" ca="1" si="92"/>
        <v>64291.026002364822</v>
      </c>
    </row>
    <row r="214" spans="1:88" ht="15" customHeight="1">
      <c r="A214" s="770">
        <f>'kc-Wert für Stützen'!C214</f>
        <v>266</v>
      </c>
      <c r="B214" s="768">
        <f ca="1">INDIRECT("'kc-Wert für Stützen'!"&amp;SUBSTITUTE(ADDRESS(MATCH($A214,'kc-Wert für Stützen'!$C:$C,0),MATCH(B$7,'kc-Wert für Stützen'!$A$8:$ES$8,0)+7,4),,))</f>
        <v>67940.892304336579</v>
      </c>
      <c r="C214" s="768">
        <f ca="1">INDIRECT("'kc-Wert für Stützen'!"&amp;SUBSTITUTE(ADDRESS(MATCH($A214,'kc-Wert für Stützen'!$C:$C,0),MATCH(C$7,'kc-Wert für Stützen'!$A$8:$ES$8,0)+7,4),,))</f>
        <v>67644.77527724579</v>
      </c>
      <c r="D214" s="768">
        <f ca="1">INDIRECT("'kc-Wert für Stützen'!"&amp;SUBSTITUTE(ADDRESS(MATCH($A214,'kc-Wert für Stützen'!$C:$C,0),MATCH(D$7,'kc-Wert für Stützen'!$A$8:$ES$8,0)+7,4),,))</f>
        <v>67328.318030383889</v>
      </c>
      <c r="E214" s="768">
        <f ca="1">INDIRECT("'kc-Wert für Stützen'!"&amp;SUBSTITUTE(ADDRESS(MATCH($A214,'kc-Wert für Stützen'!$C:$C,0),MATCH(E$7,'kc-Wert für Stützen'!$A$8:$ES$8,0)+7,4),,))</f>
        <v>66989.119959855539</v>
      </c>
      <c r="F214" s="768">
        <f ca="1">INDIRECT("'kc-Wert für Stützen'!"&amp;SUBSTITUTE(ADDRESS(MATCH($A214,'kc-Wert für Stützen'!$C:$C,0),MATCH(F$7,'kc-Wert für Stützen'!$A$8:$ES$8,0)+7,4),,))</f>
        <v>66624.507730574143</v>
      </c>
      <c r="G214" s="768">
        <f ca="1">INDIRECT("'kc-Wert für Stützen'!"&amp;SUBSTITUTE(ADDRESS(MATCH($A214,'kc-Wert für Stützen'!$C:$C,0),MATCH(G$7,'kc-Wert für Stützen'!$A$8:$ES$8,0)+7,4),,))</f>
        <v>66231.517350387658</v>
      </c>
      <c r="H214" s="768">
        <f ca="1">INDIRECT("'kc-Wert für Stützen'!"&amp;SUBSTITUTE(ADDRESS(MATCH($A214,'kc-Wert für Stützen'!$C:$C,0),MATCH(H$7,'kc-Wert für Stützen'!$A$8:$ES$8,0)+7,4),,))</f>
        <v>65806.884016407479</v>
      </c>
      <c r="I214" s="768">
        <f ca="1">INDIRECT("'kc-Wert für Stützen'!"&amp;SUBSTITUTE(ADDRESS(MATCH($A214,'kc-Wert für Stützen'!$C:$C,0),MATCH(I$7,'kc-Wert für Stützen'!$A$8:$ES$8,0)+7,4),,))</f>
        <v>65347.045004139385</v>
      </c>
      <c r="J214" s="768">
        <f ca="1">INDIRECT("'kc-Wert für Stützen'!"&amp;SUBSTITUTE(ADDRESS(MATCH($A214,'kc-Wert für Stützen'!$C:$C,0),MATCH(J$7,'kc-Wert für Stützen'!$A$8:$ES$8,0)+7,4),,))</f>
        <v>64848.162709012024</v>
      </c>
      <c r="K214" s="768">
        <f ca="1">INDIRECT("'kc-Wert für Stützen'!"&amp;SUBSTITUTE(ADDRESS(MATCH($A214,'kc-Wert für Stützen'!$C:$C,0),MATCH(K$7,'kc-Wert für Stützen'!$A$8:$ES$8,0)+7,4),,))</f>
        <v>64306.17687204705</v>
      </c>
      <c r="L214" s="768">
        <f ca="1">INDIRECT("'kc-Wert für Stützen'!"&amp;SUBSTITUTE(ADDRESS(MATCH($A214,'kc-Wert für Stützen'!$C:$C,0),MATCH(L$7,'kc-Wert für Stützen'!$A$8:$ES$8,0)+7,4),,))</f>
        <v>63716.896565712697</v>
      </c>
      <c r="M214" s="768">
        <f ca="1">INDIRECT("'kc-Wert für Stützen'!"&amp;SUBSTITUTE(ADDRESS(MATCH($A214,'kc-Wert für Stützen'!$C:$C,0),MATCH(M$7,'kc-Wert für Stützen'!$A$8:$ES$8,0)+7,4),,))</f>
        <v>63076.142856162238</v>
      </c>
      <c r="N214" s="768">
        <f ca="1">INDIRECT("'kc-Wert für Stützen'!"&amp;SUBSTITUTE(ADDRESS(MATCH($A214,'kc-Wert für Stützen'!$C:$C,0),MATCH(N$7,'kc-Wert für Stützen'!$A$8:$ES$8,0)+7,4),,))</f>
        <v>62379.950961316354</v>
      </c>
      <c r="O214" s="768">
        <f ca="1">INDIRECT("'kc-Wert für Stützen'!"&amp;SUBSTITUTE(ADDRESS(MATCH($A214,'kc-Wert für Stützen'!$C:$C,0),MATCH(O$7,'kc-Wert für Stützen'!$A$8:$ES$8,0)+7,4),,))</f>
        <v>61624.83471500926</v>
      </c>
      <c r="P214" s="768">
        <f ca="1">INDIRECT("'kc-Wert für Stützen'!"&amp;SUBSTITUTE(ADDRESS(MATCH($A214,'kc-Wert für Stützen'!$C:$C,0),MATCH(P$7,'kc-Wert für Stützen'!$A$8:$ES$8,0)+7,4),,))</f>
        <v>60808.105054742824</v>
      </c>
      <c r="S214" s="772">
        <f t="shared" ca="1" si="91"/>
        <v>67328.318030383889</v>
      </c>
      <c r="T214" s="772">
        <f t="shared" ca="1" si="82"/>
        <v>67328.318030383889</v>
      </c>
      <c r="U214" s="772">
        <f t="shared" ca="1" si="82"/>
        <v>67328.318030383889</v>
      </c>
      <c r="V214" s="772">
        <f t="shared" ca="1" si="82"/>
        <v>66989.119959855539</v>
      </c>
      <c r="W214" s="772">
        <f t="shared" ca="1" si="82"/>
        <v>66624.507730574143</v>
      </c>
      <c r="X214" s="772">
        <f t="shared" ca="1" si="82"/>
        <v>66231.517350387658</v>
      </c>
      <c r="Y214" s="772">
        <f t="shared" ca="1" si="82"/>
        <v>65806.884016407479</v>
      </c>
      <c r="Z214" s="772">
        <f t="shared" ca="1" si="82"/>
        <v>67328.318030383889</v>
      </c>
      <c r="AA214" s="772">
        <f t="shared" ca="1" si="82"/>
        <v>67328.318030383889</v>
      </c>
      <c r="AB214" s="772">
        <f t="shared" ca="1" si="93"/>
        <v>66989.119959855539</v>
      </c>
      <c r="AC214" s="772">
        <f t="shared" ca="1" si="93"/>
        <v>66989.119959855539</v>
      </c>
      <c r="AD214" s="772">
        <f t="shared" ca="1" si="93"/>
        <v>66624.507730574143</v>
      </c>
      <c r="AE214" s="772">
        <f t="shared" ca="1" si="93"/>
        <v>66624.507730574143</v>
      </c>
      <c r="AF214" s="772">
        <f t="shared" ca="1" si="93"/>
        <v>66231.517350387658</v>
      </c>
      <c r="AG214" s="772">
        <f t="shared" ca="1" si="93"/>
        <v>66231.517350387658</v>
      </c>
      <c r="AH214" s="772">
        <f t="shared" ca="1" si="93"/>
        <v>66231.517350387658</v>
      </c>
      <c r="AI214" s="772">
        <f t="shared" ca="1" si="93"/>
        <v>67328.318030383889</v>
      </c>
      <c r="AJ214" s="772">
        <f t="shared" ca="1" si="93"/>
        <v>67328.318030383889</v>
      </c>
      <c r="AK214" s="772">
        <f t="shared" ca="1" si="93"/>
        <v>66989.119959855539</v>
      </c>
      <c r="AL214" s="772">
        <f t="shared" ca="1" si="93"/>
        <v>66989.119959855539</v>
      </c>
      <c r="AM214" s="772">
        <f t="shared" ca="1" si="93"/>
        <v>66624.507730574143</v>
      </c>
      <c r="AN214" s="772">
        <f t="shared" ca="1" si="93"/>
        <v>66624.507730574143</v>
      </c>
      <c r="AO214" s="772">
        <f t="shared" ca="1" si="93"/>
        <v>66231.517350387658</v>
      </c>
      <c r="AP214" s="772">
        <f t="shared" ca="1" si="93"/>
        <v>66231.517350387658</v>
      </c>
      <c r="AQ214" s="772">
        <f t="shared" ca="1" si="93"/>
        <v>66231.517350387658</v>
      </c>
      <c r="AR214" s="772">
        <f t="shared" ca="1" si="88"/>
        <v>67328.318030383889</v>
      </c>
      <c r="AS214" s="772">
        <f t="shared" ca="1" si="88"/>
        <v>67328.318030383889</v>
      </c>
      <c r="AT214" s="772">
        <f t="shared" ca="1" si="88"/>
        <v>66989.119959855539</v>
      </c>
      <c r="AU214" s="772">
        <f t="shared" ca="1" si="88"/>
        <v>66989.119959855539</v>
      </c>
      <c r="AV214" s="772">
        <f t="shared" ca="1" si="88"/>
        <v>66624.507730574143</v>
      </c>
      <c r="AW214" s="772">
        <f t="shared" ca="1" si="88"/>
        <v>66624.507730574143</v>
      </c>
      <c r="AX214" s="772">
        <f t="shared" ca="1" si="88"/>
        <v>66231.517350387658</v>
      </c>
      <c r="AY214" s="772">
        <f t="shared" ca="1" si="88"/>
        <v>66231.517350387658</v>
      </c>
      <c r="AZ214" s="772">
        <f t="shared" ca="1" si="87"/>
        <v>66231.517350387658</v>
      </c>
      <c r="BA214" s="772">
        <f t="shared" ca="1" si="87"/>
        <v>67328.318030383889</v>
      </c>
      <c r="BB214" s="772">
        <f t="shared" ca="1" si="87"/>
        <v>67328.318030383889</v>
      </c>
      <c r="BC214" s="772">
        <f t="shared" ca="1" si="87"/>
        <v>66989.119959855539</v>
      </c>
      <c r="BD214" s="772">
        <f t="shared" ca="1" si="87"/>
        <v>66624.507730574143</v>
      </c>
      <c r="BE214" s="772">
        <f t="shared" ca="1" si="87"/>
        <v>66624.507730574143</v>
      </c>
      <c r="BF214" s="772">
        <f t="shared" ca="1" si="87"/>
        <v>66231.517350387658</v>
      </c>
      <c r="BG214" s="772">
        <f t="shared" ca="1" si="87"/>
        <v>66231.517350387658</v>
      </c>
      <c r="BH214" s="772">
        <f t="shared" ca="1" si="87"/>
        <v>65806.884016407479</v>
      </c>
      <c r="BI214" s="772">
        <f t="shared" ca="1" si="87"/>
        <v>65806.884016407479</v>
      </c>
      <c r="BJ214" s="772">
        <f t="shared" ca="1" si="87"/>
        <v>66989.119959855539</v>
      </c>
      <c r="BK214" s="772">
        <f t="shared" ca="1" si="87"/>
        <v>66989.119959855539</v>
      </c>
      <c r="BL214" s="772">
        <f t="shared" ca="1" si="87"/>
        <v>66989.119959855539</v>
      </c>
      <c r="BM214" s="772">
        <f t="shared" ca="1" si="87"/>
        <v>66989.119959855539</v>
      </c>
      <c r="BN214" s="772">
        <f t="shared" ca="1" si="87"/>
        <v>66231.517350387658</v>
      </c>
      <c r="BO214" s="772">
        <f t="shared" ca="1" si="90"/>
        <v>66231.517350387658</v>
      </c>
      <c r="BP214" s="772">
        <f t="shared" ca="1" si="90"/>
        <v>65806.884016407479</v>
      </c>
      <c r="BQ214" s="772">
        <f t="shared" ca="1" si="90"/>
        <v>65806.884016407479</v>
      </c>
      <c r="BR214" s="772">
        <f t="shared" ca="1" si="90"/>
        <v>65347.045004139385</v>
      </c>
      <c r="BS214" s="772">
        <f t="shared" ca="1" si="90"/>
        <v>66989.119959855539</v>
      </c>
      <c r="BT214" s="772">
        <f t="shared" ca="1" si="90"/>
        <v>66989.119959855539</v>
      </c>
      <c r="BU214" s="772">
        <f t="shared" ca="1" si="90"/>
        <v>66989.119959855539</v>
      </c>
      <c r="BV214" s="772">
        <f t="shared" ca="1" si="90"/>
        <v>66624.507730574143</v>
      </c>
      <c r="BW214" s="772">
        <f t="shared" ca="1" si="90"/>
        <v>66624.507730574143</v>
      </c>
      <c r="BX214" s="772">
        <f t="shared" ca="1" si="92"/>
        <v>65806.884016407479</v>
      </c>
      <c r="BY214" s="772">
        <f t="shared" ca="1" si="92"/>
        <v>65806.884016407479</v>
      </c>
      <c r="BZ214" s="772">
        <f t="shared" ca="1" si="92"/>
        <v>65347.045004139385</v>
      </c>
      <c r="CA214" s="772">
        <f t="shared" ca="1" si="92"/>
        <v>65347.045004139385</v>
      </c>
      <c r="CB214" s="772">
        <f t="shared" ca="1" si="92"/>
        <v>66624.507730574143</v>
      </c>
      <c r="CC214" s="772">
        <f t="shared" ca="1" si="92"/>
        <v>66624.507730574143</v>
      </c>
      <c r="CD214" s="772">
        <f t="shared" ca="1" si="92"/>
        <v>66624.507730574143</v>
      </c>
      <c r="CE214" s="772">
        <f t="shared" ca="1" si="92"/>
        <v>66624.507730574143</v>
      </c>
      <c r="CF214" s="772">
        <f t="shared" ca="1" si="92"/>
        <v>66231.517350387658</v>
      </c>
      <c r="CG214" s="772">
        <f t="shared" ca="1" si="92"/>
        <v>65806.884016407479</v>
      </c>
      <c r="CH214" s="772">
        <f t="shared" ca="1" si="92"/>
        <v>65347.045004139385</v>
      </c>
      <c r="CI214" s="772">
        <f t="shared" ca="1" si="92"/>
        <v>65347.045004139385</v>
      </c>
      <c r="CJ214" s="772">
        <f t="shared" ca="1" si="92"/>
        <v>64848.162709012024</v>
      </c>
    </row>
    <row r="215" spans="1:88" ht="15" customHeight="1">
      <c r="A215" s="770">
        <f>'kc-Wert für Stützen'!C215</f>
        <v>267</v>
      </c>
      <c r="B215" s="768">
        <f ca="1">INDIRECT("'kc-Wert für Stützen'!"&amp;SUBSTITUTE(ADDRESS(MATCH($A215,'kc-Wert für Stützen'!$C:$C,0),MATCH(B$7,'kc-Wert für Stützen'!$A$8:$ES$8,0)+7,4),,))</f>
        <v>68482.876647743295</v>
      </c>
      <c r="C215" s="768">
        <f ca="1">INDIRECT("'kc-Wert für Stützen'!"&amp;SUBSTITUTE(ADDRESS(MATCH($A215,'kc-Wert für Stützen'!$C:$C,0),MATCH(C$7,'kc-Wert für Stützen'!$A$8:$ES$8,0)+7,4),,))</f>
        <v>68187.694697546191</v>
      </c>
      <c r="D215" s="768">
        <f ca="1">INDIRECT("'kc-Wert für Stützen'!"&amp;SUBSTITUTE(ADDRESS(MATCH($A215,'kc-Wert für Stützen'!$C:$C,0),MATCH(D$7,'kc-Wert für Stützen'!$A$8:$ES$8,0)+7,4),,))</f>
        <v>67872.417910548349</v>
      </c>
      <c r="E215" s="768">
        <f ca="1">INDIRECT("'kc-Wert für Stützen'!"&amp;SUBSTITUTE(ADDRESS(MATCH($A215,'kc-Wert für Stützen'!$C:$C,0),MATCH(E$7,'kc-Wert für Stützen'!$A$8:$ES$8,0)+7,4),,))</f>
        <v>67534.683417609718</v>
      </c>
      <c r="F215" s="768">
        <f ca="1">INDIRECT("'kc-Wert für Stützen'!"&amp;SUBSTITUTE(ADDRESS(MATCH($A215,'kc-Wert für Stützen'!$C:$C,0),MATCH(F$7,'kc-Wert für Stützen'!$A$8:$ES$8,0)+7,4),,))</f>
        <v>67171.859958804605</v>
      </c>
      <c r="G215" s="768">
        <f ca="1">INDIRECT("'kc-Wert für Stützen'!"&amp;SUBSTITUTE(ADDRESS(MATCH($A215,'kc-Wert für Stützen'!$C:$C,0),MATCH(G$7,'kc-Wert für Stützen'!$A$8:$ES$8,0)+7,4),,))</f>
        <v>66781.029534402478</v>
      </c>
      <c r="H215" s="768">
        <f ca="1">INDIRECT("'kc-Wert für Stützen'!"&amp;SUBSTITUTE(ADDRESS(MATCH($A215,'kc-Wert für Stützen'!$C:$C,0),MATCH(H$7,'kc-Wert für Stützen'!$A$8:$ES$8,0)+7,4),,))</f>
        <v>66358.976212001522</v>
      </c>
      <c r="I215" s="768">
        <f ca="1">INDIRECT("'kc-Wert für Stützen'!"&amp;SUBSTITUTE(ADDRESS(MATCH($A215,'kc-Wert für Stützen'!$C:$C,0),MATCH(I$7,'kc-Wert für Stützen'!$A$8:$ES$8,0)+7,4),,))</f>
        <v>65902.187065448961</v>
      </c>
      <c r="J215" s="768">
        <f ca="1">INDIRECT("'kc-Wert für Stützen'!"&amp;SUBSTITUTE(ADDRESS(MATCH($A215,'kc-Wert für Stützen'!$C:$C,0),MATCH(J$7,'kc-Wert für Stützen'!$A$8:$ES$8,0)+7,4),,))</f>
        <v>65406.871992720364</v>
      </c>
      <c r="K215" s="768">
        <f ca="1">INDIRECT("'kc-Wert für Stützen'!"&amp;SUBSTITUTE(ADDRESS(MATCH($A215,'kc-Wert für Stützen'!$C:$C,0),MATCH(K$7,'kc-Wert für Stützen'!$A$8:$ES$8,0)+7,4),,))</f>
        <v>64869.011048481982</v>
      </c>
      <c r="L215" s="768">
        <f ca="1">INDIRECT("'kc-Wert für Stützen'!"&amp;SUBSTITUTE(ADDRESS(MATCH($A215,'kc-Wert für Stützen'!$C:$C,0),MATCH(L$7,'kc-Wert für Stützen'!$A$8:$ES$8,0)+7,4),,))</f>
        <v>64284.439522449313</v>
      </c>
      <c r="M215" s="768">
        <f ca="1">INDIRECT("'kc-Wert für Stützen'!"&amp;SUBSTITUTE(ADDRESS(MATCH($A215,'kc-Wert für Stützen'!$C:$C,0),MATCH(M$7,'kc-Wert für Stützen'!$A$8:$ES$8,0)+7,4),,))</f>
        <v>63648.981544990493</v>
      </c>
      <c r="N215" s="768">
        <f ca="1">INDIRECT("'kc-Wert für Stützen'!"&amp;SUBSTITUTE(ADDRESS(MATCH($A215,'kc-Wert für Stützen'!$C:$C,0),MATCH(N$7,'kc-Wert für Stützen'!$A$8:$ES$8,0)+7,4),,))</f>
        <v>62958.641358708941</v>
      </c>
      <c r="O215" s="768">
        <f ca="1">INDIRECT("'kc-Wert für Stützen'!"&amp;SUBSTITUTE(ADDRESS(MATCH($A215,'kc-Wert für Stützen'!$C:$C,0),MATCH(O$7,'kc-Wert für Stützen'!$A$8:$ES$8,0)+7,4),,))</f>
        <v>62209.856136306938</v>
      </c>
      <c r="P215" s="768">
        <f ca="1">INDIRECT("'kc-Wert für Stützen'!"&amp;SUBSTITUTE(ADDRESS(MATCH($A215,'kc-Wert für Stützen'!$C:$C,0),MATCH(P$7,'kc-Wert für Stützen'!$A$8:$ES$8,0)+7,4),,))</f>
        <v>61399.804121424932</v>
      </c>
      <c r="S215" s="772">
        <f t="shared" ca="1" si="91"/>
        <v>67872.417910548349</v>
      </c>
      <c r="T215" s="772">
        <f t="shared" ca="1" si="82"/>
        <v>67872.417910548349</v>
      </c>
      <c r="U215" s="772">
        <f t="shared" ref="T215:AA243" ca="1" si="94">HLOOKUP(U$7,$A$7:$P$348,ROW()-6)</f>
        <v>67872.417910548349</v>
      </c>
      <c r="V215" s="772">
        <f t="shared" ca="1" si="94"/>
        <v>67534.683417609718</v>
      </c>
      <c r="W215" s="772">
        <f t="shared" ca="1" si="94"/>
        <v>67171.859958804605</v>
      </c>
      <c r="X215" s="772">
        <f t="shared" ca="1" si="94"/>
        <v>66781.029534402478</v>
      </c>
      <c r="Y215" s="772">
        <f t="shared" ca="1" si="94"/>
        <v>66358.976212001522</v>
      </c>
      <c r="Z215" s="772">
        <f t="shared" ca="1" si="94"/>
        <v>67872.417910548349</v>
      </c>
      <c r="AA215" s="772">
        <f t="shared" ca="1" si="94"/>
        <v>67872.417910548349</v>
      </c>
      <c r="AB215" s="772">
        <f t="shared" ca="1" si="93"/>
        <v>67534.683417609718</v>
      </c>
      <c r="AC215" s="772">
        <f t="shared" ca="1" si="93"/>
        <v>67534.683417609718</v>
      </c>
      <c r="AD215" s="772">
        <f t="shared" ca="1" si="93"/>
        <v>67171.859958804605</v>
      </c>
      <c r="AE215" s="772">
        <f t="shared" ca="1" si="93"/>
        <v>67171.859958804605</v>
      </c>
      <c r="AF215" s="772">
        <f t="shared" ca="1" si="93"/>
        <v>66781.029534402478</v>
      </c>
      <c r="AG215" s="772">
        <f t="shared" ca="1" si="93"/>
        <v>66781.029534402478</v>
      </c>
      <c r="AH215" s="772">
        <f t="shared" ca="1" si="93"/>
        <v>66781.029534402478</v>
      </c>
      <c r="AI215" s="772">
        <f t="shared" ca="1" si="93"/>
        <v>67872.417910548349</v>
      </c>
      <c r="AJ215" s="772">
        <f t="shared" ca="1" si="93"/>
        <v>67872.417910548349</v>
      </c>
      <c r="AK215" s="772">
        <f t="shared" ca="1" si="93"/>
        <v>67534.683417609718</v>
      </c>
      <c r="AL215" s="772">
        <f t="shared" ca="1" si="93"/>
        <v>67534.683417609718</v>
      </c>
      <c r="AM215" s="772">
        <f t="shared" ca="1" si="93"/>
        <v>67171.859958804605</v>
      </c>
      <c r="AN215" s="772">
        <f t="shared" ca="1" si="93"/>
        <v>67171.859958804605</v>
      </c>
      <c r="AO215" s="772">
        <f t="shared" ca="1" si="93"/>
        <v>66781.029534402478</v>
      </c>
      <c r="AP215" s="772">
        <f t="shared" ca="1" si="93"/>
        <v>66781.029534402478</v>
      </c>
      <c r="AQ215" s="772">
        <f t="shared" ca="1" si="93"/>
        <v>66781.029534402478</v>
      </c>
      <c r="AR215" s="772">
        <f t="shared" ca="1" si="88"/>
        <v>67872.417910548349</v>
      </c>
      <c r="AS215" s="772">
        <f t="shared" ca="1" si="88"/>
        <v>67872.417910548349</v>
      </c>
      <c r="AT215" s="772">
        <f t="shared" ca="1" si="88"/>
        <v>67534.683417609718</v>
      </c>
      <c r="AU215" s="772">
        <f t="shared" ca="1" si="88"/>
        <v>67534.683417609718</v>
      </c>
      <c r="AV215" s="772">
        <f t="shared" ca="1" si="88"/>
        <v>67171.859958804605</v>
      </c>
      <c r="AW215" s="772">
        <f t="shared" ca="1" si="88"/>
        <v>67171.859958804605</v>
      </c>
      <c r="AX215" s="772">
        <f t="shared" ca="1" si="88"/>
        <v>66781.029534402478</v>
      </c>
      <c r="AY215" s="772">
        <f t="shared" ca="1" si="88"/>
        <v>66781.029534402478</v>
      </c>
      <c r="AZ215" s="772">
        <f t="shared" ca="1" si="87"/>
        <v>66781.029534402478</v>
      </c>
      <c r="BA215" s="772">
        <f t="shared" ca="1" si="87"/>
        <v>67872.417910548349</v>
      </c>
      <c r="BB215" s="772">
        <f t="shared" ca="1" si="87"/>
        <v>67872.417910548349</v>
      </c>
      <c r="BC215" s="772">
        <f t="shared" ca="1" si="87"/>
        <v>67534.683417609718</v>
      </c>
      <c r="BD215" s="772">
        <f t="shared" ca="1" si="87"/>
        <v>67171.859958804605</v>
      </c>
      <c r="BE215" s="772">
        <f t="shared" ca="1" si="87"/>
        <v>67171.859958804605</v>
      </c>
      <c r="BF215" s="772">
        <f t="shared" ca="1" si="87"/>
        <v>66781.029534402478</v>
      </c>
      <c r="BG215" s="772">
        <f t="shared" ca="1" si="87"/>
        <v>66781.029534402478</v>
      </c>
      <c r="BH215" s="772">
        <f t="shared" ca="1" si="87"/>
        <v>66358.976212001522</v>
      </c>
      <c r="BI215" s="772">
        <f t="shared" ca="1" si="87"/>
        <v>66358.976212001522</v>
      </c>
      <c r="BJ215" s="772">
        <f t="shared" ca="1" si="87"/>
        <v>67534.683417609718</v>
      </c>
      <c r="BK215" s="772">
        <f t="shared" ca="1" si="87"/>
        <v>67534.683417609718</v>
      </c>
      <c r="BL215" s="772">
        <f t="shared" ca="1" si="87"/>
        <v>67534.683417609718</v>
      </c>
      <c r="BM215" s="772">
        <f t="shared" ca="1" si="87"/>
        <v>67534.683417609718</v>
      </c>
      <c r="BN215" s="772">
        <f t="shared" ca="1" si="87"/>
        <v>66781.029534402478</v>
      </c>
      <c r="BO215" s="772">
        <f t="shared" ca="1" si="90"/>
        <v>66781.029534402478</v>
      </c>
      <c r="BP215" s="772">
        <f t="shared" ca="1" si="90"/>
        <v>66358.976212001522</v>
      </c>
      <c r="BQ215" s="772">
        <f t="shared" ca="1" si="90"/>
        <v>66358.976212001522</v>
      </c>
      <c r="BR215" s="772">
        <f t="shared" ca="1" si="90"/>
        <v>65902.187065448961</v>
      </c>
      <c r="BS215" s="772">
        <f t="shared" ca="1" si="90"/>
        <v>67534.683417609718</v>
      </c>
      <c r="BT215" s="772">
        <f t="shared" ca="1" si="90"/>
        <v>67534.683417609718</v>
      </c>
      <c r="BU215" s="772">
        <f t="shared" ca="1" si="90"/>
        <v>67534.683417609718</v>
      </c>
      <c r="BV215" s="772">
        <f t="shared" ca="1" si="90"/>
        <v>67171.859958804605</v>
      </c>
      <c r="BW215" s="772">
        <f t="shared" ca="1" si="90"/>
        <v>67171.859958804605</v>
      </c>
      <c r="BX215" s="772">
        <f t="shared" ca="1" si="92"/>
        <v>66358.976212001522</v>
      </c>
      <c r="BY215" s="772">
        <f t="shared" ca="1" si="92"/>
        <v>66358.976212001522</v>
      </c>
      <c r="BZ215" s="772">
        <f t="shared" ca="1" si="92"/>
        <v>65902.187065448961</v>
      </c>
      <c r="CA215" s="772">
        <f t="shared" ca="1" si="92"/>
        <v>65902.187065448961</v>
      </c>
      <c r="CB215" s="772">
        <f t="shared" ca="1" si="92"/>
        <v>67171.859958804605</v>
      </c>
      <c r="CC215" s="772">
        <f t="shared" ca="1" si="92"/>
        <v>67171.859958804605</v>
      </c>
      <c r="CD215" s="772">
        <f t="shared" ca="1" si="92"/>
        <v>67171.859958804605</v>
      </c>
      <c r="CE215" s="772">
        <f t="shared" ca="1" si="92"/>
        <v>67171.859958804605</v>
      </c>
      <c r="CF215" s="772">
        <f t="shared" ca="1" si="92"/>
        <v>66781.029534402478</v>
      </c>
      <c r="CG215" s="772">
        <f t="shared" ca="1" si="92"/>
        <v>66358.976212001522</v>
      </c>
      <c r="CH215" s="772">
        <f t="shared" ca="1" si="92"/>
        <v>65902.187065448961</v>
      </c>
      <c r="CI215" s="772">
        <f t="shared" ca="1" si="92"/>
        <v>65902.187065448961</v>
      </c>
      <c r="CJ215" s="772">
        <f t="shared" ca="1" si="92"/>
        <v>65406.871992720364</v>
      </c>
    </row>
    <row r="216" spans="1:88" ht="15" customHeight="1">
      <c r="A216" s="770">
        <f>'kc-Wert für Stützen'!C216</f>
        <v>268</v>
      </c>
      <c r="B216" s="768">
        <f ca="1">INDIRECT("'kc-Wert für Stützen'!"&amp;SUBSTITUTE(ADDRESS(MATCH($A216,'kc-Wert für Stützen'!$C:$C,0),MATCH(B$7,'kc-Wert für Stützen'!$A$8:$ES$8,0)+7,4),,))</f>
        <v>69026.809300971581</v>
      </c>
      <c r="C216" s="768">
        <f ca="1">INDIRECT("'kc-Wert für Stützen'!"&amp;SUBSTITUTE(ADDRESS(MATCH($A216,'kc-Wert für Stützen'!$C:$C,0),MATCH(C$7,'kc-Wert für Stützen'!$A$8:$ES$8,0)+7,4),,))</f>
        <v>68732.538315816011</v>
      </c>
      <c r="D216" s="768">
        <f ca="1">INDIRECT("'kc-Wert für Stützen'!"&amp;SUBSTITUTE(ADDRESS(MATCH($A216,'kc-Wert für Stützen'!$C:$C,0),MATCH(D$7,'kc-Wert für Stützen'!$A$8:$ES$8,0)+7,4),,))</f>
        <v>68418.413144899285</v>
      </c>
      <c r="E216" s="768">
        <f ca="1">INDIRECT("'kc-Wert für Stützen'!"&amp;SUBSTITUTE(ADDRESS(MATCH($A216,'kc-Wert für Stützen'!$C:$C,0),MATCH(E$7,'kc-Wert für Stützen'!$A$8:$ES$8,0)+7,4),,))</f>
        <v>68082.107889945706</v>
      </c>
      <c r="F216" s="768">
        <f ca="1">INDIRECT("'kc-Wert für Stützen'!"&amp;SUBSTITUTE(ADDRESS(MATCH($A216,'kc-Wert für Stützen'!$C:$C,0),MATCH(F$7,'kc-Wert für Stützen'!$A$8:$ES$8,0)+7,4),,))</f>
        <v>67721.032573514676</v>
      </c>
      <c r="G216" s="768">
        <f ca="1">INDIRECT("'kc-Wert für Stützen'!"&amp;SUBSTITUTE(ADDRESS(MATCH($A216,'kc-Wert für Stützen'!$C:$C,0),MATCH(G$7,'kc-Wert für Stützen'!$A$8:$ES$8,0)+7,4),,))</f>
        <v>67332.314427446312</v>
      </c>
      <c r="H216" s="768">
        <f ca="1">INDIRECT("'kc-Wert für Stützen'!"&amp;SUBSTITUTE(ADDRESS(MATCH($A216,'kc-Wert für Stützen'!$C:$C,0),MATCH(H$7,'kc-Wert für Stützen'!$A$8:$ES$8,0)+7,4),,))</f>
        <v>66912.785761842708</v>
      </c>
      <c r="I216" s="768">
        <f ca="1">INDIRECT("'kc-Wert für Stützen'!"&amp;SUBSTITUTE(ADDRESS(MATCH($A216,'kc-Wert für Stützen'!$C:$C,0),MATCH(I$7,'kc-Wert für Stützen'!$A$8:$ES$8,0)+7,4),,))</f>
        <v>66458.983110257599</v>
      </c>
      <c r="J216" s="768">
        <f ca="1">INDIRECT("'kc-Wert für Stützen'!"&amp;SUBSTITUTE(ADDRESS(MATCH($A216,'kc-Wert für Stützen'!$C:$C,0),MATCH(J$7,'kc-Wert für Stützen'!$A$8:$ES$8,0)+7,4),,))</f>
        <v>65967.164050827632</v>
      </c>
      <c r="K216" s="768">
        <f ca="1">INDIRECT("'kc-Wert für Stützen'!"&amp;SUBSTITUTE(ADDRESS(MATCH($A216,'kc-Wert für Stützen'!$C:$C,0),MATCH(K$7,'kc-Wert für Stützen'!$A$8:$ES$8,0)+7,4),,))</f>
        <v>65433.349952523575</v>
      </c>
      <c r="L216" s="768">
        <f ca="1">INDIRECT("'kc-Wert für Stützen'!"&amp;SUBSTITUTE(ADDRESS(MATCH($A216,'kc-Wert für Stützen'!$C:$C,0),MATCH(L$7,'kc-Wert für Stützen'!$A$8:$ES$8,0)+7,4),,))</f>
        <v>64853.404526613383</v>
      </c>
      <c r="M216" s="768">
        <f ca="1">INDIRECT("'kc-Wert für Stützen'!"&amp;SUBSTITUTE(ADDRESS(MATCH($A216,'kc-Wert für Stützen'!$C:$C,0),MATCH(M$7,'kc-Wert für Stützen'!$A$8:$ES$8,0)+7,4),,))</f>
        <v>64223.158793270806</v>
      </c>
      <c r="N216" s="768">
        <f ca="1">INDIRECT("'kc-Wert für Stützen'!"&amp;SUBSTITUTE(ADDRESS(MATCH($A216,'kc-Wert für Stützen'!$C:$C,0),MATCH(N$7,'kc-Wert für Stützen'!$A$8:$ES$8,0)+7,4),,))</f>
        <v>63538.591836364496</v>
      </c>
      <c r="O216" s="768">
        <f ca="1">INDIRECT("'kc-Wert für Stützen'!"&amp;SUBSTITUTE(ADDRESS(MATCH($A216,'kc-Wert für Stützen'!$C:$C,0),MATCH(O$7,'kc-Wert für Stützen'!$A$8:$ES$8,0)+7,4),,))</f>
        <v>62796.072152418026</v>
      </c>
      <c r="P216" s="768">
        <f ca="1">INDIRECT("'kc-Wert für Stützen'!"&amp;SUBSTITUTE(ADDRESS(MATCH($A216,'kc-Wert für Stützen'!$C:$C,0),MATCH(P$7,'kc-Wert für Stützen'!$A$8:$ES$8,0)+7,4),,))</f>
        <v>61992.655237389255</v>
      </c>
      <c r="S216" s="772">
        <f t="shared" ca="1" si="91"/>
        <v>68418.413144899285</v>
      </c>
      <c r="T216" s="772">
        <f t="shared" ca="1" si="94"/>
        <v>68418.413144899285</v>
      </c>
      <c r="U216" s="772">
        <f t="shared" ca="1" si="94"/>
        <v>68418.413144899285</v>
      </c>
      <c r="V216" s="772">
        <f t="shared" ca="1" si="94"/>
        <v>68082.107889945706</v>
      </c>
      <c r="W216" s="772">
        <f t="shared" ca="1" si="94"/>
        <v>67721.032573514676</v>
      </c>
      <c r="X216" s="772">
        <f t="shared" ca="1" si="94"/>
        <v>67332.314427446312</v>
      </c>
      <c r="Y216" s="772">
        <f t="shared" ca="1" si="94"/>
        <v>66912.785761842708</v>
      </c>
      <c r="Z216" s="772">
        <f t="shared" ca="1" si="94"/>
        <v>68418.413144899285</v>
      </c>
      <c r="AA216" s="772">
        <f t="shared" ca="1" si="94"/>
        <v>68418.413144899285</v>
      </c>
      <c r="AB216" s="772">
        <f t="shared" ca="1" si="93"/>
        <v>68082.107889945706</v>
      </c>
      <c r="AC216" s="772">
        <f t="shared" ca="1" si="93"/>
        <v>68082.107889945706</v>
      </c>
      <c r="AD216" s="772">
        <f t="shared" ca="1" si="93"/>
        <v>67721.032573514676</v>
      </c>
      <c r="AE216" s="772">
        <f t="shared" ca="1" si="93"/>
        <v>67721.032573514676</v>
      </c>
      <c r="AF216" s="772">
        <f t="shared" ca="1" si="93"/>
        <v>67332.314427446312</v>
      </c>
      <c r="AG216" s="772">
        <f t="shared" ca="1" si="93"/>
        <v>67332.314427446312</v>
      </c>
      <c r="AH216" s="772">
        <f t="shared" ca="1" si="93"/>
        <v>67332.314427446312</v>
      </c>
      <c r="AI216" s="772">
        <f t="shared" ca="1" si="93"/>
        <v>68418.413144899285</v>
      </c>
      <c r="AJ216" s="772">
        <f t="shared" ca="1" si="93"/>
        <v>68418.413144899285</v>
      </c>
      <c r="AK216" s="772">
        <f t="shared" ca="1" si="93"/>
        <v>68082.107889945706</v>
      </c>
      <c r="AL216" s="772">
        <f t="shared" ca="1" si="93"/>
        <v>68082.107889945706</v>
      </c>
      <c r="AM216" s="772">
        <f t="shared" ca="1" si="93"/>
        <v>67721.032573514676</v>
      </c>
      <c r="AN216" s="772">
        <f t="shared" ca="1" si="93"/>
        <v>67721.032573514676</v>
      </c>
      <c r="AO216" s="772">
        <f t="shared" ca="1" si="93"/>
        <v>67332.314427446312</v>
      </c>
      <c r="AP216" s="772">
        <f t="shared" ca="1" si="93"/>
        <v>67332.314427446312</v>
      </c>
      <c r="AQ216" s="772">
        <f t="shared" ca="1" si="93"/>
        <v>67332.314427446312</v>
      </c>
      <c r="AR216" s="772">
        <f t="shared" ca="1" si="88"/>
        <v>68418.413144899285</v>
      </c>
      <c r="AS216" s="772">
        <f t="shared" ca="1" si="88"/>
        <v>68418.413144899285</v>
      </c>
      <c r="AT216" s="772">
        <f t="shared" ca="1" si="88"/>
        <v>68082.107889945706</v>
      </c>
      <c r="AU216" s="772">
        <f t="shared" ca="1" si="88"/>
        <v>68082.107889945706</v>
      </c>
      <c r="AV216" s="772">
        <f t="shared" ca="1" si="88"/>
        <v>67721.032573514676</v>
      </c>
      <c r="AW216" s="772">
        <f t="shared" ca="1" si="88"/>
        <v>67721.032573514676</v>
      </c>
      <c r="AX216" s="772">
        <f t="shared" ca="1" si="88"/>
        <v>67332.314427446312</v>
      </c>
      <c r="AY216" s="772">
        <f t="shared" ca="1" si="88"/>
        <v>67332.314427446312</v>
      </c>
      <c r="AZ216" s="772">
        <f t="shared" ca="1" si="87"/>
        <v>67332.314427446312</v>
      </c>
      <c r="BA216" s="772">
        <f t="shared" ca="1" si="87"/>
        <v>68418.413144899285</v>
      </c>
      <c r="BB216" s="772">
        <f t="shared" ca="1" si="87"/>
        <v>68418.413144899285</v>
      </c>
      <c r="BC216" s="772">
        <f t="shared" ca="1" si="87"/>
        <v>68082.107889945706</v>
      </c>
      <c r="BD216" s="772">
        <f t="shared" ca="1" si="87"/>
        <v>67721.032573514676</v>
      </c>
      <c r="BE216" s="772">
        <f t="shared" ca="1" si="87"/>
        <v>67721.032573514676</v>
      </c>
      <c r="BF216" s="772">
        <f t="shared" ca="1" si="87"/>
        <v>67332.314427446312</v>
      </c>
      <c r="BG216" s="772">
        <f t="shared" ca="1" si="87"/>
        <v>67332.314427446312</v>
      </c>
      <c r="BH216" s="772">
        <f t="shared" ca="1" si="87"/>
        <v>66912.785761842708</v>
      </c>
      <c r="BI216" s="772">
        <f t="shared" ca="1" si="87"/>
        <v>66912.785761842708</v>
      </c>
      <c r="BJ216" s="772">
        <f t="shared" ca="1" si="87"/>
        <v>68082.107889945706</v>
      </c>
      <c r="BK216" s="772">
        <f t="shared" ca="1" si="87"/>
        <v>68082.107889945706</v>
      </c>
      <c r="BL216" s="772">
        <f t="shared" ca="1" si="87"/>
        <v>68082.107889945706</v>
      </c>
      <c r="BM216" s="772">
        <f t="shared" ca="1" si="87"/>
        <v>68082.107889945706</v>
      </c>
      <c r="BN216" s="772">
        <f t="shared" ca="1" si="87"/>
        <v>67332.314427446312</v>
      </c>
      <c r="BO216" s="772">
        <f t="shared" ca="1" si="90"/>
        <v>67332.314427446312</v>
      </c>
      <c r="BP216" s="772">
        <f t="shared" ca="1" si="90"/>
        <v>66912.785761842708</v>
      </c>
      <c r="BQ216" s="772">
        <f t="shared" ca="1" si="90"/>
        <v>66912.785761842708</v>
      </c>
      <c r="BR216" s="772">
        <f t="shared" ca="1" si="90"/>
        <v>66458.983110257599</v>
      </c>
      <c r="BS216" s="772">
        <f t="shared" ca="1" si="90"/>
        <v>68082.107889945706</v>
      </c>
      <c r="BT216" s="772">
        <f t="shared" ca="1" si="90"/>
        <v>68082.107889945706</v>
      </c>
      <c r="BU216" s="772">
        <f t="shared" ca="1" si="90"/>
        <v>68082.107889945706</v>
      </c>
      <c r="BV216" s="772">
        <f t="shared" ca="1" si="90"/>
        <v>67721.032573514676</v>
      </c>
      <c r="BW216" s="772">
        <f t="shared" ca="1" si="90"/>
        <v>67721.032573514676</v>
      </c>
      <c r="BX216" s="772">
        <f t="shared" ca="1" si="92"/>
        <v>66912.785761842708</v>
      </c>
      <c r="BY216" s="772">
        <f t="shared" ca="1" si="92"/>
        <v>66912.785761842708</v>
      </c>
      <c r="BZ216" s="772">
        <f t="shared" ca="1" si="92"/>
        <v>66458.983110257599</v>
      </c>
      <c r="CA216" s="772">
        <f t="shared" ca="1" si="92"/>
        <v>66458.983110257599</v>
      </c>
      <c r="CB216" s="772">
        <f t="shared" ca="1" si="92"/>
        <v>67721.032573514676</v>
      </c>
      <c r="CC216" s="772">
        <f t="shared" ca="1" si="92"/>
        <v>67721.032573514676</v>
      </c>
      <c r="CD216" s="772">
        <f t="shared" ca="1" si="92"/>
        <v>67721.032573514676</v>
      </c>
      <c r="CE216" s="772">
        <f t="shared" ca="1" si="92"/>
        <v>67721.032573514676</v>
      </c>
      <c r="CF216" s="772">
        <f t="shared" ca="1" si="92"/>
        <v>67332.314427446312</v>
      </c>
      <c r="CG216" s="772">
        <f t="shared" ca="1" si="92"/>
        <v>66912.785761842708</v>
      </c>
      <c r="CH216" s="772">
        <f t="shared" ca="1" si="92"/>
        <v>66458.983110257599</v>
      </c>
      <c r="CI216" s="772">
        <f t="shared" ca="1" si="92"/>
        <v>66458.983110257599</v>
      </c>
      <c r="CJ216" s="772">
        <f t="shared" ca="1" si="92"/>
        <v>65967.164050827632</v>
      </c>
    </row>
    <row r="217" spans="1:88" ht="15" customHeight="1">
      <c r="A217" s="770">
        <f>'kc-Wert für Stützen'!C217</f>
        <v>269</v>
      </c>
      <c r="B217" s="768">
        <f ca="1">INDIRECT("'kc-Wert für Stützen'!"&amp;SUBSTITUTE(ADDRESS(MATCH($A217,'kc-Wert für Stützen'!$C:$C,0),MATCH(B$7,'kc-Wert für Stützen'!$A$8:$ES$8,0)+7,4),,))</f>
        <v>69572.692539280382</v>
      </c>
      <c r="C217" s="768">
        <f ca="1">INDIRECT("'kc-Wert für Stützen'!"&amp;SUBSTITUTE(ADDRESS(MATCH($A217,'kc-Wert für Stützen'!$C:$C,0),MATCH(C$7,'kc-Wert für Stützen'!$A$8:$ES$8,0)+7,4),,))</f>
        <v>69279.308956421781</v>
      </c>
      <c r="D217" s="768">
        <f ca="1">INDIRECT("'kc-Wert für Stützen'!"&amp;SUBSTITUTE(ADDRESS(MATCH($A217,'kc-Wert für Stützen'!$C:$C,0),MATCH(D$7,'kc-Wert für Stützen'!$A$8:$ES$8,0)+7,4),,))</f>
        <v>68966.307220960938</v>
      </c>
      <c r="E217" s="768">
        <f ca="1">INDIRECT("'kc-Wert für Stützen'!"&amp;SUBSTITUTE(ADDRESS(MATCH($A217,'kc-Wert für Stützen'!$C:$C,0),MATCH(E$7,'kc-Wert für Stützen'!$A$8:$ES$8,0)+7,4),,))</f>
        <v>68631.397655599532</v>
      </c>
      <c r="F217" s="768">
        <f ca="1">INDIRECT("'kc-Wert für Stützen'!"&amp;SUBSTITUTE(ADDRESS(MATCH($A217,'kc-Wert für Stützen'!$C:$C,0),MATCH(F$7,'kc-Wert für Stützen'!$A$8:$ES$8,0)+7,4),,))</f>
        <v>68272.030782325979</v>
      </c>
      <c r="G217" s="768">
        <f ca="1">INDIRECT("'kc-Wert für Stützen'!"&amp;SUBSTITUTE(ADDRESS(MATCH($A217,'kc-Wert für Stützen'!$C:$C,0),MATCH(G$7,'kc-Wert für Stützen'!$A$8:$ES$8,0)+7,4),,))</f>
        <v>67885.37830411781</v>
      </c>
      <c r="H217" s="768">
        <f ca="1">INDIRECT("'kc-Wert für Stützen'!"&amp;SUBSTITUTE(ADDRESS(MATCH($A217,'kc-Wert für Stützen'!$C:$C,0),MATCH(H$7,'kc-Wert für Stützen'!$A$8:$ES$8,0)+7,4),,))</f>
        <v>67468.320129524451</v>
      </c>
      <c r="I217" s="768">
        <f ca="1">INDIRECT("'kc-Wert für Stützen'!"&amp;SUBSTITUTE(ADDRESS(MATCH($A217,'kc-Wert für Stützen'!$C:$C,0),MATCH(I$7,'kc-Wert für Stützen'!$A$8:$ES$8,0)+7,4),,))</f>
        <v>67017.441870265829</v>
      </c>
      <c r="J217" s="768">
        <f ca="1">INDIRECT("'kc-Wert für Stützen'!"&amp;SUBSTITUTE(ADDRESS(MATCH($A217,'kc-Wert für Stützen'!$C:$C,0),MATCH(J$7,'kc-Wert für Stützen'!$A$8:$ES$8,0)+7,4),,))</f>
        <v>66529.048878963978</v>
      </c>
      <c r="K217" s="768">
        <f ca="1">INDIRECT("'kc-Wert für Stützen'!"&amp;SUBSTITUTE(ADDRESS(MATCH($A217,'kc-Wert für Stützen'!$C:$C,0),MATCH(K$7,'kc-Wert für Stützen'!$A$8:$ES$8,0)+7,4),,))</f>
        <v>65999.204699992391</v>
      </c>
      <c r="L217" s="768">
        <f ca="1">INDIRECT("'kc-Wert für Stützen'!"&amp;SUBSTITUTE(ADDRESS(MATCH($A217,'kc-Wert für Stützen'!$C:$C,0),MATCH(L$7,'kc-Wert für Stützen'!$A$8:$ES$8,0)+7,4),,))</f>
        <v>65423.803459292038</v>
      </c>
      <c r="M217" s="768">
        <f ca="1">INDIRECT("'kc-Wert für Stützen'!"&amp;SUBSTITUTE(ADDRESS(MATCH($A217,'kc-Wert für Stützen'!$C:$C,0),MATCH(M$7,'kc-Wert für Stützen'!$A$8:$ES$8,0)+7,4),,))</f>
        <v>64798.686600737608</v>
      </c>
      <c r="N217" s="768">
        <f ca="1">INDIRECT("'kc-Wert für Stützen'!"&amp;SUBSTITUTE(ADDRESS(MATCH($A217,'kc-Wert für Stützen'!$C:$C,0),MATCH(N$7,'kc-Wert für Stützen'!$A$8:$ES$8,0)+7,4),,))</f>
        <v>64119.813500957374</v>
      </c>
      <c r="O217" s="768">
        <f ca="1">INDIRECT("'kc-Wert für Stützen'!"&amp;SUBSTITUTE(ADDRESS(MATCH($A217,'kc-Wert für Stützen'!$C:$C,0),MATCH(O$7,'kc-Wert für Stützen'!$A$8:$ES$8,0)+7,4),,))</f>
        <v>63383.491561744471</v>
      </c>
      <c r="P217" s="768">
        <f ca="1">INDIRECT("'kc-Wert für Stützen'!"&amp;SUBSTITUTE(ADDRESS(MATCH($A217,'kc-Wert für Stützen'!$C:$C,0),MATCH(P$7,'kc-Wert für Stützen'!$A$8:$ES$8,0)+7,4),,))</f>
        <v>62586.66310793531</v>
      </c>
      <c r="S217" s="772">
        <f t="shared" ca="1" si="91"/>
        <v>68966.307220960938</v>
      </c>
      <c r="T217" s="772">
        <f t="shared" ca="1" si="94"/>
        <v>68966.307220960938</v>
      </c>
      <c r="U217" s="772">
        <f t="shared" ca="1" si="94"/>
        <v>68966.307220960938</v>
      </c>
      <c r="V217" s="772">
        <f t="shared" ca="1" si="94"/>
        <v>68631.397655599532</v>
      </c>
      <c r="W217" s="772">
        <f t="shared" ca="1" si="94"/>
        <v>68272.030782325979</v>
      </c>
      <c r="X217" s="772">
        <f t="shared" ca="1" si="94"/>
        <v>67885.37830411781</v>
      </c>
      <c r="Y217" s="772">
        <f t="shared" ca="1" si="94"/>
        <v>67468.320129524451</v>
      </c>
      <c r="Z217" s="772">
        <f t="shared" ca="1" si="94"/>
        <v>68966.307220960938</v>
      </c>
      <c r="AA217" s="772">
        <f t="shared" ca="1" si="94"/>
        <v>68966.307220960938</v>
      </c>
      <c r="AB217" s="772">
        <f t="shared" ca="1" si="93"/>
        <v>68631.397655599532</v>
      </c>
      <c r="AC217" s="772">
        <f t="shared" ca="1" si="93"/>
        <v>68631.397655599532</v>
      </c>
      <c r="AD217" s="772">
        <f t="shared" ca="1" si="93"/>
        <v>68272.030782325979</v>
      </c>
      <c r="AE217" s="772">
        <f t="shared" ca="1" si="93"/>
        <v>68272.030782325979</v>
      </c>
      <c r="AF217" s="772">
        <f t="shared" ca="1" si="93"/>
        <v>67885.37830411781</v>
      </c>
      <c r="AG217" s="772">
        <f t="shared" ca="1" si="93"/>
        <v>67885.37830411781</v>
      </c>
      <c r="AH217" s="772">
        <f t="shared" ca="1" si="93"/>
        <v>67885.37830411781</v>
      </c>
      <c r="AI217" s="772">
        <f t="shared" ca="1" si="93"/>
        <v>68966.307220960938</v>
      </c>
      <c r="AJ217" s="772">
        <f t="shared" ca="1" si="93"/>
        <v>68966.307220960938</v>
      </c>
      <c r="AK217" s="772">
        <f t="shared" ca="1" si="93"/>
        <v>68631.397655599532</v>
      </c>
      <c r="AL217" s="772">
        <f t="shared" ca="1" si="93"/>
        <v>68631.397655599532</v>
      </c>
      <c r="AM217" s="772">
        <f t="shared" ca="1" si="93"/>
        <v>68272.030782325979</v>
      </c>
      <c r="AN217" s="772">
        <f t="shared" ca="1" si="93"/>
        <v>68272.030782325979</v>
      </c>
      <c r="AO217" s="772">
        <f t="shared" ca="1" si="93"/>
        <v>67885.37830411781</v>
      </c>
      <c r="AP217" s="772">
        <f t="shared" ca="1" si="93"/>
        <v>67885.37830411781</v>
      </c>
      <c r="AQ217" s="772">
        <f t="shared" ca="1" si="93"/>
        <v>67885.37830411781</v>
      </c>
      <c r="AR217" s="772">
        <f t="shared" ca="1" si="88"/>
        <v>68966.307220960938</v>
      </c>
      <c r="AS217" s="772">
        <f t="shared" ca="1" si="88"/>
        <v>68966.307220960938</v>
      </c>
      <c r="AT217" s="772">
        <f t="shared" ca="1" si="88"/>
        <v>68631.397655599532</v>
      </c>
      <c r="AU217" s="772">
        <f t="shared" ca="1" si="88"/>
        <v>68631.397655599532</v>
      </c>
      <c r="AV217" s="772">
        <f t="shared" ca="1" si="88"/>
        <v>68272.030782325979</v>
      </c>
      <c r="AW217" s="772">
        <f t="shared" ca="1" si="88"/>
        <v>68272.030782325979</v>
      </c>
      <c r="AX217" s="772">
        <f t="shared" ca="1" si="88"/>
        <v>67885.37830411781</v>
      </c>
      <c r="AY217" s="772">
        <f t="shared" ca="1" si="88"/>
        <v>67885.37830411781</v>
      </c>
      <c r="AZ217" s="772">
        <f t="shared" ca="1" si="87"/>
        <v>67885.37830411781</v>
      </c>
      <c r="BA217" s="772">
        <f t="shared" ca="1" si="87"/>
        <v>68966.307220960938</v>
      </c>
      <c r="BB217" s="772">
        <f t="shared" ca="1" si="87"/>
        <v>68966.307220960938</v>
      </c>
      <c r="BC217" s="772">
        <f t="shared" ca="1" si="87"/>
        <v>68631.397655599532</v>
      </c>
      <c r="BD217" s="772">
        <f t="shared" ca="1" si="87"/>
        <v>68272.030782325979</v>
      </c>
      <c r="BE217" s="772">
        <f t="shared" ca="1" si="87"/>
        <v>68272.030782325979</v>
      </c>
      <c r="BF217" s="772">
        <f t="shared" ca="1" si="87"/>
        <v>67885.37830411781</v>
      </c>
      <c r="BG217" s="772">
        <f t="shared" ca="1" si="87"/>
        <v>67885.37830411781</v>
      </c>
      <c r="BH217" s="772">
        <f t="shared" ca="1" si="87"/>
        <v>67468.320129524451</v>
      </c>
      <c r="BI217" s="772">
        <f t="shared" ca="1" si="87"/>
        <v>67468.320129524451</v>
      </c>
      <c r="BJ217" s="772">
        <f t="shared" ca="1" si="87"/>
        <v>68631.397655599532</v>
      </c>
      <c r="BK217" s="772">
        <f t="shared" ca="1" si="87"/>
        <v>68631.397655599532</v>
      </c>
      <c r="BL217" s="772">
        <f t="shared" ca="1" si="87"/>
        <v>68631.397655599532</v>
      </c>
      <c r="BM217" s="772">
        <f t="shared" ca="1" si="87"/>
        <v>68631.397655599532</v>
      </c>
      <c r="BN217" s="772">
        <f t="shared" ca="1" si="87"/>
        <v>67885.37830411781</v>
      </c>
      <c r="BO217" s="772">
        <f t="shared" ca="1" si="90"/>
        <v>67885.37830411781</v>
      </c>
      <c r="BP217" s="772">
        <f t="shared" ca="1" si="90"/>
        <v>67468.320129524451</v>
      </c>
      <c r="BQ217" s="772">
        <f t="shared" ca="1" si="90"/>
        <v>67468.320129524451</v>
      </c>
      <c r="BR217" s="772">
        <f t="shared" ca="1" si="90"/>
        <v>67017.441870265829</v>
      </c>
      <c r="BS217" s="772">
        <f t="shared" ca="1" si="90"/>
        <v>68631.397655599532</v>
      </c>
      <c r="BT217" s="772">
        <f t="shared" ca="1" si="90"/>
        <v>68631.397655599532</v>
      </c>
      <c r="BU217" s="772">
        <f t="shared" ca="1" si="90"/>
        <v>68631.397655599532</v>
      </c>
      <c r="BV217" s="772">
        <f t="shared" ca="1" si="90"/>
        <v>68272.030782325979</v>
      </c>
      <c r="BW217" s="772">
        <f t="shared" ca="1" si="90"/>
        <v>68272.030782325979</v>
      </c>
      <c r="BX217" s="772">
        <f t="shared" ca="1" si="92"/>
        <v>67468.320129524451</v>
      </c>
      <c r="BY217" s="772">
        <f t="shared" ca="1" si="92"/>
        <v>67468.320129524451</v>
      </c>
      <c r="BZ217" s="772">
        <f t="shared" ca="1" si="92"/>
        <v>67017.441870265829</v>
      </c>
      <c r="CA217" s="772">
        <f t="shared" ca="1" si="92"/>
        <v>67017.441870265829</v>
      </c>
      <c r="CB217" s="772">
        <f t="shared" ca="1" si="92"/>
        <v>68272.030782325979</v>
      </c>
      <c r="CC217" s="772">
        <f t="shared" ca="1" si="92"/>
        <v>68272.030782325979</v>
      </c>
      <c r="CD217" s="772">
        <f t="shared" ca="1" si="92"/>
        <v>68272.030782325979</v>
      </c>
      <c r="CE217" s="772">
        <f t="shared" ca="1" si="92"/>
        <v>68272.030782325979</v>
      </c>
      <c r="CF217" s="772">
        <f t="shared" ca="1" si="92"/>
        <v>67885.37830411781</v>
      </c>
      <c r="CG217" s="772">
        <f t="shared" ca="1" si="92"/>
        <v>67468.320129524451</v>
      </c>
      <c r="CH217" s="772">
        <f t="shared" ca="1" si="92"/>
        <v>67017.441870265829</v>
      </c>
      <c r="CI217" s="772">
        <f t="shared" ca="1" si="92"/>
        <v>67017.441870265829</v>
      </c>
      <c r="CJ217" s="772">
        <f t="shared" ca="1" si="92"/>
        <v>66529.048878963978</v>
      </c>
    </row>
    <row r="218" spans="1:88" ht="15" customHeight="1">
      <c r="A218" s="770">
        <f>'kc-Wert für Stützen'!C218</f>
        <v>270</v>
      </c>
      <c r="B218" s="768">
        <f ca="1">INDIRECT("'kc-Wert für Stützen'!"&amp;SUBSTITUTE(ADDRESS(MATCH($A218,'kc-Wert für Stützen'!$C:$C,0),MATCH(B$7,'kc-Wert für Stützen'!$A$8:$ES$8,0)+7,4),,))</f>
        <v>70120.528578327794</v>
      </c>
      <c r="C218" s="768">
        <f ca="1">INDIRECT("'kc-Wert für Stützen'!"&amp;SUBSTITUTE(ADDRESS(MATCH($A218,'kc-Wert für Stützen'!$C:$C,0),MATCH(C$7,'kc-Wert für Stützen'!$A$8:$ES$8,0)+7,4),,))</f>
        <v>69828.009368917541</v>
      </c>
      <c r="D218" s="768">
        <f ca="1">INDIRECT("'kc-Wert für Stützen'!"&amp;SUBSTITUTE(ADDRESS(MATCH($A218,'kc-Wert für Stützen'!$C:$C,0),MATCH(D$7,'kc-Wert für Stützen'!$A$8:$ES$8,0)+7,4),,))</f>
        <v>69516.103533347705</v>
      </c>
      <c r="E218" s="768">
        <f ca="1">INDIRECT("'kc-Wert für Stützen'!"&amp;SUBSTITUTE(ADDRESS(MATCH($A218,'kc-Wert für Stützen'!$C:$C,0),MATCH(E$7,'kc-Wert für Stützen'!$A$8:$ES$8,0)+7,4),,))</f>
        <v>69182.556879476586</v>
      </c>
      <c r="F218" s="768">
        <f ca="1">INDIRECT("'kc-Wert für Stützen'!"&amp;SUBSTITUTE(ADDRESS(MATCH($A218,'kc-Wert für Stützen'!$C:$C,0),MATCH(F$7,'kc-Wert für Stützen'!$A$8:$ES$8,0)+7,4),,))</f>
        <v>68824.859655837703</v>
      </c>
      <c r="G218" s="768">
        <f ca="1">INDIRECT("'kc-Wert für Stützen'!"&amp;SUBSTITUTE(ADDRESS(MATCH($A218,'kc-Wert für Stützen'!$C:$C,0),MATCH(G$7,'kc-Wert für Stützen'!$A$8:$ES$8,0)+7,4),,))</f>
        <v>68440.227277913596</v>
      </c>
      <c r="H218" s="768">
        <f ca="1">INDIRECT("'kc-Wert für Stützen'!"&amp;SUBSTITUTE(ADDRESS(MATCH($A218,'kc-Wert für Stützen'!$C:$C,0),MATCH(H$7,'kc-Wert für Stützen'!$A$8:$ES$8,0)+7,4),,))</f>
        <v>68025.586595262677</v>
      </c>
      <c r="I218" s="768">
        <f ca="1">INDIRECT("'kc-Wert für Stützen'!"&amp;SUBSTITUTE(ADDRESS(MATCH($A218,'kc-Wert für Stützen'!$C:$C,0),MATCH(I$7,'kc-Wert für Stützen'!$A$8:$ES$8,0)+7,4),,))</f>
        <v>67577.571877938259</v>
      </c>
      <c r="J218" s="768">
        <f ca="1">INDIRECT("'kc-Wert für Stützen'!"&amp;SUBSTITUTE(ADDRESS(MATCH($A218,'kc-Wert für Stützen'!$C:$C,0),MATCH(J$7,'kc-Wert für Stützen'!$A$8:$ES$8,0)+7,4),,))</f>
        <v>67092.536271288714</v>
      </c>
      <c r="K218" s="768">
        <f ca="1">INDIRECT("'kc-Wert für Stützen'!"&amp;SUBSTITUTE(ADDRESS(MATCH($A218,'kc-Wert für Stützen'!$C:$C,0),MATCH(K$7,'kc-Wert für Stützen'!$A$8:$ES$8,0)+7,4),,))</f>
        <v>66566.586226963205</v>
      </c>
      <c r="L218" s="768">
        <f ca="1">INDIRECT("'kc-Wert für Stützen'!"&amp;SUBSTITUTE(ADDRESS(MATCH($A218,'kc-Wert für Stützen'!$C:$C,0),MATCH(L$7,'kc-Wert für Stützen'!$A$8:$ES$8,0)+7,4),,))</f>
        <v>65995.648080980172</v>
      </c>
      <c r="M218" s="768">
        <f ca="1">INDIRECT("'kc-Wert für Stützen'!"&amp;SUBSTITUTE(ADDRESS(MATCH($A218,'kc-Wert für Stützen'!$C:$C,0),MATCH(M$7,'kc-Wert für Stützen'!$A$8:$ES$8,0)+7,4),,))</f>
        <v>65375.576958570877</v>
      </c>
      <c r="N218" s="768">
        <f ca="1">INDIRECT("'kc-Wert für Stützen'!"&amp;SUBSTITUTE(ADDRESS(MATCH($A218,'kc-Wert für Stützen'!$C:$C,0),MATCH(N$7,'kc-Wert für Stützen'!$A$8:$ES$8,0)+7,4),,))</f>
        <v>64702.317629933037</v>
      </c>
      <c r="O218" s="768">
        <f ca="1">INDIRECT("'kc-Wert für Stützen'!"&amp;SUBSTITUTE(ADDRESS(MATCH($A218,'kc-Wert für Stützen'!$C:$C,0),MATCH(O$7,'kc-Wert für Stützen'!$A$8:$ES$8,0)+7,4),,))</f>
        <v>63972.123588027505</v>
      </c>
      <c r="P218" s="768">
        <f ca="1">INDIRECT("'kc-Wert für Stützen'!"&amp;SUBSTITUTE(ADDRESS(MATCH($A218,'kc-Wert für Stützen'!$C:$C,0),MATCH(P$7,'kc-Wert für Stützen'!$A$8:$ES$8,0)+7,4),,))</f>
        <v>63181.833187770295</v>
      </c>
      <c r="S218" s="772">
        <f t="shared" ca="1" si="91"/>
        <v>69516.103533347705</v>
      </c>
      <c r="T218" s="772">
        <f t="shared" ca="1" si="94"/>
        <v>69516.103533347705</v>
      </c>
      <c r="U218" s="772">
        <f t="shared" ca="1" si="94"/>
        <v>69516.103533347705</v>
      </c>
      <c r="V218" s="772">
        <f t="shared" ca="1" si="94"/>
        <v>69182.556879476586</v>
      </c>
      <c r="W218" s="772">
        <f t="shared" ca="1" si="94"/>
        <v>68824.859655837703</v>
      </c>
      <c r="X218" s="772">
        <f t="shared" ca="1" si="94"/>
        <v>68440.227277913596</v>
      </c>
      <c r="Y218" s="772">
        <f t="shared" ca="1" si="94"/>
        <v>68025.586595262677</v>
      </c>
      <c r="Z218" s="772">
        <f t="shared" ca="1" si="94"/>
        <v>69516.103533347705</v>
      </c>
      <c r="AA218" s="772">
        <f t="shared" ca="1" si="94"/>
        <v>69516.103533347705</v>
      </c>
      <c r="AB218" s="772">
        <f t="shared" ca="1" si="93"/>
        <v>69182.556879476586</v>
      </c>
      <c r="AC218" s="772">
        <f t="shared" ca="1" si="93"/>
        <v>69182.556879476586</v>
      </c>
      <c r="AD218" s="772">
        <f t="shared" ca="1" si="93"/>
        <v>68824.859655837703</v>
      </c>
      <c r="AE218" s="772">
        <f t="shared" ca="1" si="93"/>
        <v>68824.859655837703</v>
      </c>
      <c r="AF218" s="772">
        <f t="shared" ca="1" si="93"/>
        <v>68440.227277913596</v>
      </c>
      <c r="AG218" s="772">
        <f t="shared" ca="1" si="93"/>
        <v>68440.227277913596</v>
      </c>
      <c r="AH218" s="772">
        <f t="shared" ca="1" si="93"/>
        <v>68440.227277913596</v>
      </c>
      <c r="AI218" s="772">
        <f t="shared" ca="1" si="93"/>
        <v>69516.103533347705</v>
      </c>
      <c r="AJ218" s="772">
        <f t="shared" ca="1" si="93"/>
        <v>69516.103533347705</v>
      </c>
      <c r="AK218" s="772">
        <f t="shared" ca="1" si="93"/>
        <v>69182.556879476586</v>
      </c>
      <c r="AL218" s="772">
        <f t="shared" ca="1" si="93"/>
        <v>69182.556879476586</v>
      </c>
      <c r="AM218" s="772">
        <f t="shared" ca="1" si="93"/>
        <v>68824.859655837703</v>
      </c>
      <c r="AN218" s="772">
        <f t="shared" ca="1" si="93"/>
        <v>68824.859655837703</v>
      </c>
      <c r="AO218" s="772">
        <f t="shared" ca="1" si="93"/>
        <v>68440.227277913596</v>
      </c>
      <c r="AP218" s="772">
        <f t="shared" ca="1" si="93"/>
        <v>68440.227277913596</v>
      </c>
      <c r="AQ218" s="772">
        <f t="shared" ca="1" si="93"/>
        <v>68440.227277913596</v>
      </c>
      <c r="AR218" s="772">
        <f t="shared" ca="1" si="88"/>
        <v>69516.103533347705</v>
      </c>
      <c r="AS218" s="772">
        <f t="shared" ca="1" si="88"/>
        <v>69516.103533347705</v>
      </c>
      <c r="AT218" s="772">
        <f t="shared" ref="AT218:BG218" ca="1" si="95">HLOOKUP(AT$7,$A$7:$P$348,ROW()-6)</f>
        <v>69182.556879476586</v>
      </c>
      <c r="AU218" s="772">
        <f t="shared" ca="1" si="95"/>
        <v>69182.556879476586</v>
      </c>
      <c r="AV218" s="772">
        <f t="shared" ca="1" si="95"/>
        <v>68824.859655837703</v>
      </c>
      <c r="AW218" s="772">
        <f t="shared" ca="1" si="95"/>
        <v>68824.859655837703</v>
      </c>
      <c r="AX218" s="772">
        <f t="shared" ca="1" si="95"/>
        <v>68440.227277913596</v>
      </c>
      <c r="AY218" s="772">
        <f t="shared" ca="1" si="95"/>
        <v>68440.227277913596</v>
      </c>
      <c r="AZ218" s="772">
        <f t="shared" ca="1" si="95"/>
        <v>68440.227277913596</v>
      </c>
      <c r="BA218" s="772">
        <f t="shared" ca="1" si="95"/>
        <v>69516.103533347705</v>
      </c>
      <c r="BB218" s="772">
        <f t="shared" ca="1" si="95"/>
        <v>69516.103533347705</v>
      </c>
      <c r="BC218" s="772">
        <f t="shared" ca="1" si="95"/>
        <v>69182.556879476586</v>
      </c>
      <c r="BD218" s="772">
        <f t="shared" ca="1" si="95"/>
        <v>68824.859655837703</v>
      </c>
      <c r="BE218" s="772">
        <f t="shared" ca="1" si="95"/>
        <v>68824.859655837703</v>
      </c>
      <c r="BF218" s="772">
        <f t="shared" ca="1" si="95"/>
        <v>68440.227277913596</v>
      </c>
      <c r="BG218" s="772">
        <f t="shared" ca="1" si="95"/>
        <v>68440.227277913596</v>
      </c>
      <c r="BH218" s="772">
        <f t="shared" ca="1" si="87"/>
        <v>68025.586595262677</v>
      </c>
      <c r="BI218" s="772">
        <f t="shared" ca="1" si="87"/>
        <v>68025.586595262677</v>
      </c>
      <c r="BJ218" s="772">
        <f t="shared" ca="1" si="87"/>
        <v>69182.556879476586</v>
      </c>
      <c r="BK218" s="772">
        <f t="shared" ca="1" si="87"/>
        <v>69182.556879476586</v>
      </c>
      <c r="BL218" s="772">
        <f t="shared" ca="1" si="87"/>
        <v>69182.556879476586</v>
      </c>
      <c r="BM218" s="772">
        <f t="shared" ca="1" si="87"/>
        <v>69182.556879476586</v>
      </c>
      <c r="BN218" s="772">
        <f t="shared" ca="1" si="87"/>
        <v>68440.227277913596</v>
      </c>
      <c r="BO218" s="772">
        <f t="shared" ca="1" si="90"/>
        <v>68440.227277913596</v>
      </c>
      <c r="BP218" s="772">
        <f t="shared" ca="1" si="90"/>
        <v>68025.586595262677</v>
      </c>
      <c r="BQ218" s="772">
        <f t="shared" ca="1" si="90"/>
        <v>68025.586595262677</v>
      </c>
      <c r="BR218" s="772">
        <f t="shared" ca="1" si="90"/>
        <v>67577.571877938259</v>
      </c>
      <c r="BS218" s="772">
        <f t="shared" ca="1" si="90"/>
        <v>69182.556879476586</v>
      </c>
      <c r="BT218" s="772">
        <f t="shared" ca="1" si="90"/>
        <v>69182.556879476586</v>
      </c>
      <c r="BU218" s="772">
        <f t="shared" ca="1" si="90"/>
        <v>69182.556879476586</v>
      </c>
      <c r="BV218" s="772">
        <f t="shared" ca="1" si="90"/>
        <v>68824.859655837703</v>
      </c>
      <c r="BW218" s="772">
        <f t="shared" ca="1" si="90"/>
        <v>68824.859655837703</v>
      </c>
      <c r="BX218" s="772">
        <f t="shared" ca="1" si="92"/>
        <v>68025.586595262677</v>
      </c>
      <c r="BY218" s="772">
        <f t="shared" ca="1" si="92"/>
        <v>68025.586595262677</v>
      </c>
      <c r="BZ218" s="772">
        <f t="shared" ca="1" si="92"/>
        <v>67577.571877938259</v>
      </c>
      <c r="CA218" s="772">
        <f t="shared" ca="1" si="92"/>
        <v>67577.571877938259</v>
      </c>
      <c r="CB218" s="772">
        <f t="shared" ca="1" si="92"/>
        <v>68824.859655837703</v>
      </c>
      <c r="CC218" s="772">
        <f t="shared" ca="1" si="92"/>
        <v>68824.859655837703</v>
      </c>
      <c r="CD218" s="772">
        <f t="shared" ca="1" si="92"/>
        <v>68824.859655837703</v>
      </c>
      <c r="CE218" s="772">
        <f t="shared" ca="1" si="92"/>
        <v>68824.859655837703</v>
      </c>
      <c r="CF218" s="772">
        <f t="shared" ca="1" si="92"/>
        <v>68440.227277913596</v>
      </c>
      <c r="CG218" s="772">
        <f t="shared" ca="1" si="92"/>
        <v>68025.586595262677</v>
      </c>
      <c r="CH218" s="772">
        <f t="shared" ca="1" si="92"/>
        <v>67577.571877938259</v>
      </c>
      <c r="CI218" s="772">
        <f t="shared" ca="1" si="92"/>
        <v>67577.571877938259</v>
      </c>
      <c r="CJ218" s="772">
        <f t="shared" ca="1" si="92"/>
        <v>67092.536271288714</v>
      </c>
    </row>
    <row r="219" spans="1:88" ht="15" customHeight="1">
      <c r="A219" s="770">
        <f>'kc-Wert für Stützen'!C219</f>
        <v>271</v>
      </c>
      <c r="B219" s="768">
        <f ca="1">INDIRECT("'kc-Wert für Stützen'!"&amp;SUBSTITUTE(ADDRESS(MATCH($A219,'kc-Wert für Stützen'!$C:$C,0),MATCH(B$7,'kc-Wert für Stützen'!$A$8:$ES$8,0)+7,4),,))</f>
        <v>70670.319576026799</v>
      </c>
      <c r="C219" s="768">
        <f ca="1">INDIRECT("'kc-Wert für Stützen'!"&amp;SUBSTITUTE(ADDRESS(MATCH($A219,'kc-Wert für Stützen'!$C:$C,0),MATCH(C$7,'kc-Wert für Stützen'!$A$8:$ES$8,0)+7,4),,))</f>
        <v>70378.642230363985</v>
      </c>
      <c r="D219" s="768">
        <f ca="1">INDIRECT("'kc-Wert für Stützen'!"&amp;SUBSTITUTE(ADDRESS(MATCH($A219,'kc-Wert für Stützen'!$C:$C,0),MATCH(D$7,'kc-Wert für Stützen'!$A$8:$ES$8,0)+7,4),,))</f>
        <v>70067.80538659991</v>
      </c>
      <c r="E219" s="768">
        <f ca="1">INDIRECT("'kc-Wert für Stützen'!"&amp;SUBSTITUTE(ADDRESS(MATCH($A219,'kc-Wert für Stützen'!$C:$C,0),MATCH(E$7,'kc-Wert für Stützen'!$A$8:$ES$8,0)+7,4),,))</f>
        <v>69735.589616020472</v>
      </c>
      <c r="F219" s="768">
        <f ca="1">INDIRECT("'kc-Wert für Stützen'!"&amp;SUBSTITUTE(ADDRESS(MATCH($A219,'kc-Wert für Stützen'!$C:$C,0),MATCH(F$7,'kc-Wert für Stützen'!$A$8:$ES$8,0)+7,4),,))</f>
        <v>69379.524131464816</v>
      </c>
      <c r="G219" s="768">
        <f ca="1">INDIRECT("'kc-Wert für Stützen'!"&amp;SUBSTITUTE(ADDRESS(MATCH($A219,'kc-Wert für Stützen'!$C:$C,0),MATCH(G$7,'kc-Wert für Stützen'!$A$8:$ES$8,0)+7,4),,))</f>
        <v>68996.867305328837</v>
      </c>
      <c r="H219" s="768">
        <f ca="1">INDIRECT("'kc-Wert für Stützen'!"&amp;SUBSTITUTE(ADDRESS(MATCH($A219,'kc-Wert für Stützen'!$C:$C,0),MATCH(H$7,'kc-Wert für Stützen'!$A$8:$ES$8,0)+7,4),,))</f>
        <v>68584.592259816782</v>
      </c>
      <c r="I219" s="768">
        <f ca="1">INDIRECT("'kc-Wert für Stützen'!"&amp;SUBSTITUTE(ADDRESS(MATCH($A219,'kc-Wert für Stützen'!$C:$C,0),MATCH(I$7,'kc-Wert für Stützen'!$A$8:$ES$8,0)+7,4),,))</f>
        <v>68139.381469446511</v>
      </c>
      <c r="J219" s="768">
        <f ca="1">INDIRECT("'kc-Wert für Stützen'!"&amp;SUBSTITUTE(ADDRESS(MATCH($A219,'kc-Wert für Stützen'!$C:$C,0),MATCH(J$7,'kc-Wert für Stützen'!$A$8:$ES$8,0)+7,4),,))</f>
        <v>67657.635821161879</v>
      </c>
      <c r="K219" s="768">
        <f ca="1">INDIRECT("'kc-Wert für Stützen'!"&amp;SUBSTITUTE(ADDRESS(MATCH($A219,'kc-Wert für Stützen'!$C:$C,0),MATCH(K$7,'kc-Wert für Stützen'!$A$8:$ES$8,0)+7,4),,))</f>
        <v>67135.505286258063</v>
      </c>
      <c r="L219" s="768">
        <f ca="1">INDIRECT("'kc-Wert für Stützen'!"&amp;SUBSTITUTE(ADDRESS(MATCH($A219,'kc-Wert für Stützen'!$C:$C,0),MATCH(L$7,'kc-Wert für Stützen'!$A$8:$ES$8,0)+7,4),,))</f>
        <v>66568.950021357348</v>
      </c>
      <c r="M219" s="768">
        <f ca="1">INDIRECT("'kc-Wert für Stützen'!"&amp;SUBSTITUTE(ADDRESS(MATCH($A219,'kc-Wert für Stützen'!$C:$C,0),MATCH(M$7,'kc-Wert für Stützen'!$A$8:$ES$8,0)+7,4),,))</f>
        <v>65953.841829493584</v>
      </c>
      <c r="N219" s="768">
        <f ca="1">INDIRECT("'kc-Wert für Stützen'!"&amp;SUBSTITUTE(ADDRESS(MATCH($A219,'kc-Wert für Stützen'!$C:$C,0),MATCH(N$7,'kc-Wert für Stützen'!$A$8:$ES$8,0)+7,4),,))</f>
        <v>65286.115639118994</v>
      </c>
      <c r="O219" s="768">
        <f ca="1">INDIRECT("'kc-Wert für Stützen'!"&amp;SUBSTITUTE(ADDRESS(MATCH($A219,'kc-Wert für Stützen'!$C:$C,0),MATCH(O$7,'kc-Wert für Stützen'!$A$8:$ES$8,0)+7,4),,))</f>
        <v>64561.977833872603</v>
      </c>
      <c r="P219" s="768">
        <f ca="1">INDIRECT("'kc-Wert für Stützen'!"&amp;SUBSTITUTE(ADDRESS(MATCH($A219,'kc-Wert für Stützen'!$C:$C,0),MATCH(P$7,'kc-Wert für Stützen'!$A$8:$ES$8,0)+7,4),,))</f>
        <v>63778.171621462614</v>
      </c>
      <c r="S219" s="772">
        <f t="shared" ca="1" si="91"/>
        <v>70067.80538659991</v>
      </c>
      <c r="T219" s="772">
        <f t="shared" ca="1" si="94"/>
        <v>70067.80538659991</v>
      </c>
      <c r="U219" s="772">
        <f t="shared" ca="1" si="94"/>
        <v>70067.80538659991</v>
      </c>
      <c r="V219" s="772">
        <f t="shared" ca="1" si="94"/>
        <v>69735.589616020472</v>
      </c>
      <c r="W219" s="772">
        <f t="shared" ca="1" si="94"/>
        <v>69379.524131464816</v>
      </c>
      <c r="X219" s="772">
        <f t="shared" ca="1" si="94"/>
        <v>68996.867305328837</v>
      </c>
      <c r="Y219" s="772">
        <f t="shared" ca="1" si="94"/>
        <v>68584.592259816782</v>
      </c>
      <c r="Z219" s="772">
        <f t="shared" ca="1" si="94"/>
        <v>70067.80538659991</v>
      </c>
      <c r="AA219" s="772">
        <f t="shared" ca="1" si="94"/>
        <v>70067.80538659991</v>
      </c>
      <c r="AB219" s="772">
        <f t="shared" ca="1" si="93"/>
        <v>69735.589616020472</v>
      </c>
      <c r="AC219" s="772">
        <f t="shared" ca="1" si="93"/>
        <v>69735.589616020472</v>
      </c>
      <c r="AD219" s="772">
        <f t="shared" ca="1" si="93"/>
        <v>69379.524131464816</v>
      </c>
      <c r="AE219" s="772">
        <f t="shared" ca="1" si="93"/>
        <v>69379.524131464816</v>
      </c>
      <c r="AF219" s="772">
        <f t="shared" ca="1" si="93"/>
        <v>68996.867305328837</v>
      </c>
      <c r="AG219" s="772">
        <f t="shared" ca="1" si="93"/>
        <v>68996.867305328837</v>
      </c>
      <c r="AH219" s="772">
        <f t="shared" ca="1" si="93"/>
        <v>68996.867305328837</v>
      </c>
      <c r="AI219" s="772">
        <f t="shared" ca="1" si="93"/>
        <v>70067.80538659991</v>
      </c>
      <c r="AJ219" s="772">
        <f t="shared" ca="1" si="93"/>
        <v>70067.80538659991</v>
      </c>
      <c r="AK219" s="772">
        <f t="shared" ca="1" si="93"/>
        <v>69735.589616020472</v>
      </c>
      <c r="AL219" s="772">
        <f t="shared" ca="1" si="93"/>
        <v>69735.589616020472</v>
      </c>
      <c r="AM219" s="772">
        <f t="shared" ca="1" si="93"/>
        <v>69379.524131464816</v>
      </c>
      <c r="AN219" s="772">
        <f t="shared" ca="1" si="93"/>
        <v>69379.524131464816</v>
      </c>
      <c r="AO219" s="772">
        <f t="shared" ca="1" si="93"/>
        <v>68996.867305328837</v>
      </c>
      <c r="AP219" s="772">
        <f t="shared" ca="1" si="93"/>
        <v>68996.867305328837</v>
      </c>
      <c r="AQ219" s="772">
        <f t="shared" ca="1" si="93"/>
        <v>68996.867305328837</v>
      </c>
      <c r="AR219" s="772">
        <f t="shared" ref="AR219:BF235" ca="1" si="96">HLOOKUP(AR$7,$A$7:$P$348,ROW()-6)</f>
        <v>70067.80538659991</v>
      </c>
      <c r="AS219" s="772">
        <f t="shared" ca="1" si="96"/>
        <v>70067.80538659991</v>
      </c>
      <c r="AT219" s="772">
        <f t="shared" ca="1" si="96"/>
        <v>69735.589616020472</v>
      </c>
      <c r="AU219" s="772">
        <f t="shared" ca="1" si="96"/>
        <v>69735.589616020472</v>
      </c>
      <c r="AV219" s="772">
        <f t="shared" ca="1" si="96"/>
        <v>69379.524131464816</v>
      </c>
      <c r="AW219" s="772">
        <f t="shared" ca="1" si="96"/>
        <v>69379.524131464816</v>
      </c>
      <c r="AX219" s="772">
        <f t="shared" ca="1" si="96"/>
        <v>68996.867305328837</v>
      </c>
      <c r="AY219" s="772">
        <f t="shared" ca="1" si="96"/>
        <v>68996.867305328837</v>
      </c>
      <c r="AZ219" s="772">
        <f t="shared" ca="1" si="96"/>
        <v>68996.867305328837</v>
      </c>
      <c r="BA219" s="772">
        <f t="shared" ca="1" si="96"/>
        <v>70067.80538659991</v>
      </c>
      <c r="BB219" s="772">
        <f t="shared" ca="1" si="96"/>
        <v>70067.80538659991</v>
      </c>
      <c r="BC219" s="772">
        <f t="shared" ca="1" si="96"/>
        <v>69735.589616020472</v>
      </c>
      <c r="BD219" s="772">
        <f t="shared" ca="1" si="96"/>
        <v>69379.524131464816</v>
      </c>
      <c r="BE219" s="772">
        <f t="shared" ca="1" si="96"/>
        <v>69379.524131464816</v>
      </c>
      <c r="BF219" s="772">
        <f t="shared" ca="1" si="96"/>
        <v>68996.867305328837</v>
      </c>
      <c r="BG219" s="772">
        <f t="shared" ref="BG219:BG247" ca="1" si="97">HLOOKUP(BG$7,$A$7:$P$348,ROW()-6)</f>
        <v>68996.867305328837</v>
      </c>
      <c r="BH219" s="772">
        <f t="shared" ca="1" si="87"/>
        <v>68584.592259816782</v>
      </c>
      <c r="BI219" s="772">
        <f t="shared" ca="1" si="87"/>
        <v>68584.592259816782</v>
      </c>
      <c r="BJ219" s="772">
        <f t="shared" ca="1" si="87"/>
        <v>69735.589616020472</v>
      </c>
      <c r="BK219" s="772">
        <f t="shared" ca="1" si="87"/>
        <v>69735.589616020472</v>
      </c>
      <c r="BL219" s="772">
        <f t="shared" ca="1" si="87"/>
        <v>69735.589616020472</v>
      </c>
      <c r="BM219" s="772">
        <f t="shared" ca="1" si="87"/>
        <v>69735.589616020472</v>
      </c>
      <c r="BN219" s="772">
        <f t="shared" ca="1" si="87"/>
        <v>68996.867305328837</v>
      </c>
      <c r="BO219" s="772">
        <f t="shared" ca="1" si="90"/>
        <v>68996.867305328837</v>
      </c>
      <c r="BP219" s="772">
        <f t="shared" ca="1" si="90"/>
        <v>68584.592259816782</v>
      </c>
      <c r="BQ219" s="772">
        <f t="shared" ca="1" si="90"/>
        <v>68584.592259816782</v>
      </c>
      <c r="BR219" s="772">
        <f t="shared" ca="1" si="90"/>
        <v>68139.381469446511</v>
      </c>
      <c r="BS219" s="772">
        <f t="shared" ca="1" si="90"/>
        <v>69735.589616020472</v>
      </c>
      <c r="BT219" s="772">
        <f t="shared" ca="1" si="90"/>
        <v>69735.589616020472</v>
      </c>
      <c r="BU219" s="772">
        <f t="shared" ca="1" si="90"/>
        <v>69735.589616020472</v>
      </c>
      <c r="BV219" s="772">
        <f t="shared" ca="1" si="90"/>
        <v>69379.524131464816</v>
      </c>
      <c r="BW219" s="772">
        <f t="shared" ca="1" si="90"/>
        <v>69379.524131464816</v>
      </c>
      <c r="BX219" s="772">
        <f t="shared" ca="1" si="92"/>
        <v>68584.592259816782</v>
      </c>
      <c r="BY219" s="772">
        <f t="shared" ca="1" si="92"/>
        <v>68584.592259816782</v>
      </c>
      <c r="BZ219" s="772">
        <f t="shared" ca="1" si="92"/>
        <v>68139.381469446511</v>
      </c>
      <c r="CA219" s="772">
        <f t="shared" ca="1" si="92"/>
        <v>68139.381469446511</v>
      </c>
      <c r="CB219" s="772">
        <f t="shared" ca="1" si="92"/>
        <v>69379.524131464816</v>
      </c>
      <c r="CC219" s="772">
        <f t="shared" ca="1" si="92"/>
        <v>69379.524131464816</v>
      </c>
      <c r="CD219" s="772">
        <f t="shared" ca="1" si="92"/>
        <v>69379.524131464816</v>
      </c>
      <c r="CE219" s="772">
        <f t="shared" ca="1" si="92"/>
        <v>69379.524131464816</v>
      </c>
      <c r="CF219" s="772">
        <f t="shared" ca="1" si="92"/>
        <v>68996.867305328837</v>
      </c>
      <c r="CG219" s="772">
        <f t="shared" ca="1" si="92"/>
        <v>68584.592259816782</v>
      </c>
      <c r="CH219" s="772">
        <f t="shared" ca="1" si="92"/>
        <v>68139.381469446511</v>
      </c>
      <c r="CI219" s="772">
        <f t="shared" ca="1" si="92"/>
        <v>68139.381469446511</v>
      </c>
      <c r="CJ219" s="772">
        <f t="shared" ca="1" si="92"/>
        <v>67657.635821161879</v>
      </c>
    </row>
    <row r="220" spans="1:88" ht="15" customHeight="1">
      <c r="A220" s="770">
        <f>'kc-Wert für Stützen'!C220</f>
        <v>272</v>
      </c>
      <c r="B220" s="768">
        <f ca="1">INDIRECT("'kc-Wert für Stützen'!"&amp;SUBSTITUTE(ADDRESS(MATCH($A220,'kc-Wert für Stützen'!$C:$C,0),MATCH(B$7,'kc-Wert für Stützen'!$A$8:$ES$8,0)+7,4),,))</f>
        <v>71222.067634336912</v>
      </c>
      <c r="C220" s="768">
        <f ca="1">INDIRECT("'kc-Wert für Stützen'!"&amp;SUBSTITUTE(ADDRESS(MATCH($A220,'kc-Wert für Stützen'!$C:$C,0),MATCH(C$7,'kc-Wert für Stützen'!$A$8:$ES$8,0)+7,4),,))</f>
        <v>70931.210147569014</v>
      </c>
      <c r="D220" s="768">
        <f ca="1">INDIRECT("'kc-Wert für Stützen'!"&amp;SUBSTITUTE(ADDRESS(MATCH($A220,'kc-Wert für Stützen'!$C:$C,0),MATCH(D$7,'kc-Wert für Stützen'!$A$8:$ES$8,0)+7,4),,))</f>
        <v>70621.415997930133</v>
      </c>
      <c r="E220" s="768">
        <f ca="1">INDIRECT("'kc-Wert für Stützen'!"&amp;SUBSTITUTE(ADDRESS(MATCH($A220,'kc-Wert für Stützen'!$C:$C,0),MATCH(E$7,'kc-Wert für Stützen'!$A$8:$ES$8,0)+7,4),,))</f>
        <v>70290.499812485446</v>
      </c>
      <c r="F220" s="768">
        <f ca="1">INDIRECT("'kc-Wert für Stützen'!"&amp;SUBSTITUTE(ADDRESS(MATCH($A220,'kc-Wert für Stützen'!$C:$C,0),MATCH(F$7,'kc-Wert für Stützen'!$A$8:$ES$8,0)+7,4),,))</f>
        <v>69936.029017185952</v>
      </c>
      <c r="G220" s="768">
        <f ca="1">INDIRECT("'kc-Wert für Stützen'!"&amp;SUBSTITUTE(ADDRESS(MATCH($A220,'kc-Wert für Stützen'!$C:$C,0),MATCH(G$7,'kc-Wert für Stützen'!$A$8:$ES$8,0)+7,4),,))</f>
        <v>69555.304189898292</v>
      </c>
      <c r="H220" s="768">
        <f ca="1">INDIRECT("'kc-Wert für Stützen'!"&amp;SUBSTITUTE(ADDRESS(MATCH($A220,'kc-Wert für Stützen'!$C:$C,0),MATCH(H$7,'kc-Wert für Stützen'!$A$8:$ES$8,0)+7,4),,))</f>
        <v>69145.344048424435</v>
      </c>
      <c r="I220" s="768">
        <f ca="1">INDIRECT("'kc-Wert für Stützen'!"&amp;SUBSTITUTE(ADDRESS(MATCH($A220,'kc-Wert für Stützen'!$C:$C,0),MATCH(I$7,'kc-Wert für Stützen'!$A$8:$ES$8,0)+7,4),,))</f>
        <v>68702.878787765803</v>
      </c>
      <c r="J220" s="768">
        <f ca="1">INDIRECT("'kc-Wert für Stützen'!"&amp;SUBSTITUTE(ADDRESS(MATCH($A220,'kc-Wert für Stützen'!$C:$C,0),MATCH(J$7,'kc-Wert für Stützen'!$A$8:$ES$8,0)+7,4),,))</f>
        <v>68224.35692220334</v>
      </c>
      <c r="K220" s="768">
        <f ca="1">INDIRECT("'kc-Wert für Stützen'!"&amp;SUBSTITUTE(ADDRESS(MATCH($A220,'kc-Wert für Stützen'!$C:$C,0),MATCH(K$7,'kc-Wert für Stützen'!$A$8:$ES$8,0)+7,4),,))</f>
        <v>67705.972444680956</v>
      </c>
      <c r="L220" s="768">
        <f ca="1">INDIRECT("'kc-Wert für Stützen'!"&amp;SUBSTITUTE(ADDRESS(MATCH($A220,'kc-Wert für Stützen'!$C:$C,0),MATCH(L$7,'kc-Wert für Stützen'!$A$8:$ES$8,0)+7,4),,))</f>
        <v>67143.72077028644</v>
      </c>
      <c r="M220" s="768">
        <f ca="1">INDIRECT("'kc-Wert für Stützen'!"&amp;SUBSTITUTE(ADDRESS(MATCH($A220,'kc-Wert für Stützen'!$C:$C,0),MATCH(M$7,'kc-Wert für Stützen'!$A$8:$ES$8,0)+7,4),,))</f>
        <v>66533.49312965943</v>
      </c>
      <c r="N220" s="768">
        <f ca="1">INDIRECT("'kc-Wert für Stützen'!"&amp;SUBSTITUTE(ADDRESS(MATCH($A220,'kc-Wert für Stützen'!$C:$C,0),MATCH(N$7,'kc-Wert für Stützen'!$A$8:$ES$8,0)+7,4),,))</f>
        <v>65871.219052671397</v>
      </c>
      <c r="O220" s="768">
        <f ca="1">INDIRECT("'kc-Wert für Stützen'!"&amp;SUBSTITUTE(ADDRESS(MATCH($A220,'kc-Wert für Stützen'!$C:$C,0),MATCH(O$7,'kc-Wert für Stützen'!$A$8:$ES$8,0)+7,4),,))</f>
        <v>65153.064236925253</v>
      </c>
      <c r="P220" s="768">
        <f ca="1">INDIRECT("'kc-Wert für Stützen'!"&amp;SUBSTITUTE(ADDRESS(MATCH($A220,'kc-Wert für Stützen'!$C:$C,0),MATCH(P$7,'kc-Wert für Stützen'!$A$8:$ES$8,0)+7,4),,))</f>
        <v>64375.685186359093</v>
      </c>
      <c r="S220" s="772">
        <f t="shared" ca="1" si="91"/>
        <v>70621.415997930133</v>
      </c>
      <c r="T220" s="772">
        <f t="shared" ca="1" si="94"/>
        <v>70621.415997930133</v>
      </c>
      <c r="U220" s="772">
        <f t="shared" ca="1" si="94"/>
        <v>70621.415997930133</v>
      </c>
      <c r="V220" s="772">
        <f t="shared" ca="1" si="94"/>
        <v>70290.499812485446</v>
      </c>
      <c r="W220" s="772">
        <f t="shared" ca="1" si="94"/>
        <v>69936.029017185952</v>
      </c>
      <c r="X220" s="772">
        <f t="shared" ca="1" si="94"/>
        <v>69555.304189898292</v>
      </c>
      <c r="Y220" s="772">
        <f t="shared" ca="1" si="94"/>
        <v>69145.344048424435</v>
      </c>
      <c r="Z220" s="772">
        <f t="shared" ca="1" si="94"/>
        <v>70621.415997930133</v>
      </c>
      <c r="AA220" s="772">
        <f t="shared" ca="1" si="94"/>
        <v>70621.415997930133</v>
      </c>
      <c r="AB220" s="772">
        <f t="shared" ca="1" si="93"/>
        <v>70290.499812485446</v>
      </c>
      <c r="AC220" s="772">
        <f t="shared" ca="1" si="93"/>
        <v>70290.499812485446</v>
      </c>
      <c r="AD220" s="772">
        <f t="shared" ca="1" si="93"/>
        <v>69936.029017185952</v>
      </c>
      <c r="AE220" s="772">
        <f t="shared" ca="1" si="93"/>
        <v>69936.029017185952</v>
      </c>
      <c r="AF220" s="772">
        <f t="shared" ca="1" si="93"/>
        <v>69555.304189898292</v>
      </c>
      <c r="AG220" s="772">
        <f t="shared" ca="1" si="93"/>
        <v>69555.304189898292</v>
      </c>
      <c r="AH220" s="772">
        <f t="shared" ca="1" si="93"/>
        <v>69555.304189898292</v>
      </c>
      <c r="AI220" s="772">
        <f t="shared" ca="1" si="93"/>
        <v>70621.415997930133</v>
      </c>
      <c r="AJ220" s="772">
        <f t="shared" ca="1" si="93"/>
        <v>70621.415997930133</v>
      </c>
      <c r="AK220" s="772">
        <f t="shared" ca="1" si="93"/>
        <v>70290.499812485446</v>
      </c>
      <c r="AL220" s="772">
        <f t="shared" ca="1" si="93"/>
        <v>70290.499812485446</v>
      </c>
      <c r="AM220" s="772">
        <f t="shared" ca="1" si="93"/>
        <v>69936.029017185952</v>
      </c>
      <c r="AN220" s="772">
        <f t="shared" ca="1" si="93"/>
        <v>69936.029017185952</v>
      </c>
      <c r="AO220" s="772">
        <f t="shared" ca="1" si="93"/>
        <v>69555.304189898292</v>
      </c>
      <c r="AP220" s="772">
        <f t="shared" ca="1" si="93"/>
        <v>69555.304189898292</v>
      </c>
      <c r="AQ220" s="772">
        <f t="shared" ca="1" si="93"/>
        <v>69555.304189898292</v>
      </c>
      <c r="AR220" s="772">
        <f t="shared" ca="1" si="96"/>
        <v>70621.415997930133</v>
      </c>
      <c r="AS220" s="772">
        <f t="shared" ca="1" si="96"/>
        <v>70621.415997930133</v>
      </c>
      <c r="AT220" s="772">
        <f t="shared" ca="1" si="96"/>
        <v>70290.499812485446</v>
      </c>
      <c r="AU220" s="772">
        <f t="shared" ca="1" si="96"/>
        <v>70290.499812485446</v>
      </c>
      <c r="AV220" s="772">
        <f t="shared" ca="1" si="96"/>
        <v>69936.029017185952</v>
      </c>
      <c r="AW220" s="772">
        <f t="shared" ca="1" si="96"/>
        <v>69936.029017185952</v>
      </c>
      <c r="AX220" s="772">
        <f t="shared" ca="1" si="96"/>
        <v>69555.304189898292</v>
      </c>
      <c r="AY220" s="772">
        <f t="shared" ca="1" si="96"/>
        <v>69555.304189898292</v>
      </c>
      <c r="AZ220" s="772">
        <f t="shared" ca="1" si="96"/>
        <v>69555.304189898292</v>
      </c>
      <c r="BA220" s="772">
        <f t="shared" ca="1" si="96"/>
        <v>70621.415997930133</v>
      </c>
      <c r="BB220" s="772">
        <f t="shared" ca="1" si="96"/>
        <v>70621.415997930133</v>
      </c>
      <c r="BC220" s="772">
        <f t="shared" ca="1" si="96"/>
        <v>70290.499812485446</v>
      </c>
      <c r="BD220" s="772">
        <f t="shared" ca="1" si="96"/>
        <v>69936.029017185952</v>
      </c>
      <c r="BE220" s="772">
        <f t="shared" ca="1" si="96"/>
        <v>69936.029017185952</v>
      </c>
      <c r="BF220" s="772">
        <f t="shared" ca="1" si="96"/>
        <v>69555.304189898292</v>
      </c>
      <c r="BG220" s="772">
        <f t="shared" ca="1" si="97"/>
        <v>69555.304189898292</v>
      </c>
      <c r="BH220" s="772">
        <f t="shared" ca="1" si="87"/>
        <v>69145.344048424435</v>
      </c>
      <c r="BI220" s="772">
        <f t="shared" ca="1" si="87"/>
        <v>69145.344048424435</v>
      </c>
      <c r="BJ220" s="772">
        <f t="shared" ca="1" si="87"/>
        <v>70290.499812485446</v>
      </c>
      <c r="BK220" s="772">
        <f t="shared" ca="1" si="87"/>
        <v>70290.499812485446</v>
      </c>
      <c r="BL220" s="772">
        <f t="shared" ca="1" si="87"/>
        <v>70290.499812485446</v>
      </c>
      <c r="BM220" s="772">
        <f t="shared" ca="1" si="87"/>
        <v>70290.499812485446</v>
      </c>
      <c r="BN220" s="772">
        <f t="shared" ca="1" si="87"/>
        <v>69555.304189898292</v>
      </c>
      <c r="BO220" s="772">
        <f t="shared" ca="1" si="90"/>
        <v>69555.304189898292</v>
      </c>
      <c r="BP220" s="772">
        <f t="shared" ca="1" si="90"/>
        <v>69145.344048424435</v>
      </c>
      <c r="BQ220" s="772">
        <f t="shared" ca="1" si="90"/>
        <v>69145.344048424435</v>
      </c>
      <c r="BR220" s="772">
        <f t="shared" ca="1" si="90"/>
        <v>68702.878787765803</v>
      </c>
      <c r="BS220" s="772">
        <f t="shared" ref="BO220:CD232" ca="1" si="98">HLOOKUP(BS$7,$A$7:$P$348,ROW()-6)</f>
        <v>70290.499812485446</v>
      </c>
      <c r="BT220" s="772">
        <f t="shared" ca="1" si="98"/>
        <v>70290.499812485446</v>
      </c>
      <c r="BU220" s="772">
        <f t="shared" ca="1" si="98"/>
        <v>70290.499812485446</v>
      </c>
      <c r="BV220" s="772">
        <f t="shared" ca="1" si="98"/>
        <v>69936.029017185952</v>
      </c>
      <c r="BW220" s="772">
        <f t="shared" ca="1" si="98"/>
        <v>69936.029017185952</v>
      </c>
      <c r="BX220" s="772">
        <f t="shared" ca="1" si="92"/>
        <v>69145.344048424435</v>
      </c>
      <c r="BY220" s="772">
        <f t="shared" ca="1" si="92"/>
        <v>69145.344048424435</v>
      </c>
      <c r="BZ220" s="772">
        <f t="shared" ca="1" si="92"/>
        <v>68702.878787765803</v>
      </c>
      <c r="CA220" s="772">
        <f t="shared" ca="1" si="92"/>
        <v>68702.878787765803</v>
      </c>
      <c r="CB220" s="772">
        <f t="shared" ca="1" si="92"/>
        <v>69936.029017185952</v>
      </c>
      <c r="CC220" s="772">
        <f t="shared" ca="1" si="92"/>
        <v>69936.029017185952</v>
      </c>
      <c r="CD220" s="772">
        <f t="shared" ca="1" si="92"/>
        <v>69936.029017185952</v>
      </c>
      <c r="CE220" s="772">
        <f t="shared" ca="1" si="92"/>
        <v>69936.029017185952</v>
      </c>
      <c r="CF220" s="772">
        <f t="shared" ca="1" si="92"/>
        <v>69555.304189898292</v>
      </c>
      <c r="CG220" s="772">
        <f t="shared" ca="1" si="92"/>
        <v>69145.344048424435</v>
      </c>
      <c r="CH220" s="772">
        <f t="shared" ca="1" si="92"/>
        <v>68702.878787765803</v>
      </c>
      <c r="CI220" s="772">
        <f t="shared" ca="1" si="92"/>
        <v>68702.878787765803</v>
      </c>
      <c r="CJ220" s="772">
        <f t="shared" ca="1" si="92"/>
        <v>68224.35692220334</v>
      </c>
    </row>
    <row r="221" spans="1:88" ht="15" customHeight="1">
      <c r="A221" s="770">
        <f>'kc-Wert für Stützen'!C221</f>
        <v>273</v>
      </c>
      <c r="B221" s="768">
        <f ca="1">INDIRECT("'kc-Wert für Stützen'!"&amp;SUBSTITUTE(ADDRESS(MATCH($A221,'kc-Wert für Stützen'!$C:$C,0),MATCH(B$7,'kc-Wert für Stützen'!$A$8:$ES$8,0)+7,4),,))</f>
        <v>71775.774800993633</v>
      </c>
      <c r="C221" s="768">
        <f ca="1">INDIRECT("'kc-Wert für Stützen'!"&amp;SUBSTITUTE(ADDRESS(MATCH($A221,'kc-Wert für Stützen'!$C:$C,0),MATCH(C$7,'kc-Wert für Stützen'!$A$8:$ES$8,0)+7,4),,))</f>
        <v>71485.715659253328</v>
      </c>
      <c r="D221" s="768">
        <f ca="1">INDIRECT("'kc-Wert für Stützen'!"&amp;SUBSTITUTE(ADDRESS(MATCH($A221,'kc-Wert für Stützen'!$C:$C,0),MATCH(D$7,'kc-Wert für Stützen'!$A$8:$ES$8,0)+7,4),,))</f>
        <v>71176.938499881246</v>
      </c>
      <c r="E221" s="768">
        <f ca="1">INDIRECT("'kc-Wert für Stützen'!"&amp;SUBSTITUTE(ADDRESS(MATCH($A221,'kc-Wert für Stützen'!$C:$C,0),MATCH(E$7,'kc-Wert für Stützen'!$A$8:$ES$8,0)+7,4),,))</f>
        <v>70847.291312113841</v>
      </c>
      <c r="F221" s="768">
        <f ca="1">INDIRECT("'kc-Wert für Stützen'!"&amp;SUBSTITUTE(ADDRESS(MATCH($A221,'kc-Wert für Stützen'!$C:$C,0),MATCH(F$7,'kc-Wert für Stützen'!$A$8:$ES$8,0)+7,4),,))</f>
        <v>70494.378995200299</v>
      </c>
      <c r="G221" s="768">
        <f ca="1">INDIRECT("'kc-Wert für Stützen'!"&amp;SUBSTITUTE(ADDRESS(MATCH($A221,'kc-Wert für Stützen'!$C:$C,0),MATCH(G$7,'kc-Wert für Stützen'!$A$8:$ES$8,0)+7,4),,))</f>
        <v>70115.543586173138</v>
      </c>
      <c r="H221" s="768">
        <f ca="1">INDIRECT("'kc-Wert für Stützen'!"&amp;SUBSTITUTE(ADDRESS(MATCH($A221,'kc-Wert für Stützen'!$C:$C,0),MATCH(H$7,'kc-Wert für Stützen'!$A$8:$ES$8,0)+7,4),,))</f>
        <v>69707.84871473776</v>
      </c>
      <c r="I221" s="768">
        <f ca="1">INDIRECT("'kc-Wert für Stützen'!"&amp;SUBSTITUTE(ADDRESS(MATCH($A221,'kc-Wert für Stützen'!$C:$C,0),MATCH(I$7,'kc-Wert für Stützen'!$A$8:$ES$8,0)+7,4),,))</f>
        <v>69268.0717859</v>
      </c>
      <c r="J221" s="768">
        <f ca="1">INDIRECT("'kc-Wert für Stützen'!"&amp;SUBSTITUTE(ADDRESS(MATCH($A221,'kc-Wert für Stützen'!$C:$C,0),MATCH(J$7,'kc-Wert für Stützen'!$A$8:$ES$8,0)+7,4),,))</f>
        <v>68792.708769696634</v>
      </c>
      <c r="K221" s="768">
        <f ca="1">INDIRECT("'kc-Wert für Stützen'!"&amp;SUBSTITUTE(ADDRESS(MATCH($A221,'kc-Wert für Stützen'!$C:$C,0),MATCH(K$7,'kc-Wert für Stützen'!$A$8:$ES$8,0)+7,4),,))</f>
        <v>68277.998080928577</v>
      </c>
      <c r="L221" s="768">
        <f ca="1">INDIRECT("'kc-Wert für Stützen'!"&amp;SUBSTITUTE(ADDRESS(MATCH($A221,'kc-Wert für Stützen'!$C:$C,0),MATCH(L$7,'kc-Wert für Stützen'!$A$8:$ES$8,0)+7,4),,))</f>
        <v>67719.971669943334</v>
      </c>
      <c r="M221" s="768">
        <f ca="1">INDIRECT("'kc-Wert für Stützen'!"&amp;SUBSTITUTE(ADDRESS(MATCH($A221,'kc-Wert für Stützen'!$C:$C,0),MATCH(M$7,'kc-Wert für Stützen'!$A$8:$ES$8,0)+7,4),,))</f>
        <v>67114.542712222305</v>
      </c>
      <c r="N221" s="768">
        <f ca="1">INDIRECT("'kc-Wert für Stützen'!"&amp;SUBSTITUTE(ADDRESS(MATCH($A221,'kc-Wert für Stützen'!$C:$C,0),MATCH(N$7,'kc-Wert für Stützen'!$A$8:$ES$8,0)+7,4),,))</f>
        <v>66457.639475251533</v>
      </c>
      <c r="O221" s="768">
        <f ca="1">INDIRECT("'kc-Wert für Stützen'!"&amp;SUBSTITUTE(ADDRESS(MATCH($A221,'kc-Wert für Stützen'!$C:$C,0),MATCH(O$7,'kc-Wert für Stützen'!$A$8:$ES$8,0)+7,4),,))</f>
        <v>65745.393028636099</v>
      </c>
      <c r="P221" s="768">
        <f ca="1">INDIRECT("'kc-Wert für Stützen'!"&amp;SUBSTITUTE(ADDRESS(MATCH($A221,'kc-Wert für Stützen'!$C:$C,0),MATCH(P$7,'kc-Wert für Stützen'!$A$8:$ES$8,0)+7,4),,))</f>
        <v>64974.381238001581</v>
      </c>
      <c r="S221" s="772">
        <f t="shared" ca="1" si="91"/>
        <v>71176.938499881246</v>
      </c>
      <c r="T221" s="772">
        <f t="shared" ca="1" si="94"/>
        <v>71176.938499881246</v>
      </c>
      <c r="U221" s="772">
        <f t="shared" ca="1" si="94"/>
        <v>71176.938499881246</v>
      </c>
      <c r="V221" s="772">
        <f t="shared" ca="1" si="94"/>
        <v>70847.291312113841</v>
      </c>
      <c r="W221" s="772">
        <f t="shared" ca="1" si="94"/>
        <v>70494.378995200299</v>
      </c>
      <c r="X221" s="772">
        <f t="shared" ca="1" si="94"/>
        <v>70115.543586173138</v>
      </c>
      <c r="Y221" s="772">
        <f t="shared" ca="1" si="94"/>
        <v>69707.84871473776</v>
      </c>
      <c r="Z221" s="772">
        <f t="shared" ca="1" si="94"/>
        <v>71176.938499881246</v>
      </c>
      <c r="AA221" s="772">
        <f t="shared" ca="1" si="94"/>
        <v>71176.938499881246</v>
      </c>
      <c r="AB221" s="772">
        <f t="shared" ca="1" si="93"/>
        <v>70847.291312113841</v>
      </c>
      <c r="AC221" s="772">
        <f t="shared" ca="1" si="93"/>
        <v>70847.291312113841</v>
      </c>
      <c r="AD221" s="772">
        <f t="shared" ca="1" si="93"/>
        <v>70494.378995200299</v>
      </c>
      <c r="AE221" s="772">
        <f t="shared" ca="1" si="93"/>
        <v>70494.378995200299</v>
      </c>
      <c r="AF221" s="772">
        <f t="shared" ca="1" si="93"/>
        <v>70115.543586173138</v>
      </c>
      <c r="AG221" s="772">
        <f t="shared" ca="1" si="93"/>
        <v>70115.543586173138</v>
      </c>
      <c r="AH221" s="772">
        <f t="shared" ca="1" si="93"/>
        <v>70115.543586173138</v>
      </c>
      <c r="AI221" s="772">
        <f t="shared" ca="1" si="93"/>
        <v>71176.938499881246</v>
      </c>
      <c r="AJ221" s="772">
        <f t="shared" ca="1" si="93"/>
        <v>71176.938499881246</v>
      </c>
      <c r="AK221" s="772">
        <f t="shared" ca="1" si="93"/>
        <v>70847.291312113841</v>
      </c>
      <c r="AL221" s="772">
        <f t="shared" ca="1" si="93"/>
        <v>70847.291312113841</v>
      </c>
      <c r="AM221" s="772">
        <f t="shared" ca="1" si="93"/>
        <v>70494.378995200299</v>
      </c>
      <c r="AN221" s="772">
        <f t="shared" ca="1" si="93"/>
        <v>70494.378995200299</v>
      </c>
      <c r="AO221" s="772">
        <f t="shared" ca="1" si="93"/>
        <v>70115.543586173138</v>
      </c>
      <c r="AP221" s="772">
        <f t="shared" ca="1" si="93"/>
        <v>70115.543586173138</v>
      </c>
      <c r="AQ221" s="772">
        <f t="shared" ca="1" si="93"/>
        <v>70115.543586173138</v>
      </c>
      <c r="AR221" s="772">
        <f t="shared" ca="1" si="96"/>
        <v>71176.938499881246</v>
      </c>
      <c r="AS221" s="772">
        <f t="shared" ca="1" si="96"/>
        <v>71176.938499881246</v>
      </c>
      <c r="AT221" s="772">
        <f t="shared" ca="1" si="96"/>
        <v>70847.291312113841</v>
      </c>
      <c r="AU221" s="772">
        <f t="shared" ca="1" si="96"/>
        <v>70847.291312113841</v>
      </c>
      <c r="AV221" s="772">
        <f t="shared" ca="1" si="96"/>
        <v>70494.378995200299</v>
      </c>
      <c r="AW221" s="772">
        <f t="shared" ca="1" si="96"/>
        <v>70494.378995200299</v>
      </c>
      <c r="AX221" s="772">
        <f t="shared" ca="1" si="96"/>
        <v>70115.543586173138</v>
      </c>
      <c r="AY221" s="772">
        <f t="shared" ca="1" si="96"/>
        <v>70115.543586173138</v>
      </c>
      <c r="AZ221" s="772">
        <f t="shared" ca="1" si="96"/>
        <v>70115.543586173138</v>
      </c>
      <c r="BA221" s="772">
        <f t="shared" ca="1" si="96"/>
        <v>71176.938499881246</v>
      </c>
      <c r="BB221" s="772">
        <f t="shared" ca="1" si="96"/>
        <v>71176.938499881246</v>
      </c>
      <c r="BC221" s="772">
        <f t="shared" ca="1" si="96"/>
        <v>70847.291312113841</v>
      </c>
      <c r="BD221" s="772">
        <f t="shared" ca="1" si="96"/>
        <v>70494.378995200299</v>
      </c>
      <c r="BE221" s="772">
        <f t="shared" ca="1" si="96"/>
        <v>70494.378995200299</v>
      </c>
      <c r="BF221" s="772">
        <f t="shared" ca="1" si="96"/>
        <v>70115.543586173138</v>
      </c>
      <c r="BG221" s="772">
        <f t="shared" ca="1" si="97"/>
        <v>70115.543586173138</v>
      </c>
      <c r="BH221" s="772">
        <f t="shared" ca="1" si="87"/>
        <v>69707.84871473776</v>
      </c>
      <c r="BI221" s="772">
        <f t="shared" ca="1" si="87"/>
        <v>69707.84871473776</v>
      </c>
      <c r="BJ221" s="772">
        <f t="shared" ca="1" si="87"/>
        <v>70847.291312113841</v>
      </c>
      <c r="BK221" s="772">
        <f t="shared" ca="1" si="87"/>
        <v>70847.291312113841</v>
      </c>
      <c r="BL221" s="772">
        <f t="shared" ca="1" si="87"/>
        <v>70847.291312113841</v>
      </c>
      <c r="BM221" s="772">
        <f t="shared" ca="1" si="87"/>
        <v>70847.291312113841</v>
      </c>
      <c r="BN221" s="772">
        <f t="shared" ref="BN221:BN252" ca="1" si="99">HLOOKUP(BN$7,$A$7:$P$348,ROW()-6)</f>
        <v>70115.543586173138</v>
      </c>
      <c r="BO221" s="772">
        <f t="shared" ca="1" si="98"/>
        <v>70115.543586173138</v>
      </c>
      <c r="BP221" s="772">
        <f t="shared" ca="1" si="98"/>
        <v>69707.84871473776</v>
      </c>
      <c r="BQ221" s="772">
        <f t="shared" ca="1" si="98"/>
        <v>69707.84871473776</v>
      </c>
      <c r="BR221" s="772">
        <f t="shared" ca="1" si="98"/>
        <v>69268.0717859</v>
      </c>
      <c r="BS221" s="772">
        <f t="shared" ca="1" si="98"/>
        <v>70847.291312113841</v>
      </c>
      <c r="BT221" s="772">
        <f t="shared" ca="1" si="98"/>
        <v>70847.291312113841</v>
      </c>
      <c r="BU221" s="772">
        <f t="shared" ca="1" si="98"/>
        <v>70847.291312113841</v>
      </c>
      <c r="BV221" s="772">
        <f t="shared" ca="1" si="98"/>
        <v>70494.378995200299</v>
      </c>
      <c r="BW221" s="772">
        <f t="shared" ca="1" si="98"/>
        <v>70494.378995200299</v>
      </c>
      <c r="BX221" s="772">
        <f t="shared" ca="1" si="92"/>
        <v>69707.84871473776</v>
      </c>
      <c r="BY221" s="772">
        <f t="shared" ca="1" si="92"/>
        <v>69707.84871473776</v>
      </c>
      <c r="BZ221" s="772">
        <f t="shared" ca="1" si="92"/>
        <v>69268.0717859</v>
      </c>
      <c r="CA221" s="772">
        <f t="shared" ca="1" si="92"/>
        <v>69268.0717859</v>
      </c>
      <c r="CB221" s="772">
        <f t="shared" ca="1" si="92"/>
        <v>70494.378995200299</v>
      </c>
      <c r="CC221" s="772">
        <f t="shared" ca="1" si="92"/>
        <v>70494.378995200299</v>
      </c>
      <c r="CD221" s="772">
        <f t="shared" ca="1" si="92"/>
        <v>70494.378995200299</v>
      </c>
      <c r="CE221" s="772">
        <f t="shared" ca="1" si="92"/>
        <v>70494.378995200299</v>
      </c>
      <c r="CF221" s="772">
        <f t="shared" ref="CF221:CJ230" ca="1" si="100">HLOOKUP(CF$7,$A$7:$P$348,ROW()-6)</f>
        <v>70115.543586173138</v>
      </c>
      <c r="CG221" s="772">
        <f t="shared" ca="1" si="100"/>
        <v>69707.84871473776</v>
      </c>
      <c r="CH221" s="772">
        <f t="shared" ca="1" si="100"/>
        <v>69268.0717859</v>
      </c>
      <c r="CI221" s="772">
        <f t="shared" ca="1" si="100"/>
        <v>69268.0717859</v>
      </c>
      <c r="CJ221" s="772">
        <f t="shared" ca="1" si="100"/>
        <v>68792.708769696634</v>
      </c>
    </row>
    <row r="222" spans="1:88" ht="15" customHeight="1">
      <c r="A222" s="770">
        <f>'kc-Wert für Stützen'!C222</f>
        <v>274</v>
      </c>
      <c r="B222" s="768">
        <f ca="1">INDIRECT("'kc-Wert für Stützen'!"&amp;SUBSTITUTE(ADDRESS(MATCH($A222,'kc-Wert für Stützen'!$C:$C,0),MATCH(B$7,'kc-Wert für Stützen'!$A$8:$ES$8,0)+7,4),,))</f>
        <v>72331.443071178204</v>
      </c>
      <c r="C222" s="768">
        <f ca="1">INDIRECT("'kc-Wert für Stützen'!"&amp;SUBSTITUTE(ADDRESS(MATCH($A222,'kc-Wert für Stützen'!$C:$C,0),MATCH(C$7,'kc-Wert für Stützen'!$A$8:$ES$8,0)+7,4),,))</f>
        <v>72042.161238143119</v>
      </c>
      <c r="D222" s="768">
        <f ca="1">INDIRECT("'kc-Wert für Stützen'!"&amp;SUBSTITUTE(ADDRESS(MATCH($A222,'kc-Wert für Stützen'!$C:$C,0),MATCH(D$7,'kc-Wert für Stützen'!$A$8:$ES$8,0)+7,4),,))</f>
        <v>71734.375942899787</v>
      </c>
      <c r="E222" s="768">
        <f ca="1">INDIRECT("'kc-Wert für Stützen'!"&amp;SUBSTITUTE(ADDRESS(MATCH($A222,'kc-Wert für Stützen'!$C:$C,0),MATCH(E$7,'kc-Wert für Stützen'!$A$8:$ES$8,0)+7,4),,))</f>
        <v>71405.967857219861</v>
      </c>
      <c r="F222" s="768">
        <f ca="1">INDIRECT("'kc-Wert für Stützen'!"&amp;SUBSTITUTE(ADDRESS(MATCH($A222,'kc-Wert für Stützen'!$C:$C,0),MATCH(F$7,'kc-Wert für Stützen'!$A$8:$ES$8,0)+7,4),,))</f>
        <v>71054.578625493552</v>
      </c>
      <c r="G222" s="768">
        <f ca="1">INDIRECT("'kc-Wert für Stützen'!"&amp;SUBSTITUTE(ADDRESS(MATCH($A222,'kc-Wert für Stützen'!$C:$C,0),MATCH(G$7,'kc-Wert für Stützen'!$A$8:$ES$8,0)+7,4),,))</f>
        <v>70677.591003630077</v>
      </c>
      <c r="H222" s="768">
        <f ca="1">INDIRECT("'kc-Wert für Stützen'!"&amp;SUBSTITUTE(ADDRESS(MATCH($A222,'kc-Wert für Stützen'!$C:$C,0),MATCH(H$7,'kc-Wert für Stützen'!$A$8:$ES$8,0)+7,4),,))</f>
        <v>70272.112844750634</v>
      </c>
      <c r="I222" s="768">
        <f ca="1">INDIRECT("'kc-Wert für Stützen'!"&amp;SUBSTITUTE(ADDRESS(MATCH($A222,'kc-Wert für Stützen'!$C:$C,0),MATCH(I$7,'kc-Wert für Stützen'!$A$8:$ES$8,0)+7,4),,))</f>
        <v>69834.968230213286</v>
      </c>
      <c r="J222" s="768">
        <f ca="1">INDIRECT("'kc-Wert für Stützen'!"&amp;SUBSTITUTE(ADDRESS(MATCH($A222,'kc-Wert für Stützen'!$C:$C,0),MATCH(J$7,'kc-Wert für Stützen'!$A$8:$ES$8,0)+7,4),,))</f>
        <v>69362.700362298361</v>
      </c>
      <c r="K222" s="768">
        <f ca="1">INDIRECT("'kc-Wert für Stützen'!"&amp;SUBSTITUTE(ADDRESS(MATCH($A222,'kc-Wert für Stützen'!$C:$C,0),MATCH(K$7,'kc-Wert für Stützen'!$A$8:$ES$8,0)+7,4),,))</f>
        <v>68851.592384114017</v>
      </c>
      <c r="L222" s="768">
        <f ca="1">INDIRECT("'kc-Wert für Stützen'!"&amp;SUBSTITUTE(ADDRESS(MATCH($A222,'kc-Wert für Stützen'!$C:$C,0),MATCH(L$7,'kc-Wert für Stützen'!$A$8:$ES$8,0)+7,4),,))</f>
        <v>68297.713907990255</v>
      </c>
      <c r="M222" s="768">
        <f ca="1">INDIRECT("'kc-Wert für Stützen'!"&amp;SUBSTITUTE(ADDRESS(MATCH($A222,'kc-Wert für Stützen'!$C:$C,0),MATCH(M$7,'kc-Wert für Stützen'!$A$8:$ES$8,0)+7,4),,))</f>
        <v>67697.002352480937</v>
      </c>
      <c r="N222" s="768">
        <f ca="1">INDIRECT("'kc-Wert für Stützen'!"&amp;SUBSTITUTE(ADDRESS(MATCH($A222,'kc-Wert für Stützen'!$C:$C,0),MATCH(N$7,'kc-Wert für Stützen'!$A$8:$ES$8,0)+7,4),,))</f>
        <v>67045.38856632555</v>
      </c>
      <c r="O222" s="768">
        <f ca="1">INDIRECT("'kc-Wert für Stützen'!"&amp;SUBSTITUTE(ADDRESS(MATCH($A222,'kc-Wert für Stützen'!$C:$C,0),MATCH(O$7,'kc-Wert für Stützen'!$A$8:$ES$8,0)+7,4),,))</f>
        <v>66338.974695546101</v>
      </c>
      <c r="P222" s="768">
        <f ca="1">INDIRECT("'kc-Wert für Stützen'!"&amp;SUBSTITUTE(ADDRESS(MATCH($A222,'kc-Wert für Stützen'!$C:$C,0),MATCH(P$7,'kc-Wert für Stützen'!$A$8:$ES$8,0)+7,4),,))</f>
        <v>65574.267658060067</v>
      </c>
      <c r="S222" s="772">
        <f t="shared" ca="1" si="91"/>
        <v>71734.375942899787</v>
      </c>
      <c r="T222" s="772">
        <f t="shared" ca="1" si="94"/>
        <v>71734.375942899787</v>
      </c>
      <c r="U222" s="772">
        <f t="shared" ca="1" si="94"/>
        <v>71734.375942899787</v>
      </c>
      <c r="V222" s="772">
        <f t="shared" ca="1" si="94"/>
        <v>71405.967857219861</v>
      </c>
      <c r="W222" s="772">
        <f t="shared" ca="1" si="94"/>
        <v>71054.578625493552</v>
      </c>
      <c r="X222" s="772">
        <f t="shared" ca="1" si="94"/>
        <v>70677.591003630077</v>
      </c>
      <c r="Y222" s="772">
        <f t="shared" ca="1" si="94"/>
        <v>70272.112844750634</v>
      </c>
      <c r="Z222" s="772">
        <f t="shared" ca="1" si="94"/>
        <v>71734.375942899787</v>
      </c>
      <c r="AA222" s="772">
        <f t="shared" ca="1" si="94"/>
        <v>71734.375942899787</v>
      </c>
      <c r="AB222" s="772">
        <f t="shared" ca="1" si="93"/>
        <v>71405.967857219861</v>
      </c>
      <c r="AC222" s="772">
        <f t="shared" ca="1" si="93"/>
        <v>71405.967857219861</v>
      </c>
      <c r="AD222" s="772">
        <f t="shared" ca="1" si="93"/>
        <v>71054.578625493552</v>
      </c>
      <c r="AE222" s="772">
        <f t="shared" ca="1" si="93"/>
        <v>71054.578625493552</v>
      </c>
      <c r="AF222" s="772">
        <f t="shared" ca="1" si="93"/>
        <v>70677.591003630077</v>
      </c>
      <c r="AG222" s="772">
        <f t="shared" ca="1" si="93"/>
        <v>70677.591003630077</v>
      </c>
      <c r="AH222" s="772">
        <f t="shared" ca="1" si="93"/>
        <v>70677.591003630077</v>
      </c>
      <c r="AI222" s="772">
        <f t="shared" ca="1" si="93"/>
        <v>71734.375942899787</v>
      </c>
      <c r="AJ222" s="772">
        <f t="shared" ca="1" si="93"/>
        <v>71734.375942899787</v>
      </c>
      <c r="AK222" s="772">
        <f t="shared" ca="1" si="93"/>
        <v>71405.967857219861</v>
      </c>
      <c r="AL222" s="772">
        <f t="shared" ca="1" si="93"/>
        <v>71405.967857219861</v>
      </c>
      <c r="AM222" s="772">
        <f t="shared" ca="1" si="93"/>
        <v>71054.578625493552</v>
      </c>
      <c r="AN222" s="772">
        <f t="shared" ca="1" si="93"/>
        <v>71054.578625493552</v>
      </c>
      <c r="AO222" s="772">
        <f t="shared" ca="1" si="93"/>
        <v>70677.591003630077</v>
      </c>
      <c r="AP222" s="772">
        <f t="shared" ca="1" si="93"/>
        <v>70677.591003630077</v>
      </c>
      <c r="AQ222" s="772">
        <f t="shared" ca="1" si="93"/>
        <v>70677.591003630077</v>
      </c>
      <c r="AR222" s="772">
        <f t="shared" ca="1" si="96"/>
        <v>71734.375942899787</v>
      </c>
      <c r="AS222" s="772">
        <f t="shared" ca="1" si="96"/>
        <v>71734.375942899787</v>
      </c>
      <c r="AT222" s="772">
        <f t="shared" ca="1" si="96"/>
        <v>71405.967857219861</v>
      </c>
      <c r="AU222" s="772">
        <f t="shared" ca="1" si="96"/>
        <v>71405.967857219861</v>
      </c>
      <c r="AV222" s="772">
        <f t="shared" ca="1" si="96"/>
        <v>71054.578625493552</v>
      </c>
      <c r="AW222" s="772">
        <f t="shared" ca="1" si="96"/>
        <v>71054.578625493552</v>
      </c>
      <c r="AX222" s="772">
        <f t="shared" ca="1" si="96"/>
        <v>70677.591003630077</v>
      </c>
      <c r="AY222" s="772">
        <f t="shared" ca="1" si="96"/>
        <v>70677.591003630077</v>
      </c>
      <c r="AZ222" s="772">
        <f t="shared" ca="1" si="96"/>
        <v>70677.591003630077</v>
      </c>
      <c r="BA222" s="772">
        <f t="shared" ca="1" si="96"/>
        <v>71734.375942899787</v>
      </c>
      <c r="BB222" s="772">
        <f t="shared" ca="1" si="96"/>
        <v>71734.375942899787</v>
      </c>
      <c r="BC222" s="772">
        <f t="shared" ca="1" si="96"/>
        <v>71405.967857219861</v>
      </c>
      <c r="BD222" s="772">
        <f t="shared" ca="1" si="96"/>
        <v>71054.578625493552</v>
      </c>
      <c r="BE222" s="772">
        <f t="shared" ca="1" si="96"/>
        <v>71054.578625493552</v>
      </c>
      <c r="BF222" s="772">
        <f t="shared" ca="1" si="96"/>
        <v>70677.591003630077</v>
      </c>
      <c r="BG222" s="772">
        <f t="shared" ca="1" si="97"/>
        <v>70677.591003630077</v>
      </c>
      <c r="BH222" s="772">
        <f t="shared" ref="BH222:BM231" ca="1" si="101">HLOOKUP(BH$7,$A$7:$P$348,ROW()-6)</f>
        <v>70272.112844750634</v>
      </c>
      <c r="BI222" s="772">
        <f t="shared" ca="1" si="101"/>
        <v>70272.112844750634</v>
      </c>
      <c r="BJ222" s="772">
        <f t="shared" ca="1" si="101"/>
        <v>71405.967857219861</v>
      </c>
      <c r="BK222" s="772">
        <f t="shared" ca="1" si="101"/>
        <v>71405.967857219861</v>
      </c>
      <c r="BL222" s="772">
        <f t="shared" ca="1" si="101"/>
        <v>71405.967857219861</v>
      </c>
      <c r="BM222" s="772">
        <f t="shared" ca="1" si="101"/>
        <v>71405.967857219861</v>
      </c>
      <c r="BN222" s="772">
        <f t="shared" ca="1" si="99"/>
        <v>70677.591003630077</v>
      </c>
      <c r="BO222" s="772">
        <f t="shared" ca="1" si="98"/>
        <v>70677.591003630077</v>
      </c>
      <c r="BP222" s="772">
        <f t="shared" ca="1" si="98"/>
        <v>70272.112844750634</v>
      </c>
      <c r="BQ222" s="772">
        <f t="shared" ca="1" si="98"/>
        <v>70272.112844750634</v>
      </c>
      <c r="BR222" s="772">
        <f t="shared" ca="1" si="98"/>
        <v>69834.968230213286</v>
      </c>
      <c r="BS222" s="772">
        <f t="shared" ca="1" si="98"/>
        <v>71405.967857219861</v>
      </c>
      <c r="BT222" s="772">
        <f t="shared" ca="1" si="98"/>
        <v>71405.967857219861</v>
      </c>
      <c r="BU222" s="772">
        <f t="shared" ca="1" si="98"/>
        <v>71405.967857219861</v>
      </c>
      <c r="BV222" s="772">
        <f t="shared" ca="1" si="98"/>
        <v>71054.578625493552</v>
      </c>
      <c r="BW222" s="772">
        <f t="shared" ca="1" si="98"/>
        <v>71054.578625493552</v>
      </c>
      <c r="BX222" s="772">
        <f t="shared" ref="BX222:CE230" ca="1" si="102">HLOOKUP(BX$7,$A$7:$P$348,ROW()-6)</f>
        <v>70272.112844750634</v>
      </c>
      <c r="BY222" s="772">
        <f t="shared" ca="1" si="102"/>
        <v>70272.112844750634</v>
      </c>
      <c r="BZ222" s="772">
        <f t="shared" ca="1" si="102"/>
        <v>69834.968230213286</v>
      </c>
      <c r="CA222" s="772">
        <f t="shared" ca="1" si="102"/>
        <v>69834.968230213286</v>
      </c>
      <c r="CB222" s="772">
        <f t="shared" ca="1" si="102"/>
        <v>71054.578625493552</v>
      </c>
      <c r="CC222" s="772">
        <f t="shared" ca="1" si="102"/>
        <v>71054.578625493552</v>
      </c>
      <c r="CD222" s="772">
        <f t="shared" ca="1" si="102"/>
        <v>71054.578625493552</v>
      </c>
      <c r="CE222" s="772">
        <f t="shared" ca="1" si="102"/>
        <v>71054.578625493552</v>
      </c>
      <c r="CF222" s="772">
        <f t="shared" ca="1" si="100"/>
        <v>70677.591003630077</v>
      </c>
      <c r="CG222" s="772">
        <f t="shared" ca="1" si="100"/>
        <v>70272.112844750634</v>
      </c>
      <c r="CH222" s="772">
        <f t="shared" ca="1" si="100"/>
        <v>69834.968230213286</v>
      </c>
      <c r="CI222" s="772">
        <f t="shared" ca="1" si="100"/>
        <v>69834.968230213286</v>
      </c>
      <c r="CJ222" s="772">
        <f t="shared" ca="1" si="100"/>
        <v>69362.700362298361</v>
      </c>
    </row>
    <row r="223" spans="1:88" ht="15" customHeight="1">
      <c r="A223" s="770">
        <f>'kc-Wert für Stützen'!C223</f>
        <v>275</v>
      </c>
      <c r="B223" s="768">
        <f ca="1">INDIRECT("'kc-Wert für Stützen'!"&amp;SUBSTITUTE(ADDRESS(MATCH($A223,'kc-Wert für Stützen'!$C:$C,0),MATCH(B$7,'kc-Wert für Stützen'!$A$8:$ES$8,0)+7,4),,))</f>
        <v>72889.074389129557</v>
      </c>
      <c r="C223" s="768">
        <f ca="1">INDIRECT("'kc-Wert für Stützen'!"&amp;SUBSTITUTE(ADDRESS(MATCH($A223,'kc-Wert für Stützen'!$C:$C,0),MATCH(C$7,'kc-Wert für Stützen'!$A$8:$ES$8,0)+7,4),,))</f>
        <v>72600.549292991956</v>
      </c>
      <c r="D223" s="768">
        <f ca="1">INDIRECT("'kc-Wert für Stützen'!"&amp;SUBSTITUTE(ADDRESS(MATCH($A223,'kc-Wert für Stützen'!$C:$C,0),MATCH(D$7,'kc-Wert für Stützen'!$A$8:$ES$8,0)+7,4),,))</f>
        <v>72293.73129782622</v>
      </c>
      <c r="E223" s="768">
        <f ca="1">INDIRECT("'kc-Wert für Stützen'!"&amp;SUBSTITUTE(ADDRESS(MATCH($A223,'kc-Wert für Stützen'!$C:$C,0),MATCH(E$7,'kc-Wert für Stützen'!$A$8:$ES$8,0)+7,4),,))</f>
        <v>71966.533092182566</v>
      </c>
      <c r="F223" s="768">
        <f ca="1">INDIRECT("'kc-Wert für Stützen'!"&amp;SUBSTITUTE(ADDRESS(MATCH($A223,'kc-Wert für Stützen'!$C:$C,0),MATCH(F$7,'kc-Wert für Stützen'!$A$8:$ES$8,0)+7,4),,))</f>
        <v>71616.63234931347</v>
      </c>
      <c r="G223" s="768">
        <f ca="1">INDIRECT("'kc-Wert für Stützen'!"&amp;SUBSTITUTE(ADDRESS(MATCH($A223,'kc-Wert für Stützen'!$C:$C,0),MATCH(G$7,'kc-Wert für Stützen'!$A$8:$ES$8,0)+7,4),,))</f>
        <v>71241.451810508661</v>
      </c>
      <c r="H223" s="768">
        <f ca="1">INDIRECT("'kc-Wert für Stützen'!"&amp;SUBSTITUTE(ADDRESS(MATCH($A223,'kc-Wert für Stützen'!$C:$C,0),MATCH(H$7,'kc-Wert für Stützen'!$A$8:$ES$8,0)+7,4),,))</f>
        <v>70838.14286070595</v>
      </c>
      <c r="I223" s="768">
        <f ca="1">INDIRECT("'kc-Wert für Stützen'!"&amp;SUBSTITUTE(ADDRESS(MATCH($A223,'kc-Wert für Stützen'!$C:$C,0),MATCH(I$7,'kc-Wert für Stützen'!$A$8:$ES$8,0)+7,4),,))</f>
        <v>70403.575703847615</v>
      </c>
      <c r="J223" s="768">
        <f ca="1">INDIRECT("'kc-Wert für Stützen'!"&amp;SUBSTITUTE(ADDRESS(MATCH($A223,'kc-Wert für Stützen'!$C:$C,0),MATCH(J$7,'kc-Wert für Stützen'!$A$8:$ES$8,0)+7,4),,))</f>
        <v>69934.340504016873</v>
      </c>
      <c r="K223" s="768">
        <f ca="1">INDIRECT("'kc-Wert für Stützen'!"&amp;SUBSTITUTE(ADDRESS(MATCH($A223,'kc-Wert für Stützen'!$C:$C,0),MATCH(K$7,'kc-Wert für Stützen'!$A$8:$ES$8,0)+7,4),,))</f>
        <v>69426.765352847389</v>
      </c>
      <c r="L223" s="768">
        <f ca="1">INDIRECT("'kc-Wert für Stützen'!"&amp;SUBSTITUTE(ADDRESS(MATCH($A223,'kc-Wert für Stützen'!$C:$C,0),MATCH(L$7,'kc-Wert für Stützen'!$A$8:$ES$8,0)+7,4),,))</f>
        <v>68876.958511712088</v>
      </c>
      <c r="M223" s="768">
        <f ca="1">INDIRECT("'kc-Wert für Stützen'!"&amp;SUBSTITUTE(ADDRESS(MATCH($A223,'kc-Wert für Stützen'!$C:$C,0),MATCH(M$7,'kc-Wert für Stützen'!$A$8:$ES$8,0)+7,4),,))</f>
        <v>68280.883734496878</v>
      </c>
      <c r="N223" s="768">
        <f ca="1">INDIRECT("'kc-Wert für Stützen'!"&amp;SUBSTITUTE(ADDRESS(MATCH($A223,'kc-Wert für Stützen'!$C:$C,0),MATCH(N$7,'kc-Wert für Stützen'!$A$8:$ES$8,0)+7,4),,))</f>
        <v>67634.478016482419</v>
      </c>
      <c r="O223" s="768">
        <f ca="1">INDIRECT("'kc-Wert für Stützen'!"&amp;SUBSTITUTE(ADDRESS(MATCH($A223,'kc-Wert für Stützen'!$C:$C,0),MATCH(O$7,'kc-Wert für Stützen'!$A$8:$ES$8,0)+7,4),,))</f>
        <v>66933.819943013674</v>
      </c>
      <c r="P223" s="768">
        <f ca="1">INDIRECT("'kc-Wert für Stützen'!"&amp;SUBSTITUTE(ADDRESS(MATCH($A223,'kc-Wert für Stützen'!$C:$C,0),MATCH(P$7,'kc-Wert für Stützen'!$A$8:$ES$8,0)+7,4),,))</f>
        <v>66175.352804782393</v>
      </c>
      <c r="S223" s="772">
        <f t="shared" ca="1" si="91"/>
        <v>72293.73129782622</v>
      </c>
      <c r="T223" s="772">
        <f t="shared" ca="1" si="94"/>
        <v>72293.73129782622</v>
      </c>
      <c r="U223" s="772">
        <f t="shared" ca="1" si="94"/>
        <v>72293.73129782622</v>
      </c>
      <c r="V223" s="772">
        <f t="shared" ca="1" si="94"/>
        <v>71966.533092182566</v>
      </c>
      <c r="W223" s="772">
        <f t="shared" ca="1" si="94"/>
        <v>71616.63234931347</v>
      </c>
      <c r="X223" s="772">
        <f t="shared" ca="1" si="94"/>
        <v>71241.451810508661</v>
      </c>
      <c r="Y223" s="772">
        <f t="shared" ca="1" si="94"/>
        <v>70838.14286070595</v>
      </c>
      <c r="Z223" s="772">
        <f t="shared" ca="1" si="94"/>
        <v>72293.73129782622</v>
      </c>
      <c r="AA223" s="772">
        <f t="shared" ca="1" si="94"/>
        <v>72293.73129782622</v>
      </c>
      <c r="AB223" s="772">
        <f t="shared" ca="1" si="93"/>
        <v>71966.533092182566</v>
      </c>
      <c r="AC223" s="772">
        <f t="shared" ca="1" si="93"/>
        <v>71966.533092182566</v>
      </c>
      <c r="AD223" s="772">
        <f t="shared" ca="1" si="93"/>
        <v>71616.63234931347</v>
      </c>
      <c r="AE223" s="772">
        <f t="shared" ca="1" si="93"/>
        <v>71616.63234931347</v>
      </c>
      <c r="AF223" s="772">
        <f t="shared" ca="1" si="93"/>
        <v>71241.451810508661</v>
      </c>
      <c r="AG223" s="772">
        <f t="shared" ca="1" si="93"/>
        <v>71241.451810508661</v>
      </c>
      <c r="AH223" s="772">
        <f t="shared" ca="1" si="93"/>
        <v>71241.451810508661</v>
      </c>
      <c r="AI223" s="772">
        <f t="shared" ca="1" si="93"/>
        <v>72293.73129782622</v>
      </c>
      <c r="AJ223" s="772">
        <f t="shared" ca="1" si="93"/>
        <v>72293.73129782622</v>
      </c>
      <c r="AK223" s="772">
        <f t="shared" ca="1" si="93"/>
        <v>71966.533092182566</v>
      </c>
      <c r="AL223" s="772">
        <f t="shared" ca="1" si="93"/>
        <v>71966.533092182566</v>
      </c>
      <c r="AM223" s="772">
        <f t="shared" ca="1" si="93"/>
        <v>71616.63234931347</v>
      </c>
      <c r="AN223" s="772">
        <f t="shared" ca="1" si="93"/>
        <v>71616.63234931347</v>
      </c>
      <c r="AO223" s="772">
        <f t="shared" ca="1" si="93"/>
        <v>71241.451810508661</v>
      </c>
      <c r="AP223" s="772">
        <f t="shared" ca="1" si="93"/>
        <v>71241.451810508661</v>
      </c>
      <c r="AQ223" s="772">
        <f t="shared" ca="1" si="93"/>
        <v>71241.451810508661</v>
      </c>
      <c r="AR223" s="772">
        <f t="shared" ca="1" si="96"/>
        <v>72293.73129782622</v>
      </c>
      <c r="AS223" s="772">
        <f t="shared" ca="1" si="96"/>
        <v>72293.73129782622</v>
      </c>
      <c r="AT223" s="772">
        <f t="shared" ca="1" si="96"/>
        <v>71966.533092182566</v>
      </c>
      <c r="AU223" s="772">
        <f t="shared" ca="1" si="96"/>
        <v>71966.533092182566</v>
      </c>
      <c r="AV223" s="772">
        <f t="shared" ca="1" si="96"/>
        <v>71616.63234931347</v>
      </c>
      <c r="AW223" s="772">
        <f t="shared" ca="1" si="96"/>
        <v>71616.63234931347</v>
      </c>
      <c r="AX223" s="772">
        <f t="shared" ca="1" si="96"/>
        <v>71241.451810508661</v>
      </c>
      <c r="AY223" s="772">
        <f t="shared" ca="1" si="96"/>
        <v>71241.451810508661</v>
      </c>
      <c r="AZ223" s="772">
        <f t="shared" ca="1" si="96"/>
        <v>71241.451810508661</v>
      </c>
      <c r="BA223" s="772">
        <f t="shared" ca="1" si="96"/>
        <v>72293.73129782622</v>
      </c>
      <c r="BB223" s="772">
        <f t="shared" ca="1" si="96"/>
        <v>72293.73129782622</v>
      </c>
      <c r="BC223" s="772">
        <f t="shared" ca="1" si="96"/>
        <v>71966.533092182566</v>
      </c>
      <c r="BD223" s="772">
        <f t="shared" ca="1" si="96"/>
        <v>71616.63234931347</v>
      </c>
      <c r="BE223" s="772">
        <f t="shared" ca="1" si="96"/>
        <v>71616.63234931347</v>
      </c>
      <c r="BF223" s="772">
        <f t="shared" ca="1" si="96"/>
        <v>71241.451810508661</v>
      </c>
      <c r="BG223" s="772">
        <f t="shared" ca="1" si="97"/>
        <v>71241.451810508661</v>
      </c>
      <c r="BH223" s="772">
        <f t="shared" ca="1" si="101"/>
        <v>70838.14286070595</v>
      </c>
      <c r="BI223" s="772">
        <f t="shared" ca="1" si="101"/>
        <v>70838.14286070595</v>
      </c>
      <c r="BJ223" s="772">
        <f t="shared" ca="1" si="101"/>
        <v>71966.533092182566</v>
      </c>
      <c r="BK223" s="772">
        <f t="shared" ca="1" si="101"/>
        <v>71966.533092182566</v>
      </c>
      <c r="BL223" s="772">
        <f t="shared" ca="1" si="101"/>
        <v>71966.533092182566</v>
      </c>
      <c r="BM223" s="772">
        <f t="shared" ca="1" si="101"/>
        <v>71966.533092182566</v>
      </c>
      <c r="BN223" s="772">
        <f t="shared" ca="1" si="99"/>
        <v>71241.451810508661</v>
      </c>
      <c r="BO223" s="772">
        <f t="shared" ca="1" si="98"/>
        <v>71241.451810508661</v>
      </c>
      <c r="BP223" s="772">
        <f t="shared" ca="1" si="98"/>
        <v>70838.14286070595</v>
      </c>
      <c r="BQ223" s="772">
        <f t="shared" ca="1" si="98"/>
        <v>70838.14286070595</v>
      </c>
      <c r="BR223" s="772">
        <f t="shared" ca="1" si="98"/>
        <v>70403.575703847615</v>
      </c>
      <c r="BS223" s="772">
        <f t="shared" ca="1" si="98"/>
        <v>71966.533092182566</v>
      </c>
      <c r="BT223" s="772">
        <f t="shared" ca="1" si="98"/>
        <v>71966.533092182566</v>
      </c>
      <c r="BU223" s="772">
        <f t="shared" ca="1" si="98"/>
        <v>71966.533092182566</v>
      </c>
      <c r="BV223" s="772">
        <f t="shared" ca="1" si="98"/>
        <v>71616.63234931347</v>
      </c>
      <c r="BW223" s="772">
        <f t="shared" ca="1" si="98"/>
        <v>71616.63234931347</v>
      </c>
      <c r="BX223" s="772">
        <f t="shared" ca="1" si="102"/>
        <v>70838.14286070595</v>
      </c>
      <c r="BY223" s="772">
        <f t="shared" ca="1" si="102"/>
        <v>70838.14286070595</v>
      </c>
      <c r="BZ223" s="772">
        <f t="shared" ca="1" si="102"/>
        <v>70403.575703847615</v>
      </c>
      <c r="CA223" s="772">
        <f t="shared" ca="1" si="102"/>
        <v>70403.575703847615</v>
      </c>
      <c r="CB223" s="772">
        <f t="shared" ca="1" si="102"/>
        <v>71616.63234931347</v>
      </c>
      <c r="CC223" s="772">
        <f t="shared" ca="1" si="102"/>
        <v>71616.63234931347</v>
      </c>
      <c r="CD223" s="772">
        <f t="shared" ca="1" si="102"/>
        <v>71616.63234931347</v>
      </c>
      <c r="CE223" s="772">
        <f t="shared" ca="1" si="102"/>
        <v>71616.63234931347</v>
      </c>
      <c r="CF223" s="772">
        <f t="shared" ca="1" si="100"/>
        <v>71241.451810508661</v>
      </c>
      <c r="CG223" s="772">
        <f t="shared" ca="1" si="100"/>
        <v>70838.14286070595</v>
      </c>
      <c r="CH223" s="772">
        <f t="shared" ca="1" si="100"/>
        <v>70403.575703847615</v>
      </c>
      <c r="CI223" s="772">
        <f t="shared" ca="1" si="100"/>
        <v>70403.575703847615</v>
      </c>
      <c r="CJ223" s="772">
        <f t="shared" ca="1" si="100"/>
        <v>69934.340504016873</v>
      </c>
    </row>
    <row r="224" spans="1:88" ht="15" customHeight="1">
      <c r="A224" s="770">
        <f>'kc-Wert für Stützen'!C224</f>
        <v>276</v>
      </c>
      <c r="B224" s="768">
        <f ca="1">INDIRECT("'kc-Wert für Stützen'!"&amp;SUBSTITUTE(ADDRESS(MATCH($A224,'kc-Wert für Stützen'!$C:$C,0),MATCH(B$7,'kc-Wert für Stützen'!$A$8:$ES$8,0)+7,4),,))</f>
        <v>73448.670649701147</v>
      </c>
      <c r="C224" s="768">
        <f ca="1">INDIRECT("'kc-Wert für Stützen'!"&amp;SUBSTITUTE(ADDRESS(MATCH($A224,'kc-Wert für Stützen'!$C:$C,0),MATCH(C$7,'kc-Wert für Stützen'!$A$8:$ES$8,0)+7,4),,))</f>
        <v>73160.882170535202</v>
      </c>
      <c r="D224" s="768">
        <f ca="1">INDIRECT("'kc-Wert für Stützen'!"&amp;SUBSTITUTE(ADDRESS(MATCH($A224,'kc-Wert für Stützen'!$C:$C,0),MATCH(D$7,'kc-Wert für Stützen'!$A$8:$ES$8,0)+7,4),,))</f>
        <v>72855.007458305103</v>
      </c>
      <c r="E224" s="768">
        <f ca="1">INDIRECT("'kc-Wert für Stützen'!"&amp;SUBSTITUTE(ADDRESS(MATCH($A224,'kc-Wert für Stützen'!$C:$C,0),MATCH(E$7,'kc-Wert für Stützen'!$A$8:$ES$8,0)+7,4),,))</f>
        <v>72528.990566349254</v>
      </c>
      <c r="F224" s="768">
        <f ca="1">INDIRECT("'kc-Wert für Stützen'!"&amp;SUBSTITUTE(ADDRESS(MATCH($A224,'kc-Wert für Stützen'!$C:$C,0),MATCH(F$7,'kc-Wert für Stützen'!$A$8:$ES$8,0)+7,4),,))</f>
        <v>72180.544492555084</v>
      </c>
      <c r="G224" s="768">
        <f ca="1">INDIRECT("'kc-Wert für Stützen'!"&amp;SUBSTITUTE(ADDRESS(MATCH($A224,'kc-Wert für Stützen'!$C:$C,0),MATCH(G$7,'kc-Wert für Stützen'!$A$8:$ES$8,0)+7,4),,))</f>
        <v>71807.131237574969</v>
      </c>
      <c r="H224" s="768">
        <f ca="1">INDIRECT("'kc-Wert für Stützen'!"&amp;SUBSTITUTE(ADDRESS(MATCH($A224,'kc-Wert für Stützen'!$C:$C,0),MATCH(H$7,'kc-Wert für Stützen'!$A$8:$ES$8,0)+7,4),,))</f>
        <v>71405.945024976143</v>
      </c>
      <c r="I224" s="768">
        <f ca="1">INDIRECT("'kc-Wert für Stützen'!"&amp;SUBSTITUTE(ADDRESS(MATCH($A224,'kc-Wert für Stützen'!$C:$C,0),MATCH(I$7,'kc-Wert für Stützen'!$A$8:$ES$8,0)+7,4),,))</f>
        <v>70973.901610208326</v>
      </c>
      <c r="J224" s="768">
        <f ca="1">INDIRECT("'kc-Wert für Stützen'!"&amp;SUBSTITUTE(ADDRESS(MATCH($A224,'kc-Wert für Stützen'!$C:$C,0),MATCH(J$7,'kc-Wert für Stützen'!$A$8:$ES$8,0)+7,4),,))</f>
        <v>70507.63780642749</v>
      </c>
      <c r="K224" s="768">
        <f ca="1">INDIRECT("'kc-Wert für Stützen'!"&amp;SUBSTITUTE(ADDRESS(MATCH($A224,'kc-Wert für Stützen'!$C:$C,0),MATCH(K$7,'kc-Wert für Stützen'!$A$8:$ES$8,0)+7,4),,))</f>
        <v>70003.5267948197</v>
      </c>
      <c r="L224" s="768">
        <f ca="1">INDIRECT("'kc-Wert für Stützen'!"&amp;SUBSTITUTE(ADDRESS(MATCH($A224,'kc-Wert für Stützen'!$C:$C,0),MATCH(L$7,'kc-Wert für Stützen'!$A$8:$ES$8,0)+7,4),,))</f>
        <v>69457.716343038337</v>
      </c>
      <c r="M224" s="768">
        <f ca="1">INDIRECT("'kc-Wert für Stützen'!"&amp;SUBSTITUTE(ADDRESS(MATCH($A224,'kc-Wert für Stützen'!$C:$C,0),MATCH(M$7,'kc-Wert für Stützen'!$A$8:$ES$8,0)+7,4),,))</f>
        <v>68866.19843908865</v>
      </c>
      <c r="N224" s="768">
        <f ca="1">INDIRECT("'kc-Wert für Stützen'!"&amp;SUBSTITUTE(ADDRESS(MATCH($A224,'kc-Wert für Stützen'!$C:$C,0),MATCH(N$7,'kc-Wert für Stützen'!$A$8:$ES$8,0)+7,4),,))</f>
        <v>68224.919525663732</v>
      </c>
      <c r="O224" s="768">
        <f ca="1">INDIRECT("'kc-Wert für Stützen'!"&amp;SUBSTITUTE(ADDRESS(MATCH($A224,'kc-Wert für Stützen'!$C:$C,0),MATCH(O$7,'kc-Wert für Stützen'!$A$8:$ES$8,0)+7,4),,))</f>
        <v>67529.939661302313</v>
      </c>
      <c r="P224" s="768">
        <f ca="1">INDIRECT("'kc-Wert für Stützen'!"&amp;SUBSTITUTE(ADDRESS(MATCH($A224,'kc-Wert für Stützen'!$C:$C,0),MATCH(P$7,'kc-Wert für Stützen'!$A$8:$ES$8,0)+7,4),,))</f>
        <v>66777.645465945869</v>
      </c>
      <c r="S224" s="772">
        <f t="shared" ca="1" si="91"/>
        <v>72855.007458305103</v>
      </c>
      <c r="T224" s="772">
        <f t="shared" ca="1" si="94"/>
        <v>72855.007458305103</v>
      </c>
      <c r="U224" s="772">
        <f t="shared" ca="1" si="94"/>
        <v>72855.007458305103</v>
      </c>
      <c r="V224" s="772">
        <f t="shared" ca="1" si="94"/>
        <v>72528.990566349254</v>
      </c>
      <c r="W224" s="772">
        <f t="shared" ca="1" si="94"/>
        <v>72180.544492555084</v>
      </c>
      <c r="X224" s="772">
        <f t="shared" ca="1" si="94"/>
        <v>71807.131237574969</v>
      </c>
      <c r="Y224" s="772">
        <f t="shared" ca="1" si="94"/>
        <v>71405.945024976143</v>
      </c>
      <c r="Z224" s="772">
        <f t="shared" ca="1" si="94"/>
        <v>72855.007458305103</v>
      </c>
      <c r="AA224" s="772">
        <f t="shared" ca="1" si="94"/>
        <v>72855.007458305103</v>
      </c>
      <c r="AB224" s="772">
        <f t="shared" ca="1" si="93"/>
        <v>72528.990566349254</v>
      </c>
      <c r="AC224" s="772">
        <f t="shared" ca="1" si="93"/>
        <v>72528.990566349254</v>
      </c>
      <c r="AD224" s="772">
        <f t="shared" ca="1" si="93"/>
        <v>72180.544492555084</v>
      </c>
      <c r="AE224" s="772">
        <f t="shared" ca="1" si="93"/>
        <v>72180.544492555084</v>
      </c>
      <c r="AF224" s="772">
        <f t="shared" ca="1" si="93"/>
        <v>71807.131237574969</v>
      </c>
      <c r="AG224" s="772">
        <f t="shared" ca="1" si="93"/>
        <v>71807.131237574969</v>
      </c>
      <c r="AH224" s="772">
        <f t="shared" ca="1" si="93"/>
        <v>71807.131237574969</v>
      </c>
      <c r="AI224" s="772">
        <f t="shared" ca="1" si="93"/>
        <v>72855.007458305103</v>
      </c>
      <c r="AJ224" s="772">
        <f t="shared" ca="1" si="93"/>
        <v>72855.007458305103</v>
      </c>
      <c r="AK224" s="772">
        <f t="shared" ca="1" si="93"/>
        <v>72528.990566349254</v>
      </c>
      <c r="AL224" s="772">
        <f t="shared" ca="1" si="93"/>
        <v>72528.990566349254</v>
      </c>
      <c r="AM224" s="772">
        <f t="shared" ca="1" si="93"/>
        <v>72180.544492555084</v>
      </c>
      <c r="AN224" s="772">
        <f t="shared" ca="1" si="93"/>
        <v>72180.544492555084</v>
      </c>
      <c r="AO224" s="772">
        <f t="shared" ca="1" si="93"/>
        <v>71807.131237574969</v>
      </c>
      <c r="AP224" s="772">
        <f t="shared" ca="1" si="93"/>
        <v>71807.131237574969</v>
      </c>
      <c r="AQ224" s="772">
        <f t="shared" ca="1" si="93"/>
        <v>71807.131237574969</v>
      </c>
      <c r="AR224" s="772">
        <f t="shared" ca="1" si="96"/>
        <v>72855.007458305103</v>
      </c>
      <c r="AS224" s="772">
        <f t="shared" ca="1" si="96"/>
        <v>72855.007458305103</v>
      </c>
      <c r="AT224" s="772">
        <f t="shared" ca="1" si="96"/>
        <v>72528.990566349254</v>
      </c>
      <c r="AU224" s="772">
        <f t="shared" ca="1" si="96"/>
        <v>72528.990566349254</v>
      </c>
      <c r="AV224" s="772">
        <f t="shared" ca="1" si="96"/>
        <v>72180.544492555084</v>
      </c>
      <c r="AW224" s="772">
        <f t="shared" ca="1" si="96"/>
        <v>72180.544492555084</v>
      </c>
      <c r="AX224" s="772">
        <f t="shared" ca="1" si="96"/>
        <v>71807.131237574969</v>
      </c>
      <c r="AY224" s="772">
        <f t="shared" ca="1" si="96"/>
        <v>71807.131237574969</v>
      </c>
      <c r="AZ224" s="772">
        <f t="shared" ca="1" si="96"/>
        <v>71807.131237574969</v>
      </c>
      <c r="BA224" s="772">
        <f t="shared" ca="1" si="96"/>
        <v>72855.007458305103</v>
      </c>
      <c r="BB224" s="772">
        <f t="shared" ca="1" si="96"/>
        <v>72855.007458305103</v>
      </c>
      <c r="BC224" s="772">
        <f t="shared" ca="1" si="96"/>
        <v>72528.990566349254</v>
      </c>
      <c r="BD224" s="772">
        <f t="shared" ca="1" si="96"/>
        <v>72180.544492555084</v>
      </c>
      <c r="BE224" s="772">
        <f t="shared" ca="1" si="96"/>
        <v>72180.544492555084</v>
      </c>
      <c r="BF224" s="772">
        <f t="shared" ca="1" si="96"/>
        <v>71807.131237574969</v>
      </c>
      <c r="BG224" s="772">
        <f t="shared" ca="1" si="97"/>
        <v>71807.131237574969</v>
      </c>
      <c r="BH224" s="772">
        <f t="shared" ca="1" si="101"/>
        <v>71405.945024976143</v>
      </c>
      <c r="BI224" s="772">
        <f t="shared" ca="1" si="101"/>
        <v>71405.945024976143</v>
      </c>
      <c r="BJ224" s="772">
        <f t="shared" ca="1" si="101"/>
        <v>72528.990566349254</v>
      </c>
      <c r="BK224" s="772">
        <f t="shared" ca="1" si="101"/>
        <v>72528.990566349254</v>
      </c>
      <c r="BL224" s="772">
        <f t="shared" ca="1" si="101"/>
        <v>72528.990566349254</v>
      </c>
      <c r="BM224" s="772">
        <f t="shared" ca="1" si="101"/>
        <v>72528.990566349254</v>
      </c>
      <c r="BN224" s="772">
        <f t="shared" ca="1" si="99"/>
        <v>71807.131237574969</v>
      </c>
      <c r="BO224" s="772">
        <f t="shared" ca="1" si="98"/>
        <v>71807.131237574969</v>
      </c>
      <c r="BP224" s="772">
        <f t="shared" ca="1" si="98"/>
        <v>71405.945024976143</v>
      </c>
      <c r="BQ224" s="772">
        <f t="shared" ca="1" si="98"/>
        <v>71405.945024976143</v>
      </c>
      <c r="BR224" s="772">
        <f t="shared" ca="1" si="98"/>
        <v>70973.901610208326</v>
      </c>
      <c r="BS224" s="772">
        <f t="shared" ca="1" si="98"/>
        <v>72528.990566349254</v>
      </c>
      <c r="BT224" s="772">
        <f t="shared" ca="1" si="98"/>
        <v>72528.990566349254</v>
      </c>
      <c r="BU224" s="772">
        <f t="shared" ca="1" si="98"/>
        <v>72528.990566349254</v>
      </c>
      <c r="BV224" s="772">
        <f t="shared" ca="1" si="98"/>
        <v>72180.544492555084</v>
      </c>
      <c r="BW224" s="772">
        <f t="shared" ca="1" si="98"/>
        <v>72180.544492555084</v>
      </c>
      <c r="BX224" s="772">
        <f t="shared" ca="1" si="102"/>
        <v>71405.945024976143</v>
      </c>
      <c r="BY224" s="772">
        <f t="shared" ca="1" si="102"/>
        <v>71405.945024976143</v>
      </c>
      <c r="BZ224" s="772">
        <f t="shared" ca="1" si="102"/>
        <v>70973.901610208326</v>
      </c>
      <c r="CA224" s="772">
        <f t="shared" ca="1" si="102"/>
        <v>70973.901610208326</v>
      </c>
      <c r="CB224" s="772">
        <f t="shared" ca="1" si="102"/>
        <v>72180.544492555084</v>
      </c>
      <c r="CC224" s="772">
        <f t="shared" ca="1" si="102"/>
        <v>72180.544492555084</v>
      </c>
      <c r="CD224" s="772">
        <f t="shared" ca="1" si="102"/>
        <v>72180.544492555084</v>
      </c>
      <c r="CE224" s="772">
        <f t="shared" ca="1" si="102"/>
        <v>72180.544492555084</v>
      </c>
      <c r="CF224" s="772">
        <f t="shared" ca="1" si="100"/>
        <v>71807.131237574969</v>
      </c>
      <c r="CG224" s="772">
        <f t="shared" ca="1" si="100"/>
        <v>71405.945024976143</v>
      </c>
      <c r="CH224" s="772">
        <f t="shared" ca="1" si="100"/>
        <v>70973.901610208326</v>
      </c>
      <c r="CI224" s="772">
        <f t="shared" ca="1" si="100"/>
        <v>70973.901610208326</v>
      </c>
      <c r="CJ224" s="772">
        <f t="shared" ca="1" si="100"/>
        <v>70507.63780642749</v>
      </c>
    </row>
    <row r="225" spans="1:88" ht="15" customHeight="1">
      <c r="A225" s="770">
        <f>'kc-Wert für Stützen'!C225</f>
        <v>277</v>
      </c>
      <c r="B225" s="768">
        <f ca="1">INDIRECT("'kc-Wert für Stützen'!"&amp;SUBSTITUTE(ADDRESS(MATCH($A225,'kc-Wert für Stützen'!$C:$C,0),MATCH(B$7,'kc-Wert für Stützen'!$A$8:$ES$8,0)+7,4),,))</f>
        <v>74010.233699863733</v>
      </c>
      <c r="C225" s="768">
        <f ca="1">INDIRECT("'kc-Wert für Stützen'!"&amp;SUBSTITUTE(ADDRESS(MATCH($A225,'kc-Wert für Stützen'!$C:$C,0),MATCH(C$7,'kc-Wert für Stützen'!$A$8:$ES$8,0)+7,4),,))</f>
        <v>73723.162157377999</v>
      </c>
      <c r="D225" s="768">
        <f ca="1">INDIRECT("'kc-Wert für Stützen'!"&amp;SUBSTITUTE(ADDRESS(MATCH($A225,'kc-Wert für Stützen'!$C:$C,0),MATCH(D$7,'kc-Wert für Stützen'!$A$8:$ES$8,0)+7,4),,))</f>
        <v>73418.207243117286</v>
      </c>
      <c r="E225" s="768">
        <f ca="1">INDIRECT("'kc-Wert für Stützen'!"&amp;SUBSTITUTE(ADDRESS(MATCH($A225,'kc-Wert für Stützen'!$C:$C,0),MATCH(E$7,'kc-Wert für Stützen'!$A$8:$ES$8,0)+7,4),,))</f>
        <v>73093.343736851151</v>
      </c>
      <c r="F225" s="768">
        <f ca="1">INDIRECT("'kc-Wert für Stützen'!"&amp;SUBSTITUTE(ADDRESS(MATCH($A225,'kc-Wert für Stützen'!$C:$C,0),MATCH(F$7,'kc-Wert für Stützen'!$A$8:$ES$8,0)+7,4),,))</f>
        <v>72746.319269056665</v>
      </c>
      <c r="G225" s="768">
        <f ca="1">INDIRECT("'kc-Wert für Stützen'!"&amp;SUBSTITUTE(ADDRESS(MATCH($A225,'kc-Wert für Stützen'!$C:$C,0),MATCH(G$7,'kc-Wert für Stützen'!$A$8:$ES$8,0)+7,4),,))</f>
        <v>72374.634381808937</v>
      </c>
      <c r="H225" s="768">
        <f ca="1">INDIRECT("'kc-Wert für Stützen'!"&amp;SUBSTITUTE(ADDRESS(MATCH($A225,'kc-Wert für Stützen'!$C:$C,0),MATCH(H$7,'kc-Wert für Stützen'!$A$8:$ES$8,0)+7,4),,))</f>
        <v>71975.525443907871</v>
      </c>
      <c r="I225" s="768">
        <f ca="1">INDIRECT("'kc-Wert für Stützen'!"&amp;SUBSTITUTE(ADDRESS(MATCH($A225,'kc-Wert für Stützen'!$C:$C,0),MATCH(I$7,'kc-Wert für Stützen'!$A$8:$ES$8,0)+7,4),,))</f>
        <v>71545.953176500567</v>
      </c>
      <c r="J225" s="768">
        <f ca="1">INDIRECT("'kc-Wert für Stützen'!"&amp;SUBSTITUTE(ADDRESS(MATCH($A225,'kc-Wert für Stützen'!$C:$C,0),MATCH(J$7,'kc-Wert für Stützen'!$A$8:$ES$8,0)+7,4),,))</f>
        <v>71082.600691093248</v>
      </c>
      <c r="K225" s="768">
        <f ca="1">INDIRECT("'kc-Wert für Stützen'!"&amp;SUBSTITUTE(ADDRESS(MATCH($A225,'kc-Wert für Stützen'!$C:$C,0),MATCH(K$7,'kc-Wert für Stützen'!$A$8:$ES$8,0)+7,4),,))</f>
        <v>70581.886326840264</v>
      </c>
      <c r="L225" s="768">
        <f ca="1">INDIRECT("'kc-Wert für Stützen'!"&amp;SUBSTITUTE(ADDRESS(MATCH($A225,'kc-Wert für Stützen'!$C:$C,0),MATCH(L$7,'kc-Wert für Stützen'!$A$8:$ES$8,0)+7,4),,))</f>
        <v>70039.998094379407</v>
      </c>
      <c r="M225" s="768">
        <f ca="1">INDIRECT("'kc-Wert für Stützen'!"&amp;SUBSTITUTE(ADDRESS(MATCH($A225,'kc-Wert für Stützen'!$C:$C,0),MATCH(M$7,'kc-Wert für Stützen'!$A$8:$ES$8,0)+7,4),,))</f>
        <v>69452.957933107522</v>
      </c>
      <c r="N225" s="768">
        <f ca="1">INDIRECT("'kc-Wert für Stützen'!"&amp;SUBSTITUTE(ADDRESS(MATCH($A225,'kc-Wert für Stützen'!$C:$C,0),MATCH(N$7,'kc-Wert für Stützen'!$A$8:$ES$8,0)+7,4),,))</f>
        <v>68816.724783202517</v>
      </c>
      <c r="O225" s="768">
        <f ca="1">INDIRECT("'kc-Wert für Stützen'!"&amp;SUBSTITUTE(ADDRESS(MATCH($A225,'kc-Wert für Stützen'!$C:$C,0),MATCH(O$7,'kc-Wert für Stützen'!$A$8:$ES$8,0)+7,4),,))</f>
        <v>68127.344893940462</v>
      </c>
      <c r="P225" s="768">
        <f ca="1">INDIRECT("'kc-Wert für Stützen'!"&amp;SUBSTITUTE(ADDRESS(MATCH($A225,'kc-Wert für Stützen'!$C:$C,0),MATCH(P$7,'kc-Wert für Stützen'!$A$8:$ES$8,0)+7,4),,))</f>
        <v>67381.154814282665</v>
      </c>
      <c r="S225" s="772">
        <f t="shared" ca="1" si="91"/>
        <v>73418.207243117286</v>
      </c>
      <c r="T225" s="772">
        <f t="shared" ca="1" si="94"/>
        <v>73418.207243117286</v>
      </c>
      <c r="U225" s="772">
        <f t="shared" ca="1" si="94"/>
        <v>73418.207243117286</v>
      </c>
      <c r="V225" s="772">
        <f t="shared" ca="1" si="94"/>
        <v>73093.343736851151</v>
      </c>
      <c r="W225" s="772">
        <f t="shared" ca="1" si="94"/>
        <v>72746.319269056665</v>
      </c>
      <c r="X225" s="772">
        <f t="shared" ca="1" si="94"/>
        <v>72374.634381808937</v>
      </c>
      <c r="Y225" s="772">
        <f t="shared" ca="1" si="94"/>
        <v>71975.525443907871</v>
      </c>
      <c r="Z225" s="772">
        <f t="shared" ca="1" si="94"/>
        <v>73418.207243117286</v>
      </c>
      <c r="AA225" s="772">
        <f t="shared" ca="1" si="94"/>
        <v>73418.207243117286</v>
      </c>
      <c r="AB225" s="772">
        <f t="shared" ca="1" si="93"/>
        <v>73093.343736851151</v>
      </c>
      <c r="AC225" s="772">
        <f t="shared" ca="1" si="93"/>
        <v>73093.343736851151</v>
      </c>
      <c r="AD225" s="772">
        <f t="shared" ca="1" si="93"/>
        <v>72746.319269056665</v>
      </c>
      <c r="AE225" s="772">
        <f t="shared" ca="1" si="93"/>
        <v>72746.319269056665</v>
      </c>
      <c r="AF225" s="772">
        <f t="shared" ca="1" si="93"/>
        <v>72374.634381808937</v>
      </c>
      <c r="AG225" s="772">
        <f t="shared" ca="1" si="93"/>
        <v>72374.634381808937</v>
      </c>
      <c r="AH225" s="772">
        <f t="shared" ref="AH225:AQ234" ca="1" si="103">HLOOKUP(AH$7,$A$7:$P$348,ROW()-6)</f>
        <v>72374.634381808937</v>
      </c>
      <c r="AI225" s="772">
        <f t="shared" ca="1" si="103"/>
        <v>73418.207243117286</v>
      </c>
      <c r="AJ225" s="772">
        <f t="shared" ca="1" si="103"/>
        <v>73418.207243117286</v>
      </c>
      <c r="AK225" s="772">
        <f t="shared" ca="1" si="103"/>
        <v>73093.343736851151</v>
      </c>
      <c r="AL225" s="772">
        <f t="shared" ca="1" si="103"/>
        <v>73093.343736851151</v>
      </c>
      <c r="AM225" s="772">
        <f t="shared" ca="1" si="103"/>
        <v>72746.319269056665</v>
      </c>
      <c r="AN225" s="772">
        <f t="shared" ca="1" si="103"/>
        <v>72746.319269056665</v>
      </c>
      <c r="AO225" s="772">
        <f t="shared" ca="1" si="103"/>
        <v>72374.634381808937</v>
      </c>
      <c r="AP225" s="772">
        <f t="shared" ca="1" si="103"/>
        <v>72374.634381808937</v>
      </c>
      <c r="AQ225" s="772">
        <f t="shared" ca="1" si="103"/>
        <v>72374.634381808937</v>
      </c>
      <c r="AR225" s="772">
        <f t="shared" ca="1" si="96"/>
        <v>73418.207243117286</v>
      </c>
      <c r="AS225" s="772">
        <f t="shared" ca="1" si="96"/>
        <v>73418.207243117286</v>
      </c>
      <c r="AT225" s="772">
        <f t="shared" ca="1" si="96"/>
        <v>73093.343736851151</v>
      </c>
      <c r="AU225" s="772">
        <f t="shared" ca="1" si="96"/>
        <v>73093.343736851151</v>
      </c>
      <c r="AV225" s="772">
        <f t="shared" ca="1" si="96"/>
        <v>72746.319269056665</v>
      </c>
      <c r="AW225" s="772">
        <f t="shared" ca="1" si="96"/>
        <v>72746.319269056665</v>
      </c>
      <c r="AX225" s="772">
        <f t="shared" ca="1" si="96"/>
        <v>72374.634381808937</v>
      </c>
      <c r="AY225" s="772">
        <f t="shared" ca="1" si="96"/>
        <v>72374.634381808937</v>
      </c>
      <c r="AZ225" s="772">
        <f t="shared" ca="1" si="96"/>
        <v>72374.634381808937</v>
      </c>
      <c r="BA225" s="772">
        <f t="shared" ca="1" si="96"/>
        <v>73418.207243117286</v>
      </c>
      <c r="BB225" s="772">
        <f t="shared" ca="1" si="96"/>
        <v>73418.207243117286</v>
      </c>
      <c r="BC225" s="772">
        <f t="shared" ca="1" si="96"/>
        <v>73093.343736851151</v>
      </c>
      <c r="BD225" s="772">
        <f t="shared" ca="1" si="96"/>
        <v>72746.319269056665</v>
      </c>
      <c r="BE225" s="772">
        <f t="shared" ca="1" si="96"/>
        <v>72746.319269056665</v>
      </c>
      <c r="BF225" s="772">
        <f t="shared" ca="1" si="96"/>
        <v>72374.634381808937</v>
      </c>
      <c r="BG225" s="772">
        <f t="shared" ca="1" si="97"/>
        <v>72374.634381808937</v>
      </c>
      <c r="BH225" s="772">
        <f t="shared" ca="1" si="101"/>
        <v>71975.525443907871</v>
      </c>
      <c r="BI225" s="772">
        <f t="shared" ca="1" si="101"/>
        <v>71975.525443907871</v>
      </c>
      <c r="BJ225" s="772">
        <f t="shared" ca="1" si="101"/>
        <v>73093.343736851151</v>
      </c>
      <c r="BK225" s="772">
        <f t="shared" ca="1" si="101"/>
        <v>73093.343736851151</v>
      </c>
      <c r="BL225" s="772">
        <f t="shared" ca="1" si="101"/>
        <v>73093.343736851151</v>
      </c>
      <c r="BM225" s="772">
        <f t="shared" ca="1" si="101"/>
        <v>73093.343736851151</v>
      </c>
      <c r="BN225" s="772">
        <f t="shared" ca="1" si="99"/>
        <v>72374.634381808937</v>
      </c>
      <c r="BO225" s="772">
        <f t="shared" ca="1" si="98"/>
        <v>72374.634381808937</v>
      </c>
      <c r="BP225" s="772">
        <f t="shared" ca="1" si="98"/>
        <v>71975.525443907871</v>
      </c>
      <c r="BQ225" s="772">
        <f t="shared" ca="1" si="98"/>
        <v>71975.525443907871</v>
      </c>
      <c r="BR225" s="772">
        <f t="shared" ca="1" si="98"/>
        <v>71545.953176500567</v>
      </c>
      <c r="BS225" s="772">
        <f t="shared" ca="1" si="98"/>
        <v>73093.343736851151</v>
      </c>
      <c r="BT225" s="772">
        <f t="shared" ca="1" si="98"/>
        <v>73093.343736851151</v>
      </c>
      <c r="BU225" s="772">
        <f t="shared" ca="1" si="98"/>
        <v>73093.343736851151</v>
      </c>
      <c r="BV225" s="772">
        <f t="shared" ca="1" si="98"/>
        <v>72746.319269056665</v>
      </c>
      <c r="BW225" s="772">
        <f t="shared" ca="1" si="98"/>
        <v>72746.319269056665</v>
      </c>
      <c r="BX225" s="772">
        <f t="shared" ca="1" si="102"/>
        <v>71975.525443907871</v>
      </c>
      <c r="BY225" s="772">
        <f t="shared" ca="1" si="102"/>
        <v>71975.525443907871</v>
      </c>
      <c r="BZ225" s="772">
        <f t="shared" ca="1" si="102"/>
        <v>71545.953176500567</v>
      </c>
      <c r="CA225" s="772">
        <f t="shared" ca="1" si="102"/>
        <v>71545.953176500567</v>
      </c>
      <c r="CB225" s="772">
        <f t="shared" ca="1" si="102"/>
        <v>72746.319269056665</v>
      </c>
      <c r="CC225" s="772">
        <f t="shared" ca="1" si="102"/>
        <v>72746.319269056665</v>
      </c>
      <c r="CD225" s="772">
        <f t="shared" ca="1" si="102"/>
        <v>72746.319269056665</v>
      </c>
      <c r="CE225" s="772">
        <f t="shared" ca="1" si="102"/>
        <v>72746.319269056665</v>
      </c>
      <c r="CF225" s="772">
        <f t="shared" ca="1" si="100"/>
        <v>72374.634381808937</v>
      </c>
      <c r="CG225" s="772">
        <f t="shared" ca="1" si="100"/>
        <v>71975.525443907871</v>
      </c>
      <c r="CH225" s="772">
        <f t="shared" ca="1" si="100"/>
        <v>71545.953176500567</v>
      </c>
      <c r="CI225" s="772">
        <f t="shared" ca="1" si="100"/>
        <v>71545.953176500567</v>
      </c>
      <c r="CJ225" s="772">
        <f t="shared" ca="1" si="100"/>
        <v>71082.600691093248</v>
      </c>
    </row>
    <row r="226" spans="1:88" ht="15" customHeight="1">
      <c r="A226" s="770">
        <f>'kc-Wert für Stützen'!C226</f>
        <v>278</v>
      </c>
      <c r="B226" s="768">
        <f ca="1">INDIRECT("'kc-Wert für Stützen'!"&amp;SUBSTITUTE(ADDRESS(MATCH($A226,'kc-Wert für Stützen'!$C:$C,0),MATCH(B$7,'kc-Wert für Stützen'!$A$8:$ES$8,0)+7,4),,))</f>
        <v>74573.765340157246</v>
      </c>
      <c r="C226" s="768">
        <f ca="1">INDIRECT("'kc-Wert für Stützen'!"&amp;SUBSTITUTE(ADDRESS(MATCH($A226,'kc-Wert für Stützen'!$C:$C,0),MATCH(C$7,'kc-Wert für Stützen'!$A$8:$ES$8,0)+7,4),,))</f>
        <v>74287.391481820392</v>
      </c>
      <c r="D226" s="768">
        <f ca="1">INDIRECT("'kc-Wert für Stützen'!"&amp;SUBSTITUTE(ADDRESS(MATCH($A226,'kc-Wert für Stützen'!$C:$C,0),MATCH(D$7,'kc-Wert für Stützen'!$A$8:$ES$8,0)+7,4),,))</f>
        <v>73983.333398436662</v>
      </c>
      <c r="E226" s="768">
        <f ca="1">INDIRECT("'kc-Wert für Stützen'!"&amp;SUBSTITUTE(ADDRESS(MATCH($A226,'kc-Wert für Stützen'!$C:$C,0),MATCH(E$7,'kc-Wert für Stützen'!$A$8:$ES$8,0)+7,4),,))</f>
        <v>73659.595971334522</v>
      </c>
      <c r="F226" s="768">
        <f ca="1">INDIRECT("'kc-Wert für Stützen'!"&amp;SUBSTITUTE(ADDRESS(MATCH($A226,'kc-Wert für Stützen'!$C:$C,0),MATCH(F$7,'kc-Wert für Stützen'!$A$8:$ES$8,0)+7,4),,))</f>
        <v>73313.960783806862</v>
      </c>
      <c r="G226" s="768">
        <f ca="1">INDIRECT("'kc-Wert für Stützen'!"&amp;SUBSTITUTE(ADDRESS(MATCH($A226,'kc-Wert für Stützen'!$C:$C,0),MATCH(G$7,'kc-Wert für Stützen'!$A$8:$ES$8,0)+7,4),,))</f>
        <v>72943.966210014216</v>
      </c>
      <c r="H226" s="768">
        <f ca="1">INDIRECT("'kc-Wert für Stützen'!"&amp;SUBSTITUTE(ADDRESS(MATCH($A226,'kc-Wert für Stützen'!$C:$C,0),MATCH(H$7,'kc-Wert für Stützen'!$A$8:$ES$8,0)+7,4),,))</f>
        <v>72546.890071625719</v>
      </c>
      <c r="I226" s="768">
        <f ca="1">INDIRECT("'kc-Wert für Stützen'!"&amp;SUBSTITUTE(ADDRESS(MATCH($A226,'kc-Wert für Stützen'!$C:$C,0),MATCH(I$7,'kc-Wert für Stützen'!$A$8:$ES$8,0)+7,4),,))</f>
        <v>72119.737457302617</v>
      </c>
      <c r="J226" s="768">
        <f ca="1">INDIRECT("'kc-Wert für Stützen'!"&amp;SUBSTITUTE(ADDRESS(MATCH($A226,'kc-Wert für Stützen'!$C:$C,0),MATCH(J$7,'kc-Wert für Stützen'!$A$8:$ES$8,0)+7,4),,))</f>
        <v>71659.237392164374</v>
      </c>
      <c r="K226" s="768">
        <f ca="1">INDIRECT("'kc-Wert für Stützen'!"&amp;SUBSTITUTE(ADDRESS(MATCH($A226,'kc-Wert für Stützen'!$C:$C,0),MATCH(K$7,'kc-Wert für Stützen'!$A$8:$ES$8,0)+7,4),,))</f>
        <v>71161.853375282895</v>
      </c>
      <c r="L226" s="768">
        <f ca="1">INDIRECT("'kc-Wert für Stützen'!"&amp;SUBSTITUTE(ADDRESS(MATCH($A226,'kc-Wert für Stützen'!$C:$C,0),MATCH(L$7,'kc-Wert für Stützen'!$A$8:$ES$8,0)+7,4),,))</f>
        <v>70623.814285208864</v>
      </c>
      <c r="M226" s="768">
        <f ca="1">INDIRECT("'kc-Wert für Stützen'!"&amp;SUBSTITUTE(ADDRESS(MATCH($A226,'kc-Wert für Stützen'!$C:$C,0),MATCH(M$7,'kc-Wert für Stützen'!$A$8:$ES$8,0)+7,4),,))</f>
        <v>70041.173559906136</v>
      </c>
      <c r="N226" s="768">
        <f ca="1">INDIRECT("'kc-Wert für Stützen'!"&amp;SUBSTITUTE(ADDRESS(MATCH($A226,'kc-Wert für Stützen'!$C:$C,0),MATCH(N$7,'kc-Wert für Stützen'!$A$8:$ES$8,0)+7,4),,))</f>
        <v>69409.905449569254</v>
      </c>
      <c r="O226" s="768">
        <f ca="1">INDIRECT("'kc-Wert für Stützen'!"&amp;SUBSTITUTE(ADDRESS(MATCH($A226,'kc-Wert für Stützen'!$C:$C,0),MATCH(O$7,'kc-Wert für Stützen'!$A$8:$ES$8,0)+7,4),,))</f>
        <v>68726.046808264422</v>
      </c>
      <c r="P226" s="768">
        <f ca="1">INDIRECT("'kc-Wert für Stützen'!"&amp;SUBSTITUTE(ADDRESS(MATCH($A226,'kc-Wert für Stützen'!$C:$C,0),MATCH(P$7,'kc-Wert für Stützen'!$A$8:$ES$8,0)+7,4),,))</f>
        <v>67985.890365338768</v>
      </c>
      <c r="S226" s="772">
        <f t="shared" ca="1" si="91"/>
        <v>73983.333398436662</v>
      </c>
      <c r="T226" s="772">
        <f t="shared" ca="1" si="94"/>
        <v>73983.333398436662</v>
      </c>
      <c r="U226" s="772">
        <f t="shared" ca="1" si="94"/>
        <v>73983.333398436662</v>
      </c>
      <c r="V226" s="772">
        <f t="shared" ca="1" si="94"/>
        <v>73659.595971334522</v>
      </c>
      <c r="W226" s="772">
        <f t="shared" ca="1" si="94"/>
        <v>73313.960783806862</v>
      </c>
      <c r="X226" s="772">
        <f t="shared" ca="1" si="94"/>
        <v>72943.966210014216</v>
      </c>
      <c r="Y226" s="772">
        <f t="shared" ca="1" si="94"/>
        <v>72546.890071625719</v>
      </c>
      <c r="Z226" s="772">
        <f t="shared" ca="1" si="94"/>
        <v>73983.333398436662</v>
      </c>
      <c r="AA226" s="772">
        <f t="shared" ca="1" si="94"/>
        <v>73983.333398436662</v>
      </c>
      <c r="AB226" s="772">
        <f t="shared" ref="AB226:AG235" ca="1" si="104">HLOOKUP(AB$7,$A$7:$P$348,ROW()-6)</f>
        <v>73659.595971334522</v>
      </c>
      <c r="AC226" s="772">
        <f t="shared" ca="1" si="104"/>
        <v>73659.595971334522</v>
      </c>
      <c r="AD226" s="772">
        <f t="shared" ca="1" si="104"/>
        <v>73313.960783806862</v>
      </c>
      <c r="AE226" s="772">
        <f t="shared" ca="1" si="104"/>
        <v>73313.960783806862</v>
      </c>
      <c r="AF226" s="772">
        <f t="shared" ca="1" si="104"/>
        <v>72943.966210014216</v>
      </c>
      <c r="AG226" s="772">
        <f t="shared" ca="1" si="104"/>
        <v>72943.966210014216</v>
      </c>
      <c r="AH226" s="772">
        <f t="shared" ca="1" si="103"/>
        <v>72943.966210014216</v>
      </c>
      <c r="AI226" s="772">
        <f t="shared" ca="1" si="103"/>
        <v>73983.333398436662</v>
      </c>
      <c r="AJ226" s="772">
        <f t="shared" ca="1" si="103"/>
        <v>73983.333398436662</v>
      </c>
      <c r="AK226" s="772">
        <f t="shared" ca="1" si="103"/>
        <v>73659.595971334522</v>
      </c>
      <c r="AL226" s="772">
        <f t="shared" ca="1" si="103"/>
        <v>73659.595971334522</v>
      </c>
      <c r="AM226" s="772">
        <f t="shared" ca="1" si="103"/>
        <v>73313.960783806862</v>
      </c>
      <c r="AN226" s="772">
        <f t="shared" ca="1" si="103"/>
        <v>73313.960783806862</v>
      </c>
      <c r="AO226" s="772">
        <f t="shared" ca="1" si="103"/>
        <v>72943.966210014216</v>
      </c>
      <c r="AP226" s="772">
        <f t="shared" ca="1" si="103"/>
        <v>72943.966210014216</v>
      </c>
      <c r="AQ226" s="772">
        <f t="shared" ca="1" si="103"/>
        <v>72943.966210014216</v>
      </c>
      <c r="AR226" s="772">
        <f t="shared" ca="1" si="96"/>
        <v>73983.333398436662</v>
      </c>
      <c r="AS226" s="772">
        <f t="shared" ca="1" si="96"/>
        <v>73983.333398436662</v>
      </c>
      <c r="AT226" s="772">
        <f t="shared" ca="1" si="96"/>
        <v>73659.595971334522</v>
      </c>
      <c r="AU226" s="772">
        <f t="shared" ca="1" si="96"/>
        <v>73659.595971334522</v>
      </c>
      <c r="AV226" s="772">
        <f t="shared" ca="1" si="96"/>
        <v>73313.960783806862</v>
      </c>
      <c r="AW226" s="772">
        <f t="shared" ca="1" si="96"/>
        <v>73313.960783806862</v>
      </c>
      <c r="AX226" s="772">
        <f t="shared" ca="1" si="96"/>
        <v>72943.966210014216</v>
      </c>
      <c r="AY226" s="772">
        <f t="shared" ca="1" si="96"/>
        <v>72943.966210014216</v>
      </c>
      <c r="AZ226" s="772">
        <f t="shared" ca="1" si="96"/>
        <v>72943.966210014216</v>
      </c>
      <c r="BA226" s="772">
        <f t="shared" ca="1" si="96"/>
        <v>73983.333398436662</v>
      </c>
      <c r="BB226" s="772">
        <f t="shared" ca="1" si="96"/>
        <v>73983.333398436662</v>
      </c>
      <c r="BC226" s="772">
        <f t="shared" ca="1" si="96"/>
        <v>73659.595971334522</v>
      </c>
      <c r="BD226" s="772">
        <f t="shared" ca="1" si="96"/>
        <v>73313.960783806862</v>
      </c>
      <c r="BE226" s="772">
        <f t="shared" ca="1" si="96"/>
        <v>73313.960783806862</v>
      </c>
      <c r="BF226" s="772">
        <f t="shared" ca="1" si="96"/>
        <v>72943.966210014216</v>
      </c>
      <c r="BG226" s="772">
        <f t="shared" ca="1" si="97"/>
        <v>72943.966210014216</v>
      </c>
      <c r="BH226" s="772">
        <f t="shared" ca="1" si="101"/>
        <v>72546.890071625719</v>
      </c>
      <c r="BI226" s="772">
        <f t="shared" ca="1" si="101"/>
        <v>72546.890071625719</v>
      </c>
      <c r="BJ226" s="772">
        <f t="shared" ca="1" si="101"/>
        <v>73659.595971334522</v>
      </c>
      <c r="BK226" s="772">
        <f t="shared" ca="1" si="101"/>
        <v>73659.595971334522</v>
      </c>
      <c r="BL226" s="772">
        <f t="shared" ca="1" si="101"/>
        <v>73659.595971334522</v>
      </c>
      <c r="BM226" s="772">
        <f t="shared" ca="1" si="101"/>
        <v>73659.595971334522</v>
      </c>
      <c r="BN226" s="772">
        <f t="shared" ca="1" si="99"/>
        <v>72943.966210014216</v>
      </c>
      <c r="BO226" s="772">
        <f t="shared" ca="1" si="98"/>
        <v>72943.966210014216</v>
      </c>
      <c r="BP226" s="772">
        <f t="shared" ca="1" si="98"/>
        <v>72546.890071625719</v>
      </c>
      <c r="BQ226" s="772">
        <f t="shared" ca="1" si="98"/>
        <v>72546.890071625719</v>
      </c>
      <c r="BR226" s="772">
        <f t="shared" ca="1" si="98"/>
        <v>72119.737457302617</v>
      </c>
      <c r="BS226" s="772">
        <f t="shared" ca="1" si="98"/>
        <v>73659.595971334522</v>
      </c>
      <c r="BT226" s="772">
        <f t="shared" ca="1" si="98"/>
        <v>73659.595971334522</v>
      </c>
      <c r="BU226" s="772">
        <f t="shared" ca="1" si="98"/>
        <v>73659.595971334522</v>
      </c>
      <c r="BV226" s="772">
        <f t="shared" ca="1" si="98"/>
        <v>73313.960783806862</v>
      </c>
      <c r="BW226" s="772">
        <f t="shared" ca="1" si="98"/>
        <v>73313.960783806862</v>
      </c>
      <c r="BX226" s="772">
        <f t="shared" ca="1" si="102"/>
        <v>72546.890071625719</v>
      </c>
      <c r="BY226" s="772">
        <f t="shared" ca="1" si="102"/>
        <v>72546.890071625719</v>
      </c>
      <c r="BZ226" s="772">
        <f t="shared" ca="1" si="102"/>
        <v>72119.737457302617</v>
      </c>
      <c r="CA226" s="772">
        <f t="shared" ca="1" si="102"/>
        <v>72119.737457302617</v>
      </c>
      <c r="CB226" s="772">
        <f t="shared" ca="1" si="102"/>
        <v>73313.960783806862</v>
      </c>
      <c r="CC226" s="772">
        <f t="shared" ca="1" si="102"/>
        <v>73313.960783806862</v>
      </c>
      <c r="CD226" s="772">
        <f t="shared" ca="1" si="102"/>
        <v>73313.960783806862</v>
      </c>
      <c r="CE226" s="772">
        <f t="shared" ca="1" si="102"/>
        <v>73313.960783806862</v>
      </c>
      <c r="CF226" s="772">
        <f t="shared" ca="1" si="100"/>
        <v>72943.966210014216</v>
      </c>
      <c r="CG226" s="772">
        <f t="shared" ca="1" si="100"/>
        <v>72546.890071625719</v>
      </c>
      <c r="CH226" s="772">
        <f t="shared" ca="1" si="100"/>
        <v>72119.737457302617</v>
      </c>
      <c r="CI226" s="772">
        <f t="shared" ca="1" si="100"/>
        <v>72119.737457302617</v>
      </c>
      <c r="CJ226" s="772">
        <f t="shared" ca="1" si="100"/>
        <v>71659.237392164374</v>
      </c>
    </row>
    <row r="227" spans="1:88" ht="15" customHeight="1">
      <c r="A227" s="770">
        <f>'kc-Wert für Stützen'!C227</f>
        <v>279</v>
      </c>
      <c r="B227" s="768">
        <f ca="1">INDIRECT("'kc-Wert für Stützen'!"&amp;SUBSTITUTE(ADDRESS(MATCH($A227,'kc-Wert für Stützen'!$C:$C,0),MATCH(B$7,'kc-Wert für Stützen'!$A$8:$ES$8,0)+7,4),,))</f>
        <v>75139.267326092333</v>
      </c>
      <c r="C227" s="768">
        <f ca="1">INDIRECT("'kc-Wert für Stützen'!"&amp;SUBSTITUTE(ADDRESS(MATCH($A227,'kc-Wert für Stützen'!$C:$C,0),MATCH(C$7,'kc-Wert für Stützen'!$A$8:$ES$8,0)+7,4),,))</f>
        <v>74853.572315620622</v>
      </c>
      <c r="D227" s="768">
        <f ca="1">INDIRECT("'kc-Wert für Stützen'!"&amp;SUBSTITUTE(ADDRESS(MATCH($A227,'kc-Wert für Stützen'!$C:$C,0),MATCH(D$7,'kc-Wert für Stützen'!$A$8:$ES$8,0)+7,4),,))</f>
        <v>74550.388600013554</v>
      </c>
      <c r="E227" s="768">
        <f ca="1">INDIRECT("'kc-Wert für Stützen'!"&amp;SUBSTITUTE(ADDRESS(MATCH($A227,'kc-Wert für Stützen'!$C:$C,0),MATCH(E$7,'kc-Wert für Stützen'!$A$8:$ES$8,0)+7,4),,))</f>
        <v>74227.750550607932</v>
      </c>
      <c r="F227" s="768">
        <f ca="1">INDIRECT("'kc-Wert für Stützen'!"&amp;SUBSTITUTE(ADDRESS(MATCH($A227,'kc-Wert für Stützen'!$C:$C,0),MATCH(F$7,'kc-Wert für Stützen'!$A$8:$ES$8,0)+7,4),,))</f>
        <v>73883.473036065203</v>
      </c>
      <c r="G227" s="768">
        <f ca="1">INDIRECT("'kc-Wert für Stützen'!"&amp;SUBSTITUTE(ADDRESS(MATCH($A227,'kc-Wert für Stützen'!$C:$C,0),MATCH(G$7,'kc-Wert für Stützen'!$A$8:$ES$8,0)+7,4),,))</f>
        <v>73515.131562348965</v>
      </c>
      <c r="H227" s="768">
        <f ca="1">INDIRECT("'kc-Wert für Stützen'!"&amp;SUBSTITUTE(ADDRESS(MATCH($A227,'kc-Wert für Stützen'!$C:$C,0),MATCH(H$7,'kc-Wert für Stützen'!$A$8:$ES$8,0)+7,4),,))</f>
        <v>73120.044713788098</v>
      </c>
      <c r="I227" s="768">
        <f ca="1">INDIRECT("'kc-Wert für Stützen'!"&amp;SUBSTITUTE(ADDRESS(MATCH($A227,'kc-Wert für Stützen'!$C:$C,0),MATCH(I$7,'kc-Wert für Stützen'!$A$8:$ES$8,0)+7,4),,))</f>
        <v>72695.261338162192</v>
      </c>
      <c r="J227" s="768">
        <f ca="1">INDIRECT("'kc-Wert für Stützen'!"&amp;SUBSTITUTE(ADDRESS(MATCH($A227,'kc-Wert für Stützen'!$C:$C,0),MATCH(J$7,'kc-Wert für Stützen'!$A$8:$ES$8,0)+7,4),,))</f>
        <v>72237.555959130579</v>
      </c>
      <c r="K227" s="768">
        <f ca="1">INDIRECT("'kc-Wert für Stützen'!"&amp;SUBSTITUTE(ADDRESS(MATCH($A227,'kc-Wert für Stützen'!$C:$C,0),MATCH(K$7,'kc-Wert für Stützen'!$A$8:$ES$8,0)+7,4),,))</f>
        <v>71743.437176897976</v>
      </c>
      <c r="L227" s="768">
        <f ca="1">INDIRECT("'kc-Wert für Stützen'!"&amp;SUBSTITUTE(ADDRESS(MATCH($A227,'kc-Wert für Stützen'!$C:$C,0),MATCH(L$7,'kc-Wert für Stützen'!$A$8:$ES$8,0)+7,4),,))</f>
        <v>71209.175259328418</v>
      </c>
      <c r="M227" s="768">
        <f ca="1">INDIRECT("'kc-Wert für Stützen'!"&amp;SUBSTITUTE(ADDRESS(MATCH($A227,'kc-Wert für Stützen'!$C:$C,0),MATCH(M$7,'kc-Wert für Stützen'!$A$8:$ES$8,0)+7,4),,))</f>
        <v>70630.856530915538</v>
      </c>
      <c r="N227" s="768">
        <f ca="1">INDIRECT("'kc-Wert für Stützen'!"&amp;SUBSTITUTE(ADDRESS(MATCH($A227,'kc-Wert für Stützen'!$C:$C,0),MATCH(N$7,'kc-Wert für Stützen'!$A$8:$ES$8,0)+7,4),,))</f>
        <v>70004.473139725858</v>
      </c>
      <c r="O227" s="768">
        <f ca="1">INDIRECT("'kc-Wert für Stützen'!"&amp;SUBSTITUTE(ADDRESS(MATCH($A227,'kc-Wert für Stützen'!$C:$C,0),MATCH(O$7,'kc-Wert für Stützen'!$A$8:$ES$8,0)+7,4),,))</f>
        <v>69326.0566680513</v>
      </c>
      <c r="P227" s="768">
        <f ca="1">INDIRECT("'kc-Wert für Stützen'!"&amp;SUBSTITUTE(ADDRESS(MATCH($A227,'kc-Wert für Stützen'!$C:$C,0),MATCH(P$7,'kc-Wert für Stützen'!$A$8:$ES$8,0)+7,4),,))</f>
        <v>68591.861937718073</v>
      </c>
      <c r="S227" s="772">
        <f t="shared" ca="1" si="91"/>
        <v>74550.388600013554</v>
      </c>
      <c r="T227" s="772">
        <f t="shared" ca="1" si="94"/>
        <v>74550.388600013554</v>
      </c>
      <c r="U227" s="772">
        <f t="shared" ca="1" si="94"/>
        <v>74550.388600013554</v>
      </c>
      <c r="V227" s="772">
        <f t="shared" ca="1" si="94"/>
        <v>74227.750550607932</v>
      </c>
      <c r="W227" s="772">
        <f t="shared" ca="1" si="94"/>
        <v>73883.473036065203</v>
      </c>
      <c r="X227" s="772">
        <f t="shared" ca="1" si="94"/>
        <v>73515.131562348965</v>
      </c>
      <c r="Y227" s="772">
        <f t="shared" ca="1" si="94"/>
        <v>73120.044713788098</v>
      </c>
      <c r="Z227" s="772">
        <f t="shared" ca="1" si="94"/>
        <v>74550.388600013554</v>
      </c>
      <c r="AA227" s="772">
        <f t="shared" ca="1" si="94"/>
        <v>74550.388600013554</v>
      </c>
      <c r="AB227" s="772">
        <f t="shared" ca="1" si="104"/>
        <v>74227.750550607932</v>
      </c>
      <c r="AC227" s="772">
        <f t="shared" ca="1" si="104"/>
        <v>74227.750550607932</v>
      </c>
      <c r="AD227" s="772">
        <f t="shared" ca="1" si="104"/>
        <v>73883.473036065203</v>
      </c>
      <c r="AE227" s="772">
        <f t="shared" ca="1" si="104"/>
        <v>73883.473036065203</v>
      </c>
      <c r="AF227" s="772">
        <f t="shared" ca="1" si="104"/>
        <v>73515.131562348965</v>
      </c>
      <c r="AG227" s="772">
        <f t="shared" ca="1" si="104"/>
        <v>73515.131562348965</v>
      </c>
      <c r="AH227" s="772">
        <f t="shared" ca="1" si="103"/>
        <v>73515.131562348965</v>
      </c>
      <c r="AI227" s="772">
        <f t="shared" ca="1" si="103"/>
        <v>74550.388600013554</v>
      </c>
      <c r="AJ227" s="772">
        <f t="shared" ca="1" si="103"/>
        <v>74550.388600013554</v>
      </c>
      <c r="AK227" s="772">
        <f t="shared" ca="1" si="103"/>
        <v>74227.750550607932</v>
      </c>
      <c r="AL227" s="772">
        <f t="shared" ca="1" si="103"/>
        <v>74227.750550607932</v>
      </c>
      <c r="AM227" s="772">
        <f t="shared" ca="1" si="103"/>
        <v>73883.473036065203</v>
      </c>
      <c r="AN227" s="772">
        <f t="shared" ca="1" si="103"/>
        <v>73883.473036065203</v>
      </c>
      <c r="AO227" s="772">
        <f t="shared" ca="1" si="103"/>
        <v>73515.131562348965</v>
      </c>
      <c r="AP227" s="772">
        <f t="shared" ca="1" si="103"/>
        <v>73515.131562348965</v>
      </c>
      <c r="AQ227" s="772">
        <f t="shared" ca="1" si="103"/>
        <v>73515.131562348965</v>
      </c>
      <c r="AR227" s="772">
        <f t="shared" ca="1" si="96"/>
        <v>74550.388600013554</v>
      </c>
      <c r="AS227" s="772">
        <f t="shared" ca="1" si="96"/>
        <v>74550.388600013554</v>
      </c>
      <c r="AT227" s="772">
        <f t="shared" ca="1" si="96"/>
        <v>74227.750550607932</v>
      </c>
      <c r="AU227" s="772">
        <f t="shared" ca="1" si="96"/>
        <v>74227.750550607932</v>
      </c>
      <c r="AV227" s="772">
        <f t="shared" ca="1" si="96"/>
        <v>73883.473036065203</v>
      </c>
      <c r="AW227" s="772">
        <f t="shared" ca="1" si="96"/>
        <v>73883.473036065203</v>
      </c>
      <c r="AX227" s="772">
        <f t="shared" ca="1" si="96"/>
        <v>73515.131562348965</v>
      </c>
      <c r="AY227" s="772">
        <f t="shared" ca="1" si="96"/>
        <v>73515.131562348965</v>
      </c>
      <c r="AZ227" s="772">
        <f t="shared" ca="1" si="96"/>
        <v>73515.131562348965</v>
      </c>
      <c r="BA227" s="772">
        <f t="shared" ca="1" si="96"/>
        <v>74550.388600013554</v>
      </c>
      <c r="BB227" s="772">
        <f t="shared" ca="1" si="96"/>
        <v>74550.388600013554</v>
      </c>
      <c r="BC227" s="772">
        <f t="shared" ca="1" si="96"/>
        <v>74227.750550607932</v>
      </c>
      <c r="BD227" s="772">
        <f t="shared" ca="1" si="96"/>
        <v>73883.473036065203</v>
      </c>
      <c r="BE227" s="772">
        <f t="shared" ca="1" si="96"/>
        <v>73883.473036065203</v>
      </c>
      <c r="BF227" s="772">
        <f t="shared" ca="1" si="96"/>
        <v>73515.131562348965</v>
      </c>
      <c r="BG227" s="772">
        <f t="shared" ca="1" si="97"/>
        <v>73515.131562348965</v>
      </c>
      <c r="BH227" s="772">
        <f t="shared" ca="1" si="101"/>
        <v>73120.044713788098</v>
      </c>
      <c r="BI227" s="772">
        <f t="shared" ca="1" si="101"/>
        <v>73120.044713788098</v>
      </c>
      <c r="BJ227" s="772">
        <f t="shared" ca="1" si="101"/>
        <v>74227.750550607932</v>
      </c>
      <c r="BK227" s="772">
        <f t="shared" ca="1" si="101"/>
        <v>74227.750550607932</v>
      </c>
      <c r="BL227" s="772">
        <f t="shared" ca="1" si="101"/>
        <v>74227.750550607932</v>
      </c>
      <c r="BM227" s="772">
        <f t="shared" ca="1" si="101"/>
        <v>74227.750550607932</v>
      </c>
      <c r="BN227" s="772">
        <f t="shared" ca="1" si="99"/>
        <v>73515.131562348965</v>
      </c>
      <c r="BO227" s="772">
        <f t="shared" ca="1" si="98"/>
        <v>73515.131562348965</v>
      </c>
      <c r="BP227" s="772">
        <f t="shared" ca="1" si="98"/>
        <v>73120.044713788098</v>
      </c>
      <c r="BQ227" s="772">
        <f t="shared" ca="1" si="98"/>
        <v>73120.044713788098</v>
      </c>
      <c r="BR227" s="772">
        <f t="shared" ca="1" si="98"/>
        <v>72695.261338162192</v>
      </c>
      <c r="BS227" s="772">
        <f t="shared" ca="1" si="98"/>
        <v>74227.750550607932</v>
      </c>
      <c r="BT227" s="772">
        <f t="shared" ca="1" si="98"/>
        <v>74227.750550607932</v>
      </c>
      <c r="BU227" s="772">
        <f t="shared" ca="1" si="98"/>
        <v>74227.750550607932</v>
      </c>
      <c r="BV227" s="772">
        <f t="shared" ca="1" si="98"/>
        <v>73883.473036065203</v>
      </c>
      <c r="BW227" s="772">
        <f t="shared" ca="1" si="98"/>
        <v>73883.473036065203</v>
      </c>
      <c r="BX227" s="772">
        <f t="shared" ca="1" si="102"/>
        <v>73120.044713788098</v>
      </c>
      <c r="BY227" s="772">
        <f t="shared" ca="1" si="102"/>
        <v>73120.044713788098</v>
      </c>
      <c r="BZ227" s="772">
        <f t="shared" ca="1" si="102"/>
        <v>72695.261338162192</v>
      </c>
      <c r="CA227" s="772">
        <f t="shared" ca="1" si="102"/>
        <v>72695.261338162192</v>
      </c>
      <c r="CB227" s="772">
        <f t="shared" ca="1" si="102"/>
        <v>73883.473036065203</v>
      </c>
      <c r="CC227" s="772">
        <f t="shared" ca="1" si="102"/>
        <v>73883.473036065203</v>
      </c>
      <c r="CD227" s="772">
        <f t="shared" ca="1" si="102"/>
        <v>73883.473036065203</v>
      </c>
      <c r="CE227" s="772">
        <f t="shared" ca="1" si="102"/>
        <v>73883.473036065203</v>
      </c>
      <c r="CF227" s="772">
        <f t="shared" ca="1" si="100"/>
        <v>73515.131562348965</v>
      </c>
      <c r="CG227" s="772">
        <f t="shared" ca="1" si="100"/>
        <v>73120.044713788098</v>
      </c>
      <c r="CH227" s="772">
        <f t="shared" ca="1" si="100"/>
        <v>72695.261338162192</v>
      </c>
      <c r="CI227" s="772">
        <f t="shared" ca="1" si="100"/>
        <v>72695.261338162192</v>
      </c>
      <c r="CJ227" s="772">
        <f t="shared" ca="1" si="100"/>
        <v>72237.555959130579</v>
      </c>
    </row>
    <row r="228" spans="1:88" ht="15" customHeight="1">
      <c r="A228" s="770">
        <f>'kc-Wert für Stützen'!C228</f>
        <v>280</v>
      </c>
      <c r="B228" s="768">
        <f ca="1">INDIRECT("'kc-Wert für Stützen'!"&amp;SUBSTITUTE(ADDRESS(MATCH($A228,'kc-Wert für Stützen'!$C:$C,0),MATCH(B$7,'kc-Wert für Stützen'!$A$8:$ES$8,0)+7,4),,))</f>
        <v>75706.74136950454</v>
      </c>
      <c r="C228" s="768">
        <f ca="1">INDIRECT("'kc-Wert für Stützen'!"&amp;SUBSTITUTE(ADDRESS(MATCH($A228,'kc-Wert für Stützen'!$C:$C,0),MATCH(C$7,'kc-Wert für Stützen'!$A$8:$ES$8,0)+7,4),,))</f>
        <v>75421.70677569964</v>
      </c>
      <c r="D228" s="768">
        <f ca="1">INDIRECT("'kc-Wert für Stützen'!"&amp;SUBSTITUTE(ADDRESS(MATCH($A228,'kc-Wert für Stützen'!$C:$C,0),MATCH(D$7,'kc-Wert für Stützen'!$A$8:$ES$8,0)+7,4),,))</f>
        <v>75119.3754552873</v>
      </c>
      <c r="E228" s="768">
        <f ca="1">INDIRECT("'kc-Wert für Stützen'!"&amp;SUBSTITUTE(ADDRESS(MATCH($A228,'kc-Wert für Stützen'!$C:$C,0),MATCH(E$7,'kc-Wert für Stützen'!$A$8:$ES$8,0)+7,4),,))</f>
        <v>74797.810671208717</v>
      </c>
      <c r="F228" s="768">
        <f ca="1">INDIRECT("'kc-Wert für Stützen'!"&amp;SUBSTITUTE(ADDRESS(MATCH($A228,'kc-Wert für Stützen'!$C:$C,0),MATCH(F$7,'kc-Wert für Stützen'!$A$8:$ES$8,0)+7,4),,))</f>
        <v>74454.859922395743</v>
      </c>
      <c r="G228" s="768">
        <f ca="1">INDIRECT("'kc-Wert für Stützen'!"&amp;SUBSTITUTE(ADDRESS(MATCH($A228,'kc-Wert für Stützen'!$C:$C,0),MATCH(G$7,'kc-Wert für Stützen'!$A$8:$ES$8,0)+7,4),,))</f>
        <v>74088.135155776894</v>
      </c>
      <c r="H228" s="768">
        <f ca="1">INDIRECT("'kc-Wert für Stützen'!"&amp;SUBSTITUTE(ADDRESS(MATCH($A228,'kc-Wert für Stützen'!$C:$C,0),MATCH(H$7,'kc-Wert für Stützen'!$A$8:$ES$8,0)+7,4),,))</f>
        <v>73694.995031291459</v>
      </c>
      <c r="I228" s="768">
        <f ca="1">INDIRECT("'kc-Wert für Stützen'!"&amp;SUBSTITUTE(ADDRESS(MATCH($A228,'kc-Wert für Stützen'!$C:$C,0),MATCH(I$7,'kc-Wert für Stützen'!$A$8:$ES$8,0)+7,4),,))</f>
        <v>73272.531539204094</v>
      </c>
      <c r="J228" s="768">
        <f ca="1">INDIRECT("'kc-Wert für Stützen'!"&amp;SUBSTITUTE(ADDRESS(MATCH($A228,'kc-Wert für Stützen'!$C:$C,0),MATCH(J$7,'kc-Wert für Stützen'!$A$8:$ES$8,0)+7,4),,))</f>
        <v>72817.564259703679</v>
      </c>
      <c r="K228" s="768">
        <f ca="1">INDIRECT("'kc-Wert für Stützen'!"&amp;SUBSTITUTE(ADDRESS(MATCH($A228,'kc-Wert für Stützen'!$C:$C,0),MATCH(K$7,'kc-Wert für Stützen'!$A$8:$ES$8,0)+7,4),,))</f>
        <v>72326.646779951974</v>
      </c>
      <c r="L228" s="768">
        <f ca="1">INDIRECT("'kc-Wert für Stützen'!"&amp;SUBSTITUTE(ADDRESS(MATCH($A228,'kc-Wert für Stützen'!$C:$C,0),MATCH(L$7,'kc-Wert für Stützen'!$A$8:$ES$8,0)+7,4),,))</f>
        <v>71796.091182757431</v>
      </c>
      <c r="M228" s="768">
        <f ca="1">INDIRECT("'kc-Wert für Stützen'!"&amp;SUBSTITUTE(ADDRESS(MATCH($A228,'kc-Wert für Stützen'!$C:$C,0),MATCH(M$7,'kc-Wert für Stützen'!$A$8:$ES$8,0)+7,4),,))</f>
        <v>71222.017918248443</v>
      </c>
      <c r="N228" s="768">
        <f ca="1">INDIRECT("'kc-Wert für Stützen'!"&amp;SUBSTITUTE(ADDRESS(MATCH($A228,'kc-Wert für Stützen'!$C:$C,0),MATCH(N$7,'kc-Wert für Stützen'!$A$8:$ES$8,0)+7,4),,))</f>
        <v>70600.439407991915</v>
      </c>
      <c r="O228" s="768">
        <f ca="1">INDIRECT("'kc-Wert für Stützen'!"&amp;SUBSTITUTE(ADDRESS(MATCH($A228,'kc-Wert für Stützen'!$C:$C,0),MATCH(O$7,'kc-Wert für Stützen'!$A$8:$ES$8,0)+7,4),,))</f>
        <v>69927.385808148698</v>
      </c>
      <c r="P228" s="768">
        <f ca="1">INDIRECT("'kc-Wert für Stützen'!"&amp;SUBSTITUTE(ADDRESS(MATCH($A228,'kc-Wert für Stützen'!$C:$C,0),MATCH(P$7,'kc-Wert für Stützen'!$A$8:$ES$8,0)+7,4),,))</f>
        <v>69199.079615653085</v>
      </c>
      <c r="S228" s="772">
        <f t="shared" ca="1" si="91"/>
        <v>75119.3754552873</v>
      </c>
      <c r="T228" s="772">
        <f t="shared" ca="1" si="94"/>
        <v>75119.3754552873</v>
      </c>
      <c r="U228" s="772">
        <f t="shared" ca="1" si="94"/>
        <v>75119.3754552873</v>
      </c>
      <c r="V228" s="772">
        <f t="shared" ca="1" si="94"/>
        <v>74797.810671208717</v>
      </c>
      <c r="W228" s="772">
        <f t="shared" ca="1" si="94"/>
        <v>74454.859922395743</v>
      </c>
      <c r="X228" s="772">
        <f t="shared" ca="1" si="94"/>
        <v>74088.135155776894</v>
      </c>
      <c r="Y228" s="772">
        <f t="shared" ca="1" si="94"/>
        <v>73694.995031291459</v>
      </c>
      <c r="Z228" s="772">
        <f t="shared" ca="1" si="94"/>
        <v>75119.3754552873</v>
      </c>
      <c r="AA228" s="772">
        <f t="shared" ca="1" si="94"/>
        <v>75119.3754552873</v>
      </c>
      <c r="AB228" s="772">
        <f t="shared" ca="1" si="104"/>
        <v>74797.810671208717</v>
      </c>
      <c r="AC228" s="772">
        <f t="shared" ca="1" si="104"/>
        <v>74797.810671208717</v>
      </c>
      <c r="AD228" s="772">
        <f t="shared" ca="1" si="104"/>
        <v>74454.859922395743</v>
      </c>
      <c r="AE228" s="772">
        <f t="shared" ca="1" si="104"/>
        <v>74454.859922395743</v>
      </c>
      <c r="AF228" s="772">
        <f t="shared" ca="1" si="104"/>
        <v>74088.135155776894</v>
      </c>
      <c r="AG228" s="772">
        <f t="shared" ca="1" si="104"/>
        <v>74088.135155776894</v>
      </c>
      <c r="AH228" s="772">
        <f t="shared" ca="1" si="103"/>
        <v>74088.135155776894</v>
      </c>
      <c r="AI228" s="772">
        <f t="shared" ca="1" si="103"/>
        <v>75119.3754552873</v>
      </c>
      <c r="AJ228" s="772">
        <f t="shared" ca="1" si="103"/>
        <v>75119.3754552873</v>
      </c>
      <c r="AK228" s="772">
        <f t="shared" ca="1" si="103"/>
        <v>74797.810671208717</v>
      </c>
      <c r="AL228" s="772">
        <f t="shared" ca="1" si="103"/>
        <v>74797.810671208717</v>
      </c>
      <c r="AM228" s="772">
        <f t="shared" ca="1" si="103"/>
        <v>74454.859922395743</v>
      </c>
      <c r="AN228" s="772">
        <f t="shared" ca="1" si="103"/>
        <v>74454.859922395743</v>
      </c>
      <c r="AO228" s="772">
        <f t="shared" ca="1" si="103"/>
        <v>74088.135155776894</v>
      </c>
      <c r="AP228" s="772">
        <f t="shared" ca="1" si="103"/>
        <v>74088.135155776894</v>
      </c>
      <c r="AQ228" s="772">
        <f t="shared" ca="1" si="103"/>
        <v>74088.135155776894</v>
      </c>
      <c r="AR228" s="772">
        <f t="shared" ca="1" si="96"/>
        <v>75119.3754552873</v>
      </c>
      <c r="AS228" s="772">
        <f t="shared" ca="1" si="96"/>
        <v>75119.3754552873</v>
      </c>
      <c r="AT228" s="772">
        <f t="shared" ca="1" si="96"/>
        <v>74797.810671208717</v>
      </c>
      <c r="AU228" s="772">
        <f t="shared" ca="1" si="96"/>
        <v>74797.810671208717</v>
      </c>
      <c r="AV228" s="772">
        <f t="shared" ca="1" si="96"/>
        <v>74454.859922395743</v>
      </c>
      <c r="AW228" s="772">
        <f t="shared" ca="1" si="96"/>
        <v>74454.859922395743</v>
      </c>
      <c r="AX228" s="772">
        <f t="shared" ca="1" si="96"/>
        <v>74088.135155776894</v>
      </c>
      <c r="AY228" s="772">
        <f t="shared" ca="1" si="96"/>
        <v>74088.135155776894</v>
      </c>
      <c r="AZ228" s="772">
        <f t="shared" ca="1" si="96"/>
        <v>74088.135155776894</v>
      </c>
      <c r="BA228" s="772">
        <f t="shared" ca="1" si="96"/>
        <v>75119.3754552873</v>
      </c>
      <c r="BB228" s="772">
        <f t="shared" ca="1" si="96"/>
        <v>75119.3754552873</v>
      </c>
      <c r="BC228" s="772">
        <f t="shared" ca="1" si="96"/>
        <v>74797.810671208717</v>
      </c>
      <c r="BD228" s="772">
        <f t="shared" ca="1" si="96"/>
        <v>74454.859922395743</v>
      </c>
      <c r="BE228" s="772">
        <f t="shared" ca="1" si="96"/>
        <v>74454.859922395743</v>
      </c>
      <c r="BF228" s="772">
        <f t="shared" ca="1" si="96"/>
        <v>74088.135155776894</v>
      </c>
      <c r="BG228" s="772">
        <f t="shared" ca="1" si="97"/>
        <v>74088.135155776894</v>
      </c>
      <c r="BH228" s="772">
        <f t="shared" ca="1" si="101"/>
        <v>73694.995031291459</v>
      </c>
      <c r="BI228" s="772">
        <f t="shared" ca="1" si="101"/>
        <v>73694.995031291459</v>
      </c>
      <c r="BJ228" s="772">
        <f t="shared" ca="1" si="101"/>
        <v>74797.810671208717</v>
      </c>
      <c r="BK228" s="772">
        <f t="shared" ca="1" si="101"/>
        <v>74797.810671208717</v>
      </c>
      <c r="BL228" s="772">
        <f t="shared" ca="1" si="101"/>
        <v>74797.810671208717</v>
      </c>
      <c r="BM228" s="772">
        <f t="shared" ca="1" si="101"/>
        <v>74797.810671208717</v>
      </c>
      <c r="BN228" s="772">
        <f t="shared" ca="1" si="99"/>
        <v>74088.135155776894</v>
      </c>
      <c r="BO228" s="772">
        <f t="shared" ca="1" si="98"/>
        <v>74088.135155776894</v>
      </c>
      <c r="BP228" s="772">
        <f t="shared" ca="1" si="98"/>
        <v>73694.995031291459</v>
      </c>
      <c r="BQ228" s="772">
        <f t="shared" ca="1" si="98"/>
        <v>73694.995031291459</v>
      </c>
      <c r="BR228" s="772">
        <f t="shared" ca="1" si="98"/>
        <v>73272.531539204094</v>
      </c>
      <c r="BS228" s="772">
        <f t="shared" ca="1" si="98"/>
        <v>74797.810671208717</v>
      </c>
      <c r="BT228" s="772">
        <f t="shared" ca="1" si="98"/>
        <v>74797.810671208717</v>
      </c>
      <c r="BU228" s="772">
        <f t="shared" ca="1" si="98"/>
        <v>74797.810671208717</v>
      </c>
      <c r="BV228" s="772">
        <f t="shared" ca="1" si="98"/>
        <v>74454.859922395743</v>
      </c>
      <c r="BW228" s="772">
        <f t="shared" ca="1" si="98"/>
        <v>74454.859922395743</v>
      </c>
      <c r="BX228" s="772">
        <f t="shared" ca="1" si="102"/>
        <v>73694.995031291459</v>
      </c>
      <c r="BY228" s="772">
        <f t="shared" ca="1" si="102"/>
        <v>73694.995031291459</v>
      </c>
      <c r="BZ228" s="772">
        <f t="shared" ca="1" si="102"/>
        <v>73272.531539204094</v>
      </c>
      <c r="CA228" s="772">
        <f t="shared" ca="1" si="102"/>
        <v>73272.531539204094</v>
      </c>
      <c r="CB228" s="772">
        <f t="shared" ca="1" si="102"/>
        <v>74454.859922395743</v>
      </c>
      <c r="CC228" s="772">
        <f t="shared" ca="1" si="102"/>
        <v>74454.859922395743</v>
      </c>
      <c r="CD228" s="772">
        <f t="shared" ca="1" si="102"/>
        <v>74454.859922395743</v>
      </c>
      <c r="CE228" s="772">
        <f t="shared" ca="1" si="102"/>
        <v>74454.859922395743</v>
      </c>
      <c r="CF228" s="772">
        <f t="shared" ca="1" si="100"/>
        <v>74088.135155776894</v>
      </c>
      <c r="CG228" s="772">
        <f t="shared" ca="1" si="100"/>
        <v>73694.995031291459</v>
      </c>
      <c r="CH228" s="772">
        <f t="shared" ca="1" si="100"/>
        <v>73272.531539204094</v>
      </c>
      <c r="CI228" s="772">
        <f t="shared" ca="1" si="100"/>
        <v>73272.531539204094</v>
      </c>
      <c r="CJ228" s="772">
        <f t="shared" ca="1" si="100"/>
        <v>72817.564259703679</v>
      </c>
    </row>
    <row r="229" spans="1:88" ht="15" customHeight="1">
      <c r="A229" s="770">
        <f>'kc-Wert für Stützen'!C229</f>
        <v>281</v>
      </c>
      <c r="B229" s="768">
        <f ca="1">INDIRECT("'kc-Wert für Stützen'!"&amp;SUBSTITUTE(ADDRESS(MATCH($A229,'kc-Wert für Stützen'!$C:$C,0),MATCH(B$7,'kc-Wert für Stützen'!$A$8:$ES$8,0)+7,4),,))</f>
        <v>76276.189139862283</v>
      </c>
      <c r="C229" s="768">
        <f ca="1">INDIRECT("'kc-Wert für Stützen'!"&amp;SUBSTITUTE(ADDRESS(MATCH($A229,'kc-Wert für Stützen'!$C:$C,0),MATCH(C$7,'kc-Wert für Stützen'!$A$8:$ES$8,0)+7,4),,))</f>
        <v>75991.796925788149</v>
      </c>
      <c r="D229" s="768">
        <f ca="1">INDIRECT("'kc-Wert für Stützen'!"&amp;SUBSTITUTE(ADDRESS(MATCH($A229,'kc-Wert für Stützen'!$C:$C,0),MATCH(D$7,'kc-Wert für Stützen'!$A$8:$ES$8,0)+7,4),,))</f>
        <v>75690.296505430131</v>
      </c>
      <c r="E229" s="768">
        <f ca="1">INDIRECT("'kc-Wert für Stützen'!"&amp;SUBSTITUTE(ADDRESS(MATCH($A229,'kc-Wert für Stützen'!$C:$C,0),MATCH(E$7,'kc-Wert für Stützen'!$A$8:$ES$8,0)+7,4),,))</f>
        <v>75369.779447890294</v>
      </c>
      <c r="F229" s="768">
        <f ca="1">INDIRECT("'kc-Wert für Stützen'!"&amp;SUBSTITUTE(ADDRESS(MATCH($A229,'kc-Wert für Stützen'!$C:$C,0),MATCH(F$7,'kc-Wert für Stützen'!$A$8:$ES$8,0)+7,4),,))</f>
        <v>75028.125239616216</v>
      </c>
      <c r="G229" s="768">
        <f ca="1">INDIRECT("'kc-Wert für Stützen'!"&amp;SUBSTITUTE(ADDRESS(MATCH($A229,'kc-Wert für Stützen'!$C:$C,0),MATCH(G$7,'kc-Wert für Stützen'!$A$8:$ES$8,0)+7,4),,))</f>
        <v>74662.981587438146</v>
      </c>
      <c r="H229" s="768">
        <f ca="1">INDIRECT("'kc-Wert für Stützen'!"&amp;SUBSTITUTE(ADDRESS(MATCH($A229,'kc-Wert für Stützen'!$C:$C,0),MATCH(H$7,'kc-Wert für Stützen'!$A$8:$ES$8,0)+7,4),,))</f>
        <v>74271.746543918009</v>
      </c>
      <c r="I229" s="768">
        <f ca="1">INDIRECT("'kc-Wert für Stützen'!"&amp;SUBSTITUTE(ADDRESS(MATCH($A229,'kc-Wert für Stützen'!$C:$C,0),MATCH(I$7,'kc-Wert für Stützen'!$A$8:$ES$8,0)+7,4),,))</f>
        <v>73851.554618738664</v>
      </c>
      <c r="J229" s="768">
        <f ca="1">INDIRECT("'kc-Wert für Stützen'!"&amp;SUBSTITUTE(ADDRESS(MATCH($A229,'kc-Wert für Stützen'!$C:$C,0),MATCH(J$7,'kc-Wert für Stützen'!$A$8:$ES$8,0)+7,4),,))</f>
        <v>73399.269982809317</v>
      </c>
      <c r="K229" s="768">
        <f ca="1">INDIRECT("'kc-Wert für Stützen'!"&amp;SUBSTITUTE(ADDRESS(MATCH($A229,'kc-Wert für Stützen'!$C:$C,0),MATCH(K$7,'kc-Wert für Stützen'!$A$8:$ES$8,0)+7,4),,))</f>
        <v>72911.491045658273</v>
      </c>
      <c r="L229" s="768">
        <f ca="1">INDIRECT("'kc-Wert für Stützen'!"&amp;SUBSTITUTE(ADDRESS(MATCH($A229,'kc-Wert für Stützen'!$C:$C,0),MATCH(L$7,'kc-Wert für Stützen'!$A$8:$ES$8,0)+7,4),,))</f>
        <v>72384.572042190441</v>
      </c>
      <c r="M229" s="768">
        <f ca="1">INDIRECT("'kc-Wert für Stützen'!"&amp;SUBSTITUTE(ADDRESS(MATCH($A229,'kc-Wert für Stützen'!$C:$C,0),MATCH(M$7,'kc-Wert für Stützen'!$A$8:$ES$8,0)+7,4),,))</f>
        <v>71814.668648254054</v>
      </c>
      <c r="N229" s="768">
        <f ca="1">INDIRECT("'kc-Wert für Stützen'!"&amp;SUBSTITUTE(ADDRESS(MATCH($A229,'kc-Wert für Stützen'!$C:$C,0),MATCH(N$7,'kc-Wert für Stützen'!$A$8:$ES$8,0)+7,4),,))</f>
        <v>71197.815734329648</v>
      </c>
      <c r="O229" s="768">
        <f ca="1">INDIRECT("'kc-Wert für Stützen'!"&amp;SUBSTITUTE(ADDRESS(MATCH($A229,'kc-Wert für Stützen'!$C:$C,0),MATCH(O$7,'kc-Wert für Stützen'!$A$8:$ES$8,0)+7,4),,))</f>
        <v>70530.045611007212</v>
      </c>
      <c r="P229" s="768">
        <f ca="1">INDIRECT("'kc-Wert für Stützen'!"&amp;SUBSTITUTE(ADDRESS(MATCH($A229,'kc-Wert für Stützen'!$C:$C,0),MATCH(P$7,'kc-Wert für Stützen'!$A$8:$ES$8,0)+7,4),,))</f>
        <v>69807.553713837697</v>
      </c>
      <c r="S229" s="772">
        <f t="shared" ca="1" si="91"/>
        <v>75690.296505430131</v>
      </c>
      <c r="T229" s="772">
        <f t="shared" ca="1" si="94"/>
        <v>75690.296505430131</v>
      </c>
      <c r="U229" s="772">
        <f t="shared" ca="1" si="94"/>
        <v>75690.296505430131</v>
      </c>
      <c r="V229" s="772">
        <f t="shared" ca="1" si="94"/>
        <v>75369.779447890294</v>
      </c>
      <c r="W229" s="772">
        <f t="shared" ca="1" si="94"/>
        <v>75028.125239616216</v>
      </c>
      <c r="X229" s="772">
        <f t="shared" ca="1" si="94"/>
        <v>74662.981587438146</v>
      </c>
      <c r="Y229" s="772">
        <f t="shared" ca="1" si="94"/>
        <v>74271.746543918009</v>
      </c>
      <c r="Z229" s="772">
        <f t="shared" ca="1" si="94"/>
        <v>75690.296505430131</v>
      </c>
      <c r="AA229" s="772">
        <f t="shared" ca="1" si="94"/>
        <v>75690.296505430131</v>
      </c>
      <c r="AB229" s="772">
        <f t="shared" ca="1" si="104"/>
        <v>75369.779447890294</v>
      </c>
      <c r="AC229" s="772">
        <f t="shared" ca="1" si="104"/>
        <v>75369.779447890294</v>
      </c>
      <c r="AD229" s="772">
        <f t="shared" ca="1" si="104"/>
        <v>75028.125239616216</v>
      </c>
      <c r="AE229" s="772">
        <f t="shared" ca="1" si="104"/>
        <v>75028.125239616216</v>
      </c>
      <c r="AF229" s="772">
        <f t="shared" ca="1" si="104"/>
        <v>74662.981587438146</v>
      </c>
      <c r="AG229" s="772">
        <f t="shared" ca="1" si="104"/>
        <v>74662.981587438146</v>
      </c>
      <c r="AH229" s="772">
        <f t="shared" ca="1" si="103"/>
        <v>74662.981587438146</v>
      </c>
      <c r="AI229" s="772">
        <f t="shared" ca="1" si="103"/>
        <v>75690.296505430131</v>
      </c>
      <c r="AJ229" s="772">
        <f t="shared" ca="1" si="103"/>
        <v>75690.296505430131</v>
      </c>
      <c r="AK229" s="772">
        <f t="shared" ca="1" si="103"/>
        <v>75369.779447890294</v>
      </c>
      <c r="AL229" s="772">
        <f t="shared" ca="1" si="103"/>
        <v>75369.779447890294</v>
      </c>
      <c r="AM229" s="772">
        <f t="shared" ca="1" si="103"/>
        <v>75028.125239616216</v>
      </c>
      <c r="AN229" s="772">
        <f t="shared" ca="1" si="103"/>
        <v>75028.125239616216</v>
      </c>
      <c r="AO229" s="772">
        <f t="shared" ca="1" si="103"/>
        <v>74662.981587438146</v>
      </c>
      <c r="AP229" s="772">
        <f t="shared" ca="1" si="103"/>
        <v>74662.981587438146</v>
      </c>
      <c r="AQ229" s="772">
        <f t="shared" ca="1" si="103"/>
        <v>74662.981587438146</v>
      </c>
      <c r="AR229" s="772">
        <f t="shared" ca="1" si="96"/>
        <v>75690.296505430131</v>
      </c>
      <c r="AS229" s="772">
        <f t="shared" ca="1" si="96"/>
        <v>75690.296505430131</v>
      </c>
      <c r="AT229" s="772">
        <f t="shared" ca="1" si="96"/>
        <v>75369.779447890294</v>
      </c>
      <c r="AU229" s="772">
        <f t="shared" ca="1" si="96"/>
        <v>75369.779447890294</v>
      </c>
      <c r="AV229" s="772">
        <f t="shared" ca="1" si="96"/>
        <v>75028.125239616216</v>
      </c>
      <c r="AW229" s="772">
        <f t="shared" ca="1" si="96"/>
        <v>75028.125239616216</v>
      </c>
      <c r="AX229" s="772">
        <f t="shared" ca="1" si="96"/>
        <v>74662.981587438146</v>
      </c>
      <c r="AY229" s="772">
        <f t="shared" ca="1" si="96"/>
        <v>74662.981587438146</v>
      </c>
      <c r="AZ229" s="772">
        <f t="shared" ca="1" si="96"/>
        <v>74662.981587438146</v>
      </c>
      <c r="BA229" s="772">
        <f t="shared" ca="1" si="96"/>
        <v>75690.296505430131</v>
      </c>
      <c r="BB229" s="772">
        <f t="shared" ca="1" si="96"/>
        <v>75690.296505430131</v>
      </c>
      <c r="BC229" s="772">
        <f t="shared" ca="1" si="96"/>
        <v>75369.779447890294</v>
      </c>
      <c r="BD229" s="772">
        <f t="shared" ca="1" si="96"/>
        <v>75028.125239616216</v>
      </c>
      <c r="BE229" s="772">
        <f t="shared" ca="1" si="96"/>
        <v>75028.125239616216</v>
      </c>
      <c r="BF229" s="772">
        <f t="shared" ca="1" si="96"/>
        <v>74662.981587438146</v>
      </c>
      <c r="BG229" s="772">
        <f t="shared" ca="1" si="97"/>
        <v>74662.981587438146</v>
      </c>
      <c r="BH229" s="772">
        <f t="shared" ca="1" si="101"/>
        <v>74271.746543918009</v>
      </c>
      <c r="BI229" s="772">
        <f t="shared" ca="1" si="101"/>
        <v>74271.746543918009</v>
      </c>
      <c r="BJ229" s="772">
        <f t="shared" ca="1" si="101"/>
        <v>75369.779447890294</v>
      </c>
      <c r="BK229" s="772">
        <f t="shared" ca="1" si="101"/>
        <v>75369.779447890294</v>
      </c>
      <c r="BL229" s="772">
        <f t="shared" ca="1" si="101"/>
        <v>75369.779447890294</v>
      </c>
      <c r="BM229" s="772">
        <f t="shared" ca="1" si="101"/>
        <v>75369.779447890294</v>
      </c>
      <c r="BN229" s="772">
        <f t="shared" ca="1" si="99"/>
        <v>74662.981587438146</v>
      </c>
      <c r="BO229" s="772">
        <f t="shared" ca="1" si="98"/>
        <v>74662.981587438146</v>
      </c>
      <c r="BP229" s="772">
        <f t="shared" ca="1" si="98"/>
        <v>74271.746543918009</v>
      </c>
      <c r="BQ229" s="772">
        <f t="shared" ca="1" si="98"/>
        <v>74271.746543918009</v>
      </c>
      <c r="BR229" s="772">
        <f t="shared" ca="1" si="98"/>
        <v>73851.554618738664</v>
      </c>
      <c r="BS229" s="772">
        <f t="shared" ca="1" si="98"/>
        <v>75369.779447890294</v>
      </c>
      <c r="BT229" s="772">
        <f t="shared" ca="1" si="98"/>
        <v>75369.779447890294</v>
      </c>
      <c r="BU229" s="772">
        <f t="shared" ca="1" si="98"/>
        <v>75369.779447890294</v>
      </c>
      <c r="BV229" s="772">
        <f t="shared" ca="1" si="98"/>
        <v>75028.125239616216</v>
      </c>
      <c r="BW229" s="772">
        <f t="shared" ca="1" si="98"/>
        <v>75028.125239616216</v>
      </c>
      <c r="BX229" s="772">
        <f t="shared" ca="1" si="102"/>
        <v>74271.746543918009</v>
      </c>
      <c r="BY229" s="772">
        <f t="shared" ca="1" si="102"/>
        <v>74271.746543918009</v>
      </c>
      <c r="BZ229" s="772">
        <f t="shared" ca="1" si="102"/>
        <v>73851.554618738664</v>
      </c>
      <c r="CA229" s="772">
        <f t="shared" ca="1" si="102"/>
        <v>73851.554618738664</v>
      </c>
      <c r="CB229" s="772">
        <f t="shared" ca="1" si="102"/>
        <v>75028.125239616216</v>
      </c>
      <c r="CC229" s="772">
        <f t="shared" ca="1" si="102"/>
        <v>75028.125239616216</v>
      </c>
      <c r="CD229" s="772">
        <f t="shared" ca="1" si="102"/>
        <v>75028.125239616216</v>
      </c>
      <c r="CE229" s="772">
        <f t="shared" ca="1" si="102"/>
        <v>75028.125239616216</v>
      </c>
      <c r="CF229" s="772">
        <f t="shared" ca="1" si="100"/>
        <v>74662.981587438146</v>
      </c>
      <c r="CG229" s="772">
        <f t="shared" ca="1" si="100"/>
        <v>74271.746543918009</v>
      </c>
      <c r="CH229" s="772">
        <f t="shared" ca="1" si="100"/>
        <v>73851.554618738664</v>
      </c>
      <c r="CI229" s="772">
        <f t="shared" ca="1" si="100"/>
        <v>73851.554618738664</v>
      </c>
      <c r="CJ229" s="772">
        <f t="shared" ca="1" si="100"/>
        <v>73399.269982809317</v>
      </c>
    </row>
    <row r="230" spans="1:88" ht="15" customHeight="1">
      <c r="A230" s="770">
        <f>'kc-Wert für Stützen'!C230</f>
        <v>282</v>
      </c>
      <c r="B230" s="768">
        <f ca="1">INDIRECT("'kc-Wert für Stützen'!"&amp;SUBSTITUTE(ADDRESS(MATCH($A230,'kc-Wert für Stützen'!$C:$C,0),MATCH(B$7,'kc-Wert für Stützen'!$A$8:$ES$8,0)+7,4),,))</f>
        <v>76847.612265530217</v>
      </c>
      <c r="C230" s="768">
        <f ca="1">INDIRECT("'kc-Wert für Stützen'!"&amp;SUBSTITUTE(ADDRESS(MATCH($A230,'kc-Wert für Stützen'!$C:$C,0),MATCH(C$7,'kc-Wert für Stützen'!$A$8:$ES$8,0)+7,4),,))</f>
        <v>76563.844778018742</v>
      </c>
      <c r="D230" s="768">
        <f ca="1">INDIRECT("'kc-Wert für Stützen'!"&amp;SUBSTITUTE(ADDRESS(MATCH($A230,'kc-Wert für Stützen'!$C:$C,0),MATCH(D$7,'kc-Wert für Stützen'!$A$8:$ES$8,0)+7,4),,))</f>
        <v>76263.154227324485</v>
      </c>
      <c r="E230" s="768">
        <f ca="1">INDIRECT("'kc-Wert für Stützen'!"&amp;SUBSTITUTE(ADDRESS(MATCH($A230,'kc-Wert für Stützen'!$C:$C,0),MATCH(E$7,'kc-Wert für Stützen'!$A$8:$ES$8,0)+7,4),,))</f>
        <v>75943.659916032891</v>
      </c>
      <c r="F230" s="768">
        <f ca="1">INDIRECT("'kc-Wert für Stützen'!"&amp;SUBSTITUTE(ADDRESS(MATCH($A230,'kc-Wert für Stützen'!$C:$C,0),MATCH(F$7,'kc-Wert für Stützen'!$A$8:$ES$8,0)+7,4),,))</f>
        <v>75603.272687664241</v>
      </c>
      <c r="G230" s="768">
        <f ca="1">INDIRECT("'kc-Wert für Stützen'!"&amp;SUBSTITUTE(ADDRESS(MATCH($A230,'kc-Wert für Stützen'!$C:$C,0),MATCH(G$7,'kc-Wert für Stützen'!$A$8:$ES$8,0)+7,4),,))</f>
        <v>75239.675337939931</v>
      </c>
      <c r="H230" s="768">
        <f ca="1">INDIRECT("'kc-Wert für Stützen'!"&amp;SUBSTITUTE(ADDRESS(MATCH($A230,'kc-Wert für Stützen'!$C:$C,0),MATCH(H$7,'kc-Wert für Stützen'!$A$8:$ES$8,0)+7,4),,))</f>
        <v>74850.304633923879</v>
      </c>
      <c r="I230" s="768">
        <f ca="1">INDIRECT("'kc-Wert für Stützen'!"&amp;SUBSTITUTE(ADDRESS(MATCH($A230,'kc-Wert für Stützen'!$C:$C,0),MATCH(I$7,'kc-Wert für Stützen'!$A$8:$ES$8,0)+7,4),,))</f>
        <v>74432.336976861639</v>
      </c>
      <c r="J230" s="768">
        <f ca="1">INDIRECT("'kc-Wert für Stützen'!"&amp;SUBSTITUTE(ADDRESS(MATCH($A230,'kc-Wert für Stützen'!$C:$C,0),MATCH(J$7,'kc-Wert für Stützen'!$A$8:$ES$8,0)+7,4),,))</f>
        <v>73982.68064166898</v>
      </c>
      <c r="K230" s="768">
        <f ca="1">INDIRECT("'kc-Wert für Stützen'!"&amp;SUBSTITUTE(ADDRESS(MATCH($A230,'kc-Wert für Stützen'!$C:$C,0),MATCH(K$7,'kc-Wert für Stützen'!$A$8:$ES$8,0)+7,4),,))</f>
        <v>73497.978649866869</v>
      </c>
      <c r="L230" s="768">
        <f ca="1">INDIRECT("'kc-Wert für Stützen'!"&amp;SUBSTITUTE(ADDRESS(MATCH($A230,'kc-Wert für Stützen'!$C:$C,0),MATCH(L$7,'kc-Wert für Stützen'!$A$8:$ES$8,0)+7,4),,))</f>
        <v>72974.627643972402</v>
      </c>
      <c r="M230" s="768">
        <f ca="1">INDIRECT("'kc-Wert für Stützen'!"&amp;SUBSTITUTE(ADDRESS(MATCH($A230,'kc-Wert für Stützen'!$C:$C,0),MATCH(M$7,'kc-Wert für Stützen'!$A$8:$ES$8,0)+7,4),,))</f>
        <v>72408.819495951393</v>
      </c>
      <c r="N230" s="768">
        <f ca="1">INDIRECT("'kc-Wert für Stützen'!"&amp;SUBSTITUTE(ADDRESS(MATCH($A230,'kc-Wert für Stützen'!$C:$C,0),MATCH(N$7,'kc-Wert für Stützen'!$A$8:$ES$8,0)+7,4),,))</f>
        <v>71796.613511958392</v>
      </c>
      <c r="O230" s="768">
        <f ca="1">INDIRECT("'kc-Wert für Stützen'!"&amp;SUBSTITUTE(ADDRESS(MATCH($A230,'kc-Wert für Stützen'!$C:$C,0),MATCH(O$7,'kc-Wert für Stützen'!$A$8:$ES$8,0)+7,4),,))</f>
        <v>71134.047485022253</v>
      </c>
      <c r="P230" s="768">
        <f ca="1">INDIRECT("'kc-Wert für Stützen'!"&amp;SUBSTITUTE(ADDRESS(MATCH($A230,'kc-Wert für Stützen'!$C:$C,0),MATCH(P$7,'kc-Wert für Stützen'!$A$8:$ES$8,0)+7,4),,))</f>
        <v>70417.294744451952</v>
      </c>
      <c r="S230" s="772">
        <f t="shared" ca="1" si="91"/>
        <v>76263.154227324485</v>
      </c>
      <c r="T230" s="772">
        <f t="shared" ca="1" si="94"/>
        <v>76263.154227324485</v>
      </c>
      <c r="U230" s="772">
        <f t="shared" ca="1" si="94"/>
        <v>76263.154227324485</v>
      </c>
      <c r="V230" s="772">
        <f t="shared" ca="1" si="94"/>
        <v>75943.659916032891</v>
      </c>
      <c r="W230" s="772">
        <f t="shared" ca="1" si="94"/>
        <v>75603.272687664241</v>
      </c>
      <c r="X230" s="772">
        <f t="shared" ca="1" si="94"/>
        <v>75239.675337939931</v>
      </c>
      <c r="Y230" s="772">
        <f t="shared" ca="1" si="94"/>
        <v>74850.304633923879</v>
      </c>
      <c r="Z230" s="772">
        <f t="shared" ca="1" si="94"/>
        <v>76263.154227324485</v>
      </c>
      <c r="AA230" s="772">
        <f t="shared" ca="1" si="94"/>
        <v>76263.154227324485</v>
      </c>
      <c r="AB230" s="772">
        <f t="shared" ca="1" si="104"/>
        <v>75943.659916032891</v>
      </c>
      <c r="AC230" s="772">
        <f t="shared" ca="1" si="104"/>
        <v>75943.659916032891</v>
      </c>
      <c r="AD230" s="772">
        <f t="shared" ca="1" si="104"/>
        <v>75603.272687664241</v>
      </c>
      <c r="AE230" s="772">
        <f t="shared" ca="1" si="104"/>
        <v>75603.272687664241</v>
      </c>
      <c r="AF230" s="772">
        <f t="shared" ca="1" si="104"/>
        <v>75239.675337939931</v>
      </c>
      <c r="AG230" s="772">
        <f t="shared" ca="1" si="104"/>
        <v>75239.675337939931</v>
      </c>
      <c r="AH230" s="772">
        <f t="shared" ca="1" si="103"/>
        <v>75239.675337939931</v>
      </c>
      <c r="AI230" s="772">
        <f t="shared" ca="1" si="103"/>
        <v>76263.154227324485</v>
      </c>
      <c r="AJ230" s="772">
        <f t="shared" ca="1" si="103"/>
        <v>76263.154227324485</v>
      </c>
      <c r="AK230" s="772">
        <f t="shared" ca="1" si="103"/>
        <v>75943.659916032891</v>
      </c>
      <c r="AL230" s="772">
        <f t="shared" ca="1" si="103"/>
        <v>75943.659916032891</v>
      </c>
      <c r="AM230" s="772">
        <f t="shared" ca="1" si="103"/>
        <v>75603.272687664241</v>
      </c>
      <c r="AN230" s="772">
        <f t="shared" ca="1" si="103"/>
        <v>75603.272687664241</v>
      </c>
      <c r="AO230" s="772">
        <f t="shared" ca="1" si="103"/>
        <v>75239.675337939931</v>
      </c>
      <c r="AP230" s="772">
        <f t="shared" ca="1" si="103"/>
        <v>75239.675337939931</v>
      </c>
      <c r="AQ230" s="772">
        <f t="shared" ca="1" si="103"/>
        <v>75239.675337939931</v>
      </c>
      <c r="AR230" s="772">
        <f t="shared" ca="1" si="96"/>
        <v>76263.154227324485</v>
      </c>
      <c r="AS230" s="772">
        <f t="shared" ca="1" si="96"/>
        <v>76263.154227324485</v>
      </c>
      <c r="AT230" s="772">
        <f t="shared" ca="1" si="96"/>
        <v>75943.659916032891</v>
      </c>
      <c r="AU230" s="772">
        <f t="shared" ca="1" si="96"/>
        <v>75943.659916032891</v>
      </c>
      <c r="AV230" s="772">
        <f t="shared" ca="1" si="96"/>
        <v>75603.272687664241</v>
      </c>
      <c r="AW230" s="772">
        <f t="shared" ca="1" si="96"/>
        <v>75603.272687664241</v>
      </c>
      <c r="AX230" s="772">
        <f t="shared" ca="1" si="96"/>
        <v>75239.675337939931</v>
      </c>
      <c r="AY230" s="772">
        <f t="shared" ca="1" si="96"/>
        <v>75239.675337939931</v>
      </c>
      <c r="AZ230" s="772">
        <f t="shared" ca="1" si="96"/>
        <v>75239.675337939931</v>
      </c>
      <c r="BA230" s="772">
        <f t="shared" ca="1" si="96"/>
        <v>76263.154227324485</v>
      </c>
      <c r="BB230" s="772">
        <f t="shared" ca="1" si="96"/>
        <v>76263.154227324485</v>
      </c>
      <c r="BC230" s="772">
        <f t="shared" ca="1" si="96"/>
        <v>75943.659916032891</v>
      </c>
      <c r="BD230" s="772">
        <f t="shared" ca="1" si="96"/>
        <v>75603.272687664241</v>
      </c>
      <c r="BE230" s="772">
        <f t="shared" ca="1" si="96"/>
        <v>75603.272687664241</v>
      </c>
      <c r="BF230" s="772">
        <f t="shared" ca="1" si="96"/>
        <v>75239.675337939931</v>
      </c>
      <c r="BG230" s="772">
        <f t="shared" ca="1" si="97"/>
        <v>75239.675337939931</v>
      </c>
      <c r="BH230" s="772">
        <f t="shared" ca="1" si="101"/>
        <v>74850.304633923879</v>
      </c>
      <c r="BI230" s="772">
        <f t="shared" ca="1" si="101"/>
        <v>74850.304633923879</v>
      </c>
      <c r="BJ230" s="772">
        <f t="shared" ca="1" si="101"/>
        <v>75943.659916032891</v>
      </c>
      <c r="BK230" s="772">
        <f t="shared" ca="1" si="101"/>
        <v>75943.659916032891</v>
      </c>
      <c r="BL230" s="772">
        <f t="shared" ca="1" si="101"/>
        <v>75943.659916032891</v>
      </c>
      <c r="BM230" s="772">
        <f t="shared" ca="1" si="101"/>
        <v>75943.659916032891</v>
      </c>
      <c r="BN230" s="772">
        <f t="shared" ca="1" si="99"/>
        <v>75239.675337939931</v>
      </c>
      <c r="BO230" s="772">
        <f t="shared" ca="1" si="98"/>
        <v>75239.675337939931</v>
      </c>
      <c r="BP230" s="772">
        <f t="shared" ca="1" si="98"/>
        <v>74850.304633923879</v>
      </c>
      <c r="BQ230" s="772">
        <f t="shared" ca="1" si="98"/>
        <v>74850.304633923879</v>
      </c>
      <c r="BR230" s="772">
        <f t="shared" ca="1" si="98"/>
        <v>74432.336976861639</v>
      </c>
      <c r="BS230" s="772">
        <f t="shared" ca="1" si="98"/>
        <v>75943.659916032891</v>
      </c>
      <c r="BT230" s="772">
        <f t="shared" ca="1" si="98"/>
        <v>75943.659916032891</v>
      </c>
      <c r="BU230" s="772">
        <f t="shared" ca="1" si="98"/>
        <v>75943.659916032891</v>
      </c>
      <c r="BV230" s="772">
        <f t="shared" ca="1" si="98"/>
        <v>75603.272687664241</v>
      </c>
      <c r="BW230" s="772">
        <f t="shared" ca="1" si="98"/>
        <v>75603.272687664241</v>
      </c>
      <c r="BX230" s="772">
        <f t="shared" ca="1" si="102"/>
        <v>74850.304633923879</v>
      </c>
      <c r="BY230" s="772">
        <f t="shared" ca="1" si="102"/>
        <v>74850.304633923879</v>
      </c>
      <c r="BZ230" s="772">
        <f t="shared" ca="1" si="102"/>
        <v>74432.336976861639</v>
      </c>
      <c r="CA230" s="772">
        <f t="shared" ca="1" si="102"/>
        <v>74432.336976861639</v>
      </c>
      <c r="CB230" s="772">
        <f t="shared" ca="1" si="102"/>
        <v>75603.272687664241</v>
      </c>
      <c r="CC230" s="772">
        <f t="shared" ca="1" si="102"/>
        <v>75603.272687664241</v>
      </c>
      <c r="CD230" s="772">
        <f t="shared" ca="1" si="102"/>
        <v>75603.272687664241</v>
      </c>
      <c r="CE230" s="772">
        <f t="shared" ca="1" si="102"/>
        <v>75603.272687664241</v>
      </c>
      <c r="CF230" s="772">
        <f t="shared" ca="1" si="100"/>
        <v>75239.675337939931</v>
      </c>
      <c r="CG230" s="772">
        <f t="shared" ca="1" si="100"/>
        <v>74850.304633923879</v>
      </c>
      <c r="CH230" s="772">
        <f t="shared" ca="1" si="100"/>
        <v>74432.336976861639</v>
      </c>
      <c r="CI230" s="772">
        <f t="shared" ca="1" si="100"/>
        <v>74432.336976861639</v>
      </c>
      <c r="CJ230" s="772">
        <f t="shared" ca="1" si="100"/>
        <v>73982.68064166898</v>
      </c>
    </row>
    <row r="231" spans="1:88" ht="15" customHeight="1">
      <c r="A231" s="770">
        <f>'kc-Wert für Stützen'!C231</f>
        <v>283</v>
      </c>
      <c r="B231" s="768">
        <f ca="1">INDIRECT("'kc-Wert für Stützen'!"&amp;SUBSTITUTE(ADDRESS(MATCH($A231,'kc-Wert für Stützen'!$C:$C,0),MATCH(B$7,'kc-Wert für Stützen'!$A$8:$ES$8,0)+7,4),,))</f>
        <v>77421.012334990024</v>
      </c>
      <c r="C231" s="768">
        <f ca="1">INDIRECT("'kc-Wert für Stützen'!"&amp;SUBSTITUTE(ADDRESS(MATCH($A231,'kc-Wert für Stützen'!$C:$C,0),MATCH(C$7,'kc-Wert für Stützen'!$A$8:$ES$8,0)+7,4),,))</f>
        <v>77137.852294464697</v>
      </c>
      <c r="D231" s="768">
        <f ca="1">INDIRECT("'kc-Wert für Stützen'!"&amp;SUBSTITUTE(ADDRESS(MATCH($A231,'kc-Wert für Stützen'!$C:$C,0),MATCH(D$7,'kc-Wert für Stützen'!$A$8:$ES$8,0)+7,4),,))</f>
        <v>76837.951035476042</v>
      </c>
      <c r="E231" s="768">
        <f ca="1">INDIRECT("'kc-Wert für Stützen'!"&amp;SUBSTITUTE(ADDRESS(MATCH($A231,'kc-Wert für Stützen'!$C:$C,0),MATCH(E$7,'kc-Wert für Stützen'!$A$8:$ES$8,0)+7,4),,))</f>
        <v>76519.455033979015</v>
      </c>
      <c r="F231" s="768">
        <f ca="1">INDIRECT("'kc-Wert für Stützen'!"&amp;SUBSTITUTE(ADDRESS(MATCH($A231,'kc-Wert für Stützen'!$C:$C,0),MATCH(F$7,'kc-Wert für Stützen'!$A$8:$ES$8,0)+7,4),,))</f>
        <v>76180.305872381417</v>
      </c>
      <c r="G231" s="768">
        <f ca="1">INDIRECT("'kc-Wert für Stützen'!"&amp;SUBSTITUTE(ADDRESS(MATCH($A231,'kc-Wert für Stützen'!$C:$C,0),MATCH(G$7,'kc-Wert für Stützen'!$A$8:$ES$8,0)+7,4),,))</f>
        <v>75818.220774566435</v>
      </c>
      <c r="H231" s="768">
        <f ca="1">INDIRECT("'kc-Wert für Stützen'!"&amp;SUBSTITUTE(ADDRESS(MATCH($A231,'kc-Wert für Stützen'!$C:$C,0),MATCH(H$7,'kc-Wert für Stützen'!$A$8:$ES$8,0)+7,4),,))</f>
        <v>75430.674549564341</v>
      </c>
      <c r="I231" s="768">
        <f ca="1">INDIRECT("'kc-Wert für Stützen'!"&amp;SUBSTITUTE(ADDRESS(MATCH($A231,'kc-Wert für Stützen'!$C:$C,0),MATCH(I$7,'kc-Wert für Stützen'!$A$8:$ES$8,0)+7,4),,))</f>
        <v>75014.884859036654</v>
      </c>
      <c r="J231" s="768">
        <f ca="1">INDIRECT("'kc-Wert für Stützen'!"&amp;SUBSTITUTE(ADDRESS(MATCH($A231,'kc-Wert für Stützen'!$C:$C,0),MATCH(J$7,'kc-Wert für Stützen'!$A$8:$ES$8,0)+7,4),,))</f>
        <v>74567.803576955295</v>
      </c>
      <c r="K231" s="768">
        <f ca="1">INDIRECT("'kc-Wert für Stützen'!"&amp;SUBSTITUTE(ADDRESS(MATCH($A231,'kc-Wert für Stützen'!$C:$C,0),MATCH(K$7,'kc-Wert für Stützen'!$A$8:$ES$8,0)+7,4),,))</f>
        <v>74086.118084981703</v>
      </c>
      <c r="L231" s="768">
        <f ca="1">INDIRECT("'kc-Wert für Stützen'!"&amp;SUBSTITUTE(ADDRESS(MATCH($A231,'kc-Wert für Stützen'!$C:$C,0),MATCH(L$7,'kc-Wert für Stützen'!$A$8:$ES$8,0)+7,4),,))</f>
        <v>73566.267613543139</v>
      </c>
      <c r="M231" s="768">
        <f ca="1">INDIRECT("'kc-Wert für Stützen'!"&amp;SUBSTITUTE(ADDRESS(MATCH($A231,'kc-Wert für Stützen'!$C:$C,0),MATCH(M$7,'kc-Wert für Stützen'!$A$8:$ES$8,0)+7,4),,))</f>
        <v>73004.481080272672</v>
      </c>
      <c r="N231" s="768">
        <f ca="1">INDIRECT("'kc-Wert für Stützen'!"&amp;SUBSTITUTE(ADDRESS(MATCH($A231,'kc-Wert für Stützen'!$C:$C,0),MATCH(N$7,'kc-Wert für Stützen'!$A$8:$ES$8,0)+7,4),,))</f>
        <v>72396.844036211914</v>
      </c>
      <c r="O231" s="768">
        <f ca="1">INDIRECT("'kc-Wert für Stützen'!"&amp;SUBSTITUTE(ADDRESS(MATCH($A231,'kc-Wert für Stützen'!$C:$C,0),MATCH(O$7,'kc-Wert für Stützen'!$A$8:$ES$8,0)+7,4),,))</f>
        <v>71739.402844591925</v>
      </c>
      <c r="P231" s="768">
        <f ca="1">INDIRECT("'kc-Wert für Stützen'!"&amp;SUBSTITUTE(ADDRESS(MATCH($A231,'kc-Wert für Stützen'!$C:$C,0),MATCH(P$7,'kc-Wert für Stützen'!$A$8:$ES$8,0)+7,4),,))</f>
        <v>71028.313386303926</v>
      </c>
      <c r="S231" s="772">
        <f t="shared" ca="1" si="91"/>
        <v>76837.951035476042</v>
      </c>
      <c r="T231" s="772">
        <f t="shared" ca="1" si="94"/>
        <v>76837.951035476042</v>
      </c>
      <c r="U231" s="772">
        <f t="shared" ca="1" si="94"/>
        <v>76837.951035476042</v>
      </c>
      <c r="V231" s="772">
        <f t="shared" ca="1" si="94"/>
        <v>76519.455033979015</v>
      </c>
      <c r="W231" s="772">
        <f t="shared" ca="1" si="94"/>
        <v>76180.305872381417</v>
      </c>
      <c r="X231" s="772">
        <f t="shared" ca="1" si="94"/>
        <v>75818.220774566435</v>
      </c>
      <c r="Y231" s="772">
        <f t="shared" ca="1" si="94"/>
        <v>75430.674549564341</v>
      </c>
      <c r="Z231" s="772">
        <f t="shared" ca="1" si="94"/>
        <v>76837.951035476042</v>
      </c>
      <c r="AA231" s="772">
        <f t="shared" ca="1" si="94"/>
        <v>76837.951035476042</v>
      </c>
      <c r="AB231" s="772">
        <f t="shared" ca="1" si="104"/>
        <v>76519.455033979015</v>
      </c>
      <c r="AC231" s="772">
        <f t="shared" ca="1" si="104"/>
        <v>76519.455033979015</v>
      </c>
      <c r="AD231" s="772">
        <f t="shared" ca="1" si="104"/>
        <v>76180.305872381417</v>
      </c>
      <c r="AE231" s="772">
        <f t="shared" ca="1" si="104"/>
        <v>76180.305872381417</v>
      </c>
      <c r="AF231" s="772">
        <f t="shared" ca="1" si="104"/>
        <v>75818.220774566435</v>
      </c>
      <c r="AG231" s="772">
        <f t="shared" ca="1" si="104"/>
        <v>75818.220774566435</v>
      </c>
      <c r="AH231" s="772">
        <f t="shared" ca="1" si="103"/>
        <v>75818.220774566435</v>
      </c>
      <c r="AI231" s="772">
        <f t="shared" ca="1" si="103"/>
        <v>76837.951035476042</v>
      </c>
      <c r="AJ231" s="772">
        <f t="shared" ca="1" si="103"/>
        <v>76837.951035476042</v>
      </c>
      <c r="AK231" s="772">
        <f t="shared" ca="1" si="103"/>
        <v>76519.455033979015</v>
      </c>
      <c r="AL231" s="772">
        <f t="shared" ca="1" si="103"/>
        <v>76519.455033979015</v>
      </c>
      <c r="AM231" s="772">
        <f t="shared" ca="1" si="103"/>
        <v>76180.305872381417</v>
      </c>
      <c r="AN231" s="772">
        <f t="shared" ca="1" si="103"/>
        <v>76180.305872381417</v>
      </c>
      <c r="AO231" s="772">
        <f t="shared" ca="1" si="103"/>
        <v>75818.220774566435</v>
      </c>
      <c r="AP231" s="772">
        <f t="shared" ca="1" si="103"/>
        <v>75818.220774566435</v>
      </c>
      <c r="AQ231" s="772">
        <f t="shared" ca="1" si="103"/>
        <v>75818.220774566435</v>
      </c>
      <c r="AR231" s="772">
        <f t="shared" ca="1" si="96"/>
        <v>76837.951035476042</v>
      </c>
      <c r="AS231" s="772">
        <f t="shared" ca="1" si="96"/>
        <v>76837.951035476042</v>
      </c>
      <c r="AT231" s="772">
        <f t="shared" ca="1" si="96"/>
        <v>76519.455033979015</v>
      </c>
      <c r="AU231" s="772">
        <f t="shared" ca="1" si="96"/>
        <v>76519.455033979015</v>
      </c>
      <c r="AV231" s="772">
        <f t="shared" ca="1" si="96"/>
        <v>76180.305872381417</v>
      </c>
      <c r="AW231" s="772">
        <f t="shared" ca="1" si="96"/>
        <v>76180.305872381417</v>
      </c>
      <c r="AX231" s="772">
        <f t="shared" ca="1" si="96"/>
        <v>75818.220774566435</v>
      </c>
      <c r="AY231" s="772">
        <f t="shared" ca="1" si="96"/>
        <v>75818.220774566435</v>
      </c>
      <c r="AZ231" s="772">
        <f t="shared" ca="1" si="96"/>
        <v>75818.220774566435</v>
      </c>
      <c r="BA231" s="772">
        <f t="shared" ca="1" si="96"/>
        <v>76837.951035476042</v>
      </c>
      <c r="BB231" s="772">
        <f t="shared" ca="1" si="96"/>
        <v>76837.951035476042</v>
      </c>
      <c r="BC231" s="772">
        <f t="shared" ca="1" si="96"/>
        <v>76519.455033979015</v>
      </c>
      <c r="BD231" s="772">
        <f t="shared" ca="1" si="96"/>
        <v>76180.305872381417</v>
      </c>
      <c r="BE231" s="772">
        <f t="shared" ca="1" si="96"/>
        <v>76180.305872381417</v>
      </c>
      <c r="BF231" s="772">
        <f t="shared" ca="1" si="96"/>
        <v>75818.220774566435</v>
      </c>
      <c r="BG231" s="772">
        <f t="shared" ca="1" si="97"/>
        <v>75818.220774566435</v>
      </c>
      <c r="BH231" s="772">
        <f t="shared" ca="1" si="101"/>
        <v>75430.674549564341</v>
      </c>
      <c r="BI231" s="772">
        <f t="shared" ca="1" si="101"/>
        <v>75430.674549564341</v>
      </c>
      <c r="BJ231" s="772">
        <f t="shared" ca="1" si="101"/>
        <v>76519.455033979015</v>
      </c>
      <c r="BK231" s="772">
        <f t="shared" ca="1" si="101"/>
        <v>76519.455033979015</v>
      </c>
      <c r="BL231" s="772">
        <f t="shared" ca="1" si="101"/>
        <v>76519.455033979015</v>
      </c>
      <c r="BM231" s="772">
        <f t="shared" ca="1" si="101"/>
        <v>76519.455033979015</v>
      </c>
      <c r="BN231" s="772">
        <f t="shared" ca="1" si="99"/>
        <v>75818.220774566435</v>
      </c>
      <c r="BO231" s="772">
        <f t="shared" ca="1" si="98"/>
        <v>75818.220774566435</v>
      </c>
      <c r="BP231" s="772">
        <f t="shared" ca="1" si="98"/>
        <v>75430.674549564341</v>
      </c>
      <c r="BQ231" s="772">
        <f t="shared" ca="1" si="98"/>
        <v>75430.674549564341</v>
      </c>
      <c r="BR231" s="772">
        <f t="shared" ca="1" si="98"/>
        <v>75014.884859036654</v>
      </c>
      <c r="BS231" s="772">
        <f t="shared" ca="1" si="98"/>
        <v>76519.455033979015</v>
      </c>
      <c r="BT231" s="772">
        <f t="shared" ca="1" si="98"/>
        <v>76519.455033979015</v>
      </c>
      <c r="BU231" s="772">
        <f t="shared" ca="1" si="98"/>
        <v>76519.455033979015</v>
      </c>
      <c r="BV231" s="772">
        <f t="shared" ca="1" si="98"/>
        <v>76180.305872381417</v>
      </c>
      <c r="BW231" s="772">
        <f t="shared" ca="1" si="98"/>
        <v>76180.305872381417</v>
      </c>
      <c r="BX231" s="772">
        <f t="shared" ca="1" si="98"/>
        <v>75430.674549564341</v>
      </c>
      <c r="BY231" s="772">
        <f t="shared" ca="1" si="98"/>
        <v>75430.674549564341</v>
      </c>
      <c r="BZ231" s="772">
        <f t="shared" ca="1" si="98"/>
        <v>75014.884859036654</v>
      </c>
      <c r="CA231" s="772">
        <f t="shared" ca="1" si="98"/>
        <v>75014.884859036654</v>
      </c>
      <c r="CB231" s="772">
        <f t="shared" ca="1" si="98"/>
        <v>76180.305872381417</v>
      </c>
      <c r="CC231" s="772">
        <f t="shared" ca="1" si="98"/>
        <v>76180.305872381417</v>
      </c>
      <c r="CD231" s="772">
        <f t="shared" ca="1" si="98"/>
        <v>76180.305872381417</v>
      </c>
      <c r="CE231" s="772">
        <f t="shared" ref="BX231:CJ262" ca="1" si="105">HLOOKUP(CE$7,$A$7:$P$348,ROW()-6)</f>
        <v>76180.305872381417</v>
      </c>
      <c r="CF231" s="772">
        <f t="shared" ca="1" si="105"/>
        <v>75818.220774566435</v>
      </c>
      <c r="CG231" s="772">
        <f t="shared" ca="1" si="105"/>
        <v>75430.674549564341</v>
      </c>
      <c r="CH231" s="772">
        <f t="shared" ca="1" si="105"/>
        <v>75014.884859036654</v>
      </c>
      <c r="CI231" s="772">
        <f t="shared" ca="1" si="105"/>
        <v>75014.884859036654</v>
      </c>
      <c r="CJ231" s="772">
        <f t="shared" ca="1" si="105"/>
        <v>74567.803576955295</v>
      </c>
    </row>
    <row r="232" spans="1:88" ht="15" customHeight="1">
      <c r="A232" s="770">
        <f>'kc-Wert für Stützen'!C232</f>
        <v>284</v>
      </c>
      <c r="B232" s="768">
        <f ca="1">INDIRECT("'kc-Wert für Stützen'!"&amp;SUBSTITUTE(ADDRESS(MATCH($A232,'kc-Wert für Stützen'!$C:$C,0),MATCH(B$7,'kc-Wert für Stützen'!$A$8:$ES$8,0)+7,4),,))</f>
        <v>77996.390898019847</v>
      </c>
      <c r="C232" s="768">
        <f ca="1">INDIRECT("'kc-Wert für Stützen'!"&amp;SUBSTITUTE(ADDRESS(MATCH($A232,'kc-Wert für Stützen'!$C:$C,0),MATCH(C$7,'kc-Wert für Stützen'!$A$8:$ES$8,0)+7,4),,))</f>
        <v>77713.82138862733</v>
      </c>
      <c r="D232" s="768">
        <f ca="1">INDIRECT("'kc-Wert für Stützen'!"&amp;SUBSTITUTE(ADDRESS(MATCH($A232,'kc-Wert für Stützen'!$C:$C,0),MATCH(D$7,'kc-Wert für Stützen'!$A$8:$ES$8,0)+7,4),,))</f>
        <v>77414.689283864325</v>
      </c>
      <c r="E232" s="768">
        <f ca="1">INDIRECT("'kc-Wert für Stützen'!"&amp;SUBSTITUTE(ADDRESS(MATCH($A232,'kc-Wert für Stützen'!$C:$C,0),MATCH(E$7,'kc-Wert für Stützen'!$A$8:$ES$8,0)+7,4),,))</f>
        <v>77097.167685296619</v>
      </c>
      <c r="F232" s="768">
        <f ca="1">INDIRECT("'kc-Wert für Stützen'!"&amp;SUBSTITUTE(ADDRESS(MATCH($A232,'kc-Wert für Stützen'!$C:$C,0),MATCH(F$7,'kc-Wert für Stützen'!$A$8:$ES$8,0)+7,4),,))</f>
        <v>76759.22830821744</v>
      </c>
      <c r="G232" s="768">
        <f ca="1">INDIRECT("'kc-Wert für Stützen'!"&amp;SUBSTITUTE(ADDRESS(MATCH($A232,'kc-Wert für Stützen'!$C:$C,0),MATCH(G$7,'kc-Wert für Stützen'!$A$8:$ES$8,0)+7,4),,))</f>
        <v>76398.622154409473</v>
      </c>
      <c r="H232" s="768">
        <f ca="1">INDIRECT("'kc-Wert für Stützen'!"&amp;SUBSTITUTE(ADDRESS(MATCH($A232,'kc-Wert für Stützen'!$C:$C,0),MATCH(H$7,'kc-Wert für Stützen'!$A$8:$ES$8,0)+7,4),,))</f>
        <v>76012.861408554221</v>
      </c>
      <c r="I232" s="768">
        <f ca="1">INDIRECT("'kc-Wert für Stützen'!"&amp;SUBSTITUTE(ADDRESS(MATCH($A232,'kc-Wert für Stützen'!$C:$C,0),MATCH(I$7,'kc-Wert für Stützen'!$A$8:$ES$8,0)+7,4),,))</f>
        <v>75599.204359653493</v>
      </c>
      <c r="J232" s="768">
        <f ca="1">INDIRECT("'kc-Wert für Stützen'!"&amp;SUBSTITUTE(ADDRESS(MATCH($A232,'kc-Wert für Stützen'!$C:$C,0),MATCH(J$7,'kc-Wert für Stützen'!$A$8:$ES$8,0)+7,4),,))</f>
        <v>75154.645960004476</v>
      </c>
      <c r="K232" s="768">
        <f ca="1">INDIRECT("'kc-Wert für Stützen'!"&amp;SUBSTITUTE(ADDRESS(MATCH($A232,'kc-Wert für Stützen'!$C:$C,0),MATCH(K$7,'kc-Wert für Stützen'!$A$8:$ES$8,0)+7,4),,))</f>
        <v>74675.917662078922</v>
      </c>
      <c r="L232" s="768">
        <f ca="1">INDIRECT("'kc-Wert für Stützen'!"&amp;SUBSTITUTE(ADDRESS(MATCH($A232,'kc-Wert für Stützen'!$C:$C,0),MATCH(L$7,'kc-Wert für Stützen'!$A$8:$ES$8,0)+7,4),,))</f>
        <v>74159.501395307103</v>
      </c>
      <c r="M232" s="768">
        <f ca="1">INDIRECT("'kc-Wert für Stützen'!"&amp;SUBSTITUTE(ADDRESS(MATCH($A232,'kc-Wert für Stützen'!$C:$C,0),MATCH(M$7,'kc-Wert für Stützen'!$A$8:$ES$8,0)+7,4),,))</f>
        <v>73601.663860053886</v>
      </c>
      <c r="N232" s="768">
        <f ca="1">INDIRECT("'kc-Wert für Stützen'!"&amp;SUBSTITUTE(ADDRESS(MATCH($A232,'kc-Wert für Stützen'!$C:$C,0),MATCH(N$7,'kc-Wert für Stützen'!$A$8:$ES$8,0)+7,4),,))</f>
        <v>72998.518494556673</v>
      </c>
      <c r="O232" s="768">
        <f ca="1">INDIRECT("'kc-Wert für Stützen'!"&amp;SUBSTITUTE(ADDRESS(MATCH($A232,'kc-Wert für Stützen'!$C:$C,0),MATCH(O$7,'kc-Wert für Stützen'!$A$8:$ES$8,0)+7,4),,))</f>
        <v>72346.123091799935</v>
      </c>
      <c r="P232" s="768">
        <f ca="1">INDIRECT("'kc-Wert für Stützen'!"&amp;SUBSTITUTE(ADDRESS(MATCH($A232,'kc-Wert für Stützen'!$C:$C,0),MATCH(P$7,'kc-Wert für Stützen'!$A$8:$ES$8,0)+7,4),,))</f>
        <v>71640.62045601038</v>
      </c>
      <c r="S232" s="772">
        <f t="shared" ca="1" si="91"/>
        <v>77414.689283864325</v>
      </c>
      <c r="T232" s="772">
        <f t="shared" ca="1" si="94"/>
        <v>77414.689283864325</v>
      </c>
      <c r="U232" s="772">
        <f t="shared" ca="1" si="94"/>
        <v>77414.689283864325</v>
      </c>
      <c r="V232" s="772">
        <f t="shared" ca="1" si="94"/>
        <v>77097.167685296619</v>
      </c>
      <c r="W232" s="772">
        <f t="shared" ca="1" si="94"/>
        <v>76759.22830821744</v>
      </c>
      <c r="X232" s="772">
        <f t="shared" ca="1" si="94"/>
        <v>76398.622154409473</v>
      </c>
      <c r="Y232" s="772">
        <f t="shared" ca="1" si="94"/>
        <v>76012.861408554221</v>
      </c>
      <c r="Z232" s="772">
        <f t="shared" ca="1" si="94"/>
        <v>77414.689283864325</v>
      </c>
      <c r="AA232" s="772">
        <f t="shared" ca="1" si="94"/>
        <v>77414.689283864325</v>
      </c>
      <c r="AB232" s="772">
        <f t="shared" ca="1" si="104"/>
        <v>77097.167685296619</v>
      </c>
      <c r="AC232" s="772">
        <f t="shared" ca="1" si="104"/>
        <v>77097.167685296619</v>
      </c>
      <c r="AD232" s="772">
        <f t="shared" ca="1" si="104"/>
        <v>76759.22830821744</v>
      </c>
      <c r="AE232" s="772">
        <f t="shared" ca="1" si="104"/>
        <v>76759.22830821744</v>
      </c>
      <c r="AF232" s="772">
        <f t="shared" ca="1" si="104"/>
        <v>76398.622154409473</v>
      </c>
      <c r="AG232" s="772">
        <f t="shared" ca="1" si="104"/>
        <v>76398.622154409473</v>
      </c>
      <c r="AH232" s="772">
        <f t="shared" ca="1" si="103"/>
        <v>76398.622154409473</v>
      </c>
      <c r="AI232" s="772">
        <f t="shared" ca="1" si="103"/>
        <v>77414.689283864325</v>
      </c>
      <c r="AJ232" s="772">
        <f t="shared" ca="1" si="103"/>
        <v>77414.689283864325</v>
      </c>
      <c r="AK232" s="772">
        <f t="shared" ca="1" si="103"/>
        <v>77097.167685296619</v>
      </c>
      <c r="AL232" s="772">
        <f t="shared" ca="1" si="103"/>
        <v>77097.167685296619</v>
      </c>
      <c r="AM232" s="772">
        <f t="shared" ca="1" si="103"/>
        <v>76759.22830821744</v>
      </c>
      <c r="AN232" s="772">
        <f t="shared" ca="1" si="103"/>
        <v>76759.22830821744</v>
      </c>
      <c r="AO232" s="772">
        <f t="shared" ca="1" si="103"/>
        <v>76398.622154409473</v>
      </c>
      <c r="AP232" s="772">
        <f t="shared" ca="1" si="103"/>
        <v>76398.622154409473</v>
      </c>
      <c r="AQ232" s="772">
        <f t="shared" ca="1" si="103"/>
        <v>76398.622154409473</v>
      </c>
      <c r="AR232" s="772">
        <f t="shared" ca="1" si="96"/>
        <v>77414.689283864325</v>
      </c>
      <c r="AS232" s="772">
        <f t="shared" ca="1" si="96"/>
        <v>77414.689283864325</v>
      </c>
      <c r="AT232" s="772">
        <f t="shared" ca="1" si="96"/>
        <v>77097.167685296619</v>
      </c>
      <c r="AU232" s="772">
        <f t="shared" ca="1" si="96"/>
        <v>77097.167685296619</v>
      </c>
      <c r="AV232" s="772">
        <f t="shared" ca="1" si="96"/>
        <v>76759.22830821744</v>
      </c>
      <c r="AW232" s="772">
        <f t="shared" ca="1" si="96"/>
        <v>76759.22830821744</v>
      </c>
      <c r="AX232" s="772">
        <f t="shared" ca="1" si="96"/>
        <v>76398.622154409473</v>
      </c>
      <c r="AY232" s="772">
        <f t="shared" ca="1" si="96"/>
        <v>76398.622154409473</v>
      </c>
      <c r="AZ232" s="772">
        <f t="shared" ca="1" si="96"/>
        <v>76398.622154409473</v>
      </c>
      <c r="BA232" s="772">
        <f t="shared" ca="1" si="96"/>
        <v>77414.689283864325</v>
      </c>
      <c r="BB232" s="772">
        <f t="shared" ca="1" si="96"/>
        <v>77414.689283864325</v>
      </c>
      <c r="BC232" s="772">
        <f t="shared" ca="1" si="96"/>
        <v>77097.167685296619</v>
      </c>
      <c r="BD232" s="772">
        <f t="shared" ca="1" si="96"/>
        <v>76759.22830821744</v>
      </c>
      <c r="BE232" s="772">
        <f t="shared" ca="1" si="96"/>
        <v>76759.22830821744</v>
      </c>
      <c r="BF232" s="772">
        <f t="shared" ca="1" si="96"/>
        <v>76398.622154409473</v>
      </c>
      <c r="BG232" s="772">
        <f t="shared" ca="1" si="97"/>
        <v>76398.622154409473</v>
      </c>
      <c r="BH232" s="772">
        <f t="shared" ref="BH232:BM241" ca="1" si="106">HLOOKUP(BH$7,$A$7:$P$348,ROW()-6)</f>
        <v>76012.861408554221</v>
      </c>
      <c r="BI232" s="772">
        <f t="shared" ca="1" si="106"/>
        <v>76012.861408554221</v>
      </c>
      <c r="BJ232" s="772">
        <f t="shared" ca="1" si="106"/>
        <v>77097.167685296619</v>
      </c>
      <c r="BK232" s="772">
        <f t="shared" ca="1" si="106"/>
        <v>77097.167685296619</v>
      </c>
      <c r="BL232" s="772">
        <f t="shared" ca="1" si="106"/>
        <v>77097.167685296619</v>
      </c>
      <c r="BM232" s="772">
        <f t="shared" ca="1" si="106"/>
        <v>77097.167685296619</v>
      </c>
      <c r="BN232" s="772">
        <f t="shared" ca="1" si="99"/>
        <v>76398.622154409473</v>
      </c>
      <c r="BO232" s="772">
        <f t="shared" ca="1" si="98"/>
        <v>76398.622154409473</v>
      </c>
      <c r="BP232" s="772">
        <f t="shared" ca="1" si="98"/>
        <v>76012.861408554221</v>
      </c>
      <c r="BQ232" s="772">
        <f t="shared" ca="1" si="98"/>
        <v>76012.861408554221</v>
      </c>
      <c r="BR232" s="772">
        <f t="shared" ca="1" si="98"/>
        <v>75599.204359653493</v>
      </c>
      <c r="BS232" s="772">
        <f t="shared" ca="1" si="98"/>
        <v>77097.167685296619</v>
      </c>
      <c r="BT232" s="772">
        <f t="shared" ca="1" si="98"/>
        <v>77097.167685296619</v>
      </c>
      <c r="BU232" s="772">
        <f t="shared" ca="1" si="98"/>
        <v>77097.167685296619</v>
      </c>
      <c r="BV232" s="772">
        <f t="shared" ca="1" si="98"/>
        <v>76759.22830821744</v>
      </c>
      <c r="BW232" s="772">
        <f t="shared" ca="1" si="98"/>
        <v>76759.22830821744</v>
      </c>
      <c r="BX232" s="772">
        <f t="shared" ca="1" si="98"/>
        <v>76012.861408554221</v>
      </c>
      <c r="BY232" s="772">
        <f t="shared" ca="1" si="98"/>
        <v>76012.861408554221</v>
      </c>
      <c r="BZ232" s="772">
        <f t="shared" ca="1" si="98"/>
        <v>75599.204359653493</v>
      </c>
      <c r="CA232" s="772">
        <f t="shared" ca="1" si="98"/>
        <v>75599.204359653493</v>
      </c>
      <c r="CB232" s="772">
        <f t="shared" ca="1" si="98"/>
        <v>76759.22830821744</v>
      </c>
      <c r="CC232" s="772">
        <f t="shared" ca="1" si="98"/>
        <v>76759.22830821744</v>
      </c>
      <c r="CD232" s="772">
        <f t="shared" ca="1" si="98"/>
        <v>76759.22830821744</v>
      </c>
      <c r="CE232" s="772">
        <f t="shared" ca="1" si="105"/>
        <v>76759.22830821744</v>
      </c>
      <c r="CF232" s="772">
        <f t="shared" ca="1" si="105"/>
        <v>76398.622154409473</v>
      </c>
      <c r="CG232" s="772">
        <f t="shared" ca="1" si="105"/>
        <v>76012.861408554221</v>
      </c>
      <c r="CH232" s="772">
        <f t="shared" ca="1" si="105"/>
        <v>75599.204359653493</v>
      </c>
      <c r="CI232" s="772">
        <f t="shared" ca="1" si="105"/>
        <v>75599.204359653493</v>
      </c>
      <c r="CJ232" s="772">
        <f t="shared" ca="1" si="105"/>
        <v>75154.645960004476</v>
      </c>
    </row>
    <row r="233" spans="1:88" ht="15" customHeight="1">
      <c r="A233" s="770">
        <f>'kc-Wert für Stützen'!C233</f>
        <v>285</v>
      </c>
      <c r="B233" s="768">
        <f ca="1">INDIRECT("'kc-Wert für Stützen'!"&amp;SUBSTITUTE(ADDRESS(MATCH($A233,'kc-Wert für Stützen'!$C:$C,0),MATCH(B$7,'kc-Wert für Stützen'!$A$8:$ES$8,0)+7,4),,))</f>
        <v>78573.749466834168</v>
      </c>
      <c r="C233" s="768">
        <f ca="1">INDIRECT("'kc-Wert für Stützen'!"&amp;SUBSTITUTE(ADDRESS(MATCH($A233,'kc-Wert für Stützen'!$C:$C,0),MATCH(C$7,'kc-Wert für Stützen'!$A$8:$ES$8,0)+7,4),,))</f>
        <v>78291.753926874037</v>
      </c>
      <c r="D233" s="768">
        <f ca="1">INDIRECT("'kc-Wert für Stützen'!"&amp;SUBSTITUTE(ADDRESS(MATCH($A233,'kc-Wert für Stützen'!$C:$C,0),MATCH(D$7,'kc-Wert für Stützen'!$A$8:$ES$8,0)+7,4),,))</f>
        <v>77993.37126773331</v>
      </c>
      <c r="E233" s="768">
        <f ca="1">INDIRECT("'kc-Wert für Stützen'!"&amp;SUBSTITUTE(ADDRESS(MATCH($A233,'kc-Wert für Stützen'!$C:$C,0),MATCH(E$7,'kc-Wert für Stützen'!$A$8:$ES$8,0)+7,4),,))</f>
        <v>77676.800680971501</v>
      </c>
      <c r="F233" s="768">
        <f ca="1">INDIRECT("'kc-Wert für Stützen'!"&amp;SUBSTITUTE(ADDRESS(MATCH($A233,'kc-Wert für Stützen'!$C:$C,0),MATCH(F$7,'kc-Wert für Stützen'!$A$8:$ES$8,0)+7,4),,))</f>
        <v>77340.043420856018</v>
      </c>
      <c r="G233" s="768">
        <f ca="1">INDIRECT("'kc-Wert für Stützen'!"&amp;SUBSTITUTE(ADDRESS(MATCH($A233,'kc-Wert für Stützen'!$C:$C,0),MATCH(G$7,'kc-Wert für Stützen'!$A$8:$ES$8,0)+7,4),,))</f>
        <v>76980.883627419054</v>
      </c>
      <c r="H233" s="768">
        <f ca="1">INDIRECT("'kc-Wert für Stützen'!"&amp;SUBSTITUTE(ADDRESS(MATCH($A233,'kc-Wert für Stützen'!$C:$C,0),MATCH(H$7,'kc-Wert für Stützen'!$A$8:$ES$8,0)+7,4),,))</f>
        <v>76596.870201461163</v>
      </c>
      <c r="I233" s="768">
        <f ca="1">INDIRECT("'kc-Wert für Stützen'!"&amp;SUBSTITUTE(ADDRESS(MATCH($A233,'kc-Wert für Stützen'!$C:$C,0),MATCH(I$7,'kc-Wert für Stützen'!$A$8:$ES$8,0)+7,4),,))</f>
        <v>76185.301425555648</v>
      </c>
      <c r="J233" s="768">
        <f ca="1">INDIRECT("'kc-Wert für Stützen'!"&amp;SUBSTITUTE(ADDRESS(MATCH($A233,'kc-Wert für Stützen'!$C:$C,0),MATCH(J$7,'kc-Wert für Stützen'!$A$8:$ES$8,0)+7,4),,))</f>
        <v>75743.214796072687</v>
      </c>
      <c r="K233" s="768">
        <f ca="1">INDIRECT("'kc-Wert für Stützen'!"&amp;SUBSTITUTE(ADDRESS(MATCH($A233,'kc-Wert für Stützen'!$C:$C,0),MATCH(K$7,'kc-Wert für Stützen'!$A$8:$ES$8,0)+7,4),,))</f>
        <v>75267.385513199872</v>
      </c>
      <c r="L233" s="768">
        <f ca="1">INDIRECT("'kc-Wert für Stützen'!"&amp;SUBSTITUTE(ADDRESS(MATCH($A233,'kc-Wert für Stützen'!$C:$C,0),MATCH(L$7,'kc-Wert für Stützen'!$A$8:$ES$8,0)+7,4),,))</f>
        <v>74754.338252886489</v>
      </c>
      <c r="M233" s="768">
        <f ca="1">INDIRECT("'kc-Wert für Stützen'!"&amp;SUBSTITUTE(ADDRESS(MATCH($A233,'kc-Wert für Stützen'!$C:$C,0),MATCH(M$7,'kc-Wert für Stützen'!$A$8:$ES$8,0)+7,4),,))</f>
        <v>74200.378130711295</v>
      </c>
      <c r="N233" s="768">
        <f ca="1">INDIRECT("'kc-Wert für Stützen'!"&amp;SUBSTITUTE(ADDRESS(MATCH($A233,'kc-Wert für Stützen'!$C:$C,0),MATCH(N$7,'kc-Wert für Stützen'!$A$8:$ES$8,0)+7,4),,))</f>
        <v>73601.647957691763</v>
      </c>
      <c r="O233" s="768">
        <f ca="1">INDIRECT("'kc-Wert für Stützen'!"&amp;SUBSTITUTE(ADDRESS(MATCH($A233,'kc-Wert für Stützen'!$C:$C,0),MATCH(O$7,'kc-Wert für Stützen'!$A$8:$ES$8,0)+7,4),,))</f>
        <v>72954.219599634482</v>
      </c>
      <c r="P233" s="768">
        <f ca="1">INDIRECT("'kc-Wert für Stützen'!"&amp;SUBSTITUTE(ADDRESS(MATCH($A233,'kc-Wert für Stützen'!$C:$C,0),MATCH(P$7,'kc-Wert für Stützen'!$A$8:$ES$8,0)+7,4),,))</f>
        <v>72254.226881135808</v>
      </c>
      <c r="S233" s="772">
        <f t="shared" ca="1" si="91"/>
        <v>77993.37126773331</v>
      </c>
      <c r="T233" s="772">
        <f t="shared" ca="1" si="94"/>
        <v>77993.37126773331</v>
      </c>
      <c r="U233" s="772">
        <f t="shared" ca="1" si="94"/>
        <v>77993.37126773331</v>
      </c>
      <c r="V233" s="772">
        <f t="shared" ca="1" si="94"/>
        <v>77676.800680971501</v>
      </c>
      <c r="W233" s="772">
        <f t="shared" ca="1" si="94"/>
        <v>77340.043420856018</v>
      </c>
      <c r="X233" s="772">
        <f t="shared" ca="1" si="94"/>
        <v>76980.883627419054</v>
      </c>
      <c r="Y233" s="772">
        <f t="shared" ca="1" si="94"/>
        <v>76596.870201461163</v>
      </c>
      <c r="Z233" s="772">
        <f t="shared" ca="1" si="94"/>
        <v>77993.37126773331</v>
      </c>
      <c r="AA233" s="772">
        <f t="shared" ca="1" si="94"/>
        <v>77993.37126773331</v>
      </c>
      <c r="AB233" s="772">
        <f t="shared" ca="1" si="104"/>
        <v>77676.800680971501</v>
      </c>
      <c r="AC233" s="772">
        <f t="shared" ca="1" si="104"/>
        <v>77676.800680971501</v>
      </c>
      <c r="AD233" s="772">
        <f t="shared" ca="1" si="104"/>
        <v>77340.043420856018</v>
      </c>
      <c r="AE233" s="772">
        <f t="shared" ca="1" si="104"/>
        <v>77340.043420856018</v>
      </c>
      <c r="AF233" s="772">
        <f t="shared" ca="1" si="104"/>
        <v>76980.883627419054</v>
      </c>
      <c r="AG233" s="772">
        <f t="shared" ca="1" si="104"/>
        <v>76980.883627419054</v>
      </c>
      <c r="AH233" s="772">
        <f t="shared" ca="1" si="103"/>
        <v>76980.883627419054</v>
      </c>
      <c r="AI233" s="772">
        <f t="shared" ca="1" si="103"/>
        <v>77993.37126773331</v>
      </c>
      <c r="AJ233" s="772">
        <f t="shared" ca="1" si="103"/>
        <v>77993.37126773331</v>
      </c>
      <c r="AK233" s="772">
        <f t="shared" ca="1" si="103"/>
        <v>77676.800680971501</v>
      </c>
      <c r="AL233" s="772">
        <f t="shared" ca="1" si="103"/>
        <v>77676.800680971501</v>
      </c>
      <c r="AM233" s="772">
        <f t="shared" ca="1" si="103"/>
        <v>77340.043420856018</v>
      </c>
      <c r="AN233" s="772">
        <f t="shared" ca="1" si="103"/>
        <v>77340.043420856018</v>
      </c>
      <c r="AO233" s="772">
        <f t="shared" ca="1" si="103"/>
        <v>76980.883627419054</v>
      </c>
      <c r="AP233" s="772">
        <f t="shared" ca="1" si="103"/>
        <v>76980.883627419054</v>
      </c>
      <c r="AQ233" s="772">
        <f t="shared" ca="1" si="103"/>
        <v>76980.883627419054</v>
      </c>
      <c r="AR233" s="772">
        <f t="shared" ca="1" si="96"/>
        <v>77993.37126773331</v>
      </c>
      <c r="AS233" s="772">
        <f t="shared" ca="1" si="96"/>
        <v>77993.37126773331</v>
      </c>
      <c r="AT233" s="772">
        <f t="shared" ca="1" si="96"/>
        <v>77676.800680971501</v>
      </c>
      <c r="AU233" s="772">
        <f t="shared" ca="1" si="96"/>
        <v>77676.800680971501</v>
      </c>
      <c r="AV233" s="772">
        <f t="shared" ca="1" si="96"/>
        <v>77340.043420856018</v>
      </c>
      <c r="AW233" s="772">
        <f t="shared" ca="1" si="96"/>
        <v>77340.043420856018</v>
      </c>
      <c r="AX233" s="772">
        <f t="shared" ca="1" si="96"/>
        <v>76980.883627419054</v>
      </c>
      <c r="AY233" s="772">
        <f t="shared" ca="1" si="96"/>
        <v>76980.883627419054</v>
      </c>
      <c r="AZ233" s="772">
        <f t="shared" ca="1" si="96"/>
        <v>76980.883627419054</v>
      </c>
      <c r="BA233" s="772">
        <f t="shared" ca="1" si="96"/>
        <v>77993.37126773331</v>
      </c>
      <c r="BB233" s="772">
        <f t="shared" ca="1" si="96"/>
        <v>77993.37126773331</v>
      </c>
      <c r="BC233" s="772">
        <f t="shared" ca="1" si="96"/>
        <v>77676.800680971501</v>
      </c>
      <c r="BD233" s="772">
        <f t="shared" ca="1" si="96"/>
        <v>77340.043420856018</v>
      </c>
      <c r="BE233" s="772">
        <f t="shared" ca="1" si="96"/>
        <v>77340.043420856018</v>
      </c>
      <c r="BF233" s="772">
        <f t="shared" ca="1" si="96"/>
        <v>76980.883627419054</v>
      </c>
      <c r="BG233" s="772">
        <f t="shared" ca="1" si="97"/>
        <v>76980.883627419054</v>
      </c>
      <c r="BH233" s="772">
        <f t="shared" ca="1" si="106"/>
        <v>76596.870201461163</v>
      </c>
      <c r="BI233" s="772">
        <f t="shared" ca="1" si="106"/>
        <v>76596.870201461163</v>
      </c>
      <c r="BJ233" s="772">
        <f t="shared" ca="1" si="106"/>
        <v>77676.800680971501</v>
      </c>
      <c r="BK233" s="772">
        <f t="shared" ca="1" si="106"/>
        <v>77676.800680971501</v>
      </c>
      <c r="BL233" s="772">
        <f t="shared" ca="1" si="106"/>
        <v>77676.800680971501</v>
      </c>
      <c r="BM233" s="772">
        <f t="shared" ca="1" si="106"/>
        <v>77676.800680971501</v>
      </c>
      <c r="BN233" s="772">
        <f t="shared" ca="1" si="99"/>
        <v>76980.883627419054</v>
      </c>
      <c r="BO233" s="772">
        <f t="shared" ref="BO233:CD242" ca="1" si="107">HLOOKUP(BO$7,$A$7:$P$348,ROW()-6)</f>
        <v>76980.883627419054</v>
      </c>
      <c r="BP233" s="772">
        <f t="shared" ca="1" si="107"/>
        <v>76596.870201461163</v>
      </c>
      <c r="BQ233" s="772">
        <f t="shared" ca="1" si="107"/>
        <v>76596.870201461163</v>
      </c>
      <c r="BR233" s="772">
        <f t="shared" ca="1" si="107"/>
        <v>76185.301425555648</v>
      </c>
      <c r="BS233" s="772">
        <f t="shared" ca="1" si="107"/>
        <v>77676.800680971501</v>
      </c>
      <c r="BT233" s="772">
        <f t="shared" ca="1" si="107"/>
        <v>77676.800680971501</v>
      </c>
      <c r="BU233" s="772">
        <f t="shared" ca="1" si="107"/>
        <v>77676.800680971501</v>
      </c>
      <c r="BV233" s="772">
        <f t="shared" ca="1" si="107"/>
        <v>77340.043420856018</v>
      </c>
      <c r="BW233" s="772">
        <f t="shared" ca="1" si="107"/>
        <v>77340.043420856018</v>
      </c>
      <c r="BX233" s="772">
        <f t="shared" ca="1" si="107"/>
        <v>76596.870201461163</v>
      </c>
      <c r="BY233" s="772">
        <f t="shared" ca="1" si="107"/>
        <v>76596.870201461163</v>
      </c>
      <c r="BZ233" s="772">
        <f t="shared" ca="1" si="107"/>
        <v>76185.301425555648</v>
      </c>
      <c r="CA233" s="772">
        <f t="shared" ca="1" si="107"/>
        <v>76185.301425555648</v>
      </c>
      <c r="CB233" s="772">
        <f t="shared" ca="1" si="107"/>
        <v>77340.043420856018</v>
      </c>
      <c r="CC233" s="772">
        <f t="shared" ca="1" si="107"/>
        <v>77340.043420856018</v>
      </c>
      <c r="CD233" s="772">
        <f t="shared" ca="1" si="107"/>
        <v>77340.043420856018</v>
      </c>
      <c r="CE233" s="772">
        <f t="shared" ca="1" si="105"/>
        <v>77340.043420856018</v>
      </c>
      <c r="CF233" s="772">
        <f t="shared" ca="1" si="105"/>
        <v>76980.883627419054</v>
      </c>
      <c r="CG233" s="772">
        <f t="shared" ca="1" si="105"/>
        <v>76596.870201461163</v>
      </c>
      <c r="CH233" s="772">
        <f t="shared" ca="1" si="105"/>
        <v>76185.301425555648</v>
      </c>
      <c r="CI233" s="772">
        <f t="shared" ca="1" si="105"/>
        <v>76185.301425555648</v>
      </c>
      <c r="CJ233" s="772">
        <f t="shared" ca="1" si="105"/>
        <v>75743.214796072687</v>
      </c>
    </row>
    <row r="234" spans="1:88" ht="15" customHeight="1">
      <c r="A234" s="770">
        <f>'kc-Wert für Stützen'!C234</f>
        <v>286</v>
      </c>
      <c r="B234" s="768">
        <f ca="1">INDIRECT("'kc-Wert für Stützen'!"&amp;SUBSTITUTE(ADDRESS(MATCH($A234,'kc-Wert für Stützen'!$C:$C,0),MATCH(B$7,'kc-Wert für Stützen'!$A$8:$ES$8,0)+7,4),,))</f>
        <v>79153.089517185159</v>
      </c>
      <c r="C234" s="768">
        <f ca="1">INDIRECT("'kc-Wert für Stützen'!"&amp;SUBSTITUTE(ADDRESS(MATCH($A234,'kc-Wert für Stützen'!$C:$C,0),MATCH(C$7,'kc-Wert für Stützen'!$A$8:$ES$8,0)+7,4),,))</f>
        <v>78871.651729828111</v>
      </c>
      <c r="D234" s="768">
        <f ca="1">INDIRECT("'kc-Wert für Stützen'!"&amp;SUBSTITUTE(ADDRESS(MATCH($A234,'kc-Wert für Stützen'!$C:$C,0),MATCH(D$7,'kc-Wert für Stützen'!$A$8:$ES$8,0)+7,4),,))</f>
        <v>78573.999225323467</v>
      </c>
      <c r="E234" s="768">
        <f ca="1">INDIRECT("'kc-Wert für Stützen'!"&amp;SUBSTITUTE(ADDRESS(MATCH($A234,'kc-Wert für Stützen'!$C:$C,0),MATCH(E$7,'kc-Wert für Stützen'!$A$8:$ES$8,0)+7,4),,))</f>
        <v>78258.35676153106</v>
      </c>
      <c r="F234" s="768">
        <f ca="1">INDIRECT("'kc-Wert für Stützen'!"&amp;SUBSTITUTE(ADDRESS(MATCH($A234,'kc-Wert für Stützen'!$C:$C,0),MATCH(F$7,'kc-Wert für Stützen'!$A$8:$ES$8,0)+7,4),,))</f>
        <v>77922.754549763893</v>
      </c>
      <c r="G234" s="768">
        <f ca="1">INDIRECT("'kc-Wert für Stützen'!"&amp;SUBSTITUTE(ADDRESS(MATCH($A234,'kc-Wert für Stützen'!$C:$C,0),MATCH(G$7,'kc-Wert für Stützen'!$A$8:$ES$8,0)+7,4),,))</f>
        <v>77565.00923937562</v>
      </c>
      <c r="H234" s="768">
        <f ca="1">INDIRECT("'kc-Wert für Stützen'!"&amp;SUBSTITUTE(ADDRESS(MATCH($A234,'kc-Wert für Stützen'!$C:$C,0),MATCH(H$7,'kc-Wert für Stützen'!$A$8:$ES$8,0)+7,4),,))</f>
        <v>77182.705795030139</v>
      </c>
      <c r="I234" s="768">
        <f ca="1">INDIRECT("'kc-Wert für Stützen'!"&amp;SUBSTITUTE(ADDRESS(MATCH($A234,'kc-Wert für Stützen'!$C:$C,0),MATCH(I$7,'kc-Wert für Stützen'!$A$8:$ES$8,0)+7,4),,))</f>
        <v>76773.181859530858</v>
      </c>
      <c r="J234" s="768">
        <f ca="1">INDIRECT("'kc-Wert für Stützen'!"&amp;SUBSTITUTE(ADDRESS(MATCH($A234,'kc-Wert für Stützen'!$C:$C,0),MATCH(J$7,'kc-Wert für Stützen'!$A$8:$ES$8,0)+7,4),,))</f>
        <v>76333.516927622986</v>
      </c>
      <c r="K234" s="768">
        <f ca="1">INDIRECT("'kc-Wert für Stützen'!"&amp;SUBSTITUTE(ADDRESS(MATCH($A234,'kc-Wert für Stützen'!$C:$C,0),MATCH(K$7,'kc-Wert für Stützen'!$A$8:$ES$8,0)+7,4),,))</f>
        <v>75860.529593795553</v>
      </c>
      <c r="L234" s="768">
        <f ca="1">INDIRECT("'kc-Wert für Stützen'!"&amp;SUBSTITUTE(ADDRESS(MATCH($A234,'kc-Wert für Stützen'!$C:$C,0),MATCH(L$7,'kc-Wert für Stützen'!$A$8:$ES$8,0)+7,4),,))</f>
        <v>75350.787269720618</v>
      </c>
      <c r="M234" s="768">
        <f ca="1">INDIRECT("'kc-Wert für Stützen'!"&amp;SUBSTITUTE(ADDRESS(MATCH($A234,'kc-Wert für Stützen'!$C:$C,0),MATCH(M$7,'kc-Wert für Stützen'!$A$8:$ES$8,0)+7,4),,))</f>
        <v>74800.634021547405</v>
      </c>
      <c r="N234" s="768">
        <f ca="1">INDIRECT("'kc-Wert für Stützen'!"&amp;SUBSTITUTE(ADDRESS(MATCH($A234,'kc-Wert für Stützen'!$C:$C,0),MATCH(N$7,'kc-Wert für Stützen'!$A$8:$ES$8,0)+7,4),,))</f>
        <v>74206.243371655495</v>
      </c>
      <c r="O234" s="768">
        <f ca="1">INDIRECT("'kc-Wert für Stützen'!"&amp;SUBSTITUTE(ADDRESS(MATCH($A234,'kc-Wert für Stützen'!$C:$C,0),MATCH(O$7,'kc-Wert für Stützen'!$A$8:$ES$8,0)+7,4),,))</f>
        <v>73563.703696654717</v>
      </c>
      <c r="P234" s="768">
        <f ca="1">INDIRECT("'kc-Wert für Stützen'!"&amp;SUBSTITUTE(ADDRESS(MATCH($A234,'kc-Wert für Stützen'!$C:$C,0),MATCH(P$7,'kc-Wert für Stützen'!$A$8:$ES$8,0)+7,4),,))</f>
        <v>72869.143675207422</v>
      </c>
      <c r="S234" s="772">
        <f t="shared" ca="1" si="91"/>
        <v>78573.999225323467</v>
      </c>
      <c r="T234" s="772">
        <f t="shared" ca="1" si="94"/>
        <v>78573.999225323467</v>
      </c>
      <c r="U234" s="772">
        <f t="shared" ca="1" si="94"/>
        <v>78573.999225323467</v>
      </c>
      <c r="V234" s="772">
        <f t="shared" ca="1" si="94"/>
        <v>78258.35676153106</v>
      </c>
      <c r="W234" s="772">
        <f t="shared" ca="1" si="94"/>
        <v>77922.754549763893</v>
      </c>
      <c r="X234" s="772">
        <f t="shared" ca="1" si="94"/>
        <v>77565.00923937562</v>
      </c>
      <c r="Y234" s="772">
        <f t="shared" ca="1" si="94"/>
        <v>77182.705795030139</v>
      </c>
      <c r="Z234" s="772">
        <f t="shared" ca="1" si="94"/>
        <v>78573.999225323467</v>
      </c>
      <c r="AA234" s="772">
        <f t="shared" ca="1" si="94"/>
        <v>78573.999225323467</v>
      </c>
      <c r="AB234" s="772">
        <f t="shared" ca="1" si="104"/>
        <v>78258.35676153106</v>
      </c>
      <c r="AC234" s="772">
        <f t="shared" ca="1" si="104"/>
        <v>78258.35676153106</v>
      </c>
      <c r="AD234" s="772">
        <f t="shared" ca="1" si="104"/>
        <v>77922.754549763893</v>
      </c>
      <c r="AE234" s="772">
        <f t="shared" ca="1" si="104"/>
        <v>77922.754549763893</v>
      </c>
      <c r="AF234" s="772">
        <f t="shared" ca="1" si="104"/>
        <v>77565.00923937562</v>
      </c>
      <c r="AG234" s="772">
        <f t="shared" ca="1" si="104"/>
        <v>77565.00923937562</v>
      </c>
      <c r="AH234" s="772">
        <f t="shared" ca="1" si="103"/>
        <v>77565.00923937562</v>
      </c>
      <c r="AI234" s="772">
        <f t="shared" ca="1" si="103"/>
        <v>78573.999225323467</v>
      </c>
      <c r="AJ234" s="772">
        <f t="shared" ca="1" si="103"/>
        <v>78573.999225323467</v>
      </c>
      <c r="AK234" s="772">
        <f t="shared" ca="1" si="103"/>
        <v>78258.35676153106</v>
      </c>
      <c r="AL234" s="772">
        <f t="shared" ca="1" si="103"/>
        <v>78258.35676153106</v>
      </c>
      <c r="AM234" s="772">
        <f t="shared" ca="1" si="103"/>
        <v>77922.754549763893</v>
      </c>
      <c r="AN234" s="772">
        <f t="shared" ca="1" si="103"/>
        <v>77922.754549763893</v>
      </c>
      <c r="AO234" s="772">
        <f t="shared" ca="1" si="103"/>
        <v>77565.00923937562</v>
      </c>
      <c r="AP234" s="772">
        <f t="shared" ca="1" si="103"/>
        <v>77565.00923937562</v>
      </c>
      <c r="AQ234" s="772">
        <f t="shared" ca="1" si="103"/>
        <v>77565.00923937562</v>
      </c>
      <c r="AR234" s="772">
        <f t="shared" ca="1" si="96"/>
        <v>78573.999225323467</v>
      </c>
      <c r="AS234" s="772">
        <f t="shared" ca="1" si="96"/>
        <v>78573.999225323467</v>
      </c>
      <c r="AT234" s="772">
        <f t="shared" ca="1" si="96"/>
        <v>78258.35676153106</v>
      </c>
      <c r="AU234" s="772">
        <f t="shared" ca="1" si="96"/>
        <v>78258.35676153106</v>
      </c>
      <c r="AV234" s="772">
        <f t="shared" ca="1" si="96"/>
        <v>77922.754549763893</v>
      </c>
      <c r="AW234" s="772">
        <f t="shared" ca="1" si="96"/>
        <v>77922.754549763893</v>
      </c>
      <c r="AX234" s="772">
        <f t="shared" ca="1" si="96"/>
        <v>77565.00923937562</v>
      </c>
      <c r="AY234" s="772">
        <f t="shared" ca="1" si="96"/>
        <v>77565.00923937562</v>
      </c>
      <c r="AZ234" s="772">
        <f t="shared" ca="1" si="96"/>
        <v>77565.00923937562</v>
      </c>
      <c r="BA234" s="772">
        <f t="shared" ca="1" si="96"/>
        <v>78573.999225323467</v>
      </c>
      <c r="BB234" s="772">
        <f t="shared" ca="1" si="96"/>
        <v>78573.999225323467</v>
      </c>
      <c r="BC234" s="772">
        <f t="shared" ca="1" si="96"/>
        <v>78258.35676153106</v>
      </c>
      <c r="BD234" s="772">
        <f t="shared" ca="1" si="96"/>
        <v>77922.754549763893</v>
      </c>
      <c r="BE234" s="772">
        <f t="shared" ca="1" si="96"/>
        <v>77922.754549763893</v>
      </c>
      <c r="BF234" s="772">
        <f t="shared" ca="1" si="96"/>
        <v>77565.00923937562</v>
      </c>
      <c r="BG234" s="772">
        <f t="shared" ca="1" si="97"/>
        <v>77565.00923937562</v>
      </c>
      <c r="BH234" s="772">
        <f t="shared" ca="1" si="106"/>
        <v>77182.705795030139</v>
      </c>
      <c r="BI234" s="772">
        <f t="shared" ca="1" si="106"/>
        <v>77182.705795030139</v>
      </c>
      <c r="BJ234" s="772">
        <f t="shared" ca="1" si="106"/>
        <v>78258.35676153106</v>
      </c>
      <c r="BK234" s="772">
        <f t="shared" ca="1" si="106"/>
        <v>78258.35676153106</v>
      </c>
      <c r="BL234" s="772">
        <f t="shared" ca="1" si="106"/>
        <v>78258.35676153106</v>
      </c>
      <c r="BM234" s="772">
        <f t="shared" ca="1" si="106"/>
        <v>78258.35676153106</v>
      </c>
      <c r="BN234" s="772">
        <f t="shared" ca="1" si="99"/>
        <v>77565.00923937562</v>
      </c>
      <c r="BO234" s="772">
        <f t="shared" ca="1" si="107"/>
        <v>77565.00923937562</v>
      </c>
      <c r="BP234" s="772">
        <f t="shared" ca="1" si="107"/>
        <v>77182.705795030139</v>
      </c>
      <c r="BQ234" s="772">
        <f t="shared" ca="1" si="107"/>
        <v>77182.705795030139</v>
      </c>
      <c r="BR234" s="772">
        <f t="shared" ca="1" si="107"/>
        <v>76773.181859530858</v>
      </c>
      <c r="BS234" s="772">
        <f t="shared" ca="1" si="107"/>
        <v>78258.35676153106</v>
      </c>
      <c r="BT234" s="772">
        <f t="shared" ca="1" si="107"/>
        <v>78258.35676153106</v>
      </c>
      <c r="BU234" s="772">
        <f t="shared" ca="1" si="107"/>
        <v>78258.35676153106</v>
      </c>
      <c r="BV234" s="772">
        <f t="shared" ca="1" si="107"/>
        <v>77922.754549763893</v>
      </c>
      <c r="BW234" s="772">
        <f t="shared" ca="1" si="107"/>
        <v>77922.754549763893</v>
      </c>
      <c r="BX234" s="772">
        <f t="shared" ca="1" si="107"/>
        <v>77182.705795030139</v>
      </c>
      <c r="BY234" s="772">
        <f t="shared" ca="1" si="107"/>
        <v>77182.705795030139</v>
      </c>
      <c r="BZ234" s="772">
        <f t="shared" ca="1" si="107"/>
        <v>76773.181859530858</v>
      </c>
      <c r="CA234" s="772">
        <f t="shared" ca="1" si="107"/>
        <v>76773.181859530858</v>
      </c>
      <c r="CB234" s="772">
        <f t="shared" ca="1" si="107"/>
        <v>77922.754549763893</v>
      </c>
      <c r="CC234" s="772">
        <f t="shared" ca="1" si="107"/>
        <v>77922.754549763893</v>
      </c>
      <c r="CD234" s="772">
        <f t="shared" ca="1" si="107"/>
        <v>77922.754549763893</v>
      </c>
      <c r="CE234" s="772">
        <f t="shared" ca="1" si="105"/>
        <v>77922.754549763893</v>
      </c>
      <c r="CF234" s="772">
        <f t="shared" ca="1" si="105"/>
        <v>77565.00923937562</v>
      </c>
      <c r="CG234" s="772">
        <f t="shared" ca="1" si="105"/>
        <v>77182.705795030139</v>
      </c>
      <c r="CH234" s="772">
        <f t="shared" ca="1" si="105"/>
        <v>76773.181859530858</v>
      </c>
      <c r="CI234" s="772">
        <f t="shared" ca="1" si="105"/>
        <v>76773.181859530858</v>
      </c>
      <c r="CJ234" s="772">
        <f t="shared" ca="1" si="105"/>
        <v>76333.516927622986</v>
      </c>
    </row>
    <row r="235" spans="1:88" ht="15" customHeight="1">
      <c r="A235" s="770">
        <f>'kc-Wert für Stützen'!C235</f>
        <v>287</v>
      </c>
      <c r="B235" s="768">
        <f ca="1">INDIRECT("'kc-Wert für Stützen'!"&amp;SUBSTITUTE(ADDRESS(MATCH($A235,'kc-Wert für Stützen'!$C:$C,0),MATCH(B$7,'kc-Wert für Stützen'!$A$8:$ES$8,0)+7,4),,))</f>
        <v>79734.41248942737</v>
      </c>
      <c r="C235" s="768">
        <f ca="1">INDIRECT("'kc-Wert für Stützen'!"&amp;SUBSTITUTE(ADDRESS(MATCH($A235,'kc-Wert für Stützen'!$C:$C,0),MATCH(C$7,'kc-Wert für Stützen'!$A$8:$ES$8,0)+7,4),,))</f>
        <v>79453.516573713016</v>
      </c>
      <c r="D235" s="768">
        <f ca="1">INDIRECT("'kc-Wert für Stützen'!"&amp;SUBSTITUTE(ADDRESS(MATCH($A235,'kc-Wert für Stützen'!$C:$C,0),MATCH(D$7,'kc-Wert für Stützen'!$A$8:$ES$8,0)+7,4),,))</f>
        <v>79156.575339547519</v>
      </c>
      <c r="E235" s="768">
        <f ca="1">INDIRECT("'kc-Wert für Stützen'!"&amp;SUBSTITUTE(ADDRESS(MATCH($A235,'kc-Wert für Stützen'!$C:$C,0),MATCH(E$7,'kc-Wert für Stützen'!$A$8:$ES$8,0)+7,4),,))</f>
        <v>78841.838599101568</v>
      </c>
      <c r="F235" s="768">
        <f ca="1">INDIRECT("'kc-Wert für Stützen'!"&amp;SUBSTITUTE(ADDRESS(MATCH($A235,'kc-Wert für Stützen'!$C:$C,0),MATCH(F$7,'kc-Wert für Stützen'!$A$8:$ES$8,0)+7,4),,))</f>
        <v>78507.364950665113</v>
      </c>
      <c r="G235" s="768">
        <f ca="1">INDIRECT("'kc-Wert für Stützen'!"&amp;SUBSTITUTE(ADDRESS(MATCH($A235,'kc-Wert für Stützen'!$C:$C,0),MATCH(G$7,'kc-Wert für Stützen'!$A$8:$ES$8,0)+7,4),,))</f>
        <v>78151.002934784236</v>
      </c>
      <c r="H235" s="768">
        <f ca="1">INDIRECT("'kc-Wert für Stützen'!"&amp;SUBSTITUTE(ADDRESS(MATCH($A235,'kc-Wert für Stützen'!$C:$C,0),MATCH(H$7,'kc-Wert für Stützen'!$A$8:$ES$8,0)+7,4),,))</f>
        <v>77770.372935438703</v>
      </c>
      <c r="I235" s="768">
        <f ca="1">INDIRECT("'kc-Wert für Stützen'!"&amp;SUBSTITUTE(ADDRESS(MATCH($A235,'kc-Wert für Stützen'!$C:$C,0),MATCH(I$7,'kc-Wert für Stützen'!$A$8:$ES$8,0)+7,4),,))</f>
        <v>77362.851323760391</v>
      </c>
      <c r="J235" s="768">
        <f ca="1">INDIRECT("'kc-Wert für Stützen'!"&amp;SUBSTITUTE(ADDRESS(MATCH($A235,'kc-Wert für Stützen'!$C:$C,0),MATCH(J$7,'kc-Wert für Stützen'!$A$8:$ES$8,0)+7,4),,))</f>
        <v>76925.559037631829</v>
      </c>
      <c r="K235" s="768">
        <f ca="1">INDIRECT("'kc-Wert für Stützen'!"&amp;SUBSTITUTE(ADDRESS(MATCH($A235,'kc-Wert für Stützen'!$C:$C,0),MATCH(K$7,'kc-Wert für Stützen'!$A$8:$ES$8,0)+7,4),,))</f>
        <v>76455.357685301526</v>
      </c>
      <c r="L235" s="768">
        <f ca="1">INDIRECT("'kc-Wert für Stützen'!"&amp;SUBSTITUTE(ADDRESS(MATCH($A235,'kc-Wert für Stützen'!$C:$C,0),MATCH(L$7,'kc-Wert für Stützen'!$A$8:$ES$8,0)+7,4),,))</f>
        <v>75948.857349975355</v>
      </c>
      <c r="M235" s="768">
        <f ca="1">INDIRECT("'kc-Wert für Stützen'!"&amp;SUBSTITUTE(ADDRESS(MATCH($A235,'kc-Wert für Stützen'!$C:$C,0),MATCH(M$7,'kc-Wert für Stützen'!$A$8:$ES$8,0)+7,4),,))</f>
        <v>75402.441493634629</v>
      </c>
      <c r="N235" s="768">
        <f ca="1">INDIRECT("'kc-Wert für Stützen'!"&amp;SUBSTITUTE(ADDRESS(MATCH($A235,'kc-Wert für Stützen'!$C:$C,0),MATCH(N$7,'kc-Wert für Stützen'!$A$8:$ES$8,0)+7,4),,))</f>
        <v>74812.315550867424</v>
      </c>
      <c r="O235" s="768">
        <f ca="1">INDIRECT("'kc-Wert für Stützen'!"&amp;SUBSTITUTE(ADDRESS(MATCH($A235,'kc-Wert für Stützen'!$C:$C,0),MATCH(O$7,'kc-Wert für Stützen'!$A$8:$ES$8,0)+7,4),,))</f>
        <v>74174.586653021499</v>
      </c>
      <c r="P235" s="768">
        <f ca="1">INDIRECT("'kc-Wert für Stützen'!"&amp;SUBSTITUTE(ADDRESS(MATCH($A235,'kc-Wert für Stützen'!$C:$C,0),MATCH(P$7,'kc-Wert für Stützen'!$A$8:$ES$8,0)+7,4),,))</f>
        <v>73485.381914523168</v>
      </c>
      <c r="S235" s="772">
        <f t="shared" ca="1" si="91"/>
        <v>79156.575339547519</v>
      </c>
      <c r="T235" s="772">
        <f t="shared" ca="1" si="94"/>
        <v>79156.575339547519</v>
      </c>
      <c r="U235" s="772">
        <f t="shared" ca="1" si="94"/>
        <v>79156.575339547519</v>
      </c>
      <c r="V235" s="772">
        <f t="shared" ca="1" si="94"/>
        <v>78841.838599101568</v>
      </c>
      <c r="W235" s="772">
        <f t="shared" ca="1" si="94"/>
        <v>78507.364950665113</v>
      </c>
      <c r="X235" s="772">
        <f t="shared" ca="1" si="94"/>
        <v>78151.002934784236</v>
      </c>
      <c r="Y235" s="772">
        <f t="shared" ca="1" si="94"/>
        <v>77770.372935438703</v>
      </c>
      <c r="Z235" s="772">
        <f t="shared" ca="1" si="94"/>
        <v>79156.575339547519</v>
      </c>
      <c r="AA235" s="772">
        <f t="shared" ca="1" si="94"/>
        <v>79156.575339547519</v>
      </c>
      <c r="AB235" s="772">
        <f t="shared" ca="1" si="104"/>
        <v>78841.838599101568</v>
      </c>
      <c r="AC235" s="772">
        <f t="shared" ca="1" si="104"/>
        <v>78841.838599101568</v>
      </c>
      <c r="AD235" s="772">
        <f t="shared" ca="1" si="104"/>
        <v>78507.364950665113</v>
      </c>
      <c r="AE235" s="772">
        <f t="shared" ca="1" si="104"/>
        <v>78507.364950665113</v>
      </c>
      <c r="AF235" s="772">
        <f t="shared" ca="1" si="104"/>
        <v>78151.002934784236</v>
      </c>
      <c r="AG235" s="772">
        <f t="shared" ca="1" si="104"/>
        <v>78151.002934784236</v>
      </c>
      <c r="AH235" s="772">
        <f t="shared" ref="AH235:AQ244" ca="1" si="108">HLOOKUP(AH$7,$A$7:$P$348,ROW()-6)</f>
        <v>78151.002934784236</v>
      </c>
      <c r="AI235" s="772">
        <f t="shared" ca="1" si="108"/>
        <v>79156.575339547519</v>
      </c>
      <c r="AJ235" s="772">
        <f t="shared" ca="1" si="108"/>
        <v>79156.575339547519</v>
      </c>
      <c r="AK235" s="772">
        <f t="shared" ca="1" si="108"/>
        <v>78841.838599101568</v>
      </c>
      <c r="AL235" s="772">
        <f t="shared" ca="1" si="108"/>
        <v>78841.838599101568</v>
      </c>
      <c r="AM235" s="772">
        <f t="shared" ca="1" si="108"/>
        <v>78507.364950665113</v>
      </c>
      <c r="AN235" s="772">
        <f t="shared" ca="1" si="108"/>
        <v>78507.364950665113</v>
      </c>
      <c r="AO235" s="772">
        <f t="shared" ca="1" si="108"/>
        <v>78151.002934784236</v>
      </c>
      <c r="AP235" s="772">
        <f t="shared" ca="1" si="108"/>
        <v>78151.002934784236</v>
      </c>
      <c r="AQ235" s="772">
        <f t="shared" ca="1" si="108"/>
        <v>78151.002934784236</v>
      </c>
      <c r="AR235" s="772">
        <f t="shared" ca="1" si="96"/>
        <v>79156.575339547519</v>
      </c>
      <c r="AS235" s="772">
        <f t="shared" ca="1" si="96"/>
        <v>79156.575339547519</v>
      </c>
      <c r="AT235" s="772">
        <f t="shared" ca="1" si="96"/>
        <v>78841.838599101568</v>
      </c>
      <c r="AU235" s="772">
        <f t="shared" ca="1" si="96"/>
        <v>78841.838599101568</v>
      </c>
      <c r="AV235" s="772">
        <f t="shared" ca="1" si="96"/>
        <v>78507.364950665113</v>
      </c>
      <c r="AW235" s="772">
        <f t="shared" ca="1" si="96"/>
        <v>78507.364950665113</v>
      </c>
      <c r="AX235" s="772">
        <f t="shared" ca="1" si="96"/>
        <v>78151.002934784236</v>
      </c>
      <c r="AY235" s="772">
        <f t="shared" ca="1" si="96"/>
        <v>78151.002934784236</v>
      </c>
      <c r="AZ235" s="772">
        <f t="shared" ca="1" si="96"/>
        <v>78151.002934784236</v>
      </c>
      <c r="BA235" s="772">
        <f t="shared" ca="1" si="96"/>
        <v>79156.575339547519</v>
      </c>
      <c r="BB235" s="772">
        <f t="shared" ca="1" si="96"/>
        <v>79156.575339547519</v>
      </c>
      <c r="BC235" s="772">
        <f t="shared" ca="1" si="96"/>
        <v>78841.838599101568</v>
      </c>
      <c r="BD235" s="772">
        <f t="shared" ca="1" si="96"/>
        <v>78507.364950665113</v>
      </c>
      <c r="BE235" s="772">
        <f t="shared" ca="1" si="96"/>
        <v>78507.364950665113</v>
      </c>
      <c r="BF235" s="772">
        <f t="shared" ca="1" si="96"/>
        <v>78151.002934784236</v>
      </c>
      <c r="BG235" s="772">
        <f t="shared" ca="1" si="97"/>
        <v>78151.002934784236</v>
      </c>
      <c r="BH235" s="772">
        <f t="shared" ca="1" si="106"/>
        <v>77770.372935438703</v>
      </c>
      <c r="BI235" s="772">
        <f t="shared" ca="1" si="106"/>
        <v>77770.372935438703</v>
      </c>
      <c r="BJ235" s="772">
        <f t="shared" ca="1" si="106"/>
        <v>78841.838599101568</v>
      </c>
      <c r="BK235" s="772">
        <f t="shared" ca="1" si="106"/>
        <v>78841.838599101568</v>
      </c>
      <c r="BL235" s="772">
        <f t="shared" ca="1" si="106"/>
        <v>78841.838599101568</v>
      </c>
      <c r="BM235" s="772">
        <f t="shared" ca="1" si="106"/>
        <v>78841.838599101568</v>
      </c>
      <c r="BN235" s="772">
        <f t="shared" ca="1" si="99"/>
        <v>78151.002934784236</v>
      </c>
      <c r="BO235" s="772">
        <f t="shared" ca="1" si="107"/>
        <v>78151.002934784236</v>
      </c>
      <c r="BP235" s="772">
        <f t="shared" ca="1" si="107"/>
        <v>77770.372935438703</v>
      </c>
      <c r="BQ235" s="772">
        <f t="shared" ca="1" si="107"/>
        <v>77770.372935438703</v>
      </c>
      <c r="BR235" s="772">
        <f t="shared" ca="1" si="107"/>
        <v>77362.851323760391</v>
      </c>
      <c r="BS235" s="772">
        <f t="shared" ca="1" si="107"/>
        <v>78841.838599101568</v>
      </c>
      <c r="BT235" s="772">
        <f t="shared" ca="1" si="107"/>
        <v>78841.838599101568</v>
      </c>
      <c r="BU235" s="772">
        <f t="shared" ca="1" si="107"/>
        <v>78841.838599101568</v>
      </c>
      <c r="BV235" s="772">
        <f t="shared" ca="1" si="107"/>
        <v>78507.364950665113</v>
      </c>
      <c r="BW235" s="772">
        <f t="shared" ca="1" si="107"/>
        <v>78507.364950665113</v>
      </c>
      <c r="BX235" s="772">
        <f t="shared" ca="1" si="107"/>
        <v>77770.372935438703</v>
      </c>
      <c r="BY235" s="772">
        <f t="shared" ca="1" si="107"/>
        <v>77770.372935438703</v>
      </c>
      <c r="BZ235" s="772">
        <f t="shared" ca="1" si="107"/>
        <v>77362.851323760391</v>
      </c>
      <c r="CA235" s="772">
        <f t="shared" ca="1" si="107"/>
        <v>77362.851323760391</v>
      </c>
      <c r="CB235" s="772">
        <f t="shared" ca="1" si="107"/>
        <v>78507.364950665113</v>
      </c>
      <c r="CC235" s="772">
        <f t="shared" ca="1" si="107"/>
        <v>78507.364950665113</v>
      </c>
      <c r="CD235" s="772">
        <f t="shared" ca="1" si="107"/>
        <v>78507.364950665113</v>
      </c>
      <c r="CE235" s="772">
        <f t="shared" ca="1" si="105"/>
        <v>78507.364950665113</v>
      </c>
      <c r="CF235" s="772">
        <f t="shared" ca="1" si="105"/>
        <v>78151.002934784236</v>
      </c>
      <c r="CG235" s="772">
        <f t="shared" ca="1" si="105"/>
        <v>77770.372935438703</v>
      </c>
      <c r="CH235" s="772">
        <f t="shared" ca="1" si="105"/>
        <v>77362.851323760391</v>
      </c>
      <c r="CI235" s="772">
        <f t="shared" ca="1" si="105"/>
        <v>77362.851323760391</v>
      </c>
      <c r="CJ235" s="772">
        <f t="shared" ca="1" si="105"/>
        <v>76925.559037631829</v>
      </c>
    </row>
    <row r="236" spans="1:88" ht="15" customHeight="1">
      <c r="A236" s="770">
        <f>'kc-Wert für Stützen'!C236</f>
        <v>288</v>
      </c>
      <c r="B236" s="768">
        <f ca="1">INDIRECT("'kc-Wert für Stützen'!"&amp;SUBSTITUTE(ADDRESS(MATCH($A236,'kc-Wert für Stützen'!$C:$C,0),MATCH(B$7,'kc-Wert für Stützen'!$A$8:$ES$8,0)+7,4),,))</f>
        <v>80317.719789546885</v>
      </c>
      <c r="C236" s="768">
        <f ca="1">INDIRECT("'kc-Wert für Stützen'!"&amp;SUBSTITUTE(ADDRESS(MATCH($A236,'kc-Wert für Stützen'!$C:$C,0),MATCH(C$7,'kc-Wert für Stützen'!$A$8:$ES$8,0)+7,4),,))</f>
        <v>80037.350191651552</v>
      </c>
      <c r="D236" s="768">
        <f ca="1">INDIRECT("'kc-Wert für Stützen'!"&amp;SUBSTITUTE(ADDRESS(MATCH($A236,'kc-Wert für Stützen'!$C:$C,0),MATCH(D$7,'kc-Wert für Stützen'!$A$8:$ES$8,0)+7,4),,))</f>
        <v>79741.101739611913</v>
      </c>
      <c r="E236" s="768">
        <f ca="1">INDIRECT("'kc-Wert für Stützen'!"&amp;SUBSTITUTE(ADDRESS(MATCH($A236,'kc-Wert für Stützen'!$C:$C,0),MATCH(E$7,'kc-Wert für Stützen'!$A$8:$ES$8,0)+7,4),,))</f>
        <v>79427.248799400782</v>
      </c>
      <c r="F236" s="768">
        <f ca="1">INDIRECT("'kc-Wert für Stützen'!"&amp;SUBSTITUTE(ADDRESS(MATCH($A236,'kc-Wert für Stützen'!$C:$C,0),MATCH(F$7,'kc-Wert für Stützen'!$A$8:$ES$8,0)+7,4),,))</f>
        <v>79093.877797942274</v>
      </c>
      <c r="G236" s="768">
        <f ca="1">INDIRECT("'kc-Wert für Stützen'!"&amp;SUBSTITUTE(ADDRESS(MATCH($A236,'kc-Wert für Stützen'!$C:$C,0),MATCH(G$7,'kc-Wert für Stützen'!$A$8:$ES$8,0)+7,4),,))</f>
        <v>78738.868559692113</v>
      </c>
      <c r="H236" s="768">
        <f ca="1">INDIRECT("'kc-Wert für Stützen'!"&amp;SUBSTITUTE(ADDRESS(MATCH($A236,'kc-Wert für Stützen'!$C:$C,0),MATCH(H$7,'kc-Wert für Stützen'!$A$8:$ES$8,0)+7,4),,))</f>
        <v>78359.876251481255</v>
      </c>
      <c r="I236" s="768">
        <f ca="1">INDIRECT("'kc-Wert für Stützen'!"&amp;SUBSTITUTE(ADDRESS(MATCH($A236,'kc-Wert für Stützen'!$C:$C,0),MATCH(I$7,'kc-Wert für Stützen'!$A$8:$ES$8,0)+7,4),,))</f>
        <v>77954.315343222392</v>
      </c>
      <c r="J236" s="768">
        <f ca="1">INDIRECT("'kc-Wert für Stützen'!"&amp;SUBSTITUTE(ADDRESS(MATCH($A236,'kc-Wert für Stützen'!$C:$C,0),MATCH(J$7,'kc-Wert für Stützen'!$A$8:$ES$8,0)+7,4),,))</f>
        <v>77519.347652904908</v>
      </c>
      <c r="K236" s="768">
        <f ca="1">INDIRECT("'kc-Wert für Stützen'!"&amp;SUBSTITUTE(ADDRESS(MATCH($A236,'kc-Wert für Stützen'!$C:$C,0),MATCH(K$7,'kc-Wert für Stützen'!$A$8:$ES$8,0)+7,4),,))</f>
        <v>77051.877397823802</v>
      </c>
      <c r="L236" s="768">
        <f ca="1">INDIRECT("'kc-Wert für Stützen'!"&amp;SUBSTITUTE(ADDRESS(MATCH($A236,'kc-Wert für Stützen'!$C:$C,0),MATCH(L$7,'kc-Wert für Stützen'!$A$8:$ES$8,0)+7,4),,))</f>
        <v>76548.557219730035</v>
      </c>
      <c r="M236" s="768">
        <f ca="1">INDIRECT("'kc-Wert für Stützen'!"&amp;SUBSTITUTE(ADDRESS(MATCH($A236,'kc-Wert für Stützen'!$C:$C,0),MATCH(M$7,'kc-Wert für Stützen'!$A$8:$ES$8,0)+7,4),,))</f>
        <v>76005.81033822571</v>
      </c>
      <c r="N236" s="768">
        <f ca="1">INDIRECT("'kc-Wert für Stützen'!"&amp;SUBSTITUTE(ADDRESS(MATCH($A236,'kc-Wert für Stützen'!$C:$C,0),MATCH(N$7,'kc-Wert für Stützen'!$A$8:$ES$8,0)+7,4),,))</f>
        <v>75419.875172037762</v>
      </c>
      <c r="O236" s="768">
        <f ca="1">INDIRECT("'kc-Wert für Stützen'!"&amp;SUBSTITUTE(ADDRESS(MATCH($A236,'kc-Wert für Stützen'!$C:$C,0),MATCH(O$7,'kc-Wert für Stützen'!$A$8:$ES$8,0)+7,4),,))</f>
        <v>74786.879667808797</v>
      </c>
      <c r="P236" s="768">
        <f ca="1">INDIRECT("'kc-Wert für Stützen'!"&amp;SUBSTITUTE(ADDRESS(MATCH($A236,'kc-Wert für Stützen'!$C:$C,0),MATCH(P$7,'kc-Wert für Stützen'!$A$8:$ES$8,0)+7,4),,))</f>
        <v>74102.952716669373</v>
      </c>
      <c r="S236" s="772">
        <f t="shared" ca="1" si="91"/>
        <v>79741.101739611913</v>
      </c>
      <c r="T236" s="772">
        <f t="shared" ca="1" si="94"/>
        <v>79741.101739611913</v>
      </c>
      <c r="U236" s="772">
        <f t="shared" ca="1" si="94"/>
        <v>79741.101739611913</v>
      </c>
      <c r="V236" s="772">
        <f t="shared" ca="1" si="94"/>
        <v>79427.248799400782</v>
      </c>
      <c r="W236" s="772">
        <f t="shared" ca="1" si="94"/>
        <v>79093.877797942274</v>
      </c>
      <c r="X236" s="772">
        <f t="shared" ca="1" si="94"/>
        <v>78738.868559692113</v>
      </c>
      <c r="Y236" s="772">
        <f t="shared" ca="1" si="94"/>
        <v>78359.876251481255</v>
      </c>
      <c r="Z236" s="772">
        <f t="shared" ca="1" si="94"/>
        <v>79741.101739611913</v>
      </c>
      <c r="AA236" s="772">
        <f t="shared" ca="1" si="94"/>
        <v>79741.101739611913</v>
      </c>
      <c r="AB236" s="772">
        <f t="shared" ref="AB236:AG250" ca="1" si="109">HLOOKUP(AB$7,$A$7:$P$348,ROW()-6)</f>
        <v>79427.248799400782</v>
      </c>
      <c r="AC236" s="772">
        <f t="shared" ca="1" si="109"/>
        <v>79427.248799400782</v>
      </c>
      <c r="AD236" s="772">
        <f t="shared" ca="1" si="109"/>
        <v>79093.877797942274</v>
      </c>
      <c r="AE236" s="772">
        <f t="shared" ca="1" si="109"/>
        <v>79093.877797942274</v>
      </c>
      <c r="AF236" s="772">
        <f t="shared" ca="1" si="109"/>
        <v>78738.868559692113</v>
      </c>
      <c r="AG236" s="772">
        <f t="shared" ca="1" si="109"/>
        <v>78738.868559692113</v>
      </c>
      <c r="AH236" s="772">
        <f t="shared" ca="1" si="108"/>
        <v>78738.868559692113</v>
      </c>
      <c r="AI236" s="772">
        <f t="shared" ca="1" si="108"/>
        <v>79741.101739611913</v>
      </c>
      <c r="AJ236" s="772">
        <f t="shared" ca="1" si="108"/>
        <v>79741.101739611913</v>
      </c>
      <c r="AK236" s="772">
        <f t="shared" ca="1" si="108"/>
        <v>79427.248799400782</v>
      </c>
      <c r="AL236" s="772">
        <f t="shared" ca="1" si="108"/>
        <v>79427.248799400782</v>
      </c>
      <c r="AM236" s="772">
        <f t="shared" ca="1" si="108"/>
        <v>79093.877797942274</v>
      </c>
      <c r="AN236" s="772">
        <f t="shared" ca="1" si="108"/>
        <v>79093.877797942274</v>
      </c>
      <c r="AO236" s="772">
        <f t="shared" ca="1" si="108"/>
        <v>78738.868559692113</v>
      </c>
      <c r="AP236" s="772">
        <f t="shared" ca="1" si="108"/>
        <v>78738.868559692113</v>
      </c>
      <c r="AQ236" s="772">
        <f t="shared" ca="1" si="108"/>
        <v>78738.868559692113</v>
      </c>
      <c r="AR236" s="772">
        <f t="shared" ref="AR236:BG252" ca="1" si="110">HLOOKUP(AR$7,$A$7:$P$348,ROW()-6)</f>
        <v>79741.101739611913</v>
      </c>
      <c r="AS236" s="772">
        <f t="shared" ca="1" si="110"/>
        <v>79741.101739611913</v>
      </c>
      <c r="AT236" s="772">
        <f t="shared" ca="1" si="110"/>
        <v>79427.248799400782</v>
      </c>
      <c r="AU236" s="772">
        <f t="shared" ca="1" si="110"/>
        <v>79427.248799400782</v>
      </c>
      <c r="AV236" s="772">
        <f t="shared" ca="1" si="110"/>
        <v>79093.877797942274</v>
      </c>
      <c r="AW236" s="772">
        <f t="shared" ca="1" si="110"/>
        <v>79093.877797942274</v>
      </c>
      <c r="AX236" s="772">
        <f t="shared" ca="1" si="110"/>
        <v>78738.868559692113</v>
      </c>
      <c r="AY236" s="772">
        <f t="shared" ca="1" si="110"/>
        <v>78738.868559692113</v>
      </c>
      <c r="AZ236" s="772">
        <f t="shared" ca="1" si="110"/>
        <v>78738.868559692113</v>
      </c>
      <c r="BA236" s="772">
        <f t="shared" ca="1" si="110"/>
        <v>79741.101739611913</v>
      </c>
      <c r="BB236" s="772">
        <f t="shared" ca="1" si="110"/>
        <v>79741.101739611913</v>
      </c>
      <c r="BC236" s="772">
        <f t="shared" ca="1" si="110"/>
        <v>79427.248799400782</v>
      </c>
      <c r="BD236" s="772">
        <f t="shared" ca="1" si="110"/>
        <v>79093.877797942274</v>
      </c>
      <c r="BE236" s="772">
        <f t="shared" ca="1" si="110"/>
        <v>79093.877797942274</v>
      </c>
      <c r="BF236" s="772">
        <f t="shared" ca="1" si="110"/>
        <v>78738.868559692113</v>
      </c>
      <c r="BG236" s="772">
        <f t="shared" ca="1" si="97"/>
        <v>78738.868559692113</v>
      </c>
      <c r="BH236" s="772">
        <f t="shared" ca="1" si="106"/>
        <v>78359.876251481255</v>
      </c>
      <c r="BI236" s="772">
        <f t="shared" ca="1" si="106"/>
        <v>78359.876251481255</v>
      </c>
      <c r="BJ236" s="772">
        <f t="shared" ca="1" si="106"/>
        <v>79427.248799400782</v>
      </c>
      <c r="BK236" s="772">
        <f t="shared" ca="1" si="106"/>
        <v>79427.248799400782</v>
      </c>
      <c r="BL236" s="772">
        <f t="shared" ca="1" si="106"/>
        <v>79427.248799400782</v>
      </c>
      <c r="BM236" s="772">
        <f t="shared" ca="1" si="106"/>
        <v>79427.248799400782</v>
      </c>
      <c r="BN236" s="772">
        <f t="shared" ca="1" si="99"/>
        <v>78738.868559692113</v>
      </c>
      <c r="BO236" s="772">
        <f t="shared" ca="1" si="107"/>
        <v>78738.868559692113</v>
      </c>
      <c r="BP236" s="772">
        <f t="shared" ca="1" si="107"/>
        <v>78359.876251481255</v>
      </c>
      <c r="BQ236" s="772">
        <f t="shared" ca="1" si="107"/>
        <v>78359.876251481255</v>
      </c>
      <c r="BR236" s="772">
        <f t="shared" ca="1" si="107"/>
        <v>77954.315343222392</v>
      </c>
      <c r="BS236" s="772">
        <f t="shared" ca="1" si="107"/>
        <v>79427.248799400782</v>
      </c>
      <c r="BT236" s="772">
        <f t="shared" ca="1" si="107"/>
        <v>79427.248799400782</v>
      </c>
      <c r="BU236" s="772">
        <f t="shared" ca="1" si="107"/>
        <v>79427.248799400782</v>
      </c>
      <c r="BV236" s="772">
        <f t="shared" ca="1" si="107"/>
        <v>79093.877797942274</v>
      </c>
      <c r="BW236" s="772">
        <f t="shared" ca="1" si="107"/>
        <v>79093.877797942274</v>
      </c>
      <c r="BX236" s="772">
        <f t="shared" ca="1" si="107"/>
        <v>78359.876251481255</v>
      </c>
      <c r="BY236" s="772">
        <f t="shared" ca="1" si="107"/>
        <v>78359.876251481255</v>
      </c>
      <c r="BZ236" s="772">
        <f t="shared" ca="1" si="107"/>
        <v>77954.315343222392</v>
      </c>
      <c r="CA236" s="772">
        <f t="shared" ca="1" si="107"/>
        <v>77954.315343222392</v>
      </c>
      <c r="CB236" s="772">
        <f t="shared" ca="1" si="107"/>
        <v>79093.877797942274</v>
      </c>
      <c r="CC236" s="772">
        <f t="shared" ca="1" si="107"/>
        <v>79093.877797942274</v>
      </c>
      <c r="CD236" s="772">
        <f t="shared" ca="1" si="107"/>
        <v>79093.877797942274</v>
      </c>
      <c r="CE236" s="772">
        <f t="shared" ca="1" si="105"/>
        <v>79093.877797942274</v>
      </c>
      <c r="CF236" s="772">
        <f t="shared" ca="1" si="105"/>
        <v>78738.868559692113</v>
      </c>
      <c r="CG236" s="772">
        <f t="shared" ca="1" si="105"/>
        <v>78359.876251481255</v>
      </c>
      <c r="CH236" s="772">
        <f t="shared" ca="1" si="105"/>
        <v>77954.315343222392</v>
      </c>
      <c r="CI236" s="772">
        <f t="shared" ca="1" si="105"/>
        <v>77954.315343222392</v>
      </c>
      <c r="CJ236" s="772">
        <f t="shared" ca="1" si="105"/>
        <v>77519.347652904908</v>
      </c>
    </row>
    <row r="237" spans="1:88" ht="15" customHeight="1">
      <c r="A237" s="770">
        <f>'kc-Wert für Stützen'!C237</f>
        <v>289</v>
      </c>
      <c r="B237" s="768">
        <f ca="1">INDIRECT("'kc-Wert für Stützen'!"&amp;SUBSTITUTE(ADDRESS(MATCH($A237,'kc-Wert für Stützen'!$C:$C,0),MATCH(B$7,'kc-Wert für Stützen'!$A$8:$ES$8,0)+7,4),,))</f>
        <v>80903.012790156077</v>
      </c>
      <c r="C237" s="768">
        <f ca="1">INDIRECT("'kc-Wert für Stützen'!"&amp;SUBSTITUTE(ADDRESS(MATCH($A237,'kc-Wert für Stützen'!$C:$C,0),MATCH(C$7,'kc-Wert für Stützen'!$A$8:$ES$8,0)+7,4),,))</f>
        <v>80623.154274922403</v>
      </c>
      <c r="D237" s="768">
        <f ca="1">INDIRECT("'kc-Wert für Stützen'!"&amp;SUBSTITUTE(ADDRESS(MATCH($A237,'kc-Wert für Stützen'!$C:$C,0),MATCH(D$7,'kc-Wert für Stützen'!$A$8:$ES$8,0)+7,4),,))</f>
        <v>80327.580502585435</v>
      </c>
      <c r="E237" s="768">
        <f ca="1">INDIRECT("'kc-Wert für Stützen'!"&amp;SUBSTITUTE(ADDRESS(MATCH($A237,'kc-Wert für Stützen'!$C:$C,0),MATCH(E$7,'kc-Wert für Stützen'!$A$8:$ES$8,0)+7,4),,))</f>
        <v>80014.589903667875</v>
      </c>
      <c r="F237" s="768">
        <f ca="1">INDIRECT("'kc-Wert für Stützen'!"&amp;SUBSTITUTE(ADDRESS(MATCH($A237,'kc-Wert für Stützen'!$C:$C,0),MATCH(F$7,'kc-Wert für Stützen'!$A$8:$ES$8,0)+7,4),,))</f>
        <v>79682.296186966007</v>
      </c>
      <c r="G237" s="768">
        <f ca="1">INDIRECT("'kc-Wert für Stützen'!"&amp;SUBSTITUTE(ADDRESS(MATCH($A237,'kc-Wert für Stützen'!$C:$C,0),MATCH(G$7,'kc-Wert für Stützen'!$A$8:$ES$8,0)+7,4),,))</f>
        <v>79328.609864430167</v>
      </c>
      <c r="H237" s="768">
        <f ca="1">INDIRECT("'kc-Wert für Stützen'!"&amp;SUBSTITUTE(ADDRESS(MATCH($A237,'kc-Wert für Stützen'!$C:$C,0),MATCH(H$7,'kc-Wert für Stützen'!$A$8:$ES$8,0)+7,4),,))</f>
        <v>78951.22025768258</v>
      </c>
      <c r="I237" s="768">
        <f ca="1">INDIRECT("'kc-Wert für Stützen'!"&amp;SUBSTITUTE(ADDRESS(MATCH($A237,'kc-Wert für Stützen'!$C:$C,0),MATCH(I$7,'kc-Wert für Stützen'!$A$8:$ES$8,0)+7,4),,))</f>
        <v>78547.579309045686</v>
      </c>
      <c r="J237" s="768">
        <f ca="1">INDIRECT("'kc-Wert für Stützen'!"&amp;SUBSTITUTE(ADDRESS(MATCH($A237,'kc-Wert für Stützen'!$C:$C,0),MATCH(J$7,'kc-Wert für Stützen'!$A$8:$ES$8,0)+7,4),,))</f>
        <v>78114.889147392954</v>
      </c>
      <c r="K237" s="768">
        <f ca="1">INDIRECT("'kc-Wert für Stützen'!"&amp;SUBSTITUTE(ADDRESS(MATCH($A237,'kc-Wert für Stützen'!$C:$C,0),MATCH(K$7,'kc-Wert für Stützen'!$A$8:$ES$8,0)+7,4),,))</f>
        <v>77650.0961729173</v>
      </c>
      <c r="L237" s="768">
        <f ca="1">INDIRECT("'kc-Wert für Stützen'!"&amp;SUBSTITUTE(ADDRESS(MATCH($A237,'kc-Wert für Stützen'!$C:$C,0),MATCH(L$7,'kc-Wert für Stützen'!$A$8:$ES$8,0)+7,4),,))</f>
        <v>77149.895428412434</v>
      </c>
      <c r="M237" s="768">
        <f ca="1">INDIRECT("'kc-Wert für Stützen'!"&amp;SUBSTITUTE(ADDRESS(MATCH($A237,'kc-Wert für Stützen'!$C:$C,0),MATCH(M$7,'kc-Wert für Stützen'!$A$8:$ES$8,0)+7,4),,))</f>
        <v>76610.750175645604</v>
      </c>
      <c r="N237" s="768">
        <f ca="1">INDIRECT("'kc-Wert für Stützen'!"&amp;SUBSTITUTE(ADDRESS(MATCH($A237,'kc-Wert für Stützen'!$C:$C,0),MATCH(N$7,'kc-Wert für Stützen'!$A$8:$ES$8,0)+7,4),,))</f>
        <v>76028.932768880739</v>
      </c>
      <c r="O237" s="768">
        <f ca="1">INDIRECT("'kc-Wert für Stützen'!"&amp;SUBSTITUTE(ADDRESS(MATCH($A237,'kc-Wert für Stützen'!$C:$C,0),MATCH(O$7,'kc-Wert für Stützen'!$A$8:$ES$8,0)+7,4),,))</f>
        <v>75400.593857517903</v>
      </c>
      <c r="P237" s="768">
        <f ca="1">INDIRECT("'kc-Wert für Stützen'!"&amp;SUBSTITUTE(ADDRESS(MATCH($A237,'kc-Wert für Stützen'!$C:$C,0),MATCH(P$7,'kc-Wert für Stützen'!$A$8:$ES$8,0)+7,4),,))</f>
        <v>74721.867220664994</v>
      </c>
      <c r="S237" s="772">
        <f t="shared" ca="1" si="91"/>
        <v>80327.580502585435</v>
      </c>
      <c r="T237" s="772">
        <f t="shared" ca="1" si="94"/>
        <v>80327.580502585435</v>
      </c>
      <c r="U237" s="772">
        <f t="shared" ca="1" si="94"/>
        <v>80327.580502585435</v>
      </c>
      <c r="V237" s="772">
        <f t="shared" ca="1" si="94"/>
        <v>80014.589903667875</v>
      </c>
      <c r="W237" s="772">
        <f t="shared" ca="1" si="94"/>
        <v>79682.296186966007</v>
      </c>
      <c r="X237" s="772">
        <f t="shared" ca="1" si="94"/>
        <v>79328.609864430167</v>
      </c>
      <c r="Y237" s="772">
        <f t="shared" ca="1" si="94"/>
        <v>78951.22025768258</v>
      </c>
      <c r="Z237" s="772">
        <f t="shared" ca="1" si="94"/>
        <v>80327.580502585435</v>
      </c>
      <c r="AA237" s="772">
        <f t="shared" ca="1" si="94"/>
        <v>80327.580502585435</v>
      </c>
      <c r="AB237" s="772">
        <f t="shared" ca="1" si="109"/>
        <v>80014.589903667875</v>
      </c>
      <c r="AC237" s="772">
        <f t="shared" ca="1" si="109"/>
        <v>80014.589903667875</v>
      </c>
      <c r="AD237" s="772">
        <f t="shared" ca="1" si="109"/>
        <v>79682.296186966007</v>
      </c>
      <c r="AE237" s="772">
        <f t="shared" ca="1" si="109"/>
        <v>79682.296186966007</v>
      </c>
      <c r="AF237" s="772">
        <f t="shared" ca="1" si="109"/>
        <v>79328.609864430167</v>
      </c>
      <c r="AG237" s="772">
        <f t="shared" ca="1" si="109"/>
        <v>79328.609864430167</v>
      </c>
      <c r="AH237" s="772">
        <f t="shared" ca="1" si="108"/>
        <v>79328.609864430167</v>
      </c>
      <c r="AI237" s="772">
        <f t="shared" ca="1" si="108"/>
        <v>80327.580502585435</v>
      </c>
      <c r="AJ237" s="772">
        <f t="shared" ca="1" si="108"/>
        <v>80327.580502585435</v>
      </c>
      <c r="AK237" s="772">
        <f t="shared" ca="1" si="108"/>
        <v>80014.589903667875</v>
      </c>
      <c r="AL237" s="772">
        <f t="shared" ca="1" si="108"/>
        <v>80014.589903667875</v>
      </c>
      <c r="AM237" s="772">
        <f t="shared" ca="1" si="108"/>
        <v>79682.296186966007</v>
      </c>
      <c r="AN237" s="772">
        <f t="shared" ca="1" si="108"/>
        <v>79682.296186966007</v>
      </c>
      <c r="AO237" s="772">
        <f t="shared" ca="1" si="108"/>
        <v>79328.609864430167</v>
      </c>
      <c r="AP237" s="772">
        <f t="shared" ca="1" si="108"/>
        <v>79328.609864430167</v>
      </c>
      <c r="AQ237" s="772">
        <f t="shared" ca="1" si="108"/>
        <v>79328.609864430167</v>
      </c>
      <c r="AR237" s="772">
        <f t="shared" ca="1" si="110"/>
        <v>80327.580502585435</v>
      </c>
      <c r="AS237" s="772">
        <f t="shared" ca="1" si="110"/>
        <v>80327.580502585435</v>
      </c>
      <c r="AT237" s="772">
        <f t="shared" ca="1" si="110"/>
        <v>80014.589903667875</v>
      </c>
      <c r="AU237" s="772">
        <f t="shared" ca="1" si="110"/>
        <v>80014.589903667875</v>
      </c>
      <c r="AV237" s="772">
        <f t="shared" ca="1" si="110"/>
        <v>79682.296186966007</v>
      </c>
      <c r="AW237" s="772">
        <f t="shared" ca="1" si="110"/>
        <v>79682.296186966007</v>
      </c>
      <c r="AX237" s="772">
        <f t="shared" ca="1" si="110"/>
        <v>79328.609864430167</v>
      </c>
      <c r="AY237" s="772">
        <f t="shared" ca="1" si="110"/>
        <v>79328.609864430167</v>
      </c>
      <c r="AZ237" s="772">
        <f t="shared" ca="1" si="110"/>
        <v>79328.609864430167</v>
      </c>
      <c r="BA237" s="772">
        <f t="shared" ca="1" si="110"/>
        <v>80327.580502585435</v>
      </c>
      <c r="BB237" s="772">
        <f t="shared" ca="1" si="110"/>
        <v>80327.580502585435</v>
      </c>
      <c r="BC237" s="772">
        <f t="shared" ca="1" si="110"/>
        <v>80014.589903667875</v>
      </c>
      <c r="BD237" s="772">
        <f t="shared" ca="1" si="110"/>
        <v>79682.296186966007</v>
      </c>
      <c r="BE237" s="772">
        <f t="shared" ca="1" si="110"/>
        <v>79682.296186966007</v>
      </c>
      <c r="BF237" s="772">
        <f t="shared" ca="1" si="110"/>
        <v>79328.609864430167</v>
      </c>
      <c r="BG237" s="772">
        <f t="shared" ca="1" si="97"/>
        <v>79328.609864430167</v>
      </c>
      <c r="BH237" s="772">
        <f t="shared" ca="1" si="106"/>
        <v>78951.22025768258</v>
      </c>
      <c r="BI237" s="772">
        <f t="shared" ca="1" si="106"/>
        <v>78951.22025768258</v>
      </c>
      <c r="BJ237" s="772">
        <f t="shared" ca="1" si="106"/>
        <v>80014.589903667875</v>
      </c>
      <c r="BK237" s="772">
        <f t="shared" ca="1" si="106"/>
        <v>80014.589903667875</v>
      </c>
      <c r="BL237" s="772">
        <f t="shared" ca="1" si="106"/>
        <v>80014.589903667875</v>
      </c>
      <c r="BM237" s="772">
        <f t="shared" ca="1" si="106"/>
        <v>80014.589903667875</v>
      </c>
      <c r="BN237" s="772">
        <f t="shared" ca="1" si="99"/>
        <v>79328.609864430167</v>
      </c>
      <c r="BO237" s="772">
        <f t="shared" ca="1" si="107"/>
        <v>79328.609864430167</v>
      </c>
      <c r="BP237" s="772">
        <f t="shared" ca="1" si="107"/>
        <v>78951.22025768258</v>
      </c>
      <c r="BQ237" s="772">
        <f t="shared" ca="1" si="107"/>
        <v>78951.22025768258</v>
      </c>
      <c r="BR237" s="772">
        <f t="shared" ca="1" si="107"/>
        <v>78547.579309045686</v>
      </c>
      <c r="BS237" s="772">
        <f t="shared" ca="1" si="107"/>
        <v>80014.589903667875</v>
      </c>
      <c r="BT237" s="772">
        <f t="shared" ca="1" si="107"/>
        <v>80014.589903667875</v>
      </c>
      <c r="BU237" s="772">
        <f t="shared" ca="1" si="107"/>
        <v>80014.589903667875</v>
      </c>
      <c r="BV237" s="772">
        <f t="shared" ca="1" si="107"/>
        <v>79682.296186966007</v>
      </c>
      <c r="BW237" s="772">
        <f t="shared" ca="1" si="107"/>
        <v>79682.296186966007</v>
      </c>
      <c r="BX237" s="772">
        <f t="shared" ca="1" si="107"/>
        <v>78951.22025768258</v>
      </c>
      <c r="BY237" s="772">
        <f t="shared" ca="1" si="107"/>
        <v>78951.22025768258</v>
      </c>
      <c r="BZ237" s="772">
        <f t="shared" ca="1" si="107"/>
        <v>78547.579309045686</v>
      </c>
      <c r="CA237" s="772">
        <f t="shared" ca="1" si="107"/>
        <v>78547.579309045686</v>
      </c>
      <c r="CB237" s="772">
        <f t="shared" ca="1" si="107"/>
        <v>79682.296186966007</v>
      </c>
      <c r="CC237" s="772">
        <f t="shared" ca="1" si="107"/>
        <v>79682.296186966007</v>
      </c>
      <c r="CD237" s="772">
        <f t="shared" ca="1" si="107"/>
        <v>79682.296186966007</v>
      </c>
      <c r="CE237" s="772">
        <f t="shared" ca="1" si="105"/>
        <v>79682.296186966007</v>
      </c>
      <c r="CF237" s="772">
        <f t="shared" ca="1" si="105"/>
        <v>79328.609864430167</v>
      </c>
      <c r="CG237" s="772">
        <f t="shared" ca="1" si="105"/>
        <v>78951.22025768258</v>
      </c>
      <c r="CH237" s="772">
        <f t="shared" ca="1" si="105"/>
        <v>78547.579309045686</v>
      </c>
      <c r="CI237" s="772">
        <f t="shared" ca="1" si="105"/>
        <v>78547.579309045686</v>
      </c>
      <c r="CJ237" s="772">
        <f t="shared" ca="1" si="105"/>
        <v>78114.889147392954</v>
      </c>
    </row>
    <row r="238" spans="1:88" ht="15" customHeight="1">
      <c r="A238" s="770">
        <f>'kc-Wert für Stützen'!C238</f>
        <v>290</v>
      </c>
      <c r="B238" s="768">
        <f ca="1">INDIRECT("'kc-Wert für Stützen'!"&amp;SUBSTITUTE(ADDRESS(MATCH($A238,'kc-Wert für Stützen'!$C:$C,0),MATCH(B$7,'kc-Wert für Stützen'!$A$8:$ES$8,0)+7,4),,))</f>
        <v>81490.292831455503</v>
      </c>
      <c r="C238" s="768">
        <f ca="1">INDIRECT("'kc-Wert für Stützen'!"&amp;SUBSTITUTE(ADDRESS(MATCH($A238,'kc-Wert für Stützen'!$C:$C,0),MATCH(C$7,'kc-Wert für Stützen'!$A$8:$ES$8,0)+7,4),,))</f>
        <v>81210.930474175155</v>
      </c>
      <c r="D238" s="768">
        <f ca="1">INDIRECT("'kc-Wert für Stützen'!"&amp;SUBSTITUTE(ADDRESS(MATCH($A238,'kc-Wert für Stützen'!$C:$C,0),MATCH(D$7,'kc-Wert für Stützen'!$A$8:$ES$8,0)+7,4),,))</f>
        <v>80916.013654916911</v>
      </c>
      <c r="E238" s="768">
        <f ca="1">INDIRECT("'kc-Wert für Stützen'!"&amp;SUBSTITUTE(ADDRESS(MATCH($A238,'kc-Wert für Stützen'!$C:$C,0),MATCH(E$7,'kc-Wert für Stützen'!$A$8:$ES$8,0)+7,4),,))</f>
        <v>80603.864390532777</v>
      </c>
      <c r="F238" s="768">
        <f ca="1">INDIRECT("'kc-Wert für Stützen'!"&amp;SUBSTITUTE(ADDRESS(MATCH($A238,'kc-Wert für Stützen'!$C:$C,0),MATCH(F$7,'kc-Wert für Stützen'!$A$8:$ES$8,0)+7,4),,))</f>
        <v>80272.623136355644</v>
      </c>
      <c r="G238" s="768">
        <f ca="1">INDIRECT("'kc-Wert für Stützen'!"&amp;SUBSTITUTE(ADDRESS(MATCH($A238,'kc-Wert für Stützen'!$C:$C,0),MATCH(G$7,'kc-Wert für Stützen'!$A$8:$ES$8,0)+7,4),,))</f>
        <v>79920.230506280248</v>
      </c>
      <c r="H238" s="768">
        <f ca="1">INDIRECT("'kc-Wert für Stützen'!"&amp;SUBSTITUTE(ADDRESS(MATCH($A238,'kc-Wert für Stützen'!$C:$C,0),MATCH(H$7,'kc-Wert für Stützen'!$A$8:$ES$8,0)+7,4),,))</f>
        <v>79544.409357339959</v>
      </c>
      <c r="I238" s="768">
        <f ca="1">INDIRECT("'kc-Wert für Stützen'!"&amp;SUBSTITUTE(ADDRESS(MATCH($A238,'kc-Wert für Stützen'!$C:$C,0),MATCH(I$7,'kc-Wert für Stützen'!$A$8:$ES$8,0)+7,4),,))</f>
        <v>79142.648481811237</v>
      </c>
      <c r="J238" s="768">
        <f ca="1">INDIRECT("'kc-Wert für Stützen'!"&amp;SUBSTITUTE(ADDRESS(MATCH($A238,'kc-Wert für Stützen'!$C:$C,0),MATCH(J$7,'kc-Wert für Stützen'!$A$8:$ES$8,0)+7,4),,))</f>
        <v>78712.18974549984</v>
      </c>
      <c r="K238" s="768">
        <f ca="1">INDIRECT("'kc-Wert für Stützen'!"&amp;SUBSTITUTE(ADDRESS(MATCH($A238,'kc-Wert für Stützen'!$C:$C,0),MATCH(K$7,'kc-Wert für Stützen'!$A$8:$ES$8,0)+7,4),,))</f>
        <v>78250.021286442076</v>
      </c>
      <c r="L238" s="768">
        <f ca="1">INDIRECT("'kc-Wert für Stützen'!"&amp;SUBSTITUTE(ADDRESS(MATCH($A238,'kc-Wert für Stützen'!$C:$C,0),MATCH(L$7,'kc-Wert für Stützen'!$A$8:$ES$8,0)+7,4),,))</f>
        <v>77752.880350453415</v>
      </c>
      <c r="M238" s="768">
        <f ca="1">INDIRECT("'kc-Wert für Stützen'!"&amp;SUBSTITUTE(ADDRESS(MATCH($A238,'kc-Wert für Stützen'!$C:$C,0),MATCH(M$7,'kc-Wert für Stützen'!$A$8:$ES$8,0)+7,4),,))</f>
        <v>77217.270454621947</v>
      </c>
      <c r="N238" s="768">
        <f ca="1">INDIRECT("'kc-Wert für Stützen'!"&amp;SUBSTITUTE(ADDRESS(MATCH($A238,'kc-Wert für Stützen'!$C:$C,0),MATCH(N$7,'kc-Wert für Stützen'!$A$8:$ES$8,0)+7,4),,))</f>
        <v>76639.498727570448</v>
      </c>
      <c r="O238" s="768">
        <f ca="1">INDIRECT("'kc-Wert für Stützen'!"&amp;SUBSTITUTE(ADDRESS(MATCH($A238,'kc-Wert für Stützen'!$C:$C,0),MATCH(O$7,'kc-Wert für Stützen'!$A$8:$ES$8,0)+7,4),,))</f>
        <v>76015.74024571765</v>
      </c>
      <c r="P238" s="768">
        <f ca="1">INDIRECT("'kc-Wert für Stützen'!"&amp;SUBSTITUTE(ADDRESS(MATCH($A238,'kc-Wert für Stützen'!$C:$C,0),MATCH(P$7,'kc-Wert für Stützen'!$A$8:$ES$8,0)+7,4),,))</f>
        <v>75342.136568650909</v>
      </c>
      <c r="S238" s="772">
        <f t="shared" ca="1" si="91"/>
        <v>80916.013654916911</v>
      </c>
      <c r="T238" s="772">
        <f t="shared" ca="1" si="94"/>
        <v>80916.013654916911</v>
      </c>
      <c r="U238" s="772">
        <f t="shared" ca="1" si="94"/>
        <v>80916.013654916911</v>
      </c>
      <c r="V238" s="772">
        <f t="shared" ca="1" si="94"/>
        <v>80603.864390532777</v>
      </c>
      <c r="W238" s="772">
        <f t="shared" ca="1" si="94"/>
        <v>80272.623136355644</v>
      </c>
      <c r="X238" s="772">
        <f t="shared" ca="1" si="94"/>
        <v>79920.230506280248</v>
      </c>
      <c r="Y238" s="772">
        <f t="shared" ca="1" si="94"/>
        <v>79544.409357339959</v>
      </c>
      <c r="Z238" s="772">
        <f t="shared" ca="1" si="94"/>
        <v>80916.013654916911</v>
      </c>
      <c r="AA238" s="772">
        <f t="shared" ca="1" si="94"/>
        <v>80916.013654916911</v>
      </c>
      <c r="AB238" s="772">
        <f t="shared" ca="1" si="109"/>
        <v>80603.864390532777</v>
      </c>
      <c r="AC238" s="772">
        <f t="shared" ca="1" si="109"/>
        <v>80603.864390532777</v>
      </c>
      <c r="AD238" s="772">
        <f t="shared" ca="1" si="109"/>
        <v>80272.623136355644</v>
      </c>
      <c r="AE238" s="772">
        <f t="shared" ca="1" si="109"/>
        <v>80272.623136355644</v>
      </c>
      <c r="AF238" s="772">
        <f t="shared" ca="1" si="109"/>
        <v>79920.230506280248</v>
      </c>
      <c r="AG238" s="772">
        <f t="shared" ca="1" si="109"/>
        <v>79920.230506280248</v>
      </c>
      <c r="AH238" s="772">
        <f t="shared" ca="1" si="108"/>
        <v>79920.230506280248</v>
      </c>
      <c r="AI238" s="772">
        <f t="shared" ca="1" si="108"/>
        <v>80916.013654916911</v>
      </c>
      <c r="AJ238" s="772">
        <f t="shared" ca="1" si="108"/>
        <v>80916.013654916911</v>
      </c>
      <c r="AK238" s="772">
        <f t="shared" ca="1" si="108"/>
        <v>80603.864390532777</v>
      </c>
      <c r="AL238" s="772">
        <f t="shared" ca="1" si="108"/>
        <v>80603.864390532777</v>
      </c>
      <c r="AM238" s="772">
        <f t="shared" ca="1" si="108"/>
        <v>80272.623136355644</v>
      </c>
      <c r="AN238" s="772">
        <f t="shared" ca="1" si="108"/>
        <v>80272.623136355644</v>
      </c>
      <c r="AO238" s="772">
        <f t="shared" ca="1" si="108"/>
        <v>79920.230506280248</v>
      </c>
      <c r="AP238" s="772">
        <f t="shared" ca="1" si="108"/>
        <v>79920.230506280248</v>
      </c>
      <c r="AQ238" s="772">
        <f t="shared" ca="1" si="108"/>
        <v>79920.230506280248</v>
      </c>
      <c r="AR238" s="772">
        <f t="shared" ca="1" si="110"/>
        <v>80916.013654916911</v>
      </c>
      <c r="AS238" s="772">
        <f t="shared" ca="1" si="110"/>
        <v>80916.013654916911</v>
      </c>
      <c r="AT238" s="772">
        <f t="shared" ca="1" si="110"/>
        <v>80603.864390532777</v>
      </c>
      <c r="AU238" s="772">
        <f t="shared" ca="1" si="110"/>
        <v>80603.864390532777</v>
      </c>
      <c r="AV238" s="772">
        <f t="shared" ca="1" si="110"/>
        <v>80272.623136355644</v>
      </c>
      <c r="AW238" s="772">
        <f t="shared" ca="1" si="110"/>
        <v>80272.623136355644</v>
      </c>
      <c r="AX238" s="772">
        <f t="shared" ca="1" si="110"/>
        <v>79920.230506280248</v>
      </c>
      <c r="AY238" s="772">
        <f t="shared" ca="1" si="110"/>
        <v>79920.230506280248</v>
      </c>
      <c r="AZ238" s="772">
        <f t="shared" ca="1" si="110"/>
        <v>79920.230506280248</v>
      </c>
      <c r="BA238" s="772">
        <f t="shared" ca="1" si="110"/>
        <v>80916.013654916911</v>
      </c>
      <c r="BB238" s="772">
        <f t="shared" ca="1" si="110"/>
        <v>80916.013654916911</v>
      </c>
      <c r="BC238" s="772">
        <f t="shared" ca="1" si="110"/>
        <v>80603.864390532777</v>
      </c>
      <c r="BD238" s="772">
        <f t="shared" ca="1" si="110"/>
        <v>80272.623136355644</v>
      </c>
      <c r="BE238" s="772">
        <f t="shared" ca="1" si="110"/>
        <v>80272.623136355644</v>
      </c>
      <c r="BF238" s="772">
        <f t="shared" ca="1" si="110"/>
        <v>79920.230506280248</v>
      </c>
      <c r="BG238" s="772">
        <f t="shared" ca="1" si="97"/>
        <v>79920.230506280248</v>
      </c>
      <c r="BH238" s="772">
        <f t="shared" ca="1" si="106"/>
        <v>79544.409357339959</v>
      </c>
      <c r="BI238" s="772">
        <f t="shared" ca="1" si="106"/>
        <v>79544.409357339959</v>
      </c>
      <c r="BJ238" s="772">
        <f t="shared" ca="1" si="106"/>
        <v>80603.864390532777</v>
      </c>
      <c r="BK238" s="772">
        <f t="shared" ca="1" si="106"/>
        <v>80603.864390532777</v>
      </c>
      <c r="BL238" s="772">
        <f t="shared" ca="1" si="106"/>
        <v>80603.864390532777</v>
      </c>
      <c r="BM238" s="772">
        <f t="shared" ca="1" si="106"/>
        <v>80603.864390532777</v>
      </c>
      <c r="BN238" s="772">
        <f t="shared" ca="1" si="99"/>
        <v>79920.230506280248</v>
      </c>
      <c r="BO238" s="772">
        <f t="shared" ca="1" si="107"/>
        <v>79920.230506280248</v>
      </c>
      <c r="BP238" s="772">
        <f t="shared" ca="1" si="107"/>
        <v>79544.409357339959</v>
      </c>
      <c r="BQ238" s="772">
        <f t="shared" ca="1" si="107"/>
        <v>79544.409357339959</v>
      </c>
      <c r="BR238" s="772">
        <f t="shared" ca="1" si="107"/>
        <v>79142.648481811237</v>
      </c>
      <c r="BS238" s="772">
        <f t="shared" ca="1" si="107"/>
        <v>80603.864390532777</v>
      </c>
      <c r="BT238" s="772">
        <f t="shared" ca="1" si="107"/>
        <v>80603.864390532777</v>
      </c>
      <c r="BU238" s="772">
        <f t="shared" ca="1" si="107"/>
        <v>80603.864390532777</v>
      </c>
      <c r="BV238" s="772">
        <f t="shared" ca="1" si="107"/>
        <v>80272.623136355644</v>
      </c>
      <c r="BW238" s="772">
        <f t="shared" ca="1" si="107"/>
        <v>80272.623136355644</v>
      </c>
      <c r="BX238" s="772">
        <f t="shared" ca="1" si="107"/>
        <v>79544.409357339959</v>
      </c>
      <c r="BY238" s="772">
        <f t="shared" ca="1" si="107"/>
        <v>79544.409357339959</v>
      </c>
      <c r="BZ238" s="772">
        <f t="shared" ca="1" si="107"/>
        <v>79142.648481811237</v>
      </c>
      <c r="CA238" s="772">
        <f t="shared" ca="1" si="107"/>
        <v>79142.648481811237</v>
      </c>
      <c r="CB238" s="772">
        <f t="shared" ca="1" si="107"/>
        <v>80272.623136355644</v>
      </c>
      <c r="CC238" s="772">
        <f t="shared" ca="1" si="107"/>
        <v>80272.623136355644</v>
      </c>
      <c r="CD238" s="772">
        <f t="shared" ca="1" si="107"/>
        <v>80272.623136355644</v>
      </c>
      <c r="CE238" s="772">
        <f t="shared" ca="1" si="105"/>
        <v>80272.623136355644</v>
      </c>
      <c r="CF238" s="772">
        <f t="shared" ca="1" si="105"/>
        <v>79920.230506280248</v>
      </c>
      <c r="CG238" s="772">
        <f t="shared" ca="1" si="105"/>
        <v>79544.409357339959</v>
      </c>
      <c r="CH238" s="772">
        <f t="shared" ca="1" si="105"/>
        <v>79142.648481811237</v>
      </c>
      <c r="CI238" s="772">
        <f t="shared" ca="1" si="105"/>
        <v>79142.648481811237</v>
      </c>
      <c r="CJ238" s="772">
        <f t="shared" ca="1" si="105"/>
        <v>78712.18974549984</v>
      </c>
    </row>
    <row r="239" spans="1:88" ht="15" customHeight="1">
      <c r="A239" s="770">
        <f>'kc-Wert für Stützen'!C239</f>
        <v>291</v>
      </c>
      <c r="B239" s="768">
        <f ca="1">INDIRECT("'kc-Wert für Stützen'!"&amp;SUBSTITUTE(ADDRESS(MATCH($A239,'kc-Wert für Stützen'!$C:$C,0),MATCH(B$7,'kc-Wert für Stützen'!$A$8:$ES$8,0)+7,4),,))</f>
        <v>82079.561222163989</v>
      </c>
      <c r="C239" s="768">
        <f ca="1">INDIRECT("'kc-Wert für Stützen'!"&amp;SUBSTITUTE(ADDRESS(MATCH($A239,'kc-Wert für Stützen'!$C:$C,0),MATCH(C$7,'kc-Wert für Stützen'!$A$8:$ES$8,0)+7,4),,))</f>
        <v>81800.680400605575</v>
      </c>
      <c r="D239" s="768">
        <f ca="1">INDIRECT("'kc-Wert für Stützen'!"&amp;SUBSTITUTE(ADDRESS(MATCH($A239,'kc-Wert für Stützen'!$C:$C,0),MATCH(D$7,'kc-Wert für Stützen'!$A$8:$ES$8,0)+7,4),,))</f>
        <v>81506.403173903847</v>
      </c>
      <c r="E239" s="768">
        <f ca="1">INDIRECT("'kc-Wert für Stützen'!"&amp;SUBSTITUTE(ADDRESS(MATCH($A239,'kc-Wert für Stützen'!$C:$C,0),MATCH(E$7,'kc-Wert für Stützen'!$A$8:$ES$8,0)+7,4),,))</f>
        <v>81195.074677826327</v>
      </c>
      <c r="F239" s="768">
        <f ca="1">INDIRECT("'kc-Wert für Stützen'!"&amp;SUBSTITUTE(ADDRESS(MATCH($A239,'kc-Wert für Stützen'!$C:$C,0),MATCH(F$7,'kc-Wert für Stützen'!$A$8:$ES$8,0)+7,4),,))</f>
        <v>80864.861590171524</v>
      </c>
      <c r="G239" s="768">
        <f ca="1">INDIRECT("'kc-Wert für Stützen'!"&amp;SUBSTITUTE(ADDRESS(MATCH($A239,'kc-Wert für Stützen'!$C:$C,0),MATCH(G$7,'kc-Wert für Stützen'!$A$8:$ES$8,0)+7,4),,))</f>
        <v>80513.734052068932</v>
      </c>
      <c r="H239" s="768">
        <f ca="1">INDIRECT("'kc-Wert für Stützen'!"&amp;SUBSTITUTE(ADDRESS(MATCH($A239,'kc-Wert für Stützen'!$C:$C,0),MATCH(H$7,'kc-Wert für Stützen'!$A$8:$ES$8,0)+7,4),,))</f>
        <v>80139.447845493851</v>
      </c>
      <c r="I239" s="768">
        <f ca="1">INDIRECT("'kc-Wert für Stützen'!"&amp;SUBSTITUTE(ADDRESS(MATCH($A239,'kc-Wert für Stützen'!$C:$C,0),MATCH(I$7,'kc-Wert für Stützen'!$A$8:$ES$8,0)+7,4),,))</f>
        <v>79739.52799479774</v>
      </c>
      <c r="J239" s="768">
        <f ca="1">INDIRECT("'kc-Wert für Stützen'!"&amp;SUBSTITUTE(ADDRESS(MATCH($A239,'kc-Wert für Stützen'!$C:$C,0),MATCH(J$7,'kc-Wert für Stützen'!$A$8:$ES$8,0)+7,4),,))</f>
        <v>79311.255525375222</v>
      </c>
      <c r="K239" s="768">
        <f ca="1">INDIRECT("'kc-Wert für Stützen'!"&amp;SUBSTITUTE(ADDRESS(MATCH($A239,'kc-Wert für Stützen'!$C:$C,0),MATCH(K$7,'kc-Wert für Stützen'!$A$8:$ES$8,0)+7,4),,))</f>
        <v>78851.659851481309</v>
      </c>
      <c r="L239" s="768">
        <f ca="1">INDIRECT("'kc-Wert für Stützen'!"&amp;SUBSTITUTE(ADDRESS(MATCH($A239,'kc-Wert für Stützen'!$C:$C,0),MATCH(L$7,'kc-Wert für Stützen'!$A$8:$ES$8,0)+7,4),,))</f>
        <v>78357.520187135495</v>
      </c>
      <c r="M239" s="768">
        <f ca="1">INDIRECT("'kc-Wert für Stützen'!"&amp;SUBSTITUTE(ADDRESS(MATCH($A239,'kc-Wert für Stützen'!$C:$C,0),MATCH(M$7,'kc-Wert für Stützen'!$A$8:$ES$8,0)+7,4),,))</f>
        <v>77825.380452012905</v>
      </c>
      <c r="N239" s="768">
        <f ca="1">INDIRECT("'kc-Wert für Stützen'!"&amp;SUBSTITUTE(ADDRESS(MATCH($A239,'kc-Wert für Stützen'!$C:$C,0),MATCH(N$7,'kc-Wert für Stützen'!$A$8:$ES$8,0)+7,4),,))</f>
        <v>77251.58328288261</v>
      </c>
      <c r="O239" s="768">
        <f ca="1">INDIRECT("'kc-Wert für Stützen'!"&amp;SUBSTITUTE(ADDRESS(MATCH($A239,'kc-Wert für Stützen'!$C:$C,0),MATCH(O$7,'kc-Wert für Stützen'!$A$8:$ES$8,0)+7,4),,))</f>
        <v>76632.329753737868</v>
      </c>
      <c r="P239" s="768">
        <f ca="1">INDIRECT("'kc-Wert für Stützen'!"&amp;SUBSTITUTE(ADDRESS(MATCH($A239,'kc-Wert für Stützen'!$C:$C,0),MATCH(P$7,'kc-Wert für Stützen'!$A$8:$ES$8,0)+7,4),,))</f>
        <v>75963.771889042895</v>
      </c>
      <c r="S239" s="772">
        <f t="shared" ca="1" si="91"/>
        <v>81506.403173903847</v>
      </c>
      <c r="T239" s="772">
        <f t="shared" ca="1" si="94"/>
        <v>81506.403173903847</v>
      </c>
      <c r="U239" s="772">
        <f t="shared" ca="1" si="94"/>
        <v>81506.403173903847</v>
      </c>
      <c r="V239" s="772">
        <f t="shared" ca="1" si="94"/>
        <v>81195.074677826327</v>
      </c>
      <c r="W239" s="772">
        <f t="shared" ca="1" si="94"/>
        <v>80864.861590171524</v>
      </c>
      <c r="X239" s="772">
        <f t="shared" ca="1" si="94"/>
        <v>80513.734052068932</v>
      </c>
      <c r="Y239" s="772">
        <f t="shared" ca="1" si="94"/>
        <v>80139.447845493851</v>
      </c>
      <c r="Z239" s="772">
        <f t="shared" ca="1" si="94"/>
        <v>81506.403173903847</v>
      </c>
      <c r="AA239" s="772">
        <f t="shared" ca="1" si="94"/>
        <v>81506.403173903847</v>
      </c>
      <c r="AB239" s="772">
        <f t="shared" ca="1" si="109"/>
        <v>81195.074677826327</v>
      </c>
      <c r="AC239" s="772">
        <f t="shared" ca="1" si="109"/>
        <v>81195.074677826327</v>
      </c>
      <c r="AD239" s="772">
        <f t="shared" ca="1" si="109"/>
        <v>80864.861590171524</v>
      </c>
      <c r="AE239" s="772">
        <f t="shared" ca="1" si="109"/>
        <v>80864.861590171524</v>
      </c>
      <c r="AF239" s="772">
        <f t="shared" ca="1" si="109"/>
        <v>80513.734052068932</v>
      </c>
      <c r="AG239" s="772">
        <f t="shared" ca="1" si="109"/>
        <v>80513.734052068932</v>
      </c>
      <c r="AH239" s="772">
        <f t="shared" ca="1" si="108"/>
        <v>80513.734052068932</v>
      </c>
      <c r="AI239" s="772">
        <f t="shared" ca="1" si="108"/>
        <v>81506.403173903847</v>
      </c>
      <c r="AJ239" s="772">
        <f t="shared" ca="1" si="108"/>
        <v>81506.403173903847</v>
      </c>
      <c r="AK239" s="772">
        <f t="shared" ca="1" si="108"/>
        <v>81195.074677826327</v>
      </c>
      <c r="AL239" s="772">
        <f t="shared" ca="1" si="108"/>
        <v>81195.074677826327</v>
      </c>
      <c r="AM239" s="772">
        <f t="shared" ca="1" si="108"/>
        <v>80864.861590171524</v>
      </c>
      <c r="AN239" s="772">
        <f t="shared" ca="1" si="108"/>
        <v>80864.861590171524</v>
      </c>
      <c r="AO239" s="772">
        <f t="shared" ca="1" si="108"/>
        <v>80513.734052068932</v>
      </c>
      <c r="AP239" s="772">
        <f t="shared" ca="1" si="108"/>
        <v>80513.734052068932</v>
      </c>
      <c r="AQ239" s="772">
        <f t="shared" ca="1" si="108"/>
        <v>80513.734052068932</v>
      </c>
      <c r="AR239" s="772">
        <f t="shared" ca="1" si="110"/>
        <v>81506.403173903847</v>
      </c>
      <c r="AS239" s="772">
        <f t="shared" ca="1" si="110"/>
        <v>81506.403173903847</v>
      </c>
      <c r="AT239" s="772">
        <f t="shared" ca="1" si="110"/>
        <v>81195.074677826327</v>
      </c>
      <c r="AU239" s="772">
        <f t="shared" ca="1" si="110"/>
        <v>81195.074677826327</v>
      </c>
      <c r="AV239" s="772">
        <f t="shared" ca="1" si="110"/>
        <v>80864.861590171524</v>
      </c>
      <c r="AW239" s="772">
        <f t="shared" ca="1" si="110"/>
        <v>80864.861590171524</v>
      </c>
      <c r="AX239" s="772">
        <f t="shared" ca="1" si="110"/>
        <v>80513.734052068932</v>
      </c>
      <c r="AY239" s="772">
        <f t="shared" ca="1" si="110"/>
        <v>80513.734052068932</v>
      </c>
      <c r="AZ239" s="772">
        <f t="shared" ca="1" si="110"/>
        <v>80513.734052068932</v>
      </c>
      <c r="BA239" s="772">
        <f t="shared" ca="1" si="110"/>
        <v>81506.403173903847</v>
      </c>
      <c r="BB239" s="772">
        <f t="shared" ca="1" si="110"/>
        <v>81506.403173903847</v>
      </c>
      <c r="BC239" s="772">
        <f t="shared" ca="1" si="110"/>
        <v>81195.074677826327</v>
      </c>
      <c r="BD239" s="772">
        <f t="shared" ca="1" si="110"/>
        <v>80864.861590171524</v>
      </c>
      <c r="BE239" s="772">
        <f t="shared" ca="1" si="110"/>
        <v>80864.861590171524</v>
      </c>
      <c r="BF239" s="772">
        <f t="shared" ca="1" si="110"/>
        <v>80513.734052068932</v>
      </c>
      <c r="BG239" s="772">
        <f t="shared" ca="1" si="97"/>
        <v>80513.734052068932</v>
      </c>
      <c r="BH239" s="772">
        <f t="shared" ca="1" si="106"/>
        <v>80139.447845493851</v>
      </c>
      <c r="BI239" s="772">
        <f t="shared" ca="1" si="106"/>
        <v>80139.447845493851</v>
      </c>
      <c r="BJ239" s="772">
        <f t="shared" ca="1" si="106"/>
        <v>81195.074677826327</v>
      </c>
      <c r="BK239" s="772">
        <f t="shared" ca="1" si="106"/>
        <v>81195.074677826327</v>
      </c>
      <c r="BL239" s="772">
        <f t="shared" ca="1" si="106"/>
        <v>81195.074677826327</v>
      </c>
      <c r="BM239" s="772">
        <f t="shared" ca="1" si="106"/>
        <v>81195.074677826327</v>
      </c>
      <c r="BN239" s="772">
        <f t="shared" ca="1" si="99"/>
        <v>80513.734052068932</v>
      </c>
      <c r="BO239" s="772">
        <f t="shared" ca="1" si="107"/>
        <v>80513.734052068932</v>
      </c>
      <c r="BP239" s="772">
        <f t="shared" ca="1" si="107"/>
        <v>80139.447845493851</v>
      </c>
      <c r="BQ239" s="772">
        <f t="shared" ca="1" si="107"/>
        <v>80139.447845493851</v>
      </c>
      <c r="BR239" s="772">
        <f t="shared" ca="1" si="107"/>
        <v>79739.52799479774</v>
      </c>
      <c r="BS239" s="772">
        <f t="shared" ca="1" si="107"/>
        <v>81195.074677826327</v>
      </c>
      <c r="BT239" s="772">
        <f t="shared" ca="1" si="107"/>
        <v>81195.074677826327</v>
      </c>
      <c r="BU239" s="772">
        <f t="shared" ca="1" si="107"/>
        <v>81195.074677826327</v>
      </c>
      <c r="BV239" s="772">
        <f t="shared" ca="1" si="107"/>
        <v>80864.861590171524</v>
      </c>
      <c r="BW239" s="772">
        <f t="shared" ca="1" si="107"/>
        <v>80864.861590171524</v>
      </c>
      <c r="BX239" s="772">
        <f t="shared" ca="1" si="107"/>
        <v>80139.447845493851</v>
      </c>
      <c r="BY239" s="772">
        <f t="shared" ca="1" si="107"/>
        <v>80139.447845493851</v>
      </c>
      <c r="BZ239" s="772">
        <f t="shared" ca="1" si="107"/>
        <v>79739.52799479774</v>
      </c>
      <c r="CA239" s="772">
        <f t="shared" ca="1" si="107"/>
        <v>79739.52799479774</v>
      </c>
      <c r="CB239" s="772">
        <f t="shared" ca="1" si="107"/>
        <v>80864.861590171524</v>
      </c>
      <c r="CC239" s="772">
        <f t="shared" ca="1" si="107"/>
        <v>80864.861590171524</v>
      </c>
      <c r="CD239" s="772">
        <f t="shared" ca="1" si="107"/>
        <v>80864.861590171524</v>
      </c>
      <c r="CE239" s="772">
        <f t="shared" ca="1" si="105"/>
        <v>80864.861590171524</v>
      </c>
      <c r="CF239" s="772">
        <f t="shared" ca="1" si="105"/>
        <v>80513.734052068932</v>
      </c>
      <c r="CG239" s="772">
        <f t="shared" ca="1" si="105"/>
        <v>80139.447845493851</v>
      </c>
      <c r="CH239" s="772">
        <f t="shared" ca="1" si="105"/>
        <v>79739.52799479774</v>
      </c>
      <c r="CI239" s="772">
        <f t="shared" ca="1" si="105"/>
        <v>79739.52799479774</v>
      </c>
      <c r="CJ239" s="772">
        <f t="shared" ca="1" si="105"/>
        <v>79311.255525375222</v>
      </c>
    </row>
    <row r="240" spans="1:88" ht="15" customHeight="1">
      <c r="A240" s="770">
        <f>'kc-Wert für Stützen'!C240</f>
        <v>292</v>
      </c>
      <c r="B240" s="768">
        <f ca="1">INDIRECT("'kc-Wert für Stützen'!"&amp;SUBSTITUTE(ADDRESS(MATCH($A240,'kc-Wert für Stützen'!$C:$C,0),MATCH(B$7,'kc-Wert für Stützen'!$A$8:$ES$8,0)+7,4),,))</f>
        <v>82670.819240418059</v>
      </c>
      <c r="C240" s="768">
        <f ca="1">INDIRECT("'kc-Wert für Stützen'!"&amp;SUBSTITUTE(ADDRESS(MATCH($A240,'kc-Wert für Stützen'!$C:$C,0),MATCH(C$7,'kc-Wert für Stützen'!$A$8:$ES$8,0)+7,4),,))</f>
        <v>82392.405627091968</v>
      </c>
      <c r="D240" s="768">
        <f ca="1">INDIRECT("'kc-Wert für Stützen'!"&amp;SUBSTITUTE(ADDRESS(MATCH($A240,'kc-Wert für Stützen'!$C:$C,0),MATCH(D$7,'kc-Wert für Stützen'!$A$8:$ES$8,0)+7,4),,))</f>
        <v>82098.750989113367</v>
      </c>
      <c r="E240" s="768">
        <f ca="1">INDIRECT("'kc-Wert für Stützen'!"&amp;SUBSTITUTE(ADDRESS(MATCH($A240,'kc-Wert für Stützen'!$C:$C,0),MATCH(E$7,'kc-Wert für Stützen'!$A$8:$ES$8,0)+7,4),,))</f>
        <v>81788.223124333774</v>
      </c>
      <c r="F240" s="768">
        <f ca="1">INDIRECT("'kc-Wert für Stützen'!"&amp;SUBSTITUTE(ADDRESS(MATCH($A240,'kc-Wert für Stützen'!$C:$C,0),MATCH(F$7,'kc-Wert für Stützen'!$A$8:$ES$8,0)+7,4),,))</f>
        <v>81459.01442004164</v>
      </c>
      <c r="G240" s="768">
        <f ca="1">INDIRECT("'kc-Wert für Stützen'!"&amp;SUBSTITUTE(ADDRESS(MATCH($A240,'kc-Wert für Stützen'!$C:$C,0),MATCH(G$7,'kc-Wert für Stützen'!$A$8:$ES$8,0)+7,4),,))</f>
        <v>81109.123980689459</v>
      </c>
      <c r="H240" s="768">
        <f ca="1">INDIRECT("'kc-Wert für Stützen'!"&amp;SUBSTITUTE(ADDRESS(MATCH($A240,'kc-Wert für Stützen'!$C:$C,0),MATCH(H$7,'kc-Wert für Stützen'!$A$8:$ES$8,0)+7,4),,))</f>
        <v>80736.339911827818</v>
      </c>
      <c r="I240" s="768">
        <f ca="1">INDIRECT("'kc-Wert für Stützen'!"&amp;SUBSTITUTE(ADDRESS(MATCH($A240,'kc-Wert für Stützen'!$C:$C,0),MATCH(I$7,'kc-Wert für Stützen'!$A$8:$ES$8,0)+7,4),,))</f>
        <v>80338.222857170316</v>
      </c>
      <c r="J240" s="768">
        <f ca="1">INDIRECT("'kc-Wert für Stützen'!"&amp;SUBSTITUTE(ADDRESS(MATCH($A240,'kc-Wert für Stützen'!$C:$C,0),MATCH(J$7,'kc-Wert für Stützen'!$A$8:$ES$8,0)+7,4),,))</f>
        <v>79912.092422185451</v>
      </c>
      <c r="K240" s="768">
        <f ca="1">INDIRECT("'kc-Wert für Stützen'!"&amp;SUBSTITUTE(ADDRESS(MATCH($A240,'kc-Wert für Stützen'!$C:$C,0),MATCH(K$7,'kc-Wert für Stützen'!$A$8:$ES$8,0)+7,4),,))</f>
        <v>79455.018821308491</v>
      </c>
      <c r="L240" s="768">
        <f ca="1">INDIRECT("'kc-Wert für Stützen'!"&amp;SUBSTITUTE(ADDRESS(MATCH($A240,'kc-Wert für Stützen'!$C:$C,0),MATCH(L$7,'kc-Wert für Stützen'!$A$8:$ES$8,0)+7,4),,))</f>
        <v>78963.822968613124</v>
      </c>
      <c r="M240" s="768">
        <f ca="1">INDIRECT("'kc-Wert für Stützen'!"&amp;SUBSTITUTE(ADDRESS(MATCH($A240,'kc-Wert für Stützen'!$C:$C,0),MATCH(M$7,'kc-Wert für Stützen'!$A$8:$ES$8,0)+7,4),,))</f>
        <v>78435.08927289641</v>
      </c>
      <c r="N240" s="768">
        <f ca="1">INDIRECT("'kc-Wert für Stützen'!"&amp;SUBSTITUTE(ADDRESS(MATCH($A240,'kc-Wert für Stützen'!$C:$C,0),MATCH(N$7,'kc-Wert für Stützen'!$A$8:$ES$8,0)+7,4),,))</f>
        <v>77865.196514968644</v>
      </c>
      <c r="O240" s="768">
        <f ca="1">INDIRECT("'kc-Wert für Stützen'!"&amp;SUBSTITUTE(ADDRESS(MATCH($A240,'kc-Wert für Stützen'!$C:$C,0),MATCH(O$7,'kc-Wert für Stützen'!$A$8:$ES$8,0)+7,4),,))</f>
        <v>77250.373192346262</v>
      </c>
      <c r="P240" s="768">
        <f ca="1">INDIRECT("'kc-Wert für Stützen'!"&amp;SUBSTITUTE(ADDRESS(MATCH($A240,'kc-Wert für Stützen'!$C:$C,0),MATCH(P$7,'kc-Wert für Stützen'!$A$8:$ES$8,0)+7,4),,))</f>
        <v>76586.784281069398</v>
      </c>
      <c r="S240" s="772">
        <f t="shared" ca="1" si="91"/>
        <v>82098.750989113367</v>
      </c>
      <c r="T240" s="772">
        <f t="shared" ca="1" si="94"/>
        <v>82098.750989113367</v>
      </c>
      <c r="U240" s="772">
        <f t="shared" ca="1" si="94"/>
        <v>82098.750989113367</v>
      </c>
      <c r="V240" s="772">
        <f t="shared" ca="1" si="94"/>
        <v>81788.223124333774</v>
      </c>
      <c r="W240" s="772">
        <f t="shared" ca="1" si="94"/>
        <v>81459.01442004164</v>
      </c>
      <c r="X240" s="772">
        <f t="shared" ca="1" si="94"/>
        <v>81109.123980689459</v>
      </c>
      <c r="Y240" s="772">
        <f t="shared" ca="1" si="94"/>
        <v>80736.339911827818</v>
      </c>
      <c r="Z240" s="772">
        <f t="shared" ca="1" si="94"/>
        <v>82098.750989113367</v>
      </c>
      <c r="AA240" s="772">
        <f t="shared" ca="1" si="94"/>
        <v>82098.750989113367</v>
      </c>
      <c r="AB240" s="772">
        <f t="shared" ca="1" si="109"/>
        <v>81788.223124333774</v>
      </c>
      <c r="AC240" s="772">
        <f t="shared" ca="1" si="109"/>
        <v>81788.223124333774</v>
      </c>
      <c r="AD240" s="772">
        <f t="shared" ca="1" si="109"/>
        <v>81459.01442004164</v>
      </c>
      <c r="AE240" s="772">
        <f t="shared" ca="1" si="109"/>
        <v>81459.01442004164</v>
      </c>
      <c r="AF240" s="772">
        <f t="shared" ca="1" si="109"/>
        <v>81109.123980689459</v>
      </c>
      <c r="AG240" s="772">
        <f t="shared" ca="1" si="109"/>
        <v>81109.123980689459</v>
      </c>
      <c r="AH240" s="772">
        <f t="shared" ca="1" si="108"/>
        <v>81109.123980689459</v>
      </c>
      <c r="AI240" s="772">
        <f t="shared" ca="1" si="108"/>
        <v>82098.750989113367</v>
      </c>
      <c r="AJ240" s="772">
        <f t="shared" ca="1" si="108"/>
        <v>82098.750989113367</v>
      </c>
      <c r="AK240" s="772">
        <f t="shared" ca="1" si="108"/>
        <v>81788.223124333774</v>
      </c>
      <c r="AL240" s="772">
        <f t="shared" ca="1" si="108"/>
        <v>81788.223124333774</v>
      </c>
      <c r="AM240" s="772">
        <f t="shared" ca="1" si="108"/>
        <v>81459.01442004164</v>
      </c>
      <c r="AN240" s="772">
        <f t="shared" ca="1" si="108"/>
        <v>81459.01442004164</v>
      </c>
      <c r="AO240" s="772">
        <f t="shared" ca="1" si="108"/>
        <v>81109.123980689459</v>
      </c>
      <c r="AP240" s="772">
        <f t="shared" ca="1" si="108"/>
        <v>81109.123980689459</v>
      </c>
      <c r="AQ240" s="772">
        <f t="shared" ca="1" si="108"/>
        <v>81109.123980689459</v>
      </c>
      <c r="AR240" s="772">
        <f t="shared" ca="1" si="110"/>
        <v>82098.750989113367</v>
      </c>
      <c r="AS240" s="772">
        <f t="shared" ca="1" si="110"/>
        <v>82098.750989113367</v>
      </c>
      <c r="AT240" s="772">
        <f t="shared" ca="1" si="110"/>
        <v>81788.223124333774</v>
      </c>
      <c r="AU240" s="772">
        <f t="shared" ca="1" si="110"/>
        <v>81788.223124333774</v>
      </c>
      <c r="AV240" s="772">
        <f t="shared" ca="1" si="110"/>
        <v>81459.01442004164</v>
      </c>
      <c r="AW240" s="772">
        <f t="shared" ca="1" si="110"/>
        <v>81459.01442004164</v>
      </c>
      <c r="AX240" s="772">
        <f t="shared" ca="1" si="110"/>
        <v>81109.123980689459</v>
      </c>
      <c r="AY240" s="772">
        <f t="shared" ca="1" si="110"/>
        <v>81109.123980689459</v>
      </c>
      <c r="AZ240" s="772">
        <f t="shared" ca="1" si="110"/>
        <v>81109.123980689459</v>
      </c>
      <c r="BA240" s="772">
        <f t="shared" ca="1" si="110"/>
        <v>82098.750989113367</v>
      </c>
      <c r="BB240" s="772">
        <f t="shared" ca="1" si="110"/>
        <v>82098.750989113367</v>
      </c>
      <c r="BC240" s="772">
        <f t="shared" ca="1" si="110"/>
        <v>81788.223124333774</v>
      </c>
      <c r="BD240" s="772">
        <f t="shared" ca="1" si="110"/>
        <v>81459.01442004164</v>
      </c>
      <c r="BE240" s="772">
        <f t="shared" ca="1" si="110"/>
        <v>81459.01442004164</v>
      </c>
      <c r="BF240" s="772">
        <f t="shared" ca="1" si="110"/>
        <v>81109.123980689459</v>
      </c>
      <c r="BG240" s="772">
        <f t="shared" ca="1" si="97"/>
        <v>81109.123980689459</v>
      </c>
      <c r="BH240" s="772">
        <f t="shared" ca="1" si="106"/>
        <v>80736.339911827818</v>
      </c>
      <c r="BI240" s="772">
        <f t="shared" ca="1" si="106"/>
        <v>80736.339911827818</v>
      </c>
      <c r="BJ240" s="772">
        <f t="shared" ca="1" si="106"/>
        <v>81788.223124333774</v>
      </c>
      <c r="BK240" s="772">
        <f t="shared" ca="1" si="106"/>
        <v>81788.223124333774</v>
      </c>
      <c r="BL240" s="772">
        <f t="shared" ca="1" si="106"/>
        <v>81788.223124333774</v>
      </c>
      <c r="BM240" s="772">
        <f t="shared" ca="1" si="106"/>
        <v>81788.223124333774</v>
      </c>
      <c r="BN240" s="772">
        <f t="shared" ca="1" si="99"/>
        <v>81109.123980689459</v>
      </c>
      <c r="BO240" s="772">
        <f t="shared" ca="1" si="107"/>
        <v>81109.123980689459</v>
      </c>
      <c r="BP240" s="772">
        <f t="shared" ca="1" si="107"/>
        <v>80736.339911827818</v>
      </c>
      <c r="BQ240" s="772">
        <f t="shared" ca="1" si="107"/>
        <v>80736.339911827818</v>
      </c>
      <c r="BR240" s="772">
        <f t="shared" ca="1" si="107"/>
        <v>80338.222857170316</v>
      </c>
      <c r="BS240" s="772">
        <f t="shared" ca="1" si="107"/>
        <v>81788.223124333774</v>
      </c>
      <c r="BT240" s="772">
        <f t="shared" ca="1" si="107"/>
        <v>81788.223124333774</v>
      </c>
      <c r="BU240" s="772">
        <f t="shared" ca="1" si="107"/>
        <v>81788.223124333774</v>
      </c>
      <c r="BV240" s="772">
        <f t="shared" ca="1" si="107"/>
        <v>81459.01442004164</v>
      </c>
      <c r="BW240" s="772">
        <f t="shared" ca="1" si="107"/>
        <v>81459.01442004164</v>
      </c>
      <c r="BX240" s="772">
        <f t="shared" ca="1" si="107"/>
        <v>80736.339911827818</v>
      </c>
      <c r="BY240" s="772">
        <f t="shared" ca="1" si="107"/>
        <v>80736.339911827818</v>
      </c>
      <c r="BZ240" s="772">
        <f t="shared" ca="1" si="107"/>
        <v>80338.222857170316</v>
      </c>
      <c r="CA240" s="772">
        <f t="shared" ca="1" si="107"/>
        <v>80338.222857170316</v>
      </c>
      <c r="CB240" s="772">
        <f t="shared" ca="1" si="107"/>
        <v>81459.01442004164</v>
      </c>
      <c r="CC240" s="772">
        <f t="shared" ca="1" si="107"/>
        <v>81459.01442004164</v>
      </c>
      <c r="CD240" s="772">
        <f t="shared" ca="1" si="107"/>
        <v>81459.01442004164</v>
      </c>
      <c r="CE240" s="772">
        <f t="shared" ca="1" si="105"/>
        <v>81459.01442004164</v>
      </c>
      <c r="CF240" s="772">
        <f t="shared" ca="1" si="105"/>
        <v>81109.123980689459</v>
      </c>
      <c r="CG240" s="772">
        <f t="shared" ca="1" si="105"/>
        <v>80736.339911827818</v>
      </c>
      <c r="CH240" s="772">
        <f t="shared" ca="1" si="105"/>
        <v>80338.222857170316</v>
      </c>
      <c r="CI240" s="772">
        <f t="shared" ca="1" si="105"/>
        <v>80338.222857170316</v>
      </c>
      <c r="CJ240" s="772">
        <f t="shared" ca="1" si="105"/>
        <v>79912.092422185451</v>
      </c>
    </row>
    <row r="241" spans="1:88" ht="15" customHeight="1">
      <c r="A241" s="770">
        <f>'kc-Wert für Stützen'!C241</f>
        <v>293</v>
      </c>
      <c r="B241" s="768">
        <f ca="1">INDIRECT("'kc-Wert für Stützen'!"&amp;SUBSTITUTE(ADDRESS(MATCH($A241,'kc-Wert für Stützen'!$C:$C,0),MATCH(B$7,'kc-Wert für Stützen'!$A$8:$ES$8,0)+7,4),,))</f>
        <v>83264.068134641813</v>
      </c>
      <c r="C241" s="768">
        <f ca="1">INDIRECT("'kc-Wert für Stützen'!"&amp;SUBSTITUTE(ADDRESS(MATCH($A241,'kc-Wert für Stützen'!$C:$C,0),MATCH(C$7,'kc-Wert für Stützen'!$A$8:$ES$8,0)+7,4),,))</f>
        <v>82986.107689294629</v>
      </c>
      <c r="D241" s="768">
        <f ca="1">INDIRECT("'kc-Wert für Stützen'!"&amp;SUBSTITUTE(ADDRESS(MATCH($A241,'kc-Wert für Stützen'!$C:$C,0),MATCH(D$7,'kc-Wert für Stützen'!$A$8:$ES$8,0)+7,4),,))</f>
        <v>82693.058983757524</v>
      </c>
      <c r="E241" s="768">
        <f ca="1">INDIRECT("'kc-Wert für Stützen'!"&amp;SUBSTITUTE(ADDRESS(MATCH($A241,'kc-Wert für Stützen'!$C:$C,0),MATCH(E$7,'kc-Wert für Stützen'!$A$8:$ES$8,0)+7,4),,))</f>
        <v>82383.312031492533</v>
      </c>
      <c r="F241" s="768">
        <f ca="1">INDIRECT("'kc-Wert für Stützen'!"&amp;SUBSTITUTE(ADDRESS(MATCH($A241,'kc-Wert für Stützen'!$C:$C,0),MATCH(F$7,'kc-Wert für Stützen'!$A$8:$ES$8,0)+7,4),,))</f>
        <v>82055.08442722437</v>
      </c>
      <c r="G241" s="768">
        <f ca="1">INDIRECT("'kc-Wert für Stützen'!"&amp;SUBSTITUTE(ADDRESS(MATCH($A241,'kc-Wert für Stützen'!$C:$C,0),MATCH(G$7,'kc-Wert für Stützen'!$A$8:$ES$8,0)+7,4),,))</f>
        <v>81706.403685553421</v>
      </c>
      <c r="H241" s="768">
        <f ca="1">INDIRECT("'kc-Wert für Stützen'!"&amp;SUBSTITUTE(ADDRESS(MATCH($A241,'kc-Wert für Stützen'!$C:$C,0),MATCH(H$7,'kc-Wert für Stützen'!$A$8:$ES$8,0)+7,4),,))</f>
        <v>81335.089643497209</v>
      </c>
      <c r="I241" s="768">
        <f ca="1">INDIRECT("'kc-Wert für Stützen'!"&amp;SUBSTITUTE(ADDRESS(MATCH($A241,'kc-Wert für Stützen'!$C:$C,0),MATCH(I$7,'kc-Wert für Stützen'!$A$8:$ES$8,0)+7,4),,))</f>
        <v>80938.737957109843</v>
      </c>
      <c r="J241" s="768">
        <f ca="1">INDIRECT("'kc-Wert für Stützen'!"&amp;SUBSTITUTE(ADDRESS(MATCH($A241,'kc-Wert für Stützen'!$C:$C,0),MATCH(J$7,'kc-Wert für Stützen'!$A$8:$ES$8,0)+7,4),,))</f>
        <v>80514.706231357326</v>
      </c>
      <c r="K241" s="768">
        <f ca="1">INDIRECT("'kc-Wert für Stützen'!"&amp;SUBSTITUTE(ADDRESS(MATCH($A241,'kc-Wert für Stützen'!$C:$C,0),MATCH(K$7,'kc-Wert für Stützen'!$A$8:$ES$8,0)+7,4),,))</f>
        <v>80060.10499239176</v>
      </c>
      <c r="L241" s="768">
        <f ca="1">INDIRECT("'kc-Wert für Stützen'!"&amp;SUBSTITUTE(ADDRESS(MATCH($A241,'kc-Wert für Stützen'!$C:$C,0),MATCH(L$7,'kc-Wert für Stützen'!$A$8:$ES$8,0)+7,4),,))</f>
        <v>79571.79655608107</v>
      </c>
      <c r="M241" s="768">
        <f ca="1">INDIRECT("'kc-Wert für Stützen'!"&amp;SUBSTITUTE(ADDRESS(MATCH($A241,'kc-Wert für Stützen'!$C:$C,0),MATCH(M$7,'kc-Wert für Stützen'!$A$8:$ES$8,0)+7,4),,))</f>
        <v>79046.405850985509</v>
      </c>
      <c r="N241" s="768">
        <f ca="1">INDIRECT("'kc-Wert für Stützen'!"&amp;SUBSTITUTE(ADDRESS(MATCH($A241,'kc-Wert für Stützen'!$C:$C,0),MATCH(N$7,'kc-Wert für Stützen'!$A$8:$ES$8,0)+7,4),,))</f>
        <v>78480.348346711151</v>
      </c>
      <c r="O241" s="768">
        <f ca="1">INDIRECT("'kc-Wert für Stützen'!"&amp;SUBSTITUTE(ADDRESS(MATCH($A241,'kc-Wert für Stützen'!$C:$C,0),MATCH(O$7,'kc-Wert für Stützen'!$A$8:$ES$8,0)+7,4),,))</f>
        <v>77869.881254342094</v>
      </c>
      <c r="P241" s="768">
        <f ca="1">INDIRECT("'kc-Wert für Stützen'!"&amp;SUBSTITUTE(ADDRESS(MATCH($A241,'kc-Wert für Stützen'!$C:$C,0),MATCH(P$7,'kc-Wert für Stützen'!$A$8:$ES$8,0)+7,4),,))</f>
        <v>77211.184800617513</v>
      </c>
      <c r="S241" s="772">
        <f t="shared" ca="1" si="91"/>
        <v>82693.058983757524</v>
      </c>
      <c r="T241" s="772">
        <f t="shared" ca="1" si="94"/>
        <v>82693.058983757524</v>
      </c>
      <c r="U241" s="772">
        <f t="shared" ca="1" si="94"/>
        <v>82693.058983757524</v>
      </c>
      <c r="V241" s="772">
        <f t="shared" ca="1" si="94"/>
        <v>82383.312031492533</v>
      </c>
      <c r="W241" s="772">
        <f t="shared" ca="1" si="94"/>
        <v>82055.08442722437</v>
      </c>
      <c r="X241" s="772">
        <f t="shared" ca="1" si="94"/>
        <v>81706.403685553421</v>
      </c>
      <c r="Y241" s="772">
        <f t="shared" ca="1" si="94"/>
        <v>81335.089643497209</v>
      </c>
      <c r="Z241" s="772">
        <f t="shared" ca="1" si="94"/>
        <v>82693.058983757524</v>
      </c>
      <c r="AA241" s="772">
        <f t="shared" ca="1" si="94"/>
        <v>82693.058983757524</v>
      </c>
      <c r="AB241" s="772">
        <f t="shared" ca="1" si="109"/>
        <v>82383.312031492533</v>
      </c>
      <c r="AC241" s="772">
        <f t="shared" ca="1" si="109"/>
        <v>82383.312031492533</v>
      </c>
      <c r="AD241" s="772">
        <f t="shared" ca="1" si="109"/>
        <v>82055.08442722437</v>
      </c>
      <c r="AE241" s="772">
        <f t="shared" ca="1" si="109"/>
        <v>82055.08442722437</v>
      </c>
      <c r="AF241" s="772">
        <f t="shared" ca="1" si="109"/>
        <v>81706.403685553421</v>
      </c>
      <c r="AG241" s="772">
        <f t="shared" ca="1" si="109"/>
        <v>81706.403685553421</v>
      </c>
      <c r="AH241" s="772">
        <f t="shared" ca="1" si="108"/>
        <v>81706.403685553421</v>
      </c>
      <c r="AI241" s="772">
        <f t="shared" ca="1" si="108"/>
        <v>82693.058983757524</v>
      </c>
      <c r="AJ241" s="772">
        <f t="shared" ca="1" si="108"/>
        <v>82693.058983757524</v>
      </c>
      <c r="AK241" s="772">
        <f t="shared" ca="1" si="108"/>
        <v>82383.312031492533</v>
      </c>
      <c r="AL241" s="772">
        <f t="shared" ca="1" si="108"/>
        <v>82383.312031492533</v>
      </c>
      <c r="AM241" s="772">
        <f t="shared" ca="1" si="108"/>
        <v>82055.08442722437</v>
      </c>
      <c r="AN241" s="772">
        <f t="shared" ca="1" si="108"/>
        <v>82055.08442722437</v>
      </c>
      <c r="AO241" s="772">
        <f t="shared" ca="1" si="108"/>
        <v>81706.403685553421</v>
      </c>
      <c r="AP241" s="772">
        <f t="shared" ca="1" si="108"/>
        <v>81706.403685553421</v>
      </c>
      <c r="AQ241" s="772">
        <f t="shared" ca="1" si="108"/>
        <v>81706.403685553421</v>
      </c>
      <c r="AR241" s="772">
        <f t="shared" ca="1" si="110"/>
        <v>82693.058983757524</v>
      </c>
      <c r="AS241" s="772">
        <f t="shared" ca="1" si="110"/>
        <v>82693.058983757524</v>
      </c>
      <c r="AT241" s="772">
        <f t="shared" ca="1" si="110"/>
        <v>82383.312031492533</v>
      </c>
      <c r="AU241" s="772">
        <f t="shared" ca="1" si="110"/>
        <v>82383.312031492533</v>
      </c>
      <c r="AV241" s="772">
        <f t="shared" ca="1" si="110"/>
        <v>82055.08442722437</v>
      </c>
      <c r="AW241" s="772">
        <f t="shared" ca="1" si="110"/>
        <v>82055.08442722437</v>
      </c>
      <c r="AX241" s="772">
        <f t="shared" ca="1" si="110"/>
        <v>81706.403685553421</v>
      </c>
      <c r="AY241" s="772">
        <f t="shared" ca="1" si="110"/>
        <v>81706.403685553421</v>
      </c>
      <c r="AZ241" s="772">
        <f t="shared" ca="1" si="110"/>
        <v>81706.403685553421</v>
      </c>
      <c r="BA241" s="772">
        <f t="shared" ca="1" si="110"/>
        <v>82693.058983757524</v>
      </c>
      <c r="BB241" s="772">
        <f t="shared" ca="1" si="110"/>
        <v>82693.058983757524</v>
      </c>
      <c r="BC241" s="772">
        <f t="shared" ca="1" si="110"/>
        <v>82383.312031492533</v>
      </c>
      <c r="BD241" s="772">
        <f t="shared" ca="1" si="110"/>
        <v>82055.08442722437</v>
      </c>
      <c r="BE241" s="772">
        <f t="shared" ca="1" si="110"/>
        <v>82055.08442722437</v>
      </c>
      <c r="BF241" s="772">
        <f t="shared" ca="1" si="110"/>
        <v>81706.403685553421</v>
      </c>
      <c r="BG241" s="772">
        <f t="shared" ca="1" si="97"/>
        <v>81706.403685553421</v>
      </c>
      <c r="BH241" s="772">
        <f t="shared" ca="1" si="106"/>
        <v>81335.089643497209</v>
      </c>
      <c r="BI241" s="772">
        <f t="shared" ca="1" si="106"/>
        <v>81335.089643497209</v>
      </c>
      <c r="BJ241" s="772">
        <f t="shared" ca="1" si="106"/>
        <v>82383.312031492533</v>
      </c>
      <c r="BK241" s="772">
        <f t="shared" ca="1" si="106"/>
        <v>82383.312031492533</v>
      </c>
      <c r="BL241" s="772">
        <f t="shared" ca="1" si="106"/>
        <v>82383.312031492533</v>
      </c>
      <c r="BM241" s="772">
        <f t="shared" ca="1" si="106"/>
        <v>82383.312031492533</v>
      </c>
      <c r="BN241" s="772">
        <f t="shared" ca="1" si="99"/>
        <v>81706.403685553421</v>
      </c>
      <c r="BO241" s="772">
        <f t="shared" ca="1" si="107"/>
        <v>81706.403685553421</v>
      </c>
      <c r="BP241" s="772">
        <f t="shared" ca="1" si="107"/>
        <v>81335.089643497209</v>
      </c>
      <c r="BQ241" s="772">
        <f t="shared" ca="1" si="107"/>
        <v>81335.089643497209</v>
      </c>
      <c r="BR241" s="772">
        <f t="shared" ca="1" si="107"/>
        <v>80938.737957109843</v>
      </c>
      <c r="BS241" s="772">
        <f t="shared" ca="1" si="107"/>
        <v>82383.312031492533</v>
      </c>
      <c r="BT241" s="772">
        <f t="shared" ca="1" si="107"/>
        <v>82383.312031492533</v>
      </c>
      <c r="BU241" s="772">
        <f t="shared" ca="1" si="107"/>
        <v>82383.312031492533</v>
      </c>
      <c r="BV241" s="772">
        <f t="shared" ca="1" si="107"/>
        <v>82055.08442722437</v>
      </c>
      <c r="BW241" s="772">
        <f t="shared" ca="1" si="107"/>
        <v>82055.08442722437</v>
      </c>
      <c r="BX241" s="772">
        <f t="shared" ca="1" si="107"/>
        <v>81335.089643497209</v>
      </c>
      <c r="BY241" s="772">
        <f t="shared" ca="1" si="107"/>
        <v>81335.089643497209</v>
      </c>
      <c r="BZ241" s="772">
        <f t="shared" ca="1" si="107"/>
        <v>80938.737957109843</v>
      </c>
      <c r="CA241" s="772">
        <f t="shared" ca="1" si="107"/>
        <v>80938.737957109843</v>
      </c>
      <c r="CB241" s="772">
        <f t="shared" ca="1" si="107"/>
        <v>82055.08442722437</v>
      </c>
      <c r="CC241" s="772">
        <f t="shared" ca="1" si="107"/>
        <v>82055.08442722437</v>
      </c>
      <c r="CD241" s="772">
        <f t="shared" ca="1" si="107"/>
        <v>82055.08442722437</v>
      </c>
      <c r="CE241" s="772">
        <f t="shared" ca="1" si="105"/>
        <v>82055.08442722437</v>
      </c>
      <c r="CF241" s="772">
        <f t="shared" ca="1" si="105"/>
        <v>81706.403685553421</v>
      </c>
      <c r="CG241" s="772">
        <f t="shared" ca="1" si="105"/>
        <v>81335.089643497209</v>
      </c>
      <c r="CH241" s="772">
        <f t="shared" ca="1" si="105"/>
        <v>80938.737957109843</v>
      </c>
      <c r="CI241" s="772">
        <f t="shared" ca="1" si="105"/>
        <v>80938.737957109843</v>
      </c>
      <c r="CJ241" s="772">
        <f t="shared" ca="1" si="105"/>
        <v>80514.706231357326</v>
      </c>
    </row>
    <row r="242" spans="1:88" ht="15" customHeight="1">
      <c r="A242" s="770">
        <f>'kc-Wert für Stützen'!C242</f>
        <v>294</v>
      </c>
      <c r="B242" s="768">
        <f ca="1">INDIRECT("'kc-Wert für Stützen'!"&amp;SUBSTITUTE(ADDRESS(MATCH($A242,'kc-Wert für Stützen'!$C:$C,0),MATCH(B$7,'kc-Wert für Stützen'!$A$8:$ES$8,0)+7,4),,))</f>
        <v>83859.30912438847</v>
      </c>
      <c r="C242" s="768">
        <f ca="1">INDIRECT("'kc-Wert für Stützen'!"&amp;SUBSTITUTE(ADDRESS(MATCH($A242,'kc-Wert für Stützen'!$C:$C,0),MATCH(C$7,'kc-Wert für Stützen'!$A$8:$ES$8,0)+7,4),,))</f>
        <v>83581.788086719302</v>
      </c>
      <c r="D242" s="768">
        <f ca="1">INDIRECT("'kc-Wert für Stützen'!"&amp;SUBSTITUTE(ADDRESS(MATCH($A242,'kc-Wert für Stützen'!$C:$C,0),MATCH(D$7,'kc-Wert für Stützen'!$A$8:$ES$8,0)+7,4),,))</f>
        <v>83289.328996023702</v>
      </c>
      <c r="E242" s="768">
        <f ca="1">INDIRECT("'kc-Wert für Stützen'!"&amp;SUBSTITUTE(ADDRESS(MATCH($A242,'kc-Wert für Stützen'!$C:$C,0),MATCH(E$7,'kc-Wert für Stützen'!$A$8:$ES$8,0)+7,4),,))</f>
        <v>82980.343645037021</v>
      </c>
      <c r="F242" s="768">
        <f ca="1">INDIRECT("'kc-Wert für Stützen'!"&amp;SUBSTITUTE(ADDRESS(MATCH($A242,'kc-Wert für Stützen'!$C:$C,0),MATCH(F$7,'kc-Wert für Stützen'!$A$8:$ES$8,0)+7,4),,))</f>
        <v>82653.074344608394</v>
      </c>
      <c r="G242" s="768">
        <f ca="1">INDIRECT("'kc-Wert für Stützen'!"&amp;SUBSTITUTE(ADDRESS(MATCH($A242,'kc-Wert für Stützen'!$C:$C,0),MATCH(G$7,'kc-Wert für Stützen'!$A$8:$ES$8,0)+7,4),,))</f>
        <v>82305.576476973059</v>
      </c>
      <c r="H242" s="768">
        <f ca="1">INDIRECT("'kc-Wert für Stützen'!"&amp;SUBSTITUTE(ADDRESS(MATCH($A242,'kc-Wert für Stützen'!$C:$C,0),MATCH(H$7,'kc-Wert für Stützen'!$A$8:$ES$8,0)+7,4),,))</f>
        <v>81935.701027888033</v>
      </c>
      <c r="I242" s="768">
        <f ca="1">INDIRECT("'kc-Wert für Stützen'!"&amp;SUBSTITUTE(ADDRESS(MATCH($A242,'kc-Wert für Stützen'!$C:$C,0),MATCH(I$7,'kc-Wert für Stützen'!$A$8:$ES$8,0)+7,4),,))</f>
        <v>81541.07806488144</v>
      </c>
      <c r="J242" s="768">
        <f ca="1">INDIRECT("'kc-Wert für Stützen'!"&amp;SUBSTITUTE(ADDRESS(MATCH($A242,'kc-Wert für Stützen'!$C:$C,0),MATCH(J$7,'kc-Wert für Stützen'!$A$8:$ES$8,0)+7,4),,))</f>
        <v>81119.102611789654</v>
      </c>
      <c r="K242" s="768">
        <f ca="1">INDIRECT("'kc-Wert für Stützen'!"&amp;SUBSTITUTE(ADDRESS(MATCH($A242,'kc-Wert für Stützen'!$C:$C,0),MATCH(K$7,'kc-Wert für Stützen'!$A$8:$ES$8,0)+7,4),,))</f>
        <v>80666.92500742455</v>
      </c>
      <c r="L242" s="768">
        <f ca="1">INDIRECT("'kc-Wert für Stützen'!"&amp;SUBSTITUTE(ADDRESS(MATCH($A242,'kc-Wert für Stützen'!$C:$C,0),MATCH(L$7,'kc-Wert für Stützen'!$A$8:$ES$8,0)+7,4),,))</f>
        <v>80181.448644073316</v>
      </c>
      <c r="M242" s="768">
        <f ca="1">INDIRECT("'kc-Wert für Stützen'!"&amp;SUBSTITUTE(ADDRESS(MATCH($A242,'kc-Wert für Stützen'!$C:$C,0),MATCH(M$7,'kc-Wert für Stützen'!$A$8:$ES$8,0)+7,4),,))</f>
        <v>79659.338949337514</v>
      </c>
      <c r="N242" s="768">
        <f ca="1">INDIRECT("'kc-Wert für Stützen'!"&amp;SUBSTITUTE(ADDRESS(MATCH($A242,'kc-Wert für Stützen'!$C:$C,0),MATCH(N$7,'kc-Wert für Stützen'!$A$8:$ES$8,0)+7,4),,))</f>
        <v>79097.048541613578</v>
      </c>
      <c r="O242" s="768">
        <f ca="1">INDIRECT("'kc-Wert für Stützen'!"&amp;SUBSTITUTE(ADDRESS(MATCH($A242,'kc-Wert für Stützen'!$C:$C,0),MATCH(O$7,'kc-Wert für Stützen'!$A$8:$ES$8,0)+7,4),,))</f>
        <v>78490.864508003637</v>
      </c>
      <c r="P242" s="768">
        <f ca="1">INDIRECT("'kc-Wert für Stützen'!"&amp;SUBSTITUTE(ADDRESS(MATCH($A242,'kc-Wert für Stützen'!$C:$C,0),MATCH(P$7,'kc-Wert für Stützen'!$A$8:$ES$8,0)+7,4),,))</f>
        <v>77836.984447311086</v>
      </c>
      <c r="S242" s="772">
        <f t="shared" ca="1" si="91"/>
        <v>83289.328996023702</v>
      </c>
      <c r="T242" s="772">
        <f t="shared" ca="1" si="94"/>
        <v>83289.328996023702</v>
      </c>
      <c r="U242" s="772">
        <f t="shared" ca="1" si="94"/>
        <v>83289.328996023702</v>
      </c>
      <c r="V242" s="772">
        <f t="shared" ca="1" si="94"/>
        <v>82980.343645037021</v>
      </c>
      <c r="W242" s="772">
        <f t="shared" ca="1" si="94"/>
        <v>82653.074344608394</v>
      </c>
      <c r="X242" s="772">
        <f t="shared" ca="1" si="94"/>
        <v>82305.576476973059</v>
      </c>
      <c r="Y242" s="772">
        <f t="shared" ca="1" si="94"/>
        <v>81935.701027888033</v>
      </c>
      <c r="Z242" s="772">
        <f t="shared" ca="1" si="94"/>
        <v>83289.328996023702</v>
      </c>
      <c r="AA242" s="772">
        <f t="shared" ca="1" si="94"/>
        <v>83289.328996023702</v>
      </c>
      <c r="AB242" s="772">
        <f t="shared" ca="1" si="109"/>
        <v>82980.343645037021</v>
      </c>
      <c r="AC242" s="772">
        <f t="shared" ca="1" si="109"/>
        <v>82980.343645037021</v>
      </c>
      <c r="AD242" s="772">
        <f t="shared" ca="1" si="109"/>
        <v>82653.074344608394</v>
      </c>
      <c r="AE242" s="772">
        <f t="shared" ca="1" si="109"/>
        <v>82653.074344608394</v>
      </c>
      <c r="AF242" s="772">
        <f t="shared" ca="1" si="109"/>
        <v>82305.576476973059</v>
      </c>
      <c r="AG242" s="772">
        <f t="shared" ca="1" si="109"/>
        <v>82305.576476973059</v>
      </c>
      <c r="AH242" s="772">
        <f t="shared" ca="1" si="108"/>
        <v>82305.576476973059</v>
      </c>
      <c r="AI242" s="772">
        <f t="shared" ca="1" si="108"/>
        <v>83289.328996023702</v>
      </c>
      <c r="AJ242" s="772">
        <f t="shared" ca="1" si="108"/>
        <v>83289.328996023702</v>
      </c>
      <c r="AK242" s="772">
        <f t="shared" ca="1" si="108"/>
        <v>82980.343645037021</v>
      </c>
      <c r="AL242" s="772">
        <f t="shared" ca="1" si="108"/>
        <v>82980.343645037021</v>
      </c>
      <c r="AM242" s="772">
        <f t="shared" ca="1" si="108"/>
        <v>82653.074344608394</v>
      </c>
      <c r="AN242" s="772">
        <f t="shared" ca="1" si="108"/>
        <v>82653.074344608394</v>
      </c>
      <c r="AO242" s="772">
        <f t="shared" ca="1" si="108"/>
        <v>82305.576476973059</v>
      </c>
      <c r="AP242" s="772">
        <f t="shared" ca="1" si="108"/>
        <v>82305.576476973059</v>
      </c>
      <c r="AQ242" s="772">
        <f t="shared" ca="1" si="108"/>
        <v>82305.576476973059</v>
      </c>
      <c r="AR242" s="772">
        <f t="shared" ca="1" si="110"/>
        <v>83289.328996023702</v>
      </c>
      <c r="AS242" s="772">
        <f t="shared" ca="1" si="110"/>
        <v>83289.328996023702</v>
      </c>
      <c r="AT242" s="772">
        <f t="shared" ca="1" si="110"/>
        <v>82980.343645037021</v>
      </c>
      <c r="AU242" s="772">
        <f t="shared" ca="1" si="110"/>
        <v>82980.343645037021</v>
      </c>
      <c r="AV242" s="772">
        <f t="shared" ca="1" si="110"/>
        <v>82653.074344608394</v>
      </c>
      <c r="AW242" s="772">
        <f t="shared" ca="1" si="110"/>
        <v>82653.074344608394</v>
      </c>
      <c r="AX242" s="772">
        <f t="shared" ca="1" si="110"/>
        <v>82305.576476973059</v>
      </c>
      <c r="AY242" s="772">
        <f t="shared" ca="1" si="110"/>
        <v>82305.576476973059</v>
      </c>
      <c r="AZ242" s="772">
        <f t="shared" ca="1" si="110"/>
        <v>82305.576476973059</v>
      </c>
      <c r="BA242" s="772">
        <f t="shared" ca="1" si="110"/>
        <v>83289.328996023702</v>
      </c>
      <c r="BB242" s="772">
        <f t="shared" ca="1" si="110"/>
        <v>83289.328996023702</v>
      </c>
      <c r="BC242" s="772">
        <f t="shared" ca="1" si="110"/>
        <v>82980.343645037021</v>
      </c>
      <c r="BD242" s="772">
        <f t="shared" ca="1" si="110"/>
        <v>82653.074344608394</v>
      </c>
      <c r="BE242" s="772">
        <f t="shared" ca="1" si="110"/>
        <v>82653.074344608394</v>
      </c>
      <c r="BF242" s="772">
        <f t="shared" ca="1" si="110"/>
        <v>82305.576476973059</v>
      </c>
      <c r="BG242" s="772">
        <f t="shared" ca="1" si="97"/>
        <v>82305.576476973059</v>
      </c>
      <c r="BH242" s="772">
        <f t="shared" ref="BH242:BM252" ca="1" si="111">HLOOKUP(BH$7,$A$7:$P$348,ROW()-6)</f>
        <v>81935.701027888033</v>
      </c>
      <c r="BI242" s="772">
        <f t="shared" ca="1" si="111"/>
        <v>81935.701027888033</v>
      </c>
      <c r="BJ242" s="772">
        <f t="shared" ca="1" si="111"/>
        <v>82980.343645037021</v>
      </c>
      <c r="BK242" s="772">
        <f t="shared" ca="1" si="111"/>
        <v>82980.343645037021</v>
      </c>
      <c r="BL242" s="772">
        <f t="shared" ca="1" si="111"/>
        <v>82980.343645037021</v>
      </c>
      <c r="BM242" s="772">
        <f t="shared" ca="1" si="111"/>
        <v>82980.343645037021</v>
      </c>
      <c r="BN242" s="772">
        <f t="shared" ca="1" si="99"/>
        <v>82305.576476973059</v>
      </c>
      <c r="BO242" s="772">
        <f t="shared" ca="1" si="107"/>
        <v>82305.576476973059</v>
      </c>
      <c r="BP242" s="772">
        <f t="shared" ca="1" si="107"/>
        <v>81935.701027888033</v>
      </c>
      <c r="BQ242" s="772">
        <f t="shared" ca="1" si="107"/>
        <v>81935.701027888033</v>
      </c>
      <c r="BR242" s="772">
        <f t="shared" ca="1" si="107"/>
        <v>81541.07806488144</v>
      </c>
      <c r="BS242" s="772">
        <f t="shared" ca="1" si="107"/>
        <v>82980.343645037021</v>
      </c>
      <c r="BT242" s="772">
        <f t="shared" ca="1" si="107"/>
        <v>82980.343645037021</v>
      </c>
      <c r="BU242" s="772">
        <f t="shared" ca="1" si="107"/>
        <v>82980.343645037021</v>
      </c>
      <c r="BV242" s="772">
        <f t="shared" ca="1" si="107"/>
        <v>82653.074344608394</v>
      </c>
      <c r="BW242" s="772">
        <f t="shared" ca="1" si="107"/>
        <v>82653.074344608394</v>
      </c>
      <c r="BX242" s="772">
        <f t="shared" ca="1" si="107"/>
        <v>81935.701027888033</v>
      </c>
      <c r="BY242" s="772">
        <f t="shared" ca="1" si="107"/>
        <v>81935.701027888033</v>
      </c>
      <c r="BZ242" s="772">
        <f t="shared" ca="1" si="107"/>
        <v>81541.07806488144</v>
      </c>
      <c r="CA242" s="772">
        <f t="shared" ca="1" si="107"/>
        <v>81541.07806488144</v>
      </c>
      <c r="CB242" s="772">
        <f t="shared" ca="1" si="107"/>
        <v>82653.074344608394</v>
      </c>
      <c r="CC242" s="772">
        <f t="shared" ca="1" si="107"/>
        <v>82653.074344608394</v>
      </c>
      <c r="CD242" s="772">
        <f t="shared" ca="1" si="107"/>
        <v>82653.074344608394</v>
      </c>
      <c r="CE242" s="772">
        <f t="shared" ca="1" si="105"/>
        <v>82653.074344608394</v>
      </c>
      <c r="CF242" s="772">
        <f t="shared" ca="1" si="105"/>
        <v>82305.576476973059</v>
      </c>
      <c r="CG242" s="772">
        <f t="shared" ca="1" si="105"/>
        <v>81935.701027888033</v>
      </c>
      <c r="CH242" s="772">
        <f t="shared" ca="1" si="105"/>
        <v>81541.07806488144</v>
      </c>
      <c r="CI242" s="772">
        <f t="shared" ca="1" si="105"/>
        <v>81541.07806488144</v>
      </c>
      <c r="CJ242" s="772">
        <f t="shared" ca="1" si="105"/>
        <v>81119.102611789654</v>
      </c>
    </row>
    <row r="243" spans="1:88" ht="15" customHeight="1">
      <c r="A243" s="770">
        <f>'kc-Wert für Stützen'!C243</f>
        <v>295</v>
      </c>
      <c r="B243" s="768">
        <f ca="1">INDIRECT("'kc-Wert für Stützen'!"&amp;SUBSTITUTE(ADDRESS(MATCH($A243,'kc-Wert für Stützen'!$C:$C,0),MATCH(B$7,'kc-Wert für Stützen'!$A$8:$ES$8,0)+7,4),,))</f>
        <v>84456.543401154093</v>
      </c>
      <c r="C243" s="768">
        <f ca="1">INDIRECT("'kc-Wert für Stützen'!"&amp;SUBSTITUTE(ADDRESS(MATCH($A243,'kc-Wert für Stützen'!$C:$C,0),MATCH(C$7,'kc-Wert für Stützen'!$A$8:$ES$8,0)+7,4),,))</f>
        <v>84179.448283746198</v>
      </c>
      <c r="D243" s="768">
        <f ca="1">INDIRECT("'kc-Wert für Stützen'!"&amp;SUBSTITUTE(ADDRESS(MATCH($A243,'kc-Wert für Stützen'!$C:$C,0),MATCH(D$7,'kc-Wert für Stützen'!$A$8:$ES$8,0)+7,4),,))</f>
        <v>83887.562820362873</v>
      </c>
      <c r="E243" s="768">
        <f ca="1">INDIRECT("'kc-Wert für Stützen'!"&amp;SUBSTITUTE(ADDRESS(MATCH($A243,'kc-Wert für Stützen'!$C:$C,0),MATCH(E$7,'kc-Wert für Stützen'!$A$8:$ES$8,0)+7,4),,))</f>
        <v>83579.320156590897</v>
      </c>
      <c r="F243" s="768">
        <f ca="1">INDIRECT("'kc-Wert für Stützen'!"&amp;SUBSTITUTE(ADDRESS(MATCH($A243,'kc-Wert für Stützen'!$C:$C,0),MATCH(F$7,'kc-Wert für Stützen'!$A$8:$ES$8,0)+7,4),,))</f>
        <v>83252.986838652156</v>
      </c>
      <c r="G243" s="768">
        <f ca="1">INDIRECT("'kc-Wert für Stützen'!"&amp;SUBSTITUTE(ADDRESS(MATCH($A243,'kc-Wert für Stützen'!$C:$C,0),MATCH(G$7,'kc-Wert für Stützen'!$A$8:$ES$8,0)+7,4),,))</f>
        <v>82906.645584476137</v>
      </c>
      <c r="H243" s="768">
        <f ca="1">INDIRECT("'kc-Wert für Stützen'!"&amp;SUBSTITUTE(ADDRESS(MATCH($A243,'kc-Wert für Stützen'!$C:$C,0),MATCH(H$7,'kc-Wert für Stützen'!$A$8:$ES$8,0)+7,4),,))</f>
        <v>82538.17795530596</v>
      </c>
      <c r="I243" s="768">
        <f ca="1">INDIRECT("'kc-Wert für Stützen'!"&amp;SUBSTITUTE(ADDRESS(MATCH($A243,'kc-Wert für Stützen'!$C:$C,0),MATCH(I$7,'kc-Wert für Stützen'!$A$8:$ES$8,0)+7,4),,))</f>
        <v>82145.247835841175</v>
      </c>
      <c r="J243" s="768">
        <f ca="1">INDIRECT("'kc-Wert für Stützen'!"&amp;SUBSTITUTE(ADDRESS(MATCH($A243,'kc-Wert für Stützen'!$C:$C,0),MATCH(J$7,'kc-Wert für Stützen'!$A$8:$ES$8,0)+7,4),,))</f>
        <v>81725.287089027624</v>
      </c>
      <c r="K243" s="768">
        <f ca="1">INDIRECT("'kc-Wert für Stützen'!"&amp;SUBSTITUTE(ADDRESS(MATCH($A243,'kc-Wert für Stützen'!$C:$C,0),MATCH(K$7,'kc-Wert für Stützen'!$A$8:$ES$8,0)+7,4),,))</f>
        <v>81275.485358372272</v>
      </c>
      <c r="L243" s="768">
        <f ca="1">INDIRECT("'kc-Wert für Stützen'!"&amp;SUBSTITUTE(ADDRESS(MATCH($A243,'kc-Wert für Stützen'!$C:$C,0),MATCH(L$7,'kc-Wert für Stützen'!$A$8:$ES$8,0)+7,4),,))</f>
        <v>80792.786762872827</v>
      </c>
      <c r="M243" s="768">
        <f ca="1">INDIRECT("'kc-Wert für Stützen'!"&amp;SUBSTITUTE(ADDRESS(MATCH($A243,'kc-Wert für Stützen'!$C:$C,0),MATCH(M$7,'kc-Wert für Stützen'!$A$8:$ES$8,0)+7,4),,))</f>
        <v>80273.897161327695</v>
      </c>
      <c r="N243" s="768">
        <f ca="1">INDIRECT("'kc-Wert für Stützen'!"&amp;SUBSTITUTE(ADDRESS(MATCH($A243,'kc-Wert für Stützen'!$C:$C,0),MATCH(N$7,'kc-Wert für Stützen'!$A$8:$ES$8,0)+7,4),,))</f>
        <v>79715.30670217947</v>
      </c>
      <c r="O243" s="768">
        <f ca="1">INDIRECT("'kc-Wert für Stützen'!"&amp;SUBSTITUTE(ADDRESS(MATCH($A243,'kc-Wert für Stützen'!$C:$C,0),MATCH(O$7,'kc-Wert für Stützen'!$A$8:$ES$8,0)+7,4),,))</f>
        <v>79113.333391328226</v>
      </c>
      <c r="P243" s="768">
        <f ca="1">INDIRECT("'kc-Wert für Stützen'!"&amp;SUBSTITUTE(ADDRESS(MATCH($A243,'kc-Wert für Stützen'!$C:$C,0),MATCH(P$7,'kc-Wert für Stützen'!$A$8:$ES$8,0)+7,4),,))</f>
        <v>78464.194152749362</v>
      </c>
      <c r="S243" s="772">
        <f t="shared" ca="1" si="91"/>
        <v>83887.562820362873</v>
      </c>
      <c r="T243" s="772">
        <f t="shared" ca="1" si="94"/>
        <v>83887.562820362873</v>
      </c>
      <c r="U243" s="772">
        <f t="shared" ca="1" si="94"/>
        <v>83887.562820362873</v>
      </c>
      <c r="V243" s="772">
        <f t="shared" ca="1" si="94"/>
        <v>83579.320156590897</v>
      </c>
      <c r="W243" s="772">
        <f t="shared" ca="1" si="94"/>
        <v>83252.986838652156</v>
      </c>
      <c r="X243" s="772">
        <f t="shared" ref="T243:AA271" ca="1" si="112">HLOOKUP(X$7,$A$7:$P$348,ROW()-6)</f>
        <v>82906.645584476137</v>
      </c>
      <c r="Y243" s="772">
        <f t="shared" ca="1" si="112"/>
        <v>82538.17795530596</v>
      </c>
      <c r="Z243" s="772">
        <f t="shared" ca="1" si="112"/>
        <v>83887.562820362873</v>
      </c>
      <c r="AA243" s="772">
        <f t="shared" ca="1" si="112"/>
        <v>83887.562820362873</v>
      </c>
      <c r="AB243" s="772">
        <f t="shared" ca="1" si="109"/>
        <v>83579.320156590897</v>
      </c>
      <c r="AC243" s="772">
        <f t="shared" ca="1" si="109"/>
        <v>83579.320156590897</v>
      </c>
      <c r="AD243" s="772">
        <f t="shared" ca="1" si="109"/>
        <v>83252.986838652156</v>
      </c>
      <c r="AE243" s="772">
        <f t="shared" ca="1" si="109"/>
        <v>83252.986838652156</v>
      </c>
      <c r="AF243" s="772">
        <f t="shared" ca="1" si="109"/>
        <v>82906.645584476137</v>
      </c>
      <c r="AG243" s="772">
        <f t="shared" ca="1" si="109"/>
        <v>82906.645584476137</v>
      </c>
      <c r="AH243" s="772">
        <f t="shared" ca="1" si="108"/>
        <v>82906.645584476137</v>
      </c>
      <c r="AI243" s="772">
        <f t="shared" ca="1" si="108"/>
        <v>83887.562820362873</v>
      </c>
      <c r="AJ243" s="772">
        <f t="shared" ca="1" si="108"/>
        <v>83887.562820362873</v>
      </c>
      <c r="AK243" s="772">
        <f t="shared" ca="1" si="108"/>
        <v>83579.320156590897</v>
      </c>
      <c r="AL243" s="772">
        <f t="shared" ca="1" si="108"/>
        <v>83579.320156590897</v>
      </c>
      <c r="AM243" s="772">
        <f t="shared" ca="1" si="108"/>
        <v>83252.986838652156</v>
      </c>
      <c r="AN243" s="772">
        <f t="shared" ca="1" si="108"/>
        <v>83252.986838652156</v>
      </c>
      <c r="AO243" s="772">
        <f t="shared" ca="1" si="108"/>
        <v>82906.645584476137</v>
      </c>
      <c r="AP243" s="772">
        <f t="shared" ca="1" si="108"/>
        <v>82906.645584476137</v>
      </c>
      <c r="AQ243" s="772">
        <f t="shared" ca="1" si="108"/>
        <v>82906.645584476137</v>
      </c>
      <c r="AR243" s="772">
        <f t="shared" ca="1" si="110"/>
        <v>83887.562820362873</v>
      </c>
      <c r="AS243" s="772">
        <f t="shared" ca="1" si="110"/>
        <v>83887.562820362873</v>
      </c>
      <c r="AT243" s="772">
        <f t="shared" ca="1" si="110"/>
        <v>83579.320156590897</v>
      </c>
      <c r="AU243" s="772">
        <f t="shared" ca="1" si="110"/>
        <v>83579.320156590897</v>
      </c>
      <c r="AV243" s="772">
        <f t="shared" ca="1" si="110"/>
        <v>83252.986838652156</v>
      </c>
      <c r="AW243" s="772">
        <f t="shared" ca="1" si="110"/>
        <v>83252.986838652156</v>
      </c>
      <c r="AX243" s="772">
        <f t="shared" ca="1" si="110"/>
        <v>82906.645584476137</v>
      </c>
      <c r="AY243" s="772">
        <f t="shared" ca="1" si="110"/>
        <v>82906.645584476137</v>
      </c>
      <c r="AZ243" s="772">
        <f t="shared" ca="1" si="110"/>
        <v>82906.645584476137</v>
      </c>
      <c r="BA243" s="772">
        <f t="shared" ca="1" si="110"/>
        <v>83887.562820362873</v>
      </c>
      <c r="BB243" s="772">
        <f t="shared" ca="1" si="110"/>
        <v>83887.562820362873</v>
      </c>
      <c r="BC243" s="772">
        <f t="shared" ca="1" si="110"/>
        <v>83579.320156590897</v>
      </c>
      <c r="BD243" s="772">
        <f t="shared" ca="1" si="110"/>
        <v>83252.986838652156</v>
      </c>
      <c r="BE243" s="772">
        <f t="shared" ca="1" si="110"/>
        <v>83252.986838652156</v>
      </c>
      <c r="BF243" s="772">
        <f t="shared" ca="1" si="110"/>
        <v>82906.645584476137</v>
      </c>
      <c r="BG243" s="772">
        <f t="shared" ca="1" si="97"/>
        <v>82906.645584476137</v>
      </c>
      <c r="BH243" s="772">
        <f t="shared" ca="1" si="111"/>
        <v>82538.17795530596</v>
      </c>
      <c r="BI243" s="772">
        <f t="shared" ca="1" si="111"/>
        <v>82538.17795530596</v>
      </c>
      <c r="BJ243" s="772">
        <f t="shared" ca="1" si="111"/>
        <v>83579.320156590897</v>
      </c>
      <c r="BK243" s="772">
        <f t="shared" ca="1" si="111"/>
        <v>83579.320156590897</v>
      </c>
      <c r="BL243" s="772">
        <f t="shared" ca="1" si="111"/>
        <v>83579.320156590897</v>
      </c>
      <c r="BM243" s="772">
        <f t="shared" ca="1" si="111"/>
        <v>83579.320156590897</v>
      </c>
      <c r="BN243" s="772">
        <f t="shared" ca="1" si="99"/>
        <v>82906.645584476137</v>
      </c>
      <c r="BO243" s="772">
        <f t="shared" ref="BO243:CD251" ca="1" si="113">HLOOKUP(BO$7,$A$7:$P$348,ROW()-6)</f>
        <v>82906.645584476137</v>
      </c>
      <c r="BP243" s="772">
        <f t="shared" ca="1" si="113"/>
        <v>82538.17795530596</v>
      </c>
      <c r="BQ243" s="772">
        <f t="shared" ca="1" si="113"/>
        <v>82538.17795530596</v>
      </c>
      <c r="BR243" s="772">
        <f t="shared" ca="1" si="113"/>
        <v>82145.247835841175</v>
      </c>
      <c r="BS243" s="772">
        <f t="shared" ca="1" si="113"/>
        <v>83579.320156590897</v>
      </c>
      <c r="BT243" s="772">
        <f t="shared" ca="1" si="113"/>
        <v>83579.320156590897</v>
      </c>
      <c r="BU243" s="772">
        <f t="shared" ca="1" si="113"/>
        <v>83579.320156590897</v>
      </c>
      <c r="BV243" s="772">
        <f t="shared" ca="1" si="113"/>
        <v>83252.986838652156</v>
      </c>
      <c r="BW243" s="772">
        <f t="shared" ca="1" si="113"/>
        <v>83252.986838652156</v>
      </c>
      <c r="BX243" s="772">
        <f t="shared" ca="1" si="113"/>
        <v>82538.17795530596</v>
      </c>
      <c r="BY243" s="772">
        <f t="shared" ca="1" si="113"/>
        <v>82538.17795530596</v>
      </c>
      <c r="BZ243" s="772">
        <f t="shared" ca="1" si="113"/>
        <v>82145.247835841175</v>
      </c>
      <c r="CA243" s="772">
        <f t="shared" ca="1" si="113"/>
        <v>82145.247835841175</v>
      </c>
      <c r="CB243" s="772">
        <f t="shared" ca="1" si="113"/>
        <v>83252.986838652156</v>
      </c>
      <c r="CC243" s="772">
        <f t="shared" ca="1" si="113"/>
        <v>83252.986838652156</v>
      </c>
      <c r="CD243" s="772">
        <f t="shared" ca="1" si="113"/>
        <v>83252.986838652156</v>
      </c>
      <c r="CE243" s="772">
        <f t="shared" ca="1" si="105"/>
        <v>83252.986838652156</v>
      </c>
      <c r="CF243" s="772">
        <f t="shared" ca="1" si="105"/>
        <v>82906.645584476137</v>
      </c>
      <c r="CG243" s="772">
        <f t="shared" ca="1" si="105"/>
        <v>82538.17795530596</v>
      </c>
      <c r="CH243" s="772">
        <f t="shared" ca="1" si="105"/>
        <v>82145.247835841175</v>
      </c>
      <c r="CI243" s="772">
        <f t="shared" ca="1" si="105"/>
        <v>82145.247835841175</v>
      </c>
      <c r="CJ243" s="772">
        <f t="shared" ca="1" si="105"/>
        <v>81725.287089027624</v>
      </c>
    </row>
    <row r="244" spans="1:88" ht="15" customHeight="1">
      <c r="A244" s="770">
        <f>'kc-Wert für Stützen'!C244</f>
        <v>296</v>
      </c>
      <c r="B244" s="768">
        <f ca="1">INDIRECT("'kc-Wert für Stützen'!"&amp;SUBSTITUTE(ADDRESS(MATCH($A244,'kc-Wert für Stützen'!$C:$C,0),MATCH(B$7,'kc-Wert für Stützen'!$A$8:$ES$8,0)+7,4),,))</f>
        <v>85055.772129165387</v>
      </c>
      <c r="C244" s="768">
        <f ca="1">INDIRECT("'kc-Wert für Stützen'!"&amp;SUBSTITUTE(ADDRESS(MATCH($A244,'kc-Wert für Stützen'!$C:$C,0),MATCH(C$7,'kc-Wert für Stützen'!$A$8:$ES$8,0)+7,4),,))</f>
        <v>84779.089710625238</v>
      </c>
      <c r="D244" s="768">
        <f ca="1">INDIRECT("'kc-Wert für Stützen'!"&amp;SUBSTITUTE(ADDRESS(MATCH($A244,'kc-Wert für Stützen'!$C:$C,0),MATCH(D$7,'kc-Wert für Stützen'!$A$8:$ES$8,0)+7,4),,))</f>
        <v>84487.762208735701</v>
      </c>
      <c r="E244" s="768">
        <f ca="1">INDIRECT("'kc-Wert für Stützen'!"&amp;SUBSTITUTE(ADDRESS(MATCH($A244,'kc-Wert für Stützen'!$C:$C,0),MATCH(E$7,'kc-Wert für Stützen'!$A$8:$ES$8,0)+7,4),,))</f>
        <v>84180.243705209868</v>
      </c>
      <c r="F244" s="768">
        <f ca="1">INDIRECT("'kc-Wert für Stützen'!"&amp;SUBSTITUTE(ADDRESS(MATCH($A244,'kc-Wert für Stützen'!$C:$C,0),MATCH(F$7,'kc-Wert für Stützen'!$A$8:$ES$8,0)+7,4),,))</f>
        <v>83854.824511264669</v>
      </c>
      <c r="G244" s="768">
        <f ca="1">INDIRECT("'kc-Wert für Stützen'!"&amp;SUBSTITUTE(ADDRESS(MATCH($A244,'kc-Wert für Stützen'!$C:$C,0),MATCH(G$7,'kc-Wert für Stützen'!$A$8:$ES$8,0)+7,4),,))</f>
        <v>83509.614159054967</v>
      </c>
      <c r="H244" s="768">
        <f ca="1">INDIRECT("'kc-Wert für Stützen'!"&amp;SUBSTITUTE(ADDRESS(MATCH($A244,'kc-Wert für Stützen'!$C:$C,0),MATCH(H$7,'kc-Wert für Stützen'!$A$8:$ES$8,0)+7,4),,))</f>
        <v>83142.524221596788</v>
      </c>
      <c r="I244" s="768">
        <f ca="1">INDIRECT("'kc-Wert für Stützen'!"&amp;SUBSTITUTE(ADDRESS(MATCH($A244,'kc-Wert für Stützen'!$C:$C,0),MATCH(I$7,'kc-Wert für Stützen'!$A$8:$ES$8,0)+7,4),,))</f>
        <v>82751.251813380557</v>
      </c>
      <c r="J244" s="768">
        <f ca="1">INDIRECT("'kc-Wert für Stützen'!"&amp;SUBSTITUTE(ADDRESS(MATCH($A244,'kc-Wert für Stützen'!$C:$C,0),MATCH(J$7,'kc-Wert für Stützen'!$A$8:$ES$8,0)+7,4),,))</f>
        <v>82333.265058397446</v>
      </c>
      <c r="K244" s="768">
        <f ca="1">INDIRECT("'kc-Wert für Stützen'!"&amp;SUBSTITUTE(ADDRESS(MATCH($A244,'kc-Wert für Stützen'!$C:$C,0),MATCH(K$7,'kc-Wert für Stützen'!$A$8:$ES$8,0)+7,4),,))</f>
        <v>81885.792389526861</v>
      </c>
      <c r="L244" s="768">
        <f ca="1">INDIRECT("'kc-Wert für Stützen'!"&amp;SUBSTITUTE(ADDRESS(MATCH($A244,'kc-Wert für Stützen'!$C:$C,0),MATCH(L$7,'kc-Wert für Stützen'!$A$8:$ES$8,0)+7,4),,))</f>
        <v>81405.818281016094</v>
      </c>
      <c r="M244" s="768">
        <f ca="1">INDIRECT("'kc-Wert für Stützen'!"&amp;SUBSTITUTE(ADDRESS(MATCH($A244,'kc-Wert für Stützen'!$C:$C,0),MATCH(M$7,'kc-Wert für Stützen'!$A$8:$ES$8,0)+7,4),,))</f>
        <v>80890.088911859828</v>
      </c>
      <c r="N244" s="768">
        <f ca="1">INDIRECT("'kc-Wert für Stützen'!"&amp;SUBSTITUTE(ADDRESS(MATCH($A244,'kc-Wert für Stützen'!$C:$C,0),MATCH(N$7,'kc-Wert für Stützen'!$A$8:$ES$8,0)+7,4),,))</f>
        <v>80335.132268739922</v>
      </c>
      <c r="O244" s="768">
        <f ca="1">INDIRECT("'kc-Wert für Stützen'!"&amp;SUBSTITUTE(ADDRESS(MATCH($A244,'kc-Wert für Stützen'!$C:$C,0),MATCH(O$7,'kc-Wert für Stützen'!$A$8:$ES$8,0)+7,4),,))</f>
        <v>79737.2982070094</v>
      </c>
      <c r="P244" s="768">
        <f ca="1">INDIRECT("'kc-Wert für Stützen'!"&amp;SUBSTITUTE(ADDRESS(MATCH($A244,'kc-Wert für Stützen'!$C:$C,0),MATCH(P$7,'kc-Wert für Stützen'!$A$8:$ES$8,0)+7,4),,))</f>
        <v>79092.824769835774</v>
      </c>
      <c r="S244" s="772">
        <f t="shared" ca="1" si="91"/>
        <v>84487.762208735701</v>
      </c>
      <c r="T244" s="772">
        <f t="shared" ca="1" si="112"/>
        <v>84487.762208735701</v>
      </c>
      <c r="U244" s="772">
        <f t="shared" ca="1" si="112"/>
        <v>84487.762208735701</v>
      </c>
      <c r="V244" s="772">
        <f t="shared" ca="1" si="112"/>
        <v>84180.243705209868</v>
      </c>
      <c r="W244" s="772">
        <f t="shared" ca="1" si="112"/>
        <v>83854.824511264669</v>
      </c>
      <c r="X244" s="772">
        <f t="shared" ca="1" si="112"/>
        <v>83509.614159054967</v>
      </c>
      <c r="Y244" s="772">
        <f t="shared" ca="1" si="112"/>
        <v>83142.524221596788</v>
      </c>
      <c r="Z244" s="772">
        <f t="shared" ca="1" si="112"/>
        <v>84487.762208735701</v>
      </c>
      <c r="AA244" s="772">
        <f t="shared" ca="1" si="112"/>
        <v>84487.762208735701</v>
      </c>
      <c r="AB244" s="772">
        <f t="shared" ca="1" si="109"/>
        <v>84180.243705209868</v>
      </c>
      <c r="AC244" s="772">
        <f t="shared" ca="1" si="109"/>
        <v>84180.243705209868</v>
      </c>
      <c r="AD244" s="772">
        <f t="shared" ca="1" si="109"/>
        <v>83854.824511264669</v>
      </c>
      <c r="AE244" s="772">
        <f t="shared" ca="1" si="109"/>
        <v>83854.824511264669</v>
      </c>
      <c r="AF244" s="772">
        <f t="shared" ca="1" si="109"/>
        <v>83509.614159054967</v>
      </c>
      <c r="AG244" s="772">
        <f t="shared" ca="1" si="109"/>
        <v>83509.614159054967</v>
      </c>
      <c r="AH244" s="772">
        <f t="shared" ca="1" si="108"/>
        <v>83509.614159054967</v>
      </c>
      <c r="AI244" s="772">
        <f t="shared" ca="1" si="108"/>
        <v>84487.762208735701</v>
      </c>
      <c r="AJ244" s="772">
        <f t="shared" ca="1" si="108"/>
        <v>84487.762208735701</v>
      </c>
      <c r="AK244" s="772">
        <f t="shared" ca="1" si="108"/>
        <v>84180.243705209868</v>
      </c>
      <c r="AL244" s="772">
        <f t="shared" ca="1" si="108"/>
        <v>84180.243705209868</v>
      </c>
      <c r="AM244" s="772">
        <f t="shared" ca="1" si="108"/>
        <v>83854.824511264669</v>
      </c>
      <c r="AN244" s="772">
        <f t="shared" ca="1" si="108"/>
        <v>83854.824511264669</v>
      </c>
      <c r="AO244" s="772">
        <f t="shared" ca="1" si="108"/>
        <v>83509.614159054967</v>
      </c>
      <c r="AP244" s="772">
        <f t="shared" ca="1" si="108"/>
        <v>83509.614159054967</v>
      </c>
      <c r="AQ244" s="772">
        <f t="shared" ca="1" si="108"/>
        <v>83509.614159054967</v>
      </c>
      <c r="AR244" s="772">
        <f t="shared" ca="1" si="110"/>
        <v>84487.762208735701</v>
      </c>
      <c r="AS244" s="772">
        <f t="shared" ca="1" si="110"/>
        <v>84487.762208735701</v>
      </c>
      <c r="AT244" s="772">
        <f t="shared" ca="1" si="110"/>
        <v>84180.243705209868</v>
      </c>
      <c r="AU244" s="772">
        <f t="shared" ca="1" si="110"/>
        <v>84180.243705209868</v>
      </c>
      <c r="AV244" s="772">
        <f t="shared" ca="1" si="110"/>
        <v>83854.824511264669</v>
      </c>
      <c r="AW244" s="772">
        <f t="shared" ca="1" si="110"/>
        <v>83854.824511264669</v>
      </c>
      <c r="AX244" s="772">
        <f t="shared" ca="1" si="110"/>
        <v>83509.614159054967</v>
      </c>
      <c r="AY244" s="772">
        <f t="shared" ca="1" si="110"/>
        <v>83509.614159054967</v>
      </c>
      <c r="AZ244" s="772">
        <f t="shared" ca="1" si="110"/>
        <v>83509.614159054967</v>
      </c>
      <c r="BA244" s="772">
        <f t="shared" ca="1" si="110"/>
        <v>84487.762208735701</v>
      </c>
      <c r="BB244" s="772">
        <f t="shared" ca="1" si="110"/>
        <v>84487.762208735701</v>
      </c>
      <c r="BC244" s="772">
        <f t="shared" ca="1" si="110"/>
        <v>84180.243705209868</v>
      </c>
      <c r="BD244" s="772">
        <f t="shared" ca="1" si="110"/>
        <v>83854.824511264669</v>
      </c>
      <c r="BE244" s="772">
        <f t="shared" ca="1" si="110"/>
        <v>83854.824511264669</v>
      </c>
      <c r="BF244" s="772">
        <f t="shared" ca="1" si="110"/>
        <v>83509.614159054967</v>
      </c>
      <c r="BG244" s="772">
        <f t="shared" ca="1" si="97"/>
        <v>83509.614159054967</v>
      </c>
      <c r="BH244" s="772">
        <f t="shared" ca="1" si="111"/>
        <v>83142.524221596788</v>
      </c>
      <c r="BI244" s="772">
        <f t="shared" ca="1" si="111"/>
        <v>83142.524221596788</v>
      </c>
      <c r="BJ244" s="772">
        <f t="shared" ca="1" si="111"/>
        <v>84180.243705209868</v>
      </c>
      <c r="BK244" s="772">
        <f t="shared" ca="1" si="111"/>
        <v>84180.243705209868</v>
      </c>
      <c r="BL244" s="772">
        <f t="shared" ca="1" si="111"/>
        <v>84180.243705209868</v>
      </c>
      <c r="BM244" s="772">
        <f t="shared" ca="1" si="111"/>
        <v>84180.243705209868</v>
      </c>
      <c r="BN244" s="772">
        <f t="shared" ca="1" si="99"/>
        <v>83509.614159054967</v>
      </c>
      <c r="BO244" s="772">
        <f t="shared" ca="1" si="113"/>
        <v>83509.614159054967</v>
      </c>
      <c r="BP244" s="772">
        <f t="shared" ca="1" si="113"/>
        <v>83142.524221596788</v>
      </c>
      <c r="BQ244" s="772">
        <f t="shared" ca="1" si="113"/>
        <v>83142.524221596788</v>
      </c>
      <c r="BR244" s="772">
        <f t="shared" ca="1" si="113"/>
        <v>82751.251813380557</v>
      </c>
      <c r="BS244" s="772">
        <f t="shared" ca="1" si="113"/>
        <v>84180.243705209868</v>
      </c>
      <c r="BT244" s="772">
        <f t="shared" ca="1" si="113"/>
        <v>84180.243705209868</v>
      </c>
      <c r="BU244" s="772">
        <f t="shared" ca="1" si="113"/>
        <v>84180.243705209868</v>
      </c>
      <c r="BV244" s="772">
        <f t="shared" ca="1" si="113"/>
        <v>83854.824511264669</v>
      </c>
      <c r="BW244" s="772">
        <f t="shared" ca="1" si="113"/>
        <v>83854.824511264669</v>
      </c>
      <c r="BX244" s="772">
        <f t="shared" ca="1" si="113"/>
        <v>83142.524221596788</v>
      </c>
      <c r="BY244" s="772">
        <f t="shared" ca="1" si="113"/>
        <v>83142.524221596788</v>
      </c>
      <c r="BZ244" s="772">
        <f t="shared" ca="1" si="113"/>
        <v>82751.251813380557</v>
      </c>
      <c r="CA244" s="772">
        <f t="shared" ca="1" si="113"/>
        <v>82751.251813380557</v>
      </c>
      <c r="CB244" s="772">
        <f t="shared" ca="1" si="113"/>
        <v>83854.824511264669</v>
      </c>
      <c r="CC244" s="772">
        <f t="shared" ca="1" si="113"/>
        <v>83854.824511264669</v>
      </c>
      <c r="CD244" s="772">
        <f t="shared" ca="1" si="113"/>
        <v>83854.824511264669</v>
      </c>
      <c r="CE244" s="772">
        <f t="shared" ca="1" si="105"/>
        <v>83854.824511264669</v>
      </c>
      <c r="CF244" s="772">
        <f t="shared" ca="1" si="105"/>
        <v>83509.614159054967</v>
      </c>
      <c r="CG244" s="772">
        <f t="shared" ca="1" si="105"/>
        <v>83142.524221596788</v>
      </c>
      <c r="CH244" s="772">
        <f t="shared" ca="1" si="105"/>
        <v>82751.251813380557</v>
      </c>
      <c r="CI244" s="772">
        <f t="shared" ca="1" si="105"/>
        <v>82751.251813380557</v>
      </c>
      <c r="CJ244" s="772">
        <f t="shared" ca="1" si="105"/>
        <v>82333.265058397446</v>
      </c>
    </row>
    <row r="245" spans="1:88" ht="15" customHeight="1">
      <c r="A245" s="770">
        <f>'kc-Wert für Stützen'!C245</f>
        <v>297</v>
      </c>
      <c r="B245" s="768">
        <f ca="1">INDIRECT("'kc-Wert für Stützen'!"&amp;SUBSTITUTE(ADDRESS(MATCH($A245,'kc-Wert für Stützen'!$C:$C,0),MATCH(B$7,'kc-Wert für Stützen'!$A$8:$ES$8,0)+7,4),,))</f>
        <v>85656.996446141755</v>
      </c>
      <c r="C245" s="768">
        <f ca="1">INDIRECT("'kc-Wert für Stützen'!"&amp;SUBSTITUTE(ADDRESS(MATCH($A245,'kc-Wert für Stützen'!$C:$C,0),MATCH(C$7,'kc-Wert für Stützen'!$A$8:$ES$8,0)+7,4),,))</f>
        <v>85380.713764439613</v>
      </c>
      <c r="D245" s="768">
        <f ca="1">INDIRECT("'kc-Wert für Stützen'!"&amp;SUBSTITUTE(ADDRESS(MATCH($A245,'kc-Wert für Stützen'!$C:$C,0),MATCH(D$7,'kc-Wert für Stützen'!$A$8:$ES$8,0)+7,4),,))</f>
        <v>85089.928871819313</v>
      </c>
      <c r="E245" s="768">
        <f ca="1">INDIRECT("'kc-Wert für Stützen'!"&amp;SUBSTITUTE(ADDRESS(MATCH($A245,'kc-Wert für Stützen'!$C:$C,0),MATCH(E$7,'kc-Wert für Stützen'!$A$8:$ES$8,0)+7,4),,))</f>
        <v>84783.116378875362</v>
      </c>
      <c r="F245" s="768">
        <f ca="1">INDIRECT("'kc-Wert für Stützen'!"&amp;SUBSTITUTE(ADDRESS(MATCH($A245,'kc-Wert für Stützen'!$C:$C,0),MATCH(F$7,'kc-Wert für Stützen'!$A$8:$ES$8,0)+7,4),,))</f>
        <v>84458.589901628628</v>
      </c>
      <c r="G245" s="768">
        <f ca="1">INDIRECT("'kc-Wert für Stützen'!"&amp;SUBSTITUTE(ADDRESS(MATCH($A245,'kc-Wert für Stützen'!$C:$C,0),MATCH(G$7,'kc-Wert für Stützen'!$A$8:$ES$8,0)+7,4),,))</f>
        <v>84114.485275350729</v>
      </c>
      <c r="H245" s="768">
        <f ca="1">INDIRECT("'kc-Wert für Stützen'!"&amp;SUBSTITUTE(ADDRESS(MATCH($A245,'kc-Wert für Stützen'!$C:$C,0),MATCH(H$7,'kc-Wert für Stützen'!$A$8:$ES$8,0)+7,4),,))</f>
        <v>83748.743530698877</v>
      </c>
      <c r="I245" s="768">
        <f ca="1">INDIRECT("'kc-Wert für Stützen'!"&amp;SUBSTITUTE(ADDRESS(MATCH($A245,'kc-Wert für Stützen'!$C:$C,0),MATCH(I$7,'kc-Wert für Stützen'!$A$8:$ES$8,0)+7,4),,))</f>
        <v>83359.094431807491</v>
      </c>
      <c r="J245" s="768">
        <f ca="1">INDIRECT("'kc-Wert für Stützen'!"&amp;SUBSTITUTE(ADDRESS(MATCH($A245,'kc-Wert für Stützen'!$C:$C,0),MATCH(J$7,'kc-Wert für Stützen'!$A$8:$ES$8,0)+7,4),,))</f>
        <v>82943.041788096554</v>
      </c>
      <c r="K245" s="768">
        <f ca="1">INDIRECT("'kc-Wert für Stützen'!"&amp;SUBSTITUTE(ADDRESS(MATCH($A245,'kc-Wert für Stützen'!$C:$C,0),MATCH(K$7,'kc-Wert für Stützen'!$A$8:$ES$8,0)+7,4),,))</f>
        <v>82497.852300560888</v>
      </c>
      <c r="L245" s="768">
        <f ca="1">INDIRECT("'kc-Wert für Stützen'!"&amp;SUBSTITUTE(ADDRESS(MATCH($A245,'kc-Wert für Stützen'!$C:$C,0),MATCH(L$7,'kc-Wert für Stützen'!$A$8:$ES$8,0)+7,4),,))</f>
        <v>82020.550407877905</v>
      </c>
      <c r="M245" s="768">
        <f ca="1">INDIRECT("'kc-Wert für Stützen'!"&amp;SUBSTITUTE(ADDRESS(MATCH($A245,'kc-Wert für Stützen'!$C:$C,0),MATCH(M$7,'kc-Wert für Stützen'!$A$8:$ES$8,0)+7,4),,))</f>
        <v>81507.922458787725</v>
      </c>
      <c r="N245" s="768">
        <f ca="1">INDIRECT("'kc-Wert für Stützen'!"&amp;SUBSTITUTE(ADDRESS(MATCH($A245,'kc-Wert für Stützen'!$C:$C,0),MATCH(N$7,'kc-Wert für Stützen'!$A$8:$ES$8,0)+7,4),,))</f>
        <v>80956.534518690431</v>
      </c>
      <c r="O245" s="768">
        <f ca="1">INDIRECT("'kc-Wert für Stützen'!"&amp;SUBSTITUTE(ADDRESS(MATCH($A245,'kc-Wert für Stützen'!$C:$C,0),MATCH(O$7,'kc-Wert für Stützen'!$A$8:$ES$8,0)+7,4),,))</f>
        <v>80362.769118095515</v>
      </c>
      <c r="P245" s="768">
        <f ca="1">INDIRECT("'kc-Wert für Stützen'!"&amp;SUBSTITUTE(ADDRESS(MATCH($A245,'kc-Wert für Stützen'!$C:$C,0),MATCH(P$7,'kc-Wert für Stützen'!$A$8:$ES$8,0)+7,4),,))</f>
        <v>79722.887063129165</v>
      </c>
      <c r="S245" s="772">
        <f t="shared" ca="1" si="91"/>
        <v>85089.928871819313</v>
      </c>
      <c r="T245" s="772">
        <f t="shared" ca="1" si="112"/>
        <v>85089.928871819313</v>
      </c>
      <c r="U245" s="772">
        <f t="shared" ca="1" si="112"/>
        <v>85089.928871819313</v>
      </c>
      <c r="V245" s="772">
        <f t="shared" ca="1" si="112"/>
        <v>84783.116378875362</v>
      </c>
      <c r="W245" s="772">
        <f t="shared" ca="1" si="112"/>
        <v>84458.589901628628</v>
      </c>
      <c r="X245" s="772">
        <f t="shared" ca="1" si="112"/>
        <v>84114.485275350729</v>
      </c>
      <c r="Y245" s="772">
        <f t="shared" ca="1" si="112"/>
        <v>83748.743530698877</v>
      </c>
      <c r="Z245" s="772">
        <f t="shared" ca="1" si="112"/>
        <v>85089.928871819313</v>
      </c>
      <c r="AA245" s="772">
        <f t="shared" ca="1" si="112"/>
        <v>85089.928871819313</v>
      </c>
      <c r="AB245" s="772">
        <f t="shared" ca="1" si="109"/>
        <v>84783.116378875362</v>
      </c>
      <c r="AC245" s="772">
        <f t="shared" ca="1" si="109"/>
        <v>84783.116378875362</v>
      </c>
      <c r="AD245" s="772">
        <f t="shared" ca="1" si="109"/>
        <v>84458.589901628628</v>
      </c>
      <c r="AE245" s="772">
        <f t="shared" ca="1" si="109"/>
        <v>84458.589901628628</v>
      </c>
      <c r="AF245" s="772">
        <f t="shared" ca="1" si="109"/>
        <v>84114.485275350729</v>
      </c>
      <c r="AG245" s="772">
        <f t="shared" ca="1" si="109"/>
        <v>84114.485275350729</v>
      </c>
      <c r="AH245" s="772">
        <f t="shared" ref="AH245:AQ250" ca="1" si="114">HLOOKUP(AH$7,$A$7:$P$348,ROW()-6)</f>
        <v>84114.485275350729</v>
      </c>
      <c r="AI245" s="772">
        <f t="shared" ca="1" si="114"/>
        <v>85089.928871819313</v>
      </c>
      <c r="AJ245" s="772">
        <f t="shared" ca="1" si="114"/>
        <v>85089.928871819313</v>
      </c>
      <c r="AK245" s="772">
        <f t="shared" ca="1" si="114"/>
        <v>84783.116378875362</v>
      </c>
      <c r="AL245" s="772">
        <f t="shared" ca="1" si="114"/>
        <v>84783.116378875362</v>
      </c>
      <c r="AM245" s="772">
        <f t="shared" ca="1" si="114"/>
        <v>84458.589901628628</v>
      </c>
      <c r="AN245" s="772">
        <f t="shared" ca="1" si="114"/>
        <v>84458.589901628628</v>
      </c>
      <c r="AO245" s="772">
        <f t="shared" ca="1" si="114"/>
        <v>84114.485275350729</v>
      </c>
      <c r="AP245" s="772">
        <f t="shared" ca="1" si="114"/>
        <v>84114.485275350729</v>
      </c>
      <c r="AQ245" s="772">
        <f t="shared" ca="1" si="114"/>
        <v>84114.485275350729</v>
      </c>
      <c r="AR245" s="772">
        <f t="shared" ca="1" si="110"/>
        <v>85089.928871819313</v>
      </c>
      <c r="AS245" s="772">
        <f t="shared" ca="1" si="110"/>
        <v>85089.928871819313</v>
      </c>
      <c r="AT245" s="772">
        <f t="shared" ca="1" si="110"/>
        <v>84783.116378875362</v>
      </c>
      <c r="AU245" s="772">
        <f t="shared" ca="1" si="110"/>
        <v>84783.116378875362</v>
      </c>
      <c r="AV245" s="772">
        <f t="shared" ca="1" si="110"/>
        <v>84458.589901628628</v>
      </c>
      <c r="AW245" s="772">
        <f t="shared" ca="1" si="110"/>
        <v>84458.589901628628</v>
      </c>
      <c r="AX245" s="772">
        <f t="shared" ca="1" si="110"/>
        <v>84114.485275350729</v>
      </c>
      <c r="AY245" s="772">
        <f t="shared" ca="1" si="110"/>
        <v>84114.485275350729</v>
      </c>
      <c r="AZ245" s="772">
        <f t="shared" ca="1" si="110"/>
        <v>84114.485275350729</v>
      </c>
      <c r="BA245" s="772">
        <f t="shared" ca="1" si="110"/>
        <v>85089.928871819313</v>
      </c>
      <c r="BB245" s="772">
        <f t="shared" ca="1" si="110"/>
        <v>85089.928871819313</v>
      </c>
      <c r="BC245" s="772">
        <f t="shared" ca="1" si="110"/>
        <v>84783.116378875362</v>
      </c>
      <c r="BD245" s="772">
        <f t="shared" ca="1" si="110"/>
        <v>84458.589901628628</v>
      </c>
      <c r="BE245" s="772">
        <f t="shared" ca="1" si="110"/>
        <v>84458.589901628628</v>
      </c>
      <c r="BF245" s="772">
        <f t="shared" ca="1" si="110"/>
        <v>84114.485275350729</v>
      </c>
      <c r="BG245" s="772">
        <f t="shared" ca="1" si="97"/>
        <v>84114.485275350729</v>
      </c>
      <c r="BH245" s="772">
        <f t="shared" ca="1" si="111"/>
        <v>83748.743530698877</v>
      </c>
      <c r="BI245" s="772">
        <f t="shared" ca="1" si="111"/>
        <v>83748.743530698877</v>
      </c>
      <c r="BJ245" s="772">
        <f t="shared" ca="1" si="111"/>
        <v>84783.116378875362</v>
      </c>
      <c r="BK245" s="772">
        <f t="shared" ca="1" si="111"/>
        <v>84783.116378875362</v>
      </c>
      <c r="BL245" s="772">
        <f t="shared" ca="1" si="111"/>
        <v>84783.116378875362</v>
      </c>
      <c r="BM245" s="772">
        <f t="shared" ca="1" si="111"/>
        <v>84783.116378875362</v>
      </c>
      <c r="BN245" s="772">
        <f t="shared" ca="1" si="99"/>
        <v>84114.485275350729</v>
      </c>
      <c r="BO245" s="772">
        <f t="shared" ca="1" si="113"/>
        <v>84114.485275350729</v>
      </c>
      <c r="BP245" s="772">
        <f t="shared" ca="1" si="113"/>
        <v>83748.743530698877</v>
      </c>
      <c r="BQ245" s="772">
        <f t="shared" ca="1" si="113"/>
        <v>83748.743530698877</v>
      </c>
      <c r="BR245" s="772">
        <f t="shared" ca="1" si="113"/>
        <v>83359.094431807491</v>
      </c>
      <c r="BS245" s="772">
        <f t="shared" ca="1" si="113"/>
        <v>84783.116378875362</v>
      </c>
      <c r="BT245" s="772">
        <f t="shared" ca="1" si="113"/>
        <v>84783.116378875362</v>
      </c>
      <c r="BU245" s="772">
        <f t="shared" ca="1" si="113"/>
        <v>84783.116378875362</v>
      </c>
      <c r="BV245" s="772">
        <f t="shared" ca="1" si="113"/>
        <v>84458.589901628628</v>
      </c>
      <c r="BW245" s="772">
        <f t="shared" ca="1" si="113"/>
        <v>84458.589901628628</v>
      </c>
      <c r="BX245" s="772">
        <f t="shared" ca="1" si="113"/>
        <v>83748.743530698877</v>
      </c>
      <c r="BY245" s="772">
        <f t="shared" ca="1" si="113"/>
        <v>83748.743530698877</v>
      </c>
      <c r="BZ245" s="772">
        <f t="shared" ca="1" si="113"/>
        <v>83359.094431807491</v>
      </c>
      <c r="CA245" s="772">
        <f t="shared" ca="1" si="113"/>
        <v>83359.094431807491</v>
      </c>
      <c r="CB245" s="772">
        <f t="shared" ca="1" si="113"/>
        <v>84458.589901628628</v>
      </c>
      <c r="CC245" s="772">
        <f t="shared" ca="1" si="113"/>
        <v>84458.589901628628</v>
      </c>
      <c r="CD245" s="772">
        <f t="shared" ca="1" si="113"/>
        <v>84458.589901628628</v>
      </c>
      <c r="CE245" s="772">
        <f t="shared" ca="1" si="105"/>
        <v>84458.589901628628</v>
      </c>
      <c r="CF245" s="772">
        <f t="shared" ca="1" si="105"/>
        <v>84114.485275350729</v>
      </c>
      <c r="CG245" s="772">
        <f t="shared" ca="1" si="105"/>
        <v>83748.743530698877</v>
      </c>
      <c r="CH245" s="772">
        <f t="shared" ca="1" si="105"/>
        <v>83359.094431807491</v>
      </c>
      <c r="CI245" s="772">
        <f t="shared" ca="1" si="105"/>
        <v>83359.094431807491</v>
      </c>
      <c r="CJ245" s="772">
        <f t="shared" ca="1" si="105"/>
        <v>82943.041788096554</v>
      </c>
    </row>
    <row r="246" spans="1:88" ht="15" customHeight="1">
      <c r="A246" s="770">
        <f>'kc-Wert für Stützen'!C246</f>
        <v>298</v>
      </c>
      <c r="B246" s="768">
        <f ca="1">INDIRECT("'kc-Wert für Stützen'!"&amp;SUBSTITUTE(ADDRESS(MATCH($A246,'kc-Wert für Stützen'!$C:$C,0),MATCH(B$7,'kc-Wert für Stützen'!$A$8:$ES$8,0)+7,4),,))</f>
        <v>86260.217464032467</v>
      </c>
      <c r="C246" s="768">
        <f ca="1">INDIRECT("'kc-Wert für Stützen'!"&amp;SUBSTITUTE(ADDRESS(MATCH($A246,'kc-Wert für Stützen'!$C:$C,0),MATCH(C$7,'kc-Wert für Stützen'!$A$8:$ES$8,0)+7,4),,))</f>
        <v>85984.32181003796</v>
      </c>
      <c r="D246" s="768">
        <f ca="1">INDIRECT("'kc-Wert für Stützen'!"&amp;SUBSTITUTE(ADDRESS(MATCH($A246,'kc-Wert für Stützen'!$C:$C,0),MATCH(D$7,'kc-Wert für Stützen'!$A$8:$ES$8,0)+7,4),,))</f>
        <v>85694.064480174871</v>
      </c>
      <c r="E246" s="768">
        <f ca="1">INDIRECT("'kc-Wert für Stützen'!"&amp;SUBSTITUTE(ADDRESS(MATCH($A246,'kc-Wert für Stützen'!$C:$C,0),MATCH(E$7,'kc-Wert für Stützen'!$A$8:$ES$8,0)+7,4),,))</f>
        <v>85387.940215941519</v>
      </c>
      <c r="F246" s="768">
        <f ca="1">INDIRECT("'kc-Wert für Stützen'!"&amp;SUBSTITUTE(ADDRESS(MATCH($A246,'kc-Wert für Stützen'!$C:$C,0),MATCH(F$7,'kc-Wert für Stützen'!$A$8:$ES$8,0)+7,4),,))</f>
        <v>85064.285487968373</v>
      </c>
      <c r="G246" s="768">
        <f ca="1">INDIRECT("'kc-Wert für Stützen'!"&amp;SUBSTITUTE(ADDRESS(MATCH($A246,'kc-Wert für Stützen'!$C:$C,0),MATCH(G$7,'kc-Wert für Stützen'!$A$8:$ES$8,0)+7,4),,))</f>
        <v>84721.261933774818</v>
      </c>
      <c r="H246" s="768">
        <f ca="1">INDIRECT("'kc-Wert für Stützen'!"&amp;SUBSTITUTE(ADDRESS(MATCH($A246,'kc-Wert für Stützen'!$C:$C,0),MATCH(H$7,'kc-Wert für Stützen'!$A$8:$ES$8,0)+7,4),,))</f>
        <v>84356.839497128894</v>
      </c>
      <c r="I246" s="768">
        <f ca="1">INDIRECT("'kc-Wert für Stützen'!"&amp;SUBSTITUTE(ADDRESS(MATCH($A246,'kc-Wert für Stützen'!$C:$C,0),MATCH(I$7,'kc-Wert für Stützen'!$A$8:$ES$8,0)+7,4),,))</f>
        <v>83968.780019164042</v>
      </c>
      <c r="J246" s="768">
        <f ca="1">INDIRECT("'kc-Wert für Stützen'!"&amp;SUBSTITUTE(ADDRESS(MATCH($A246,'kc-Wert für Stützen'!$C:$C,0),MATCH(J$7,'kc-Wert für Stützen'!$A$8:$ES$8,0)+7,4),,))</f>
        <v>83554.622422237866</v>
      </c>
      <c r="K246" s="768">
        <f ca="1">INDIRECT("'kc-Wert für Stützen'!"&amp;SUBSTITUTE(ADDRESS(MATCH($A246,'kc-Wert für Stützen'!$C:$C,0),MATCH(K$7,'kc-Wert für Stützen'!$A$8:$ES$8,0)+7,4),,))</f>
        <v>83111.671149574773</v>
      </c>
      <c r="L246" s="768">
        <f ca="1">INDIRECT("'kc-Wert für Stützen'!"&amp;SUBSTITUTE(ADDRESS(MATCH($A246,'kc-Wert für Stützen'!$C:$C,0),MATCH(L$7,'kc-Wert für Stützen'!$A$8:$ES$8,0)+7,4),,))</f>
        <v>82636.990196321334</v>
      </c>
      <c r="M246" s="768">
        <f ca="1">INDIRECT("'kc-Wert für Stützen'!"&amp;SUBSTITUTE(ADDRESS(MATCH($A246,'kc-Wert für Stützen'!$C:$C,0),MATCH(M$7,'kc-Wert für Stützen'!$A$8:$ES$8,0)+7,4),,))</f>
        <v>82127.405894525058</v>
      </c>
      <c r="N246" s="768">
        <f ca="1">INDIRECT("'kc-Wert für Stützen'!"&amp;SUBSTITUTE(ADDRESS(MATCH($A246,'kc-Wert für Stützen'!$C:$C,0),MATCH(N$7,'kc-Wert für Stützen'!$A$8:$ES$8,0)+7,4),,))</f>
        <v>81579.522566100481</v>
      </c>
      <c r="O246" s="768">
        <f ca="1">INDIRECT("'kc-Wert für Stützen'!"&amp;SUBSTITUTE(ADDRESS(MATCH($A246,'kc-Wert für Stützen'!$C:$C,0),MATCH(O$7,'kc-Wert für Stützen'!$A$8:$ES$8,0)+7,4),,))</f>
        <v>80989.756144279716</v>
      </c>
      <c r="P246" s="768">
        <f ca="1">INDIRECT("'kc-Wert für Stützen'!"&amp;SUBSTITUTE(ADDRESS(MATCH($A246,'kc-Wert für Stützen'!$C:$C,0),MATCH(P$7,'kc-Wert für Stützen'!$A$8:$ES$8,0)+7,4),,))</f>
        <v>80354.391700153166</v>
      </c>
      <c r="S246" s="772">
        <f t="shared" ca="1" si="91"/>
        <v>85694.064480174871</v>
      </c>
      <c r="T246" s="772">
        <f t="shared" ca="1" si="112"/>
        <v>85694.064480174871</v>
      </c>
      <c r="U246" s="772">
        <f t="shared" ca="1" si="112"/>
        <v>85694.064480174871</v>
      </c>
      <c r="V246" s="772">
        <f t="shared" ca="1" si="112"/>
        <v>85387.940215941519</v>
      </c>
      <c r="W246" s="772">
        <f t="shared" ca="1" si="112"/>
        <v>85064.285487968373</v>
      </c>
      <c r="X246" s="772">
        <f t="shared" ca="1" si="112"/>
        <v>84721.261933774818</v>
      </c>
      <c r="Y246" s="772">
        <f t="shared" ca="1" si="112"/>
        <v>84356.839497128894</v>
      </c>
      <c r="Z246" s="772">
        <f t="shared" ca="1" si="112"/>
        <v>85694.064480174871</v>
      </c>
      <c r="AA246" s="772">
        <f t="shared" ca="1" si="112"/>
        <v>85694.064480174871</v>
      </c>
      <c r="AB246" s="772">
        <f t="shared" ca="1" si="109"/>
        <v>85387.940215941519</v>
      </c>
      <c r="AC246" s="772">
        <f t="shared" ca="1" si="109"/>
        <v>85387.940215941519</v>
      </c>
      <c r="AD246" s="772">
        <f t="shared" ca="1" si="109"/>
        <v>85064.285487968373</v>
      </c>
      <c r="AE246" s="772">
        <f t="shared" ca="1" si="109"/>
        <v>85064.285487968373</v>
      </c>
      <c r="AF246" s="772">
        <f t="shared" ca="1" si="109"/>
        <v>84721.261933774818</v>
      </c>
      <c r="AG246" s="772">
        <f t="shared" ca="1" si="109"/>
        <v>84721.261933774818</v>
      </c>
      <c r="AH246" s="772">
        <f t="shared" ca="1" si="114"/>
        <v>84721.261933774818</v>
      </c>
      <c r="AI246" s="772">
        <f t="shared" ca="1" si="114"/>
        <v>85694.064480174871</v>
      </c>
      <c r="AJ246" s="772">
        <f t="shared" ca="1" si="114"/>
        <v>85694.064480174871</v>
      </c>
      <c r="AK246" s="772">
        <f t="shared" ca="1" si="114"/>
        <v>85387.940215941519</v>
      </c>
      <c r="AL246" s="772">
        <f t="shared" ca="1" si="114"/>
        <v>85387.940215941519</v>
      </c>
      <c r="AM246" s="772">
        <f t="shared" ca="1" si="114"/>
        <v>85064.285487968373</v>
      </c>
      <c r="AN246" s="772">
        <f t="shared" ca="1" si="114"/>
        <v>85064.285487968373</v>
      </c>
      <c r="AO246" s="772">
        <f t="shared" ca="1" si="114"/>
        <v>84721.261933774818</v>
      </c>
      <c r="AP246" s="772">
        <f t="shared" ca="1" si="114"/>
        <v>84721.261933774818</v>
      </c>
      <c r="AQ246" s="772">
        <f t="shared" ca="1" si="114"/>
        <v>84721.261933774818</v>
      </c>
      <c r="AR246" s="772">
        <f t="shared" ca="1" si="110"/>
        <v>85694.064480174871</v>
      </c>
      <c r="AS246" s="772">
        <f t="shared" ca="1" si="110"/>
        <v>85694.064480174871</v>
      </c>
      <c r="AT246" s="772">
        <f t="shared" ca="1" si="110"/>
        <v>85387.940215941519</v>
      </c>
      <c r="AU246" s="772">
        <f t="shared" ca="1" si="110"/>
        <v>85387.940215941519</v>
      </c>
      <c r="AV246" s="772">
        <f t="shared" ca="1" si="110"/>
        <v>85064.285487968373</v>
      </c>
      <c r="AW246" s="772">
        <f t="shared" ca="1" si="110"/>
        <v>85064.285487968373</v>
      </c>
      <c r="AX246" s="772">
        <f t="shared" ca="1" si="110"/>
        <v>84721.261933774818</v>
      </c>
      <c r="AY246" s="772">
        <f t="shared" ca="1" si="110"/>
        <v>84721.261933774818</v>
      </c>
      <c r="AZ246" s="772">
        <f t="shared" ca="1" si="110"/>
        <v>84721.261933774818</v>
      </c>
      <c r="BA246" s="772">
        <f t="shared" ca="1" si="110"/>
        <v>85694.064480174871</v>
      </c>
      <c r="BB246" s="772">
        <f t="shared" ca="1" si="110"/>
        <v>85694.064480174871</v>
      </c>
      <c r="BC246" s="772">
        <f t="shared" ca="1" si="110"/>
        <v>85387.940215941519</v>
      </c>
      <c r="BD246" s="772">
        <f t="shared" ca="1" si="110"/>
        <v>85064.285487968373</v>
      </c>
      <c r="BE246" s="772">
        <f t="shared" ca="1" si="110"/>
        <v>85064.285487968373</v>
      </c>
      <c r="BF246" s="772">
        <f t="shared" ca="1" si="110"/>
        <v>84721.261933774818</v>
      </c>
      <c r="BG246" s="772">
        <f t="shared" ca="1" si="97"/>
        <v>84721.261933774818</v>
      </c>
      <c r="BH246" s="772">
        <f t="shared" ca="1" si="111"/>
        <v>84356.839497128894</v>
      </c>
      <c r="BI246" s="772">
        <f t="shared" ca="1" si="111"/>
        <v>84356.839497128894</v>
      </c>
      <c r="BJ246" s="772">
        <f t="shared" ca="1" si="111"/>
        <v>85387.940215941519</v>
      </c>
      <c r="BK246" s="772">
        <f t="shared" ca="1" si="111"/>
        <v>85387.940215941519</v>
      </c>
      <c r="BL246" s="772">
        <f t="shared" ca="1" si="111"/>
        <v>85387.940215941519</v>
      </c>
      <c r="BM246" s="772">
        <f t="shared" ca="1" si="111"/>
        <v>85387.940215941519</v>
      </c>
      <c r="BN246" s="772">
        <f t="shared" ca="1" si="99"/>
        <v>84721.261933774818</v>
      </c>
      <c r="BO246" s="772">
        <f t="shared" ca="1" si="113"/>
        <v>84721.261933774818</v>
      </c>
      <c r="BP246" s="772">
        <f t="shared" ca="1" si="113"/>
        <v>84356.839497128894</v>
      </c>
      <c r="BQ246" s="772">
        <f t="shared" ca="1" si="113"/>
        <v>84356.839497128894</v>
      </c>
      <c r="BR246" s="772">
        <f t="shared" ca="1" si="113"/>
        <v>83968.780019164042</v>
      </c>
      <c r="BS246" s="772">
        <f t="shared" ca="1" si="113"/>
        <v>85387.940215941519</v>
      </c>
      <c r="BT246" s="772">
        <f t="shared" ca="1" si="113"/>
        <v>85387.940215941519</v>
      </c>
      <c r="BU246" s="772">
        <f t="shared" ca="1" si="113"/>
        <v>85387.940215941519</v>
      </c>
      <c r="BV246" s="772">
        <f t="shared" ca="1" si="113"/>
        <v>85064.285487968373</v>
      </c>
      <c r="BW246" s="772">
        <f t="shared" ca="1" si="113"/>
        <v>85064.285487968373</v>
      </c>
      <c r="BX246" s="772">
        <f t="shared" ca="1" si="113"/>
        <v>84356.839497128894</v>
      </c>
      <c r="BY246" s="772">
        <f t="shared" ca="1" si="113"/>
        <v>84356.839497128894</v>
      </c>
      <c r="BZ246" s="772">
        <f t="shared" ca="1" si="113"/>
        <v>83968.780019164042</v>
      </c>
      <c r="CA246" s="772">
        <f t="shared" ca="1" si="113"/>
        <v>83968.780019164042</v>
      </c>
      <c r="CB246" s="772">
        <f t="shared" ca="1" si="113"/>
        <v>85064.285487968373</v>
      </c>
      <c r="CC246" s="772">
        <f t="shared" ca="1" si="113"/>
        <v>85064.285487968373</v>
      </c>
      <c r="CD246" s="772">
        <f t="shared" ca="1" si="113"/>
        <v>85064.285487968373</v>
      </c>
      <c r="CE246" s="772">
        <f t="shared" ca="1" si="105"/>
        <v>85064.285487968373</v>
      </c>
      <c r="CF246" s="772">
        <f t="shared" ca="1" si="105"/>
        <v>84721.261933774818</v>
      </c>
      <c r="CG246" s="772">
        <f t="shared" ca="1" si="105"/>
        <v>84356.839497128894</v>
      </c>
      <c r="CH246" s="772">
        <f t="shared" ca="1" si="105"/>
        <v>83968.780019164042</v>
      </c>
      <c r="CI246" s="772">
        <f t="shared" ca="1" si="105"/>
        <v>83968.780019164042</v>
      </c>
      <c r="CJ246" s="772">
        <f t="shared" ca="1" si="105"/>
        <v>83554.622422237866</v>
      </c>
    </row>
    <row r="247" spans="1:88" ht="15" customHeight="1">
      <c r="A247" s="770">
        <f>'kc-Wert für Stützen'!C247</f>
        <v>299</v>
      </c>
      <c r="B247" s="768">
        <f ca="1">INDIRECT("'kc-Wert für Stützen'!"&amp;SUBSTITUTE(ADDRESS(MATCH($A247,'kc-Wert für Stützen'!$C:$C,0),MATCH(B$7,'kc-Wert für Stützen'!$A$8:$ES$8,0)+7,4),,))</f>
        <v>86865.43626973065</v>
      </c>
      <c r="C247" s="768">
        <f ca="1">INDIRECT("'kc-Wert für Stützen'!"&amp;SUBSTITUTE(ADDRESS(MATCH($A247,'kc-Wert für Stützen'!$C:$C,0),MATCH(C$7,'kc-Wert für Stützen'!$A$8:$ES$8,0)+7,4),,))</f>
        <v>86589.915180936368</v>
      </c>
      <c r="D247" s="768">
        <f ca="1">INDIRECT("'kc-Wert für Stützen'!"&amp;SUBSTITUTE(ADDRESS(MATCH($A247,'kc-Wert für Stützen'!$C:$C,0),MATCH(D$7,'kc-Wert für Stützen'!$A$8:$ES$8,0)+7,4),,))</f>
        <v>86300.170665378406</v>
      </c>
      <c r="E247" s="768">
        <f ca="1">INDIRECT("'kc-Wert für Stützen'!"&amp;SUBSTITUTE(ADDRESS(MATCH($A247,'kc-Wert für Stützen'!$C:$C,0),MATCH(E$7,'kc-Wert für Stützen'!$A$8:$ES$8,0)+7,4),,))</f>
        <v>85994.717206536516</v>
      </c>
      <c r="F247" s="768">
        <f ca="1">INDIRECT("'kc-Wert für Stützen'!"&amp;SUBSTITUTE(ADDRESS(MATCH($A247,'kc-Wert für Stützen'!$C:$C,0),MATCH(F$7,'kc-Wert für Stützen'!$A$8:$ES$8,0)+7,4),,))</f>
        <v>85671.913689263689</v>
      </c>
      <c r="G247" s="768">
        <f ca="1">INDIRECT("'kc-Wert für Stützen'!"&amp;SUBSTITUTE(ADDRESS(MATCH($A247,'kc-Wert für Stützen'!$C:$C,0),MATCH(G$7,'kc-Wert für Stützen'!$A$8:$ES$8,0)+7,4),,))</f>
        <v>85329.947062568957</v>
      </c>
      <c r="H247" s="768">
        <f ca="1">INDIRECT("'kc-Wert für Stützen'!"&amp;SUBSTITUTE(ADDRESS(MATCH($A247,'kc-Wert für Stützen'!$C:$C,0),MATCH(H$7,'kc-Wert für Stützen'!$A$8:$ES$8,0)+7,4),,))</f>
        <v>84966.815648401447</v>
      </c>
      <c r="I247" s="768">
        <f ca="1">INDIRECT("'kc-Wert für Stützen'!"&amp;SUBSTITUTE(ADDRESS(MATCH($A247,'kc-Wert für Stützen'!$C:$C,0),MATCH(I$7,'kc-Wert für Stützen'!$A$8:$ES$8,0)+7,4),,))</f>
        <v>84580.312799980631</v>
      </c>
      <c r="J247" s="768">
        <f ca="1">INDIRECT("'kc-Wert für Stützen'!"&amp;SUBSTITUTE(ADDRESS(MATCH($A247,'kc-Wert für Stützen'!$C:$C,0),MATCH(J$7,'kc-Wert für Stützen'!$A$8:$ES$8,0)+7,4),,))</f>
        <v>84168.011983844801</v>
      </c>
      <c r="K247" s="768">
        <f ca="1">INDIRECT("'kc-Wert für Stützen'!"&amp;SUBSTITUTE(ADDRESS(MATCH($A247,'kc-Wert für Stützen'!$C:$C,0),MATCH(K$7,'kc-Wert für Stützen'!$A$8:$ES$8,0)+7,4),,))</f>
        <v>83727.254856129352</v>
      </c>
      <c r="L247" s="768">
        <f ca="1">INDIRECT("'kc-Wert für Stützen'!"&amp;SUBSTITUTE(ADDRESS(MATCH($A247,'kc-Wert für Stützen'!$C:$C,0),MATCH(L$7,'kc-Wert für Stützen'!$A$8:$ES$8,0)+7,4),,))</f>
        <v>83255.14454540197</v>
      </c>
      <c r="M247" s="768">
        <f ca="1">INDIRECT("'kc-Wert für Stützen'!"&amp;SUBSTITUTE(ADDRESS(MATCH($A247,'kc-Wert für Stützen'!$C:$C,0),MATCH(M$7,'kc-Wert für Stützen'!$A$8:$ES$8,0)+7,4),,))</f>
        <v>82748.547147821155</v>
      </c>
      <c r="N247" s="768">
        <f ca="1">INDIRECT("'kc-Wert für Stützen'!"&amp;SUBSTITUTE(ADDRESS(MATCH($A247,'kc-Wert für Stützen'!$C:$C,0),MATCH(N$7,'kc-Wert für Stützen'!$A$8:$ES$8,0)+7,4),,))</f>
        <v>82204.105361662543</v>
      </c>
      <c r="O247" s="768">
        <f ca="1">INDIRECT("'kc-Wert für Stützen'!"&amp;SUBSTITUTE(ADDRESS(MATCH($A247,'kc-Wert für Stützen'!$C:$C,0),MATCH(O$7,'kc-Wert für Stützen'!$A$8:$ES$8,0)+7,4),,))</f>
        <v>81618.269158773153</v>
      </c>
      <c r="P247" s="768">
        <f ca="1">INDIRECT("'kc-Wert für Stützen'!"&amp;SUBSTITUTE(ADDRESS(MATCH($A247,'kc-Wert für Stützen'!$C:$C,0),MATCH(P$7,'kc-Wert für Stützen'!$A$8:$ES$8,0)+7,4),,))</f>
        <v>80987.349243601246</v>
      </c>
      <c r="S247" s="772">
        <f t="shared" ca="1" si="91"/>
        <v>86300.170665378406</v>
      </c>
      <c r="T247" s="772">
        <f t="shared" ca="1" si="112"/>
        <v>86300.170665378406</v>
      </c>
      <c r="U247" s="772">
        <f t="shared" ca="1" si="112"/>
        <v>86300.170665378406</v>
      </c>
      <c r="V247" s="772">
        <f t="shared" ca="1" si="112"/>
        <v>85994.717206536516</v>
      </c>
      <c r="W247" s="772">
        <f t="shared" ca="1" si="112"/>
        <v>85671.913689263689</v>
      </c>
      <c r="X247" s="772">
        <f t="shared" ca="1" si="112"/>
        <v>85329.947062568957</v>
      </c>
      <c r="Y247" s="772">
        <f t="shared" ca="1" si="112"/>
        <v>84966.815648401447</v>
      </c>
      <c r="Z247" s="772">
        <f t="shared" ca="1" si="112"/>
        <v>86300.170665378406</v>
      </c>
      <c r="AA247" s="772">
        <f t="shared" ca="1" si="112"/>
        <v>86300.170665378406</v>
      </c>
      <c r="AB247" s="772">
        <f t="shared" ca="1" si="109"/>
        <v>85994.717206536516</v>
      </c>
      <c r="AC247" s="772">
        <f t="shared" ca="1" si="109"/>
        <v>85994.717206536516</v>
      </c>
      <c r="AD247" s="772">
        <f t="shared" ca="1" si="109"/>
        <v>85671.913689263689</v>
      </c>
      <c r="AE247" s="772">
        <f t="shared" ca="1" si="109"/>
        <v>85671.913689263689</v>
      </c>
      <c r="AF247" s="772">
        <f t="shared" ca="1" si="109"/>
        <v>85329.947062568957</v>
      </c>
      <c r="AG247" s="772">
        <f t="shared" ca="1" si="109"/>
        <v>85329.947062568957</v>
      </c>
      <c r="AH247" s="772">
        <f t="shared" ca="1" si="114"/>
        <v>85329.947062568957</v>
      </c>
      <c r="AI247" s="772">
        <f t="shared" ca="1" si="114"/>
        <v>86300.170665378406</v>
      </c>
      <c r="AJ247" s="772">
        <f t="shared" ca="1" si="114"/>
        <v>86300.170665378406</v>
      </c>
      <c r="AK247" s="772">
        <f t="shared" ca="1" si="114"/>
        <v>85994.717206536516</v>
      </c>
      <c r="AL247" s="772">
        <f t="shared" ca="1" si="114"/>
        <v>85994.717206536516</v>
      </c>
      <c r="AM247" s="772">
        <f t="shared" ca="1" si="114"/>
        <v>85671.913689263689</v>
      </c>
      <c r="AN247" s="772">
        <f t="shared" ca="1" si="114"/>
        <v>85671.913689263689</v>
      </c>
      <c r="AO247" s="772">
        <f t="shared" ca="1" si="114"/>
        <v>85329.947062568957</v>
      </c>
      <c r="AP247" s="772">
        <f t="shared" ca="1" si="114"/>
        <v>85329.947062568957</v>
      </c>
      <c r="AQ247" s="772">
        <f t="shared" ca="1" si="114"/>
        <v>85329.947062568957</v>
      </c>
      <c r="AR247" s="772">
        <f t="shared" ca="1" si="110"/>
        <v>86300.170665378406</v>
      </c>
      <c r="AS247" s="772">
        <f t="shared" ca="1" si="110"/>
        <v>86300.170665378406</v>
      </c>
      <c r="AT247" s="772">
        <f t="shared" ca="1" si="110"/>
        <v>85994.717206536516</v>
      </c>
      <c r="AU247" s="772">
        <f t="shared" ca="1" si="110"/>
        <v>85994.717206536516</v>
      </c>
      <c r="AV247" s="772">
        <f t="shared" ca="1" si="110"/>
        <v>85671.913689263689</v>
      </c>
      <c r="AW247" s="772">
        <f t="shared" ca="1" si="110"/>
        <v>85671.913689263689</v>
      </c>
      <c r="AX247" s="772">
        <f t="shared" ca="1" si="110"/>
        <v>85329.947062568957</v>
      </c>
      <c r="AY247" s="772">
        <f t="shared" ca="1" si="110"/>
        <v>85329.947062568957</v>
      </c>
      <c r="AZ247" s="772">
        <f t="shared" ca="1" si="110"/>
        <v>85329.947062568957</v>
      </c>
      <c r="BA247" s="772">
        <f t="shared" ca="1" si="110"/>
        <v>86300.170665378406</v>
      </c>
      <c r="BB247" s="772">
        <f t="shared" ca="1" si="110"/>
        <v>86300.170665378406</v>
      </c>
      <c r="BC247" s="772">
        <f t="shared" ca="1" si="110"/>
        <v>85994.717206536516</v>
      </c>
      <c r="BD247" s="772">
        <f t="shared" ca="1" si="110"/>
        <v>85671.913689263689</v>
      </c>
      <c r="BE247" s="772">
        <f t="shared" ca="1" si="110"/>
        <v>85671.913689263689</v>
      </c>
      <c r="BF247" s="772">
        <f t="shared" ca="1" si="110"/>
        <v>85329.947062568957</v>
      </c>
      <c r="BG247" s="772">
        <f t="shared" ca="1" si="97"/>
        <v>85329.947062568957</v>
      </c>
      <c r="BH247" s="772">
        <f t="shared" ca="1" si="111"/>
        <v>84966.815648401447</v>
      </c>
      <c r="BI247" s="772">
        <f t="shared" ca="1" si="111"/>
        <v>84966.815648401447</v>
      </c>
      <c r="BJ247" s="772">
        <f t="shared" ca="1" si="111"/>
        <v>85994.717206536516</v>
      </c>
      <c r="BK247" s="772">
        <f t="shared" ca="1" si="111"/>
        <v>85994.717206536516</v>
      </c>
      <c r="BL247" s="772">
        <f t="shared" ca="1" si="111"/>
        <v>85994.717206536516</v>
      </c>
      <c r="BM247" s="772">
        <f t="shared" ca="1" si="111"/>
        <v>85994.717206536516</v>
      </c>
      <c r="BN247" s="772">
        <f t="shared" ca="1" si="99"/>
        <v>85329.947062568957</v>
      </c>
      <c r="BO247" s="772">
        <f t="shared" ca="1" si="113"/>
        <v>85329.947062568957</v>
      </c>
      <c r="BP247" s="772">
        <f t="shared" ca="1" si="113"/>
        <v>84966.815648401447</v>
      </c>
      <c r="BQ247" s="772">
        <f t="shared" ca="1" si="113"/>
        <v>84966.815648401447</v>
      </c>
      <c r="BR247" s="772">
        <f t="shared" ca="1" si="113"/>
        <v>84580.312799980631</v>
      </c>
      <c r="BS247" s="772">
        <f t="shared" ca="1" si="113"/>
        <v>85994.717206536516</v>
      </c>
      <c r="BT247" s="772">
        <f t="shared" ca="1" si="113"/>
        <v>85994.717206536516</v>
      </c>
      <c r="BU247" s="772">
        <f t="shared" ca="1" si="113"/>
        <v>85994.717206536516</v>
      </c>
      <c r="BV247" s="772">
        <f t="shared" ca="1" si="113"/>
        <v>85671.913689263689</v>
      </c>
      <c r="BW247" s="772">
        <f t="shared" ca="1" si="113"/>
        <v>85671.913689263689</v>
      </c>
      <c r="BX247" s="772">
        <f t="shared" ca="1" si="113"/>
        <v>84966.815648401447</v>
      </c>
      <c r="BY247" s="772">
        <f t="shared" ca="1" si="113"/>
        <v>84966.815648401447</v>
      </c>
      <c r="BZ247" s="772">
        <f t="shared" ca="1" si="113"/>
        <v>84580.312799980631</v>
      </c>
      <c r="CA247" s="772">
        <f t="shared" ca="1" si="113"/>
        <v>84580.312799980631</v>
      </c>
      <c r="CB247" s="772">
        <f t="shared" ca="1" si="113"/>
        <v>85671.913689263689</v>
      </c>
      <c r="CC247" s="772">
        <f t="shared" ca="1" si="113"/>
        <v>85671.913689263689</v>
      </c>
      <c r="CD247" s="772">
        <f t="shared" ca="1" si="113"/>
        <v>85671.913689263689</v>
      </c>
      <c r="CE247" s="772">
        <f t="shared" ca="1" si="105"/>
        <v>85671.913689263689</v>
      </c>
      <c r="CF247" s="772">
        <f t="shared" ca="1" si="105"/>
        <v>85329.947062568957</v>
      </c>
      <c r="CG247" s="772">
        <f t="shared" ca="1" si="105"/>
        <v>84966.815648401447</v>
      </c>
      <c r="CH247" s="772">
        <f t="shared" ca="1" si="105"/>
        <v>84580.312799980631</v>
      </c>
      <c r="CI247" s="772">
        <f t="shared" ca="1" si="105"/>
        <v>84580.312799980631</v>
      </c>
      <c r="CJ247" s="772">
        <f t="shared" ca="1" si="105"/>
        <v>84168.011983844801</v>
      </c>
    </row>
    <row r="248" spans="1:88" ht="15" customHeight="1">
      <c r="A248" s="770">
        <f>'kc-Wert für Stützen'!C248</f>
        <v>300</v>
      </c>
      <c r="B248" s="768">
        <f ca="1">INDIRECT("'kc-Wert für Stützen'!"&amp;SUBSTITUTE(ADDRESS(MATCH($A248,'kc-Wert für Stützen'!$C:$C,0),MATCH(B$7,'kc-Wert für Stützen'!$A$8:$ES$8,0)+7,4),,))</f>
        <v>87472.653925764127</v>
      </c>
      <c r="C248" s="768">
        <f ca="1">INDIRECT("'kc-Wert für Stützen'!"&amp;SUBSTITUTE(ADDRESS(MATCH($A248,'kc-Wert für Stützen'!$C:$C,0),MATCH(C$7,'kc-Wert für Stützen'!$A$8:$ES$8,0)+7,4),,))</f>
        <v>87197.495180191967</v>
      </c>
      <c r="D248" s="768">
        <f ca="1">INDIRECT("'kc-Wert für Stützen'!"&amp;SUBSTITUTE(ADDRESS(MATCH($A248,'kc-Wert für Stützen'!$C:$C,0),MATCH(D$7,'kc-Wert für Stützen'!$A$8:$ES$8,0)+7,4),,))</f>
        <v>86908.249021114912</v>
      </c>
      <c r="E248" s="768">
        <f ca="1">INDIRECT("'kc-Wert für Stützen'!"&amp;SUBSTITUTE(ADDRESS(MATCH($A248,'kc-Wert für Stützen'!$C:$C,0),MATCH(E$7,'kc-Wert für Stützen'!$A$8:$ES$8,0)+7,4),,))</f>
        <v>86603.449293920043</v>
      </c>
      <c r="F248" s="768">
        <f ca="1">INDIRECT("'kc-Wert für Stützen'!"&amp;SUBSTITUTE(ADDRESS(MATCH($A248,'kc-Wert für Stützen'!$C:$C,0),MATCH(F$7,'kc-Wert für Stützen'!$A$8:$ES$8,0)+7,4),,))</f>
        <v>86281.476866911369</v>
      </c>
      <c r="G248" s="768">
        <f ca="1">INDIRECT("'kc-Wert für Stützen'!"&amp;SUBSTITUTE(ADDRESS(MATCH($A248,'kc-Wert für Stützen'!$C:$C,0),MATCH(G$7,'kc-Wert für Stützen'!$A$8:$ES$8,0)+7,4),,))</f>
        <v>85940.543519805287</v>
      </c>
      <c r="H248" s="768">
        <f ca="1">INDIRECT("'kc-Wert für Stützen'!"&amp;SUBSTITUTE(ADDRESS(MATCH($A248,'kc-Wert für Stützen'!$C:$C,0),MATCH(H$7,'kc-Wert für Stützen'!$A$8:$ES$8,0)+7,4),,))</f>
        <v>85578.675427384282</v>
      </c>
      <c r="I248" s="768">
        <f ca="1">INDIRECT("'kc-Wert für Stützen'!"&amp;SUBSTITUTE(ADDRESS(MATCH($A248,'kc-Wert für Stützen'!$C:$C,0),MATCH(I$7,'kc-Wert für Stützen'!$A$8:$ES$8,0)+7,4),,))</f>
        <v>85193.696897966773</v>
      </c>
      <c r="J248" s="768">
        <f ca="1">INDIRECT("'kc-Wert für Stützen'!"&amp;SUBSTITUTE(ADDRESS(MATCH($A248,'kc-Wert für Stützen'!$C:$C,0),MATCH(J$7,'kc-Wert für Stützen'!$A$8:$ES$8,0)+7,4),,))</f>
        <v>84783.215377795437</v>
      </c>
      <c r="K248" s="768">
        <f ca="1">INDIRECT("'kc-Wert für Stützen'!"&amp;SUBSTITUTE(ADDRESS(MATCH($A248,'kc-Wert für Stützen'!$C:$C,0),MATCH(K$7,'kc-Wert für Stützen'!$A$8:$ES$8,0)+7,4),,))</f>
        <v>84344.609204260385</v>
      </c>
      <c r="L248" s="768">
        <f ca="1">INDIRECT("'kc-Wert für Stützen'!"&amp;SUBSTITUTE(ADDRESS(MATCH($A248,'kc-Wert für Stützen'!$C:$C,0),MATCH(L$7,'kc-Wert für Stützen'!$A$8:$ES$8,0)+7,4),,))</f>
        <v>83875.020203113279</v>
      </c>
      <c r="M248" s="768">
        <f ca="1">INDIRECT("'kc-Wert für Stützen'!"&amp;SUBSTITUTE(ADDRESS(MATCH($A248,'kc-Wert für Stützen'!$C:$C,0),MATCH(M$7,'kc-Wert für Stützen'!$A$8:$ES$8,0)+7,4),,))</f>
        <v>83371.353985682901</v>
      </c>
      <c r="N248" s="768">
        <f ca="1">INDIRECT("'kc-Wert für Stützen'!"&amp;SUBSTITUTE(ADDRESS(MATCH($A248,'kc-Wert für Stützen'!$C:$C,0),MATCH(N$7,'kc-Wert für Stützen'!$A$8:$ES$8,0)+7,4),,))</f>
        <v>82830.291692949031</v>
      </c>
      <c r="O248" s="768">
        <f ca="1">INDIRECT("'kc-Wert für Stützen'!"&amp;SUBSTITUTE(ADDRESS(MATCH($A248,'kc-Wert für Stützen'!$C:$C,0),MATCH(O$7,'kc-Wert für Stützen'!$A$8:$ES$8,0)+7,4),,))</f>
        <v>82248.317885715544</v>
      </c>
      <c r="P248" s="768">
        <f ca="1">INDIRECT("'kc-Wert für Stützen'!"&amp;SUBSTITUTE(ADDRESS(MATCH($A248,'kc-Wert für Stützen'!$C:$C,0),MATCH(P$7,'kc-Wert für Stützen'!$A$8:$ES$8,0)+7,4),,))</f>
        <v>81621.770144379159</v>
      </c>
      <c r="S248" s="772">
        <f t="shared" ca="1" si="91"/>
        <v>86908.249021114912</v>
      </c>
      <c r="T248" s="772">
        <f t="shared" ca="1" si="112"/>
        <v>86908.249021114912</v>
      </c>
      <c r="U248" s="772">
        <f t="shared" ca="1" si="112"/>
        <v>86908.249021114912</v>
      </c>
      <c r="V248" s="772">
        <f t="shared" ca="1" si="112"/>
        <v>86603.449293920043</v>
      </c>
      <c r="W248" s="772">
        <f t="shared" ca="1" si="112"/>
        <v>86281.476866911369</v>
      </c>
      <c r="X248" s="772">
        <f t="shared" ca="1" si="112"/>
        <v>85940.543519805287</v>
      </c>
      <c r="Y248" s="772">
        <f t="shared" ca="1" si="112"/>
        <v>85578.675427384282</v>
      </c>
      <c r="Z248" s="772">
        <f t="shared" ca="1" si="112"/>
        <v>86908.249021114912</v>
      </c>
      <c r="AA248" s="772">
        <f t="shared" ca="1" si="112"/>
        <v>86908.249021114912</v>
      </c>
      <c r="AB248" s="772">
        <f t="shared" ca="1" si="109"/>
        <v>86603.449293920043</v>
      </c>
      <c r="AC248" s="772">
        <f t="shared" ca="1" si="109"/>
        <v>86603.449293920043</v>
      </c>
      <c r="AD248" s="772">
        <f t="shared" ca="1" si="109"/>
        <v>86281.476866911369</v>
      </c>
      <c r="AE248" s="772">
        <f t="shared" ca="1" si="109"/>
        <v>86281.476866911369</v>
      </c>
      <c r="AF248" s="772">
        <f t="shared" ca="1" si="109"/>
        <v>85940.543519805287</v>
      </c>
      <c r="AG248" s="772">
        <f t="shared" ca="1" si="109"/>
        <v>85940.543519805287</v>
      </c>
      <c r="AH248" s="772">
        <f t="shared" ca="1" si="114"/>
        <v>85940.543519805287</v>
      </c>
      <c r="AI248" s="772">
        <f t="shared" ca="1" si="114"/>
        <v>86908.249021114912</v>
      </c>
      <c r="AJ248" s="772">
        <f t="shared" ca="1" si="114"/>
        <v>86908.249021114912</v>
      </c>
      <c r="AK248" s="772">
        <f t="shared" ca="1" si="114"/>
        <v>86603.449293920043</v>
      </c>
      <c r="AL248" s="772">
        <f t="shared" ca="1" si="114"/>
        <v>86603.449293920043</v>
      </c>
      <c r="AM248" s="772">
        <f t="shared" ca="1" si="114"/>
        <v>86281.476866911369</v>
      </c>
      <c r="AN248" s="772">
        <f t="shared" ca="1" si="114"/>
        <v>86281.476866911369</v>
      </c>
      <c r="AO248" s="772">
        <f t="shared" ca="1" si="114"/>
        <v>85940.543519805287</v>
      </c>
      <c r="AP248" s="772">
        <f t="shared" ca="1" si="114"/>
        <v>85940.543519805287</v>
      </c>
      <c r="AQ248" s="772">
        <f t="shared" ca="1" si="114"/>
        <v>85940.543519805287</v>
      </c>
      <c r="AR248" s="772">
        <f t="shared" ca="1" si="110"/>
        <v>86908.249021114912</v>
      </c>
      <c r="AS248" s="772">
        <f t="shared" ca="1" si="110"/>
        <v>86908.249021114912</v>
      </c>
      <c r="AT248" s="772">
        <f t="shared" ca="1" si="110"/>
        <v>86603.449293920043</v>
      </c>
      <c r="AU248" s="772">
        <f t="shared" ca="1" si="110"/>
        <v>86603.449293920043</v>
      </c>
      <c r="AV248" s="772">
        <f t="shared" ca="1" si="110"/>
        <v>86281.476866911369</v>
      </c>
      <c r="AW248" s="772">
        <f t="shared" ca="1" si="110"/>
        <v>86281.476866911369</v>
      </c>
      <c r="AX248" s="772">
        <f t="shared" ca="1" si="110"/>
        <v>85940.543519805287</v>
      </c>
      <c r="AY248" s="772">
        <f t="shared" ca="1" si="110"/>
        <v>85940.543519805287</v>
      </c>
      <c r="AZ248" s="772">
        <f t="shared" ca="1" si="110"/>
        <v>85940.543519805287</v>
      </c>
      <c r="BA248" s="772">
        <f t="shared" ca="1" si="110"/>
        <v>86908.249021114912</v>
      </c>
      <c r="BB248" s="772">
        <f t="shared" ca="1" si="110"/>
        <v>86908.249021114912</v>
      </c>
      <c r="BC248" s="772">
        <f t="shared" ca="1" si="110"/>
        <v>86603.449293920043</v>
      </c>
      <c r="BD248" s="772">
        <f t="shared" ca="1" si="110"/>
        <v>86281.476866911369</v>
      </c>
      <c r="BE248" s="772">
        <f t="shared" ca="1" si="110"/>
        <v>86281.476866911369</v>
      </c>
      <c r="BF248" s="772">
        <f t="shared" ca="1" si="110"/>
        <v>85940.543519805287</v>
      </c>
      <c r="BG248" s="772">
        <f t="shared" ca="1" si="110"/>
        <v>85940.543519805287</v>
      </c>
      <c r="BH248" s="772">
        <f t="shared" ca="1" si="111"/>
        <v>85578.675427384282</v>
      </c>
      <c r="BI248" s="772">
        <f t="shared" ca="1" si="111"/>
        <v>85578.675427384282</v>
      </c>
      <c r="BJ248" s="772">
        <f t="shared" ca="1" si="111"/>
        <v>86603.449293920043</v>
      </c>
      <c r="BK248" s="772">
        <f t="shared" ca="1" si="111"/>
        <v>86603.449293920043</v>
      </c>
      <c r="BL248" s="772">
        <f t="shared" ca="1" si="111"/>
        <v>86603.449293920043</v>
      </c>
      <c r="BM248" s="772">
        <f t="shared" ca="1" si="111"/>
        <v>86603.449293920043</v>
      </c>
      <c r="BN248" s="772">
        <f t="shared" ca="1" si="99"/>
        <v>85940.543519805287</v>
      </c>
      <c r="BO248" s="772">
        <f t="shared" ca="1" si="113"/>
        <v>85940.543519805287</v>
      </c>
      <c r="BP248" s="772">
        <f t="shared" ca="1" si="113"/>
        <v>85578.675427384282</v>
      </c>
      <c r="BQ248" s="772">
        <f t="shared" ca="1" si="113"/>
        <v>85578.675427384282</v>
      </c>
      <c r="BR248" s="772">
        <f t="shared" ca="1" si="113"/>
        <v>85193.696897966773</v>
      </c>
      <c r="BS248" s="772">
        <f t="shared" ca="1" si="113"/>
        <v>86603.449293920043</v>
      </c>
      <c r="BT248" s="772">
        <f t="shared" ca="1" si="113"/>
        <v>86603.449293920043</v>
      </c>
      <c r="BU248" s="772">
        <f t="shared" ca="1" si="113"/>
        <v>86603.449293920043</v>
      </c>
      <c r="BV248" s="772">
        <f t="shared" ca="1" si="113"/>
        <v>86281.476866911369</v>
      </c>
      <c r="BW248" s="772">
        <f t="shared" ca="1" si="113"/>
        <v>86281.476866911369</v>
      </c>
      <c r="BX248" s="772">
        <f t="shared" ca="1" si="113"/>
        <v>85578.675427384282</v>
      </c>
      <c r="BY248" s="772">
        <f t="shared" ca="1" si="113"/>
        <v>85578.675427384282</v>
      </c>
      <c r="BZ248" s="772">
        <f t="shared" ca="1" si="113"/>
        <v>85193.696897966773</v>
      </c>
      <c r="CA248" s="772">
        <f t="shared" ca="1" si="113"/>
        <v>85193.696897966773</v>
      </c>
      <c r="CB248" s="772">
        <f t="shared" ca="1" si="113"/>
        <v>86281.476866911369</v>
      </c>
      <c r="CC248" s="772">
        <f t="shared" ca="1" si="113"/>
        <v>86281.476866911369</v>
      </c>
      <c r="CD248" s="772">
        <f t="shared" ca="1" si="113"/>
        <v>86281.476866911369</v>
      </c>
      <c r="CE248" s="772">
        <f t="shared" ca="1" si="105"/>
        <v>86281.476866911369</v>
      </c>
      <c r="CF248" s="772">
        <f t="shared" ca="1" si="105"/>
        <v>85940.543519805287</v>
      </c>
      <c r="CG248" s="772">
        <f t="shared" ca="1" si="105"/>
        <v>85578.675427384282</v>
      </c>
      <c r="CH248" s="772">
        <f t="shared" ca="1" si="105"/>
        <v>85193.696897966773</v>
      </c>
      <c r="CI248" s="772">
        <f t="shared" ca="1" si="105"/>
        <v>85193.696897966773</v>
      </c>
      <c r="CJ248" s="772">
        <f t="shared" ca="1" si="105"/>
        <v>84783.215377795437</v>
      </c>
    </row>
    <row r="249" spans="1:88" ht="15" customHeight="1">
      <c r="A249" s="770">
        <f>'kc-Wert für Stützen'!C249</f>
        <v>301</v>
      </c>
      <c r="B249" s="768">
        <f ca="1">INDIRECT("'kc-Wert für Stützen'!"&amp;SUBSTITUTE(ADDRESS(MATCH($A249,'kc-Wert für Stützen'!$C:$C,0),MATCH(B$7,'kc-Wert für Stützen'!$A$8:$ES$8,0)+7,4),,))</f>
        <v>88081.871470964194</v>
      </c>
      <c r="C249" s="768">
        <f ca="1">INDIRECT("'kc-Wert für Stützen'!"&amp;SUBSTITUTE(ADDRESS(MATCH($A249,'kc-Wert für Stützen'!$C:$C,0),MATCH(C$7,'kc-Wert für Stützen'!$A$8:$ES$8,0)+7,4),,))</f>
        <v>87807.0630812483</v>
      </c>
      <c r="D249" s="768">
        <f ca="1">INDIRECT("'kc-Wert für Stützen'!"&amp;SUBSTITUTE(ADDRESS(MATCH($A249,'kc-Wert für Stützen'!$C:$C,0),MATCH(D$7,'kc-Wert für Stützen'!$A$8:$ES$8,0)+7,4),,))</f>
        <v>87518.301104238359</v>
      </c>
      <c r="E249" s="768">
        <f ca="1">INDIRECT("'kc-Wert für Stützen'!"&amp;SUBSTITUTE(ADDRESS(MATCH($A249,'kc-Wert für Stützen'!$C:$C,0),MATCH(E$7,'kc-Wert für Stützen'!$A$8:$ES$8,0)+7,4),,))</f>
        <v>87214.138375798051</v>
      </c>
      <c r="F249" s="768">
        <f ca="1">INDIRECT("'kc-Wert für Stützen'!"&amp;SUBSTITUTE(ADDRESS(MATCH($A249,'kc-Wert für Stützen'!$C:$C,0),MATCH(F$7,'kc-Wert für Stützen'!$A$8:$ES$8,0)+7,4),,))</f>
        <v>86892.977326336157</v>
      </c>
      <c r="G249" s="768">
        <f ca="1">INDIRECT("'kc-Wert für Stützen'!"&amp;SUBSTITUTE(ADDRESS(MATCH($A249,'kc-Wert für Stützen'!$C:$C,0),MATCH(G$7,'kc-Wert für Stützen'!$A$8:$ES$8,0)+7,4),,))</f>
        <v>86553.054095328087</v>
      </c>
      <c r="H249" s="768">
        <f ca="1">INDIRECT("'kc-Wert für Stützen'!"&amp;SUBSTITUTE(ADDRESS(MATCH($A249,'kc-Wert für Stützen'!$C:$C,0),MATCH(H$7,'kc-Wert für Stützen'!$A$8:$ES$8,0)+7,4),,))</f>
        <v>86192.422194589788</v>
      </c>
      <c r="I249" s="768">
        <f ca="1">INDIRECT("'kc-Wert für Stützen'!"&amp;SUBSTITUTE(ADDRESS(MATCH($A249,'kc-Wert für Stützen'!$C:$C,0),MATCH(I$7,'kc-Wert für Stützen'!$A$8:$ES$8,0)+7,4),,))</f>
        <v>85808.936338638625</v>
      </c>
      <c r="J249" s="768">
        <f ca="1">INDIRECT("'kc-Wert für Stützen'!"&amp;SUBSTITUTE(ADDRESS(MATCH($A249,'kc-Wert für Stützen'!$C:$C,0),MATCH(J$7,'kc-Wert für Stützen'!$A$8:$ES$8,0)+7,4),,))</f>
        <v>85400.237393714415</v>
      </c>
      <c r="K249" s="768">
        <f ca="1">INDIRECT("'kc-Wert für Stützen'!"&amp;SUBSTITUTE(ADDRESS(MATCH($A249,'kc-Wert für Stützen'!$C:$C,0),MATCH(K$7,'kc-Wert für Stützen'!$A$8:$ES$8,0)+7,4),,))</f>
        <v>84963.739845467571</v>
      </c>
      <c r="L249" s="768">
        <f ca="1">INDIRECT("'kc-Wert für Stützen'!"&amp;SUBSTITUTE(ADDRESS(MATCH($A249,'kc-Wert für Stützen'!$C:$C,0),MATCH(L$7,'kc-Wert für Stützen'!$A$8:$ES$8,0)+7,4),,))</f>
        <v>84496.623769164566</v>
      </c>
      <c r="M249" s="768">
        <f ca="1">INDIRECT("'kc-Wert für Stützen'!"&amp;SUBSTITUTE(ADDRESS(MATCH($A249,'kc-Wert für Stützen'!$C:$C,0),MATCH(M$7,'kc-Wert für Stützen'!$A$8:$ES$8,0)+7,4),,))</f>
        <v>83995.834015424989</v>
      </c>
      <c r="N249" s="768">
        <f ca="1">INDIRECT("'kc-Wert für Stützen'!"&amp;SUBSTITUTE(ADDRESS(MATCH($A249,'kc-Wert für Stützen'!$C:$C,0),MATCH(N$7,'kc-Wert für Stützen'!$A$8:$ES$8,0)+7,4),,))</f>
        <v>83458.090184947039</v>
      </c>
      <c r="O249" s="768">
        <f ca="1">INDIRECT("'kc-Wert für Stützen'!"&amp;SUBSTITUTE(ADDRESS(MATCH($A249,'kc-Wert für Stützen'!$C:$C,0),MATCH(O$7,'kc-Wert für Stützen'!$A$8:$ES$8,0)+7,4),,))</f>
        <v>82879.911898081264</v>
      </c>
      <c r="P249" s="768">
        <f ca="1">INDIRECT("'kc-Wert für Stützen'!"&amp;SUBSTITUTE(ADDRESS(MATCH($A249,'kc-Wert für Stützen'!$C:$C,0),MATCH(P$7,'kc-Wert für Stützen'!$A$8:$ES$8,0)+7,4),,))</f>
        <v>82257.664735427039</v>
      </c>
      <c r="S249" s="772">
        <f t="shared" ca="1" si="91"/>
        <v>87518.301104238359</v>
      </c>
      <c r="T249" s="772">
        <f t="shared" ca="1" si="112"/>
        <v>87518.301104238359</v>
      </c>
      <c r="U249" s="772">
        <f t="shared" ca="1" si="112"/>
        <v>87518.301104238359</v>
      </c>
      <c r="V249" s="772">
        <f t="shared" ca="1" si="112"/>
        <v>87214.138375798051</v>
      </c>
      <c r="W249" s="772">
        <f t="shared" ca="1" si="112"/>
        <v>86892.977326336157</v>
      </c>
      <c r="X249" s="772">
        <f t="shared" ca="1" si="112"/>
        <v>86553.054095328087</v>
      </c>
      <c r="Y249" s="772">
        <f t="shared" ca="1" si="112"/>
        <v>86192.422194589788</v>
      </c>
      <c r="Z249" s="772">
        <f t="shared" ca="1" si="112"/>
        <v>87518.301104238359</v>
      </c>
      <c r="AA249" s="772">
        <f t="shared" ca="1" si="112"/>
        <v>87518.301104238359</v>
      </c>
      <c r="AB249" s="772">
        <f t="shared" ca="1" si="109"/>
        <v>87214.138375798051</v>
      </c>
      <c r="AC249" s="772">
        <f t="shared" ca="1" si="109"/>
        <v>87214.138375798051</v>
      </c>
      <c r="AD249" s="772">
        <f t="shared" ca="1" si="109"/>
        <v>86892.977326336157</v>
      </c>
      <c r="AE249" s="772">
        <f t="shared" ca="1" si="109"/>
        <v>86892.977326336157</v>
      </c>
      <c r="AF249" s="772">
        <f t="shared" ca="1" si="109"/>
        <v>86553.054095328087</v>
      </c>
      <c r="AG249" s="772">
        <f t="shared" ca="1" si="109"/>
        <v>86553.054095328087</v>
      </c>
      <c r="AH249" s="772">
        <f t="shared" ca="1" si="114"/>
        <v>86553.054095328087</v>
      </c>
      <c r="AI249" s="772">
        <f t="shared" ca="1" si="114"/>
        <v>87518.301104238359</v>
      </c>
      <c r="AJ249" s="772">
        <f t="shared" ca="1" si="114"/>
        <v>87518.301104238359</v>
      </c>
      <c r="AK249" s="772">
        <f t="shared" ca="1" si="114"/>
        <v>87214.138375798051</v>
      </c>
      <c r="AL249" s="772">
        <f t="shared" ca="1" si="114"/>
        <v>87214.138375798051</v>
      </c>
      <c r="AM249" s="772">
        <f t="shared" ca="1" si="114"/>
        <v>86892.977326336157</v>
      </c>
      <c r="AN249" s="772">
        <f t="shared" ca="1" si="114"/>
        <v>86892.977326336157</v>
      </c>
      <c r="AO249" s="772">
        <f t="shared" ca="1" si="114"/>
        <v>86553.054095328087</v>
      </c>
      <c r="AP249" s="772">
        <f t="shared" ca="1" si="114"/>
        <v>86553.054095328087</v>
      </c>
      <c r="AQ249" s="772">
        <f t="shared" ca="1" si="114"/>
        <v>86553.054095328087</v>
      </c>
      <c r="AR249" s="772">
        <f t="shared" ca="1" si="110"/>
        <v>87518.301104238359</v>
      </c>
      <c r="AS249" s="772">
        <f t="shared" ca="1" si="110"/>
        <v>87518.301104238359</v>
      </c>
      <c r="AT249" s="772">
        <f t="shared" ca="1" si="110"/>
        <v>87214.138375798051</v>
      </c>
      <c r="AU249" s="772">
        <f t="shared" ca="1" si="110"/>
        <v>87214.138375798051</v>
      </c>
      <c r="AV249" s="772">
        <f t="shared" ca="1" si="110"/>
        <v>86892.977326336157</v>
      </c>
      <c r="AW249" s="772">
        <f t="shared" ca="1" si="110"/>
        <v>86892.977326336157</v>
      </c>
      <c r="AX249" s="772">
        <f t="shared" ca="1" si="110"/>
        <v>86553.054095328087</v>
      </c>
      <c r="AY249" s="772">
        <f t="shared" ca="1" si="110"/>
        <v>86553.054095328087</v>
      </c>
      <c r="AZ249" s="772">
        <f t="shared" ca="1" si="110"/>
        <v>86553.054095328087</v>
      </c>
      <c r="BA249" s="772">
        <f t="shared" ca="1" si="110"/>
        <v>87518.301104238359</v>
      </c>
      <c r="BB249" s="772">
        <f t="shared" ca="1" si="110"/>
        <v>87518.301104238359</v>
      </c>
      <c r="BC249" s="772">
        <f t="shared" ca="1" si="110"/>
        <v>87214.138375798051</v>
      </c>
      <c r="BD249" s="772">
        <f t="shared" ca="1" si="110"/>
        <v>86892.977326336157</v>
      </c>
      <c r="BE249" s="772">
        <f t="shared" ca="1" si="110"/>
        <v>86892.977326336157</v>
      </c>
      <c r="BF249" s="772">
        <f t="shared" ca="1" si="110"/>
        <v>86553.054095328087</v>
      </c>
      <c r="BG249" s="772">
        <f t="shared" ca="1" si="110"/>
        <v>86553.054095328087</v>
      </c>
      <c r="BH249" s="772">
        <f t="shared" ca="1" si="111"/>
        <v>86192.422194589788</v>
      </c>
      <c r="BI249" s="772">
        <f t="shared" ca="1" si="111"/>
        <v>86192.422194589788</v>
      </c>
      <c r="BJ249" s="772">
        <f t="shared" ca="1" si="111"/>
        <v>87214.138375798051</v>
      </c>
      <c r="BK249" s="772">
        <f t="shared" ca="1" si="111"/>
        <v>87214.138375798051</v>
      </c>
      <c r="BL249" s="772">
        <f t="shared" ca="1" si="111"/>
        <v>87214.138375798051</v>
      </c>
      <c r="BM249" s="772">
        <f t="shared" ca="1" si="111"/>
        <v>87214.138375798051</v>
      </c>
      <c r="BN249" s="772">
        <f t="shared" ca="1" si="99"/>
        <v>86553.054095328087</v>
      </c>
      <c r="BO249" s="772">
        <f t="shared" ca="1" si="113"/>
        <v>86553.054095328087</v>
      </c>
      <c r="BP249" s="772">
        <f t="shared" ca="1" si="113"/>
        <v>86192.422194589788</v>
      </c>
      <c r="BQ249" s="772">
        <f t="shared" ca="1" si="113"/>
        <v>86192.422194589788</v>
      </c>
      <c r="BR249" s="772">
        <f t="shared" ca="1" si="113"/>
        <v>85808.936338638625</v>
      </c>
      <c r="BS249" s="772">
        <f t="shared" ca="1" si="113"/>
        <v>87214.138375798051</v>
      </c>
      <c r="BT249" s="772">
        <f t="shared" ca="1" si="113"/>
        <v>87214.138375798051</v>
      </c>
      <c r="BU249" s="772">
        <f t="shared" ca="1" si="113"/>
        <v>87214.138375798051</v>
      </c>
      <c r="BV249" s="772">
        <f t="shared" ca="1" si="113"/>
        <v>86892.977326336157</v>
      </c>
      <c r="BW249" s="772">
        <f t="shared" ca="1" si="113"/>
        <v>86892.977326336157</v>
      </c>
      <c r="BX249" s="772">
        <f t="shared" ca="1" si="113"/>
        <v>86192.422194589788</v>
      </c>
      <c r="BY249" s="772">
        <f t="shared" ca="1" si="113"/>
        <v>86192.422194589788</v>
      </c>
      <c r="BZ249" s="772">
        <f t="shared" ca="1" si="113"/>
        <v>85808.936338638625</v>
      </c>
      <c r="CA249" s="772">
        <f t="shared" ca="1" si="113"/>
        <v>85808.936338638625</v>
      </c>
      <c r="CB249" s="772">
        <f t="shared" ca="1" si="113"/>
        <v>86892.977326336157</v>
      </c>
      <c r="CC249" s="772">
        <f t="shared" ca="1" si="113"/>
        <v>86892.977326336157</v>
      </c>
      <c r="CD249" s="772">
        <f t="shared" ca="1" si="113"/>
        <v>86892.977326336157</v>
      </c>
      <c r="CE249" s="772">
        <f t="shared" ca="1" si="105"/>
        <v>86892.977326336157</v>
      </c>
      <c r="CF249" s="772">
        <f t="shared" ca="1" si="105"/>
        <v>86553.054095328087</v>
      </c>
      <c r="CG249" s="772">
        <f t="shared" ca="1" si="105"/>
        <v>86192.422194589788</v>
      </c>
      <c r="CH249" s="772">
        <f t="shared" ca="1" si="105"/>
        <v>85808.936338638625</v>
      </c>
      <c r="CI249" s="772">
        <f t="shared" ca="1" si="105"/>
        <v>85808.936338638625</v>
      </c>
      <c r="CJ249" s="772">
        <f t="shared" ca="1" si="105"/>
        <v>85400.237393714415</v>
      </c>
    </row>
    <row r="250" spans="1:88" ht="15" customHeight="1">
      <c r="A250" s="770">
        <f>'kc-Wert für Stützen'!C250</f>
        <v>302</v>
      </c>
      <c r="B250" s="768">
        <f ca="1">INDIRECT("'kc-Wert für Stützen'!"&amp;SUBSTITUTE(ADDRESS(MATCH($A250,'kc-Wert für Stützen'!$C:$C,0),MATCH(B$7,'kc-Wert für Stützen'!$A$8:$ES$8,0)+7,4),,))</f>
        <v>88693.089921113133</v>
      </c>
      <c r="C250" s="768">
        <f ca="1">INDIRECT("'kc-Wert für Stützen'!"&amp;SUBSTITUTE(ADDRESS(MATCH($A250,'kc-Wert für Stützen'!$C:$C,0),MATCH(C$7,'kc-Wert für Stützen'!$A$8:$ES$8,0)+7,4),,))</f>
        <v>88418.620128753479</v>
      </c>
      <c r="D250" s="768">
        <f ca="1">INDIRECT("'kc-Wert für Stützen'!"&amp;SUBSTITUTE(ADDRESS(MATCH($A250,'kc-Wert für Stützen'!$C:$C,0),MATCH(D$7,'kc-Wert für Stützen'!$A$8:$ES$8,0)+7,4),,))</f>
        <v>88130.328435797637</v>
      </c>
      <c r="E250" s="768">
        <f ca="1">INDIRECT("'kc-Wert für Stützen'!"&amp;SUBSTITUTE(ADDRESS(MATCH($A250,'kc-Wert für Stützen'!$C:$C,0),MATCH(E$7,'kc-Wert für Stützen'!$A$8:$ES$8,0)+7,4),,))</f>
        <v>87826.786305596368</v>
      </c>
      <c r="F250" s="768">
        <f ca="1">INDIRECT("'kc-Wert für Stützen'!"&amp;SUBSTITUTE(ADDRESS(MATCH($A250,'kc-Wert für Stützen'!$C:$C,0),MATCH(F$7,'kc-Wert für Stützen'!$A$8:$ES$8,0)+7,4),,))</f>
        <v>87506.417318552179</v>
      </c>
      <c r="G250" s="768">
        <f ca="1">INDIRECT("'kc-Wert für Stützen'!"&amp;SUBSTITUTE(ADDRESS(MATCH($A250,'kc-Wert für Stützen'!$C:$C,0),MATCH(G$7,'kc-Wert für Stützen'!$A$8:$ES$8,0)+7,4),,))</f>
        <v>87167.481512638857</v>
      </c>
      <c r="H250" s="768">
        <f ca="1">INDIRECT("'kc-Wert für Stützen'!"&amp;SUBSTITUTE(ADDRESS(MATCH($A250,'kc-Wert für Stützen'!$C:$C,0),MATCH(H$7,'kc-Wert für Stützen'!$A$8:$ES$8,0)+7,4),,))</f>
        <v>86808.059230404455</v>
      </c>
      <c r="I250" s="768">
        <f ca="1">INDIRECT("'kc-Wert für Stützen'!"&amp;SUBSTITUTE(ADDRESS(MATCH($A250,'kc-Wert für Stützen'!$C:$C,0),MATCH(I$7,'kc-Wert für Stützen'!$A$8:$ES$8,0)+7,4),,))</f>
        <v>86426.035051883679</v>
      </c>
      <c r="J250" s="768">
        <f ca="1">INDIRECT("'kc-Wert für Stützen'!"&amp;SUBSTITUTE(ADDRESS(MATCH($A250,'kc-Wert für Stützen'!$C:$C,0),MATCH(J$7,'kc-Wert für Stützen'!$A$8:$ES$8,0)+7,4),,))</f>
        <v>86019.082708810529</v>
      </c>
      <c r="K250" s="768">
        <f ca="1">INDIRECT("'kc-Wert für Stützen'!"&amp;SUBSTITUTE(ADDRESS(MATCH($A250,'kc-Wert für Stützen'!$C:$C,0),MATCH(K$7,'kc-Wert für Stützen'!$A$8:$ES$8,0)+7,4),,))</f>
        <v>85584.652301676149</v>
      </c>
      <c r="L250" s="768">
        <f ca="1">INDIRECT("'kc-Wert für Stützen'!"&amp;SUBSTITUTE(ADDRESS(MATCH($A250,'kc-Wert für Stützen'!$C:$C,0),MATCH(L$7,'kc-Wert für Stützen'!$A$8:$ES$8,0)+7,4),,))</f>
        <v>85119.961697780382</v>
      </c>
      <c r="M250" s="768">
        <f ca="1">INDIRECT("'kc-Wert für Stützen'!"&amp;SUBSTITUTE(ADDRESS(MATCH($A250,'kc-Wert für Stützen'!$C:$C,0),MATCH(M$7,'kc-Wert für Stützen'!$A$8:$ES$8,0)+7,4),,))</f>
        <v>84621.994686830862</v>
      </c>
      <c r="N250" s="768">
        <f ca="1">INDIRECT("'kc-Wert für Stützen'!"&amp;SUBSTITUTE(ADDRESS(MATCH($A250,'kc-Wert für Stützen'!$C:$C,0),MATCH(N$7,'kc-Wert für Stützen'!$A$8:$ES$8,0)+7,4),,))</f>
        <v>84087.509300845501</v>
      </c>
      <c r="O250" s="768">
        <f ca="1">INDIRECT("'kc-Wert für Stützen'!"&amp;SUBSTITUTE(ADDRESS(MATCH($A250,'kc-Wert für Stützen'!$C:$C,0),MATCH(O$7,'kc-Wert für Stützen'!$A$8:$ES$8,0)+7,4),,))</f>
        <v>83513.060616040253</v>
      </c>
      <c r="P250" s="768">
        <f ca="1">INDIRECT("'kc-Wert für Stützen'!"&amp;SUBSTITUTE(ADDRESS(MATCH($A250,'kc-Wert für Stützen'!$C:$C,0),MATCH(P$7,'kc-Wert für Stützen'!$A$8:$ES$8,0)+7,4),,))</f>
        <v>82895.043226268652</v>
      </c>
      <c r="S250" s="772">
        <f t="shared" ca="1" si="91"/>
        <v>88130.328435797637</v>
      </c>
      <c r="T250" s="772">
        <f t="shared" ca="1" si="112"/>
        <v>88130.328435797637</v>
      </c>
      <c r="U250" s="772">
        <f t="shared" ca="1" si="112"/>
        <v>88130.328435797637</v>
      </c>
      <c r="V250" s="772">
        <f t="shared" ca="1" si="112"/>
        <v>87826.786305596368</v>
      </c>
      <c r="W250" s="772">
        <f t="shared" ca="1" si="112"/>
        <v>87506.417318552179</v>
      </c>
      <c r="X250" s="772">
        <f t="shared" ca="1" si="112"/>
        <v>87167.481512638857</v>
      </c>
      <c r="Y250" s="772">
        <f t="shared" ca="1" si="112"/>
        <v>86808.059230404455</v>
      </c>
      <c r="Z250" s="772">
        <f t="shared" ca="1" si="112"/>
        <v>88130.328435797637</v>
      </c>
      <c r="AA250" s="772">
        <f t="shared" ca="1" si="112"/>
        <v>88130.328435797637</v>
      </c>
      <c r="AB250" s="772">
        <f t="shared" ca="1" si="109"/>
        <v>87826.786305596368</v>
      </c>
      <c r="AC250" s="772">
        <f t="shared" ca="1" si="109"/>
        <v>87826.786305596368</v>
      </c>
      <c r="AD250" s="772">
        <f t="shared" ca="1" si="109"/>
        <v>87506.417318552179</v>
      </c>
      <c r="AE250" s="772">
        <f t="shared" ca="1" si="109"/>
        <v>87506.417318552179</v>
      </c>
      <c r="AF250" s="772">
        <f t="shared" ca="1" si="109"/>
        <v>87167.481512638857</v>
      </c>
      <c r="AG250" s="772">
        <f t="shared" ca="1" si="109"/>
        <v>87167.481512638857</v>
      </c>
      <c r="AH250" s="772">
        <f t="shared" ca="1" si="114"/>
        <v>87167.481512638857</v>
      </c>
      <c r="AI250" s="772">
        <f t="shared" ca="1" si="114"/>
        <v>88130.328435797637</v>
      </c>
      <c r="AJ250" s="772">
        <f t="shared" ca="1" si="114"/>
        <v>88130.328435797637</v>
      </c>
      <c r="AK250" s="772">
        <f t="shared" ca="1" si="114"/>
        <v>87826.786305596368</v>
      </c>
      <c r="AL250" s="772">
        <f t="shared" ca="1" si="114"/>
        <v>87826.786305596368</v>
      </c>
      <c r="AM250" s="772">
        <f t="shared" ca="1" si="114"/>
        <v>87506.417318552179</v>
      </c>
      <c r="AN250" s="772">
        <f t="shared" ca="1" si="114"/>
        <v>87506.417318552179</v>
      </c>
      <c r="AO250" s="772">
        <f t="shared" ca="1" si="114"/>
        <v>87167.481512638857</v>
      </c>
      <c r="AP250" s="772">
        <f t="shared" ca="1" si="114"/>
        <v>87167.481512638857</v>
      </c>
      <c r="AQ250" s="772">
        <f t="shared" ca="1" si="114"/>
        <v>87167.481512638857</v>
      </c>
      <c r="AR250" s="772">
        <f t="shared" ca="1" si="110"/>
        <v>88130.328435797637</v>
      </c>
      <c r="AS250" s="772">
        <f t="shared" ca="1" si="110"/>
        <v>88130.328435797637</v>
      </c>
      <c r="AT250" s="772">
        <f t="shared" ca="1" si="110"/>
        <v>87826.786305596368</v>
      </c>
      <c r="AU250" s="772">
        <f t="shared" ca="1" si="110"/>
        <v>87826.786305596368</v>
      </c>
      <c r="AV250" s="772">
        <f t="shared" ca="1" si="110"/>
        <v>87506.417318552179</v>
      </c>
      <c r="AW250" s="772">
        <f t="shared" ca="1" si="110"/>
        <v>87506.417318552179</v>
      </c>
      <c r="AX250" s="772">
        <f t="shared" ca="1" si="110"/>
        <v>87167.481512638857</v>
      </c>
      <c r="AY250" s="772">
        <f t="shared" ca="1" si="110"/>
        <v>87167.481512638857</v>
      </c>
      <c r="AZ250" s="772">
        <f t="shared" ca="1" si="110"/>
        <v>87167.481512638857</v>
      </c>
      <c r="BA250" s="772">
        <f t="shared" ca="1" si="110"/>
        <v>88130.328435797637</v>
      </c>
      <c r="BB250" s="772">
        <f t="shared" ca="1" si="110"/>
        <v>88130.328435797637</v>
      </c>
      <c r="BC250" s="772">
        <f t="shared" ca="1" si="110"/>
        <v>87826.786305596368</v>
      </c>
      <c r="BD250" s="772">
        <f t="shared" ca="1" si="110"/>
        <v>87506.417318552179</v>
      </c>
      <c r="BE250" s="772">
        <f t="shared" ca="1" si="110"/>
        <v>87506.417318552179</v>
      </c>
      <c r="BF250" s="772">
        <f t="shared" ca="1" si="110"/>
        <v>87167.481512638857</v>
      </c>
      <c r="BG250" s="772">
        <f t="shared" ca="1" si="110"/>
        <v>87167.481512638857</v>
      </c>
      <c r="BH250" s="772">
        <f t="shared" ca="1" si="111"/>
        <v>86808.059230404455</v>
      </c>
      <c r="BI250" s="772">
        <f t="shared" ca="1" si="111"/>
        <v>86808.059230404455</v>
      </c>
      <c r="BJ250" s="772">
        <f t="shared" ca="1" si="111"/>
        <v>87826.786305596368</v>
      </c>
      <c r="BK250" s="772">
        <f t="shared" ca="1" si="111"/>
        <v>87826.786305596368</v>
      </c>
      <c r="BL250" s="772">
        <f t="shared" ca="1" si="111"/>
        <v>87826.786305596368</v>
      </c>
      <c r="BM250" s="772">
        <f t="shared" ca="1" si="111"/>
        <v>87826.786305596368</v>
      </c>
      <c r="BN250" s="772">
        <f t="shared" ca="1" si="99"/>
        <v>87167.481512638857</v>
      </c>
      <c r="BO250" s="772">
        <f t="shared" ca="1" si="113"/>
        <v>87167.481512638857</v>
      </c>
      <c r="BP250" s="772">
        <f t="shared" ca="1" si="113"/>
        <v>86808.059230404455</v>
      </c>
      <c r="BQ250" s="772">
        <f t="shared" ca="1" si="113"/>
        <v>86808.059230404455</v>
      </c>
      <c r="BR250" s="772">
        <f t="shared" ca="1" si="113"/>
        <v>86426.035051883679</v>
      </c>
      <c r="BS250" s="772">
        <f t="shared" ca="1" si="113"/>
        <v>87826.786305596368</v>
      </c>
      <c r="BT250" s="772">
        <f t="shared" ca="1" si="113"/>
        <v>87826.786305596368</v>
      </c>
      <c r="BU250" s="772">
        <f t="shared" ca="1" si="113"/>
        <v>87826.786305596368</v>
      </c>
      <c r="BV250" s="772">
        <f t="shared" ca="1" si="113"/>
        <v>87506.417318552179</v>
      </c>
      <c r="BW250" s="772">
        <f t="shared" ca="1" si="113"/>
        <v>87506.417318552179</v>
      </c>
      <c r="BX250" s="772">
        <f t="shared" ca="1" si="113"/>
        <v>86808.059230404455</v>
      </c>
      <c r="BY250" s="772">
        <f t="shared" ca="1" si="113"/>
        <v>86808.059230404455</v>
      </c>
      <c r="BZ250" s="772">
        <f t="shared" ca="1" si="113"/>
        <v>86426.035051883679</v>
      </c>
      <c r="CA250" s="772">
        <f t="shared" ca="1" si="113"/>
        <v>86426.035051883679</v>
      </c>
      <c r="CB250" s="772">
        <f t="shared" ca="1" si="113"/>
        <v>87506.417318552179</v>
      </c>
      <c r="CC250" s="772">
        <f t="shared" ca="1" si="113"/>
        <v>87506.417318552179</v>
      </c>
      <c r="CD250" s="772">
        <f t="shared" ca="1" si="113"/>
        <v>87506.417318552179</v>
      </c>
      <c r="CE250" s="772">
        <f t="shared" ca="1" si="105"/>
        <v>87506.417318552179</v>
      </c>
      <c r="CF250" s="772">
        <f t="shared" ca="1" si="105"/>
        <v>87167.481512638857</v>
      </c>
      <c r="CG250" s="772">
        <f t="shared" ca="1" si="105"/>
        <v>86808.059230404455</v>
      </c>
      <c r="CH250" s="772">
        <f t="shared" ca="1" si="105"/>
        <v>86426.035051883679</v>
      </c>
      <c r="CI250" s="772">
        <f t="shared" ca="1" si="105"/>
        <v>86426.035051883679</v>
      </c>
      <c r="CJ250" s="772">
        <f t="shared" ca="1" si="105"/>
        <v>86019.082708810529</v>
      </c>
    </row>
    <row r="251" spans="1:88" ht="15" customHeight="1">
      <c r="A251" s="770">
        <f>'kc-Wert für Stützen'!C251</f>
        <v>303</v>
      </c>
      <c r="B251" s="768">
        <f ca="1">INDIRECT("'kc-Wert für Stützen'!"&amp;SUBSTITUTE(ADDRESS(MATCH($A251,'kc-Wert für Stützen'!$C:$C,0),MATCH(B$7,'kc-Wert für Stützen'!$A$8:$ES$8,0)+7,4),,))</f>
        <v>89306.310269571317</v>
      </c>
      <c r="C251" s="768">
        <f ca="1">INDIRECT("'kc-Wert für Stützen'!"&amp;SUBSTITUTE(ADDRESS(MATCH($A251,'kc-Wert für Stützen'!$C:$C,0),MATCH(C$7,'kc-Wert für Stützen'!$A$8:$ES$8,0)+7,4),,))</f>
        <v>89032.167539353177</v>
      </c>
      <c r="D251" s="768">
        <f ca="1">INDIRECT("'kc-Wert für Stützen'!"&amp;SUBSTITUTE(ADDRESS(MATCH($A251,'kc-Wert für Stützen'!$C:$C,0),MATCH(D$7,'kc-Wert für Stützen'!$A$8:$ES$8,0)+7,4),,))</f>
        <v>88744.332502030113</v>
      </c>
      <c r="E251" s="768">
        <f ca="1">INDIRECT("'kc-Wert für Stützen'!"&amp;SUBSTITUTE(ADDRESS(MATCH($A251,'kc-Wert für Stützen'!$C:$C,0),MATCH(E$7,'kc-Wert für Stützen'!$A$8:$ES$8,0)+7,4),,))</f>
        <v>88441.39489369448</v>
      </c>
      <c r="F251" s="768">
        <f ca="1">INDIRECT("'kc-Wert für Stützen'!"&amp;SUBSTITUTE(ADDRESS(MATCH($A251,'kc-Wert für Stützen'!$C:$C,0),MATCH(F$7,'kc-Wert für Stützen'!$A$8:$ES$8,0)+7,4),,))</f>
        <v>88121.799041676917</v>
      </c>
      <c r="G251" s="768">
        <f ca="1">INDIRECT("'kc-Wert für Stützen'!"&amp;SUBSTITUTE(ADDRESS(MATCH($A251,'kc-Wert für Stützen'!$C:$C,0),MATCH(G$7,'kc-Wert für Stützen'!$A$8:$ES$8,0)+7,4),,))</f>
        <v>87783.828430725946</v>
      </c>
      <c r="H251" s="768">
        <f ca="1">INDIRECT("'kc-Wert für Stützen'!"&amp;SUBSTITUTE(ADDRESS(MATCH($A251,'kc-Wert für Stützen'!$C:$C,0),MATCH(H$7,'kc-Wert für Stützen'!$A$8:$ES$8,0)+7,4),,))</f>
        <v>87425.589737256902</v>
      </c>
      <c r="I251" s="768">
        <f ca="1">INDIRECT("'kc-Wert für Stützen'!"&amp;SUBSTITUTE(ADDRESS(MATCH($A251,'kc-Wert für Stützen'!$C:$C,0),MATCH(I$7,'kc-Wert für Stützen'!$A$8:$ES$8,0)+7,4),,))</f>
        <v>87044.996874463191</v>
      </c>
      <c r="J251" s="768">
        <f ca="1">INDIRECT("'kc-Wert für Stützen'!"&amp;SUBSTITUTE(ADDRESS(MATCH($A251,'kc-Wert für Stützen'!$C:$C,0),MATCH(J$7,'kc-Wert für Stützen'!$A$8:$ES$8,0)+7,4),,))</f>
        <v>86639.755890659872</v>
      </c>
      <c r="K251" s="768">
        <f ca="1">INDIRECT("'kc-Wert für Stützen'!"&amp;SUBSTITUTE(ADDRESS(MATCH($A251,'kc-Wert für Stützen'!$C:$C,0),MATCH(K$7,'kc-Wert für Stützen'!$A$8:$ES$8,0)+7,4),,))</f>
        <v>86207.351968165036</v>
      </c>
      <c r="L251" s="768">
        <f ca="1">INDIRECT("'kc-Wert für Stützen'!"&amp;SUBSTITUTE(ADDRESS(MATCH($A251,'kc-Wert für Stützen'!$C:$C,0),MATCH(L$7,'kc-Wert für Stützen'!$A$8:$ES$8,0)+7,4),,))</f>
        <v>85745.040300514564</v>
      </c>
      <c r="M251" s="768">
        <f ca="1">INDIRECT("'kc-Wert für Stützen'!"&amp;SUBSTITUTE(ADDRESS(MATCH($A251,'kc-Wert für Stützen'!$C:$C,0),MATCH(M$7,'kc-Wert für Stützen'!$A$8:$ES$8,0)+7,4),,))</f>
        <v>85249.8432944097</v>
      </c>
      <c r="N251" s="768">
        <f ca="1">INDIRECT("'kc-Wert für Stützen'!"&amp;SUBSTITUTE(ADDRESS(MATCH($A251,'kc-Wert für Stützen'!$C:$C,0),MATCH(N$7,'kc-Wert für Stützen'!$A$8:$ES$8,0)+7,4),,))</f>
        <v>84718.557343047549</v>
      </c>
      <c r="O251" s="768">
        <f ca="1">INDIRECT("'kc-Wert für Stützen'!"&amp;SUBSTITUTE(ADDRESS(MATCH($A251,'kc-Wert für Stützen'!$C:$C,0),MATCH(O$7,'kc-Wert für Stützen'!$A$8:$ES$8,0)+7,4),,))</f>
        <v>84147.773305736613</v>
      </c>
      <c r="P251" s="768">
        <f ca="1">INDIRECT("'kc-Wert für Stützen'!"&amp;SUBSTITUTE(ADDRESS(MATCH($A251,'kc-Wert für Stützen'!$C:$C,0),MATCH(P$7,'kc-Wert für Stützen'!$A$8:$ES$8,0)+7,4),,))</f>
        <v>83533.915698236349</v>
      </c>
      <c r="S251" s="772">
        <f t="shared" ca="1" si="91"/>
        <v>88744.332502030113</v>
      </c>
      <c r="T251" s="772">
        <f t="shared" ca="1" si="112"/>
        <v>88744.332502030113</v>
      </c>
      <c r="U251" s="772">
        <f t="shared" ca="1" si="112"/>
        <v>88744.332502030113</v>
      </c>
      <c r="V251" s="772">
        <f t="shared" ca="1" si="112"/>
        <v>88441.39489369448</v>
      </c>
      <c r="W251" s="772">
        <f t="shared" ca="1" si="112"/>
        <v>88121.799041676917</v>
      </c>
      <c r="X251" s="772">
        <f t="shared" ca="1" si="112"/>
        <v>87783.828430725946</v>
      </c>
      <c r="Y251" s="772">
        <f t="shared" ca="1" si="112"/>
        <v>87425.589737256902</v>
      </c>
      <c r="Z251" s="772">
        <f t="shared" ca="1" si="112"/>
        <v>88744.332502030113</v>
      </c>
      <c r="AA251" s="772">
        <f t="shared" ca="1" si="112"/>
        <v>88744.332502030113</v>
      </c>
      <c r="AB251" s="772">
        <f t="shared" ref="AB251:AQ271" ca="1" si="115">HLOOKUP(AB$7,$A$7:$P$348,ROW()-6)</f>
        <v>88441.39489369448</v>
      </c>
      <c r="AC251" s="772">
        <f t="shared" ca="1" si="115"/>
        <v>88441.39489369448</v>
      </c>
      <c r="AD251" s="772">
        <f t="shared" ca="1" si="115"/>
        <v>88121.799041676917</v>
      </c>
      <c r="AE251" s="772">
        <f t="shared" ca="1" si="115"/>
        <v>88121.799041676917</v>
      </c>
      <c r="AF251" s="772">
        <f t="shared" ca="1" si="115"/>
        <v>87783.828430725946</v>
      </c>
      <c r="AG251" s="772">
        <f t="shared" ca="1" si="115"/>
        <v>87783.828430725946</v>
      </c>
      <c r="AH251" s="772">
        <f t="shared" ca="1" si="115"/>
        <v>87783.828430725946</v>
      </c>
      <c r="AI251" s="772">
        <f t="shared" ca="1" si="115"/>
        <v>88744.332502030113</v>
      </c>
      <c r="AJ251" s="772">
        <f t="shared" ca="1" si="115"/>
        <v>88744.332502030113</v>
      </c>
      <c r="AK251" s="772">
        <f t="shared" ca="1" si="115"/>
        <v>88441.39489369448</v>
      </c>
      <c r="AL251" s="772">
        <f t="shared" ca="1" si="115"/>
        <v>88441.39489369448</v>
      </c>
      <c r="AM251" s="772">
        <f t="shared" ca="1" si="115"/>
        <v>88121.799041676917</v>
      </c>
      <c r="AN251" s="772">
        <f t="shared" ca="1" si="115"/>
        <v>88121.799041676917</v>
      </c>
      <c r="AO251" s="772">
        <f t="shared" ca="1" si="115"/>
        <v>87783.828430725946</v>
      </c>
      <c r="AP251" s="772">
        <f t="shared" ca="1" si="115"/>
        <v>87783.828430725946</v>
      </c>
      <c r="AQ251" s="772">
        <f t="shared" ca="1" si="115"/>
        <v>87783.828430725946</v>
      </c>
      <c r="AR251" s="772">
        <f t="shared" ca="1" si="110"/>
        <v>88744.332502030113</v>
      </c>
      <c r="AS251" s="772">
        <f t="shared" ca="1" si="110"/>
        <v>88744.332502030113</v>
      </c>
      <c r="AT251" s="772">
        <f t="shared" ca="1" si="110"/>
        <v>88441.39489369448</v>
      </c>
      <c r="AU251" s="772">
        <f t="shared" ca="1" si="110"/>
        <v>88441.39489369448</v>
      </c>
      <c r="AV251" s="772">
        <f t="shared" ca="1" si="110"/>
        <v>88121.799041676917</v>
      </c>
      <c r="AW251" s="772">
        <f t="shared" ca="1" si="110"/>
        <v>88121.799041676917</v>
      </c>
      <c r="AX251" s="772">
        <f t="shared" ca="1" si="110"/>
        <v>87783.828430725946</v>
      </c>
      <c r="AY251" s="772">
        <f t="shared" ca="1" si="110"/>
        <v>87783.828430725946</v>
      </c>
      <c r="AZ251" s="772">
        <f t="shared" ca="1" si="110"/>
        <v>87783.828430725946</v>
      </c>
      <c r="BA251" s="772">
        <f t="shared" ca="1" si="110"/>
        <v>88744.332502030113</v>
      </c>
      <c r="BB251" s="772">
        <f t="shared" ca="1" si="110"/>
        <v>88744.332502030113</v>
      </c>
      <c r="BC251" s="772">
        <f t="shared" ca="1" si="110"/>
        <v>88441.39489369448</v>
      </c>
      <c r="BD251" s="772">
        <f t="shared" ca="1" si="110"/>
        <v>88121.799041676917</v>
      </c>
      <c r="BE251" s="772">
        <f t="shared" ca="1" si="110"/>
        <v>88121.799041676917</v>
      </c>
      <c r="BF251" s="772">
        <f t="shared" ca="1" si="110"/>
        <v>87783.828430725946</v>
      </c>
      <c r="BG251" s="772">
        <f t="shared" ca="1" si="110"/>
        <v>87783.828430725946</v>
      </c>
      <c r="BH251" s="772">
        <f t="shared" ca="1" si="111"/>
        <v>87425.589737256902</v>
      </c>
      <c r="BI251" s="772">
        <f t="shared" ca="1" si="111"/>
        <v>87425.589737256902</v>
      </c>
      <c r="BJ251" s="772">
        <f t="shared" ca="1" si="111"/>
        <v>88441.39489369448</v>
      </c>
      <c r="BK251" s="772">
        <f t="shared" ca="1" si="111"/>
        <v>88441.39489369448</v>
      </c>
      <c r="BL251" s="772">
        <f t="shared" ca="1" si="111"/>
        <v>88441.39489369448</v>
      </c>
      <c r="BM251" s="772">
        <f t="shared" ca="1" si="111"/>
        <v>88441.39489369448</v>
      </c>
      <c r="BN251" s="772">
        <f t="shared" ca="1" si="99"/>
        <v>87783.828430725946</v>
      </c>
      <c r="BO251" s="772">
        <f t="shared" ca="1" si="113"/>
        <v>87783.828430725946</v>
      </c>
      <c r="BP251" s="772">
        <f t="shared" ca="1" si="113"/>
        <v>87425.589737256902</v>
      </c>
      <c r="BQ251" s="772">
        <f t="shared" ca="1" si="113"/>
        <v>87425.589737256902</v>
      </c>
      <c r="BR251" s="772">
        <f t="shared" ca="1" si="113"/>
        <v>87044.996874463191</v>
      </c>
      <c r="BS251" s="772">
        <f t="shared" ca="1" si="113"/>
        <v>88441.39489369448</v>
      </c>
      <c r="BT251" s="772">
        <f t="shared" ca="1" si="113"/>
        <v>88441.39489369448</v>
      </c>
      <c r="BU251" s="772">
        <f t="shared" ca="1" si="113"/>
        <v>88441.39489369448</v>
      </c>
      <c r="BV251" s="772">
        <f t="shared" ca="1" si="113"/>
        <v>88121.799041676917</v>
      </c>
      <c r="BW251" s="772">
        <f t="shared" ca="1" si="113"/>
        <v>88121.799041676917</v>
      </c>
      <c r="BX251" s="772">
        <f t="shared" ca="1" si="113"/>
        <v>87425.589737256902</v>
      </c>
      <c r="BY251" s="772">
        <f t="shared" ca="1" si="113"/>
        <v>87425.589737256902</v>
      </c>
      <c r="BZ251" s="772">
        <f t="shared" ca="1" si="113"/>
        <v>87044.996874463191</v>
      </c>
      <c r="CA251" s="772">
        <f t="shared" ca="1" si="113"/>
        <v>87044.996874463191</v>
      </c>
      <c r="CB251" s="772">
        <f t="shared" ca="1" si="113"/>
        <v>88121.799041676917</v>
      </c>
      <c r="CC251" s="772">
        <f t="shared" ca="1" si="113"/>
        <v>88121.799041676917</v>
      </c>
      <c r="CD251" s="772">
        <f t="shared" ca="1" si="113"/>
        <v>88121.799041676917</v>
      </c>
      <c r="CE251" s="772">
        <f t="shared" ca="1" si="105"/>
        <v>88121.799041676917</v>
      </c>
      <c r="CF251" s="772">
        <f t="shared" ca="1" si="105"/>
        <v>87783.828430725946</v>
      </c>
      <c r="CG251" s="772">
        <f t="shared" ca="1" si="105"/>
        <v>87425.589737256902</v>
      </c>
      <c r="CH251" s="772">
        <f t="shared" ca="1" si="105"/>
        <v>87044.996874463191</v>
      </c>
      <c r="CI251" s="772">
        <f t="shared" ca="1" si="105"/>
        <v>87044.996874463191</v>
      </c>
      <c r="CJ251" s="772">
        <f t="shared" ca="1" si="105"/>
        <v>86639.755890659872</v>
      </c>
    </row>
    <row r="252" spans="1:88" ht="15" customHeight="1">
      <c r="A252" s="770">
        <f>'kc-Wert für Stützen'!C252</f>
        <v>304</v>
      </c>
      <c r="B252" s="768">
        <f ca="1">INDIRECT("'kc-Wert für Stützen'!"&amp;SUBSTITUTE(ADDRESS(MATCH($A252,'kc-Wert für Stützen'!$C:$C,0),MATCH(B$7,'kc-Wert für Stützen'!$A$8:$ES$8,0)+7,4),,))</f>
        <v>89921.533487884473</v>
      </c>
      <c r="C252" s="768">
        <f ca="1">INDIRECT("'kc-Wert für Stützen'!"&amp;SUBSTITUTE(ADDRESS(MATCH($A252,'kc-Wert für Stützen'!$C:$C,0),MATCH(C$7,'kc-Wert für Stützen'!$A$8:$ES$8,0)+7,4),,))</f>
        <v>89647.706502457557</v>
      </c>
      <c r="D252" s="768">
        <f ca="1">INDIRECT("'kc-Wert für Stützen'!"&amp;SUBSTITUTE(ADDRESS(MATCH($A252,'kc-Wert für Stützen'!$C:$C,0),MATCH(D$7,'kc-Wert für Stützen'!$A$8:$ES$8,0)+7,4),,))</f>
        <v>89360.314755323823</v>
      </c>
      <c r="E252" s="768">
        <f ca="1">INDIRECT("'kc-Wert für Stützen'!"&amp;SUBSTITUTE(ADDRESS(MATCH($A252,'kc-Wert für Stützen'!$C:$C,0),MATCH(E$7,'kc-Wert für Stützen'!$A$8:$ES$8,0)+7,4),,))</f>
        <v>89057.965908620899</v>
      </c>
      <c r="F252" s="768">
        <f ca="1">INDIRECT("'kc-Wert für Stützen'!"&amp;SUBSTITUTE(ADDRESS(MATCH($A252,'kc-Wert für Stützen'!$C:$C,0),MATCH(F$7,'kc-Wert für Stützen'!$A$8:$ES$8,0)+7,4),,))</f>
        <v>88739.12464239879</v>
      </c>
      <c r="G252" s="768">
        <f ca="1">INDIRECT("'kc-Wert für Stützen'!"&amp;SUBSTITUTE(ADDRESS(MATCH($A252,'kc-Wert für Stützen'!$C:$C,0),MATCH(G$7,'kc-Wert für Stützen'!$A$8:$ES$8,0)+7,4),,))</f>
        <v>88402.097445840394</v>
      </c>
      <c r="H252" s="768">
        <f ca="1">INDIRECT("'kc-Wert für Stützen'!"&amp;SUBSTITUTE(ADDRESS(MATCH($A252,'kc-Wert für Stützen'!$C:$C,0),MATCH(H$7,'kc-Wert für Stützen'!$A$8:$ES$8,0)+7,4),,))</f>
        <v>88045.016841726669</v>
      </c>
      <c r="I252" s="768">
        <f ca="1">INDIRECT("'kc-Wert für Stützen'!"&amp;SUBSTITUTE(ADDRESS(MATCH($A252,'kc-Wert für Stützen'!$C:$C,0),MATCH(I$7,'kc-Wert für Stützen'!$A$8:$ES$8,0)+7,4),,))</f>
        <v>87665.825552452923</v>
      </c>
      <c r="J252" s="768">
        <f ca="1">INDIRECT("'kc-Wert für Stützen'!"&amp;SUBSTITUTE(ADDRESS(MATCH($A252,'kc-Wert für Stützen'!$C:$C,0),MATCH(J$7,'kc-Wert für Stützen'!$A$8:$ES$8,0)+7,4),,))</f>
        <v>87262.26139993305</v>
      </c>
      <c r="K252" s="768">
        <f ca="1">INDIRECT("'kc-Wert für Stützen'!"&amp;SUBSTITUTE(ADDRESS(MATCH($A252,'kc-Wert für Stützen'!$C:$C,0),MATCH(K$7,'kc-Wert für Stützen'!$A$8:$ES$8,0)+7,4),,))</f>
        <v>86831.844116459688</v>
      </c>
      <c r="L252" s="768">
        <f ca="1">INDIRECT("'kc-Wert für Stützen'!"&amp;SUBSTITUTE(ADDRESS(MATCH($A252,'kc-Wert für Stützen'!$C:$C,0),MATCH(L$7,'kc-Wert für Stützen'!$A$8:$ES$8,0)+7,4),,))</f>
        <v>86371.86574906997</v>
      </c>
      <c r="M252" s="768">
        <f ca="1">INDIRECT("'kc-Wert für Stützen'!"&amp;SUBSTITUTE(ADDRESS(MATCH($A252,'kc-Wert für Stützen'!$C:$C,0),MATCH(M$7,'kc-Wert für Stützen'!$A$8:$ES$8,0)+7,4),,))</f>
        <v>85879.386979734394</v>
      </c>
      <c r="N252" s="768">
        <f ca="1">INDIRECT("'kc-Wert für Stützen'!"&amp;SUBSTITUTE(ADDRESS(MATCH($A252,'kc-Wert für Stützen'!$C:$C,0),MATCH(N$7,'kc-Wert für Stützen'!$A$8:$ES$8,0)+7,4),,))</f>
        <v>85351.242454386127</v>
      </c>
      <c r="O252" s="768">
        <f ca="1">INDIRECT("'kc-Wert für Stützen'!"&amp;SUBSTITUTE(ADDRESS(MATCH($A252,'kc-Wert für Stützen'!$C:$C,0),MATCH(O$7,'kc-Wert für Stützen'!$A$8:$ES$8,0)+7,4),,))</f>
        <v>84784.059078449893</v>
      </c>
      <c r="P252" s="768">
        <f ca="1">INDIRECT("'kc-Wert für Stützen'!"&amp;SUBSTITUTE(ADDRESS(MATCH($A252,'kc-Wert für Stützen'!$C:$C,0),MATCH(P$7,'kc-Wert für Stützen'!$A$8:$ES$8,0)+7,4),,))</f>
        <v>84174.292100323219</v>
      </c>
      <c r="S252" s="772">
        <f t="shared" ca="1" si="91"/>
        <v>89360.314755323823</v>
      </c>
      <c r="T252" s="772">
        <f t="shared" ca="1" si="112"/>
        <v>89360.314755323823</v>
      </c>
      <c r="U252" s="772">
        <f t="shared" ca="1" si="112"/>
        <v>89360.314755323823</v>
      </c>
      <c r="V252" s="772">
        <f t="shared" ca="1" si="112"/>
        <v>89057.965908620899</v>
      </c>
      <c r="W252" s="772">
        <f t="shared" ca="1" si="112"/>
        <v>88739.12464239879</v>
      </c>
      <c r="X252" s="772">
        <f t="shared" ca="1" si="112"/>
        <v>88402.097445840394</v>
      </c>
      <c r="Y252" s="772">
        <f t="shared" ca="1" si="112"/>
        <v>88045.016841726669</v>
      </c>
      <c r="Z252" s="772">
        <f t="shared" ca="1" si="112"/>
        <v>89360.314755323823</v>
      </c>
      <c r="AA252" s="772">
        <f t="shared" ca="1" si="112"/>
        <v>89360.314755323823</v>
      </c>
      <c r="AB252" s="772">
        <f t="shared" ca="1" si="115"/>
        <v>89057.965908620899</v>
      </c>
      <c r="AC252" s="772">
        <f t="shared" ca="1" si="115"/>
        <v>89057.965908620899</v>
      </c>
      <c r="AD252" s="772">
        <f t="shared" ca="1" si="115"/>
        <v>88739.12464239879</v>
      </c>
      <c r="AE252" s="772">
        <f t="shared" ca="1" si="115"/>
        <v>88739.12464239879</v>
      </c>
      <c r="AF252" s="772">
        <f t="shared" ca="1" si="115"/>
        <v>88402.097445840394</v>
      </c>
      <c r="AG252" s="772">
        <f t="shared" ca="1" si="115"/>
        <v>88402.097445840394</v>
      </c>
      <c r="AH252" s="772">
        <f t="shared" ca="1" si="115"/>
        <v>88402.097445840394</v>
      </c>
      <c r="AI252" s="772">
        <f t="shared" ca="1" si="115"/>
        <v>89360.314755323823</v>
      </c>
      <c r="AJ252" s="772">
        <f t="shared" ca="1" si="115"/>
        <v>89360.314755323823</v>
      </c>
      <c r="AK252" s="772">
        <f t="shared" ca="1" si="115"/>
        <v>89057.965908620899</v>
      </c>
      <c r="AL252" s="772">
        <f t="shared" ca="1" si="115"/>
        <v>89057.965908620899</v>
      </c>
      <c r="AM252" s="772">
        <f t="shared" ca="1" si="115"/>
        <v>88739.12464239879</v>
      </c>
      <c r="AN252" s="772">
        <f t="shared" ca="1" si="115"/>
        <v>88739.12464239879</v>
      </c>
      <c r="AO252" s="772">
        <f t="shared" ca="1" si="115"/>
        <v>88402.097445840394</v>
      </c>
      <c r="AP252" s="772">
        <f t="shared" ca="1" si="115"/>
        <v>88402.097445840394</v>
      </c>
      <c r="AQ252" s="772">
        <f t="shared" ca="1" si="115"/>
        <v>88402.097445840394</v>
      </c>
      <c r="AR252" s="772">
        <f t="shared" ca="1" si="110"/>
        <v>89360.314755323823</v>
      </c>
      <c r="AS252" s="772">
        <f t="shared" ca="1" si="110"/>
        <v>89360.314755323823</v>
      </c>
      <c r="AT252" s="772">
        <f t="shared" ca="1" si="110"/>
        <v>89057.965908620899</v>
      </c>
      <c r="AU252" s="772">
        <f t="shared" ca="1" si="110"/>
        <v>89057.965908620899</v>
      </c>
      <c r="AV252" s="772">
        <f t="shared" ca="1" si="110"/>
        <v>88739.12464239879</v>
      </c>
      <c r="AW252" s="772">
        <f t="shared" ca="1" si="110"/>
        <v>88739.12464239879</v>
      </c>
      <c r="AX252" s="772">
        <f t="shared" ca="1" si="110"/>
        <v>88402.097445840394</v>
      </c>
      <c r="AY252" s="772">
        <f t="shared" ca="1" si="110"/>
        <v>88402.097445840394</v>
      </c>
      <c r="AZ252" s="772">
        <f t="shared" ca="1" si="110"/>
        <v>88402.097445840394</v>
      </c>
      <c r="BA252" s="772">
        <f t="shared" ca="1" si="110"/>
        <v>89360.314755323823</v>
      </c>
      <c r="BB252" s="772">
        <f t="shared" ca="1" si="110"/>
        <v>89360.314755323823</v>
      </c>
      <c r="BC252" s="772">
        <f t="shared" ref="AZ252:BN284" ca="1" si="116">HLOOKUP(BC$7,$A$7:$P$348,ROW()-6)</f>
        <v>89057.965908620899</v>
      </c>
      <c r="BD252" s="772">
        <f t="shared" ca="1" si="116"/>
        <v>88739.12464239879</v>
      </c>
      <c r="BE252" s="772">
        <f t="shared" ca="1" si="116"/>
        <v>88739.12464239879</v>
      </c>
      <c r="BF252" s="772">
        <f t="shared" ca="1" si="116"/>
        <v>88402.097445840394</v>
      </c>
      <c r="BG252" s="772">
        <f t="shared" ca="1" si="116"/>
        <v>88402.097445840394</v>
      </c>
      <c r="BH252" s="772">
        <f t="shared" ca="1" si="111"/>
        <v>88045.016841726669</v>
      </c>
      <c r="BI252" s="772">
        <f t="shared" ca="1" si="111"/>
        <v>88045.016841726669</v>
      </c>
      <c r="BJ252" s="772">
        <f t="shared" ca="1" si="111"/>
        <v>89057.965908620899</v>
      </c>
      <c r="BK252" s="772">
        <f t="shared" ca="1" si="111"/>
        <v>89057.965908620899</v>
      </c>
      <c r="BL252" s="772">
        <f t="shared" ca="1" si="111"/>
        <v>89057.965908620899</v>
      </c>
      <c r="BM252" s="772">
        <f t="shared" ca="1" si="111"/>
        <v>89057.965908620899</v>
      </c>
      <c r="BN252" s="772">
        <f t="shared" ca="1" si="99"/>
        <v>88402.097445840394</v>
      </c>
      <c r="BO252" s="772">
        <f ca="1">HLOOKUP(BO$7,$A$7:$P$348,ROW()-6)</f>
        <v>88402.097445840394</v>
      </c>
      <c r="BP252" s="772">
        <f t="shared" ref="BH252:BW268" ca="1" si="117">HLOOKUP(BP$7,$A$7:$P$348,ROW()-6)</f>
        <v>88045.016841726669</v>
      </c>
      <c r="BQ252" s="772">
        <f t="shared" ca="1" si="117"/>
        <v>88045.016841726669</v>
      </c>
      <c r="BR252" s="772">
        <f t="shared" ca="1" si="117"/>
        <v>87665.825552452923</v>
      </c>
      <c r="BS252" s="772">
        <f t="shared" ca="1" si="117"/>
        <v>89057.965908620899</v>
      </c>
      <c r="BT252" s="772">
        <f t="shared" ca="1" si="117"/>
        <v>89057.965908620899</v>
      </c>
      <c r="BU252" s="772">
        <f t="shared" ca="1" si="117"/>
        <v>89057.965908620899</v>
      </c>
      <c r="BV252" s="772">
        <f t="shared" ca="1" si="117"/>
        <v>88739.12464239879</v>
      </c>
      <c r="BW252" s="772">
        <f t="shared" ca="1" si="117"/>
        <v>88739.12464239879</v>
      </c>
      <c r="BX252" s="772">
        <f t="shared" ref="BX252:CD252" ca="1" si="118">HLOOKUP(BX$7,$A$7:$P$348,ROW()-6)</f>
        <v>88045.016841726669</v>
      </c>
      <c r="BY252" s="772">
        <f t="shared" ca="1" si="118"/>
        <v>88045.016841726669</v>
      </c>
      <c r="BZ252" s="772">
        <f t="shared" ca="1" si="118"/>
        <v>87665.825552452923</v>
      </c>
      <c r="CA252" s="772">
        <f t="shared" ca="1" si="118"/>
        <v>87665.825552452923</v>
      </c>
      <c r="CB252" s="772">
        <f t="shared" ca="1" si="118"/>
        <v>88739.12464239879</v>
      </c>
      <c r="CC252" s="772">
        <f t="shared" ca="1" si="118"/>
        <v>88739.12464239879</v>
      </c>
      <c r="CD252" s="772">
        <f t="shared" ca="1" si="118"/>
        <v>88739.12464239879</v>
      </c>
      <c r="CE252" s="772">
        <f t="shared" ca="1" si="105"/>
        <v>88739.12464239879</v>
      </c>
      <c r="CF252" s="772">
        <f t="shared" ca="1" si="105"/>
        <v>88402.097445840394</v>
      </c>
      <c r="CG252" s="772">
        <f t="shared" ca="1" si="105"/>
        <v>88045.016841726669</v>
      </c>
      <c r="CH252" s="772">
        <f t="shared" ca="1" si="105"/>
        <v>87665.825552452923</v>
      </c>
      <c r="CI252" s="772">
        <f t="shared" ca="1" si="105"/>
        <v>87665.825552452923</v>
      </c>
      <c r="CJ252" s="772">
        <f t="shared" ca="1" si="105"/>
        <v>87262.26139993305</v>
      </c>
    </row>
    <row r="253" spans="1:88" ht="15" customHeight="1">
      <c r="A253" s="770">
        <f>'kc-Wert für Stützen'!C253</f>
        <v>305</v>
      </c>
      <c r="B253" s="768">
        <f ca="1">INDIRECT("'kc-Wert für Stützen'!"&amp;SUBSTITUTE(ADDRESS(MATCH($A253,'kc-Wert für Stützen'!$C:$C,0),MATCH(B$7,'kc-Wert für Stützen'!$A$8:$ES$8,0)+7,4),,))</f>
        <v>90538.760526371814</v>
      </c>
      <c r="C253" s="768">
        <f ca="1">INDIRECT("'kc-Wert für Stützen'!"&amp;SUBSTITUTE(ADDRESS(MATCH($A253,'kc-Wert für Stützen'!$C:$C,0),MATCH(C$7,'kc-Wert für Stützen'!$A$8:$ES$8,0)+7,4),,))</f>
        <v>90265.238180984612</v>
      </c>
      <c r="D253" s="768">
        <f ca="1">INDIRECT("'kc-Wert für Stützen'!"&amp;SUBSTITUTE(ADDRESS(MATCH($A253,'kc-Wert für Stützen'!$C:$C,0),MATCH(D$7,'kc-Wert für Stützen'!$A$8:$ES$8,0)+7,4),,))</f>
        <v>89978.276615149487</v>
      </c>
      <c r="E253" s="768">
        <f ca="1">INDIRECT("'kc-Wert für Stützen'!"&amp;SUBSTITUTE(ADDRESS(MATCH($A253,'kc-Wert für Stützen'!$C:$C,0),MATCH(E$7,'kc-Wert für Stützen'!$A$8:$ES$8,0)+7,4),,))</f>
        <v>89676.501078211048</v>
      </c>
      <c r="F253" s="768">
        <f ca="1">INDIRECT("'kc-Wert für Stützen'!"&amp;SUBSTITUTE(ADDRESS(MATCH($A253,'kc-Wert für Stützen'!$C:$C,0),MATCH(F$7,'kc-Wert für Stützen'!$A$8:$ES$8,0)+7,4),,))</f>
        <v>89358.396217400135</v>
      </c>
      <c r="G253" s="768">
        <f ca="1">INDIRECT("'kc-Wert für Stützen'!"&amp;SUBSTITUTE(ADDRESS(MATCH($A253,'kc-Wert für Stützen'!$C:$C,0),MATCH(G$7,'kc-Wert für Stützen'!$A$8:$ES$8,0)+7,4),,))</f>
        <v>89022.291093219697</v>
      </c>
      <c r="H253" s="768">
        <f ca="1">INDIRECT("'kc-Wert für Stützen'!"&amp;SUBSTITUTE(ADDRESS(MATCH($A253,'kc-Wert für Stützen'!$C:$C,0),MATCH(H$7,'kc-Wert für Stützen'!$A$8:$ES$8,0)+7,4),,))</f>
        <v>88666.343596594117</v>
      </c>
      <c r="I253" s="768">
        <f ca="1">INDIRECT("'kc-Wert für Stützen'!"&amp;SUBSTITUTE(ADDRESS(MATCH($A253,'kc-Wert für Stützen'!$C:$C,0),MATCH(I$7,'kc-Wert für Stützen'!$A$8:$ES$8,0)+7,4),,))</f>
        <v>88288.524743622998</v>
      </c>
      <c r="J253" s="768">
        <f ca="1">INDIRECT("'kc-Wert für Stützen'!"&amp;SUBSTITUTE(ADDRESS(MATCH($A253,'kc-Wert für Stützen'!$C:$C,0),MATCH(J$7,'kc-Wert für Stützen'!$A$8:$ES$8,0)+7,4),,))</f>
        <v>87886.60359306632</v>
      </c>
      <c r="K253" s="768">
        <f ca="1">INDIRECT("'kc-Wert für Stützen'!"&amp;SUBSTITUTE(ADDRESS(MATCH($A253,'kc-Wert für Stützen'!$C:$C,0),MATCH(K$7,'kc-Wert für Stützen'!$A$8:$ES$8,0)+7,4),,))</f>
        <v>87458.133897186141</v>
      </c>
      <c r="L253" s="768">
        <f ca="1">INDIRECT("'kc-Wert für Stützen'!"&amp;SUBSTITUTE(ADDRESS(MATCH($A253,'kc-Wert für Stützen'!$C:$C,0),MATCH(L$7,'kc-Wert für Stützen'!$A$8:$ES$8,0)+7,4),,))</f>
        <v>87000.444078117551</v>
      </c>
      <c r="M253" s="768">
        <f ca="1">INDIRECT("'kc-Wert für Stützen'!"&amp;SUBSTITUTE(ADDRESS(MATCH($A253,'kc-Wert für Stützen'!$C:$C,0),MATCH(M$7,'kc-Wert für Stützen'!$A$8:$ES$8,0)+7,4),,))</f>
        <v>86510.632733848499</v>
      </c>
      <c r="N253" s="768">
        <f ca="1">INDIRECT("'kc-Wert für Stützen'!"&amp;SUBSTITUTE(ADDRESS(MATCH($A253,'kc-Wert für Stützen'!$C:$C,0),MATCH(N$7,'kc-Wert für Stützen'!$A$8:$ES$8,0)+7,4),,))</f>
        <v>85985.572619520797</v>
      </c>
      <c r="O253" s="768">
        <f ca="1">INDIRECT("'kc-Wert für Stützen'!"&amp;SUBSTITUTE(ADDRESS(MATCH($A253,'kc-Wert für Stützen'!$C:$C,0),MATCH(O$7,'kc-Wert für Stützen'!$A$8:$ES$8,0)+7,4),,))</f>
        <v>85421.926890105751</v>
      </c>
      <c r="P253" s="768">
        <f ca="1">INDIRECT("'kc-Wert für Stützen'!"&amp;SUBSTITUTE(ADDRESS(MATCH($A253,'kc-Wert für Stützen'!$C:$C,0),MATCH(P$7,'kc-Wert für Stützen'!$A$8:$ES$8,0)+7,4),,))</f>
        <v>84816.182245617369</v>
      </c>
      <c r="S253" s="772">
        <f t="shared" ca="1" si="91"/>
        <v>89978.276615149487</v>
      </c>
      <c r="T253" s="772">
        <f t="shared" ca="1" si="112"/>
        <v>89978.276615149487</v>
      </c>
      <c r="U253" s="772">
        <f t="shared" ca="1" si="112"/>
        <v>89978.276615149487</v>
      </c>
      <c r="V253" s="772">
        <f t="shared" ca="1" si="112"/>
        <v>89676.501078211048</v>
      </c>
      <c r="W253" s="772">
        <f t="shared" ca="1" si="112"/>
        <v>89358.396217400135</v>
      </c>
      <c r="X253" s="772">
        <f t="shared" ca="1" si="112"/>
        <v>89022.291093219697</v>
      </c>
      <c r="Y253" s="772">
        <f t="shared" ca="1" si="112"/>
        <v>88666.343596594117</v>
      </c>
      <c r="Z253" s="772">
        <f t="shared" ca="1" si="112"/>
        <v>89978.276615149487</v>
      </c>
      <c r="AA253" s="772">
        <f t="shared" ca="1" si="112"/>
        <v>89978.276615149487</v>
      </c>
      <c r="AB253" s="772">
        <f t="shared" ca="1" si="115"/>
        <v>89676.501078211048</v>
      </c>
      <c r="AC253" s="772">
        <f t="shared" ca="1" si="115"/>
        <v>89676.501078211048</v>
      </c>
      <c r="AD253" s="772">
        <f t="shared" ca="1" si="115"/>
        <v>89358.396217400135</v>
      </c>
      <c r="AE253" s="772">
        <f t="shared" ca="1" si="115"/>
        <v>89358.396217400135</v>
      </c>
      <c r="AF253" s="772">
        <f t="shared" ca="1" si="115"/>
        <v>89022.291093219697</v>
      </c>
      <c r="AG253" s="772">
        <f t="shared" ca="1" si="115"/>
        <v>89022.291093219697</v>
      </c>
      <c r="AH253" s="772">
        <f t="shared" ca="1" si="115"/>
        <v>89022.291093219697</v>
      </c>
      <c r="AI253" s="772">
        <f t="shared" ca="1" si="115"/>
        <v>89978.276615149487</v>
      </c>
      <c r="AJ253" s="772">
        <f t="shared" ca="1" si="115"/>
        <v>89978.276615149487</v>
      </c>
      <c r="AK253" s="772">
        <f t="shared" ca="1" si="115"/>
        <v>89676.501078211048</v>
      </c>
      <c r="AL253" s="772">
        <f t="shared" ca="1" si="115"/>
        <v>89676.501078211048</v>
      </c>
      <c r="AM253" s="772">
        <f t="shared" ca="1" si="115"/>
        <v>89358.396217400135</v>
      </c>
      <c r="AN253" s="772">
        <f t="shared" ca="1" si="115"/>
        <v>89358.396217400135</v>
      </c>
      <c r="AO253" s="772">
        <f t="shared" ca="1" si="115"/>
        <v>89022.291093219697</v>
      </c>
      <c r="AP253" s="772">
        <f t="shared" ca="1" si="115"/>
        <v>89022.291093219697</v>
      </c>
      <c r="AQ253" s="772">
        <f t="shared" ca="1" si="115"/>
        <v>89022.291093219697</v>
      </c>
      <c r="AR253" s="772">
        <f t="shared" ref="AR253:AY262" ca="1" si="119">HLOOKUP(AR$7,$A$7:$P$348,ROW()-6)</f>
        <v>89978.276615149487</v>
      </c>
      <c r="AS253" s="772">
        <f t="shared" ca="1" si="119"/>
        <v>89978.276615149487</v>
      </c>
      <c r="AT253" s="772">
        <f t="shared" ca="1" si="119"/>
        <v>89676.501078211048</v>
      </c>
      <c r="AU253" s="772">
        <f t="shared" ca="1" si="119"/>
        <v>89676.501078211048</v>
      </c>
      <c r="AV253" s="772">
        <f t="shared" ca="1" si="119"/>
        <v>89358.396217400135</v>
      </c>
      <c r="AW253" s="772">
        <f t="shared" ca="1" si="119"/>
        <v>89358.396217400135</v>
      </c>
      <c r="AX253" s="772">
        <f t="shared" ca="1" si="119"/>
        <v>89022.291093219697</v>
      </c>
      <c r="AY253" s="772">
        <f t="shared" ca="1" si="119"/>
        <v>89022.291093219697</v>
      </c>
      <c r="AZ253" s="772">
        <f t="shared" ca="1" si="116"/>
        <v>89022.291093219697</v>
      </c>
      <c r="BA253" s="772">
        <f t="shared" ca="1" si="116"/>
        <v>89978.276615149487</v>
      </c>
      <c r="BB253" s="772">
        <f t="shared" ca="1" si="116"/>
        <v>89978.276615149487</v>
      </c>
      <c r="BC253" s="772">
        <f t="shared" ca="1" si="116"/>
        <v>89676.501078211048</v>
      </c>
      <c r="BD253" s="772">
        <f t="shared" ca="1" si="116"/>
        <v>89358.396217400135</v>
      </c>
      <c r="BE253" s="772">
        <f t="shared" ca="1" si="116"/>
        <v>89358.396217400135</v>
      </c>
      <c r="BF253" s="772">
        <f t="shared" ca="1" si="116"/>
        <v>89022.291093219697</v>
      </c>
      <c r="BG253" s="772">
        <f t="shared" ca="1" si="116"/>
        <v>89022.291093219697</v>
      </c>
      <c r="BH253" s="772">
        <f t="shared" ca="1" si="117"/>
        <v>88666.343596594117</v>
      </c>
      <c r="BI253" s="772">
        <f t="shared" ca="1" si="117"/>
        <v>88666.343596594117</v>
      </c>
      <c r="BJ253" s="772">
        <f t="shared" ca="1" si="117"/>
        <v>89676.501078211048</v>
      </c>
      <c r="BK253" s="772">
        <f t="shared" ca="1" si="117"/>
        <v>89676.501078211048</v>
      </c>
      <c r="BL253" s="772">
        <f t="shared" ca="1" si="117"/>
        <v>89676.501078211048</v>
      </c>
      <c r="BM253" s="772">
        <f t="shared" ca="1" si="117"/>
        <v>89676.501078211048</v>
      </c>
      <c r="BN253" s="772">
        <f t="shared" ca="1" si="117"/>
        <v>89022.291093219697</v>
      </c>
      <c r="BO253" s="772">
        <f t="shared" ca="1" si="117"/>
        <v>89022.291093219697</v>
      </c>
      <c r="BP253" s="772">
        <f t="shared" ca="1" si="117"/>
        <v>88666.343596594117</v>
      </c>
      <c r="BQ253" s="772">
        <f t="shared" ca="1" si="117"/>
        <v>88666.343596594117</v>
      </c>
      <c r="BR253" s="772">
        <f t="shared" ca="1" si="117"/>
        <v>88288.524743622998</v>
      </c>
      <c r="BS253" s="772">
        <f t="shared" ca="1" si="117"/>
        <v>89676.501078211048</v>
      </c>
      <c r="BT253" s="772">
        <f t="shared" ca="1" si="117"/>
        <v>89676.501078211048</v>
      </c>
      <c r="BU253" s="772">
        <f t="shared" ca="1" si="117"/>
        <v>89676.501078211048</v>
      </c>
      <c r="BV253" s="772">
        <f t="shared" ca="1" si="117"/>
        <v>89358.396217400135</v>
      </c>
      <c r="BW253" s="772">
        <f t="shared" ca="1" si="117"/>
        <v>89358.396217400135</v>
      </c>
      <c r="BX253" s="772">
        <f t="shared" ca="1" si="105"/>
        <v>88666.343596594117</v>
      </c>
      <c r="BY253" s="772">
        <f t="shared" ca="1" si="105"/>
        <v>88666.343596594117</v>
      </c>
      <c r="BZ253" s="772">
        <f t="shared" ca="1" si="105"/>
        <v>88288.524743622998</v>
      </c>
      <c r="CA253" s="772">
        <f t="shared" ca="1" si="105"/>
        <v>88288.524743622998</v>
      </c>
      <c r="CB253" s="772">
        <f t="shared" ca="1" si="105"/>
        <v>89358.396217400135</v>
      </c>
      <c r="CC253" s="772">
        <f t="shared" ca="1" si="105"/>
        <v>89358.396217400135</v>
      </c>
      <c r="CD253" s="772">
        <f t="shared" ca="1" si="105"/>
        <v>89358.396217400135</v>
      </c>
      <c r="CE253" s="772">
        <f t="shared" ca="1" si="105"/>
        <v>89358.396217400135</v>
      </c>
      <c r="CF253" s="772">
        <f t="shared" ca="1" si="105"/>
        <v>89022.291093219697</v>
      </c>
      <c r="CG253" s="772">
        <f t="shared" ca="1" si="105"/>
        <v>88666.343596594117</v>
      </c>
      <c r="CH253" s="772">
        <f t="shared" ca="1" si="105"/>
        <v>88288.524743622998</v>
      </c>
      <c r="CI253" s="772">
        <f t="shared" ca="1" si="105"/>
        <v>88288.524743622998</v>
      </c>
      <c r="CJ253" s="772">
        <f t="shared" ca="1" si="105"/>
        <v>87886.60359306632</v>
      </c>
    </row>
    <row r="254" spans="1:88" ht="15" customHeight="1">
      <c r="A254" s="770">
        <f>'kc-Wert für Stützen'!C254</f>
        <v>306</v>
      </c>
      <c r="B254" s="768">
        <f ca="1">INDIRECT("'kc-Wert für Stützen'!"&amp;SUBSTITUTE(ADDRESS(MATCH($A254,'kc-Wert für Stützen'!$C:$C,0),MATCH(B$7,'kc-Wert für Stützen'!$A$8:$ES$8,0)+7,4),,))</f>
        <v>91157.992314695715</v>
      </c>
      <c r="C254" s="768">
        <f ca="1">INDIRECT("'kc-Wert für Stützen'!"&amp;SUBSTITUTE(ADDRESS(MATCH($A254,'kc-Wert für Stützen'!$C:$C,0),MATCH(C$7,'kc-Wert für Stützen'!$A$8:$ES$8,0)+7,4),,))</f>
        <v>90884.763712080094</v>
      </c>
      <c r="D254" s="768">
        <f ca="1">INDIRECT("'kc-Wert für Stützen'!"&amp;SUBSTITUTE(ADDRESS(MATCH($A254,'kc-Wert für Stützen'!$C:$C,0),MATCH(D$7,'kc-Wert für Stützen'!$A$8:$ES$8,0)+7,4),,))</f>
        <v>90598.219468963303</v>
      </c>
      <c r="E254" s="768">
        <f ca="1">INDIRECT("'kc-Wert für Stützen'!"&amp;SUBSTITUTE(ADDRESS(MATCH($A254,'kc-Wert für Stützen'!$C:$C,0),MATCH(E$7,'kc-Wert für Stützen'!$A$8:$ES$8,0)+7,4),,))</f>
        <v>90297.002090729118</v>
      </c>
      <c r="F254" s="768">
        <f ca="1">INDIRECT("'kc-Wert für Stützen'!"&amp;SUBSTITUTE(ADDRESS(MATCH($A254,'kc-Wert für Stützen'!$C:$C,0),MATCH(F$7,'kc-Wert für Stützen'!$A$8:$ES$8,0)+7,4),,))</f>
        <v>89979.615814736186</v>
      </c>
      <c r="G254" s="768">
        <f ca="1">INDIRECT("'kc-Wert für Stützen'!"&amp;SUBSTITUTE(ADDRESS(MATCH($A254,'kc-Wert für Stützen'!$C:$C,0),MATCH(G$7,'kc-Wert für Stützen'!$A$8:$ES$8,0)+7,4),,))</f>
        <v>89644.411848760254</v>
      </c>
      <c r="H254" s="768">
        <f ca="1">INDIRECT("'kc-Wert für Stützen'!"&amp;SUBSTITUTE(ADDRESS(MATCH($A254,'kc-Wert für Stützen'!$C:$C,0),MATCH(H$7,'kc-Wert für Stützen'!$A$8:$ES$8,0)+7,4),,))</f>
        <v>89289.57298283327</v>
      </c>
      <c r="I254" s="768">
        <f ca="1">INDIRECT("'kc-Wert für Stützen'!"&amp;SUBSTITUTE(ADDRESS(MATCH($A254,'kc-Wert für Stützen'!$C:$C,0),MATCH(I$7,'kc-Wert für Stützen'!$A$8:$ES$8,0)+7,4),,))</f>
        <v>88913.098019757483</v>
      </c>
      <c r="J254" s="768">
        <f ca="1">INDIRECT("'kc-Wert für Stützen'!"&amp;SUBSTITUTE(ADDRESS(MATCH($A254,'kc-Wert für Stützen'!$C:$C,0),MATCH(J$7,'kc-Wert für Stützen'!$A$8:$ES$8,0)+7,4),,))</f>
        <v>88512.786724875972</v>
      </c>
      <c r="K254" s="768">
        <f ca="1">INDIRECT("'kc-Wert für Stützen'!"&amp;SUBSTITUTE(ADDRESS(MATCH($A254,'kc-Wert für Stützen'!$C:$C,0),MATCH(K$7,'kc-Wert für Stützen'!$A$8:$ES$8,0)+7,4),,))</f>
        <v>88086.22634288363</v>
      </c>
      <c r="L254" s="768">
        <f ca="1">INDIRECT("'kc-Wert für Stützen'!"&amp;SUBSTITUTE(ADDRESS(MATCH($A254,'kc-Wert für Stützen'!$C:$C,0),MATCH(L$7,'kc-Wert für Stützen'!$A$8:$ES$8,0)+7,4),,))</f>
        <v>87630.781188109439</v>
      </c>
      <c r="M254" s="768">
        <f ca="1">INDIRECT("'kc-Wert für Stützen'!"&amp;SUBSTITUTE(ADDRESS(MATCH($A254,'kc-Wert für Stützen'!$C:$C,0),MATCH(M$7,'kc-Wert für Stützen'!$A$8:$ES$8,0)+7,4),,))</f>
        <v>87143.587399729877</v>
      </c>
      <c r="N254" s="768">
        <f ca="1">INDIRECT("'kc-Wert für Stützen'!"&amp;SUBSTITUTE(ADDRESS(MATCH($A254,'kc-Wert für Stützen'!$C:$C,0),MATCH(N$7,'kc-Wert für Stützen'!$A$8:$ES$8,0)+7,4),,))</f>
        <v>86621.555666495595</v>
      </c>
      <c r="O254" s="768">
        <f ca="1">INDIRECT("'kc-Wert für Stützen'!"&amp;SUBSTITUTE(ADDRESS(MATCH($A254,'kc-Wert für Stützen'!$C:$C,0),MATCH(O$7,'kc-Wert für Stützen'!$A$8:$ES$8,0)+7,4),,))</f>
        <v>86061.385541105774</v>
      </c>
      <c r="P254" s="768">
        <f ca="1">INDIRECT("'kc-Wert für Stützen'!"&amp;SUBSTITUTE(ADDRESS(MATCH($A254,'kc-Wert für Stützen'!$C:$C,0),MATCH(P$7,'kc-Wert für Stützen'!$A$8:$ES$8,0)+7,4),,))</f>
        <v>85459.5958082742</v>
      </c>
      <c r="S254" s="772">
        <f t="shared" ca="1" si="91"/>
        <v>90598.219468963303</v>
      </c>
      <c r="T254" s="772">
        <f t="shared" ca="1" si="112"/>
        <v>90598.219468963303</v>
      </c>
      <c r="U254" s="772">
        <f t="shared" ca="1" si="112"/>
        <v>90598.219468963303</v>
      </c>
      <c r="V254" s="772">
        <f t="shared" ca="1" si="112"/>
        <v>90297.002090729118</v>
      </c>
      <c r="W254" s="772">
        <f t="shared" ca="1" si="112"/>
        <v>89979.615814736186</v>
      </c>
      <c r="X254" s="772">
        <f t="shared" ca="1" si="112"/>
        <v>89644.411848760254</v>
      </c>
      <c r="Y254" s="772">
        <f t="shared" ca="1" si="112"/>
        <v>89289.57298283327</v>
      </c>
      <c r="Z254" s="772">
        <f t="shared" ca="1" si="112"/>
        <v>90598.219468963303</v>
      </c>
      <c r="AA254" s="772">
        <f t="shared" ca="1" si="112"/>
        <v>90598.219468963303</v>
      </c>
      <c r="AB254" s="772">
        <f t="shared" ca="1" si="115"/>
        <v>90297.002090729118</v>
      </c>
      <c r="AC254" s="772">
        <f t="shared" ca="1" si="115"/>
        <v>90297.002090729118</v>
      </c>
      <c r="AD254" s="772">
        <f t="shared" ca="1" si="115"/>
        <v>89979.615814736186</v>
      </c>
      <c r="AE254" s="772">
        <f t="shared" ca="1" si="115"/>
        <v>89979.615814736186</v>
      </c>
      <c r="AF254" s="772">
        <f t="shared" ca="1" si="115"/>
        <v>89644.411848760254</v>
      </c>
      <c r="AG254" s="772">
        <f t="shared" ca="1" si="115"/>
        <v>89644.411848760254</v>
      </c>
      <c r="AH254" s="772">
        <f t="shared" ca="1" si="115"/>
        <v>89644.411848760254</v>
      </c>
      <c r="AI254" s="772">
        <f t="shared" ca="1" si="115"/>
        <v>90598.219468963303</v>
      </c>
      <c r="AJ254" s="772">
        <f t="shared" ref="AJ254:AQ263" ca="1" si="120">HLOOKUP(AJ$7,$A$7:$P$348,ROW()-6)</f>
        <v>90598.219468963303</v>
      </c>
      <c r="AK254" s="772">
        <f t="shared" ca="1" si="120"/>
        <v>90297.002090729118</v>
      </c>
      <c r="AL254" s="772">
        <f t="shared" ca="1" si="120"/>
        <v>90297.002090729118</v>
      </c>
      <c r="AM254" s="772">
        <f t="shared" ca="1" si="120"/>
        <v>89979.615814736186</v>
      </c>
      <c r="AN254" s="772">
        <f t="shared" ca="1" si="120"/>
        <v>89979.615814736186</v>
      </c>
      <c r="AO254" s="772">
        <f t="shared" ca="1" si="120"/>
        <v>89644.411848760254</v>
      </c>
      <c r="AP254" s="772">
        <f t="shared" ca="1" si="120"/>
        <v>89644.411848760254</v>
      </c>
      <c r="AQ254" s="772">
        <f t="shared" ca="1" si="120"/>
        <v>89644.411848760254</v>
      </c>
      <c r="AR254" s="772">
        <f t="shared" ca="1" si="119"/>
        <v>90598.219468963303</v>
      </c>
      <c r="AS254" s="772">
        <f t="shared" ca="1" si="119"/>
        <v>90598.219468963303</v>
      </c>
      <c r="AT254" s="772">
        <f t="shared" ca="1" si="119"/>
        <v>90297.002090729118</v>
      </c>
      <c r="AU254" s="772">
        <f t="shared" ca="1" si="119"/>
        <v>90297.002090729118</v>
      </c>
      <c r="AV254" s="772">
        <f t="shared" ca="1" si="119"/>
        <v>89979.615814736186</v>
      </c>
      <c r="AW254" s="772">
        <f t="shared" ca="1" si="119"/>
        <v>89979.615814736186</v>
      </c>
      <c r="AX254" s="772">
        <f t="shared" ca="1" si="119"/>
        <v>89644.411848760254</v>
      </c>
      <c r="AY254" s="772">
        <f t="shared" ca="1" si="119"/>
        <v>89644.411848760254</v>
      </c>
      <c r="AZ254" s="772">
        <f t="shared" ca="1" si="116"/>
        <v>89644.411848760254</v>
      </c>
      <c r="BA254" s="772">
        <f t="shared" ca="1" si="116"/>
        <v>90598.219468963303</v>
      </c>
      <c r="BB254" s="772">
        <f t="shared" ca="1" si="116"/>
        <v>90598.219468963303</v>
      </c>
      <c r="BC254" s="772">
        <f t="shared" ca="1" si="116"/>
        <v>90297.002090729118</v>
      </c>
      <c r="BD254" s="772">
        <f t="shared" ca="1" si="116"/>
        <v>89979.615814736186</v>
      </c>
      <c r="BE254" s="772">
        <f t="shared" ca="1" si="116"/>
        <v>89979.615814736186</v>
      </c>
      <c r="BF254" s="772">
        <f t="shared" ca="1" si="116"/>
        <v>89644.411848760254</v>
      </c>
      <c r="BG254" s="772">
        <f t="shared" ca="1" si="116"/>
        <v>89644.411848760254</v>
      </c>
      <c r="BH254" s="772">
        <f t="shared" ca="1" si="117"/>
        <v>89289.57298283327</v>
      </c>
      <c r="BI254" s="772">
        <f t="shared" ca="1" si="117"/>
        <v>89289.57298283327</v>
      </c>
      <c r="BJ254" s="772">
        <f t="shared" ca="1" si="117"/>
        <v>90297.002090729118</v>
      </c>
      <c r="BK254" s="772">
        <f t="shared" ca="1" si="117"/>
        <v>90297.002090729118</v>
      </c>
      <c r="BL254" s="772">
        <f t="shared" ca="1" si="117"/>
        <v>90297.002090729118</v>
      </c>
      <c r="BM254" s="772">
        <f t="shared" ca="1" si="117"/>
        <v>90297.002090729118</v>
      </c>
      <c r="BN254" s="772">
        <f t="shared" ca="1" si="117"/>
        <v>89644.411848760254</v>
      </c>
      <c r="BO254" s="772">
        <f t="shared" ca="1" si="117"/>
        <v>89644.411848760254</v>
      </c>
      <c r="BP254" s="772">
        <f t="shared" ca="1" si="117"/>
        <v>89289.57298283327</v>
      </c>
      <c r="BQ254" s="772">
        <f t="shared" ca="1" si="117"/>
        <v>89289.57298283327</v>
      </c>
      <c r="BR254" s="772">
        <f t="shared" ca="1" si="117"/>
        <v>88913.098019757483</v>
      </c>
      <c r="BS254" s="772">
        <f t="shared" ca="1" si="117"/>
        <v>90297.002090729118</v>
      </c>
      <c r="BT254" s="772">
        <f t="shared" ca="1" si="117"/>
        <v>90297.002090729118</v>
      </c>
      <c r="BU254" s="772">
        <f t="shared" ca="1" si="117"/>
        <v>90297.002090729118</v>
      </c>
      <c r="BV254" s="772">
        <f t="shared" ca="1" si="117"/>
        <v>89979.615814736186</v>
      </c>
      <c r="BW254" s="772">
        <f t="shared" ca="1" si="117"/>
        <v>89979.615814736186</v>
      </c>
      <c r="BX254" s="772">
        <f t="shared" ca="1" si="105"/>
        <v>89289.57298283327</v>
      </c>
      <c r="BY254" s="772">
        <f t="shared" ca="1" si="105"/>
        <v>89289.57298283327</v>
      </c>
      <c r="BZ254" s="772">
        <f t="shared" ca="1" si="105"/>
        <v>88913.098019757483</v>
      </c>
      <c r="CA254" s="772">
        <f t="shared" ca="1" si="105"/>
        <v>88913.098019757483</v>
      </c>
      <c r="CB254" s="772">
        <f t="shared" ca="1" si="105"/>
        <v>89979.615814736186</v>
      </c>
      <c r="CC254" s="772">
        <f t="shared" ca="1" si="105"/>
        <v>89979.615814736186</v>
      </c>
      <c r="CD254" s="772">
        <f t="shared" ca="1" si="105"/>
        <v>89979.615814736186</v>
      </c>
      <c r="CE254" s="772">
        <f t="shared" ca="1" si="105"/>
        <v>89979.615814736186</v>
      </c>
      <c r="CF254" s="772">
        <f t="shared" ca="1" si="105"/>
        <v>89644.411848760254</v>
      </c>
      <c r="CG254" s="772">
        <f t="shared" ca="1" si="105"/>
        <v>89289.57298283327</v>
      </c>
      <c r="CH254" s="772">
        <f t="shared" ca="1" si="105"/>
        <v>88913.098019757483</v>
      </c>
      <c r="CI254" s="772">
        <f t="shared" ca="1" si="105"/>
        <v>88913.098019757483</v>
      </c>
      <c r="CJ254" s="772">
        <f t="shared" ca="1" si="105"/>
        <v>88512.786724875972</v>
      </c>
    </row>
    <row r="255" spans="1:88" ht="15" customHeight="1">
      <c r="A255" s="770">
        <f>'kc-Wert für Stützen'!C255</f>
        <v>307</v>
      </c>
      <c r="B255" s="768">
        <f ca="1">INDIRECT("'kc-Wert für Stützen'!"&amp;SUBSTITUTE(ADDRESS(MATCH($A255,'kc-Wert für Stützen'!$C:$C,0),MATCH(B$7,'kc-Wert für Stützen'!$A$8:$ES$8,0)+7,4),,))</f>
        <v>91779.22976241367</v>
      </c>
      <c r="C255" s="768">
        <f ca="1">INDIRECT("'kc-Wert für Stützen'!"&amp;SUBSTITUTE(ADDRESS(MATCH($A255,'kc-Wert für Stützen'!$C:$C,0),MATCH(C$7,'kc-Wert für Stützen'!$A$8:$ES$8,0)+7,4),,))</f>
        <v>91506.284207814562</v>
      </c>
      <c r="D255" s="768">
        <f ca="1">INDIRECT("'kc-Wert für Stützen'!"&amp;SUBSTITUTE(ADDRESS(MATCH($A255,'kc-Wert für Stützen'!$C:$C,0),MATCH(D$7,'kc-Wert für Stützen'!$A$8:$ES$8,0)+7,4),,))</f>
        <v>91220.144673081057</v>
      </c>
      <c r="E255" s="768">
        <f ca="1">INDIRECT("'kc-Wert für Stützen'!"&amp;SUBSTITUTE(ADDRESS(MATCH($A255,'kc-Wert für Stützen'!$C:$C,0),MATCH(E$7,'kc-Wert für Stützen'!$A$8:$ES$8,0)+7,4),,))</f>
        <v>90919.470595955572</v>
      </c>
      <c r="F255" s="768">
        <f ca="1">INDIRECT("'kc-Wert für Stützen'!"&amp;SUBSTITUTE(ADDRESS(MATCH($A255,'kc-Wert für Stützen'!$C:$C,0),MATCH(F$7,'kc-Wert für Stützen'!$A$8:$ES$8,0)+7,4),,))</f>
        <v>90602.785435172787</v>
      </c>
      <c r="G255" s="768">
        <f ca="1">INDIRECT("'kc-Wert für Stützen'!"&amp;SUBSTITUTE(ADDRESS(MATCH($A255,'kc-Wert für Stützen'!$C:$C,0),MATCH(G$7,'kc-Wert für Stützen'!$A$8:$ES$8,0)+7,4),,))</f>
        <v>90268.462130640808</v>
      </c>
      <c r="H255" s="768">
        <f ca="1">INDIRECT("'kc-Wert für Stützen'!"&amp;SUBSTITUTE(ADDRESS(MATCH($A255,'kc-Wert für Stützen'!$C:$C,0),MATCH(H$7,'kc-Wert für Stützen'!$A$8:$ES$8,0)+7,4),,))</f>
        <v>89914.70791154934</v>
      </c>
      <c r="I255" s="768">
        <f ca="1">INDIRECT("'kc-Wert für Stützen'!"&amp;SUBSTITUTE(ADDRESS(MATCH($A255,'kc-Wert für Stützen'!$C:$C,0),MATCH(I$7,'kc-Wert für Stützen'!$A$8:$ES$8,0)+7,4),,))</f>
        <v>89539.548868914717</v>
      </c>
      <c r="J255" s="768">
        <f ca="1">INDIRECT("'kc-Wert für Stützen'!"&amp;SUBSTITUTE(ADDRESS(MATCH($A255,'kc-Wert für Stützen'!$C:$C,0),MATCH(J$7,'kc-Wert für Stützen'!$A$8:$ES$8,0)+7,4),,))</f>
        <v>89140.814951116117</v>
      </c>
      <c r="K255" s="768">
        <f ca="1">INDIRECT("'kc-Wert für Stützen'!"&amp;SUBSTITUTE(ADDRESS(MATCH($A255,'kc-Wert für Stützen'!$C:$C,0),MATCH(K$7,'kc-Wert für Stützen'!$A$8:$ES$8,0)+7,4),,))</f>
        <v>88716.12637077384</v>
      </c>
      <c r="L255" s="768">
        <f ca="1">INDIRECT("'kc-Wert für Stützen'!"&amp;SUBSTITUTE(ADDRESS(MATCH($A255,'kc-Wert für Stützen'!$C:$C,0),MATCH(L$7,'kc-Wert für Stützen'!$A$8:$ES$8,0)+7,4),,))</f>
        <v>88262.882848078516</v>
      </c>
      <c r="M255" s="768">
        <f ca="1">INDIRECT("'kc-Wert für Stützen'!"&amp;SUBSTITUTE(ADDRESS(MATCH($A255,'kc-Wert für Stützen'!$C:$C,0),MATCH(M$7,'kc-Wert für Stützen'!$A$8:$ES$8,0)+7,4),,))</f>
        <v>87778.257674799941</v>
      </c>
      <c r="N255" s="768">
        <f ca="1">INDIRECT("'kc-Wert für Stützen'!"&amp;SUBSTITUTE(ADDRESS(MATCH($A255,'kc-Wert für Stützen'!$C:$C,0),MATCH(N$7,'kc-Wert für Stützen'!$A$8:$ES$8,0)+7,4),,))</f>
        <v>87259.199268439988</v>
      </c>
      <c r="O255" s="768">
        <f ca="1">INDIRECT("'kc-Wert für Stützen'!"&amp;SUBSTITUTE(ADDRESS(MATCH($A255,'kc-Wert für Stützen'!$C:$C,0),MATCH(O$7,'kc-Wert für Stützen'!$A$8:$ES$8,0)+7,4),,))</f>
        <v>86702.443676447539</v>
      </c>
      <c r="P255" s="768">
        <f ca="1">INDIRECT("'kc-Wert für Stützen'!"&amp;SUBSTITUTE(ADDRESS(MATCH($A255,'kc-Wert für Stützen'!$C:$C,0),MATCH(P$7,'kc-Wert für Stützen'!$A$8:$ES$8,0)+7,4),,))</f>
        <v>86104.54232098753</v>
      </c>
      <c r="S255" s="772">
        <f t="shared" ca="1" si="91"/>
        <v>91220.144673081057</v>
      </c>
      <c r="T255" s="772">
        <f t="shared" ca="1" si="112"/>
        <v>91220.144673081057</v>
      </c>
      <c r="U255" s="772">
        <f t="shared" ca="1" si="112"/>
        <v>91220.144673081057</v>
      </c>
      <c r="V255" s="772">
        <f t="shared" ca="1" si="112"/>
        <v>90919.470595955572</v>
      </c>
      <c r="W255" s="772">
        <f t="shared" ca="1" si="112"/>
        <v>90602.785435172787</v>
      </c>
      <c r="X255" s="772">
        <f t="shared" ca="1" si="112"/>
        <v>90268.462130640808</v>
      </c>
      <c r="Y255" s="772">
        <f t="shared" ca="1" si="112"/>
        <v>89914.70791154934</v>
      </c>
      <c r="Z255" s="772">
        <f t="shared" ca="1" si="112"/>
        <v>91220.144673081057</v>
      </c>
      <c r="AA255" s="772">
        <f t="shared" ca="1" si="112"/>
        <v>91220.144673081057</v>
      </c>
      <c r="AB255" s="772">
        <f t="shared" ca="1" si="115"/>
        <v>90919.470595955572</v>
      </c>
      <c r="AC255" s="772">
        <f t="shared" ca="1" si="115"/>
        <v>90919.470595955572</v>
      </c>
      <c r="AD255" s="772">
        <f t="shared" ca="1" si="115"/>
        <v>90602.785435172787</v>
      </c>
      <c r="AE255" s="772">
        <f t="shared" ca="1" si="115"/>
        <v>90602.785435172787</v>
      </c>
      <c r="AF255" s="772">
        <f t="shared" ca="1" si="115"/>
        <v>90268.462130640808</v>
      </c>
      <c r="AG255" s="772">
        <f t="shared" ca="1" si="115"/>
        <v>90268.462130640808</v>
      </c>
      <c r="AH255" s="772">
        <f t="shared" ca="1" si="115"/>
        <v>90268.462130640808</v>
      </c>
      <c r="AI255" s="772">
        <f t="shared" ca="1" si="115"/>
        <v>91220.144673081057</v>
      </c>
      <c r="AJ255" s="772">
        <f t="shared" ca="1" si="120"/>
        <v>91220.144673081057</v>
      </c>
      <c r="AK255" s="772">
        <f t="shared" ca="1" si="120"/>
        <v>90919.470595955572</v>
      </c>
      <c r="AL255" s="772">
        <f t="shared" ca="1" si="120"/>
        <v>90919.470595955572</v>
      </c>
      <c r="AM255" s="772">
        <f t="shared" ca="1" si="120"/>
        <v>90602.785435172787</v>
      </c>
      <c r="AN255" s="772">
        <f t="shared" ca="1" si="120"/>
        <v>90602.785435172787</v>
      </c>
      <c r="AO255" s="772">
        <f t="shared" ca="1" si="120"/>
        <v>90268.462130640808</v>
      </c>
      <c r="AP255" s="772">
        <f t="shared" ca="1" si="120"/>
        <v>90268.462130640808</v>
      </c>
      <c r="AQ255" s="772">
        <f t="shared" ca="1" si="120"/>
        <v>90268.462130640808</v>
      </c>
      <c r="AR255" s="772">
        <f t="shared" ca="1" si="119"/>
        <v>91220.144673081057</v>
      </c>
      <c r="AS255" s="772">
        <f t="shared" ca="1" si="119"/>
        <v>91220.144673081057</v>
      </c>
      <c r="AT255" s="772">
        <f t="shared" ca="1" si="119"/>
        <v>90919.470595955572</v>
      </c>
      <c r="AU255" s="772">
        <f t="shared" ca="1" si="119"/>
        <v>90919.470595955572</v>
      </c>
      <c r="AV255" s="772">
        <f t="shared" ca="1" si="119"/>
        <v>90602.785435172787</v>
      </c>
      <c r="AW255" s="772">
        <f t="shared" ca="1" si="119"/>
        <v>90602.785435172787</v>
      </c>
      <c r="AX255" s="772">
        <f t="shared" ca="1" si="119"/>
        <v>90268.462130640808</v>
      </c>
      <c r="AY255" s="772">
        <f t="shared" ca="1" si="119"/>
        <v>90268.462130640808</v>
      </c>
      <c r="AZ255" s="772">
        <f t="shared" ca="1" si="116"/>
        <v>90268.462130640808</v>
      </c>
      <c r="BA255" s="772">
        <f t="shared" ca="1" si="116"/>
        <v>91220.144673081057</v>
      </c>
      <c r="BB255" s="772">
        <f t="shared" ca="1" si="116"/>
        <v>91220.144673081057</v>
      </c>
      <c r="BC255" s="772">
        <f t="shared" ca="1" si="116"/>
        <v>90919.470595955572</v>
      </c>
      <c r="BD255" s="772">
        <f t="shared" ca="1" si="116"/>
        <v>90602.785435172787</v>
      </c>
      <c r="BE255" s="772">
        <f t="shared" ca="1" si="116"/>
        <v>90602.785435172787</v>
      </c>
      <c r="BF255" s="772">
        <f t="shared" ca="1" si="116"/>
        <v>90268.462130640808</v>
      </c>
      <c r="BG255" s="772">
        <f t="shared" ca="1" si="116"/>
        <v>90268.462130640808</v>
      </c>
      <c r="BH255" s="772">
        <f t="shared" ca="1" si="117"/>
        <v>89914.70791154934</v>
      </c>
      <c r="BI255" s="772">
        <f t="shared" ca="1" si="117"/>
        <v>89914.70791154934</v>
      </c>
      <c r="BJ255" s="772">
        <f t="shared" ca="1" si="117"/>
        <v>90919.470595955572</v>
      </c>
      <c r="BK255" s="772">
        <f t="shared" ca="1" si="117"/>
        <v>90919.470595955572</v>
      </c>
      <c r="BL255" s="772">
        <f t="shared" ca="1" si="117"/>
        <v>90919.470595955572</v>
      </c>
      <c r="BM255" s="772">
        <f t="shared" ca="1" si="117"/>
        <v>90919.470595955572</v>
      </c>
      <c r="BN255" s="772">
        <f t="shared" ca="1" si="117"/>
        <v>90268.462130640808</v>
      </c>
      <c r="BO255" s="772">
        <f t="shared" ca="1" si="117"/>
        <v>90268.462130640808</v>
      </c>
      <c r="BP255" s="772">
        <f t="shared" ca="1" si="117"/>
        <v>89914.70791154934</v>
      </c>
      <c r="BQ255" s="772">
        <f t="shared" ca="1" si="117"/>
        <v>89914.70791154934</v>
      </c>
      <c r="BR255" s="772">
        <f t="shared" ca="1" si="117"/>
        <v>89539.548868914717</v>
      </c>
      <c r="BS255" s="772">
        <f t="shared" ca="1" si="117"/>
        <v>90919.470595955572</v>
      </c>
      <c r="BT255" s="772">
        <f t="shared" ca="1" si="117"/>
        <v>90919.470595955572</v>
      </c>
      <c r="BU255" s="772">
        <f t="shared" ca="1" si="117"/>
        <v>90919.470595955572</v>
      </c>
      <c r="BV255" s="772">
        <f t="shared" ca="1" si="117"/>
        <v>90602.785435172787</v>
      </c>
      <c r="BW255" s="772">
        <f t="shared" ca="1" si="117"/>
        <v>90602.785435172787</v>
      </c>
      <c r="BX255" s="772">
        <f t="shared" ca="1" si="105"/>
        <v>89914.70791154934</v>
      </c>
      <c r="BY255" s="772">
        <f t="shared" ca="1" si="105"/>
        <v>89914.70791154934</v>
      </c>
      <c r="BZ255" s="772">
        <f t="shared" ca="1" si="105"/>
        <v>89539.548868914717</v>
      </c>
      <c r="CA255" s="772">
        <f t="shared" ca="1" si="105"/>
        <v>89539.548868914717</v>
      </c>
      <c r="CB255" s="772">
        <f t="shared" ca="1" si="105"/>
        <v>90602.785435172787</v>
      </c>
      <c r="CC255" s="772">
        <f t="shared" ca="1" si="105"/>
        <v>90602.785435172787</v>
      </c>
      <c r="CD255" s="772">
        <f t="shared" ca="1" si="105"/>
        <v>90602.785435172787</v>
      </c>
      <c r="CE255" s="772">
        <f t="shared" ca="1" si="105"/>
        <v>90602.785435172787</v>
      </c>
      <c r="CF255" s="772">
        <f t="shared" ca="1" si="105"/>
        <v>90268.462130640808</v>
      </c>
      <c r="CG255" s="772">
        <f t="shared" ca="1" si="105"/>
        <v>89914.70791154934</v>
      </c>
      <c r="CH255" s="772">
        <f t="shared" ca="1" si="105"/>
        <v>89539.548868914717</v>
      </c>
      <c r="CI255" s="772">
        <f t="shared" ca="1" si="105"/>
        <v>89539.548868914717</v>
      </c>
      <c r="CJ255" s="772">
        <f t="shared" ca="1" si="105"/>
        <v>89140.814951116117</v>
      </c>
    </row>
    <row r="256" spans="1:88" ht="15" customHeight="1">
      <c r="A256" s="770">
        <f>'kc-Wert für Stützen'!C256</f>
        <v>308</v>
      </c>
      <c r="B256" s="768">
        <f ca="1">INDIRECT("'kc-Wert für Stützen'!"&amp;SUBSTITUTE(ADDRESS(MATCH($A256,'kc-Wert für Stützen'!$C:$C,0),MATCH(B$7,'kc-Wert für Stützen'!$A$8:$ES$8,0)+7,4),,))</f>
        <v>92402.473759513159</v>
      </c>
      <c r="C256" s="768">
        <f ca="1">INDIRECT("'kc-Wert für Stützen'!"&amp;SUBSTITUTE(ADDRESS(MATCH($A256,'kc-Wert für Stützen'!$C:$C,0),MATCH(C$7,'kc-Wert für Stützen'!$A$8:$ES$8,0)+7,4),,))</f>
        <v>92129.800755859047</v>
      </c>
      <c r="D256" s="768">
        <f ca="1">INDIRECT("'kc-Wert für Stützen'!"&amp;SUBSTITUTE(ADDRESS(MATCH($A256,'kc-Wert für Stützen'!$C:$C,0),MATCH(D$7,'kc-Wert für Stützen'!$A$8:$ES$8,0)+7,4),,))</f>
        <v>91844.053553525548</v>
      </c>
      <c r="E256" s="768">
        <f ca="1">INDIRECT("'kc-Wert für Stützen'!"&amp;SUBSTITUTE(ADDRESS(MATCH($A256,'kc-Wert für Stützen'!$C:$C,0),MATCH(E$7,'kc-Wert für Stützen'!$A$8:$ES$8,0)+7,4),,))</f>
        <v>91543.908206240128</v>
      </c>
      <c r="F256" s="768">
        <f ca="1">INDIRECT("'kc-Wert für Stützen'!"&amp;SUBSTITUTE(ADDRESS(MATCH($A256,'kc-Wert für Stützen'!$C:$C,0),MATCH(F$7,'kc-Wert für Stützen'!$A$8:$ES$8,0)+7,4),,))</f>
        <v>91227.907033482581</v>
      </c>
      <c r="G256" s="768">
        <f ca="1">INDIRECT("'kc-Wert für Stützen'!"&amp;SUBSTITUTE(ADDRESS(MATCH($A256,'kc-Wert für Stützen'!$C:$C,0),MATCH(G$7,'kc-Wert für Stützen'!$A$8:$ES$8,0)+7,4),,))</f>
        <v>90894.444300897638</v>
      </c>
      <c r="H256" s="768">
        <f ca="1">INDIRECT("'kc-Wert für Stützen'!"&amp;SUBSTITUTE(ADDRESS(MATCH($A256,'kc-Wert für Stützen'!$C:$C,0),MATCH(H$7,'kc-Wert für Stützen'!$A$8:$ES$8,0)+7,4),,))</f>
        <v>90541.751225861051</v>
      </c>
      <c r="I256" s="768">
        <f ca="1">INDIRECT("'kc-Wert für Stützen'!"&amp;SUBSTITUTE(ADDRESS(MATCH($A256,'kc-Wert für Stützen'!$C:$C,0),MATCH(I$7,'kc-Wert für Stützen'!$A$8:$ES$8,0)+7,4),,))</f>
        <v>90167.880697629458</v>
      </c>
      <c r="J256" s="768">
        <f ca="1">INDIRECT("'kc-Wert für Stützen'!"&amp;SUBSTITUTE(ADDRESS(MATCH($A256,'kc-Wert für Stützen'!$C:$C,0),MATCH(J$7,'kc-Wert für Stützen'!$A$8:$ES$8,0)+7,4),,))</f>
        <v>89770.692330979684</v>
      </c>
      <c r="K256" s="768">
        <f ca="1">INDIRECT("'kc-Wert für Stützen'!"&amp;SUBSTITUTE(ADDRESS(MATCH($A256,'kc-Wert für Stützen'!$C:$C,0),MATCH(K$7,'kc-Wert für Stützen'!$A$8:$ES$8,0)+7,4),,))</f>
        <v>89347.838785485204</v>
      </c>
      <c r="L256" s="768">
        <f ca="1">INDIRECT("'kc-Wert für Stützen'!"&amp;SUBSTITUTE(ADDRESS(MATCH($A256,'kc-Wert für Stützen'!$C:$C,0),MATCH(L$7,'kc-Wert für Stützen'!$A$8:$ES$8,0)+7,4),,))</f>
        <v>88896.754698421806</v>
      </c>
      <c r="M256" s="768">
        <f ca="1">INDIRECT("'kc-Wert für Stützen'!"&amp;SUBSTITUTE(ADDRESS(MATCH($A256,'kc-Wert für Stützen'!$C:$C,0),MATCH(M$7,'kc-Wert für Stützen'!$A$8:$ES$8,0)+7,4),,))</f>
        <v>88414.65011346947</v>
      </c>
      <c r="N256" s="768">
        <f ca="1">INDIRECT("'kc-Wert für Stützen'!"&amp;SUBSTITUTE(ADDRESS(MATCH($A256,'kc-Wert für Stützen'!$C:$C,0),MATCH(N$7,'kc-Wert für Stützen'!$A$8:$ES$8,0)+7,4),,))</f>
        <v>87898.51094539529</v>
      </c>
      <c r="O256" s="768">
        <f ca="1">INDIRECT("'kc-Wert für Stützen'!"&amp;SUBSTITUTE(ADDRESS(MATCH($A256,'kc-Wert für Stützen'!$C:$C,0),MATCH(O$7,'kc-Wert für Stützen'!$A$8:$ES$8,0)+7,4),,))</f>
        <v>87345.109786108616</v>
      </c>
      <c r="P256" s="768">
        <f ca="1">INDIRECT("'kc-Wert für Stützen'!"&amp;SUBSTITUTE(ADDRESS(MATCH($A256,'kc-Wert für Stützen'!$C:$C,0),MATCH(P$7,'kc-Wert für Stützen'!$A$8:$ES$8,0)+7,4),,))</f>
        <v>86751.031172918869</v>
      </c>
      <c r="S256" s="772">
        <f t="shared" ca="1" si="91"/>
        <v>91844.053553525548</v>
      </c>
      <c r="T256" s="772">
        <f t="shared" ca="1" si="112"/>
        <v>91844.053553525548</v>
      </c>
      <c r="U256" s="772">
        <f t="shared" ca="1" si="112"/>
        <v>91844.053553525548</v>
      </c>
      <c r="V256" s="772">
        <f t="shared" ca="1" si="112"/>
        <v>91543.908206240128</v>
      </c>
      <c r="W256" s="772">
        <f t="shared" ca="1" si="112"/>
        <v>91227.907033482581</v>
      </c>
      <c r="X256" s="772">
        <f t="shared" ca="1" si="112"/>
        <v>90894.444300897638</v>
      </c>
      <c r="Y256" s="772">
        <f t="shared" ca="1" si="112"/>
        <v>90541.751225861051</v>
      </c>
      <c r="Z256" s="772">
        <f t="shared" ca="1" si="112"/>
        <v>91844.053553525548</v>
      </c>
      <c r="AA256" s="772">
        <f t="shared" ca="1" si="112"/>
        <v>91844.053553525548</v>
      </c>
      <c r="AB256" s="772">
        <f t="shared" ca="1" si="115"/>
        <v>91543.908206240128</v>
      </c>
      <c r="AC256" s="772">
        <f t="shared" ca="1" si="115"/>
        <v>91543.908206240128</v>
      </c>
      <c r="AD256" s="772">
        <f t="shared" ca="1" si="115"/>
        <v>91227.907033482581</v>
      </c>
      <c r="AE256" s="772">
        <f t="shared" ca="1" si="115"/>
        <v>91227.907033482581</v>
      </c>
      <c r="AF256" s="772">
        <f t="shared" ca="1" si="115"/>
        <v>90894.444300897638</v>
      </c>
      <c r="AG256" s="772">
        <f t="shared" ca="1" si="115"/>
        <v>90894.444300897638</v>
      </c>
      <c r="AH256" s="772">
        <f t="shared" ca="1" si="115"/>
        <v>90894.444300897638</v>
      </c>
      <c r="AI256" s="772">
        <f t="shared" ca="1" si="115"/>
        <v>91844.053553525548</v>
      </c>
      <c r="AJ256" s="772">
        <f t="shared" ca="1" si="120"/>
        <v>91844.053553525548</v>
      </c>
      <c r="AK256" s="772">
        <f t="shared" ca="1" si="120"/>
        <v>91543.908206240128</v>
      </c>
      <c r="AL256" s="772">
        <f t="shared" ca="1" si="120"/>
        <v>91543.908206240128</v>
      </c>
      <c r="AM256" s="772">
        <f t="shared" ca="1" si="120"/>
        <v>91227.907033482581</v>
      </c>
      <c r="AN256" s="772">
        <f t="shared" ca="1" si="120"/>
        <v>91227.907033482581</v>
      </c>
      <c r="AO256" s="772">
        <f t="shared" ca="1" si="120"/>
        <v>90894.444300897638</v>
      </c>
      <c r="AP256" s="772">
        <f t="shared" ca="1" si="120"/>
        <v>90894.444300897638</v>
      </c>
      <c r="AQ256" s="772">
        <f t="shared" ca="1" si="120"/>
        <v>90894.444300897638</v>
      </c>
      <c r="AR256" s="772">
        <f t="shared" ca="1" si="119"/>
        <v>91844.053553525548</v>
      </c>
      <c r="AS256" s="772">
        <f t="shared" ca="1" si="119"/>
        <v>91844.053553525548</v>
      </c>
      <c r="AT256" s="772">
        <f t="shared" ca="1" si="119"/>
        <v>91543.908206240128</v>
      </c>
      <c r="AU256" s="772">
        <f t="shared" ca="1" si="119"/>
        <v>91543.908206240128</v>
      </c>
      <c r="AV256" s="772">
        <f t="shared" ca="1" si="119"/>
        <v>91227.907033482581</v>
      </c>
      <c r="AW256" s="772">
        <f t="shared" ca="1" si="119"/>
        <v>91227.907033482581</v>
      </c>
      <c r="AX256" s="772">
        <f t="shared" ca="1" si="119"/>
        <v>90894.444300897638</v>
      </c>
      <c r="AY256" s="772">
        <f t="shared" ca="1" si="119"/>
        <v>90894.444300897638</v>
      </c>
      <c r="AZ256" s="772">
        <f t="shared" ca="1" si="116"/>
        <v>90894.444300897638</v>
      </c>
      <c r="BA256" s="772">
        <f t="shared" ca="1" si="116"/>
        <v>91844.053553525548</v>
      </c>
      <c r="BB256" s="772">
        <f t="shared" ca="1" si="116"/>
        <v>91844.053553525548</v>
      </c>
      <c r="BC256" s="772">
        <f t="shared" ca="1" si="116"/>
        <v>91543.908206240128</v>
      </c>
      <c r="BD256" s="772">
        <f t="shared" ca="1" si="116"/>
        <v>91227.907033482581</v>
      </c>
      <c r="BE256" s="772">
        <f t="shared" ca="1" si="116"/>
        <v>91227.907033482581</v>
      </c>
      <c r="BF256" s="772">
        <f t="shared" ca="1" si="116"/>
        <v>90894.444300897638</v>
      </c>
      <c r="BG256" s="772">
        <f t="shared" ca="1" si="116"/>
        <v>90894.444300897638</v>
      </c>
      <c r="BH256" s="772">
        <f t="shared" ca="1" si="117"/>
        <v>90541.751225861051</v>
      </c>
      <c r="BI256" s="772">
        <f t="shared" ca="1" si="117"/>
        <v>90541.751225861051</v>
      </c>
      <c r="BJ256" s="772">
        <f t="shared" ca="1" si="117"/>
        <v>91543.908206240128</v>
      </c>
      <c r="BK256" s="772">
        <f t="shared" ca="1" si="117"/>
        <v>91543.908206240128</v>
      </c>
      <c r="BL256" s="772">
        <f t="shared" ca="1" si="117"/>
        <v>91543.908206240128</v>
      </c>
      <c r="BM256" s="772">
        <f t="shared" ca="1" si="117"/>
        <v>91543.908206240128</v>
      </c>
      <c r="BN256" s="772">
        <f t="shared" ca="1" si="117"/>
        <v>90894.444300897638</v>
      </c>
      <c r="BO256" s="772">
        <f t="shared" ca="1" si="117"/>
        <v>90894.444300897638</v>
      </c>
      <c r="BP256" s="772">
        <f t="shared" ca="1" si="117"/>
        <v>90541.751225861051</v>
      </c>
      <c r="BQ256" s="772">
        <f t="shared" ca="1" si="117"/>
        <v>90541.751225861051</v>
      </c>
      <c r="BR256" s="772">
        <f t="shared" ca="1" si="117"/>
        <v>90167.880697629458</v>
      </c>
      <c r="BS256" s="772">
        <f t="shared" ca="1" si="117"/>
        <v>91543.908206240128</v>
      </c>
      <c r="BT256" s="772">
        <f t="shared" ca="1" si="117"/>
        <v>91543.908206240128</v>
      </c>
      <c r="BU256" s="772">
        <f t="shared" ca="1" si="117"/>
        <v>91543.908206240128</v>
      </c>
      <c r="BV256" s="772">
        <f t="shared" ca="1" si="117"/>
        <v>91227.907033482581</v>
      </c>
      <c r="BW256" s="772">
        <f t="shared" ca="1" si="117"/>
        <v>91227.907033482581</v>
      </c>
      <c r="BX256" s="772">
        <f t="shared" ca="1" si="105"/>
        <v>90541.751225861051</v>
      </c>
      <c r="BY256" s="772">
        <f t="shared" ca="1" si="105"/>
        <v>90541.751225861051</v>
      </c>
      <c r="BZ256" s="772">
        <f t="shared" ca="1" si="105"/>
        <v>90167.880697629458</v>
      </c>
      <c r="CA256" s="772">
        <f t="shared" ca="1" si="105"/>
        <v>90167.880697629458</v>
      </c>
      <c r="CB256" s="772">
        <f t="shared" ca="1" si="105"/>
        <v>91227.907033482581</v>
      </c>
      <c r="CC256" s="772">
        <f t="shared" ca="1" si="105"/>
        <v>91227.907033482581</v>
      </c>
      <c r="CD256" s="772">
        <f t="shared" ca="1" si="105"/>
        <v>91227.907033482581</v>
      </c>
      <c r="CE256" s="772">
        <f t="shared" ca="1" si="105"/>
        <v>91227.907033482581</v>
      </c>
      <c r="CF256" s="772">
        <f t="shared" ca="1" si="105"/>
        <v>90894.444300897638</v>
      </c>
      <c r="CG256" s="772">
        <f t="shared" ca="1" si="105"/>
        <v>90541.751225861051</v>
      </c>
      <c r="CH256" s="772">
        <f t="shared" ca="1" si="105"/>
        <v>90167.880697629458</v>
      </c>
      <c r="CI256" s="772">
        <f t="shared" ca="1" si="105"/>
        <v>90167.880697629458</v>
      </c>
      <c r="CJ256" s="772">
        <f t="shared" ca="1" si="105"/>
        <v>89770.692330979684</v>
      </c>
    </row>
    <row r="257" spans="1:88" ht="15" customHeight="1">
      <c r="A257" s="770">
        <f>'kc-Wert für Stützen'!C257</f>
        <v>309</v>
      </c>
      <c r="B257" s="768">
        <f ca="1">INDIRECT("'kc-Wert für Stützen'!"&amp;SUBSTITUTE(ADDRESS(MATCH($A257,'kc-Wert für Stützen'!$C:$C,0),MATCH(B$7,'kc-Wert für Stützen'!$A$8:$ES$8,0)+7,4),,))</f>
        <v>93027.725176929904</v>
      </c>
      <c r="C257" s="768">
        <f ca="1">INDIRECT("'kc-Wert für Stützen'!"&amp;SUBSTITUTE(ADDRESS(MATCH($A257,'kc-Wert für Stützen'!$C:$C,0),MATCH(C$7,'kc-Wert für Stützen'!$A$8:$ES$8,0)+7,4),,))</f>
        <v>92755.314420139373</v>
      </c>
      <c r="D257" s="768">
        <f ca="1">INDIRECT("'kc-Wert für Stützen'!"&amp;SUBSTITUTE(ADDRESS(MATCH($A257,'kc-Wert für Stützen'!$C:$C,0),MATCH(D$7,'kc-Wert für Stützen'!$A$8:$ES$8,0)+7,4),,))</f>
        <v>92469.947406847234</v>
      </c>
      <c r="E257" s="768">
        <f ca="1">INDIRECT("'kc-Wert für Stützen'!"&amp;SUBSTITUTE(ADDRESS(MATCH($A257,'kc-Wert für Stützen'!$C:$C,0),MATCH(E$7,'kc-Wert für Stützen'!$A$8:$ES$8,0)+7,4),,))</f>
        <v>92170.316497522959</v>
      </c>
      <c r="F257" s="768">
        <f ca="1">INDIRECT("'kc-Wert für Stützen'!"&amp;SUBSTITUTE(ADDRESS(MATCH($A257,'kc-Wert für Stützen'!$C:$C,0),MATCH(F$7,'kc-Wert für Stützen'!$A$8:$ES$8,0)+7,4),,))</f>
        <v>91854.982519702215</v>
      </c>
      <c r="G257" s="768">
        <f ca="1">INDIRECT("'kc-Wert für Stützen'!"&amp;SUBSTITUTE(ADDRESS(MATCH($A257,'kc-Wert für Stützen'!$C:$C,0),MATCH(G$7,'kc-Wert für Stützen'!$A$8:$ES$8,0)+7,4),,))</f>
        <v>91522.360666953304</v>
      </c>
      <c r="H257" s="768">
        <f ca="1">INDIRECT("'kc-Wert für Stützen'!"&amp;SUBSTITUTE(ADDRESS(MATCH($A257,'kc-Wert für Stützen'!$C:$C,0),MATCH(H$7,'kc-Wert für Stützen'!$A$8:$ES$8,0)+7,4),,))</f>
        <v>91170.705702730498</v>
      </c>
      <c r="I257" s="768">
        <f ca="1">INDIRECT("'kc-Wert für Stützen'!"&amp;SUBSTITUTE(ADDRESS(MATCH($A257,'kc-Wert für Stützen'!$C:$C,0),MATCH(I$7,'kc-Wert für Stützen'!$A$8:$ES$8,0)+7,4),,))</f>
        <v>90798.096833057571</v>
      </c>
      <c r="J257" s="768">
        <f ca="1">INDIRECT("'kc-Wert für Stützen'!"&amp;SUBSTITUTE(ADDRESS(MATCH($A257,'kc-Wert für Stützen'!$C:$C,0),MATCH(J$7,'kc-Wert für Stützen'!$A$8:$ES$8,0)+7,4),,))</f>
        <v>90402.422829542906</v>
      </c>
      <c r="K257" s="768">
        <f ca="1">INDIRECT("'kc-Wert für Stützen'!"&amp;SUBSTITUTE(ADDRESS(MATCH($A257,'kc-Wert für Stützen'!$C:$C,0),MATCH(K$7,'kc-Wert für Stützen'!$A$8:$ES$8,0)+7,4),,))</f>
        <v>89981.368281730145</v>
      </c>
      <c r="L257" s="768">
        <f ca="1">INDIRECT("'kc-Wert für Stützen'!"&amp;SUBSTITUTE(ADDRESS(MATCH($A257,'kc-Wert für Stützen'!$C:$C,0),MATCH(L$7,'kc-Wert für Stützen'!$A$8:$ES$8,0)+7,4),,))</f>
        <v>89532.402253661712</v>
      </c>
      <c r="M257" s="768">
        <f ca="1">INDIRECT("'kc-Wert für Stützen'!"&amp;SUBSTITUTE(ADDRESS(MATCH($A257,'kc-Wert für Stützen'!$C:$C,0),MATCH(M$7,'kc-Wert für Stützen'!$A$8:$ES$8,0)+7,4),,))</f>
        <v>89052.771129711298</v>
      </c>
      <c r="N257" s="768">
        <f ca="1">INDIRECT("'kc-Wert für Stützen'!"&amp;SUBSTITUTE(ADDRESS(MATCH($A257,'kc-Wert für Stützen'!$C:$C,0),MATCH(N$7,'kc-Wert für Stützen'!$A$8:$ES$8,0)+7,4),,))</f>
        <v>88539.498066251224</v>
      </c>
      <c r="O257" s="768">
        <f ca="1">INDIRECT("'kc-Wert für Stützen'!"&amp;SUBSTITUTE(ADDRESS(MATCH($A257,'kc-Wert für Stützen'!$C:$C,0),MATCH(O$7,'kc-Wert für Stützen'!$A$8:$ES$8,0)+7,4),,))</f>
        <v>87989.392205669006</v>
      </c>
      <c r="P257" s="768">
        <f ca="1">INDIRECT("'kc-Wert für Stützen'!"&amp;SUBSTITUTE(ADDRESS(MATCH($A257,'kc-Wert für Stützen'!$C:$C,0),MATCH(P$7,'kc-Wert für Stützen'!$A$8:$ES$8,0)+7,4),,))</f>
        <v>87399.071608051381</v>
      </c>
      <c r="S257" s="772">
        <f t="shared" ca="1" si="91"/>
        <v>92469.947406847234</v>
      </c>
      <c r="T257" s="772">
        <f t="shared" ca="1" si="112"/>
        <v>92469.947406847234</v>
      </c>
      <c r="U257" s="772">
        <f t="shared" ca="1" si="112"/>
        <v>92469.947406847234</v>
      </c>
      <c r="V257" s="772">
        <f t="shared" ca="1" si="112"/>
        <v>92170.316497522959</v>
      </c>
      <c r="W257" s="772">
        <f t="shared" ca="1" si="112"/>
        <v>91854.982519702215</v>
      </c>
      <c r="X257" s="772">
        <f t="shared" ca="1" si="112"/>
        <v>91522.360666953304</v>
      </c>
      <c r="Y257" s="772">
        <f t="shared" ca="1" si="112"/>
        <v>91170.705702730498</v>
      </c>
      <c r="Z257" s="772">
        <f t="shared" ca="1" si="112"/>
        <v>92469.947406847234</v>
      </c>
      <c r="AA257" s="772">
        <f t="shared" ca="1" si="112"/>
        <v>92469.947406847234</v>
      </c>
      <c r="AB257" s="772">
        <f t="shared" ca="1" si="115"/>
        <v>92170.316497522959</v>
      </c>
      <c r="AC257" s="772">
        <f t="shared" ca="1" si="115"/>
        <v>92170.316497522959</v>
      </c>
      <c r="AD257" s="772">
        <f t="shared" ca="1" si="115"/>
        <v>91854.982519702215</v>
      </c>
      <c r="AE257" s="772">
        <f t="shared" ca="1" si="115"/>
        <v>91854.982519702215</v>
      </c>
      <c r="AF257" s="772">
        <f t="shared" ca="1" si="115"/>
        <v>91522.360666953304</v>
      </c>
      <c r="AG257" s="772">
        <f t="shared" ca="1" si="115"/>
        <v>91522.360666953304</v>
      </c>
      <c r="AH257" s="772">
        <f t="shared" ca="1" si="115"/>
        <v>91522.360666953304</v>
      </c>
      <c r="AI257" s="772">
        <f t="shared" ca="1" si="115"/>
        <v>92469.947406847234</v>
      </c>
      <c r="AJ257" s="772">
        <f t="shared" ca="1" si="120"/>
        <v>92469.947406847234</v>
      </c>
      <c r="AK257" s="772">
        <f t="shared" ca="1" si="120"/>
        <v>92170.316497522959</v>
      </c>
      <c r="AL257" s="772">
        <f t="shared" ca="1" si="120"/>
        <v>92170.316497522959</v>
      </c>
      <c r="AM257" s="772">
        <f t="shared" ca="1" si="120"/>
        <v>91854.982519702215</v>
      </c>
      <c r="AN257" s="772">
        <f t="shared" ca="1" si="120"/>
        <v>91854.982519702215</v>
      </c>
      <c r="AO257" s="772">
        <f t="shared" ca="1" si="120"/>
        <v>91522.360666953304</v>
      </c>
      <c r="AP257" s="772">
        <f t="shared" ca="1" si="120"/>
        <v>91522.360666953304</v>
      </c>
      <c r="AQ257" s="772">
        <f t="shared" ca="1" si="120"/>
        <v>91522.360666953304</v>
      </c>
      <c r="AR257" s="772">
        <f t="shared" ca="1" si="119"/>
        <v>92469.947406847234</v>
      </c>
      <c r="AS257" s="772">
        <f t="shared" ca="1" si="119"/>
        <v>92469.947406847234</v>
      </c>
      <c r="AT257" s="772">
        <f t="shared" ca="1" si="119"/>
        <v>92170.316497522959</v>
      </c>
      <c r="AU257" s="772">
        <f t="shared" ca="1" si="119"/>
        <v>92170.316497522959</v>
      </c>
      <c r="AV257" s="772">
        <f t="shared" ca="1" si="119"/>
        <v>91854.982519702215</v>
      </c>
      <c r="AW257" s="772">
        <f t="shared" ca="1" si="119"/>
        <v>91854.982519702215</v>
      </c>
      <c r="AX257" s="772">
        <f t="shared" ca="1" si="119"/>
        <v>91522.360666953304</v>
      </c>
      <c r="AY257" s="772">
        <f t="shared" ca="1" si="119"/>
        <v>91522.360666953304</v>
      </c>
      <c r="AZ257" s="772">
        <f t="shared" ca="1" si="116"/>
        <v>91522.360666953304</v>
      </c>
      <c r="BA257" s="772">
        <f t="shared" ca="1" si="116"/>
        <v>92469.947406847234</v>
      </c>
      <c r="BB257" s="772">
        <f t="shared" ca="1" si="116"/>
        <v>92469.947406847234</v>
      </c>
      <c r="BC257" s="772">
        <f t="shared" ca="1" si="116"/>
        <v>92170.316497522959</v>
      </c>
      <c r="BD257" s="772">
        <f t="shared" ca="1" si="116"/>
        <v>91854.982519702215</v>
      </c>
      <c r="BE257" s="772">
        <f t="shared" ca="1" si="116"/>
        <v>91854.982519702215</v>
      </c>
      <c r="BF257" s="772">
        <f t="shared" ca="1" si="116"/>
        <v>91522.360666953304</v>
      </c>
      <c r="BG257" s="772">
        <f t="shared" ca="1" si="116"/>
        <v>91522.360666953304</v>
      </c>
      <c r="BH257" s="772">
        <f t="shared" ca="1" si="117"/>
        <v>91170.705702730498</v>
      </c>
      <c r="BI257" s="772">
        <f t="shared" ca="1" si="117"/>
        <v>91170.705702730498</v>
      </c>
      <c r="BJ257" s="772">
        <f t="shared" ca="1" si="117"/>
        <v>92170.316497522959</v>
      </c>
      <c r="BK257" s="772">
        <f t="shared" ca="1" si="117"/>
        <v>92170.316497522959</v>
      </c>
      <c r="BL257" s="772">
        <f t="shared" ca="1" si="117"/>
        <v>92170.316497522959</v>
      </c>
      <c r="BM257" s="772">
        <f t="shared" ca="1" si="117"/>
        <v>92170.316497522959</v>
      </c>
      <c r="BN257" s="772">
        <f t="shared" ca="1" si="117"/>
        <v>91522.360666953304</v>
      </c>
      <c r="BO257" s="772">
        <f t="shared" ca="1" si="117"/>
        <v>91522.360666953304</v>
      </c>
      <c r="BP257" s="772">
        <f t="shared" ca="1" si="117"/>
        <v>91170.705702730498</v>
      </c>
      <c r="BQ257" s="772">
        <f t="shared" ca="1" si="117"/>
        <v>91170.705702730498</v>
      </c>
      <c r="BR257" s="772">
        <f t="shared" ca="1" si="117"/>
        <v>90798.096833057571</v>
      </c>
      <c r="BS257" s="772">
        <f t="shared" ca="1" si="117"/>
        <v>92170.316497522959</v>
      </c>
      <c r="BT257" s="772">
        <f t="shared" ca="1" si="117"/>
        <v>92170.316497522959</v>
      </c>
      <c r="BU257" s="772">
        <f t="shared" ca="1" si="117"/>
        <v>92170.316497522959</v>
      </c>
      <c r="BV257" s="772">
        <f t="shared" ca="1" si="117"/>
        <v>91854.982519702215</v>
      </c>
      <c r="BW257" s="772">
        <f t="shared" ca="1" si="117"/>
        <v>91854.982519702215</v>
      </c>
      <c r="BX257" s="772">
        <f t="shared" ca="1" si="105"/>
        <v>91170.705702730498</v>
      </c>
      <c r="BY257" s="772">
        <f t="shared" ca="1" si="105"/>
        <v>91170.705702730498</v>
      </c>
      <c r="BZ257" s="772">
        <f t="shared" ca="1" si="105"/>
        <v>90798.096833057571</v>
      </c>
      <c r="CA257" s="772">
        <f t="shared" ca="1" si="105"/>
        <v>90798.096833057571</v>
      </c>
      <c r="CB257" s="772">
        <f t="shared" ca="1" si="105"/>
        <v>91854.982519702215</v>
      </c>
      <c r="CC257" s="772">
        <f t="shared" ca="1" si="105"/>
        <v>91854.982519702215</v>
      </c>
      <c r="CD257" s="772">
        <f t="shared" ca="1" si="105"/>
        <v>91854.982519702215</v>
      </c>
      <c r="CE257" s="772">
        <f t="shared" ca="1" si="105"/>
        <v>91854.982519702215</v>
      </c>
      <c r="CF257" s="772">
        <f t="shared" ca="1" si="105"/>
        <v>91522.360666953304</v>
      </c>
      <c r="CG257" s="772">
        <f t="shared" ca="1" si="105"/>
        <v>91170.705702730498</v>
      </c>
      <c r="CH257" s="772">
        <f t="shared" ca="1" si="105"/>
        <v>90798.096833057571</v>
      </c>
      <c r="CI257" s="772">
        <f t="shared" ca="1" si="105"/>
        <v>90798.096833057571</v>
      </c>
      <c r="CJ257" s="772">
        <f t="shared" ca="1" si="105"/>
        <v>90402.422829542906</v>
      </c>
    </row>
    <row r="258" spans="1:88" ht="15" customHeight="1">
      <c r="A258" s="770">
        <f>'kc-Wert für Stützen'!C258</f>
        <v>310</v>
      </c>
      <c r="B258" s="768">
        <f ca="1">INDIRECT("'kc-Wert für Stützen'!"&amp;SUBSTITUTE(ADDRESS(MATCH($A258,'kc-Wert für Stützen'!$C:$C,0),MATCH(B$7,'kc-Wert für Stützen'!$A$8:$ES$8,0)+7,4),,))</f>
        <v>93654.984867049803</v>
      </c>
      <c r="C258" s="768">
        <f ca="1">INDIRECT("'kc-Wert für Stützen'!"&amp;SUBSTITUTE(ADDRESS(MATCH($A258,'kc-Wert für Stützen'!$C:$C,0),MATCH(C$7,'kc-Wert für Stützen'!$A$8:$ES$8,0)+7,4),,))</f>
        <v>93382.826241470393</v>
      </c>
      <c r="D258" s="768">
        <f ca="1">INDIRECT("'kc-Wert für Stützen'!"&amp;SUBSTITUTE(ADDRESS(MATCH($A258,'kc-Wert für Stützen'!$C:$C,0),MATCH(D$7,'kc-Wert für Stützen'!$A$8:$ES$8,0)+7,4),,))</f>
        <v>93097.827500919506</v>
      </c>
      <c r="E258" s="768">
        <f ca="1">INDIRECT("'kc-Wert für Stützen'!"&amp;SUBSTITUTE(ADDRESS(MATCH($A258,'kc-Wert für Stützen'!$C:$C,0),MATCH(E$7,'kc-Wert für Stützen'!$A$8:$ES$8,0)+7,4),,))</f>
        <v>92798.697010323798</v>
      </c>
      <c r="F258" s="768">
        <f ca="1">INDIRECT("'kc-Wert für Stützen'!"&amp;SUBSTITUTE(ADDRESS(MATCH($A258,'kc-Wert für Stützen'!$C:$C,0),MATCH(F$7,'kc-Wert für Stützen'!$A$8:$ES$8,0)+7,4),,))</f>
        <v>92484.013760350994</v>
      </c>
      <c r="G258" s="768">
        <f ca="1">INDIRECT("'kc-Wert für Stützen'!"&amp;SUBSTITUTE(ADDRESS(MATCH($A258,'kc-Wert für Stützen'!$C:$C,0),MATCH(G$7,'kc-Wert für Stützen'!$A$8:$ES$8,0)+7,4),,))</f>
        <v>92152.213483099695</v>
      </c>
      <c r="H258" s="768">
        <f ca="1">INDIRECT("'kc-Wert für Stützen'!"&amp;SUBSTITUTE(ADDRESS(MATCH($A258,'kc-Wert für Stützen'!$C:$C,0),MATCH(H$7,'kc-Wert für Stützen'!$A$8:$ES$8,0)+7,4),,))</f>
        <v>91801.574054740588</v>
      </c>
      <c r="I258" s="768">
        <f ca="1">INDIRECT("'kc-Wert für Stützen'!"&amp;SUBSTITUTE(ADDRESS(MATCH($A258,'kc-Wert für Stützen'!$C:$C,0),MATCH(I$7,'kc-Wert für Stützen'!$A$8:$ES$8,0)+7,4),,))</f>
        <v>91430.200525064414</v>
      </c>
      <c r="J258" s="768">
        <f ca="1">INDIRECT("'kc-Wert für Stützen'!"&amp;SUBSTITUTE(ADDRESS(MATCH($A258,'kc-Wert für Stützen'!$C:$C,0),MATCH(J$7,'kc-Wert für Stützen'!$A$8:$ES$8,0)+7,4),,))</f>
        <v>91036.010320153146</v>
      </c>
      <c r="K258" s="768">
        <f ca="1">INDIRECT("'kc-Wert für Stützen'!"&amp;SUBSTITUTE(ADDRESS(MATCH($A258,'kc-Wert für Stützen'!$C:$C,0),MATCH(K$7,'kc-Wert für Stützen'!$A$8:$ES$8,0)+7,4),,))</f>
        <v>90616.719446934527</v>
      </c>
      <c r="L258" s="768">
        <f ca="1">INDIRECT("'kc-Wert für Stützen'!"&amp;SUBSTITUTE(ADDRESS(MATCH($A258,'kc-Wert für Stützen'!$C:$C,0),MATCH(L$7,'kc-Wert für Stützen'!$A$8:$ES$8,0)+7,4),,))</f>
        <v>90169.830905182142</v>
      </c>
      <c r="M258" s="768">
        <f ca="1">INDIRECT("'kc-Wert für Stützen'!"&amp;SUBSTITUTE(ADDRESS(MATCH($A258,'kc-Wert für Stützen'!$C:$C,0),MATCH(M$7,'kc-Wert für Stützen'!$A$8:$ES$8,0)+7,4),,))</f>
        <v>89692.626999652071</v>
      </c>
      <c r="N258" s="768">
        <f ca="1">INDIRECT("'kc-Wert für Stützen'!"&amp;SUBSTITUTE(ADDRESS(MATCH($A258,'kc-Wert für Stützen'!$C:$C,0),MATCH(N$7,'kc-Wert für Stützen'!$A$8:$ES$8,0)+7,4),,))</f>
        <v>89182.167850778482</v>
      </c>
      <c r="O258" s="768">
        <f ca="1">INDIRECT("'kc-Wert für Stützen'!"&amp;SUBSTITUTE(ADDRESS(MATCH($A258,'kc-Wert für Stützen'!$C:$C,0),MATCH(O$7,'kc-Wert für Stützen'!$A$8:$ES$8,0)+7,4),,))</f>
        <v>88635.299117149829</v>
      </c>
      <c r="P258" s="768">
        <f ca="1">INDIRECT("'kc-Wert für Stützen'!"&amp;SUBSTITUTE(ADDRESS(MATCH($A258,'kc-Wert für Stützen'!$C:$C,0),MATCH(P$7,'kc-Wert für Stützen'!$A$8:$ES$8,0)+7,4),,))</f>
        <v>88048.672723932483</v>
      </c>
      <c r="S258" s="772">
        <f t="shared" ca="1" si="91"/>
        <v>93097.827500919506</v>
      </c>
      <c r="T258" s="772">
        <f t="shared" ca="1" si="112"/>
        <v>93097.827500919506</v>
      </c>
      <c r="U258" s="772">
        <f t="shared" ca="1" si="112"/>
        <v>93097.827500919506</v>
      </c>
      <c r="V258" s="772">
        <f t="shared" ca="1" si="112"/>
        <v>92798.697010323798</v>
      </c>
      <c r="W258" s="772">
        <f t="shared" ca="1" si="112"/>
        <v>92484.013760350994</v>
      </c>
      <c r="X258" s="772">
        <f t="shared" ca="1" si="112"/>
        <v>92152.213483099695</v>
      </c>
      <c r="Y258" s="772">
        <f t="shared" ca="1" si="112"/>
        <v>91801.574054740588</v>
      </c>
      <c r="Z258" s="772">
        <f t="shared" ca="1" si="112"/>
        <v>93097.827500919506</v>
      </c>
      <c r="AA258" s="772">
        <f t="shared" ca="1" si="112"/>
        <v>93097.827500919506</v>
      </c>
      <c r="AB258" s="772">
        <f t="shared" ca="1" si="115"/>
        <v>92798.697010323798</v>
      </c>
      <c r="AC258" s="772">
        <f t="shared" ca="1" si="115"/>
        <v>92798.697010323798</v>
      </c>
      <c r="AD258" s="772">
        <f t="shared" ca="1" si="115"/>
        <v>92484.013760350994</v>
      </c>
      <c r="AE258" s="772">
        <f t="shared" ca="1" si="115"/>
        <v>92484.013760350994</v>
      </c>
      <c r="AF258" s="772">
        <f t="shared" ca="1" si="115"/>
        <v>92152.213483099695</v>
      </c>
      <c r="AG258" s="772">
        <f t="shared" ca="1" si="115"/>
        <v>92152.213483099695</v>
      </c>
      <c r="AH258" s="772">
        <f t="shared" ca="1" si="115"/>
        <v>92152.213483099695</v>
      </c>
      <c r="AI258" s="772">
        <f t="shared" ca="1" si="115"/>
        <v>93097.827500919506</v>
      </c>
      <c r="AJ258" s="772">
        <f t="shared" ca="1" si="120"/>
        <v>93097.827500919506</v>
      </c>
      <c r="AK258" s="772">
        <f t="shared" ca="1" si="120"/>
        <v>92798.697010323798</v>
      </c>
      <c r="AL258" s="772">
        <f t="shared" ca="1" si="120"/>
        <v>92798.697010323798</v>
      </c>
      <c r="AM258" s="772">
        <f t="shared" ca="1" si="120"/>
        <v>92484.013760350994</v>
      </c>
      <c r="AN258" s="772">
        <f t="shared" ca="1" si="120"/>
        <v>92484.013760350994</v>
      </c>
      <c r="AO258" s="772">
        <f t="shared" ca="1" si="120"/>
        <v>92152.213483099695</v>
      </c>
      <c r="AP258" s="772">
        <f t="shared" ca="1" si="120"/>
        <v>92152.213483099695</v>
      </c>
      <c r="AQ258" s="772">
        <f t="shared" ca="1" si="120"/>
        <v>92152.213483099695</v>
      </c>
      <c r="AR258" s="772">
        <f t="shared" ca="1" si="119"/>
        <v>93097.827500919506</v>
      </c>
      <c r="AS258" s="772">
        <f t="shared" ca="1" si="119"/>
        <v>93097.827500919506</v>
      </c>
      <c r="AT258" s="772">
        <f t="shared" ca="1" si="119"/>
        <v>92798.697010323798</v>
      </c>
      <c r="AU258" s="772">
        <f t="shared" ca="1" si="119"/>
        <v>92798.697010323798</v>
      </c>
      <c r="AV258" s="772">
        <f t="shared" ca="1" si="119"/>
        <v>92484.013760350994</v>
      </c>
      <c r="AW258" s="772">
        <f t="shared" ca="1" si="119"/>
        <v>92484.013760350994</v>
      </c>
      <c r="AX258" s="772">
        <f t="shared" ca="1" si="119"/>
        <v>92152.213483099695</v>
      </c>
      <c r="AY258" s="772">
        <f t="shared" ca="1" si="119"/>
        <v>92152.213483099695</v>
      </c>
      <c r="AZ258" s="772">
        <f t="shared" ca="1" si="116"/>
        <v>92152.213483099695</v>
      </c>
      <c r="BA258" s="772">
        <f t="shared" ca="1" si="116"/>
        <v>93097.827500919506</v>
      </c>
      <c r="BB258" s="772">
        <f t="shared" ca="1" si="116"/>
        <v>93097.827500919506</v>
      </c>
      <c r="BC258" s="772">
        <f t="shared" ca="1" si="116"/>
        <v>92798.697010323798</v>
      </c>
      <c r="BD258" s="772">
        <f t="shared" ca="1" si="116"/>
        <v>92484.013760350994</v>
      </c>
      <c r="BE258" s="772">
        <f t="shared" ca="1" si="116"/>
        <v>92484.013760350994</v>
      </c>
      <c r="BF258" s="772">
        <f t="shared" ca="1" si="116"/>
        <v>92152.213483099695</v>
      </c>
      <c r="BG258" s="772">
        <f t="shared" ca="1" si="116"/>
        <v>92152.213483099695</v>
      </c>
      <c r="BH258" s="772">
        <f t="shared" ca="1" si="117"/>
        <v>91801.574054740588</v>
      </c>
      <c r="BI258" s="772">
        <f t="shared" ca="1" si="117"/>
        <v>91801.574054740588</v>
      </c>
      <c r="BJ258" s="772">
        <f t="shared" ca="1" si="117"/>
        <v>92798.697010323798</v>
      </c>
      <c r="BK258" s="772">
        <f t="shared" ca="1" si="117"/>
        <v>92798.697010323798</v>
      </c>
      <c r="BL258" s="772">
        <f t="shared" ca="1" si="117"/>
        <v>92798.697010323798</v>
      </c>
      <c r="BM258" s="772">
        <f t="shared" ca="1" si="117"/>
        <v>92798.697010323798</v>
      </c>
      <c r="BN258" s="772">
        <f t="shared" ca="1" si="117"/>
        <v>92152.213483099695</v>
      </c>
      <c r="BO258" s="772">
        <f t="shared" ca="1" si="117"/>
        <v>92152.213483099695</v>
      </c>
      <c r="BP258" s="772">
        <f t="shared" ca="1" si="117"/>
        <v>91801.574054740588</v>
      </c>
      <c r="BQ258" s="772">
        <f t="shared" ca="1" si="117"/>
        <v>91801.574054740588</v>
      </c>
      <c r="BR258" s="772">
        <f t="shared" ca="1" si="117"/>
        <v>91430.200525064414</v>
      </c>
      <c r="BS258" s="772">
        <f t="shared" ca="1" si="117"/>
        <v>92798.697010323798</v>
      </c>
      <c r="BT258" s="772">
        <f t="shared" ca="1" si="117"/>
        <v>92798.697010323798</v>
      </c>
      <c r="BU258" s="772">
        <f t="shared" ca="1" si="117"/>
        <v>92798.697010323798</v>
      </c>
      <c r="BV258" s="772">
        <f t="shared" ca="1" si="117"/>
        <v>92484.013760350994</v>
      </c>
      <c r="BW258" s="772">
        <f t="shared" ca="1" si="117"/>
        <v>92484.013760350994</v>
      </c>
      <c r="BX258" s="772">
        <f t="shared" ca="1" si="105"/>
        <v>91801.574054740588</v>
      </c>
      <c r="BY258" s="772">
        <f t="shared" ca="1" si="105"/>
        <v>91801.574054740588</v>
      </c>
      <c r="BZ258" s="772">
        <f t="shared" ca="1" si="105"/>
        <v>91430.200525064414</v>
      </c>
      <c r="CA258" s="772">
        <f t="shared" ca="1" si="105"/>
        <v>91430.200525064414</v>
      </c>
      <c r="CB258" s="772">
        <f t="shared" ca="1" si="105"/>
        <v>92484.013760350994</v>
      </c>
      <c r="CC258" s="772">
        <f t="shared" ca="1" si="105"/>
        <v>92484.013760350994</v>
      </c>
      <c r="CD258" s="772">
        <f t="shared" ca="1" si="105"/>
        <v>92484.013760350994</v>
      </c>
      <c r="CE258" s="772">
        <f t="shared" ca="1" si="105"/>
        <v>92484.013760350994</v>
      </c>
      <c r="CF258" s="772">
        <f t="shared" ca="1" si="105"/>
        <v>92152.213483099695</v>
      </c>
      <c r="CG258" s="772">
        <f t="shared" ca="1" si="105"/>
        <v>91801.574054740588</v>
      </c>
      <c r="CH258" s="772">
        <f t="shared" ca="1" si="105"/>
        <v>91430.200525064414</v>
      </c>
      <c r="CI258" s="772">
        <f t="shared" ca="1" si="105"/>
        <v>91430.200525064414</v>
      </c>
      <c r="CJ258" s="772">
        <f t="shared" ca="1" si="105"/>
        <v>91036.010320153146</v>
      </c>
    </row>
    <row r="259" spans="1:88" ht="15" customHeight="1">
      <c r="A259" s="770">
        <f>'kc-Wert für Stützen'!C259</f>
        <v>311</v>
      </c>
      <c r="B259" s="768">
        <f ca="1">INDIRECT("'kc-Wert für Stützen'!"&amp;SUBSTITUTE(ADDRESS(MATCH($A259,'kc-Wert für Stützen'!$C:$C,0),MATCH(B$7,'kc-Wert für Stützen'!$A$8:$ES$8,0)+7,4),,))</f>
        <v>94284.253664196134</v>
      </c>
      <c r="C259" s="768">
        <f ca="1">INDIRECT("'kc-Wert für Stützen'!"&amp;SUBSTITUTE(ADDRESS(MATCH($A259,'kc-Wert für Stützen'!$C:$C,0),MATCH(C$7,'kc-Wert für Stützen'!$A$8:$ES$8,0)+7,4),,))</f>
        <v>94012.337238170498</v>
      </c>
      <c r="D259" s="768">
        <f ca="1">INDIRECT("'kc-Wert für Stützen'!"&amp;SUBSTITUTE(ADDRESS(MATCH($A259,'kc-Wert für Stützen'!$C:$C,0),MATCH(D$7,'kc-Wert für Stützen'!$A$8:$ES$8,0)+7,4),,))</f>
        <v>93727.695075709387</v>
      </c>
      <c r="E259" s="768">
        <f ca="1">INDIRECT("'kc-Wert für Stützen'!"&amp;SUBSTITUTE(ADDRESS(MATCH($A259,'kc-Wert für Stützen'!$C:$C,0),MATCH(E$7,'kc-Wert für Stützen'!$A$8:$ES$8,0)+7,4),,))</f>
        <v>93429.05125070097</v>
      </c>
      <c r="F259" s="768">
        <f ca="1">INDIRECT("'kc-Wert für Stützen'!"&amp;SUBSTITUTE(ADDRESS(MATCH($A259,'kc-Wert für Stützen'!$C:$C,0),MATCH(F$7,'kc-Wert für Stützen'!$A$8:$ES$8,0)+7,4),,))</f>
        <v>93115.00257961273</v>
      </c>
      <c r="G259" s="768">
        <f ca="1">INDIRECT("'kc-Wert für Stützen'!"&amp;SUBSTITUTE(ADDRESS(MATCH($A259,'kc-Wert für Stützen'!$C:$C,0),MATCH(G$7,'kc-Wert für Stützen'!$A$8:$ES$8,0)+7,4),,))</f>
        <v>92784.004951937692</v>
      </c>
      <c r="H259" s="768">
        <f ca="1">INDIRECT("'kc-Wert für Stützen'!"&amp;SUBSTITUTE(ADDRESS(MATCH($A259,'kc-Wert für Stützen'!$C:$C,0),MATCH(H$7,'kc-Wert für Stützen'!$A$8:$ES$8,0)+7,4),,))</f>
        <v>92434.358931822644</v>
      </c>
      <c r="I259" s="768">
        <f ca="1">INDIRECT("'kc-Wert für Stützen'!"&amp;SUBSTITUTE(ADDRESS(MATCH($A259,'kc-Wert für Stützen'!$C:$C,0),MATCH(I$7,'kc-Wert für Stützen'!$A$8:$ES$8,0)+7,4),,))</f>
        <v>92064.194948257704</v>
      </c>
      <c r="J259" s="768">
        <f ca="1">INDIRECT("'kc-Wert für Stützen'!"&amp;SUBSTITUTE(ADDRESS(MATCH($A259,'kc-Wert für Stützen'!$C:$C,0),MATCH(J$7,'kc-Wert für Stützen'!$A$8:$ES$8,0)+7,4),,))</f>
        <v>91671.458586761495</v>
      </c>
      <c r="K259" s="768">
        <f ca="1">INDIRECT("'kc-Wert für Stützen'!"&amp;SUBSTITUTE(ADDRESS(MATCH($A259,'kc-Wert für Stützen'!$C:$C,0),MATCH(K$7,'kc-Wert für Stützen'!$A$8:$ES$8,0)+7,4),,))</f>
        <v>91253.896763818397</v>
      </c>
      <c r="L259" s="768">
        <f ca="1">INDIRECT("'kc-Wert für Stützen'!"&amp;SUBSTITUTE(ADDRESS(MATCH($A259,'kc-Wert für Stützen'!$C:$C,0),MATCH(L$7,'kc-Wert für Stützen'!$A$8:$ES$8,0)+7,4),,))</f>
        <v>90809.04592393541</v>
      </c>
      <c r="M259" s="768">
        <f ca="1">INDIRECT("'kc-Wert für Stützen'!"&amp;SUBSTITUTE(ADDRESS(MATCH($A259,'kc-Wert für Stützen'!$C:$C,0),MATCH(M$7,'kc-Wert für Stützen'!$A$8:$ES$8,0)+7,4),,))</f>
        <v>90334.223864176194</v>
      </c>
      <c r="N259" s="768">
        <f ca="1">INDIRECT("'kc-Wert für Stützen'!"&amp;SUBSTITUTE(ADDRESS(MATCH($A259,'kc-Wert für Stützen'!$C:$C,0),MATCH(N$7,'kc-Wert für Stützen'!$A$8:$ES$8,0)+7,4),,))</f>
        <v>89826.527371743621</v>
      </c>
      <c r="O259" s="768">
        <f ca="1">INDIRECT("'kc-Wert für Stützen'!"&amp;SUBSTITUTE(ADDRESS(MATCH($A259,'kc-Wert für Stützen'!$C:$C,0),MATCH(O$7,'kc-Wert für Stützen'!$A$8:$ES$8,0)+7,4),,))</f>
        <v>89282.838550046057</v>
      </c>
      <c r="P259" s="768">
        <f ca="1">INDIRECT("'kc-Wert für Stützen'!"&amp;SUBSTITUTE(ADDRESS(MATCH($A259,'kc-Wert für Stützen'!$C:$C,0),MATCH(P$7,'kc-Wert für Stützen'!$A$8:$ES$8,0)+7,4),,))</f>
        <v>88699.843470774693</v>
      </c>
      <c r="S259" s="772">
        <f t="shared" ca="1" si="91"/>
        <v>93727.695075709387</v>
      </c>
      <c r="T259" s="772">
        <f t="shared" ca="1" si="112"/>
        <v>93727.695075709387</v>
      </c>
      <c r="U259" s="772">
        <f t="shared" ca="1" si="112"/>
        <v>93727.695075709387</v>
      </c>
      <c r="V259" s="772">
        <f t="shared" ca="1" si="112"/>
        <v>93429.05125070097</v>
      </c>
      <c r="W259" s="772">
        <f t="shared" ca="1" si="112"/>
        <v>93115.00257961273</v>
      </c>
      <c r="X259" s="772">
        <f t="shared" ca="1" si="112"/>
        <v>92784.004951937692</v>
      </c>
      <c r="Y259" s="772">
        <f t="shared" ca="1" si="112"/>
        <v>92434.358931822644</v>
      </c>
      <c r="Z259" s="772">
        <f t="shared" ca="1" si="112"/>
        <v>93727.695075709387</v>
      </c>
      <c r="AA259" s="772">
        <f t="shared" ca="1" si="112"/>
        <v>93727.695075709387</v>
      </c>
      <c r="AB259" s="772">
        <f t="shared" ca="1" si="115"/>
        <v>93429.05125070097</v>
      </c>
      <c r="AC259" s="772">
        <f t="shared" ca="1" si="115"/>
        <v>93429.05125070097</v>
      </c>
      <c r="AD259" s="772">
        <f t="shared" ca="1" si="115"/>
        <v>93115.00257961273</v>
      </c>
      <c r="AE259" s="772">
        <f t="shared" ca="1" si="115"/>
        <v>93115.00257961273</v>
      </c>
      <c r="AF259" s="772">
        <f t="shared" ca="1" si="115"/>
        <v>92784.004951937692</v>
      </c>
      <c r="AG259" s="772">
        <f t="shared" ca="1" si="115"/>
        <v>92784.004951937692</v>
      </c>
      <c r="AH259" s="772">
        <f t="shared" ca="1" si="115"/>
        <v>92784.004951937692</v>
      </c>
      <c r="AI259" s="772">
        <f t="shared" ca="1" si="115"/>
        <v>93727.695075709387</v>
      </c>
      <c r="AJ259" s="772">
        <f t="shared" ca="1" si="120"/>
        <v>93727.695075709387</v>
      </c>
      <c r="AK259" s="772">
        <f t="shared" ca="1" si="120"/>
        <v>93429.05125070097</v>
      </c>
      <c r="AL259" s="772">
        <f t="shared" ca="1" si="120"/>
        <v>93429.05125070097</v>
      </c>
      <c r="AM259" s="772">
        <f t="shared" ca="1" si="120"/>
        <v>93115.00257961273</v>
      </c>
      <c r="AN259" s="772">
        <f t="shared" ca="1" si="120"/>
        <v>93115.00257961273</v>
      </c>
      <c r="AO259" s="772">
        <f t="shared" ca="1" si="120"/>
        <v>92784.004951937692</v>
      </c>
      <c r="AP259" s="772">
        <f t="shared" ca="1" si="120"/>
        <v>92784.004951937692</v>
      </c>
      <c r="AQ259" s="772">
        <f t="shared" ca="1" si="120"/>
        <v>92784.004951937692</v>
      </c>
      <c r="AR259" s="772">
        <f t="shared" ca="1" si="119"/>
        <v>93727.695075709387</v>
      </c>
      <c r="AS259" s="772">
        <f t="shared" ca="1" si="119"/>
        <v>93727.695075709387</v>
      </c>
      <c r="AT259" s="772">
        <f t="shared" ca="1" si="119"/>
        <v>93429.05125070097</v>
      </c>
      <c r="AU259" s="772">
        <f t="shared" ca="1" si="119"/>
        <v>93429.05125070097</v>
      </c>
      <c r="AV259" s="772">
        <f t="shared" ca="1" si="119"/>
        <v>93115.00257961273</v>
      </c>
      <c r="AW259" s="772">
        <f t="shared" ca="1" si="119"/>
        <v>93115.00257961273</v>
      </c>
      <c r="AX259" s="772">
        <f t="shared" ca="1" si="119"/>
        <v>92784.004951937692</v>
      </c>
      <c r="AY259" s="772">
        <f t="shared" ca="1" si="119"/>
        <v>92784.004951937692</v>
      </c>
      <c r="AZ259" s="772">
        <f t="shared" ca="1" si="116"/>
        <v>92784.004951937692</v>
      </c>
      <c r="BA259" s="772">
        <f t="shared" ca="1" si="116"/>
        <v>93727.695075709387</v>
      </c>
      <c r="BB259" s="772">
        <f t="shared" ca="1" si="116"/>
        <v>93727.695075709387</v>
      </c>
      <c r="BC259" s="772">
        <f t="shared" ca="1" si="116"/>
        <v>93429.05125070097</v>
      </c>
      <c r="BD259" s="772">
        <f t="shared" ca="1" si="116"/>
        <v>93115.00257961273</v>
      </c>
      <c r="BE259" s="772">
        <f t="shared" ca="1" si="116"/>
        <v>93115.00257961273</v>
      </c>
      <c r="BF259" s="772">
        <f t="shared" ca="1" si="116"/>
        <v>92784.004951937692</v>
      </c>
      <c r="BG259" s="772">
        <f t="shared" ca="1" si="116"/>
        <v>92784.004951937692</v>
      </c>
      <c r="BH259" s="772">
        <f t="shared" ca="1" si="117"/>
        <v>92434.358931822644</v>
      </c>
      <c r="BI259" s="772">
        <f t="shared" ca="1" si="117"/>
        <v>92434.358931822644</v>
      </c>
      <c r="BJ259" s="772">
        <f t="shared" ca="1" si="117"/>
        <v>93429.05125070097</v>
      </c>
      <c r="BK259" s="772">
        <f t="shared" ca="1" si="117"/>
        <v>93429.05125070097</v>
      </c>
      <c r="BL259" s="772">
        <f t="shared" ca="1" si="117"/>
        <v>93429.05125070097</v>
      </c>
      <c r="BM259" s="772">
        <f t="shared" ca="1" si="117"/>
        <v>93429.05125070097</v>
      </c>
      <c r="BN259" s="772">
        <f t="shared" ca="1" si="117"/>
        <v>92784.004951937692</v>
      </c>
      <c r="BO259" s="772">
        <f t="shared" ca="1" si="117"/>
        <v>92784.004951937692</v>
      </c>
      <c r="BP259" s="772">
        <f t="shared" ca="1" si="117"/>
        <v>92434.358931822644</v>
      </c>
      <c r="BQ259" s="772">
        <f t="shared" ca="1" si="117"/>
        <v>92434.358931822644</v>
      </c>
      <c r="BR259" s="772">
        <f t="shared" ca="1" si="117"/>
        <v>92064.194948257704</v>
      </c>
      <c r="BS259" s="772">
        <f t="shared" ca="1" si="117"/>
        <v>93429.05125070097</v>
      </c>
      <c r="BT259" s="772">
        <f t="shared" ca="1" si="117"/>
        <v>93429.05125070097</v>
      </c>
      <c r="BU259" s="772">
        <f t="shared" ca="1" si="117"/>
        <v>93429.05125070097</v>
      </c>
      <c r="BV259" s="772">
        <f t="shared" ca="1" si="117"/>
        <v>93115.00257961273</v>
      </c>
      <c r="BW259" s="772">
        <f t="shared" ca="1" si="117"/>
        <v>93115.00257961273</v>
      </c>
      <c r="BX259" s="772">
        <f t="shared" ca="1" si="105"/>
        <v>92434.358931822644</v>
      </c>
      <c r="BY259" s="772">
        <f t="shared" ca="1" si="105"/>
        <v>92434.358931822644</v>
      </c>
      <c r="BZ259" s="772">
        <f t="shared" ca="1" si="105"/>
        <v>92064.194948257704</v>
      </c>
      <c r="CA259" s="772">
        <f t="shared" ca="1" si="105"/>
        <v>92064.194948257704</v>
      </c>
      <c r="CB259" s="772">
        <f t="shared" ca="1" si="105"/>
        <v>93115.00257961273</v>
      </c>
      <c r="CC259" s="772">
        <f t="shared" ca="1" si="105"/>
        <v>93115.00257961273</v>
      </c>
      <c r="CD259" s="772">
        <f t="shared" ca="1" si="105"/>
        <v>93115.00257961273</v>
      </c>
      <c r="CE259" s="772">
        <f t="shared" ca="1" si="105"/>
        <v>93115.00257961273</v>
      </c>
      <c r="CF259" s="772">
        <f t="shared" ca="1" si="105"/>
        <v>92784.004951937692</v>
      </c>
      <c r="CG259" s="772">
        <f t="shared" ca="1" si="105"/>
        <v>92434.358931822644</v>
      </c>
      <c r="CH259" s="772">
        <f t="shared" ca="1" si="105"/>
        <v>92064.194948257704</v>
      </c>
      <c r="CI259" s="772">
        <f t="shared" ca="1" si="105"/>
        <v>92064.194948257704</v>
      </c>
      <c r="CJ259" s="772">
        <f t="shared" ca="1" si="105"/>
        <v>91671.458586761495</v>
      </c>
    </row>
    <row r="260" spans="1:88" ht="15" customHeight="1">
      <c r="A260" s="770">
        <f>'kc-Wert für Stützen'!C260</f>
        <v>312</v>
      </c>
      <c r="B260" s="768">
        <f ca="1">INDIRECT("'kc-Wert für Stützen'!"&amp;SUBSTITUTE(ADDRESS(MATCH($A260,'kc-Wert für Stützen'!$C:$C,0),MATCH(B$7,'kc-Wert für Stützen'!$A$8:$ES$8,0)+7,4),,))</f>
        <v>94915.532385101178</v>
      </c>
      <c r="C260" s="768">
        <f ca="1">INDIRECT("'kc-Wert für Stützen'!"&amp;SUBSTITUTE(ADDRESS(MATCH($A260,'kc-Wert für Stützen'!$C:$C,0),MATCH(C$7,'kc-Wert für Stützen'!$A$8:$ES$8,0)+7,4),,))</f>
        <v>94643.848406657286</v>
      </c>
      <c r="D260" s="768">
        <f ca="1">INDIRECT("'kc-Wert für Stützen'!"&amp;SUBSTITUTE(ADDRESS(MATCH($A260,'kc-Wert für Stützen'!$C:$C,0),MATCH(D$7,'kc-Wert für Stützen'!$A$8:$ES$8,0)+7,4),,))</f>
        <v>94359.551344024527</v>
      </c>
      <c r="E260" s="768">
        <f ca="1">INDIRECT("'kc-Wert für Stützen'!"&amp;SUBSTITUTE(ADDRESS(MATCH($A260,'kc-Wert für Stützen'!$C:$C,0),MATCH(E$7,'kc-Wert für Stützen'!$A$8:$ES$8,0)+7,4),,))</f>
        <v>94061.380691180821</v>
      </c>
      <c r="F260" s="768">
        <f ca="1">INDIRECT("'kc-Wert für Stützen'!"&amp;SUBSTITUTE(ADDRESS(MATCH($A260,'kc-Wert für Stützen'!$C:$C,0),MATCH(F$7,'kc-Wert für Stützen'!$A$8:$ES$8,0)+7,4),,))</f>
        <v>93747.950760481486</v>
      </c>
      <c r="G260" s="768">
        <f ca="1">INDIRECT("'kc-Wert für Stützen'!"&amp;SUBSTITUTE(ADDRESS(MATCH($A260,'kc-Wert für Stützen'!$C:$C,0),MATCH(G$7,'kc-Wert für Stützen'!$A$8:$ES$8,0)+7,4),,))</f>
        <v>93417.737225773701</v>
      </c>
      <c r="H260" s="768">
        <f ca="1">INDIRECT("'kc-Wert für Stützen'!"&amp;SUBSTITUTE(ADDRESS(MATCH($A260,'kc-Wert für Stützen'!$C:$C,0),MATCH(H$7,'kc-Wert für Stützen'!$A$8:$ES$8,0)+7,4),,))</f>
        <v>93069.062922934172</v>
      </c>
      <c r="I260" s="768">
        <f ca="1">INDIRECT("'kc-Wert für Stützen'!"&amp;SUBSTITUTE(ADDRESS(MATCH($A260,'kc-Wert für Stützen'!$C:$C,0),MATCH(I$7,'kc-Wert für Stützen'!$A$8:$ES$8,0)+7,4),,))</f>
        <v>92700.083203966904</v>
      </c>
      <c r="J260" s="768">
        <f ca="1">INDIRECT("'kc-Wert für Stützen'!"&amp;SUBSTITUTE(ADDRESS(MATCH($A260,'kc-Wert für Stützen'!$C:$C,0),MATCH(J$7,'kc-Wert für Stützen'!$A$8:$ES$8,0)+7,4),,))</f>
        <v>92308.771326199087</v>
      </c>
      <c r="K260" s="768">
        <f ca="1">INDIRECT("'kc-Wert für Stützen'!"&amp;SUBSTITUTE(ADDRESS(MATCH($A260,'kc-Wert für Stützen'!$C:$C,0),MATCH(K$7,'kc-Wert für Stützen'!$A$8:$ES$8,0)+7,4),,))</f>
        <v>91892.904612926548</v>
      </c>
      <c r="L260" s="768">
        <f ca="1">INDIRECT("'kc-Wert für Stützen'!"&amp;SUBSTITUTE(ADDRESS(MATCH($A260,'kc-Wert für Stützen'!$C:$C,0),MATCH(L$7,'kc-Wert für Stützen'!$A$8:$ES$8,0)+7,4),,))</f>
        <v>91450.052463117929</v>
      </c>
      <c r="M260" s="768">
        <f ca="1">INDIRECT("'kc-Wert für Stützen'!"&amp;SUBSTITUTE(ADDRESS(MATCH($A260,'kc-Wert für Stützen'!$C:$C,0),MATCH(M$7,'kc-Wert für Stützen'!$A$8:$ES$8,0)+7,4),,))</f>
        <v>90977.567731534233</v>
      </c>
      <c r="N260" s="768">
        <f ca="1">INDIRECT("'kc-Wert für Stützen'!"&amp;SUBSTITUTE(ADDRESS(MATCH($A260,'kc-Wert für Stützen'!$C:$C,0),MATCH(N$7,'kc-Wert für Stützen'!$A$8:$ES$8,0)+7,4),,))</f>
        <v>90472.58355709388</v>
      </c>
      <c r="O260" s="768">
        <f ca="1">INDIRECT("'kc-Wert für Stützen'!"&amp;SUBSTITUTE(ADDRESS(MATCH($A260,'kc-Wert für Stützen'!$C:$C,0),MATCH(O$7,'kc-Wert für Stützen'!$A$8:$ES$8,0)+7,4),,))</f>
        <v>89932.018382533643</v>
      </c>
      <c r="P260" s="768">
        <f ca="1">INDIRECT("'kc-Wert für Stützen'!"&amp;SUBSTITUTE(ADDRESS(MATCH($A260,'kc-Wert für Stützen'!$C:$C,0),MATCH(P$7,'kc-Wert für Stützen'!$A$8:$ES$8,0)+7,4),,))</f>
        <v>89352.592650884166</v>
      </c>
      <c r="S260" s="772">
        <f t="shared" ca="1" si="91"/>
        <v>94359.551344024527</v>
      </c>
      <c r="T260" s="772">
        <f t="shared" ca="1" si="112"/>
        <v>94359.551344024527</v>
      </c>
      <c r="U260" s="772">
        <f t="shared" ca="1" si="112"/>
        <v>94359.551344024527</v>
      </c>
      <c r="V260" s="772">
        <f t="shared" ca="1" si="112"/>
        <v>94061.380691180821</v>
      </c>
      <c r="W260" s="772">
        <f t="shared" ca="1" si="112"/>
        <v>93747.950760481486</v>
      </c>
      <c r="X260" s="772">
        <f t="shared" ca="1" si="112"/>
        <v>93417.737225773701</v>
      </c>
      <c r="Y260" s="772">
        <f t="shared" ca="1" si="112"/>
        <v>93069.062922934172</v>
      </c>
      <c r="Z260" s="772">
        <f t="shared" ca="1" si="112"/>
        <v>94359.551344024527</v>
      </c>
      <c r="AA260" s="772">
        <f t="shared" ca="1" si="112"/>
        <v>94359.551344024527</v>
      </c>
      <c r="AB260" s="772">
        <f t="shared" ca="1" si="115"/>
        <v>94061.380691180821</v>
      </c>
      <c r="AC260" s="772">
        <f t="shared" ca="1" si="115"/>
        <v>94061.380691180821</v>
      </c>
      <c r="AD260" s="772">
        <f t="shared" ca="1" si="115"/>
        <v>93747.950760481486</v>
      </c>
      <c r="AE260" s="772">
        <f t="shared" ca="1" si="115"/>
        <v>93747.950760481486</v>
      </c>
      <c r="AF260" s="772">
        <f t="shared" ca="1" si="115"/>
        <v>93417.737225773701</v>
      </c>
      <c r="AG260" s="772">
        <f t="shared" ca="1" si="115"/>
        <v>93417.737225773701</v>
      </c>
      <c r="AH260" s="772">
        <f t="shared" ca="1" si="115"/>
        <v>93417.737225773701</v>
      </c>
      <c r="AI260" s="772">
        <f t="shared" ca="1" si="115"/>
        <v>94359.551344024527</v>
      </c>
      <c r="AJ260" s="772">
        <f t="shared" ca="1" si="120"/>
        <v>94359.551344024527</v>
      </c>
      <c r="AK260" s="772">
        <f t="shared" ca="1" si="120"/>
        <v>94061.380691180821</v>
      </c>
      <c r="AL260" s="772">
        <f t="shared" ca="1" si="120"/>
        <v>94061.380691180821</v>
      </c>
      <c r="AM260" s="772">
        <f t="shared" ca="1" si="120"/>
        <v>93747.950760481486</v>
      </c>
      <c r="AN260" s="772">
        <f t="shared" ca="1" si="120"/>
        <v>93747.950760481486</v>
      </c>
      <c r="AO260" s="772">
        <f t="shared" ca="1" si="120"/>
        <v>93417.737225773701</v>
      </c>
      <c r="AP260" s="772">
        <f t="shared" ca="1" si="120"/>
        <v>93417.737225773701</v>
      </c>
      <c r="AQ260" s="772">
        <f t="shared" ca="1" si="120"/>
        <v>93417.737225773701</v>
      </c>
      <c r="AR260" s="772">
        <f t="shared" ca="1" si="119"/>
        <v>94359.551344024527</v>
      </c>
      <c r="AS260" s="772">
        <f t="shared" ca="1" si="119"/>
        <v>94359.551344024527</v>
      </c>
      <c r="AT260" s="772">
        <f t="shared" ca="1" si="119"/>
        <v>94061.380691180821</v>
      </c>
      <c r="AU260" s="772">
        <f t="shared" ca="1" si="119"/>
        <v>94061.380691180821</v>
      </c>
      <c r="AV260" s="772">
        <f t="shared" ca="1" si="119"/>
        <v>93747.950760481486</v>
      </c>
      <c r="AW260" s="772">
        <f t="shared" ca="1" si="119"/>
        <v>93747.950760481486</v>
      </c>
      <c r="AX260" s="772">
        <f t="shared" ca="1" si="119"/>
        <v>93417.737225773701</v>
      </c>
      <c r="AY260" s="772">
        <f t="shared" ca="1" si="119"/>
        <v>93417.737225773701</v>
      </c>
      <c r="AZ260" s="772">
        <f t="shared" ca="1" si="116"/>
        <v>93417.737225773701</v>
      </c>
      <c r="BA260" s="772">
        <f t="shared" ca="1" si="116"/>
        <v>94359.551344024527</v>
      </c>
      <c r="BB260" s="772">
        <f t="shared" ca="1" si="116"/>
        <v>94359.551344024527</v>
      </c>
      <c r="BC260" s="772">
        <f t="shared" ca="1" si="116"/>
        <v>94061.380691180821</v>
      </c>
      <c r="BD260" s="772">
        <f t="shared" ca="1" si="116"/>
        <v>93747.950760481486</v>
      </c>
      <c r="BE260" s="772">
        <f t="shared" ca="1" si="116"/>
        <v>93747.950760481486</v>
      </c>
      <c r="BF260" s="772">
        <f t="shared" ca="1" si="116"/>
        <v>93417.737225773701</v>
      </c>
      <c r="BG260" s="772">
        <f t="shared" ca="1" si="116"/>
        <v>93417.737225773701</v>
      </c>
      <c r="BH260" s="772">
        <f t="shared" ca="1" si="117"/>
        <v>93069.062922934172</v>
      </c>
      <c r="BI260" s="772">
        <f t="shared" ca="1" si="117"/>
        <v>93069.062922934172</v>
      </c>
      <c r="BJ260" s="772">
        <f t="shared" ca="1" si="117"/>
        <v>94061.380691180821</v>
      </c>
      <c r="BK260" s="772">
        <f t="shared" ca="1" si="117"/>
        <v>94061.380691180821</v>
      </c>
      <c r="BL260" s="772">
        <f t="shared" ca="1" si="117"/>
        <v>94061.380691180821</v>
      </c>
      <c r="BM260" s="772">
        <f t="shared" ca="1" si="117"/>
        <v>94061.380691180821</v>
      </c>
      <c r="BN260" s="772">
        <f t="shared" ca="1" si="117"/>
        <v>93417.737225773701</v>
      </c>
      <c r="BO260" s="772">
        <f t="shared" ca="1" si="117"/>
        <v>93417.737225773701</v>
      </c>
      <c r="BP260" s="772">
        <f t="shared" ca="1" si="117"/>
        <v>93069.062922934172</v>
      </c>
      <c r="BQ260" s="772">
        <f t="shared" ca="1" si="117"/>
        <v>93069.062922934172</v>
      </c>
      <c r="BR260" s="772">
        <f t="shared" ca="1" si="117"/>
        <v>92700.083203966904</v>
      </c>
      <c r="BS260" s="772">
        <f t="shared" ca="1" si="117"/>
        <v>94061.380691180821</v>
      </c>
      <c r="BT260" s="772">
        <f t="shared" ca="1" si="117"/>
        <v>94061.380691180821</v>
      </c>
      <c r="BU260" s="772">
        <f t="shared" ca="1" si="117"/>
        <v>94061.380691180821</v>
      </c>
      <c r="BV260" s="772">
        <f t="shared" ca="1" si="117"/>
        <v>93747.950760481486</v>
      </c>
      <c r="BW260" s="772">
        <f t="shared" ca="1" si="117"/>
        <v>93747.950760481486</v>
      </c>
      <c r="BX260" s="772">
        <f t="shared" ca="1" si="105"/>
        <v>93069.062922934172</v>
      </c>
      <c r="BY260" s="772">
        <f t="shared" ca="1" si="105"/>
        <v>93069.062922934172</v>
      </c>
      <c r="BZ260" s="772">
        <f t="shared" ca="1" si="105"/>
        <v>92700.083203966904</v>
      </c>
      <c r="CA260" s="772">
        <f t="shared" ca="1" si="105"/>
        <v>92700.083203966904</v>
      </c>
      <c r="CB260" s="772">
        <f t="shared" ca="1" si="105"/>
        <v>93747.950760481486</v>
      </c>
      <c r="CC260" s="772">
        <f t="shared" ca="1" si="105"/>
        <v>93747.950760481486</v>
      </c>
      <c r="CD260" s="772">
        <f t="shared" ca="1" si="105"/>
        <v>93747.950760481486</v>
      </c>
      <c r="CE260" s="772">
        <f t="shared" ca="1" si="105"/>
        <v>93747.950760481486</v>
      </c>
      <c r="CF260" s="772">
        <f t="shared" ca="1" si="105"/>
        <v>93417.737225773701</v>
      </c>
      <c r="CG260" s="772">
        <f t="shared" ca="1" si="105"/>
        <v>93069.062922934172</v>
      </c>
      <c r="CH260" s="772">
        <f t="shared" ca="1" si="105"/>
        <v>92700.083203966904</v>
      </c>
      <c r="CI260" s="772">
        <f t="shared" ca="1" si="105"/>
        <v>92700.083203966904</v>
      </c>
      <c r="CJ260" s="772">
        <f t="shared" ca="1" si="105"/>
        <v>92308.771326199087</v>
      </c>
    </row>
    <row r="261" spans="1:88" ht="15" customHeight="1">
      <c r="A261" s="770">
        <f>'kc-Wert für Stützen'!C261</f>
        <v>313</v>
      </c>
      <c r="B261" s="768">
        <f ca="1">INDIRECT("'kc-Wert für Stützen'!"&amp;SUBSTITUTE(ADDRESS(MATCH($A261,'kc-Wert für Stützen'!$C:$C,0),MATCH(B$7,'kc-Wert für Stützen'!$A$8:$ES$8,0)+7,4),,))</f>
        <v>95548.821829363922</v>
      </c>
      <c r="C261" s="768">
        <f ca="1">INDIRECT("'kc-Wert für Stützen'!"&amp;SUBSTITUTE(ADDRESS(MATCH($A261,'kc-Wert für Stützen'!$C:$C,0),MATCH(C$7,'kc-Wert für Stützen'!$A$8:$ES$8,0)+7,4),,))</f>
        <v>95277.360722024983</v>
      </c>
      <c r="D261" s="768">
        <f ca="1">INDIRECT("'kc-Wert für Stützen'!"&amp;SUBSTITUTE(ADDRESS(MATCH($A261,'kc-Wert für Stützen'!$C:$C,0),MATCH(D$7,'kc-Wert für Stützen'!$A$8:$ES$8,0)+7,4),,))</f>
        <v>94993.397492236996</v>
      </c>
      <c r="E261" s="768">
        <f ca="1">INDIRECT("'kc-Wert für Stützen'!"&amp;SUBSTITUTE(ADDRESS(MATCH($A261,'kc-Wert für Stützen'!$C:$C,0),MATCH(E$7,'kc-Wert für Stützen'!$A$8:$ES$8,0)+7,4),,))</f>
        <v>94695.686771658453</v>
      </c>
      <c r="F261" s="768">
        <f ca="1">INDIRECT("'kc-Wert für Stützen'!"&amp;SUBSTITUTE(ADDRESS(MATCH($A261,'kc-Wert für Stützen'!$C:$C,0),MATCH(F$7,'kc-Wert für Stützen'!$A$8:$ES$8,0)+7,4),,))</f>
        <v>94382.860045872963</v>
      </c>
      <c r="G261" s="768">
        <f ca="1">INDIRECT("'kc-Wert für Stützen'!"&amp;SUBSTITUTE(ADDRESS(MATCH($A261,'kc-Wert für Stützen'!$C:$C,0),MATCH(G$7,'kc-Wert für Stützen'!$A$8:$ES$8,0)+7,4),,))</f>
        <v>94053.412407974844</v>
      </c>
      <c r="H261" s="768">
        <f ca="1">INDIRECT("'kc-Wert für Stützen'!"&amp;SUBSTITUTE(ADDRESS(MATCH($A261,'kc-Wert für Stützen'!$C:$C,0),MATCH(H$7,'kc-Wert für Stützen'!$A$8:$ES$8,0)+7,4),,))</f>
        <v>93705.688557689267</v>
      </c>
      <c r="I261" s="768">
        <f ca="1">INDIRECT("'kc-Wert für Stützen'!"&amp;SUBSTITUTE(ADDRESS(MATCH($A261,'kc-Wert für Stützen'!$C:$C,0),MATCH(I$7,'kc-Wert für Stützen'!$A$8:$ES$8,0)+7,4),,))</f>
        <v>93337.868322168972</v>
      </c>
      <c r="J261" s="768">
        <f ca="1">INDIRECT("'kc-Wert für Stützen'!"&amp;SUBSTITUTE(ADDRESS(MATCH($A261,'kc-Wert für Stützen'!$C:$C,0),MATCH(J$7,'kc-Wert für Stützen'!$A$8:$ES$8,0)+7,4),,))</f>
        <v>92947.952150399113</v>
      </c>
      <c r="K261" s="768">
        <f ca="1">INDIRECT("'kc-Wert für Stützen'!"&amp;SUBSTITUTE(ADDRESS(MATCH($A261,'kc-Wert für Stützen'!$C:$C,0),MATCH(K$7,'kc-Wert für Stützen'!$A$8:$ES$8,0)+7,4),,))</f>
        <v>92533.747275109432</v>
      </c>
      <c r="L261" s="768">
        <f ca="1">INDIRECT("'kc-Wert für Stützen'!"&amp;SUBSTITUTE(ADDRESS(MATCH($A261,'kc-Wert für Stützen'!$C:$C,0),MATCH(L$7,'kc-Wert für Stützen'!$A$8:$ES$8,0)+7,4),,))</f>
        <v>92092.855560810465</v>
      </c>
      <c r="M261" s="768">
        <f ca="1">INDIRECT("'kc-Wert für Stützen'!"&amp;SUBSTITUTE(ADDRESS(MATCH($A261,'kc-Wert für Stützen'!$C:$C,0),MATCH(M$7,'kc-Wert für Stützen'!$A$8:$ES$8,0)+7,4),,))</f>
        <v>91622.66447995069</v>
      </c>
      <c r="N261" s="768">
        <f ca="1">INDIRECT("'kc-Wert für Stützen'!"&amp;SUBSTITUTE(ADDRESS(MATCH($A261,'kc-Wert für Stützen'!$C:$C,0),MATCH(N$7,'kc-Wert für Stützen'!$A$8:$ES$8,0)+7,4),,))</f>
        <v>91120.343192201937</v>
      </c>
      <c r="O261" s="768">
        <f ca="1">INDIRECT("'kc-Wert für Stützen'!"&amp;SUBSTITUTE(ADDRESS(MATCH($A261,'kc-Wert für Stützen'!$C:$C,0),MATCH(O$7,'kc-Wert für Stützen'!$A$8:$ES$8,0)+7,4),,))</f>
        <v>90582.846342832912</v>
      </c>
      <c r="P261" s="768">
        <f ca="1">INDIRECT("'kc-Wert für Stützen'!"&amp;SUBSTITUTE(ADDRESS(MATCH($A261,'kc-Wert für Stützen'!$C:$C,0),MATCH(P$7,'kc-Wert für Stützen'!$A$8:$ES$8,0)+7,4),,))</f>
        <v>90006.928918389283</v>
      </c>
      <c r="S261" s="772">
        <f t="shared" ca="1" si="91"/>
        <v>94993.397492236996</v>
      </c>
      <c r="T261" s="772">
        <f t="shared" ca="1" si="112"/>
        <v>94993.397492236996</v>
      </c>
      <c r="U261" s="772">
        <f t="shared" ca="1" si="112"/>
        <v>94993.397492236996</v>
      </c>
      <c r="V261" s="772">
        <f t="shared" ca="1" si="112"/>
        <v>94695.686771658453</v>
      </c>
      <c r="W261" s="772">
        <f t="shared" ca="1" si="112"/>
        <v>94382.860045872963</v>
      </c>
      <c r="X261" s="772">
        <f t="shared" ca="1" si="112"/>
        <v>94053.412407974844</v>
      </c>
      <c r="Y261" s="772">
        <f t="shared" ca="1" si="112"/>
        <v>93705.688557689267</v>
      </c>
      <c r="Z261" s="772">
        <f t="shared" ca="1" si="112"/>
        <v>94993.397492236996</v>
      </c>
      <c r="AA261" s="772">
        <f t="shared" ca="1" si="112"/>
        <v>94993.397492236996</v>
      </c>
      <c r="AB261" s="772">
        <f t="shared" ca="1" si="115"/>
        <v>94695.686771658453</v>
      </c>
      <c r="AC261" s="772">
        <f t="shared" ca="1" si="115"/>
        <v>94695.686771658453</v>
      </c>
      <c r="AD261" s="772">
        <f t="shared" ca="1" si="115"/>
        <v>94382.860045872963</v>
      </c>
      <c r="AE261" s="772">
        <f t="shared" ca="1" si="115"/>
        <v>94382.860045872963</v>
      </c>
      <c r="AF261" s="772">
        <f t="shared" ca="1" si="115"/>
        <v>94053.412407974844</v>
      </c>
      <c r="AG261" s="772">
        <f t="shared" ca="1" si="115"/>
        <v>94053.412407974844</v>
      </c>
      <c r="AH261" s="772">
        <f t="shared" ca="1" si="115"/>
        <v>94053.412407974844</v>
      </c>
      <c r="AI261" s="772">
        <f t="shared" ca="1" si="115"/>
        <v>94993.397492236996</v>
      </c>
      <c r="AJ261" s="772">
        <f t="shared" ca="1" si="120"/>
        <v>94993.397492236996</v>
      </c>
      <c r="AK261" s="772">
        <f t="shared" ca="1" si="120"/>
        <v>94695.686771658453</v>
      </c>
      <c r="AL261" s="772">
        <f t="shared" ca="1" si="120"/>
        <v>94695.686771658453</v>
      </c>
      <c r="AM261" s="772">
        <f t="shared" ca="1" si="120"/>
        <v>94382.860045872963</v>
      </c>
      <c r="AN261" s="772">
        <f t="shared" ca="1" si="120"/>
        <v>94382.860045872963</v>
      </c>
      <c r="AO261" s="772">
        <f t="shared" ca="1" si="120"/>
        <v>94053.412407974844</v>
      </c>
      <c r="AP261" s="772">
        <f t="shared" ca="1" si="120"/>
        <v>94053.412407974844</v>
      </c>
      <c r="AQ261" s="772">
        <f t="shared" ca="1" si="120"/>
        <v>94053.412407974844</v>
      </c>
      <c r="AR261" s="772">
        <f t="shared" ca="1" si="119"/>
        <v>94993.397492236996</v>
      </c>
      <c r="AS261" s="772">
        <f t="shared" ca="1" si="119"/>
        <v>94993.397492236996</v>
      </c>
      <c r="AT261" s="772">
        <f t="shared" ca="1" si="119"/>
        <v>94695.686771658453</v>
      </c>
      <c r="AU261" s="772">
        <f t="shared" ca="1" si="119"/>
        <v>94695.686771658453</v>
      </c>
      <c r="AV261" s="772">
        <f t="shared" ca="1" si="119"/>
        <v>94382.860045872963</v>
      </c>
      <c r="AW261" s="772">
        <f t="shared" ca="1" si="119"/>
        <v>94382.860045872963</v>
      </c>
      <c r="AX261" s="772">
        <f t="shared" ca="1" si="119"/>
        <v>94053.412407974844</v>
      </c>
      <c r="AY261" s="772">
        <f t="shared" ca="1" si="119"/>
        <v>94053.412407974844</v>
      </c>
      <c r="AZ261" s="772">
        <f t="shared" ca="1" si="116"/>
        <v>94053.412407974844</v>
      </c>
      <c r="BA261" s="772">
        <f t="shared" ca="1" si="116"/>
        <v>94993.397492236996</v>
      </c>
      <c r="BB261" s="772">
        <f t="shared" ca="1" si="116"/>
        <v>94993.397492236996</v>
      </c>
      <c r="BC261" s="772">
        <f t="shared" ca="1" si="116"/>
        <v>94695.686771658453</v>
      </c>
      <c r="BD261" s="772">
        <f t="shared" ca="1" si="116"/>
        <v>94382.860045872963</v>
      </c>
      <c r="BE261" s="772">
        <f t="shared" ca="1" si="116"/>
        <v>94382.860045872963</v>
      </c>
      <c r="BF261" s="772">
        <f t="shared" ca="1" si="116"/>
        <v>94053.412407974844</v>
      </c>
      <c r="BG261" s="772">
        <f t="shared" ca="1" si="116"/>
        <v>94053.412407974844</v>
      </c>
      <c r="BH261" s="772">
        <f t="shared" ca="1" si="117"/>
        <v>93705.688557689267</v>
      </c>
      <c r="BI261" s="772">
        <f t="shared" ca="1" si="117"/>
        <v>93705.688557689267</v>
      </c>
      <c r="BJ261" s="772">
        <f t="shared" ca="1" si="117"/>
        <v>94695.686771658453</v>
      </c>
      <c r="BK261" s="772">
        <f t="shared" ca="1" si="117"/>
        <v>94695.686771658453</v>
      </c>
      <c r="BL261" s="772">
        <f t="shared" ca="1" si="117"/>
        <v>94695.686771658453</v>
      </c>
      <c r="BM261" s="772">
        <f t="shared" ca="1" si="117"/>
        <v>94695.686771658453</v>
      </c>
      <c r="BN261" s="772">
        <f t="shared" ca="1" si="117"/>
        <v>94053.412407974844</v>
      </c>
      <c r="BO261" s="772">
        <f t="shared" ca="1" si="117"/>
        <v>94053.412407974844</v>
      </c>
      <c r="BP261" s="772">
        <f t="shared" ca="1" si="117"/>
        <v>93705.688557689267</v>
      </c>
      <c r="BQ261" s="772">
        <f t="shared" ca="1" si="117"/>
        <v>93705.688557689267</v>
      </c>
      <c r="BR261" s="772">
        <f t="shared" ca="1" si="117"/>
        <v>93337.868322168972</v>
      </c>
      <c r="BS261" s="772">
        <f t="shared" ca="1" si="117"/>
        <v>94695.686771658453</v>
      </c>
      <c r="BT261" s="772">
        <f t="shared" ca="1" si="117"/>
        <v>94695.686771658453</v>
      </c>
      <c r="BU261" s="772">
        <f t="shared" ca="1" si="117"/>
        <v>94695.686771658453</v>
      </c>
      <c r="BV261" s="772">
        <f t="shared" ca="1" si="117"/>
        <v>94382.860045872963</v>
      </c>
      <c r="BW261" s="772">
        <f t="shared" ca="1" si="117"/>
        <v>94382.860045872963</v>
      </c>
      <c r="BX261" s="772">
        <f t="shared" ca="1" si="105"/>
        <v>93705.688557689267</v>
      </c>
      <c r="BY261" s="772">
        <f t="shared" ca="1" si="105"/>
        <v>93705.688557689267</v>
      </c>
      <c r="BZ261" s="772">
        <f t="shared" ca="1" si="105"/>
        <v>93337.868322168972</v>
      </c>
      <c r="CA261" s="772">
        <f t="shared" ca="1" si="105"/>
        <v>93337.868322168972</v>
      </c>
      <c r="CB261" s="772">
        <f t="shared" ca="1" si="105"/>
        <v>94382.860045872963</v>
      </c>
      <c r="CC261" s="772">
        <f t="shared" ca="1" si="105"/>
        <v>94382.860045872963</v>
      </c>
      <c r="CD261" s="772">
        <f t="shared" ca="1" si="105"/>
        <v>94382.860045872963</v>
      </c>
      <c r="CE261" s="772">
        <f t="shared" ca="1" si="105"/>
        <v>94382.860045872963</v>
      </c>
      <c r="CF261" s="772">
        <f t="shared" ca="1" si="105"/>
        <v>94053.412407974844</v>
      </c>
      <c r="CG261" s="772">
        <f t="shared" ca="1" si="105"/>
        <v>93705.688557689267</v>
      </c>
      <c r="CH261" s="772">
        <f t="shared" ca="1" si="105"/>
        <v>93337.868322168972</v>
      </c>
      <c r="CI261" s="772">
        <f t="shared" ca="1" si="105"/>
        <v>93337.868322168972</v>
      </c>
      <c r="CJ261" s="772">
        <f t="shared" ca="1" si="105"/>
        <v>92947.952150399113</v>
      </c>
    </row>
    <row r="262" spans="1:88" ht="15" customHeight="1">
      <c r="A262" s="770">
        <f>'kc-Wert für Stützen'!C262</f>
        <v>314</v>
      </c>
      <c r="B262" s="768">
        <f ca="1">INDIRECT("'kc-Wert für Stützen'!"&amp;SUBSTITUTE(ADDRESS(MATCH($A262,'kc-Wert für Stützen'!$C:$C,0),MATCH(B$7,'kc-Wert für Stützen'!$A$8:$ES$8,0)+7,4),,))</f>
        <v>96184.122779893427</v>
      </c>
      <c r="C262" s="768">
        <f ca="1">INDIRECT("'kc-Wert für Stützen'!"&amp;SUBSTITUTE(ADDRESS(MATCH($A262,'kc-Wert für Stützen'!$C:$C,0),MATCH(C$7,'kc-Wert für Stützen'!$A$8:$ES$8,0)+7,4),,))</f>
        <v>95912.875138603995</v>
      </c>
      <c r="D262" s="768">
        <f ca="1">INDIRECT("'kc-Wert für Stützen'!"&amp;SUBSTITUTE(ADDRESS(MATCH($A262,'kc-Wert für Stützen'!$C:$C,0),MATCH(D$7,'kc-Wert für Stützen'!$A$8:$ES$8,0)+7,4),,))</f>
        <v>95629.234680985202</v>
      </c>
      <c r="E262" s="768">
        <f ca="1">INDIRECT("'kc-Wert für Stützen'!"&amp;SUBSTITUTE(ADDRESS(MATCH($A262,'kc-Wert für Stützen'!$C:$C,0),MATCH(E$7,'kc-Wert für Stützen'!$A$8:$ES$8,0)+7,4),,))</f>
        <v>95331.970900271568</v>
      </c>
      <c r="F262" s="768">
        <f ca="1">INDIRECT("'kc-Wert für Stützen'!"&amp;SUBSTITUTE(ADDRESS(MATCH($A262,'kc-Wert für Stützen'!$C:$C,0),MATCH(F$7,'kc-Wert für Stützen'!$A$8:$ES$8,0)+7,4),,))</f>
        <v>95019.732139701679</v>
      </c>
      <c r="G262" s="768">
        <f ca="1">INDIRECT("'kc-Wert für Stützen'!"&amp;SUBSTITUTE(ADDRESS(MATCH($A262,'kc-Wert für Stützen'!$C:$C,0),MATCH(G$7,'kc-Wert für Stützen'!$A$8:$ES$8,0)+7,4),,))</f>
        <v>94691.032554284437</v>
      </c>
      <c r="H262" s="768">
        <f ca="1">INDIRECT("'kc-Wert für Stützen'!"&amp;SUBSTITUTE(ADDRESS(MATCH($A262,'kc-Wert für Stützen'!$C:$C,0),MATCH(H$7,'kc-Wert für Stützen'!$A$8:$ES$8,0)+7,4),,))</f>
        <v>94344.238307941865</v>
      </c>
      <c r="I262" s="768">
        <f ca="1">INDIRECT("'kc-Wert für Stützen'!"&amp;SUBSTITUTE(ADDRESS(MATCH($A262,'kc-Wert für Stützen'!$C:$C,0),MATCH(I$7,'kc-Wert für Stützen'!$A$8:$ES$8,0)+7,4),,))</f>
        <v>93977.553263362235</v>
      </c>
      <c r="J262" s="768">
        <f ca="1">INDIRECT("'kc-Wert für Stützen'!"&amp;SUBSTITUTE(ADDRESS(MATCH($A262,'kc-Wert für Stützen'!$C:$C,0),MATCH(J$7,'kc-Wert für Stützen'!$A$8:$ES$8,0)+7,4),,))</f>
        <v>93589.004588564538</v>
      </c>
      <c r="K262" s="768">
        <f ca="1">INDIRECT("'kc-Wert für Stützen'!"&amp;SUBSTITUTE(ADDRESS(MATCH($A262,'kc-Wert für Stützen'!$C:$C,0),MATCH(K$7,'kc-Wert für Stützen'!$A$8:$ES$8,0)+7,4),,))</f>
        <v>93176.428933952979</v>
      </c>
      <c r="L262" s="768">
        <f ca="1">INDIRECT("'kc-Wert für Stützen'!"&amp;SUBSTITUTE(ADDRESS(MATCH($A262,'kc-Wert für Stützen'!$C:$C,0),MATCH(L$7,'kc-Wert für Stützen'!$A$8:$ES$8,0)+7,4),,))</f>
        <v>92737.460142582902</v>
      </c>
      <c r="M262" s="768">
        <f ca="1">INDIRECT("'kc-Wert für Stützen'!"&amp;SUBSTITUTE(ADDRESS(MATCH($A262,'kc-Wert für Stützen'!$C:$C,0),MATCH(M$7,'kc-Wert für Stützen'!$A$8:$ES$8,0)+7,4),,))</f>
        <v>92269.519860226021</v>
      </c>
      <c r="N262" s="768">
        <f ca="1">INDIRECT("'kc-Wert für Stützen'!"&amp;SUBSTITUTE(ADDRESS(MATCH($A262,'kc-Wert für Stützen'!$C:$C,0),MATCH(N$7,'kc-Wert für Stützen'!$A$8:$ES$8,0)+7,4),,))</f>
        <v>91769.812922158831</v>
      </c>
      <c r="O262" s="768">
        <f ca="1">INDIRECT("'kc-Wert für Stützen'!"&amp;SUBSTITUTE(ADDRESS(MATCH($A262,'kc-Wert für Stützen'!$C:$C,0),MATCH(O$7,'kc-Wert für Stützen'!$A$8:$ES$8,0)+7,4),,))</f>
        <v>91235.330010710823</v>
      </c>
      <c r="P262" s="768">
        <f ca="1">INDIRECT("'kc-Wert für Stützen'!"&amp;SUBSTITUTE(ADDRESS(MATCH($A262,'kc-Wert für Stützen'!$C:$C,0),MATCH(P$7,'kc-Wert für Stützen'!$A$8:$ES$8,0)+7,4),,))</f>
        <v>90662.860779243245</v>
      </c>
      <c r="S262" s="772">
        <f t="shared" ca="1" si="91"/>
        <v>95629.234680985202</v>
      </c>
      <c r="T262" s="772">
        <f t="shared" ca="1" si="112"/>
        <v>95629.234680985202</v>
      </c>
      <c r="U262" s="772">
        <f t="shared" ca="1" si="112"/>
        <v>95629.234680985202</v>
      </c>
      <c r="V262" s="772">
        <f t="shared" ca="1" si="112"/>
        <v>95331.970900271568</v>
      </c>
      <c r="W262" s="772">
        <f t="shared" ca="1" si="112"/>
        <v>95019.732139701679</v>
      </c>
      <c r="X262" s="772">
        <f t="shared" ca="1" si="112"/>
        <v>94691.032554284437</v>
      </c>
      <c r="Y262" s="772">
        <f t="shared" ca="1" si="112"/>
        <v>94344.238307941865</v>
      </c>
      <c r="Z262" s="772">
        <f t="shared" ca="1" si="112"/>
        <v>95629.234680985202</v>
      </c>
      <c r="AA262" s="772">
        <f t="shared" ca="1" si="112"/>
        <v>95629.234680985202</v>
      </c>
      <c r="AB262" s="772">
        <f t="shared" ca="1" si="115"/>
        <v>95331.970900271568</v>
      </c>
      <c r="AC262" s="772">
        <f t="shared" ca="1" si="115"/>
        <v>95331.970900271568</v>
      </c>
      <c r="AD262" s="772">
        <f t="shared" ca="1" si="115"/>
        <v>95019.732139701679</v>
      </c>
      <c r="AE262" s="772">
        <f t="shared" ca="1" si="115"/>
        <v>95019.732139701679</v>
      </c>
      <c r="AF262" s="772">
        <f t="shared" ca="1" si="115"/>
        <v>94691.032554284437</v>
      </c>
      <c r="AG262" s="772">
        <f t="shared" ca="1" si="115"/>
        <v>94691.032554284437</v>
      </c>
      <c r="AH262" s="772">
        <f t="shared" ca="1" si="115"/>
        <v>94691.032554284437</v>
      </c>
      <c r="AI262" s="772">
        <f t="shared" ca="1" si="115"/>
        <v>95629.234680985202</v>
      </c>
      <c r="AJ262" s="772">
        <f t="shared" ca="1" si="120"/>
        <v>95629.234680985202</v>
      </c>
      <c r="AK262" s="772">
        <f t="shared" ca="1" si="120"/>
        <v>95331.970900271568</v>
      </c>
      <c r="AL262" s="772">
        <f t="shared" ca="1" si="120"/>
        <v>95331.970900271568</v>
      </c>
      <c r="AM262" s="772">
        <f t="shared" ca="1" si="120"/>
        <v>95019.732139701679</v>
      </c>
      <c r="AN262" s="772">
        <f t="shared" ca="1" si="120"/>
        <v>95019.732139701679</v>
      </c>
      <c r="AO262" s="772">
        <f t="shared" ca="1" si="120"/>
        <v>94691.032554284437</v>
      </c>
      <c r="AP262" s="772">
        <f t="shared" ca="1" si="120"/>
        <v>94691.032554284437</v>
      </c>
      <c r="AQ262" s="772">
        <f t="shared" ca="1" si="120"/>
        <v>94691.032554284437</v>
      </c>
      <c r="AR262" s="772">
        <f t="shared" ca="1" si="119"/>
        <v>95629.234680985202</v>
      </c>
      <c r="AS262" s="772">
        <f t="shared" ca="1" si="119"/>
        <v>95629.234680985202</v>
      </c>
      <c r="AT262" s="772">
        <f t="shared" ca="1" si="119"/>
        <v>95331.970900271568</v>
      </c>
      <c r="AU262" s="772">
        <f t="shared" ca="1" si="119"/>
        <v>95331.970900271568</v>
      </c>
      <c r="AV262" s="772">
        <f t="shared" ca="1" si="119"/>
        <v>95019.732139701679</v>
      </c>
      <c r="AW262" s="772">
        <f t="shared" ca="1" si="119"/>
        <v>95019.732139701679</v>
      </c>
      <c r="AX262" s="772">
        <f t="shared" ca="1" si="119"/>
        <v>94691.032554284437</v>
      </c>
      <c r="AY262" s="772">
        <f t="shared" ca="1" si="119"/>
        <v>94691.032554284437</v>
      </c>
      <c r="AZ262" s="772">
        <f t="shared" ca="1" si="116"/>
        <v>94691.032554284437</v>
      </c>
      <c r="BA262" s="772">
        <f t="shared" ca="1" si="116"/>
        <v>95629.234680985202</v>
      </c>
      <c r="BB262" s="772">
        <f t="shared" ca="1" si="116"/>
        <v>95629.234680985202</v>
      </c>
      <c r="BC262" s="772">
        <f t="shared" ca="1" si="116"/>
        <v>95331.970900271568</v>
      </c>
      <c r="BD262" s="772">
        <f t="shared" ca="1" si="116"/>
        <v>95019.732139701679</v>
      </c>
      <c r="BE262" s="772">
        <f t="shared" ca="1" si="116"/>
        <v>95019.732139701679</v>
      </c>
      <c r="BF262" s="772">
        <f t="shared" ca="1" si="116"/>
        <v>94691.032554284437</v>
      </c>
      <c r="BG262" s="772">
        <f t="shared" ca="1" si="116"/>
        <v>94691.032554284437</v>
      </c>
      <c r="BH262" s="772">
        <f t="shared" ca="1" si="117"/>
        <v>94344.238307941865</v>
      </c>
      <c r="BI262" s="772">
        <f t="shared" ca="1" si="117"/>
        <v>94344.238307941865</v>
      </c>
      <c r="BJ262" s="772">
        <f t="shared" ca="1" si="117"/>
        <v>95331.970900271568</v>
      </c>
      <c r="BK262" s="772">
        <f t="shared" ca="1" si="117"/>
        <v>95331.970900271568</v>
      </c>
      <c r="BL262" s="772">
        <f t="shared" ca="1" si="117"/>
        <v>95331.970900271568</v>
      </c>
      <c r="BM262" s="772">
        <f t="shared" ca="1" si="117"/>
        <v>95331.970900271568</v>
      </c>
      <c r="BN262" s="772">
        <f t="shared" ca="1" si="117"/>
        <v>94691.032554284437</v>
      </c>
      <c r="BO262" s="772">
        <f t="shared" ca="1" si="117"/>
        <v>94691.032554284437</v>
      </c>
      <c r="BP262" s="772">
        <f t="shared" ca="1" si="117"/>
        <v>94344.238307941865</v>
      </c>
      <c r="BQ262" s="772">
        <f t="shared" ca="1" si="117"/>
        <v>94344.238307941865</v>
      </c>
      <c r="BR262" s="772">
        <f t="shared" ca="1" si="117"/>
        <v>93977.553263362235</v>
      </c>
      <c r="BS262" s="772">
        <f t="shared" ca="1" si="117"/>
        <v>95331.970900271568</v>
      </c>
      <c r="BT262" s="772">
        <f t="shared" ca="1" si="117"/>
        <v>95331.970900271568</v>
      </c>
      <c r="BU262" s="772">
        <f t="shared" ca="1" si="117"/>
        <v>95331.970900271568</v>
      </c>
      <c r="BV262" s="772">
        <f t="shared" ca="1" si="117"/>
        <v>95019.732139701679</v>
      </c>
      <c r="BW262" s="772">
        <f t="shared" ca="1" si="117"/>
        <v>95019.732139701679</v>
      </c>
      <c r="BX262" s="772">
        <f t="shared" ca="1" si="105"/>
        <v>94344.238307941865</v>
      </c>
      <c r="BY262" s="772">
        <f t="shared" ca="1" si="105"/>
        <v>94344.238307941865</v>
      </c>
      <c r="BZ262" s="772">
        <f t="shared" ca="1" si="105"/>
        <v>93977.553263362235</v>
      </c>
      <c r="CA262" s="772">
        <f t="shared" ca="1" si="105"/>
        <v>93977.553263362235</v>
      </c>
      <c r="CB262" s="772">
        <f t="shared" ca="1" si="105"/>
        <v>95019.732139701679</v>
      </c>
      <c r="CC262" s="772">
        <f t="shared" ca="1" si="105"/>
        <v>95019.732139701679</v>
      </c>
      <c r="CD262" s="772">
        <f t="shared" ref="CD262:CJ271" ca="1" si="121">HLOOKUP(CD$7,$A$7:$P$348,ROW()-6)</f>
        <v>95019.732139701679</v>
      </c>
      <c r="CE262" s="772">
        <f t="shared" ca="1" si="121"/>
        <v>95019.732139701679</v>
      </c>
      <c r="CF262" s="772">
        <f t="shared" ca="1" si="121"/>
        <v>94691.032554284437</v>
      </c>
      <c r="CG262" s="772">
        <f t="shared" ca="1" si="121"/>
        <v>94344.238307941865</v>
      </c>
      <c r="CH262" s="772">
        <f t="shared" ca="1" si="121"/>
        <v>93977.553263362235</v>
      </c>
      <c r="CI262" s="772">
        <f t="shared" ca="1" si="121"/>
        <v>93977.553263362235</v>
      </c>
      <c r="CJ262" s="772">
        <f t="shared" ca="1" si="121"/>
        <v>93589.004588564538</v>
      </c>
    </row>
    <row r="263" spans="1:88" ht="15" customHeight="1">
      <c r="A263" s="770">
        <f>'kc-Wert für Stützen'!C263</f>
        <v>315</v>
      </c>
      <c r="B263" s="768">
        <f ca="1">INDIRECT("'kc-Wert für Stützen'!"&amp;SUBSTITUTE(ADDRESS(MATCH($A263,'kc-Wert für Stützen'!$C:$C,0),MATCH(B$7,'kc-Wert für Stützen'!$A$8:$ES$8,0)+7,4),,))</f>
        <v>96821.436003339259</v>
      </c>
      <c r="C263" s="768">
        <f ca="1">INDIRECT("'kc-Wert für Stützen'!"&amp;SUBSTITUTE(ADDRESS(MATCH($A263,'kc-Wert für Stützen'!$C:$C,0),MATCH(C$7,'kc-Wert für Stützen'!$A$8:$ES$8,0)+7,4),,))</f>
        <v>96550.392590503689</v>
      </c>
      <c r="D263" s="768">
        <f ca="1">INDIRECT("'kc-Wert für Stützen'!"&amp;SUBSTITUTE(ADDRESS(MATCH($A263,'kc-Wert für Stützen'!$C:$C,0),MATCH(D$7,'kc-Wert für Stützen'!$A$8:$ES$8,0)+7,4),,))</f>
        <v>96267.064045854102</v>
      </c>
      <c r="E263" s="768">
        <f ca="1">INDIRECT("'kc-Wert für Stützen'!"&amp;SUBSTITUTE(ADDRESS(MATCH($A263,'kc-Wert für Stützen'!$C:$C,0),MATCH(E$7,'kc-Wert für Stützen'!$A$8:$ES$8,0)+7,4),,))</f>
        <v>95970.234454246864</v>
      </c>
      <c r="F263" s="768">
        <f ca="1">INDIRECT("'kc-Wert für Stützen'!"&amp;SUBSTITUTE(ADDRESS(MATCH($A263,'kc-Wert für Stützen'!$C:$C,0),MATCH(F$7,'kc-Wert für Stützen'!$A$8:$ES$8,0)+7,4),,))</f>
        <v>95658.568707926432</v>
      </c>
      <c r="G263" s="768">
        <f ca="1">INDIRECT("'kc-Wert für Stützen'!"&amp;SUBSTITUTE(ADDRESS(MATCH($A263,'kc-Wert für Stützen'!$C:$C,0),MATCH(G$7,'kc-Wert für Stützen'!$A$8:$ES$8,0)+7,4),,))</f>
        <v>95330.599674097699</v>
      </c>
      <c r="H263" s="768">
        <f ca="1">INDIRECT("'kc-Wert für Stützen'!"&amp;SUBSTITUTE(ADDRESS(MATCH($A263,'kc-Wert für Stützen'!$C:$C,0),MATCH(H$7,'kc-Wert für Stützen'!$A$8:$ES$8,0)+7,4),,))</f>
        <v>94984.714589324401</v>
      </c>
      <c r="I263" s="768">
        <f ca="1">INDIRECT("'kc-Wert für Stützen'!"&amp;SUBSTITUTE(ADDRESS(MATCH($A263,'kc-Wert für Stützen'!$C:$C,0),MATCH(I$7,'kc-Wert für Stützen'!$A$8:$ES$8,0)+7,4),,))</f>
        <v>94619.140920389938</v>
      </c>
      <c r="J263" s="768">
        <f ca="1">INDIRECT("'kc-Wert für Stützen'!"&amp;SUBSTITUTE(ADDRESS(MATCH($A263,'kc-Wert für Stützen'!$C:$C,0),MATCH(J$7,'kc-Wert für Stützen'!$A$8:$ES$8,0)+7,4),,))</f>
        <v>94231.932089282112</v>
      </c>
      <c r="K263" s="768">
        <f ca="1">INDIRECT("'kc-Wert für Stützen'!"&amp;SUBSTITUTE(ADDRESS(MATCH($A263,'kc-Wert für Stützen'!$C:$C,0),MATCH(K$7,'kc-Wert für Stützen'!$A$8:$ES$8,0)+7,4),,))</f>
        <v>93820.953678158025</v>
      </c>
      <c r="L263" s="768">
        <f ca="1">INDIRECT("'kc-Wert für Stützen'!"&amp;SUBSTITUTE(ADDRESS(MATCH($A263,'kc-Wert für Stützen'!$C:$C,0),MATCH(L$7,'kc-Wert für Stützen'!$A$8:$ES$8,0)+7,4),,))</f>
        <v>93383.871024059423</v>
      </c>
      <c r="M263" s="768">
        <f ca="1">INDIRECT("'kc-Wert für Stützen'!"&amp;SUBSTITUTE(ADDRESS(MATCH($A263,'kc-Wert für Stützen'!$C:$C,0),MATCH(M$7,'kc-Wert für Stützen'!$A$8:$ES$8,0)+7,4),,))</f>
        <v>92918.139498326884</v>
      </c>
      <c r="N263" s="768">
        <f ca="1">INDIRECT("'kc-Wert für Stützen'!"&amp;SUBSTITUTE(ADDRESS(MATCH($A263,'kc-Wert für Stützen'!$C:$C,0),MATCH(N$7,'kc-Wert für Stützen'!$A$8:$ES$8,0)+7,4),,))</f>
        <v>92420.999254107286</v>
      </c>
      <c r="O263" s="768">
        <f ca="1">INDIRECT("'kc-Wert für Stützen'!"&amp;SUBSTITUTE(ADDRESS(MATCH($A263,'kc-Wert für Stützen'!$C:$C,0),MATCH(O$7,'kc-Wert für Stützen'!$A$8:$ES$8,0)+7,4),,))</f>
        <v>91889.476819106436</v>
      </c>
      <c r="P263" s="768">
        <f ca="1">INDIRECT("'kc-Wert für Stützen'!"&amp;SUBSTITUTE(ADDRESS(MATCH($A263,'kc-Wert für Stützen'!$C:$C,0),MATCH(P$7,'kc-Wert für Stützen'!$A$8:$ES$8,0)+7,4),,))</f>
        <v>91320.396591476296</v>
      </c>
      <c r="S263" s="772">
        <f t="shared" ca="1" si="91"/>
        <v>96267.064045854102</v>
      </c>
      <c r="T263" s="772">
        <f t="shared" ca="1" si="112"/>
        <v>96267.064045854102</v>
      </c>
      <c r="U263" s="772">
        <f t="shared" ca="1" si="112"/>
        <v>96267.064045854102</v>
      </c>
      <c r="V263" s="772">
        <f t="shared" ca="1" si="112"/>
        <v>95970.234454246864</v>
      </c>
      <c r="W263" s="772">
        <f t="shared" ca="1" si="112"/>
        <v>95658.568707926432</v>
      </c>
      <c r="X263" s="772">
        <f t="shared" ca="1" si="112"/>
        <v>95330.599674097699</v>
      </c>
      <c r="Y263" s="772">
        <f t="shared" ca="1" si="112"/>
        <v>94984.714589324401</v>
      </c>
      <c r="Z263" s="772">
        <f t="shared" ca="1" si="112"/>
        <v>96267.064045854102</v>
      </c>
      <c r="AA263" s="772">
        <f t="shared" ca="1" si="112"/>
        <v>96267.064045854102</v>
      </c>
      <c r="AB263" s="772">
        <f t="shared" ca="1" si="115"/>
        <v>95970.234454246864</v>
      </c>
      <c r="AC263" s="772">
        <f t="shared" ca="1" si="115"/>
        <v>95970.234454246864</v>
      </c>
      <c r="AD263" s="772">
        <f t="shared" ca="1" si="115"/>
        <v>95658.568707926432</v>
      </c>
      <c r="AE263" s="772">
        <f t="shared" ca="1" si="115"/>
        <v>95658.568707926432</v>
      </c>
      <c r="AF263" s="772">
        <f t="shared" ca="1" si="115"/>
        <v>95330.599674097699</v>
      </c>
      <c r="AG263" s="772">
        <f t="shared" ca="1" si="115"/>
        <v>95330.599674097699</v>
      </c>
      <c r="AH263" s="772">
        <f t="shared" ca="1" si="115"/>
        <v>95330.599674097699</v>
      </c>
      <c r="AI263" s="772">
        <f t="shared" ca="1" si="115"/>
        <v>96267.064045854102</v>
      </c>
      <c r="AJ263" s="772">
        <f t="shared" ca="1" si="120"/>
        <v>96267.064045854102</v>
      </c>
      <c r="AK263" s="772">
        <f t="shared" ca="1" si="120"/>
        <v>95970.234454246864</v>
      </c>
      <c r="AL263" s="772">
        <f t="shared" ca="1" si="120"/>
        <v>95970.234454246864</v>
      </c>
      <c r="AM263" s="772">
        <f t="shared" ca="1" si="120"/>
        <v>95658.568707926432</v>
      </c>
      <c r="AN263" s="772">
        <f t="shared" ca="1" si="120"/>
        <v>95658.568707926432</v>
      </c>
      <c r="AO263" s="772">
        <f t="shared" ca="1" si="120"/>
        <v>95330.599674097699</v>
      </c>
      <c r="AP263" s="772">
        <f t="shared" ca="1" si="120"/>
        <v>95330.599674097699</v>
      </c>
      <c r="AQ263" s="772">
        <f t="shared" ca="1" si="120"/>
        <v>95330.599674097699</v>
      </c>
      <c r="AR263" s="772">
        <f t="shared" ref="AR263:AY272" ca="1" si="122">HLOOKUP(AR$7,$A$7:$P$348,ROW()-6)</f>
        <v>96267.064045854102</v>
      </c>
      <c r="AS263" s="772">
        <f t="shared" ca="1" si="122"/>
        <v>96267.064045854102</v>
      </c>
      <c r="AT263" s="772">
        <f t="shared" ca="1" si="122"/>
        <v>95970.234454246864</v>
      </c>
      <c r="AU263" s="772">
        <f t="shared" ca="1" si="122"/>
        <v>95970.234454246864</v>
      </c>
      <c r="AV263" s="772">
        <f t="shared" ca="1" si="122"/>
        <v>95658.568707926432</v>
      </c>
      <c r="AW263" s="772">
        <f t="shared" ca="1" si="122"/>
        <v>95658.568707926432</v>
      </c>
      <c r="AX263" s="772">
        <f t="shared" ca="1" si="122"/>
        <v>95330.599674097699</v>
      </c>
      <c r="AY263" s="772">
        <f t="shared" ca="1" si="122"/>
        <v>95330.599674097699</v>
      </c>
      <c r="AZ263" s="772">
        <f t="shared" ca="1" si="116"/>
        <v>95330.599674097699</v>
      </c>
      <c r="BA263" s="772">
        <f t="shared" ca="1" si="116"/>
        <v>96267.064045854102</v>
      </c>
      <c r="BB263" s="772">
        <f t="shared" ca="1" si="116"/>
        <v>96267.064045854102</v>
      </c>
      <c r="BC263" s="772">
        <f t="shared" ca="1" si="116"/>
        <v>95970.234454246864</v>
      </c>
      <c r="BD263" s="772">
        <f t="shared" ca="1" si="116"/>
        <v>95658.568707926432</v>
      </c>
      <c r="BE263" s="772">
        <f t="shared" ca="1" si="116"/>
        <v>95658.568707926432</v>
      </c>
      <c r="BF263" s="772">
        <f t="shared" ca="1" si="116"/>
        <v>95330.599674097699</v>
      </c>
      <c r="BG263" s="772">
        <f t="shared" ca="1" si="116"/>
        <v>95330.599674097699</v>
      </c>
      <c r="BH263" s="772">
        <f t="shared" ca="1" si="117"/>
        <v>94984.714589324401</v>
      </c>
      <c r="BI263" s="772">
        <f t="shared" ca="1" si="117"/>
        <v>94984.714589324401</v>
      </c>
      <c r="BJ263" s="772">
        <f t="shared" ca="1" si="117"/>
        <v>95970.234454246864</v>
      </c>
      <c r="BK263" s="772">
        <f t="shared" ca="1" si="117"/>
        <v>95970.234454246864</v>
      </c>
      <c r="BL263" s="772">
        <f t="shared" ca="1" si="117"/>
        <v>95970.234454246864</v>
      </c>
      <c r="BM263" s="772">
        <f t="shared" ca="1" si="117"/>
        <v>95970.234454246864</v>
      </c>
      <c r="BN263" s="772">
        <f t="shared" ca="1" si="117"/>
        <v>95330.599674097699</v>
      </c>
      <c r="BO263" s="772">
        <f t="shared" ca="1" si="117"/>
        <v>95330.599674097699</v>
      </c>
      <c r="BP263" s="772">
        <f t="shared" ca="1" si="117"/>
        <v>94984.714589324401</v>
      </c>
      <c r="BQ263" s="772">
        <f t="shared" ca="1" si="117"/>
        <v>94984.714589324401</v>
      </c>
      <c r="BR263" s="772">
        <f t="shared" ca="1" si="117"/>
        <v>94619.140920389938</v>
      </c>
      <c r="BS263" s="772">
        <f t="shared" ca="1" si="117"/>
        <v>95970.234454246864</v>
      </c>
      <c r="BT263" s="772">
        <f t="shared" ca="1" si="117"/>
        <v>95970.234454246864</v>
      </c>
      <c r="BU263" s="772">
        <f t="shared" ca="1" si="117"/>
        <v>95970.234454246864</v>
      </c>
      <c r="BV263" s="772">
        <f t="shared" ca="1" si="117"/>
        <v>95658.568707926432</v>
      </c>
      <c r="BW263" s="772">
        <f t="shared" ca="1" si="117"/>
        <v>95658.568707926432</v>
      </c>
      <c r="BX263" s="772">
        <f t="shared" ref="BX263:CC272" ca="1" si="123">HLOOKUP(BX$7,$A$7:$P$348,ROW()-6)</f>
        <v>94984.714589324401</v>
      </c>
      <c r="BY263" s="772">
        <f t="shared" ca="1" si="123"/>
        <v>94984.714589324401</v>
      </c>
      <c r="BZ263" s="772">
        <f t="shared" ca="1" si="123"/>
        <v>94619.140920389938</v>
      </c>
      <c r="CA263" s="772">
        <f t="shared" ca="1" si="123"/>
        <v>94619.140920389938</v>
      </c>
      <c r="CB263" s="772">
        <f t="shared" ca="1" si="123"/>
        <v>95658.568707926432</v>
      </c>
      <c r="CC263" s="772">
        <f t="shared" ca="1" si="123"/>
        <v>95658.568707926432</v>
      </c>
      <c r="CD263" s="772">
        <f t="shared" ca="1" si="121"/>
        <v>95658.568707926432</v>
      </c>
      <c r="CE263" s="772">
        <f t="shared" ca="1" si="121"/>
        <v>95658.568707926432</v>
      </c>
      <c r="CF263" s="772">
        <f t="shared" ca="1" si="121"/>
        <v>95330.599674097699</v>
      </c>
      <c r="CG263" s="772">
        <f t="shared" ca="1" si="121"/>
        <v>94984.714589324401</v>
      </c>
      <c r="CH263" s="772">
        <f t="shared" ca="1" si="121"/>
        <v>94619.140920389938</v>
      </c>
      <c r="CI263" s="772">
        <f t="shared" ca="1" si="121"/>
        <v>94619.140920389938</v>
      </c>
      <c r="CJ263" s="772">
        <f t="shared" ca="1" si="121"/>
        <v>94231.932089282112</v>
      </c>
    </row>
    <row r="264" spans="1:88" ht="15" customHeight="1">
      <c r="A264" s="770">
        <f>'kc-Wert für Stützen'!C264</f>
        <v>316</v>
      </c>
      <c r="B264" s="768">
        <f ca="1">INDIRECT("'kc-Wert für Stützen'!"&amp;SUBSTITUTE(ADDRESS(MATCH($A264,'kc-Wert für Stützen'!$C:$C,0),MATCH(B$7,'kc-Wert für Stützen'!$A$8:$ES$8,0)+7,4),,))</f>
        <v>97460.762250508589</v>
      </c>
      <c r="C264" s="768">
        <f ca="1">INDIRECT("'kc-Wert für Stützen'!"&amp;SUBSTITUTE(ADDRESS(MATCH($A264,'kc-Wert für Stützen'!$C:$C,0),MATCH(C$7,'kc-Wert für Stützen'!$A$8:$ES$8,0)+7,4),,))</f>
        <v>97189.91399213855</v>
      </c>
      <c r="D264" s="768">
        <f ca="1">INDIRECT("'kc-Wert für Stützen'!"&amp;SUBSTITUTE(ADDRESS(MATCH($A264,'kc-Wert für Stützen'!$C:$C,0),MATCH(D$7,'kc-Wert für Stützen'!$A$8:$ES$8,0)+7,4),,))</f>
        <v>96906.886698034883</v>
      </c>
      <c r="E264" s="768">
        <f ca="1">INDIRECT("'kc-Wert für Stützen'!"&amp;SUBSTITUTE(ADDRESS(MATCH($A264,'kc-Wert für Stützen'!$C:$C,0),MATCH(E$7,'kc-Wert für Stützen'!$A$8:$ES$8,0)+7,4),,))</f>
        <v>96610.478780721285</v>
      </c>
      <c r="F264" s="768">
        <f ca="1">INDIRECT("'kc-Wert für Stützen'!"&amp;SUBSTITUTE(ADDRESS(MATCH($A264,'kc-Wert für Stützen'!$C:$C,0),MATCH(F$7,'kc-Wert für Stützen'!$A$8:$ES$8,0)+7,4),,))</f>
        <v>96299.37137956341</v>
      </c>
      <c r="G264" s="768">
        <f ca="1">INDIRECT("'kc-Wert für Stützen'!"&amp;SUBSTITUTE(ADDRESS(MATCH($A264,'kc-Wert für Stützen'!$C:$C,0),MATCH(G$7,'kc-Wert für Stützen'!$A$8:$ES$8,0)+7,4),,))</f>
        <v>95972.11573170044</v>
      </c>
      <c r="H264" s="768">
        <f ca="1">INDIRECT("'kc-Wert für Stützen'!"&amp;SUBSTITUTE(ADDRESS(MATCH($A264,'kc-Wert für Stützen'!$C:$C,0),MATCH(H$7,'kc-Wert für Stützen'!$A$8:$ES$8,0)+7,4),,))</f>
        <v>95627.119762741408</v>
      </c>
      <c r="I264" s="768">
        <f ca="1">INDIRECT("'kc-Wert für Stützen'!"&amp;SUBSTITUTE(ADDRESS(MATCH($A264,'kc-Wert für Stützen'!$C:$C,0),MATCH(I$7,'kc-Wert für Stützen'!$A$8:$ES$8,0)+7,4),,))</f>
        <v>95262.634120213581</v>
      </c>
      <c r="J264" s="768">
        <f ca="1">INDIRECT("'kc-Wert für Stützen'!"&amp;SUBSTITUTE(ADDRESS(MATCH($A264,'kc-Wert für Stützen'!$C:$C,0),MATCH(J$7,'kc-Wert für Stützen'!$A$8:$ES$8,0)+7,4),,))</f>
        <v>94876.738022583871</v>
      </c>
      <c r="K264" s="768">
        <f ca="1">INDIRECT("'kc-Wert für Stützen'!"&amp;SUBSTITUTE(ADDRESS(MATCH($A264,'kc-Wert für Stützen'!$C:$C,0),MATCH(K$7,'kc-Wert für Stützen'!$A$8:$ES$8,0)+7,4),,))</f>
        <v>94467.325503868575</v>
      </c>
      <c r="L264" s="768">
        <f ca="1">INDIRECT("'kc-Wert für Stützen'!"&amp;SUBSTITUTE(ADDRESS(MATCH($A264,'kc-Wert für Stützen'!$C:$C,0),MATCH(L$7,'kc-Wert für Stützen'!$A$8:$ES$8,0)+7,4),,))</f>
        <v>94032.092913443834</v>
      </c>
      <c r="M264" s="768">
        <f ca="1">INDIRECT("'kc-Wert für Stützen'!"&amp;SUBSTITUTE(ADDRESS(MATCH($A264,'kc-Wert für Stützen'!$C:$C,0),MATCH(M$7,'kc-Wert für Stützen'!$A$8:$ES$8,0)+7,4),,))</f>
        <v>93568.528897961136</v>
      </c>
      <c r="N264" s="768">
        <f ca="1">INDIRECT("'kc-Wert für Stützen'!"&amp;SUBSTITUTE(ADDRESS(MATCH($A264,'kc-Wert für Stützen'!$C:$C,0),MATCH(N$7,'kc-Wert für Stützen'!$A$8:$ES$8,0)+7,4),,))</f>
        <v>93073.908559605523</v>
      </c>
      <c r="O264" s="768">
        <f ca="1">INDIRECT("'kc-Wert für Stützen'!"&amp;SUBSTITUTE(ADDRESS(MATCH($A264,'kc-Wert für Stützen'!$C:$C,0),MATCH(O$7,'kc-Wert für Stützen'!$A$8:$ES$8,0)+7,4),,))</f>
        <v>92545.294055864724</v>
      </c>
      <c r="P264" s="768">
        <f ca="1">INDIRECT("'kc-Wert für Stützen'!"&amp;SUBSTITUTE(ADDRESS(MATCH($A264,'kc-Wert für Stützen'!$C:$C,0),MATCH(P$7,'kc-Wert für Stützen'!$A$8:$ES$8,0)+7,4),,))</f>
        <v>91979.544565674616</v>
      </c>
      <c r="S264" s="772">
        <f t="shared" ca="1" si="91"/>
        <v>96906.886698034883</v>
      </c>
      <c r="T264" s="772">
        <f t="shared" ca="1" si="112"/>
        <v>96906.886698034883</v>
      </c>
      <c r="U264" s="772">
        <f t="shared" ca="1" si="112"/>
        <v>96906.886698034883</v>
      </c>
      <c r="V264" s="772">
        <f t="shared" ca="1" si="112"/>
        <v>96610.478780721285</v>
      </c>
      <c r="W264" s="772">
        <f t="shared" ca="1" si="112"/>
        <v>96299.37137956341</v>
      </c>
      <c r="X264" s="772">
        <f t="shared" ca="1" si="112"/>
        <v>95972.11573170044</v>
      </c>
      <c r="Y264" s="772">
        <f t="shared" ca="1" si="112"/>
        <v>95627.119762741408</v>
      </c>
      <c r="Z264" s="772">
        <f t="shared" ca="1" si="112"/>
        <v>96906.886698034883</v>
      </c>
      <c r="AA264" s="772">
        <f t="shared" ca="1" si="112"/>
        <v>96906.886698034883</v>
      </c>
      <c r="AB264" s="772">
        <f t="shared" ca="1" si="115"/>
        <v>96610.478780721285</v>
      </c>
      <c r="AC264" s="772">
        <f t="shared" ca="1" si="115"/>
        <v>96610.478780721285</v>
      </c>
      <c r="AD264" s="772">
        <f t="shared" ca="1" si="115"/>
        <v>96299.37137956341</v>
      </c>
      <c r="AE264" s="772">
        <f t="shared" ca="1" si="115"/>
        <v>96299.37137956341</v>
      </c>
      <c r="AF264" s="772">
        <f t="shared" ca="1" si="115"/>
        <v>95972.11573170044</v>
      </c>
      <c r="AG264" s="772">
        <f t="shared" ca="1" si="115"/>
        <v>95972.11573170044</v>
      </c>
      <c r="AH264" s="772">
        <f t="shared" ca="1" si="115"/>
        <v>95972.11573170044</v>
      </c>
      <c r="AI264" s="772">
        <f t="shared" ca="1" si="115"/>
        <v>96906.886698034883</v>
      </c>
      <c r="AJ264" s="772">
        <f t="shared" ca="1" si="115"/>
        <v>96906.886698034883</v>
      </c>
      <c r="AK264" s="772">
        <f t="shared" ca="1" si="115"/>
        <v>96610.478780721285</v>
      </c>
      <c r="AL264" s="772">
        <f t="shared" ca="1" si="115"/>
        <v>96610.478780721285</v>
      </c>
      <c r="AM264" s="772">
        <f t="shared" ca="1" si="115"/>
        <v>96299.37137956341</v>
      </c>
      <c r="AN264" s="772">
        <f t="shared" ca="1" si="115"/>
        <v>96299.37137956341</v>
      </c>
      <c r="AO264" s="772">
        <f t="shared" ca="1" si="115"/>
        <v>95972.11573170044</v>
      </c>
      <c r="AP264" s="772">
        <f t="shared" ca="1" si="115"/>
        <v>95972.11573170044</v>
      </c>
      <c r="AQ264" s="772">
        <f t="shared" ca="1" si="115"/>
        <v>95972.11573170044</v>
      </c>
      <c r="AR264" s="772">
        <f t="shared" ca="1" si="122"/>
        <v>96906.886698034883</v>
      </c>
      <c r="AS264" s="772">
        <f t="shared" ca="1" si="122"/>
        <v>96906.886698034883</v>
      </c>
      <c r="AT264" s="772">
        <f t="shared" ca="1" si="122"/>
        <v>96610.478780721285</v>
      </c>
      <c r="AU264" s="772">
        <f t="shared" ca="1" si="122"/>
        <v>96610.478780721285</v>
      </c>
      <c r="AV264" s="772">
        <f t="shared" ca="1" si="122"/>
        <v>96299.37137956341</v>
      </c>
      <c r="AW264" s="772">
        <f t="shared" ca="1" si="122"/>
        <v>96299.37137956341</v>
      </c>
      <c r="AX264" s="772">
        <f t="shared" ca="1" si="122"/>
        <v>95972.11573170044</v>
      </c>
      <c r="AY264" s="772">
        <f t="shared" ca="1" si="122"/>
        <v>95972.11573170044</v>
      </c>
      <c r="AZ264" s="772">
        <f t="shared" ca="1" si="116"/>
        <v>95972.11573170044</v>
      </c>
      <c r="BA264" s="772">
        <f t="shared" ca="1" si="116"/>
        <v>96906.886698034883</v>
      </c>
      <c r="BB264" s="772">
        <f t="shared" ca="1" si="116"/>
        <v>96906.886698034883</v>
      </c>
      <c r="BC264" s="772">
        <f t="shared" ca="1" si="116"/>
        <v>96610.478780721285</v>
      </c>
      <c r="BD264" s="772">
        <f t="shared" ca="1" si="116"/>
        <v>96299.37137956341</v>
      </c>
      <c r="BE264" s="772">
        <f t="shared" ca="1" si="116"/>
        <v>96299.37137956341</v>
      </c>
      <c r="BF264" s="772">
        <f t="shared" ca="1" si="116"/>
        <v>95972.11573170044</v>
      </c>
      <c r="BG264" s="772">
        <f t="shared" ca="1" si="116"/>
        <v>95972.11573170044</v>
      </c>
      <c r="BH264" s="772">
        <f t="shared" ca="1" si="117"/>
        <v>95627.119762741408</v>
      </c>
      <c r="BI264" s="772">
        <f t="shared" ca="1" si="117"/>
        <v>95627.119762741408</v>
      </c>
      <c r="BJ264" s="772">
        <f t="shared" ca="1" si="117"/>
        <v>96610.478780721285</v>
      </c>
      <c r="BK264" s="772">
        <f t="shared" ca="1" si="117"/>
        <v>96610.478780721285</v>
      </c>
      <c r="BL264" s="772">
        <f t="shared" ca="1" si="117"/>
        <v>96610.478780721285</v>
      </c>
      <c r="BM264" s="772">
        <f t="shared" ca="1" si="117"/>
        <v>96610.478780721285</v>
      </c>
      <c r="BN264" s="772">
        <f t="shared" ca="1" si="117"/>
        <v>95972.11573170044</v>
      </c>
      <c r="BO264" s="772">
        <f t="shared" ca="1" si="117"/>
        <v>95972.11573170044</v>
      </c>
      <c r="BP264" s="772">
        <f t="shared" ca="1" si="117"/>
        <v>95627.119762741408</v>
      </c>
      <c r="BQ264" s="772">
        <f t="shared" ca="1" si="117"/>
        <v>95627.119762741408</v>
      </c>
      <c r="BR264" s="772">
        <f t="shared" ca="1" si="117"/>
        <v>95262.634120213581</v>
      </c>
      <c r="BS264" s="772">
        <f t="shared" ca="1" si="117"/>
        <v>96610.478780721285</v>
      </c>
      <c r="BT264" s="772">
        <f t="shared" ca="1" si="117"/>
        <v>96610.478780721285</v>
      </c>
      <c r="BU264" s="772">
        <f t="shared" ca="1" si="117"/>
        <v>96610.478780721285</v>
      </c>
      <c r="BV264" s="772">
        <f t="shared" ca="1" si="117"/>
        <v>96299.37137956341</v>
      </c>
      <c r="BW264" s="772">
        <f t="shared" ca="1" si="117"/>
        <v>96299.37137956341</v>
      </c>
      <c r="BX264" s="772">
        <f t="shared" ca="1" si="123"/>
        <v>95627.119762741408</v>
      </c>
      <c r="BY264" s="772">
        <f t="shared" ca="1" si="123"/>
        <v>95627.119762741408</v>
      </c>
      <c r="BZ264" s="772">
        <f t="shared" ca="1" si="123"/>
        <v>95262.634120213581</v>
      </c>
      <c r="CA264" s="772">
        <f t="shared" ca="1" si="123"/>
        <v>95262.634120213581</v>
      </c>
      <c r="CB264" s="772">
        <f t="shared" ca="1" si="123"/>
        <v>96299.37137956341</v>
      </c>
      <c r="CC264" s="772">
        <f t="shared" ca="1" si="123"/>
        <v>96299.37137956341</v>
      </c>
      <c r="CD264" s="772">
        <f t="shared" ca="1" si="121"/>
        <v>96299.37137956341</v>
      </c>
      <c r="CE264" s="772">
        <f t="shared" ca="1" si="121"/>
        <v>96299.37137956341</v>
      </c>
      <c r="CF264" s="772">
        <f t="shared" ca="1" si="121"/>
        <v>95972.11573170044</v>
      </c>
      <c r="CG264" s="772">
        <f t="shared" ca="1" si="121"/>
        <v>95627.119762741408</v>
      </c>
      <c r="CH264" s="772">
        <f t="shared" ca="1" si="121"/>
        <v>95262.634120213581</v>
      </c>
      <c r="CI264" s="772">
        <f t="shared" ca="1" si="121"/>
        <v>95262.634120213581</v>
      </c>
      <c r="CJ264" s="772">
        <f t="shared" ca="1" si="121"/>
        <v>94876.738022583871</v>
      </c>
    </row>
    <row r="265" spans="1:88" ht="15" customHeight="1">
      <c r="A265" s="770">
        <f>'kc-Wert für Stützen'!C265</f>
        <v>317</v>
      </c>
      <c r="B265" s="768">
        <f ca="1">INDIRECT("'kc-Wert für Stützen'!"&amp;SUBSTITUTE(ADDRESS(MATCH($A265,'kc-Wert für Stützen'!$C:$C,0),MATCH(B$7,'kc-Wert für Stützen'!$A$8:$ES$8,0)+7,4),,))</f>
        <v>98102.102256770857</v>
      </c>
      <c r="C265" s="768">
        <f ca="1">INDIRECT("'kc-Wert für Stützen'!"&amp;SUBSTITUTE(ADDRESS(MATCH($A265,'kc-Wert für Stützen'!$C:$C,0),MATCH(C$7,'kc-Wert für Stützen'!$A$8:$ES$8,0)+7,4),,))</f>
        <v>97831.440238738418</v>
      </c>
      <c r="D265" s="768">
        <f ca="1">INDIRECT("'kc-Wert für Stützen'!"&amp;SUBSTITUTE(ADDRESS(MATCH($A265,'kc-Wert für Stützen'!$C:$C,0),MATCH(D$7,'kc-Wert für Stützen'!$A$8:$ES$8,0)+7,4),,))</f>
        <v>97548.703724964435</v>
      </c>
      <c r="E265" s="768">
        <f ca="1">INDIRECT("'kc-Wert für Stützen'!"&amp;SUBSTITUTE(ADDRESS(MATCH($A265,'kc-Wert für Stützen'!$C:$C,0),MATCH(E$7,'kc-Wert für Stützen'!$A$8:$ES$8,0)+7,4),,))</f>
        <v>97252.705197538045</v>
      </c>
      <c r="F265" s="768">
        <f ca="1">INDIRECT("'kc-Wert für Stützen'!"&amp;SUBSTITUTE(ADDRESS(MATCH($A265,'kc-Wert für Stützen'!$C:$C,0),MATCH(F$7,'kc-Wert für Stützen'!$A$8:$ES$8,0)+7,4),,))</f>
        <v>96942.141747669477</v>
      </c>
      <c r="G265" s="768">
        <f ca="1">INDIRECT("'kc-Wert für Stützen'!"&amp;SUBSTITUTE(ADDRESS(MATCH($A265,'kc-Wert für Stützen'!$C:$C,0),MATCH(G$7,'kc-Wert für Stützen'!$A$8:$ES$8,0)+7,4),,))</f>
        <v>96615.582647470656</v>
      </c>
      <c r="H265" s="768">
        <f ca="1">INDIRECT("'kc-Wert für Stützen'!"&amp;SUBSTITUTE(ADDRESS(MATCH($A265,'kc-Wert für Stützen'!$C:$C,0),MATCH(H$7,'kc-Wert für Stützen'!$A$8:$ES$8,0)+7,4),,))</f>
        <v>96271.456135820874</v>
      </c>
      <c r="I265" s="768">
        <f ca="1">INDIRECT("'kc-Wert für Stützen'!"&amp;SUBSTITUTE(ADDRESS(MATCH($A265,'kc-Wert für Stützen'!$C:$C,0),MATCH(I$7,'kc-Wert für Stützen'!$A$8:$ES$8,0)+7,4),,))</f>
        <v>95908.035625638397</v>
      </c>
      <c r="J265" s="768">
        <f ca="1">INDIRECT("'kc-Wert für Stützen'!"&amp;SUBSTITUTE(ADDRESS(MATCH($A265,'kc-Wert für Stützen'!$C:$C,0),MATCH(J$7,'kc-Wert für Stützen'!$A$8:$ES$8,0)+7,4),,))</f>
        <v>95523.425681956898</v>
      </c>
      <c r="K265" s="768">
        <f ca="1">INDIRECT("'kc-Wert für Stützen'!"&amp;SUBSTITUTE(ADDRESS(MATCH($A265,'kc-Wert für Stützen'!$C:$C,0),MATCH(K$7,'kc-Wert für Stützen'!$A$8:$ES$8,0)+7,4),,))</f>
        <v>95115.548316949251</v>
      </c>
      <c r="L265" s="768">
        <f ca="1">INDIRECT("'kc-Wert für Stützen'!"&amp;SUBSTITUTE(ADDRESS(MATCH($A265,'kc-Wert für Stützen'!$C:$C,0),MATCH(L$7,'kc-Wert für Stützen'!$A$8:$ES$8,0)+7,4),,))</f>
        <v>94682.13041400307</v>
      </c>
      <c r="M265" s="768">
        <f ca="1">INDIRECT("'kc-Wert für Stützen'!"&amp;SUBSTITUTE(ADDRESS(MATCH($A265,'kc-Wert für Stützen'!$C:$C,0),MATCH(M$7,'kc-Wert für Stützen'!$A$8:$ES$8,0)+7,4),,))</f>
        <v>94220.693443133772</v>
      </c>
      <c r="N265" s="768">
        <f ca="1">INDIRECT("'kc-Wert für Stützen'!"&amp;SUBSTITUTE(ADDRESS(MATCH($A265,'kc-Wert für Stützen'!$C:$C,0),MATCH(N$7,'kc-Wert für Stützen'!$A$8:$ES$8,0)+7,4),,))</f>
        <v>93728.547077014999</v>
      </c>
      <c r="O265" s="768">
        <f ca="1">INDIRECT("'kc-Wert für Stützen'!"&amp;SUBSTITUTE(ADDRESS(MATCH($A265,'kc-Wert für Stützen'!$C:$C,0),MATCH(O$7,'kc-Wert für Stützen'!$A$8:$ES$8,0)+7,4),,))</f>
        <v>93202.78886556621</v>
      </c>
      <c r="P265" s="768">
        <f ca="1">INDIRECT("'kc-Wert für Stützen'!"&amp;SUBSTITUTE(ADDRESS(MATCH($A265,'kc-Wert für Stützen'!$C:$C,0),MATCH(P$7,'kc-Wert für Stützen'!$A$8:$ES$8,0)+7,4),,))</f>
        <v>92640.312765665396</v>
      </c>
      <c r="S265" s="772">
        <f t="shared" ca="1" si="91"/>
        <v>97548.703724964435</v>
      </c>
      <c r="T265" s="772">
        <f t="shared" ca="1" si="112"/>
        <v>97548.703724964435</v>
      </c>
      <c r="U265" s="772">
        <f t="shared" ca="1" si="112"/>
        <v>97548.703724964435</v>
      </c>
      <c r="V265" s="772">
        <f t="shared" ca="1" si="112"/>
        <v>97252.705197538045</v>
      </c>
      <c r="W265" s="772">
        <f t="shared" ca="1" si="112"/>
        <v>96942.141747669477</v>
      </c>
      <c r="X265" s="772">
        <f t="shared" ca="1" si="112"/>
        <v>96615.582647470656</v>
      </c>
      <c r="Y265" s="772">
        <f t="shared" ca="1" si="112"/>
        <v>96271.456135820874</v>
      </c>
      <c r="Z265" s="772">
        <f t="shared" ca="1" si="112"/>
        <v>97548.703724964435</v>
      </c>
      <c r="AA265" s="772">
        <f t="shared" ca="1" si="112"/>
        <v>97548.703724964435</v>
      </c>
      <c r="AB265" s="772">
        <f t="shared" ca="1" si="115"/>
        <v>97252.705197538045</v>
      </c>
      <c r="AC265" s="772">
        <f t="shared" ca="1" si="115"/>
        <v>97252.705197538045</v>
      </c>
      <c r="AD265" s="772">
        <f t="shared" ca="1" si="115"/>
        <v>96942.141747669477</v>
      </c>
      <c r="AE265" s="772">
        <f t="shared" ca="1" si="115"/>
        <v>96942.141747669477</v>
      </c>
      <c r="AF265" s="772">
        <f t="shared" ca="1" si="115"/>
        <v>96615.582647470656</v>
      </c>
      <c r="AG265" s="772">
        <f t="shared" ca="1" si="115"/>
        <v>96615.582647470656</v>
      </c>
      <c r="AH265" s="772">
        <f t="shared" ca="1" si="115"/>
        <v>96615.582647470656</v>
      </c>
      <c r="AI265" s="772">
        <f t="shared" ca="1" si="115"/>
        <v>97548.703724964435</v>
      </c>
      <c r="AJ265" s="772">
        <f t="shared" ca="1" si="115"/>
        <v>97548.703724964435</v>
      </c>
      <c r="AK265" s="772">
        <f t="shared" ca="1" si="115"/>
        <v>97252.705197538045</v>
      </c>
      <c r="AL265" s="772">
        <f t="shared" ca="1" si="115"/>
        <v>97252.705197538045</v>
      </c>
      <c r="AM265" s="772">
        <f t="shared" ca="1" si="115"/>
        <v>96942.141747669477</v>
      </c>
      <c r="AN265" s="772">
        <f t="shared" ca="1" si="115"/>
        <v>96942.141747669477</v>
      </c>
      <c r="AO265" s="772">
        <f t="shared" ca="1" si="115"/>
        <v>96615.582647470656</v>
      </c>
      <c r="AP265" s="772">
        <f t="shared" ca="1" si="115"/>
        <v>96615.582647470656</v>
      </c>
      <c r="AQ265" s="772">
        <f t="shared" ca="1" si="115"/>
        <v>96615.582647470656</v>
      </c>
      <c r="AR265" s="772">
        <f t="shared" ca="1" si="122"/>
        <v>97548.703724964435</v>
      </c>
      <c r="AS265" s="772">
        <f t="shared" ca="1" si="122"/>
        <v>97548.703724964435</v>
      </c>
      <c r="AT265" s="772">
        <f t="shared" ca="1" si="122"/>
        <v>97252.705197538045</v>
      </c>
      <c r="AU265" s="772">
        <f t="shared" ca="1" si="122"/>
        <v>97252.705197538045</v>
      </c>
      <c r="AV265" s="772">
        <f t="shared" ca="1" si="122"/>
        <v>96942.141747669477</v>
      </c>
      <c r="AW265" s="772">
        <f t="shared" ca="1" si="122"/>
        <v>96942.141747669477</v>
      </c>
      <c r="AX265" s="772">
        <f t="shared" ca="1" si="122"/>
        <v>96615.582647470656</v>
      </c>
      <c r="AY265" s="772">
        <f t="shared" ca="1" si="122"/>
        <v>96615.582647470656</v>
      </c>
      <c r="AZ265" s="772">
        <f t="shared" ca="1" si="116"/>
        <v>96615.582647470656</v>
      </c>
      <c r="BA265" s="772">
        <f t="shared" ca="1" si="116"/>
        <v>97548.703724964435</v>
      </c>
      <c r="BB265" s="772">
        <f t="shared" ca="1" si="116"/>
        <v>97548.703724964435</v>
      </c>
      <c r="BC265" s="772">
        <f t="shared" ca="1" si="116"/>
        <v>97252.705197538045</v>
      </c>
      <c r="BD265" s="772">
        <f t="shared" ca="1" si="116"/>
        <v>96942.141747669477</v>
      </c>
      <c r="BE265" s="772">
        <f t="shared" ca="1" si="116"/>
        <v>96942.141747669477</v>
      </c>
      <c r="BF265" s="772">
        <f t="shared" ca="1" si="116"/>
        <v>96615.582647470656</v>
      </c>
      <c r="BG265" s="772">
        <f t="shared" ca="1" si="116"/>
        <v>96615.582647470656</v>
      </c>
      <c r="BH265" s="772">
        <f t="shared" ca="1" si="117"/>
        <v>96271.456135820874</v>
      </c>
      <c r="BI265" s="772">
        <f t="shared" ca="1" si="117"/>
        <v>96271.456135820874</v>
      </c>
      <c r="BJ265" s="772">
        <f t="shared" ca="1" si="117"/>
        <v>97252.705197538045</v>
      </c>
      <c r="BK265" s="772">
        <f t="shared" ca="1" si="117"/>
        <v>97252.705197538045</v>
      </c>
      <c r="BL265" s="772">
        <f t="shared" ca="1" si="117"/>
        <v>97252.705197538045</v>
      </c>
      <c r="BM265" s="772">
        <f t="shared" ca="1" si="117"/>
        <v>97252.705197538045</v>
      </c>
      <c r="BN265" s="772">
        <f t="shared" ca="1" si="117"/>
        <v>96615.582647470656</v>
      </c>
      <c r="BO265" s="772">
        <f t="shared" ca="1" si="117"/>
        <v>96615.582647470656</v>
      </c>
      <c r="BP265" s="772">
        <f t="shared" ca="1" si="117"/>
        <v>96271.456135820874</v>
      </c>
      <c r="BQ265" s="772">
        <f t="shared" ca="1" si="117"/>
        <v>96271.456135820874</v>
      </c>
      <c r="BR265" s="772">
        <f t="shared" ca="1" si="117"/>
        <v>95908.035625638397</v>
      </c>
      <c r="BS265" s="772">
        <f t="shared" ca="1" si="117"/>
        <v>97252.705197538045</v>
      </c>
      <c r="BT265" s="772">
        <f t="shared" ca="1" si="117"/>
        <v>97252.705197538045</v>
      </c>
      <c r="BU265" s="772">
        <f t="shared" ca="1" si="117"/>
        <v>97252.705197538045</v>
      </c>
      <c r="BV265" s="772">
        <f t="shared" ca="1" si="117"/>
        <v>96942.141747669477</v>
      </c>
      <c r="BW265" s="772">
        <f t="shared" ca="1" si="117"/>
        <v>96942.141747669477</v>
      </c>
      <c r="BX265" s="772">
        <f t="shared" ca="1" si="123"/>
        <v>96271.456135820874</v>
      </c>
      <c r="BY265" s="772">
        <f t="shared" ca="1" si="123"/>
        <v>96271.456135820874</v>
      </c>
      <c r="BZ265" s="772">
        <f t="shared" ca="1" si="123"/>
        <v>95908.035625638397</v>
      </c>
      <c r="CA265" s="772">
        <f t="shared" ca="1" si="123"/>
        <v>95908.035625638397</v>
      </c>
      <c r="CB265" s="772">
        <f t="shared" ca="1" si="123"/>
        <v>96942.141747669477</v>
      </c>
      <c r="CC265" s="772">
        <f t="shared" ca="1" si="123"/>
        <v>96942.141747669477</v>
      </c>
      <c r="CD265" s="772">
        <f t="shared" ca="1" si="121"/>
        <v>96942.141747669477</v>
      </c>
      <c r="CE265" s="772">
        <f t="shared" ca="1" si="121"/>
        <v>96942.141747669477</v>
      </c>
      <c r="CF265" s="772">
        <f t="shared" ca="1" si="121"/>
        <v>96615.582647470656</v>
      </c>
      <c r="CG265" s="772">
        <f t="shared" ca="1" si="121"/>
        <v>96271.456135820874</v>
      </c>
      <c r="CH265" s="772">
        <f t="shared" ca="1" si="121"/>
        <v>95908.035625638397</v>
      </c>
      <c r="CI265" s="772">
        <f t="shared" ca="1" si="121"/>
        <v>95908.035625638397</v>
      </c>
      <c r="CJ265" s="772">
        <f t="shared" ca="1" si="121"/>
        <v>95523.425681956898</v>
      </c>
    </row>
    <row r="266" spans="1:88" ht="15" customHeight="1">
      <c r="A266" s="770">
        <f>'kc-Wert für Stützen'!C266</f>
        <v>318</v>
      </c>
      <c r="B266" s="768">
        <f ca="1">INDIRECT("'kc-Wert für Stützen'!"&amp;SUBSTITUTE(ADDRESS(MATCH($A266,'kc-Wert für Stützen'!$C:$C,0),MATCH(B$7,'kc-Wert für Stützen'!$A$8:$ES$8,0)+7,4),,))</f>
        <v>98745.456742450551</v>
      </c>
      <c r="C266" s="768">
        <f ca="1">INDIRECT("'kc-Wert für Stützen'!"&amp;SUBSTITUTE(ADDRESS(MATCH($A266,'kc-Wert für Stützen'!$C:$C,0),MATCH(C$7,'kc-Wert für Stützen'!$A$8:$ES$8,0)+7,4),,))</f>
        <v>98474.972206843377</v>
      </c>
      <c r="D266" s="768">
        <f ca="1">INDIRECT("'kc-Wert für Stützen'!"&amp;SUBSTITUTE(ADDRESS(MATCH($A266,'kc-Wert für Stützen'!$C:$C,0),MATCH(D$7,'kc-Wert für Stützen'!$A$8:$ES$8,0)+7,4),,))</f>
        <v>98192.516190945651</v>
      </c>
      <c r="E266" s="768">
        <f ca="1">INDIRECT("'kc-Wert für Stützen'!"&amp;SUBSTITUTE(ADDRESS(MATCH($A266,'kc-Wert für Stützen'!$C:$C,0),MATCH(E$7,'kc-Wert für Stützen'!$A$8:$ES$8,0)+7,4),,))</f>
        <v>97896.914994019011</v>
      </c>
      <c r="F266" s="768">
        <f ca="1">INDIRECT("'kc-Wert für Stützen'!"&amp;SUBSTITUTE(ADDRESS(MATCH($A266,'kc-Wert für Stützen'!$C:$C,0),MATCH(F$7,'kc-Wert für Stützen'!$A$8:$ES$8,0)+7,4),,))</f>
        <v>97586.881370295319</v>
      </c>
      <c r="G266" s="768">
        <f ca="1">INDIRECT("'kc-Wert für Stützen'!"&amp;SUBSTITUTE(ADDRESS(MATCH($A266,'kc-Wert für Stützen'!$C:$C,0),MATCH(G$7,'kc-Wert für Stützen'!$A$8:$ES$8,0)+7,4),,))</f>
        <v>97261.002299044805</v>
      </c>
      <c r="H266" s="768">
        <f ca="1">INDIRECT("'kc-Wert für Stützen'!"&amp;SUBSTITUTE(ADDRESS(MATCH($A266,'kc-Wert für Stützen'!$C:$C,0),MATCH(H$7,'kc-Wert für Stützen'!$A$8:$ES$8,0)+7,4),,))</f>
        <v>96917.725964323748</v>
      </c>
      <c r="I266" s="768">
        <f ca="1">INDIRECT("'kc-Wert für Stützen'!"&amp;SUBSTITUTE(ADDRESS(MATCH($A266,'kc-Wert für Stützen'!$C:$C,0),MATCH(I$7,'kc-Wert für Stützen'!$A$8:$ES$8,0)+7,4),,))</f>
        <v>96555.348136990928</v>
      </c>
      <c r="J266" s="768">
        <f ca="1">INDIRECT("'kc-Wert für Stützen'!"&amp;SUBSTITUTE(ADDRESS(MATCH($A266,'kc-Wert für Stützen'!$C:$C,0),MATCH(J$7,'kc-Wert für Stützen'!$A$8:$ES$8,0)+7,4),,))</f>
        <v>96171.99828630159</v>
      </c>
      <c r="K266" s="768">
        <f ca="1">INDIRECT("'kc-Wert für Stützen'!"&amp;SUBSTITUTE(ADDRESS(MATCH($A266,'kc-Wert für Stützen'!$C:$C,0),MATCH(K$7,'kc-Wert für Stützen'!$A$8:$ES$8,0)+7,4),,))</f>
        <v>95765.625935212462</v>
      </c>
      <c r="L266" s="768">
        <f ca="1">INDIRECT("'kc-Wert für Stützen'!"&amp;SUBSTITUTE(ADDRESS(MATCH($A266,'kc-Wert für Stützen'!$C:$C,0),MATCH(L$7,'kc-Wert für Stützen'!$A$8:$ES$8,0)+7,4),,))</f>
        <v>95333.988026508072</v>
      </c>
      <c r="M266" s="768">
        <f ca="1">INDIRECT("'kc-Wert für Stützen'!"&amp;SUBSTITUTE(ADDRESS(MATCH($A266,'kc-Wert für Stützen'!$C:$C,0),MATCH(M$7,'kc-Wert für Stützen'!$A$8:$ES$8,0)+7,4),,))</f>
        <v>94874.638400680211</v>
      </c>
      <c r="N266" s="768">
        <f ca="1">INDIRECT("'kc-Wert für Stützen'!"&amp;SUBSTITUTE(ADDRESS(MATCH($A266,'kc-Wert für Stützen'!$C:$C,0),MATCH(N$7,'kc-Wert für Stützen'!$A$8:$ES$8,0)+7,4),,))</f>
        <v>94384.92091390425</v>
      </c>
      <c r="O266" s="768">
        <f ca="1">INDIRECT("'kc-Wert für Stützen'!"&amp;SUBSTITUTE(ADDRESS(MATCH($A266,'kc-Wert für Stützen'!$C:$C,0),MATCH(O$7,'kc-Wert für Stützen'!$A$8:$ES$8,0)+7,4),,))</f>
        <v>93861.968251438215</v>
      </c>
      <c r="P266" s="768">
        <f ca="1">INDIRECT("'kc-Wert für Stützen'!"&amp;SUBSTITUTE(ADDRESS(MATCH($A266,'kc-Wert für Stützen'!$C:$C,0),MATCH(P$7,'kc-Wert für Stützen'!$A$8:$ES$8,0)+7,4),,))</f>
        <v>93302.70910938755</v>
      </c>
      <c r="S266" s="772">
        <f t="shared" ref="S266:S329" ca="1" si="124">HLOOKUP(S$7,$A$7:$P$348,ROW()-6)</f>
        <v>98192.516190945651</v>
      </c>
      <c r="T266" s="772">
        <f t="shared" ca="1" si="112"/>
        <v>98192.516190945651</v>
      </c>
      <c r="U266" s="772">
        <f t="shared" ca="1" si="112"/>
        <v>98192.516190945651</v>
      </c>
      <c r="V266" s="772">
        <f t="shared" ca="1" si="112"/>
        <v>97896.914994019011</v>
      </c>
      <c r="W266" s="772">
        <f t="shared" ca="1" si="112"/>
        <v>97586.881370295319</v>
      </c>
      <c r="X266" s="772">
        <f t="shared" ca="1" si="112"/>
        <v>97261.002299044805</v>
      </c>
      <c r="Y266" s="772">
        <f t="shared" ca="1" si="112"/>
        <v>96917.725964323748</v>
      </c>
      <c r="Z266" s="772">
        <f t="shared" ca="1" si="112"/>
        <v>98192.516190945651</v>
      </c>
      <c r="AA266" s="772">
        <f t="shared" ca="1" si="112"/>
        <v>98192.516190945651</v>
      </c>
      <c r="AB266" s="772">
        <f t="shared" ca="1" si="115"/>
        <v>97896.914994019011</v>
      </c>
      <c r="AC266" s="772">
        <f t="shared" ca="1" si="115"/>
        <v>97896.914994019011</v>
      </c>
      <c r="AD266" s="772">
        <f t="shared" ca="1" si="115"/>
        <v>97586.881370295319</v>
      </c>
      <c r="AE266" s="772">
        <f t="shared" ca="1" si="115"/>
        <v>97586.881370295319</v>
      </c>
      <c r="AF266" s="772">
        <f t="shared" ca="1" si="115"/>
        <v>97261.002299044805</v>
      </c>
      <c r="AG266" s="772">
        <f t="shared" ca="1" si="115"/>
        <v>97261.002299044805</v>
      </c>
      <c r="AH266" s="772">
        <f t="shared" ca="1" si="115"/>
        <v>97261.002299044805</v>
      </c>
      <c r="AI266" s="772">
        <f t="shared" ca="1" si="115"/>
        <v>98192.516190945651</v>
      </c>
      <c r="AJ266" s="772">
        <f t="shared" ca="1" si="115"/>
        <v>98192.516190945651</v>
      </c>
      <c r="AK266" s="772">
        <f t="shared" ca="1" si="115"/>
        <v>97896.914994019011</v>
      </c>
      <c r="AL266" s="772">
        <f t="shared" ca="1" si="115"/>
        <v>97896.914994019011</v>
      </c>
      <c r="AM266" s="772">
        <f t="shared" ca="1" si="115"/>
        <v>97586.881370295319</v>
      </c>
      <c r="AN266" s="772">
        <f t="shared" ca="1" si="115"/>
        <v>97586.881370295319</v>
      </c>
      <c r="AO266" s="772">
        <f t="shared" ca="1" si="115"/>
        <v>97261.002299044805</v>
      </c>
      <c r="AP266" s="772">
        <f t="shared" ca="1" si="115"/>
        <v>97261.002299044805</v>
      </c>
      <c r="AQ266" s="772">
        <f t="shared" ca="1" si="115"/>
        <v>97261.002299044805</v>
      </c>
      <c r="AR266" s="772">
        <f t="shared" ca="1" si="122"/>
        <v>98192.516190945651</v>
      </c>
      <c r="AS266" s="772">
        <f t="shared" ca="1" si="122"/>
        <v>98192.516190945651</v>
      </c>
      <c r="AT266" s="772">
        <f t="shared" ca="1" si="122"/>
        <v>97896.914994019011</v>
      </c>
      <c r="AU266" s="772">
        <f t="shared" ca="1" si="122"/>
        <v>97896.914994019011</v>
      </c>
      <c r="AV266" s="772">
        <f t="shared" ca="1" si="122"/>
        <v>97586.881370295319</v>
      </c>
      <c r="AW266" s="772">
        <f t="shared" ca="1" si="122"/>
        <v>97586.881370295319</v>
      </c>
      <c r="AX266" s="772">
        <f t="shared" ca="1" si="122"/>
        <v>97261.002299044805</v>
      </c>
      <c r="AY266" s="772">
        <f t="shared" ca="1" si="122"/>
        <v>97261.002299044805</v>
      </c>
      <c r="AZ266" s="772">
        <f t="shared" ca="1" si="116"/>
        <v>97261.002299044805</v>
      </c>
      <c r="BA266" s="772">
        <f t="shared" ca="1" si="116"/>
        <v>98192.516190945651</v>
      </c>
      <c r="BB266" s="772">
        <f t="shared" ca="1" si="116"/>
        <v>98192.516190945651</v>
      </c>
      <c r="BC266" s="772">
        <f t="shared" ca="1" si="116"/>
        <v>97896.914994019011</v>
      </c>
      <c r="BD266" s="772">
        <f t="shared" ca="1" si="116"/>
        <v>97586.881370295319</v>
      </c>
      <c r="BE266" s="772">
        <f t="shared" ca="1" si="116"/>
        <v>97586.881370295319</v>
      </c>
      <c r="BF266" s="772">
        <f t="shared" ca="1" si="116"/>
        <v>97261.002299044805</v>
      </c>
      <c r="BG266" s="772">
        <f t="shared" ca="1" si="116"/>
        <v>97261.002299044805</v>
      </c>
      <c r="BH266" s="772">
        <f t="shared" ca="1" si="117"/>
        <v>96917.725964323748</v>
      </c>
      <c r="BI266" s="772">
        <f t="shared" ca="1" si="117"/>
        <v>96917.725964323748</v>
      </c>
      <c r="BJ266" s="772">
        <f t="shared" ca="1" si="117"/>
        <v>97896.914994019011</v>
      </c>
      <c r="BK266" s="772">
        <f t="shared" ca="1" si="117"/>
        <v>97896.914994019011</v>
      </c>
      <c r="BL266" s="772">
        <f t="shared" ca="1" si="117"/>
        <v>97896.914994019011</v>
      </c>
      <c r="BM266" s="772">
        <f t="shared" ca="1" si="117"/>
        <v>97896.914994019011</v>
      </c>
      <c r="BN266" s="772">
        <f t="shared" ca="1" si="117"/>
        <v>97261.002299044805</v>
      </c>
      <c r="BO266" s="772">
        <f t="shared" ca="1" si="117"/>
        <v>97261.002299044805</v>
      </c>
      <c r="BP266" s="772">
        <f t="shared" ca="1" si="117"/>
        <v>96917.725964323748</v>
      </c>
      <c r="BQ266" s="772">
        <f t="shared" ca="1" si="117"/>
        <v>96917.725964323748</v>
      </c>
      <c r="BR266" s="772">
        <f t="shared" ca="1" si="117"/>
        <v>96555.348136990928</v>
      </c>
      <c r="BS266" s="772">
        <f t="shared" ca="1" si="117"/>
        <v>97896.914994019011</v>
      </c>
      <c r="BT266" s="772">
        <f t="shared" ca="1" si="117"/>
        <v>97896.914994019011</v>
      </c>
      <c r="BU266" s="772">
        <f t="shared" ca="1" si="117"/>
        <v>97896.914994019011</v>
      </c>
      <c r="BV266" s="772">
        <f t="shared" ca="1" si="117"/>
        <v>97586.881370295319</v>
      </c>
      <c r="BW266" s="772">
        <f t="shared" ca="1" si="117"/>
        <v>97586.881370295319</v>
      </c>
      <c r="BX266" s="772">
        <f t="shared" ca="1" si="123"/>
        <v>96917.725964323748</v>
      </c>
      <c r="BY266" s="772">
        <f t="shared" ca="1" si="123"/>
        <v>96917.725964323748</v>
      </c>
      <c r="BZ266" s="772">
        <f t="shared" ca="1" si="123"/>
        <v>96555.348136990928</v>
      </c>
      <c r="CA266" s="772">
        <f t="shared" ca="1" si="123"/>
        <v>96555.348136990928</v>
      </c>
      <c r="CB266" s="772">
        <f t="shared" ca="1" si="123"/>
        <v>97586.881370295319</v>
      </c>
      <c r="CC266" s="772">
        <f t="shared" ca="1" si="123"/>
        <v>97586.881370295319</v>
      </c>
      <c r="CD266" s="772">
        <f t="shared" ca="1" si="121"/>
        <v>97586.881370295319</v>
      </c>
      <c r="CE266" s="772">
        <f t="shared" ca="1" si="121"/>
        <v>97586.881370295319</v>
      </c>
      <c r="CF266" s="772">
        <f t="shared" ca="1" si="121"/>
        <v>97261.002299044805</v>
      </c>
      <c r="CG266" s="772">
        <f t="shared" ca="1" si="121"/>
        <v>96917.725964323748</v>
      </c>
      <c r="CH266" s="772">
        <f t="shared" ca="1" si="121"/>
        <v>96555.348136990928</v>
      </c>
      <c r="CI266" s="772">
        <f t="shared" ca="1" si="121"/>
        <v>96555.348136990928</v>
      </c>
      <c r="CJ266" s="772">
        <f t="shared" ca="1" si="121"/>
        <v>96171.99828630159</v>
      </c>
    </row>
    <row r="267" spans="1:88" ht="15" customHeight="1">
      <c r="A267" s="770">
        <f>'kc-Wert für Stützen'!C267</f>
        <v>319</v>
      </c>
      <c r="B267" s="768">
        <f ca="1">INDIRECT("'kc-Wert für Stützen'!"&amp;SUBSTITUTE(ADDRESS(MATCH($A267,'kc-Wert für Stützen'!$C:$C,0),MATCH(B$7,'kc-Wert für Stützen'!$A$8:$ES$8,0)+7,4),,))</f>
        <v>99390.826413207935</v>
      </c>
      <c r="C267" s="768">
        <f ca="1">INDIRECT("'kc-Wert für Stützen'!"&amp;SUBSTITUTE(ADDRESS(MATCH($A267,'kc-Wert für Stützen'!$C:$C,0),MATCH(C$7,'kc-Wert für Stützen'!$A$8:$ES$8,0)+7,4),,))</f>
        <v>99120.510754783885</v>
      </c>
      <c r="D267" s="768">
        <f ca="1">INDIRECT("'kc-Wert für Stützen'!"&amp;SUBSTITUTE(ADDRESS(MATCH($A267,'kc-Wert für Stützen'!$C:$C,0),MATCH(D$7,'kc-Wert für Stützen'!$A$8:$ES$8,0)+7,4),,))</f>
        <v>98838.325137749052</v>
      </c>
      <c r="E267" s="768">
        <f ca="1">INDIRECT("'kc-Wert für Stützen'!"&amp;SUBSTITUTE(ADDRESS(MATCH($A267,'kc-Wert für Stützen'!$C:$C,0),MATCH(E$7,'kc-Wert für Stützen'!$A$8:$ES$8,0)+7,4),,))</f>
        <v>98543.109431713077</v>
      </c>
      <c r="F267" s="768">
        <f ca="1">INDIRECT("'kc-Wert für Stützen'!"&amp;SUBSTITUTE(ADDRESS(MATCH($A267,'kc-Wert für Stützen'!$C:$C,0),MATCH(F$7,'kc-Wert für Stützen'!$A$8:$ES$8,0)+7,4),,))</f>
        <v>98233.591771410807</v>
      </c>
      <c r="G267" s="768">
        <f ca="1">INDIRECT("'kc-Wert für Stützen'!"&amp;SUBSTITUTE(ADDRESS(MATCH($A267,'kc-Wert für Stützen'!$C:$C,0),MATCH(G$7,'kc-Wert für Stützen'!$A$8:$ES$8,0)+7,4),,))</f>
        <v>97908.376522449471</v>
      </c>
      <c r="H267" s="768">
        <f ca="1">INDIRECT("'kc-Wert für Stützen'!"&amp;SUBSTITUTE(ADDRESS(MATCH($A267,'kc-Wert für Stützen'!$C:$C,0),MATCH(H$7,'kc-Wert für Stützen'!$A$8:$ES$8,0)+7,4),,))</f>
        <v>97565.931453512603</v>
      </c>
      <c r="I267" s="768">
        <f ca="1">INDIRECT("'kc-Wert für Stützen'!"&amp;SUBSTITUTE(ADDRESS(MATCH($A267,'kc-Wert für Stützen'!$C:$C,0),MATCH(I$7,'kc-Wert für Stützen'!$A$8:$ES$8,0)+7,4),,))</f>
        <v>97204.574293750804</v>
      </c>
      <c r="J267" s="768">
        <f ca="1">INDIRECT("'kc-Wert für Stützen'!"&amp;SUBSTITUTE(ADDRESS(MATCH($A267,'kc-Wert für Stützen'!$C:$C,0),MATCH(J$7,'kc-Wert für Stützen'!$A$8:$ES$8,0)+7,4),,))</f>
        <v>96822.458981840406</v>
      </c>
      <c r="K267" s="768">
        <f ca="1">INDIRECT("'kc-Wert für Stützen'!"&amp;SUBSTITUTE(ADDRESS(MATCH($A267,'kc-Wert für Stützen'!$C:$C,0),MATCH(K$7,'kc-Wert für Stützen'!$A$8:$ES$8,0)+7,4),,))</f>
        <v>96417.562090594816</v>
      </c>
      <c r="L267" s="768">
        <f ca="1">INDIRECT("'kc-Wert für Stützen'!"&amp;SUBSTITUTE(ADDRESS(MATCH($A267,'kc-Wert für Stützen'!$C:$C,0),MATCH(L$7,'kc-Wert für Stützen'!$A$8:$ES$8,0)+7,4),,))</f>
        <v>95987.6701516311</v>
      </c>
      <c r="M267" s="768">
        <f ca="1">INDIRECT("'kc-Wert für Stützen'!"&amp;SUBSTITUTE(ADDRESS(MATCH($A267,'kc-Wert für Stützen'!$C:$C,0),MATCH(M$7,'kc-Wert für Stützen'!$A$8:$ES$8,0)+7,4),,))</f>
        <v>95530.368922773472</v>
      </c>
      <c r="N267" s="768">
        <f ca="1">INDIRECT("'kc-Wert für Stützen'!"&amp;SUBSTITUTE(ADDRESS(MATCH($A267,'kc-Wert für Stützen'!$C:$C,0),MATCH(N$7,'kc-Wert für Stützen'!$A$8:$ES$8,0)+7,4),,))</f>
        <v>95043.036049462899</v>
      </c>
      <c r="O267" s="768">
        <f ca="1">INDIRECT("'kc-Wert für Stützen'!"&amp;SUBSTITUTE(ADDRESS(MATCH($A267,'kc-Wert für Stützen'!$C:$C,0),MATCH(O$7,'kc-Wert für Stützen'!$A$8:$ES$8,0)+7,4),,))</f>
        <v>94522.839077339129</v>
      </c>
      <c r="P267" s="768">
        <f ca="1">INDIRECT("'kc-Wert für Stützen'!"&amp;SUBSTITUTE(ADDRESS(MATCH($A267,'kc-Wert für Stützen'!$C:$C,0),MATCH(P$7,'kc-Wert für Stützen'!$A$8:$ES$8,0)+7,4),,))</f>
        <v>93966.74136993014</v>
      </c>
      <c r="S267" s="772">
        <f t="shared" ca="1" si="124"/>
        <v>98838.325137749052</v>
      </c>
      <c r="T267" s="772">
        <f t="shared" ca="1" si="112"/>
        <v>98838.325137749052</v>
      </c>
      <c r="U267" s="772">
        <f t="shared" ca="1" si="112"/>
        <v>98838.325137749052</v>
      </c>
      <c r="V267" s="772">
        <f t="shared" ca="1" si="112"/>
        <v>98543.109431713077</v>
      </c>
      <c r="W267" s="772">
        <f t="shared" ca="1" si="112"/>
        <v>98233.591771410807</v>
      </c>
      <c r="X267" s="772">
        <f t="shared" ca="1" si="112"/>
        <v>97908.376522449471</v>
      </c>
      <c r="Y267" s="772">
        <f t="shared" ca="1" si="112"/>
        <v>97565.931453512603</v>
      </c>
      <c r="Z267" s="772">
        <f t="shared" ca="1" si="112"/>
        <v>98838.325137749052</v>
      </c>
      <c r="AA267" s="772">
        <f t="shared" ca="1" si="112"/>
        <v>98838.325137749052</v>
      </c>
      <c r="AB267" s="772">
        <f t="shared" ca="1" si="115"/>
        <v>98543.109431713077</v>
      </c>
      <c r="AC267" s="772">
        <f t="shared" ca="1" si="115"/>
        <v>98543.109431713077</v>
      </c>
      <c r="AD267" s="772">
        <f t="shared" ca="1" si="115"/>
        <v>98233.591771410807</v>
      </c>
      <c r="AE267" s="772">
        <f t="shared" ca="1" si="115"/>
        <v>98233.591771410807</v>
      </c>
      <c r="AF267" s="772">
        <f t="shared" ca="1" si="115"/>
        <v>97908.376522449471</v>
      </c>
      <c r="AG267" s="772">
        <f t="shared" ca="1" si="115"/>
        <v>97908.376522449471</v>
      </c>
      <c r="AH267" s="772">
        <f t="shared" ca="1" si="115"/>
        <v>97908.376522449471</v>
      </c>
      <c r="AI267" s="772">
        <f t="shared" ca="1" si="115"/>
        <v>98838.325137749052</v>
      </c>
      <c r="AJ267" s="772">
        <f t="shared" ca="1" si="115"/>
        <v>98838.325137749052</v>
      </c>
      <c r="AK267" s="772">
        <f t="shared" ca="1" si="115"/>
        <v>98543.109431713077</v>
      </c>
      <c r="AL267" s="772">
        <f t="shared" ca="1" si="115"/>
        <v>98543.109431713077</v>
      </c>
      <c r="AM267" s="772">
        <f t="shared" ca="1" si="115"/>
        <v>98233.591771410807</v>
      </c>
      <c r="AN267" s="772">
        <f t="shared" ca="1" si="115"/>
        <v>98233.591771410807</v>
      </c>
      <c r="AO267" s="772">
        <f t="shared" ca="1" si="115"/>
        <v>97908.376522449471</v>
      </c>
      <c r="AP267" s="772">
        <f t="shared" ca="1" si="115"/>
        <v>97908.376522449471</v>
      </c>
      <c r="AQ267" s="772">
        <f t="shared" ca="1" si="115"/>
        <v>97908.376522449471</v>
      </c>
      <c r="AR267" s="772">
        <f t="shared" ca="1" si="122"/>
        <v>98838.325137749052</v>
      </c>
      <c r="AS267" s="772">
        <f t="shared" ca="1" si="122"/>
        <v>98838.325137749052</v>
      </c>
      <c r="AT267" s="772">
        <f t="shared" ca="1" si="122"/>
        <v>98543.109431713077</v>
      </c>
      <c r="AU267" s="772">
        <f t="shared" ca="1" si="122"/>
        <v>98543.109431713077</v>
      </c>
      <c r="AV267" s="772">
        <f t="shared" ca="1" si="122"/>
        <v>98233.591771410807</v>
      </c>
      <c r="AW267" s="772">
        <f t="shared" ca="1" si="122"/>
        <v>98233.591771410807</v>
      </c>
      <c r="AX267" s="772">
        <f t="shared" ca="1" si="122"/>
        <v>97908.376522449471</v>
      </c>
      <c r="AY267" s="772">
        <f t="shared" ca="1" si="122"/>
        <v>97908.376522449471</v>
      </c>
      <c r="AZ267" s="772">
        <f t="shared" ca="1" si="116"/>
        <v>97908.376522449471</v>
      </c>
      <c r="BA267" s="772">
        <f t="shared" ca="1" si="116"/>
        <v>98838.325137749052</v>
      </c>
      <c r="BB267" s="772">
        <f t="shared" ca="1" si="116"/>
        <v>98838.325137749052</v>
      </c>
      <c r="BC267" s="772">
        <f t="shared" ca="1" si="116"/>
        <v>98543.109431713077</v>
      </c>
      <c r="BD267" s="772">
        <f t="shared" ca="1" si="116"/>
        <v>98233.591771410807</v>
      </c>
      <c r="BE267" s="772">
        <f t="shared" ca="1" si="116"/>
        <v>98233.591771410807</v>
      </c>
      <c r="BF267" s="772">
        <f t="shared" ca="1" si="116"/>
        <v>97908.376522449471</v>
      </c>
      <c r="BG267" s="772">
        <f t="shared" ca="1" si="116"/>
        <v>97908.376522449471</v>
      </c>
      <c r="BH267" s="772">
        <f t="shared" ca="1" si="117"/>
        <v>97565.931453512603</v>
      </c>
      <c r="BI267" s="772">
        <f t="shared" ca="1" si="117"/>
        <v>97565.931453512603</v>
      </c>
      <c r="BJ267" s="772">
        <f t="shared" ca="1" si="117"/>
        <v>98543.109431713077</v>
      </c>
      <c r="BK267" s="772">
        <f t="shared" ca="1" si="117"/>
        <v>98543.109431713077</v>
      </c>
      <c r="BL267" s="772">
        <f t="shared" ca="1" si="117"/>
        <v>98543.109431713077</v>
      </c>
      <c r="BM267" s="772">
        <f t="shared" ca="1" si="117"/>
        <v>98543.109431713077</v>
      </c>
      <c r="BN267" s="772">
        <f t="shared" ca="1" si="117"/>
        <v>97908.376522449471</v>
      </c>
      <c r="BO267" s="772">
        <f t="shared" ca="1" si="117"/>
        <v>97908.376522449471</v>
      </c>
      <c r="BP267" s="772">
        <f t="shared" ca="1" si="117"/>
        <v>97565.931453512603</v>
      </c>
      <c r="BQ267" s="772">
        <f t="shared" ca="1" si="117"/>
        <v>97565.931453512603</v>
      </c>
      <c r="BR267" s="772">
        <f t="shared" ca="1" si="117"/>
        <v>97204.574293750804</v>
      </c>
      <c r="BS267" s="772">
        <f t="shared" ca="1" si="117"/>
        <v>98543.109431713077</v>
      </c>
      <c r="BT267" s="772">
        <f t="shared" ca="1" si="117"/>
        <v>98543.109431713077</v>
      </c>
      <c r="BU267" s="772">
        <f t="shared" ca="1" si="117"/>
        <v>98543.109431713077</v>
      </c>
      <c r="BV267" s="772">
        <f t="shared" ca="1" si="117"/>
        <v>98233.591771410807</v>
      </c>
      <c r="BW267" s="772">
        <f t="shared" ref="BW267:BW297" ca="1" si="125">HLOOKUP(BW$7,$A$7:$P$348,ROW()-6)</f>
        <v>98233.591771410807</v>
      </c>
      <c r="BX267" s="772">
        <f t="shared" ca="1" si="123"/>
        <v>97565.931453512603</v>
      </c>
      <c r="BY267" s="772">
        <f t="shared" ca="1" si="123"/>
        <v>97565.931453512603</v>
      </c>
      <c r="BZ267" s="772">
        <f t="shared" ca="1" si="123"/>
        <v>97204.574293750804</v>
      </c>
      <c r="CA267" s="772">
        <f t="shared" ca="1" si="123"/>
        <v>97204.574293750804</v>
      </c>
      <c r="CB267" s="772">
        <f t="shared" ca="1" si="123"/>
        <v>98233.591771410807</v>
      </c>
      <c r="CC267" s="772">
        <f t="shared" ca="1" si="123"/>
        <v>98233.591771410807</v>
      </c>
      <c r="CD267" s="772">
        <f t="shared" ca="1" si="121"/>
        <v>98233.591771410807</v>
      </c>
      <c r="CE267" s="772">
        <f t="shared" ca="1" si="121"/>
        <v>98233.591771410807</v>
      </c>
      <c r="CF267" s="772">
        <f t="shared" ca="1" si="121"/>
        <v>97908.376522449471</v>
      </c>
      <c r="CG267" s="772">
        <f t="shared" ca="1" si="121"/>
        <v>97565.931453512603</v>
      </c>
      <c r="CH267" s="772">
        <f t="shared" ca="1" si="121"/>
        <v>97204.574293750804</v>
      </c>
      <c r="CI267" s="772">
        <f t="shared" ca="1" si="121"/>
        <v>97204.574293750804</v>
      </c>
      <c r="CJ267" s="772">
        <f t="shared" ca="1" si="121"/>
        <v>96822.458981840406</v>
      </c>
    </row>
    <row r="268" spans="1:88" ht="15" customHeight="1">
      <c r="A268" s="770">
        <f>'kc-Wert für Stützen'!C268</f>
        <v>320</v>
      </c>
      <c r="B268" s="768">
        <f ca="1">INDIRECT("'kc-Wert für Stützen'!"&amp;SUBSTITUTE(ADDRESS(MATCH($A268,'kc-Wert für Stützen'!$C:$C,0),MATCH(B$7,'kc-Wert für Stützen'!$A$8:$ES$8,0)+7,4),,))</f>
        <v>100038.2119604086</v>
      </c>
      <c r="C268" s="768">
        <f ca="1">INDIRECT("'kc-Wert für Stützen'!"&amp;SUBSTITUTE(ADDRESS(MATCH($A268,'kc-Wert für Stützen'!$C:$C,0),MATCH(C$7,'kc-Wert für Stützen'!$A$8:$ES$8,0)+7,4),,))</f>
        <v>99768.056723146379</v>
      </c>
      <c r="D268" s="768">
        <f ca="1">INDIRECT("'kc-Wert für Stützen'!"&amp;SUBSTITUTE(ADDRESS(MATCH($A268,'kc-Wert für Stützen'!$C:$C,0),MATCH(D$7,'kc-Wert für Stützen'!$A$8:$ES$8,0)+7,4),,))</f>
        <v>99486.131585195835</v>
      </c>
      <c r="E268" s="768">
        <f ca="1">INDIRECT("'kc-Wert für Stützen'!"&amp;SUBSTITUTE(ADDRESS(MATCH($A268,'kc-Wert für Stützen'!$C:$C,0),MATCH(E$7,'kc-Wert für Stützen'!$A$8:$ES$8,0)+7,4),,))</f>
        <v>99191.289745122776</v>
      </c>
      <c r="F268" s="768">
        <f ca="1">INDIRECT("'kc-Wert für Stützen'!"&amp;SUBSTITUTE(ADDRESS(MATCH($A268,'kc-Wert für Stützen'!$C:$C,0),MATCH(F$7,'kc-Wert für Stützen'!$A$8:$ES$8,0)+7,4),,))</f>
        <v>98882.274441801856</v>
      </c>
      <c r="G268" s="768">
        <f ca="1">INDIRECT("'kc-Wert für Stützen'!"&amp;SUBSTITUTE(ADDRESS(MATCH($A268,'kc-Wert für Stützen'!$C:$C,0),MATCH(G$7,'kc-Wert für Stützen'!$A$8:$ES$8,0)+7,4),,))</f>
        <v>98557.707113199838</v>
      </c>
      <c r="H268" s="768">
        <f ca="1">INDIRECT("'kc-Wert für Stützen'!"&amp;SUBSTITUTE(ADDRESS(MATCH($A268,'kc-Wert für Stützen'!$C:$C,0),MATCH(H$7,'kc-Wert für Stützen'!$A$8:$ES$8,0)+7,4),,))</f>
        <v>98216.074759481431</v>
      </c>
      <c r="I268" s="768">
        <f ca="1">INDIRECT("'kc-Wert für Stützen'!"&amp;SUBSTITUTE(ADDRESS(MATCH($A268,'kc-Wert für Stützen'!$C:$C,0),MATCH(I$7,'kc-Wert für Stützen'!$A$8:$ES$8,0)+7,4),,))</f>
        <v>97855.716676137585</v>
      </c>
      <c r="J268" s="768">
        <f ca="1">INDIRECT("'kc-Wert für Stützen'!"&amp;SUBSTITUTE(ADDRESS(MATCH($A268,'kc-Wert für Stützen'!$C:$C,0),MATCH(J$7,'kc-Wert für Stützen'!$A$8:$ES$8,0)+7,4),,))</f>
        <v>97474.810843976898</v>
      </c>
      <c r="K268" s="768">
        <f ca="1">INDIRECT("'kc-Wert für Stützen'!"&amp;SUBSTITUTE(ADDRESS(MATCH($A268,'kc-Wert für Stützen'!$C:$C,0),MATCH(K$7,'kc-Wert für Stützen'!$A$8:$ES$8,0)+7,4),,))</f>
        <v>97071.360431284003</v>
      </c>
      <c r="L268" s="768">
        <f ca="1">INDIRECT("'kc-Wert für Stützen'!"&amp;SUBSTITUTE(ADDRESS(MATCH($A268,'kc-Wert für Stützen'!$C:$C,0),MATCH(L$7,'kc-Wert für Stützen'!$A$8:$ES$8,0)+7,4),,))</f>
        <v>96643.181092297731</v>
      </c>
      <c r="M268" s="768">
        <f ca="1">INDIRECT("'kc-Wert für Stützen'!"&amp;SUBSTITUTE(ADDRESS(MATCH($A268,'kc-Wert für Stützen'!$C:$C,0),MATCH(M$7,'kc-Wert für Stützen'!$A$8:$ES$8,0)+7,4),,))</f>
        <v>96187.890049403431</v>
      </c>
      <c r="N268" s="768">
        <f ca="1">INDIRECT("'kc-Wert für Stützen'!"&amp;SUBSTITUTE(ADDRESS(MATCH($A268,'kc-Wert für Stützen'!$C:$C,0),MATCH(N$7,'kc-Wert für Stützen'!$A$8:$ES$8,0)+7,4),,))</f>
        <v>95702.898336919636</v>
      </c>
      <c r="O268" s="768">
        <f ca="1">INDIRECT("'kc-Wert für Stützen'!"&amp;SUBSTITUTE(ADDRESS(MATCH($A268,'kc-Wert für Stützen'!$C:$C,0),MATCH(O$7,'kc-Wert für Stützen'!$A$8:$ES$8,0)+7,4),,))</f>
        <v>95185.40806980207</v>
      </c>
      <c r="P268" s="768">
        <f ca="1">INDIRECT("'kc-Wert für Stützen'!"&amp;SUBSTITUTE(ADDRESS(MATCH($A268,'kc-Wert für Stützen'!$C:$C,0),MATCH(P$7,'kc-Wert für Stützen'!$A$8:$ES$8,0)+7,4),,))</f>
        <v>94632.41717672153</v>
      </c>
      <c r="S268" s="772">
        <f t="shared" ca="1" si="124"/>
        <v>99486.131585195835</v>
      </c>
      <c r="T268" s="772">
        <f t="shared" ca="1" si="112"/>
        <v>99486.131585195835</v>
      </c>
      <c r="U268" s="772">
        <f t="shared" ca="1" si="112"/>
        <v>99486.131585195835</v>
      </c>
      <c r="V268" s="772">
        <f t="shared" ca="1" si="112"/>
        <v>99191.289745122776</v>
      </c>
      <c r="W268" s="772">
        <f t="shared" ca="1" si="112"/>
        <v>98882.274441801856</v>
      </c>
      <c r="X268" s="772">
        <f t="shared" ca="1" si="112"/>
        <v>98557.707113199838</v>
      </c>
      <c r="Y268" s="772">
        <f t="shared" ca="1" si="112"/>
        <v>98216.074759481431</v>
      </c>
      <c r="Z268" s="772">
        <f t="shared" ca="1" si="112"/>
        <v>99486.131585195835</v>
      </c>
      <c r="AA268" s="772">
        <f t="shared" ca="1" si="112"/>
        <v>99486.131585195835</v>
      </c>
      <c r="AB268" s="772">
        <f t="shared" ca="1" si="115"/>
        <v>99191.289745122776</v>
      </c>
      <c r="AC268" s="772">
        <f t="shared" ca="1" si="115"/>
        <v>99191.289745122776</v>
      </c>
      <c r="AD268" s="772">
        <f t="shared" ca="1" si="115"/>
        <v>98882.274441801856</v>
      </c>
      <c r="AE268" s="772">
        <f t="shared" ca="1" si="115"/>
        <v>98882.274441801856</v>
      </c>
      <c r="AF268" s="772">
        <f t="shared" ca="1" si="115"/>
        <v>98557.707113199838</v>
      </c>
      <c r="AG268" s="772">
        <f t="shared" ca="1" si="115"/>
        <v>98557.707113199838</v>
      </c>
      <c r="AH268" s="772">
        <f t="shared" ca="1" si="115"/>
        <v>98557.707113199838</v>
      </c>
      <c r="AI268" s="772">
        <f t="shared" ca="1" si="115"/>
        <v>99486.131585195835</v>
      </c>
      <c r="AJ268" s="772">
        <f t="shared" ca="1" si="115"/>
        <v>99486.131585195835</v>
      </c>
      <c r="AK268" s="772">
        <f t="shared" ca="1" si="115"/>
        <v>99191.289745122776</v>
      </c>
      <c r="AL268" s="772">
        <f t="shared" ca="1" si="115"/>
        <v>99191.289745122776</v>
      </c>
      <c r="AM268" s="772">
        <f t="shared" ca="1" si="115"/>
        <v>98882.274441801856</v>
      </c>
      <c r="AN268" s="772">
        <f t="shared" ca="1" si="115"/>
        <v>98882.274441801856</v>
      </c>
      <c r="AO268" s="772">
        <f t="shared" ca="1" si="115"/>
        <v>98557.707113199838</v>
      </c>
      <c r="AP268" s="772">
        <f t="shared" ca="1" si="115"/>
        <v>98557.707113199838</v>
      </c>
      <c r="AQ268" s="772">
        <f t="shared" ca="1" si="115"/>
        <v>98557.707113199838</v>
      </c>
      <c r="AR268" s="772">
        <f t="shared" ca="1" si="122"/>
        <v>99486.131585195835</v>
      </c>
      <c r="AS268" s="772">
        <f t="shared" ca="1" si="122"/>
        <v>99486.131585195835</v>
      </c>
      <c r="AT268" s="772">
        <f t="shared" ca="1" si="122"/>
        <v>99191.289745122776</v>
      </c>
      <c r="AU268" s="772">
        <f t="shared" ca="1" si="122"/>
        <v>99191.289745122776</v>
      </c>
      <c r="AV268" s="772">
        <f t="shared" ca="1" si="122"/>
        <v>98882.274441801856</v>
      </c>
      <c r="AW268" s="772">
        <f t="shared" ca="1" si="122"/>
        <v>98882.274441801856</v>
      </c>
      <c r="AX268" s="772">
        <f t="shared" ca="1" si="122"/>
        <v>98557.707113199838</v>
      </c>
      <c r="AY268" s="772">
        <f t="shared" ca="1" si="122"/>
        <v>98557.707113199838</v>
      </c>
      <c r="AZ268" s="772">
        <f t="shared" ca="1" si="116"/>
        <v>98557.707113199838</v>
      </c>
      <c r="BA268" s="772">
        <f t="shared" ca="1" si="116"/>
        <v>99486.131585195835</v>
      </c>
      <c r="BB268" s="772">
        <f t="shared" ca="1" si="116"/>
        <v>99486.131585195835</v>
      </c>
      <c r="BC268" s="772">
        <f t="shared" ca="1" si="116"/>
        <v>99191.289745122776</v>
      </c>
      <c r="BD268" s="772">
        <f t="shared" ca="1" si="116"/>
        <v>98882.274441801856</v>
      </c>
      <c r="BE268" s="772">
        <f t="shared" ca="1" si="116"/>
        <v>98882.274441801856</v>
      </c>
      <c r="BF268" s="772">
        <f t="shared" ca="1" si="116"/>
        <v>98557.707113199838</v>
      </c>
      <c r="BG268" s="772">
        <f t="shared" ca="1" si="116"/>
        <v>98557.707113199838</v>
      </c>
      <c r="BH268" s="772">
        <f t="shared" ca="1" si="117"/>
        <v>98216.074759481431</v>
      </c>
      <c r="BI268" s="772">
        <f t="shared" ca="1" si="117"/>
        <v>98216.074759481431</v>
      </c>
      <c r="BJ268" s="772">
        <f t="shared" ca="1" si="117"/>
        <v>99191.289745122776</v>
      </c>
      <c r="BK268" s="772">
        <f t="shared" ca="1" si="117"/>
        <v>99191.289745122776</v>
      </c>
      <c r="BL268" s="772">
        <f t="shared" ca="1" si="117"/>
        <v>99191.289745122776</v>
      </c>
      <c r="BM268" s="772">
        <f t="shared" ca="1" si="117"/>
        <v>99191.289745122776</v>
      </c>
      <c r="BN268" s="772">
        <f t="shared" ca="1" si="117"/>
        <v>98557.707113199838</v>
      </c>
      <c r="BO268" s="772">
        <f t="shared" ca="1" si="117"/>
        <v>98557.707113199838</v>
      </c>
      <c r="BP268" s="772">
        <f t="shared" ref="BP268:BV277" ca="1" si="126">HLOOKUP(BP$7,$A$7:$P$348,ROW()-6)</f>
        <v>98216.074759481431</v>
      </c>
      <c r="BQ268" s="772">
        <f t="shared" ca="1" si="126"/>
        <v>98216.074759481431</v>
      </c>
      <c r="BR268" s="772">
        <f t="shared" ca="1" si="126"/>
        <v>97855.716676137585</v>
      </c>
      <c r="BS268" s="772">
        <f t="shared" ca="1" si="126"/>
        <v>99191.289745122776</v>
      </c>
      <c r="BT268" s="772">
        <f t="shared" ca="1" si="126"/>
        <v>99191.289745122776</v>
      </c>
      <c r="BU268" s="772">
        <f t="shared" ca="1" si="126"/>
        <v>99191.289745122776</v>
      </c>
      <c r="BV268" s="772">
        <f t="shared" ca="1" si="126"/>
        <v>98882.274441801856</v>
      </c>
      <c r="BW268" s="772">
        <f t="shared" ca="1" si="125"/>
        <v>98882.274441801856</v>
      </c>
      <c r="BX268" s="772">
        <f t="shared" ca="1" si="123"/>
        <v>98216.074759481431</v>
      </c>
      <c r="BY268" s="772">
        <f t="shared" ca="1" si="123"/>
        <v>98216.074759481431</v>
      </c>
      <c r="BZ268" s="772">
        <f t="shared" ca="1" si="123"/>
        <v>97855.716676137585</v>
      </c>
      <c r="CA268" s="772">
        <f t="shared" ca="1" si="123"/>
        <v>97855.716676137585</v>
      </c>
      <c r="CB268" s="772">
        <f t="shared" ca="1" si="123"/>
        <v>98882.274441801856</v>
      </c>
      <c r="CC268" s="772">
        <f t="shared" ca="1" si="123"/>
        <v>98882.274441801856</v>
      </c>
      <c r="CD268" s="772">
        <f t="shared" ca="1" si="121"/>
        <v>98882.274441801856</v>
      </c>
      <c r="CE268" s="772">
        <f t="shared" ca="1" si="121"/>
        <v>98882.274441801856</v>
      </c>
      <c r="CF268" s="772">
        <f t="shared" ca="1" si="121"/>
        <v>98557.707113199838</v>
      </c>
      <c r="CG268" s="772">
        <f t="shared" ca="1" si="121"/>
        <v>98216.074759481431</v>
      </c>
      <c r="CH268" s="772">
        <f t="shared" ca="1" si="121"/>
        <v>97855.716676137585</v>
      </c>
      <c r="CI268" s="772">
        <f t="shared" ca="1" si="121"/>
        <v>97855.716676137585</v>
      </c>
      <c r="CJ268" s="772">
        <f t="shared" ca="1" si="121"/>
        <v>97474.810843976898</v>
      </c>
    </row>
    <row r="269" spans="1:88" ht="15" customHeight="1">
      <c r="A269" s="770">
        <f>'kc-Wert für Stützen'!C269</f>
        <v>321</v>
      </c>
      <c r="B269" s="768">
        <f ca="1">INDIRECT("'kc-Wert für Stützen'!"&amp;SUBSTITUTE(ADDRESS(MATCH($A269,'kc-Wert für Stützen'!$C:$C,0),MATCH(B$7,'kc-Wert für Stützen'!$A$8:$ES$8,0)+7,4),,))</f>
        <v>100687.61406148245</v>
      </c>
      <c r="C269" s="768">
        <f ca="1">INDIRECT("'kc-Wert für Stützen'!"&amp;SUBSTITUTE(ADDRESS(MATCH($A269,'kc-Wert für Stützen'!$C:$C,0),MATCH(C$7,'kc-Wert für Stützen'!$A$8:$ES$8,0)+7,4),,))</f>
        <v>100417.61093522499</v>
      </c>
      <c r="D269" s="768">
        <f ca="1">INDIRECT("'kc-Wert für Stützen'!"&amp;SUBSTITUTE(ADDRESS(MATCH($A269,'kc-Wert für Stützen'!$C:$C,0),MATCH(D$7,'kc-Wert für Stützen'!$A$8:$ES$8,0)+7,4),,))</f>
        <v>100135.93653172442</v>
      </c>
      <c r="E269" s="768">
        <f ca="1">INDIRECT("'kc-Wert für Stützen'!"&amp;SUBSTITUTE(ADDRESS(MATCH($A269,'kc-Wert für Stützen'!$C:$C,0),MATCH(E$7,'kc-Wert für Stützen'!$A$8:$ES$8,0)+7,4),,))</f>
        <v>99841.457142408632</v>
      </c>
      <c r="F269" s="768">
        <f ca="1">INDIRECT("'kc-Wert für Stützen'!"&amp;SUBSTITUTE(ADDRESS(MATCH($A269,'kc-Wert für Stützen'!$C:$C,0),MATCH(F$7,'kc-Wert für Stützen'!$A$8:$ES$8,0)+7,4),,))</f>
        <v>99532.930839941168</v>
      </c>
      <c r="G269" s="768">
        <f ca="1">INDIRECT("'kc-Wert für Stützen'!"&amp;SUBSTITUTE(ADDRESS(MATCH($A269,'kc-Wert für Stützen'!$C:$C,0),MATCH(G$7,'kc-Wert für Stützen'!$A$8:$ES$8,0)+7,4),,))</f>
        <v>99208.995827365579</v>
      </c>
      <c r="H269" s="768">
        <f ca="1">INDIRECT("'kc-Wert für Stützen'!"&amp;SUBSTITUTE(ADDRESS(MATCH($A269,'kc-Wert für Stützen'!$C:$C,0),MATCH(H$7,'kc-Wert für Stützen'!$A$8:$ES$8,0)+7,4),,))</f>
        <v>98868.157990446663</v>
      </c>
      <c r="I269" s="768">
        <f ca="1">INDIRECT("'kc-Wert für Stützen'!"&amp;SUBSTITUTE(ADDRESS(MATCH($A269,'kc-Wert für Stützen'!$C:$C,0),MATCH(I$7,'kc-Wert für Stützen'!$A$8:$ES$8,0)+7,4),,))</f>
        <v>98508.777806653132</v>
      </c>
      <c r="J269" s="768">
        <f ca="1">INDIRECT("'kc-Wert für Stützen'!"&amp;SUBSTITUTE(ADDRESS(MATCH($A269,'kc-Wert für Stützen'!$C:$C,0),MATCH(J$7,'kc-Wert für Stützen'!$A$8:$ES$8,0)+7,4),,))</f>
        <v>98129.056879107025</v>
      </c>
      <c r="K269" s="768">
        <f ca="1">INDIRECT("'kc-Wert für Stützen'!"&amp;SUBSTITUTE(ADDRESS(MATCH($A269,'kc-Wert für Stützen'!$C:$C,0),MATCH(K$7,'kc-Wert für Stützen'!$A$8:$ES$8,0)+7,4),,))</f>
        <v>97727.024523795713</v>
      </c>
      <c r="L269" s="768">
        <f ca="1">INDIRECT("'kc-Wert für Stützen'!"&amp;SUBSTITUTE(ADDRESS(MATCH($A269,'kc-Wert für Stützen'!$C:$C,0),MATCH(L$7,'kc-Wert für Stützen'!$A$8:$ES$8,0)+7,4),,))</f>
        <v>97300.525055995211</v>
      </c>
      <c r="M269" s="768">
        <f ca="1">INDIRECT("'kc-Wert für Stützen'!"&amp;SUBSTITUTE(ADDRESS(MATCH($A269,'kc-Wert für Stützen'!$C:$C,0),MATCH(M$7,'kc-Wert für Stützen'!$A$8:$ES$8,0)+7,4),,))</f>
        <v>96847.206710825078</v>
      </c>
      <c r="N269" s="768">
        <f ca="1">INDIRECT("'kc-Wert für Stützen'!"&amp;SUBSTITUTE(ADDRESS(MATCH($A269,'kc-Wert für Stützen'!$C:$C,0),MATCH(N$7,'kc-Wert für Stützen'!$A$8:$ES$8,0)+7,4),,))</f>
        <v>96364.513505959098</v>
      </c>
      <c r="O269" s="768">
        <f ca="1">INDIRECT("'kc-Wert für Stützen'!"&amp;SUBSTITUTE(ADDRESS(MATCH($A269,'kc-Wert für Stützen'!$C:$C,0),MATCH(O$7,'kc-Wert für Stützen'!$A$8:$ES$8,0)+7,4),,))</f>
        <v>95849.6818201305</v>
      </c>
      <c r="P269" s="768">
        <f ca="1">INDIRECT("'kc-Wert für Stützen'!"&amp;SUBSTITUTE(ADDRESS(MATCH($A269,'kc-Wert für Stützen'!$C:$C,0),MATCH(P$7,'kc-Wert für Stützen'!$A$8:$ES$8,0)+7,4),,))</f>
        <v>95299.744016853656</v>
      </c>
      <c r="S269" s="772">
        <f t="shared" ca="1" si="124"/>
        <v>100135.93653172442</v>
      </c>
      <c r="T269" s="772">
        <f t="shared" ca="1" si="112"/>
        <v>100135.93653172442</v>
      </c>
      <c r="U269" s="772">
        <f t="shared" ca="1" si="112"/>
        <v>100135.93653172442</v>
      </c>
      <c r="V269" s="772">
        <f t="shared" ca="1" si="112"/>
        <v>99841.457142408632</v>
      </c>
      <c r="W269" s="772">
        <f t="shared" ca="1" si="112"/>
        <v>99532.930839941168</v>
      </c>
      <c r="X269" s="772">
        <f t="shared" ca="1" si="112"/>
        <v>99208.995827365579</v>
      </c>
      <c r="Y269" s="772">
        <f t="shared" ca="1" si="112"/>
        <v>98868.157990446663</v>
      </c>
      <c r="Z269" s="772">
        <f t="shared" ca="1" si="112"/>
        <v>100135.93653172442</v>
      </c>
      <c r="AA269" s="772">
        <f t="shared" ca="1" si="112"/>
        <v>100135.93653172442</v>
      </c>
      <c r="AB269" s="772">
        <f t="shared" ca="1" si="115"/>
        <v>99841.457142408632</v>
      </c>
      <c r="AC269" s="772">
        <f t="shared" ca="1" si="115"/>
        <v>99841.457142408632</v>
      </c>
      <c r="AD269" s="772">
        <f t="shared" ca="1" si="115"/>
        <v>99532.930839941168</v>
      </c>
      <c r="AE269" s="772">
        <f t="shared" ca="1" si="115"/>
        <v>99532.930839941168</v>
      </c>
      <c r="AF269" s="772">
        <f t="shared" ca="1" si="115"/>
        <v>99208.995827365579</v>
      </c>
      <c r="AG269" s="772">
        <f t="shared" ca="1" si="115"/>
        <v>99208.995827365579</v>
      </c>
      <c r="AH269" s="772">
        <f t="shared" ca="1" si="115"/>
        <v>99208.995827365579</v>
      </c>
      <c r="AI269" s="772">
        <f t="shared" ca="1" si="115"/>
        <v>100135.93653172442</v>
      </c>
      <c r="AJ269" s="772">
        <f t="shared" ca="1" si="115"/>
        <v>100135.93653172442</v>
      </c>
      <c r="AK269" s="772">
        <f t="shared" ca="1" si="115"/>
        <v>99841.457142408632</v>
      </c>
      <c r="AL269" s="772">
        <f t="shared" ca="1" si="115"/>
        <v>99841.457142408632</v>
      </c>
      <c r="AM269" s="772">
        <f t="shared" ca="1" si="115"/>
        <v>99532.930839941168</v>
      </c>
      <c r="AN269" s="772">
        <f t="shared" ca="1" si="115"/>
        <v>99532.930839941168</v>
      </c>
      <c r="AO269" s="772">
        <f t="shared" ca="1" si="115"/>
        <v>99208.995827365579</v>
      </c>
      <c r="AP269" s="772">
        <f t="shared" ca="1" si="115"/>
        <v>99208.995827365579</v>
      </c>
      <c r="AQ269" s="772">
        <f t="shared" ca="1" si="115"/>
        <v>99208.995827365579</v>
      </c>
      <c r="AR269" s="772">
        <f t="shared" ca="1" si="122"/>
        <v>100135.93653172442</v>
      </c>
      <c r="AS269" s="772">
        <f t="shared" ca="1" si="122"/>
        <v>100135.93653172442</v>
      </c>
      <c r="AT269" s="772">
        <f t="shared" ca="1" si="122"/>
        <v>99841.457142408632</v>
      </c>
      <c r="AU269" s="772">
        <f t="shared" ca="1" si="122"/>
        <v>99841.457142408632</v>
      </c>
      <c r="AV269" s="772">
        <f t="shared" ca="1" si="122"/>
        <v>99532.930839941168</v>
      </c>
      <c r="AW269" s="772">
        <f t="shared" ca="1" si="122"/>
        <v>99532.930839941168</v>
      </c>
      <c r="AX269" s="772">
        <f t="shared" ca="1" si="122"/>
        <v>99208.995827365579</v>
      </c>
      <c r="AY269" s="772">
        <f t="shared" ca="1" si="122"/>
        <v>99208.995827365579</v>
      </c>
      <c r="AZ269" s="772">
        <f t="shared" ca="1" si="116"/>
        <v>99208.995827365579</v>
      </c>
      <c r="BA269" s="772">
        <f t="shared" ca="1" si="116"/>
        <v>100135.93653172442</v>
      </c>
      <c r="BB269" s="772">
        <f t="shared" ca="1" si="116"/>
        <v>100135.93653172442</v>
      </c>
      <c r="BC269" s="772">
        <f t="shared" ca="1" si="116"/>
        <v>99841.457142408632</v>
      </c>
      <c r="BD269" s="772">
        <f t="shared" ca="1" si="116"/>
        <v>99532.930839941168</v>
      </c>
      <c r="BE269" s="772">
        <f t="shared" ca="1" si="116"/>
        <v>99532.930839941168</v>
      </c>
      <c r="BF269" s="772">
        <f t="shared" ca="1" si="116"/>
        <v>99208.995827365579</v>
      </c>
      <c r="BG269" s="772">
        <f t="shared" ca="1" si="116"/>
        <v>99208.995827365579</v>
      </c>
      <c r="BH269" s="772">
        <f t="shared" ref="BH269:BO272" ca="1" si="127">HLOOKUP(BH$7,$A$7:$P$348,ROW()-6)</f>
        <v>98868.157990446663</v>
      </c>
      <c r="BI269" s="772">
        <f t="shared" ca="1" si="127"/>
        <v>98868.157990446663</v>
      </c>
      <c r="BJ269" s="772">
        <f t="shared" ca="1" si="127"/>
        <v>99841.457142408632</v>
      </c>
      <c r="BK269" s="772">
        <f t="shared" ca="1" si="127"/>
        <v>99841.457142408632</v>
      </c>
      <c r="BL269" s="772">
        <f t="shared" ca="1" si="127"/>
        <v>99841.457142408632</v>
      </c>
      <c r="BM269" s="772">
        <f t="shared" ca="1" si="127"/>
        <v>99841.457142408632</v>
      </c>
      <c r="BN269" s="772">
        <f t="shared" ca="1" si="127"/>
        <v>99208.995827365579</v>
      </c>
      <c r="BO269" s="772">
        <f t="shared" ca="1" si="127"/>
        <v>99208.995827365579</v>
      </c>
      <c r="BP269" s="772">
        <f t="shared" ca="1" si="126"/>
        <v>98868.157990446663</v>
      </c>
      <c r="BQ269" s="772">
        <f t="shared" ca="1" si="126"/>
        <v>98868.157990446663</v>
      </c>
      <c r="BR269" s="772">
        <f t="shared" ca="1" si="126"/>
        <v>98508.777806653132</v>
      </c>
      <c r="BS269" s="772">
        <f t="shared" ca="1" si="126"/>
        <v>99841.457142408632</v>
      </c>
      <c r="BT269" s="772">
        <f t="shared" ca="1" si="126"/>
        <v>99841.457142408632</v>
      </c>
      <c r="BU269" s="772">
        <f t="shared" ca="1" si="126"/>
        <v>99841.457142408632</v>
      </c>
      <c r="BV269" s="772">
        <f t="shared" ca="1" si="126"/>
        <v>99532.930839941168</v>
      </c>
      <c r="BW269" s="772">
        <f t="shared" ca="1" si="125"/>
        <v>99532.930839941168</v>
      </c>
      <c r="BX269" s="772">
        <f t="shared" ca="1" si="123"/>
        <v>98868.157990446663</v>
      </c>
      <c r="BY269" s="772">
        <f t="shared" ca="1" si="123"/>
        <v>98868.157990446663</v>
      </c>
      <c r="BZ269" s="772">
        <f t="shared" ca="1" si="123"/>
        <v>98508.777806653132</v>
      </c>
      <c r="CA269" s="772">
        <f t="shared" ca="1" si="123"/>
        <v>98508.777806653132</v>
      </c>
      <c r="CB269" s="772">
        <f t="shared" ca="1" si="123"/>
        <v>99532.930839941168</v>
      </c>
      <c r="CC269" s="772">
        <f t="shared" ca="1" si="123"/>
        <v>99532.930839941168</v>
      </c>
      <c r="CD269" s="772">
        <f t="shared" ca="1" si="121"/>
        <v>99532.930839941168</v>
      </c>
      <c r="CE269" s="772">
        <f t="shared" ca="1" si="121"/>
        <v>99532.930839941168</v>
      </c>
      <c r="CF269" s="772">
        <f t="shared" ca="1" si="121"/>
        <v>99208.995827365579</v>
      </c>
      <c r="CG269" s="772">
        <f t="shared" ca="1" si="121"/>
        <v>98868.157990446663</v>
      </c>
      <c r="CH269" s="772">
        <f t="shared" ca="1" si="121"/>
        <v>98508.777806653132</v>
      </c>
      <c r="CI269" s="772">
        <f t="shared" ca="1" si="121"/>
        <v>98508.777806653132</v>
      </c>
      <c r="CJ269" s="772">
        <f t="shared" ca="1" si="121"/>
        <v>98129.056879107025</v>
      </c>
    </row>
    <row r="270" spans="1:88" ht="15" customHeight="1">
      <c r="A270" s="770">
        <f>'kc-Wert für Stützen'!C270</f>
        <v>322</v>
      </c>
      <c r="B270" s="768">
        <f ca="1">INDIRECT("'kc-Wert für Stützen'!"&amp;SUBSTITUTE(ADDRESS(MATCH($A270,'kc-Wert für Stützen'!$C:$C,0),MATCH(B$7,'kc-Wert für Stützen'!$A$8:$ES$8,0)+7,4),,))</f>
        <v>101339.03338027155</v>
      </c>
      <c r="C270" s="768">
        <f ca="1">INDIRECT("'kc-Wert für Stützen'!"&amp;SUBSTITUTE(ADDRESS(MATCH($A270,'kc-Wert für Stützen'!$C:$C,0),MATCH(C$7,'kc-Wert für Stützen'!$A$8:$ES$8,0)+7,4),,))</f>
        <v>101069.17419746004</v>
      </c>
      <c r="D270" s="768">
        <f ca="1">INDIRECT("'kc-Wert für Stützen'!"&amp;SUBSTITUTE(ADDRESS(MATCH($A270,'kc-Wert für Stützen'!$C:$C,0),MATCH(D$7,'kc-Wert für Stützen'!$A$8:$ES$8,0)+7,4),,))</f>
        <v>100787.740954939</v>
      </c>
      <c r="E270" s="768">
        <f ca="1">INDIRECT("'kc-Wert für Stützen'!"&amp;SUBSTITUTE(ADDRESS(MATCH($A270,'kc-Wert für Stützen'!$C:$C,0),MATCH(E$7,'kc-Wert für Stützen'!$A$8:$ES$8,0)+7,4),,))</f>
        <v>100493.61280607262</v>
      </c>
      <c r="F270" s="768">
        <f ca="1">INDIRECT("'kc-Wert für Stützen'!"&amp;SUBSTITUTE(ADDRESS(MATCH($A270,'kc-Wert für Stützen'!$C:$C,0),MATCH(F$7,'kc-Wert für Stützen'!$A$8:$ES$8,0)+7,4),,))</f>
        <v>100185.56239283262</v>
      </c>
      <c r="G270" s="768">
        <f ca="1">INDIRECT("'kc-Wert für Stützen'!"&amp;SUBSTITUTE(ADDRESS(MATCH($A270,'kc-Wert für Stützen'!$C:$C,0),MATCH(G$7,'kc-Wert für Stützen'!$A$8:$ES$8,0)+7,4),,))</f>
        <v>99862.244382605699</v>
      </c>
      <c r="H270" s="768">
        <f ca="1">INDIRECT("'kc-Wert für Stützen'!"&amp;SUBSTITUTE(ADDRESS(MATCH($A270,'kc-Wert für Stützen'!$C:$C,0),MATCH(H$7,'kc-Wert für Stützen'!$A$8:$ES$8,0)+7,4),,))</f>
        <v>99522.18320800137</v>
      </c>
      <c r="I270" s="768">
        <f ca="1">INDIRECT("'kc-Wert für Stützen'!"&amp;SUBSTITUTE(ADDRESS(MATCH($A270,'kc-Wert für Stützen'!$C:$C,0),MATCH(I$7,'kc-Wert für Stützen'!$A$8:$ES$8,0)+7,4),,))</f>
        <v>99163.760151581941</v>
      </c>
      <c r="J270" s="768">
        <f ca="1">INDIRECT("'kc-Wert für Stützen'!"&amp;SUBSTITUTE(ADDRESS(MATCH($A270,'kc-Wert für Stützen'!$C:$C,0),MATCH(J$7,'kc-Wert für Stützen'!$A$8:$ES$8,0)+7,4),,))</f>
        <v>98785.200026382896</v>
      </c>
      <c r="K270" s="768">
        <f ca="1">INDIRECT("'kc-Wert für Stützen'!"&amp;SUBSTITUTE(ADDRESS(MATCH($A270,'kc-Wert für Stützen'!$C:$C,0),MATCH(K$7,'kc-Wert für Stützen'!$A$8:$ES$8,0)+7,4),,))</f>
        <v>98384.557855002058</v>
      </c>
      <c r="L270" s="768">
        <f ca="1">INDIRECT("'kc-Wert für Stützen'!"&amp;SUBSTITUTE(ADDRESS(MATCH($A270,'kc-Wert für Stützen'!$C:$C,0),MATCH(L$7,'kc-Wert für Stützen'!$A$8:$ES$8,0)+7,4),,))</f>
        <v>97959.706157034263</v>
      </c>
      <c r="M270" s="768">
        <f ca="1">INDIRECT("'kc-Wert für Stützen'!"&amp;SUBSTITUTE(ADDRESS(MATCH($A270,'kc-Wert für Stützen'!$C:$C,0),MATCH(M$7,'kc-Wert für Stützen'!$A$8:$ES$8,0)+7,4),,))</f>
        <v>97508.32372997429</v>
      </c>
      <c r="N270" s="768">
        <f ca="1">INDIRECT("'kc-Wert für Stützen'!"&amp;SUBSTITUTE(ADDRESS(MATCH($A270,'kc-Wert für Stützen'!$C:$C,0),MATCH(N$7,'kc-Wert für Stützen'!$A$8:$ES$8,0)+7,4),,))</f>
        <v>97027.887165133492</v>
      </c>
      <c r="O270" s="768">
        <f ca="1">INDIRECT("'kc-Wert für Stützen'!"&amp;SUBSTITUTE(ADDRESS(MATCH($A270,'kc-Wert für Stützen'!$C:$C,0),MATCH(O$7,'kc-Wert für Stützen'!$A$8:$ES$8,0)+7,4),,))</f>
        <v>96515.666786536254</v>
      </c>
      <c r="P270" s="768">
        <f ca="1">INDIRECT("'kc-Wert für Stützen'!"&amp;SUBSTITUTE(ADDRESS(MATCH($A270,'kc-Wert für Stützen'!$C:$C,0),MATCH(P$7,'kc-Wert für Stützen'!$A$8:$ES$8,0)+7,4),,))</f>
        <v>95968.729236526298</v>
      </c>
      <c r="S270" s="772">
        <f t="shared" ca="1" si="124"/>
        <v>100787.740954939</v>
      </c>
      <c r="T270" s="772">
        <f t="shared" ca="1" si="112"/>
        <v>100787.740954939</v>
      </c>
      <c r="U270" s="772">
        <f t="shared" ca="1" si="112"/>
        <v>100787.740954939</v>
      </c>
      <c r="V270" s="772">
        <f t="shared" ca="1" si="112"/>
        <v>100493.61280607262</v>
      </c>
      <c r="W270" s="772">
        <f t="shared" ca="1" si="112"/>
        <v>100185.56239283262</v>
      </c>
      <c r="X270" s="772">
        <f t="shared" ca="1" si="112"/>
        <v>99862.244382605699</v>
      </c>
      <c r="Y270" s="772">
        <f t="shared" ca="1" si="112"/>
        <v>99522.18320800137</v>
      </c>
      <c r="Z270" s="772">
        <f t="shared" ca="1" si="112"/>
        <v>100787.740954939</v>
      </c>
      <c r="AA270" s="772">
        <f t="shared" ca="1" si="112"/>
        <v>100787.740954939</v>
      </c>
      <c r="AB270" s="772">
        <f t="shared" ca="1" si="115"/>
        <v>100493.61280607262</v>
      </c>
      <c r="AC270" s="772">
        <f t="shared" ca="1" si="115"/>
        <v>100493.61280607262</v>
      </c>
      <c r="AD270" s="772">
        <f t="shared" ca="1" si="115"/>
        <v>100185.56239283262</v>
      </c>
      <c r="AE270" s="772">
        <f t="shared" ca="1" si="115"/>
        <v>100185.56239283262</v>
      </c>
      <c r="AF270" s="772">
        <f t="shared" ca="1" si="115"/>
        <v>99862.244382605699</v>
      </c>
      <c r="AG270" s="772">
        <f t="shared" ca="1" si="115"/>
        <v>99862.244382605699</v>
      </c>
      <c r="AH270" s="772">
        <f t="shared" ca="1" si="115"/>
        <v>99862.244382605699</v>
      </c>
      <c r="AI270" s="772">
        <f t="shared" ca="1" si="115"/>
        <v>100787.740954939</v>
      </c>
      <c r="AJ270" s="772">
        <f t="shared" ca="1" si="115"/>
        <v>100787.740954939</v>
      </c>
      <c r="AK270" s="772">
        <f t="shared" ca="1" si="115"/>
        <v>100493.61280607262</v>
      </c>
      <c r="AL270" s="772">
        <f t="shared" ca="1" si="115"/>
        <v>100493.61280607262</v>
      </c>
      <c r="AM270" s="772">
        <f t="shared" ca="1" si="115"/>
        <v>100185.56239283262</v>
      </c>
      <c r="AN270" s="772">
        <f t="shared" ca="1" si="115"/>
        <v>100185.56239283262</v>
      </c>
      <c r="AO270" s="772">
        <f t="shared" ca="1" si="115"/>
        <v>99862.244382605699</v>
      </c>
      <c r="AP270" s="772">
        <f t="shared" ca="1" si="115"/>
        <v>99862.244382605699</v>
      </c>
      <c r="AQ270" s="772">
        <f t="shared" ca="1" si="115"/>
        <v>99862.244382605699</v>
      </c>
      <c r="AR270" s="772">
        <f t="shared" ca="1" si="122"/>
        <v>100787.740954939</v>
      </c>
      <c r="AS270" s="772">
        <f t="shared" ca="1" si="122"/>
        <v>100787.740954939</v>
      </c>
      <c r="AT270" s="772">
        <f t="shared" ca="1" si="122"/>
        <v>100493.61280607262</v>
      </c>
      <c r="AU270" s="772">
        <f t="shared" ca="1" si="122"/>
        <v>100493.61280607262</v>
      </c>
      <c r="AV270" s="772">
        <f t="shared" ca="1" si="122"/>
        <v>100185.56239283262</v>
      </c>
      <c r="AW270" s="772">
        <f t="shared" ca="1" si="122"/>
        <v>100185.56239283262</v>
      </c>
      <c r="AX270" s="772">
        <f t="shared" ca="1" si="122"/>
        <v>99862.244382605699</v>
      </c>
      <c r="AY270" s="772">
        <f t="shared" ca="1" si="122"/>
        <v>99862.244382605699</v>
      </c>
      <c r="AZ270" s="772">
        <f t="shared" ca="1" si="116"/>
        <v>99862.244382605699</v>
      </c>
      <c r="BA270" s="772">
        <f t="shared" ca="1" si="116"/>
        <v>100787.740954939</v>
      </c>
      <c r="BB270" s="772">
        <f t="shared" ca="1" si="116"/>
        <v>100787.740954939</v>
      </c>
      <c r="BC270" s="772">
        <f t="shared" ca="1" si="116"/>
        <v>100493.61280607262</v>
      </c>
      <c r="BD270" s="772">
        <f t="shared" ca="1" si="116"/>
        <v>100185.56239283262</v>
      </c>
      <c r="BE270" s="772">
        <f t="shared" ca="1" si="116"/>
        <v>100185.56239283262</v>
      </c>
      <c r="BF270" s="772">
        <f t="shared" ca="1" si="116"/>
        <v>99862.244382605699</v>
      </c>
      <c r="BG270" s="772">
        <f t="shared" ca="1" si="116"/>
        <v>99862.244382605699</v>
      </c>
      <c r="BH270" s="772">
        <f t="shared" ca="1" si="127"/>
        <v>99522.18320800137</v>
      </c>
      <c r="BI270" s="772">
        <f t="shared" ca="1" si="127"/>
        <v>99522.18320800137</v>
      </c>
      <c r="BJ270" s="772">
        <f t="shared" ca="1" si="127"/>
        <v>100493.61280607262</v>
      </c>
      <c r="BK270" s="772">
        <f t="shared" ca="1" si="127"/>
        <v>100493.61280607262</v>
      </c>
      <c r="BL270" s="772">
        <f t="shared" ca="1" si="127"/>
        <v>100493.61280607262</v>
      </c>
      <c r="BM270" s="772">
        <f t="shared" ca="1" si="127"/>
        <v>100493.61280607262</v>
      </c>
      <c r="BN270" s="772">
        <f t="shared" ca="1" si="127"/>
        <v>99862.244382605699</v>
      </c>
      <c r="BO270" s="772">
        <f t="shared" ca="1" si="127"/>
        <v>99862.244382605699</v>
      </c>
      <c r="BP270" s="772">
        <f t="shared" ca="1" si="126"/>
        <v>99522.18320800137</v>
      </c>
      <c r="BQ270" s="772">
        <f t="shared" ca="1" si="126"/>
        <v>99522.18320800137</v>
      </c>
      <c r="BR270" s="772">
        <f t="shared" ca="1" si="126"/>
        <v>99163.760151581941</v>
      </c>
      <c r="BS270" s="772">
        <f t="shared" ca="1" si="126"/>
        <v>100493.61280607262</v>
      </c>
      <c r="BT270" s="772">
        <f t="shared" ca="1" si="126"/>
        <v>100493.61280607262</v>
      </c>
      <c r="BU270" s="772">
        <f t="shared" ca="1" si="126"/>
        <v>100493.61280607262</v>
      </c>
      <c r="BV270" s="772">
        <f t="shared" ca="1" si="126"/>
        <v>100185.56239283262</v>
      </c>
      <c r="BW270" s="772">
        <f t="shared" ca="1" si="125"/>
        <v>100185.56239283262</v>
      </c>
      <c r="BX270" s="772">
        <f t="shared" ca="1" si="123"/>
        <v>99522.18320800137</v>
      </c>
      <c r="BY270" s="772">
        <f t="shared" ca="1" si="123"/>
        <v>99522.18320800137</v>
      </c>
      <c r="BZ270" s="772">
        <f t="shared" ca="1" si="123"/>
        <v>99163.760151581941</v>
      </c>
      <c r="CA270" s="772">
        <f t="shared" ca="1" si="123"/>
        <v>99163.760151581941</v>
      </c>
      <c r="CB270" s="772">
        <f t="shared" ca="1" si="123"/>
        <v>100185.56239283262</v>
      </c>
      <c r="CC270" s="772">
        <f t="shared" ca="1" si="123"/>
        <v>100185.56239283262</v>
      </c>
      <c r="CD270" s="772">
        <f t="shared" ca="1" si="121"/>
        <v>100185.56239283262</v>
      </c>
      <c r="CE270" s="772">
        <f t="shared" ca="1" si="121"/>
        <v>100185.56239283262</v>
      </c>
      <c r="CF270" s="772">
        <f t="shared" ca="1" si="121"/>
        <v>99862.244382605699</v>
      </c>
      <c r="CG270" s="772">
        <f t="shared" ca="1" si="121"/>
        <v>99522.18320800137</v>
      </c>
      <c r="CH270" s="772">
        <f t="shared" ca="1" si="121"/>
        <v>99163.760151581941</v>
      </c>
      <c r="CI270" s="772">
        <f t="shared" ca="1" si="121"/>
        <v>99163.760151581941</v>
      </c>
      <c r="CJ270" s="772">
        <f t="shared" ca="1" si="121"/>
        <v>98785.200026382896</v>
      </c>
    </row>
    <row r="271" spans="1:88" ht="15" customHeight="1">
      <c r="A271" s="770">
        <f>'kc-Wert für Stützen'!C271</f>
        <v>323</v>
      </c>
      <c r="B271" s="768">
        <f ca="1">INDIRECT("'kc-Wert für Stützen'!"&amp;SUBSTITUTE(ADDRESS(MATCH($A271,'kc-Wert für Stützen'!$C:$C,0),MATCH(B$7,'kc-Wert für Stützen'!$A$8:$ES$8,0)+7,4),,))</f>
        <v>101992.47056736803</v>
      </c>
      <c r="C271" s="768">
        <f ca="1">INDIRECT("'kc-Wert für Stützen'!"&amp;SUBSTITUTE(ADDRESS(MATCH($A271,'kc-Wert für Stützen'!$C:$C,0),MATCH(C$7,'kc-Wert für Stützen'!$A$8:$ES$8,0)+7,4),,))</f>
        <v>101722.74729986356</v>
      </c>
      <c r="D271" s="768">
        <f ca="1">INDIRECT("'kc-Wert für Stützen'!"&amp;SUBSTITUTE(ADDRESS(MATCH($A271,'kc-Wert für Stützen'!$C:$C,0),MATCH(D$7,'kc-Wert für Stützen'!$A$8:$ES$8,0)+7,4),,))</f>
        <v>101441.54581214263</v>
      </c>
      <c r="E271" s="768">
        <f ca="1">INDIRECT("'kc-Wert für Stützen'!"&amp;SUBSTITUTE(ADDRESS(MATCH($A271,'kc-Wert für Stützen'!$C:$C,0),MATCH(E$7,'kc-Wert für Stützen'!$A$8:$ES$8,0)+7,4),,))</f>
        <v>101147.7578936214</v>
      </c>
      <c r="F271" s="768">
        <f ca="1">INDIRECT("'kc-Wert für Stützen'!"&amp;SUBSTITUTE(ADDRESS(MATCH($A271,'kc-Wert für Stützen'!$C:$C,0),MATCH(F$7,'kc-Wert für Stützen'!$A$8:$ES$8,0)+7,4),,))</f>
        <v>100840.17049683086</v>
      </c>
      <c r="G271" s="768">
        <f ca="1">INDIRECT("'kc-Wert für Stützen'!"&amp;SUBSTITUTE(ADDRESS(MATCH($A271,'kc-Wert für Stützen'!$C:$C,0),MATCH(G$7,'kc-Wert für Stützen'!$A$8:$ES$8,0)+7,4),,))</f>
        <v>100517.4544591724</v>
      </c>
      <c r="H271" s="768">
        <f ca="1">INDIRECT("'kc-Wert für Stützen'!"&amp;SUBSTITUTE(ADDRESS(MATCH($A271,'kc-Wert für Stützen'!$C:$C,0),MATCH(H$7,'kc-Wert für Stützen'!$A$8:$ES$8,0)+7,4),,))</f>
        <v>100178.15242833301</v>
      </c>
      <c r="I271" s="768">
        <f ca="1">INDIRECT("'kc-Wert für Stützen'!"&amp;SUBSTITUTE(ADDRESS(MATCH($A271,'kc-Wert für Stützen'!$C:$C,0),MATCH(I$7,'kc-Wert für Stützen'!$A$8:$ES$8,0)+7,4),,))</f>
        <v>99820.666122449111</v>
      </c>
      <c r="J271" s="768">
        <f ca="1">INDIRECT("'kc-Wert für Stützen'!"&amp;SUBSTITUTE(ADDRESS(MATCH($A271,'kc-Wert für Stützen'!$C:$C,0),MATCH(J$7,'kc-Wert für Stützen'!$A$8:$ES$8,0)+7,4),,))</f>
        <v>99443.243159430203</v>
      </c>
      <c r="K271" s="768">
        <f ca="1">INDIRECT("'kc-Wert für Stützen'!"&amp;SUBSTITUTE(ADDRESS(MATCH($A271,'kc-Wert für Stützen'!$C:$C,0),MATCH(K$7,'kc-Wert für Stützen'!$A$8:$ES$8,0)+7,4),,))</f>
        <v>99043.963834111506</v>
      </c>
      <c r="L271" s="768">
        <f ca="1">INDIRECT("'kc-Wert für Stützen'!"&amp;SUBSTITUTE(ADDRESS(MATCH($A271,'kc-Wert für Stützen'!$C:$C,0),MATCH(L$7,'kc-Wert für Stützen'!$A$8:$ES$8,0)+7,4),,))</f>
        <v>98620.728418766128</v>
      </c>
      <c r="M271" s="768">
        <f ca="1">INDIRECT("'kc-Wert für Stützen'!"&amp;SUBSTITUTE(ADDRESS(MATCH($A271,'kc-Wert für Stützen'!$C:$C,0),MATCH(M$7,'kc-Wert für Stützen'!$A$8:$ES$8,0)+7,4),,))</f>
        <v>98171.245824848666</v>
      </c>
      <c r="N271" s="768">
        <f ca="1">INDIRECT("'kc-Wert für Stützen'!"&amp;SUBSTITUTE(ADDRESS(MATCH($A271,'kc-Wert für Stützen'!$C:$C,0),MATCH(N$7,'kc-Wert für Stützen'!$A$8:$ES$8,0)+7,4),,))</f>
        <v>97693.024804263667</v>
      </c>
      <c r="O271" s="768">
        <f ca="1">INDIRECT("'kc-Wert für Stützen'!"&amp;SUBSTITUTE(ADDRESS(MATCH($A271,'kc-Wert für Stützen'!$C:$C,0),MATCH(O$7,'kc-Wert für Stützen'!$A$8:$ES$8,0)+7,4),,))</f>
        <v>97183.369296311925</v>
      </c>
      <c r="P271" s="768">
        <f ca="1">INDIRECT("'kc-Wert für Stützen'!"&amp;SUBSTITUTE(ADDRESS(MATCH($A271,'kc-Wert für Stützen'!$C:$C,0),MATCH(P$7,'kc-Wert für Stützen'!$A$8:$ES$8,0)+7,4),,))</f>
        <v>96639.380042597928</v>
      </c>
      <c r="S271" s="772">
        <f t="shared" ca="1" si="124"/>
        <v>101441.54581214263</v>
      </c>
      <c r="T271" s="772">
        <f t="shared" ca="1" si="112"/>
        <v>101441.54581214263</v>
      </c>
      <c r="U271" s="772">
        <f t="shared" ca="1" si="112"/>
        <v>101441.54581214263</v>
      </c>
      <c r="V271" s="772">
        <f t="shared" ca="1" si="112"/>
        <v>101147.7578936214</v>
      </c>
      <c r="W271" s="772">
        <f t="shared" ca="1" si="112"/>
        <v>100840.17049683086</v>
      </c>
      <c r="X271" s="772">
        <f t="shared" ca="1" si="112"/>
        <v>100517.4544591724</v>
      </c>
      <c r="Y271" s="772">
        <f t="shared" ca="1" si="112"/>
        <v>100178.15242833301</v>
      </c>
      <c r="Z271" s="772">
        <f t="shared" ca="1" si="112"/>
        <v>101441.54581214263</v>
      </c>
      <c r="AA271" s="772">
        <f t="shared" ref="T271:AA300" ca="1" si="128">HLOOKUP(AA$7,$A$7:$P$348,ROW()-6)</f>
        <v>101441.54581214263</v>
      </c>
      <c r="AB271" s="772">
        <f t="shared" ca="1" si="115"/>
        <v>101147.7578936214</v>
      </c>
      <c r="AC271" s="772">
        <f t="shared" ca="1" si="115"/>
        <v>101147.7578936214</v>
      </c>
      <c r="AD271" s="772">
        <f t="shared" ca="1" si="115"/>
        <v>100840.17049683086</v>
      </c>
      <c r="AE271" s="772">
        <f t="shared" ca="1" si="115"/>
        <v>100840.17049683086</v>
      </c>
      <c r="AF271" s="772">
        <f t="shared" ca="1" si="115"/>
        <v>100517.4544591724</v>
      </c>
      <c r="AG271" s="772">
        <f t="shared" ca="1" si="115"/>
        <v>100517.4544591724</v>
      </c>
      <c r="AH271" s="772">
        <f t="shared" ca="1" si="115"/>
        <v>100517.4544591724</v>
      </c>
      <c r="AI271" s="772">
        <f t="shared" ca="1" si="115"/>
        <v>101441.54581214263</v>
      </c>
      <c r="AJ271" s="772">
        <f t="shared" ca="1" si="115"/>
        <v>101441.54581214263</v>
      </c>
      <c r="AK271" s="772">
        <f t="shared" ca="1" si="115"/>
        <v>101147.7578936214</v>
      </c>
      <c r="AL271" s="772">
        <f t="shared" ca="1" si="115"/>
        <v>101147.7578936214</v>
      </c>
      <c r="AM271" s="772">
        <f t="shared" ca="1" si="115"/>
        <v>100840.17049683086</v>
      </c>
      <c r="AN271" s="772">
        <f t="shared" ca="1" si="115"/>
        <v>100840.17049683086</v>
      </c>
      <c r="AO271" s="772">
        <f t="shared" ca="1" si="115"/>
        <v>100517.4544591724</v>
      </c>
      <c r="AP271" s="772">
        <f t="shared" ca="1" si="115"/>
        <v>100517.4544591724</v>
      </c>
      <c r="AQ271" s="772">
        <f t="shared" ref="AQ271:AQ284" ca="1" si="129">HLOOKUP(AQ$7,$A$7:$P$348,ROW()-6)</f>
        <v>100517.4544591724</v>
      </c>
      <c r="AR271" s="772">
        <f t="shared" ca="1" si="122"/>
        <v>101441.54581214263</v>
      </c>
      <c r="AS271" s="772">
        <f t="shared" ca="1" si="122"/>
        <v>101441.54581214263</v>
      </c>
      <c r="AT271" s="772">
        <f t="shared" ca="1" si="122"/>
        <v>101147.7578936214</v>
      </c>
      <c r="AU271" s="772">
        <f t="shared" ca="1" si="122"/>
        <v>101147.7578936214</v>
      </c>
      <c r="AV271" s="772">
        <f t="shared" ca="1" si="122"/>
        <v>100840.17049683086</v>
      </c>
      <c r="AW271" s="772">
        <f t="shared" ca="1" si="122"/>
        <v>100840.17049683086</v>
      </c>
      <c r="AX271" s="772">
        <f t="shared" ca="1" si="122"/>
        <v>100517.4544591724</v>
      </c>
      <c r="AY271" s="772">
        <f t="shared" ca="1" si="122"/>
        <v>100517.4544591724</v>
      </c>
      <c r="AZ271" s="772">
        <f t="shared" ca="1" si="116"/>
        <v>100517.4544591724</v>
      </c>
      <c r="BA271" s="772">
        <f t="shared" ca="1" si="116"/>
        <v>101441.54581214263</v>
      </c>
      <c r="BB271" s="772">
        <f t="shared" ca="1" si="116"/>
        <v>101441.54581214263</v>
      </c>
      <c r="BC271" s="772">
        <f t="shared" ca="1" si="116"/>
        <v>101147.7578936214</v>
      </c>
      <c r="BD271" s="772">
        <f t="shared" ca="1" si="116"/>
        <v>100840.17049683086</v>
      </c>
      <c r="BE271" s="772">
        <f t="shared" ca="1" si="116"/>
        <v>100840.17049683086</v>
      </c>
      <c r="BF271" s="772">
        <f t="shared" ca="1" si="116"/>
        <v>100517.4544591724</v>
      </c>
      <c r="BG271" s="772">
        <f t="shared" ca="1" si="116"/>
        <v>100517.4544591724</v>
      </c>
      <c r="BH271" s="772">
        <f t="shared" ca="1" si="127"/>
        <v>100178.15242833301</v>
      </c>
      <c r="BI271" s="772">
        <f t="shared" ca="1" si="127"/>
        <v>100178.15242833301</v>
      </c>
      <c r="BJ271" s="772">
        <f t="shared" ca="1" si="127"/>
        <v>101147.7578936214</v>
      </c>
      <c r="BK271" s="772">
        <f t="shared" ca="1" si="127"/>
        <v>101147.7578936214</v>
      </c>
      <c r="BL271" s="772">
        <f t="shared" ca="1" si="127"/>
        <v>101147.7578936214</v>
      </c>
      <c r="BM271" s="772">
        <f t="shared" ca="1" si="127"/>
        <v>101147.7578936214</v>
      </c>
      <c r="BN271" s="772">
        <f t="shared" ca="1" si="127"/>
        <v>100517.4544591724</v>
      </c>
      <c r="BO271" s="772">
        <f t="shared" ca="1" si="127"/>
        <v>100517.4544591724</v>
      </c>
      <c r="BP271" s="772">
        <f t="shared" ca="1" si="126"/>
        <v>100178.15242833301</v>
      </c>
      <c r="BQ271" s="772">
        <f t="shared" ca="1" si="126"/>
        <v>100178.15242833301</v>
      </c>
      <c r="BR271" s="772">
        <f t="shared" ca="1" si="126"/>
        <v>99820.666122449111</v>
      </c>
      <c r="BS271" s="772">
        <f t="shared" ca="1" si="126"/>
        <v>101147.7578936214</v>
      </c>
      <c r="BT271" s="772">
        <f t="shared" ca="1" si="126"/>
        <v>101147.7578936214</v>
      </c>
      <c r="BU271" s="772">
        <f t="shared" ca="1" si="126"/>
        <v>101147.7578936214</v>
      </c>
      <c r="BV271" s="772">
        <f t="shared" ca="1" si="126"/>
        <v>100840.17049683086</v>
      </c>
      <c r="BW271" s="772">
        <f t="shared" ca="1" si="125"/>
        <v>100840.17049683086</v>
      </c>
      <c r="BX271" s="772">
        <f t="shared" ca="1" si="123"/>
        <v>100178.15242833301</v>
      </c>
      <c r="BY271" s="772">
        <f t="shared" ca="1" si="123"/>
        <v>100178.15242833301</v>
      </c>
      <c r="BZ271" s="772">
        <f t="shared" ca="1" si="123"/>
        <v>99820.666122449111</v>
      </c>
      <c r="CA271" s="772">
        <f t="shared" ca="1" si="123"/>
        <v>99820.666122449111</v>
      </c>
      <c r="CB271" s="772">
        <f t="shared" ca="1" si="123"/>
        <v>100840.17049683086</v>
      </c>
      <c r="CC271" s="772">
        <f t="shared" ca="1" si="123"/>
        <v>100840.17049683086</v>
      </c>
      <c r="CD271" s="772">
        <f t="shared" ca="1" si="121"/>
        <v>100840.17049683086</v>
      </c>
      <c r="CE271" s="772">
        <f t="shared" ca="1" si="121"/>
        <v>100840.17049683086</v>
      </c>
      <c r="CF271" s="772">
        <f t="shared" ca="1" si="121"/>
        <v>100517.4544591724</v>
      </c>
      <c r="CG271" s="772">
        <f t="shared" ca="1" si="121"/>
        <v>100178.15242833301</v>
      </c>
      <c r="CH271" s="772">
        <f t="shared" ca="1" si="121"/>
        <v>99820.666122449111</v>
      </c>
      <c r="CI271" s="772">
        <f t="shared" ca="1" si="121"/>
        <v>99820.666122449111</v>
      </c>
      <c r="CJ271" s="772">
        <f t="shared" ca="1" si="121"/>
        <v>99443.243159430203</v>
      </c>
    </row>
    <row r="272" spans="1:88" ht="15" customHeight="1">
      <c r="A272" s="770">
        <f>'kc-Wert für Stützen'!C272</f>
        <v>324</v>
      </c>
      <c r="B272" s="768">
        <f ca="1">INDIRECT("'kc-Wert für Stützen'!"&amp;SUBSTITUTE(ADDRESS(MATCH($A272,'kc-Wert für Stützen'!$C:$C,0),MATCH(B$7,'kc-Wert für Stützen'!$A$8:$ES$8,0)+7,4),,))</f>
        <v>102647.92626044244</v>
      </c>
      <c r="C272" s="768">
        <f ca="1">INDIRECT("'kc-Wert für Stützen'!"&amp;SUBSTITUTE(ADDRESS(MATCH($A272,'kc-Wert für Stützen'!$C:$C,0),MATCH(C$7,'kc-Wert für Stützen'!$A$8:$ES$8,0)+7,4),,))</f>
        <v>102378.33101643196</v>
      </c>
      <c r="D272" s="768">
        <f ca="1">INDIRECT("'kc-Wert für Stützen'!"&amp;SUBSTITUTE(ADDRESS(MATCH($A272,'kc-Wert für Stützen'!$C:$C,0),MATCH(D$7,'kc-Wert für Stützen'!$A$8:$ES$8,0)+7,4),,))</f>
        <v>102097.35204085389</v>
      </c>
      <c r="E272" s="768">
        <f ca="1">INDIRECT("'kc-Wert für Stützen'!"&amp;SUBSTITUTE(ADDRESS(MATCH($A272,'kc-Wert für Stützen'!$C:$C,0),MATCH(E$7,'kc-Wert für Stützen'!$A$8:$ES$8,0)+7,4),,))</f>
        <v>101803.89353820951</v>
      </c>
      <c r="F272" s="768">
        <f ca="1">INDIRECT("'kc-Wert für Stützen'!"&amp;SUBSTITUTE(ADDRESS(MATCH($A272,'kc-Wert für Stützen'!$C:$C,0),MATCH(F$7,'kc-Wert für Stützen'!$A$8:$ES$8,0)+7,4),,))</f>
        <v>101496.75651843657</v>
      </c>
      <c r="G272" s="768">
        <f ca="1">INDIRECT("'kc-Wert für Stützen'!"&amp;SUBSTITUTE(ADDRESS(MATCH($A272,'kc-Wert für Stützen'!$C:$C,0),MATCH(G$7,'kc-Wert für Stützen'!$A$8:$ES$8,0)+7,4),,))</f>
        <v>101174.62770088633</v>
      </c>
      <c r="H272" s="768">
        <f ca="1">INDIRECT("'kc-Wert für Stützen'!"&amp;SUBSTITUTE(ADDRESS(MATCH($A272,'kc-Wert für Stützen'!$C:$C,0),MATCH(H$7,'kc-Wert für Stützen'!$A$8:$ES$8,0)+7,4),,))</f>
        <v>100836.06762340679</v>
      </c>
      <c r="I272" s="768">
        <f ca="1">INDIRECT("'kc-Wert für Stützen'!"&amp;SUBSTITUTE(ADDRESS(MATCH($A272,'kc-Wert für Stützen'!$C:$C,0),MATCH(I$7,'kc-Wert für Stützen'!$A$8:$ES$8,0)+7,4),,))</f>
        <v>100479.49807743834</v>
      </c>
      <c r="J272" s="768">
        <f ca="1">INDIRECT("'kc-Wert für Stützen'!"&amp;SUBSTITUTE(ADDRESS(MATCH($A272,'kc-Wert für Stützen'!$C:$C,0),MATCH(J$7,'kc-Wert für Stützen'!$A$8:$ES$8,0)+7,4),,))</f>
        <v>100103.18908802069</v>
      </c>
      <c r="K272" s="768">
        <f ca="1">INDIRECT("'kc-Wert für Stützen'!"&amp;SUBSTITUTE(ADDRESS(MATCH($A272,'kc-Wert für Stützen'!$C:$C,0),MATCH(K$7,'kc-Wert für Stützen'!$A$8:$ES$8,0)+7,4),,))</f>
        <v>99705.245794600778</v>
      </c>
      <c r="L272" s="768">
        <f ca="1">INDIRECT("'kc-Wert für Stützen'!"&amp;SUBSTITUTE(ADDRESS(MATCH($A272,'kc-Wert für Stützen'!$C:$C,0),MATCH(L$7,'kc-Wert für Stützen'!$A$8:$ES$8,0)+7,4),,))</f>
        <v>99283.595775753201</v>
      </c>
      <c r="M272" s="768">
        <f ca="1">INDIRECT("'kc-Wert für Stützen'!"&amp;SUBSTITUTE(ADDRESS(MATCH($A272,'kc-Wert für Stützen'!$C:$C,0),MATCH(M$7,'kc-Wert für Stützen'!$A$8:$ES$8,0)+7,4),,))</f>
        <v>98835.977610853035</v>
      </c>
      <c r="N272" s="768">
        <f ca="1">INDIRECT("'kc-Wert für Stützen'!"&amp;SUBSTITUTE(ADDRESS(MATCH($A272,'kc-Wert für Stützen'!$C:$C,0),MATCH(N$7,'kc-Wert für Stützen'!$A$8:$ES$8,0)+7,4),,))</f>
        <v>98359.931796826233</v>
      </c>
      <c r="O272" s="768">
        <f ca="1">INDIRECT("'kc-Wert für Stützen'!"&amp;SUBSTITUTE(ADDRESS(MATCH($A272,'kc-Wert für Stützen'!$C:$C,0),MATCH(O$7,'kc-Wert für Stützen'!$A$8:$ES$8,0)+7,4),,))</f>
        <v>97852.795548030146</v>
      </c>
      <c r="P272" s="768">
        <f ca="1">INDIRECT("'kc-Wert für Stützen'!"&amp;SUBSTITUTE(ADDRESS(MATCH($A272,'kc-Wert für Stützen'!$C:$C,0),MATCH(P$7,'kc-Wert für Stützen'!$A$8:$ES$8,0)+7,4),,))</f>
        <v>97311.703504231104</v>
      </c>
      <c r="S272" s="772">
        <f t="shared" ca="1" si="124"/>
        <v>102097.35204085389</v>
      </c>
      <c r="T272" s="772">
        <f t="shared" ca="1" si="128"/>
        <v>102097.35204085389</v>
      </c>
      <c r="U272" s="772">
        <f t="shared" ca="1" si="128"/>
        <v>102097.35204085389</v>
      </c>
      <c r="V272" s="772">
        <f t="shared" ca="1" si="128"/>
        <v>101803.89353820951</v>
      </c>
      <c r="W272" s="772">
        <f t="shared" ca="1" si="128"/>
        <v>101496.75651843657</v>
      </c>
      <c r="X272" s="772">
        <f t="shared" ca="1" si="128"/>
        <v>101174.62770088633</v>
      </c>
      <c r="Y272" s="772">
        <f t="shared" ca="1" si="128"/>
        <v>100836.06762340679</v>
      </c>
      <c r="Z272" s="772">
        <f t="shared" ca="1" si="128"/>
        <v>102097.35204085389</v>
      </c>
      <c r="AA272" s="772">
        <f t="shared" ca="1" si="128"/>
        <v>102097.35204085389</v>
      </c>
      <c r="AB272" s="772">
        <f t="shared" ref="AB272:AP284" ca="1" si="130">HLOOKUP(AB$7,$A$7:$P$348,ROW()-6)</f>
        <v>101803.89353820951</v>
      </c>
      <c r="AC272" s="772">
        <f t="shared" ca="1" si="130"/>
        <v>101803.89353820951</v>
      </c>
      <c r="AD272" s="772">
        <f t="shared" ca="1" si="130"/>
        <v>101496.75651843657</v>
      </c>
      <c r="AE272" s="772">
        <f t="shared" ca="1" si="130"/>
        <v>101496.75651843657</v>
      </c>
      <c r="AF272" s="772">
        <f t="shared" ca="1" si="130"/>
        <v>101174.62770088633</v>
      </c>
      <c r="AG272" s="772">
        <f t="shared" ca="1" si="130"/>
        <v>101174.62770088633</v>
      </c>
      <c r="AH272" s="772">
        <f t="shared" ca="1" si="130"/>
        <v>101174.62770088633</v>
      </c>
      <c r="AI272" s="772">
        <f t="shared" ca="1" si="130"/>
        <v>102097.35204085389</v>
      </c>
      <c r="AJ272" s="772">
        <f t="shared" ca="1" si="130"/>
        <v>102097.35204085389</v>
      </c>
      <c r="AK272" s="772">
        <f t="shared" ca="1" si="130"/>
        <v>101803.89353820951</v>
      </c>
      <c r="AL272" s="772">
        <f t="shared" ca="1" si="130"/>
        <v>101803.89353820951</v>
      </c>
      <c r="AM272" s="772">
        <f t="shared" ca="1" si="130"/>
        <v>101496.75651843657</v>
      </c>
      <c r="AN272" s="772">
        <f t="shared" ca="1" si="130"/>
        <v>101496.75651843657</v>
      </c>
      <c r="AO272" s="772">
        <f t="shared" ca="1" si="130"/>
        <v>101174.62770088633</v>
      </c>
      <c r="AP272" s="772">
        <f t="shared" ca="1" si="130"/>
        <v>101174.62770088633</v>
      </c>
      <c r="AQ272" s="772">
        <f t="shared" ca="1" si="129"/>
        <v>101174.62770088633</v>
      </c>
      <c r="AR272" s="772">
        <f t="shared" ca="1" si="122"/>
        <v>102097.35204085389</v>
      </c>
      <c r="AS272" s="772">
        <f t="shared" ca="1" si="122"/>
        <v>102097.35204085389</v>
      </c>
      <c r="AT272" s="772">
        <f t="shared" ca="1" si="122"/>
        <v>101803.89353820951</v>
      </c>
      <c r="AU272" s="772">
        <f t="shared" ca="1" si="122"/>
        <v>101803.89353820951</v>
      </c>
      <c r="AV272" s="772">
        <f t="shared" ca="1" si="122"/>
        <v>101496.75651843657</v>
      </c>
      <c r="AW272" s="772">
        <f t="shared" ca="1" si="122"/>
        <v>101496.75651843657</v>
      </c>
      <c r="AX272" s="772">
        <f t="shared" ca="1" si="122"/>
        <v>101174.62770088633</v>
      </c>
      <c r="AY272" s="772">
        <f t="shared" ca="1" si="122"/>
        <v>101174.62770088633</v>
      </c>
      <c r="AZ272" s="772">
        <f t="shared" ca="1" si="116"/>
        <v>101174.62770088633</v>
      </c>
      <c r="BA272" s="772">
        <f t="shared" ca="1" si="116"/>
        <v>102097.35204085389</v>
      </c>
      <c r="BB272" s="772">
        <f t="shared" ca="1" si="116"/>
        <v>102097.35204085389</v>
      </c>
      <c r="BC272" s="772">
        <f t="shared" ca="1" si="116"/>
        <v>101803.89353820951</v>
      </c>
      <c r="BD272" s="772">
        <f t="shared" ca="1" si="116"/>
        <v>101496.75651843657</v>
      </c>
      <c r="BE272" s="772">
        <f t="shared" ca="1" si="116"/>
        <v>101496.75651843657</v>
      </c>
      <c r="BF272" s="772">
        <f t="shared" ca="1" si="116"/>
        <v>101174.62770088633</v>
      </c>
      <c r="BG272" s="772">
        <f t="shared" ca="1" si="116"/>
        <v>101174.62770088633</v>
      </c>
      <c r="BH272" s="772">
        <f t="shared" ca="1" si="127"/>
        <v>100836.06762340679</v>
      </c>
      <c r="BI272" s="772">
        <f t="shared" ca="1" si="127"/>
        <v>100836.06762340679</v>
      </c>
      <c r="BJ272" s="772">
        <f t="shared" ca="1" si="127"/>
        <v>101803.89353820951</v>
      </c>
      <c r="BK272" s="772">
        <f t="shared" ca="1" si="127"/>
        <v>101803.89353820951</v>
      </c>
      <c r="BL272" s="772">
        <f t="shared" ca="1" si="127"/>
        <v>101803.89353820951</v>
      </c>
      <c r="BM272" s="772">
        <f t="shared" ca="1" si="127"/>
        <v>101803.89353820951</v>
      </c>
      <c r="BN272" s="772">
        <f t="shared" ca="1" si="127"/>
        <v>101174.62770088633</v>
      </c>
      <c r="BO272" s="772">
        <f t="shared" ca="1" si="127"/>
        <v>101174.62770088633</v>
      </c>
      <c r="BP272" s="772">
        <f t="shared" ca="1" si="126"/>
        <v>100836.06762340679</v>
      </c>
      <c r="BQ272" s="772">
        <f t="shared" ca="1" si="126"/>
        <v>100836.06762340679</v>
      </c>
      <c r="BR272" s="772">
        <f t="shared" ca="1" si="126"/>
        <v>100479.49807743834</v>
      </c>
      <c r="BS272" s="772">
        <f t="shared" ca="1" si="126"/>
        <v>101803.89353820951</v>
      </c>
      <c r="BT272" s="772">
        <f t="shared" ca="1" si="126"/>
        <v>101803.89353820951</v>
      </c>
      <c r="BU272" s="772">
        <f t="shared" ca="1" si="126"/>
        <v>101803.89353820951</v>
      </c>
      <c r="BV272" s="772">
        <f t="shared" ca="1" si="126"/>
        <v>101496.75651843657</v>
      </c>
      <c r="BW272" s="772">
        <f t="shared" ca="1" si="125"/>
        <v>101496.75651843657</v>
      </c>
      <c r="BX272" s="772">
        <f t="shared" ca="1" si="123"/>
        <v>100836.06762340679</v>
      </c>
      <c r="BY272" s="772">
        <f t="shared" ca="1" si="123"/>
        <v>100836.06762340679</v>
      </c>
      <c r="BZ272" s="772">
        <f t="shared" ca="1" si="123"/>
        <v>100479.49807743834</v>
      </c>
      <c r="CA272" s="772">
        <f t="shared" ca="1" si="123"/>
        <v>100479.49807743834</v>
      </c>
      <c r="CB272" s="772">
        <f t="shared" ca="1" si="123"/>
        <v>101496.75651843657</v>
      </c>
      <c r="CC272" s="772">
        <f t="shared" ca="1" si="123"/>
        <v>101496.75651843657</v>
      </c>
      <c r="CD272" s="772">
        <f t="shared" ref="CD272:CJ280" ca="1" si="131">HLOOKUP(CD$7,$A$7:$P$348,ROW()-6)</f>
        <v>101496.75651843657</v>
      </c>
      <c r="CE272" s="772">
        <f t="shared" ca="1" si="131"/>
        <v>101496.75651843657</v>
      </c>
      <c r="CF272" s="772">
        <f t="shared" ca="1" si="131"/>
        <v>101174.62770088633</v>
      </c>
      <c r="CG272" s="772">
        <f t="shared" ca="1" si="131"/>
        <v>100836.06762340679</v>
      </c>
      <c r="CH272" s="772">
        <f t="shared" ca="1" si="131"/>
        <v>100479.49807743834</v>
      </c>
      <c r="CI272" s="772">
        <f t="shared" ca="1" si="131"/>
        <v>100479.49807743834</v>
      </c>
      <c r="CJ272" s="772">
        <f t="shared" ca="1" si="131"/>
        <v>100103.18908802069</v>
      </c>
    </row>
    <row r="273" spans="1:88" ht="15" customHeight="1">
      <c r="A273" s="770">
        <f>'kc-Wert für Stützen'!C273</f>
        <v>325</v>
      </c>
      <c r="B273" s="768">
        <f ca="1">INDIRECT("'kc-Wert für Stützen'!"&amp;SUBSTITUTE(ADDRESS(MATCH($A273,'kc-Wert für Stützen'!$C:$C,0),MATCH(B$7,'kc-Wert für Stützen'!$A$8:$ES$8,0)+7,4),,))</f>
        <v>103305.40108456186</v>
      </c>
      <c r="C273" s="768">
        <f ca="1">INDIRECT("'kc-Wert für Stützen'!"&amp;SUBSTITUTE(ADDRESS(MATCH($A273,'kc-Wert für Stützen'!$C:$C,0),MATCH(C$7,'kc-Wert für Stützen'!$A$8:$ES$8,0)+7,4),,))</f>
        <v>103035.9261055469</v>
      </c>
      <c r="D273" s="768">
        <f ca="1">INDIRECT("'kc-Wert für Stützen'!"&amp;SUBSTITUTE(ADDRESS(MATCH($A273,'kc-Wert für Stützen'!$C:$C,0),MATCH(D$7,'kc-Wert für Stützen'!$A$8:$ES$8,0)+7,4),,))</f>
        <v>102755.16055930888</v>
      </c>
      <c r="E273" s="768">
        <f ca="1">INDIRECT("'kc-Wert für Stützen'!"&amp;SUBSTITUTE(ADDRESS(MATCH($A273,'kc-Wert für Stützen'!$C:$C,0),MATCH(E$7,'kc-Wert für Stützen'!$A$8:$ES$8,0)+7,4),,))</f>
        <v>102462.02084926382</v>
      </c>
      <c r="F273" s="768">
        <f ca="1">INDIRECT("'kc-Wert für Stützen'!"&amp;SUBSTITUTE(ADDRESS(MATCH($A273,'kc-Wert für Stützen'!$C:$C,0),MATCH(F$7,'kc-Wert für Stützen'!$A$8:$ES$8,0)+7,4),,))</f>
        <v>102155.32179506797</v>
      </c>
      <c r="G273" s="768">
        <f ca="1">INDIRECT("'kc-Wert für Stützen'!"&amp;SUBSTITUTE(ADDRESS(MATCH($A273,'kc-Wert für Stützen'!$C:$C,0),MATCH(G$7,'kc-Wert für Stützen'!$A$8:$ES$8,0)+7,4),,))</f>
        <v>101833.76571608249</v>
      </c>
      <c r="H273" s="768">
        <f ca="1">INDIRECT("'kc-Wert für Stützen'!"&amp;SUBSTITUTE(ADDRESS(MATCH($A273,'kc-Wert für Stützen'!$C:$C,0),MATCH(H$7,'kc-Wert für Stützen'!$A$8:$ES$8,0)+7,4),,))</f>
        <v>101495.93072211408</v>
      </c>
      <c r="I273" s="768">
        <f ca="1">INDIRECT("'kc-Wert für Stützen'!"&amp;SUBSTITUTE(ADDRESS(MATCH($A273,'kc-Wert für Stützen'!$C:$C,0),MATCH(I$7,'kc-Wert für Stützen'!$A$8:$ES$8,0)+7,4),,))</f>
        <v>101140.25832276986</v>
      </c>
      <c r="J273" s="768">
        <f ca="1">INDIRECT("'kc-Wert für Stützen'!"&amp;SUBSTITUTE(ADDRESS(MATCH($A273,'kc-Wert für Stützen'!$C:$C,0),MATCH(J$7,'kc-Wert für Stützen'!$A$8:$ES$8,0)+7,4),,))</f>
        <v>100765.04055970001</v>
      </c>
      <c r="K273" s="768">
        <f ca="1">INDIRECT("'kc-Wert für Stützen'!"&amp;SUBSTITUTE(ADDRESS(MATCH($A273,'kc-Wert für Stützen'!$C:$C,0),MATCH(K$7,'kc-Wert für Stützen'!$A$8:$ES$8,0)+7,4),,))</f>
        <v>100368.40699610022</v>
      </c>
      <c r="L273" s="768">
        <f ca="1">INDIRECT("'kc-Wert für Stützen'!"&amp;SUBSTITUTE(ADDRESS(MATCH($A273,'kc-Wert für Stützen'!$C:$C,0),MATCH(L$7,'kc-Wert für Stützen'!$A$8:$ES$8,0)+7,4),,))</f>
        <v>99948.312075894355</v>
      </c>
      <c r="M273" s="768">
        <f ca="1">INDIRECT("'kc-Wert für Stützen'!"&amp;SUBSTITUTE(ADDRESS(MATCH($A273,'kc-Wert für Stützen'!$C:$C,0),MATCH(M$7,'kc-Wert für Stützen'!$A$8:$ES$8,0)+7,4),,))</f>
        <v>99502.52360310714</v>
      </c>
      <c r="N273" s="768">
        <f ca="1">INDIRECT("'kc-Wert für Stützen'!"&amp;SUBSTITUTE(ADDRESS(MATCH($A273,'kc-Wert für Stützen'!$C:$C,0),MATCH(N$7,'kc-Wert für Stützen'!$A$8:$ES$8,0)+7,4),,))</f>
        <v>99028.613402324117</v>
      </c>
      <c r="O273" s="768">
        <f ca="1">INDIRECT("'kc-Wert für Stützen'!"&amp;SUBSTITUTE(ADDRESS(MATCH($A273,'kc-Wert für Stützen'!$C:$C,0),MATCH(O$7,'kc-Wert für Stützen'!$A$8:$ES$8,0)+7,4),,))</f>
        <v>98523.951613763144</v>
      </c>
      <c r="P273" s="768">
        <f ca="1">INDIRECT("'kc-Wert für Stützen'!"&amp;SUBSTITUTE(ADDRESS(MATCH($A273,'kc-Wert für Stützen'!$C:$C,0),MATCH(P$7,'kc-Wert für Stützen'!$A$8:$ES$8,0)+7,4),,))</f>
        <v>97985.70655461977</v>
      </c>
      <c r="S273" s="772">
        <f t="shared" ca="1" si="124"/>
        <v>102755.16055930888</v>
      </c>
      <c r="T273" s="772">
        <f t="shared" ca="1" si="128"/>
        <v>102755.16055930888</v>
      </c>
      <c r="U273" s="772">
        <f t="shared" ca="1" si="128"/>
        <v>102755.16055930888</v>
      </c>
      <c r="V273" s="772">
        <f t="shared" ca="1" si="128"/>
        <v>102462.02084926382</v>
      </c>
      <c r="W273" s="772">
        <f t="shared" ca="1" si="128"/>
        <v>102155.32179506797</v>
      </c>
      <c r="X273" s="772">
        <f t="shared" ca="1" si="128"/>
        <v>101833.76571608249</v>
      </c>
      <c r="Y273" s="772">
        <f t="shared" ca="1" si="128"/>
        <v>101495.93072211408</v>
      </c>
      <c r="Z273" s="772">
        <f t="shared" ca="1" si="128"/>
        <v>102755.16055930888</v>
      </c>
      <c r="AA273" s="772">
        <f t="shared" ca="1" si="128"/>
        <v>102755.16055930888</v>
      </c>
      <c r="AB273" s="772">
        <f t="shared" ca="1" si="130"/>
        <v>102462.02084926382</v>
      </c>
      <c r="AC273" s="772">
        <f t="shared" ca="1" si="130"/>
        <v>102462.02084926382</v>
      </c>
      <c r="AD273" s="772">
        <f t="shared" ca="1" si="130"/>
        <v>102155.32179506797</v>
      </c>
      <c r="AE273" s="772">
        <f t="shared" ca="1" si="130"/>
        <v>102155.32179506797</v>
      </c>
      <c r="AF273" s="772">
        <f t="shared" ca="1" si="130"/>
        <v>101833.76571608249</v>
      </c>
      <c r="AG273" s="772">
        <f t="shared" ca="1" si="130"/>
        <v>101833.76571608249</v>
      </c>
      <c r="AH273" s="772">
        <f t="shared" ca="1" si="130"/>
        <v>101833.76571608249</v>
      </c>
      <c r="AI273" s="772">
        <f t="shared" ca="1" si="130"/>
        <v>102755.16055930888</v>
      </c>
      <c r="AJ273" s="772">
        <f t="shared" ca="1" si="130"/>
        <v>102755.16055930888</v>
      </c>
      <c r="AK273" s="772">
        <f t="shared" ca="1" si="130"/>
        <v>102462.02084926382</v>
      </c>
      <c r="AL273" s="772">
        <f t="shared" ca="1" si="130"/>
        <v>102462.02084926382</v>
      </c>
      <c r="AM273" s="772">
        <f t="shared" ca="1" si="130"/>
        <v>102155.32179506797</v>
      </c>
      <c r="AN273" s="772">
        <f t="shared" ca="1" si="130"/>
        <v>102155.32179506797</v>
      </c>
      <c r="AO273" s="772">
        <f t="shared" ca="1" si="130"/>
        <v>101833.76571608249</v>
      </c>
      <c r="AP273" s="772">
        <f t="shared" ca="1" si="130"/>
        <v>101833.76571608249</v>
      </c>
      <c r="AQ273" s="772">
        <f t="shared" ca="1" si="129"/>
        <v>101833.76571608249</v>
      </c>
      <c r="AR273" s="772">
        <f t="shared" ref="AR273:AY281" ca="1" si="132">HLOOKUP(AR$7,$A$7:$P$348,ROW()-6)</f>
        <v>102755.16055930888</v>
      </c>
      <c r="AS273" s="772">
        <f t="shared" ca="1" si="132"/>
        <v>102755.16055930888</v>
      </c>
      <c r="AT273" s="772">
        <f t="shared" ca="1" si="132"/>
        <v>102462.02084926382</v>
      </c>
      <c r="AU273" s="772">
        <f t="shared" ca="1" si="132"/>
        <v>102462.02084926382</v>
      </c>
      <c r="AV273" s="772">
        <f t="shared" ca="1" si="132"/>
        <v>102155.32179506797</v>
      </c>
      <c r="AW273" s="772">
        <f t="shared" ca="1" si="132"/>
        <v>102155.32179506797</v>
      </c>
      <c r="AX273" s="772">
        <f t="shared" ca="1" si="132"/>
        <v>101833.76571608249</v>
      </c>
      <c r="AY273" s="772">
        <f t="shared" ca="1" si="132"/>
        <v>101833.76571608249</v>
      </c>
      <c r="AZ273" s="772">
        <f t="shared" ca="1" si="116"/>
        <v>101833.76571608249</v>
      </c>
      <c r="BA273" s="772">
        <f t="shared" ca="1" si="116"/>
        <v>102755.16055930888</v>
      </c>
      <c r="BB273" s="772">
        <f t="shared" ca="1" si="116"/>
        <v>102755.16055930888</v>
      </c>
      <c r="BC273" s="772">
        <f t="shared" ca="1" si="116"/>
        <v>102462.02084926382</v>
      </c>
      <c r="BD273" s="772">
        <f t="shared" ca="1" si="116"/>
        <v>102155.32179506797</v>
      </c>
      <c r="BE273" s="772">
        <f t="shared" ca="1" si="116"/>
        <v>102155.32179506797</v>
      </c>
      <c r="BF273" s="772">
        <f t="shared" ca="1" si="116"/>
        <v>101833.76571608249</v>
      </c>
      <c r="BG273" s="772">
        <f t="shared" ca="1" si="116"/>
        <v>101833.76571608249</v>
      </c>
      <c r="BH273" s="772">
        <f t="shared" ca="1" si="116"/>
        <v>101495.93072211408</v>
      </c>
      <c r="BI273" s="772">
        <f t="shared" ca="1" si="116"/>
        <v>101495.93072211408</v>
      </c>
      <c r="BJ273" s="772">
        <f t="shared" ca="1" si="116"/>
        <v>102462.02084926382</v>
      </c>
      <c r="BK273" s="772">
        <f t="shared" ca="1" si="116"/>
        <v>102462.02084926382</v>
      </c>
      <c r="BL273" s="772">
        <f t="shared" ca="1" si="116"/>
        <v>102462.02084926382</v>
      </c>
      <c r="BM273" s="772">
        <f t="shared" ca="1" si="116"/>
        <v>102462.02084926382</v>
      </c>
      <c r="BN273" s="772">
        <f t="shared" ca="1" si="116"/>
        <v>101833.76571608249</v>
      </c>
      <c r="BO273" s="772">
        <f t="shared" ref="BO273:BO298" ca="1" si="133">HLOOKUP(BO$7,$A$7:$P$348,ROW()-6)</f>
        <v>101833.76571608249</v>
      </c>
      <c r="BP273" s="772">
        <f t="shared" ca="1" si="126"/>
        <v>101495.93072211408</v>
      </c>
      <c r="BQ273" s="772">
        <f t="shared" ca="1" si="126"/>
        <v>101495.93072211408</v>
      </c>
      <c r="BR273" s="772">
        <f t="shared" ca="1" si="126"/>
        <v>101140.25832276986</v>
      </c>
      <c r="BS273" s="772">
        <f t="shared" ca="1" si="126"/>
        <v>102462.02084926382</v>
      </c>
      <c r="BT273" s="772">
        <f t="shared" ca="1" si="126"/>
        <v>102462.02084926382</v>
      </c>
      <c r="BU273" s="772">
        <f t="shared" ca="1" si="126"/>
        <v>102462.02084926382</v>
      </c>
      <c r="BV273" s="772">
        <f t="shared" ca="1" si="126"/>
        <v>102155.32179506797</v>
      </c>
      <c r="BW273" s="772">
        <f t="shared" ca="1" si="125"/>
        <v>102155.32179506797</v>
      </c>
      <c r="BX273" s="772">
        <f t="shared" ref="BX273:CC281" ca="1" si="134">HLOOKUP(BX$7,$A$7:$P$348,ROW()-6)</f>
        <v>101495.93072211408</v>
      </c>
      <c r="BY273" s="772">
        <f t="shared" ca="1" si="134"/>
        <v>101495.93072211408</v>
      </c>
      <c r="BZ273" s="772">
        <f t="shared" ca="1" si="134"/>
        <v>101140.25832276986</v>
      </c>
      <c r="CA273" s="772">
        <f t="shared" ca="1" si="134"/>
        <v>101140.25832276986</v>
      </c>
      <c r="CB273" s="772">
        <f t="shared" ca="1" si="134"/>
        <v>102155.32179506797</v>
      </c>
      <c r="CC273" s="772">
        <f t="shared" ca="1" si="134"/>
        <v>102155.32179506797</v>
      </c>
      <c r="CD273" s="772">
        <f t="shared" ca="1" si="131"/>
        <v>102155.32179506797</v>
      </c>
      <c r="CE273" s="772">
        <f t="shared" ca="1" si="131"/>
        <v>102155.32179506797</v>
      </c>
      <c r="CF273" s="772">
        <f t="shared" ca="1" si="131"/>
        <v>101833.76571608249</v>
      </c>
      <c r="CG273" s="772">
        <f t="shared" ca="1" si="131"/>
        <v>101495.93072211408</v>
      </c>
      <c r="CH273" s="772">
        <f t="shared" ca="1" si="131"/>
        <v>101140.25832276986</v>
      </c>
      <c r="CI273" s="772">
        <f t="shared" ca="1" si="131"/>
        <v>101140.25832276986</v>
      </c>
      <c r="CJ273" s="772">
        <f t="shared" ca="1" si="131"/>
        <v>100765.04055970001</v>
      </c>
    </row>
    <row r="274" spans="1:88" ht="15" customHeight="1">
      <c r="A274" s="770">
        <f>'kc-Wert für Stützen'!C274</f>
        <v>326</v>
      </c>
      <c r="B274" s="768">
        <f ca="1">INDIRECT("'kc-Wert für Stützen'!"&amp;SUBSTITUTE(ADDRESS(MATCH($A274,'kc-Wert für Stützen'!$C:$C,0),MATCH(B$7,'kc-Wert für Stützen'!$A$8:$ES$8,0)+7,4),,))</f>
        <v>103964.89565249959</v>
      </c>
      <c r="C274" s="768">
        <f ca="1">INDIRECT("'kc-Wert für Stützen'!"&amp;SUBSTITUTE(ADDRESS(MATCH($A274,'kc-Wert für Stützen'!$C:$C,0),MATCH(C$7,'kc-Wert für Stützen'!$A$8:$ES$8,0)+7,4),,))</f>
        <v>103695.53331036432</v>
      </c>
      <c r="D274" s="768">
        <f ca="1">INDIRECT("'kc-Wert für Stützen'!"&amp;SUBSTITUTE(ADDRESS(MATCH($A274,'kc-Wert für Stützen'!$C:$C,0),MATCH(D$7,'kc-Wert für Stützen'!$A$8:$ES$8,0)+7,4),,))</f>
        <v>103414.97226694775</v>
      </c>
      <c r="E274" s="768">
        <f ca="1">INDIRECT("'kc-Wert für Stützen'!"&amp;SUBSTITUTE(ADDRESS(MATCH($A274,'kc-Wert für Stützen'!$C:$C,0),MATCH(E$7,'kc-Wert für Stützen'!$A$8:$ES$8,0)+7,4),,))</f>
        <v>103122.14091308936</v>
      </c>
      <c r="F274" s="768">
        <f ca="1">INDIRECT("'kc-Wert für Stützen'!"&amp;SUBSTITUTE(ADDRESS(MATCH($A274,'kc-Wert für Stützen'!$C:$C,0),MATCH(F$7,'kc-Wert für Stützen'!$A$8:$ES$8,0)+7,4),,))</f>
        <v>102815.86763581009</v>
      </c>
      <c r="G274" s="768">
        <f ca="1">INDIRECT("'kc-Wert für Stützen'!"&amp;SUBSTITUTE(ADDRESS(MATCH($A274,'kc-Wert für Stützen'!$C:$C,0),MATCH(G$7,'kc-Wert für Stützen'!$A$8:$ES$8,0)+7,4),,))</f>
        <v>102494.87007852882</v>
      </c>
      <c r="H274" s="768">
        <f ca="1">INDIRECT("'kc-Wert für Stützen'!"&amp;SUBSTITUTE(ADDRESS(MATCH($A274,'kc-Wert für Stützen'!$C:$C,0),MATCH(H$7,'kc-Wert für Stützen'!$A$8:$ES$8,0)+7,4),,))</f>
        <v>102157.74361138858</v>
      </c>
      <c r="I274" s="768">
        <f ca="1">INDIRECT("'kc-Wert für Stützen'!"&amp;SUBSTITUTE(ADDRESS(MATCH($A274,'kc-Wert für Stützen'!$C:$C,0),MATCH(I$7,'kc-Wert für Stützen'!$A$8:$ES$8,0)+7,4),,))</f>
        <v>101802.94911404033</v>
      </c>
      <c r="J274" s="768">
        <f ca="1">INDIRECT("'kc-Wert für Stützen'!"&amp;SUBSTITUTE(ADDRESS(MATCH($A274,'kc-Wert für Stützen'!$C:$C,0),MATCH(J$7,'kc-Wert für Stützen'!$A$8:$ES$8,0)+7,4),,))</f>
        <v>101428.80026137258</v>
      </c>
      <c r="K274" s="768">
        <f ca="1">INDIRECT("'kc-Wert für Stützen'!"&amp;SUBSTITUTE(ADDRESS(MATCH($A274,'kc-Wert für Stützen'!$C:$C,0),MATCH(K$7,'kc-Wert für Stützen'!$A$8:$ES$8,0)+7,4),,))</f>
        <v>101033.45062623259</v>
      </c>
      <c r="L274" s="768">
        <f ca="1">INDIRECT("'kc-Wert für Stützen'!"&amp;SUBSTITUTE(ADDRESS(MATCH($A274,'kc-Wert für Stützen'!$C:$C,0),MATCH(L$7,'kc-Wert für Stützen'!$A$8:$ES$8,0)+7,4),,))</f>
        <v>100614.88108250484</v>
      </c>
      <c r="M274" s="768">
        <f ca="1">INDIRECT("'kc-Wert für Stützen'!"&amp;SUBSTITUTE(ADDRESS(MATCH($A274,'kc-Wert für Stützen'!$C:$C,0),MATCH(M$7,'kc-Wert für Stützen'!$A$8:$ES$8,0)+7,4),,))</f>
        <v>100170.88821871529</v>
      </c>
      <c r="N274" s="768">
        <f ca="1">INDIRECT("'kc-Wert für Stützen'!"&amp;SUBSTITUTE(ADDRESS(MATCH($A274,'kc-Wert für Stützen'!$C:$C,0),MATCH(N$7,'kc-Wert für Stützen'!$A$8:$ES$8,0)+7,4),,))</f>
        <v>99699.074768636128</v>
      </c>
      <c r="O274" s="768">
        <f ca="1">INDIRECT("'kc-Wert für Stützen'!"&amp;SUBSTITUTE(ADDRESS(MATCH($A274,'kc-Wert für Stützen'!$C:$C,0),MATCH(O$7,'kc-Wert für Stützen'!$A$8:$ES$8,0)+7,4),,))</f>
        <v>99196.843441316159</v>
      </c>
      <c r="P274" s="768">
        <f ca="1">INDIRECT("'kc-Wert für Stützen'!"&amp;SUBSTITUTE(ADDRESS(MATCH($A274,'kc-Wert für Stützen'!$C:$C,0),MATCH(P$7,'kc-Wert für Stützen'!$A$8:$ES$8,0)+7,4),,))</f>
        <v>98661.395992789345</v>
      </c>
      <c r="S274" s="772">
        <f t="shared" ca="1" si="124"/>
        <v>103414.97226694775</v>
      </c>
      <c r="T274" s="772">
        <f t="shared" ca="1" si="128"/>
        <v>103414.97226694775</v>
      </c>
      <c r="U274" s="772">
        <f t="shared" ca="1" si="128"/>
        <v>103414.97226694775</v>
      </c>
      <c r="V274" s="772">
        <f t="shared" ca="1" si="128"/>
        <v>103122.14091308936</v>
      </c>
      <c r="W274" s="772">
        <f t="shared" ca="1" si="128"/>
        <v>102815.86763581009</v>
      </c>
      <c r="X274" s="772">
        <f t="shared" ca="1" si="128"/>
        <v>102494.87007852882</v>
      </c>
      <c r="Y274" s="772">
        <f t="shared" ca="1" si="128"/>
        <v>102157.74361138858</v>
      </c>
      <c r="Z274" s="772">
        <f t="shared" ca="1" si="128"/>
        <v>103414.97226694775</v>
      </c>
      <c r="AA274" s="772">
        <f t="shared" ca="1" si="128"/>
        <v>103414.97226694775</v>
      </c>
      <c r="AB274" s="772">
        <f t="shared" ca="1" si="130"/>
        <v>103122.14091308936</v>
      </c>
      <c r="AC274" s="772">
        <f t="shared" ca="1" si="130"/>
        <v>103122.14091308936</v>
      </c>
      <c r="AD274" s="772">
        <f t="shared" ca="1" si="130"/>
        <v>102815.86763581009</v>
      </c>
      <c r="AE274" s="772">
        <f t="shared" ca="1" si="130"/>
        <v>102815.86763581009</v>
      </c>
      <c r="AF274" s="772">
        <f t="shared" ca="1" si="130"/>
        <v>102494.87007852882</v>
      </c>
      <c r="AG274" s="772">
        <f t="shared" ca="1" si="130"/>
        <v>102494.87007852882</v>
      </c>
      <c r="AH274" s="772">
        <f t="shared" ca="1" si="130"/>
        <v>102494.87007852882</v>
      </c>
      <c r="AI274" s="772">
        <f t="shared" ca="1" si="130"/>
        <v>103414.97226694775</v>
      </c>
      <c r="AJ274" s="772">
        <f t="shared" ca="1" si="130"/>
        <v>103414.97226694775</v>
      </c>
      <c r="AK274" s="772">
        <f t="shared" ca="1" si="130"/>
        <v>103122.14091308936</v>
      </c>
      <c r="AL274" s="772">
        <f t="shared" ca="1" si="130"/>
        <v>103122.14091308936</v>
      </c>
      <c r="AM274" s="772">
        <f t="shared" ca="1" si="130"/>
        <v>102815.86763581009</v>
      </c>
      <c r="AN274" s="772">
        <f t="shared" ca="1" si="130"/>
        <v>102815.86763581009</v>
      </c>
      <c r="AO274" s="772">
        <f t="shared" ca="1" si="130"/>
        <v>102494.87007852882</v>
      </c>
      <c r="AP274" s="772">
        <f t="shared" ca="1" si="130"/>
        <v>102494.87007852882</v>
      </c>
      <c r="AQ274" s="772">
        <f t="shared" ca="1" si="129"/>
        <v>102494.87007852882</v>
      </c>
      <c r="AR274" s="772">
        <f t="shared" ca="1" si="132"/>
        <v>103414.97226694775</v>
      </c>
      <c r="AS274" s="772">
        <f t="shared" ca="1" si="132"/>
        <v>103414.97226694775</v>
      </c>
      <c r="AT274" s="772">
        <f t="shared" ca="1" si="132"/>
        <v>103122.14091308936</v>
      </c>
      <c r="AU274" s="772">
        <f t="shared" ca="1" si="132"/>
        <v>103122.14091308936</v>
      </c>
      <c r="AV274" s="772">
        <f t="shared" ca="1" si="132"/>
        <v>102815.86763581009</v>
      </c>
      <c r="AW274" s="772">
        <f t="shared" ca="1" si="132"/>
        <v>102815.86763581009</v>
      </c>
      <c r="AX274" s="772">
        <f t="shared" ca="1" si="132"/>
        <v>102494.87007852882</v>
      </c>
      <c r="AY274" s="772">
        <f t="shared" ca="1" si="132"/>
        <v>102494.87007852882</v>
      </c>
      <c r="AZ274" s="772">
        <f t="shared" ref="AZ274:BG281" ca="1" si="135">HLOOKUP(AZ$7,$A$7:$P$348,ROW()-6)</f>
        <v>102494.87007852882</v>
      </c>
      <c r="BA274" s="772">
        <f t="shared" ca="1" si="135"/>
        <v>103414.97226694775</v>
      </c>
      <c r="BB274" s="772">
        <f t="shared" ca="1" si="135"/>
        <v>103414.97226694775</v>
      </c>
      <c r="BC274" s="772">
        <f t="shared" ca="1" si="135"/>
        <v>103122.14091308936</v>
      </c>
      <c r="BD274" s="772">
        <f t="shared" ca="1" si="135"/>
        <v>102815.86763581009</v>
      </c>
      <c r="BE274" s="772">
        <f t="shared" ca="1" si="135"/>
        <v>102815.86763581009</v>
      </c>
      <c r="BF274" s="772">
        <f t="shared" ca="1" si="135"/>
        <v>102494.87007852882</v>
      </c>
      <c r="BG274" s="772">
        <f t="shared" ca="1" si="135"/>
        <v>102494.87007852882</v>
      </c>
      <c r="BH274" s="772">
        <f t="shared" ca="1" si="116"/>
        <v>102157.74361138858</v>
      </c>
      <c r="BI274" s="772">
        <f t="shared" ca="1" si="116"/>
        <v>102157.74361138858</v>
      </c>
      <c r="BJ274" s="772">
        <f t="shared" ca="1" si="116"/>
        <v>103122.14091308936</v>
      </c>
      <c r="BK274" s="772">
        <f t="shared" ca="1" si="116"/>
        <v>103122.14091308936</v>
      </c>
      <c r="BL274" s="772">
        <f t="shared" ca="1" si="116"/>
        <v>103122.14091308936</v>
      </c>
      <c r="BM274" s="772">
        <f t="shared" ca="1" si="116"/>
        <v>103122.14091308936</v>
      </c>
      <c r="BN274" s="772">
        <f t="shared" ca="1" si="116"/>
        <v>102494.87007852882</v>
      </c>
      <c r="BO274" s="772">
        <f t="shared" ca="1" si="133"/>
        <v>102494.87007852882</v>
      </c>
      <c r="BP274" s="772">
        <f t="shared" ca="1" si="126"/>
        <v>102157.74361138858</v>
      </c>
      <c r="BQ274" s="772">
        <f t="shared" ca="1" si="126"/>
        <v>102157.74361138858</v>
      </c>
      <c r="BR274" s="772">
        <f t="shared" ca="1" si="126"/>
        <v>101802.94911404033</v>
      </c>
      <c r="BS274" s="772">
        <f t="shared" ca="1" si="126"/>
        <v>103122.14091308936</v>
      </c>
      <c r="BT274" s="772">
        <f t="shared" ca="1" si="126"/>
        <v>103122.14091308936</v>
      </c>
      <c r="BU274" s="772">
        <f t="shared" ca="1" si="126"/>
        <v>103122.14091308936</v>
      </c>
      <c r="BV274" s="772">
        <f t="shared" ca="1" si="126"/>
        <v>102815.86763581009</v>
      </c>
      <c r="BW274" s="772">
        <f t="shared" ca="1" si="125"/>
        <v>102815.86763581009</v>
      </c>
      <c r="BX274" s="772">
        <f t="shared" ca="1" si="134"/>
        <v>102157.74361138858</v>
      </c>
      <c r="BY274" s="772">
        <f t="shared" ca="1" si="134"/>
        <v>102157.74361138858</v>
      </c>
      <c r="BZ274" s="772">
        <f t="shared" ca="1" si="134"/>
        <v>101802.94911404033</v>
      </c>
      <c r="CA274" s="772">
        <f t="shared" ca="1" si="134"/>
        <v>101802.94911404033</v>
      </c>
      <c r="CB274" s="772">
        <f t="shared" ca="1" si="134"/>
        <v>102815.86763581009</v>
      </c>
      <c r="CC274" s="772">
        <f t="shared" ca="1" si="134"/>
        <v>102815.86763581009</v>
      </c>
      <c r="CD274" s="772">
        <f t="shared" ca="1" si="131"/>
        <v>102815.86763581009</v>
      </c>
      <c r="CE274" s="772">
        <f t="shared" ca="1" si="131"/>
        <v>102815.86763581009</v>
      </c>
      <c r="CF274" s="772">
        <f t="shared" ca="1" si="131"/>
        <v>102494.87007852882</v>
      </c>
      <c r="CG274" s="772">
        <f t="shared" ca="1" si="131"/>
        <v>102157.74361138858</v>
      </c>
      <c r="CH274" s="772">
        <f t="shared" ca="1" si="131"/>
        <v>101802.94911404033</v>
      </c>
      <c r="CI274" s="772">
        <f t="shared" ca="1" si="131"/>
        <v>101802.94911404033</v>
      </c>
      <c r="CJ274" s="772">
        <f t="shared" ca="1" si="131"/>
        <v>101428.80026137258</v>
      </c>
    </row>
    <row r="275" spans="1:88" ht="15" customHeight="1">
      <c r="A275" s="770">
        <f>'kc-Wert für Stützen'!C275</f>
        <v>327</v>
      </c>
      <c r="B275" s="768">
        <f ca="1">INDIRECT("'kc-Wert für Stützen'!"&amp;SUBSTITUTE(ADDRESS(MATCH($A275,'kc-Wert für Stützen'!$C:$C,0),MATCH(B$7,'kc-Wert für Stützen'!$A$8:$ES$8,0)+7,4),,))</f>
        <v>104626.41056503524</v>
      </c>
      <c r="C275" s="768">
        <f ca="1">INDIRECT("'kc-Wert für Stützen'!"&amp;SUBSTITUTE(ADDRESS(MATCH($A275,'kc-Wert für Stützen'!$C:$C,0),MATCH(C$7,'kc-Wert für Stützen'!$A$8:$ES$8,0)+7,4),,))</f>
        <v>104357.15335919221</v>
      </c>
      <c r="D275" s="768">
        <f ca="1">INDIRECT("'kc-Wert für Stützen'!"&amp;SUBSTITUTE(ADDRESS(MATCH($A275,'kc-Wert für Stützen'!$C:$C,0),MATCH(D$7,'kc-Wert für Stützen'!$A$8:$ES$8,0)+7,4),,))</f>
        <v>104076.78804488777</v>
      </c>
      <c r="E275" s="768">
        <f ca="1">INDIRECT("'kc-Wert für Stützen'!"&amp;SUBSTITUTE(ADDRESS(MATCH($A275,'kc-Wert für Stützen'!$C:$C,0),MATCH(E$7,'kc-Wert für Stützen'!$A$8:$ES$8,0)+7,4),,))</f>
        <v>103784.25479345732</v>
      </c>
      <c r="F275" s="768">
        <f ca="1">INDIRECT("'kc-Wert für Stützen'!"&amp;SUBSTITUTE(ADDRESS(MATCH($A275,'kc-Wert für Stützen'!$C:$C,0),MATCH(F$7,'kc-Wert für Stützen'!$A$8:$ES$8,0)+7,4),,))</f>
        <v>103478.39532214146</v>
      </c>
      <c r="G275" s="768">
        <f ca="1">INDIRECT("'kc-Wert für Stützen'!"&amp;SUBSTITUTE(ADDRESS(MATCH($A275,'kc-Wert für Stützen'!$C:$C,0),MATCH(G$7,'kc-Wert für Stützen'!$A$8:$ES$8,0)+7,4),,))</f>
        <v>103157.94232831808</v>
      </c>
      <c r="H275" s="768">
        <f ca="1">INDIRECT("'kc-Wert für Stützen'!"&amp;SUBSTITUTE(ADDRESS(MATCH($A275,'kc-Wert für Stützen'!$C:$C,0),MATCH(H$7,'kc-Wert für Stützen'!$A$8:$ES$8,0)+7,4),,))</f>
        <v>102821.50813729019</v>
      </c>
      <c r="I275" s="768">
        <f ca="1">INDIRECT("'kc-Wert für Stützen'!"&amp;SUBSTITUTE(ADDRESS(MATCH($A275,'kc-Wert für Stützen'!$C:$C,0),MATCH(I$7,'kc-Wert für Stützen'!$A$8:$ES$8,0)+7,4),,))</f>
        <v>102467.57265752499</v>
      </c>
      <c r="J275" s="768">
        <f ca="1">INDIRECT("'kc-Wert für Stützen'!"&amp;SUBSTITUTE(ADDRESS(MATCH($A275,'kc-Wert für Stützen'!$C:$C,0),MATCH(J$7,'kc-Wert für Stützen'!$A$8:$ES$8,0)+7,4),,))</f>
        <v>102094.47082084409</v>
      </c>
      <c r="K275" s="768">
        <f ca="1">INDIRECT("'kc-Wert für Stützen'!"&amp;SUBSTITUTE(ADDRESS(MATCH($A275,'kc-Wert für Stützen'!$C:$C,0),MATCH(K$7,'kc-Wert für Stützen'!$A$8:$ES$8,0)+7,4),,))</f>
        <v>101700.37980240642</v>
      </c>
      <c r="L275" s="768">
        <f ca="1">INDIRECT("'kc-Wert für Stützen'!"&amp;SUBSTITUTE(ADDRESS(MATCH($A275,'kc-Wert für Stützen'!$C:$C,0),MATCH(L$7,'kc-Wert für Stützen'!$A$8:$ES$8,0)+7,4),,))</f>
        <v>101283.30647635031</v>
      </c>
      <c r="M275" s="768">
        <f ca="1">INDIRECT("'kc-Wert für Stützen'!"&amp;SUBSTITUTE(ADDRESS(MATCH($A275,'kc-Wert für Stützen'!$C:$C,0),MATCH(M$7,'kc-Wert für Stützen'!$A$8:$ES$8,0)+7,4),,))</f>
        <v>100841.07577899675</v>
      </c>
      <c r="N275" s="768">
        <f ca="1">INDIRECT("'kc-Wert für Stützen'!"&amp;SUBSTITUTE(ADDRESS(MATCH($A275,'kc-Wert für Stützen'!$C:$C,0),MATCH(N$7,'kc-Wert für Stützen'!$A$8:$ES$8,0)+7,4),,))</f>
        <v>100371.32093434404</v>
      </c>
      <c r="O275" s="768">
        <f ca="1">INDIRECT("'kc-Wert für Stützen'!"&amp;SUBSTITUTE(ADDRESS(MATCH($A275,'kc-Wert für Stützen'!$C:$C,0),MATCH(O$7,'kc-Wert für Stützen'!$A$8:$ES$8,0)+7,4),,))</f>
        <v>99871.476856469933</v>
      </c>
      <c r="P275" s="768">
        <f ca="1">INDIRECT("'kc-Wert für Stützen'!"&amp;SUBSTITUTE(ADDRESS(MATCH($A275,'kc-Wert für Stützen'!$C:$C,0),MATCH(P$7,'kc-Wert für Stützen'!$A$8:$ES$8,0)+7,4),,))</f>
        <v>99338.778485457995</v>
      </c>
      <c r="S275" s="772">
        <f t="shared" ca="1" si="124"/>
        <v>104076.78804488777</v>
      </c>
      <c r="T275" s="772">
        <f t="shared" ca="1" si="128"/>
        <v>104076.78804488777</v>
      </c>
      <c r="U275" s="772">
        <f t="shared" ca="1" si="128"/>
        <v>104076.78804488777</v>
      </c>
      <c r="V275" s="772">
        <f t="shared" ca="1" si="128"/>
        <v>103784.25479345732</v>
      </c>
      <c r="W275" s="772">
        <f t="shared" ca="1" si="128"/>
        <v>103478.39532214146</v>
      </c>
      <c r="X275" s="772">
        <f t="shared" ca="1" si="128"/>
        <v>103157.94232831808</v>
      </c>
      <c r="Y275" s="772">
        <f t="shared" ca="1" si="128"/>
        <v>102821.50813729019</v>
      </c>
      <c r="Z275" s="772">
        <f t="shared" ca="1" si="128"/>
        <v>104076.78804488777</v>
      </c>
      <c r="AA275" s="772">
        <f t="shared" ca="1" si="128"/>
        <v>104076.78804488777</v>
      </c>
      <c r="AB275" s="772">
        <f t="shared" ca="1" si="130"/>
        <v>103784.25479345732</v>
      </c>
      <c r="AC275" s="772">
        <f t="shared" ca="1" si="130"/>
        <v>103784.25479345732</v>
      </c>
      <c r="AD275" s="772">
        <f t="shared" ca="1" si="130"/>
        <v>103478.39532214146</v>
      </c>
      <c r="AE275" s="772">
        <f t="shared" ca="1" si="130"/>
        <v>103478.39532214146</v>
      </c>
      <c r="AF275" s="772">
        <f t="shared" ca="1" si="130"/>
        <v>103157.94232831808</v>
      </c>
      <c r="AG275" s="772">
        <f t="shared" ca="1" si="130"/>
        <v>103157.94232831808</v>
      </c>
      <c r="AH275" s="772">
        <f t="shared" ca="1" si="130"/>
        <v>103157.94232831808</v>
      </c>
      <c r="AI275" s="772">
        <f t="shared" ca="1" si="130"/>
        <v>104076.78804488777</v>
      </c>
      <c r="AJ275" s="772">
        <f t="shared" ca="1" si="130"/>
        <v>104076.78804488777</v>
      </c>
      <c r="AK275" s="772">
        <f t="shared" ca="1" si="130"/>
        <v>103784.25479345732</v>
      </c>
      <c r="AL275" s="772">
        <f t="shared" ca="1" si="130"/>
        <v>103784.25479345732</v>
      </c>
      <c r="AM275" s="772">
        <f t="shared" ca="1" si="130"/>
        <v>103478.39532214146</v>
      </c>
      <c r="AN275" s="772">
        <f t="shared" ca="1" si="130"/>
        <v>103478.39532214146</v>
      </c>
      <c r="AO275" s="772">
        <f t="shared" ca="1" si="130"/>
        <v>103157.94232831808</v>
      </c>
      <c r="AP275" s="772">
        <f t="shared" ca="1" si="130"/>
        <v>103157.94232831808</v>
      </c>
      <c r="AQ275" s="772">
        <f t="shared" ca="1" si="129"/>
        <v>103157.94232831808</v>
      </c>
      <c r="AR275" s="772">
        <f t="shared" ca="1" si="132"/>
        <v>104076.78804488777</v>
      </c>
      <c r="AS275" s="772">
        <f t="shared" ca="1" si="132"/>
        <v>104076.78804488777</v>
      </c>
      <c r="AT275" s="772">
        <f t="shared" ca="1" si="132"/>
        <v>103784.25479345732</v>
      </c>
      <c r="AU275" s="772">
        <f t="shared" ca="1" si="132"/>
        <v>103784.25479345732</v>
      </c>
      <c r="AV275" s="772">
        <f t="shared" ca="1" si="132"/>
        <v>103478.39532214146</v>
      </c>
      <c r="AW275" s="772">
        <f t="shared" ca="1" si="132"/>
        <v>103478.39532214146</v>
      </c>
      <c r="AX275" s="772">
        <f t="shared" ca="1" si="132"/>
        <v>103157.94232831808</v>
      </c>
      <c r="AY275" s="772">
        <f t="shared" ca="1" si="132"/>
        <v>103157.94232831808</v>
      </c>
      <c r="AZ275" s="772">
        <f t="shared" ca="1" si="135"/>
        <v>103157.94232831808</v>
      </c>
      <c r="BA275" s="772">
        <f t="shared" ca="1" si="135"/>
        <v>104076.78804488777</v>
      </c>
      <c r="BB275" s="772">
        <f t="shared" ca="1" si="135"/>
        <v>104076.78804488777</v>
      </c>
      <c r="BC275" s="772">
        <f t="shared" ca="1" si="135"/>
        <v>103784.25479345732</v>
      </c>
      <c r="BD275" s="772">
        <f t="shared" ca="1" si="135"/>
        <v>103478.39532214146</v>
      </c>
      <c r="BE275" s="772">
        <f t="shared" ca="1" si="135"/>
        <v>103478.39532214146</v>
      </c>
      <c r="BF275" s="772">
        <f t="shared" ca="1" si="135"/>
        <v>103157.94232831808</v>
      </c>
      <c r="BG275" s="772">
        <f t="shared" ca="1" si="135"/>
        <v>103157.94232831808</v>
      </c>
      <c r="BH275" s="772">
        <f t="shared" ca="1" si="116"/>
        <v>102821.50813729019</v>
      </c>
      <c r="BI275" s="772">
        <f t="shared" ca="1" si="116"/>
        <v>102821.50813729019</v>
      </c>
      <c r="BJ275" s="772">
        <f t="shared" ca="1" si="116"/>
        <v>103784.25479345732</v>
      </c>
      <c r="BK275" s="772">
        <f t="shared" ca="1" si="116"/>
        <v>103784.25479345732</v>
      </c>
      <c r="BL275" s="772">
        <f t="shared" ca="1" si="116"/>
        <v>103784.25479345732</v>
      </c>
      <c r="BM275" s="772">
        <f t="shared" ca="1" si="116"/>
        <v>103784.25479345732</v>
      </c>
      <c r="BN275" s="772">
        <f t="shared" ca="1" si="116"/>
        <v>103157.94232831808</v>
      </c>
      <c r="BO275" s="772">
        <f t="shared" ca="1" si="133"/>
        <v>103157.94232831808</v>
      </c>
      <c r="BP275" s="772">
        <f t="shared" ca="1" si="126"/>
        <v>102821.50813729019</v>
      </c>
      <c r="BQ275" s="772">
        <f t="shared" ca="1" si="126"/>
        <v>102821.50813729019</v>
      </c>
      <c r="BR275" s="772">
        <f t="shared" ca="1" si="126"/>
        <v>102467.57265752499</v>
      </c>
      <c r="BS275" s="772">
        <f t="shared" ca="1" si="126"/>
        <v>103784.25479345732</v>
      </c>
      <c r="BT275" s="772">
        <f t="shared" ca="1" si="126"/>
        <v>103784.25479345732</v>
      </c>
      <c r="BU275" s="772">
        <f t="shared" ca="1" si="126"/>
        <v>103784.25479345732</v>
      </c>
      <c r="BV275" s="772">
        <f t="shared" ca="1" si="126"/>
        <v>103478.39532214146</v>
      </c>
      <c r="BW275" s="772">
        <f t="shared" ca="1" si="125"/>
        <v>103478.39532214146</v>
      </c>
      <c r="BX275" s="772">
        <f t="shared" ca="1" si="134"/>
        <v>102821.50813729019</v>
      </c>
      <c r="BY275" s="772">
        <f t="shared" ca="1" si="134"/>
        <v>102821.50813729019</v>
      </c>
      <c r="BZ275" s="772">
        <f t="shared" ca="1" si="134"/>
        <v>102467.57265752499</v>
      </c>
      <c r="CA275" s="772">
        <f t="shared" ca="1" si="134"/>
        <v>102467.57265752499</v>
      </c>
      <c r="CB275" s="772">
        <f t="shared" ca="1" si="134"/>
        <v>103478.39532214146</v>
      </c>
      <c r="CC275" s="772">
        <f t="shared" ca="1" si="134"/>
        <v>103478.39532214146</v>
      </c>
      <c r="CD275" s="772">
        <f t="shared" ca="1" si="131"/>
        <v>103478.39532214146</v>
      </c>
      <c r="CE275" s="772">
        <f t="shared" ca="1" si="131"/>
        <v>103478.39532214146</v>
      </c>
      <c r="CF275" s="772">
        <f t="shared" ca="1" si="131"/>
        <v>103157.94232831808</v>
      </c>
      <c r="CG275" s="772">
        <f t="shared" ca="1" si="131"/>
        <v>102821.50813729019</v>
      </c>
      <c r="CH275" s="772">
        <f t="shared" ca="1" si="131"/>
        <v>102467.57265752499</v>
      </c>
      <c r="CI275" s="772">
        <f t="shared" ca="1" si="131"/>
        <v>102467.57265752499</v>
      </c>
      <c r="CJ275" s="772">
        <f t="shared" ca="1" si="131"/>
        <v>102094.47082084409</v>
      </c>
    </row>
    <row r="276" spans="1:88" ht="15" customHeight="1">
      <c r="A276" s="770">
        <f>'kc-Wert für Stützen'!C276</f>
        <v>328</v>
      </c>
      <c r="B276" s="768">
        <f ca="1">INDIRECT("'kc-Wert für Stützen'!"&amp;SUBSTITUTE(ADDRESS(MATCH($A276,'kc-Wert für Stützen'!$C:$C,0),MATCH(B$7,'kc-Wert für Stützen'!$A$8:$ES$8,0)+7,4),,))</f>
        <v>105289.94641124646</v>
      </c>
      <c r="C276" s="768">
        <f ca="1">INDIRECT("'kc-Wert für Stützen'!"&amp;SUBSTITUTE(ADDRESS(MATCH($A276,'kc-Wert für Stützen'!$C:$C,0),MATCH(C$7,'kc-Wert für Stützen'!$A$8:$ES$8,0)+7,4),,))</f>
        <v>105020.78696585726</v>
      </c>
      <c r="D276" s="768">
        <f ca="1">INDIRECT("'kc-Wert für Stützen'!"&amp;SUBSTITUTE(ADDRESS(MATCH($A276,'kc-Wert für Stützen'!$C:$C,0),MATCH(D$7,'kc-Wert für Stützen'!$A$8:$ES$8,0)+7,4),,))</f>
        <v>104740.60875638157</v>
      </c>
      <c r="E276" s="768">
        <f ca="1">INDIRECT("'kc-Wert für Stützen'!"&amp;SUBSTITUTE(ADDRESS(MATCH($A276,'kc-Wert für Stützen'!$C:$C,0),MATCH(E$7,'kc-Wert für Stützen'!$A$8:$ES$8,0)+7,4),,))</f>
        <v>104448.36353217618</v>
      </c>
      <c r="F276" s="768">
        <f ca="1">INDIRECT("'kc-Wert für Stützen'!"&amp;SUBSTITUTE(ADDRESS(MATCH($A276,'kc-Wert für Stützen'!$C:$C,0),MATCH(F$7,'kc-Wert für Stützen'!$A$8:$ES$8,0)+7,4),,))</f>
        <v>104142.90610863983</v>
      </c>
      <c r="G276" s="768">
        <f ca="1">INDIRECT("'kc-Wert für Stützen'!"&amp;SUBSTITUTE(ADDRESS(MATCH($A276,'kc-Wert für Stützen'!$C:$C,0),MATCH(G$7,'kc-Wert für Stützen'!$A$8:$ES$8,0)+7,4),,))</f>
        <v>103822.98397273364</v>
      </c>
      <c r="H276" s="768">
        <f ca="1">INDIRECT("'kc-Wert für Stützen'!"&amp;SUBSTITUTE(ADDRESS(MATCH($A276,'kc-Wert für Stützen'!$C:$C,0),MATCH(H$7,'kc-Wert für Stützen'!$A$8:$ES$8,0)+7,4),,))</f>
        <v>103487.22610605761</v>
      </c>
      <c r="I276" s="768">
        <f ca="1">INDIRECT("'kc-Wert für Stützen'!"&amp;SUBSTITUTE(ADDRESS(MATCH($A276,'kc-Wert für Stützen'!$C:$C,0),MATCH(I$7,'kc-Wert für Stützen'!$A$8:$ES$8,0)+7,4),,))</f>
        <v>103134.13111144383</v>
      </c>
      <c r="J276" s="768">
        <f ca="1">INDIRECT("'kc-Wert für Stützen'!"&amp;SUBSTITUTE(ADDRESS(MATCH($A276,'kc-Wert für Stützen'!$C:$C,0),MATCH(J$7,'kc-Wert für Stützen'!$A$8:$ES$8,0)+7,4),,))</f>
        <v>102762.05480832249</v>
      </c>
      <c r="K276" s="768">
        <f ca="1">INDIRECT("'kc-Wert für Stützen'!"&amp;SUBSTITUTE(ADDRESS(MATCH($A276,'kc-Wert für Stützen'!$C:$C,0),MATCH(K$7,'kc-Wert für Stützen'!$A$8:$ES$8,0)+7,4),,))</f>
        <v>102369.19757356436</v>
      </c>
      <c r="L276" s="768">
        <f ca="1">INDIRECT("'kc-Wert für Stützen'!"&amp;SUBSTITUTE(ADDRESS(MATCH($A276,'kc-Wert für Stützen'!$C:$C,0),MATCH(L$7,'kc-Wert für Stützen'!$A$8:$ES$8,0)+7,4),,))</f>
        <v>101953.59185763607</v>
      </c>
      <c r="M276" s="768">
        <f ca="1">INDIRECT("'kc-Wert für Stützen'!"&amp;SUBSTITUTE(ADDRESS(MATCH($A276,'kc-Wert für Stützen'!$C:$C,0),MATCH(M$7,'kc-Wert für Stützen'!$A$8:$ES$8,0)+7,4),,))</f>
        <v>101513.09051167632</v>
      </c>
      <c r="N276" s="768">
        <f ca="1">INDIRECT("'kc-Wert für Stützen'!"&amp;SUBSTITUTE(ADDRESS(MATCH($A276,'kc-Wert für Stützen'!$C:$C,0),MATCH(N$7,'kc-Wert für Stützen'!$A$8:$ES$8,0)+7,4),,))</f>
        <v>101045.35683103398</v>
      </c>
      <c r="O276" s="768">
        <f ca="1">INDIRECT("'kc-Wert für Stützen'!"&amp;SUBSTITUTE(ADDRESS(MATCH($A276,'kc-Wert für Stützen'!$C:$C,0),MATCH(O$7,'kc-Wert für Stützen'!$A$8:$ES$8,0)+7,4),,))</f>
        <v>100547.85756522619</v>
      </c>
      <c r="P276" s="768">
        <f ca="1">INDIRECT("'kc-Wert für Stützen'!"&amp;SUBSTITUTE(ADDRESS(MATCH($A276,'kc-Wert für Stützen'!$C:$C,0),MATCH(P$7,'kc-Wert für Stützen'!$A$8:$ES$8,0)+7,4),,))</f>
        <v>100017.86056895113</v>
      </c>
      <c r="S276" s="772">
        <f t="shared" ca="1" si="124"/>
        <v>104740.60875638157</v>
      </c>
      <c r="T276" s="772">
        <f t="shared" ca="1" si="128"/>
        <v>104740.60875638157</v>
      </c>
      <c r="U276" s="772">
        <f t="shared" ca="1" si="128"/>
        <v>104740.60875638157</v>
      </c>
      <c r="V276" s="772">
        <f t="shared" ca="1" si="128"/>
        <v>104448.36353217618</v>
      </c>
      <c r="W276" s="772">
        <f t="shared" ca="1" si="128"/>
        <v>104142.90610863983</v>
      </c>
      <c r="X276" s="772">
        <f t="shared" ca="1" si="128"/>
        <v>103822.98397273364</v>
      </c>
      <c r="Y276" s="772">
        <f t="shared" ca="1" si="128"/>
        <v>103487.22610605761</v>
      </c>
      <c r="Z276" s="772">
        <f t="shared" ca="1" si="128"/>
        <v>104740.60875638157</v>
      </c>
      <c r="AA276" s="772">
        <f t="shared" ca="1" si="128"/>
        <v>104740.60875638157</v>
      </c>
      <c r="AB276" s="772">
        <f t="shared" ca="1" si="130"/>
        <v>104448.36353217618</v>
      </c>
      <c r="AC276" s="772">
        <f t="shared" ca="1" si="130"/>
        <v>104448.36353217618</v>
      </c>
      <c r="AD276" s="772">
        <f t="shared" ca="1" si="130"/>
        <v>104142.90610863983</v>
      </c>
      <c r="AE276" s="772">
        <f t="shared" ca="1" si="130"/>
        <v>104142.90610863983</v>
      </c>
      <c r="AF276" s="772">
        <f t="shared" ca="1" si="130"/>
        <v>103822.98397273364</v>
      </c>
      <c r="AG276" s="772">
        <f t="shared" ca="1" si="130"/>
        <v>103822.98397273364</v>
      </c>
      <c r="AH276" s="772">
        <f t="shared" ca="1" si="130"/>
        <v>103822.98397273364</v>
      </c>
      <c r="AI276" s="772">
        <f t="shared" ca="1" si="130"/>
        <v>104740.60875638157</v>
      </c>
      <c r="AJ276" s="772">
        <f t="shared" ca="1" si="130"/>
        <v>104740.60875638157</v>
      </c>
      <c r="AK276" s="772">
        <f t="shared" ca="1" si="130"/>
        <v>104448.36353217618</v>
      </c>
      <c r="AL276" s="772">
        <f t="shared" ca="1" si="130"/>
        <v>104448.36353217618</v>
      </c>
      <c r="AM276" s="772">
        <f t="shared" ca="1" si="130"/>
        <v>104142.90610863983</v>
      </c>
      <c r="AN276" s="772">
        <f t="shared" ca="1" si="130"/>
        <v>104142.90610863983</v>
      </c>
      <c r="AO276" s="772">
        <f t="shared" ca="1" si="130"/>
        <v>103822.98397273364</v>
      </c>
      <c r="AP276" s="772">
        <f t="shared" ca="1" si="130"/>
        <v>103822.98397273364</v>
      </c>
      <c r="AQ276" s="772">
        <f t="shared" ca="1" si="129"/>
        <v>103822.98397273364</v>
      </c>
      <c r="AR276" s="772">
        <f t="shared" ca="1" si="132"/>
        <v>104740.60875638157</v>
      </c>
      <c r="AS276" s="772">
        <f t="shared" ca="1" si="132"/>
        <v>104740.60875638157</v>
      </c>
      <c r="AT276" s="772">
        <f t="shared" ca="1" si="132"/>
        <v>104448.36353217618</v>
      </c>
      <c r="AU276" s="772">
        <f t="shared" ca="1" si="132"/>
        <v>104448.36353217618</v>
      </c>
      <c r="AV276" s="772">
        <f t="shared" ca="1" si="132"/>
        <v>104142.90610863983</v>
      </c>
      <c r="AW276" s="772">
        <f t="shared" ca="1" si="132"/>
        <v>104142.90610863983</v>
      </c>
      <c r="AX276" s="772">
        <f t="shared" ca="1" si="132"/>
        <v>103822.98397273364</v>
      </c>
      <c r="AY276" s="772">
        <f t="shared" ca="1" si="132"/>
        <v>103822.98397273364</v>
      </c>
      <c r="AZ276" s="772">
        <f t="shared" ca="1" si="135"/>
        <v>103822.98397273364</v>
      </c>
      <c r="BA276" s="772">
        <f t="shared" ca="1" si="135"/>
        <v>104740.60875638157</v>
      </c>
      <c r="BB276" s="772">
        <f t="shared" ca="1" si="135"/>
        <v>104740.60875638157</v>
      </c>
      <c r="BC276" s="772">
        <f t="shared" ca="1" si="135"/>
        <v>104448.36353217618</v>
      </c>
      <c r="BD276" s="772">
        <f t="shared" ca="1" si="135"/>
        <v>104142.90610863983</v>
      </c>
      <c r="BE276" s="772">
        <f t="shared" ca="1" si="135"/>
        <v>104142.90610863983</v>
      </c>
      <c r="BF276" s="772">
        <f t="shared" ca="1" si="135"/>
        <v>103822.98397273364</v>
      </c>
      <c r="BG276" s="772">
        <f t="shared" ca="1" si="135"/>
        <v>103822.98397273364</v>
      </c>
      <c r="BH276" s="772">
        <f t="shared" ca="1" si="116"/>
        <v>103487.22610605761</v>
      </c>
      <c r="BI276" s="772">
        <f t="shared" ca="1" si="116"/>
        <v>103487.22610605761</v>
      </c>
      <c r="BJ276" s="772">
        <f t="shared" ca="1" si="116"/>
        <v>104448.36353217618</v>
      </c>
      <c r="BK276" s="772">
        <f t="shared" ca="1" si="116"/>
        <v>104448.36353217618</v>
      </c>
      <c r="BL276" s="772">
        <f t="shared" ca="1" si="116"/>
        <v>104448.36353217618</v>
      </c>
      <c r="BM276" s="772">
        <f t="shared" ca="1" si="116"/>
        <v>104448.36353217618</v>
      </c>
      <c r="BN276" s="772">
        <f t="shared" ca="1" si="116"/>
        <v>103822.98397273364</v>
      </c>
      <c r="BO276" s="772">
        <f t="shared" ca="1" si="133"/>
        <v>103822.98397273364</v>
      </c>
      <c r="BP276" s="772">
        <f t="shared" ca="1" si="126"/>
        <v>103487.22610605761</v>
      </c>
      <c r="BQ276" s="772">
        <f t="shared" ca="1" si="126"/>
        <v>103487.22610605761</v>
      </c>
      <c r="BR276" s="772">
        <f t="shared" ca="1" si="126"/>
        <v>103134.13111144383</v>
      </c>
      <c r="BS276" s="772">
        <f t="shared" ca="1" si="126"/>
        <v>104448.36353217618</v>
      </c>
      <c r="BT276" s="772">
        <f t="shared" ca="1" si="126"/>
        <v>104448.36353217618</v>
      </c>
      <c r="BU276" s="772">
        <f t="shared" ca="1" si="126"/>
        <v>104448.36353217618</v>
      </c>
      <c r="BV276" s="772">
        <f t="shared" ca="1" si="126"/>
        <v>104142.90610863983</v>
      </c>
      <c r="BW276" s="772">
        <f t="shared" ca="1" si="125"/>
        <v>104142.90610863983</v>
      </c>
      <c r="BX276" s="772">
        <f t="shared" ca="1" si="134"/>
        <v>103487.22610605761</v>
      </c>
      <c r="BY276" s="772">
        <f t="shared" ca="1" si="134"/>
        <v>103487.22610605761</v>
      </c>
      <c r="BZ276" s="772">
        <f t="shared" ca="1" si="134"/>
        <v>103134.13111144383</v>
      </c>
      <c r="CA276" s="772">
        <f t="shared" ca="1" si="134"/>
        <v>103134.13111144383</v>
      </c>
      <c r="CB276" s="772">
        <f t="shared" ca="1" si="134"/>
        <v>104142.90610863983</v>
      </c>
      <c r="CC276" s="772">
        <f t="shared" ca="1" si="134"/>
        <v>104142.90610863983</v>
      </c>
      <c r="CD276" s="772">
        <f t="shared" ca="1" si="131"/>
        <v>104142.90610863983</v>
      </c>
      <c r="CE276" s="772">
        <f t="shared" ca="1" si="131"/>
        <v>104142.90610863983</v>
      </c>
      <c r="CF276" s="772">
        <f t="shared" ca="1" si="131"/>
        <v>103822.98397273364</v>
      </c>
      <c r="CG276" s="772">
        <f t="shared" ca="1" si="131"/>
        <v>103487.22610605761</v>
      </c>
      <c r="CH276" s="772">
        <f t="shared" ca="1" si="131"/>
        <v>103134.13111144383</v>
      </c>
      <c r="CI276" s="772">
        <f t="shared" ca="1" si="131"/>
        <v>103134.13111144383</v>
      </c>
      <c r="CJ276" s="772">
        <f t="shared" ca="1" si="131"/>
        <v>102762.05480832249</v>
      </c>
    </row>
    <row r="277" spans="1:88" ht="15" customHeight="1">
      <c r="A277" s="770">
        <f>'kc-Wert für Stützen'!C277</f>
        <v>329</v>
      </c>
      <c r="B277" s="768">
        <f ca="1">INDIRECT("'kc-Wert für Stützen'!"&amp;SUBSTITUTE(ADDRESS(MATCH($A277,'kc-Wert für Stützen'!$C:$C,0),MATCH(B$7,'kc-Wert für Stützen'!$A$8:$ES$8,0)+7,4),,))</f>
        <v>105955.50376879249</v>
      </c>
      <c r="C277" s="768">
        <f ca="1">INDIRECT("'kc-Wert für Stützen'!"&amp;SUBSTITUTE(ADDRESS(MATCH($A277,'kc-Wert für Stützen'!$C:$C,0),MATCH(C$7,'kc-Wert für Stützen'!$A$8:$ES$8,0)+7,4),,))</f>
        <v>105686.43483006115</v>
      </c>
      <c r="D277" s="768">
        <f ca="1">INDIRECT("'kc-Wert für Stützen'!"&amp;SUBSTITUTE(ADDRESS(MATCH($A277,'kc-Wert für Stützen'!$C:$C,0),MATCH(D$7,'kc-Wert für Stützen'!$A$8:$ES$8,0)+7,4),,))</f>
        <v>105406.4352472631</v>
      </c>
      <c r="E277" s="768">
        <f ca="1">INDIRECT("'kc-Wert für Stützen'!"&amp;SUBSTITUTE(ADDRESS(MATCH($A277,'kc-Wert für Stützen'!$C:$C,0),MATCH(E$7,'kc-Wert für Stützen'!$A$8:$ES$8,0)+7,4),,))</f>
        <v>105114.4681496453</v>
      </c>
      <c r="F277" s="768">
        <f ca="1">INDIRECT("'kc-Wert für Stützen'!"&amp;SUBSTITUTE(ADDRESS(MATCH($A277,'kc-Wert für Stützen'!$C:$C,0),MATCH(F$7,'kc-Wert für Stützen'!$A$8:$ES$8,0)+7,4),,))</f>
        <v>104809.4012236673</v>
      </c>
      <c r="G277" s="768">
        <f ca="1">INDIRECT("'kc-Wert für Stützen'!"&amp;SUBSTITUTE(ADDRESS(MATCH($A277,'kc-Wert für Stützen'!$C:$C,0),MATCH(G$7,'kc-Wert für Stützen'!$A$8:$ES$8,0)+7,4),,))</f>
        <v>104489.99648708997</v>
      </c>
      <c r="H277" s="768">
        <f ca="1">INDIRECT("'kc-Wert für Stützen'!"&amp;SUBSTITUTE(ADDRESS(MATCH($A277,'kc-Wert für Stützen'!$C:$C,0),MATCH(H$7,'kc-Wert für Stützen'!$A$8:$ES$8,0)+7,4),,))</f>
        <v>104154.89928513089</v>
      </c>
      <c r="I277" s="768">
        <f ca="1">INDIRECT("'kc-Wert für Stützen'!"&amp;SUBSTITUTE(ADDRESS(MATCH($A277,'kc-Wert für Stützen'!$C:$C,0),MATCH(I$7,'kc-Wert für Stützen'!$A$8:$ES$8,0)+7,4),,))</f>
        <v>103802.62658719165</v>
      </c>
      <c r="J277" s="768">
        <f ca="1">INDIRECT("'kc-Wert für Stützen'!"&amp;SUBSTITUTE(ADDRESS(MATCH($A277,'kc-Wert für Stützen'!$C:$C,0),MATCH(J$7,'kc-Wert für Stützen'!$A$8:$ES$8,0)+7,4),,))</f>
        <v>103431.55473787899</v>
      </c>
      <c r="K277" s="768">
        <f ca="1">INDIRECT("'kc-Wert für Stützen'!"&amp;SUBSTITUTE(ADDRESS(MATCH($A277,'kc-Wert für Stützen'!$C:$C,0),MATCH(K$7,'kc-Wert für Stützen'!$A$8:$ES$8,0)+7,4),,))</f>
        <v>103039.90692188844</v>
      </c>
      <c r="L277" s="768">
        <f ca="1">INDIRECT("'kc-Wert für Stützen'!"&amp;SUBSTITUTE(ADDRESS(MATCH($A277,'kc-Wert für Stützen'!$C:$C,0),MATCH(L$7,'kc-Wert für Stützen'!$A$8:$ES$8,0)+7,4),,))</f>
        <v>102625.74074795158</v>
      </c>
      <c r="M277" s="768">
        <f ca="1">INDIRECT("'kc-Wert für Stützen'!"&amp;SUBSTITUTE(ADDRESS(MATCH($A277,'kc-Wert für Stützen'!$C:$C,0),MATCH(M$7,'kc-Wert für Stützen'!$A$8:$ES$8,0)+7,4),,))</f>
        <v>102186.93655303452</v>
      </c>
      <c r="N277" s="768">
        <f ca="1">INDIRECT("'kc-Wert für Stützen'!"&amp;SUBSTITUTE(ADDRESS(MATCH($A277,'kc-Wert für Stützen'!$C:$C,0),MATCH(N$7,'kc-Wert für Stützen'!$A$8:$ES$8,0)+7,4),,))</f>
        <v>101721.1872855705</v>
      </c>
      <c r="O277" s="768">
        <f ca="1">INDIRECT("'kc-Wert für Stützen'!"&amp;SUBSTITUTE(ADDRESS(MATCH($A277,'kc-Wert für Stützen'!$C:$C,0),MATCH(O$7,'kc-Wert für Stützen'!$A$8:$ES$8,0)+7,4),,))</f>
        <v>101225.99115605149</v>
      </c>
      <c r="P277" s="768">
        <f ca="1">INDIRECT("'kc-Wert für Stützen'!"&amp;SUBSTITUTE(ADDRESS(MATCH($A277,'kc-Wert für Stützen'!$C:$C,0),MATCH(P$7,'kc-Wert für Stützen'!$A$8:$ES$8,0)+7,4),,))</f>
        <v>100698.64865116056</v>
      </c>
      <c r="S277" s="772">
        <f t="shared" ca="1" si="124"/>
        <v>105406.4352472631</v>
      </c>
      <c r="T277" s="772">
        <f t="shared" ca="1" si="128"/>
        <v>105406.4352472631</v>
      </c>
      <c r="U277" s="772">
        <f t="shared" ca="1" si="128"/>
        <v>105406.4352472631</v>
      </c>
      <c r="V277" s="772">
        <f t="shared" ca="1" si="128"/>
        <v>105114.4681496453</v>
      </c>
      <c r="W277" s="772">
        <f t="shared" ca="1" si="128"/>
        <v>104809.4012236673</v>
      </c>
      <c r="X277" s="772">
        <f t="shared" ca="1" si="128"/>
        <v>104489.99648708997</v>
      </c>
      <c r="Y277" s="772">
        <f t="shared" ca="1" si="128"/>
        <v>104154.89928513089</v>
      </c>
      <c r="Z277" s="772">
        <f t="shared" ca="1" si="128"/>
        <v>105406.4352472631</v>
      </c>
      <c r="AA277" s="772">
        <f t="shared" ca="1" si="128"/>
        <v>105406.4352472631</v>
      </c>
      <c r="AB277" s="772">
        <f t="shared" ca="1" si="130"/>
        <v>105114.4681496453</v>
      </c>
      <c r="AC277" s="772">
        <f t="shared" ca="1" si="130"/>
        <v>105114.4681496453</v>
      </c>
      <c r="AD277" s="772">
        <f t="shared" ca="1" si="130"/>
        <v>104809.4012236673</v>
      </c>
      <c r="AE277" s="772">
        <f t="shared" ca="1" si="130"/>
        <v>104809.4012236673</v>
      </c>
      <c r="AF277" s="772">
        <f t="shared" ca="1" si="130"/>
        <v>104489.99648708997</v>
      </c>
      <c r="AG277" s="772">
        <f t="shared" ca="1" si="130"/>
        <v>104489.99648708997</v>
      </c>
      <c r="AH277" s="772">
        <f t="shared" ca="1" si="130"/>
        <v>104489.99648708997</v>
      </c>
      <c r="AI277" s="772">
        <f t="shared" ca="1" si="130"/>
        <v>105406.4352472631</v>
      </c>
      <c r="AJ277" s="772">
        <f t="shared" ca="1" si="130"/>
        <v>105406.4352472631</v>
      </c>
      <c r="AK277" s="772">
        <f t="shared" ca="1" si="130"/>
        <v>105114.4681496453</v>
      </c>
      <c r="AL277" s="772">
        <f t="shared" ca="1" si="130"/>
        <v>105114.4681496453</v>
      </c>
      <c r="AM277" s="772">
        <f t="shared" ca="1" si="130"/>
        <v>104809.4012236673</v>
      </c>
      <c r="AN277" s="772">
        <f t="shared" ca="1" si="130"/>
        <v>104809.4012236673</v>
      </c>
      <c r="AO277" s="772">
        <f t="shared" ca="1" si="130"/>
        <v>104489.99648708997</v>
      </c>
      <c r="AP277" s="772">
        <f t="shared" ca="1" si="130"/>
        <v>104489.99648708997</v>
      </c>
      <c r="AQ277" s="772">
        <f t="shared" ca="1" si="129"/>
        <v>104489.99648708997</v>
      </c>
      <c r="AR277" s="772">
        <f t="shared" ca="1" si="132"/>
        <v>105406.4352472631</v>
      </c>
      <c r="AS277" s="772">
        <f t="shared" ca="1" si="132"/>
        <v>105406.4352472631</v>
      </c>
      <c r="AT277" s="772">
        <f t="shared" ca="1" si="132"/>
        <v>105114.4681496453</v>
      </c>
      <c r="AU277" s="772">
        <f t="shared" ca="1" si="132"/>
        <v>105114.4681496453</v>
      </c>
      <c r="AV277" s="772">
        <f t="shared" ca="1" si="132"/>
        <v>104809.4012236673</v>
      </c>
      <c r="AW277" s="772">
        <f t="shared" ca="1" si="132"/>
        <v>104809.4012236673</v>
      </c>
      <c r="AX277" s="772">
        <f t="shared" ca="1" si="132"/>
        <v>104489.99648708997</v>
      </c>
      <c r="AY277" s="772">
        <f t="shared" ca="1" si="132"/>
        <v>104489.99648708997</v>
      </c>
      <c r="AZ277" s="772">
        <f t="shared" ca="1" si="135"/>
        <v>104489.99648708997</v>
      </c>
      <c r="BA277" s="772">
        <f t="shared" ca="1" si="135"/>
        <v>105406.4352472631</v>
      </c>
      <c r="BB277" s="772">
        <f t="shared" ca="1" si="135"/>
        <v>105406.4352472631</v>
      </c>
      <c r="BC277" s="772">
        <f t="shared" ca="1" si="135"/>
        <v>105114.4681496453</v>
      </c>
      <c r="BD277" s="772">
        <f t="shared" ca="1" si="135"/>
        <v>104809.4012236673</v>
      </c>
      <c r="BE277" s="772">
        <f t="shared" ca="1" si="135"/>
        <v>104809.4012236673</v>
      </c>
      <c r="BF277" s="772">
        <f t="shared" ca="1" si="135"/>
        <v>104489.99648708997</v>
      </c>
      <c r="BG277" s="772">
        <f t="shared" ca="1" si="135"/>
        <v>104489.99648708997</v>
      </c>
      <c r="BH277" s="772">
        <f t="shared" ca="1" si="116"/>
        <v>104154.89928513089</v>
      </c>
      <c r="BI277" s="772">
        <f t="shared" ca="1" si="116"/>
        <v>104154.89928513089</v>
      </c>
      <c r="BJ277" s="772">
        <f t="shared" ca="1" si="116"/>
        <v>105114.4681496453</v>
      </c>
      <c r="BK277" s="772">
        <f t="shared" ca="1" si="116"/>
        <v>105114.4681496453</v>
      </c>
      <c r="BL277" s="772">
        <f t="shared" ca="1" si="116"/>
        <v>105114.4681496453</v>
      </c>
      <c r="BM277" s="772">
        <f t="shared" ca="1" si="116"/>
        <v>105114.4681496453</v>
      </c>
      <c r="BN277" s="772">
        <f t="shared" ca="1" si="116"/>
        <v>104489.99648708997</v>
      </c>
      <c r="BO277" s="772">
        <f t="shared" ca="1" si="133"/>
        <v>104489.99648708997</v>
      </c>
      <c r="BP277" s="772">
        <f t="shared" ca="1" si="126"/>
        <v>104154.89928513089</v>
      </c>
      <c r="BQ277" s="772">
        <f t="shared" ca="1" si="126"/>
        <v>104154.89928513089</v>
      </c>
      <c r="BR277" s="772">
        <f t="shared" ca="1" si="126"/>
        <v>103802.62658719165</v>
      </c>
      <c r="BS277" s="772">
        <f t="shared" ca="1" si="126"/>
        <v>105114.4681496453</v>
      </c>
      <c r="BT277" s="772">
        <f t="shared" ca="1" si="126"/>
        <v>105114.4681496453</v>
      </c>
      <c r="BU277" s="772">
        <f t="shared" ca="1" si="126"/>
        <v>105114.4681496453</v>
      </c>
      <c r="BV277" s="772">
        <f t="shared" ca="1" si="126"/>
        <v>104809.4012236673</v>
      </c>
      <c r="BW277" s="772">
        <f t="shared" ca="1" si="125"/>
        <v>104809.4012236673</v>
      </c>
      <c r="BX277" s="772">
        <f t="shared" ca="1" si="134"/>
        <v>104154.89928513089</v>
      </c>
      <c r="BY277" s="772">
        <f t="shared" ca="1" si="134"/>
        <v>104154.89928513089</v>
      </c>
      <c r="BZ277" s="772">
        <f t="shared" ca="1" si="134"/>
        <v>103802.62658719165</v>
      </c>
      <c r="CA277" s="772">
        <f t="shared" ca="1" si="134"/>
        <v>103802.62658719165</v>
      </c>
      <c r="CB277" s="772">
        <f t="shared" ca="1" si="134"/>
        <v>104809.4012236673</v>
      </c>
      <c r="CC277" s="772">
        <f t="shared" ca="1" si="134"/>
        <v>104809.4012236673</v>
      </c>
      <c r="CD277" s="772">
        <f t="shared" ca="1" si="131"/>
        <v>104809.4012236673</v>
      </c>
      <c r="CE277" s="772">
        <f t="shared" ca="1" si="131"/>
        <v>104809.4012236673</v>
      </c>
      <c r="CF277" s="772">
        <f t="shared" ca="1" si="131"/>
        <v>104489.99648708997</v>
      </c>
      <c r="CG277" s="772">
        <f t="shared" ca="1" si="131"/>
        <v>104154.89928513089</v>
      </c>
      <c r="CH277" s="772">
        <f t="shared" ca="1" si="131"/>
        <v>103802.62658719165</v>
      </c>
      <c r="CI277" s="772">
        <f t="shared" ca="1" si="131"/>
        <v>103802.62658719165</v>
      </c>
      <c r="CJ277" s="772">
        <f t="shared" ca="1" si="131"/>
        <v>103431.55473787899</v>
      </c>
    </row>
    <row r="278" spans="1:88" ht="15" customHeight="1">
      <c r="A278" s="770">
        <f>'kc-Wert für Stützen'!C278</f>
        <v>330</v>
      </c>
      <c r="B278" s="768">
        <f ca="1">INDIRECT("'kc-Wert für Stützen'!"&amp;SUBSTITUTE(ADDRESS(MATCH($A278,'kc-Wert für Stützen'!$C:$C,0),MATCH(B$7,'kc-Wert für Stützen'!$A$8:$ES$8,0)+7,4),,))</f>
        <v>106623.08320418932</v>
      </c>
      <c r="C278" s="768">
        <f ca="1">INDIRECT("'kc-Wert für Stützen'!"&amp;SUBSTITUTE(ADDRESS(MATCH($A278,'kc-Wert für Stützen'!$C:$C,0),MATCH(C$7,'kc-Wert für Stützen'!$A$8:$ES$8,0)+7,4),,))</f>
        <v>106354.0976377262</v>
      </c>
      <c r="D278" s="768">
        <f ca="1">INDIRECT("'kc-Wert für Stützen'!"&amp;SUBSTITUTE(ADDRESS(MATCH($A278,'kc-Wert für Stützen'!$C:$C,0),MATCH(D$7,'kc-Wert für Stützen'!$A$8:$ES$8,0)+7,4),,))</f>
        <v>106074.2683463799</v>
      </c>
      <c r="E278" s="768">
        <f ca="1">INDIRECT("'kc-Wert für Stützen'!"&amp;SUBSTITUTE(ADDRESS(MATCH($A278,'kc-Wert für Stützen'!$C:$C,0),MATCH(E$7,'kc-Wert für Stützen'!$A$8:$ES$8,0)+7,4),,))</f>
        <v>105782.56964539336</v>
      </c>
      <c r="F278" s="768">
        <f ca="1">INDIRECT("'kc-Wert für Stützen'!"&amp;SUBSTITUTE(ADDRESS(MATCH($A278,'kc-Wert für Stützen'!$C:$C,0),MATCH(F$7,'kc-Wert für Stützen'!$A$8:$ES$8,0)+7,4),,))</f>
        <v>105477.88187003505</v>
      </c>
      <c r="G278" s="768">
        <f ca="1">INDIRECT("'kc-Wert für Stützen'!"&amp;SUBSTITUTE(ADDRESS(MATCH($A278,'kc-Wert für Stützen'!$C:$C,0),MATCH(G$7,'kc-Wert für Stützen'!$A$8:$ES$8,0)+7,4),,))</f>
        <v>105158.98131554904</v>
      </c>
      <c r="H278" s="768">
        <f ca="1">INDIRECT("'kc-Wert für Stützen'!"&amp;SUBSTITUTE(ADDRESS(MATCH($A278,'kc-Wert für Stützen'!$C:$C,0),MATCH(H$7,'kc-Wert für Stützen'!$A$8:$ES$8,0)+7,4),,))</f>
        <v>104824.52940414488</v>
      </c>
      <c r="I278" s="768">
        <f ca="1">INDIRECT("'kc-Wert für Stützen'!"&amp;SUBSTITUTE(ADDRESS(MATCH($A278,'kc-Wert für Stützen'!$C:$C,0),MATCH(I$7,'kc-Wert für Stützen'!$A$8:$ES$8,0)+7,4),,))</f>
        <v>104473.06115053472</v>
      </c>
      <c r="J278" s="768">
        <f ca="1">INDIRECT("'kc-Wert für Stützen'!"&amp;SUBSTITUTE(ADDRESS(MATCH($A278,'kc-Wert für Stützen'!$C:$C,0),MATCH(J$7,'kc-Wert für Stützen'!$A$8:$ES$8,0)+7,4),,))</f>
        <v>104102.97306886975</v>
      </c>
      <c r="K278" s="768">
        <f ca="1">INDIRECT("'kc-Wert für Stützen'!"&amp;SUBSTITUTE(ADDRESS(MATCH($A278,'kc-Wert für Stützen'!$C:$C,0),MATCH(K$7,'kc-Wert für Stützen'!$A$8:$ES$8,0)+7,4),,))</f>
        <v>103712.51076446116</v>
      </c>
      <c r="L278" s="768">
        <f ca="1">INDIRECT("'kc-Wert für Stützen'!"&amp;SUBSTITUTE(ADDRESS(MATCH($A278,'kc-Wert für Stützen'!$C:$C,0),MATCH(L$7,'kc-Wert für Stützen'!$A$8:$ES$8,0)+7,4),,))</f>
        <v>103299.75659217074</v>
      </c>
      <c r="M278" s="768">
        <f ca="1">INDIRECT("'kc-Wert für Stützen'!"&amp;SUBSTITUTE(ADDRESS(MATCH($A278,'kc-Wert für Stützen'!$C:$C,0),MATCH(M$7,'kc-Wert für Stützen'!$A$8:$ES$8,0)+7,4),,))</f>
        <v>102862.61795001707</v>
      </c>
      <c r="N278" s="768">
        <f ca="1">INDIRECT("'kc-Wert für Stützen'!"&amp;SUBSTITUTE(ADDRESS(MATCH($A278,'kc-Wert für Stützen'!$C:$C,0),MATCH(N$7,'kc-Wert für Stützen'!$A$8:$ES$8,0)+7,4),,))</f>
        <v>102398.81702234142</v>
      </c>
      <c r="O278" s="768">
        <f ca="1">INDIRECT("'kc-Wert für Stützen'!"&amp;SUBSTITUTE(ADDRESS(MATCH($A278,'kc-Wert für Stützen'!$C:$C,0),MATCH(O$7,'kc-Wert für Stützen'!$A$8:$ES$8,0)+7,4),,))</f>
        <v>101905.88310211727</v>
      </c>
      <c r="P278" s="768">
        <f ca="1">INDIRECT("'kc-Wert für Stützen'!"&amp;SUBSTITUTE(ADDRESS(MATCH($A278,'kc-Wert für Stützen'!$C:$C,0),MATCH(P$7,'kc-Wert für Stützen'!$A$8:$ES$8,0)+7,4),,))</f>
        <v>101381.14901354056</v>
      </c>
      <c r="S278" s="772">
        <f t="shared" ca="1" si="124"/>
        <v>106074.2683463799</v>
      </c>
      <c r="T278" s="772">
        <f t="shared" ca="1" si="128"/>
        <v>106074.2683463799</v>
      </c>
      <c r="U278" s="772">
        <f t="shared" ca="1" si="128"/>
        <v>106074.2683463799</v>
      </c>
      <c r="V278" s="772">
        <f t="shared" ca="1" si="128"/>
        <v>105782.56964539336</v>
      </c>
      <c r="W278" s="772">
        <f t="shared" ca="1" si="128"/>
        <v>105477.88187003505</v>
      </c>
      <c r="X278" s="772">
        <f t="shared" ca="1" si="128"/>
        <v>105158.98131554904</v>
      </c>
      <c r="Y278" s="772">
        <f t="shared" ca="1" si="128"/>
        <v>104824.52940414488</v>
      </c>
      <c r="Z278" s="772">
        <f t="shared" ca="1" si="128"/>
        <v>106074.2683463799</v>
      </c>
      <c r="AA278" s="772">
        <f t="shared" ca="1" si="128"/>
        <v>106074.2683463799</v>
      </c>
      <c r="AB278" s="772">
        <f t="shared" ca="1" si="130"/>
        <v>105782.56964539336</v>
      </c>
      <c r="AC278" s="772">
        <f t="shared" ca="1" si="130"/>
        <v>105782.56964539336</v>
      </c>
      <c r="AD278" s="772">
        <f t="shared" ca="1" si="130"/>
        <v>105477.88187003505</v>
      </c>
      <c r="AE278" s="772">
        <f t="shared" ca="1" si="130"/>
        <v>105477.88187003505</v>
      </c>
      <c r="AF278" s="772">
        <f t="shared" ca="1" si="130"/>
        <v>105158.98131554904</v>
      </c>
      <c r="AG278" s="772">
        <f t="shared" ca="1" si="130"/>
        <v>105158.98131554904</v>
      </c>
      <c r="AH278" s="772">
        <f t="shared" ca="1" si="130"/>
        <v>105158.98131554904</v>
      </c>
      <c r="AI278" s="772">
        <f t="shared" ca="1" si="130"/>
        <v>106074.2683463799</v>
      </c>
      <c r="AJ278" s="772">
        <f t="shared" ca="1" si="130"/>
        <v>106074.2683463799</v>
      </c>
      <c r="AK278" s="772">
        <f t="shared" ca="1" si="130"/>
        <v>105782.56964539336</v>
      </c>
      <c r="AL278" s="772">
        <f t="shared" ca="1" si="130"/>
        <v>105782.56964539336</v>
      </c>
      <c r="AM278" s="772">
        <f t="shared" ca="1" si="130"/>
        <v>105477.88187003505</v>
      </c>
      <c r="AN278" s="772">
        <f t="shared" ca="1" si="130"/>
        <v>105477.88187003505</v>
      </c>
      <c r="AO278" s="772">
        <f t="shared" ca="1" si="130"/>
        <v>105158.98131554904</v>
      </c>
      <c r="AP278" s="772">
        <f t="shared" ca="1" si="130"/>
        <v>105158.98131554904</v>
      </c>
      <c r="AQ278" s="772">
        <f t="shared" ca="1" si="129"/>
        <v>105158.98131554904</v>
      </c>
      <c r="AR278" s="772">
        <f t="shared" ca="1" si="132"/>
        <v>106074.2683463799</v>
      </c>
      <c r="AS278" s="772">
        <f t="shared" ca="1" si="132"/>
        <v>106074.2683463799</v>
      </c>
      <c r="AT278" s="772">
        <f t="shared" ca="1" si="132"/>
        <v>105782.56964539336</v>
      </c>
      <c r="AU278" s="772">
        <f t="shared" ca="1" si="132"/>
        <v>105782.56964539336</v>
      </c>
      <c r="AV278" s="772">
        <f t="shared" ca="1" si="132"/>
        <v>105477.88187003505</v>
      </c>
      <c r="AW278" s="772">
        <f t="shared" ca="1" si="132"/>
        <v>105477.88187003505</v>
      </c>
      <c r="AX278" s="772">
        <f t="shared" ca="1" si="132"/>
        <v>105158.98131554904</v>
      </c>
      <c r="AY278" s="772">
        <f t="shared" ca="1" si="132"/>
        <v>105158.98131554904</v>
      </c>
      <c r="AZ278" s="772">
        <f t="shared" ca="1" si="135"/>
        <v>105158.98131554904</v>
      </c>
      <c r="BA278" s="772">
        <f t="shared" ca="1" si="135"/>
        <v>106074.2683463799</v>
      </c>
      <c r="BB278" s="772">
        <f t="shared" ca="1" si="135"/>
        <v>106074.2683463799</v>
      </c>
      <c r="BC278" s="772">
        <f t="shared" ca="1" si="135"/>
        <v>105782.56964539336</v>
      </c>
      <c r="BD278" s="772">
        <f t="shared" ca="1" si="135"/>
        <v>105477.88187003505</v>
      </c>
      <c r="BE278" s="772">
        <f t="shared" ca="1" si="135"/>
        <v>105477.88187003505</v>
      </c>
      <c r="BF278" s="772">
        <f t="shared" ca="1" si="135"/>
        <v>105158.98131554904</v>
      </c>
      <c r="BG278" s="772">
        <f t="shared" ca="1" si="135"/>
        <v>105158.98131554904</v>
      </c>
      <c r="BH278" s="772">
        <f t="shared" ca="1" si="116"/>
        <v>104824.52940414488</v>
      </c>
      <c r="BI278" s="772">
        <f t="shared" ca="1" si="116"/>
        <v>104824.52940414488</v>
      </c>
      <c r="BJ278" s="772">
        <f t="shared" ca="1" si="116"/>
        <v>105782.56964539336</v>
      </c>
      <c r="BK278" s="772">
        <f t="shared" ca="1" si="116"/>
        <v>105782.56964539336</v>
      </c>
      <c r="BL278" s="772">
        <f t="shared" ca="1" si="116"/>
        <v>105782.56964539336</v>
      </c>
      <c r="BM278" s="772">
        <f t="shared" ca="1" si="116"/>
        <v>105782.56964539336</v>
      </c>
      <c r="BN278" s="772">
        <f t="shared" ca="1" si="116"/>
        <v>105158.98131554904</v>
      </c>
      <c r="BO278" s="772">
        <f t="shared" ca="1" si="133"/>
        <v>105158.98131554904</v>
      </c>
      <c r="BP278" s="772">
        <f t="shared" ref="BP278:BV287" ca="1" si="136">HLOOKUP(BP$7,$A$7:$P$348,ROW()-6)</f>
        <v>104824.52940414488</v>
      </c>
      <c r="BQ278" s="772">
        <f t="shared" ca="1" si="136"/>
        <v>104824.52940414488</v>
      </c>
      <c r="BR278" s="772">
        <f t="shared" ca="1" si="136"/>
        <v>104473.06115053472</v>
      </c>
      <c r="BS278" s="772">
        <f t="shared" ca="1" si="136"/>
        <v>105782.56964539336</v>
      </c>
      <c r="BT278" s="772">
        <f t="shared" ca="1" si="136"/>
        <v>105782.56964539336</v>
      </c>
      <c r="BU278" s="772">
        <f t="shared" ca="1" si="136"/>
        <v>105782.56964539336</v>
      </c>
      <c r="BV278" s="772">
        <f t="shared" ca="1" si="136"/>
        <v>105477.88187003505</v>
      </c>
      <c r="BW278" s="772">
        <f t="shared" ca="1" si="125"/>
        <v>105477.88187003505</v>
      </c>
      <c r="BX278" s="772">
        <f t="shared" ca="1" si="134"/>
        <v>104824.52940414488</v>
      </c>
      <c r="BY278" s="772">
        <f t="shared" ca="1" si="134"/>
        <v>104824.52940414488</v>
      </c>
      <c r="BZ278" s="772">
        <f t="shared" ca="1" si="134"/>
        <v>104473.06115053472</v>
      </c>
      <c r="CA278" s="772">
        <f t="shared" ca="1" si="134"/>
        <v>104473.06115053472</v>
      </c>
      <c r="CB278" s="772">
        <f t="shared" ca="1" si="134"/>
        <v>105477.88187003505</v>
      </c>
      <c r="CC278" s="772">
        <f t="shared" ca="1" si="134"/>
        <v>105477.88187003505</v>
      </c>
      <c r="CD278" s="772">
        <f t="shared" ca="1" si="131"/>
        <v>105477.88187003505</v>
      </c>
      <c r="CE278" s="772">
        <f t="shared" ca="1" si="131"/>
        <v>105477.88187003505</v>
      </c>
      <c r="CF278" s="772">
        <f t="shared" ca="1" si="131"/>
        <v>105158.98131554904</v>
      </c>
      <c r="CG278" s="772">
        <f t="shared" ca="1" si="131"/>
        <v>104824.52940414488</v>
      </c>
      <c r="CH278" s="772">
        <f t="shared" ca="1" si="131"/>
        <v>104473.06115053472</v>
      </c>
      <c r="CI278" s="772">
        <f t="shared" ca="1" si="131"/>
        <v>104473.06115053472</v>
      </c>
      <c r="CJ278" s="772">
        <f t="shared" ca="1" si="131"/>
        <v>104102.97306886975</v>
      </c>
    </row>
    <row r="279" spans="1:88" ht="15" customHeight="1">
      <c r="A279" s="770">
        <f>'kc-Wert für Stützen'!C279</f>
        <v>331</v>
      </c>
      <c r="B279" s="768">
        <f ca="1">INDIRECT("'kc-Wert für Stützen'!"&amp;SUBSTITUTE(ADDRESS(MATCH($A279,'kc-Wert für Stützen'!$C:$C,0),MATCH(B$7,'kc-Wert für Stützen'!$A$8:$ES$8,0)+7,4),,))</f>
        <v>107292.68527307725</v>
      </c>
      <c r="C279" s="768">
        <f ca="1">INDIRECT("'kc-Wert für Stützen'!"&amp;SUBSTITUTE(ADDRESS(MATCH($A279,'kc-Wert für Stützen'!$C:$C,0),MATCH(C$7,'kc-Wert für Stützen'!$A$8:$ES$8,0)+7,4),,))</f>
        <v>107023.77606133152</v>
      </c>
      <c r="D279" s="768">
        <f ca="1">INDIRECT("'kc-Wert für Stützen'!"&amp;SUBSTITUTE(ADDRESS(MATCH($A279,'kc-Wert für Stützen'!$C:$C,0),MATCH(D$7,'kc-Wert für Stützen'!$A$8:$ES$8,0)+7,4),,))</f>
        <v>106744.10886601316</v>
      </c>
      <c r="E279" s="768">
        <f ca="1">INDIRECT("'kc-Wert für Stützen'!"&amp;SUBSTITUTE(ADDRESS(MATCH($A279,'kc-Wert für Stützen'!$C:$C,0),MATCH(E$7,'kc-Wert für Stützen'!$A$8:$ES$8,0)+7,4),,))</f>
        <v>106452.6689986003</v>
      </c>
      <c r="F279" s="768">
        <f ca="1">INDIRECT("'kc-Wert für Stützen'!"&amp;SUBSTITUTE(ADDRESS(MATCH($A279,'kc-Wert für Stützen'!$C:$C,0),MATCH(F$7,'kc-Wert für Stützen'!$A$8:$ES$8,0)+7,4),,))</f>
        <v>106148.34922564948</v>
      </c>
      <c r="G279" s="768">
        <f ca="1">INDIRECT("'kc-Wert für Stützen'!"&amp;SUBSTITUTE(ADDRESS(MATCH($A279,'kc-Wert für Stützen'!$C:$C,0),MATCH(G$7,'kc-Wert für Stützen'!$A$8:$ES$8,0)+7,4),,))</f>
        <v>105829.93987191289</v>
      </c>
      <c r="H279" s="768">
        <f ca="1">INDIRECT("'kc-Wert für Stützen'!"&amp;SUBSTITUTE(ADDRESS(MATCH($A279,'kc-Wert für Stützen'!$C:$C,0),MATCH(H$7,'kc-Wert für Stützen'!$A$8:$ES$8,0)+7,4),,))</f>
        <v>105496.11815589381</v>
      </c>
      <c r="I279" s="768">
        <f ca="1">INDIRECT("'kc-Wert für Stützen'!"&amp;SUBSTITUTE(ADDRESS(MATCH($A279,'kc-Wert für Stützen'!$C:$C,0),MATCH(I$7,'kc-Wert für Stützen'!$A$8:$ES$8,0)+7,4),,))</f>
        <v>105145.43682277296</v>
      </c>
      <c r="J279" s="768">
        <f ca="1">INDIRECT("'kc-Wert für Stützen'!"&amp;SUBSTITUTE(ADDRESS(MATCH($A279,'kc-Wert für Stützen'!$C:$C,0),MATCH(J$7,'kc-Wert für Stützen'!$A$8:$ES$8,0)+7,4),,))</f>
        <v>104776.31220731899</v>
      </c>
      <c r="K279" s="768">
        <f ca="1">INDIRECT("'kc-Wert für Stützen'!"&amp;SUBSTITUTE(ADDRESS(MATCH($A279,'kc-Wert für Stützen'!$C:$C,0),MATCH(K$7,'kc-Wert für Stützen'!$A$8:$ES$8,0)+7,4),,))</f>
        <v>104387.01195488517</v>
      </c>
      <c r="L279" s="768">
        <f ca="1">INDIRECT("'kc-Wert für Stützen'!"&amp;SUBSTITUTE(ADDRESS(MATCH($A279,'kc-Wert für Stützen'!$C:$C,0),MATCH(L$7,'kc-Wert für Stützen'!$A$8:$ES$8,0)+7,4),,))</f>
        <v>103975.64276030792</v>
      </c>
      <c r="M279" s="768">
        <f ca="1">INDIRECT("'kc-Wert für Stützen'!"&amp;SUBSTITUTE(ADDRESS(MATCH($A279,'kc-Wert für Stützen'!$C:$C,0),MATCH(M$7,'kc-Wert für Stützen'!$A$8:$ES$8,0)+7,4),,))</f>
        <v>103540.13866230313</v>
      </c>
      <c r="N279" s="768">
        <f ca="1">INDIRECT("'kc-Wert für Stützen'!"&amp;SUBSTITUTE(ADDRESS(MATCH($A279,'kc-Wert für Stützen'!$C:$C,0),MATCH(N$7,'kc-Wert für Stützen'!$A$8:$ES$8,0)+7,4),,))</f>
        <v>103078.25066547173</v>
      </c>
      <c r="O279" s="768">
        <f ca="1">INDIRECT("'kc-Wert für Stützen'!"&amp;SUBSTITUTE(ADDRESS(MATCH($A279,'kc-Wert für Stützen'!$C:$C,0),MATCH(O$7,'kc-Wert für Stützen'!$A$8:$ES$8,0)+7,4),,))</f>
        <v>102587.53876352872</v>
      </c>
      <c r="P279" s="768">
        <f ca="1">INDIRECT("'kc-Wert für Stützen'!"&amp;SUBSTITUTE(ADDRESS(MATCH($A279,'kc-Wert für Stützen'!$C:$C,0),MATCH(P$7,'kc-Wert für Stützen'!$A$8:$ES$8,0)+7,4),,))</f>
        <v>102065.36781313363</v>
      </c>
      <c r="S279" s="772">
        <f t="shared" ca="1" si="124"/>
        <v>106744.10886601316</v>
      </c>
      <c r="T279" s="772">
        <f t="shared" ca="1" si="128"/>
        <v>106744.10886601316</v>
      </c>
      <c r="U279" s="772">
        <f t="shared" ca="1" si="128"/>
        <v>106744.10886601316</v>
      </c>
      <c r="V279" s="772">
        <f t="shared" ca="1" si="128"/>
        <v>106452.6689986003</v>
      </c>
      <c r="W279" s="772">
        <f t="shared" ca="1" si="128"/>
        <v>106148.34922564948</v>
      </c>
      <c r="X279" s="772">
        <f t="shared" ca="1" si="128"/>
        <v>105829.93987191289</v>
      </c>
      <c r="Y279" s="772">
        <f t="shared" ca="1" si="128"/>
        <v>105496.11815589381</v>
      </c>
      <c r="Z279" s="772">
        <f t="shared" ca="1" si="128"/>
        <v>106744.10886601316</v>
      </c>
      <c r="AA279" s="772">
        <f t="shared" ca="1" si="128"/>
        <v>106744.10886601316</v>
      </c>
      <c r="AB279" s="772">
        <f t="shared" ca="1" si="130"/>
        <v>106452.6689986003</v>
      </c>
      <c r="AC279" s="772">
        <f t="shared" ca="1" si="130"/>
        <v>106452.6689986003</v>
      </c>
      <c r="AD279" s="772">
        <f t="shared" ca="1" si="130"/>
        <v>106148.34922564948</v>
      </c>
      <c r="AE279" s="772">
        <f t="shared" ca="1" si="130"/>
        <v>106148.34922564948</v>
      </c>
      <c r="AF279" s="772">
        <f t="shared" ca="1" si="130"/>
        <v>105829.93987191289</v>
      </c>
      <c r="AG279" s="772">
        <f t="shared" ca="1" si="130"/>
        <v>105829.93987191289</v>
      </c>
      <c r="AH279" s="772">
        <f t="shared" ca="1" si="130"/>
        <v>105829.93987191289</v>
      </c>
      <c r="AI279" s="772">
        <f t="shared" ca="1" si="130"/>
        <v>106744.10886601316</v>
      </c>
      <c r="AJ279" s="772">
        <f t="shared" ca="1" si="130"/>
        <v>106744.10886601316</v>
      </c>
      <c r="AK279" s="772">
        <f t="shared" ca="1" si="130"/>
        <v>106452.6689986003</v>
      </c>
      <c r="AL279" s="772">
        <f t="shared" ca="1" si="130"/>
        <v>106452.6689986003</v>
      </c>
      <c r="AM279" s="772">
        <f t="shared" ca="1" si="130"/>
        <v>106148.34922564948</v>
      </c>
      <c r="AN279" s="772">
        <f t="shared" ca="1" si="130"/>
        <v>106148.34922564948</v>
      </c>
      <c r="AO279" s="772">
        <f t="shared" ca="1" si="130"/>
        <v>105829.93987191289</v>
      </c>
      <c r="AP279" s="772">
        <f t="shared" ca="1" si="130"/>
        <v>105829.93987191289</v>
      </c>
      <c r="AQ279" s="772">
        <f t="shared" ca="1" si="129"/>
        <v>105829.93987191289</v>
      </c>
      <c r="AR279" s="772">
        <f t="shared" ca="1" si="132"/>
        <v>106744.10886601316</v>
      </c>
      <c r="AS279" s="772">
        <f t="shared" ca="1" si="132"/>
        <v>106744.10886601316</v>
      </c>
      <c r="AT279" s="772">
        <f t="shared" ca="1" si="132"/>
        <v>106452.6689986003</v>
      </c>
      <c r="AU279" s="772">
        <f t="shared" ca="1" si="132"/>
        <v>106452.6689986003</v>
      </c>
      <c r="AV279" s="772">
        <f t="shared" ca="1" si="132"/>
        <v>106148.34922564948</v>
      </c>
      <c r="AW279" s="772">
        <f t="shared" ca="1" si="132"/>
        <v>106148.34922564948</v>
      </c>
      <c r="AX279" s="772">
        <f t="shared" ca="1" si="132"/>
        <v>105829.93987191289</v>
      </c>
      <c r="AY279" s="772">
        <f t="shared" ca="1" si="132"/>
        <v>105829.93987191289</v>
      </c>
      <c r="AZ279" s="772">
        <f t="shared" ca="1" si="135"/>
        <v>105829.93987191289</v>
      </c>
      <c r="BA279" s="772">
        <f t="shared" ca="1" si="135"/>
        <v>106744.10886601316</v>
      </c>
      <c r="BB279" s="772">
        <f t="shared" ca="1" si="135"/>
        <v>106744.10886601316</v>
      </c>
      <c r="BC279" s="772">
        <f t="shared" ca="1" si="135"/>
        <v>106452.6689986003</v>
      </c>
      <c r="BD279" s="772">
        <f t="shared" ca="1" si="135"/>
        <v>106148.34922564948</v>
      </c>
      <c r="BE279" s="772">
        <f t="shared" ca="1" si="135"/>
        <v>106148.34922564948</v>
      </c>
      <c r="BF279" s="772">
        <f t="shared" ca="1" si="135"/>
        <v>105829.93987191289</v>
      </c>
      <c r="BG279" s="772">
        <f t="shared" ca="1" si="135"/>
        <v>105829.93987191289</v>
      </c>
      <c r="BH279" s="772">
        <f t="shared" ca="1" si="116"/>
        <v>105496.11815589381</v>
      </c>
      <c r="BI279" s="772">
        <f t="shared" ca="1" si="116"/>
        <v>105496.11815589381</v>
      </c>
      <c r="BJ279" s="772">
        <f t="shared" ca="1" si="116"/>
        <v>106452.6689986003</v>
      </c>
      <c r="BK279" s="772">
        <f t="shared" ca="1" si="116"/>
        <v>106452.6689986003</v>
      </c>
      <c r="BL279" s="772">
        <f t="shared" ca="1" si="116"/>
        <v>106452.6689986003</v>
      </c>
      <c r="BM279" s="772">
        <f t="shared" ca="1" si="116"/>
        <v>106452.6689986003</v>
      </c>
      <c r="BN279" s="772">
        <f t="shared" ca="1" si="116"/>
        <v>105829.93987191289</v>
      </c>
      <c r="BO279" s="772">
        <f t="shared" ca="1" si="133"/>
        <v>105829.93987191289</v>
      </c>
      <c r="BP279" s="772">
        <f t="shared" ca="1" si="136"/>
        <v>105496.11815589381</v>
      </c>
      <c r="BQ279" s="772">
        <f t="shared" ca="1" si="136"/>
        <v>105496.11815589381</v>
      </c>
      <c r="BR279" s="772">
        <f t="shared" ca="1" si="136"/>
        <v>105145.43682277296</v>
      </c>
      <c r="BS279" s="772">
        <f t="shared" ca="1" si="136"/>
        <v>106452.6689986003</v>
      </c>
      <c r="BT279" s="772">
        <f t="shared" ca="1" si="136"/>
        <v>106452.6689986003</v>
      </c>
      <c r="BU279" s="772">
        <f t="shared" ca="1" si="136"/>
        <v>106452.6689986003</v>
      </c>
      <c r="BV279" s="772">
        <f t="shared" ca="1" si="136"/>
        <v>106148.34922564948</v>
      </c>
      <c r="BW279" s="772">
        <f t="shared" ca="1" si="125"/>
        <v>106148.34922564948</v>
      </c>
      <c r="BX279" s="772">
        <f t="shared" ca="1" si="134"/>
        <v>105496.11815589381</v>
      </c>
      <c r="BY279" s="772">
        <f t="shared" ca="1" si="134"/>
        <v>105496.11815589381</v>
      </c>
      <c r="BZ279" s="772">
        <f t="shared" ca="1" si="134"/>
        <v>105145.43682277296</v>
      </c>
      <c r="CA279" s="772">
        <f t="shared" ca="1" si="134"/>
        <v>105145.43682277296</v>
      </c>
      <c r="CB279" s="772">
        <f t="shared" ca="1" si="134"/>
        <v>106148.34922564948</v>
      </c>
      <c r="CC279" s="772">
        <f t="shared" ca="1" si="134"/>
        <v>106148.34922564948</v>
      </c>
      <c r="CD279" s="772">
        <f t="shared" ca="1" si="131"/>
        <v>106148.34922564948</v>
      </c>
      <c r="CE279" s="772">
        <f t="shared" ca="1" si="131"/>
        <v>106148.34922564948</v>
      </c>
      <c r="CF279" s="772">
        <f t="shared" ca="1" si="131"/>
        <v>105829.93987191289</v>
      </c>
      <c r="CG279" s="772">
        <f t="shared" ca="1" si="131"/>
        <v>105496.11815589381</v>
      </c>
      <c r="CH279" s="772">
        <f t="shared" ca="1" si="131"/>
        <v>105145.43682277296</v>
      </c>
      <c r="CI279" s="772">
        <f t="shared" ca="1" si="131"/>
        <v>105145.43682277296</v>
      </c>
      <c r="CJ279" s="772">
        <f t="shared" ca="1" si="131"/>
        <v>104776.31220731899</v>
      </c>
    </row>
    <row r="280" spans="1:88" ht="15" customHeight="1">
      <c r="A280" s="770">
        <f>'kc-Wert für Stützen'!C280</f>
        <v>332</v>
      </c>
      <c r="B280" s="768">
        <f ca="1">INDIRECT("'kc-Wert für Stützen'!"&amp;SUBSTITUTE(ADDRESS(MATCH($A280,'kc-Wert für Stützen'!$C:$C,0),MATCH(B$7,'kc-Wert für Stützen'!$A$8:$ES$8,0)+7,4),,))</f>
        <v>107964.31052048078</v>
      </c>
      <c r="C280" s="768">
        <f ca="1">INDIRECT("'kc-Wert für Stützen'!"&amp;SUBSTITUTE(ADDRESS(MATCH($A280,'kc-Wert für Stützen'!$C:$C,0),MATCH(C$7,'kc-Wert für Stützen'!$A$8:$ES$8,0)+7,4),,))</f>
        <v>107695.47076023948</v>
      </c>
      <c r="D280" s="768">
        <f ca="1">INDIRECT("'kc-Wert für Stützen'!"&amp;SUBSTITUTE(ADDRESS(MATCH($A280,'kc-Wert für Stützen'!$C:$C,0),MATCH(D$7,'kc-Wert für Stützen'!$A$8:$ES$8,0)+7,4),,))</f>
        <v>107415.95760228545</v>
      </c>
      <c r="E280" s="768">
        <f ca="1">INDIRECT("'kc-Wert für Stützen'!"&amp;SUBSTITUTE(ADDRESS(MATCH($A280,'kc-Wert für Stützen'!$C:$C,0),MATCH(E$7,'kc-Wert für Stützen'!$A$8:$ES$8,0)+7,4),,))</f>
        <v>107124.76716860493</v>
      </c>
      <c r="F280" s="768">
        <f ca="1">INDIRECT("'kc-Wert für Stützen'!"&amp;SUBSTITUTE(ADDRESS(MATCH($A280,'kc-Wert für Stützen'!$C:$C,0),MATCH(F$7,'kc-Wert für Stützen'!$A$8:$ES$8,0)+7,4),,))</f>
        <v>106820.80444413862</v>
      </c>
      <c r="G280" s="768">
        <f ca="1">INDIRECT("'kc-Wert für Stützen'!"&amp;SUBSTITUTE(ADDRESS(MATCH($A280,'kc-Wert für Stützen'!$C:$C,0),MATCH(G$7,'kc-Wert für Stützen'!$A$8:$ES$8,0)+7,4),,))</f>
        <v>106502.87354039321</v>
      </c>
      <c r="H280" s="768">
        <f ca="1">INDIRECT("'kc-Wert für Stützen'!"&amp;SUBSTITUTE(ADDRESS(MATCH($A280,'kc-Wert für Stützen'!$C:$C,0),MATCH(H$7,'kc-Wert für Stützen'!$A$8:$ES$8,0)+7,4),,))</f>
        <v>106169.66719726902</v>
      </c>
      <c r="I280" s="768">
        <f ca="1">INDIRECT("'kc-Wert für Stützen'!"&amp;SUBSTITUTE(ADDRESS(MATCH($A280,'kc-Wert für Stützen'!$C:$C,0),MATCH(I$7,'kc-Wert für Stützen'!$A$8:$ES$8,0)+7,4),,))</f>
        <v>105819.75558187021</v>
      </c>
      <c r="J280" s="768">
        <f ca="1">INDIRECT("'kc-Wert für Stützen'!"&amp;SUBSTITUTE(ADDRESS(MATCH($A280,'kc-Wert für Stützen'!$C:$C,0),MATCH(J$7,'kc-Wert für Stützen'!$A$8:$ES$8,0)+7,4),,))</f>
        <v>105451.57450726497</v>
      </c>
      <c r="K280" s="768">
        <f ca="1">INDIRECT("'kc-Wert für Stützen'!"&amp;SUBSTITUTE(ADDRESS(MATCH($A280,'kc-Wert für Stützen'!$C:$C,0),MATCH(K$7,'kc-Wert für Stützen'!$A$8:$ES$8,0)+7,4),,))</f>
        <v>105063.41328486115</v>
      </c>
      <c r="L280" s="768">
        <f ca="1">INDIRECT("'kc-Wert für Stützen'!"&amp;SUBSTITUTE(ADDRESS(MATCH($A280,'kc-Wert für Stützen'!$C:$C,0),MATCH(L$7,'kc-Wert für Stützen'!$A$8:$ES$8,0)+7,4),,))</f>
        <v>104653.40254933132</v>
      </c>
      <c r="M280" s="768">
        <f ca="1">INDIRECT("'kc-Wert für Stützen'!"&amp;SUBSTITUTE(ADDRESS(MATCH($A280,'kc-Wert für Stützen'!$C:$C,0),MATCH(M$7,'kc-Wert für Stützen'!$A$8:$ES$8,0)+7,4),,))</f>
        <v>104219.50256433258</v>
      </c>
      <c r="N280" s="768">
        <f ca="1">INDIRECT("'kc-Wert für Stützen'!"&amp;SUBSTITUTE(ADDRESS(MATCH($A280,'kc-Wert für Stützen'!$C:$C,0),MATCH(N$7,'kc-Wert für Stützen'!$A$8:$ES$8,0)+7,4),,))</f>
        <v>103759.49274100516</v>
      </c>
      <c r="O280" s="768">
        <f ca="1">INDIRECT("'kc-Wert für Stützen'!"&amp;SUBSTITUTE(ADDRESS(MATCH($A280,'kc-Wert für Stützen'!$C:$C,0),MATCH(O$7,'kc-Wert für Stützen'!$A$8:$ES$8,0)+7,4),,))</f>
        <v>103270.96338954307</v>
      </c>
      <c r="P280" s="768">
        <f ca="1">INDIRECT("'kc-Wert für Stützen'!"&amp;SUBSTITUTE(ADDRESS(MATCH($A280,'kc-Wert für Stützen'!$C:$C,0),MATCH(P$7,'kc-Wert für Stützen'!$A$8:$ES$8,0)+7,4),,))</f>
        <v>102751.31108461972</v>
      </c>
      <c r="S280" s="772">
        <f t="shared" ca="1" si="124"/>
        <v>107415.95760228545</v>
      </c>
      <c r="T280" s="772">
        <f t="shared" ca="1" si="128"/>
        <v>107415.95760228545</v>
      </c>
      <c r="U280" s="772">
        <f t="shared" ca="1" si="128"/>
        <v>107415.95760228545</v>
      </c>
      <c r="V280" s="772">
        <f t="shared" ca="1" si="128"/>
        <v>107124.76716860493</v>
      </c>
      <c r="W280" s="772">
        <f t="shared" ca="1" si="128"/>
        <v>106820.80444413862</v>
      </c>
      <c r="X280" s="772">
        <f t="shared" ca="1" si="128"/>
        <v>106502.87354039321</v>
      </c>
      <c r="Y280" s="772">
        <f t="shared" ca="1" si="128"/>
        <v>106169.66719726902</v>
      </c>
      <c r="Z280" s="772">
        <f t="shared" ca="1" si="128"/>
        <v>107415.95760228545</v>
      </c>
      <c r="AA280" s="772">
        <f t="shared" ca="1" si="128"/>
        <v>107415.95760228545</v>
      </c>
      <c r="AB280" s="772">
        <f t="shared" ca="1" si="130"/>
        <v>107124.76716860493</v>
      </c>
      <c r="AC280" s="772">
        <f t="shared" ca="1" si="130"/>
        <v>107124.76716860493</v>
      </c>
      <c r="AD280" s="772">
        <f t="shared" ca="1" si="130"/>
        <v>106820.80444413862</v>
      </c>
      <c r="AE280" s="772">
        <f t="shared" ca="1" si="130"/>
        <v>106820.80444413862</v>
      </c>
      <c r="AF280" s="772">
        <f t="shared" ca="1" si="130"/>
        <v>106502.87354039321</v>
      </c>
      <c r="AG280" s="772">
        <f t="shared" ca="1" si="130"/>
        <v>106502.87354039321</v>
      </c>
      <c r="AH280" s="772">
        <f t="shared" ca="1" si="130"/>
        <v>106502.87354039321</v>
      </c>
      <c r="AI280" s="772">
        <f t="shared" ca="1" si="130"/>
        <v>107415.95760228545</v>
      </c>
      <c r="AJ280" s="772">
        <f t="shared" ca="1" si="130"/>
        <v>107415.95760228545</v>
      </c>
      <c r="AK280" s="772">
        <f t="shared" ca="1" si="130"/>
        <v>107124.76716860493</v>
      </c>
      <c r="AL280" s="772">
        <f t="shared" ca="1" si="130"/>
        <v>107124.76716860493</v>
      </c>
      <c r="AM280" s="772">
        <f t="shared" ca="1" si="130"/>
        <v>106820.80444413862</v>
      </c>
      <c r="AN280" s="772">
        <f t="shared" ca="1" si="130"/>
        <v>106820.80444413862</v>
      </c>
      <c r="AO280" s="772">
        <f t="shared" ca="1" si="130"/>
        <v>106502.87354039321</v>
      </c>
      <c r="AP280" s="772">
        <f t="shared" ca="1" si="130"/>
        <v>106502.87354039321</v>
      </c>
      <c r="AQ280" s="772">
        <f t="shared" ca="1" si="129"/>
        <v>106502.87354039321</v>
      </c>
      <c r="AR280" s="772">
        <f t="shared" ca="1" si="132"/>
        <v>107415.95760228545</v>
      </c>
      <c r="AS280" s="772">
        <f t="shared" ca="1" si="132"/>
        <v>107415.95760228545</v>
      </c>
      <c r="AT280" s="772">
        <f t="shared" ca="1" si="132"/>
        <v>107124.76716860493</v>
      </c>
      <c r="AU280" s="772">
        <f t="shared" ca="1" si="132"/>
        <v>107124.76716860493</v>
      </c>
      <c r="AV280" s="772">
        <f t="shared" ca="1" si="132"/>
        <v>106820.80444413862</v>
      </c>
      <c r="AW280" s="772">
        <f t="shared" ca="1" si="132"/>
        <v>106820.80444413862</v>
      </c>
      <c r="AX280" s="772">
        <f t="shared" ca="1" si="132"/>
        <v>106502.87354039321</v>
      </c>
      <c r="AY280" s="772">
        <f t="shared" ca="1" si="132"/>
        <v>106502.87354039321</v>
      </c>
      <c r="AZ280" s="772">
        <f t="shared" ca="1" si="135"/>
        <v>106502.87354039321</v>
      </c>
      <c r="BA280" s="772">
        <f t="shared" ca="1" si="135"/>
        <v>107415.95760228545</v>
      </c>
      <c r="BB280" s="772">
        <f t="shared" ca="1" si="135"/>
        <v>107415.95760228545</v>
      </c>
      <c r="BC280" s="772">
        <f t="shared" ca="1" si="135"/>
        <v>107124.76716860493</v>
      </c>
      <c r="BD280" s="772">
        <f t="shared" ca="1" si="135"/>
        <v>106820.80444413862</v>
      </c>
      <c r="BE280" s="772">
        <f t="shared" ca="1" si="135"/>
        <v>106820.80444413862</v>
      </c>
      <c r="BF280" s="772">
        <f t="shared" ca="1" si="135"/>
        <v>106502.87354039321</v>
      </c>
      <c r="BG280" s="772">
        <f t="shared" ca="1" si="135"/>
        <v>106502.87354039321</v>
      </c>
      <c r="BH280" s="772">
        <f t="shared" ca="1" si="116"/>
        <v>106169.66719726902</v>
      </c>
      <c r="BI280" s="772">
        <f t="shared" ca="1" si="116"/>
        <v>106169.66719726902</v>
      </c>
      <c r="BJ280" s="772">
        <f t="shared" ca="1" si="116"/>
        <v>107124.76716860493</v>
      </c>
      <c r="BK280" s="772">
        <f t="shared" ca="1" si="116"/>
        <v>107124.76716860493</v>
      </c>
      <c r="BL280" s="772">
        <f t="shared" ca="1" si="116"/>
        <v>107124.76716860493</v>
      </c>
      <c r="BM280" s="772">
        <f t="shared" ca="1" si="116"/>
        <v>107124.76716860493</v>
      </c>
      <c r="BN280" s="772">
        <f t="shared" ca="1" si="116"/>
        <v>106502.87354039321</v>
      </c>
      <c r="BO280" s="772">
        <f t="shared" ca="1" si="133"/>
        <v>106502.87354039321</v>
      </c>
      <c r="BP280" s="772">
        <f t="shared" ca="1" si="136"/>
        <v>106169.66719726902</v>
      </c>
      <c r="BQ280" s="772">
        <f t="shared" ca="1" si="136"/>
        <v>106169.66719726902</v>
      </c>
      <c r="BR280" s="772">
        <f t="shared" ca="1" si="136"/>
        <v>105819.75558187021</v>
      </c>
      <c r="BS280" s="772">
        <f t="shared" ca="1" si="136"/>
        <v>107124.76716860493</v>
      </c>
      <c r="BT280" s="772">
        <f t="shared" ca="1" si="136"/>
        <v>107124.76716860493</v>
      </c>
      <c r="BU280" s="772">
        <f t="shared" ca="1" si="136"/>
        <v>107124.76716860493</v>
      </c>
      <c r="BV280" s="772">
        <f t="shared" ca="1" si="136"/>
        <v>106820.80444413862</v>
      </c>
      <c r="BW280" s="772">
        <f t="shared" ca="1" si="125"/>
        <v>106820.80444413862</v>
      </c>
      <c r="BX280" s="772">
        <f t="shared" ca="1" si="134"/>
        <v>106169.66719726902</v>
      </c>
      <c r="BY280" s="772">
        <f t="shared" ca="1" si="134"/>
        <v>106169.66719726902</v>
      </c>
      <c r="BZ280" s="772">
        <f t="shared" ca="1" si="134"/>
        <v>105819.75558187021</v>
      </c>
      <c r="CA280" s="772">
        <f t="shared" ca="1" si="134"/>
        <v>105819.75558187021</v>
      </c>
      <c r="CB280" s="772">
        <f t="shared" ca="1" si="134"/>
        <v>106820.80444413862</v>
      </c>
      <c r="CC280" s="772">
        <f t="shared" ca="1" si="134"/>
        <v>106820.80444413862</v>
      </c>
      <c r="CD280" s="772">
        <f t="shared" ca="1" si="131"/>
        <v>106820.80444413862</v>
      </c>
      <c r="CE280" s="772">
        <f t="shared" ca="1" si="131"/>
        <v>106820.80444413862</v>
      </c>
      <c r="CF280" s="772">
        <f t="shared" ca="1" si="131"/>
        <v>106502.87354039321</v>
      </c>
      <c r="CG280" s="772">
        <f t="shared" ca="1" si="131"/>
        <v>106169.66719726902</v>
      </c>
      <c r="CH280" s="772">
        <f t="shared" ca="1" si="131"/>
        <v>105819.75558187021</v>
      </c>
      <c r="CI280" s="772">
        <f t="shared" ca="1" si="131"/>
        <v>105819.75558187021</v>
      </c>
      <c r="CJ280" s="772">
        <f t="shared" ca="1" si="131"/>
        <v>105451.57450726497</v>
      </c>
    </row>
    <row r="281" spans="1:88" ht="15" customHeight="1">
      <c r="A281" s="770">
        <f>'kc-Wert für Stützen'!C281</f>
        <v>333</v>
      </c>
      <c r="B281" s="768">
        <f ca="1">INDIRECT("'kc-Wert für Stützen'!"&amp;SUBSTITUTE(ADDRESS(MATCH($A281,'kc-Wert für Stützen'!$C:$C,0),MATCH(B$7,'kc-Wert für Stützen'!$A$8:$ES$8,0)+7,4),,))</f>
        <v>108637.95948106126</v>
      </c>
      <c r="C281" s="768">
        <f ca="1">INDIRECT("'kc-Wert für Stützen'!"&amp;SUBSTITUTE(ADDRESS(MATCH($A281,'kc-Wert für Stützen'!$C:$C,0),MATCH(C$7,'kc-Wert für Stützen'!$A$8:$ES$8,0)+7,4),,))</f>
        <v>108369.18238101235</v>
      </c>
      <c r="D281" s="768">
        <f ca="1">INDIRECT("'kc-Wert für Stützen'!"&amp;SUBSTITUTE(ADDRESS(MATCH($A281,'kc-Wert für Stützen'!$C:$C,0),MATCH(D$7,'kc-Wert für Stützen'!$A$8:$ES$8,0)+7,4),,))</f>
        <v>108089.81533555718</v>
      </c>
      <c r="E281" s="768">
        <f ca="1">INDIRECT("'kc-Wert für Stützen'!"&amp;SUBSTITUTE(ADDRESS(MATCH($A281,'kc-Wert für Stützen'!$C:$C,0),MATCH(E$7,'kc-Wert für Stützen'!$A$8:$ES$8,0)+7,4),,))</f>
        <v>107798.86509539698</v>
      </c>
      <c r="F281" s="768">
        <f ca="1">INDIRECT("'kc-Wert für Stützen'!"&amp;SUBSTITUTE(ADDRESS(MATCH($A281,'kc-Wert für Stützen'!$C:$C,0),MATCH(F$7,'kc-Wert für Stützen'!$A$8:$ES$8,0)+7,4),,))</f>
        <v>107495.24865546158</v>
      </c>
      <c r="G281" s="768">
        <f ca="1">INDIRECT("'kc-Wert für Stützen'!"&amp;SUBSTITUTE(ADDRESS(MATCH($A281,'kc-Wert für Stützen'!$C:$C,0),MATCH(G$7,'kc-Wert für Stützen'!$A$8:$ES$8,0)+7,4),,))</f>
        <v>107177.78367635931</v>
      </c>
      <c r="H281" s="768">
        <f ca="1">INDIRECT("'kc-Wert für Stützen'!"&amp;SUBSTITUTE(ADDRESS(MATCH($A281,'kc-Wert für Stützen'!$C:$C,0),MATCH(H$7,'kc-Wert für Stützen'!$A$8:$ES$8,0)+7,4),,))</f>
        <v>106845.17815016911</v>
      </c>
      <c r="I281" s="768">
        <f ca="1">INDIRECT("'kc-Wert für Stützen'!"&amp;SUBSTITUTE(ADDRESS(MATCH($A281,'kc-Wert für Stützen'!$C:$C,0),MATCH(I$7,'kc-Wert für Stützen'!$A$8:$ES$8,0)+7,4),,))</f>
        <v>106496.01936355275</v>
      </c>
      <c r="J281" s="768">
        <f ca="1">INDIRECT("'kc-Wert für Stützen'!"&amp;SUBSTITUTE(ADDRESS(MATCH($A281,'kc-Wert für Stützen'!$C:$C,0),MATCH(J$7,'kc-Wert für Stützen'!$A$8:$ES$8,0)+7,4),,))</f>
        <v>106128.76227206935</v>
      </c>
      <c r="K281" s="768">
        <f ca="1">INDIRECT("'kc-Wert für Stützen'!"&amp;SUBSTITUTE(ADDRESS(MATCH($A281,'kc-Wert für Stützen'!$C:$C,0),MATCH(K$7,'kc-Wert für Stützen'!$A$8:$ES$8,0)+7,4),,))</f>
        <v>105741.71748572556</v>
      </c>
      <c r="L281" s="768">
        <f ca="1">INDIRECT("'kc-Wert für Stützen'!"&amp;SUBSTITUTE(ADDRESS(MATCH($A281,'kc-Wert für Stützen'!$C:$C,0),MATCH(L$7,'kc-Wert für Stützen'!$A$8:$ES$8,0)+7,4),,))</f>
        <v>105333.03918493321</v>
      </c>
      <c r="M281" s="768">
        <f ca="1">INDIRECT("'kc-Wert für Stützen'!"&amp;SUBSTITUTE(ADDRESS(MATCH($A281,'kc-Wert für Stützen'!$C:$C,0),MATCH(M$7,'kc-Wert für Stützen'!$A$8:$ES$8,0)+7,4),,))</f>
        <v>104900.71344729188</v>
      </c>
      <c r="N281" s="768">
        <f ca="1">INDIRECT("'kc-Wert für Stützen'!"&amp;SUBSTITUTE(ADDRESS(MATCH($A281,'kc-Wert für Stützen'!$C:$C,0),MATCH(N$7,'kc-Wert für Stützen'!$A$8:$ES$8,0)+7,4),,))</f>
        <v>104442.54767905264</v>
      </c>
      <c r="O281" s="768">
        <f ca="1">INDIRECT("'kc-Wert für Stützen'!"&amp;SUBSTITUTE(ADDRESS(MATCH($A281,'kc-Wert für Stützen'!$C:$C,0),MATCH(O$7,'kc-Wert für Stützen'!$A$8:$ES$8,0)+7,4),,))</f>
        <v>103956.16212077111</v>
      </c>
      <c r="P281" s="768">
        <f ca="1">INDIRECT("'kc-Wert für Stützen'!"&amp;SUBSTITUTE(ADDRESS(MATCH($A281,'kc-Wert für Stützen'!$C:$C,0),MATCH(P$7,'kc-Wert für Stützen'!$A$8:$ES$8,0)+7,4),,))</f>
        <v>103438.98474238328</v>
      </c>
      <c r="S281" s="772">
        <f t="shared" ca="1" si="124"/>
        <v>108089.81533555718</v>
      </c>
      <c r="T281" s="772">
        <f t="shared" ca="1" si="128"/>
        <v>108089.81533555718</v>
      </c>
      <c r="U281" s="772">
        <f t="shared" ca="1" si="128"/>
        <v>108089.81533555718</v>
      </c>
      <c r="V281" s="772">
        <f t="shared" ca="1" si="128"/>
        <v>107798.86509539698</v>
      </c>
      <c r="W281" s="772">
        <f t="shared" ca="1" si="128"/>
        <v>107495.24865546158</v>
      </c>
      <c r="X281" s="772">
        <f t="shared" ca="1" si="128"/>
        <v>107177.78367635931</v>
      </c>
      <c r="Y281" s="772">
        <f t="shared" ca="1" si="128"/>
        <v>106845.17815016911</v>
      </c>
      <c r="Z281" s="772">
        <f t="shared" ca="1" si="128"/>
        <v>108089.81533555718</v>
      </c>
      <c r="AA281" s="772">
        <f t="shared" ca="1" si="128"/>
        <v>108089.81533555718</v>
      </c>
      <c r="AB281" s="772">
        <f t="shared" ca="1" si="130"/>
        <v>107798.86509539698</v>
      </c>
      <c r="AC281" s="772">
        <f t="shared" ca="1" si="130"/>
        <v>107798.86509539698</v>
      </c>
      <c r="AD281" s="772">
        <f t="shared" ca="1" si="130"/>
        <v>107495.24865546158</v>
      </c>
      <c r="AE281" s="772">
        <f t="shared" ca="1" si="130"/>
        <v>107495.24865546158</v>
      </c>
      <c r="AF281" s="772">
        <f t="shared" ca="1" si="130"/>
        <v>107177.78367635931</v>
      </c>
      <c r="AG281" s="772">
        <f t="shared" ca="1" si="130"/>
        <v>107177.78367635931</v>
      </c>
      <c r="AH281" s="772">
        <f t="shared" ca="1" si="130"/>
        <v>107177.78367635931</v>
      </c>
      <c r="AI281" s="772">
        <f t="shared" ca="1" si="130"/>
        <v>108089.81533555718</v>
      </c>
      <c r="AJ281" s="772">
        <f t="shared" ca="1" si="130"/>
        <v>108089.81533555718</v>
      </c>
      <c r="AK281" s="772">
        <f t="shared" ca="1" si="130"/>
        <v>107798.86509539698</v>
      </c>
      <c r="AL281" s="772">
        <f t="shared" ca="1" si="130"/>
        <v>107798.86509539698</v>
      </c>
      <c r="AM281" s="772">
        <f t="shared" ca="1" si="130"/>
        <v>107495.24865546158</v>
      </c>
      <c r="AN281" s="772">
        <f t="shared" ca="1" si="130"/>
        <v>107495.24865546158</v>
      </c>
      <c r="AO281" s="772">
        <f t="shared" ca="1" si="130"/>
        <v>107177.78367635931</v>
      </c>
      <c r="AP281" s="772">
        <f t="shared" ca="1" si="130"/>
        <v>107177.78367635931</v>
      </c>
      <c r="AQ281" s="772">
        <f t="shared" ca="1" si="129"/>
        <v>107177.78367635931</v>
      </c>
      <c r="AR281" s="772">
        <f t="shared" ca="1" si="132"/>
        <v>108089.81533555718</v>
      </c>
      <c r="AS281" s="772">
        <f t="shared" ca="1" si="132"/>
        <v>108089.81533555718</v>
      </c>
      <c r="AT281" s="772">
        <f t="shared" ca="1" si="132"/>
        <v>107798.86509539698</v>
      </c>
      <c r="AU281" s="772">
        <f t="shared" ca="1" si="132"/>
        <v>107798.86509539698</v>
      </c>
      <c r="AV281" s="772">
        <f t="shared" ca="1" si="132"/>
        <v>107495.24865546158</v>
      </c>
      <c r="AW281" s="772">
        <f t="shared" ca="1" si="132"/>
        <v>107495.24865546158</v>
      </c>
      <c r="AX281" s="772">
        <f t="shared" ca="1" si="132"/>
        <v>107177.78367635931</v>
      </c>
      <c r="AY281" s="772">
        <f t="shared" ca="1" si="132"/>
        <v>107177.78367635931</v>
      </c>
      <c r="AZ281" s="772">
        <f t="shared" ca="1" si="135"/>
        <v>107177.78367635931</v>
      </c>
      <c r="BA281" s="772">
        <f t="shared" ca="1" si="135"/>
        <v>108089.81533555718</v>
      </c>
      <c r="BB281" s="772">
        <f t="shared" ca="1" si="135"/>
        <v>108089.81533555718</v>
      </c>
      <c r="BC281" s="772">
        <f t="shared" ca="1" si="135"/>
        <v>107798.86509539698</v>
      </c>
      <c r="BD281" s="772">
        <f t="shared" ca="1" si="135"/>
        <v>107495.24865546158</v>
      </c>
      <c r="BE281" s="772">
        <f t="shared" ca="1" si="135"/>
        <v>107495.24865546158</v>
      </c>
      <c r="BF281" s="772">
        <f t="shared" ca="1" si="135"/>
        <v>107177.78367635931</v>
      </c>
      <c r="BG281" s="772">
        <f t="shared" ca="1" si="135"/>
        <v>107177.78367635931</v>
      </c>
      <c r="BH281" s="772">
        <f t="shared" ca="1" si="116"/>
        <v>106845.17815016911</v>
      </c>
      <c r="BI281" s="772">
        <f t="shared" ca="1" si="116"/>
        <v>106845.17815016911</v>
      </c>
      <c r="BJ281" s="772">
        <f t="shared" ca="1" si="116"/>
        <v>107798.86509539698</v>
      </c>
      <c r="BK281" s="772">
        <f t="shared" ca="1" si="116"/>
        <v>107798.86509539698</v>
      </c>
      <c r="BL281" s="772">
        <f t="shared" ca="1" si="116"/>
        <v>107798.86509539698</v>
      </c>
      <c r="BM281" s="772">
        <f t="shared" ca="1" si="116"/>
        <v>107798.86509539698</v>
      </c>
      <c r="BN281" s="772">
        <f t="shared" ca="1" si="116"/>
        <v>107177.78367635931</v>
      </c>
      <c r="BO281" s="772">
        <f t="shared" ca="1" si="133"/>
        <v>107177.78367635931</v>
      </c>
      <c r="BP281" s="772">
        <f t="shared" ca="1" si="136"/>
        <v>106845.17815016911</v>
      </c>
      <c r="BQ281" s="772">
        <f t="shared" ca="1" si="136"/>
        <v>106845.17815016911</v>
      </c>
      <c r="BR281" s="772">
        <f t="shared" ca="1" si="136"/>
        <v>106496.01936355275</v>
      </c>
      <c r="BS281" s="772">
        <f t="shared" ca="1" si="136"/>
        <v>107798.86509539698</v>
      </c>
      <c r="BT281" s="772">
        <f t="shared" ca="1" si="136"/>
        <v>107798.86509539698</v>
      </c>
      <c r="BU281" s="772">
        <f t="shared" ca="1" si="136"/>
        <v>107798.86509539698</v>
      </c>
      <c r="BV281" s="772">
        <f t="shared" ca="1" si="136"/>
        <v>107495.24865546158</v>
      </c>
      <c r="BW281" s="772">
        <f t="shared" ca="1" si="125"/>
        <v>107495.24865546158</v>
      </c>
      <c r="BX281" s="772">
        <f t="shared" ca="1" si="134"/>
        <v>106845.17815016911</v>
      </c>
      <c r="BY281" s="772">
        <f t="shared" ca="1" si="134"/>
        <v>106845.17815016911</v>
      </c>
      <c r="BZ281" s="772">
        <f t="shared" ca="1" si="134"/>
        <v>106496.01936355275</v>
      </c>
      <c r="CA281" s="772">
        <f t="shared" ca="1" si="134"/>
        <v>106496.01936355275</v>
      </c>
      <c r="CB281" s="772">
        <f t="shared" ca="1" si="134"/>
        <v>107495.24865546158</v>
      </c>
      <c r="CC281" s="772">
        <f t="shared" ca="1" si="134"/>
        <v>107495.24865546158</v>
      </c>
      <c r="CD281" s="772">
        <f ca="1">HLOOKUP(CD$7,$A$7:$P$348,ROW()-6)</f>
        <v>107495.24865546158</v>
      </c>
      <c r="CE281" s="772">
        <f ca="1">HLOOKUP(CE$7,$A$7:$P$348,ROW()-6)</f>
        <v>107495.24865546158</v>
      </c>
      <c r="CF281" s="772">
        <f t="shared" ref="BX281:CJ310" ca="1" si="137">HLOOKUP(CF$7,$A$7:$P$348,ROW()-6)</f>
        <v>107177.78367635931</v>
      </c>
      <c r="CG281" s="772">
        <f t="shared" ca="1" si="137"/>
        <v>106845.17815016911</v>
      </c>
      <c r="CH281" s="772">
        <f t="shared" ca="1" si="137"/>
        <v>106496.01936355275</v>
      </c>
      <c r="CI281" s="772">
        <f t="shared" ca="1" si="137"/>
        <v>106496.01936355275</v>
      </c>
      <c r="CJ281" s="772">
        <f t="shared" ca="1" si="137"/>
        <v>106128.76227206935</v>
      </c>
    </row>
    <row r="282" spans="1:88" ht="15" customHeight="1">
      <c r="A282" s="770">
        <f>'kc-Wert für Stützen'!C282</f>
        <v>334</v>
      </c>
      <c r="B282" s="768">
        <f ca="1">INDIRECT("'kc-Wert für Stützen'!"&amp;SUBSTITUTE(ADDRESS(MATCH($A282,'kc-Wert für Stützen'!$C:$C,0),MATCH(B$7,'kc-Wert für Stützen'!$A$8:$ES$8,0)+7,4),,))</f>
        <v>109313.6326793622</v>
      </c>
      <c r="C282" s="768">
        <f ca="1">INDIRECT("'kc-Wert für Stützen'!"&amp;SUBSTITUTE(ADDRESS(MATCH($A282,'kc-Wert für Stützen'!$C:$C,0),MATCH(C$7,'kc-Wert für Stützen'!$A$8:$ES$8,0)+7,4),,))</f>
        <v>109044.91155772083</v>
      </c>
      <c r="D282" s="768">
        <f ca="1">INDIRECT("'kc-Wert für Stützen'!"&amp;SUBSTITUTE(ADDRESS(MATCH($A282,'kc-Wert für Stützen'!$C:$C,0),MATCH(D$7,'kc-Wert für Stützen'!$A$8:$ES$8,0)+7,4),,))</f>
        <v>108765.68283081125</v>
      </c>
      <c r="E282" s="768">
        <f ca="1">INDIRECT("'kc-Wert für Stützen'!"&amp;SUBSTITUTE(ADDRESS(MATCH($A282,'kc-Wert für Stützen'!$C:$C,0),MATCH(E$7,'kc-Wert für Stützen'!$A$8:$ES$8,0)+7,4),,))</f>
        <v>108474.9637000959</v>
      </c>
      <c r="F282" s="768">
        <f ca="1">INDIRECT("'kc-Wert für Stützen'!"&amp;SUBSTITUTE(ADDRESS(MATCH($A282,'kc-Wert für Stützen'!$C:$C,0),MATCH(F$7,'kc-Wert für Stützen'!$A$8:$ES$8,0)+7,4),,))</f>
        <v>108171.68296649927</v>
      </c>
      <c r="G282" s="768">
        <f ca="1">INDIRECT("'kc-Wert für Stützen'!"&amp;SUBSTITUTE(ADDRESS(MATCH($A282,'kc-Wert für Stützen'!$C:$C,0),MATCH(G$7,'kc-Wert für Stützen'!$A$8:$ES$8,0)+7,4),,))</f>
        <v>107854.67160706365</v>
      </c>
      <c r="H282" s="768">
        <f ca="1">INDIRECT("'kc-Wert für Stützen'!"&amp;SUBSTITUTE(ADDRESS(MATCH($A282,'kc-Wert für Stützen'!$C:$C,0),MATCH(H$7,'kc-Wert für Stützen'!$A$8:$ES$8,0)+7,4),,))</f>
        <v>107522.65260238494</v>
      </c>
      <c r="I282" s="768">
        <f ca="1">INDIRECT("'kc-Wert für Stützen'!"&amp;SUBSTITUTE(ADDRESS(MATCH($A282,'kc-Wert für Stützen'!$C:$C,0),MATCH(I$7,'kc-Wert für Stützen'!$A$8:$ES$8,0)+7,4),,))</f>
        <v>107174.23006237717</v>
      </c>
      <c r="J282" s="768">
        <f ca="1">INDIRECT("'kc-Wert für Stützen'!"&amp;SUBSTITUTE(ADDRESS(MATCH($A282,'kc-Wert für Stützen'!$C:$C,0),MATCH(J$7,'kc-Wert für Stützen'!$A$8:$ES$8,0)+7,4),,))</f>
        <v>106807.87775569122</v>
      </c>
      <c r="K282" s="768">
        <f ca="1">INDIRECT("'kc-Wert für Stützen'!"&amp;SUBSTITUTE(ADDRESS(MATCH($A282,'kc-Wert für Stützen'!$C:$C,0),MATCH(K$7,'kc-Wert für Stützen'!$A$8:$ES$8,0)+7,4),,))</f>
        <v>106421.92722994825</v>
      </c>
      <c r="L282" s="768">
        <f ca="1">INDIRECT("'kc-Wert für Stützen'!"&amp;SUBSTITUTE(ADDRESS(MATCH($A282,'kc-Wert für Stützen'!$C:$C,0),MATCH(L$7,'kc-Wert für Stützen'!$A$8:$ES$8,0)+7,4),,))</f>
        <v>106014.55582325846</v>
      </c>
      <c r="M282" s="768">
        <f ca="1">INDIRECT("'kc-Wert für Stützen'!"&amp;SUBSTITUTE(ADDRESS(MATCH($A282,'kc-Wert für Stützen'!$C:$C,0),MATCH(M$7,'kc-Wert für Stützen'!$A$8:$ES$8,0)+7,4),,))</f>
        <v>105583.77502105902</v>
      </c>
      <c r="N282" s="768">
        <f ca="1">INDIRECT("'kc-Wert für Stützen'!"&amp;SUBSTITUTE(ADDRESS(MATCH($A282,'kc-Wert für Stützen'!$C:$C,0),MATCH(N$7,'kc-Wert für Stützen'!$A$8:$ES$8,0)+7,4),,))</f>
        <v>105127.41981590593</v>
      </c>
      <c r="O282" s="768">
        <f ca="1">INDIRECT("'kc-Wert für Stützen'!"&amp;SUBSTITUTE(ADDRESS(MATCH($A282,'kc-Wert für Stützen'!$C:$C,0),MATCH(O$7,'kc-Wert für Stützen'!$A$8:$ES$8,0)+7,4),,))</f>
        <v>104643.13999136131</v>
      </c>
      <c r="P282" s="768">
        <f ca="1">INDIRECT("'kc-Wert für Stützen'!"&amp;SUBSTITUTE(ADDRESS(MATCH($A282,'kc-Wert für Stützen'!$C:$C,0),MATCH(P$7,'kc-Wert für Stützen'!$A$8:$ES$8,0)+7,4),,))</f>
        <v>104128.39458259208</v>
      </c>
      <c r="S282" s="772">
        <f t="shared" ca="1" si="124"/>
        <v>108765.68283081125</v>
      </c>
      <c r="T282" s="772">
        <f t="shared" ca="1" si="128"/>
        <v>108765.68283081125</v>
      </c>
      <c r="U282" s="772">
        <f t="shared" ca="1" si="128"/>
        <v>108765.68283081125</v>
      </c>
      <c r="V282" s="772">
        <f t="shared" ca="1" si="128"/>
        <v>108474.9637000959</v>
      </c>
      <c r="W282" s="772">
        <f t="shared" ca="1" si="128"/>
        <v>108171.68296649927</v>
      </c>
      <c r="X282" s="772">
        <f t="shared" ca="1" si="128"/>
        <v>107854.67160706365</v>
      </c>
      <c r="Y282" s="772">
        <f t="shared" ca="1" si="128"/>
        <v>107522.65260238494</v>
      </c>
      <c r="Z282" s="772">
        <f t="shared" ca="1" si="128"/>
        <v>108765.68283081125</v>
      </c>
      <c r="AA282" s="772">
        <f t="shared" ca="1" si="128"/>
        <v>108765.68283081125</v>
      </c>
      <c r="AB282" s="772">
        <f t="shared" ca="1" si="130"/>
        <v>108474.9637000959</v>
      </c>
      <c r="AC282" s="772">
        <f t="shared" ca="1" si="130"/>
        <v>108474.9637000959</v>
      </c>
      <c r="AD282" s="772">
        <f t="shared" ca="1" si="130"/>
        <v>108171.68296649927</v>
      </c>
      <c r="AE282" s="772">
        <f t="shared" ca="1" si="130"/>
        <v>108171.68296649927</v>
      </c>
      <c r="AF282" s="772">
        <f t="shared" ca="1" si="130"/>
        <v>107854.67160706365</v>
      </c>
      <c r="AG282" s="772">
        <f t="shared" ca="1" si="130"/>
        <v>107854.67160706365</v>
      </c>
      <c r="AH282" s="772">
        <f t="shared" ca="1" si="130"/>
        <v>107854.67160706365</v>
      </c>
      <c r="AI282" s="772">
        <f t="shared" ca="1" si="130"/>
        <v>108765.68283081125</v>
      </c>
      <c r="AJ282" s="772">
        <f t="shared" ca="1" si="130"/>
        <v>108765.68283081125</v>
      </c>
      <c r="AK282" s="772">
        <f t="shared" ca="1" si="130"/>
        <v>108474.9637000959</v>
      </c>
      <c r="AL282" s="772">
        <f t="shared" ca="1" si="130"/>
        <v>108474.9637000959</v>
      </c>
      <c r="AM282" s="772">
        <f t="shared" ca="1" si="130"/>
        <v>108171.68296649927</v>
      </c>
      <c r="AN282" s="772">
        <f t="shared" ca="1" si="130"/>
        <v>108171.68296649927</v>
      </c>
      <c r="AO282" s="772">
        <f t="shared" ca="1" si="130"/>
        <v>107854.67160706365</v>
      </c>
      <c r="AP282" s="772">
        <f t="shared" ca="1" si="130"/>
        <v>107854.67160706365</v>
      </c>
      <c r="AQ282" s="772">
        <f t="shared" ca="1" si="129"/>
        <v>107854.67160706365</v>
      </c>
      <c r="AR282" s="772">
        <f t="shared" ref="AR282:BG297" ca="1" si="138">HLOOKUP(AR$7,$A$7:$P$348,ROW()-6)</f>
        <v>108765.68283081125</v>
      </c>
      <c r="AS282" s="772">
        <f t="shared" ca="1" si="138"/>
        <v>108765.68283081125</v>
      </c>
      <c r="AT282" s="772">
        <f t="shared" ca="1" si="138"/>
        <v>108474.9637000959</v>
      </c>
      <c r="AU282" s="772">
        <f t="shared" ca="1" si="138"/>
        <v>108474.9637000959</v>
      </c>
      <c r="AV282" s="772">
        <f t="shared" ca="1" si="138"/>
        <v>108171.68296649927</v>
      </c>
      <c r="AW282" s="772">
        <f t="shared" ca="1" si="138"/>
        <v>108171.68296649927</v>
      </c>
      <c r="AX282" s="772">
        <f t="shared" ca="1" si="138"/>
        <v>107854.67160706365</v>
      </c>
      <c r="AY282" s="772">
        <f t="shared" ca="1" si="138"/>
        <v>107854.67160706365</v>
      </c>
      <c r="AZ282" s="772">
        <f t="shared" ca="1" si="138"/>
        <v>107854.67160706365</v>
      </c>
      <c r="BA282" s="772">
        <f t="shared" ca="1" si="138"/>
        <v>108765.68283081125</v>
      </c>
      <c r="BB282" s="772">
        <f t="shared" ca="1" si="138"/>
        <v>108765.68283081125</v>
      </c>
      <c r="BC282" s="772">
        <f t="shared" ca="1" si="138"/>
        <v>108474.9637000959</v>
      </c>
      <c r="BD282" s="772">
        <f t="shared" ca="1" si="138"/>
        <v>108171.68296649927</v>
      </c>
      <c r="BE282" s="772">
        <f t="shared" ca="1" si="138"/>
        <v>108171.68296649927</v>
      </c>
      <c r="BF282" s="772">
        <f t="shared" ca="1" si="138"/>
        <v>107854.67160706365</v>
      </c>
      <c r="BG282" s="772">
        <f t="shared" ca="1" si="138"/>
        <v>107854.67160706365</v>
      </c>
      <c r="BH282" s="772">
        <f t="shared" ca="1" si="116"/>
        <v>107522.65260238494</v>
      </c>
      <c r="BI282" s="772">
        <f t="shared" ca="1" si="116"/>
        <v>107522.65260238494</v>
      </c>
      <c r="BJ282" s="772">
        <f t="shared" ca="1" si="116"/>
        <v>108474.9637000959</v>
      </c>
      <c r="BK282" s="772">
        <f t="shared" ca="1" si="116"/>
        <v>108474.9637000959</v>
      </c>
      <c r="BL282" s="772">
        <f t="shared" ca="1" si="116"/>
        <v>108474.9637000959</v>
      </c>
      <c r="BM282" s="772">
        <f t="shared" ca="1" si="116"/>
        <v>108474.9637000959</v>
      </c>
      <c r="BN282" s="772">
        <f t="shared" ca="1" si="116"/>
        <v>107854.67160706365</v>
      </c>
      <c r="BO282" s="772">
        <f t="shared" ca="1" si="133"/>
        <v>107854.67160706365</v>
      </c>
      <c r="BP282" s="772">
        <f t="shared" ca="1" si="136"/>
        <v>107522.65260238494</v>
      </c>
      <c r="BQ282" s="772">
        <f t="shared" ca="1" si="136"/>
        <v>107522.65260238494</v>
      </c>
      <c r="BR282" s="772">
        <f t="shared" ca="1" si="136"/>
        <v>107174.23006237717</v>
      </c>
      <c r="BS282" s="772">
        <f t="shared" ca="1" si="136"/>
        <v>108474.9637000959</v>
      </c>
      <c r="BT282" s="772">
        <f t="shared" ca="1" si="136"/>
        <v>108474.9637000959</v>
      </c>
      <c r="BU282" s="772">
        <f t="shared" ca="1" si="136"/>
        <v>108474.9637000959</v>
      </c>
      <c r="BV282" s="772">
        <f t="shared" ca="1" si="136"/>
        <v>108171.68296649927</v>
      </c>
      <c r="BW282" s="772">
        <f t="shared" ca="1" si="125"/>
        <v>108171.68296649927</v>
      </c>
      <c r="BX282" s="772">
        <f t="shared" ca="1" si="137"/>
        <v>107522.65260238494</v>
      </c>
      <c r="BY282" s="772">
        <f t="shared" ca="1" si="137"/>
        <v>107522.65260238494</v>
      </c>
      <c r="BZ282" s="772">
        <f t="shared" ca="1" si="137"/>
        <v>107174.23006237717</v>
      </c>
      <c r="CA282" s="772">
        <f t="shared" ca="1" si="137"/>
        <v>107174.23006237717</v>
      </c>
      <c r="CB282" s="772">
        <f t="shared" ca="1" si="137"/>
        <v>108171.68296649927</v>
      </c>
      <c r="CC282" s="772">
        <f t="shared" ca="1" si="137"/>
        <v>108171.68296649927</v>
      </c>
      <c r="CD282" s="772">
        <f t="shared" ca="1" si="137"/>
        <v>108171.68296649927</v>
      </c>
      <c r="CE282" s="772">
        <f t="shared" ca="1" si="137"/>
        <v>108171.68296649927</v>
      </c>
      <c r="CF282" s="772">
        <f t="shared" ca="1" si="137"/>
        <v>107854.67160706365</v>
      </c>
      <c r="CG282" s="772">
        <f t="shared" ca="1" si="137"/>
        <v>107522.65260238494</v>
      </c>
      <c r="CH282" s="772">
        <f t="shared" ca="1" si="137"/>
        <v>107174.23006237717</v>
      </c>
      <c r="CI282" s="772">
        <f t="shared" ca="1" si="137"/>
        <v>107174.23006237717</v>
      </c>
      <c r="CJ282" s="772">
        <f t="shared" ca="1" si="137"/>
        <v>106807.87775569122</v>
      </c>
    </row>
    <row r="283" spans="1:88" ht="15" customHeight="1">
      <c r="A283" s="770">
        <f>'kc-Wert für Stützen'!C283</f>
        <v>335</v>
      </c>
      <c r="B283" s="768">
        <f ca="1">INDIRECT("'kc-Wert für Stützen'!"&amp;SUBSTITUTE(ADDRESS(MATCH($A283,'kc-Wert für Stützen'!$C:$C,0),MATCH(B$7,'kc-Wert für Stützen'!$A$8:$ES$8,0)+7,4),,))</f>
        <v>109991.33063004821</v>
      </c>
      <c r="C283" s="768">
        <f ca="1">INDIRECT("'kc-Wert für Stützen'!"&amp;SUBSTITUTE(ADDRESS(MATCH($A283,'kc-Wert für Stützen'!$C:$C,0),MATCH(C$7,'kc-Wert für Stützen'!$A$8:$ES$8,0)+7,4),,))</f>
        <v>109722.65891224323</v>
      </c>
      <c r="D283" s="768">
        <f ca="1">INDIRECT("'kc-Wert für Stützen'!"&amp;SUBSTITUTE(ADDRESS(MATCH($A283,'kc-Wert für Stützen'!$C:$C,0),MATCH(D$7,'kc-Wert für Stützen'!$A$8:$ES$8,0)+7,4),,))</f>
        <v>109443.56083802709</v>
      </c>
      <c r="E283" s="768">
        <f ca="1">INDIRECT("'kc-Wert für Stützen'!"&amp;SUBSTITUTE(ADDRESS(MATCH($A283,'kc-Wert für Stützen'!$C:$C,0),MATCH(E$7,'kc-Wert für Stützen'!$A$8:$ES$8,0)+7,4),,))</f>
        <v>109153.06388541539</v>
      </c>
      <c r="F283" s="768">
        <f ca="1">INDIRECT("'kc-Wert für Stützen'!"&amp;SUBSTITUTE(ADDRESS(MATCH($A283,'kc-Wert für Stützen'!$C:$C,0),MATCH(F$7,'kc-Wert für Stützen'!$A$8:$ES$8,0)+7,4),,))</f>
        <v>108850.10846162919</v>
      </c>
      <c r="G283" s="768">
        <f ca="1">INDIRECT("'kc-Wert für Stützen'!"&amp;SUBSTITUTE(ADDRESS(MATCH($A283,'kc-Wert für Stützen'!$C:$C,0),MATCH(G$7,'kc-Wert für Stützen'!$A$8:$ES$8,0)+7,4),,))</f>
        <v>108533.53863234752</v>
      </c>
      <c r="H283" s="768">
        <f ca="1">INDIRECT("'kc-Wert für Stützen'!"&amp;SUBSTITUTE(ADDRESS(MATCH($A283,'kc-Wert für Stützen'!$C:$C,0),MATCH(H$7,'kc-Wert für Stützen'!$A$8:$ES$8,0)+7,4),,))</f>
        <v>108202.09210845889</v>
      </c>
      <c r="I283" s="768">
        <f ca="1">INDIRECT("'kc-Wert für Stützen'!"&amp;SUBSTITUTE(ADDRESS(MATCH($A283,'kc-Wert für Stützen'!$C:$C,0),MATCH(I$7,'kc-Wert für Stützen'!$A$8:$ES$8,0)+7,4),,))</f>
        <v>107854.38953276809</v>
      </c>
      <c r="J283" s="768">
        <f ca="1">INDIRECT("'kc-Wert für Stützen'!"&amp;SUBSTITUTE(ADDRESS(MATCH($A283,'kc-Wert für Stützen'!$C:$C,0),MATCH(J$7,'kc-Wert für Stützen'!$A$8:$ES$8,0)+7,4),,))</f>
        <v>107488.92316392655</v>
      </c>
      <c r="K283" s="768">
        <f ca="1">INDIRECT("'kc-Wert für Stützen'!"&amp;SUBSTITUTE(ADDRESS(MATCH($A283,'kc-Wert für Stützen'!$C:$C,0),MATCH(K$7,'kc-Wert für Stützen'!$A$8:$ES$8,0)+7,4),,))</f>
        <v>107104.04513259185</v>
      </c>
      <c r="L283" s="768">
        <f ca="1">INDIRECT("'kc-Wert für Stützen'!"&amp;SUBSTITUTE(ADDRESS(MATCH($A283,'kc-Wert für Stützen'!$C:$C,0),MATCH(L$7,'kc-Wert für Stützen'!$A$8:$ES$8,0)+7,4),,))</f>
        <v>106697.95555259105</v>
      </c>
      <c r="M283" s="768">
        <f ca="1">INDIRECT("'kc-Wert für Stützen'!"&amp;SUBSTITUTE(ADDRESS(MATCH($A283,'kc-Wert für Stützen'!$C:$C,0),MATCH(M$7,'kc-Wert für Stützen'!$A$8:$ES$8,0)+7,4),,))</f>
        <v>106268.69091610734</v>
      </c>
      <c r="N283" s="768">
        <f ca="1">INDIRECT("'kc-Wert für Stützen'!"&amp;SUBSTITUTE(ADDRESS(MATCH($A283,'kc-Wert für Stützen'!$C:$C,0),MATCH(N$7,'kc-Wert für Stützen'!$A$8:$ES$8,0)+7,4),,))</f>
        <v>105814.11339611669</v>
      </c>
      <c r="O283" s="768">
        <f ca="1">INDIRECT("'kc-Wert für Stützen'!"&amp;SUBSTITUTE(ADDRESS(MATCH($A283,'kc-Wert für Stützen'!$C:$C,0),MATCH(O$7,'kc-Wert für Stützen'!$A$8:$ES$8,0)+7,4),,))</f>
        <v>105331.90193116284</v>
      </c>
      <c r="P283" s="768">
        <f ca="1">INDIRECT("'kc-Wert für Stützen'!"&amp;SUBSTITUTE(ADDRESS(MATCH($A283,'kc-Wert für Stützen'!$C:$C,0),MATCH(P$7,'kc-Wert für Stützen'!$A$8:$ES$8,0)+7,4),,))</f>
        <v>104819.54628528358</v>
      </c>
      <c r="S283" s="772">
        <f t="shared" ca="1" si="124"/>
        <v>109443.56083802709</v>
      </c>
      <c r="T283" s="772">
        <f t="shared" ca="1" si="128"/>
        <v>109443.56083802709</v>
      </c>
      <c r="U283" s="772">
        <f t="shared" ca="1" si="128"/>
        <v>109443.56083802709</v>
      </c>
      <c r="V283" s="772">
        <f t="shared" ca="1" si="128"/>
        <v>109153.06388541539</v>
      </c>
      <c r="W283" s="772">
        <f t="shared" ca="1" si="128"/>
        <v>108850.10846162919</v>
      </c>
      <c r="X283" s="772">
        <f t="shared" ca="1" si="128"/>
        <v>108533.53863234752</v>
      </c>
      <c r="Y283" s="772">
        <f t="shared" ca="1" si="128"/>
        <v>108202.09210845889</v>
      </c>
      <c r="Z283" s="772">
        <f t="shared" ca="1" si="128"/>
        <v>109443.56083802709</v>
      </c>
      <c r="AA283" s="772">
        <f t="shared" ca="1" si="128"/>
        <v>109443.56083802709</v>
      </c>
      <c r="AB283" s="772">
        <f t="shared" ca="1" si="130"/>
        <v>109153.06388541539</v>
      </c>
      <c r="AC283" s="772">
        <f t="shared" ca="1" si="130"/>
        <v>109153.06388541539</v>
      </c>
      <c r="AD283" s="772">
        <f t="shared" ca="1" si="130"/>
        <v>108850.10846162919</v>
      </c>
      <c r="AE283" s="772">
        <f t="shared" ca="1" si="130"/>
        <v>108850.10846162919</v>
      </c>
      <c r="AF283" s="772">
        <f t="shared" ca="1" si="130"/>
        <v>108533.53863234752</v>
      </c>
      <c r="AG283" s="772">
        <f t="shared" ca="1" si="130"/>
        <v>108533.53863234752</v>
      </c>
      <c r="AH283" s="772">
        <f t="shared" ca="1" si="130"/>
        <v>108533.53863234752</v>
      </c>
      <c r="AI283" s="772">
        <f t="shared" ca="1" si="130"/>
        <v>109443.56083802709</v>
      </c>
      <c r="AJ283" s="772">
        <f t="shared" ca="1" si="130"/>
        <v>109443.56083802709</v>
      </c>
      <c r="AK283" s="772">
        <f t="shared" ca="1" si="130"/>
        <v>109153.06388541539</v>
      </c>
      <c r="AL283" s="772">
        <f t="shared" ca="1" si="130"/>
        <v>109153.06388541539</v>
      </c>
      <c r="AM283" s="772">
        <f t="shared" ca="1" si="130"/>
        <v>108850.10846162919</v>
      </c>
      <c r="AN283" s="772">
        <f t="shared" ca="1" si="130"/>
        <v>108850.10846162919</v>
      </c>
      <c r="AO283" s="772">
        <f t="shared" ca="1" si="130"/>
        <v>108533.53863234752</v>
      </c>
      <c r="AP283" s="772">
        <f t="shared" ca="1" si="130"/>
        <v>108533.53863234752</v>
      </c>
      <c r="AQ283" s="772">
        <f t="shared" ca="1" si="129"/>
        <v>108533.53863234752</v>
      </c>
      <c r="AR283" s="772">
        <f t="shared" ca="1" si="138"/>
        <v>109443.56083802709</v>
      </c>
      <c r="AS283" s="772">
        <f t="shared" ca="1" si="138"/>
        <v>109443.56083802709</v>
      </c>
      <c r="AT283" s="772">
        <f t="shared" ca="1" si="138"/>
        <v>109153.06388541539</v>
      </c>
      <c r="AU283" s="772">
        <f t="shared" ca="1" si="138"/>
        <v>109153.06388541539</v>
      </c>
      <c r="AV283" s="772">
        <f t="shared" ca="1" si="138"/>
        <v>108850.10846162919</v>
      </c>
      <c r="AW283" s="772">
        <f t="shared" ca="1" si="138"/>
        <v>108850.10846162919</v>
      </c>
      <c r="AX283" s="772">
        <f t="shared" ca="1" si="138"/>
        <v>108533.53863234752</v>
      </c>
      <c r="AY283" s="772">
        <f t="shared" ca="1" si="138"/>
        <v>108533.53863234752</v>
      </c>
      <c r="AZ283" s="772">
        <f t="shared" ca="1" si="138"/>
        <v>108533.53863234752</v>
      </c>
      <c r="BA283" s="772">
        <f t="shared" ca="1" si="138"/>
        <v>109443.56083802709</v>
      </c>
      <c r="BB283" s="772">
        <f t="shared" ca="1" si="138"/>
        <v>109443.56083802709</v>
      </c>
      <c r="BC283" s="772">
        <f t="shared" ca="1" si="138"/>
        <v>109153.06388541539</v>
      </c>
      <c r="BD283" s="772">
        <f t="shared" ca="1" si="138"/>
        <v>108850.10846162919</v>
      </c>
      <c r="BE283" s="772">
        <f t="shared" ca="1" si="138"/>
        <v>108850.10846162919</v>
      </c>
      <c r="BF283" s="772">
        <f t="shared" ca="1" si="138"/>
        <v>108533.53863234752</v>
      </c>
      <c r="BG283" s="772">
        <f t="shared" ca="1" si="138"/>
        <v>108533.53863234752</v>
      </c>
      <c r="BH283" s="772">
        <f t="shared" ca="1" si="116"/>
        <v>108202.09210845889</v>
      </c>
      <c r="BI283" s="772">
        <f t="shared" ca="1" si="116"/>
        <v>108202.09210845889</v>
      </c>
      <c r="BJ283" s="772">
        <f t="shared" ca="1" si="116"/>
        <v>109153.06388541539</v>
      </c>
      <c r="BK283" s="772">
        <f t="shared" ca="1" si="116"/>
        <v>109153.06388541539</v>
      </c>
      <c r="BL283" s="772">
        <f t="shared" ca="1" si="116"/>
        <v>109153.06388541539</v>
      </c>
      <c r="BM283" s="772">
        <f t="shared" ca="1" si="116"/>
        <v>109153.06388541539</v>
      </c>
      <c r="BN283" s="772">
        <f t="shared" ca="1" si="116"/>
        <v>108533.53863234752</v>
      </c>
      <c r="BO283" s="772">
        <f t="shared" ca="1" si="133"/>
        <v>108533.53863234752</v>
      </c>
      <c r="BP283" s="772">
        <f t="shared" ca="1" si="136"/>
        <v>108202.09210845889</v>
      </c>
      <c r="BQ283" s="772">
        <f t="shared" ca="1" si="136"/>
        <v>108202.09210845889</v>
      </c>
      <c r="BR283" s="772">
        <f t="shared" ca="1" si="136"/>
        <v>107854.38953276809</v>
      </c>
      <c r="BS283" s="772">
        <f t="shared" ca="1" si="136"/>
        <v>109153.06388541539</v>
      </c>
      <c r="BT283" s="772">
        <f t="shared" ca="1" si="136"/>
        <v>109153.06388541539</v>
      </c>
      <c r="BU283" s="772">
        <f t="shared" ca="1" si="136"/>
        <v>109153.06388541539</v>
      </c>
      <c r="BV283" s="772">
        <f t="shared" ca="1" si="136"/>
        <v>108850.10846162919</v>
      </c>
      <c r="BW283" s="772">
        <f t="shared" ca="1" si="125"/>
        <v>108850.10846162919</v>
      </c>
      <c r="BX283" s="772">
        <f t="shared" ca="1" si="137"/>
        <v>108202.09210845889</v>
      </c>
      <c r="BY283" s="772">
        <f t="shared" ca="1" si="137"/>
        <v>108202.09210845889</v>
      </c>
      <c r="BZ283" s="772">
        <f t="shared" ca="1" si="137"/>
        <v>107854.38953276809</v>
      </c>
      <c r="CA283" s="772">
        <f t="shared" ca="1" si="137"/>
        <v>107854.38953276809</v>
      </c>
      <c r="CB283" s="772">
        <f t="shared" ca="1" si="137"/>
        <v>108850.10846162919</v>
      </c>
      <c r="CC283" s="772">
        <f t="shared" ca="1" si="137"/>
        <v>108850.10846162919</v>
      </c>
      <c r="CD283" s="772">
        <f t="shared" ca="1" si="137"/>
        <v>108850.10846162919</v>
      </c>
      <c r="CE283" s="772">
        <f t="shared" ca="1" si="137"/>
        <v>108850.10846162919</v>
      </c>
      <c r="CF283" s="772">
        <f t="shared" ca="1" si="137"/>
        <v>108533.53863234752</v>
      </c>
      <c r="CG283" s="772">
        <f t="shared" ca="1" si="137"/>
        <v>108202.09210845889</v>
      </c>
      <c r="CH283" s="772">
        <f t="shared" ca="1" si="137"/>
        <v>107854.38953276809</v>
      </c>
      <c r="CI283" s="772">
        <f t="shared" ca="1" si="137"/>
        <v>107854.38953276809</v>
      </c>
      <c r="CJ283" s="772">
        <f t="shared" ca="1" si="137"/>
        <v>107488.92316392655</v>
      </c>
    </row>
    <row r="284" spans="1:88" ht="15" customHeight="1">
      <c r="A284" s="770">
        <f>'kc-Wert für Stützen'!C284</f>
        <v>336</v>
      </c>
      <c r="B284" s="768">
        <f ca="1">INDIRECT("'kc-Wert für Stützen'!"&amp;SUBSTITUTE(ADDRESS(MATCH($A284,'kc-Wert für Stützen'!$C:$C,0),MATCH(B$7,'kc-Wert für Stützen'!$A$8:$ES$8,0)+7,4),,))</f>
        <v>110671.0538381368</v>
      </c>
      <c r="C284" s="768">
        <f ca="1">INDIRECT("'kc-Wert für Stützen'!"&amp;SUBSTITUTE(ADDRESS(MATCH($A284,'kc-Wert für Stützen'!$C:$C,0),MATCH(C$7,'kc-Wert für Stützen'!$A$8:$ES$8,0)+7,4),,))</f>
        <v>110402.42505455628</v>
      </c>
      <c r="D284" s="768">
        <f ca="1">INDIRECT("'kc-Wert für Stützen'!"&amp;SUBSTITUTE(ADDRESS(MATCH($A284,'kc-Wert für Stützen'!$C:$C,0),MATCH(D$7,'kc-Wert für Stützen'!$A$8:$ES$8,0)+7,4),,))</f>
        <v>110123.4500925437</v>
      </c>
      <c r="E284" s="768">
        <f ca="1">INDIRECT("'kc-Wert für Stützen'!"&amp;SUBSTITUTE(ADDRESS(MATCH($A284,'kc-Wert für Stützen'!$C:$C,0),MATCH(E$7,'kc-Wert für Stützen'!$A$8:$ES$8,0)+7,4),,))</f>
        <v>109833.1665361147</v>
      </c>
      <c r="F284" s="768">
        <f ca="1">INDIRECT("'kc-Wert für Stützen'!"&amp;SUBSTITUTE(ADDRESS(MATCH($A284,'kc-Wert für Stützen'!$C:$C,0),MATCH(F$7,'kc-Wert für Stützen'!$A$8:$ES$8,0)+7,4),,))</f>
        <v>109530.52620328289</v>
      </c>
      <c r="G284" s="768">
        <f ca="1">INDIRECT("'kc-Wert für Stützen'!"&amp;SUBSTITUTE(ADDRESS(MATCH($A284,'kc-Wert für Stützen'!$C:$C,0),MATCH(G$7,'kc-Wert für Stützen'!$A$8:$ES$8,0)+7,4),,))</f>
        <v>109214.38602532593</v>
      </c>
      <c r="H284" s="768">
        <f ca="1">INDIRECT("'kc-Wert für Stützen'!"&amp;SUBSTITUTE(ADDRESS(MATCH($A284,'kc-Wert für Stützen'!$C:$C,0),MATCH(H$7,'kc-Wert für Stützen'!$A$8:$ES$8,0)+7,4),,))</f>
        <v>108883.49819052021</v>
      </c>
      <c r="I284" s="768">
        <f ca="1">INDIRECT("'kc-Wert für Stützen'!"&amp;SUBSTITUTE(ADDRESS(MATCH($A284,'kc-Wert für Stützen'!$C:$C,0),MATCH(I$7,'kc-Wert für Stützen'!$A$8:$ES$8,0)+7,4),,))</f>
        <v>108536.49959002734</v>
      </c>
      <c r="J284" s="768">
        <f ca="1">INDIRECT("'kc-Wert für Stützen'!"&amp;SUBSTITUTE(ADDRESS(MATCH($A284,'kc-Wert für Stützen'!$C:$C,0),MATCH(J$7,'kc-Wert für Stützen'!$A$8:$ES$8,0)+7,4),,))</f>
        <v>108171.90065561372</v>
      </c>
      <c r="K284" s="768">
        <f ca="1">INDIRECT("'kc-Wert für Stützen'!"&amp;SUBSTITUTE(ADDRESS(MATCH($A284,'kc-Wert für Stützen'!$C:$C,0),MATCH(K$7,'kc-Wert für Stützen'!$A$8:$ES$8,0)+7,4),,))</f>
        <v>107788.07375273295</v>
      </c>
      <c r="L284" s="768">
        <f ca="1">INDIRECT("'kc-Wert für Stützen'!"&amp;SUBSTITUTE(ADDRESS(MATCH($A284,'kc-Wert für Stützen'!$C:$C,0),MATCH(L$7,'kc-Wert für Stützen'!$A$8:$ES$8,0)+7,4),,))</f>
        <v>107383.24139500059</v>
      </c>
      <c r="M284" s="768">
        <f ca="1">INDIRECT("'kc-Wert für Stützen'!"&amp;SUBSTITUTE(ADDRESS(MATCH($A284,'kc-Wert für Stützen'!$C:$C,0),MATCH(M$7,'kc-Wert für Stützen'!$A$8:$ES$8,0)+7,4),,))</f>
        <v>106955.46468536842</v>
      </c>
      <c r="N284" s="768">
        <f ca="1">INDIRECT("'kc-Wert für Stützen'!"&amp;SUBSTITUTE(ADDRESS(MATCH($A284,'kc-Wert für Stützen'!$C:$C,0),MATCH(N$7,'kc-Wert für Stützen'!$A$8:$ES$8,0)+7,4),,))</f>
        <v>106502.63257453903</v>
      </c>
      <c r="O284" s="768">
        <f ca="1">INDIRECT("'kc-Wert für Stützen'!"&amp;SUBSTITUTE(ADDRESS(MATCH($A284,'kc-Wert für Stützen'!$C:$C,0),MATCH(O$7,'kc-Wert für Stützen'!$A$8:$ES$8,0)+7,4),,))</f>
        <v>106022.45276786607</v>
      </c>
      <c r="P284" s="768">
        <f ca="1">INDIRECT("'kc-Wert für Stützen'!"&amp;SUBSTITUTE(ADDRESS(MATCH($A284,'kc-Wert für Stützen'!$C:$C,0),MATCH(P$7,'kc-Wert für Stützen'!$A$8:$ES$8,0)+7,4),,))</f>
        <v>105512.44541645389</v>
      </c>
      <c r="S284" s="772">
        <f t="shared" ca="1" si="124"/>
        <v>110123.4500925437</v>
      </c>
      <c r="T284" s="772">
        <f t="shared" ca="1" si="128"/>
        <v>110123.4500925437</v>
      </c>
      <c r="U284" s="772">
        <f t="shared" ca="1" si="128"/>
        <v>110123.4500925437</v>
      </c>
      <c r="V284" s="772">
        <f t="shared" ca="1" si="128"/>
        <v>109833.1665361147</v>
      </c>
      <c r="W284" s="772">
        <f t="shared" ca="1" si="128"/>
        <v>109530.52620328289</v>
      </c>
      <c r="X284" s="772">
        <f t="shared" ca="1" si="128"/>
        <v>109214.38602532593</v>
      </c>
      <c r="Y284" s="772">
        <f t="shared" ca="1" si="128"/>
        <v>108883.49819052021</v>
      </c>
      <c r="Z284" s="772">
        <f t="shared" ca="1" si="128"/>
        <v>110123.4500925437</v>
      </c>
      <c r="AA284" s="772">
        <f t="shared" ca="1" si="128"/>
        <v>110123.4500925437</v>
      </c>
      <c r="AB284" s="772">
        <f t="shared" ca="1" si="130"/>
        <v>109833.1665361147</v>
      </c>
      <c r="AC284" s="772">
        <f t="shared" ca="1" si="130"/>
        <v>109833.1665361147</v>
      </c>
      <c r="AD284" s="772">
        <f t="shared" ca="1" si="130"/>
        <v>109530.52620328289</v>
      </c>
      <c r="AE284" s="772">
        <f t="shared" ca="1" si="130"/>
        <v>109530.52620328289</v>
      </c>
      <c r="AF284" s="772">
        <f t="shared" ca="1" si="130"/>
        <v>109214.38602532593</v>
      </c>
      <c r="AG284" s="772">
        <f t="shared" ca="1" si="130"/>
        <v>109214.38602532593</v>
      </c>
      <c r="AH284" s="772">
        <f t="shared" ca="1" si="130"/>
        <v>109214.38602532593</v>
      </c>
      <c r="AI284" s="772">
        <f t="shared" ca="1" si="130"/>
        <v>110123.4500925437</v>
      </c>
      <c r="AJ284" s="772">
        <f t="shared" ca="1" si="130"/>
        <v>110123.4500925437</v>
      </c>
      <c r="AK284" s="772">
        <f t="shared" ca="1" si="130"/>
        <v>109833.1665361147</v>
      </c>
      <c r="AL284" s="772">
        <f t="shared" ca="1" si="130"/>
        <v>109833.1665361147</v>
      </c>
      <c r="AM284" s="772">
        <f t="shared" ca="1" si="130"/>
        <v>109530.52620328289</v>
      </c>
      <c r="AN284" s="772">
        <f t="shared" ca="1" si="130"/>
        <v>109530.52620328289</v>
      </c>
      <c r="AO284" s="772">
        <f t="shared" ca="1" si="130"/>
        <v>109214.38602532593</v>
      </c>
      <c r="AP284" s="772">
        <f t="shared" ca="1" si="130"/>
        <v>109214.38602532593</v>
      </c>
      <c r="AQ284" s="772">
        <f t="shared" ca="1" si="129"/>
        <v>109214.38602532593</v>
      </c>
      <c r="AR284" s="772">
        <f t="shared" ca="1" si="138"/>
        <v>110123.4500925437</v>
      </c>
      <c r="AS284" s="772">
        <f t="shared" ca="1" si="138"/>
        <v>110123.4500925437</v>
      </c>
      <c r="AT284" s="772">
        <f t="shared" ca="1" si="138"/>
        <v>109833.1665361147</v>
      </c>
      <c r="AU284" s="772">
        <f t="shared" ca="1" si="138"/>
        <v>109833.1665361147</v>
      </c>
      <c r="AV284" s="772">
        <f t="shared" ca="1" si="138"/>
        <v>109530.52620328289</v>
      </c>
      <c r="AW284" s="772">
        <f t="shared" ca="1" si="138"/>
        <v>109530.52620328289</v>
      </c>
      <c r="AX284" s="772">
        <f t="shared" ca="1" si="138"/>
        <v>109214.38602532593</v>
      </c>
      <c r="AY284" s="772">
        <f t="shared" ca="1" si="138"/>
        <v>109214.38602532593</v>
      </c>
      <c r="AZ284" s="772">
        <f t="shared" ca="1" si="138"/>
        <v>109214.38602532593</v>
      </c>
      <c r="BA284" s="772">
        <f t="shared" ca="1" si="138"/>
        <v>110123.4500925437</v>
      </c>
      <c r="BB284" s="772">
        <f t="shared" ca="1" si="138"/>
        <v>110123.4500925437</v>
      </c>
      <c r="BC284" s="772">
        <f t="shared" ca="1" si="138"/>
        <v>109833.1665361147</v>
      </c>
      <c r="BD284" s="772">
        <f t="shared" ca="1" si="138"/>
        <v>109530.52620328289</v>
      </c>
      <c r="BE284" s="772">
        <f t="shared" ca="1" si="138"/>
        <v>109530.52620328289</v>
      </c>
      <c r="BF284" s="772">
        <f t="shared" ca="1" si="138"/>
        <v>109214.38602532593</v>
      </c>
      <c r="BG284" s="772">
        <f t="shared" ca="1" si="138"/>
        <v>109214.38602532593</v>
      </c>
      <c r="BH284" s="772">
        <f t="shared" ca="1" si="116"/>
        <v>108883.49819052021</v>
      </c>
      <c r="BI284" s="772">
        <f t="shared" ca="1" si="116"/>
        <v>108883.49819052021</v>
      </c>
      <c r="BJ284" s="772">
        <f t="shared" ca="1" si="116"/>
        <v>109833.1665361147</v>
      </c>
      <c r="BK284" s="772">
        <f t="shared" ca="1" si="116"/>
        <v>109833.1665361147</v>
      </c>
      <c r="BL284" s="772">
        <f t="shared" ca="1" si="116"/>
        <v>109833.1665361147</v>
      </c>
      <c r="BM284" s="772">
        <f t="shared" ref="BM284:BN310" ca="1" si="139">HLOOKUP(BM$7,$A$7:$P$348,ROW()-6)</f>
        <v>109833.1665361147</v>
      </c>
      <c r="BN284" s="772">
        <f t="shared" ca="1" si="139"/>
        <v>109214.38602532593</v>
      </c>
      <c r="BO284" s="772">
        <f t="shared" ca="1" si="133"/>
        <v>109214.38602532593</v>
      </c>
      <c r="BP284" s="772">
        <f t="shared" ca="1" si="136"/>
        <v>108883.49819052021</v>
      </c>
      <c r="BQ284" s="772">
        <f t="shared" ca="1" si="136"/>
        <v>108883.49819052021</v>
      </c>
      <c r="BR284" s="772">
        <f t="shared" ca="1" si="136"/>
        <v>108536.49959002734</v>
      </c>
      <c r="BS284" s="772">
        <f t="shared" ca="1" si="136"/>
        <v>109833.1665361147</v>
      </c>
      <c r="BT284" s="772">
        <f t="shared" ca="1" si="136"/>
        <v>109833.1665361147</v>
      </c>
      <c r="BU284" s="772">
        <f t="shared" ca="1" si="136"/>
        <v>109833.1665361147</v>
      </c>
      <c r="BV284" s="772">
        <f t="shared" ca="1" si="136"/>
        <v>109530.52620328289</v>
      </c>
      <c r="BW284" s="772">
        <f t="shared" ca="1" si="125"/>
        <v>109530.52620328289</v>
      </c>
      <c r="BX284" s="772">
        <f t="shared" ca="1" si="137"/>
        <v>108883.49819052021</v>
      </c>
      <c r="BY284" s="772">
        <f t="shared" ca="1" si="137"/>
        <v>108883.49819052021</v>
      </c>
      <c r="BZ284" s="772">
        <f t="shared" ca="1" si="137"/>
        <v>108536.49959002734</v>
      </c>
      <c r="CA284" s="772">
        <f t="shared" ca="1" si="137"/>
        <v>108536.49959002734</v>
      </c>
      <c r="CB284" s="772">
        <f t="shared" ca="1" si="137"/>
        <v>109530.52620328289</v>
      </c>
      <c r="CC284" s="772">
        <f t="shared" ca="1" si="137"/>
        <v>109530.52620328289</v>
      </c>
      <c r="CD284" s="772">
        <f t="shared" ca="1" si="137"/>
        <v>109530.52620328289</v>
      </c>
      <c r="CE284" s="772">
        <f t="shared" ca="1" si="137"/>
        <v>109530.52620328289</v>
      </c>
      <c r="CF284" s="772">
        <f t="shared" ca="1" si="137"/>
        <v>109214.38602532593</v>
      </c>
      <c r="CG284" s="772">
        <f t="shared" ca="1" si="137"/>
        <v>108883.49819052021</v>
      </c>
      <c r="CH284" s="772">
        <f t="shared" ca="1" si="137"/>
        <v>108536.49959002734</v>
      </c>
      <c r="CI284" s="772">
        <f t="shared" ca="1" si="137"/>
        <v>108536.49959002734</v>
      </c>
      <c r="CJ284" s="772">
        <f t="shared" ca="1" si="137"/>
        <v>108171.90065561372</v>
      </c>
    </row>
    <row r="285" spans="1:88" ht="15" customHeight="1">
      <c r="A285" s="770">
        <f>'kc-Wert für Stützen'!C285</f>
        <v>337</v>
      </c>
      <c r="B285" s="768">
        <f ca="1">INDIRECT("'kc-Wert für Stützen'!"&amp;SUBSTITUTE(ADDRESS(MATCH($A285,'kc-Wert für Stützen'!$C:$C,0),MATCH(B$7,'kc-Wert für Stützen'!$A$8:$ES$8,0)+7,4),,))</f>
        <v>111352.80279922398</v>
      </c>
      <c r="C285" s="768">
        <f ca="1">INDIRECT("'kc-Wert für Stützen'!"&amp;SUBSTITUTE(ADDRESS(MATCH($A285,'kc-Wert für Stützen'!$C:$C,0),MATCH(C$7,'kc-Wert für Stützen'!$A$8:$ES$8,0)+7,4),,))</f>
        <v>111084.2105830182</v>
      </c>
      <c r="D285" s="768">
        <f ca="1">INDIRECT("'kc-Wert für Stützen'!"&amp;SUBSTITUTE(ADDRESS(MATCH($A285,'kc-Wert für Stützen'!$C:$C,0),MATCH(D$7,'kc-Wert für Stützen'!$A$8:$ES$8,0)+7,4),,))</f>
        <v>110805.35131541296</v>
      </c>
      <c r="E285" s="768">
        <f ca="1">INDIRECT("'kc-Wert für Stützen'!"&amp;SUBSTITUTE(ADDRESS(MATCH($A285,'kc-Wert für Stützen'!$C:$C,0),MATCH(E$7,'kc-Wert für Stützen'!$A$8:$ES$8,0)+7,4),,))</f>
        <v>110515.27251943733</v>
      </c>
      <c r="F285" s="768">
        <f ca="1">INDIRECT("'kc-Wert für Stützen'!"&amp;SUBSTITUTE(ADDRESS(MATCH($A285,'kc-Wert für Stützen'!$C:$C,0),MATCH(F$7,'kc-Wert für Stützen'!$A$8:$ES$8,0)+7,4),,))</f>
        <v>110212.93723248814</v>
      </c>
      <c r="G285" s="768">
        <f ca="1">INDIRECT("'kc-Wert für Stützen'!"&amp;SUBSTITUTE(ADDRESS(MATCH($A285,'kc-Wert für Stützen'!$C:$C,0),MATCH(G$7,'kc-Wert für Stützen'!$A$8:$ES$8,0)+7,4),,))</f>
        <v>109897.21503305317</v>
      </c>
      <c r="H285" s="768">
        <f ca="1">INDIRECT("'kc-Wert für Stützen'!"&amp;SUBSTITUTE(ADDRESS(MATCH($A285,'kc-Wert für Stützen'!$C:$C,0),MATCH(H$7,'kc-Wert für Stützen'!$A$8:$ES$8,0)+7,4),,))</f>
        <v>109566.87233909636</v>
      </c>
      <c r="I285" s="768">
        <f ca="1">INDIRECT("'kc-Wert für Stützen'!"&amp;SUBSTITUTE(ADDRESS(MATCH($A285,'kc-Wert für Stützen'!$C:$C,0),MATCH(I$7,'kc-Wert für Stützen'!$A$8:$ES$8,0)+7,4),,))</f>
        <v>109220.56201131476</v>
      </c>
      <c r="J285" s="768">
        <f ca="1">INDIRECT("'kc-Wert für Stützen'!"&amp;SUBSTITUTE(ADDRESS(MATCH($A285,'kc-Wert für Stützen'!$C:$C,0),MATCH(J$7,'kc-Wert für Stützen'!$A$8:$ES$8,0)+7,4),,))</f>
        <v>108856.81234380681</v>
      </c>
      <c r="K285" s="768">
        <f ca="1">INDIRECT("'kc-Wert für Stützen'!"&amp;SUBSTITUTE(ADDRESS(MATCH($A285,'kc-Wert für Stützen'!$C:$C,0),MATCH(K$7,'kc-Wert für Stützen'!$A$8:$ES$8,0)+7,4),,))</f>
        <v>108474.01559484629</v>
      </c>
      <c r="L285" s="768">
        <f ca="1">INDIRECT("'kc-Wert für Stützen'!"&amp;SUBSTITUTE(ADDRESS(MATCH($A285,'kc-Wert für Stützen'!$C:$C,0),MATCH(L$7,'kc-Wert für Stützen'!$A$8:$ES$8,0)+7,4),,))</f>
        <v>108070.41630794828</v>
      </c>
      <c r="M285" s="768">
        <f ca="1">INDIRECT("'kc-Wert für Stützen'!"&amp;SUBSTITUTE(ADDRESS(MATCH($A285,'kc-Wert für Stützen'!$C:$C,0),MATCH(M$7,'kc-Wert für Stützen'!$A$8:$ES$8,0)+7,4),,))</f>
        <v>107644.09980605477</v>
      </c>
      <c r="N285" s="768">
        <f ca="1">INDIRECT("'kc-Wert für Stützen'!"&amp;SUBSTITUTE(ADDRESS(MATCH($A285,'kc-Wert für Stützen'!$C:$C,0),MATCH(N$7,'kc-Wert für Stützen'!$A$8:$ES$8,0)+7,4),,))</f>
        <v>107192.98141833617</v>
      </c>
      <c r="O285" s="768">
        <f ca="1">INDIRECT("'kc-Wert für Stützen'!"&amp;SUBSTITUTE(ADDRESS(MATCH($A285,'kc-Wert für Stützen'!$C:$C,0),MATCH(O$7,'kc-Wert für Stützen'!$A$8:$ES$8,0)+7,4),,))</f>
        <v>106714.79722911869</v>
      </c>
      <c r="P285" s="768">
        <f ca="1">INDIRECT("'kc-Wert für Stützen'!"&amp;SUBSTITUTE(ADDRESS(MATCH($A285,'kc-Wert für Stützen'!$C:$C,0),MATCH(P$7,'kc-Wert für Stützen'!$A$8:$ES$8,0)+7,4),,))</f>
        <v>106207.09743014537</v>
      </c>
      <c r="S285" s="772">
        <f t="shared" ca="1" si="124"/>
        <v>110805.35131541296</v>
      </c>
      <c r="T285" s="772">
        <f t="shared" ca="1" si="128"/>
        <v>110805.35131541296</v>
      </c>
      <c r="U285" s="772">
        <f t="shared" ca="1" si="128"/>
        <v>110805.35131541296</v>
      </c>
      <c r="V285" s="772">
        <f t="shared" ca="1" si="128"/>
        <v>110515.27251943733</v>
      </c>
      <c r="W285" s="772">
        <f t="shared" ca="1" si="128"/>
        <v>110212.93723248814</v>
      </c>
      <c r="X285" s="772">
        <f t="shared" ca="1" si="128"/>
        <v>109897.21503305317</v>
      </c>
      <c r="Y285" s="772">
        <f t="shared" ca="1" si="128"/>
        <v>109566.87233909636</v>
      </c>
      <c r="Z285" s="772">
        <f t="shared" ca="1" si="128"/>
        <v>110805.35131541296</v>
      </c>
      <c r="AA285" s="772">
        <f t="shared" ca="1" si="128"/>
        <v>110805.35131541296</v>
      </c>
      <c r="AB285" s="772">
        <f ca="1">HLOOKUP(AB$7,$A$7:$P$348,ROW()-6)</f>
        <v>110515.27251943733</v>
      </c>
      <c r="AC285" s="772">
        <f ca="1">HLOOKUP(AC$7,$A$7:$P$348,ROW()-6)</f>
        <v>110515.27251943733</v>
      </c>
      <c r="AD285" s="772">
        <f ca="1">HLOOKUP(AD$7,$A$7:$P$348,ROW()-6)</f>
        <v>110212.93723248814</v>
      </c>
      <c r="AE285" s="772">
        <f ca="1">HLOOKUP(AE$7,$A$7:$P$348,ROW()-6)</f>
        <v>110212.93723248814</v>
      </c>
      <c r="AF285" s="772">
        <f ca="1">HLOOKUP(AF$7,$A$7:$P$348,ROW()-6)</f>
        <v>109897.21503305317</v>
      </c>
      <c r="AG285" s="772">
        <f t="shared" ref="AB285:AQ301" ca="1" si="140">HLOOKUP(AG$7,$A$7:$P$348,ROW()-6)</f>
        <v>109897.21503305317</v>
      </c>
      <c r="AH285" s="772">
        <f t="shared" ca="1" si="140"/>
        <v>109897.21503305317</v>
      </c>
      <c r="AI285" s="772">
        <f t="shared" ca="1" si="140"/>
        <v>110805.35131541296</v>
      </c>
      <c r="AJ285" s="772">
        <f t="shared" ca="1" si="140"/>
        <v>110805.35131541296</v>
      </c>
      <c r="AK285" s="772">
        <f t="shared" ca="1" si="140"/>
        <v>110515.27251943733</v>
      </c>
      <c r="AL285" s="772">
        <f t="shared" ca="1" si="140"/>
        <v>110515.27251943733</v>
      </c>
      <c r="AM285" s="772">
        <f t="shared" ca="1" si="140"/>
        <v>110212.93723248814</v>
      </c>
      <c r="AN285" s="772">
        <f t="shared" ca="1" si="140"/>
        <v>110212.93723248814</v>
      </c>
      <c r="AO285" s="772">
        <f t="shared" ca="1" si="140"/>
        <v>109897.21503305317</v>
      </c>
      <c r="AP285" s="772">
        <f t="shared" ca="1" si="140"/>
        <v>109897.21503305317</v>
      </c>
      <c r="AQ285" s="772">
        <f t="shared" ca="1" si="140"/>
        <v>109897.21503305317</v>
      </c>
      <c r="AR285" s="772">
        <f t="shared" ca="1" si="138"/>
        <v>110805.35131541296</v>
      </c>
      <c r="AS285" s="772">
        <f t="shared" ca="1" si="138"/>
        <v>110805.35131541296</v>
      </c>
      <c r="AT285" s="772">
        <f t="shared" ca="1" si="138"/>
        <v>110515.27251943733</v>
      </c>
      <c r="AU285" s="772">
        <f t="shared" ca="1" si="138"/>
        <v>110515.27251943733</v>
      </c>
      <c r="AV285" s="772">
        <f t="shared" ca="1" si="138"/>
        <v>110212.93723248814</v>
      </c>
      <c r="AW285" s="772">
        <f t="shared" ca="1" si="138"/>
        <v>110212.93723248814</v>
      </c>
      <c r="AX285" s="772">
        <f t="shared" ca="1" si="138"/>
        <v>109897.21503305317</v>
      </c>
      <c r="AY285" s="772">
        <f t="shared" ca="1" si="138"/>
        <v>109897.21503305317</v>
      </c>
      <c r="AZ285" s="772">
        <f t="shared" ca="1" si="138"/>
        <v>109897.21503305317</v>
      </c>
      <c r="BA285" s="772">
        <f t="shared" ca="1" si="138"/>
        <v>110805.35131541296</v>
      </c>
      <c r="BB285" s="772">
        <f t="shared" ca="1" si="138"/>
        <v>110805.35131541296</v>
      </c>
      <c r="BC285" s="772">
        <f t="shared" ca="1" si="138"/>
        <v>110515.27251943733</v>
      </c>
      <c r="BD285" s="772">
        <f t="shared" ca="1" si="138"/>
        <v>110212.93723248814</v>
      </c>
      <c r="BE285" s="772">
        <f t="shared" ca="1" si="138"/>
        <v>110212.93723248814</v>
      </c>
      <c r="BF285" s="772">
        <f t="shared" ca="1" si="138"/>
        <v>109897.21503305317</v>
      </c>
      <c r="BG285" s="772">
        <f t="shared" ca="1" si="138"/>
        <v>109897.21503305317</v>
      </c>
      <c r="BH285" s="772">
        <f t="shared" ref="BH285:BL294" ca="1" si="141">HLOOKUP(BH$7,$A$7:$P$348,ROW()-6)</f>
        <v>109566.87233909636</v>
      </c>
      <c r="BI285" s="772">
        <f t="shared" ca="1" si="141"/>
        <v>109566.87233909636</v>
      </c>
      <c r="BJ285" s="772">
        <f t="shared" ca="1" si="141"/>
        <v>110515.27251943733</v>
      </c>
      <c r="BK285" s="772">
        <f t="shared" ca="1" si="141"/>
        <v>110515.27251943733</v>
      </c>
      <c r="BL285" s="772">
        <f t="shared" ca="1" si="141"/>
        <v>110515.27251943733</v>
      </c>
      <c r="BM285" s="772">
        <f t="shared" ca="1" si="139"/>
        <v>110515.27251943733</v>
      </c>
      <c r="BN285" s="772">
        <f t="shared" ca="1" si="139"/>
        <v>109897.21503305317</v>
      </c>
      <c r="BO285" s="772">
        <f t="shared" ca="1" si="133"/>
        <v>109897.21503305317</v>
      </c>
      <c r="BP285" s="772">
        <f t="shared" ca="1" si="136"/>
        <v>109566.87233909636</v>
      </c>
      <c r="BQ285" s="772">
        <f t="shared" ca="1" si="136"/>
        <v>109566.87233909636</v>
      </c>
      <c r="BR285" s="772">
        <f t="shared" ca="1" si="136"/>
        <v>109220.56201131476</v>
      </c>
      <c r="BS285" s="772">
        <f t="shared" ca="1" si="136"/>
        <v>110515.27251943733</v>
      </c>
      <c r="BT285" s="772">
        <f t="shared" ca="1" si="136"/>
        <v>110515.27251943733</v>
      </c>
      <c r="BU285" s="772">
        <f t="shared" ca="1" si="136"/>
        <v>110515.27251943733</v>
      </c>
      <c r="BV285" s="772">
        <f t="shared" ca="1" si="136"/>
        <v>110212.93723248814</v>
      </c>
      <c r="BW285" s="772">
        <f t="shared" ca="1" si="125"/>
        <v>110212.93723248814</v>
      </c>
      <c r="BX285" s="772">
        <f t="shared" ca="1" si="137"/>
        <v>109566.87233909636</v>
      </c>
      <c r="BY285" s="772">
        <f t="shared" ca="1" si="137"/>
        <v>109566.87233909636</v>
      </c>
      <c r="BZ285" s="772">
        <f t="shared" ca="1" si="137"/>
        <v>109220.56201131476</v>
      </c>
      <c r="CA285" s="772">
        <f t="shared" ca="1" si="137"/>
        <v>109220.56201131476</v>
      </c>
      <c r="CB285" s="772">
        <f t="shared" ca="1" si="137"/>
        <v>110212.93723248814</v>
      </c>
      <c r="CC285" s="772">
        <f t="shared" ca="1" si="137"/>
        <v>110212.93723248814</v>
      </c>
      <c r="CD285" s="772">
        <f t="shared" ca="1" si="137"/>
        <v>110212.93723248814</v>
      </c>
      <c r="CE285" s="772">
        <f t="shared" ca="1" si="137"/>
        <v>110212.93723248814</v>
      </c>
      <c r="CF285" s="772">
        <f t="shared" ca="1" si="137"/>
        <v>109897.21503305317</v>
      </c>
      <c r="CG285" s="772">
        <f t="shared" ca="1" si="137"/>
        <v>109566.87233909636</v>
      </c>
      <c r="CH285" s="772">
        <f t="shared" ca="1" si="137"/>
        <v>109220.56201131476</v>
      </c>
      <c r="CI285" s="772">
        <f t="shared" ca="1" si="137"/>
        <v>109220.56201131476</v>
      </c>
      <c r="CJ285" s="772">
        <f t="shared" ca="1" si="137"/>
        <v>108856.81234380681</v>
      </c>
    </row>
    <row r="286" spans="1:88" ht="15" customHeight="1">
      <c r="A286" s="770">
        <f>'kc-Wert für Stützen'!C286</f>
        <v>338</v>
      </c>
      <c r="B286" s="768">
        <f ca="1">INDIRECT("'kc-Wert für Stützen'!"&amp;SUBSTITUTE(ADDRESS(MATCH($A286,'kc-Wert für Stützen'!$C:$C,0),MATCH(B$7,'kc-Wert für Stützen'!$A$8:$ES$8,0)+7,4),,))</f>
        <v>112036.57799970373</v>
      </c>
      <c r="C286" s="768">
        <f ca="1">INDIRECT("'kc-Wert für Stützen'!"&amp;SUBSTITUTE(ADDRESS(MATCH($A286,'kc-Wert für Stützen'!$C:$C,0),MATCH(C$7,'kc-Wert für Stützen'!$A$8:$ES$8,0)+7,4),,))</f>
        <v>111768.01608464326</v>
      </c>
      <c r="D286" s="768">
        <f ca="1">INDIRECT("'kc-Wert für Stützen'!"&amp;SUBSTITUTE(ADDRESS(MATCH($A286,'kc-Wert für Stützen'!$C:$C,0),MATCH(D$7,'kc-Wert für Stützen'!$A$8:$ES$8,0)+7,4),,))</f>
        <v>111489.26521374228</v>
      </c>
      <c r="E286" s="768">
        <f ca="1">INDIRECT("'kc-Wert für Stützen'!"&amp;SUBSTITUTE(ADDRESS(MATCH($A286,'kc-Wert für Stützen'!$C:$C,0),MATCH(E$7,'kc-Wert für Stützen'!$A$8:$ES$8,0)+7,4),,))</f>
        <v>111199.38268553691</v>
      </c>
      <c r="F286" s="768">
        <f ca="1">INDIRECT("'kc-Wert für Stützen'!"&amp;SUBSTITUTE(ADDRESS(MATCH($A286,'kc-Wert für Stützen'!$C:$C,0),MATCH(F$7,'kc-Wert für Stützen'!$A$8:$ES$8,0)+7,4),,))</f>
        <v>110897.34256939532</v>
      </c>
      <c r="G286" s="768">
        <f ca="1">INDIRECT("'kc-Wert für Stützen'!"&amp;SUBSTITUTE(ADDRESS(MATCH($A286,'kc-Wert für Stützen'!$C:$C,0),MATCH(G$7,'kc-Wert für Stützen'!$A$8:$ES$8,0)+7,4),,))</f>
        <v>110582.02687716951</v>
      </c>
      <c r="H286" s="768">
        <f ca="1">INDIRECT("'kc-Wert für Stützen'!"&amp;SUBSTITUTE(ADDRESS(MATCH($A286,'kc-Wert für Stützen'!$C:$C,0),MATCH(H$7,'kc-Wert für Stützen'!$A$8:$ES$8,0)+7,4),,))</f>
        <v>110252.2160139015</v>
      </c>
      <c r="I286" s="768">
        <f ca="1">INDIRECT("'kc-Wert für Stützen'!"&amp;SUBSTITUTE(ADDRESS(MATCH($A286,'kc-Wert für Stützen'!$C:$C,0),MATCH(I$7,'kc-Wert für Stützen'!$A$8:$ES$8,0)+7,4),,))</f>
        <v>109906.57853660156</v>
      </c>
      <c r="J286" s="768">
        <f ca="1">INDIRECT("'kc-Wert für Stützen'!"&amp;SUBSTITUTE(ADDRESS(MATCH($A286,'kc-Wert für Stützen'!$C:$C,0),MATCH(J$7,'kc-Wert für Stützen'!$A$8:$ES$8,0)+7,4),,))</f>
        <v>109543.66029691644</v>
      </c>
      <c r="K286" s="768">
        <f ca="1">INDIRECT("'kc-Wert für Stützen'!"&amp;SUBSTITUTE(ADDRESS(MATCH($A286,'kc-Wert für Stützen'!$C:$C,0),MATCH(K$7,'kc-Wert für Stützen'!$A$8:$ES$8,0)+7,4),,))</f>
        <v>109161.87311015288</v>
      </c>
      <c r="L286" s="768">
        <f ca="1">INDIRECT("'kc-Wert für Stützen'!"&amp;SUBSTITUTE(ADDRESS(MATCH($A286,'kc-Wert für Stützen'!$C:$C,0),MATCH(L$7,'kc-Wert für Stützen'!$A$8:$ES$8,0)+7,4),,))</f>
        <v>108759.48318585352</v>
      </c>
      <c r="M286" s="768">
        <f ca="1">INDIRECT("'kc-Wert für Stützen'!"&amp;SUBSTITUTE(ADDRESS(MATCH($A286,'kc-Wert für Stützen'!$C:$C,0),MATCH(M$7,'kc-Wert für Stützen'!$A$8:$ES$8,0)+7,4),,))</f>
        <v>108334.59968144199</v>
      </c>
      <c r="N286" s="768">
        <f ca="1">INDIRECT("'kc-Wert für Stützen'!"&amp;SUBSTITUTE(ADDRESS(MATCH($A286,'kc-Wert für Stützen'!$C:$C,0),MATCH(N$7,'kc-Wert für Stützen'!$A$8:$ES$8,0)+7,4),,))</f>
        <v>107885.16390895042</v>
      </c>
      <c r="O286" s="768">
        <f ca="1">INDIRECT("'kc-Wert für Stützen'!"&amp;SUBSTITUTE(ADDRESS(MATCH($A286,'kc-Wert für Stützen'!$C:$C,0),MATCH(O$7,'kc-Wert für Stützen'!$A$8:$ES$8,0)+7,4),,))</f>
        <v>107408.93994461498</v>
      </c>
      <c r="P286" s="768">
        <f ca="1">INDIRECT("'kc-Wert für Stützen'!"&amp;SUBSTITUTE(ADDRESS(MATCH($A286,'kc-Wert für Stützen'!$C:$C,0),MATCH(P$7,'kc-Wert für Stützen'!$A$8:$ES$8,0)+7,4),,))</f>
        <v>106903.50767052997</v>
      </c>
      <c r="S286" s="772">
        <f t="shared" ca="1" si="124"/>
        <v>111489.26521374228</v>
      </c>
      <c r="T286" s="772">
        <f t="shared" ca="1" si="128"/>
        <v>111489.26521374228</v>
      </c>
      <c r="U286" s="772">
        <f t="shared" ca="1" si="128"/>
        <v>111489.26521374228</v>
      </c>
      <c r="V286" s="772">
        <f t="shared" ca="1" si="128"/>
        <v>111199.38268553691</v>
      </c>
      <c r="W286" s="772">
        <f t="shared" ca="1" si="128"/>
        <v>110897.34256939532</v>
      </c>
      <c r="X286" s="772">
        <f t="shared" ca="1" si="128"/>
        <v>110582.02687716951</v>
      </c>
      <c r="Y286" s="772">
        <f t="shared" ca="1" si="128"/>
        <v>110252.2160139015</v>
      </c>
      <c r="Z286" s="772">
        <f t="shared" ca="1" si="128"/>
        <v>111489.26521374228</v>
      </c>
      <c r="AA286" s="772">
        <f t="shared" ca="1" si="128"/>
        <v>111489.26521374228</v>
      </c>
      <c r="AB286" s="772">
        <f t="shared" ca="1" si="140"/>
        <v>111199.38268553691</v>
      </c>
      <c r="AC286" s="772">
        <f t="shared" ca="1" si="140"/>
        <v>111199.38268553691</v>
      </c>
      <c r="AD286" s="772">
        <f t="shared" ca="1" si="140"/>
        <v>110897.34256939532</v>
      </c>
      <c r="AE286" s="772">
        <f t="shared" ca="1" si="140"/>
        <v>110897.34256939532</v>
      </c>
      <c r="AF286" s="772">
        <f t="shared" ca="1" si="140"/>
        <v>110582.02687716951</v>
      </c>
      <c r="AG286" s="772">
        <f t="shared" ca="1" si="140"/>
        <v>110582.02687716951</v>
      </c>
      <c r="AH286" s="772">
        <f t="shared" ca="1" si="140"/>
        <v>110582.02687716951</v>
      </c>
      <c r="AI286" s="772">
        <f t="shared" ca="1" si="140"/>
        <v>111489.26521374228</v>
      </c>
      <c r="AJ286" s="772">
        <f t="shared" ca="1" si="140"/>
        <v>111489.26521374228</v>
      </c>
      <c r="AK286" s="772">
        <f t="shared" ca="1" si="140"/>
        <v>111199.38268553691</v>
      </c>
      <c r="AL286" s="772">
        <f t="shared" ca="1" si="140"/>
        <v>111199.38268553691</v>
      </c>
      <c r="AM286" s="772">
        <f t="shared" ca="1" si="140"/>
        <v>110897.34256939532</v>
      </c>
      <c r="AN286" s="772">
        <f t="shared" ca="1" si="140"/>
        <v>110897.34256939532</v>
      </c>
      <c r="AO286" s="772">
        <f t="shared" ca="1" si="140"/>
        <v>110582.02687716951</v>
      </c>
      <c r="AP286" s="772">
        <f t="shared" ca="1" si="140"/>
        <v>110582.02687716951</v>
      </c>
      <c r="AQ286" s="772">
        <f t="shared" ca="1" si="140"/>
        <v>110582.02687716951</v>
      </c>
      <c r="AR286" s="772">
        <f t="shared" ca="1" si="138"/>
        <v>111489.26521374228</v>
      </c>
      <c r="AS286" s="772">
        <f t="shared" ca="1" si="138"/>
        <v>111489.26521374228</v>
      </c>
      <c r="AT286" s="772">
        <f t="shared" ca="1" si="138"/>
        <v>111199.38268553691</v>
      </c>
      <c r="AU286" s="772">
        <f t="shared" ca="1" si="138"/>
        <v>111199.38268553691</v>
      </c>
      <c r="AV286" s="772">
        <f t="shared" ca="1" si="138"/>
        <v>110897.34256939532</v>
      </c>
      <c r="AW286" s="772">
        <f t="shared" ca="1" si="138"/>
        <v>110897.34256939532</v>
      </c>
      <c r="AX286" s="772">
        <f t="shared" ca="1" si="138"/>
        <v>110582.02687716951</v>
      </c>
      <c r="AY286" s="772">
        <f t="shared" ca="1" si="138"/>
        <v>110582.02687716951</v>
      </c>
      <c r="AZ286" s="772">
        <f t="shared" ca="1" si="138"/>
        <v>110582.02687716951</v>
      </c>
      <c r="BA286" s="772">
        <f t="shared" ca="1" si="138"/>
        <v>111489.26521374228</v>
      </c>
      <c r="BB286" s="772">
        <f t="shared" ca="1" si="138"/>
        <v>111489.26521374228</v>
      </c>
      <c r="BC286" s="772">
        <f t="shared" ca="1" si="138"/>
        <v>111199.38268553691</v>
      </c>
      <c r="BD286" s="772">
        <f t="shared" ca="1" si="138"/>
        <v>110897.34256939532</v>
      </c>
      <c r="BE286" s="772">
        <f t="shared" ca="1" si="138"/>
        <v>110897.34256939532</v>
      </c>
      <c r="BF286" s="772">
        <f t="shared" ca="1" si="138"/>
        <v>110582.02687716951</v>
      </c>
      <c r="BG286" s="772">
        <f t="shared" ca="1" si="138"/>
        <v>110582.02687716951</v>
      </c>
      <c r="BH286" s="772">
        <f t="shared" ca="1" si="141"/>
        <v>110252.2160139015</v>
      </c>
      <c r="BI286" s="772">
        <f t="shared" ca="1" si="141"/>
        <v>110252.2160139015</v>
      </c>
      <c r="BJ286" s="772">
        <f t="shared" ca="1" si="141"/>
        <v>111199.38268553691</v>
      </c>
      <c r="BK286" s="772">
        <f t="shared" ca="1" si="141"/>
        <v>111199.38268553691</v>
      </c>
      <c r="BL286" s="772">
        <f t="shared" ca="1" si="141"/>
        <v>111199.38268553691</v>
      </c>
      <c r="BM286" s="772">
        <f t="shared" ca="1" si="139"/>
        <v>111199.38268553691</v>
      </c>
      <c r="BN286" s="772">
        <f t="shared" ca="1" si="139"/>
        <v>110582.02687716951</v>
      </c>
      <c r="BO286" s="772">
        <f t="shared" ca="1" si="133"/>
        <v>110582.02687716951</v>
      </c>
      <c r="BP286" s="772">
        <f t="shared" ca="1" si="136"/>
        <v>110252.2160139015</v>
      </c>
      <c r="BQ286" s="772">
        <f t="shared" ca="1" si="136"/>
        <v>110252.2160139015</v>
      </c>
      <c r="BR286" s="772">
        <f t="shared" ca="1" si="136"/>
        <v>109906.57853660156</v>
      </c>
      <c r="BS286" s="772">
        <f t="shared" ca="1" si="136"/>
        <v>111199.38268553691</v>
      </c>
      <c r="BT286" s="772">
        <f t="shared" ca="1" si="136"/>
        <v>111199.38268553691</v>
      </c>
      <c r="BU286" s="772">
        <f t="shared" ca="1" si="136"/>
        <v>111199.38268553691</v>
      </c>
      <c r="BV286" s="772">
        <f t="shared" ca="1" si="136"/>
        <v>110897.34256939532</v>
      </c>
      <c r="BW286" s="772">
        <f t="shared" ca="1" si="125"/>
        <v>110897.34256939532</v>
      </c>
      <c r="BX286" s="772">
        <f t="shared" ca="1" si="137"/>
        <v>110252.2160139015</v>
      </c>
      <c r="BY286" s="772">
        <f t="shared" ca="1" si="137"/>
        <v>110252.2160139015</v>
      </c>
      <c r="BZ286" s="772">
        <f t="shared" ca="1" si="137"/>
        <v>109906.57853660156</v>
      </c>
      <c r="CA286" s="772">
        <f t="shared" ca="1" si="137"/>
        <v>109906.57853660156</v>
      </c>
      <c r="CB286" s="772">
        <f t="shared" ca="1" si="137"/>
        <v>110897.34256939532</v>
      </c>
      <c r="CC286" s="772">
        <f t="shared" ca="1" si="137"/>
        <v>110897.34256939532</v>
      </c>
      <c r="CD286" s="772">
        <f t="shared" ca="1" si="137"/>
        <v>110897.34256939532</v>
      </c>
      <c r="CE286" s="772">
        <f t="shared" ca="1" si="137"/>
        <v>110897.34256939532</v>
      </c>
      <c r="CF286" s="772">
        <f t="shared" ca="1" si="137"/>
        <v>110582.02687716951</v>
      </c>
      <c r="CG286" s="772">
        <f t="shared" ca="1" si="137"/>
        <v>110252.2160139015</v>
      </c>
      <c r="CH286" s="772">
        <f t="shared" ca="1" si="137"/>
        <v>109906.57853660156</v>
      </c>
      <c r="CI286" s="772">
        <f t="shared" ca="1" si="137"/>
        <v>109906.57853660156</v>
      </c>
      <c r="CJ286" s="772">
        <f t="shared" ca="1" si="137"/>
        <v>109543.66029691644</v>
      </c>
    </row>
    <row r="287" spans="1:88" ht="15" customHeight="1">
      <c r="A287" s="770">
        <f>'kc-Wert für Stützen'!C287</f>
        <v>339</v>
      </c>
      <c r="B287" s="768">
        <f ca="1">INDIRECT("'kc-Wert für Stützen'!"&amp;SUBSTITUTE(ADDRESS(MATCH($A287,'kc-Wert für Stützen'!$C:$C,0),MATCH(B$7,'kc-Wert für Stützen'!$A$8:$ES$8,0)+7,4),,))</f>
        <v>112722.37991698108</v>
      </c>
      <c r="C287" s="768">
        <f ca="1">INDIRECT("'kc-Wert für Stützen'!"&amp;SUBSTITUTE(ADDRESS(MATCH($A287,'kc-Wert für Stützen'!$C:$C,0),MATCH(C$7,'kc-Wert für Stützen'!$A$8:$ES$8,0)+7,4),,))</f>
        <v>112453.84213536928</v>
      </c>
      <c r="D287" s="768">
        <f ca="1">INDIRECT("'kc-Wert für Stützen'!"&amp;SUBSTITUTE(ADDRESS(MATCH($A287,'kc-Wert für Stützen'!$C:$C,0),MATCH(D$7,'kc-Wert für Stützen'!$A$8:$ES$8,0)+7,4),,))</f>
        <v>112175.19248102831</v>
      </c>
      <c r="E287" s="768">
        <f ca="1">INDIRECT("'kc-Wert für Stützen'!"&amp;SUBSTITUTE(ADDRESS(MATCH($A287,'kc-Wert für Stützen'!$C:$C,0),MATCH(E$7,'kc-Wert für Stützen'!$A$8:$ES$8,0)+7,4),,))</f>
        <v>111885.49786789142</v>
      </c>
      <c r="F287" s="768">
        <f ca="1">INDIRECT("'kc-Wert für Stützen'!"&amp;SUBSTITUTE(ADDRESS(MATCH($A287,'kc-Wert für Stützen'!$C:$C,0),MATCH(F$7,'kc-Wert für Stützen'!$A$8:$ES$8,0)+7,4),,))</f>
        <v>111583.74321378878</v>
      </c>
      <c r="G287" s="768">
        <f ca="1">INDIRECT("'kc-Wert für Stützen'!"&amp;SUBSTITUTE(ADDRESS(MATCH($A287,'kc-Wert für Stützen'!$C:$C,0),MATCH(G$7,'kc-Wert für Stützen'!$A$8:$ES$8,0)+7,4),,))</f>
        <v>111268.82275452919</v>
      </c>
      <c r="H287" s="768">
        <f ca="1">INDIRECT("'kc-Wert für Stützen'!"&amp;SUBSTITUTE(ADDRESS(MATCH($A287,'kc-Wert für Stützen'!$C:$C,0),MATCH(H$7,'kc-Wert für Stützen'!$A$8:$ES$8,0)+7,4),,))</f>
        <v>110939.53064460288</v>
      </c>
      <c r="I287" s="768">
        <f ca="1">INDIRECT("'kc-Wert für Stützen'!"&amp;SUBSTITUTE(ADDRESS(MATCH($A287,'kc-Wert für Stützen'!$C:$C,0),MATCH(I$7,'kc-Wert für Stützen'!$A$8:$ES$8,0)+7,4),,))</f>
        <v>110594.55086959737</v>
      </c>
      <c r="J287" s="768">
        <f ca="1">INDIRECT("'kc-Wert für Stützen'!"&amp;SUBSTITUTE(ADDRESS(MATCH($A287,'kc-Wert für Stützen'!$C:$C,0),MATCH(J$7,'kc-Wert für Stützen'!$A$8:$ES$8,0)+7,4),,))</f>
        <v>110232.44653981981</v>
      </c>
      <c r="K287" s="768">
        <f ca="1">INDIRECT("'kc-Wert für Stützen'!"&amp;SUBSTITUTE(ADDRESS(MATCH($A287,'kc-Wert für Stützen'!$C:$C,0),MATCH(K$7,'kc-Wert für Stützen'!$A$8:$ES$8,0)+7,4),,))</f>
        <v>109851.64869793282</v>
      </c>
      <c r="L287" s="768">
        <f ca="1">INDIRECT("'kc-Wert für Stützen'!"&amp;SUBSTITUTE(ADDRESS(MATCH($A287,'kc-Wert für Stützen'!$C:$C,0),MATCH(L$7,'kc-Wert für Stützen'!$A$8:$ES$8,0)+7,4),,))</f>
        <v>109450.44486162222</v>
      </c>
      <c r="M287" s="768">
        <f ca="1">INDIRECT("'kc-Wert für Stützen'!"&amp;SUBSTITUTE(ADDRESS(MATCH($A287,'kc-Wert für Stützen'!$C:$C,0),MATCH(M$7,'kc-Wert für Stützen'!$A$8:$ES$8,0)+7,4),,))</f>
        <v>109026.96764261142</v>
      </c>
      <c r="N287" s="768">
        <f ca="1">INDIRECT("'kc-Wert für Stützen'!"&amp;SUBSTITUTE(ADDRESS(MATCH($A287,'kc-Wert für Stützen'!$C:$C,0),MATCH(N$7,'kc-Wert für Stützen'!$A$8:$ES$8,0)+7,4),,))</f>
        <v>108579.18394403563</v>
      </c>
      <c r="O287" s="768">
        <f ca="1">INDIRECT("'kc-Wert für Stützen'!"&amp;SUBSTITUTE(ADDRESS(MATCH($A287,'kc-Wert für Stützen'!$C:$C,0),MATCH(O$7,'kc-Wert für Stützen'!$A$8:$ES$8,0)+7,4),,))</f>
        <v>108104.88544815779</v>
      </c>
      <c r="P287" s="768">
        <f ca="1">INDIRECT("'kc-Wert für Stützen'!"&amp;SUBSTITUTE(ADDRESS(MATCH($A287,'kc-Wert für Stützen'!$C:$C,0),MATCH(P$7,'kc-Wert für Stützen'!$A$8:$ES$8,0)+7,4),,))</f>
        <v>107601.68137398333</v>
      </c>
      <c r="S287" s="772">
        <f t="shared" ca="1" si="124"/>
        <v>112175.19248102831</v>
      </c>
      <c r="T287" s="772">
        <f t="shared" ca="1" si="128"/>
        <v>112175.19248102831</v>
      </c>
      <c r="U287" s="772">
        <f t="shared" ca="1" si="128"/>
        <v>112175.19248102831</v>
      </c>
      <c r="V287" s="772">
        <f t="shared" ca="1" si="128"/>
        <v>111885.49786789142</v>
      </c>
      <c r="W287" s="772">
        <f t="shared" ca="1" si="128"/>
        <v>111583.74321378878</v>
      </c>
      <c r="X287" s="772">
        <f t="shared" ca="1" si="128"/>
        <v>111268.82275452919</v>
      </c>
      <c r="Y287" s="772">
        <f t="shared" ca="1" si="128"/>
        <v>110939.53064460288</v>
      </c>
      <c r="Z287" s="772">
        <f t="shared" ca="1" si="128"/>
        <v>112175.19248102831</v>
      </c>
      <c r="AA287" s="772">
        <f t="shared" ca="1" si="128"/>
        <v>112175.19248102831</v>
      </c>
      <c r="AB287" s="772">
        <f t="shared" ca="1" si="140"/>
        <v>111885.49786789142</v>
      </c>
      <c r="AC287" s="772">
        <f t="shared" ca="1" si="140"/>
        <v>111885.49786789142</v>
      </c>
      <c r="AD287" s="772">
        <f t="shared" ca="1" si="140"/>
        <v>111583.74321378878</v>
      </c>
      <c r="AE287" s="772">
        <f t="shared" ca="1" si="140"/>
        <v>111583.74321378878</v>
      </c>
      <c r="AF287" s="772">
        <f t="shared" ca="1" si="140"/>
        <v>111268.82275452919</v>
      </c>
      <c r="AG287" s="772">
        <f t="shared" ca="1" si="140"/>
        <v>111268.82275452919</v>
      </c>
      <c r="AH287" s="772">
        <f t="shared" ca="1" si="140"/>
        <v>111268.82275452919</v>
      </c>
      <c r="AI287" s="772">
        <f t="shared" ca="1" si="140"/>
        <v>112175.19248102831</v>
      </c>
      <c r="AJ287" s="772">
        <f t="shared" ca="1" si="140"/>
        <v>112175.19248102831</v>
      </c>
      <c r="AK287" s="772">
        <f t="shared" ca="1" si="140"/>
        <v>111885.49786789142</v>
      </c>
      <c r="AL287" s="772">
        <f t="shared" ca="1" si="140"/>
        <v>111885.49786789142</v>
      </c>
      <c r="AM287" s="772">
        <f t="shared" ca="1" si="140"/>
        <v>111583.74321378878</v>
      </c>
      <c r="AN287" s="772">
        <f t="shared" ca="1" si="140"/>
        <v>111583.74321378878</v>
      </c>
      <c r="AO287" s="772">
        <f t="shared" ca="1" si="140"/>
        <v>111268.82275452919</v>
      </c>
      <c r="AP287" s="772">
        <f t="shared" ca="1" si="140"/>
        <v>111268.82275452919</v>
      </c>
      <c r="AQ287" s="772">
        <f t="shared" ca="1" si="140"/>
        <v>111268.82275452919</v>
      </c>
      <c r="AR287" s="772">
        <f t="shared" ca="1" si="138"/>
        <v>112175.19248102831</v>
      </c>
      <c r="AS287" s="772">
        <f t="shared" ca="1" si="138"/>
        <v>112175.19248102831</v>
      </c>
      <c r="AT287" s="772">
        <f t="shared" ca="1" si="138"/>
        <v>111885.49786789142</v>
      </c>
      <c r="AU287" s="772">
        <f t="shared" ca="1" si="138"/>
        <v>111885.49786789142</v>
      </c>
      <c r="AV287" s="772">
        <f t="shared" ca="1" si="138"/>
        <v>111583.74321378878</v>
      </c>
      <c r="AW287" s="772">
        <f t="shared" ca="1" si="138"/>
        <v>111583.74321378878</v>
      </c>
      <c r="AX287" s="772">
        <f t="shared" ca="1" si="138"/>
        <v>111268.82275452919</v>
      </c>
      <c r="AY287" s="772">
        <f t="shared" ca="1" si="138"/>
        <v>111268.82275452919</v>
      </c>
      <c r="AZ287" s="772">
        <f t="shared" ca="1" si="138"/>
        <v>111268.82275452919</v>
      </c>
      <c r="BA287" s="772">
        <f t="shared" ca="1" si="138"/>
        <v>112175.19248102831</v>
      </c>
      <c r="BB287" s="772">
        <f t="shared" ca="1" si="138"/>
        <v>112175.19248102831</v>
      </c>
      <c r="BC287" s="772">
        <f t="shared" ca="1" si="138"/>
        <v>111885.49786789142</v>
      </c>
      <c r="BD287" s="772">
        <f t="shared" ca="1" si="138"/>
        <v>111583.74321378878</v>
      </c>
      <c r="BE287" s="772">
        <f t="shared" ca="1" si="138"/>
        <v>111583.74321378878</v>
      </c>
      <c r="BF287" s="772">
        <f t="shared" ca="1" si="138"/>
        <v>111268.82275452919</v>
      </c>
      <c r="BG287" s="772">
        <f t="shared" ca="1" si="138"/>
        <v>111268.82275452919</v>
      </c>
      <c r="BH287" s="772">
        <f t="shared" ca="1" si="141"/>
        <v>110939.53064460288</v>
      </c>
      <c r="BI287" s="772">
        <f t="shared" ca="1" si="141"/>
        <v>110939.53064460288</v>
      </c>
      <c r="BJ287" s="772">
        <f t="shared" ca="1" si="141"/>
        <v>111885.49786789142</v>
      </c>
      <c r="BK287" s="772">
        <f t="shared" ca="1" si="141"/>
        <v>111885.49786789142</v>
      </c>
      <c r="BL287" s="772">
        <f t="shared" ca="1" si="141"/>
        <v>111885.49786789142</v>
      </c>
      <c r="BM287" s="772">
        <f t="shared" ca="1" si="139"/>
        <v>111885.49786789142</v>
      </c>
      <c r="BN287" s="772">
        <f t="shared" ca="1" si="139"/>
        <v>111268.82275452919</v>
      </c>
      <c r="BO287" s="772">
        <f t="shared" ca="1" si="133"/>
        <v>111268.82275452919</v>
      </c>
      <c r="BP287" s="772">
        <f t="shared" ca="1" si="136"/>
        <v>110939.53064460288</v>
      </c>
      <c r="BQ287" s="772">
        <f t="shared" ca="1" si="136"/>
        <v>110939.53064460288</v>
      </c>
      <c r="BR287" s="772">
        <f t="shared" ca="1" si="136"/>
        <v>110594.55086959737</v>
      </c>
      <c r="BS287" s="772">
        <f t="shared" ca="1" si="136"/>
        <v>111885.49786789142</v>
      </c>
      <c r="BT287" s="772">
        <f t="shared" ca="1" si="136"/>
        <v>111885.49786789142</v>
      </c>
      <c r="BU287" s="772">
        <f t="shared" ca="1" si="136"/>
        <v>111885.49786789142</v>
      </c>
      <c r="BV287" s="772">
        <f t="shared" ca="1" si="136"/>
        <v>111583.74321378878</v>
      </c>
      <c r="BW287" s="772">
        <f t="shared" ca="1" si="125"/>
        <v>111583.74321378878</v>
      </c>
      <c r="BX287" s="772">
        <f t="shared" ca="1" si="137"/>
        <v>110939.53064460288</v>
      </c>
      <c r="BY287" s="772">
        <f t="shared" ca="1" si="137"/>
        <v>110939.53064460288</v>
      </c>
      <c r="BZ287" s="772">
        <f t="shared" ca="1" si="137"/>
        <v>110594.55086959737</v>
      </c>
      <c r="CA287" s="772">
        <f t="shared" ca="1" si="137"/>
        <v>110594.55086959737</v>
      </c>
      <c r="CB287" s="772">
        <f t="shared" ca="1" si="137"/>
        <v>111583.74321378878</v>
      </c>
      <c r="CC287" s="772">
        <f t="shared" ca="1" si="137"/>
        <v>111583.74321378878</v>
      </c>
      <c r="CD287" s="772">
        <f t="shared" ca="1" si="137"/>
        <v>111583.74321378878</v>
      </c>
      <c r="CE287" s="772">
        <f t="shared" ca="1" si="137"/>
        <v>111583.74321378878</v>
      </c>
      <c r="CF287" s="772">
        <f t="shared" ca="1" si="137"/>
        <v>111268.82275452919</v>
      </c>
      <c r="CG287" s="772">
        <f t="shared" ca="1" si="137"/>
        <v>110939.53064460288</v>
      </c>
      <c r="CH287" s="772">
        <f t="shared" ca="1" si="137"/>
        <v>110594.55086959737</v>
      </c>
      <c r="CI287" s="772">
        <f t="shared" ca="1" si="137"/>
        <v>110594.55086959737</v>
      </c>
      <c r="CJ287" s="772">
        <f t="shared" ca="1" si="137"/>
        <v>110232.44653981981</v>
      </c>
    </row>
    <row r="288" spans="1:88" ht="15" customHeight="1">
      <c r="A288" s="770">
        <f>'kc-Wert für Stützen'!C288</f>
        <v>340</v>
      </c>
      <c r="B288" s="768">
        <f ca="1">INDIRECT("'kc-Wert für Stützen'!"&amp;SUBSTITUTE(ADDRESS(MATCH($A288,'kc-Wert für Stützen'!$C:$C,0),MATCH(B$7,'kc-Wert für Stützen'!$A$8:$ES$8,0)+7,4),,))</f>
        <v>113410.20901967987</v>
      </c>
      <c r="C288" s="768">
        <f ca="1">INDIRECT("'kc-Wert für Stützen'!"&amp;SUBSTITUTE(ADDRESS(MATCH($A288,'kc-Wert für Stützen'!$C:$C,0),MATCH(C$7,'kc-Wert für Stützen'!$A$8:$ES$8,0)+7,4),,))</f>
        <v>113141.68930031739</v>
      </c>
      <c r="D288" s="768">
        <f ca="1">INDIRECT("'kc-Wert für Stützen'!"&amp;SUBSTITUTE(ADDRESS(MATCH($A288,'kc-Wert für Stützen'!$C:$C,0),MATCH(D$7,'kc-Wert für Stützen'!$A$8:$ES$8,0)+7,4),,))</f>
        <v>112863.13379748081</v>
      </c>
      <c r="E288" s="768">
        <f ca="1">INDIRECT("'kc-Wert für Stützen'!"&amp;SUBSTITUTE(ADDRESS(MATCH($A288,'kc-Wert für Stützen'!$C:$C,0),MATCH(E$7,'kc-Wert für Stützen'!$A$8:$ES$8,0)+7,4),,))</f>
        <v>112573.61888370544</v>
      </c>
      <c r="F288" s="768">
        <f ca="1">INDIRECT("'kc-Wert für Stützen'!"&amp;SUBSTITUTE(ADDRESS(MATCH($A288,'kc-Wert für Stützen'!$C:$C,0),MATCH(F$7,'kc-Wert für Stützen'!$A$8:$ES$8,0)+7,4),,))</f>
        <v>112272.14014558424</v>
      </c>
      <c r="G288" s="768">
        <f ca="1">INDIRECT("'kc-Wert für Stützen'!"&amp;SUBSTITUTE(ADDRESS(MATCH($A288,'kc-Wert für Stützen'!$C:$C,0),MATCH(G$7,'kc-Wert für Stützen'!$A$8:$ES$8,0)+7,4),,))</f>
        <v>111957.60383781133</v>
      </c>
      <c r="H288" s="768">
        <f ca="1">INDIRECT("'kc-Wert für Stützen'!"&amp;SUBSTITUTE(ADDRESS(MATCH($A288,'kc-Wert für Stützen'!$C:$C,0),MATCH(H$7,'kc-Wert für Stützen'!$A$8:$ES$8,0)+7,4),,))</f>
        <v>111628.81763156537</v>
      </c>
      <c r="I288" s="768">
        <f ca="1">INDIRECT("'kc-Wert für Stützen'!"&amp;SUBSTITUTE(ADDRESS(MATCH($A288,'kc-Wert für Stützen'!$C:$C,0),MATCH(I$7,'kc-Wert für Stützen'!$A$8:$ES$8,0)+7,4),,))</f>
        <v>111284.48067865142</v>
      </c>
      <c r="J288" s="768">
        <f ca="1">INDIRECT("'kc-Wert für Stützen'!"&amp;SUBSTITUTE(ADDRESS(MATCH($A288,'kc-Wert für Stützen'!$C:$C,0),MATCH(J$7,'kc-Wert für Stützen'!$A$8:$ES$8,0)+7,4),,))</f>
        <v>110923.17305494061</v>
      </c>
      <c r="K288" s="768">
        <f ca="1">INDIRECT("'kc-Wert für Stützen'!"&amp;SUBSTITUTE(ADDRESS(MATCH($A288,'kc-Wert für Stützen'!$C:$C,0),MATCH(K$7,'kc-Wert für Stützen'!$A$8:$ES$8,0)+7,4),,))</f>
        <v>110543.34470680368</v>
      </c>
      <c r="L288" s="768">
        <f ca="1">INDIRECT("'kc-Wert für Stützen'!"&amp;SUBSTITUTE(ADDRESS(MATCH($A288,'kc-Wert für Stützen'!$C:$C,0),MATCH(L$7,'kc-Wert für Stützen'!$A$8:$ES$8,0)+7,4),,))</f>
        <v>110143.30410813731</v>
      </c>
      <c r="M288" s="768">
        <f ca="1">INDIRECT("'kc-Wert für Stützen'!"&amp;SUBSTITUTE(ADDRESS(MATCH($A288,'kc-Wert für Stützen'!$C:$C,0),MATCH(M$7,'kc-Wert für Stützen'!$A$8:$ES$8,0)+7,4),,))</f>
        <v>109721.2069501535</v>
      </c>
      <c r="N288" s="768">
        <f ca="1">INDIRECT("'kc-Wert für Stützen'!"&amp;SUBSTITUTE(ADDRESS(MATCH($A288,'kc-Wert für Stützen'!$C:$C,0),MATCH(N$7,'kc-Wert für Stützen'!$A$8:$ES$8,0)+7,4),,))</f>
        <v>109275.04533935305</v>
      </c>
      <c r="O288" s="768">
        <f ca="1">INDIRECT("'kc-Wert für Stützen'!"&amp;SUBSTITUTE(ADDRESS(MATCH($A288,'kc-Wert für Stützen'!$C:$C,0),MATCH(O$7,'kc-Wert für Stützen'!$A$8:$ES$8,0)+7,4),,))</f>
        <v>108802.63817969187</v>
      </c>
      <c r="P288" s="768">
        <f ca="1">INDIRECT("'kc-Wert für Stützen'!"&amp;SUBSTITUTE(ADDRESS(MATCH($A288,'kc-Wert für Stützen'!$C:$C,0),MATCH(P$7,'kc-Wert für Stützen'!$A$8:$ES$8,0)+7,4),,))</f>
        <v>108301.62367114823</v>
      </c>
      <c r="S288" s="772">
        <f t="shared" ca="1" si="124"/>
        <v>112863.13379748081</v>
      </c>
      <c r="T288" s="772">
        <f t="shared" ca="1" si="128"/>
        <v>112863.13379748081</v>
      </c>
      <c r="U288" s="772">
        <f t="shared" ca="1" si="128"/>
        <v>112863.13379748081</v>
      </c>
      <c r="V288" s="772">
        <f t="shared" ca="1" si="128"/>
        <v>112573.61888370544</v>
      </c>
      <c r="W288" s="772">
        <f t="shared" ca="1" si="128"/>
        <v>112272.14014558424</v>
      </c>
      <c r="X288" s="772">
        <f t="shared" ca="1" si="128"/>
        <v>111957.60383781133</v>
      </c>
      <c r="Y288" s="772">
        <f t="shared" ca="1" si="128"/>
        <v>111628.81763156537</v>
      </c>
      <c r="Z288" s="772">
        <f t="shared" ca="1" si="128"/>
        <v>112863.13379748081</v>
      </c>
      <c r="AA288" s="772">
        <f t="shared" ca="1" si="128"/>
        <v>112863.13379748081</v>
      </c>
      <c r="AB288" s="772">
        <f t="shared" ca="1" si="140"/>
        <v>112573.61888370544</v>
      </c>
      <c r="AC288" s="772">
        <f t="shared" ca="1" si="140"/>
        <v>112573.61888370544</v>
      </c>
      <c r="AD288" s="772">
        <f t="shared" ca="1" si="140"/>
        <v>112272.14014558424</v>
      </c>
      <c r="AE288" s="772">
        <f t="shared" ca="1" si="140"/>
        <v>112272.14014558424</v>
      </c>
      <c r="AF288" s="772">
        <f t="shared" ca="1" si="140"/>
        <v>111957.60383781133</v>
      </c>
      <c r="AG288" s="772">
        <f t="shared" ca="1" si="140"/>
        <v>111957.60383781133</v>
      </c>
      <c r="AH288" s="772">
        <f t="shared" ca="1" si="140"/>
        <v>111957.60383781133</v>
      </c>
      <c r="AI288" s="772">
        <f t="shared" ca="1" si="140"/>
        <v>112863.13379748081</v>
      </c>
      <c r="AJ288" s="772">
        <f t="shared" ca="1" si="140"/>
        <v>112863.13379748081</v>
      </c>
      <c r="AK288" s="772">
        <f t="shared" ca="1" si="140"/>
        <v>112573.61888370544</v>
      </c>
      <c r="AL288" s="772">
        <f t="shared" ca="1" si="140"/>
        <v>112573.61888370544</v>
      </c>
      <c r="AM288" s="772">
        <f t="shared" ca="1" si="140"/>
        <v>112272.14014558424</v>
      </c>
      <c r="AN288" s="772">
        <f t="shared" ca="1" si="140"/>
        <v>112272.14014558424</v>
      </c>
      <c r="AO288" s="772">
        <f t="shared" ca="1" si="140"/>
        <v>111957.60383781133</v>
      </c>
      <c r="AP288" s="772">
        <f t="shared" ca="1" si="140"/>
        <v>111957.60383781133</v>
      </c>
      <c r="AQ288" s="772">
        <f t="shared" ca="1" si="140"/>
        <v>111957.60383781133</v>
      </c>
      <c r="AR288" s="772">
        <f t="shared" ca="1" si="138"/>
        <v>112863.13379748081</v>
      </c>
      <c r="AS288" s="772">
        <f t="shared" ca="1" si="138"/>
        <v>112863.13379748081</v>
      </c>
      <c r="AT288" s="772">
        <f t="shared" ca="1" si="138"/>
        <v>112573.61888370544</v>
      </c>
      <c r="AU288" s="772">
        <f t="shared" ca="1" si="138"/>
        <v>112573.61888370544</v>
      </c>
      <c r="AV288" s="772">
        <f t="shared" ca="1" si="138"/>
        <v>112272.14014558424</v>
      </c>
      <c r="AW288" s="772">
        <f t="shared" ca="1" si="138"/>
        <v>112272.14014558424</v>
      </c>
      <c r="AX288" s="772">
        <f t="shared" ca="1" si="138"/>
        <v>111957.60383781133</v>
      </c>
      <c r="AY288" s="772">
        <f t="shared" ca="1" si="138"/>
        <v>111957.60383781133</v>
      </c>
      <c r="AZ288" s="772">
        <f t="shared" ca="1" si="138"/>
        <v>111957.60383781133</v>
      </c>
      <c r="BA288" s="772">
        <f t="shared" ca="1" si="138"/>
        <v>112863.13379748081</v>
      </c>
      <c r="BB288" s="772">
        <f t="shared" ca="1" si="138"/>
        <v>112863.13379748081</v>
      </c>
      <c r="BC288" s="772">
        <f t="shared" ca="1" si="138"/>
        <v>112573.61888370544</v>
      </c>
      <c r="BD288" s="772">
        <f t="shared" ca="1" si="138"/>
        <v>112272.14014558424</v>
      </c>
      <c r="BE288" s="772">
        <f t="shared" ca="1" si="138"/>
        <v>112272.14014558424</v>
      </c>
      <c r="BF288" s="772">
        <f t="shared" ca="1" si="138"/>
        <v>111957.60383781133</v>
      </c>
      <c r="BG288" s="772">
        <f t="shared" ca="1" si="138"/>
        <v>111957.60383781133</v>
      </c>
      <c r="BH288" s="772">
        <f t="shared" ca="1" si="141"/>
        <v>111628.81763156537</v>
      </c>
      <c r="BI288" s="772">
        <f t="shared" ca="1" si="141"/>
        <v>111628.81763156537</v>
      </c>
      <c r="BJ288" s="772">
        <f t="shared" ca="1" si="141"/>
        <v>112573.61888370544</v>
      </c>
      <c r="BK288" s="772">
        <f t="shared" ca="1" si="141"/>
        <v>112573.61888370544</v>
      </c>
      <c r="BL288" s="772">
        <f t="shared" ca="1" si="141"/>
        <v>112573.61888370544</v>
      </c>
      <c r="BM288" s="772">
        <f t="shared" ca="1" si="139"/>
        <v>112573.61888370544</v>
      </c>
      <c r="BN288" s="772">
        <f t="shared" ca="1" si="139"/>
        <v>111957.60383781133</v>
      </c>
      <c r="BO288" s="772">
        <f t="shared" ca="1" si="133"/>
        <v>111957.60383781133</v>
      </c>
      <c r="BP288" s="772">
        <f t="shared" ref="BP288:BV298" ca="1" si="142">HLOOKUP(BP$7,$A$7:$P$348,ROW()-6)</f>
        <v>111628.81763156537</v>
      </c>
      <c r="BQ288" s="772">
        <f t="shared" ca="1" si="142"/>
        <v>111628.81763156537</v>
      </c>
      <c r="BR288" s="772">
        <f t="shared" ca="1" si="142"/>
        <v>111284.48067865142</v>
      </c>
      <c r="BS288" s="772">
        <f t="shared" ca="1" si="142"/>
        <v>112573.61888370544</v>
      </c>
      <c r="BT288" s="772">
        <f t="shared" ca="1" si="142"/>
        <v>112573.61888370544</v>
      </c>
      <c r="BU288" s="772">
        <f t="shared" ca="1" si="142"/>
        <v>112573.61888370544</v>
      </c>
      <c r="BV288" s="772">
        <f t="shared" ca="1" si="142"/>
        <v>112272.14014558424</v>
      </c>
      <c r="BW288" s="772">
        <f t="shared" ca="1" si="125"/>
        <v>112272.14014558424</v>
      </c>
      <c r="BX288" s="772">
        <f t="shared" ca="1" si="137"/>
        <v>111628.81763156537</v>
      </c>
      <c r="BY288" s="772">
        <f t="shared" ca="1" si="137"/>
        <v>111628.81763156537</v>
      </c>
      <c r="BZ288" s="772">
        <f t="shared" ca="1" si="137"/>
        <v>111284.48067865142</v>
      </c>
      <c r="CA288" s="772">
        <f t="shared" ca="1" si="137"/>
        <v>111284.48067865142</v>
      </c>
      <c r="CB288" s="772">
        <f t="shared" ca="1" si="137"/>
        <v>112272.14014558424</v>
      </c>
      <c r="CC288" s="772">
        <f t="shared" ca="1" si="137"/>
        <v>112272.14014558424</v>
      </c>
      <c r="CD288" s="772">
        <f t="shared" ca="1" si="137"/>
        <v>112272.14014558424</v>
      </c>
      <c r="CE288" s="772">
        <f t="shared" ca="1" si="137"/>
        <v>112272.14014558424</v>
      </c>
      <c r="CF288" s="772">
        <f t="shared" ca="1" si="137"/>
        <v>111957.60383781133</v>
      </c>
      <c r="CG288" s="772">
        <f t="shared" ca="1" si="137"/>
        <v>111628.81763156537</v>
      </c>
      <c r="CH288" s="772">
        <f t="shared" ca="1" si="137"/>
        <v>111284.48067865142</v>
      </c>
      <c r="CI288" s="772">
        <f t="shared" ca="1" si="137"/>
        <v>111284.48067865142</v>
      </c>
      <c r="CJ288" s="772">
        <f t="shared" ca="1" si="137"/>
        <v>110923.17305494061</v>
      </c>
    </row>
    <row r="289" spans="1:88" ht="15" customHeight="1">
      <c r="A289" s="770">
        <f>'kc-Wert für Stützen'!C289</f>
        <v>341</v>
      </c>
      <c r="B289" s="768">
        <f ca="1">INDIRECT("'kc-Wert für Stützen'!"&amp;SUBSTITUTE(ADDRESS(MATCH($A289,'kc-Wert für Stützen'!$C:$C,0),MATCH(B$7,'kc-Wert für Stützen'!$A$8:$ES$8,0)+7,4),,))</f>
        <v>114100.06576784418</v>
      </c>
      <c r="C289" s="768">
        <f ca="1">INDIRECT("'kc-Wert für Stützen'!"&amp;SUBSTITUTE(ADDRESS(MATCH($A289,'kc-Wert für Stützen'!$C:$C,0),MATCH(C$7,'kc-Wert für Stützen'!$A$8:$ES$8,0)+7,4),,))</f>
        <v>113831.55813404461</v>
      </c>
      <c r="D289" s="768">
        <f ca="1">INDIRECT("'kc-Wert für Stützen'!"&amp;SUBSTITUTE(ADDRESS(MATCH($A289,'kc-Wert für Stützen'!$C:$C,0),MATCH(D$7,'kc-Wert für Stützen'!$A$8:$ES$8,0)+7,4),,))</f>
        <v>113553.08983033783</v>
      </c>
      <c r="E289" s="768">
        <f ca="1">INDIRECT("'kc-Wert für Stützen'!"&amp;SUBSTITUTE(ADDRESS(MATCH($A289,'kc-Wert für Stützen'!$C:$C,0),MATCH(E$7,'kc-Wert für Stützen'!$A$8:$ES$8,0)+7,4),,))</f>
        <v>113263.7465343012</v>
      </c>
      <c r="F289" s="768">
        <f ca="1">INDIRECT("'kc-Wert für Stützen'!"&amp;SUBSTITUTE(ADDRESS(MATCH($A289,'kc-Wert für Stützen'!$C:$C,0),MATCH(F$7,'kc-Wert für Stützen'!$A$8:$ES$8,0)+7,4),,))</f>
        <v>112962.53432531148</v>
      </c>
      <c r="G289" s="768">
        <f ca="1">INDIRECT("'kc-Wert für Stützen'!"&amp;SUBSTITUTE(ADDRESS(MATCH($A289,'kc-Wert für Stützen'!$C:$C,0),MATCH(G$7,'kc-Wert für Stützen'!$A$8:$ES$8,0)+7,4),,))</f>
        <v>112648.37127611261</v>
      </c>
      <c r="H289" s="768">
        <f ca="1">INDIRECT("'kc-Wert für Stützen'!"&amp;SUBSTITUTE(ADDRESS(MATCH($A289,'kc-Wert für Stützen'!$C:$C,0),MATCH(H$7,'kc-Wert für Stützen'!$A$8:$ES$8,0)+7,4),,))</f>
        <v>112320.07834657554</v>
      </c>
      <c r="I289" s="768">
        <f ca="1">INDIRECT("'kc-Wert für Stützen'!"&amp;SUBSTITUTE(ADDRESS(MATCH($A289,'kc-Wert für Stützen'!$C:$C,0),MATCH(I$7,'kc-Wert für Stützen'!$A$8:$ES$8,0)+7,4),,))</f>
        <v>111976.36959762852</v>
      </c>
      <c r="J289" s="768">
        <f ca="1">INDIRECT("'kc-Wert für Stützen'!"&amp;SUBSTITUTE(ADDRESS(MATCH($A289,'kc-Wert für Stützen'!$C:$C,0),MATCH(J$7,'kc-Wert für Stützen'!$A$8:$ES$8,0)+7,4),,))</f>
        <v>111615.84178329956</v>
      </c>
      <c r="K289" s="768">
        <f ca="1">INDIRECT("'kc-Wert für Stützen'!"&amp;SUBSTITUTE(ADDRESS(MATCH($A289,'kc-Wert für Stützen'!$C:$C,0),MATCH(K$7,'kc-Wert für Stützen'!$A$8:$ES$8,0)+7,4),,))</f>
        <v>111236.96343596505</v>
      </c>
      <c r="L289" s="768">
        <f ca="1">INDIRECT("'kc-Wert für Stützen'!"&amp;SUBSTITUTE(ADDRESS(MATCH($A289,'kc-Wert für Stützen'!$C:$C,0),MATCH(L$7,'kc-Wert für Stützen'!$A$8:$ES$8,0)+7,4),,))</f>
        <v>110838.0636397115</v>
      </c>
      <c r="M289" s="768">
        <f ca="1">INDIRECT("'kc-Wert für Stützen'!"&amp;SUBSTITUTE(ADDRESS(MATCH($A289,'kc-Wert für Stützen'!$C:$C,0),MATCH(M$7,'kc-Wert für Stützen'!$A$8:$ES$8,0)+7,4),,))</f>
        <v>110417.32079583209</v>
      </c>
      <c r="N289" s="768">
        <f ca="1">INDIRECT("'kc-Wert für Stützen'!"&amp;SUBSTITUTE(ADDRESS(MATCH($A289,'kc-Wert für Stützen'!$C:$C,0),MATCH(N$7,'kc-Wert für Stützen'!$A$8:$ES$8,0)+7,4),,))</f>
        <v>109972.75183062979</v>
      </c>
      <c r="O289" s="768">
        <f ca="1">INDIRECT("'kc-Wert für Stützen'!"&amp;SUBSTITUTE(ADDRESS(MATCH($A289,'kc-Wert für Stützen'!$C:$C,0),MATCH(O$7,'kc-Wert für Stützen'!$A$8:$ES$8,0)+7,4),,))</f>
        <v>109502.202487306</v>
      </c>
      <c r="P289" s="768">
        <f ca="1">INDIRECT("'kc-Wert für Stützen'!"&amp;SUBSTITUTE(ADDRESS(MATCH($A289,'kc-Wert für Stützen'!$C:$C,0),MATCH(P$7,'kc-Wert für Stützen'!$A$8:$ES$8,0)+7,4),,))</f>
        <v>109003.33958898421</v>
      </c>
      <c r="S289" s="772">
        <f t="shared" ca="1" si="124"/>
        <v>113553.08983033783</v>
      </c>
      <c r="T289" s="772">
        <f t="shared" ca="1" si="128"/>
        <v>113553.08983033783</v>
      </c>
      <c r="U289" s="772">
        <f t="shared" ca="1" si="128"/>
        <v>113553.08983033783</v>
      </c>
      <c r="V289" s="772">
        <f t="shared" ca="1" si="128"/>
        <v>113263.7465343012</v>
      </c>
      <c r="W289" s="772">
        <f t="shared" ca="1" si="128"/>
        <v>112962.53432531148</v>
      </c>
      <c r="X289" s="772">
        <f t="shared" ca="1" si="128"/>
        <v>112648.37127611261</v>
      </c>
      <c r="Y289" s="772">
        <f t="shared" ca="1" si="128"/>
        <v>112320.07834657554</v>
      </c>
      <c r="Z289" s="772">
        <f t="shared" ca="1" si="128"/>
        <v>113553.08983033783</v>
      </c>
      <c r="AA289" s="772">
        <f t="shared" ca="1" si="128"/>
        <v>113553.08983033783</v>
      </c>
      <c r="AB289" s="772">
        <f t="shared" ca="1" si="140"/>
        <v>113263.7465343012</v>
      </c>
      <c r="AC289" s="772">
        <f t="shared" ca="1" si="140"/>
        <v>113263.7465343012</v>
      </c>
      <c r="AD289" s="772">
        <f t="shared" ca="1" si="140"/>
        <v>112962.53432531148</v>
      </c>
      <c r="AE289" s="772">
        <f t="shared" ca="1" si="140"/>
        <v>112962.53432531148</v>
      </c>
      <c r="AF289" s="772">
        <f t="shared" ca="1" si="140"/>
        <v>112648.37127611261</v>
      </c>
      <c r="AG289" s="772">
        <f t="shared" ca="1" si="140"/>
        <v>112648.37127611261</v>
      </c>
      <c r="AH289" s="772">
        <f t="shared" ca="1" si="140"/>
        <v>112648.37127611261</v>
      </c>
      <c r="AI289" s="772">
        <f t="shared" ca="1" si="140"/>
        <v>113553.08983033783</v>
      </c>
      <c r="AJ289" s="772">
        <f t="shared" ca="1" si="140"/>
        <v>113553.08983033783</v>
      </c>
      <c r="AK289" s="772">
        <f t="shared" ca="1" si="140"/>
        <v>113263.7465343012</v>
      </c>
      <c r="AL289" s="772">
        <f t="shared" ca="1" si="140"/>
        <v>113263.7465343012</v>
      </c>
      <c r="AM289" s="772">
        <f t="shared" ca="1" si="140"/>
        <v>112962.53432531148</v>
      </c>
      <c r="AN289" s="772">
        <f t="shared" ca="1" si="140"/>
        <v>112962.53432531148</v>
      </c>
      <c r="AO289" s="772">
        <f t="shared" ca="1" si="140"/>
        <v>112648.37127611261</v>
      </c>
      <c r="AP289" s="772">
        <f t="shared" ca="1" si="140"/>
        <v>112648.37127611261</v>
      </c>
      <c r="AQ289" s="772">
        <f t="shared" ca="1" si="140"/>
        <v>112648.37127611261</v>
      </c>
      <c r="AR289" s="772">
        <f t="shared" ca="1" si="138"/>
        <v>113553.08983033783</v>
      </c>
      <c r="AS289" s="772">
        <f t="shared" ca="1" si="138"/>
        <v>113553.08983033783</v>
      </c>
      <c r="AT289" s="772">
        <f t="shared" ca="1" si="138"/>
        <v>113263.7465343012</v>
      </c>
      <c r="AU289" s="772">
        <f t="shared" ca="1" si="138"/>
        <v>113263.7465343012</v>
      </c>
      <c r="AV289" s="772">
        <f t="shared" ca="1" si="138"/>
        <v>112962.53432531148</v>
      </c>
      <c r="AW289" s="772">
        <f t="shared" ca="1" si="138"/>
        <v>112962.53432531148</v>
      </c>
      <c r="AX289" s="772">
        <f t="shared" ca="1" si="138"/>
        <v>112648.37127611261</v>
      </c>
      <c r="AY289" s="772">
        <f t="shared" ca="1" si="138"/>
        <v>112648.37127611261</v>
      </c>
      <c r="AZ289" s="772">
        <f t="shared" ca="1" si="138"/>
        <v>112648.37127611261</v>
      </c>
      <c r="BA289" s="772">
        <f t="shared" ca="1" si="138"/>
        <v>113553.08983033783</v>
      </c>
      <c r="BB289" s="772">
        <f t="shared" ca="1" si="138"/>
        <v>113553.08983033783</v>
      </c>
      <c r="BC289" s="772">
        <f t="shared" ca="1" si="138"/>
        <v>113263.7465343012</v>
      </c>
      <c r="BD289" s="772">
        <f t="shared" ca="1" si="138"/>
        <v>112962.53432531148</v>
      </c>
      <c r="BE289" s="772">
        <f t="shared" ca="1" si="138"/>
        <v>112962.53432531148</v>
      </c>
      <c r="BF289" s="772">
        <f t="shared" ca="1" si="138"/>
        <v>112648.37127611261</v>
      </c>
      <c r="BG289" s="772">
        <f t="shared" ca="1" si="138"/>
        <v>112648.37127611261</v>
      </c>
      <c r="BH289" s="772">
        <f t="shared" ca="1" si="141"/>
        <v>112320.07834657554</v>
      </c>
      <c r="BI289" s="772">
        <f t="shared" ca="1" si="141"/>
        <v>112320.07834657554</v>
      </c>
      <c r="BJ289" s="772">
        <f t="shared" ca="1" si="141"/>
        <v>113263.7465343012</v>
      </c>
      <c r="BK289" s="772">
        <f t="shared" ca="1" si="141"/>
        <v>113263.7465343012</v>
      </c>
      <c r="BL289" s="772">
        <f t="shared" ca="1" si="141"/>
        <v>113263.7465343012</v>
      </c>
      <c r="BM289" s="772">
        <f t="shared" ca="1" si="139"/>
        <v>113263.7465343012</v>
      </c>
      <c r="BN289" s="772">
        <f t="shared" ca="1" si="139"/>
        <v>112648.37127611261</v>
      </c>
      <c r="BO289" s="772">
        <f t="shared" ca="1" si="133"/>
        <v>112648.37127611261</v>
      </c>
      <c r="BP289" s="772">
        <f t="shared" ca="1" si="142"/>
        <v>112320.07834657554</v>
      </c>
      <c r="BQ289" s="772">
        <f t="shared" ca="1" si="142"/>
        <v>112320.07834657554</v>
      </c>
      <c r="BR289" s="772">
        <f t="shared" ca="1" si="142"/>
        <v>111976.36959762852</v>
      </c>
      <c r="BS289" s="772">
        <f t="shared" ca="1" si="142"/>
        <v>113263.7465343012</v>
      </c>
      <c r="BT289" s="772">
        <f t="shared" ca="1" si="142"/>
        <v>113263.7465343012</v>
      </c>
      <c r="BU289" s="772">
        <f t="shared" ca="1" si="142"/>
        <v>113263.7465343012</v>
      </c>
      <c r="BV289" s="772">
        <f t="shared" ca="1" si="142"/>
        <v>112962.53432531148</v>
      </c>
      <c r="BW289" s="772">
        <f t="shared" ca="1" si="125"/>
        <v>112962.53432531148</v>
      </c>
      <c r="BX289" s="772">
        <f t="shared" ca="1" si="137"/>
        <v>112320.07834657554</v>
      </c>
      <c r="BY289" s="772">
        <f t="shared" ca="1" si="137"/>
        <v>112320.07834657554</v>
      </c>
      <c r="BZ289" s="772">
        <f t="shared" ca="1" si="137"/>
        <v>111976.36959762852</v>
      </c>
      <c r="CA289" s="772">
        <f t="shared" ca="1" si="137"/>
        <v>111976.36959762852</v>
      </c>
      <c r="CB289" s="772">
        <f t="shared" ca="1" si="137"/>
        <v>112962.53432531148</v>
      </c>
      <c r="CC289" s="772">
        <f t="shared" ca="1" si="137"/>
        <v>112962.53432531148</v>
      </c>
      <c r="CD289" s="772">
        <f t="shared" ca="1" si="137"/>
        <v>112962.53432531148</v>
      </c>
      <c r="CE289" s="772">
        <f t="shared" ca="1" si="137"/>
        <v>112962.53432531148</v>
      </c>
      <c r="CF289" s="772">
        <f t="shared" ca="1" si="137"/>
        <v>112648.37127611261</v>
      </c>
      <c r="CG289" s="772">
        <f t="shared" ca="1" si="137"/>
        <v>112320.07834657554</v>
      </c>
      <c r="CH289" s="772">
        <f t="shared" ca="1" si="137"/>
        <v>111976.36959762852</v>
      </c>
      <c r="CI289" s="772">
        <f t="shared" ca="1" si="137"/>
        <v>111976.36959762852</v>
      </c>
      <c r="CJ289" s="772">
        <f t="shared" ca="1" si="137"/>
        <v>111615.84178329956</v>
      </c>
    </row>
    <row r="290" spans="1:88" ht="15" customHeight="1">
      <c r="A290" s="770">
        <f>'kc-Wert für Stützen'!C290</f>
        <v>342</v>
      </c>
      <c r="B290" s="768">
        <f ca="1">INDIRECT("'kc-Wert für Stützen'!"&amp;SUBSTITUTE(ADDRESS(MATCH($A290,'kc-Wert für Stützen'!$C:$C,0),MATCH(B$7,'kc-Wert für Stützen'!$A$8:$ES$8,0)+7,4),,))</f>
        <v>114791.95061313498</v>
      </c>
      <c r="C290" s="768">
        <f ca="1">INDIRECT("'kc-Wert für Stützen'!"&amp;SUBSTITUTE(ADDRESS(MATCH($A290,'kc-Wert für Stützen'!$C:$C,0),MATCH(C$7,'kc-Wert für Stützen'!$A$8:$ES$8,0)+7,4),,))</f>
        <v>114523.44918078957</v>
      </c>
      <c r="D290" s="768">
        <f ca="1">INDIRECT("'kc-Wert für Stützen'!"&amp;SUBSTITUTE(ADDRESS(MATCH($A290,'kc-Wert für Stützen'!$C:$C,0),MATCH(D$7,'kc-Wert für Stützen'!$A$8:$ES$8,0)+7,4),,))</f>
        <v>114245.06123417187</v>
      </c>
      <c r="E290" s="768">
        <f ca="1">INDIRECT("'kc-Wert für Stützen'!"&amp;SUBSTITUTE(ADDRESS(MATCH($A290,'kc-Wert für Stützen'!$C:$C,0),MATCH(E$7,'kc-Wert für Stützen'!$A$8:$ES$8,0)+7,4),,))</f>
        <v>113955.88160549891</v>
      </c>
      <c r="F290" s="768">
        <f ca="1">INDIRECT("'kc-Wert für Stützen'!"&amp;SUBSTITUTE(ADDRESS(MATCH($A290,'kc-Wert für Stützen'!$C:$C,0),MATCH(F$7,'kc-Wert für Stützen'!$A$8:$ES$8,0)+7,4),,))</f>
        <v>113654.92669458398</v>
      </c>
      <c r="G290" s="768">
        <f ca="1">INDIRECT("'kc-Wert für Stützen'!"&amp;SUBSTITUTE(ADDRESS(MATCH($A290,'kc-Wert für Stützen'!$C:$C,0),MATCH(G$7,'kc-Wert für Stützen'!$A$8:$ES$8,0)+7,4),,))</f>
        <v>113341.12619552427</v>
      </c>
      <c r="H290" s="768">
        <f ca="1">INDIRECT("'kc-Wert für Stützen'!"&amp;SUBSTITUTE(ADDRESS(MATCH($A290,'kc-Wert für Stützen'!$C:$C,0),MATCH(H$7,'kc-Wert für Stützen'!$A$8:$ES$8,0)+7,4),,))</f>
        <v>113013.31413354485</v>
      </c>
      <c r="I290" s="768">
        <f ca="1">INDIRECT("'kc-Wert für Stützen'!"&amp;SUBSTITUTE(ADDRESS(MATCH($A290,'kc-Wert für Stützen'!$C:$C,0),MATCH(I$7,'kc-Wert für Stützen'!$A$8:$ES$8,0)+7,4),,))</f>
        <v>112670.21922676098</v>
      </c>
      <c r="J290" s="768">
        <f ca="1">INDIRECT("'kc-Wert für Stützen'!"&amp;SUBSTITUTE(ADDRESS(MATCH($A290,'kc-Wert für Stützen'!$C:$C,0),MATCH(J$7,'kc-Wert für Stützen'!$A$8:$ES$8,0)+7,4),,))</f>
        <v>112310.45462553597</v>
      </c>
      <c r="K290" s="768">
        <f ca="1">INDIRECT("'kc-Wert für Stützen'!"&amp;SUBSTITUTE(ADDRESS(MATCH($A290,'kc-Wert für Stützen'!$C:$C,0),MATCH(K$7,'kc-Wert für Stützen'!$A$8:$ES$8,0)+7,4),,))</f>
        <v>111932.50713641064</v>
      </c>
      <c r="L290" s="768">
        <f ca="1">INDIRECT("'kc-Wert für Stützen'!"&amp;SUBSTITUTE(ADDRESS(MATCH($A290,'kc-Wert für Stützen'!$C:$C,0),MATCH(L$7,'kc-Wert für Stützen'!$A$8:$ES$8,0)+7,4),,))</f>
        <v>111534.72611350454</v>
      </c>
      <c r="M290" s="768">
        <f ca="1">INDIRECT("'kc-Wert für Stützen'!"&amp;SUBSTITUTE(ADDRESS(MATCH($A290,'kc-Wert für Stützen'!$C:$C,0),MATCH(M$7,'kc-Wert für Stützen'!$A$8:$ES$8,0)+7,4),,))</f>
        <v>111115.31230421076</v>
      </c>
      <c r="N290" s="768">
        <f ca="1">INDIRECT("'kc-Wert für Stützen'!"&amp;SUBSTITUTE(ADDRESS(MATCH($A290,'kc-Wert für Stützen'!$C:$C,0),MATCH(N$7,'kc-Wert für Stützen'!$A$8:$ES$8,0)+7,4),,))</f>
        <v>110672.30707537978</v>
      </c>
      <c r="O290" s="768">
        <f ca="1">INDIRECT("'kc-Wert für Stützen'!"&amp;SUBSTITUTE(ADDRESS(MATCH($A290,'kc-Wert für Stützen'!$C:$C,0),MATCH(O$7,'kc-Wert für Stützen'!$A$8:$ES$8,0)+7,4),,))</f>
        <v>110203.58262920592</v>
      </c>
      <c r="P290" s="768">
        <f ca="1">INDIRECT("'kc-Wert für Stützen'!"&amp;SUBSTITUTE(ADDRESS(MATCH($A290,'kc-Wert für Stützen'!$C:$C,0),MATCH(P$7,'kc-Wert für Stützen'!$A$8:$ES$8,0)+7,4),,))</f>
        <v>109706.83405280013</v>
      </c>
      <c r="S290" s="772">
        <f t="shared" ca="1" si="124"/>
        <v>114245.06123417187</v>
      </c>
      <c r="T290" s="772">
        <f t="shared" ca="1" si="128"/>
        <v>114245.06123417187</v>
      </c>
      <c r="U290" s="772">
        <f t="shared" ca="1" si="128"/>
        <v>114245.06123417187</v>
      </c>
      <c r="V290" s="772">
        <f t="shared" ca="1" si="128"/>
        <v>113955.88160549891</v>
      </c>
      <c r="W290" s="772">
        <f t="shared" ca="1" si="128"/>
        <v>113654.92669458398</v>
      </c>
      <c r="X290" s="772">
        <f t="shared" ca="1" si="128"/>
        <v>113341.12619552427</v>
      </c>
      <c r="Y290" s="772">
        <f t="shared" ca="1" si="128"/>
        <v>113013.31413354485</v>
      </c>
      <c r="Z290" s="772">
        <f t="shared" ca="1" si="128"/>
        <v>114245.06123417187</v>
      </c>
      <c r="AA290" s="772">
        <f t="shared" ca="1" si="128"/>
        <v>114245.06123417187</v>
      </c>
      <c r="AB290" s="772">
        <f t="shared" ca="1" si="140"/>
        <v>113955.88160549891</v>
      </c>
      <c r="AC290" s="772">
        <f t="shared" ca="1" si="140"/>
        <v>113955.88160549891</v>
      </c>
      <c r="AD290" s="772">
        <f t="shared" ca="1" si="140"/>
        <v>113654.92669458398</v>
      </c>
      <c r="AE290" s="772">
        <f t="shared" ca="1" si="140"/>
        <v>113654.92669458398</v>
      </c>
      <c r="AF290" s="772">
        <f t="shared" ca="1" si="140"/>
        <v>113341.12619552427</v>
      </c>
      <c r="AG290" s="772">
        <f t="shared" ca="1" si="140"/>
        <v>113341.12619552427</v>
      </c>
      <c r="AH290" s="772">
        <f t="shared" ca="1" si="140"/>
        <v>113341.12619552427</v>
      </c>
      <c r="AI290" s="772">
        <f t="shared" ca="1" si="140"/>
        <v>114245.06123417187</v>
      </c>
      <c r="AJ290" s="772">
        <f t="shared" ca="1" si="140"/>
        <v>114245.06123417187</v>
      </c>
      <c r="AK290" s="772">
        <f t="shared" ca="1" si="140"/>
        <v>113955.88160549891</v>
      </c>
      <c r="AL290" s="772">
        <f t="shared" ca="1" si="140"/>
        <v>113955.88160549891</v>
      </c>
      <c r="AM290" s="772">
        <f t="shared" ca="1" si="140"/>
        <v>113654.92669458398</v>
      </c>
      <c r="AN290" s="772">
        <f t="shared" ca="1" si="140"/>
        <v>113654.92669458398</v>
      </c>
      <c r="AO290" s="772">
        <f t="shared" ca="1" si="140"/>
        <v>113341.12619552427</v>
      </c>
      <c r="AP290" s="772">
        <f t="shared" ca="1" si="140"/>
        <v>113341.12619552427</v>
      </c>
      <c r="AQ290" s="772">
        <f t="shared" ca="1" si="140"/>
        <v>113341.12619552427</v>
      </c>
      <c r="AR290" s="772">
        <f t="shared" ca="1" si="138"/>
        <v>114245.06123417187</v>
      </c>
      <c r="AS290" s="772">
        <f t="shared" ca="1" si="138"/>
        <v>114245.06123417187</v>
      </c>
      <c r="AT290" s="772">
        <f t="shared" ca="1" si="138"/>
        <v>113955.88160549891</v>
      </c>
      <c r="AU290" s="772">
        <f t="shared" ca="1" si="138"/>
        <v>113955.88160549891</v>
      </c>
      <c r="AV290" s="772">
        <f t="shared" ca="1" si="138"/>
        <v>113654.92669458398</v>
      </c>
      <c r="AW290" s="772">
        <f t="shared" ca="1" si="138"/>
        <v>113654.92669458398</v>
      </c>
      <c r="AX290" s="772">
        <f t="shared" ca="1" si="138"/>
        <v>113341.12619552427</v>
      </c>
      <c r="AY290" s="772">
        <f t="shared" ca="1" si="138"/>
        <v>113341.12619552427</v>
      </c>
      <c r="AZ290" s="772">
        <f t="shared" ca="1" si="138"/>
        <v>113341.12619552427</v>
      </c>
      <c r="BA290" s="772">
        <f t="shared" ca="1" si="138"/>
        <v>114245.06123417187</v>
      </c>
      <c r="BB290" s="772">
        <f t="shared" ca="1" si="138"/>
        <v>114245.06123417187</v>
      </c>
      <c r="BC290" s="772">
        <f t="shared" ca="1" si="138"/>
        <v>113955.88160549891</v>
      </c>
      <c r="BD290" s="772">
        <f t="shared" ca="1" si="138"/>
        <v>113654.92669458398</v>
      </c>
      <c r="BE290" s="772">
        <f t="shared" ca="1" si="138"/>
        <v>113654.92669458398</v>
      </c>
      <c r="BF290" s="772">
        <f t="shared" ca="1" si="138"/>
        <v>113341.12619552427</v>
      </c>
      <c r="BG290" s="772">
        <f t="shared" ca="1" si="138"/>
        <v>113341.12619552427</v>
      </c>
      <c r="BH290" s="772">
        <f t="shared" ca="1" si="141"/>
        <v>113013.31413354485</v>
      </c>
      <c r="BI290" s="772">
        <f t="shared" ca="1" si="141"/>
        <v>113013.31413354485</v>
      </c>
      <c r="BJ290" s="772">
        <f t="shared" ca="1" si="141"/>
        <v>113955.88160549891</v>
      </c>
      <c r="BK290" s="772">
        <f t="shared" ca="1" si="141"/>
        <v>113955.88160549891</v>
      </c>
      <c r="BL290" s="772">
        <f t="shared" ca="1" si="141"/>
        <v>113955.88160549891</v>
      </c>
      <c r="BM290" s="772">
        <f t="shared" ca="1" si="139"/>
        <v>113955.88160549891</v>
      </c>
      <c r="BN290" s="772">
        <f t="shared" ca="1" si="139"/>
        <v>113341.12619552427</v>
      </c>
      <c r="BO290" s="772">
        <f t="shared" ca="1" si="133"/>
        <v>113341.12619552427</v>
      </c>
      <c r="BP290" s="772">
        <f t="shared" ca="1" si="142"/>
        <v>113013.31413354485</v>
      </c>
      <c r="BQ290" s="772">
        <f t="shared" ca="1" si="142"/>
        <v>113013.31413354485</v>
      </c>
      <c r="BR290" s="772">
        <f t="shared" ca="1" si="142"/>
        <v>112670.21922676098</v>
      </c>
      <c r="BS290" s="772">
        <f t="shared" ca="1" si="142"/>
        <v>113955.88160549891</v>
      </c>
      <c r="BT290" s="772">
        <f t="shared" ca="1" si="142"/>
        <v>113955.88160549891</v>
      </c>
      <c r="BU290" s="772">
        <f t="shared" ca="1" si="142"/>
        <v>113955.88160549891</v>
      </c>
      <c r="BV290" s="772">
        <f t="shared" ca="1" si="142"/>
        <v>113654.92669458398</v>
      </c>
      <c r="BW290" s="772">
        <f t="shared" ca="1" si="125"/>
        <v>113654.92669458398</v>
      </c>
      <c r="BX290" s="772">
        <f t="shared" ca="1" si="137"/>
        <v>113013.31413354485</v>
      </c>
      <c r="BY290" s="772">
        <f t="shared" ca="1" si="137"/>
        <v>113013.31413354485</v>
      </c>
      <c r="BZ290" s="772">
        <f t="shared" ca="1" si="137"/>
        <v>112670.21922676098</v>
      </c>
      <c r="CA290" s="772">
        <f t="shared" ca="1" si="137"/>
        <v>112670.21922676098</v>
      </c>
      <c r="CB290" s="772">
        <f t="shared" ca="1" si="137"/>
        <v>113654.92669458398</v>
      </c>
      <c r="CC290" s="772">
        <f t="shared" ca="1" si="137"/>
        <v>113654.92669458398</v>
      </c>
      <c r="CD290" s="772">
        <f t="shared" ca="1" si="137"/>
        <v>113654.92669458398</v>
      </c>
      <c r="CE290" s="772">
        <f t="shared" ca="1" si="137"/>
        <v>113654.92669458398</v>
      </c>
      <c r="CF290" s="772">
        <f t="shared" ca="1" si="137"/>
        <v>113341.12619552427</v>
      </c>
      <c r="CG290" s="772">
        <f t="shared" ca="1" si="137"/>
        <v>113013.31413354485</v>
      </c>
      <c r="CH290" s="772">
        <f t="shared" ca="1" si="137"/>
        <v>112670.21922676098</v>
      </c>
      <c r="CI290" s="772">
        <f t="shared" ca="1" si="137"/>
        <v>112670.21922676098</v>
      </c>
      <c r="CJ290" s="772">
        <f t="shared" ca="1" si="137"/>
        <v>112310.45462553597</v>
      </c>
    </row>
    <row r="291" spans="1:88" ht="15" customHeight="1">
      <c r="A291" s="770">
        <f>'kc-Wert für Stützen'!C291</f>
        <v>343</v>
      </c>
      <c r="B291" s="768">
        <f ca="1">INDIRECT("'kc-Wert für Stützen'!"&amp;SUBSTITUTE(ADDRESS(MATCH($A291,'kc-Wert für Stützen'!$C:$C,0),MATCH(B$7,'kc-Wert für Stützen'!$A$8:$ES$8,0)+7,4),,))</f>
        <v>115485.86399902104</v>
      </c>
      <c r="C291" s="768">
        <f ca="1">INDIRECT("'kc-Wert für Stützen'!"&amp;SUBSTITUTE(ADDRESS(MATCH($A291,'kc-Wert für Stützen'!$C:$C,0),MATCH(C$7,'kc-Wert für Stützen'!$A$8:$ES$8,0)+7,4),,))</f>
        <v>115217.36297471148</v>
      </c>
      <c r="D291" s="768">
        <f ca="1">INDIRECT("'kc-Wert für Stützen'!"&amp;SUBSTITUTE(ADDRESS(MATCH($A291,'kc-Wert für Stützen'!$C:$C,0),MATCH(D$7,'kc-Wert für Stützen'!$A$8:$ES$8,0)+7,4),,))</f>
        <v>114939.04865118774</v>
      </c>
      <c r="E291" s="768">
        <f ca="1">INDIRECT("'kc-Wert für Stützen'!"&amp;SUBSTITUTE(ADDRESS(MATCH($A291,'kc-Wert für Stützen'!$C:$C,0),MATCH(E$7,'kc-Wert für Stützen'!$A$8:$ES$8,0)+7,4),,))</f>
        <v>114650.02486798585</v>
      </c>
      <c r="F291" s="768">
        <f ca="1">INDIRECT("'kc-Wert für Stützen'!"&amp;SUBSTITUTE(ADDRESS(MATCH($A291,'kc-Wert für Stützen'!$C:$C,0),MATCH(F$7,'kc-Wert für Stützen'!$A$8:$ES$8,0)+7,4),,))</f>
        <v>114349.31817655498</v>
      </c>
      <c r="G291" s="768">
        <f ca="1">INDIRECT("'kc-Wert für Stützen'!"&amp;SUBSTITUTE(ADDRESS(MATCH($A291,'kc-Wert für Stützen'!$C:$C,0),MATCH(G$7,'kc-Wert für Stützen'!$A$8:$ES$8,0)+7,4),,))</f>
        <v>114035.86969969228</v>
      </c>
      <c r="H291" s="768">
        <f ca="1">INDIRECT("'kc-Wert für Stützen'!"&amp;SUBSTITUTE(ADDRESS(MATCH($A291,'kc-Wert für Stützen'!$C:$C,0),MATCH(H$7,'kc-Wert für Stützen'!$A$8:$ES$8,0)+7,4),,))</f>
        <v>113708.52630919359</v>
      </c>
      <c r="I291" s="768">
        <f ca="1">INDIRECT("'kc-Wert für Stützen'!"&amp;SUBSTITUTE(ADDRESS(MATCH($A291,'kc-Wert für Stützen'!$C:$C,0),MATCH(I$7,'kc-Wert für Stützen'!$A$8:$ES$8,0)+7,4),,))</f>
        <v>113366.03113347672</v>
      </c>
      <c r="J291" s="768">
        <f ca="1">INDIRECT("'kc-Wert für Stützen'!"&amp;SUBSTITUTE(ADDRESS(MATCH($A291,'kc-Wert für Stützen'!$C:$C,0),MATCH(J$7,'kc-Wert für Stützen'!$A$8:$ES$8,0)+7,4),,))</f>
        <v>113007.01344290223</v>
      </c>
      <c r="K291" s="768">
        <f ca="1">INDIRECT("'kc-Wert für Stützen'!"&amp;SUBSTITUTE(ADDRESS(MATCH($A291,'kc-Wert für Stützen'!$C:$C,0),MATCH(K$7,'kc-Wert für Stützen'!$A$8:$ES$8,0)+7,4),,))</f>
        <v>112629.97801210836</v>
      </c>
      <c r="L291" s="768">
        <f ca="1">INDIRECT("'kc-Wert für Stützen'!"&amp;SUBSTITUTE(ADDRESS(MATCH($A291,'kc-Wert für Stützen'!$C:$C,0),MATCH(L$7,'kc-Wert für Stützen'!$A$8:$ES$8,0)+7,4),,))</f>
        <v>112233.29413090431</v>
      </c>
      <c r="M291" s="768">
        <f ca="1">INDIRECT("'kc-Wert für Stützen'!"&amp;SUBSTITUTE(ADDRESS(MATCH($A291,'kc-Wert für Stützen'!$C:$C,0),MATCH(M$7,'kc-Wert für Stützen'!$A$8:$ES$8,0)+7,4),,))</f>
        <v>111815.18453424081</v>
      </c>
      <c r="N291" s="768">
        <f ca="1">INDIRECT("'kc-Wert für Stützen'!"&amp;SUBSTITUTE(ADDRESS(MATCH($A291,'kc-Wert für Stützen'!$C:$C,0),MATCH(N$7,'kc-Wert für Stützen'!$A$8:$ES$8,0)+7,4),,))</f>
        <v>111373.71465468776</v>
      </c>
      <c r="O291" s="768">
        <f ca="1">INDIRECT("'kc-Wert für Stützen'!"&amp;SUBSTITUTE(ADDRESS(MATCH($A291,'kc-Wert für Stützen'!$C:$C,0),MATCH(O$7,'kc-Wert für Stützen'!$A$8:$ES$8,0)+7,4),,))</f>
        <v>110906.78277565408</v>
      </c>
      <c r="P291" s="768">
        <f ca="1">INDIRECT("'kc-Wert für Stützen'!"&amp;SUBSTITUTE(ADDRESS(MATCH($A291,'kc-Wert für Stützen'!$C:$C,0),MATCH(P$7,'kc-Wert für Stützen'!$A$8:$ES$8,0)+7,4),,))</f>
        <v>110412.11188826925</v>
      </c>
      <c r="S291" s="772">
        <f t="shared" ca="1" si="124"/>
        <v>114939.04865118774</v>
      </c>
      <c r="T291" s="772">
        <f t="shared" ca="1" si="128"/>
        <v>114939.04865118774</v>
      </c>
      <c r="U291" s="772">
        <f t="shared" ca="1" si="128"/>
        <v>114939.04865118774</v>
      </c>
      <c r="V291" s="772">
        <f t="shared" ca="1" si="128"/>
        <v>114650.02486798585</v>
      </c>
      <c r="W291" s="772">
        <f t="shared" ca="1" si="128"/>
        <v>114349.31817655498</v>
      </c>
      <c r="X291" s="772">
        <f t="shared" ca="1" si="128"/>
        <v>114035.86969969228</v>
      </c>
      <c r="Y291" s="772">
        <f t="shared" ca="1" si="128"/>
        <v>113708.52630919359</v>
      </c>
      <c r="Z291" s="772">
        <f t="shared" ca="1" si="128"/>
        <v>114939.04865118774</v>
      </c>
      <c r="AA291" s="772">
        <f t="shared" ca="1" si="128"/>
        <v>114939.04865118774</v>
      </c>
      <c r="AB291" s="772">
        <f t="shared" ca="1" si="140"/>
        <v>114650.02486798585</v>
      </c>
      <c r="AC291" s="772">
        <f t="shared" ca="1" si="140"/>
        <v>114650.02486798585</v>
      </c>
      <c r="AD291" s="772">
        <f t="shared" ca="1" si="140"/>
        <v>114349.31817655498</v>
      </c>
      <c r="AE291" s="772">
        <f t="shared" ca="1" si="140"/>
        <v>114349.31817655498</v>
      </c>
      <c r="AF291" s="772">
        <f t="shared" ca="1" si="140"/>
        <v>114035.86969969228</v>
      </c>
      <c r="AG291" s="772">
        <f t="shared" ca="1" si="140"/>
        <v>114035.86969969228</v>
      </c>
      <c r="AH291" s="772">
        <f t="shared" ca="1" si="140"/>
        <v>114035.86969969228</v>
      </c>
      <c r="AI291" s="772">
        <f t="shared" ca="1" si="140"/>
        <v>114939.04865118774</v>
      </c>
      <c r="AJ291" s="772">
        <f t="shared" ca="1" si="140"/>
        <v>114939.04865118774</v>
      </c>
      <c r="AK291" s="772">
        <f t="shared" ca="1" si="140"/>
        <v>114650.02486798585</v>
      </c>
      <c r="AL291" s="772">
        <f t="shared" ca="1" si="140"/>
        <v>114650.02486798585</v>
      </c>
      <c r="AM291" s="772">
        <f t="shared" ca="1" si="140"/>
        <v>114349.31817655498</v>
      </c>
      <c r="AN291" s="772">
        <f t="shared" ca="1" si="140"/>
        <v>114349.31817655498</v>
      </c>
      <c r="AO291" s="772">
        <f t="shared" ca="1" si="140"/>
        <v>114035.86969969228</v>
      </c>
      <c r="AP291" s="772">
        <f t="shared" ca="1" si="140"/>
        <v>114035.86969969228</v>
      </c>
      <c r="AQ291" s="772">
        <f t="shared" ca="1" si="140"/>
        <v>114035.86969969228</v>
      </c>
      <c r="AR291" s="772">
        <f t="shared" ca="1" si="138"/>
        <v>114939.04865118774</v>
      </c>
      <c r="AS291" s="772">
        <f t="shared" ca="1" si="138"/>
        <v>114939.04865118774</v>
      </c>
      <c r="AT291" s="772">
        <f t="shared" ca="1" si="138"/>
        <v>114650.02486798585</v>
      </c>
      <c r="AU291" s="772">
        <f t="shared" ca="1" si="138"/>
        <v>114650.02486798585</v>
      </c>
      <c r="AV291" s="772">
        <f t="shared" ca="1" si="138"/>
        <v>114349.31817655498</v>
      </c>
      <c r="AW291" s="772">
        <f t="shared" ca="1" si="138"/>
        <v>114349.31817655498</v>
      </c>
      <c r="AX291" s="772">
        <f t="shared" ca="1" si="138"/>
        <v>114035.86969969228</v>
      </c>
      <c r="AY291" s="772">
        <f t="shared" ca="1" si="138"/>
        <v>114035.86969969228</v>
      </c>
      <c r="AZ291" s="772">
        <f t="shared" ca="1" si="138"/>
        <v>114035.86969969228</v>
      </c>
      <c r="BA291" s="772">
        <f t="shared" ca="1" si="138"/>
        <v>114939.04865118774</v>
      </c>
      <c r="BB291" s="772">
        <f t="shared" ca="1" si="138"/>
        <v>114939.04865118774</v>
      </c>
      <c r="BC291" s="772">
        <f t="shared" ca="1" si="138"/>
        <v>114650.02486798585</v>
      </c>
      <c r="BD291" s="772">
        <f t="shared" ca="1" si="138"/>
        <v>114349.31817655498</v>
      </c>
      <c r="BE291" s="772">
        <f t="shared" ca="1" si="138"/>
        <v>114349.31817655498</v>
      </c>
      <c r="BF291" s="772">
        <f t="shared" ca="1" si="138"/>
        <v>114035.86969969228</v>
      </c>
      <c r="BG291" s="772">
        <f t="shared" ca="1" si="138"/>
        <v>114035.86969969228</v>
      </c>
      <c r="BH291" s="772">
        <f t="shared" ca="1" si="141"/>
        <v>113708.52630919359</v>
      </c>
      <c r="BI291" s="772">
        <f t="shared" ca="1" si="141"/>
        <v>113708.52630919359</v>
      </c>
      <c r="BJ291" s="772">
        <f t="shared" ca="1" si="141"/>
        <v>114650.02486798585</v>
      </c>
      <c r="BK291" s="772">
        <f t="shared" ca="1" si="141"/>
        <v>114650.02486798585</v>
      </c>
      <c r="BL291" s="772">
        <f t="shared" ca="1" si="141"/>
        <v>114650.02486798585</v>
      </c>
      <c r="BM291" s="772">
        <f t="shared" ca="1" si="139"/>
        <v>114650.02486798585</v>
      </c>
      <c r="BN291" s="772">
        <f t="shared" ca="1" si="139"/>
        <v>114035.86969969228</v>
      </c>
      <c r="BO291" s="772">
        <f t="shared" ca="1" si="133"/>
        <v>114035.86969969228</v>
      </c>
      <c r="BP291" s="772">
        <f t="shared" ca="1" si="142"/>
        <v>113708.52630919359</v>
      </c>
      <c r="BQ291" s="772">
        <f t="shared" ca="1" si="142"/>
        <v>113708.52630919359</v>
      </c>
      <c r="BR291" s="772">
        <f t="shared" ca="1" si="142"/>
        <v>113366.03113347672</v>
      </c>
      <c r="BS291" s="772">
        <f t="shared" ca="1" si="142"/>
        <v>114650.02486798585</v>
      </c>
      <c r="BT291" s="772">
        <f t="shared" ca="1" si="142"/>
        <v>114650.02486798585</v>
      </c>
      <c r="BU291" s="772">
        <f t="shared" ca="1" si="142"/>
        <v>114650.02486798585</v>
      </c>
      <c r="BV291" s="772">
        <f t="shared" ca="1" si="142"/>
        <v>114349.31817655498</v>
      </c>
      <c r="BW291" s="772">
        <f t="shared" ca="1" si="125"/>
        <v>114349.31817655498</v>
      </c>
      <c r="BX291" s="772">
        <f t="shared" ca="1" si="137"/>
        <v>113708.52630919359</v>
      </c>
      <c r="BY291" s="772">
        <f t="shared" ca="1" si="137"/>
        <v>113708.52630919359</v>
      </c>
      <c r="BZ291" s="772">
        <f t="shared" ca="1" si="137"/>
        <v>113366.03113347672</v>
      </c>
      <c r="CA291" s="772">
        <f t="shared" ca="1" si="137"/>
        <v>113366.03113347672</v>
      </c>
      <c r="CB291" s="772">
        <f t="shared" ca="1" si="137"/>
        <v>114349.31817655498</v>
      </c>
      <c r="CC291" s="772">
        <f t="shared" ca="1" si="137"/>
        <v>114349.31817655498</v>
      </c>
      <c r="CD291" s="772">
        <f t="shared" ca="1" si="137"/>
        <v>114349.31817655498</v>
      </c>
      <c r="CE291" s="772">
        <f t="shared" ca="1" si="137"/>
        <v>114349.31817655498</v>
      </c>
      <c r="CF291" s="772">
        <f t="shared" ca="1" si="137"/>
        <v>114035.86969969228</v>
      </c>
      <c r="CG291" s="772">
        <f t="shared" ca="1" si="137"/>
        <v>113708.52630919359</v>
      </c>
      <c r="CH291" s="772">
        <f t="shared" ca="1" si="137"/>
        <v>113366.03113347672</v>
      </c>
      <c r="CI291" s="772">
        <f t="shared" ca="1" si="137"/>
        <v>113366.03113347672</v>
      </c>
      <c r="CJ291" s="772">
        <f t="shared" ca="1" si="137"/>
        <v>113007.01344290223</v>
      </c>
    </row>
    <row r="292" spans="1:88" ht="15" customHeight="1">
      <c r="A292" s="770">
        <f>'kc-Wert für Stützen'!C292</f>
        <v>344</v>
      </c>
      <c r="B292" s="768">
        <f ca="1">INDIRECT("'kc-Wert für Stützen'!"&amp;SUBSTITUTE(ADDRESS(MATCH($A292,'kc-Wert für Stützen'!$C:$C,0),MATCH(B$7,'kc-Wert für Stützen'!$A$8:$ES$8,0)+7,4),,))</f>
        <v>116181.80636096468</v>
      </c>
      <c r="C292" s="768">
        <f ca="1">INDIRECT("'kc-Wert für Stützen'!"&amp;SUBSTITUTE(ADDRESS(MATCH($A292,'kc-Wert für Stützen'!$C:$C,0),MATCH(C$7,'kc-Wert für Stützen'!$A$8:$ES$8,0)+7,4),,))</f>
        <v>115913.3000401227</v>
      </c>
      <c r="D292" s="768">
        <f ca="1">INDIRECT("'kc-Wert für Stützen'!"&amp;SUBSTITUTE(ADDRESS(MATCH($A292,'kc-Wert für Stützen'!$C:$C,0),MATCH(D$7,'kc-Wert für Stützen'!$A$8:$ES$8,0)+7,4),,))</f>
        <v>115635.05271151205</v>
      </c>
      <c r="E292" s="768">
        <f ca="1">INDIRECT("'kc-Wert für Stützen'!"&amp;SUBSTITUTE(ADDRESS(MATCH($A292,'kc-Wert für Stützen'!$C:$C,0),MATCH(E$7,'kc-Wert für Stützen'!$A$8:$ES$8,0)+7,4),,))</f>
        <v>115346.17707767594</v>
      </c>
      <c r="F292" s="768">
        <f ca="1">INDIRECT("'kc-Wert für Stützen'!"&amp;SUBSTITUTE(ADDRESS(MATCH($A292,'kc-Wert für Stützen'!$C:$C,0),MATCH(F$7,'kc-Wert für Stützen'!$A$8:$ES$8,0)+7,4),,))</f>
        <v>115045.70967636141</v>
      </c>
      <c r="G292" s="768">
        <f ca="1">INDIRECT("'kc-Wert für Stützen'!"&amp;SUBSTITUTE(ADDRESS(MATCH($A292,'kc-Wert für Stützen'!$C:$C,0),MATCH(G$7,'kc-Wert für Stützen'!$A$8:$ES$8,0)+7,4),,))</f>
        <v>114732.60287036191</v>
      </c>
      <c r="H292" s="768">
        <f ca="1">INDIRECT("'kc-Wert für Stützen'!"&amp;SUBSTITUTE(ADDRESS(MATCH($A292,'kc-Wert für Stützen'!$C:$C,0),MATCH(H$7,'kc-Wert für Stützen'!$A$8:$ES$8,0)+7,4),,))</f>
        <v>114405.71616371548</v>
      </c>
      <c r="I292" s="768">
        <f ca="1">INDIRECT("'kc-Wert für Stützen'!"&amp;SUBSTITUTE(ADDRESS(MATCH($A292,'kc-Wert für Stützen'!$C:$C,0),MATCH(I$7,'kc-Wert für Stützen'!$A$8:$ES$8,0)+7,4),,))</f>
        <v>114063.80685320475</v>
      </c>
      <c r="J292" s="768">
        <f ca="1">INDIRECT("'kc-Wert für Stützen'!"&amp;SUBSTITUTE(ADDRESS(MATCH($A292,'kc-Wert für Stützen'!$C:$C,0),MATCH(J$7,'kc-Wert für Stützen'!$A$8:$ES$8,0)+7,4),,))</f>
        <v>113705.52005823044</v>
      </c>
      <c r="K292" s="768">
        <f ca="1">INDIRECT("'kc-Wert für Stützen'!"&amp;SUBSTITUTE(ADDRESS(MATCH($A292,'kc-Wert für Stützen'!$C:$C,0),MATCH(K$7,'kc-Wert für Stützen'!$A$8:$ES$8,0)+7,4),,))</f>
        <v>113329.37822114876</v>
      </c>
      <c r="L292" s="768">
        <f ca="1">INDIRECT("'kc-Wert für Stützen'!"&amp;SUBSTITUTE(ADDRESS(MATCH($A292,'kc-Wert für Stützen'!$C:$C,0),MATCH(L$7,'kc-Wert für Stützen'!$A$8:$ES$8,0)+7,4),,))</f>
        <v>112933.77023887349</v>
      </c>
      <c r="M292" s="768">
        <f ca="1">INDIRECT("'kc-Wert für Stützen'!"&amp;SUBSTITUTE(ADDRESS(MATCH($A292,'kc-Wert für Stützen'!$C:$C,0),MATCH(M$7,'kc-Wert für Stützen'!$A$8:$ES$8,0)+7,4),,))</f>
        <v>112516.94048081287</v>
      </c>
      <c r="N292" s="768">
        <f ca="1">INDIRECT("'kc-Wert für Stützen'!"&amp;SUBSTITUTE(ADDRESS(MATCH($A292,'kc-Wert für Stützen'!$C:$C,0),MATCH(N$7,'kc-Wert für Stützen'!$A$8:$ES$8,0)+7,4),,))</f>
        <v>112076.97807495657</v>
      </c>
      <c r="O292" s="768">
        <f ca="1">INDIRECT("'kc-Wert für Stützen'!"&amp;SUBSTITUTE(ADDRESS(MATCH($A292,'kc-Wert für Stützen'!$C:$C,0),MATCH(O$7,'kc-Wert für Stützen'!$A$8:$ES$8,0)+7,4),,))</f>
        <v>111611.80701087782</v>
      </c>
      <c r="P292" s="768">
        <f ca="1">INDIRECT("'kc-Wert für Stützen'!"&amp;SUBSTITUTE(ADDRESS(MATCH($A292,'kc-Wert für Stützen'!$C:$C,0),MATCH(P$7,'kc-Wert für Stützen'!$A$8:$ES$8,0)+7,4),,))</f>
        <v>111119.17782342297</v>
      </c>
      <c r="S292" s="772">
        <f t="shared" ca="1" si="124"/>
        <v>115635.05271151205</v>
      </c>
      <c r="T292" s="772">
        <f t="shared" ca="1" si="128"/>
        <v>115635.05271151205</v>
      </c>
      <c r="U292" s="772">
        <f t="shared" ca="1" si="128"/>
        <v>115635.05271151205</v>
      </c>
      <c r="V292" s="772">
        <f t="shared" ca="1" si="128"/>
        <v>115346.17707767594</v>
      </c>
      <c r="W292" s="772">
        <f t="shared" ca="1" si="128"/>
        <v>115045.70967636141</v>
      </c>
      <c r="X292" s="772">
        <f t="shared" ca="1" si="128"/>
        <v>114732.60287036191</v>
      </c>
      <c r="Y292" s="772">
        <f t="shared" ca="1" si="128"/>
        <v>114405.71616371548</v>
      </c>
      <c r="Z292" s="772">
        <f t="shared" ca="1" si="128"/>
        <v>115635.05271151205</v>
      </c>
      <c r="AA292" s="772">
        <f t="shared" ca="1" si="128"/>
        <v>115635.05271151205</v>
      </c>
      <c r="AB292" s="772">
        <f t="shared" ca="1" si="140"/>
        <v>115346.17707767594</v>
      </c>
      <c r="AC292" s="772">
        <f t="shared" ca="1" si="140"/>
        <v>115346.17707767594</v>
      </c>
      <c r="AD292" s="772">
        <f t="shared" ca="1" si="140"/>
        <v>115045.70967636141</v>
      </c>
      <c r="AE292" s="772">
        <f t="shared" ca="1" si="140"/>
        <v>115045.70967636141</v>
      </c>
      <c r="AF292" s="772">
        <f t="shared" ca="1" si="140"/>
        <v>114732.60287036191</v>
      </c>
      <c r="AG292" s="772">
        <f t="shared" ca="1" si="140"/>
        <v>114732.60287036191</v>
      </c>
      <c r="AH292" s="772">
        <f t="shared" ca="1" si="140"/>
        <v>114732.60287036191</v>
      </c>
      <c r="AI292" s="772">
        <f t="shared" ca="1" si="140"/>
        <v>115635.05271151205</v>
      </c>
      <c r="AJ292" s="772">
        <f t="shared" ca="1" si="140"/>
        <v>115635.05271151205</v>
      </c>
      <c r="AK292" s="772">
        <f t="shared" ca="1" si="140"/>
        <v>115346.17707767594</v>
      </c>
      <c r="AL292" s="772">
        <f t="shared" ca="1" si="140"/>
        <v>115346.17707767594</v>
      </c>
      <c r="AM292" s="772">
        <f t="shared" ca="1" si="140"/>
        <v>115045.70967636141</v>
      </c>
      <c r="AN292" s="772">
        <f t="shared" ca="1" si="140"/>
        <v>115045.70967636141</v>
      </c>
      <c r="AO292" s="772">
        <f t="shared" ca="1" si="140"/>
        <v>114732.60287036191</v>
      </c>
      <c r="AP292" s="772">
        <f t="shared" ca="1" si="140"/>
        <v>114732.60287036191</v>
      </c>
      <c r="AQ292" s="772">
        <f t="shared" ca="1" si="140"/>
        <v>114732.60287036191</v>
      </c>
      <c r="AR292" s="772">
        <f t="shared" ca="1" si="138"/>
        <v>115635.05271151205</v>
      </c>
      <c r="AS292" s="772">
        <f t="shared" ca="1" si="138"/>
        <v>115635.05271151205</v>
      </c>
      <c r="AT292" s="772">
        <f t="shared" ca="1" si="138"/>
        <v>115346.17707767594</v>
      </c>
      <c r="AU292" s="772">
        <f t="shared" ca="1" si="138"/>
        <v>115346.17707767594</v>
      </c>
      <c r="AV292" s="772">
        <f t="shared" ca="1" si="138"/>
        <v>115045.70967636141</v>
      </c>
      <c r="AW292" s="772">
        <f t="shared" ca="1" si="138"/>
        <v>115045.70967636141</v>
      </c>
      <c r="AX292" s="772">
        <f t="shared" ca="1" si="138"/>
        <v>114732.60287036191</v>
      </c>
      <c r="AY292" s="772">
        <f t="shared" ca="1" si="138"/>
        <v>114732.60287036191</v>
      </c>
      <c r="AZ292" s="772">
        <f t="shared" ca="1" si="138"/>
        <v>114732.60287036191</v>
      </c>
      <c r="BA292" s="772">
        <f t="shared" ca="1" si="138"/>
        <v>115635.05271151205</v>
      </c>
      <c r="BB292" s="772">
        <f t="shared" ca="1" si="138"/>
        <v>115635.05271151205</v>
      </c>
      <c r="BC292" s="772">
        <f t="shared" ca="1" si="138"/>
        <v>115346.17707767594</v>
      </c>
      <c r="BD292" s="772">
        <f t="shared" ca="1" si="138"/>
        <v>115045.70967636141</v>
      </c>
      <c r="BE292" s="772">
        <f t="shared" ca="1" si="138"/>
        <v>115045.70967636141</v>
      </c>
      <c r="BF292" s="772">
        <f t="shared" ca="1" si="138"/>
        <v>114732.60287036191</v>
      </c>
      <c r="BG292" s="772">
        <f t="shared" ca="1" si="138"/>
        <v>114732.60287036191</v>
      </c>
      <c r="BH292" s="772">
        <f t="shared" ca="1" si="141"/>
        <v>114405.71616371548</v>
      </c>
      <c r="BI292" s="772">
        <f t="shared" ca="1" si="141"/>
        <v>114405.71616371548</v>
      </c>
      <c r="BJ292" s="772">
        <f t="shared" ca="1" si="141"/>
        <v>115346.17707767594</v>
      </c>
      <c r="BK292" s="772">
        <f t="shared" ca="1" si="141"/>
        <v>115346.17707767594</v>
      </c>
      <c r="BL292" s="772">
        <f t="shared" ca="1" si="141"/>
        <v>115346.17707767594</v>
      </c>
      <c r="BM292" s="772">
        <f t="shared" ca="1" si="139"/>
        <v>115346.17707767594</v>
      </c>
      <c r="BN292" s="772">
        <f t="shared" ca="1" si="139"/>
        <v>114732.60287036191</v>
      </c>
      <c r="BO292" s="772">
        <f t="shared" ca="1" si="133"/>
        <v>114732.60287036191</v>
      </c>
      <c r="BP292" s="772">
        <f t="shared" ca="1" si="142"/>
        <v>114405.71616371548</v>
      </c>
      <c r="BQ292" s="772">
        <f t="shared" ca="1" si="142"/>
        <v>114405.71616371548</v>
      </c>
      <c r="BR292" s="772">
        <f t="shared" ca="1" si="142"/>
        <v>114063.80685320475</v>
      </c>
      <c r="BS292" s="772">
        <f t="shared" ca="1" si="142"/>
        <v>115346.17707767594</v>
      </c>
      <c r="BT292" s="772">
        <f t="shared" ca="1" si="142"/>
        <v>115346.17707767594</v>
      </c>
      <c r="BU292" s="772">
        <f t="shared" ca="1" si="142"/>
        <v>115346.17707767594</v>
      </c>
      <c r="BV292" s="772">
        <f t="shared" ca="1" si="142"/>
        <v>115045.70967636141</v>
      </c>
      <c r="BW292" s="772">
        <f t="shared" ca="1" si="125"/>
        <v>115045.70967636141</v>
      </c>
      <c r="BX292" s="772">
        <f t="shared" ca="1" si="137"/>
        <v>114405.71616371548</v>
      </c>
      <c r="BY292" s="772">
        <f t="shared" ca="1" si="137"/>
        <v>114405.71616371548</v>
      </c>
      <c r="BZ292" s="772">
        <f t="shared" ca="1" si="137"/>
        <v>114063.80685320475</v>
      </c>
      <c r="CA292" s="772">
        <f t="shared" ca="1" si="137"/>
        <v>114063.80685320475</v>
      </c>
      <c r="CB292" s="772">
        <f t="shared" ca="1" si="137"/>
        <v>115045.70967636141</v>
      </c>
      <c r="CC292" s="772">
        <f t="shared" ca="1" si="137"/>
        <v>115045.70967636141</v>
      </c>
      <c r="CD292" s="772">
        <f t="shared" ca="1" si="137"/>
        <v>115045.70967636141</v>
      </c>
      <c r="CE292" s="772">
        <f t="shared" ca="1" si="137"/>
        <v>115045.70967636141</v>
      </c>
      <c r="CF292" s="772">
        <f t="shared" ca="1" si="137"/>
        <v>114732.60287036191</v>
      </c>
      <c r="CG292" s="772">
        <f t="shared" ca="1" si="137"/>
        <v>114405.71616371548</v>
      </c>
      <c r="CH292" s="772">
        <f t="shared" ca="1" si="137"/>
        <v>114063.80685320475</v>
      </c>
      <c r="CI292" s="772">
        <f t="shared" ca="1" si="137"/>
        <v>114063.80685320475</v>
      </c>
      <c r="CJ292" s="772">
        <f t="shared" ca="1" si="137"/>
        <v>113705.52005823044</v>
      </c>
    </row>
    <row r="293" spans="1:88" ht="15" customHeight="1">
      <c r="A293" s="770">
        <f>'kc-Wert für Stützen'!C293</f>
        <v>345</v>
      </c>
      <c r="B293" s="768">
        <f ca="1">INDIRECT("'kc-Wert für Stützen'!"&amp;SUBSTITUTE(ADDRESS(MATCH($A293,'kc-Wert für Stützen'!$C:$C,0),MATCH(B$7,'kc-Wert für Stützen'!$A$8:$ES$8,0)+7,4),,))</f>
        <v>116879.77812660267</v>
      </c>
      <c r="C293" s="768">
        <f ca="1">INDIRECT("'kc-Wert für Stützen'!"&amp;SUBSTITUTE(ADDRESS(MATCH($A293,'kc-Wert für Stützen'!$C:$C,0),MATCH(C$7,'kc-Wert für Stützen'!$A$8:$ES$8,0)+7,4),,))</f>
        <v>116611.26089171466</v>
      </c>
      <c r="D293" s="768">
        <f ca="1">INDIRECT("'kc-Wert für Stützen'!"&amp;SUBSTITUTE(ADDRESS(MATCH($A293,'kc-Wert für Stützen'!$C:$C,0),MATCH(D$7,'kc-Wert für Stützen'!$A$8:$ES$8,0)+7,4),,))</f>
        <v>116333.07403347499</v>
      </c>
      <c r="E293" s="768">
        <f ca="1">INDIRECT("'kc-Wert für Stützen'!"&amp;SUBSTITUTE(ADDRESS(MATCH($A293,'kc-Wert für Stützen'!$C:$C,0),MATCH(E$7,'kc-Wert für Stützen'!$A$8:$ES$8,0)+7,4),,))</f>
        <v>116044.33897605895</v>
      </c>
      <c r="F293" s="768">
        <f ca="1">INDIRECT("'kc-Wert für Stützen'!"&amp;SUBSTITUTE(ADDRESS(MATCH($A293,'kc-Wert für Stützen'!$C:$C,0),MATCH(F$7,'kc-Wert für Stützen'!$A$8:$ES$8,0)+7,4),,))</f>
        <v>115744.10208155459</v>
      </c>
      <c r="G293" s="768">
        <f ca="1">INDIRECT("'kc-Wert für Stützen'!"&amp;SUBSTITUTE(ADDRESS(MATCH($A293,'kc-Wert für Stützen'!$C:$C,0),MATCH(G$7,'kc-Wert für Stützen'!$A$8:$ES$8,0)+7,4),,))</f>
        <v>115431.32676790741</v>
      </c>
      <c r="H293" s="768">
        <f ca="1">INDIRECT("'kc-Wert für Stützen'!"&amp;SUBSTITUTE(ADDRESS(MATCH($A293,'kc-Wert für Stützen'!$C:$C,0),MATCH(H$7,'kc-Wert für Stützen'!$A$8:$ES$8,0)+7,4),,))</f>
        <v>115104.8849614241</v>
      </c>
      <c r="I293" s="768">
        <f ca="1">INDIRECT("'kc-Wert für Stützen'!"&amp;SUBSTITUTE(ADDRESS(MATCH($A293,'kc-Wert für Stützen'!$C:$C,0),MATCH(I$7,'kc-Wert für Stützen'!$A$8:$ES$8,0)+7,4),,))</f>
        <v>114763.54789015805</v>
      </c>
      <c r="J293" s="768">
        <f ca="1">INDIRECT("'kc-Wert für Stützen'!"&amp;SUBSTITUTE(ADDRESS(MATCH($A293,'kc-Wert für Stützen'!$C:$C,0),MATCH(J$7,'kc-Wert für Stützen'!$A$8:$ES$8,0)+7,4),,))</f>
        <v>114405.97625687365</v>
      </c>
      <c r="K293" s="768">
        <f ca="1">INDIRECT("'kc-Wert für Stützen'!"&amp;SUBSTITUTE(ADDRESS(MATCH($A293,'kc-Wert für Stützen'!$C:$C,0),MATCH(K$7,'kc-Wert für Stützen'!$A$8:$ES$8,0)+7,4),,))</f>
        <v>114030.70987686396</v>
      </c>
      <c r="L293" s="768">
        <f ca="1">INDIRECT("'kc-Wert für Stützen'!"&amp;SUBSTITUTE(ADDRESS(MATCH($A293,'kc-Wert für Stützen'!$C:$C,0),MATCH(L$7,'kc-Wert für Stützen'!$A$8:$ES$8,0)+7,4),,))</f>
        <v>113636.15693126172</v>
      </c>
      <c r="M293" s="768">
        <f ca="1">INDIRECT("'kc-Wert für Stützen'!"&amp;SUBSTITUTE(ADDRESS(MATCH($A293,'kc-Wert für Stützen'!$C:$C,0),MATCH(M$7,'kc-Wert für Stützen'!$A$8:$ES$8,0)+7,4),,))</f>
        <v>113220.58307627118</v>
      </c>
      <c r="N293" s="768">
        <f ca="1">INDIRECT("'kc-Wert für Stützen'!"&amp;SUBSTITUTE(ADDRESS(MATCH($A293,'kc-Wert für Stützen'!$C:$C,0),MATCH(N$7,'kc-Wert für Stützen'!$A$8:$ES$8,0)+7,4),,))</f>
        <v>112782.10076961732</v>
      </c>
      <c r="O293" s="768">
        <f ca="1">INDIRECT("'kc-Wert für Stützen'!"&amp;SUBSTITUTE(ADDRESS(MATCH($A293,'kc-Wert für Stützen'!$C:$C,0),MATCH(O$7,'kc-Wert für Stützen'!$A$8:$ES$8,0)+7,4),,))</f>
        <v>112318.65933494458</v>
      </c>
      <c r="P293" s="768">
        <f ca="1">INDIRECT("'kc-Wert für Stützen'!"&amp;SUBSTITUTE(ADDRESS(MATCH($A293,'kc-Wert für Stützen'!$C:$C,0),MATCH(P$7,'kc-Wert für Stützen'!$A$8:$ES$8,0)+7,4),,))</f>
        <v>111828.03649062284</v>
      </c>
      <c r="S293" s="772">
        <f t="shared" ca="1" si="124"/>
        <v>116333.07403347499</v>
      </c>
      <c r="T293" s="772">
        <f t="shared" ca="1" si="128"/>
        <v>116333.07403347499</v>
      </c>
      <c r="U293" s="772">
        <f t="shared" ca="1" si="128"/>
        <v>116333.07403347499</v>
      </c>
      <c r="V293" s="772">
        <f t="shared" ca="1" si="128"/>
        <v>116044.33897605895</v>
      </c>
      <c r="W293" s="772">
        <f t="shared" ca="1" si="128"/>
        <v>115744.10208155459</v>
      </c>
      <c r="X293" s="772">
        <f t="shared" ca="1" si="128"/>
        <v>115431.32676790741</v>
      </c>
      <c r="Y293" s="772">
        <f t="shared" ca="1" si="128"/>
        <v>115104.8849614241</v>
      </c>
      <c r="Z293" s="772">
        <f t="shared" ca="1" si="128"/>
        <v>116333.07403347499</v>
      </c>
      <c r="AA293" s="772">
        <f t="shared" ca="1" si="128"/>
        <v>116333.07403347499</v>
      </c>
      <c r="AB293" s="772">
        <f t="shared" ca="1" si="140"/>
        <v>116044.33897605895</v>
      </c>
      <c r="AC293" s="772">
        <f t="shared" ca="1" si="140"/>
        <v>116044.33897605895</v>
      </c>
      <c r="AD293" s="772">
        <f t="shared" ca="1" si="140"/>
        <v>115744.10208155459</v>
      </c>
      <c r="AE293" s="772">
        <f t="shared" ca="1" si="140"/>
        <v>115744.10208155459</v>
      </c>
      <c r="AF293" s="772">
        <f t="shared" ca="1" si="140"/>
        <v>115431.32676790741</v>
      </c>
      <c r="AG293" s="772">
        <f t="shared" ca="1" si="140"/>
        <v>115431.32676790741</v>
      </c>
      <c r="AH293" s="772">
        <f t="shared" ca="1" si="140"/>
        <v>115431.32676790741</v>
      </c>
      <c r="AI293" s="772">
        <f t="shared" ca="1" si="140"/>
        <v>116333.07403347499</v>
      </c>
      <c r="AJ293" s="772">
        <f t="shared" ca="1" si="140"/>
        <v>116333.07403347499</v>
      </c>
      <c r="AK293" s="772">
        <f t="shared" ca="1" si="140"/>
        <v>116044.33897605895</v>
      </c>
      <c r="AL293" s="772">
        <f t="shared" ca="1" si="140"/>
        <v>116044.33897605895</v>
      </c>
      <c r="AM293" s="772">
        <f t="shared" ca="1" si="140"/>
        <v>115744.10208155459</v>
      </c>
      <c r="AN293" s="772">
        <f t="shared" ca="1" si="140"/>
        <v>115744.10208155459</v>
      </c>
      <c r="AO293" s="772">
        <f t="shared" ca="1" si="140"/>
        <v>115431.32676790741</v>
      </c>
      <c r="AP293" s="772">
        <f t="shared" ca="1" si="140"/>
        <v>115431.32676790741</v>
      </c>
      <c r="AQ293" s="772">
        <f t="shared" ca="1" si="140"/>
        <v>115431.32676790741</v>
      </c>
      <c r="AR293" s="772">
        <f t="shared" ca="1" si="138"/>
        <v>116333.07403347499</v>
      </c>
      <c r="AS293" s="772">
        <f t="shared" ca="1" si="138"/>
        <v>116333.07403347499</v>
      </c>
      <c r="AT293" s="772">
        <f t="shared" ca="1" si="138"/>
        <v>116044.33897605895</v>
      </c>
      <c r="AU293" s="772">
        <f t="shared" ca="1" si="138"/>
        <v>116044.33897605895</v>
      </c>
      <c r="AV293" s="772">
        <f t="shared" ca="1" si="138"/>
        <v>115744.10208155459</v>
      </c>
      <c r="AW293" s="772">
        <f t="shared" ca="1" si="138"/>
        <v>115744.10208155459</v>
      </c>
      <c r="AX293" s="772">
        <f t="shared" ca="1" si="138"/>
        <v>115431.32676790741</v>
      </c>
      <c r="AY293" s="772">
        <f t="shared" ca="1" si="138"/>
        <v>115431.32676790741</v>
      </c>
      <c r="AZ293" s="772">
        <f t="shared" ca="1" si="138"/>
        <v>115431.32676790741</v>
      </c>
      <c r="BA293" s="772">
        <f t="shared" ca="1" si="138"/>
        <v>116333.07403347499</v>
      </c>
      <c r="BB293" s="772">
        <f t="shared" ca="1" si="138"/>
        <v>116333.07403347499</v>
      </c>
      <c r="BC293" s="772">
        <f t="shared" ca="1" si="138"/>
        <v>116044.33897605895</v>
      </c>
      <c r="BD293" s="772">
        <f t="shared" ca="1" si="138"/>
        <v>115744.10208155459</v>
      </c>
      <c r="BE293" s="772">
        <f t="shared" ca="1" si="138"/>
        <v>115744.10208155459</v>
      </c>
      <c r="BF293" s="772">
        <f t="shared" ca="1" si="138"/>
        <v>115431.32676790741</v>
      </c>
      <c r="BG293" s="772">
        <f t="shared" ca="1" si="138"/>
        <v>115431.32676790741</v>
      </c>
      <c r="BH293" s="772">
        <f t="shared" ca="1" si="141"/>
        <v>115104.8849614241</v>
      </c>
      <c r="BI293" s="772">
        <f t="shared" ca="1" si="141"/>
        <v>115104.8849614241</v>
      </c>
      <c r="BJ293" s="772">
        <f t="shared" ca="1" si="141"/>
        <v>116044.33897605895</v>
      </c>
      <c r="BK293" s="772">
        <f t="shared" ca="1" si="141"/>
        <v>116044.33897605895</v>
      </c>
      <c r="BL293" s="772">
        <f t="shared" ca="1" si="141"/>
        <v>116044.33897605895</v>
      </c>
      <c r="BM293" s="772">
        <f t="shared" ca="1" si="139"/>
        <v>116044.33897605895</v>
      </c>
      <c r="BN293" s="772">
        <f t="shared" ca="1" si="139"/>
        <v>115431.32676790741</v>
      </c>
      <c r="BO293" s="772">
        <f t="shared" ca="1" si="133"/>
        <v>115431.32676790741</v>
      </c>
      <c r="BP293" s="772">
        <f t="shared" ca="1" si="142"/>
        <v>115104.8849614241</v>
      </c>
      <c r="BQ293" s="772">
        <f t="shared" ca="1" si="142"/>
        <v>115104.8849614241</v>
      </c>
      <c r="BR293" s="772">
        <f t="shared" ca="1" si="142"/>
        <v>114763.54789015805</v>
      </c>
      <c r="BS293" s="772">
        <f t="shared" ca="1" si="142"/>
        <v>116044.33897605895</v>
      </c>
      <c r="BT293" s="772">
        <f t="shared" ca="1" si="142"/>
        <v>116044.33897605895</v>
      </c>
      <c r="BU293" s="772">
        <f t="shared" ca="1" si="142"/>
        <v>116044.33897605895</v>
      </c>
      <c r="BV293" s="772">
        <f t="shared" ca="1" si="142"/>
        <v>115744.10208155459</v>
      </c>
      <c r="BW293" s="772">
        <f t="shared" ca="1" si="125"/>
        <v>115744.10208155459</v>
      </c>
      <c r="BX293" s="772">
        <f t="shared" ref="BX293:CD297" ca="1" si="143">HLOOKUP(BX$7,$A$7:$P$348,ROW()-6)</f>
        <v>115104.8849614241</v>
      </c>
      <c r="BY293" s="772">
        <f t="shared" ca="1" si="143"/>
        <v>115104.8849614241</v>
      </c>
      <c r="BZ293" s="772">
        <f t="shared" ca="1" si="143"/>
        <v>114763.54789015805</v>
      </c>
      <c r="CA293" s="772">
        <f t="shared" ca="1" si="143"/>
        <v>114763.54789015805</v>
      </c>
      <c r="CB293" s="772">
        <f t="shared" ca="1" si="143"/>
        <v>115744.10208155459</v>
      </c>
      <c r="CC293" s="772">
        <f t="shared" ca="1" si="143"/>
        <v>115744.10208155459</v>
      </c>
      <c r="CD293" s="772">
        <f t="shared" ca="1" si="143"/>
        <v>115744.10208155459</v>
      </c>
      <c r="CE293" s="772">
        <f t="shared" ca="1" si="137"/>
        <v>115744.10208155459</v>
      </c>
      <c r="CF293" s="772">
        <f t="shared" ca="1" si="137"/>
        <v>115431.32676790741</v>
      </c>
      <c r="CG293" s="772">
        <f t="shared" ca="1" si="137"/>
        <v>115104.8849614241</v>
      </c>
      <c r="CH293" s="772">
        <f t="shared" ca="1" si="137"/>
        <v>114763.54789015805</v>
      </c>
      <c r="CI293" s="772">
        <f t="shared" ca="1" si="137"/>
        <v>114763.54789015805</v>
      </c>
      <c r="CJ293" s="772">
        <f t="shared" ca="1" si="137"/>
        <v>114405.97625687365</v>
      </c>
    </row>
    <row r="294" spans="1:88" ht="15" customHeight="1">
      <c r="A294" s="770">
        <f>'kc-Wert für Stützen'!C294</f>
        <v>346</v>
      </c>
      <c r="B294" s="768">
        <f ca="1">INDIRECT("'kc-Wert für Stützen'!"&amp;SUBSTITUTE(ADDRESS(MATCH($A294,'kc-Wert für Stützen'!$C:$C,0),MATCH(B$7,'kc-Wert für Stützen'!$A$8:$ES$8,0)+7,4),,))</f>
        <v>117579.77971592241</v>
      </c>
      <c r="C294" s="768">
        <f ca="1">INDIRECT("'kc-Wert für Stützen'!"&amp;SUBSTITUTE(ADDRESS(MATCH($A294,'kc-Wert für Stützen'!$C:$C,0),MATCH(C$7,'kc-Wert für Stützen'!$A$8:$ES$8,0)+7,4),,))</f>
        <v>117311.24603477809</v>
      </c>
      <c r="D294" s="768">
        <f ca="1">INDIRECT("'kc-Wert für Stützen'!"&amp;SUBSTITUTE(ADDRESS(MATCH($A294,'kc-Wert für Stützen'!$C:$C,0),MATCH(D$7,'kc-Wert für Stützen'!$A$8:$ES$8,0)+7,4),,))</f>
        <v>117033.11322388412</v>
      </c>
      <c r="E294" s="768">
        <f ca="1">INDIRECT("'kc-Wert für Stützen'!"&amp;SUBSTITUTE(ADDRESS(MATCH($A294,'kc-Wert für Stützen'!$C:$C,0),MATCH(E$7,'kc-Wert für Stützen'!$A$8:$ES$8,0)+7,4),,))</f>
        <v>116744.5112905401</v>
      </c>
      <c r="F294" s="768">
        <f ca="1">INDIRECT("'kc-Wert für Stützen'!"&amp;SUBSTITUTE(ADDRESS(MATCH($A294,'kc-Wert für Stützen'!$C:$C,0),MATCH(F$7,'kc-Wert für Stützen'!$A$8:$ES$8,0)+7,4),,))</f>
        <v>116444.49626251972</v>
      </c>
      <c r="G294" s="768">
        <f ca="1">INDIRECT("'kc-Wert für Stützen'!"&amp;SUBSTITUTE(ADDRESS(MATCH($A294,'kc-Wert für Stützen'!$C:$C,0),MATCH(G$7,'kc-Wert für Stützen'!$A$8:$ES$8,0)+7,4),,))</f>
        <v>116132.04243184651</v>
      </c>
      <c r="H294" s="768">
        <f ca="1">INDIRECT("'kc-Wert für Stützen'!"&amp;SUBSTITUTE(ADDRESS(MATCH($A294,'kc-Wert für Stützen'!$C:$C,0),MATCH(H$7,'kc-Wert für Stützen'!$A$8:$ES$8,0)+7,4),,))</f>
        <v>115806.03394138099</v>
      </c>
      <c r="I294" s="768">
        <f ca="1">INDIRECT("'kc-Wert für Stützen'!"&amp;SUBSTITUTE(ADDRESS(MATCH($A294,'kc-Wert für Stützen'!$C:$C,0),MATCH(I$7,'kc-Wert für Stützen'!$A$8:$ES$8,0)+7,4),,))</f>
        <v>115465.25571809513</v>
      </c>
      <c r="J294" s="768">
        <f ca="1">INDIRECT("'kc-Wert für Stützen'!"&amp;SUBSTITUTE(ADDRESS(MATCH($A294,'kc-Wert für Stützen'!$C:$C,0),MATCH(J$7,'kc-Wert für Stützen'!$A$8:$ES$8,0)+7,4),,))</f>
        <v>115108.38378762073</v>
      </c>
      <c r="K294" s="768">
        <f ca="1">INDIRECT("'kc-Wert für Stützen'!"&amp;SUBSTITUTE(ADDRESS(MATCH($A294,'kc-Wert für Stützen'!$C:$C,0),MATCH(K$7,'kc-Wert für Stützen'!$A$8:$ES$8,0)+7,4),,))</f>
        <v>114733.9750489164</v>
      </c>
      <c r="L294" s="768">
        <f ca="1">INDIRECT("'kc-Wert für Stützen'!"&amp;SUBSTITUTE(ADDRESS(MATCH($A294,'kc-Wert für Stützen'!$C:$C,0),MATCH(L$7,'kc-Wert für Stützen'!$A$8:$ES$8,0)+7,4),,))</f>
        <v>114340.45665008498</v>
      </c>
      <c r="M294" s="768">
        <f ca="1">INDIRECT("'kc-Wert für Stützen'!"&amp;SUBSTITUTE(ADDRESS(MATCH($A294,'kc-Wert für Stützen'!$C:$C,0),MATCH(M$7,'kc-Wert für Stützen'!$A$8:$ES$8,0)+7,4),,))</f>
        <v>113926.11519189252</v>
      </c>
      <c r="N294" s="768">
        <f ca="1">INDIRECT("'kc-Wert für Stützen'!"&amp;SUBSTITUTE(ADDRESS(MATCH($A294,'kc-Wert für Stützen'!$C:$C,0),MATCH(N$7,'kc-Wert für Stützen'!$A$8:$ES$8,0)+7,4),,))</f>
        <v>113489.08610080324</v>
      </c>
      <c r="O294" s="768">
        <f ca="1">INDIRECT("'kc-Wert für Stützen'!"&amp;SUBSTITUTE(ADDRESS(MATCH($A294,'kc-Wert für Stützen'!$C:$C,0),MATCH(O$7,'kc-Wert für Stützen'!$A$8:$ES$8,0)+7,4),,))</f>
        <v>113027.34366560417</v>
      </c>
      <c r="P294" s="768">
        <f ca="1">INDIRECT("'kc-Wert für Stützen'!"&amp;SUBSTITUTE(ADDRESS(MATCH($A294,'kc-Wert für Stützen'!$C:$C,0),MATCH(P$7,'kc-Wert für Stützen'!$A$8:$ES$8,0)+7,4),,))</f>
        <v>112538.69242850899</v>
      </c>
      <c r="S294" s="772">
        <f t="shared" ca="1" si="124"/>
        <v>117033.11322388412</v>
      </c>
      <c r="T294" s="772">
        <f t="shared" ca="1" si="128"/>
        <v>117033.11322388412</v>
      </c>
      <c r="U294" s="772">
        <f t="shared" ca="1" si="128"/>
        <v>117033.11322388412</v>
      </c>
      <c r="V294" s="772">
        <f t="shared" ca="1" si="128"/>
        <v>116744.5112905401</v>
      </c>
      <c r="W294" s="772">
        <f t="shared" ca="1" si="128"/>
        <v>116444.49626251972</v>
      </c>
      <c r="X294" s="772">
        <f t="shared" ca="1" si="128"/>
        <v>116132.04243184651</v>
      </c>
      <c r="Y294" s="772">
        <f t="shared" ca="1" si="128"/>
        <v>115806.03394138099</v>
      </c>
      <c r="Z294" s="772">
        <f t="shared" ca="1" si="128"/>
        <v>117033.11322388412</v>
      </c>
      <c r="AA294" s="772">
        <f t="shared" ca="1" si="128"/>
        <v>117033.11322388412</v>
      </c>
      <c r="AB294" s="772">
        <f t="shared" ca="1" si="140"/>
        <v>116744.5112905401</v>
      </c>
      <c r="AC294" s="772">
        <f t="shared" ca="1" si="140"/>
        <v>116744.5112905401</v>
      </c>
      <c r="AD294" s="772">
        <f t="shared" ca="1" si="140"/>
        <v>116444.49626251972</v>
      </c>
      <c r="AE294" s="772">
        <f t="shared" ca="1" si="140"/>
        <v>116444.49626251972</v>
      </c>
      <c r="AF294" s="772">
        <f t="shared" ca="1" si="140"/>
        <v>116132.04243184651</v>
      </c>
      <c r="AG294" s="772">
        <f t="shared" ca="1" si="140"/>
        <v>116132.04243184651</v>
      </c>
      <c r="AH294" s="772">
        <f t="shared" ca="1" si="140"/>
        <v>116132.04243184651</v>
      </c>
      <c r="AI294" s="772">
        <f t="shared" ca="1" si="140"/>
        <v>117033.11322388412</v>
      </c>
      <c r="AJ294" s="772">
        <f t="shared" ca="1" si="140"/>
        <v>117033.11322388412</v>
      </c>
      <c r="AK294" s="772">
        <f t="shared" ca="1" si="140"/>
        <v>116744.5112905401</v>
      </c>
      <c r="AL294" s="772">
        <f t="shared" ca="1" si="140"/>
        <v>116744.5112905401</v>
      </c>
      <c r="AM294" s="772">
        <f t="shared" ca="1" si="140"/>
        <v>116444.49626251972</v>
      </c>
      <c r="AN294" s="772">
        <f t="shared" ca="1" si="140"/>
        <v>116444.49626251972</v>
      </c>
      <c r="AO294" s="772">
        <f t="shared" ca="1" si="140"/>
        <v>116132.04243184651</v>
      </c>
      <c r="AP294" s="772">
        <f t="shared" ca="1" si="140"/>
        <v>116132.04243184651</v>
      </c>
      <c r="AQ294" s="772">
        <f t="shared" ca="1" si="140"/>
        <v>116132.04243184651</v>
      </c>
      <c r="AR294" s="772">
        <f t="shared" ca="1" si="138"/>
        <v>117033.11322388412</v>
      </c>
      <c r="AS294" s="772">
        <f t="shared" ca="1" si="138"/>
        <v>117033.11322388412</v>
      </c>
      <c r="AT294" s="772">
        <f t="shared" ca="1" si="138"/>
        <v>116744.5112905401</v>
      </c>
      <c r="AU294" s="772">
        <f t="shared" ca="1" si="138"/>
        <v>116744.5112905401</v>
      </c>
      <c r="AV294" s="772">
        <f t="shared" ca="1" si="138"/>
        <v>116444.49626251972</v>
      </c>
      <c r="AW294" s="772">
        <f t="shared" ca="1" si="138"/>
        <v>116444.49626251972</v>
      </c>
      <c r="AX294" s="772">
        <f t="shared" ca="1" si="138"/>
        <v>116132.04243184651</v>
      </c>
      <c r="AY294" s="772">
        <f t="shared" ca="1" si="138"/>
        <v>116132.04243184651</v>
      </c>
      <c r="AZ294" s="772">
        <f t="shared" ca="1" si="138"/>
        <v>116132.04243184651</v>
      </c>
      <c r="BA294" s="772">
        <f t="shared" ca="1" si="138"/>
        <v>117033.11322388412</v>
      </c>
      <c r="BB294" s="772">
        <f t="shared" ca="1" si="138"/>
        <v>117033.11322388412</v>
      </c>
      <c r="BC294" s="772">
        <f t="shared" ca="1" si="138"/>
        <v>116744.5112905401</v>
      </c>
      <c r="BD294" s="772">
        <f t="shared" ca="1" si="138"/>
        <v>116444.49626251972</v>
      </c>
      <c r="BE294" s="772">
        <f t="shared" ca="1" si="138"/>
        <v>116444.49626251972</v>
      </c>
      <c r="BF294" s="772">
        <f t="shared" ca="1" si="138"/>
        <v>116132.04243184651</v>
      </c>
      <c r="BG294" s="772">
        <f t="shared" ca="1" si="138"/>
        <v>116132.04243184651</v>
      </c>
      <c r="BH294" s="772">
        <f t="shared" ca="1" si="141"/>
        <v>115806.03394138099</v>
      </c>
      <c r="BI294" s="772">
        <f t="shared" ca="1" si="141"/>
        <v>115806.03394138099</v>
      </c>
      <c r="BJ294" s="772">
        <f t="shared" ca="1" si="141"/>
        <v>116744.5112905401</v>
      </c>
      <c r="BK294" s="772">
        <f t="shared" ca="1" si="141"/>
        <v>116744.5112905401</v>
      </c>
      <c r="BL294" s="772">
        <f t="shared" ca="1" si="141"/>
        <v>116744.5112905401</v>
      </c>
      <c r="BM294" s="772">
        <f t="shared" ca="1" si="139"/>
        <v>116744.5112905401</v>
      </c>
      <c r="BN294" s="772">
        <f t="shared" ca="1" si="139"/>
        <v>116132.04243184651</v>
      </c>
      <c r="BO294" s="772">
        <f t="shared" ca="1" si="133"/>
        <v>116132.04243184651</v>
      </c>
      <c r="BP294" s="772">
        <f t="shared" ca="1" si="142"/>
        <v>115806.03394138099</v>
      </c>
      <c r="BQ294" s="772">
        <f t="shared" ca="1" si="142"/>
        <v>115806.03394138099</v>
      </c>
      <c r="BR294" s="772">
        <f t="shared" ca="1" si="142"/>
        <v>115465.25571809513</v>
      </c>
      <c r="BS294" s="772">
        <f t="shared" ca="1" si="142"/>
        <v>116744.5112905401</v>
      </c>
      <c r="BT294" s="772">
        <f t="shared" ca="1" si="142"/>
        <v>116744.5112905401</v>
      </c>
      <c r="BU294" s="772">
        <f t="shared" ca="1" si="142"/>
        <v>116744.5112905401</v>
      </c>
      <c r="BV294" s="772">
        <f t="shared" ca="1" si="142"/>
        <v>116444.49626251972</v>
      </c>
      <c r="BW294" s="772">
        <f t="shared" ca="1" si="125"/>
        <v>116444.49626251972</v>
      </c>
      <c r="BX294" s="772">
        <f t="shared" ca="1" si="143"/>
        <v>115806.03394138099</v>
      </c>
      <c r="BY294" s="772">
        <f t="shared" ca="1" si="143"/>
        <v>115806.03394138099</v>
      </c>
      <c r="BZ294" s="772">
        <f t="shared" ca="1" si="143"/>
        <v>115465.25571809513</v>
      </c>
      <c r="CA294" s="772">
        <f t="shared" ca="1" si="143"/>
        <v>115465.25571809513</v>
      </c>
      <c r="CB294" s="772">
        <f t="shared" ca="1" si="143"/>
        <v>116444.49626251972</v>
      </c>
      <c r="CC294" s="772">
        <f t="shared" ca="1" si="143"/>
        <v>116444.49626251972</v>
      </c>
      <c r="CD294" s="772">
        <f t="shared" ca="1" si="143"/>
        <v>116444.49626251972</v>
      </c>
      <c r="CE294" s="772">
        <f t="shared" ca="1" si="137"/>
        <v>116444.49626251972</v>
      </c>
      <c r="CF294" s="772">
        <f t="shared" ca="1" si="137"/>
        <v>116132.04243184651</v>
      </c>
      <c r="CG294" s="772">
        <f t="shared" ca="1" si="137"/>
        <v>115806.03394138099</v>
      </c>
      <c r="CH294" s="772">
        <f t="shared" ca="1" si="137"/>
        <v>115465.25571809513</v>
      </c>
      <c r="CI294" s="772">
        <f t="shared" ca="1" si="137"/>
        <v>115465.25571809513</v>
      </c>
      <c r="CJ294" s="772">
        <f t="shared" ca="1" si="137"/>
        <v>115108.38378762073</v>
      </c>
    </row>
    <row r="295" spans="1:88" ht="15" customHeight="1">
      <c r="A295" s="770">
        <f>'kc-Wert für Stützen'!C295</f>
        <v>347</v>
      </c>
      <c r="B295" s="768">
        <f ca="1">INDIRECT("'kc-Wert für Stützen'!"&amp;SUBSTITUTE(ADDRESS(MATCH($A295,'kc-Wert für Stützen'!$C:$C,0),MATCH(B$7,'kc-Wert für Stützen'!$A$8:$ES$8,0)+7,4),,))</f>
        <v>118281.81154143301</v>
      </c>
      <c r="C295" s="768">
        <f ca="1">INDIRECT("'kc-Wert für Stützen'!"&amp;SUBSTITUTE(ADDRESS(MATCH($A295,'kc-Wert für Stützen'!$C:$C,0),MATCH(C$7,'kc-Wert für Stützen'!$A$8:$ES$8,0)+7,4),,))</f>
        <v>118013.25596541683</v>
      </c>
      <c r="D295" s="768">
        <f ca="1">INDIRECT("'kc-Wert für Stützen'!"&amp;SUBSTITUTE(ADDRESS(MATCH($A295,'kc-Wert für Stützen'!$C:$C,0),MATCH(D$7,'kc-Wert für Stützen'!$A$8:$ES$8,0)+7,4),,))</f>
        <v>117735.17087829096</v>
      </c>
      <c r="E295" s="768">
        <f ca="1">INDIRECT("'kc-Wert für Stützen'!"&amp;SUBSTITUTE(ADDRESS(MATCH($A295,'kc-Wert für Stützen'!$C:$C,0),MATCH(E$7,'kc-Wert für Stützen'!$A$8:$ES$8,0)+7,4),,))</f>
        <v>117446.69473477034</v>
      </c>
      <c r="F295" s="768">
        <f ca="1">INDIRECT("'kc-Wert für Stützen'!"&amp;SUBSTITUTE(ADDRESS(MATCH($A295,'kc-Wert für Stützen'!$C:$C,0),MATCH(F$7,'kc-Wert für Stützen'!$A$8:$ES$8,0)+7,4),,))</f>
        <v>117146.89307288341</v>
      </c>
      <c r="G295" s="768">
        <f ca="1">INDIRECT("'kc-Wert für Stützen'!"&amp;SUBSTITUTE(ADDRESS(MATCH($A295,'kc-Wert für Stützen'!$C:$C,0),MATCH(G$7,'kc-Wert für Stützen'!$A$8:$ES$8,0)+7,4),,))</f>
        <v>116834.75088134095</v>
      </c>
      <c r="H295" s="768">
        <f ca="1">INDIRECT("'kc-Wert für Stützen'!"&amp;SUBSTITUTE(ADDRESS(MATCH($A295,'kc-Wert für Stützen'!$C:$C,0),MATCH(H$7,'kc-Wert für Stützen'!$A$8:$ES$8,0)+7,4),,))</f>
        <v>116509.1643180065</v>
      </c>
      <c r="I295" s="768">
        <f ca="1">INDIRECT("'kc-Wert für Stützen'!"&amp;SUBSTITUTE(ADDRESS(MATCH($A295,'kc-Wert für Stützen'!$C:$C,0),MATCH(I$7,'kc-Wert für Stützen'!$A$8:$ES$8,0)+7,4),,))</f>
        <v>116168.93178106062</v>
      </c>
      <c r="J295" s="768">
        <f ca="1">INDIRECT("'kc-Wert für Stützen'!"&amp;SUBSTITUTE(ADDRESS(MATCH($A295,'kc-Wert für Stützen'!$C:$C,0),MATCH(J$7,'kc-Wert für Stützen'!$A$8:$ES$8,0)+7,4),,))</f>
        <v>115812.74436358697</v>
      </c>
      <c r="K295" s="768">
        <f ca="1">INDIRECT("'kc-Wert für Stützen'!"&amp;SUBSTITUTE(ADDRESS(MATCH($A295,'kc-Wert für Stützen'!$C:$C,0),MATCH(K$7,'kc-Wert für Stützen'!$A$8:$ES$8,0)+7,4),,))</f>
        <v>115439.17576435868</v>
      </c>
      <c r="L295" s="768">
        <f ca="1">INDIRECT("'kc-Wert für Stützen'!"&amp;SUBSTITUTE(ADDRESS(MATCH($A295,'kc-Wert für Stützen'!$C:$C,0),MATCH(L$7,'kc-Wert für Stützen'!$A$8:$ES$8,0)+7,4),,))</f>
        <v>115046.67178677207</v>
      </c>
      <c r="M295" s="768">
        <f ca="1">INDIRECT("'kc-Wert für Stützen'!"&amp;SUBSTITUTE(ADDRESS(MATCH($A295,'kc-Wert für Stützen'!$C:$C,0),MATCH(M$7,'kc-Wert für Stützen'!$A$8:$ES$8,0)+7,4),,))</f>
        <v>114633.53963932907</v>
      </c>
      <c r="N295" s="768">
        <f ca="1">INDIRECT("'kc-Wert für Stützen'!"&amp;SUBSTITUTE(ADDRESS(MATCH($A295,'kc-Wert für Stützen'!$C:$C,0),MATCH(N$7,'kc-Wert für Stützen'!$A$8:$ES$8,0)+7,4),,))</f>
        <v>114197.9373609871</v>
      </c>
      <c r="O295" s="768">
        <f ca="1">INDIRECT("'kc-Wert für Stützen'!"&amp;SUBSTITUTE(ADDRESS(MATCH($A295,'kc-Wert für Stützen'!$C:$C,0),MATCH(O$7,'kc-Wert für Stützen'!$A$8:$ES$8,0)+7,4),,))</f>
        <v>113737.86384009715</v>
      </c>
      <c r="P295" s="768">
        <f ca="1">INDIRECT("'kc-Wert für Stützen'!"&amp;SUBSTITUTE(ADDRESS(MATCH($A295,'kc-Wert für Stützen'!$C:$C,0),MATCH(P$7,'kc-Wert für Stützen'!$A$8:$ES$8,0)+7,4),,))</f>
        <v>113251.15008392363</v>
      </c>
      <c r="S295" s="772">
        <f t="shared" ca="1" si="124"/>
        <v>117735.17087829096</v>
      </c>
      <c r="T295" s="772">
        <f t="shared" ca="1" si="128"/>
        <v>117735.17087829096</v>
      </c>
      <c r="U295" s="772">
        <f t="shared" ca="1" si="128"/>
        <v>117735.17087829096</v>
      </c>
      <c r="V295" s="772">
        <f t="shared" ca="1" si="128"/>
        <v>117446.69473477034</v>
      </c>
      <c r="W295" s="772">
        <f t="shared" ca="1" si="128"/>
        <v>117146.89307288341</v>
      </c>
      <c r="X295" s="772">
        <f t="shared" ca="1" si="128"/>
        <v>116834.75088134095</v>
      </c>
      <c r="Y295" s="772">
        <f t="shared" ca="1" si="128"/>
        <v>116509.1643180065</v>
      </c>
      <c r="Z295" s="772">
        <f t="shared" ca="1" si="128"/>
        <v>117735.17087829096</v>
      </c>
      <c r="AA295" s="772">
        <f t="shared" ca="1" si="128"/>
        <v>117735.17087829096</v>
      </c>
      <c r="AB295" s="772">
        <f t="shared" ca="1" si="140"/>
        <v>117446.69473477034</v>
      </c>
      <c r="AC295" s="772">
        <f t="shared" ca="1" si="140"/>
        <v>117446.69473477034</v>
      </c>
      <c r="AD295" s="772">
        <f t="shared" ca="1" si="140"/>
        <v>117146.89307288341</v>
      </c>
      <c r="AE295" s="772">
        <f t="shared" ca="1" si="140"/>
        <v>117146.89307288341</v>
      </c>
      <c r="AF295" s="772">
        <f t="shared" ca="1" si="140"/>
        <v>116834.75088134095</v>
      </c>
      <c r="AG295" s="772">
        <f t="shared" ca="1" si="140"/>
        <v>116834.75088134095</v>
      </c>
      <c r="AH295" s="772">
        <f t="shared" ca="1" si="140"/>
        <v>116834.75088134095</v>
      </c>
      <c r="AI295" s="772">
        <f t="shared" ca="1" si="140"/>
        <v>117735.17087829096</v>
      </c>
      <c r="AJ295" s="772">
        <f t="shared" ca="1" si="140"/>
        <v>117735.17087829096</v>
      </c>
      <c r="AK295" s="772">
        <f t="shared" ca="1" si="140"/>
        <v>117446.69473477034</v>
      </c>
      <c r="AL295" s="772">
        <f t="shared" ca="1" si="140"/>
        <v>117446.69473477034</v>
      </c>
      <c r="AM295" s="772">
        <f t="shared" ca="1" si="140"/>
        <v>117146.89307288341</v>
      </c>
      <c r="AN295" s="772">
        <f t="shared" ca="1" si="140"/>
        <v>117146.89307288341</v>
      </c>
      <c r="AO295" s="772">
        <f t="shared" ca="1" si="140"/>
        <v>116834.75088134095</v>
      </c>
      <c r="AP295" s="772">
        <f t="shared" ca="1" si="140"/>
        <v>116834.75088134095</v>
      </c>
      <c r="AQ295" s="772">
        <f t="shared" ca="1" si="140"/>
        <v>116834.75088134095</v>
      </c>
      <c r="AR295" s="772">
        <f t="shared" ca="1" si="138"/>
        <v>117735.17087829096</v>
      </c>
      <c r="AS295" s="772">
        <f t="shared" ca="1" si="138"/>
        <v>117735.17087829096</v>
      </c>
      <c r="AT295" s="772">
        <f t="shared" ca="1" si="138"/>
        <v>117446.69473477034</v>
      </c>
      <c r="AU295" s="772">
        <f t="shared" ca="1" si="138"/>
        <v>117446.69473477034</v>
      </c>
      <c r="AV295" s="772">
        <f t="shared" ca="1" si="138"/>
        <v>117146.89307288341</v>
      </c>
      <c r="AW295" s="772">
        <f t="shared" ca="1" si="138"/>
        <v>117146.89307288341</v>
      </c>
      <c r="AX295" s="772">
        <f t="shared" ca="1" si="138"/>
        <v>116834.75088134095</v>
      </c>
      <c r="AY295" s="772">
        <f t="shared" ca="1" si="138"/>
        <v>116834.75088134095</v>
      </c>
      <c r="AZ295" s="772">
        <f t="shared" ca="1" si="138"/>
        <v>116834.75088134095</v>
      </c>
      <c r="BA295" s="772">
        <f t="shared" ca="1" si="138"/>
        <v>117735.17087829096</v>
      </c>
      <c r="BB295" s="772">
        <f t="shared" ca="1" si="138"/>
        <v>117735.17087829096</v>
      </c>
      <c r="BC295" s="772">
        <f t="shared" ca="1" si="138"/>
        <v>117446.69473477034</v>
      </c>
      <c r="BD295" s="772">
        <f t="shared" ca="1" si="138"/>
        <v>117146.89307288341</v>
      </c>
      <c r="BE295" s="772">
        <f t="shared" ca="1" si="138"/>
        <v>117146.89307288341</v>
      </c>
      <c r="BF295" s="772">
        <f t="shared" ca="1" si="138"/>
        <v>116834.75088134095</v>
      </c>
      <c r="BG295" s="772">
        <f t="shared" ca="1" si="138"/>
        <v>116834.75088134095</v>
      </c>
      <c r="BH295" s="772">
        <f t="shared" ref="BH295:BL304" ca="1" si="144">HLOOKUP(BH$7,$A$7:$P$348,ROW()-6)</f>
        <v>116509.1643180065</v>
      </c>
      <c r="BI295" s="772">
        <f t="shared" ca="1" si="144"/>
        <v>116509.1643180065</v>
      </c>
      <c r="BJ295" s="772">
        <f t="shared" ca="1" si="144"/>
        <v>117446.69473477034</v>
      </c>
      <c r="BK295" s="772">
        <f t="shared" ca="1" si="144"/>
        <v>117446.69473477034</v>
      </c>
      <c r="BL295" s="772">
        <f t="shared" ca="1" si="144"/>
        <v>117446.69473477034</v>
      </c>
      <c r="BM295" s="772">
        <f t="shared" ca="1" si="139"/>
        <v>117446.69473477034</v>
      </c>
      <c r="BN295" s="772">
        <f t="shared" ca="1" si="139"/>
        <v>116834.75088134095</v>
      </c>
      <c r="BO295" s="772">
        <f t="shared" ca="1" si="133"/>
        <v>116834.75088134095</v>
      </c>
      <c r="BP295" s="772">
        <f t="shared" ca="1" si="142"/>
        <v>116509.1643180065</v>
      </c>
      <c r="BQ295" s="772">
        <f t="shared" ca="1" si="142"/>
        <v>116509.1643180065</v>
      </c>
      <c r="BR295" s="772">
        <f t="shared" ca="1" si="142"/>
        <v>116168.93178106062</v>
      </c>
      <c r="BS295" s="772">
        <f t="shared" ca="1" si="142"/>
        <v>117446.69473477034</v>
      </c>
      <c r="BT295" s="772">
        <f t="shared" ca="1" si="142"/>
        <v>117446.69473477034</v>
      </c>
      <c r="BU295" s="772">
        <f t="shared" ca="1" si="142"/>
        <v>117446.69473477034</v>
      </c>
      <c r="BV295" s="772">
        <f t="shared" ca="1" si="142"/>
        <v>117146.89307288341</v>
      </c>
      <c r="BW295" s="772">
        <f t="shared" ca="1" si="125"/>
        <v>117146.89307288341</v>
      </c>
      <c r="BX295" s="772">
        <f t="shared" ca="1" si="143"/>
        <v>116509.1643180065</v>
      </c>
      <c r="BY295" s="772">
        <f t="shared" ca="1" si="143"/>
        <v>116509.1643180065</v>
      </c>
      <c r="BZ295" s="772">
        <f t="shared" ca="1" si="143"/>
        <v>116168.93178106062</v>
      </c>
      <c r="CA295" s="772">
        <f t="shared" ca="1" si="143"/>
        <v>116168.93178106062</v>
      </c>
      <c r="CB295" s="772">
        <f t="shared" ca="1" si="143"/>
        <v>117146.89307288341</v>
      </c>
      <c r="CC295" s="772">
        <f t="shared" ca="1" si="143"/>
        <v>117146.89307288341</v>
      </c>
      <c r="CD295" s="772">
        <f t="shared" ca="1" si="143"/>
        <v>117146.89307288341</v>
      </c>
      <c r="CE295" s="772">
        <f t="shared" ca="1" si="137"/>
        <v>117146.89307288341</v>
      </c>
      <c r="CF295" s="772">
        <f t="shared" ca="1" si="137"/>
        <v>116834.75088134095</v>
      </c>
      <c r="CG295" s="772">
        <f t="shared" ca="1" si="137"/>
        <v>116509.1643180065</v>
      </c>
      <c r="CH295" s="772">
        <f t="shared" ca="1" si="137"/>
        <v>116168.93178106062</v>
      </c>
      <c r="CI295" s="772">
        <f t="shared" ca="1" si="137"/>
        <v>116168.93178106062</v>
      </c>
      <c r="CJ295" s="772">
        <f t="shared" ca="1" si="137"/>
        <v>115812.74436358697</v>
      </c>
    </row>
    <row r="296" spans="1:88" ht="15" customHeight="1">
      <c r="A296" s="770">
        <f>'kc-Wert für Stützen'!C296</f>
        <v>348</v>
      </c>
      <c r="B296" s="768">
        <f ca="1">INDIRECT("'kc-Wert für Stützen'!"&amp;SUBSTITUTE(ADDRESS(MATCH($A296,'kc-Wert für Stützen'!$C:$C,0),MATCH(B$7,'kc-Wert für Stützen'!$A$8:$ES$8,0)+7,4),,))</f>
        <v>118985.87400833213</v>
      </c>
      <c r="C296" s="768">
        <f ca="1">INDIRECT("'kc-Wert für Stützen'!"&amp;SUBSTITUTE(ADDRESS(MATCH($A296,'kc-Wert für Stützen'!$C:$C,0),MATCH(C$7,'kc-Wert für Stützen'!$A$8:$ES$8,0)+7,4),,))</f>
        <v>118717.29117075643</v>
      </c>
      <c r="D296" s="768">
        <f ca="1">INDIRECT("'kc-Wert für Stützen'!"&amp;SUBSTITUTE(ADDRESS(MATCH($A296,'kc-Wert für Stützen'!$C:$C,0),MATCH(D$7,'kc-Wert für Stützen'!$A$8:$ES$8,0)+7,4),,))</f>
        <v>118439.24758125001</v>
      </c>
      <c r="E296" s="768">
        <f ca="1">INDIRECT("'kc-Wert für Stützen'!"&amp;SUBSTITUTE(ADDRESS(MATCH($A296,'kc-Wert für Stützen'!$C:$C,0),MATCH(E$7,'kc-Wert für Stützen'!$A$8:$ES$8,0)+7,4),,))</f>
        <v>118150.89000896763</v>
      </c>
      <c r="F296" s="768">
        <f ca="1">INDIRECT("'kc-Wert für Stützen'!"&amp;SUBSTITUTE(ADDRESS(MATCH($A296,'kc-Wert für Stützen'!$C:$C,0),MATCH(F$7,'kc-Wert für Stützen'!$A$8:$ES$8,0)+7,4),,))</f>
        <v>117851.29334991008</v>
      </c>
      <c r="G296" s="768">
        <f ca="1">INDIRECT("'kc-Wert für Stützen'!"&amp;SUBSTITUTE(ADDRESS(MATCH($A296,'kc-Wert für Stützen'!$C:$C,0),MATCH(G$7,'kc-Wert für Stützen'!$A$8:$ES$8,0)+7,4),,))</f>
        <v>117539.45311568325</v>
      </c>
      <c r="H296" s="768">
        <f ca="1">INDIRECT("'kc-Wert für Stützen'!"&amp;SUBSTITUTE(ADDRESS(MATCH($A296,'kc-Wert für Stützen'!$C:$C,0),MATCH(H$7,'kc-Wert für Stützen'!$A$8:$ES$8,0)+7,4),,))</f>
        <v>117214.27728167371</v>
      </c>
      <c r="I296" s="768">
        <f ca="1">INDIRECT("'kc-Wert für Stützen'!"&amp;SUBSTITUTE(ADDRESS(MATCH($A296,'kc-Wert für Stützen'!$C:$C,0),MATCH(I$7,'kc-Wert für Stützen'!$A$8:$ES$8,0)+7,4),,))</f>
        <v>116874.57749410535</v>
      </c>
      <c r="J296" s="768">
        <f ca="1">INDIRECT("'kc-Wert für Stützen'!"&amp;SUBSTITUTE(ADDRESS(MATCH($A296,'kc-Wert für Stützen'!$C:$C,0),MATCH(J$7,'kc-Wert für Stützen'!$A$8:$ES$8,0)+7,4),,))</f>
        <v>116519.05966308036</v>
      </c>
      <c r="K296" s="768">
        <f ca="1">INDIRECT("'kc-Wert für Stützen'!"&amp;SUBSTITUTE(ADDRESS(MATCH($A296,'kc-Wert für Stützen'!$C:$C,0),MATCH(K$7,'kc-Wert für Stützen'!$A$8:$ES$8,0)+7,4),,))</f>
        <v>116146.31400866574</v>
      </c>
      <c r="L296" s="768">
        <f ca="1">INDIRECT("'kc-Wert für Stützen'!"&amp;SUBSTITUTE(ADDRESS(MATCH($A296,'kc-Wert für Stützen'!$C:$C,0),MATCH(L$7,'kc-Wert für Stützen'!$A$8:$ES$8,0)+7,4),,))</f>
        <v>115754.80468337954</v>
      </c>
      <c r="M296" s="768">
        <f ca="1">INDIRECT("'kc-Wert für Stützen'!"&amp;SUBSTITUTE(ADDRESS(MATCH($A296,'kc-Wert für Stützen'!$C:$C,0),MATCH(M$7,'kc-Wert für Stützen'!$A$8:$ES$8,0)+7,4),,))</f>
        <v>115342.85917201743</v>
      </c>
      <c r="N296" s="768">
        <f ca="1">INDIRECT("'kc-Wert für Stützen'!"&amp;SUBSTITUTE(ADDRESS(MATCH($A296,'kc-Wert für Stützen'!$C:$C,0),MATCH(N$7,'kc-Wert für Stützen'!$A$8:$ES$8,0)+7,4),,))</f>
        <v>114908.65777458333</v>
      </c>
      <c r="O296" s="768">
        <f ca="1">INDIRECT("'kc-Wert für Stützen'!"&amp;SUBSTITUTE(ADDRESS(MATCH($A296,'kc-Wert für Stützen'!$C:$C,0),MATCH(O$7,'kc-Wert für Stützen'!$A$8:$ES$8,0)+7,4),,))</f>
        <v>114450.22361693018</v>
      </c>
      <c r="P296" s="768">
        <f ca="1">INDIRECT("'kc-Wert für Stützen'!"&amp;SUBSTITUTE(ADDRESS(MATCH($A296,'kc-Wert für Stützen'!$C:$C,0),MATCH(P$7,'kc-Wert für Stützen'!$A$8:$ES$8,0)+7,4),,))</f>
        <v>113965.41381380818</v>
      </c>
      <c r="S296" s="772">
        <f t="shared" ca="1" si="124"/>
        <v>118439.24758125001</v>
      </c>
      <c r="T296" s="772">
        <f t="shared" ca="1" si="128"/>
        <v>118439.24758125001</v>
      </c>
      <c r="U296" s="772">
        <f t="shared" ca="1" si="128"/>
        <v>118439.24758125001</v>
      </c>
      <c r="V296" s="772">
        <f t="shared" ca="1" si="128"/>
        <v>118150.89000896763</v>
      </c>
      <c r="W296" s="772">
        <f t="shared" ca="1" si="128"/>
        <v>117851.29334991008</v>
      </c>
      <c r="X296" s="772">
        <f t="shared" ca="1" si="128"/>
        <v>117539.45311568325</v>
      </c>
      <c r="Y296" s="772">
        <f t="shared" ca="1" si="128"/>
        <v>117214.27728167371</v>
      </c>
      <c r="Z296" s="772">
        <f t="shared" ca="1" si="128"/>
        <v>118439.24758125001</v>
      </c>
      <c r="AA296" s="772">
        <f t="shared" ca="1" si="128"/>
        <v>118439.24758125001</v>
      </c>
      <c r="AB296" s="772">
        <f t="shared" ca="1" si="140"/>
        <v>118150.89000896763</v>
      </c>
      <c r="AC296" s="772">
        <f t="shared" ca="1" si="140"/>
        <v>118150.89000896763</v>
      </c>
      <c r="AD296" s="772">
        <f t="shared" ca="1" si="140"/>
        <v>117851.29334991008</v>
      </c>
      <c r="AE296" s="772">
        <f t="shared" ca="1" si="140"/>
        <v>117851.29334991008</v>
      </c>
      <c r="AF296" s="772">
        <f t="shared" ca="1" si="140"/>
        <v>117539.45311568325</v>
      </c>
      <c r="AG296" s="772">
        <f t="shared" ca="1" si="140"/>
        <v>117539.45311568325</v>
      </c>
      <c r="AH296" s="772">
        <f t="shared" ca="1" si="140"/>
        <v>117539.45311568325</v>
      </c>
      <c r="AI296" s="772">
        <f t="shared" ca="1" si="140"/>
        <v>118439.24758125001</v>
      </c>
      <c r="AJ296" s="772">
        <f t="shared" ca="1" si="140"/>
        <v>118439.24758125001</v>
      </c>
      <c r="AK296" s="772">
        <f t="shared" ca="1" si="140"/>
        <v>118150.89000896763</v>
      </c>
      <c r="AL296" s="772">
        <f t="shared" ca="1" si="140"/>
        <v>118150.89000896763</v>
      </c>
      <c r="AM296" s="772">
        <f t="shared" ca="1" si="140"/>
        <v>117851.29334991008</v>
      </c>
      <c r="AN296" s="772">
        <f t="shared" ca="1" si="140"/>
        <v>117851.29334991008</v>
      </c>
      <c r="AO296" s="772">
        <f t="shared" ca="1" si="140"/>
        <v>117539.45311568325</v>
      </c>
      <c r="AP296" s="772">
        <f t="shared" ca="1" si="140"/>
        <v>117539.45311568325</v>
      </c>
      <c r="AQ296" s="772">
        <f t="shared" ca="1" si="140"/>
        <v>117539.45311568325</v>
      </c>
      <c r="AR296" s="772">
        <f t="shared" ca="1" si="138"/>
        <v>118439.24758125001</v>
      </c>
      <c r="AS296" s="772">
        <f t="shared" ca="1" si="138"/>
        <v>118439.24758125001</v>
      </c>
      <c r="AT296" s="772">
        <f t="shared" ca="1" si="138"/>
        <v>118150.89000896763</v>
      </c>
      <c r="AU296" s="772">
        <f t="shared" ca="1" si="138"/>
        <v>118150.89000896763</v>
      </c>
      <c r="AV296" s="772">
        <f t="shared" ca="1" si="138"/>
        <v>117851.29334991008</v>
      </c>
      <c r="AW296" s="772">
        <f t="shared" ca="1" si="138"/>
        <v>117851.29334991008</v>
      </c>
      <c r="AX296" s="772">
        <f t="shared" ca="1" si="138"/>
        <v>117539.45311568325</v>
      </c>
      <c r="AY296" s="772">
        <f t="shared" ca="1" si="138"/>
        <v>117539.45311568325</v>
      </c>
      <c r="AZ296" s="772">
        <f t="shared" ca="1" si="138"/>
        <v>117539.45311568325</v>
      </c>
      <c r="BA296" s="772">
        <f t="shared" ca="1" si="138"/>
        <v>118439.24758125001</v>
      </c>
      <c r="BB296" s="772">
        <f t="shared" ca="1" si="138"/>
        <v>118439.24758125001</v>
      </c>
      <c r="BC296" s="772">
        <f t="shared" ca="1" si="138"/>
        <v>118150.89000896763</v>
      </c>
      <c r="BD296" s="772">
        <f t="shared" ca="1" si="138"/>
        <v>117851.29334991008</v>
      </c>
      <c r="BE296" s="772">
        <f t="shared" ca="1" si="138"/>
        <v>117851.29334991008</v>
      </c>
      <c r="BF296" s="772">
        <f t="shared" ca="1" si="138"/>
        <v>117539.45311568325</v>
      </c>
      <c r="BG296" s="772">
        <f t="shared" ca="1" si="138"/>
        <v>117539.45311568325</v>
      </c>
      <c r="BH296" s="772">
        <f t="shared" ca="1" si="144"/>
        <v>117214.27728167371</v>
      </c>
      <c r="BI296" s="772">
        <f t="shared" ca="1" si="144"/>
        <v>117214.27728167371</v>
      </c>
      <c r="BJ296" s="772">
        <f t="shared" ca="1" si="144"/>
        <v>118150.89000896763</v>
      </c>
      <c r="BK296" s="772">
        <f t="shared" ca="1" si="144"/>
        <v>118150.89000896763</v>
      </c>
      <c r="BL296" s="772">
        <f t="shared" ca="1" si="144"/>
        <v>118150.89000896763</v>
      </c>
      <c r="BM296" s="772">
        <f t="shared" ca="1" si="139"/>
        <v>118150.89000896763</v>
      </c>
      <c r="BN296" s="772">
        <f t="shared" ca="1" si="139"/>
        <v>117539.45311568325</v>
      </c>
      <c r="BO296" s="772">
        <f t="shared" ca="1" si="133"/>
        <v>117539.45311568325</v>
      </c>
      <c r="BP296" s="772">
        <f t="shared" ca="1" si="142"/>
        <v>117214.27728167371</v>
      </c>
      <c r="BQ296" s="772">
        <f t="shared" ca="1" si="142"/>
        <v>117214.27728167371</v>
      </c>
      <c r="BR296" s="772">
        <f t="shared" ca="1" si="142"/>
        <v>116874.57749410535</v>
      </c>
      <c r="BS296" s="772">
        <f t="shared" ca="1" si="142"/>
        <v>118150.89000896763</v>
      </c>
      <c r="BT296" s="772">
        <f t="shared" ca="1" si="142"/>
        <v>118150.89000896763</v>
      </c>
      <c r="BU296" s="772">
        <f t="shared" ca="1" si="142"/>
        <v>118150.89000896763</v>
      </c>
      <c r="BV296" s="772">
        <f t="shared" ca="1" si="142"/>
        <v>117851.29334991008</v>
      </c>
      <c r="BW296" s="772">
        <f t="shared" ca="1" si="125"/>
        <v>117851.29334991008</v>
      </c>
      <c r="BX296" s="772">
        <f t="shared" ca="1" si="143"/>
        <v>117214.27728167371</v>
      </c>
      <c r="BY296" s="772">
        <f t="shared" ca="1" si="143"/>
        <v>117214.27728167371</v>
      </c>
      <c r="BZ296" s="772">
        <f t="shared" ca="1" si="143"/>
        <v>116874.57749410535</v>
      </c>
      <c r="CA296" s="772">
        <f t="shared" ca="1" si="143"/>
        <v>116874.57749410535</v>
      </c>
      <c r="CB296" s="772">
        <f t="shared" ca="1" si="143"/>
        <v>117851.29334991008</v>
      </c>
      <c r="CC296" s="772">
        <f t="shared" ca="1" si="143"/>
        <v>117851.29334991008</v>
      </c>
      <c r="CD296" s="772">
        <f t="shared" ca="1" si="143"/>
        <v>117851.29334991008</v>
      </c>
      <c r="CE296" s="772">
        <f t="shared" ca="1" si="137"/>
        <v>117851.29334991008</v>
      </c>
      <c r="CF296" s="772">
        <f t="shared" ca="1" si="137"/>
        <v>117539.45311568325</v>
      </c>
      <c r="CG296" s="772">
        <f t="shared" ca="1" si="137"/>
        <v>117214.27728167371</v>
      </c>
      <c r="CH296" s="772">
        <f t="shared" ca="1" si="137"/>
        <v>116874.57749410535</v>
      </c>
      <c r="CI296" s="772">
        <f t="shared" ca="1" si="137"/>
        <v>116874.57749410535</v>
      </c>
      <c r="CJ296" s="772">
        <f t="shared" ca="1" si="137"/>
        <v>116519.05966308036</v>
      </c>
    </row>
    <row r="297" spans="1:88" ht="15" customHeight="1">
      <c r="A297" s="770">
        <f>'kc-Wert für Stützen'!C297</f>
        <v>349</v>
      </c>
      <c r="B297" s="768">
        <f ca="1">INDIRECT("'kc-Wert für Stützen'!"&amp;SUBSTITUTE(ADDRESS(MATCH($A297,'kc-Wert für Stützen'!$C:$C,0),MATCH(B$7,'kc-Wert für Stützen'!$A$8:$ES$8,0)+7,4),,))</f>
        <v>119691.96751466863</v>
      </c>
      <c r="C297" s="768">
        <f ca="1">INDIRECT("'kc-Wert für Stützen'!"&amp;SUBSTITUTE(ADDRESS(MATCH($A297,'kc-Wert für Stützen'!$C:$C,0),MATCH(C$7,'kc-Wert für Stützen'!$A$8:$ES$8,0)+7,4),,))</f>
        <v>119423.35212914663</v>
      </c>
      <c r="D297" s="768">
        <f ca="1">INDIRECT("'kc-Wert für Stützen'!"&amp;SUBSTITUTE(ADDRESS(MATCH($A297,'kc-Wert für Stützen'!$C:$C,0),MATCH(D$7,'kc-Wert für Stützen'!$A$8:$ES$8,0)+7,4),,))</f>
        <v>119145.34390657114</v>
      </c>
      <c r="E297" s="768">
        <f ca="1">INDIRECT("'kc-Wert für Stützen'!"&amp;SUBSTITUTE(ADDRESS(MATCH($A297,'kc-Wert für Stützen'!$C:$C,0),MATCH(E$7,'kc-Wert für Stützen'!$A$8:$ES$8,0)+7,4),,))</f>
        <v>118857.09780022949</v>
      </c>
      <c r="F297" s="768">
        <f ca="1">INDIRECT("'kc-Wert für Stützen'!"&amp;SUBSTITUTE(ADDRESS(MATCH($A297,'kc-Wert für Stützen'!$C:$C,0),MATCH(F$7,'kc-Wert für Stützen'!$A$8:$ES$8,0)+7,4),,))</f>
        <v>118557.69791488725</v>
      </c>
      <c r="G297" s="768">
        <f ca="1">INDIRECT("'kc-Wert für Stützen'!"&amp;SUBSTITUTE(ADDRESS(MATCH($A297,'kc-Wert für Stützen'!$C:$C,0),MATCH(G$7,'kc-Wert für Stützen'!$A$8:$ES$8,0)+7,4),,))</f>
        <v>118246.15011476951</v>
      </c>
      <c r="H297" s="768">
        <f ca="1">INDIRECT("'kc-Wert für Stützen'!"&amp;SUBSTITUTE(ADDRESS(MATCH($A297,'kc-Wert für Stützen'!$C:$C,0),MATCH(H$7,'kc-Wert für Stützen'!$A$8:$ES$8,0)+7,4),,))</f>
        <v>117921.3739992863</v>
      </c>
      <c r="I297" s="768">
        <f ca="1">INDIRECT("'kc-Wert für Stützen'!"&amp;SUBSTITUTE(ADDRESS(MATCH($A297,'kc-Wert für Stützen'!$C:$C,0),MATCH(I$7,'kc-Wert für Stützen'!$A$8:$ES$8,0)+7,4),,))</f>
        <v>117582.19424398696</v>
      </c>
      <c r="J297" s="768">
        <f ca="1">INDIRECT("'kc-Wert für Stützen'!"&amp;SUBSTITUTE(ADDRESS(MATCH($A297,'kc-Wert für Stützen'!$C:$C,0),MATCH(J$7,'kc-Wert für Stützen'!$A$8:$ES$8,0)+7,4),,))</f>
        <v>117227.33133044442</v>
      </c>
      <c r="K297" s="768">
        <f ca="1">INDIRECT("'kc-Wert für Stützen'!"&amp;SUBSTITUTE(ADDRESS(MATCH($A297,'kc-Wert für Stützen'!$C:$C,0),MATCH(K$7,'kc-Wert für Stützen'!$A$8:$ES$8,0)+7,4),,))</f>
        <v>116855.3917267397</v>
      </c>
      <c r="L297" s="768">
        <f ca="1">INDIRECT("'kc-Wert für Stützen'!"&amp;SUBSTITUTE(ADDRESS(MATCH($A297,'kc-Wert für Stützen'!$C:$C,0),MATCH(L$7,'kc-Wert für Stützen'!$A$8:$ES$8,0)+7,4),,))</f>
        <v>116464.85763377522</v>
      </c>
      <c r="M297" s="768">
        <f ca="1">INDIRECT("'kc-Wert für Stützen'!"&amp;SUBSTITUTE(ADDRESS(MATCH($A297,'kc-Wert für Stützen'!$C:$C,0),MATCH(M$7,'kc-Wert für Stützen'!$A$8:$ES$8,0)+7,4),,))</f>
        <v>116054.0764865532</v>
      </c>
      <c r="N297" s="768">
        <f ca="1">INDIRECT("'kc-Wert für Stützen'!"&amp;SUBSTITUTE(ADDRESS(MATCH($A297,'kc-Wert für Stützen'!$C:$C,0),MATCH(N$7,'kc-Wert für Stützen'!$A$8:$ES$8,0)+7,4),,))</f>
        <v>115621.25049951473</v>
      </c>
      <c r="O297" s="768">
        <f ca="1">INDIRECT("'kc-Wert für Stützen'!"&amp;SUBSTITUTE(ADDRESS(MATCH($A297,'kc-Wert für Stützen'!$C:$C,0),MATCH(O$7,'kc-Wert für Stützen'!$A$8:$ES$8,0)+7,4),,))</f>
        <v>115164.42667761695</v>
      </c>
      <c r="P297" s="768">
        <f ca="1">INDIRECT("'kc-Wert für Stützen'!"&amp;SUBSTITUTE(ADDRESS(MATCH($A297,'kc-Wert für Stützen'!$C:$C,0),MATCH(P$7,'kc-Wert für Stützen'!$A$8:$ES$8,0)+7,4),,))</f>
        <v>114681.4878870738</v>
      </c>
      <c r="S297" s="772">
        <f t="shared" ca="1" si="124"/>
        <v>119145.34390657114</v>
      </c>
      <c r="T297" s="772">
        <f t="shared" ca="1" si="128"/>
        <v>119145.34390657114</v>
      </c>
      <c r="U297" s="772">
        <f t="shared" ca="1" si="128"/>
        <v>119145.34390657114</v>
      </c>
      <c r="V297" s="772">
        <f t="shared" ca="1" si="128"/>
        <v>118857.09780022949</v>
      </c>
      <c r="W297" s="772">
        <f t="shared" ca="1" si="128"/>
        <v>118557.69791488725</v>
      </c>
      <c r="X297" s="772">
        <f t="shared" ca="1" si="128"/>
        <v>118246.15011476951</v>
      </c>
      <c r="Y297" s="772">
        <f t="shared" ca="1" si="128"/>
        <v>117921.3739992863</v>
      </c>
      <c r="Z297" s="772">
        <f t="shared" ca="1" si="128"/>
        <v>119145.34390657114</v>
      </c>
      <c r="AA297" s="772">
        <f t="shared" ca="1" si="128"/>
        <v>119145.34390657114</v>
      </c>
      <c r="AB297" s="772">
        <f t="shared" ca="1" si="140"/>
        <v>118857.09780022949</v>
      </c>
      <c r="AC297" s="772">
        <f t="shared" ca="1" si="140"/>
        <v>118857.09780022949</v>
      </c>
      <c r="AD297" s="772">
        <f t="shared" ca="1" si="140"/>
        <v>118557.69791488725</v>
      </c>
      <c r="AE297" s="772">
        <f t="shared" ca="1" si="140"/>
        <v>118557.69791488725</v>
      </c>
      <c r="AF297" s="772">
        <f t="shared" ca="1" si="140"/>
        <v>118246.15011476951</v>
      </c>
      <c r="AG297" s="772">
        <f t="shared" ca="1" si="140"/>
        <v>118246.15011476951</v>
      </c>
      <c r="AH297" s="772">
        <f t="shared" ca="1" si="140"/>
        <v>118246.15011476951</v>
      </c>
      <c r="AI297" s="772">
        <f t="shared" ca="1" si="140"/>
        <v>119145.34390657114</v>
      </c>
      <c r="AJ297" s="772">
        <f t="shared" ca="1" si="140"/>
        <v>119145.34390657114</v>
      </c>
      <c r="AK297" s="772">
        <f t="shared" ca="1" si="140"/>
        <v>118857.09780022949</v>
      </c>
      <c r="AL297" s="772">
        <f t="shared" ca="1" si="140"/>
        <v>118857.09780022949</v>
      </c>
      <c r="AM297" s="772">
        <f t="shared" ca="1" si="140"/>
        <v>118557.69791488725</v>
      </c>
      <c r="AN297" s="772">
        <f t="shared" ca="1" si="140"/>
        <v>118557.69791488725</v>
      </c>
      <c r="AO297" s="772">
        <f t="shared" ca="1" si="140"/>
        <v>118246.15011476951</v>
      </c>
      <c r="AP297" s="772">
        <f t="shared" ca="1" si="140"/>
        <v>118246.15011476951</v>
      </c>
      <c r="AQ297" s="772">
        <f t="shared" ca="1" si="140"/>
        <v>118246.15011476951</v>
      </c>
      <c r="AR297" s="772">
        <f t="shared" ca="1" si="138"/>
        <v>119145.34390657114</v>
      </c>
      <c r="AS297" s="772">
        <f t="shared" ca="1" si="138"/>
        <v>119145.34390657114</v>
      </c>
      <c r="AT297" s="772">
        <f t="shared" ca="1" si="138"/>
        <v>118857.09780022949</v>
      </c>
      <c r="AU297" s="772">
        <f t="shared" ca="1" si="138"/>
        <v>118857.09780022949</v>
      </c>
      <c r="AV297" s="772">
        <f t="shared" ca="1" si="138"/>
        <v>118557.69791488725</v>
      </c>
      <c r="AW297" s="772">
        <f t="shared" ca="1" si="138"/>
        <v>118557.69791488725</v>
      </c>
      <c r="AX297" s="772">
        <f t="shared" ca="1" si="138"/>
        <v>118246.15011476951</v>
      </c>
      <c r="AY297" s="772">
        <f t="shared" ca="1" si="138"/>
        <v>118246.15011476951</v>
      </c>
      <c r="AZ297" s="772">
        <f t="shared" ca="1" si="138"/>
        <v>118246.15011476951</v>
      </c>
      <c r="BA297" s="772">
        <f t="shared" ca="1" si="138"/>
        <v>119145.34390657114</v>
      </c>
      <c r="BB297" s="772">
        <f t="shared" ca="1" si="138"/>
        <v>119145.34390657114</v>
      </c>
      <c r="BC297" s="772">
        <f t="shared" ca="1" si="138"/>
        <v>118857.09780022949</v>
      </c>
      <c r="BD297" s="772">
        <f t="shared" ca="1" si="138"/>
        <v>118557.69791488725</v>
      </c>
      <c r="BE297" s="772">
        <f t="shared" ca="1" si="138"/>
        <v>118557.69791488725</v>
      </c>
      <c r="BF297" s="772">
        <f t="shared" ca="1" si="138"/>
        <v>118246.15011476951</v>
      </c>
      <c r="BG297" s="772">
        <f t="shared" ref="BG297:BG307" ca="1" si="145">HLOOKUP(BG$7,$A$7:$P$348,ROW()-6)</f>
        <v>118246.15011476951</v>
      </c>
      <c r="BH297" s="772">
        <f t="shared" ca="1" si="144"/>
        <v>117921.3739992863</v>
      </c>
      <c r="BI297" s="772">
        <f t="shared" ca="1" si="144"/>
        <v>117921.3739992863</v>
      </c>
      <c r="BJ297" s="772">
        <f t="shared" ca="1" si="144"/>
        <v>118857.09780022949</v>
      </c>
      <c r="BK297" s="772">
        <f t="shared" ca="1" si="144"/>
        <v>118857.09780022949</v>
      </c>
      <c r="BL297" s="772">
        <f t="shared" ca="1" si="144"/>
        <v>118857.09780022949</v>
      </c>
      <c r="BM297" s="772">
        <f t="shared" ca="1" si="139"/>
        <v>118857.09780022949</v>
      </c>
      <c r="BN297" s="772">
        <f t="shared" ca="1" si="139"/>
        <v>118246.15011476951</v>
      </c>
      <c r="BO297" s="772">
        <f t="shared" ca="1" si="133"/>
        <v>118246.15011476951</v>
      </c>
      <c r="BP297" s="772">
        <f t="shared" ca="1" si="142"/>
        <v>117921.3739992863</v>
      </c>
      <c r="BQ297" s="772">
        <f t="shared" ca="1" si="142"/>
        <v>117921.3739992863</v>
      </c>
      <c r="BR297" s="772">
        <f t="shared" ca="1" si="142"/>
        <v>117582.19424398696</v>
      </c>
      <c r="BS297" s="772">
        <f t="shared" ca="1" si="142"/>
        <v>118857.09780022949</v>
      </c>
      <c r="BT297" s="772">
        <f t="shared" ca="1" si="142"/>
        <v>118857.09780022949</v>
      </c>
      <c r="BU297" s="772">
        <f t="shared" ca="1" si="142"/>
        <v>118857.09780022949</v>
      </c>
      <c r="BV297" s="772">
        <f t="shared" ca="1" si="142"/>
        <v>118557.69791488725</v>
      </c>
      <c r="BW297" s="772">
        <f t="shared" ca="1" si="125"/>
        <v>118557.69791488725</v>
      </c>
      <c r="BX297" s="772">
        <f t="shared" ca="1" si="143"/>
        <v>117921.3739992863</v>
      </c>
      <c r="BY297" s="772">
        <f t="shared" ca="1" si="143"/>
        <v>117921.3739992863</v>
      </c>
      <c r="BZ297" s="772">
        <f t="shared" ca="1" si="143"/>
        <v>117582.19424398696</v>
      </c>
      <c r="CA297" s="772">
        <f t="shared" ca="1" si="143"/>
        <v>117582.19424398696</v>
      </c>
      <c r="CB297" s="772">
        <f t="shared" ca="1" si="143"/>
        <v>118557.69791488725</v>
      </c>
      <c r="CC297" s="772">
        <f t="shared" ca="1" si="143"/>
        <v>118557.69791488725</v>
      </c>
      <c r="CD297" s="772">
        <f t="shared" ca="1" si="143"/>
        <v>118557.69791488725</v>
      </c>
      <c r="CE297" s="772">
        <f t="shared" ca="1" si="137"/>
        <v>118557.69791488725</v>
      </c>
      <c r="CF297" s="772">
        <f t="shared" ca="1" si="137"/>
        <v>118246.15011476951</v>
      </c>
      <c r="CG297" s="772">
        <f t="shared" ca="1" si="137"/>
        <v>117921.3739992863</v>
      </c>
      <c r="CH297" s="772">
        <f t="shared" ca="1" si="137"/>
        <v>117582.19424398696</v>
      </c>
      <c r="CI297" s="772">
        <f t="shared" ca="1" si="137"/>
        <v>117582.19424398696</v>
      </c>
      <c r="CJ297" s="772">
        <f t="shared" ca="1" si="137"/>
        <v>117227.33133044442</v>
      </c>
    </row>
    <row r="298" spans="1:88" ht="15" customHeight="1">
      <c r="A298" s="770">
        <f>'kc-Wert für Stützen'!C298</f>
        <v>350</v>
      </c>
      <c r="B298" s="768">
        <f ca="1">INDIRECT("'kc-Wert für Stützen'!"&amp;SUBSTITUTE(ADDRESS(MATCH($A298,'kc-Wert für Stützen'!$C:$C,0),MATCH(B$7,'kc-Wert für Stützen'!$A$8:$ES$8,0)+7,4),,))</f>
        <v>120400.09245150018</v>
      </c>
      <c r="C298" s="768">
        <f ca="1">INDIRECT("'kc-Wert für Stützen'!"&amp;SUBSTITUTE(ADDRESS(MATCH($A298,'kc-Wert für Stützen'!$C:$C,0),MATCH(C$7,'kc-Wert für Stützen'!$A$8:$ES$8,0)+7,4),,))</f>
        <v>120131.43931035876</v>
      </c>
      <c r="D298" s="768">
        <f ca="1">INDIRECT("'kc-Wert für Stützen'!"&amp;SUBSTITUTE(ADDRESS(MATCH($A298,'kc-Wert für Stützen'!$C:$C,0),MATCH(D$7,'kc-Wert für Stützen'!$A$8:$ES$8,0)+7,4),,))</f>
        <v>119853.46041756483</v>
      </c>
      <c r="E298" s="768">
        <f ca="1">INDIRECT("'kc-Wert für Stützen'!"&amp;SUBSTITUTE(ADDRESS(MATCH($A298,'kc-Wert für Stützen'!$C:$C,0),MATCH(E$7,'kc-Wert für Stützen'!$A$8:$ES$8,0)+7,4),,))</f>
        <v>119565.31878283666</v>
      </c>
      <c r="F298" s="768">
        <f ca="1">INDIRECT("'kc-Wert für Stützen'!"&amp;SUBSTITUTE(ADDRESS(MATCH($A298,'kc-Wert für Stützen'!$C:$C,0),MATCH(F$7,'kc-Wert für Stützen'!$A$8:$ES$8,0)+7,4),,))</f>
        <v>119266.10757350065</v>
      </c>
      <c r="G298" s="768">
        <f ca="1">INDIRECT("'kc-Wert für Stützen'!"&amp;SUBSTITUTE(ADDRESS(MATCH($A298,'kc-Wert für Stützen'!$C:$C,0),MATCH(G$7,'kc-Wert für Stützen'!$A$8:$ES$8,0)+7,4),,))</f>
        <v>118954.84283956002</v>
      </c>
      <c r="H298" s="768">
        <f ca="1">INDIRECT("'kc-Wert für Stützen'!"&amp;SUBSTITUTE(ADDRESS(MATCH($A298,'kc-Wert für Stützen'!$C:$C,0),MATCH(H$7,'kc-Wert für Stützen'!$A$8:$ES$8,0)+7,4),,))</f>
        <v>118630.45561483994</v>
      </c>
      <c r="I298" s="768">
        <f ca="1">INDIRECT("'kc-Wert für Stützen'!"&amp;SUBSTITUTE(ADDRESS(MATCH($A298,'kc-Wert für Stützen'!$C:$C,0),MATCH(I$7,'kc-Wert für Stützen'!$A$8:$ES$8,0)+7,4),,))</f>
        <v>118291.78338985084</v>
      </c>
      <c r="J298" s="768">
        <f ca="1">INDIRECT("'kc-Wert für Stützen'!"&amp;SUBSTITUTE(ADDRESS(MATCH($A298,'kc-Wert für Stützen'!$C:$C,0),MATCH(J$7,'kc-Wert für Stützen'!$A$8:$ES$8,0)+7,4),,))</f>
        <v>117937.56097687829</v>
      </c>
      <c r="K298" s="768">
        <f ca="1">INDIRECT("'kc-Wert für Stützen'!"&amp;SUBSTITUTE(ADDRESS(MATCH($A298,'kc-Wert für Stützen'!$C:$C,0),MATCH(K$7,'kc-Wert für Stützen'!$A$8:$ES$8,0)+7,4),,))</f>
        <v>117566.41082388755</v>
      </c>
      <c r="L298" s="768">
        <f ca="1">INDIRECT("'kc-Wert für Stützen'!"&amp;SUBSTITUTE(ADDRESS(MATCH($A298,'kc-Wert für Stützen'!$C:$C,0),MATCH(L$7,'kc-Wert für Stützen'!$A$8:$ES$8,0)+7,4),,))</f>
        <v>117176.83288479185</v>
      </c>
      <c r="M298" s="768">
        <f ca="1">INDIRECT("'kc-Wert für Stützen'!"&amp;SUBSTITUTE(ADDRESS(MATCH($A298,'kc-Wert für Stützen'!$C:$C,0),MATCH(M$7,'kc-Wert für Stützen'!$A$8:$ES$8,0)+7,4),,))</f>
        <v>116767.19422403187</v>
      </c>
      <c r="N298" s="768">
        <f ca="1">INDIRECT("'kc-Wert für Stützen'!"&amp;SUBSTITUTE(ADDRESS(MATCH($A298,'kc-Wert für Stützen'!$C:$C,0),MATCH(N$7,'kc-Wert für Stützen'!$A$8:$ES$8,0)+7,4),,))</f>
        <v>116335.71862874334</v>
      </c>
      <c r="O298" s="768">
        <f ca="1">INDIRECT("'kc-Wert für Stützen'!"&amp;SUBSTITUTE(ADDRESS(MATCH($A298,'kc-Wert für Stützen'!$C:$C,0),MATCH(O$7,'kc-Wert für Stützen'!$A$8:$ES$8,0)+7,4),,))</f>
        <v>115880.47662838611</v>
      </c>
      <c r="P298" s="768">
        <f ca="1">INDIRECT("'kc-Wert für Stützen'!"&amp;SUBSTITUTE(ADDRESS(MATCH($A298,'kc-Wert für Stützen'!$C:$C,0),MATCH(P$7,'kc-Wert für Stützen'!$A$8:$ES$8,0)+7,4),,))</f>
        <v>115399.37648644378</v>
      </c>
      <c r="S298" s="772">
        <f t="shared" ca="1" si="124"/>
        <v>119853.46041756483</v>
      </c>
      <c r="T298" s="772">
        <f t="shared" ca="1" si="128"/>
        <v>119853.46041756483</v>
      </c>
      <c r="U298" s="772">
        <f t="shared" ca="1" si="128"/>
        <v>119853.46041756483</v>
      </c>
      <c r="V298" s="772">
        <f t="shared" ca="1" si="128"/>
        <v>119565.31878283666</v>
      </c>
      <c r="W298" s="772">
        <f t="shared" ca="1" si="128"/>
        <v>119266.10757350065</v>
      </c>
      <c r="X298" s="772">
        <f t="shared" ca="1" si="128"/>
        <v>118954.84283956002</v>
      </c>
      <c r="Y298" s="772">
        <f t="shared" ca="1" si="128"/>
        <v>118630.45561483994</v>
      </c>
      <c r="Z298" s="772">
        <f t="shared" ca="1" si="128"/>
        <v>119853.46041756483</v>
      </c>
      <c r="AA298" s="772">
        <f t="shared" ca="1" si="128"/>
        <v>119853.46041756483</v>
      </c>
      <c r="AB298" s="772">
        <f t="shared" ca="1" si="140"/>
        <v>119565.31878283666</v>
      </c>
      <c r="AC298" s="772">
        <f t="shared" ca="1" si="140"/>
        <v>119565.31878283666</v>
      </c>
      <c r="AD298" s="772">
        <f t="shared" ca="1" si="140"/>
        <v>119266.10757350065</v>
      </c>
      <c r="AE298" s="772">
        <f t="shared" ca="1" si="140"/>
        <v>119266.10757350065</v>
      </c>
      <c r="AF298" s="772">
        <f t="shared" ca="1" si="140"/>
        <v>118954.84283956002</v>
      </c>
      <c r="AG298" s="772">
        <f t="shared" ca="1" si="140"/>
        <v>118954.84283956002</v>
      </c>
      <c r="AH298" s="772">
        <f t="shared" ca="1" si="140"/>
        <v>118954.84283956002</v>
      </c>
      <c r="AI298" s="772">
        <f t="shared" ca="1" si="140"/>
        <v>119853.46041756483</v>
      </c>
      <c r="AJ298" s="772">
        <f t="shared" ca="1" si="140"/>
        <v>119853.46041756483</v>
      </c>
      <c r="AK298" s="772">
        <f t="shared" ca="1" si="140"/>
        <v>119565.31878283666</v>
      </c>
      <c r="AL298" s="772">
        <f t="shared" ca="1" si="140"/>
        <v>119565.31878283666</v>
      </c>
      <c r="AM298" s="772">
        <f t="shared" ca="1" si="140"/>
        <v>119266.10757350065</v>
      </c>
      <c r="AN298" s="772">
        <f t="shared" ca="1" si="140"/>
        <v>119266.10757350065</v>
      </c>
      <c r="AO298" s="772">
        <f t="shared" ca="1" si="140"/>
        <v>118954.84283956002</v>
      </c>
      <c r="AP298" s="772">
        <f t="shared" ca="1" si="140"/>
        <v>118954.84283956002</v>
      </c>
      <c r="AQ298" s="772">
        <f t="shared" ca="1" si="140"/>
        <v>118954.84283956002</v>
      </c>
      <c r="AR298" s="772">
        <f t="shared" ref="AR298:BG310" ca="1" si="146">HLOOKUP(AR$7,$A$7:$P$348,ROW()-6)</f>
        <v>119853.46041756483</v>
      </c>
      <c r="AS298" s="772">
        <f t="shared" ca="1" si="146"/>
        <v>119853.46041756483</v>
      </c>
      <c r="AT298" s="772">
        <f t="shared" ca="1" si="146"/>
        <v>119565.31878283666</v>
      </c>
      <c r="AU298" s="772">
        <f t="shared" ca="1" si="146"/>
        <v>119565.31878283666</v>
      </c>
      <c r="AV298" s="772">
        <f t="shared" ca="1" si="146"/>
        <v>119266.10757350065</v>
      </c>
      <c r="AW298" s="772">
        <f t="shared" ca="1" si="146"/>
        <v>119266.10757350065</v>
      </c>
      <c r="AX298" s="772">
        <f t="shared" ca="1" si="146"/>
        <v>118954.84283956002</v>
      </c>
      <c r="AY298" s="772">
        <f t="shared" ca="1" si="146"/>
        <v>118954.84283956002</v>
      </c>
      <c r="AZ298" s="772">
        <f t="shared" ca="1" si="146"/>
        <v>118954.84283956002</v>
      </c>
      <c r="BA298" s="772">
        <f t="shared" ca="1" si="146"/>
        <v>119853.46041756483</v>
      </c>
      <c r="BB298" s="772">
        <f t="shared" ca="1" si="146"/>
        <v>119853.46041756483</v>
      </c>
      <c r="BC298" s="772">
        <f t="shared" ca="1" si="146"/>
        <v>119565.31878283666</v>
      </c>
      <c r="BD298" s="772">
        <f t="shared" ca="1" si="146"/>
        <v>119266.10757350065</v>
      </c>
      <c r="BE298" s="772">
        <f t="shared" ca="1" si="146"/>
        <v>119266.10757350065</v>
      </c>
      <c r="BF298" s="772">
        <f t="shared" ca="1" si="146"/>
        <v>118954.84283956002</v>
      </c>
      <c r="BG298" s="772">
        <f t="shared" ca="1" si="145"/>
        <v>118954.84283956002</v>
      </c>
      <c r="BH298" s="772">
        <f t="shared" ca="1" si="144"/>
        <v>118630.45561483994</v>
      </c>
      <c r="BI298" s="772">
        <f t="shared" ca="1" si="144"/>
        <v>118630.45561483994</v>
      </c>
      <c r="BJ298" s="772">
        <f t="shared" ca="1" si="144"/>
        <v>119565.31878283666</v>
      </c>
      <c r="BK298" s="772">
        <f t="shared" ca="1" si="144"/>
        <v>119565.31878283666</v>
      </c>
      <c r="BL298" s="772">
        <f t="shared" ca="1" si="144"/>
        <v>119565.31878283666</v>
      </c>
      <c r="BM298" s="772">
        <f t="shared" ca="1" si="139"/>
        <v>119565.31878283666</v>
      </c>
      <c r="BN298" s="772">
        <f t="shared" ca="1" si="139"/>
        <v>118954.84283956002</v>
      </c>
      <c r="BO298" s="772">
        <f t="shared" ca="1" si="133"/>
        <v>118954.84283956002</v>
      </c>
      <c r="BP298" s="772">
        <f t="shared" ca="1" si="142"/>
        <v>118630.45561483994</v>
      </c>
      <c r="BQ298" s="772">
        <f t="shared" ca="1" si="142"/>
        <v>118630.45561483994</v>
      </c>
      <c r="BR298" s="772">
        <f t="shared" ca="1" si="142"/>
        <v>118291.78338985084</v>
      </c>
      <c r="BS298" s="772">
        <f t="shared" ca="1" si="142"/>
        <v>119565.31878283666</v>
      </c>
      <c r="BT298" s="772">
        <f t="shared" ca="1" si="142"/>
        <v>119565.31878283666</v>
      </c>
      <c r="BU298" s="772">
        <f t="shared" ca="1" si="142"/>
        <v>119565.31878283666</v>
      </c>
      <c r="BV298" s="772">
        <f t="shared" ca="1" si="142"/>
        <v>119266.10757350065</v>
      </c>
      <c r="BW298" s="772">
        <f t="shared" ref="BO298:CD310" ca="1" si="147">HLOOKUP(BW$7,$A$7:$P$348,ROW()-6)</f>
        <v>119266.10757350065</v>
      </c>
      <c r="BX298" s="772">
        <f t="shared" ca="1" si="147"/>
        <v>118630.45561483994</v>
      </c>
      <c r="BY298" s="772">
        <f t="shared" ca="1" si="147"/>
        <v>118630.45561483994</v>
      </c>
      <c r="BZ298" s="772">
        <f t="shared" ca="1" si="147"/>
        <v>118291.78338985084</v>
      </c>
      <c r="CA298" s="772">
        <f t="shared" ca="1" si="147"/>
        <v>118291.78338985084</v>
      </c>
      <c r="CB298" s="772">
        <f t="shared" ca="1" si="147"/>
        <v>119266.10757350065</v>
      </c>
      <c r="CC298" s="772">
        <f t="shared" ca="1" si="147"/>
        <v>119266.10757350065</v>
      </c>
      <c r="CD298" s="772">
        <f t="shared" ca="1" si="147"/>
        <v>119266.10757350065</v>
      </c>
      <c r="CE298" s="772">
        <f t="shared" ca="1" si="137"/>
        <v>119266.10757350065</v>
      </c>
      <c r="CF298" s="772">
        <f t="shared" ca="1" si="137"/>
        <v>118954.84283956002</v>
      </c>
      <c r="CG298" s="772">
        <f t="shared" ca="1" si="137"/>
        <v>118630.45561483994</v>
      </c>
      <c r="CH298" s="772">
        <f t="shared" ca="1" si="137"/>
        <v>118291.78338985084</v>
      </c>
      <c r="CI298" s="772">
        <f t="shared" ca="1" si="137"/>
        <v>118291.78338985084</v>
      </c>
      <c r="CJ298" s="772">
        <f t="shared" ca="1" si="137"/>
        <v>117937.56097687829</v>
      </c>
    </row>
    <row r="299" spans="1:88" ht="15" customHeight="1">
      <c r="A299" s="770">
        <f>'kc-Wert für Stützen'!C299</f>
        <v>351</v>
      </c>
      <c r="B299" s="768">
        <f ca="1">INDIRECT("'kc-Wert für Stützen'!"&amp;SUBSTITUTE(ADDRESS(MATCH($A299,'kc-Wert für Stützen'!$C:$C,0),MATCH(B$7,'kc-Wert für Stützen'!$A$8:$ES$8,0)+7,4),,))</f>
        <v>121110.24920304772</v>
      </c>
      <c r="C299" s="768">
        <f ca="1">INDIRECT("'kc-Wert für Stützen'!"&amp;SUBSTITUTE(ADDRESS(MATCH($A299,'kc-Wert für Stützen'!$C:$C,0),MATCH(C$7,'kc-Wert für Stützen'!$A$8:$ES$8,0)+7,4),,))</f>
        <v>120841.55317577798</v>
      </c>
      <c r="D299" s="768">
        <f ca="1">INDIRECT("'kc-Wert für Stützen'!"&amp;SUBSTITUTE(ADDRESS(MATCH($A299,'kc-Wert für Stützen'!$C:$C,0),MATCH(D$7,'kc-Wert für Stützen'!$A$8:$ES$8,0)+7,4),,))</f>
        <v>120563.59766728105</v>
      </c>
      <c r="E299" s="768">
        <f ca="1">INDIRECT("'kc-Wert für Stützen'!"&amp;SUBSTITUTE(ADDRESS(MATCH($A299,'kc-Wert für Stützen'!$C:$C,0),MATCH(E$7,'kc-Wert für Stützen'!$A$8:$ES$8,0)+7,4),,))</f>
        <v>120275.55361854933</v>
      </c>
      <c r="F299" s="768">
        <f ca="1">INDIRECT("'kc-Wert für Stützen'!"&amp;SUBSTITUTE(ADDRESS(MATCH($A299,'kc-Wert für Stützen'!$C:$C,0),MATCH(F$7,'kc-Wert für Stützen'!$A$8:$ES$8,0)+7,4),,))</f>
        <v>119976.52311619886</v>
      </c>
      <c r="G299" s="768">
        <f ca="1">INDIRECT("'kc-Wert für Stützen'!"&amp;SUBSTITUTE(ADDRESS(MATCH($A299,'kc-Wert für Stützen'!$C:$C,0),MATCH(G$7,'kc-Wert für Stützen'!$A$8:$ES$8,0)+7,4),,))</f>
        <v>119665.53223252631</v>
      </c>
      <c r="H299" s="768">
        <f ca="1">INDIRECT("'kc-Wert für Stützen'!"&amp;SUBSTITUTE(ADDRESS(MATCH($A299,'kc-Wert für Stützen'!$C:$C,0),MATCH(H$7,'kc-Wert für Stützen'!$A$8:$ES$8,0)+7,4),,))</f>
        <v>119341.52324996861</v>
      </c>
      <c r="I299" s="768">
        <f ca="1">INDIRECT("'kc-Wert für Stützen'!"&amp;SUBSTITUTE(ADDRESS(MATCH($A299,'kc-Wert für Stützen'!$C:$C,0),MATCH(I$7,'kc-Wert für Stützen'!$A$8:$ES$8,0)+7,4),,))</f>
        <v>119003.34626389327</v>
      </c>
      <c r="J299" s="768">
        <f ca="1">INDIRECT("'kc-Wert für Stützen'!"&amp;SUBSTITUTE(ADDRESS(MATCH($A299,'kc-Wert für Stützen'!$C:$C,0),MATCH(J$7,'kc-Wert für Stützen'!$A$8:$ES$8,0)+7,4),,))</f>
        <v>118649.75018123438</v>
      </c>
      <c r="K299" s="768">
        <f ca="1">INDIRECT("'kc-Wert für Stützen'!"&amp;SUBSTITUTE(ADDRESS(MATCH($A299,'kc-Wert für Stützen'!$C:$C,0),MATCH(K$7,'kc-Wert für Stützen'!$A$8:$ES$8,0)+7,4),,))</f>
        <v>118279.37316677354</v>
      </c>
      <c r="L299" s="768">
        <f ca="1">INDIRECT("'kc-Wert für Stützen'!"&amp;SUBSTITUTE(ADDRESS(MATCH($A299,'kc-Wert für Stützen'!$C:$C,0),MATCH(L$7,'kc-Wert für Stützen'!$A$8:$ES$8,0)+7,4),,))</f>
        <v>117890.73263735094</v>
      </c>
      <c r="M299" s="768">
        <f ca="1">INDIRECT("'kc-Wert für Stützen'!"&amp;SUBSTITUTE(ADDRESS(MATCH($A299,'kc-Wert für Stützen'!$C:$C,0),MATCH(M$7,'kc-Wert für Stützen'!$A$8:$ES$8,0)+7,4),,))</f>
        <v>117482.21497135762</v>
      </c>
      <c r="N299" s="768">
        <f ca="1">INDIRECT("'kc-Wert für Stützen'!"&amp;SUBSTITUTE(ADDRESS(MATCH($A299,'kc-Wert für Stützen'!$C:$C,0),MATCH(N$7,'kc-Wert für Stützen'!$A$8:$ES$8,0)+7,4),,))</f>
        <v>117052.06519176802</v>
      </c>
      <c r="O299" s="768">
        <f ca="1">INDIRECT("'kc-Wert für Stützen'!"&amp;SUBSTITUTE(ADDRESS(MATCH($A299,'kc-Wert für Stützen'!$C:$C,0),MATCH(O$7,'kc-Wert für Stützen'!$A$8:$ES$8,0)+7,4),,))</f>
        <v>116598.37700185488</v>
      </c>
      <c r="P299" s="768">
        <f ca="1">INDIRECT("'kc-Wert für Stützen'!"&amp;SUBSTITUTE(ADDRESS(MATCH($A299,'kc-Wert für Stützen'!$C:$C,0),MATCH(P$7,'kc-Wert für Stützen'!$A$8:$ES$8,0)+7,4),,))</f>
        <v>116119.08371026734</v>
      </c>
      <c r="S299" s="772">
        <f t="shared" ca="1" si="124"/>
        <v>120563.59766728105</v>
      </c>
      <c r="T299" s="772">
        <f t="shared" ca="1" si="128"/>
        <v>120563.59766728105</v>
      </c>
      <c r="U299" s="772">
        <f t="shared" ca="1" si="128"/>
        <v>120563.59766728105</v>
      </c>
      <c r="V299" s="772">
        <f t="shared" ca="1" si="128"/>
        <v>120275.55361854933</v>
      </c>
      <c r="W299" s="772">
        <f t="shared" ca="1" si="128"/>
        <v>119976.52311619886</v>
      </c>
      <c r="X299" s="772">
        <f t="shared" ca="1" si="128"/>
        <v>119665.53223252631</v>
      </c>
      <c r="Y299" s="772">
        <f t="shared" ca="1" si="128"/>
        <v>119341.52324996861</v>
      </c>
      <c r="Z299" s="772">
        <f t="shared" ca="1" si="128"/>
        <v>120563.59766728105</v>
      </c>
      <c r="AA299" s="772">
        <f t="shared" ca="1" si="128"/>
        <v>120563.59766728105</v>
      </c>
      <c r="AB299" s="772">
        <f t="shared" ca="1" si="140"/>
        <v>120275.55361854933</v>
      </c>
      <c r="AC299" s="772">
        <f t="shared" ca="1" si="140"/>
        <v>120275.55361854933</v>
      </c>
      <c r="AD299" s="772">
        <f t="shared" ca="1" si="140"/>
        <v>119976.52311619886</v>
      </c>
      <c r="AE299" s="772">
        <f t="shared" ca="1" si="140"/>
        <v>119976.52311619886</v>
      </c>
      <c r="AF299" s="772">
        <f t="shared" ca="1" si="140"/>
        <v>119665.53223252631</v>
      </c>
      <c r="AG299" s="772">
        <f t="shared" ca="1" si="140"/>
        <v>119665.53223252631</v>
      </c>
      <c r="AH299" s="772">
        <f t="shared" ca="1" si="140"/>
        <v>119665.53223252631</v>
      </c>
      <c r="AI299" s="772">
        <f t="shared" ca="1" si="140"/>
        <v>120563.59766728105</v>
      </c>
      <c r="AJ299" s="772">
        <f t="shared" ca="1" si="140"/>
        <v>120563.59766728105</v>
      </c>
      <c r="AK299" s="772">
        <f t="shared" ca="1" si="140"/>
        <v>120275.55361854933</v>
      </c>
      <c r="AL299" s="772">
        <f t="shared" ca="1" si="140"/>
        <v>120275.55361854933</v>
      </c>
      <c r="AM299" s="772">
        <f t="shared" ca="1" si="140"/>
        <v>119976.52311619886</v>
      </c>
      <c r="AN299" s="772">
        <f t="shared" ca="1" si="140"/>
        <v>119976.52311619886</v>
      </c>
      <c r="AO299" s="772">
        <f t="shared" ca="1" si="140"/>
        <v>119665.53223252631</v>
      </c>
      <c r="AP299" s="772">
        <f t="shared" ca="1" si="140"/>
        <v>119665.53223252631</v>
      </c>
      <c r="AQ299" s="772">
        <f t="shared" ca="1" si="140"/>
        <v>119665.53223252631</v>
      </c>
      <c r="AR299" s="772">
        <f t="shared" ca="1" si="146"/>
        <v>120563.59766728105</v>
      </c>
      <c r="AS299" s="772">
        <f t="shared" ca="1" si="146"/>
        <v>120563.59766728105</v>
      </c>
      <c r="AT299" s="772">
        <f t="shared" ca="1" si="146"/>
        <v>120275.55361854933</v>
      </c>
      <c r="AU299" s="772">
        <f t="shared" ca="1" si="146"/>
        <v>120275.55361854933</v>
      </c>
      <c r="AV299" s="772">
        <f t="shared" ca="1" si="146"/>
        <v>119976.52311619886</v>
      </c>
      <c r="AW299" s="772">
        <f t="shared" ca="1" si="146"/>
        <v>119976.52311619886</v>
      </c>
      <c r="AX299" s="772">
        <f t="shared" ca="1" si="146"/>
        <v>119665.53223252631</v>
      </c>
      <c r="AY299" s="772">
        <f t="shared" ca="1" si="146"/>
        <v>119665.53223252631</v>
      </c>
      <c r="AZ299" s="772">
        <f t="shared" ca="1" si="146"/>
        <v>119665.53223252631</v>
      </c>
      <c r="BA299" s="772">
        <f t="shared" ca="1" si="146"/>
        <v>120563.59766728105</v>
      </c>
      <c r="BB299" s="772">
        <f t="shared" ca="1" si="146"/>
        <v>120563.59766728105</v>
      </c>
      <c r="BC299" s="772">
        <f t="shared" ca="1" si="146"/>
        <v>120275.55361854933</v>
      </c>
      <c r="BD299" s="772">
        <f t="shared" ca="1" si="146"/>
        <v>119976.52311619886</v>
      </c>
      <c r="BE299" s="772">
        <f t="shared" ca="1" si="146"/>
        <v>119976.52311619886</v>
      </c>
      <c r="BF299" s="772">
        <f t="shared" ca="1" si="146"/>
        <v>119665.53223252631</v>
      </c>
      <c r="BG299" s="772">
        <f t="shared" ca="1" si="145"/>
        <v>119665.53223252631</v>
      </c>
      <c r="BH299" s="772">
        <f t="shared" ca="1" si="144"/>
        <v>119341.52324996861</v>
      </c>
      <c r="BI299" s="772">
        <f t="shared" ca="1" si="144"/>
        <v>119341.52324996861</v>
      </c>
      <c r="BJ299" s="772">
        <f t="shared" ca="1" si="144"/>
        <v>120275.55361854933</v>
      </c>
      <c r="BK299" s="772">
        <f t="shared" ca="1" si="144"/>
        <v>120275.55361854933</v>
      </c>
      <c r="BL299" s="772">
        <f t="shared" ca="1" si="144"/>
        <v>120275.55361854933</v>
      </c>
      <c r="BM299" s="772">
        <f t="shared" ca="1" si="139"/>
        <v>120275.55361854933</v>
      </c>
      <c r="BN299" s="772">
        <f t="shared" ca="1" si="139"/>
        <v>119665.53223252631</v>
      </c>
      <c r="BO299" s="772">
        <f t="shared" ca="1" si="147"/>
        <v>119665.53223252631</v>
      </c>
      <c r="BP299" s="772">
        <f t="shared" ca="1" si="147"/>
        <v>119341.52324996861</v>
      </c>
      <c r="BQ299" s="772">
        <f t="shared" ca="1" si="147"/>
        <v>119341.52324996861</v>
      </c>
      <c r="BR299" s="772">
        <f t="shared" ca="1" si="147"/>
        <v>119003.34626389327</v>
      </c>
      <c r="BS299" s="772">
        <f t="shared" ca="1" si="147"/>
        <v>120275.55361854933</v>
      </c>
      <c r="BT299" s="772">
        <f t="shared" ca="1" si="147"/>
        <v>120275.55361854933</v>
      </c>
      <c r="BU299" s="772">
        <f t="shared" ca="1" si="147"/>
        <v>120275.55361854933</v>
      </c>
      <c r="BV299" s="772">
        <f t="shared" ca="1" si="147"/>
        <v>119976.52311619886</v>
      </c>
      <c r="BW299" s="772">
        <f t="shared" ca="1" si="147"/>
        <v>119976.52311619886</v>
      </c>
      <c r="BX299" s="772">
        <f t="shared" ca="1" si="147"/>
        <v>119341.52324996861</v>
      </c>
      <c r="BY299" s="772">
        <f t="shared" ca="1" si="147"/>
        <v>119341.52324996861</v>
      </c>
      <c r="BZ299" s="772">
        <f t="shared" ca="1" si="147"/>
        <v>119003.34626389327</v>
      </c>
      <c r="CA299" s="772">
        <f t="shared" ca="1" si="147"/>
        <v>119003.34626389327</v>
      </c>
      <c r="CB299" s="772">
        <f t="shared" ca="1" si="147"/>
        <v>119976.52311619886</v>
      </c>
      <c r="CC299" s="772">
        <f t="shared" ca="1" si="147"/>
        <v>119976.52311619886</v>
      </c>
      <c r="CD299" s="772">
        <f t="shared" ca="1" si="147"/>
        <v>119976.52311619886</v>
      </c>
      <c r="CE299" s="772">
        <f t="shared" ca="1" si="137"/>
        <v>119976.52311619886</v>
      </c>
      <c r="CF299" s="772">
        <f t="shared" ca="1" si="137"/>
        <v>119665.53223252631</v>
      </c>
      <c r="CG299" s="772">
        <f t="shared" ca="1" si="137"/>
        <v>119341.52324996861</v>
      </c>
      <c r="CH299" s="772">
        <f t="shared" ca="1" si="137"/>
        <v>119003.34626389327</v>
      </c>
      <c r="CI299" s="772">
        <f t="shared" ca="1" si="137"/>
        <v>119003.34626389327</v>
      </c>
      <c r="CJ299" s="772">
        <f t="shared" ca="1" si="137"/>
        <v>118649.75018123438</v>
      </c>
    </row>
    <row r="300" spans="1:88" ht="15" customHeight="1">
      <c r="A300" s="770">
        <f>'kc-Wert für Stützen'!C300</f>
        <v>352</v>
      </c>
      <c r="B300" s="768">
        <f ca="1">INDIRECT("'kc-Wert für Stützen'!"&amp;SUBSTITUTE(ADDRESS(MATCH($A300,'kc-Wert für Stützen'!$C:$C,0),MATCH(B$7,'kc-Wert für Stützen'!$A$8:$ES$8,0)+7,4),,))</f>
        <v>121822.43814684496</v>
      </c>
      <c r="C300" s="768">
        <f ca="1">INDIRECT("'kc-Wert für Stützen'!"&amp;SUBSTITUTE(ADDRESS(MATCH($A300,'kc-Wert für Stützen'!$C:$C,0),MATCH(C$7,'kc-Wert für Stützen'!$A$8:$ES$8,0)+7,4),,))</f>
        <v>121553.69417859014</v>
      </c>
      <c r="D300" s="768">
        <f ca="1">INDIRECT("'kc-Wert für Stützen'!"&amp;SUBSTITUTE(ADDRESS(MATCH($A300,'kc-Wert für Stützen'!$C:$C,0),MATCH(D$7,'kc-Wert für Stützen'!$A$8:$ES$8,0)+7,4),,))</f>
        <v>121275.75619874171</v>
      </c>
      <c r="E300" s="768">
        <f ca="1">INDIRECT("'kc-Wert für Stützen'!"&amp;SUBSTITUTE(ADDRESS(MATCH($A300,'kc-Wert für Stützen'!$C:$C,0),MATCH(E$7,'kc-Wert für Stützen'!$A$8:$ES$8,0)+7,4),,))</f>
        <v>120987.80295689433</v>
      </c>
      <c r="F300" s="768">
        <f ca="1">INDIRECT("'kc-Wert für Stützen'!"&amp;SUBSTITUTE(ADDRESS(MATCH($A300,'kc-Wert für Stützen'!$C:$C,0),MATCH(F$7,'kc-Wert für Stützen'!$A$8:$ES$8,0)+7,4),,))</f>
        <v>120688.94531854781</v>
      </c>
      <c r="G300" s="768">
        <f ca="1">INDIRECT("'kc-Wert für Stützen'!"&amp;SUBSTITUTE(ADDRESS(MATCH($A300,'kc-Wert für Stützen'!$C:$C,0),MATCH(G$7,'kc-Wert für Stützen'!$A$8:$ES$8,0)+7,4),,))</f>
        <v>120378.21921808696</v>
      </c>
      <c r="H300" s="768">
        <f ca="1">INDIRECT("'kc-Wert für Stützen'!"&amp;SUBSTITUTE(ADDRESS(MATCH($A300,'kc-Wert für Stützen'!$C:$C,0),MATCH(H$7,'kc-Wert für Stützen'!$A$8:$ES$8,0)+7,4),,))</f>
        <v>120054.57800447627</v>
      </c>
      <c r="I300" s="768">
        <f ca="1">INDIRECT("'kc-Wert für Stützen'!"&amp;SUBSTITUTE(ADDRESS(MATCH($A300,'kc-Wert für Stützen'!$C:$C,0),MATCH(I$7,'kc-Wert für Stützen'!$A$8:$ES$8,0)+7,4),,))</f>
        <v>119716.88417200555</v>
      </c>
      <c r="J300" s="768">
        <f ca="1">INDIRECT("'kc-Wert für Stützen'!"&amp;SUBSTITUTE(ADDRESS(MATCH($A300,'kc-Wert für Stützen'!$C:$C,0),MATCH(J$7,'kc-Wert für Stützen'!$A$8:$ES$8,0)+7,4),,))</f>
        <v>119363.90049079528</v>
      </c>
      <c r="K300" s="768">
        <f ca="1">INDIRECT("'kc-Wert für Stützen'!"&amp;SUBSTITUTE(ADDRESS(MATCH($A300,'kc-Wert für Stützen'!$C:$C,0),MATCH(K$7,'kc-Wert für Stützen'!$A$8:$ES$8,0)+7,4),,))</f>
        <v>118994.2805843463</v>
      </c>
      <c r="L300" s="768">
        <f ca="1">INDIRECT("'kc-Wert für Stützen'!"&amp;SUBSTITUTE(ADDRESS(MATCH($A300,'kc-Wert für Stützen'!$C:$C,0),MATCH(L$7,'kc-Wert für Stützen'!$A$8:$ES$8,0)+7,4),,))</f>
        <v>118606.55904755782</v>
      </c>
      <c r="M300" s="768">
        <f ca="1">INDIRECT("'kc-Wert für Stützen'!"&amp;SUBSTITUTE(ADDRESS(MATCH($A300,'kc-Wert für Stützen'!$C:$C,0),MATCH(M$7,'kc-Wert für Stützen'!$A$8:$ES$8,0)+7,4),,))</f>
        <v>118199.14126251973</v>
      </c>
      <c r="N300" s="768">
        <f ca="1">INDIRECT("'kc-Wert für Stützen'!"&amp;SUBSTITUTE(ADDRESS(MATCH($A300,'kc-Wert für Stützen'!$C:$C,0),MATCH(N$7,'kc-Wert für Stützen'!$A$8:$ES$8,0)+7,4),,))</f>
        <v>117770.29315608744</v>
      </c>
      <c r="O300" s="768">
        <f ca="1">INDIRECT("'kc-Wert für Stützen'!"&amp;SUBSTITUTE(ADDRESS(MATCH($A300,'kc-Wert für Stützen'!$C:$C,0),MATCH(O$7,'kc-Wert für Stützen'!$A$8:$ES$8,0)+7,4),,))</f>
        <v>117318.13125866947</v>
      </c>
      <c r="P300" s="768">
        <f ca="1">INDIRECT("'kc-Wert für Stützen'!"&amp;SUBSTITUTE(ADDRESS(MATCH($A300,'kc-Wert für Stützen'!$C:$C,0),MATCH(P$7,'kc-Wert für Stützen'!$A$8:$ES$8,0)+7,4),,))</f>
        <v>116840.61357430425</v>
      </c>
      <c r="S300" s="772">
        <f t="shared" ca="1" si="124"/>
        <v>121275.75619874171</v>
      </c>
      <c r="T300" s="772">
        <f t="shared" ca="1" si="128"/>
        <v>121275.75619874171</v>
      </c>
      <c r="U300" s="772">
        <f t="shared" ref="T300:AA328" ca="1" si="148">HLOOKUP(U$7,$A$7:$P$348,ROW()-6)</f>
        <v>121275.75619874171</v>
      </c>
      <c r="V300" s="772">
        <f t="shared" ca="1" si="148"/>
        <v>120987.80295689433</v>
      </c>
      <c r="W300" s="772">
        <f t="shared" ca="1" si="148"/>
        <v>120688.94531854781</v>
      </c>
      <c r="X300" s="772">
        <f t="shared" ca="1" si="148"/>
        <v>120378.21921808696</v>
      </c>
      <c r="Y300" s="772">
        <f t="shared" ca="1" si="148"/>
        <v>120054.57800447627</v>
      </c>
      <c r="Z300" s="772">
        <f t="shared" ca="1" si="148"/>
        <v>121275.75619874171</v>
      </c>
      <c r="AA300" s="772">
        <f t="shared" ca="1" si="148"/>
        <v>121275.75619874171</v>
      </c>
      <c r="AB300" s="772">
        <f t="shared" ca="1" si="140"/>
        <v>120987.80295689433</v>
      </c>
      <c r="AC300" s="772">
        <f t="shared" ca="1" si="140"/>
        <v>120987.80295689433</v>
      </c>
      <c r="AD300" s="772">
        <f t="shared" ca="1" si="140"/>
        <v>120688.94531854781</v>
      </c>
      <c r="AE300" s="772">
        <f t="shared" ca="1" si="140"/>
        <v>120688.94531854781</v>
      </c>
      <c r="AF300" s="772">
        <f t="shared" ca="1" si="140"/>
        <v>120378.21921808696</v>
      </c>
      <c r="AG300" s="772">
        <f t="shared" ca="1" si="140"/>
        <v>120378.21921808696</v>
      </c>
      <c r="AH300" s="772">
        <f t="shared" ca="1" si="140"/>
        <v>120378.21921808696</v>
      </c>
      <c r="AI300" s="772">
        <f t="shared" ca="1" si="140"/>
        <v>121275.75619874171</v>
      </c>
      <c r="AJ300" s="772">
        <f t="shared" ca="1" si="140"/>
        <v>121275.75619874171</v>
      </c>
      <c r="AK300" s="772">
        <f t="shared" ca="1" si="140"/>
        <v>120987.80295689433</v>
      </c>
      <c r="AL300" s="772">
        <f t="shared" ca="1" si="140"/>
        <v>120987.80295689433</v>
      </c>
      <c r="AM300" s="772">
        <f t="shared" ca="1" si="140"/>
        <v>120688.94531854781</v>
      </c>
      <c r="AN300" s="772">
        <f t="shared" ca="1" si="140"/>
        <v>120688.94531854781</v>
      </c>
      <c r="AO300" s="772">
        <f t="shared" ca="1" si="140"/>
        <v>120378.21921808696</v>
      </c>
      <c r="AP300" s="772">
        <f t="shared" ca="1" si="140"/>
        <v>120378.21921808696</v>
      </c>
      <c r="AQ300" s="772">
        <f t="shared" ca="1" si="140"/>
        <v>120378.21921808696</v>
      </c>
      <c r="AR300" s="772">
        <f t="shared" ca="1" si="146"/>
        <v>121275.75619874171</v>
      </c>
      <c r="AS300" s="772">
        <f t="shared" ca="1" si="146"/>
        <v>121275.75619874171</v>
      </c>
      <c r="AT300" s="772">
        <f t="shared" ca="1" si="146"/>
        <v>120987.80295689433</v>
      </c>
      <c r="AU300" s="772">
        <f t="shared" ca="1" si="146"/>
        <v>120987.80295689433</v>
      </c>
      <c r="AV300" s="772">
        <f t="shared" ca="1" si="146"/>
        <v>120688.94531854781</v>
      </c>
      <c r="AW300" s="772">
        <f t="shared" ca="1" si="146"/>
        <v>120688.94531854781</v>
      </c>
      <c r="AX300" s="772">
        <f t="shared" ca="1" si="146"/>
        <v>120378.21921808696</v>
      </c>
      <c r="AY300" s="772">
        <f t="shared" ca="1" si="146"/>
        <v>120378.21921808696</v>
      </c>
      <c r="AZ300" s="772">
        <f t="shared" ca="1" si="146"/>
        <v>120378.21921808696</v>
      </c>
      <c r="BA300" s="772">
        <f t="shared" ca="1" si="146"/>
        <v>121275.75619874171</v>
      </c>
      <c r="BB300" s="772">
        <f t="shared" ca="1" si="146"/>
        <v>121275.75619874171</v>
      </c>
      <c r="BC300" s="772">
        <f t="shared" ca="1" si="146"/>
        <v>120987.80295689433</v>
      </c>
      <c r="BD300" s="772">
        <f t="shared" ca="1" si="146"/>
        <v>120688.94531854781</v>
      </c>
      <c r="BE300" s="772">
        <f t="shared" ca="1" si="146"/>
        <v>120688.94531854781</v>
      </c>
      <c r="BF300" s="772">
        <f t="shared" ca="1" si="146"/>
        <v>120378.21921808696</v>
      </c>
      <c r="BG300" s="772">
        <f t="shared" ca="1" si="145"/>
        <v>120378.21921808696</v>
      </c>
      <c r="BH300" s="772">
        <f t="shared" ca="1" si="144"/>
        <v>120054.57800447627</v>
      </c>
      <c r="BI300" s="772">
        <f t="shared" ca="1" si="144"/>
        <v>120054.57800447627</v>
      </c>
      <c r="BJ300" s="772">
        <f t="shared" ca="1" si="144"/>
        <v>120987.80295689433</v>
      </c>
      <c r="BK300" s="772">
        <f t="shared" ca="1" si="144"/>
        <v>120987.80295689433</v>
      </c>
      <c r="BL300" s="772">
        <f t="shared" ca="1" si="144"/>
        <v>120987.80295689433</v>
      </c>
      <c r="BM300" s="772">
        <f t="shared" ca="1" si="139"/>
        <v>120987.80295689433</v>
      </c>
      <c r="BN300" s="772">
        <f t="shared" ca="1" si="139"/>
        <v>120378.21921808696</v>
      </c>
      <c r="BO300" s="772">
        <f t="shared" ca="1" si="147"/>
        <v>120378.21921808696</v>
      </c>
      <c r="BP300" s="772">
        <f t="shared" ca="1" si="147"/>
        <v>120054.57800447627</v>
      </c>
      <c r="BQ300" s="772">
        <f t="shared" ca="1" si="147"/>
        <v>120054.57800447627</v>
      </c>
      <c r="BR300" s="772">
        <f t="shared" ca="1" si="147"/>
        <v>119716.88417200555</v>
      </c>
      <c r="BS300" s="772">
        <f t="shared" ca="1" si="147"/>
        <v>120987.80295689433</v>
      </c>
      <c r="BT300" s="772">
        <f t="shared" ca="1" si="147"/>
        <v>120987.80295689433</v>
      </c>
      <c r="BU300" s="772">
        <f t="shared" ca="1" si="147"/>
        <v>120987.80295689433</v>
      </c>
      <c r="BV300" s="772">
        <f t="shared" ca="1" si="147"/>
        <v>120688.94531854781</v>
      </c>
      <c r="BW300" s="772">
        <f t="shared" ca="1" si="147"/>
        <v>120688.94531854781</v>
      </c>
      <c r="BX300" s="772">
        <f t="shared" ca="1" si="147"/>
        <v>120054.57800447627</v>
      </c>
      <c r="BY300" s="772">
        <f t="shared" ca="1" si="147"/>
        <v>120054.57800447627</v>
      </c>
      <c r="BZ300" s="772">
        <f t="shared" ca="1" si="147"/>
        <v>119716.88417200555</v>
      </c>
      <c r="CA300" s="772">
        <f t="shared" ca="1" si="147"/>
        <v>119716.88417200555</v>
      </c>
      <c r="CB300" s="772">
        <f t="shared" ca="1" si="147"/>
        <v>120688.94531854781</v>
      </c>
      <c r="CC300" s="772">
        <f t="shared" ca="1" si="147"/>
        <v>120688.94531854781</v>
      </c>
      <c r="CD300" s="772">
        <f t="shared" ca="1" si="147"/>
        <v>120688.94531854781</v>
      </c>
      <c r="CE300" s="772">
        <f t="shared" ca="1" si="137"/>
        <v>120688.94531854781</v>
      </c>
      <c r="CF300" s="772">
        <f t="shared" ca="1" si="137"/>
        <v>120378.21921808696</v>
      </c>
      <c r="CG300" s="772">
        <f t="shared" ca="1" si="137"/>
        <v>120054.57800447627</v>
      </c>
      <c r="CH300" s="772">
        <f t="shared" ca="1" si="137"/>
        <v>119716.88417200555</v>
      </c>
      <c r="CI300" s="772">
        <f t="shared" ca="1" si="137"/>
        <v>119716.88417200555</v>
      </c>
      <c r="CJ300" s="772">
        <f t="shared" ca="1" si="137"/>
        <v>119363.90049079528</v>
      </c>
    </row>
    <row r="301" spans="1:88" ht="15" customHeight="1">
      <c r="A301" s="770">
        <f>'kc-Wert für Stützen'!C301</f>
        <v>353</v>
      </c>
      <c r="B301" s="768">
        <f ca="1">INDIRECT("'kc-Wert für Stützen'!"&amp;SUBSTITUTE(ADDRESS(MATCH($A301,'kc-Wert für Stützen'!$C:$C,0),MATCH(B$7,'kc-Wert für Stützen'!$A$8:$ES$8,0)+7,4),,))</f>
        <v>122536.65965388462</v>
      </c>
      <c r="C301" s="768">
        <f ca="1">INDIRECT("'kc-Wert für Stützen'!"&amp;SUBSTITUTE(ADDRESS(MATCH($A301,'kc-Wert für Stützen'!$C:$C,0),MATCH(C$7,'kc-Wert für Stützen'!$A$8:$ES$8,0)+7,4),,))</f>
        <v>122267.86276396373</v>
      </c>
      <c r="D301" s="768">
        <f ca="1">INDIRECT("'kc-Wert für Stützen'!"&amp;SUBSTITUTE(ADDRESS(MATCH($A301,'kc-Wert für Stützen'!$C:$C,0),MATCH(D$7,'kc-Wert für Stützen'!$A$8:$ES$8,0)+7,4),,))</f>
        <v>121989.93654516667</v>
      </c>
      <c r="E301" s="768">
        <f ca="1">INDIRECT("'kc-Wert für Stützen'!"&amp;SUBSTITUTE(ADDRESS(MATCH($A301,'kc-Wert für Stützen'!$C:$C,0),MATCH(E$7,'kc-Wert für Stützen'!$A$8:$ES$8,0)+7,4),,))</f>
        <v>121702.06743544554</v>
      </c>
      <c r="F301" s="768">
        <f ca="1">INDIRECT("'kc-Wert für Stützen'!"&amp;SUBSTITUTE(ADDRESS(MATCH($A301,'kc-Wert für Stützen'!$C:$C,0),MATCH(F$7,'kc-Wert für Stützen'!$A$8:$ES$8,0)+7,4),,))</f>
        <v>121403.37494157626</v>
      </c>
      <c r="G301" s="768">
        <f ca="1">INDIRECT("'kc-Wert für Stützen'!"&amp;SUBSTITUTE(ADDRESS(MATCH($A301,'kc-Wert für Stützen'!$C:$C,0),MATCH(G$7,'kc-Wert für Stützen'!$A$8:$ES$8,0)+7,4),,))</f>
        <v>121092.90470303067</v>
      </c>
      <c r="H301" s="768">
        <f ca="1">INDIRECT("'kc-Wert für Stützen'!"&amp;SUBSTITUTE(ADDRESS(MATCH($A301,'kc-Wert für Stützen'!$C:$C,0),MATCH(H$7,'kc-Wert für Stützen'!$A$8:$ES$8,0)+7,4),,))</f>
        <v>120769.62095685329</v>
      </c>
      <c r="I301" s="768">
        <f ca="1">INDIRECT("'kc-Wert für Stützen'!"&amp;SUBSTITUTE(ADDRESS(MATCH($A301,'kc-Wert für Stützen'!$C:$C,0),MATCH(I$7,'kc-Wert für Stützen'!$A$8:$ES$8,0)+7,4),,))</f>
        <v>120432.39839440158</v>
      </c>
      <c r="J301" s="768">
        <f ca="1">INDIRECT("'kc-Wert für Stützen'!"&amp;SUBSTITUTE(ADDRESS(MATCH($A301,'kc-Wert für Stützen'!$C:$C,0),MATCH(J$7,'kc-Wert für Stützen'!$A$8:$ES$8,0)+7,4),,))</f>
        <v>120080.01342202858</v>
      </c>
      <c r="K301" s="768">
        <f ca="1">INDIRECT("'kc-Wert für Stützen'!"&amp;SUBSTITUTE(ADDRESS(MATCH($A301,'kc-Wert für Stützen'!$C:$C,0),MATCH(K$7,'kc-Wert für Stützen'!$A$8:$ES$8,0)+7,4),,))</f>
        <v>119711.13486874093</v>
      </c>
      <c r="L301" s="768">
        <f ca="1">INDIRECT("'kc-Wert für Stützen'!"&amp;SUBSTITUTE(ADDRESS(MATCH($A301,'kc-Wert für Stützen'!$C:$C,0),MATCH(L$7,'kc-Wert für Stützen'!$A$8:$ES$8,0)+7,4),,))</f>
        <v>119324.31422776842</v>
      </c>
      <c r="M301" s="768">
        <f ca="1">INDIRECT("'kc-Wert für Stützen'!"&amp;SUBSTITUTE(ADDRESS(MATCH($A301,'kc-Wert für Stützen'!$C:$C,0),MATCH(M$7,'kc-Wert für Stützen'!$A$8:$ES$8,0)+7,4),,))</f>
        <v>118917.97557983764</v>
      </c>
      <c r="N301" s="768">
        <f ca="1">INDIRECT("'kc-Wert für Stützen'!"&amp;SUBSTITUTE(ADDRESS(MATCH($A301,'kc-Wert für Stützen'!$C:$C,0),MATCH(N$7,'kc-Wert für Stützen'!$A$8:$ES$8,0)+7,4),,))</f>
        <v>118490.40542862976</v>
      </c>
      <c r="O301" s="768">
        <f ca="1">INDIRECT("'kc-Wert für Stützen'!"&amp;SUBSTITUTE(ADDRESS(MATCH($A301,'kc-Wert für Stützen'!$C:$C,0),MATCH(O$7,'kc-Wert für Stützen'!$A$8:$ES$8,0)+7,4),,))</f>
        <v>118039.74278911178</v>
      </c>
      <c r="P301" s="768">
        <f ca="1">INDIRECT("'kc-Wert für Stützen'!"&amp;SUBSTITUTE(ADDRESS(MATCH($A301,'kc-Wert für Stützen'!$C:$C,0),MATCH(P$7,'kc-Wert für Stützen'!$A$8:$ES$8,0)+7,4),,))</f>
        <v>117563.97001348015</v>
      </c>
      <c r="S301" s="772">
        <f t="shared" ca="1" si="124"/>
        <v>121989.93654516667</v>
      </c>
      <c r="T301" s="772">
        <f t="shared" ca="1" si="148"/>
        <v>121989.93654516667</v>
      </c>
      <c r="U301" s="772">
        <f t="shared" ca="1" si="148"/>
        <v>121989.93654516667</v>
      </c>
      <c r="V301" s="772">
        <f t="shared" ca="1" si="148"/>
        <v>121702.06743544554</v>
      </c>
      <c r="W301" s="772">
        <f t="shared" ca="1" si="148"/>
        <v>121403.37494157626</v>
      </c>
      <c r="X301" s="772">
        <f t="shared" ca="1" si="148"/>
        <v>121092.90470303067</v>
      </c>
      <c r="Y301" s="772">
        <f t="shared" ca="1" si="148"/>
        <v>120769.62095685329</v>
      </c>
      <c r="Z301" s="772">
        <f t="shared" ca="1" si="148"/>
        <v>121989.93654516667</v>
      </c>
      <c r="AA301" s="772">
        <f t="shared" ca="1" si="148"/>
        <v>121989.93654516667</v>
      </c>
      <c r="AB301" s="772">
        <f t="shared" ca="1" si="140"/>
        <v>121702.06743544554</v>
      </c>
      <c r="AC301" s="772">
        <f t="shared" ca="1" si="140"/>
        <v>121702.06743544554</v>
      </c>
      <c r="AD301" s="772">
        <f t="shared" ca="1" si="140"/>
        <v>121403.37494157626</v>
      </c>
      <c r="AE301" s="772">
        <f t="shared" ca="1" si="140"/>
        <v>121403.37494157626</v>
      </c>
      <c r="AF301" s="772">
        <f t="shared" ref="AB301:AQ321" ca="1" si="149">HLOOKUP(AF$7,$A$7:$P$348,ROW()-6)</f>
        <v>121092.90470303067</v>
      </c>
      <c r="AG301" s="772">
        <f t="shared" ca="1" si="149"/>
        <v>121092.90470303067</v>
      </c>
      <c r="AH301" s="772">
        <f t="shared" ca="1" si="149"/>
        <v>121092.90470303067</v>
      </c>
      <c r="AI301" s="772">
        <f t="shared" ca="1" si="149"/>
        <v>121989.93654516667</v>
      </c>
      <c r="AJ301" s="772">
        <f t="shared" ca="1" si="149"/>
        <v>121989.93654516667</v>
      </c>
      <c r="AK301" s="772">
        <f t="shared" ca="1" si="149"/>
        <v>121702.06743544554</v>
      </c>
      <c r="AL301" s="772">
        <f t="shared" ca="1" si="149"/>
        <v>121702.06743544554</v>
      </c>
      <c r="AM301" s="772">
        <f t="shared" ca="1" si="149"/>
        <v>121403.37494157626</v>
      </c>
      <c r="AN301" s="772">
        <f t="shared" ca="1" si="149"/>
        <v>121403.37494157626</v>
      </c>
      <c r="AO301" s="772">
        <f t="shared" ca="1" si="149"/>
        <v>121092.90470303067</v>
      </c>
      <c r="AP301" s="772">
        <f t="shared" ca="1" si="149"/>
        <v>121092.90470303067</v>
      </c>
      <c r="AQ301" s="772">
        <f t="shared" ca="1" si="149"/>
        <v>121092.90470303067</v>
      </c>
      <c r="AR301" s="772">
        <f t="shared" ca="1" si="146"/>
        <v>121989.93654516667</v>
      </c>
      <c r="AS301" s="772">
        <f t="shared" ca="1" si="146"/>
        <v>121989.93654516667</v>
      </c>
      <c r="AT301" s="772">
        <f t="shared" ca="1" si="146"/>
        <v>121702.06743544554</v>
      </c>
      <c r="AU301" s="772">
        <f t="shared" ca="1" si="146"/>
        <v>121702.06743544554</v>
      </c>
      <c r="AV301" s="772">
        <f t="shared" ca="1" si="146"/>
        <v>121403.37494157626</v>
      </c>
      <c r="AW301" s="772">
        <f t="shared" ca="1" si="146"/>
        <v>121403.37494157626</v>
      </c>
      <c r="AX301" s="772">
        <f t="shared" ca="1" si="146"/>
        <v>121092.90470303067</v>
      </c>
      <c r="AY301" s="772">
        <f t="shared" ca="1" si="146"/>
        <v>121092.90470303067</v>
      </c>
      <c r="AZ301" s="772">
        <f t="shared" ca="1" si="146"/>
        <v>121092.90470303067</v>
      </c>
      <c r="BA301" s="772">
        <f t="shared" ca="1" si="146"/>
        <v>121989.93654516667</v>
      </c>
      <c r="BB301" s="772">
        <f t="shared" ca="1" si="146"/>
        <v>121989.93654516667</v>
      </c>
      <c r="BC301" s="772">
        <f t="shared" ca="1" si="146"/>
        <v>121702.06743544554</v>
      </c>
      <c r="BD301" s="772">
        <f t="shared" ca="1" si="146"/>
        <v>121403.37494157626</v>
      </c>
      <c r="BE301" s="772">
        <f t="shared" ca="1" si="146"/>
        <v>121403.37494157626</v>
      </c>
      <c r="BF301" s="772">
        <f t="shared" ca="1" si="146"/>
        <v>121092.90470303067</v>
      </c>
      <c r="BG301" s="772">
        <f t="shared" ca="1" si="145"/>
        <v>121092.90470303067</v>
      </c>
      <c r="BH301" s="772">
        <f t="shared" ca="1" si="144"/>
        <v>120769.62095685329</v>
      </c>
      <c r="BI301" s="772">
        <f t="shared" ca="1" si="144"/>
        <v>120769.62095685329</v>
      </c>
      <c r="BJ301" s="772">
        <f t="shared" ca="1" si="144"/>
        <v>121702.06743544554</v>
      </c>
      <c r="BK301" s="772">
        <f t="shared" ca="1" si="144"/>
        <v>121702.06743544554</v>
      </c>
      <c r="BL301" s="772">
        <f t="shared" ca="1" si="144"/>
        <v>121702.06743544554</v>
      </c>
      <c r="BM301" s="772">
        <f t="shared" ca="1" si="139"/>
        <v>121702.06743544554</v>
      </c>
      <c r="BN301" s="772">
        <f t="shared" ca="1" si="139"/>
        <v>121092.90470303067</v>
      </c>
      <c r="BO301" s="772">
        <f t="shared" ca="1" si="147"/>
        <v>121092.90470303067</v>
      </c>
      <c r="BP301" s="772">
        <f t="shared" ca="1" si="147"/>
        <v>120769.62095685329</v>
      </c>
      <c r="BQ301" s="772">
        <f t="shared" ca="1" si="147"/>
        <v>120769.62095685329</v>
      </c>
      <c r="BR301" s="772">
        <f t="shared" ca="1" si="147"/>
        <v>120432.39839440158</v>
      </c>
      <c r="BS301" s="772">
        <f t="shared" ca="1" si="147"/>
        <v>121702.06743544554</v>
      </c>
      <c r="BT301" s="772">
        <f t="shared" ca="1" si="147"/>
        <v>121702.06743544554</v>
      </c>
      <c r="BU301" s="772">
        <f t="shared" ca="1" si="147"/>
        <v>121702.06743544554</v>
      </c>
      <c r="BV301" s="772">
        <f t="shared" ca="1" si="147"/>
        <v>121403.37494157626</v>
      </c>
      <c r="BW301" s="772">
        <f t="shared" ca="1" si="147"/>
        <v>121403.37494157626</v>
      </c>
      <c r="BX301" s="772">
        <f t="shared" ca="1" si="147"/>
        <v>120769.62095685329</v>
      </c>
      <c r="BY301" s="772">
        <f t="shared" ca="1" si="147"/>
        <v>120769.62095685329</v>
      </c>
      <c r="BZ301" s="772">
        <f t="shared" ca="1" si="147"/>
        <v>120432.39839440158</v>
      </c>
      <c r="CA301" s="772">
        <f t="shared" ca="1" si="147"/>
        <v>120432.39839440158</v>
      </c>
      <c r="CB301" s="772">
        <f t="shared" ca="1" si="147"/>
        <v>121403.37494157626</v>
      </c>
      <c r="CC301" s="772">
        <f t="shared" ca="1" si="147"/>
        <v>121403.37494157626</v>
      </c>
      <c r="CD301" s="772">
        <f t="shared" ca="1" si="147"/>
        <v>121403.37494157626</v>
      </c>
      <c r="CE301" s="772">
        <f t="shared" ca="1" si="137"/>
        <v>121403.37494157626</v>
      </c>
      <c r="CF301" s="772">
        <f t="shared" ca="1" si="137"/>
        <v>121092.90470303067</v>
      </c>
      <c r="CG301" s="772">
        <f t="shared" ca="1" si="137"/>
        <v>120769.62095685329</v>
      </c>
      <c r="CH301" s="772">
        <f t="shared" ca="1" si="137"/>
        <v>120432.39839440158</v>
      </c>
      <c r="CI301" s="772">
        <f t="shared" ca="1" si="137"/>
        <v>120432.39839440158</v>
      </c>
      <c r="CJ301" s="772">
        <f t="shared" ca="1" si="137"/>
        <v>120080.01342202858</v>
      </c>
    </row>
    <row r="302" spans="1:88" ht="15" customHeight="1">
      <c r="A302" s="770">
        <f>'kc-Wert für Stützen'!C302</f>
        <v>354</v>
      </c>
      <c r="B302" s="768">
        <f ca="1">INDIRECT("'kc-Wert für Stützen'!"&amp;SUBSTITUTE(ADDRESS(MATCH($A302,'kc-Wert für Stützen'!$C:$C,0),MATCH(B$7,'kc-Wert für Stützen'!$A$8:$ES$8,0)+7,4),,))</f>
        <v>123252.91408876062</v>
      </c>
      <c r="C302" s="768">
        <f ca="1">INDIRECT("'kc-Wert für Stützen'!"&amp;SUBSTITUTE(ADDRESS(MATCH($A302,'kc-Wert für Stützen'!$C:$C,0),MATCH(C$7,'kc-Wert für Stützen'!$A$8:$ES$8,0)+7,4),,))</f>
        <v>122984.05936922738</v>
      </c>
      <c r="D302" s="768">
        <f ca="1">INDIRECT("'kc-Wert für Stützen'!"&amp;SUBSTITUTE(ADDRESS(MATCH($A302,'kc-Wert für Stützen'!$C:$C,0),MATCH(D$7,'kc-Wert für Stützen'!$A$8:$ES$8,0)+7,4),,))</f>
        <v>122706.13923019418</v>
      </c>
      <c r="E302" s="768">
        <f ca="1">INDIRECT("'kc-Wert für Stützen'!"&amp;SUBSTITUTE(ADDRESS(MATCH($A302,'kc-Wert für Stützen'!$C:$C,0),MATCH(E$7,'kc-Wert für Stützen'!$A$8:$ES$8,0)+7,4),,))</f>
        <v>122418.34768009615</v>
      </c>
      <c r="F302" s="768">
        <f ca="1">INDIRECT("'kc-Wert für Stützen'!"&amp;SUBSTITUTE(ADDRESS(MATCH($A302,'kc-Wert für Stützen'!$C:$C,0),MATCH(F$7,'kc-Wert für Stützen'!$A$8:$ES$8,0)+7,4),,))</f>
        <v>122119.8127321112</v>
      </c>
      <c r="G302" s="768">
        <f ca="1">INDIRECT("'kc-Wert für Stützen'!"&amp;SUBSTITUTE(ADDRESS(MATCH($A302,'kc-Wert für Stützen'!$C:$C,0),MATCH(G$7,'kc-Wert für Stützen'!$A$8:$ES$8,0)+7,4),,))</f>
        <v>121809.58957692831</v>
      </c>
      <c r="H302" s="768">
        <f ca="1">INDIRECT("'kc-Wert für Stützen'!"&amp;SUBSTITUTE(ADDRESS(MATCH($A302,'kc-Wert für Stützen'!$C:$C,0),MATCH(H$7,'kc-Wert für Stützen'!$A$8:$ES$8,0)+7,4),,))</f>
        <v>121486.65316477959</v>
      </c>
      <c r="I302" s="768">
        <f ca="1">INDIRECT("'kc-Wert für Stützen'!"&amp;SUBSTITUTE(ADDRESS(MATCH($A302,'kc-Wert für Stützen'!$C:$C,0),MATCH(I$7,'kc-Wert für Stützen'!$A$8:$ES$8,0)+7,4),,))</f>
        <v>121149.89018622763</v>
      </c>
      <c r="J302" s="768">
        <f ca="1">INDIRECT("'kc-Wert für Stützen'!"&amp;SUBSTITUTE(ADDRESS(MATCH($A302,'kc-Wert für Stützen'!$C:$C,0),MATCH(J$7,'kc-Wert für Stützen'!$A$8:$ES$8,0)+7,4),,))</f>
        <v>120798.09046132253</v>
      </c>
      <c r="K302" s="768">
        <f ca="1">INDIRECT("'kc-Wert für Stützen'!"&amp;SUBSTITUTE(ADDRESS(MATCH($A302,'kc-Wert für Stützen'!$C:$C,0),MATCH(K$7,'kc-Wert für Stützen'!$A$8:$ES$8,0)+7,4),,))</f>
        <v>120429.93777615779</v>
      </c>
      <c r="L302" s="768">
        <f ca="1">INDIRECT("'kc-Wert für Stützen'!"&amp;SUBSTITUTE(ADDRESS(MATCH($A302,'kc-Wert für Stützen'!$C:$C,0),MATCH(L$7,'kc-Wert für Stützen'!$A$8:$ES$8,0)+7,4),,))</f>
        <v>120044.00024762878</v>
      </c>
      <c r="M302" s="768">
        <f ca="1">INDIRECT("'kc-Wert für Stützen'!"&amp;SUBSTITUTE(ADDRESS(MATCH($A302,'kc-Wert für Stützen'!$C:$C,0),MATCH(M$7,'kc-Wert für Stützen'!$A$8:$ES$8,0)+7,4),,))</f>
        <v>119638.72035517552</v>
      </c>
      <c r="N302" s="768">
        <f ca="1">INDIRECT("'kc-Wert für Stützen'!"&amp;SUBSTITUTE(ADDRESS(MATCH($A302,'kc-Wert für Stützen'!$C:$C,0),MATCH(N$7,'kc-Wert für Stützen'!$A$8:$ES$8,0)+7,4),,))</f>
        <v>119212.40485714906</v>
      </c>
      <c r="O302" s="768">
        <f ca="1">INDIRECT("'kc-Wert für Stützen'!"&amp;SUBSTITUTE(ADDRESS(MATCH($A302,'kc-Wert für Stützen'!$C:$C,0),MATCH(O$7,'kc-Wert für Stützen'!$A$8:$ES$8,0)+7,4),,))</f>
        <v>118763.21491467343</v>
      </c>
      <c r="P302" s="768">
        <f ca="1">INDIRECT("'kc-Wert für Stützen'!"&amp;SUBSTITUTE(ADDRESS(MATCH($A302,'kc-Wert für Stützen'!$C:$C,0),MATCH(P$7,'kc-Wert für Stützen'!$A$8:$ES$8,0)+7,4),,))</f>
        <v>118289.1568836113</v>
      </c>
      <c r="S302" s="772">
        <f t="shared" ca="1" si="124"/>
        <v>122706.13923019418</v>
      </c>
      <c r="T302" s="772">
        <f t="shared" ca="1" si="148"/>
        <v>122706.13923019418</v>
      </c>
      <c r="U302" s="772">
        <f t="shared" ca="1" si="148"/>
        <v>122706.13923019418</v>
      </c>
      <c r="V302" s="772">
        <f t="shared" ca="1" si="148"/>
        <v>122418.34768009615</v>
      </c>
      <c r="W302" s="772">
        <f t="shared" ca="1" si="148"/>
        <v>122119.8127321112</v>
      </c>
      <c r="X302" s="772">
        <f t="shared" ca="1" si="148"/>
        <v>121809.58957692831</v>
      </c>
      <c r="Y302" s="772">
        <f t="shared" ca="1" si="148"/>
        <v>121486.65316477959</v>
      </c>
      <c r="Z302" s="772">
        <f t="shared" ca="1" si="148"/>
        <v>122706.13923019418</v>
      </c>
      <c r="AA302" s="772">
        <f t="shared" ca="1" si="148"/>
        <v>122706.13923019418</v>
      </c>
      <c r="AB302" s="772">
        <f t="shared" ca="1" si="149"/>
        <v>122418.34768009615</v>
      </c>
      <c r="AC302" s="772">
        <f t="shared" ca="1" si="149"/>
        <v>122418.34768009615</v>
      </c>
      <c r="AD302" s="772">
        <f t="shared" ca="1" si="149"/>
        <v>122119.8127321112</v>
      </c>
      <c r="AE302" s="772">
        <f t="shared" ca="1" si="149"/>
        <v>122119.8127321112</v>
      </c>
      <c r="AF302" s="772">
        <f t="shared" ca="1" si="149"/>
        <v>121809.58957692831</v>
      </c>
      <c r="AG302" s="772">
        <f t="shared" ca="1" si="149"/>
        <v>121809.58957692831</v>
      </c>
      <c r="AH302" s="772">
        <f t="shared" ca="1" si="149"/>
        <v>121809.58957692831</v>
      </c>
      <c r="AI302" s="772">
        <f t="shared" ca="1" si="149"/>
        <v>122706.13923019418</v>
      </c>
      <c r="AJ302" s="772">
        <f t="shared" ca="1" si="149"/>
        <v>122706.13923019418</v>
      </c>
      <c r="AK302" s="772">
        <f t="shared" ca="1" si="149"/>
        <v>122418.34768009615</v>
      </c>
      <c r="AL302" s="772">
        <f t="shared" ca="1" si="149"/>
        <v>122418.34768009615</v>
      </c>
      <c r="AM302" s="772">
        <f t="shared" ca="1" si="149"/>
        <v>122119.8127321112</v>
      </c>
      <c r="AN302" s="772">
        <f t="shared" ca="1" si="149"/>
        <v>122119.8127321112</v>
      </c>
      <c r="AO302" s="772">
        <f t="shared" ca="1" si="149"/>
        <v>121809.58957692831</v>
      </c>
      <c r="AP302" s="772">
        <f t="shared" ca="1" si="149"/>
        <v>121809.58957692831</v>
      </c>
      <c r="AQ302" s="772">
        <f t="shared" ca="1" si="149"/>
        <v>121809.58957692831</v>
      </c>
      <c r="AR302" s="772">
        <f t="shared" ca="1" si="146"/>
        <v>122706.13923019418</v>
      </c>
      <c r="AS302" s="772">
        <f t="shared" ca="1" si="146"/>
        <v>122706.13923019418</v>
      </c>
      <c r="AT302" s="772">
        <f t="shared" ca="1" si="146"/>
        <v>122418.34768009615</v>
      </c>
      <c r="AU302" s="772">
        <f t="shared" ca="1" si="146"/>
        <v>122418.34768009615</v>
      </c>
      <c r="AV302" s="772">
        <f t="shared" ca="1" si="146"/>
        <v>122119.8127321112</v>
      </c>
      <c r="AW302" s="772">
        <f t="shared" ca="1" si="146"/>
        <v>122119.8127321112</v>
      </c>
      <c r="AX302" s="772">
        <f t="shared" ca="1" si="146"/>
        <v>121809.58957692831</v>
      </c>
      <c r="AY302" s="772">
        <f t="shared" ca="1" si="146"/>
        <v>121809.58957692831</v>
      </c>
      <c r="AZ302" s="772">
        <f t="shared" ca="1" si="146"/>
        <v>121809.58957692831</v>
      </c>
      <c r="BA302" s="772">
        <f t="shared" ca="1" si="146"/>
        <v>122706.13923019418</v>
      </c>
      <c r="BB302" s="772">
        <f t="shared" ca="1" si="146"/>
        <v>122706.13923019418</v>
      </c>
      <c r="BC302" s="772">
        <f t="shared" ca="1" si="146"/>
        <v>122418.34768009615</v>
      </c>
      <c r="BD302" s="772">
        <f t="shared" ca="1" si="146"/>
        <v>122119.8127321112</v>
      </c>
      <c r="BE302" s="772">
        <f t="shared" ca="1" si="146"/>
        <v>122119.8127321112</v>
      </c>
      <c r="BF302" s="772">
        <f t="shared" ca="1" si="146"/>
        <v>121809.58957692831</v>
      </c>
      <c r="BG302" s="772">
        <f t="shared" ca="1" si="145"/>
        <v>121809.58957692831</v>
      </c>
      <c r="BH302" s="772">
        <f t="shared" ca="1" si="144"/>
        <v>121486.65316477959</v>
      </c>
      <c r="BI302" s="772">
        <f t="shared" ca="1" si="144"/>
        <v>121486.65316477959</v>
      </c>
      <c r="BJ302" s="772">
        <f t="shared" ca="1" si="144"/>
        <v>122418.34768009615</v>
      </c>
      <c r="BK302" s="772">
        <f t="shared" ca="1" si="144"/>
        <v>122418.34768009615</v>
      </c>
      <c r="BL302" s="772">
        <f t="shared" ca="1" si="144"/>
        <v>122418.34768009615</v>
      </c>
      <c r="BM302" s="772">
        <f t="shared" ca="1" si="139"/>
        <v>122418.34768009615</v>
      </c>
      <c r="BN302" s="772">
        <f t="shared" ca="1" si="139"/>
        <v>121809.58957692831</v>
      </c>
      <c r="BO302" s="772">
        <f t="shared" ca="1" si="147"/>
        <v>121809.58957692831</v>
      </c>
      <c r="BP302" s="772">
        <f t="shared" ca="1" si="147"/>
        <v>121486.65316477959</v>
      </c>
      <c r="BQ302" s="772">
        <f t="shared" ca="1" si="147"/>
        <v>121486.65316477959</v>
      </c>
      <c r="BR302" s="772">
        <f t="shared" ca="1" si="147"/>
        <v>121149.89018622763</v>
      </c>
      <c r="BS302" s="772">
        <f t="shared" ca="1" si="147"/>
        <v>122418.34768009615</v>
      </c>
      <c r="BT302" s="772">
        <f t="shared" ca="1" si="147"/>
        <v>122418.34768009615</v>
      </c>
      <c r="BU302" s="772">
        <f t="shared" ca="1" si="147"/>
        <v>122418.34768009615</v>
      </c>
      <c r="BV302" s="772">
        <f t="shared" ca="1" si="147"/>
        <v>122119.8127321112</v>
      </c>
      <c r="BW302" s="772">
        <f t="shared" ca="1" si="147"/>
        <v>122119.8127321112</v>
      </c>
      <c r="BX302" s="772">
        <f t="shared" ca="1" si="147"/>
        <v>121486.65316477959</v>
      </c>
      <c r="BY302" s="772">
        <f t="shared" ca="1" si="147"/>
        <v>121486.65316477959</v>
      </c>
      <c r="BZ302" s="772">
        <f t="shared" ca="1" si="147"/>
        <v>121149.89018622763</v>
      </c>
      <c r="CA302" s="772">
        <f t="shared" ca="1" si="147"/>
        <v>121149.89018622763</v>
      </c>
      <c r="CB302" s="772">
        <f t="shared" ca="1" si="147"/>
        <v>122119.8127321112</v>
      </c>
      <c r="CC302" s="772">
        <f t="shared" ca="1" si="147"/>
        <v>122119.8127321112</v>
      </c>
      <c r="CD302" s="772">
        <f t="shared" ca="1" si="147"/>
        <v>122119.8127321112</v>
      </c>
      <c r="CE302" s="772">
        <f t="shared" ca="1" si="137"/>
        <v>122119.8127321112</v>
      </c>
      <c r="CF302" s="772">
        <f t="shared" ca="1" si="137"/>
        <v>121809.58957692831</v>
      </c>
      <c r="CG302" s="772">
        <f t="shared" ca="1" si="137"/>
        <v>121486.65316477959</v>
      </c>
      <c r="CH302" s="772">
        <f t="shared" ca="1" si="137"/>
        <v>121149.89018622763</v>
      </c>
      <c r="CI302" s="772">
        <f t="shared" ca="1" si="137"/>
        <v>121149.89018622763</v>
      </c>
      <c r="CJ302" s="772">
        <f t="shared" ca="1" si="137"/>
        <v>120798.09046132253</v>
      </c>
    </row>
    <row r="303" spans="1:88" ht="15" customHeight="1">
      <c r="A303" s="770">
        <f>'kc-Wert für Stützen'!C303</f>
        <v>355</v>
      </c>
      <c r="B303" s="768">
        <f ca="1">INDIRECT("'kc-Wert für Stützen'!"&amp;SUBSTITUTE(ADDRESS(MATCH($A303,'kc-Wert für Stützen'!$C:$C,0),MATCH(B$7,'kc-Wert für Stützen'!$A$8:$ES$8,0)+7,4),,))</f>
        <v>123971.20180980669</v>
      </c>
      <c r="C303" s="768">
        <f ca="1">INDIRECT("'kc-Wert für Stützen'!"&amp;SUBSTITUTE(ADDRESS(MATCH($A303,'kc-Wert für Stützen'!$C:$C,0),MATCH(C$7,'kc-Wert für Stützen'!$A$8:$ES$8,0)+7,4),,))</f>
        <v>123702.28442404259</v>
      </c>
      <c r="D303" s="768">
        <f ca="1">INDIRECT("'kc-Wert für Stützen'!"&amp;SUBSTITUTE(ADDRESS(MATCH($A303,'kc-Wert für Stützen'!$C:$C,0),MATCH(D$7,'kc-Wert für Stützen'!$A$8:$ES$8,0)+7,4),,))</f>
        <v>123424.36476809507</v>
      </c>
      <c r="E303" s="768">
        <f ca="1">INDIRECT("'kc-Wert für Stützen'!"&amp;SUBSTITUTE(ADDRESS(MATCH($A303,'kc-Wert für Stützen'!$C:$C,0),MATCH(E$7,'kc-Wert für Stützen'!$A$8:$ES$8,0)+7,4),,))</f>
        <v>123136.64430532377</v>
      </c>
      <c r="F303" s="768">
        <f ca="1">INDIRECT("'kc-Wert für Stützen'!"&amp;SUBSTITUTE(ADDRESS(MATCH($A303,'kc-Wert für Stützen'!$C:$C,0),MATCH(F$7,'kc-Wert für Stützen'!$A$8:$ES$8,0)+7,4),,))</f>
        <v>122838.2594231049</v>
      </c>
      <c r="G303" s="768">
        <f ca="1">INDIRECT("'kc-Wert für Stützen'!"&amp;SUBSTITUTE(ADDRESS(MATCH($A303,'kc-Wert für Stützen'!$C:$C,0),MATCH(G$7,'kc-Wert für Stützen'!$A$8:$ES$8,0)+7,4),,))</f>
        <v>122528.27471253381</v>
      </c>
      <c r="H303" s="768">
        <f ca="1">INDIRECT("'kc-Wert für Stützen'!"&amp;SUBSTITUTE(ADDRESS(MATCH($A303,'kc-Wert für Stützen'!$C:$C,0),MATCH(H$7,'kc-Wert für Stützen'!$A$8:$ES$8,0)+7,4),,))</f>
        <v>122205.6756656137</v>
      </c>
      <c r="I303" s="768">
        <f ca="1">INDIRECT("'kc-Wert für Stützen'!"&amp;SUBSTITUTE(ADDRESS(MATCH($A303,'kc-Wert für Stützen'!$C:$C,0),MATCH(I$7,'kc-Wert für Stützen'!$A$8:$ES$8,0)+7,4),,))</f>
        <v>121869.36077815601</v>
      </c>
      <c r="J303" s="768">
        <f ca="1">INDIRECT("'kc-Wert für Stützen'!"&amp;SUBSTITUTE(ADDRESS(MATCH($A303,'kc-Wert für Stützen'!$C:$C,0),MATCH(J$7,'kc-Wert für Stützen'!$A$8:$ES$8,0)+7,4),,))</f>
        <v>121518.13306570132</v>
      </c>
      <c r="K303" s="768">
        <f ca="1">INDIRECT("'kc-Wert für Stützen'!"&amp;SUBSTITUTE(ADDRESS(MATCH($A303,'kc-Wert für Stützen'!$C:$C,0),MATCH(K$7,'kc-Wert für Stützen'!$A$8:$ES$8,0)+7,4),,))</f>
        <v>121150.69102771765</v>
      </c>
      <c r="L303" s="768">
        <f ca="1">INDIRECT("'kc-Wert für Stützen'!"&amp;SUBSTITUTE(ADDRESS(MATCH($A303,'kc-Wert für Stützen'!$C:$C,0),MATCH(L$7,'kc-Wert für Stützen'!$A$8:$ES$8,0)+7,4),,))</f>
        <v>120765.61913508744</v>
      </c>
      <c r="M303" s="768">
        <f ca="1">INDIRECT("'kc-Wert für Stützen'!"&amp;SUBSTITUTE(ADDRESS(MATCH($A303,'kc-Wert für Stützen'!$C:$C,0),MATCH(M$7,'kc-Wert für Stützen'!$A$8:$ES$8,0)+7,4),,))</f>
        <v>120361.37797112657</v>
      </c>
      <c r="N303" s="768">
        <f ca="1">INDIRECT("'kc-Wert für Stützen'!"&amp;SUBSTITUTE(ADDRESS(MATCH($A303,'kc-Wert für Stützen'!$C:$C,0),MATCH(N$7,'kc-Wert für Stützen'!$A$8:$ES$8,0)+7,4),,))</f>
        <v>119936.29423158975</v>
      </c>
      <c r="O303" s="768">
        <f ca="1">INDIRECT("'kc-Wert für Stützen'!"&amp;SUBSTITUTE(ADDRESS(MATCH($A303,'kc-Wert für Stützen'!$C:$C,0),MATCH(O$7,'kc-Wert für Stützen'!$A$8:$ES$8,0)+7,4),,))</f>
        <v>119488.5508895962</v>
      </c>
      <c r="P303" s="768">
        <f ca="1">INDIRECT("'kc-Wert für Stützen'!"&amp;SUBSTITUTE(ADDRESS(MATCH($A303,'kc-Wert für Stützen'!$C:$C,0),MATCH(P$7,'kc-Wert für Stützen'!$A$8:$ES$8,0)+7,4),,))</f>
        <v>119016.17796309952</v>
      </c>
      <c r="S303" s="772">
        <f t="shared" ca="1" si="124"/>
        <v>123424.36476809507</v>
      </c>
      <c r="T303" s="772">
        <f t="shared" ca="1" si="148"/>
        <v>123424.36476809507</v>
      </c>
      <c r="U303" s="772">
        <f t="shared" ca="1" si="148"/>
        <v>123424.36476809507</v>
      </c>
      <c r="V303" s="772">
        <f t="shared" ca="1" si="148"/>
        <v>123136.64430532377</v>
      </c>
      <c r="W303" s="772">
        <f t="shared" ca="1" si="148"/>
        <v>122838.2594231049</v>
      </c>
      <c r="X303" s="772">
        <f t="shared" ca="1" si="148"/>
        <v>122528.27471253381</v>
      </c>
      <c r="Y303" s="772">
        <f t="shared" ca="1" si="148"/>
        <v>122205.6756656137</v>
      </c>
      <c r="Z303" s="772">
        <f t="shared" ca="1" si="148"/>
        <v>123424.36476809507</v>
      </c>
      <c r="AA303" s="772">
        <f t="shared" ca="1" si="148"/>
        <v>123424.36476809507</v>
      </c>
      <c r="AB303" s="772">
        <f t="shared" ca="1" si="149"/>
        <v>123136.64430532377</v>
      </c>
      <c r="AC303" s="772">
        <f t="shared" ca="1" si="149"/>
        <v>123136.64430532377</v>
      </c>
      <c r="AD303" s="772">
        <f t="shared" ca="1" si="149"/>
        <v>122838.2594231049</v>
      </c>
      <c r="AE303" s="772">
        <f t="shared" ca="1" si="149"/>
        <v>122838.2594231049</v>
      </c>
      <c r="AF303" s="772">
        <f t="shared" ca="1" si="149"/>
        <v>122528.27471253381</v>
      </c>
      <c r="AG303" s="772">
        <f t="shared" ca="1" si="149"/>
        <v>122528.27471253381</v>
      </c>
      <c r="AH303" s="772">
        <f t="shared" ca="1" si="149"/>
        <v>122528.27471253381</v>
      </c>
      <c r="AI303" s="772">
        <f t="shared" ca="1" si="149"/>
        <v>123424.36476809507</v>
      </c>
      <c r="AJ303" s="772">
        <f t="shared" ca="1" si="149"/>
        <v>123424.36476809507</v>
      </c>
      <c r="AK303" s="772">
        <f t="shared" ca="1" si="149"/>
        <v>123136.64430532377</v>
      </c>
      <c r="AL303" s="772">
        <f t="shared" ca="1" si="149"/>
        <v>123136.64430532377</v>
      </c>
      <c r="AM303" s="772">
        <f t="shared" ca="1" si="149"/>
        <v>122838.2594231049</v>
      </c>
      <c r="AN303" s="772">
        <f t="shared" ca="1" si="149"/>
        <v>122838.2594231049</v>
      </c>
      <c r="AO303" s="772">
        <f t="shared" ca="1" si="149"/>
        <v>122528.27471253381</v>
      </c>
      <c r="AP303" s="772">
        <f t="shared" ca="1" si="149"/>
        <v>122528.27471253381</v>
      </c>
      <c r="AQ303" s="772">
        <f t="shared" ca="1" si="149"/>
        <v>122528.27471253381</v>
      </c>
      <c r="AR303" s="772">
        <f t="shared" ca="1" si="146"/>
        <v>123424.36476809507</v>
      </c>
      <c r="AS303" s="772">
        <f t="shared" ca="1" si="146"/>
        <v>123424.36476809507</v>
      </c>
      <c r="AT303" s="772">
        <f t="shared" ca="1" si="146"/>
        <v>123136.64430532377</v>
      </c>
      <c r="AU303" s="772">
        <f t="shared" ca="1" si="146"/>
        <v>123136.64430532377</v>
      </c>
      <c r="AV303" s="772">
        <f t="shared" ca="1" si="146"/>
        <v>122838.2594231049</v>
      </c>
      <c r="AW303" s="772">
        <f t="shared" ca="1" si="146"/>
        <v>122838.2594231049</v>
      </c>
      <c r="AX303" s="772">
        <f t="shared" ca="1" si="146"/>
        <v>122528.27471253381</v>
      </c>
      <c r="AY303" s="772">
        <f t="shared" ca="1" si="146"/>
        <v>122528.27471253381</v>
      </c>
      <c r="AZ303" s="772">
        <f t="shared" ca="1" si="146"/>
        <v>122528.27471253381</v>
      </c>
      <c r="BA303" s="772">
        <f t="shared" ca="1" si="146"/>
        <v>123424.36476809507</v>
      </c>
      <c r="BB303" s="772">
        <f t="shared" ca="1" si="146"/>
        <v>123424.36476809507</v>
      </c>
      <c r="BC303" s="772">
        <f t="shared" ca="1" si="146"/>
        <v>123136.64430532377</v>
      </c>
      <c r="BD303" s="772">
        <f t="shared" ca="1" si="146"/>
        <v>122838.2594231049</v>
      </c>
      <c r="BE303" s="772">
        <f t="shared" ca="1" si="146"/>
        <v>122838.2594231049</v>
      </c>
      <c r="BF303" s="772">
        <f t="shared" ca="1" si="146"/>
        <v>122528.27471253381</v>
      </c>
      <c r="BG303" s="772">
        <f t="shared" ca="1" si="145"/>
        <v>122528.27471253381</v>
      </c>
      <c r="BH303" s="772">
        <f t="shared" ca="1" si="144"/>
        <v>122205.6756656137</v>
      </c>
      <c r="BI303" s="772">
        <f t="shared" ca="1" si="144"/>
        <v>122205.6756656137</v>
      </c>
      <c r="BJ303" s="772">
        <f t="shared" ca="1" si="144"/>
        <v>123136.64430532377</v>
      </c>
      <c r="BK303" s="772">
        <f t="shared" ca="1" si="144"/>
        <v>123136.64430532377</v>
      </c>
      <c r="BL303" s="772">
        <f t="shared" ca="1" si="144"/>
        <v>123136.64430532377</v>
      </c>
      <c r="BM303" s="772">
        <f t="shared" ca="1" si="139"/>
        <v>123136.64430532377</v>
      </c>
      <c r="BN303" s="772">
        <f t="shared" ca="1" si="139"/>
        <v>122528.27471253381</v>
      </c>
      <c r="BO303" s="772">
        <f t="shared" ca="1" si="147"/>
        <v>122528.27471253381</v>
      </c>
      <c r="BP303" s="772">
        <f t="shared" ca="1" si="147"/>
        <v>122205.6756656137</v>
      </c>
      <c r="BQ303" s="772">
        <f t="shared" ca="1" si="147"/>
        <v>122205.6756656137</v>
      </c>
      <c r="BR303" s="772">
        <f t="shared" ca="1" si="147"/>
        <v>121869.36077815601</v>
      </c>
      <c r="BS303" s="772">
        <f t="shared" ca="1" si="147"/>
        <v>123136.64430532377</v>
      </c>
      <c r="BT303" s="772">
        <f t="shared" ca="1" si="147"/>
        <v>123136.64430532377</v>
      </c>
      <c r="BU303" s="772">
        <f t="shared" ca="1" si="147"/>
        <v>123136.64430532377</v>
      </c>
      <c r="BV303" s="772">
        <f t="shared" ca="1" si="147"/>
        <v>122838.2594231049</v>
      </c>
      <c r="BW303" s="772">
        <f t="shared" ca="1" si="147"/>
        <v>122838.2594231049</v>
      </c>
      <c r="BX303" s="772">
        <f t="shared" ca="1" si="147"/>
        <v>122205.6756656137</v>
      </c>
      <c r="BY303" s="772">
        <f t="shared" ca="1" si="147"/>
        <v>122205.6756656137</v>
      </c>
      <c r="BZ303" s="772">
        <f t="shared" ca="1" si="147"/>
        <v>121869.36077815601</v>
      </c>
      <c r="CA303" s="772">
        <f t="shared" ca="1" si="147"/>
        <v>121869.36077815601</v>
      </c>
      <c r="CB303" s="772">
        <f t="shared" ca="1" si="147"/>
        <v>122838.2594231049</v>
      </c>
      <c r="CC303" s="772">
        <f t="shared" ca="1" si="147"/>
        <v>122838.2594231049</v>
      </c>
      <c r="CD303" s="772">
        <f t="shared" ca="1" si="147"/>
        <v>122838.2594231049</v>
      </c>
      <c r="CE303" s="772">
        <f t="shared" ca="1" si="137"/>
        <v>122838.2594231049</v>
      </c>
      <c r="CF303" s="772">
        <f t="shared" ca="1" si="137"/>
        <v>122528.27471253381</v>
      </c>
      <c r="CG303" s="772">
        <f t="shared" ca="1" si="137"/>
        <v>122205.6756656137</v>
      </c>
      <c r="CH303" s="772">
        <f t="shared" ca="1" si="137"/>
        <v>121869.36077815601</v>
      </c>
      <c r="CI303" s="772">
        <f t="shared" ca="1" si="137"/>
        <v>121869.36077815601</v>
      </c>
      <c r="CJ303" s="772">
        <f t="shared" ca="1" si="137"/>
        <v>121518.13306570132</v>
      </c>
    </row>
    <row r="304" spans="1:88" ht="15" customHeight="1">
      <c r="A304" s="770">
        <f>'kc-Wert für Stützen'!C304</f>
        <v>356</v>
      </c>
      <c r="B304" s="768">
        <f ca="1">INDIRECT("'kc-Wert für Stützen'!"&amp;SUBSTITUTE(ADDRESS(MATCH($A304,'kc-Wert für Stützen'!$C:$C,0),MATCH(B$7,'kc-Wert für Stützen'!$A$8:$ES$8,0)+7,4),,))</f>
        <v>124691.52316923124</v>
      </c>
      <c r="C304" s="768">
        <f ca="1">INDIRECT("'kc-Wert für Stützen'!"&amp;SUBSTITUTE(ADDRESS(MATCH($A304,'kc-Wert für Stützen'!$C:$C,0),MATCH(C$7,'kc-Wert für Stützen'!$A$8:$ES$8,0)+7,4),,))</f>
        <v>124422.53835057138</v>
      </c>
      <c r="D304" s="768">
        <f ca="1">INDIRECT("'kc-Wert für Stützen'!"&amp;SUBSTITUTE(ADDRESS(MATCH($A304,'kc-Wert für Stützen'!$C:$C,0),MATCH(D$7,'kc-Wert für Stützen'!$A$8:$ES$8,0)+7,4),,))</f>
        <v>124144.61366398165</v>
      </c>
      <c r="E304" s="768">
        <f ca="1">INDIRECT("'kc-Wert für Stützen'!"&amp;SUBSTITUTE(ADDRESS(MATCH($A304,'kc-Wert für Stützen'!$C:$C,0),MATCH(E$7,'kc-Wert für Stützen'!$A$8:$ES$8,0)+7,4),,))</f>
        <v>123856.95791444881</v>
      </c>
      <c r="F304" s="768">
        <f ca="1">INDIRECT("'kc-Wert für Stützen'!"&amp;SUBSTITUTE(ADDRESS(MATCH($A304,'kc-Wert für Stützen'!$C:$C,0),MATCH(F$7,'kc-Wert für Stützen'!$A$8:$ES$8,0)+7,4),,))</f>
        <v>123558.71573395278</v>
      </c>
      <c r="G304" s="768">
        <f ca="1">INDIRECT("'kc-Wert für Stützen'!"&amp;SUBSTITUTE(ADDRESS(MATCH($A304,'kc-Wert für Stützen'!$C:$C,0),MATCH(G$7,'kc-Wert für Stützen'!$A$8:$ES$8,0)+7,4),,))</f>
        <v>123248.96096617413</v>
      </c>
      <c r="H304" s="768">
        <f ca="1">INDIRECT("'kc-Wert für Stützen'!"&amp;SUBSTITUTE(ADDRESS(MATCH($A304,'kc-Wert für Stützen'!$C:$C,0),MATCH(H$7,'kc-Wert für Stützen'!$A$8:$ES$8,0)+7,4),,))</f>
        <v>122926.68947686859</v>
      </c>
      <c r="I304" s="768">
        <f ca="1">INDIRECT("'kc-Wert für Stützen'!"&amp;SUBSTITUTE(ADDRESS(MATCH($A304,'kc-Wert für Stützen'!$C:$C,0),MATCH(I$7,'kc-Wert für Stützen'!$A$8:$ES$8,0)+7,4),,))</f>
        <v>122590.81137696264</v>
      </c>
      <c r="J304" s="768">
        <f ca="1">INDIRECT("'kc-Wert für Stützen'!"&amp;SUBSTITUTE(ADDRESS(MATCH($A304,'kc-Wert für Stützen'!$C:$C,0),MATCH(J$7,'kc-Wert für Stützen'!$A$8:$ES$8,0)+7,4),,))</f>
        <v>122240.14266352111</v>
      </c>
      <c r="K304" s="768">
        <f ca="1">INDIRECT("'kc-Wert für Stützen'!"&amp;SUBSTITUTE(ADDRESS(MATCH($A304,'kc-Wert für Stützen'!$C:$C,0),MATCH(K$7,'kc-Wert für Stützen'!$A$8:$ES$8,0)+7,4),,))</f>
        <v>121873.39631029466</v>
      </c>
      <c r="L304" s="768">
        <f ca="1">INDIRECT("'kc-Wert für Stützen'!"&amp;SUBSTITUTE(ADDRESS(MATCH($A304,'kc-Wert für Stützen'!$C:$C,0),MATCH(L$7,'kc-Wert für Stützen'!$A$8:$ES$8,0)+7,4),,))</f>
        <v>121489.17287738241</v>
      </c>
      <c r="M304" s="768">
        <f ca="1">INDIRECT("'kc-Wert für Stützen'!"&amp;SUBSTITUTE(ADDRESS(MATCH($A304,'kc-Wert für Stützen'!$C:$C,0),MATCH(M$7,'kc-Wert für Stützen'!$A$8:$ES$8,0)+7,4),,))</f>
        <v>121085.95076216802</v>
      </c>
      <c r="N304" s="768">
        <f ca="1">INDIRECT("'kc-Wert für Stützen'!"&amp;SUBSTITUTE(ADDRESS(MATCH($A304,'kc-Wert für Stützen'!$C:$C,0),MATCH(N$7,'kc-Wert für Stützen'!$A$8:$ES$8,0)+7,4),,))</f>
        <v>120662.07628541929</v>
      </c>
      <c r="O304" s="768">
        <f ca="1">INDIRECT("'kc-Wert für Stützen'!"&amp;SUBSTITUTE(ADDRESS(MATCH($A304,'kc-Wert für Stützen'!$C:$C,0),MATCH(O$7,'kc-Wert für Stützen'!$A$8:$ES$8,0)+7,4),,))</f>
        <v>120215.75390238009</v>
      </c>
      <c r="P304" s="768">
        <f ca="1">INDIRECT("'kc-Wert für Stützen'!"&amp;SUBSTITUTE(ADDRESS(MATCH($A304,'kc-Wert für Stützen'!$C:$C,0),MATCH(P$7,'kc-Wert für Stützen'!$A$8:$ES$8,0)+7,4),,))</f>
        <v>119745.03695459632</v>
      </c>
      <c r="S304" s="772">
        <f t="shared" ca="1" si="124"/>
        <v>124144.61366398165</v>
      </c>
      <c r="T304" s="772">
        <f t="shared" ca="1" si="148"/>
        <v>124144.61366398165</v>
      </c>
      <c r="U304" s="772">
        <f t="shared" ca="1" si="148"/>
        <v>124144.61366398165</v>
      </c>
      <c r="V304" s="772">
        <f t="shared" ca="1" si="148"/>
        <v>123856.95791444881</v>
      </c>
      <c r="W304" s="772">
        <f t="shared" ca="1" si="148"/>
        <v>123558.71573395278</v>
      </c>
      <c r="X304" s="772">
        <f t="shared" ca="1" si="148"/>
        <v>123248.96096617413</v>
      </c>
      <c r="Y304" s="772">
        <f t="shared" ca="1" si="148"/>
        <v>122926.68947686859</v>
      </c>
      <c r="Z304" s="772">
        <f t="shared" ca="1" si="148"/>
        <v>124144.61366398165</v>
      </c>
      <c r="AA304" s="772">
        <f t="shared" ca="1" si="148"/>
        <v>124144.61366398165</v>
      </c>
      <c r="AB304" s="772">
        <f t="shared" ca="1" si="149"/>
        <v>123856.95791444881</v>
      </c>
      <c r="AC304" s="772">
        <f t="shared" ca="1" si="149"/>
        <v>123856.95791444881</v>
      </c>
      <c r="AD304" s="772">
        <f t="shared" ca="1" si="149"/>
        <v>123558.71573395278</v>
      </c>
      <c r="AE304" s="772">
        <f t="shared" ca="1" si="149"/>
        <v>123558.71573395278</v>
      </c>
      <c r="AF304" s="772">
        <f t="shared" ca="1" si="149"/>
        <v>123248.96096617413</v>
      </c>
      <c r="AG304" s="772">
        <f t="shared" ca="1" si="149"/>
        <v>123248.96096617413</v>
      </c>
      <c r="AH304" s="772">
        <f t="shared" ca="1" si="149"/>
        <v>123248.96096617413</v>
      </c>
      <c r="AI304" s="772">
        <f t="shared" ca="1" si="149"/>
        <v>124144.61366398165</v>
      </c>
      <c r="AJ304" s="772">
        <f t="shared" ca="1" si="149"/>
        <v>124144.61366398165</v>
      </c>
      <c r="AK304" s="772">
        <f t="shared" ca="1" si="149"/>
        <v>123856.95791444881</v>
      </c>
      <c r="AL304" s="772">
        <f t="shared" ca="1" si="149"/>
        <v>123856.95791444881</v>
      </c>
      <c r="AM304" s="772">
        <f t="shared" ca="1" si="149"/>
        <v>123558.71573395278</v>
      </c>
      <c r="AN304" s="772">
        <f t="shared" ca="1" si="149"/>
        <v>123558.71573395278</v>
      </c>
      <c r="AO304" s="772">
        <f t="shared" ca="1" si="149"/>
        <v>123248.96096617413</v>
      </c>
      <c r="AP304" s="772">
        <f t="shared" ca="1" si="149"/>
        <v>123248.96096617413</v>
      </c>
      <c r="AQ304" s="772">
        <f t="shared" ca="1" si="149"/>
        <v>123248.96096617413</v>
      </c>
      <c r="AR304" s="772">
        <f t="shared" ca="1" si="146"/>
        <v>124144.61366398165</v>
      </c>
      <c r="AS304" s="772">
        <f t="shared" ca="1" si="146"/>
        <v>124144.61366398165</v>
      </c>
      <c r="AT304" s="772">
        <f t="shared" ca="1" si="146"/>
        <v>123856.95791444881</v>
      </c>
      <c r="AU304" s="772">
        <f t="shared" ca="1" si="146"/>
        <v>123856.95791444881</v>
      </c>
      <c r="AV304" s="772">
        <f t="shared" ca="1" si="146"/>
        <v>123558.71573395278</v>
      </c>
      <c r="AW304" s="772">
        <f t="shared" ca="1" si="146"/>
        <v>123558.71573395278</v>
      </c>
      <c r="AX304" s="772">
        <f t="shared" ca="1" si="146"/>
        <v>123248.96096617413</v>
      </c>
      <c r="AY304" s="772">
        <f t="shared" ca="1" si="146"/>
        <v>123248.96096617413</v>
      </c>
      <c r="AZ304" s="772">
        <f t="shared" ca="1" si="146"/>
        <v>123248.96096617413</v>
      </c>
      <c r="BA304" s="772">
        <f t="shared" ca="1" si="146"/>
        <v>124144.61366398165</v>
      </c>
      <c r="BB304" s="772">
        <f t="shared" ca="1" si="146"/>
        <v>124144.61366398165</v>
      </c>
      <c r="BC304" s="772">
        <f t="shared" ca="1" si="146"/>
        <v>123856.95791444881</v>
      </c>
      <c r="BD304" s="772">
        <f t="shared" ca="1" si="146"/>
        <v>123558.71573395278</v>
      </c>
      <c r="BE304" s="772">
        <f t="shared" ca="1" si="146"/>
        <v>123558.71573395278</v>
      </c>
      <c r="BF304" s="772">
        <f t="shared" ca="1" si="146"/>
        <v>123248.96096617413</v>
      </c>
      <c r="BG304" s="772">
        <f t="shared" ca="1" si="145"/>
        <v>123248.96096617413</v>
      </c>
      <c r="BH304" s="772">
        <f t="shared" ca="1" si="144"/>
        <v>122926.68947686859</v>
      </c>
      <c r="BI304" s="772">
        <f t="shared" ca="1" si="144"/>
        <v>122926.68947686859</v>
      </c>
      <c r="BJ304" s="772">
        <f t="shared" ca="1" si="144"/>
        <v>123856.95791444881</v>
      </c>
      <c r="BK304" s="772">
        <f t="shared" ca="1" si="144"/>
        <v>123856.95791444881</v>
      </c>
      <c r="BL304" s="772">
        <f t="shared" ca="1" si="144"/>
        <v>123856.95791444881</v>
      </c>
      <c r="BM304" s="772">
        <f t="shared" ca="1" si="139"/>
        <v>123856.95791444881</v>
      </c>
      <c r="BN304" s="772">
        <f t="shared" ca="1" si="139"/>
        <v>123248.96096617413</v>
      </c>
      <c r="BO304" s="772">
        <f t="shared" ca="1" si="147"/>
        <v>123248.96096617413</v>
      </c>
      <c r="BP304" s="772">
        <f t="shared" ca="1" si="147"/>
        <v>122926.68947686859</v>
      </c>
      <c r="BQ304" s="772">
        <f t="shared" ca="1" si="147"/>
        <v>122926.68947686859</v>
      </c>
      <c r="BR304" s="772">
        <f t="shared" ca="1" si="147"/>
        <v>122590.81137696264</v>
      </c>
      <c r="BS304" s="772">
        <f t="shared" ca="1" si="147"/>
        <v>123856.95791444881</v>
      </c>
      <c r="BT304" s="772">
        <f t="shared" ca="1" si="147"/>
        <v>123856.95791444881</v>
      </c>
      <c r="BU304" s="772">
        <f t="shared" ca="1" si="147"/>
        <v>123856.95791444881</v>
      </c>
      <c r="BV304" s="772">
        <f t="shared" ca="1" si="147"/>
        <v>123558.71573395278</v>
      </c>
      <c r="BW304" s="772">
        <f t="shared" ca="1" si="147"/>
        <v>123558.71573395278</v>
      </c>
      <c r="BX304" s="772">
        <f t="shared" ca="1" si="147"/>
        <v>122926.68947686859</v>
      </c>
      <c r="BY304" s="772">
        <f t="shared" ca="1" si="147"/>
        <v>122926.68947686859</v>
      </c>
      <c r="BZ304" s="772">
        <f t="shared" ca="1" si="147"/>
        <v>122590.81137696264</v>
      </c>
      <c r="CA304" s="772">
        <f t="shared" ca="1" si="147"/>
        <v>122590.81137696264</v>
      </c>
      <c r="CB304" s="772">
        <f t="shared" ca="1" si="147"/>
        <v>123558.71573395278</v>
      </c>
      <c r="CC304" s="772">
        <f t="shared" ca="1" si="147"/>
        <v>123558.71573395278</v>
      </c>
      <c r="CD304" s="772">
        <f t="shared" ca="1" si="147"/>
        <v>123558.71573395278</v>
      </c>
      <c r="CE304" s="772">
        <f t="shared" ca="1" si="137"/>
        <v>123558.71573395278</v>
      </c>
      <c r="CF304" s="772">
        <f t="shared" ca="1" si="137"/>
        <v>123248.96096617413</v>
      </c>
      <c r="CG304" s="772">
        <f t="shared" ca="1" si="137"/>
        <v>122926.68947686859</v>
      </c>
      <c r="CH304" s="772">
        <f t="shared" ca="1" si="137"/>
        <v>122590.81137696264</v>
      </c>
      <c r="CI304" s="772">
        <f t="shared" ca="1" si="137"/>
        <v>122590.81137696264</v>
      </c>
      <c r="CJ304" s="772">
        <f t="shared" ca="1" si="137"/>
        <v>122240.14266352111</v>
      </c>
    </row>
    <row r="305" spans="1:88" ht="15" customHeight="1">
      <c r="A305" s="770">
        <f>'kc-Wert für Stützen'!C305</f>
        <v>357</v>
      </c>
      <c r="B305" s="768">
        <f ca="1">INDIRECT("'kc-Wert für Stützen'!"&amp;SUBSTITUTE(ADDRESS(MATCH($A305,'kc-Wert für Stützen'!$C:$C,0),MATCH(B$7,'kc-Wert für Stützen'!$A$8:$ES$8,0)+7,4),,))</f>
        <v>125413.87851324907</v>
      </c>
      <c r="C305" s="768">
        <f ca="1">INDIRECT("'kc-Wert für Stützen'!"&amp;SUBSTITUTE(ADDRESS(MATCH($A305,'kc-Wert für Stützen'!$C:$C,0),MATCH(C$7,'kc-Wert für Stützen'!$A$8:$ES$8,0)+7,4),,))</f>
        <v>125144.82156364077</v>
      </c>
      <c r="D305" s="768">
        <f ca="1">INDIRECT("'kc-Wert für Stützen'!"&amp;SUBSTITUTE(ADDRESS(MATCH($A305,'kc-Wert für Stützen'!$C:$C,0),MATCH(D$7,'kc-Wert für Stützen'!$A$8:$ES$8,0)+7,4),,))</f>
        <v>124866.8864140107</v>
      </c>
      <c r="E305" s="768">
        <f ca="1">INDIRECT("'kc-Wert für Stützen'!"&amp;SUBSTITUTE(ADDRESS(MATCH($A305,'kc-Wert für Stützen'!$C:$C,0),MATCH(E$7,'kc-Wert für Stützen'!$A$8:$ES$8,0)+7,4),,))</f>
        <v>124579.28909988554</v>
      </c>
      <c r="F305" s="768">
        <f ca="1">INDIRECT("'kc-Wert für Stützen'!"&amp;SUBSTITUTE(ADDRESS(MATCH($A305,'kc-Wert für Stützen'!$C:$C,0),MATCH(F$7,'kc-Wert für Stützen'!$A$8:$ES$8,0)+7,4),,))</f>
        <v>124281.18237080265</v>
      </c>
      <c r="G305" s="768">
        <f ca="1">INDIRECT("'kc-Wert für Stützen'!"&amp;SUBSTITUTE(ADDRESS(MATCH($A305,'kc-Wert für Stützen'!$C:$C,0),MATCH(G$7,'kc-Wert für Stützen'!$A$8:$ES$8,0)+7,4),,))</f>
        <v>123971.64917812843</v>
      </c>
      <c r="H305" s="768">
        <f ca="1">INDIRECT("'kc-Wert für Stützen'!"&amp;SUBSTITUTE(ADDRESS(MATCH($A305,'kc-Wert für Stützen'!$C:$C,0),MATCH(H$7,'kc-Wert für Stützen'!$A$8:$ES$8,0)+7,4),,))</f>
        <v>123649.69559667482</v>
      </c>
      <c r="I305" s="768">
        <f ca="1">INDIRECT("'kc-Wert für Stützen'!"&amp;SUBSTITUTE(ADDRESS(MATCH($A305,'kc-Wert für Stützen'!$C:$C,0),MATCH(I$7,'kc-Wert für Stützen'!$A$8:$ES$8,0)+7,4),,))</f>
        <v>123314.24316608896</v>
      </c>
      <c r="J305" s="768">
        <f ca="1">INDIRECT("'kc-Wert für Stützen'!"&amp;SUBSTITUTE(ADDRESS(MATCH($A305,'kc-Wert für Stützen'!$C:$C,0),MATCH(J$7,'kc-Wert für Stützen'!$A$8:$ES$8,0)+7,4),,))</f>
        <v>122964.12065514797</v>
      </c>
      <c r="K305" s="768">
        <f ca="1">INDIRECT("'kc-Wert für Stützen'!"&amp;SUBSTITUTE(ADDRESS(MATCH($A305,'kc-Wert für Stützen'!$C:$C,0),MATCH(K$7,'kc-Wert für Stützen'!$A$8:$ES$8,0)+7,4),,))</f>
        <v>122598.05527732702</v>
      </c>
      <c r="L305" s="768">
        <f ca="1">INDIRECT("'kc-Wert für Stützen'!"&amp;SUBSTITUTE(ADDRESS(MATCH($A305,'kc-Wert für Stützen'!$C:$C,0),MATCH(L$7,'kc-Wert für Stützen'!$A$8:$ES$8,0)+7,4),,))</f>
        <v>122214.66342200169</v>
      </c>
      <c r="M305" s="768">
        <f ca="1">INDIRECT("'kc-Wert für Stützen'!"&amp;SUBSTITUTE(ADDRESS(MATCH($A305,'kc-Wert für Stützen'!$C:$C,0),MATCH(M$7,'kc-Wert für Stützen'!$A$8:$ES$8,0)+7,4),,))</f>
        <v>121812.44101578763</v>
      </c>
      <c r="N305" s="768">
        <f ca="1">INDIRECT("'kc-Wert für Stützen'!"&amp;SUBSTITUTE(ADDRESS(MATCH($A305,'kc-Wert für Stützen'!$C:$C,0),MATCH(N$7,'kc-Wert für Stützen'!$A$8:$ES$8,0)+7,4),,))</f>
        <v>121389.75369692904</v>
      </c>
      <c r="O305" s="768">
        <f ca="1">INDIRECT("'kc-Wert für Stützen'!"&amp;SUBSTITUTE(ADDRESS(MATCH($A305,'kc-Wert für Stützen'!$C:$C,0),MATCH(O$7,'kc-Wert für Stützen'!$A$8:$ES$8,0)+7,4),,))</f>
        <v>120944.82707725951</v>
      </c>
      <c r="P305" s="768">
        <f ca="1">INDIRECT("'kc-Wert für Stützen'!"&amp;SUBSTITUTE(ADDRESS(MATCH($A305,'kc-Wert für Stützen'!$C:$C,0),MATCH(P$7,'kc-Wert für Stützen'!$A$8:$ES$8,0)+7,4),,))</f>
        <v>120475.73748663673</v>
      </c>
      <c r="S305" s="772">
        <f t="shared" ca="1" si="124"/>
        <v>124866.8864140107</v>
      </c>
      <c r="T305" s="772">
        <f t="shared" ca="1" si="148"/>
        <v>124866.8864140107</v>
      </c>
      <c r="U305" s="772">
        <f t="shared" ca="1" si="148"/>
        <v>124866.8864140107</v>
      </c>
      <c r="V305" s="772">
        <f t="shared" ca="1" si="148"/>
        <v>124579.28909988554</v>
      </c>
      <c r="W305" s="772">
        <f t="shared" ca="1" si="148"/>
        <v>124281.18237080265</v>
      </c>
      <c r="X305" s="772">
        <f t="shared" ca="1" si="148"/>
        <v>123971.64917812843</v>
      </c>
      <c r="Y305" s="772">
        <f t="shared" ca="1" si="148"/>
        <v>123649.69559667482</v>
      </c>
      <c r="Z305" s="772">
        <f t="shared" ca="1" si="148"/>
        <v>124866.8864140107</v>
      </c>
      <c r="AA305" s="772">
        <f t="shared" ca="1" si="148"/>
        <v>124866.8864140107</v>
      </c>
      <c r="AB305" s="772">
        <f t="shared" ca="1" si="149"/>
        <v>124579.28909988554</v>
      </c>
      <c r="AC305" s="772">
        <f t="shared" ca="1" si="149"/>
        <v>124579.28909988554</v>
      </c>
      <c r="AD305" s="772">
        <f t="shared" ca="1" si="149"/>
        <v>124281.18237080265</v>
      </c>
      <c r="AE305" s="772">
        <f t="shared" ca="1" si="149"/>
        <v>124281.18237080265</v>
      </c>
      <c r="AF305" s="772">
        <f t="shared" ca="1" si="149"/>
        <v>123971.64917812843</v>
      </c>
      <c r="AG305" s="772">
        <f t="shared" ca="1" si="149"/>
        <v>123971.64917812843</v>
      </c>
      <c r="AH305" s="772">
        <f t="shared" ca="1" si="149"/>
        <v>123971.64917812843</v>
      </c>
      <c r="AI305" s="772">
        <f t="shared" ca="1" si="149"/>
        <v>124866.8864140107</v>
      </c>
      <c r="AJ305" s="772">
        <f t="shared" ca="1" si="149"/>
        <v>124866.8864140107</v>
      </c>
      <c r="AK305" s="772">
        <f t="shared" ca="1" si="149"/>
        <v>124579.28909988554</v>
      </c>
      <c r="AL305" s="772">
        <f t="shared" ca="1" si="149"/>
        <v>124579.28909988554</v>
      </c>
      <c r="AM305" s="772">
        <f t="shared" ca="1" si="149"/>
        <v>124281.18237080265</v>
      </c>
      <c r="AN305" s="772">
        <f t="shared" ca="1" si="149"/>
        <v>124281.18237080265</v>
      </c>
      <c r="AO305" s="772">
        <f t="shared" ca="1" si="149"/>
        <v>123971.64917812843</v>
      </c>
      <c r="AP305" s="772">
        <f t="shared" ca="1" si="149"/>
        <v>123971.64917812843</v>
      </c>
      <c r="AQ305" s="772">
        <f t="shared" ca="1" si="149"/>
        <v>123971.64917812843</v>
      </c>
      <c r="AR305" s="772">
        <f t="shared" ca="1" si="146"/>
        <v>124866.8864140107</v>
      </c>
      <c r="AS305" s="772">
        <f t="shared" ca="1" si="146"/>
        <v>124866.8864140107</v>
      </c>
      <c r="AT305" s="772">
        <f t="shared" ca="1" si="146"/>
        <v>124579.28909988554</v>
      </c>
      <c r="AU305" s="772">
        <f t="shared" ca="1" si="146"/>
        <v>124579.28909988554</v>
      </c>
      <c r="AV305" s="772">
        <f t="shared" ca="1" si="146"/>
        <v>124281.18237080265</v>
      </c>
      <c r="AW305" s="772">
        <f t="shared" ca="1" si="146"/>
        <v>124281.18237080265</v>
      </c>
      <c r="AX305" s="772">
        <f t="shared" ca="1" si="146"/>
        <v>123971.64917812843</v>
      </c>
      <c r="AY305" s="772">
        <f t="shared" ca="1" si="146"/>
        <v>123971.64917812843</v>
      </c>
      <c r="AZ305" s="772">
        <f t="shared" ca="1" si="146"/>
        <v>123971.64917812843</v>
      </c>
      <c r="BA305" s="772">
        <f t="shared" ca="1" si="146"/>
        <v>124866.8864140107</v>
      </c>
      <c r="BB305" s="772">
        <f t="shared" ca="1" si="146"/>
        <v>124866.8864140107</v>
      </c>
      <c r="BC305" s="772">
        <f t="shared" ca="1" si="146"/>
        <v>124579.28909988554</v>
      </c>
      <c r="BD305" s="772">
        <f t="shared" ca="1" si="146"/>
        <v>124281.18237080265</v>
      </c>
      <c r="BE305" s="772">
        <f t="shared" ca="1" si="146"/>
        <v>124281.18237080265</v>
      </c>
      <c r="BF305" s="772">
        <f t="shared" ca="1" si="146"/>
        <v>123971.64917812843</v>
      </c>
      <c r="BG305" s="772">
        <f t="shared" ca="1" si="145"/>
        <v>123971.64917812843</v>
      </c>
      <c r="BH305" s="772">
        <f t="shared" ref="BH305:BL310" ca="1" si="150">HLOOKUP(BH$7,$A$7:$P$348,ROW()-6)</f>
        <v>123649.69559667482</v>
      </c>
      <c r="BI305" s="772">
        <f t="shared" ca="1" si="150"/>
        <v>123649.69559667482</v>
      </c>
      <c r="BJ305" s="772">
        <f t="shared" ca="1" si="150"/>
        <v>124579.28909988554</v>
      </c>
      <c r="BK305" s="772">
        <f t="shared" ca="1" si="150"/>
        <v>124579.28909988554</v>
      </c>
      <c r="BL305" s="772">
        <f t="shared" ca="1" si="150"/>
        <v>124579.28909988554</v>
      </c>
      <c r="BM305" s="772">
        <f t="shared" ca="1" si="139"/>
        <v>124579.28909988554</v>
      </c>
      <c r="BN305" s="772">
        <f t="shared" ca="1" si="139"/>
        <v>123971.64917812843</v>
      </c>
      <c r="BO305" s="772">
        <f t="shared" ca="1" si="147"/>
        <v>123971.64917812843</v>
      </c>
      <c r="BP305" s="772">
        <f t="shared" ca="1" si="147"/>
        <v>123649.69559667482</v>
      </c>
      <c r="BQ305" s="772">
        <f t="shared" ca="1" si="147"/>
        <v>123649.69559667482</v>
      </c>
      <c r="BR305" s="772">
        <f t="shared" ca="1" si="147"/>
        <v>123314.24316608896</v>
      </c>
      <c r="BS305" s="772">
        <f t="shared" ca="1" si="147"/>
        <v>124579.28909988554</v>
      </c>
      <c r="BT305" s="772">
        <f t="shared" ca="1" si="147"/>
        <v>124579.28909988554</v>
      </c>
      <c r="BU305" s="772">
        <f t="shared" ca="1" si="147"/>
        <v>124579.28909988554</v>
      </c>
      <c r="BV305" s="772">
        <f t="shared" ca="1" si="147"/>
        <v>124281.18237080265</v>
      </c>
      <c r="BW305" s="772">
        <f t="shared" ca="1" si="147"/>
        <v>124281.18237080265</v>
      </c>
      <c r="BX305" s="772">
        <f t="shared" ca="1" si="147"/>
        <v>123649.69559667482</v>
      </c>
      <c r="BY305" s="772">
        <f t="shared" ca="1" si="147"/>
        <v>123649.69559667482</v>
      </c>
      <c r="BZ305" s="772">
        <f t="shared" ca="1" si="147"/>
        <v>123314.24316608896</v>
      </c>
      <c r="CA305" s="772">
        <f t="shared" ca="1" si="147"/>
        <v>123314.24316608896</v>
      </c>
      <c r="CB305" s="772">
        <f t="shared" ca="1" si="147"/>
        <v>124281.18237080265</v>
      </c>
      <c r="CC305" s="772">
        <f t="shared" ca="1" si="147"/>
        <v>124281.18237080265</v>
      </c>
      <c r="CD305" s="772">
        <f t="shared" ca="1" si="147"/>
        <v>124281.18237080265</v>
      </c>
      <c r="CE305" s="772">
        <f t="shared" ca="1" si="137"/>
        <v>124281.18237080265</v>
      </c>
      <c r="CF305" s="772">
        <f t="shared" ca="1" si="137"/>
        <v>123971.64917812843</v>
      </c>
      <c r="CG305" s="772">
        <f t="shared" ca="1" si="137"/>
        <v>123649.69559667482</v>
      </c>
      <c r="CH305" s="772">
        <f t="shared" ca="1" si="137"/>
        <v>123314.24316608896</v>
      </c>
      <c r="CI305" s="772">
        <f t="shared" ca="1" si="137"/>
        <v>123314.24316608896</v>
      </c>
      <c r="CJ305" s="772">
        <f t="shared" ca="1" si="137"/>
        <v>122964.12065514797</v>
      </c>
    </row>
    <row r="306" spans="1:88" ht="15" customHeight="1">
      <c r="A306" s="770">
        <f>'kc-Wert für Stützen'!C306</f>
        <v>358</v>
      </c>
      <c r="B306" s="768">
        <f ca="1">INDIRECT("'kc-Wert für Stützen'!"&amp;SUBSTITUTE(ADDRESS(MATCH($A306,'kc-Wert für Stützen'!$C:$C,0),MATCH(B$7,'kc-Wert für Stützen'!$A$8:$ES$8,0)+7,4),,))</f>
        <v>126138.26818220934</v>
      </c>
      <c r="C306" s="768">
        <f ca="1">INDIRECT("'kc-Wert für Stützen'!"&amp;SUBSTITUTE(ADDRESS(MATCH($A306,'kc-Wert für Stützen'!$C:$C,0),MATCH(C$7,'kc-Wert für Stützen'!$A$8:$ES$8,0)+7,4),,))</f>
        <v>125869.13447090167</v>
      </c>
      <c r="D306" s="768">
        <f ca="1">INDIRECT("'kc-Wert für Stützen'!"&amp;SUBSTITUTE(ADDRESS(MATCH($A306,'kc-Wert für Stützen'!$C:$C,0),MATCH(D$7,'kc-Wert für Stützen'!$A$8:$ES$8,0)+7,4),,))</f>
        <v>125591.18350558155</v>
      </c>
      <c r="E306" s="768">
        <f ca="1">INDIRECT("'kc-Wert für Stützen'!"&amp;SUBSTITUTE(ADDRESS(MATCH($A306,'kc-Wert für Stützen'!$C:$C,0),MATCH(E$7,'kc-Wert für Stützen'!$A$8:$ES$8,0)+7,4),,))</f>
        <v>125303.63844338684</v>
      </c>
      <c r="F306" s="768">
        <f ca="1">INDIRECT("'kc-Wert für Stützen'!"&amp;SUBSTITUTE(ADDRESS(MATCH($A306,'kc-Wert für Stützen'!$C:$C,0),MATCH(F$7,'kc-Wert für Stützen'!$A$8:$ES$8,0)+7,4),,))</f>
        <v>125005.66002685636</v>
      </c>
      <c r="G306" s="768">
        <f ca="1">INDIRECT("'kc-Wert für Stützen'!"&amp;SUBSTITUTE(ADDRESS(MATCH($A306,'kc-Wert für Stützen'!$C:$C,0),MATCH(G$7,'kc-Wert für Stützen'!$A$8:$ES$8,0)+7,4),,))</f>
        <v>124696.34017299784</v>
      </c>
      <c r="H306" s="768">
        <f ca="1">INDIRECT("'kc-Wert für Stützen'!"&amp;SUBSTITUTE(ADDRESS(MATCH($A306,'kc-Wert für Stützen'!$C:$C,0),MATCH(H$7,'kc-Wert für Stützen'!$A$8:$ES$8,0)+7,4),,))</f>
        <v>124374.69500423125</v>
      </c>
      <c r="I306" s="768">
        <f ca="1">INDIRECT("'kc-Wert für Stützen'!"&amp;SUBSTITUTE(ADDRESS(MATCH($A306,'kc-Wert für Stützen'!$C:$C,0),MATCH(I$7,'kc-Wert für Stützen'!$A$8:$ES$8,0)+7,4),,))</f>
        <v>124039.65730618886</v>
      </c>
      <c r="J306" s="768">
        <f ca="1">INDIRECT("'kc-Wert für Stützen'!"&amp;SUBSTITUTE(ADDRESS(MATCH($A306,'kc-Wert für Stützen'!$C:$C,0),MATCH(J$7,'kc-Wert für Stützen'!$A$8:$ES$8,0)+7,4),,))</f>
        <v>123690.06841361731</v>
      </c>
      <c r="K306" s="768">
        <f ca="1">INDIRECT("'kc-Wert für Stützen'!"&amp;SUBSTITUTE(ADDRESS(MATCH($A306,'kc-Wert für Stützen'!$C:$C,0),MATCH(K$7,'kc-Wert für Stützen'!$A$8:$ES$8,0)+7,4),,))</f>
        <v>123324.66954960616</v>
      </c>
      <c r="L306" s="768">
        <f ca="1">INDIRECT("'kc-Wert für Stützen'!"&amp;SUBSTITUTE(ADDRESS(MATCH($A306,'kc-Wert für Stützen'!$C:$C,0),MATCH(L$7,'kc-Wert für Stützen'!$A$8:$ES$8,0)+7,4),,))</f>
        <v>122942.09267762009</v>
      </c>
      <c r="M306" s="768">
        <f ca="1">INDIRECT("'kc-Wert für Stützen'!"&amp;SUBSTITUTE(ADDRESS(MATCH($A306,'kc-Wert für Stützen'!$C:$C,0),MATCH(M$7,'kc-Wert für Stützen'!$A$8:$ES$8,0)+7,4),,))</f>
        <v>122540.85097358182</v>
      </c>
      <c r="N306" s="768">
        <f ca="1">INDIRECT("'kc-Wert für Stützen'!"&amp;SUBSTITUTE(ADDRESS(MATCH($A306,'kc-Wert für Stützen'!$C:$C,0),MATCH(N$7,'kc-Wert für Stützen'!$A$8:$ES$8,0)+7,4),,))</f>
        <v>122119.32909050482</v>
      </c>
      <c r="O306" s="768">
        <f ca="1">INDIRECT("'kc-Wert für Stützen'!"&amp;SUBSTITUTE(ADDRESS(MATCH($A306,'kc-Wert für Stützen'!$C:$C,0),MATCH(O$7,'kc-Wert für Stützen'!$A$8:$ES$8,0)+7,4),,))</f>
        <v>121675.77347564689</v>
      </c>
      <c r="P306" s="768">
        <f ca="1">INDIRECT("'kc-Wert für Stützen'!"&amp;SUBSTITUTE(ADDRESS(MATCH($A306,'kc-Wert für Stützen'!$C:$C,0),MATCH(P$7,'kc-Wert für Stützen'!$A$8:$ES$8,0)+7,4),,))</f>
        <v>121208.28311524242</v>
      </c>
      <c r="S306" s="772">
        <f t="shared" ca="1" si="124"/>
        <v>125591.18350558155</v>
      </c>
      <c r="T306" s="772">
        <f t="shared" ca="1" si="148"/>
        <v>125591.18350558155</v>
      </c>
      <c r="U306" s="772">
        <f t="shared" ca="1" si="148"/>
        <v>125591.18350558155</v>
      </c>
      <c r="V306" s="772">
        <f t="shared" ca="1" si="148"/>
        <v>125303.63844338684</v>
      </c>
      <c r="W306" s="772">
        <f t="shared" ca="1" si="148"/>
        <v>125005.66002685636</v>
      </c>
      <c r="X306" s="772">
        <f t="shared" ca="1" si="148"/>
        <v>124696.34017299784</v>
      </c>
      <c r="Y306" s="772">
        <f t="shared" ca="1" si="148"/>
        <v>124374.69500423125</v>
      </c>
      <c r="Z306" s="772">
        <f t="shared" ca="1" si="148"/>
        <v>125591.18350558155</v>
      </c>
      <c r="AA306" s="772">
        <f t="shared" ca="1" si="148"/>
        <v>125591.18350558155</v>
      </c>
      <c r="AB306" s="772">
        <f t="shared" ca="1" si="149"/>
        <v>125303.63844338684</v>
      </c>
      <c r="AC306" s="772">
        <f t="shared" ca="1" si="149"/>
        <v>125303.63844338684</v>
      </c>
      <c r="AD306" s="772">
        <f t="shared" ca="1" si="149"/>
        <v>125005.66002685636</v>
      </c>
      <c r="AE306" s="772">
        <f t="shared" ca="1" si="149"/>
        <v>125005.66002685636</v>
      </c>
      <c r="AF306" s="772">
        <f t="shared" ca="1" si="149"/>
        <v>124696.34017299784</v>
      </c>
      <c r="AG306" s="772">
        <f t="shared" ca="1" si="149"/>
        <v>124696.34017299784</v>
      </c>
      <c r="AH306" s="772">
        <f t="shared" ca="1" si="149"/>
        <v>124696.34017299784</v>
      </c>
      <c r="AI306" s="772">
        <f t="shared" ca="1" si="149"/>
        <v>125591.18350558155</v>
      </c>
      <c r="AJ306" s="772">
        <f t="shared" ca="1" si="149"/>
        <v>125591.18350558155</v>
      </c>
      <c r="AK306" s="772">
        <f t="shared" ca="1" si="149"/>
        <v>125303.63844338684</v>
      </c>
      <c r="AL306" s="772">
        <f t="shared" ca="1" si="149"/>
        <v>125303.63844338684</v>
      </c>
      <c r="AM306" s="772">
        <f t="shared" ca="1" si="149"/>
        <v>125005.66002685636</v>
      </c>
      <c r="AN306" s="772">
        <f t="shared" ca="1" si="149"/>
        <v>125005.66002685636</v>
      </c>
      <c r="AO306" s="772">
        <f t="shared" ca="1" si="149"/>
        <v>124696.34017299784</v>
      </c>
      <c r="AP306" s="772">
        <f t="shared" ca="1" si="149"/>
        <v>124696.34017299784</v>
      </c>
      <c r="AQ306" s="772">
        <f t="shared" ca="1" si="149"/>
        <v>124696.34017299784</v>
      </c>
      <c r="AR306" s="772">
        <f t="shared" ca="1" si="146"/>
        <v>125591.18350558155</v>
      </c>
      <c r="AS306" s="772">
        <f t="shared" ca="1" si="146"/>
        <v>125591.18350558155</v>
      </c>
      <c r="AT306" s="772">
        <f t="shared" ca="1" si="146"/>
        <v>125303.63844338684</v>
      </c>
      <c r="AU306" s="772">
        <f t="shared" ca="1" si="146"/>
        <v>125303.63844338684</v>
      </c>
      <c r="AV306" s="772">
        <f t="shared" ca="1" si="146"/>
        <v>125005.66002685636</v>
      </c>
      <c r="AW306" s="772">
        <f t="shared" ca="1" si="146"/>
        <v>125005.66002685636</v>
      </c>
      <c r="AX306" s="772">
        <f t="shared" ca="1" si="146"/>
        <v>124696.34017299784</v>
      </c>
      <c r="AY306" s="772">
        <f t="shared" ca="1" si="146"/>
        <v>124696.34017299784</v>
      </c>
      <c r="AZ306" s="772">
        <f t="shared" ca="1" si="146"/>
        <v>124696.34017299784</v>
      </c>
      <c r="BA306" s="772">
        <f t="shared" ca="1" si="146"/>
        <v>125591.18350558155</v>
      </c>
      <c r="BB306" s="772">
        <f t="shared" ca="1" si="146"/>
        <v>125591.18350558155</v>
      </c>
      <c r="BC306" s="772">
        <f t="shared" ca="1" si="146"/>
        <v>125303.63844338684</v>
      </c>
      <c r="BD306" s="772">
        <f t="shared" ca="1" si="146"/>
        <v>125005.66002685636</v>
      </c>
      <c r="BE306" s="772">
        <f t="shared" ca="1" si="146"/>
        <v>125005.66002685636</v>
      </c>
      <c r="BF306" s="772">
        <f t="shared" ca="1" si="146"/>
        <v>124696.34017299784</v>
      </c>
      <c r="BG306" s="772">
        <f t="shared" ca="1" si="145"/>
        <v>124696.34017299784</v>
      </c>
      <c r="BH306" s="772">
        <f t="shared" ca="1" si="150"/>
        <v>124374.69500423125</v>
      </c>
      <c r="BI306" s="772">
        <f t="shared" ca="1" si="150"/>
        <v>124374.69500423125</v>
      </c>
      <c r="BJ306" s="772">
        <f t="shared" ca="1" si="150"/>
        <v>125303.63844338684</v>
      </c>
      <c r="BK306" s="772">
        <f t="shared" ca="1" si="150"/>
        <v>125303.63844338684</v>
      </c>
      <c r="BL306" s="772">
        <f t="shared" ca="1" si="150"/>
        <v>125303.63844338684</v>
      </c>
      <c r="BM306" s="772">
        <f t="shared" ca="1" si="139"/>
        <v>125303.63844338684</v>
      </c>
      <c r="BN306" s="772">
        <f t="shared" ca="1" si="139"/>
        <v>124696.34017299784</v>
      </c>
      <c r="BO306" s="772">
        <f t="shared" ca="1" si="147"/>
        <v>124696.34017299784</v>
      </c>
      <c r="BP306" s="772">
        <f t="shared" ca="1" si="147"/>
        <v>124374.69500423125</v>
      </c>
      <c r="BQ306" s="772">
        <f t="shared" ca="1" si="147"/>
        <v>124374.69500423125</v>
      </c>
      <c r="BR306" s="772">
        <f t="shared" ca="1" si="147"/>
        <v>124039.65730618886</v>
      </c>
      <c r="BS306" s="772">
        <f t="shared" ca="1" si="147"/>
        <v>125303.63844338684</v>
      </c>
      <c r="BT306" s="772">
        <f t="shared" ca="1" si="147"/>
        <v>125303.63844338684</v>
      </c>
      <c r="BU306" s="772">
        <f t="shared" ca="1" si="147"/>
        <v>125303.63844338684</v>
      </c>
      <c r="BV306" s="772">
        <f t="shared" ca="1" si="147"/>
        <v>125005.66002685636</v>
      </c>
      <c r="BW306" s="772">
        <f t="shared" ca="1" si="147"/>
        <v>125005.66002685636</v>
      </c>
      <c r="BX306" s="772">
        <f t="shared" ca="1" si="147"/>
        <v>124374.69500423125</v>
      </c>
      <c r="BY306" s="772">
        <f t="shared" ca="1" si="147"/>
        <v>124374.69500423125</v>
      </c>
      <c r="BZ306" s="772">
        <f t="shared" ca="1" si="147"/>
        <v>124039.65730618886</v>
      </c>
      <c r="CA306" s="772">
        <f t="shared" ca="1" si="147"/>
        <v>124039.65730618886</v>
      </c>
      <c r="CB306" s="772">
        <f t="shared" ca="1" si="147"/>
        <v>125005.66002685636</v>
      </c>
      <c r="CC306" s="772">
        <f t="shared" ca="1" si="147"/>
        <v>125005.66002685636</v>
      </c>
      <c r="CD306" s="772">
        <f t="shared" ca="1" si="147"/>
        <v>125005.66002685636</v>
      </c>
      <c r="CE306" s="772">
        <f t="shared" ca="1" si="137"/>
        <v>125005.66002685636</v>
      </c>
      <c r="CF306" s="772">
        <f t="shared" ca="1" si="137"/>
        <v>124696.34017299784</v>
      </c>
      <c r="CG306" s="772">
        <f t="shared" ca="1" si="137"/>
        <v>124374.69500423125</v>
      </c>
      <c r="CH306" s="772">
        <f t="shared" ca="1" si="137"/>
        <v>124039.65730618886</v>
      </c>
      <c r="CI306" s="772">
        <f t="shared" ca="1" si="137"/>
        <v>124039.65730618886</v>
      </c>
      <c r="CJ306" s="772">
        <f t="shared" ca="1" si="137"/>
        <v>123690.06841361731</v>
      </c>
    </row>
    <row r="307" spans="1:88" ht="15" customHeight="1">
      <c r="A307" s="770">
        <f>'kc-Wert für Stützen'!C307</f>
        <v>359</v>
      </c>
      <c r="B307" s="768">
        <f ca="1">INDIRECT("'kc-Wert für Stützen'!"&amp;SUBSTITUTE(ADDRESS(MATCH($A307,'kc-Wert für Stützen'!$C:$C,0),MATCH(B$7,'kc-Wert für Stützen'!$A$8:$ES$8,0)+7,4),,))</f>
        <v>126864.69251072066</v>
      </c>
      <c r="C307" s="768">
        <f ca="1">INDIRECT("'kc-Wert für Stützen'!"&amp;SUBSTITUTE(ADDRESS(MATCH($A307,'kc-Wert für Stützen'!$C:$C,0),MATCH(C$7,'kc-Wert für Stützen'!$A$8:$ES$8,0)+7,4),,))</f>
        <v>126595.47747298474</v>
      </c>
      <c r="D307" s="768">
        <f ca="1">INDIRECT("'kc-Wert für Stützen'!"&amp;SUBSTITUTE(ADDRESS(MATCH($A307,'kc-Wert für Stützen'!$C:$C,0),MATCH(D$7,'kc-Wert für Stützen'!$A$8:$ES$8,0)+7,4),,))</f>
        <v>126317.50541752881</v>
      </c>
      <c r="E307" s="768">
        <f ca="1">INDIRECT("'kc-Wert für Stützen'!"&amp;SUBSTITUTE(ADDRESS(MATCH($A307,'kc-Wert für Stützen'!$C:$C,0),MATCH(E$7,'kc-Wert für Stützen'!$A$8:$ES$8,0)+7,4),,))</f>
        <v>126030.00651628217</v>
      </c>
      <c r="F307" s="768">
        <f ca="1">INDIRECT("'kc-Wert für Stützen'!"&amp;SUBSTITUTE(ADDRESS(MATCH($A307,'kc-Wert für Stützen'!$C:$C,0),MATCH(F$7,'kc-Wert für Stützen'!$A$8:$ES$8,0)+7,4),,))</f>
        <v>125732.14938266255</v>
      </c>
      <c r="G307" s="768">
        <f ca="1">INDIRECT("'kc-Wert für Stützen'!"&amp;SUBSTITUTE(ADDRESS(MATCH($A307,'kc-Wert für Stützen'!$C:$C,0),MATCH(G$7,'kc-Wert für Stützen'!$A$8:$ES$8,0)+7,4),,))</f>
        <v>125423.03476006447</v>
      </c>
      <c r="H307" s="768">
        <f ca="1">INDIRECT("'kc-Wert für Stützen'!"&amp;SUBSTITUTE(ADDRESS(MATCH($A307,'kc-Wert für Stützen'!$C:$C,0),MATCH(H$7,'kc-Wert für Stützen'!$A$8:$ES$8,0)+7,4),,))</f>
        <v>125101.68866024348</v>
      </c>
      <c r="I307" s="768">
        <f ca="1">INDIRECT("'kc-Wert für Stützen'!"&amp;SUBSTITUTE(ADDRESS(MATCH($A307,'kc-Wert für Stützen'!$C:$C,0),MATCH(I$7,'kc-Wert für Stützen'!$A$8:$ES$8,0)+7,4),,))</f>
        <v>124767.05493566112</v>
      </c>
      <c r="J307" s="768">
        <f ca="1">INDIRECT("'kc-Wert für Stützen'!"&amp;SUBSTITUTE(ADDRESS(MATCH($A307,'kc-Wert für Stützen'!$C:$C,0),MATCH(J$7,'kc-Wert für Stützen'!$A$8:$ES$8,0)+7,4),,))</f>
        <v>124417.98728527558</v>
      </c>
      <c r="K307" s="768">
        <f ca="1">INDIRECT("'kc-Wert für Stützen'!"&amp;SUBSTITUTE(ADDRESS(MATCH($A307,'kc-Wert für Stützen'!$C:$C,0),MATCH(K$7,'kc-Wert für Stützen'!$A$8:$ES$8,0)+7,4),,))</f>
        <v>124053.24071604574</v>
      </c>
      <c r="L307" s="768">
        <f ca="1">INDIRECT("'kc-Wert für Stützen'!"&amp;SUBSTITUTE(ADDRESS(MATCH($A307,'kc-Wert für Stützen'!$C:$C,0),MATCH(L$7,'kc-Wert für Stützen'!$A$8:$ES$8,0)+7,4),,))</f>
        <v>123671.46251501112</v>
      </c>
      <c r="M307" s="768">
        <f ca="1">INDIRECT("'kc-Wert für Stützen'!"&amp;SUBSTITUTE(ADDRESS(MATCH($A307,'kc-Wert für Stützen'!$C:$C,0),MATCH(M$7,'kc-Wert für Stützen'!$A$8:$ES$8,0)+7,4),,))</f>
        <v>123271.18283232673</v>
      </c>
      <c r="N307" s="768">
        <f ca="1">INDIRECT("'kc-Wert für Stützen'!"&amp;SUBSTITUTE(ADDRESS(MATCH($A307,'kc-Wert für Stützen'!$C:$C,0),MATCH(N$7,'kc-Wert für Stützen'!$A$8:$ES$8,0)+7,4),,))</f>
        <v>122850.8050378678</v>
      </c>
      <c r="O307" s="768">
        <f ca="1">INDIRECT("'kc-Wert für Stützen'!"&amp;SUBSTITUTE(ADDRESS(MATCH($A307,'kc-Wert für Stützen'!$C:$C,0),MATCH(O$7,'kc-Wert für Stützen'!$A$8:$ES$8,0)+7,4),,))</f>
        <v>122408.59609754506</v>
      </c>
      <c r="P307" s="768">
        <f ca="1">INDIRECT("'kc-Wert für Stützen'!"&amp;SUBSTITUTE(ADDRESS(MATCH($A307,'kc-Wert für Stützen'!$C:$C,0),MATCH(P$7,'kc-Wert für Stützen'!$A$8:$ES$8,0)+7,4),,))</f>
        <v>121942.6773254938</v>
      </c>
      <c r="S307" s="772">
        <f t="shared" ca="1" si="124"/>
        <v>126317.50541752881</v>
      </c>
      <c r="T307" s="772">
        <f t="shared" ca="1" si="148"/>
        <v>126317.50541752881</v>
      </c>
      <c r="U307" s="772">
        <f t="shared" ca="1" si="148"/>
        <v>126317.50541752881</v>
      </c>
      <c r="V307" s="772">
        <f t="shared" ca="1" si="148"/>
        <v>126030.00651628217</v>
      </c>
      <c r="W307" s="772">
        <f t="shared" ca="1" si="148"/>
        <v>125732.14938266255</v>
      </c>
      <c r="X307" s="772">
        <f t="shared" ca="1" si="148"/>
        <v>125423.03476006447</v>
      </c>
      <c r="Y307" s="772">
        <f t="shared" ca="1" si="148"/>
        <v>125101.68866024348</v>
      </c>
      <c r="Z307" s="772">
        <f t="shared" ca="1" si="148"/>
        <v>126317.50541752881</v>
      </c>
      <c r="AA307" s="772">
        <f t="shared" ca="1" si="148"/>
        <v>126317.50541752881</v>
      </c>
      <c r="AB307" s="772">
        <f t="shared" ca="1" si="149"/>
        <v>126030.00651628217</v>
      </c>
      <c r="AC307" s="772">
        <f t="shared" ca="1" si="149"/>
        <v>126030.00651628217</v>
      </c>
      <c r="AD307" s="772">
        <f t="shared" ca="1" si="149"/>
        <v>125732.14938266255</v>
      </c>
      <c r="AE307" s="772">
        <f t="shared" ca="1" si="149"/>
        <v>125732.14938266255</v>
      </c>
      <c r="AF307" s="772">
        <f t="shared" ca="1" si="149"/>
        <v>125423.03476006447</v>
      </c>
      <c r="AG307" s="772">
        <f t="shared" ca="1" si="149"/>
        <v>125423.03476006447</v>
      </c>
      <c r="AH307" s="772">
        <f t="shared" ca="1" si="149"/>
        <v>125423.03476006447</v>
      </c>
      <c r="AI307" s="772">
        <f t="shared" ca="1" si="149"/>
        <v>126317.50541752881</v>
      </c>
      <c r="AJ307" s="772">
        <f t="shared" ca="1" si="149"/>
        <v>126317.50541752881</v>
      </c>
      <c r="AK307" s="772">
        <f t="shared" ca="1" si="149"/>
        <v>126030.00651628217</v>
      </c>
      <c r="AL307" s="772">
        <f t="shared" ca="1" si="149"/>
        <v>126030.00651628217</v>
      </c>
      <c r="AM307" s="772">
        <f t="shared" ca="1" si="149"/>
        <v>125732.14938266255</v>
      </c>
      <c r="AN307" s="772">
        <f t="shared" ca="1" si="149"/>
        <v>125732.14938266255</v>
      </c>
      <c r="AO307" s="772">
        <f t="shared" ca="1" si="149"/>
        <v>125423.03476006447</v>
      </c>
      <c r="AP307" s="772">
        <f t="shared" ca="1" si="149"/>
        <v>125423.03476006447</v>
      </c>
      <c r="AQ307" s="772">
        <f t="shared" ca="1" si="149"/>
        <v>125423.03476006447</v>
      </c>
      <c r="AR307" s="772">
        <f t="shared" ca="1" si="146"/>
        <v>126317.50541752881</v>
      </c>
      <c r="AS307" s="772">
        <f t="shared" ca="1" si="146"/>
        <v>126317.50541752881</v>
      </c>
      <c r="AT307" s="772">
        <f t="shared" ca="1" si="146"/>
        <v>126030.00651628217</v>
      </c>
      <c r="AU307" s="772">
        <f t="shared" ca="1" si="146"/>
        <v>126030.00651628217</v>
      </c>
      <c r="AV307" s="772">
        <f t="shared" ca="1" si="146"/>
        <v>125732.14938266255</v>
      </c>
      <c r="AW307" s="772">
        <f t="shared" ca="1" si="146"/>
        <v>125732.14938266255</v>
      </c>
      <c r="AX307" s="772">
        <f t="shared" ca="1" si="146"/>
        <v>125423.03476006447</v>
      </c>
      <c r="AY307" s="772">
        <f t="shared" ca="1" si="146"/>
        <v>125423.03476006447</v>
      </c>
      <c r="AZ307" s="772">
        <f t="shared" ca="1" si="146"/>
        <v>125423.03476006447</v>
      </c>
      <c r="BA307" s="772">
        <f t="shared" ca="1" si="146"/>
        <v>126317.50541752881</v>
      </c>
      <c r="BB307" s="772">
        <f t="shared" ca="1" si="146"/>
        <v>126317.50541752881</v>
      </c>
      <c r="BC307" s="772">
        <f t="shared" ca="1" si="146"/>
        <v>126030.00651628217</v>
      </c>
      <c r="BD307" s="772">
        <f t="shared" ca="1" si="146"/>
        <v>125732.14938266255</v>
      </c>
      <c r="BE307" s="772">
        <f t="shared" ca="1" si="146"/>
        <v>125732.14938266255</v>
      </c>
      <c r="BF307" s="772">
        <f t="shared" ca="1" si="146"/>
        <v>125423.03476006447</v>
      </c>
      <c r="BG307" s="772">
        <f t="shared" ca="1" si="145"/>
        <v>125423.03476006447</v>
      </c>
      <c r="BH307" s="772">
        <f t="shared" ca="1" si="150"/>
        <v>125101.68866024348</v>
      </c>
      <c r="BI307" s="772">
        <f t="shared" ca="1" si="150"/>
        <v>125101.68866024348</v>
      </c>
      <c r="BJ307" s="772">
        <f t="shared" ca="1" si="150"/>
        <v>126030.00651628217</v>
      </c>
      <c r="BK307" s="772">
        <f t="shared" ca="1" si="150"/>
        <v>126030.00651628217</v>
      </c>
      <c r="BL307" s="772">
        <f t="shared" ca="1" si="150"/>
        <v>126030.00651628217</v>
      </c>
      <c r="BM307" s="772">
        <f t="shared" ca="1" si="139"/>
        <v>126030.00651628217</v>
      </c>
      <c r="BN307" s="772">
        <f t="shared" ca="1" si="139"/>
        <v>125423.03476006447</v>
      </c>
      <c r="BO307" s="772">
        <f t="shared" ca="1" si="147"/>
        <v>125423.03476006447</v>
      </c>
      <c r="BP307" s="772">
        <f t="shared" ca="1" si="147"/>
        <v>125101.68866024348</v>
      </c>
      <c r="BQ307" s="772">
        <f t="shared" ca="1" si="147"/>
        <v>125101.68866024348</v>
      </c>
      <c r="BR307" s="772">
        <f t="shared" ca="1" si="147"/>
        <v>124767.05493566112</v>
      </c>
      <c r="BS307" s="772">
        <f t="shared" ca="1" si="147"/>
        <v>126030.00651628217</v>
      </c>
      <c r="BT307" s="772">
        <f t="shared" ca="1" si="147"/>
        <v>126030.00651628217</v>
      </c>
      <c r="BU307" s="772">
        <f t="shared" ca="1" si="147"/>
        <v>126030.00651628217</v>
      </c>
      <c r="BV307" s="772">
        <f t="shared" ca="1" si="147"/>
        <v>125732.14938266255</v>
      </c>
      <c r="BW307" s="772">
        <f t="shared" ca="1" si="147"/>
        <v>125732.14938266255</v>
      </c>
      <c r="BX307" s="772">
        <f t="shared" ca="1" si="147"/>
        <v>125101.68866024348</v>
      </c>
      <c r="BY307" s="772">
        <f t="shared" ca="1" si="147"/>
        <v>125101.68866024348</v>
      </c>
      <c r="BZ307" s="772">
        <f t="shared" ca="1" si="147"/>
        <v>124767.05493566112</v>
      </c>
      <c r="CA307" s="772">
        <f t="shared" ca="1" si="147"/>
        <v>124767.05493566112</v>
      </c>
      <c r="CB307" s="772">
        <f t="shared" ca="1" si="147"/>
        <v>125732.14938266255</v>
      </c>
      <c r="CC307" s="772">
        <f t="shared" ca="1" si="147"/>
        <v>125732.14938266255</v>
      </c>
      <c r="CD307" s="772">
        <f t="shared" ca="1" si="147"/>
        <v>125732.14938266255</v>
      </c>
      <c r="CE307" s="772">
        <f t="shared" ca="1" si="137"/>
        <v>125732.14938266255</v>
      </c>
      <c r="CF307" s="772">
        <f t="shared" ca="1" si="137"/>
        <v>125423.03476006447</v>
      </c>
      <c r="CG307" s="772">
        <f t="shared" ca="1" si="137"/>
        <v>125101.68866024348</v>
      </c>
      <c r="CH307" s="772">
        <f t="shared" ca="1" si="137"/>
        <v>124767.05493566112</v>
      </c>
      <c r="CI307" s="772">
        <f t="shared" ca="1" si="137"/>
        <v>124767.05493566112</v>
      </c>
      <c r="CJ307" s="772">
        <f t="shared" ca="1" si="137"/>
        <v>124417.98728527558</v>
      </c>
    </row>
    <row r="308" spans="1:88" ht="15" customHeight="1">
      <c r="A308" s="770">
        <f>'kc-Wert für Stützen'!C308</f>
        <v>360</v>
      </c>
      <c r="B308" s="768">
        <f ca="1">INDIRECT("'kc-Wert für Stützen'!"&amp;SUBSTITUTE(ADDRESS(MATCH($A308,'kc-Wert für Stützen'!$C:$C,0),MATCH(B$7,'kc-Wert für Stützen'!$A$8:$ES$8,0)+7,4),,))</f>
        <v>127593.1518277728</v>
      </c>
      <c r="C308" s="768">
        <f ca="1">INDIRECT("'kc-Wert für Stützen'!"&amp;SUBSTITUTE(ADDRESS(MATCH($A308,'kc-Wert für Stützen'!$C:$C,0),MATCH(C$7,'kc-Wert für Stützen'!$A$8:$ES$8,0)+7,4),,))</f>
        <v>127323.85096365164</v>
      </c>
      <c r="D308" s="768">
        <f ca="1">INDIRECT("'kc-Wert für Stützen'!"&amp;SUBSTITUTE(ADDRESS(MATCH($A308,'kc-Wert für Stützen'!$C:$C,0),MATCH(D$7,'kc-Wert für Stützen'!$A$8:$ES$8,0)+7,4),,))</f>
        <v>127045.85262031009</v>
      </c>
      <c r="E308" s="768">
        <f ca="1">INDIRECT("'kc-Wert für Stützen'!"&amp;SUBSTITUTE(ADDRESS(MATCH($A308,'kc-Wert für Stützen'!$C:$C,0),MATCH(E$7,'kc-Wert für Stützen'!$A$8:$ES$8,0)+7,4),,))</f>
        <v>126758.39387970984</v>
      </c>
      <c r="F308" s="768">
        <f ca="1">INDIRECT("'kc-Wert für Stützen'!"&amp;SUBSTITUTE(ADDRESS(MATCH($A308,'kc-Wert für Stützen'!$C:$C,0),MATCH(F$7,'kc-Wert für Stützen'!$A$8:$ES$8,0)+7,4),,))</f>
        <v>126460.65110640229</v>
      </c>
      <c r="G308" s="768">
        <f ca="1">INDIRECT("'kc-Wert für Stützen'!"&amp;SUBSTITUTE(ADDRESS(MATCH($A308,'kc-Wert für Stützen'!$C:$C,0),MATCH(G$7,'kc-Wert für Stützen'!$A$8:$ES$8,0)+7,4),,))</f>
        <v>126151.73373364148</v>
      </c>
      <c r="H308" s="768">
        <f ca="1">INDIRECT("'kc-Wert für Stützen'!"&amp;SUBSTITUTE(ADDRESS(MATCH($A308,'kc-Wert für Stützen'!$C:$C,0),MATCH(H$7,'kc-Wert für Stützen'!$A$8:$ES$8,0)+7,4),,))</f>
        <v>125830.67750735073</v>
      </c>
      <c r="I308" s="768">
        <f ca="1">INDIRECT("'kc-Wert für Stützen'!"&amp;SUBSTITUTE(ADDRESS(MATCH($A308,'kc-Wert für Stützen'!$C:$C,0),MATCH(I$7,'kc-Wert für Stützen'!$A$8:$ES$8,0)+7,4),,))</f>
        <v>125496.43717116701</v>
      </c>
      <c r="J308" s="768">
        <f ca="1">INDIRECT("'kc-Wert für Stützen'!"&amp;SUBSTITUTE(ADDRESS(MATCH($A308,'kc-Wert für Stützen'!$C:$C,0),MATCH(J$7,'kc-Wert für Stützen'!$A$8:$ES$8,0)+7,4),,))</f>
        <v>125147.87859040547</v>
      </c>
      <c r="K308" s="768">
        <f ca="1">INDIRECT("'kc-Wert für Stützen'!"&amp;SUBSTITUTE(ADDRESS(MATCH($A308,'kc-Wert für Stützen'!$C:$C,0),MATCH(K$7,'kc-Wert für Stützen'!$A$8:$ES$8,0)+7,4),,))</f>
        <v>124783.77033442963</v>
      </c>
      <c r="L308" s="768">
        <f ca="1">INDIRECT("'kc-Wert für Stützen'!"&amp;SUBSTITUTE(ADDRESS(MATCH($A308,'kc-Wert für Stützen'!$C:$C,0),MATCH(L$7,'kc-Wert für Stützen'!$A$8:$ES$8,0)+7,4),,))</f>
        <v>124402.77476793567</v>
      </c>
      <c r="M308" s="768">
        <f ca="1">INDIRECT("'kc-Wert für Stützen'!"&amp;SUBSTITUTE(ADDRESS(MATCH($A308,'kc-Wert für Stützen'!$C:$C,0),MATCH(M$7,'kc-Wert für Stützen'!$A$8:$ES$8,0)+7,4),,))</f>
        <v>124003.43874502208</v>
      </c>
      <c r="N308" s="768">
        <f ca="1">INDIRECT("'kc-Wert für Stützen'!"&amp;SUBSTITUTE(ADDRESS(MATCH($A308,'kc-Wert für Stützen'!$C:$C,0),MATCH(N$7,'kc-Wert für Stützen'!$A$8:$ES$8,0)+7,4),,))</f>
        <v>123584.18405928482</v>
      </c>
      <c r="O308" s="768">
        <f ca="1">INDIRECT("'kc-Wert für Stützen'!"&amp;SUBSTITUTE(ADDRESS(MATCH($A308,'kc-Wert für Stützen'!$C:$C,0),MATCH(O$7,'kc-Wert für Stützen'!$A$8:$ES$8,0)+7,4),,))</f>
        <v>123143.29788292873</v>
      </c>
      <c r="P308" s="768">
        <f ca="1">INDIRECT("'kc-Wert für Stützen'!"&amp;SUBSTITUTE(ADDRESS(MATCH($A308,'kc-Wert für Stützen'!$C:$C,0),MATCH(P$7,'kc-Wert für Stützen'!$A$8:$ES$8,0)+7,4),,))</f>
        <v>122678.92353307214</v>
      </c>
      <c r="S308" s="772">
        <f t="shared" ca="1" si="124"/>
        <v>127045.85262031009</v>
      </c>
      <c r="T308" s="772">
        <f t="shared" ca="1" si="148"/>
        <v>127045.85262031009</v>
      </c>
      <c r="U308" s="772">
        <f t="shared" ca="1" si="148"/>
        <v>127045.85262031009</v>
      </c>
      <c r="V308" s="772">
        <f t="shared" ca="1" si="148"/>
        <v>126758.39387970984</v>
      </c>
      <c r="W308" s="772">
        <f t="shared" ca="1" si="148"/>
        <v>126460.65110640229</v>
      </c>
      <c r="X308" s="772">
        <f t="shared" ca="1" si="148"/>
        <v>126151.73373364148</v>
      </c>
      <c r="Y308" s="772">
        <f t="shared" ca="1" si="148"/>
        <v>125830.67750735073</v>
      </c>
      <c r="Z308" s="772">
        <f t="shared" ca="1" si="148"/>
        <v>127045.85262031009</v>
      </c>
      <c r="AA308" s="772">
        <f t="shared" ca="1" si="148"/>
        <v>127045.85262031009</v>
      </c>
      <c r="AB308" s="772">
        <f t="shared" ca="1" si="149"/>
        <v>126758.39387970984</v>
      </c>
      <c r="AC308" s="772">
        <f t="shared" ca="1" si="149"/>
        <v>126758.39387970984</v>
      </c>
      <c r="AD308" s="772">
        <f t="shared" ca="1" si="149"/>
        <v>126460.65110640229</v>
      </c>
      <c r="AE308" s="772">
        <f t="shared" ca="1" si="149"/>
        <v>126460.65110640229</v>
      </c>
      <c r="AF308" s="772">
        <f t="shared" ca="1" si="149"/>
        <v>126151.73373364148</v>
      </c>
      <c r="AG308" s="772">
        <f t="shared" ca="1" si="149"/>
        <v>126151.73373364148</v>
      </c>
      <c r="AH308" s="772">
        <f t="shared" ca="1" si="149"/>
        <v>126151.73373364148</v>
      </c>
      <c r="AI308" s="772">
        <f t="shared" ca="1" si="149"/>
        <v>127045.85262031009</v>
      </c>
      <c r="AJ308" s="772">
        <f t="shared" ca="1" si="149"/>
        <v>127045.85262031009</v>
      </c>
      <c r="AK308" s="772">
        <f t="shared" ca="1" si="149"/>
        <v>126758.39387970984</v>
      </c>
      <c r="AL308" s="772">
        <f t="shared" ca="1" si="149"/>
        <v>126758.39387970984</v>
      </c>
      <c r="AM308" s="772">
        <f t="shared" ca="1" si="149"/>
        <v>126460.65110640229</v>
      </c>
      <c r="AN308" s="772">
        <f t="shared" ca="1" si="149"/>
        <v>126460.65110640229</v>
      </c>
      <c r="AO308" s="772">
        <f t="shared" ca="1" si="149"/>
        <v>126151.73373364148</v>
      </c>
      <c r="AP308" s="772">
        <f t="shared" ca="1" si="149"/>
        <v>126151.73373364148</v>
      </c>
      <c r="AQ308" s="772">
        <f t="shared" ca="1" si="149"/>
        <v>126151.73373364148</v>
      </c>
      <c r="AR308" s="772">
        <f t="shared" ca="1" si="146"/>
        <v>127045.85262031009</v>
      </c>
      <c r="AS308" s="772">
        <f t="shared" ca="1" si="146"/>
        <v>127045.85262031009</v>
      </c>
      <c r="AT308" s="772">
        <f t="shared" ca="1" si="146"/>
        <v>126758.39387970984</v>
      </c>
      <c r="AU308" s="772">
        <f t="shared" ca="1" si="146"/>
        <v>126758.39387970984</v>
      </c>
      <c r="AV308" s="772">
        <f t="shared" ca="1" si="146"/>
        <v>126460.65110640229</v>
      </c>
      <c r="AW308" s="772">
        <f t="shared" ca="1" si="146"/>
        <v>126460.65110640229</v>
      </c>
      <c r="AX308" s="772">
        <f t="shared" ca="1" si="146"/>
        <v>126151.73373364148</v>
      </c>
      <c r="AY308" s="772">
        <f t="shared" ca="1" si="146"/>
        <v>126151.73373364148</v>
      </c>
      <c r="AZ308" s="772">
        <f t="shared" ca="1" si="146"/>
        <v>126151.73373364148</v>
      </c>
      <c r="BA308" s="772">
        <f t="shared" ca="1" si="146"/>
        <v>127045.85262031009</v>
      </c>
      <c r="BB308" s="772">
        <f t="shared" ca="1" si="146"/>
        <v>127045.85262031009</v>
      </c>
      <c r="BC308" s="772">
        <f t="shared" ca="1" si="146"/>
        <v>126758.39387970984</v>
      </c>
      <c r="BD308" s="772">
        <f t="shared" ca="1" si="146"/>
        <v>126460.65110640229</v>
      </c>
      <c r="BE308" s="772">
        <f t="shared" ca="1" si="146"/>
        <v>126460.65110640229</v>
      </c>
      <c r="BF308" s="772">
        <f t="shared" ca="1" si="146"/>
        <v>126151.73373364148</v>
      </c>
      <c r="BG308" s="772">
        <f t="shared" ca="1" si="146"/>
        <v>126151.73373364148</v>
      </c>
      <c r="BH308" s="772">
        <f t="shared" ca="1" si="150"/>
        <v>125830.67750735073</v>
      </c>
      <c r="BI308" s="772">
        <f t="shared" ca="1" si="150"/>
        <v>125830.67750735073</v>
      </c>
      <c r="BJ308" s="772">
        <f t="shared" ca="1" si="150"/>
        <v>126758.39387970984</v>
      </c>
      <c r="BK308" s="772">
        <f t="shared" ca="1" si="150"/>
        <v>126758.39387970984</v>
      </c>
      <c r="BL308" s="772">
        <f t="shared" ca="1" si="150"/>
        <v>126758.39387970984</v>
      </c>
      <c r="BM308" s="772">
        <f t="shared" ca="1" si="139"/>
        <v>126758.39387970984</v>
      </c>
      <c r="BN308" s="772">
        <f t="shared" ca="1" si="139"/>
        <v>126151.73373364148</v>
      </c>
      <c r="BO308" s="772">
        <f t="shared" ref="BO308:BW310" ca="1" si="151">HLOOKUP(BO$7,$A$7:$P$348,ROW()-6)</f>
        <v>126151.73373364148</v>
      </c>
      <c r="BP308" s="772">
        <f t="shared" ca="1" si="151"/>
        <v>125830.67750735073</v>
      </c>
      <c r="BQ308" s="772">
        <f t="shared" ca="1" si="151"/>
        <v>125830.67750735073</v>
      </c>
      <c r="BR308" s="772">
        <f t="shared" ca="1" si="151"/>
        <v>125496.43717116701</v>
      </c>
      <c r="BS308" s="772">
        <f t="shared" ca="1" si="151"/>
        <v>126758.39387970984</v>
      </c>
      <c r="BT308" s="772">
        <f t="shared" ca="1" si="151"/>
        <v>126758.39387970984</v>
      </c>
      <c r="BU308" s="772">
        <f t="shared" ca="1" si="151"/>
        <v>126758.39387970984</v>
      </c>
      <c r="BV308" s="772">
        <f t="shared" ca="1" si="151"/>
        <v>126460.65110640229</v>
      </c>
      <c r="BW308" s="772">
        <f t="shared" ca="1" si="151"/>
        <v>126460.65110640229</v>
      </c>
      <c r="BX308" s="772">
        <f t="shared" ca="1" si="147"/>
        <v>125830.67750735073</v>
      </c>
      <c r="BY308" s="772">
        <f t="shared" ca="1" si="147"/>
        <v>125830.67750735073</v>
      </c>
      <c r="BZ308" s="772">
        <f t="shared" ca="1" si="147"/>
        <v>125496.43717116701</v>
      </c>
      <c r="CA308" s="772">
        <f t="shared" ca="1" si="147"/>
        <v>125496.43717116701</v>
      </c>
      <c r="CB308" s="772">
        <f t="shared" ca="1" si="147"/>
        <v>126460.65110640229</v>
      </c>
      <c r="CC308" s="772">
        <f t="shared" ca="1" si="147"/>
        <v>126460.65110640229</v>
      </c>
      <c r="CD308" s="772">
        <f t="shared" ca="1" si="147"/>
        <v>126460.65110640229</v>
      </c>
      <c r="CE308" s="772">
        <f t="shared" ca="1" si="137"/>
        <v>126460.65110640229</v>
      </c>
      <c r="CF308" s="772">
        <f t="shared" ca="1" si="137"/>
        <v>126151.73373364148</v>
      </c>
      <c r="CG308" s="772">
        <f t="shared" ca="1" si="137"/>
        <v>125830.67750735073</v>
      </c>
      <c r="CH308" s="772">
        <f t="shared" ca="1" si="137"/>
        <v>125496.43717116701</v>
      </c>
      <c r="CI308" s="772">
        <f t="shared" ca="1" si="137"/>
        <v>125496.43717116701</v>
      </c>
      <c r="CJ308" s="772">
        <f t="shared" ca="1" si="137"/>
        <v>125147.87859040547</v>
      </c>
    </row>
    <row r="309" spans="1:88" ht="15" customHeight="1">
      <c r="A309" s="770">
        <f>'kc-Wert für Stützen'!C309</f>
        <v>361</v>
      </c>
      <c r="B309" s="768">
        <f ca="1">INDIRECT("'kc-Wert für Stützen'!"&amp;SUBSTITUTE(ADDRESS(MATCH($A309,'kc-Wert für Stützen'!$C:$C,0),MATCH(B$7,'kc-Wert für Stützen'!$A$8:$ES$8,0)+7,4),,))</f>
        <v>128323.64645685538</v>
      </c>
      <c r="C309" s="768">
        <f ca="1">INDIRECT("'kc-Wert für Stützen'!"&amp;SUBSTITUTE(ADDRESS(MATCH($A309,'kc-Wert für Stützen'!$C:$C,0),MATCH(C$7,'kc-Wert für Stützen'!$A$8:$ES$8,0)+7,4),,))</f>
        <v>128054.25532994278</v>
      </c>
      <c r="D309" s="768">
        <f ca="1">INDIRECT("'kc-Wert für Stützen'!"&amp;SUBSTITUTE(ADDRESS(MATCH($A309,'kc-Wert für Stützen'!$C:$C,0),MATCH(D$7,'kc-Wert für Stützen'!$A$8:$ES$8,0)+7,4),,))</f>
        <v>127776.22557618882</v>
      </c>
      <c r="E309" s="768">
        <f ca="1">INDIRECT("'kc-Wert für Stützen'!"&amp;SUBSTITUTE(ADDRESS(MATCH($A309,'kc-Wert für Stützen'!$C:$C,0),MATCH(E$7,'kc-Wert für Stützen'!$A$8:$ES$8,0)+7,4),,))</f>
        <v>127488.80108484252</v>
      </c>
      <c r="F309" s="768">
        <f ca="1">INDIRECT("'kc-Wert für Stützen'!"&amp;SUBSTITUTE(ADDRESS(MATCH($A309,'kc-Wert für Stützen'!$C:$C,0),MATCH(F$7,'kc-Wert für Stützen'!$A$8:$ES$8,0)+7,4),,))</f>
        <v>127191.165854167</v>
      </c>
      <c r="G309" s="768">
        <f ca="1">INDIRECT("'kc-Wert für Stützen'!"&amp;SUBSTITUTE(ADDRESS(MATCH($A309,'kc-Wert für Stützen'!$C:$C,0),MATCH(G$7,'kc-Wert für Stützen'!$A$8:$ES$8,0)+7,4),,))</f>
        <v>126882.43787341355</v>
      </c>
      <c r="H309" s="768">
        <f ca="1">INDIRECT("'kc-Wert für Stützen'!"&amp;SUBSTITUTE(ADDRESS(MATCH($A309,'kc-Wert für Stützen'!$C:$C,0),MATCH(H$7,'kc-Wert für Stützen'!$A$8:$ES$8,0)+7,4),,))</f>
        <v>126561.66247054111</v>
      </c>
      <c r="I309" s="768">
        <f ca="1">INDIRECT("'kc-Wert für Stützen'!"&amp;SUBSTITUTE(ADDRESS(MATCH($A309,'kc-Wert für Stützen'!$C:$C,0),MATCH(I$7,'kc-Wert für Stützen'!$A$8:$ES$8,0)+7,4),,))</f>
        <v>126227.80510813491</v>
      </c>
      <c r="J309" s="768">
        <f ca="1">INDIRECT("'kc-Wert für Stützen'!"&amp;SUBSTITUTE(ADDRESS(MATCH($A309,'kc-Wert für Stützen'!$C:$C,0),MATCH(J$7,'kc-Wert für Stützen'!$A$8:$ES$8,0)+7,4),,))</f>
        <v>125879.7436238339</v>
      </c>
      <c r="K309" s="768">
        <f ca="1">INDIRECT("'kc-Wert für Stützen'!"&amp;SUBSTITUTE(ADDRESS(MATCH($A309,'kc-Wert für Stützen'!$C:$C,0),MATCH(K$7,'kc-Wert für Stützen'!$A$8:$ES$8,0)+7,4),,))</f>
        <v>125516.25993214092</v>
      </c>
      <c r="L309" s="768">
        <f ca="1">INDIRECT("'kc-Wert für Stützen'!"&amp;SUBSTITUTE(ADDRESS(MATCH($A309,'kc-Wert für Stützen'!$C:$C,0),MATCH(L$7,'kc-Wert für Stützen'!$A$8:$ES$8,0)+7,4),,))</f>
        <v>125136.03123400768</v>
      </c>
      <c r="M309" s="768">
        <f ca="1">INDIRECT("'kc-Wert für Stützen'!"&amp;SUBSTITUTE(ADDRESS(MATCH($A309,'kc-Wert für Stützen'!$C:$C,0),MATCH(M$7,'kc-Wert für Stützen'!$A$8:$ES$8,0)+7,4),,))</f>
        <v>124737.62082190957</v>
      </c>
      <c r="N309" s="768">
        <f ca="1">INDIRECT("'kc-Wert für Stützen'!"&amp;SUBSTITUTE(ADDRESS(MATCH($A309,'kc-Wert für Stützen'!$C:$C,0),MATCH(N$7,'kc-Wert für Stützen'!$A$8:$ES$8,0)+7,4),,))</f>
        <v>124319.46862475072</v>
      </c>
      <c r="O309" s="768">
        <f ca="1">INDIRECT("'kc-Wert für Stützen'!"&amp;SUBSTITUTE(ADDRESS(MATCH($A309,'kc-Wert für Stützen'!$C:$C,0),MATCH(O$7,'kc-Wert für Stützen'!$A$8:$ES$8,0)+7,4),,))</f>
        <v>123879.88171309476</v>
      </c>
      <c r="P309" s="768">
        <f ca="1">INDIRECT("'kc-Wert für Stützen'!"&amp;SUBSTITUTE(ADDRESS(MATCH($A309,'kc-Wert für Stützen'!$C:$C,0),MATCH(P$7,'kc-Wert für Stützen'!$A$8:$ES$8,0)+7,4),,))</f>
        <v>123417.02508577103</v>
      </c>
      <c r="S309" s="772">
        <f t="shared" ca="1" si="124"/>
        <v>127776.22557618882</v>
      </c>
      <c r="T309" s="772">
        <f t="shared" ca="1" si="148"/>
        <v>127776.22557618882</v>
      </c>
      <c r="U309" s="772">
        <f t="shared" ca="1" si="148"/>
        <v>127776.22557618882</v>
      </c>
      <c r="V309" s="772">
        <f t="shared" ca="1" si="148"/>
        <v>127488.80108484252</v>
      </c>
      <c r="W309" s="772">
        <f t="shared" ca="1" si="148"/>
        <v>127191.165854167</v>
      </c>
      <c r="X309" s="772">
        <f t="shared" ca="1" si="148"/>
        <v>126882.43787341355</v>
      </c>
      <c r="Y309" s="772">
        <f t="shared" ca="1" si="148"/>
        <v>126561.66247054111</v>
      </c>
      <c r="Z309" s="772">
        <f t="shared" ca="1" si="148"/>
        <v>127776.22557618882</v>
      </c>
      <c r="AA309" s="772">
        <f t="shared" ca="1" si="148"/>
        <v>127776.22557618882</v>
      </c>
      <c r="AB309" s="772">
        <f t="shared" ca="1" si="149"/>
        <v>127488.80108484252</v>
      </c>
      <c r="AC309" s="772">
        <f t="shared" ca="1" si="149"/>
        <v>127488.80108484252</v>
      </c>
      <c r="AD309" s="772">
        <f t="shared" ca="1" si="149"/>
        <v>127191.165854167</v>
      </c>
      <c r="AE309" s="772">
        <f t="shared" ca="1" si="149"/>
        <v>127191.165854167</v>
      </c>
      <c r="AF309" s="772">
        <f t="shared" ca="1" si="149"/>
        <v>126882.43787341355</v>
      </c>
      <c r="AG309" s="772">
        <f t="shared" ca="1" si="149"/>
        <v>126882.43787341355</v>
      </c>
      <c r="AH309" s="772">
        <f t="shared" ca="1" si="149"/>
        <v>126882.43787341355</v>
      </c>
      <c r="AI309" s="772">
        <f t="shared" ca="1" si="149"/>
        <v>127776.22557618882</v>
      </c>
      <c r="AJ309" s="772">
        <f t="shared" ca="1" si="149"/>
        <v>127776.22557618882</v>
      </c>
      <c r="AK309" s="772">
        <f t="shared" ca="1" si="149"/>
        <v>127488.80108484252</v>
      </c>
      <c r="AL309" s="772">
        <f t="shared" ca="1" si="149"/>
        <v>127488.80108484252</v>
      </c>
      <c r="AM309" s="772">
        <f t="shared" ca="1" si="149"/>
        <v>127191.165854167</v>
      </c>
      <c r="AN309" s="772">
        <f t="shared" ca="1" si="149"/>
        <v>127191.165854167</v>
      </c>
      <c r="AO309" s="772">
        <f t="shared" ca="1" si="149"/>
        <v>126882.43787341355</v>
      </c>
      <c r="AP309" s="772">
        <f t="shared" ca="1" si="149"/>
        <v>126882.43787341355</v>
      </c>
      <c r="AQ309" s="772">
        <f t="shared" ca="1" si="149"/>
        <v>126882.43787341355</v>
      </c>
      <c r="AR309" s="772">
        <f t="shared" ca="1" si="146"/>
        <v>127776.22557618882</v>
      </c>
      <c r="AS309" s="772">
        <f t="shared" ca="1" si="146"/>
        <v>127776.22557618882</v>
      </c>
      <c r="AT309" s="772">
        <f t="shared" ca="1" si="146"/>
        <v>127488.80108484252</v>
      </c>
      <c r="AU309" s="772">
        <f t="shared" ca="1" si="146"/>
        <v>127488.80108484252</v>
      </c>
      <c r="AV309" s="772">
        <f t="shared" ca="1" si="146"/>
        <v>127191.165854167</v>
      </c>
      <c r="AW309" s="772">
        <f t="shared" ca="1" si="146"/>
        <v>127191.165854167</v>
      </c>
      <c r="AX309" s="772">
        <f t="shared" ca="1" si="146"/>
        <v>126882.43787341355</v>
      </c>
      <c r="AY309" s="772">
        <f t="shared" ca="1" si="146"/>
        <v>126882.43787341355</v>
      </c>
      <c r="AZ309" s="772">
        <f t="shared" ca="1" si="146"/>
        <v>126882.43787341355</v>
      </c>
      <c r="BA309" s="772">
        <f t="shared" ca="1" si="146"/>
        <v>127776.22557618882</v>
      </c>
      <c r="BB309" s="772">
        <f t="shared" ca="1" si="146"/>
        <v>127776.22557618882</v>
      </c>
      <c r="BC309" s="772">
        <f t="shared" ca="1" si="146"/>
        <v>127488.80108484252</v>
      </c>
      <c r="BD309" s="772">
        <f t="shared" ca="1" si="146"/>
        <v>127191.165854167</v>
      </c>
      <c r="BE309" s="772">
        <f t="shared" ca="1" si="146"/>
        <v>127191.165854167</v>
      </c>
      <c r="BF309" s="772">
        <f t="shared" ca="1" si="146"/>
        <v>126882.43787341355</v>
      </c>
      <c r="BG309" s="772">
        <f t="shared" ca="1" si="146"/>
        <v>126882.43787341355</v>
      </c>
      <c r="BH309" s="772">
        <f t="shared" ca="1" si="150"/>
        <v>126561.66247054111</v>
      </c>
      <c r="BI309" s="772">
        <f t="shared" ca="1" si="150"/>
        <v>126561.66247054111</v>
      </c>
      <c r="BJ309" s="772">
        <f t="shared" ca="1" si="150"/>
        <v>127488.80108484252</v>
      </c>
      <c r="BK309" s="772">
        <f t="shared" ca="1" si="150"/>
        <v>127488.80108484252</v>
      </c>
      <c r="BL309" s="772">
        <f t="shared" ca="1" si="150"/>
        <v>127488.80108484252</v>
      </c>
      <c r="BM309" s="772">
        <f t="shared" ca="1" si="139"/>
        <v>127488.80108484252</v>
      </c>
      <c r="BN309" s="772">
        <f t="shared" ca="1" si="139"/>
        <v>126882.43787341355</v>
      </c>
      <c r="BO309" s="772">
        <f t="shared" ca="1" si="151"/>
        <v>126882.43787341355</v>
      </c>
      <c r="BP309" s="772">
        <f t="shared" ca="1" si="151"/>
        <v>126561.66247054111</v>
      </c>
      <c r="BQ309" s="772">
        <f t="shared" ca="1" si="151"/>
        <v>126561.66247054111</v>
      </c>
      <c r="BR309" s="772">
        <f t="shared" ca="1" si="151"/>
        <v>126227.80510813491</v>
      </c>
      <c r="BS309" s="772">
        <f t="shared" ca="1" si="151"/>
        <v>127488.80108484252</v>
      </c>
      <c r="BT309" s="772">
        <f t="shared" ca="1" si="151"/>
        <v>127488.80108484252</v>
      </c>
      <c r="BU309" s="772">
        <f t="shared" ca="1" si="151"/>
        <v>127488.80108484252</v>
      </c>
      <c r="BV309" s="772">
        <f t="shared" ca="1" si="151"/>
        <v>127191.165854167</v>
      </c>
      <c r="BW309" s="772">
        <f t="shared" ca="1" si="151"/>
        <v>127191.165854167</v>
      </c>
      <c r="BX309" s="772">
        <f t="shared" ca="1" si="147"/>
        <v>126561.66247054111</v>
      </c>
      <c r="BY309" s="772">
        <f t="shared" ca="1" si="147"/>
        <v>126561.66247054111</v>
      </c>
      <c r="BZ309" s="772">
        <f t="shared" ca="1" si="147"/>
        <v>126227.80510813491</v>
      </c>
      <c r="CA309" s="772">
        <f t="shared" ca="1" si="147"/>
        <v>126227.80510813491</v>
      </c>
      <c r="CB309" s="772">
        <f t="shared" ca="1" si="147"/>
        <v>127191.165854167</v>
      </c>
      <c r="CC309" s="772">
        <f t="shared" ca="1" si="147"/>
        <v>127191.165854167</v>
      </c>
      <c r="CD309" s="772">
        <f t="shared" ca="1" si="147"/>
        <v>127191.165854167</v>
      </c>
      <c r="CE309" s="772">
        <f t="shared" ca="1" si="137"/>
        <v>127191.165854167</v>
      </c>
      <c r="CF309" s="772">
        <f t="shared" ca="1" si="137"/>
        <v>126882.43787341355</v>
      </c>
      <c r="CG309" s="772">
        <f t="shared" ca="1" si="137"/>
        <v>126561.66247054111</v>
      </c>
      <c r="CH309" s="772">
        <f t="shared" ca="1" si="137"/>
        <v>126227.80510813491</v>
      </c>
      <c r="CI309" s="772">
        <f t="shared" ca="1" si="137"/>
        <v>126227.80510813491</v>
      </c>
      <c r="CJ309" s="772">
        <f t="shared" ca="1" si="137"/>
        <v>125879.7436238339</v>
      </c>
    </row>
    <row r="310" spans="1:88" ht="15" customHeight="1">
      <c r="A310" s="770">
        <f>'kc-Wert für Stützen'!C310</f>
        <v>362</v>
      </c>
      <c r="B310" s="768">
        <f ca="1">INDIRECT("'kc-Wert für Stützen'!"&amp;SUBSTITUTE(ADDRESS(MATCH($A310,'kc-Wert für Stützen'!$C:$C,0),MATCH(B$7,'kc-Wert für Stützen'!$A$8:$ES$8,0)+7,4),,))</f>
        <v>129056.17671607343</v>
      </c>
      <c r="C310" s="768">
        <f ca="1">INDIRECT("'kc-Wert für Stützen'!"&amp;SUBSTITUTE(ADDRESS(MATCH($A310,'kc-Wert für Stützen'!$C:$C,0),MATCH(C$7,'kc-Wert für Stützen'!$A$8:$ES$8,0)+7,4),,))</f>
        <v>128786.6909523208</v>
      </c>
      <c r="D310" s="768">
        <f ca="1">INDIRECT("'kc-Wert für Stützen'!"&amp;SUBSTITUTE(ADDRESS(MATCH($A310,'kc-Wert für Stützen'!$C:$C,0),MATCH(D$7,'kc-Wert für Stützen'!$A$8:$ES$8,0)+7,4),,))</f>
        <v>128508.62473941249</v>
      </c>
      <c r="E310" s="768">
        <f ca="1">INDIRECT("'kc-Wert für Stützen'!"&amp;SUBSTITUTE(ADDRESS(MATCH($A310,'kc-Wert für Stützen'!$C:$C,0),MATCH(E$7,'kc-Wert für Stützen'!$A$8:$ES$8,0)+7,4),,))</f>
        <v>128221.22867310749</v>
      </c>
      <c r="F310" s="768">
        <f ca="1">INDIRECT("'kc-Wert für Stützen'!"&amp;SUBSTITUTE(ADDRESS(MATCH($A310,'kc-Wert für Stützen'!$C:$C,0),MATCH(F$7,'kc-Wert für Stützen'!$A$8:$ES$8,0)+7,4),,))</f>
        <v>127923.69427022901</v>
      </c>
      <c r="G310" s="768">
        <f ca="1">INDIRECT("'kc-Wert für Stützen'!"&amp;SUBSTITUTE(ADDRESS(MATCH($A310,'kc-Wert für Stützen'!$C:$C,0),MATCH(G$7,'kc-Wert für Stützen'!$A$8:$ES$8,0)+7,4),,))</f>
        <v>127615.14794476844</v>
      </c>
      <c r="H310" s="768">
        <f ca="1">INDIRECT("'kc-Wert für Stützen'!"&amp;SUBSTITUTE(ADDRESS(MATCH($A310,'kc-Wert für Stützen'!$C:$C,0),MATCH(H$7,'kc-Wert für Stützen'!$A$8:$ES$8,0)+7,4),,))</f>
        <v>127294.64445755629</v>
      </c>
      <c r="I310" s="768">
        <f ca="1">INDIRECT("'kc-Wert für Stützen'!"&amp;SUBSTITUTE(ADDRESS(MATCH($A310,'kc-Wert für Stützen'!$C:$C,0),MATCH(I$7,'kc-Wert für Stützen'!$A$8:$ES$8,0)+7,4),,))</f>
        <v>126961.15982125052</v>
      </c>
      <c r="J310" s="768">
        <f ca="1">INDIRECT("'kc-Wert für Stützen'!"&amp;SUBSTITUTE(ADDRESS(MATCH($A310,'kc-Wert für Stützen'!$C:$C,0),MATCH(J$7,'kc-Wert für Stützen'!$A$8:$ES$8,0)+7,4),,))</f>
        <v>126613.58365552442</v>
      </c>
      <c r="K310" s="768">
        <f ca="1">INDIRECT("'kc-Wert für Stützen'!"&amp;SUBSTITUTE(ADDRESS(MATCH($A310,'kc-Wert für Stützen'!$C:$C,0),MATCH(K$7,'kc-Wert für Stützen'!$A$8:$ES$8,0)+7,4),,))</f>
        <v>126250.71100687135</v>
      </c>
      <c r="L310" s="768">
        <f ca="1">INDIRECT("'kc-Wert für Stützen'!"&amp;SUBSTITUTE(ADDRESS(MATCH($A310,'kc-Wert für Stützen'!$C:$C,0),MATCH(L$7,'kc-Wert für Stützen'!$A$8:$ES$8,0)+7,4),,))</f>
        <v>125871.23367553763</v>
      </c>
      <c r="M310" s="768">
        <f ca="1">INDIRECT("'kc-Wert für Stützen'!"&amp;SUBSTITUTE(ADDRESS(MATCH($A310,'kc-Wert für Stützen'!$C:$C,0),MATCH(M$7,'kc-Wert für Stützen'!$A$8:$ES$8,0)+7,4),,))</f>
        <v>125473.73113146491</v>
      </c>
      <c r="N310" s="768">
        <f ca="1">INDIRECT("'kc-Wert für Stützen'!"&amp;SUBSTITUTE(ADDRESS(MATCH($A310,'kc-Wert für Stützen'!$C:$C,0),MATCH(N$7,'kc-Wert für Stützen'!$A$8:$ES$8,0)+7,4),,))</f>
        <v>125056.66115514215</v>
      </c>
      <c r="O310" s="768">
        <f ca="1">INDIRECT("'kc-Wert für Stützen'!"&amp;SUBSTITUTE(ADDRESS(MATCH($A310,'kc-Wert für Stützen'!$C:$C,0),MATCH(O$7,'kc-Wert für Stützen'!$A$8:$ES$8,0)+7,4),,))</f>
        <v>124618.35041198297</v>
      </c>
      <c r="P310" s="768">
        <f ca="1">INDIRECT("'kc-Wert für Stützen'!"&amp;SUBSTITUTE(ADDRESS(MATCH($A310,'kc-Wert für Stützen'!$C:$C,0),MATCH(P$7,'kc-Wert für Stützen'!$A$8:$ES$8,0)+7,4),,))</f>
        <v>124156.98526497734</v>
      </c>
      <c r="S310" s="772">
        <f t="shared" ca="1" si="124"/>
        <v>128508.62473941249</v>
      </c>
      <c r="T310" s="772">
        <f t="shared" ca="1" si="148"/>
        <v>128508.62473941249</v>
      </c>
      <c r="U310" s="772">
        <f t="shared" ca="1" si="148"/>
        <v>128508.62473941249</v>
      </c>
      <c r="V310" s="772">
        <f t="shared" ca="1" si="148"/>
        <v>128221.22867310749</v>
      </c>
      <c r="W310" s="772">
        <f t="shared" ca="1" si="148"/>
        <v>127923.69427022901</v>
      </c>
      <c r="X310" s="772">
        <f t="shared" ca="1" si="148"/>
        <v>127615.14794476844</v>
      </c>
      <c r="Y310" s="772">
        <f t="shared" ca="1" si="148"/>
        <v>127294.64445755629</v>
      </c>
      <c r="Z310" s="772">
        <f t="shared" ca="1" si="148"/>
        <v>128508.62473941249</v>
      </c>
      <c r="AA310" s="772">
        <f t="shared" ca="1" si="148"/>
        <v>128508.62473941249</v>
      </c>
      <c r="AB310" s="772">
        <f t="shared" ca="1" si="149"/>
        <v>128221.22867310749</v>
      </c>
      <c r="AC310" s="772">
        <f t="shared" ca="1" si="149"/>
        <v>128221.22867310749</v>
      </c>
      <c r="AD310" s="772">
        <f t="shared" ca="1" si="149"/>
        <v>127923.69427022901</v>
      </c>
      <c r="AE310" s="772">
        <f t="shared" ca="1" si="149"/>
        <v>127923.69427022901</v>
      </c>
      <c r="AF310" s="772">
        <f t="shared" ca="1" si="149"/>
        <v>127615.14794476844</v>
      </c>
      <c r="AG310" s="772">
        <f t="shared" ca="1" si="149"/>
        <v>127615.14794476844</v>
      </c>
      <c r="AH310" s="772">
        <f t="shared" ca="1" si="149"/>
        <v>127615.14794476844</v>
      </c>
      <c r="AI310" s="772">
        <f t="shared" ca="1" si="149"/>
        <v>128508.62473941249</v>
      </c>
      <c r="AJ310" s="772">
        <f t="shared" ca="1" si="149"/>
        <v>128508.62473941249</v>
      </c>
      <c r="AK310" s="772">
        <f t="shared" ca="1" si="149"/>
        <v>128221.22867310749</v>
      </c>
      <c r="AL310" s="772">
        <f t="shared" ca="1" si="149"/>
        <v>128221.22867310749</v>
      </c>
      <c r="AM310" s="772">
        <f t="shared" ca="1" si="149"/>
        <v>127923.69427022901</v>
      </c>
      <c r="AN310" s="772">
        <f t="shared" ca="1" si="149"/>
        <v>127923.69427022901</v>
      </c>
      <c r="AO310" s="772">
        <f t="shared" ca="1" si="149"/>
        <v>127615.14794476844</v>
      </c>
      <c r="AP310" s="772">
        <f t="shared" ca="1" si="149"/>
        <v>127615.14794476844</v>
      </c>
      <c r="AQ310" s="772">
        <f t="shared" ca="1" si="149"/>
        <v>127615.14794476844</v>
      </c>
      <c r="AR310" s="772">
        <f t="shared" ca="1" si="146"/>
        <v>128508.62473941249</v>
      </c>
      <c r="AS310" s="772">
        <f t="shared" ca="1" si="146"/>
        <v>128508.62473941249</v>
      </c>
      <c r="AT310" s="772">
        <f t="shared" ca="1" si="146"/>
        <v>128221.22867310749</v>
      </c>
      <c r="AU310" s="772">
        <f t="shared" ca="1" si="146"/>
        <v>128221.22867310749</v>
      </c>
      <c r="AV310" s="772">
        <f t="shared" ca="1" si="146"/>
        <v>127923.69427022901</v>
      </c>
      <c r="AW310" s="772">
        <f t="shared" ca="1" si="146"/>
        <v>127923.69427022901</v>
      </c>
      <c r="AX310" s="772">
        <f t="shared" ca="1" si="146"/>
        <v>127615.14794476844</v>
      </c>
      <c r="AY310" s="772">
        <f t="shared" ca="1" si="146"/>
        <v>127615.14794476844</v>
      </c>
      <c r="AZ310" s="772">
        <f t="shared" ca="1" si="146"/>
        <v>127615.14794476844</v>
      </c>
      <c r="BA310" s="772">
        <f t="shared" ca="1" si="146"/>
        <v>128508.62473941249</v>
      </c>
      <c r="BB310" s="772">
        <f t="shared" ca="1" si="146"/>
        <v>128508.62473941249</v>
      </c>
      <c r="BC310" s="772">
        <f t="shared" ca="1" si="146"/>
        <v>128221.22867310749</v>
      </c>
      <c r="BD310" s="772">
        <f t="shared" ca="1" si="146"/>
        <v>127923.69427022901</v>
      </c>
      <c r="BE310" s="772">
        <f t="shared" ca="1" si="146"/>
        <v>127923.69427022901</v>
      </c>
      <c r="BF310" s="772">
        <f t="shared" ca="1" si="146"/>
        <v>127615.14794476844</v>
      </c>
      <c r="BG310" s="772">
        <f t="shared" ca="1" si="146"/>
        <v>127615.14794476844</v>
      </c>
      <c r="BH310" s="772">
        <f t="shared" ca="1" si="150"/>
        <v>127294.64445755629</v>
      </c>
      <c r="BI310" s="772">
        <f t="shared" ca="1" si="150"/>
        <v>127294.64445755629</v>
      </c>
      <c r="BJ310" s="772">
        <f t="shared" ca="1" si="150"/>
        <v>128221.22867310749</v>
      </c>
      <c r="BK310" s="772">
        <f t="shared" ca="1" si="150"/>
        <v>128221.22867310749</v>
      </c>
      <c r="BL310" s="772">
        <f t="shared" ca="1" si="150"/>
        <v>128221.22867310749</v>
      </c>
      <c r="BM310" s="772">
        <f t="shared" ca="1" si="139"/>
        <v>128221.22867310749</v>
      </c>
      <c r="BN310" s="772">
        <f t="shared" ca="1" si="139"/>
        <v>127615.14794476844</v>
      </c>
      <c r="BO310" s="772">
        <f t="shared" ca="1" si="151"/>
        <v>127615.14794476844</v>
      </c>
      <c r="BP310" s="772">
        <f t="shared" ca="1" si="151"/>
        <v>127294.64445755629</v>
      </c>
      <c r="BQ310" s="772">
        <f t="shared" ca="1" si="151"/>
        <v>127294.64445755629</v>
      </c>
      <c r="BR310" s="772">
        <f t="shared" ca="1" si="151"/>
        <v>126961.15982125052</v>
      </c>
      <c r="BS310" s="772">
        <f t="shared" ca="1" si="151"/>
        <v>128221.22867310749</v>
      </c>
      <c r="BT310" s="772">
        <f t="shared" ca="1" si="151"/>
        <v>128221.22867310749</v>
      </c>
      <c r="BU310" s="772">
        <f t="shared" ca="1" si="151"/>
        <v>128221.22867310749</v>
      </c>
      <c r="BV310" s="772">
        <f t="shared" ca="1" si="151"/>
        <v>127923.69427022901</v>
      </c>
      <c r="BW310" s="772">
        <f t="shared" ca="1" si="151"/>
        <v>127923.69427022901</v>
      </c>
      <c r="BX310" s="772">
        <f t="shared" ca="1" si="147"/>
        <v>127294.64445755629</v>
      </c>
      <c r="BY310" s="772">
        <f t="shared" ca="1" si="147"/>
        <v>127294.64445755629</v>
      </c>
      <c r="BZ310" s="772">
        <f t="shared" ca="1" si="147"/>
        <v>126961.15982125052</v>
      </c>
      <c r="CA310" s="772">
        <f t="shared" ca="1" si="147"/>
        <v>126961.15982125052</v>
      </c>
      <c r="CB310" s="772">
        <f t="shared" ca="1" si="147"/>
        <v>127923.69427022901</v>
      </c>
      <c r="CC310" s="772">
        <f t="shared" ca="1" si="147"/>
        <v>127923.69427022901</v>
      </c>
      <c r="CD310" s="772">
        <f t="shared" ca="1" si="147"/>
        <v>127923.69427022901</v>
      </c>
      <c r="CE310" s="772">
        <f t="shared" ca="1" si="137"/>
        <v>127923.69427022901</v>
      </c>
      <c r="CF310" s="772">
        <f t="shared" ca="1" si="137"/>
        <v>127615.14794476844</v>
      </c>
      <c r="CG310" s="772">
        <f t="shared" ca="1" si="137"/>
        <v>127294.64445755629</v>
      </c>
      <c r="CH310" s="772">
        <f t="shared" ca="1" si="137"/>
        <v>126961.15982125052</v>
      </c>
      <c r="CI310" s="772">
        <f t="shared" ca="1" si="137"/>
        <v>126961.15982125052</v>
      </c>
      <c r="CJ310" s="772">
        <f t="shared" ref="AC310:CJ316" ca="1" si="152">HLOOKUP(CJ$7,$A$7:$P$348,ROW()-6)</f>
        <v>126613.58365552442</v>
      </c>
    </row>
    <row r="311" spans="1:88" ht="15" customHeight="1">
      <c r="A311" s="770">
        <f>'kc-Wert für Stützen'!C311</f>
        <v>363</v>
      </c>
      <c r="B311" s="768">
        <f ca="1">INDIRECT("'kc-Wert für Stützen'!"&amp;SUBSTITUTE(ADDRESS(MATCH($A311,'kc-Wert für Stützen'!$C:$C,0),MATCH(B$7,'kc-Wert für Stützen'!$A$8:$ES$8,0)+7,4),,))</f>
        <v>129790.74291826037</v>
      </c>
      <c r="C311" s="768">
        <f ca="1">INDIRECT("'kc-Wert für Stützen'!"&amp;SUBSTITUTE(ADDRESS(MATCH($A311,'kc-Wert für Stützen'!$C:$C,0),MATCH(C$7,'kc-Wert für Stützen'!$A$8:$ES$8,0)+7,4),,))</f>
        <v>129521.15820481109</v>
      </c>
      <c r="D311" s="768">
        <f ca="1">INDIRECT("'kc-Wert für Stützen'!"&amp;SUBSTITUTE(ADDRESS(MATCH($A311,'kc-Wert für Stützen'!$C:$C,0),MATCH(D$7,'kc-Wert für Stützen'!$A$8:$ES$8,0)+7,4),,))</f>
        <v>129243.05055638624</v>
      </c>
      <c r="E311" s="768">
        <f ca="1">INDIRECT("'kc-Wert für Stützen'!"&amp;SUBSTITUTE(ADDRESS(MATCH($A311,'kc-Wert für Stützen'!$C:$C,0),MATCH(E$7,'kc-Wert für Stützen'!$A$8:$ES$8,0)+7,4),,))</f>
        <v>128955.67717640064</v>
      </c>
      <c r="F311" s="768">
        <f ca="1">INDIRECT("'kc-Wert für Stützen'!"&amp;SUBSTITUTE(ADDRESS(MATCH($A311,'kc-Wert für Stützen'!$C:$C,0),MATCH(F$7,'kc-Wert für Stützen'!$A$8:$ES$8,0)+7,4),,))</f>
        <v>128658.23698730498</v>
      </c>
      <c r="G311" s="768">
        <f ca="1">INDIRECT("'kc-Wert für Stützen'!"&amp;SUBSTITUTE(ADDRESS(MATCH($A311,'kc-Wert für Stützen'!$C:$C,0),MATCH(G$7,'kc-Wert für Stützen'!$A$8:$ES$8,0)+7,4),,))</f>
        <v>128349.86469911969</v>
      </c>
      <c r="H311" s="768">
        <f ca="1">INDIRECT("'kc-Wert für Stützen'!"&amp;SUBSTITUTE(ADDRESS(MATCH($A311,'kc-Wert für Stützen'!$C:$C,0),MATCH(H$7,'kc-Wert für Stützen'!$A$8:$ES$8,0)+7,4),,))</f>
        <v>128029.62435928495</v>
      </c>
      <c r="I311" s="768">
        <f ca="1">INDIRECT("'kc-Wert für Stützen'!"&amp;SUBSTITUTE(ADDRESS(MATCH($A311,'kc-Wert für Stützen'!$C:$C,0),MATCH(I$7,'kc-Wert für Stützen'!$A$8:$ES$8,0)+7,4),,))</f>
        <v>127696.50236493532</v>
      </c>
      <c r="J311" s="768">
        <f ca="1">INDIRECT("'kc-Wert für Stützen'!"&amp;SUBSTITUTE(ADDRESS(MATCH($A311,'kc-Wert für Stützen'!$C:$C,0),MATCH(J$7,'kc-Wert für Stützen'!$A$8:$ES$8,0)+7,4),,))</f>
        <v>127349.3999311534</v>
      </c>
      <c r="K311" s="768">
        <f ca="1">INDIRECT("'kc-Wert für Stützen'!"&amp;SUBSTITUTE(ADDRESS(MATCH($A311,'kc-Wert für Stützen'!$C:$C,0),MATCH(K$7,'kc-Wert für Stützen'!$A$8:$ES$8,0)+7,4),,))</f>
        <v>126987.12502731227</v>
      </c>
      <c r="L311" s="768">
        <f ca="1">INDIRECT("'kc-Wert für Stützen'!"&amp;SUBSTITUTE(ADDRESS(MATCH($A311,'kc-Wert für Stützen'!$C:$C,0),MATCH(L$7,'kc-Wert für Stützen'!$A$8:$ES$8,0)+7,4),,))</f>
        <v>126608.38382035404</v>
      </c>
      <c r="M311" s="768">
        <f ca="1">INDIRECT("'kc-Wert für Stützen'!"&amp;SUBSTITUTE(ADDRESS(MATCH($A311,'kc-Wert für Stützen'!$C:$C,0),MATCH(M$7,'kc-Wert für Stützen'!$A$8:$ES$8,0)+7,4),,))</f>
        <v>126211.77170136599</v>
      </c>
      <c r="N311" s="768">
        <f ca="1">INDIRECT("'kc-Wert für Stützen'!"&amp;SUBSTITUTE(ADDRESS(MATCH($A311,'kc-Wert für Stützen'!$C:$C,0),MATCH(N$7,'kc-Wert für Stützen'!$A$8:$ES$8,0)+7,4),,))</f>
        <v>125795.7640233432</v>
      </c>
      <c r="O311" s="768">
        <f ca="1">INDIRECT("'kc-Wert für Stützen'!"&amp;SUBSTITUTE(ADDRESS(MATCH($A311,'kc-Wert für Stützen'!$C:$C,0),MATCH(O$7,'kc-Wert für Stützen'!$A$8:$ES$8,0)+7,4),,))</f>
        <v>125358.70674746661</v>
      </c>
      <c r="P311" s="768">
        <f ca="1">INDIRECT("'kc-Wert für Stützen'!"&amp;SUBSTITUTE(ADDRESS(MATCH($A311,'kc-Wert für Stützen'!$C:$C,0),MATCH(P$7,'kc-Wert für Stützen'!$A$8:$ES$8,0)+7,4),,))</f>
        <v>124898.80728712266</v>
      </c>
      <c r="S311" s="772">
        <f t="shared" ca="1" si="124"/>
        <v>129243.05055638624</v>
      </c>
      <c r="T311" s="772">
        <f t="shared" ca="1" si="148"/>
        <v>129243.05055638624</v>
      </c>
      <c r="U311" s="772">
        <f t="shared" ca="1" si="148"/>
        <v>129243.05055638624</v>
      </c>
      <c r="V311" s="772">
        <f t="shared" ca="1" si="148"/>
        <v>128955.67717640064</v>
      </c>
      <c r="W311" s="772">
        <f t="shared" ca="1" si="148"/>
        <v>128658.23698730498</v>
      </c>
      <c r="X311" s="772">
        <f t="shared" ca="1" si="148"/>
        <v>128349.86469911969</v>
      </c>
      <c r="Y311" s="772">
        <f t="shared" ca="1" si="148"/>
        <v>128029.62435928495</v>
      </c>
      <c r="Z311" s="772">
        <f t="shared" ca="1" si="148"/>
        <v>129243.05055638624</v>
      </c>
      <c r="AA311" s="772">
        <f t="shared" ca="1" si="148"/>
        <v>129243.05055638624</v>
      </c>
      <c r="AB311" s="772">
        <f t="shared" ca="1" si="149"/>
        <v>128955.67717640064</v>
      </c>
      <c r="AC311" s="772">
        <f t="shared" ca="1" si="152"/>
        <v>128955.67717640064</v>
      </c>
      <c r="AD311" s="772">
        <f t="shared" ca="1" si="152"/>
        <v>128658.23698730498</v>
      </c>
      <c r="AE311" s="772">
        <f t="shared" ca="1" si="152"/>
        <v>128658.23698730498</v>
      </c>
      <c r="AF311" s="772">
        <f t="shared" ca="1" si="152"/>
        <v>128349.86469911969</v>
      </c>
      <c r="AG311" s="772">
        <f t="shared" ca="1" si="152"/>
        <v>128349.86469911969</v>
      </c>
      <c r="AH311" s="772">
        <f t="shared" ca="1" si="152"/>
        <v>128349.86469911969</v>
      </c>
      <c r="AI311" s="772">
        <f t="shared" ca="1" si="152"/>
        <v>129243.05055638624</v>
      </c>
      <c r="AJ311" s="772">
        <f t="shared" ca="1" si="152"/>
        <v>129243.05055638624</v>
      </c>
      <c r="AK311" s="772">
        <f t="shared" ca="1" si="152"/>
        <v>128955.67717640064</v>
      </c>
      <c r="AL311" s="772">
        <f t="shared" ca="1" si="152"/>
        <v>128955.67717640064</v>
      </c>
      <c r="AM311" s="772">
        <f t="shared" ca="1" si="152"/>
        <v>128658.23698730498</v>
      </c>
      <c r="AN311" s="772">
        <f t="shared" ca="1" si="152"/>
        <v>128658.23698730498</v>
      </c>
      <c r="AO311" s="772">
        <f t="shared" ca="1" si="152"/>
        <v>128349.86469911969</v>
      </c>
      <c r="AP311" s="772">
        <f t="shared" ca="1" si="152"/>
        <v>128349.86469911969</v>
      </c>
      <c r="AQ311" s="772">
        <f t="shared" ca="1" si="152"/>
        <v>128349.86469911969</v>
      </c>
      <c r="AR311" s="772">
        <f t="shared" ca="1" si="152"/>
        <v>129243.05055638624</v>
      </c>
      <c r="AS311" s="772">
        <f t="shared" ca="1" si="152"/>
        <v>129243.05055638624</v>
      </c>
      <c r="AT311" s="772">
        <f t="shared" ca="1" si="152"/>
        <v>128955.67717640064</v>
      </c>
      <c r="AU311" s="772">
        <f t="shared" ca="1" si="152"/>
        <v>128955.67717640064</v>
      </c>
      <c r="AV311" s="772">
        <f t="shared" ca="1" si="152"/>
        <v>128658.23698730498</v>
      </c>
      <c r="AW311" s="772">
        <f t="shared" ca="1" si="152"/>
        <v>128658.23698730498</v>
      </c>
      <c r="AX311" s="772">
        <f t="shared" ca="1" si="152"/>
        <v>128349.86469911969</v>
      </c>
      <c r="AY311" s="772">
        <f t="shared" ca="1" si="152"/>
        <v>128349.86469911969</v>
      </c>
      <c r="AZ311" s="772">
        <f t="shared" ca="1" si="152"/>
        <v>128349.86469911969</v>
      </c>
      <c r="BA311" s="772">
        <f t="shared" ca="1" si="152"/>
        <v>129243.05055638624</v>
      </c>
      <c r="BB311" s="772">
        <f t="shared" ca="1" si="152"/>
        <v>129243.05055638624</v>
      </c>
      <c r="BC311" s="772">
        <f t="shared" ca="1" si="152"/>
        <v>128955.67717640064</v>
      </c>
      <c r="BD311" s="772">
        <f t="shared" ca="1" si="152"/>
        <v>128658.23698730498</v>
      </c>
      <c r="BE311" s="772">
        <f t="shared" ca="1" si="152"/>
        <v>128658.23698730498</v>
      </c>
      <c r="BF311" s="772">
        <f t="shared" ca="1" si="152"/>
        <v>128349.86469911969</v>
      </c>
      <c r="BG311" s="772">
        <f t="shared" ca="1" si="152"/>
        <v>128349.86469911969</v>
      </c>
      <c r="BH311" s="772">
        <f t="shared" ca="1" si="152"/>
        <v>128029.62435928495</v>
      </c>
      <c r="BI311" s="772">
        <f t="shared" ca="1" si="152"/>
        <v>128029.62435928495</v>
      </c>
      <c r="BJ311" s="772">
        <f t="shared" ca="1" si="152"/>
        <v>128955.67717640064</v>
      </c>
      <c r="BK311" s="772">
        <f t="shared" ca="1" si="152"/>
        <v>128955.67717640064</v>
      </c>
      <c r="BL311" s="772">
        <f t="shared" ca="1" si="152"/>
        <v>128955.67717640064</v>
      </c>
      <c r="BM311" s="772">
        <f t="shared" ca="1" si="152"/>
        <v>128955.67717640064</v>
      </c>
      <c r="BN311" s="772">
        <f t="shared" ca="1" si="152"/>
        <v>128349.86469911969</v>
      </c>
      <c r="BO311" s="772">
        <f t="shared" ca="1" si="152"/>
        <v>128349.86469911969</v>
      </c>
      <c r="BP311" s="772">
        <f t="shared" ca="1" si="152"/>
        <v>128029.62435928495</v>
      </c>
      <c r="BQ311" s="772">
        <f t="shared" ca="1" si="152"/>
        <v>128029.62435928495</v>
      </c>
      <c r="BR311" s="772">
        <f t="shared" ca="1" si="152"/>
        <v>127696.50236493532</v>
      </c>
      <c r="BS311" s="772">
        <f t="shared" ca="1" si="152"/>
        <v>128955.67717640064</v>
      </c>
      <c r="BT311" s="772">
        <f t="shared" ca="1" si="152"/>
        <v>128955.67717640064</v>
      </c>
      <c r="BU311" s="772">
        <f t="shared" ca="1" si="152"/>
        <v>128955.67717640064</v>
      </c>
      <c r="BV311" s="772">
        <f t="shared" ca="1" si="152"/>
        <v>128658.23698730498</v>
      </c>
      <c r="BW311" s="772">
        <f t="shared" ca="1" si="152"/>
        <v>128658.23698730498</v>
      </c>
      <c r="BX311" s="772">
        <f t="shared" ca="1" si="152"/>
        <v>128029.62435928495</v>
      </c>
      <c r="BY311" s="772">
        <f t="shared" ca="1" si="152"/>
        <v>128029.62435928495</v>
      </c>
      <c r="BZ311" s="772">
        <f t="shared" ca="1" si="152"/>
        <v>127696.50236493532</v>
      </c>
      <c r="CA311" s="772">
        <f t="shared" ca="1" si="152"/>
        <v>127696.50236493532</v>
      </c>
      <c r="CB311" s="772">
        <f t="shared" ca="1" si="152"/>
        <v>128658.23698730498</v>
      </c>
      <c r="CC311" s="772">
        <f t="shared" ca="1" si="152"/>
        <v>128658.23698730498</v>
      </c>
      <c r="CD311" s="772">
        <f t="shared" ca="1" si="152"/>
        <v>128658.23698730498</v>
      </c>
      <c r="CE311" s="772">
        <f t="shared" ca="1" si="152"/>
        <v>128658.23698730498</v>
      </c>
      <c r="CF311" s="772">
        <f t="shared" ca="1" si="152"/>
        <v>128349.86469911969</v>
      </c>
      <c r="CG311" s="772">
        <f t="shared" ca="1" si="152"/>
        <v>128029.62435928495</v>
      </c>
      <c r="CH311" s="772">
        <f t="shared" ca="1" si="152"/>
        <v>127696.50236493532</v>
      </c>
      <c r="CI311" s="772">
        <f t="shared" ca="1" si="152"/>
        <v>127696.50236493532</v>
      </c>
      <c r="CJ311" s="772">
        <f t="shared" ca="1" si="152"/>
        <v>127349.3999311534</v>
      </c>
    </row>
    <row r="312" spans="1:88" ht="15" customHeight="1">
      <c r="A312" s="770">
        <f>'kc-Wert für Stützen'!C312</f>
        <v>364</v>
      </c>
      <c r="B312" s="768">
        <f ca="1">INDIRECT("'kc-Wert für Stützen'!"&amp;SUBSTITUTE(ADDRESS(MATCH($A312,'kc-Wert für Stützen'!$C:$C,0),MATCH(B$7,'kc-Wert für Stützen'!$A$8:$ES$8,0)+7,4),,))</f>
        <v>130527.34537108801</v>
      </c>
      <c r="C312" s="768">
        <f ca="1">INDIRECT("'kc-Wert für Stützen'!"&amp;SUBSTITUTE(ADDRESS(MATCH($A312,'kc-Wert für Stützen'!$C:$C,0),MATCH(C$7,'kc-Wert für Stützen'!$A$8:$ES$8,0)+7,4),,))</f>
        <v>130257.65745513818</v>
      </c>
      <c r="D312" s="768">
        <f ca="1">INDIRECT("'kc-Wert für Stützen'!"&amp;SUBSTITUTE(ADDRESS(MATCH($A312,'kc-Wert für Stützen'!$C:$C,0),MATCH(D$7,'kc-Wert für Stützen'!$A$8:$ES$8,0)+7,4),,))</f>
        <v>129979.50346584187</v>
      </c>
      <c r="E312" s="768">
        <f ca="1">INDIRECT("'kc-Wert für Stützen'!"&amp;SUBSTITUTE(ADDRESS(MATCH($A312,'kc-Wert für Stützen'!$C:$C,0),MATCH(E$7,'kc-Wert für Stützen'!$A$8:$ES$8,0)+7,4),,))</f>
        <v>129692.14711729533</v>
      </c>
      <c r="F312" s="768">
        <f ca="1">INDIRECT("'kc-Wert für Stützen'!"&amp;SUBSTITUTE(ADDRESS(MATCH($A312,'kc-Wert für Stützen'!$C:$C,0),MATCH(F$7,'kc-Wert für Stützen'!$A$8:$ES$8,0)+7,4),,))</f>
        <v>129394.79462681263</v>
      </c>
      <c r="G312" s="768">
        <f ca="1">INDIRECT("'kc-Wert für Stützen'!"&amp;SUBSTITUTE(ADDRESS(MATCH($A312,'kc-Wert für Stützen'!$C:$C,0),MATCH(G$7,'kc-Wert für Stützen'!$A$8:$ES$8,0)+7,4),,))</f>
        <v>129086.58887422105</v>
      </c>
      <c r="H312" s="768">
        <f ca="1">INDIRECT("'kc-Wert für Stützen'!"&amp;SUBSTITUTE(ADDRESS(MATCH($A312,'kc-Wert für Stützen'!$C:$C,0),MATCH(H$7,'kc-Wert für Stützen'!$A$8:$ES$8,0)+7,4),,))</f>
        <v>128766.60305014608</v>
      </c>
      <c r="I312" s="768">
        <f ca="1">INDIRECT("'kc-Wert für Stützen'!"&amp;SUBSTITUTE(ADDRESS(MATCH($A312,'kc-Wert für Stützen'!$C:$C,0),MATCH(I$7,'kc-Wert für Stützen'!$A$8:$ES$8,0)+7,4),,))</f>
        <v>128433.83377381117</v>
      </c>
      <c r="J312" s="768">
        <f ca="1">INDIRECT("'kc-Wert für Stützen'!"&amp;SUBSTITUTE(ADDRESS(MATCH($A312,'kc-Wert für Stützen'!$C:$C,0),MATCH(J$7,'kc-Wert für Stützen'!$A$8:$ES$8,0)+7,4),,))</f>
        <v>128087.19367267171</v>
      </c>
      <c r="K312" s="768">
        <f ca="1">INDIRECT("'kc-Wert für Stützen'!"&amp;SUBSTITUTE(ADDRESS(MATCH($A312,'kc-Wert für Stützen'!$C:$C,0),MATCH(K$7,'kc-Wert für Stützen'!$A$8:$ES$8,0)+7,4),,))</f>
        <v>127725.50343382772</v>
      </c>
      <c r="L312" s="768">
        <f ca="1">INDIRECT("'kc-Wert für Stützen'!"&amp;SUBSTITUTE(ADDRESS(MATCH($A312,'kc-Wert für Stützen'!$C:$C,0),MATCH(L$7,'kc-Wert für Stützen'!$A$8:$ES$8,0)+7,4),,))</f>
        <v>127347.48336260418</v>
      </c>
      <c r="M312" s="768">
        <f ca="1">INDIRECT("'kc-Wert für Stützen'!"&amp;SUBSTITUTE(ADDRESS(MATCH($A312,'kc-Wert für Stützen'!$C:$C,0),MATCH(M$7,'kc-Wert für Stützen'!$A$8:$ES$8,0)+7,4),,))</f>
        <v>126951.74451943554</v>
      </c>
      <c r="N312" s="768">
        <f ca="1">INDIRECT("'kc-Wert für Stützen'!"&amp;SUBSTITUTE(ADDRESS(MATCH($A312,'kc-Wert für Stützen'!$C:$C,0),MATCH(N$7,'kc-Wert für Stützen'!$A$8:$ES$8,0)+7,4),,))</f>
        <v>126536.77955534443</v>
      </c>
      <c r="O312" s="768">
        <f ca="1">INDIRECT("'kc-Wert für Stützen'!"&amp;SUBSTITUTE(ADDRESS(MATCH($A312,'kc-Wert für Stützen'!$C:$C,0),MATCH(O$7,'kc-Wert für Stützen'!$A$8:$ES$8,0)+7,4),,))</f>
        <v>126100.95343261359</v>
      </c>
      <c r="P312" s="768">
        <f ca="1">INDIRECT("'kc-Wert für Stützen'!"&amp;SUBSTITUTE(ADDRESS(MATCH($A312,'kc-Wert für Stützen'!$C:$C,0),MATCH(P$7,'kc-Wert für Stützen'!$A$8:$ES$8,0)+7,4),,))</f>
        <v>125642.49430510432</v>
      </c>
      <c r="S312" s="772">
        <f t="shared" ca="1" si="124"/>
        <v>129979.50346584187</v>
      </c>
      <c r="T312" s="772">
        <f t="shared" ca="1" si="148"/>
        <v>129979.50346584187</v>
      </c>
      <c r="U312" s="772">
        <f t="shared" ca="1" si="148"/>
        <v>129979.50346584187</v>
      </c>
      <c r="V312" s="772">
        <f t="shared" ca="1" si="148"/>
        <v>129692.14711729533</v>
      </c>
      <c r="W312" s="772">
        <f t="shared" ca="1" si="148"/>
        <v>129394.79462681263</v>
      </c>
      <c r="X312" s="772">
        <f t="shared" ca="1" si="148"/>
        <v>129086.58887422105</v>
      </c>
      <c r="Y312" s="772">
        <f t="shared" ca="1" si="148"/>
        <v>128766.60305014608</v>
      </c>
      <c r="Z312" s="772">
        <f t="shared" ca="1" si="148"/>
        <v>129979.50346584187</v>
      </c>
      <c r="AA312" s="772">
        <f t="shared" ca="1" si="148"/>
        <v>129979.50346584187</v>
      </c>
      <c r="AB312" s="772">
        <f t="shared" ca="1" si="149"/>
        <v>129692.14711729533</v>
      </c>
      <c r="AC312" s="772">
        <f t="shared" ca="1" si="152"/>
        <v>129692.14711729533</v>
      </c>
      <c r="AD312" s="772">
        <f t="shared" ca="1" si="152"/>
        <v>129394.79462681263</v>
      </c>
      <c r="AE312" s="772">
        <f t="shared" ca="1" si="152"/>
        <v>129394.79462681263</v>
      </c>
      <c r="AF312" s="772">
        <f t="shared" ca="1" si="152"/>
        <v>129086.58887422105</v>
      </c>
      <c r="AG312" s="772">
        <f t="shared" ca="1" si="152"/>
        <v>129086.58887422105</v>
      </c>
      <c r="AH312" s="772">
        <f t="shared" ca="1" si="152"/>
        <v>129086.58887422105</v>
      </c>
      <c r="AI312" s="772">
        <f t="shared" ca="1" si="152"/>
        <v>129979.50346584187</v>
      </c>
      <c r="AJ312" s="772">
        <f t="shared" ca="1" si="152"/>
        <v>129979.50346584187</v>
      </c>
      <c r="AK312" s="772">
        <f t="shared" ca="1" si="152"/>
        <v>129692.14711729533</v>
      </c>
      <c r="AL312" s="772">
        <f t="shared" ca="1" si="152"/>
        <v>129692.14711729533</v>
      </c>
      <c r="AM312" s="772">
        <f t="shared" ca="1" si="152"/>
        <v>129394.79462681263</v>
      </c>
      <c r="AN312" s="772">
        <f t="shared" ca="1" si="152"/>
        <v>129394.79462681263</v>
      </c>
      <c r="AO312" s="772">
        <f t="shared" ca="1" si="152"/>
        <v>129086.58887422105</v>
      </c>
      <c r="AP312" s="772">
        <f t="shared" ca="1" si="152"/>
        <v>129086.58887422105</v>
      </c>
      <c r="AQ312" s="772">
        <f t="shared" ca="1" si="152"/>
        <v>129086.58887422105</v>
      </c>
      <c r="AR312" s="772">
        <f t="shared" ca="1" si="152"/>
        <v>129979.50346584187</v>
      </c>
      <c r="AS312" s="772">
        <f t="shared" ca="1" si="152"/>
        <v>129979.50346584187</v>
      </c>
      <c r="AT312" s="772">
        <f t="shared" ca="1" si="152"/>
        <v>129692.14711729533</v>
      </c>
      <c r="AU312" s="772">
        <f t="shared" ca="1" si="152"/>
        <v>129692.14711729533</v>
      </c>
      <c r="AV312" s="772">
        <f t="shared" ca="1" si="152"/>
        <v>129394.79462681263</v>
      </c>
      <c r="AW312" s="772">
        <f t="shared" ca="1" si="152"/>
        <v>129394.79462681263</v>
      </c>
      <c r="AX312" s="772">
        <f t="shared" ca="1" si="152"/>
        <v>129086.58887422105</v>
      </c>
      <c r="AY312" s="772">
        <f t="shared" ca="1" si="152"/>
        <v>129086.58887422105</v>
      </c>
      <c r="AZ312" s="772">
        <f t="shared" ca="1" si="152"/>
        <v>129086.58887422105</v>
      </c>
      <c r="BA312" s="772">
        <f t="shared" ca="1" si="152"/>
        <v>129979.50346584187</v>
      </c>
      <c r="BB312" s="772">
        <f t="shared" ca="1" si="152"/>
        <v>129979.50346584187</v>
      </c>
      <c r="BC312" s="772">
        <f t="shared" ca="1" si="152"/>
        <v>129692.14711729533</v>
      </c>
      <c r="BD312" s="772">
        <f t="shared" ca="1" si="152"/>
        <v>129394.79462681263</v>
      </c>
      <c r="BE312" s="772">
        <f t="shared" ca="1" si="152"/>
        <v>129394.79462681263</v>
      </c>
      <c r="BF312" s="772">
        <f t="shared" ca="1" si="152"/>
        <v>129086.58887422105</v>
      </c>
      <c r="BG312" s="772">
        <f t="shared" ca="1" si="152"/>
        <v>129086.58887422105</v>
      </c>
      <c r="BH312" s="772">
        <f t="shared" ca="1" si="152"/>
        <v>128766.60305014608</v>
      </c>
      <c r="BI312" s="772">
        <f t="shared" ca="1" si="152"/>
        <v>128766.60305014608</v>
      </c>
      <c r="BJ312" s="772">
        <f t="shared" ca="1" si="152"/>
        <v>129692.14711729533</v>
      </c>
      <c r="BK312" s="772">
        <f t="shared" ca="1" si="152"/>
        <v>129692.14711729533</v>
      </c>
      <c r="BL312" s="772">
        <f t="shared" ca="1" si="152"/>
        <v>129692.14711729533</v>
      </c>
      <c r="BM312" s="772">
        <f t="shared" ca="1" si="152"/>
        <v>129692.14711729533</v>
      </c>
      <c r="BN312" s="772">
        <f t="shared" ca="1" si="152"/>
        <v>129086.58887422105</v>
      </c>
      <c r="BO312" s="772">
        <f t="shared" ca="1" si="152"/>
        <v>129086.58887422105</v>
      </c>
      <c r="BP312" s="772">
        <f t="shared" ca="1" si="152"/>
        <v>128766.60305014608</v>
      </c>
      <c r="BQ312" s="772">
        <f t="shared" ca="1" si="152"/>
        <v>128766.60305014608</v>
      </c>
      <c r="BR312" s="772">
        <f t="shared" ca="1" si="152"/>
        <v>128433.83377381117</v>
      </c>
      <c r="BS312" s="772">
        <f t="shared" ca="1" si="152"/>
        <v>129692.14711729533</v>
      </c>
      <c r="BT312" s="772">
        <f t="shared" ca="1" si="152"/>
        <v>129692.14711729533</v>
      </c>
      <c r="BU312" s="772">
        <f t="shared" ca="1" si="152"/>
        <v>129692.14711729533</v>
      </c>
      <c r="BV312" s="772">
        <f t="shared" ca="1" si="152"/>
        <v>129394.79462681263</v>
      </c>
      <c r="BW312" s="772">
        <f t="shared" ca="1" si="152"/>
        <v>129394.79462681263</v>
      </c>
      <c r="BX312" s="772">
        <f t="shared" ref="BX312:CJ325" ca="1" si="153">HLOOKUP(BX$7,$A$7:$P$348,ROW()-6)</f>
        <v>128766.60305014608</v>
      </c>
      <c r="BY312" s="772">
        <f t="shared" ca="1" si="153"/>
        <v>128766.60305014608</v>
      </c>
      <c r="BZ312" s="772">
        <f t="shared" ca="1" si="153"/>
        <v>128433.83377381117</v>
      </c>
      <c r="CA312" s="772">
        <f t="shared" ca="1" si="153"/>
        <v>128433.83377381117</v>
      </c>
      <c r="CB312" s="772">
        <f t="shared" ca="1" si="153"/>
        <v>129394.79462681263</v>
      </c>
      <c r="CC312" s="772">
        <f t="shared" ca="1" si="153"/>
        <v>129394.79462681263</v>
      </c>
      <c r="CD312" s="772">
        <f t="shared" ca="1" si="153"/>
        <v>129394.79462681263</v>
      </c>
      <c r="CE312" s="772">
        <f t="shared" ca="1" si="153"/>
        <v>129394.79462681263</v>
      </c>
      <c r="CF312" s="772">
        <f t="shared" ca="1" si="153"/>
        <v>129086.58887422105</v>
      </c>
      <c r="CG312" s="772">
        <f t="shared" ca="1" si="153"/>
        <v>128766.60305014608</v>
      </c>
      <c r="CH312" s="772">
        <f t="shared" ca="1" si="153"/>
        <v>128433.83377381117</v>
      </c>
      <c r="CI312" s="772">
        <f t="shared" ca="1" si="153"/>
        <v>128433.83377381117</v>
      </c>
      <c r="CJ312" s="772">
        <f t="shared" ca="1" si="153"/>
        <v>128087.19367267171</v>
      </c>
    </row>
    <row r="313" spans="1:88" ht="15" customHeight="1">
      <c r="A313" s="770">
        <f>'kc-Wert für Stützen'!C313</f>
        <v>365</v>
      </c>
      <c r="B313" s="768">
        <f ca="1">INDIRECT("'kc-Wert für Stützen'!"&amp;SUBSTITUTE(ADDRESS(MATCH($A313,'kc-Wert für Stützen'!$C:$C,0),MATCH(B$7,'kc-Wert für Stützen'!$A$8:$ES$8,0)+7,4),,))</f>
        <v>131265.98437717359</v>
      </c>
      <c r="C313" s="768">
        <f ca="1">INDIRECT("'kc-Wert für Stützen'!"&amp;SUBSTITUTE(ADDRESS(MATCH($A313,'kc-Wert für Stützen'!$C:$C,0),MATCH(C$7,'kc-Wert für Stützen'!$A$8:$ES$8,0)+7,4),,))</f>
        <v>130996.18906485885</v>
      </c>
      <c r="D313" s="768">
        <f ca="1">INDIRECT("'kc-Wert für Stützen'!"&amp;SUBSTITUTE(ADDRESS(MATCH($A313,'kc-Wert für Stützen'!$C:$C,0),MATCH(D$7,'kc-Wert für Stützen'!$A$8:$ES$8,0)+7,4),,))</f>
        <v>130717.98389900291</v>
      </c>
      <c r="E313" s="768">
        <f ca="1">INDIRECT("'kc-Wert für Stützen'!"&amp;SUBSTITUTE(ADDRESS(MATCH($A313,'kc-Wert für Stützen'!$C:$C,0),MATCH(E$7,'kc-Wert für Stützen'!$A$8:$ES$8,0)+7,4),,))</f>
        <v>130430.6390092458</v>
      </c>
      <c r="F313" s="768">
        <f ca="1">INDIRECT("'kc-Wert für Stützen'!"&amp;SUBSTITUTE(ADDRESS(MATCH($A313,'kc-Wert für Stützen'!$C:$C,0),MATCH(F$7,'kc-Wert für Stützen'!$A$8:$ES$8,0)+7,4),,))</f>
        <v>130133.36779912056</v>
      </c>
      <c r="G313" s="768">
        <f ca="1">INDIRECT("'kc-Wert für Stützen'!"&amp;SUBSTITUTE(ADDRESS(MATCH($A313,'kc-Wert für Stützen'!$C:$C,0),MATCH(G$7,'kc-Wert für Stützen'!$A$8:$ES$8,0)+7,4),,))</f>
        <v>129825.32119447236</v>
      </c>
      <c r="H313" s="768">
        <f ca="1">INDIRECT("'kc-Wert für Stützen'!"&amp;SUBSTITUTE(ADDRESS(MATCH($A313,'kc-Wert für Stützen'!$C:$C,0),MATCH(H$7,'kc-Wert für Stützen'!$A$8:$ES$8,0)+7,4),,))</f>
        <v>129505.58138846216</v>
      </c>
      <c r="I313" s="768">
        <f ca="1">INDIRECT("'kc-Wert für Stützen'!"&amp;SUBSTITUTE(ADDRESS(MATCH($A313,'kc-Wert für Stützen'!$C:$C,0),MATCH(I$7,'kc-Wert für Stützen'!$A$8:$ES$8,0)+7,4),,))</f>
        <v>129173.15506315323</v>
      </c>
      <c r="J313" s="768">
        <f ca="1">INDIRECT("'kc-Wert für Stützen'!"&amp;SUBSTITUTE(ADDRESS(MATCH($A313,'kc-Wert für Stützen'!$C:$C,0),MATCH(J$7,'kc-Wert für Stützen'!$A$8:$ES$8,0)+7,4),,))</f>
        <v>128826.96607885083</v>
      </c>
      <c r="K313" s="768">
        <f ca="1">INDIRECT("'kc-Wert für Stützen'!"&amp;SUBSTITUTE(ADDRESS(MATCH($A313,'kc-Wert für Stützen'!$C:$C,0),MATCH(K$7,'kc-Wert für Stützen'!$A$8:$ES$8,0)+7,4),,))</f>
        <v>128465.84763910959</v>
      </c>
      <c r="L313" s="768">
        <f ca="1">INDIRECT("'kc-Wert für Stützen'!"&amp;SUBSTITUTE(ADDRESS(MATCH($A313,'kc-Wert für Stützen'!$C:$C,0),MATCH(L$7,'kc-Wert für Stützen'!$A$8:$ES$8,0)+7,4),,))</f>
        <v>128088.53396353364</v>
      </c>
      <c r="M313" s="768">
        <f ca="1">INDIRECT("'kc-Wert für Stützen'!"&amp;SUBSTITUTE(ADDRESS(MATCH($A313,'kc-Wert für Stützen'!$C:$C,0),MATCH(M$7,'kc-Wert für Stützen'!$A$8:$ES$8,0)+7,4),,))</f>
        <v>127693.65153456132</v>
      </c>
      <c r="N313" s="768">
        <f ca="1">INDIRECT("'kc-Wert für Stützen'!"&amp;SUBSTITUTE(ADDRESS(MATCH($A313,'kc-Wert für Stützen'!$C:$C,0),MATCH(N$7,'kc-Wert für Stützen'!$A$8:$ES$8,0)+7,4),,))</f>
        <v>127279.71003131506</v>
      </c>
      <c r="O313" s="768">
        <f ca="1">INDIRECT("'kc-Wert für Stützen'!"&amp;SUBSTITUTE(ADDRESS(MATCH($A313,'kc-Wert für Stützen'!$C:$C,0),MATCH(O$7,'kc-Wert für Stützen'!$A$8:$ES$8,0)+7,4),,))</f>
        <v>126845.09312691959</v>
      </c>
      <c r="P313" s="768">
        <f ca="1">INDIRECT("'kc-Wert für Stützen'!"&amp;SUBSTITUTE(ADDRESS(MATCH($A313,'kc-Wert für Stützen'!$C:$C,0),MATCH(P$7,'kc-Wert für Stützen'!$A$8:$ES$8,0)+7,4),,))</f>
        <v>126388.04940967738</v>
      </c>
      <c r="S313" s="772">
        <f t="shared" ca="1" si="124"/>
        <v>130717.98389900291</v>
      </c>
      <c r="T313" s="772">
        <f t="shared" ca="1" si="148"/>
        <v>130717.98389900291</v>
      </c>
      <c r="U313" s="772">
        <f t="shared" ca="1" si="148"/>
        <v>130717.98389900291</v>
      </c>
      <c r="V313" s="772">
        <f t="shared" ca="1" si="148"/>
        <v>130430.6390092458</v>
      </c>
      <c r="W313" s="772">
        <f t="shared" ca="1" si="148"/>
        <v>130133.36779912056</v>
      </c>
      <c r="X313" s="772">
        <f t="shared" ca="1" si="148"/>
        <v>129825.32119447236</v>
      </c>
      <c r="Y313" s="772">
        <f t="shared" ca="1" si="148"/>
        <v>129505.58138846216</v>
      </c>
      <c r="Z313" s="772">
        <f t="shared" ca="1" si="148"/>
        <v>130717.98389900291</v>
      </c>
      <c r="AA313" s="772">
        <f t="shared" ca="1" si="148"/>
        <v>130717.98389900291</v>
      </c>
      <c r="AB313" s="772">
        <f t="shared" ca="1" si="149"/>
        <v>130430.6390092458</v>
      </c>
      <c r="AC313" s="772">
        <f t="shared" ca="1" si="149"/>
        <v>130430.6390092458</v>
      </c>
      <c r="AD313" s="772">
        <f t="shared" ca="1" si="149"/>
        <v>130133.36779912056</v>
      </c>
      <c r="AE313" s="772">
        <f t="shared" ca="1" si="149"/>
        <v>130133.36779912056</v>
      </c>
      <c r="AF313" s="772">
        <f t="shared" ca="1" si="149"/>
        <v>129825.32119447236</v>
      </c>
      <c r="AG313" s="772">
        <f t="shared" ca="1" si="149"/>
        <v>129825.32119447236</v>
      </c>
      <c r="AH313" s="772">
        <f t="shared" ca="1" si="149"/>
        <v>129825.32119447236</v>
      </c>
      <c r="AI313" s="772">
        <f t="shared" ca="1" si="149"/>
        <v>130717.98389900291</v>
      </c>
      <c r="AJ313" s="772">
        <f t="shared" ref="AJ313:AP313" ca="1" si="154">HLOOKUP(AJ$7,$A$7:$P$348,ROW()-6)</f>
        <v>130717.98389900291</v>
      </c>
      <c r="AK313" s="772">
        <f t="shared" ca="1" si="154"/>
        <v>130430.6390092458</v>
      </c>
      <c r="AL313" s="772">
        <f t="shared" ca="1" si="154"/>
        <v>130430.6390092458</v>
      </c>
      <c r="AM313" s="772">
        <f t="shared" ca="1" si="154"/>
        <v>130133.36779912056</v>
      </c>
      <c r="AN313" s="772">
        <f t="shared" ca="1" si="154"/>
        <v>130133.36779912056</v>
      </c>
      <c r="AO313" s="772">
        <f t="shared" ca="1" si="154"/>
        <v>129825.32119447236</v>
      </c>
      <c r="AP313" s="772">
        <f t="shared" ca="1" si="154"/>
        <v>129825.32119447236</v>
      </c>
      <c r="AQ313" s="772">
        <f t="shared" ca="1" si="152"/>
        <v>129825.32119447236</v>
      </c>
      <c r="AR313" s="772">
        <f t="shared" ca="1" si="152"/>
        <v>130717.98389900291</v>
      </c>
      <c r="AS313" s="772">
        <f t="shared" ca="1" si="152"/>
        <v>130717.98389900291</v>
      </c>
      <c r="AT313" s="772">
        <f t="shared" ca="1" si="152"/>
        <v>130430.6390092458</v>
      </c>
      <c r="AU313" s="772">
        <f t="shared" ca="1" si="152"/>
        <v>130430.6390092458</v>
      </c>
      <c r="AV313" s="772">
        <f t="shared" ca="1" si="152"/>
        <v>130133.36779912056</v>
      </c>
      <c r="AW313" s="772">
        <f t="shared" ca="1" si="152"/>
        <v>130133.36779912056</v>
      </c>
      <c r="AX313" s="772">
        <f t="shared" ca="1" si="152"/>
        <v>129825.32119447236</v>
      </c>
      <c r="AY313" s="772">
        <f t="shared" ca="1" si="152"/>
        <v>129825.32119447236</v>
      </c>
      <c r="AZ313" s="772">
        <f t="shared" ca="1" si="152"/>
        <v>129825.32119447236</v>
      </c>
      <c r="BA313" s="772">
        <f t="shared" ca="1" si="152"/>
        <v>130717.98389900291</v>
      </c>
      <c r="BB313" s="772">
        <f t="shared" ca="1" si="152"/>
        <v>130717.98389900291</v>
      </c>
      <c r="BC313" s="772">
        <f t="shared" ca="1" si="152"/>
        <v>130430.6390092458</v>
      </c>
      <c r="BD313" s="772">
        <f t="shared" ca="1" si="152"/>
        <v>130133.36779912056</v>
      </c>
      <c r="BE313" s="772">
        <f t="shared" ca="1" si="152"/>
        <v>130133.36779912056</v>
      </c>
      <c r="BF313" s="772">
        <f t="shared" ca="1" si="152"/>
        <v>129825.32119447236</v>
      </c>
      <c r="BG313" s="772">
        <f t="shared" ca="1" si="152"/>
        <v>129825.32119447236</v>
      </c>
      <c r="BH313" s="772">
        <f t="shared" ca="1" si="152"/>
        <v>129505.58138846216</v>
      </c>
      <c r="BI313" s="772">
        <f t="shared" ca="1" si="152"/>
        <v>129505.58138846216</v>
      </c>
      <c r="BJ313" s="772">
        <f t="shared" ca="1" si="152"/>
        <v>130430.6390092458</v>
      </c>
      <c r="BK313" s="772">
        <f t="shared" ca="1" si="152"/>
        <v>130430.6390092458</v>
      </c>
      <c r="BL313" s="772">
        <f t="shared" ca="1" si="152"/>
        <v>130430.6390092458</v>
      </c>
      <c r="BM313" s="772">
        <f t="shared" ca="1" si="152"/>
        <v>130430.6390092458</v>
      </c>
      <c r="BN313" s="772">
        <f t="shared" ca="1" si="152"/>
        <v>129825.32119447236</v>
      </c>
      <c r="BO313" s="772">
        <f t="shared" ca="1" si="152"/>
        <v>129825.32119447236</v>
      </c>
      <c r="BP313" s="772">
        <f t="shared" ca="1" si="152"/>
        <v>129505.58138846216</v>
      </c>
      <c r="BQ313" s="772">
        <f t="shared" ca="1" si="152"/>
        <v>129505.58138846216</v>
      </c>
      <c r="BR313" s="772">
        <f t="shared" ca="1" si="152"/>
        <v>129173.15506315323</v>
      </c>
      <c r="BS313" s="772">
        <f t="shared" ca="1" si="152"/>
        <v>130430.6390092458</v>
      </c>
      <c r="BT313" s="772">
        <f t="shared" ca="1" si="152"/>
        <v>130430.6390092458</v>
      </c>
      <c r="BU313" s="772">
        <f t="shared" ca="1" si="152"/>
        <v>130430.6390092458</v>
      </c>
      <c r="BV313" s="772">
        <f t="shared" ca="1" si="152"/>
        <v>130133.36779912056</v>
      </c>
      <c r="BW313" s="772">
        <f t="shared" ca="1" si="152"/>
        <v>130133.36779912056</v>
      </c>
      <c r="BX313" s="772">
        <f t="shared" ca="1" si="153"/>
        <v>129505.58138846216</v>
      </c>
      <c r="BY313" s="772">
        <f t="shared" ca="1" si="153"/>
        <v>129505.58138846216</v>
      </c>
      <c r="BZ313" s="772">
        <f t="shared" ca="1" si="153"/>
        <v>129173.15506315323</v>
      </c>
      <c r="CA313" s="772">
        <f t="shared" ca="1" si="153"/>
        <v>129173.15506315323</v>
      </c>
      <c r="CB313" s="772">
        <f t="shared" ca="1" si="153"/>
        <v>130133.36779912056</v>
      </c>
      <c r="CC313" s="772">
        <f t="shared" ca="1" si="153"/>
        <v>130133.36779912056</v>
      </c>
      <c r="CD313" s="772">
        <f t="shared" ca="1" si="153"/>
        <v>130133.36779912056</v>
      </c>
      <c r="CE313" s="772">
        <f t="shared" ca="1" si="153"/>
        <v>130133.36779912056</v>
      </c>
      <c r="CF313" s="772">
        <f t="shared" ca="1" si="153"/>
        <v>129825.32119447236</v>
      </c>
      <c r="CG313" s="772">
        <f t="shared" ca="1" si="153"/>
        <v>129505.58138846216</v>
      </c>
      <c r="CH313" s="772">
        <f t="shared" ca="1" si="153"/>
        <v>129173.15506315323</v>
      </c>
      <c r="CI313" s="772">
        <f t="shared" ca="1" si="153"/>
        <v>129173.15506315323</v>
      </c>
      <c r="CJ313" s="772">
        <f t="shared" ca="1" si="153"/>
        <v>128826.96607885083</v>
      </c>
    </row>
    <row r="314" spans="1:88" ht="15" customHeight="1">
      <c r="A314" s="770">
        <f>'kc-Wert für Stützen'!C314</f>
        <v>366</v>
      </c>
      <c r="B314" s="768">
        <f ca="1">INDIRECT("'kc-Wert für Stützen'!"&amp;SUBSTITUTE(ADDRESS(MATCH($A314,'kc-Wert für Stützen'!$C:$C,0),MATCH(B$7,'kc-Wert für Stützen'!$A$8:$ES$8,0)+7,4),,))</f>
        <v>132006.66023418459</v>
      </c>
      <c r="C314" s="768">
        <f ca="1">INDIRECT("'kc-Wert für Stützen'!"&amp;SUBSTITUTE(ADDRESS(MATCH($A314,'kc-Wert für Stützen'!$C:$C,0),MATCH(C$7,'kc-Wert für Stützen'!$A$8:$ES$8,0)+7,4),,))</f>
        <v>131736.75338949231</v>
      </c>
      <c r="D314" s="768">
        <f ca="1">INDIRECT("'kc-Wert für Stützen'!"&amp;SUBSTITUTE(ADDRESS(MATCH($A314,'kc-Wert für Stützen'!$C:$C,0),MATCH(D$7,'kc-Wert für Stützen'!$A$8:$ES$8,0)+7,4),,))</f>
        <v>131458.49227974506</v>
      </c>
      <c r="E314" s="768">
        <f ca="1">INDIRECT("'kc-Wert für Stützen'!"&amp;SUBSTITUTE(ADDRESS(MATCH($A314,'kc-Wert für Stützen'!$C:$C,0),MATCH(E$7,'kc-Wert für Stützen'!$A$8:$ES$8,0)+7,4),,))</f>
        <v>131171.1533567851</v>
      </c>
      <c r="F314" s="768">
        <f ca="1">INDIRECT("'kc-Wert für Stützen'!"&amp;SUBSTITUTE(ADDRESS(MATCH($A314,'kc-Wert für Stützen'!$C:$C,0),MATCH(F$7,'kc-Wert für Stützen'!$A$8:$ES$8,0)+7,4),,))</f>
        <v>130873.95710379176</v>
      </c>
      <c r="G314" s="768">
        <f ca="1">INDIRECT("'kc-Wert für Stützen'!"&amp;SUBSTITUTE(ADDRESS(MATCH($A314,'kc-Wert für Stützen'!$C:$C,0),MATCH(G$7,'kc-Wert für Stützen'!$A$8:$ES$8,0)+7,4),,))</f>
        <v>130566.06237121767</v>
      </c>
      <c r="H314" s="768">
        <f ca="1">INDIRECT("'kc-Wert für Stützen'!"&amp;SUBSTITUTE(ADDRESS(MATCH($A314,'kc-Wert für Stützen'!$C:$C,0),MATCH(H$7,'kc-Wert für Stützen'!$A$8:$ES$8,0)+7,4),,))</f>
        <v>130246.56021682266</v>
      </c>
      <c r="I314" s="768">
        <f ca="1">INDIRECT("'kc-Wert für Stützen'!"&amp;SUBSTITUTE(ADDRESS(MATCH($A314,'kc-Wert für Stützen'!$C:$C,0),MATCH(I$7,'kc-Wert für Stützen'!$A$8:$ES$8,0)+7,4),,))</f>
        <v>129914.46722933103</v>
      </c>
      <c r="J314" s="768">
        <f ca="1">INDIRECT("'kc-Wert für Stützen'!"&amp;SUBSTITUTE(ADDRESS(MATCH($A314,'kc-Wert für Stützen'!$C:$C,0),MATCH(J$7,'kc-Wert für Stützen'!$A$8:$ES$8,0)+7,4),,))</f>
        <v>129568.71832581525</v>
      </c>
      <c r="K314" s="768">
        <f ca="1">INDIRECT("'kc-Wert für Stützen'!"&amp;SUBSTITUTE(ADDRESS(MATCH($A314,'kc-Wert für Stützen'!$C:$C,0),MATCH(K$7,'kc-Wert für Stützen'!$A$8:$ES$8,0)+7,4),,))</f>
        <v>129208.15902881599</v>
      </c>
      <c r="L314" s="768">
        <f ca="1">INDIRECT("'kc-Wert für Stützen'!"&amp;SUBSTITUTE(ADDRESS(MATCH($A314,'kc-Wert für Stützen'!$C:$C,0),MATCH(L$7,'kc-Wert für Stützen'!$A$8:$ES$8,0)+7,4),,))</f>
        <v>128831.53725224647</v>
      </c>
      <c r="M314" s="768">
        <f ca="1">INDIRECT("'kc-Wert für Stützen'!"&amp;SUBSTITUTE(ADDRESS(MATCH($A314,'kc-Wert für Stützen'!$C:$C,0),MATCH(M$7,'kc-Wert für Stützen'!$A$8:$ES$8,0)+7,4),,))</f>
        <v>128437.49465759229</v>
      </c>
      <c r="N314" s="768">
        <f ca="1">INDIRECT("'kc-Wert für Stützen'!"&amp;SUBSTITUTE(ADDRESS(MATCH($A314,'kc-Wert für Stützen'!$C:$C,0),MATCH(N$7,'kc-Wert für Stützen'!$A$8:$ES$8,0)+7,4),,))</f>
        <v>128024.55768664919</v>
      </c>
      <c r="O314" s="768">
        <f ca="1">INDIRECT("'kc-Wert für Stützen'!"&amp;SUBSTITUTE(ADDRESS(MATCH($A314,'kc-Wert für Stützen'!$C:$C,0),MATCH(O$7,'kc-Wert für Stützen'!$A$8:$ES$8,0)+7,4),,))</f>
        <v>127591.12843751212</v>
      </c>
      <c r="P314" s="768">
        <f ca="1">INDIRECT("'kc-Wert für Stützen'!"&amp;SUBSTITUTE(ADDRESS(MATCH($A314,'kc-Wert für Stützen'!$C:$C,0),MATCH(P$7,'kc-Wert für Stützen'!$A$8:$ES$8,0)+7,4),,))</f>
        <v>127135.47563081712</v>
      </c>
      <c r="S314" s="772">
        <f t="shared" ca="1" si="124"/>
        <v>131458.49227974506</v>
      </c>
      <c r="T314" s="772">
        <f t="shared" ca="1" si="148"/>
        <v>131458.49227974506</v>
      </c>
      <c r="U314" s="772">
        <f t="shared" ca="1" si="148"/>
        <v>131458.49227974506</v>
      </c>
      <c r="V314" s="772">
        <f t="shared" ca="1" si="148"/>
        <v>131171.1533567851</v>
      </c>
      <c r="W314" s="772">
        <f t="shared" ca="1" si="148"/>
        <v>130873.95710379176</v>
      </c>
      <c r="X314" s="772">
        <f t="shared" ca="1" si="148"/>
        <v>130566.06237121767</v>
      </c>
      <c r="Y314" s="772">
        <f t="shared" ca="1" si="148"/>
        <v>130246.56021682266</v>
      </c>
      <c r="Z314" s="772">
        <f t="shared" ca="1" si="148"/>
        <v>131458.49227974506</v>
      </c>
      <c r="AA314" s="772">
        <f t="shared" ca="1" si="148"/>
        <v>131458.49227974506</v>
      </c>
      <c r="AB314" s="772">
        <f t="shared" ca="1" si="149"/>
        <v>131171.1533567851</v>
      </c>
      <c r="AC314" s="772">
        <f t="shared" ca="1" si="149"/>
        <v>131171.1533567851</v>
      </c>
      <c r="AD314" s="772">
        <f t="shared" ca="1" si="149"/>
        <v>130873.95710379176</v>
      </c>
      <c r="AE314" s="772">
        <f t="shared" ca="1" si="149"/>
        <v>130873.95710379176</v>
      </c>
      <c r="AF314" s="772">
        <f t="shared" ca="1" si="149"/>
        <v>130566.06237121767</v>
      </c>
      <c r="AG314" s="772">
        <f t="shared" ca="1" si="149"/>
        <v>130566.06237121767</v>
      </c>
      <c r="AH314" s="772">
        <f t="shared" ca="1" si="149"/>
        <v>130566.06237121767</v>
      </c>
      <c r="AI314" s="772">
        <f t="shared" ca="1" si="149"/>
        <v>131458.49227974506</v>
      </c>
      <c r="AJ314" s="772">
        <f t="shared" ca="1" si="152"/>
        <v>131458.49227974506</v>
      </c>
      <c r="AK314" s="772">
        <f t="shared" ca="1" si="152"/>
        <v>131171.1533567851</v>
      </c>
      <c r="AL314" s="772">
        <f t="shared" ca="1" si="152"/>
        <v>131171.1533567851</v>
      </c>
      <c r="AM314" s="772">
        <f t="shared" ca="1" si="152"/>
        <v>130873.95710379176</v>
      </c>
      <c r="AN314" s="772">
        <f t="shared" ca="1" si="152"/>
        <v>130873.95710379176</v>
      </c>
      <c r="AO314" s="772">
        <f t="shared" ca="1" si="152"/>
        <v>130566.06237121767</v>
      </c>
      <c r="AP314" s="772">
        <f t="shared" ca="1" si="152"/>
        <v>130566.06237121767</v>
      </c>
      <c r="AQ314" s="772">
        <f t="shared" ca="1" si="152"/>
        <v>130566.06237121767</v>
      </c>
      <c r="AR314" s="772">
        <f t="shared" ca="1" si="152"/>
        <v>131458.49227974506</v>
      </c>
      <c r="AS314" s="772">
        <f t="shared" ca="1" si="152"/>
        <v>131458.49227974506</v>
      </c>
      <c r="AT314" s="772">
        <f t="shared" ca="1" si="152"/>
        <v>131171.1533567851</v>
      </c>
      <c r="AU314" s="772">
        <f t="shared" ca="1" si="152"/>
        <v>131171.1533567851</v>
      </c>
      <c r="AV314" s="772">
        <f t="shared" ca="1" si="152"/>
        <v>130873.95710379176</v>
      </c>
      <c r="AW314" s="772">
        <f t="shared" ca="1" si="152"/>
        <v>130873.95710379176</v>
      </c>
      <c r="AX314" s="772">
        <f t="shared" ca="1" si="152"/>
        <v>130566.06237121767</v>
      </c>
      <c r="AY314" s="772">
        <f t="shared" ca="1" si="152"/>
        <v>130566.06237121767</v>
      </c>
      <c r="AZ314" s="772">
        <f t="shared" ca="1" si="152"/>
        <v>130566.06237121767</v>
      </c>
      <c r="BA314" s="772">
        <f t="shared" ca="1" si="152"/>
        <v>131458.49227974506</v>
      </c>
      <c r="BB314" s="772">
        <f t="shared" ca="1" si="152"/>
        <v>131458.49227974506</v>
      </c>
      <c r="BC314" s="772">
        <f t="shared" ca="1" si="152"/>
        <v>131171.1533567851</v>
      </c>
      <c r="BD314" s="772">
        <f t="shared" ca="1" si="152"/>
        <v>130873.95710379176</v>
      </c>
      <c r="BE314" s="772">
        <f t="shared" ca="1" si="152"/>
        <v>130873.95710379176</v>
      </c>
      <c r="BF314" s="772">
        <f t="shared" ca="1" si="152"/>
        <v>130566.06237121767</v>
      </c>
      <c r="BG314" s="772">
        <f t="shared" ca="1" si="152"/>
        <v>130566.06237121767</v>
      </c>
      <c r="BH314" s="772">
        <f t="shared" ca="1" si="152"/>
        <v>130246.56021682266</v>
      </c>
      <c r="BI314" s="772">
        <f t="shared" ca="1" si="152"/>
        <v>130246.56021682266</v>
      </c>
      <c r="BJ314" s="772">
        <f t="shared" ca="1" si="152"/>
        <v>131171.1533567851</v>
      </c>
      <c r="BK314" s="772">
        <f t="shared" ca="1" si="152"/>
        <v>131171.1533567851</v>
      </c>
      <c r="BL314" s="772">
        <f t="shared" ca="1" si="152"/>
        <v>131171.1533567851</v>
      </c>
      <c r="BM314" s="772">
        <f t="shared" ca="1" si="152"/>
        <v>131171.1533567851</v>
      </c>
      <c r="BN314" s="772">
        <f t="shared" ca="1" si="152"/>
        <v>130566.06237121767</v>
      </c>
      <c r="BO314" s="772">
        <f t="shared" ca="1" si="152"/>
        <v>130566.06237121767</v>
      </c>
      <c r="BP314" s="772">
        <f t="shared" ca="1" si="152"/>
        <v>130246.56021682266</v>
      </c>
      <c r="BQ314" s="772">
        <f t="shared" ca="1" si="152"/>
        <v>130246.56021682266</v>
      </c>
      <c r="BR314" s="772">
        <f t="shared" ca="1" si="152"/>
        <v>129914.46722933103</v>
      </c>
      <c r="BS314" s="772">
        <f t="shared" ca="1" si="152"/>
        <v>131171.1533567851</v>
      </c>
      <c r="BT314" s="772">
        <f t="shared" ca="1" si="152"/>
        <v>131171.1533567851</v>
      </c>
      <c r="BU314" s="772">
        <f t="shared" ca="1" si="152"/>
        <v>131171.1533567851</v>
      </c>
      <c r="BV314" s="772">
        <f t="shared" ca="1" si="152"/>
        <v>130873.95710379176</v>
      </c>
      <c r="BW314" s="772">
        <f t="shared" ca="1" si="152"/>
        <v>130873.95710379176</v>
      </c>
      <c r="BX314" s="772">
        <f t="shared" ca="1" si="153"/>
        <v>130246.56021682266</v>
      </c>
      <c r="BY314" s="772">
        <f t="shared" ca="1" si="153"/>
        <v>130246.56021682266</v>
      </c>
      <c r="BZ314" s="772">
        <f t="shared" ca="1" si="153"/>
        <v>129914.46722933103</v>
      </c>
      <c r="CA314" s="772">
        <f t="shared" ca="1" si="153"/>
        <v>129914.46722933103</v>
      </c>
      <c r="CB314" s="772">
        <f t="shared" ca="1" si="153"/>
        <v>130873.95710379176</v>
      </c>
      <c r="CC314" s="772">
        <f t="shared" ca="1" si="153"/>
        <v>130873.95710379176</v>
      </c>
      <c r="CD314" s="772">
        <f t="shared" ca="1" si="153"/>
        <v>130873.95710379176</v>
      </c>
      <c r="CE314" s="772">
        <f t="shared" ca="1" si="153"/>
        <v>130873.95710379176</v>
      </c>
      <c r="CF314" s="772">
        <f t="shared" ca="1" si="153"/>
        <v>130566.06237121767</v>
      </c>
      <c r="CG314" s="772">
        <f t="shared" ca="1" si="153"/>
        <v>130246.56021682266</v>
      </c>
      <c r="CH314" s="772">
        <f t="shared" ca="1" si="153"/>
        <v>129914.46722933103</v>
      </c>
      <c r="CI314" s="772">
        <f t="shared" ca="1" si="153"/>
        <v>129914.46722933103</v>
      </c>
      <c r="CJ314" s="772">
        <f t="shared" ca="1" si="153"/>
        <v>129568.71832581525</v>
      </c>
    </row>
    <row r="315" spans="1:88" ht="15" customHeight="1">
      <c r="A315" s="770">
        <f>'kc-Wert für Stützen'!C315</f>
        <v>367</v>
      </c>
      <c r="B315" s="768">
        <f ca="1">INDIRECT("'kc-Wert für Stützen'!"&amp;SUBSTITUTE(ADDRESS(MATCH($A315,'kc-Wert für Stützen'!$C:$C,0),MATCH(B$7,'kc-Wert für Stützen'!$A$8:$ES$8,0)+7,4),,))</f>
        <v>132749.37323494063</v>
      </c>
      <c r="C315" s="768">
        <f ca="1">INDIRECT("'kc-Wert für Stützen'!"&amp;SUBSTITUTE(ADDRESS(MATCH($A315,'kc-Wert für Stützen'!$C:$C,0),MATCH(C$7,'kc-Wert für Stützen'!$A$8:$ES$8,0)+7,4),,))</f>
        <v>132479.35077864648</v>
      </c>
      <c r="D315" s="768">
        <f ca="1">INDIRECT("'kc-Wert für Stützen'!"&amp;SUBSTITUTE(ADDRESS(MATCH($A315,'kc-Wert für Stützen'!$C:$C,0),MATCH(D$7,'kc-Wert für Stützen'!$A$8:$ES$8,0)+7,4),,))</f>
        <v>132201.02902475282</v>
      </c>
      <c r="E315" s="768">
        <f ca="1">INDIRECT("'kc-Wert für Stützen'!"&amp;SUBSTITUTE(ADDRESS(MATCH($A315,'kc-Wert für Stützen'!$C:$C,0),MATCH(E$7,'kc-Wert für Stützen'!$A$8:$ES$8,0)+7,4),,))</f>
        <v>131913.690655718</v>
      </c>
      <c r="F315" s="768">
        <f ca="1">INDIRECT("'kc-Wert für Stützen'!"&amp;SUBSTITUTE(ADDRESS(MATCH($A315,'kc-Wert für Stützen'!$C:$C,0),MATCH(F$7,'kc-Wert für Stützen'!$A$8:$ES$8,0)+7,4),,))</f>
        <v>131616.5631298208</v>
      </c>
      <c r="G315" s="768">
        <f ca="1">INDIRECT("'kc-Wert für Stützen'!"&amp;SUBSTITUTE(ADDRESS(MATCH($A315,'kc-Wert für Stützen'!$C:$C,0),MATCH(G$7,'kc-Wert für Stützen'!$A$8:$ES$8,0)+7,4),,))</f>
        <v>131308.81310303559</v>
      </c>
      <c r="H315" s="768">
        <f ca="1">INDIRECT("'kc-Wert für Stützen'!"&amp;SUBSTITUTE(ADDRESS(MATCH($A315,'kc-Wert für Stützen'!$C:$C,0),MATCH(H$7,'kc-Wert für Stützen'!$A$8:$ES$8,0)+7,4),,))</f>
        <v>130989.54036243763</v>
      </c>
      <c r="I315" s="768">
        <f ca="1">INDIRECT("'kc-Wert für Stützen'!"&amp;SUBSTITUTE(ADDRESS(MATCH($A315,'kc-Wert für Stützen'!$C:$C,0),MATCH(I$7,'kc-Wert für Stützen'!$A$8:$ES$8,0)+7,4),,))</f>
        <v>130657.77125023771</v>
      </c>
      <c r="J315" s="768">
        <f ca="1">INDIRECT("'kc-Wert für Stützen'!"&amp;SUBSTITUTE(ADDRESS(MATCH($A315,'kc-Wert für Stützen'!$C:$C,0),MATCH(J$7,'kc-Wert für Stützen'!$A$8:$ES$8,0)+7,4),,))</f>
        <v>130312.45156756067</v>
      </c>
      <c r="K315" s="768">
        <f ca="1">INDIRECT("'kc-Wert für Stützen'!"&amp;SUBSTITUTE(ADDRESS(MATCH($A315,'kc-Wert für Stützen'!$C:$C,0),MATCH(K$7,'kc-Wert für Stützen'!$A$8:$ES$8,0)+7,4),,))</f>
        <v>129952.43896219296</v>
      </c>
      <c r="L315" s="768">
        <f ca="1">INDIRECT("'kc-Wert für Stützen'!"&amp;SUBSTITUTE(ADDRESS(MATCH($A315,'kc-Wert für Stützen'!$C:$C,0),MATCH(L$7,'kc-Wert für Stützen'!$A$8:$ES$8,0)+7,4),,))</f>
        <v>129576.49482644541</v>
      </c>
      <c r="M315" s="768">
        <f ca="1">INDIRECT("'kc-Wert für Stützen'!"&amp;SUBSTITUTE(ADDRESS(MATCH($A315,'kc-Wert für Stützen'!$C:$C,0),MATCH(M$7,'kc-Wert für Stützen'!$A$8:$ES$8,0)+7,4),,))</f>
        <v>129183.27576221268</v>
      </c>
      <c r="N315" s="768">
        <f ca="1">INDIRECT("'kc-Wert für Stützen'!"&amp;SUBSTITUTE(ADDRESS(MATCH($A315,'kc-Wert für Stützen'!$C:$C,0),MATCH(N$7,'kc-Wert für Stützen'!$A$8:$ES$8,0)+7,4),,))</f>
        <v>128771.32471298661</v>
      </c>
      <c r="O315" s="768">
        <f ca="1">INDIRECT("'kc-Wert für Stützen'!"&amp;SUBSTITUTE(ADDRESS(MATCH($A315,'kc-Wert für Stützen'!$C:$C,0),MATCH(O$7,'kc-Wert für Stützen'!$A$8:$ES$8,0)+7,4),,))</f>
        <v>128339.06192032756</v>
      </c>
      <c r="P315" s="768">
        <f ca="1">INDIRECT("'kc-Wert für Stützen'!"&amp;SUBSTITUTE(ADDRESS(MATCH($A315,'kc-Wert für Stützen'!$C:$C,0),MATCH(P$7,'kc-Wert für Stützen'!$A$8:$ES$8,0)+7,4),,))</f>
        <v>127884.77593905301</v>
      </c>
      <c r="S315" s="772">
        <f t="shared" ca="1" si="124"/>
        <v>132201.02902475282</v>
      </c>
      <c r="T315" s="772">
        <f t="shared" ca="1" si="148"/>
        <v>132201.02902475282</v>
      </c>
      <c r="U315" s="772">
        <f t="shared" ca="1" si="148"/>
        <v>132201.02902475282</v>
      </c>
      <c r="V315" s="772">
        <f t="shared" ca="1" si="148"/>
        <v>131913.690655718</v>
      </c>
      <c r="W315" s="772">
        <f t="shared" ca="1" si="148"/>
        <v>131616.5631298208</v>
      </c>
      <c r="X315" s="772">
        <f t="shared" ca="1" si="148"/>
        <v>131308.81310303559</v>
      </c>
      <c r="Y315" s="772">
        <f t="shared" ca="1" si="148"/>
        <v>130989.54036243763</v>
      </c>
      <c r="Z315" s="772">
        <f t="shared" ca="1" si="148"/>
        <v>132201.02902475282</v>
      </c>
      <c r="AA315" s="772">
        <f t="shared" ca="1" si="148"/>
        <v>132201.02902475282</v>
      </c>
      <c r="AB315" s="772">
        <f t="shared" ca="1" si="149"/>
        <v>131913.690655718</v>
      </c>
      <c r="AC315" s="772">
        <f t="shared" ca="1" si="149"/>
        <v>131913.690655718</v>
      </c>
      <c r="AD315" s="772">
        <f t="shared" ca="1" si="149"/>
        <v>131616.5631298208</v>
      </c>
      <c r="AE315" s="772">
        <f t="shared" ca="1" si="149"/>
        <v>131616.5631298208</v>
      </c>
      <c r="AF315" s="772">
        <f t="shared" ca="1" si="149"/>
        <v>131308.81310303559</v>
      </c>
      <c r="AG315" s="772">
        <f t="shared" ca="1" si="149"/>
        <v>131308.81310303559</v>
      </c>
      <c r="AH315" s="772">
        <f t="shared" ca="1" si="149"/>
        <v>131308.81310303559</v>
      </c>
      <c r="AI315" s="772">
        <f t="shared" ca="1" si="149"/>
        <v>132201.02902475282</v>
      </c>
      <c r="AJ315" s="772">
        <f t="shared" ca="1" si="152"/>
        <v>132201.02902475282</v>
      </c>
      <c r="AK315" s="772">
        <f t="shared" ca="1" si="152"/>
        <v>131913.690655718</v>
      </c>
      <c r="AL315" s="772">
        <f t="shared" ca="1" si="152"/>
        <v>131913.690655718</v>
      </c>
      <c r="AM315" s="772">
        <f t="shared" ca="1" si="152"/>
        <v>131616.5631298208</v>
      </c>
      <c r="AN315" s="772">
        <f t="shared" ca="1" si="152"/>
        <v>131616.5631298208</v>
      </c>
      <c r="AO315" s="772">
        <f t="shared" ca="1" si="152"/>
        <v>131308.81310303559</v>
      </c>
      <c r="AP315" s="772">
        <f t="shared" ca="1" si="152"/>
        <v>131308.81310303559</v>
      </c>
      <c r="AQ315" s="772">
        <f t="shared" ca="1" si="152"/>
        <v>131308.81310303559</v>
      </c>
      <c r="AR315" s="772">
        <f t="shared" ca="1" si="152"/>
        <v>132201.02902475282</v>
      </c>
      <c r="AS315" s="772">
        <f t="shared" ca="1" si="152"/>
        <v>132201.02902475282</v>
      </c>
      <c r="AT315" s="772">
        <f t="shared" ca="1" si="152"/>
        <v>131913.690655718</v>
      </c>
      <c r="AU315" s="772">
        <f t="shared" ca="1" si="152"/>
        <v>131913.690655718</v>
      </c>
      <c r="AV315" s="772">
        <f t="shared" ca="1" si="152"/>
        <v>131616.5631298208</v>
      </c>
      <c r="AW315" s="772">
        <f t="shared" ca="1" si="152"/>
        <v>131616.5631298208</v>
      </c>
      <c r="AX315" s="772">
        <f t="shared" ca="1" si="152"/>
        <v>131308.81310303559</v>
      </c>
      <c r="AY315" s="772">
        <f t="shared" ca="1" si="152"/>
        <v>131308.81310303559</v>
      </c>
      <c r="AZ315" s="772">
        <f t="shared" ca="1" si="152"/>
        <v>131308.81310303559</v>
      </c>
      <c r="BA315" s="772">
        <f t="shared" ca="1" si="152"/>
        <v>132201.02902475282</v>
      </c>
      <c r="BB315" s="772">
        <f t="shared" ca="1" si="152"/>
        <v>132201.02902475282</v>
      </c>
      <c r="BC315" s="772">
        <f t="shared" ca="1" si="152"/>
        <v>131913.690655718</v>
      </c>
      <c r="BD315" s="772">
        <f t="shared" ca="1" si="152"/>
        <v>131616.5631298208</v>
      </c>
      <c r="BE315" s="772">
        <f t="shared" ca="1" si="152"/>
        <v>131616.5631298208</v>
      </c>
      <c r="BF315" s="772">
        <f t="shared" ca="1" si="152"/>
        <v>131308.81310303559</v>
      </c>
      <c r="BG315" s="772">
        <f t="shared" ca="1" si="152"/>
        <v>131308.81310303559</v>
      </c>
      <c r="BH315" s="772">
        <f t="shared" ca="1" si="152"/>
        <v>130989.54036243763</v>
      </c>
      <c r="BI315" s="772">
        <f t="shared" ca="1" si="152"/>
        <v>130989.54036243763</v>
      </c>
      <c r="BJ315" s="772">
        <f t="shared" ca="1" si="152"/>
        <v>131913.690655718</v>
      </c>
      <c r="BK315" s="772">
        <f t="shared" ca="1" si="152"/>
        <v>131913.690655718</v>
      </c>
      <c r="BL315" s="772">
        <f t="shared" ca="1" si="152"/>
        <v>131913.690655718</v>
      </c>
      <c r="BM315" s="772">
        <f t="shared" ca="1" si="152"/>
        <v>131913.690655718</v>
      </c>
      <c r="BN315" s="772">
        <f t="shared" ca="1" si="152"/>
        <v>131308.81310303559</v>
      </c>
      <c r="BO315" s="772">
        <f t="shared" ca="1" si="152"/>
        <v>131308.81310303559</v>
      </c>
      <c r="BP315" s="772">
        <f t="shared" ca="1" si="152"/>
        <v>130989.54036243763</v>
      </c>
      <c r="BQ315" s="772">
        <f t="shared" ca="1" si="152"/>
        <v>130989.54036243763</v>
      </c>
      <c r="BR315" s="772">
        <f t="shared" ca="1" si="152"/>
        <v>130657.77125023771</v>
      </c>
      <c r="BS315" s="772">
        <f t="shared" ca="1" si="152"/>
        <v>131913.690655718</v>
      </c>
      <c r="BT315" s="772">
        <f t="shared" ca="1" si="152"/>
        <v>131913.690655718</v>
      </c>
      <c r="BU315" s="772">
        <f t="shared" ca="1" si="152"/>
        <v>131913.690655718</v>
      </c>
      <c r="BV315" s="772">
        <f t="shared" ca="1" si="152"/>
        <v>131616.5631298208</v>
      </c>
      <c r="BW315" s="772">
        <f t="shared" ca="1" si="152"/>
        <v>131616.5631298208</v>
      </c>
      <c r="BX315" s="772">
        <f t="shared" ca="1" si="153"/>
        <v>130989.54036243763</v>
      </c>
      <c r="BY315" s="772">
        <f t="shared" ca="1" si="153"/>
        <v>130989.54036243763</v>
      </c>
      <c r="BZ315" s="772">
        <f t="shared" ca="1" si="153"/>
        <v>130657.77125023771</v>
      </c>
      <c r="CA315" s="772">
        <f t="shared" ca="1" si="153"/>
        <v>130657.77125023771</v>
      </c>
      <c r="CB315" s="772">
        <f t="shared" ca="1" si="153"/>
        <v>131616.5631298208</v>
      </c>
      <c r="CC315" s="772">
        <f t="shared" ca="1" si="153"/>
        <v>131616.5631298208</v>
      </c>
      <c r="CD315" s="772">
        <f t="shared" ca="1" si="153"/>
        <v>131616.5631298208</v>
      </c>
      <c r="CE315" s="772">
        <f t="shared" ca="1" si="153"/>
        <v>131616.5631298208</v>
      </c>
      <c r="CF315" s="772">
        <f t="shared" ca="1" si="153"/>
        <v>131308.81310303559</v>
      </c>
      <c r="CG315" s="772">
        <f t="shared" ca="1" si="153"/>
        <v>130989.54036243763</v>
      </c>
      <c r="CH315" s="772">
        <f t="shared" ca="1" si="153"/>
        <v>130657.77125023771</v>
      </c>
      <c r="CI315" s="772">
        <f t="shared" ca="1" si="153"/>
        <v>130657.77125023771</v>
      </c>
      <c r="CJ315" s="772">
        <f t="shared" ca="1" si="153"/>
        <v>130312.45156756067</v>
      </c>
    </row>
    <row r="316" spans="1:88" ht="15" customHeight="1">
      <c r="A316" s="770">
        <f>'kc-Wert für Stützen'!C316</f>
        <v>368</v>
      </c>
      <c r="B316" s="768">
        <f ca="1">INDIRECT("'kc-Wert für Stützen'!"&amp;SUBSTITUTE(ADDRESS(MATCH($A316,'kc-Wert für Stützen'!$C:$C,0),MATCH(B$7,'kc-Wert für Stützen'!$A$8:$ES$8,0)+7,4),,))</f>
        <v>133494.12366751314</v>
      </c>
      <c r="C316" s="768">
        <f ca="1">INDIRECT("'kc-Wert für Stützen'!"&amp;SUBSTITUTE(ADDRESS(MATCH($A316,'kc-Wert für Stützen'!$C:$C,0),MATCH(C$7,'kc-Wert für Stützen'!$A$8:$ES$8,0)+7,4),,))</f>
        <v>133223.98157614138</v>
      </c>
      <c r="D316" s="768">
        <f ca="1">INDIRECT("'kc-Wert für Stützen'!"&amp;SUBSTITUTE(ADDRESS(MATCH($A316,'kc-Wert für Stützen'!$C:$C,0),MATCH(D$7,'kc-Wert für Stützen'!$A$8:$ES$8,0)+7,4),,))</f>
        <v>132945.59454367208</v>
      </c>
      <c r="E316" s="768">
        <f ca="1">INDIRECT("'kc-Wert für Stützen'!"&amp;SUBSTITUTE(ADDRESS(MATCH($A316,'kc-Wert für Stützen'!$C:$C,0),MATCH(E$7,'kc-Wert für Stützen'!$A$8:$ES$8,0)+7,4),,))</f>
        <v>132658.25139330953</v>
      </c>
      <c r="F316" s="768">
        <f ca="1">INDIRECT("'kc-Wert für Stützen'!"&amp;SUBSTITUTE(ADDRESS(MATCH($A316,'kc-Wert für Stützen'!$C:$C,0),MATCH(F$7,'kc-Wert für Stützen'!$A$8:$ES$8,0)+7,4),,))</f>
        <v>132361.18645586487</v>
      </c>
      <c r="G316" s="768">
        <f ca="1">INDIRECT("'kc-Wert für Stützen'!"&amp;SUBSTITUTE(ADDRESS(MATCH($A316,'kc-Wert für Stützen'!$C:$C,0),MATCH(G$7,'kc-Wert für Stützen'!$A$8:$ES$8,0)+7,4),,))</f>
        <v>132053.57407602188</v>
      </c>
      <c r="H316" s="768">
        <f ca="1">INDIRECT("'kc-Wert für Stützen'!"&amp;SUBSTITUTE(ADDRESS(MATCH($A316,'kc-Wert für Stützen'!$C:$C,0),MATCH(H$7,'kc-Wert für Stützen'!$A$8:$ES$8,0)+7,4),,))</f>
        <v>131734.52263748253</v>
      </c>
      <c r="I316" s="768">
        <f ca="1">INDIRECT("'kc-Wert für Stützen'!"&amp;SUBSTITUTE(ADDRESS(MATCH($A316,'kc-Wert für Stützen'!$C:$C,0),MATCH(I$7,'kc-Wert für Stützen'!$A$8:$ES$8,0)+7,4),,))</f>
        <v>131403.06808570813</v>
      </c>
      <c r="J316" s="768">
        <f ca="1">INDIRECT("'kc-Wert für Stützen'!"&amp;SUBSTITUTE(ADDRESS(MATCH($A316,'kc-Wert für Stützen'!$C:$C,0),MATCH(J$7,'kc-Wert für Stützen'!$A$8:$ES$8,0)+7,4),,))</f>
        <v>131058.16693645842</v>
      </c>
      <c r="K316" s="768">
        <f ca="1">INDIRECT("'kc-Wert für Stützen'!"&amp;SUBSTITUTE(ADDRESS(MATCH($A316,'kc-Wert für Stützen'!$C:$C,0),MATCH(K$7,'kc-Wert für Stützen'!$A$8:$ES$8,0)+7,4),,))</f>
        <v>130698.68877267968</v>
      </c>
      <c r="L316" s="768">
        <f ca="1">INDIRECT("'kc-Wert für Stützen'!"&amp;SUBSTITUTE(ADDRESS(MATCH($A316,'kc-Wert für Stützen'!$C:$C,0),MATCH(L$7,'kc-Wert für Stützen'!$A$8:$ES$8,0)+7,4),,))</f>
        <v>130323.40825315303</v>
      </c>
      <c r="M316" s="768">
        <f ca="1">INDIRECT("'kc-Wert für Stützen'!"&amp;SUBSTITUTE(ADDRESS(MATCH($A316,'kc-Wert für Stützen'!$C:$C,0),MATCH(M$7,'kc-Wert für Stützen'!$A$8:$ES$8,0)+7,4),,))</f>
        <v>129930.99668579412</v>
      </c>
      <c r="N316" s="768">
        <f ca="1">INDIRECT("'kc-Wert für Stützen'!"&amp;SUBSTITUTE(ADDRESS(MATCH($A316,'kc-Wert für Stützen'!$C:$C,0),MATCH(N$7,'kc-Wert für Stützen'!$A$8:$ES$8,0)+7,4),,))</f>
        <v>129520.01325920907</v>
      </c>
      <c r="O316" s="768">
        <f ca="1">INDIRECT("'kc-Wert für Stützen'!"&amp;SUBSTITUTE(ADDRESS(MATCH($A316,'kc-Wert für Stützen'!$C:$C,0),MATCH(O$7,'kc-Wert für Stützen'!$A$8:$ES$8,0)+7,4),,))</f>
        <v>129088.89608126032</v>
      </c>
      <c r="P316" s="768">
        <f ca="1">INDIRECT("'kc-Wert für Stützen'!"&amp;SUBSTITUTE(ADDRESS(MATCH($A316,'kc-Wert für Stützen'!$C:$C,0),MATCH(P$7,'kc-Wert für Stützen'!$A$8:$ES$8,0)+7,4),,))</f>
        <v>128635.95324677374</v>
      </c>
      <c r="S316" s="772">
        <f t="shared" ca="1" si="124"/>
        <v>132945.59454367208</v>
      </c>
      <c r="T316" s="772">
        <f t="shared" ca="1" si="148"/>
        <v>132945.59454367208</v>
      </c>
      <c r="U316" s="772">
        <f t="shared" ca="1" si="148"/>
        <v>132945.59454367208</v>
      </c>
      <c r="V316" s="772">
        <f t="shared" ca="1" si="148"/>
        <v>132658.25139330953</v>
      </c>
      <c r="W316" s="772">
        <f t="shared" ca="1" si="148"/>
        <v>132361.18645586487</v>
      </c>
      <c r="X316" s="772">
        <f t="shared" ca="1" si="148"/>
        <v>132053.57407602188</v>
      </c>
      <c r="Y316" s="772">
        <f t="shared" ca="1" si="148"/>
        <v>131734.52263748253</v>
      </c>
      <c r="Z316" s="772">
        <f t="shared" ca="1" si="148"/>
        <v>132945.59454367208</v>
      </c>
      <c r="AA316" s="772">
        <f t="shared" ca="1" si="148"/>
        <v>132945.59454367208</v>
      </c>
      <c r="AB316" s="772">
        <f t="shared" ca="1" si="149"/>
        <v>132658.25139330953</v>
      </c>
      <c r="AC316" s="772">
        <f t="shared" ca="1" si="149"/>
        <v>132658.25139330953</v>
      </c>
      <c r="AD316" s="772">
        <f t="shared" ca="1" si="149"/>
        <v>132361.18645586487</v>
      </c>
      <c r="AE316" s="772">
        <f t="shared" ca="1" si="149"/>
        <v>132361.18645586487</v>
      </c>
      <c r="AF316" s="772">
        <f t="shared" ca="1" si="149"/>
        <v>132053.57407602188</v>
      </c>
      <c r="AG316" s="772">
        <f t="shared" ca="1" si="149"/>
        <v>132053.57407602188</v>
      </c>
      <c r="AH316" s="772">
        <f t="shared" ca="1" si="149"/>
        <v>132053.57407602188</v>
      </c>
      <c r="AI316" s="772">
        <f t="shared" ca="1" si="149"/>
        <v>132945.59454367208</v>
      </c>
      <c r="AJ316" s="772">
        <f t="shared" ca="1" si="152"/>
        <v>132945.59454367208</v>
      </c>
      <c r="AK316" s="772">
        <f t="shared" ca="1" si="152"/>
        <v>132658.25139330953</v>
      </c>
      <c r="AL316" s="772">
        <f t="shared" ca="1" si="152"/>
        <v>132658.25139330953</v>
      </c>
      <c r="AM316" s="772">
        <f t="shared" ca="1" si="152"/>
        <v>132361.18645586487</v>
      </c>
      <c r="AN316" s="772">
        <f t="shared" ca="1" si="152"/>
        <v>132361.18645586487</v>
      </c>
      <c r="AO316" s="772">
        <f t="shared" ca="1" si="152"/>
        <v>132053.57407602188</v>
      </c>
      <c r="AP316" s="772">
        <f t="shared" ca="1" si="152"/>
        <v>132053.57407602188</v>
      </c>
      <c r="AQ316" s="772">
        <f t="shared" ca="1" si="152"/>
        <v>132053.57407602188</v>
      </c>
      <c r="AR316" s="772">
        <f t="shared" ca="1" si="152"/>
        <v>132945.59454367208</v>
      </c>
      <c r="AS316" s="772">
        <f t="shared" ca="1" si="152"/>
        <v>132945.59454367208</v>
      </c>
      <c r="AT316" s="772">
        <f t="shared" ca="1" si="152"/>
        <v>132658.25139330953</v>
      </c>
      <c r="AU316" s="772">
        <f t="shared" ca="1" si="152"/>
        <v>132658.25139330953</v>
      </c>
      <c r="AV316" s="772">
        <f t="shared" ca="1" si="152"/>
        <v>132361.18645586487</v>
      </c>
      <c r="AW316" s="772">
        <f t="shared" ca="1" si="152"/>
        <v>132361.18645586487</v>
      </c>
      <c r="AX316" s="772">
        <f t="shared" ca="1" si="152"/>
        <v>132053.57407602188</v>
      </c>
      <c r="AY316" s="772">
        <f t="shared" ca="1" si="152"/>
        <v>132053.57407602188</v>
      </c>
      <c r="AZ316" s="772">
        <f t="shared" ca="1" si="152"/>
        <v>132053.57407602188</v>
      </c>
      <c r="BA316" s="772">
        <f t="shared" ca="1" si="152"/>
        <v>132945.59454367208</v>
      </c>
      <c r="BB316" s="772">
        <f t="shared" ca="1" si="152"/>
        <v>132945.59454367208</v>
      </c>
      <c r="BC316" s="772">
        <f t="shared" ca="1" si="152"/>
        <v>132658.25139330953</v>
      </c>
      <c r="BD316" s="772">
        <f t="shared" ca="1" si="152"/>
        <v>132361.18645586487</v>
      </c>
      <c r="BE316" s="772">
        <f t="shared" ca="1" si="152"/>
        <v>132361.18645586487</v>
      </c>
      <c r="BF316" s="772">
        <f t="shared" ca="1" si="152"/>
        <v>132053.57407602188</v>
      </c>
      <c r="BG316" s="772">
        <f t="shared" ca="1" si="152"/>
        <v>132053.57407602188</v>
      </c>
      <c r="BH316" s="772">
        <f t="shared" ca="1" si="152"/>
        <v>131734.52263748253</v>
      </c>
      <c r="BI316" s="772">
        <f t="shared" ca="1" si="152"/>
        <v>131734.52263748253</v>
      </c>
      <c r="BJ316" s="772">
        <f t="shared" ca="1" si="152"/>
        <v>132658.25139330953</v>
      </c>
      <c r="BK316" s="772">
        <f t="shared" ca="1" si="152"/>
        <v>132658.25139330953</v>
      </c>
      <c r="BL316" s="772">
        <f t="shared" ca="1" si="152"/>
        <v>132658.25139330953</v>
      </c>
      <c r="BM316" s="772">
        <f t="shared" ca="1" si="152"/>
        <v>132658.25139330953</v>
      </c>
      <c r="BN316" s="772">
        <f t="shared" ca="1" si="152"/>
        <v>132053.57407602188</v>
      </c>
      <c r="BO316" s="772">
        <f t="shared" ca="1" si="152"/>
        <v>132053.57407602188</v>
      </c>
      <c r="BP316" s="772">
        <f t="shared" ca="1" si="152"/>
        <v>131734.52263748253</v>
      </c>
      <c r="BQ316" s="772">
        <f t="shared" ca="1" si="152"/>
        <v>131734.52263748253</v>
      </c>
      <c r="BR316" s="772">
        <f t="shared" ref="BH316:BW332" ca="1" si="155">HLOOKUP(BR$7,$A$7:$P$348,ROW()-6)</f>
        <v>131403.06808570813</v>
      </c>
      <c r="BS316" s="772">
        <f t="shared" ca="1" si="155"/>
        <v>132658.25139330953</v>
      </c>
      <c r="BT316" s="772">
        <f t="shared" ca="1" si="155"/>
        <v>132658.25139330953</v>
      </c>
      <c r="BU316" s="772">
        <f t="shared" ca="1" si="155"/>
        <v>132658.25139330953</v>
      </c>
      <c r="BV316" s="772">
        <f t="shared" ca="1" si="155"/>
        <v>132361.18645586487</v>
      </c>
      <c r="BW316" s="772">
        <f t="shared" ca="1" si="155"/>
        <v>132361.18645586487</v>
      </c>
      <c r="BX316" s="772">
        <f t="shared" ca="1" si="153"/>
        <v>131734.52263748253</v>
      </c>
      <c r="BY316" s="772">
        <f t="shared" ca="1" si="153"/>
        <v>131734.52263748253</v>
      </c>
      <c r="BZ316" s="772">
        <f t="shared" ca="1" si="153"/>
        <v>131403.06808570813</v>
      </c>
      <c r="CA316" s="772">
        <f t="shared" ca="1" si="153"/>
        <v>131403.06808570813</v>
      </c>
      <c r="CB316" s="772">
        <f t="shared" ca="1" si="153"/>
        <v>132361.18645586487</v>
      </c>
      <c r="CC316" s="772">
        <f t="shared" ca="1" si="153"/>
        <v>132361.18645586487</v>
      </c>
      <c r="CD316" s="772">
        <f t="shared" ca="1" si="153"/>
        <v>132361.18645586487</v>
      </c>
      <c r="CE316" s="772">
        <f t="shared" ca="1" si="153"/>
        <v>132361.18645586487</v>
      </c>
      <c r="CF316" s="772">
        <f t="shared" ca="1" si="153"/>
        <v>132053.57407602188</v>
      </c>
      <c r="CG316" s="772">
        <f t="shared" ca="1" si="153"/>
        <v>131734.52263748253</v>
      </c>
      <c r="CH316" s="772">
        <f t="shared" ca="1" si="153"/>
        <v>131403.06808570813</v>
      </c>
      <c r="CI316" s="772">
        <f t="shared" ca="1" si="153"/>
        <v>131403.06808570813</v>
      </c>
      <c r="CJ316" s="772">
        <f t="shared" ca="1" si="153"/>
        <v>131058.16693645842</v>
      </c>
    </row>
    <row r="317" spans="1:88" ht="15" customHeight="1">
      <c r="A317" s="770">
        <f>'kc-Wert für Stützen'!C317</f>
        <v>369</v>
      </c>
      <c r="B317" s="768">
        <f ca="1">INDIRECT("'kc-Wert für Stützen'!"&amp;SUBSTITUTE(ADDRESS(MATCH($A317,'kc-Wert für Stützen'!$C:$C,0),MATCH(B$7,'kc-Wert für Stützen'!$A$8:$ES$8,0)+7,4),,))</f>
        <v>134240.91181532206</v>
      </c>
      <c r="C317" s="768">
        <f ca="1">INDIRECT("'kc-Wert für Stützen'!"&amp;SUBSTITUTE(ADDRESS(MATCH($A317,'kc-Wert für Stützen'!$C:$C,0),MATCH(C$7,'kc-Wert für Stützen'!$A$8:$ES$8,0)+7,4),,))</f>
        <v>133970.64612012968</v>
      </c>
      <c r="D317" s="768">
        <f ca="1">INDIRECT("'kc-Wert für Stützen'!"&amp;SUBSTITUTE(ADDRESS(MATCH($A317,'kc-Wert für Stützen'!$C:$C,0),MATCH(D$7,'kc-Wert für Stützen'!$A$8:$ES$8,0)+7,4),,))</f>
        <v>133692.18923925894</v>
      </c>
      <c r="E317" s="768">
        <f ca="1">INDIRECT("'kc-Wert für Stützen'!"&amp;SUBSTITUTE(ADDRESS(MATCH($A317,'kc-Wert für Stützen'!$C:$C,0),MATCH(E$7,'kc-Wert für Stützen'!$A$8:$ES$8,0)+7,4),,))</f>
        <v>133404.83604846799</v>
      </c>
      <c r="F317" s="768">
        <f ca="1">INDIRECT("'kc-Wert für Stützen'!"&amp;SUBSTITUTE(ADDRESS(MATCH($A317,'kc-Wert für Stützen'!$C:$C,0),MATCH(F$7,'kc-Wert für Stützen'!$A$8:$ES$8,0)+7,4),,))</f>
        <v>133107.82765046868</v>
      </c>
      <c r="G317" s="768">
        <f ca="1">INDIRECT("'kc-Wert für Stützen'!"&amp;SUBSTITUTE(ADDRESS(MATCH($A317,'kc-Wert für Stützen'!$C:$C,0),MATCH(G$7,'kc-Wert für Stützen'!$A$8:$ES$8,0)+7,4),,))</f>
        <v>132800.345964065</v>
      </c>
      <c r="H317" s="768">
        <f ca="1">INDIRECT("'kc-Wert für Stützen'!"&amp;SUBSTITUTE(ADDRESS(MATCH($A317,'kc-Wert für Stützen'!$C:$C,0),MATCH(H$7,'kc-Wert für Stützen'!$A$8:$ES$8,0)+7,4),,))</f>
        <v>132481.50783943379</v>
      </c>
      <c r="I317" s="768">
        <f ca="1">INDIRECT("'kc-Wert für Stützen'!"&amp;SUBSTITUTE(ADDRESS(MATCH($A317,'kc-Wert für Stützen'!$C:$C,0),MATCH(I$7,'kc-Wert für Stützen'!$A$8:$ES$8,0)+7,4),,))</f>
        <v>132150.35867792609</v>
      </c>
      <c r="J317" s="768">
        <f ca="1">INDIRECT("'kc-Wert für Stützen'!"&amp;SUBSTITUTE(ADDRESS(MATCH($A317,'kc-Wert für Stützen'!$C:$C,0),MATCH(J$7,'kc-Wert für Stützen'!$A$8:$ES$8,0)+7,4),,))</f>
        <v>131805.86554374729</v>
      </c>
      <c r="K317" s="768">
        <f ca="1">INDIRECT("'kc-Wert für Stützen'!"&amp;SUBSTITUTE(ADDRESS(MATCH($A317,'kc-Wert für Stützen'!$C:$C,0),MATCH(K$7,'kc-Wert für Stützen'!$A$8:$ES$8,0)+7,4),,))</f>
        <v>131446.9097684985</v>
      </c>
      <c r="L317" s="768">
        <f ca="1">INDIRECT("'kc-Wert für Stützen'!"&amp;SUBSTITUTE(ADDRESS(MATCH($A317,'kc-Wert für Stützen'!$C:$C,0),MATCH(L$7,'kc-Wert für Stützen'!$A$8:$ES$8,0)+7,4),,))</f>
        <v>131072.27906941468</v>
      </c>
      <c r="M317" s="768">
        <f ca="1">INDIRECT("'kc-Wert für Stützen'!"&amp;SUBSTITUTE(ADDRESS(MATCH($A317,'kc-Wert für Stützen'!$C:$C,0),MATCH(M$7,'kc-Wert für Stützen'!$A$8:$ES$8,0)+7,4),,))</f>
        <v>130680.65923022591</v>
      </c>
      <c r="N317" s="768">
        <f ca="1">INDIRECT("'kc-Wert für Stützen'!"&amp;SUBSTITUTE(ADDRESS(MATCH($A317,'kc-Wert für Stützen'!$C:$C,0),MATCH(N$7,'kc-Wert für Stützen'!$A$8:$ES$8,0)+7,4),,))</f>
        <v>130270.6254324116</v>
      </c>
      <c r="O317" s="768">
        <f ca="1">INDIRECT("'kc-Wert für Stützen'!"&amp;SUBSTITUTE(ADDRESS(MATCH($A317,'kc-Wert für Stützen'!$C:$C,0),MATCH(O$7,'kc-Wert für Stützen'!$A$8:$ES$8,0)+7,4),,))</f>
        <v>129840.6333772861</v>
      </c>
      <c r="P317" s="768">
        <f ca="1">INDIRECT("'kc-Wert für Stützen'!"&amp;SUBSTITUTE(ADDRESS(MATCH($A317,'kc-Wert für Stützen'!$C:$C,0),MATCH(P$7,'kc-Wert für Stützen'!$A$8:$ES$8,0)+7,4),,))</f>
        <v>129389.01040950403</v>
      </c>
      <c r="S317" s="772">
        <f t="shared" ca="1" si="124"/>
        <v>133692.18923925894</v>
      </c>
      <c r="T317" s="772">
        <f t="shared" ca="1" si="148"/>
        <v>133692.18923925894</v>
      </c>
      <c r="U317" s="772">
        <f t="shared" ca="1" si="148"/>
        <v>133692.18923925894</v>
      </c>
      <c r="V317" s="772">
        <f t="shared" ca="1" si="148"/>
        <v>133404.83604846799</v>
      </c>
      <c r="W317" s="772">
        <f t="shared" ca="1" si="148"/>
        <v>133107.82765046868</v>
      </c>
      <c r="X317" s="772">
        <f t="shared" ca="1" si="148"/>
        <v>132800.345964065</v>
      </c>
      <c r="Y317" s="772">
        <f t="shared" ca="1" si="148"/>
        <v>132481.50783943379</v>
      </c>
      <c r="Z317" s="772">
        <f t="shared" ca="1" si="148"/>
        <v>133692.18923925894</v>
      </c>
      <c r="AA317" s="772">
        <f t="shared" ca="1" si="148"/>
        <v>133692.18923925894</v>
      </c>
      <c r="AB317" s="772">
        <f t="shared" ca="1" si="149"/>
        <v>133404.83604846799</v>
      </c>
      <c r="AC317" s="772">
        <f t="shared" ca="1" si="149"/>
        <v>133404.83604846799</v>
      </c>
      <c r="AD317" s="772">
        <f t="shared" ca="1" si="149"/>
        <v>133107.82765046868</v>
      </c>
      <c r="AE317" s="772">
        <f t="shared" ca="1" si="149"/>
        <v>133107.82765046868</v>
      </c>
      <c r="AF317" s="772">
        <f t="shared" ca="1" si="149"/>
        <v>132800.345964065</v>
      </c>
      <c r="AG317" s="772">
        <f t="shared" ca="1" si="149"/>
        <v>132800.345964065</v>
      </c>
      <c r="AH317" s="772">
        <f t="shared" ca="1" si="149"/>
        <v>132800.345964065</v>
      </c>
      <c r="AI317" s="772">
        <f t="shared" ca="1" si="149"/>
        <v>133692.18923925894</v>
      </c>
      <c r="AJ317" s="772">
        <f t="shared" ca="1" si="149"/>
        <v>133692.18923925894</v>
      </c>
      <c r="AK317" s="772">
        <f t="shared" ca="1" si="149"/>
        <v>133404.83604846799</v>
      </c>
      <c r="AL317" s="772">
        <f t="shared" ca="1" si="149"/>
        <v>133404.83604846799</v>
      </c>
      <c r="AM317" s="772">
        <f t="shared" ca="1" si="149"/>
        <v>133107.82765046868</v>
      </c>
      <c r="AN317" s="772">
        <f t="shared" ca="1" si="149"/>
        <v>133107.82765046868</v>
      </c>
      <c r="AO317" s="772">
        <f t="shared" ca="1" si="149"/>
        <v>132800.345964065</v>
      </c>
      <c r="AP317" s="772">
        <f t="shared" ca="1" si="149"/>
        <v>132800.345964065</v>
      </c>
      <c r="AQ317" s="772">
        <f t="shared" ca="1" si="149"/>
        <v>132800.345964065</v>
      </c>
      <c r="AR317" s="772">
        <f t="shared" ref="AR317:BG333" ca="1" si="156">HLOOKUP(AR$7,$A$7:$P$348,ROW()-6)</f>
        <v>133692.18923925894</v>
      </c>
      <c r="AS317" s="772">
        <f t="shared" ca="1" si="156"/>
        <v>133692.18923925894</v>
      </c>
      <c r="AT317" s="772">
        <f t="shared" ca="1" si="156"/>
        <v>133404.83604846799</v>
      </c>
      <c r="AU317" s="772">
        <f t="shared" ca="1" si="156"/>
        <v>133404.83604846799</v>
      </c>
      <c r="AV317" s="772">
        <f t="shared" ca="1" si="156"/>
        <v>133107.82765046868</v>
      </c>
      <c r="AW317" s="772">
        <f t="shared" ca="1" si="156"/>
        <v>133107.82765046868</v>
      </c>
      <c r="AX317" s="772">
        <f t="shared" ca="1" si="156"/>
        <v>132800.345964065</v>
      </c>
      <c r="AY317" s="772">
        <f t="shared" ca="1" si="156"/>
        <v>132800.345964065</v>
      </c>
      <c r="AZ317" s="772">
        <f t="shared" ca="1" si="156"/>
        <v>132800.345964065</v>
      </c>
      <c r="BA317" s="772">
        <f t="shared" ca="1" si="156"/>
        <v>133692.18923925894</v>
      </c>
      <c r="BB317" s="772">
        <f t="shared" ca="1" si="156"/>
        <v>133692.18923925894</v>
      </c>
      <c r="BC317" s="772">
        <f t="shared" ca="1" si="156"/>
        <v>133404.83604846799</v>
      </c>
      <c r="BD317" s="772">
        <f t="shared" ca="1" si="156"/>
        <v>133107.82765046868</v>
      </c>
      <c r="BE317" s="772">
        <f t="shared" ca="1" si="156"/>
        <v>133107.82765046868</v>
      </c>
      <c r="BF317" s="772">
        <f t="shared" ca="1" si="156"/>
        <v>132800.345964065</v>
      </c>
      <c r="BG317" s="772">
        <f t="shared" ca="1" si="156"/>
        <v>132800.345964065</v>
      </c>
      <c r="BH317" s="772">
        <f t="shared" ca="1" si="155"/>
        <v>132481.50783943379</v>
      </c>
      <c r="BI317" s="772">
        <f t="shared" ca="1" si="155"/>
        <v>132481.50783943379</v>
      </c>
      <c r="BJ317" s="772">
        <f t="shared" ca="1" si="155"/>
        <v>133404.83604846799</v>
      </c>
      <c r="BK317" s="772">
        <f t="shared" ca="1" si="155"/>
        <v>133404.83604846799</v>
      </c>
      <c r="BL317" s="772">
        <f t="shared" ca="1" si="155"/>
        <v>133404.83604846799</v>
      </c>
      <c r="BM317" s="772">
        <f t="shared" ca="1" si="155"/>
        <v>133404.83604846799</v>
      </c>
      <c r="BN317" s="772">
        <f t="shared" ca="1" si="155"/>
        <v>132800.345964065</v>
      </c>
      <c r="BO317" s="772">
        <f t="shared" ca="1" si="155"/>
        <v>132800.345964065</v>
      </c>
      <c r="BP317" s="772">
        <f t="shared" ca="1" si="155"/>
        <v>132481.50783943379</v>
      </c>
      <c r="BQ317" s="772">
        <f t="shared" ca="1" si="155"/>
        <v>132481.50783943379</v>
      </c>
      <c r="BR317" s="772">
        <f t="shared" ca="1" si="155"/>
        <v>132150.35867792609</v>
      </c>
      <c r="BS317" s="772">
        <f t="shared" ca="1" si="155"/>
        <v>133404.83604846799</v>
      </c>
      <c r="BT317" s="772">
        <f t="shared" ca="1" si="155"/>
        <v>133404.83604846799</v>
      </c>
      <c r="BU317" s="772">
        <f t="shared" ca="1" si="155"/>
        <v>133404.83604846799</v>
      </c>
      <c r="BV317" s="772">
        <f t="shared" ca="1" si="155"/>
        <v>133107.82765046868</v>
      </c>
      <c r="BW317" s="772">
        <f t="shared" ca="1" si="155"/>
        <v>133107.82765046868</v>
      </c>
      <c r="BX317" s="772">
        <f t="shared" ca="1" si="153"/>
        <v>132481.50783943379</v>
      </c>
      <c r="BY317" s="772">
        <f t="shared" ca="1" si="153"/>
        <v>132481.50783943379</v>
      </c>
      <c r="BZ317" s="772">
        <f t="shared" ca="1" si="153"/>
        <v>132150.35867792609</v>
      </c>
      <c r="CA317" s="772">
        <f t="shared" ca="1" si="153"/>
        <v>132150.35867792609</v>
      </c>
      <c r="CB317" s="772">
        <f t="shared" ca="1" si="153"/>
        <v>133107.82765046868</v>
      </c>
      <c r="CC317" s="772">
        <f t="shared" ca="1" si="153"/>
        <v>133107.82765046868</v>
      </c>
      <c r="CD317" s="772">
        <f t="shared" ca="1" si="153"/>
        <v>133107.82765046868</v>
      </c>
      <c r="CE317" s="772">
        <f t="shared" ca="1" si="153"/>
        <v>133107.82765046868</v>
      </c>
      <c r="CF317" s="772">
        <f t="shared" ca="1" si="153"/>
        <v>132800.345964065</v>
      </c>
      <c r="CG317" s="772">
        <f t="shared" ca="1" si="153"/>
        <v>132481.50783943379</v>
      </c>
      <c r="CH317" s="772">
        <f t="shared" ca="1" si="153"/>
        <v>132150.35867792609</v>
      </c>
      <c r="CI317" s="772">
        <f t="shared" ca="1" si="153"/>
        <v>132150.35867792609</v>
      </c>
      <c r="CJ317" s="772">
        <f t="shared" ca="1" si="153"/>
        <v>131805.86554374729</v>
      </c>
    </row>
    <row r="318" spans="1:88" ht="15" customHeight="1">
      <c r="A318" s="770">
        <f>'kc-Wert für Stützen'!C318</f>
        <v>370</v>
      </c>
      <c r="B318" s="768">
        <f ca="1">INDIRECT("'kc-Wert für Stützen'!"&amp;SUBSTITUTE(ADDRESS(MATCH($A318,'kc-Wert für Stützen'!$C:$C,0),MATCH(B$7,'kc-Wert für Stützen'!$A$8:$ES$8,0)+7,4),,))</f>
        <v>134989.73795723115</v>
      </c>
      <c r="C318" s="768">
        <f ca="1">INDIRECT("'kc-Wert für Stützen'!"&amp;SUBSTITUTE(ADDRESS(MATCH($A318,'kc-Wert für Stützen'!$C:$C,0),MATCH(C$7,'kc-Wert für Stützen'!$A$8:$ES$8,0)+7,4),,))</f>
        <v>134719.34474321411</v>
      </c>
      <c r="D318" s="768">
        <f ca="1">INDIRECT("'kc-Wert für Stützen'!"&amp;SUBSTITUTE(ADDRESS(MATCH($A318,'kc-Wert für Stützen'!$C:$C,0),MATCH(D$7,'kc-Wert für Stützen'!$A$8:$ES$8,0)+7,4),,))</f>
        <v>134440.81350752476</v>
      </c>
      <c r="E318" s="768">
        <f ca="1">INDIRECT("'kc-Wert für Stützen'!"&amp;SUBSTITUTE(ADDRESS(MATCH($A318,'kc-Wert für Stützen'!$C:$C,0),MATCH(E$7,'kc-Wert für Stützen'!$A$8:$ES$8,0)+7,4),,))</f>
        <v>134153.44509192355</v>
      </c>
      <c r="F318" s="768">
        <f ca="1">INDIRECT("'kc-Wert für Stützen'!"&amp;SUBSTITUTE(ADDRESS(MATCH($A318,'kc-Wert für Stützen'!$C:$C,0),MATCH(F$7,'kc-Wert für Stützen'!$A$8:$ES$8,0)+7,4),,))</f>
        <v>133856.4872722842</v>
      </c>
      <c r="G318" s="768">
        <f ca="1">INDIRECT("'kc-Wert für Stützen'!"&amp;SUBSTITUTE(ADDRESS(MATCH($A318,'kc-Wert für Stützen'!$C:$C,0),MATCH(G$7,'kc-Wert für Stützen'!$A$8:$ES$8,0)+7,4),,))</f>
        <v>133549.1294291144</v>
      </c>
      <c r="H318" s="768">
        <f ca="1">INDIRECT("'kc-Wert für Stützen'!"&amp;SUBSTITUTE(ADDRESS(MATCH($A318,'kc-Wert für Stützen'!$C:$C,0),MATCH(H$7,'kc-Wert für Stützen'!$A$8:$ES$8,0)+7,4),,))</f>
        <v>133230.49675139552</v>
      </c>
      <c r="I318" s="768">
        <f ca="1">INDIRECT("'kc-Wert für Stützen'!"&amp;SUBSTITUTE(ADDRESS(MATCH($A318,'kc-Wert für Stützen'!$C:$C,0),MATCH(I$7,'kc-Wert für Stützen'!$A$8:$ES$8,0)+7,4),,))</f>
        <v>132899.64395182094</v>
      </c>
      <c r="J318" s="768">
        <f ca="1">INDIRECT("'kc-Wert für Stützen'!"&amp;SUBSTITUTE(ADDRESS(MATCH($A318,'kc-Wert für Stützen'!$C:$C,0),MATCH(J$7,'kc-Wert für Stützen'!$A$8:$ES$8,0)+7,4),,))</f>
        <v>132555.54848001205</v>
      </c>
      <c r="K318" s="768">
        <f ca="1">INDIRECT("'kc-Wert für Stützen'!"&amp;SUBSTITUTE(ADDRESS(MATCH($A318,'kc-Wert für Stützen'!$C:$C,0),MATCH(K$7,'kc-Wert für Stützen'!$A$8:$ES$8,0)+7,4),,))</f>
        <v>132197.10323322922</v>
      </c>
      <c r="L318" s="768">
        <f ca="1">INDIRECT("'kc-Wert für Stützen'!"&amp;SUBSTITUTE(ADDRESS(MATCH($A318,'kc-Wert für Stützen'!$C:$C,0),MATCH(L$7,'kc-Wert für Stützen'!$A$8:$ES$8,0)+7,4),,))</f>
        <v>131823.10878298321</v>
      </c>
      <c r="M318" s="768">
        <f ca="1">INDIRECT("'kc-Wert für Stützen'!"&amp;SUBSTITUTE(ADDRESS(MATCH($A318,'kc-Wert für Stützen'!$C:$C,0),MATCH(M$7,'kc-Wert für Stützen'!$A$8:$ES$8,0)+7,4),,))</f>
        <v>131432.26516272518</v>
      </c>
      <c r="N318" s="768">
        <f ca="1">INDIRECT("'kc-Wert für Stützen'!"&amp;SUBSTITUTE(ADDRESS(MATCH($A318,'kc-Wert für Stützen'!$C:$C,0),MATCH(N$7,'kc-Wert für Stützen'!$A$8:$ES$8,0)+7,4),,))</f>
        <v>131023.16329885105</v>
      </c>
      <c r="O318" s="768">
        <f ca="1">INDIRECT("'kc-Wert für Stützen'!"&amp;SUBSTITUTE(ADDRESS(MATCH($A318,'kc-Wert für Stützen'!$C:$C,0),MATCH(O$7,'kc-Wert für Stützen'!$A$8:$ES$8,0)+7,4),,))</f>
        <v>130594.27621755798</v>
      </c>
      <c r="P318" s="768">
        <f ca="1">INDIRECT("'kc-Wert für Stützen'!"&amp;SUBSTITUTE(ADDRESS(MATCH($A318,'kc-Wert für Stützen'!$C:$C,0),MATCH(P$7,'kc-Wert für Stützen'!$A$8:$ES$8,0)+7,4),,))</f>
        <v>130143.95022715464</v>
      </c>
      <c r="S318" s="772">
        <f t="shared" ca="1" si="124"/>
        <v>134440.81350752476</v>
      </c>
      <c r="T318" s="772">
        <f t="shared" ca="1" si="148"/>
        <v>134440.81350752476</v>
      </c>
      <c r="U318" s="772">
        <f t="shared" ca="1" si="148"/>
        <v>134440.81350752476</v>
      </c>
      <c r="V318" s="772">
        <f t="shared" ca="1" si="148"/>
        <v>134153.44509192355</v>
      </c>
      <c r="W318" s="772">
        <f t="shared" ca="1" si="148"/>
        <v>133856.4872722842</v>
      </c>
      <c r="X318" s="772">
        <f t="shared" ca="1" si="148"/>
        <v>133549.1294291144</v>
      </c>
      <c r="Y318" s="772">
        <f t="shared" ca="1" si="148"/>
        <v>133230.49675139552</v>
      </c>
      <c r="Z318" s="772">
        <f t="shared" ca="1" si="148"/>
        <v>134440.81350752476</v>
      </c>
      <c r="AA318" s="772">
        <f t="shared" ca="1" si="148"/>
        <v>134440.81350752476</v>
      </c>
      <c r="AB318" s="772">
        <f t="shared" ca="1" si="149"/>
        <v>134153.44509192355</v>
      </c>
      <c r="AC318" s="772">
        <f t="shared" ca="1" si="149"/>
        <v>134153.44509192355</v>
      </c>
      <c r="AD318" s="772">
        <f t="shared" ca="1" si="149"/>
        <v>133856.4872722842</v>
      </c>
      <c r="AE318" s="772">
        <f t="shared" ca="1" si="149"/>
        <v>133856.4872722842</v>
      </c>
      <c r="AF318" s="772">
        <f t="shared" ca="1" si="149"/>
        <v>133549.1294291144</v>
      </c>
      <c r="AG318" s="772">
        <f t="shared" ca="1" si="149"/>
        <v>133549.1294291144</v>
      </c>
      <c r="AH318" s="772">
        <f t="shared" ca="1" si="149"/>
        <v>133549.1294291144</v>
      </c>
      <c r="AI318" s="772">
        <f t="shared" ca="1" si="149"/>
        <v>134440.81350752476</v>
      </c>
      <c r="AJ318" s="772">
        <f t="shared" ca="1" si="149"/>
        <v>134440.81350752476</v>
      </c>
      <c r="AK318" s="772">
        <f t="shared" ca="1" si="149"/>
        <v>134153.44509192355</v>
      </c>
      <c r="AL318" s="772">
        <f t="shared" ca="1" si="149"/>
        <v>134153.44509192355</v>
      </c>
      <c r="AM318" s="772">
        <f t="shared" ca="1" si="149"/>
        <v>133856.4872722842</v>
      </c>
      <c r="AN318" s="772">
        <f t="shared" ca="1" si="149"/>
        <v>133856.4872722842</v>
      </c>
      <c r="AO318" s="772">
        <f t="shared" ca="1" si="149"/>
        <v>133549.1294291144</v>
      </c>
      <c r="AP318" s="772">
        <f t="shared" ca="1" si="149"/>
        <v>133549.1294291144</v>
      </c>
      <c r="AQ318" s="772">
        <f t="shared" ca="1" si="149"/>
        <v>133549.1294291144</v>
      </c>
      <c r="AR318" s="772">
        <f t="shared" ca="1" si="156"/>
        <v>134440.81350752476</v>
      </c>
      <c r="AS318" s="772">
        <f t="shared" ca="1" si="156"/>
        <v>134440.81350752476</v>
      </c>
      <c r="AT318" s="772">
        <f t="shared" ca="1" si="156"/>
        <v>134153.44509192355</v>
      </c>
      <c r="AU318" s="772">
        <f t="shared" ca="1" si="156"/>
        <v>134153.44509192355</v>
      </c>
      <c r="AV318" s="772">
        <f t="shared" ca="1" si="156"/>
        <v>133856.4872722842</v>
      </c>
      <c r="AW318" s="772">
        <f t="shared" ca="1" si="156"/>
        <v>133856.4872722842</v>
      </c>
      <c r="AX318" s="772">
        <f t="shared" ca="1" si="156"/>
        <v>133549.1294291144</v>
      </c>
      <c r="AY318" s="772">
        <f t="shared" ca="1" si="156"/>
        <v>133549.1294291144</v>
      </c>
      <c r="AZ318" s="772">
        <f t="shared" ca="1" si="156"/>
        <v>133549.1294291144</v>
      </c>
      <c r="BA318" s="772">
        <f t="shared" ca="1" si="156"/>
        <v>134440.81350752476</v>
      </c>
      <c r="BB318" s="772">
        <f t="shared" ca="1" si="156"/>
        <v>134440.81350752476</v>
      </c>
      <c r="BC318" s="772">
        <f t="shared" ca="1" si="156"/>
        <v>134153.44509192355</v>
      </c>
      <c r="BD318" s="772">
        <f t="shared" ca="1" si="156"/>
        <v>133856.4872722842</v>
      </c>
      <c r="BE318" s="772">
        <f t="shared" ca="1" si="156"/>
        <v>133856.4872722842</v>
      </c>
      <c r="BF318" s="772">
        <f t="shared" ca="1" si="156"/>
        <v>133549.1294291144</v>
      </c>
      <c r="BG318" s="772">
        <f t="shared" ca="1" si="156"/>
        <v>133549.1294291144</v>
      </c>
      <c r="BH318" s="772">
        <f t="shared" ca="1" si="155"/>
        <v>133230.49675139552</v>
      </c>
      <c r="BI318" s="772">
        <f t="shared" ca="1" si="155"/>
        <v>133230.49675139552</v>
      </c>
      <c r="BJ318" s="772">
        <f t="shared" ca="1" si="155"/>
        <v>134153.44509192355</v>
      </c>
      <c r="BK318" s="772">
        <f t="shared" ca="1" si="155"/>
        <v>134153.44509192355</v>
      </c>
      <c r="BL318" s="772">
        <f t="shared" ca="1" si="155"/>
        <v>134153.44509192355</v>
      </c>
      <c r="BM318" s="772">
        <f t="shared" ca="1" si="155"/>
        <v>134153.44509192355</v>
      </c>
      <c r="BN318" s="772">
        <f t="shared" ca="1" si="155"/>
        <v>133549.1294291144</v>
      </c>
      <c r="BO318" s="772">
        <f t="shared" ca="1" si="155"/>
        <v>133549.1294291144</v>
      </c>
      <c r="BP318" s="772">
        <f t="shared" ca="1" si="155"/>
        <v>133230.49675139552</v>
      </c>
      <c r="BQ318" s="772">
        <f t="shared" ca="1" si="155"/>
        <v>133230.49675139552</v>
      </c>
      <c r="BR318" s="772">
        <f t="shared" ca="1" si="155"/>
        <v>132899.64395182094</v>
      </c>
      <c r="BS318" s="772">
        <f t="shared" ca="1" si="155"/>
        <v>134153.44509192355</v>
      </c>
      <c r="BT318" s="772">
        <f t="shared" ca="1" si="155"/>
        <v>134153.44509192355</v>
      </c>
      <c r="BU318" s="772">
        <f t="shared" ca="1" si="155"/>
        <v>134153.44509192355</v>
      </c>
      <c r="BV318" s="772">
        <f t="shared" ca="1" si="155"/>
        <v>133856.4872722842</v>
      </c>
      <c r="BW318" s="772">
        <f t="shared" ca="1" si="155"/>
        <v>133856.4872722842</v>
      </c>
      <c r="BX318" s="772">
        <f t="shared" ca="1" si="153"/>
        <v>133230.49675139552</v>
      </c>
      <c r="BY318" s="772">
        <f t="shared" ca="1" si="153"/>
        <v>133230.49675139552</v>
      </c>
      <c r="BZ318" s="772">
        <f t="shared" ca="1" si="153"/>
        <v>132899.64395182094</v>
      </c>
      <c r="CA318" s="772">
        <f t="shared" ca="1" si="153"/>
        <v>132899.64395182094</v>
      </c>
      <c r="CB318" s="772">
        <f t="shared" ca="1" si="153"/>
        <v>133856.4872722842</v>
      </c>
      <c r="CC318" s="772">
        <f t="shared" ca="1" si="153"/>
        <v>133856.4872722842</v>
      </c>
      <c r="CD318" s="772">
        <f t="shared" ca="1" si="153"/>
        <v>133856.4872722842</v>
      </c>
      <c r="CE318" s="772">
        <f t="shared" ca="1" si="153"/>
        <v>133856.4872722842</v>
      </c>
      <c r="CF318" s="772">
        <f t="shared" ca="1" si="153"/>
        <v>133549.1294291144</v>
      </c>
      <c r="CG318" s="772">
        <f t="shared" ca="1" si="153"/>
        <v>133230.49675139552</v>
      </c>
      <c r="CH318" s="772">
        <f t="shared" ca="1" si="153"/>
        <v>132899.64395182094</v>
      </c>
      <c r="CI318" s="772">
        <f t="shared" ca="1" si="153"/>
        <v>132899.64395182094</v>
      </c>
      <c r="CJ318" s="772">
        <f t="shared" ca="1" si="153"/>
        <v>132555.54848001205</v>
      </c>
    </row>
    <row r="319" spans="1:88" ht="15" customHeight="1">
      <c r="A319" s="770">
        <f>'kc-Wert für Stützen'!C319</f>
        <v>371</v>
      </c>
      <c r="B319" s="768">
        <f ca="1">INDIRECT("'kc-Wert für Stützen'!"&amp;SUBSTITUTE(ADDRESS(MATCH($A319,'kc-Wert für Stützen'!$C:$C,0),MATCH(B$7,'kc-Wert für Stützen'!$A$8:$ES$8,0)+7,4),,))</f>
        <v>135740.60236763977</v>
      </c>
      <c r="C319" s="768">
        <f ca="1">INDIRECT("'kc-Wert für Stützen'!"&amp;SUBSTITUTE(ADDRESS(MATCH($A319,'kc-Wert für Stützen'!$C:$C,0),MATCH(C$7,'kc-Wert für Stützen'!$A$8:$ES$8,0)+7,4),,))</f>
        <v>135470.07777256178</v>
      </c>
      <c r="D319" s="768">
        <f ca="1">INDIRECT("'kc-Wert für Stützen'!"&amp;SUBSTITUTE(ADDRESS(MATCH($A319,'kc-Wert für Stützen'!$C:$C,0),MATCH(D$7,'kc-Wert für Stützen'!$A$8:$ES$8,0)+7,4),,))</f>
        <v>135191.4677378776</v>
      </c>
      <c r="E319" s="768">
        <f ca="1">INDIRECT("'kc-Wert für Stützen'!"&amp;SUBSTITUTE(ADDRESS(MATCH($A319,'kc-Wert für Stützen'!$C:$C,0),MATCH(E$7,'kc-Wert für Stützen'!$A$8:$ES$8,0)+7,4),,))</f>
        <v>134904.07898640272</v>
      </c>
      <c r="F319" s="768">
        <f ca="1">INDIRECT("'kc-Wert für Stützen'!"&amp;SUBSTITUTE(ADDRESS(MATCH($A319,'kc-Wert für Stützen'!$C:$C,0),MATCH(F$7,'kc-Wert für Stützen'!$A$8:$ES$8,0)+7,4),,))</f>
        <v>134607.16587028405</v>
      </c>
      <c r="G319" s="768">
        <f ca="1">INDIRECT("'kc-Wert für Stützen'!"&amp;SUBSTITUTE(ADDRESS(MATCH($A319,'kc-Wert für Stützen'!$C:$C,0),MATCH(G$7,'kc-Wert für Stützen'!$A$8:$ES$8,0)+7,4),,))</f>
        <v>134299.92512144192</v>
      </c>
      <c r="H319" s="768">
        <f ca="1">INDIRECT("'kc-Wert für Stützen'!"&amp;SUBSTITUTE(ADDRESS(MATCH($A319,'kc-Wert für Stützen'!$C:$C,0),MATCH(H$7,'kc-Wert für Stützen'!$A$8:$ES$8,0)+7,4),,))</f>
        <v>133981.49014241854</v>
      </c>
      <c r="I319" s="768">
        <f ca="1">INDIRECT("'kc-Wert für Stützen'!"&amp;SUBSTITUTE(ADDRESS(MATCH($A319,'kc-Wert für Stützen'!$C:$C,0),MATCH(I$7,'kc-Wert für Stützen'!$A$8:$ES$8,0)+7,4),,))</f>
        <v>133650.92481545379</v>
      </c>
      <c r="J319" s="768">
        <f ca="1">INDIRECT("'kc-Wert für Stützen'!"&amp;SUBSTITUTE(ADDRESS(MATCH($A319,'kc-Wert für Stützen'!$C:$C,0),MATCH(J$7,'kc-Wert für Stützen'!$A$8:$ES$8,0)+7,4),,))</f>
        <v>133307.21681564976</v>
      </c>
      <c r="K319" s="768">
        <f ca="1">INDIRECT("'kc-Wert für Stützen'!"&amp;SUBSTITUTE(ADDRESS(MATCH($A319,'kc-Wert für Stützen'!$C:$C,0),MATCH(K$7,'kc-Wert für Stützen'!$A$8:$ES$8,0)+7,4),,))</f>
        <v>132949.27042636904</v>
      </c>
      <c r="L319" s="768">
        <f ca="1">INDIRECT("'kc-Wert für Stützen'!"&amp;SUBSTITUTE(ADDRESS(MATCH($A319,'kc-Wert für Stützen'!$C:$C,0),MATCH(L$7,'kc-Wert für Stützen'!$A$8:$ES$8,0)+7,4),,))</f>
        <v>132575.89887298638</v>
      </c>
      <c r="M319" s="768">
        <f ca="1">INDIRECT("'kc-Wert für Stützen'!"&amp;SUBSTITUTE(ADDRESS(MATCH($A319,'kc-Wert für Stützen'!$C:$C,0),MATCH(M$7,'kc-Wert für Stützen'!$A$8:$ES$8,0)+7,4),,))</f>
        <v>132185.81621662577</v>
      </c>
      <c r="N319" s="768">
        <f ca="1">INDIRECT("'kc-Wert für Stützen'!"&amp;SUBSTITUTE(ADDRESS(MATCH($A319,'kc-Wert für Stützen'!$C:$C,0),MATCH(N$7,'kc-Wert für Stützen'!$A$8:$ES$8,0)+7,4),,))</f>
        <v>131777.62888487053</v>
      </c>
      <c r="O319" s="768">
        <f ca="1">INDIRECT("'kc-Wert für Stützen'!"&amp;SUBSTITUTE(ADDRESS(MATCH($A319,'kc-Wert für Stützen'!$C:$C,0),MATCH(O$7,'kc-Wert für Stützen'!$A$8:$ES$8,0)+7,4),,))</f>
        <v>131349.82696447798</v>
      </c>
      <c r="P319" s="768">
        <f ca="1">INDIRECT("'kc-Wert für Stützen'!"&amp;SUBSTITUTE(ADDRESS(MATCH($A319,'kc-Wert für Stützen'!$C:$C,0),MATCH(P$7,'kc-Wert für Stützen'!$A$8:$ES$8,0)+7,4),,))</f>
        <v>130900.77544524384</v>
      </c>
      <c r="S319" s="772">
        <f t="shared" ca="1" si="124"/>
        <v>135191.4677378776</v>
      </c>
      <c r="T319" s="772">
        <f t="shared" ca="1" si="148"/>
        <v>135191.4677378776</v>
      </c>
      <c r="U319" s="772">
        <f t="shared" ca="1" si="148"/>
        <v>135191.4677378776</v>
      </c>
      <c r="V319" s="772">
        <f t="shared" ca="1" si="148"/>
        <v>134904.07898640272</v>
      </c>
      <c r="W319" s="772">
        <f t="shared" ca="1" si="148"/>
        <v>134607.16587028405</v>
      </c>
      <c r="X319" s="772">
        <f t="shared" ca="1" si="148"/>
        <v>134299.92512144192</v>
      </c>
      <c r="Y319" s="772">
        <f t="shared" ca="1" si="148"/>
        <v>133981.49014241854</v>
      </c>
      <c r="Z319" s="772">
        <f t="shared" ca="1" si="148"/>
        <v>135191.4677378776</v>
      </c>
      <c r="AA319" s="772">
        <f t="shared" ca="1" si="148"/>
        <v>135191.4677378776</v>
      </c>
      <c r="AB319" s="772">
        <f t="shared" ca="1" si="149"/>
        <v>134904.07898640272</v>
      </c>
      <c r="AC319" s="772">
        <f t="shared" ca="1" si="149"/>
        <v>134904.07898640272</v>
      </c>
      <c r="AD319" s="772">
        <f t="shared" ca="1" si="149"/>
        <v>134607.16587028405</v>
      </c>
      <c r="AE319" s="772">
        <f t="shared" ca="1" si="149"/>
        <v>134607.16587028405</v>
      </c>
      <c r="AF319" s="772">
        <f t="shared" ca="1" si="149"/>
        <v>134299.92512144192</v>
      </c>
      <c r="AG319" s="772">
        <f t="shared" ca="1" si="149"/>
        <v>134299.92512144192</v>
      </c>
      <c r="AH319" s="772">
        <f t="shared" ca="1" si="149"/>
        <v>134299.92512144192</v>
      </c>
      <c r="AI319" s="772">
        <f t="shared" ca="1" si="149"/>
        <v>135191.4677378776</v>
      </c>
      <c r="AJ319" s="772">
        <f t="shared" ca="1" si="149"/>
        <v>135191.4677378776</v>
      </c>
      <c r="AK319" s="772">
        <f t="shared" ca="1" si="149"/>
        <v>134904.07898640272</v>
      </c>
      <c r="AL319" s="772">
        <f t="shared" ca="1" si="149"/>
        <v>134904.07898640272</v>
      </c>
      <c r="AM319" s="772">
        <f t="shared" ca="1" si="149"/>
        <v>134607.16587028405</v>
      </c>
      <c r="AN319" s="772">
        <f t="shared" ca="1" si="149"/>
        <v>134607.16587028405</v>
      </c>
      <c r="AO319" s="772">
        <f t="shared" ca="1" si="149"/>
        <v>134299.92512144192</v>
      </c>
      <c r="AP319" s="772">
        <f t="shared" ca="1" si="149"/>
        <v>134299.92512144192</v>
      </c>
      <c r="AQ319" s="772">
        <f t="shared" ca="1" si="149"/>
        <v>134299.92512144192</v>
      </c>
      <c r="AR319" s="772">
        <f t="shared" ca="1" si="156"/>
        <v>135191.4677378776</v>
      </c>
      <c r="AS319" s="772">
        <f t="shared" ca="1" si="156"/>
        <v>135191.4677378776</v>
      </c>
      <c r="AT319" s="772">
        <f t="shared" ca="1" si="156"/>
        <v>134904.07898640272</v>
      </c>
      <c r="AU319" s="772">
        <f t="shared" ca="1" si="156"/>
        <v>134904.07898640272</v>
      </c>
      <c r="AV319" s="772">
        <f t="shared" ca="1" si="156"/>
        <v>134607.16587028405</v>
      </c>
      <c r="AW319" s="772">
        <f t="shared" ca="1" si="156"/>
        <v>134607.16587028405</v>
      </c>
      <c r="AX319" s="772">
        <f t="shared" ca="1" si="156"/>
        <v>134299.92512144192</v>
      </c>
      <c r="AY319" s="772">
        <f t="shared" ca="1" si="156"/>
        <v>134299.92512144192</v>
      </c>
      <c r="AZ319" s="772">
        <f t="shared" ca="1" si="156"/>
        <v>134299.92512144192</v>
      </c>
      <c r="BA319" s="772">
        <f t="shared" ca="1" si="156"/>
        <v>135191.4677378776</v>
      </c>
      <c r="BB319" s="772">
        <f t="shared" ca="1" si="156"/>
        <v>135191.4677378776</v>
      </c>
      <c r="BC319" s="772">
        <f t="shared" ca="1" si="156"/>
        <v>134904.07898640272</v>
      </c>
      <c r="BD319" s="772">
        <f t="shared" ca="1" si="156"/>
        <v>134607.16587028405</v>
      </c>
      <c r="BE319" s="772">
        <f t="shared" ca="1" si="156"/>
        <v>134607.16587028405</v>
      </c>
      <c r="BF319" s="772">
        <f t="shared" ca="1" si="156"/>
        <v>134299.92512144192</v>
      </c>
      <c r="BG319" s="772">
        <f t="shared" ca="1" si="156"/>
        <v>134299.92512144192</v>
      </c>
      <c r="BH319" s="772">
        <f t="shared" ca="1" si="155"/>
        <v>133981.49014241854</v>
      </c>
      <c r="BI319" s="772">
        <f t="shared" ca="1" si="155"/>
        <v>133981.49014241854</v>
      </c>
      <c r="BJ319" s="772">
        <f t="shared" ca="1" si="155"/>
        <v>134904.07898640272</v>
      </c>
      <c r="BK319" s="772">
        <f t="shared" ca="1" si="155"/>
        <v>134904.07898640272</v>
      </c>
      <c r="BL319" s="772">
        <f t="shared" ca="1" si="155"/>
        <v>134904.07898640272</v>
      </c>
      <c r="BM319" s="772">
        <f t="shared" ca="1" si="155"/>
        <v>134904.07898640272</v>
      </c>
      <c r="BN319" s="772">
        <f t="shared" ca="1" si="155"/>
        <v>134299.92512144192</v>
      </c>
      <c r="BO319" s="772">
        <f t="shared" ca="1" si="155"/>
        <v>134299.92512144192</v>
      </c>
      <c r="BP319" s="772">
        <f t="shared" ca="1" si="155"/>
        <v>133981.49014241854</v>
      </c>
      <c r="BQ319" s="772">
        <f t="shared" ca="1" si="155"/>
        <v>133981.49014241854</v>
      </c>
      <c r="BR319" s="772">
        <f t="shared" ca="1" si="155"/>
        <v>133650.92481545379</v>
      </c>
      <c r="BS319" s="772">
        <f t="shared" ca="1" si="155"/>
        <v>134904.07898640272</v>
      </c>
      <c r="BT319" s="772">
        <f t="shared" ca="1" si="155"/>
        <v>134904.07898640272</v>
      </c>
      <c r="BU319" s="772">
        <f t="shared" ca="1" si="155"/>
        <v>134904.07898640272</v>
      </c>
      <c r="BV319" s="772">
        <f t="shared" ca="1" si="155"/>
        <v>134607.16587028405</v>
      </c>
      <c r="BW319" s="772">
        <f t="shared" ca="1" si="155"/>
        <v>134607.16587028405</v>
      </c>
      <c r="BX319" s="772">
        <f t="shared" ca="1" si="153"/>
        <v>133981.49014241854</v>
      </c>
      <c r="BY319" s="772">
        <f t="shared" ca="1" si="153"/>
        <v>133981.49014241854</v>
      </c>
      <c r="BZ319" s="772">
        <f t="shared" ca="1" si="153"/>
        <v>133650.92481545379</v>
      </c>
      <c r="CA319" s="772">
        <f t="shared" ca="1" si="153"/>
        <v>133650.92481545379</v>
      </c>
      <c r="CB319" s="772">
        <f t="shared" ca="1" si="153"/>
        <v>134607.16587028405</v>
      </c>
      <c r="CC319" s="772">
        <f t="shared" ca="1" si="153"/>
        <v>134607.16587028405</v>
      </c>
      <c r="CD319" s="772">
        <f t="shared" ca="1" si="153"/>
        <v>134607.16587028405</v>
      </c>
      <c r="CE319" s="772">
        <f t="shared" ca="1" si="153"/>
        <v>134607.16587028405</v>
      </c>
      <c r="CF319" s="772">
        <f t="shared" ca="1" si="153"/>
        <v>134299.92512144192</v>
      </c>
      <c r="CG319" s="772">
        <f t="shared" ca="1" si="153"/>
        <v>133981.49014241854</v>
      </c>
      <c r="CH319" s="772">
        <f t="shared" ca="1" si="153"/>
        <v>133650.92481545379</v>
      </c>
      <c r="CI319" s="772">
        <f t="shared" ca="1" si="153"/>
        <v>133650.92481545379</v>
      </c>
      <c r="CJ319" s="772">
        <f t="shared" ca="1" si="153"/>
        <v>133307.21681564976</v>
      </c>
    </row>
    <row r="320" spans="1:88" ht="15" customHeight="1">
      <c r="A320" s="770">
        <f>'kc-Wert für Stützen'!C320</f>
        <v>372</v>
      </c>
      <c r="B320" s="768">
        <f ca="1">INDIRECT("'kc-Wert für Stützen'!"&amp;SUBSTITUTE(ADDRESS(MATCH($A320,'kc-Wert für Stützen'!$C:$C,0),MATCH(B$7,'kc-Wert für Stützen'!$A$8:$ES$8,0)+7,4),,))</f>
        <v>136493.50531657346</v>
      </c>
      <c r="C320" s="768">
        <f ca="1">INDIRECT("'kc-Wert für Stützen'!"&amp;SUBSTITUTE(ADDRESS(MATCH($A320,'kc-Wert für Stützen'!$C:$C,0),MATCH(C$7,'kc-Wert für Stützen'!$A$8:$ES$8,0)+7,4),,))</f>
        <v>136222.845530016</v>
      </c>
      <c r="D320" s="768">
        <f ca="1">INDIRECT("'kc-Wert für Stützen'!"&amp;SUBSTITUTE(ADDRESS(MATCH($A320,'kc-Wert für Stützen'!$C:$C,0),MATCH(D$7,'kc-Wert für Stützen'!$A$8:$ES$8,0)+7,4),,))</f>
        <v>135944.15231326025</v>
      </c>
      <c r="E320" s="768">
        <f ca="1">INDIRECT("'kc-Wert für Stützen'!"&amp;SUBSTITUTE(ADDRESS(MATCH($A320,'kc-Wert für Stützen'!$C:$C,0),MATCH(E$7,'kc-Wert für Stützen'!$A$8:$ES$8,0)+7,4),,))</f>
        <v>135656.73818679777</v>
      </c>
      <c r="F320" s="768">
        <f ca="1">INDIRECT("'kc-Wert für Stützen'!"&amp;SUBSTITUTE(ADDRESS(MATCH($A320,'kc-Wert für Stützen'!$C:$C,0),MATCH(F$7,'kc-Wert für Stützen'!$A$8:$ES$8,0)+7,4),,))</f>
        <v>135359.86398397008</v>
      </c>
      <c r="G320" s="768">
        <f ca="1">INDIRECT("'kc-Wert für Stützen'!"&amp;SUBSTITUTE(ADDRESS(MATCH($A320,'kc-Wert für Stützen'!$C:$C,0),MATCH(G$7,'kc-Wert für Stützen'!$A$8:$ES$8,0)+7,4),,))</f>
        <v>135052.73367989654</v>
      </c>
      <c r="H320" s="768">
        <f ca="1">INDIRECT("'kc-Wert für Stützen'!"&amp;SUBSTITUTE(ADDRESS(MATCH($A320,'kc-Wert für Stützen'!$C:$C,0),MATCH(H$7,'kc-Wert für Stützen'!$A$8:$ES$8,0)+7,4),,))</f>
        <v>134734.48876781005</v>
      </c>
      <c r="I320" s="768">
        <f ca="1">INDIRECT("'kc-Wert für Stützen'!"&amp;SUBSTITUTE(ADDRESS(MATCH($A320,'kc-Wert für Stützen'!$C:$C,0),MATCH(I$7,'kc-Wert für Stützen'!$A$8:$ES$8,0)+7,4),,))</f>
        <v>134404.20216039402</v>
      </c>
      <c r="J320" s="768">
        <f ca="1">INDIRECT("'kc-Wert für Stützen'!"&amp;SUBSTITUTE(ADDRESS(MATCH($A320,'kc-Wert für Stützen'!$C:$C,0),MATCH(J$7,'kc-Wert für Stützen'!$A$8:$ES$8,0)+7,4),,))</f>
        <v>134060.87160132409</v>
      </c>
      <c r="K320" s="768">
        <f ca="1">INDIRECT("'kc-Wert für Stützen'!"&amp;SUBSTITUTE(ADDRESS(MATCH($A320,'kc-Wert für Stützen'!$C:$C,0),MATCH(K$7,'kc-Wert für Stützen'!$A$8:$ES$8,0)+7,4),,))</f>
        <v>133703.41258387739</v>
      </c>
      <c r="L320" s="768">
        <f ca="1">INDIRECT("'kc-Wert für Stützen'!"&amp;SUBSTITUTE(ADDRESS(MATCH($A320,'kc-Wert für Stützen'!$C:$C,0),MATCH(L$7,'kc-Wert für Stützen'!$A$8:$ES$8,0)+7,4),,))</f>
        <v>133330.65079057694</v>
      </c>
      <c r="M320" s="768">
        <f ca="1">INDIRECT("'kc-Wert für Stützen'!"&amp;SUBSTITUTE(ADDRESS(MATCH($A320,'kc-Wert für Stützen'!$C:$C,0),MATCH(M$7,'kc-Wert für Stützen'!$A$8:$ES$8,0)+7,4),,))</f>
        <v>132941.31409214807</v>
      </c>
      <c r="N320" s="768">
        <f ca="1">INDIRECT("'kc-Wert für Stützen'!"&amp;SUBSTITUTE(ADDRESS(MATCH($A320,'kc-Wert für Stützen'!$C:$C,0),MATCH(N$7,'kc-Wert für Stützen'!$A$8:$ES$8,0)+7,4),,))</f>
        <v>132534.02417780188</v>
      </c>
      <c r="O320" s="768">
        <f ca="1">INDIRECT("'kc-Wert für Stützen'!"&amp;SUBSTITUTE(ADDRESS(MATCH($A320,'kc-Wert für Stützen'!$C:$C,0),MATCH(O$7,'kc-Wert für Stützen'!$A$8:$ES$8,0)+7,4),,))</f>
        <v>132107.28793474237</v>
      </c>
      <c r="P320" s="768">
        <f ca="1">INDIRECT("'kc-Wert für Stützen'!"&amp;SUBSTITUTE(ADDRESS(MATCH($A320,'kc-Wert für Stützen'!$C:$C,0),MATCH(P$7,'kc-Wert für Stützen'!$A$8:$ES$8,0)+7,4),,))</f>
        <v>131659.48875609276</v>
      </c>
      <c r="S320" s="772">
        <f t="shared" ca="1" si="124"/>
        <v>135944.15231326025</v>
      </c>
      <c r="T320" s="772">
        <f t="shared" ca="1" si="148"/>
        <v>135944.15231326025</v>
      </c>
      <c r="U320" s="772">
        <f t="shared" ca="1" si="148"/>
        <v>135944.15231326025</v>
      </c>
      <c r="V320" s="772">
        <f t="shared" ca="1" si="148"/>
        <v>135656.73818679777</v>
      </c>
      <c r="W320" s="772">
        <f t="shared" ca="1" si="148"/>
        <v>135359.86398397008</v>
      </c>
      <c r="X320" s="772">
        <f t="shared" ca="1" si="148"/>
        <v>135052.73367989654</v>
      </c>
      <c r="Y320" s="772">
        <f t="shared" ca="1" si="148"/>
        <v>134734.48876781005</v>
      </c>
      <c r="Z320" s="772">
        <f t="shared" ca="1" si="148"/>
        <v>135944.15231326025</v>
      </c>
      <c r="AA320" s="772">
        <f t="shared" ca="1" si="148"/>
        <v>135944.15231326025</v>
      </c>
      <c r="AB320" s="772">
        <f t="shared" ca="1" si="149"/>
        <v>135656.73818679777</v>
      </c>
      <c r="AC320" s="772">
        <f t="shared" ca="1" si="149"/>
        <v>135656.73818679777</v>
      </c>
      <c r="AD320" s="772">
        <f t="shared" ca="1" si="149"/>
        <v>135359.86398397008</v>
      </c>
      <c r="AE320" s="772">
        <f t="shared" ca="1" si="149"/>
        <v>135359.86398397008</v>
      </c>
      <c r="AF320" s="772">
        <f t="shared" ca="1" si="149"/>
        <v>135052.73367989654</v>
      </c>
      <c r="AG320" s="772">
        <f t="shared" ca="1" si="149"/>
        <v>135052.73367989654</v>
      </c>
      <c r="AH320" s="772">
        <f t="shared" ca="1" si="149"/>
        <v>135052.73367989654</v>
      </c>
      <c r="AI320" s="772">
        <f t="shared" ca="1" si="149"/>
        <v>135944.15231326025</v>
      </c>
      <c r="AJ320" s="772">
        <f t="shared" ca="1" si="149"/>
        <v>135944.15231326025</v>
      </c>
      <c r="AK320" s="772">
        <f t="shared" ca="1" si="149"/>
        <v>135656.73818679777</v>
      </c>
      <c r="AL320" s="772">
        <f t="shared" ca="1" si="149"/>
        <v>135656.73818679777</v>
      </c>
      <c r="AM320" s="772">
        <f t="shared" ca="1" si="149"/>
        <v>135359.86398397008</v>
      </c>
      <c r="AN320" s="772">
        <f t="shared" ca="1" si="149"/>
        <v>135359.86398397008</v>
      </c>
      <c r="AO320" s="772">
        <f t="shared" ca="1" si="149"/>
        <v>135052.73367989654</v>
      </c>
      <c r="AP320" s="772">
        <f t="shared" ca="1" si="149"/>
        <v>135052.73367989654</v>
      </c>
      <c r="AQ320" s="772">
        <f t="shared" ca="1" si="149"/>
        <v>135052.73367989654</v>
      </c>
      <c r="AR320" s="772">
        <f t="shared" ca="1" si="156"/>
        <v>135944.15231326025</v>
      </c>
      <c r="AS320" s="772">
        <f t="shared" ca="1" si="156"/>
        <v>135944.15231326025</v>
      </c>
      <c r="AT320" s="772">
        <f t="shared" ca="1" si="156"/>
        <v>135656.73818679777</v>
      </c>
      <c r="AU320" s="772">
        <f t="shared" ca="1" si="156"/>
        <v>135656.73818679777</v>
      </c>
      <c r="AV320" s="772">
        <f t="shared" ca="1" si="156"/>
        <v>135359.86398397008</v>
      </c>
      <c r="AW320" s="772">
        <f t="shared" ca="1" si="156"/>
        <v>135359.86398397008</v>
      </c>
      <c r="AX320" s="772">
        <f t="shared" ca="1" si="156"/>
        <v>135052.73367989654</v>
      </c>
      <c r="AY320" s="772">
        <f t="shared" ca="1" si="156"/>
        <v>135052.73367989654</v>
      </c>
      <c r="AZ320" s="772">
        <f t="shared" ca="1" si="156"/>
        <v>135052.73367989654</v>
      </c>
      <c r="BA320" s="772">
        <f t="shared" ca="1" si="156"/>
        <v>135944.15231326025</v>
      </c>
      <c r="BB320" s="772">
        <f t="shared" ca="1" si="156"/>
        <v>135944.15231326025</v>
      </c>
      <c r="BC320" s="772">
        <f t="shared" ca="1" si="156"/>
        <v>135656.73818679777</v>
      </c>
      <c r="BD320" s="772">
        <f t="shared" ca="1" si="156"/>
        <v>135359.86398397008</v>
      </c>
      <c r="BE320" s="772">
        <f t="shared" ca="1" si="156"/>
        <v>135359.86398397008</v>
      </c>
      <c r="BF320" s="772">
        <f t="shared" ca="1" si="156"/>
        <v>135052.73367989654</v>
      </c>
      <c r="BG320" s="772">
        <f t="shared" ca="1" si="156"/>
        <v>135052.73367989654</v>
      </c>
      <c r="BH320" s="772">
        <f t="shared" ca="1" si="155"/>
        <v>134734.48876781005</v>
      </c>
      <c r="BI320" s="772">
        <f t="shared" ca="1" si="155"/>
        <v>134734.48876781005</v>
      </c>
      <c r="BJ320" s="772">
        <f t="shared" ca="1" si="155"/>
        <v>135656.73818679777</v>
      </c>
      <c r="BK320" s="772">
        <f t="shared" ca="1" si="155"/>
        <v>135656.73818679777</v>
      </c>
      <c r="BL320" s="772">
        <f t="shared" ca="1" si="155"/>
        <v>135656.73818679777</v>
      </c>
      <c r="BM320" s="772">
        <f t="shared" ca="1" si="155"/>
        <v>135656.73818679777</v>
      </c>
      <c r="BN320" s="772">
        <f t="shared" ca="1" si="155"/>
        <v>135052.73367989654</v>
      </c>
      <c r="BO320" s="772">
        <f t="shared" ca="1" si="155"/>
        <v>135052.73367989654</v>
      </c>
      <c r="BP320" s="772">
        <f t="shared" ca="1" si="155"/>
        <v>134734.48876781005</v>
      </c>
      <c r="BQ320" s="772">
        <f t="shared" ca="1" si="155"/>
        <v>134734.48876781005</v>
      </c>
      <c r="BR320" s="772">
        <f t="shared" ca="1" si="155"/>
        <v>134404.20216039402</v>
      </c>
      <c r="BS320" s="772">
        <f t="shared" ca="1" si="155"/>
        <v>135656.73818679777</v>
      </c>
      <c r="BT320" s="772">
        <f t="shared" ca="1" si="155"/>
        <v>135656.73818679777</v>
      </c>
      <c r="BU320" s="772">
        <f t="shared" ca="1" si="155"/>
        <v>135656.73818679777</v>
      </c>
      <c r="BV320" s="772">
        <f t="shared" ca="1" si="155"/>
        <v>135359.86398397008</v>
      </c>
      <c r="BW320" s="772">
        <f t="shared" ca="1" si="155"/>
        <v>135359.86398397008</v>
      </c>
      <c r="BX320" s="772">
        <f t="shared" ca="1" si="153"/>
        <v>134734.48876781005</v>
      </c>
      <c r="BY320" s="772">
        <f t="shared" ca="1" si="153"/>
        <v>134734.48876781005</v>
      </c>
      <c r="BZ320" s="772">
        <f t="shared" ca="1" si="153"/>
        <v>134404.20216039402</v>
      </c>
      <c r="CA320" s="772">
        <f t="shared" ca="1" si="153"/>
        <v>134404.20216039402</v>
      </c>
      <c r="CB320" s="772">
        <f t="shared" ca="1" si="153"/>
        <v>135359.86398397008</v>
      </c>
      <c r="CC320" s="772">
        <f t="shared" ca="1" si="153"/>
        <v>135359.86398397008</v>
      </c>
      <c r="CD320" s="772">
        <f t="shared" ca="1" si="153"/>
        <v>135359.86398397008</v>
      </c>
      <c r="CE320" s="772">
        <f t="shared" ca="1" si="153"/>
        <v>135359.86398397008</v>
      </c>
      <c r="CF320" s="772">
        <f t="shared" ca="1" si="153"/>
        <v>135052.73367989654</v>
      </c>
      <c r="CG320" s="772">
        <f t="shared" ca="1" si="153"/>
        <v>134734.48876781005</v>
      </c>
      <c r="CH320" s="772">
        <f t="shared" ca="1" si="153"/>
        <v>134404.20216039402</v>
      </c>
      <c r="CI320" s="772">
        <f t="shared" ca="1" si="153"/>
        <v>134404.20216039402</v>
      </c>
      <c r="CJ320" s="772">
        <f t="shared" ca="1" si="153"/>
        <v>134060.87160132409</v>
      </c>
    </row>
    <row r="321" spans="1:88" ht="15" customHeight="1">
      <c r="A321" s="770">
        <f>'kc-Wert für Stützen'!C321</f>
        <v>373</v>
      </c>
      <c r="B321" s="768">
        <f ca="1">INDIRECT("'kc-Wert für Stützen'!"&amp;SUBSTITUTE(ADDRESS(MATCH($A321,'kc-Wert für Stützen'!$C:$C,0),MATCH(B$7,'kc-Wert für Stützen'!$A$8:$ES$8,0)+7,4),,))</f>
        <v>137248.44706977176</v>
      </c>
      <c r="C321" s="768">
        <f ca="1">INDIRECT("'kc-Wert für Stützen'!"&amp;SUBSTITUTE(ADDRESS(MATCH($A321,'kc-Wert für Stützen'!$C:$C,0),MATCH(C$7,'kc-Wert für Stützen'!$A$8:$ES$8,0)+7,4),,))</f>
        <v>136977.64833220519</v>
      </c>
      <c r="D321" s="768">
        <f ca="1">INDIRECT("'kc-Wert für Stützen'!"&amp;SUBSTITUTE(ADDRESS(MATCH($A321,'kc-Wert für Stützen'!$C:$C,0),MATCH(D$7,'kc-Wert für Stützen'!$A$8:$ES$8,0)+7,4),,))</f>
        <v>136698.86761028442</v>
      </c>
      <c r="E321" s="768">
        <f ca="1">INDIRECT("'kc-Wert für Stützen'!"&amp;SUBSTITUTE(ADDRESS(MATCH($A321,'kc-Wert für Stützen'!$C:$C,0),MATCH(E$7,'kc-Wert für Stützen'!$A$8:$ES$8,0)+7,4),,))</f>
        <v>136411.42314033268</v>
      </c>
      <c r="F321" s="768">
        <f ca="1">INDIRECT("'kc-Wert für Stützen'!"&amp;SUBSTITUTE(ADDRESS(MATCH($A321,'kc-Wert für Stützen'!$C:$C,0),MATCH(F$7,'kc-Wert für Stützen'!$A$8:$ES$8,0)+7,4),,))</f>
        <v>136114.58214357638</v>
      </c>
      <c r="G321" s="768">
        <f ca="1">INDIRECT("'kc-Wert für Stützen'!"&amp;SUBSTITUTE(ADDRESS(MATCH($A321,'kc-Wert für Stützen'!$C:$C,0),MATCH(G$7,'kc-Wert für Stützen'!$A$8:$ES$8,0)+7,4),,))</f>
        <v>135807.55573215269</v>
      </c>
      <c r="H321" s="768">
        <f ca="1">INDIRECT("'kc-Wert für Stützen'!"&amp;SUBSTITUTE(ADDRESS(MATCH($A321,'kc-Wert für Stützen'!$C:$C,0),MATCH(H$7,'kc-Wert für Stützen'!$A$8:$ES$8,0)+7,4),,))</f>
        <v>135489.49336943627</v>
      </c>
      <c r="I321" s="768">
        <f ca="1">INDIRECT("'kc-Wert für Stützen'!"&amp;SUBSTITUTE(ADDRESS(MATCH($A321,'kc-Wert für Stützen'!$C:$C,0),MATCH(I$7,'kc-Wert für Stützen'!$A$8:$ES$8,0)+7,4),,))</f>
        <v>135159.4768620856</v>
      </c>
      <c r="J321" s="768">
        <f ca="1">INDIRECT("'kc-Wert für Stützen'!"&amp;SUBSTITUTE(ADDRESS(MATCH($A321,'kc-Wert für Stützen'!$C:$C,0),MATCH(J$7,'kc-Wert für Stützen'!$A$8:$ES$8,0)+7,4),,))</f>
        <v>134816.51386840749</v>
      </c>
      <c r="K321" s="768">
        <f ca="1">INDIRECT("'kc-Wert für Stützen'!"&amp;SUBSTITUTE(ADDRESS(MATCH($A321,'kc-Wert für Stützen'!$C:$C,0),MATCH(K$7,'kc-Wert für Stützen'!$A$8:$ES$8,0)+7,4),,))</f>
        <v>134459.53091870755</v>
      </c>
      <c r="L321" s="768">
        <f ca="1">INDIRECT("'kc-Wert für Stützen'!"&amp;SUBSTITUTE(ADDRESS(MATCH($A321,'kc-Wert für Stützen'!$C:$C,0),MATCH(L$7,'kc-Wert für Stützen'!$A$8:$ES$8,0)+7,4),,))</f>
        <v>134087.36595956635</v>
      </c>
      <c r="M321" s="768">
        <f ca="1">INDIRECT("'kc-Wert für Stützen'!"&amp;SUBSTITUTE(ADDRESS(MATCH($A321,'kc-Wert für Stützen'!$C:$C,0),MATCH(M$7,'kc-Wert für Stützen'!$A$8:$ES$8,0)+7,4),,))</f>
        <v>133698.7604571491</v>
      </c>
      <c r="N321" s="768">
        <f ca="1">INDIRECT("'kc-Wert für Stützen'!"&amp;SUBSTITUTE(ADDRESS(MATCH($A321,'kc-Wert für Stützen'!$C:$C,0),MATCH(N$7,'kc-Wert für Stützen'!$A$8:$ES$8,0)+7,4),,))</f>
        <v>133292.35112684578</v>
      </c>
      <c r="O321" s="768">
        <f ca="1">INDIRECT("'kc-Wert für Stützen'!"&amp;SUBSTITUTE(ADDRESS(MATCH($A321,'kc-Wert für Stützen'!$C:$C,0),MATCH(O$7,'kc-Wert für Stützen'!$A$8:$ES$8,0)+7,4),,))</f>
        <v>132866.6614003634</v>
      </c>
      <c r="P321" s="768">
        <f ca="1">INDIRECT("'kc-Wert für Stützen'!"&amp;SUBSTITUTE(ADDRESS(MATCH($A321,'kc-Wert für Stützen'!$C:$C,0),MATCH(P$7,'kc-Wert für Stützen'!$A$8:$ES$8,0)+7,4),,))</f>
        <v>132420.09279999387</v>
      </c>
      <c r="S321" s="772">
        <f t="shared" ca="1" si="124"/>
        <v>136698.86761028442</v>
      </c>
      <c r="T321" s="772">
        <f t="shared" ca="1" si="148"/>
        <v>136698.86761028442</v>
      </c>
      <c r="U321" s="772">
        <f t="shared" ca="1" si="148"/>
        <v>136698.86761028442</v>
      </c>
      <c r="V321" s="772">
        <f t="shared" ca="1" si="148"/>
        <v>136411.42314033268</v>
      </c>
      <c r="W321" s="772">
        <f t="shared" ca="1" si="148"/>
        <v>136114.58214357638</v>
      </c>
      <c r="X321" s="772">
        <f t="shared" ca="1" si="148"/>
        <v>135807.55573215269</v>
      </c>
      <c r="Y321" s="772">
        <f t="shared" ca="1" si="148"/>
        <v>135489.49336943627</v>
      </c>
      <c r="Z321" s="772">
        <f t="shared" ca="1" si="148"/>
        <v>136698.86761028442</v>
      </c>
      <c r="AA321" s="772">
        <f t="shared" ca="1" si="148"/>
        <v>136698.86761028442</v>
      </c>
      <c r="AB321" s="772">
        <f t="shared" ca="1" si="149"/>
        <v>136411.42314033268</v>
      </c>
      <c r="AC321" s="772">
        <f t="shared" ref="AC321:AR323" ca="1" si="157">HLOOKUP(AC$7,$A$7:$P$348,ROW()-6)</f>
        <v>136411.42314033268</v>
      </c>
      <c r="AD321" s="772">
        <f t="shared" ca="1" si="157"/>
        <v>136114.58214357638</v>
      </c>
      <c r="AE321" s="772">
        <f t="shared" ca="1" si="157"/>
        <v>136114.58214357638</v>
      </c>
      <c r="AF321" s="772">
        <f t="shared" ca="1" si="157"/>
        <v>135807.55573215269</v>
      </c>
      <c r="AG321" s="772">
        <f t="shared" ca="1" si="157"/>
        <v>135807.55573215269</v>
      </c>
      <c r="AH321" s="772">
        <f t="shared" ca="1" si="157"/>
        <v>135807.55573215269</v>
      </c>
      <c r="AI321" s="772">
        <f t="shared" ca="1" si="157"/>
        <v>136698.86761028442</v>
      </c>
      <c r="AJ321" s="772">
        <f t="shared" ca="1" si="157"/>
        <v>136698.86761028442</v>
      </c>
      <c r="AK321" s="772">
        <f t="shared" ca="1" si="157"/>
        <v>136411.42314033268</v>
      </c>
      <c r="AL321" s="772">
        <f t="shared" ca="1" si="157"/>
        <v>136411.42314033268</v>
      </c>
      <c r="AM321" s="772">
        <f t="shared" ca="1" si="157"/>
        <v>136114.58214357638</v>
      </c>
      <c r="AN321" s="772">
        <f t="shared" ca="1" si="157"/>
        <v>136114.58214357638</v>
      </c>
      <c r="AO321" s="772">
        <f t="shared" ca="1" si="157"/>
        <v>135807.55573215269</v>
      </c>
      <c r="AP321" s="772">
        <f t="shared" ca="1" si="157"/>
        <v>135807.55573215269</v>
      </c>
      <c r="AQ321" s="772">
        <f t="shared" ca="1" si="157"/>
        <v>135807.55573215269</v>
      </c>
      <c r="AR321" s="772">
        <f t="shared" ca="1" si="157"/>
        <v>136698.86761028442</v>
      </c>
      <c r="AS321" s="772">
        <f t="shared" ca="1" si="156"/>
        <v>136698.86761028442</v>
      </c>
      <c r="AT321" s="772">
        <f t="shared" ca="1" si="156"/>
        <v>136411.42314033268</v>
      </c>
      <c r="AU321" s="772">
        <f t="shared" ca="1" si="156"/>
        <v>136411.42314033268</v>
      </c>
      <c r="AV321" s="772">
        <f t="shared" ca="1" si="156"/>
        <v>136114.58214357638</v>
      </c>
      <c r="AW321" s="772">
        <f t="shared" ca="1" si="156"/>
        <v>136114.58214357638</v>
      </c>
      <c r="AX321" s="772">
        <f t="shared" ca="1" si="156"/>
        <v>135807.55573215269</v>
      </c>
      <c r="AY321" s="772">
        <f t="shared" ca="1" si="156"/>
        <v>135807.55573215269</v>
      </c>
      <c r="AZ321" s="772">
        <f t="shared" ca="1" si="156"/>
        <v>135807.55573215269</v>
      </c>
      <c r="BA321" s="772">
        <f t="shared" ca="1" si="156"/>
        <v>136698.86761028442</v>
      </c>
      <c r="BB321" s="772">
        <f t="shared" ca="1" si="156"/>
        <v>136698.86761028442</v>
      </c>
      <c r="BC321" s="772">
        <f t="shared" ca="1" si="156"/>
        <v>136411.42314033268</v>
      </c>
      <c r="BD321" s="772">
        <f t="shared" ca="1" si="156"/>
        <v>136114.58214357638</v>
      </c>
      <c r="BE321" s="772">
        <f t="shared" ca="1" si="156"/>
        <v>136114.58214357638</v>
      </c>
      <c r="BF321" s="772">
        <f t="shared" ca="1" si="156"/>
        <v>135807.55573215269</v>
      </c>
      <c r="BG321" s="772">
        <f t="shared" ca="1" si="156"/>
        <v>135807.55573215269</v>
      </c>
      <c r="BH321" s="772">
        <f t="shared" ca="1" si="155"/>
        <v>135489.49336943627</v>
      </c>
      <c r="BI321" s="772">
        <f t="shared" ca="1" si="155"/>
        <v>135489.49336943627</v>
      </c>
      <c r="BJ321" s="772">
        <f t="shared" ca="1" si="155"/>
        <v>136411.42314033268</v>
      </c>
      <c r="BK321" s="772">
        <f t="shared" ca="1" si="155"/>
        <v>136411.42314033268</v>
      </c>
      <c r="BL321" s="772">
        <f t="shared" ca="1" si="155"/>
        <v>136411.42314033268</v>
      </c>
      <c r="BM321" s="772">
        <f t="shared" ca="1" si="155"/>
        <v>136411.42314033268</v>
      </c>
      <c r="BN321" s="772">
        <f t="shared" ca="1" si="155"/>
        <v>135807.55573215269</v>
      </c>
      <c r="BO321" s="772">
        <f t="shared" ca="1" si="155"/>
        <v>135807.55573215269</v>
      </c>
      <c r="BP321" s="772">
        <f t="shared" ca="1" si="155"/>
        <v>135489.49336943627</v>
      </c>
      <c r="BQ321" s="772">
        <f t="shared" ca="1" si="155"/>
        <v>135489.49336943627</v>
      </c>
      <c r="BR321" s="772">
        <f t="shared" ca="1" si="155"/>
        <v>135159.4768620856</v>
      </c>
      <c r="BS321" s="772">
        <f t="shared" ca="1" si="155"/>
        <v>136411.42314033268</v>
      </c>
      <c r="BT321" s="772">
        <f t="shared" ca="1" si="155"/>
        <v>136411.42314033268</v>
      </c>
      <c r="BU321" s="772">
        <f t="shared" ca="1" si="155"/>
        <v>136411.42314033268</v>
      </c>
      <c r="BV321" s="772">
        <f t="shared" ca="1" si="155"/>
        <v>136114.58214357638</v>
      </c>
      <c r="BW321" s="772">
        <f t="shared" ca="1" si="155"/>
        <v>136114.58214357638</v>
      </c>
      <c r="BX321" s="772">
        <f t="shared" ca="1" si="153"/>
        <v>135489.49336943627</v>
      </c>
      <c r="BY321" s="772">
        <f t="shared" ca="1" si="153"/>
        <v>135489.49336943627</v>
      </c>
      <c r="BZ321" s="772">
        <f t="shared" ca="1" si="153"/>
        <v>135159.4768620856</v>
      </c>
      <c r="CA321" s="772">
        <f t="shared" ca="1" si="153"/>
        <v>135159.4768620856</v>
      </c>
      <c r="CB321" s="772">
        <f t="shared" ca="1" si="153"/>
        <v>136114.58214357638</v>
      </c>
      <c r="CC321" s="772">
        <f t="shared" ca="1" si="153"/>
        <v>136114.58214357638</v>
      </c>
      <c r="CD321" s="772">
        <f t="shared" ca="1" si="153"/>
        <v>136114.58214357638</v>
      </c>
      <c r="CE321" s="772">
        <f t="shared" ca="1" si="153"/>
        <v>136114.58214357638</v>
      </c>
      <c r="CF321" s="772">
        <f t="shared" ca="1" si="153"/>
        <v>135807.55573215269</v>
      </c>
      <c r="CG321" s="772">
        <f t="shared" ca="1" si="153"/>
        <v>135489.49336943627</v>
      </c>
      <c r="CH321" s="772">
        <f t="shared" ca="1" si="153"/>
        <v>135159.4768620856</v>
      </c>
      <c r="CI321" s="772">
        <f t="shared" ca="1" si="153"/>
        <v>135159.4768620856</v>
      </c>
      <c r="CJ321" s="772">
        <f t="shared" ca="1" si="153"/>
        <v>134816.51386840749</v>
      </c>
    </row>
    <row r="322" spans="1:88" ht="15" customHeight="1">
      <c r="A322" s="770">
        <f>'kc-Wert für Stützen'!C322</f>
        <v>374</v>
      </c>
      <c r="B322" s="768">
        <f ca="1">INDIRECT("'kc-Wert für Stützen'!"&amp;SUBSTITUTE(ADDRESS(MATCH($A322,'kc-Wert für Stützen'!$C:$C,0),MATCH(B$7,'kc-Wert für Stützen'!$A$8:$ES$8,0)+7,4),,))</f>
        <v>138005.42788877425</v>
      </c>
      <c r="C322" s="768">
        <f ca="1">INDIRECT("'kc-Wert für Stützen'!"&amp;SUBSTITUTE(ADDRESS(MATCH($A322,'kc-Wert für Stützen'!$C:$C,0),MATCH(C$7,'kc-Wert für Stützen'!$A$8:$ES$8,0)+7,4),,))</f>
        <v>137734.48649064917</v>
      </c>
      <c r="D322" s="768">
        <f ca="1">INDIRECT("'kc-Wert für Stützen'!"&amp;SUBSTITUTE(ADDRESS(MATCH($A322,'kc-Wert für Stützen'!$C:$C,0),MATCH(D$7,'kc-Wert für Stützen'!$A$8:$ES$8,0)+7,4),,))</f>
        <v>137455.61399936234</v>
      </c>
      <c r="E322" s="768">
        <f ca="1">INDIRECT("'kc-Wert für Stützen'!"&amp;SUBSTITUTE(ADDRESS(MATCH($A322,'kc-Wert für Stützen'!$C:$C,0),MATCH(E$7,'kc-Wert für Stützen'!$A$8:$ES$8,0)+7,4),,))</f>
        <v>137168.13428672426</v>
      </c>
      <c r="F322" s="768">
        <f ca="1">INDIRECT("'kc-Wert für Stützen'!"&amp;SUBSTITUTE(ADDRESS(MATCH($A322,'kc-Wert für Stützen'!$C:$C,0),MATCH(F$7,'kc-Wert für Stützen'!$A$8:$ES$8,0)+7,4),,))</f>
        <v>136871.32087026694</v>
      </c>
      <c r="G322" s="768">
        <f ca="1">INDIRECT("'kc-Wert für Stützen'!"&amp;SUBSTITUTE(ADDRESS(MATCH($A322,'kc-Wert für Stützen'!$C:$C,0),MATCH(G$7,'kc-Wert für Stützen'!$A$8:$ES$8,0)+7,4),,))</f>
        <v>136564.39189495178</v>
      </c>
      <c r="H322" s="768">
        <f ca="1">INDIRECT("'kc-Wert für Stützen'!"&amp;SUBSTITUTE(ADDRESS(MATCH($A322,'kc-Wert für Stützen'!$C:$C,0),MATCH(H$7,'kc-Wert für Stützen'!$A$8:$ES$8,0)+7,4),,))</f>
        <v>136246.50467601686</v>
      </c>
      <c r="I322" s="768">
        <f ca="1">INDIRECT("'kc-Wert für Stützen'!"&amp;SUBSTITUTE(ADDRESS(MATCH($A322,'kc-Wert für Stützen'!$C:$C,0),MATCH(I$7,'kc-Wert für Stützen'!$A$8:$ES$8,0)+7,4),,))</f>
        <v>135916.74978020447</v>
      </c>
      <c r="J322" s="768">
        <f ca="1">INDIRECT("'kc-Wert für Stützen'!"&amp;SUBSTITUTE(ADDRESS(MATCH($A322,'kc-Wert für Stützen'!$C:$C,0),MATCH(J$7,'kc-Wert für Stützen'!$A$8:$ES$8,0)+7,4),,))</f>
        <v>135574.14462941265</v>
      </c>
      <c r="K322" s="768">
        <f ca="1">INDIRECT("'kc-Wert für Stützen'!"&amp;SUBSTITUTE(ADDRESS(MATCH($A322,'kc-Wert für Stützen'!$C:$C,0),MATCH(K$7,'kc-Wert für Stützen'!$A$8:$ES$8,0)+7,4),,))</f>
        <v>135217.62662132381</v>
      </c>
      <c r="L322" s="768">
        <f ca="1">INDIRECT("'kc-Wert für Stützen'!"&amp;SUBSTITUTE(ADDRESS(MATCH($A322,'kc-Wert für Stützen'!$C:$C,0),MATCH(L$7,'kc-Wert für Stützen'!$A$8:$ES$8,0)+7,4),,))</f>
        <v>134846.04577704231</v>
      </c>
      <c r="M322" s="768">
        <f ca="1">INDIRECT("'kc-Wert für Stützen'!"&amp;SUBSTITUTE(ADDRESS(MATCH($A322,'kc-Wert für Stützen'!$C:$C,0),MATCH(M$7,'kc-Wert für Stützen'!$A$8:$ES$8,0)+7,4),,))</f>
        <v>134458.1569478538</v>
      </c>
      <c r="N322" s="768">
        <f ca="1">INDIRECT("'kc-Wert für Stützen'!"&amp;SUBSTITUTE(ADDRESS(MATCH($A322,'kc-Wert für Stützen'!$C:$C,0),MATCH(N$7,'kc-Wert für Stützen'!$A$8:$ES$8,0)+7,4),,))</f>
        <v>134052.6116439304</v>
      </c>
      <c r="O322" s="768">
        <f ca="1">INDIRECT("'kc-Wert für Stützen'!"&amp;SUBSTITUTE(ADDRESS(MATCH($A322,'kc-Wert für Stützen'!$C:$C,0),MATCH(O$7,'kc-Wert für Stützen'!$A$8:$ES$8,0)+7,4),,))</f>
        <v>133627.9495896661</v>
      </c>
      <c r="P322" s="768">
        <f ca="1">INDIRECT("'kc-Wert für Stützen'!"&amp;SUBSTITUTE(ADDRESS(MATCH($A322,'kc-Wert für Stützen'!$C:$C,0),MATCH(P$7,'kc-Wert für Stützen'!$A$8:$ES$8,0)+7,4),,))</f>
        <v>133182.59016635385</v>
      </c>
      <c r="S322" s="772">
        <f t="shared" ca="1" si="124"/>
        <v>137455.61399936234</v>
      </c>
      <c r="T322" s="772">
        <f t="shared" ca="1" si="148"/>
        <v>137455.61399936234</v>
      </c>
      <c r="U322" s="772">
        <f t="shared" ca="1" si="148"/>
        <v>137455.61399936234</v>
      </c>
      <c r="V322" s="772">
        <f t="shared" ca="1" si="148"/>
        <v>137168.13428672426</v>
      </c>
      <c r="W322" s="772">
        <f t="shared" ca="1" si="148"/>
        <v>136871.32087026694</v>
      </c>
      <c r="X322" s="772">
        <f t="shared" ca="1" si="148"/>
        <v>136564.39189495178</v>
      </c>
      <c r="Y322" s="772">
        <f t="shared" ca="1" si="148"/>
        <v>136246.50467601686</v>
      </c>
      <c r="Z322" s="772">
        <f t="shared" ca="1" si="148"/>
        <v>137455.61399936234</v>
      </c>
      <c r="AA322" s="772">
        <f t="shared" ca="1" si="148"/>
        <v>137455.61399936234</v>
      </c>
      <c r="AB322" s="772">
        <f t="shared" ref="AB322:AI323" ca="1" si="158">HLOOKUP(AB$7,$A$7:$P$348,ROW()-6)</f>
        <v>137168.13428672426</v>
      </c>
      <c r="AC322" s="772">
        <f t="shared" ca="1" si="158"/>
        <v>137168.13428672426</v>
      </c>
      <c r="AD322" s="772">
        <f t="shared" ca="1" si="158"/>
        <v>136871.32087026694</v>
      </c>
      <c r="AE322" s="772">
        <f t="shared" ca="1" si="158"/>
        <v>136871.32087026694</v>
      </c>
      <c r="AF322" s="772">
        <f t="shared" ca="1" si="158"/>
        <v>136564.39189495178</v>
      </c>
      <c r="AG322" s="772">
        <f t="shared" ca="1" si="158"/>
        <v>136564.39189495178</v>
      </c>
      <c r="AH322" s="772">
        <f t="shared" ca="1" si="158"/>
        <v>136564.39189495178</v>
      </c>
      <c r="AI322" s="772">
        <f t="shared" ca="1" si="158"/>
        <v>137455.61399936234</v>
      </c>
      <c r="AJ322" s="772">
        <f t="shared" ca="1" si="157"/>
        <v>137455.61399936234</v>
      </c>
      <c r="AK322" s="772">
        <f t="shared" ca="1" si="157"/>
        <v>137168.13428672426</v>
      </c>
      <c r="AL322" s="772">
        <f t="shared" ca="1" si="157"/>
        <v>137168.13428672426</v>
      </c>
      <c r="AM322" s="772">
        <f t="shared" ca="1" si="157"/>
        <v>136871.32087026694</v>
      </c>
      <c r="AN322" s="772">
        <f t="shared" ca="1" si="157"/>
        <v>136871.32087026694</v>
      </c>
      <c r="AO322" s="772">
        <f t="shared" ca="1" si="157"/>
        <v>136564.39189495178</v>
      </c>
      <c r="AP322" s="772">
        <f t="shared" ca="1" si="157"/>
        <v>136564.39189495178</v>
      </c>
      <c r="AQ322" s="772">
        <f t="shared" ca="1" si="157"/>
        <v>136564.39189495178</v>
      </c>
      <c r="AR322" s="772">
        <f t="shared" ca="1" si="157"/>
        <v>137455.61399936234</v>
      </c>
      <c r="AS322" s="772">
        <f t="shared" ca="1" si="156"/>
        <v>137455.61399936234</v>
      </c>
      <c r="AT322" s="772">
        <f t="shared" ca="1" si="156"/>
        <v>137168.13428672426</v>
      </c>
      <c r="AU322" s="772">
        <f t="shared" ca="1" si="156"/>
        <v>137168.13428672426</v>
      </c>
      <c r="AV322" s="772">
        <f t="shared" ca="1" si="156"/>
        <v>136871.32087026694</v>
      </c>
      <c r="AW322" s="772">
        <f t="shared" ca="1" si="156"/>
        <v>136871.32087026694</v>
      </c>
      <c r="AX322" s="772">
        <f t="shared" ca="1" si="156"/>
        <v>136564.39189495178</v>
      </c>
      <c r="AY322" s="772">
        <f t="shared" ca="1" si="156"/>
        <v>136564.39189495178</v>
      </c>
      <c r="AZ322" s="772">
        <f t="shared" ca="1" si="156"/>
        <v>136564.39189495178</v>
      </c>
      <c r="BA322" s="772">
        <f t="shared" ca="1" si="156"/>
        <v>137455.61399936234</v>
      </c>
      <c r="BB322" s="772">
        <f t="shared" ca="1" si="156"/>
        <v>137455.61399936234</v>
      </c>
      <c r="BC322" s="772">
        <f t="shared" ca="1" si="156"/>
        <v>137168.13428672426</v>
      </c>
      <c r="BD322" s="772">
        <f t="shared" ca="1" si="156"/>
        <v>136871.32087026694</v>
      </c>
      <c r="BE322" s="772">
        <f t="shared" ca="1" si="156"/>
        <v>136871.32087026694</v>
      </c>
      <c r="BF322" s="772">
        <f t="shared" ca="1" si="156"/>
        <v>136564.39189495178</v>
      </c>
      <c r="BG322" s="772">
        <f t="shared" ca="1" si="156"/>
        <v>136564.39189495178</v>
      </c>
      <c r="BH322" s="772">
        <f t="shared" ca="1" si="155"/>
        <v>136246.50467601686</v>
      </c>
      <c r="BI322" s="772">
        <f t="shared" ca="1" si="155"/>
        <v>136246.50467601686</v>
      </c>
      <c r="BJ322" s="772">
        <f t="shared" ca="1" si="155"/>
        <v>137168.13428672426</v>
      </c>
      <c r="BK322" s="772">
        <f t="shared" ca="1" si="155"/>
        <v>137168.13428672426</v>
      </c>
      <c r="BL322" s="772">
        <f t="shared" ca="1" si="155"/>
        <v>137168.13428672426</v>
      </c>
      <c r="BM322" s="772">
        <f t="shared" ca="1" si="155"/>
        <v>137168.13428672426</v>
      </c>
      <c r="BN322" s="772">
        <f t="shared" ca="1" si="155"/>
        <v>136564.39189495178</v>
      </c>
      <c r="BO322" s="772">
        <f t="shared" ca="1" si="155"/>
        <v>136564.39189495178</v>
      </c>
      <c r="BP322" s="772">
        <f t="shared" ca="1" si="155"/>
        <v>136246.50467601686</v>
      </c>
      <c r="BQ322" s="772">
        <f t="shared" ca="1" si="155"/>
        <v>136246.50467601686</v>
      </c>
      <c r="BR322" s="772">
        <f t="shared" ca="1" si="155"/>
        <v>135916.74978020447</v>
      </c>
      <c r="BS322" s="772">
        <f t="shared" ca="1" si="155"/>
        <v>137168.13428672426</v>
      </c>
      <c r="BT322" s="772">
        <f t="shared" ca="1" si="155"/>
        <v>137168.13428672426</v>
      </c>
      <c r="BU322" s="772">
        <f t="shared" ca="1" si="155"/>
        <v>137168.13428672426</v>
      </c>
      <c r="BV322" s="772">
        <f t="shared" ca="1" si="155"/>
        <v>136871.32087026694</v>
      </c>
      <c r="BW322" s="772">
        <f t="shared" ca="1" si="155"/>
        <v>136871.32087026694</v>
      </c>
      <c r="BX322" s="772">
        <f t="shared" ca="1" si="153"/>
        <v>136246.50467601686</v>
      </c>
      <c r="BY322" s="772">
        <f t="shared" ca="1" si="153"/>
        <v>136246.50467601686</v>
      </c>
      <c r="BZ322" s="772">
        <f t="shared" ca="1" si="153"/>
        <v>135916.74978020447</v>
      </c>
      <c r="CA322" s="772">
        <f t="shared" ca="1" si="153"/>
        <v>135916.74978020447</v>
      </c>
      <c r="CB322" s="772">
        <f t="shared" ca="1" si="153"/>
        <v>136871.32087026694</v>
      </c>
      <c r="CC322" s="772">
        <f t="shared" ca="1" si="153"/>
        <v>136871.32087026694</v>
      </c>
      <c r="CD322" s="772">
        <f t="shared" ca="1" si="153"/>
        <v>136871.32087026694</v>
      </c>
      <c r="CE322" s="772">
        <f t="shared" ca="1" si="153"/>
        <v>136871.32087026694</v>
      </c>
      <c r="CF322" s="772">
        <f t="shared" ca="1" si="153"/>
        <v>136564.39189495178</v>
      </c>
      <c r="CG322" s="772">
        <f t="shared" ca="1" si="153"/>
        <v>136246.50467601686</v>
      </c>
      <c r="CH322" s="772">
        <f t="shared" ca="1" si="153"/>
        <v>135916.74978020447</v>
      </c>
      <c r="CI322" s="772">
        <f t="shared" ca="1" si="153"/>
        <v>135916.74978020447</v>
      </c>
      <c r="CJ322" s="772">
        <f t="shared" ca="1" si="153"/>
        <v>135574.14462941265</v>
      </c>
    </row>
    <row r="323" spans="1:88" ht="15" customHeight="1">
      <c r="A323" s="770">
        <f>'kc-Wert für Stützen'!C323</f>
        <v>375</v>
      </c>
      <c r="B323" s="768">
        <f ca="1">INDIRECT("'kc-Wert für Stützen'!"&amp;SUBSTITUTE(ADDRESS(MATCH($A323,'kc-Wert für Stützen'!$C:$C,0),MATCH(B$7,'kc-Wert für Stützen'!$A$8:$ES$8,0)+7,4),,))</f>
        <v>138764.4480310042</v>
      </c>
      <c r="C323" s="768">
        <f ca="1">INDIRECT("'kc-Wert für Stützen'!"&amp;SUBSTITUTE(ADDRESS(MATCH($A323,'kc-Wert für Stützen'!$C:$C,0),MATCH(C$7,'kc-Wert für Stützen'!$A$8:$ES$8,0)+7,4),,))</f>
        <v>138493.36031186307</v>
      </c>
      <c r="D323" s="768">
        <f ca="1">INDIRECT("'kc-Wert für Stützen'!"&amp;SUBSTITUTE(ADDRESS(MATCH($A323,'kc-Wert für Stützen'!$C:$C,0),MATCH(D$7,'kc-Wert für Stützen'!$A$8:$ES$8,0)+7,4),,))</f>
        <v>138214.3918448344</v>
      </c>
      <c r="E323" s="768">
        <f ca="1">INDIRECT("'kc-Wert für Stützen'!"&amp;SUBSTITUTE(ADDRESS(MATCH($A323,'kc-Wert für Stützen'!$C:$C,0),MATCH(E$7,'kc-Wert für Stützen'!$A$8:$ES$8,0)+7,4),,))</f>
        <v>137926.87205833959</v>
      </c>
      <c r="F323" s="768">
        <f ca="1">INDIRECT("'kc-Wert für Stützen'!"&amp;SUBSTITUTE(ADDRESS(MATCH($A323,'kc-Wert für Stützen'!$C:$C,0),MATCH(F$7,'kc-Wert für Stützen'!$A$8:$ES$8,0)+7,4),,))</f>
        <v>137630.08067632923</v>
      </c>
      <c r="G323" s="768">
        <f ca="1">INDIRECT("'kc-Wert für Stützen'!"&amp;SUBSTITUTE(ADDRESS(MATCH($A323,'kc-Wert für Stützen'!$C:$C,0),MATCH(G$7,'kc-Wert für Stützen'!$A$8:$ES$8,0)+7,4),,))</f>
        <v>137323.24277433861</v>
      </c>
      <c r="H323" s="768">
        <f ca="1">INDIRECT("'kc-Wert für Stützen'!"&amp;SUBSTITUTE(ADDRESS(MATCH($A323,'kc-Wert für Stützen'!$C:$C,0),MATCH(H$7,'kc-Wert für Stützen'!$A$8:$ES$8,0)+7,4),,))</f>
        <v>137005.52340341211</v>
      </c>
      <c r="I323" s="768">
        <f ca="1">INDIRECT("'kc-Wert für Stützen'!"&amp;SUBSTITUTE(ADDRESS(MATCH($A323,'kc-Wert für Stützen'!$C:$C,0),MATCH(I$7,'kc-Wert für Stützen'!$A$8:$ES$8,0)+7,4),,))</f>
        <v>136676.02175900646</v>
      </c>
      <c r="J323" s="768">
        <f ca="1">INDIRECT("'kc-Wert für Stützen'!"&amp;SUBSTITUTE(ADDRESS(MATCH($A323,'kc-Wert für Stützen'!$C:$C,0),MATCH(J$7,'kc-Wert für Stützen'!$A$8:$ES$8,0)+7,4),,))</f>
        <v>136333.76487841242</v>
      </c>
      <c r="K323" s="768">
        <f ca="1">INDIRECT("'kc-Wert für Stützen'!"&amp;SUBSTITUTE(ADDRESS(MATCH($A323,'kc-Wert für Stützen'!$C:$C,0),MATCH(K$7,'kc-Wert für Stützen'!$A$8:$ES$8,0)+7,4),,))</f>
        <v>135977.70086020607</v>
      </c>
      <c r="L323" s="768">
        <f ca="1">INDIRECT("'kc-Wert für Stützen'!"&amp;SUBSTITUTE(ADDRESS(MATCH($A323,'kc-Wert für Stützen'!$C:$C,0),MATCH(L$7,'kc-Wert für Stützen'!$A$8:$ES$8,0)+7,4),,))</f>
        <v>135606.69161397059</v>
      </c>
      <c r="M323" s="768">
        <f ca="1">INDIRECT("'kc-Wert für Stützen'!"&amp;SUBSTITUTE(ADDRESS(MATCH($A323,'kc-Wert für Stützen'!$C:$C,0),MATCH(M$7,'kc-Wert für Stützen'!$A$8:$ES$8,0)+7,4),,))</f>
        <v>135219.50516956829</v>
      </c>
      <c r="N323" s="768">
        <f ca="1">INDIRECT("'kc-Wert für Stützen'!"&amp;SUBSTITUTE(ADDRESS(MATCH($A323,'kc-Wert für Stützen'!$C:$C,0),MATCH(N$7,'kc-Wert für Stützen'!$A$8:$ES$8,0)+7,4),,))</f>
        <v>134814.80760454902</v>
      </c>
      <c r="O323" s="768">
        <f ca="1">INDIRECT("'kc-Wert für Stützen'!"&amp;SUBSTITUTE(ADDRESS(MATCH($A323,'kc-Wert für Stützen'!$C:$C,0),MATCH(O$7,'kc-Wert für Stützen'!$A$8:$ES$8,0)+7,4),,))</f>
        <v>134391.15468826235</v>
      </c>
      <c r="P323" s="768">
        <f ca="1">INDIRECT("'kc-Wert für Stützen'!"&amp;SUBSTITUTE(ADDRESS(MATCH($A323,'kc-Wert für Stützen'!$C:$C,0),MATCH(P$7,'kc-Wert für Stützen'!$A$8:$ES$8,0)+7,4),,))</f>
        <v>133946.98339481052</v>
      </c>
      <c r="S323" s="772">
        <f t="shared" ca="1" si="124"/>
        <v>138214.3918448344</v>
      </c>
      <c r="T323" s="772">
        <f t="shared" ca="1" si="148"/>
        <v>138214.3918448344</v>
      </c>
      <c r="U323" s="772">
        <f t="shared" ca="1" si="148"/>
        <v>138214.3918448344</v>
      </c>
      <c r="V323" s="772">
        <f t="shared" ca="1" si="148"/>
        <v>137926.87205833959</v>
      </c>
      <c r="W323" s="772">
        <f t="shared" ca="1" si="148"/>
        <v>137630.08067632923</v>
      </c>
      <c r="X323" s="772">
        <f t="shared" ca="1" si="148"/>
        <v>137323.24277433861</v>
      </c>
      <c r="Y323" s="772">
        <f t="shared" ca="1" si="148"/>
        <v>137005.52340341211</v>
      </c>
      <c r="Z323" s="772">
        <f t="shared" ca="1" si="148"/>
        <v>138214.3918448344</v>
      </c>
      <c r="AA323" s="772">
        <f t="shared" ca="1" si="148"/>
        <v>138214.3918448344</v>
      </c>
      <c r="AB323" s="772">
        <f t="shared" ca="1" si="158"/>
        <v>137926.87205833959</v>
      </c>
      <c r="AC323" s="772">
        <f t="shared" ca="1" si="158"/>
        <v>137926.87205833959</v>
      </c>
      <c r="AD323" s="772">
        <f t="shared" ca="1" si="158"/>
        <v>137630.08067632923</v>
      </c>
      <c r="AE323" s="772">
        <f t="shared" ca="1" si="158"/>
        <v>137630.08067632923</v>
      </c>
      <c r="AF323" s="772">
        <f t="shared" ca="1" si="158"/>
        <v>137323.24277433861</v>
      </c>
      <c r="AG323" s="772">
        <f t="shared" ca="1" si="158"/>
        <v>137323.24277433861</v>
      </c>
      <c r="AH323" s="772">
        <f t="shared" ca="1" si="158"/>
        <v>137323.24277433861</v>
      </c>
      <c r="AI323" s="772">
        <f t="shared" ca="1" si="158"/>
        <v>138214.3918448344</v>
      </c>
      <c r="AJ323" s="772">
        <f t="shared" ca="1" si="157"/>
        <v>138214.3918448344</v>
      </c>
      <c r="AK323" s="772">
        <f t="shared" ca="1" si="157"/>
        <v>137926.87205833959</v>
      </c>
      <c r="AL323" s="772">
        <f t="shared" ca="1" si="157"/>
        <v>137926.87205833959</v>
      </c>
      <c r="AM323" s="772">
        <f t="shared" ca="1" si="157"/>
        <v>137630.08067632923</v>
      </c>
      <c r="AN323" s="772">
        <f t="shared" ca="1" si="157"/>
        <v>137630.08067632923</v>
      </c>
      <c r="AO323" s="772">
        <f t="shared" ca="1" si="157"/>
        <v>137323.24277433861</v>
      </c>
      <c r="AP323" s="772">
        <f t="shared" ca="1" si="157"/>
        <v>137323.24277433861</v>
      </c>
      <c r="AQ323" s="772">
        <f t="shared" ca="1" si="157"/>
        <v>137323.24277433861</v>
      </c>
      <c r="AR323" s="772">
        <f t="shared" ca="1" si="157"/>
        <v>138214.3918448344</v>
      </c>
      <c r="AS323" s="772">
        <f t="shared" ca="1" si="156"/>
        <v>138214.3918448344</v>
      </c>
      <c r="AT323" s="772">
        <f t="shared" ca="1" si="156"/>
        <v>137926.87205833959</v>
      </c>
      <c r="AU323" s="772">
        <f t="shared" ca="1" si="156"/>
        <v>137926.87205833959</v>
      </c>
      <c r="AV323" s="772">
        <f t="shared" ca="1" si="156"/>
        <v>137630.08067632923</v>
      </c>
      <c r="AW323" s="772">
        <f t="shared" ca="1" si="156"/>
        <v>137630.08067632923</v>
      </c>
      <c r="AX323" s="772">
        <f t="shared" ca="1" si="156"/>
        <v>137323.24277433861</v>
      </c>
      <c r="AY323" s="772">
        <f t="shared" ca="1" si="156"/>
        <v>137323.24277433861</v>
      </c>
      <c r="AZ323" s="772">
        <f t="shared" ca="1" si="156"/>
        <v>137323.24277433861</v>
      </c>
      <c r="BA323" s="772">
        <f t="shared" ca="1" si="156"/>
        <v>138214.3918448344</v>
      </c>
      <c r="BB323" s="772">
        <f t="shared" ca="1" si="156"/>
        <v>138214.3918448344</v>
      </c>
      <c r="BC323" s="772">
        <f t="shared" ca="1" si="156"/>
        <v>137926.87205833959</v>
      </c>
      <c r="BD323" s="772">
        <f t="shared" ca="1" si="156"/>
        <v>137630.08067632923</v>
      </c>
      <c r="BE323" s="772">
        <f t="shared" ca="1" si="156"/>
        <v>137630.08067632923</v>
      </c>
      <c r="BF323" s="772">
        <f t="shared" ca="1" si="156"/>
        <v>137323.24277433861</v>
      </c>
      <c r="BG323" s="772">
        <f t="shared" ca="1" si="156"/>
        <v>137323.24277433861</v>
      </c>
      <c r="BH323" s="772">
        <f t="shared" ca="1" si="155"/>
        <v>137005.52340341211</v>
      </c>
      <c r="BI323" s="772">
        <f t="shared" ca="1" si="155"/>
        <v>137005.52340341211</v>
      </c>
      <c r="BJ323" s="772">
        <f t="shared" ca="1" si="155"/>
        <v>137926.87205833959</v>
      </c>
      <c r="BK323" s="772">
        <f t="shared" ca="1" si="155"/>
        <v>137926.87205833959</v>
      </c>
      <c r="BL323" s="772">
        <f t="shared" ca="1" si="155"/>
        <v>137926.87205833959</v>
      </c>
      <c r="BM323" s="772">
        <f t="shared" ca="1" si="155"/>
        <v>137926.87205833959</v>
      </c>
      <c r="BN323" s="772">
        <f t="shared" ca="1" si="155"/>
        <v>137323.24277433861</v>
      </c>
      <c r="BO323" s="772">
        <f t="shared" ca="1" si="155"/>
        <v>137323.24277433861</v>
      </c>
      <c r="BP323" s="772">
        <f t="shared" ca="1" si="155"/>
        <v>137005.52340341211</v>
      </c>
      <c r="BQ323" s="772">
        <f t="shared" ca="1" si="155"/>
        <v>137005.52340341211</v>
      </c>
      <c r="BR323" s="772">
        <f t="shared" ca="1" si="155"/>
        <v>136676.02175900646</v>
      </c>
      <c r="BS323" s="772">
        <f t="shared" ca="1" si="155"/>
        <v>137926.87205833959</v>
      </c>
      <c r="BT323" s="772">
        <f t="shared" ca="1" si="155"/>
        <v>137926.87205833959</v>
      </c>
      <c r="BU323" s="772">
        <f t="shared" ca="1" si="155"/>
        <v>137926.87205833959</v>
      </c>
      <c r="BV323" s="772">
        <f t="shared" ca="1" si="155"/>
        <v>137630.08067632923</v>
      </c>
      <c r="BW323" s="772">
        <f t="shared" ca="1" si="155"/>
        <v>137630.08067632923</v>
      </c>
      <c r="BX323" s="772">
        <f t="shared" ca="1" si="153"/>
        <v>137005.52340341211</v>
      </c>
      <c r="BY323" s="772">
        <f t="shared" ca="1" si="153"/>
        <v>137005.52340341211</v>
      </c>
      <c r="BZ323" s="772">
        <f t="shared" ca="1" si="153"/>
        <v>136676.02175900646</v>
      </c>
      <c r="CA323" s="772">
        <f t="shared" ca="1" si="153"/>
        <v>136676.02175900646</v>
      </c>
      <c r="CB323" s="772">
        <f t="shared" ca="1" si="153"/>
        <v>137630.08067632923</v>
      </c>
      <c r="CC323" s="772">
        <f t="shared" ca="1" si="153"/>
        <v>137630.08067632923</v>
      </c>
      <c r="CD323" s="772">
        <f t="shared" ca="1" si="153"/>
        <v>137630.08067632923</v>
      </c>
      <c r="CE323" s="772">
        <f t="shared" ca="1" si="153"/>
        <v>137630.08067632923</v>
      </c>
      <c r="CF323" s="772">
        <f t="shared" ca="1" si="153"/>
        <v>137323.24277433861</v>
      </c>
      <c r="CG323" s="772">
        <f t="shared" ca="1" si="153"/>
        <v>137005.52340341211</v>
      </c>
      <c r="CH323" s="772">
        <f t="shared" ca="1" si="153"/>
        <v>136676.02175900646</v>
      </c>
      <c r="CI323" s="772">
        <f t="shared" ca="1" si="153"/>
        <v>136676.02175900646</v>
      </c>
      <c r="CJ323" s="772">
        <f t="shared" ca="1" si="153"/>
        <v>136333.76487841242</v>
      </c>
    </row>
    <row r="324" spans="1:88" ht="15" customHeight="1">
      <c r="A324" s="770">
        <f>'kc-Wert für Stützen'!C324</f>
        <v>376</v>
      </c>
      <c r="B324" s="768">
        <f ca="1">INDIRECT("'kc-Wert für Stützen'!"&amp;SUBSTITUTE(ADDRESS(MATCH($A324,'kc-Wert für Stützen'!$C:$C,0),MATCH(B$7,'kc-Wert für Stützen'!$A$8:$ES$8,0)+7,4),,))</f>
        <v>139525.50774985048</v>
      </c>
      <c r="C324" s="768">
        <f ca="1">INDIRECT("'kc-Wert für Stützen'!"&amp;SUBSTITUTE(ADDRESS(MATCH($A324,'kc-Wert für Stützen'!$C:$C,0),MATCH(C$7,'kc-Wert für Stützen'!$A$8:$ES$8,0)+7,4),,))</f>
        <v>139254.27009745818</v>
      </c>
      <c r="D324" s="768">
        <f ca="1">INDIRECT("'kc-Wert für Stützen'!"&amp;SUBSTITUTE(ADDRESS(MATCH($A324,'kc-Wert für Stützen'!$C:$C,0),MATCH(D$7,'kc-Wert für Stützen'!$A$8:$ES$8,0)+7,4),,))</f>
        <v>138975.20150509427</v>
      </c>
      <c r="E324" s="768">
        <f ca="1">INDIRECT("'kc-Wert für Stützen'!"&amp;SUBSTITUTE(ADDRESS(MATCH($A324,'kc-Wert für Stützen'!$C:$C,0),MATCH(E$7,'kc-Wert für Stützen'!$A$8:$ES$8,0)+7,4),,))</f>
        <v>138687.63688034946</v>
      </c>
      <c r="F324" s="768">
        <f ca="1">INDIRECT("'kc-Wert für Stützen'!"&amp;SUBSTITUTE(ADDRESS(MATCH($A324,'kc-Wert für Stützen'!$C:$C,0),MATCH(F$7,'kc-Wert für Stützen'!$A$8:$ES$8,0)+7,4),,))</f>
        <v>138390.86206536164</v>
      </c>
      <c r="G324" s="768">
        <f ca="1">INDIRECT("'kc-Wert für Stützen'!"&amp;SUBSTITUTE(ADDRESS(MATCH($A324,'kc-Wert für Stützen'!$C:$C,0),MATCH(G$7,'kc-Wert für Stützen'!$A$8:$ES$8,0)+7,4),,))</f>
        <v>138084.10896589057</v>
      </c>
      <c r="H324" s="768">
        <f ca="1">INDIRECT("'kc-Wert für Stützen'!"&amp;SUBSTITUTE(ADDRESS(MATCH($A324,'kc-Wert für Stützen'!$C:$C,0),MATCH(H$7,'kc-Wert für Stützen'!$A$8:$ES$8,0)+7,4),,))</f>
        <v>137766.55025490228</v>
      </c>
      <c r="I324" s="768">
        <f ca="1">INDIRECT("'kc-Wert für Stützen'!"&amp;SUBSTITUTE(ADDRESS(MATCH($A324,'kc-Wert für Stützen'!$C:$C,0),MATCH(I$7,'kc-Wert für Stützen'!$A$8:$ES$8,0)+7,4),,))</f>
        <v>137437.29362766645</v>
      </c>
      <c r="J324" s="768">
        <f ca="1">INDIRECT("'kc-Wert für Stützen'!"&amp;SUBSTITUTE(ADDRESS(MATCH($A324,'kc-Wert für Stützen'!$C:$C,0),MATCH(J$7,'kc-Wert für Stützen'!$A$8:$ES$8,0)+7,4),,))</f>
        <v>137095.37559144892</v>
      </c>
      <c r="K324" s="768">
        <f ca="1">INDIRECT("'kc-Wert für Stützen'!"&amp;SUBSTITUTE(ADDRESS(MATCH($A324,'kc-Wert für Stützen'!$C:$C,0),MATCH(K$7,'kc-Wert für Stützen'!$A$8:$ES$8,0)+7,4),,))</f>
        <v>136739.75478234101</v>
      </c>
      <c r="L324" s="768">
        <f ca="1">INDIRECT("'kc-Wert für Stützen'!"&amp;SUBSTITUTE(ADDRESS(MATCH($A324,'kc-Wert für Stützen'!$C:$C,0),MATCH(L$7,'kc-Wert für Stützen'!$A$8:$ES$8,0)+7,4),,))</f>
        <v>136369.3048157813</v>
      </c>
      <c r="M324" s="768">
        <f ca="1">INDIRECT("'kc-Wert für Stützen'!"&amp;SUBSTITUTE(ADDRESS(MATCH($A324,'kc-Wert für Stützen'!$C:$C,0),MATCH(M$7,'kc-Wert für Stützen'!$A$8:$ES$8,0)+7,4),,))</f>
        <v>135982.80669737485</v>
      </c>
      <c r="N324" s="768">
        <f ca="1">INDIRECT("'kc-Wert für Stützen'!"&amp;SUBSTITUTE(ADDRESS(MATCH($A324,'kc-Wert für Stützen'!$C:$C,0),MATCH(N$7,'kc-Wert für Stützen'!$A$8:$ES$8,0)+7,4),,))</f>
        <v>135578.94084857687</v>
      </c>
      <c r="O324" s="768">
        <f ca="1">INDIRECT("'kc-Wert für Stützen'!"&amp;SUBSTITUTE(ADDRESS(MATCH($A324,'kc-Wert für Stützen'!$C:$C,0),MATCH(O$7,'kc-Wert für Stützen'!$A$8:$ES$8,0)+7,4),,))</f>
        <v>135156.27884000065</v>
      </c>
      <c r="P324" s="768">
        <f ca="1">INDIRECT("'kc-Wert für Stützen'!"&amp;SUBSTITUTE(ADDRESS(MATCH($A324,'kc-Wert für Stützen'!$C:$C,0),MATCH(P$7,'kc-Wert für Stützen'!$A$8:$ES$8,0)+7,4),,))</f>
        <v>134713.27497632444</v>
      </c>
      <c r="S324" s="772">
        <f t="shared" ca="1" si="124"/>
        <v>138975.20150509427</v>
      </c>
      <c r="T324" s="772">
        <f t="shared" ca="1" si="148"/>
        <v>138975.20150509427</v>
      </c>
      <c r="U324" s="772">
        <f t="shared" ca="1" si="148"/>
        <v>138975.20150509427</v>
      </c>
      <c r="V324" s="772">
        <f t="shared" ca="1" si="148"/>
        <v>138687.63688034946</v>
      </c>
      <c r="W324" s="772">
        <f t="shared" ca="1" si="148"/>
        <v>138390.86206536164</v>
      </c>
      <c r="X324" s="772">
        <f t="shared" ca="1" si="148"/>
        <v>138084.10896589057</v>
      </c>
      <c r="Y324" s="772">
        <f t="shared" ca="1" si="148"/>
        <v>137766.55025490228</v>
      </c>
      <c r="Z324" s="772">
        <f t="shared" ca="1" si="148"/>
        <v>138975.20150509427</v>
      </c>
      <c r="AA324" s="772">
        <f t="shared" ca="1" si="148"/>
        <v>138975.20150509427</v>
      </c>
      <c r="AB324" s="772">
        <f t="shared" ref="AB324:AQ330" ca="1" si="159">HLOOKUP(AB$7,$A$7:$P$348,ROW()-6)</f>
        <v>138687.63688034946</v>
      </c>
      <c r="AC324" s="772">
        <f t="shared" ca="1" si="159"/>
        <v>138687.63688034946</v>
      </c>
      <c r="AD324" s="772">
        <f t="shared" ca="1" si="159"/>
        <v>138390.86206536164</v>
      </c>
      <c r="AE324" s="772">
        <f t="shared" ca="1" si="159"/>
        <v>138390.86206536164</v>
      </c>
      <c r="AF324" s="772">
        <f t="shared" ca="1" si="159"/>
        <v>138084.10896589057</v>
      </c>
      <c r="AG324" s="772">
        <f t="shared" ca="1" si="159"/>
        <v>138084.10896589057</v>
      </c>
      <c r="AH324" s="772">
        <f t="shared" ca="1" si="159"/>
        <v>138084.10896589057</v>
      </c>
      <c r="AI324" s="772">
        <f t="shared" ca="1" si="159"/>
        <v>138975.20150509427</v>
      </c>
      <c r="AJ324" s="772">
        <f t="shared" ca="1" si="159"/>
        <v>138975.20150509427</v>
      </c>
      <c r="AK324" s="772">
        <f t="shared" ca="1" si="159"/>
        <v>138687.63688034946</v>
      </c>
      <c r="AL324" s="772">
        <f t="shared" ca="1" si="159"/>
        <v>138687.63688034946</v>
      </c>
      <c r="AM324" s="772">
        <f t="shared" ca="1" si="159"/>
        <v>138390.86206536164</v>
      </c>
      <c r="AN324" s="772">
        <f t="shared" ca="1" si="159"/>
        <v>138390.86206536164</v>
      </c>
      <c r="AO324" s="772">
        <f t="shared" ca="1" si="159"/>
        <v>138084.10896589057</v>
      </c>
      <c r="AP324" s="772">
        <f t="shared" ca="1" si="159"/>
        <v>138084.10896589057</v>
      </c>
      <c r="AQ324" s="772">
        <f t="shared" ca="1" si="159"/>
        <v>138084.10896589057</v>
      </c>
      <c r="AR324" s="772">
        <f t="shared" ca="1" si="156"/>
        <v>138975.20150509427</v>
      </c>
      <c r="AS324" s="772">
        <f t="shared" ca="1" si="156"/>
        <v>138975.20150509427</v>
      </c>
      <c r="AT324" s="772">
        <f t="shared" ca="1" si="156"/>
        <v>138687.63688034946</v>
      </c>
      <c r="AU324" s="772">
        <f t="shared" ca="1" si="156"/>
        <v>138687.63688034946</v>
      </c>
      <c r="AV324" s="772">
        <f t="shared" ca="1" si="156"/>
        <v>138390.86206536164</v>
      </c>
      <c r="AW324" s="772">
        <f t="shared" ca="1" si="156"/>
        <v>138390.86206536164</v>
      </c>
      <c r="AX324" s="772">
        <f t="shared" ca="1" si="156"/>
        <v>138084.10896589057</v>
      </c>
      <c r="AY324" s="772">
        <f t="shared" ca="1" si="156"/>
        <v>138084.10896589057</v>
      </c>
      <c r="AZ324" s="772">
        <f t="shared" ca="1" si="156"/>
        <v>138084.10896589057</v>
      </c>
      <c r="BA324" s="772">
        <f t="shared" ca="1" si="156"/>
        <v>138975.20150509427</v>
      </c>
      <c r="BB324" s="772">
        <f t="shared" ca="1" si="156"/>
        <v>138975.20150509427</v>
      </c>
      <c r="BC324" s="772">
        <f t="shared" ca="1" si="156"/>
        <v>138687.63688034946</v>
      </c>
      <c r="BD324" s="772">
        <f t="shared" ca="1" si="156"/>
        <v>138390.86206536164</v>
      </c>
      <c r="BE324" s="772">
        <f t="shared" ca="1" si="156"/>
        <v>138390.86206536164</v>
      </c>
      <c r="BF324" s="772">
        <f t="shared" ca="1" si="156"/>
        <v>138084.10896589057</v>
      </c>
      <c r="BG324" s="772">
        <f t="shared" ca="1" si="156"/>
        <v>138084.10896589057</v>
      </c>
      <c r="BH324" s="772">
        <f t="shared" ca="1" si="155"/>
        <v>137766.55025490228</v>
      </c>
      <c r="BI324" s="772">
        <f t="shared" ca="1" si="155"/>
        <v>137766.55025490228</v>
      </c>
      <c r="BJ324" s="772">
        <f t="shared" ca="1" si="155"/>
        <v>138687.63688034946</v>
      </c>
      <c r="BK324" s="772">
        <f t="shared" ca="1" si="155"/>
        <v>138687.63688034946</v>
      </c>
      <c r="BL324" s="772">
        <f t="shared" ca="1" si="155"/>
        <v>138687.63688034946</v>
      </c>
      <c r="BM324" s="772">
        <f t="shared" ca="1" si="155"/>
        <v>138687.63688034946</v>
      </c>
      <c r="BN324" s="772">
        <f t="shared" ca="1" si="155"/>
        <v>138084.10896589057</v>
      </c>
      <c r="BO324" s="772">
        <f t="shared" ca="1" si="155"/>
        <v>138084.10896589057</v>
      </c>
      <c r="BP324" s="772">
        <f t="shared" ca="1" si="155"/>
        <v>137766.55025490228</v>
      </c>
      <c r="BQ324" s="772">
        <f t="shared" ca="1" si="155"/>
        <v>137766.55025490228</v>
      </c>
      <c r="BR324" s="772">
        <f t="shared" ca="1" si="155"/>
        <v>137437.29362766645</v>
      </c>
      <c r="BS324" s="772">
        <f t="shared" ca="1" si="155"/>
        <v>138687.63688034946</v>
      </c>
      <c r="BT324" s="772">
        <f t="shared" ca="1" si="155"/>
        <v>138687.63688034946</v>
      </c>
      <c r="BU324" s="772">
        <f t="shared" ca="1" si="155"/>
        <v>138687.63688034946</v>
      </c>
      <c r="BV324" s="772">
        <f t="shared" ca="1" si="155"/>
        <v>138390.86206536164</v>
      </c>
      <c r="BW324" s="772">
        <f t="shared" ca="1" si="155"/>
        <v>138390.86206536164</v>
      </c>
      <c r="BX324" s="772">
        <f t="shared" ca="1" si="153"/>
        <v>137766.55025490228</v>
      </c>
      <c r="BY324" s="772">
        <f t="shared" ca="1" si="153"/>
        <v>137766.55025490228</v>
      </c>
      <c r="BZ324" s="772">
        <f t="shared" ca="1" si="153"/>
        <v>137437.29362766645</v>
      </c>
      <c r="CA324" s="772">
        <f t="shared" ca="1" si="153"/>
        <v>137437.29362766645</v>
      </c>
      <c r="CB324" s="772">
        <f t="shared" ca="1" si="153"/>
        <v>138390.86206536164</v>
      </c>
      <c r="CC324" s="772">
        <f t="shared" ca="1" si="153"/>
        <v>138390.86206536164</v>
      </c>
      <c r="CD324" s="772">
        <f t="shared" ca="1" si="153"/>
        <v>138390.86206536164</v>
      </c>
      <c r="CE324" s="772">
        <f t="shared" ca="1" si="153"/>
        <v>138390.86206536164</v>
      </c>
      <c r="CF324" s="772">
        <f t="shared" ca="1" si="153"/>
        <v>138084.10896589057</v>
      </c>
      <c r="CG324" s="772">
        <f t="shared" ca="1" si="153"/>
        <v>137766.55025490228</v>
      </c>
      <c r="CH324" s="772">
        <f t="shared" ca="1" si="153"/>
        <v>137437.29362766645</v>
      </c>
      <c r="CI324" s="772">
        <f t="shared" ca="1" si="153"/>
        <v>137437.29362766645</v>
      </c>
      <c r="CJ324" s="772">
        <f t="shared" ca="1" si="153"/>
        <v>137095.37559144892</v>
      </c>
    </row>
    <row r="325" spans="1:88" ht="15" customHeight="1">
      <c r="A325" s="770">
        <f>'kc-Wert für Stützen'!C325</f>
        <v>377</v>
      </c>
      <c r="B325" s="768">
        <f ca="1">INDIRECT("'kc-Wert für Stützen'!"&amp;SUBSTITUTE(ADDRESS(MATCH($A325,'kc-Wert für Stützen'!$C:$C,0),MATCH(B$7,'kc-Wert für Stützen'!$A$8:$ES$8,0)+7,4),,))</f>
        <v>140288.60729474746</v>
      </c>
      <c r="C325" s="768">
        <f ca="1">INDIRECT("'kc-Wert für Stützen'!"&amp;SUBSTITUTE(ADDRESS(MATCH($A325,'kc-Wert für Stützen'!$C:$C,0),MATCH(C$7,'kc-Wert für Stützen'!$A$8:$ES$8,0)+7,4),,))</f>
        <v>140017.2161442411</v>
      </c>
      <c r="D325" s="768">
        <f ca="1">INDIRECT("'kc-Wert für Stützen'!"&amp;SUBSTITUTE(ADDRESS(MATCH($A325,'kc-Wert für Stützen'!$C:$C,0),MATCH(D$7,'kc-Wert für Stützen'!$A$8:$ES$8,0)+7,4),,))</f>
        <v>139738.0433327104</v>
      </c>
      <c r="E325" s="768">
        <f ca="1">INDIRECT("'kc-Wert für Stützen'!"&amp;SUBSTITUTE(ADDRESS(MATCH($A325,'kc-Wert für Stützen'!$C:$C,0),MATCH(E$7,'kc-Wert für Stützen'!$A$8:$ES$8,0)+7,4),,))</f>
        <v>139450.4291708782</v>
      </c>
      <c r="F325" s="768">
        <f ca="1">INDIRECT("'kc-Wert für Stützen'!"&amp;SUBSTITUTE(ADDRESS(MATCH($A325,'kc-Wert für Stützen'!$C:$C,0),MATCH(F$7,'kc-Wert für Stützen'!$A$8:$ES$8,0)+7,4),,))</f>
        <v>139153.66553245723</v>
      </c>
      <c r="G325" s="768">
        <f ca="1">INDIRECT("'kc-Wert für Stützen'!"&amp;SUBSTITUTE(ADDRESS(MATCH($A325,'kc-Wert für Stützen'!$C:$C,0),MATCH(G$7,'kc-Wert für Stützen'!$A$8:$ES$8,0)+7,4),,))</f>
        <v>138846.99105494202</v>
      </c>
      <c r="H325" s="768">
        <f ca="1">INDIRECT("'kc-Wert für Stützen'!"&amp;SUBSTITUTE(ADDRESS(MATCH($A325,'kc-Wert für Stützen'!$C:$C,0),MATCH(H$7,'kc-Wert für Stützen'!$A$8:$ES$8,0)+7,4),,))</f>
        <v>138529.58592146056</v>
      </c>
      <c r="I325" s="768">
        <f ca="1">INDIRECT("'kc-Wert für Stützen'!"&amp;SUBSTITUTE(ADDRESS(MATCH($A325,'kc-Wert für Stützen'!$C:$C,0),MATCH(I$7,'kc-Wert für Stützen'!$A$8:$ES$8,0)+7,4),,))</f>
        <v>138200.56620060871</v>
      </c>
      <c r="J325" s="768">
        <f ca="1">INDIRECT("'kc-Wert für Stützen'!"&amp;SUBSTITUTE(ADDRESS(MATCH($A325,'kc-Wert für Stützen'!$C:$C,0),MATCH(J$7,'kc-Wert für Stützen'!$A$8:$ES$8,0)+7,4),,))</f>
        <v>137858.97772693235</v>
      </c>
      <c r="K325" s="768">
        <f ca="1">INDIRECT("'kc-Wert für Stützen'!"&amp;SUBSTITUTE(ADDRESS(MATCH($A325,'kc-Wert für Stützen'!$C:$C,0),MATCH(K$7,'kc-Wert für Stützen'!$A$8:$ES$8,0)+7,4),,))</f>
        <v>137503.78951370093</v>
      </c>
      <c r="L325" s="768">
        <f ca="1">INDIRECT("'kc-Wert für Stützen'!"&amp;SUBSTITUTE(ADDRESS(MATCH($A325,'kc-Wert für Stützen'!$C:$C,0),MATCH(L$7,'kc-Wert für Stützen'!$A$8:$ES$8,0)+7,4),,))</f>
        <v>137133.88670294092</v>
      </c>
      <c r="M325" s="768">
        <f ca="1">INDIRECT("'kc-Wert für Stützen'!"&amp;SUBSTITUTE(ADDRESS(MATCH($A325,'kc-Wert für Stützen'!$C:$C,0),MATCH(M$7,'kc-Wert für Stützen'!$A$8:$ES$8,0)+7,4),,))</f>
        <v>136748.06307680957</v>
      </c>
      <c r="N325" s="768">
        <f ca="1">INDIRECT("'kc-Wert für Stützen'!"&amp;SUBSTITUTE(ADDRESS(MATCH($A325,'kc-Wert für Stützen'!$C:$C,0),MATCH(N$7,'kc-Wert für Stützen'!$A$8:$ES$8,0)+7,4),,))</f>
        <v>136345.01318106832</v>
      </c>
      <c r="O325" s="768">
        <f ca="1">INDIRECT("'kc-Wert für Stützen'!"&amp;SUBSTITUTE(ADDRESS(MATCH($A325,'kc-Wert für Stützen'!$C:$C,0),MATCH(O$7,'kc-Wert für Stützen'!$A$8:$ES$8,0)+7,4),,))</f>
        <v>135923.32414789477</v>
      </c>
      <c r="P325" s="768">
        <f ca="1">INDIRECT("'kc-Wert für Stützen'!"&amp;SUBSTITUTE(ADDRESS(MATCH($A325,'kc-Wert für Stützen'!$C:$C,0),MATCH(P$7,'kc-Wert für Stützen'!$A$8:$ES$8,0)+7,4),,))</f>
        <v>135481.46735424665</v>
      </c>
      <c r="S325" s="772">
        <f t="shared" ca="1" si="124"/>
        <v>139738.0433327104</v>
      </c>
      <c r="T325" s="772">
        <f t="shared" ca="1" si="148"/>
        <v>139738.0433327104</v>
      </c>
      <c r="U325" s="772">
        <f t="shared" ca="1" si="148"/>
        <v>139738.0433327104</v>
      </c>
      <c r="V325" s="772">
        <f t="shared" ca="1" si="148"/>
        <v>139450.4291708782</v>
      </c>
      <c r="W325" s="772">
        <f t="shared" ca="1" si="148"/>
        <v>139153.66553245723</v>
      </c>
      <c r="X325" s="772">
        <f t="shared" ca="1" si="148"/>
        <v>138846.99105494202</v>
      </c>
      <c r="Y325" s="772">
        <f t="shared" ca="1" si="148"/>
        <v>138529.58592146056</v>
      </c>
      <c r="Z325" s="772">
        <f t="shared" ca="1" si="148"/>
        <v>139738.0433327104</v>
      </c>
      <c r="AA325" s="772">
        <f t="shared" ca="1" si="148"/>
        <v>139738.0433327104</v>
      </c>
      <c r="AB325" s="772">
        <f t="shared" ca="1" si="159"/>
        <v>139450.4291708782</v>
      </c>
      <c r="AC325" s="772">
        <f t="shared" ca="1" si="159"/>
        <v>139450.4291708782</v>
      </c>
      <c r="AD325" s="772">
        <f t="shared" ca="1" si="159"/>
        <v>139153.66553245723</v>
      </c>
      <c r="AE325" s="772">
        <f t="shared" ca="1" si="159"/>
        <v>139153.66553245723</v>
      </c>
      <c r="AF325" s="772">
        <f t="shared" ca="1" si="159"/>
        <v>138846.99105494202</v>
      </c>
      <c r="AG325" s="772">
        <f t="shared" ca="1" si="159"/>
        <v>138846.99105494202</v>
      </c>
      <c r="AH325" s="772">
        <f t="shared" ca="1" si="159"/>
        <v>138846.99105494202</v>
      </c>
      <c r="AI325" s="772">
        <f t="shared" ca="1" si="159"/>
        <v>139738.0433327104</v>
      </c>
      <c r="AJ325" s="772">
        <f t="shared" ca="1" si="159"/>
        <v>139738.0433327104</v>
      </c>
      <c r="AK325" s="772">
        <f t="shared" ca="1" si="159"/>
        <v>139450.4291708782</v>
      </c>
      <c r="AL325" s="772">
        <f t="shared" ca="1" si="159"/>
        <v>139450.4291708782</v>
      </c>
      <c r="AM325" s="772">
        <f t="shared" ca="1" si="159"/>
        <v>139153.66553245723</v>
      </c>
      <c r="AN325" s="772">
        <f t="shared" ca="1" si="159"/>
        <v>139153.66553245723</v>
      </c>
      <c r="AO325" s="772">
        <f t="shared" ca="1" si="159"/>
        <v>138846.99105494202</v>
      </c>
      <c r="AP325" s="772">
        <f t="shared" ca="1" si="159"/>
        <v>138846.99105494202</v>
      </c>
      <c r="AQ325" s="772">
        <f t="shared" ca="1" si="159"/>
        <v>138846.99105494202</v>
      </c>
      <c r="AR325" s="772">
        <f t="shared" ca="1" si="156"/>
        <v>139738.0433327104</v>
      </c>
      <c r="AS325" s="772">
        <f t="shared" ca="1" si="156"/>
        <v>139738.0433327104</v>
      </c>
      <c r="AT325" s="772">
        <f t="shared" ca="1" si="156"/>
        <v>139450.4291708782</v>
      </c>
      <c r="AU325" s="772">
        <f t="shared" ca="1" si="156"/>
        <v>139450.4291708782</v>
      </c>
      <c r="AV325" s="772">
        <f t="shared" ca="1" si="156"/>
        <v>139153.66553245723</v>
      </c>
      <c r="AW325" s="772">
        <f t="shared" ca="1" si="156"/>
        <v>139153.66553245723</v>
      </c>
      <c r="AX325" s="772">
        <f t="shared" ca="1" si="156"/>
        <v>138846.99105494202</v>
      </c>
      <c r="AY325" s="772">
        <f t="shared" ca="1" si="156"/>
        <v>138846.99105494202</v>
      </c>
      <c r="AZ325" s="772">
        <f t="shared" ca="1" si="156"/>
        <v>138846.99105494202</v>
      </c>
      <c r="BA325" s="772">
        <f t="shared" ca="1" si="156"/>
        <v>139738.0433327104</v>
      </c>
      <c r="BB325" s="772">
        <f t="shared" ca="1" si="156"/>
        <v>139738.0433327104</v>
      </c>
      <c r="BC325" s="772">
        <f t="shared" ca="1" si="156"/>
        <v>139450.4291708782</v>
      </c>
      <c r="BD325" s="772">
        <f t="shared" ca="1" si="156"/>
        <v>139153.66553245723</v>
      </c>
      <c r="BE325" s="772">
        <f t="shared" ca="1" si="156"/>
        <v>139153.66553245723</v>
      </c>
      <c r="BF325" s="772">
        <f t="shared" ca="1" si="156"/>
        <v>138846.99105494202</v>
      </c>
      <c r="BG325" s="772">
        <f t="shared" ca="1" si="156"/>
        <v>138846.99105494202</v>
      </c>
      <c r="BH325" s="772">
        <f t="shared" ca="1" si="155"/>
        <v>138529.58592146056</v>
      </c>
      <c r="BI325" s="772">
        <f t="shared" ca="1" si="155"/>
        <v>138529.58592146056</v>
      </c>
      <c r="BJ325" s="772">
        <f t="shared" ca="1" si="155"/>
        <v>139450.4291708782</v>
      </c>
      <c r="BK325" s="772">
        <f t="shared" ca="1" si="155"/>
        <v>139450.4291708782</v>
      </c>
      <c r="BL325" s="772">
        <f t="shared" ca="1" si="155"/>
        <v>139450.4291708782</v>
      </c>
      <c r="BM325" s="772">
        <f t="shared" ca="1" si="155"/>
        <v>139450.4291708782</v>
      </c>
      <c r="BN325" s="772">
        <f t="shared" ca="1" si="155"/>
        <v>138846.99105494202</v>
      </c>
      <c r="BO325" s="772">
        <f t="shared" ca="1" si="155"/>
        <v>138846.99105494202</v>
      </c>
      <c r="BP325" s="772">
        <f t="shared" ca="1" si="155"/>
        <v>138529.58592146056</v>
      </c>
      <c r="BQ325" s="772">
        <f t="shared" ca="1" si="155"/>
        <v>138529.58592146056</v>
      </c>
      <c r="BR325" s="772">
        <f t="shared" ca="1" si="155"/>
        <v>138200.56620060871</v>
      </c>
      <c r="BS325" s="772">
        <f t="shared" ca="1" si="155"/>
        <v>139450.4291708782</v>
      </c>
      <c r="BT325" s="772">
        <f t="shared" ca="1" si="155"/>
        <v>139450.4291708782</v>
      </c>
      <c r="BU325" s="772">
        <f t="shared" ca="1" si="155"/>
        <v>139450.4291708782</v>
      </c>
      <c r="BV325" s="772">
        <f t="shared" ca="1" si="155"/>
        <v>139153.66553245723</v>
      </c>
      <c r="BW325" s="772">
        <f t="shared" ca="1" si="155"/>
        <v>139153.66553245723</v>
      </c>
      <c r="BX325" s="772">
        <f t="shared" ca="1" si="153"/>
        <v>138529.58592146056</v>
      </c>
      <c r="BY325" s="772">
        <f t="shared" ca="1" si="153"/>
        <v>138529.58592146056</v>
      </c>
      <c r="BZ325" s="772">
        <f t="shared" ca="1" si="153"/>
        <v>138200.56620060871</v>
      </c>
      <c r="CA325" s="772">
        <f t="shared" ca="1" si="153"/>
        <v>138200.56620060871</v>
      </c>
      <c r="CB325" s="772">
        <f t="shared" ca="1" si="153"/>
        <v>139153.66553245723</v>
      </c>
      <c r="CC325" s="772">
        <f t="shared" ca="1" si="153"/>
        <v>139153.66553245723</v>
      </c>
      <c r="CD325" s="772">
        <f t="shared" ca="1" si="153"/>
        <v>139153.66553245723</v>
      </c>
      <c r="CE325" s="772">
        <f t="shared" ca="1" si="153"/>
        <v>139153.66553245723</v>
      </c>
      <c r="CF325" s="772">
        <f t="shared" ca="1" si="153"/>
        <v>138846.99105494202</v>
      </c>
      <c r="CG325" s="772">
        <f t="shared" ca="1" si="153"/>
        <v>138529.58592146056</v>
      </c>
      <c r="CH325" s="772">
        <f t="shared" ca="1" si="153"/>
        <v>138200.56620060871</v>
      </c>
      <c r="CI325" s="772">
        <f t="shared" ca="1" si="153"/>
        <v>138200.56620060871</v>
      </c>
      <c r="CJ325" s="772">
        <f t="shared" ca="1" si="153"/>
        <v>137858.97772693235</v>
      </c>
    </row>
    <row r="326" spans="1:88" ht="15" customHeight="1">
      <c r="A326" s="770">
        <f>'kc-Wert für Stützen'!C326</f>
        <v>378</v>
      </c>
      <c r="B326" s="768">
        <f ca="1">INDIRECT("'kc-Wert für Stützen'!"&amp;SUBSTITUTE(ADDRESS(MATCH($A326,'kc-Wert für Stützen'!$C:$C,0),MATCH(B$7,'kc-Wert für Stützen'!$A$8:$ES$8,0)+7,4),,))</f>
        <v>141053.74691125294</v>
      </c>
      <c r="C326" s="768">
        <f ca="1">INDIRECT("'kc-Wert für Stützen'!"&amp;SUBSTITUTE(ADDRESS(MATCH($A326,'kc-Wert für Stützen'!$C:$C,0),MATCH(C$7,'kc-Wert für Stützen'!$A$8:$ES$8,0)+7,4),,))</f>
        <v>140782.19874430986</v>
      </c>
      <c r="D326" s="768">
        <f ca="1">INDIRECT("'kc-Wert für Stützen'!"&amp;SUBSTITUTE(ADDRESS(MATCH($A326,'kc-Wert für Stützen'!$C:$C,0),MATCH(D$7,'kc-Wert für Stützen'!$A$8:$ES$8,0)+7,4),,))</f>
        <v>140502.91767454485</v>
      </c>
      <c r="E326" s="768">
        <f ca="1">INDIRECT("'kc-Wert für Stützen'!"&amp;SUBSTITUTE(ADDRESS(MATCH($A326,'kc-Wert für Stützen'!$C:$C,0),MATCH(E$7,'kc-Wert für Stützen'!$A$8:$ES$8,0)+7,4),,))</f>
        <v>140215.24934114958</v>
      </c>
      <c r="F326" s="768">
        <f ca="1">INDIRECT("'kc-Wert für Stützen'!"&amp;SUBSTITUTE(ADDRESS(MATCH($A326,'kc-Wert für Stützen'!$C:$C,0),MATCH(F$7,'kc-Wert für Stützen'!$A$8:$ES$8,0)+7,4),,))</f>
        <v>139918.4915643826</v>
      </c>
      <c r="G326" s="768">
        <f ca="1">INDIRECT("'kc-Wert für Stützen'!"&amp;SUBSTITUTE(ADDRESS(MATCH($A326,'kc-Wert für Stützen'!$C:$C,0),MATCH(G$7,'kc-Wert für Stützen'!$A$8:$ES$8,0)+7,4),,))</f>
        <v>139611.88961680251</v>
      </c>
      <c r="H326" s="768">
        <f ca="1">INDIRECT("'kc-Wert für Stützen'!"&amp;SUBSTITUTE(ADDRESS(MATCH($A326,'kc-Wert für Stützen'!$C:$C,0),MATCH(H$7,'kc-Wert für Stützen'!$A$8:$ES$8,0)+7,4),,))</f>
        <v>139294.63108201878</v>
      </c>
      <c r="I326" s="768">
        <f ca="1">INDIRECT("'kc-Wert für Stützen'!"&amp;SUBSTITUTE(ADDRESS(MATCH($A326,'kc-Wert für Stützen'!$C:$C,0),MATCH(I$7,'kc-Wert für Stützen'!$A$8:$ES$8,0)+7,4),,))</f>
        <v>138965.84027782892</v>
      </c>
      <c r="J326" s="768">
        <f ca="1">INDIRECT("'kc-Wert für Stützen'!"&amp;SUBSTITUTE(ADDRESS(MATCH($A326,'kc-Wert für Stützen'!$C:$C,0),MATCH(J$7,'kc-Wert für Stützen'!$A$8:$ES$8,0)+7,4),,))</f>
        <v>138624.57222602991</v>
      </c>
      <c r="K326" s="768">
        <f ca="1">INDIRECT("'kc-Wert für Stützen'!"&amp;SUBSTITUTE(ADDRESS(MATCH($A326,'kc-Wert für Stützen'!$C:$C,0),MATCH(K$7,'kc-Wert für Stützen'!$A$8:$ES$8,0)+7,4),,))</f>
        <v>138269.80615971083</v>
      </c>
      <c r="L326" s="768">
        <f ca="1">INDIRECT("'kc-Wert für Stützen'!"&amp;SUBSTITUTE(ADDRESS(MATCH($A326,'kc-Wert für Stützen'!$C:$C,0),MATCH(L$7,'kc-Wert für Stützen'!$A$8:$ES$8,0)+7,4),,))</f>
        <v>137900.43857150918</v>
      </c>
      <c r="M326" s="768">
        <f ca="1">INDIRECT("'kc-Wert für Stützen'!"&amp;SUBSTITUTE(ADDRESS(MATCH($A326,'kc-Wert für Stützen'!$C:$C,0),MATCH(M$7,'kc-Wert für Stützen'!$A$8:$ES$8,0)+7,4),,))</f>
        <v>137515.27582452365</v>
      </c>
      <c r="N326" s="768">
        <f ca="1">INDIRECT("'kc-Wert für Stützen'!"&amp;SUBSTITUTE(ADDRESS(MATCH($A326,'kc-Wert für Stützen'!$C:$C,0),MATCH(N$7,'kc-Wert für Stützen'!$A$8:$ES$8,0)+7,4),,))</f>
        <v>137113.02637303431</v>
      </c>
      <c r="O326" s="768">
        <f ca="1">INDIRECT("'kc-Wert für Stützen'!"&amp;SUBSTITUTE(ADDRESS(MATCH($A326,'kc-Wert für Stützen'!$C:$C,0),MATCH(O$7,'kc-Wert für Stützen'!$A$8:$ES$8,0)+7,4),,))</f>
        <v>136692.29267502946</v>
      </c>
      <c r="P326" s="768">
        <f ca="1">INDIRECT("'kc-Wert für Stützen'!"&amp;SUBSTITUTE(ADDRESS(MATCH($A326,'kc-Wert für Stützen'!$C:$C,0),MATCH(P$7,'kc-Wert für Stützen'!$A$8:$ES$8,0)+7,4),,))</f>
        <v>136251.5629253615</v>
      </c>
      <c r="S326" s="772">
        <f t="shared" ca="1" si="124"/>
        <v>140502.91767454485</v>
      </c>
      <c r="T326" s="772">
        <f t="shared" ca="1" si="148"/>
        <v>140502.91767454485</v>
      </c>
      <c r="U326" s="772">
        <f t="shared" ca="1" si="148"/>
        <v>140502.91767454485</v>
      </c>
      <c r="V326" s="772">
        <f t="shared" ca="1" si="148"/>
        <v>140215.24934114958</v>
      </c>
      <c r="W326" s="772">
        <f t="shared" ca="1" si="148"/>
        <v>139918.4915643826</v>
      </c>
      <c r="X326" s="772">
        <f t="shared" ca="1" si="148"/>
        <v>139611.88961680251</v>
      </c>
      <c r="Y326" s="772">
        <f t="shared" ca="1" si="148"/>
        <v>139294.63108201878</v>
      </c>
      <c r="Z326" s="772">
        <f t="shared" ca="1" si="148"/>
        <v>140502.91767454485</v>
      </c>
      <c r="AA326" s="772">
        <f t="shared" ca="1" si="148"/>
        <v>140502.91767454485</v>
      </c>
      <c r="AB326" s="772">
        <f t="shared" ca="1" si="159"/>
        <v>140215.24934114958</v>
      </c>
      <c r="AC326" s="772">
        <f t="shared" ca="1" si="159"/>
        <v>140215.24934114958</v>
      </c>
      <c r="AD326" s="772">
        <f t="shared" ca="1" si="159"/>
        <v>139918.4915643826</v>
      </c>
      <c r="AE326" s="772">
        <f t="shared" ca="1" si="159"/>
        <v>139918.4915643826</v>
      </c>
      <c r="AF326" s="772">
        <f t="shared" ca="1" si="159"/>
        <v>139611.88961680251</v>
      </c>
      <c r="AG326" s="772">
        <f t="shared" ca="1" si="159"/>
        <v>139611.88961680251</v>
      </c>
      <c r="AH326" s="772">
        <f t="shared" ca="1" si="159"/>
        <v>139611.88961680251</v>
      </c>
      <c r="AI326" s="772">
        <f t="shared" ca="1" si="159"/>
        <v>140502.91767454485</v>
      </c>
      <c r="AJ326" s="772">
        <f t="shared" ca="1" si="159"/>
        <v>140502.91767454485</v>
      </c>
      <c r="AK326" s="772">
        <f t="shared" ca="1" si="159"/>
        <v>140215.24934114958</v>
      </c>
      <c r="AL326" s="772">
        <f t="shared" ca="1" si="159"/>
        <v>140215.24934114958</v>
      </c>
      <c r="AM326" s="772">
        <f t="shared" ca="1" si="159"/>
        <v>139918.4915643826</v>
      </c>
      <c r="AN326" s="772">
        <f t="shared" ca="1" si="159"/>
        <v>139918.4915643826</v>
      </c>
      <c r="AO326" s="772">
        <f t="shared" ca="1" si="159"/>
        <v>139611.88961680251</v>
      </c>
      <c r="AP326" s="772">
        <f t="shared" ca="1" si="159"/>
        <v>139611.88961680251</v>
      </c>
      <c r="AQ326" s="772">
        <f t="shared" ca="1" si="159"/>
        <v>139611.88961680251</v>
      </c>
      <c r="AR326" s="772">
        <f t="shared" ca="1" si="156"/>
        <v>140502.91767454485</v>
      </c>
      <c r="AS326" s="772">
        <f t="shared" ca="1" si="156"/>
        <v>140502.91767454485</v>
      </c>
      <c r="AT326" s="772">
        <f t="shared" ca="1" si="156"/>
        <v>140215.24934114958</v>
      </c>
      <c r="AU326" s="772">
        <f t="shared" ca="1" si="156"/>
        <v>140215.24934114958</v>
      </c>
      <c r="AV326" s="772">
        <f t="shared" ca="1" si="156"/>
        <v>139918.4915643826</v>
      </c>
      <c r="AW326" s="772">
        <f t="shared" ca="1" si="156"/>
        <v>139918.4915643826</v>
      </c>
      <c r="AX326" s="772">
        <f t="shared" ca="1" si="156"/>
        <v>139611.88961680251</v>
      </c>
      <c r="AY326" s="772">
        <f t="shared" ca="1" si="156"/>
        <v>139611.88961680251</v>
      </c>
      <c r="AZ326" s="772">
        <f t="shared" ca="1" si="156"/>
        <v>139611.88961680251</v>
      </c>
      <c r="BA326" s="772">
        <f t="shared" ca="1" si="156"/>
        <v>140502.91767454485</v>
      </c>
      <c r="BB326" s="772">
        <f t="shared" ca="1" si="156"/>
        <v>140502.91767454485</v>
      </c>
      <c r="BC326" s="772">
        <f t="shared" ca="1" si="156"/>
        <v>140215.24934114958</v>
      </c>
      <c r="BD326" s="772">
        <f t="shared" ca="1" si="156"/>
        <v>139918.4915643826</v>
      </c>
      <c r="BE326" s="772">
        <f t="shared" ca="1" si="156"/>
        <v>139918.4915643826</v>
      </c>
      <c r="BF326" s="772">
        <f t="shared" ca="1" si="156"/>
        <v>139611.88961680251</v>
      </c>
      <c r="BG326" s="772">
        <f t="shared" ca="1" si="156"/>
        <v>139611.88961680251</v>
      </c>
      <c r="BH326" s="772">
        <f t="shared" ca="1" si="155"/>
        <v>139294.63108201878</v>
      </c>
      <c r="BI326" s="772">
        <f t="shared" ca="1" si="155"/>
        <v>139294.63108201878</v>
      </c>
      <c r="BJ326" s="772">
        <f t="shared" ca="1" si="155"/>
        <v>140215.24934114958</v>
      </c>
      <c r="BK326" s="772">
        <f t="shared" ca="1" si="155"/>
        <v>140215.24934114958</v>
      </c>
      <c r="BL326" s="772">
        <f t="shared" ca="1" si="155"/>
        <v>140215.24934114958</v>
      </c>
      <c r="BM326" s="772">
        <f t="shared" ca="1" si="155"/>
        <v>140215.24934114958</v>
      </c>
      <c r="BN326" s="772">
        <f t="shared" ca="1" si="155"/>
        <v>139611.88961680251</v>
      </c>
      <c r="BO326" s="772">
        <f t="shared" ca="1" si="155"/>
        <v>139611.88961680251</v>
      </c>
      <c r="BP326" s="772">
        <f t="shared" ca="1" si="155"/>
        <v>139294.63108201878</v>
      </c>
      <c r="BQ326" s="772">
        <f t="shared" ca="1" si="155"/>
        <v>139294.63108201878</v>
      </c>
      <c r="BR326" s="772">
        <f t="shared" ca="1" si="155"/>
        <v>138965.84027782892</v>
      </c>
      <c r="BS326" s="772">
        <f t="shared" ca="1" si="155"/>
        <v>140215.24934114958</v>
      </c>
      <c r="BT326" s="772">
        <f t="shared" ca="1" si="155"/>
        <v>140215.24934114958</v>
      </c>
      <c r="BU326" s="772">
        <f t="shared" ca="1" si="155"/>
        <v>140215.24934114958</v>
      </c>
      <c r="BV326" s="772">
        <f t="shared" ca="1" si="155"/>
        <v>139918.4915643826</v>
      </c>
      <c r="BW326" s="772">
        <f t="shared" ca="1" si="155"/>
        <v>139918.4915643826</v>
      </c>
      <c r="BX326" s="772">
        <f t="shared" ref="BX326:CJ345" ca="1" si="160">HLOOKUP(BX$7,$A$7:$P$348,ROW()-6)</f>
        <v>139294.63108201878</v>
      </c>
      <c r="BY326" s="772">
        <f t="shared" ca="1" si="160"/>
        <v>139294.63108201878</v>
      </c>
      <c r="BZ326" s="772">
        <f t="shared" ca="1" si="160"/>
        <v>138965.84027782892</v>
      </c>
      <c r="CA326" s="772">
        <f t="shared" ca="1" si="160"/>
        <v>138965.84027782892</v>
      </c>
      <c r="CB326" s="772">
        <f t="shared" ca="1" si="160"/>
        <v>139918.4915643826</v>
      </c>
      <c r="CC326" s="772">
        <f t="shared" ca="1" si="160"/>
        <v>139918.4915643826</v>
      </c>
      <c r="CD326" s="772">
        <f t="shared" ca="1" si="160"/>
        <v>139918.4915643826</v>
      </c>
      <c r="CE326" s="772">
        <f t="shared" ca="1" si="160"/>
        <v>139918.4915643826</v>
      </c>
      <c r="CF326" s="772">
        <f t="shared" ca="1" si="160"/>
        <v>139611.88961680251</v>
      </c>
      <c r="CG326" s="772">
        <f t="shared" ca="1" si="160"/>
        <v>139294.63108201878</v>
      </c>
      <c r="CH326" s="772">
        <f t="shared" ca="1" si="160"/>
        <v>138965.84027782892</v>
      </c>
      <c r="CI326" s="772">
        <f t="shared" ca="1" si="160"/>
        <v>138965.84027782892</v>
      </c>
      <c r="CJ326" s="772">
        <f t="shared" ca="1" si="160"/>
        <v>138624.57222602991</v>
      </c>
    </row>
    <row r="327" spans="1:88" ht="15" customHeight="1">
      <c r="A327" s="770">
        <f>'kc-Wert für Stützen'!C327</f>
        <v>379</v>
      </c>
      <c r="B327" s="768">
        <f ca="1">INDIRECT("'kc-Wert für Stützen'!"&amp;SUBSTITUTE(ADDRESS(MATCH($A327,'kc-Wert für Stützen'!$C:$C,0),MATCH(B$7,'kc-Wert für Stützen'!$A$8:$ES$8,0)+7,4),,))</f>
        <v>141820.92684112454</v>
      </c>
      <c r="C327" s="768">
        <f ca="1">INDIRECT("'kc-Wert für Stützen'!"&amp;SUBSTITUTE(ADDRESS(MATCH($A327,'kc-Wert für Stützen'!$C:$C,0),MATCH(C$7,'kc-Wert für Stützen'!$A$8:$ES$8,0)+7,4),,))</f>
        <v>141549.21818514838</v>
      </c>
      <c r="D327" s="768">
        <f ca="1">INDIRECT("'kc-Wert für Stützen'!"&amp;SUBSTITUTE(ADDRESS(MATCH($A327,'kc-Wert für Stützen'!$C:$C,0),MATCH(D$7,'kc-Wert für Stützen'!$A$8:$ES$8,0)+7,4),,))</f>
        <v>141269.8248718697</v>
      </c>
      <c r="E327" s="768">
        <f ca="1">INDIRECT("'kc-Wert für Stützen'!"&amp;SUBSTITUTE(ADDRESS(MATCH($A327,'kc-Wert für Stützen'!$C:$C,0),MATCH(E$7,'kc-Wert für Stützen'!$A$8:$ES$8,0)+7,4),,))</f>
        <v>140982.09779562938</v>
      </c>
      <c r="F327" s="768">
        <f ca="1">INDIRECT("'kc-Wert für Stützen'!"&amp;SUBSTITUTE(ADDRESS(MATCH($A327,'kc-Wert für Stützen'!$C:$C,0),MATCH(F$7,'kc-Wert für Stützen'!$A$8:$ES$8,0)+7,4),,))</f>
        <v>140685.34063975236</v>
      </c>
      <c r="G327" s="768">
        <f ca="1">INDIRECT("'kc-Wert für Stützen'!"&amp;SUBSTITUTE(ADDRESS(MATCH($A327,'kc-Wert für Stützen'!$C:$C,0),MATCH(G$7,'kc-Wert für Stützen'!$A$8:$ES$8,0)+7,4),,))</f>
        <v>140378.80521696972</v>
      </c>
      <c r="H327" s="768">
        <f ca="1">INDIRECT("'kc-Wert für Stützen'!"&amp;SUBSTITUTE(ADDRESS(MATCH($A327,'kc-Wert für Stützen'!$C:$C,0),MATCH(H$7,'kc-Wert für Stützen'!$A$8:$ES$8,0)+7,4),,))</f>
        <v>140061.68640372614</v>
      </c>
      <c r="I327" s="768">
        <f ca="1">INDIRECT("'kc-Wert für Stützen'!"&amp;SUBSTITUTE(ADDRESS(MATCH($A327,'kc-Wert für Stützen'!$C:$C,0),MATCH(I$7,'kc-Wert für Stützen'!$A$8:$ES$8,0)+7,4),,))</f>
        <v>139733.11664520839</v>
      </c>
      <c r="J327" s="768">
        <f ca="1">INDIRECT("'kc-Wert für Stützen'!"&amp;SUBSTITUTE(ADDRESS(MATCH($A327,'kc-Wert für Stützen'!$C:$C,0),MATCH(J$7,'kc-Wert für Stützen'!$A$8:$ES$8,0)+7,4),,))</f>
        <v>139392.16001304411</v>
      </c>
      <c r="K327" s="768">
        <f ca="1">INDIRECT("'kc-Wert für Stützen'!"&amp;SUBSTITUTE(ADDRESS(MATCH($A327,'kc-Wert für Stützen'!$C:$C,0),MATCH(K$7,'kc-Wert für Stützen'!$A$8:$ES$8,0)+7,4),,))</f>
        <v>139037.80580570246</v>
      </c>
      <c r="L327" s="768">
        <f ca="1">INDIRECT("'kc-Wert für Stützen'!"&amp;SUBSTITUTE(ADDRESS(MATCH($A327,'kc-Wert für Stützen'!$C:$C,0),MATCH(L$7,'kc-Wert für Stützen'!$A$8:$ES$8,0)+7,4),,))</f>
        <v>138668.96169368221</v>
      </c>
      <c r="M327" s="768">
        <f ca="1">INDIRECT("'kc-Wert für Stützen'!"&amp;SUBSTITUTE(ADDRESS(MATCH($A327,'kc-Wert für Stützen'!$C:$C,0),MATCH(M$7,'kc-Wert für Stützen'!$A$8:$ES$8,0)+7,4),,))</f>
        <v>138284.44642892689</v>
      </c>
      <c r="N327" s="768">
        <f ca="1">INDIRECT("'kc-Wert für Stützen'!"&amp;SUBSTITUTE(ADDRESS(MATCH($A327,'kc-Wert für Stützen'!$C:$C,0),MATCH(N$7,'kc-Wert für Stützen'!$A$8:$ES$8,0)+7,4),,))</f>
        <v>137882.98216220073</v>
      </c>
      <c r="O327" s="768">
        <f ca="1">INDIRECT("'kc-Wert für Stützen'!"&amp;SUBSTITUTE(ADDRESS(MATCH($A327,'kc-Wert für Stützen'!$C:$C,0),MATCH(O$7,'kc-Wert für Stützen'!$A$8:$ES$8,0)+7,4),,))</f>
        <v>137463.18644544447</v>
      </c>
      <c r="P327" s="768">
        <f ca="1">INDIRECT("'kc-Wert für Stützen'!"&amp;SUBSTITUTE(ADDRESS(MATCH($A327,'kc-Wert für Stützen'!$C:$C,0),MATCH(P$7,'kc-Wert für Stützen'!$A$8:$ES$8,0)+7,4),,))</f>
        <v>137023.5640409058</v>
      </c>
      <c r="S327" s="772">
        <f t="shared" ca="1" si="124"/>
        <v>141269.8248718697</v>
      </c>
      <c r="T327" s="772">
        <f t="shared" ca="1" si="148"/>
        <v>141269.8248718697</v>
      </c>
      <c r="U327" s="772">
        <f t="shared" ca="1" si="148"/>
        <v>141269.8248718697</v>
      </c>
      <c r="V327" s="772">
        <f t="shared" ca="1" si="148"/>
        <v>140982.09779562938</v>
      </c>
      <c r="W327" s="772">
        <f t="shared" ca="1" si="148"/>
        <v>140685.34063975236</v>
      </c>
      <c r="X327" s="772">
        <f t="shared" ca="1" si="148"/>
        <v>140378.80521696972</v>
      </c>
      <c r="Y327" s="772">
        <f t="shared" ca="1" si="148"/>
        <v>140061.68640372614</v>
      </c>
      <c r="Z327" s="772">
        <f t="shared" ca="1" si="148"/>
        <v>141269.8248718697</v>
      </c>
      <c r="AA327" s="772">
        <f t="shared" ca="1" si="148"/>
        <v>141269.8248718697</v>
      </c>
      <c r="AB327" s="772">
        <f t="shared" ca="1" si="159"/>
        <v>140982.09779562938</v>
      </c>
      <c r="AC327" s="772">
        <f t="shared" ca="1" si="159"/>
        <v>140982.09779562938</v>
      </c>
      <c r="AD327" s="772">
        <f t="shared" ca="1" si="159"/>
        <v>140685.34063975236</v>
      </c>
      <c r="AE327" s="772">
        <f t="shared" ca="1" si="159"/>
        <v>140685.34063975236</v>
      </c>
      <c r="AF327" s="772">
        <f t="shared" ca="1" si="159"/>
        <v>140378.80521696972</v>
      </c>
      <c r="AG327" s="772">
        <f t="shared" ca="1" si="159"/>
        <v>140378.80521696972</v>
      </c>
      <c r="AH327" s="772">
        <f t="shared" ca="1" si="159"/>
        <v>140378.80521696972</v>
      </c>
      <c r="AI327" s="772">
        <f t="shared" ca="1" si="159"/>
        <v>141269.8248718697</v>
      </c>
      <c r="AJ327" s="772">
        <f t="shared" ca="1" si="159"/>
        <v>141269.8248718697</v>
      </c>
      <c r="AK327" s="772">
        <f t="shared" ca="1" si="159"/>
        <v>140982.09779562938</v>
      </c>
      <c r="AL327" s="772">
        <f t="shared" ca="1" si="159"/>
        <v>140982.09779562938</v>
      </c>
      <c r="AM327" s="772">
        <f t="shared" ca="1" si="159"/>
        <v>140685.34063975236</v>
      </c>
      <c r="AN327" s="772">
        <f t="shared" ca="1" si="159"/>
        <v>140685.34063975236</v>
      </c>
      <c r="AO327" s="772">
        <f t="shared" ca="1" si="159"/>
        <v>140378.80521696972</v>
      </c>
      <c r="AP327" s="772">
        <f t="shared" ca="1" si="159"/>
        <v>140378.80521696972</v>
      </c>
      <c r="AQ327" s="772">
        <f t="shared" ca="1" si="159"/>
        <v>140378.80521696972</v>
      </c>
      <c r="AR327" s="772">
        <f t="shared" ca="1" si="156"/>
        <v>141269.8248718697</v>
      </c>
      <c r="AS327" s="772">
        <f t="shared" ca="1" si="156"/>
        <v>141269.8248718697</v>
      </c>
      <c r="AT327" s="772">
        <f t="shared" ca="1" si="156"/>
        <v>140982.09779562938</v>
      </c>
      <c r="AU327" s="772">
        <f t="shared" ca="1" si="156"/>
        <v>140982.09779562938</v>
      </c>
      <c r="AV327" s="772">
        <f t="shared" ca="1" si="156"/>
        <v>140685.34063975236</v>
      </c>
      <c r="AW327" s="772">
        <f t="shared" ca="1" si="156"/>
        <v>140685.34063975236</v>
      </c>
      <c r="AX327" s="772">
        <f t="shared" ca="1" si="156"/>
        <v>140378.80521696972</v>
      </c>
      <c r="AY327" s="772">
        <f t="shared" ca="1" si="156"/>
        <v>140378.80521696972</v>
      </c>
      <c r="AZ327" s="772">
        <f t="shared" ca="1" si="156"/>
        <v>140378.80521696972</v>
      </c>
      <c r="BA327" s="772">
        <f t="shared" ca="1" si="156"/>
        <v>141269.8248718697</v>
      </c>
      <c r="BB327" s="772">
        <f t="shared" ca="1" si="156"/>
        <v>141269.8248718697</v>
      </c>
      <c r="BC327" s="772">
        <f t="shared" ca="1" si="156"/>
        <v>140982.09779562938</v>
      </c>
      <c r="BD327" s="772">
        <f t="shared" ca="1" si="156"/>
        <v>140685.34063975236</v>
      </c>
      <c r="BE327" s="772">
        <f t="shared" ca="1" si="156"/>
        <v>140685.34063975236</v>
      </c>
      <c r="BF327" s="772">
        <f t="shared" ca="1" si="156"/>
        <v>140378.80521696972</v>
      </c>
      <c r="BG327" s="772">
        <f t="shared" ca="1" si="156"/>
        <v>140378.80521696972</v>
      </c>
      <c r="BH327" s="772">
        <f t="shared" ca="1" si="155"/>
        <v>140061.68640372614</v>
      </c>
      <c r="BI327" s="772">
        <f t="shared" ca="1" si="155"/>
        <v>140061.68640372614</v>
      </c>
      <c r="BJ327" s="772">
        <f t="shared" ca="1" si="155"/>
        <v>140982.09779562938</v>
      </c>
      <c r="BK327" s="772">
        <f t="shared" ca="1" si="155"/>
        <v>140982.09779562938</v>
      </c>
      <c r="BL327" s="772">
        <f t="shared" ca="1" si="155"/>
        <v>140982.09779562938</v>
      </c>
      <c r="BM327" s="772">
        <f t="shared" ca="1" si="155"/>
        <v>140982.09779562938</v>
      </c>
      <c r="BN327" s="772">
        <f t="shared" ca="1" si="155"/>
        <v>140378.80521696972</v>
      </c>
      <c r="BO327" s="772">
        <f t="shared" ca="1" si="155"/>
        <v>140378.80521696972</v>
      </c>
      <c r="BP327" s="772">
        <f t="shared" ca="1" si="155"/>
        <v>140061.68640372614</v>
      </c>
      <c r="BQ327" s="772">
        <f t="shared" ca="1" si="155"/>
        <v>140061.68640372614</v>
      </c>
      <c r="BR327" s="772">
        <f t="shared" ca="1" si="155"/>
        <v>139733.11664520839</v>
      </c>
      <c r="BS327" s="772">
        <f t="shared" ca="1" si="155"/>
        <v>140982.09779562938</v>
      </c>
      <c r="BT327" s="772">
        <f t="shared" ca="1" si="155"/>
        <v>140982.09779562938</v>
      </c>
      <c r="BU327" s="772">
        <f t="shared" ca="1" si="155"/>
        <v>140982.09779562938</v>
      </c>
      <c r="BV327" s="772">
        <f t="shared" ca="1" si="155"/>
        <v>140685.34063975236</v>
      </c>
      <c r="BW327" s="772">
        <f t="shared" ca="1" si="155"/>
        <v>140685.34063975236</v>
      </c>
      <c r="BX327" s="772">
        <f t="shared" ca="1" si="160"/>
        <v>140061.68640372614</v>
      </c>
      <c r="BY327" s="772">
        <f t="shared" ca="1" si="160"/>
        <v>140061.68640372614</v>
      </c>
      <c r="BZ327" s="772">
        <f t="shared" ca="1" si="160"/>
        <v>139733.11664520839</v>
      </c>
      <c r="CA327" s="772">
        <f t="shared" ca="1" si="160"/>
        <v>139733.11664520839</v>
      </c>
      <c r="CB327" s="772">
        <f t="shared" ca="1" si="160"/>
        <v>140685.34063975236</v>
      </c>
      <c r="CC327" s="772">
        <f t="shared" ca="1" si="160"/>
        <v>140685.34063975236</v>
      </c>
      <c r="CD327" s="772">
        <f t="shared" ca="1" si="160"/>
        <v>140685.34063975236</v>
      </c>
      <c r="CE327" s="772">
        <f t="shared" ca="1" si="160"/>
        <v>140685.34063975236</v>
      </c>
      <c r="CF327" s="772">
        <f t="shared" ca="1" si="160"/>
        <v>140378.80521696972</v>
      </c>
      <c r="CG327" s="772">
        <f t="shared" ca="1" si="160"/>
        <v>140061.68640372614</v>
      </c>
      <c r="CH327" s="772">
        <f t="shared" ca="1" si="160"/>
        <v>139733.11664520839</v>
      </c>
      <c r="CI327" s="772">
        <f t="shared" ca="1" si="160"/>
        <v>139733.11664520839</v>
      </c>
      <c r="CJ327" s="772">
        <f t="shared" ca="1" si="160"/>
        <v>139392.16001304411</v>
      </c>
    </row>
    <row r="328" spans="1:88" ht="15" customHeight="1">
      <c r="A328" s="770">
        <f>'kc-Wert für Stützen'!C328</f>
        <v>380</v>
      </c>
      <c r="B328" s="768">
        <f ca="1">INDIRECT("'kc-Wert für Stützen'!"&amp;SUBSTITUTE(ADDRESS(MATCH($A328,'kc-Wert für Stützen'!$C:$C,0),MATCH(B$7,'kc-Wert für Stützen'!$A$8:$ES$8,0)+7,4),,))</f>
        <v>142590.14732239372</v>
      </c>
      <c r="C328" s="768">
        <f ca="1">INDIRECT("'kc-Wert für Stützen'!"&amp;SUBSTITUTE(ADDRESS(MATCH($A328,'kc-Wert für Stützen'!$C:$C,0),MATCH(C$7,'kc-Wert für Stützen'!$A$8:$ES$8,0)+7,4),,))</f>
        <v>142318.27474971797</v>
      </c>
      <c r="D328" s="768">
        <f ca="1">INDIRECT("'kc-Wert für Stützen'!"&amp;SUBSTITUTE(ADDRESS(MATCH($A328,'kc-Wert für Stützen'!$C:$C,0),MATCH(D$7,'kc-Wert für Stützen'!$A$8:$ES$8,0)+7,4),,))</f>
        <v>142038.76526047953</v>
      </c>
      <c r="E328" s="768">
        <f ca="1">INDIRECT("'kc-Wert für Stützen'!"&amp;SUBSTITUTE(ADDRESS(MATCH($A328,'kc-Wert für Stützen'!$C:$C,0),MATCH(E$7,'kc-Wert für Stützen'!$A$8:$ES$8,0)+7,4),,))</f>
        <v>141750.97493216404</v>
      </c>
      <c r="F328" s="768">
        <f ca="1">INDIRECT("'kc-Wert für Stützen'!"&amp;SUBSTITUTE(ADDRESS(MATCH($A328,'kc-Wert für Stützen'!$C:$C,0),MATCH(F$7,'kc-Wert für Stützen'!$A$8:$ES$8,0)+7,4),,))</f>
        <v>141454.21322919923</v>
      </c>
      <c r="G328" s="768">
        <f ca="1">INDIRECT("'kc-Wert für Stützen'!"&amp;SUBSTITUTE(ADDRESS(MATCH($A328,'kc-Wert für Stützen'!$C:$C,0),MATCH(G$7,'kc-Wert für Stützen'!$A$8:$ES$8,0)+7,4),,))</f>
        <v>141147.73841133731</v>
      </c>
      <c r="H328" s="768">
        <f ca="1">INDIRECT("'kc-Wert für Stützen'!"&amp;SUBSTITUTE(ADDRESS(MATCH($A328,'kc-Wert für Stützen'!$C:$C,0),MATCH(H$7,'kc-Wert für Stützen'!$A$8:$ES$8,0)+7,4),,))</f>
        <v>140830.75254220216</v>
      </c>
      <c r="I328" s="768">
        <f ca="1">INDIRECT("'kc-Wert für Stützen'!"&amp;SUBSTITUTE(ADDRESS(MATCH($A328,'kc-Wert für Stützen'!$C:$C,0),MATCH(I$7,'kc-Wert für Stützen'!$A$8:$ES$8,0)+7,4),,))</f>
        <v>140502.39607481949</v>
      </c>
      <c r="J328" s="768">
        <f ca="1">INDIRECT("'kc-Wert für Stützen'!"&amp;SUBSTITUTE(ADDRESS(MATCH($A328,'kc-Wert für Stützen'!$C:$C,0),MATCH(J$7,'kc-Wert für Stützen'!$A$8:$ES$8,0)+7,4),,))</f>
        <v>140161.74199578227</v>
      </c>
      <c r="K328" s="768">
        <f ca="1">INDIRECT("'kc-Wert für Stützen'!"&amp;SUBSTITUTE(ADDRESS(MATCH($A328,'kc-Wert für Stützen'!$C:$C,0),MATCH(K$7,'kc-Wert für Stützen'!$A$8:$ES$8,0)+7,4),,))</f>
        <v>139807.7895173585</v>
      </c>
      <c r="L328" s="768">
        <f ca="1">INDIRECT("'kc-Wert für Stützen'!"&amp;SUBSTITUTE(ADDRESS(MATCH($A328,'kc-Wert für Stützen'!$C:$C,0),MATCH(L$7,'kc-Wert für Stützen'!$A$8:$ES$8,0)+7,4),,))</f>
        <v>139439.45731832215</v>
      </c>
      <c r="M328" s="768">
        <f ca="1">INDIRECT("'kc-Wert für Stützen'!"&amp;SUBSTITUTE(ADDRESS(MATCH($A328,'kc-Wert für Stützen'!$C:$C,0),MATCH(M$7,'kc-Wert für Stützen'!$A$8:$ES$8,0)+7,4),,))</f>
        <v>139055.57635081673</v>
      </c>
      <c r="N328" s="768">
        <f ca="1">INDIRECT("'kc-Wert für Stützen'!"&amp;SUBSTITUTE(ADDRESS(MATCH($A328,'kc-Wert für Stützen'!$C:$C,0),MATCH(N$7,'kc-Wert für Stützen'!$A$8:$ES$8,0)+7,4),,))</f>
        <v>138654.8822537481</v>
      </c>
      <c r="O328" s="768">
        <f ca="1">INDIRECT("'kc-Wert für Stützen'!"&amp;SUBSTITUTE(ADDRESS(MATCH($A328,'kc-Wert für Stützen'!$C:$C,0),MATCH(O$7,'kc-Wert für Stützen'!$A$8:$ES$8,0)+7,4),,))</f>
        <v>138236.00744499825</v>
      </c>
      <c r="P328" s="768">
        <f ca="1">INDIRECT("'kc-Wert für Stützen'!"&amp;SUBSTITUTE(ADDRESS(MATCH($A328,'kc-Wert für Stützen'!$C:$C,0),MATCH(P$7,'kc-Wert für Stützen'!$A$8:$ES$8,0)+7,4),,))</f>
        <v>137797.47300756501</v>
      </c>
      <c r="S328" s="772">
        <f t="shared" ca="1" si="124"/>
        <v>142038.76526047953</v>
      </c>
      <c r="T328" s="772">
        <f t="shared" ca="1" si="148"/>
        <v>142038.76526047953</v>
      </c>
      <c r="U328" s="772">
        <f t="shared" ca="1" si="148"/>
        <v>142038.76526047953</v>
      </c>
      <c r="V328" s="772">
        <f t="shared" ca="1" si="148"/>
        <v>141750.97493216404</v>
      </c>
      <c r="W328" s="772">
        <f t="shared" ca="1" si="148"/>
        <v>141454.21322919923</v>
      </c>
      <c r="X328" s="772">
        <f t="shared" ref="T328:AA348" ca="1" si="161">HLOOKUP(X$7,$A$7:$P$348,ROW()-6)</f>
        <v>141147.73841133731</v>
      </c>
      <c r="Y328" s="772">
        <f t="shared" ca="1" si="161"/>
        <v>140830.75254220216</v>
      </c>
      <c r="Z328" s="772">
        <f t="shared" ca="1" si="161"/>
        <v>142038.76526047953</v>
      </c>
      <c r="AA328" s="772">
        <f t="shared" ca="1" si="161"/>
        <v>142038.76526047953</v>
      </c>
      <c r="AB328" s="772">
        <f t="shared" ca="1" si="159"/>
        <v>141750.97493216404</v>
      </c>
      <c r="AC328" s="772">
        <f t="shared" ca="1" si="159"/>
        <v>141750.97493216404</v>
      </c>
      <c r="AD328" s="772">
        <f t="shared" ca="1" si="159"/>
        <v>141454.21322919923</v>
      </c>
      <c r="AE328" s="772">
        <f t="shared" ca="1" si="159"/>
        <v>141454.21322919923</v>
      </c>
      <c r="AF328" s="772">
        <f t="shared" ca="1" si="159"/>
        <v>141147.73841133731</v>
      </c>
      <c r="AG328" s="772">
        <f t="shared" ca="1" si="159"/>
        <v>141147.73841133731</v>
      </c>
      <c r="AH328" s="772">
        <f t="shared" ca="1" si="159"/>
        <v>141147.73841133731</v>
      </c>
      <c r="AI328" s="772">
        <f t="shared" ca="1" si="159"/>
        <v>142038.76526047953</v>
      </c>
      <c r="AJ328" s="772">
        <f t="shared" ca="1" si="159"/>
        <v>142038.76526047953</v>
      </c>
      <c r="AK328" s="772">
        <f t="shared" ca="1" si="159"/>
        <v>141750.97493216404</v>
      </c>
      <c r="AL328" s="772">
        <f t="shared" ca="1" si="159"/>
        <v>141750.97493216404</v>
      </c>
      <c r="AM328" s="772">
        <f t="shared" ca="1" si="159"/>
        <v>141454.21322919923</v>
      </c>
      <c r="AN328" s="772">
        <f t="shared" ca="1" si="159"/>
        <v>141454.21322919923</v>
      </c>
      <c r="AO328" s="772">
        <f t="shared" ca="1" si="159"/>
        <v>141147.73841133731</v>
      </c>
      <c r="AP328" s="772">
        <f t="shared" ca="1" si="159"/>
        <v>141147.73841133731</v>
      </c>
      <c r="AQ328" s="772">
        <f t="shared" ca="1" si="159"/>
        <v>141147.73841133731</v>
      </c>
      <c r="AR328" s="772">
        <f t="shared" ca="1" si="156"/>
        <v>142038.76526047953</v>
      </c>
      <c r="AS328" s="772">
        <f t="shared" ca="1" si="156"/>
        <v>142038.76526047953</v>
      </c>
      <c r="AT328" s="772">
        <f t="shared" ca="1" si="156"/>
        <v>141750.97493216404</v>
      </c>
      <c r="AU328" s="772">
        <f t="shared" ca="1" si="156"/>
        <v>141750.97493216404</v>
      </c>
      <c r="AV328" s="772">
        <f t="shared" ca="1" si="156"/>
        <v>141454.21322919923</v>
      </c>
      <c r="AW328" s="772">
        <f t="shared" ca="1" si="156"/>
        <v>141454.21322919923</v>
      </c>
      <c r="AX328" s="772">
        <f t="shared" ca="1" si="156"/>
        <v>141147.73841133731</v>
      </c>
      <c r="AY328" s="772">
        <f t="shared" ca="1" si="156"/>
        <v>141147.73841133731</v>
      </c>
      <c r="AZ328" s="772">
        <f t="shared" ca="1" si="156"/>
        <v>141147.73841133731</v>
      </c>
      <c r="BA328" s="772">
        <f t="shared" ca="1" si="156"/>
        <v>142038.76526047953</v>
      </c>
      <c r="BB328" s="772">
        <f t="shared" ca="1" si="156"/>
        <v>142038.76526047953</v>
      </c>
      <c r="BC328" s="772">
        <f t="shared" ca="1" si="156"/>
        <v>141750.97493216404</v>
      </c>
      <c r="BD328" s="772">
        <f t="shared" ca="1" si="156"/>
        <v>141454.21322919923</v>
      </c>
      <c r="BE328" s="772">
        <f t="shared" ca="1" si="156"/>
        <v>141454.21322919923</v>
      </c>
      <c r="BF328" s="772">
        <f t="shared" ca="1" si="156"/>
        <v>141147.73841133731</v>
      </c>
      <c r="BG328" s="772">
        <f t="shared" ca="1" si="156"/>
        <v>141147.73841133731</v>
      </c>
      <c r="BH328" s="772">
        <f ca="1">HLOOKUP(BH$7,$A$7:$P$348,ROW()-6)</f>
        <v>140830.75254220216</v>
      </c>
      <c r="BI328" s="772">
        <f ca="1">HLOOKUP(BI$7,$A$7:$P$348,ROW()-6)</f>
        <v>140830.75254220216</v>
      </c>
      <c r="BJ328" s="772">
        <f ca="1">HLOOKUP(BJ$7,$A$7:$P$348,ROW()-6)</f>
        <v>141750.97493216404</v>
      </c>
      <c r="BK328" s="772">
        <f t="shared" ca="1" si="155"/>
        <v>141750.97493216404</v>
      </c>
      <c r="BL328" s="772">
        <f t="shared" ca="1" si="155"/>
        <v>141750.97493216404</v>
      </c>
      <c r="BM328" s="772">
        <f t="shared" ca="1" si="155"/>
        <v>141750.97493216404</v>
      </c>
      <c r="BN328" s="772">
        <f t="shared" ca="1" si="155"/>
        <v>141147.73841133731</v>
      </c>
      <c r="BO328" s="772">
        <f t="shared" ca="1" si="155"/>
        <v>141147.73841133731</v>
      </c>
      <c r="BP328" s="772">
        <f t="shared" ca="1" si="155"/>
        <v>140830.75254220216</v>
      </c>
      <c r="BQ328" s="772">
        <f t="shared" ca="1" si="155"/>
        <v>140830.75254220216</v>
      </c>
      <c r="BR328" s="772">
        <f t="shared" ca="1" si="155"/>
        <v>140502.39607481949</v>
      </c>
      <c r="BS328" s="772">
        <f t="shared" ca="1" si="155"/>
        <v>141750.97493216404</v>
      </c>
      <c r="BT328" s="772">
        <f t="shared" ca="1" si="155"/>
        <v>141750.97493216404</v>
      </c>
      <c r="BU328" s="772">
        <f t="shared" ca="1" si="155"/>
        <v>141750.97493216404</v>
      </c>
      <c r="BV328" s="772">
        <f t="shared" ca="1" si="155"/>
        <v>141454.21322919923</v>
      </c>
      <c r="BW328" s="772">
        <f t="shared" ca="1" si="155"/>
        <v>141454.21322919923</v>
      </c>
      <c r="BX328" s="772">
        <f t="shared" ca="1" si="160"/>
        <v>140830.75254220216</v>
      </c>
      <c r="BY328" s="772">
        <f t="shared" ca="1" si="160"/>
        <v>140830.75254220216</v>
      </c>
      <c r="BZ328" s="772">
        <f t="shared" ca="1" si="160"/>
        <v>140502.39607481949</v>
      </c>
      <c r="CA328" s="772">
        <f t="shared" ca="1" si="160"/>
        <v>140502.39607481949</v>
      </c>
      <c r="CB328" s="772">
        <f t="shared" ca="1" si="160"/>
        <v>141454.21322919923</v>
      </c>
      <c r="CC328" s="772">
        <f t="shared" ca="1" si="160"/>
        <v>141454.21322919923</v>
      </c>
      <c r="CD328" s="772">
        <f t="shared" ca="1" si="160"/>
        <v>141454.21322919923</v>
      </c>
      <c r="CE328" s="772">
        <f t="shared" ca="1" si="160"/>
        <v>141454.21322919923</v>
      </c>
      <c r="CF328" s="772">
        <f t="shared" ca="1" si="160"/>
        <v>141147.73841133731</v>
      </c>
      <c r="CG328" s="772">
        <f t="shared" ca="1" si="160"/>
        <v>140830.75254220216</v>
      </c>
      <c r="CH328" s="772">
        <f t="shared" ca="1" si="160"/>
        <v>140502.39607481949</v>
      </c>
      <c r="CI328" s="772">
        <f t="shared" ca="1" si="160"/>
        <v>140502.39607481949</v>
      </c>
      <c r="CJ328" s="772">
        <f t="shared" ca="1" si="160"/>
        <v>140161.74199578227</v>
      </c>
    </row>
    <row r="329" spans="1:88" ht="15" customHeight="1">
      <c r="A329" s="770">
        <f>'kc-Wert für Stützen'!C329</f>
        <v>381</v>
      </c>
      <c r="B329" s="768">
        <f ca="1">INDIRECT("'kc-Wert für Stützen'!"&amp;SUBSTITUTE(ADDRESS(MATCH($A329,'kc-Wert für Stützen'!$C:$C,0),MATCH(B$7,'kc-Wert für Stützen'!$A$8:$ES$8,0)+7,4),,))</f>
        <v>143361.40858943851</v>
      </c>
      <c r="C329" s="768">
        <f ca="1">INDIRECT("'kc-Wert für Stützen'!"&amp;SUBSTITUTE(ADDRESS(MATCH($A329,'kc-Wert für Stützen'!$C:$C,0),MATCH(C$7,'kc-Wert für Stützen'!$A$8:$ES$8,0)+7,4),,))</f>
        <v>143089.36871654706</v>
      </c>
      <c r="D329" s="768">
        <f ca="1">INDIRECT("'kc-Wert für Stützen'!"&amp;SUBSTITUTE(ADDRESS(MATCH($A329,'kc-Wert für Stützen'!$C:$C,0),MATCH(D$7,'kc-Wert für Stützen'!$A$8:$ES$8,0)+7,4),,))</f>
        <v>142809.73917080229</v>
      </c>
      <c r="E329" s="768">
        <f ca="1">INDIRECT("'kc-Wert für Stützen'!"&amp;SUBSTITUTE(ADDRESS(MATCH($A329,'kc-Wert für Stützen'!$C:$C,0),MATCH(E$7,'kc-Wert für Stützen'!$A$8:$ES$8,0)+7,4),,))</f>
        <v>142521.88114211662</v>
      </c>
      <c r="F329" s="768">
        <f ca="1">INDIRECT("'kc-Wert für Stützen'!"&amp;SUBSTITUTE(ADDRESS(MATCH($A329,'kc-Wert für Stützen'!$C:$C,0),MATCH(F$7,'kc-Wert für Stützen'!$A$8:$ES$8,0)+7,4),,))</f>
        <v>142225.10979553958</v>
      </c>
      <c r="G329" s="768">
        <f ca="1">INDIRECT("'kc-Wert für Stützen'!"&amp;SUBSTITUTE(ADDRESS(MATCH($A329,'kc-Wert für Stützen'!$C:$C,0),MATCH(G$7,'kc-Wert für Stützen'!$A$8:$ES$8,0)+7,4),,))</f>
        <v>141918.68974639702</v>
      </c>
      <c r="H329" s="768">
        <f ca="1">INDIRECT("'kc-Wert für Stützen'!"&amp;SUBSTITUTE(ADDRESS(MATCH($A329,'kc-Wert für Stützen'!$C:$C,0),MATCH(H$7,'kc-Wert für Stützen'!$A$8:$ES$8,0)+7,4),,))</f>
        <v>141601.83014178235</v>
      </c>
      <c r="I329" s="768">
        <f ca="1">INDIRECT("'kc-Wert für Stützen'!"&amp;SUBSTITUTE(ADDRESS(MATCH($A329,'kc-Wert für Stützen'!$C:$C,0),MATCH(I$7,'kc-Wert für Stützen'!$A$8:$ES$8,0)+7,4),,))</f>
        <v>141273.67932522451</v>
      </c>
      <c r="J329" s="768">
        <f ca="1">INDIRECT("'kc-Wert für Stützen'!"&amp;SUBSTITUTE(ADDRESS(MATCH($A329,'kc-Wert für Stützen'!$C:$C,0),MATCH(J$7,'kc-Wert für Stützen'!$A$8:$ES$8,0)+7,4),,))</f>
        <v>140933.31906591609</v>
      </c>
      <c r="K329" s="768">
        <f ca="1">INDIRECT("'kc-Wert für Stützen'!"&amp;SUBSTITUTE(ADDRESS(MATCH($A329,'kc-Wert für Stützen'!$C:$C,0),MATCH(K$7,'kc-Wert für Stützen'!$A$8:$ES$8,0)+7,4),,))</f>
        <v>140579.75834114387</v>
      </c>
      <c r="L329" s="768">
        <f ca="1">INDIRECT("'kc-Wert für Stützen'!"&amp;SUBSTITUTE(ADDRESS(MATCH($A329,'kc-Wert für Stützen'!$C:$C,0),MATCH(L$7,'kc-Wert für Stützen'!$A$8:$ES$8,0)+7,4),,))</f>
        <v>140211.92667147299</v>
      </c>
      <c r="M329" s="768">
        <f ca="1">INDIRECT("'kc-Wert für Stützen'!"&amp;SUBSTITUTE(ADDRESS(MATCH($A329,'kc-Wert für Stützen'!$C:$C,0),MATCH(M$7,'kc-Wert für Stützen'!$A$8:$ES$8,0)+7,4),,))</f>
        <v>139828.66702399033</v>
      </c>
      <c r="N329" s="768">
        <f ca="1">INDIRECT("'kc-Wert für Stützen'!"&amp;SUBSTITUTE(ADDRESS(MATCH($A329,'kc-Wert für Stützen'!$C:$C,0),MATCH(N$7,'kc-Wert für Stützen'!$A$8:$ES$8,0)+7,4),,))</f>
        <v>139428.72832103362</v>
      </c>
      <c r="O329" s="768">
        <f ca="1">INDIRECT("'kc-Wert für Stützen'!"&amp;SUBSTITUTE(ADDRESS(MATCH($A329,'kc-Wert für Stützen'!$C:$C,0),MATCH(O$7,'kc-Wert für Stützen'!$A$8:$ES$8,0)+7,4),,))</f>
        <v>139010.75762221031</v>
      </c>
      <c r="P329" s="768">
        <f ca="1">INDIRECT("'kc-Wert für Stützen'!"&amp;SUBSTITUTE(ADDRESS(MATCH($A329,'kc-Wert für Stützen'!$C:$C,0),MATCH(P$7,'kc-Wert für Stützen'!$A$8:$ES$8,0)+7,4),,))</f>
        <v>138573.29208844641</v>
      </c>
      <c r="S329" s="772">
        <f t="shared" ca="1" si="124"/>
        <v>142809.73917080229</v>
      </c>
      <c r="T329" s="772">
        <f t="shared" ca="1" si="161"/>
        <v>142809.73917080229</v>
      </c>
      <c r="U329" s="772">
        <f t="shared" ca="1" si="161"/>
        <v>142809.73917080229</v>
      </c>
      <c r="V329" s="772">
        <f t="shared" ca="1" si="161"/>
        <v>142521.88114211662</v>
      </c>
      <c r="W329" s="772">
        <f t="shared" ca="1" si="161"/>
        <v>142225.10979553958</v>
      </c>
      <c r="X329" s="772">
        <f t="shared" ca="1" si="161"/>
        <v>141918.68974639702</v>
      </c>
      <c r="Y329" s="772">
        <f t="shared" ca="1" si="161"/>
        <v>141601.83014178235</v>
      </c>
      <c r="Z329" s="772">
        <f t="shared" ca="1" si="161"/>
        <v>142809.73917080229</v>
      </c>
      <c r="AA329" s="772">
        <f t="shared" ca="1" si="161"/>
        <v>142809.73917080229</v>
      </c>
      <c r="AB329" s="772">
        <f t="shared" ca="1" si="159"/>
        <v>142521.88114211662</v>
      </c>
      <c r="AC329" s="772">
        <f t="shared" ca="1" si="159"/>
        <v>142521.88114211662</v>
      </c>
      <c r="AD329" s="772">
        <f t="shared" ca="1" si="159"/>
        <v>142225.10979553958</v>
      </c>
      <c r="AE329" s="772">
        <f t="shared" ca="1" si="159"/>
        <v>142225.10979553958</v>
      </c>
      <c r="AF329" s="772">
        <f t="shared" ca="1" si="159"/>
        <v>141918.68974639702</v>
      </c>
      <c r="AG329" s="772">
        <f t="shared" ca="1" si="159"/>
        <v>141918.68974639702</v>
      </c>
      <c r="AH329" s="772">
        <f t="shared" ca="1" si="159"/>
        <v>141918.68974639702</v>
      </c>
      <c r="AI329" s="772">
        <f t="shared" ca="1" si="159"/>
        <v>142809.73917080229</v>
      </c>
      <c r="AJ329" s="772">
        <f t="shared" ca="1" si="159"/>
        <v>142809.73917080229</v>
      </c>
      <c r="AK329" s="772">
        <f t="shared" ca="1" si="159"/>
        <v>142521.88114211662</v>
      </c>
      <c r="AL329" s="772">
        <f t="shared" ca="1" si="159"/>
        <v>142521.88114211662</v>
      </c>
      <c r="AM329" s="772">
        <f t="shared" ca="1" si="159"/>
        <v>142225.10979553958</v>
      </c>
      <c r="AN329" s="772">
        <f t="shared" ca="1" si="159"/>
        <v>142225.10979553958</v>
      </c>
      <c r="AO329" s="772">
        <f t="shared" ca="1" si="159"/>
        <v>141918.68974639702</v>
      </c>
      <c r="AP329" s="772">
        <f t="shared" ca="1" si="159"/>
        <v>141918.68974639702</v>
      </c>
      <c r="AQ329" s="772">
        <f t="shared" ca="1" si="159"/>
        <v>141918.68974639702</v>
      </c>
      <c r="AR329" s="772">
        <f t="shared" ca="1" si="156"/>
        <v>142809.73917080229</v>
      </c>
      <c r="AS329" s="772">
        <f t="shared" ca="1" si="156"/>
        <v>142809.73917080229</v>
      </c>
      <c r="AT329" s="772">
        <f t="shared" ca="1" si="156"/>
        <v>142521.88114211662</v>
      </c>
      <c r="AU329" s="772">
        <f t="shared" ca="1" si="156"/>
        <v>142521.88114211662</v>
      </c>
      <c r="AV329" s="772">
        <f t="shared" ca="1" si="156"/>
        <v>142225.10979553958</v>
      </c>
      <c r="AW329" s="772">
        <f t="shared" ca="1" si="156"/>
        <v>142225.10979553958</v>
      </c>
      <c r="AX329" s="772">
        <f t="shared" ca="1" si="156"/>
        <v>141918.68974639702</v>
      </c>
      <c r="AY329" s="772">
        <f t="shared" ca="1" si="156"/>
        <v>141918.68974639702</v>
      </c>
      <c r="AZ329" s="772">
        <f t="shared" ca="1" si="156"/>
        <v>141918.68974639702</v>
      </c>
      <c r="BA329" s="772">
        <f t="shared" ca="1" si="156"/>
        <v>142809.73917080229</v>
      </c>
      <c r="BB329" s="772">
        <f t="shared" ca="1" si="156"/>
        <v>142809.73917080229</v>
      </c>
      <c r="BC329" s="772">
        <f t="shared" ca="1" si="156"/>
        <v>142521.88114211662</v>
      </c>
      <c r="BD329" s="772">
        <f t="shared" ca="1" si="156"/>
        <v>142225.10979553958</v>
      </c>
      <c r="BE329" s="772">
        <f t="shared" ca="1" si="156"/>
        <v>142225.10979553958</v>
      </c>
      <c r="BF329" s="772">
        <f t="shared" ca="1" si="156"/>
        <v>141918.68974639702</v>
      </c>
      <c r="BG329" s="772">
        <f t="shared" ca="1" si="156"/>
        <v>141918.68974639702</v>
      </c>
      <c r="BH329" s="772">
        <f t="shared" ca="1" si="155"/>
        <v>141601.83014178235</v>
      </c>
      <c r="BI329" s="772">
        <f t="shared" ca="1" si="155"/>
        <v>141601.83014178235</v>
      </c>
      <c r="BJ329" s="772">
        <f t="shared" ca="1" si="155"/>
        <v>142521.88114211662</v>
      </c>
      <c r="BK329" s="772">
        <f t="shared" ca="1" si="155"/>
        <v>142521.88114211662</v>
      </c>
      <c r="BL329" s="772">
        <f t="shared" ca="1" si="155"/>
        <v>142521.88114211662</v>
      </c>
      <c r="BM329" s="772">
        <f t="shared" ca="1" si="155"/>
        <v>142521.88114211662</v>
      </c>
      <c r="BN329" s="772">
        <f t="shared" ca="1" si="155"/>
        <v>141918.68974639702</v>
      </c>
      <c r="BO329" s="772">
        <f t="shared" ca="1" si="155"/>
        <v>141918.68974639702</v>
      </c>
      <c r="BP329" s="772">
        <f t="shared" ca="1" si="155"/>
        <v>141601.83014178235</v>
      </c>
      <c r="BQ329" s="772">
        <f t="shared" ca="1" si="155"/>
        <v>141601.83014178235</v>
      </c>
      <c r="BR329" s="772">
        <f t="shared" ca="1" si="155"/>
        <v>141273.67932522451</v>
      </c>
      <c r="BS329" s="772">
        <f t="shared" ca="1" si="155"/>
        <v>142521.88114211662</v>
      </c>
      <c r="BT329" s="772">
        <f t="shared" ca="1" si="155"/>
        <v>142521.88114211662</v>
      </c>
      <c r="BU329" s="772">
        <f t="shared" ca="1" si="155"/>
        <v>142521.88114211662</v>
      </c>
      <c r="BV329" s="772">
        <f t="shared" ca="1" si="155"/>
        <v>142225.10979553958</v>
      </c>
      <c r="BW329" s="772">
        <f t="shared" ca="1" si="155"/>
        <v>142225.10979553958</v>
      </c>
      <c r="BX329" s="772">
        <f t="shared" ca="1" si="160"/>
        <v>141601.83014178235</v>
      </c>
      <c r="BY329" s="772">
        <f t="shared" ca="1" si="160"/>
        <v>141601.83014178235</v>
      </c>
      <c r="BZ329" s="772">
        <f t="shared" ca="1" si="160"/>
        <v>141273.67932522451</v>
      </c>
      <c r="CA329" s="772">
        <f t="shared" ca="1" si="160"/>
        <v>141273.67932522451</v>
      </c>
      <c r="CB329" s="772">
        <f t="shared" ca="1" si="160"/>
        <v>142225.10979553958</v>
      </c>
      <c r="CC329" s="772">
        <f t="shared" ca="1" si="160"/>
        <v>142225.10979553958</v>
      </c>
      <c r="CD329" s="772">
        <f t="shared" ca="1" si="160"/>
        <v>142225.10979553958</v>
      </c>
      <c r="CE329" s="772">
        <f t="shared" ca="1" si="160"/>
        <v>142225.10979553958</v>
      </c>
      <c r="CF329" s="772">
        <f t="shared" ca="1" si="160"/>
        <v>141918.68974639702</v>
      </c>
      <c r="CG329" s="772">
        <f t="shared" ca="1" si="160"/>
        <v>141601.83014178235</v>
      </c>
      <c r="CH329" s="772">
        <f t="shared" ca="1" si="160"/>
        <v>141273.67932522451</v>
      </c>
      <c r="CI329" s="772">
        <f t="shared" ca="1" si="160"/>
        <v>141273.67932522451</v>
      </c>
      <c r="CJ329" s="772">
        <f t="shared" ca="1" si="160"/>
        <v>140933.31906591609</v>
      </c>
    </row>
    <row r="330" spans="1:88" ht="15" customHeight="1">
      <c r="A330" s="770">
        <f>'kc-Wert für Stützen'!C330</f>
        <v>382</v>
      </c>
      <c r="B330" s="768">
        <f ca="1">INDIRECT("'kc-Wert für Stützen'!"&amp;SUBSTITUTE(ADDRESS(MATCH($A330,'kc-Wert für Stützen'!$C:$C,0),MATCH(B$7,'kc-Wert für Stützen'!$A$8:$ES$8,0)+7,4),,))</f>
        <v>144134.71087305481</v>
      </c>
      <c r="C330" s="768">
        <f ca="1">INDIRECT("'kc-Wert für Stützen'!"&amp;SUBSTITUTE(ADDRESS(MATCH($A330,'kc-Wert für Stützen'!$C:$C,0),MATCH(C$7,'kc-Wert für Stützen'!$A$8:$ES$8,0)+7,4),,))</f>
        <v>143862.50035981915</v>
      </c>
      <c r="D330" s="768">
        <f ca="1">INDIRECT("'kc-Wert für Stützen'!"&amp;SUBSTITUTE(ADDRESS(MATCH($A330,'kc-Wert für Stützen'!$C:$C,0),MATCH(D$7,'kc-Wert für Stützen'!$A$8:$ES$8,0)+7,4),,))</f>
        <v>143582.74692800682</v>
      </c>
      <c r="E330" s="768">
        <f ca="1">INDIRECT("'kc-Wert für Stützen'!"&amp;SUBSTITUTE(ADDRESS(MATCH($A330,'kc-Wert für Stützen'!$C:$C,0),MATCH(E$7,'kc-Wert für Stützen'!$A$8:$ES$8,0)+7,4),,))</f>
        <v>143294.81681049871</v>
      </c>
      <c r="F330" s="768">
        <f ca="1">INDIRECT("'kc-Wert für Stützen'!"&amp;SUBSTITUTE(ADDRESS(MATCH($A330,'kc-Wert für Stützen'!$C:$C,0),MATCH(F$7,'kc-Wert für Stützen'!$A$8:$ES$8,0)+7,4),,))</f>
        <v>142998.03079393596</v>
      </c>
      <c r="G330" s="768">
        <f ca="1">INDIRECT("'kc-Wert für Stützen'!"&amp;SUBSTITUTE(ADDRESS(MATCH($A330,'kc-Wert für Stützen'!$C:$C,0),MATCH(G$7,'kc-Wert für Stützen'!$A$8:$ES$8,0)+7,4),,))</f>
        <v>142691.65975943644</v>
      </c>
      <c r="H330" s="768">
        <f ca="1">INDIRECT("'kc-Wert für Stützen'!"&amp;SUBSTITUTE(ADDRESS(MATCH($A330,'kc-Wert für Stützen'!$C:$C,0),MATCH(H$7,'kc-Wert für Stützen'!$A$8:$ES$8,0)+7,4),,))</f>
        <v>142374.91983575857</v>
      </c>
      <c r="I330" s="768">
        <f ca="1">INDIRECT("'kc-Wert für Stützen'!"&amp;SUBSTITUTE(ADDRESS(MATCH($A330,'kc-Wert für Stützen'!$C:$C,0),MATCH(I$7,'kc-Wert für Stützen'!$A$8:$ES$8,0)+7,4),,))</f>
        <v>142046.96714176569</v>
      </c>
      <c r="J330" s="768">
        <f ca="1">INDIRECT("'kc-Wert für Stützen'!"&amp;SUBSTITUTE(ADDRESS(MATCH($A330,'kc-Wert für Stützen'!$C:$C,0),MATCH(J$7,'kc-Wert für Stützen'!$A$8:$ES$8,0)+7,4),,))</f>
        <v>141706.89209933276</v>
      </c>
      <c r="K330" s="768">
        <f ca="1">INDIRECT("'kc-Wert für Stützen'!"&amp;SUBSTITUTE(ADDRESS(MATCH($A330,'kc-Wert für Stützen'!$C:$C,0),MATCH(K$7,'kc-Wert für Stützen'!$A$8:$ES$8,0)+7,4),,))</f>
        <v>141353.71330472754</v>
      </c>
      <c r="L330" s="768">
        <f ca="1">INDIRECT("'kc-Wert für Stützen'!"&amp;SUBSTITUTE(ADDRESS(MATCH($A330,'kc-Wert für Stützen'!$C:$C,0),MATCH(L$7,'kc-Wert für Stützen'!$A$8:$ES$8,0)+7,4),,))</f>
        <v>140986.37095686389</v>
      </c>
      <c r="M330" s="768">
        <f ca="1">INDIRECT("'kc-Wert für Stützen'!"&amp;SUBSTITUTE(ADDRESS(MATCH($A330,'kc-Wert für Stützen'!$C:$C,0),MATCH(M$7,'kc-Wert für Stützen'!$A$8:$ES$8,0)+7,4),,))</f>
        <v>140603.71985584192</v>
      </c>
      <c r="N330" s="768">
        <f ca="1">INDIRECT("'kc-Wert für Stützen'!"&amp;SUBSTITUTE(ADDRESS(MATCH($A330,'kc-Wert für Stützen'!$C:$C,0),MATCH(N$7,'kc-Wert für Stützen'!$A$8:$ES$8,0)+7,4),,))</f>
        <v>140204.52200629469</v>
      </c>
      <c r="O330" s="768">
        <f ca="1">INDIRECT("'kc-Wert für Stützen'!"&amp;SUBSTITUTE(ADDRESS(MATCH($A330,'kc-Wert für Stützen'!$C:$C,0),MATCH(O$7,'kc-Wert für Stützen'!$A$8:$ES$8,0)+7,4),,))</f>
        <v>139787.43888908369</v>
      </c>
      <c r="P330" s="768">
        <f ca="1">INDIRECT("'kc-Wert für Stützen'!"&amp;SUBSTITUTE(ADDRESS(MATCH($A330,'kc-Wert für Stützen'!$C:$C,0),MATCH(P$7,'kc-Wert für Stützen'!$A$8:$ES$8,0)+7,4),,))</f>
        <v>139351.02350402996</v>
      </c>
      <c r="S330" s="772">
        <f t="shared" ref="S330:S348" ca="1" si="162">HLOOKUP(S$7,$A$7:$P$348,ROW()-6)</f>
        <v>143582.74692800682</v>
      </c>
      <c r="T330" s="772">
        <f t="shared" ca="1" si="161"/>
        <v>143582.74692800682</v>
      </c>
      <c r="U330" s="772">
        <f t="shared" ca="1" si="161"/>
        <v>143582.74692800682</v>
      </c>
      <c r="V330" s="772">
        <f t="shared" ca="1" si="161"/>
        <v>143294.81681049871</v>
      </c>
      <c r="W330" s="772">
        <f t="shared" ca="1" si="161"/>
        <v>142998.03079393596</v>
      </c>
      <c r="X330" s="772">
        <f t="shared" ca="1" si="161"/>
        <v>142691.65975943644</v>
      </c>
      <c r="Y330" s="772">
        <f t="shared" ca="1" si="161"/>
        <v>142374.91983575857</v>
      </c>
      <c r="Z330" s="772">
        <f t="shared" ca="1" si="161"/>
        <v>143582.74692800682</v>
      </c>
      <c r="AA330" s="772">
        <f t="shared" ca="1" si="161"/>
        <v>143582.74692800682</v>
      </c>
      <c r="AB330" s="772">
        <f t="shared" ca="1" si="159"/>
        <v>143294.81681049871</v>
      </c>
      <c r="AC330" s="772">
        <f t="shared" ca="1" si="159"/>
        <v>143294.81681049871</v>
      </c>
      <c r="AD330" s="772">
        <f t="shared" ca="1" si="159"/>
        <v>142998.03079393596</v>
      </c>
      <c r="AE330" s="772">
        <f t="shared" ca="1" si="159"/>
        <v>142998.03079393596</v>
      </c>
      <c r="AF330" s="772">
        <f t="shared" ca="1" si="159"/>
        <v>142691.65975943644</v>
      </c>
      <c r="AG330" s="772">
        <f t="shared" ca="1" si="159"/>
        <v>142691.65975943644</v>
      </c>
      <c r="AH330" s="772">
        <f t="shared" ca="1" si="159"/>
        <v>142691.65975943644</v>
      </c>
      <c r="AI330" s="772">
        <f t="shared" ca="1" si="159"/>
        <v>143582.74692800682</v>
      </c>
      <c r="AJ330" s="772">
        <f t="shared" ca="1" si="159"/>
        <v>143582.74692800682</v>
      </c>
      <c r="AK330" s="772">
        <f t="shared" ca="1" si="159"/>
        <v>143294.81681049871</v>
      </c>
      <c r="AL330" s="772">
        <f t="shared" ca="1" si="159"/>
        <v>143294.81681049871</v>
      </c>
      <c r="AM330" s="772">
        <f t="shared" ca="1" si="159"/>
        <v>142998.03079393596</v>
      </c>
      <c r="AN330" s="772">
        <f t="shared" ca="1" si="159"/>
        <v>142998.03079393596</v>
      </c>
      <c r="AO330" s="772">
        <f t="shared" ca="1" si="159"/>
        <v>142691.65975943644</v>
      </c>
      <c r="AP330" s="772">
        <f t="shared" ca="1" si="159"/>
        <v>142691.65975943644</v>
      </c>
      <c r="AQ330" s="772">
        <f t="shared" ca="1" si="159"/>
        <v>142691.65975943644</v>
      </c>
      <c r="AR330" s="772">
        <f t="shared" ca="1" si="156"/>
        <v>143582.74692800682</v>
      </c>
      <c r="AS330" s="772">
        <f t="shared" ca="1" si="156"/>
        <v>143582.74692800682</v>
      </c>
      <c r="AT330" s="772">
        <f t="shared" ca="1" si="156"/>
        <v>143294.81681049871</v>
      </c>
      <c r="AU330" s="772">
        <f t="shared" ca="1" si="156"/>
        <v>143294.81681049871</v>
      </c>
      <c r="AV330" s="772">
        <f t="shared" ca="1" si="156"/>
        <v>142998.03079393596</v>
      </c>
      <c r="AW330" s="772">
        <f t="shared" ca="1" si="156"/>
        <v>142998.03079393596</v>
      </c>
      <c r="AX330" s="772">
        <f t="shared" ca="1" si="156"/>
        <v>142691.65975943644</v>
      </c>
      <c r="AY330" s="772">
        <f t="shared" ca="1" si="156"/>
        <v>142691.65975943644</v>
      </c>
      <c r="AZ330" s="772">
        <f t="shared" ca="1" si="156"/>
        <v>142691.65975943644</v>
      </c>
      <c r="BA330" s="772">
        <f t="shared" ca="1" si="156"/>
        <v>143582.74692800682</v>
      </c>
      <c r="BB330" s="772">
        <f t="shared" ca="1" si="156"/>
        <v>143582.74692800682</v>
      </c>
      <c r="BC330" s="772">
        <f t="shared" ca="1" si="156"/>
        <v>143294.81681049871</v>
      </c>
      <c r="BD330" s="772">
        <f t="shared" ca="1" si="156"/>
        <v>142998.03079393596</v>
      </c>
      <c r="BE330" s="772">
        <f t="shared" ca="1" si="156"/>
        <v>142998.03079393596</v>
      </c>
      <c r="BF330" s="772">
        <f t="shared" ca="1" si="156"/>
        <v>142691.65975943644</v>
      </c>
      <c r="BG330" s="772">
        <f t="shared" ca="1" si="156"/>
        <v>142691.65975943644</v>
      </c>
      <c r="BH330" s="772">
        <f t="shared" ca="1" si="155"/>
        <v>142374.91983575857</v>
      </c>
      <c r="BI330" s="772">
        <f t="shared" ca="1" si="155"/>
        <v>142374.91983575857</v>
      </c>
      <c r="BJ330" s="772">
        <f t="shared" ca="1" si="155"/>
        <v>143294.81681049871</v>
      </c>
      <c r="BK330" s="772">
        <f t="shared" ca="1" si="155"/>
        <v>143294.81681049871</v>
      </c>
      <c r="BL330" s="772">
        <f t="shared" ca="1" si="155"/>
        <v>143294.81681049871</v>
      </c>
      <c r="BM330" s="772">
        <f t="shared" ca="1" si="155"/>
        <v>143294.81681049871</v>
      </c>
      <c r="BN330" s="772">
        <f t="shared" ca="1" si="155"/>
        <v>142691.65975943644</v>
      </c>
      <c r="BO330" s="772">
        <f t="shared" ca="1" si="155"/>
        <v>142691.65975943644</v>
      </c>
      <c r="BP330" s="772">
        <f t="shared" ca="1" si="155"/>
        <v>142374.91983575857</v>
      </c>
      <c r="BQ330" s="772">
        <f t="shared" ca="1" si="155"/>
        <v>142374.91983575857</v>
      </c>
      <c r="BR330" s="772">
        <f t="shared" ca="1" si="155"/>
        <v>142046.96714176569</v>
      </c>
      <c r="BS330" s="772">
        <f t="shared" ca="1" si="155"/>
        <v>143294.81681049871</v>
      </c>
      <c r="BT330" s="772">
        <f t="shared" ca="1" si="155"/>
        <v>143294.81681049871</v>
      </c>
      <c r="BU330" s="772">
        <f t="shared" ca="1" si="155"/>
        <v>143294.81681049871</v>
      </c>
      <c r="BV330" s="772">
        <f t="shared" ca="1" si="155"/>
        <v>142998.03079393596</v>
      </c>
      <c r="BW330" s="772">
        <f t="shared" ca="1" si="155"/>
        <v>142998.03079393596</v>
      </c>
      <c r="BX330" s="772">
        <f t="shared" ca="1" si="160"/>
        <v>142374.91983575857</v>
      </c>
      <c r="BY330" s="772">
        <f t="shared" ca="1" si="160"/>
        <v>142374.91983575857</v>
      </c>
      <c r="BZ330" s="772">
        <f t="shared" ca="1" si="160"/>
        <v>142046.96714176569</v>
      </c>
      <c r="CA330" s="772">
        <f t="shared" ca="1" si="160"/>
        <v>142046.96714176569</v>
      </c>
      <c r="CB330" s="772">
        <f t="shared" ca="1" si="160"/>
        <v>142998.03079393596</v>
      </c>
      <c r="CC330" s="772">
        <f t="shared" ca="1" si="160"/>
        <v>142998.03079393596</v>
      </c>
      <c r="CD330" s="772">
        <f t="shared" ca="1" si="160"/>
        <v>142998.03079393596</v>
      </c>
      <c r="CE330" s="772">
        <f t="shared" ca="1" si="160"/>
        <v>142998.03079393596</v>
      </c>
      <c r="CF330" s="772">
        <f t="shared" ca="1" si="160"/>
        <v>142691.65975943644</v>
      </c>
      <c r="CG330" s="772">
        <f t="shared" ca="1" si="160"/>
        <v>142374.91983575857</v>
      </c>
      <c r="CH330" s="772">
        <f t="shared" ca="1" si="160"/>
        <v>142046.96714176569</v>
      </c>
      <c r="CI330" s="772">
        <f t="shared" ca="1" si="160"/>
        <v>142046.96714176569</v>
      </c>
      <c r="CJ330" s="772">
        <f t="shared" ca="1" si="160"/>
        <v>141706.89209933276</v>
      </c>
    </row>
    <row r="331" spans="1:88" ht="15" customHeight="1">
      <c r="A331" s="770">
        <f>'kc-Wert für Stützen'!C331</f>
        <v>383</v>
      </c>
      <c r="B331" s="768">
        <f ca="1">INDIRECT("'kc-Wert für Stützen'!"&amp;SUBSTITUTE(ADDRESS(MATCH($A331,'kc-Wert für Stützen'!$C:$C,0),MATCH(B$7,'kc-Wert für Stützen'!$A$8:$ES$8,0)+7,4),,))</f>
        <v>144910.05440052508</v>
      </c>
      <c r="C331" s="768">
        <f ca="1">INDIRECT("'kc-Wert für Stützen'!"&amp;SUBSTITUTE(ADDRESS(MATCH($A331,'kc-Wert für Stützen'!$C:$C,0),MATCH(C$7,'kc-Wert für Stützen'!$A$8:$ES$8,0)+7,4),,))</f>
        <v>144637.66994945766</v>
      </c>
      <c r="D331" s="768">
        <f ca="1">INDIRECT("'kc-Wert für Stützen'!"&amp;SUBSTITUTE(ADDRESS(MATCH($A331,'kc-Wert für Stützen'!$C:$C,0),MATCH(D$7,'kc-Wert für Stützen'!$A$8:$ES$8,0)+7,4),,))</f>
        <v>144357.78885210844</v>
      </c>
      <c r="E331" s="768">
        <f ca="1">INDIRECT("'kc-Wert für Stützen'!"&amp;SUBSTITUTE(ADDRESS(MATCH($A331,'kc-Wert für Stützen'!$C:$C,0),MATCH(E$7,'kc-Wert für Stützen'!$A$8:$ES$8,0)+7,4),,))</f>
        <v>144069.78231609974</v>
      </c>
      <c r="F331" s="768">
        <f ca="1">INDIRECT("'kc-Wert für Stützen'!"&amp;SUBSTITUTE(ADDRESS(MATCH($A331,'kc-Wert für Stützen'!$C:$C,0),MATCH(F$7,'kc-Wert für Stützen'!$A$8:$ES$8,0)+7,4),,))</f>
        <v>143772.97667205462</v>
      </c>
      <c r="G331" s="768">
        <f ca="1">INDIRECT("'kc-Wert für Stützen'!"&amp;SUBSTITUTE(ADDRESS(MATCH($A331,'kc-Wert für Stützen'!$C:$C,0),MATCH(G$7,'kc-Wert für Stützen'!$A$8:$ES$8,0)+7,4),,))</f>
        <v>143466.64897873116</v>
      </c>
      <c r="H331" s="768">
        <f ca="1">INDIRECT("'kc-Wert für Stützen'!"&amp;SUBSTITUTE(ADDRESS(MATCH($A331,'kc-Wert für Stützen'!$C:$C,0),MATCH(H$7,'kc-Wert für Stützen'!$A$8:$ES$8,0)+7,4),,))</f>
        <v>143150.02224661328</v>
      </c>
      <c r="I331" s="768">
        <f ca="1">INDIRECT("'kc-Wert für Stützen'!"&amp;SUBSTITUTE(ADDRESS(MATCH($A331,'kc-Wert für Stützen'!$C:$C,0),MATCH(I$7,'kc-Wert für Stützen'!$A$8:$ES$8,0)+7,4),,))</f>
        <v>142822.26025684935</v>
      </c>
      <c r="J331" s="768">
        <f ca="1">INDIRECT("'kc-Wert für Stützen'!"&amp;SUBSTITUTE(ADDRESS(MATCH($A331,'kc-Wert für Stützen'!$C:$C,0),MATCH(J$7,'kc-Wert für Stützen'!$A$8:$ES$8,0)+7,4),,))</f>
        <v>142482.46195647644</v>
      </c>
      <c r="K331" s="768">
        <f ca="1">INDIRECT("'kc-Wert für Stützen'!"&amp;SUBSTITUTE(ADDRESS(MATCH($A331,'kc-Wert für Stützen'!$C:$C,0),MATCH(K$7,'kc-Wert für Stützen'!$A$8:$ES$8,0)+7,4),,))</f>
        <v>142129.65541739255</v>
      </c>
      <c r="L331" s="768">
        <f ca="1">INDIRECT("'kc-Wert für Stützen'!"&amp;SUBSTITUTE(ADDRESS(MATCH($A331,'kc-Wert für Stützen'!$C:$C,0),MATCH(L$7,'kc-Wert für Stützen'!$A$8:$ES$8,0)+7,4),,))</f>
        <v>141762.79135639945</v>
      </c>
      <c r="M331" s="768">
        <f ca="1">INDIRECT("'kc-Wert für Stützen'!"&amp;SUBSTITUTE(ADDRESS(MATCH($A331,'kc-Wert für Stützen'!$C:$C,0),MATCH(M$7,'kc-Wert für Stützen'!$A$8:$ES$8,0)+7,4),,))</f>
        <v>141380.7362279454</v>
      </c>
      <c r="N331" s="768">
        <f ca="1">INDIRECT("'kc-Wert für Stützen'!"&amp;SUBSTITUTE(ADDRESS(MATCH($A331,'kc-Wert für Stützen'!$C:$C,0),MATCH(N$7,'kc-Wert für Stützen'!$A$8:$ES$8,0)+7,4),,))</f>
        <v>140982.26492133582</v>
      </c>
      <c r="O331" s="768">
        <f ca="1">INDIRECT("'kc-Wert für Stützen'!"&amp;SUBSTITUTE(ADDRESS(MATCH($A331,'kc-Wert für Stützen'!$C:$C,0),MATCH(O$7,'kc-Wert für Stützen'!$A$8:$ES$8,0)+7,4),,))</f>
        <v>140566.05312190828</v>
      </c>
      <c r="P331" s="768">
        <f ca="1">INDIRECT("'kc-Wert für Stützen'!"&amp;SUBSTITUTE(ADDRESS(MATCH($A331,'kc-Wert für Stützen'!$C:$C,0),MATCH(P$7,'kc-Wert für Stützen'!$A$8:$ES$8,0)+7,4),,))</f>
        <v>140130.66943309703</v>
      </c>
      <c r="S331" s="772">
        <f t="shared" ca="1" si="162"/>
        <v>144357.78885210844</v>
      </c>
      <c r="T331" s="772">
        <f t="shared" ca="1" si="161"/>
        <v>144357.78885210844</v>
      </c>
      <c r="U331" s="772">
        <f t="shared" ca="1" si="161"/>
        <v>144357.78885210844</v>
      </c>
      <c r="V331" s="772">
        <f t="shared" ca="1" si="161"/>
        <v>144069.78231609974</v>
      </c>
      <c r="W331" s="772">
        <f t="shared" ca="1" si="161"/>
        <v>143772.97667205462</v>
      </c>
      <c r="X331" s="772">
        <f t="shared" ca="1" si="161"/>
        <v>143466.64897873116</v>
      </c>
      <c r="Y331" s="772">
        <f t="shared" ca="1" si="161"/>
        <v>143150.02224661328</v>
      </c>
      <c r="Z331" s="772">
        <f t="shared" ca="1" si="161"/>
        <v>144357.78885210844</v>
      </c>
      <c r="AA331" s="772">
        <f t="shared" ca="1" si="161"/>
        <v>144357.78885210844</v>
      </c>
      <c r="AB331" s="772">
        <f t="shared" ref="AB331:AO331" ca="1" si="163">HLOOKUP(AB$7,$A$7:$P$348,ROW()-6)</f>
        <v>144069.78231609974</v>
      </c>
      <c r="AC331" s="772">
        <f t="shared" ca="1" si="163"/>
        <v>144069.78231609974</v>
      </c>
      <c r="AD331" s="772">
        <f t="shared" ca="1" si="163"/>
        <v>143772.97667205462</v>
      </c>
      <c r="AE331" s="772">
        <f t="shared" ca="1" si="163"/>
        <v>143772.97667205462</v>
      </c>
      <c r="AF331" s="772">
        <f t="shared" ca="1" si="163"/>
        <v>143466.64897873116</v>
      </c>
      <c r="AG331" s="772">
        <f t="shared" ca="1" si="163"/>
        <v>143466.64897873116</v>
      </c>
      <c r="AH331" s="772">
        <f t="shared" ca="1" si="163"/>
        <v>143466.64897873116</v>
      </c>
      <c r="AI331" s="772">
        <f t="shared" ca="1" si="163"/>
        <v>144357.78885210844</v>
      </c>
      <c r="AJ331" s="772">
        <f t="shared" ca="1" si="163"/>
        <v>144357.78885210844</v>
      </c>
      <c r="AK331" s="772">
        <f t="shared" ca="1" si="163"/>
        <v>144069.78231609974</v>
      </c>
      <c r="AL331" s="772">
        <f t="shared" ca="1" si="163"/>
        <v>144069.78231609974</v>
      </c>
      <c r="AM331" s="772">
        <f t="shared" ca="1" si="163"/>
        <v>143772.97667205462</v>
      </c>
      <c r="AN331" s="772">
        <f t="shared" ca="1" si="163"/>
        <v>143772.97667205462</v>
      </c>
      <c r="AO331" s="772">
        <f t="shared" ca="1" si="163"/>
        <v>143466.64897873116</v>
      </c>
      <c r="AP331" s="772">
        <f t="shared" ref="AB331:AQ347" ca="1" si="164">HLOOKUP(AP$7,$A$7:$P$348,ROW()-6)</f>
        <v>143466.64897873116</v>
      </c>
      <c r="AQ331" s="772">
        <f t="shared" ca="1" si="164"/>
        <v>143466.64897873116</v>
      </c>
      <c r="AR331" s="772">
        <f t="shared" ca="1" si="156"/>
        <v>144357.78885210844</v>
      </c>
      <c r="AS331" s="772">
        <f t="shared" ca="1" si="156"/>
        <v>144357.78885210844</v>
      </c>
      <c r="AT331" s="772">
        <f t="shared" ca="1" si="156"/>
        <v>144069.78231609974</v>
      </c>
      <c r="AU331" s="772">
        <f t="shared" ca="1" si="156"/>
        <v>144069.78231609974</v>
      </c>
      <c r="AV331" s="772">
        <f t="shared" ca="1" si="156"/>
        <v>143772.97667205462</v>
      </c>
      <c r="AW331" s="772">
        <f t="shared" ca="1" si="156"/>
        <v>143772.97667205462</v>
      </c>
      <c r="AX331" s="772">
        <f t="shared" ca="1" si="156"/>
        <v>143466.64897873116</v>
      </c>
      <c r="AY331" s="772">
        <f t="shared" ca="1" si="156"/>
        <v>143466.64897873116</v>
      </c>
      <c r="AZ331" s="772">
        <f t="shared" ca="1" si="156"/>
        <v>143466.64897873116</v>
      </c>
      <c r="BA331" s="772">
        <f t="shared" ca="1" si="156"/>
        <v>144357.78885210844</v>
      </c>
      <c r="BB331" s="772">
        <f t="shared" ca="1" si="156"/>
        <v>144357.78885210844</v>
      </c>
      <c r="BC331" s="772">
        <f t="shared" ca="1" si="156"/>
        <v>144069.78231609974</v>
      </c>
      <c r="BD331" s="772">
        <f t="shared" ca="1" si="156"/>
        <v>143772.97667205462</v>
      </c>
      <c r="BE331" s="772">
        <f t="shared" ca="1" si="156"/>
        <v>143772.97667205462</v>
      </c>
      <c r="BF331" s="772">
        <f t="shared" ca="1" si="156"/>
        <v>143466.64897873116</v>
      </c>
      <c r="BG331" s="772">
        <f t="shared" ca="1" si="156"/>
        <v>143466.64897873116</v>
      </c>
      <c r="BH331" s="772">
        <f t="shared" ca="1" si="155"/>
        <v>143150.02224661328</v>
      </c>
      <c r="BI331" s="772">
        <f t="shared" ca="1" si="155"/>
        <v>143150.02224661328</v>
      </c>
      <c r="BJ331" s="772">
        <f t="shared" ca="1" si="155"/>
        <v>144069.78231609974</v>
      </c>
      <c r="BK331" s="772">
        <f t="shared" ca="1" si="155"/>
        <v>144069.78231609974</v>
      </c>
      <c r="BL331" s="772">
        <f t="shared" ca="1" si="155"/>
        <v>144069.78231609974</v>
      </c>
      <c r="BM331" s="772">
        <f t="shared" ca="1" si="155"/>
        <v>144069.78231609974</v>
      </c>
      <c r="BN331" s="772">
        <f t="shared" ca="1" si="155"/>
        <v>143466.64897873116</v>
      </c>
      <c r="BO331" s="772">
        <f t="shared" ca="1" si="155"/>
        <v>143466.64897873116</v>
      </c>
      <c r="BP331" s="772">
        <f t="shared" ca="1" si="155"/>
        <v>143150.02224661328</v>
      </c>
      <c r="BQ331" s="772">
        <f t="shared" ca="1" si="155"/>
        <v>143150.02224661328</v>
      </c>
      <c r="BR331" s="772">
        <f t="shared" ca="1" si="155"/>
        <v>142822.26025684935</v>
      </c>
      <c r="BS331" s="772">
        <f t="shared" ca="1" si="155"/>
        <v>144069.78231609974</v>
      </c>
      <c r="BT331" s="772">
        <f t="shared" ca="1" si="155"/>
        <v>144069.78231609974</v>
      </c>
      <c r="BU331" s="772">
        <f t="shared" ca="1" si="155"/>
        <v>144069.78231609974</v>
      </c>
      <c r="BV331" s="772">
        <f t="shared" ca="1" si="155"/>
        <v>143772.97667205462</v>
      </c>
      <c r="BW331" s="772">
        <f t="shared" ca="1" si="155"/>
        <v>143772.97667205462</v>
      </c>
      <c r="BX331" s="772">
        <f t="shared" ca="1" si="160"/>
        <v>143150.02224661328</v>
      </c>
      <c r="BY331" s="772">
        <f t="shared" ca="1" si="160"/>
        <v>143150.02224661328</v>
      </c>
      <c r="BZ331" s="772">
        <f t="shared" ca="1" si="160"/>
        <v>142822.26025684935</v>
      </c>
      <c r="CA331" s="772">
        <f t="shared" ca="1" si="160"/>
        <v>142822.26025684935</v>
      </c>
      <c r="CB331" s="772">
        <f t="shared" ca="1" si="160"/>
        <v>143772.97667205462</v>
      </c>
      <c r="CC331" s="772">
        <f t="shared" ca="1" si="160"/>
        <v>143772.97667205462</v>
      </c>
      <c r="CD331" s="772">
        <f t="shared" ca="1" si="160"/>
        <v>143772.97667205462</v>
      </c>
      <c r="CE331" s="772">
        <f t="shared" ca="1" si="160"/>
        <v>143772.97667205462</v>
      </c>
      <c r="CF331" s="772">
        <f t="shared" ca="1" si="160"/>
        <v>143466.64897873116</v>
      </c>
      <c r="CG331" s="772">
        <f t="shared" ca="1" si="160"/>
        <v>143150.02224661328</v>
      </c>
      <c r="CH331" s="772">
        <f t="shared" ca="1" si="160"/>
        <v>142822.26025684935</v>
      </c>
      <c r="CI331" s="772">
        <f t="shared" ca="1" si="160"/>
        <v>142822.26025684935</v>
      </c>
      <c r="CJ331" s="772">
        <f t="shared" ca="1" si="160"/>
        <v>142482.46195647644</v>
      </c>
    </row>
    <row r="332" spans="1:88" ht="15" customHeight="1">
      <c r="A332" s="770">
        <f>'kc-Wert für Stützen'!C332</f>
        <v>384</v>
      </c>
      <c r="B332" s="768">
        <f ca="1">INDIRECT("'kc-Wert für Stützen'!"&amp;SUBSTITUTE(ADDRESS(MATCH($A332,'kc-Wert für Stützen'!$C:$C,0),MATCH(B$7,'kc-Wert für Stützen'!$A$8:$ES$8,0)+7,4),,))</f>
        <v>145687.4393956865</v>
      </c>
      <c r="C332" s="768">
        <f ca="1">INDIRECT("'kc-Wert für Stützen'!"&amp;SUBSTITUTE(ADDRESS(MATCH($A332,'kc-Wert für Stützen'!$C:$C,0),MATCH(C$7,'kc-Wert für Stützen'!$A$8:$ES$8,0)+7,4),,))</f>
        <v>145414.87775121001</v>
      </c>
      <c r="D332" s="768">
        <f ca="1">INDIRECT("'kc-Wert für Stützen'!"&amp;SUBSTITUTE(ADDRESS(MATCH($A332,'kc-Wert für Stützen'!$C:$C,0),MATCH(D$7,'kc-Wert für Stützen'!$A$8:$ES$8,0)+7,4),,))</f>
        <v>145134.86525807114</v>
      </c>
      <c r="E332" s="768">
        <f ca="1">INDIRECT("'kc-Wert für Stützen'!"&amp;SUBSTITUTE(ADDRESS(MATCH($A332,'kc-Wert für Stützen'!$C:$C,0),MATCH(E$7,'kc-Wert für Stützen'!$A$8:$ES$8,0)+7,4),,))</f>
        <v>144846.77803161286</v>
      </c>
      <c r="F332" s="768">
        <f ca="1">INDIRECT("'kc-Wert für Stützen'!"&amp;SUBSTITUTE(ADDRESS(MATCH($A332,'kc-Wert für Stützen'!$C:$C,0),MATCH(F$7,'kc-Wert für Stützen'!$A$8:$ES$8,0)+7,4),,))</f>
        <v>144549.94787021948</v>
      </c>
      <c r="G332" s="768">
        <f ca="1">INDIRECT("'kc-Wert für Stützen'!"&amp;SUBSTITUTE(ADDRESS(MATCH($A332,'kc-Wert für Stützen'!$C:$C,0),MATCH(G$7,'kc-Wert für Stützen'!$A$8:$ES$8,0)+7,4),,))</f>
        <v>144243.65792373312</v>
      </c>
      <c r="H332" s="768">
        <f ca="1">INDIRECT("'kc-Wert für Stützen'!"&amp;SUBSTITUTE(ADDRESS(MATCH($A332,'kc-Wert für Stützen'!$C:$C,0),MATCH(H$7,'kc-Wert für Stützen'!$A$8:$ES$8,0)+7,4),,))</f>
        <v>143927.13798624714</v>
      </c>
      <c r="I332" s="768">
        <f ca="1">INDIRECT("'kc-Wert für Stützen'!"&amp;SUBSTITUTE(ADDRESS(MATCH($A332,'kc-Wert für Stützen'!$C:$C,0),MATCH(I$7,'kc-Wert für Stützen'!$A$8:$ES$8,0)+7,4),,))</f>
        <v>143599.55939022187</v>
      </c>
      <c r="J332" s="768">
        <f ca="1">INDIRECT("'kc-Wert für Stützen'!"&amp;SUBSTITUTE(ADDRESS(MATCH($A332,'kc-Wert für Stützen'!$C:$C,0),MATCH(J$7,'kc-Wert für Stützen'!$A$8:$ES$8,0)+7,4),,))</f>
        <v>143260.029482682</v>
      </c>
      <c r="K332" s="768">
        <f ca="1">INDIRECT("'kc-Wert für Stützen'!"&amp;SUBSTITUTE(ADDRESS(MATCH($A332,'kc-Wert für Stützen'!$C:$C,0),MATCH(K$7,'kc-Wert für Stützen'!$A$8:$ES$8,0)+7,4),,))</f>
        <v>142907.58567043685</v>
      </c>
      <c r="L332" s="768">
        <f ca="1">INDIRECT("'kc-Wert für Stützen'!"&amp;SUBSTITUTE(ADDRESS(MATCH($A332,'kc-Wert für Stützen'!$C:$C,0),MATCH(L$7,'kc-Wert für Stützen'!$A$8:$ES$8,0)+7,4),,))</f>
        <v>142541.18903063834</v>
      </c>
      <c r="M332" s="768">
        <f ca="1">INDIRECT("'kc-Wert für Stützen'!"&amp;SUBSTITUTE(ADDRESS(MATCH($A332,'kc-Wert für Stützen'!$C:$C,0),MATCH(M$7,'kc-Wert für Stützen'!$A$8:$ES$8,0)+7,4),,))</f>
        <v>142159.71749662232</v>
      </c>
      <c r="N332" s="768">
        <f ca="1">INDIRECT("'kc-Wert für Stützen'!"&amp;SUBSTITUTE(ADDRESS(MATCH($A332,'kc-Wert für Stützen'!$C:$C,0),MATCH(N$7,'kc-Wert für Stützen'!$A$8:$ES$8,0)+7,4),,))</f>
        <v>141761.95864819895</v>
      </c>
      <c r="O332" s="768">
        <f ca="1">INDIRECT("'kc-Wert für Stützen'!"&amp;SUBSTITUTE(ADDRESS(MATCH($A332,'kc-Wert für Stützen'!$C:$C,0),MATCH(O$7,'kc-Wert für Stützen'!$A$8:$ES$8,0)+7,4),,))</f>
        <v>141346.60216204388</v>
      </c>
      <c r="P332" s="768">
        <f ca="1">INDIRECT("'kc-Wert für Stützen'!"&amp;SUBSTITUTE(ADDRESS(MATCH($A332,'kc-Wert für Stützen'!$C:$C,0),MATCH(P$7,'kc-Wert für Stützen'!$A$8:$ES$8,0)+7,4),,))</f>
        <v>140912.23201363813</v>
      </c>
      <c r="S332" s="772">
        <f t="shared" ca="1" si="162"/>
        <v>145134.86525807114</v>
      </c>
      <c r="T332" s="772">
        <f t="shared" ca="1" si="161"/>
        <v>145134.86525807114</v>
      </c>
      <c r="U332" s="772">
        <f t="shared" ca="1" si="161"/>
        <v>145134.86525807114</v>
      </c>
      <c r="V332" s="772">
        <f t="shared" ca="1" si="161"/>
        <v>144846.77803161286</v>
      </c>
      <c r="W332" s="772">
        <f t="shared" ca="1" si="161"/>
        <v>144549.94787021948</v>
      </c>
      <c r="X332" s="772">
        <f t="shared" ca="1" si="161"/>
        <v>144243.65792373312</v>
      </c>
      <c r="Y332" s="772">
        <f t="shared" ca="1" si="161"/>
        <v>143927.13798624714</v>
      </c>
      <c r="Z332" s="772">
        <f t="shared" ca="1" si="161"/>
        <v>145134.86525807114</v>
      </c>
      <c r="AA332" s="772">
        <f t="shared" ca="1" si="161"/>
        <v>145134.86525807114</v>
      </c>
      <c r="AB332" s="772">
        <f t="shared" ca="1" si="164"/>
        <v>144846.77803161286</v>
      </c>
      <c r="AC332" s="772">
        <f t="shared" ca="1" si="164"/>
        <v>144846.77803161286</v>
      </c>
      <c r="AD332" s="772">
        <f t="shared" ca="1" si="164"/>
        <v>144549.94787021948</v>
      </c>
      <c r="AE332" s="772">
        <f t="shared" ca="1" si="164"/>
        <v>144549.94787021948</v>
      </c>
      <c r="AF332" s="772">
        <f t="shared" ca="1" si="164"/>
        <v>144243.65792373312</v>
      </c>
      <c r="AG332" s="772">
        <f t="shared" ca="1" si="164"/>
        <v>144243.65792373312</v>
      </c>
      <c r="AH332" s="772">
        <f t="shared" ca="1" si="164"/>
        <v>144243.65792373312</v>
      </c>
      <c r="AI332" s="772">
        <f t="shared" ca="1" si="164"/>
        <v>145134.86525807114</v>
      </c>
      <c r="AJ332" s="772">
        <f t="shared" ca="1" si="164"/>
        <v>145134.86525807114</v>
      </c>
      <c r="AK332" s="772">
        <f t="shared" ca="1" si="164"/>
        <v>144846.77803161286</v>
      </c>
      <c r="AL332" s="772">
        <f t="shared" ca="1" si="164"/>
        <v>144846.77803161286</v>
      </c>
      <c r="AM332" s="772">
        <f t="shared" ca="1" si="164"/>
        <v>144549.94787021948</v>
      </c>
      <c r="AN332" s="772">
        <f t="shared" ca="1" si="164"/>
        <v>144549.94787021948</v>
      </c>
      <c r="AO332" s="772">
        <f t="shared" ca="1" si="164"/>
        <v>144243.65792373312</v>
      </c>
      <c r="AP332" s="772">
        <f t="shared" ca="1" si="164"/>
        <v>144243.65792373312</v>
      </c>
      <c r="AQ332" s="772">
        <f t="shared" ca="1" si="164"/>
        <v>144243.65792373312</v>
      </c>
      <c r="AR332" s="772">
        <f t="shared" ca="1" si="156"/>
        <v>145134.86525807114</v>
      </c>
      <c r="AS332" s="772">
        <f t="shared" ca="1" si="156"/>
        <v>145134.86525807114</v>
      </c>
      <c r="AT332" s="772">
        <f t="shared" ca="1" si="156"/>
        <v>144846.77803161286</v>
      </c>
      <c r="AU332" s="772">
        <f t="shared" ca="1" si="156"/>
        <v>144846.77803161286</v>
      </c>
      <c r="AV332" s="772">
        <f t="shared" ca="1" si="156"/>
        <v>144549.94787021948</v>
      </c>
      <c r="AW332" s="772">
        <f t="shared" ca="1" si="156"/>
        <v>144549.94787021948</v>
      </c>
      <c r="AX332" s="772">
        <f t="shared" ca="1" si="156"/>
        <v>144243.65792373312</v>
      </c>
      <c r="AY332" s="772">
        <f t="shared" ca="1" si="156"/>
        <v>144243.65792373312</v>
      </c>
      <c r="AZ332" s="772">
        <f t="shared" ca="1" si="156"/>
        <v>144243.65792373312</v>
      </c>
      <c r="BA332" s="772">
        <f t="shared" ca="1" si="156"/>
        <v>145134.86525807114</v>
      </c>
      <c r="BB332" s="772">
        <f t="shared" ca="1" si="156"/>
        <v>145134.86525807114</v>
      </c>
      <c r="BC332" s="772">
        <f t="shared" ca="1" si="156"/>
        <v>144846.77803161286</v>
      </c>
      <c r="BD332" s="772">
        <f t="shared" ca="1" si="156"/>
        <v>144549.94787021948</v>
      </c>
      <c r="BE332" s="772">
        <f t="shared" ca="1" si="156"/>
        <v>144549.94787021948</v>
      </c>
      <c r="BF332" s="772">
        <f t="shared" ca="1" si="156"/>
        <v>144243.65792373312</v>
      </c>
      <c r="BG332" s="772">
        <f t="shared" ca="1" si="156"/>
        <v>144243.65792373312</v>
      </c>
      <c r="BH332" s="772">
        <f t="shared" ca="1" si="155"/>
        <v>143927.13798624714</v>
      </c>
      <c r="BI332" s="772">
        <f t="shared" ca="1" si="155"/>
        <v>143927.13798624714</v>
      </c>
      <c r="BJ332" s="772">
        <f t="shared" ca="1" si="155"/>
        <v>144846.77803161286</v>
      </c>
      <c r="BK332" s="772">
        <f t="shared" ca="1" si="155"/>
        <v>144846.77803161286</v>
      </c>
      <c r="BL332" s="772">
        <f t="shared" ca="1" si="155"/>
        <v>144846.77803161286</v>
      </c>
      <c r="BM332" s="772">
        <f t="shared" ca="1" si="155"/>
        <v>144846.77803161286</v>
      </c>
      <c r="BN332" s="772">
        <f t="shared" ca="1" si="155"/>
        <v>144243.65792373312</v>
      </c>
      <c r="BO332" s="772">
        <f t="shared" ca="1" si="155"/>
        <v>144243.65792373312</v>
      </c>
      <c r="BP332" s="772">
        <f t="shared" ca="1" si="155"/>
        <v>143927.13798624714</v>
      </c>
      <c r="BQ332" s="772">
        <f t="shared" ca="1" si="155"/>
        <v>143927.13798624714</v>
      </c>
      <c r="BR332" s="772">
        <f t="shared" ca="1" si="155"/>
        <v>143599.55939022187</v>
      </c>
      <c r="BS332" s="772">
        <f t="shared" ca="1" si="155"/>
        <v>144846.77803161286</v>
      </c>
      <c r="BT332" s="772">
        <f t="shared" ref="BO332:BW348" ca="1" si="165">HLOOKUP(BT$7,$A$7:$P$348,ROW()-6)</f>
        <v>144846.77803161286</v>
      </c>
      <c r="BU332" s="772">
        <f t="shared" ca="1" si="165"/>
        <v>144846.77803161286</v>
      </c>
      <c r="BV332" s="772">
        <f t="shared" ca="1" si="165"/>
        <v>144549.94787021948</v>
      </c>
      <c r="BW332" s="772">
        <f t="shared" ca="1" si="165"/>
        <v>144549.94787021948</v>
      </c>
      <c r="BX332" s="772">
        <f t="shared" ca="1" si="160"/>
        <v>143927.13798624714</v>
      </c>
      <c r="BY332" s="772">
        <f t="shared" ca="1" si="160"/>
        <v>143927.13798624714</v>
      </c>
      <c r="BZ332" s="772">
        <f t="shared" ca="1" si="160"/>
        <v>143599.55939022187</v>
      </c>
      <c r="CA332" s="772">
        <f t="shared" ca="1" si="160"/>
        <v>143599.55939022187</v>
      </c>
      <c r="CB332" s="772">
        <f t="shared" ca="1" si="160"/>
        <v>144549.94787021948</v>
      </c>
      <c r="CC332" s="772">
        <f t="shared" ca="1" si="160"/>
        <v>144549.94787021948</v>
      </c>
      <c r="CD332" s="772">
        <f t="shared" ca="1" si="160"/>
        <v>144549.94787021948</v>
      </c>
      <c r="CE332" s="772">
        <f t="shared" ca="1" si="160"/>
        <v>144549.94787021948</v>
      </c>
      <c r="CF332" s="772">
        <f t="shared" ca="1" si="160"/>
        <v>144243.65792373312</v>
      </c>
      <c r="CG332" s="772">
        <f t="shared" ca="1" si="160"/>
        <v>143927.13798624714</v>
      </c>
      <c r="CH332" s="772">
        <f t="shared" ca="1" si="160"/>
        <v>143599.55939022187</v>
      </c>
      <c r="CI332" s="772">
        <f t="shared" ca="1" si="160"/>
        <v>143599.55939022187</v>
      </c>
      <c r="CJ332" s="772">
        <f t="shared" ca="1" si="160"/>
        <v>143260.029482682</v>
      </c>
    </row>
    <row r="333" spans="1:88" ht="15" customHeight="1">
      <c r="A333" s="770">
        <f>'kc-Wert für Stützen'!C333</f>
        <v>385</v>
      </c>
      <c r="B333" s="768">
        <f ca="1">INDIRECT("'kc-Wert für Stützen'!"&amp;SUBSTITUTE(ADDRESS(MATCH($A333,'kc-Wert für Stützen'!$C:$C,0),MATCH(B$7,'kc-Wert für Stützen'!$A$8:$ES$8,0)+7,4),,))</f>
        <v>146466.86607899686</v>
      </c>
      <c r="C333" s="768">
        <f ca="1">INDIRECT("'kc-Wert für Stützen'!"&amp;SUBSTITUTE(ADDRESS(MATCH($A333,'kc-Wert für Stützen'!$C:$C,0),MATCH(C$7,'kc-Wert für Stützen'!$A$8:$ES$8,0)+7,4),,))</f>
        <v>146194.12402672894</v>
      </c>
      <c r="D333" s="768">
        <f ca="1">INDIRECT("'kc-Wert für Stützen'!"&amp;SUBSTITUTE(ADDRESS(MATCH($A333,'kc-Wert für Stützen'!$C:$C,0),MATCH(D$7,'kc-Wert für Stützen'!$A$8:$ES$8,0)+7,4),,))</f>
        <v>145913.97645590815</v>
      </c>
      <c r="E333" s="768">
        <f ca="1">INDIRECT("'kc-Wert für Stützen'!"&amp;SUBSTITUTE(ADDRESS(MATCH($A333,'kc-Wert für Stützen'!$C:$C,0),MATCH(E$7,'kc-Wert für Stützen'!$A$8:$ES$8,0)+7,4),,))</f>
        <v>145625.80432375803</v>
      </c>
      <c r="F333" s="768">
        <f ca="1">INDIRECT("'kc-Wert für Stützen'!"&amp;SUBSTITUTE(ADDRESS(MATCH($A333,'kc-Wert für Stützen'!$C:$C,0),MATCH(F$7,'kc-Wert für Stützen'!$A$8:$ES$8,0)+7,4),,))</f>
        <v>145328.94482156271</v>
      </c>
      <c r="G333" s="768">
        <f ca="1">INDIRECT("'kc-Wert für Stützen'!"&amp;SUBSTITUTE(ADDRESS(MATCH($A333,'kc-Wert für Stützen'!$C:$C,0),MATCH(G$7,'kc-Wert für Stützen'!$A$8:$ES$8,0)+7,4),,))</f>
        <v>145022.68710525346</v>
      </c>
      <c r="H333" s="768">
        <f ca="1">INDIRECT("'kc-Wert für Stützen'!"&amp;SUBSTITUTE(ADDRESS(MATCH($A333,'kc-Wert für Stützen'!$C:$C,0),MATCH(H$7,'kc-Wert für Stützen'!$A$8:$ES$8,0)+7,4),,))</f>
        <v>144706.26765620237</v>
      </c>
      <c r="I333" s="768">
        <f ca="1">INDIRECT("'kc-Wert für Stützen'!"&amp;SUBSTITUTE(ADDRESS(MATCH($A333,'kc-Wert für Stützen'!$C:$C,0),MATCH(I$7,'kc-Wert für Stützen'!$A$8:$ES$8,0)+7,4),,))</f>
        <v>144378.86524923932</v>
      </c>
      <c r="J333" s="768">
        <f ca="1">INDIRECT("'kc-Wert für Stützen'!"&amp;SUBSTITUTE(ADDRESS(MATCH($A333,'kc-Wert für Stützen'!$C:$C,0),MATCH(J$7,'kc-Wert für Stützen'!$A$8:$ES$8,0)+7,4),,))</f>
        <v>144039.59550849971</v>
      </c>
      <c r="K333" s="768">
        <f ca="1">INDIRECT("'kc-Wert für Stützen'!"&amp;SUBSTITUTE(ADDRESS(MATCH($A333,'kc-Wert für Stützen'!$C:$C,0),MATCH(K$7,'kc-Wert für Stützen'!$A$8:$ES$8,0)+7,4),,))</f>
        <v>143687.50503756324</v>
      </c>
      <c r="L333" s="768">
        <f ca="1">INDIRECT("'kc-Wert für Stützen'!"&amp;SUBSTITUTE(ADDRESS(MATCH($A333,'kc-Wert für Stützen'!$C:$C,0),MATCH(L$7,'kc-Wert für Stützen'!$A$8:$ES$8,0)+7,4),,))</f>
        <v>143321.565119259</v>
      </c>
      <c r="M333" s="768">
        <f ca="1">INDIRECT("'kc-Wert für Stützen'!"&amp;SUBSTITUTE(ADDRESS(MATCH($A333,'kc-Wert für Stützen'!$C:$C,0),MATCH(M$7,'kc-Wert für Stützen'!$A$8:$ES$8,0)+7,4),,))</f>
        <v>142940.66499349568</v>
      </c>
      <c r="N333" s="768">
        <f ca="1">INDIRECT("'kc-Wert für Stützen'!"&amp;SUBSTITUTE(ADDRESS(MATCH($A333,'kc-Wert für Stützen'!$C:$C,0),MATCH(N$7,'kc-Wert für Stützen'!$A$8:$ES$8,0)+7,4),,))</f>
        <v>142543.60473981654</v>
      </c>
      <c r="O333" s="768">
        <f ca="1">INDIRECT("'kc-Wert für Stützen'!"&amp;SUBSTITUTE(ADDRESS(MATCH($A333,'kc-Wert für Stützen'!$C:$C,0),MATCH(O$7,'kc-Wert für Stützen'!$A$8:$ES$8,0)+7,4),,))</f>
        <v>142129.08781668558</v>
      </c>
      <c r="P333" s="768">
        <f ca="1">INDIRECT("'kc-Wert für Stützen'!"&amp;SUBSTITUTE(ADDRESS(MATCH($A333,'kc-Wert für Stützen'!$C:$C,0),MATCH(P$7,'kc-Wert für Stützen'!$A$8:$ES$8,0)+7,4),,))</f>
        <v>141695.71334373936</v>
      </c>
      <c r="S333" s="772">
        <f t="shared" ca="1" si="162"/>
        <v>145913.97645590815</v>
      </c>
      <c r="T333" s="772">
        <f t="shared" ca="1" si="161"/>
        <v>145913.97645590815</v>
      </c>
      <c r="U333" s="772">
        <f t="shared" ca="1" si="161"/>
        <v>145913.97645590815</v>
      </c>
      <c r="V333" s="772">
        <f t="shared" ca="1" si="161"/>
        <v>145625.80432375803</v>
      </c>
      <c r="W333" s="772">
        <f t="shared" ca="1" si="161"/>
        <v>145328.94482156271</v>
      </c>
      <c r="X333" s="772">
        <f t="shared" ca="1" si="161"/>
        <v>145022.68710525346</v>
      </c>
      <c r="Y333" s="772">
        <f t="shared" ca="1" si="161"/>
        <v>144706.26765620237</v>
      </c>
      <c r="Z333" s="772">
        <f t="shared" ca="1" si="161"/>
        <v>145913.97645590815</v>
      </c>
      <c r="AA333" s="772">
        <f t="shared" ca="1" si="161"/>
        <v>145913.97645590815</v>
      </c>
      <c r="AB333" s="772">
        <f t="shared" ca="1" si="164"/>
        <v>145625.80432375803</v>
      </c>
      <c r="AC333" s="772">
        <f t="shared" ca="1" si="164"/>
        <v>145625.80432375803</v>
      </c>
      <c r="AD333" s="772">
        <f t="shared" ca="1" si="164"/>
        <v>145328.94482156271</v>
      </c>
      <c r="AE333" s="772">
        <f t="shared" ca="1" si="164"/>
        <v>145328.94482156271</v>
      </c>
      <c r="AF333" s="772">
        <f t="shared" ca="1" si="164"/>
        <v>145022.68710525346</v>
      </c>
      <c r="AG333" s="772">
        <f t="shared" ca="1" si="164"/>
        <v>145022.68710525346</v>
      </c>
      <c r="AH333" s="772">
        <f t="shared" ca="1" si="164"/>
        <v>145022.68710525346</v>
      </c>
      <c r="AI333" s="772">
        <f t="shared" ca="1" si="164"/>
        <v>145913.97645590815</v>
      </c>
      <c r="AJ333" s="772">
        <f t="shared" ca="1" si="164"/>
        <v>145913.97645590815</v>
      </c>
      <c r="AK333" s="772">
        <f t="shared" ca="1" si="164"/>
        <v>145625.80432375803</v>
      </c>
      <c r="AL333" s="772">
        <f t="shared" ca="1" si="164"/>
        <v>145625.80432375803</v>
      </c>
      <c r="AM333" s="772">
        <f t="shared" ca="1" si="164"/>
        <v>145328.94482156271</v>
      </c>
      <c r="AN333" s="772">
        <f t="shared" ca="1" si="164"/>
        <v>145328.94482156271</v>
      </c>
      <c r="AO333" s="772">
        <f t="shared" ca="1" si="164"/>
        <v>145022.68710525346</v>
      </c>
      <c r="AP333" s="772">
        <f t="shared" ca="1" si="164"/>
        <v>145022.68710525346</v>
      </c>
      <c r="AQ333" s="772">
        <f t="shared" ca="1" si="164"/>
        <v>145022.68710525346</v>
      </c>
      <c r="AR333" s="772">
        <f t="shared" ca="1" si="156"/>
        <v>145913.97645590815</v>
      </c>
      <c r="AS333" s="772">
        <f t="shared" ca="1" si="156"/>
        <v>145913.97645590815</v>
      </c>
      <c r="AT333" s="772">
        <f t="shared" ref="AT333:BI333" ca="1" si="166">HLOOKUP(AT$7,$A$7:$P$348,ROW()-6)</f>
        <v>145625.80432375803</v>
      </c>
      <c r="AU333" s="772">
        <f t="shared" ca="1" si="166"/>
        <v>145625.80432375803</v>
      </c>
      <c r="AV333" s="772">
        <f t="shared" ca="1" si="166"/>
        <v>145328.94482156271</v>
      </c>
      <c r="AW333" s="772">
        <f t="shared" ca="1" si="166"/>
        <v>145328.94482156271</v>
      </c>
      <c r="AX333" s="772">
        <f t="shared" ca="1" si="166"/>
        <v>145022.68710525346</v>
      </c>
      <c r="AY333" s="772">
        <f t="shared" ca="1" si="166"/>
        <v>145022.68710525346</v>
      </c>
      <c r="AZ333" s="772">
        <f t="shared" ca="1" si="166"/>
        <v>145022.68710525346</v>
      </c>
      <c r="BA333" s="772">
        <f t="shared" ca="1" si="166"/>
        <v>145913.97645590815</v>
      </c>
      <c r="BB333" s="772">
        <f t="shared" ca="1" si="166"/>
        <v>145913.97645590815</v>
      </c>
      <c r="BC333" s="772">
        <f t="shared" ca="1" si="166"/>
        <v>145625.80432375803</v>
      </c>
      <c r="BD333" s="772">
        <f t="shared" ca="1" si="166"/>
        <v>145328.94482156271</v>
      </c>
      <c r="BE333" s="772">
        <f t="shared" ca="1" si="166"/>
        <v>145328.94482156271</v>
      </c>
      <c r="BF333" s="772">
        <f t="shared" ca="1" si="166"/>
        <v>145022.68710525346</v>
      </c>
      <c r="BG333" s="772">
        <f t="shared" ca="1" si="166"/>
        <v>145022.68710525346</v>
      </c>
      <c r="BH333" s="772">
        <f t="shared" ca="1" si="166"/>
        <v>144706.26765620237</v>
      </c>
      <c r="BI333" s="772">
        <f t="shared" ca="1" si="166"/>
        <v>144706.26765620237</v>
      </c>
      <c r="BJ333" s="772">
        <f t="shared" ref="BH333:BN348" ca="1" si="167">HLOOKUP(BJ$7,$A$7:$P$348,ROW()-6)</f>
        <v>145625.80432375803</v>
      </c>
      <c r="BK333" s="772">
        <f t="shared" ca="1" si="167"/>
        <v>145625.80432375803</v>
      </c>
      <c r="BL333" s="772">
        <f t="shared" ca="1" si="167"/>
        <v>145625.80432375803</v>
      </c>
      <c r="BM333" s="772">
        <f t="shared" ca="1" si="167"/>
        <v>145625.80432375803</v>
      </c>
      <c r="BN333" s="772">
        <f t="shared" ca="1" si="167"/>
        <v>145022.68710525346</v>
      </c>
      <c r="BO333" s="772">
        <f t="shared" ca="1" si="165"/>
        <v>145022.68710525346</v>
      </c>
      <c r="BP333" s="772">
        <f t="shared" ca="1" si="165"/>
        <v>144706.26765620237</v>
      </c>
      <c r="BQ333" s="772">
        <f t="shared" ca="1" si="165"/>
        <v>144706.26765620237</v>
      </c>
      <c r="BR333" s="772">
        <f t="shared" ca="1" si="165"/>
        <v>144378.86524923932</v>
      </c>
      <c r="BS333" s="772">
        <f t="shared" ca="1" si="165"/>
        <v>145625.80432375803</v>
      </c>
      <c r="BT333" s="772">
        <f t="shared" ca="1" si="165"/>
        <v>145625.80432375803</v>
      </c>
      <c r="BU333" s="772">
        <f t="shared" ca="1" si="165"/>
        <v>145625.80432375803</v>
      </c>
      <c r="BV333" s="772">
        <f t="shared" ca="1" si="165"/>
        <v>145328.94482156271</v>
      </c>
      <c r="BW333" s="772">
        <f t="shared" ca="1" si="165"/>
        <v>145328.94482156271</v>
      </c>
      <c r="BX333" s="772">
        <f t="shared" ca="1" si="160"/>
        <v>144706.26765620237</v>
      </c>
      <c r="BY333" s="772">
        <f t="shared" ca="1" si="160"/>
        <v>144706.26765620237</v>
      </c>
      <c r="BZ333" s="772">
        <f t="shared" ca="1" si="160"/>
        <v>144378.86524923932</v>
      </c>
      <c r="CA333" s="772">
        <f t="shared" ca="1" si="160"/>
        <v>144378.86524923932</v>
      </c>
      <c r="CB333" s="772">
        <f t="shared" ca="1" si="160"/>
        <v>145328.94482156271</v>
      </c>
      <c r="CC333" s="772">
        <f t="shared" ca="1" si="160"/>
        <v>145328.94482156271</v>
      </c>
      <c r="CD333" s="772">
        <f t="shared" ca="1" si="160"/>
        <v>145328.94482156271</v>
      </c>
      <c r="CE333" s="772">
        <f t="shared" ca="1" si="160"/>
        <v>145328.94482156271</v>
      </c>
      <c r="CF333" s="772">
        <f t="shared" ca="1" si="160"/>
        <v>145022.68710525346</v>
      </c>
      <c r="CG333" s="772">
        <f t="shared" ca="1" si="160"/>
        <v>144706.26765620237</v>
      </c>
      <c r="CH333" s="772">
        <f t="shared" ca="1" si="160"/>
        <v>144378.86524923932</v>
      </c>
      <c r="CI333" s="772">
        <f t="shared" ca="1" si="160"/>
        <v>144378.86524923932</v>
      </c>
      <c r="CJ333" s="772">
        <f t="shared" ca="1" si="160"/>
        <v>144039.59550849971</v>
      </c>
    </row>
    <row r="334" spans="1:88" ht="15" customHeight="1">
      <c r="A334" s="770">
        <f>'kc-Wert für Stützen'!C334</f>
        <v>386</v>
      </c>
      <c r="B334" s="768">
        <f ca="1">INDIRECT("'kc-Wert für Stützen'!"&amp;SUBSTITUTE(ADDRESS(MATCH($A334,'kc-Wert für Stützen'!$C:$C,0),MATCH(B$7,'kc-Wert für Stützen'!$A$8:$ES$8,0)+7,4),,))</f>
        <v>147248.33466759924</v>
      </c>
      <c r="C334" s="768">
        <f ca="1">INDIRECT("'kc-Wert für Stützen'!"&amp;SUBSTITUTE(ADDRESS(MATCH($A334,'kc-Wert für Stützen'!$C:$C,0),MATCH(C$7,'kc-Wert für Stützen'!$A$8:$ES$8,0)+7,4),,))</f>
        <v>146975.40903365196</v>
      </c>
      <c r="D334" s="768">
        <f ca="1">INDIRECT("'kc-Wert für Stützen'!"&amp;SUBSTITUTE(ADDRESS(MATCH($A334,'kc-Wert für Stützen'!$C:$C,0),MATCH(D$7,'kc-Wert für Stützen'!$A$8:$ES$8,0)+7,4),,))</f>
        <v>146695.1227507799</v>
      </c>
      <c r="E334" s="768">
        <f ca="1">INDIRECT("'kc-Wert für Stützen'!"&amp;SUBSTITUTE(ADDRESS(MATCH($A334,'kc-Wert für Stützen'!$C:$C,0),MATCH(E$7,'kc-Wert für Stützen'!$A$8:$ES$8,0)+7,4),,))</f>
        <v>146406.86155340172</v>
      </c>
      <c r="F334" s="768">
        <f ca="1">INDIRECT("'kc-Wert für Stützen'!"&amp;SUBSTITUTE(ADDRESS(MATCH($A334,'kc-Wert für Stützen'!$C:$C,0),MATCH(F$7,'kc-Wert für Stützen'!$A$8:$ES$8,0)+7,4),,))</f>
        <v>146109.96795217114</v>
      </c>
      <c r="G334" s="768">
        <f ca="1">INDIRECT("'kc-Wert für Stützen'!"&amp;SUBSTITUTE(ADDRESS(MATCH($A334,'kc-Wert für Stützen'!$C:$C,0),MATCH(G$7,'kc-Wert für Stützen'!$A$8:$ES$8,0)+7,4),,))</f>
        <v>145803.73702564137</v>
      </c>
      <c r="H334" s="768">
        <f ca="1">INDIRECT("'kc-Wert für Stützen'!"&amp;SUBSTITUTE(ADDRESS(MATCH($A334,'kc-Wert für Stützen'!$C:$C,0),MATCH(H$7,'kc-Wert für Stützen'!$A$8:$ES$8,0)+7,4),,))</f>
        <v>145487.4118478793</v>
      </c>
      <c r="I334" s="768">
        <f ca="1">INDIRECT("'kc-Wert für Stützen'!"&amp;SUBSTITUTE(ADDRESS(MATCH($A334,'kc-Wert für Stützen'!$C:$C,0),MATCH(I$7,'kc-Wert für Stützen'!$A$8:$ES$8,0)+7,4),,))</f>
        <v>145160.17852913047</v>
      </c>
      <c r="J334" s="768">
        <f ca="1">INDIRECT("'kc-Wert für Stützen'!"&amp;SUBSTITUTE(ADDRESS(MATCH($A334,'kc-Wert für Stützen'!$C:$C,0),MATCH(J$7,'kc-Wert für Stützen'!$A$8:$ES$8,0)+7,4),,))</f>
        <v>144821.16085001256</v>
      </c>
      <c r="K334" s="768">
        <f ca="1">INDIRECT("'kc-Wert für Stützen'!"&amp;SUBSTITUTE(ADDRESS(MATCH($A334,'kc-Wert für Stützen'!$C:$C,0),MATCH(K$7,'kc-Wert für Stützen'!$A$8:$ES$8,0)+7,4),,))</f>
        <v>144469.41447526001</v>
      </c>
      <c r="L334" s="768">
        <f ca="1">INDIRECT("'kc-Wert für Stützen'!"&amp;SUBSTITUTE(ADDRESS(MATCH($A334,'kc-Wert für Stützen'!$C:$C,0),MATCH(L$7,'kc-Wert für Stützen'!$A$8:$ES$8,0)+7,4),,))</f>
        <v>144103.92074151515</v>
      </c>
      <c r="M334" s="768">
        <f ca="1">INDIRECT("'kc-Wert für Stützen'!"&amp;SUBSTITUTE(ADDRESS(MATCH($A334,'kc-Wert für Stützen'!$C:$C,0),MATCH(M$7,'kc-Wert für Stützen'!$A$8:$ES$8,0)+7,4),,))</f>
        <v>143723.58002603025</v>
      </c>
      <c r="N334" s="768">
        <f ca="1">INDIRECT("'kc-Wert für Stützen'!"&amp;SUBSTITUTE(ADDRESS(MATCH($A334,'kc-Wert für Stützen'!$C:$C,0),MATCH(N$7,'kc-Wert für Stützen'!$A$8:$ES$8,0)+7,4),,))</f>
        <v>143327.20472064932</v>
      </c>
      <c r="O334" s="768">
        <f ca="1">INDIRECT("'kc-Wert für Stützen'!"&amp;SUBSTITUTE(ADDRESS(MATCH($A334,'kc-Wert für Stützen'!$C:$C,0),MATCH(O$7,'kc-Wert für Stützen'!$A$8:$ES$8,0)+7,4),,))</f>
        <v>142913.51185961012</v>
      </c>
      <c r="P334" s="768">
        <f ca="1">INDIRECT("'kc-Wert für Stützen'!"&amp;SUBSTITUTE(ADDRESS(MATCH($A334,'kc-Wert für Stützen'!$C:$C,0),MATCH(P$7,'kc-Wert für Stützen'!$A$8:$ES$8,0)+7,4),,))</f>
        <v>142481.1154824484</v>
      </c>
      <c r="S334" s="772">
        <f t="shared" ca="1" si="162"/>
        <v>146695.1227507799</v>
      </c>
      <c r="T334" s="772">
        <f t="shared" ca="1" si="161"/>
        <v>146695.1227507799</v>
      </c>
      <c r="U334" s="772">
        <f t="shared" ca="1" si="161"/>
        <v>146695.1227507799</v>
      </c>
      <c r="V334" s="772">
        <f t="shared" ca="1" si="161"/>
        <v>146406.86155340172</v>
      </c>
      <c r="W334" s="772">
        <f t="shared" ca="1" si="161"/>
        <v>146109.96795217114</v>
      </c>
      <c r="X334" s="772">
        <f t="shared" ca="1" si="161"/>
        <v>145803.73702564137</v>
      </c>
      <c r="Y334" s="772">
        <f t="shared" ca="1" si="161"/>
        <v>145487.4118478793</v>
      </c>
      <c r="Z334" s="772">
        <f t="shared" ca="1" si="161"/>
        <v>146695.1227507799</v>
      </c>
      <c r="AA334" s="772">
        <f t="shared" ca="1" si="161"/>
        <v>146695.1227507799</v>
      </c>
      <c r="AB334" s="772">
        <f t="shared" ca="1" si="164"/>
        <v>146406.86155340172</v>
      </c>
      <c r="AC334" s="772">
        <f t="shared" ca="1" si="164"/>
        <v>146406.86155340172</v>
      </c>
      <c r="AD334" s="772">
        <f t="shared" ca="1" si="164"/>
        <v>146109.96795217114</v>
      </c>
      <c r="AE334" s="772">
        <f t="shared" ca="1" si="164"/>
        <v>146109.96795217114</v>
      </c>
      <c r="AF334" s="772">
        <f t="shared" ca="1" si="164"/>
        <v>145803.73702564137</v>
      </c>
      <c r="AG334" s="772">
        <f t="shared" ca="1" si="164"/>
        <v>145803.73702564137</v>
      </c>
      <c r="AH334" s="772">
        <f t="shared" ca="1" si="164"/>
        <v>145803.73702564137</v>
      </c>
      <c r="AI334" s="772">
        <f t="shared" ca="1" si="164"/>
        <v>146695.1227507799</v>
      </c>
      <c r="AJ334" s="772">
        <f t="shared" ca="1" si="164"/>
        <v>146695.1227507799</v>
      </c>
      <c r="AK334" s="772">
        <f t="shared" ca="1" si="164"/>
        <v>146406.86155340172</v>
      </c>
      <c r="AL334" s="772">
        <f t="shared" ca="1" si="164"/>
        <v>146406.86155340172</v>
      </c>
      <c r="AM334" s="772">
        <f t="shared" ca="1" si="164"/>
        <v>146109.96795217114</v>
      </c>
      <c r="AN334" s="772">
        <f t="shared" ca="1" si="164"/>
        <v>146109.96795217114</v>
      </c>
      <c r="AO334" s="772">
        <f t="shared" ca="1" si="164"/>
        <v>145803.73702564137</v>
      </c>
      <c r="AP334" s="772">
        <f t="shared" ca="1" si="164"/>
        <v>145803.73702564137</v>
      </c>
      <c r="AQ334" s="772">
        <f t="shared" ca="1" si="164"/>
        <v>145803.73702564137</v>
      </c>
      <c r="AR334" s="772">
        <f t="shared" ref="AR334:BG348" ca="1" si="168">HLOOKUP(AR$7,$A$7:$P$348,ROW()-6)</f>
        <v>146695.1227507799</v>
      </c>
      <c r="AS334" s="772">
        <f t="shared" ca="1" si="168"/>
        <v>146695.1227507799</v>
      </c>
      <c r="AT334" s="772">
        <f t="shared" ca="1" si="168"/>
        <v>146406.86155340172</v>
      </c>
      <c r="AU334" s="772">
        <f t="shared" ca="1" si="168"/>
        <v>146406.86155340172</v>
      </c>
      <c r="AV334" s="772">
        <f t="shared" ca="1" si="168"/>
        <v>146109.96795217114</v>
      </c>
      <c r="AW334" s="772">
        <f t="shared" ca="1" si="168"/>
        <v>146109.96795217114</v>
      </c>
      <c r="AX334" s="772">
        <f t="shared" ca="1" si="168"/>
        <v>145803.73702564137</v>
      </c>
      <c r="AY334" s="772">
        <f t="shared" ca="1" si="168"/>
        <v>145803.73702564137</v>
      </c>
      <c r="AZ334" s="772">
        <f t="shared" ca="1" si="168"/>
        <v>145803.73702564137</v>
      </c>
      <c r="BA334" s="772">
        <f t="shared" ca="1" si="168"/>
        <v>146695.1227507799</v>
      </c>
      <c r="BB334" s="772">
        <f t="shared" ca="1" si="168"/>
        <v>146695.1227507799</v>
      </c>
      <c r="BC334" s="772">
        <f t="shared" ca="1" si="168"/>
        <v>146406.86155340172</v>
      </c>
      <c r="BD334" s="772">
        <f t="shared" ca="1" si="168"/>
        <v>146109.96795217114</v>
      </c>
      <c r="BE334" s="772">
        <f t="shared" ca="1" si="168"/>
        <v>146109.96795217114</v>
      </c>
      <c r="BF334" s="772">
        <f t="shared" ca="1" si="168"/>
        <v>145803.73702564137</v>
      </c>
      <c r="BG334" s="772">
        <f t="shared" ca="1" si="168"/>
        <v>145803.73702564137</v>
      </c>
      <c r="BH334" s="772">
        <f t="shared" ca="1" si="167"/>
        <v>145487.4118478793</v>
      </c>
      <c r="BI334" s="772">
        <f t="shared" ca="1" si="167"/>
        <v>145487.4118478793</v>
      </c>
      <c r="BJ334" s="772">
        <f t="shared" ca="1" si="167"/>
        <v>146406.86155340172</v>
      </c>
      <c r="BK334" s="772">
        <f t="shared" ca="1" si="167"/>
        <v>146406.86155340172</v>
      </c>
      <c r="BL334" s="772">
        <f t="shared" ca="1" si="167"/>
        <v>146406.86155340172</v>
      </c>
      <c r="BM334" s="772">
        <f t="shared" ca="1" si="167"/>
        <v>146406.86155340172</v>
      </c>
      <c r="BN334" s="772">
        <f t="shared" ca="1" si="167"/>
        <v>145803.73702564137</v>
      </c>
      <c r="BO334" s="772">
        <f t="shared" ca="1" si="165"/>
        <v>145803.73702564137</v>
      </c>
      <c r="BP334" s="772">
        <f t="shared" ca="1" si="165"/>
        <v>145487.4118478793</v>
      </c>
      <c r="BQ334" s="772">
        <f t="shared" ca="1" si="165"/>
        <v>145487.4118478793</v>
      </c>
      <c r="BR334" s="772">
        <f t="shared" ca="1" si="165"/>
        <v>145160.17852913047</v>
      </c>
      <c r="BS334" s="772">
        <f t="shared" ca="1" si="165"/>
        <v>146406.86155340172</v>
      </c>
      <c r="BT334" s="772">
        <f t="shared" ca="1" si="165"/>
        <v>146406.86155340172</v>
      </c>
      <c r="BU334" s="772">
        <f t="shared" ca="1" si="165"/>
        <v>146406.86155340172</v>
      </c>
      <c r="BV334" s="772">
        <f t="shared" ca="1" si="165"/>
        <v>146109.96795217114</v>
      </c>
      <c r="BW334" s="772">
        <f t="shared" ca="1" si="165"/>
        <v>146109.96795217114</v>
      </c>
      <c r="BX334" s="772">
        <f t="shared" ca="1" si="160"/>
        <v>145487.4118478793</v>
      </c>
      <c r="BY334" s="772">
        <f t="shared" ca="1" si="160"/>
        <v>145487.4118478793</v>
      </c>
      <c r="BZ334" s="772">
        <f t="shared" ca="1" si="160"/>
        <v>145160.17852913047</v>
      </c>
      <c r="CA334" s="772">
        <f t="shared" ca="1" si="160"/>
        <v>145160.17852913047</v>
      </c>
      <c r="CB334" s="772">
        <f t="shared" ca="1" si="160"/>
        <v>146109.96795217114</v>
      </c>
      <c r="CC334" s="772">
        <f t="shared" ca="1" si="160"/>
        <v>146109.96795217114</v>
      </c>
      <c r="CD334" s="772">
        <f t="shared" ca="1" si="160"/>
        <v>146109.96795217114</v>
      </c>
      <c r="CE334" s="772">
        <f t="shared" ca="1" si="160"/>
        <v>146109.96795217114</v>
      </c>
      <c r="CF334" s="772">
        <f t="shared" ca="1" si="160"/>
        <v>145803.73702564137</v>
      </c>
      <c r="CG334" s="772">
        <f t="shared" ca="1" si="160"/>
        <v>145487.4118478793</v>
      </c>
      <c r="CH334" s="772">
        <f t="shared" ca="1" si="160"/>
        <v>145160.17852913047</v>
      </c>
      <c r="CI334" s="772">
        <f t="shared" ca="1" si="160"/>
        <v>145160.17852913047</v>
      </c>
      <c r="CJ334" s="772">
        <f t="shared" ca="1" si="160"/>
        <v>144821.16085001256</v>
      </c>
    </row>
    <row r="335" spans="1:88" ht="15" customHeight="1">
      <c r="A335" s="770">
        <f>'kc-Wert für Stützen'!C335</f>
        <v>387</v>
      </c>
      <c r="B335" s="768">
        <f ca="1">INDIRECT("'kc-Wert für Stützen'!"&amp;SUBSTITUTE(ADDRESS(MATCH($A335,'kc-Wert für Stützen'!$C:$C,0),MATCH(B$7,'kc-Wert für Stützen'!$A$8:$ES$8,0)+7,4),,))</f>
        <v>148031.84537538522</v>
      </c>
      <c r="C335" s="768">
        <f ca="1">INDIRECT("'kc-Wert für Stützen'!"&amp;SUBSTITUTE(ADDRESS(MATCH($A335,'kc-Wert für Stützen'!$C:$C,0),MATCH(C$7,'kc-Wert für Stützen'!$A$8:$ES$8,0)+7,4),,))</f>
        <v>147758.73302567954</v>
      </c>
      <c r="D335" s="768">
        <f ca="1">INDIRECT("'kc-Wert für Stützen'!"&amp;SUBSTITUTE(ADDRESS(MATCH($A335,'kc-Wert für Stützen'!$C:$C,0),MATCH(D$7,'kc-Wert für Stützen'!$A$8:$ES$8,0)+7,4),,))</f>
        <v>147478.30444308935</v>
      </c>
      <c r="E335" s="768">
        <f ca="1">INDIRECT("'kc-Wert für Stützen'!"&amp;SUBSTITUTE(ADDRESS(MATCH($A335,'kc-Wert für Stützen'!$C:$C,0),MATCH(E$7,'kc-Wert für Stützen'!$A$8:$ES$8,0)+7,4),,))</f>
        <v>147189.95007567425</v>
      </c>
      <c r="F335" s="768">
        <f ca="1">INDIRECT("'kc-Wert für Stützen'!"&amp;SUBSTITUTE(ADDRESS(MATCH($A335,'kc-Wert für Stützen'!$C:$C,0),MATCH(F$7,'kc-Wert für Stützen'!$A$8:$ES$8,0)+7,4),,))</f>
        <v>146893.01768122971</v>
      </c>
      <c r="G335" s="768">
        <f ca="1">INDIRECT("'kc-Wert für Stützen'!"&amp;SUBSTITUTE(ADDRESS(MATCH($A335,'kc-Wert für Stützen'!$C:$C,0),MATCH(G$7,'kc-Wert für Stützen'!$A$8:$ES$8,0)+7,4),,))</f>
        <v>146586.80817895848</v>
      </c>
      <c r="H335" s="768">
        <f ca="1">INDIRECT("'kc-Wert für Stützen'!"&amp;SUBSTITUTE(ADDRESS(MATCH($A335,'kc-Wert für Stützen'!$C:$C,0),MATCH(H$7,'kc-Wert für Stützen'!$A$8:$ES$8,0)+7,4),,))</f>
        <v>146270.57114274846</v>
      </c>
      <c r="I335" s="768">
        <f ca="1">INDIRECT("'kc-Wert für Stützen'!"&amp;SUBSTITUTE(ADDRESS(MATCH($A335,'kc-Wert für Stützen'!$C:$C,0),MATCH(I$7,'kc-Wert für Stützen'!$A$8:$ES$8,0)+7,4),,))</f>
        <v>145943.49991325269</v>
      </c>
      <c r="J335" s="768">
        <f ca="1">INDIRECT("'kc-Wert für Stützen'!"&amp;SUBSTITUTE(ADDRESS(MATCH($A335,'kc-Wert für Stützen'!$C:$C,0),MATCH(J$7,'kc-Wert für Stützen'!$A$8:$ES$8,0)+7,4),,))</f>
        <v>145604.7263091449</v>
      </c>
      <c r="K335" s="768">
        <f ca="1">INDIRECT("'kc-Wert für Stützen'!"&amp;SUBSTITUTE(ADDRESS(MATCH($A335,'kc-Wert für Stützen'!$C:$C,0),MATCH(K$7,'kc-Wert für Stützen'!$A$8:$ES$8,0)+7,4),,))</f>
        <v>145253.31492317206</v>
      </c>
      <c r="L335" s="768">
        <f ca="1">INDIRECT("'kc-Wert für Stützen'!"&amp;SUBSTITUTE(ADDRESS(MATCH($A335,'kc-Wert für Stützen'!$C:$C,0),MATCH(L$7,'kc-Wert für Stützen'!$A$8:$ES$8,0)+7,4),,))</f>
        <v>144888.25699667833</v>
      </c>
      <c r="M335" s="768">
        <f ca="1">INDIRECT("'kc-Wert für Stützen'!"&amp;SUBSTITUTE(ADDRESS(MATCH($A335,'kc-Wert für Stützen'!$C:$C,0),MATCH(M$7,'kc-Wert für Stützen'!$A$8:$ES$8,0)+7,4),,))</f>
        <v>144508.4638780597</v>
      </c>
      <c r="N335" s="768">
        <f ca="1">INDIRECT("'kc-Wert für Stützen'!"&amp;SUBSTITUTE(ADDRESS(MATCH($A335,'kc-Wert für Stützen'!$C:$C,0),MATCH(N$7,'kc-Wert für Stützen'!$A$8:$ES$8,0)+7,4),,))</f>
        <v>144112.7600873085</v>
      </c>
      <c r="O335" s="768">
        <f ca="1">INDIRECT("'kc-Wert für Stützen'!"&amp;SUBSTITUTE(ADDRESS(MATCH($A335,'kc-Wert für Stützen'!$C:$C,0),MATCH(O$7,'kc-Wert für Stützen'!$A$8:$ES$8,0)+7,4),,))</f>
        <v>143699.87603190489</v>
      </c>
      <c r="P335" s="768">
        <f ca="1">INDIRECT("'kc-Wert für Stützen'!"&amp;SUBSTITUTE(ADDRESS(MATCH($A335,'kc-Wert für Stützen'!$C:$C,0),MATCH(P$7,'kc-Wert für Stützen'!$A$8:$ES$8,0)+7,4),,))</f>
        <v>143268.44045062017</v>
      </c>
      <c r="S335" s="772">
        <f t="shared" ca="1" si="162"/>
        <v>147478.30444308935</v>
      </c>
      <c r="T335" s="772">
        <f t="shared" ca="1" si="161"/>
        <v>147478.30444308935</v>
      </c>
      <c r="U335" s="772">
        <f t="shared" ca="1" si="161"/>
        <v>147478.30444308935</v>
      </c>
      <c r="V335" s="772">
        <f t="shared" ca="1" si="161"/>
        <v>147189.95007567425</v>
      </c>
      <c r="W335" s="772">
        <f t="shared" ca="1" si="161"/>
        <v>146893.01768122971</v>
      </c>
      <c r="X335" s="772">
        <f t="shared" ca="1" si="161"/>
        <v>146586.80817895848</v>
      </c>
      <c r="Y335" s="772">
        <f t="shared" ca="1" si="161"/>
        <v>146270.57114274846</v>
      </c>
      <c r="Z335" s="772">
        <f t="shared" ca="1" si="161"/>
        <v>147478.30444308935</v>
      </c>
      <c r="AA335" s="772">
        <f t="shared" ca="1" si="161"/>
        <v>147478.30444308935</v>
      </c>
      <c r="AB335" s="772">
        <f t="shared" ca="1" si="164"/>
        <v>147189.95007567425</v>
      </c>
      <c r="AC335" s="772">
        <f t="shared" ca="1" si="164"/>
        <v>147189.95007567425</v>
      </c>
      <c r="AD335" s="772">
        <f t="shared" ca="1" si="164"/>
        <v>146893.01768122971</v>
      </c>
      <c r="AE335" s="772">
        <f t="shared" ca="1" si="164"/>
        <v>146893.01768122971</v>
      </c>
      <c r="AF335" s="772">
        <f t="shared" ca="1" si="164"/>
        <v>146586.80817895848</v>
      </c>
      <c r="AG335" s="772">
        <f t="shared" ca="1" si="164"/>
        <v>146586.80817895848</v>
      </c>
      <c r="AH335" s="772">
        <f t="shared" ca="1" si="164"/>
        <v>146586.80817895848</v>
      </c>
      <c r="AI335" s="772">
        <f t="shared" ca="1" si="164"/>
        <v>147478.30444308935</v>
      </c>
      <c r="AJ335" s="772">
        <f t="shared" ca="1" si="164"/>
        <v>147478.30444308935</v>
      </c>
      <c r="AK335" s="772">
        <f t="shared" ca="1" si="164"/>
        <v>147189.95007567425</v>
      </c>
      <c r="AL335" s="772">
        <f t="shared" ca="1" si="164"/>
        <v>147189.95007567425</v>
      </c>
      <c r="AM335" s="772">
        <f t="shared" ca="1" si="164"/>
        <v>146893.01768122971</v>
      </c>
      <c r="AN335" s="772">
        <f t="shared" ca="1" si="164"/>
        <v>146893.01768122971</v>
      </c>
      <c r="AO335" s="772">
        <f t="shared" ca="1" si="164"/>
        <v>146586.80817895848</v>
      </c>
      <c r="AP335" s="772">
        <f t="shared" ca="1" si="164"/>
        <v>146586.80817895848</v>
      </c>
      <c r="AQ335" s="772">
        <f t="shared" ca="1" si="164"/>
        <v>146586.80817895848</v>
      </c>
      <c r="AR335" s="772">
        <f t="shared" ca="1" si="168"/>
        <v>147478.30444308935</v>
      </c>
      <c r="AS335" s="772">
        <f t="shared" ca="1" si="168"/>
        <v>147478.30444308935</v>
      </c>
      <c r="AT335" s="772">
        <f t="shared" ca="1" si="168"/>
        <v>147189.95007567425</v>
      </c>
      <c r="AU335" s="772">
        <f t="shared" ca="1" si="168"/>
        <v>147189.95007567425</v>
      </c>
      <c r="AV335" s="772">
        <f t="shared" ca="1" si="168"/>
        <v>146893.01768122971</v>
      </c>
      <c r="AW335" s="772">
        <f t="shared" ca="1" si="168"/>
        <v>146893.01768122971</v>
      </c>
      <c r="AX335" s="772">
        <f t="shared" ca="1" si="168"/>
        <v>146586.80817895848</v>
      </c>
      <c r="AY335" s="772">
        <f t="shared" ca="1" si="168"/>
        <v>146586.80817895848</v>
      </c>
      <c r="AZ335" s="772">
        <f t="shared" ca="1" si="168"/>
        <v>146586.80817895848</v>
      </c>
      <c r="BA335" s="772">
        <f t="shared" ca="1" si="168"/>
        <v>147478.30444308935</v>
      </c>
      <c r="BB335" s="772">
        <f t="shared" ca="1" si="168"/>
        <v>147478.30444308935</v>
      </c>
      <c r="BC335" s="772">
        <f t="shared" ca="1" si="168"/>
        <v>147189.95007567425</v>
      </c>
      <c r="BD335" s="772">
        <f t="shared" ca="1" si="168"/>
        <v>146893.01768122971</v>
      </c>
      <c r="BE335" s="772">
        <f t="shared" ca="1" si="168"/>
        <v>146893.01768122971</v>
      </c>
      <c r="BF335" s="772">
        <f t="shared" ca="1" si="168"/>
        <v>146586.80817895848</v>
      </c>
      <c r="BG335" s="772">
        <f t="shared" ca="1" si="168"/>
        <v>146586.80817895848</v>
      </c>
      <c r="BH335" s="772">
        <f t="shared" ca="1" si="167"/>
        <v>146270.57114274846</v>
      </c>
      <c r="BI335" s="772">
        <f t="shared" ca="1" si="167"/>
        <v>146270.57114274846</v>
      </c>
      <c r="BJ335" s="772">
        <f t="shared" ca="1" si="167"/>
        <v>147189.95007567425</v>
      </c>
      <c r="BK335" s="772">
        <f t="shared" ca="1" si="167"/>
        <v>147189.95007567425</v>
      </c>
      <c r="BL335" s="772">
        <f t="shared" ca="1" si="167"/>
        <v>147189.95007567425</v>
      </c>
      <c r="BM335" s="772">
        <f t="shared" ca="1" si="167"/>
        <v>147189.95007567425</v>
      </c>
      <c r="BN335" s="772">
        <f t="shared" ca="1" si="167"/>
        <v>146586.80817895848</v>
      </c>
      <c r="BO335" s="772">
        <f t="shared" ca="1" si="165"/>
        <v>146586.80817895848</v>
      </c>
      <c r="BP335" s="772">
        <f t="shared" ca="1" si="165"/>
        <v>146270.57114274846</v>
      </c>
      <c r="BQ335" s="772">
        <f t="shared" ca="1" si="165"/>
        <v>146270.57114274846</v>
      </c>
      <c r="BR335" s="772">
        <f t="shared" ca="1" si="165"/>
        <v>145943.49991325269</v>
      </c>
      <c r="BS335" s="772">
        <f t="shared" ca="1" si="165"/>
        <v>147189.95007567425</v>
      </c>
      <c r="BT335" s="772">
        <f t="shared" ca="1" si="165"/>
        <v>147189.95007567425</v>
      </c>
      <c r="BU335" s="772">
        <f t="shared" ca="1" si="165"/>
        <v>147189.95007567425</v>
      </c>
      <c r="BV335" s="772">
        <f t="shared" ca="1" si="165"/>
        <v>146893.01768122971</v>
      </c>
      <c r="BW335" s="772">
        <f t="shared" ca="1" si="165"/>
        <v>146893.01768122971</v>
      </c>
      <c r="BX335" s="772">
        <f t="shared" ca="1" si="160"/>
        <v>146270.57114274846</v>
      </c>
      <c r="BY335" s="772">
        <f t="shared" ca="1" si="160"/>
        <v>146270.57114274846</v>
      </c>
      <c r="BZ335" s="772">
        <f t="shared" ca="1" si="160"/>
        <v>145943.49991325269</v>
      </c>
      <c r="CA335" s="772">
        <f t="shared" ca="1" si="160"/>
        <v>145943.49991325269</v>
      </c>
      <c r="CB335" s="772">
        <f t="shared" ca="1" si="160"/>
        <v>146893.01768122971</v>
      </c>
      <c r="CC335" s="772">
        <f t="shared" ca="1" si="160"/>
        <v>146893.01768122971</v>
      </c>
      <c r="CD335" s="772">
        <f t="shared" ca="1" si="160"/>
        <v>146893.01768122971</v>
      </c>
      <c r="CE335" s="772">
        <f t="shared" ca="1" si="160"/>
        <v>146893.01768122971</v>
      </c>
      <c r="CF335" s="772">
        <f t="shared" ca="1" si="160"/>
        <v>146586.80817895848</v>
      </c>
      <c r="CG335" s="772">
        <f t="shared" ca="1" si="160"/>
        <v>146270.57114274846</v>
      </c>
      <c r="CH335" s="772">
        <f t="shared" ca="1" si="160"/>
        <v>145943.49991325269</v>
      </c>
      <c r="CI335" s="772">
        <f t="shared" ca="1" si="160"/>
        <v>145943.49991325269</v>
      </c>
      <c r="CJ335" s="772">
        <f t="shared" ca="1" si="160"/>
        <v>145604.7263091449</v>
      </c>
    </row>
    <row r="336" spans="1:88" ht="15" customHeight="1">
      <c r="A336" s="770">
        <f>'kc-Wert für Stützen'!C336</f>
        <v>388</v>
      </c>
      <c r="B336" s="768">
        <f ca="1">INDIRECT("'kc-Wert für Stützen'!"&amp;SUBSTITUTE(ADDRESS(MATCH($A336,'kc-Wert für Stützen'!$C:$C,0),MATCH(B$7,'kc-Wert für Stützen'!$A$8:$ES$8,0)+7,4),,))</f>
        <v>148817.39841305619</v>
      </c>
      <c r="C336" s="768">
        <f ca="1">INDIRECT("'kc-Wert für Stützen'!"&amp;SUBSTITUTE(ADDRESS(MATCH($A336,'kc-Wert für Stützen'!$C:$C,0),MATCH(C$7,'kc-Wert für Stützen'!$A$8:$ES$8,0)+7,4),,))</f>
        <v>148544.09625265066</v>
      </c>
      <c r="D336" s="768">
        <f ca="1">INDIRECT("'kc-Wert für Stützen'!"&amp;SUBSTITUTE(ADDRESS(MATCH($A336,'kc-Wert für Stützen'!$C:$C,0),MATCH(D$7,'kc-Wert für Stützen'!$A$8:$ES$8,0)+7,4),,))</f>
        <v>148263.5218285755</v>
      </c>
      <c r="E336" s="768">
        <f ca="1">INDIRECT("'kc-Wert für Stützen'!"&amp;SUBSTITUTE(ADDRESS(MATCH($A336,'kc-Wert für Stützen'!$C:$C,0),MATCH(E$7,'kc-Wert für Stützen'!$A$8:$ES$8,0)+7,4),,))</f>
        <v>147975.07024008426</v>
      </c>
      <c r="F336" s="768">
        <f ca="1">INDIRECT("'kc-Wert für Stützen'!"&amp;SUBSTITUTE(ADDRESS(MATCH($A336,'kc-Wert für Stützen'!$C:$C,0),MATCH(F$7,'kc-Wert für Stützen'!$A$8:$ES$8,0)+7,4),,))</f>
        <v>147678.09442116084</v>
      </c>
      <c r="G336" s="768">
        <f ca="1">INDIRECT("'kc-Wert für Stützen'!"&amp;SUBSTITUTE(ADDRESS(MATCH($A336,'kc-Wert für Stützen'!$C:$C,0),MATCH(G$7,'kc-Wert für Stützen'!$A$8:$ES$8,0)+7,4),,))</f>
        <v>147371.90105114906</v>
      </c>
      <c r="H336" s="768">
        <f ca="1">INDIRECT("'kc-Wert für Stützen'!"&amp;SUBSTITUTE(ADDRESS(MATCH($A336,'kc-Wert für Stützen'!$C:$C,0),MATCH(H$7,'kc-Wert für Stützen'!$A$8:$ES$8,0)+7,4),,))</f>
        <v>147055.74611255704</v>
      </c>
      <c r="I336" s="768">
        <f ca="1">INDIRECT("'kc-Wert für Stützen'!"&amp;SUBSTITUTE(ADDRESS(MATCH($A336,'kc-Wert für Stützen'!$C:$C,0),MATCH(I$7,'kc-Wert für Stützen'!$A$8:$ES$8,0)+7,4),,))</f>
        <v>146728.83007334237</v>
      </c>
      <c r="J336" s="768">
        <f ca="1">INDIRECT("'kc-Wert für Stützen'!"&amp;SUBSTITUTE(ADDRESS(MATCH($A336,'kc-Wert für Stützen'!$C:$C,0),MATCH(J$7,'kc-Wert für Stützen'!$A$8:$ES$8,0)+7,4),,))</f>
        <v>146390.29267396423</v>
      </c>
      <c r="K336" s="768">
        <f ca="1">INDIRECT("'kc-Wert für Stützen'!"&amp;SUBSTITUTE(ADDRESS(MATCH($A336,'kc-Wert für Stützen'!$C:$C,0),MATCH(K$7,'kc-Wert für Stützen'!$A$8:$ES$8,0)+7,4),,))</f>
        <v>146039.20730446256</v>
      </c>
      <c r="L336" s="768">
        <f ca="1">INDIRECT("'kc-Wert für Stützen'!"&amp;SUBSTITUTE(ADDRESS(MATCH($A336,'kc-Wert für Stützen'!$C:$C,0),MATCH(L$7,'kc-Wert für Stützen'!$A$8:$ES$8,0)+7,4),,))</f>
        <v>145674.57496447087</v>
      </c>
      <c r="M336" s="768">
        <f ca="1">INDIRECT("'kc-Wert für Stützen'!"&amp;SUBSTITUTE(ADDRESS(MATCH($A336,'kc-Wert für Stützen'!$C:$C,0),MATCH(M$7,'kc-Wert für Stützen'!$A$8:$ES$8,0)+7,4),,))</f>
        <v>145295.31781029986</v>
      </c>
      <c r="N336" s="768">
        <f ca="1">INDIRECT("'kc-Wert für Stützen'!"&amp;SUBSTITUTE(ADDRESS(MATCH($A336,'kc-Wert für Stützen'!$C:$C,0),MATCH(N$7,'kc-Wert für Stützen'!$A$8:$ES$8,0)+7,4),,))</f>
        <v>144900.27230916239</v>
      </c>
      <c r="O336" s="768">
        <f ca="1">INDIRECT("'kc-Wert für Stützen'!"&amp;SUBSTITUTE(ADDRESS(MATCH($A336,'kc-Wert für Stützen'!$C:$C,0),MATCH(O$7,'kc-Wert für Stützen'!$A$8:$ES$8,0)+7,4),,))</f>
        <v>144488.18204267891</v>
      </c>
      <c r="P336" s="768">
        <f ca="1">INDIRECT("'kc-Wert für Stützen'!"&amp;SUBSTITUTE(ADDRESS(MATCH($A336,'kc-Wert für Stützen'!$C:$C,0),MATCH(P$7,'kc-Wert für Stützen'!$A$8:$ES$8,0)+7,4),,))</f>
        <v>144057.69023174321</v>
      </c>
      <c r="S336" s="772">
        <f t="shared" ca="1" si="162"/>
        <v>148263.5218285755</v>
      </c>
      <c r="T336" s="772">
        <f t="shared" ca="1" si="161"/>
        <v>148263.5218285755</v>
      </c>
      <c r="U336" s="772">
        <f t="shared" ca="1" si="161"/>
        <v>148263.5218285755</v>
      </c>
      <c r="V336" s="772">
        <f t="shared" ca="1" si="161"/>
        <v>147975.07024008426</v>
      </c>
      <c r="W336" s="772">
        <f t="shared" ca="1" si="161"/>
        <v>147678.09442116084</v>
      </c>
      <c r="X336" s="772">
        <f t="shared" ca="1" si="161"/>
        <v>147371.90105114906</v>
      </c>
      <c r="Y336" s="772">
        <f t="shared" ca="1" si="161"/>
        <v>147055.74611255704</v>
      </c>
      <c r="Z336" s="772">
        <f t="shared" ca="1" si="161"/>
        <v>148263.5218285755</v>
      </c>
      <c r="AA336" s="772">
        <f t="shared" ca="1" si="161"/>
        <v>148263.5218285755</v>
      </c>
      <c r="AB336" s="772">
        <f t="shared" ca="1" si="164"/>
        <v>147975.07024008426</v>
      </c>
      <c r="AC336" s="772">
        <f t="shared" ca="1" si="164"/>
        <v>147975.07024008426</v>
      </c>
      <c r="AD336" s="772">
        <f t="shared" ca="1" si="164"/>
        <v>147678.09442116084</v>
      </c>
      <c r="AE336" s="772">
        <f t="shared" ca="1" si="164"/>
        <v>147678.09442116084</v>
      </c>
      <c r="AF336" s="772">
        <f t="shared" ca="1" si="164"/>
        <v>147371.90105114906</v>
      </c>
      <c r="AG336" s="772">
        <f t="shared" ca="1" si="164"/>
        <v>147371.90105114906</v>
      </c>
      <c r="AH336" s="772">
        <f t="shared" ca="1" si="164"/>
        <v>147371.90105114906</v>
      </c>
      <c r="AI336" s="772">
        <f t="shared" ca="1" si="164"/>
        <v>148263.5218285755</v>
      </c>
      <c r="AJ336" s="772">
        <f t="shared" ca="1" si="164"/>
        <v>148263.5218285755</v>
      </c>
      <c r="AK336" s="772">
        <f t="shared" ca="1" si="164"/>
        <v>147975.07024008426</v>
      </c>
      <c r="AL336" s="772">
        <f t="shared" ca="1" si="164"/>
        <v>147975.07024008426</v>
      </c>
      <c r="AM336" s="772">
        <f t="shared" ca="1" si="164"/>
        <v>147678.09442116084</v>
      </c>
      <c r="AN336" s="772">
        <f t="shared" ca="1" si="164"/>
        <v>147678.09442116084</v>
      </c>
      <c r="AO336" s="772">
        <f t="shared" ca="1" si="164"/>
        <v>147371.90105114906</v>
      </c>
      <c r="AP336" s="772">
        <f t="shared" ca="1" si="164"/>
        <v>147371.90105114906</v>
      </c>
      <c r="AQ336" s="772">
        <f t="shared" ca="1" si="164"/>
        <v>147371.90105114906</v>
      </c>
      <c r="AR336" s="772">
        <f t="shared" ca="1" si="168"/>
        <v>148263.5218285755</v>
      </c>
      <c r="AS336" s="772">
        <f t="shared" ca="1" si="168"/>
        <v>148263.5218285755</v>
      </c>
      <c r="AT336" s="772">
        <f t="shared" ca="1" si="168"/>
        <v>147975.07024008426</v>
      </c>
      <c r="AU336" s="772">
        <f t="shared" ca="1" si="168"/>
        <v>147975.07024008426</v>
      </c>
      <c r="AV336" s="772">
        <f t="shared" ca="1" si="168"/>
        <v>147678.09442116084</v>
      </c>
      <c r="AW336" s="772">
        <f t="shared" ca="1" si="168"/>
        <v>147678.09442116084</v>
      </c>
      <c r="AX336" s="772">
        <f t="shared" ca="1" si="168"/>
        <v>147371.90105114906</v>
      </c>
      <c r="AY336" s="772">
        <f t="shared" ca="1" si="168"/>
        <v>147371.90105114906</v>
      </c>
      <c r="AZ336" s="772">
        <f t="shared" ca="1" si="168"/>
        <v>147371.90105114906</v>
      </c>
      <c r="BA336" s="772">
        <f t="shared" ca="1" si="168"/>
        <v>148263.5218285755</v>
      </c>
      <c r="BB336" s="772">
        <f t="shared" ca="1" si="168"/>
        <v>148263.5218285755</v>
      </c>
      <c r="BC336" s="772">
        <f t="shared" ca="1" si="168"/>
        <v>147975.07024008426</v>
      </c>
      <c r="BD336" s="772">
        <f t="shared" ca="1" si="168"/>
        <v>147678.09442116084</v>
      </c>
      <c r="BE336" s="772">
        <f t="shared" ca="1" si="168"/>
        <v>147678.09442116084</v>
      </c>
      <c r="BF336" s="772">
        <f t="shared" ca="1" si="168"/>
        <v>147371.90105114906</v>
      </c>
      <c r="BG336" s="772">
        <f t="shared" ca="1" si="168"/>
        <v>147371.90105114906</v>
      </c>
      <c r="BH336" s="772">
        <f t="shared" ca="1" si="167"/>
        <v>147055.74611255704</v>
      </c>
      <c r="BI336" s="772">
        <f t="shared" ca="1" si="167"/>
        <v>147055.74611255704</v>
      </c>
      <c r="BJ336" s="772">
        <f t="shared" ca="1" si="167"/>
        <v>147975.07024008426</v>
      </c>
      <c r="BK336" s="772">
        <f t="shared" ca="1" si="167"/>
        <v>147975.07024008426</v>
      </c>
      <c r="BL336" s="772">
        <f t="shared" ca="1" si="167"/>
        <v>147975.07024008426</v>
      </c>
      <c r="BM336" s="772">
        <f t="shared" ca="1" si="167"/>
        <v>147975.07024008426</v>
      </c>
      <c r="BN336" s="772">
        <f t="shared" ca="1" si="167"/>
        <v>147371.90105114906</v>
      </c>
      <c r="BO336" s="772">
        <f t="shared" ca="1" si="165"/>
        <v>147371.90105114906</v>
      </c>
      <c r="BP336" s="772">
        <f t="shared" ca="1" si="165"/>
        <v>147055.74611255704</v>
      </c>
      <c r="BQ336" s="772">
        <f t="shared" ca="1" si="165"/>
        <v>147055.74611255704</v>
      </c>
      <c r="BR336" s="772">
        <f t="shared" ca="1" si="165"/>
        <v>146728.83007334237</v>
      </c>
      <c r="BS336" s="772">
        <f t="shared" ca="1" si="165"/>
        <v>147975.07024008426</v>
      </c>
      <c r="BT336" s="772">
        <f t="shared" ca="1" si="165"/>
        <v>147975.07024008426</v>
      </c>
      <c r="BU336" s="772">
        <f t="shared" ca="1" si="165"/>
        <v>147975.07024008426</v>
      </c>
      <c r="BV336" s="772">
        <f t="shared" ca="1" si="165"/>
        <v>147678.09442116084</v>
      </c>
      <c r="BW336" s="772">
        <f t="shared" ca="1" si="165"/>
        <v>147678.09442116084</v>
      </c>
      <c r="BX336" s="772">
        <f t="shared" ca="1" si="160"/>
        <v>147055.74611255704</v>
      </c>
      <c r="BY336" s="772">
        <f t="shared" ca="1" si="160"/>
        <v>147055.74611255704</v>
      </c>
      <c r="BZ336" s="772">
        <f t="shared" ca="1" si="160"/>
        <v>146728.83007334237</v>
      </c>
      <c r="CA336" s="772">
        <f t="shared" ca="1" si="160"/>
        <v>146728.83007334237</v>
      </c>
      <c r="CB336" s="772">
        <f t="shared" ca="1" si="160"/>
        <v>147678.09442116084</v>
      </c>
      <c r="CC336" s="772">
        <f t="shared" ca="1" si="160"/>
        <v>147678.09442116084</v>
      </c>
      <c r="CD336" s="772">
        <f t="shared" ca="1" si="160"/>
        <v>147678.09442116084</v>
      </c>
      <c r="CE336" s="772">
        <f t="shared" ca="1" si="160"/>
        <v>147678.09442116084</v>
      </c>
      <c r="CF336" s="772">
        <f t="shared" ca="1" si="160"/>
        <v>147371.90105114906</v>
      </c>
      <c r="CG336" s="772">
        <f t="shared" ca="1" si="160"/>
        <v>147055.74611255704</v>
      </c>
      <c r="CH336" s="772">
        <f t="shared" ca="1" si="160"/>
        <v>146728.83007334237</v>
      </c>
      <c r="CI336" s="772">
        <f t="shared" ca="1" si="160"/>
        <v>146728.83007334237</v>
      </c>
      <c r="CJ336" s="772">
        <f t="shared" ca="1" si="160"/>
        <v>146390.29267396423</v>
      </c>
    </row>
    <row r="337" spans="1:88" ht="15" customHeight="1">
      <c r="A337" s="770">
        <f>'kc-Wert für Stützen'!C337</f>
        <v>389</v>
      </c>
      <c r="B337" s="768">
        <f ca="1">INDIRECT("'kc-Wert für Stützen'!"&amp;SUBSTITUTE(ADDRESS(MATCH($A337,'kc-Wert für Stützen'!$C:$C,0),MATCH(B$7,'kc-Wert für Stützen'!$A$8:$ES$8,0)+7,4),,))</f>
        <v>149604.99398818417</v>
      </c>
      <c r="C337" s="768">
        <f ca="1">INDIRECT("'kc-Wert für Stützen'!"&amp;SUBSTITUTE(ADDRESS(MATCH($A337,'kc-Wert für Stützen'!$C:$C,0),MATCH(C$7,'kc-Wert für Stützen'!$A$8:$ES$8,0)+7,4),,))</f>
        <v>149331.49896061735</v>
      </c>
      <c r="D337" s="768">
        <f ca="1">INDIRECT("'kc-Wert für Stützen'!"&amp;SUBSTITUTE(ADDRESS(MATCH($A337,'kc-Wert für Stützen'!$C:$C,0),MATCH(D$7,'kc-Wert für Stützen'!$A$8:$ES$8,0)+7,4),,))</f>
        <v>149050.77519840462</v>
      </c>
      <c r="E337" s="768">
        <f ca="1">INDIRECT("'kc-Wert für Stützen'!"&amp;SUBSTITUTE(ADDRESS(MATCH($A337,'kc-Wert für Stützen'!$C:$C,0),MATCH(E$7,'kc-Wert für Stützen'!$A$8:$ES$8,0)+7,4),,))</f>
        <v>148762.22239063011</v>
      </c>
      <c r="F337" s="768">
        <f ca="1">INDIRECT("'kc-Wert für Stützen'!"&amp;SUBSTITUTE(ADDRESS(MATCH($A337,'kc-Wert für Stützen'!$C:$C,0),MATCH(F$7,'kc-Wert für Stützen'!$A$8:$ES$8,0)+7,4),,))</f>
        <v>148465.19857776121</v>
      </c>
      <c r="G337" s="768">
        <f ca="1">INDIRECT("'kc-Wert für Stützen'!"&amp;SUBSTITUTE(ADDRESS(MATCH($A337,'kc-Wert für Stützen'!$C:$C,0),MATCH(G$7,'kc-Wert für Stützen'!$A$8:$ES$8,0)+7,4),,))</f>
        <v>148159.01612020592</v>
      </c>
      <c r="H337" s="768">
        <f ca="1">INDIRECT("'kc-Wert für Stützen'!"&amp;SUBSTITUTE(ADDRESS(MATCH($A337,'kc-Wert für Stützen'!$C:$C,0),MATCH(H$7,'kc-Wert für Stützen'!$A$8:$ES$8,0)+7,4),,))</f>
        <v>147842.93731953061</v>
      </c>
      <c r="I337" s="768">
        <f ca="1">INDIRECT("'kc-Wert für Stützen'!"&amp;SUBSTITUTE(ADDRESS(MATCH($A337,'kc-Wert für Stützen'!$C:$C,0),MATCH(I$7,'kc-Wert für Stützen'!$A$8:$ES$8,0)+7,4),,))</f>
        <v>147516.16966975844</v>
      </c>
      <c r="J337" s="768">
        <f ca="1">INDIRECT("'kc-Wert für Stützen'!"&amp;SUBSTITUTE(ADDRESS(MATCH($A337,'kc-Wert für Stützen'!$C:$C,0),MATCH(J$7,'kc-Wert für Stützen'!$A$8:$ES$8,0)+7,4),,))</f>
        <v>147177.86071897487</v>
      </c>
      <c r="K337" s="768">
        <f ca="1">INDIRECT("'kc-Wert für Stützen'!"&amp;SUBSTITUTE(ADDRESS(MATCH($A337,'kc-Wert für Stützen'!$C:$C,0),MATCH(K$7,'kc-Wert für Stützen'!$A$8:$ES$8,0)+7,4),,))</f>
        <v>146827.09252616615</v>
      </c>
      <c r="L337" s="768">
        <f ca="1">INDIRECT("'kc-Wert für Stützen'!"&amp;SUBSTITUTE(ADDRESS(MATCH($A337,'kc-Wert für Stützen'!$C:$C,0),MATCH(L$7,'kc-Wert für Stützen'!$A$8:$ES$8,0)+7,4),,))</f>
        <v>146462.87570548741</v>
      </c>
      <c r="M337" s="768">
        <f ca="1">INDIRECT("'kc-Wert für Stützen'!"&amp;SUBSTITUTE(ADDRESS(MATCH($A337,'kc-Wert für Stützen'!$C:$C,0),MATCH(M$7,'kc-Wert für Stützen'!$A$8:$ES$8,0)+7,4),,))</f>
        <v>146084.1430608505</v>
      </c>
      <c r="N337" s="768">
        <f ca="1">INDIRECT("'kc-Wert für Stützen'!"&amp;SUBSTITUTE(ADDRESS(MATCH($A337,'kc-Wert für Stützen'!$C:$C,0),MATCH(N$7,'kc-Wert für Stützen'!$A$8:$ES$8,0)+7,4),,))</f>
        <v>145689.74282892878</v>
      </c>
      <c r="O337" s="768">
        <f ca="1">INDIRECT("'kc-Wert für Stützen'!"&amp;SUBSTITUTE(ADDRESS(MATCH($A337,'kc-Wert für Stützen'!$C:$C,0),MATCH(O$7,'kc-Wert für Stützen'!$A$8:$ES$8,0)+7,4),,))</f>
        <v>145278.43156975738</v>
      </c>
      <c r="P337" s="768">
        <f ca="1">INDIRECT("'kc-Wert für Stützen'!"&amp;SUBSTITUTE(ADDRESS(MATCH($A337,'kc-Wert für Stützen'!$C:$C,0),MATCH(P$7,'kc-Wert für Stützen'!$A$8:$ES$8,0)+7,4),,))</f>
        <v>144848.86677274678</v>
      </c>
      <c r="S337" s="772">
        <f t="shared" ca="1" si="162"/>
        <v>149050.77519840462</v>
      </c>
      <c r="T337" s="772">
        <f t="shared" ca="1" si="161"/>
        <v>149050.77519840462</v>
      </c>
      <c r="U337" s="772">
        <f t="shared" ca="1" si="161"/>
        <v>149050.77519840462</v>
      </c>
      <c r="V337" s="772">
        <f t="shared" ca="1" si="161"/>
        <v>148762.22239063011</v>
      </c>
      <c r="W337" s="772">
        <f t="shared" ca="1" si="161"/>
        <v>148465.19857776121</v>
      </c>
      <c r="X337" s="772">
        <f t="shared" ca="1" si="161"/>
        <v>148159.01612020592</v>
      </c>
      <c r="Y337" s="772">
        <f t="shared" ca="1" si="161"/>
        <v>147842.93731953061</v>
      </c>
      <c r="Z337" s="772">
        <f t="shared" ca="1" si="161"/>
        <v>149050.77519840462</v>
      </c>
      <c r="AA337" s="772">
        <f t="shared" ca="1" si="161"/>
        <v>149050.77519840462</v>
      </c>
      <c r="AB337" s="772">
        <f t="shared" ca="1" si="164"/>
        <v>148762.22239063011</v>
      </c>
      <c r="AC337" s="772">
        <f t="shared" ca="1" si="164"/>
        <v>148762.22239063011</v>
      </c>
      <c r="AD337" s="772">
        <f t="shared" ca="1" si="164"/>
        <v>148465.19857776121</v>
      </c>
      <c r="AE337" s="772">
        <f t="shared" ca="1" si="164"/>
        <v>148465.19857776121</v>
      </c>
      <c r="AF337" s="772">
        <f t="shared" ca="1" si="164"/>
        <v>148159.01612020592</v>
      </c>
      <c r="AG337" s="772">
        <f t="shared" ca="1" si="164"/>
        <v>148159.01612020592</v>
      </c>
      <c r="AH337" s="772">
        <f t="shared" ca="1" si="164"/>
        <v>148159.01612020592</v>
      </c>
      <c r="AI337" s="772">
        <f t="shared" ca="1" si="164"/>
        <v>149050.77519840462</v>
      </c>
      <c r="AJ337" s="772">
        <f t="shared" ca="1" si="164"/>
        <v>149050.77519840462</v>
      </c>
      <c r="AK337" s="772">
        <f t="shared" ca="1" si="164"/>
        <v>148762.22239063011</v>
      </c>
      <c r="AL337" s="772">
        <f t="shared" ca="1" si="164"/>
        <v>148762.22239063011</v>
      </c>
      <c r="AM337" s="772">
        <f t="shared" ca="1" si="164"/>
        <v>148465.19857776121</v>
      </c>
      <c r="AN337" s="772">
        <f t="shared" ca="1" si="164"/>
        <v>148465.19857776121</v>
      </c>
      <c r="AO337" s="772">
        <f t="shared" ca="1" si="164"/>
        <v>148159.01612020592</v>
      </c>
      <c r="AP337" s="772">
        <f t="shared" ca="1" si="164"/>
        <v>148159.01612020592</v>
      </c>
      <c r="AQ337" s="772">
        <f t="shared" ca="1" si="164"/>
        <v>148159.01612020592</v>
      </c>
      <c r="AR337" s="772">
        <f t="shared" ca="1" si="168"/>
        <v>149050.77519840462</v>
      </c>
      <c r="AS337" s="772">
        <f t="shared" ca="1" si="168"/>
        <v>149050.77519840462</v>
      </c>
      <c r="AT337" s="772">
        <f t="shared" ca="1" si="168"/>
        <v>148762.22239063011</v>
      </c>
      <c r="AU337" s="772">
        <f t="shared" ca="1" si="168"/>
        <v>148762.22239063011</v>
      </c>
      <c r="AV337" s="772">
        <f t="shared" ca="1" si="168"/>
        <v>148465.19857776121</v>
      </c>
      <c r="AW337" s="772">
        <f t="shared" ca="1" si="168"/>
        <v>148465.19857776121</v>
      </c>
      <c r="AX337" s="772">
        <f t="shared" ca="1" si="168"/>
        <v>148159.01612020592</v>
      </c>
      <c r="AY337" s="772">
        <f t="shared" ca="1" si="168"/>
        <v>148159.01612020592</v>
      </c>
      <c r="AZ337" s="772">
        <f t="shared" ca="1" si="168"/>
        <v>148159.01612020592</v>
      </c>
      <c r="BA337" s="772">
        <f t="shared" ca="1" si="168"/>
        <v>149050.77519840462</v>
      </c>
      <c r="BB337" s="772">
        <f t="shared" ca="1" si="168"/>
        <v>149050.77519840462</v>
      </c>
      <c r="BC337" s="772">
        <f t="shared" ca="1" si="168"/>
        <v>148762.22239063011</v>
      </c>
      <c r="BD337" s="772">
        <f t="shared" ca="1" si="168"/>
        <v>148465.19857776121</v>
      </c>
      <c r="BE337" s="772">
        <f t="shared" ca="1" si="168"/>
        <v>148465.19857776121</v>
      </c>
      <c r="BF337" s="772">
        <f t="shared" ca="1" si="168"/>
        <v>148159.01612020592</v>
      </c>
      <c r="BG337" s="772">
        <f t="shared" ca="1" si="168"/>
        <v>148159.01612020592</v>
      </c>
      <c r="BH337" s="772">
        <f t="shared" ca="1" si="167"/>
        <v>147842.93731953061</v>
      </c>
      <c r="BI337" s="772">
        <f t="shared" ca="1" si="167"/>
        <v>147842.93731953061</v>
      </c>
      <c r="BJ337" s="772">
        <f t="shared" ca="1" si="167"/>
        <v>148762.22239063011</v>
      </c>
      <c r="BK337" s="772">
        <f t="shared" ca="1" si="167"/>
        <v>148762.22239063011</v>
      </c>
      <c r="BL337" s="772">
        <f t="shared" ca="1" si="167"/>
        <v>148762.22239063011</v>
      </c>
      <c r="BM337" s="772">
        <f t="shared" ca="1" si="167"/>
        <v>148762.22239063011</v>
      </c>
      <c r="BN337" s="772">
        <f t="shared" ca="1" si="167"/>
        <v>148159.01612020592</v>
      </c>
      <c r="BO337" s="772">
        <f t="shared" ca="1" si="165"/>
        <v>148159.01612020592</v>
      </c>
      <c r="BP337" s="772">
        <f t="shared" ca="1" si="165"/>
        <v>147842.93731953061</v>
      </c>
      <c r="BQ337" s="772">
        <f t="shared" ca="1" si="165"/>
        <v>147842.93731953061</v>
      </c>
      <c r="BR337" s="772">
        <f t="shared" ca="1" si="165"/>
        <v>147516.16966975844</v>
      </c>
      <c r="BS337" s="772">
        <f t="shared" ca="1" si="165"/>
        <v>148762.22239063011</v>
      </c>
      <c r="BT337" s="772">
        <f t="shared" ca="1" si="165"/>
        <v>148762.22239063011</v>
      </c>
      <c r="BU337" s="772">
        <f t="shared" ca="1" si="165"/>
        <v>148762.22239063011</v>
      </c>
      <c r="BV337" s="772">
        <f t="shared" ca="1" si="165"/>
        <v>148465.19857776121</v>
      </c>
      <c r="BW337" s="772">
        <f t="shared" ca="1" si="165"/>
        <v>148465.19857776121</v>
      </c>
      <c r="BX337" s="772">
        <f t="shared" ca="1" si="160"/>
        <v>147842.93731953061</v>
      </c>
      <c r="BY337" s="772">
        <f t="shared" ca="1" si="160"/>
        <v>147842.93731953061</v>
      </c>
      <c r="BZ337" s="772">
        <f t="shared" ca="1" si="160"/>
        <v>147516.16966975844</v>
      </c>
      <c r="CA337" s="772">
        <f t="shared" ca="1" si="160"/>
        <v>147516.16966975844</v>
      </c>
      <c r="CB337" s="772">
        <f t="shared" ca="1" si="160"/>
        <v>148465.19857776121</v>
      </c>
      <c r="CC337" s="772">
        <f t="shared" ca="1" si="160"/>
        <v>148465.19857776121</v>
      </c>
      <c r="CD337" s="772">
        <f t="shared" ca="1" si="160"/>
        <v>148465.19857776121</v>
      </c>
      <c r="CE337" s="772">
        <f t="shared" ca="1" si="160"/>
        <v>148465.19857776121</v>
      </c>
      <c r="CF337" s="772">
        <f t="shared" ca="1" si="160"/>
        <v>148159.01612020592</v>
      </c>
      <c r="CG337" s="772">
        <f t="shared" ca="1" si="160"/>
        <v>147842.93731953061</v>
      </c>
      <c r="CH337" s="772">
        <f t="shared" ca="1" si="160"/>
        <v>147516.16966975844</v>
      </c>
      <c r="CI337" s="772">
        <f t="shared" ca="1" si="160"/>
        <v>147516.16966975844</v>
      </c>
      <c r="CJ337" s="772">
        <f t="shared" ca="1" si="160"/>
        <v>147177.86071897487</v>
      </c>
    </row>
    <row r="338" spans="1:88" ht="15" customHeight="1">
      <c r="A338" s="770">
        <f>'kc-Wert für Stützen'!C338</f>
        <v>390</v>
      </c>
      <c r="B338" s="768">
        <f ca="1">INDIRECT("'kc-Wert für Stützen'!"&amp;SUBSTITUTE(ADDRESS(MATCH($A338,'kc-Wert für Stützen'!$C:$C,0),MATCH(B$7,'kc-Wert für Stützen'!$A$8:$ES$8,0)+7,4),,))</f>
        <v>150394.63230527044</v>
      </c>
      <c r="C338" s="768">
        <f ca="1">INDIRECT("'kc-Wert für Stützen'!"&amp;SUBSTITUTE(ADDRESS(MATCH($A338,'kc-Wert für Stützen'!$C:$C,0),MATCH(C$7,'kc-Wert für Stützen'!$A$8:$ES$8,0)+7,4),,))</f>
        <v>150120.94139191724</v>
      </c>
      <c r="D338" s="768">
        <f ca="1">INDIRECT("'kc-Wert für Stützen'!"&amp;SUBSTITUTE(ADDRESS(MATCH($A338,'kc-Wert für Stützen'!$C:$C,0),MATCH(D$7,'kc-Wert für Stützen'!$A$8:$ES$8,0)+7,4),,))</f>
        <v>149840.0648392592</v>
      </c>
      <c r="E338" s="768">
        <f ca="1">INDIRECT("'kc-Wert für Stützen'!"&amp;SUBSTITUTE(ADDRESS(MATCH($A338,'kc-Wert für Stützen'!$C:$C,0),MATCH(E$7,'kc-Wert für Stützen'!$A$8:$ES$8,0)+7,4),,))</f>
        <v>149551.40686590926</v>
      </c>
      <c r="F338" s="768">
        <f ca="1">INDIRECT("'kc-Wert für Stützen'!"&amp;SUBSTITUTE(ADDRESS(MATCH($A338,'kc-Wert für Stützen'!$C:$C,0),MATCH(F$7,'kc-Wert für Stützen'!$A$8:$ES$8,0)+7,4),,))</f>
        <v>149254.33055033433</v>
      </c>
      <c r="G338" s="768">
        <f ca="1">INDIRECT("'kc-Wert für Stützen'!"&amp;SUBSTITUTE(ADDRESS(MATCH($A338,'kc-Wert für Stützen'!$C:$C,0),MATCH(G$7,'kc-Wert für Stützen'!$A$8:$ES$8,0)+7,4),,))</f>
        <v>148948.1538563327</v>
      </c>
      <c r="H338" s="768">
        <f ca="1">INDIRECT("'kc-Wert für Stützen'!"&amp;SUBSTITUTE(ADDRESS(MATCH($A338,'kc-Wert für Stützen'!$C:$C,0),MATCH(H$7,'kc-Wert für Stützen'!$A$8:$ES$8,0)+7,4),,))</f>
        <v>148632.1453165696</v>
      </c>
      <c r="I338" s="768">
        <f ca="1">INDIRECT("'kc-Wert für Stützen'!"&amp;SUBSTITUTE(ADDRESS(MATCH($A338,'kc-Wert für Stützen'!$C:$C,0),MATCH(I$7,'kc-Wert für Stützen'!$A$8:$ES$8,0)+7,4),,))</f>
        <v>148305.51935172058</v>
      </c>
      <c r="J338" s="768">
        <f ca="1">INDIRECT("'kc-Wert für Stützen'!"&amp;SUBSTITUTE(ADDRESS(MATCH($A338,'kc-Wert für Stützen'!$C:$C,0),MATCH(J$7,'kc-Wert für Stützen'!$A$8:$ES$8,0)+7,4),,))</f>
        <v>147967.43120540478</v>
      </c>
      <c r="K338" s="768">
        <f ca="1">INDIRECT("'kc-Wert für Stützen'!"&amp;SUBSTITUTE(ADDRESS(MATCH($A338,'kc-Wert für Stützen'!$C:$C,0),MATCH(K$7,'kc-Wert für Stützen'!$A$8:$ES$8,0)+7,4),,))</f>
        <v>147616.9714795328</v>
      </c>
      <c r="L338" s="768">
        <f ca="1">INDIRECT("'kc-Wert für Stützen'!"&amp;SUBSTITUTE(ADDRESS(MATCH($A338,'kc-Wert für Stützen'!$C:$C,0),MATCH(L$7,'kc-Wert für Stützen'!$A$8:$ES$8,0)+7,4),,))</f>
        <v>147253.1602616061</v>
      </c>
      <c r="M338" s="768">
        <f ca="1">INDIRECT("'kc-Wert für Stützen'!"&amp;SUBSTITUTE(ADDRESS(MATCH($A338,'kc-Wert für Stützen'!$C:$C,0),MATCH(M$7,'kc-Wert für Stützen'!$A$8:$ES$8,0)+7,4),,))</f>
        <v>146874.94084568418</v>
      </c>
      <c r="N338" s="768">
        <f ca="1">INDIRECT("'kc-Wert für Stützen'!"&amp;SUBSTITUTE(ADDRESS(MATCH($A338,'kc-Wert für Stützen'!$C:$C,0),MATCH(N$7,'kc-Wert für Stützen'!$A$8:$ES$8,0)+7,4),,))</f>
        <v>146481.17306325232</v>
      </c>
      <c r="O338" s="768">
        <f ca="1">INDIRECT("'kc-Wert für Stützen'!"&amp;SUBSTITUTE(ADDRESS(MATCH($A338,'kc-Wert für Stützen'!$C:$C,0),MATCH(O$7,'kc-Wert für Stützen'!$A$8:$ES$8,0)+7,4),,))</f>
        <v>146070.62626035942</v>
      </c>
      <c r="P338" s="768">
        <f ca="1">INDIRECT("'kc-Wert für Stützen'!"&amp;SUBSTITUTE(ADDRESS(MATCH($A338,'kc-Wert für Stützen'!$C:$C,0),MATCH(P$7,'kc-Wert für Stützen'!$A$8:$ES$8,0)+7,4),,))</f>
        <v>145641.9719847886</v>
      </c>
      <c r="S338" s="772">
        <f t="shared" ca="1" si="162"/>
        <v>149840.0648392592</v>
      </c>
      <c r="T338" s="772">
        <f t="shared" ca="1" si="161"/>
        <v>149840.0648392592</v>
      </c>
      <c r="U338" s="772">
        <f t="shared" ca="1" si="161"/>
        <v>149840.0648392592</v>
      </c>
      <c r="V338" s="772">
        <f t="shared" ca="1" si="161"/>
        <v>149551.40686590926</v>
      </c>
      <c r="W338" s="772">
        <f t="shared" ca="1" si="161"/>
        <v>149254.33055033433</v>
      </c>
      <c r="X338" s="772">
        <f t="shared" ca="1" si="161"/>
        <v>148948.1538563327</v>
      </c>
      <c r="Y338" s="772">
        <f t="shared" ca="1" si="161"/>
        <v>148632.1453165696</v>
      </c>
      <c r="Z338" s="772">
        <f t="shared" ca="1" si="161"/>
        <v>149840.0648392592</v>
      </c>
      <c r="AA338" s="772">
        <f t="shared" ca="1" si="161"/>
        <v>149840.0648392592</v>
      </c>
      <c r="AB338" s="772">
        <f t="shared" ca="1" si="164"/>
        <v>149551.40686590926</v>
      </c>
      <c r="AC338" s="772">
        <f t="shared" ca="1" si="164"/>
        <v>149551.40686590926</v>
      </c>
      <c r="AD338" s="772">
        <f t="shared" ca="1" si="164"/>
        <v>149254.33055033433</v>
      </c>
      <c r="AE338" s="772">
        <f t="shared" ca="1" si="164"/>
        <v>149254.33055033433</v>
      </c>
      <c r="AF338" s="772">
        <f t="shared" ca="1" si="164"/>
        <v>148948.1538563327</v>
      </c>
      <c r="AG338" s="772">
        <f t="shared" ca="1" si="164"/>
        <v>148948.1538563327</v>
      </c>
      <c r="AH338" s="772">
        <f t="shared" ca="1" si="164"/>
        <v>148948.1538563327</v>
      </c>
      <c r="AI338" s="772">
        <f t="shared" ca="1" si="164"/>
        <v>149840.0648392592</v>
      </c>
      <c r="AJ338" s="772">
        <f t="shared" ca="1" si="164"/>
        <v>149840.0648392592</v>
      </c>
      <c r="AK338" s="772">
        <f t="shared" ca="1" si="164"/>
        <v>149551.40686590926</v>
      </c>
      <c r="AL338" s="772">
        <f t="shared" ca="1" si="164"/>
        <v>149551.40686590926</v>
      </c>
      <c r="AM338" s="772">
        <f t="shared" ca="1" si="164"/>
        <v>149254.33055033433</v>
      </c>
      <c r="AN338" s="772">
        <f t="shared" ca="1" si="164"/>
        <v>149254.33055033433</v>
      </c>
      <c r="AO338" s="772">
        <f t="shared" ca="1" si="164"/>
        <v>148948.1538563327</v>
      </c>
      <c r="AP338" s="772">
        <f t="shared" ca="1" si="164"/>
        <v>148948.1538563327</v>
      </c>
      <c r="AQ338" s="772">
        <f t="shared" ca="1" si="164"/>
        <v>148948.1538563327</v>
      </c>
      <c r="AR338" s="772">
        <f t="shared" ca="1" si="168"/>
        <v>149840.0648392592</v>
      </c>
      <c r="AS338" s="772">
        <f t="shared" ca="1" si="168"/>
        <v>149840.0648392592</v>
      </c>
      <c r="AT338" s="772">
        <f t="shared" ca="1" si="168"/>
        <v>149551.40686590926</v>
      </c>
      <c r="AU338" s="772">
        <f t="shared" ca="1" si="168"/>
        <v>149551.40686590926</v>
      </c>
      <c r="AV338" s="772">
        <f t="shared" ca="1" si="168"/>
        <v>149254.33055033433</v>
      </c>
      <c r="AW338" s="772">
        <f t="shared" ca="1" si="168"/>
        <v>149254.33055033433</v>
      </c>
      <c r="AX338" s="772">
        <f t="shared" ca="1" si="168"/>
        <v>148948.1538563327</v>
      </c>
      <c r="AY338" s="772">
        <f t="shared" ca="1" si="168"/>
        <v>148948.1538563327</v>
      </c>
      <c r="AZ338" s="772">
        <f t="shared" ca="1" si="168"/>
        <v>148948.1538563327</v>
      </c>
      <c r="BA338" s="772">
        <f t="shared" ca="1" si="168"/>
        <v>149840.0648392592</v>
      </c>
      <c r="BB338" s="772">
        <f t="shared" ca="1" si="168"/>
        <v>149840.0648392592</v>
      </c>
      <c r="BC338" s="772">
        <f t="shared" ca="1" si="168"/>
        <v>149551.40686590926</v>
      </c>
      <c r="BD338" s="772">
        <f t="shared" ca="1" si="168"/>
        <v>149254.33055033433</v>
      </c>
      <c r="BE338" s="772">
        <f t="shared" ca="1" si="168"/>
        <v>149254.33055033433</v>
      </c>
      <c r="BF338" s="772">
        <f t="shared" ca="1" si="168"/>
        <v>148948.1538563327</v>
      </c>
      <c r="BG338" s="772">
        <f t="shared" ca="1" si="168"/>
        <v>148948.1538563327</v>
      </c>
      <c r="BH338" s="772">
        <f t="shared" ca="1" si="167"/>
        <v>148632.1453165696</v>
      </c>
      <c r="BI338" s="772">
        <f t="shared" ca="1" si="167"/>
        <v>148632.1453165696</v>
      </c>
      <c r="BJ338" s="772">
        <f t="shared" ca="1" si="167"/>
        <v>149551.40686590926</v>
      </c>
      <c r="BK338" s="772">
        <f t="shared" ca="1" si="167"/>
        <v>149551.40686590926</v>
      </c>
      <c r="BL338" s="772">
        <f t="shared" ca="1" si="167"/>
        <v>149551.40686590926</v>
      </c>
      <c r="BM338" s="772">
        <f t="shared" ca="1" si="167"/>
        <v>149551.40686590926</v>
      </c>
      <c r="BN338" s="772">
        <f t="shared" ca="1" si="167"/>
        <v>148948.1538563327</v>
      </c>
      <c r="BO338" s="772">
        <f t="shared" ca="1" si="165"/>
        <v>148948.1538563327</v>
      </c>
      <c r="BP338" s="772">
        <f t="shared" ca="1" si="165"/>
        <v>148632.1453165696</v>
      </c>
      <c r="BQ338" s="772">
        <f t="shared" ca="1" si="165"/>
        <v>148632.1453165696</v>
      </c>
      <c r="BR338" s="772">
        <f t="shared" ca="1" si="165"/>
        <v>148305.51935172058</v>
      </c>
      <c r="BS338" s="772">
        <f t="shared" ca="1" si="165"/>
        <v>149551.40686590926</v>
      </c>
      <c r="BT338" s="772">
        <f t="shared" ca="1" si="165"/>
        <v>149551.40686590926</v>
      </c>
      <c r="BU338" s="772">
        <f t="shared" ca="1" si="165"/>
        <v>149551.40686590926</v>
      </c>
      <c r="BV338" s="772">
        <f t="shared" ca="1" si="165"/>
        <v>149254.33055033433</v>
      </c>
      <c r="BW338" s="772">
        <f t="shared" ca="1" si="165"/>
        <v>149254.33055033433</v>
      </c>
      <c r="BX338" s="772">
        <f t="shared" ca="1" si="160"/>
        <v>148632.1453165696</v>
      </c>
      <c r="BY338" s="772">
        <f t="shared" ca="1" si="160"/>
        <v>148632.1453165696</v>
      </c>
      <c r="BZ338" s="772">
        <f t="shared" ca="1" si="160"/>
        <v>148305.51935172058</v>
      </c>
      <c r="CA338" s="772">
        <f t="shared" ca="1" si="160"/>
        <v>148305.51935172058</v>
      </c>
      <c r="CB338" s="772">
        <f t="shared" ca="1" si="160"/>
        <v>149254.33055033433</v>
      </c>
      <c r="CC338" s="772">
        <f t="shared" ca="1" si="160"/>
        <v>149254.33055033433</v>
      </c>
      <c r="CD338" s="772">
        <f t="shared" ca="1" si="160"/>
        <v>149254.33055033433</v>
      </c>
      <c r="CE338" s="772">
        <f t="shared" ca="1" si="160"/>
        <v>149254.33055033433</v>
      </c>
      <c r="CF338" s="772">
        <f t="shared" ca="1" si="160"/>
        <v>148948.1538563327</v>
      </c>
      <c r="CG338" s="772">
        <f t="shared" ca="1" si="160"/>
        <v>148632.1453165696</v>
      </c>
      <c r="CH338" s="772">
        <f t="shared" ca="1" si="160"/>
        <v>148305.51935172058</v>
      </c>
      <c r="CI338" s="772">
        <f t="shared" ca="1" si="160"/>
        <v>148305.51935172058</v>
      </c>
      <c r="CJ338" s="772">
        <f t="shared" ca="1" si="160"/>
        <v>147967.43120540478</v>
      </c>
    </row>
    <row r="339" spans="1:88" ht="15" customHeight="1">
      <c r="A339" s="770">
        <f>'kc-Wert für Stützen'!C339</f>
        <v>391</v>
      </c>
      <c r="B339" s="768">
        <f ca="1">INDIRECT("'kc-Wert für Stützen'!"&amp;SUBSTITUTE(ADDRESS(MATCH($A339,'kc-Wert für Stützen'!$C:$C,0),MATCH(B$7,'kc-Wert für Stützen'!$A$8:$ES$8,0)+7,4),,))</f>
        <v>151186.31356580314</v>
      </c>
      <c r="C339" s="768">
        <f ca="1">INDIRECT("'kc-Wert für Stützen'!"&amp;SUBSTITUTE(ADDRESS(MATCH($A339,'kc-Wert für Stützen'!$C:$C,0),MATCH(C$7,'kc-Wert für Stützen'!$A$8:$ES$8,0)+7,4),,))</f>
        <v>150912.42378524411</v>
      </c>
      <c r="D339" s="768">
        <f ca="1">INDIRECT("'kc-Wert für Stützen'!"&amp;SUBSTITUTE(ADDRESS(MATCH($A339,'kc-Wert für Stützen'!$C:$C,0),MATCH(D$7,'kc-Wert für Stützen'!$A$8:$ES$8,0)+7,4),,))</f>
        <v>150631.39103342488</v>
      </c>
      <c r="E339" s="768">
        <f ca="1">INDIRECT("'kc-Wert für Stützen'!"&amp;SUBSTITUTE(ADDRESS(MATCH($A339,'kc-Wert für Stützen'!$C:$C,0),MATCH(E$7,'kc-Wert für Stützen'!$A$8:$ES$8,0)+7,4),,))</f>
        <v>150342.62399922407</v>
      </c>
      <c r="F339" s="768">
        <f ca="1">INDIRECT("'kc-Wert für Stützen'!"&amp;SUBSTITUTE(ADDRESS(MATCH($A339,'kc-Wert für Stützen'!$C:$C,0),MATCH(F$7,'kc-Wert für Stützen'!$A$8:$ES$8,0)+7,4),,))</f>
        <v>150045.49073182084</v>
      </c>
      <c r="G339" s="768">
        <f ca="1">INDIRECT("'kc-Wert für Stützen'!"&amp;SUBSTITUTE(ADDRESS(MATCH($A339,'kc-Wert für Stützen'!$C:$C,0),MATCH(G$7,'kc-Wert für Stützen'!$A$8:$ES$8,0)+7,4),,))</f>
        <v>149739.31472210184</v>
      </c>
      <c r="H339" s="768">
        <f ca="1">INDIRECT("'kc-Wert für Stützen'!"&amp;SUBSTITUTE(ADDRESS(MATCH($A339,'kc-Wert für Stützen'!$C:$C,0),MATCH(H$7,'kc-Wert für Stützen'!$A$8:$ES$8,0)+7,4),,))</f>
        <v>149423.37064744119</v>
      </c>
      <c r="I339" s="768">
        <f ca="1">INDIRECT("'kc-Wert für Stützen'!"&amp;SUBSTITUTE(ADDRESS(MATCH($A339,'kc-Wert für Stützen'!$C:$C,0),MATCH(I$7,'kc-Wert für Stützen'!$A$8:$ES$8,0)+7,4),,))</f>
        <v>149096.87975754109</v>
      </c>
      <c r="J339" s="768">
        <f ca="1">INDIRECT("'kc-Wert für Stützen'!"&amp;SUBSTITUTE(ADDRESS(MATCH($A339,'kc-Wert für Stützen'!$C:$C,0),MATCH(J$7,'kc-Wert für Stützen'!$A$8:$ES$8,0)+7,4),,))</f>
        <v>148759.0048814851</v>
      </c>
      <c r="K339" s="768">
        <f ca="1">INDIRECT("'kc-Wert für Stützen'!"&amp;SUBSTITUTE(ADDRESS(MATCH($A339,'kc-Wert für Stützen'!$C:$C,0),MATCH(K$7,'kc-Wert für Stützen'!$A$8:$ES$8,0)+7,4),,))</f>
        <v>148408.8450403637</v>
      </c>
      <c r="L339" s="768">
        <f ca="1">INDIRECT("'kc-Wert für Stützen'!"&amp;SUBSTITUTE(ADDRESS(MATCH($A339,'kc-Wert für Stützen'!$C:$C,0),MATCH(L$7,'kc-Wert für Stützen'!$A$8:$ES$8,0)+7,4),,))</f>
        <v>148045.42965638975</v>
      </c>
      <c r="M339" s="768">
        <f ca="1">INDIRECT("'kc-Wert für Stützen'!"&amp;SUBSTITUTE(ADDRESS(MATCH($A339,'kc-Wert für Stützen'!$C:$C,0),MATCH(M$7,'kc-Wert für Stützen'!$A$8:$ES$8,0)+7,4),,))</f>
        <v>147667.71235912296</v>
      </c>
      <c r="N339" s="768">
        <f ca="1">INDIRECT("'kc-Wert für Stützen'!"&amp;SUBSTITUTE(ADDRESS(MATCH($A339,'kc-Wert für Stützen'!$C:$C,0),MATCH(N$7,'kc-Wert für Stützen'!$A$8:$ES$8,0)+7,4),,))</f>
        <v>147274.56440326851</v>
      </c>
      <c r="O339" s="768">
        <f ca="1">INDIRECT("'kc-Wert für Stützen'!"&amp;SUBSTITUTE(ADDRESS(MATCH($A339,'kc-Wert für Stützen'!$C:$C,0),MATCH(O$7,'kc-Wert für Stützen'!$A$8:$ES$8,0)+7,4),,))</f>
        <v>146864.7677317592</v>
      </c>
      <c r="P339" s="768">
        <f ca="1">INDIRECT("'kc-Wert für Stützen'!"&amp;SUBSTITUTE(ADDRESS(MATCH($A339,'kc-Wert für Stützen'!$C:$C,0),MATCH(P$7,'kc-Wert für Stützen'!$A$8:$ES$8,0)+7,4),,))</f>
        <v>146437.00774402512</v>
      </c>
      <c r="S339" s="772">
        <f t="shared" ca="1" si="162"/>
        <v>150631.39103342488</v>
      </c>
      <c r="T339" s="772">
        <f t="shared" ca="1" si="161"/>
        <v>150631.39103342488</v>
      </c>
      <c r="U339" s="772">
        <f t="shared" ca="1" si="161"/>
        <v>150631.39103342488</v>
      </c>
      <c r="V339" s="772">
        <f t="shared" ca="1" si="161"/>
        <v>150342.62399922407</v>
      </c>
      <c r="W339" s="772">
        <f t="shared" ca="1" si="161"/>
        <v>150045.49073182084</v>
      </c>
      <c r="X339" s="772">
        <f t="shared" ca="1" si="161"/>
        <v>149739.31472210184</v>
      </c>
      <c r="Y339" s="772">
        <f t="shared" ca="1" si="161"/>
        <v>149423.37064744119</v>
      </c>
      <c r="Z339" s="772">
        <f t="shared" ca="1" si="161"/>
        <v>150631.39103342488</v>
      </c>
      <c r="AA339" s="772">
        <f t="shared" ca="1" si="161"/>
        <v>150631.39103342488</v>
      </c>
      <c r="AB339" s="772">
        <f t="shared" ca="1" si="164"/>
        <v>150342.62399922407</v>
      </c>
      <c r="AC339" s="772">
        <f t="shared" ca="1" si="164"/>
        <v>150342.62399922407</v>
      </c>
      <c r="AD339" s="772">
        <f t="shared" ca="1" si="164"/>
        <v>150045.49073182084</v>
      </c>
      <c r="AE339" s="772">
        <f t="shared" ca="1" si="164"/>
        <v>150045.49073182084</v>
      </c>
      <c r="AF339" s="772">
        <f t="shared" ca="1" si="164"/>
        <v>149739.31472210184</v>
      </c>
      <c r="AG339" s="772">
        <f t="shared" ca="1" si="164"/>
        <v>149739.31472210184</v>
      </c>
      <c r="AH339" s="772">
        <f t="shared" ca="1" si="164"/>
        <v>149739.31472210184</v>
      </c>
      <c r="AI339" s="772">
        <f t="shared" ca="1" si="164"/>
        <v>150631.39103342488</v>
      </c>
      <c r="AJ339" s="772">
        <f t="shared" ca="1" si="164"/>
        <v>150631.39103342488</v>
      </c>
      <c r="AK339" s="772">
        <f t="shared" ca="1" si="164"/>
        <v>150342.62399922407</v>
      </c>
      <c r="AL339" s="772">
        <f t="shared" ca="1" si="164"/>
        <v>150342.62399922407</v>
      </c>
      <c r="AM339" s="772">
        <f t="shared" ca="1" si="164"/>
        <v>150045.49073182084</v>
      </c>
      <c r="AN339" s="772">
        <f t="shared" ca="1" si="164"/>
        <v>150045.49073182084</v>
      </c>
      <c r="AO339" s="772">
        <f t="shared" ca="1" si="164"/>
        <v>149739.31472210184</v>
      </c>
      <c r="AP339" s="772">
        <f t="shared" ca="1" si="164"/>
        <v>149739.31472210184</v>
      </c>
      <c r="AQ339" s="772">
        <f t="shared" ca="1" si="164"/>
        <v>149739.31472210184</v>
      </c>
      <c r="AR339" s="772">
        <f t="shared" ca="1" si="168"/>
        <v>150631.39103342488</v>
      </c>
      <c r="AS339" s="772">
        <f t="shared" ca="1" si="168"/>
        <v>150631.39103342488</v>
      </c>
      <c r="AT339" s="772">
        <f t="shared" ca="1" si="168"/>
        <v>150342.62399922407</v>
      </c>
      <c r="AU339" s="772">
        <f t="shared" ca="1" si="168"/>
        <v>150342.62399922407</v>
      </c>
      <c r="AV339" s="772">
        <f t="shared" ca="1" si="168"/>
        <v>150045.49073182084</v>
      </c>
      <c r="AW339" s="772">
        <f t="shared" ca="1" si="168"/>
        <v>150045.49073182084</v>
      </c>
      <c r="AX339" s="772">
        <f t="shared" ca="1" si="168"/>
        <v>149739.31472210184</v>
      </c>
      <c r="AY339" s="772">
        <f t="shared" ca="1" si="168"/>
        <v>149739.31472210184</v>
      </c>
      <c r="AZ339" s="772">
        <f t="shared" ca="1" si="168"/>
        <v>149739.31472210184</v>
      </c>
      <c r="BA339" s="772">
        <f t="shared" ca="1" si="168"/>
        <v>150631.39103342488</v>
      </c>
      <c r="BB339" s="772">
        <f t="shared" ca="1" si="168"/>
        <v>150631.39103342488</v>
      </c>
      <c r="BC339" s="772">
        <f t="shared" ca="1" si="168"/>
        <v>150342.62399922407</v>
      </c>
      <c r="BD339" s="772">
        <f t="shared" ca="1" si="168"/>
        <v>150045.49073182084</v>
      </c>
      <c r="BE339" s="772">
        <f t="shared" ca="1" si="168"/>
        <v>150045.49073182084</v>
      </c>
      <c r="BF339" s="772">
        <f t="shared" ca="1" si="168"/>
        <v>149739.31472210184</v>
      </c>
      <c r="BG339" s="772">
        <f t="shared" ca="1" si="168"/>
        <v>149739.31472210184</v>
      </c>
      <c r="BH339" s="772">
        <f t="shared" ca="1" si="167"/>
        <v>149423.37064744119</v>
      </c>
      <c r="BI339" s="772">
        <f t="shared" ca="1" si="167"/>
        <v>149423.37064744119</v>
      </c>
      <c r="BJ339" s="772">
        <f t="shared" ca="1" si="167"/>
        <v>150342.62399922407</v>
      </c>
      <c r="BK339" s="772">
        <f t="shared" ca="1" si="167"/>
        <v>150342.62399922407</v>
      </c>
      <c r="BL339" s="772">
        <f t="shared" ca="1" si="167"/>
        <v>150342.62399922407</v>
      </c>
      <c r="BM339" s="772">
        <f t="shared" ca="1" si="167"/>
        <v>150342.62399922407</v>
      </c>
      <c r="BN339" s="772">
        <f t="shared" ca="1" si="167"/>
        <v>149739.31472210184</v>
      </c>
      <c r="BO339" s="772">
        <f t="shared" ca="1" si="165"/>
        <v>149739.31472210184</v>
      </c>
      <c r="BP339" s="772">
        <f t="shared" ca="1" si="165"/>
        <v>149423.37064744119</v>
      </c>
      <c r="BQ339" s="772">
        <f t="shared" ca="1" si="165"/>
        <v>149423.37064744119</v>
      </c>
      <c r="BR339" s="772">
        <f t="shared" ca="1" si="165"/>
        <v>149096.87975754109</v>
      </c>
      <c r="BS339" s="772">
        <f t="shared" ca="1" si="165"/>
        <v>150342.62399922407</v>
      </c>
      <c r="BT339" s="772">
        <f t="shared" ca="1" si="165"/>
        <v>150342.62399922407</v>
      </c>
      <c r="BU339" s="772">
        <f t="shared" ca="1" si="165"/>
        <v>150342.62399922407</v>
      </c>
      <c r="BV339" s="772">
        <f t="shared" ca="1" si="165"/>
        <v>150045.49073182084</v>
      </c>
      <c r="BW339" s="772">
        <f t="shared" ca="1" si="165"/>
        <v>150045.49073182084</v>
      </c>
      <c r="BX339" s="772">
        <f t="shared" ca="1" si="160"/>
        <v>149423.37064744119</v>
      </c>
      <c r="BY339" s="772">
        <f t="shared" ca="1" si="160"/>
        <v>149423.37064744119</v>
      </c>
      <c r="BZ339" s="772">
        <f t="shared" ca="1" si="160"/>
        <v>149096.87975754109</v>
      </c>
      <c r="CA339" s="772">
        <f t="shared" ca="1" si="160"/>
        <v>149096.87975754109</v>
      </c>
      <c r="CB339" s="772">
        <f t="shared" ca="1" si="160"/>
        <v>150045.49073182084</v>
      </c>
      <c r="CC339" s="772">
        <f t="shared" ca="1" si="160"/>
        <v>150045.49073182084</v>
      </c>
      <c r="CD339" s="772">
        <f t="shared" ca="1" si="160"/>
        <v>150045.49073182084</v>
      </c>
      <c r="CE339" s="772">
        <f t="shared" ca="1" si="160"/>
        <v>150045.49073182084</v>
      </c>
      <c r="CF339" s="772">
        <f t="shared" ca="1" si="160"/>
        <v>149739.31472210184</v>
      </c>
      <c r="CG339" s="772">
        <f t="shared" ca="1" si="160"/>
        <v>149423.37064744119</v>
      </c>
      <c r="CH339" s="772">
        <f t="shared" ca="1" si="160"/>
        <v>149096.87975754109</v>
      </c>
      <c r="CI339" s="772">
        <f t="shared" ca="1" si="160"/>
        <v>149096.87975754109</v>
      </c>
      <c r="CJ339" s="772">
        <f t="shared" ca="1" si="160"/>
        <v>148759.0048814851</v>
      </c>
    </row>
    <row r="340" spans="1:88" ht="15" customHeight="1">
      <c r="A340" s="770">
        <f>'kc-Wert für Stützen'!C340</f>
        <v>392</v>
      </c>
      <c r="B340" s="768">
        <f ca="1">INDIRECT("'kc-Wert für Stützen'!"&amp;SUBSTITUTE(ADDRESS(MATCH($A340,'kc-Wert für Stützen'!$C:$C,0),MATCH(B$7,'kc-Wert für Stützen'!$A$8:$ES$8,0)+7,4),,))</f>
        <v>151980.03796831341</v>
      </c>
      <c r="C340" s="768">
        <f ca="1">INDIRECT("'kc-Wert für Stützen'!"&amp;SUBSTITUTE(ADDRESS(MATCH($A340,'kc-Wert für Stützen'!$C:$C,0),MATCH(C$7,'kc-Wert für Stützen'!$A$8:$ES$8,0)+7,4),,))</f>
        <v>151705.9463757175</v>
      </c>
      <c r="D340" s="768">
        <f ca="1">INDIRECT("'kc-Wert für Stützen'!"&amp;SUBSTITUTE(ADDRESS(MATCH($A340,'kc-Wert für Stützen'!$C:$C,0),MATCH(D$7,'kc-Wert für Stützen'!$A$8:$ES$8,0)+7,4),,))</f>
        <v>151424.75405887549</v>
      </c>
      <c r="E340" s="768">
        <f ca="1">INDIRECT("'kc-Wert für Stützen'!"&amp;SUBSTITUTE(ADDRESS(MATCH($A340,'kc-Wert für Stützen'!$C:$C,0),MATCH(E$7,'kc-Wert für Stützen'!$A$8:$ES$8,0)+7,4),,))</f>
        <v>151135.87411868665</v>
      </c>
      <c r="F340" s="768">
        <f ca="1">INDIRECT("'kc-Wert für Stützen'!"&amp;SUBSTITUTE(ADDRESS(MATCH($A340,'kc-Wert für Stützen'!$C:$C,0),MATCH(F$7,'kc-Wert für Stützen'!$A$8:$ES$8,0)+7,4),,))</f>
        <v>150838.67950892544</v>
      </c>
      <c r="G340" s="768">
        <f ca="1">INDIRECT("'kc-Wert für Stützen'!"&amp;SUBSTITUTE(ADDRESS(MATCH($A340,'kc-Wert für Stützen'!$C:$C,0),MATCH(G$7,'kc-Wert für Stützen'!$A$8:$ES$8,0)+7,4),,))</f>
        <v>150532.49917260878</v>
      </c>
      <c r="H340" s="768">
        <f ca="1">INDIRECT("'kc-Wert für Stützen'!"&amp;SUBSTITUTE(ADDRESS(MATCH($A340,'kc-Wert für Stützen'!$C:$C,0),MATCH(H$7,'kc-Wert für Stützen'!$A$8:$ES$8,0)+7,4),,))</f>
        <v>150216.61384696673</v>
      </c>
      <c r="I340" s="768">
        <f ca="1">INDIRECT("'kc-Wert für Stützen'!"&amp;SUBSTITUTE(ADDRESS(MATCH($A340,'kc-Wert für Stützen'!$C:$C,0),MATCH(I$7,'kc-Wert für Stützen'!$A$8:$ES$8,0)+7,4),,))</f>
        <v>149890.25151485114</v>
      </c>
      <c r="J340" s="768">
        <f ca="1">INDIRECT("'kc-Wert für Stützen'!"&amp;SUBSTITUTE(ADDRESS(MATCH($A340,'kc-Wert für Stützen'!$C:$C,0),MATCH(J$7,'kc-Wert für Stützen'!$A$8:$ES$8,0)+7,4),,))</f>
        <v>149552.5824827232</v>
      </c>
      <c r="K340" s="768">
        <f ca="1">INDIRECT("'kc-Wert für Stützen'!"&amp;SUBSTITUTE(ADDRESS(MATCH($A340,'kc-Wert für Stützen'!$C:$C,0),MATCH(K$7,'kc-Wert für Stützen'!$A$8:$ES$8,0)+7,4),,))</f>
        <v>149202.71406933869</v>
      </c>
      <c r="L340" s="768">
        <f ca="1">INDIRECT("'kc-Wert für Stützen'!"&amp;SUBSTITUTE(ADDRESS(MATCH($A340,'kc-Wert für Stützen'!$C:$C,0),MATCH(L$7,'kc-Wert für Stützen'!$A$8:$ES$8,0)+7,4),,))</f>
        <v>148839.68489547734</v>
      </c>
      <c r="M340" s="768">
        <f ca="1">INDIRECT("'kc-Wert für Stützen'!"&amp;SUBSTITUTE(ADDRESS(MATCH($A340,'kc-Wert für Stützen'!$C:$C,0),MATCH(M$7,'kc-Wert für Stützen'!$A$8:$ES$8,0)+7,4),,))</f>
        <v>148462.45877430364</v>
      </c>
      <c r="N340" s="768">
        <f ca="1">INDIRECT("'kc-Wert für Stützen'!"&amp;SUBSTITUTE(ADDRESS(MATCH($A340,'kc-Wert für Stützen'!$C:$C,0),MATCH(N$7,'kc-Wert für Stützen'!$A$8:$ES$8,0)+7,4),,))</f>
        <v>148069.91821515324</v>
      </c>
      <c r="O340" s="768">
        <f ca="1">INDIRECT("'kc-Wert für Stützen'!"&amp;SUBSTITUTE(ADDRESS(MATCH($A340,'kc-Wert für Stützen'!$C:$C,0),MATCH(O$7,'kc-Wert für Stützen'!$A$8:$ES$8,0)+7,4),,))</f>
        <v>147660.85757193205</v>
      </c>
      <c r="P340" s="768">
        <f ca="1">INDIRECT("'kc-Wert für Stützen'!"&amp;SUBSTITUTE(ADDRESS(MATCH($A340,'kc-Wert für Stützen'!$C:$C,0),MATCH(P$7,'kc-Wert für Stützen'!$A$8:$ES$8,0)+7,4),,))</f>
        <v>147233.97589236312</v>
      </c>
      <c r="S340" s="772">
        <f t="shared" ca="1" si="162"/>
        <v>151424.75405887549</v>
      </c>
      <c r="T340" s="772">
        <f t="shared" ca="1" si="161"/>
        <v>151424.75405887549</v>
      </c>
      <c r="U340" s="772">
        <f t="shared" ca="1" si="161"/>
        <v>151424.75405887549</v>
      </c>
      <c r="V340" s="772">
        <f t="shared" ca="1" si="161"/>
        <v>151135.87411868665</v>
      </c>
      <c r="W340" s="772">
        <f t="shared" ca="1" si="161"/>
        <v>150838.67950892544</v>
      </c>
      <c r="X340" s="772">
        <f t="shared" ca="1" si="161"/>
        <v>150532.49917260878</v>
      </c>
      <c r="Y340" s="772">
        <f t="shared" ca="1" si="161"/>
        <v>150216.61384696673</v>
      </c>
      <c r="Z340" s="772">
        <f t="shared" ca="1" si="161"/>
        <v>151424.75405887549</v>
      </c>
      <c r="AA340" s="772">
        <f t="shared" ca="1" si="161"/>
        <v>151424.75405887549</v>
      </c>
      <c r="AB340" s="772">
        <f t="shared" ca="1" si="164"/>
        <v>151135.87411868665</v>
      </c>
      <c r="AC340" s="772">
        <f t="shared" ca="1" si="164"/>
        <v>151135.87411868665</v>
      </c>
      <c r="AD340" s="772">
        <f t="shared" ca="1" si="164"/>
        <v>150838.67950892544</v>
      </c>
      <c r="AE340" s="772">
        <f t="shared" ca="1" si="164"/>
        <v>150838.67950892544</v>
      </c>
      <c r="AF340" s="772">
        <f t="shared" ca="1" si="164"/>
        <v>150532.49917260878</v>
      </c>
      <c r="AG340" s="772">
        <f t="shared" ca="1" si="164"/>
        <v>150532.49917260878</v>
      </c>
      <c r="AH340" s="772">
        <f t="shared" ca="1" si="164"/>
        <v>150532.49917260878</v>
      </c>
      <c r="AI340" s="772">
        <f t="shared" ca="1" si="164"/>
        <v>151424.75405887549</v>
      </c>
      <c r="AJ340" s="772">
        <f t="shared" ca="1" si="164"/>
        <v>151424.75405887549</v>
      </c>
      <c r="AK340" s="772">
        <f t="shared" ca="1" si="164"/>
        <v>151135.87411868665</v>
      </c>
      <c r="AL340" s="772">
        <f t="shared" ca="1" si="164"/>
        <v>151135.87411868665</v>
      </c>
      <c r="AM340" s="772">
        <f t="shared" ca="1" si="164"/>
        <v>150838.67950892544</v>
      </c>
      <c r="AN340" s="772">
        <f t="shared" ca="1" si="164"/>
        <v>150838.67950892544</v>
      </c>
      <c r="AO340" s="772">
        <f t="shared" ca="1" si="164"/>
        <v>150532.49917260878</v>
      </c>
      <c r="AP340" s="772">
        <f t="shared" ca="1" si="164"/>
        <v>150532.49917260878</v>
      </c>
      <c r="AQ340" s="772">
        <f t="shared" ca="1" si="164"/>
        <v>150532.49917260878</v>
      </c>
      <c r="AR340" s="772">
        <f t="shared" ca="1" si="168"/>
        <v>151424.75405887549</v>
      </c>
      <c r="AS340" s="772">
        <f t="shared" ca="1" si="168"/>
        <v>151424.75405887549</v>
      </c>
      <c r="AT340" s="772">
        <f t="shared" ca="1" si="168"/>
        <v>151135.87411868665</v>
      </c>
      <c r="AU340" s="772">
        <f t="shared" ca="1" si="168"/>
        <v>151135.87411868665</v>
      </c>
      <c r="AV340" s="772">
        <f t="shared" ca="1" si="168"/>
        <v>150838.67950892544</v>
      </c>
      <c r="AW340" s="772">
        <f t="shared" ca="1" si="168"/>
        <v>150838.67950892544</v>
      </c>
      <c r="AX340" s="772">
        <f t="shared" ca="1" si="168"/>
        <v>150532.49917260878</v>
      </c>
      <c r="AY340" s="772">
        <f t="shared" ca="1" si="168"/>
        <v>150532.49917260878</v>
      </c>
      <c r="AZ340" s="772">
        <f t="shared" ca="1" si="168"/>
        <v>150532.49917260878</v>
      </c>
      <c r="BA340" s="772">
        <f t="shared" ca="1" si="168"/>
        <v>151424.75405887549</v>
      </c>
      <c r="BB340" s="772">
        <f t="shared" ca="1" si="168"/>
        <v>151424.75405887549</v>
      </c>
      <c r="BC340" s="772">
        <f t="shared" ca="1" si="168"/>
        <v>151135.87411868665</v>
      </c>
      <c r="BD340" s="772">
        <f t="shared" ca="1" si="168"/>
        <v>150838.67950892544</v>
      </c>
      <c r="BE340" s="772">
        <f t="shared" ca="1" si="168"/>
        <v>150838.67950892544</v>
      </c>
      <c r="BF340" s="772">
        <f t="shared" ca="1" si="168"/>
        <v>150532.49917260878</v>
      </c>
      <c r="BG340" s="772">
        <f t="shared" ca="1" si="168"/>
        <v>150532.49917260878</v>
      </c>
      <c r="BH340" s="772">
        <f t="shared" ca="1" si="167"/>
        <v>150216.61384696673</v>
      </c>
      <c r="BI340" s="772">
        <f t="shared" ca="1" si="167"/>
        <v>150216.61384696673</v>
      </c>
      <c r="BJ340" s="772">
        <f t="shared" ca="1" si="167"/>
        <v>151135.87411868665</v>
      </c>
      <c r="BK340" s="772">
        <f t="shared" ca="1" si="167"/>
        <v>151135.87411868665</v>
      </c>
      <c r="BL340" s="772">
        <f t="shared" ca="1" si="167"/>
        <v>151135.87411868665</v>
      </c>
      <c r="BM340" s="772">
        <f t="shared" ca="1" si="167"/>
        <v>151135.87411868665</v>
      </c>
      <c r="BN340" s="772">
        <f t="shared" ca="1" si="167"/>
        <v>150532.49917260878</v>
      </c>
      <c r="BO340" s="772">
        <f t="shared" ca="1" si="165"/>
        <v>150532.49917260878</v>
      </c>
      <c r="BP340" s="772">
        <f t="shared" ca="1" si="165"/>
        <v>150216.61384696673</v>
      </c>
      <c r="BQ340" s="772">
        <f t="shared" ca="1" si="165"/>
        <v>150216.61384696673</v>
      </c>
      <c r="BR340" s="772">
        <f t="shared" ca="1" si="165"/>
        <v>149890.25151485114</v>
      </c>
      <c r="BS340" s="772">
        <f t="shared" ca="1" si="165"/>
        <v>151135.87411868665</v>
      </c>
      <c r="BT340" s="772">
        <f t="shared" ca="1" si="165"/>
        <v>151135.87411868665</v>
      </c>
      <c r="BU340" s="772">
        <f t="shared" ca="1" si="165"/>
        <v>151135.87411868665</v>
      </c>
      <c r="BV340" s="772">
        <f t="shared" ca="1" si="165"/>
        <v>150838.67950892544</v>
      </c>
      <c r="BW340" s="772">
        <f t="shared" ca="1" si="165"/>
        <v>150838.67950892544</v>
      </c>
      <c r="BX340" s="772">
        <f t="shared" ca="1" si="160"/>
        <v>150216.61384696673</v>
      </c>
      <c r="BY340" s="772">
        <f t="shared" ca="1" si="160"/>
        <v>150216.61384696673</v>
      </c>
      <c r="BZ340" s="772">
        <f t="shared" ca="1" si="160"/>
        <v>149890.25151485114</v>
      </c>
      <c r="CA340" s="772">
        <f t="shared" ca="1" si="160"/>
        <v>149890.25151485114</v>
      </c>
      <c r="CB340" s="772">
        <f t="shared" ca="1" si="160"/>
        <v>150838.67950892544</v>
      </c>
      <c r="CC340" s="772">
        <f t="shared" ca="1" si="160"/>
        <v>150838.67950892544</v>
      </c>
      <c r="CD340" s="772">
        <f t="shared" ca="1" si="160"/>
        <v>150838.67950892544</v>
      </c>
      <c r="CE340" s="772">
        <f t="shared" ca="1" si="160"/>
        <v>150838.67950892544</v>
      </c>
      <c r="CF340" s="772">
        <f t="shared" ca="1" si="160"/>
        <v>150532.49917260878</v>
      </c>
      <c r="CG340" s="772">
        <f t="shared" ca="1" si="160"/>
        <v>150216.61384696673</v>
      </c>
      <c r="CH340" s="772">
        <f t="shared" ca="1" si="160"/>
        <v>149890.25151485114</v>
      </c>
      <c r="CI340" s="772">
        <f t="shared" ca="1" si="160"/>
        <v>149890.25151485114</v>
      </c>
      <c r="CJ340" s="772">
        <f t="shared" ca="1" si="160"/>
        <v>149552.5824827232</v>
      </c>
    </row>
    <row r="341" spans="1:88" ht="15" customHeight="1">
      <c r="A341" s="770">
        <f>'kc-Wert für Stützen'!C341</f>
        <v>393</v>
      </c>
      <c r="B341" s="768">
        <f ca="1">INDIRECT("'kc-Wert für Stützen'!"&amp;SUBSTITUTE(ADDRESS(MATCH($A341,'kc-Wert für Stützen'!$C:$C,0),MATCH(B$7,'kc-Wert für Stützen'!$A$8:$ES$8,0)+7,4),,))</f>
        <v>152775.80570843091</v>
      </c>
      <c r="C341" s="768">
        <f ca="1">INDIRECT("'kc-Wert für Stützen'!"&amp;SUBSTITUTE(ADDRESS(MATCH($A341,'kc-Wert für Stützen'!$C:$C,0),MATCH(C$7,'kc-Wert für Stützen'!$A$8:$ES$8,0)+7,4),,))</f>
        <v>152501.50939495023</v>
      </c>
      <c r="D341" s="768">
        <f ca="1">INDIRECT("'kc-Wert für Stützen'!"&amp;SUBSTITUTE(ADDRESS(MATCH($A341,'kc-Wert für Stützen'!$C:$C,0),MATCH(D$7,'kc-Wert für Stützen'!$A$8:$ES$8,0)+7,4),,))</f>
        <v>152220.15418935631</v>
      </c>
      <c r="E341" s="768">
        <f ca="1">INDIRECT("'kc-Wert für Stützen'!"&amp;SUBSTITUTE(ADDRESS(MATCH($A341,'kc-Wert für Stützen'!$C:$C,0),MATCH(E$7,'kc-Wert für Stützen'!$A$8:$ES$8,0)+7,4),,))</f>
        <v>151931.15754731972</v>
      </c>
      <c r="F341" s="768">
        <f ca="1">INDIRECT("'kc-Wert für Stützen'!"&amp;SUBSTITUTE(ADDRESS(MATCH($A341,'kc-Wert für Stützen'!$C:$C,0),MATCH(F$7,'kc-Wert für Stützen'!$A$8:$ES$8,0)+7,4),,))</f>
        <v>151633.89726224044</v>
      </c>
      <c r="G341" s="768">
        <f ca="1">INDIRECT("'kc-Wert für Stützen'!"&amp;SUBSTITUTE(ADDRESS(MATCH($A341,'kc-Wert für Stützen'!$C:$C,0),MATCH(G$7,'kc-Wert für Stützen'!$A$8:$ES$8,0)+7,4),,))</f>
        <v>151327.70765562291</v>
      </c>
      <c r="H341" s="768">
        <f ca="1">INDIRECT("'kc-Wert für Stützen'!"&amp;SUBSTITUTE(ADDRESS(MATCH($A341,'kc-Wert für Stützen'!$C:$C,0),MATCH(H$7,'kc-Wert für Stützen'!$A$8:$ES$8,0)+7,4),,))</f>
        <v>151011.87544120429</v>
      </c>
      <c r="I341" s="768">
        <f ca="1">INDIRECT("'kc-Wert für Stützen'!"&amp;SUBSTITUTE(ADDRESS(MATCH($A341,'kc-Wert für Stützen'!$C:$C,0),MATCH(I$7,'kc-Wert für Stützen'!$A$8:$ES$8,0)+7,4),,))</f>
        <v>150685.6352408221</v>
      </c>
      <c r="J341" s="768">
        <f ca="1">INDIRECT("'kc-Wert für Stützen'!"&amp;SUBSTITUTE(ADDRESS(MATCH($A341,'kc-Wert für Stützen'!$C:$C,0),MATCH(J$7,'kc-Wert für Stützen'!$A$8:$ES$8,0)+7,4),,))</f>
        <v>150348.16473216863</v>
      </c>
      <c r="K341" s="768">
        <f ca="1">INDIRECT("'kc-Wert für Stützen'!"&amp;SUBSTITUTE(ADDRESS(MATCH($A341,'kc-Wert für Stützen'!$C:$C,0),MATCH(K$7,'kc-Wert für Stützen'!$A$8:$ES$8,0)+7,4),,))</f>
        <v>149998.57941233538</v>
      </c>
      <c r="L341" s="768">
        <f ca="1">INDIRECT("'kc-Wert für Stützen'!"&amp;SUBSTITUTE(ADDRESS(MATCH($A341,'kc-Wert für Stützen'!$C:$C,0),MATCH(L$7,'kc-Wert für Stützen'!$A$8:$ES$8,0)+7,4),,))</f>
        <v>149635.92696696555</v>
      </c>
      <c r="M341" s="768">
        <f ca="1">INDIRECT("'kc-Wert für Stützen'!"&amp;SUBSTITUTE(ADDRESS(MATCH($A341,'kc-Wert für Stützen'!$C:$C,0),MATCH(M$7,'kc-Wert für Stützen'!$A$8:$ES$8,0)+7,4),,))</f>
        <v>149259.18124363193</v>
      </c>
      <c r="N341" s="768">
        <f ca="1">INDIRECT("'kc-Wert für Stützen'!"&amp;SUBSTITUTE(ADDRESS(MATCH($A341,'kc-Wert für Stützen'!$C:$C,0),MATCH(N$7,'kc-Wert für Stützen'!$A$8:$ES$8,0)+7,4),,))</f>
        <v>148867.23584065994</v>
      </c>
      <c r="O341" s="768">
        <f ca="1">INDIRECT("'kc-Wert für Stützen'!"&amp;SUBSTITUTE(ADDRESS(MATCH($A341,'kc-Wert für Stützen'!$C:$C,0),MATCH(O$7,'kc-Wert für Stützen'!$A$8:$ES$8,0)+7,4),,))</f>
        <v>148458.89734018437</v>
      </c>
      <c r="P341" s="768">
        <f ca="1">INDIRECT("'kc-Wert für Stützen'!"&amp;SUBSTITUTE(ADDRESS(MATCH($A341,'kc-Wert für Stützen'!$C:$C,0),MATCH(P$7,'kc-Wert für Stützen'!$A$8:$ES$8,0)+7,4),,))</f>
        <v>148032.87823819395</v>
      </c>
      <c r="S341" s="772">
        <f t="shared" ca="1" si="162"/>
        <v>152220.15418935631</v>
      </c>
      <c r="T341" s="772">
        <f t="shared" ca="1" si="161"/>
        <v>152220.15418935631</v>
      </c>
      <c r="U341" s="772">
        <f t="shared" ca="1" si="161"/>
        <v>152220.15418935631</v>
      </c>
      <c r="V341" s="772">
        <f t="shared" ca="1" si="161"/>
        <v>151931.15754731972</v>
      </c>
      <c r="W341" s="772">
        <f t="shared" ca="1" si="161"/>
        <v>151633.89726224044</v>
      </c>
      <c r="X341" s="772">
        <f t="shared" ca="1" si="161"/>
        <v>151327.70765562291</v>
      </c>
      <c r="Y341" s="772">
        <f t="shared" ca="1" si="161"/>
        <v>151011.87544120429</v>
      </c>
      <c r="Z341" s="772">
        <f t="shared" ca="1" si="161"/>
        <v>152220.15418935631</v>
      </c>
      <c r="AA341" s="772">
        <f t="shared" ca="1" si="161"/>
        <v>152220.15418935631</v>
      </c>
      <c r="AB341" s="772">
        <f t="shared" ca="1" si="164"/>
        <v>151931.15754731972</v>
      </c>
      <c r="AC341" s="772">
        <f t="shared" ca="1" si="164"/>
        <v>151931.15754731972</v>
      </c>
      <c r="AD341" s="772">
        <f t="shared" ca="1" si="164"/>
        <v>151633.89726224044</v>
      </c>
      <c r="AE341" s="772">
        <f t="shared" ca="1" si="164"/>
        <v>151633.89726224044</v>
      </c>
      <c r="AF341" s="772">
        <f t="shared" ca="1" si="164"/>
        <v>151327.70765562291</v>
      </c>
      <c r="AG341" s="772">
        <f t="shared" ca="1" si="164"/>
        <v>151327.70765562291</v>
      </c>
      <c r="AH341" s="772">
        <f t="shared" ca="1" si="164"/>
        <v>151327.70765562291</v>
      </c>
      <c r="AI341" s="772">
        <f t="shared" ca="1" si="164"/>
        <v>152220.15418935631</v>
      </c>
      <c r="AJ341" s="772">
        <f t="shared" ca="1" si="164"/>
        <v>152220.15418935631</v>
      </c>
      <c r="AK341" s="772">
        <f t="shared" ca="1" si="164"/>
        <v>151931.15754731972</v>
      </c>
      <c r="AL341" s="772">
        <f t="shared" ca="1" si="164"/>
        <v>151931.15754731972</v>
      </c>
      <c r="AM341" s="772">
        <f t="shared" ca="1" si="164"/>
        <v>151633.89726224044</v>
      </c>
      <c r="AN341" s="772">
        <f t="shared" ca="1" si="164"/>
        <v>151633.89726224044</v>
      </c>
      <c r="AO341" s="772">
        <f t="shared" ca="1" si="164"/>
        <v>151327.70765562291</v>
      </c>
      <c r="AP341" s="772">
        <f t="shared" ca="1" si="164"/>
        <v>151327.70765562291</v>
      </c>
      <c r="AQ341" s="772">
        <f t="shared" ca="1" si="164"/>
        <v>151327.70765562291</v>
      </c>
      <c r="AR341" s="772">
        <f t="shared" ca="1" si="168"/>
        <v>152220.15418935631</v>
      </c>
      <c r="AS341" s="772">
        <f t="shared" ca="1" si="168"/>
        <v>152220.15418935631</v>
      </c>
      <c r="AT341" s="772">
        <f t="shared" ca="1" si="168"/>
        <v>151931.15754731972</v>
      </c>
      <c r="AU341" s="772">
        <f t="shared" ca="1" si="168"/>
        <v>151931.15754731972</v>
      </c>
      <c r="AV341" s="772">
        <f t="shared" ca="1" si="168"/>
        <v>151633.89726224044</v>
      </c>
      <c r="AW341" s="772">
        <f t="shared" ca="1" si="168"/>
        <v>151633.89726224044</v>
      </c>
      <c r="AX341" s="772">
        <f t="shared" ca="1" si="168"/>
        <v>151327.70765562291</v>
      </c>
      <c r="AY341" s="772">
        <f t="shared" ca="1" si="168"/>
        <v>151327.70765562291</v>
      </c>
      <c r="AZ341" s="772">
        <f t="shared" ca="1" si="168"/>
        <v>151327.70765562291</v>
      </c>
      <c r="BA341" s="772">
        <f t="shared" ca="1" si="168"/>
        <v>152220.15418935631</v>
      </c>
      <c r="BB341" s="772">
        <f t="shared" ca="1" si="168"/>
        <v>152220.15418935631</v>
      </c>
      <c r="BC341" s="772">
        <f t="shared" ca="1" si="168"/>
        <v>151931.15754731972</v>
      </c>
      <c r="BD341" s="772">
        <f t="shared" ca="1" si="168"/>
        <v>151633.89726224044</v>
      </c>
      <c r="BE341" s="772">
        <f t="shared" ca="1" si="168"/>
        <v>151633.89726224044</v>
      </c>
      <c r="BF341" s="772">
        <f t="shared" ca="1" si="168"/>
        <v>151327.70765562291</v>
      </c>
      <c r="BG341" s="772">
        <f t="shared" ca="1" si="168"/>
        <v>151327.70765562291</v>
      </c>
      <c r="BH341" s="772">
        <f t="shared" ca="1" si="167"/>
        <v>151011.87544120429</v>
      </c>
      <c r="BI341" s="772">
        <f t="shared" ca="1" si="167"/>
        <v>151011.87544120429</v>
      </c>
      <c r="BJ341" s="772">
        <f t="shared" ca="1" si="167"/>
        <v>151931.15754731972</v>
      </c>
      <c r="BK341" s="772">
        <f t="shared" ca="1" si="167"/>
        <v>151931.15754731972</v>
      </c>
      <c r="BL341" s="772">
        <f t="shared" ca="1" si="167"/>
        <v>151931.15754731972</v>
      </c>
      <c r="BM341" s="772">
        <f t="shared" ca="1" si="167"/>
        <v>151931.15754731972</v>
      </c>
      <c r="BN341" s="772">
        <f t="shared" ca="1" si="167"/>
        <v>151327.70765562291</v>
      </c>
      <c r="BO341" s="772">
        <f t="shared" ca="1" si="165"/>
        <v>151327.70765562291</v>
      </c>
      <c r="BP341" s="772">
        <f t="shared" ca="1" si="165"/>
        <v>151011.87544120429</v>
      </c>
      <c r="BQ341" s="772">
        <f t="shared" ca="1" si="165"/>
        <v>151011.87544120429</v>
      </c>
      <c r="BR341" s="772">
        <f t="shared" ca="1" si="165"/>
        <v>150685.6352408221</v>
      </c>
      <c r="BS341" s="772">
        <f t="shared" ca="1" si="165"/>
        <v>151931.15754731972</v>
      </c>
      <c r="BT341" s="772">
        <f t="shared" ca="1" si="165"/>
        <v>151931.15754731972</v>
      </c>
      <c r="BU341" s="772">
        <f t="shared" ca="1" si="165"/>
        <v>151931.15754731972</v>
      </c>
      <c r="BV341" s="772">
        <f t="shared" ca="1" si="165"/>
        <v>151633.89726224044</v>
      </c>
      <c r="BW341" s="772">
        <f t="shared" ca="1" si="165"/>
        <v>151633.89726224044</v>
      </c>
      <c r="BX341" s="772">
        <f t="shared" ca="1" si="160"/>
        <v>151011.87544120429</v>
      </c>
      <c r="BY341" s="772">
        <f t="shared" ca="1" si="160"/>
        <v>151011.87544120429</v>
      </c>
      <c r="BZ341" s="772">
        <f t="shared" ca="1" si="160"/>
        <v>150685.6352408221</v>
      </c>
      <c r="CA341" s="772">
        <f t="shared" ca="1" si="160"/>
        <v>150685.6352408221</v>
      </c>
      <c r="CB341" s="772">
        <f t="shared" ca="1" si="160"/>
        <v>151633.89726224044</v>
      </c>
      <c r="CC341" s="772">
        <f t="shared" ca="1" si="160"/>
        <v>151633.89726224044</v>
      </c>
      <c r="CD341" s="772">
        <f t="shared" ca="1" si="160"/>
        <v>151633.89726224044</v>
      </c>
      <c r="CE341" s="772">
        <f t="shared" ca="1" si="160"/>
        <v>151633.89726224044</v>
      </c>
      <c r="CF341" s="772">
        <f t="shared" ca="1" si="160"/>
        <v>151327.70765562291</v>
      </c>
      <c r="CG341" s="772">
        <f t="shared" ca="1" si="160"/>
        <v>151011.87544120429</v>
      </c>
      <c r="CH341" s="772">
        <f t="shared" ca="1" si="160"/>
        <v>150685.6352408221</v>
      </c>
      <c r="CI341" s="772">
        <f t="shared" ca="1" si="160"/>
        <v>150685.6352408221</v>
      </c>
      <c r="CJ341" s="772">
        <f t="shared" ca="1" si="160"/>
        <v>150348.16473216863</v>
      </c>
    </row>
    <row r="342" spans="1:88" ht="15" customHeight="1">
      <c r="A342" s="770">
        <f>'kc-Wert für Stützen'!C342</f>
        <v>394</v>
      </c>
      <c r="B342" s="768">
        <f ca="1">INDIRECT("'kc-Wert für Stützen'!"&amp;SUBSTITUTE(ADDRESS(MATCH($A342,'kc-Wert für Stützen'!$C:$C,0),MATCH(B$7,'kc-Wert für Stützen'!$A$8:$ES$8,0)+7,4),,))</f>
        <v>153573.61697893709</v>
      </c>
      <c r="C342" s="768">
        <f ca="1">INDIRECT("'kc-Wert für Stützen'!"&amp;SUBSTITUTE(ADDRESS(MATCH($A342,'kc-Wert für Stützen'!$C:$C,0),MATCH(C$7,'kc-Wert für Stützen'!$A$8:$ES$8,0)+7,4),,))</f>
        <v>153299.11307111455</v>
      </c>
      <c r="D342" s="768">
        <f ca="1">INDIRECT("'kc-Wert für Stützen'!"&amp;SUBSTITUTE(ADDRESS(MATCH($A342,'kc-Wert für Stützen'!$C:$C,0),MATCH(D$7,'kc-Wert für Stützen'!$A$8:$ES$8,0)+7,4),,))</f>
        <v>153017.59169446453</v>
      </c>
      <c r="E342" s="768">
        <f ca="1">INDIRECT("'kc-Wert für Stützen'!"&amp;SUBSTITUTE(ADDRESS(MATCH($A342,'kc-Wert für Stützen'!$C:$C,0),MATCH(E$7,'kc-Wert für Stützen'!$A$8:$ES$8,0)+7,4),,))</f>
        <v>152728.47460315598</v>
      </c>
      <c r="F342" s="768">
        <f ca="1">INDIRECT("'kc-Wert für Stützen'!"&amp;SUBSTITUTE(ADDRESS(MATCH($A342,'kc-Wert für Stützen'!$C:$C,0),MATCH(F$7,'kc-Wert für Stützen'!$A$8:$ES$8,0)+7,4),,))</f>
        <v>152431.14436636691</v>
      </c>
      <c r="G342" s="768">
        <f ca="1">INDIRECT("'kc-Wert für Stützen'!"&amp;SUBSTITUTE(ADDRESS(MATCH($A342,'kc-Wert für Stützen'!$C:$C,0),MATCH(G$7,'kc-Wert für Stützen'!$A$8:$ES$8,0)+7,4),,))</f>
        <v>152124.94061173467</v>
      </c>
      <c r="H342" s="768">
        <f ca="1">INDIRECT("'kc-Wert für Stützen'!"&amp;SUBSTITUTE(ADDRESS(MATCH($A342,'kc-Wert für Stützen'!$C:$C,0),MATCH(H$7,'kc-Wert für Stützen'!$A$8:$ES$8,0)+7,4),,))</f>
        <v>151809.15594762703</v>
      </c>
      <c r="I342" s="768">
        <f ca="1">INDIRECT("'kc-Wert für Stützen'!"&amp;SUBSTITUTE(ADDRESS(MATCH($A342,'kc-Wert für Stützen'!$C:$C,0),MATCH(I$7,'kc-Wert für Stützen'!$A$8:$ES$8,0)+7,4),,))</f>
        <v>151483.03154238069</v>
      </c>
      <c r="J342" s="768">
        <f ca="1">INDIRECT("'kc-Wert für Stützen'!"&amp;SUBSTITUTE(ADDRESS(MATCH($A342,'kc-Wert für Stützen'!$C:$C,0),MATCH(J$7,'kc-Wert für Stützen'!$A$8:$ES$8,0)+7,4),,))</f>
        <v>151145.75234067286</v>
      </c>
      <c r="K342" s="768">
        <f ca="1">INDIRECT("'kc-Wert für Stützen'!"&amp;SUBSTITUTE(ADDRESS(MATCH($A342,'kc-Wert für Stützen'!$C:$C,0),MATCH(K$7,'kc-Wert für Stützen'!$A$8:$ES$8,0)+7,4),,))</f>
        <v>150796.44190074128</v>
      </c>
      <c r="L342" s="768">
        <f ca="1">INDIRECT("'kc-Wert für Stützen'!"&amp;SUBSTITUTE(ADDRESS(MATCH($A342,'kc-Wert für Stützen'!$C:$C,0),MATCH(L$7,'kc-Wert für Stützen'!$A$8:$ES$8,0)+7,4),,))</f>
        <v>150434.15684178102</v>
      </c>
      <c r="M342" s="768">
        <f ca="1">INDIRECT("'kc-Wert für Stützen'!"&amp;SUBSTITUTE(ADDRESS(MATCH($A342,'kc-Wert für Stützen'!$C:$C,0),MATCH(M$7,'kc-Wert für Stützen'!$A$8:$ES$8,0)+7,4),,))</f>
        <v>150057.88089922525</v>
      </c>
      <c r="N342" s="768">
        <f ca="1">INDIRECT("'kc-Wert für Stützen'!"&amp;SUBSTITUTE(ADDRESS(MATCH($A342,'kc-Wert für Stützen'!$C:$C,0),MATCH(N$7,'kc-Wert für Stützen'!$A$8:$ES$8,0)+7,4),,))</f>
        <v>149666.51859764277</v>
      </c>
      <c r="O342" s="768">
        <f ca="1">INDIRECT("'kc-Wert für Stützen'!"&amp;SUBSTITUTE(ADDRESS(MATCH($A342,'kc-Wert für Stützen'!$C:$C,0),MATCH(O$7,'kc-Wert für Stützen'!$A$8:$ES$8,0)+7,4),,))</f>
        <v>149258.88856776906</v>
      </c>
      <c r="P342" s="768">
        <f ca="1">INDIRECT("'kc-Wert für Stützen'!"&amp;SUBSTITUTE(ADDRESS(MATCH($A342,'kc-Wert für Stützen'!$C:$C,0),MATCH(P$7,'kc-Wert für Stützen'!$A$8:$ES$8,0)+7,4),,))</f>
        <v>148833.71655711078</v>
      </c>
      <c r="S342" s="772">
        <f t="shared" ca="1" si="162"/>
        <v>153017.59169446453</v>
      </c>
      <c r="T342" s="772">
        <f t="shared" ca="1" si="161"/>
        <v>153017.59169446453</v>
      </c>
      <c r="U342" s="772">
        <f t="shared" ca="1" si="161"/>
        <v>153017.59169446453</v>
      </c>
      <c r="V342" s="772">
        <f t="shared" ca="1" si="161"/>
        <v>152728.47460315598</v>
      </c>
      <c r="W342" s="772">
        <f t="shared" ca="1" si="161"/>
        <v>152431.14436636691</v>
      </c>
      <c r="X342" s="772">
        <f t="shared" ca="1" si="161"/>
        <v>152124.94061173467</v>
      </c>
      <c r="Y342" s="772">
        <f t="shared" ca="1" si="161"/>
        <v>151809.15594762703</v>
      </c>
      <c r="Z342" s="772">
        <f t="shared" ca="1" si="161"/>
        <v>153017.59169446453</v>
      </c>
      <c r="AA342" s="772">
        <f t="shared" ca="1" si="161"/>
        <v>153017.59169446453</v>
      </c>
      <c r="AB342" s="772">
        <f t="shared" ca="1" si="164"/>
        <v>152728.47460315598</v>
      </c>
      <c r="AC342" s="772">
        <f t="shared" ca="1" si="164"/>
        <v>152728.47460315598</v>
      </c>
      <c r="AD342" s="772">
        <f t="shared" ca="1" si="164"/>
        <v>152431.14436636691</v>
      </c>
      <c r="AE342" s="772">
        <f t="shared" ca="1" si="164"/>
        <v>152431.14436636691</v>
      </c>
      <c r="AF342" s="772">
        <f t="shared" ca="1" si="164"/>
        <v>152124.94061173467</v>
      </c>
      <c r="AG342" s="772">
        <f t="shared" ca="1" si="164"/>
        <v>152124.94061173467</v>
      </c>
      <c r="AH342" s="772">
        <f t="shared" ca="1" si="164"/>
        <v>152124.94061173467</v>
      </c>
      <c r="AI342" s="772">
        <f t="shared" ca="1" si="164"/>
        <v>153017.59169446453</v>
      </c>
      <c r="AJ342" s="772">
        <f t="shared" ca="1" si="164"/>
        <v>153017.59169446453</v>
      </c>
      <c r="AK342" s="772">
        <f t="shared" ca="1" si="164"/>
        <v>152728.47460315598</v>
      </c>
      <c r="AL342" s="772">
        <f t="shared" ca="1" si="164"/>
        <v>152728.47460315598</v>
      </c>
      <c r="AM342" s="772">
        <f t="shared" ca="1" si="164"/>
        <v>152431.14436636691</v>
      </c>
      <c r="AN342" s="772">
        <f t="shared" ca="1" si="164"/>
        <v>152431.14436636691</v>
      </c>
      <c r="AO342" s="772">
        <f t="shared" ca="1" si="164"/>
        <v>152124.94061173467</v>
      </c>
      <c r="AP342" s="772">
        <f t="shared" ca="1" si="164"/>
        <v>152124.94061173467</v>
      </c>
      <c r="AQ342" s="772">
        <f t="shared" ca="1" si="164"/>
        <v>152124.94061173467</v>
      </c>
      <c r="AR342" s="772">
        <f t="shared" ca="1" si="168"/>
        <v>153017.59169446453</v>
      </c>
      <c r="AS342" s="772">
        <f t="shared" ca="1" si="168"/>
        <v>153017.59169446453</v>
      </c>
      <c r="AT342" s="772">
        <f t="shared" ca="1" si="168"/>
        <v>152728.47460315598</v>
      </c>
      <c r="AU342" s="772">
        <f t="shared" ca="1" si="168"/>
        <v>152728.47460315598</v>
      </c>
      <c r="AV342" s="772">
        <f t="shared" ca="1" si="168"/>
        <v>152431.14436636691</v>
      </c>
      <c r="AW342" s="772">
        <f t="shared" ca="1" si="168"/>
        <v>152431.14436636691</v>
      </c>
      <c r="AX342" s="772">
        <f t="shared" ca="1" si="168"/>
        <v>152124.94061173467</v>
      </c>
      <c r="AY342" s="772">
        <f t="shared" ca="1" si="168"/>
        <v>152124.94061173467</v>
      </c>
      <c r="AZ342" s="772">
        <f t="shared" ca="1" si="168"/>
        <v>152124.94061173467</v>
      </c>
      <c r="BA342" s="772">
        <f t="shared" ca="1" si="168"/>
        <v>153017.59169446453</v>
      </c>
      <c r="BB342" s="772">
        <f t="shared" ca="1" si="168"/>
        <v>153017.59169446453</v>
      </c>
      <c r="BC342" s="772">
        <f t="shared" ca="1" si="168"/>
        <v>152728.47460315598</v>
      </c>
      <c r="BD342" s="772">
        <f t="shared" ca="1" si="168"/>
        <v>152431.14436636691</v>
      </c>
      <c r="BE342" s="772">
        <f t="shared" ca="1" si="168"/>
        <v>152431.14436636691</v>
      </c>
      <c r="BF342" s="772">
        <f t="shared" ca="1" si="168"/>
        <v>152124.94061173467</v>
      </c>
      <c r="BG342" s="772">
        <f t="shared" ca="1" si="168"/>
        <v>152124.94061173467</v>
      </c>
      <c r="BH342" s="772">
        <f t="shared" ca="1" si="167"/>
        <v>151809.15594762703</v>
      </c>
      <c r="BI342" s="772">
        <f t="shared" ca="1" si="167"/>
        <v>151809.15594762703</v>
      </c>
      <c r="BJ342" s="772">
        <f t="shared" ca="1" si="167"/>
        <v>152728.47460315598</v>
      </c>
      <c r="BK342" s="772">
        <f t="shared" ca="1" si="167"/>
        <v>152728.47460315598</v>
      </c>
      <c r="BL342" s="772">
        <f t="shared" ca="1" si="167"/>
        <v>152728.47460315598</v>
      </c>
      <c r="BM342" s="772">
        <f t="shared" ca="1" si="167"/>
        <v>152728.47460315598</v>
      </c>
      <c r="BN342" s="772">
        <f t="shared" ca="1" si="167"/>
        <v>152124.94061173467</v>
      </c>
      <c r="BO342" s="772">
        <f t="shared" ca="1" si="165"/>
        <v>152124.94061173467</v>
      </c>
      <c r="BP342" s="772">
        <f t="shared" ca="1" si="165"/>
        <v>151809.15594762703</v>
      </c>
      <c r="BQ342" s="772">
        <f t="shared" ca="1" si="165"/>
        <v>151809.15594762703</v>
      </c>
      <c r="BR342" s="772">
        <f t="shared" ca="1" si="165"/>
        <v>151483.03154238069</v>
      </c>
      <c r="BS342" s="772">
        <f t="shared" ca="1" si="165"/>
        <v>152728.47460315598</v>
      </c>
      <c r="BT342" s="772">
        <f t="shared" ca="1" si="165"/>
        <v>152728.47460315598</v>
      </c>
      <c r="BU342" s="772">
        <f t="shared" ca="1" si="165"/>
        <v>152728.47460315598</v>
      </c>
      <c r="BV342" s="772">
        <f t="shared" ca="1" si="165"/>
        <v>152431.14436636691</v>
      </c>
      <c r="BW342" s="772">
        <f t="shared" ca="1" si="165"/>
        <v>152431.14436636691</v>
      </c>
      <c r="BX342" s="772">
        <f t="shared" ca="1" si="160"/>
        <v>151809.15594762703</v>
      </c>
      <c r="BY342" s="772">
        <f t="shared" ca="1" si="160"/>
        <v>151809.15594762703</v>
      </c>
      <c r="BZ342" s="772">
        <f t="shared" ca="1" si="160"/>
        <v>151483.03154238069</v>
      </c>
      <c r="CA342" s="772">
        <f t="shared" ca="1" si="160"/>
        <v>151483.03154238069</v>
      </c>
      <c r="CB342" s="772">
        <f t="shared" ca="1" si="160"/>
        <v>152431.14436636691</v>
      </c>
      <c r="CC342" s="772">
        <f t="shared" ca="1" si="160"/>
        <v>152431.14436636691</v>
      </c>
      <c r="CD342" s="772">
        <f t="shared" ca="1" si="160"/>
        <v>152431.14436636691</v>
      </c>
      <c r="CE342" s="772">
        <f t="shared" ca="1" si="160"/>
        <v>152431.14436636691</v>
      </c>
      <c r="CF342" s="772">
        <f t="shared" ca="1" si="160"/>
        <v>152124.94061173467</v>
      </c>
      <c r="CG342" s="772">
        <f t="shared" ca="1" si="160"/>
        <v>151809.15594762703</v>
      </c>
      <c r="CH342" s="772">
        <f t="shared" ca="1" si="160"/>
        <v>151483.03154238069</v>
      </c>
      <c r="CI342" s="772">
        <f t="shared" ca="1" si="160"/>
        <v>151483.03154238069</v>
      </c>
      <c r="CJ342" s="772">
        <f t="shared" ca="1" si="160"/>
        <v>151145.75234067286</v>
      </c>
    </row>
    <row r="343" spans="1:88" ht="15" customHeight="1">
      <c r="A343" s="770">
        <f>'kc-Wert für Stützen'!C343</f>
        <v>395</v>
      </c>
      <c r="B343" s="768">
        <f ca="1">INDIRECT("'kc-Wert für Stützen'!"&amp;SUBSTITUTE(ADDRESS(MATCH($A343,'kc-Wert für Stützen'!$C:$C,0),MATCH(B$7,'kc-Wert für Stützen'!$A$8:$ES$8,0)+7,4),,))</f>
        <v>154373.471969818</v>
      </c>
      <c r="C343" s="768">
        <f ca="1">INDIRECT("'kc-Wert für Stützen'!"&amp;SUBSTITUTE(ADDRESS(MATCH($A343,'kc-Wert für Stützen'!$C:$C,0),MATCH(C$7,'kc-Wert für Stützen'!$A$8:$ES$8,0)+7,4),,))</f>
        <v>154098.75762900684</v>
      </c>
      <c r="D343" s="768">
        <f ca="1">INDIRECT("'kc-Wert für Stützen'!"&amp;SUBSTITUTE(ADDRESS(MATCH($A343,'kc-Wert für Stützen'!$C:$C,0),MATCH(D$7,'kc-Wert für Stützen'!$A$8:$ES$8,0)+7,4),,))</f>
        <v>153817.06683972917</v>
      </c>
      <c r="E343" s="768">
        <f ca="1">INDIRECT("'kc-Wert für Stützen'!"&amp;SUBSTITUTE(ADDRESS(MATCH($A343,'kc-Wert für Stützen'!$C:$C,0),MATCH(E$7,'kc-Wert für Stützen'!$A$8:$ES$8,0)+7,4),,))</f>
        <v>153527.8255993351</v>
      </c>
      <c r="F343" s="768">
        <f ca="1">INDIRECT("'kc-Wert für Stützen'!"&amp;SUBSTITUTE(ADDRESS(MATCH($A343,'kc-Wert für Stützen'!$C:$C,0),MATCH(F$7,'kc-Wert für Stützen'!$A$8:$ES$8,0)+7,4),,))</f>
        <v>153230.42119003288</v>
      </c>
      <c r="G343" s="768">
        <f ca="1">INDIRECT("'kc-Wert für Stützen'!"&amp;SUBSTITUTE(ADDRESS(MATCH($A343,'kc-Wert für Stützen'!$C:$C,0),MATCH(G$7,'kc-Wert für Stützen'!$A$8:$ES$8,0)+7,4),,))</f>
        <v>152924.1984744989</v>
      </c>
      <c r="H343" s="768">
        <f ca="1">INDIRECT("'kc-Wert für Stützen'!"&amp;SUBSTITUTE(ADDRESS(MATCH($A343,'kc-Wert für Stützen'!$C:$C,0),MATCH(H$7,'kc-Wert für Stützen'!$A$8:$ES$8,0)+7,4),,))</f>
        <v>152608.45587529748</v>
      </c>
      <c r="I343" s="768">
        <f ca="1">INDIRECT("'kc-Wert für Stützen'!"&amp;SUBSTITUTE(ADDRESS(MATCH($A343,'kc-Wert für Stützen'!$C:$C,0),MATCH(I$7,'kc-Wert für Stützen'!$A$8:$ES$8,0)+7,4),,))</f>
        <v>152282.44101641967</v>
      </c>
      <c r="J343" s="768">
        <f ca="1">INDIRECT("'kc-Wert für Stützen'!"&amp;SUBSTITUTE(ADDRESS(MATCH($A343,'kc-Wert für Stützen'!$C:$C,0),MATCH(J$7,'kc-Wert für Stützen'!$A$8:$ES$8,0)+7,4),,))</f>
        <v>151945.34600714257</v>
      </c>
      <c r="K343" s="768">
        <f ca="1">INDIRECT("'kc-Wert für Stützen'!"&amp;SUBSTITUTE(ADDRESS(MATCH($A343,'kc-Wert für Stützen'!$C:$C,0),MATCH(K$7,'kc-Wert für Stützen'!$A$8:$ES$8,0)+7,4),,))</f>
        <v>151596.30235175748</v>
      </c>
      <c r="L343" s="768">
        <f ca="1">INDIRECT("'kc-Wert für Stützen'!"&amp;SUBSTITUTE(ADDRESS(MATCH($A343,'kc-Wert für Stützen'!$C:$C,0),MATCH(L$7,'kc-Wert für Stützen'!$A$8:$ES$8,0)+7,4),,))</f>
        <v>151234.3754740438</v>
      </c>
      <c r="M343" s="768">
        <f ca="1">INDIRECT("'kc-Wert für Stützen'!"&amp;SUBSTITUTE(ADDRESS(MATCH($A343,'kc-Wert für Stützen'!$C:$C,0),MATCH(M$7,'kc-Wert für Stützen'!$A$8:$ES$8,0)+7,4),,))</f>
        <v>150858.55885334426</v>
      </c>
      <c r="N343" s="768">
        <f ca="1">INDIRECT("'kc-Wert für Stützen'!"&amp;SUBSTITUTE(ADDRESS(MATCH($A343,'kc-Wert für Stützen'!$C:$C,0),MATCH(N$7,'kc-Wert für Stützen'!$A$8:$ES$8,0)+7,4),,))</f>
        <v>150467.76778056784</v>
      </c>
      <c r="O343" s="768">
        <f ca="1">INDIRECT("'kc-Wert für Stützen'!"&amp;SUBSTITUTE(ADDRESS(MATCH($A343,'kc-Wert für Stützen'!$C:$C,0),MATCH(O$7,'kc-Wert für Stützen'!$A$8:$ES$8,0)+7,4),,))</f>
        <v>150060.83275848586</v>
      </c>
      <c r="P343" s="768">
        <f ca="1">INDIRECT("'kc-Wert für Stützen'!"&amp;SUBSTITUTE(ADDRESS(MATCH($A343,'kc-Wert für Stützen'!$C:$C,0),MATCH(P$7,'kc-Wert für Stützen'!$A$8:$ES$8,0)+7,4),,))</f>
        <v>149636.49259260896</v>
      </c>
      <c r="S343" s="772">
        <f t="shared" ca="1" si="162"/>
        <v>153817.06683972917</v>
      </c>
      <c r="T343" s="772">
        <f t="shared" ca="1" si="161"/>
        <v>153817.06683972917</v>
      </c>
      <c r="U343" s="772">
        <f t="shared" ca="1" si="161"/>
        <v>153817.06683972917</v>
      </c>
      <c r="V343" s="772">
        <f t="shared" ca="1" si="161"/>
        <v>153527.8255993351</v>
      </c>
      <c r="W343" s="772">
        <f t="shared" ca="1" si="161"/>
        <v>153230.42119003288</v>
      </c>
      <c r="X343" s="772">
        <f t="shared" ca="1" si="161"/>
        <v>152924.1984744989</v>
      </c>
      <c r="Y343" s="772">
        <f t="shared" ca="1" si="161"/>
        <v>152608.45587529748</v>
      </c>
      <c r="Z343" s="772">
        <f t="shared" ca="1" si="161"/>
        <v>153817.06683972917</v>
      </c>
      <c r="AA343" s="772">
        <f t="shared" ca="1" si="161"/>
        <v>153817.06683972917</v>
      </c>
      <c r="AB343" s="772">
        <f t="shared" ca="1" si="164"/>
        <v>153527.8255993351</v>
      </c>
      <c r="AC343" s="772">
        <f t="shared" ca="1" si="164"/>
        <v>153527.8255993351</v>
      </c>
      <c r="AD343" s="772">
        <f t="shared" ca="1" si="164"/>
        <v>153230.42119003288</v>
      </c>
      <c r="AE343" s="772">
        <f t="shared" ca="1" si="164"/>
        <v>153230.42119003288</v>
      </c>
      <c r="AF343" s="772">
        <f t="shared" ca="1" si="164"/>
        <v>152924.1984744989</v>
      </c>
      <c r="AG343" s="772">
        <f t="shared" ca="1" si="164"/>
        <v>152924.1984744989</v>
      </c>
      <c r="AH343" s="772">
        <f t="shared" ca="1" si="164"/>
        <v>152924.1984744989</v>
      </c>
      <c r="AI343" s="772">
        <f t="shared" ca="1" si="164"/>
        <v>153817.06683972917</v>
      </c>
      <c r="AJ343" s="772">
        <f t="shared" ca="1" si="164"/>
        <v>153817.06683972917</v>
      </c>
      <c r="AK343" s="772">
        <f t="shared" ca="1" si="164"/>
        <v>153527.8255993351</v>
      </c>
      <c r="AL343" s="772">
        <f t="shared" ca="1" si="164"/>
        <v>153527.8255993351</v>
      </c>
      <c r="AM343" s="772">
        <f t="shared" ca="1" si="164"/>
        <v>153230.42119003288</v>
      </c>
      <c r="AN343" s="772">
        <f t="shared" ca="1" si="164"/>
        <v>153230.42119003288</v>
      </c>
      <c r="AO343" s="772">
        <f t="shared" ca="1" si="164"/>
        <v>152924.1984744989</v>
      </c>
      <c r="AP343" s="772">
        <f t="shared" ca="1" si="164"/>
        <v>152924.1984744989</v>
      </c>
      <c r="AQ343" s="772">
        <f t="shared" ca="1" si="164"/>
        <v>152924.1984744989</v>
      </c>
      <c r="AR343" s="772">
        <f t="shared" ca="1" si="168"/>
        <v>153817.06683972917</v>
      </c>
      <c r="AS343" s="772">
        <f t="shared" ca="1" si="168"/>
        <v>153817.06683972917</v>
      </c>
      <c r="AT343" s="772">
        <f t="shared" ca="1" si="168"/>
        <v>153527.8255993351</v>
      </c>
      <c r="AU343" s="772">
        <f t="shared" ca="1" si="168"/>
        <v>153527.8255993351</v>
      </c>
      <c r="AV343" s="772">
        <f t="shared" ca="1" si="168"/>
        <v>153230.42119003288</v>
      </c>
      <c r="AW343" s="772">
        <f t="shared" ca="1" si="168"/>
        <v>153230.42119003288</v>
      </c>
      <c r="AX343" s="772">
        <f t="shared" ca="1" si="168"/>
        <v>152924.1984744989</v>
      </c>
      <c r="AY343" s="772">
        <f t="shared" ca="1" si="168"/>
        <v>152924.1984744989</v>
      </c>
      <c r="AZ343" s="772">
        <f t="shared" ca="1" si="168"/>
        <v>152924.1984744989</v>
      </c>
      <c r="BA343" s="772">
        <f t="shared" ca="1" si="168"/>
        <v>153817.06683972917</v>
      </c>
      <c r="BB343" s="772">
        <f t="shared" ca="1" si="168"/>
        <v>153817.06683972917</v>
      </c>
      <c r="BC343" s="772">
        <f t="shared" ca="1" si="168"/>
        <v>153527.8255993351</v>
      </c>
      <c r="BD343" s="772">
        <f t="shared" ca="1" si="168"/>
        <v>153230.42119003288</v>
      </c>
      <c r="BE343" s="772">
        <f t="shared" ca="1" si="168"/>
        <v>153230.42119003288</v>
      </c>
      <c r="BF343" s="772">
        <f t="shared" ca="1" si="168"/>
        <v>152924.1984744989</v>
      </c>
      <c r="BG343" s="772">
        <f t="shared" ca="1" si="168"/>
        <v>152924.1984744989</v>
      </c>
      <c r="BH343" s="772">
        <f t="shared" ca="1" si="167"/>
        <v>152608.45587529748</v>
      </c>
      <c r="BI343" s="772">
        <f t="shared" ca="1" si="167"/>
        <v>152608.45587529748</v>
      </c>
      <c r="BJ343" s="772">
        <f t="shared" ca="1" si="167"/>
        <v>153527.8255993351</v>
      </c>
      <c r="BK343" s="772">
        <f t="shared" ca="1" si="167"/>
        <v>153527.8255993351</v>
      </c>
      <c r="BL343" s="772">
        <f t="shared" ca="1" si="167"/>
        <v>153527.8255993351</v>
      </c>
      <c r="BM343" s="772">
        <f t="shared" ca="1" si="167"/>
        <v>153527.8255993351</v>
      </c>
      <c r="BN343" s="772">
        <f t="shared" ca="1" si="167"/>
        <v>152924.1984744989</v>
      </c>
      <c r="BO343" s="772">
        <f t="shared" ca="1" si="165"/>
        <v>152924.1984744989</v>
      </c>
      <c r="BP343" s="772">
        <f t="shared" ca="1" si="165"/>
        <v>152608.45587529748</v>
      </c>
      <c r="BQ343" s="772">
        <f t="shared" ca="1" si="165"/>
        <v>152608.45587529748</v>
      </c>
      <c r="BR343" s="772">
        <f t="shared" ca="1" si="165"/>
        <v>152282.44101641967</v>
      </c>
      <c r="BS343" s="772">
        <f t="shared" ca="1" si="165"/>
        <v>153527.8255993351</v>
      </c>
      <c r="BT343" s="772">
        <f t="shared" ca="1" si="165"/>
        <v>153527.8255993351</v>
      </c>
      <c r="BU343" s="772">
        <f t="shared" ca="1" si="165"/>
        <v>153527.8255993351</v>
      </c>
      <c r="BV343" s="772">
        <f t="shared" ca="1" si="165"/>
        <v>153230.42119003288</v>
      </c>
      <c r="BW343" s="772">
        <f t="shared" ca="1" si="165"/>
        <v>153230.42119003288</v>
      </c>
      <c r="BX343" s="772">
        <f t="shared" ca="1" si="160"/>
        <v>152608.45587529748</v>
      </c>
      <c r="BY343" s="772">
        <f t="shared" ca="1" si="160"/>
        <v>152608.45587529748</v>
      </c>
      <c r="BZ343" s="772">
        <f t="shared" ca="1" si="160"/>
        <v>152282.44101641967</v>
      </c>
      <c r="CA343" s="772">
        <f t="shared" ca="1" si="160"/>
        <v>152282.44101641967</v>
      </c>
      <c r="CB343" s="772">
        <f t="shared" ca="1" si="160"/>
        <v>153230.42119003288</v>
      </c>
      <c r="CC343" s="772">
        <f t="shared" ca="1" si="160"/>
        <v>153230.42119003288</v>
      </c>
      <c r="CD343" s="772">
        <f t="shared" ca="1" si="160"/>
        <v>153230.42119003288</v>
      </c>
      <c r="CE343" s="772">
        <f t="shared" ca="1" si="160"/>
        <v>153230.42119003288</v>
      </c>
      <c r="CF343" s="772">
        <f t="shared" ca="1" si="160"/>
        <v>152924.1984744989</v>
      </c>
      <c r="CG343" s="772">
        <f t="shared" ca="1" si="160"/>
        <v>152608.45587529748</v>
      </c>
      <c r="CH343" s="772">
        <f t="shared" ca="1" si="160"/>
        <v>152282.44101641967</v>
      </c>
      <c r="CI343" s="772">
        <f t="shared" ca="1" si="160"/>
        <v>152282.44101641967</v>
      </c>
      <c r="CJ343" s="772">
        <f t="shared" ca="1" si="160"/>
        <v>151945.34600714257</v>
      </c>
    </row>
    <row r="344" spans="1:88" ht="15" customHeight="1">
      <c r="A344" s="770">
        <f>'kc-Wert für Stützen'!C344</f>
        <v>396</v>
      </c>
      <c r="B344" s="768">
        <f ca="1">INDIRECT("'kc-Wert für Stützen'!"&amp;SUBSTITUTE(ADDRESS(MATCH($A344,'kc-Wert für Stützen'!$C:$C,0),MATCH(B$7,'kc-Wert für Stützen'!$A$8:$ES$8,0)+7,4),,))</f>
        <v>155175.37086831592</v>
      </c>
      <c r="C344" s="768">
        <f ca="1">INDIRECT("'kc-Wert für Stützen'!"&amp;SUBSTITUTE(ADDRESS(MATCH($A344,'kc-Wert für Stützen'!$C:$C,0),MATCH(C$7,'kc-Wert für Stützen'!$A$8:$ES$8,0)+7,4),,))</f>
        <v>154900.44329011071</v>
      </c>
      <c r="D344" s="768">
        <f ca="1">INDIRECT("'kc-Wert für Stützen'!"&amp;SUBSTITUTE(ADDRESS(MATCH($A344,'kc-Wert für Stützen'!$C:$C,0),MATCH(D$7,'kc-Wert für Stützen'!$A$8:$ES$8,0)+7,4),,))</f>
        <v>154618.57988668818</v>
      </c>
      <c r="E344" s="768">
        <f ca="1">INDIRECT("'kc-Wert für Stützen'!"&amp;SUBSTITUTE(ADDRESS(MATCH($A344,'kc-Wert für Stützen'!$C:$C,0),MATCH(E$7,'kc-Wert für Stützen'!$A$8:$ES$8,0)+7,4),,))</f>
        <v>154329.21084419847</v>
      </c>
      <c r="F344" s="768">
        <f ca="1">INDIRECT("'kc-Wert für Stützen'!"&amp;SUBSTITUTE(ADDRESS(MATCH($A344,'kc-Wert für Stützen'!$C:$C,0),MATCH(F$7,'kc-Wert für Stützen'!$A$8:$ES$8,0)+7,4),,))</f>
        <v>154031.72809620842</v>
      </c>
      <c r="G344" s="768">
        <f ca="1">INDIRECT("'kc-Wert für Stützen'!"&amp;SUBSTITUTE(ADDRESS(MATCH($A344,'kc-Wert für Stützen'!$C:$C,0),MATCH(G$7,'kc-Wert für Stützen'!$A$8:$ES$8,0)+7,4),,))</f>
        <v>153725.48167057522</v>
      </c>
      <c r="H344" s="768">
        <f ca="1">INDIRECT("'kc-Wert für Stützen'!"&amp;SUBSTITUTE(ADDRESS(MATCH($A344,'kc-Wert für Stützen'!$C:$C,0),MATCH(H$7,'kc-Wert für Stützen'!$A$8:$ES$8,0)+7,4),,))</f>
        <v>153409.77572503709</v>
      </c>
      <c r="I344" s="768">
        <f ca="1">INDIRECT("'kc-Wert für Stützen'!"&amp;SUBSTITUTE(ADDRESS(MATCH($A344,'kc-Wert für Stützen'!$C:$C,0),MATCH(I$7,'kc-Wert für Stützen'!$A$8:$ES$8,0)+7,4),,))</f>
        <v>153083.86425000289</v>
      </c>
      <c r="J344" s="768">
        <f ca="1">INDIRECT("'kc-Wert für Stützen'!"&amp;SUBSTITUTE(ADDRESS(MATCH($A344,'kc-Wert für Stützen'!$C:$C,0),MATCH(J$7,'kc-Wert für Stützen'!$A$8:$ES$8,0)+7,4),,))</f>
        <v>152746.94641878706</v>
      </c>
      <c r="K344" s="768">
        <f ca="1">INDIRECT("'kc-Wert für Stützen'!"&amp;SUBSTITUTE(ADDRESS(MATCH($A344,'kc-Wert für Stützen'!$C:$C,0),MATCH(K$7,'kc-Wert für Stützen'!$A$8:$ES$8,0)+7,4),,))</f>
        <v>152398.16156869536</v>
      </c>
      <c r="L344" s="768">
        <f ca="1">INDIRECT("'kc-Wert für Stützen'!"&amp;SUBSTITUTE(ADDRESS(MATCH($A344,'kc-Wert für Stützen'!$C:$C,0),MATCH(L$7,'kc-Wert für Stützen'!$A$8:$ES$8,0)+7,4),,))</f>
        <v>152036.58380142192</v>
      </c>
      <c r="M344" s="768">
        <f ca="1">INDIRECT("'kc-Wert für Stützen'!"&amp;SUBSTITUTE(ADDRESS(MATCH($A344,'kc-Wert für Stützen'!$C:$C,0),MATCH(M$7,'kc-Wert für Stützen'!$A$8:$ES$8,0)+7,4),,))</f>
        <v>151661.21619881506</v>
      </c>
      <c r="N344" s="768">
        <f ca="1">INDIRECT("'kc-Wert für Stützen'!"&amp;SUBSTITUTE(ADDRESS(MATCH($A344,'kc-Wert für Stützen'!$C:$C,0),MATCH(N$7,'kc-Wert für Stützen'!$A$8:$ES$8,0)+7,4),,))</f>
        <v>151270.9846610121</v>
      </c>
      <c r="O344" s="768">
        <f ca="1">INDIRECT("'kc-Wert für Stützen'!"&amp;SUBSTITUTE(ADDRESS(MATCH($A344,'kc-Wert für Stützen'!$C:$C,0),MATCH(O$7,'kc-Wert für Stützen'!$A$8:$ES$8,0)+7,4),,))</f>
        <v>150864.73138926772</v>
      </c>
      <c r="P344" s="768">
        <f ca="1">INDIRECT("'kc-Wert für Stützen'!"&amp;SUBSTITUTE(ADDRESS(MATCH($A344,'kc-Wert für Stützen'!$C:$C,0),MATCH(P$7,'kc-Wert für Stützen'!$A$8:$ES$8,0)+7,4),,))</f>
        <v>150441.20805677</v>
      </c>
      <c r="S344" s="772">
        <f t="shared" ca="1" si="162"/>
        <v>154618.57988668818</v>
      </c>
      <c r="T344" s="772">
        <f t="shared" ca="1" si="161"/>
        <v>154618.57988668818</v>
      </c>
      <c r="U344" s="772">
        <f t="shared" ca="1" si="161"/>
        <v>154618.57988668818</v>
      </c>
      <c r="V344" s="772">
        <f t="shared" ca="1" si="161"/>
        <v>154329.21084419847</v>
      </c>
      <c r="W344" s="772">
        <f t="shared" ca="1" si="161"/>
        <v>154031.72809620842</v>
      </c>
      <c r="X344" s="772">
        <f t="shared" ca="1" si="161"/>
        <v>153725.48167057522</v>
      </c>
      <c r="Y344" s="772">
        <f t="shared" ca="1" si="161"/>
        <v>153409.77572503709</v>
      </c>
      <c r="Z344" s="772">
        <f t="shared" ca="1" si="161"/>
        <v>154618.57988668818</v>
      </c>
      <c r="AA344" s="772">
        <f t="shared" ca="1" si="161"/>
        <v>154618.57988668818</v>
      </c>
      <c r="AB344" s="772">
        <f t="shared" ca="1" si="164"/>
        <v>154329.21084419847</v>
      </c>
      <c r="AC344" s="772">
        <f t="shared" ca="1" si="164"/>
        <v>154329.21084419847</v>
      </c>
      <c r="AD344" s="772">
        <f t="shared" ca="1" si="164"/>
        <v>154031.72809620842</v>
      </c>
      <c r="AE344" s="772">
        <f t="shared" ca="1" si="164"/>
        <v>154031.72809620842</v>
      </c>
      <c r="AF344" s="772">
        <f t="shared" ca="1" si="164"/>
        <v>153725.48167057522</v>
      </c>
      <c r="AG344" s="772">
        <f t="shared" ca="1" si="164"/>
        <v>153725.48167057522</v>
      </c>
      <c r="AH344" s="772">
        <f t="shared" ca="1" si="164"/>
        <v>153725.48167057522</v>
      </c>
      <c r="AI344" s="772">
        <f t="shared" ca="1" si="164"/>
        <v>154618.57988668818</v>
      </c>
      <c r="AJ344" s="772">
        <f t="shared" ca="1" si="164"/>
        <v>154618.57988668818</v>
      </c>
      <c r="AK344" s="772">
        <f t="shared" ca="1" si="164"/>
        <v>154329.21084419847</v>
      </c>
      <c r="AL344" s="772">
        <f t="shared" ca="1" si="164"/>
        <v>154329.21084419847</v>
      </c>
      <c r="AM344" s="772">
        <f t="shared" ca="1" si="164"/>
        <v>154031.72809620842</v>
      </c>
      <c r="AN344" s="772">
        <f t="shared" ca="1" si="164"/>
        <v>154031.72809620842</v>
      </c>
      <c r="AO344" s="772">
        <f t="shared" ca="1" si="164"/>
        <v>153725.48167057522</v>
      </c>
      <c r="AP344" s="772">
        <f t="shared" ca="1" si="164"/>
        <v>153725.48167057522</v>
      </c>
      <c r="AQ344" s="772">
        <f t="shared" ca="1" si="164"/>
        <v>153725.48167057522</v>
      </c>
      <c r="AR344" s="772">
        <f t="shared" ca="1" si="168"/>
        <v>154618.57988668818</v>
      </c>
      <c r="AS344" s="772">
        <f t="shared" ca="1" si="168"/>
        <v>154618.57988668818</v>
      </c>
      <c r="AT344" s="772">
        <f t="shared" ca="1" si="168"/>
        <v>154329.21084419847</v>
      </c>
      <c r="AU344" s="772">
        <f t="shared" ca="1" si="168"/>
        <v>154329.21084419847</v>
      </c>
      <c r="AV344" s="772">
        <f t="shared" ca="1" si="168"/>
        <v>154031.72809620842</v>
      </c>
      <c r="AW344" s="772">
        <f t="shared" ca="1" si="168"/>
        <v>154031.72809620842</v>
      </c>
      <c r="AX344" s="772">
        <f t="shared" ca="1" si="168"/>
        <v>153725.48167057522</v>
      </c>
      <c r="AY344" s="772">
        <f t="shared" ca="1" si="168"/>
        <v>153725.48167057522</v>
      </c>
      <c r="AZ344" s="772">
        <f t="shared" ca="1" si="168"/>
        <v>153725.48167057522</v>
      </c>
      <c r="BA344" s="772">
        <f t="shared" ca="1" si="168"/>
        <v>154618.57988668818</v>
      </c>
      <c r="BB344" s="772">
        <f t="shared" ca="1" si="168"/>
        <v>154618.57988668818</v>
      </c>
      <c r="BC344" s="772">
        <f t="shared" ca="1" si="168"/>
        <v>154329.21084419847</v>
      </c>
      <c r="BD344" s="772">
        <f t="shared" ca="1" si="168"/>
        <v>154031.72809620842</v>
      </c>
      <c r="BE344" s="772">
        <f t="shared" ca="1" si="168"/>
        <v>154031.72809620842</v>
      </c>
      <c r="BF344" s="772">
        <f t="shared" ca="1" si="168"/>
        <v>153725.48167057522</v>
      </c>
      <c r="BG344" s="772">
        <f t="shared" ca="1" si="168"/>
        <v>153725.48167057522</v>
      </c>
      <c r="BH344" s="772">
        <f t="shared" ca="1" si="167"/>
        <v>153409.77572503709</v>
      </c>
      <c r="BI344" s="772">
        <f t="shared" ca="1" si="167"/>
        <v>153409.77572503709</v>
      </c>
      <c r="BJ344" s="772">
        <f t="shared" ca="1" si="167"/>
        <v>154329.21084419847</v>
      </c>
      <c r="BK344" s="772">
        <f t="shared" ca="1" si="167"/>
        <v>154329.21084419847</v>
      </c>
      <c r="BL344" s="772">
        <f t="shared" ca="1" si="167"/>
        <v>154329.21084419847</v>
      </c>
      <c r="BM344" s="772">
        <f t="shared" ca="1" si="167"/>
        <v>154329.21084419847</v>
      </c>
      <c r="BN344" s="772">
        <f t="shared" ca="1" si="167"/>
        <v>153725.48167057522</v>
      </c>
      <c r="BO344" s="772">
        <f t="shared" ca="1" si="165"/>
        <v>153725.48167057522</v>
      </c>
      <c r="BP344" s="772">
        <f t="shared" ca="1" si="165"/>
        <v>153409.77572503709</v>
      </c>
      <c r="BQ344" s="772">
        <f t="shared" ca="1" si="165"/>
        <v>153409.77572503709</v>
      </c>
      <c r="BR344" s="772">
        <f t="shared" ca="1" si="165"/>
        <v>153083.86425000289</v>
      </c>
      <c r="BS344" s="772">
        <f t="shared" ca="1" si="165"/>
        <v>154329.21084419847</v>
      </c>
      <c r="BT344" s="772">
        <f t="shared" ca="1" si="165"/>
        <v>154329.21084419847</v>
      </c>
      <c r="BU344" s="772">
        <f t="shared" ca="1" si="165"/>
        <v>154329.21084419847</v>
      </c>
      <c r="BV344" s="772">
        <f t="shared" ca="1" si="165"/>
        <v>154031.72809620842</v>
      </c>
      <c r="BW344" s="772">
        <f t="shared" ca="1" si="165"/>
        <v>154031.72809620842</v>
      </c>
      <c r="BX344" s="772">
        <f t="shared" ca="1" si="160"/>
        <v>153409.77572503709</v>
      </c>
      <c r="BY344" s="772">
        <f t="shared" ca="1" si="160"/>
        <v>153409.77572503709</v>
      </c>
      <c r="BZ344" s="772">
        <f t="shared" ca="1" si="160"/>
        <v>153083.86425000289</v>
      </c>
      <c r="CA344" s="772">
        <f t="shared" ca="1" si="160"/>
        <v>153083.86425000289</v>
      </c>
      <c r="CB344" s="772">
        <f t="shared" ca="1" si="160"/>
        <v>154031.72809620842</v>
      </c>
      <c r="CC344" s="772">
        <f t="shared" ca="1" si="160"/>
        <v>154031.72809620842</v>
      </c>
      <c r="CD344" s="772">
        <f t="shared" ca="1" si="160"/>
        <v>154031.72809620842</v>
      </c>
      <c r="CE344" s="772">
        <f t="shared" ca="1" si="160"/>
        <v>154031.72809620842</v>
      </c>
      <c r="CF344" s="772">
        <f t="shared" ca="1" si="160"/>
        <v>153725.48167057522</v>
      </c>
      <c r="CG344" s="772">
        <f t="shared" ca="1" si="160"/>
        <v>153409.77572503709</v>
      </c>
      <c r="CH344" s="772">
        <f t="shared" ca="1" si="160"/>
        <v>153083.86425000289</v>
      </c>
      <c r="CI344" s="772">
        <f t="shared" ca="1" si="160"/>
        <v>153083.86425000289</v>
      </c>
      <c r="CJ344" s="772">
        <f t="shared" ca="1" si="160"/>
        <v>152746.94641878706</v>
      </c>
    </row>
    <row r="345" spans="1:88" ht="15" customHeight="1">
      <c r="A345" s="770">
        <f>'kc-Wert für Stützen'!C345</f>
        <v>397</v>
      </c>
      <c r="B345" s="768">
        <f ca="1">INDIRECT("'kc-Wert für Stützen'!"&amp;SUBSTITUTE(ADDRESS(MATCH($A345,'kc-Wert für Stützen'!$C:$C,0),MATCH(B$7,'kc-Wert für Stützen'!$A$8:$ES$8,0)+7,4),,))</f>
        <v>155979.31385897947</v>
      </c>
      <c r="C345" s="768">
        <f ca="1">INDIRECT("'kc-Wert für Stützen'!"&amp;SUBSTITUTE(ADDRESS(MATCH($A345,'kc-Wert für Stützen'!$C:$C,0),MATCH(C$7,'kc-Wert für Stützen'!$A$8:$ES$8,0)+7,4),,))</f>
        <v>155704.17027265893</v>
      </c>
      <c r="D345" s="768">
        <f ca="1">INDIRECT("'kc-Wert für Stützen'!"&amp;SUBSTITUTE(ADDRESS(MATCH($A345,'kc-Wert für Stützen'!$C:$C,0),MATCH(D$7,'kc-Wert für Stützen'!$A$8:$ES$8,0)+7,4),,))</f>
        <v>155422.13109296418</v>
      </c>
      <c r="E345" s="768">
        <f ca="1">INDIRECT("'kc-Wert für Stützen'!"&amp;SUBSTITUTE(ADDRESS(MATCH($A345,'kc-Wert für Stützen'!$C:$C,0),MATCH(E$7,'kc-Wert für Stützen'!$A$8:$ES$8,0)+7,4),,))</f>
        <v>155132.6306413812</v>
      </c>
      <c r="F345" s="768">
        <f ca="1">INDIRECT("'kc-Wert für Stützen'!"&amp;SUBSTITUTE(ADDRESS(MATCH($A345,'kc-Wert für Stützen'!$C:$C,0),MATCH(F$7,'kc-Wert für Stützen'!$A$8:$ES$8,0)+7,4),,))</f>
        <v>154835.0654422185</v>
      </c>
      <c r="G345" s="768">
        <f ca="1">INDIRECT("'kc-Wert für Stützen'!"&amp;SUBSTITUTE(ADDRESS(MATCH($A345,'kc-Wert für Stützen'!$C:$C,0),MATCH(G$7,'kc-Wert für Stützen'!$A$8:$ES$8,0)+7,4),,))</f>
        <v>154528.79061986491</v>
      </c>
      <c r="H345" s="768">
        <f ca="1">INDIRECT("'kc-Wert für Stützen'!"&amp;SUBSTITUTE(ADDRESS(MATCH($A345,'kc-Wert für Stützen'!$C:$C,0),MATCH(H$7,'kc-Wert für Stützen'!$A$8:$ES$8,0)+7,4),,))</f>
        <v>154213.11598959262</v>
      </c>
      <c r="I345" s="768">
        <f ca="1">INDIRECT("'kc-Wert für Stützen'!"&amp;SUBSTITUTE(ADDRESS(MATCH($A345,'kc-Wert für Stützen'!$C:$C,0),MATCH(I$7,'kc-Wert für Stützen'!$A$8:$ES$8,0)+7,4),,))</f>
        <v>153887.30182056595</v>
      </c>
      <c r="J345" s="768">
        <f ca="1">INDIRECT("'kc-Wert für Stützen'!"&amp;SUBSTITUTE(ADDRESS(MATCH($A345,'kc-Wert für Stützen'!$C:$C,0),MATCH(J$7,'kc-Wert für Stützen'!$A$8:$ES$8,0)+7,4),,))</f>
        <v>153550.55425135946</v>
      </c>
      <c r="K345" s="768">
        <f ca="1">INDIRECT("'kc-Wert für Stützen'!"&amp;SUBSTITUTE(ADDRESS(MATCH($A345,'kc-Wert für Stützen'!$C:$C,0),MATCH(K$7,'kc-Wert für Stützen'!$A$8:$ES$8,0)+7,4),,))</f>
        <v>153202.02034126598</v>
      </c>
      <c r="L345" s="768">
        <f ca="1">INDIRECT("'kc-Wert für Stützen'!"&amp;SUBSTITUTE(ADDRESS(MATCH($A345,'kc-Wert für Stützen'!$C:$C,0),MATCH(L$7,'kc-Wert für Stützen'!$A$8:$ES$8,0)+7,4),,))</f>
        <v>152840.78274547675</v>
      </c>
      <c r="M345" s="768">
        <f ca="1">INDIRECT("'kc-Wert für Stützen'!"&amp;SUBSTITUTE(ADDRESS(MATCH($A345,'kc-Wert für Stützen'!$C:$C,0),MATCH(M$7,'kc-Wert für Stützen'!$A$8:$ES$8,0)+7,4),,))</f>
        <v>152465.85400944002</v>
      </c>
      <c r="N345" s="768">
        <f ca="1">INDIRECT("'kc-Wert für Stützen'!"&amp;SUBSTITUTE(ADDRESS(MATCH($A345,'kc-Wert für Stützen'!$C:$C,0),MATCH(N$7,'kc-Wert für Stützen'!$A$8:$ES$8,0)+7,4),,))</f>
        <v>152076.17048814948</v>
      </c>
      <c r="O345" s="768">
        <f ca="1">INDIRECT("'kc-Wert für Stützen'!"&amp;SUBSTITUTE(ADDRESS(MATCH($A345,'kc-Wert für Stützen'!$C:$C,0),MATCH(O$7,'kc-Wert für Stützen'!$A$8:$ES$8,0)+7,4),,))</f>
        <v>151670.58591075297</v>
      </c>
      <c r="P345" s="768">
        <f ca="1">INDIRECT("'kc-Wert für Stützen'!"&amp;SUBSTITUTE(ADDRESS(MATCH($A345,'kc-Wert für Stützen'!$C:$C,0),MATCH(P$7,'kc-Wert für Stützen'!$A$8:$ES$8,0)+7,4),,))</f>
        <v>151247.86463092957</v>
      </c>
      <c r="S345" s="772">
        <f t="shared" ca="1" si="162"/>
        <v>155422.13109296418</v>
      </c>
      <c r="T345" s="772">
        <f t="shared" ca="1" si="161"/>
        <v>155422.13109296418</v>
      </c>
      <c r="U345" s="772">
        <f t="shared" ca="1" si="161"/>
        <v>155422.13109296418</v>
      </c>
      <c r="V345" s="772">
        <f t="shared" ca="1" si="161"/>
        <v>155132.6306413812</v>
      </c>
      <c r="W345" s="772">
        <f t="shared" ca="1" si="161"/>
        <v>154835.0654422185</v>
      </c>
      <c r="X345" s="772">
        <f t="shared" ca="1" si="161"/>
        <v>154528.79061986491</v>
      </c>
      <c r="Y345" s="772">
        <f t="shared" ca="1" si="161"/>
        <v>154213.11598959262</v>
      </c>
      <c r="Z345" s="772">
        <f t="shared" ca="1" si="161"/>
        <v>155422.13109296418</v>
      </c>
      <c r="AA345" s="772">
        <f t="shared" ca="1" si="161"/>
        <v>155422.13109296418</v>
      </c>
      <c r="AB345" s="772">
        <f t="shared" ca="1" si="164"/>
        <v>155132.6306413812</v>
      </c>
      <c r="AC345" s="772">
        <f t="shared" ca="1" si="164"/>
        <v>155132.6306413812</v>
      </c>
      <c r="AD345" s="772">
        <f t="shared" ca="1" si="164"/>
        <v>154835.0654422185</v>
      </c>
      <c r="AE345" s="772">
        <f t="shared" ca="1" si="164"/>
        <v>154835.0654422185</v>
      </c>
      <c r="AF345" s="772">
        <f t="shared" ca="1" si="164"/>
        <v>154528.79061986491</v>
      </c>
      <c r="AG345" s="772">
        <f t="shared" ca="1" si="164"/>
        <v>154528.79061986491</v>
      </c>
      <c r="AH345" s="772">
        <f t="shared" ca="1" si="164"/>
        <v>154528.79061986491</v>
      </c>
      <c r="AI345" s="772">
        <f t="shared" ca="1" si="164"/>
        <v>155422.13109296418</v>
      </c>
      <c r="AJ345" s="772">
        <f t="shared" ca="1" si="164"/>
        <v>155422.13109296418</v>
      </c>
      <c r="AK345" s="772">
        <f t="shared" ca="1" si="164"/>
        <v>155132.6306413812</v>
      </c>
      <c r="AL345" s="772">
        <f t="shared" ca="1" si="164"/>
        <v>155132.6306413812</v>
      </c>
      <c r="AM345" s="772">
        <f t="shared" ca="1" si="164"/>
        <v>154835.0654422185</v>
      </c>
      <c r="AN345" s="772">
        <f t="shared" ca="1" si="164"/>
        <v>154835.0654422185</v>
      </c>
      <c r="AO345" s="772">
        <f t="shared" ca="1" si="164"/>
        <v>154528.79061986491</v>
      </c>
      <c r="AP345" s="772">
        <f t="shared" ca="1" si="164"/>
        <v>154528.79061986491</v>
      </c>
      <c r="AQ345" s="772">
        <f t="shared" ca="1" si="164"/>
        <v>154528.79061986491</v>
      </c>
      <c r="AR345" s="772">
        <f t="shared" ca="1" si="168"/>
        <v>155422.13109296418</v>
      </c>
      <c r="AS345" s="772">
        <f t="shared" ca="1" si="168"/>
        <v>155422.13109296418</v>
      </c>
      <c r="AT345" s="772">
        <f t="shared" ca="1" si="168"/>
        <v>155132.6306413812</v>
      </c>
      <c r="AU345" s="772">
        <f t="shared" ca="1" si="168"/>
        <v>155132.6306413812</v>
      </c>
      <c r="AV345" s="772">
        <f t="shared" ca="1" si="168"/>
        <v>154835.0654422185</v>
      </c>
      <c r="AW345" s="772">
        <f t="shared" ca="1" si="168"/>
        <v>154835.0654422185</v>
      </c>
      <c r="AX345" s="772">
        <f t="shared" ca="1" si="168"/>
        <v>154528.79061986491</v>
      </c>
      <c r="AY345" s="772">
        <f t="shared" ca="1" si="168"/>
        <v>154528.79061986491</v>
      </c>
      <c r="AZ345" s="772">
        <f t="shared" ca="1" si="168"/>
        <v>154528.79061986491</v>
      </c>
      <c r="BA345" s="772">
        <f t="shared" ca="1" si="168"/>
        <v>155422.13109296418</v>
      </c>
      <c r="BB345" s="772">
        <f t="shared" ca="1" si="168"/>
        <v>155422.13109296418</v>
      </c>
      <c r="BC345" s="772">
        <f t="shared" ca="1" si="168"/>
        <v>155132.6306413812</v>
      </c>
      <c r="BD345" s="772">
        <f t="shared" ca="1" si="168"/>
        <v>154835.0654422185</v>
      </c>
      <c r="BE345" s="772">
        <f t="shared" ca="1" si="168"/>
        <v>154835.0654422185</v>
      </c>
      <c r="BF345" s="772">
        <f t="shared" ca="1" si="168"/>
        <v>154528.79061986491</v>
      </c>
      <c r="BG345" s="772">
        <f t="shared" ca="1" si="168"/>
        <v>154528.79061986491</v>
      </c>
      <c r="BH345" s="772">
        <f t="shared" ca="1" si="167"/>
        <v>154213.11598959262</v>
      </c>
      <c r="BI345" s="772">
        <f t="shared" ca="1" si="167"/>
        <v>154213.11598959262</v>
      </c>
      <c r="BJ345" s="772">
        <f t="shared" ca="1" si="167"/>
        <v>155132.6306413812</v>
      </c>
      <c r="BK345" s="772">
        <f t="shared" ca="1" si="167"/>
        <v>155132.6306413812</v>
      </c>
      <c r="BL345" s="772">
        <f t="shared" ca="1" si="167"/>
        <v>155132.6306413812</v>
      </c>
      <c r="BM345" s="772">
        <f t="shared" ca="1" si="167"/>
        <v>155132.6306413812</v>
      </c>
      <c r="BN345" s="772">
        <f t="shared" ca="1" si="167"/>
        <v>154528.79061986491</v>
      </c>
      <c r="BO345" s="772">
        <f t="shared" ca="1" si="165"/>
        <v>154528.79061986491</v>
      </c>
      <c r="BP345" s="772">
        <f t="shared" ca="1" si="165"/>
        <v>154213.11598959262</v>
      </c>
      <c r="BQ345" s="772">
        <f t="shared" ca="1" si="165"/>
        <v>154213.11598959262</v>
      </c>
      <c r="BR345" s="772">
        <f t="shared" ca="1" si="165"/>
        <v>153887.30182056595</v>
      </c>
      <c r="BS345" s="772">
        <f t="shared" ca="1" si="165"/>
        <v>155132.6306413812</v>
      </c>
      <c r="BT345" s="772">
        <f t="shared" ca="1" si="165"/>
        <v>155132.6306413812</v>
      </c>
      <c r="BU345" s="772">
        <f t="shared" ca="1" si="165"/>
        <v>155132.6306413812</v>
      </c>
      <c r="BV345" s="772">
        <f t="shared" ca="1" si="165"/>
        <v>154835.0654422185</v>
      </c>
      <c r="BW345" s="772">
        <f t="shared" ca="1" si="165"/>
        <v>154835.0654422185</v>
      </c>
      <c r="BX345" s="772">
        <f t="shared" ca="1" si="160"/>
        <v>154213.11598959262</v>
      </c>
      <c r="BY345" s="772">
        <f t="shared" ca="1" si="160"/>
        <v>154213.11598959262</v>
      </c>
      <c r="BZ345" s="772">
        <f t="shared" ca="1" si="160"/>
        <v>153887.30182056595</v>
      </c>
      <c r="CA345" s="772">
        <f t="shared" ca="1" si="160"/>
        <v>153887.30182056595</v>
      </c>
      <c r="CB345" s="772">
        <f t="shared" ca="1" si="160"/>
        <v>154835.0654422185</v>
      </c>
      <c r="CC345" s="772">
        <f t="shared" ca="1" si="160"/>
        <v>154835.0654422185</v>
      </c>
      <c r="CD345" s="772">
        <f t="shared" ca="1" si="160"/>
        <v>154835.0654422185</v>
      </c>
      <c r="CE345" s="772">
        <f t="shared" ca="1" si="160"/>
        <v>154835.0654422185</v>
      </c>
      <c r="CF345" s="772">
        <f t="shared" ref="BX345:CJ348" ca="1" si="169">HLOOKUP(CF$7,$A$7:$P$348,ROW()-6)</f>
        <v>154528.79061986491</v>
      </c>
      <c r="CG345" s="772">
        <f t="shared" ca="1" si="169"/>
        <v>154213.11598959262</v>
      </c>
      <c r="CH345" s="772">
        <f t="shared" ca="1" si="169"/>
        <v>153887.30182056595</v>
      </c>
      <c r="CI345" s="772">
        <f t="shared" ca="1" si="169"/>
        <v>153887.30182056595</v>
      </c>
      <c r="CJ345" s="772">
        <f t="shared" ca="1" si="169"/>
        <v>153550.55425135946</v>
      </c>
    </row>
    <row r="346" spans="1:88" ht="15" customHeight="1">
      <c r="A346" s="770">
        <f>'kc-Wert für Stützen'!C346</f>
        <v>398</v>
      </c>
      <c r="B346" s="768">
        <f ca="1">INDIRECT("'kc-Wert für Stützen'!"&amp;SUBSTITUTE(ADDRESS(MATCH($A346,'kc-Wert für Stützen'!$C:$C,0),MATCH(B$7,'kc-Wert für Stützen'!$A$8:$ES$8,0)+7,4),,))</f>
        <v>156785.30112371276</v>
      </c>
      <c r="C346" s="768">
        <f ca="1">INDIRECT("'kc-Wert für Stützen'!"&amp;SUBSTITUTE(ADDRESS(MATCH($A346,'kc-Wert für Stützen'!$C:$C,0),MATCH(C$7,'kc-Wert für Stützen'!$A$8:$ES$8,0)+7,4),,))</f>
        <v>156509.93879169389</v>
      </c>
      <c r="D346" s="768">
        <f ca="1">INDIRECT("'kc-Wert für Stützen'!"&amp;SUBSTITUTE(ADDRESS(MATCH($A346,'kc-Wert für Stützen'!$C:$C,0),MATCH(D$7,'kc-Wert für Stützen'!$A$8:$ES$8,0)+7,4),,))</f>
        <v>156227.72071233849</v>
      </c>
      <c r="E346" s="768">
        <f ca="1">INDIRECT("'kc-Wert für Stützen'!"&amp;SUBSTITUTE(ADDRESS(MATCH($A346,'kc-Wert für Stützen'!$C:$C,0),MATCH(E$7,'kc-Wert für Stützen'!$A$8:$ES$8,0)+7,4),,))</f>
        <v>155938.08528990284</v>
      </c>
      <c r="F346" s="768">
        <f ca="1">INDIRECT("'kc-Wert für Stützen'!"&amp;SUBSTITUTE(ADDRESS(MATCH($A346,'kc-Wert für Stützen'!$C:$C,0),MATCH(F$7,'kc-Wert für Stützen'!$A$8:$ES$8,0)+7,4),,))</f>
        <v>155640.4335798531</v>
      </c>
      <c r="G346" s="768">
        <f ca="1">INDIRECT("'kc-Wert für Stützen'!"&amp;SUBSTITUTE(ADDRESS(MATCH($A346,'kc-Wert für Stützen'!$C:$C,0),MATCH(G$7,'kc-Wert für Stützen'!$A$8:$ES$8,0)+7,4),,))</f>
        <v>155334.12573564466</v>
      </c>
      <c r="H346" s="768">
        <f ca="1">INDIRECT("'kc-Wert für Stützen'!"&amp;SUBSTITUTE(ADDRESS(MATCH($A346,'kc-Wert für Stützen'!$C:$C,0),MATCH(H$7,'kc-Wert für Stützen'!$A$8:$ES$8,0)+7,4),,))</f>
        <v>155018.47715379752</v>
      </c>
      <c r="I346" s="768">
        <f ca="1">INDIRECT("'kc-Wert für Stützen'!"&amp;SUBSTITUTE(ADDRESS(MATCH($A346,'kc-Wert für Stützen'!$C:$C,0),MATCH(I$7,'kc-Wert für Stützen'!$A$8:$ES$8,0)+7,4),,))</f>
        <v>154692.75429611164</v>
      </c>
      <c r="J346" s="768">
        <f ca="1">INDIRECT("'kc-Wert für Stützen'!"&amp;SUBSTITUTE(ADDRESS(MATCH($A346,'kc-Wert für Stützen'!$C:$C,0),MATCH(J$7,'kc-Wert für Stützen'!$A$8:$ES$8,0)+7,4),,))</f>
        <v>154356.17016939184</v>
      </c>
      <c r="K346" s="768">
        <f ca="1">INDIRECT("'kc-Wert für Stützen'!"&amp;SUBSTITUTE(ADDRESS(MATCH($A346,'kc-Wert für Stützen'!$C:$C,0),MATCH(K$7,'kc-Wert für Stützen'!$A$8:$ES$8,0)+7,4),,))</f>
        <v>154007.87944586261</v>
      </c>
      <c r="L346" s="768">
        <f ca="1">INDIRECT("'kc-Wert für Stützen'!"&amp;SUBSTITUTE(ADDRESS(MATCH($A346,'kc-Wert für Stützen'!$C:$C,0),MATCH(L$7,'kc-Wert für Stützen'!$A$8:$ES$8,0)+7,4),,))</f>
        <v>153646.97321200115</v>
      </c>
      <c r="M346" s="768">
        <f ca="1">INDIRECT("'kc-Wert für Stützen'!"&amp;SUBSTITUTE(ADDRESS(MATCH($A346,'kc-Wert für Stützen'!$C:$C,0),MATCH(M$7,'kc-Wert für Stützen'!$A$8:$ES$8,0)+7,4),,))</f>
        <v>153272.47334039968</v>
      </c>
      <c r="N346" s="768">
        <f ca="1">INDIRECT("'kc-Wert für Stützen'!"&amp;SUBSTITUTE(ADDRESS(MATCH($A346,'kc-Wert für Stützen'!$C:$C,0),MATCH(N$7,'kc-Wert für Stützen'!$A$8:$ES$8,0)+7,4),,))</f>
        <v>152883.32648922643</v>
      </c>
      <c r="O346" s="768">
        <f ca="1">INDIRECT("'kc-Wert für Stützen'!"&amp;SUBSTITUTE(ADDRESS(MATCH($A346,'kc-Wert für Stützen'!$C:$C,0),MATCH(O$7,'kc-Wert für Stützen'!$A$8:$ES$8,0)+7,4),,))</f>
        <v>152478.39774784399</v>
      </c>
      <c r="P346" s="768">
        <f ca="1">INDIRECT("'kc-Wert für Stützen'!"&amp;SUBSTITUTE(ADDRESS(MATCH($A346,'kc-Wert für Stützen'!$C:$C,0),MATCH(P$7,'kc-Wert für Stützen'!$A$8:$ES$8,0)+7,4),,))</f>
        <v>152056.46396632996</v>
      </c>
      <c r="S346" s="772">
        <f t="shared" ca="1" si="162"/>
        <v>156227.72071233849</v>
      </c>
      <c r="T346" s="772">
        <f t="shared" ca="1" si="161"/>
        <v>156227.72071233849</v>
      </c>
      <c r="U346" s="772">
        <f t="shared" ca="1" si="161"/>
        <v>156227.72071233849</v>
      </c>
      <c r="V346" s="772">
        <f t="shared" ca="1" si="161"/>
        <v>155938.08528990284</v>
      </c>
      <c r="W346" s="772">
        <f t="shared" ca="1" si="161"/>
        <v>155640.4335798531</v>
      </c>
      <c r="X346" s="772">
        <f t="shared" ca="1" si="161"/>
        <v>155334.12573564466</v>
      </c>
      <c r="Y346" s="772">
        <f t="shared" ca="1" si="161"/>
        <v>155018.47715379752</v>
      </c>
      <c r="Z346" s="772">
        <f t="shared" ca="1" si="161"/>
        <v>156227.72071233849</v>
      </c>
      <c r="AA346" s="772">
        <f t="shared" ca="1" si="161"/>
        <v>156227.72071233849</v>
      </c>
      <c r="AB346" s="772">
        <f t="shared" ca="1" si="164"/>
        <v>155938.08528990284</v>
      </c>
      <c r="AC346" s="772">
        <f t="shared" ca="1" si="164"/>
        <v>155938.08528990284</v>
      </c>
      <c r="AD346" s="772">
        <f t="shared" ca="1" si="164"/>
        <v>155640.4335798531</v>
      </c>
      <c r="AE346" s="772">
        <f t="shared" ca="1" si="164"/>
        <v>155640.4335798531</v>
      </c>
      <c r="AF346" s="772">
        <f t="shared" ca="1" si="164"/>
        <v>155334.12573564466</v>
      </c>
      <c r="AG346" s="772">
        <f t="shared" ca="1" si="164"/>
        <v>155334.12573564466</v>
      </c>
      <c r="AH346" s="772">
        <f t="shared" ca="1" si="164"/>
        <v>155334.12573564466</v>
      </c>
      <c r="AI346" s="772">
        <f t="shared" ca="1" si="164"/>
        <v>156227.72071233849</v>
      </c>
      <c r="AJ346" s="772">
        <f t="shared" ca="1" si="164"/>
        <v>156227.72071233849</v>
      </c>
      <c r="AK346" s="772">
        <f t="shared" ca="1" si="164"/>
        <v>155938.08528990284</v>
      </c>
      <c r="AL346" s="772">
        <f t="shared" ca="1" si="164"/>
        <v>155938.08528990284</v>
      </c>
      <c r="AM346" s="772">
        <f t="shared" ca="1" si="164"/>
        <v>155640.4335798531</v>
      </c>
      <c r="AN346" s="772">
        <f t="shared" ca="1" si="164"/>
        <v>155640.4335798531</v>
      </c>
      <c r="AO346" s="772">
        <f t="shared" ca="1" si="164"/>
        <v>155334.12573564466</v>
      </c>
      <c r="AP346" s="772">
        <f t="shared" ca="1" si="164"/>
        <v>155334.12573564466</v>
      </c>
      <c r="AQ346" s="772">
        <f t="shared" ca="1" si="164"/>
        <v>155334.12573564466</v>
      </c>
      <c r="AR346" s="772">
        <f t="shared" ca="1" si="168"/>
        <v>156227.72071233849</v>
      </c>
      <c r="AS346" s="772">
        <f t="shared" ca="1" si="168"/>
        <v>156227.72071233849</v>
      </c>
      <c r="AT346" s="772">
        <f t="shared" ca="1" si="168"/>
        <v>155938.08528990284</v>
      </c>
      <c r="AU346" s="772">
        <f t="shared" ca="1" si="168"/>
        <v>155938.08528990284</v>
      </c>
      <c r="AV346" s="772">
        <f t="shared" ca="1" si="168"/>
        <v>155640.4335798531</v>
      </c>
      <c r="AW346" s="772">
        <f t="shared" ca="1" si="168"/>
        <v>155640.4335798531</v>
      </c>
      <c r="AX346" s="772">
        <f t="shared" ca="1" si="168"/>
        <v>155334.12573564466</v>
      </c>
      <c r="AY346" s="772">
        <f t="shared" ca="1" si="168"/>
        <v>155334.12573564466</v>
      </c>
      <c r="AZ346" s="772">
        <f t="shared" ca="1" si="168"/>
        <v>155334.12573564466</v>
      </c>
      <c r="BA346" s="772">
        <f t="shared" ca="1" si="168"/>
        <v>156227.72071233849</v>
      </c>
      <c r="BB346" s="772">
        <f t="shared" ca="1" si="168"/>
        <v>156227.72071233849</v>
      </c>
      <c r="BC346" s="772">
        <f t="shared" ca="1" si="168"/>
        <v>155938.08528990284</v>
      </c>
      <c r="BD346" s="772">
        <f t="shared" ca="1" si="168"/>
        <v>155640.4335798531</v>
      </c>
      <c r="BE346" s="772">
        <f t="shared" ca="1" si="168"/>
        <v>155640.4335798531</v>
      </c>
      <c r="BF346" s="772">
        <f t="shared" ca="1" si="168"/>
        <v>155334.12573564466</v>
      </c>
      <c r="BG346" s="772">
        <f t="shared" ca="1" si="168"/>
        <v>155334.12573564466</v>
      </c>
      <c r="BH346" s="772">
        <f t="shared" ca="1" si="167"/>
        <v>155018.47715379752</v>
      </c>
      <c r="BI346" s="772">
        <f t="shared" ca="1" si="167"/>
        <v>155018.47715379752</v>
      </c>
      <c r="BJ346" s="772">
        <f t="shared" ca="1" si="167"/>
        <v>155938.08528990284</v>
      </c>
      <c r="BK346" s="772">
        <f t="shared" ca="1" si="167"/>
        <v>155938.08528990284</v>
      </c>
      <c r="BL346" s="772">
        <f t="shared" ca="1" si="167"/>
        <v>155938.08528990284</v>
      </c>
      <c r="BM346" s="772">
        <f t="shared" ca="1" si="167"/>
        <v>155938.08528990284</v>
      </c>
      <c r="BN346" s="772">
        <f t="shared" ca="1" si="167"/>
        <v>155334.12573564466</v>
      </c>
      <c r="BO346" s="772">
        <f t="shared" ca="1" si="165"/>
        <v>155334.12573564466</v>
      </c>
      <c r="BP346" s="772">
        <f t="shared" ca="1" si="165"/>
        <v>155018.47715379752</v>
      </c>
      <c r="BQ346" s="772">
        <f t="shared" ca="1" si="165"/>
        <v>155018.47715379752</v>
      </c>
      <c r="BR346" s="772">
        <f t="shared" ca="1" si="165"/>
        <v>154692.75429611164</v>
      </c>
      <c r="BS346" s="772">
        <f t="shared" ca="1" si="165"/>
        <v>155938.08528990284</v>
      </c>
      <c r="BT346" s="772">
        <f t="shared" ca="1" si="165"/>
        <v>155938.08528990284</v>
      </c>
      <c r="BU346" s="772">
        <f t="shared" ca="1" si="165"/>
        <v>155938.08528990284</v>
      </c>
      <c r="BV346" s="772">
        <f t="shared" ca="1" si="165"/>
        <v>155640.4335798531</v>
      </c>
      <c r="BW346" s="772">
        <f t="shared" ca="1" si="165"/>
        <v>155640.4335798531</v>
      </c>
      <c r="BX346" s="772">
        <f t="shared" ca="1" si="169"/>
        <v>155018.47715379752</v>
      </c>
      <c r="BY346" s="772">
        <f t="shared" ca="1" si="169"/>
        <v>155018.47715379752</v>
      </c>
      <c r="BZ346" s="772">
        <f t="shared" ca="1" si="169"/>
        <v>154692.75429611164</v>
      </c>
      <c r="CA346" s="772">
        <f t="shared" ca="1" si="169"/>
        <v>154692.75429611164</v>
      </c>
      <c r="CB346" s="772">
        <f t="shared" ca="1" si="169"/>
        <v>155640.4335798531</v>
      </c>
      <c r="CC346" s="772">
        <f t="shared" ca="1" si="169"/>
        <v>155640.4335798531</v>
      </c>
      <c r="CD346" s="772">
        <f t="shared" ca="1" si="169"/>
        <v>155640.4335798531</v>
      </c>
      <c r="CE346" s="772">
        <f t="shared" ca="1" si="169"/>
        <v>155640.4335798531</v>
      </c>
      <c r="CF346" s="772">
        <f t="shared" ca="1" si="169"/>
        <v>155334.12573564466</v>
      </c>
      <c r="CG346" s="772">
        <f t="shared" ca="1" si="169"/>
        <v>155018.47715379752</v>
      </c>
      <c r="CH346" s="772">
        <f t="shared" ca="1" si="169"/>
        <v>154692.75429611164</v>
      </c>
      <c r="CI346" s="772">
        <f t="shared" ca="1" si="169"/>
        <v>154692.75429611164</v>
      </c>
      <c r="CJ346" s="772">
        <f t="shared" ca="1" si="169"/>
        <v>154356.17016939184</v>
      </c>
    </row>
    <row r="347" spans="1:88" ht="15" customHeight="1">
      <c r="A347" s="770">
        <f>'kc-Wert für Stützen'!C347</f>
        <v>399</v>
      </c>
      <c r="B347" s="768">
        <f ca="1">INDIRECT("'kc-Wert für Stützen'!"&amp;SUBSTITUTE(ADDRESS(MATCH($A347,'kc-Wert für Stützen'!$C:$C,0),MATCH(B$7,'kc-Wert für Stützen'!$A$8:$ES$8,0)+7,4),,))</f>
        <v>157593.33284182366</v>
      </c>
      <c r="C347" s="768">
        <f ca="1">INDIRECT("'kc-Wert für Stützen'!"&amp;SUBSTITUTE(ADDRESS(MATCH($A347,'kc-Wert für Stützen'!$C:$C,0),MATCH(C$7,'kc-Wert für Stützen'!$A$8:$ES$8,0)+7,4),,))</f>
        <v>157317.74905912622</v>
      </c>
      <c r="D347" s="768">
        <f ca="1">INDIRECT("'kc-Wert für Stützen'!"&amp;SUBSTITUTE(ADDRESS(MATCH($A347,'kc-Wert für Stützen'!$C:$C,0),MATCH(D$7,'kc-Wert für Stützen'!$A$8:$ES$8,0)+7,4),,))</f>
        <v>157035.34899482332</v>
      </c>
      <c r="E347" s="768">
        <f ca="1">INDIRECT("'kc-Wert für Stützen'!"&amp;SUBSTITUTE(ADDRESS(MATCH($A347,'kc-Wert für Stützen'!$C:$C,0),MATCH(E$7,'kc-Wert für Stützen'!$A$8:$ES$8,0)+7,4),,))</f>
        <v>156745.57508425563</v>
      </c>
      <c r="F347" s="768">
        <f ca="1">INDIRECT("'kc-Wert für Stützen'!"&amp;SUBSTITUTE(ADDRESS(MATCH($A347,'kc-Wert für Stützen'!$C:$C,0),MATCH(F$7,'kc-Wert für Stützen'!$A$8:$ES$8,0)+7,4),,))</f>
        <v>156447.83285547455</v>
      </c>
      <c r="G347" s="768">
        <f ca="1">INDIRECT("'kc-Wert für Stützen'!"&amp;SUBSTITUTE(ADDRESS(MATCH($A347,'kc-Wert für Stützen'!$C:$C,0),MATCH(G$7,'kc-Wert für Stützen'!$A$8:$ES$8,0)+7,4),,))</f>
        <v>156141.48742469688</v>
      </c>
      <c r="H347" s="768">
        <f ca="1">INDIRECT("'kc-Wert für Stützen'!"&amp;SUBSTITUTE(ADDRESS(MATCH($A347,'kc-Wert für Stützen'!$C:$C,0),MATCH(H$7,'kc-Wert für Stützen'!$A$8:$ES$8,0)+7,4),,))</f>
        <v>155825.8596947304</v>
      </c>
      <c r="I347" s="768">
        <f ca="1">INDIRECT("'kc-Wert für Stützen'!"&amp;SUBSTITUTE(ADDRESS(MATCH($A347,'kc-Wert für Stützen'!$C:$C,0),MATCH(I$7,'kc-Wert für Stützen'!$A$8:$ES$8,0)+7,4),,))</f>
        <v>155500.22223540058</v>
      </c>
      <c r="J347" s="768">
        <f ca="1">INDIRECT("'kc-Wert für Stützen'!"&amp;SUBSTITUTE(ADDRESS(MATCH($A347,'kc-Wert für Stützen'!$C:$C,0),MATCH(J$7,'kc-Wert für Stützen'!$A$8:$ES$8,0)+7,4),,))</f>
        <v>155163.79482642573</v>
      </c>
      <c r="K347" s="768">
        <f ca="1">INDIRECT("'kc-Wert für Stützen'!"&amp;SUBSTITUTE(ADDRESS(MATCH($A347,'kc-Wert für Stützen'!$C:$C,0),MATCH(K$7,'kc-Wert für Stützen'!$A$8:$ES$8,0)+7,4),,))</f>
        <v>154815.73964583638</v>
      </c>
      <c r="L347" s="768">
        <f ca="1">INDIRECT("'kc-Wert für Stützen'!"&amp;SUBSTITUTE(ADDRESS(MATCH($A347,'kc-Wert für Stützen'!$C:$C,0),MATCH(L$7,'kc-Wert für Stützen'!$A$8:$ES$8,0)+7,4),,))</f>
        <v>154455.15609134815</v>
      </c>
      <c r="M347" s="768">
        <f ca="1">INDIRECT("'kc-Wert für Stützen'!"&amp;SUBSTITUTE(ADDRESS(MATCH($A347,'kc-Wert für Stützen'!$C:$C,0),MATCH(M$7,'kc-Wert für Stützen'!$A$8:$ES$8,0)+7,4),,))</f>
        <v>154081.07522864384</v>
      </c>
      <c r="N347" s="768">
        <f ca="1">INDIRECT("'kc-Wert für Stützen'!"&amp;SUBSTITUTE(ADDRESS(MATCH($A347,'kc-Wert für Stützen'!$C:$C,0),MATCH(N$7,'kc-Wert für Stützen'!$A$8:$ES$8,0)+7,4),,))</f>
        <v>153692.45387002494</v>
      </c>
      <c r="O347" s="768">
        <f ca="1">INDIRECT("'kc-Wert für Stützen'!"&amp;SUBSTITUTE(ADDRESS(MATCH($A347,'kc-Wert für Stützen'!$C:$C,0),MATCH(O$7,'kc-Wert für Stützen'!$A$8:$ES$8,0)+7,4),,))</f>
        <v>153288.16830025276</v>
      </c>
      <c r="P347" s="768">
        <f ca="1">INDIRECT("'kc-Wert für Stützen'!"&amp;SUBSTITUTE(ADDRESS(MATCH($A347,'kc-Wert für Stützen'!$C:$C,0),MATCH(P$7,'kc-Wert für Stützen'!$A$8:$ES$8,0)+7,4),,))</f>
        <v>152867.00768475729</v>
      </c>
      <c r="S347" s="772">
        <f t="shared" ca="1" si="162"/>
        <v>157035.34899482332</v>
      </c>
      <c r="T347" s="772">
        <f t="shared" ca="1" si="161"/>
        <v>157035.34899482332</v>
      </c>
      <c r="U347" s="772">
        <f t="shared" ca="1" si="161"/>
        <v>157035.34899482332</v>
      </c>
      <c r="V347" s="772">
        <f t="shared" ca="1" si="161"/>
        <v>156745.57508425563</v>
      </c>
      <c r="W347" s="772">
        <f t="shared" ca="1" si="161"/>
        <v>156447.83285547455</v>
      </c>
      <c r="X347" s="772">
        <f t="shared" ca="1" si="161"/>
        <v>156141.48742469688</v>
      </c>
      <c r="Y347" s="772">
        <f t="shared" ca="1" si="161"/>
        <v>155825.8596947304</v>
      </c>
      <c r="Z347" s="772">
        <f t="shared" ca="1" si="161"/>
        <v>157035.34899482332</v>
      </c>
      <c r="AA347" s="772">
        <f t="shared" ca="1" si="161"/>
        <v>157035.34899482332</v>
      </c>
      <c r="AB347" s="772">
        <f t="shared" ca="1" si="164"/>
        <v>156745.57508425563</v>
      </c>
      <c r="AC347" s="772">
        <f t="shared" ca="1" si="164"/>
        <v>156745.57508425563</v>
      </c>
      <c r="AD347" s="772">
        <f t="shared" ca="1" si="164"/>
        <v>156447.83285547455</v>
      </c>
      <c r="AE347" s="772">
        <f t="shared" ca="1" si="164"/>
        <v>156447.83285547455</v>
      </c>
      <c r="AF347" s="772">
        <f t="shared" ca="1" si="164"/>
        <v>156141.48742469688</v>
      </c>
      <c r="AG347" s="772">
        <f t="shared" ca="1" si="164"/>
        <v>156141.48742469688</v>
      </c>
      <c r="AH347" s="772">
        <f t="shared" ca="1" si="164"/>
        <v>156141.48742469688</v>
      </c>
      <c r="AI347" s="772">
        <f t="shared" ca="1" si="164"/>
        <v>157035.34899482332</v>
      </c>
      <c r="AJ347" s="772">
        <f t="shared" ca="1" si="164"/>
        <v>157035.34899482332</v>
      </c>
      <c r="AK347" s="772">
        <f t="shared" ca="1" si="164"/>
        <v>156745.57508425563</v>
      </c>
      <c r="AL347" s="772">
        <f t="shared" ca="1" si="164"/>
        <v>156745.57508425563</v>
      </c>
      <c r="AM347" s="772">
        <f t="shared" ca="1" si="164"/>
        <v>156447.83285547455</v>
      </c>
      <c r="AN347" s="772">
        <f t="shared" ca="1" si="164"/>
        <v>156447.83285547455</v>
      </c>
      <c r="AO347" s="772">
        <f t="shared" ref="AB347:AQ348" ca="1" si="170">HLOOKUP(AO$7,$A$7:$P$348,ROW()-6)</f>
        <v>156141.48742469688</v>
      </c>
      <c r="AP347" s="772">
        <f t="shared" ca="1" si="170"/>
        <v>156141.48742469688</v>
      </c>
      <c r="AQ347" s="772">
        <f t="shared" ca="1" si="170"/>
        <v>156141.48742469688</v>
      </c>
      <c r="AR347" s="772">
        <f t="shared" ca="1" si="168"/>
        <v>157035.34899482332</v>
      </c>
      <c r="AS347" s="772">
        <f t="shared" ca="1" si="168"/>
        <v>157035.34899482332</v>
      </c>
      <c r="AT347" s="772">
        <f t="shared" ca="1" si="168"/>
        <v>156745.57508425563</v>
      </c>
      <c r="AU347" s="772">
        <f t="shared" ca="1" si="168"/>
        <v>156745.57508425563</v>
      </c>
      <c r="AV347" s="772">
        <f t="shared" ca="1" si="168"/>
        <v>156447.83285547455</v>
      </c>
      <c r="AW347" s="772">
        <f t="shared" ca="1" si="168"/>
        <v>156447.83285547455</v>
      </c>
      <c r="AX347" s="772">
        <f t="shared" ca="1" si="168"/>
        <v>156141.48742469688</v>
      </c>
      <c r="AY347" s="772">
        <f t="shared" ca="1" si="168"/>
        <v>156141.48742469688</v>
      </c>
      <c r="AZ347" s="772">
        <f t="shared" ca="1" si="168"/>
        <v>156141.48742469688</v>
      </c>
      <c r="BA347" s="772">
        <f t="shared" ca="1" si="168"/>
        <v>157035.34899482332</v>
      </c>
      <c r="BB347" s="772">
        <f t="shared" ca="1" si="168"/>
        <v>157035.34899482332</v>
      </c>
      <c r="BC347" s="772">
        <f t="shared" ca="1" si="168"/>
        <v>156745.57508425563</v>
      </c>
      <c r="BD347" s="772">
        <f t="shared" ca="1" si="168"/>
        <v>156447.83285547455</v>
      </c>
      <c r="BE347" s="772">
        <f t="shared" ca="1" si="168"/>
        <v>156447.83285547455</v>
      </c>
      <c r="BF347" s="772">
        <f t="shared" ca="1" si="168"/>
        <v>156141.48742469688</v>
      </c>
      <c r="BG347" s="772">
        <f t="shared" ca="1" si="168"/>
        <v>156141.48742469688</v>
      </c>
      <c r="BH347" s="772">
        <f t="shared" ca="1" si="167"/>
        <v>155825.8596947304</v>
      </c>
      <c r="BI347" s="772">
        <f t="shared" ca="1" si="167"/>
        <v>155825.8596947304</v>
      </c>
      <c r="BJ347" s="772">
        <f t="shared" ca="1" si="167"/>
        <v>156745.57508425563</v>
      </c>
      <c r="BK347" s="772">
        <f t="shared" ca="1" si="167"/>
        <v>156745.57508425563</v>
      </c>
      <c r="BL347" s="772">
        <f t="shared" ca="1" si="167"/>
        <v>156745.57508425563</v>
      </c>
      <c r="BM347" s="772">
        <f t="shared" ca="1" si="167"/>
        <v>156745.57508425563</v>
      </c>
      <c r="BN347" s="772">
        <f t="shared" ca="1" si="167"/>
        <v>156141.48742469688</v>
      </c>
      <c r="BO347" s="772">
        <f t="shared" ca="1" si="165"/>
        <v>156141.48742469688</v>
      </c>
      <c r="BP347" s="772">
        <f t="shared" ca="1" si="165"/>
        <v>155825.8596947304</v>
      </c>
      <c r="BQ347" s="772">
        <f t="shared" ca="1" si="165"/>
        <v>155825.8596947304</v>
      </c>
      <c r="BR347" s="772">
        <f t="shared" ca="1" si="165"/>
        <v>155500.22223540058</v>
      </c>
      <c r="BS347" s="772">
        <f t="shared" ca="1" si="165"/>
        <v>156745.57508425563</v>
      </c>
      <c r="BT347" s="772">
        <f t="shared" ca="1" si="165"/>
        <v>156745.57508425563</v>
      </c>
      <c r="BU347" s="772">
        <f t="shared" ca="1" si="165"/>
        <v>156745.57508425563</v>
      </c>
      <c r="BV347" s="772">
        <f t="shared" ca="1" si="165"/>
        <v>156447.83285547455</v>
      </c>
      <c r="BW347" s="772">
        <f t="shared" ca="1" si="165"/>
        <v>156447.83285547455</v>
      </c>
      <c r="BX347" s="772">
        <f t="shared" ca="1" si="169"/>
        <v>155825.8596947304</v>
      </c>
      <c r="BY347" s="772">
        <f t="shared" ca="1" si="169"/>
        <v>155825.8596947304</v>
      </c>
      <c r="BZ347" s="772">
        <f t="shared" ca="1" si="169"/>
        <v>155500.22223540058</v>
      </c>
      <c r="CA347" s="772">
        <f t="shared" ca="1" si="169"/>
        <v>155500.22223540058</v>
      </c>
      <c r="CB347" s="772">
        <f t="shared" ca="1" si="169"/>
        <v>156447.83285547455</v>
      </c>
      <c r="CC347" s="772">
        <f t="shared" ca="1" si="169"/>
        <v>156447.83285547455</v>
      </c>
      <c r="CD347" s="772">
        <f t="shared" ca="1" si="169"/>
        <v>156447.83285547455</v>
      </c>
      <c r="CE347" s="772">
        <f t="shared" ca="1" si="169"/>
        <v>156447.83285547455</v>
      </c>
      <c r="CF347" s="772">
        <f t="shared" ca="1" si="169"/>
        <v>156141.48742469688</v>
      </c>
      <c r="CG347" s="772">
        <f t="shared" ca="1" si="169"/>
        <v>155825.8596947304</v>
      </c>
      <c r="CH347" s="772">
        <f t="shared" ca="1" si="169"/>
        <v>155500.22223540058</v>
      </c>
      <c r="CI347" s="772">
        <f t="shared" ca="1" si="169"/>
        <v>155500.22223540058</v>
      </c>
      <c r="CJ347" s="772">
        <f t="shared" ca="1" si="169"/>
        <v>155163.79482642573</v>
      </c>
    </row>
    <row r="348" spans="1:88" ht="15" customHeight="1">
      <c r="A348" s="770">
        <f>'kc-Wert für Stützen'!C348</f>
        <v>400</v>
      </c>
      <c r="B348" s="768">
        <f ca="1">INDIRECT("'kc-Wert für Stützen'!"&amp;SUBSTITUTE(ADDRESS(MATCH($A348,'kc-Wert für Stützen'!$C:$C,0),MATCH(B$7,'kc-Wert für Stützen'!$A$8:$ES$8,0)+7,4),,))</f>
        <v>158403.40919007073</v>
      </c>
      <c r="C348" s="768">
        <f ca="1">INDIRECT("'kc-Wert für Stützen'!"&amp;SUBSTITUTE(ADDRESS(MATCH($A348,'kc-Wert für Stützen'!$C:$C,0),MATCH(C$7,'kc-Wert für Stützen'!$A$8:$ES$8,0)+7,4),,))</f>
        <v>158127.60128379331</v>
      </c>
      <c r="D348" s="768">
        <f ca="1">INDIRECT("'kc-Wert für Stützen'!"&amp;SUBSTITUTE(ADDRESS(MATCH($A348,'kc-Wert für Stützen'!$C:$C,0),MATCH(D$7,'kc-Wert für Stützen'!$A$8:$ES$8,0)+7,4),,))</f>
        <v>157845.01618673265</v>
      </c>
      <c r="E348" s="768">
        <f ca="1">INDIRECT("'kc-Wert für Stützen'!"&amp;SUBSTITUTE(ADDRESS(MATCH($A348,'kc-Wert für Stützen'!$C:$C,0),MATCH(E$7,'kc-Wert für Stützen'!$A$8:$ES$8,0)+7,4),,))</f>
        <v>157555.10031449076</v>
      </c>
      <c r="F348" s="768">
        <f ca="1">INDIRECT("'kc-Wert für Stützen'!"&amp;SUBSTITUTE(ADDRESS(MATCH($A348,'kc-Wert für Stützen'!$C:$C,0),MATCH(F$7,'kc-Wert für Stützen'!$A$8:$ES$8,0)+7,4),,))</f>
        <v>157257.2636101227</v>
      </c>
      <c r="G348" s="768">
        <f ca="1">INDIRECT("'kc-Wert für Stützen'!"&amp;SUBSTITUTE(ADDRESS(MATCH($A348,'kc-Wert für Stützen'!$C:$C,0),MATCH(G$7,'kc-Wert für Stützen'!$A$8:$ES$8,0)+7,4),,))</f>
        <v>156950.87608743765</v>
      </c>
      <c r="H348" s="768">
        <f ca="1">INDIRECT("'kc-Wert für Stützen'!"&amp;SUBSTITUTE(ADDRESS(MATCH($A348,'kc-Wert für Stützen'!$C:$C,0),MATCH(H$7,'kc-Wert für Stützen'!$A$8:$ES$8,0)+7,4),,))</f>
        <v>156635.26408186965</v>
      </c>
      <c r="I348" s="768">
        <f ca="1">INDIRECT("'kc-Wert für Stützen'!"&amp;SUBSTITUTE(ADDRESS(MATCH($A348,'kc-Wert für Stützen'!$C:$C,0),MATCH(I$7,'kc-Wert für Stützen'!$A$8:$ES$8,0)+7,4),,))</f>
        <v>156309.70618813843</v>
      </c>
      <c r="J348" s="768">
        <f ca="1">INDIRECT("'kc-Wert für Stützen'!"&amp;SUBSTITUTE(ADDRESS(MATCH($A348,'kc-Wert für Stützen'!$C:$C,0),MATCH(J$7,'kc-Wert für Stützen'!$A$8:$ES$8,0)+7,4),,))</f>
        <v>155973.42886523576</v>
      </c>
      <c r="K348" s="768">
        <f ca="1">INDIRECT("'kc-Wert für Stützen'!"&amp;SUBSTITUTE(ADDRESS(MATCH($A348,'kc-Wert für Stützen'!$C:$C,0),MATCH(K$7,'kc-Wert für Stützen'!$A$8:$ES$8,0)+7,4),,))</f>
        <v>155625.60169176525</v>
      </c>
      <c r="L348" s="768">
        <f ca="1">INDIRECT("'kc-Wert für Stützen'!"&amp;SUBSTITUTE(ADDRESS(MATCH($A348,'kc-Wert für Stützen'!$C:$C,0),MATCH(L$7,'kc-Wert für Stützen'!$A$8:$ES$8,0)+7,4),,))</f>
        <v>155265.33225875266</v>
      </c>
      <c r="M348" s="768">
        <f ca="1">INDIRECT("'kc-Wert für Stützen'!"&amp;SUBSTITUTE(ADDRESS(MATCH($A348,'kc-Wert für Stützen'!$C:$C,0),MATCH(M$7,'kc-Wert für Stützen'!$A$8:$ES$8,0)+7,4),,))</f>
        <v>154891.66069327452</v>
      </c>
      <c r="N348" s="768">
        <f ca="1">INDIRECT("'kc-Wert für Stützen'!"&amp;SUBSTITUTE(ADDRESS(MATCH($A348,'kc-Wert für Stützen'!$C:$C,0),MATCH(N$7,'kc-Wert für Stützen'!$A$8:$ES$8,0)+7,4),,))</f>
        <v>154503.55381531539</v>
      </c>
      <c r="O348" s="768">
        <f ca="1">INDIRECT("'kc-Wert für Stützen'!"&amp;SUBSTITUTE(ADDRESS(MATCH($A348,'kc-Wert für Stützen'!$C:$C,0),MATCH(O$7,'kc-Wert für Stützen'!$A$8:$ES$8,0)+7,4),,))</f>
        <v>154099.89894303266</v>
      </c>
      <c r="P348" s="768">
        <f ca="1">INDIRECT("'kc-Wert für Stützen'!"&amp;SUBSTITUTE(ADDRESS(MATCH($A348,'kc-Wert für Stützen'!$C:$C,0),MATCH(P$7,'kc-Wert für Stützen'!$A$8:$ES$8,0)+7,4),,))</f>
        <v>153679.49737916383</v>
      </c>
      <c r="S348" s="772">
        <f t="shared" ca="1" si="162"/>
        <v>157845.01618673265</v>
      </c>
      <c r="T348" s="772">
        <f t="shared" ca="1" si="161"/>
        <v>157845.01618673265</v>
      </c>
      <c r="U348" s="772">
        <f t="shared" ca="1" si="161"/>
        <v>157845.01618673265</v>
      </c>
      <c r="V348" s="772">
        <f t="shared" ca="1" si="161"/>
        <v>157555.10031449076</v>
      </c>
      <c r="W348" s="772">
        <f t="shared" ca="1" si="161"/>
        <v>157257.2636101227</v>
      </c>
      <c r="X348" s="772">
        <f t="shared" ca="1" si="161"/>
        <v>156950.87608743765</v>
      </c>
      <c r="Y348" s="772">
        <f t="shared" ca="1" si="161"/>
        <v>156635.26408186965</v>
      </c>
      <c r="Z348" s="772">
        <f t="shared" ca="1" si="161"/>
        <v>157845.01618673265</v>
      </c>
      <c r="AA348" s="772">
        <f t="shared" ca="1" si="161"/>
        <v>157845.01618673265</v>
      </c>
      <c r="AB348" s="772">
        <f t="shared" ca="1" si="170"/>
        <v>157555.10031449076</v>
      </c>
      <c r="AC348" s="772">
        <f t="shared" ca="1" si="170"/>
        <v>157555.10031449076</v>
      </c>
      <c r="AD348" s="772">
        <f t="shared" ca="1" si="170"/>
        <v>157257.2636101227</v>
      </c>
      <c r="AE348" s="772">
        <f t="shared" ca="1" si="170"/>
        <v>157257.2636101227</v>
      </c>
      <c r="AF348" s="772">
        <f t="shared" ca="1" si="170"/>
        <v>156950.87608743765</v>
      </c>
      <c r="AG348" s="772">
        <f t="shared" ca="1" si="170"/>
        <v>156950.87608743765</v>
      </c>
      <c r="AH348" s="772">
        <f t="shared" ca="1" si="170"/>
        <v>156950.87608743765</v>
      </c>
      <c r="AI348" s="772">
        <f t="shared" ca="1" si="170"/>
        <v>157845.01618673265</v>
      </c>
      <c r="AJ348" s="772">
        <f t="shared" ca="1" si="170"/>
        <v>157845.01618673265</v>
      </c>
      <c r="AK348" s="772">
        <f t="shared" ca="1" si="170"/>
        <v>157555.10031449076</v>
      </c>
      <c r="AL348" s="772">
        <f t="shared" ca="1" si="170"/>
        <v>157555.10031449076</v>
      </c>
      <c r="AM348" s="772">
        <f t="shared" ca="1" si="170"/>
        <v>157257.2636101227</v>
      </c>
      <c r="AN348" s="772">
        <f t="shared" ca="1" si="170"/>
        <v>157257.2636101227</v>
      </c>
      <c r="AO348" s="772">
        <f t="shared" ca="1" si="170"/>
        <v>156950.87608743765</v>
      </c>
      <c r="AP348" s="772">
        <f t="shared" ca="1" si="170"/>
        <v>156950.87608743765</v>
      </c>
      <c r="AQ348" s="772">
        <f t="shared" ca="1" si="170"/>
        <v>156950.87608743765</v>
      </c>
      <c r="AR348" s="772">
        <f t="shared" ca="1" si="168"/>
        <v>157845.01618673265</v>
      </c>
      <c r="AS348" s="772">
        <f t="shared" ca="1" si="168"/>
        <v>157845.01618673265</v>
      </c>
      <c r="AT348" s="772">
        <f t="shared" ca="1" si="168"/>
        <v>157555.10031449076</v>
      </c>
      <c r="AU348" s="772">
        <f t="shared" ca="1" si="168"/>
        <v>157555.10031449076</v>
      </c>
      <c r="AV348" s="772">
        <f t="shared" ca="1" si="168"/>
        <v>157257.2636101227</v>
      </c>
      <c r="AW348" s="772">
        <f t="shared" ca="1" si="168"/>
        <v>157257.2636101227</v>
      </c>
      <c r="AX348" s="772">
        <f t="shared" ca="1" si="168"/>
        <v>156950.87608743765</v>
      </c>
      <c r="AY348" s="772">
        <f t="shared" ca="1" si="168"/>
        <v>156950.87608743765</v>
      </c>
      <c r="AZ348" s="772">
        <f t="shared" ca="1" si="168"/>
        <v>156950.87608743765</v>
      </c>
      <c r="BA348" s="772">
        <f t="shared" ca="1" si="168"/>
        <v>157845.01618673265</v>
      </c>
      <c r="BB348" s="772">
        <f t="shared" ca="1" si="168"/>
        <v>157845.01618673265</v>
      </c>
      <c r="BC348" s="772">
        <f t="shared" ca="1" si="168"/>
        <v>157555.10031449076</v>
      </c>
      <c r="BD348" s="772">
        <f t="shared" ca="1" si="168"/>
        <v>157257.2636101227</v>
      </c>
      <c r="BE348" s="772">
        <f t="shared" ca="1" si="168"/>
        <v>157257.2636101227</v>
      </c>
      <c r="BF348" s="772">
        <f t="shared" ca="1" si="168"/>
        <v>156950.87608743765</v>
      </c>
      <c r="BG348" s="772">
        <f t="shared" ca="1" si="168"/>
        <v>156950.87608743765</v>
      </c>
      <c r="BH348" s="772">
        <f t="shared" ca="1" si="167"/>
        <v>156635.26408186965</v>
      </c>
      <c r="BI348" s="772">
        <f t="shared" ca="1" si="167"/>
        <v>156635.26408186965</v>
      </c>
      <c r="BJ348" s="772">
        <f t="shared" ca="1" si="167"/>
        <v>157555.10031449076</v>
      </c>
      <c r="BK348" s="772">
        <f t="shared" ca="1" si="167"/>
        <v>157555.10031449076</v>
      </c>
      <c r="BL348" s="772">
        <f t="shared" ca="1" si="167"/>
        <v>157555.10031449076</v>
      </c>
      <c r="BM348" s="772">
        <f t="shared" ca="1" si="167"/>
        <v>157555.10031449076</v>
      </c>
      <c r="BN348" s="772">
        <f t="shared" ca="1" si="167"/>
        <v>156950.87608743765</v>
      </c>
      <c r="BO348" s="772">
        <f t="shared" ca="1" si="165"/>
        <v>156950.87608743765</v>
      </c>
      <c r="BP348" s="772">
        <f t="shared" ca="1" si="165"/>
        <v>156635.26408186965</v>
      </c>
      <c r="BQ348" s="772">
        <f t="shared" ca="1" si="165"/>
        <v>156635.26408186965</v>
      </c>
      <c r="BR348" s="772">
        <f t="shared" ca="1" si="165"/>
        <v>156309.70618813843</v>
      </c>
      <c r="BS348" s="772">
        <f t="shared" ca="1" si="165"/>
        <v>157555.10031449076</v>
      </c>
      <c r="BT348" s="772">
        <f t="shared" ca="1" si="165"/>
        <v>157555.10031449076</v>
      </c>
      <c r="BU348" s="772">
        <f t="shared" ca="1" si="165"/>
        <v>157555.10031449076</v>
      </c>
      <c r="BV348" s="772">
        <f t="shared" ca="1" si="165"/>
        <v>157257.2636101227</v>
      </c>
      <c r="BW348" s="772">
        <f t="shared" ca="1" si="165"/>
        <v>157257.2636101227</v>
      </c>
      <c r="BX348" s="772">
        <f t="shared" ca="1" si="169"/>
        <v>156635.26408186965</v>
      </c>
      <c r="BY348" s="772">
        <f t="shared" ca="1" si="169"/>
        <v>156635.26408186965</v>
      </c>
      <c r="BZ348" s="772">
        <f t="shared" ca="1" si="169"/>
        <v>156309.70618813843</v>
      </c>
      <c r="CA348" s="772">
        <f t="shared" ca="1" si="169"/>
        <v>156309.70618813843</v>
      </c>
      <c r="CB348" s="772">
        <f t="shared" ca="1" si="169"/>
        <v>157257.2636101227</v>
      </c>
      <c r="CC348" s="772">
        <f t="shared" ca="1" si="169"/>
        <v>157257.2636101227</v>
      </c>
      <c r="CD348" s="772">
        <f t="shared" ca="1" si="169"/>
        <v>157257.2636101227</v>
      </c>
      <c r="CE348" s="772">
        <f t="shared" ca="1" si="169"/>
        <v>157257.2636101227</v>
      </c>
      <c r="CF348" s="772">
        <f t="shared" ca="1" si="169"/>
        <v>156950.87608743765</v>
      </c>
      <c r="CG348" s="772">
        <f t="shared" ca="1" si="169"/>
        <v>156635.26408186965</v>
      </c>
      <c r="CH348" s="772">
        <f t="shared" ca="1" si="169"/>
        <v>156309.70618813843</v>
      </c>
      <c r="CI348" s="772">
        <f t="shared" ca="1" si="169"/>
        <v>156309.70618813843</v>
      </c>
      <c r="CJ348" s="772">
        <f t="shared" ca="1" si="169"/>
        <v>155973.42886523576</v>
      </c>
    </row>
    <row r="349" spans="1:88" ht="15" customHeight="1">
      <c r="A349" s="770"/>
    </row>
    <row r="350" spans="1:88" ht="15" customHeight="1">
      <c r="A350" s="770"/>
    </row>
  </sheetData>
  <sheetProtection algorithmName="SHA-512" hashValue="syJXHmMPGRi0CAlIR0Qu3sNxVPv4mJbW0tpKvbt4D1K5ZWCBsVf4yLuxcIRAA3TwC4XC6OTI5yLfmKwSRiVJQg==" saltValue="xFsKFyLi6o216gXh7h74SA==" spinCount="100000" sheet="1" objects="1" scenarios="1"/>
  <pageMargins left="0.7" right="0.7" top="0.78740157499999996" bottom="0.78740157499999996" header="0.3" footer="0.3"/>
  <pageSetup paperSize="9"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Tabelle28">
    <tabColor rgb="FFFF9999"/>
  </sheetPr>
  <dimension ref="A5:ES391"/>
  <sheetViews>
    <sheetView zoomScale="70" zoomScaleNormal="70" workbookViewId="0">
      <selection activeCell="D1" sqref="D1:E2"/>
    </sheetView>
  </sheetViews>
  <sheetFormatPr baseColWidth="10" defaultColWidth="10.83203125" defaultRowHeight="15"/>
  <cols>
    <col min="1" max="1" width="4.6640625" customWidth="1"/>
    <col min="2" max="2" width="5.6640625" bestFit="1" customWidth="1"/>
    <col min="3" max="3" width="5.33203125" bestFit="1" customWidth="1"/>
    <col min="4" max="4" width="4.5" bestFit="1" customWidth="1"/>
    <col min="5" max="6" width="5.6640625" bestFit="1" customWidth="1"/>
    <col min="7" max="7" width="6.83203125" bestFit="1" customWidth="1"/>
    <col min="8" max="8" width="4.6640625" customWidth="1"/>
    <col min="9" max="9" width="7.5" bestFit="1" customWidth="1"/>
    <col min="10" max="11" width="4.6640625" customWidth="1"/>
    <col min="12" max="12" width="5.6640625" bestFit="1" customWidth="1"/>
    <col min="13" max="13" width="5" bestFit="1" customWidth="1"/>
    <col min="14" max="14" width="4.5" bestFit="1" customWidth="1"/>
    <col min="15" max="16" width="5.6640625" bestFit="1" customWidth="1"/>
    <col min="17" max="17" width="6.83203125" bestFit="1" customWidth="1"/>
    <col min="18" max="18" width="4.6640625" customWidth="1"/>
    <col min="19" max="19" width="7.5" bestFit="1" customWidth="1"/>
    <col min="20" max="21" width="4.6640625" customWidth="1"/>
    <col min="22" max="22" width="5.6640625" bestFit="1" customWidth="1"/>
    <col min="23" max="23" width="5" bestFit="1" customWidth="1"/>
    <col min="24" max="24" width="4.5" bestFit="1" customWidth="1"/>
    <col min="25" max="26" width="5.6640625" bestFit="1" customWidth="1"/>
    <col min="27" max="27" width="6.83203125" bestFit="1" customWidth="1"/>
    <col min="28" max="28" width="4.6640625" customWidth="1"/>
    <col min="29" max="29" width="7.5" bestFit="1" customWidth="1"/>
    <col min="30" max="31" width="4.6640625" customWidth="1"/>
    <col min="32" max="32" width="5.33203125" bestFit="1" customWidth="1"/>
    <col min="33" max="33" width="5" bestFit="1" customWidth="1"/>
    <col min="34" max="34" width="4.5" bestFit="1" customWidth="1"/>
    <col min="35" max="36" width="5.6640625" bestFit="1" customWidth="1"/>
    <col min="37" max="37" width="6.83203125" bestFit="1" customWidth="1"/>
    <col min="38" max="38" width="4.6640625" customWidth="1"/>
    <col min="39" max="39" width="7.5" bestFit="1" customWidth="1"/>
    <col min="40" max="41" width="4.6640625" customWidth="1"/>
    <col min="42" max="42" width="5.6640625" bestFit="1" customWidth="1"/>
    <col min="43" max="43" width="5" bestFit="1" customWidth="1"/>
    <col min="44" max="44" width="4.5" bestFit="1" customWidth="1"/>
    <col min="45" max="46" width="5.6640625" bestFit="1" customWidth="1"/>
    <col min="47" max="47" width="6.83203125" bestFit="1" customWidth="1"/>
    <col min="48" max="48" width="4.6640625" customWidth="1"/>
    <col min="49" max="49" width="7.5" bestFit="1" customWidth="1"/>
    <col min="50" max="51" width="4.6640625" customWidth="1"/>
    <col min="52" max="52" width="5.6640625" bestFit="1" customWidth="1"/>
    <col min="53" max="53" width="5" bestFit="1" customWidth="1"/>
    <col min="54" max="54" width="4.5" bestFit="1" customWidth="1"/>
    <col min="55" max="56" width="5.6640625" bestFit="1" customWidth="1"/>
    <col min="57" max="57" width="6.83203125" bestFit="1" customWidth="1"/>
    <col min="58" max="58" width="4.6640625" customWidth="1"/>
    <col min="59" max="59" width="7.5" bestFit="1" customWidth="1"/>
    <col min="60" max="61" width="4.6640625" customWidth="1"/>
    <col min="62" max="62" width="5.6640625" bestFit="1" customWidth="1"/>
    <col min="63" max="63" width="5" bestFit="1" customWidth="1"/>
    <col min="64" max="64" width="4.5" bestFit="1" customWidth="1"/>
    <col min="65" max="66" width="5.6640625" bestFit="1" customWidth="1"/>
    <col min="67" max="67" width="6.83203125" bestFit="1" customWidth="1"/>
    <col min="68" max="68" width="4.6640625" customWidth="1"/>
    <col min="69" max="69" width="7.5" bestFit="1" customWidth="1"/>
    <col min="70" max="71" width="4.6640625" customWidth="1"/>
    <col min="72" max="72" width="5.6640625" bestFit="1" customWidth="1"/>
    <col min="73" max="74" width="5" bestFit="1" customWidth="1"/>
    <col min="75" max="76" width="5.6640625" bestFit="1" customWidth="1"/>
    <col min="77" max="77" width="6.83203125" bestFit="1" customWidth="1"/>
    <col min="78" max="78" width="4.6640625" customWidth="1"/>
    <col min="79" max="79" width="7.5" bestFit="1" customWidth="1"/>
    <col min="80" max="81" width="4.6640625" customWidth="1"/>
    <col min="82" max="82" width="5.6640625" bestFit="1" customWidth="1"/>
    <col min="83" max="84" width="5" bestFit="1" customWidth="1"/>
    <col min="85" max="86" width="5.6640625" bestFit="1" customWidth="1"/>
    <col min="87" max="87" width="6.83203125" bestFit="1" customWidth="1"/>
    <col min="88" max="88" width="4.6640625" customWidth="1"/>
    <col min="89" max="89" width="7.5" bestFit="1" customWidth="1"/>
    <col min="90" max="91" width="4.6640625" customWidth="1"/>
    <col min="92" max="92" width="5.6640625" bestFit="1" customWidth="1"/>
    <col min="93" max="94" width="5" bestFit="1" customWidth="1"/>
    <col min="95" max="96" width="5.6640625" bestFit="1" customWidth="1"/>
    <col min="97" max="97" width="6.83203125" bestFit="1" customWidth="1"/>
    <col min="98" max="98" width="4.6640625" customWidth="1"/>
    <col min="99" max="99" width="7.5" bestFit="1" customWidth="1"/>
    <col min="100" max="101" width="4.6640625" customWidth="1"/>
    <col min="102" max="102" width="5.6640625" bestFit="1" customWidth="1"/>
    <col min="103" max="104" width="5" bestFit="1" customWidth="1"/>
    <col min="105" max="106" width="5.6640625" bestFit="1" customWidth="1"/>
    <col min="107" max="107" width="6.83203125" bestFit="1" customWidth="1"/>
    <col min="108" max="108" width="4.6640625" customWidth="1"/>
    <col min="109" max="109" width="7.5" bestFit="1" customWidth="1"/>
    <col min="110" max="111" width="4.6640625" customWidth="1"/>
    <col min="112" max="112" width="5.6640625" bestFit="1" customWidth="1"/>
    <col min="113" max="114" width="5" bestFit="1" customWidth="1"/>
    <col min="115" max="116" width="5.6640625" bestFit="1" customWidth="1"/>
    <col min="117" max="117" width="6.83203125" bestFit="1" customWidth="1"/>
    <col min="118" max="118" width="4.6640625" customWidth="1"/>
    <col min="119" max="119" width="7.5" bestFit="1" customWidth="1"/>
    <col min="120" max="121" width="4.6640625" customWidth="1"/>
    <col min="122" max="122" width="5.6640625" bestFit="1" customWidth="1"/>
    <col min="123" max="124" width="5" bestFit="1" customWidth="1"/>
    <col min="125" max="126" width="5.6640625" bestFit="1" customWidth="1"/>
    <col min="127" max="127" width="6.83203125" bestFit="1" customWidth="1"/>
    <col min="128" max="128" width="4.6640625" customWidth="1"/>
    <col min="129" max="129" width="7.5" bestFit="1" customWidth="1"/>
    <col min="130" max="131" width="4.6640625" customWidth="1"/>
    <col min="132" max="132" width="5.33203125" bestFit="1" customWidth="1"/>
    <col min="133" max="134" width="5" bestFit="1" customWidth="1"/>
    <col min="135" max="136" width="5.6640625" bestFit="1" customWidth="1"/>
    <col min="137" max="137" width="6.83203125" bestFit="1" customWidth="1"/>
    <col min="138" max="138" width="4.6640625" customWidth="1"/>
    <col min="139" max="139" width="7.5" bestFit="1" customWidth="1"/>
    <col min="140" max="141" width="4.6640625" customWidth="1"/>
    <col min="142" max="142" width="5.6640625" bestFit="1" customWidth="1"/>
    <col min="143" max="144" width="5" bestFit="1" customWidth="1"/>
    <col min="145" max="146" width="5.6640625" bestFit="1" customWidth="1"/>
    <col min="147" max="147" width="6.83203125" bestFit="1" customWidth="1"/>
    <col min="148" max="148" width="4.6640625" customWidth="1"/>
    <col min="149" max="149" width="7.5" bestFit="1" customWidth="1"/>
    <col min="150" max="214" width="4.6640625" customWidth="1"/>
  </cols>
  <sheetData>
    <row r="5" spans="1:149">
      <c r="A5" s="549" t="s">
        <v>827</v>
      </c>
      <c r="C5" t="str">
        <f>Mat_ST</f>
        <v>GL24h</v>
      </c>
    </row>
    <row r="7" spans="1:149" ht="17">
      <c r="B7" t="s">
        <v>981</v>
      </c>
      <c r="C7" s="548" t="s">
        <v>75</v>
      </c>
      <c r="D7" s="552" t="s">
        <v>82</v>
      </c>
      <c r="E7" s="552" t="s">
        <v>979</v>
      </c>
      <c r="F7" s="548" t="s">
        <v>80</v>
      </c>
      <c r="G7" s="548" t="s">
        <v>980</v>
      </c>
      <c r="I7" s="548" t="s">
        <v>990</v>
      </c>
      <c r="L7" t="s">
        <v>981</v>
      </c>
      <c r="M7" s="548" t="s">
        <v>75</v>
      </c>
      <c r="N7" s="552" t="s">
        <v>82</v>
      </c>
      <c r="O7" s="552" t="s">
        <v>979</v>
      </c>
      <c r="P7" s="548" t="s">
        <v>80</v>
      </c>
      <c r="Q7" s="548" t="s">
        <v>980</v>
      </c>
      <c r="S7" s="548" t="s">
        <v>990</v>
      </c>
      <c r="V7" t="s">
        <v>981</v>
      </c>
      <c r="W7" s="548" t="s">
        <v>75</v>
      </c>
      <c r="X7" s="552" t="s">
        <v>82</v>
      </c>
      <c r="Y7" s="552" t="s">
        <v>979</v>
      </c>
      <c r="Z7" s="548" t="s">
        <v>80</v>
      </c>
      <c r="AA7" s="548" t="s">
        <v>980</v>
      </c>
      <c r="AC7" s="548" t="s">
        <v>990</v>
      </c>
      <c r="AF7" t="s">
        <v>981</v>
      </c>
      <c r="AG7" s="548" t="s">
        <v>75</v>
      </c>
      <c r="AH7" s="552" t="s">
        <v>82</v>
      </c>
      <c r="AI7" s="552" t="s">
        <v>979</v>
      </c>
      <c r="AJ7" s="548" t="s">
        <v>80</v>
      </c>
      <c r="AK7" s="548" t="s">
        <v>980</v>
      </c>
      <c r="AM7" s="548" t="s">
        <v>990</v>
      </c>
      <c r="AP7" t="s">
        <v>981</v>
      </c>
      <c r="AQ7" s="548" t="s">
        <v>75</v>
      </c>
      <c r="AR7" s="552" t="s">
        <v>82</v>
      </c>
      <c r="AS7" s="552" t="s">
        <v>979</v>
      </c>
      <c r="AT7" s="548" t="s">
        <v>80</v>
      </c>
      <c r="AU7" s="548" t="s">
        <v>980</v>
      </c>
      <c r="AW7" s="548" t="s">
        <v>990</v>
      </c>
      <c r="AZ7" t="s">
        <v>981</v>
      </c>
      <c r="BA7" s="548" t="s">
        <v>75</v>
      </c>
      <c r="BB7" s="552" t="s">
        <v>82</v>
      </c>
      <c r="BC7" s="552" t="s">
        <v>979</v>
      </c>
      <c r="BD7" s="548" t="s">
        <v>80</v>
      </c>
      <c r="BE7" s="548" t="s">
        <v>980</v>
      </c>
      <c r="BG7" s="548" t="s">
        <v>990</v>
      </c>
      <c r="BJ7" t="s">
        <v>981</v>
      </c>
      <c r="BK7" s="548" t="s">
        <v>75</v>
      </c>
      <c r="BL7" s="552" t="s">
        <v>82</v>
      </c>
      <c r="BM7" s="552" t="s">
        <v>979</v>
      </c>
      <c r="BN7" s="548" t="s">
        <v>80</v>
      </c>
      <c r="BO7" s="548" t="s">
        <v>980</v>
      </c>
      <c r="BQ7" s="548" t="s">
        <v>990</v>
      </c>
      <c r="BT7" t="s">
        <v>981</v>
      </c>
      <c r="BU7" s="548" t="s">
        <v>75</v>
      </c>
      <c r="BV7" s="552" t="s">
        <v>82</v>
      </c>
      <c r="BW7" s="552" t="s">
        <v>979</v>
      </c>
      <c r="BX7" s="548" t="s">
        <v>80</v>
      </c>
      <c r="BY7" s="548" t="s">
        <v>980</v>
      </c>
      <c r="CA7" s="548" t="s">
        <v>990</v>
      </c>
      <c r="CD7" t="s">
        <v>981</v>
      </c>
      <c r="CE7" s="548" t="s">
        <v>75</v>
      </c>
      <c r="CF7" s="552" t="s">
        <v>82</v>
      </c>
      <c r="CG7" s="552" t="s">
        <v>979</v>
      </c>
      <c r="CH7" s="548" t="s">
        <v>80</v>
      </c>
      <c r="CI7" s="548" t="s">
        <v>980</v>
      </c>
      <c r="CK7" s="548" t="s">
        <v>990</v>
      </c>
      <c r="CN7" t="s">
        <v>981</v>
      </c>
      <c r="CO7" s="548" t="s">
        <v>75</v>
      </c>
      <c r="CP7" s="552" t="s">
        <v>82</v>
      </c>
      <c r="CQ7" s="552" t="s">
        <v>979</v>
      </c>
      <c r="CR7" s="548" t="s">
        <v>80</v>
      </c>
      <c r="CS7" s="548" t="s">
        <v>980</v>
      </c>
      <c r="CU7" s="548" t="s">
        <v>990</v>
      </c>
      <c r="CX7" t="s">
        <v>981</v>
      </c>
      <c r="CY7" s="548" t="s">
        <v>75</v>
      </c>
      <c r="CZ7" s="552" t="s">
        <v>82</v>
      </c>
      <c r="DA7" s="552" t="s">
        <v>979</v>
      </c>
      <c r="DB7" s="548" t="s">
        <v>80</v>
      </c>
      <c r="DC7" s="548" t="s">
        <v>980</v>
      </c>
      <c r="DE7" s="548" t="s">
        <v>990</v>
      </c>
      <c r="DH7" t="s">
        <v>981</v>
      </c>
      <c r="DI7" s="548" t="s">
        <v>75</v>
      </c>
      <c r="DJ7" s="552" t="s">
        <v>82</v>
      </c>
      <c r="DK7" s="552" t="s">
        <v>979</v>
      </c>
      <c r="DL7" s="548" t="s">
        <v>80</v>
      </c>
      <c r="DM7" s="548" t="s">
        <v>980</v>
      </c>
      <c r="DO7" s="548" t="s">
        <v>990</v>
      </c>
      <c r="DR7" t="s">
        <v>981</v>
      </c>
      <c r="DS7" s="548" t="s">
        <v>75</v>
      </c>
      <c r="DT7" s="552" t="s">
        <v>82</v>
      </c>
      <c r="DU7" s="552" t="s">
        <v>979</v>
      </c>
      <c r="DV7" s="548" t="s">
        <v>80</v>
      </c>
      <c r="DW7" s="548" t="s">
        <v>980</v>
      </c>
      <c r="DY7" s="548" t="s">
        <v>990</v>
      </c>
      <c r="EB7" t="s">
        <v>981</v>
      </c>
      <c r="EC7" s="548" t="s">
        <v>75</v>
      </c>
      <c r="ED7" s="552" t="s">
        <v>82</v>
      </c>
      <c r="EE7" s="552" t="s">
        <v>979</v>
      </c>
      <c r="EF7" s="548" t="s">
        <v>80</v>
      </c>
      <c r="EG7" s="548" t="s">
        <v>980</v>
      </c>
      <c r="EI7" s="548" t="s">
        <v>990</v>
      </c>
      <c r="EL7" t="s">
        <v>981</v>
      </c>
      <c r="EM7" s="548" t="s">
        <v>75</v>
      </c>
      <c r="EN7" s="552" t="s">
        <v>82</v>
      </c>
      <c r="EO7" s="552" t="s">
        <v>979</v>
      </c>
      <c r="EP7" s="548" t="s">
        <v>80</v>
      </c>
      <c r="EQ7" s="548" t="s">
        <v>980</v>
      </c>
      <c r="ES7" s="548" t="s">
        <v>990</v>
      </c>
    </row>
    <row r="8" spans="1:149">
      <c r="B8" s="547">
        <f>'Hilfstabellen_Mat&amp;Bem'!$J51</f>
        <v>2.8</v>
      </c>
      <c r="C8" s="546">
        <f>'Hilfstabellen_Mat&amp;Bem'!$O11</f>
        <v>60</v>
      </c>
      <c r="D8" s="551">
        <f>$B$8*10^3/$C8*SQRT(12)</f>
        <v>161.65807537309519</v>
      </c>
      <c r="E8" s="553">
        <f>$D8/PI()*SQRT('Hilfstabellen_Mat&amp;Bem'!f.Rd.3/'Hilfstabellen_Mat&amp;Bem'!$BD$30)</f>
        <v>2.5728681786350296</v>
      </c>
      <c r="F8" s="553">
        <f>0.5*(1+'Hilfstabellen_Mat&amp;Bem'!$BD$31*($E8-0.3)+$E8^2)</f>
        <v>3.9234687412481186</v>
      </c>
      <c r="G8" s="550">
        <f>MIN(1/($F8+SQRT($F8^2-$E8^2)),1)</f>
        <v>0.14523157076836962</v>
      </c>
      <c r="I8" s="551">
        <f>C8^2*G8</f>
        <v>522.83365476613062</v>
      </c>
      <c r="L8" s="547">
        <f>'Hilfstabellen_Mat&amp;Bem'!$J52</f>
        <v>2.9</v>
      </c>
      <c r="M8" s="546">
        <f>$C8</f>
        <v>60</v>
      </c>
      <c r="N8" s="551">
        <f t="shared" ref="N8:N71" si="0">$L$8*10^3/$M8*SQRT(12)</f>
        <v>167.43157806499147</v>
      </c>
      <c r="O8" s="553">
        <f>$N8/PI()*SQRT('Hilfstabellen_Mat&amp;Bem'!f.Rd.3/'Hilfstabellen_Mat&amp;Bem'!$BD$30)</f>
        <v>2.664756327871995</v>
      </c>
      <c r="P8" s="553">
        <f>0.5*(1+'Hilfstabellen_Mat&amp;Bem'!$BD$31*($O8-0.3)+$O8^2)</f>
        <v>4.1687009598605194</v>
      </c>
      <c r="Q8" s="550">
        <f t="shared" ref="Q8:Q71" si="1">MIN(1/($P8+SQRT($P8^2-$O8^2)),1)</f>
        <v>0.13560243115984322</v>
      </c>
      <c r="S8" s="551">
        <f>M8^2*Q8</f>
        <v>488.1687521754356</v>
      </c>
      <c r="V8" s="547">
        <f>'Hilfstabellen_Mat&amp;Bem'!$J53</f>
        <v>3</v>
      </c>
      <c r="W8" s="546">
        <f>$C8</f>
        <v>60</v>
      </c>
      <c r="X8" s="551">
        <f t="shared" ref="X8:X71" si="2">$V$8*10^3/$W8*SQRT(12)</f>
        <v>173.20508075688772</v>
      </c>
      <c r="Y8" s="553">
        <f>$X8/PI()*SQRT('Hilfstabellen_Mat&amp;Bem'!f.Rd.3/'Hilfstabellen_Mat&amp;Bem'!$BD$30)</f>
        <v>2.7566444771089604</v>
      </c>
      <c r="Z8" s="553">
        <f>0.5*(1+'Hilfstabellen_Mat&amp;Bem'!$BD$31*($Y8-0.3)+$Y8^2)</f>
        <v>4.4223766104431146</v>
      </c>
      <c r="AA8" s="550">
        <f t="shared" ref="AA8:AA71" si="3">MIN(1/($Z8+SQRT($Z8^2-$Y8^2)),1)</f>
        <v>0.12689617969031575</v>
      </c>
      <c r="AC8" s="551">
        <f>W8^2*AA8</f>
        <v>456.8262468851367</v>
      </c>
      <c r="AF8" s="547">
        <f>'Hilfstabellen_Mat&amp;Bem'!$J54</f>
        <v>3.1</v>
      </c>
      <c r="AG8" s="546">
        <f>$C8</f>
        <v>60</v>
      </c>
      <c r="AH8" s="551">
        <f t="shared" ref="AH8:AH71" si="4">$AF$8*10^3/$AG8*SQRT(12)</f>
        <v>178.97858344878398</v>
      </c>
      <c r="AI8" s="553">
        <f>$AH8/PI()*SQRT('Hilfstabellen_Mat&amp;Bem'!f.Rd.3/'Hilfstabellen_Mat&amp;Bem'!$BD$30)</f>
        <v>2.8485326263459259</v>
      </c>
      <c r="AJ8" s="553">
        <f>0.5*(1+'Hilfstabellen_Mat&amp;Bem'!$BD$31*($AI8-0.3)+$AI8^2)</f>
        <v>4.6844956929959052</v>
      </c>
      <c r="AK8" s="550">
        <f t="shared" ref="AK8:AK71" si="5">MIN(1/($AJ8+SQRT($AJ8^2-$AI8^2)),1)</f>
        <v>0.11899923835767784</v>
      </c>
      <c r="AM8" s="551">
        <f>AG8^2*AK8</f>
        <v>428.39725808764024</v>
      </c>
      <c r="AP8" s="547">
        <f>'Hilfstabellen_Mat&amp;Bem'!$J55</f>
        <v>3.2</v>
      </c>
      <c r="AQ8" s="546">
        <f>$C8</f>
        <v>60</v>
      </c>
      <c r="AR8" s="551">
        <f t="shared" ref="AR8:AR71" si="6">$AP$8*10^3/$AQ8*SQRT(12)</f>
        <v>184.75208614068023</v>
      </c>
      <c r="AS8" s="553">
        <f>$AR8/PI()*SQRT('Hilfstabellen_Mat&amp;Bem'!f.Rd.3/'Hilfstabellen_Mat&amp;Bem'!$BD$30)</f>
        <v>2.9404207755828913</v>
      </c>
      <c r="AT8" s="553">
        <f>0.5*(1+'Hilfstabellen_Mat&amp;Bem'!$BD$31*($AS8-0.3)+$AS8^2)</f>
        <v>4.9550582075188903</v>
      </c>
      <c r="AU8" s="550">
        <f t="shared" ref="AU8:AU71" si="7">MIN(1/($AT8+SQRT($AT8^2-$AS8^2)),1)</f>
        <v>0.11181483603698619</v>
      </c>
      <c r="AW8" s="551">
        <f>AQ8^2*AU8</f>
        <v>402.53340973315028</v>
      </c>
      <c r="AZ8" s="547">
        <f>'Hilfstabellen_Mat&amp;Bem'!$J$56</f>
        <v>3.3</v>
      </c>
      <c r="BA8" s="546">
        <f>$C8</f>
        <v>60</v>
      </c>
      <c r="BB8" s="551">
        <f>AZ$8*10^3/BA8*SQRT(12)</f>
        <v>190.52558883257649</v>
      </c>
      <c r="BC8" s="553">
        <f>BB8/PI()*SQRT('Hilfstabellen_Mat&amp;Bem'!f.Rd.3/'Hilfstabellen_Mat&amp;Bem'!$BD$30)</f>
        <v>3.0323089248198567</v>
      </c>
      <c r="BD8" s="553">
        <f>0.5*(1+'Hilfstabellen_Mat&amp;Bem'!$BD$31*(BC8-0.3)+BC8^2)</f>
        <v>5.2340641540120698</v>
      </c>
      <c r="BE8" s="550">
        <f>MIN(1/(BD8+SQRT(BD8^2-BC8^2)),1)</f>
        <v>0.10526014313384571</v>
      </c>
      <c r="BG8" s="551">
        <f>BA8^2*BE8</f>
        <v>378.93651528184455</v>
      </c>
      <c r="BJ8" s="547">
        <f>'Hilfstabellen_Mat&amp;Bem'!$J$57</f>
        <v>3.4</v>
      </c>
      <c r="BK8" s="546">
        <f>$C8</f>
        <v>60</v>
      </c>
      <c r="BL8" s="551">
        <f>BJ$8*10^3/BK8*SQRT(12)</f>
        <v>196.29909152447274</v>
      </c>
      <c r="BM8" s="553">
        <f>BL8/PI()*SQRT('Hilfstabellen_Mat&amp;Bem'!f.Rd.3/'Hilfstabellen_Mat&amp;Bem'!$BD$30)</f>
        <v>3.1241970740568217</v>
      </c>
      <c r="BN8" s="553">
        <f>0.5*(1+'Hilfstabellen_Mat&amp;Bem'!$BD$31*(BM8-0.3)+BM8^2)</f>
        <v>5.5215135324754439</v>
      </c>
      <c r="BO8" s="550">
        <f>MIN(1/(BN8+SQRT(BN8^2-BM8^2)),1)</f>
        <v>9.9263951772904827E-2</v>
      </c>
      <c r="BQ8" s="551">
        <f>BK8^2*BO8</f>
        <v>357.35022638245738</v>
      </c>
      <c r="BT8" s="547">
        <f>'Hilfstabellen_Mat&amp;Bem'!$J$58</f>
        <v>3.5</v>
      </c>
      <c r="BU8" s="546">
        <f>$C8</f>
        <v>60</v>
      </c>
      <c r="BV8" s="551">
        <f>BT$8*10^3/BU8*SQRT(12)</f>
        <v>202.07259421636903</v>
      </c>
      <c r="BW8" s="553">
        <f>BV8/PI()*SQRT('Hilfstabellen_Mat&amp;Bem'!f.Rd.3/'Hilfstabellen_Mat&amp;Bem'!$BD$30)</f>
        <v>3.2160852232937871</v>
      </c>
      <c r="BX8" s="553">
        <f>0.5*(1+'Hilfstabellen_Mat&amp;Bem'!$BD$31*(BW8-0.3)+BW8^2)</f>
        <v>5.8174063429090133</v>
      </c>
      <c r="BY8" s="550">
        <f>MIN(1/(BX8+SQRT(BX8^2-BW8^2)),1)</f>
        <v>9.3764788445477254E-2</v>
      </c>
      <c r="CA8" s="551">
        <f>BU8^2*BY8</f>
        <v>337.55323840371813</v>
      </c>
      <c r="CD8" s="547">
        <f>'Hilfstabellen_Mat&amp;Bem'!$J$59</f>
        <v>3.6</v>
      </c>
      <c r="CE8" s="546">
        <f>$C8</f>
        <v>60</v>
      </c>
      <c r="CF8" s="551">
        <f>CD$8*10^3/CE8*SQRT(12)</f>
        <v>207.84609690826525</v>
      </c>
      <c r="CG8" s="553">
        <f>CF8/PI()*SQRT('Hilfstabellen_Mat&amp;Bem'!f.Rd.3/'Hilfstabellen_Mat&amp;Bem'!$BD$30)</f>
        <v>3.3079733725307521</v>
      </c>
      <c r="CH8" s="553">
        <f>0.5*(1+'Hilfstabellen_Mat&amp;Bem'!$BD$31*(CG8-0.3)+CG8^2)</f>
        <v>6.1217425853127763</v>
      </c>
      <c r="CI8" s="550">
        <f>MIN(1/(CH8+SQRT(CH8^2-CG8^2)),1)</f>
        <v>8.8709370957235356E-2</v>
      </c>
      <c r="CK8" s="551">
        <f>CE8^2*CI8</f>
        <v>319.35373544604727</v>
      </c>
      <c r="CN8" s="547">
        <f>'Hilfstabellen_Mat&amp;Bem'!$J$60</f>
        <v>3.7</v>
      </c>
      <c r="CO8" s="546">
        <f>$C8</f>
        <v>60</v>
      </c>
      <c r="CP8" s="551">
        <f>CN$8*10^3/CO8*SQRT(12)</f>
        <v>213.61959960016151</v>
      </c>
      <c r="CQ8" s="553">
        <f>CP8/PI()*SQRT('Hilfstabellen_Mat&amp;Bem'!f.Rd.3/'Hilfstabellen_Mat&amp;Bem'!$BD$30)</f>
        <v>3.3998615217677179</v>
      </c>
      <c r="CR8" s="553">
        <f>0.5*(1+'Hilfstabellen_Mat&amp;Bem'!$BD$31*(CQ8-0.3)+CQ8^2)</f>
        <v>6.4345222596867373</v>
      </c>
      <c r="CS8" s="550">
        <f>MIN(1/(CR8+SQRT(CR8^2-CQ8^2)),1)</f>
        <v>8.4051340750394554E-2</v>
      </c>
      <c r="CU8" s="551">
        <f>CO8^2*CS8</f>
        <v>302.58482670142041</v>
      </c>
      <c r="CX8" s="547">
        <f>'Hilfstabellen_Mat&amp;Bem'!$J$61</f>
        <v>3.8</v>
      </c>
      <c r="CY8" s="546">
        <f>$C8</f>
        <v>60</v>
      </c>
      <c r="CZ8" s="551">
        <f>CX$8*10^3/CY8*SQRT(12)</f>
        <v>219.39310229205779</v>
      </c>
      <c r="DA8" s="553">
        <f>CZ8/PI()*SQRT('Hilfstabellen_Mat&amp;Bem'!f.Rd.3/'Hilfstabellen_Mat&amp;Bem'!$BD$30)</f>
        <v>3.4917496710046834</v>
      </c>
      <c r="DB8" s="553">
        <f>0.5*(1+'Hilfstabellen_Mat&amp;Bem'!$BD$31*(DA8-0.3)+DA8^2)</f>
        <v>6.7557453660308919</v>
      </c>
      <c r="DC8" s="550">
        <f>MIN(1/(DB8+SQRT(DB8^2-DA8^2)),1)</f>
        <v>7.9750216516235234E-2</v>
      </c>
      <c r="DE8" s="551">
        <f>CY8^2*DC8</f>
        <v>287.10077945844682</v>
      </c>
      <c r="DH8" s="547">
        <f>'Hilfstabellen_Mat&amp;Bem'!$J$62</f>
        <v>3.9</v>
      </c>
      <c r="DI8" s="546">
        <f>$C8</f>
        <v>60</v>
      </c>
      <c r="DJ8" s="551">
        <f>DH$8*10^3/DI8*SQRT(12)</f>
        <v>225.16660498395404</v>
      </c>
      <c r="DK8" s="553">
        <f>DJ8/PI()*SQRT('Hilfstabellen_Mat&amp;Bem'!f.Rd.3/'Hilfstabellen_Mat&amp;Bem'!$BD$30)</f>
        <v>3.5836378202416483</v>
      </c>
      <c r="DL8" s="553">
        <f>0.5*(1+'Hilfstabellen_Mat&amp;Bem'!$BD$31*(DK8-0.3)+DK8^2)</f>
        <v>7.0854119043452393</v>
      </c>
      <c r="DM8" s="550">
        <f>MIN(1/(DL8+SQRT(DL8^2-DK8^2)),1)</f>
        <v>7.5770526483970965E-2</v>
      </c>
      <c r="DO8" s="551">
        <f>DI8^2*DM8</f>
        <v>272.77389534229548</v>
      </c>
      <c r="DR8" s="547">
        <f>'Hilfstabellen_Mat&amp;Bem'!$J$63</f>
        <v>4</v>
      </c>
      <c r="DS8" s="546">
        <f>$C8</f>
        <v>60</v>
      </c>
      <c r="DT8" s="551">
        <f>DR$8*10^3/DS8*SQRT(12)</f>
        <v>230.9401076758503</v>
      </c>
      <c r="DU8" s="553">
        <f>DT8/PI()*SQRT('Hilfstabellen_Mat&amp;Bem'!f.Rd.3/'Hilfstabellen_Mat&amp;Bem'!$BD$30)</f>
        <v>3.6755259694786142</v>
      </c>
      <c r="DV8" s="553">
        <f>0.5*(1+'Hilfstabellen_Mat&amp;Bem'!$BD$31*(DU8-0.3)+DU8^2)</f>
        <v>7.4235218746297846</v>
      </c>
      <c r="DW8" s="550">
        <f>MIN(1/(DV8+SQRT(DV8^2-DU8^2)),1)</f>
        <v>7.2081085661061473E-2</v>
      </c>
      <c r="DY8" s="551">
        <f>DS8^2*DW8</f>
        <v>259.49190837982133</v>
      </c>
      <c r="EB8" s="547">
        <f>'Hilfstabellen_Mat&amp;Bem'!$J$64</f>
        <v>4.0999999999999996</v>
      </c>
      <c r="EC8" s="546">
        <f>$C8</f>
        <v>60</v>
      </c>
      <c r="ED8" s="551">
        <f>EB$8*10^3/EC8*SQRT(12)</f>
        <v>236.71361036774653</v>
      </c>
      <c r="EE8" s="553">
        <f>ED8/PI()*SQRT('Hilfstabellen_Mat&amp;Bem'!f.Rd.3/'Hilfstabellen_Mat&amp;Bem'!$BD$30)</f>
        <v>3.7674141187155783</v>
      </c>
      <c r="EF8" s="553">
        <f>0.5*(1+'Hilfstabellen_Mat&amp;Bem'!$BD$31*(EE8-0.3)+EE8^2)</f>
        <v>7.7700752768845174</v>
      </c>
      <c r="EG8" s="550">
        <f>MIN(1/(EF8+SQRT(EF8^2-EE8^2)),1)</f>
        <v>6.8654391213041954E-2</v>
      </c>
      <c r="EI8" s="551">
        <f>EC8^2*EG8</f>
        <v>247.15580836695102</v>
      </c>
      <c r="EL8" s="547">
        <f>'Hilfstabellen_Mat&amp;Bem'!$J$65</f>
        <v>4.2</v>
      </c>
      <c r="EM8" s="546">
        <f>$C8</f>
        <v>60</v>
      </c>
      <c r="EN8" s="551">
        <f>EL$8*10^3/EM8*SQRT(12)</f>
        <v>242.48711305964281</v>
      </c>
      <c r="EO8" s="553">
        <f>EN8/PI()*SQRT('Hilfstabellen_Mat&amp;Bem'!f.Rd.3/'Hilfstabellen_Mat&amp;Bem'!$BD$30)</f>
        <v>3.8593022679525442</v>
      </c>
      <c r="EP8" s="553">
        <f>0.5*(1+'Hilfstabellen_Mat&amp;Bem'!$BD$31*(EO8-0.3)+EO8^2)</f>
        <v>8.1250721111094535</v>
      </c>
      <c r="EQ8" s="550">
        <f>MIN(1/(EP8+SQRT(EP8^2-EO8^2)),1)</f>
        <v>6.5466114568471082E-2</v>
      </c>
      <c r="ES8" s="551">
        <f>EM8^2*EQ8</f>
        <v>235.6780124464959</v>
      </c>
    </row>
    <row r="9" spans="1:149">
      <c r="A9" s="547"/>
      <c r="C9" s="546">
        <v>61</v>
      </c>
      <c r="D9" s="551">
        <f t="shared" ref="D9:D72" si="8">$B$8*10^3/$C9*SQRT(12)</f>
        <v>159.00794298992969</v>
      </c>
      <c r="E9" s="553">
        <f>$D9/PI()*SQRT('Hilfstabellen_Mat&amp;Bem'!f.Rd.3/'Hilfstabellen_Mat&amp;Bem'!$BD$30)</f>
        <v>2.53069001177216</v>
      </c>
      <c r="F9" s="553">
        <f>0.5*(1+'Hilfstabellen_Mat&amp;Bem'!$BD$31*($E9-0.3)+$E9^2)</f>
        <v>3.813730468430296</v>
      </c>
      <c r="G9" s="550">
        <f t="shared" ref="G9:G72" si="9">MIN(1/($F9+SQRT($F9^2-$E9^2)),1)</f>
        <v>0.14999643859368517</v>
      </c>
      <c r="I9" s="551">
        <f t="shared" ref="I9:I21" si="10">C9^2*G9</f>
        <v>558.13674800710248</v>
      </c>
      <c r="M9" s="546">
        <f t="shared" ref="M9:M72" si="11">$C9</f>
        <v>61</v>
      </c>
      <c r="N9" s="551">
        <f t="shared" si="0"/>
        <v>164.68679809671292</v>
      </c>
      <c r="O9" s="553">
        <f>$N9/PI()*SQRT('Hilfstabellen_Mat&amp;Bem'!f.Rd.3/'Hilfstabellen_Mat&amp;Bem'!$BD$30)</f>
        <v>2.6210717979068807</v>
      </c>
      <c r="P9" s="553">
        <f>0.5*(1+'Hilfstabellen_Mat&amp;Bem'!$BD$31*($O9-0.3)+$O9^2)</f>
        <v>4.051062274786748</v>
      </c>
      <c r="Q9" s="550">
        <f t="shared" si="1"/>
        <v>0.1400574451804307</v>
      </c>
      <c r="S9" s="551">
        <f t="shared" ref="S9:S21" si="12">M9^2*Q9</f>
        <v>521.15375351638261</v>
      </c>
      <c r="W9" s="546">
        <f t="shared" ref="W9:W72" si="13">$C9</f>
        <v>61</v>
      </c>
      <c r="X9" s="551">
        <f t="shared" si="2"/>
        <v>170.36565320349612</v>
      </c>
      <c r="Y9" s="553">
        <f>$X9/PI()*SQRT('Hilfstabellen_Mat&amp;Bem'!f.Rd.3/'Hilfstabellen_Mat&amp;Bem'!$BD$30)</f>
        <v>2.7114535840416005</v>
      </c>
      <c r="Z9" s="553">
        <f>0.5*(1+'Hilfstabellen_Mat&amp;Bem'!$BD$31*($Y9-0.3)+$Y9^2)</f>
        <v>4.2965629484081003</v>
      </c>
      <c r="AA9" s="550">
        <f t="shared" si="3"/>
        <v>0.13107017973207083</v>
      </c>
      <c r="AC9" s="551">
        <f t="shared" ref="AC9:AC21" si="14">W9^2*AA9</f>
        <v>487.71213878303558</v>
      </c>
      <c r="AG9" s="546">
        <f t="shared" ref="AG9:AG72" si="15">$C9</f>
        <v>61</v>
      </c>
      <c r="AH9" s="551">
        <f t="shared" si="4"/>
        <v>176.04450831027933</v>
      </c>
      <c r="AI9" s="553">
        <f>$AH9/PI()*SQRT('Hilfstabellen_Mat&amp;Bem'!f.Rd.3/'Hilfstabellen_Mat&amp;Bem'!$BD$30)</f>
        <v>2.8018353701763203</v>
      </c>
      <c r="AJ9" s="553">
        <f>0.5*(1+'Hilfstabellen_Mat&amp;Bem'!$BD$31*($AI9-0.3)+$AI9^2)</f>
        <v>4.5502324892943555</v>
      </c>
      <c r="AK9" s="550">
        <f t="shared" si="5"/>
        <v>0.12291767235583489</v>
      </c>
      <c r="AM9" s="551">
        <f t="shared" ref="AM9:AM21" si="16">AG9^2*AK9</f>
        <v>457.37665883606167</v>
      </c>
      <c r="AQ9" s="546">
        <f t="shared" ref="AQ9:AQ72" si="17">$C9</f>
        <v>61</v>
      </c>
      <c r="AR9" s="551">
        <f t="shared" si="6"/>
        <v>181.72336341706253</v>
      </c>
      <c r="AS9" s="553">
        <f>$AR9/PI()*SQRT('Hilfstabellen_Mat&amp;Bem'!f.Rd.3/'Hilfstabellen_Mat&amp;Bem'!$BD$30)</f>
        <v>2.8922171563110406</v>
      </c>
      <c r="AT9" s="553">
        <f>0.5*(1+'Hilfstabellen_Mat&amp;Bem'!$BD$31*($AS9-0.3)+$AS9^2)</f>
        <v>4.8120708974455138</v>
      </c>
      <c r="AU9" s="550">
        <f t="shared" si="7"/>
        <v>0.11550022722478248</v>
      </c>
      <c r="AW9" s="551">
        <f t="shared" ref="AW9:AW21" si="18">AQ9^2*AU9</f>
        <v>429.7763455034156</v>
      </c>
      <c r="AZ9" s="547">
        <f>'Hilfstabellen_Mat&amp;Bem'!$J$56</f>
        <v>3.3</v>
      </c>
      <c r="BA9" s="546">
        <f t="shared" ref="BA9:BA72" si="19">$C9</f>
        <v>61</v>
      </c>
      <c r="BB9" s="551">
        <f t="shared" ref="BB9:BB72" si="20">AZ$8*10^3/BA9*SQRT(12)</f>
        <v>187.40221852384573</v>
      </c>
      <c r="BC9" s="553">
        <f>BB9/PI()*SQRT('Hilfstabellen_Mat&amp;Bem'!f.Rd.3/'Hilfstabellen_Mat&amp;Bem'!$BD$30)</f>
        <v>2.9825989424457604</v>
      </c>
      <c r="BD9" s="553">
        <f>0.5*(1+'Hilfstabellen_Mat&amp;Bem'!$BD$31*(BC9-0.3)+BC9^2)</f>
        <v>5.0820781728615723</v>
      </c>
      <c r="BE9" s="550">
        <f t="shared" ref="BE9:BE72" si="21">MIN(1/(BD9+SQRT(BD9^2-BC9^2)),1)</f>
        <v>0.10873248641905293</v>
      </c>
      <c r="BG9" s="551">
        <f t="shared" ref="BG9:BG72" si="22">BA9^2*BE9</f>
        <v>404.59358196529598</v>
      </c>
      <c r="BJ9" s="547">
        <f>'Hilfstabellen_Mat&amp;Bem'!$J$57</f>
        <v>3.4</v>
      </c>
      <c r="BK9" s="546">
        <f t="shared" ref="BK9:BK72" si="23">$C9</f>
        <v>61</v>
      </c>
      <c r="BL9" s="551">
        <f t="shared" ref="BL9:BL72" si="24">BJ$8*10^3/BK9*SQRT(12)</f>
        <v>193.08107363062894</v>
      </c>
      <c r="BM9" s="553">
        <f>BL9/PI()*SQRT('Hilfstabellen_Mat&amp;Bem'!f.Rd.3/'Hilfstabellen_Mat&amp;Bem'!$BD$30)</f>
        <v>3.0729807285804807</v>
      </c>
      <c r="BN9" s="553">
        <f>0.5*(1+'Hilfstabellen_Mat&amp;Bem'!$BD$31*(BM9-0.3)+BM9^2)</f>
        <v>5.3602543155425355</v>
      </c>
      <c r="BO9" s="550">
        <f t="shared" ref="BO9:BO72" si="25">MIN(1/(BN9+SQRT(BN9^2-BM9^2)),1)</f>
        <v>0.10254105025641014</v>
      </c>
      <c r="BQ9" s="551">
        <f t="shared" ref="BQ9:BQ72" si="26">BK9^2*BO9</f>
        <v>381.55524800410211</v>
      </c>
      <c r="BT9" s="547">
        <f>'Hilfstabellen_Mat&amp;Bem'!$J$58</f>
        <v>3.5</v>
      </c>
      <c r="BU9" s="546">
        <f t="shared" ref="BU9:BU72" si="27">$C9</f>
        <v>61</v>
      </c>
      <c r="BV9" s="551">
        <f t="shared" ref="BV9:BV72" si="28">BT$8*10^3/BU9*SQRT(12)</f>
        <v>198.75992873741214</v>
      </c>
      <c r="BW9" s="553">
        <f>BV9/PI()*SQRT('Hilfstabellen_Mat&amp;Bem'!f.Rd.3/'Hilfstabellen_Mat&amp;Bem'!$BD$30)</f>
        <v>3.1633625147152005</v>
      </c>
      <c r="BX9" s="553">
        <f>0.5*(1+'Hilfstabellen_Mat&amp;Bem'!$BD$31*(BW9-0.3)+BW9^2)</f>
        <v>5.6465993254883982</v>
      </c>
      <c r="BY9" s="550">
        <f t="shared" ref="BY9:BY72" si="29">MIN(1/(BX9+SQRT(BX9^2-BW9^2)),1)</f>
        <v>9.6862539565956363E-2</v>
      </c>
      <c r="CA9" s="551">
        <f t="shared" ref="CA9:CA72" si="30">BU9^2*BY9</f>
        <v>360.42550972492364</v>
      </c>
      <c r="CD9" s="547">
        <f>'Hilfstabellen_Mat&amp;Bem'!$J$59</f>
        <v>3.6</v>
      </c>
      <c r="CE9" s="546">
        <f t="shared" ref="CE9:CE72" si="31">$C9</f>
        <v>61</v>
      </c>
      <c r="CF9" s="551">
        <f t="shared" ref="CF9:CF72" si="32">CD$8*10^3/CE9*SQRT(12)</f>
        <v>204.43878384419534</v>
      </c>
      <c r="CG9" s="553">
        <f>CF9/PI()*SQRT('Hilfstabellen_Mat&amp;Bem'!f.Rd.3/'Hilfstabellen_Mat&amp;Bem'!$BD$30)</f>
        <v>3.2537443008499203</v>
      </c>
      <c r="CH9" s="553">
        <f>0.5*(1+'Hilfstabellen_Mat&amp;Bem'!$BD$31*(CG9-0.3)+CG9^2)</f>
        <v>5.9411132026991647</v>
      </c>
      <c r="CI9" s="550">
        <f t="shared" ref="CI9:CI72" si="33">MIN(1/(CH9+SQRT(CH9^2-CG9^2)),1)</f>
        <v>9.1642010321596842E-2</v>
      </c>
      <c r="CK9" s="551">
        <f t="shared" ref="CK9:CK72" si="34">CE9^2*CI9</f>
        <v>340.99992040666183</v>
      </c>
      <c r="CN9" s="547">
        <f>'Hilfstabellen_Mat&amp;Bem'!$J$60</f>
        <v>3.7</v>
      </c>
      <c r="CO9" s="546">
        <f t="shared" ref="CO9:CO72" si="35">$C9</f>
        <v>61</v>
      </c>
      <c r="CP9" s="551">
        <f t="shared" ref="CP9:CP72" si="36">CN$8*10^3/CO9*SQRT(12)</f>
        <v>210.11763895097855</v>
      </c>
      <c r="CQ9" s="553">
        <f>CP9/PI()*SQRT('Hilfstabellen_Mat&amp;Bem'!f.Rd.3/'Hilfstabellen_Mat&amp;Bem'!$BD$30)</f>
        <v>3.3441260869846405</v>
      </c>
      <c r="CR9" s="553">
        <f>0.5*(1+'Hilfstabellen_Mat&amp;Bem'!$BD$31*(CQ9-0.3)+CQ9^2)</f>
        <v>6.2437959471748332</v>
      </c>
      <c r="CS9" s="550">
        <f t="shared" ref="CS9:CS72" si="37">MIN(1/(CR9+SQRT(CR9^2-CQ9^2)),1)</f>
        <v>8.6831650426547904E-2</v>
      </c>
      <c r="CU9" s="551">
        <f t="shared" ref="CU9:CU72" si="38">CO9^2*CS9</f>
        <v>323.10057123718474</v>
      </c>
      <c r="CX9" s="547">
        <f>'Hilfstabellen_Mat&amp;Bem'!$J$61</f>
        <v>3.8</v>
      </c>
      <c r="CY9" s="546">
        <f t="shared" ref="CY9:CY72" si="39">$C9</f>
        <v>61</v>
      </c>
      <c r="CZ9" s="551">
        <f t="shared" ref="CZ9:CZ72" si="40">CX$8*10^3/CY9*SQRT(12)</f>
        <v>215.79649405776175</v>
      </c>
      <c r="DA9" s="553">
        <f>CZ9/PI()*SQRT('Hilfstabellen_Mat&amp;Bem'!f.Rd.3/'Hilfstabellen_Mat&amp;Bem'!$BD$30)</f>
        <v>3.4345078731193603</v>
      </c>
      <c r="DB9" s="553">
        <f>0.5*(1+'Hilfstabellen_Mat&amp;Bem'!$BD$31*(DA9-0.3)+DA9^2)</f>
        <v>6.5546475589154038</v>
      </c>
      <c r="DC9" s="550">
        <f t="shared" ref="DC9:DC72" si="41">MIN(1/(DB9+SQRT(DB9^2-DA9^2)),1)</f>
        <v>8.2389703452167243E-2</v>
      </c>
      <c r="DE9" s="551">
        <f t="shared" ref="DE9:DE72" si="42">CY9^2*DC9</f>
        <v>306.57208654551431</v>
      </c>
      <c r="DH9" s="547">
        <f>'Hilfstabellen_Mat&amp;Bem'!$J$62</f>
        <v>3.9</v>
      </c>
      <c r="DI9" s="546">
        <f t="shared" ref="DI9:DI72" si="43">$C9</f>
        <v>61</v>
      </c>
      <c r="DJ9" s="551">
        <f t="shared" ref="DJ9:DJ72" si="44">DH$8*10^3/DI9*SQRT(12)</f>
        <v>221.47534916454495</v>
      </c>
      <c r="DK9" s="553">
        <f>DJ9/PI()*SQRT('Hilfstabellen_Mat&amp;Bem'!f.Rd.3/'Hilfstabellen_Mat&amp;Bem'!$BD$30)</f>
        <v>3.5248896592540806</v>
      </c>
      <c r="DL9" s="553">
        <f>0.5*(1+'Hilfstabellen_Mat&amp;Bem'!$BD$31*(DK9-0.3)+DK9^2)</f>
        <v>6.8736680379208774</v>
      </c>
      <c r="DM9" s="550">
        <f t="shared" ref="DM9:DM72" si="45">MIN(1/(DL9+SQRT(DL9^2-DK9^2)),1)</f>
        <v>7.8279575773184673E-2</v>
      </c>
      <c r="DO9" s="551">
        <f t="shared" ref="DO9:DO72" si="46">DI9^2*DM9</f>
        <v>291.27830145202017</v>
      </c>
      <c r="DR9" s="547">
        <f>'Hilfstabellen_Mat&amp;Bem'!$J$63</f>
        <v>4</v>
      </c>
      <c r="DS9" s="546">
        <f t="shared" ref="DS9:DS72" si="47">$C9</f>
        <v>61</v>
      </c>
      <c r="DT9" s="551">
        <f t="shared" ref="DT9:DT72" si="48">DR$8*10^3/DS9*SQRT(12)</f>
        <v>227.15420427132813</v>
      </c>
      <c r="DU9" s="553">
        <f>DT9/PI()*SQRT('Hilfstabellen_Mat&amp;Bem'!f.Rd.3/'Hilfstabellen_Mat&amp;Bem'!$BD$30)</f>
        <v>3.6152714453887995</v>
      </c>
      <c r="DV9" s="553">
        <f>0.5*(1+'Hilfstabellen_Mat&amp;Bem'!$BD$31*(DU9-0.3)+DU9^2)</f>
        <v>7.2008573841912495</v>
      </c>
      <c r="DW9" s="550">
        <f t="shared" ref="DW9:DW72" si="49">MIN(1/(DV9+SQRT(DV9^2-DU9^2)),1)</f>
        <v>7.4469092583723098E-2</v>
      </c>
      <c r="DY9" s="551">
        <f t="shared" ref="DY9:DY72" si="50">DS9^2*DW9</f>
        <v>277.09949350403366</v>
      </c>
      <c r="EB9" s="547">
        <f>'Hilfstabellen_Mat&amp;Bem'!$J$64</f>
        <v>4.0999999999999996</v>
      </c>
      <c r="EC9" s="546">
        <f t="shared" ref="EC9:EC72" si="51">$C9</f>
        <v>61</v>
      </c>
      <c r="ED9" s="551">
        <f t="shared" ref="ED9:ED72" si="52">EB$8*10^3/EC9*SQRT(12)</f>
        <v>232.83305937811136</v>
      </c>
      <c r="EE9" s="553">
        <f>ED9/PI()*SQRT('Hilfstabellen_Mat&amp;Bem'!f.Rd.3/'Hilfstabellen_Mat&amp;Bem'!$BD$30)</f>
        <v>3.7056532315235202</v>
      </c>
      <c r="EF9" s="553">
        <f>0.5*(1+'Hilfstabellen_Mat&amp;Bem'!$BD$31*(EE9-0.3)+EE9^2)</f>
        <v>7.5362155977265308</v>
      </c>
      <c r="EG9" s="550">
        <f t="shared" ref="EG9:EG72" si="53">MIN(1/(EF9+SQRT(EF9^2-EE9^2)),1)</f>
        <v>7.0929875324734562E-2</v>
      </c>
      <c r="EI9" s="551">
        <f t="shared" ref="EI9:EI72" si="54">EC9^2*EG9</f>
        <v>263.93006608333729</v>
      </c>
      <c r="EL9" s="547">
        <f>'Hilfstabellen_Mat&amp;Bem'!$J$65</f>
        <v>4.2</v>
      </c>
      <c r="EM9" s="546">
        <f t="shared" ref="EM9:EM72" si="55">$C9</f>
        <v>61</v>
      </c>
      <c r="EN9" s="551">
        <f t="shared" ref="EN9:EN72" si="56">EL$8*10^3/EM9*SQRT(12)</f>
        <v>238.51191448489456</v>
      </c>
      <c r="EO9" s="553">
        <f>EN9/PI()*SQRT('Hilfstabellen_Mat&amp;Bem'!f.Rd.3/'Hilfstabellen_Mat&amp;Bem'!$BD$30)</f>
        <v>3.7960350176582405</v>
      </c>
      <c r="EP9" s="553">
        <f>0.5*(1+'Hilfstabellen_Mat&amp;Bem'!$BD$31*(EO9-0.3)+EO9^2)</f>
        <v>7.8797426785267106</v>
      </c>
      <c r="EQ9" s="550">
        <f t="shared" ref="EQ9:EQ72" si="57">MIN(1/(EP9+SQRT(EP9^2-EO9^2)),1)</f>
        <v>6.7636818564042259E-2</v>
      </c>
      <c r="ES9" s="551">
        <f t="shared" ref="ES9:ES72" si="58">EM9^2*EQ9</f>
        <v>251.67660187680124</v>
      </c>
    </row>
    <row r="10" spans="1:149">
      <c r="A10" s="547"/>
      <c r="C10" s="546">
        <v>62</v>
      </c>
      <c r="D10" s="551">
        <f t="shared" si="8"/>
        <v>156.44329874815665</v>
      </c>
      <c r="E10" s="553">
        <f>$D10/PI()*SQRT('Hilfstabellen_Mat&amp;Bem'!f.Rd.3/'Hilfstabellen_Mat&amp;Bem'!$BD$30)</f>
        <v>2.4898724309371256</v>
      </c>
      <c r="F10" s="553">
        <f>0.5*(1+'Hilfstabellen_Mat&amp;Bem'!$BD$31*($E10-0.3)+$E10^2)</f>
        <v>3.709225982717232</v>
      </c>
      <c r="G10" s="550">
        <f t="shared" si="9"/>
        <v>0.1548330351717187</v>
      </c>
      <c r="I10" s="551">
        <f t="shared" si="10"/>
        <v>595.17818720008665</v>
      </c>
      <c r="M10" s="546">
        <f t="shared" si="11"/>
        <v>62</v>
      </c>
      <c r="N10" s="551">
        <f t="shared" si="0"/>
        <v>162.03055941773368</v>
      </c>
      <c r="O10" s="553">
        <f>$N10/PI()*SQRT('Hilfstabellen_Mat&amp;Bem'!f.Rd.3/'Hilfstabellen_Mat&amp;Bem'!$BD$30)</f>
        <v>2.5787964463277375</v>
      </c>
      <c r="P10" s="553">
        <f>0.5*(1+'Hilfstabellen_Mat&amp;Bem'!$BD$31*($O10-0.3)+$O10^2)</f>
        <v>3.9390353781126706</v>
      </c>
      <c r="Q10" s="550">
        <f t="shared" si="1"/>
        <v>0.14457999630610729</v>
      </c>
      <c r="S10" s="551">
        <f t="shared" si="12"/>
        <v>555.76550580067646</v>
      </c>
      <c r="W10" s="546">
        <f t="shared" si="13"/>
        <v>62</v>
      </c>
      <c r="X10" s="551">
        <f t="shared" si="2"/>
        <v>167.61782008731072</v>
      </c>
      <c r="Y10" s="553">
        <f>$X10/PI()*SQRT('Hilfstabellen_Mat&amp;Bem'!f.Rd.3/'Hilfstabellen_Mat&amp;Bem'!$BD$30)</f>
        <v>2.667720461718349</v>
      </c>
      <c r="Z10" s="553">
        <f>0.5*(1+'Hilfstabellen_Mat&amp;Bem'!$BD$31*($Y10-0.3)+$Y10^2)</f>
        <v>4.1767522540212978</v>
      </c>
      <c r="AA10" s="550">
        <f t="shared" si="3"/>
        <v>0.13530783877920946</v>
      </c>
      <c r="AC10" s="551">
        <f t="shared" si="14"/>
        <v>520.12333226728117</v>
      </c>
      <c r="AG10" s="546">
        <f t="shared" si="15"/>
        <v>62</v>
      </c>
      <c r="AH10" s="551">
        <f t="shared" si="4"/>
        <v>173.20508075688772</v>
      </c>
      <c r="AI10" s="553">
        <f>$AH10/PI()*SQRT('Hilfstabellen_Mat&amp;Bem'!f.Rd.3/'Hilfstabellen_Mat&amp;Bem'!$BD$30)</f>
        <v>2.7566444771089604</v>
      </c>
      <c r="AJ10" s="553">
        <f>0.5*(1+'Hilfstabellen_Mat&amp;Bem'!$BD$31*($AI10-0.3)+$AI10^2)</f>
        <v>4.4223766104431146</v>
      </c>
      <c r="AK10" s="550">
        <f t="shared" si="5"/>
        <v>0.12689617969031575</v>
      </c>
      <c r="AM10" s="551">
        <f t="shared" si="16"/>
        <v>487.78891472957372</v>
      </c>
      <c r="AQ10" s="546">
        <f t="shared" si="17"/>
        <v>62</v>
      </c>
      <c r="AR10" s="551">
        <f t="shared" si="6"/>
        <v>178.79234142646473</v>
      </c>
      <c r="AS10" s="553">
        <f>$AR10/PI()*SQRT('Hilfstabellen_Mat&amp;Bem'!f.Rd.3/'Hilfstabellen_Mat&amp;Bem'!$BD$30)</f>
        <v>2.8455684924995719</v>
      </c>
      <c r="AT10" s="553">
        <f>0.5*(1+'Hilfstabellen_Mat&amp;Bem'!$BD$31*($AS10-0.3)+$AS10^2)</f>
        <v>4.6759084473781209</v>
      </c>
      <c r="AU10" s="550">
        <f t="shared" si="7"/>
        <v>0.11924237642267732</v>
      </c>
      <c r="AW10" s="551">
        <f t="shared" si="18"/>
        <v>458.36769496877162</v>
      </c>
      <c r="AZ10" s="547">
        <f>'Hilfstabellen_Mat&amp;Bem'!$J$56</f>
        <v>3.3</v>
      </c>
      <c r="BA10" s="546">
        <f t="shared" si="19"/>
        <v>62</v>
      </c>
      <c r="BB10" s="551">
        <f t="shared" si="20"/>
        <v>184.37960209604176</v>
      </c>
      <c r="BC10" s="553">
        <f>BB10/PI()*SQRT('Hilfstabellen_Mat&amp;Bem'!f.Rd.3/'Hilfstabellen_Mat&amp;Bem'!$BD$30)</f>
        <v>2.9344925078901838</v>
      </c>
      <c r="BD10" s="553">
        <f>0.5*(1+'Hilfstabellen_Mat&amp;Bem'!$BD$31*(BC10-0.3)+BC10^2)</f>
        <v>4.9373477648263187</v>
      </c>
      <c r="BE10" s="550">
        <f t="shared" si="21"/>
        <v>0.11225852093277319</v>
      </c>
      <c r="BG10" s="551">
        <f t="shared" si="22"/>
        <v>431.52175446558016</v>
      </c>
      <c r="BJ10" s="547">
        <f>'Hilfstabellen_Mat&amp;Bem'!$J$57</f>
        <v>3.4</v>
      </c>
      <c r="BK10" s="546">
        <f t="shared" si="23"/>
        <v>62</v>
      </c>
      <c r="BL10" s="551">
        <f t="shared" si="24"/>
        <v>189.96686276561877</v>
      </c>
      <c r="BM10" s="553">
        <f>BL10/PI()*SQRT('Hilfstabellen_Mat&amp;Bem'!f.Rd.3/'Hilfstabellen_Mat&amp;Bem'!$BD$30)</f>
        <v>3.0234165232807948</v>
      </c>
      <c r="BN10" s="553">
        <f>0.5*(1+'Hilfstabellen_Mat&amp;Bem'!$BD$31*(BM10-0.3)+BM10^2)</f>
        <v>5.2066945627877033</v>
      </c>
      <c r="BO10" s="550">
        <f t="shared" si="25"/>
        <v>0.10586900091685081</v>
      </c>
      <c r="BQ10" s="551">
        <f t="shared" si="26"/>
        <v>406.96043952437452</v>
      </c>
      <c r="BT10" s="547">
        <f>'Hilfstabellen_Mat&amp;Bem'!$J$58</f>
        <v>3.5</v>
      </c>
      <c r="BU10" s="546">
        <f t="shared" si="27"/>
        <v>62</v>
      </c>
      <c r="BV10" s="551">
        <f t="shared" si="28"/>
        <v>195.55412343519581</v>
      </c>
      <c r="BW10" s="553">
        <f>BV10/PI()*SQRT('Hilfstabellen_Mat&amp;Bem'!f.Rd.3/'Hilfstabellen_Mat&amp;Bem'!$BD$30)</f>
        <v>3.1123405386714067</v>
      </c>
      <c r="BX10" s="553">
        <f>0.5*(1+'Hilfstabellen_Mat&amp;Bem'!$BD$31*(BW10-0.3)+BW10^2)</f>
        <v>5.4839488412622819</v>
      </c>
      <c r="BY10" s="550">
        <f t="shared" si="29"/>
        <v>0.10000851206279285</v>
      </c>
      <c r="CA10" s="551">
        <f t="shared" si="30"/>
        <v>384.43272036937572</v>
      </c>
      <c r="CD10" s="547">
        <f>'Hilfstabellen_Mat&amp;Bem'!$J$59</f>
        <v>3.6</v>
      </c>
      <c r="CE10" s="546">
        <f t="shared" si="31"/>
        <v>62</v>
      </c>
      <c r="CF10" s="551">
        <f t="shared" si="32"/>
        <v>201.14138410477284</v>
      </c>
      <c r="CG10" s="553">
        <f>CF10/PI()*SQRT('Hilfstabellen_Mat&amp;Bem'!f.Rd.3/'Hilfstabellen_Mat&amp;Bem'!$BD$30)</f>
        <v>3.2012645540620186</v>
      </c>
      <c r="CH10" s="553">
        <f>0.5*(1+'Hilfstabellen_Mat&amp;Bem'!$BD$31*(CG10-0.3)+CG10^2)</f>
        <v>5.7691106002500483</v>
      </c>
      <c r="CI10" s="550">
        <f t="shared" si="33"/>
        <v>9.4620430516152862E-2</v>
      </c>
      <c r="CK10" s="551">
        <f t="shared" si="34"/>
        <v>363.72093490409162</v>
      </c>
      <c r="CN10" s="547">
        <f>'Hilfstabellen_Mat&amp;Bem'!$J$60</f>
        <v>3.7</v>
      </c>
      <c r="CO10" s="546">
        <f t="shared" si="35"/>
        <v>62</v>
      </c>
      <c r="CP10" s="551">
        <f t="shared" si="36"/>
        <v>206.72864477434987</v>
      </c>
      <c r="CQ10" s="553">
        <f>CP10/PI()*SQRT('Hilfstabellen_Mat&amp;Bem'!f.Rd.3/'Hilfstabellen_Mat&amp;Bem'!$BD$30)</f>
        <v>3.2901885694526301</v>
      </c>
      <c r="CR10" s="553">
        <f>0.5*(1+'Hilfstabellen_Mat&amp;Bem'!$BD$31*(CQ10-0.3)+CQ10^2)</f>
        <v>6.0621798397510034</v>
      </c>
      <c r="CS10" s="550">
        <f t="shared" si="37"/>
        <v>8.9655474152363315E-2</v>
      </c>
      <c r="CU10" s="551">
        <f t="shared" si="38"/>
        <v>344.63564264168457</v>
      </c>
      <c r="CX10" s="547">
        <f>'Hilfstabellen_Mat&amp;Bem'!$J$61</f>
        <v>3.8</v>
      </c>
      <c r="CY10" s="546">
        <f t="shared" si="39"/>
        <v>62</v>
      </c>
      <c r="CZ10" s="551">
        <f t="shared" si="40"/>
        <v>212.31590544392688</v>
      </c>
      <c r="DA10" s="553">
        <f>CZ10/PI()*SQRT('Hilfstabellen_Mat&amp;Bem'!f.Rd.3/'Hilfstabellen_Mat&amp;Bem'!$BD$30)</f>
        <v>3.3791125848432415</v>
      </c>
      <c r="DB10" s="553">
        <f>0.5*(1+'Hilfstabellen_Mat&amp;Bem'!$BD$31*(DA10-0.3)+DA10^2)</f>
        <v>6.3631565597651489</v>
      </c>
      <c r="DC10" s="550">
        <f t="shared" si="41"/>
        <v>8.5070596397511591E-2</v>
      </c>
      <c r="DE10" s="551">
        <f t="shared" si="42"/>
        <v>327.01137255203457</v>
      </c>
      <c r="DH10" s="547">
        <f>'Hilfstabellen_Mat&amp;Bem'!$J$62</f>
        <v>3.9</v>
      </c>
      <c r="DI10" s="546">
        <f t="shared" si="43"/>
        <v>62</v>
      </c>
      <c r="DJ10" s="551">
        <f t="shared" si="44"/>
        <v>217.90316611350391</v>
      </c>
      <c r="DK10" s="553">
        <f>DJ10/PI()*SQRT('Hilfstabellen_Mat&amp;Bem'!f.Rd.3/'Hilfstabellen_Mat&amp;Bem'!$BD$30)</f>
        <v>3.4680366002338534</v>
      </c>
      <c r="DL10" s="553">
        <f>0.5*(1+'Hilfstabellen_Mat&amp;Bem'!$BD$31*(DK10-0.3)+DK10^2)</f>
        <v>6.6720407602924849</v>
      </c>
      <c r="DM10" s="550">
        <f t="shared" si="45"/>
        <v>8.0828068127690611E-2</v>
      </c>
      <c r="DO10" s="551">
        <f t="shared" si="46"/>
        <v>310.70309388284272</v>
      </c>
      <c r="DR10" s="547">
        <f>'Hilfstabellen_Mat&amp;Bem'!$J$63</f>
        <v>4</v>
      </c>
      <c r="DS10" s="546">
        <f t="shared" si="47"/>
        <v>62</v>
      </c>
      <c r="DT10" s="551">
        <f t="shared" si="48"/>
        <v>223.49042678308092</v>
      </c>
      <c r="DU10" s="553">
        <f>DT10/PI()*SQRT('Hilfstabellen_Mat&amp;Bem'!f.Rd.3/'Hilfstabellen_Mat&amp;Bem'!$BD$30)</f>
        <v>3.5569606156244649</v>
      </c>
      <c r="DV10" s="553">
        <f>0.5*(1+'Hilfstabellen_Mat&amp;Bem'!$BD$31*(DU10-0.3)+DU10^2)</f>
        <v>6.9888324413330096</v>
      </c>
      <c r="DW10" s="550">
        <f t="shared" si="49"/>
        <v>7.689471236016214E-2</v>
      </c>
      <c r="DY10" s="551">
        <f t="shared" si="50"/>
        <v>295.58327431246329</v>
      </c>
      <c r="EB10" s="547">
        <f>'Hilfstabellen_Mat&amp;Bem'!$J$64</f>
        <v>4.0999999999999996</v>
      </c>
      <c r="EC10" s="546">
        <f t="shared" si="51"/>
        <v>62</v>
      </c>
      <c r="ED10" s="551">
        <f t="shared" si="52"/>
        <v>229.07768745265793</v>
      </c>
      <c r="EE10" s="553">
        <f>ED10/PI()*SQRT('Hilfstabellen_Mat&amp;Bem'!f.Rd.3/'Hilfstabellen_Mat&amp;Bem'!$BD$30)</f>
        <v>3.6458846310150763</v>
      </c>
      <c r="EF10" s="553">
        <f>0.5*(1+'Hilfstabellen_Mat&amp;Bem'!$BD$31*(EE10-0.3)+EE10^2)</f>
        <v>7.313531602886723</v>
      </c>
      <c r="EG10" s="550">
        <f t="shared" si="53"/>
        <v>7.3241263621370248E-2</v>
      </c>
      <c r="EI10" s="551">
        <f t="shared" si="54"/>
        <v>281.53941736054725</v>
      </c>
      <c r="EL10" s="547">
        <f>'Hilfstabellen_Mat&amp;Bem'!$J$65</f>
        <v>4.2</v>
      </c>
      <c r="EM10" s="546">
        <f t="shared" si="55"/>
        <v>62</v>
      </c>
      <c r="EN10" s="551">
        <f t="shared" si="56"/>
        <v>234.66494812223496</v>
      </c>
      <c r="EO10" s="553">
        <f>EN10/PI()*SQRT('Hilfstabellen_Mat&amp;Bem'!f.Rd.3/'Hilfstabellen_Mat&amp;Bem'!$BD$30)</f>
        <v>3.7348086464056878</v>
      </c>
      <c r="EP10" s="553">
        <f>0.5*(1+'Hilfstabellen_Mat&amp;Bem'!$BD$31*(EO10-0.3)+EO10^2)</f>
        <v>7.6461382449536268</v>
      </c>
      <c r="EQ10" s="550">
        <f t="shared" si="57"/>
        <v>6.9841829495618665E-2</v>
      </c>
      <c r="ES10" s="551">
        <f t="shared" si="58"/>
        <v>268.47199258115813</v>
      </c>
    </row>
    <row r="11" spans="1:149">
      <c r="A11" s="547"/>
      <c r="C11" s="546">
        <v>63</v>
      </c>
      <c r="D11" s="551">
        <f t="shared" si="8"/>
        <v>153.96007178390019</v>
      </c>
      <c r="E11" s="553">
        <f>$D11/PI()*SQRT('Hilfstabellen_Mat&amp;Bem'!f.Rd.3/'Hilfstabellen_Mat&amp;Bem'!$BD$30)</f>
        <v>2.4503506463190758</v>
      </c>
      <c r="F11" s="553">
        <f>0.5*(1+'Hilfstabellen_Mat&amp;Bem'!$BD$31*($E11-0.3)+$E11^2)</f>
        <v>3.6096266772741101</v>
      </c>
      <c r="G11" s="550">
        <f t="shared" si="9"/>
        <v>0.15974100212602155</v>
      </c>
      <c r="I11" s="551">
        <f t="shared" si="10"/>
        <v>634.0120374381795</v>
      </c>
      <c r="M11" s="546">
        <f t="shared" si="11"/>
        <v>63</v>
      </c>
      <c r="N11" s="551">
        <f t="shared" si="0"/>
        <v>159.45864577618235</v>
      </c>
      <c r="O11" s="553">
        <f>$N11/PI()*SQRT('Hilfstabellen_Mat&amp;Bem'!f.Rd.3/'Hilfstabellen_Mat&amp;Bem'!$BD$30)</f>
        <v>2.5378631694019003</v>
      </c>
      <c r="P11" s="553">
        <f>0.5*(1+'Hilfstabellen_Mat&amp;Bem'!$BD$31*($O11-0.3)+$O11^2)</f>
        <v>3.8322678917734243</v>
      </c>
      <c r="Q11" s="550">
        <f t="shared" si="1"/>
        <v>0.14916978244523013</v>
      </c>
      <c r="S11" s="551">
        <f t="shared" si="12"/>
        <v>592.05486652511843</v>
      </c>
      <c r="W11" s="546">
        <f t="shared" si="13"/>
        <v>63</v>
      </c>
      <c r="X11" s="551">
        <f t="shared" si="2"/>
        <v>164.95721976846451</v>
      </c>
      <c r="Y11" s="553">
        <f>$X11/PI()*SQRT('Hilfstabellen_Mat&amp;Bem'!f.Rd.3/'Hilfstabellen_Mat&amp;Bem'!$BD$30)</f>
        <v>2.6253756924847242</v>
      </c>
      <c r="Z11" s="553">
        <f>0.5*(1+'Hilfstabellen_Mat&amp;Bem'!$BD$31*($Y11-0.3)+$Y11^2)</f>
        <v>4.0625675479690591</v>
      </c>
      <c r="AA11" s="550">
        <f t="shared" si="3"/>
        <v>0.13960889970069371</v>
      </c>
      <c r="AC11" s="551">
        <f t="shared" si="14"/>
        <v>554.1077229120533</v>
      </c>
      <c r="AG11" s="546">
        <f t="shared" si="15"/>
        <v>63</v>
      </c>
      <c r="AH11" s="551">
        <f t="shared" si="4"/>
        <v>170.45579376074664</v>
      </c>
      <c r="AI11" s="553">
        <f>$AH11/PI()*SQRT('Hilfstabellen_Mat&amp;Bem'!f.Rd.3/'Hilfstabellen_Mat&amp;Bem'!$BD$30)</f>
        <v>2.7128882155675482</v>
      </c>
      <c r="AJ11" s="553">
        <f>0.5*(1+'Hilfstabellen_Mat&amp;Bem'!$BD$31*($AI11-0.3)+$AI11^2)</f>
        <v>4.3005256458610157</v>
      </c>
      <c r="AK11" s="550">
        <f t="shared" si="5"/>
        <v>0.13093453957081208</v>
      </c>
      <c r="AM11" s="551">
        <f t="shared" si="16"/>
        <v>519.67918755655319</v>
      </c>
      <c r="AQ11" s="546">
        <f t="shared" si="17"/>
        <v>63</v>
      </c>
      <c r="AR11" s="551">
        <f t="shared" si="6"/>
        <v>175.95436775302878</v>
      </c>
      <c r="AS11" s="553">
        <f>$AR11/PI()*SQRT('Hilfstabellen_Mat&amp;Bem'!f.Rd.3/'Hilfstabellen_Mat&amp;Bem'!$BD$30)</f>
        <v>2.8004007386503722</v>
      </c>
      <c r="AT11" s="553">
        <f>0.5*(1+'Hilfstabellen_Mat&amp;Bem'!$BD$31*($AS11-0.3)+$AS11^2)</f>
        <v>4.5461421854492938</v>
      </c>
      <c r="AU11" s="550">
        <f t="shared" si="7"/>
        <v>0.12304109253105015</v>
      </c>
      <c r="AW11" s="551">
        <f t="shared" si="18"/>
        <v>488.35009625573804</v>
      </c>
      <c r="AZ11" s="547">
        <f>'Hilfstabellen_Mat&amp;Bem'!$J$56</f>
        <v>3.3</v>
      </c>
      <c r="BA11" s="546">
        <f t="shared" si="19"/>
        <v>63</v>
      </c>
      <c r="BB11" s="551">
        <f t="shared" si="20"/>
        <v>181.45294174531094</v>
      </c>
      <c r="BC11" s="553">
        <f>BB11/PI()*SQRT('Hilfstabellen_Mat&amp;Bem'!f.Rd.3/'Hilfstabellen_Mat&amp;Bem'!$BD$30)</f>
        <v>2.8879132617331962</v>
      </c>
      <c r="BD11" s="553">
        <f>0.5*(1+'Hilfstabellen_Mat&amp;Bem'!$BD$31*(BC11-0.3)+BC11^2)</f>
        <v>4.7994171667338943</v>
      </c>
      <c r="BE11" s="550">
        <f t="shared" si="21"/>
        <v>0.11583808007225406</v>
      </c>
      <c r="BG11" s="551">
        <f t="shared" si="22"/>
        <v>459.76133980677639</v>
      </c>
      <c r="BJ11" s="547">
        <f>'Hilfstabellen_Mat&amp;Bem'!$J$57</f>
        <v>3.4</v>
      </c>
      <c r="BK11" s="546">
        <f t="shared" si="23"/>
        <v>63</v>
      </c>
      <c r="BL11" s="551">
        <f t="shared" si="24"/>
        <v>186.9515157375931</v>
      </c>
      <c r="BM11" s="553">
        <f>BL11/PI()*SQRT('Hilfstabellen_Mat&amp;Bem'!f.Rd.3/'Hilfstabellen_Mat&amp;Bem'!$BD$30)</f>
        <v>2.9754257848160206</v>
      </c>
      <c r="BN11" s="553">
        <f>0.5*(1+'Hilfstabellen_Mat&amp;Bem'!$BD$31*(BM11-0.3)+BM11^2)</f>
        <v>5.0603505897148171</v>
      </c>
      <c r="BO11" s="550">
        <f t="shared" si="25"/>
        <v>0.10924765754580003</v>
      </c>
      <c r="BQ11" s="551">
        <f t="shared" si="26"/>
        <v>433.60395279928031</v>
      </c>
      <c r="BT11" s="547">
        <f>'Hilfstabellen_Mat&amp;Bem'!$J$58</f>
        <v>3.5</v>
      </c>
      <c r="BU11" s="546">
        <f t="shared" si="27"/>
        <v>63</v>
      </c>
      <c r="BV11" s="551">
        <f t="shared" si="28"/>
        <v>192.45008972987526</v>
      </c>
      <c r="BW11" s="553">
        <f>BV11/PI()*SQRT('Hilfstabellen_Mat&amp;Bem'!f.Rd.3/'Hilfstabellen_Mat&amp;Bem'!$BD$30)</f>
        <v>3.062938307898845</v>
      </c>
      <c r="BX11" s="553">
        <f>0.5*(1+'Hilfstabellen_Mat&amp;Bem'!$BD$31*(BW11-0.3)+BW11^2)</f>
        <v>5.3289424543920623</v>
      </c>
      <c r="BY11" s="550">
        <f t="shared" si="29"/>
        <v>0.10320257684745876</v>
      </c>
      <c r="CA11" s="551">
        <f t="shared" si="30"/>
        <v>409.61102750756385</v>
      </c>
      <c r="CD11" s="547">
        <f>'Hilfstabellen_Mat&amp;Bem'!$J$59</f>
        <v>3.6</v>
      </c>
      <c r="CE11" s="546">
        <f t="shared" si="31"/>
        <v>63</v>
      </c>
      <c r="CF11" s="551">
        <f t="shared" si="32"/>
        <v>197.94866372215739</v>
      </c>
      <c r="CG11" s="553">
        <f>CF11/PI()*SQRT('Hilfstabellen_Mat&amp;Bem'!f.Rd.3/'Hilfstabellen_Mat&amp;Bem'!$BD$30)</f>
        <v>3.150450830981669</v>
      </c>
      <c r="CH11" s="553">
        <f>0.5*(1+'Hilfstabellen_Mat&amp;Bem'!$BD$31*(CG11-0.3)+CG11^2)</f>
        <v>5.605192760765628</v>
      </c>
      <c r="CI11" s="550">
        <f t="shared" si="33"/>
        <v>9.7644516933586098E-2</v>
      </c>
      <c r="CK11" s="551">
        <f t="shared" si="34"/>
        <v>387.55108770940325</v>
      </c>
      <c r="CN11" s="547">
        <f>'Hilfstabellen_Mat&amp;Bem'!$J$60</f>
        <v>3.7</v>
      </c>
      <c r="CO11" s="546">
        <f t="shared" si="35"/>
        <v>63</v>
      </c>
      <c r="CP11" s="551">
        <f t="shared" si="36"/>
        <v>203.44723771443952</v>
      </c>
      <c r="CQ11" s="553">
        <f>CP11/PI()*SQRT('Hilfstabellen_Mat&amp;Bem'!f.Rd.3/'Hilfstabellen_Mat&amp;Bem'!$BD$30)</f>
        <v>3.2379633540644925</v>
      </c>
      <c r="CR11" s="553">
        <f>0.5*(1+'Hilfstabellen_Mat&amp;Bem'!$BD$31*(CQ11-0.3)+CQ11^2)</f>
        <v>5.8891015088355143</v>
      </c>
      <c r="CS11" s="550">
        <f t="shared" si="37"/>
        <v>9.2522709656368024E-2</v>
      </c>
      <c r="CU11" s="551">
        <f t="shared" si="38"/>
        <v>367.22263462612466</v>
      </c>
      <c r="CX11" s="547">
        <f>'Hilfstabellen_Mat&amp;Bem'!$J$61</f>
        <v>3.8</v>
      </c>
      <c r="CY11" s="546">
        <f t="shared" si="39"/>
        <v>63</v>
      </c>
      <c r="CZ11" s="551">
        <f t="shared" si="40"/>
        <v>208.94581170672168</v>
      </c>
      <c r="DA11" s="553">
        <f>CZ11/PI()*SQRT('Hilfstabellen_Mat&amp;Bem'!f.Rd.3/'Hilfstabellen_Mat&amp;Bem'!$BD$30)</f>
        <v>3.3254758771473174</v>
      </c>
      <c r="DB11" s="553">
        <f>0.5*(1+'Hilfstabellen_Mat&amp;Bem'!$BD$31*(DA11-0.3)+DA11^2)</f>
        <v>6.1806686986017265</v>
      </c>
      <c r="DC11" s="550">
        <f t="shared" si="41"/>
        <v>8.7792803657916779E-2</v>
      </c>
      <c r="DE11" s="551">
        <f t="shared" si="42"/>
        <v>348.44963771827167</v>
      </c>
      <c r="DH11" s="547">
        <f>'Hilfstabellen_Mat&amp;Bem'!$J$62</f>
        <v>3.9</v>
      </c>
      <c r="DI11" s="546">
        <f t="shared" si="43"/>
        <v>63</v>
      </c>
      <c r="DJ11" s="551">
        <f t="shared" si="44"/>
        <v>214.44438569900385</v>
      </c>
      <c r="DK11" s="553">
        <f>DJ11/PI()*SQRT('Hilfstabellen_Mat&amp;Bem'!f.Rd.3/'Hilfstabellen_Mat&amp;Bem'!$BD$30)</f>
        <v>3.4129884002301409</v>
      </c>
      <c r="DL11" s="553">
        <f>0.5*(1+'Hilfstabellen_Mat&amp;Bem'!$BD$31*(DK11-0.3)+DK11^2)</f>
        <v>6.4798943300642549</v>
      </c>
      <c r="DM11" s="550">
        <f t="shared" si="45"/>
        <v>8.3415920977392699E-2</v>
      </c>
      <c r="DO11" s="551">
        <f t="shared" si="46"/>
        <v>331.0777903592716</v>
      </c>
      <c r="DR11" s="547">
        <f>'Hilfstabellen_Mat&amp;Bem'!$J$63</f>
        <v>4</v>
      </c>
      <c r="DS11" s="546">
        <f t="shared" si="47"/>
        <v>63</v>
      </c>
      <c r="DT11" s="551">
        <f t="shared" si="48"/>
        <v>219.94295969128601</v>
      </c>
      <c r="DU11" s="553">
        <f>DT11/PI()*SQRT('Hilfstabellen_Mat&amp;Bem'!f.Rd.3/'Hilfstabellen_Mat&amp;Bem'!$BD$30)</f>
        <v>3.5005009233129658</v>
      </c>
      <c r="DV11" s="553">
        <f>0.5*(1+'Hilfstabellen_Mat&amp;Bem'!$BD$31*(DU11-0.3)+DU11^2)</f>
        <v>6.7867784032231118</v>
      </c>
      <c r="DW11" s="550">
        <f t="shared" si="49"/>
        <v>7.935787033572457E-2</v>
      </c>
      <c r="DY11" s="551">
        <f t="shared" si="50"/>
        <v>314.97138736249082</v>
      </c>
      <c r="EB11" s="547">
        <f>'Hilfstabellen_Mat&amp;Bem'!$J$64</f>
        <v>4.0999999999999996</v>
      </c>
      <c r="EC11" s="546">
        <f t="shared" si="51"/>
        <v>63</v>
      </c>
      <c r="ED11" s="551">
        <f t="shared" si="52"/>
        <v>225.44153368356814</v>
      </c>
      <c r="EE11" s="553">
        <f>ED11/PI()*SQRT('Hilfstabellen_Mat&amp;Bem'!f.Rd.3/'Hilfstabellen_Mat&amp;Bem'!$BD$30)</f>
        <v>3.5880134463957898</v>
      </c>
      <c r="EF11" s="553">
        <f>0.5*(1+'Hilfstabellen_Mat&amp;Bem'!$BD$31*(EE11-0.3)+EE11^2)</f>
        <v>7.1013209180782866</v>
      </c>
      <c r="EG11" s="550">
        <f t="shared" si="53"/>
        <v>7.5588488351241004E-2</v>
      </c>
      <c r="EI11" s="551">
        <f t="shared" si="54"/>
        <v>300.01071026607553</v>
      </c>
      <c r="EL11" s="547">
        <f>'Hilfstabellen_Mat&amp;Bem'!$J$65</f>
        <v>4.2</v>
      </c>
      <c r="EM11" s="546">
        <f t="shared" si="55"/>
        <v>63</v>
      </c>
      <c r="EN11" s="551">
        <f t="shared" si="56"/>
        <v>230.9401076758503</v>
      </c>
      <c r="EO11" s="553">
        <f>EN11/PI()*SQRT('Hilfstabellen_Mat&amp;Bem'!f.Rd.3/'Hilfstabellen_Mat&amp;Bem'!$BD$30)</f>
        <v>3.6755259694786142</v>
      </c>
      <c r="EP11" s="553">
        <f>0.5*(1+'Hilfstabellen_Mat&amp;Bem'!$BD$31*(EO11-0.3)+EO11^2)</f>
        <v>7.4235218746297846</v>
      </c>
      <c r="EQ11" s="550">
        <f t="shared" si="57"/>
        <v>7.2081085661061473E-2</v>
      </c>
      <c r="ES11" s="551">
        <f t="shared" si="58"/>
        <v>286.08982898875297</v>
      </c>
    </row>
    <row r="12" spans="1:149">
      <c r="A12" s="547"/>
      <c r="C12" s="546">
        <v>64</v>
      </c>
      <c r="D12" s="551">
        <f t="shared" si="8"/>
        <v>151.55444566227675</v>
      </c>
      <c r="E12" s="553">
        <f>$D12/PI()*SQRT('Hilfstabellen_Mat&amp;Bem'!f.Rd.3/'Hilfstabellen_Mat&amp;Bem'!$BD$30)</f>
        <v>2.41206391747034</v>
      </c>
      <c r="F12" s="553">
        <f>0.5*(1+'Hilfstabellen_Mat&amp;Bem'!$BD$31*($E12-0.3)+$E12^2)</f>
        <v>3.5146293668546988</v>
      </c>
      <c r="G12" s="550">
        <f t="shared" si="9"/>
        <v>0.16471996958318572</v>
      </c>
      <c r="I12" s="551">
        <f t="shared" si="10"/>
        <v>674.69299541272869</v>
      </c>
      <c r="M12" s="546">
        <f t="shared" si="11"/>
        <v>64</v>
      </c>
      <c r="N12" s="551">
        <f t="shared" si="0"/>
        <v>156.96710443592949</v>
      </c>
      <c r="O12" s="553">
        <f>$N12/PI()*SQRT('Hilfstabellen_Mat&amp;Bem'!f.Rd.3/'Hilfstabellen_Mat&amp;Bem'!$BD$30)</f>
        <v>2.4982090573799951</v>
      </c>
      <c r="P12" s="553">
        <f>0.5*(1+'Hilfstabellen_Mat&amp;Bem'!$BD$31*($O12-0.3)+$O12^2)</f>
        <v>3.7304347000567217</v>
      </c>
      <c r="Q12" s="550">
        <f t="shared" si="1"/>
        <v>0.15382649242639287</v>
      </c>
      <c r="S12" s="551">
        <f t="shared" si="12"/>
        <v>630.07331297850521</v>
      </c>
      <c r="W12" s="546">
        <f t="shared" si="13"/>
        <v>64</v>
      </c>
      <c r="X12" s="551">
        <f t="shared" si="2"/>
        <v>162.37976320958225</v>
      </c>
      <c r="Y12" s="553">
        <f>$X12/PI()*SQRT('Hilfstabellen_Mat&amp;Bem'!f.Rd.3/'Hilfstabellen_Mat&amp;Bem'!$BD$30)</f>
        <v>2.5843541972896507</v>
      </c>
      <c r="Z12" s="553">
        <f>0.5*(1+'Hilfstabellen_Mat&amp;Bem'!$BD$31*($Y12-0.3)+$Y12^2)</f>
        <v>3.9536610183888001</v>
      </c>
      <c r="AA12" s="550">
        <f t="shared" si="3"/>
        <v>0.14397309811509865</v>
      </c>
      <c r="AC12" s="551">
        <f t="shared" si="14"/>
        <v>589.71380987944406</v>
      </c>
      <c r="AG12" s="546">
        <f t="shared" si="15"/>
        <v>64</v>
      </c>
      <c r="AH12" s="551">
        <f t="shared" si="4"/>
        <v>167.79242198323499</v>
      </c>
      <c r="AI12" s="553">
        <f>$AH12/PI()*SQRT('Hilfstabellen_Mat&amp;Bem'!f.Rd.3/'Hilfstabellen_Mat&amp;Bem'!$BD$30)</f>
        <v>2.6704993371993058</v>
      </c>
      <c r="AJ12" s="553">
        <f>0.5*(1+'Hilfstabellen_Mat&amp;Bem'!$BD$31*($AI12-0.3)+$AI12^2)</f>
        <v>4.1843083218509314</v>
      </c>
      <c r="AK12" s="550">
        <f t="shared" si="5"/>
        <v>0.13503252535910784</v>
      </c>
      <c r="AM12" s="551">
        <f t="shared" si="16"/>
        <v>553.09322387090572</v>
      </c>
      <c r="AQ12" s="546">
        <f t="shared" si="17"/>
        <v>64</v>
      </c>
      <c r="AR12" s="551">
        <f t="shared" si="6"/>
        <v>173.20508075688772</v>
      </c>
      <c r="AS12" s="553">
        <f>$AR12/PI()*SQRT('Hilfstabellen_Mat&amp;Bem'!f.Rd.3/'Hilfstabellen_Mat&amp;Bem'!$BD$30)</f>
        <v>2.7566444771089604</v>
      </c>
      <c r="AT12" s="553">
        <f>0.5*(1+'Hilfstabellen_Mat&amp;Bem'!$BD$31*($AS12-0.3)+$AS12^2)</f>
        <v>4.4223766104431146</v>
      </c>
      <c r="AU12" s="550">
        <f t="shared" si="7"/>
        <v>0.12689617969031575</v>
      </c>
      <c r="AW12" s="551">
        <f t="shared" si="18"/>
        <v>519.7667520115333</v>
      </c>
      <c r="AZ12" s="547">
        <f>'Hilfstabellen_Mat&amp;Bem'!$J$56</f>
        <v>3.3</v>
      </c>
      <c r="BA12" s="546">
        <f t="shared" si="19"/>
        <v>64</v>
      </c>
      <c r="BB12" s="551">
        <f t="shared" si="20"/>
        <v>178.61773953054046</v>
      </c>
      <c r="BC12" s="553">
        <f>BB12/PI()*SQRT('Hilfstabellen_Mat&amp;Bem'!f.Rd.3/'Hilfstabellen_Mat&amp;Bem'!$BD$30)</f>
        <v>2.8427896170186155</v>
      </c>
      <c r="BD12" s="553">
        <f>0.5*(1+'Hilfstabellen_Mat&amp;Bem'!$BD$31*(BC12-0.3)+BC12^2)</f>
        <v>4.6678658841653533</v>
      </c>
      <c r="BE12" s="550">
        <f t="shared" si="21"/>
        <v>0.11947099332787893</v>
      </c>
      <c r="BG12" s="551">
        <f t="shared" si="22"/>
        <v>489.3531886709921</v>
      </c>
      <c r="BJ12" s="547">
        <f>'Hilfstabellen_Mat&amp;Bem'!$J$57</f>
        <v>3.4</v>
      </c>
      <c r="BK12" s="546">
        <f t="shared" si="23"/>
        <v>64</v>
      </c>
      <c r="BL12" s="551">
        <f t="shared" si="24"/>
        <v>184.0303983041932</v>
      </c>
      <c r="BM12" s="553">
        <f>BL12/PI()*SQRT('Hilfstabellen_Mat&amp;Bem'!f.Rd.3/'Hilfstabellen_Mat&amp;Bem'!$BD$30)</f>
        <v>2.9289347569282702</v>
      </c>
      <c r="BN12" s="553">
        <f>0.5*(1+'Hilfstabellen_Mat&amp;Bem'!$BD$31*(BM12-0.3)+BM12^2)</f>
        <v>4.9207761430176467</v>
      </c>
      <c r="BO12" s="550">
        <f t="shared" si="25"/>
        <v>0.112676870703576</v>
      </c>
      <c r="BQ12" s="551">
        <f t="shared" si="26"/>
        <v>461.5244624018473</v>
      </c>
      <c r="BT12" s="547">
        <f>'Hilfstabellen_Mat&amp;Bem'!$J$58</f>
        <v>3.5</v>
      </c>
      <c r="BU12" s="546">
        <f t="shared" si="27"/>
        <v>64</v>
      </c>
      <c r="BV12" s="551">
        <f t="shared" si="28"/>
        <v>189.44305707784594</v>
      </c>
      <c r="BW12" s="553">
        <f>BV12/PI()*SQRT('Hilfstabellen_Mat&amp;Bem'!f.Rd.3/'Hilfstabellen_Mat&amp;Bem'!$BD$30)</f>
        <v>3.0150798968379253</v>
      </c>
      <c r="BX12" s="553">
        <f>0.5*(1+'Hilfstabellen_Mat&amp;Bem'!$BD$31*(BW12-0.3)+BW12^2)</f>
        <v>5.1811073869999937</v>
      </c>
      <c r="BY12" s="550">
        <f t="shared" si="29"/>
        <v>0.10644460214011385</v>
      </c>
      <c r="CA12" s="551">
        <f t="shared" si="30"/>
        <v>435.99709036590633</v>
      </c>
      <c r="CD12" s="547">
        <f>'Hilfstabellen_Mat&amp;Bem'!$J$59</f>
        <v>3.6</v>
      </c>
      <c r="CE12" s="546">
        <f t="shared" si="31"/>
        <v>64</v>
      </c>
      <c r="CF12" s="551">
        <f t="shared" si="32"/>
        <v>194.85571585149867</v>
      </c>
      <c r="CG12" s="553">
        <f>CF12/PI()*SQRT('Hilfstabellen_Mat&amp;Bem'!f.Rd.3/'Hilfstabellen_Mat&amp;Bem'!$BD$30)</f>
        <v>3.1012250367475804</v>
      </c>
      <c r="CH12" s="553">
        <f>0.5*(1+'Hilfstabellen_Mat&amp;Bem'!$BD$31*(CG12-0.3)+CG12^2)</f>
        <v>5.4488596161123946</v>
      </c>
      <c r="CI12" s="550">
        <f t="shared" si="33"/>
        <v>0.10071415271043072</v>
      </c>
      <c r="CK12" s="551">
        <f t="shared" si="34"/>
        <v>412.52516950192421</v>
      </c>
      <c r="CN12" s="547">
        <f>'Hilfstabellen_Mat&amp;Bem'!$J$60</f>
        <v>3.7</v>
      </c>
      <c r="CO12" s="546">
        <f t="shared" si="35"/>
        <v>64</v>
      </c>
      <c r="CP12" s="551">
        <f t="shared" si="36"/>
        <v>200.26837462515144</v>
      </c>
      <c r="CQ12" s="553">
        <f>CP12/PI()*SQRT('Hilfstabellen_Mat&amp;Bem'!f.Rd.3/'Hilfstabellen_Mat&amp;Bem'!$BD$30)</f>
        <v>3.1873701766572355</v>
      </c>
      <c r="CR12" s="553">
        <f>0.5*(1+'Hilfstabellen_Mat&amp;Bem'!$BD$31*(CQ12-0.3)+CQ12^2)</f>
        <v>5.7240328303548509</v>
      </c>
      <c r="CS12" s="550">
        <f t="shared" si="37"/>
        <v>9.5433252764396515E-2</v>
      </c>
      <c r="CU12" s="551">
        <f t="shared" si="38"/>
        <v>390.89460332296812</v>
      </c>
      <c r="CX12" s="547">
        <f>'Hilfstabellen_Mat&amp;Bem'!$J$61</f>
        <v>3.8</v>
      </c>
      <c r="CY12" s="546">
        <f t="shared" si="39"/>
        <v>64</v>
      </c>
      <c r="CZ12" s="551">
        <f t="shared" si="40"/>
        <v>205.68103339880417</v>
      </c>
      <c r="DA12" s="553">
        <f>CZ12/PI()*SQRT('Hilfstabellen_Mat&amp;Bem'!f.Rd.3/'Hilfstabellen_Mat&amp;Bem'!$BD$30)</f>
        <v>3.2735153165668907</v>
      </c>
      <c r="DB12" s="553">
        <f>0.5*(1+'Hilfstabellen_Mat&amp;Bem'!$BD$31*(DA12-0.3)+DA12^2)</f>
        <v>6.0066270297273601</v>
      </c>
      <c r="DC12" s="550">
        <f t="shared" si="41"/>
        <v>9.0556231925506284E-2</v>
      </c>
      <c r="DE12" s="551">
        <f t="shared" si="42"/>
        <v>370.91832596687374</v>
      </c>
      <c r="DH12" s="547">
        <f>'Hilfstabellen_Mat&amp;Bem'!$J$62</f>
        <v>3.9</v>
      </c>
      <c r="DI12" s="546">
        <f t="shared" si="43"/>
        <v>64</v>
      </c>
      <c r="DJ12" s="551">
        <f t="shared" si="44"/>
        <v>211.09369217245691</v>
      </c>
      <c r="DK12" s="553">
        <f>DJ12/PI()*SQRT('Hilfstabellen_Mat&amp;Bem'!f.Rd.3/'Hilfstabellen_Mat&amp;Bem'!$BD$30)</f>
        <v>3.3596604564765453</v>
      </c>
      <c r="DL12" s="553">
        <f>0.5*(1+'Hilfstabellen_Mat&amp;Bem'!$BD$31*(DK12-0.3)+DK12^2)</f>
        <v>6.2966422142299212</v>
      </c>
      <c r="DM12" s="550">
        <f t="shared" si="45"/>
        <v>8.6043050376832228E-2</v>
      </c>
      <c r="DO12" s="551">
        <f t="shared" si="46"/>
        <v>352.43233434350481</v>
      </c>
      <c r="DR12" s="547">
        <f>'Hilfstabellen_Mat&amp;Bem'!$J$63</f>
        <v>4</v>
      </c>
      <c r="DS12" s="546">
        <f t="shared" si="47"/>
        <v>64</v>
      </c>
      <c r="DT12" s="551">
        <f t="shared" si="48"/>
        <v>216.50635094610965</v>
      </c>
      <c r="DU12" s="553">
        <f>DT12/PI()*SQRT('Hilfstabellen_Mat&amp;Bem'!f.Rd.3/'Hilfstabellen_Mat&amp;Bem'!$BD$30)</f>
        <v>3.4458055963862004</v>
      </c>
      <c r="DV12" s="553">
        <f>0.5*(1+'Hilfstabellen_Mat&amp;Bem'!$BD$31*(DU12-0.3)+DU12^2)</f>
        <v>6.5940783838625396</v>
      </c>
      <c r="DW12" s="550">
        <f t="shared" si="49"/>
        <v>8.1858490677775925E-2</v>
      </c>
      <c r="DY12" s="551">
        <f t="shared" si="50"/>
        <v>335.29237781617019</v>
      </c>
      <c r="EB12" s="547">
        <f>'Hilfstabellen_Mat&amp;Bem'!$J$64</f>
        <v>4.0999999999999996</v>
      </c>
      <c r="EC12" s="546">
        <f t="shared" si="51"/>
        <v>64</v>
      </c>
      <c r="ED12" s="551">
        <f t="shared" si="52"/>
        <v>221.91900971976239</v>
      </c>
      <c r="EE12" s="553">
        <f>ED12/PI()*SQRT('Hilfstabellen_Mat&amp;Bem'!f.Rd.3/'Hilfstabellen_Mat&amp;Bem'!$BD$30)</f>
        <v>3.5319507362958555</v>
      </c>
      <c r="EF12" s="553">
        <f>0.5*(1+'Hilfstabellen_Mat&amp;Bem'!$BD$31*(EE12-0.3)+EE12^2)</f>
        <v>6.8989355386252109</v>
      </c>
      <c r="EG12" s="550">
        <f t="shared" si="53"/>
        <v>7.7971480749198491E-2</v>
      </c>
      <c r="EI12" s="551">
        <f t="shared" si="54"/>
        <v>319.37118514871702</v>
      </c>
      <c r="EL12" s="547">
        <f>'Hilfstabellen_Mat&amp;Bem'!$J$65</f>
        <v>4.2</v>
      </c>
      <c r="EM12" s="546">
        <f t="shared" si="55"/>
        <v>64</v>
      </c>
      <c r="EN12" s="551">
        <f t="shared" si="56"/>
        <v>227.33166849341512</v>
      </c>
      <c r="EO12" s="553">
        <f>EN12/PI()*SQRT('Hilfstabellen_Mat&amp;Bem'!f.Rd.3/'Hilfstabellen_Mat&amp;Bem'!$BD$30)</f>
        <v>3.6180958762055102</v>
      </c>
      <c r="EP12" s="553">
        <f>0.5*(1+'Hilfstabellen_Mat&amp;Bem'!$BD$31*(EO12-0.3)+EO12^2)</f>
        <v>7.211213678517935</v>
      </c>
      <c r="EQ12" s="550">
        <f t="shared" si="57"/>
        <v>7.4354524482702494E-2</v>
      </c>
      <c r="ES12" s="551">
        <f t="shared" si="58"/>
        <v>304.55613228114942</v>
      </c>
    </row>
    <row r="13" spans="1:149">
      <c r="C13" s="546">
        <v>65</v>
      </c>
      <c r="D13" s="551">
        <f t="shared" si="8"/>
        <v>149.22283880593406</v>
      </c>
      <c r="E13" s="553">
        <f>$D13/PI()*SQRT('Hilfstabellen_Mat&amp;Bem'!f.Rd.3/'Hilfstabellen_Mat&amp;Bem'!$BD$30)</f>
        <v>2.3749552418169508</v>
      </c>
      <c r="F13" s="553">
        <f>0.5*(1+'Hilfstabellen_Mat&amp;Bem'!$BD$31*($E13-0.3)+$E13^2)</f>
        <v>3.4239539624077531</v>
      </c>
      <c r="G13" s="550">
        <f t="shared" si="9"/>
        <v>0.169769555646861</v>
      </c>
      <c r="I13" s="551">
        <f t="shared" si="10"/>
        <v>717.2763726079877</v>
      </c>
      <c r="M13" s="546">
        <f t="shared" si="11"/>
        <v>65</v>
      </c>
      <c r="N13" s="551">
        <f t="shared" si="0"/>
        <v>154.55222590614596</v>
      </c>
      <c r="O13" s="553">
        <f>$N13/PI()*SQRT('Hilfstabellen_Mat&amp;Bem'!f.Rd.3/'Hilfstabellen_Mat&amp;Bem'!$BD$30)</f>
        <v>2.4597750718818414</v>
      </c>
      <c r="P13" s="553">
        <f>0.5*(1+'Hilfstabellen_Mat&amp;Bem'!$BD$31*($O13-0.3)+$O13^2)</f>
        <v>3.6332354557197513</v>
      </c>
      <c r="Q13" s="550">
        <f t="shared" si="1"/>
        <v>0.15854980559757226</v>
      </c>
      <c r="S13" s="551">
        <f t="shared" si="12"/>
        <v>669.87292864974279</v>
      </c>
      <c r="W13" s="546">
        <f t="shared" si="13"/>
        <v>65</v>
      </c>
      <c r="X13" s="551">
        <f t="shared" si="2"/>
        <v>159.8816130063579</v>
      </c>
      <c r="Y13" s="553">
        <f>$X13/PI()*SQRT('Hilfstabellen_Mat&amp;Bem'!f.Rd.3/'Hilfstabellen_Mat&amp;Bem'!$BD$30)</f>
        <v>2.5445949019467324</v>
      </c>
      <c r="Z13" s="553">
        <f>0.5*(1+'Hilfstabellen_Mat&amp;Bem'!$BD$31*($Y13-0.3)+$Y13^2)</f>
        <v>3.849711352603987</v>
      </c>
      <c r="AA13" s="550">
        <f t="shared" si="3"/>
        <v>0.14840016208097459</v>
      </c>
      <c r="AC13" s="551">
        <f t="shared" si="14"/>
        <v>626.99068479211769</v>
      </c>
      <c r="AG13" s="546">
        <f t="shared" si="15"/>
        <v>65</v>
      </c>
      <c r="AH13" s="551">
        <f t="shared" si="4"/>
        <v>165.21100010656983</v>
      </c>
      <c r="AI13" s="553">
        <f>$AH13/PI()*SQRT('Hilfstabellen_Mat&amp;Bem'!f.Rd.3/'Hilfstabellen_Mat&amp;Bem'!$BD$30)</f>
        <v>2.6294147320116235</v>
      </c>
      <c r="AJ13" s="553">
        <f>0.5*(1+'Hilfstabellen_Mat&amp;Bem'!$BD$31*($AI13-0.3)+$AI13^2)</f>
        <v>4.0733816530604603</v>
      </c>
      <c r="AK13" s="550">
        <f t="shared" si="5"/>
        <v>0.13918990432691603</v>
      </c>
      <c r="AM13" s="551">
        <f t="shared" si="16"/>
        <v>588.07734578122017</v>
      </c>
      <c r="AQ13" s="546">
        <f t="shared" si="17"/>
        <v>65</v>
      </c>
      <c r="AR13" s="551">
        <f t="shared" si="6"/>
        <v>170.54038720678176</v>
      </c>
      <c r="AS13" s="553">
        <f>$AR13/PI()*SQRT('Hilfstabellen_Mat&amp;Bem'!f.Rd.3/'Hilfstabellen_Mat&amp;Bem'!$BD$30)</f>
        <v>2.7142345620765149</v>
      </c>
      <c r="AT13" s="553">
        <f>0.5*(1+'Hilfstabellen_Mat&amp;Bem'!$BD$31*($AS13-0.3)+$AS13^2)</f>
        <v>4.3042463570891716</v>
      </c>
      <c r="AU13" s="550">
        <f t="shared" si="7"/>
        <v>0.13080743708935566</v>
      </c>
      <c r="AW13" s="551">
        <f t="shared" si="18"/>
        <v>552.66142170252772</v>
      </c>
      <c r="AZ13" s="547">
        <f>'Hilfstabellen_Mat&amp;Bem'!$J$56</f>
        <v>3.3</v>
      </c>
      <c r="BA13" s="546">
        <f t="shared" si="19"/>
        <v>65</v>
      </c>
      <c r="BB13" s="551">
        <f t="shared" si="20"/>
        <v>175.86977430699366</v>
      </c>
      <c r="BC13" s="553">
        <f>BB13/PI()*SQRT('Hilfstabellen_Mat&amp;Bem'!f.Rd.3/'Hilfstabellen_Mat&amp;Bem'!$BD$30)</f>
        <v>2.7990543921414055</v>
      </c>
      <c r="BD13" s="553">
        <f>0.5*(1+'Hilfstabellen_Mat&amp;Bem'!$BD$31*(BC13-0.3)+BC13^2)</f>
        <v>4.5423054646901164</v>
      </c>
      <c r="BE13" s="550">
        <f t="shared" si="21"/>
        <v>0.12315708613001798</v>
      </c>
      <c r="BG13" s="551">
        <f t="shared" si="22"/>
        <v>520.33868889932592</v>
      </c>
      <c r="BJ13" s="547">
        <f>'Hilfstabellen_Mat&amp;Bem'!$J$57</f>
        <v>3.4</v>
      </c>
      <c r="BK13" s="546">
        <f t="shared" si="23"/>
        <v>65</v>
      </c>
      <c r="BL13" s="551">
        <f t="shared" si="24"/>
        <v>181.19916140720562</v>
      </c>
      <c r="BM13" s="553">
        <f>BL13/PI()*SQRT('Hilfstabellen_Mat&amp;Bem'!f.Rd.3/'Hilfstabellen_Mat&amp;Bem'!$BD$30)</f>
        <v>2.883874222206297</v>
      </c>
      <c r="BN13" s="553">
        <f>0.5*(1+'Hilfstabellen_Mat&amp;Bem'!$BD$31*(BM13-0.3)+BM13^2)</f>
        <v>4.7875589758633019</v>
      </c>
      <c r="BO13" s="550">
        <f t="shared" si="25"/>
        <v>0.11615648759560701</v>
      </c>
      <c r="BQ13" s="551">
        <f t="shared" si="26"/>
        <v>490.76116009143965</v>
      </c>
      <c r="BT13" s="547">
        <f>'Hilfstabellen_Mat&amp;Bem'!$J$58</f>
        <v>3.5</v>
      </c>
      <c r="BU13" s="546">
        <f t="shared" si="27"/>
        <v>65</v>
      </c>
      <c r="BV13" s="551">
        <f t="shared" si="28"/>
        <v>186.52854850741755</v>
      </c>
      <c r="BW13" s="553">
        <f>BV13/PI()*SQRT('Hilfstabellen_Mat&amp;Bem'!f.Rd.3/'Hilfstabellen_Mat&amp;Bem'!$BD$30)</f>
        <v>2.968694052271188</v>
      </c>
      <c r="BX13" s="553">
        <f>0.5*(1+'Hilfstabellen_Mat&amp;Bem'!$BD$31*(BW13-0.3)+BW13^2)</f>
        <v>5.0400068906087228</v>
      </c>
      <c r="BY13" s="550">
        <f t="shared" si="29"/>
        <v>0.10973445336889304</v>
      </c>
      <c r="CA13" s="551">
        <f t="shared" si="30"/>
        <v>463.6280654835731</v>
      </c>
      <c r="CD13" s="547">
        <f>'Hilfstabellen_Mat&amp;Bem'!$J$59</f>
        <v>3.6</v>
      </c>
      <c r="CE13" s="546">
        <f t="shared" si="31"/>
        <v>65</v>
      </c>
      <c r="CF13" s="551">
        <f t="shared" si="32"/>
        <v>191.85793560762949</v>
      </c>
      <c r="CG13" s="553">
        <f>CF13/PI()*SQRT('Hilfstabellen_Mat&amp;Bem'!f.Rd.3/'Hilfstabellen_Mat&amp;Bem'!$BD$30)</f>
        <v>3.0535138823360795</v>
      </c>
      <c r="CH13" s="553">
        <f>0.5*(1+'Hilfstabellen_Mat&amp;Bem'!$BD$31*(CG13-0.3)+CG13^2)</f>
        <v>5.2996492089263825</v>
      </c>
      <c r="CI13" s="550">
        <f t="shared" si="33"/>
        <v>0.10382921864434166</v>
      </c>
      <c r="CK13" s="551">
        <f t="shared" si="34"/>
        <v>438.67844877234353</v>
      </c>
      <c r="CN13" s="547">
        <f>'Hilfstabellen_Mat&amp;Bem'!$J$60</f>
        <v>3.7</v>
      </c>
      <c r="CO13" s="546">
        <f t="shared" si="35"/>
        <v>65</v>
      </c>
      <c r="CP13" s="551">
        <f t="shared" si="36"/>
        <v>197.18732270784139</v>
      </c>
      <c r="CQ13" s="553">
        <f>CP13/PI()*SQRT('Hilfstabellen_Mat&amp;Bem'!f.Rd.3/'Hilfstabellen_Mat&amp;Bem'!$BD$30)</f>
        <v>3.13833371240097</v>
      </c>
      <c r="CR13" s="553">
        <f>0.5*(1+'Hilfstabellen_Mat&amp;Bem'!$BD$31*(CQ13-0.3)+CQ13^2)</f>
        <v>5.5664859308162757</v>
      </c>
      <c r="CS13" s="550">
        <f t="shared" si="37"/>
        <v>9.8386997331099846E-2</v>
      </c>
      <c r="CU13" s="551">
        <f t="shared" si="38"/>
        <v>415.68506372389686</v>
      </c>
      <c r="CX13" s="547">
        <f>'Hilfstabellen_Mat&amp;Bem'!$J$61</f>
        <v>3.8</v>
      </c>
      <c r="CY13" s="546">
        <f t="shared" si="39"/>
        <v>65</v>
      </c>
      <c r="CZ13" s="551">
        <f t="shared" si="40"/>
        <v>202.51670980805332</v>
      </c>
      <c r="DA13" s="553">
        <f>CZ13/PI()*SQRT('Hilfstabellen_Mat&amp;Bem'!f.Rd.3/'Hilfstabellen_Mat&amp;Bem'!$BD$30)</f>
        <v>3.2231535424658611</v>
      </c>
      <c r="DB13" s="553">
        <f>0.5*(1+'Hilfstabellen_Mat&amp;Bem'!$BD$31*(DA13-0.3)+DA13^2)</f>
        <v>5.8405170562784079</v>
      </c>
      <c r="DC13" s="550">
        <f t="shared" si="41"/>
        <v>9.3360786221762956E-2</v>
      </c>
      <c r="DE13" s="551">
        <f t="shared" si="42"/>
        <v>394.44932178694847</v>
      </c>
      <c r="DH13" s="547">
        <f>'Hilfstabellen_Mat&amp;Bem'!$J$62</f>
        <v>3.9</v>
      </c>
      <c r="DI13" s="546">
        <f t="shared" si="43"/>
        <v>65</v>
      </c>
      <c r="DJ13" s="551">
        <f t="shared" si="44"/>
        <v>207.84609690826525</v>
      </c>
      <c r="DK13" s="553">
        <f>DJ13/PI()*SQRT('Hilfstabellen_Mat&amp;Bem'!f.Rd.3/'Hilfstabellen_Mat&amp;Bem'!$BD$30)</f>
        <v>3.3079733725307521</v>
      </c>
      <c r="DL13" s="553">
        <f>0.5*(1+'Hilfstabellen_Mat&amp;Bem'!$BD$31*(DK13-0.3)+DK13^2)</f>
        <v>6.1217425853127763</v>
      </c>
      <c r="DM13" s="550">
        <f t="shared" si="45"/>
        <v>8.8709370957235356E-2</v>
      </c>
      <c r="DO13" s="551">
        <f t="shared" si="46"/>
        <v>374.79709229431938</v>
      </c>
      <c r="DR13" s="547">
        <f>'Hilfstabellen_Mat&amp;Bem'!$J$63</f>
        <v>4</v>
      </c>
      <c r="DS13" s="546">
        <f t="shared" si="47"/>
        <v>65</v>
      </c>
      <c r="DT13" s="551">
        <f t="shared" si="48"/>
        <v>213.17548400847721</v>
      </c>
      <c r="DU13" s="553">
        <f>DT13/PI()*SQRT('Hilfstabellen_Mat&amp;Bem'!f.Rd.3/'Hilfstabellen_Mat&amp;Bem'!$BD$30)</f>
        <v>3.392793202595644</v>
      </c>
      <c r="DV13" s="553">
        <f>0.5*(1+'Hilfstabellen_Mat&amp;Bem'!$BD$31*(DU13-0.3)+DU13^2)</f>
        <v>6.4101625179193853</v>
      </c>
      <c r="DW13" s="550">
        <f t="shared" si="49"/>
        <v>8.4396496335185561E-2</v>
      </c>
      <c r="DY13" s="551">
        <f t="shared" si="50"/>
        <v>356.575197016159</v>
      </c>
      <c r="EB13" s="547">
        <f>'Hilfstabellen_Mat&amp;Bem'!$J$64</f>
        <v>4.0999999999999996</v>
      </c>
      <c r="EC13" s="546">
        <f t="shared" si="51"/>
        <v>65</v>
      </c>
      <c r="ED13" s="551">
        <f t="shared" si="52"/>
        <v>218.50487110868914</v>
      </c>
      <c r="EE13" s="553">
        <f>ED13/PI()*SQRT('Hilfstabellen_Mat&amp;Bem'!f.Rd.3/'Hilfstabellen_Mat&amp;Bem'!$BD$30)</f>
        <v>3.477613032660535</v>
      </c>
      <c r="EF13" s="553">
        <f>0.5*(1+'Hilfstabellen_Mat&amp;Bem'!$BD$31*(EE13-0.3)+EE13^2)</f>
        <v>6.7057768540982279</v>
      </c>
      <c r="EG13" s="550">
        <f t="shared" si="53"/>
        <v>8.0390171002217972E-2</v>
      </c>
      <c r="EI13" s="551">
        <f t="shared" si="54"/>
        <v>339.64847248437093</v>
      </c>
      <c r="EL13" s="547">
        <f>'Hilfstabellen_Mat&amp;Bem'!$J$65</f>
        <v>4.2</v>
      </c>
      <c r="EM13" s="546">
        <f t="shared" si="55"/>
        <v>65</v>
      </c>
      <c r="EN13" s="551">
        <f t="shared" si="56"/>
        <v>223.83425820890105</v>
      </c>
      <c r="EO13" s="553">
        <f>EN13/PI()*SQRT('Hilfstabellen_Mat&amp;Bem'!f.Rd.3/'Hilfstabellen_Mat&amp;Bem'!$BD$30)</f>
        <v>3.5624328627254251</v>
      </c>
      <c r="EP13" s="553">
        <f>0.5*(1+'Hilfstabellen_Mat&amp;Bem'!$BD$31*(EO13-0.3)+EO13^2)</f>
        <v>7.0085855938493058</v>
      </c>
      <c r="EQ13" s="550">
        <f t="shared" si="57"/>
        <v>7.6662082477912633E-2</v>
      </c>
      <c r="ES13" s="551">
        <f t="shared" si="58"/>
        <v>323.8972984691809</v>
      </c>
    </row>
    <row r="14" spans="1:149">
      <c r="C14" s="546">
        <v>66</v>
      </c>
      <c r="D14" s="551">
        <f t="shared" si="8"/>
        <v>146.96188670281381</v>
      </c>
      <c r="E14" s="553">
        <f>$D14/PI()*SQRT('Hilfstabellen_Mat&amp;Bem'!f.Rd.3/'Hilfstabellen_Mat&amp;Bem'!$BD$30)</f>
        <v>2.3389710714863905</v>
      </c>
      <c r="F14" s="553">
        <f>0.5*(1+'Hilfstabellen_Mat&amp;Bem'!$BD$31*($E14-0.3)+$E14^2)</f>
        <v>3.3373413901994162</v>
      </c>
      <c r="G14" s="550">
        <f t="shared" si="9"/>
        <v>0.17488936584756271</v>
      </c>
      <c r="I14" s="551">
        <f t="shared" si="10"/>
        <v>761.8180776319831</v>
      </c>
      <c r="M14" s="546">
        <f t="shared" si="11"/>
        <v>66</v>
      </c>
      <c r="N14" s="551">
        <f t="shared" si="0"/>
        <v>152.2105255136286</v>
      </c>
      <c r="O14" s="553">
        <f>$N14/PI()*SQRT('Hilfstabellen_Mat&amp;Bem'!f.Rd.3/'Hilfstabellen_Mat&amp;Bem'!$BD$30)</f>
        <v>2.4225057526109044</v>
      </c>
      <c r="P14" s="553">
        <f>0.5*(1+'Hilfstabellen_Mat&amp;Bem'!$BD$31*($O14-0.3)+$O14^2)</f>
        <v>3.5403923483470074</v>
      </c>
      <c r="Q14" s="550">
        <f t="shared" si="1"/>
        <v>0.163339391407684</v>
      </c>
      <c r="S14" s="551">
        <f t="shared" si="12"/>
        <v>711.5063889718715</v>
      </c>
      <c r="W14" s="546">
        <f t="shared" si="13"/>
        <v>66</v>
      </c>
      <c r="X14" s="551">
        <f t="shared" si="2"/>
        <v>157.45916432444338</v>
      </c>
      <c r="Y14" s="553">
        <f>$X14/PI()*SQRT('Hilfstabellen_Mat&amp;Bem'!f.Rd.3/'Hilfstabellen_Mat&amp;Bem'!$BD$30)</f>
        <v>2.5060404337354183</v>
      </c>
      <c r="Z14" s="553">
        <f>0.5*(1+'Hilfstabellen_Mat&amp;Bem'!$BD$31*($Y14-0.3)+$Y14^2)</f>
        <v>3.7504213494451726</v>
      </c>
      <c r="AA14" s="550">
        <f t="shared" si="3"/>
        <v>0.15288981177425243</v>
      </c>
      <c r="AC14" s="551">
        <f t="shared" si="14"/>
        <v>665.98802008864357</v>
      </c>
      <c r="AG14" s="546">
        <f t="shared" si="15"/>
        <v>66</v>
      </c>
      <c r="AH14" s="551">
        <f t="shared" si="4"/>
        <v>162.70780313525816</v>
      </c>
      <c r="AI14" s="553">
        <f>$AH14/PI()*SQRT('Hilfstabellen_Mat&amp;Bem'!f.Rd.3/'Hilfstabellen_Mat&amp;Bem'!$BD$30)</f>
        <v>2.5895751148599326</v>
      </c>
      <c r="AJ14" s="553">
        <f>0.5*(1+'Hilfstabellen_Mat&amp;Bem'!$BD$31*($AI14-0.3)+$AI14^2)</f>
        <v>3.9674283934939134</v>
      </c>
      <c r="AK14" s="550">
        <f t="shared" si="5"/>
        <v>0.14340643740405165</v>
      </c>
      <c r="AM14" s="551">
        <f t="shared" si="16"/>
        <v>624.67844133204903</v>
      </c>
      <c r="AQ14" s="546">
        <f t="shared" si="17"/>
        <v>66</v>
      </c>
      <c r="AR14" s="551">
        <f t="shared" si="6"/>
        <v>167.95644194607294</v>
      </c>
      <c r="AS14" s="553">
        <f>$AR14/PI()*SQRT('Hilfstabellen_Mat&amp;Bem'!f.Rd.3/'Hilfstabellen_Mat&amp;Bem'!$BD$30)</f>
        <v>2.6731097959844465</v>
      </c>
      <c r="AT14" s="553">
        <f>0.5*(1+'Hilfstabellen_Mat&amp;Bem'!$BD$31*($AS14-0.3)+$AS14^2)</f>
        <v>4.1914134804932273</v>
      </c>
      <c r="AU14" s="550">
        <f t="shared" si="7"/>
        <v>0.13477465876665873</v>
      </c>
      <c r="AW14" s="551">
        <f t="shared" si="18"/>
        <v>587.07841358756536</v>
      </c>
      <c r="AZ14" s="547">
        <f>'Hilfstabellen_Mat&amp;Bem'!$J$56</f>
        <v>3.3</v>
      </c>
      <c r="BA14" s="546">
        <f t="shared" si="19"/>
        <v>66</v>
      </c>
      <c r="BB14" s="551">
        <f t="shared" si="20"/>
        <v>173.20508075688772</v>
      </c>
      <c r="BC14" s="553">
        <f>BB14/PI()*SQRT('Hilfstabellen_Mat&amp;Bem'!f.Rd.3/'Hilfstabellen_Mat&amp;Bem'!$BD$30)</f>
        <v>2.7566444771089604</v>
      </c>
      <c r="BD14" s="553">
        <f>0.5*(1+'Hilfstabellen_Mat&amp;Bem'!$BD$31*(BC14-0.3)+BC14^2)</f>
        <v>4.4223766104431146</v>
      </c>
      <c r="BE14" s="550">
        <f t="shared" si="21"/>
        <v>0.12689617969031575</v>
      </c>
      <c r="BG14" s="551">
        <f t="shared" si="22"/>
        <v>552.75975873101538</v>
      </c>
      <c r="BJ14" s="547">
        <f>'Hilfstabellen_Mat&amp;Bem'!$J$57</f>
        <v>3.4</v>
      </c>
      <c r="BK14" s="546">
        <f t="shared" si="23"/>
        <v>66</v>
      </c>
      <c r="BL14" s="551">
        <f t="shared" si="24"/>
        <v>178.45371956770251</v>
      </c>
      <c r="BM14" s="553">
        <f>BL14/PI()*SQRT('Hilfstabellen_Mat&amp;Bem'!f.Rd.3/'Hilfstabellen_Mat&amp;Bem'!$BD$30)</f>
        <v>2.8401791582334743</v>
      </c>
      <c r="BN14" s="553">
        <f>0.5*(1+'Hilfstabellen_Mat&amp;Bem'!$BD$31*(BM14-0.3)+BM14^2)</f>
        <v>4.6603177833435767</v>
      </c>
      <c r="BO14" s="550">
        <f t="shared" si="25"/>
        <v>0.11968635194451063</v>
      </c>
      <c r="BQ14" s="551">
        <f t="shared" si="26"/>
        <v>521.35374907028836</v>
      </c>
      <c r="BT14" s="547">
        <f>'Hilfstabellen_Mat&amp;Bem'!$J$58</f>
        <v>3.5</v>
      </c>
      <c r="BU14" s="546">
        <f t="shared" si="27"/>
        <v>66</v>
      </c>
      <c r="BV14" s="551">
        <f t="shared" si="28"/>
        <v>183.70235837851729</v>
      </c>
      <c r="BW14" s="553">
        <f>BV14/PI()*SQRT('Hilfstabellen_Mat&amp;Bem'!f.Rd.3/'Hilfstabellen_Mat&amp;Bem'!$BD$30)</f>
        <v>2.9237138393579887</v>
      </c>
      <c r="BX14" s="553">
        <f>0.5*(1+'Hilfstabellen_Mat&amp;Bem'!$BD$31*(BW14-0.3)+BW14^2)</f>
        <v>4.9052369991946145</v>
      </c>
      <c r="BY14" s="550">
        <f t="shared" si="29"/>
        <v>0.1130719930658594</v>
      </c>
      <c r="CA14" s="551">
        <f t="shared" si="30"/>
        <v>492.54160179488355</v>
      </c>
      <c r="CD14" s="547">
        <f>'Hilfstabellen_Mat&amp;Bem'!$J$59</f>
        <v>3.6</v>
      </c>
      <c r="CE14" s="546">
        <f t="shared" si="31"/>
        <v>66</v>
      </c>
      <c r="CF14" s="551">
        <f t="shared" si="32"/>
        <v>188.95099718933207</v>
      </c>
      <c r="CG14" s="553">
        <f>CF14/PI()*SQRT('Hilfstabellen_Mat&amp;Bem'!f.Rd.3/'Hilfstabellen_Mat&amp;Bem'!$BD$30)</f>
        <v>3.0072485204825021</v>
      </c>
      <c r="CH14" s="553">
        <f>0.5*(1+'Hilfstabellen_Mat&amp;Bem'!$BD$31*(CG14-0.3)+CG14^2)</f>
        <v>5.1571342579962245</v>
      </c>
      <c r="CI14" s="550">
        <f t="shared" si="33"/>
        <v>0.10698959310874759</v>
      </c>
      <c r="CK14" s="551">
        <f t="shared" si="34"/>
        <v>466.04666758170447</v>
      </c>
      <c r="CN14" s="547">
        <f>'Hilfstabellen_Mat&amp;Bem'!$J$60</f>
        <v>3.7</v>
      </c>
      <c r="CO14" s="546">
        <f t="shared" si="35"/>
        <v>66</v>
      </c>
      <c r="CP14" s="551">
        <f t="shared" si="36"/>
        <v>194.19963600014685</v>
      </c>
      <c r="CQ14" s="553">
        <f>CP14/PI()*SQRT('Hilfstabellen_Mat&amp;Bem'!f.Rd.3/'Hilfstabellen_Mat&amp;Bem'!$BD$30)</f>
        <v>3.0907832016070165</v>
      </c>
      <c r="CR14" s="553">
        <f>0.5*(1+'Hilfstabellen_Mat&amp;Bem'!$BD$31*(CQ14-0.3)+CQ14^2)</f>
        <v>5.4160095597484101</v>
      </c>
      <c r="CS14" s="550">
        <f t="shared" si="37"/>
        <v>0.1013838351693844</v>
      </c>
      <c r="CU14" s="551">
        <f t="shared" si="38"/>
        <v>441.62798599783844</v>
      </c>
      <c r="CX14" s="547">
        <f>'Hilfstabellen_Mat&amp;Bem'!$J$61</f>
        <v>3.8</v>
      </c>
      <c r="CY14" s="546">
        <f t="shared" si="39"/>
        <v>66</v>
      </c>
      <c r="CZ14" s="551">
        <f t="shared" si="40"/>
        <v>199.44827481096164</v>
      </c>
      <c r="DA14" s="553">
        <f>CZ14/PI()*SQRT('Hilfstabellen_Mat&amp;Bem'!f.Rd.3/'Hilfstabellen_Mat&amp;Bem'!$BD$30)</f>
        <v>3.1743178827315304</v>
      </c>
      <c r="DB14" s="553">
        <f>0.5*(1+'Hilfstabellen_Mat&amp;Bem'!$BD$31*(DA14-0.3)+DA14^2)</f>
        <v>5.6818629044511697</v>
      </c>
      <c r="DC14" s="550">
        <f t="shared" si="41"/>
        <v>9.6206369838764086E-2</v>
      </c>
      <c r="DE14" s="551">
        <f t="shared" si="42"/>
        <v>419.07494701765637</v>
      </c>
      <c r="DH14" s="547">
        <f>'Hilfstabellen_Mat&amp;Bem'!$J$62</f>
        <v>3.9</v>
      </c>
      <c r="DI14" s="546">
        <f t="shared" si="43"/>
        <v>66</v>
      </c>
      <c r="DJ14" s="551">
        <f t="shared" si="44"/>
        <v>204.69691362177642</v>
      </c>
      <c r="DK14" s="553">
        <f>DJ14/PI()*SQRT('Hilfstabellen_Mat&amp;Bem'!f.Rd.3/'Hilfstabellen_Mat&amp;Bem'!$BD$30)</f>
        <v>3.2578525638560443</v>
      </c>
      <c r="DL14" s="553">
        <f>0.5*(1+'Hilfstabellen_Mat&amp;Bem'!$BD$31*(DK14-0.3)+DK14^2)</f>
        <v>5.9546942921045032</v>
      </c>
      <c r="DM14" s="550">
        <f t="shared" si="45"/>
        <v>9.1414795877235902E-2</v>
      </c>
      <c r="DO14" s="551">
        <f t="shared" si="46"/>
        <v>398.20285084123958</v>
      </c>
      <c r="DR14" s="547">
        <f>'Hilfstabellen_Mat&amp;Bem'!$J$63</f>
        <v>4</v>
      </c>
      <c r="DS14" s="546">
        <f t="shared" si="47"/>
        <v>66</v>
      </c>
      <c r="DT14" s="551">
        <f t="shared" si="48"/>
        <v>209.9455524325912</v>
      </c>
      <c r="DU14" s="553">
        <f>DT14/PI()*SQRT('Hilfstabellen_Mat&amp;Bem'!f.Rd.3/'Hilfstabellen_Mat&amp;Bem'!$BD$30)</f>
        <v>3.3413872449805582</v>
      </c>
      <c r="DV14" s="553">
        <f>0.5*(1+'Hilfstabellen_Mat&amp;Bem'!$BD$31*(DU14-0.3)+DU14^2)</f>
        <v>6.2345037227084106</v>
      </c>
      <c r="DW14" s="550">
        <f t="shared" si="49"/>
        <v>8.6971808996741021E-2</v>
      </c>
      <c r="DY14" s="551">
        <f t="shared" si="50"/>
        <v>378.84919998980388</v>
      </c>
      <c r="EB14" s="547">
        <f>'Hilfstabellen_Mat&amp;Bem'!$J$64</f>
        <v>4.0999999999999996</v>
      </c>
      <c r="EC14" s="546">
        <f t="shared" si="51"/>
        <v>66</v>
      </c>
      <c r="ED14" s="551">
        <f t="shared" si="52"/>
        <v>215.19419124340595</v>
      </c>
      <c r="EE14" s="553">
        <f>ED14/PI()*SQRT('Hilfstabellen_Mat&amp;Bem'!f.Rd.3/'Hilfstabellen_Mat&amp;Bem'!$BD$30)</f>
        <v>3.4249219261050721</v>
      </c>
      <c r="EF14" s="553">
        <f>0.5*(1+'Hilfstabellen_Mat&amp;Bem'!$BD$31*(EE14-0.3)+EE14^2)</f>
        <v>6.5212911962628919</v>
      </c>
      <c r="EG14" s="550">
        <f t="shared" si="53"/>
        <v>8.284448821409289E-2</v>
      </c>
      <c r="EI14" s="551">
        <f t="shared" si="54"/>
        <v>360.87059066058862</v>
      </c>
      <c r="EL14" s="547">
        <f>'Hilfstabellen_Mat&amp;Bem'!$J$65</f>
        <v>4.2</v>
      </c>
      <c r="EM14" s="546">
        <f t="shared" si="55"/>
        <v>66</v>
      </c>
      <c r="EN14" s="551">
        <f t="shared" si="56"/>
        <v>220.44283005422074</v>
      </c>
      <c r="EO14" s="553">
        <f>EN14/PI()*SQRT('Hilfstabellen_Mat&amp;Bem'!f.Rd.3/'Hilfstabellen_Mat&amp;Bem'!$BD$30)</f>
        <v>3.508456607229586</v>
      </c>
      <c r="EP14" s="553">
        <f>0.5*(1+'Hilfstabellen_Mat&amp;Bem'!$BD$31*(EO14-0.3)+EO14^2)</f>
        <v>6.815056712767948</v>
      </c>
      <c r="EQ14" s="550">
        <f t="shared" si="57"/>
        <v>7.9003695228959406E-2</v>
      </c>
      <c r="ES14" s="551">
        <f t="shared" si="58"/>
        <v>344.14009641734719</v>
      </c>
    </row>
    <row r="15" spans="1:149">
      <c r="C15" s="546">
        <v>67</v>
      </c>
      <c r="D15" s="551">
        <f t="shared" si="8"/>
        <v>144.76842570724943</v>
      </c>
      <c r="E15" s="553">
        <f>$D15/PI()*SQRT('Hilfstabellen_Mat&amp;Bem'!f.Rd.3/'Hilfstabellen_Mat&amp;Bem'!$BD$30)</f>
        <v>2.3040610554940564</v>
      </c>
      <c r="F15" s="553">
        <f>0.5*(1+'Hilfstabellen_Mat&amp;Bem'!$BD$31*($E15-0.3)+$E15^2)</f>
        <v>3.2545517264968953</v>
      </c>
      <c r="G15" s="550">
        <f t="shared" si="9"/>
        <v>0.18007899256703597</v>
      </c>
      <c r="I15" s="551">
        <f t="shared" si="10"/>
        <v>808.3745976334244</v>
      </c>
      <c r="M15" s="546">
        <f t="shared" si="11"/>
        <v>67</v>
      </c>
      <c r="N15" s="551">
        <f t="shared" si="0"/>
        <v>149.93872662536549</v>
      </c>
      <c r="O15" s="553">
        <f>$N15/PI()*SQRT('Hilfstabellen_Mat&amp;Bem'!f.Rd.3/'Hilfstabellen_Mat&amp;Bem'!$BD$30)</f>
        <v>2.3863489503331299</v>
      </c>
      <c r="P15" s="553">
        <f>0.5*(1+'Hilfstabellen_Mat&amp;Bem'!$BD$31*($O15-0.3)+$O15^2)</f>
        <v>3.451648103894672</v>
      </c>
      <c r="Q15" s="550">
        <f t="shared" si="1"/>
        <v>0.16819490896967318</v>
      </c>
      <c r="S15" s="551">
        <f t="shared" si="12"/>
        <v>755.02694636486285</v>
      </c>
      <c r="W15" s="546">
        <f t="shared" si="13"/>
        <v>67</v>
      </c>
      <c r="X15" s="551">
        <f t="shared" si="2"/>
        <v>155.10902754348155</v>
      </c>
      <c r="Y15" s="553">
        <f>$X15/PI()*SQRT('Hilfstabellen_Mat&amp;Bem'!f.Rd.3/'Hilfstabellen_Mat&amp;Bem'!$BD$30)</f>
        <v>2.4686368451722034</v>
      </c>
      <c r="Z15" s="553">
        <f>0.5*(1+'Hilfstabellen_Mat&amp;Bem'!$BD$31*($Y15-0.3)+$Y15^2)</f>
        <v>3.6555157789294945</v>
      </c>
      <c r="AA15" s="550">
        <f t="shared" si="3"/>
        <v>0.15744175915206715</v>
      </c>
      <c r="AC15" s="551">
        <f t="shared" si="14"/>
        <v>706.75605683362949</v>
      </c>
      <c r="AG15" s="546">
        <f t="shared" si="15"/>
        <v>67</v>
      </c>
      <c r="AH15" s="551">
        <f t="shared" si="4"/>
        <v>160.27932846159757</v>
      </c>
      <c r="AI15" s="553">
        <f>$AH15/PI()*SQRT('Hilfstabellen_Mat&amp;Bem'!f.Rd.3/'Hilfstabellen_Mat&amp;Bem'!$BD$30)</f>
        <v>2.5509247400112764</v>
      </c>
      <c r="AJ15" s="553">
        <f>0.5*(1+'Hilfstabellen_Mat&amp;Bem'!$BD$31*($AI15-0.3)+$AI15^2)</f>
        <v>3.8661547516013632</v>
      </c>
      <c r="AK15" s="550">
        <f t="shared" si="5"/>
        <v>0.14768187891648754</v>
      </c>
      <c r="AM15" s="551">
        <f t="shared" si="16"/>
        <v>662.94395445611258</v>
      </c>
      <c r="AQ15" s="546">
        <f t="shared" si="17"/>
        <v>67</v>
      </c>
      <c r="AR15" s="551">
        <f t="shared" si="6"/>
        <v>165.44962937971366</v>
      </c>
      <c r="AS15" s="553">
        <f>$AR15/PI()*SQRT('Hilfstabellen_Mat&amp;Bem'!f.Rd.3/'Hilfstabellen_Mat&amp;Bem'!$BD$30)</f>
        <v>2.6332126348503504</v>
      </c>
      <c r="AT15" s="553">
        <f>0.5*(1+'Hilfstabellen_Mat&amp;Bem'!$BD$31*($AS15-0.3)+$AS15^2)</f>
        <v>4.0835650219102799</v>
      </c>
      <c r="AU15" s="550">
        <f t="shared" si="7"/>
        <v>0.13879763340383411</v>
      </c>
      <c r="AW15" s="551">
        <f t="shared" si="18"/>
        <v>623.06257634981137</v>
      </c>
      <c r="AZ15" s="547">
        <f>'Hilfstabellen_Mat&amp;Bem'!$J$56</f>
        <v>3.3</v>
      </c>
      <c r="BA15" s="546">
        <f t="shared" si="19"/>
        <v>67</v>
      </c>
      <c r="BB15" s="551">
        <f t="shared" si="20"/>
        <v>170.61993029782968</v>
      </c>
      <c r="BC15" s="553">
        <f>BB15/PI()*SQRT('Hilfstabellen_Mat&amp;Bem'!f.Rd.3/'Hilfstabellen_Mat&amp;Bem'!$BD$30)</f>
        <v>2.7155005296894235</v>
      </c>
      <c r="BD15" s="553">
        <f>0.5*(1+'Hilfstabellen_Mat&amp;Bem'!$BD$31*(BC15-0.3)+BC15^2)</f>
        <v>4.307746589856241</v>
      </c>
      <c r="BE15" s="550">
        <f t="shared" si="21"/>
        <v>0.13068809083716801</v>
      </c>
      <c r="BG15" s="551">
        <f t="shared" si="22"/>
        <v>586.65883976804719</v>
      </c>
      <c r="BJ15" s="547">
        <f>'Hilfstabellen_Mat&amp;Bem'!$J$57</f>
        <v>3.4</v>
      </c>
      <c r="BK15" s="546">
        <f t="shared" si="23"/>
        <v>67</v>
      </c>
      <c r="BL15" s="551">
        <f t="shared" si="24"/>
        <v>175.79023121594574</v>
      </c>
      <c r="BM15" s="553">
        <f>BL15/PI()*SQRT('Hilfstabellen_Mat&amp;Bem'!f.Rd.3/'Hilfstabellen_Mat&amp;Bem'!$BD$30)</f>
        <v>2.797788424528497</v>
      </c>
      <c r="BN15" s="553">
        <f>0.5*(1+'Hilfstabellen_Mat&amp;Bem'!$BD$31*(BM15-0.3)+BM15^2)</f>
        <v>4.5386994554392492</v>
      </c>
      <c r="BO15" s="550">
        <f t="shared" si="25"/>
        <v>0.12326630385769906</v>
      </c>
      <c r="BQ15" s="551">
        <f t="shared" si="26"/>
        <v>553.34243801721107</v>
      </c>
      <c r="BT15" s="547">
        <f>'Hilfstabellen_Mat&amp;Bem'!$J$58</f>
        <v>3.5</v>
      </c>
      <c r="BU15" s="546">
        <f t="shared" si="27"/>
        <v>67</v>
      </c>
      <c r="BV15" s="551">
        <f t="shared" si="28"/>
        <v>180.96053213406179</v>
      </c>
      <c r="BW15" s="553">
        <f>BV15/PI()*SQRT('Hilfstabellen_Mat&amp;Bem'!f.Rd.3/'Hilfstabellen_Mat&amp;Bem'!$BD$30)</f>
        <v>2.8800763193675705</v>
      </c>
      <c r="BX15" s="553">
        <f>0.5*(1+'Hilfstabellen_Mat&amp;Bem'!$BD$31*(BW15-0.3)+BW15^2)</f>
        <v>4.7764236186593036</v>
      </c>
      <c r="BY15" s="550">
        <f t="shared" si="29"/>
        <v>0.11645708075948089</v>
      </c>
      <c r="CA15" s="551">
        <f t="shared" si="30"/>
        <v>522.77583552930969</v>
      </c>
      <c r="CD15" s="547">
        <f>'Hilfstabellen_Mat&amp;Bem'!$J$59</f>
        <v>3.6</v>
      </c>
      <c r="CE15" s="546">
        <f t="shared" si="31"/>
        <v>67</v>
      </c>
      <c r="CF15" s="551">
        <f t="shared" si="32"/>
        <v>186.13083305217785</v>
      </c>
      <c r="CG15" s="553">
        <f>CF15/PI()*SQRT('Hilfstabellen_Mat&amp;Bem'!f.Rd.3/'Hilfstabellen_Mat&amp;Bem'!$BD$30)</f>
        <v>2.962364214206644</v>
      </c>
      <c r="CH15" s="553">
        <f>0.5*(1+'Hilfstabellen_Mat&amp;Bem'!$BD$31*(CG15-0.3)+CG15^2)</f>
        <v>5.020919079516406</v>
      </c>
      <c r="CI15" s="550">
        <f t="shared" si="33"/>
        <v>0.11019515196477807</v>
      </c>
      <c r="CK15" s="551">
        <f t="shared" si="34"/>
        <v>494.66603716988874</v>
      </c>
      <c r="CN15" s="547">
        <f>'Hilfstabellen_Mat&amp;Bem'!$J$60</f>
        <v>3.7</v>
      </c>
      <c r="CO15" s="546">
        <f t="shared" si="35"/>
        <v>67</v>
      </c>
      <c r="CP15" s="551">
        <f t="shared" si="36"/>
        <v>191.3011339702939</v>
      </c>
      <c r="CQ15" s="553">
        <f>CP15/PI()*SQRT('Hilfstabellen_Mat&amp;Bem'!f.Rd.3/'Hilfstabellen_Mat&amp;Bem'!$BD$30)</f>
        <v>3.0446521090457175</v>
      </c>
      <c r="CR15" s="553">
        <f>0.5*(1+'Hilfstabellen_Mat&amp;Bem'!$BD$31*(CQ15-0.3)+CQ15^2)</f>
        <v>5.2721858380105537</v>
      </c>
      <c r="CS15" s="550">
        <f t="shared" si="37"/>
        <v>0.10442365597769751</v>
      </c>
      <c r="CU15" s="551">
        <f t="shared" si="38"/>
        <v>468.75779168388414</v>
      </c>
      <c r="CX15" s="547">
        <f>'Hilfstabellen_Mat&amp;Bem'!$J$61</f>
        <v>3.8</v>
      </c>
      <c r="CY15" s="546">
        <f t="shared" si="39"/>
        <v>67</v>
      </c>
      <c r="CZ15" s="551">
        <f t="shared" si="40"/>
        <v>196.47143488840996</v>
      </c>
      <c r="DA15" s="553">
        <f>CZ15/PI()*SQRT('Hilfstabellen_Mat&amp;Bem'!f.Rd.3/'Hilfstabellen_Mat&amp;Bem'!$BD$30)</f>
        <v>3.126940003884791</v>
      </c>
      <c r="DB15" s="553">
        <f>0.5*(1+'Hilfstabellen_Mat&amp;Bem'!$BD$31*(DA15-0.3)+DA15^2)</f>
        <v>5.5302238941417485</v>
      </c>
      <c r="DC15" s="550">
        <f t="shared" si="41"/>
        <v>9.909288427870086E-2</v>
      </c>
      <c r="DE15" s="551">
        <f t="shared" si="42"/>
        <v>444.82795752708819</v>
      </c>
      <c r="DH15" s="547">
        <f>'Hilfstabellen_Mat&amp;Bem'!$J$62</f>
        <v>3.9</v>
      </c>
      <c r="DI15" s="546">
        <f t="shared" si="43"/>
        <v>67</v>
      </c>
      <c r="DJ15" s="551">
        <f t="shared" si="44"/>
        <v>201.64173580652599</v>
      </c>
      <c r="DK15" s="553">
        <f>DJ15/PI()*SQRT('Hilfstabellen_Mat&amp;Bem'!f.Rd.3/'Hilfstabellen_Mat&amp;Bem'!$BD$30)</f>
        <v>3.2092278987238636</v>
      </c>
      <c r="DL15" s="553">
        <f>0.5*(1+'Hilfstabellen_Mat&amp;Bem'!$BD$31*(DK15-0.3)+DK15^2)</f>
        <v>5.795033247909986</v>
      </c>
      <c r="DM15" s="550">
        <f t="shared" si="45"/>
        <v>9.4159236772222404E-2</v>
      </c>
      <c r="DO15" s="551">
        <f t="shared" si="46"/>
        <v>422.68081387050637</v>
      </c>
      <c r="DR15" s="547">
        <f>'Hilfstabellen_Mat&amp;Bem'!$J$63</f>
        <v>4</v>
      </c>
      <c r="DS15" s="546">
        <f t="shared" si="47"/>
        <v>67</v>
      </c>
      <c r="DT15" s="551">
        <f t="shared" si="48"/>
        <v>206.81203672464207</v>
      </c>
      <c r="DU15" s="553">
        <f>DT15/PI()*SQRT('Hilfstabellen_Mat&amp;Bem'!f.Rd.3/'Hilfstabellen_Mat&amp;Bem'!$BD$30)</f>
        <v>3.2915157935629384</v>
      </c>
      <c r="DV15" s="553">
        <f>0.5*(1+'Hilfstabellen_Mat&amp;Bem'!$BD$31*(DU15-0.3)+DU15^2)</f>
        <v>6.0666138993152767</v>
      </c>
      <c r="DW15" s="550">
        <f t="shared" si="49"/>
        <v>8.958434904845064E-2</v>
      </c>
      <c r="DY15" s="551">
        <f t="shared" si="50"/>
        <v>402.1441428784949</v>
      </c>
      <c r="EB15" s="547">
        <f>'Hilfstabellen_Mat&amp;Bem'!$J$64</f>
        <v>4.0999999999999996</v>
      </c>
      <c r="EC15" s="546">
        <f t="shared" si="51"/>
        <v>67</v>
      </c>
      <c r="ED15" s="551">
        <f t="shared" si="52"/>
        <v>211.9823376427581</v>
      </c>
      <c r="EE15" s="553">
        <f>ED15/PI()*SQRT('Hilfstabellen_Mat&amp;Bem'!f.Rd.3/'Hilfstabellen_Mat&amp;Bem'!$BD$30)</f>
        <v>3.3738036884020115</v>
      </c>
      <c r="EF15" s="553">
        <f>0.5*(1+'Hilfstabellen_Mat&amp;Bem'!$BD$31*(EE15-0.3)+EE15^2)</f>
        <v>6.3449658483576092</v>
      </c>
      <c r="EG15" s="550">
        <f t="shared" si="53"/>
        <v>8.5334360369225759E-2</v>
      </c>
      <c r="EI15" s="551">
        <f t="shared" si="54"/>
        <v>383.06594369745443</v>
      </c>
      <c r="EL15" s="547">
        <f>'Hilfstabellen_Mat&amp;Bem'!$J$65</f>
        <v>4.2</v>
      </c>
      <c r="EM15" s="546">
        <f t="shared" si="55"/>
        <v>67</v>
      </c>
      <c r="EN15" s="551">
        <f t="shared" si="56"/>
        <v>217.15263856087415</v>
      </c>
      <c r="EO15" s="553">
        <f>EN15/PI()*SQRT('Hilfstabellen_Mat&amp;Bem'!f.Rd.3/'Hilfstabellen_Mat&amp;Bem'!$BD$30)</f>
        <v>3.4560915832410846</v>
      </c>
      <c r="EP15" s="553">
        <f>0.5*(1+'Hilfstabellen_Mat&amp;Bem'!$BD$31*(EO15-0.3)+EO15^2)</f>
        <v>6.6300890950369871</v>
      </c>
      <c r="EQ15" s="550">
        <f t="shared" si="57"/>
        <v>8.1379297352125943E-2</v>
      </c>
      <c r="ES15" s="551">
        <f t="shared" si="58"/>
        <v>365.31166581369337</v>
      </c>
    </row>
    <row r="16" spans="1:149">
      <c r="C16" s="546">
        <v>68</v>
      </c>
      <c r="D16" s="551">
        <f t="shared" si="8"/>
        <v>142.63947827037813</v>
      </c>
      <c r="E16" s="553">
        <f>$D16/PI()*SQRT('Hilfstabellen_Mat&amp;Bem'!f.Rd.3/'Hilfstabellen_Mat&amp;Bem'!$BD$30)</f>
        <v>2.2701778046779673</v>
      </c>
      <c r="F16" s="553">
        <f>0.5*(1+'Hilfstabellen_Mat&amp;Bem'!$BD$31*($E16-0.3)+$E16^2)</f>
        <v>3.1753625226601359</v>
      </c>
      <c r="G16" s="550">
        <f t="shared" si="9"/>
        <v>0.18533801443588971</v>
      </c>
      <c r="I16" s="551">
        <f t="shared" si="10"/>
        <v>857.002978751554</v>
      </c>
      <c r="M16" s="546">
        <f t="shared" si="11"/>
        <v>68</v>
      </c>
      <c r="N16" s="551">
        <f t="shared" si="0"/>
        <v>147.73374535146306</v>
      </c>
      <c r="O16" s="553">
        <f>$N16/PI()*SQRT('Hilfstabellen_Mat&amp;Bem'!f.Rd.3/'Hilfstabellen_Mat&amp;Bem'!$BD$30)</f>
        <v>2.3512555834164663</v>
      </c>
      <c r="P16" s="553">
        <f>0.5*(1+'Hilfstabellen_Mat&amp;Bem'!$BD$31*($O16-0.3)+$O16^2)</f>
        <v>3.3667641884443769</v>
      </c>
      <c r="Q16" s="550">
        <f t="shared" si="1"/>
        <v>0.17311600660422768</v>
      </c>
      <c r="S16" s="551">
        <f t="shared" si="12"/>
        <v>800.48841453794887</v>
      </c>
      <c r="W16" s="546">
        <f t="shared" si="13"/>
        <v>68</v>
      </c>
      <c r="X16" s="551">
        <f t="shared" si="2"/>
        <v>152.82801243254798</v>
      </c>
      <c r="Y16" s="553">
        <f>$X16/PI()*SQRT('Hilfstabellen_Mat&amp;Bem'!f.Rd.3/'Hilfstabellen_Mat&amp;Bem'!$BD$30)</f>
        <v>2.432333362154965</v>
      </c>
      <c r="Z16" s="553">
        <f>0.5*(1+'Hilfstabellen_Mat&amp;Bem'!$BD$31*($Y16-0.3)+$Y16^2)</f>
        <v>3.5647394604337865</v>
      </c>
      <c r="AA16" s="550">
        <f t="shared" si="3"/>
        <v>0.16205570760234314</v>
      </c>
      <c r="AC16" s="551">
        <f t="shared" si="14"/>
        <v>749.3455919532347</v>
      </c>
      <c r="AG16" s="546">
        <f t="shared" si="15"/>
        <v>68</v>
      </c>
      <c r="AH16" s="551">
        <f t="shared" si="4"/>
        <v>157.9222795136329</v>
      </c>
      <c r="AI16" s="553">
        <f>$AH16/PI()*SQRT('Hilfstabellen_Mat&amp;Bem'!f.Rd.3/'Hilfstabellen_Mat&amp;Bem'!$BD$30)</f>
        <v>2.5134111408934636</v>
      </c>
      <c r="AJ16" s="553">
        <f>0.5*(1+'Hilfstabellen_Mat&amp;Bem'!$BD$31*($AI16-0.3)+$AI16^2)</f>
        <v>3.7692883386283644</v>
      </c>
      <c r="AK16" s="550">
        <f t="shared" si="5"/>
        <v>0.15201597631381519</v>
      </c>
      <c r="AM16" s="551">
        <f t="shared" si="16"/>
        <v>702.92187447508149</v>
      </c>
      <c r="AQ16" s="546">
        <f t="shared" si="17"/>
        <v>68</v>
      </c>
      <c r="AR16" s="551">
        <f t="shared" si="6"/>
        <v>163.01654659471785</v>
      </c>
      <c r="AS16" s="553">
        <f>$AR16/PI()*SQRT('Hilfstabellen_Mat&amp;Bem'!f.Rd.3/'Hilfstabellen_Mat&amp;Bem'!$BD$30)</f>
        <v>2.5944889196319627</v>
      </c>
      <c r="AT16" s="553">
        <f>0.5*(1+'Hilfstabellen_Mat&amp;Bem'!$BD$31*($AS16-0.3)+$AS16^2)</f>
        <v>3.9804108230281128</v>
      </c>
      <c r="AU16" s="550">
        <f t="shared" si="7"/>
        <v>0.14287614411114916</v>
      </c>
      <c r="AW16" s="551">
        <f t="shared" si="18"/>
        <v>660.65929036995374</v>
      </c>
      <c r="AZ16" s="547">
        <f>'Hilfstabellen_Mat&amp;Bem'!$J$56</f>
        <v>3.3</v>
      </c>
      <c r="BA16" s="546">
        <f t="shared" si="19"/>
        <v>68</v>
      </c>
      <c r="BB16" s="551">
        <f t="shared" si="20"/>
        <v>168.1108136758028</v>
      </c>
      <c r="BC16" s="553">
        <f>BB16/PI()*SQRT('Hilfstabellen_Mat&amp;Bem'!f.Rd.3/'Hilfstabellen_Mat&amp;Bem'!$BD$30)</f>
        <v>2.6755666983704618</v>
      </c>
      <c r="BD16" s="553">
        <f>0.5*(1+'Hilfstabellen_Mat&amp;Bem'!$BD$31*(BC16-0.3)+BC16^2)</f>
        <v>4.1981069136330298</v>
      </c>
      <c r="BE16" s="550">
        <f t="shared" si="21"/>
        <v>0.13453263184512662</v>
      </c>
      <c r="BG16" s="551">
        <f t="shared" si="22"/>
        <v>622.07888965186555</v>
      </c>
      <c r="BJ16" s="547">
        <f>'Hilfstabellen_Mat&amp;Bem'!$J$57</f>
        <v>3.4</v>
      </c>
      <c r="BK16" s="546">
        <f t="shared" si="23"/>
        <v>68</v>
      </c>
      <c r="BL16" s="551">
        <f t="shared" si="24"/>
        <v>173.20508075688772</v>
      </c>
      <c r="BM16" s="553">
        <f>BL16/PI()*SQRT('Hilfstabellen_Mat&amp;Bem'!f.Rd.3/'Hilfstabellen_Mat&amp;Bem'!$BD$30)</f>
        <v>2.7566444771089604</v>
      </c>
      <c r="BN16" s="553">
        <f>0.5*(1+'Hilfstabellen_Mat&amp;Bem'!$BD$31*(BM16-0.3)+BM16^2)</f>
        <v>4.4223766104431146</v>
      </c>
      <c r="BO16" s="550">
        <f t="shared" si="25"/>
        <v>0.12689617969031575</v>
      </c>
      <c r="BQ16" s="551">
        <f t="shared" si="26"/>
        <v>586.76793488802002</v>
      </c>
      <c r="BT16" s="547">
        <f>'Hilfstabellen_Mat&amp;Bem'!$J$58</f>
        <v>3.5</v>
      </c>
      <c r="BU16" s="546">
        <f t="shared" si="27"/>
        <v>68</v>
      </c>
      <c r="BV16" s="551">
        <f t="shared" si="28"/>
        <v>178.29934783797265</v>
      </c>
      <c r="BW16" s="553">
        <f>BV16/PI()*SQRT('Hilfstabellen_Mat&amp;Bem'!f.Rd.3/'Hilfstabellen_Mat&amp;Bem'!$BD$30)</f>
        <v>2.8377222558474591</v>
      </c>
      <c r="BX16" s="553">
        <f>0.5*(1+'Hilfstabellen_Mat&amp;Bem'!$BD$31*(BW16-0.3)+BW16^2)</f>
        <v>4.6532199134583685</v>
      </c>
      <c r="BY16" s="550">
        <f t="shared" si="29"/>
        <v>0.11988957286348216</v>
      </c>
      <c r="CA16" s="551">
        <f t="shared" si="30"/>
        <v>554.36938492074148</v>
      </c>
      <c r="CD16" s="547">
        <f>'Hilfstabellen_Mat&amp;Bem'!$J$59</f>
        <v>3.6</v>
      </c>
      <c r="CE16" s="546">
        <f t="shared" si="31"/>
        <v>68</v>
      </c>
      <c r="CF16" s="551">
        <f t="shared" si="32"/>
        <v>183.39361491905757</v>
      </c>
      <c r="CG16" s="553">
        <f>CF16/PI()*SQRT('Hilfstabellen_Mat&amp;Bem'!f.Rd.3/'Hilfstabellen_Mat&amp;Bem'!$BD$30)</f>
        <v>2.9188000345859577</v>
      </c>
      <c r="CH16" s="553">
        <f>0.5*(1+'Hilfstabellen_Mat&amp;Bem'!$BD$31*(CG16-0.3)+CG16^2)</f>
        <v>4.8906368226787915</v>
      </c>
      <c r="CI16" s="550">
        <f t="shared" si="33"/>
        <v>0.11344576847035256</v>
      </c>
      <c r="CK16" s="551">
        <f t="shared" si="34"/>
        <v>524.57323340691028</v>
      </c>
      <c r="CN16" s="547">
        <f>'Hilfstabellen_Mat&amp;Bem'!$J$60</f>
        <v>3.7</v>
      </c>
      <c r="CO16" s="546">
        <f t="shared" si="35"/>
        <v>68</v>
      </c>
      <c r="CP16" s="551">
        <f t="shared" si="36"/>
        <v>188.48788200014252</v>
      </c>
      <c r="CQ16" s="553">
        <f>CP16/PI()*SQRT('Hilfstabellen_Mat&amp;Bem'!f.Rd.3/'Hilfstabellen_Mat&amp;Bem'!$BD$30)</f>
        <v>2.9998778133244568</v>
      </c>
      <c r="CR16" s="553">
        <f>0.5*(1+'Hilfstabellen_Mat&amp;Bem'!$BD$31*(CQ16-0.3)+CQ16^2)</f>
        <v>5.1346273381043854</v>
      </c>
      <c r="CS16" s="550">
        <f t="shared" si="37"/>
        <v>0.10750634726507005</v>
      </c>
      <c r="CU16" s="551">
        <f t="shared" si="38"/>
        <v>497.10934975368394</v>
      </c>
      <c r="CX16" s="547">
        <f>'Hilfstabellen_Mat&amp;Bem'!$J$61</f>
        <v>3.8</v>
      </c>
      <c r="CY16" s="546">
        <f t="shared" si="39"/>
        <v>68</v>
      </c>
      <c r="CZ16" s="551">
        <f t="shared" si="40"/>
        <v>193.58214908122744</v>
      </c>
      <c r="DA16" s="553">
        <f>CZ16/PI()*SQRT('Hilfstabellen_Mat&amp;Bem'!f.Rd.3/'Hilfstabellen_Mat&amp;Bem'!$BD$30)</f>
        <v>3.0809555920629554</v>
      </c>
      <c r="DB16" s="553">
        <f>0.5*(1+'Hilfstabellen_Mat&amp;Bem'!$BD$31*(DA16-0.3)+DA16^2)</f>
        <v>5.3851914597351458</v>
      </c>
      <c r="DC16" s="550">
        <f t="shared" si="41"/>
        <v>0.10202022919161298</v>
      </c>
      <c r="DE16" s="551">
        <f t="shared" si="42"/>
        <v>471.74153978201844</v>
      </c>
      <c r="DH16" s="547">
        <f>'Hilfstabellen_Mat&amp;Bem'!$J$62</f>
        <v>3.9</v>
      </c>
      <c r="DI16" s="546">
        <f t="shared" si="43"/>
        <v>68</v>
      </c>
      <c r="DJ16" s="551">
        <f t="shared" si="44"/>
        <v>198.67641616231239</v>
      </c>
      <c r="DK16" s="553">
        <f>DJ16/PI()*SQRT('Hilfstabellen_Mat&amp;Bem'!f.Rd.3/'Hilfstabellen_Mat&amp;Bem'!$BD$30)</f>
        <v>3.1620333708014545</v>
      </c>
      <c r="DL16" s="553">
        <f>0.5*(1+'Hilfstabellen_Mat&amp;Bem'!$BD$31*(DK16-0.3)+DK16^2)</f>
        <v>5.642329187571077</v>
      </c>
      <c r="DM16" s="550">
        <f t="shared" si="45"/>
        <v>9.6942603702253966E-2</v>
      </c>
      <c r="DO16" s="551">
        <f t="shared" si="46"/>
        <v>448.26259951922236</v>
      </c>
      <c r="DR16" s="547">
        <f>'Hilfstabellen_Mat&amp;Bem'!$J$63</f>
        <v>4</v>
      </c>
      <c r="DS16" s="546">
        <f t="shared" si="47"/>
        <v>68</v>
      </c>
      <c r="DT16" s="551">
        <f t="shared" si="48"/>
        <v>203.77068324339731</v>
      </c>
      <c r="DU16" s="553">
        <f>DT16/PI()*SQRT('Hilfstabellen_Mat&amp;Bem'!f.Rd.3/'Hilfstabellen_Mat&amp;Bem'!$BD$30)</f>
        <v>3.2431111495399536</v>
      </c>
      <c r="DV16" s="553">
        <f>0.5*(1+'Hilfstabellen_Mat&amp;Bem'!$BD$31*(DU16-0.3)+DU16^2)</f>
        <v>5.9060405216121774</v>
      </c>
      <c r="DW16" s="550">
        <f t="shared" si="49"/>
        <v>9.2234035529692268E-2</v>
      </c>
      <c r="DY16" s="551">
        <f t="shared" si="50"/>
        <v>426.49018028929703</v>
      </c>
      <c r="EB16" s="547">
        <f>'Hilfstabellen_Mat&amp;Bem'!$J$64</f>
        <v>4.0999999999999996</v>
      </c>
      <c r="EC16" s="546">
        <f t="shared" si="51"/>
        <v>68</v>
      </c>
      <c r="ED16" s="551">
        <f t="shared" si="52"/>
        <v>208.86495032448227</v>
      </c>
      <c r="EE16" s="553">
        <f>ED16/PI()*SQRT('Hilfstabellen_Mat&amp;Bem'!f.Rd.3/'Hilfstabellen_Mat&amp;Bem'!$BD$30)</f>
        <v>3.3241889282784522</v>
      </c>
      <c r="EF16" s="553">
        <f>0.5*(1+'Hilfstabellen_Mat&amp;Bem'!$BD$31*(EE16-0.3)+EE16^2)</f>
        <v>6.1763254618584451</v>
      </c>
      <c r="EG16" s="550">
        <f t="shared" si="53"/>
        <v>8.7859714295482005E-2</v>
      </c>
      <c r="EI16" s="551">
        <f t="shared" si="54"/>
        <v>406.26331890230881</v>
      </c>
      <c r="EL16" s="547">
        <f>'Hilfstabellen_Mat&amp;Bem'!$J$65</f>
        <v>4.2</v>
      </c>
      <c r="EM16" s="546">
        <f t="shared" si="55"/>
        <v>68</v>
      </c>
      <c r="EN16" s="551">
        <f t="shared" si="56"/>
        <v>213.95921740556719</v>
      </c>
      <c r="EO16" s="553">
        <f>EN16/PI()*SQRT('Hilfstabellen_Mat&amp;Bem'!f.Rd.3/'Hilfstabellen_Mat&amp;Bem'!$BD$30)</f>
        <v>3.4052667070169513</v>
      </c>
      <c r="EP16" s="553">
        <f>0.5*(1+'Hilfstabellen_Mat&amp;Bem'!$BD$31*(EO16-0.3)+EO16^2)</f>
        <v>6.4531840083098828</v>
      </c>
      <c r="EQ16" s="550">
        <f t="shared" si="57"/>
        <v>8.3788822466063867E-2</v>
      </c>
      <c r="ES16" s="551">
        <f t="shared" si="58"/>
        <v>387.4395150830793</v>
      </c>
    </row>
    <row r="17" spans="3:149">
      <c r="C17" s="546">
        <v>69</v>
      </c>
      <c r="D17" s="551">
        <f t="shared" si="8"/>
        <v>140.57223945486541</v>
      </c>
      <c r="E17" s="553">
        <f>$D17/PI()*SQRT('Hilfstabellen_Mat&amp;Bem'!f.Rd.3/'Hilfstabellen_Mat&amp;Bem'!$BD$30)</f>
        <v>2.2372766770739392</v>
      </c>
      <c r="F17" s="553">
        <f>0.5*(1+'Hilfstabellen_Mat&amp;Bem'!$BD$31*($E17-0.3)+$E17^2)</f>
        <v>3.0995672987432004</v>
      </c>
      <c r="G17" s="550">
        <f t="shared" si="9"/>
        <v>0.19066599570315113</v>
      </c>
      <c r="I17" s="551">
        <f t="shared" si="10"/>
        <v>907.76080554270254</v>
      </c>
      <c r="M17" s="546">
        <f t="shared" si="11"/>
        <v>69</v>
      </c>
      <c r="N17" s="551">
        <f t="shared" si="0"/>
        <v>145.59267657825345</v>
      </c>
      <c r="O17" s="553">
        <f>$N17/PI()*SQRT('Hilfstabellen_Mat&amp;Bem'!f.Rd.3/'Hilfstabellen_Mat&amp;Bem'!$BD$30)</f>
        <v>2.3171794155408652</v>
      </c>
      <c r="P17" s="553">
        <f>0.5*(1+'Hilfstabellen_Mat&amp;Bem'!$BD$31*($O17-0.3)+$O17^2)</f>
        <v>3.2855191926801961</v>
      </c>
      <c r="Q17" s="550">
        <f t="shared" si="1"/>
        <v>0.17810232136316001</v>
      </c>
      <c r="S17" s="551">
        <f t="shared" si="12"/>
        <v>847.94515201000479</v>
      </c>
      <c r="W17" s="546">
        <f t="shared" si="13"/>
        <v>69</v>
      </c>
      <c r="X17" s="551">
        <f t="shared" si="2"/>
        <v>150.61311370164151</v>
      </c>
      <c r="Y17" s="553">
        <f>$X17/PI()*SQRT('Hilfstabellen_Mat&amp;Bem'!f.Rd.3/'Hilfstabellen_Mat&amp;Bem'!$BD$30)</f>
        <v>2.397082154007792</v>
      </c>
      <c r="Z17" s="553">
        <f>0.5*(1+'Hilfstabellen_Mat&amp;Bem'!$BD$31*($Y17-0.3)+$Y17^2)</f>
        <v>3.4778555342317072</v>
      </c>
      <c r="AA17" s="550">
        <f t="shared" si="3"/>
        <v>0.16673135157845953</v>
      </c>
      <c r="AC17" s="551">
        <f t="shared" si="14"/>
        <v>793.80796486504585</v>
      </c>
      <c r="AG17" s="546">
        <f t="shared" si="15"/>
        <v>69</v>
      </c>
      <c r="AH17" s="551">
        <f t="shared" si="4"/>
        <v>155.63355082502954</v>
      </c>
      <c r="AI17" s="553">
        <f>$AH17/PI()*SQRT('Hilfstabellen_Mat&amp;Bem'!f.Rd.3/'Hilfstabellen_Mat&amp;Bem'!$BD$30)</f>
        <v>2.476984892474718</v>
      </c>
      <c r="AJ17" s="553">
        <f>0.5*(1+'Hilfstabellen_Mat&amp;Bem'!$BD$31*($AI17-0.3)+$AI17^2)</f>
        <v>3.6765763233977307</v>
      </c>
      <c r="AK17" s="550">
        <f t="shared" si="5"/>
        <v>0.15640846988561796</v>
      </c>
      <c r="AM17" s="551">
        <f t="shared" si="16"/>
        <v>744.66072512542712</v>
      </c>
      <c r="AQ17" s="546">
        <f t="shared" si="17"/>
        <v>69</v>
      </c>
      <c r="AR17" s="551">
        <f t="shared" si="6"/>
        <v>160.65398794841761</v>
      </c>
      <c r="AS17" s="553">
        <f>$AR17/PI()*SQRT('Hilfstabellen_Mat&amp;Bem'!f.Rd.3/'Hilfstabellen_Mat&amp;Bem'!$BD$30)</f>
        <v>2.5568876309416448</v>
      </c>
      <c r="AT17" s="553">
        <f>0.5*(1+'Hilfstabellen_Mat&amp;Bem'!$BD$31*($AS17-0.3)+$AS17^2)</f>
        <v>3.8816815601782708</v>
      </c>
      <c r="AU17" s="550">
        <f t="shared" si="7"/>
        <v>0.14700996820472786</v>
      </c>
      <c r="AW17" s="551">
        <f t="shared" si="18"/>
        <v>699.91445862270939</v>
      </c>
      <c r="AZ17" s="547">
        <f>'Hilfstabellen_Mat&amp;Bem'!$J$56</f>
        <v>3.3</v>
      </c>
      <c r="BA17" s="546">
        <f t="shared" si="19"/>
        <v>69</v>
      </c>
      <c r="BB17" s="551">
        <f t="shared" si="20"/>
        <v>165.67442507180564</v>
      </c>
      <c r="BC17" s="553">
        <f>BB17/PI()*SQRT('Hilfstabellen_Mat&amp;Bem'!f.Rd.3/'Hilfstabellen_Mat&amp;Bem'!$BD$30)</f>
        <v>2.6367903694085708</v>
      </c>
      <c r="BD17" s="553">
        <f>0.5*(1+'Hilfstabellen_Mat&amp;Bem'!$BD$31*(BC17-0.3)+BC17^2)</f>
        <v>4.0931712445733224</v>
      </c>
      <c r="BE17" s="550">
        <f t="shared" si="21"/>
        <v>0.13842961025796457</v>
      </c>
      <c r="BG17" s="551">
        <f t="shared" si="22"/>
        <v>659.06337443816938</v>
      </c>
      <c r="BJ17" s="547">
        <f>'Hilfstabellen_Mat&amp;Bem'!$J$57</f>
        <v>3.4</v>
      </c>
      <c r="BK17" s="546">
        <f t="shared" si="23"/>
        <v>69</v>
      </c>
      <c r="BL17" s="551">
        <f t="shared" si="24"/>
        <v>170.69486219519368</v>
      </c>
      <c r="BM17" s="553">
        <f>BL17/PI()*SQRT('Hilfstabellen_Mat&amp;Bem'!f.Rd.3/'Hilfstabellen_Mat&amp;Bem'!$BD$30)</f>
        <v>2.7166931078754968</v>
      </c>
      <c r="BN17" s="553">
        <f>0.5*(1+'Hilfstabellen_Mat&amp;Bem'!$BD$31*(BM17-0.3)+BM17^2)</f>
        <v>4.3110453765828876</v>
      </c>
      <c r="BO17" s="550">
        <f t="shared" si="25"/>
        <v>0.13057581190330128</v>
      </c>
      <c r="BQ17" s="551">
        <f t="shared" si="26"/>
        <v>621.67144047161742</v>
      </c>
      <c r="BT17" s="547">
        <f>'Hilfstabellen_Mat&amp;Bem'!$J$58</f>
        <v>3.5</v>
      </c>
      <c r="BU17" s="546">
        <f t="shared" si="27"/>
        <v>69</v>
      </c>
      <c r="BV17" s="551">
        <f t="shared" si="28"/>
        <v>175.71529931858174</v>
      </c>
      <c r="BW17" s="553">
        <f>BV17/PI()*SQRT('Hilfstabellen_Mat&amp;Bem'!f.Rd.3/'Hilfstabellen_Mat&amp;Bem'!$BD$30)</f>
        <v>2.7965958463424236</v>
      </c>
      <c r="BX17" s="553">
        <f>0.5*(1+'Hilfstabellen_Mat&amp;Bem'!$BD$31*(BW17-0.3)+BW17^2)</f>
        <v>4.5353039562069695</v>
      </c>
      <c r="BY17" s="550">
        <f t="shared" si="29"/>
        <v>0.12336932256191914</v>
      </c>
      <c r="CA17" s="551">
        <f t="shared" si="30"/>
        <v>587.36134471729702</v>
      </c>
      <c r="CD17" s="547">
        <f>'Hilfstabellen_Mat&amp;Bem'!$J$59</f>
        <v>3.6</v>
      </c>
      <c r="CE17" s="546">
        <f t="shared" si="31"/>
        <v>69</v>
      </c>
      <c r="CF17" s="551">
        <f t="shared" si="32"/>
        <v>180.73573644196978</v>
      </c>
      <c r="CG17" s="553">
        <f>CF17/PI()*SQRT('Hilfstabellen_Mat&amp;Bem'!f.Rd.3/'Hilfstabellen_Mat&amp;Bem'!$BD$30)</f>
        <v>2.8764985848093496</v>
      </c>
      <c r="CH17" s="553">
        <f>0.5*(1+'Hilfstabellen_Mat&amp;Bem'!$BD$31*(CG17-0.3)+CG17^2)</f>
        <v>4.7659469834455628</v>
      </c>
      <c r="CI17" s="550">
        <f t="shared" si="33"/>
        <v>0.11674131318631241</v>
      </c>
      <c r="CK17" s="551">
        <f t="shared" si="34"/>
        <v>555.80539208003336</v>
      </c>
      <c r="CN17" s="547">
        <f>'Hilfstabellen_Mat&amp;Bem'!$J$60</f>
        <v>3.7</v>
      </c>
      <c r="CO17" s="546">
        <f t="shared" si="35"/>
        <v>69</v>
      </c>
      <c r="CP17" s="551">
        <f t="shared" si="36"/>
        <v>185.75617356535784</v>
      </c>
      <c r="CQ17" s="553">
        <f>CP17/PI()*SQRT('Hilfstabellen_Mat&amp;Bem'!f.Rd.3/'Hilfstabellen_Mat&amp;Bem'!$BD$30)</f>
        <v>2.9564013232762765</v>
      </c>
      <c r="CR17" s="553">
        <f>0.5*(1+'Hilfstabellen_Mat&amp;Bem'!$BD$31*(CQ17-0.3)+CQ17^2)</f>
        <v>5.0029744582986728</v>
      </c>
      <c r="CS17" s="550">
        <f t="shared" si="37"/>
        <v>0.11063179427382726</v>
      </c>
      <c r="CU17" s="551">
        <f t="shared" si="38"/>
        <v>526.71797253769159</v>
      </c>
      <c r="CX17" s="547">
        <f>'Hilfstabellen_Mat&amp;Bem'!$J$61</f>
        <v>3.8</v>
      </c>
      <c r="CY17" s="546">
        <f t="shared" si="39"/>
        <v>69</v>
      </c>
      <c r="CZ17" s="551">
        <f t="shared" si="40"/>
        <v>190.7766106887459</v>
      </c>
      <c r="DA17" s="553">
        <f>CZ17/PI()*SQRT('Hilfstabellen_Mat&amp;Bem'!f.Rd.3/'Hilfstabellen_Mat&amp;Bem'!$BD$30)</f>
        <v>3.0363040617432029</v>
      </c>
      <c r="DB17" s="553">
        <f>0.5*(1+'Hilfstabellen_Mat&amp;Bem'!$BD$31*(DA17-0.3)+DA17^2)</f>
        <v>5.246386380766296</v>
      </c>
      <c r="DC17" s="550">
        <f t="shared" si="41"/>
        <v>0.10498830231126875</v>
      </c>
      <c r="DE17" s="551">
        <f t="shared" si="42"/>
        <v>499.84930730395052</v>
      </c>
      <c r="DH17" s="547">
        <f>'Hilfstabellen_Mat&amp;Bem'!$J$62</f>
        <v>3.9</v>
      </c>
      <c r="DI17" s="546">
        <f t="shared" si="43"/>
        <v>69</v>
      </c>
      <c r="DJ17" s="551">
        <f t="shared" si="44"/>
        <v>195.79704781213394</v>
      </c>
      <c r="DK17" s="553">
        <f>DJ17/PI()*SQRT('Hilfstabellen_Mat&amp;Bem'!f.Rd.3/'Hilfstabellen_Mat&amp;Bem'!$BD$30)</f>
        <v>3.1162068002101293</v>
      </c>
      <c r="DL17" s="553">
        <f>0.5*(1+'Hilfstabellen_Mat&amp;Bem'!$BD$31*(DK17-0.3)+DK17^2)</f>
        <v>5.4961827508484333</v>
      </c>
      <c r="DM17" s="550">
        <f t="shared" si="45"/>
        <v>9.9764805098491421E-2</v>
      </c>
      <c r="DO17" s="551">
        <f t="shared" si="46"/>
        <v>474.98023707391764</v>
      </c>
      <c r="DR17" s="547">
        <f>'Hilfstabellen_Mat&amp;Bem'!$J$63</f>
        <v>4</v>
      </c>
      <c r="DS17" s="546">
        <f t="shared" si="47"/>
        <v>69</v>
      </c>
      <c r="DT17" s="551">
        <f t="shared" si="48"/>
        <v>200.817484935522</v>
      </c>
      <c r="DU17" s="553">
        <f>DT17/PI()*SQRT('Hilfstabellen_Mat&amp;Bem'!f.Rd.3/'Hilfstabellen_Mat&amp;Bem'!$BD$30)</f>
        <v>3.1961095386770557</v>
      </c>
      <c r="DV17" s="553">
        <f>0.5*(1+'Hilfstabellen_Mat&amp;Bem'!$BD$31*(DU17-0.3)+DU17^2)</f>
        <v>5.7523635685450838</v>
      </c>
      <c r="DW17" s="550">
        <f t="shared" si="49"/>
        <v>9.4920786088163067E-2</v>
      </c>
      <c r="DY17" s="551">
        <f t="shared" si="50"/>
        <v>451.91786256574437</v>
      </c>
      <c r="EB17" s="547">
        <f>'Hilfstabellen_Mat&amp;Bem'!$J$64</f>
        <v>4.0999999999999996</v>
      </c>
      <c r="EC17" s="546">
        <f t="shared" si="51"/>
        <v>69</v>
      </c>
      <c r="ED17" s="551">
        <f t="shared" si="52"/>
        <v>205.83792205891004</v>
      </c>
      <c r="EE17" s="553">
        <f>ED17/PI()*SQRT('Hilfstabellen_Mat&amp;Bem'!f.Rd.3/'Hilfstabellen_Mat&amp;Bem'!$BD$30)</f>
        <v>3.2760122771439821</v>
      </c>
      <c r="EF17" s="553">
        <f>0.5*(1+'Hilfstabellen_Mat&amp;Bem'!$BD$31*(EE17-0.3)+EE17^2)</f>
        <v>6.0149288338562492</v>
      </c>
      <c r="EG17" s="550">
        <f t="shared" si="53"/>
        <v>9.042047562607089E-2</v>
      </c>
      <c r="EI17" s="551">
        <f t="shared" si="54"/>
        <v>430.49188445572349</v>
      </c>
      <c r="EL17" s="547">
        <f>'Hilfstabellen_Mat&amp;Bem'!$J$65</f>
        <v>4.2</v>
      </c>
      <c r="EM17" s="546">
        <f t="shared" si="55"/>
        <v>69</v>
      </c>
      <c r="EN17" s="551">
        <f t="shared" si="56"/>
        <v>210.8583591822981</v>
      </c>
      <c r="EO17" s="553">
        <f>EN17/PI()*SQRT('Hilfstabellen_Mat&amp;Bem'!f.Rd.3/'Hilfstabellen_Mat&amp;Bem'!$BD$30)</f>
        <v>3.3559150156109085</v>
      </c>
      <c r="EP17" s="553">
        <f>0.5*(1+'Hilfstabellen_Mat&amp;Bem'!$BD$31*(EO17-0.3)+EO17^2)</f>
        <v>6.2838785467819278</v>
      </c>
      <c r="EQ17" s="550">
        <f t="shared" si="57"/>
        <v>8.6232203159352733E-2</v>
      </c>
      <c r="ES17" s="551">
        <f t="shared" si="58"/>
        <v>410.55151924167836</v>
      </c>
    </row>
    <row r="18" spans="3:149">
      <c r="C18" s="546">
        <v>70</v>
      </c>
      <c r="D18" s="551">
        <f t="shared" si="8"/>
        <v>138.56406460551017</v>
      </c>
      <c r="E18" s="553">
        <f>$D18/PI()*SQRT('Hilfstabellen_Mat&amp;Bem'!f.Rd.3/'Hilfstabellen_Mat&amp;Bem'!$BD$30)</f>
        <v>2.2053155816871679</v>
      </c>
      <c r="F18" s="553">
        <f>0.5*(1+'Hilfstabellen_Mat&amp;Bem'!$BD$31*($E18-0.3)+$E18^2)</f>
        <v>3.026974186500464</v>
      </c>
      <c r="G18" s="550">
        <f t="shared" si="9"/>
        <v>0.19606248557633724</v>
      </c>
      <c r="I18" s="551">
        <f t="shared" si="10"/>
        <v>960.70617932405241</v>
      </c>
      <c r="M18" s="546">
        <f t="shared" si="11"/>
        <v>70</v>
      </c>
      <c r="N18" s="551">
        <f t="shared" si="0"/>
        <v>143.51278119856411</v>
      </c>
      <c r="O18" s="553">
        <f>$N18/PI()*SQRT('Hilfstabellen_Mat&amp;Bem'!f.Rd.3/'Hilfstabellen_Mat&amp;Bem'!$BD$30)</f>
        <v>2.2840768524617103</v>
      </c>
      <c r="P18" s="553">
        <f>0.5*(1+'Hilfstabellen_Mat&amp;Bem'!$BD$31*($O18-0.3)+$O18^2)</f>
        <v>3.2077073765987825</v>
      </c>
      <c r="Q18" s="550">
        <f t="shared" si="1"/>
        <v>0.18315347853146255</v>
      </c>
      <c r="S18" s="551">
        <f t="shared" si="12"/>
        <v>897.45204480416646</v>
      </c>
      <c r="W18" s="546">
        <f t="shared" si="13"/>
        <v>70</v>
      </c>
      <c r="X18" s="551">
        <f t="shared" si="2"/>
        <v>148.46149779161803</v>
      </c>
      <c r="Y18" s="553">
        <f>$X18/PI()*SQRT('Hilfstabellen_Mat&amp;Bem'!f.Rd.3/'Hilfstabellen_Mat&amp;Bem'!$BD$30)</f>
        <v>2.3628381232362514</v>
      </c>
      <c r="Z18" s="553">
        <f>0.5*(1+'Hilfstabellen_Mat&amp;Bem'!$BD$31*($Y18-0.3)+$Y18^2)</f>
        <v>3.3946439044711179</v>
      </c>
      <c r="AA18" s="550">
        <f t="shared" si="3"/>
        <v>0.17146837621828159</v>
      </c>
      <c r="AC18" s="551">
        <f t="shared" si="14"/>
        <v>840.19504346957979</v>
      </c>
      <c r="AG18" s="546">
        <f t="shared" si="15"/>
        <v>70</v>
      </c>
      <c r="AH18" s="551">
        <f t="shared" si="4"/>
        <v>153.41021438467197</v>
      </c>
      <c r="AI18" s="553">
        <f>$AH18/PI()*SQRT('Hilfstabellen_Mat&amp;Bem'!f.Rd.3/'Hilfstabellen_Mat&amp;Bem'!$BD$30)</f>
        <v>2.4415993940107934</v>
      </c>
      <c r="AJ18" s="553">
        <f>0.5*(1+'Hilfstabellen_Mat&amp;Bem'!$BD$31*($AI18-0.3)+$AI18^2)</f>
        <v>3.5877837701174764</v>
      </c>
      <c r="AK18" s="550">
        <f t="shared" si="5"/>
        <v>0.16085909246623747</v>
      </c>
      <c r="AM18" s="551">
        <f t="shared" si="16"/>
        <v>788.20955308456359</v>
      </c>
      <c r="AQ18" s="546">
        <f t="shared" si="17"/>
        <v>70</v>
      </c>
      <c r="AR18" s="551">
        <f t="shared" si="6"/>
        <v>158.35893097772592</v>
      </c>
      <c r="AS18" s="553">
        <f>$AR18/PI()*SQRT('Hilfstabellen_Mat&amp;Bem'!f.Rd.3/'Hilfstabellen_Mat&amp;Bem'!$BD$30)</f>
        <v>2.5203606647853354</v>
      </c>
      <c r="AT18" s="553">
        <f>0.5*(1+'Hilfstabellen_Mat&amp;Bem'!$BD$31*($AS18-0.3)+$AS18^2)</f>
        <v>3.7871269735378554</v>
      </c>
      <c r="AU18" s="550">
        <f t="shared" si="7"/>
        <v>0.15119887697503148</v>
      </c>
      <c r="AW18" s="551">
        <f t="shared" si="18"/>
        <v>740.87449717765423</v>
      </c>
      <c r="AZ18" s="547">
        <f>'Hilfstabellen_Mat&amp;Bem'!$J$56</f>
        <v>3.3</v>
      </c>
      <c r="BA18" s="546">
        <f t="shared" si="19"/>
        <v>70</v>
      </c>
      <c r="BB18" s="551">
        <f t="shared" si="20"/>
        <v>163.30764757077986</v>
      </c>
      <c r="BC18" s="553">
        <f>BB18/PI()*SQRT('Hilfstabellen_Mat&amp;Bem'!f.Rd.3/'Hilfstabellen_Mat&amp;Bem'!$BD$30)</f>
        <v>2.5991219355598769</v>
      </c>
      <c r="BD18" s="553">
        <f>0.5*(1+'Hilfstabellen_Mat&amp;Bem'!$BD$31*(BC18-0.3)+BC18^2)</f>
        <v>3.9926735147322545</v>
      </c>
      <c r="BE18" s="550">
        <f t="shared" si="21"/>
        <v>0.14237882870511853</v>
      </c>
      <c r="BG18" s="551">
        <f t="shared" si="22"/>
        <v>697.65626065508081</v>
      </c>
      <c r="BJ18" s="547">
        <f>'Hilfstabellen_Mat&amp;Bem'!$J$57</f>
        <v>3.4</v>
      </c>
      <c r="BK18" s="546">
        <f t="shared" si="23"/>
        <v>70</v>
      </c>
      <c r="BL18" s="551">
        <f t="shared" si="24"/>
        <v>168.25636416383378</v>
      </c>
      <c r="BM18" s="553">
        <f>BL18/PI()*SQRT('Hilfstabellen_Mat&amp;Bem'!f.Rd.3/'Hilfstabellen_Mat&amp;Bem'!$BD$30)</f>
        <v>2.6778832063344185</v>
      </c>
      <c r="BN18" s="553">
        <f>0.5*(1+'Hilfstabellen_Mat&amp;Bem'!$BD$31*(BM18-0.3)+BM18^2)</f>
        <v>4.2044233937006741</v>
      </c>
      <c r="BO18" s="550">
        <f t="shared" si="25"/>
        <v>0.13430502891637738</v>
      </c>
      <c r="BQ18" s="551">
        <f t="shared" si="26"/>
        <v>658.0946416902492</v>
      </c>
      <c r="BT18" s="547">
        <f>'Hilfstabellen_Mat&amp;Bem'!$J$58</f>
        <v>3.5</v>
      </c>
      <c r="BU18" s="546">
        <f t="shared" si="27"/>
        <v>70</v>
      </c>
      <c r="BV18" s="551">
        <f t="shared" si="28"/>
        <v>173.20508075688772</v>
      </c>
      <c r="BW18" s="553">
        <f>BV18/PI()*SQRT('Hilfstabellen_Mat&amp;Bem'!f.Rd.3/'Hilfstabellen_Mat&amp;Bem'!$BD$30)</f>
        <v>2.7566444771089604</v>
      </c>
      <c r="BX18" s="553">
        <f>0.5*(1+'Hilfstabellen_Mat&amp;Bem'!$BD$31*(BW18-0.3)+BW18^2)</f>
        <v>4.4223766104431146</v>
      </c>
      <c r="BY18" s="550">
        <f t="shared" si="29"/>
        <v>0.12689617969031575</v>
      </c>
      <c r="CA18" s="551">
        <f t="shared" si="30"/>
        <v>621.79128048254711</v>
      </c>
      <c r="CD18" s="547">
        <f>'Hilfstabellen_Mat&amp;Bem'!$J$59</f>
        <v>3.6</v>
      </c>
      <c r="CE18" s="546">
        <f t="shared" si="31"/>
        <v>70</v>
      </c>
      <c r="CF18" s="551">
        <f t="shared" si="32"/>
        <v>178.15379734994167</v>
      </c>
      <c r="CG18" s="553">
        <f>CF18/PI()*SQRT('Hilfstabellen_Mat&amp;Bem'!f.Rd.3/'Hilfstabellen_Mat&amp;Bem'!$BD$30)</f>
        <v>2.8354057478835024</v>
      </c>
      <c r="CH18" s="553">
        <f>0.5*(1+'Hilfstabellen_Mat&amp;Bem'!$BD$31*(CG18-0.3)+CG18^2)</f>
        <v>4.6465331649595765</v>
      </c>
      <c r="CI18" s="550">
        <f t="shared" si="33"/>
        <v>0.12008165387947506</v>
      </c>
      <c r="CK18" s="551">
        <f t="shared" si="34"/>
        <v>588.40010400942776</v>
      </c>
      <c r="CN18" s="547">
        <f>'Hilfstabellen_Mat&amp;Bem'!$J$60</f>
        <v>3.7</v>
      </c>
      <c r="CO18" s="546">
        <f t="shared" si="35"/>
        <v>70</v>
      </c>
      <c r="CP18" s="551">
        <f t="shared" si="36"/>
        <v>183.10251394299559</v>
      </c>
      <c r="CQ18" s="553">
        <f>CP18/PI()*SQRT('Hilfstabellen_Mat&amp;Bem'!f.Rd.3/'Hilfstabellen_Mat&amp;Bem'!$BD$30)</f>
        <v>2.9141670186580435</v>
      </c>
      <c r="CR18" s="553">
        <f>0.5*(1+'Hilfstabellen_Mat&amp;Bem'!$BD$31*(CQ18-0.3)+CQ18^2)</f>
        <v>4.8768930572500571</v>
      </c>
      <c r="CS18" s="550">
        <f t="shared" si="37"/>
        <v>0.11379987989987189</v>
      </c>
      <c r="CU18" s="551">
        <f t="shared" si="38"/>
        <v>557.6194115093723</v>
      </c>
      <c r="CX18" s="547">
        <f>'Hilfstabellen_Mat&amp;Bem'!$J$61</f>
        <v>3.8</v>
      </c>
      <c r="CY18" s="546">
        <f t="shared" si="39"/>
        <v>70</v>
      </c>
      <c r="CZ18" s="551">
        <f t="shared" si="40"/>
        <v>188.05123053604953</v>
      </c>
      <c r="DA18" s="553">
        <f>CZ18/PI()*SQRT('Hilfstabellen_Mat&amp;Bem'!f.Rd.3/'Hilfstabellen_Mat&amp;Bem'!$BD$30)</f>
        <v>2.9929282894325855</v>
      </c>
      <c r="DB18" s="553">
        <f>0.5*(1+'Hilfstabellen_Mat&amp;Bem'!$BD$31*(DA18-0.3)+DA18^2)</f>
        <v>5.1134562873145608</v>
      </c>
      <c r="DC18" s="550">
        <f t="shared" si="41"/>
        <v>0.10799699938911671</v>
      </c>
      <c r="DE18" s="551">
        <f t="shared" si="42"/>
        <v>529.18529700667182</v>
      </c>
      <c r="DH18" s="547">
        <f>'Hilfstabellen_Mat&amp;Bem'!$J$62</f>
        <v>3.9</v>
      </c>
      <c r="DI18" s="546">
        <f t="shared" si="43"/>
        <v>70</v>
      </c>
      <c r="DJ18" s="551">
        <f t="shared" si="44"/>
        <v>192.99994712910348</v>
      </c>
      <c r="DK18" s="553">
        <f>DJ18/PI()*SQRT('Hilfstabellen_Mat&amp;Bem'!f.Rd.3/'Hilfstabellen_Mat&amp;Bem'!$BD$30)</f>
        <v>3.0716895602071275</v>
      </c>
      <c r="DL18" s="553">
        <f>0.5*(1+'Hilfstabellen_Mat&amp;Bem'!$BD$31*(DK18-0.3)+DK18^2)</f>
        <v>5.3562228551530842</v>
      </c>
      <c r="DM18" s="550">
        <f t="shared" si="45"/>
        <v>0.10262574770808391</v>
      </c>
      <c r="DO18" s="551">
        <f t="shared" si="46"/>
        <v>502.86616376961121</v>
      </c>
      <c r="DR18" s="547">
        <f>'Hilfstabellen_Mat&amp;Bem'!$J$63</f>
        <v>4</v>
      </c>
      <c r="DS18" s="546">
        <f t="shared" si="47"/>
        <v>70</v>
      </c>
      <c r="DT18" s="551">
        <f t="shared" si="48"/>
        <v>197.94866372215739</v>
      </c>
      <c r="DU18" s="553">
        <f>DT18/PI()*SQRT('Hilfstabellen_Mat&amp;Bem'!f.Rd.3/'Hilfstabellen_Mat&amp;Bem'!$BD$30)</f>
        <v>3.150450830981669</v>
      </c>
      <c r="DV18" s="553">
        <f>0.5*(1+'Hilfstabellen_Mat&amp;Bem'!$BD$31*(DU18-0.3)+DU18^2)</f>
        <v>5.605192760765628</v>
      </c>
      <c r="DW18" s="550">
        <f t="shared" si="49"/>
        <v>9.7644516933586098E-2</v>
      </c>
      <c r="DY18" s="551">
        <f t="shared" si="50"/>
        <v>478.45813297457187</v>
      </c>
      <c r="EB18" s="547">
        <f>'Hilfstabellen_Mat&amp;Bem'!$J$64</f>
        <v>4.0999999999999996</v>
      </c>
      <c r="EC18" s="546">
        <f t="shared" si="51"/>
        <v>70</v>
      </c>
      <c r="ED18" s="551">
        <f t="shared" si="52"/>
        <v>202.89738031521131</v>
      </c>
      <c r="EE18" s="553">
        <f>ED18/PI()*SQRT('Hilfstabellen_Mat&amp;Bem'!f.Rd.3/'Hilfstabellen_Mat&amp;Bem'!$BD$30)</f>
        <v>3.2292121017562105</v>
      </c>
      <c r="EF18" s="553">
        <f>0.5*(1+'Hilfstabellen_Mat&amp;Bem'!$BD$31*(EE18-0.3)+EE18^2)</f>
        <v>5.8603660041521914</v>
      </c>
      <c r="EG18" s="550">
        <f t="shared" si="53"/>
        <v>9.3016568760417764E-2</v>
      </c>
      <c r="EI18" s="551">
        <f t="shared" si="54"/>
        <v>455.78118692604704</v>
      </c>
      <c r="EL18" s="547">
        <f>'Hilfstabellen_Mat&amp;Bem'!$J$65</f>
        <v>4.2</v>
      </c>
      <c r="EM18" s="546">
        <f t="shared" si="55"/>
        <v>70</v>
      </c>
      <c r="EN18" s="551">
        <f t="shared" si="56"/>
        <v>207.84609690826525</v>
      </c>
      <c r="EO18" s="553">
        <f>EN18/PI()*SQRT('Hilfstabellen_Mat&amp;Bem'!f.Rd.3/'Hilfstabellen_Mat&amp;Bem'!$BD$30)</f>
        <v>3.3079733725307521</v>
      </c>
      <c r="EP18" s="553">
        <f>0.5*(1+'Hilfstabellen_Mat&amp;Bem'!$BD$31*(EO18-0.3)+EO18^2)</f>
        <v>6.1217425853127763</v>
      </c>
      <c r="EQ18" s="550">
        <f t="shared" si="57"/>
        <v>8.8709370957235356E-2</v>
      </c>
      <c r="ES18" s="551">
        <f t="shared" si="58"/>
        <v>434.67591769045322</v>
      </c>
    </row>
    <row r="19" spans="3:149">
      <c r="C19" s="546">
        <v>71</v>
      </c>
      <c r="D19" s="551">
        <f t="shared" si="8"/>
        <v>136.61245806177058</v>
      </c>
      <c r="E19" s="553">
        <f>$D19/PI()*SQRT('Hilfstabellen_Mat&amp;Bem'!f.Rd.3/'Hilfstabellen_Mat&amp;Bem'!$BD$30)</f>
        <v>2.1742547988465035</v>
      </c>
      <c r="F19" s="553">
        <f>0.5*(1+'Hilfstabellen_Mat&amp;Bem'!$BD$31*($E19-0.3)+$E19^2)</f>
        <v>2.9574047050958501</v>
      </c>
      <c r="G19" s="550">
        <f t="shared" si="9"/>
        <v>0.20152701753057661</v>
      </c>
      <c r="I19" s="551">
        <f t="shared" si="10"/>
        <v>1015.8976953716367</v>
      </c>
      <c r="M19" s="546">
        <f t="shared" si="11"/>
        <v>71</v>
      </c>
      <c r="N19" s="551">
        <f t="shared" si="0"/>
        <v>141.49147442111953</v>
      </c>
      <c r="O19" s="553">
        <f>$N19/PI()*SQRT('Hilfstabellen_Mat&amp;Bem'!f.Rd.3/'Hilfstabellen_Mat&amp;Bem'!$BD$30)</f>
        <v>2.2519067559481645</v>
      </c>
      <c r="P19" s="553">
        <f>0.5*(1+'Hilfstabellen_Mat&amp;Bem'!$BD$31*($O19-0.3)+$O19^2)</f>
        <v>3.1331373565399012</v>
      </c>
      <c r="Q19" s="550">
        <f t="shared" si="1"/>
        <v>0.1882690911069983</v>
      </c>
      <c r="S19" s="551">
        <f t="shared" si="12"/>
        <v>949.06448827037843</v>
      </c>
      <c r="W19" s="546">
        <f t="shared" si="13"/>
        <v>71</v>
      </c>
      <c r="X19" s="551">
        <f t="shared" si="2"/>
        <v>146.37049078046849</v>
      </c>
      <c r="Y19" s="553">
        <f>$X19/PI()*SQRT('Hilfstabellen_Mat&amp;Bem'!f.Rd.3/'Hilfstabellen_Mat&amp;Bem'!$BD$30)</f>
        <v>2.3295587130498254</v>
      </c>
      <c r="Z19" s="553">
        <f>0.5*(1+'Hilfstabellen_Mat&amp;Bem'!$BD$31*($Y19-0.3)+$Y19^2)</f>
        <v>3.3148998344256704</v>
      </c>
      <c r="AA19" s="550">
        <f t="shared" si="3"/>
        <v>0.17626645694681373</v>
      </c>
      <c r="AC19" s="551">
        <f t="shared" si="14"/>
        <v>888.55920946888796</v>
      </c>
      <c r="AG19" s="546">
        <f t="shared" si="15"/>
        <v>71</v>
      </c>
      <c r="AH19" s="551">
        <f t="shared" si="4"/>
        <v>151.24950713981744</v>
      </c>
      <c r="AI19" s="553">
        <f>$AH19/PI()*SQRT('Hilfstabellen_Mat&amp;Bem'!f.Rd.3/'Hilfstabellen_Mat&amp;Bem'!$BD$30)</f>
        <v>2.4072106701514864</v>
      </c>
      <c r="AJ19" s="553">
        <f>0.5*(1+'Hilfstabellen_Mat&amp;Bem'!$BD$31*($AI19-0.3)+$AI19^2)</f>
        <v>3.5026921387531584</v>
      </c>
      <c r="AK19" s="550">
        <f t="shared" si="5"/>
        <v>0.16536756912739564</v>
      </c>
      <c r="AM19" s="551">
        <f t="shared" si="16"/>
        <v>833.61791597120146</v>
      </c>
      <c r="AQ19" s="546">
        <f t="shared" si="17"/>
        <v>71</v>
      </c>
      <c r="AR19" s="551">
        <f t="shared" si="6"/>
        <v>156.12852349916639</v>
      </c>
      <c r="AS19" s="553">
        <f>$AR19/PI()*SQRT('Hilfstabellen_Mat&amp;Bem'!f.Rd.3/'Hilfstabellen_Mat&amp;Bem'!$BD$30)</f>
        <v>2.4848626272531473</v>
      </c>
      <c r="AT19" s="553">
        <f>0.5*(1+'Hilfstabellen_Mat&amp;Bem'!$BD$31*($AS19-0.3)+$AS19^2)</f>
        <v>3.6965142695223645</v>
      </c>
      <c r="AU19" s="550">
        <f t="shared" si="7"/>
        <v>0.1554426354462253</v>
      </c>
      <c r="AW19" s="551">
        <f t="shared" si="18"/>
        <v>783.58632528442172</v>
      </c>
      <c r="AZ19" s="547">
        <f>'Hilfstabellen_Mat&amp;Bem'!$J$56</f>
        <v>3.3</v>
      </c>
      <c r="BA19" s="546">
        <f t="shared" si="19"/>
        <v>71</v>
      </c>
      <c r="BB19" s="551">
        <f t="shared" si="20"/>
        <v>161.00753985851534</v>
      </c>
      <c r="BC19" s="553">
        <f>BB19/PI()*SQRT('Hilfstabellen_Mat&amp;Bem'!f.Rd.3/'Hilfstabellen_Mat&amp;Bem'!$BD$30)</f>
        <v>2.5625145843548083</v>
      </c>
      <c r="BD19" s="553">
        <f>0.5*(1+'Hilfstabellen_Mat&amp;Bem'!$BD$31*(BC19-0.3)+BC19^2)</f>
        <v>3.8963662267332886</v>
      </c>
      <c r="BE19" s="550">
        <f t="shared" si="21"/>
        <v>0.14638008471121744</v>
      </c>
      <c r="BG19" s="551">
        <f t="shared" si="22"/>
        <v>737.9020070292471</v>
      </c>
      <c r="BJ19" s="547">
        <f>'Hilfstabellen_Mat&amp;Bem'!$J$57</f>
        <v>3.4</v>
      </c>
      <c r="BK19" s="546">
        <f t="shared" si="23"/>
        <v>71</v>
      </c>
      <c r="BL19" s="551">
        <f t="shared" si="24"/>
        <v>165.8865562178643</v>
      </c>
      <c r="BM19" s="553">
        <f>BL19/PI()*SQRT('Hilfstabellen_Mat&amp;Bem'!f.Rd.3/'Hilfstabellen_Mat&amp;Bem'!$BD$30)</f>
        <v>2.6401665414564692</v>
      </c>
      <c r="BN19" s="553">
        <f>0.5*(1+'Hilfstabellen_Mat&amp;Bem'!$BD$31*(BM19-0.3)+BM19^2)</f>
        <v>4.1022480103859307</v>
      </c>
      <c r="BO19" s="550">
        <f t="shared" si="25"/>
        <v>0.13808365495573019</v>
      </c>
      <c r="BQ19" s="551">
        <f t="shared" si="26"/>
        <v>696.07970463183585</v>
      </c>
      <c r="BT19" s="547">
        <f>'Hilfstabellen_Mat&amp;Bem'!$J$58</f>
        <v>3.5</v>
      </c>
      <c r="BU19" s="546">
        <f t="shared" si="27"/>
        <v>71</v>
      </c>
      <c r="BV19" s="551">
        <f t="shared" si="28"/>
        <v>170.76557257721322</v>
      </c>
      <c r="BW19" s="553">
        <f>BV19/PI()*SQRT('Hilfstabellen_Mat&amp;Bem'!f.Rd.3/'Hilfstabellen_Mat&amp;Bem'!$BD$30)</f>
        <v>2.7178184985581293</v>
      </c>
      <c r="BX19" s="553">
        <f>0.5*(1+'Hilfstabellen_Mat&amp;Bem'!$BD$31*(BW19-0.3)+BW19^2)</f>
        <v>4.3141596204802886</v>
      </c>
      <c r="BY19" s="550">
        <f t="shared" si="29"/>
        <v>0.13046999061269735</v>
      </c>
      <c r="CA19" s="551">
        <f t="shared" si="30"/>
        <v>657.69922267860727</v>
      </c>
      <c r="CD19" s="547">
        <f>'Hilfstabellen_Mat&amp;Bem'!$J$59</f>
        <v>3.6</v>
      </c>
      <c r="CE19" s="546">
        <f t="shared" si="31"/>
        <v>71</v>
      </c>
      <c r="CF19" s="551">
        <f t="shared" si="32"/>
        <v>175.6445889365622</v>
      </c>
      <c r="CG19" s="553">
        <f>CF19/PI()*SQRT('Hilfstabellen_Mat&amp;Bem'!f.Rd.3/'Hilfstabellen_Mat&amp;Bem'!$BD$30)</f>
        <v>2.7954704556597907</v>
      </c>
      <c r="CH19" s="553">
        <f>0.5*(1+'Hilfstabellen_Mat&amp;Bem'!$BD$31*(CG19-0.3)+CG19^2)</f>
        <v>4.5321010570163685</v>
      </c>
      <c r="CI19" s="550">
        <f t="shared" si="33"/>
        <v>0.12346665542248293</v>
      </c>
      <c r="CK19" s="551">
        <f t="shared" si="34"/>
        <v>622.39540998473649</v>
      </c>
      <c r="CN19" s="547">
        <f>'Hilfstabellen_Mat&amp;Bem'!$J$60</f>
        <v>3.7</v>
      </c>
      <c r="CO19" s="546">
        <f t="shared" si="35"/>
        <v>71</v>
      </c>
      <c r="CP19" s="551">
        <f t="shared" si="36"/>
        <v>180.52360529591115</v>
      </c>
      <c r="CQ19" s="553">
        <f>CP19/PI()*SQRT('Hilfstabellen_Mat&amp;Bem'!f.Rd.3/'Hilfstabellen_Mat&amp;Bem'!$BD$30)</f>
        <v>2.8731224127614521</v>
      </c>
      <c r="CR19" s="553">
        <f>0.5*(1+'Hilfstabellen_Mat&amp;Bem'!$BD$31*(CQ19-0.3)+CQ19^2)</f>
        <v>4.7560723199941659</v>
      </c>
      <c r="CS19" s="550">
        <f t="shared" si="37"/>
        <v>0.11701048461044294</v>
      </c>
      <c r="CU19" s="551">
        <f t="shared" si="38"/>
        <v>589.84985292124293</v>
      </c>
      <c r="CX19" s="547">
        <f>'Hilfstabellen_Mat&amp;Bem'!$J$61</f>
        <v>3.8</v>
      </c>
      <c r="CY19" s="546">
        <f t="shared" si="39"/>
        <v>71</v>
      </c>
      <c r="CZ19" s="551">
        <f t="shared" si="40"/>
        <v>185.40262165526011</v>
      </c>
      <c r="DA19" s="553">
        <f>CZ19/PI()*SQRT('Hilfstabellen_Mat&amp;Bem'!f.Rd.3/'Hilfstabellen_Mat&amp;Bem'!$BD$30)</f>
        <v>2.9507743698631126</v>
      </c>
      <c r="DB19" s="553">
        <f>0.5*(1+'Hilfstabellen_Mat&amp;Bem'!$BD$31*(DA19-0.3)+DA19^2)</f>
        <v>4.9860734094136809</v>
      </c>
      <c r="DC19" s="550">
        <f t="shared" si="41"/>
        <v>0.11104621412623238</v>
      </c>
      <c r="DE19" s="551">
        <f t="shared" si="42"/>
        <v>559.78396541033737</v>
      </c>
      <c r="DH19" s="547">
        <f>'Hilfstabellen_Mat&amp;Bem'!$J$62</f>
        <v>3.9</v>
      </c>
      <c r="DI19" s="546">
        <f t="shared" si="43"/>
        <v>71</v>
      </c>
      <c r="DJ19" s="551">
        <f t="shared" si="44"/>
        <v>190.28163801460906</v>
      </c>
      <c r="DK19" s="553">
        <f>DJ19/PI()*SQRT('Hilfstabellen_Mat&amp;Bem'!f.Rd.3/'Hilfstabellen_Mat&amp;Bem'!$BD$30)</f>
        <v>3.0284263269647735</v>
      </c>
      <c r="DL19" s="553">
        <f>0.5*(1+'Hilfstabellen_Mat&amp;Bem'!$BD$31*(DK19-0.3)+DK19^2)</f>
        <v>5.2221043252749135</v>
      </c>
      <c r="DM19" s="550">
        <f t="shared" si="45"/>
        <v>0.10552533653745275</v>
      </c>
      <c r="DO19" s="551">
        <f t="shared" si="46"/>
        <v>531.95322148529931</v>
      </c>
      <c r="DR19" s="547">
        <f>'Hilfstabellen_Mat&amp;Bem'!$J$63</f>
        <v>4</v>
      </c>
      <c r="DS19" s="546">
        <f t="shared" si="47"/>
        <v>71</v>
      </c>
      <c r="DT19" s="551">
        <f t="shared" si="48"/>
        <v>195.16065437395801</v>
      </c>
      <c r="DU19" s="553">
        <f>DT19/PI()*SQRT('Hilfstabellen_Mat&amp;Bem'!f.Rd.3/'Hilfstabellen_Mat&amp;Bem'!$BD$30)</f>
        <v>3.1060782840664345</v>
      </c>
      <c r="DV19" s="553">
        <f>0.5*(1+'Hilfstabellen_Mat&amp;Bem'!$BD$31*(DU19-0.3)+DU19^2)</f>
        <v>5.4641650675778646</v>
      </c>
      <c r="DW19" s="550">
        <f t="shared" si="49"/>
        <v>0.10040514279012488</v>
      </c>
      <c r="DY19" s="551">
        <f t="shared" si="50"/>
        <v>506.14232480501954</v>
      </c>
      <c r="EB19" s="547">
        <f>'Hilfstabellen_Mat&amp;Bem'!$J$64</f>
        <v>4.0999999999999996</v>
      </c>
      <c r="EC19" s="546">
        <f t="shared" si="51"/>
        <v>71</v>
      </c>
      <c r="ED19" s="551">
        <f t="shared" si="52"/>
        <v>200.03967073330696</v>
      </c>
      <c r="EE19" s="553">
        <f>ED19/PI()*SQRT('Hilfstabellen_Mat&amp;Bem'!f.Rd.3/'Hilfstabellen_Mat&amp;Bem'!$BD$30)</f>
        <v>3.1837302411680954</v>
      </c>
      <c r="EF19" s="553">
        <f>0.5*(1+'Hilfstabellen_Mat&amp;Bem'!$BD$31*(EE19-0.3)+EE19^2)</f>
        <v>5.7122556363225341</v>
      </c>
      <c r="EG19" s="550">
        <f t="shared" si="53"/>
        <v>9.564791682398914E-2</v>
      </c>
      <c r="EI19" s="551">
        <f t="shared" si="54"/>
        <v>482.16114870972928</v>
      </c>
      <c r="EL19" s="547">
        <f>'Hilfstabellen_Mat&amp;Bem'!$J$65</f>
        <v>4.2</v>
      </c>
      <c r="EM19" s="546">
        <f t="shared" si="55"/>
        <v>71</v>
      </c>
      <c r="EN19" s="551">
        <f t="shared" si="56"/>
        <v>204.91868709265592</v>
      </c>
      <c r="EO19" s="553">
        <f>EN19/PI()*SQRT('Hilfstabellen_Mat&amp;Bem'!f.Rd.3/'Hilfstabellen_Mat&amp;Bem'!$BD$30)</f>
        <v>3.2613821982697559</v>
      </c>
      <c r="EP19" s="553">
        <f>0.5*(1+'Hilfstabellen_Mat&amp;Bem'!$BD$31*(EO19-0.3)+EO19^2)</f>
        <v>5.9663760315089203</v>
      </c>
      <c r="EQ19" s="550">
        <f t="shared" si="57"/>
        <v>9.1220256287499871E-2</v>
      </c>
      <c r="ES19" s="551">
        <f t="shared" si="58"/>
        <v>459.84131194528686</v>
      </c>
    </row>
    <row r="20" spans="3:149">
      <c r="C20" s="546">
        <v>72</v>
      </c>
      <c r="D20" s="551">
        <f t="shared" si="8"/>
        <v>134.71506281091266</v>
      </c>
      <c r="E20" s="553">
        <f>$D20/PI()*SQRT('Hilfstabellen_Mat&amp;Bem'!f.Rd.3/'Hilfstabellen_Mat&amp;Bem'!$BD$30)</f>
        <v>2.1440568155291913</v>
      </c>
      <c r="F20" s="553">
        <f>0.5*(1+'Hilfstabellen_Mat&amp;Bem'!$BD$31*($E20-0.3)+$E20^2)</f>
        <v>2.8906926548850476</v>
      </c>
      <c r="G20" s="550">
        <f t="shared" si="9"/>
        <v>0.20705910858525886</v>
      </c>
      <c r="I20" s="551">
        <f t="shared" si="10"/>
        <v>1073.3944189059819</v>
      </c>
      <c r="M20" s="546">
        <f t="shared" si="11"/>
        <v>72</v>
      </c>
      <c r="N20" s="551">
        <f t="shared" si="0"/>
        <v>139.52631505415957</v>
      </c>
      <c r="O20" s="553">
        <f>$N20/PI()*SQRT('Hilfstabellen_Mat&amp;Bem'!f.Rd.3/'Hilfstabellen_Mat&amp;Bem'!$BD$30)</f>
        <v>2.2206302732266625</v>
      </c>
      <c r="P20" s="553">
        <f>0.5*(1+'Hilfstabellen_Mat&amp;Bem'!$BD$31*($O20-0.3)+$O20^2)</f>
        <v>3.0616309188466939</v>
      </c>
      <c r="Q20" s="550">
        <f t="shared" si="1"/>
        <v>0.19344875925674268</v>
      </c>
      <c r="S20" s="551">
        <f t="shared" si="12"/>
        <v>1002.838367986954</v>
      </c>
      <c r="W20" s="546">
        <f t="shared" si="13"/>
        <v>72</v>
      </c>
      <c r="X20" s="551">
        <f t="shared" si="2"/>
        <v>144.33756729740642</v>
      </c>
      <c r="Y20" s="553">
        <f>$X20/PI()*SQRT('Hilfstabellen_Mat&amp;Bem'!f.Rd.3/'Hilfstabellen_Mat&amp;Bem'!$BD$30)</f>
        <v>2.2972037309241333</v>
      </c>
      <c r="Z20" s="553">
        <f>0.5*(1+'Hilfstabellen_Mat&amp;Bem'!$BD$31*($Y20-0.3)+$Y20^2)</f>
        <v>3.2384326772320855</v>
      </c>
      <c r="AA20" s="550">
        <f t="shared" si="3"/>
        <v>0.18112525906170046</v>
      </c>
      <c r="AC20" s="551">
        <f t="shared" si="14"/>
        <v>938.95334297585521</v>
      </c>
      <c r="AG20" s="546">
        <f t="shared" si="15"/>
        <v>72</v>
      </c>
      <c r="AH20" s="551">
        <f t="shared" si="4"/>
        <v>149.14881954065331</v>
      </c>
      <c r="AI20" s="553">
        <f>$AH20/PI()*SQRT('Hilfstabellen_Mat&amp;Bem'!f.Rd.3/'Hilfstabellen_Mat&amp;Bem'!$BD$30)</f>
        <v>2.3737771886216046</v>
      </c>
      <c r="AJ20" s="553">
        <f>0.5*(1+'Hilfstabellen_Mat&amp;Bem'!$BD$31*($AI20-0.3)+$AI20^2)</f>
        <v>3.421097930041225</v>
      </c>
      <c r="AK20" s="550">
        <f t="shared" si="5"/>
        <v>0.16993361685810954</v>
      </c>
      <c r="AM20" s="551">
        <f t="shared" si="16"/>
        <v>880.9358697924398</v>
      </c>
      <c r="AQ20" s="546">
        <f t="shared" si="17"/>
        <v>72</v>
      </c>
      <c r="AR20" s="551">
        <f t="shared" si="6"/>
        <v>153.96007178390019</v>
      </c>
      <c r="AS20" s="553">
        <f>$AR20/PI()*SQRT('Hilfstabellen_Mat&amp;Bem'!f.Rd.3/'Hilfstabellen_Mat&amp;Bem'!$BD$30)</f>
        <v>2.4503506463190758</v>
      </c>
      <c r="AT20" s="553">
        <f>0.5*(1+'Hilfstabellen_Mat&amp;Bem'!$BD$31*($AS20-0.3)+$AS20^2)</f>
        <v>3.6096266772741101</v>
      </c>
      <c r="AU20" s="550">
        <f t="shared" si="7"/>
        <v>0.15974100212602155</v>
      </c>
      <c r="AW20" s="551">
        <f t="shared" si="18"/>
        <v>828.0973550212957</v>
      </c>
      <c r="AZ20" s="547">
        <f>'Hilfstabellen_Mat&amp;Bem'!$J$56</f>
        <v>3.3</v>
      </c>
      <c r="BA20" s="546">
        <f t="shared" si="19"/>
        <v>72</v>
      </c>
      <c r="BB20" s="551">
        <f t="shared" si="20"/>
        <v>158.77132402714707</v>
      </c>
      <c r="BC20" s="553">
        <f>BB20/PI()*SQRT('Hilfstabellen_Mat&amp;Bem'!f.Rd.3/'Hilfstabellen_Mat&amp;Bem'!$BD$30)</f>
        <v>2.5269241040165471</v>
      </c>
      <c r="BD20" s="553">
        <f>0.5*(1+'Hilfstabellen_Mat&amp;Bem'!$BD$31*(BC20-0.3)+BC20^2)</f>
        <v>3.8040189189307423</v>
      </c>
      <c r="BE20" s="550">
        <f t="shared" si="21"/>
        <v>0.15043317049839167</v>
      </c>
      <c r="BG20" s="551">
        <f t="shared" si="22"/>
        <v>779.84555586366241</v>
      </c>
      <c r="BJ20" s="547">
        <f>'Hilfstabellen_Mat&amp;Bem'!$J$57</f>
        <v>3.4</v>
      </c>
      <c r="BK20" s="546">
        <f t="shared" si="23"/>
        <v>72</v>
      </c>
      <c r="BL20" s="551">
        <f t="shared" si="24"/>
        <v>163.58257627039396</v>
      </c>
      <c r="BM20" s="553">
        <f>BL20/PI()*SQRT('Hilfstabellen_Mat&amp;Bem'!f.Rd.3/'Hilfstabellen_Mat&amp;Bem'!$BD$30)</f>
        <v>2.6034975617140184</v>
      </c>
      <c r="BN20" s="553">
        <f>0.5*(1+'Hilfstabellen_Mat&amp;Bem'!$BD$31*(BM20-0.3)+BM20^2)</f>
        <v>4.0042746550111206</v>
      </c>
      <c r="BO20" s="550">
        <f t="shared" si="25"/>
        <v>0.14191150989616497</v>
      </c>
      <c r="BQ20" s="551">
        <f t="shared" si="26"/>
        <v>735.66926730171917</v>
      </c>
      <c r="BT20" s="547">
        <f>'Hilfstabellen_Mat&amp;Bem'!$J$58</f>
        <v>3.5</v>
      </c>
      <c r="BU20" s="546">
        <f t="shared" si="27"/>
        <v>72</v>
      </c>
      <c r="BV20" s="551">
        <f t="shared" si="28"/>
        <v>168.39382851364084</v>
      </c>
      <c r="BW20" s="553">
        <f>BV20/PI()*SQRT('Hilfstabellen_Mat&amp;Bem'!f.Rd.3/'Hilfstabellen_Mat&amp;Bem'!$BD$30)</f>
        <v>2.6800710194114892</v>
      </c>
      <c r="BX20" s="553">
        <f>0.5*(1+'Hilfstabellen_Mat&amp;Bem'!$BD$31*(BW20-0.3)+BW20^2)</f>
        <v>4.2103938855152441</v>
      </c>
      <c r="BY20" s="550">
        <f t="shared" si="29"/>
        <v>0.1340905980943489</v>
      </c>
      <c r="CA20" s="551">
        <f t="shared" si="30"/>
        <v>695.12566052110469</v>
      </c>
      <c r="CD20" s="547">
        <f>'Hilfstabellen_Mat&amp;Bem'!$J$59</f>
        <v>3.6</v>
      </c>
      <c r="CE20" s="546">
        <f t="shared" si="31"/>
        <v>72</v>
      </c>
      <c r="CF20" s="551">
        <f t="shared" si="32"/>
        <v>173.20508075688772</v>
      </c>
      <c r="CG20" s="553">
        <f>CF20/PI()*SQRT('Hilfstabellen_Mat&amp;Bem'!f.Rd.3/'Hilfstabellen_Mat&amp;Bem'!$BD$30)</f>
        <v>2.7566444771089604</v>
      </c>
      <c r="CH20" s="553">
        <f>0.5*(1+'Hilfstabellen_Mat&amp;Bem'!$BD$31*(CG20-0.3)+CG20^2)</f>
        <v>4.4223766104431146</v>
      </c>
      <c r="CI20" s="550">
        <f t="shared" si="33"/>
        <v>0.12689617969031575</v>
      </c>
      <c r="CK20" s="551">
        <f t="shared" si="34"/>
        <v>657.82979551459687</v>
      </c>
      <c r="CN20" s="547">
        <f>'Hilfstabellen_Mat&amp;Bem'!$J$60</f>
        <v>3.7</v>
      </c>
      <c r="CO20" s="546">
        <f t="shared" si="35"/>
        <v>72</v>
      </c>
      <c r="CP20" s="551">
        <f t="shared" si="36"/>
        <v>178.01633300013458</v>
      </c>
      <c r="CQ20" s="553">
        <f>CP20/PI()*SQRT('Hilfstabellen_Mat&amp;Bem'!f.Rd.3/'Hilfstabellen_Mat&amp;Bem'!$BD$30)</f>
        <v>2.8332179348064312</v>
      </c>
      <c r="CR20" s="553">
        <f>0.5*(1+'Hilfstabellen_Mat&amp;Bem'!$BD$31*(CQ20-0.3)+CQ20^2)</f>
        <v>4.6402228297947312</v>
      </c>
      <c r="CS20" s="550">
        <f t="shared" si="37"/>
        <v>0.12026348635924894</v>
      </c>
      <c r="CU20" s="551">
        <f t="shared" si="38"/>
        <v>623.44591328634647</v>
      </c>
      <c r="CX20" s="547">
        <f>'Hilfstabellen_Mat&amp;Bem'!$J$61</f>
        <v>3.8</v>
      </c>
      <c r="CY20" s="546">
        <f t="shared" si="39"/>
        <v>72</v>
      </c>
      <c r="CZ20" s="551">
        <f t="shared" si="40"/>
        <v>182.82758524338149</v>
      </c>
      <c r="DA20" s="553">
        <f>CZ20/PI()*SQRT('Hilfstabellen_Mat&amp;Bem'!f.Rd.3/'Hilfstabellen_Mat&amp;Bem'!$BD$30)</f>
        <v>2.909791392503903</v>
      </c>
      <c r="DB20" s="553">
        <f>0.5*(1+'Hilfstabellen_Mat&amp;Bem'!$BD$31*(DA20-0.3)+DA20^2)</f>
        <v>4.8639325435700957</v>
      </c>
      <c r="DC20" s="550">
        <f t="shared" si="41"/>
        <v>0.11413583810318254</v>
      </c>
      <c r="DE20" s="551">
        <f t="shared" si="42"/>
        <v>591.68018472689823</v>
      </c>
      <c r="DH20" s="547">
        <f>'Hilfstabellen_Mat&amp;Bem'!$J$62</f>
        <v>3.9</v>
      </c>
      <c r="DI20" s="546">
        <f t="shared" si="43"/>
        <v>72</v>
      </c>
      <c r="DJ20" s="551">
        <f t="shared" si="44"/>
        <v>187.63883748662835</v>
      </c>
      <c r="DK20" s="553">
        <f>DJ20/PI()*SQRT('Hilfstabellen_Mat&amp;Bem'!f.Rd.3/'Hilfstabellen_Mat&amp;Bem'!$BD$30)</f>
        <v>2.9863648502013733</v>
      </c>
      <c r="DL20" s="553">
        <f>0.5*(1+'Hilfstabellen_Mat&amp;Bem'!$BD$31*(DK20-0.3)+DK20^2)</f>
        <v>5.0935057517692037</v>
      </c>
      <c r="DM20" s="550">
        <f t="shared" si="45"/>
        <v>0.10846347479391016</v>
      </c>
      <c r="DO20" s="551">
        <f t="shared" si="46"/>
        <v>562.27465333163025</v>
      </c>
      <c r="DR20" s="547">
        <f>'Hilfstabellen_Mat&amp;Bem'!$J$63</f>
        <v>4</v>
      </c>
      <c r="DS20" s="546">
        <f t="shared" si="47"/>
        <v>72</v>
      </c>
      <c r="DT20" s="551">
        <f t="shared" si="48"/>
        <v>192.45008972987526</v>
      </c>
      <c r="DU20" s="553">
        <f>DT20/PI()*SQRT('Hilfstabellen_Mat&amp;Bem'!f.Rd.3/'Hilfstabellen_Mat&amp;Bem'!$BD$30)</f>
        <v>3.062938307898845</v>
      </c>
      <c r="DV20" s="553">
        <f>0.5*(1+'Hilfstabellen_Mat&amp;Bem'!$BD$31*(DU20-0.3)+DU20^2)</f>
        <v>5.3289424543920623</v>
      </c>
      <c r="DW20" s="550">
        <f t="shared" si="49"/>
        <v>0.10320257684745876</v>
      </c>
      <c r="DY20" s="551">
        <f t="shared" si="50"/>
        <v>535.00215837722624</v>
      </c>
      <c r="EB20" s="547">
        <f>'Hilfstabellen_Mat&amp;Bem'!$J$64</f>
        <v>4.0999999999999996</v>
      </c>
      <c r="EC20" s="546">
        <f t="shared" si="51"/>
        <v>72</v>
      </c>
      <c r="ED20" s="551">
        <f t="shared" si="52"/>
        <v>197.26134197312211</v>
      </c>
      <c r="EE20" s="553">
        <f>ED20/PI()*SQRT('Hilfstabellen_Mat&amp;Bem'!f.Rd.3/'Hilfstabellen_Mat&amp;Bem'!$BD$30)</f>
        <v>3.1395117655963158</v>
      </c>
      <c r="EF20" s="553">
        <f>0.5*(1+'Hilfstabellen_Mat&amp;Bem'!$BD$31*(EE20-0.3)+EE20^2)</f>
        <v>5.5702426514386634</v>
      </c>
      <c r="EG20" s="550">
        <f t="shared" si="53"/>
        <v>9.8314441627032984E-2</v>
      </c>
      <c r="EI20" s="551">
        <f t="shared" si="54"/>
        <v>509.66206539453901</v>
      </c>
      <c r="EL20" s="547">
        <f>'Hilfstabellen_Mat&amp;Bem'!$J$65</f>
        <v>4.2</v>
      </c>
      <c r="EM20" s="546">
        <f t="shared" si="55"/>
        <v>72</v>
      </c>
      <c r="EN20" s="551">
        <f t="shared" si="56"/>
        <v>202.07259421636903</v>
      </c>
      <c r="EO20" s="553">
        <f>EN20/PI()*SQRT('Hilfstabellen_Mat&amp;Bem'!f.Rd.3/'Hilfstabellen_Mat&amp;Bem'!$BD$30)</f>
        <v>3.2160852232937871</v>
      </c>
      <c r="EP20" s="553">
        <f>0.5*(1+'Hilfstabellen_Mat&amp;Bem'!$BD$31*(EO20-0.3)+EO20^2)</f>
        <v>5.8174063429090133</v>
      </c>
      <c r="EQ20" s="550">
        <f t="shared" si="57"/>
        <v>9.3764788445477254E-2</v>
      </c>
      <c r="ES20" s="551">
        <f t="shared" si="58"/>
        <v>486.07666330135407</v>
      </c>
    </row>
    <row r="21" spans="3:149">
      <c r="C21" s="546">
        <v>73</v>
      </c>
      <c r="D21" s="551">
        <f t="shared" si="8"/>
        <v>132.86965099158508</v>
      </c>
      <c r="E21" s="553">
        <f>$D21/PI()*SQRT('Hilfstabellen_Mat&amp;Bem'!f.Rd.3/'Hilfstabellen_Mat&amp;Bem'!$BD$30)</f>
        <v>2.114686174220572</v>
      </c>
      <c r="F21" s="553">
        <f>0.5*(1+'Hilfstabellen_Mat&amp;Bem'!$BD$31*($E21-0.3)+$E21^2)</f>
        <v>2.8266831164308486</v>
      </c>
      <c r="G21" s="550">
        <f t="shared" si="9"/>
        <v>0.21265825854662085</v>
      </c>
      <c r="I21" s="551">
        <f t="shared" si="10"/>
        <v>1133.2558597949426</v>
      </c>
      <c r="M21" s="546">
        <f t="shared" si="11"/>
        <v>73</v>
      </c>
      <c r="N21" s="551">
        <f t="shared" si="0"/>
        <v>137.614995669856</v>
      </c>
      <c r="O21" s="553">
        <f>$N21/PI()*SQRT('Hilfstabellen_Mat&amp;Bem'!f.Rd.3/'Hilfstabellen_Mat&amp;Bem'!$BD$30)</f>
        <v>2.1902106804427355</v>
      </c>
      <c r="P21" s="553">
        <f>0.5*(1+'Hilfstabellen_Mat&amp;Bem'!$BD$31*($O21-0.3)+$O21^2)</f>
        <v>2.993021946384852</v>
      </c>
      <c r="Q21" s="550">
        <f t="shared" si="1"/>
        <v>0.19869206974845233</v>
      </c>
      <c r="S21" s="551">
        <f t="shared" si="12"/>
        <v>1058.8300396895024</v>
      </c>
      <c r="W21" s="546">
        <f t="shared" si="13"/>
        <v>73</v>
      </c>
      <c r="X21" s="551">
        <f t="shared" si="2"/>
        <v>142.3603403481269</v>
      </c>
      <c r="Y21" s="553">
        <f>$X21/PI()*SQRT('Hilfstabellen_Mat&amp;Bem'!f.Rd.3/'Hilfstabellen_Mat&amp;Bem'!$BD$30)</f>
        <v>2.2657351866648989</v>
      </c>
      <c r="Z21" s="553">
        <f>0.5*(1+'Hilfstabellen_Mat&amp;Bem'!$BD$31*($Y21-0.3)+$Y21^2)</f>
        <v>3.1650647273789572</v>
      </c>
      <c r="AA21" s="550">
        <f t="shared" si="3"/>
        <v>0.18604443730076434</v>
      </c>
      <c r="AC21" s="551">
        <f t="shared" si="14"/>
        <v>991.43080637577316</v>
      </c>
      <c r="AG21" s="546">
        <f t="shared" si="15"/>
        <v>73</v>
      </c>
      <c r="AH21" s="551">
        <f t="shared" si="4"/>
        <v>147.10568502639779</v>
      </c>
      <c r="AI21" s="553">
        <f>$AH21/PI()*SQRT('Hilfstabellen_Mat&amp;Bem'!f.Rd.3/'Hilfstabellen_Mat&amp;Bem'!$BD$30)</f>
        <v>2.3412596928870619</v>
      </c>
      <c r="AJ21" s="553">
        <f>0.5*(1+'Hilfstabellen_Mat&amp;Bem'!$BD$31*($AI21-0.3)+$AI21^2)</f>
        <v>3.3428114594131628</v>
      </c>
      <c r="AK21" s="550">
        <f t="shared" si="5"/>
        <v>0.17455694423131438</v>
      </c>
      <c r="AM21" s="551">
        <f t="shared" si="16"/>
        <v>930.21395580867431</v>
      </c>
      <c r="AQ21" s="546">
        <f t="shared" si="17"/>
        <v>73</v>
      </c>
      <c r="AR21" s="551">
        <f t="shared" si="6"/>
        <v>151.85102970466869</v>
      </c>
      <c r="AS21" s="553">
        <f>$AR21/PI()*SQRT('Hilfstabellen_Mat&amp;Bem'!f.Rd.3/'Hilfstabellen_Mat&amp;Bem'!$BD$30)</f>
        <v>2.4167841991092254</v>
      </c>
      <c r="AT21" s="553">
        <f>0.5*(1+'Hilfstabellen_Mat&amp;Bem'!$BD$31*($AS21-0.3)+$AS21^2)</f>
        <v>3.5262621424874716</v>
      </c>
      <c r="AU21" s="550">
        <f t="shared" si="7"/>
        <v>0.16409372874556835</v>
      </c>
      <c r="AW21" s="551">
        <f t="shared" si="18"/>
        <v>874.45548048513376</v>
      </c>
      <c r="AZ21" s="547">
        <f>'Hilfstabellen_Mat&amp;Bem'!$J$56</f>
        <v>3.3</v>
      </c>
      <c r="BA21" s="546">
        <f t="shared" si="19"/>
        <v>73</v>
      </c>
      <c r="BB21" s="551">
        <f t="shared" si="20"/>
        <v>156.59637438293959</v>
      </c>
      <c r="BC21" s="553">
        <f>BB21/PI()*SQRT('Hilfstabellen_Mat&amp;Bem'!f.Rd.3/'Hilfstabellen_Mat&amp;Bem'!$BD$30)</f>
        <v>2.4923087053313893</v>
      </c>
      <c r="BD21" s="553">
        <f>0.5*(1+'Hilfstabellen_Mat&amp;Bem'!$BD$31*(BC21-0.3)+BC21^2)</f>
        <v>3.7154167766018826</v>
      </c>
      <c r="BE21" s="550">
        <f t="shared" si="21"/>
        <v>0.1545378727810465</v>
      </c>
      <c r="BG21" s="551">
        <f t="shared" si="22"/>
        <v>823.53232405019673</v>
      </c>
      <c r="BJ21" s="547">
        <f>'Hilfstabellen_Mat&amp;Bem'!$J$57</f>
        <v>3.4</v>
      </c>
      <c r="BK21" s="546">
        <f t="shared" si="23"/>
        <v>73</v>
      </c>
      <c r="BL21" s="551">
        <f t="shared" si="24"/>
        <v>161.34171906121048</v>
      </c>
      <c r="BM21" s="553">
        <f>BL21/PI()*SQRT('Hilfstabellen_Mat&amp;Bem'!f.Rd.3/'Hilfstabellen_Mat&amp;Bem'!$BD$30)</f>
        <v>2.5678332115535523</v>
      </c>
      <c r="BN21" s="553">
        <f>0.5*(1+'Hilfstabellen_Mat&amp;Bem'!$BD$31*(BM21-0.3)+BM21^2)</f>
        <v>3.9102753617563932</v>
      </c>
      <c r="BO21" s="550">
        <f t="shared" si="25"/>
        <v>0.14578840909749491</v>
      </c>
      <c r="BQ21" s="551">
        <f t="shared" si="26"/>
        <v>776.90643208055042</v>
      </c>
      <c r="BT21" s="547">
        <f>'Hilfstabellen_Mat&amp;Bem'!$J$58</f>
        <v>3.5</v>
      </c>
      <c r="BU21" s="546">
        <f t="shared" si="27"/>
        <v>73</v>
      </c>
      <c r="BV21" s="551">
        <f t="shared" si="28"/>
        <v>166.08706373948138</v>
      </c>
      <c r="BW21" s="553">
        <f>BV21/PI()*SQRT('Hilfstabellen_Mat&amp;Bem'!f.Rd.3/'Hilfstabellen_Mat&amp;Bem'!$BD$30)</f>
        <v>2.6433577177757157</v>
      </c>
      <c r="BX21" s="553">
        <f>0.5*(1+'Hilfstabellen_Mat&amp;Bem'!$BD$31*(BW21-0.3)+BW21^2)</f>
        <v>4.1108378979510061</v>
      </c>
      <c r="BY21" s="550">
        <f t="shared" si="29"/>
        <v>0.13775784117011886</v>
      </c>
      <c r="CA21" s="551">
        <f t="shared" si="30"/>
        <v>734.1115355955634</v>
      </c>
      <c r="CD21" s="547">
        <f>'Hilfstabellen_Mat&amp;Bem'!$J$59</f>
        <v>3.6</v>
      </c>
      <c r="CE21" s="546">
        <f t="shared" si="31"/>
        <v>73</v>
      </c>
      <c r="CF21" s="551">
        <f t="shared" si="32"/>
        <v>170.83240841775228</v>
      </c>
      <c r="CG21" s="553">
        <f>CF21/PI()*SQRT('Hilfstabellen_Mat&amp;Bem'!f.Rd.3/'Hilfstabellen_Mat&amp;Bem'!$BD$30)</f>
        <v>2.7188822239978787</v>
      </c>
      <c r="CH21" s="553">
        <f>0.5*(1+'Hilfstabellen_Mat&amp;Bem'!$BD$31*(CG21-0.3)+CG21^2)</f>
        <v>4.3171043851857194</v>
      </c>
      <c r="CI21" s="550">
        <f t="shared" si="33"/>
        <v>0.13037008545332995</v>
      </c>
      <c r="CK21" s="551">
        <f t="shared" si="34"/>
        <v>694.74218538079538</v>
      </c>
      <c r="CN21" s="547">
        <f>'Hilfstabellen_Mat&amp;Bem'!$J$60</f>
        <v>3.7</v>
      </c>
      <c r="CO21" s="546">
        <f t="shared" si="35"/>
        <v>73</v>
      </c>
      <c r="CP21" s="551">
        <f t="shared" si="36"/>
        <v>175.57775309602317</v>
      </c>
      <c r="CQ21" s="553">
        <f>CP21/PI()*SQRT('Hilfstabellen_Mat&amp;Bem'!f.Rd.3/'Hilfstabellen_Mat&amp;Bem'!$BD$30)</f>
        <v>2.7944067302200422</v>
      </c>
      <c r="CR21" s="553">
        <f>0.5*(1+'Hilfstabellen_Mat&amp;Bem'!$BD$31*(CQ21-0.3)+CQ21^2)</f>
        <v>4.5290748234605358</v>
      </c>
      <c r="CS21" s="550">
        <f t="shared" si="37"/>
        <v>0.12355876049886903</v>
      </c>
      <c r="CU21" s="551">
        <f t="shared" si="38"/>
        <v>658.44463469847312</v>
      </c>
      <c r="CX21" s="547">
        <f>'Hilfstabellen_Mat&amp;Bem'!$J$61</f>
        <v>3.8</v>
      </c>
      <c r="CY21" s="546">
        <f t="shared" si="39"/>
        <v>73</v>
      </c>
      <c r="CZ21" s="551">
        <f t="shared" si="40"/>
        <v>180.32309777429407</v>
      </c>
      <c r="DA21" s="553">
        <f>CZ21/PI()*SQRT('Hilfstabellen_Mat&amp;Bem'!f.Rd.3/'Hilfstabellen_Mat&amp;Bem'!$BD$30)</f>
        <v>2.8699312364422056</v>
      </c>
      <c r="DB21" s="553">
        <f>0.5*(1+'Hilfstabellen_Mat&amp;Bem'!$BD$31*(DA21-0.3)+DA21^2)</f>
        <v>4.7467492127754536</v>
      </c>
      <c r="DC21" s="550">
        <f t="shared" si="41"/>
        <v>0.11726576070772385</v>
      </c>
      <c r="DE21" s="551">
        <f t="shared" si="42"/>
        <v>624.90923881146034</v>
      </c>
      <c r="DH21" s="547">
        <f>'Hilfstabellen_Mat&amp;Bem'!$J$62</f>
        <v>3.9</v>
      </c>
      <c r="DI21" s="546">
        <f t="shared" si="43"/>
        <v>73</v>
      </c>
      <c r="DJ21" s="551">
        <f t="shared" si="44"/>
        <v>185.06844245256497</v>
      </c>
      <c r="DK21" s="553">
        <f>DJ21/PI()*SQRT('Hilfstabellen_Mat&amp;Bem'!f.Rd.3/'Hilfstabellen_Mat&amp;Bem'!$BD$30)</f>
        <v>2.9454557426643686</v>
      </c>
      <c r="DL21" s="553">
        <f>0.5*(1+'Hilfstabellen_Mat&amp;Bem'!$BD$31*(DK21-0.3)+DK21^2)</f>
        <v>4.9701275531304718</v>
      </c>
      <c r="DM21" s="550">
        <f t="shared" si="45"/>
        <v>0.11144006382554932</v>
      </c>
      <c r="DO21" s="551">
        <f t="shared" si="46"/>
        <v>593.86410012635235</v>
      </c>
      <c r="DR21" s="547">
        <f>'Hilfstabellen_Mat&amp;Bem'!$J$63</f>
        <v>4</v>
      </c>
      <c r="DS21" s="546">
        <f t="shared" si="47"/>
        <v>73</v>
      </c>
      <c r="DT21" s="551">
        <f t="shared" si="48"/>
        <v>189.81378713083586</v>
      </c>
      <c r="DU21" s="553">
        <f>DT21/PI()*SQRT('Hilfstabellen_Mat&amp;Bem'!f.Rd.3/'Hilfstabellen_Mat&amp;Bem'!$BD$30)</f>
        <v>3.020980248886532</v>
      </c>
      <c r="DV21" s="553">
        <f>0.5*(1+'Hilfstabellen_Mat&amp;Bem'!$BD$31*(DU21-0.3)+DU21^2)</f>
        <v>5.1992098445255932</v>
      </c>
      <c r="DW21" s="550">
        <f t="shared" si="49"/>
        <v>0.10603673071046733</v>
      </c>
      <c r="DY21" s="551">
        <f t="shared" si="50"/>
        <v>565.06973795608042</v>
      </c>
      <c r="EB21" s="547">
        <f>'Hilfstabellen_Mat&amp;Bem'!$J$64</f>
        <v>4.0999999999999996</v>
      </c>
      <c r="EC21" s="546">
        <f t="shared" si="51"/>
        <v>73</v>
      </c>
      <c r="ED21" s="551">
        <f t="shared" si="52"/>
        <v>194.55913180910676</v>
      </c>
      <c r="EE21" s="553">
        <f>ED21/PI()*SQRT('Hilfstabellen_Mat&amp;Bem'!f.Rd.3/'Hilfstabellen_Mat&amp;Bem'!$BD$30)</f>
        <v>3.0965047551086951</v>
      </c>
      <c r="EF21" s="553">
        <f>0.5*(1+'Hilfstabellen_Mat&amp;Bem'!$BD$31*(EE21-0.3)+EE21^2)</f>
        <v>5.433996086960815</v>
      </c>
      <c r="EG21" s="550">
        <f t="shared" si="53"/>
        <v>0.10101606362219272</v>
      </c>
      <c r="EI21" s="551">
        <f t="shared" si="54"/>
        <v>538.314603042665</v>
      </c>
      <c r="EL21" s="547">
        <f>'Hilfstabellen_Mat&amp;Bem'!$J$65</f>
        <v>4.2</v>
      </c>
      <c r="EM21" s="546">
        <f t="shared" si="55"/>
        <v>73</v>
      </c>
      <c r="EN21" s="551">
        <f t="shared" si="56"/>
        <v>199.30447648737766</v>
      </c>
      <c r="EO21" s="553">
        <f>EN21/PI()*SQRT('Hilfstabellen_Mat&amp;Bem'!f.Rd.3/'Hilfstabellen_Mat&amp;Bem'!$BD$30)</f>
        <v>3.1720292613308585</v>
      </c>
      <c r="EP21" s="553">
        <f>0.5*(1+'Hilfstabellen_Mat&amp;Bem'!$BD$31*(EO21-0.3)+EO21^2)</f>
        <v>5.6744862804361382</v>
      </c>
      <c r="EQ21" s="550">
        <f t="shared" si="57"/>
        <v>9.6342895558121783E-2</v>
      </c>
      <c r="ES21" s="551">
        <f t="shared" si="58"/>
        <v>513.41129042923103</v>
      </c>
    </row>
    <row r="22" spans="3:149">
      <c r="C22" s="546">
        <v>74</v>
      </c>
      <c r="D22" s="551">
        <f t="shared" si="8"/>
        <v>131.07411516737449</v>
      </c>
      <c r="E22" s="553">
        <f>$D22/PI()*SQRT('Hilfstabellen_Mat&amp;Bem'!f.Rd.3/'Hilfstabellen_Mat&amp;Bem'!$BD$30)</f>
        <v>2.0861093340284023</v>
      </c>
      <c r="F22" s="553">
        <f>0.5*(1+'Hilfstabellen_Mat&amp;Bem'!$BD$31*($E22-0.3)+$E22^2)</f>
        <v>2.7652315434616321</v>
      </c>
      <c r="G22" s="550">
        <f t="shared" si="9"/>
        <v>0.21832394921462536</v>
      </c>
      <c r="I22" s="551">
        <f t="shared" ref="I22:I85" si="59">C22^2*G22</f>
        <v>1195.5419458992885</v>
      </c>
      <c r="M22" s="546">
        <f t="shared" si="11"/>
        <v>74</v>
      </c>
      <c r="N22" s="551">
        <f t="shared" si="0"/>
        <v>135.75533356620929</v>
      </c>
      <c r="O22" s="553">
        <f>$N22/PI()*SQRT('Hilfstabellen_Mat&amp;Bem'!f.Rd.3/'Hilfstabellen_Mat&amp;Bem'!$BD$30)</f>
        <v>2.1606132388151309</v>
      </c>
      <c r="P22" s="553">
        <f>0.5*(1+'Hilfstabellen_Mat&amp;Bem'!$BD$31*($O22-0.3)+$O22^2)</f>
        <v>2.9271554458123616</v>
      </c>
      <c r="Q22" s="550">
        <f t="shared" si="1"/>
        <v>0.20399859535658438</v>
      </c>
      <c r="S22" s="551">
        <f t="shared" ref="S22:S85" si="60">M22^2*Q22</f>
        <v>1117.0963081726561</v>
      </c>
      <c r="W22" s="546">
        <f t="shared" si="13"/>
        <v>74</v>
      </c>
      <c r="X22" s="551">
        <f t="shared" si="2"/>
        <v>140.43655196504409</v>
      </c>
      <c r="Y22" s="553">
        <f>$X22/PI()*SQRT('Hilfstabellen_Mat&amp;Bem'!f.Rd.3/'Hilfstabellen_Mat&amp;Bem'!$BD$30)</f>
        <v>2.2351171436018595</v>
      </c>
      <c r="Z22" s="553">
        <f>0.5*(1+'Hilfstabellen_Mat&amp;Bem'!$BD$31*($Y22-0.3)+$Y22^2)</f>
        <v>3.0946301799915608</v>
      </c>
      <c r="AA22" s="550">
        <f t="shared" si="3"/>
        <v>0.19102363539074144</v>
      </c>
      <c r="AC22" s="551">
        <f t="shared" ref="AC22:AC85" si="61">W22^2*AA22</f>
        <v>1046.0454273997002</v>
      </c>
      <c r="AG22" s="546">
        <f t="shared" si="15"/>
        <v>74</v>
      </c>
      <c r="AH22" s="551">
        <f t="shared" si="4"/>
        <v>145.11777036387892</v>
      </c>
      <c r="AI22" s="553">
        <f>$AH22/PI()*SQRT('Hilfstabellen_Mat&amp;Bem'!f.Rd.3/'Hilfstabellen_Mat&amp;Bem'!$BD$30)</f>
        <v>2.3096210483885886</v>
      </c>
      <c r="AJ22" s="553">
        <f>0.5*(1+'Hilfstabellen_Mat&amp;Bem'!$BD$31*($AI22-0.3)+$AI22^2)</f>
        <v>3.2676557459992313</v>
      </c>
      <c r="AK22" s="550">
        <f t="shared" si="5"/>
        <v>0.17923725105658425</v>
      </c>
      <c r="AM22" s="551">
        <f t="shared" ref="AM22:AM85" si="62">AG22^2*AK22</f>
        <v>981.50318678585541</v>
      </c>
      <c r="AQ22" s="546">
        <f t="shared" si="17"/>
        <v>74</v>
      </c>
      <c r="AR22" s="551">
        <f t="shared" si="6"/>
        <v>149.79898876271369</v>
      </c>
      <c r="AS22" s="553">
        <f>$AR22/PI()*SQRT('Hilfstabellen_Mat&amp;Bem'!f.Rd.3/'Hilfstabellen_Mat&amp;Bem'!$BD$30)</f>
        <v>2.3841249531753168</v>
      </c>
      <c r="AT22" s="553">
        <f>0.5*(1+'Hilfstabellen_Mat&amp;Bem'!$BD$31*($AS22-0.3)+$AS22^2)</f>
        <v>3.4462321438353691</v>
      </c>
      <c r="AU22" s="550">
        <f t="shared" si="7"/>
        <v>0.16850055998894031</v>
      </c>
      <c r="AW22" s="551">
        <f t="shared" ref="AW22:AW85" si="63">AQ22^2*AU22</f>
        <v>922.7090664994372</v>
      </c>
      <c r="AZ22" s="547">
        <f>'Hilfstabellen_Mat&amp;Bem'!$J$56</f>
        <v>3.3</v>
      </c>
      <c r="BA22" s="546">
        <f t="shared" si="19"/>
        <v>74</v>
      </c>
      <c r="BB22" s="551">
        <f t="shared" si="20"/>
        <v>154.48020716154852</v>
      </c>
      <c r="BC22" s="553">
        <f>BB22/PI()*SQRT('Hilfstabellen_Mat&amp;Bem'!f.Rd.3/'Hilfstabellen_Mat&amp;Bem'!$BD$30)</f>
        <v>2.4586288579620459</v>
      </c>
      <c r="BD22" s="553">
        <f>0.5*(1+'Hilfstabellen_Mat&amp;Bem'!$BD$31*(BC22-0.3)+BC22^2)</f>
        <v>3.6303593734999793</v>
      </c>
      <c r="BE22" s="550">
        <f t="shared" si="21"/>
        <v>0.15869397255276946</v>
      </c>
      <c r="BG22" s="551">
        <f t="shared" si="22"/>
        <v>869.00819369896556</v>
      </c>
      <c r="BJ22" s="547">
        <f>'Hilfstabellen_Mat&amp;Bem'!$J$57</f>
        <v>3.4</v>
      </c>
      <c r="BK22" s="546">
        <f t="shared" si="23"/>
        <v>74</v>
      </c>
      <c r="BL22" s="551">
        <f t="shared" si="24"/>
        <v>159.16142556038329</v>
      </c>
      <c r="BM22" s="553">
        <f>BL22/PI()*SQRT('Hilfstabellen_Mat&amp;Bem'!f.Rd.3/'Hilfstabellen_Mat&amp;Bem'!$BD$30)</f>
        <v>2.5331327627487741</v>
      </c>
      <c r="BN22" s="553">
        <f>0.5*(1+'Hilfstabellen_Mat&amp;Bem'!$BD$31*(BM22-0.3)+BM22^2)</f>
        <v>3.8200374349930573</v>
      </c>
      <c r="BO22" s="550">
        <f t="shared" si="25"/>
        <v>0.14971416323491782</v>
      </c>
      <c r="BQ22" s="551">
        <f t="shared" si="26"/>
        <v>819.83475787441</v>
      </c>
      <c r="BT22" s="547">
        <f>'Hilfstabellen_Mat&amp;Bem'!$J$58</f>
        <v>3.5</v>
      </c>
      <c r="BU22" s="546">
        <f t="shared" si="27"/>
        <v>74</v>
      </c>
      <c r="BV22" s="551">
        <f t="shared" si="28"/>
        <v>163.84264395921812</v>
      </c>
      <c r="BW22" s="553">
        <f>BV22/PI()*SQRT('Hilfstabellen_Mat&amp;Bem'!f.Rd.3/'Hilfstabellen_Mat&amp;Bem'!$BD$30)</f>
        <v>2.6076366675355032</v>
      </c>
      <c r="BX22" s="553">
        <f>0.5*(1+'Hilfstabellen_Mat&amp;Bem'!$BD$31*(BW22-0.3)+BW22^2)</f>
        <v>4.0152663283146071</v>
      </c>
      <c r="BY22" s="550">
        <f t="shared" si="29"/>
        <v>0.14147155500808212</v>
      </c>
      <c r="CA22" s="551">
        <f t="shared" si="30"/>
        <v>774.6982352242577</v>
      </c>
      <c r="CD22" s="547">
        <f>'Hilfstabellen_Mat&amp;Bem'!$J$59</f>
        <v>3.6</v>
      </c>
      <c r="CE22" s="546">
        <f t="shared" si="31"/>
        <v>74</v>
      </c>
      <c r="CF22" s="551">
        <f t="shared" si="32"/>
        <v>168.5238623580529</v>
      </c>
      <c r="CG22" s="553">
        <f>CF22/PI()*SQRT('Hilfstabellen_Mat&amp;Bem'!f.Rd.3/'Hilfstabellen_Mat&amp;Bem'!$BD$30)</f>
        <v>2.6821405723222314</v>
      </c>
      <c r="CH22" s="553">
        <f>0.5*(1+'Hilfstabellen_Mat&amp;Bem'!$BD$31*(CG22-0.3)+CG22^2)</f>
        <v>4.2160460534646251</v>
      </c>
      <c r="CI22" s="550">
        <f t="shared" si="33"/>
        <v>0.1338882282666837</v>
      </c>
      <c r="CK22" s="551">
        <f t="shared" si="34"/>
        <v>733.1719379883599</v>
      </c>
      <c r="CN22" s="547">
        <f>'Hilfstabellen_Mat&amp;Bem'!$J$60</f>
        <v>3.7</v>
      </c>
      <c r="CO22" s="546">
        <f t="shared" si="35"/>
        <v>74</v>
      </c>
      <c r="CP22" s="551">
        <f t="shared" si="36"/>
        <v>173.20508075688772</v>
      </c>
      <c r="CQ22" s="553">
        <f>CP22/PI()*SQRT('Hilfstabellen_Mat&amp;Bem'!f.Rd.3/'Hilfstabellen_Mat&amp;Bem'!$BD$30)</f>
        <v>2.7566444771089604</v>
      </c>
      <c r="CR22" s="553">
        <f>0.5*(1+'Hilfstabellen_Mat&amp;Bem'!$BD$31*(CQ22-0.3)+CQ22^2)</f>
        <v>4.4223766104431146</v>
      </c>
      <c r="CS22" s="550">
        <f t="shared" si="37"/>
        <v>0.12689617969031575</v>
      </c>
      <c r="CU22" s="551">
        <f t="shared" si="38"/>
        <v>694.88347998416907</v>
      </c>
      <c r="CX22" s="547">
        <f>'Hilfstabellen_Mat&amp;Bem'!$J$61</f>
        <v>3.8</v>
      </c>
      <c r="CY22" s="546">
        <f t="shared" si="39"/>
        <v>74</v>
      </c>
      <c r="CZ22" s="551">
        <f t="shared" si="40"/>
        <v>177.88629915572253</v>
      </c>
      <c r="DA22" s="553">
        <f>CZ22/PI()*SQRT('Hilfstabellen_Mat&amp;Bem'!f.Rd.3/'Hilfstabellen_Mat&amp;Bem'!$BD$30)</f>
        <v>2.8311483818956891</v>
      </c>
      <c r="DB22" s="553">
        <f>0.5*(1+'Hilfstabellen_Mat&amp;Bem'!$BD$31*(DA22-0.3)+DA22^2)</f>
        <v>4.6342579992500736</v>
      </c>
      <c r="DC22" s="550">
        <f t="shared" si="41"/>
        <v>0.12043586906025322</v>
      </c>
      <c r="DE22" s="551">
        <f t="shared" si="42"/>
        <v>659.50681897394668</v>
      </c>
      <c r="DH22" s="547">
        <f>'Hilfstabellen_Mat&amp;Bem'!$J$62</f>
        <v>3.9</v>
      </c>
      <c r="DI22" s="546">
        <f t="shared" si="43"/>
        <v>74</v>
      </c>
      <c r="DJ22" s="551">
        <f t="shared" si="44"/>
        <v>182.56751755455733</v>
      </c>
      <c r="DK22" s="553">
        <f>DJ22/PI()*SQRT('Hilfstabellen_Mat&amp;Bem'!f.Rd.3/'Hilfstabellen_Mat&amp;Bem'!$BD$30)</f>
        <v>2.9056522866824177</v>
      </c>
      <c r="DL22" s="553">
        <f>0.5*(1+'Hilfstabellen_Mat&amp;Bem'!$BD$31*(DK22-0.3)+DK22^2)</f>
        <v>4.8516902198855023</v>
      </c>
      <c r="DM22" s="550">
        <f t="shared" si="45"/>
        <v>0.11445500305933973</v>
      </c>
      <c r="DO22" s="551">
        <f t="shared" si="46"/>
        <v>626.75559675294437</v>
      </c>
      <c r="DR22" s="547">
        <f>'Hilfstabellen_Mat&amp;Bem'!$J$63</f>
        <v>4</v>
      </c>
      <c r="DS22" s="546">
        <f t="shared" si="47"/>
        <v>74</v>
      </c>
      <c r="DT22" s="551">
        <f t="shared" si="48"/>
        <v>187.24873595339213</v>
      </c>
      <c r="DU22" s="553">
        <f>DT22/PI()*SQRT('Hilfstabellen_Mat&amp;Bem'!f.Rd.3/'Hilfstabellen_Mat&amp;Bem'!$BD$30)</f>
        <v>2.9801561914691463</v>
      </c>
      <c r="DV22" s="553">
        <f>0.5*(1+'Hilfstabellen_Mat&amp;Bem'!$BD$31*(DU22-0.3)+DU22^2)</f>
        <v>5.0746732723494015</v>
      </c>
      <c r="DW22" s="550">
        <f t="shared" si="49"/>
        <v>0.10890751434747287</v>
      </c>
      <c r="DY22" s="551">
        <f t="shared" si="50"/>
        <v>596.37754856676145</v>
      </c>
      <c r="EB22" s="547">
        <f>'Hilfstabellen_Mat&amp;Bem'!$J$64</f>
        <v>4.0999999999999996</v>
      </c>
      <c r="EC22" s="546">
        <f t="shared" si="51"/>
        <v>74</v>
      </c>
      <c r="ED22" s="551">
        <f t="shared" si="52"/>
        <v>191.92995435222693</v>
      </c>
      <c r="EE22" s="553">
        <f>ED22/PI()*SQRT('Hilfstabellen_Mat&amp;Bem'!f.Rd.3/'Hilfstabellen_Mat&amp;Bem'!$BD$30)</f>
        <v>3.054660096255875</v>
      </c>
      <c r="EF22" s="553">
        <f>0.5*(1+'Hilfstabellen_Mat&amp;Bem'!$BD$31*(EE22-0.3)+EE22^2)</f>
        <v>5.3032071566417693</v>
      </c>
      <c r="EG22" s="550">
        <f t="shared" si="53"/>
        <v>0.10375270186095528</v>
      </c>
      <c r="EI22" s="551">
        <f t="shared" si="54"/>
        <v>568.14979539059118</v>
      </c>
      <c r="EL22" s="547">
        <f>'Hilfstabellen_Mat&amp;Bem'!$J$65</f>
        <v>4.2</v>
      </c>
      <c r="EM22" s="546">
        <f t="shared" si="55"/>
        <v>74</v>
      </c>
      <c r="EN22" s="551">
        <f t="shared" si="56"/>
        <v>196.61117275106173</v>
      </c>
      <c r="EO22" s="553">
        <f>EN22/PI()*SQRT('Hilfstabellen_Mat&amp;Bem'!f.Rd.3/'Hilfstabellen_Mat&amp;Bem'!$BD$30)</f>
        <v>3.1291640010426036</v>
      </c>
      <c r="EP22" s="553">
        <f>0.5*(1+'Hilfstabellen_Mat&amp;Bem'!$BD$31*(EO22-0.3)+EO22^2)</f>
        <v>5.5372918727626086</v>
      </c>
      <c r="EQ22" s="550">
        <f t="shared" si="57"/>
        <v>9.8954504547141553E-2</v>
      </c>
      <c r="ES22" s="551">
        <f t="shared" si="58"/>
        <v>541.87486690014714</v>
      </c>
    </row>
    <row r="23" spans="3:149">
      <c r="C23" s="546">
        <v>75</v>
      </c>
      <c r="D23" s="551">
        <f t="shared" si="8"/>
        <v>129.32646029847618</v>
      </c>
      <c r="E23" s="553">
        <f>$D23/PI()*SQRT('Hilfstabellen_Mat&amp;Bem'!f.Rd.3/'Hilfstabellen_Mat&amp;Bem'!$BD$30)</f>
        <v>2.0582945429080239</v>
      </c>
      <c r="F23" s="553">
        <f>0.5*(1+'Hilfstabellen_Mat&amp;Bem'!$BD$31*($E23-0.3)+$E23^2)</f>
        <v>2.7062029398278771</v>
      </c>
      <c r="G23" s="550">
        <f t="shared" si="9"/>
        <v>0.22405564355242191</v>
      </c>
      <c r="I23" s="551">
        <f t="shared" si="59"/>
        <v>1260.3129949823733</v>
      </c>
      <c r="M23" s="546">
        <f t="shared" si="11"/>
        <v>75</v>
      </c>
      <c r="N23" s="551">
        <f t="shared" si="0"/>
        <v>133.94526245199316</v>
      </c>
      <c r="O23" s="553">
        <f>$N23/PI()*SQRT('Hilfstabellen_Mat&amp;Bem'!f.Rd.3/'Hilfstabellen_Mat&amp;Bem'!$BD$30)</f>
        <v>2.1318050622975959</v>
      </c>
      <c r="P23" s="553">
        <f>0.5*(1+'Hilfstabellen_Mat&amp;Bem'!$BD$31*($O23-0.3)+$O23^2)</f>
        <v>2.863886664933708</v>
      </c>
      <c r="Q23" s="550">
        <f t="shared" si="1"/>
        <v>0.20936789424125024</v>
      </c>
      <c r="S23" s="551">
        <f t="shared" si="60"/>
        <v>1177.6944051070327</v>
      </c>
      <c r="W23" s="546">
        <f t="shared" si="13"/>
        <v>75</v>
      </c>
      <c r="X23" s="551">
        <f t="shared" si="2"/>
        <v>138.56406460551017</v>
      </c>
      <c r="Y23" s="553">
        <f>$X23/PI()*SQRT('Hilfstabellen_Mat&amp;Bem'!f.Rd.3/'Hilfstabellen_Mat&amp;Bem'!$BD$30)</f>
        <v>2.2053155816871679</v>
      </c>
      <c r="Z23" s="553">
        <f>0.5*(1+'Hilfstabellen_Mat&amp;Bem'!$BD$31*($Y23-0.3)+$Y23^2)</f>
        <v>3.026974186500464</v>
      </c>
      <c r="AA23" s="550">
        <f t="shared" si="3"/>
        <v>0.19606248557633724</v>
      </c>
      <c r="AC23" s="551">
        <f t="shared" si="61"/>
        <v>1102.8514813668969</v>
      </c>
      <c r="AG23" s="546">
        <f t="shared" si="15"/>
        <v>75</v>
      </c>
      <c r="AH23" s="551">
        <f t="shared" si="4"/>
        <v>143.18286675902718</v>
      </c>
      <c r="AI23" s="553">
        <f>$AH23/PI()*SQRT('Hilfstabellen_Mat&amp;Bem'!f.Rd.3/'Hilfstabellen_Mat&amp;Bem'!$BD$30)</f>
        <v>2.2788261010767403</v>
      </c>
      <c r="AJ23" s="553">
        <f>0.5*(1+'Hilfstabellen_Mat&amp;Bem'!$BD$31*($AI23-0.3)+$AI23^2)</f>
        <v>3.1954655045281459</v>
      </c>
      <c r="AK23" s="550">
        <f t="shared" si="5"/>
        <v>0.18397422801831761</v>
      </c>
      <c r="AM23" s="551">
        <f t="shared" si="62"/>
        <v>1034.8550326030365</v>
      </c>
      <c r="AQ23" s="546">
        <f t="shared" si="17"/>
        <v>75</v>
      </c>
      <c r="AR23" s="551">
        <f t="shared" si="6"/>
        <v>147.80166891254419</v>
      </c>
      <c r="AS23" s="553">
        <f>$AR23/PI()*SQRT('Hilfstabellen_Mat&amp;Bem'!f.Rd.3/'Hilfstabellen_Mat&amp;Bem'!$BD$30)</f>
        <v>2.3523366204663128</v>
      </c>
      <c r="AT23" s="553">
        <f>0.5*(1+'Hilfstabellen_Mat&amp;Bem'!$BD$31*($AS23-0.3)+$AS23^2)</f>
        <v>3.3693606190167524</v>
      </c>
      <c r="AU23" s="550">
        <f t="shared" si="7"/>
        <v>0.17296123321176426</v>
      </c>
      <c r="AW23" s="551">
        <f t="shared" si="63"/>
        <v>972.90693681617404</v>
      </c>
      <c r="AZ23" s="547">
        <f>'Hilfstabellen_Mat&amp;Bem'!$J$56</f>
        <v>3.3</v>
      </c>
      <c r="BA23" s="546">
        <f t="shared" si="19"/>
        <v>75</v>
      </c>
      <c r="BB23" s="551">
        <f t="shared" si="20"/>
        <v>152.4204710660612</v>
      </c>
      <c r="BC23" s="553">
        <f>BB23/PI()*SQRT('Hilfstabellen_Mat&amp;Bem'!f.Rd.3/'Hilfstabellen_Mat&amp;Bem'!$BD$30)</f>
        <v>2.4258471398558852</v>
      </c>
      <c r="BD23" s="553">
        <f>0.5*(1+'Hilfstabellen_Mat&amp;Bem'!$BD$31*(BC23-0.3)+BC23^2)</f>
        <v>3.5486595299662835</v>
      </c>
      <c r="BE23" s="550">
        <f t="shared" si="21"/>
        <v>0.16290124486502808</v>
      </c>
      <c r="BG23" s="551">
        <f t="shared" si="22"/>
        <v>916.31950236578291</v>
      </c>
      <c r="BJ23" s="547">
        <f>'Hilfstabellen_Mat&amp;Bem'!$J$57</f>
        <v>3.4</v>
      </c>
      <c r="BK23" s="546">
        <f t="shared" si="23"/>
        <v>75</v>
      </c>
      <c r="BL23" s="551">
        <f t="shared" si="24"/>
        <v>157.03927321957821</v>
      </c>
      <c r="BM23" s="553">
        <f>BL23/PI()*SQRT('Hilfstabellen_Mat&amp;Bem'!f.Rd.3/'Hilfstabellen_Mat&amp;Bem'!$BD$30)</f>
        <v>2.4993576592454576</v>
      </c>
      <c r="BN23" s="553">
        <f>0.5*(1+'Hilfstabellen_Mat&amp;Bem'!$BD$31*(BM23-0.3)+BM23^2)</f>
        <v>3.7333622373767392</v>
      </c>
      <c r="BO23" s="550">
        <f t="shared" si="25"/>
        <v>0.15368857812312445</v>
      </c>
      <c r="BQ23" s="551">
        <f t="shared" si="26"/>
        <v>864.49825194257505</v>
      </c>
      <c r="BT23" s="547">
        <f>'Hilfstabellen_Mat&amp;Bem'!$J$58</f>
        <v>3.5</v>
      </c>
      <c r="BU23" s="546">
        <f t="shared" si="27"/>
        <v>75</v>
      </c>
      <c r="BV23" s="551">
        <f t="shared" si="28"/>
        <v>161.65807537309519</v>
      </c>
      <c r="BW23" s="553">
        <f>BV23/PI()*SQRT('Hilfstabellen_Mat&amp;Bem'!f.Rd.3/'Hilfstabellen_Mat&amp;Bem'!$BD$30)</f>
        <v>2.5728681786350296</v>
      </c>
      <c r="BX23" s="553">
        <f>0.5*(1+'Hilfstabellen_Mat&amp;Bem'!$BD$31*(BW23-0.3)+BW23^2)</f>
        <v>3.9234687412481186</v>
      </c>
      <c r="BY23" s="550">
        <f t="shared" si="29"/>
        <v>0.14523157076836962</v>
      </c>
      <c r="CA23" s="551">
        <f t="shared" si="30"/>
        <v>816.92758557207912</v>
      </c>
      <c r="CD23" s="547">
        <f>'Hilfstabellen_Mat&amp;Bem'!$J$59</f>
        <v>3.6</v>
      </c>
      <c r="CE23" s="546">
        <f t="shared" si="31"/>
        <v>75</v>
      </c>
      <c r="CF23" s="551">
        <f t="shared" si="32"/>
        <v>166.27687752661222</v>
      </c>
      <c r="CG23" s="553">
        <f>CF23/PI()*SQRT('Hilfstabellen_Mat&amp;Bem'!f.Rd.3/'Hilfstabellen_Mat&amp;Bem'!$BD$30)</f>
        <v>2.646378698024602</v>
      </c>
      <c r="CH23" s="553">
        <f>0.5*(1+'Hilfstabellen_Mat&amp;Bem'!$BD$31*(CG23-0.3)+CG23^2)</f>
        <v>4.1189790415804239</v>
      </c>
      <c r="CI23" s="550">
        <f t="shared" si="33"/>
        <v>0.13745046035599973</v>
      </c>
      <c r="CK23" s="551">
        <f t="shared" si="34"/>
        <v>773.15883950249849</v>
      </c>
      <c r="CN23" s="547">
        <f>'Hilfstabellen_Mat&amp;Bem'!$J$60</f>
        <v>3.7</v>
      </c>
      <c r="CO23" s="546">
        <f t="shared" si="35"/>
        <v>75</v>
      </c>
      <c r="CP23" s="551">
        <f t="shared" si="36"/>
        <v>170.89567968012923</v>
      </c>
      <c r="CQ23" s="553">
        <f>CP23/PI()*SQRT('Hilfstabellen_Mat&amp;Bem'!f.Rd.3/'Hilfstabellen_Mat&amp;Bem'!$BD$30)</f>
        <v>2.7198892174141744</v>
      </c>
      <c r="CR23" s="553">
        <f>0.5*(1+'Hilfstabellen_Mat&amp;Bem'!$BD$31*(CQ23-0.3)+CQ23^2)</f>
        <v>4.3198931383736543</v>
      </c>
      <c r="CS23" s="550">
        <f t="shared" si="37"/>
        <v>0.13027561380964336</v>
      </c>
      <c r="CU23" s="551">
        <f t="shared" si="38"/>
        <v>732.80032767924388</v>
      </c>
      <c r="CX23" s="547">
        <f>'Hilfstabellen_Mat&amp;Bem'!$J$61</f>
        <v>3.8</v>
      </c>
      <c r="CY23" s="546">
        <f t="shared" si="39"/>
        <v>75</v>
      </c>
      <c r="CZ23" s="551">
        <f t="shared" si="40"/>
        <v>175.51448183364622</v>
      </c>
      <c r="DA23" s="553">
        <f>CZ23/PI()*SQRT('Hilfstabellen_Mat&amp;Bem'!f.Rd.3/'Hilfstabellen_Mat&amp;Bem'!$BD$30)</f>
        <v>2.7933997368037464</v>
      </c>
      <c r="DB23" s="553">
        <f>0.5*(1+'Hilfstabellen_Mat&amp;Bem'!$BD$31*(DA23-0.3)+DA23^2)</f>
        <v>4.526211031627807</v>
      </c>
      <c r="DC23" s="550">
        <f t="shared" si="41"/>
        <v>0.1236460479369208</v>
      </c>
      <c r="DE23" s="551">
        <f t="shared" si="42"/>
        <v>695.50901964517948</v>
      </c>
      <c r="DH23" s="547">
        <f>'Hilfstabellen_Mat&amp;Bem'!$J$62</f>
        <v>3.9</v>
      </c>
      <c r="DI23" s="546">
        <f t="shared" si="43"/>
        <v>75</v>
      </c>
      <c r="DJ23" s="551">
        <f t="shared" si="44"/>
        <v>180.13328398716322</v>
      </c>
      <c r="DK23" s="553">
        <f>DJ23/PI()*SQRT('Hilfstabellen_Mat&amp;Bem'!f.Rd.3/'Hilfstabellen_Mat&amp;Bem'!$BD$30)</f>
        <v>2.8669102561933189</v>
      </c>
      <c r="DL23" s="553">
        <f>0.5*(1+'Hilfstabellen_Mat&amp;Bem'!$BD$31*(DK23-0.3)+DK23^2)</f>
        <v>4.7379327213428866</v>
      </c>
      <c r="DM23" s="550">
        <f t="shared" si="45"/>
        <v>0.11750818993735891</v>
      </c>
      <c r="DO23" s="551">
        <f t="shared" si="46"/>
        <v>660.98356839764392</v>
      </c>
      <c r="DR23" s="547">
        <f>'Hilfstabellen_Mat&amp;Bem'!$J$63</f>
        <v>4</v>
      </c>
      <c r="DS23" s="546">
        <f t="shared" si="47"/>
        <v>75</v>
      </c>
      <c r="DT23" s="551">
        <f t="shared" si="48"/>
        <v>184.75208614068023</v>
      </c>
      <c r="DU23" s="553">
        <f>DT23/PI()*SQRT('Hilfstabellen_Mat&amp;Bem'!f.Rd.3/'Hilfstabellen_Mat&amp;Bem'!$BD$30)</f>
        <v>2.9404207755828913</v>
      </c>
      <c r="DV23" s="553">
        <f>0.5*(1+'Hilfstabellen_Mat&amp;Bem'!$BD$31*(DU23-0.3)+DU23^2)</f>
        <v>4.9550582075188903</v>
      </c>
      <c r="DW23" s="550">
        <f t="shared" si="49"/>
        <v>0.11181483603698619</v>
      </c>
      <c r="DY23" s="551">
        <f t="shared" si="50"/>
        <v>628.95845270804739</v>
      </c>
      <c r="EB23" s="547">
        <f>'Hilfstabellen_Mat&amp;Bem'!$J$64</f>
        <v>4.0999999999999996</v>
      </c>
      <c r="EC23" s="546">
        <f t="shared" si="51"/>
        <v>75</v>
      </c>
      <c r="ED23" s="551">
        <f t="shared" si="52"/>
        <v>189.37088829419724</v>
      </c>
      <c r="EE23" s="553">
        <f>ED23/PI()*SQRT('Hilfstabellen_Mat&amp;Bem'!f.Rd.3/'Hilfstabellen_Mat&amp;Bem'!$BD$30)</f>
        <v>3.0139312949724637</v>
      </c>
      <c r="EF23" s="553">
        <f>0.5*(1+'Hilfstabellen_Mat&amp;Bem'!$BD$31*(EE23-0.3)+EE23^2)</f>
        <v>5.177587490155819</v>
      </c>
      <c r="EG23" s="550">
        <f t="shared" si="53"/>
        <v>0.10652427394888839</v>
      </c>
      <c r="EI23" s="551">
        <f t="shared" si="54"/>
        <v>599.19904096249718</v>
      </c>
      <c r="EL23" s="547">
        <f>'Hilfstabellen_Mat&amp;Bem'!$J$65</f>
        <v>4.2</v>
      </c>
      <c r="EM23" s="546">
        <f t="shared" si="55"/>
        <v>75</v>
      </c>
      <c r="EN23" s="551">
        <f t="shared" si="56"/>
        <v>193.98969044771425</v>
      </c>
      <c r="EO23" s="553">
        <f>EN23/PI()*SQRT('Hilfstabellen_Mat&amp;Bem'!f.Rd.3/'Hilfstabellen_Mat&amp;Bem'!$BD$30)</f>
        <v>3.0874418143620357</v>
      </c>
      <c r="EP23" s="553">
        <f>0.5*(1+'Hilfstabellen_Mat&amp;Bem'!$BD$31*(EO23-0.3)+EO23^2)</f>
        <v>5.405520569253671</v>
      </c>
      <c r="EQ23" s="550">
        <f t="shared" si="57"/>
        <v>0.10159954109114522</v>
      </c>
      <c r="ES23" s="551">
        <f t="shared" si="58"/>
        <v>571.49741863769179</v>
      </c>
    </row>
    <row r="24" spans="3:149">
      <c r="C24" s="546">
        <v>76</v>
      </c>
      <c r="D24" s="551">
        <f t="shared" si="8"/>
        <v>127.62479634718044</v>
      </c>
      <c r="E24" s="553">
        <f>$D24/PI()*SQRT('Hilfstabellen_Mat&amp;Bem'!f.Rd.3/'Hilfstabellen_Mat&amp;Bem'!$BD$30)</f>
        <v>2.0312117199750235</v>
      </c>
      <c r="F24" s="553">
        <f>0.5*(1+'Hilfstabellen_Mat&amp;Bem'!$BD$31*($E24-0.3)+$E24^2)</f>
        <v>2.6494711116806977</v>
      </c>
      <c r="G24" s="550">
        <f t="shared" si="9"/>
        <v>0.22985278481662202</v>
      </c>
      <c r="I24" s="551">
        <f t="shared" si="59"/>
        <v>1327.6296851008087</v>
      </c>
      <c r="M24" s="546">
        <f t="shared" si="11"/>
        <v>76</v>
      </c>
      <c r="N24" s="551">
        <f t="shared" si="0"/>
        <v>132.18282478815115</v>
      </c>
      <c r="O24" s="553">
        <f>$N24/PI()*SQRT('Hilfstabellen_Mat&amp;Bem'!f.Rd.3/'Hilfstabellen_Mat&amp;Bem'!$BD$30)</f>
        <v>2.103754995688417</v>
      </c>
      <c r="P24" s="553">
        <f>0.5*(1+'Hilfstabellen_Mat&amp;Bem'!$BD$31*($O24-0.3)+$O24^2)</f>
        <v>2.8030802907264061</v>
      </c>
      <c r="Q24" s="550">
        <f t="shared" si="1"/>
        <v>0.21479950929893704</v>
      </c>
      <c r="S24" s="551">
        <f t="shared" si="60"/>
        <v>1240.6819657106603</v>
      </c>
      <c r="W24" s="546">
        <f t="shared" si="13"/>
        <v>76</v>
      </c>
      <c r="X24" s="551">
        <f t="shared" si="2"/>
        <v>136.74085322912188</v>
      </c>
      <c r="Y24" s="553">
        <f>$X24/PI()*SQRT('Hilfstabellen_Mat&amp;Bem'!f.Rd.3/'Hilfstabellen_Mat&amp;Bem'!$BD$30)</f>
        <v>2.1762982714018109</v>
      </c>
      <c r="Z24" s="553">
        <f>0.5*(1+'Hilfstabellen_Mat&amp;Bem'!$BD$31*($Y24-0.3)+$Y24^2)</f>
        <v>2.9619519966233456</v>
      </c>
      <c r="AA24" s="550">
        <f t="shared" si="3"/>
        <v>0.20116060812869457</v>
      </c>
      <c r="AC24" s="551">
        <f t="shared" si="61"/>
        <v>1161.9036725513399</v>
      </c>
      <c r="AG24" s="546">
        <f t="shared" si="15"/>
        <v>76</v>
      </c>
      <c r="AH24" s="551">
        <f t="shared" si="4"/>
        <v>141.29888167009261</v>
      </c>
      <c r="AI24" s="553">
        <f>$AH24/PI()*SQRT('Hilfstabellen_Mat&amp;Bem'!f.Rd.3/'Hilfstabellen_Mat&amp;Bem'!$BD$30)</f>
        <v>2.2488415471152048</v>
      </c>
      <c r="AJ24" s="553">
        <f>0.5*(1+'Hilfstabellen_Mat&amp;Bem'!$BD$31*($AI24-0.3)+$AI24^2)</f>
        <v>3.1260862293715146</v>
      </c>
      <c r="AK24" s="550">
        <f t="shared" si="5"/>
        <v>0.18876755629872444</v>
      </c>
      <c r="AM24" s="551">
        <f t="shared" si="62"/>
        <v>1090.3214051814323</v>
      </c>
      <c r="AQ24" s="546">
        <f t="shared" si="17"/>
        <v>76</v>
      </c>
      <c r="AR24" s="551">
        <f t="shared" si="6"/>
        <v>145.85691011106334</v>
      </c>
      <c r="AS24" s="553">
        <f>$AR24/PI()*SQRT('Hilfstabellen_Mat&amp;Bem'!f.Rd.3/'Hilfstabellen_Mat&amp;Bem'!$BD$30)</f>
        <v>2.3213848228285978</v>
      </c>
      <c r="AT24" s="553">
        <f>0.5*(1+'Hilfstabellen_Mat&amp;Bem'!$BD$31*($AS24-0.3)+$AS24^2)</f>
        <v>3.2954829889709099</v>
      </c>
      <c r="AU24" s="550">
        <f t="shared" si="7"/>
        <v>0.17747547814850007</v>
      </c>
      <c r="AW24" s="551">
        <f t="shared" si="63"/>
        <v>1025.0983617857364</v>
      </c>
      <c r="AZ24" s="547">
        <f>'Hilfstabellen_Mat&amp;Bem'!$J$56</f>
        <v>3.3</v>
      </c>
      <c r="BA24" s="546">
        <f t="shared" si="19"/>
        <v>76</v>
      </c>
      <c r="BB24" s="551">
        <f t="shared" si="20"/>
        <v>150.41493855203407</v>
      </c>
      <c r="BC24" s="553">
        <f>BB24/PI()*SQRT('Hilfstabellen_Mat&amp;Bem'!f.Rd.3/'Hilfstabellen_Mat&amp;Bem'!$BD$30)</f>
        <v>2.3939280985419917</v>
      </c>
      <c r="BD24" s="553">
        <f>0.5*(1+'Hilfstabellen_Mat&amp;Bem'!$BD$31*(BC24-0.3)+BC24^2)</f>
        <v>3.4701422754215376</v>
      </c>
      <c r="BE24" s="550">
        <f t="shared" si="21"/>
        <v>0.16715945859730275</v>
      </c>
      <c r="BG24" s="551">
        <f t="shared" si="22"/>
        <v>965.51303285802067</v>
      </c>
      <c r="BJ24" s="547">
        <f>'Hilfstabellen_Mat&amp;Bem'!$J$57</f>
        <v>3.4</v>
      </c>
      <c r="BK24" s="546">
        <f t="shared" si="23"/>
        <v>76</v>
      </c>
      <c r="BL24" s="551">
        <f t="shared" si="24"/>
        <v>154.9729669930048</v>
      </c>
      <c r="BM24" s="553">
        <f>BL24/PI()*SQRT('Hilfstabellen_Mat&amp;Bem'!f.Rd.3/'Hilfstabellen_Mat&amp;Bem'!$BD$30)</f>
        <v>2.4664713742553857</v>
      </c>
      <c r="BN24" s="553">
        <f>0.5*(1+'Hilfstabellen_Mat&amp;Bem'!$BD$31*(BM24-0.3)+BM24^2)</f>
        <v>3.6500640887233944</v>
      </c>
      <c r="BO24" s="550">
        <f t="shared" si="25"/>
        <v>0.15771145453387281</v>
      </c>
      <c r="BQ24" s="551">
        <f t="shared" si="26"/>
        <v>910.94136138764929</v>
      </c>
      <c r="BT24" s="547">
        <f>'Hilfstabellen_Mat&amp;Bem'!$J$58</f>
        <v>3.5</v>
      </c>
      <c r="BU24" s="546">
        <f t="shared" si="27"/>
        <v>76</v>
      </c>
      <c r="BV24" s="551">
        <f t="shared" si="28"/>
        <v>159.53099543397553</v>
      </c>
      <c r="BW24" s="553">
        <f>BV24/PI()*SQRT('Hilfstabellen_Mat&amp;Bem'!f.Rd.3/'Hilfstabellen_Mat&amp;Bem'!$BD$30)</f>
        <v>2.5390146499687791</v>
      </c>
      <c r="BX24" s="553">
        <f>0.5*(1+'Hilfstabellen_Mat&amp;Bem'!$BD$31*(BW24-0.3)+BW24^2)</f>
        <v>3.8352484288764801</v>
      </c>
      <c r="BY24" s="550">
        <f t="shared" si="29"/>
        <v>0.14903771545696395</v>
      </c>
      <c r="CA24" s="551">
        <f t="shared" si="30"/>
        <v>860.8418444794238</v>
      </c>
      <c r="CD24" s="547">
        <f>'Hilfstabellen_Mat&amp;Bem'!$J$59</f>
        <v>3.6</v>
      </c>
      <c r="CE24" s="546">
        <f t="shared" si="31"/>
        <v>76</v>
      </c>
      <c r="CF24" s="551">
        <f t="shared" si="32"/>
        <v>164.08902387494626</v>
      </c>
      <c r="CG24" s="553">
        <f>CF24/PI()*SQRT('Hilfstabellen_Mat&amp;Bem'!f.Rd.3/'Hilfstabellen_Mat&amp;Bem'!$BD$30)</f>
        <v>2.611557925682173</v>
      </c>
      <c r="CH24" s="553">
        <f>0.5*(1+'Hilfstabellen_Mat&amp;Bem'!$BD$31*(CG24-0.3)+CG24^2)</f>
        <v>4.0256952958807961</v>
      </c>
      <c r="CI24" s="550">
        <f t="shared" si="33"/>
        <v>0.14105663049911443</v>
      </c>
      <c r="CK24" s="551">
        <f t="shared" si="34"/>
        <v>814.74309776288499</v>
      </c>
      <c r="CN24" s="547">
        <f>'Hilfstabellen_Mat&amp;Bem'!$J$60</f>
        <v>3.7</v>
      </c>
      <c r="CO24" s="546">
        <f t="shared" si="35"/>
        <v>76</v>
      </c>
      <c r="CP24" s="551">
        <f t="shared" si="36"/>
        <v>168.64705231591699</v>
      </c>
      <c r="CQ24" s="553">
        <f>CP24/PI()*SQRT('Hilfstabellen_Mat&amp;Bem'!f.Rd.3/'Hilfstabellen_Mat&amp;Bem'!$BD$30)</f>
        <v>2.684101201395567</v>
      </c>
      <c r="CR24" s="553">
        <f>0.5*(1+'Hilfstabellen_Mat&amp;Bem'!$BD$31*(CQ24-0.3)+CQ24^2)</f>
        <v>4.2214046897363415</v>
      </c>
      <c r="CS24" s="550">
        <f t="shared" si="37"/>
        <v>0.13369692985148779</v>
      </c>
      <c r="CU24" s="551">
        <f t="shared" si="38"/>
        <v>772.23346682219346</v>
      </c>
      <c r="CX24" s="547">
        <f>'Hilfstabellen_Mat&amp;Bem'!$J$61</f>
        <v>3.8</v>
      </c>
      <c r="CY24" s="546">
        <f t="shared" si="39"/>
        <v>76</v>
      </c>
      <c r="CZ24" s="551">
        <f t="shared" si="40"/>
        <v>173.20508075688772</v>
      </c>
      <c r="DA24" s="553">
        <f>CZ24/PI()*SQRT('Hilfstabellen_Mat&amp;Bem'!f.Rd.3/'Hilfstabellen_Mat&amp;Bem'!$BD$30)</f>
        <v>2.7566444771089604</v>
      </c>
      <c r="DB24" s="553">
        <f>0.5*(1+'Hilfstabellen_Mat&amp;Bem'!$BD$31*(DA24-0.3)+DA24^2)</f>
        <v>4.4223766104431146</v>
      </c>
      <c r="DC24" s="550">
        <f t="shared" si="41"/>
        <v>0.12689617969031575</v>
      </c>
      <c r="DE24" s="551">
        <f t="shared" si="42"/>
        <v>732.95233389126372</v>
      </c>
      <c r="DH24" s="547">
        <f>'Hilfstabellen_Mat&amp;Bem'!$J$62</f>
        <v>3.9</v>
      </c>
      <c r="DI24" s="546">
        <f t="shared" si="43"/>
        <v>76</v>
      </c>
      <c r="DJ24" s="551">
        <f t="shared" si="44"/>
        <v>177.76310919785845</v>
      </c>
      <c r="DK24" s="553">
        <f>DJ24/PI()*SQRT('Hilfstabellen_Mat&amp;Bem'!f.Rd.3/'Hilfstabellen_Mat&amp;Bem'!$BD$30)</f>
        <v>2.8291877528223544</v>
      </c>
      <c r="DL24" s="553">
        <f>0.5*(1+'Hilfstabellen_Mat&amp;Bem'!$BD$31*(DK24-0.3)+DK24^2)</f>
        <v>4.6286110580011197</v>
      </c>
      <c r="DM24" s="550">
        <f t="shared" si="45"/>
        <v>0.12059951985109046</v>
      </c>
      <c r="DO24" s="551">
        <f t="shared" si="46"/>
        <v>696.5828266598985</v>
      </c>
      <c r="DR24" s="547">
        <f>'Hilfstabellen_Mat&amp;Bem'!$J$63</f>
        <v>4</v>
      </c>
      <c r="DS24" s="546">
        <f t="shared" si="47"/>
        <v>76</v>
      </c>
      <c r="DT24" s="551">
        <f t="shared" si="48"/>
        <v>182.32113763882916</v>
      </c>
      <c r="DU24" s="553">
        <f>DT24/PI()*SQRT('Hilfstabellen_Mat&amp;Bem'!f.Rd.3/'Hilfstabellen_Mat&amp;Bem'!$BD$30)</f>
        <v>2.9017310285357474</v>
      </c>
      <c r="DV24" s="553">
        <f>0.5*(1+'Hilfstabellen_Mat&amp;Bem'!$BD$31*(DU24-0.3)+DU24^2)</f>
        <v>4.8401080324103507</v>
      </c>
      <c r="DW24" s="550">
        <f t="shared" si="49"/>
        <v>0.11475860231290073</v>
      </c>
      <c r="DY24" s="551">
        <f t="shared" si="50"/>
        <v>662.84568695931466</v>
      </c>
      <c r="EB24" s="547">
        <f>'Hilfstabellen_Mat&amp;Bem'!$J$64</f>
        <v>4.0999999999999996</v>
      </c>
      <c r="EC24" s="546">
        <f t="shared" si="51"/>
        <v>76</v>
      </c>
      <c r="ED24" s="551">
        <f t="shared" si="52"/>
        <v>186.87916607979992</v>
      </c>
      <c r="EE24" s="553">
        <f>ED24/PI()*SQRT('Hilfstabellen_Mat&amp;Bem'!f.Rd.3/'Hilfstabellen_Mat&amp;Bem'!$BD$30)</f>
        <v>2.9742743042491417</v>
      </c>
      <c r="EF24" s="553">
        <f>0.5*(1+'Hilfstabellen_Mat&amp;Bem'!$BD$31*(EE24-0.3)+EE24^2)</f>
        <v>5.0568675336708155</v>
      </c>
      <c r="EG24" s="550">
        <f t="shared" si="53"/>
        <v>0.10933069599962489</v>
      </c>
      <c r="EI24" s="551">
        <f t="shared" si="54"/>
        <v>631.49410009383337</v>
      </c>
      <c r="EL24" s="547">
        <f>'Hilfstabellen_Mat&amp;Bem'!$J$65</f>
        <v>4.2</v>
      </c>
      <c r="EM24" s="546">
        <f t="shared" si="55"/>
        <v>76</v>
      </c>
      <c r="EN24" s="551">
        <f t="shared" si="56"/>
        <v>191.43719452077065</v>
      </c>
      <c r="EO24" s="553">
        <f>EN24/PI()*SQRT('Hilfstabellen_Mat&amp;Bem'!f.Rd.3/'Hilfstabellen_Mat&amp;Bem'!$BD$30)</f>
        <v>3.0468175799625352</v>
      </c>
      <c r="EP24" s="553">
        <f>0.5*(1+'Hilfstabellen_Mat&amp;Bem'!$BD$31*(EO24-0.3)+EO24^2)</f>
        <v>5.2788895617825062</v>
      </c>
      <c r="EQ24" s="550">
        <f t="shared" si="57"/>
        <v>0.10427792958676889</v>
      </c>
      <c r="ES24" s="551">
        <f t="shared" si="58"/>
        <v>602.30932129317705</v>
      </c>
    </row>
    <row r="25" spans="3:149">
      <c r="C25" s="546">
        <v>77</v>
      </c>
      <c r="D25" s="551">
        <f t="shared" si="8"/>
        <v>125.96733145955471</v>
      </c>
      <c r="E25" s="553">
        <f>$D25/PI()*SQRT('Hilfstabellen_Mat&amp;Bem'!f.Rd.3/'Hilfstabellen_Mat&amp;Bem'!$BD$30)</f>
        <v>2.0048323469883349</v>
      </c>
      <c r="F25" s="553">
        <f>0.5*(1+'Hilfstabellen_Mat&amp;Bem'!$BD$31*($E25-0.3)+$E25^2)</f>
        <v>2.5949179871147945</v>
      </c>
      <c r="G25" s="550">
        <f t="shared" si="9"/>
        <v>0.23571479564656136</v>
      </c>
      <c r="I25" s="551">
        <f t="shared" si="59"/>
        <v>1397.5530233884624</v>
      </c>
      <c r="M25" s="546">
        <f t="shared" si="11"/>
        <v>77</v>
      </c>
      <c r="N25" s="551">
        <f t="shared" si="0"/>
        <v>130.46616472596739</v>
      </c>
      <c r="O25" s="553">
        <f>$N25/PI()*SQRT('Hilfstabellen_Mat&amp;Bem'!f.Rd.3/'Hilfstabellen_Mat&amp;Bem'!$BD$30)</f>
        <v>2.0764335022379181</v>
      </c>
      <c r="P25" s="553">
        <f>0.5*(1+'Hilfstabellen_Mat&amp;Bem'!$BD$31*($O25-0.3)+$O25^2)</f>
        <v>2.7446097197199091</v>
      </c>
      <c r="Q25" s="550">
        <f t="shared" si="1"/>
        <v>0.2202929674836866</v>
      </c>
      <c r="S25" s="551">
        <f t="shared" si="60"/>
        <v>1306.1170042107778</v>
      </c>
      <c r="W25" s="546">
        <f t="shared" si="13"/>
        <v>77</v>
      </c>
      <c r="X25" s="551">
        <f t="shared" si="2"/>
        <v>134.96499799238003</v>
      </c>
      <c r="Y25" s="553">
        <f>$X25/PI()*SQRT('Hilfstabellen_Mat&amp;Bem'!f.Rd.3/'Hilfstabellen_Mat&amp;Bem'!$BD$30)</f>
        <v>2.1480346574875013</v>
      </c>
      <c r="Z25" s="553">
        <f>0.5*(1+'Hilfstabellen_Mat&amp;Bem'!$BD$31*($Y25-0.3)+$Y25^2)</f>
        <v>2.8994281777580988</v>
      </c>
      <c r="AA25" s="550">
        <f t="shared" si="3"/>
        <v>0.20631761083232777</v>
      </c>
      <c r="AC25" s="551">
        <f t="shared" si="61"/>
        <v>1223.2571146248713</v>
      </c>
      <c r="AG25" s="546">
        <f t="shared" si="15"/>
        <v>77</v>
      </c>
      <c r="AH25" s="551">
        <f t="shared" si="4"/>
        <v>139.46383125879271</v>
      </c>
      <c r="AI25" s="553">
        <f>$AH25/PI()*SQRT('Hilfstabellen_Mat&amp;Bem'!f.Rd.3/'Hilfstabellen_Mat&amp;Bem'!$BD$30)</f>
        <v>2.219635812737085</v>
      </c>
      <c r="AJ25" s="553">
        <f>0.5*(1+'Hilfstabellen_Mat&amp;Bem'!$BD$31*($AI25-0.3)+$AI25^2)</f>
        <v>3.0593733612293641</v>
      </c>
      <c r="AK25" s="550">
        <f t="shared" si="5"/>
        <v>0.19361690718493457</v>
      </c>
      <c r="AM25" s="551">
        <f t="shared" si="62"/>
        <v>1147.9546426994771</v>
      </c>
      <c r="AQ25" s="546">
        <f t="shared" si="17"/>
        <v>77</v>
      </c>
      <c r="AR25" s="551">
        <f t="shared" si="6"/>
        <v>143.96266452520538</v>
      </c>
      <c r="AS25" s="553">
        <f>$AR25/PI()*SQRT('Hilfstabellen_Mat&amp;Bem'!f.Rd.3/'Hilfstabellen_Mat&amp;Bem'!$BD$30)</f>
        <v>2.2912369679866682</v>
      </c>
      <c r="AT25" s="553">
        <f>0.5*(1+'Hilfstabellen_Mat&amp;Bem'!$BD$31*($AS25-0.3)+$AS25^2)</f>
        <v>3.2244452701337036</v>
      </c>
      <c r="AU25" s="550">
        <f t="shared" si="7"/>
        <v>0.18204301660787126</v>
      </c>
      <c r="AW25" s="551">
        <f t="shared" si="63"/>
        <v>1079.3330454680686</v>
      </c>
      <c r="AZ25" s="547">
        <f>'Hilfstabellen_Mat&amp;Bem'!$J$56</f>
        <v>3.3</v>
      </c>
      <c r="BA25" s="546">
        <f t="shared" si="19"/>
        <v>77</v>
      </c>
      <c r="BB25" s="551">
        <f t="shared" si="20"/>
        <v>148.46149779161803</v>
      </c>
      <c r="BC25" s="553">
        <f>BB25/PI()*SQRT('Hilfstabellen_Mat&amp;Bem'!f.Rd.3/'Hilfstabellen_Mat&amp;Bem'!$BD$30)</f>
        <v>2.3628381232362514</v>
      </c>
      <c r="BD25" s="553">
        <f>0.5*(1+'Hilfstabellen_Mat&amp;Bem'!$BD$31*(BC25-0.3)+BC25^2)</f>
        <v>3.3946439044711179</v>
      </c>
      <c r="BE25" s="550">
        <f t="shared" si="21"/>
        <v>0.17146837621828159</v>
      </c>
      <c r="BG25" s="551">
        <f t="shared" si="22"/>
        <v>1016.6360025981916</v>
      </c>
      <c r="BJ25" s="547">
        <f>'Hilfstabellen_Mat&amp;Bem'!$J$57</f>
        <v>3.4</v>
      </c>
      <c r="BK25" s="546">
        <f t="shared" si="23"/>
        <v>77</v>
      </c>
      <c r="BL25" s="551">
        <f t="shared" si="24"/>
        <v>152.9603310580307</v>
      </c>
      <c r="BM25" s="553">
        <f>BL25/PI()*SQRT('Hilfstabellen_Mat&amp;Bem'!f.Rd.3/'Hilfstabellen_Mat&amp;Bem'!$BD$30)</f>
        <v>2.4344392784858351</v>
      </c>
      <c r="BN25" s="553">
        <f>0.5*(1+'Hilfstabellen_Mat&amp;Bem'!$BD$31*(BM25-0.3)+BM25^2)</f>
        <v>3.5699692642416085</v>
      </c>
      <c r="BO25" s="550">
        <f t="shared" si="25"/>
        <v>0.16178258800675005</v>
      </c>
      <c r="BQ25" s="551">
        <f t="shared" si="26"/>
        <v>959.20896429202105</v>
      </c>
      <c r="BT25" s="547">
        <f>'Hilfstabellen_Mat&amp;Bem'!$J$58</f>
        <v>3.5</v>
      </c>
      <c r="BU25" s="546">
        <f t="shared" si="27"/>
        <v>77</v>
      </c>
      <c r="BV25" s="551">
        <f t="shared" si="28"/>
        <v>157.45916432444338</v>
      </c>
      <c r="BW25" s="553">
        <f>BV25/PI()*SQRT('Hilfstabellen_Mat&amp;Bem'!f.Rd.3/'Hilfstabellen_Mat&amp;Bem'!$BD$30)</f>
        <v>2.5060404337354183</v>
      </c>
      <c r="BX25" s="553">
        <f>0.5*(1+'Hilfstabellen_Mat&amp;Bem'!$BD$31*(BW25-0.3)+BW25^2)</f>
        <v>3.7504213494451726</v>
      </c>
      <c r="BY25" s="550">
        <f t="shared" si="29"/>
        <v>0.15288981177425243</v>
      </c>
      <c r="CA25" s="551">
        <f t="shared" si="30"/>
        <v>906.48369400954266</v>
      </c>
      <c r="CD25" s="547">
        <f>'Hilfstabellen_Mat&amp;Bem'!$J$59</f>
        <v>3.6</v>
      </c>
      <c r="CE25" s="546">
        <f t="shared" si="31"/>
        <v>77</v>
      </c>
      <c r="CF25" s="551">
        <f t="shared" si="32"/>
        <v>161.95799759085605</v>
      </c>
      <c r="CG25" s="553">
        <f>CF25/PI()*SQRT('Hilfstabellen_Mat&amp;Bem'!f.Rd.3/'Hilfstabellen_Mat&amp;Bem'!$BD$30)</f>
        <v>2.577641588985002</v>
      </c>
      <c r="CH25" s="553">
        <f>0.5*(1+'Hilfstabellen_Mat&amp;Bem'!$BD$31*(CG25-0.3)+CG25^2)</f>
        <v>3.9360001600818131</v>
      </c>
      <c r="CI25" s="550">
        <f t="shared" si="33"/>
        <v>0.14470658390375418</v>
      </c>
      <c r="CK25" s="551">
        <f t="shared" si="34"/>
        <v>857.96533596535858</v>
      </c>
      <c r="CN25" s="547">
        <f>'Hilfstabellen_Mat&amp;Bem'!$J$60</f>
        <v>3.7</v>
      </c>
      <c r="CO25" s="546">
        <f t="shared" si="35"/>
        <v>77</v>
      </c>
      <c r="CP25" s="551">
        <f t="shared" si="36"/>
        <v>166.45683085726873</v>
      </c>
      <c r="CQ25" s="553">
        <f>CP25/PI()*SQRT('Hilfstabellen_Mat&amp;Bem'!f.Rd.3/'Hilfstabellen_Mat&amp;Bem'!$BD$30)</f>
        <v>2.6492427442345856</v>
      </c>
      <c r="CR25" s="553">
        <f>0.5*(1+'Hilfstabellen_Mat&amp;Bem'!$BD$31*(CQ25-0.3)+CQ25^2)</f>
        <v>4.1267056961515287</v>
      </c>
      <c r="CS25" s="550">
        <f t="shared" si="37"/>
        <v>0.1371599918294138</v>
      </c>
      <c r="CU25" s="551">
        <f t="shared" si="38"/>
        <v>813.22159155659438</v>
      </c>
      <c r="CX25" s="547">
        <f>'Hilfstabellen_Mat&amp;Bem'!$J$61</f>
        <v>3.8</v>
      </c>
      <c r="CY25" s="546">
        <f t="shared" si="39"/>
        <v>77</v>
      </c>
      <c r="CZ25" s="551">
        <f t="shared" si="40"/>
        <v>170.95566412368137</v>
      </c>
      <c r="DA25" s="553">
        <f>CZ25/PI()*SQRT('Hilfstabellen_Mat&amp;Bem'!f.Rd.3/'Hilfstabellen_Mat&amp;Bem'!$BD$30)</f>
        <v>2.7208438994841684</v>
      </c>
      <c r="DB25" s="553">
        <f>0.5*(1+'Hilfstabellen_Mat&amp;Bem'!$BD$31*(DA25-0.3)+DA25^2)</f>
        <v>4.3225379576543155</v>
      </c>
      <c r="DC25" s="550">
        <f t="shared" si="41"/>
        <v>0.13018614416763083</v>
      </c>
      <c r="DE25" s="551">
        <f t="shared" si="42"/>
        <v>771.87364876988318</v>
      </c>
      <c r="DH25" s="547">
        <f>'Hilfstabellen_Mat&amp;Bem'!$J$62</f>
        <v>3.9</v>
      </c>
      <c r="DI25" s="546">
        <f t="shared" si="43"/>
        <v>77</v>
      </c>
      <c r="DJ25" s="551">
        <f t="shared" si="44"/>
        <v>175.45449739009405</v>
      </c>
      <c r="DK25" s="553">
        <f>DJ25/PI()*SQRT('Hilfstabellen_Mat&amp;Bem'!f.Rd.3/'Hilfstabellen_Mat&amp;Bem'!$BD$30)</f>
        <v>2.792445054733752</v>
      </c>
      <c r="DL25" s="553">
        <f>0.5*(1+'Hilfstabellen_Mat&amp;Bem'!$BD$31*(DK25-0.3)+DK25^2)</f>
        <v>4.5234969445901818</v>
      </c>
      <c r="DM25" s="550">
        <f t="shared" si="45"/>
        <v>0.12372888607371466</v>
      </c>
      <c r="DO25" s="551">
        <f t="shared" si="46"/>
        <v>733.5885655310542</v>
      </c>
      <c r="DR25" s="547">
        <f>'Hilfstabellen_Mat&amp;Bem'!$J$63</f>
        <v>4</v>
      </c>
      <c r="DS25" s="546">
        <f t="shared" si="47"/>
        <v>77</v>
      </c>
      <c r="DT25" s="551">
        <f t="shared" si="48"/>
        <v>179.95333065650672</v>
      </c>
      <c r="DU25" s="553">
        <f>DT25/PI()*SQRT('Hilfstabellen_Mat&amp;Bem'!f.Rd.3/'Hilfstabellen_Mat&amp;Bem'!$BD$30)</f>
        <v>2.8640462099833357</v>
      </c>
      <c r="DV25" s="553">
        <f>0.5*(1+'Hilfstabellen_Mat&amp;Bem'!$BD$31*(DU25-0.3)+DU25^2)</f>
        <v>4.7295826569591215</v>
      </c>
      <c r="DW25" s="550">
        <f t="shared" si="49"/>
        <v>0.11773871790807658</v>
      </c>
      <c r="DY25" s="551">
        <f t="shared" si="50"/>
        <v>698.07285847698608</v>
      </c>
      <c r="EB25" s="547">
        <f>'Hilfstabellen_Mat&amp;Bem'!$J$64</f>
        <v>4.0999999999999996</v>
      </c>
      <c r="EC25" s="546">
        <f t="shared" si="51"/>
        <v>77</v>
      </c>
      <c r="ED25" s="551">
        <f t="shared" si="52"/>
        <v>184.45216392291937</v>
      </c>
      <c r="EE25" s="553">
        <f>ED25/PI()*SQRT('Hilfstabellen_Mat&amp;Bem'!f.Rd.3/'Hilfstabellen_Mat&amp;Bem'!$BD$30)</f>
        <v>2.9356473652329185</v>
      </c>
      <c r="EF25" s="553">
        <f>0.5*(1+'Hilfstabellen_Mat&amp;Bem'!$BD$31*(EE25-0.3)+EE25^2)</f>
        <v>4.9407950947611337</v>
      </c>
      <c r="EG25" s="550">
        <f t="shared" si="53"/>
        <v>0.11217188258754714</v>
      </c>
      <c r="EI25" s="551">
        <f t="shared" si="54"/>
        <v>665.06709186156695</v>
      </c>
      <c r="EL25" s="547">
        <f>'Hilfstabellen_Mat&amp;Bem'!$J$65</f>
        <v>4.2</v>
      </c>
      <c r="EM25" s="546">
        <f t="shared" si="55"/>
        <v>77</v>
      </c>
      <c r="EN25" s="551">
        <f t="shared" si="56"/>
        <v>188.95099718933207</v>
      </c>
      <c r="EO25" s="553">
        <f>EN25/PI()*SQRT('Hilfstabellen_Mat&amp;Bem'!f.Rd.3/'Hilfstabellen_Mat&amp;Bem'!$BD$30)</f>
        <v>3.0072485204825021</v>
      </c>
      <c r="EP25" s="553">
        <f>0.5*(1+'Hilfstabellen_Mat&amp;Bem'!$BD$31*(EO25-0.3)+EO25^2)</f>
        <v>5.1571342579962245</v>
      </c>
      <c r="EQ25" s="550">
        <f t="shared" si="57"/>
        <v>0.10698959310874759</v>
      </c>
      <c r="ES25" s="551">
        <f t="shared" si="58"/>
        <v>634.34129754176445</v>
      </c>
    </row>
    <row r="26" spans="3:149">
      <c r="C26" s="546">
        <v>78</v>
      </c>
      <c r="D26" s="551">
        <f t="shared" si="8"/>
        <v>124.35236567161169</v>
      </c>
      <c r="E26" s="553">
        <f>$D26/PI()*SQRT('Hilfstabellen_Mat&amp;Bem'!f.Rd.3/'Hilfstabellen_Mat&amp;Bem'!$BD$30)</f>
        <v>1.979129368180792</v>
      </c>
      <c r="F26" s="553">
        <f>0.5*(1+'Hilfstabellen_Mat&amp;Bem'!$BD$31*($E26-0.3)+$E26^2)</f>
        <v>2.5424329964068901</v>
      </c>
      <c r="G26" s="550">
        <f t="shared" si="9"/>
        <v>0.24164107711066929</v>
      </c>
      <c r="I26" s="551">
        <f t="shared" si="59"/>
        <v>1470.1443131413118</v>
      </c>
      <c r="M26" s="546">
        <f t="shared" si="11"/>
        <v>78</v>
      </c>
      <c r="N26" s="551">
        <f t="shared" si="0"/>
        <v>128.79352158845498</v>
      </c>
      <c r="O26" s="553">
        <f>$N26/PI()*SQRT('Hilfstabellen_Mat&amp;Bem'!f.Rd.3/'Hilfstabellen_Mat&amp;Bem'!$BD$30)</f>
        <v>2.0498125599015347</v>
      </c>
      <c r="P26" s="553">
        <f>0.5*(1+'Hilfstabellen_Mat&amp;Bem'!$BD$31*($O26-0.3)+$O26^2)</f>
        <v>2.688356393360118</v>
      </c>
      <c r="Q26" s="550">
        <f t="shared" si="1"/>
        <v>0.22584777909737527</v>
      </c>
      <c r="S26" s="551">
        <f t="shared" si="60"/>
        <v>1374.0578880284311</v>
      </c>
      <c r="W26" s="546">
        <f t="shared" si="13"/>
        <v>78</v>
      </c>
      <c r="X26" s="551">
        <f t="shared" si="2"/>
        <v>133.23467750529824</v>
      </c>
      <c r="Y26" s="553">
        <f>$X26/PI()*SQRT('Hilfstabellen_Mat&amp;Bem'!f.Rd.3/'Hilfstabellen_Mat&amp;Bem'!$BD$30)</f>
        <v>2.1204957516222769</v>
      </c>
      <c r="Z26" s="553">
        <f>0.5*(1+'Hilfstabellen_Mat&amp;Bem'!$BD$31*($Y26-0.3)+$Y26^2)</f>
        <v>2.8392759039051763</v>
      </c>
      <c r="AA26" s="550">
        <f t="shared" si="3"/>
        <v>0.2115330884495415</v>
      </c>
      <c r="AC26" s="551">
        <f t="shared" si="61"/>
        <v>1286.9673101270105</v>
      </c>
      <c r="AG26" s="546">
        <f t="shared" si="15"/>
        <v>78</v>
      </c>
      <c r="AH26" s="551">
        <f t="shared" si="4"/>
        <v>137.67583342214152</v>
      </c>
      <c r="AI26" s="553">
        <f>$AH26/PI()*SQRT('Hilfstabellen_Mat&amp;Bem'!f.Rd.3/'Hilfstabellen_Mat&amp;Bem'!$BD$30)</f>
        <v>2.19117894334302</v>
      </c>
      <c r="AJ26" s="553">
        <f>0.5*(1+'Hilfstabellen_Mat&amp;Bem'!$BD$31*($AI26-0.3)+$AI26^2)</f>
        <v>2.995191528042068</v>
      </c>
      <c r="AK26" s="550">
        <f t="shared" si="5"/>
        <v>0.19852194165950793</v>
      </c>
      <c r="AM26" s="551">
        <f t="shared" si="62"/>
        <v>1207.8074930564462</v>
      </c>
      <c r="AQ26" s="546">
        <f t="shared" si="17"/>
        <v>78</v>
      </c>
      <c r="AR26" s="551">
        <f t="shared" si="6"/>
        <v>142.11698933898481</v>
      </c>
      <c r="AS26" s="553">
        <f>$AR26/PI()*SQRT('Hilfstabellen_Mat&amp;Bem'!f.Rd.3/'Hilfstabellen_Mat&amp;Bem'!$BD$30)</f>
        <v>2.2618621350637627</v>
      </c>
      <c r="AT26" s="553">
        <f>0.5*(1+'Hilfstabellen_Mat&amp;Bem'!$BD$31*($AS26-0.3)+$AS26^2)</f>
        <v>3.1561032657707897</v>
      </c>
      <c r="AU26" s="550">
        <f t="shared" si="7"/>
        <v>0.18666356215592703</v>
      </c>
      <c r="AW26" s="551">
        <f t="shared" si="63"/>
        <v>1135.66111215666</v>
      </c>
      <c r="AZ26" s="547">
        <f>'Hilfstabellen_Mat&amp;Bem'!$J$56</f>
        <v>3.3</v>
      </c>
      <c r="BA26" s="546">
        <f t="shared" si="19"/>
        <v>78</v>
      </c>
      <c r="BB26" s="551">
        <f t="shared" si="20"/>
        <v>146.55814525582807</v>
      </c>
      <c r="BC26" s="553">
        <f>BB26/PI()*SQRT('Hilfstabellen_Mat&amp;Bem'!f.Rd.3/'Hilfstabellen_Mat&amp;Bem'!$BD$30)</f>
        <v>2.3325453267845049</v>
      </c>
      <c r="BD26" s="553">
        <f>0.5*(1+'Hilfstabellen_Mat&amp;Bem'!$BD$31*(BC26-0.3)+BC26^2)</f>
        <v>3.3220111170913418</v>
      </c>
      <c r="BE26" s="550">
        <f t="shared" si="21"/>
        <v>0.17582775353773375</v>
      </c>
      <c r="BG26" s="551">
        <f t="shared" si="22"/>
        <v>1069.7360525235722</v>
      </c>
      <c r="BJ26" s="547">
        <f>'Hilfstabellen_Mat&amp;Bem'!$J$57</f>
        <v>3.4</v>
      </c>
      <c r="BK26" s="546">
        <f t="shared" si="23"/>
        <v>78</v>
      </c>
      <c r="BL26" s="551">
        <f t="shared" si="24"/>
        <v>150.99930117267135</v>
      </c>
      <c r="BM26" s="553">
        <f>BL26/PI()*SQRT('Hilfstabellen_Mat&amp;Bem'!f.Rd.3/'Hilfstabellen_Mat&amp;Bem'!$BD$30)</f>
        <v>2.403228518505248</v>
      </c>
      <c r="BN26" s="553">
        <f>0.5*(1+'Hilfstabellen_Mat&amp;Bem'!$BD$31*(BM26-0.3)+BM26^2)</f>
        <v>3.4929150820037269</v>
      </c>
      <c r="BO26" s="550">
        <f t="shared" si="25"/>
        <v>0.16590176865283671</v>
      </c>
      <c r="BQ26" s="551">
        <f t="shared" si="26"/>
        <v>1009.3463604838586</v>
      </c>
      <c r="BT26" s="547">
        <f>'Hilfstabellen_Mat&amp;Bem'!$J$58</f>
        <v>3.5</v>
      </c>
      <c r="BU26" s="546">
        <f t="shared" si="27"/>
        <v>78</v>
      </c>
      <c r="BV26" s="551">
        <f t="shared" si="28"/>
        <v>155.44045708951461</v>
      </c>
      <c r="BW26" s="553">
        <f>BV26/PI()*SQRT('Hilfstabellen_Mat&amp;Bem'!f.Rd.3/'Hilfstabellen_Mat&amp;Bem'!$BD$30)</f>
        <v>2.4739117102259898</v>
      </c>
      <c r="BX26" s="553">
        <f>0.5*(1+'Hilfstabellen_Mat&amp;Bem'!$BD$31*(BW26-0.3)+BW26^2)</f>
        <v>3.6688151605079402</v>
      </c>
      <c r="BY26" s="550">
        <f t="shared" si="29"/>
        <v>0.15678767795812107</v>
      </c>
      <c r="CA26" s="551">
        <f t="shared" si="30"/>
        <v>953.89623269720857</v>
      </c>
      <c r="CD26" s="547">
        <f>'Hilfstabellen_Mat&amp;Bem'!$J$59</f>
        <v>3.6</v>
      </c>
      <c r="CE26" s="546">
        <f t="shared" si="31"/>
        <v>78</v>
      </c>
      <c r="CF26" s="551">
        <f t="shared" si="32"/>
        <v>159.8816130063579</v>
      </c>
      <c r="CG26" s="553">
        <f>CF26/PI()*SQRT('Hilfstabellen_Mat&amp;Bem'!f.Rd.3/'Hilfstabellen_Mat&amp;Bem'!$BD$30)</f>
        <v>2.5445949019467324</v>
      </c>
      <c r="CH26" s="553">
        <f>0.5*(1+'Hilfstabellen_Mat&amp;Bem'!$BD$31*(CG26-0.3)+CG26^2)</f>
        <v>3.849711352603987</v>
      </c>
      <c r="CI26" s="550">
        <f t="shared" si="33"/>
        <v>0.14840016208097459</v>
      </c>
      <c r="CK26" s="551">
        <f t="shared" si="34"/>
        <v>902.86658610064944</v>
      </c>
      <c r="CN26" s="547">
        <f>'Hilfstabellen_Mat&amp;Bem'!$J$60</f>
        <v>3.7</v>
      </c>
      <c r="CO26" s="546">
        <f t="shared" si="35"/>
        <v>78</v>
      </c>
      <c r="CP26" s="551">
        <f t="shared" si="36"/>
        <v>164.32276892320118</v>
      </c>
      <c r="CQ26" s="553">
        <f>CP26/PI()*SQRT('Hilfstabellen_Mat&amp;Bem'!f.Rd.3/'Hilfstabellen_Mat&amp;Bem'!$BD$30)</f>
        <v>2.6152780936674755</v>
      </c>
      <c r="CR26" s="553">
        <f>0.5*(1+'Hilfstabellen_Mat&amp;Bem'!$BD$31*(CQ26-0.3)+CQ26^2)</f>
        <v>4.0356036582918664</v>
      </c>
      <c r="CS26" s="550">
        <f t="shared" si="37"/>
        <v>0.14066466067294597</v>
      </c>
      <c r="CU26" s="551">
        <f t="shared" si="38"/>
        <v>855.80379553420335</v>
      </c>
      <c r="CX26" s="547">
        <f>'Hilfstabellen_Mat&amp;Bem'!$J$61</f>
        <v>3.8</v>
      </c>
      <c r="CY26" s="546">
        <f t="shared" si="39"/>
        <v>78</v>
      </c>
      <c r="CZ26" s="551">
        <f t="shared" si="40"/>
        <v>168.76392484004444</v>
      </c>
      <c r="DA26" s="553">
        <f>CZ26/PI()*SQRT('Hilfstabellen_Mat&amp;Bem'!f.Rd.3/'Hilfstabellen_Mat&amp;Bem'!$BD$30)</f>
        <v>2.6859612853882178</v>
      </c>
      <c r="DB26" s="553">
        <f>0.5*(1+'Hilfstabellen_Mat&amp;Bem'!$BD$31*(DA26-0.3)+DA26^2)</f>
        <v>4.2264920775715744</v>
      </c>
      <c r="DC26" s="550">
        <f t="shared" si="41"/>
        <v>0.13351581862620809</v>
      </c>
      <c r="DE26" s="551">
        <f t="shared" si="42"/>
        <v>812.31024052185001</v>
      </c>
      <c r="DH26" s="547">
        <f>'Hilfstabellen_Mat&amp;Bem'!$J$62</f>
        <v>3.9</v>
      </c>
      <c r="DI26" s="546">
        <f t="shared" si="43"/>
        <v>78</v>
      </c>
      <c r="DJ26" s="551">
        <f t="shared" si="44"/>
        <v>173.20508075688772</v>
      </c>
      <c r="DK26" s="553">
        <f>DJ26/PI()*SQRT('Hilfstabellen_Mat&amp;Bem'!f.Rd.3/'Hilfstabellen_Mat&amp;Bem'!$BD$30)</f>
        <v>2.7566444771089604</v>
      </c>
      <c r="DL26" s="553">
        <f>0.5*(1+'Hilfstabellen_Mat&amp;Bem'!$BD$31*(DK26-0.3)+DK26^2)</f>
        <v>4.4223766104431146</v>
      </c>
      <c r="DM26" s="550">
        <f t="shared" si="45"/>
        <v>0.12689617969031575</v>
      </c>
      <c r="DO26" s="551">
        <f t="shared" si="46"/>
        <v>772.03635723588104</v>
      </c>
      <c r="DR26" s="547">
        <f>'Hilfstabellen_Mat&amp;Bem'!$J$63</f>
        <v>4</v>
      </c>
      <c r="DS26" s="546">
        <f t="shared" si="47"/>
        <v>78</v>
      </c>
      <c r="DT26" s="551">
        <f t="shared" si="48"/>
        <v>177.64623667373101</v>
      </c>
      <c r="DU26" s="553">
        <f>DT26/PI()*SQRT('Hilfstabellen_Mat&amp;Bem'!f.Rd.3/'Hilfstabellen_Mat&amp;Bem'!$BD$30)</f>
        <v>2.8273276688297031</v>
      </c>
      <c r="DV26" s="553">
        <f>0.5*(1+'Hilfstabellen_Mat&amp;Bem'!$BD$31*(DU26-0.3)+DU26^2)</f>
        <v>4.6232572569064869</v>
      </c>
      <c r="DW26" s="550">
        <f t="shared" si="49"/>
        <v>0.12075508569625605</v>
      </c>
      <c r="DY26" s="551">
        <f t="shared" si="50"/>
        <v>734.67394137602184</v>
      </c>
      <c r="EB26" s="547">
        <f>'Hilfstabellen_Mat&amp;Bem'!$J$64</f>
        <v>4.0999999999999996</v>
      </c>
      <c r="EC26" s="546">
        <f t="shared" si="51"/>
        <v>78</v>
      </c>
      <c r="ED26" s="551">
        <f t="shared" si="52"/>
        <v>182.08739259057427</v>
      </c>
      <c r="EE26" s="553">
        <f>ED26/PI()*SQRT('Hilfstabellen_Mat&amp;Bem'!f.Rd.3/'Hilfstabellen_Mat&amp;Bem'!$BD$30)</f>
        <v>2.8980108605504453</v>
      </c>
      <c r="EF26" s="553">
        <f>0.5*(1+'Hilfstabellen_Mat&amp;Bem'!$BD$31*(EE26-0.3)+EE26^2)</f>
        <v>4.8291340169616888</v>
      </c>
      <c r="EG26" s="550">
        <f t="shared" si="53"/>
        <v>0.11504774669912456</v>
      </c>
      <c r="EI26" s="551">
        <f t="shared" si="54"/>
        <v>699.95049091747376</v>
      </c>
      <c r="EL26" s="547">
        <f>'Hilfstabellen_Mat&amp;Bem'!$J$65</f>
        <v>4.2</v>
      </c>
      <c r="EM26" s="546">
        <f t="shared" si="55"/>
        <v>78</v>
      </c>
      <c r="EN26" s="551">
        <f t="shared" si="56"/>
        <v>186.52854850741755</v>
      </c>
      <c r="EO26" s="553">
        <f>EN26/PI()*SQRT('Hilfstabellen_Mat&amp;Bem'!f.Rd.3/'Hilfstabellen_Mat&amp;Bem'!$BD$30)</f>
        <v>2.968694052271188</v>
      </c>
      <c r="EP26" s="553">
        <f>0.5*(1+'Hilfstabellen_Mat&amp;Bem'!$BD$31*(EO26-0.3)+EO26^2)</f>
        <v>5.0400068906087228</v>
      </c>
      <c r="EQ26" s="550">
        <f t="shared" si="57"/>
        <v>0.10973445336889304</v>
      </c>
      <c r="ES26" s="551">
        <f t="shared" si="58"/>
        <v>667.62441429634521</v>
      </c>
    </row>
    <row r="27" spans="3:149">
      <c r="C27" s="546">
        <v>79</v>
      </c>
      <c r="D27" s="551">
        <f t="shared" si="8"/>
        <v>122.77828509349001</v>
      </c>
      <c r="E27" s="553">
        <f>$D27/PI()*SQRT('Hilfstabellen_Mat&amp;Bem'!f.Rd.3/'Hilfstabellen_Mat&amp;Bem'!$BD$30)</f>
        <v>1.9540770976974906</v>
      </c>
      <c r="F27" s="553">
        <f>0.5*(1+'Hilfstabellen_Mat&amp;Bem'!$BD$31*($E27-0.3)+$E27^2)</f>
        <v>2.4919125067577985</v>
      </c>
      <c r="G27" s="550">
        <f t="shared" si="9"/>
        <v>0.24763100770800917</v>
      </c>
      <c r="I27" s="551">
        <f t="shared" si="59"/>
        <v>1545.4651191056853</v>
      </c>
      <c r="M27" s="546">
        <f t="shared" si="11"/>
        <v>79</v>
      </c>
      <c r="N27" s="551">
        <f t="shared" si="0"/>
        <v>127.16322384682894</v>
      </c>
      <c r="O27" s="553">
        <f>$N27/PI()*SQRT('Hilfstabellen_Mat&amp;Bem'!f.Rd.3/'Hilfstabellen_Mat&amp;Bem'!$BD$30)</f>
        <v>2.0238655654724012</v>
      </c>
      <c r="P27" s="553">
        <f>0.5*(1+'Hilfstabellen_Mat&amp;Bem'!$BD$31*($O27-0.3)+$O27^2)</f>
        <v>2.6342091918260815</v>
      </c>
      <c r="Q27" s="550">
        <f t="shared" si="1"/>
        <v>0.23146343704769132</v>
      </c>
      <c r="S27" s="551">
        <f t="shared" si="60"/>
        <v>1444.5633106146415</v>
      </c>
      <c r="W27" s="546">
        <f t="shared" si="13"/>
        <v>79</v>
      </c>
      <c r="X27" s="551">
        <f t="shared" si="2"/>
        <v>131.5481626001679</v>
      </c>
      <c r="Y27" s="553">
        <f>$X27/PI()*SQRT('Hilfstabellen_Mat&amp;Bem'!f.Rd.3/'Hilfstabellen_Mat&amp;Bem'!$BD$30)</f>
        <v>2.0936540332473119</v>
      </c>
      <c r="Z27" s="553">
        <f>0.5*(1+'Hilfstabellen_Mat&amp;Bem'!$BD$31*($Y27-0.3)+$Y27^2)</f>
        <v>2.7813763071287338</v>
      </c>
      <c r="AA27" s="550">
        <f t="shared" si="3"/>
        <v>0.21680662216132127</v>
      </c>
      <c r="AC27" s="551">
        <f t="shared" si="61"/>
        <v>1353.090128908806</v>
      </c>
      <c r="AG27" s="546">
        <f t="shared" si="15"/>
        <v>79</v>
      </c>
      <c r="AH27" s="551">
        <f t="shared" si="4"/>
        <v>135.93310135350683</v>
      </c>
      <c r="AI27" s="553">
        <f>$AH27/PI()*SQRT('Hilfstabellen_Mat&amp;Bem'!f.Rd.3/'Hilfstabellen_Mat&amp;Bem'!$BD$30)</f>
        <v>2.1634425010222222</v>
      </c>
      <c r="AJ27" s="553">
        <f>0.5*(1+'Hilfstabellen_Mat&amp;Bem'!$BD$31*($AI27-0.3)+$AI27^2)</f>
        <v>2.9334138526657547</v>
      </c>
      <c r="AK27" s="550">
        <f t="shared" si="5"/>
        <v>0.20348230997361483</v>
      </c>
      <c r="AM27" s="551">
        <f t="shared" si="62"/>
        <v>1269.93309654533</v>
      </c>
      <c r="AQ27" s="546">
        <f t="shared" si="17"/>
        <v>79</v>
      </c>
      <c r="AR27" s="551">
        <f t="shared" si="6"/>
        <v>140.31804010684576</v>
      </c>
      <c r="AS27" s="553">
        <f>$AR27/PI()*SQRT('Hilfstabellen_Mat&amp;Bem'!f.Rd.3/'Hilfstabellen_Mat&amp;Bem'!$BD$30)</f>
        <v>2.2332309687971326</v>
      </c>
      <c r="AT27" s="553">
        <f>0.5*(1+'Hilfstabellen_Mat&amp;Bem'!$BD$31*($AS27-0.3)+$AS27^2)</f>
        <v>3.0903218284371463</v>
      </c>
      <c r="AU27" s="550">
        <f t="shared" si="7"/>
        <v>0.1913368197861911</v>
      </c>
      <c r="AW27" s="551">
        <f t="shared" si="63"/>
        <v>1194.1330922856187</v>
      </c>
      <c r="AZ27" s="547">
        <f>'Hilfstabellen_Mat&amp;Bem'!$J$56</f>
        <v>3.3</v>
      </c>
      <c r="BA27" s="546">
        <f t="shared" si="19"/>
        <v>79</v>
      </c>
      <c r="BB27" s="551">
        <f t="shared" si="20"/>
        <v>144.70297886018469</v>
      </c>
      <c r="BC27" s="553">
        <f>BB27/PI()*SQRT('Hilfstabellen_Mat&amp;Bem'!f.Rd.3/'Hilfstabellen_Mat&amp;Bem'!$BD$30)</f>
        <v>2.3030194365720429</v>
      </c>
      <c r="BD27" s="553">
        <f>0.5*(1+'Hilfstabellen_Mat&amp;Bem'!$BD$31*(BC27-0.3)+BC27^2)</f>
        <v>3.2521002344429073</v>
      </c>
      <c r="BE27" s="550">
        <f t="shared" si="21"/>
        <v>0.18023733944865999</v>
      </c>
      <c r="BG27" s="551">
        <f t="shared" si="22"/>
        <v>1124.8612354990871</v>
      </c>
      <c r="BJ27" s="547">
        <f>'Hilfstabellen_Mat&amp;Bem'!$J$57</f>
        <v>3.4</v>
      </c>
      <c r="BK27" s="546">
        <f t="shared" si="23"/>
        <v>79</v>
      </c>
      <c r="BL27" s="551">
        <f t="shared" si="24"/>
        <v>149.08791761352362</v>
      </c>
      <c r="BM27" s="553">
        <f>BL27/PI()*SQRT('Hilfstabellen_Mat&amp;Bem'!f.Rd.3/'Hilfstabellen_Mat&amp;Bem'!$BD$30)</f>
        <v>2.3728079043469532</v>
      </c>
      <c r="BN27" s="553">
        <f>0.5*(1+'Hilfstabellen_Mat&amp;Bem'!$BD$31*(BM27-0.3)+BM27^2)</f>
        <v>3.4187490706830377</v>
      </c>
      <c r="BO27" s="550">
        <f t="shared" si="25"/>
        <v>0.17006878095097361</v>
      </c>
      <c r="BQ27" s="551">
        <f t="shared" si="26"/>
        <v>1061.3992619150263</v>
      </c>
      <c r="BT27" s="547">
        <f>'Hilfstabellen_Mat&amp;Bem'!$J$58</f>
        <v>3.5</v>
      </c>
      <c r="BU27" s="546">
        <f t="shared" si="27"/>
        <v>79</v>
      </c>
      <c r="BV27" s="551">
        <f t="shared" si="28"/>
        <v>153.47285636686254</v>
      </c>
      <c r="BW27" s="553">
        <f>BV27/PI()*SQRT('Hilfstabellen_Mat&amp;Bem'!f.Rd.3/'Hilfstabellen_Mat&amp;Bem'!$BD$30)</f>
        <v>2.442596372121864</v>
      </c>
      <c r="BX27" s="553">
        <f>0.5*(1+'Hilfstabellen_Mat&amp;Bem'!$BD$31*(BW27-0.3)+BW27^2)</f>
        <v>3.5902683371575388</v>
      </c>
      <c r="BY27" s="550">
        <f t="shared" si="29"/>
        <v>0.16073112762136543</v>
      </c>
      <c r="CA27" s="551">
        <f t="shared" si="30"/>
        <v>1003.1229674849417</v>
      </c>
      <c r="CD27" s="547">
        <f>'Hilfstabellen_Mat&amp;Bem'!$J$59</f>
        <v>3.6</v>
      </c>
      <c r="CE27" s="546">
        <f t="shared" si="31"/>
        <v>79</v>
      </c>
      <c r="CF27" s="551">
        <f t="shared" si="32"/>
        <v>157.85779512020147</v>
      </c>
      <c r="CG27" s="553">
        <f>CF27/PI()*SQRT('Hilfstabellen_Mat&amp;Bem'!f.Rd.3/'Hilfstabellen_Mat&amp;Bem'!$BD$30)</f>
        <v>2.5123848398967743</v>
      </c>
      <c r="CH27" s="553">
        <f>0.5*(1+'Hilfstabellen_Mat&amp;Bem'!$BD$31*(CG27-0.3)+CG27^2)</f>
        <v>3.7666580338664089</v>
      </c>
      <c r="CI27" s="550">
        <f t="shared" si="33"/>
        <v>0.15213720271419279</v>
      </c>
      <c r="CK27" s="551">
        <f t="shared" si="34"/>
        <v>949.4882821392772</v>
      </c>
      <c r="CN27" s="547">
        <f>'Hilfstabellen_Mat&amp;Bem'!$J$60</f>
        <v>3.7</v>
      </c>
      <c r="CO27" s="546">
        <f t="shared" si="35"/>
        <v>79</v>
      </c>
      <c r="CP27" s="551">
        <f t="shared" si="36"/>
        <v>162.2427338735404</v>
      </c>
      <c r="CQ27" s="553">
        <f>CP27/PI()*SQRT('Hilfstabellen_Mat&amp;Bem'!f.Rd.3/'Hilfstabellen_Mat&amp;Bem'!$BD$30)</f>
        <v>2.5821733076716846</v>
      </c>
      <c r="CR27" s="553">
        <f>0.5*(1+'Hilfstabellen_Mat&amp;Bem'!$BD$31*(CQ27-0.3)+CQ27^2)</f>
        <v>3.9479181608096483</v>
      </c>
      <c r="CS27" s="550">
        <f t="shared" si="37"/>
        <v>0.14421079412115134</v>
      </c>
      <c r="CU27" s="551">
        <f t="shared" si="38"/>
        <v>900.01956611010553</v>
      </c>
      <c r="CX27" s="547">
        <f>'Hilfstabellen_Mat&amp;Bem'!$J$61</f>
        <v>3.8</v>
      </c>
      <c r="CY27" s="546">
        <f t="shared" si="39"/>
        <v>79</v>
      </c>
      <c r="CZ27" s="551">
        <f t="shared" si="40"/>
        <v>166.62767262687933</v>
      </c>
      <c r="DA27" s="553">
        <f>CZ27/PI()*SQRT('Hilfstabellen_Mat&amp;Bem'!f.Rd.3/'Hilfstabellen_Mat&amp;Bem'!$BD$30)</f>
        <v>2.6519617754465949</v>
      </c>
      <c r="DB27" s="553">
        <f>0.5*(1+'Hilfstabellen_Mat&amp;Bem'!$BD$31*(DA27-0.3)+DA27^2)</f>
        <v>4.134048717987258</v>
      </c>
      <c r="DC27" s="550">
        <f t="shared" si="41"/>
        <v>0.13688507764636548</v>
      </c>
      <c r="DE27" s="551">
        <f t="shared" si="42"/>
        <v>854.299769590967</v>
      </c>
      <c r="DH27" s="547">
        <f>'Hilfstabellen_Mat&amp;Bem'!$J$62</f>
        <v>3.9</v>
      </c>
      <c r="DI27" s="546">
        <f t="shared" si="43"/>
        <v>79</v>
      </c>
      <c r="DJ27" s="551">
        <f t="shared" si="44"/>
        <v>171.01261138021826</v>
      </c>
      <c r="DK27" s="553">
        <f>DJ27/PI()*SQRT('Hilfstabellen_Mat&amp;Bem'!f.Rd.3/'Hilfstabellen_Mat&amp;Bem'!$BD$30)</f>
        <v>2.7217502432215053</v>
      </c>
      <c r="DL27" s="553">
        <f>0.5*(1+'Hilfstabellen_Mat&amp;Bem'!$BD$31*(DK27-0.3)+DK27^2)</f>
        <v>4.3250497053992367</v>
      </c>
      <c r="DM27" s="550">
        <f t="shared" si="45"/>
        <v>0.13010128952592789</v>
      </c>
      <c r="DO27" s="551">
        <f t="shared" si="46"/>
        <v>811.96214793131594</v>
      </c>
      <c r="DR27" s="547">
        <f>'Hilfstabellen_Mat&amp;Bem'!$J$63</f>
        <v>4</v>
      </c>
      <c r="DS27" s="546">
        <f t="shared" si="47"/>
        <v>79</v>
      </c>
      <c r="DT27" s="551">
        <f t="shared" si="48"/>
        <v>175.39755013355719</v>
      </c>
      <c r="DU27" s="553">
        <f>DT27/PI()*SQRT('Hilfstabellen_Mat&amp;Bem'!f.Rd.3/'Hilfstabellen_Mat&amp;Bem'!$BD$30)</f>
        <v>2.7915387109964156</v>
      </c>
      <c r="DV27" s="553">
        <f>0.5*(1+'Hilfstabellen_Mat&amp;Bem'!$BD$31*(DU27-0.3)+DU27^2)</f>
        <v>4.5209211230455857</v>
      </c>
      <c r="DW27" s="550">
        <f t="shared" si="49"/>
        <v>0.12380760663224757</v>
      </c>
      <c r="DY27" s="551">
        <f t="shared" si="50"/>
        <v>772.68327299185717</v>
      </c>
      <c r="EB27" s="547">
        <f>'Hilfstabellen_Mat&amp;Bem'!$J$64</f>
        <v>4.0999999999999996</v>
      </c>
      <c r="EC27" s="546">
        <f t="shared" si="51"/>
        <v>79</v>
      </c>
      <c r="ED27" s="551">
        <f t="shared" si="52"/>
        <v>179.78248888689612</v>
      </c>
      <c r="EE27" s="553">
        <f>ED27/PI()*SQRT('Hilfstabellen_Mat&amp;Bem'!f.Rd.3/'Hilfstabellen_Mat&amp;Bem'!$BD$30)</f>
        <v>2.8613271787713259</v>
      </c>
      <c r="EF27" s="553">
        <f>0.5*(1+'Hilfstabellen_Mat&amp;Bem'!$BD$31*(EE27-0.3)+EE27^2)</f>
        <v>4.721662970926304</v>
      </c>
      <c r="EG27" s="550">
        <f t="shared" si="53"/>
        <v>0.1179581996828566</v>
      </c>
      <c r="EI27" s="551">
        <f t="shared" si="54"/>
        <v>736.17712422070804</v>
      </c>
      <c r="EL27" s="547">
        <f>'Hilfstabellen_Mat&amp;Bem'!$J$65</f>
        <v>4.2</v>
      </c>
      <c r="EM27" s="546">
        <f t="shared" si="55"/>
        <v>79</v>
      </c>
      <c r="EN27" s="551">
        <f t="shared" si="56"/>
        <v>184.16742764023505</v>
      </c>
      <c r="EO27" s="553">
        <f>EN27/PI()*SQRT('Hilfstabellen_Mat&amp;Bem'!f.Rd.3/'Hilfstabellen_Mat&amp;Bem'!$BD$30)</f>
        <v>2.9311156465462362</v>
      </c>
      <c r="EP27" s="553">
        <f>0.5*(1+'Hilfstabellen_Mat&amp;Bem'!$BD$31*(EO27-0.3)+EO27^2)</f>
        <v>4.9272752490413918</v>
      </c>
      <c r="EQ27" s="550">
        <f t="shared" si="57"/>
        <v>0.11251243067393951</v>
      </c>
      <c r="ES27" s="551">
        <f t="shared" si="58"/>
        <v>702.1900798360565</v>
      </c>
    </row>
    <row r="28" spans="3:149">
      <c r="C28" s="546">
        <v>80</v>
      </c>
      <c r="D28" s="551">
        <f t="shared" si="8"/>
        <v>121.2435565298214</v>
      </c>
      <c r="E28" s="553">
        <f>$D28/PI()*SQRT('Hilfstabellen_Mat&amp;Bem'!f.Rd.3/'Hilfstabellen_Mat&amp;Bem'!$BD$30)</f>
        <v>1.9296511339762721</v>
      </c>
      <c r="F28" s="553">
        <f>0.5*(1+'Hilfstabellen_Mat&amp;Bem'!$BD$31*($E28-0.3)+$E28^2)</f>
        <v>2.44325930612677</v>
      </c>
      <c r="G28" s="550">
        <f t="shared" si="9"/>
        <v>0.253683942323009</v>
      </c>
      <c r="I28" s="551">
        <f t="shared" si="59"/>
        <v>1623.5772308672576</v>
      </c>
      <c r="M28" s="546">
        <f t="shared" si="11"/>
        <v>80</v>
      </c>
      <c r="N28" s="551">
        <f t="shared" si="0"/>
        <v>125.5736835487436</v>
      </c>
      <c r="O28" s="553">
        <f>$N28/PI()*SQRT('Hilfstabellen_Mat&amp;Bem'!f.Rd.3/'Hilfstabellen_Mat&amp;Bem'!$BD$30)</f>
        <v>1.9985672459039963</v>
      </c>
      <c r="P28" s="553">
        <f>0.5*(1+'Hilfstabellen_Mat&amp;Bem'!$BD$31*($O28-0.3)+$O28^2)</f>
        <v>2.5820638804953422</v>
      </c>
      <c r="Q28" s="550">
        <f t="shared" si="1"/>
        <v>0.2371394160723683</v>
      </c>
      <c r="S28" s="551">
        <f t="shared" si="60"/>
        <v>1517.6922628631571</v>
      </c>
      <c r="W28" s="546">
        <f t="shared" si="13"/>
        <v>80</v>
      </c>
      <c r="X28" s="551">
        <f t="shared" si="2"/>
        <v>129.9038105676658</v>
      </c>
      <c r="Y28" s="553">
        <f>$X28/PI()*SQRT('Hilfstabellen_Mat&amp;Bem'!f.Rd.3/'Hilfstabellen_Mat&amp;Bem'!$BD$30)</f>
        <v>2.0674833578317204</v>
      </c>
      <c r="Z28" s="553">
        <f>0.5*(1+'Hilfstabellen_Mat&amp;Bem'!$BD$31*($Y28-0.3)+$Y28^2)</f>
        <v>2.7256178853471487</v>
      </c>
      <c r="AA28" s="550">
        <f t="shared" si="3"/>
        <v>0.22213777898364473</v>
      </c>
      <c r="AC28" s="551">
        <f t="shared" si="61"/>
        <v>1421.6817854953263</v>
      </c>
      <c r="AG28" s="546">
        <f t="shared" si="15"/>
        <v>80</v>
      </c>
      <c r="AH28" s="551">
        <f t="shared" si="4"/>
        <v>134.23393758658798</v>
      </c>
      <c r="AI28" s="553">
        <f>$AH28/PI()*SQRT('Hilfstabellen_Mat&amp;Bem'!f.Rd.3/'Hilfstabellen_Mat&amp;Bem'!$BD$30)</f>
        <v>2.1363994697594442</v>
      </c>
      <c r="AJ28" s="553">
        <f>0.5*(1+'Hilfstabellen_Mat&amp;Bem'!$BD$31*($AI28-0.3)+$AI28^2)</f>
        <v>2.8739213206821894</v>
      </c>
      <c r="AK28" s="550">
        <f t="shared" si="5"/>
        <v>0.20849765120211397</v>
      </c>
      <c r="AM28" s="551">
        <f t="shared" si="62"/>
        <v>1334.3849676935295</v>
      </c>
      <c r="AQ28" s="546">
        <f t="shared" si="17"/>
        <v>80</v>
      </c>
      <c r="AR28" s="551">
        <f t="shared" si="6"/>
        <v>138.56406460551017</v>
      </c>
      <c r="AS28" s="553">
        <f>$AR28/PI()*SQRT('Hilfstabellen_Mat&amp;Bem'!f.Rd.3/'Hilfstabellen_Mat&amp;Bem'!$BD$30)</f>
        <v>2.2053155816871679</v>
      </c>
      <c r="AT28" s="553">
        <f>0.5*(1+'Hilfstabellen_Mat&amp;Bem'!$BD$31*($AS28-0.3)+$AS28^2)</f>
        <v>3.026974186500464</v>
      </c>
      <c r="AU28" s="550">
        <f t="shared" si="7"/>
        <v>0.19606248557633724</v>
      </c>
      <c r="AW28" s="551">
        <f t="shared" si="63"/>
        <v>1254.7999076885583</v>
      </c>
      <c r="AZ28" s="547">
        <f>'Hilfstabellen_Mat&amp;Bem'!$J$56</f>
        <v>3.3</v>
      </c>
      <c r="BA28" s="546">
        <f t="shared" si="19"/>
        <v>80</v>
      </c>
      <c r="BB28" s="551">
        <f t="shared" si="20"/>
        <v>142.89419162443238</v>
      </c>
      <c r="BC28" s="553">
        <f>BB28/PI()*SQRT('Hilfstabellen_Mat&amp;Bem'!f.Rd.3/'Hilfstabellen_Mat&amp;Bem'!$BD$30)</f>
        <v>2.2742316936148925</v>
      </c>
      <c r="BD28" s="553">
        <f>0.5*(1+'Hilfstabellen_Mat&amp;Bem'!$BD$31*(BC28-0.3)+BC28^2)</f>
        <v>3.1847764828019756</v>
      </c>
      <c r="BE28" s="550">
        <f t="shared" si="21"/>
        <v>0.18469687565930473</v>
      </c>
      <c r="BG28" s="551">
        <f t="shared" si="22"/>
        <v>1182.0600042195504</v>
      </c>
      <c r="BJ28" s="547">
        <f>'Hilfstabellen_Mat&amp;Bem'!$J$57</f>
        <v>3.4</v>
      </c>
      <c r="BK28" s="546">
        <f t="shared" si="23"/>
        <v>80</v>
      </c>
      <c r="BL28" s="551">
        <f t="shared" si="24"/>
        <v>147.22431864335456</v>
      </c>
      <c r="BM28" s="553">
        <f>BL28/PI()*SQRT('Hilfstabellen_Mat&amp;Bem'!f.Rd.3/'Hilfstabellen_Mat&amp;Bem'!$BD$30)</f>
        <v>2.3431478055426163</v>
      </c>
      <c r="BN28" s="553">
        <f>0.5*(1+'Hilfstabellen_Mat&amp;Bem'!$BD$31*(BM28-0.3)+BM28^2)</f>
        <v>3.3473282095867196</v>
      </c>
      <c r="BO28" s="550">
        <f t="shared" si="25"/>
        <v>0.17428340353632152</v>
      </c>
      <c r="BQ28" s="551">
        <f t="shared" si="26"/>
        <v>1115.4137826324577</v>
      </c>
      <c r="BT28" s="547">
        <f>'Hilfstabellen_Mat&amp;Bem'!$J$58</f>
        <v>3.5</v>
      </c>
      <c r="BU28" s="546">
        <f t="shared" si="27"/>
        <v>80</v>
      </c>
      <c r="BV28" s="551">
        <f t="shared" si="28"/>
        <v>151.55444566227675</v>
      </c>
      <c r="BW28" s="553">
        <f>BV28/PI()*SQRT('Hilfstabellen_Mat&amp;Bem'!f.Rd.3/'Hilfstabellen_Mat&amp;Bem'!$BD$30)</f>
        <v>2.41206391747034</v>
      </c>
      <c r="BX28" s="553">
        <f>0.5*(1+'Hilfstabellen_Mat&amp;Bem'!$BD$31*(BW28-0.3)+BW28^2)</f>
        <v>3.5146293668546988</v>
      </c>
      <c r="BY28" s="550">
        <f t="shared" si="29"/>
        <v>0.16471996958318572</v>
      </c>
      <c r="CA28" s="551">
        <f t="shared" si="30"/>
        <v>1054.2078053323885</v>
      </c>
      <c r="CD28" s="547">
        <f>'Hilfstabellen_Mat&amp;Bem'!$J$59</f>
        <v>3.6</v>
      </c>
      <c r="CE28" s="546">
        <f t="shared" si="31"/>
        <v>80</v>
      </c>
      <c r="CF28" s="551">
        <f t="shared" si="32"/>
        <v>155.88457268119896</v>
      </c>
      <c r="CG28" s="553">
        <f>CF28/PI()*SQRT('Hilfstabellen_Mat&amp;Bem'!f.Rd.3/'Hilfstabellen_Mat&amp;Bem'!$BD$30)</f>
        <v>2.4809800293980646</v>
      </c>
      <c r="CH28" s="553">
        <f>0.5*(1+'Hilfstabellen_Mat&amp;Bem'!$BD$31*(CG28-0.3)+CG28^2)</f>
        <v>3.6866799546059141</v>
      </c>
      <c r="CI28" s="550">
        <f t="shared" si="33"/>
        <v>0.15591753952363588</v>
      </c>
      <c r="CK28" s="551">
        <f t="shared" si="34"/>
        <v>997.87225295126962</v>
      </c>
      <c r="CN28" s="547">
        <f>'Hilfstabellen_Mat&amp;Bem'!$J$60</f>
        <v>3.7</v>
      </c>
      <c r="CO28" s="546">
        <f t="shared" si="35"/>
        <v>80</v>
      </c>
      <c r="CP28" s="551">
        <f t="shared" si="36"/>
        <v>160.21469970012114</v>
      </c>
      <c r="CQ28" s="553">
        <f>CP28/PI()*SQRT('Hilfstabellen_Mat&amp;Bem'!f.Rd.3/'Hilfstabellen_Mat&amp;Bem'!$BD$30)</f>
        <v>2.5498961413257883</v>
      </c>
      <c r="CR28" s="553">
        <f>0.5*(1+'Hilfstabellen_Mat&amp;Bem'!$BD$31*(CQ28-0.3)+CQ28^2)</f>
        <v>3.8634799728403619</v>
      </c>
      <c r="CS28" s="550">
        <f t="shared" si="37"/>
        <v>0.14779824661263924</v>
      </c>
      <c r="CU28" s="551">
        <f t="shared" si="38"/>
        <v>945.90877832089109</v>
      </c>
      <c r="CX28" s="547">
        <f>'Hilfstabellen_Mat&amp;Bem'!$J$61</f>
        <v>3.8</v>
      </c>
      <c r="CY28" s="546">
        <f t="shared" si="39"/>
        <v>80</v>
      </c>
      <c r="CZ28" s="551">
        <f t="shared" si="40"/>
        <v>164.54482671904333</v>
      </c>
      <c r="DA28" s="553">
        <f>CZ28/PI()*SQRT('Hilfstabellen_Mat&amp;Bem'!f.Rd.3/'Hilfstabellen_Mat&amp;Bem'!$BD$30)</f>
        <v>2.6188122532535125</v>
      </c>
      <c r="DB28" s="553">
        <f>0.5*(1+'Hilfstabellen_Mat&amp;Bem'!$BD$31*(DA28-0.3)+DA28^2)</f>
        <v>4.0450294215580449</v>
      </c>
      <c r="DC28" s="550">
        <f t="shared" si="41"/>
        <v>0.14029379304139916</v>
      </c>
      <c r="DE28" s="551">
        <f t="shared" si="42"/>
        <v>897.88027546495459</v>
      </c>
      <c r="DH28" s="547">
        <f>'Hilfstabellen_Mat&amp;Bem'!$J$62</f>
        <v>3.9</v>
      </c>
      <c r="DI28" s="546">
        <f t="shared" si="43"/>
        <v>80</v>
      </c>
      <c r="DJ28" s="551">
        <f t="shared" si="44"/>
        <v>168.87495373796551</v>
      </c>
      <c r="DK28" s="553">
        <f>DJ28/PI()*SQRT('Hilfstabellen_Mat&amp;Bem'!f.Rd.3/'Hilfstabellen_Mat&amp;Bem'!$BD$30)</f>
        <v>2.6877283651812363</v>
      </c>
      <c r="DL28" s="553">
        <f>0.5*(1+'Hilfstabellen_Mat&amp;Bem'!$BD$31*(DK28-0.3)+DK28^2)</f>
        <v>4.2313283007589622</v>
      </c>
      <c r="DM28" s="550">
        <f t="shared" si="45"/>
        <v>0.13334410207133829</v>
      </c>
      <c r="DO28" s="551">
        <f t="shared" si="46"/>
        <v>853.40225325656502</v>
      </c>
      <c r="DR28" s="547">
        <f>'Hilfstabellen_Mat&amp;Bem'!$J$63</f>
        <v>4</v>
      </c>
      <c r="DS28" s="546">
        <f t="shared" si="47"/>
        <v>80</v>
      </c>
      <c r="DT28" s="551">
        <f t="shared" si="48"/>
        <v>173.20508075688772</v>
      </c>
      <c r="DU28" s="553">
        <f>DT28/PI()*SQRT('Hilfstabellen_Mat&amp;Bem'!f.Rd.3/'Hilfstabellen_Mat&amp;Bem'!$BD$30)</f>
        <v>2.7566444771089604</v>
      </c>
      <c r="DV28" s="553">
        <f>0.5*(1+'Hilfstabellen_Mat&amp;Bem'!$BD$31*(DU28-0.3)+DU28^2)</f>
        <v>4.4223766104431146</v>
      </c>
      <c r="DW28" s="550">
        <f t="shared" si="49"/>
        <v>0.12689617969031575</v>
      </c>
      <c r="DY28" s="551">
        <f t="shared" si="50"/>
        <v>812.13555001802081</v>
      </c>
      <c r="EB28" s="547">
        <f>'Hilfstabellen_Mat&amp;Bem'!$J$64</f>
        <v>4.0999999999999996</v>
      </c>
      <c r="EC28" s="546">
        <f t="shared" si="51"/>
        <v>80</v>
      </c>
      <c r="ED28" s="551">
        <f t="shared" si="52"/>
        <v>177.53520777580991</v>
      </c>
      <c r="EE28" s="553">
        <f>ED28/PI()*SQRT('Hilfstabellen_Mat&amp;Bem'!f.Rd.3/'Hilfstabellen_Mat&amp;Bem'!$BD$30)</f>
        <v>2.8255605890366842</v>
      </c>
      <c r="EF28" s="553">
        <f>0.5*(1+'Hilfstabellen_Mat&amp;Bem'!$BD$31*(EE28-0.3)+EE28^2)</f>
        <v>4.6181743506105013</v>
      </c>
      <c r="EG28" s="550">
        <f t="shared" si="53"/>
        <v>0.12090315119776925</v>
      </c>
      <c r="EI28" s="551">
        <f t="shared" si="54"/>
        <v>773.78016766572318</v>
      </c>
      <c r="EL28" s="547">
        <f>'Hilfstabellen_Mat&amp;Bem'!$J$65</f>
        <v>4.2</v>
      </c>
      <c r="EM28" s="546">
        <f t="shared" si="55"/>
        <v>80</v>
      </c>
      <c r="EN28" s="551">
        <f t="shared" si="56"/>
        <v>181.86533479473209</v>
      </c>
      <c r="EO28" s="553">
        <f>EN28/PI()*SQRT('Hilfstabellen_Mat&amp;Bem'!f.Rd.3/'Hilfstabellen_Mat&amp;Bem'!$BD$30)</f>
        <v>2.8944767009644083</v>
      </c>
      <c r="EP28" s="553">
        <f>0.5*(1+'Hilfstabellen_Mat&amp;Bem'!$BD$31*(EO28-0.3)+EO28^2)</f>
        <v>4.8187215212611223</v>
      </c>
      <c r="EQ28" s="550">
        <f t="shared" si="57"/>
        <v>0.11532344388221719</v>
      </c>
      <c r="ES28" s="551">
        <f t="shared" si="58"/>
        <v>738.07004084618995</v>
      </c>
    </row>
    <row r="29" spans="3:149">
      <c r="C29" s="546">
        <v>81</v>
      </c>
      <c r="D29" s="551">
        <f t="shared" si="8"/>
        <v>119.74672249858904</v>
      </c>
      <c r="E29" s="553">
        <f>$D29/PI()*SQRT('Hilfstabellen_Mat&amp;Bem'!f.Rd.3/'Hilfstabellen_Mat&amp;Bem'!$BD$30)</f>
        <v>1.9058282804703923</v>
      </c>
      <c r="F29" s="553">
        <f>0.5*(1+'Hilfstabellen_Mat&amp;Bem'!$BD$31*($E29-0.3)+$E29^2)</f>
        <v>2.396382131343886</v>
      </c>
      <c r="G29" s="550">
        <f t="shared" si="9"/>
        <v>0.25979921113136067</v>
      </c>
      <c r="I29" s="551">
        <f t="shared" si="59"/>
        <v>1704.5426242328574</v>
      </c>
      <c r="M29" s="546">
        <f t="shared" si="11"/>
        <v>81</v>
      </c>
      <c r="N29" s="551">
        <f t="shared" si="0"/>
        <v>124.02339115925294</v>
      </c>
      <c r="O29" s="553">
        <f>$N29/PI()*SQRT('Hilfstabellen_Mat&amp;Bem'!f.Rd.3/'Hilfstabellen_Mat&amp;Bem'!$BD$30)</f>
        <v>1.9738935762014778</v>
      </c>
      <c r="P29" s="553">
        <f>0.5*(1+'Hilfstabellen_Mat&amp;Bem'!$BD$31*($O29-0.3)+$O29^2)</f>
        <v>2.5318226038948035</v>
      </c>
      <c r="Q29" s="550">
        <f t="shared" si="1"/>
        <v>0.24287517192818597</v>
      </c>
      <c r="S29" s="551">
        <f t="shared" si="60"/>
        <v>1593.5040030208281</v>
      </c>
      <c r="W29" s="546">
        <f t="shared" si="13"/>
        <v>81</v>
      </c>
      <c r="X29" s="551">
        <f t="shared" si="2"/>
        <v>128.30005981991684</v>
      </c>
      <c r="Y29" s="553">
        <f>$X29/PI()*SQRT('Hilfstabellen_Mat&amp;Bem'!f.Rd.3/'Hilfstabellen_Mat&amp;Bem'!$BD$30)</f>
        <v>2.0419588719325632</v>
      </c>
      <c r="Z29" s="553">
        <f>0.5*(1+'Hilfstabellen_Mat&amp;Bem'!$BD$31*($Y29-0.3)+$Y29^2)</f>
        <v>2.6718959609286808</v>
      </c>
      <c r="AA29" s="550">
        <f t="shared" si="3"/>
        <v>0.22752611115812574</v>
      </c>
      <c r="AC29" s="551">
        <f t="shared" si="61"/>
        <v>1492.798815308463</v>
      </c>
      <c r="AG29" s="546">
        <f t="shared" si="15"/>
        <v>81</v>
      </c>
      <c r="AH29" s="551">
        <f t="shared" si="4"/>
        <v>132.57672848058073</v>
      </c>
      <c r="AI29" s="553">
        <f>$AH29/PI()*SQRT('Hilfstabellen_Mat&amp;Bem'!f.Rd.3/'Hilfstabellen_Mat&amp;Bem'!$BD$30)</f>
        <v>2.1100241676636489</v>
      </c>
      <c r="AJ29" s="553">
        <f>0.5*(1+'Hilfstabellen_Mat&amp;Bem'!$BD$31*($AI29-0.3)+$AI29^2)</f>
        <v>2.8166022024455195</v>
      </c>
      <c r="AK29" s="550">
        <f t="shared" si="5"/>
        <v>0.21356759277973983</v>
      </c>
      <c r="AM29" s="551">
        <f t="shared" si="62"/>
        <v>1401.2169762278729</v>
      </c>
      <c r="AQ29" s="546">
        <f t="shared" si="17"/>
        <v>81</v>
      </c>
      <c r="AR29" s="551">
        <f t="shared" si="6"/>
        <v>136.85339714124461</v>
      </c>
      <c r="AS29" s="553">
        <f>$AR29/PI()*SQRT('Hilfstabellen_Mat&amp;Bem'!f.Rd.3/'Hilfstabellen_Mat&amp;Bem'!$BD$30)</f>
        <v>2.1780894633947341</v>
      </c>
      <c r="AT29" s="553">
        <f>0.5*(1+'Hilfstabellen_Mat&amp;Bem'!$BD$31*($AS29-0.3)+$AS29^2)</f>
        <v>2.9659413284453171</v>
      </c>
      <c r="AU29" s="550">
        <f t="shared" si="7"/>
        <v>0.20084024633080758</v>
      </c>
      <c r="AW29" s="551">
        <f t="shared" si="63"/>
        <v>1317.7128561764284</v>
      </c>
      <c r="AZ29" s="547">
        <f>'Hilfstabellen_Mat&amp;Bem'!$J$56</f>
        <v>3.3</v>
      </c>
      <c r="BA29" s="546">
        <f t="shared" si="19"/>
        <v>81</v>
      </c>
      <c r="BB29" s="551">
        <f t="shared" si="20"/>
        <v>141.1300658019085</v>
      </c>
      <c r="BC29" s="553">
        <f>BB29/PI()*SQRT('Hilfstabellen_Mat&amp;Bem'!f.Rd.3/'Hilfstabellen_Mat&amp;Bem'!$BD$30)</f>
        <v>2.2461547591258193</v>
      </c>
      <c r="BD29" s="553">
        <f>0.5*(1+'Hilfstabellen_Mat&amp;Bem'!$BD$31*(BC29-0.3)+BC29^2)</f>
        <v>3.1199133389280749</v>
      </c>
      <c r="BE29" s="550">
        <f t="shared" si="21"/>
        <v>0.18920609641459962</v>
      </c>
      <c r="BG29" s="551">
        <f t="shared" si="22"/>
        <v>1241.3811985761881</v>
      </c>
      <c r="BJ29" s="547">
        <f>'Hilfstabellen_Mat&amp;Bem'!$J$57</f>
        <v>3.4</v>
      </c>
      <c r="BK29" s="546">
        <f t="shared" si="23"/>
        <v>81</v>
      </c>
      <c r="BL29" s="551">
        <f t="shared" si="24"/>
        <v>145.40673446257242</v>
      </c>
      <c r="BM29" s="553">
        <f>BL29/PI()*SQRT('Hilfstabellen_Mat&amp;Bem'!f.Rd.3/'Hilfstabellen_Mat&amp;Bem'!$BD$30)</f>
        <v>2.314220054856905</v>
      </c>
      <c r="BN29" s="553">
        <f>0.5*(1+'Hilfstabellen_Mat&amp;Bem'!$BD$31*(BM29-0.3)+BM29^2)</f>
        <v>3.2785182338937933</v>
      </c>
      <c r="BO29" s="550">
        <f t="shared" si="25"/>
        <v>0.17854540898089294</v>
      </c>
      <c r="BQ29" s="551">
        <f t="shared" si="26"/>
        <v>1171.4364283236387</v>
      </c>
      <c r="BT29" s="547">
        <f>'Hilfstabellen_Mat&amp;Bem'!$J$58</f>
        <v>3.5</v>
      </c>
      <c r="BU29" s="546">
        <f t="shared" si="27"/>
        <v>81</v>
      </c>
      <c r="BV29" s="551">
        <f t="shared" si="28"/>
        <v>149.68340312323627</v>
      </c>
      <c r="BW29" s="553">
        <f>BV29/PI()*SQRT('Hilfstabellen_Mat&amp;Bem'!f.Rd.3/'Hilfstabellen_Mat&amp;Bem'!$BD$30)</f>
        <v>2.3822853505879897</v>
      </c>
      <c r="BX29" s="553">
        <f>0.5*(1+'Hilfstabellen_Mat&amp;Bem'!$BD$31*(BW29-0.3)+BW29^2)</f>
        <v>3.4417560133424701</v>
      </c>
      <c r="BY29" s="550">
        <f t="shared" si="29"/>
        <v>0.16875400769452265</v>
      </c>
      <c r="CA29" s="551">
        <f t="shared" si="30"/>
        <v>1107.195044483763</v>
      </c>
      <c r="CD29" s="547">
        <f>'Hilfstabellen_Mat&amp;Bem'!$J$59</f>
        <v>3.6</v>
      </c>
      <c r="CE29" s="546">
        <f t="shared" si="31"/>
        <v>81</v>
      </c>
      <c r="CF29" s="551">
        <f t="shared" si="32"/>
        <v>153.96007178390019</v>
      </c>
      <c r="CG29" s="553">
        <f>CF29/PI()*SQRT('Hilfstabellen_Mat&amp;Bem'!f.Rd.3/'Hilfstabellen_Mat&amp;Bem'!$BD$30)</f>
        <v>2.4503506463190758</v>
      </c>
      <c r="CH29" s="553">
        <f>0.5*(1+'Hilfstabellen_Mat&amp;Bem'!$BD$31*(CG29-0.3)+CG29^2)</f>
        <v>3.6096266772741101</v>
      </c>
      <c r="CI29" s="550">
        <f t="shared" si="33"/>
        <v>0.15974100212602155</v>
      </c>
      <c r="CK29" s="551">
        <f t="shared" si="34"/>
        <v>1048.0607149488274</v>
      </c>
      <c r="CN29" s="547">
        <f>'Hilfstabellen_Mat&amp;Bem'!$J$60</f>
        <v>3.7</v>
      </c>
      <c r="CO29" s="546">
        <f t="shared" si="35"/>
        <v>81</v>
      </c>
      <c r="CP29" s="551">
        <f t="shared" si="36"/>
        <v>158.23674044456408</v>
      </c>
      <c r="CQ29" s="553">
        <f>CP29/PI()*SQRT('Hilfstabellen_Mat&amp;Bem'!f.Rd.3/'Hilfstabellen_Mat&amp;Bem'!$BD$30)</f>
        <v>2.5184159420501615</v>
      </c>
      <c r="CR29" s="553">
        <f>0.5*(1+'Hilfstabellen_Mat&amp;Bem'!$BD$31*(CQ29-0.3)+CQ29^2)</f>
        <v>3.7821302256887095</v>
      </c>
      <c r="CS29" s="550">
        <f t="shared" si="37"/>
        <v>0.15142686917183798</v>
      </c>
      <c r="CU29" s="551">
        <f t="shared" si="38"/>
        <v>993.51168863642897</v>
      </c>
      <c r="CX29" s="547">
        <f>'Hilfstabellen_Mat&amp;Bem'!$J$61</f>
        <v>3.8</v>
      </c>
      <c r="CY29" s="546">
        <f t="shared" si="39"/>
        <v>81</v>
      </c>
      <c r="CZ29" s="551">
        <f t="shared" si="40"/>
        <v>162.51340910522799</v>
      </c>
      <c r="DA29" s="553">
        <f>CZ29/PI()*SQRT('Hilfstabellen_Mat&amp;Bem'!f.Rd.3/'Hilfstabellen_Mat&amp;Bem'!$BD$30)</f>
        <v>2.5864812377812467</v>
      </c>
      <c r="DB29" s="553">
        <f>0.5*(1+'Hilfstabellen_Mat&amp;Bem'!$BD$31*(DA29-0.3)+DA29^2)</f>
        <v>3.9592666585862677</v>
      </c>
      <c r="DC29" s="550">
        <f t="shared" si="41"/>
        <v>0.14374183376465441</v>
      </c>
      <c r="DE29" s="551">
        <f t="shared" si="42"/>
        <v>943.09017132989754</v>
      </c>
      <c r="DH29" s="547">
        <f>'Hilfstabellen_Mat&amp;Bem'!$J$62</f>
        <v>3.9</v>
      </c>
      <c r="DI29" s="546">
        <f t="shared" si="43"/>
        <v>81</v>
      </c>
      <c r="DJ29" s="551">
        <f t="shared" si="44"/>
        <v>166.79007776589188</v>
      </c>
      <c r="DK29" s="553">
        <f>DJ29/PI()*SQRT('Hilfstabellen_Mat&amp;Bem'!f.Rd.3/'Hilfstabellen_Mat&amp;Bem'!$BD$30)</f>
        <v>2.6545465335123324</v>
      </c>
      <c r="DL29" s="553">
        <f>0.5*(1+'Hilfstabellen_Mat&amp;Bem'!$BD$31*(DK29-0.3)+DK29^2)</f>
        <v>4.141035975966787</v>
      </c>
      <c r="DM29" s="550">
        <f t="shared" si="45"/>
        <v>0.1366245014065629</v>
      </c>
      <c r="DO29" s="551">
        <f t="shared" si="46"/>
        <v>896.39335372845926</v>
      </c>
      <c r="DR29" s="547">
        <f>'Hilfstabellen_Mat&amp;Bem'!$J$63</f>
        <v>4</v>
      </c>
      <c r="DS29" s="546">
        <f t="shared" si="47"/>
        <v>81</v>
      </c>
      <c r="DT29" s="551">
        <f t="shared" si="48"/>
        <v>171.06674642655577</v>
      </c>
      <c r="DU29" s="553">
        <f>DT29/PI()*SQRT('Hilfstabellen_Mat&amp;Bem'!f.Rd.3/'Hilfstabellen_Mat&amp;Bem'!$BD$30)</f>
        <v>2.7226118292434176</v>
      </c>
      <c r="DV29" s="553">
        <f>0.5*(1+'Hilfstabellen_Mat&amp;Bem'!$BD$31*(DU29-0.3)+DU29^2)</f>
        <v>4.3274381778302651</v>
      </c>
      <c r="DW29" s="550">
        <f t="shared" si="49"/>
        <v>0.13002070180071063</v>
      </c>
      <c r="DY29" s="551">
        <f t="shared" si="50"/>
        <v>853.06582451446241</v>
      </c>
      <c r="EB29" s="547">
        <f>'Hilfstabellen_Mat&amp;Bem'!$J$64</f>
        <v>4.0999999999999996</v>
      </c>
      <c r="EC29" s="546">
        <f t="shared" si="51"/>
        <v>81</v>
      </c>
      <c r="ED29" s="551">
        <f t="shared" si="52"/>
        <v>175.34341508721968</v>
      </c>
      <c r="EE29" s="553">
        <f>ED29/PI()*SQRT('Hilfstabellen_Mat&amp;Bem'!f.Rd.3/'Hilfstabellen_Mat&amp;Bem'!$BD$30)</f>
        <v>2.7906771249745033</v>
      </c>
      <c r="EF29" s="553">
        <f>0.5*(1+'Hilfstabellen_Mat&amp;Bem'!$BD$31*(EE29-0.3)+EE29^2)</f>
        <v>4.5184732641767047</v>
      </c>
      <c r="EG29" s="550">
        <f t="shared" si="53"/>
        <v>0.12388250916041403</v>
      </c>
      <c r="EI29" s="551">
        <f t="shared" si="54"/>
        <v>812.79314260147646</v>
      </c>
      <c r="EL29" s="547">
        <f>'Hilfstabellen_Mat&amp;Bem'!$J$65</f>
        <v>4.2</v>
      </c>
      <c r="EM29" s="546">
        <f t="shared" si="55"/>
        <v>81</v>
      </c>
      <c r="EN29" s="551">
        <f t="shared" si="56"/>
        <v>179.62008374788357</v>
      </c>
      <c r="EO29" s="553">
        <f>EN29/PI()*SQRT('Hilfstabellen_Mat&amp;Bem'!f.Rd.3/'Hilfstabellen_Mat&amp;Bem'!$BD$30)</f>
        <v>2.8587424207055889</v>
      </c>
      <c r="EP29" s="553">
        <f>0.5*(1+'Hilfstabellen_Mat&amp;Bem'!$BD$31*(EO29-0.3)+EO29^2)</f>
        <v>4.7141412350061049</v>
      </c>
      <c r="EQ29" s="550">
        <f t="shared" si="57"/>
        <v>0.11816741035911182</v>
      </c>
      <c r="ES29" s="551">
        <f t="shared" si="58"/>
        <v>775.29637936613267</v>
      </c>
    </row>
    <row r="30" spans="3:149">
      <c r="C30" s="546">
        <v>82</v>
      </c>
      <c r="D30" s="551">
        <f t="shared" si="8"/>
        <v>118.28639661445992</v>
      </c>
      <c r="E30" s="553">
        <f>$D30/PI()*SQRT('Hilfstabellen_Mat&amp;Bem'!f.Rd.3/'Hilfstabellen_Mat&amp;Bem'!$BD$30)</f>
        <v>1.8825864721719729</v>
      </c>
      <c r="F30" s="553">
        <f>0.5*(1+'Hilfstabellen_Mat&amp;Bem'!$BD$31*($E30-0.3)+$E30^2)</f>
        <v>2.3511952362110558</v>
      </c>
      <c r="G30" s="550">
        <f t="shared" si="9"/>
        <v>0.26597611845502772</v>
      </c>
      <c r="I30" s="551">
        <f t="shared" si="59"/>
        <v>1788.4234204916063</v>
      </c>
      <c r="M30" s="546">
        <f t="shared" si="11"/>
        <v>82</v>
      </c>
      <c r="N30" s="551">
        <f t="shared" si="0"/>
        <v>122.51091077926205</v>
      </c>
      <c r="O30" s="553">
        <f>$N30/PI()*SQRT('Hilfstabellen_Mat&amp;Bem'!f.Rd.3/'Hilfstabellen_Mat&amp;Bem'!$BD$30)</f>
        <v>1.9498217033209722</v>
      </c>
      <c r="P30" s="553">
        <f>0.5*(1+'Hilfstabellen_Mat&amp;Bem'!$BD$31*($O30-0.3)+$O30^2)</f>
        <v>2.4833934225367971</v>
      </c>
      <c r="Q30" s="550">
        <f t="shared" si="1"/>
        <v>0.24867014054321598</v>
      </c>
      <c r="S30" s="551">
        <f t="shared" si="60"/>
        <v>1672.0580250125843</v>
      </c>
      <c r="W30" s="546">
        <f t="shared" si="13"/>
        <v>82</v>
      </c>
      <c r="X30" s="551">
        <f t="shared" si="2"/>
        <v>126.73542494406419</v>
      </c>
      <c r="Y30" s="553">
        <f>$X30/PI()*SQRT('Hilfstabellen_Mat&amp;Bem'!f.Rd.3/'Hilfstabellen_Mat&amp;Bem'!$BD$30)</f>
        <v>2.0170569344699714</v>
      </c>
      <c r="Z30" s="553">
        <f>0.5*(1+'Hilfstabellen_Mat&amp;Bem'!$BD$31*($Y30-0.3)+$Y30^2)</f>
        <v>2.6201121851701976</v>
      </c>
      <c r="AA30" s="550">
        <f t="shared" si="3"/>
        <v>0.23297115551587724</v>
      </c>
      <c r="AC30" s="551">
        <f t="shared" si="61"/>
        <v>1566.4980496887586</v>
      </c>
      <c r="AG30" s="546">
        <f t="shared" si="15"/>
        <v>82</v>
      </c>
      <c r="AH30" s="551">
        <f t="shared" si="4"/>
        <v>130.95993910886634</v>
      </c>
      <c r="AI30" s="553">
        <f>$AH30/PI()*SQRT('Hilfstabellen_Mat&amp;Bem'!f.Rd.3/'Hilfstabellen_Mat&amp;Bem'!$BD$30)</f>
        <v>2.0842921656189701</v>
      </c>
      <c r="AJ30" s="553">
        <f>0.5*(1+'Hilfstabellen_Mat&amp;Bem'!$BD$31*($AI30-0.3)+$AI30^2)</f>
        <v>2.7613515241112565</v>
      </c>
      <c r="AK30" s="550">
        <f t="shared" si="5"/>
        <v>0.21869175001757601</v>
      </c>
      <c r="AM30" s="551">
        <f t="shared" si="62"/>
        <v>1470.483327118181</v>
      </c>
      <c r="AQ30" s="546">
        <f t="shared" si="17"/>
        <v>82</v>
      </c>
      <c r="AR30" s="551">
        <f t="shared" si="6"/>
        <v>135.18445327366845</v>
      </c>
      <c r="AS30" s="553">
        <f>$AR30/PI()*SQRT('Hilfstabellen_Mat&amp;Bem'!f.Rd.3/'Hilfstabellen_Mat&amp;Bem'!$BD$30)</f>
        <v>2.1515273967679689</v>
      </c>
      <c r="AT30" s="553">
        <f>0.5*(1+'Hilfstabellen_Mat&amp;Bem'!$BD$31*($AS30-0.3)+$AS30^2)</f>
        <v>2.9071114393599751</v>
      </c>
      <c r="AU30" s="550">
        <f t="shared" si="7"/>
        <v>0.20566977920877227</v>
      </c>
      <c r="AW30" s="551">
        <f t="shared" si="63"/>
        <v>1382.9235953997847</v>
      </c>
      <c r="AZ30" s="547">
        <f>'Hilfstabellen_Mat&amp;Bem'!$J$56</f>
        <v>3.3</v>
      </c>
      <c r="BA30" s="546">
        <f t="shared" si="19"/>
        <v>82</v>
      </c>
      <c r="BB30" s="551">
        <f t="shared" si="20"/>
        <v>139.4089674384706</v>
      </c>
      <c r="BC30" s="553">
        <f>BB30/PI()*SQRT('Hilfstabellen_Mat&amp;Bem'!f.Rd.3/'Hilfstabellen_Mat&amp;Bem'!$BD$30)</f>
        <v>2.2187626279169677</v>
      </c>
      <c r="BD30" s="553">
        <f>0.5*(1+'Hilfstabellen_Mat&amp;Bem'!$BD$31*(BC30-0.3)+BC30^2)</f>
        <v>3.0573919309163524</v>
      </c>
      <c r="BE30" s="550">
        <f t="shared" si="21"/>
        <v>0.19376472820659024</v>
      </c>
      <c r="BG30" s="551">
        <f t="shared" si="22"/>
        <v>1302.8740324611128</v>
      </c>
      <c r="BJ30" s="547">
        <f>'Hilfstabellen_Mat&amp;Bem'!$J$57</f>
        <v>3.4</v>
      </c>
      <c r="BK30" s="546">
        <f t="shared" si="23"/>
        <v>82</v>
      </c>
      <c r="BL30" s="551">
        <f t="shared" si="24"/>
        <v>143.63348160327274</v>
      </c>
      <c r="BM30" s="553">
        <f>BL30/PI()*SQRT('Hilfstabellen_Mat&amp;Bem'!f.Rd.3/'Hilfstabellen_Mat&amp;Bem'!$BD$30)</f>
        <v>2.2859978590659669</v>
      </c>
      <c r="BN30" s="553">
        <f>0.5*(1+'Hilfstabellen_Mat&amp;Bem'!$BD$31*(BM30-0.3)+BM30^2)</f>
        <v>3.2121929987803903</v>
      </c>
      <c r="BO30" s="550">
        <f t="shared" si="25"/>
        <v>0.18285456356572252</v>
      </c>
      <c r="BQ30" s="551">
        <f t="shared" si="26"/>
        <v>1229.5140854159183</v>
      </c>
      <c r="BT30" s="547">
        <f>'Hilfstabellen_Mat&amp;Bem'!$J$58</f>
        <v>3.5</v>
      </c>
      <c r="BU30" s="546">
        <f t="shared" si="27"/>
        <v>82</v>
      </c>
      <c r="BV30" s="551">
        <f t="shared" si="28"/>
        <v>147.85799576807489</v>
      </c>
      <c r="BW30" s="553">
        <f>BV30/PI()*SQRT('Hilfstabellen_Mat&amp;Bem'!f.Rd.3/'Hilfstabellen_Mat&amp;Bem'!$BD$30)</f>
        <v>2.3532330902149661</v>
      </c>
      <c r="BX30" s="553">
        <f>0.5*(1+'Hilfstabellen_Mat&amp;Bem'!$BD$31*(BW30-0.3)+BW30^2)</f>
        <v>3.3715146429520875</v>
      </c>
      <c r="BY30" s="550">
        <f t="shared" si="29"/>
        <v>0.17283304065698613</v>
      </c>
      <c r="CA30" s="551">
        <f t="shared" si="30"/>
        <v>1162.1293653775747</v>
      </c>
      <c r="CD30" s="547">
        <f>'Hilfstabellen_Mat&amp;Bem'!$J$59</f>
        <v>3.6</v>
      </c>
      <c r="CE30" s="546">
        <f t="shared" si="31"/>
        <v>82</v>
      </c>
      <c r="CF30" s="551">
        <f t="shared" si="32"/>
        <v>152.08250993287703</v>
      </c>
      <c r="CG30" s="553">
        <f>CF30/PI()*SQRT('Hilfstabellen_Mat&amp;Bem'!f.Rd.3/'Hilfstabellen_Mat&amp;Bem'!$BD$30)</f>
        <v>2.4204683213639653</v>
      </c>
      <c r="CH30" s="553">
        <f>0.5*(1+'Hilfstabellen_Mat&amp;Bem'!$BD$31*(CG30-0.3)+CG30^2)</f>
        <v>3.5353568634314438</v>
      </c>
      <c r="CI30" s="550">
        <f t="shared" si="33"/>
        <v>0.16360741588928149</v>
      </c>
      <c r="CK30" s="551">
        <f t="shared" si="34"/>
        <v>1100.0962644395288</v>
      </c>
      <c r="CN30" s="547">
        <f>'Hilfstabellen_Mat&amp;Bem'!$J$60</f>
        <v>3.7</v>
      </c>
      <c r="CO30" s="546">
        <f t="shared" si="35"/>
        <v>82</v>
      </c>
      <c r="CP30" s="551">
        <f t="shared" si="36"/>
        <v>156.30702409767918</v>
      </c>
      <c r="CQ30" s="553">
        <f>CP30/PI()*SQRT('Hilfstabellen_Mat&amp;Bem'!f.Rd.3/'Hilfstabellen_Mat&amp;Bem'!$BD$30)</f>
        <v>2.4877035525129645</v>
      </c>
      <c r="CR30" s="553">
        <f>0.5*(1+'Hilfstabellen_Mat&amp;Bem'!$BD$31*(CQ30-0.3)+CQ30^2)</f>
        <v>3.7037196602184599</v>
      </c>
      <c r="CS30" s="550">
        <f t="shared" si="37"/>
        <v>0.15509650929140295</v>
      </c>
      <c r="CU30" s="551">
        <f t="shared" si="38"/>
        <v>1042.8689284753934</v>
      </c>
      <c r="CX30" s="547">
        <f>'Hilfstabellen_Mat&amp;Bem'!$J$61</f>
        <v>3.8</v>
      </c>
      <c r="CY30" s="546">
        <f t="shared" si="39"/>
        <v>82</v>
      </c>
      <c r="CZ30" s="551">
        <f t="shared" si="40"/>
        <v>160.53153826248132</v>
      </c>
      <c r="DA30" s="553">
        <f>CZ30/PI()*SQRT('Hilfstabellen_Mat&amp;Bem'!f.Rd.3/'Hilfstabellen_Mat&amp;Bem'!$BD$30)</f>
        <v>2.5549387836619637</v>
      </c>
      <c r="DB30" s="553">
        <f>0.5*(1+'Hilfstabellen_Mat&amp;Bem'!$BD$31*(DA30-0.3)+DA30^2)</f>
        <v>3.8766030333131356</v>
      </c>
      <c r="DC30" s="550">
        <f t="shared" si="41"/>
        <v>0.14722906581355205</v>
      </c>
      <c r="DE30" s="551">
        <f t="shared" si="42"/>
        <v>989.96823853032402</v>
      </c>
      <c r="DH30" s="547">
        <f>'Hilfstabellen_Mat&amp;Bem'!$J$62</f>
        <v>3.9</v>
      </c>
      <c r="DI30" s="546">
        <f t="shared" si="43"/>
        <v>82</v>
      </c>
      <c r="DJ30" s="551">
        <f t="shared" si="44"/>
        <v>164.75605242728344</v>
      </c>
      <c r="DK30" s="553">
        <f>DJ30/PI()*SQRT('Hilfstabellen_Mat&amp;Bem'!f.Rd.3/'Hilfstabellen_Mat&amp;Bem'!$BD$30)</f>
        <v>2.6221740148109625</v>
      </c>
      <c r="DL30" s="553">
        <f>0.5*(1+'Hilfstabellen_Mat&amp;Bem'!$BD$31*(DK30-0.3)+DK30^2)</f>
        <v>4.0540069827154692</v>
      </c>
      <c r="DM30" s="550">
        <f t="shared" si="45"/>
        <v>0.13994236912190891</v>
      </c>
      <c r="DO30" s="551">
        <f t="shared" si="46"/>
        <v>940.97248997571546</v>
      </c>
      <c r="DR30" s="547">
        <f>'Hilfstabellen_Mat&amp;Bem'!$J$63</f>
        <v>4</v>
      </c>
      <c r="DS30" s="546">
        <f t="shared" si="47"/>
        <v>82</v>
      </c>
      <c r="DT30" s="551">
        <f t="shared" si="48"/>
        <v>168.98056659208558</v>
      </c>
      <c r="DU30" s="553">
        <f>DT30/PI()*SQRT('Hilfstabellen_Mat&amp;Bem'!f.Rd.3/'Hilfstabellen_Mat&amp;Bem'!$BD$30)</f>
        <v>2.6894092459599612</v>
      </c>
      <c r="DV30" s="553">
        <f>0.5*(1+'Hilfstabellen_Mat&amp;Bem'!$BD$31*(DU30-0.3)+DU30^2)</f>
        <v>4.2359315084254616</v>
      </c>
      <c r="DW30" s="550">
        <f t="shared" si="49"/>
        <v>0.13318106778426883</v>
      </c>
      <c r="DY30" s="551">
        <f t="shared" si="50"/>
        <v>895.50949978142364</v>
      </c>
      <c r="EB30" s="547">
        <f>'Hilfstabellen_Mat&amp;Bem'!$J$64</f>
        <v>4.0999999999999996</v>
      </c>
      <c r="EC30" s="546">
        <f t="shared" si="51"/>
        <v>82</v>
      </c>
      <c r="ED30" s="551">
        <f t="shared" si="52"/>
        <v>173.20508075688772</v>
      </c>
      <c r="EE30" s="553">
        <f>ED30/PI()*SQRT('Hilfstabellen_Mat&amp;Bem'!f.Rd.3/'Hilfstabellen_Mat&amp;Bem'!$BD$30)</f>
        <v>2.7566444771089604</v>
      </c>
      <c r="EF30" s="553">
        <f>0.5*(1+'Hilfstabellen_Mat&amp;Bem'!$BD$31*(EE30-0.3)+EE30^2)</f>
        <v>4.4223766104431146</v>
      </c>
      <c r="EG30" s="550">
        <f t="shared" si="53"/>
        <v>0.12689617969031575</v>
      </c>
      <c r="EI30" s="551">
        <f t="shared" si="54"/>
        <v>853.24991223768313</v>
      </c>
      <c r="EL30" s="547">
        <f>'Hilfstabellen_Mat&amp;Bem'!$J$65</f>
        <v>4.2</v>
      </c>
      <c r="EM30" s="546">
        <f t="shared" si="55"/>
        <v>82</v>
      </c>
      <c r="EN30" s="551">
        <f t="shared" si="56"/>
        <v>177.42959492168987</v>
      </c>
      <c r="EO30" s="553">
        <f>EN30/PI()*SQRT('Hilfstabellen_Mat&amp;Bem'!f.Rd.3/'Hilfstabellen_Mat&amp;Bem'!$BD$30)</f>
        <v>2.8238797082579596</v>
      </c>
      <c r="EP30" s="553">
        <f>0.5*(1+'Hilfstabellen_Mat&amp;Bem'!$BD$31*(EO30-0.3)+EO30^2)</f>
        <v>4.6133422887684272</v>
      </c>
      <c r="EQ30" s="550">
        <f t="shared" si="57"/>
        <v>0.12104424593126857</v>
      </c>
      <c r="ES30" s="551">
        <f t="shared" si="58"/>
        <v>813.90150964184988</v>
      </c>
    </row>
    <row r="31" spans="3:149">
      <c r="C31" s="546">
        <v>83</v>
      </c>
      <c r="D31" s="551">
        <f t="shared" si="8"/>
        <v>116.86125930585196</v>
      </c>
      <c r="E31" s="553">
        <f>$D31/PI()*SQRT('Hilfstabellen_Mat&amp;Bem'!f.Rd.3/'Hilfstabellen_Mat&amp;Bem'!$BD$30)</f>
        <v>1.8599047074470094</v>
      </c>
      <c r="F31" s="553">
        <f>0.5*(1+'Hilfstabellen_Mat&amp;Bem'!$BD$31*($E31-0.3)+$E31^2)</f>
        <v>2.3076179957641232</v>
      </c>
      <c r="G31" s="550">
        <f t="shared" si="9"/>
        <v>0.2722139415642808</v>
      </c>
      <c r="I31" s="551">
        <f t="shared" si="59"/>
        <v>1875.2818434363305</v>
      </c>
      <c r="M31" s="546">
        <f t="shared" si="11"/>
        <v>83</v>
      </c>
      <c r="N31" s="551">
        <f t="shared" si="0"/>
        <v>121.03487570963239</v>
      </c>
      <c r="O31" s="553">
        <f>$N31/PI()*SQRT('Hilfstabellen_Mat&amp;Bem'!f.Rd.3/'Hilfstabellen_Mat&amp;Bem'!$BD$30)</f>
        <v>1.9263298755701168</v>
      </c>
      <c r="P31" s="553">
        <f>0.5*(1+'Hilfstabellen_Mat&amp;Bem'!$BD$31*($O31-0.3)+$O31^2)</f>
        <v>2.4366898885354966</v>
      </c>
      <c r="Q31" s="550">
        <f t="shared" si="1"/>
        <v>0.25452373713075327</v>
      </c>
      <c r="S31" s="551">
        <f t="shared" si="60"/>
        <v>1753.4140250937592</v>
      </c>
      <c r="W31" s="546">
        <f t="shared" si="13"/>
        <v>83</v>
      </c>
      <c r="X31" s="551">
        <f t="shared" si="2"/>
        <v>125.20849211341282</v>
      </c>
      <c r="Y31" s="553">
        <f>$X31/PI()*SQRT('Hilfstabellen_Mat&amp;Bem'!f.Rd.3/'Hilfstabellen_Mat&amp;Bem'!$BD$30)</f>
        <v>1.9927550436932244</v>
      </c>
      <c r="Z31" s="553">
        <f>0.5*(1+'Hilfstabellen_Mat&amp;Bem'!$BD$31*($Y31-0.3)+$Y31^2)</f>
        <v>2.5701740842670535</v>
      </c>
      <c r="AA31" s="550">
        <f t="shared" si="3"/>
        <v>0.23847243281343944</v>
      </c>
      <c r="AC31" s="551">
        <f t="shared" si="61"/>
        <v>1642.8365896517844</v>
      </c>
      <c r="AG31" s="546">
        <f t="shared" si="15"/>
        <v>83</v>
      </c>
      <c r="AH31" s="551">
        <f t="shared" si="4"/>
        <v>129.38210851719325</v>
      </c>
      <c r="AI31" s="553">
        <f>$AH31/PI()*SQRT('Hilfstabellen_Mat&amp;Bem'!f.Rd.3/'Hilfstabellen_Mat&amp;Bem'!$BD$30)</f>
        <v>2.059180211816332</v>
      </c>
      <c r="AJ31" s="553">
        <f>0.5*(1+'Hilfstabellen_Mat&amp;Bem'!$BD$31*($AI31-0.3)+$AI31^2)</f>
        <v>2.7080705829587934</v>
      </c>
      <c r="AK31" s="550">
        <f t="shared" si="5"/>
        <v>0.22386972559896889</v>
      </c>
      <c r="AM31" s="551">
        <f t="shared" si="62"/>
        <v>1542.2385396512966</v>
      </c>
      <c r="AQ31" s="546">
        <f t="shared" si="17"/>
        <v>83</v>
      </c>
      <c r="AR31" s="551">
        <f t="shared" si="6"/>
        <v>133.55572492097369</v>
      </c>
      <c r="AS31" s="553">
        <f>$AR31/PI()*SQRT('Hilfstabellen_Mat&amp;Bem'!f.Rd.3/'Hilfstabellen_Mat&amp;Bem'!$BD$30)</f>
        <v>2.1256053799394397</v>
      </c>
      <c r="AT31" s="553">
        <f>0.5*(1+'Hilfstabellen_Mat&amp;Bem'!$BD$31*($AS31-0.3)+$AS31^2)</f>
        <v>2.8503793846107168</v>
      </c>
      <c r="AU31" s="550">
        <f t="shared" si="7"/>
        <v>0.21055075133680187</v>
      </c>
      <c r="AW31" s="551">
        <f t="shared" si="63"/>
        <v>1450.4841259592281</v>
      </c>
      <c r="AZ31" s="547">
        <f>'Hilfstabellen_Mat&amp;Bem'!$J$56</f>
        <v>3.3</v>
      </c>
      <c r="BA31" s="546">
        <f t="shared" si="19"/>
        <v>83</v>
      </c>
      <c r="BB31" s="551">
        <f t="shared" si="20"/>
        <v>137.72934132475407</v>
      </c>
      <c r="BC31" s="553">
        <f>BB31/PI()*SQRT('Hilfstabellen_Mat&amp;Bem'!f.Rd.3/'Hilfstabellen_Mat&amp;Bem'!$BD$30)</f>
        <v>2.1920305480625468</v>
      </c>
      <c r="BD31" s="553">
        <f>0.5*(1+'Hilfstabellen_Mat&amp;Bem'!$BD$31*(BC31-0.3)+BC31^2)</f>
        <v>2.9971004892228219</v>
      </c>
      <c r="BE31" s="550">
        <f t="shared" si="21"/>
        <v>0.1983724894733849</v>
      </c>
      <c r="BG31" s="551">
        <f t="shared" si="22"/>
        <v>1366.5880799821487</v>
      </c>
      <c r="BJ31" s="547">
        <f>'Hilfstabellen_Mat&amp;Bem'!$J$57</f>
        <v>3.4</v>
      </c>
      <c r="BK31" s="546">
        <f t="shared" si="23"/>
        <v>83</v>
      </c>
      <c r="BL31" s="551">
        <f t="shared" si="24"/>
        <v>141.90295772853452</v>
      </c>
      <c r="BM31" s="553">
        <f>BL31/PI()*SQRT('Hilfstabellen_Mat&amp;Bem'!f.Rd.3/'Hilfstabellen_Mat&amp;Bem'!$BD$30)</f>
        <v>2.258455716185654</v>
      </c>
      <c r="BN31" s="553">
        <f>0.5*(1+'Hilfstabellen_Mat&amp;Bem'!$BD$31*(BM31-0.3)+BM31^2)</f>
        <v>3.1482338967951105</v>
      </c>
      <c r="BO31" s="550">
        <f t="shared" si="25"/>
        <v>0.18721062704432995</v>
      </c>
      <c r="BQ31" s="551">
        <f t="shared" si="26"/>
        <v>1289.6940097083891</v>
      </c>
      <c r="BT31" s="547">
        <f>'Hilfstabellen_Mat&amp;Bem'!$J$58</f>
        <v>3.5</v>
      </c>
      <c r="BU31" s="546">
        <f t="shared" si="27"/>
        <v>83</v>
      </c>
      <c r="BV31" s="551">
        <f t="shared" si="28"/>
        <v>146.07657413231493</v>
      </c>
      <c r="BW31" s="553">
        <f>BV31/PI()*SQRT('Hilfstabellen_Mat&amp;Bem'!f.Rd.3/'Hilfstabellen_Mat&amp;Bem'!$BD$30)</f>
        <v>2.3248808843087612</v>
      </c>
      <c r="BX31" s="553">
        <f>0.5*(1+'Hilfstabellen_Mat&amp;Bem'!$BD$31*(BW31-0.3)+BW31^2)</f>
        <v>3.3037796073275816</v>
      </c>
      <c r="BY31" s="550">
        <f t="shared" si="29"/>
        <v>0.17695686183511533</v>
      </c>
      <c r="CA31" s="551">
        <f t="shared" si="30"/>
        <v>1219.0558211821094</v>
      </c>
      <c r="CD31" s="547">
        <f>'Hilfstabellen_Mat&amp;Bem'!$J$59</f>
        <v>3.6</v>
      </c>
      <c r="CE31" s="546">
        <f t="shared" si="31"/>
        <v>83</v>
      </c>
      <c r="CF31" s="551">
        <f t="shared" si="32"/>
        <v>150.25019053609537</v>
      </c>
      <c r="CG31" s="553">
        <f>CF31/PI()*SQRT('Hilfstabellen_Mat&amp;Bem'!f.Rd.3/'Hilfstabellen_Mat&amp;Bem'!$BD$30)</f>
        <v>2.3913060524318692</v>
      </c>
      <c r="CH31" s="553">
        <f>0.5*(1+'Hilfstabellen_Mat&amp;Bem'!$BD$31*(CG31-0.3)+CG31^2)</f>
        <v>3.4637376208202384</v>
      </c>
      <c r="CI31" s="550">
        <f t="shared" si="33"/>
        <v>0.16751660178213132</v>
      </c>
      <c r="CK31" s="551">
        <f t="shared" si="34"/>
        <v>1154.0218696771026</v>
      </c>
      <c r="CN31" s="547">
        <f>'Hilfstabellen_Mat&amp;Bem'!$J$60</f>
        <v>3.7</v>
      </c>
      <c r="CO31" s="546">
        <f t="shared" si="35"/>
        <v>83</v>
      </c>
      <c r="CP31" s="551">
        <f t="shared" si="36"/>
        <v>154.42380693987579</v>
      </c>
      <c r="CQ31" s="553">
        <f>CP31/PI()*SQRT('Hilfstabellen_Mat&amp;Bem'!f.Rd.3/'Hilfstabellen_Mat&amp;Bem'!$BD$30)</f>
        <v>2.4577312205549764</v>
      </c>
      <c r="CR31" s="553">
        <f>0.5*(1+'Hilfstabellen_Mat&amp;Bem'!$BD$31*(CQ31-0.3)+CQ31^2)</f>
        <v>3.628107937273076</v>
      </c>
      <c r="CS31" s="550">
        <f t="shared" si="37"/>
        <v>0.15880701081060583</v>
      </c>
      <c r="CU31" s="551">
        <f t="shared" si="38"/>
        <v>1094.0214974742635</v>
      </c>
      <c r="CX31" s="547">
        <f>'Hilfstabellen_Mat&amp;Bem'!$J$61</f>
        <v>3.8</v>
      </c>
      <c r="CY31" s="546">
        <f t="shared" si="39"/>
        <v>83</v>
      </c>
      <c r="CZ31" s="551">
        <f t="shared" si="40"/>
        <v>158.59742334365623</v>
      </c>
      <c r="DA31" s="553">
        <f>CZ31/PI()*SQRT('Hilfstabellen_Mat&amp;Bem'!f.Rd.3/'Hilfstabellen_Mat&amp;Bem'!$BD$30)</f>
        <v>2.5241563886780845</v>
      </c>
      <c r="DB31" s="553">
        <f>0.5*(1+'Hilfstabellen_Mat&amp;Bem'!$BD$31*(DA31-0.3)+DA31^2)</f>
        <v>3.7968905566860984</v>
      </c>
      <c r="DC31" s="550">
        <f t="shared" si="41"/>
        <v>0.15075535213045585</v>
      </c>
      <c r="DE31" s="551">
        <f t="shared" si="42"/>
        <v>1038.5536208267104</v>
      </c>
      <c r="DH31" s="547">
        <f>'Hilfstabellen_Mat&amp;Bem'!$J$62</f>
        <v>3.9</v>
      </c>
      <c r="DI31" s="546">
        <f t="shared" si="43"/>
        <v>83</v>
      </c>
      <c r="DJ31" s="551">
        <f t="shared" si="44"/>
        <v>162.77103974743665</v>
      </c>
      <c r="DK31" s="553">
        <f>DJ31/PI()*SQRT('Hilfstabellen_Mat&amp;Bem'!f.Rd.3/'Hilfstabellen_Mat&amp;Bem'!$BD$30)</f>
        <v>2.5905815568011916</v>
      </c>
      <c r="DL31" s="553">
        <f>0.5*(1+'Hilfstabellen_Mat&amp;Bem'!$BD$31*(DK31-0.3)+DK31^2)</f>
        <v>3.9700854790593025</v>
      </c>
      <c r="DM31" s="550">
        <f t="shared" si="45"/>
        <v>0.14329758423653258</v>
      </c>
      <c r="DO31" s="551">
        <f t="shared" si="46"/>
        <v>987.17705780547294</v>
      </c>
      <c r="DR31" s="547">
        <f>'Hilfstabellen_Mat&amp;Bem'!$J$63</f>
        <v>4</v>
      </c>
      <c r="DS31" s="546">
        <f t="shared" si="47"/>
        <v>83</v>
      </c>
      <c r="DT31" s="551">
        <f t="shared" si="48"/>
        <v>166.94465615121709</v>
      </c>
      <c r="DU31" s="553">
        <f>DT31/PI()*SQRT('Hilfstabellen_Mat&amp;Bem'!f.Rd.3/'Hilfstabellen_Mat&amp;Bem'!$BD$30)</f>
        <v>2.6570067249242992</v>
      </c>
      <c r="DV31" s="553">
        <f>0.5*(1+'Hilfstabellen_Mat&amp;Bem'!$BD$31*(DU31-0.3)+DU31^2)</f>
        <v>4.1476927043926901</v>
      </c>
      <c r="DW31" s="550">
        <f t="shared" si="49"/>
        <v>0.13637717028501534</v>
      </c>
      <c r="DY31" s="551">
        <f t="shared" si="50"/>
        <v>939.50232609347063</v>
      </c>
      <c r="EB31" s="547">
        <f>'Hilfstabellen_Mat&amp;Bem'!$J$64</f>
        <v>4.0999999999999996</v>
      </c>
      <c r="EC31" s="546">
        <f t="shared" si="51"/>
        <v>83</v>
      </c>
      <c r="ED31" s="551">
        <f t="shared" si="52"/>
        <v>171.1182725549975</v>
      </c>
      <c r="EE31" s="553">
        <f>ED31/PI()*SQRT('Hilfstabellen_Mat&amp;Bem'!f.Rd.3/'Hilfstabellen_Mat&amp;Bem'!$BD$30)</f>
        <v>2.7234318930474064</v>
      </c>
      <c r="EF31" s="553">
        <f>0.5*(1+'Hilfstabellen_Mat&amp;Bem'!$BD$31*(EE31-0.3)+EE31^2)</f>
        <v>4.3297122326862603</v>
      </c>
      <c r="EG31" s="550">
        <f t="shared" si="53"/>
        <v>0.12994406705381287</v>
      </c>
      <c r="EI31" s="551">
        <f t="shared" si="54"/>
        <v>895.1846779337169</v>
      </c>
      <c r="EL31" s="547">
        <f>'Hilfstabellen_Mat&amp;Bem'!$J$65</f>
        <v>4.2</v>
      </c>
      <c r="EM31" s="546">
        <f t="shared" si="55"/>
        <v>83</v>
      </c>
      <c r="EN31" s="551">
        <f t="shared" si="56"/>
        <v>175.29188895877792</v>
      </c>
      <c r="EO31" s="553">
        <f>EN31/PI()*SQRT('Hilfstabellen_Mat&amp;Bem'!f.Rd.3/'Hilfstabellen_Mat&amp;Bem'!$BD$30)</f>
        <v>2.7898570611705136</v>
      </c>
      <c r="EP31" s="553">
        <f>0.5*(1+'Hilfstabellen_Mat&amp;Bem'!$BD$31*(EO31-0.3)+EO31^2)</f>
        <v>4.516144063940013</v>
      </c>
      <c r="EQ31" s="550">
        <f t="shared" si="57"/>
        <v>0.12395386483949447</v>
      </c>
      <c r="ES31" s="551">
        <f t="shared" si="58"/>
        <v>853.91817487927744</v>
      </c>
    </row>
    <row r="32" spans="3:149">
      <c r="C32" s="546">
        <v>84</v>
      </c>
      <c r="D32" s="551">
        <f t="shared" si="8"/>
        <v>115.47005383792515</v>
      </c>
      <c r="E32" s="553">
        <f>$D32/PI()*SQRT('Hilfstabellen_Mat&amp;Bem'!f.Rd.3/'Hilfstabellen_Mat&amp;Bem'!$BD$30)</f>
        <v>1.8377629847393071</v>
      </c>
      <c r="F32" s="553">
        <f>0.5*(1+'Hilfstabellen_Mat&amp;Bem'!$BD$31*($E32-0.3)+$E32^2)</f>
        <v>2.2655745432759287</v>
      </c>
      <c r="G32" s="550">
        <f t="shared" si="9"/>
        <v>0.27851192942466541</v>
      </c>
      <c r="I32" s="551">
        <f t="shared" si="59"/>
        <v>1965.1801740204392</v>
      </c>
      <c r="M32" s="546">
        <f t="shared" si="11"/>
        <v>84</v>
      </c>
      <c r="N32" s="551">
        <f t="shared" si="0"/>
        <v>119.59398433213677</v>
      </c>
      <c r="O32" s="553">
        <f>$N32/PI()*SQRT('Hilfstabellen_Mat&amp;Bem'!f.Rd.3/'Hilfstabellen_Mat&amp;Bem'!$BD$30)</f>
        <v>1.9033973770514252</v>
      </c>
      <c r="P32" s="553">
        <f>0.5*(1+'Hilfstabellen_Mat&amp;Bem'!$BD$31*($O32-0.3)+$O32^2)</f>
        <v>2.3916306563356939</v>
      </c>
      <c r="Q32" s="550">
        <f t="shared" si="1"/>
        <v>0.26043535526334283</v>
      </c>
      <c r="S32" s="551">
        <f t="shared" si="60"/>
        <v>1837.631866738147</v>
      </c>
      <c r="W32" s="546">
        <f t="shared" si="13"/>
        <v>84</v>
      </c>
      <c r="X32" s="551">
        <f t="shared" si="2"/>
        <v>123.71791482634838</v>
      </c>
      <c r="Y32" s="553">
        <f>$X32/PI()*SQRT('Hilfstabellen_Mat&amp;Bem'!f.Rd.3/'Hilfstabellen_Mat&amp;Bem'!$BD$30)</f>
        <v>1.9690317693635433</v>
      </c>
      <c r="Z32" s="553">
        <f>0.5*(1+'Hilfstabellen_Mat&amp;Bem'!$BD$31*($Y32-0.3)+$Y32^2)</f>
        <v>2.52199464284964</v>
      </c>
      <c r="AA32" s="550">
        <f t="shared" si="3"/>
        <v>0.2440294470395899</v>
      </c>
      <c r="AC32" s="551">
        <f t="shared" si="61"/>
        <v>1721.8717783113464</v>
      </c>
      <c r="AG32" s="546">
        <f t="shared" si="15"/>
        <v>84</v>
      </c>
      <c r="AH32" s="551">
        <f t="shared" si="4"/>
        <v>127.84184532055998</v>
      </c>
      <c r="AI32" s="553">
        <f>$AH32/PI()*SQRT('Hilfstabellen_Mat&amp;Bem'!f.Rd.3/'Hilfstabellen_Mat&amp;Bem'!$BD$30)</f>
        <v>2.0346661616756609</v>
      </c>
      <c r="AJ32" s="553">
        <f>0.5*(1+'Hilfstabellen_Mat&amp;Bem'!$BD$31*($AI32-0.3)+$AI32^2)</f>
        <v>2.6566665028177665</v>
      </c>
      <c r="AK32" s="550">
        <f t="shared" si="5"/>
        <v>0.22910110905400874</v>
      </c>
      <c r="AM32" s="551">
        <f t="shared" si="62"/>
        <v>1616.5374254850856</v>
      </c>
      <c r="AQ32" s="546">
        <f t="shared" si="17"/>
        <v>84</v>
      </c>
      <c r="AR32" s="551">
        <f t="shared" si="6"/>
        <v>131.9657758147716</v>
      </c>
      <c r="AS32" s="553">
        <f>$AR32/PI()*SQRT('Hilfstabellen_Mat&amp;Bem'!f.Rd.3/'Hilfstabellen_Mat&amp;Bem'!$BD$30)</f>
        <v>2.1003005539877795</v>
      </c>
      <c r="AT32" s="553">
        <f>0.5*(1+'Hilfstabellen_Mat&amp;Bem'!$BD$31*($AS32-0.3)+$AS32^2)</f>
        <v>2.795646236240076</v>
      </c>
      <c r="AU32" s="550">
        <f t="shared" si="7"/>
        <v>0.21548281940561165</v>
      </c>
      <c r="AW32" s="551">
        <f t="shared" si="63"/>
        <v>1520.4467737259959</v>
      </c>
      <c r="AZ32" s="547">
        <f>'Hilfstabellen_Mat&amp;Bem'!$J$56</f>
        <v>3.3</v>
      </c>
      <c r="BA32" s="546">
        <f t="shared" si="19"/>
        <v>84</v>
      </c>
      <c r="BB32" s="551">
        <f t="shared" si="20"/>
        <v>136.08970630898321</v>
      </c>
      <c r="BC32" s="553">
        <f>BB32/PI()*SQRT('Hilfstabellen_Mat&amp;Bem'!f.Rd.3/'Hilfstabellen_Mat&amp;Bem'!$BD$30)</f>
        <v>2.1659349462998976</v>
      </c>
      <c r="BD32" s="553">
        <f>0.5*(1+'Hilfstabellen_Mat&amp;Bem'!$BD$31*(BC32-0.3)+BC32^2)</f>
        <v>2.938933843116565</v>
      </c>
      <c r="BE32" s="550">
        <f t="shared" si="21"/>
        <v>0.20302909028614466</v>
      </c>
      <c r="BG32" s="551">
        <f t="shared" si="22"/>
        <v>1432.5732610590367</v>
      </c>
      <c r="BJ32" s="547">
        <f>'Hilfstabellen_Mat&amp;Bem'!$J$57</f>
        <v>3.4</v>
      </c>
      <c r="BK32" s="546">
        <f t="shared" si="23"/>
        <v>84</v>
      </c>
      <c r="BL32" s="551">
        <f t="shared" si="24"/>
        <v>140.21363680319482</v>
      </c>
      <c r="BM32" s="553">
        <f>BL32/PI()*SQRT('Hilfstabellen_Mat&amp;Bem'!f.Rd.3/'Hilfstabellen_Mat&amp;Bem'!$BD$30)</f>
        <v>2.2315693386120152</v>
      </c>
      <c r="BN32" s="553">
        <f>0.5*(1+'Hilfstabellen_Mat&amp;Bem'!$BD$31*(BM32-0.3)+BM32^2)</f>
        <v>3.0865293234472344</v>
      </c>
      <c r="BO32" s="550">
        <f t="shared" si="25"/>
        <v>0.1916133523971183</v>
      </c>
      <c r="BQ32" s="551">
        <f t="shared" si="26"/>
        <v>1352.0238145140668</v>
      </c>
      <c r="BT32" s="547">
        <f>'Hilfstabellen_Mat&amp;Bem'!$J$58</f>
        <v>3.5</v>
      </c>
      <c r="BU32" s="546">
        <f t="shared" si="27"/>
        <v>84</v>
      </c>
      <c r="BV32" s="551">
        <f t="shared" si="28"/>
        <v>144.33756729740642</v>
      </c>
      <c r="BW32" s="553">
        <f>BV32/PI()*SQRT('Hilfstabellen_Mat&amp;Bem'!f.Rd.3/'Hilfstabellen_Mat&amp;Bem'!$BD$30)</f>
        <v>2.2972037309241333</v>
      </c>
      <c r="BX32" s="553">
        <f>0.5*(1+'Hilfstabellen_Mat&amp;Bem'!$BD$31*(BW32-0.3)+BW32^2)</f>
        <v>3.2384326772320855</v>
      </c>
      <c r="BY32" s="550">
        <f t="shared" si="29"/>
        <v>0.18112525906170046</v>
      </c>
      <c r="CA32" s="551">
        <f t="shared" si="30"/>
        <v>1278.0198279393585</v>
      </c>
      <c r="CD32" s="547">
        <f>'Hilfstabellen_Mat&amp;Bem'!$J$59</f>
        <v>3.6</v>
      </c>
      <c r="CE32" s="546">
        <f t="shared" si="31"/>
        <v>84</v>
      </c>
      <c r="CF32" s="551">
        <f t="shared" si="32"/>
        <v>148.46149779161803</v>
      </c>
      <c r="CG32" s="553">
        <f>CF32/PI()*SQRT('Hilfstabellen_Mat&amp;Bem'!f.Rd.3/'Hilfstabellen_Mat&amp;Bem'!$BD$30)</f>
        <v>2.3628381232362514</v>
      </c>
      <c r="CH32" s="553">
        <f>0.5*(1+'Hilfstabellen_Mat&amp;Bem'!$BD$31*(CG32-0.3)+CG32^2)</f>
        <v>3.3946439044711179</v>
      </c>
      <c r="CI32" s="550">
        <f t="shared" si="33"/>
        <v>0.17146837621828159</v>
      </c>
      <c r="CK32" s="551">
        <f t="shared" si="34"/>
        <v>1209.8808625961949</v>
      </c>
      <c r="CN32" s="547">
        <f>'Hilfstabellen_Mat&amp;Bem'!$J$60</f>
        <v>3.7</v>
      </c>
      <c r="CO32" s="546">
        <f t="shared" si="35"/>
        <v>84</v>
      </c>
      <c r="CP32" s="551">
        <f t="shared" si="36"/>
        <v>152.58542828582966</v>
      </c>
      <c r="CQ32" s="553">
        <f>CP32/PI()*SQRT('Hilfstabellen_Mat&amp;Bem'!f.Rd.3/'Hilfstabellen_Mat&amp;Bem'!$BD$30)</f>
        <v>2.42847251554837</v>
      </c>
      <c r="CR32" s="553">
        <f>0.5*(1+'Hilfstabellen_Mat&amp;Bem'!$BD$31*(CQ32-0.3)+CQ32^2)</f>
        <v>3.5551630051643324</v>
      </c>
      <c r="CS32" s="550">
        <f t="shared" si="37"/>
        <v>0.16255821378954893</v>
      </c>
      <c r="CU32" s="551">
        <f t="shared" si="38"/>
        <v>1147.0107564990574</v>
      </c>
      <c r="CX32" s="547">
        <f>'Hilfstabellen_Mat&amp;Bem'!$J$61</f>
        <v>3.8</v>
      </c>
      <c r="CY32" s="546">
        <f t="shared" si="39"/>
        <v>84</v>
      </c>
      <c r="CZ32" s="551">
        <f t="shared" si="40"/>
        <v>156.70935878004127</v>
      </c>
      <c r="DA32" s="553">
        <f>CZ32/PI()*SQRT('Hilfstabellen_Mat&amp;Bem'!f.Rd.3/'Hilfstabellen_Mat&amp;Bem'!$BD$30)</f>
        <v>2.4941069078604881</v>
      </c>
      <c r="DB32" s="553">
        <f>0.5*(1+'Hilfstabellen_Mat&amp;Bem'!$BD$31*(DA32-0.3)+DA32^2)</f>
        <v>3.7199899793117268</v>
      </c>
      <c r="DC32" s="550">
        <f t="shared" si="41"/>
        <v>0.15432055250025886</v>
      </c>
      <c r="DE32" s="551">
        <f t="shared" si="42"/>
        <v>1088.8858184418266</v>
      </c>
      <c r="DH32" s="547">
        <f>'Hilfstabellen_Mat&amp;Bem'!$J$62</f>
        <v>3.9</v>
      </c>
      <c r="DI32" s="546">
        <f t="shared" si="43"/>
        <v>84</v>
      </c>
      <c r="DJ32" s="551">
        <f t="shared" si="44"/>
        <v>160.83328927425288</v>
      </c>
      <c r="DK32" s="553">
        <f>DJ32/PI()*SQRT('Hilfstabellen_Mat&amp;Bem'!f.Rd.3/'Hilfstabellen_Mat&amp;Bem'!$BD$30)</f>
        <v>2.5597413001726057</v>
      </c>
      <c r="DL32" s="553">
        <f>0.5*(1+'Hilfstabellen_Mat&amp;Bem'!$BD$31*(DK32-0.3)+DK32^2)</f>
        <v>3.8891248269133012</v>
      </c>
      <c r="DM32" s="550">
        <f t="shared" si="45"/>
        <v>0.14669002311440046</v>
      </c>
      <c r="DO32" s="551">
        <f t="shared" si="46"/>
        <v>1035.0448030952098</v>
      </c>
      <c r="DR32" s="547">
        <f>'Hilfstabellen_Mat&amp;Bem'!$J$63</f>
        <v>4</v>
      </c>
      <c r="DS32" s="546">
        <f t="shared" si="47"/>
        <v>84</v>
      </c>
      <c r="DT32" s="551">
        <f t="shared" si="48"/>
        <v>164.95721976846451</v>
      </c>
      <c r="DU32" s="553">
        <f>DT32/PI()*SQRT('Hilfstabellen_Mat&amp;Bem'!f.Rd.3/'Hilfstabellen_Mat&amp;Bem'!$BD$30)</f>
        <v>2.6253756924847242</v>
      </c>
      <c r="DV32" s="553">
        <f>0.5*(1+'Hilfstabellen_Mat&amp;Bem'!$BD$31*(DU32-0.3)+DU32^2)</f>
        <v>4.0625675479690591</v>
      </c>
      <c r="DW32" s="550">
        <f t="shared" si="49"/>
        <v>0.13960889970069371</v>
      </c>
      <c r="DY32" s="551">
        <f t="shared" si="50"/>
        <v>985.08039628809479</v>
      </c>
      <c r="EB32" s="547">
        <f>'Hilfstabellen_Mat&amp;Bem'!$J$64</f>
        <v>4.0999999999999996</v>
      </c>
      <c r="EC32" s="546">
        <f t="shared" si="51"/>
        <v>84</v>
      </c>
      <c r="ED32" s="551">
        <f t="shared" si="52"/>
        <v>169.08115026267612</v>
      </c>
      <c r="EE32" s="553">
        <f>ED32/PI()*SQRT('Hilfstabellen_Mat&amp;Bem'!f.Rd.3/'Hilfstabellen_Mat&amp;Bem'!$BD$30)</f>
        <v>2.6910100847968423</v>
      </c>
      <c r="EF32" s="553">
        <f>0.5*(1+'Hilfstabellen_Mat&amp;Bem'!$BD$31*(EE32-0.3)+EE32^2)</f>
        <v>4.240318142478996</v>
      </c>
      <c r="EG32" s="550">
        <f t="shared" si="53"/>
        <v>0.13302607360623397</v>
      </c>
      <c r="EI32" s="551">
        <f t="shared" si="54"/>
        <v>938.63197536558687</v>
      </c>
      <c r="EL32" s="547">
        <f>'Hilfstabellen_Mat&amp;Bem'!$J$65</f>
        <v>4.2</v>
      </c>
      <c r="EM32" s="546">
        <f t="shared" si="55"/>
        <v>84</v>
      </c>
      <c r="EN32" s="551">
        <f t="shared" si="56"/>
        <v>173.20508075688772</v>
      </c>
      <c r="EO32" s="553">
        <f>EN32/PI()*SQRT('Hilfstabellen_Mat&amp;Bem'!f.Rd.3/'Hilfstabellen_Mat&amp;Bem'!$BD$30)</f>
        <v>2.7566444771089604</v>
      </c>
      <c r="EP32" s="553">
        <f>0.5*(1+'Hilfstabellen_Mat&amp;Bem'!$BD$31*(EO32-0.3)+EO32^2)</f>
        <v>4.4223766104431146</v>
      </c>
      <c r="EQ32" s="550">
        <f t="shared" si="57"/>
        <v>0.12689617969031575</v>
      </c>
      <c r="ES32" s="551">
        <f t="shared" si="58"/>
        <v>895.3794438948679</v>
      </c>
    </row>
    <row r="33" spans="3:149">
      <c r="C33" s="546">
        <v>85</v>
      </c>
      <c r="D33" s="551">
        <f t="shared" si="8"/>
        <v>114.11158261630248</v>
      </c>
      <c r="E33" s="553">
        <f>$D33/PI()*SQRT('Hilfstabellen_Mat&amp;Bem'!f.Rd.3/'Hilfstabellen_Mat&amp;Bem'!$BD$30)</f>
        <v>1.8161422437423735</v>
      </c>
      <c r="F33" s="553">
        <f>0.5*(1+'Hilfstabellen_Mat&amp;Bem'!$BD$31*($E33-0.3)+$E33^2)</f>
        <v>2.22499343693991</v>
      </c>
      <c r="G33" s="550">
        <f t="shared" si="9"/>
        <v>0.28486930138680294</v>
      </c>
      <c r="I33" s="551">
        <f t="shared" si="59"/>
        <v>2058.1807025196513</v>
      </c>
      <c r="M33" s="546">
        <f t="shared" si="11"/>
        <v>85</v>
      </c>
      <c r="N33" s="551">
        <f t="shared" si="0"/>
        <v>118.18699628117044</v>
      </c>
      <c r="O33" s="553">
        <f>$N33/PI()*SQRT('Hilfstabellen_Mat&amp;Bem'!f.Rd.3/'Hilfstabellen_Mat&amp;Bem'!$BD$30)</f>
        <v>1.8810044667331729</v>
      </c>
      <c r="P33" s="553">
        <f>0.5*(1+'Hilfstabellen_Mat&amp;Bem'!$BD$31*($O33-0.3)+$O33^2)</f>
        <v>2.3481391252717327</v>
      </c>
      <c r="Q33" s="550">
        <f t="shared" si="1"/>
        <v>0.26640436590529087</v>
      </c>
      <c r="S33" s="551">
        <f t="shared" si="60"/>
        <v>1924.7715436657265</v>
      </c>
      <c r="W33" s="546">
        <f t="shared" si="13"/>
        <v>85</v>
      </c>
      <c r="X33" s="551">
        <f t="shared" si="2"/>
        <v>122.2624099460384</v>
      </c>
      <c r="Y33" s="553">
        <f>$X33/PI()*SQRT('Hilfstabellen_Mat&amp;Bem'!f.Rd.3/'Hilfstabellen_Mat&amp;Bem'!$BD$30)</f>
        <v>1.945866689723972</v>
      </c>
      <c r="Z33" s="553">
        <f>0.5*(1+'Hilfstabellen_Mat&amp;Bem'!$BD$31*($Y33-0.3)+$Y33^2)</f>
        <v>2.475491921574863</v>
      </c>
      <c r="AA33" s="550">
        <f t="shared" si="3"/>
        <v>0.24964168469182937</v>
      </c>
      <c r="AC33" s="551">
        <f t="shared" si="61"/>
        <v>1803.6611718984673</v>
      </c>
      <c r="AG33" s="546">
        <f t="shared" si="15"/>
        <v>85</v>
      </c>
      <c r="AH33" s="551">
        <f t="shared" si="4"/>
        <v>126.33782361090633</v>
      </c>
      <c r="AI33" s="553">
        <f>$AH33/PI()*SQRT('Hilfstabellen_Mat&amp;Bem'!f.Rd.3/'Hilfstabellen_Mat&amp;Bem'!$BD$30)</f>
        <v>2.0107289127147712</v>
      </c>
      <c r="AJ33" s="553">
        <f>0.5*(1+'Hilfstabellen_Mat&amp;Bem'!$BD$31*($AI33-0.3)+$AI33^2)</f>
        <v>2.6070518258493012</v>
      </c>
      <c r="AK33" s="550">
        <f t="shared" si="5"/>
        <v>0.23438547621167732</v>
      </c>
      <c r="AM33" s="551">
        <f t="shared" si="62"/>
        <v>1693.4350656293686</v>
      </c>
      <c r="AQ33" s="546">
        <f t="shared" si="17"/>
        <v>85</v>
      </c>
      <c r="AR33" s="551">
        <f t="shared" si="6"/>
        <v>130.41323727577429</v>
      </c>
      <c r="AS33" s="553">
        <f>$AR33/PI()*SQRT('Hilfstabellen_Mat&amp;Bem'!f.Rd.3/'Hilfstabellen_Mat&amp;Bem'!$BD$30)</f>
        <v>2.0755911357055701</v>
      </c>
      <c r="AT33" s="553">
        <f>0.5*(1+'Hilfstabellen_Mat&amp;Bem'!$BD$31*($AS33-0.3)+$AS33^2)</f>
        <v>2.7428188380950478</v>
      </c>
      <c r="AU33" s="550">
        <f t="shared" si="7"/>
        <v>0.22046562925020732</v>
      </c>
      <c r="AW33" s="551">
        <f t="shared" si="63"/>
        <v>1592.8641713327479</v>
      </c>
      <c r="AZ33" s="547">
        <f>'Hilfstabellen_Mat&amp;Bem'!$J$56</f>
        <v>3.3</v>
      </c>
      <c r="BA33" s="546">
        <f t="shared" si="19"/>
        <v>85</v>
      </c>
      <c r="BB33" s="551">
        <f t="shared" si="20"/>
        <v>134.48865094064223</v>
      </c>
      <c r="BC33" s="553">
        <f>BB33/PI()*SQRT('Hilfstabellen_Mat&amp;Bem'!f.Rd.3/'Hilfstabellen_Mat&amp;Bem'!$BD$30)</f>
        <v>2.140453358696369</v>
      </c>
      <c r="BD33" s="553">
        <f>0.5*(1+'Hilfstabellen_Mat&amp;Bem'!$BD$31*(BC33-0.3)+BC33^2)</f>
        <v>2.8827929583121019</v>
      </c>
      <c r="BE33" s="550">
        <f t="shared" si="21"/>
        <v>0.20773423202361951</v>
      </c>
      <c r="BG33" s="551">
        <f t="shared" si="22"/>
        <v>1500.879826370651</v>
      </c>
      <c r="BJ33" s="547">
        <f>'Hilfstabellen_Mat&amp;Bem'!$J$57</f>
        <v>3.4</v>
      </c>
      <c r="BK33" s="546">
        <f t="shared" si="23"/>
        <v>85</v>
      </c>
      <c r="BL33" s="551">
        <f t="shared" si="24"/>
        <v>138.56406460551017</v>
      </c>
      <c r="BM33" s="553">
        <f>BL33/PI()*SQRT('Hilfstabellen_Mat&amp;Bem'!f.Rd.3/'Hilfstabellen_Mat&amp;Bem'!$BD$30)</f>
        <v>2.2053155816871679</v>
      </c>
      <c r="BN33" s="553">
        <f>0.5*(1+'Hilfstabellen_Mat&amp;Bem'!$BD$31*(BM33-0.3)+BM33^2)</f>
        <v>3.026974186500464</v>
      </c>
      <c r="BO33" s="550">
        <f t="shared" si="25"/>
        <v>0.19606248557633724</v>
      </c>
      <c r="BQ33" s="551">
        <f t="shared" si="26"/>
        <v>1416.5514582890366</v>
      </c>
      <c r="BT33" s="547">
        <f>'Hilfstabellen_Mat&amp;Bem'!$J$58</f>
        <v>3.5</v>
      </c>
      <c r="BU33" s="546">
        <f t="shared" si="27"/>
        <v>85</v>
      </c>
      <c r="BV33" s="551">
        <f t="shared" si="28"/>
        <v>142.63947827037813</v>
      </c>
      <c r="BW33" s="553">
        <f>BV33/PI()*SQRT('Hilfstabellen_Mat&amp;Bem'!f.Rd.3/'Hilfstabellen_Mat&amp;Bem'!$BD$30)</f>
        <v>2.2701778046779673</v>
      </c>
      <c r="BX33" s="553">
        <f>0.5*(1+'Hilfstabellen_Mat&amp;Bem'!$BD$31*(BW33-0.3)+BW33^2)</f>
        <v>3.1753625226601359</v>
      </c>
      <c r="BY33" s="550">
        <f t="shared" si="29"/>
        <v>0.18533801443588971</v>
      </c>
      <c r="CA33" s="551">
        <f t="shared" si="30"/>
        <v>1339.0671542993032</v>
      </c>
      <c r="CD33" s="547">
        <f>'Hilfstabellen_Mat&amp;Bem'!$J$59</f>
        <v>3.6</v>
      </c>
      <c r="CE33" s="546">
        <f t="shared" si="31"/>
        <v>85</v>
      </c>
      <c r="CF33" s="551">
        <f t="shared" si="32"/>
        <v>146.71489193524607</v>
      </c>
      <c r="CG33" s="553">
        <f>CF33/PI()*SQRT('Hilfstabellen_Mat&amp;Bem'!f.Rd.3/'Hilfstabellen_Mat&amp;Bem'!$BD$30)</f>
        <v>2.3350400276687666</v>
      </c>
      <c r="CH33" s="553">
        <f>0.5*(1+'Hilfstabellen_Mat&amp;Bem'!$BD$31*(CG33-0.3)+CG33^2)</f>
        <v>3.3279579667911152</v>
      </c>
      <c r="CI33" s="550">
        <f t="shared" si="33"/>
        <v>0.17546255089507928</v>
      </c>
      <c r="CK33" s="551">
        <f t="shared" si="34"/>
        <v>1267.7169302169477</v>
      </c>
      <c r="CN33" s="547">
        <f>'Hilfstabellen_Mat&amp;Bem'!$J$60</f>
        <v>3.7</v>
      </c>
      <c r="CO33" s="546">
        <f t="shared" si="35"/>
        <v>85</v>
      </c>
      <c r="CP33" s="551">
        <f t="shared" si="36"/>
        <v>150.79030560011401</v>
      </c>
      <c r="CQ33" s="553">
        <f>CP33/PI()*SQRT('Hilfstabellen_Mat&amp;Bem'!f.Rd.3/'Hilfstabellen_Mat&amp;Bem'!$BD$30)</f>
        <v>2.3999022506595655</v>
      </c>
      <c r="CR33" s="553">
        <f>0.5*(1+'Hilfstabellen_Mat&amp;Bem'!$BD$31*(CQ33-0.3)+CQ33^2)</f>
        <v>3.4847605188934021</v>
      </c>
      <c r="CS33" s="550">
        <f t="shared" si="37"/>
        <v>0.16634995437904382</v>
      </c>
      <c r="CU33" s="551">
        <f t="shared" si="38"/>
        <v>1201.8784203885916</v>
      </c>
      <c r="CX33" s="547">
        <f>'Hilfstabellen_Mat&amp;Bem'!$J$61</f>
        <v>3.8</v>
      </c>
      <c r="CY33" s="546">
        <f t="shared" si="39"/>
        <v>85</v>
      </c>
      <c r="CZ33" s="551">
        <f t="shared" si="40"/>
        <v>154.86571926498195</v>
      </c>
      <c r="DA33" s="553">
        <f>CZ33/PI()*SQRT('Hilfstabellen_Mat&amp;Bem'!f.Rd.3/'Hilfstabellen_Mat&amp;Bem'!$BD$30)</f>
        <v>2.4647644736503644</v>
      </c>
      <c r="DB33" s="553">
        <f>0.5*(1+'Hilfstabellen_Mat&amp;Bem'!$BD$31*(DA33-0.3)+DA33^2)</f>
        <v>3.6457701789669974</v>
      </c>
      <c r="DC33" s="550">
        <f t="shared" si="41"/>
        <v>0.15792452344456701</v>
      </c>
      <c r="DE33" s="551">
        <f t="shared" si="42"/>
        <v>1141.0046818869967</v>
      </c>
      <c r="DH33" s="547">
        <f>'Hilfstabellen_Mat&amp;Bem'!$J$62</f>
        <v>3.9</v>
      </c>
      <c r="DI33" s="546">
        <f t="shared" si="43"/>
        <v>85</v>
      </c>
      <c r="DJ33" s="551">
        <f t="shared" si="44"/>
        <v>158.94113292984991</v>
      </c>
      <c r="DK33" s="553">
        <f>DJ33/PI()*SQRT('Hilfstabellen_Mat&amp;Bem'!f.Rd.3/'Hilfstabellen_Mat&amp;Bem'!$BD$30)</f>
        <v>2.5296266966411638</v>
      </c>
      <c r="DL33" s="553">
        <f>0.5*(1+'Hilfstabellen_Mat&amp;Bem'!$BD$31*(DK33-0.3)+DK33^2)</f>
        <v>3.8109869470119015</v>
      </c>
      <c r="DM33" s="550">
        <f t="shared" si="45"/>
        <v>0.15011955937755686</v>
      </c>
      <c r="DO33" s="551">
        <f t="shared" si="46"/>
        <v>1084.6138165028483</v>
      </c>
      <c r="DR33" s="547">
        <f>'Hilfstabellen_Mat&amp;Bem'!$J$63</f>
        <v>4</v>
      </c>
      <c r="DS33" s="546">
        <f t="shared" si="47"/>
        <v>85</v>
      </c>
      <c r="DT33" s="551">
        <f t="shared" si="48"/>
        <v>163.01654659471785</v>
      </c>
      <c r="DU33" s="553">
        <f>DT33/PI()*SQRT('Hilfstabellen_Mat&amp;Bem'!f.Rd.3/'Hilfstabellen_Mat&amp;Bem'!$BD$30)</f>
        <v>2.5944889196319627</v>
      </c>
      <c r="DV33" s="553">
        <f>0.5*(1+'Hilfstabellen_Mat&amp;Bem'!$BD$31*(DU33-0.3)+DU33^2)</f>
        <v>3.9804108230281128</v>
      </c>
      <c r="DW33" s="550">
        <f t="shared" si="49"/>
        <v>0.14287614411114916</v>
      </c>
      <c r="DY33" s="551">
        <f t="shared" si="50"/>
        <v>1032.2801412030526</v>
      </c>
      <c r="EB33" s="547">
        <f>'Hilfstabellen_Mat&amp;Bem'!$J$64</f>
        <v>4.0999999999999996</v>
      </c>
      <c r="EC33" s="546">
        <f t="shared" si="51"/>
        <v>85</v>
      </c>
      <c r="ED33" s="551">
        <f t="shared" si="52"/>
        <v>167.09196025958579</v>
      </c>
      <c r="EE33" s="553">
        <f>ED33/PI()*SQRT('Hilfstabellen_Mat&amp;Bem'!f.Rd.3/'Hilfstabellen_Mat&amp;Bem'!$BD$30)</f>
        <v>2.6593511426227616</v>
      </c>
      <c r="EF33" s="553">
        <f>0.5*(1+'Hilfstabellen_Mat&amp;Bem'!$BD$31*(EE33-0.3)+EE33^2)</f>
        <v>4.1540418070156315</v>
      </c>
      <c r="EG33" s="550">
        <f t="shared" si="53"/>
        <v>0.13614209973235006</v>
      </c>
      <c r="EI33" s="551">
        <f t="shared" si="54"/>
        <v>983.62667056622922</v>
      </c>
      <c r="EL33" s="547">
        <f>'Hilfstabellen_Mat&amp;Bem'!$J$65</f>
        <v>4.2</v>
      </c>
      <c r="EM33" s="546">
        <f t="shared" si="55"/>
        <v>85</v>
      </c>
      <c r="EN33" s="551">
        <f t="shared" si="56"/>
        <v>171.16737392445376</v>
      </c>
      <c r="EO33" s="553">
        <f>EN33/PI()*SQRT('Hilfstabellen_Mat&amp;Bem'!f.Rd.3/'Hilfstabellen_Mat&amp;Bem'!$BD$30)</f>
        <v>2.724213365613561</v>
      </c>
      <c r="EP33" s="553">
        <f>0.5*(1+'Hilfstabellen_Mat&amp;Bem'!$BD$31*(EO33-0.3)+EO33^2)</f>
        <v>4.3318798989744609</v>
      </c>
      <c r="EQ33" s="550">
        <f t="shared" si="57"/>
        <v>0.12987110140614191</v>
      </c>
      <c r="ES33" s="551">
        <f t="shared" si="58"/>
        <v>938.31870765937538</v>
      </c>
    </row>
    <row r="34" spans="3:149">
      <c r="C34" s="546">
        <v>86</v>
      </c>
      <c r="D34" s="551">
        <f t="shared" si="8"/>
        <v>112.78470374867108</v>
      </c>
      <c r="E34" s="553">
        <f>$D34/PI()*SQRT('Hilfstabellen_Mat&amp;Bem'!f.Rd.3/'Hilfstabellen_Mat&amp;Bem'!$BD$30)</f>
        <v>1.7950243106756021</v>
      </c>
      <c r="F34" s="553">
        <f>0.5*(1+'Hilfstabellen_Mat&amp;Bem'!$BD$31*($E34-0.3)+$E34^2)</f>
        <v>2.1858073534919904</v>
      </c>
      <c r="G34" s="550">
        <f t="shared" si="9"/>
        <v>0.29128524581694415</v>
      </c>
      <c r="I34" s="551">
        <f t="shared" si="59"/>
        <v>2154.3456780621191</v>
      </c>
      <c r="M34" s="546">
        <f t="shared" si="11"/>
        <v>86</v>
      </c>
      <c r="N34" s="551">
        <f t="shared" si="0"/>
        <v>116.81272888255218</v>
      </c>
      <c r="O34" s="553">
        <f>$N34/PI()*SQRT('Hilfstabellen_Mat&amp;Bem'!f.Rd.3/'Hilfstabellen_Mat&amp;Bem'!$BD$30)</f>
        <v>1.8591323217711591</v>
      </c>
      <c r="P34" s="553">
        <f>0.5*(1+'Hilfstabellen_Mat&amp;Bem'!$BD$31*($O34-0.3)+$O34^2)</f>
        <v>2.3061431110156683</v>
      </c>
      <c r="Q34" s="550">
        <f t="shared" si="1"/>
        <v>0.27243011640202464</v>
      </c>
      <c r="S34" s="551">
        <f t="shared" si="60"/>
        <v>2014.8931409093741</v>
      </c>
      <c r="W34" s="546">
        <f t="shared" si="13"/>
        <v>86</v>
      </c>
      <c r="X34" s="551">
        <f t="shared" si="2"/>
        <v>120.84075401643328</v>
      </c>
      <c r="Y34" s="553">
        <f>$X34/PI()*SQRT('Hilfstabellen_Mat&amp;Bem'!f.Rd.3/'Hilfstabellen_Mat&amp;Bem'!$BD$30)</f>
        <v>1.9232403328667163</v>
      </c>
      <c r="Z34" s="553">
        <f>0.5*(1+'Hilfstabellen_Mat&amp;Bem'!$BD$31*($Y34-0.3)+$Y34^2)</f>
        <v>2.4305887056259747</v>
      </c>
      <c r="AA34" s="550">
        <f t="shared" si="3"/>
        <v>0.25530861402130306</v>
      </c>
      <c r="AC34" s="551">
        <f t="shared" si="61"/>
        <v>1888.2625093015574</v>
      </c>
      <c r="AG34" s="546">
        <f t="shared" si="15"/>
        <v>86</v>
      </c>
      <c r="AH34" s="551">
        <f t="shared" si="4"/>
        <v>124.8687791503144</v>
      </c>
      <c r="AI34" s="553">
        <f>$AH34/PI()*SQRT('Hilfstabellen_Mat&amp;Bem'!f.Rd.3/'Hilfstabellen_Mat&amp;Bem'!$BD$30)</f>
        <v>1.9873483439622737</v>
      </c>
      <c r="AJ34" s="553">
        <f>0.5*(1+'Hilfstabellen_Mat&amp;Bem'!$BD$31*($AI34-0.3)+$AI34^2)</f>
        <v>2.5591441373229094</v>
      </c>
      <c r="AK34" s="550">
        <f t="shared" si="5"/>
        <v>0.23972238862874157</v>
      </c>
      <c r="AM34" s="551">
        <f t="shared" si="62"/>
        <v>1772.9867862981725</v>
      </c>
      <c r="AQ34" s="546">
        <f t="shared" si="17"/>
        <v>86</v>
      </c>
      <c r="AR34" s="551">
        <f t="shared" si="6"/>
        <v>128.89680428419553</v>
      </c>
      <c r="AS34" s="553">
        <f>$AR34/PI()*SQRT('Hilfstabellen_Mat&amp;Bem'!f.Rd.3/'Hilfstabellen_Mat&amp;Bem'!$BD$30)</f>
        <v>2.0514563550578311</v>
      </c>
      <c r="AT34" s="553">
        <f>0.5*(1+'Hilfstabellen_Mat&amp;Bem'!$BD$31*($AS34-0.3)+$AS34^2)</f>
        <v>2.6918094061064721</v>
      </c>
      <c r="AU34" s="550">
        <f t="shared" si="7"/>
        <v>0.22549881541274711</v>
      </c>
      <c r="AW34" s="551">
        <f t="shared" si="63"/>
        <v>1667.7892387926777</v>
      </c>
      <c r="AZ34" s="547">
        <f>'Hilfstabellen_Mat&amp;Bem'!$J$56</f>
        <v>3.3</v>
      </c>
      <c r="BA34" s="546">
        <f t="shared" si="19"/>
        <v>86</v>
      </c>
      <c r="BB34" s="551">
        <f t="shared" si="20"/>
        <v>132.92482941807663</v>
      </c>
      <c r="BC34" s="553">
        <f>BB34/PI()*SQRT('Hilfstabellen_Mat&amp;Bem'!f.Rd.3/'Hilfstabellen_Mat&amp;Bem'!$BD$30)</f>
        <v>2.1155643661533881</v>
      </c>
      <c r="BD34" s="553">
        <f>0.5*(1+'Hilfstabellen_Mat&amp;Bem'!$BD$31*(BC34-0.3)+BC34^2)</f>
        <v>2.8285845119766626</v>
      </c>
      <c r="BE34" s="550">
        <f t="shared" si="21"/>
        <v>0.21248760703371875</v>
      </c>
      <c r="BG34" s="551">
        <f t="shared" si="22"/>
        <v>1571.5583416213838</v>
      </c>
      <c r="BJ34" s="547">
        <f>'Hilfstabellen_Mat&amp;Bem'!$J$57</f>
        <v>3.4</v>
      </c>
      <c r="BK34" s="546">
        <f t="shared" si="23"/>
        <v>86</v>
      </c>
      <c r="BL34" s="551">
        <f t="shared" si="24"/>
        <v>136.95285455195773</v>
      </c>
      <c r="BM34" s="553">
        <f>BL34/PI()*SQRT('Hilfstabellen_Mat&amp;Bem'!f.Rd.3/'Hilfstabellen_Mat&amp;Bem'!$BD$30)</f>
        <v>2.1796723772489455</v>
      </c>
      <c r="BN34" s="553">
        <f>0.5*(1+'Hilfstabellen_Mat&amp;Bem'!$BD$31*(BM34-0.3)+BM34^2)</f>
        <v>2.9694694549334817</v>
      </c>
      <c r="BO34" s="550">
        <f t="shared" si="25"/>
        <v>0.20055776524122709</v>
      </c>
      <c r="BQ34" s="551">
        <f t="shared" si="26"/>
        <v>1483.3252317241156</v>
      </c>
      <c r="BT34" s="547">
        <f>'Hilfstabellen_Mat&amp;Bem'!$J$58</f>
        <v>3.5</v>
      </c>
      <c r="BU34" s="546">
        <f t="shared" si="27"/>
        <v>86</v>
      </c>
      <c r="BV34" s="551">
        <f t="shared" si="28"/>
        <v>140.98087968583883</v>
      </c>
      <c r="BW34" s="553">
        <f>BV34/PI()*SQRT('Hilfstabellen_Mat&amp;Bem'!f.Rd.3/'Hilfstabellen_Mat&amp;Bem'!$BD$30)</f>
        <v>2.2437803883445024</v>
      </c>
      <c r="BX34" s="553">
        <f>0.5*(1+'Hilfstabellen_Mat&amp;Bem'!$BD$31*(BW34-0.3)+BW34^2)</f>
        <v>3.1144642349769285</v>
      </c>
      <c r="BY34" s="550">
        <f t="shared" si="29"/>
        <v>0.18959490411379043</v>
      </c>
      <c r="CA34" s="551">
        <f t="shared" si="30"/>
        <v>1402.243910825594</v>
      </c>
      <c r="CD34" s="547">
        <f>'Hilfstabellen_Mat&amp;Bem'!$J$59</f>
        <v>3.6</v>
      </c>
      <c r="CE34" s="546">
        <f t="shared" si="31"/>
        <v>86</v>
      </c>
      <c r="CF34" s="551">
        <f t="shared" si="32"/>
        <v>145.00890481971996</v>
      </c>
      <c r="CG34" s="553">
        <f>CF34/PI()*SQRT('Hilfstabellen_Mat&amp;Bem'!f.Rd.3/'Hilfstabellen_Mat&amp;Bem'!$BD$30)</f>
        <v>2.3078883994400599</v>
      </c>
      <c r="CH34" s="553">
        <f>0.5*(1+'Hilfstabellen_Mat&amp;Bem'!$BD$31*(CG34-0.3)+CG34^2)</f>
        <v>3.2635688521070039</v>
      </c>
      <c r="CI34" s="550">
        <f t="shared" si="33"/>
        <v>0.17949893262636188</v>
      </c>
      <c r="CK34" s="551">
        <f t="shared" si="34"/>
        <v>1327.5741057045725</v>
      </c>
      <c r="CN34" s="547">
        <f>'Hilfstabellen_Mat&amp;Bem'!$J$60</f>
        <v>3.7</v>
      </c>
      <c r="CO34" s="546">
        <f t="shared" si="35"/>
        <v>86</v>
      </c>
      <c r="CP34" s="551">
        <f t="shared" si="36"/>
        <v>149.03692995360106</v>
      </c>
      <c r="CQ34" s="553">
        <f>CP34/PI()*SQRT('Hilfstabellen_Mat&amp;Bem'!f.Rd.3/'Hilfstabellen_Mat&amp;Bem'!$BD$30)</f>
        <v>2.3719964105356168</v>
      </c>
      <c r="CR34" s="553">
        <f>0.5*(1+'Hilfstabellen_Mat&amp;Bem'!$BD$31*(CQ34-0.3)+CQ34^2)</f>
        <v>3.4167833063237061</v>
      </c>
      <c r="CS34" s="550">
        <f t="shared" si="37"/>
        <v>0.17018206468598612</v>
      </c>
      <c r="CU34" s="551">
        <f t="shared" si="38"/>
        <v>1258.6665504175533</v>
      </c>
      <c r="CX34" s="547">
        <f>'Hilfstabellen_Mat&amp;Bem'!$J$61</f>
        <v>3.8</v>
      </c>
      <c r="CY34" s="546">
        <f t="shared" si="39"/>
        <v>86</v>
      </c>
      <c r="CZ34" s="551">
        <f t="shared" si="40"/>
        <v>153.06495508748216</v>
      </c>
      <c r="DA34" s="553">
        <f>CZ34/PI()*SQRT('Hilfstabellen_Mat&amp;Bem'!f.Rd.3/'Hilfstabellen_Mat&amp;Bem'!$BD$30)</f>
        <v>2.4361044216311742</v>
      </c>
      <c r="DB34" s="553">
        <f>0.5*(1+'Hilfstabellen_Mat&amp;Bem'!$BD$31*(DA34-0.3)+DA34^2)</f>
        <v>3.5741075976270378</v>
      </c>
      <c r="DC34" s="550">
        <f t="shared" si="41"/>
        <v>0.16156711811234914</v>
      </c>
      <c r="DE34" s="551">
        <f t="shared" si="42"/>
        <v>1194.9504055589343</v>
      </c>
      <c r="DH34" s="547">
        <f>'Hilfstabellen_Mat&amp;Bem'!$J$62</f>
        <v>3.9</v>
      </c>
      <c r="DI34" s="546">
        <f t="shared" si="43"/>
        <v>86</v>
      </c>
      <c r="DJ34" s="551">
        <f t="shared" si="44"/>
        <v>157.09298022136326</v>
      </c>
      <c r="DK34" s="553">
        <f>DJ34/PI()*SQRT('Hilfstabellen_Mat&amp;Bem'!f.Rd.3/'Hilfstabellen_Mat&amp;Bem'!$BD$30)</f>
        <v>2.5002124327267312</v>
      </c>
      <c r="DL34" s="553">
        <f>0.5*(1+'Hilfstabellen_Mat&amp;Bem'!$BD$31*(DK34-0.3)+DK34^2)</f>
        <v>3.7355417260169963</v>
      </c>
      <c r="DM34" s="550">
        <f t="shared" si="45"/>
        <v>0.15358606381659873</v>
      </c>
      <c r="DO34" s="551">
        <f t="shared" si="46"/>
        <v>1135.9225279875641</v>
      </c>
      <c r="DR34" s="547">
        <f>'Hilfstabellen_Mat&amp;Bem'!$J$63</f>
        <v>4</v>
      </c>
      <c r="DS34" s="546">
        <f t="shared" si="47"/>
        <v>86</v>
      </c>
      <c r="DT34" s="551">
        <f t="shared" si="48"/>
        <v>161.12100535524439</v>
      </c>
      <c r="DU34" s="553">
        <f>DT34/PI()*SQRT('Hilfstabellen_Mat&amp;Bem'!f.Rd.3/'Hilfstabellen_Mat&amp;Bem'!$BD$30)</f>
        <v>2.5643204438222886</v>
      </c>
      <c r="DV34" s="553">
        <f>0.5*(1+'Hilfstabellen_Mat&amp;Bem'!$BD$31*(DU34-0.3)+DU34^2)</f>
        <v>3.9010856914935843</v>
      </c>
      <c r="DW34" s="550">
        <f t="shared" si="49"/>
        <v>0.14617878920448651</v>
      </c>
      <c r="DY34" s="551">
        <f t="shared" si="50"/>
        <v>1081.1383249563823</v>
      </c>
      <c r="EB34" s="547">
        <f>'Hilfstabellen_Mat&amp;Bem'!$J$64</f>
        <v>4.0999999999999996</v>
      </c>
      <c r="EC34" s="546">
        <f t="shared" si="51"/>
        <v>86</v>
      </c>
      <c r="ED34" s="551">
        <f t="shared" si="52"/>
        <v>165.14903048912552</v>
      </c>
      <c r="EE34" s="553">
        <f>ED34/PI()*SQRT('Hilfstabellen_Mat&amp;Bem'!f.Rd.3/'Hilfstabellen_Mat&amp;Bem'!$BD$30)</f>
        <v>2.6284284549178465</v>
      </c>
      <c r="EF34" s="553">
        <f>0.5*(1+'Hilfstabellen_Mat&amp;Bem'!$BD$31*(EE34-0.3)+EE34^2)</f>
        <v>4.0707394940568014</v>
      </c>
      <c r="EG34" s="550">
        <f t="shared" si="53"/>
        <v>0.1392920437850422</v>
      </c>
      <c r="EI34" s="551">
        <f t="shared" si="54"/>
        <v>1030.2039558341721</v>
      </c>
      <c r="EL34" s="547">
        <f>'Hilfstabellen_Mat&amp;Bem'!$J$65</f>
        <v>4.2</v>
      </c>
      <c r="EM34" s="546">
        <f t="shared" si="55"/>
        <v>86</v>
      </c>
      <c r="EN34" s="551">
        <f t="shared" si="56"/>
        <v>169.17705562300662</v>
      </c>
      <c r="EO34" s="553">
        <f>EN34/PI()*SQRT('Hilfstabellen_Mat&amp;Bem'!f.Rd.3/'Hilfstabellen_Mat&amp;Bem'!$BD$30)</f>
        <v>2.6925364660134035</v>
      </c>
      <c r="EP34" s="553">
        <f>0.5*(1+'Hilfstabellen_Mat&amp;Bem'!$BD$31*(EO34-0.3)+EO34^2)</f>
        <v>4.2445031337066439</v>
      </c>
      <c r="EQ34" s="550">
        <f t="shared" si="57"/>
        <v>0.13287853917398826</v>
      </c>
      <c r="ES34" s="551">
        <f t="shared" si="58"/>
        <v>982.7696757308172</v>
      </c>
    </row>
    <row r="35" spans="3:149">
      <c r="C35" s="546">
        <v>87</v>
      </c>
      <c r="D35" s="551">
        <f t="shared" si="8"/>
        <v>111.48832784351394</v>
      </c>
      <c r="E35" s="553">
        <f>$D35/PI()*SQRT('Hilfstabellen_Mat&amp;Bem'!f.Rd.3/'Hilfstabellen_Mat&amp;Bem'!$BD$30)</f>
        <v>1.7743918473345035</v>
      </c>
      <c r="F35" s="553">
        <f>0.5*(1+'Hilfstabellen_Mat&amp;Bem'!$BD$31*($E35-0.3)+$E35^2)</f>
        <v>2.1479528063103013</v>
      </c>
      <c r="G35" s="550">
        <f t="shared" si="9"/>
        <v>0.29775891866623166</v>
      </c>
      <c r="I35" s="551">
        <f t="shared" si="59"/>
        <v>2253.7372553847076</v>
      </c>
      <c r="M35" s="546">
        <f t="shared" si="11"/>
        <v>87</v>
      </c>
      <c r="N35" s="551">
        <f t="shared" si="0"/>
        <v>115.47005383792515</v>
      </c>
      <c r="O35" s="553">
        <f>$N35/PI()*SQRT('Hilfstabellen_Mat&amp;Bem'!f.Rd.3/'Hilfstabellen_Mat&amp;Bem'!$BD$30)</f>
        <v>1.8377629847393071</v>
      </c>
      <c r="P35" s="553">
        <f>0.5*(1+'Hilfstabellen_Mat&amp;Bem'!$BD$31*($O35-0.3)+$O35^2)</f>
        <v>2.2655745432759287</v>
      </c>
      <c r="Q35" s="550">
        <f t="shared" si="1"/>
        <v>0.27851192942466541</v>
      </c>
      <c r="S35" s="551">
        <f t="shared" si="60"/>
        <v>2108.0567938152926</v>
      </c>
      <c r="W35" s="546">
        <f t="shared" si="13"/>
        <v>87</v>
      </c>
      <c r="X35" s="551">
        <f t="shared" si="2"/>
        <v>119.45177983233637</v>
      </c>
      <c r="Y35" s="553">
        <f>$X35/PI()*SQRT('Hilfstabellen_Mat&amp;Bem'!f.Rd.3/'Hilfstabellen_Mat&amp;Bem'!$BD$30)</f>
        <v>1.9011341221441107</v>
      </c>
      <c r="Z35" s="553">
        <f>0.5*(1+'Hilfstabellen_Mat&amp;Bem'!$BD$31*($Y35-0.3)+$Y35^2)</f>
        <v>2.3872121812975347</v>
      </c>
      <c r="AA35" s="550">
        <f t="shared" si="3"/>
        <v>0.26102968424490225</v>
      </c>
      <c r="AC35" s="551">
        <f t="shared" si="61"/>
        <v>1975.7336800496651</v>
      </c>
      <c r="AG35" s="546">
        <f t="shared" si="15"/>
        <v>87</v>
      </c>
      <c r="AH35" s="551">
        <f t="shared" si="4"/>
        <v>123.43350582674756</v>
      </c>
      <c r="AI35" s="553">
        <f>$AH35/PI()*SQRT('Hilfstabellen_Mat&amp;Bem'!f.Rd.3/'Hilfstabellen_Mat&amp;Bem'!$BD$30)</f>
        <v>1.9645052595489141</v>
      </c>
      <c r="AJ35" s="553">
        <f>0.5*(1+'Hilfstabellen_Mat&amp;Bem'!$BD$31*($AI35-0.3)+$AI35^2)</f>
        <v>2.5128657203751188</v>
      </c>
      <c r="AK35" s="550">
        <f t="shared" si="5"/>
        <v>0.24511139299444371</v>
      </c>
      <c r="AM35" s="551">
        <f t="shared" si="62"/>
        <v>1855.2481335749444</v>
      </c>
      <c r="AQ35" s="546">
        <f t="shared" si="17"/>
        <v>87</v>
      </c>
      <c r="AR35" s="551">
        <f t="shared" si="6"/>
        <v>127.41523182115877</v>
      </c>
      <c r="AS35" s="553">
        <f>$AR35/PI()*SQRT('Hilfstabellen_Mat&amp;Bem'!f.Rd.3/'Hilfstabellen_Mat&amp;Bem'!$BD$30)</f>
        <v>2.0278763969537179</v>
      </c>
      <c r="AT35" s="553">
        <f>0.5*(1+'Hilfstabellen_Mat&amp;Bem'!$BD$31*($AS35-0.3)+$AS35^2)</f>
        <v>2.6425351605086824</v>
      </c>
      <c r="AU35" s="550">
        <f t="shared" si="7"/>
        <v>0.23058200068741272</v>
      </c>
      <c r="AW35" s="551">
        <f t="shared" si="63"/>
        <v>1745.275163203027</v>
      </c>
      <c r="AZ35" s="547">
        <f>'Hilfstabellen_Mat&amp;Bem'!$J$56</f>
        <v>3.3</v>
      </c>
      <c r="BA35" s="546">
        <f t="shared" si="19"/>
        <v>87</v>
      </c>
      <c r="BB35" s="551">
        <f t="shared" si="20"/>
        <v>131.39695781556998</v>
      </c>
      <c r="BC35" s="553">
        <f>BB35/PI()*SQRT('Hilfstabellen_Mat&amp;Bem'!f.Rd.3/'Hilfstabellen_Mat&amp;Bem'!$BD$30)</f>
        <v>2.0912475343585215</v>
      </c>
      <c r="BD35" s="553">
        <f>0.5*(1+'Hilfstabellen_Mat&amp;Bem'!$BD$31*(BC35-0.3)+BC35^2)</f>
        <v>2.7762205016982238</v>
      </c>
      <c r="BE35" s="550">
        <f t="shared" si="21"/>
        <v>0.21728889828158771</v>
      </c>
      <c r="BG35" s="551">
        <f t="shared" si="22"/>
        <v>1644.6596710933372</v>
      </c>
      <c r="BJ35" s="547">
        <f>'Hilfstabellen_Mat&amp;Bem'!$J$57</f>
        <v>3.4</v>
      </c>
      <c r="BK35" s="546">
        <f t="shared" si="23"/>
        <v>87</v>
      </c>
      <c r="BL35" s="551">
        <f t="shared" si="24"/>
        <v>135.3786838099812</v>
      </c>
      <c r="BM35" s="553">
        <f>BL35/PI()*SQRT('Hilfstabellen_Mat&amp;Bem'!f.Rd.3/'Hilfstabellen_Mat&amp;Bem'!$BD$30)</f>
        <v>2.1546186717633251</v>
      </c>
      <c r="BN35" s="553">
        <f>0.5*(1+'Hilfstabellen_Mat&amp;Bem'!$BD$31*(BM35-0.3)+BM35^2)</f>
        <v>2.9139217439437441</v>
      </c>
      <c r="BO35" s="550">
        <f t="shared" si="25"/>
        <v>0.20509892248294967</v>
      </c>
      <c r="BQ35" s="551">
        <f t="shared" si="26"/>
        <v>1552.3937442734461</v>
      </c>
      <c r="BT35" s="547">
        <f>'Hilfstabellen_Mat&amp;Bem'!$J$58</f>
        <v>3.5</v>
      </c>
      <c r="BU35" s="546">
        <f t="shared" si="27"/>
        <v>87</v>
      </c>
      <c r="BV35" s="551">
        <f t="shared" si="28"/>
        <v>139.36040980439242</v>
      </c>
      <c r="BW35" s="553">
        <f>BV35/PI()*SQRT('Hilfstabellen_Mat&amp;Bem'!f.Rd.3/'Hilfstabellen_Mat&amp;Bem'!$BD$30)</f>
        <v>2.2179898091681287</v>
      </c>
      <c r="BX35" s="553">
        <f>0.5*(1+'Hilfstabellen_Mat&amp;Bem'!$BD$31*(BW35-0.3)+BW35^2)</f>
        <v>3.0556388872452427</v>
      </c>
      <c r="BY35" s="550">
        <f t="shared" si="29"/>
        <v>0.19389569809126755</v>
      </c>
      <c r="CA35" s="551">
        <f t="shared" si="30"/>
        <v>1467.5965388528041</v>
      </c>
      <c r="CD35" s="547">
        <f>'Hilfstabellen_Mat&amp;Bem'!$J$59</f>
        <v>3.6</v>
      </c>
      <c r="CE35" s="546">
        <f t="shared" si="31"/>
        <v>87</v>
      </c>
      <c r="CF35" s="551">
        <f t="shared" si="32"/>
        <v>143.34213579880364</v>
      </c>
      <c r="CG35" s="553">
        <f>CF35/PI()*SQRT('Hilfstabellen_Mat&amp;Bem'!f.Rd.3/'Hilfstabellen_Mat&amp;Bem'!$BD$30)</f>
        <v>2.2813609465729328</v>
      </c>
      <c r="CH35" s="553">
        <f>0.5*(1+'Hilfstabellen_Mat&amp;Bem'!$BD$31*(CG35-0.3)+CG35^2)</f>
        <v>3.2013719316027207</v>
      </c>
      <c r="CI35" s="550">
        <f t="shared" si="33"/>
        <v>0.18357732316929629</v>
      </c>
      <c r="CK35" s="551">
        <f t="shared" si="34"/>
        <v>1389.4967590684037</v>
      </c>
      <c r="CN35" s="547">
        <f>'Hilfstabellen_Mat&amp;Bem'!$J$60</f>
        <v>3.7</v>
      </c>
      <c r="CO35" s="546">
        <f t="shared" si="35"/>
        <v>87</v>
      </c>
      <c r="CP35" s="551">
        <f t="shared" si="36"/>
        <v>147.32386179321486</v>
      </c>
      <c r="CQ35" s="553">
        <f>CP35/PI()*SQRT('Hilfstabellen_Mat&amp;Bem'!f.Rd.3/'Hilfstabellen_Mat&amp;Bem'!$BD$30)</f>
        <v>2.3447320839777368</v>
      </c>
      <c r="CR35" s="553">
        <f>0.5*(1+'Hilfstabellen_Mat&amp;Bem'!$BD$31*(CQ35-0.3)+CQ35^2)</f>
        <v>3.3511208770161773</v>
      </c>
      <c r="CS35" s="550">
        <f t="shared" si="37"/>
        <v>0.17405437263405443</v>
      </c>
      <c r="CU35" s="551">
        <f t="shared" si="38"/>
        <v>1317.417546467158</v>
      </c>
      <c r="CX35" s="547">
        <f>'Hilfstabellen_Mat&amp;Bem'!$J$61</f>
        <v>3.8</v>
      </c>
      <c r="CY35" s="546">
        <f t="shared" si="39"/>
        <v>87</v>
      </c>
      <c r="CZ35" s="551">
        <f t="shared" si="40"/>
        <v>151.30558778762605</v>
      </c>
      <c r="DA35" s="553">
        <f>CZ35/PI()*SQRT('Hilfstabellen_Mat&amp;Bem'!f.Rd.3/'Hilfstabellen_Mat&amp;Bem'!$BD$30)</f>
        <v>2.40810322138254</v>
      </c>
      <c r="DB35" s="553">
        <f>0.5*(1+'Hilfstabellen_Mat&amp;Bem'!$BD$31*(DA35-0.3)+DA35^2)</f>
        <v>3.5048857234856103</v>
      </c>
      <c r="DC35" s="550">
        <f t="shared" si="41"/>
        <v>0.16524818616692194</v>
      </c>
      <c r="DE35" s="551">
        <f t="shared" si="42"/>
        <v>1250.7635210974322</v>
      </c>
      <c r="DH35" s="547">
        <f>'Hilfstabellen_Mat&amp;Bem'!$J$62</f>
        <v>3.9</v>
      </c>
      <c r="DI35" s="546">
        <f t="shared" si="43"/>
        <v>87</v>
      </c>
      <c r="DJ35" s="551">
        <f t="shared" si="44"/>
        <v>155.28731378203727</v>
      </c>
      <c r="DK35" s="553">
        <f>DJ35/PI()*SQRT('Hilfstabellen_Mat&amp;Bem'!f.Rd.3/'Hilfstabellen_Mat&amp;Bem'!$BD$30)</f>
        <v>2.471474358787344</v>
      </c>
      <c r="DL35" s="553">
        <f>0.5*(1+'Hilfstabellen_Mat&amp;Bem'!$BD$31*(DK35-0.3)+DK35^2)</f>
        <v>3.6626664710110237</v>
      </c>
      <c r="DM35" s="550">
        <f t="shared" si="45"/>
        <v>0.1570894042982533</v>
      </c>
      <c r="DO35" s="551">
        <f t="shared" si="46"/>
        <v>1189.0097011334792</v>
      </c>
      <c r="DR35" s="547">
        <f>'Hilfstabellen_Mat&amp;Bem'!$J$63</f>
        <v>4</v>
      </c>
      <c r="DS35" s="546">
        <f t="shared" si="47"/>
        <v>87</v>
      </c>
      <c r="DT35" s="551">
        <f t="shared" si="48"/>
        <v>159.26903977644847</v>
      </c>
      <c r="DU35" s="553">
        <f>DT35/PI()*SQRT('Hilfstabellen_Mat&amp;Bem'!f.Rd.3/'Hilfstabellen_Mat&amp;Bem'!$BD$30)</f>
        <v>2.5348454961921476</v>
      </c>
      <c r="DV35" s="553">
        <f>0.5*(1+'Hilfstabellen_Mat&amp;Bem'!$BD$31*(DU35-0.3)+DU35^2)</f>
        <v>3.8244631195924148</v>
      </c>
      <c r="DW35" s="550">
        <f t="shared" si="49"/>
        <v>0.14951671820092299</v>
      </c>
      <c r="DY35" s="551">
        <f t="shared" si="50"/>
        <v>1131.6920400627862</v>
      </c>
      <c r="EB35" s="547">
        <f>'Hilfstabellen_Mat&amp;Bem'!$J$64</f>
        <v>4.0999999999999996</v>
      </c>
      <c r="EC35" s="546">
        <f t="shared" si="51"/>
        <v>87</v>
      </c>
      <c r="ED35" s="551">
        <f t="shared" si="52"/>
        <v>163.25076577085969</v>
      </c>
      <c r="EE35" s="553">
        <f>ED35/PI()*SQRT('Hilfstabellen_Mat&amp;Bem'!f.Rd.3/'Hilfstabellen_Mat&amp;Bem'!$BD$30)</f>
        <v>2.5982166335969512</v>
      </c>
      <c r="EF35" s="553">
        <f>0.5*(1+'Hilfstabellen_Mat&amp;Bem'!$BD$31*(EE35-0.3)+EE35^2)</f>
        <v>3.9902756692297845</v>
      </c>
      <c r="EG35" s="550">
        <f t="shared" si="53"/>
        <v>0.14247580202212129</v>
      </c>
      <c r="EI35" s="551">
        <f t="shared" si="54"/>
        <v>1078.399345505436</v>
      </c>
      <c r="EL35" s="547">
        <f>'Hilfstabellen_Mat&amp;Bem'!$J$65</f>
        <v>4.2</v>
      </c>
      <c r="EM35" s="546">
        <f t="shared" si="55"/>
        <v>87</v>
      </c>
      <c r="EN35" s="551">
        <f t="shared" si="56"/>
        <v>167.23249176527091</v>
      </c>
      <c r="EO35" s="553">
        <f>EN35/PI()*SQRT('Hilfstabellen_Mat&amp;Bem'!f.Rd.3/'Hilfstabellen_Mat&amp;Bem'!$BD$30)</f>
        <v>2.6615877710017548</v>
      </c>
      <c r="EP35" s="553">
        <f>0.5*(1+'Hilfstabellen_Mat&amp;Bem'!$BD$31*(EO35-0.3)+EO35^2)</f>
        <v>4.1601041199231323</v>
      </c>
      <c r="EQ35" s="550">
        <f t="shared" si="57"/>
        <v>0.13591840039270667</v>
      </c>
      <c r="ES35" s="551">
        <f t="shared" si="58"/>
        <v>1028.7663725723967</v>
      </c>
    </row>
    <row r="36" spans="3:149">
      <c r="C36" s="546">
        <v>88</v>
      </c>
      <c r="D36" s="551">
        <f t="shared" si="8"/>
        <v>110.22141502711037</v>
      </c>
      <c r="E36" s="553">
        <f>$D36/PI()*SQRT('Hilfstabellen_Mat&amp;Bem'!f.Rd.3/'Hilfstabellen_Mat&amp;Bem'!$BD$30)</f>
        <v>1.754228303614793</v>
      </c>
      <c r="F36" s="553">
        <f>0.5*(1+'Hilfstabellen_Mat&amp;Bem'!$BD$31*($E36-0.3)+$E36^2)</f>
        <v>2.1113698857823566</v>
      </c>
      <c r="G36" s="550">
        <f t="shared" si="9"/>
        <v>0.30428944197667712</v>
      </c>
      <c r="I36" s="551">
        <f t="shared" si="59"/>
        <v>2356.4174386673876</v>
      </c>
      <c r="M36" s="546">
        <f t="shared" si="11"/>
        <v>88</v>
      </c>
      <c r="N36" s="551">
        <f t="shared" si="0"/>
        <v>114.15789413522144</v>
      </c>
      <c r="O36" s="553">
        <f>$N36/PI()*SQRT('Hilfstabellen_Mat&amp;Bem'!f.Rd.3/'Hilfstabellen_Mat&amp;Bem'!$BD$30)</f>
        <v>1.8168793144581781</v>
      </c>
      <c r="P36" s="553">
        <f>0.5*(1+'Hilfstabellen_Mat&amp;Bem'!$BD$31*($O36-0.3)+$O36^2)</f>
        <v>2.2263691873759184</v>
      </c>
      <c r="Q36" s="550">
        <f t="shared" si="1"/>
        <v>0.284649101868171</v>
      </c>
      <c r="S36" s="551">
        <f t="shared" si="60"/>
        <v>2204.3226448671162</v>
      </c>
      <c r="W36" s="546">
        <f t="shared" si="13"/>
        <v>88</v>
      </c>
      <c r="X36" s="551">
        <f t="shared" si="2"/>
        <v>118.09437324333254</v>
      </c>
      <c r="Y36" s="553">
        <f>$X36/PI()*SQRT('Hilfstabellen_Mat&amp;Bem'!f.Rd.3/'Hilfstabellen_Mat&amp;Bem'!$BD$30)</f>
        <v>1.8795303253015641</v>
      </c>
      <c r="Z36" s="553">
        <f>0.5*(1+'Hilfstabellen_Mat&amp;Bem'!$BD$31*($Y36-0.3)+$Y36^2)</f>
        <v>2.3452936381291796</v>
      </c>
      <c r="AA36" s="550">
        <f t="shared" si="3"/>
        <v>0.2668043247232692</v>
      </c>
      <c r="AC36" s="551">
        <f t="shared" si="61"/>
        <v>2066.1326906569966</v>
      </c>
      <c r="AG36" s="546">
        <f t="shared" si="15"/>
        <v>88</v>
      </c>
      <c r="AH36" s="551">
        <f t="shared" si="4"/>
        <v>122.03085235144361</v>
      </c>
      <c r="AI36" s="553">
        <f>$AH36/PI()*SQRT('Hilfstabellen_Mat&amp;Bem'!f.Rd.3/'Hilfstabellen_Mat&amp;Bem'!$BD$30)</f>
        <v>1.9421813361449491</v>
      </c>
      <c r="AJ36" s="553">
        <f>0.5*(1+'Hilfstabellen_Mat&amp;Bem'!$BD$31*($AI36-0.3)+$AI36^2)</f>
        <v>2.4681432380421375</v>
      </c>
      <c r="AK36" s="550">
        <f t="shared" si="5"/>
        <v>0.25055202051002162</v>
      </c>
      <c r="AM36" s="551">
        <f t="shared" si="62"/>
        <v>1940.2748468296074</v>
      </c>
      <c r="AQ36" s="546">
        <f t="shared" si="17"/>
        <v>88</v>
      </c>
      <c r="AR36" s="551">
        <f t="shared" si="6"/>
        <v>125.96733145955471</v>
      </c>
      <c r="AS36" s="553">
        <f>$AR36/PI()*SQRT('Hilfstabellen_Mat&amp;Bem'!f.Rd.3/'Hilfstabellen_Mat&amp;Bem'!$BD$30)</f>
        <v>2.0048323469883349</v>
      </c>
      <c r="AT36" s="553">
        <f>0.5*(1+'Hilfstabellen_Mat&amp;Bem'!$BD$31*($AS36-0.3)+$AS36^2)</f>
        <v>2.5949179871147945</v>
      </c>
      <c r="AU36" s="550">
        <f t="shared" si="7"/>
        <v>0.23571479564656136</v>
      </c>
      <c r="AW36" s="551">
        <f t="shared" si="63"/>
        <v>1825.3753774869713</v>
      </c>
      <c r="AZ36" s="547">
        <f>'Hilfstabellen_Mat&amp;Bem'!$J$56</f>
        <v>3.3</v>
      </c>
      <c r="BA36" s="546">
        <f t="shared" si="19"/>
        <v>88</v>
      </c>
      <c r="BB36" s="551">
        <f t="shared" si="20"/>
        <v>129.9038105676658</v>
      </c>
      <c r="BC36" s="553">
        <f>BB36/PI()*SQRT('Hilfstabellen_Mat&amp;Bem'!f.Rd.3/'Hilfstabellen_Mat&amp;Bem'!$BD$30)</f>
        <v>2.0674833578317204</v>
      </c>
      <c r="BD36" s="553">
        <f>0.5*(1+'Hilfstabellen_Mat&amp;Bem'!$BD$31*(BC36-0.3)+BC36^2)</f>
        <v>2.7256178853471487</v>
      </c>
      <c r="BE36" s="550">
        <f t="shared" si="21"/>
        <v>0.22213777898364473</v>
      </c>
      <c r="BG36" s="551">
        <f t="shared" si="22"/>
        <v>1720.2349604493447</v>
      </c>
      <c r="BJ36" s="547">
        <f>'Hilfstabellen_Mat&amp;Bem'!$J$57</f>
        <v>3.4</v>
      </c>
      <c r="BK36" s="546">
        <f t="shared" si="23"/>
        <v>88</v>
      </c>
      <c r="BL36" s="551">
        <f t="shared" si="24"/>
        <v>133.84028967577686</v>
      </c>
      <c r="BM36" s="553">
        <f>BL36/PI()*SQRT('Hilfstabellen_Mat&amp;Bem'!f.Rd.3/'Hilfstabellen_Mat&amp;Bem'!$BD$30)</f>
        <v>2.1301343686751055</v>
      </c>
      <c r="BN36" s="553">
        <f>0.5*(1+'Hilfstabellen_Mat&amp;Bem'!$BD$31*(BM36-0.3)+BM36^2)</f>
        <v>2.8602429327392001</v>
      </c>
      <c r="BO36" s="550">
        <f t="shared" si="25"/>
        <v>0.20968568053889369</v>
      </c>
      <c r="BQ36" s="551">
        <f t="shared" si="26"/>
        <v>1623.8059100931928</v>
      </c>
      <c r="BT36" s="547">
        <f>'Hilfstabellen_Mat&amp;Bem'!$J$58</f>
        <v>3.5</v>
      </c>
      <c r="BU36" s="546">
        <f t="shared" si="27"/>
        <v>88</v>
      </c>
      <c r="BV36" s="551">
        <f t="shared" si="28"/>
        <v>137.77676878388797</v>
      </c>
      <c r="BW36" s="553">
        <f>BV36/PI()*SQRT('Hilfstabellen_Mat&amp;Bem'!f.Rd.3/'Hilfstabellen_Mat&amp;Bem'!$BD$30)</f>
        <v>2.1927853795184915</v>
      </c>
      <c r="BX36" s="553">
        <f>0.5*(1+'Hilfstabellen_Mat&amp;Bem'!$BD$31*(BW36-0.3)+BW36^2)</f>
        <v>2.9987931292909518</v>
      </c>
      <c r="BY36" s="550">
        <f t="shared" si="29"/>
        <v>0.19824015997863076</v>
      </c>
      <c r="CA36" s="551">
        <f t="shared" si="30"/>
        <v>1535.1717988745165</v>
      </c>
      <c r="CD36" s="547">
        <f>'Hilfstabellen_Mat&amp;Bem'!$J$59</f>
        <v>3.6</v>
      </c>
      <c r="CE36" s="546">
        <f t="shared" si="31"/>
        <v>88</v>
      </c>
      <c r="CF36" s="551">
        <f t="shared" si="32"/>
        <v>141.71324789199903</v>
      </c>
      <c r="CG36" s="553">
        <f>CF36/PI()*SQRT('Hilfstabellen_Mat&amp;Bem'!f.Rd.3/'Hilfstabellen_Mat&amp;Bem'!$BD$30)</f>
        <v>2.2554363903618766</v>
      </c>
      <c r="CH36" s="553">
        <f>0.5*(1+'Hilfstabellen_Mat&amp;Bem'!$BD$31*(CG36-0.3)+CG36^2)</f>
        <v>3.1412684750023994</v>
      </c>
      <c r="CI36" s="550">
        <f t="shared" si="33"/>
        <v>0.18769751904496917</v>
      </c>
      <c r="CK36" s="551">
        <f t="shared" si="34"/>
        <v>1453.5295874842413</v>
      </c>
      <c r="CN36" s="547">
        <f>'Hilfstabellen_Mat&amp;Bem'!$J$60</f>
        <v>3.7</v>
      </c>
      <c r="CO36" s="546">
        <f t="shared" si="35"/>
        <v>88</v>
      </c>
      <c r="CP36" s="551">
        <f t="shared" si="36"/>
        <v>145.64972700011012</v>
      </c>
      <c r="CQ36" s="553">
        <f>CP36/PI()*SQRT('Hilfstabellen_Mat&amp;Bem'!f.Rd.3/'Hilfstabellen_Mat&amp;Bem'!$BD$30)</f>
        <v>2.3180874012052621</v>
      </c>
      <c r="CR36" s="553">
        <f>0.5*(1+'Hilfstabellen_Mat&amp;Bem'!$BD$31*(CQ36-0.3)+CQ36^2)</f>
        <v>3.287668969873546</v>
      </c>
      <c r="CS36" s="550">
        <f t="shared" si="37"/>
        <v>0.17796670181955543</v>
      </c>
      <c r="CU36" s="551">
        <f t="shared" si="38"/>
        <v>1378.1741388906373</v>
      </c>
      <c r="CX36" s="547">
        <f>'Hilfstabellen_Mat&amp;Bem'!$J$61</f>
        <v>3.8</v>
      </c>
      <c r="CY36" s="546">
        <f t="shared" si="39"/>
        <v>88</v>
      </c>
      <c r="CZ36" s="551">
        <f t="shared" si="40"/>
        <v>149.58620610822121</v>
      </c>
      <c r="DA36" s="553">
        <f>CZ36/PI()*SQRT('Hilfstabellen_Mat&amp;Bem'!f.Rd.3/'Hilfstabellen_Mat&amp;Bem'!$BD$30)</f>
        <v>2.3807384120486477</v>
      </c>
      <c r="DB36" s="553">
        <f>0.5*(1+'Hilfstabellen_Mat&amp;Bem'!$BD$31*(DA36-0.3)+DA36^2)</f>
        <v>3.4379946139043907</v>
      </c>
      <c r="DC36" s="550">
        <f t="shared" si="41"/>
        <v>0.16896757366913151</v>
      </c>
      <c r="DE36" s="551">
        <f t="shared" si="42"/>
        <v>1308.4848904937544</v>
      </c>
      <c r="DH36" s="547">
        <f>'Hilfstabellen_Mat&amp;Bem'!$J$62</f>
        <v>3.9</v>
      </c>
      <c r="DI36" s="546">
        <f t="shared" si="43"/>
        <v>88</v>
      </c>
      <c r="DJ36" s="551">
        <f t="shared" si="44"/>
        <v>153.52268521633229</v>
      </c>
      <c r="DK36" s="553">
        <f>DJ36/PI()*SQRT('Hilfstabellen_Mat&amp;Bem'!f.Rd.3/'Hilfstabellen_Mat&amp;Bem'!$BD$30)</f>
        <v>2.4433894228920328</v>
      </c>
      <c r="DL36" s="553">
        <f>0.5*(1+'Hilfstabellen_Mat&amp;Bem'!$BD$31*(DK36-0.3)+DK36^2)</f>
        <v>3.5922454070949321</v>
      </c>
      <c r="DM36" s="550">
        <f t="shared" si="45"/>
        <v>0.16062944566995455</v>
      </c>
      <c r="DO36" s="551">
        <f t="shared" si="46"/>
        <v>1243.9144272681281</v>
      </c>
      <c r="DR36" s="547">
        <f>'Hilfstabellen_Mat&amp;Bem'!$J$63</f>
        <v>4</v>
      </c>
      <c r="DS36" s="546">
        <f t="shared" si="47"/>
        <v>88</v>
      </c>
      <c r="DT36" s="551">
        <f t="shared" si="48"/>
        <v>157.45916432444338</v>
      </c>
      <c r="DU36" s="553">
        <f>DT36/PI()*SQRT('Hilfstabellen_Mat&amp;Bem'!f.Rd.3/'Hilfstabellen_Mat&amp;Bem'!$BD$30)</f>
        <v>2.5060404337354183</v>
      </c>
      <c r="DV36" s="553">
        <f>0.5*(1+'Hilfstabellen_Mat&amp;Bem'!$BD$31*(DU36-0.3)+DU36^2)</f>
        <v>3.7504213494451726</v>
      </c>
      <c r="DW36" s="550">
        <f t="shared" si="49"/>
        <v>0.15288981177425243</v>
      </c>
      <c r="DY36" s="551">
        <f t="shared" si="50"/>
        <v>1183.9787023798108</v>
      </c>
      <c r="EB36" s="547">
        <f>'Hilfstabellen_Mat&amp;Bem'!$J$64</f>
        <v>4.0999999999999996</v>
      </c>
      <c r="EC36" s="546">
        <f t="shared" si="51"/>
        <v>88</v>
      </c>
      <c r="ED36" s="551">
        <f t="shared" si="52"/>
        <v>161.39564343255446</v>
      </c>
      <c r="EE36" s="553">
        <f>ED36/PI()*SQRT('Hilfstabellen_Mat&amp;Bem'!f.Rd.3/'Hilfstabellen_Mat&amp;Bem'!$BD$30)</f>
        <v>2.5686914445788038</v>
      </c>
      <c r="EF36" s="553">
        <f>0.5*(1+'Hilfstabellen_Mat&amp;Bem'!$BD$31*(EE36-0.3)+EE36^2)</f>
        <v>3.9125224409551116</v>
      </c>
      <c r="EG36" s="550">
        <f t="shared" si="53"/>
        <v>0.1456932685412331</v>
      </c>
      <c r="EI36" s="551">
        <f t="shared" si="54"/>
        <v>1128.248671583309</v>
      </c>
      <c r="EL36" s="547">
        <f>'Hilfstabellen_Mat&amp;Bem'!$J$65</f>
        <v>4.2</v>
      </c>
      <c r="EM36" s="546">
        <f t="shared" si="55"/>
        <v>88</v>
      </c>
      <c r="EN36" s="551">
        <f t="shared" si="56"/>
        <v>165.33212254066555</v>
      </c>
      <c r="EO36" s="553">
        <f>EN36/PI()*SQRT('Hilfstabellen_Mat&amp;Bem'!f.Rd.3/'Hilfstabellen_Mat&amp;Bem'!$BD$30)</f>
        <v>2.6313424554221894</v>
      </c>
      <c r="EP36" s="553">
        <f>0.5*(1+'Hilfstabellen_Mat&amp;Bem'!$BD$31*(EO36-0.3)+EO36^2)</f>
        <v>4.0785486816247474</v>
      </c>
      <c r="EQ36" s="550">
        <f t="shared" si="57"/>
        <v>0.13899059061867322</v>
      </c>
      <c r="ES36" s="551">
        <f t="shared" si="58"/>
        <v>1076.3431337510053</v>
      </c>
    </row>
    <row r="37" spans="3:149">
      <c r="C37" s="546">
        <v>89</v>
      </c>
      <c r="D37" s="551">
        <f t="shared" si="8"/>
        <v>108.98297216163721</v>
      </c>
      <c r="E37" s="553">
        <f>$D37/PI()*SQRT('Hilfstabellen_Mat&amp;Bem'!f.Rd.3/'Hilfstabellen_Mat&amp;Bem'!$BD$30)</f>
        <v>1.7345178732370983</v>
      </c>
      <c r="F37" s="553">
        <f>0.5*(1+'Hilfstabellen_Mat&amp;Bem'!$BD$31*($E37-0.3)+$E37^2)</f>
        <v>2.076002019951328</v>
      </c>
      <c r="G37" s="550">
        <f t="shared" si="9"/>
        <v>0.31087590232194978</v>
      </c>
      <c r="I37" s="551">
        <f t="shared" si="59"/>
        <v>2462.4480222921643</v>
      </c>
      <c r="M37" s="546">
        <f t="shared" si="11"/>
        <v>89</v>
      </c>
      <c r="N37" s="551">
        <f t="shared" si="0"/>
        <v>112.87522116740998</v>
      </c>
      <c r="O37" s="553">
        <f>$N37/PI()*SQRT('Hilfstabellen_Mat&amp;Bem'!f.Rd.3/'Hilfstabellen_Mat&amp;Bem'!$BD$30)</f>
        <v>1.7964649401384236</v>
      </c>
      <c r="P37" s="553">
        <f>0.5*(1+'Hilfstabellen_Mat&amp;Bem'!$BD$31*($O37-0.3)+$O37^2)</f>
        <v>2.1884663875801964</v>
      </c>
      <c r="Q37" s="550">
        <f t="shared" si="1"/>
        <v>0.29084090370142029</v>
      </c>
      <c r="S37" s="551">
        <f t="shared" si="60"/>
        <v>2303.75079821895</v>
      </c>
      <c r="W37" s="546">
        <f t="shared" si="13"/>
        <v>89</v>
      </c>
      <c r="X37" s="551">
        <f t="shared" si="2"/>
        <v>116.76747017318274</v>
      </c>
      <c r="Y37" s="553">
        <f>$X37/PI()*SQRT('Hilfstabellen_Mat&amp;Bem'!f.Rd.3/'Hilfstabellen_Mat&amp;Bem'!$BD$30)</f>
        <v>1.8584120070397487</v>
      </c>
      <c r="Z37" s="553">
        <f>0.5*(1+'Hilfstabellen_Mat&amp;Bem'!$BD$31*($Y37-0.3)+$Y37^2)</f>
        <v>2.3047681943067411</v>
      </c>
      <c r="AA37" s="550">
        <f t="shared" si="3"/>
        <v>0.27263194410341612</v>
      </c>
      <c r="AC37" s="551">
        <f t="shared" si="61"/>
        <v>2159.5176292431593</v>
      </c>
      <c r="AG37" s="546">
        <f t="shared" si="15"/>
        <v>89</v>
      </c>
      <c r="AH37" s="551">
        <f t="shared" si="4"/>
        <v>120.6597191789555</v>
      </c>
      <c r="AI37" s="553">
        <f>$AH37/PI()*SQRT('Hilfstabellen_Mat&amp;Bem'!f.Rd.3/'Hilfstabellen_Mat&amp;Bem'!$BD$30)</f>
        <v>1.9203590739410736</v>
      </c>
      <c r="AJ37" s="553">
        <f>0.5*(1+'Hilfstabellen_Mat&amp;Bem'!$BD$31*($AI37-0.3)+$AI37^2)</f>
        <v>2.4249074401309629</v>
      </c>
      <c r="AK37" s="550">
        <f t="shared" si="5"/>
        <v>0.25604378624207214</v>
      </c>
      <c r="AM37" s="551">
        <f t="shared" si="62"/>
        <v>2028.1228308234533</v>
      </c>
      <c r="AQ37" s="546">
        <f t="shared" si="17"/>
        <v>89</v>
      </c>
      <c r="AR37" s="551">
        <f t="shared" si="6"/>
        <v>124.55196818472825</v>
      </c>
      <c r="AS37" s="553">
        <f>$AR37/PI()*SQRT('Hilfstabellen_Mat&amp;Bem'!f.Rd.3/'Hilfstabellen_Mat&amp;Bem'!$BD$30)</f>
        <v>1.9823061408423985</v>
      </c>
      <c r="AT37" s="553">
        <f>0.5*(1+'Hilfstabellen_Mat&amp;Bem'!$BD$31*($AS37-0.3)+$AS37^2)</f>
        <v>2.5488841250528615</v>
      </c>
      <c r="AU37" s="550">
        <f t="shared" si="7"/>
        <v>0.24089679814741344</v>
      </c>
      <c r="AW37" s="551">
        <f t="shared" si="63"/>
        <v>1908.1435381256617</v>
      </c>
      <c r="AZ37" s="547">
        <f>'Hilfstabellen_Mat&amp;Bem'!$J$56</f>
        <v>3.3</v>
      </c>
      <c r="BA37" s="546">
        <f t="shared" si="19"/>
        <v>89</v>
      </c>
      <c r="BB37" s="551">
        <f t="shared" si="20"/>
        <v>128.44421719050101</v>
      </c>
      <c r="BC37" s="553">
        <f>BB37/PI()*SQRT('Hilfstabellen_Mat&amp;Bem'!f.Rd.3/'Hilfstabellen_Mat&amp;Bem'!$BD$30)</f>
        <v>2.0442532077437234</v>
      </c>
      <c r="BD37" s="553">
        <f>0.5*(1+'Hilfstabellen_Mat&amp;Bem'!$BD$31*(BC37-0.3)+BC37^2)</f>
        <v>2.6766982490724374</v>
      </c>
      <c r="BE37" s="550">
        <f t="shared" si="21"/>
        <v>0.22703391222701919</v>
      </c>
      <c r="BG37" s="551">
        <f t="shared" si="22"/>
        <v>1798.3356187502191</v>
      </c>
      <c r="BJ37" s="547">
        <f>'Hilfstabellen_Mat&amp;Bem'!$J$57</f>
        <v>3.4</v>
      </c>
      <c r="BK37" s="546">
        <f t="shared" si="23"/>
        <v>89</v>
      </c>
      <c r="BL37" s="551">
        <f t="shared" si="24"/>
        <v>132.33646619627376</v>
      </c>
      <c r="BM37" s="553">
        <f>BL37/PI()*SQRT('Hilfstabellen_Mat&amp;Bem'!f.Rd.3/'Hilfstabellen_Mat&amp;Bem'!$BD$30)</f>
        <v>2.1062002746450483</v>
      </c>
      <c r="BN37" s="553">
        <f>0.5*(1+'Hilfstabellen_Mat&amp;Bem'!$BD$31*(BM37-0.3)+BM37^2)</f>
        <v>2.8083498121896908</v>
      </c>
      <c r="BO37" s="550">
        <f t="shared" si="25"/>
        <v>0.21431775449593618</v>
      </c>
      <c r="BQ37" s="551">
        <f t="shared" si="26"/>
        <v>1697.6109333623106</v>
      </c>
      <c r="BT37" s="547">
        <f>'Hilfstabellen_Mat&amp;Bem'!$J$58</f>
        <v>3.5</v>
      </c>
      <c r="BU37" s="546">
        <f t="shared" si="27"/>
        <v>89</v>
      </c>
      <c r="BV37" s="551">
        <f t="shared" si="28"/>
        <v>136.22871520204654</v>
      </c>
      <c r="BW37" s="553">
        <f>BV37/PI()*SQRT('Hilfstabellen_Mat&amp;Bem'!f.Rd.3/'Hilfstabellen_Mat&amp;Bem'!$BD$30)</f>
        <v>2.1681473415463737</v>
      </c>
      <c r="BX37" s="553">
        <f>0.5*(1+'Hilfstabellen_Mat&amp;Bem'!$BD$31*(BW37-0.3)+BW37^2)</f>
        <v>2.9438388144046224</v>
      </c>
      <c r="BY37" s="550">
        <f t="shared" si="29"/>
        <v>0.2026280467668912</v>
      </c>
      <c r="CA37" s="551">
        <f t="shared" si="30"/>
        <v>1605.0167584405451</v>
      </c>
      <c r="CD37" s="547">
        <f>'Hilfstabellen_Mat&amp;Bem'!$J$59</f>
        <v>3.6</v>
      </c>
      <c r="CE37" s="546">
        <f t="shared" si="31"/>
        <v>89</v>
      </c>
      <c r="CF37" s="551">
        <f t="shared" si="32"/>
        <v>140.1209642078193</v>
      </c>
      <c r="CG37" s="553">
        <f>CF37/PI()*SQRT('Hilfstabellen_Mat&amp;Bem'!f.Rd.3/'Hilfstabellen_Mat&amp;Bem'!$BD$30)</f>
        <v>2.2300944084476986</v>
      </c>
      <c r="CH37" s="553">
        <f>0.5*(1+'Hilfstabellen_Mat&amp;Bem'!$BD$31*(CG37-0.3)+CG37^2)</f>
        <v>3.0831652557172302</v>
      </c>
      <c r="CI37" s="550">
        <f t="shared" si="33"/>
        <v>0.19185931135248721</v>
      </c>
      <c r="CK37" s="551">
        <f t="shared" si="34"/>
        <v>1519.7176052230511</v>
      </c>
      <c r="CN37" s="547">
        <f>'Hilfstabellen_Mat&amp;Bem'!$J$60</f>
        <v>3.7</v>
      </c>
      <c r="CO37" s="546">
        <f t="shared" si="35"/>
        <v>89</v>
      </c>
      <c r="CP37" s="551">
        <f t="shared" si="36"/>
        <v>144.01321321359205</v>
      </c>
      <c r="CQ37" s="553">
        <f>CP37/PI()*SQRT('Hilfstabellen_Mat&amp;Bem'!f.Rd.3/'Hilfstabellen_Mat&amp;Bem'!$BD$30)</f>
        <v>2.2920414753490235</v>
      </c>
      <c r="CR37" s="553">
        <f>0.5*(1+'Hilfstabellen_Mat&amp;Bem'!$BD$31*(CQ37-0.3)+CQ37^2)</f>
        <v>3.2263291361275153</v>
      </c>
      <c r="CS37" s="550">
        <f t="shared" si="37"/>
        <v>0.18191887136222715</v>
      </c>
      <c r="CU37" s="551">
        <f t="shared" si="38"/>
        <v>1440.9793800602013</v>
      </c>
      <c r="CX37" s="547">
        <f>'Hilfstabellen_Mat&amp;Bem'!$J$61</f>
        <v>3.8</v>
      </c>
      <c r="CY37" s="546">
        <f t="shared" si="39"/>
        <v>89</v>
      </c>
      <c r="CZ37" s="551">
        <f t="shared" si="40"/>
        <v>147.90546221936481</v>
      </c>
      <c r="DA37" s="553">
        <f>CZ37/PI()*SQRT('Hilfstabellen_Mat&amp;Bem'!f.Rd.3/'Hilfstabellen_Mat&amp;Bem'!$BD$30)</f>
        <v>2.3539885422503484</v>
      </c>
      <c r="DB37" s="553">
        <f>0.5*(1+'Hilfstabellen_Mat&amp;Bem'!$BD$31*(DA37-0.3)+DA37^2)</f>
        <v>3.373330455635478</v>
      </c>
      <c r="DC37" s="550">
        <f t="shared" si="41"/>
        <v>0.17272512295658968</v>
      </c>
      <c r="DE37" s="551">
        <f t="shared" si="42"/>
        <v>1368.1556989391468</v>
      </c>
      <c r="DH37" s="547">
        <f>'Hilfstabellen_Mat&amp;Bem'!$J$62</f>
        <v>3.9</v>
      </c>
      <c r="DI37" s="546">
        <f t="shared" si="43"/>
        <v>89</v>
      </c>
      <c r="DJ37" s="551">
        <f t="shared" si="44"/>
        <v>151.79771122513756</v>
      </c>
      <c r="DK37" s="553">
        <f>DJ37/PI()*SQRT('Hilfstabellen_Mat&amp;Bem'!f.Rd.3/'Hilfstabellen_Mat&amp;Bem'!$BD$30)</f>
        <v>2.4159356091516733</v>
      </c>
      <c r="DL37" s="553">
        <f>0.5*(1+'Hilfstabellen_Mat&amp;Bem'!$BD$31*(DK37-0.3)+DK37^2)</f>
        <v>3.524169214241117</v>
      </c>
      <c r="DM37" s="550">
        <f t="shared" si="45"/>
        <v>0.164206049661305</v>
      </c>
      <c r="DO37" s="551">
        <f t="shared" si="46"/>
        <v>1300.6761193671969</v>
      </c>
      <c r="DR37" s="547">
        <f>'Hilfstabellen_Mat&amp;Bem'!$J$63</f>
        <v>4</v>
      </c>
      <c r="DS37" s="546">
        <f t="shared" si="47"/>
        <v>89</v>
      </c>
      <c r="DT37" s="551">
        <f t="shared" si="48"/>
        <v>155.68996023091032</v>
      </c>
      <c r="DU37" s="553">
        <f>DT37/PI()*SQRT('Hilfstabellen_Mat&amp;Bem'!f.Rd.3/'Hilfstabellen_Mat&amp;Bem'!$BD$30)</f>
        <v>2.4778826760529982</v>
      </c>
      <c r="DV37" s="553">
        <f>0.5*(1+'Hilfstabellen_Mat&amp;Bem'!$BD$31*(DU37-0.3)+DU37^2)</f>
        <v>3.678845411944434</v>
      </c>
      <c r="DW37" s="550">
        <f t="shared" si="49"/>
        <v>0.15629794797083449</v>
      </c>
      <c r="DY37" s="551">
        <f t="shared" si="50"/>
        <v>1238.0360458769801</v>
      </c>
      <c r="EB37" s="547">
        <f>'Hilfstabellen_Mat&amp;Bem'!$J$64</f>
        <v>4.0999999999999996</v>
      </c>
      <c r="EC37" s="546">
        <f t="shared" si="51"/>
        <v>89</v>
      </c>
      <c r="ED37" s="551">
        <f t="shared" si="52"/>
        <v>159.58220923668307</v>
      </c>
      <c r="EE37" s="553">
        <f>ED37/PI()*SQRT('Hilfstabellen_Mat&amp;Bem'!f.Rd.3/'Hilfstabellen_Mat&amp;Bem'!$BD$30)</f>
        <v>2.5398297429543231</v>
      </c>
      <c r="EF37" s="553">
        <f>0.5*(1+'Hilfstabellen_Mat&amp;Bem'!$BD$31*(EE37-0.3)+EE37^2)</f>
        <v>3.8373590487454274</v>
      </c>
      <c r="EG37" s="550">
        <f t="shared" si="53"/>
        <v>0.1489443352127838</v>
      </c>
      <c r="EI37" s="551">
        <f t="shared" si="54"/>
        <v>1179.7880792204605</v>
      </c>
      <c r="EL37" s="547">
        <f>'Hilfstabellen_Mat&amp;Bem'!$J$65</f>
        <v>4.2</v>
      </c>
      <c r="EM37" s="546">
        <f t="shared" si="55"/>
        <v>89</v>
      </c>
      <c r="EN37" s="551">
        <f t="shared" si="56"/>
        <v>163.47445824245582</v>
      </c>
      <c r="EO37" s="553">
        <f>EN37/PI()*SQRT('Hilfstabellen_Mat&amp;Bem'!f.Rd.3/'Hilfstabellen_Mat&amp;Bem'!$BD$30)</f>
        <v>2.601776809855648</v>
      </c>
      <c r="EP37" s="553">
        <f>0.5*(1+'Hilfstabellen_Mat&amp;Bem'!$BD$31*(EO37-0.3)+EO37^2)</f>
        <v>3.9997101246440989</v>
      </c>
      <c r="EQ37" s="550">
        <f t="shared" si="57"/>
        <v>0.14209501350987905</v>
      </c>
      <c r="ES37" s="551">
        <f t="shared" si="58"/>
        <v>1125.534602011752</v>
      </c>
    </row>
    <row r="38" spans="3:149">
      <c r="C38" s="546">
        <v>90</v>
      </c>
      <c r="D38" s="551">
        <f t="shared" si="8"/>
        <v>107.77205024873014</v>
      </c>
      <c r="E38" s="553">
        <f>$D38/PI()*SQRT('Hilfstabellen_Mat&amp;Bem'!f.Rd.3/'Hilfstabellen_Mat&amp;Bem'!$BD$30)</f>
        <v>1.7152454524233531</v>
      </c>
      <c r="F38" s="553">
        <f>0.5*(1+'Hilfstabellen_Mat&amp;Bem'!$BD$31*($E38-0.3)+$E38^2)</f>
        <v>2.0417957536506641</v>
      </c>
      <c r="G38" s="550">
        <f t="shared" si="9"/>
        <v>0.31751734918118685</v>
      </c>
      <c r="I38" s="551">
        <f t="shared" si="59"/>
        <v>2571.8905283676136</v>
      </c>
      <c r="M38" s="546">
        <f t="shared" si="11"/>
        <v>90</v>
      </c>
      <c r="N38" s="551">
        <f t="shared" si="0"/>
        <v>111.62105204332764</v>
      </c>
      <c r="O38" s="553">
        <f>$N38/PI()*SQRT('Hilfstabellen_Mat&amp;Bem'!f.Rd.3/'Hilfstabellen_Mat&amp;Bem'!$BD$30)</f>
        <v>1.77650421858133</v>
      </c>
      <c r="P38" s="553">
        <f>0.5*(1+'Hilfstabellen_Mat&amp;Bem'!$BD$31*($O38-0.3)+$O38^2)</f>
        <v>2.1518088302476972</v>
      </c>
      <c r="Q38" s="550">
        <f t="shared" si="1"/>
        <v>0.29708657676764488</v>
      </c>
      <c r="S38" s="551">
        <f t="shared" si="60"/>
        <v>2406.4012718179238</v>
      </c>
      <c r="W38" s="546">
        <f t="shared" si="13"/>
        <v>90</v>
      </c>
      <c r="X38" s="551">
        <f t="shared" si="2"/>
        <v>115.47005383792515</v>
      </c>
      <c r="Y38" s="553">
        <f>$X38/PI()*SQRT('Hilfstabellen_Mat&amp;Bem'!f.Rd.3/'Hilfstabellen_Mat&amp;Bem'!$BD$30)</f>
        <v>1.8377629847393071</v>
      </c>
      <c r="Z38" s="553">
        <f>0.5*(1+'Hilfstabellen_Mat&amp;Bem'!$BD$31*($Y38-0.3)+$Y38^2)</f>
        <v>2.2655745432759287</v>
      </c>
      <c r="AA38" s="550">
        <f t="shared" si="3"/>
        <v>0.27851192942466541</v>
      </c>
      <c r="AC38" s="551">
        <f t="shared" si="61"/>
        <v>2255.9466283397896</v>
      </c>
      <c r="AG38" s="546">
        <f t="shared" si="15"/>
        <v>90</v>
      </c>
      <c r="AH38" s="551">
        <f t="shared" si="4"/>
        <v>119.31905563252265</v>
      </c>
      <c r="AI38" s="553">
        <f>$AH38/PI()*SQRT('Hilfstabellen_Mat&amp;Bem'!f.Rd.3/'Hilfstabellen_Mat&amp;Bem'!$BD$30)</f>
        <v>1.8990217508972838</v>
      </c>
      <c r="AJ38" s="553">
        <f>0.5*(1+'Hilfstabellen_Mat&amp;Bem'!$BD$31*($AI38-0.3)+$AI38^2)</f>
        <v>2.3830928927353567</v>
      </c>
      <c r="AK38" s="550">
        <f t="shared" si="5"/>
        <v>0.26158618844875381</v>
      </c>
      <c r="AM38" s="551">
        <f t="shared" si="62"/>
        <v>2118.8481264349057</v>
      </c>
      <c r="AQ38" s="546">
        <f t="shared" si="17"/>
        <v>90</v>
      </c>
      <c r="AR38" s="551">
        <f t="shared" si="6"/>
        <v>123.16805742712016</v>
      </c>
      <c r="AS38" s="553">
        <f>$AR38/PI()*SQRT('Hilfstabellen_Mat&amp;Bem'!f.Rd.3/'Hilfstabellen_Mat&amp;Bem'!$BD$30)</f>
        <v>1.9602805170552609</v>
      </c>
      <c r="AT38" s="553">
        <f>0.5*(1+'Hilfstabellen_Mat&amp;Bem'!$BD$31*($AS38-0.3)+$AS38^2)</f>
        <v>2.5043638786259836</v>
      </c>
      <c r="AU38" s="550">
        <f t="shared" si="7"/>
        <v>0.24612759281851307</v>
      </c>
      <c r="AW38" s="551">
        <f t="shared" si="63"/>
        <v>1993.6335018299558</v>
      </c>
      <c r="AZ38" s="547">
        <f>'Hilfstabellen_Mat&amp;Bem'!$J$56</f>
        <v>3.3</v>
      </c>
      <c r="BA38" s="546">
        <f t="shared" si="19"/>
        <v>90</v>
      </c>
      <c r="BB38" s="551">
        <f t="shared" si="20"/>
        <v>127.01705922171766</v>
      </c>
      <c r="BC38" s="553">
        <f>BB38/PI()*SQRT('Hilfstabellen_Mat&amp;Bem'!f.Rd.3/'Hilfstabellen_Mat&amp;Bem'!$BD$30)</f>
        <v>2.0215392832132375</v>
      </c>
      <c r="BD38" s="553">
        <f>0.5*(1+'Hilfstabellen_Mat&amp;Bem'!$BD$31*(BC38-0.3)+BC38^2)</f>
        <v>2.6293875009478067</v>
      </c>
      <c r="BE38" s="550">
        <f t="shared" si="21"/>
        <v>0.2319769505738124</v>
      </c>
      <c r="BG38" s="551">
        <f t="shared" si="22"/>
        <v>1879.0132996478806</v>
      </c>
      <c r="BJ38" s="547">
        <f>'Hilfstabellen_Mat&amp;Bem'!$J$57</f>
        <v>3.4</v>
      </c>
      <c r="BK38" s="546">
        <f t="shared" si="23"/>
        <v>90</v>
      </c>
      <c r="BL38" s="551">
        <f t="shared" si="24"/>
        <v>130.86606101631517</v>
      </c>
      <c r="BM38" s="553">
        <f>BL38/PI()*SQRT('Hilfstabellen_Mat&amp;Bem'!f.Rd.3/'Hilfstabellen_Mat&amp;Bem'!$BD$30)</f>
        <v>2.0827980493712146</v>
      </c>
      <c r="BN38" s="553">
        <f>0.5*(1+'Hilfstabellen_Mat&amp;Bem'!$BD$31*(BM38-0.3)+BM38^2)</f>
        <v>2.7581637597008291</v>
      </c>
      <c r="BO38" s="550">
        <f t="shared" si="25"/>
        <v>0.2189948509822234</v>
      </c>
      <c r="BQ38" s="551">
        <f t="shared" si="26"/>
        <v>1773.8582929560096</v>
      </c>
      <c r="BT38" s="547">
        <f>'Hilfstabellen_Mat&amp;Bem'!$J$58</f>
        <v>3.5</v>
      </c>
      <c r="BU38" s="546">
        <f t="shared" si="27"/>
        <v>90</v>
      </c>
      <c r="BV38" s="551">
        <f t="shared" si="28"/>
        <v>134.71506281091266</v>
      </c>
      <c r="BW38" s="553">
        <f>BV38/PI()*SQRT('Hilfstabellen_Mat&amp;Bem'!f.Rd.3/'Hilfstabellen_Mat&amp;Bem'!$BD$30)</f>
        <v>2.1440568155291913</v>
      </c>
      <c r="BX38" s="553">
        <f>0.5*(1+'Hilfstabellen_Mat&amp;Bem'!$BD$31*(BW38-0.3)+BW38^2)</f>
        <v>2.8906926548850476</v>
      </c>
      <c r="BY38" s="550">
        <f t="shared" si="29"/>
        <v>0.20705910858525886</v>
      </c>
      <c r="CA38" s="551">
        <f t="shared" si="30"/>
        <v>1677.1787795405967</v>
      </c>
      <c r="CD38" s="547">
        <f>'Hilfstabellen_Mat&amp;Bem'!$J$59</f>
        <v>3.6</v>
      </c>
      <c r="CE38" s="546">
        <f t="shared" si="31"/>
        <v>90</v>
      </c>
      <c r="CF38" s="551">
        <f t="shared" si="32"/>
        <v>138.56406460551017</v>
      </c>
      <c r="CG38" s="553">
        <f>CF38/PI()*SQRT('Hilfstabellen_Mat&amp;Bem'!f.Rd.3/'Hilfstabellen_Mat&amp;Bem'!$BD$30)</f>
        <v>2.2053155816871679</v>
      </c>
      <c r="CH38" s="553">
        <f>0.5*(1+'Hilfstabellen_Mat&amp;Bem'!$BD$31*(CG38-0.3)+CG38^2)</f>
        <v>3.026974186500464</v>
      </c>
      <c r="CI38" s="550">
        <f t="shared" si="33"/>
        <v>0.19606248557633724</v>
      </c>
      <c r="CK38" s="551">
        <f t="shared" si="34"/>
        <v>1588.1061331683316</v>
      </c>
      <c r="CN38" s="547">
        <f>'Hilfstabellen_Mat&amp;Bem'!$J$60</f>
        <v>3.7</v>
      </c>
      <c r="CO38" s="546">
        <f t="shared" si="35"/>
        <v>90</v>
      </c>
      <c r="CP38" s="551">
        <f t="shared" si="36"/>
        <v>142.41306640010768</v>
      </c>
      <c r="CQ38" s="553">
        <f>CP38/PI()*SQRT('Hilfstabellen_Mat&amp;Bem'!f.Rd.3/'Hilfstabellen_Mat&amp;Bem'!$BD$30)</f>
        <v>2.266574347845145</v>
      </c>
      <c r="CR38" s="553">
        <f>0.5*(1+'Hilfstabellen_Mat&amp;Bem'!$BD$31*(CQ38-0.3)+CQ38^2)</f>
        <v>3.1670083545470793</v>
      </c>
      <c r="CS38" s="550">
        <f t="shared" si="37"/>
        <v>0.18591069575081423</v>
      </c>
      <c r="CU38" s="551">
        <f t="shared" si="38"/>
        <v>1505.8766355815953</v>
      </c>
      <c r="CX38" s="547">
        <f>'Hilfstabellen_Mat&amp;Bem'!$J$61</f>
        <v>3.8</v>
      </c>
      <c r="CY38" s="546">
        <f t="shared" si="39"/>
        <v>90</v>
      </c>
      <c r="CZ38" s="551">
        <f t="shared" si="40"/>
        <v>146.26206819470519</v>
      </c>
      <c r="DA38" s="553">
        <f>CZ38/PI()*SQRT('Hilfstabellen_Mat&amp;Bem'!f.Rd.3/'Hilfstabellen_Mat&amp;Bem'!$BD$30)</f>
        <v>2.3278331140031221</v>
      </c>
      <c r="DB38" s="553">
        <f>0.5*(1+'Hilfstabellen_Mat&amp;Bem'!$BD$31*(DA38-0.3)+DA38^2)</f>
        <v>3.3107951590248925</v>
      </c>
      <c r="DC38" s="550">
        <f t="shared" si="41"/>
        <v>0.17652067251881856</v>
      </c>
      <c r="DE38" s="551">
        <f t="shared" si="42"/>
        <v>1429.8174474024304</v>
      </c>
      <c r="DH38" s="547">
        <f>'Hilfstabellen_Mat&amp;Bem'!$J$62</f>
        <v>3.9</v>
      </c>
      <c r="DI38" s="546">
        <f t="shared" si="43"/>
        <v>90</v>
      </c>
      <c r="DJ38" s="551">
        <f t="shared" si="44"/>
        <v>150.11106998930271</v>
      </c>
      <c r="DK38" s="553">
        <f>DJ38/PI()*SQRT('Hilfstabellen_Mat&amp;Bem'!f.Rd.3/'Hilfstabellen_Mat&amp;Bem'!$BD$30)</f>
        <v>2.3890918801610992</v>
      </c>
      <c r="DL38" s="553">
        <f>0.5*(1+'Hilfstabellen_Mat&amp;Bem'!$BD$31*(DK38-0.3)+DK38^2)</f>
        <v>3.4583345999339032</v>
      </c>
      <c r="DM38" s="550">
        <f t="shared" si="45"/>
        <v>0.16781907478231245</v>
      </c>
      <c r="DO38" s="551">
        <f t="shared" si="46"/>
        <v>1359.3345057367308</v>
      </c>
      <c r="DR38" s="547">
        <f>'Hilfstabellen_Mat&amp;Bem'!$J$63</f>
        <v>4</v>
      </c>
      <c r="DS38" s="546">
        <f t="shared" si="47"/>
        <v>90</v>
      </c>
      <c r="DT38" s="551">
        <f t="shared" si="48"/>
        <v>153.96007178390019</v>
      </c>
      <c r="DU38" s="553">
        <f>DT38/PI()*SQRT('Hilfstabellen_Mat&amp;Bem'!f.Rd.3/'Hilfstabellen_Mat&amp;Bem'!$BD$30)</f>
        <v>2.4503506463190758</v>
      </c>
      <c r="DV38" s="553">
        <f>0.5*(1+'Hilfstabellen_Mat&amp;Bem'!$BD$31*(DU38-0.3)+DU38^2)</f>
        <v>3.6096266772741101</v>
      </c>
      <c r="DW38" s="550">
        <f t="shared" si="49"/>
        <v>0.15974100212602155</v>
      </c>
      <c r="DY38" s="551">
        <f t="shared" si="50"/>
        <v>1293.9021172207745</v>
      </c>
      <c r="EB38" s="547">
        <f>'Hilfstabellen_Mat&amp;Bem'!$J$64</f>
        <v>4.0999999999999996</v>
      </c>
      <c r="EC38" s="546">
        <f t="shared" si="51"/>
        <v>90</v>
      </c>
      <c r="ED38" s="551">
        <f t="shared" si="52"/>
        <v>157.8090735784977</v>
      </c>
      <c r="EE38" s="553">
        <f>ED38/PI()*SQRT('Hilfstabellen_Mat&amp;Bem'!f.Rd.3/'Hilfstabellen_Mat&amp;Bem'!$BD$30)</f>
        <v>2.5116094124770529</v>
      </c>
      <c r="EF38" s="553">
        <f>0.5*(1+'Hilfstabellen_Mat&amp;Bem'!$BD$31*(EE38-0.3)+EE38^2)</f>
        <v>3.7646713910455158</v>
      </c>
      <c r="EG38" s="550">
        <f t="shared" si="53"/>
        <v>0.15222889161081371</v>
      </c>
      <c r="EI38" s="551">
        <f t="shared" si="54"/>
        <v>1233.0540220475912</v>
      </c>
      <c r="EL38" s="547">
        <f>'Hilfstabellen_Mat&amp;Bem'!$J$65</f>
        <v>4.2</v>
      </c>
      <c r="EM38" s="546">
        <f t="shared" si="55"/>
        <v>90</v>
      </c>
      <c r="EN38" s="551">
        <f t="shared" si="56"/>
        <v>161.65807537309519</v>
      </c>
      <c r="EO38" s="553">
        <f>EN38/PI()*SQRT('Hilfstabellen_Mat&amp;Bem'!f.Rd.3/'Hilfstabellen_Mat&amp;Bem'!$BD$30)</f>
        <v>2.5728681786350296</v>
      </c>
      <c r="EP38" s="553">
        <f>0.5*(1+'Hilfstabellen_Mat&amp;Bem'!$BD$31*(EO38-0.3)+EO38^2)</f>
        <v>3.9234687412481186</v>
      </c>
      <c r="EQ38" s="550">
        <f t="shared" si="57"/>
        <v>0.14523157076836962</v>
      </c>
      <c r="ES38" s="551">
        <f t="shared" si="58"/>
        <v>1176.375723223794</v>
      </c>
    </row>
    <row r="39" spans="3:149">
      <c r="C39" s="546">
        <v>91</v>
      </c>
      <c r="D39" s="551">
        <f t="shared" si="8"/>
        <v>106.58774200423861</v>
      </c>
      <c r="E39" s="553">
        <f>$D39/PI()*SQRT('Hilfstabellen_Mat&amp;Bem'!f.Rd.3/'Hilfstabellen_Mat&amp;Bem'!$BD$30)</f>
        <v>1.696396601297822</v>
      </c>
      <c r="F39" s="553">
        <f>0.5*(1+'Hilfstabellen_Mat&amp;Bem'!$BD$31*($E39-0.3)+$E39^2)</f>
        <v>2.0087005445122919</v>
      </c>
      <c r="G39" s="550">
        <f t="shared" si="9"/>
        <v>0.32421279324418123</v>
      </c>
      <c r="I39" s="551">
        <f t="shared" si="59"/>
        <v>2684.8061408550648</v>
      </c>
      <c r="M39" s="546">
        <f t="shared" si="11"/>
        <v>91</v>
      </c>
      <c r="N39" s="551">
        <f t="shared" si="0"/>
        <v>110.39444707581855</v>
      </c>
      <c r="O39" s="553">
        <f>$N39/PI()*SQRT('Hilfstabellen_Mat&amp;Bem'!f.Rd.3/'Hilfstabellen_Mat&amp;Bem'!$BD$30)</f>
        <v>1.7569821942013153</v>
      </c>
      <c r="P39" s="553">
        <f>0.5*(1+'Hilfstabellen_Mat&amp;Bem'!$BD$31*($O39-0.3)+$O39^2)</f>
        <v>2.1163423250803</v>
      </c>
      <c r="Q39" s="550">
        <f t="shared" si="1"/>
        <v>0.30338533353364044</v>
      </c>
      <c r="S39" s="551">
        <f t="shared" si="60"/>
        <v>2512.3339469920766</v>
      </c>
      <c r="W39" s="546">
        <f t="shared" si="13"/>
        <v>91</v>
      </c>
      <c r="X39" s="551">
        <f t="shared" si="2"/>
        <v>114.20115214739849</v>
      </c>
      <c r="Y39" s="553">
        <f>$X39/PI()*SQRT('Hilfstabellen_Mat&amp;Bem'!f.Rd.3/'Hilfstabellen_Mat&amp;Bem'!$BD$30)</f>
        <v>1.8175677871048088</v>
      </c>
      <c r="Z39" s="553">
        <f>0.5*(1+'Hilfstabellen_Mat&amp;Bem'!$BD$31*($Y39-0.3)+$Y39^2)</f>
        <v>2.2276547197157761</v>
      </c>
      <c r="AA39" s="550">
        <f t="shared" si="3"/>
        <v>0.28444364518661669</v>
      </c>
      <c r="AC39" s="551">
        <f t="shared" si="61"/>
        <v>2355.4778257903727</v>
      </c>
      <c r="AG39" s="546">
        <f t="shared" si="15"/>
        <v>91</v>
      </c>
      <c r="AH39" s="551">
        <f t="shared" si="4"/>
        <v>118.00785721897844</v>
      </c>
      <c r="AI39" s="553">
        <f>$AH39/PI()*SQRT('Hilfstabellen_Mat&amp;Bem'!f.Rd.3/'Hilfstabellen_Mat&amp;Bem'!$BD$30)</f>
        <v>1.8781533800083026</v>
      </c>
      <c r="AJ39" s="553">
        <f>0.5*(1+'Hilfstabellen_Mat&amp;Bem'!$BD$31*($AI39-0.3)+$AI39^2)</f>
        <v>2.3426377284187208</v>
      </c>
      <c r="AK39" s="550">
        <f t="shared" si="5"/>
        <v>0.26717870787781078</v>
      </c>
      <c r="AM39" s="551">
        <f t="shared" si="62"/>
        <v>2212.5068799361511</v>
      </c>
      <c r="AQ39" s="546">
        <f t="shared" si="17"/>
        <v>91</v>
      </c>
      <c r="AR39" s="551">
        <f t="shared" si="6"/>
        <v>121.81456229055841</v>
      </c>
      <c r="AS39" s="553">
        <f>$AR39/PI()*SQRT('Hilfstabellen_Mat&amp;Bem'!f.Rd.3/'Hilfstabellen_Mat&amp;Bem'!$BD$30)</f>
        <v>1.9387389729117963</v>
      </c>
      <c r="AT39" s="553">
        <f>0.5*(1+'Hilfstabellen_Mat&amp;Bem'!$BD$31*($AS39-0.3)+$AS39^2)</f>
        <v>2.461291351189133</v>
      </c>
      <c r="AU39" s="550">
        <f t="shared" si="7"/>
        <v>0.25140675052518185</v>
      </c>
      <c r="AW39" s="551">
        <f t="shared" si="63"/>
        <v>2081.8993010990312</v>
      </c>
      <c r="AZ39" s="547">
        <f>'Hilfstabellen_Mat&amp;Bem'!$J$56</f>
        <v>3.3</v>
      </c>
      <c r="BA39" s="546">
        <f t="shared" si="19"/>
        <v>91</v>
      </c>
      <c r="BB39" s="551">
        <f t="shared" si="20"/>
        <v>125.62126736213834</v>
      </c>
      <c r="BC39" s="553">
        <f>BB39/PI()*SQRT('Hilfstabellen_Mat&amp;Bem'!f.Rd.3/'Hilfstabellen_Mat&amp;Bem'!$BD$30)</f>
        <v>1.9993245658152898</v>
      </c>
      <c r="BD39" s="553">
        <f>0.5*(1+'Hilfstabellen_Mat&amp;Bem'!$BD$31*(BC39-0.3)+BC39^2)</f>
        <v>2.5836155880270133</v>
      </c>
      <c r="BE39" s="550">
        <f t="shared" si="21"/>
        <v>0.23696653564959225</v>
      </c>
      <c r="BG39" s="551">
        <f t="shared" si="22"/>
        <v>1962.3198817142734</v>
      </c>
      <c r="BJ39" s="547">
        <f>'Hilfstabellen_Mat&amp;Bem'!$J$57</f>
        <v>3.4</v>
      </c>
      <c r="BK39" s="546">
        <f t="shared" si="23"/>
        <v>91</v>
      </c>
      <c r="BL39" s="551">
        <f t="shared" si="24"/>
        <v>129.42797243371831</v>
      </c>
      <c r="BM39" s="553">
        <f>BL39/PI()*SQRT('Hilfstabellen_Mat&amp;Bem'!f.Rd.3/'Hilfstabellen_Mat&amp;Bem'!$BD$30)</f>
        <v>2.0599101587187838</v>
      </c>
      <c r="BN39" s="553">
        <f>0.5*(1+'Hilfstabellen_Mat&amp;Bem'!$BD$31*(BM39-0.3)+BM39^2)</f>
        <v>2.7096104389323621</v>
      </c>
      <c r="BO39" s="550">
        <f t="shared" si="25"/>
        <v>0.22371666784702299</v>
      </c>
      <c r="BQ39" s="551">
        <f t="shared" si="26"/>
        <v>1852.5977264411974</v>
      </c>
      <c r="BT39" s="547">
        <f>'Hilfstabellen_Mat&amp;Bem'!$J$58</f>
        <v>3.5</v>
      </c>
      <c r="BU39" s="546">
        <f t="shared" si="27"/>
        <v>91</v>
      </c>
      <c r="BV39" s="551">
        <f t="shared" si="28"/>
        <v>133.23467750529824</v>
      </c>
      <c r="BW39" s="553">
        <f>BV39/PI()*SQRT('Hilfstabellen_Mat&amp;Bem'!f.Rd.3/'Hilfstabellen_Mat&amp;Bem'!$BD$30)</f>
        <v>2.1204957516222769</v>
      </c>
      <c r="BX39" s="553">
        <f>0.5*(1+'Hilfstabellen_Mat&amp;Bem'!$BD$31*(BW39-0.3)+BW39^2)</f>
        <v>2.8392759039051763</v>
      </c>
      <c r="BY39" s="550">
        <f t="shared" si="29"/>
        <v>0.2115330884495415</v>
      </c>
      <c r="CA39" s="551">
        <f t="shared" si="30"/>
        <v>1751.7055054506532</v>
      </c>
      <c r="CD39" s="547">
        <f>'Hilfstabellen_Mat&amp;Bem'!$J$59</f>
        <v>3.6</v>
      </c>
      <c r="CE39" s="546">
        <f t="shared" si="31"/>
        <v>91</v>
      </c>
      <c r="CF39" s="551">
        <f t="shared" si="32"/>
        <v>137.04138257687819</v>
      </c>
      <c r="CG39" s="553">
        <f>CF39/PI()*SQRT('Hilfstabellen_Mat&amp;Bem'!f.Rd.3/'Hilfstabellen_Mat&amp;Bem'!$BD$30)</f>
        <v>2.1810813445257708</v>
      </c>
      <c r="CH39" s="553">
        <f>0.5*(1+'Hilfstabellen_Mat&amp;Bem'!$BD$31*(CG39-0.3)+CG39^2)</f>
        <v>2.9726119829454607</v>
      </c>
      <c r="CI39" s="550">
        <f t="shared" si="33"/>
        <v>0.20030682138674613</v>
      </c>
      <c r="CK39" s="551">
        <f t="shared" si="34"/>
        <v>1658.7407879036448</v>
      </c>
      <c r="CN39" s="547">
        <f>'Hilfstabellen_Mat&amp;Bem'!$J$60</f>
        <v>3.7</v>
      </c>
      <c r="CO39" s="546">
        <f t="shared" si="35"/>
        <v>91</v>
      </c>
      <c r="CP39" s="551">
        <f t="shared" si="36"/>
        <v>140.84808764845815</v>
      </c>
      <c r="CQ39" s="553">
        <f>CP39/PI()*SQRT('Hilfstabellen_Mat&amp;Bem'!f.Rd.3/'Hilfstabellen_Mat&amp;Bem'!$BD$30)</f>
        <v>2.2416669374292644</v>
      </c>
      <c r="CR39" s="553">
        <f>0.5*(1+'Hilfstabellen_Mat&amp;Bem'!$BD$31*(CQ39-0.3)+CQ39^2)</f>
        <v>3.1096186760532118</v>
      </c>
      <c r="CS39" s="550">
        <f t="shared" si="37"/>
        <v>0.18994198468321266</v>
      </c>
      <c r="CU39" s="551">
        <f t="shared" si="38"/>
        <v>1572.909575161684</v>
      </c>
      <c r="CX39" s="547">
        <f>'Hilfstabellen_Mat&amp;Bem'!$J$61</f>
        <v>3.8</v>
      </c>
      <c r="CY39" s="546">
        <f t="shared" si="39"/>
        <v>91</v>
      </c>
      <c r="CZ39" s="551">
        <f t="shared" si="40"/>
        <v>144.6547927200381</v>
      </c>
      <c r="DA39" s="553">
        <f>CZ39/PI()*SQRT('Hilfstabellen_Mat&amp;Bem'!f.Rd.3/'Hilfstabellen_Mat&amp;Bem'!$BD$30)</f>
        <v>2.3022525303327579</v>
      </c>
      <c r="DB39" s="553">
        <f>0.5*(1+'Hilfstabellen_Mat&amp;Bem'!$BD$31*(DA39-0.3)+DA39^2)</f>
        <v>3.2502959832284311</v>
      </c>
      <c r="DC39" s="550">
        <f t="shared" si="41"/>
        <v>0.18035405686814993</v>
      </c>
      <c r="DE39" s="551">
        <f t="shared" si="42"/>
        <v>1493.5119449251495</v>
      </c>
      <c r="DH39" s="547">
        <f>'Hilfstabellen_Mat&amp;Bem'!$J$62</f>
        <v>3.9</v>
      </c>
      <c r="DI39" s="546">
        <f t="shared" si="43"/>
        <v>91</v>
      </c>
      <c r="DJ39" s="551">
        <f t="shared" si="44"/>
        <v>148.46149779161803</v>
      </c>
      <c r="DK39" s="553">
        <f>DJ39/PI()*SQRT('Hilfstabellen_Mat&amp;Bem'!f.Rd.3/'Hilfstabellen_Mat&amp;Bem'!$BD$30)</f>
        <v>2.3628381232362514</v>
      </c>
      <c r="DL39" s="553">
        <f>0.5*(1+'Hilfstabellen_Mat&amp;Bem'!$BD$31*(DK39-0.3)+DK39^2)</f>
        <v>3.3946439044711179</v>
      </c>
      <c r="DM39" s="550">
        <f t="shared" si="45"/>
        <v>0.17146837621828159</v>
      </c>
      <c r="DO39" s="551">
        <f t="shared" si="46"/>
        <v>1419.9296234635899</v>
      </c>
      <c r="DR39" s="547">
        <f>'Hilfstabellen_Mat&amp;Bem'!$J$63</f>
        <v>4</v>
      </c>
      <c r="DS39" s="546">
        <f t="shared" si="47"/>
        <v>91</v>
      </c>
      <c r="DT39" s="551">
        <f t="shared" si="48"/>
        <v>152.26820286319798</v>
      </c>
      <c r="DU39" s="553">
        <f>DT39/PI()*SQRT('Hilfstabellen_Mat&amp;Bem'!f.Rd.3/'Hilfstabellen_Mat&amp;Bem'!$BD$30)</f>
        <v>2.4234237161397454</v>
      </c>
      <c r="DV39" s="553">
        <f>0.5*(1+'Hilfstabellen_Mat&amp;Bem'!$BD$31*(DU39-0.3)+DU39^2)</f>
        <v>3.542662439781274</v>
      </c>
      <c r="DW39" s="550">
        <f t="shared" si="49"/>
        <v>0.16321884677792939</v>
      </c>
      <c r="DY39" s="551">
        <f t="shared" si="50"/>
        <v>1351.6152701680332</v>
      </c>
      <c r="EB39" s="547">
        <f>'Hilfstabellen_Mat&amp;Bem'!$J$64</f>
        <v>4.0999999999999996</v>
      </c>
      <c r="EC39" s="546">
        <f t="shared" si="51"/>
        <v>91</v>
      </c>
      <c r="ED39" s="551">
        <f t="shared" si="52"/>
        <v>156.07490793477797</v>
      </c>
      <c r="EE39" s="553">
        <f>ED39/PI()*SQRT('Hilfstabellen_Mat&amp;Bem'!f.Rd.3/'Hilfstabellen_Mat&amp;Bem'!$BD$30)</f>
        <v>2.4840093090432394</v>
      </c>
      <c r="EF39" s="553">
        <f>0.5*(1+'Hilfstabellen_Mat&amp;Bem'!$BD$31*(EE39-0.3)+EE39^2)</f>
        <v>3.6943515891588978</v>
      </c>
      <c r="EG39" s="550">
        <f t="shared" si="53"/>
        <v>0.15554682494174857</v>
      </c>
      <c r="EI39" s="551">
        <f t="shared" si="54"/>
        <v>1288.0832573426198</v>
      </c>
      <c r="EL39" s="547">
        <f>'Hilfstabellen_Mat&amp;Bem'!$J$65</f>
        <v>4.2</v>
      </c>
      <c r="EM39" s="546">
        <f t="shared" si="55"/>
        <v>91</v>
      </c>
      <c r="EN39" s="551">
        <f t="shared" si="56"/>
        <v>159.8816130063579</v>
      </c>
      <c r="EO39" s="553">
        <f>EN39/PI()*SQRT('Hilfstabellen_Mat&amp;Bem'!f.Rd.3/'Hilfstabellen_Mat&amp;Bem'!$BD$30)</f>
        <v>2.5445949019467324</v>
      </c>
      <c r="EP39" s="553">
        <f>0.5*(1+'Hilfstabellen_Mat&amp;Bem'!$BD$31*(EO39-0.3)+EO39^2)</f>
        <v>3.849711352603987</v>
      </c>
      <c r="EQ39" s="550">
        <f t="shared" si="57"/>
        <v>0.14840016208097459</v>
      </c>
      <c r="ES39" s="551">
        <f t="shared" si="58"/>
        <v>1228.9017421925505</v>
      </c>
    </row>
    <row r="40" spans="3:149">
      <c r="C40" s="546">
        <v>92</v>
      </c>
      <c r="D40" s="551">
        <f t="shared" si="8"/>
        <v>105.42917959114905</v>
      </c>
      <c r="E40" s="553">
        <f>$D40/PI()*SQRT('Hilfstabellen_Mat&amp;Bem'!f.Rd.3/'Hilfstabellen_Mat&amp;Bem'!$BD$30)</f>
        <v>1.6779575078054543</v>
      </c>
      <c r="F40" s="553">
        <f>0.5*(1+'Hilfstabellen_Mat&amp;Bem'!$BD$31*($E40-0.3)+$E40^2)</f>
        <v>1.9766685743906183</v>
      </c>
      <c r="G40" s="550">
        <f t="shared" si="9"/>
        <v>0.33096120464649736</v>
      </c>
      <c r="I40" s="551">
        <f t="shared" si="59"/>
        <v>2801.2556361279535</v>
      </c>
      <c r="M40" s="546">
        <f t="shared" si="11"/>
        <v>92</v>
      </c>
      <c r="N40" s="551">
        <f t="shared" si="0"/>
        <v>109.19450743369008</v>
      </c>
      <c r="O40" s="553">
        <f>$N40/PI()*SQRT('Hilfstabellen_Mat&amp;Bem'!f.Rd.3/'Hilfstabellen_Mat&amp;Bem'!$BD$30)</f>
        <v>1.7378845616556486</v>
      </c>
      <c r="P40" s="553">
        <f>0.5*(1+'Hilfstabellen_Mat&amp;Bem'!$BD$31*($O40-0.3)+$O40^2)</f>
        <v>2.0820156029033057</v>
      </c>
      <c r="Q40" s="550">
        <f t="shared" si="1"/>
        <v>0.30973635578627357</v>
      </c>
      <c r="S40" s="551">
        <f t="shared" si="60"/>
        <v>2621.6085153750196</v>
      </c>
      <c r="W40" s="546">
        <f t="shared" si="13"/>
        <v>92</v>
      </c>
      <c r="X40" s="551">
        <f t="shared" si="2"/>
        <v>112.95983527623112</v>
      </c>
      <c r="Y40" s="553">
        <f>$X40/PI()*SQRT('Hilfstabellen_Mat&amp;Bem'!f.Rd.3/'Hilfstabellen_Mat&amp;Bem'!$BD$30)</f>
        <v>1.7978116155058439</v>
      </c>
      <c r="Z40" s="553">
        <f>0.5*(1+'Hilfstabellen_Mat&amp;Bem'!$BD$31*($Y40-0.3)+$Y40^2)</f>
        <v>2.1909538831991586</v>
      </c>
      <c r="AA40" s="550">
        <f t="shared" si="3"/>
        <v>0.29042643237785709</v>
      </c>
      <c r="AC40" s="551">
        <f t="shared" si="61"/>
        <v>2458.1693236461824</v>
      </c>
      <c r="AG40" s="546">
        <f t="shared" si="15"/>
        <v>92</v>
      </c>
      <c r="AH40" s="551">
        <f t="shared" si="4"/>
        <v>116.72516311877217</v>
      </c>
      <c r="AI40" s="553">
        <f>$AH40/PI()*SQRT('Hilfstabellen_Mat&amp;Bem'!f.Rd.3/'Hilfstabellen_Mat&amp;Bem'!$BD$30)</f>
        <v>1.8577386693560385</v>
      </c>
      <c r="AJ40" s="553">
        <f>0.5*(1+'Hilfstabellen_Mat&amp;Bem'!$BD$31*($AI40-0.3)+$AI40^2)</f>
        <v>2.303483415278174</v>
      </c>
      <c r="AK40" s="550">
        <f t="shared" si="5"/>
        <v>0.2728208070353968</v>
      </c>
      <c r="AM40" s="551">
        <f t="shared" si="62"/>
        <v>2309.1553107475984</v>
      </c>
      <c r="AQ40" s="546">
        <f t="shared" si="17"/>
        <v>92</v>
      </c>
      <c r="AR40" s="551">
        <f t="shared" si="6"/>
        <v>120.49049096131318</v>
      </c>
      <c r="AS40" s="553">
        <f>$AR40/PI()*SQRT('Hilfstabellen_Mat&amp;Bem'!f.Rd.3/'Hilfstabellen_Mat&amp;Bem'!$BD$30)</f>
        <v>1.9176657232062331</v>
      </c>
      <c r="AT40" s="553">
        <f>0.5*(1+'Hilfstabellen_Mat&amp;Bem'!$BD$31*($AS40-0.3)+$AS40^2)</f>
        <v>2.4196041991403541</v>
      </c>
      <c r="AU40" s="550">
        <f t="shared" si="7"/>
        <v>0.25673382781317161</v>
      </c>
      <c r="AW40" s="551">
        <f t="shared" si="63"/>
        <v>2172.9951186106846</v>
      </c>
      <c r="AZ40" s="547">
        <f>'Hilfstabellen_Mat&amp;Bem'!$J$56</f>
        <v>3.3</v>
      </c>
      <c r="BA40" s="546">
        <f t="shared" si="19"/>
        <v>92</v>
      </c>
      <c r="BB40" s="551">
        <f t="shared" si="20"/>
        <v>124.25581880385424</v>
      </c>
      <c r="BC40" s="553">
        <f>BB40/PI()*SQRT('Hilfstabellen_Mat&amp;Bem'!f.Rd.3/'Hilfstabellen_Mat&amp;Bem'!$BD$30)</f>
        <v>1.9775927770564281</v>
      </c>
      <c r="BD40" s="553">
        <f>0.5*(1+'Hilfstabellen_Mat&amp;Bem'!$BD$31*(BC40-0.3)+BC40^2)</f>
        <v>2.5393162347856988</v>
      </c>
      <c r="BE40" s="550">
        <f t="shared" si="21"/>
        <v>0.24200229771551374</v>
      </c>
      <c r="BG40" s="551">
        <f t="shared" si="22"/>
        <v>2048.3074478641083</v>
      </c>
      <c r="BJ40" s="547">
        <f>'Hilfstabellen_Mat&amp;Bem'!$J$57</f>
        <v>3.4</v>
      </c>
      <c r="BK40" s="546">
        <f t="shared" si="23"/>
        <v>92</v>
      </c>
      <c r="BL40" s="551">
        <f t="shared" si="24"/>
        <v>128.02114664639527</v>
      </c>
      <c r="BM40" s="553">
        <f>BL40/PI()*SQRT('Hilfstabellen_Mat&amp;Bem'!f.Rd.3/'Hilfstabellen_Mat&amp;Bem'!$BD$30)</f>
        <v>2.0375198309066227</v>
      </c>
      <c r="BN40" s="553">
        <f>0.5*(1+'Hilfstabellen_Mat&amp;Bem'!$BD$31*(BM40-0.3)+BM40^2)</f>
        <v>2.6626195222142073</v>
      </c>
      <c r="BO40" s="550">
        <f t="shared" si="25"/>
        <v>0.22848289382818904</v>
      </c>
      <c r="BQ40" s="551">
        <f t="shared" si="26"/>
        <v>1933.8792133617919</v>
      </c>
      <c r="BT40" s="547">
        <f>'Hilfstabellen_Mat&amp;Bem'!$J$58</f>
        <v>3.5</v>
      </c>
      <c r="BU40" s="546">
        <f t="shared" si="27"/>
        <v>92</v>
      </c>
      <c r="BV40" s="551">
        <f t="shared" si="28"/>
        <v>131.78647448893631</v>
      </c>
      <c r="BW40" s="553">
        <f>BV40/PI()*SQRT('Hilfstabellen_Mat&amp;Bem'!f.Rd.3/'Hilfstabellen_Mat&amp;Bem'!$BD$30)</f>
        <v>2.0974468847568177</v>
      </c>
      <c r="BX40" s="553">
        <f>0.5*(1+'Hilfstabellen_Mat&amp;Bem'!$BD$31*(BW40-0.3)+BW40^2)</f>
        <v>2.7895140614258809</v>
      </c>
      <c r="BY40" s="550">
        <f t="shared" si="29"/>
        <v>0.21604972200109651</v>
      </c>
      <c r="CA40" s="551">
        <f t="shared" si="30"/>
        <v>1828.6448470172809</v>
      </c>
      <c r="CD40" s="547">
        <f>'Hilfstabellen_Mat&amp;Bem'!$J$59</f>
        <v>3.6</v>
      </c>
      <c r="CE40" s="546">
        <f t="shared" si="31"/>
        <v>92</v>
      </c>
      <c r="CF40" s="551">
        <f t="shared" si="32"/>
        <v>135.55180233147735</v>
      </c>
      <c r="CG40" s="553">
        <f>CF40/PI()*SQRT('Hilfstabellen_Mat&amp;Bem'!f.Rd.3/'Hilfstabellen_Mat&amp;Bem'!$BD$30)</f>
        <v>2.1573739386070123</v>
      </c>
      <c r="CH40" s="553">
        <f>0.5*(1+'Hilfstabellen_Mat&amp;Bem'!$BD$31*(CG40-0.3)+CG40^2)</f>
        <v>2.9199998524207169</v>
      </c>
      <c r="CI40" s="550">
        <f t="shared" si="33"/>
        <v>0.20459209243277904</v>
      </c>
      <c r="CK40" s="551">
        <f t="shared" si="34"/>
        <v>1731.6674703510419</v>
      </c>
      <c r="CN40" s="547">
        <f>'Hilfstabellen_Mat&amp;Bem'!$J$60</f>
        <v>3.7</v>
      </c>
      <c r="CO40" s="546">
        <f t="shared" si="35"/>
        <v>92</v>
      </c>
      <c r="CP40" s="551">
        <f t="shared" si="36"/>
        <v>139.31713017401839</v>
      </c>
      <c r="CQ40" s="553">
        <f>CP40/PI()*SQRT('Hilfstabellen_Mat&amp;Bem'!f.Rd.3/'Hilfstabellen_Mat&amp;Bem'!$BD$30)</f>
        <v>2.2173009924572074</v>
      </c>
      <c r="CR40" s="553">
        <f>0.5*(1+'Hilfstabellen_Mat&amp;Bem'!$BD$31*(CQ40-0.3)+CQ40^2)</f>
        <v>3.0540768951987185</v>
      </c>
      <c r="CS40" s="550">
        <f t="shared" si="37"/>
        <v>0.19401254290098477</v>
      </c>
      <c r="CU40" s="551">
        <f t="shared" si="38"/>
        <v>1642.1221631139351</v>
      </c>
      <c r="CX40" s="547">
        <f>'Hilfstabellen_Mat&amp;Bem'!$J$61</f>
        <v>3.8</v>
      </c>
      <c r="CY40" s="546">
        <f t="shared" si="39"/>
        <v>92</v>
      </c>
      <c r="CZ40" s="551">
        <f t="shared" si="40"/>
        <v>143.0824580165594</v>
      </c>
      <c r="DA40" s="553">
        <f>CZ40/PI()*SQRT('Hilfstabellen_Mat&amp;Bem'!f.Rd.3/'Hilfstabellen_Mat&amp;Bem'!$BD$30)</f>
        <v>2.2772280463074015</v>
      </c>
      <c r="DB40" s="553">
        <f>0.5*(1+'Hilfstabellen_Mat&amp;Bem'!$BD$31*(DA40-0.3)+DA40^2)</f>
        <v>3.1917451897598825</v>
      </c>
      <c r="DC40" s="550">
        <f t="shared" si="41"/>
        <v>0.18422510640622469</v>
      </c>
      <c r="DE40" s="551">
        <f t="shared" si="42"/>
        <v>1559.2813006222857</v>
      </c>
      <c r="DH40" s="547">
        <f>'Hilfstabellen_Mat&amp;Bem'!$J$62</f>
        <v>3.9</v>
      </c>
      <c r="DI40" s="546">
        <f t="shared" si="43"/>
        <v>92</v>
      </c>
      <c r="DJ40" s="551">
        <f t="shared" si="44"/>
        <v>146.84778585910044</v>
      </c>
      <c r="DK40" s="553">
        <f>DJ40/PI()*SQRT('Hilfstabellen_Mat&amp;Bem'!f.Rd.3/'Hilfstabellen_Mat&amp;Bem'!$BD$30)</f>
        <v>2.3371551001575965</v>
      </c>
      <c r="DL40" s="553">
        <f>0.5*(1+'Hilfstabellen_Mat&amp;Bem'!$BD$31*(DK40-0.3)+DK40^2)</f>
        <v>3.3330047361042121</v>
      </c>
      <c r="DM40" s="550">
        <f t="shared" si="45"/>
        <v>0.1751538057212392</v>
      </c>
      <c r="DO40" s="551">
        <f t="shared" si="46"/>
        <v>1482.5018116245685</v>
      </c>
      <c r="DR40" s="547">
        <f>'Hilfstabellen_Mat&amp;Bem'!$J$63</f>
        <v>4</v>
      </c>
      <c r="DS40" s="546">
        <f t="shared" si="47"/>
        <v>92</v>
      </c>
      <c r="DT40" s="551">
        <f t="shared" si="48"/>
        <v>150.61311370164151</v>
      </c>
      <c r="DU40" s="553">
        <f>DT40/PI()*SQRT('Hilfstabellen_Mat&amp;Bem'!f.Rd.3/'Hilfstabellen_Mat&amp;Bem'!$BD$30)</f>
        <v>2.397082154007792</v>
      </c>
      <c r="DV40" s="553">
        <f>0.5*(1+'Hilfstabellen_Mat&amp;Bem'!$BD$31*(DU40-0.3)+DU40^2)</f>
        <v>3.4778555342317072</v>
      </c>
      <c r="DW40" s="550">
        <f t="shared" si="49"/>
        <v>0.16673135157845953</v>
      </c>
      <c r="DY40" s="551">
        <f t="shared" si="50"/>
        <v>1411.2141597600814</v>
      </c>
      <c r="EB40" s="547">
        <f>'Hilfstabellen_Mat&amp;Bem'!$J$64</f>
        <v>4.0999999999999996</v>
      </c>
      <c r="EC40" s="546">
        <f t="shared" si="51"/>
        <v>92</v>
      </c>
      <c r="ED40" s="551">
        <f t="shared" si="52"/>
        <v>154.37844154418255</v>
      </c>
      <c r="EE40" s="553">
        <f>ED40/PI()*SQRT('Hilfstabellen_Mat&amp;Bem'!f.Rd.3/'Hilfstabellen_Mat&amp;Bem'!$BD$30)</f>
        <v>2.4570092078579866</v>
      </c>
      <c r="EF40" s="553">
        <f>0.5*(1+'Hilfstabellen_Mat&amp;Bem'!$BD$31*(EE40-0.3)+EE40^2)</f>
        <v>3.6262975841423648</v>
      </c>
      <c r="EG40" s="550">
        <f t="shared" si="53"/>
        <v>0.15889801997095387</v>
      </c>
      <c r="EI40" s="551">
        <f t="shared" si="54"/>
        <v>1344.9128410341536</v>
      </c>
      <c r="EL40" s="547">
        <f>'Hilfstabellen_Mat&amp;Bem'!$J$65</f>
        <v>4.2</v>
      </c>
      <c r="EM40" s="546">
        <f t="shared" si="55"/>
        <v>92</v>
      </c>
      <c r="EN40" s="551">
        <f t="shared" si="56"/>
        <v>158.14376938672356</v>
      </c>
      <c r="EO40" s="553">
        <f>EN40/PI()*SQRT('Hilfstabellen_Mat&amp;Bem'!f.Rd.3/'Hilfstabellen_Mat&amp;Bem'!$BD$30)</f>
        <v>2.5169362617081812</v>
      </c>
      <c r="EP40" s="553">
        <f>0.5*(1+'Hilfstabellen_Mat&amp;Bem'!$BD$31*(EO40-0.3)+EO40^2)</f>
        <v>3.7783308858361861</v>
      </c>
      <c r="EQ40" s="550">
        <f t="shared" si="57"/>
        <v>0.1516006850582711</v>
      </c>
      <c r="ES40" s="551">
        <f t="shared" si="58"/>
        <v>1283.1481983332064</v>
      </c>
    </row>
    <row r="41" spans="3:149">
      <c r="C41" s="546">
        <v>93</v>
      </c>
      <c r="D41" s="551">
        <f t="shared" si="8"/>
        <v>104.29553249877111</v>
      </c>
      <c r="E41" s="553">
        <f>$D41/PI()*SQRT('Hilfstabellen_Mat&amp;Bem'!f.Rd.3/'Hilfstabellen_Mat&amp;Bem'!$BD$30)</f>
        <v>1.6599149539580837</v>
      </c>
      <c r="F41" s="553">
        <f>0.5*(1+'Hilfstabellen_Mat&amp;Bem'!$BD$31*($E41-0.3)+$E41^2)</f>
        <v>1.9456545748847378</v>
      </c>
      <c r="G41" s="550">
        <f t="shared" si="9"/>
        <v>0.33776151113330388</v>
      </c>
      <c r="I41" s="551">
        <f t="shared" si="59"/>
        <v>2921.2993097919452</v>
      </c>
      <c r="M41" s="546">
        <f t="shared" si="11"/>
        <v>93</v>
      </c>
      <c r="N41" s="551">
        <f t="shared" si="0"/>
        <v>108.02037294515578</v>
      </c>
      <c r="O41" s="553">
        <f>$N41/PI()*SQRT('Hilfstabellen_Mat&amp;Bem'!f.Rd.3/'Hilfstabellen_Mat&amp;Bem'!$BD$30)</f>
        <v>1.719197630885158</v>
      </c>
      <c r="P41" s="553">
        <f>0.5*(1+'Hilfstabellen_Mat&amp;Bem'!$BD$31*($O41-0.3)+$O41^2)</f>
        <v>2.0487801285648279</v>
      </c>
      <c r="Q41" s="550">
        <f t="shared" si="1"/>
        <v>0.31613879327486527</v>
      </c>
      <c r="S41" s="551">
        <f t="shared" si="60"/>
        <v>2734.2844230343098</v>
      </c>
      <c r="W41" s="546">
        <f t="shared" si="13"/>
        <v>93</v>
      </c>
      <c r="X41" s="551">
        <f t="shared" si="2"/>
        <v>111.74521339154046</v>
      </c>
      <c r="Y41" s="553">
        <f>$X41/PI()*SQRT('Hilfstabellen_Mat&amp;Bem'!f.Rd.3/'Hilfstabellen_Mat&amp;Bem'!$BD$30)</f>
        <v>1.7784803078122324</v>
      </c>
      <c r="Z41" s="553">
        <f>0.5*(1+'Hilfstabellen_Mat&amp;Bem'!$BD$31*($Y41-0.3)+$Y41^2)</f>
        <v>2.1554201180285584</v>
      </c>
      <c r="AA41" s="550">
        <f t="shared" si="3"/>
        <v>0.29645960746415673</v>
      </c>
      <c r="AC41" s="551">
        <f t="shared" si="61"/>
        <v>2564.0791449574917</v>
      </c>
      <c r="AG41" s="546">
        <f t="shared" si="15"/>
        <v>93</v>
      </c>
      <c r="AH41" s="551">
        <f t="shared" si="4"/>
        <v>115.47005383792515</v>
      </c>
      <c r="AI41" s="553">
        <f>$AH41/PI()*SQRT('Hilfstabellen_Mat&amp;Bem'!f.Rd.3/'Hilfstabellen_Mat&amp;Bem'!$BD$30)</f>
        <v>1.8377629847393071</v>
      </c>
      <c r="AJ41" s="553">
        <f>0.5*(1+'Hilfstabellen_Mat&amp;Bem'!$BD$31*($AI41-0.3)+$AI41^2)</f>
        <v>2.2655745432759287</v>
      </c>
      <c r="AK41" s="550">
        <f t="shared" si="5"/>
        <v>0.27851192942466541</v>
      </c>
      <c r="AM41" s="551">
        <f t="shared" si="62"/>
        <v>2408.8496775939311</v>
      </c>
      <c r="AQ41" s="546">
        <f t="shared" si="17"/>
        <v>93</v>
      </c>
      <c r="AR41" s="551">
        <f t="shared" si="6"/>
        <v>119.19489428430983</v>
      </c>
      <c r="AS41" s="553">
        <f>$AR41/PI()*SQRT('Hilfstabellen_Mat&amp;Bem'!f.Rd.3/'Hilfstabellen_Mat&amp;Bem'!$BD$30)</f>
        <v>1.8970456616663811</v>
      </c>
      <c r="AT41" s="553">
        <f>0.5*(1+'Hilfstabellen_Mat&amp;Bem'!$BD$31*($AS41-0.3)+$AS41^2)</f>
        <v>2.3792434043069379</v>
      </c>
      <c r="AU41" s="550">
        <f t="shared" si="7"/>
        <v>0.26210836632971107</v>
      </c>
      <c r="AW41" s="551">
        <f t="shared" si="63"/>
        <v>2266.9752603856709</v>
      </c>
      <c r="AZ41" s="547">
        <f>'Hilfstabellen_Mat&amp;Bem'!$J$56</f>
        <v>3.3</v>
      </c>
      <c r="BA41" s="546">
        <f t="shared" si="19"/>
        <v>93</v>
      </c>
      <c r="BB41" s="551">
        <f t="shared" si="20"/>
        <v>122.91973473069451</v>
      </c>
      <c r="BC41" s="553">
        <f>BB41/PI()*SQRT('Hilfstabellen_Mat&amp;Bem'!f.Rd.3/'Hilfstabellen_Mat&amp;Bem'!$BD$30)</f>
        <v>1.9563283385934558</v>
      </c>
      <c r="BD41" s="553">
        <f>0.5*(1+'Hilfstabellen_Mat&amp;Bem'!$BD$31*(BC41-0.3)+BC41^2)</f>
        <v>2.4964267011215884</v>
      </c>
      <c r="BE41" s="550">
        <f t="shared" si="21"/>
        <v>0.24708385522344639</v>
      </c>
      <c r="BG41" s="551">
        <f t="shared" si="22"/>
        <v>2137.028263827588</v>
      </c>
      <c r="BJ41" s="547">
        <f>'Hilfstabellen_Mat&amp;Bem'!$J$57</f>
        <v>3.4</v>
      </c>
      <c r="BK41" s="546">
        <f t="shared" si="23"/>
        <v>93</v>
      </c>
      <c r="BL41" s="551">
        <f t="shared" si="24"/>
        <v>126.6445751770792</v>
      </c>
      <c r="BM41" s="553">
        <f>BL41/PI()*SQRT('Hilfstabellen_Mat&amp;Bem'!f.Rd.3/'Hilfstabellen_Mat&amp;Bem'!$BD$30)</f>
        <v>2.01561101552053</v>
      </c>
      <c r="BN41" s="553">
        <f>0.5*(1+'Hilfstabellen_Mat&amp;Bem'!$BD$31*(BM41-0.3)+BM41^2)</f>
        <v>2.6171244337198774</v>
      </c>
      <c r="BO41" s="550">
        <f t="shared" si="25"/>
        <v>0.23329320820676583</v>
      </c>
      <c r="BQ41" s="551">
        <f t="shared" si="26"/>
        <v>2017.7529577803177</v>
      </c>
      <c r="BT41" s="547">
        <f>'Hilfstabellen_Mat&amp;Bem'!$J$58</f>
        <v>3.5</v>
      </c>
      <c r="BU41" s="546">
        <f t="shared" si="27"/>
        <v>93</v>
      </c>
      <c r="BV41" s="551">
        <f t="shared" si="28"/>
        <v>130.36941562346388</v>
      </c>
      <c r="BW41" s="553">
        <f>BV41/PI()*SQRT('Hilfstabellen_Mat&amp;Bem'!f.Rd.3/'Hilfstabellen_Mat&amp;Bem'!$BD$30)</f>
        <v>2.0748936924476045</v>
      </c>
      <c r="BX41" s="553">
        <f>0.5*(1+'Hilfstabellen_Mat&amp;Bem'!$BD$31*(BW41-0.3)+BW41^2)</f>
        <v>2.7413366021018075</v>
      </c>
      <c r="BY41" s="550">
        <f t="shared" si="29"/>
        <v>0.22060873723597529</v>
      </c>
      <c r="CA41" s="551">
        <f t="shared" si="30"/>
        <v>1908.0449683539503</v>
      </c>
      <c r="CD41" s="547">
        <f>'Hilfstabellen_Mat&amp;Bem'!$J$59</f>
        <v>3.6</v>
      </c>
      <c r="CE41" s="546">
        <f t="shared" si="31"/>
        <v>93</v>
      </c>
      <c r="CF41" s="551">
        <f t="shared" si="32"/>
        <v>134.09425606984857</v>
      </c>
      <c r="CG41" s="553">
        <f>CF41/PI()*SQRT('Hilfstabellen_Mat&amp;Bem'!f.Rd.3/'Hilfstabellen_Mat&amp;Bem'!$BD$30)</f>
        <v>2.1341763693746794</v>
      </c>
      <c r="CH41" s="553">
        <f>0.5*(1+'Hilfstabellen_Mat&amp;Bem'!$BD$31*(CG41-0.3)+CG41^2)</f>
        <v>2.869063206267378</v>
      </c>
      <c r="CI41" s="550">
        <f t="shared" si="33"/>
        <v>0.20891806612789568</v>
      </c>
      <c r="CK41" s="551">
        <f t="shared" si="34"/>
        <v>1806.9323539401698</v>
      </c>
      <c r="CN41" s="547">
        <f>'Hilfstabellen_Mat&amp;Bem'!$J$60</f>
        <v>3.7</v>
      </c>
      <c r="CO41" s="546">
        <f t="shared" si="35"/>
        <v>93</v>
      </c>
      <c r="CP41" s="551">
        <f t="shared" si="36"/>
        <v>137.81909651623323</v>
      </c>
      <c r="CQ41" s="553">
        <f>CP41/PI()*SQRT('Hilfstabellen_Mat&amp;Bem'!f.Rd.3/'Hilfstabellen_Mat&amp;Bem'!$BD$30)</f>
        <v>2.1934590463017534</v>
      </c>
      <c r="CR41" s="553">
        <f>0.5*(1+'Hilfstabellen_Mat&amp;Bem'!$BD$31*(CQ41-0.3)+CQ41^2)</f>
        <v>3.0003042462165865</v>
      </c>
      <c r="CS41" s="550">
        <f t="shared" si="37"/>
        <v>0.19812217001803095</v>
      </c>
      <c r="CU41" s="551">
        <f t="shared" si="38"/>
        <v>1713.5586484859498</v>
      </c>
      <c r="CX41" s="547">
        <f>'Hilfstabellen_Mat&amp;Bem'!$J$61</f>
        <v>3.8</v>
      </c>
      <c r="CY41" s="546">
        <f t="shared" si="39"/>
        <v>93</v>
      </c>
      <c r="CZ41" s="551">
        <f t="shared" si="40"/>
        <v>141.54393696261792</v>
      </c>
      <c r="DA41" s="553">
        <f>CZ41/PI()*SQRT('Hilfstabellen_Mat&amp;Bem'!f.Rd.3/'Hilfstabellen_Mat&amp;Bem'!$BD$30)</f>
        <v>2.2527417232288278</v>
      </c>
      <c r="DB41" s="553">
        <f>0.5*(1+'Hilfstabellen_Mat&amp;Bem'!$BD$31*(DA41-0.3)+DA41^2)</f>
        <v>3.1350597219494358</v>
      </c>
      <c r="DC41" s="550">
        <f t="shared" si="41"/>
        <v>0.1881336472859291</v>
      </c>
      <c r="DE41" s="551">
        <f t="shared" si="42"/>
        <v>1627.1679153760008</v>
      </c>
      <c r="DH41" s="547">
        <f>'Hilfstabellen_Mat&amp;Bem'!$J$62</f>
        <v>3.9</v>
      </c>
      <c r="DI41" s="546">
        <f t="shared" si="43"/>
        <v>93</v>
      </c>
      <c r="DJ41" s="551">
        <f t="shared" si="44"/>
        <v>145.26877740900261</v>
      </c>
      <c r="DK41" s="553">
        <f>DJ41/PI()*SQRT('Hilfstabellen_Mat&amp;Bem'!f.Rd.3/'Hilfstabellen_Mat&amp;Bem'!$BD$30)</f>
        <v>2.3120244001559023</v>
      </c>
      <c r="DL41" s="553">
        <f>0.5*(1+'Hilfstabellen_Mat&amp;Bem'!$BD$31*(DK41-0.3)+DK41^2)</f>
        <v>3.273329633465925</v>
      </c>
      <c r="DM41" s="550">
        <f t="shared" si="45"/>
        <v>0.17887521149776997</v>
      </c>
      <c r="DO41" s="551">
        <f t="shared" si="46"/>
        <v>1547.0917042442125</v>
      </c>
      <c r="DR41" s="547">
        <f>'Hilfstabellen_Mat&amp;Bem'!$J$63</f>
        <v>4</v>
      </c>
      <c r="DS41" s="546">
        <f t="shared" si="47"/>
        <v>93</v>
      </c>
      <c r="DT41" s="551">
        <f t="shared" si="48"/>
        <v>148.99361785538727</v>
      </c>
      <c r="DU41" s="553">
        <f>DT41/PI()*SQRT('Hilfstabellen_Mat&amp;Bem'!f.Rd.3/'Hilfstabellen_Mat&amp;Bem'!$BD$30)</f>
        <v>2.3713070770829763</v>
      </c>
      <c r="DV41" s="553">
        <f>0.5*(1+'Hilfstabellen_Mat&amp;Bem'!$BD$31*(DU41-0.3)+DU41^2)</f>
        <v>3.4151139807660531</v>
      </c>
      <c r="DW41" s="550">
        <f t="shared" si="49"/>
        <v>0.1702783832014734</v>
      </c>
      <c r="DY41" s="551">
        <f t="shared" si="50"/>
        <v>1472.7377363095434</v>
      </c>
      <c r="EB41" s="547">
        <f>'Hilfstabellen_Mat&amp;Bem'!$J$64</f>
        <v>4.0999999999999996</v>
      </c>
      <c r="EC41" s="546">
        <f t="shared" si="51"/>
        <v>93</v>
      </c>
      <c r="ED41" s="551">
        <f t="shared" si="52"/>
        <v>152.71845830177196</v>
      </c>
      <c r="EE41" s="553">
        <f>ED41/PI()*SQRT('Hilfstabellen_Mat&amp;Bem'!f.Rd.3/'Hilfstabellen_Mat&amp;Bem'!$BD$30)</f>
        <v>2.4305897540100507</v>
      </c>
      <c r="EF41" s="553">
        <f>0.5*(1+'Hilfstabellen_Mat&amp;Bem'!$BD$31*(EE41-0.3)+EE41^2)</f>
        <v>3.560412763849822</v>
      </c>
      <c r="EG41" s="550">
        <f t="shared" si="53"/>
        <v>0.16228235894701548</v>
      </c>
      <c r="EI41" s="551">
        <f t="shared" si="54"/>
        <v>1403.5801225327368</v>
      </c>
      <c r="EL41" s="547">
        <f>'Hilfstabellen_Mat&amp;Bem'!$J$65</f>
        <v>4.2</v>
      </c>
      <c r="EM41" s="546">
        <f t="shared" si="55"/>
        <v>93</v>
      </c>
      <c r="EN41" s="551">
        <f t="shared" si="56"/>
        <v>156.44329874815665</v>
      </c>
      <c r="EO41" s="553">
        <f>EN41/PI()*SQRT('Hilfstabellen_Mat&amp;Bem'!f.Rd.3/'Hilfstabellen_Mat&amp;Bem'!$BD$30)</f>
        <v>2.4898724309371256</v>
      </c>
      <c r="EP41" s="553">
        <f>0.5*(1+'Hilfstabellen_Mat&amp;Bem'!$BD$31*(EO41-0.3)+EO41^2)</f>
        <v>3.709225982717232</v>
      </c>
      <c r="EQ41" s="550">
        <f t="shared" si="57"/>
        <v>0.1548330351717187</v>
      </c>
      <c r="ES41" s="551">
        <f t="shared" si="58"/>
        <v>1339.1509212001952</v>
      </c>
    </row>
    <row r="42" spans="3:149">
      <c r="C42" s="546">
        <v>94</v>
      </c>
      <c r="D42" s="551">
        <f t="shared" si="8"/>
        <v>103.18600555729481</v>
      </c>
      <c r="E42" s="553">
        <f>$D42/PI()*SQRT('Hilfstabellen_Mat&amp;Bem'!f.Rd.3/'Hilfstabellen_Mat&amp;Bem'!$BD$30)</f>
        <v>1.6422562842351252</v>
      </c>
      <c r="F42" s="553">
        <f>0.5*(1+'Hilfstabellen_Mat&amp;Bem'!$BD$31*($E42-0.3)+$E42^2)</f>
        <v>1.9156156657666363</v>
      </c>
      <c r="G42" s="550">
        <f t="shared" si="9"/>
        <v>0.34461259615100509</v>
      </c>
      <c r="I42" s="551">
        <f t="shared" si="59"/>
        <v>3044.9968995902809</v>
      </c>
      <c r="M42" s="546">
        <f t="shared" si="11"/>
        <v>94</v>
      </c>
      <c r="N42" s="551">
        <f t="shared" si="0"/>
        <v>106.87122004148391</v>
      </c>
      <c r="O42" s="553">
        <f>$N42/PI()*SQRT('Hilfstabellen_Mat&amp;Bem'!f.Rd.3/'Hilfstabellen_Mat&amp;Bem'!$BD$30)</f>
        <v>1.7009082943863796</v>
      </c>
      <c r="P42" s="553">
        <f>0.5*(1+'Hilfstabellen_Mat&amp;Bem'!$BD$31*($O42-0.3)+$O42^2)</f>
        <v>2.0165899276755104</v>
      </c>
      <c r="Q42" s="550">
        <f t="shared" si="1"/>
        <v>0.32259176229815539</v>
      </c>
      <c r="S42" s="551">
        <f t="shared" si="60"/>
        <v>2850.4208116665009</v>
      </c>
      <c r="W42" s="546">
        <f t="shared" si="13"/>
        <v>94</v>
      </c>
      <c r="X42" s="551">
        <f t="shared" si="2"/>
        <v>110.55643452567301</v>
      </c>
      <c r="Y42" s="553">
        <f>$X42/PI()*SQRT('Hilfstabellen_Mat&amp;Bem'!f.Rd.3/'Hilfstabellen_Mat&amp;Bem'!$BD$30)</f>
        <v>1.7595603045376345</v>
      </c>
      <c r="Z42" s="553">
        <f>0.5*(1+'Hilfstabellen_Mat&amp;Bem'!$BD$31*($Y42-0.3)+$Y42^2)</f>
        <v>2.121004247879168</v>
      </c>
      <c r="AA42" s="550">
        <f t="shared" si="3"/>
        <v>0.30254246133491197</v>
      </c>
      <c r="AC42" s="551">
        <f t="shared" si="61"/>
        <v>2673.2651883552821</v>
      </c>
      <c r="AG42" s="546">
        <f t="shared" si="15"/>
        <v>94</v>
      </c>
      <c r="AH42" s="551">
        <f t="shared" si="4"/>
        <v>114.24164900986212</v>
      </c>
      <c r="AI42" s="553">
        <f>$AH42/PI()*SQRT('Hilfstabellen_Mat&amp;Bem'!f.Rd.3/'Hilfstabellen_Mat&amp;Bem'!$BD$30)</f>
        <v>1.8182123146888889</v>
      </c>
      <c r="AJ42" s="553">
        <f>0.5*(1+'Hilfstabellen_Mat&amp;Bem'!$BD$31*($AI42-0.3)+$AI42^2)</f>
        <v>2.2288586263776082</v>
      </c>
      <c r="AK42" s="550">
        <f t="shared" si="5"/>
        <v>0.28425149875310157</v>
      </c>
      <c r="AM42" s="551">
        <f t="shared" si="62"/>
        <v>2511.6462429824055</v>
      </c>
      <c r="AQ42" s="546">
        <f t="shared" si="17"/>
        <v>94</v>
      </c>
      <c r="AR42" s="551">
        <f t="shared" si="6"/>
        <v>117.9268634940512</v>
      </c>
      <c r="AS42" s="553">
        <f>$AR42/PI()*SQRT('Hilfstabellen_Mat&amp;Bem'!f.Rd.3/'Hilfstabellen_Mat&amp;Bem'!$BD$30)</f>
        <v>1.8768643248401429</v>
      </c>
      <c r="AT42" s="553">
        <f>0.5*(1+'Hilfstabellen_Mat&amp;Bem'!$BD$31*($AS42-0.3)+$AS42^2)</f>
        <v>2.3401530631708298</v>
      </c>
      <c r="AU42" s="550">
        <f t="shared" si="7"/>
        <v>0.26752989222113133</v>
      </c>
      <c r="AW42" s="551">
        <f t="shared" si="63"/>
        <v>2363.8941276659166</v>
      </c>
      <c r="AZ42" s="547">
        <f>'Hilfstabellen_Mat&amp;Bem'!$J$56</f>
        <v>3.3</v>
      </c>
      <c r="BA42" s="546">
        <f t="shared" si="19"/>
        <v>94</v>
      </c>
      <c r="BB42" s="551">
        <f t="shared" si="20"/>
        <v>121.61207797824031</v>
      </c>
      <c r="BC42" s="553">
        <f>BB42/PI()*SQRT('Hilfstabellen_Mat&amp;Bem'!f.Rd.3/'Hilfstabellen_Mat&amp;Bem'!$BD$30)</f>
        <v>1.9355163349913977</v>
      </c>
      <c r="BD42" s="553">
        <f>0.5*(1+'Hilfstabellen_Mat&amp;Bem'!$BD$31*(BC42-0.3)+BC42^2)</f>
        <v>2.4548875582588363</v>
      </c>
      <c r="BE42" s="550">
        <f t="shared" si="21"/>
        <v>0.25221081435347931</v>
      </c>
      <c r="BG42" s="551">
        <f t="shared" si="22"/>
        <v>2228.5347556273432</v>
      </c>
      <c r="BJ42" s="547">
        <f>'Hilfstabellen_Mat&amp;Bem'!$J$57</f>
        <v>3.4</v>
      </c>
      <c r="BK42" s="546">
        <f t="shared" si="23"/>
        <v>94</v>
      </c>
      <c r="BL42" s="551">
        <f t="shared" si="24"/>
        <v>125.29729246242941</v>
      </c>
      <c r="BM42" s="553">
        <f>BL42/PI()*SQRT('Hilfstabellen_Mat&amp;Bem'!f.Rd.3/'Hilfstabellen_Mat&amp;Bem'!$BD$30)</f>
        <v>1.9941683451426522</v>
      </c>
      <c r="BN42" s="553">
        <f>0.5*(1+'Hilfstabellen_Mat&amp;Bem'!$BD$31*(BM42-0.3)+BM42^2)</f>
        <v>2.5730621116416246</v>
      </c>
      <c r="BO42" s="550">
        <f t="shared" si="25"/>
        <v>0.23814728044824904</v>
      </c>
      <c r="BQ42" s="551">
        <f t="shared" si="26"/>
        <v>2104.2693700407285</v>
      </c>
      <c r="BT42" s="547">
        <f>'Hilfstabellen_Mat&amp;Bem'!$J$58</f>
        <v>3.5</v>
      </c>
      <c r="BU42" s="546">
        <f t="shared" si="27"/>
        <v>94</v>
      </c>
      <c r="BV42" s="551">
        <f t="shared" si="28"/>
        <v>128.98250694661851</v>
      </c>
      <c r="BW42" s="553">
        <f>BV42/PI()*SQRT('Hilfstabellen_Mat&amp;Bem'!f.Rd.3/'Hilfstabellen_Mat&amp;Bem'!$BD$30)</f>
        <v>2.0528203552939064</v>
      </c>
      <c r="BX42" s="553">
        <f>0.5*(1+'Hilfstabellen_Mat&amp;Bem'!$BD$31*(BW42-0.3)+BW42^2)</f>
        <v>2.6946767233191951</v>
      </c>
      <c r="BY42" s="550">
        <f t="shared" si="29"/>
        <v>0.22520985422388951</v>
      </c>
      <c r="CA42" s="551">
        <f t="shared" si="30"/>
        <v>1989.9542719222877</v>
      </c>
      <c r="CD42" s="547">
        <f>'Hilfstabellen_Mat&amp;Bem'!$J$59</f>
        <v>3.6</v>
      </c>
      <c r="CE42" s="546">
        <f t="shared" si="31"/>
        <v>94</v>
      </c>
      <c r="CF42" s="551">
        <f t="shared" si="32"/>
        <v>132.66772143080763</v>
      </c>
      <c r="CG42" s="553">
        <f>CF42/PI()*SQRT('Hilfstabellen_Mat&amp;Bem'!f.Rd.3/'Hilfstabellen_Mat&amp;Bem'!$BD$30)</f>
        <v>2.1114723654451613</v>
      </c>
      <c r="CH42" s="553">
        <f>0.5*(1+'Hilfstabellen_Mat&amp;Bem'!$BD$31*(CG42-0.3)+CG42^2)</f>
        <v>2.8197313932915504</v>
      </c>
      <c r="CI42" s="550">
        <f t="shared" si="33"/>
        <v>0.21328450342768726</v>
      </c>
      <c r="CK42" s="551">
        <f t="shared" si="34"/>
        <v>1884.5818722870447</v>
      </c>
      <c r="CN42" s="547">
        <f>'Hilfstabellen_Mat&amp;Bem'!$J$60</f>
        <v>3.7</v>
      </c>
      <c r="CO42" s="546">
        <f t="shared" si="35"/>
        <v>94</v>
      </c>
      <c r="CP42" s="551">
        <f t="shared" si="36"/>
        <v>136.35293591499672</v>
      </c>
      <c r="CQ42" s="553">
        <f>CP42/PI()*SQRT('Hilfstabellen_Mat&amp;Bem'!f.Rd.3/'Hilfstabellen_Mat&amp;Bem'!$BD$30)</f>
        <v>2.1701243755964157</v>
      </c>
      <c r="CR42" s="553">
        <f>0.5*(1+'Hilfstabellen_Mat&amp;Bem'!$BD$31*(CQ42-0.3)+CQ42^2)</f>
        <v>2.9482261215586876</v>
      </c>
      <c r="CS42" s="550">
        <f t="shared" si="37"/>
        <v>0.20227066034320321</v>
      </c>
      <c r="CU42" s="551">
        <f t="shared" si="38"/>
        <v>1787.2635547925436</v>
      </c>
      <c r="CX42" s="547">
        <f>'Hilfstabellen_Mat&amp;Bem'!$J$61</f>
        <v>3.8</v>
      </c>
      <c r="CY42" s="546">
        <f t="shared" si="39"/>
        <v>94</v>
      </c>
      <c r="CZ42" s="551">
        <f t="shared" si="40"/>
        <v>140.03815039918581</v>
      </c>
      <c r="DA42" s="553">
        <f>CZ42/PI()*SQRT('Hilfstabellen_Mat&amp;Bem'!f.Rd.3/'Hilfstabellen_Mat&amp;Bem'!$BD$30)</f>
        <v>2.2287763857476697</v>
      </c>
      <c r="DB42" s="553">
        <f>0.5*(1+'Hilfstabellen_Mat&amp;Bem'!$BD$31*(DA42-0.3)+DA42^2)</f>
        <v>3.0801609081206065</v>
      </c>
      <c r="DC42" s="550">
        <f t="shared" si="41"/>
        <v>0.19207950126860165</v>
      </c>
      <c r="DE42" s="551">
        <f t="shared" si="42"/>
        <v>1697.2144732093643</v>
      </c>
      <c r="DH42" s="547">
        <f>'Hilfstabellen_Mat&amp;Bem'!$J$62</f>
        <v>3.9</v>
      </c>
      <c r="DI42" s="546">
        <f t="shared" si="43"/>
        <v>94</v>
      </c>
      <c r="DJ42" s="551">
        <f t="shared" si="44"/>
        <v>143.72336488337493</v>
      </c>
      <c r="DK42" s="553">
        <f>DJ42/PI()*SQRT('Hilfstabellen_Mat&amp;Bem'!f.Rd.3/'Hilfstabellen_Mat&amp;Bem'!$BD$30)</f>
        <v>2.2874283958989245</v>
      </c>
      <c r="DL42" s="553">
        <f>0.5*(1+'Hilfstabellen_Mat&amp;Bem'!$BD$31*(DK42-0.3)+DK42^2)</f>
        <v>3.2155357529773099</v>
      </c>
      <c r="DM42" s="550">
        <f t="shared" si="45"/>
        <v>0.18263243809313043</v>
      </c>
      <c r="DO42" s="551">
        <f t="shared" si="46"/>
        <v>1613.7402229909005</v>
      </c>
      <c r="DR42" s="547">
        <f>'Hilfstabellen_Mat&amp;Bem'!$J$63</f>
        <v>4</v>
      </c>
      <c r="DS42" s="546">
        <f t="shared" si="47"/>
        <v>94</v>
      </c>
      <c r="DT42" s="551">
        <f t="shared" si="48"/>
        <v>147.40857936756402</v>
      </c>
      <c r="DU42" s="553">
        <f>DT42/PI()*SQRT('Hilfstabellen_Mat&amp;Bem'!f.Rd.3/'Hilfstabellen_Mat&amp;Bem'!$BD$30)</f>
        <v>2.346080406050179</v>
      </c>
      <c r="DV42" s="553">
        <f>0.5*(1+'Hilfstabellen_Mat&amp;Bem'!$BD$31*(DU42-0.3)+DU42^2)</f>
        <v>3.354350656128795</v>
      </c>
      <c r="DW42" s="550">
        <f t="shared" si="49"/>
        <v>0.17385980524801789</v>
      </c>
      <c r="DY42" s="551">
        <f t="shared" si="50"/>
        <v>1536.225239171486</v>
      </c>
      <c r="EB42" s="547">
        <f>'Hilfstabellen_Mat&amp;Bem'!$J$64</f>
        <v>4.0999999999999996</v>
      </c>
      <c r="EC42" s="546">
        <f t="shared" si="51"/>
        <v>94</v>
      </c>
      <c r="ED42" s="551">
        <f t="shared" si="52"/>
        <v>151.09379385175311</v>
      </c>
      <c r="EE42" s="553">
        <f>ED42/PI()*SQRT('Hilfstabellen_Mat&amp;Bem'!f.Rd.3/'Hilfstabellen_Mat&amp;Bem'!$BD$30)</f>
        <v>2.4047324162014334</v>
      </c>
      <c r="EF42" s="553">
        <f>0.5*(1+'Hilfstabellen_Mat&amp;Bem'!$BD$31*(EE42-0.3)+EE42^2)</f>
        <v>3.4966056175750637</v>
      </c>
      <c r="EG42" s="550">
        <f t="shared" si="53"/>
        <v>0.16569972152366691</v>
      </c>
      <c r="EI42" s="551">
        <f t="shared" si="54"/>
        <v>1464.1227393831209</v>
      </c>
      <c r="EL42" s="547">
        <f>'Hilfstabellen_Mat&amp;Bem'!$J$65</f>
        <v>4.2</v>
      </c>
      <c r="EM42" s="546">
        <f t="shared" si="55"/>
        <v>94</v>
      </c>
      <c r="EN42" s="551">
        <f t="shared" si="56"/>
        <v>154.77900833594219</v>
      </c>
      <c r="EO42" s="553">
        <f>EN42/PI()*SQRT('Hilfstabellen_Mat&amp;Bem'!f.Rd.3/'Hilfstabellen_Mat&amp;Bem'!$BD$30)</f>
        <v>2.4633844263526878</v>
      </c>
      <c r="EP42" s="553">
        <f>0.5*(1+'Hilfstabellen_Mat&amp;Bem'!$BD$31*(EO42-0.3)+EO42^2)</f>
        <v>3.6423006373161151</v>
      </c>
      <c r="EQ42" s="550">
        <f t="shared" si="57"/>
        <v>0.15809710568890389</v>
      </c>
      <c r="ES42" s="551">
        <f t="shared" si="58"/>
        <v>1396.9460258671547</v>
      </c>
    </row>
    <row r="43" spans="3:149">
      <c r="C43" s="546">
        <v>95</v>
      </c>
      <c r="D43" s="551">
        <f t="shared" si="8"/>
        <v>102.09983707774434</v>
      </c>
      <c r="E43" s="553">
        <f>$D43/PI()*SQRT('Hilfstabellen_Mat&amp;Bem'!f.Rd.3/'Hilfstabellen_Mat&amp;Bem'!$BD$30)</f>
        <v>1.6249693759800188</v>
      </c>
      <c r="F43" s="553">
        <f>0.5*(1+'Hilfstabellen_Mat&amp;Bem'!$BD$31*($E43-0.3)+$E43^2)</f>
        <v>1.8865112052354469</v>
      </c>
      <c r="G43" s="550">
        <f t="shared" si="9"/>
        <v>0.35151329686610633</v>
      </c>
      <c r="I43" s="551">
        <f t="shared" si="59"/>
        <v>3172.4075042166096</v>
      </c>
      <c r="M43" s="546">
        <f t="shared" si="11"/>
        <v>95</v>
      </c>
      <c r="N43" s="551">
        <f t="shared" si="0"/>
        <v>105.74625983052093</v>
      </c>
      <c r="O43" s="553">
        <f>$N43/PI()*SQRT('Hilfstabellen_Mat&amp;Bem'!f.Rd.3/'Hilfstabellen_Mat&amp;Bem'!$BD$30)</f>
        <v>1.6830039965507337</v>
      </c>
      <c r="P43" s="553">
        <f>0.5*(1+'Hilfstabellen_Mat&amp;Bem'!$BD$31*($O43-0.3)+$O43^2)</f>
        <v>1.9854014260304078</v>
      </c>
      <c r="Q43" s="550">
        <f t="shared" si="1"/>
        <v>0.32909434423468448</v>
      </c>
      <c r="S43" s="551">
        <f t="shared" si="60"/>
        <v>2970.0764567180272</v>
      </c>
      <c r="W43" s="546">
        <f t="shared" si="13"/>
        <v>95</v>
      </c>
      <c r="X43" s="551">
        <f t="shared" si="2"/>
        <v>109.3926825832975</v>
      </c>
      <c r="Y43" s="553">
        <f>$X43/PI()*SQRT('Hilfstabellen_Mat&amp;Bem'!f.Rd.3/'Hilfstabellen_Mat&amp;Bem'!$BD$30)</f>
        <v>1.7410386171214485</v>
      </c>
      <c r="Z43" s="553">
        <f>0.5*(1+'Hilfstabellen_Mat&amp;Bem'!$BD$31*($Y43-0.3)+$Y43^2)</f>
        <v>2.0876596640101552</v>
      </c>
      <c r="AA43" s="550">
        <f t="shared" si="3"/>
        <v>0.30867425820666311</v>
      </c>
      <c r="AC43" s="551">
        <f t="shared" si="61"/>
        <v>2785.7851803151348</v>
      </c>
      <c r="AG43" s="546">
        <f t="shared" si="15"/>
        <v>95</v>
      </c>
      <c r="AH43" s="551">
        <f t="shared" si="4"/>
        <v>113.03910533607407</v>
      </c>
      <c r="AI43" s="553">
        <f>$AH43/PI()*SQRT('Hilfstabellen_Mat&amp;Bem'!f.Rd.3/'Hilfstabellen_Mat&amp;Bem'!$BD$30)</f>
        <v>1.7990732376921632</v>
      </c>
      <c r="AJ43" s="553">
        <f>0.5*(1+'Hilfstabellen_Mat&amp;Bem'!$BD$31*($AI43-0.3)+$AI43^2)</f>
        <v>2.1932859191746896</v>
      </c>
      <c r="AK43" s="550">
        <f t="shared" si="5"/>
        <v>0.29003891810757404</v>
      </c>
      <c r="AM43" s="551">
        <f t="shared" si="62"/>
        <v>2617.6012359208557</v>
      </c>
      <c r="AQ43" s="546">
        <f t="shared" si="17"/>
        <v>95</v>
      </c>
      <c r="AR43" s="551">
        <f t="shared" si="6"/>
        <v>116.68552808885067</v>
      </c>
      <c r="AS43" s="553">
        <f>$AR43/PI()*SQRT('Hilfstabellen_Mat&amp;Bem'!f.Rd.3/'Hilfstabellen_Mat&amp;Bem'!$BD$30)</f>
        <v>1.8571078582628786</v>
      </c>
      <c r="AT43" s="553">
        <f>0.5*(1+'Hilfstabellen_Mat&amp;Bem'!$BD$31*($AS43-0.3)+$AS43^2)</f>
        <v>2.3022801915240119</v>
      </c>
      <c r="AU43" s="550">
        <f t="shared" si="7"/>
        <v>0.27299791550624597</v>
      </c>
      <c r="AW43" s="551">
        <f t="shared" si="63"/>
        <v>2463.8061874438699</v>
      </c>
      <c r="AZ43" s="547">
        <f>'Hilfstabellen_Mat&amp;Bem'!$J$56</f>
        <v>3.3</v>
      </c>
      <c r="BA43" s="546">
        <f t="shared" si="19"/>
        <v>95</v>
      </c>
      <c r="BB43" s="551">
        <f t="shared" si="20"/>
        <v>120.33195084162726</v>
      </c>
      <c r="BC43" s="553">
        <f>BB43/PI()*SQRT('Hilfstabellen_Mat&amp;Bem'!f.Rd.3/'Hilfstabellen_Mat&amp;Bem'!$BD$30)</f>
        <v>1.9151424788335936</v>
      </c>
      <c r="BD43" s="553">
        <f>0.5*(1+'Hilfstabellen_Mat&amp;Bem'!$BD$31*(BC43-0.3)+BC43^2)</f>
        <v>2.4146424810581202</v>
      </c>
      <c r="BE43" s="550">
        <f t="shared" si="21"/>
        <v>0.25738276853315772</v>
      </c>
      <c r="BG43" s="551">
        <f t="shared" si="22"/>
        <v>2322.8794860117487</v>
      </c>
      <c r="BJ43" s="547">
        <f>'Hilfstabellen_Mat&amp;Bem'!$J$57</f>
        <v>3.4</v>
      </c>
      <c r="BK43" s="546">
        <f t="shared" si="23"/>
        <v>95</v>
      </c>
      <c r="BL43" s="551">
        <f t="shared" si="24"/>
        <v>123.97837359440385</v>
      </c>
      <c r="BM43" s="553">
        <f>BL43/PI()*SQRT('Hilfstabellen_Mat&amp;Bem'!f.Rd.3/'Hilfstabellen_Mat&amp;Bem'!$BD$30)</f>
        <v>1.9731770994043085</v>
      </c>
      <c r="BN43" s="553">
        <f>0.5*(1+'Hilfstabellen_Mat&amp;Bem'!$BD$31*(BM43-0.3)+BM43^2)</f>
        <v>2.5303727877770155</v>
      </c>
      <c r="BO43" s="550">
        <f t="shared" si="25"/>
        <v>0.24304476983000645</v>
      </c>
      <c r="BQ43" s="551">
        <f t="shared" si="26"/>
        <v>2193.4790477158081</v>
      </c>
      <c r="BT43" s="547">
        <f>'Hilfstabellen_Mat&amp;Bem'!$J$58</f>
        <v>3.5</v>
      </c>
      <c r="BU43" s="546">
        <f t="shared" si="27"/>
        <v>95</v>
      </c>
      <c r="BV43" s="551">
        <f t="shared" si="28"/>
        <v>127.62479634718044</v>
      </c>
      <c r="BW43" s="553">
        <f>BV43/PI()*SQRT('Hilfstabellen_Mat&amp;Bem'!f.Rd.3/'Hilfstabellen_Mat&amp;Bem'!$BD$30)</f>
        <v>2.0312117199750235</v>
      </c>
      <c r="BX43" s="553">
        <f>0.5*(1+'Hilfstabellen_Mat&amp;Bem'!$BD$31*(BW43-0.3)+BW43^2)</f>
        <v>2.6494711116806977</v>
      </c>
      <c r="BY43" s="550">
        <f t="shared" si="29"/>
        <v>0.22985278481662202</v>
      </c>
      <c r="CA43" s="551">
        <f t="shared" si="30"/>
        <v>2074.4213829700138</v>
      </c>
      <c r="CD43" s="547">
        <f>'Hilfstabellen_Mat&amp;Bem'!$J$59</f>
        <v>3.6</v>
      </c>
      <c r="CE43" s="546">
        <f t="shared" si="31"/>
        <v>95</v>
      </c>
      <c r="CF43" s="551">
        <f t="shared" si="32"/>
        <v>131.27121909995699</v>
      </c>
      <c r="CG43" s="553">
        <f>CF43/PI()*SQRT('Hilfstabellen_Mat&amp;Bem'!f.Rd.3/'Hilfstabellen_Mat&amp;Bem'!$BD$30)</f>
        <v>2.089246340545738</v>
      </c>
      <c r="CH43" s="553">
        <f>0.5*(1+'Hilfstabellen_Mat&amp;Bem'!$BD$31*(CG43-0.3)+CG43^2)</f>
        <v>2.7719374527691656</v>
      </c>
      <c r="CI43" s="550">
        <f t="shared" si="33"/>
        <v>0.21769115859949942</v>
      </c>
      <c r="CK43" s="551">
        <f t="shared" si="34"/>
        <v>1964.6627063604822</v>
      </c>
      <c r="CN43" s="547">
        <f>'Hilfstabellen_Mat&amp;Bem'!$J$60</f>
        <v>3.7</v>
      </c>
      <c r="CO43" s="546">
        <f t="shared" si="35"/>
        <v>95</v>
      </c>
      <c r="CP43" s="551">
        <f t="shared" si="36"/>
        <v>134.9176418527336</v>
      </c>
      <c r="CQ43" s="553">
        <f>CP43/PI()*SQRT('Hilfstabellen_Mat&amp;Bem'!f.Rd.3/'Hilfstabellen_Mat&amp;Bem'!$BD$30)</f>
        <v>2.1472809611164534</v>
      </c>
      <c r="CR43" s="553">
        <f>0.5*(1+'Hilfstabellen_Mat&amp;Bem'!$BD$31*(CQ43-0.3)+CQ43^2)</f>
        <v>2.8977718110424227</v>
      </c>
      <c r="CS43" s="550">
        <f t="shared" si="37"/>
        <v>0.20645780269663713</v>
      </c>
      <c r="CU43" s="551">
        <f t="shared" si="38"/>
        <v>1863.2816693371501</v>
      </c>
      <c r="CX43" s="547">
        <f>'Hilfstabellen_Mat&amp;Bem'!$J$61</f>
        <v>3.8</v>
      </c>
      <c r="CY43" s="546">
        <f t="shared" si="39"/>
        <v>95</v>
      </c>
      <c r="CZ43" s="551">
        <f t="shared" si="40"/>
        <v>138.56406460551017</v>
      </c>
      <c r="DA43" s="553">
        <f>CZ43/PI()*SQRT('Hilfstabellen_Mat&amp;Bem'!f.Rd.3/'Hilfstabellen_Mat&amp;Bem'!$BD$30)</f>
        <v>2.2053155816871679</v>
      </c>
      <c r="DB43" s="553">
        <f>0.5*(1+'Hilfstabellen_Mat&amp;Bem'!$BD$31*(DA43-0.3)+DA43^2)</f>
        <v>3.026974186500464</v>
      </c>
      <c r="DC43" s="550">
        <f t="shared" si="41"/>
        <v>0.19606248557633724</v>
      </c>
      <c r="DE43" s="551">
        <f t="shared" si="42"/>
        <v>1769.4639323264435</v>
      </c>
      <c r="DH43" s="547">
        <f>'Hilfstabellen_Mat&amp;Bem'!$J$62</f>
        <v>3.9</v>
      </c>
      <c r="DI43" s="546">
        <f t="shared" si="43"/>
        <v>95</v>
      </c>
      <c r="DJ43" s="551">
        <f t="shared" si="44"/>
        <v>142.21048735828677</v>
      </c>
      <c r="DK43" s="553">
        <f>DJ43/PI()*SQRT('Hilfstabellen_Mat&amp;Bem'!f.Rd.3/'Hilfstabellen_Mat&amp;Bem'!$BD$30)</f>
        <v>2.2633502022578833</v>
      </c>
      <c r="DL43" s="553">
        <f>0.5*(1+'Hilfstabellen_Mat&amp;Bem'!$BD$31*(DK43-0.3)+DK43^2)</f>
        <v>3.159544579143295</v>
      </c>
      <c r="DM43" s="550">
        <f t="shared" si="45"/>
        <v>0.18642532627150901</v>
      </c>
      <c r="DO43" s="551">
        <f t="shared" si="46"/>
        <v>1682.4885696003689</v>
      </c>
      <c r="DR43" s="547">
        <f>'Hilfstabellen_Mat&amp;Bem'!$J$63</f>
        <v>4</v>
      </c>
      <c r="DS43" s="546">
        <f t="shared" si="47"/>
        <v>95</v>
      </c>
      <c r="DT43" s="551">
        <f t="shared" si="48"/>
        <v>145.85691011106334</v>
      </c>
      <c r="DU43" s="553">
        <f>DT43/PI()*SQRT('Hilfstabellen_Mat&amp;Bem'!f.Rd.3/'Hilfstabellen_Mat&amp;Bem'!$BD$30)</f>
        <v>2.3213848228285978</v>
      </c>
      <c r="DV43" s="553">
        <f>0.5*(1+'Hilfstabellen_Mat&amp;Bem'!$BD$31*(DU43-0.3)+DU43^2)</f>
        <v>3.2954829889709099</v>
      </c>
      <c r="DW43" s="550">
        <f t="shared" si="49"/>
        <v>0.17747547814850007</v>
      </c>
      <c r="DY43" s="551">
        <f t="shared" si="50"/>
        <v>1601.716190290213</v>
      </c>
      <c r="EB43" s="547">
        <f>'Hilfstabellen_Mat&amp;Bem'!$J$64</f>
        <v>4.0999999999999996</v>
      </c>
      <c r="EC43" s="546">
        <f t="shared" si="51"/>
        <v>95</v>
      </c>
      <c r="ED43" s="551">
        <f t="shared" si="52"/>
        <v>149.50333286383992</v>
      </c>
      <c r="EE43" s="553">
        <f>ED43/PI()*SQRT('Hilfstabellen_Mat&amp;Bem'!f.Rd.3/'Hilfstabellen_Mat&amp;Bem'!$BD$30)</f>
        <v>2.3794194433993128</v>
      </c>
      <c r="EF43" s="553">
        <f>0.5*(1+'Hilfstabellen_Mat&amp;Bem'!$BD$31*(EE43-0.3)+EE43^2)</f>
        <v>3.4347894159833134</v>
      </c>
      <c r="EG43" s="550">
        <f t="shared" si="53"/>
        <v>0.16914998467928349</v>
      </c>
      <c r="EI43" s="551">
        <f t="shared" si="54"/>
        <v>1526.5786117305336</v>
      </c>
      <c r="EL43" s="547">
        <f>'Hilfstabellen_Mat&amp;Bem'!$J$65</f>
        <v>4.2</v>
      </c>
      <c r="EM43" s="546">
        <f t="shared" si="55"/>
        <v>95</v>
      </c>
      <c r="EN43" s="551">
        <f t="shared" si="56"/>
        <v>153.14975561661652</v>
      </c>
      <c r="EO43" s="553">
        <f>EN43/PI()*SQRT('Hilfstabellen_Mat&amp;Bem'!f.Rd.3/'Hilfstabellen_Mat&amp;Bem'!$BD$30)</f>
        <v>2.4374540639700282</v>
      </c>
      <c r="EP43" s="553">
        <f>0.5*(1+'Hilfstabellen_Mat&amp;Bem'!$BD$31*(EO43-0.3)+EO43^2)</f>
        <v>3.5774638601805044</v>
      </c>
      <c r="EQ43" s="550">
        <f t="shared" si="57"/>
        <v>0.16139278760682996</v>
      </c>
      <c r="ES43" s="551">
        <f t="shared" si="58"/>
        <v>1456.5699081516404</v>
      </c>
    </row>
    <row r="44" spans="3:149">
      <c r="C44" s="546">
        <v>96</v>
      </c>
      <c r="D44" s="551">
        <f t="shared" si="8"/>
        <v>101.03629710818451</v>
      </c>
      <c r="E44" s="553">
        <f>$D44/PI()*SQRT('Hilfstabellen_Mat&amp;Bem'!f.Rd.3/'Hilfstabellen_Mat&amp;Bem'!$BD$30)</f>
        <v>1.6080426116468935</v>
      </c>
      <c r="F44" s="553">
        <f>0.5*(1+'Hilfstabellen_Mat&amp;Bem'!$BD$31*($E44-0.3)+$E44^2)</f>
        <v>1.8583026510184257</v>
      </c>
      <c r="G44" s="550">
        <f t="shared" si="9"/>
        <v>0.35846240211117675</v>
      </c>
      <c r="I44" s="551">
        <f t="shared" si="59"/>
        <v>3303.5894978566048</v>
      </c>
      <c r="M44" s="546">
        <f t="shared" si="11"/>
        <v>96</v>
      </c>
      <c r="N44" s="551">
        <f t="shared" si="0"/>
        <v>104.64473629061966</v>
      </c>
      <c r="O44" s="553">
        <f>$N44/PI()*SQRT('Hilfstabellen_Mat&amp;Bem'!f.Rd.3/'Hilfstabellen_Mat&amp;Bem'!$BD$30)</f>
        <v>1.6654727049199967</v>
      </c>
      <c r="P44" s="553">
        <f>0.5*(1+'Hilfstabellen_Mat&amp;Bem'!$BD$31*($O44-0.3)+$O44^2)</f>
        <v>1.955173300662765</v>
      </c>
      <c r="Q44" s="550">
        <f t="shared" si="1"/>
        <v>0.33564558401560995</v>
      </c>
      <c r="S44" s="551">
        <f t="shared" si="60"/>
        <v>3093.3097022878615</v>
      </c>
      <c r="W44" s="546">
        <f t="shared" si="13"/>
        <v>96</v>
      </c>
      <c r="X44" s="551">
        <f t="shared" si="2"/>
        <v>108.25317547305482</v>
      </c>
      <c r="Y44" s="553">
        <f>$X44/PI()*SQRT('Hilfstabellen_Mat&amp;Bem'!f.Rd.3/'Hilfstabellen_Mat&amp;Bem'!$BD$30)</f>
        <v>1.7229027981931002</v>
      </c>
      <c r="Z44" s="553">
        <f>0.5*(1+'Hilfstabellen_Mat&amp;Bem'!$BD$31*($Y44-0.3)+$Y44^2)</f>
        <v>2.0553421659204623</v>
      </c>
      <c r="AA44" s="550">
        <f t="shared" si="3"/>
        <v>0.31485423448256039</v>
      </c>
      <c r="AC44" s="551">
        <f t="shared" si="61"/>
        <v>2901.6966249912766</v>
      </c>
      <c r="AG44" s="546">
        <f t="shared" si="15"/>
        <v>96</v>
      </c>
      <c r="AH44" s="551">
        <f t="shared" si="4"/>
        <v>111.86161465548997</v>
      </c>
      <c r="AI44" s="553">
        <f>$AH44/PI()*SQRT('Hilfstabellen_Mat&amp;Bem'!f.Rd.3/'Hilfstabellen_Mat&amp;Bem'!$BD$30)</f>
        <v>1.7803328914662033</v>
      </c>
      <c r="AJ44" s="553">
        <f>0.5*(1+'Hilfstabellen_Mat&amp;Bem'!$BD$31*($AI44-0.3)+$AI44^2)</f>
        <v>2.1588092467915159</v>
      </c>
      <c r="AK44" s="550">
        <f t="shared" si="5"/>
        <v>0.29587356909610485</v>
      </c>
      <c r="AM44" s="551">
        <f t="shared" si="62"/>
        <v>2726.7708127897022</v>
      </c>
      <c r="AQ44" s="546">
        <f t="shared" si="17"/>
        <v>96</v>
      </c>
      <c r="AR44" s="551">
        <f t="shared" si="6"/>
        <v>115.47005383792515</v>
      </c>
      <c r="AS44" s="553">
        <f>$AR44/PI()*SQRT('Hilfstabellen_Mat&amp;Bem'!f.Rd.3/'Hilfstabellen_Mat&amp;Bem'!$BD$30)</f>
        <v>1.8377629847393071</v>
      </c>
      <c r="AT44" s="553">
        <f>0.5*(1+'Hilfstabellen_Mat&amp;Bem'!$BD$31*($AS44-0.3)+$AS44^2)</f>
        <v>2.2655745432759287</v>
      </c>
      <c r="AU44" s="550">
        <f t="shared" si="7"/>
        <v>0.27851192942466541</v>
      </c>
      <c r="AW44" s="551">
        <f t="shared" si="63"/>
        <v>2566.7659415777161</v>
      </c>
      <c r="AZ44" s="547">
        <f>'Hilfstabellen_Mat&amp;Bem'!$J$56</f>
        <v>3.3</v>
      </c>
      <c r="BA44" s="546">
        <f t="shared" si="19"/>
        <v>96</v>
      </c>
      <c r="BB44" s="551">
        <f t="shared" si="20"/>
        <v>119.07849302036031</v>
      </c>
      <c r="BC44" s="553">
        <f>BB44/PI()*SQRT('Hilfstabellen_Mat&amp;Bem'!f.Rd.3/'Hilfstabellen_Mat&amp;Bem'!$BD$30)</f>
        <v>1.8951930780124102</v>
      </c>
      <c r="BD44" s="553">
        <f>0.5*(1+'Hilfstabellen_Mat&amp;Bem'!$BD$31*(BC44-0.3)+BC44^2)</f>
        <v>2.3756380553736971</v>
      </c>
      <c r="BE44" s="550">
        <f t="shared" si="21"/>
        <v>0.26259929793780312</v>
      </c>
      <c r="BG44" s="551">
        <f t="shared" si="22"/>
        <v>2420.1151297947936</v>
      </c>
      <c r="BJ44" s="547">
        <f>'Hilfstabellen_Mat&amp;Bem'!$J$57</f>
        <v>3.4</v>
      </c>
      <c r="BK44" s="546">
        <f t="shared" si="23"/>
        <v>96</v>
      </c>
      <c r="BL44" s="551">
        <f t="shared" si="24"/>
        <v>122.68693220279546</v>
      </c>
      <c r="BM44" s="553">
        <f>BL44/PI()*SQRT('Hilfstabellen_Mat&amp;Bem'!f.Rd.3/'Hilfstabellen_Mat&amp;Bem'!$BD$30)</f>
        <v>1.9526231712855133</v>
      </c>
      <c r="BN44" s="553">
        <f>0.5*(1+'Hilfstabellen_Mat&amp;Bem'!$BD$31*(BM44-0.3)+BM44^2)</f>
        <v>2.4889997830848234</v>
      </c>
      <c r="BO44" s="550">
        <f t="shared" si="25"/>
        <v>0.24798532505435411</v>
      </c>
      <c r="BQ44" s="551">
        <f t="shared" si="26"/>
        <v>2285.4327557009274</v>
      </c>
      <c r="BT44" s="547">
        <f>'Hilfstabellen_Mat&amp;Bem'!$J$58</f>
        <v>3.5</v>
      </c>
      <c r="BU44" s="546">
        <f t="shared" si="27"/>
        <v>96</v>
      </c>
      <c r="BV44" s="551">
        <f t="shared" si="28"/>
        <v>126.29537138523064</v>
      </c>
      <c r="BW44" s="553">
        <f>BV44/PI()*SQRT('Hilfstabellen_Mat&amp;Bem'!f.Rd.3/'Hilfstabellen_Mat&amp;Bem'!$BD$30)</f>
        <v>2.0100532645586173</v>
      </c>
      <c r="BX44" s="553">
        <f>0.5*(1+'Hilfstabellen_Mat&amp;Bem'!$BD$31*(BW44-0.3)+BW44^2)</f>
        <v>2.605659726409308</v>
      </c>
      <c r="BY44" s="550">
        <f t="shared" si="29"/>
        <v>0.23453723234549279</v>
      </c>
      <c r="CA44" s="551">
        <f t="shared" si="30"/>
        <v>2161.4951332960613</v>
      </c>
      <c r="CD44" s="547">
        <f>'Hilfstabellen_Mat&amp;Bem'!$J$59</f>
        <v>3.6</v>
      </c>
      <c r="CE44" s="546">
        <f t="shared" si="31"/>
        <v>96</v>
      </c>
      <c r="CF44" s="551">
        <f t="shared" si="32"/>
        <v>129.9038105676658</v>
      </c>
      <c r="CG44" s="553">
        <f>CF44/PI()*SQRT('Hilfstabellen_Mat&amp;Bem'!f.Rd.3/'Hilfstabellen_Mat&amp;Bem'!$BD$30)</f>
        <v>2.0674833578317204</v>
      </c>
      <c r="CH44" s="553">
        <f>0.5*(1+'Hilfstabellen_Mat&amp;Bem'!$BD$31*(CG44-0.3)+CG44^2)</f>
        <v>2.7256178853471487</v>
      </c>
      <c r="CI44" s="550">
        <f t="shared" si="33"/>
        <v>0.22213777898364473</v>
      </c>
      <c r="CK44" s="551">
        <f t="shared" si="34"/>
        <v>2047.2217711132698</v>
      </c>
      <c r="CN44" s="547">
        <f>'Hilfstabellen_Mat&amp;Bem'!$J$60</f>
        <v>3.7</v>
      </c>
      <c r="CO44" s="546">
        <f t="shared" si="35"/>
        <v>96</v>
      </c>
      <c r="CP44" s="551">
        <f t="shared" si="36"/>
        <v>133.51224975010095</v>
      </c>
      <c r="CQ44" s="553">
        <f>CP44/PI()*SQRT('Hilfstabellen_Mat&amp;Bem'!f.Rd.3/'Hilfstabellen_Mat&amp;Bem'!$BD$30)</f>
        <v>2.1249134511048235</v>
      </c>
      <c r="CR44" s="553">
        <f>0.5*(1+'Hilfstabellen_Mat&amp;Bem'!$BD$31*(CQ44-0.3)+CQ44^2)</f>
        <v>2.8488742598983468</v>
      </c>
      <c r="CS44" s="550">
        <f t="shared" si="37"/>
        <v>0.21068338021957098</v>
      </c>
      <c r="CU44" s="551">
        <f t="shared" si="38"/>
        <v>1941.658032103566</v>
      </c>
      <c r="CX44" s="547">
        <f>'Hilfstabellen_Mat&amp;Bem'!$J$61</f>
        <v>3.8</v>
      </c>
      <c r="CY44" s="546">
        <f t="shared" si="39"/>
        <v>96</v>
      </c>
      <c r="CZ44" s="551">
        <f t="shared" si="40"/>
        <v>137.12068893253613</v>
      </c>
      <c r="DA44" s="553">
        <f>CZ44/PI()*SQRT('Hilfstabellen_Mat&amp;Bem'!f.Rd.3/'Hilfstabellen_Mat&amp;Bem'!$BD$30)</f>
        <v>2.1823435443779271</v>
      </c>
      <c r="DB44" s="553">
        <f>0.5*(1+'Hilfstabellen_Mat&amp;Bem'!$BD$31*(DA44-0.3)+DA44^2)</f>
        <v>2.9754288500629031</v>
      </c>
      <c r="DC44" s="550">
        <f t="shared" si="41"/>
        <v>0.20008241273921235</v>
      </c>
      <c r="DE44" s="551">
        <f t="shared" si="42"/>
        <v>1843.9595158045809</v>
      </c>
      <c r="DH44" s="547">
        <f>'Hilfstabellen_Mat&amp;Bem'!$J$62</f>
        <v>3.9</v>
      </c>
      <c r="DI44" s="546">
        <f t="shared" si="43"/>
        <v>96</v>
      </c>
      <c r="DJ44" s="551">
        <f t="shared" si="44"/>
        <v>140.72912811497127</v>
      </c>
      <c r="DK44" s="553">
        <f>DJ44/PI()*SQRT('Hilfstabellen_Mat&amp;Bem'!f.Rd.3/'Hilfstabellen_Mat&amp;Bem'!$BD$30)</f>
        <v>2.2397736376510302</v>
      </c>
      <c r="DL44" s="553">
        <f>0.5*(1+'Hilfstabellen_Mat&amp;Bem'!$BD$31*(DK44-0.3)+DK44^2)</f>
        <v>3.1052816558408156</v>
      </c>
      <c r="DM44" s="550">
        <f t="shared" si="45"/>
        <v>0.19025371289229495</v>
      </c>
      <c r="DO44" s="551">
        <f t="shared" si="46"/>
        <v>1753.3782180153903</v>
      </c>
      <c r="DR44" s="547">
        <f>'Hilfstabellen_Mat&amp;Bem'!$J$63</f>
        <v>4</v>
      </c>
      <c r="DS44" s="546">
        <f t="shared" si="47"/>
        <v>96</v>
      </c>
      <c r="DT44" s="551">
        <f t="shared" si="48"/>
        <v>144.33756729740642</v>
      </c>
      <c r="DU44" s="553">
        <f>DT44/PI()*SQRT('Hilfstabellen_Mat&amp;Bem'!f.Rd.3/'Hilfstabellen_Mat&amp;Bem'!$BD$30)</f>
        <v>2.2972037309241333</v>
      </c>
      <c r="DV44" s="553">
        <f>0.5*(1+'Hilfstabellen_Mat&amp;Bem'!$BD$31*(DU44-0.3)+DU44^2)</f>
        <v>3.2384326772320855</v>
      </c>
      <c r="DW44" s="550">
        <f t="shared" si="49"/>
        <v>0.18112525906170046</v>
      </c>
      <c r="DY44" s="551">
        <f t="shared" si="50"/>
        <v>1669.2503875126315</v>
      </c>
      <c r="EB44" s="547">
        <f>'Hilfstabellen_Mat&amp;Bem'!$J$64</f>
        <v>4.0999999999999996</v>
      </c>
      <c r="EC44" s="546">
        <f t="shared" si="51"/>
        <v>96</v>
      </c>
      <c r="ED44" s="551">
        <f t="shared" si="52"/>
        <v>147.9460064798416</v>
      </c>
      <c r="EE44" s="553">
        <f>ED44/PI()*SQRT('Hilfstabellen_Mat&amp;Bem'!f.Rd.3/'Hilfstabellen_Mat&amp;Bem'!$BD$30)</f>
        <v>2.3546338241972369</v>
      </c>
      <c r="EF44" s="553">
        <f>0.5*(1+'Hilfstabellen_Mat&amp;Bem'!$BD$31*(EE44-0.3)+EE44^2)</f>
        <v>3.3748819142367141</v>
      </c>
      <c r="EG44" s="550">
        <f t="shared" si="53"/>
        <v>0.17263302263385602</v>
      </c>
      <c r="EI44" s="551">
        <f t="shared" si="54"/>
        <v>1590.985936593617</v>
      </c>
      <c r="EL44" s="547">
        <f>'Hilfstabellen_Mat&amp;Bem'!$J$65</f>
        <v>4.2</v>
      </c>
      <c r="EM44" s="546">
        <f t="shared" si="55"/>
        <v>96</v>
      </c>
      <c r="EN44" s="551">
        <f t="shared" si="56"/>
        <v>151.55444566227675</v>
      </c>
      <c r="EO44" s="553">
        <f>EN44/PI()*SQRT('Hilfstabellen_Mat&amp;Bem'!f.Rd.3/'Hilfstabellen_Mat&amp;Bem'!$BD$30)</f>
        <v>2.41206391747034</v>
      </c>
      <c r="EP44" s="553">
        <f>0.5*(1+'Hilfstabellen_Mat&amp;Bem'!$BD$31*(EO44-0.3)+EO44^2)</f>
        <v>3.5146293668546988</v>
      </c>
      <c r="EQ44" s="550">
        <f t="shared" si="57"/>
        <v>0.16471996958318572</v>
      </c>
      <c r="ES44" s="551">
        <f t="shared" si="58"/>
        <v>1518.0592396786396</v>
      </c>
    </row>
    <row r="45" spans="3:149">
      <c r="C45" s="546">
        <v>97</v>
      </c>
      <c r="D45" s="551">
        <f t="shared" si="8"/>
        <v>99.994685797790851</v>
      </c>
      <c r="E45" s="553">
        <f>$D45/PI()*SQRT('Hilfstabellen_Mat&amp;Bem'!f.Rd.3/'Hilfstabellen_Mat&amp;Bem'!$BD$30)</f>
        <v>1.5914648527639359</v>
      </c>
      <c r="F45" s="553">
        <f>0.5*(1+'Hilfstabellen_Mat&amp;Bem'!$BD$31*($E45-0.3)+$E45^2)</f>
        <v>1.8309534314296649</v>
      </c>
      <c r="G45" s="550">
        <f t="shared" si="9"/>
        <v>0.36545865025827179</v>
      </c>
      <c r="I45" s="551">
        <f t="shared" si="59"/>
        <v>3438.6004402800791</v>
      </c>
      <c r="M45" s="546">
        <f t="shared" si="11"/>
        <v>97</v>
      </c>
      <c r="N45" s="551">
        <f t="shared" si="0"/>
        <v>103.56592457628338</v>
      </c>
      <c r="O45" s="553">
        <f>$N45/PI()*SQRT('Hilfstabellen_Mat&amp;Bem'!f.Rd.3/'Hilfstabellen_Mat&amp;Bem'!$BD$30)</f>
        <v>1.6483028832197908</v>
      </c>
      <c r="P45" s="553">
        <f>0.5*(1+'Hilfstabellen_Mat&amp;Bem'!$BD$31*($O45-0.3)+$O45^2)</f>
        <v>1.9258663415763273</v>
      </c>
      <c r="Q45" s="550">
        <f t="shared" si="1"/>
        <v>0.34224448853917638</v>
      </c>
      <c r="S45" s="551">
        <f t="shared" si="60"/>
        <v>3220.1783926651106</v>
      </c>
      <c r="W45" s="546">
        <f t="shared" si="13"/>
        <v>97</v>
      </c>
      <c r="X45" s="551">
        <f t="shared" si="2"/>
        <v>107.13716335477591</v>
      </c>
      <c r="Y45" s="553">
        <f>$X45/PI()*SQRT('Hilfstabellen_Mat&amp;Bem'!f.Rd.3/'Hilfstabellen_Mat&amp;Bem'!$BD$30)</f>
        <v>1.7051409136756455</v>
      </c>
      <c r="Z45" s="553">
        <f>0.5*(1+'Hilfstabellen_Mat&amp;Bem'!$BD$31*($Y45-0.3)+$Y45^2)</f>
        <v>2.0240098134290898</v>
      </c>
      <c r="AA45" s="550">
        <f t="shared" si="3"/>
        <v>0.32108159756674531</v>
      </c>
      <c r="AC45" s="551">
        <f t="shared" si="61"/>
        <v>3021.0567515055068</v>
      </c>
      <c r="AG45" s="546">
        <f t="shared" si="15"/>
        <v>97</v>
      </c>
      <c r="AH45" s="551">
        <f t="shared" si="4"/>
        <v>110.70840213326844</v>
      </c>
      <c r="AI45" s="553">
        <f>$AH45/PI()*SQRT('Hilfstabellen_Mat&amp;Bem'!f.Rd.3/'Hilfstabellen_Mat&amp;Bem'!$BD$30)</f>
        <v>1.7619789441315004</v>
      </c>
      <c r="AJ45" s="553">
        <f>0.5*(1+'Hilfstabellen_Mat&amp;Bem'!$BD$31*($AI45-0.3)+$AI45^2)</f>
        <v>2.1253838469879538</v>
      </c>
      <c r="AK45" s="550">
        <f t="shared" si="5"/>
        <v>0.30175481095538054</v>
      </c>
      <c r="AM45" s="551">
        <f t="shared" si="62"/>
        <v>2839.2110162791755</v>
      </c>
      <c r="AQ45" s="546">
        <f t="shared" si="17"/>
        <v>97</v>
      </c>
      <c r="AR45" s="551">
        <f t="shared" si="6"/>
        <v>114.27964091176096</v>
      </c>
      <c r="AS45" s="553">
        <f>$AR45/PI()*SQRT('Hilfstabellen_Mat&amp;Bem'!f.Rd.3/'Hilfstabellen_Mat&amp;Bem'!$BD$30)</f>
        <v>1.8188169745873553</v>
      </c>
      <c r="AT45" s="553">
        <f>0.5*(1+'Hilfstabellen_Mat&amp;Bem'!$BD$31*($AS45-0.3)+$AS45^2)</f>
        <v>2.2299884422529179</v>
      </c>
      <c r="AU45" s="550">
        <f t="shared" si="7"/>
        <v>0.28407140975921885</v>
      </c>
      <c r="AW45" s="551">
        <f t="shared" si="63"/>
        <v>2672.8278944244903</v>
      </c>
      <c r="AZ45" s="547">
        <f>'Hilfstabellen_Mat&amp;Bem'!$J$56</f>
        <v>3.3</v>
      </c>
      <c r="BA45" s="546">
        <f t="shared" si="19"/>
        <v>97</v>
      </c>
      <c r="BB45" s="551">
        <f t="shared" si="20"/>
        <v>117.85087969025349</v>
      </c>
      <c r="BC45" s="553">
        <f>BB45/PI()*SQRT('Hilfstabellen_Mat&amp;Bem'!f.Rd.3/'Hilfstabellen_Mat&amp;Bem'!$BD$30)</f>
        <v>1.8756550050432101</v>
      </c>
      <c r="BD45" s="553">
        <f>0.5*(1+'Hilfstabellen_Mat&amp;Bem'!$BD$31*(BC45-0.3)+BC45^2)</f>
        <v>2.3378235992239826</v>
      </c>
      <c r="BE45" s="550">
        <f t="shared" si="21"/>
        <v>0.26785996897125625</v>
      </c>
      <c r="BG45" s="551">
        <f t="shared" si="22"/>
        <v>2520.2944480505498</v>
      </c>
      <c r="BJ45" s="547">
        <f>'Hilfstabellen_Mat&amp;Bem'!$J$57</f>
        <v>3.4</v>
      </c>
      <c r="BK45" s="546">
        <f t="shared" si="23"/>
        <v>97</v>
      </c>
      <c r="BL45" s="551">
        <f t="shared" si="24"/>
        <v>121.42211846874604</v>
      </c>
      <c r="BM45" s="553">
        <f>BL45/PI()*SQRT('Hilfstabellen_Mat&amp;Bem'!f.Rd.3/'Hilfstabellen_Mat&amp;Bem'!$BD$30)</f>
        <v>1.932493035499065</v>
      </c>
      <c r="BN45" s="553">
        <f>0.5*(1+'Hilfstabellen_Mat&amp;Bem'!$BD$31*(BM45-0.3)+BM45^2)</f>
        <v>2.4488893179011484</v>
      </c>
      <c r="BO45" s="550">
        <f t="shared" si="25"/>
        <v>0.25296858384677356</v>
      </c>
      <c r="BQ45" s="551">
        <f t="shared" si="26"/>
        <v>2380.1814054142924</v>
      </c>
      <c r="BT45" s="547">
        <f>'Hilfstabellen_Mat&amp;Bem'!$J$58</f>
        <v>3.5</v>
      </c>
      <c r="BU45" s="546">
        <f t="shared" si="27"/>
        <v>97</v>
      </c>
      <c r="BV45" s="551">
        <f t="shared" si="28"/>
        <v>124.99335724723856</v>
      </c>
      <c r="BW45" s="553">
        <f>BV45/PI()*SQRT('Hilfstabellen_Mat&amp;Bem'!f.Rd.3/'Hilfstabellen_Mat&amp;Bem'!$BD$30)</f>
        <v>1.9893310659549197</v>
      </c>
      <c r="BX45" s="553">
        <f>0.5*(1+'Hilfstabellen_Mat&amp;Bem'!$BD$31*(BW45-0.3)+BW45^2)</f>
        <v>2.5631855982844147</v>
      </c>
      <c r="BY45" s="550">
        <f t="shared" si="29"/>
        <v>0.23926289130747971</v>
      </c>
      <c r="CA45" s="551">
        <f t="shared" si="30"/>
        <v>2251.2245443120764</v>
      </c>
      <c r="CD45" s="547">
        <f>'Hilfstabellen_Mat&amp;Bem'!$J$59</f>
        <v>3.6</v>
      </c>
      <c r="CE45" s="546">
        <f t="shared" si="31"/>
        <v>97</v>
      </c>
      <c r="CF45" s="551">
        <f t="shared" si="32"/>
        <v>128.56459602573111</v>
      </c>
      <c r="CG45" s="553">
        <f>CF45/PI()*SQRT('Hilfstabellen_Mat&amp;Bem'!f.Rd.3/'Hilfstabellen_Mat&amp;Bem'!$BD$30)</f>
        <v>2.0461690964107748</v>
      </c>
      <c r="CH45" s="553">
        <f>0.5*(1+'Hilfstabellen_Mat&amp;Bem'!$BD$31*(CG45-0.3)+CG45^2)</f>
        <v>2.6807124403737821</v>
      </c>
      <c r="CI45" s="550">
        <f t="shared" si="33"/>
        <v>0.22662410474589861</v>
      </c>
      <c r="CK45" s="551">
        <f t="shared" si="34"/>
        <v>2132.30620155416</v>
      </c>
      <c r="CN45" s="547">
        <f>'Hilfstabellen_Mat&amp;Bem'!$J$60</f>
        <v>3.7</v>
      </c>
      <c r="CO45" s="546">
        <f t="shared" si="35"/>
        <v>97</v>
      </c>
      <c r="CP45" s="551">
        <f t="shared" si="36"/>
        <v>132.13583480422361</v>
      </c>
      <c r="CQ45" s="553">
        <f>CP45/PI()*SQRT('Hilfstabellen_Mat&amp;Bem'!f.Rd.3/'Hilfstabellen_Mat&amp;Bem'!$BD$30)</f>
        <v>2.1030071268666291</v>
      </c>
      <c r="CR45" s="553">
        <f>0.5*(1+'Hilfstabellen_Mat&amp;Bem'!$BD$31*(CQ45-0.3)+CQ45^2)</f>
        <v>2.8014698441692483</v>
      </c>
      <c r="CS45" s="550">
        <f t="shared" si="37"/>
        <v>0.21494717017741791</v>
      </c>
      <c r="CU45" s="551">
        <f t="shared" si="38"/>
        <v>2022.4379241993252</v>
      </c>
      <c r="CX45" s="547">
        <f>'Hilfstabellen_Mat&amp;Bem'!$J$61</f>
        <v>3.8</v>
      </c>
      <c r="CY45" s="546">
        <f t="shared" si="39"/>
        <v>97</v>
      </c>
      <c r="CZ45" s="551">
        <f t="shared" si="40"/>
        <v>135.70707358271616</v>
      </c>
      <c r="DA45" s="553">
        <f>CZ45/PI()*SQRT('Hilfstabellen_Mat&amp;Bem'!f.Rd.3/'Hilfstabellen_Mat&amp;Bem'!$BD$30)</f>
        <v>2.1598451573224846</v>
      </c>
      <c r="DB45" s="553">
        <f>0.5*(1+'Hilfstabellen_Mat&amp;Bem'!$BD$31*(DA45-0.3)+DA45^2)</f>
        <v>2.9254578096708181</v>
      </c>
      <c r="DC45" s="550">
        <f t="shared" si="41"/>
        <v>0.20413909043724887</v>
      </c>
      <c r="DE45" s="551">
        <f t="shared" si="42"/>
        <v>1920.7447019240747</v>
      </c>
      <c r="DH45" s="547">
        <f>'Hilfstabellen_Mat&amp;Bem'!$J$62</f>
        <v>3.9</v>
      </c>
      <c r="DI45" s="546">
        <f t="shared" si="43"/>
        <v>97</v>
      </c>
      <c r="DJ45" s="551">
        <f t="shared" si="44"/>
        <v>139.27831236120869</v>
      </c>
      <c r="DK45" s="553">
        <f>DJ45/PI()*SQRT('Hilfstabellen_Mat&amp;Bem'!f.Rd.3/'Hilfstabellen_Mat&amp;Bem'!$BD$30)</f>
        <v>2.2166831877783393</v>
      </c>
      <c r="DL45" s="553">
        <f>0.5*(1+'Hilfstabellen_Mat&amp;Bem'!$BD$31*(DK45-0.3)+DK45^2)</f>
        <v>3.0526763368784868</v>
      </c>
      <c r="DM45" s="550">
        <f t="shared" si="45"/>
        <v>0.19411743078221319</v>
      </c>
      <c r="DO45" s="551">
        <f t="shared" si="46"/>
        <v>1826.4509062298439</v>
      </c>
      <c r="DR45" s="547">
        <f>'Hilfstabellen_Mat&amp;Bem'!$J$63</f>
        <v>4</v>
      </c>
      <c r="DS45" s="546">
        <f t="shared" si="47"/>
        <v>97</v>
      </c>
      <c r="DT45" s="551">
        <f t="shared" si="48"/>
        <v>142.84955113970122</v>
      </c>
      <c r="DU45" s="553">
        <f>DT45/PI()*SQRT('Hilfstabellen_Mat&amp;Bem'!f.Rd.3/'Hilfstabellen_Mat&amp;Bem'!$BD$30)</f>
        <v>2.273521218234194</v>
      </c>
      <c r="DV45" s="553">
        <f>0.5*(1+'Hilfstabellen_Mat&amp;Bem'!$BD$31*(DU45-0.3)+DU45^2)</f>
        <v>3.1831254257922565</v>
      </c>
      <c r="DW45" s="550">
        <f t="shared" si="49"/>
        <v>0.18480900177051762</v>
      </c>
      <c r="DY45" s="551">
        <f t="shared" si="50"/>
        <v>1738.8678976588003</v>
      </c>
      <c r="EB45" s="547">
        <f>'Hilfstabellen_Mat&amp;Bem'!$J$64</f>
        <v>4.0999999999999996</v>
      </c>
      <c r="EC45" s="546">
        <f t="shared" si="51"/>
        <v>97</v>
      </c>
      <c r="ED45" s="551">
        <f t="shared" si="52"/>
        <v>146.42078991819375</v>
      </c>
      <c r="EE45" s="553">
        <f>ED45/PI()*SQRT('Hilfstabellen_Mat&amp;Bem'!f.Rd.3/'Hilfstabellen_Mat&amp;Bem'!$BD$30)</f>
        <v>2.3303592486900491</v>
      </c>
      <c r="EF45" s="553">
        <f>0.5*(1+'Hilfstabellen_Mat&amp;Bem'!$BD$31*(EE45-0.3)+EE45^2)</f>
        <v>3.3168050764121277</v>
      </c>
      <c r="EG45" s="550">
        <f t="shared" si="53"/>
        <v>0.17614870676336078</v>
      </c>
      <c r="EI45" s="551">
        <f t="shared" si="54"/>
        <v>1657.3831819364616</v>
      </c>
      <c r="EL45" s="547">
        <f>'Hilfstabellen_Mat&amp;Bem'!$J$65</f>
        <v>4.2</v>
      </c>
      <c r="EM45" s="546">
        <f t="shared" si="55"/>
        <v>97</v>
      </c>
      <c r="EN45" s="551">
        <f t="shared" si="56"/>
        <v>149.99202869668628</v>
      </c>
      <c r="EO45" s="553">
        <f>EN45/PI()*SQRT('Hilfstabellen_Mat&amp;Bem'!f.Rd.3/'Hilfstabellen_Mat&amp;Bem'!$BD$30)</f>
        <v>2.3871972791459037</v>
      </c>
      <c r="EP45" s="553">
        <f>0.5*(1+'Hilfstabellen_Mat&amp;Bem'!$BD$31*(EO45-0.3)+EO45^2)</f>
        <v>3.4537152887380982</v>
      </c>
      <c r="EQ45" s="550">
        <f t="shared" si="57"/>
        <v>0.16807853786552418</v>
      </c>
      <c r="ES45" s="551">
        <f t="shared" si="58"/>
        <v>1581.450962776717</v>
      </c>
    </row>
    <row r="46" spans="3:149">
      <c r="C46" s="546">
        <v>98</v>
      </c>
      <c r="D46" s="551">
        <f t="shared" si="8"/>
        <v>98.974331861078696</v>
      </c>
      <c r="E46" s="553">
        <f>$D46/PI()*SQRT('Hilfstabellen_Mat&amp;Bem'!f.Rd.3/'Hilfstabellen_Mat&amp;Bem'!$BD$30)</f>
        <v>1.5752254154908345</v>
      </c>
      <c r="F46" s="553">
        <f>0.5*(1+'Hilfstabellen_Mat&amp;Bem'!$BD$31*($E46-0.3)+$E46^2)</f>
        <v>1.804428825578678</v>
      </c>
      <c r="G46" s="550">
        <f t="shared" si="9"/>
        <v>0.3725007270207823</v>
      </c>
      <c r="I46" s="551">
        <f t="shared" si="59"/>
        <v>3577.496982307593</v>
      </c>
      <c r="M46" s="546">
        <f t="shared" si="11"/>
        <v>98</v>
      </c>
      <c r="N46" s="551">
        <f t="shared" si="0"/>
        <v>102.5091294275458</v>
      </c>
      <c r="O46" s="553">
        <f>$N46/PI()*SQRT('Hilfstabellen_Mat&amp;Bem'!f.Rd.3/'Hilfstabellen_Mat&amp;Bem'!$BD$30)</f>
        <v>1.6314834660440789</v>
      </c>
      <c r="P46" s="553">
        <f>0.5*(1+'Hilfstabellen_Mat&amp;Bem'!$BD$31*($O46-0.3)+$O46^2)</f>
        <v>1.8974433232898047</v>
      </c>
      <c r="Q46" s="550">
        <f t="shared" si="1"/>
        <v>0.34889002502632677</v>
      </c>
      <c r="S46" s="551">
        <f t="shared" si="60"/>
        <v>3350.7398003528424</v>
      </c>
      <c r="W46" s="546">
        <f t="shared" si="13"/>
        <v>98</v>
      </c>
      <c r="X46" s="551">
        <f t="shared" si="2"/>
        <v>106.04392699401289</v>
      </c>
      <c r="Y46" s="553">
        <f>$X46/PI()*SQRT('Hilfstabellen_Mat&amp;Bem'!f.Rd.3/'Hilfstabellen_Mat&amp;Bem'!$BD$30)</f>
        <v>1.6877415165973226</v>
      </c>
      <c r="Z46" s="553">
        <f>0.5*(1+'Hilfstabellen_Mat&amp;Bem'!$BD$31*($Y46-0.3)+$Y46^2)</f>
        <v>1.9936227892529814</v>
      </c>
      <c r="AA46" s="550">
        <f t="shared" si="3"/>
        <v>0.32735552463270956</v>
      </c>
      <c r="AC46" s="551">
        <f t="shared" si="61"/>
        <v>3143.9224585725428</v>
      </c>
      <c r="AG46" s="546">
        <f t="shared" si="15"/>
        <v>98</v>
      </c>
      <c r="AH46" s="551">
        <f t="shared" si="4"/>
        <v>109.57872456047998</v>
      </c>
      <c r="AI46" s="553">
        <f>$AH46/PI()*SQRT('Hilfstabellen_Mat&amp;Bem'!f.Rd.3/'Hilfstabellen_Mat&amp;Bem'!$BD$30)</f>
        <v>1.7439995671505668</v>
      </c>
      <c r="AJ46" s="553">
        <f>0.5*(1+'Hilfstabellen_Mat&amp;Bem'!$BD$31*($AI46-0.3)+$AI46^2)</f>
        <v>2.0929672234682104</v>
      </c>
      <c r="AK46" s="550">
        <f t="shared" si="5"/>
        <v>0.30768197962306026</v>
      </c>
      <c r="AM46" s="551">
        <f t="shared" si="62"/>
        <v>2954.9777322998707</v>
      </c>
      <c r="AQ46" s="546">
        <f t="shared" si="17"/>
        <v>98</v>
      </c>
      <c r="AR46" s="551">
        <f t="shared" si="6"/>
        <v>113.11352212694709</v>
      </c>
      <c r="AS46" s="553">
        <f>$AR46/PI()*SQRT('Hilfstabellen_Mat&amp;Bem'!f.Rd.3/'Hilfstabellen_Mat&amp;Bem'!$BD$30)</f>
        <v>1.800257617703811</v>
      </c>
      <c r="AT46" s="553">
        <f>0.5*(1+'Hilfstabellen_Mat&amp;Bem'!$BD$31*($AS46-0.3)+$AS46^2)</f>
        <v>2.1954766259354908</v>
      </c>
      <c r="AU46" s="550">
        <f t="shared" si="7"/>
        <v>0.28967581413166998</v>
      </c>
      <c r="AW46" s="551">
        <f t="shared" si="63"/>
        <v>2782.0465189205584</v>
      </c>
      <c r="AZ46" s="547">
        <f>'Hilfstabellen_Mat&amp;Bem'!$J$56</f>
        <v>3.3</v>
      </c>
      <c r="BA46" s="546">
        <f t="shared" si="19"/>
        <v>98</v>
      </c>
      <c r="BB46" s="551">
        <f t="shared" si="20"/>
        <v>116.64831969341419</v>
      </c>
      <c r="BC46" s="553">
        <f>BB46/PI()*SQRT('Hilfstabellen_Mat&amp;Bem'!f.Rd.3/'Hilfstabellen_Mat&amp;Bem'!$BD$30)</f>
        <v>1.8565156682570549</v>
      </c>
      <c r="BD46" s="553">
        <f>0.5*(1+'Hilfstabellen_Mat&amp;Bem'!$BD$31*(BC46-0.3)+BC46^2)</f>
        <v>2.3011509966548225</v>
      </c>
      <c r="BE46" s="550">
        <f t="shared" si="21"/>
        <v>0.27316433372638127</v>
      </c>
      <c r="BG46" s="551">
        <f t="shared" si="22"/>
        <v>2623.4702611081657</v>
      </c>
      <c r="BJ46" s="547">
        <f>'Hilfstabellen_Mat&amp;Bem'!$J$57</f>
        <v>3.4</v>
      </c>
      <c r="BK46" s="546">
        <f t="shared" si="23"/>
        <v>98</v>
      </c>
      <c r="BL46" s="551">
        <f t="shared" si="24"/>
        <v>120.18311725988127</v>
      </c>
      <c r="BM46" s="553">
        <f>BL46/PI()*SQRT('Hilfstabellen_Mat&amp;Bem'!f.Rd.3/'Hilfstabellen_Mat&amp;Bem'!$BD$30)</f>
        <v>1.9127737188102989</v>
      </c>
      <c r="BN46" s="553">
        <f>0.5*(1+'Hilfstabellen_Mat&amp;Bem'!$BD$31*(BM46-0.3)+BM46^2)</f>
        <v>2.4099903356262051</v>
      </c>
      <c r="BO46" s="550">
        <f t="shared" si="25"/>
        <v>0.25799417253874685</v>
      </c>
      <c r="BQ46" s="551">
        <f t="shared" si="26"/>
        <v>2477.7760330621245</v>
      </c>
      <c r="BT46" s="547">
        <f>'Hilfstabellen_Mat&amp;Bem'!$J$58</f>
        <v>3.5</v>
      </c>
      <c r="BU46" s="546">
        <f t="shared" si="27"/>
        <v>98</v>
      </c>
      <c r="BV46" s="551">
        <f t="shared" si="28"/>
        <v>123.71791482634838</v>
      </c>
      <c r="BW46" s="553">
        <f>BV46/PI()*SQRT('Hilfstabellen_Mat&amp;Bem'!f.Rd.3/'Hilfstabellen_Mat&amp;Bem'!$BD$30)</f>
        <v>1.9690317693635433</v>
      </c>
      <c r="BX46" s="553">
        <f>0.5*(1+'Hilfstabellen_Mat&amp;Bem'!$BD$31*(BW46-0.3)+BW46^2)</f>
        <v>2.52199464284964</v>
      </c>
      <c r="BY46" s="550">
        <f t="shared" si="29"/>
        <v>0.2440294470395899</v>
      </c>
      <c r="CA46" s="551">
        <f t="shared" si="30"/>
        <v>2343.6588093682212</v>
      </c>
      <c r="CD46" s="547">
        <f>'Hilfstabellen_Mat&amp;Bem'!$J$59</f>
        <v>3.6</v>
      </c>
      <c r="CE46" s="546">
        <f t="shared" si="31"/>
        <v>98</v>
      </c>
      <c r="CF46" s="551">
        <f t="shared" si="32"/>
        <v>127.25271239281548</v>
      </c>
      <c r="CG46" s="553">
        <f>CF46/PI()*SQRT('Hilfstabellen_Mat&amp;Bem'!f.Rd.3/'Hilfstabellen_Mat&amp;Bem'!$BD$30)</f>
        <v>2.0252898199167872</v>
      </c>
      <c r="CH46" s="553">
        <f>0.5*(1+'Hilfstabellen_Mat&amp;Bem'!$BD$31*(CG46-0.3)+CG46^2)</f>
        <v>2.6371639183251259</v>
      </c>
      <c r="CI46" s="550">
        <f t="shared" si="33"/>
        <v>0.23114986862096032</v>
      </c>
      <c r="CK46" s="551">
        <f t="shared" si="34"/>
        <v>2219.9633382357028</v>
      </c>
      <c r="CN46" s="547">
        <f>'Hilfstabellen_Mat&amp;Bem'!$J$60</f>
        <v>3.7</v>
      </c>
      <c r="CO46" s="546">
        <f t="shared" si="35"/>
        <v>98</v>
      </c>
      <c r="CP46" s="551">
        <f t="shared" si="36"/>
        <v>130.78750995928257</v>
      </c>
      <c r="CQ46" s="553">
        <f>CP46/PI()*SQRT('Hilfstabellen_Mat&amp;Bem'!f.Rd.3/'Hilfstabellen_Mat&amp;Bem'!$BD$30)</f>
        <v>2.0815478704700316</v>
      </c>
      <c r="CR46" s="553">
        <f>0.5*(1+'Hilfstabellen_Mat&amp;Bem'!$BD$31*(CQ46-0.3)+CQ46^2)</f>
        <v>2.7554981620526631</v>
      </c>
      <c r="CS46" s="550">
        <f t="shared" si="37"/>
        <v>0.21924894375584544</v>
      </c>
      <c r="CU46" s="551">
        <f t="shared" si="38"/>
        <v>2105.6668558311399</v>
      </c>
      <c r="CX46" s="547">
        <f>'Hilfstabellen_Mat&amp;Bem'!$J$61</f>
        <v>3.8</v>
      </c>
      <c r="CY46" s="546">
        <f t="shared" si="39"/>
        <v>98</v>
      </c>
      <c r="CZ46" s="551">
        <f t="shared" si="40"/>
        <v>134.32230752574966</v>
      </c>
      <c r="DA46" s="553">
        <f>CZ46/PI()*SQRT('Hilfstabellen_Mat&amp;Bem'!f.Rd.3/'Hilfstabellen_Mat&amp;Bem'!$BD$30)</f>
        <v>2.1378059210232752</v>
      </c>
      <c r="DB46" s="553">
        <f>0.5*(1+'Hilfstabellen_Mat&amp;Bem'!$BD$31*(DA46-0.3)+DA46^2)</f>
        <v>2.8769973740322508</v>
      </c>
      <c r="DC46" s="550">
        <f t="shared" si="41"/>
        <v>0.20823232133692582</v>
      </c>
      <c r="DE46" s="551">
        <f t="shared" si="42"/>
        <v>1999.8632141198357</v>
      </c>
      <c r="DH46" s="547">
        <f>'Hilfstabellen_Mat&amp;Bem'!$J$62</f>
        <v>3.9</v>
      </c>
      <c r="DI46" s="546">
        <f t="shared" si="43"/>
        <v>98</v>
      </c>
      <c r="DJ46" s="551">
        <f t="shared" si="44"/>
        <v>137.85710509221676</v>
      </c>
      <c r="DK46" s="553">
        <f>DJ46/PI()*SQRT('Hilfstabellen_Mat&amp;Bem'!f.Rd.3/'Hilfstabellen_Mat&amp;Bem'!$BD$30)</f>
        <v>2.1940639715765196</v>
      </c>
      <c r="DL46" s="553">
        <f>0.5*(1+'Hilfstabellen_Mat&amp;Bem'!$BD$31*(DK46-0.3)+DK46^2)</f>
        <v>3.0016615542638911</v>
      </c>
      <c r="DM46" s="550">
        <f t="shared" si="45"/>
        <v>0.19801630860318017</v>
      </c>
      <c r="DO46" s="551">
        <f t="shared" si="46"/>
        <v>1901.7486278249423</v>
      </c>
      <c r="DR46" s="547">
        <f>'Hilfstabellen_Mat&amp;Bem'!$J$63</f>
        <v>4</v>
      </c>
      <c r="DS46" s="546">
        <f t="shared" si="47"/>
        <v>98</v>
      </c>
      <c r="DT46" s="551">
        <f t="shared" si="48"/>
        <v>141.39190265868385</v>
      </c>
      <c r="DU46" s="553">
        <f>DT46/PI()*SQRT('Hilfstabellen_Mat&amp;Bem'!f.Rd.3/'Hilfstabellen_Mat&amp;Bem'!$BD$30)</f>
        <v>2.2503220221297635</v>
      </c>
      <c r="DV46" s="553">
        <f>0.5*(1+'Hilfstabellen_Mat&amp;Bem'!$BD$31*(DU46-0.3)+DU46^2)</f>
        <v>3.129490702747582</v>
      </c>
      <c r="DW46" s="550">
        <f t="shared" si="49"/>
        <v>0.18852655657432721</v>
      </c>
      <c r="DY46" s="551">
        <f t="shared" si="50"/>
        <v>1810.6090493398385</v>
      </c>
      <c r="EB46" s="547">
        <f>'Hilfstabellen_Mat&amp;Bem'!$J$64</f>
        <v>4.0999999999999996</v>
      </c>
      <c r="EC46" s="546">
        <f t="shared" si="51"/>
        <v>98</v>
      </c>
      <c r="ED46" s="551">
        <f t="shared" si="52"/>
        <v>144.92670022515097</v>
      </c>
      <c r="EE46" s="553">
        <f>ED46/PI()*SQRT('Hilfstabellen_Mat&amp;Bem'!f.Rd.3/'Hilfstabellen_Mat&amp;Bem'!$BD$30)</f>
        <v>2.3065800726830079</v>
      </c>
      <c r="EF46" s="553">
        <f>0.5*(1+'Hilfstabellen_Mat&amp;Bem'!$BD$31*(EE46-0.3)+EE46^2)</f>
        <v>3.2604848194833256</v>
      </c>
      <c r="EG46" s="550">
        <f t="shared" si="53"/>
        <v>0.17969690551143358</v>
      </c>
      <c r="EI46" s="551">
        <f t="shared" si="54"/>
        <v>1725.8090805318081</v>
      </c>
      <c r="EL46" s="547">
        <f>'Hilfstabellen_Mat&amp;Bem'!$J$65</f>
        <v>4.2</v>
      </c>
      <c r="EM46" s="546">
        <f t="shared" si="55"/>
        <v>98</v>
      </c>
      <c r="EN46" s="551">
        <f t="shared" si="56"/>
        <v>148.46149779161803</v>
      </c>
      <c r="EO46" s="553">
        <f>EN46/PI()*SQRT('Hilfstabellen_Mat&amp;Bem'!f.Rd.3/'Hilfstabellen_Mat&amp;Bem'!$BD$30)</f>
        <v>2.3628381232362514</v>
      </c>
      <c r="EP46" s="553">
        <f>0.5*(1+'Hilfstabellen_Mat&amp;Bem'!$BD$31*(EO46-0.3)+EO46^2)</f>
        <v>3.3946439044711179</v>
      </c>
      <c r="EQ46" s="550">
        <f t="shared" si="57"/>
        <v>0.17146837621828159</v>
      </c>
      <c r="ES46" s="551">
        <f t="shared" si="58"/>
        <v>1646.7822852003765</v>
      </c>
    </row>
    <row r="47" spans="3:149">
      <c r="C47" s="546">
        <v>99</v>
      </c>
      <c r="D47" s="551">
        <f t="shared" si="8"/>
        <v>97.974591135209224</v>
      </c>
      <c r="E47" s="553">
        <f>$D47/PI()*SQRT('Hilfstabellen_Mat&amp;Bem'!f.Rd.3/'Hilfstabellen_Mat&amp;Bem'!$BD$30)</f>
        <v>1.559314047657594</v>
      </c>
      <c r="F47" s="553">
        <f>0.5*(1+'Hilfstabellen_Mat&amp;Bem'!$BD$31*($E47-0.3)+$E47^2)</f>
        <v>1.7786958519940343</v>
      </c>
      <c r="G47" s="550">
        <f t="shared" si="9"/>
        <v>0.37958726318536096</v>
      </c>
      <c r="I47" s="551">
        <f t="shared" si="59"/>
        <v>3720.3347664797229</v>
      </c>
      <c r="M47" s="546">
        <f t="shared" si="11"/>
        <v>99</v>
      </c>
      <c r="N47" s="551">
        <f t="shared" si="0"/>
        <v>101.47368367575241</v>
      </c>
      <c r="O47" s="553">
        <f>$N47/PI()*SQRT('Hilfstabellen_Mat&amp;Bem'!f.Rd.3/'Hilfstabellen_Mat&amp;Bem'!$BD$30)</f>
        <v>1.6150038350739366</v>
      </c>
      <c r="P47" s="553">
        <f>0.5*(1+'Hilfstabellen_Mat&amp;Bem'!$BD$31*($O47-0.3)+$O47^2)</f>
        <v>1.8698688854054581</v>
      </c>
      <c r="Q47" s="550">
        <f t="shared" si="1"/>
        <v>0.35558111931723785</v>
      </c>
      <c r="S47" s="551">
        <f t="shared" si="60"/>
        <v>3485.0505504282482</v>
      </c>
      <c r="W47" s="546">
        <f t="shared" si="13"/>
        <v>99</v>
      </c>
      <c r="X47" s="551">
        <f t="shared" si="2"/>
        <v>104.9727762162956</v>
      </c>
      <c r="Y47" s="553">
        <f>$X47/PI()*SQRT('Hilfstabellen_Mat&amp;Bem'!f.Rd.3/'Hilfstabellen_Mat&amp;Bem'!$BD$30)</f>
        <v>1.6706936224902791</v>
      </c>
      <c r="Z47" s="553">
        <f>0.5*(1+'Hilfstabellen_Mat&amp;Bem'!$BD$31*($Y47-0.3)+$Y47^2)</f>
        <v>1.9641432712393596</v>
      </c>
      <c r="AA47" s="550">
        <f t="shared" si="3"/>
        <v>0.33367516134482889</v>
      </c>
      <c r="AC47" s="551">
        <f t="shared" si="61"/>
        <v>3270.3502563406678</v>
      </c>
      <c r="AG47" s="546">
        <f t="shared" si="15"/>
        <v>99</v>
      </c>
      <c r="AH47" s="551">
        <f t="shared" si="4"/>
        <v>108.47186875683877</v>
      </c>
      <c r="AI47" s="553">
        <f>$AH47/PI()*SQRT('Hilfstabellen_Mat&amp;Bem'!f.Rd.3/'Hilfstabellen_Mat&amp;Bem'!$BD$30)</f>
        <v>1.7263834099066218</v>
      </c>
      <c r="AJ47" s="553">
        <f>0.5*(1+'Hilfstabellen_Mat&amp;Bem'!$BD$31*($AI47-0.3)+$AI47^2)</f>
        <v>2.0615190094957385</v>
      </c>
      <c r="AK47" s="550">
        <f t="shared" si="5"/>
        <v>0.31365438677398505</v>
      </c>
      <c r="AM47" s="551">
        <f t="shared" si="62"/>
        <v>3074.1266447718276</v>
      </c>
      <c r="AQ47" s="546">
        <f t="shared" si="17"/>
        <v>99</v>
      </c>
      <c r="AR47" s="551">
        <f t="shared" si="6"/>
        <v>111.97096129738196</v>
      </c>
      <c r="AS47" s="553">
        <f>$AR47/PI()*SQRT('Hilfstabellen_Mat&amp;Bem'!f.Rd.3/'Hilfstabellen_Mat&amp;Bem'!$BD$30)</f>
        <v>1.7820731973229642</v>
      </c>
      <c r="AT47" s="553">
        <f>0.5*(1+'Hilfstabellen_Mat&amp;Bem'!$BD$31*($AS47-0.3)+$AS47^2)</f>
        <v>2.1619961001745942</v>
      </c>
      <c r="AU47" s="550">
        <f t="shared" si="7"/>
        <v>0.2953245812709242</v>
      </c>
      <c r="AW47" s="551">
        <f t="shared" si="63"/>
        <v>2894.4762210363283</v>
      </c>
      <c r="AZ47" s="547">
        <f>'Hilfstabellen_Mat&amp;Bem'!$J$56</f>
        <v>3.3</v>
      </c>
      <c r="BA47" s="546">
        <f t="shared" si="19"/>
        <v>99</v>
      </c>
      <c r="BB47" s="551">
        <f t="shared" si="20"/>
        <v>115.47005383792515</v>
      </c>
      <c r="BC47" s="553">
        <f>BB47/PI()*SQRT('Hilfstabellen_Mat&amp;Bem'!f.Rd.3/'Hilfstabellen_Mat&amp;Bem'!$BD$30)</f>
        <v>1.8377629847393071</v>
      </c>
      <c r="BD47" s="553">
        <f>0.5*(1+'Hilfstabellen_Mat&amp;Bem'!$BD$31*(BC47-0.3)+BC47^2)</f>
        <v>2.2655745432759287</v>
      </c>
      <c r="BE47" s="550">
        <f t="shared" si="21"/>
        <v>0.27851192942466541</v>
      </c>
      <c r="BG47" s="551">
        <f t="shared" si="22"/>
        <v>2729.6954202911456</v>
      </c>
      <c r="BJ47" s="547">
        <f>'Hilfstabellen_Mat&amp;Bem'!$J$57</f>
        <v>3.4</v>
      </c>
      <c r="BK47" s="546">
        <f t="shared" si="23"/>
        <v>99</v>
      </c>
      <c r="BL47" s="551">
        <f t="shared" si="24"/>
        <v>118.96914637846834</v>
      </c>
      <c r="BM47" s="553">
        <f>BL47/PI()*SQRT('Hilfstabellen_Mat&amp;Bem'!f.Rd.3/'Hilfstabellen_Mat&amp;Bem'!$BD$30)</f>
        <v>1.8934527721556496</v>
      </c>
      <c r="BN47" s="553">
        <f>0.5*(1+'Hilfstabellen_Mat&amp;Bem'!$BD$31*(BM47-0.3)+BM47^2)</f>
        <v>2.3722543387997397</v>
      </c>
      <c r="BO47" s="550">
        <f t="shared" si="25"/>
        <v>0.26306170563467896</v>
      </c>
      <c r="BQ47" s="551">
        <f t="shared" si="26"/>
        <v>2578.2677769254883</v>
      </c>
      <c r="BT47" s="547">
        <f>'Hilfstabellen_Mat&amp;Bem'!$J$58</f>
        <v>3.5</v>
      </c>
      <c r="BU47" s="546">
        <f t="shared" si="27"/>
        <v>99</v>
      </c>
      <c r="BV47" s="551">
        <f t="shared" si="28"/>
        <v>122.46823891901153</v>
      </c>
      <c r="BW47" s="553">
        <f>BV47/PI()*SQRT('Hilfstabellen_Mat&amp;Bem'!f.Rd.3/'Hilfstabellen_Mat&amp;Bem'!$BD$30)</f>
        <v>1.9491425595719922</v>
      </c>
      <c r="BX47" s="553">
        <f>0.5*(1+'Hilfstabellen_Mat&amp;Bem'!$BD$31*(BW47-0.3)+BW47^2)</f>
        <v>2.4820354867460281</v>
      </c>
      <c r="BY47" s="550">
        <f t="shared" si="29"/>
        <v>0.24883657538106693</v>
      </c>
      <c r="CA47" s="551">
        <f t="shared" si="30"/>
        <v>2438.8472753098372</v>
      </c>
      <c r="CD47" s="547">
        <f>'Hilfstabellen_Mat&amp;Bem'!$J$59</f>
        <v>3.6</v>
      </c>
      <c r="CE47" s="546">
        <f t="shared" si="31"/>
        <v>99</v>
      </c>
      <c r="CF47" s="551">
        <f t="shared" si="32"/>
        <v>125.96733145955471</v>
      </c>
      <c r="CG47" s="553">
        <f>CF47/PI()*SQRT('Hilfstabellen_Mat&amp;Bem'!f.Rd.3/'Hilfstabellen_Mat&amp;Bem'!$BD$30)</f>
        <v>2.0048323469883349</v>
      </c>
      <c r="CH47" s="553">
        <f>0.5*(1+'Hilfstabellen_Mat&amp;Bem'!$BD$31*(CG47-0.3)+CG47^2)</f>
        <v>2.5949179871147945</v>
      </c>
      <c r="CI47" s="550">
        <f t="shared" si="33"/>
        <v>0.23571479564656136</v>
      </c>
      <c r="CK47" s="551">
        <f t="shared" si="34"/>
        <v>2310.2407121319479</v>
      </c>
      <c r="CN47" s="547">
        <f>'Hilfstabellen_Mat&amp;Bem'!$J$60</f>
        <v>3.7</v>
      </c>
      <c r="CO47" s="546">
        <f t="shared" si="35"/>
        <v>99</v>
      </c>
      <c r="CP47" s="551">
        <f t="shared" si="36"/>
        <v>129.4664240000979</v>
      </c>
      <c r="CQ47" s="553">
        <f>CP47/PI()*SQRT('Hilfstabellen_Mat&amp;Bem'!f.Rd.3/'Hilfstabellen_Mat&amp;Bem'!$BD$30)</f>
        <v>2.0605221344046778</v>
      </c>
      <c r="CR47" s="553">
        <f>0.5*(1+'Hilfstabellen_Mat&amp;Bem'!$BD$31*(CQ47-0.3)+CQ47^2)</f>
        <v>2.7109018399060387</v>
      </c>
      <c r="CS47" s="550">
        <f t="shared" si="37"/>
        <v>0.22358846584961625</v>
      </c>
      <c r="CU47" s="551">
        <f t="shared" si="38"/>
        <v>2191.3905537920887</v>
      </c>
      <c r="CX47" s="547">
        <f>'Hilfstabellen_Mat&amp;Bem'!$J$61</f>
        <v>3.8</v>
      </c>
      <c r="CY47" s="546">
        <f t="shared" si="39"/>
        <v>99</v>
      </c>
      <c r="CZ47" s="551">
        <f t="shared" si="40"/>
        <v>132.96551654064106</v>
      </c>
      <c r="DA47" s="553">
        <f>CZ47/PI()*SQRT('Hilfstabellen_Mat&amp;Bem'!f.Rd.3/'Hilfstabellen_Mat&amp;Bem'!$BD$30)</f>
        <v>2.1162119218210198</v>
      </c>
      <c r="DB47" s="553">
        <f>0.5*(1+'Hilfstabellen_Mat&amp;Bem'!$BD$31*(DA47-0.3)+DA47^2)</f>
        <v>2.8299870451197582</v>
      </c>
      <c r="DC47" s="550">
        <f t="shared" si="41"/>
        <v>0.21236190292204912</v>
      </c>
      <c r="DE47" s="551">
        <f t="shared" si="42"/>
        <v>2081.3590105390035</v>
      </c>
      <c r="DH47" s="547">
        <f>'Hilfstabellen_Mat&amp;Bem'!$J$62</f>
        <v>3.9</v>
      </c>
      <c r="DI47" s="546">
        <f t="shared" si="43"/>
        <v>99</v>
      </c>
      <c r="DJ47" s="551">
        <f t="shared" si="44"/>
        <v>136.46460908118425</v>
      </c>
      <c r="DK47" s="553">
        <f>DJ47/PI()*SQRT('Hilfstabellen_Mat&amp;Bem'!f.Rd.3/'Hilfstabellen_Mat&amp;Bem'!$BD$30)</f>
        <v>2.1719017092373623</v>
      </c>
      <c r="DL47" s="553">
        <f>0.5*(1+'Hilfstabellen_Mat&amp;Bem'!$BD$31*(DK47-0.3)+DK47^2)</f>
        <v>2.9521736027559555</v>
      </c>
      <c r="DM47" s="550">
        <f t="shared" si="45"/>
        <v>0.20195017071572963</v>
      </c>
      <c r="DO47" s="551">
        <f t="shared" si="46"/>
        <v>1979.3136231848662</v>
      </c>
      <c r="DR47" s="547">
        <f>'Hilfstabellen_Mat&amp;Bem'!$J$63</f>
        <v>4</v>
      </c>
      <c r="DS47" s="546">
        <f t="shared" si="47"/>
        <v>99</v>
      </c>
      <c r="DT47" s="551">
        <f t="shared" si="48"/>
        <v>139.96370162172744</v>
      </c>
      <c r="DU47" s="553">
        <f>DT47/PI()*SQRT('Hilfstabellen_Mat&amp;Bem'!f.Rd.3/'Hilfstabellen_Mat&amp;Bem'!$BD$30)</f>
        <v>2.2275914966537051</v>
      </c>
      <c r="DV47" s="553">
        <f>0.5*(1+'Hilfstabellen_Mat&amp;Bem'!$BD$31*(DU47-0.3)+DU47^2)</f>
        <v>3.0774615128146321</v>
      </c>
      <c r="DW47" s="550">
        <f t="shared" si="49"/>
        <v>0.19227777017784003</v>
      </c>
      <c r="DY47" s="551">
        <f t="shared" si="50"/>
        <v>1884.5144255130101</v>
      </c>
      <c r="EB47" s="547">
        <f>'Hilfstabellen_Mat&amp;Bem'!$J$64</f>
        <v>4.0999999999999996</v>
      </c>
      <c r="EC47" s="546">
        <f t="shared" si="51"/>
        <v>99</v>
      </c>
      <c r="ED47" s="551">
        <f t="shared" si="52"/>
        <v>143.46279416227063</v>
      </c>
      <c r="EE47" s="553">
        <f>ED47/PI()*SQRT('Hilfstabellen_Mat&amp;Bem'!f.Rd.3/'Hilfstabellen_Mat&amp;Bem'!$BD$30)</f>
        <v>2.2832812840700476</v>
      </c>
      <c r="EF47" s="553">
        <f>0.5*(1+'Hilfstabellen_Mat&amp;Bem'!$BD$31*(EE47-0.3)+EE47^2)</f>
        <v>3.2058507752957848</v>
      </c>
      <c r="EG47" s="550">
        <f t="shared" si="53"/>
        <v>0.18327748429825721</v>
      </c>
      <c r="EI47" s="551">
        <f t="shared" si="54"/>
        <v>1796.3026236072189</v>
      </c>
      <c r="EL47" s="547">
        <f>'Hilfstabellen_Mat&amp;Bem'!$J$65</f>
        <v>4.2</v>
      </c>
      <c r="EM47" s="546">
        <f t="shared" si="55"/>
        <v>99</v>
      </c>
      <c r="EN47" s="551">
        <f t="shared" si="56"/>
        <v>146.96188670281381</v>
      </c>
      <c r="EO47" s="553">
        <f>EN47/PI()*SQRT('Hilfstabellen_Mat&amp;Bem'!f.Rd.3/'Hilfstabellen_Mat&amp;Bem'!$BD$30)</f>
        <v>2.3389710714863905</v>
      </c>
      <c r="EP47" s="553">
        <f>0.5*(1+'Hilfstabellen_Mat&amp;Bem'!$BD$31*(EO47-0.3)+EO47^2)</f>
        <v>3.3373413901994162</v>
      </c>
      <c r="EQ47" s="550">
        <f t="shared" si="57"/>
        <v>0.17488936584756271</v>
      </c>
      <c r="ES47" s="551">
        <f t="shared" si="58"/>
        <v>1714.090674671962</v>
      </c>
    </row>
    <row r="48" spans="3:149">
      <c r="C48" s="546">
        <v>100</v>
      </c>
      <c r="D48" s="551">
        <f t="shared" si="8"/>
        <v>96.994845223857126</v>
      </c>
      <c r="E48" s="553">
        <f>$D48/PI()*SQRT('Hilfstabellen_Mat&amp;Bem'!f.Rd.3/'Hilfstabellen_Mat&amp;Bem'!$BD$30)</f>
        <v>1.5437209071810178</v>
      </c>
      <c r="F48" s="553">
        <f>0.5*(1+'Hilfstabellen_Mat&amp;Bem'!$BD$31*($E48-0.3)+$E48^2)</f>
        <v>1.7537231649929432</v>
      </c>
      <c r="G48" s="550">
        <f t="shared" si="9"/>
        <v>0.38671683227639481</v>
      </c>
      <c r="I48" s="551">
        <f t="shared" si="59"/>
        <v>3867.1683227639483</v>
      </c>
      <c r="M48" s="546">
        <f t="shared" si="11"/>
        <v>100</v>
      </c>
      <c r="N48" s="551">
        <f t="shared" si="0"/>
        <v>100.45894683899488</v>
      </c>
      <c r="O48" s="553">
        <f>$N48/PI()*SQRT('Hilfstabellen_Mat&amp;Bem'!f.Rd.3/'Hilfstabellen_Mat&amp;Bem'!$BD$30)</f>
        <v>1.5988537967231968</v>
      </c>
      <c r="P48" s="553">
        <f>0.5*(1+'Hilfstabellen_Mat&amp;Bem'!$BD$31*($O48-0.3)+$O48^2)</f>
        <v>1.8431094214842507</v>
      </c>
      <c r="Q48" s="550">
        <f t="shared" si="1"/>
        <v>0.36231665410892822</v>
      </c>
      <c r="S48" s="551">
        <f t="shared" si="60"/>
        <v>3623.166541089282</v>
      </c>
      <c r="W48" s="546">
        <f t="shared" si="13"/>
        <v>100</v>
      </c>
      <c r="X48" s="551">
        <f t="shared" si="2"/>
        <v>103.92304845413263</v>
      </c>
      <c r="Y48" s="553">
        <f>$X48/PI()*SQRT('Hilfstabellen_Mat&amp;Bem'!f.Rd.3/'Hilfstabellen_Mat&amp;Bem'!$BD$30)</f>
        <v>1.653986686265376</v>
      </c>
      <c r="Z48" s="553">
        <f>0.5*(1+'Hilfstabellen_Mat&amp;Bem'!$BD$31*($Y48-0.3)+$Y48^2)</f>
        <v>1.9355353134848285</v>
      </c>
      <c r="AA48" s="550">
        <f t="shared" si="3"/>
        <v>0.34003962053241865</v>
      </c>
      <c r="AC48" s="551">
        <f t="shared" si="61"/>
        <v>3400.3962053241867</v>
      </c>
      <c r="AG48" s="546">
        <f t="shared" si="15"/>
        <v>100</v>
      </c>
      <c r="AH48" s="551">
        <f t="shared" si="4"/>
        <v>107.38715006927039</v>
      </c>
      <c r="AI48" s="553">
        <f>$AH48/PI()*SQRT('Hilfstabellen_Mat&amp;Bem'!f.Rd.3/'Hilfstabellen_Mat&amp;Bem'!$BD$30)</f>
        <v>1.7091195758075555</v>
      </c>
      <c r="AJ48" s="553">
        <f>0.5*(1+'Hilfstabellen_Mat&amp;Bem'!$BD$31*($AI48-0.3)+$AI48^2)</f>
        <v>2.0310008409946771</v>
      </c>
      <c r="AK48" s="550">
        <f t="shared" si="5"/>
        <v>0.31967131881946032</v>
      </c>
      <c r="AM48" s="551">
        <f t="shared" si="62"/>
        <v>3196.7131881946029</v>
      </c>
      <c r="AQ48" s="546">
        <f t="shared" si="17"/>
        <v>100</v>
      </c>
      <c r="AR48" s="551">
        <f t="shared" si="6"/>
        <v>110.85125168440814</v>
      </c>
      <c r="AS48" s="553">
        <f>$AR48/PI()*SQRT('Hilfstabellen_Mat&amp;Bem'!f.Rd.3/'Hilfstabellen_Mat&amp;Bem'!$BD$30)</f>
        <v>1.7642524653497347</v>
      </c>
      <c r="AT48" s="553">
        <f>0.5*(1+'Hilfstabellen_Mat&amp;Bem'!$BD$31*($AS48-0.3)+$AS48^2)</f>
        <v>2.1295060040137952</v>
      </c>
      <c r="AU48" s="550">
        <f t="shared" si="7"/>
        <v>0.30101713025294041</v>
      </c>
      <c r="AW48" s="551">
        <f t="shared" si="63"/>
        <v>3010.1713025294043</v>
      </c>
      <c r="AZ48" s="547">
        <f>'Hilfstabellen_Mat&amp;Bem'!$J$56</f>
        <v>3.3</v>
      </c>
      <c r="BA48" s="546">
        <f t="shared" si="19"/>
        <v>100</v>
      </c>
      <c r="BB48" s="551">
        <f t="shared" si="20"/>
        <v>114.31535329954589</v>
      </c>
      <c r="BC48" s="553">
        <f>BB48/PI()*SQRT('Hilfstabellen_Mat&amp;Bem'!f.Rd.3/'Hilfstabellen_Mat&amp;Bem'!$BD$30)</f>
        <v>1.8193853548919137</v>
      </c>
      <c r="BD48" s="553">
        <f>0.5*(1+'Hilfstabellen_Mat&amp;Bem'!$BD$31*(BC48-0.3)+BC48^2)</f>
        <v>2.2310508025421831</v>
      </c>
      <c r="BE48" s="550">
        <f t="shared" si="21"/>
        <v>0.28390227783425137</v>
      </c>
      <c r="BG48" s="551">
        <f t="shared" si="22"/>
        <v>2839.0227783425139</v>
      </c>
      <c r="BJ48" s="547">
        <f>'Hilfstabellen_Mat&amp;Bem'!$J$57</f>
        <v>3.4</v>
      </c>
      <c r="BK48" s="546">
        <f t="shared" si="23"/>
        <v>100</v>
      </c>
      <c r="BL48" s="551">
        <f t="shared" si="24"/>
        <v>117.77945491468365</v>
      </c>
      <c r="BM48" s="553">
        <f>BL48/PI()*SQRT('Hilfstabellen_Mat&amp;Bem'!f.Rd.3/'Hilfstabellen_Mat&amp;Bem'!$BD$30)</f>
        <v>1.8745182444340931</v>
      </c>
      <c r="BN48" s="553">
        <f>0.5*(1+'Hilfstabellen_Mat&amp;Bem'!$BD$31*(BM48-0.3)+BM48^2)</f>
        <v>2.3356352365798418</v>
      </c>
      <c r="BO48" s="550">
        <f t="shared" si="25"/>
        <v>0.26817078536237315</v>
      </c>
      <c r="BQ48" s="551">
        <f t="shared" si="26"/>
        <v>2681.7078536237314</v>
      </c>
      <c r="BT48" s="547">
        <f>'Hilfstabellen_Mat&amp;Bem'!$J$58</f>
        <v>3.5</v>
      </c>
      <c r="BU48" s="546">
        <f t="shared" si="27"/>
        <v>100</v>
      </c>
      <c r="BV48" s="551">
        <f t="shared" si="28"/>
        <v>121.2435565298214</v>
      </c>
      <c r="BW48" s="553">
        <f>BV48/PI()*SQRT('Hilfstabellen_Mat&amp;Bem'!f.Rd.3/'Hilfstabellen_Mat&amp;Bem'!$BD$30)</f>
        <v>1.9296511339762721</v>
      </c>
      <c r="BX48" s="553">
        <f>0.5*(1+'Hilfstabellen_Mat&amp;Bem'!$BD$31*(BW48-0.3)+BW48^2)</f>
        <v>2.44325930612677</v>
      </c>
      <c r="BY48" s="550">
        <f t="shared" si="29"/>
        <v>0.253683942323009</v>
      </c>
      <c r="CA48" s="551">
        <f t="shared" si="30"/>
        <v>2536.8394232300902</v>
      </c>
      <c r="CD48" s="547">
        <f>'Hilfstabellen_Mat&amp;Bem'!$J$59</f>
        <v>3.6</v>
      </c>
      <c r="CE48" s="546">
        <f t="shared" si="31"/>
        <v>100</v>
      </c>
      <c r="CF48" s="551">
        <f t="shared" si="32"/>
        <v>124.70765814495915</v>
      </c>
      <c r="CG48" s="553">
        <f>CF48/PI()*SQRT('Hilfstabellen_Mat&amp;Bem'!f.Rd.3/'Hilfstabellen_Mat&amp;Bem'!$BD$30)</f>
        <v>1.9847840235184515</v>
      </c>
      <c r="CH48" s="553">
        <f>0.5*(1+'Hilfstabellen_Mat&amp;Bem'!$BD$31*(CG48-0.3)+CG48^2)</f>
        <v>2.5539230111829694</v>
      </c>
      <c r="CI48" s="550">
        <f t="shared" si="33"/>
        <v>0.24031860288788967</v>
      </c>
      <c r="CK48" s="551">
        <f t="shared" si="34"/>
        <v>2403.1860288788966</v>
      </c>
      <c r="CN48" s="547">
        <f>'Hilfstabellen_Mat&amp;Bem'!$J$60</f>
        <v>3.7</v>
      </c>
      <c r="CO48" s="546">
        <f t="shared" si="35"/>
        <v>100</v>
      </c>
      <c r="CP48" s="551">
        <f t="shared" si="36"/>
        <v>128.1717597600969</v>
      </c>
      <c r="CQ48" s="553">
        <f>CP48/PI()*SQRT('Hilfstabellen_Mat&amp;Bem'!f.Rd.3/'Hilfstabellen_Mat&amp;Bem'!$BD$30)</f>
        <v>2.0399169130606305</v>
      </c>
      <c r="CR48" s="553">
        <f>0.5*(1+'Hilfstabellen_Mat&amp;Bem'!$BD$31*(CQ48-0.3)+CQ48^2)</f>
        <v>2.6676263517484373</v>
      </c>
      <c r="CS48" s="550">
        <f t="shared" si="37"/>
        <v>0.22796549484393031</v>
      </c>
      <c r="CU48" s="551">
        <f t="shared" si="38"/>
        <v>2279.6549484393031</v>
      </c>
      <c r="CX48" s="547">
        <f>'Hilfstabellen_Mat&amp;Bem'!$J$61</f>
        <v>3.8</v>
      </c>
      <c r="CY48" s="546">
        <f t="shared" si="39"/>
        <v>100</v>
      </c>
      <c r="CZ48" s="551">
        <f t="shared" si="40"/>
        <v>131.63586137523467</v>
      </c>
      <c r="DA48" s="553">
        <f>CZ48/PI()*SQRT('Hilfstabellen_Mat&amp;Bem'!f.Rd.3/'Hilfstabellen_Mat&amp;Bem'!$BD$30)</f>
        <v>2.0950498026028099</v>
      </c>
      <c r="DB48" s="553">
        <f>0.5*(1+'Hilfstabellen_Mat&amp;Bem'!$BD$31*(DA48-0.3)+DA48^2)</f>
        <v>2.7843693278231774</v>
      </c>
      <c r="DC48" s="550">
        <f t="shared" si="41"/>
        <v>0.21652762731877842</v>
      </c>
      <c r="DE48" s="551">
        <f t="shared" si="42"/>
        <v>2165.2762731877842</v>
      </c>
      <c r="DH48" s="547">
        <f>'Hilfstabellen_Mat&amp;Bem'!$J$62</f>
        <v>3.9</v>
      </c>
      <c r="DI48" s="546">
        <f t="shared" si="43"/>
        <v>100</v>
      </c>
      <c r="DJ48" s="551">
        <f t="shared" si="44"/>
        <v>135.09996299037243</v>
      </c>
      <c r="DK48" s="553">
        <f>DJ48/PI()*SQRT('Hilfstabellen_Mat&amp;Bem'!f.Rd.3/'Hilfstabellen_Mat&amp;Bem'!$BD$30)</f>
        <v>2.1501826921449889</v>
      </c>
      <c r="DL48" s="553">
        <f>0.5*(1+'Hilfstabellen_Mat&amp;Bem'!$BD$31*(DK48-0.3)+DK48^2)</f>
        <v>2.9041519394071855</v>
      </c>
      <c r="DM48" s="550">
        <f t="shared" si="45"/>
        <v>0.20591883703785255</v>
      </c>
      <c r="DO48" s="551">
        <f t="shared" si="46"/>
        <v>2059.1883703785256</v>
      </c>
      <c r="DR48" s="547">
        <f>'Hilfstabellen_Mat&amp;Bem'!$J$63</f>
        <v>4</v>
      </c>
      <c r="DS48" s="546">
        <f t="shared" si="47"/>
        <v>100</v>
      </c>
      <c r="DT48" s="551">
        <f t="shared" si="48"/>
        <v>138.56406460551017</v>
      </c>
      <c r="DU48" s="553">
        <f>DT48/PI()*SQRT('Hilfstabellen_Mat&amp;Bem'!f.Rd.3/'Hilfstabellen_Mat&amp;Bem'!$BD$30)</f>
        <v>2.2053155816871679</v>
      </c>
      <c r="DV48" s="553">
        <f>0.5*(1+'Hilfstabellen_Mat&amp;Bem'!$BD$31*(DU48-0.3)+DU48^2)</f>
        <v>3.026974186500464</v>
      </c>
      <c r="DW48" s="550">
        <f t="shared" si="49"/>
        <v>0.19606248557633724</v>
      </c>
      <c r="DY48" s="551">
        <f t="shared" si="50"/>
        <v>1960.6248557633724</v>
      </c>
      <c r="EB48" s="547">
        <f>'Hilfstabellen_Mat&amp;Bem'!$J$64</f>
        <v>4.0999999999999996</v>
      </c>
      <c r="EC48" s="546">
        <f t="shared" si="51"/>
        <v>100</v>
      </c>
      <c r="ED48" s="551">
        <f t="shared" si="52"/>
        <v>142.02816622064793</v>
      </c>
      <c r="EE48" s="553">
        <f>ED48/PI()*SQRT('Hilfstabellen_Mat&amp;Bem'!f.Rd.3/'Hilfstabellen_Mat&amp;Bem'!$BD$30)</f>
        <v>2.2604484712293473</v>
      </c>
      <c r="EF48" s="553">
        <f>0.5*(1+'Hilfstabellen_Mat&amp;Bem'!$BD$31*(EE48-0.3)+EE48^2)</f>
        <v>3.1528360691030142</v>
      </c>
      <c r="EG48" s="550">
        <f t="shared" si="53"/>
        <v>0.1868903054265664</v>
      </c>
      <c r="EI48" s="551">
        <f t="shared" si="54"/>
        <v>1868.903054265664</v>
      </c>
      <c r="EL48" s="547">
        <f>'Hilfstabellen_Mat&amp;Bem'!$J$65</f>
        <v>4.2</v>
      </c>
      <c r="EM48" s="546">
        <f t="shared" si="55"/>
        <v>100</v>
      </c>
      <c r="EN48" s="551">
        <f t="shared" si="56"/>
        <v>145.4922678357857</v>
      </c>
      <c r="EO48" s="553">
        <f>EN48/PI()*SQRT('Hilfstabellen_Mat&amp;Bem'!f.Rd.3/'Hilfstabellen_Mat&amp;Bem'!$BD$30)</f>
        <v>2.3155813607715268</v>
      </c>
      <c r="EP48" s="553">
        <f>0.5*(1+'Hilfstabellen_Mat&amp;Bem'!$BD$31*(EO48-0.3)+EO48^2)</f>
        <v>3.2817375872148342</v>
      </c>
      <c r="EQ48" s="550">
        <f t="shared" si="57"/>
        <v>0.17834138532361904</v>
      </c>
      <c r="ES48" s="551">
        <f t="shared" si="58"/>
        <v>1783.4138532361903</v>
      </c>
    </row>
    <row r="49" spans="3:149">
      <c r="C49" s="546">
        <v>101</v>
      </c>
      <c r="D49" s="551">
        <f t="shared" si="8"/>
        <v>96.034500221640712</v>
      </c>
      <c r="E49" s="553">
        <f>$D49/PI()*SQRT('Hilfstabellen_Mat&amp;Bem'!f.Rd.3/'Hilfstabellen_Mat&amp;Bem'!$BD$30)</f>
        <v>1.5284365417633838</v>
      </c>
      <c r="F49" s="553">
        <f>0.5*(1+'Hilfstabellen_Mat&amp;Bem'!$BD$31*($E49-0.3)+$E49^2)</f>
        <v>1.7294809581869752</v>
      </c>
      <c r="G49" s="550">
        <f t="shared" si="9"/>
        <v>0.39388794815641681</v>
      </c>
      <c r="I49" s="551">
        <f t="shared" si="59"/>
        <v>4018.050959143608</v>
      </c>
      <c r="M49" s="546">
        <f t="shared" si="11"/>
        <v>101</v>
      </c>
      <c r="N49" s="551">
        <f t="shared" si="0"/>
        <v>99.464303800985036</v>
      </c>
      <c r="O49" s="553">
        <f>$N49/PI()*SQRT('Hilfstabellen_Mat&amp;Bem'!f.Rd.3/'Hilfstabellen_Mat&amp;Bem'!$BD$30)</f>
        <v>1.5830235611120764</v>
      </c>
      <c r="P49" s="553">
        <f>0.5*(1+'Hilfstabellen_Mat&amp;Bem'!$BD$31*($O49-0.3)+$O49^2)</f>
        <v>1.8171329755735837</v>
      </c>
      <c r="Q49" s="550">
        <f t="shared" si="1"/>
        <v>0.36909546713451552</v>
      </c>
      <c r="S49" s="551">
        <f t="shared" si="60"/>
        <v>3765.1428602391929</v>
      </c>
      <c r="W49" s="546">
        <f t="shared" si="13"/>
        <v>101</v>
      </c>
      <c r="X49" s="551">
        <f t="shared" si="2"/>
        <v>102.89410738032934</v>
      </c>
      <c r="Y49" s="553">
        <f>$X49/PI()*SQRT('Hilfstabellen_Mat&amp;Bem'!f.Rd.3/'Hilfstabellen_Mat&amp;Bem'!$BD$30)</f>
        <v>1.6376105804607688</v>
      </c>
      <c r="Z49" s="553">
        <f>0.5*(1+'Hilfstabellen_Mat&amp;Bem'!$BD$31*($Y49-0.3)+$Y49^2)</f>
        <v>1.9077647356415666</v>
      </c>
      <c r="AA49" s="550">
        <f t="shared" si="3"/>
        <v>0.3464479808158471</v>
      </c>
      <c r="AC49" s="551">
        <f t="shared" si="61"/>
        <v>3534.1158523024565</v>
      </c>
      <c r="AG49" s="546">
        <f t="shared" si="15"/>
        <v>101</v>
      </c>
      <c r="AH49" s="551">
        <f t="shared" si="4"/>
        <v>106.32391095967364</v>
      </c>
      <c r="AI49" s="553">
        <f>$AH49/PI()*SQRT('Hilfstabellen_Mat&amp;Bem'!f.Rd.3/'Hilfstabellen_Mat&amp;Bem'!$BD$30)</f>
        <v>1.6921975998094607</v>
      </c>
      <c r="AJ49" s="553">
        <f>0.5*(1+'Hilfstabellen_Mat&amp;Bem'!$BD$31*($AI49-0.3)+$AI49^2)</f>
        <v>2.001376238390923</v>
      </c>
      <c r="AK49" s="550">
        <f t="shared" si="5"/>
        <v>0.32573203586885047</v>
      </c>
      <c r="AM49" s="551">
        <f t="shared" si="62"/>
        <v>3322.7924978981437</v>
      </c>
      <c r="AQ49" s="546">
        <f t="shared" si="17"/>
        <v>101</v>
      </c>
      <c r="AR49" s="551">
        <f t="shared" si="6"/>
        <v>109.75371453901796</v>
      </c>
      <c r="AS49" s="553">
        <f>$AR49/PI()*SQRT('Hilfstabellen_Mat&amp;Bem'!f.Rd.3/'Hilfstabellen_Mat&amp;Bem'!$BD$30)</f>
        <v>1.7467846191581531</v>
      </c>
      <c r="AT49" s="553">
        <f>0.5*(1+'Hilfstabellen_Mat&amp;Bem'!$BD$31*($AS49-0.3)+$AS49^2)</f>
        <v>2.0979674838216544</v>
      </c>
      <c r="AU49" s="550">
        <f t="shared" si="7"/>
        <v>0.30675285971159555</v>
      </c>
      <c r="AW49" s="551">
        <f t="shared" si="63"/>
        <v>3129.185921917986</v>
      </c>
      <c r="AZ49" s="547">
        <f>'Hilfstabellen_Mat&amp;Bem'!$J$56</f>
        <v>3.3</v>
      </c>
      <c r="BA49" s="546">
        <f t="shared" si="19"/>
        <v>101</v>
      </c>
      <c r="BB49" s="551">
        <f t="shared" si="20"/>
        <v>113.18351811836226</v>
      </c>
      <c r="BC49" s="553">
        <f>BB49/PI()*SQRT('Hilfstabellen_Mat&amp;Bem'!f.Rd.3/'Hilfstabellen_Mat&amp;Bem'!$BD$30)</f>
        <v>1.8013716385068452</v>
      </c>
      <c r="BD49" s="553">
        <f>0.5*(1+'Hilfstabellen_Mat&amp;Bem'!$BD$31*(BC49-0.3)+BC49^2)</f>
        <v>2.1975384719337603</v>
      </c>
      <c r="BE49" s="550">
        <f t="shared" si="21"/>
        <v>0.28933488466574492</v>
      </c>
      <c r="BG49" s="551">
        <f t="shared" si="22"/>
        <v>2951.5051584752641</v>
      </c>
      <c r="BJ49" s="547">
        <f>'Hilfstabellen_Mat&amp;Bem'!$J$57</f>
        <v>3.4</v>
      </c>
      <c r="BK49" s="546">
        <f t="shared" si="23"/>
        <v>101</v>
      </c>
      <c r="BL49" s="551">
        <f t="shared" si="24"/>
        <v>116.61332169770658</v>
      </c>
      <c r="BM49" s="553">
        <f>BL49/PI()*SQRT('Hilfstabellen_Mat&amp;Bem'!f.Rd.3/'Hilfstabellen_Mat&amp;Bem'!$BD$30)</f>
        <v>1.8559586578555376</v>
      </c>
      <c r="BN49" s="553">
        <f>0.5*(1+'Hilfstabellen_Mat&amp;Bem'!$BD$31*(BM49-0.3)+BM49^2)</f>
        <v>2.300089202727241</v>
      </c>
      <c r="BO49" s="550">
        <f t="shared" si="25"/>
        <v>0.2733210012065207</v>
      </c>
      <c r="BQ49" s="551">
        <f t="shared" si="26"/>
        <v>2788.1475333077178</v>
      </c>
      <c r="BT49" s="547">
        <f>'Hilfstabellen_Mat&amp;Bem'!$J$58</f>
        <v>3.5</v>
      </c>
      <c r="BU49" s="546">
        <f t="shared" si="27"/>
        <v>101</v>
      </c>
      <c r="BV49" s="551">
        <f t="shared" si="28"/>
        <v>120.04312527705089</v>
      </c>
      <c r="BW49" s="553">
        <f>BV49/PI()*SQRT('Hilfstabellen_Mat&amp;Bem'!f.Rd.3/'Hilfstabellen_Mat&amp;Bem'!$BD$30)</f>
        <v>1.91054567720423</v>
      </c>
      <c r="BX49" s="553">
        <f>0.5*(1+'Hilfstabellen_Mat&amp;Bem'!$BD$31*(BW49-0.3)+BW49^2)</f>
        <v>2.4056196762020963</v>
      </c>
      <c r="BY49" s="550">
        <f t="shared" si="29"/>
        <v>0.25857120364497388</v>
      </c>
      <c r="CA49" s="551">
        <f t="shared" si="30"/>
        <v>2637.6848483823787</v>
      </c>
      <c r="CD49" s="547">
        <f>'Hilfstabellen_Mat&amp;Bem'!$J$59</f>
        <v>3.6</v>
      </c>
      <c r="CE49" s="546">
        <f t="shared" si="31"/>
        <v>101</v>
      </c>
      <c r="CF49" s="551">
        <f t="shared" si="32"/>
        <v>123.47292885639521</v>
      </c>
      <c r="CG49" s="553">
        <f>CF49/PI()*SQRT('Hilfstabellen_Mat&amp;Bem'!f.Rd.3/'Hilfstabellen_Mat&amp;Bem'!$BD$30)</f>
        <v>1.9651326965529223</v>
      </c>
      <c r="CH49" s="553">
        <f>0.5*(1+'Hilfstabellen_Mat&amp;Bem'!$BD$31*(CG49-0.3)+CG49^2)</f>
        <v>2.514129892358326</v>
      </c>
      <c r="CI49" s="550">
        <f t="shared" si="33"/>
        <v>0.24496099915199449</v>
      </c>
      <c r="CK49" s="551">
        <f t="shared" si="34"/>
        <v>2498.8471523494959</v>
      </c>
      <c r="CN49" s="547">
        <f>'Hilfstabellen_Mat&amp;Bem'!$J$60</f>
        <v>3.7</v>
      </c>
      <c r="CO49" s="546">
        <f t="shared" si="35"/>
        <v>101</v>
      </c>
      <c r="CP49" s="551">
        <f t="shared" si="36"/>
        <v>126.90273243573952</v>
      </c>
      <c r="CQ49" s="553">
        <f>CP49/PI()*SQRT('Hilfstabellen_Mat&amp;Bem'!f.Rd.3/'Hilfstabellen_Mat&amp;Bem'!$BD$30)</f>
        <v>2.0197197159016147</v>
      </c>
      <c r="CR49" s="553">
        <f>0.5*(1+'Hilfstabellen_Mat&amp;Bem'!$BD$31*(CQ49-0.3)+CQ49^2)</f>
        <v>2.6256198511959301</v>
      </c>
      <c r="CS49" s="550">
        <f t="shared" si="37"/>
        <v>0.23237978238800946</v>
      </c>
      <c r="CU49" s="551">
        <f t="shared" si="38"/>
        <v>2370.5061601400844</v>
      </c>
      <c r="CX49" s="547">
        <f>'Hilfstabellen_Mat&amp;Bem'!$J$61</f>
        <v>3.8</v>
      </c>
      <c r="CY49" s="546">
        <f t="shared" si="39"/>
        <v>101</v>
      </c>
      <c r="CZ49" s="551">
        <f t="shared" si="40"/>
        <v>130.33253601508383</v>
      </c>
      <c r="DA49" s="553">
        <f>CZ49/PI()*SQRT('Hilfstabellen_Mat&amp;Bem'!f.Rd.3/'Hilfstabellen_Mat&amp;Bem'!$BD$30)</f>
        <v>2.0743067352503068</v>
      </c>
      <c r="DB49" s="553">
        <f>0.5*(1+'Hilfstabellen_Mat&amp;Bem'!$BD$31*(DA49-0.3)+DA49^2)</f>
        <v>2.7400895527149087</v>
      </c>
      <c r="DC49" s="550">
        <f t="shared" si="41"/>
        <v>0.22072928111460777</v>
      </c>
      <c r="DE49" s="551">
        <f t="shared" si="42"/>
        <v>2251.6593966501136</v>
      </c>
      <c r="DH49" s="547">
        <f>'Hilfstabellen_Mat&amp;Bem'!$J$62</f>
        <v>3.9</v>
      </c>
      <c r="DI49" s="546">
        <f t="shared" si="43"/>
        <v>101</v>
      </c>
      <c r="DJ49" s="551">
        <f t="shared" si="44"/>
        <v>133.76233959442814</v>
      </c>
      <c r="DK49" s="553">
        <f>DJ49/PI()*SQRT('Hilfstabellen_Mat&amp;Bem'!f.Rd.3/'Hilfstabellen_Mat&amp;Bem'!$BD$30)</f>
        <v>2.128893754598999</v>
      </c>
      <c r="DL49" s="553">
        <f>0.5*(1+'Hilfstabellen_Mat&amp;Bem'!$BD$31*(DK49-0.3)+DK49^2)</f>
        <v>2.8575389969152614</v>
      </c>
      <c r="DM49" s="550">
        <f t="shared" si="45"/>
        <v>0.20992212289909593</v>
      </c>
      <c r="DO49" s="551">
        <f t="shared" si="46"/>
        <v>2141.4155756936775</v>
      </c>
      <c r="DR49" s="547">
        <f>'Hilfstabellen_Mat&amp;Bem'!$J$63</f>
        <v>4</v>
      </c>
      <c r="DS49" s="546">
        <f t="shared" si="47"/>
        <v>101</v>
      </c>
      <c r="DT49" s="551">
        <f t="shared" si="48"/>
        <v>137.19214317377245</v>
      </c>
      <c r="DU49" s="553">
        <f>DT49/PI()*SQRT('Hilfstabellen_Mat&amp;Bem'!f.Rd.3/'Hilfstabellen_Mat&amp;Bem'!$BD$30)</f>
        <v>2.1834807739476911</v>
      </c>
      <c r="DV49" s="553">
        <f>0.5*(1+'Hilfstabellen_Mat&amp;Bem'!$BD$31*(DU49-0.3)+DU49^2)</f>
        <v>2.9779681837969889</v>
      </c>
      <c r="DW49" s="550">
        <f t="shared" si="49"/>
        <v>0.19988054193715829</v>
      </c>
      <c r="DY49" s="551">
        <f t="shared" si="50"/>
        <v>2038.9814083009517</v>
      </c>
      <c r="EB49" s="547">
        <f>'Hilfstabellen_Mat&amp;Bem'!$J$64</f>
        <v>4.0999999999999996</v>
      </c>
      <c r="EC49" s="546">
        <f t="shared" si="51"/>
        <v>101</v>
      </c>
      <c r="ED49" s="551">
        <f t="shared" si="52"/>
        <v>140.62194675311676</v>
      </c>
      <c r="EE49" s="553">
        <f>ED49/PI()*SQRT('Hilfstabellen_Mat&amp;Bem'!f.Rd.3/'Hilfstabellen_Mat&amp;Bem'!$BD$30)</f>
        <v>2.2380677932963837</v>
      </c>
      <c r="EF49" s="553">
        <f>0.5*(1+'Hilfstabellen_Mat&amp;Bem'!$BD$31*(EE49-0.3)+EE49^2)</f>
        <v>3.1013771133600914</v>
      </c>
      <c r="EG49" s="550">
        <f t="shared" si="53"/>
        <v>0.19053522798467457</v>
      </c>
      <c r="EI49" s="551">
        <f t="shared" si="54"/>
        <v>1943.6498606716652</v>
      </c>
      <c r="EL49" s="547">
        <f>'Hilfstabellen_Mat&amp;Bem'!$J$65</f>
        <v>4.2</v>
      </c>
      <c r="EM49" s="546">
        <f t="shared" si="55"/>
        <v>101</v>
      </c>
      <c r="EN49" s="551">
        <f t="shared" si="56"/>
        <v>144.05175033246107</v>
      </c>
      <c r="EO49" s="553">
        <f>EN49/PI()*SQRT('Hilfstabellen_Mat&amp;Bem'!f.Rd.3/'Hilfstabellen_Mat&amp;Bem'!$BD$30)</f>
        <v>2.2926548126450759</v>
      </c>
      <c r="EP49" s="553">
        <f>0.5*(1+'Hilfstabellen_Mat&amp;Bem'!$BD$31*(EO49-0.3)+EO49^2)</f>
        <v>3.2277657856045678</v>
      </c>
      <c r="EQ49" s="550">
        <f t="shared" si="57"/>
        <v>0.18182431050094172</v>
      </c>
      <c r="ES49" s="551">
        <f t="shared" si="58"/>
        <v>1854.7897914201064</v>
      </c>
    </row>
    <row r="50" spans="3:149">
      <c r="C50" s="546">
        <v>102</v>
      </c>
      <c r="D50" s="551">
        <f t="shared" si="8"/>
        <v>95.092985513585404</v>
      </c>
      <c r="E50" s="553">
        <f>$D50/PI()*SQRT('Hilfstabellen_Mat&amp;Bem'!f.Rd.3/'Hilfstabellen_Mat&amp;Bem'!$BD$30)</f>
        <v>1.5134518697853114</v>
      </c>
      <c r="F50" s="553">
        <f>0.5*(1+'Hilfstabellen_Mat&amp;Bem'!$BD$31*($E50-0.3)+$E50^2)</f>
        <v>1.7059408745675932</v>
      </c>
      <c r="G50" s="550">
        <f t="shared" si="9"/>
        <v>0.40109906256693229</v>
      </c>
      <c r="I50" s="551">
        <f t="shared" si="59"/>
        <v>4173.0346469463639</v>
      </c>
      <c r="M50" s="546">
        <f t="shared" si="11"/>
        <v>102</v>
      </c>
      <c r="N50" s="551">
        <f t="shared" si="0"/>
        <v>98.489163567642038</v>
      </c>
      <c r="O50" s="553">
        <f>$N50/PI()*SQRT('Hilfstabellen_Mat&amp;Bem'!f.Rd.3/'Hilfstabellen_Mat&amp;Bem'!$BD$30)</f>
        <v>1.5675037222776442</v>
      </c>
      <c r="P50" s="553">
        <f>0.5*(1+'Hilfstabellen_Mat&amp;Bem'!$BD$31*($O50-0.3)+$O50^2)</f>
        <v>1.7919091457910172</v>
      </c>
      <c r="Q50" s="550">
        <f t="shared" si="1"/>
        <v>0.37591634928518786</v>
      </c>
      <c r="S50" s="551">
        <f t="shared" si="60"/>
        <v>3911.0336979630943</v>
      </c>
      <c r="W50" s="546">
        <f t="shared" si="13"/>
        <v>102</v>
      </c>
      <c r="X50" s="551">
        <f t="shared" si="2"/>
        <v>101.88534162169866</v>
      </c>
      <c r="Y50" s="553">
        <f>$X50/PI()*SQRT('Hilfstabellen_Mat&amp;Bem'!f.Rd.3/'Hilfstabellen_Mat&amp;Bem'!$BD$30)</f>
        <v>1.6215555747699768</v>
      </c>
      <c r="Z50" s="553">
        <f>0.5*(1+'Hilfstabellen_Mat&amp;Bem'!$BD$31*($Y50-0.3)+$Y50^2)</f>
        <v>1.8807990197722937</v>
      </c>
      <c r="AA50" s="550">
        <f t="shared" si="3"/>
        <v>0.35289928518446811</v>
      </c>
      <c r="AC50" s="551">
        <f t="shared" si="61"/>
        <v>3671.5641630592063</v>
      </c>
      <c r="AG50" s="546">
        <f t="shared" si="15"/>
        <v>102</v>
      </c>
      <c r="AH50" s="551">
        <f t="shared" si="4"/>
        <v>105.28151967575528</v>
      </c>
      <c r="AI50" s="553">
        <f>$AH50/PI()*SQRT('Hilfstabellen_Mat&amp;Bem'!f.Rd.3/'Hilfstabellen_Mat&amp;Bem'!$BD$30)</f>
        <v>1.6756074272623094</v>
      </c>
      <c r="AJ50" s="553">
        <f>0.5*(1+'Hilfstabellen_Mat&amp;Bem'!$BD$31*($AI50-0.3)+$AI50^2)</f>
        <v>1.9726104965114231</v>
      </c>
      <c r="AK50" s="550">
        <f t="shared" si="5"/>
        <v>0.33183577065282693</v>
      </c>
      <c r="AM50" s="551">
        <f t="shared" si="62"/>
        <v>3452.4193578720115</v>
      </c>
      <c r="AQ50" s="546">
        <f t="shared" si="17"/>
        <v>102</v>
      </c>
      <c r="AR50" s="551">
        <f t="shared" si="6"/>
        <v>108.6776977298119</v>
      </c>
      <c r="AS50" s="553">
        <f>$AR50/PI()*SQRT('Hilfstabellen_Mat&amp;Bem'!f.Rd.3/'Hilfstabellen_Mat&amp;Bem'!$BD$30)</f>
        <v>1.7296592797546417</v>
      </c>
      <c r="AT50" s="553">
        <f>0.5*(1+'Hilfstabellen_Mat&amp;Bem'!$BD$31*($AS50-0.3)+$AS50^2)</f>
        <v>2.0673435760084051</v>
      </c>
      <c r="AU50" s="550">
        <f t="shared" si="7"/>
        <v>0.3125311470197773</v>
      </c>
      <c r="AW50" s="551">
        <f t="shared" si="63"/>
        <v>3251.574053593763</v>
      </c>
      <c r="AZ50" s="547">
        <f>'Hilfstabellen_Mat&amp;Bem'!$J$56</f>
        <v>3.3</v>
      </c>
      <c r="BA50" s="546">
        <f t="shared" si="19"/>
        <v>102</v>
      </c>
      <c r="BB50" s="551">
        <f t="shared" si="20"/>
        <v>112.07387578386852</v>
      </c>
      <c r="BC50" s="553">
        <f>BB50/PI()*SQRT('Hilfstabellen_Mat&amp;Bem'!f.Rd.3/'Hilfstabellen_Mat&amp;Bem'!$BD$30)</f>
        <v>1.7837111322469743</v>
      </c>
      <c r="BD50" s="553">
        <f>0.5*(1+'Hilfstabellen_Mat&amp;Bem'!$BD$31*(BC50-0.3)+BC50^2)</f>
        <v>2.1649982582632403</v>
      </c>
      <c r="BE50" s="550">
        <f t="shared" si="21"/>
        <v>0.29480923894515071</v>
      </c>
      <c r="BG50" s="551">
        <f t="shared" si="22"/>
        <v>3067.1953219853481</v>
      </c>
      <c r="BJ50" s="547">
        <f>'Hilfstabellen_Mat&amp;Bem'!$J$57</f>
        <v>3.4</v>
      </c>
      <c r="BK50" s="546">
        <f t="shared" si="23"/>
        <v>102</v>
      </c>
      <c r="BL50" s="551">
        <f t="shared" si="24"/>
        <v>115.47005383792515</v>
      </c>
      <c r="BM50" s="553">
        <f>BL50/PI()*SQRT('Hilfstabellen_Mat&amp;Bem'!f.Rd.3/'Hilfstabellen_Mat&amp;Bem'!$BD$30)</f>
        <v>1.8377629847393071</v>
      </c>
      <c r="BN50" s="553">
        <f>0.5*(1+'Hilfstabellen_Mat&amp;Bem'!$BD$31*(BM50-0.3)+BM50^2)</f>
        <v>2.2655745432759287</v>
      </c>
      <c r="BO50" s="550">
        <f t="shared" si="25"/>
        <v>0.27851192942466541</v>
      </c>
      <c r="BQ50" s="551">
        <f t="shared" si="26"/>
        <v>2897.6381137342187</v>
      </c>
      <c r="BT50" s="547">
        <f>'Hilfstabellen_Mat&amp;Bem'!$J$58</f>
        <v>3.5</v>
      </c>
      <c r="BU50" s="546">
        <f t="shared" si="27"/>
        <v>102</v>
      </c>
      <c r="BV50" s="551">
        <f t="shared" si="28"/>
        <v>118.86623189198177</v>
      </c>
      <c r="BW50" s="553">
        <f>BV50/PI()*SQRT('Hilfstabellen_Mat&amp;Bem'!f.Rd.3/'Hilfstabellen_Mat&amp;Bem'!$BD$30)</f>
        <v>1.8918148372316397</v>
      </c>
      <c r="BX50" s="553">
        <f>0.5*(1+'Hilfstabellen_Mat&amp;Bem'!$BD$31*(BW50-0.3)+BW50^2)</f>
        <v>2.3690724310464697</v>
      </c>
      <c r="BY50" s="550">
        <f t="shared" si="29"/>
        <v>0.26349800453813405</v>
      </c>
      <c r="CA50" s="551">
        <f t="shared" si="30"/>
        <v>2741.4332392147467</v>
      </c>
      <c r="CD50" s="547">
        <f>'Hilfstabellen_Mat&amp;Bem'!$J$59</f>
        <v>3.6</v>
      </c>
      <c r="CE50" s="546">
        <f t="shared" si="31"/>
        <v>102</v>
      </c>
      <c r="CF50" s="551">
        <f t="shared" si="32"/>
        <v>122.2624099460384</v>
      </c>
      <c r="CG50" s="553">
        <f>CF50/PI()*SQRT('Hilfstabellen_Mat&amp;Bem'!f.Rd.3/'Hilfstabellen_Mat&amp;Bem'!$BD$30)</f>
        <v>1.945866689723972</v>
      </c>
      <c r="CH50" s="553">
        <f>0.5*(1+'Hilfstabellen_Mat&amp;Bem'!$BD$31*(CG50-0.3)+CG50^2)</f>
        <v>2.475491921574863</v>
      </c>
      <c r="CI50" s="550">
        <f t="shared" si="33"/>
        <v>0.24964168469182937</v>
      </c>
      <c r="CK50" s="551">
        <f t="shared" si="34"/>
        <v>2597.2720875337927</v>
      </c>
      <c r="CN50" s="547">
        <f>'Hilfstabellen_Mat&amp;Bem'!$J$60</f>
        <v>3.7</v>
      </c>
      <c r="CO50" s="546">
        <f t="shared" si="35"/>
        <v>102</v>
      </c>
      <c r="CP50" s="551">
        <f t="shared" si="36"/>
        <v>125.65858800009501</v>
      </c>
      <c r="CQ50" s="553">
        <f>CP50/PI()*SQRT('Hilfstabellen_Mat&amp;Bem'!f.Rd.3/'Hilfstabellen_Mat&amp;Bem'!$BD$30)</f>
        <v>1.9999185422163046</v>
      </c>
      <c r="CR50" s="553">
        <f>0.5*(1+'Hilfstabellen_Mat&amp;Bem'!$BD$31*(CQ50-0.3)+CQ50^2)</f>
        <v>2.5848330148611098</v>
      </c>
      <c r="CS50" s="550">
        <f t="shared" si="37"/>
        <v>0.23683107316065724</v>
      </c>
      <c r="CU50" s="551">
        <f t="shared" si="38"/>
        <v>2463.9904851634778</v>
      </c>
      <c r="CX50" s="547">
        <f>'Hilfstabellen_Mat&amp;Bem'!$J$61</f>
        <v>3.8</v>
      </c>
      <c r="CY50" s="546">
        <f t="shared" si="39"/>
        <v>102</v>
      </c>
      <c r="CZ50" s="551">
        <f t="shared" si="40"/>
        <v>129.05476605415166</v>
      </c>
      <c r="DA50" s="553">
        <f>CZ50/PI()*SQRT('Hilfstabellen_Mat&amp;Bem'!f.Rd.3/'Hilfstabellen_Mat&amp;Bem'!$BD$30)</f>
        <v>2.0539703947086374</v>
      </c>
      <c r="DB50" s="553">
        <f>0.5*(1+'Hilfstabellen_Mat&amp;Bem'!$BD$31*(DA50-0.3)+DA50^2)</f>
        <v>2.6970957109052094</v>
      </c>
      <c r="DC50" s="550">
        <f t="shared" si="41"/>
        <v>0.2249666451710905</v>
      </c>
      <c r="DE50" s="551">
        <f t="shared" si="42"/>
        <v>2340.5529763600257</v>
      </c>
      <c r="DH50" s="547">
        <f>'Hilfstabellen_Mat&amp;Bem'!$J$62</f>
        <v>3.9</v>
      </c>
      <c r="DI50" s="546">
        <f t="shared" si="43"/>
        <v>102</v>
      </c>
      <c r="DJ50" s="551">
        <f t="shared" si="44"/>
        <v>132.45094410820826</v>
      </c>
      <c r="DK50" s="553">
        <f>DJ50/PI()*SQRT('Hilfstabellen_Mat&amp;Bem'!f.Rd.3/'Hilfstabellen_Mat&amp;Bem'!$BD$30)</f>
        <v>2.10802224720097</v>
      </c>
      <c r="DL50" s="553">
        <f>0.5*(1+'Hilfstabellen_Mat&amp;Bem'!$BD$31*(DK50-0.3)+DK50^2)</f>
        <v>2.8122800097071625</v>
      </c>
      <c r="DM50" s="550">
        <f t="shared" si="45"/>
        <v>0.21395983888975173</v>
      </c>
      <c r="DO50" s="551">
        <f t="shared" si="46"/>
        <v>2226.0381638089771</v>
      </c>
      <c r="DR50" s="547">
        <f>'Hilfstabellen_Mat&amp;Bem'!$J$63</f>
        <v>4</v>
      </c>
      <c r="DS50" s="546">
        <f t="shared" si="47"/>
        <v>102</v>
      </c>
      <c r="DT50" s="551">
        <f t="shared" si="48"/>
        <v>135.8471221622649</v>
      </c>
      <c r="DU50" s="553">
        <f>DT50/PI()*SQRT('Hilfstabellen_Mat&amp;Bem'!f.Rd.3/'Hilfstabellen_Mat&amp;Bem'!$BD$30)</f>
        <v>2.1620740996933026</v>
      </c>
      <c r="DV50" s="553">
        <f>0.5*(1+'Hilfstabellen_Mat&amp;Bem'!$BD$31*(DU50-0.3)+DU50^2)</f>
        <v>2.9303859112669675</v>
      </c>
      <c r="DW50" s="550">
        <f t="shared" si="49"/>
        <v>0.20373177447731494</v>
      </c>
      <c r="DY50" s="551">
        <f t="shared" si="50"/>
        <v>2119.6253816619846</v>
      </c>
      <c r="EB50" s="547">
        <f>'Hilfstabellen_Mat&amp;Bem'!$J$64</f>
        <v>4.0999999999999996</v>
      </c>
      <c r="EC50" s="546">
        <f t="shared" si="51"/>
        <v>102</v>
      </c>
      <c r="ED50" s="551">
        <f t="shared" si="52"/>
        <v>139.2433002163215</v>
      </c>
      <c r="EE50" s="553">
        <f>ED50/PI()*SQRT('Hilfstabellen_Mat&amp;Bem'!f.Rd.3/'Hilfstabellen_Mat&amp;Bem'!$BD$30)</f>
        <v>2.2161259521856347</v>
      </c>
      <c r="EF50" s="553">
        <f>0.5*(1+'Hilfstabellen_Mat&amp;Bem'!$BD$31*(EE50-0.3)+EE50^2)</f>
        <v>3.0514134155846246</v>
      </c>
      <c r="EG50" s="550">
        <f t="shared" si="53"/>
        <v>0.19421210774641876</v>
      </c>
      <c r="EI50" s="551">
        <f t="shared" si="54"/>
        <v>2020.5827689937407</v>
      </c>
      <c r="EL50" s="547">
        <f>'Hilfstabellen_Mat&amp;Bem'!$J$65</f>
        <v>4.2</v>
      </c>
      <c r="EM50" s="546">
        <f t="shared" si="55"/>
        <v>102</v>
      </c>
      <c r="EN50" s="551">
        <f t="shared" si="56"/>
        <v>142.63947827037813</v>
      </c>
      <c r="EO50" s="553">
        <f>EN50/PI()*SQRT('Hilfstabellen_Mat&amp;Bem'!f.Rd.3/'Hilfstabellen_Mat&amp;Bem'!$BD$30)</f>
        <v>2.2701778046779673</v>
      </c>
      <c r="EP50" s="553">
        <f>0.5*(1+'Hilfstabellen_Mat&amp;Bem'!$BD$31*(EO50-0.3)+EO50^2)</f>
        <v>3.1753625226601359</v>
      </c>
      <c r="EQ50" s="550">
        <f t="shared" si="57"/>
        <v>0.18533801443588971</v>
      </c>
      <c r="ES50" s="551">
        <f t="shared" si="58"/>
        <v>1928.2567021909965</v>
      </c>
    </row>
    <row r="51" spans="3:149">
      <c r="C51" s="546">
        <v>103</v>
      </c>
      <c r="D51" s="551">
        <f t="shared" si="8"/>
        <v>94.169752644521481</v>
      </c>
      <c r="E51" s="553">
        <f>$D51/PI()*SQRT('Hilfstabellen_Mat&amp;Bem'!f.Rd.3/'Hilfstabellen_Mat&amp;Bem'!$BD$30)</f>
        <v>1.4987581623116677</v>
      </c>
      <c r="F51" s="553">
        <f>0.5*(1+'Hilfstabellen_Mat&amp;Bem'!$BD$31*($E51-0.3)+$E51^2)</f>
        <v>1.683075922663507</v>
      </c>
      <c r="G51" s="550">
        <f t="shared" si="9"/>
        <v>0.4083485626153483</v>
      </c>
      <c r="I51" s="551">
        <f t="shared" si="59"/>
        <v>4332.1699007862298</v>
      </c>
      <c r="M51" s="546">
        <f t="shared" si="11"/>
        <v>103</v>
      </c>
      <c r="N51" s="551">
        <f t="shared" si="0"/>
        <v>97.532958096111528</v>
      </c>
      <c r="O51" s="553">
        <f>$N51/PI()*SQRT('Hilfstabellen_Mat&amp;Bem'!f.Rd.3/'Hilfstabellen_Mat&amp;Bem'!$BD$30)</f>
        <v>1.5522852395370845</v>
      </c>
      <c r="P51" s="553">
        <f>0.5*(1+'Hilfstabellen_Mat&amp;Bem'!$BD$31*($O51-0.3)+$O51^2)</f>
        <v>1.7674089944192062</v>
      </c>
      <c r="Q51" s="550">
        <f t="shared" si="1"/>
        <v>0.38277804267653137</v>
      </c>
      <c r="S51" s="551">
        <f t="shared" si="60"/>
        <v>4060.8922547553211</v>
      </c>
      <c r="W51" s="546">
        <f t="shared" si="13"/>
        <v>103</v>
      </c>
      <c r="X51" s="551">
        <f t="shared" si="2"/>
        <v>100.89616354770159</v>
      </c>
      <c r="Y51" s="553">
        <f>$X51/PI()*SQRT('Hilfstabellen_Mat&amp;Bem'!f.Rd.3/'Hilfstabellen_Mat&amp;Bem'!$BD$30)</f>
        <v>1.6058123167625014</v>
      </c>
      <c r="Z51" s="553">
        <f>0.5*(1+'Hilfstabellen_Mat&amp;Bem'!$BD$31*($Y51-0.3)+$Y51^2)</f>
        <v>1.8546072141712011</v>
      </c>
      <c r="AA51" s="550">
        <f t="shared" si="3"/>
        <v>0.35939253952638828</v>
      </c>
      <c r="AC51" s="551">
        <f t="shared" si="61"/>
        <v>3812.7954518354532</v>
      </c>
      <c r="AG51" s="546">
        <f t="shared" si="15"/>
        <v>103</v>
      </c>
      <c r="AH51" s="551">
        <f t="shared" si="4"/>
        <v>104.25936899929164</v>
      </c>
      <c r="AI51" s="553">
        <f>$AH51/PI()*SQRT('Hilfstabellen_Mat&amp;Bem'!f.Rd.3/'Hilfstabellen_Mat&amp;Bem'!$BD$30)</f>
        <v>1.659339393987918</v>
      </c>
      <c r="AJ51" s="553">
        <f>0.5*(1+'Hilfstabellen_Mat&amp;Bem'!$BD$31*($AI51-0.3)+$AI51^2)</f>
        <v>1.9446705819194914</v>
      </c>
      <c r="AK51" s="550">
        <f t="shared" si="5"/>
        <v>0.33798172740772459</v>
      </c>
      <c r="AM51" s="551">
        <f t="shared" si="62"/>
        <v>3585.64814606855</v>
      </c>
      <c r="AQ51" s="546">
        <f t="shared" si="17"/>
        <v>103</v>
      </c>
      <c r="AR51" s="551">
        <f t="shared" si="6"/>
        <v>107.62257445088169</v>
      </c>
      <c r="AS51" s="553">
        <f>$AR51/PI()*SQRT('Hilfstabellen_Mat&amp;Bem'!f.Rd.3/'Hilfstabellen_Mat&amp;Bem'!$BD$30)</f>
        <v>1.7128664712133344</v>
      </c>
      <c r="AT51" s="553">
        <f>0.5*(1+'Hilfstabellen_Mat&amp;Bem'!$BD$31*($AS51-0.3)+$AS51^2)</f>
        <v>2.037599097664077</v>
      </c>
      <c r="AU51" s="550">
        <f t="shared" si="7"/>
        <v>0.31835134744003685</v>
      </c>
      <c r="AW51" s="551">
        <f t="shared" si="63"/>
        <v>3377.389444991351</v>
      </c>
      <c r="AZ51" s="547">
        <f>'Hilfstabellen_Mat&amp;Bem'!$J$56</f>
        <v>3.3</v>
      </c>
      <c r="BA51" s="546">
        <f t="shared" si="19"/>
        <v>103</v>
      </c>
      <c r="BB51" s="551">
        <f t="shared" si="20"/>
        <v>110.98577990247173</v>
      </c>
      <c r="BC51" s="553">
        <f>BB51/PI()*SQRT('Hilfstabellen_Mat&amp;Bem'!f.Rd.3/'Hilfstabellen_Mat&amp;Bem'!$BD$30)</f>
        <v>1.7663935484387512</v>
      </c>
      <c r="BD51" s="553">
        <f>0.5*(1+'Hilfstabellen_Mat&amp;Bem'!$BD$31*(BC51-0.3)+BC51^2)</f>
        <v>2.1333927614049593</v>
      </c>
      <c r="BE51" s="550">
        <f t="shared" si="21"/>
        <v>0.30032481236330383</v>
      </c>
      <c r="BG51" s="551">
        <f t="shared" si="22"/>
        <v>3186.1459343622905</v>
      </c>
      <c r="BJ51" s="547">
        <f>'Hilfstabellen_Mat&amp;Bem'!$J$57</f>
        <v>3.4</v>
      </c>
      <c r="BK51" s="546">
        <f t="shared" si="23"/>
        <v>103</v>
      </c>
      <c r="BL51" s="551">
        <f t="shared" si="24"/>
        <v>114.34898535406181</v>
      </c>
      <c r="BM51" s="553">
        <f>BL51/PI()*SQRT('Hilfstabellen_Mat&amp;Bem'!f.Rd.3/'Hilfstabellen_Mat&amp;Bem'!$BD$30)</f>
        <v>1.8199206256641682</v>
      </c>
      <c r="BN51" s="553">
        <f>0.5*(1+'Hilfstabellen_Mat&amp;Bem'!$BD$31*(BM51-0.3)+BM51^2)</f>
        <v>2.2320515731421371</v>
      </c>
      <c r="BO51" s="550">
        <f t="shared" si="25"/>
        <v>0.28374313254510575</v>
      </c>
      <c r="BQ51" s="551">
        <f t="shared" si="26"/>
        <v>3010.2308931710268</v>
      </c>
      <c r="BT51" s="547">
        <f>'Hilfstabellen_Mat&amp;Bem'!$J$58</f>
        <v>3.5</v>
      </c>
      <c r="BU51" s="546">
        <f t="shared" si="27"/>
        <v>103</v>
      </c>
      <c r="BV51" s="551">
        <f t="shared" si="28"/>
        <v>117.71219080565186</v>
      </c>
      <c r="BW51" s="553">
        <f>BV51/PI()*SQRT('Hilfstabellen_Mat&amp;Bem'!f.Rd.3/'Hilfstabellen_Mat&amp;Bem'!$BD$30)</f>
        <v>1.8734477028895846</v>
      </c>
      <c r="BX51" s="553">
        <f>0.5*(1+'Hilfstabellen_Mat&amp;Bem'!$BD$31*(BW51-0.3)+BW51^2)</f>
        <v>2.33357553287561</v>
      </c>
      <c r="BY51" s="550">
        <f t="shared" si="29"/>
        <v>0.26846397921454601</v>
      </c>
      <c r="CA51" s="551">
        <f t="shared" si="30"/>
        <v>2848.1343554871187</v>
      </c>
      <c r="CD51" s="547">
        <f>'Hilfstabellen_Mat&amp;Bem'!$J$59</f>
        <v>3.6</v>
      </c>
      <c r="CE51" s="546">
        <f t="shared" si="31"/>
        <v>103</v>
      </c>
      <c r="CF51" s="551">
        <f t="shared" si="32"/>
        <v>121.07539625724189</v>
      </c>
      <c r="CG51" s="553">
        <f>CF51/PI()*SQRT('Hilfstabellen_Mat&amp;Bem'!f.Rd.3/'Hilfstabellen_Mat&amp;Bem'!$BD$30)</f>
        <v>1.9269747801150012</v>
      </c>
      <c r="CH51" s="553">
        <f>0.5*(1+'Hilfstabellen_Mat&amp;Bem'!$BD$31*(CG51-0.3)+CG51^2)</f>
        <v>2.4379646406053785</v>
      </c>
      <c r="CI51" s="550">
        <f t="shared" si="33"/>
        <v>0.25436035089958592</v>
      </c>
      <c r="CK51" s="551">
        <f t="shared" si="34"/>
        <v>2698.508962693707</v>
      </c>
      <c r="CN51" s="547">
        <f>'Hilfstabellen_Mat&amp;Bem'!$J$60</f>
        <v>3.7</v>
      </c>
      <c r="CO51" s="546">
        <f t="shared" si="35"/>
        <v>103</v>
      </c>
      <c r="CP51" s="551">
        <f t="shared" si="36"/>
        <v>124.43860170883194</v>
      </c>
      <c r="CQ51" s="553">
        <f>CP51/PI()*SQRT('Hilfstabellen_Mat&amp;Bem'!f.Rd.3/'Hilfstabellen_Mat&amp;Bem'!$BD$30)</f>
        <v>1.9805018573404176</v>
      </c>
      <c r="CR51" s="553">
        <f>0.5*(1+'Hilfstabellen_Mat&amp;Bem'!$BD$31*(CQ51-0.3)+CQ51^2)</f>
        <v>2.5452188963314426</v>
      </c>
      <c r="CS51" s="550">
        <f t="shared" si="37"/>
        <v>0.24131910462751685</v>
      </c>
      <c r="CU51" s="551">
        <f t="shared" si="38"/>
        <v>2560.1543809933264</v>
      </c>
      <c r="CX51" s="547">
        <f>'Hilfstabellen_Mat&amp;Bem'!$J$61</f>
        <v>3.8</v>
      </c>
      <c r="CY51" s="546">
        <f t="shared" si="39"/>
        <v>103</v>
      </c>
      <c r="CZ51" s="551">
        <f t="shared" si="40"/>
        <v>127.80180716042202</v>
      </c>
      <c r="DA51" s="553">
        <f>CZ51/PI()*SQRT('Hilfstabellen_Mat&amp;Bem'!f.Rd.3/'Hilfstabellen_Mat&amp;Bem'!$BD$30)</f>
        <v>2.0340289345658351</v>
      </c>
      <c r="DB51" s="553">
        <f>0.5*(1+'Hilfstabellen_Mat&amp;Bem'!$BD$31*(DA51-0.3)+DA51^2)</f>
        <v>2.6553383000538049</v>
      </c>
      <c r="DC51" s="550">
        <f t="shared" si="41"/>
        <v>0.22923949443009531</v>
      </c>
      <c r="DE51" s="551">
        <f t="shared" si="42"/>
        <v>2432.0017964088811</v>
      </c>
      <c r="DH51" s="547">
        <f>'Hilfstabellen_Mat&amp;Bem'!$J$62</f>
        <v>3.9</v>
      </c>
      <c r="DI51" s="546">
        <f t="shared" si="43"/>
        <v>103</v>
      </c>
      <c r="DJ51" s="551">
        <f t="shared" si="44"/>
        <v>131.16501261201205</v>
      </c>
      <c r="DK51" s="553">
        <f>DJ51/PI()*SQRT('Hilfstabellen_Mat&amp;Bem'!f.Rd.3/'Hilfstabellen_Mat&amp;Bem'!$BD$30)</f>
        <v>2.0875560117912513</v>
      </c>
      <c r="DL51" s="553">
        <f>0.5*(1+'Hilfstabellen_Mat&amp;Bem'!$BD$31*(DK51-0.3)+DK51^2)</f>
        <v>2.7683228517724601</v>
      </c>
      <c r="DM51" s="550">
        <f t="shared" si="45"/>
        <v>0.21803179070497367</v>
      </c>
      <c r="DO51" s="551">
        <f t="shared" si="46"/>
        <v>2313.0992675890657</v>
      </c>
      <c r="DR51" s="547">
        <f>'Hilfstabellen_Mat&amp;Bem'!$J$63</f>
        <v>4</v>
      </c>
      <c r="DS51" s="546">
        <f t="shared" si="47"/>
        <v>103</v>
      </c>
      <c r="DT51" s="551">
        <f t="shared" si="48"/>
        <v>134.52821806360211</v>
      </c>
      <c r="DU51" s="553">
        <f>DT51/PI()*SQRT('Hilfstabellen_Mat&amp;Bem'!f.Rd.3/'Hilfstabellen_Mat&amp;Bem'!$BD$30)</f>
        <v>2.1410830890166683</v>
      </c>
      <c r="DV51" s="553">
        <f>0.5*(1+'Hilfstabellen_Mat&amp;Bem'!$BD$31*(DU51-0.3)+DU51^2)</f>
        <v>2.8841725514874126</v>
      </c>
      <c r="DW51" s="550">
        <f t="shared" si="49"/>
        <v>0.20761601433709767</v>
      </c>
      <c r="DY51" s="551">
        <f t="shared" si="50"/>
        <v>2202.5982961022692</v>
      </c>
      <c r="EB51" s="547">
        <f>'Hilfstabellen_Mat&amp;Bem'!$J$64</f>
        <v>4.0999999999999996</v>
      </c>
      <c r="EC51" s="546">
        <f t="shared" si="51"/>
        <v>103</v>
      </c>
      <c r="ED51" s="551">
        <f t="shared" si="52"/>
        <v>137.89142351519217</v>
      </c>
      <c r="EE51" s="553">
        <f>ED51/PI()*SQRT('Hilfstabellen_Mat&amp;Bem'!f.Rd.3/'Hilfstabellen_Mat&amp;Bem'!$BD$30)</f>
        <v>2.1946101662420854</v>
      </c>
      <c r="EF51" s="553">
        <f>0.5*(1+'Hilfstabellen_Mat&amp;Bem'!$BD$31*(EE51-0.3)+EE51^2)</f>
        <v>3.0028873991986611</v>
      </c>
      <c r="EG51" s="550">
        <f t="shared" si="53"/>
        <v>0.19792079706792187</v>
      </c>
      <c r="EI51" s="551">
        <f t="shared" si="54"/>
        <v>2099.7417360935833</v>
      </c>
      <c r="EL51" s="547">
        <f>'Hilfstabellen_Mat&amp;Bem'!$J$65</f>
        <v>4.2</v>
      </c>
      <c r="EM51" s="546">
        <f t="shared" si="55"/>
        <v>103</v>
      </c>
      <c r="EN51" s="551">
        <f t="shared" si="56"/>
        <v>141.25462896678221</v>
      </c>
      <c r="EO51" s="553">
        <f>EN51/PI()*SQRT('Hilfstabellen_Mat&amp;Bem'!f.Rd.3/'Hilfstabellen_Mat&amp;Bem'!$BD$30)</f>
        <v>2.2481372434675015</v>
      </c>
      <c r="EP51" s="553">
        <f>0.5*(1+'Hilfstabellen_Mat&amp;Bem'!$BD$31*(EO51-0.3)+EO51^2)</f>
        <v>3.124467394906203</v>
      </c>
      <c r="EQ51" s="550">
        <f t="shared" si="57"/>
        <v>0.18888236730177294</v>
      </c>
      <c r="ES51" s="551">
        <f t="shared" si="58"/>
        <v>2003.8530347045091</v>
      </c>
    </row>
    <row r="52" spans="3:149">
      <c r="C52" s="546">
        <v>104</v>
      </c>
      <c r="D52" s="551">
        <f t="shared" si="8"/>
        <v>93.264274253708777</v>
      </c>
      <c r="E52" s="553">
        <f>$D52/PI()*SQRT('Hilfstabellen_Mat&amp;Bem'!f.Rd.3/'Hilfstabellen_Mat&amp;Bem'!$BD$30)</f>
        <v>1.484347026135594</v>
      </c>
      <c r="F52" s="553">
        <f>0.5*(1+'Hilfstabellen_Mat&amp;Bem'!$BD$31*($E52-0.3)+$E52^2)</f>
        <v>1.6608603983055705</v>
      </c>
      <c r="G52" s="550">
        <f t="shared" si="9"/>
        <v>0.41563476821509615</v>
      </c>
      <c r="I52" s="551">
        <f t="shared" si="59"/>
        <v>4495.5056530144802</v>
      </c>
      <c r="M52" s="546">
        <f t="shared" si="11"/>
        <v>104</v>
      </c>
      <c r="N52" s="551">
        <f t="shared" si="0"/>
        <v>96.595141191341227</v>
      </c>
      <c r="O52" s="553">
        <f>$N52/PI()*SQRT('Hilfstabellen_Mat&amp;Bem'!f.Rd.3/'Hilfstabellen_Mat&amp;Bem'!$BD$30)</f>
        <v>1.5373594199261511</v>
      </c>
      <c r="P52" s="553">
        <f>0.5*(1+'Hilfstabellen_Mat&amp;Bem'!$BD$31*($O52-0.3)+$O52^2)</f>
        <v>1.7436049640141436</v>
      </c>
      <c r="Q52" s="550">
        <f t="shared" si="1"/>
        <v>0.38967923866151938</v>
      </c>
      <c r="S52" s="551">
        <f t="shared" si="60"/>
        <v>4214.7706453629935</v>
      </c>
      <c r="W52" s="546">
        <f t="shared" si="13"/>
        <v>104</v>
      </c>
      <c r="X52" s="551">
        <f t="shared" si="2"/>
        <v>99.926008128973692</v>
      </c>
      <c r="Y52" s="553">
        <f>$X52/PI()*SQRT('Hilfstabellen_Mat&amp;Bem'!f.Rd.3/'Hilfstabellen_Mat&amp;Bem'!$BD$30)</f>
        <v>1.590371813716708</v>
      </c>
      <c r="Z52" s="553">
        <f>0.5*(1+'Hilfstabellen_Mat&amp;Bem'!$BD$31*($Y52-0.3)+$Y52^2)</f>
        <v>1.8291598436181211</v>
      </c>
      <c r="AA52" s="550">
        <f t="shared" si="3"/>
        <v>0.36592671111040331</v>
      </c>
      <c r="AC52" s="551">
        <f t="shared" si="61"/>
        <v>3957.8633073701221</v>
      </c>
      <c r="AG52" s="546">
        <f t="shared" si="15"/>
        <v>104</v>
      </c>
      <c r="AH52" s="551">
        <f t="shared" si="4"/>
        <v>103.25687506660614</v>
      </c>
      <c r="AI52" s="553">
        <f>$AH52/PI()*SQRT('Hilfstabellen_Mat&amp;Bem'!f.Rd.3/'Hilfstabellen_Mat&amp;Bem'!$BD$30)</f>
        <v>1.6433842075072649</v>
      </c>
      <c r="AJ52" s="553">
        <f>0.5*(1+'Hilfstabellen_Mat&amp;Bem'!$BD$31*($AI52-0.3)+$AI52^2)</f>
        <v>1.9175250371175037</v>
      </c>
      <c r="AK52" s="550">
        <f t="shared" si="5"/>
        <v>0.34416908072059771</v>
      </c>
      <c r="AM52" s="551">
        <f t="shared" si="62"/>
        <v>3722.532777073985</v>
      </c>
      <c r="AQ52" s="546">
        <f t="shared" si="17"/>
        <v>104</v>
      </c>
      <c r="AR52" s="551">
        <f t="shared" si="6"/>
        <v>106.58774200423861</v>
      </c>
      <c r="AS52" s="553">
        <f>$AR52/PI()*SQRT('Hilfstabellen_Mat&amp;Bem'!f.Rd.3/'Hilfstabellen_Mat&amp;Bem'!$BD$30)</f>
        <v>1.696396601297822</v>
      </c>
      <c r="AT52" s="553">
        <f>0.5*(1+'Hilfstabellen_Mat&amp;Bem'!$BD$31*($AS52-0.3)+$AS52^2)</f>
        <v>2.0087005445122919</v>
      </c>
      <c r="AU52" s="550">
        <f t="shared" si="7"/>
        <v>0.32421279324418123</v>
      </c>
      <c r="AW52" s="551">
        <f t="shared" si="63"/>
        <v>3506.6855717290641</v>
      </c>
      <c r="AZ52" s="547">
        <f>'Hilfstabellen_Mat&amp;Bem'!$J$56</f>
        <v>3.3</v>
      </c>
      <c r="BA52" s="546">
        <f t="shared" si="19"/>
        <v>104</v>
      </c>
      <c r="BB52" s="551">
        <f t="shared" si="20"/>
        <v>109.91860894187106</v>
      </c>
      <c r="BC52" s="553">
        <f>BB52/PI()*SQRT('Hilfstabellen_Mat&amp;Bem'!f.Rd.3/'Hilfstabellen_Mat&amp;Bem'!$BD$30)</f>
        <v>1.7494089950883787</v>
      </c>
      <c r="BD52" s="553">
        <f>0.5*(1+'Hilfstabellen_Mat&amp;Bem'!$BD$31*(BC52-0.3)+BC52^2)</f>
        <v>2.1026863658024846</v>
      </c>
      <c r="BE52" s="550">
        <f t="shared" si="21"/>
        <v>0.3058810586011852</v>
      </c>
      <c r="BG52" s="551">
        <f t="shared" si="22"/>
        <v>3308.4095298304192</v>
      </c>
      <c r="BJ52" s="547">
        <f>'Hilfstabellen_Mat&amp;Bem'!$J$57</f>
        <v>3.4</v>
      </c>
      <c r="BK52" s="546">
        <f t="shared" si="23"/>
        <v>104</v>
      </c>
      <c r="BL52" s="551">
        <f t="shared" si="24"/>
        <v>113.24947587950351</v>
      </c>
      <c r="BM52" s="553">
        <f>BL52/PI()*SQRT('Hilfstabellen_Mat&amp;Bem'!f.Rd.3/'Hilfstabellen_Mat&amp;Bem'!$BD$30)</f>
        <v>1.8024213888789355</v>
      </c>
      <c r="BN52" s="553">
        <f>0.5*(1+'Hilfstabellen_Mat&amp;Bem'!$BD$31*(BM52-0.3)+BM52^2)</f>
        <v>2.1994825009880823</v>
      </c>
      <c r="BO52" s="550">
        <f t="shared" si="25"/>
        <v>0.28901415884619985</v>
      </c>
      <c r="BQ52" s="551">
        <f t="shared" si="26"/>
        <v>3125.9771420804977</v>
      </c>
      <c r="BT52" s="547">
        <f>'Hilfstabellen_Mat&amp;Bem'!$J$58</f>
        <v>3.5</v>
      </c>
      <c r="BU52" s="546">
        <f t="shared" si="27"/>
        <v>104</v>
      </c>
      <c r="BV52" s="551">
        <f t="shared" si="28"/>
        <v>116.58034281713596</v>
      </c>
      <c r="BW52" s="553">
        <f>BV52/PI()*SQRT('Hilfstabellen_Mat&amp;Bem'!f.Rd.3/'Hilfstabellen_Mat&amp;Bem'!$BD$30)</f>
        <v>1.8554337826694924</v>
      </c>
      <c r="BX52" s="553">
        <f>0.5*(1+'Hilfstabellen_Mat&amp;Bem'!$BD$31*(BW52-0.3)+BW52^2)</f>
        <v>2.2990889500690854</v>
      </c>
      <c r="BY52" s="550">
        <f t="shared" si="29"/>
        <v>0.27346875050209357</v>
      </c>
      <c r="CA52" s="551">
        <f t="shared" si="30"/>
        <v>2957.838005430644</v>
      </c>
      <c r="CD52" s="547">
        <f>'Hilfstabellen_Mat&amp;Bem'!$J$59</f>
        <v>3.6</v>
      </c>
      <c r="CE52" s="546">
        <f t="shared" si="31"/>
        <v>104</v>
      </c>
      <c r="CF52" s="551">
        <f t="shared" si="32"/>
        <v>119.91120975476841</v>
      </c>
      <c r="CG52" s="553">
        <f>CF52/PI()*SQRT('Hilfstabellen_Mat&amp;Bem'!f.Rd.3/'Hilfstabellen_Mat&amp;Bem'!$BD$30)</f>
        <v>1.9084461764600491</v>
      </c>
      <c r="CH52" s="553">
        <f>0.5*(1+'Hilfstabellen_Mat&amp;Bem'!$BD$31*(CG52-0.3)+CG52^2)</f>
        <v>2.4015057130454931</v>
      </c>
      <c r="CI52" s="550">
        <f t="shared" si="33"/>
        <v>0.25911667998896504</v>
      </c>
      <c r="CK52" s="551">
        <f t="shared" si="34"/>
        <v>2802.6060107606459</v>
      </c>
      <c r="CN52" s="547">
        <f>'Hilfstabellen_Mat&amp;Bem'!$J$60</f>
        <v>3.7</v>
      </c>
      <c r="CO52" s="546">
        <f t="shared" si="35"/>
        <v>104</v>
      </c>
      <c r="CP52" s="551">
        <f t="shared" si="36"/>
        <v>123.24207669240089</v>
      </c>
      <c r="CQ52" s="553">
        <f>CP52/PI()*SQRT('Hilfstabellen_Mat&amp;Bem'!f.Rd.3/'Hilfstabellen_Mat&amp;Bem'!$BD$30)</f>
        <v>1.9614585702506067</v>
      </c>
      <c r="CR52" s="553">
        <f>0.5*(1+'Hilfstabellen_Mat&amp;Bem'!$BD$31*(CQ52-0.3)+CQ52^2)</f>
        <v>2.5067327899173075</v>
      </c>
      <c r="CS52" s="550">
        <f t="shared" si="37"/>
        <v>0.24584360678975101</v>
      </c>
      <c r="CU52" s="551">
        <f t="shared" si="38"/>
        <v>2659.0444510379471</v>
      </c>
      <c r="CX52" s="547">
        <f>'Hilfstabellen_Mat&amp;Bem'!$J$61</f>
        <v>3.8</v>
      </c>
      <c r="CY52" s="546">
        <f t="shared" si="39"/>
        <v>104</v>
      </c>
      <c r="CZ52" s="551">
        <f t="shared" si="40"/>
        <v>126.57294363003334</v>
      </c>
      <c r="DA52" s="553">
        <f>CZ52/PI()*SQRT('Hilfstabellen_Mat&amp;Bem'!f.Rd.3/'Hilfstabellen_Mat&amp;Bem'!$BD$30)</f>
        <v>2.0144709640411635</v>
      </c>
      <c r="DB52" s="553">
        <f>0.5*(1+'Hilfstabellen_Mat&amp;Bem'!$BD$31*(DA52-0.3)+DA52^2)</f>
        <v>2.6147701806845256</v>
      </c>
      <c r="DC52" s="550">
        <f t="shared" si="41"/>
        <v>0.23354759771337333</v>
      </c>
      <c r="DE52" s="551">
        <f t="shared" si="42"/>
        <v>2526.0508168678457</v>
      </c>
      <c r="DH52" s="547">
        <f>'Hilfstabellen_Mat&amp;Bem'!$J$62</f>
        <v>3.9</v>
      </c>
      <c r="DI52" s="546">
        <f t="shared" si="43"/>
        <v>104</v>
      </c>
      <c r="DJ52" s="551">
        <f t="shared" si="44"/>
        <v>129.9038105676658</v>
      </c>
      <c r="DK52" s="553">
        <f>DJ52/PI()*SQRT('Hilfstabellen_Mat&amp;Bem'!f.Rd.3/'Hilfstabellen_Mat&amp;Bem'!$BD$30)</f>
        <v>2.0674833578317204</v>
      </c>
      <c r="DL52" s="553">
        <f>0.5*(1+'Hilfstabellen_Mat&amp;Bem'!$BD$31*(DK52-0.3)+DK52^2)</f>
        <v>2.7256178853471487</v>
      </c>
      <c r="DM52" s="550">
        <f t="shared" si="45"/>
        <v>0.22213777898364473</v>
      </c>
      <c r="DO52" s="551">
        <f t="shared" si="46"/>
        <v>2402.6422174871013</v>
      </c>
      <c r="DR52" s="547">
        <f>'Hilfstabellen_Mat&amp;Bem'!$J$63</f>
        <v>4</v>
      </c>
      <c r="DS52" s="546">
        <f t="shared" si="47"/>
        <v>104</v>
      </c>
      <c r="DT52" s="551">
        <f t="shared" si="48"/>
        <v>133.23467750529824</v>
      </c>
      <c r="DU52" s="553">
        <f>DT52/PI()*SQRT('Hilfstabellen_Mat&amp;Bem'!f.Rd.3/'Hilfstabellen_Mat&amp;Bem'!$BD$30)</f>
        <v>2.1204957516222769</v>
      </c>
      <c r="DV52" s="553">
        <f>0.5*(1+'Hilfstabellen_Mat&amp;Bem'!$BD$31*(DU52-0.3)+DU52^2)</f>
        <v>2.8392759039051763</v>
      </c>
      <c r="DW52" s="550">
        <f t="shared" si="49"/>
        <v>0.2115330884495415</v>
      </c>
      <c r="DY52" s="551">
        <f t="shared" si="50"/>
        <v>2287.9418846702406</v>
      </c>
      <c r="EB52" s="547">
        <f>'Hilfstabellen_Mat&amp;Bem'!$J$64</f>
        <v>4.0999999999999996</v>
      </c>
      <c r="EC52" s="546">
        <f t="shared" si="51"/>
        <v>104</v>
      </c>
      <c r="ED52" s="551">
        <f t="shared" si="52"/>
        <v>136.5655444429307</v>
      </c>
      <c r="EE52" s="553">
        <f>ED52/PI()*SQRT('Hilfstabellen_Mat&amp;Bem'!f.Rd.3/'Hilfstabellen_Mat&amp;Bem'!$BD$30)</f>
        <v>2.1735081454128342</v>
      </c>
      <c r="EF52" s="553">
        <f>0.5*(1+'Hilfstabellen_Mat&amp;Bem'!$BD$31*(EE52-0.3)+EE52^2)</f>
        <v>2.9557442363586111</v>
      </c>
      <c r="EG52" s="550">
        <f t="shared" si="53"/>
        <v>0.20166114478106567</v>
      </c>
      <c r="EI52" s="551">
        <f t="shared" si="54"/>
        <v>2181.1669419520063</v>
      </c>
      <c r="EL52" s="547">
        <f>'Hilfstabellen_Mat&amp;Bem'!$J$65</f>
        <v>4.2</v>
      </c>
      <c r="EM52" s="546">
        <f t="shared" si="55"/>
        <v>104</v>
      </c>
      <c r="EN52" s="551">
        <f t="shared" si="56"/>
        <v>139.89641138056317</v>
      </c>
      <c r="EO52" s="553">
        <f>EN52/PI()*SQRT('Hilfstabellen_Mat&amp;Bem'!f.Rd.3/'Hilfstabellen_Mat&amp;Bem'!$BD$30)</f>
        <v>2.2265205392033911</v>
      </c>
      <c r="EP52" s="553">
        <f>0.5*(1+'Hilfstabellen_Mat&amp;Bem'!$BD$31*(EO52-0.3)+EO52^2)</f>
        <v>3.0750228827074495</v>
      </c>
      <c r="EQ52" s="550">
        <f t="shared" si="57"/>
        <v>0.19245723630130437</v>
      </c>
      <c r="ES52" s="551">
        <f t="shared" si="58"/>
        <v>2081.617467834908</v>
      </c>
    </row>
    <row r="53" spans="3:149">
      <c r="C53" s="546">
        <v>105</v>
      </c>
      <c r="D53" s="551">
        <f t="shared" si="8"/>
        <v>92.376043070340117</v>
      </c>
      <c r="E53" s="553">
        <f>$D53/PI()*SQRT('Hilfstabellen_Mat&amp;Bem'!f.Rd.3/'Hilfstabellen_Mat&amp;Bem'!$BD$30)</f>
        <v>1.4702103877914456</v>
      </c>
      <c r="F53" s="553">
        <f>0.5*(1+'Hilfstabellen_Mat&amp;Bem'!$BD$31*($E53-0.3)+$E53^2)</f>
        <v>1.6392698115745088</v>
      </c>
      <c r="G53" s="550">
        <f t="shared" si="9"/>
        <v>0.42295592948760607</v>
      </c>
      <c r="I53" s="551">
        <f t="shared" si="59"/>
        <v>4663.0891226008571</v>
      </c>
      <c r="M53" s="546">
        <f t="shared" si="11"/>
        <v>105</v>
      </c>
      <c r="N53" s="551">
        <f t="shared" si="0"/>
        <v>95.675187465709413</v>
      </c>
      <c r="O53" s="553">
        <f>$N53/PI()*SQRT('Hilfstabellen_Mat&amp;Bem'!f.Rd.3/'Hilfstabellen_Mat&amp;Bem'!$BD$30)</f>
        <v>1.5227179016411401</v>
      </c>
      <c r="P53" s="553">
        <f>0.5*(1+'Hilfstabellen_Mat&amp;Bem'!$BD$31*($O53-0.3)+$O53^2)</f>
        <v>1.7204707990712556</v>
      </c>
      <c r="Q53" s="550">
        <f t="shared" si="1"/>
        <v>0.39661857579322157</v>
      </c>
      <c r="S53" s="551">
        <f t="shared" si="60"/>
        <v>4372.719798120268</v>
      </c>
      <c r="W53" s="546">
        <f t="shared" si="13"/>
        <v>105</v>
      </c>
      <c r="X53" s="551">
        <f t="shared" si="2"/>
        <v>98.974331861078696</v>
      </c>
      <c r="Y53" s="553">
        <f>$X53/PI()*SQRT('Hilfstabellen_Mat&amp;Bem'!f.Rd.3/'Hilfstabellen_Mat&amp;Bem'!$BD$30)</f>
        <v>1.5752254154908345</v>
      </c>
      <c r="Z53" s="553">
        <f>0.5*(1+'Hilfstabellen_Mat&amp;Bem'!$BD$31*($Y53-0.3)+$Y53^2)</f>
        <v>1.804428825578678</v>
      </c>
      <c r="AA53" s="550">
        <f t="shared" si="3"/>
        <v>0.3725007270207823</v>
      </c>
      <c r="AC53" s="551">
        <f t="shared" si="61"/>
        <v>4106.8205154041252</v>
      </c>
      <c r="AG53" s="546">
        <f t="shared" si="15"/>
        <v>105</v>
      </c>
      <c r="AH53" s="551">
        <f t="shared" si="4"/>
        <v>102.27347625644799</v>
      </c>
      <c r="AI53" s="553">
        <f>$AH53/PI()*SQRT('Hilfstabellen_Mat&amp;Bem'!f.Rd.3/'Hilfstabellen_Mat&amp;Bem'!$BD$30)</f>
        <v>1.6277329293405292</v>
      </c>
      <c r="AJ53" s="553">
        <f>0.5*(1+'Hilfstabellen_Mat&amp;Bem'!$BD$31*($AI53-0.3)+$AI53^2)</f>
        <v>1.8911438910967764</v>
      </c>
      <c r="AK53" s="550">
        <f t="shared" si="5"/>
        <v>0.35039697433473099</v>
      </c>
      <c r="AM53" s="551">
        <f t="shared" si="62"/>
        <v>3863.126642040409</v>
      </c>
      <c r="AQ53" s="546">
        <f t="shared" si="17"/>
        <v>105</v>
      </c>
      <c r="AR53" s="551">
        <f t="shared" si="6"/>
        <v>105.57262065181727</v>
      </c>
      <c r="AS53" s="553">
        <f>$AR53/PI()*SQRT('Hilfstabellen_Mat&amp;Bem'!f.Rd.3/'Hilfstabellen_Mat&amp;Bem'!$BD$30)</f>
        <v>1.6802404431902234</v>
      </c>
      <c r="AT53" s="553">
        <f>0.5*(1+'Hilfstabellen_Mat&amp;Bem'!$BD$31*($AS53-0.3)+$AS53^2)</f>
        <v>1.9806159956255502</v>
      </c>
      <c r="AU53" s="550">
        <f t="shared" si="7"/>
        <v>0.33011479280126704</v>
      </c>
      <c r="AW53" s="551">
        <f t="shared" si="63"/>
        <v>3639.5155906339692</v>
      </c>
      <c r="AZ53" s="547">
        <f>'Hilfstabellen_Mat&amp;Bem'!$J$56</f>
        <v>3.3</v>
      </c>
      <c r="BA53" s="546">
        <f t="shared" si="19"/>
        <v>105</v>
      </c>
      <c r="BB53" s="551">
        <f t="shared" si="20"/>
        <v>108.87176504718656</v>
      </c>
      <c r="BC53" s="553">
        <f>BB53/PI()*SQRT('Hilfstabellen_Mat&amp;Bem'!f.Rd.3/'Hilfstabellen_Mat&amp;Bem'!$BD$30)</f>
        <v>1.7327479570399178</v>
      </c>
      <c r="BD53" s="553">
        <f>0.5*(1+'Hilfstabellen_Mat&amp;Bem'!$BD$31*(BC53-0.3)+BC53^2)</f>
        <v>2.0728451391650005</v>
      </c>
      <c r="BE53" s="550">
        <f t="shared" si="21"/>
        <v>0.31147741263053991</v>
      </c>
      <c r="BG53" s="551">
        <f t="shared" si="22"/>
        <v>3434.0384742517026</v>
      </c>
      <c r="BJ53" s="547">
        <f>'Hilfstabellen_Mat&amp;Bem'!$J$57</f>
        <v>3.4</v>
      </c>
      <c r="BK53" s="546">
        <f t="shared" si="23"/>
        <v>105</v>
      </c>
      <c r="BL53" s="551">
        <f t="shared" si="24"/>
        <v>112.17090944255585</v>
      </c>
      <c r="BM53" s="553">
        <f>BL53/PI()*SQRT('Hilfstabellen_Mat&amp;Bem'!f.Rd.3/'Hilfstabellen_Mat&amp;Bem'!$BD$30)</f>
        <v>1.7852554708896122</v>
      </c>
      <c r="BN53" s="553">
        <f>0.5*(1+'Hilfstabellen_Mat&amp;Bem'!$BD$31*(BM53-0.3)+BM53^2)</f>
        <v>2.1678313217151262</v>
      </c>
      <c r="BO53" s="550">
        <f t="shared" si="25"/>
        <v>0.29432454181654966</v>
      </c>
      <c r="BQ53" s="551">
        <f t="shared" si="26"/>
        <v>3244.9280735274601</v>
      </c>
      <c r="BT53" s="547">
        <f>'Hilfstabellen_Mat&amp;Bem'!$J$58</f>
        <v>3.5</v>
      </c>
      <c r="BU53" s="546">
        <f t="shared" si="27"/>
        <v>105</v>
      </c>
      <c r="BV53" s="551">
        <f t="shared" si="28"/>
        <v>115.47005383792515</v>
      </c>
      <c r="BW53" s="553">
        <f>BV53/PI()*SQRT('Hilfstabellen_Mat&amp;Bem'!f.Rd.3/'Hilfstabellen_Mat&amp;Bem'!$BD$30)</f>
        <v>1.8377629847393071</v>
      </c>
      <c r="BX53" s="553">
        <f>0.5*(1+'Hilfstabellen_Mat&amp;Bem'!$BD$31*(BW53-0.3)+BW53^2)</f>
        <v>2.2655745432759287</v>
      </c>
      <c r="BY53" s="550">
        <f t="shared" si="29"/>
        <v>0.27851192942466541</v>
      </c>
      <c r="CA53" s="551">
        <f t="shared" si="30"/>
        <v>3070.5940219069362</v>
      </c>
      <c r="CD53" s="547">
        <f>'Hilfstabellen_Mat&amp;Bem'!$J$59</f>
        <v>3.6</v>
      </c>
      <c r="CE53" s="546">
        <f t="shared" si="31"/>
        <v>105</v>
      </c>
      <c r="CF53" s="551">
        <f t="shared" si="32"/>
        <v>118.76919823329443</v>
      </c>
      <c r="CG53" s="553">
        <f>CF53/PI()*SQRT('Hilfstabellen_Mat&amp;Bem'!f.Rd.3/'Hilfstabellen_Mat&amp;Bem'!$BD$30)</f>
        <v>1.8902704985890013</v>
      </c>
      <c r="CH53" s="553">
        <f>0.5*(1+'Hilfstabellen_Mat&amp;Bem'!$BD$31*(CG53-0.3)+CG53^2)</f>
        <v>2.3660748038474058</v>
      </c>
      <c r="CI53" s="550">
        <f t="shared" si="33"/>
        <v>0.26391034466603086</v>
      </c>
      <c r="CK53" s="551">
        <f t="shared" si="34"/>
        <v>2909.6115499429902</v>
      </c>
      <c r="CN53" s="547">
        <f>'Hilfstabellen_Mat&amp;Bem'!$J$60</f>
        <v>3.7</v>
      </c>
      <c r="CO53" s="546">
        <f t="shared" si="35"/>
        <v>105</v>
      </c>
      <c r="CP53" s="551">
        <f t="shared" si="36"/>
        <v>122.06834262866373</v>
      </c>
      <c r="CQ53" s="553">
        <f>CP53/PI()*SQRT('Hilfstabellen_Mat&amp;Bem'!f.Rd.3/'Hilfstabellen_Mat&amp;Bem'!$BD$30)</f>
        <v>1.942778012438696</v>
      </c>
      <c r="CR53" s="553">
        <f>0.5*(1+'Hilfstabellen_Mat&amp;Bem'!$BD$31*(CQ53-0.3)+CQ53^2)</f>
        <v>2.4693321034295597</v>
      </c>
      <c r="CS53" s="550">
        <f t="shared" si="37"/>
        <v>0.25040430192386209</v>
      </c>
      <c r="CU53" s="551">
        <f t="shared" si="38"/>
        <v>2760.7074287105797</v>
      </c>
      <c r="CX53" s="547">
        <f>'Hilfstabellen_Mat&amp;Bem'!$J$61</f>
        <v>3.8</v>
      </c>
      <c r="CY53" s="546">
        <f t="shared" si="39"/>
        <v>105</v>
      </c>
      <c r="CZ53" s="551">
        <f t="shared" si="40"/>
        <v>125.36748702403301</v>
      </c>
      <c r="DA53" s="553">
        <f>CZ53/PI()*SQRT('Hilfstabellen_Mat&amp;Bem'!f.Rd.3/'Hilfstabellen_Mat&amp;Bem'!$BD$30)</f>
        <v>1.9952855262883902</v>
      </c>
      <c r="DB53" s="553">
        <f>0.5*(1+'Hilfstabellen_Mat&amp;Bem'!$BD$31*(DA53-0.3)+DA53^2)</f>
        <v>2.5753464420223886</v>
      </c>
      <c r="DC53" s="550">
        <f t="shared" si="41"/>
        <v>0.23789071751521262</v>
      </c>
      <c r="DE53" s="551">
        <f t="shared" si="42"/>
        <v>2622.7451606052191</v>
      </c>
      <c r="DH53" s="547">
        <f>'Hilfstabellen_Mat&amp;Bem'!$J$62</f>
        <v>3.9</v>
      </c>
      <c r="DI53" s="546">
        <f t="shared" si="43"/>
        <v>105</v>
      </c>
      <c r="DJ53" s="551">
        <f t="shared" si="44"/>
        <v>128.66663141940231</v>
      </c>
      <c r="DK53" s="553">
        <f>DJ53/PI()*SQRT('Hilfstabellen_Mat&amp;Bem'!f.Rd.3/'Hilfstabellen_Mat&amp;Bem'!$BD$30)</f>
        <v>2.0477930401380848</v>
      </c>
      <c r="DL53" s="553">
        <f>0.5*(1+'Hilfstabellen_Mat&amp;Bem'!$BD$31*(DK53-0.3)+DK53^2)</f>
        <v>2.6841178196258939</v>
      </c>
      <c r="DM53" s="550">
        <f t="shared" si="45"/>
        <v>0.2262775991418256</v>
      </c>
      <c r="DO53" s="551">
        <f t="shared" si="46"/>
        <v>2494.7105305386272</v>
      </c>
      <c r="DR53" s="547">
        <f>'Hilfstabellen_Mat&amp;Bem'!$J$63</f>
        <v>4</v>
      </c>
      <c r="DS53" s="546">
        <f t="shared" si="47"/>
        <v>105</v>
      </c>
      <c r="DT53" s="551">
        <f t="shared" si="48"/>
        <v>131.9657758147716</v>
      </c>
      <c r="DU53" s="553">
        <f>DT53/PI()*SQRT('Hilfstabellen_Mat&amp;Bem'!f.Rd.3/'Hilfstabellen_Mat&amp;Bem'!$BD$30)</f>
        <v>2.1003005539877795</v>
      </c>
      <c r="DV53" s="553">
        <f>0.5*(1+'Hilfstabellen_Mat&amp;Bem'!$BD$31*(DU53-0.3)+DU53^2)</f>
        <v>2.795646236240076</v>
      </c>
      <c r="DW53" s="550">
        <f t="shared" si="49"/>
        <v>0.21548281940561165</v>
      </c>
      <c r="DY53" s="551">
        <f t="shared" si="50"/>
        <v>2375.6980839468683</v>
      </c>
      <c r="EB53" s="547">
        <f>'Hilfstabellen_Mat&amp;Bem'!$J$64</f>
        <v>4.0999999999999996</v>
      </c>
      <c r="EC53" s="546">
        <f t="shared" si="51"/>
        <v>105</v>
      </c>
      <c r="ED53" s="551">
        <f t="shared" si="52"/>
        <v>135.2649202101409</v>
      </c>
      <c r="EE53" s="553">
        <f>ED53/PI()*SQRT('Hilfstabellen_Mat&amp;Bem'!f.Rd.3/'Hilfstabellen_Mat&amp;Bem'!$BD$30)</f>
        <v>2.1528080678374741</v>
      </c>
      <c r="EF53" s="553">
        <f>0.5*(1+'Hilfstabellen_Mat&amp;Bem'!$BD$31*(EE53-0.3)+EE53^2)</f>
        <v>2.9099316918649327</v>
      </c>
      <c r="EG53" s="550">
        <f t="shared" si="53"/>
        <v>0.205432996083563</v>
      </c>
      <c r="EI53" s="551">
        <f t="shared" si="54"/>
        <v>2264.8987818212822</v>
      </c>
      <c r="EL53" s="547">
        <f>'Hilfstabellen_Mat&amp;Bem'!$J$65</f>
        <v>4.2</v>
      </c>
      <c r="EM53" s="546">
        <f t="shared" si="55"/>
        <v>105</v>
      </c>
      <c r="EN53" s="551">
        <f t="shared" si="56"/>
        <v>138.56406460551017</v>
      </c>
      <c r="EO53" s="553">
        <f>EN53/PI()*SQRT('Hilfstabellen_Mat&amp;Bem'!f.Rd.3/'Hilfstabellen_Mat&amp;Bem'!$BD$30)</f>
        <v>2.2053155816871679</v>
      </c>
      <c r="EP53" s="553">
        <f>0.5*(1+'Hilfstabellen_Mat&amp;Bem'!$BD$31*(EO53-0.3)+EO53^2)</f>
        <v>3.026974186500464</v>
      </c>
      <c r="EQ53" s="550">
        <f t="shared" si="57"/>
        <v>0.19606248557633724</v>
      </c>
      <c r="ES53" s="551">
        <f t="shared" si="58"/>
        <v>2161.588903479118</v>
      </c>
    </row>
    <row r="54" spans="3:149">
      <c r="C54" s="546">
        <v>106</v>
      </c>
      <c r="D54" s="551">
        <f t="shared" si="8"/>
        <v>91.504570965902943</v>
      </c>
      <c r="E54" s="553">
        <f>$D54/PI()*SQRT('Hilfstabellen_Mat&amp;Bem'!f.Rd.3/'Hilfstabellen_Mat&amp;Bem'!$BD$30)</f>
        <v>1.4563404784726581</v>
      </c>
      <c r="F54" s="553">
        <f>0.5*(1+'Hilfstabellen_Mat&amp;Bem'!$BD$31*($E54-0.3)+$E54^2)</f>
        <v>1.6182808185426183</v>
      </c>
      <c r="G54" s="550">
        <f t="shared" si="9"/>
        <v>0.43031022413656694</v>
      </c>
      <c r="I54" s="551">
        <f t="shared" si="59"/>
        <v>4834.9656783984665</v>
      </c>
      <c r="M54" s="546">
        <f t="shared" si="11"/>
        <v>106</v>
      </c>
      <c r="N54" s="551">
        <f t="shared" si="0"/>
        <v>94.772591357542339</v>
      </c>
      <c r="O54" s="553">
        <f>$N54/PI()*SQRT('Hilfstabellen_Mat&amp;Bem'!f.Rd.3/'Hilfstabellen_Mat&amp;Bem'!$BD$30)</f>
        <v>1.5083526384181105</v>
      </c>
      <c r="P54" s="553">
        <f>0.5*(1+'Hilfstabellen_Mat&amp;Bem'!$BD$31*($O54-0.3)+$O54^2)</f>
        <v>1.6979814728323432</v>
      </c>
      <c r="Q54" s="550">
        <f t="shared" si="1"/>
        <v>0.40359463774115661</v>
      </c>
      <c r="S54" s="551">
        <f t="shared" si="60"/>
        <v>4534.7893496596362</v>
      </c>
      <c r="W54" s="546">
        <f t="shared" si="13"/>
        <v>106</v>
      </c>
      <c r="X54" s="551">
        <f t="shared" si="2"/>
        <v>98.040611749181721</v>
      </c>
      <c r="Y54" s="553">
        <f>$X54/PI()*SQRT('Hilfstabellen_Mat&amp;Bem'!f.Rd.3/'Hilfstabellen_Mat&amp;Bem'!$BD$30)</f>
        <v>1.5603647983635625</v>
      </c>
      <c r="Z54" s="553">
        <f>0.5*(1+'Hilfstabellen_Mat&amp;Bem'!$BD$31*($Y54-0.3)+$Y54^2)</f>
        <v>1.7803873919042585</v>
      </c>
      <c r="AA54" s="550">
        <f t="shared" si="3"/>
        <v>0.37911347254600114</v>
      </c>
      <c r="AC54" s="551">
        <f t="shared" si="61"/>
        <v>4259.7189775268689</v>
      </c>
      <c r="AG54" s="546">
        <f t="shared" si="15"/>
        <v>106</v>
      </c>
      <c r="AH54" s="551">
        <f t="shared" si="4"/>
        <v>101.30863214082112</v>
      </c>
      <c r="AI54" s="553">
        <f>$AH54/PI()*SQRT('Hilfstabellen_Mat&amp;Bem'!f.Rd.3/'Hilfstabellen_Mat&amp;Bem'!$BD$30)</f>
        <v>1.6123769583090146</v>
      </c>
      <c r="AJ54" s="553">
        <f>0.5*(1+'Hilfstabellen_Mat&amp;Bem'!$BD$31*($AI54-0.3)+$AI54^2)</f>
        <v>1.8654985757583655</v>
      </c>
      <c r="AK54" s="550">
        <f t="shared" si="5"/>
        <v>0.35666451991555692</v>
      </c>
      <c r="AM54" s="551">
        <f t="shared" si="62"/>
        <v>4007.4825457711977</v>
      </c>
      <c r="AQ54" s="546">
        <f t="shared" si="17"/>
        <v>106</v>
      </c>
      <c r="AR54" s="551">
        <f t="shared" si="6"/>
        <v>104.57665253246051</v>
      </c>
      <c r="AS54" s="553">
        <f>$AR54/PI()*SQRT('Hilfstabellen_Mat&amp;Bem'!f.Rd.3/'Hilfstabellen_Mat&amp;Bem'!$BD$30)</f>
        <v>1.6643891182544668</v>
      </c>
      <c r="AT54" s="553">
        <f>0.5*(1+'Hilfstabellen_Mat&amp;Bem'!$BD$31*($AS54-0.3)+$AS54^2)</f>
        <v>1.953315024394664</v>
      </c>
      <c r="AU54" s="550">
        <f t="shared" si="7"/>
        <v>0.33605662963353272</v>
      </c>
      <c r="AW54" s="551">
        <f t="shared" si="63"/>
        <v>3775.9322905623735</v>
      </c>
      <c r="AZ54" s="547">
        <f>'Hilfstabellen_Mat&amp;Bem'!$J$56</f>
        <v>3.3</v>
      </c>
      <c r="BA54" s="546">
        <f t="shared" si="19"/>
        <v>106</v>
      </c>
      <c r="BB54" s="551">
        <f t="shared" si="20"/>
        <v>107.8446729240999</v>
      </c>
      <c r="BC54" s="553">
        <f>BB54/PI()*SQRT('Hilfstabellen_Mat&amp;Bem'!f.Rd.3/'Hilfstabellen_Mat&amp;Bem'!$BD$30)</f>
        <v>1.7164012781999187</v>
      </c>
      <c r="BD54" s="553">
        <f>0.5*(1+'Hilfstabellen_Mat&amp;Bem'!$BD$31*(BC54-0.3)+BC54^2)</f>
        <v>2.0438367378131534</v>
      </c>
      <c r="BE54" s="550">
        <f t="shared" si="21"/>
        <v>0.31711328998924898</v>
      </c>
      <c r="BG54" s="551">
        <f t="shared" si="22"/>
        <v>3563.0849263192017</v>
      </c>
      <c r="BJ54" s="547">
        <f>'Hilfstabellen_Mat&amp;Bem'!$J$57</f>
        <v>3.4</v>
      </c>
      <c r="BK54" s="546">
        <f t="shared" si="23"/>
        <v>106</v>
      </c>
      <c r="BL54" s="551">
        <f t="shared" si="24"/>
        <v>111.11269331573928</v>
      </c>
      <c r="BM54" s="553">
        <f>BL54/PI()*SQRT('Hilfstabellen_Mat&amp;Bem'!f.Rd.3/'Hilfstabellen_Mat&amp;Bem'!$BD$30)</f>
        <v>1.7684134381453707</v>
      </c>
      <c r="BN54" s="553">
        <f>0.5*(1+'Hilfstabellen_Mat&amp;Bem'!$BD$31*(BM54-0.3)+BM54^2)</f>
        <v>2.1370637160138339</v>
      </c>
      <c r="BO54" s="550">
        <f t="shared" si="25"/>
        <v>0.29967379959555035</v>
      </c>
      <c r="BQ54" s="551">
        <f t="shared" si="26"/>
        <v>3367.1348122556037</v>
      </c>
      <c r="BT54" s="547">
        <f>'Hilfstabellen_Mat&amp;Bem'!$J$58</f>
        <v>3.5</v>
      </c>
      <c r="BU54" s="546">
        <f t="shared" si="27"/>
        <v>106</v>
      </c>
      <c r="BV54" s="551">
        <f t="shared" si="28"/>
        <v>114.38071370737867</v>
      </c>
      <c r="BW54" s="553">
        <f>BV54/PI()*SQRT('Hilfstabellen_Mat&amp;Bem'!f.Rd.3/'Hilfstabellen_Mat&amp;Bem'!$BD$30)</f>
        <v>1.8204255980908226</v>
      </c>
      <c r="BX54" s="553">
        <f>0.5*(1+'Hilfstabellen_Mat&amp;Bem'!$BD$31*(BW54-0.3)+BW54^2)</f>
        <v>2.2329959589967059</v>
      </c>
      <c r="BY54" s="550">
        <f t="shared" si="29"/>
        <v>0.28359311476712717</v>
      </c>
      <c r="CA54" s="551">
        <f t="shared" si="30"/>
        <v>3186.452237523441</v>
      </c>
      <c r="CD54" s="547">
        <f>'Hilfstabellen_Mat&amp;Bem'!$J$59</f>
        <v>3.6</v>
      </c>
      <c r="CE54" s="546">
        <f t="shared" si="31"/>
        <v>106</v>
      </c>
      <c r="CF54" s="551">
        <f t="shared" si="32"/>
        <v>117.64873409901807</v>
      </c>
      <c r="CG54" s="553">
        <f>CF54/PI()*SQRT('Hilfstabellen_Mat&amp;Bem'!f.Rd.3/'Hilfstabellen_Mat&amp;Bem'!$BD$30)</f>
        <v>1.872437758036275</v>
      </c>
      <c r="CH54" s="553">
        <f>0.5*(1+'Hilfstabellen_Mat&amp;Bem'!$BD$31*(CG54-0.3)+CG54^2)</f>
        <v>2.3316334667617697</v>
      </c>
      <c r="CI54" s="550">
        <f t="shared" si="33"/>
        <v>0.2687410077882848</v>
      </c>
      <c r="CK54" s="551">
        <f t="shared" si="34"/>
        <v>3019.5739635091682</v>
      </c>
      <c r="CN54" s="547">
        <f>'Hilfstabellen_Mat&amp;Bem'!$J$60</f>
        <v>3.7</v>
      </c>
      <c r="CO54" s="546">
        <f t="shared" si="35"/>
        <v>106</v>
      </c>
      <c r="CP54" s="551">
        <f t="shared" si="36"/>
        <v>120.91675449065748</v>
      </c>
      <c r="CQ54" s="553">
        <f>CP54/PI()*SQRT('Hilfstabellen_Mat&amp;Bem'!f.Rd.3/'Hilfstabellen_Mat&amp;Bem'!$BD$30)</f>
        <v>1.9244499179817272</v>
      </c>
      <c r="CR54" s="553">
        <f>0.5*(1+'Hilfstabellen_Mat&amp;Bem'!$BD$31*(CQ54-0.3)+CQ54^2)</f>
        <v>2.4329762393090246</v>
      </c>
      <c r="CS54" s="550">
        <f t="shared" si="37"/>
        <v>0.25500090431235756</v>
      </c>
      <c r="CU54" s="551">
        <f t="shared" si="38"/>
        <v>2865.1901608536496</v>
      </c>
      <c r="CX54" s="547">
        <f>'Hilfstabellen_Mat&amp;Bem'!$J$61</f>
        <v>3.8</v>
      </c>
      <c r="CY54" s="546">
        <f t="shared" si="39"/>
        <v>106</v>
      </c>
      <c r="CZ54" s="551">
        <f t="shared" si="40"/>
        <v>124.18477488229685</v>
      </c>
      <c r="DA54" s="553">
        <f>CZ54/PI()*SQRT('Hilfstabellen_Mat&amp;Bem'!f.Rd.3/'Hilfstabellen_Mat&amp;Bem'!$BD$30)</f>
        <v>1.9764620779271791</v>
      </c>
      <c r="DB54" s="553">
        <f>0.5*(1+'Hilfstabellen_Mat&amp;Bem'!$BD$31*(DA54-0.3)+DA54^2)</f>
        <v>2.5370242766384701</v>
      </c>
      <c r="DC54" s="550">
        <f t="shared" si="41"/>
        <v>0.24226860978795189</v>
      </c>
      <c r="DE54" s="551">
        <f t="shared" si="42"/>
        <v>2722.1300995774277</v>
      </c>
      <c r="DH54" s="547">
        <f>'Hilfstabellen_Mat&amp;Bem'!$J$62</f>
        <v>3.9</v>
      </c>
      <c r="DI54" s="546">
        <f t="shared" si="43"/>
        <v>106</v>
      </c>
      <c r="DJ54" s="551">
        <f t="shared" si="44"/>
        <v>127.45279527393625</v>
      </c>
      <c r="DK54" s="553">
        <f>DJ54/PI()*SQRT('Hilfstabellen_Mat&amp;Bem'!f.Rd.3/'Hilfstabellen_Mat&amp;Bem'!$BD$30)</f>
        <v>2.028474237872631</v>
      </c>
      <c r="DL54" s="553">
        <f>0.5*(1+'Hilfstabellen_Mat&amp;Bem'!$BD$31*(DK54-0.3)+DK54^2)</f>
        <v>2.643777578750107</v>
      </c>
      <c r="DM54" s="550">
        <f t="shared" si="45"/>
        <v>0.23045104120059715</v>
      </c>
      <c r="DO54" s="551">
        <f t="shared" si="46"/>
        <v>2589.3478989299097</v>
      </c>
      <c r="DR54" s="547">
        <f>'Hilfstabellen_Mat&amp;Bem'!$J$63</f>
        <v>4</v>
      </c>
      <c r="DS54" s="546">
        <f t="shared" si="47"/>
        <v>106</v>
      </c>
      <c r="DT54" s="551">
        <f t="shared" si="48"/>
        <v>130.72081566557566</v>
      </c>
      <c r="DU54" s="553">
        <f>DT54/PI()*SQRT('Hilfstabellen_Mat&amp;Bem'!f.Rd.3/'Hilfstabellen_Mat&amp;Bem'!$BD$30)</f>
        <v>2.0804863978180834</v>
      </c>
      <c r="DV54" s="553">
        <f>0.5*(1+'Hilfstabellen_Mat&amp;Bem'!$BD$31*(DU54-0.3)+DU54^2)</f>
        <v>2.7532361456439363</v>
      </c>
      <c r="DW54" s="550">
        <f t="shared" si="49"/>
        <v>0.21946502531496889</v>
      </c>
      <c r="DY54" s="551">
        <f t="shared" si="50"/>
        <v>2465.9090244389904</v>
      </c>
      <c r="EB54" s="547">
        <f>'Hilfstabellen_Mat&amp;Bem'!$J$64</f>
        <v>4.0999999999999996</v>
      </c>
      <c r="EC54" s="546">
        <f t="shared" si="51"/>
        <v>106</v>
      </c>
      <c r="ED54" s="551">
        <f t="shared" si="52"/>
        <v>133.98883605721502</v>
      </c>
      <c r="EE54" s="553">
        <f>ED54/PI()*SQRT('Hilfstabellen_Mat&amp;Bem'!f.Rd.3/'Hilfstabellen_Mat&amp;Bem'!$BD$30)</f>
        <v>2.1324985577635354</v>
      </c>
      <c r="EF54" s="553">
        <f>0.5*(1+'Hilfstabellen_Mat&amp;Bem'!$BD$31*(EE54-0.3)+EE54^2)</f>
        <v>2.8653999773199561</v>
      </c>
      <c r="EG54" s="550">
        <f t="shared" si="53"/>
        <v>0.20923619242552116</v>
      </c>
      <c r="EI54" s="551">
        <f t="shared" si="54"/>
        <v>2350.9778580931556</v>
      </c>
      <c r="EL54" s="547">
        <f>'Hilfstabellen_Mat&amp;Bem'!$J$65</f>
        <v>4.2</v>
      </c>
      <c r="EM54" s="546">
        <f t="shared" si="55"/>
        <v>106</v>
      </c>
      <c r="EN54" s="551">
        <f t="shared" si="56"/>
        <v>137.25685644885442</v>
      </c>
      <c r="EO54" s="553">
        <f>EN54/PI()*SQRT('Hilfstabellen_Mat&amp;Bem'!f.Rd.3/'Hilfstabellen_Mat&amp;Bem'!$BD$30)</f>
        <v>2.1845107177089873</v>
      </c>
      <c r="EP54" s="553">
        <f>0.5*(1+'Hilfstabellen_Mat&amp;Bem'!$BD$31*(EO54-0.3)+EO54^2)</f>
        <v>2.9802690737781665</v>
      </c>
      <c r="EQ54" s="550">
        <f t="shared" si="57"/>
        <v>0.19969797611479498</v>
      </c>
      <c r="ES54" s="551">
        <f t="shared" si="58"/>
        <v>2243.8064596258364</v>
      </c>
    </row>
    <row r="55" spans="3:149">
      <c r="C55" s="546">
        <v>107</v>
      </c>
      <c r="D55" s="551">
        <f t="shared" si="8"/>
        <v>90.649388059679552</v>
      </c>
      <c r="E55" s="553">
        <f>$D55/PI()*SQRT('Hilfstabellen_Mat&amp;Bem'!f.Rd.3/'Hilfstabellen_Mat&amp;Bem'!$BD$30)</f>
        <v>1.4427298197953435</v>
      </c>
      <c r="F55" s="553">
        <f>0.5*(1+'Hilfstabellen_Mat&amp;Bem'!$BD$31*($E55-0.3)+$E55^2)</f>
        <v>1.5978711574531193</v>
      </c>
      <c r="G55" s="550">
        <f t="shared" si="9"/>
        <v>0.43769575480688078</v>
      </c>
      <c r="I55" s="551">
        <f t="shared" si="59"/>
        <v>5011.178696783978</v>
      </c>
      <c r="M55" s="546">
        <f t="shared" si="11"/>
        <v>107</v>
      </c>
      <c r="N55" s="551">
        <f t="shared" si="0"/>
        <v>93.88686620466811</v>
      </c>
      <c r="O55" s="553">
        <f>$N55/PI()*SQRT('Hilfstabellen_Mat&amp;Bem'!f.Rd.3/'Hilfstabellen_Mat&amp;Bem'!$BD$30)</f>
        <v>1.4942558847880347</v>
      </c>
      <c r="P55" s="553">
        <f>0.5*(1+'Hilfstabellen_Mat&amp;Bem'!$BD$31*($O55-0.3)+$O55^2)</f>
        <v>1.6761131188512381</v>
      </c>
      <c r="Q55" s="550">
        <f t="shared" si="1"/>
        <v>0.41060595116619469</v>
      </c>
      <c r="S55" s="551">
        <f t="shared" si="60"/>
        <v>4701.0275349017629</v>
      </c>
      <c r="W55" s="546">
        <f t="shared" si="13"/>
        <v>107</v>
      </c>
      <c r="X55" s="551">
        <f t="shared" si="2"/>
        <v>97.124344349656667</v>
      </c>
      <c r="Y55" s="553">
        <f>$X55/PI()*SQRT('Hilfstabellen_Mat&amp;Bem'!f.Rd.3/'Hilfstabellen_Mat&amp;Bem'!$BD$30)</f>
        <v>1.5457819497807255</v>
      </c>
      <c r="Z55" s="553">
        <f>0.5*(1+'Hilfstabellen_Mat&amp;Bem'!$BD$31*($Y55-0.3)+$Y55^2)</f>
        <v>1.7570100156229869</v>
      </c>
      <c r="AA55" s="550">
        <f t="shared" si="3"/>
        <v>0.3857637895229945</v>
      </c>
      <c r="AC55" s="551">
        <f t="shared" si="61"/>
        <v>4416.6096262487645</v>
      </c>
      <c r="AG55" s="546">
        <f t="shared" si="15"/>
        <v>107</v>
      </c>
      <c r="AH55" s="551">
        <f t="shared" si="4"/>
        <v>100.36182249464522</v>
      </c>
      <c r="AI55" s="553">
        <f>$AH55/PI()*SQRT('Hilfstabellen_Mat&amp;Bem'!f.Rd.3/'Hilfstabellen_Mat&amp;Bem'!$BD$30)</f>
        <v>1.5973080147734162</v>
      </c>
      <c r="AJ55" s="553">
        <f>0.5*(1+'Hilfstabellen_Mat&amp;Bem'!$BD$31*($AI55-0.3)+$AI55^2)</f>
        <v>1.840561847768367</v>
      </c>
      <c r="AK55" s="550">
        <f t="shared" si="5"/>
        <v>0.36297079577714847</v>
      </c>
      <c r="AM55" s="551">
        <f t="shared" si="62"/>
        <v>4155.6526408525724</v>
      </c>
      <c r="AQ55" s="546">
        <f t="shared" si="17"/>
        <v>107</v>
      </c>
      <c r="AR55" s="551">
        <f t="shared" si="6"/>
        <v>103.59930063963378</v>
      </c>
      <c r="AS55" s="553">
        <f>$AR55/PI()*SQRT('Hilfstabellen_Mat&amp;Bem'!f.Rd.3/'Hilfstabellen_Mat&amp;Bem'!$BD$30)</f>
        <v>1.6488340797661072</v>
      </c>
      <c r="AT55" s="553">
        <f>0.5*(1+'Hilfstabellen_Mat&amp;Bem'!$BD$31*($AS55-0.3)+$AS55^2)</f>
        <v>1.926768615287378</v>
      </c>
      <c r="AU55" s="550">
        <f t="shared" si="7"/>
        <v>0.34203756143992053</v>
      </c>
      <c r="AW55" s="551">
        <f t="shared" si="63"/>
        <v>3915.9880409256502</v>
      </c>
      <c r="AZ55" s="547">
        <f>'Hilfstabellen_Mat&amp;Bem'!$J$56</f>
        <v>3.3</v>
      </c>
      <c r="BA55" s="546">
        <f t="shared" si="19"/>
        <v>107</v>
      </c>
      <c r="BB55" s="551">
        <f t="shared" si="20"/>
        <v>106.83677878462233</v>
      </c>
      <c r="BC55" s="553">
        <f>BB55/PI()*SQRT('Hilfstabellen_Mat&amp;Bem'!f.Rd.3/'Hilfstabellen_Mat&amp;Bem'!$BD$30)</f>
        <v>1.7003601447587979</v>
      </c>
      <c r="BD55" s="553">
        <f>0.5*(1+'Hilfstabellen_Mat&amp;Bem'!$BD$31*(BC55-0.3)+BC55^2)</f>
        <v>2.0156303181800199</v>
      </c>
      <c r="BE55" s="550">
        <f t="shared" si="21"/>
        <v>0.32278808603095377</v>
      </c>
      <c r="BG55" s="551">
        <f t="shared" si="22"/>
        <v>3695.6007969683897</v>
      </c>
      <c r="BJ55" s="547">
        <f>'Hilfstabellen_Mat&amp;Bem'!$J$57</f>
        <v>3.4</v>
      </c>
      <c r="BK55" s="546">
        <f t="shared" si="23"/>
        <v>107</v>
      </c>
      <c r="BL55" s="551">
        <f t="shared" si="24"/>
        <v>110.0742569296109</v>
      </c>
      <c r="BM55" s="553">
        <f>BL55/PI()*SQRT('Hilfstabellen_Mat&amp;Bem'!f.Rd.3/'Hilfstabellen_Mat&amp;Bem'!$BD$30)</f>
        <v>1.7518862097514889</v>
      </c>
      <c r="BN55" s="553">
        <f>0.5*(1+'Hilfstabellen_Mat&amp;Bem'!$BD$31*(BM55-0.3)+BM55^2)</f>
        <v>2.1071469564462935</v>
      </c>
      <c r="BO55" s="550">
        <f t="shared" si="25"/>
        <v>0.30506143439380812</v>
      </c>
      <c r="BQ55" s="551">
        <f t="shared" si="26"/>
        <v>3492.648362374709</v>
      </c>
      <c r="BT55" s="547">
        <f>'Hilfstabellen_Mat&amp;Bem'!$J$58</f>
        <v>3.5</v>
      </c>
      <c r="BU55" s="546">
        <f t="shared" si="27"/>
        <v>107</v>
      </c>
      <c r="BV55" s="551">
        <f t="shared" si="28"/>
        <v>113.31173507459945</v>
      </c>
      <c r="BW55" s="553">
        <f>BV55/PI()*SQRT('Hilfstabellen_Mat&amp;Bem'!f.Rd.3/'Hilfstabellen_Mat&amp;Bem'!$BD$30)</f>
        <v>1.8034122747441801</v>
      </c>
      <c r="BX55" s="553">
        <f>0.5*(1+'Hilfstabellen_Mat&amp;Bem'!$BD$31*(BW55-0.3)+BW55^2)</f>
        <v>2.2013185300861982</v>
      </c>
      <c r="BY55" s="550">
        <f t="shared" si="29"/>
        <v>0.28871189262465258</v>
      </c>
      <c r="CA55" s="551">
        <f t="shared" si="30"/>
        <v>3305.4624586596474</v>
      </c>
      <c r="CD55" s="547">
        <f>'Hilfstabellen_Mat&amp;Bem'!$J$59</f>
        <v>3.6</v>
      </c>
      <c r="CE55" s="546">
        <f t="shared" si="31"/>
        <v>107</v>
      </c>
      <c r="CF55" s="551">
        <f t="shared" si="32"/>
        <v>116.549213219588</v>
      </c>
      <c r="CG55" s="553">
        <f>CF55/PI()*SQRT('Hilfstabellen_Mat&amp;Bem'!f.Rd.3/'Hilfstabellen_Mat&amp;Bem'!$BD$30)</f>
        <v>1.8549383397368704</v>
      </c>
      <c r="CH55" s="553">
        <f>0.5*(1+'Hilfstabellen_Mat&amp;Bem'!$BD$31*(CG55-0.3)+CG55^2)</f>
        <v>2.2981450390997322</v>
      </c>
      <c r="CI55" s="550">
        <f t="shared" si="33"/>
        <v>0.27360832201160207</v>
      </c>
      <c r="CK55" s="551">
        <f t="shared" si="34"/>
        <v>3132.541678710832</v>
      </c>
      <c r="CN55" s="547">
        <f>'Hilfstabellen_Mat&amp;Bem'!$J$60</f>
        <v>3.7</v>
      </c>
      <c r="CO55" s="546">
        <f t="shared" si="35"/>
        <v>107</v>
      </c>
      <c r="CP55" s="551">
        <f t="shared" si="36"/>
        <v>119.78669136457655</v>
      </c>
      <c r="CQ55" s="553">
        <f>CP55/PI()*SQRT('Hilfstabellen_Mat&amp;Bem'!f.Rd.3/'Hilfstabellen_Mat&amp;Bem'!$BD$30)</f>
        <v>1.9064644047295614</v>
      </c>
      <c r="CR55" s="553">
        <f>0.5*(1+'Hilfstabellen_Mat&amp;Bem'!$BD$31*(CQ55-0.3)+CQ55^2)</f>
        <v>2.3976264834868983</v>
      </c>
      <c r="CS55" s="550">
        <f t="shared" si="37"/>
        <v>0.25963311996497762</v>
      </c>
      <c r="CU55" s="551">
        <f t="shared" si="38"/>
        <v>2972.5395904790289</v>
      </c>
      <c r="CX55" s="547">
        <f>'Hilfstabellen_Mat&amp;Bem'!$J$61</f>
        <v>3.8</v>
      </c>
      <c r="CY55" s="546">
        <f t="shared" si="39"/>
        <v>107</v>
      </c>
      <c r="CZ55" s="551">
        <f t="shared" si="40"/>
        <v>123.02416950956513</v>
      </c>
      <c r="DA55" s="553">
        <f>CZ55/PI()*SQRT('Hilfstabellen_Mat&amp;Bem'!f.Rd.3/'Hilfstabellen_Mat&amp;Bem'!$BD$30)</f>
        <v>1.9579904697222525</v>
      </c>
      <c r="DB55" s="553">
        <f>0.5*(1+'Hilfstabellen_Mat&amp;Bem'!$BD$31*(DA55-0.3)+DA55^2)</f>
        <v>2.499762863247696</v>
      </c>
      <c r="DC55" s="550">
        <f t="shared" si="41"/>
        <v>0.24668102372012146</v>
      </c>
      <c r="DE55" s="551">
        <f t="shared" si="42"/>
        <v>2824.2510405716707</v>
      </c>
      <c r="DH55" s="547">
        <f>'Hilfstabellen_Mat&amp;Bem'!$J$62</f>
        <v>3.9</v>
      </c>
      <c r="DI55" s="546">
        <f t="shared" si="43"/>
        <v>107</v>
      </c>
      <c r="DJ55" s="551">
        <f t="shared" si="44"/>
        <v>126.26164765455366</v>
      </c>
      <c r="DK55" s="553">
        <f>DJ55/PI()*SQRT('Hilfstabellen_Mat&amp;Bem'!f.Rd.3/'Hilfstabellen_Mat&amp;Bem'!$BD$30)</f>
        <v>2.0095165347149431</v>
      </c>
      <c r="DL55" s="553">
        <f>0.5*(1+'Hilfstabellen_Mat&amp;Bem'!$BD$31*(DK55-0.3)+DK55^2)</f>
        <v>2.6045541783821236</v>
      </c>
      <c r="DM55" s="550">
        <f t="shared" si="45"/>
        <v>0.23465788960811826</v>
      </c>
      <c r="DO55" s="551">
        <f t="shared" si="46"/>
        <v>2686.5981781233459</v>
      </c>
      <c r="DR55" s="547">
        <f>'Hilfstabellen_Mat&amp;Bem'!$J$63</f>
        <v>4</v>
      </c>
      <c r="DS55" s="546">
        <f t="shared" si="47"/>
        <v>107</v>
      </c>
      <c r="DT55" s="551">
        <f t="shared" si="48"/>
        <v>129.49912579954221</v>
      </c>
      <c r="DU55" s="553">
        <f>DT55/PI()*SQRT('Hilfstabellen_Mat&amp;Bem'!f.Rd.3/'Hilfstabellen_Mat&amp;Bem'!$BD$30)</f>
        <v>2.0610425997076338</v>
      </c>
      <c r="DV55" s="553">
        <f>0.5*(1+'Hilfstabellen_Mat&amp;Bem'!$BD$31*(DU55-0.3)+DU55^2)</f>
        <v>2.7120004288901827</v>
      </c>
      <c r="DW55" s="550">
        <f t="shared" si="49"/>
        <v>0.22347951966216517</v>
      </c>
      <c r="DY55" s="551">
        <f t="shared" si="50"/>
        <v>2558.6170206121292</v>
      </c>
      <c r="EB55" s="547">
        <f>'Hilfstabellen_Mat&amp;Bem'!$J$64</f>
        <v>4.0999999999999996</v>
      </c>
      <c r="EC55" s="546">
        <f t="shared" si="51"/>
        <v>107</v>
      </c>
      <c r="ED55" s="551">
        <f t="shared" si="52"/>
        <v>132.7366039445308</v>
      </c>
      <c r="EE55" s="553">
        <f>ED55/PI()*SQRT('Hilfstabellen_Mat&amp;Bem'!f.Rd.3/'Hilfstabellen_Mat&amp;Bem'!$BD$30)</f>
        <v>2.112568664700325</v>
      </c>
      <c r="EF55" s="553">
        <f>0.5*(1+'Hilfstabellen_Mat&amp;Bem'!$BD$31*(EE55-0.3)+EE55^2)</f>
        <v>2.8221016147718734</v>
      </c>
      <c r="EG55" s="550">
        <f t="shared" si="53"/>
        <v>0.21307057139237803</v>
      </c>
      <c r="EI55" s="551">
        <f t="shared" si="54"/>
        <v>2439.4449718713363</v>
      </c>
      <c r="EL55" s="547">
        <f>'Hilfstabellen_Mat&amp;Bem'!$J$65</f>
        <v>4.2</v>
      </c>
      <c r="EM55" s="546">
        <f t="shared" si="55"/>
        <v>107</v>
      </c>
      <c r="EN55" s="551">
        <f t="shared" si="56"/>
        <v>135.97408208951933</v>
      </c>
      <c r="EO55" s="553">
        <f>EN55/PI()*SQRT('Hilfstabellen_Mat&amp;Bem'!f.Rd.3/'Hilfstabellen_Mat&amp;Bem'!$BD$30)</f>
        <v>2.1640947296930153</v>
      </c>
      <c r="EP55" s="553">
        <f>0.5*(1+'Hilfstabellen_Mat&amp;Bem'!$BD$31*(EO55-0.3)+EO55^2)</f>
        <v>2.934857736027193</v>
      </c>
      <c r="EQ55" s="550">
        <f t="shared" si="57"/>
        <v>0.20336356565470812</v>
      </c>
      <c r="ES55" s="551">
        <f t="shared" si="58"/>
        <v>2328.309463180753</v>
      </c>
    </row>
    <row r="56" spans="3:149">
      <c r="C56" s="546">
        <v>108</v>
      </c>
      <c r="D56" s="551">
        <f t="shared" si="8"/>
        <v>89.810041873941785</v>
      </c>
      <c r="E56" s="553">
        <f>$D56/PI()*SQRT('Hilfstabellen_Mat&amp;Bem'!f.Rd.3/'Hilfstabellen_Mat&amp;Bem'!$BD$30)</f>
        <v>1.4293712103527945</v>
      </c>
      <c r="F56" s="553">
        <f>0.5*(1+'Hilfstabellen_Mat&amp;Bem'!$BD$31*($E56-0.3)+$E56^2)</f>
        <v>1.5780195890103461</v>
      </c>
      <c r="G56" s="550">
        <f t="shared" si="9"/>
        <v>0.44511054644293813</v>
      </c>
      <c r="I56" s="551">
        <f t="shared" si="59"/>
        <v>5191.7694137104299</v>
      </c>
      <c r="M56" s="546">
        <f t="shared" si="11"/>
        <v>108</v>
      </c>
      <c r="N56" s="551">
        <f t="shared" si="0"/>
        <v>93.017543369439693</v>
      </c>
      <c r="O56" s="553">
        <f>$N56/PI()*SQRT('Hilfstabellen_Mat&amp;Bem'!f.Rd.3/'Hilfstabellen_Mat&amp;Bem'!$BD$30)</f>
        <v>1.480420182151108</v>
      </c>
      <c r="P56" s="553">
        <f>0.5*(1+'Hilfstabellen_Mat&amp;Bem'!$BD$31*($O56-0.3)+$O56^2)</f>
        <v>1.6548429669677154</v>
      </c>
      <c r="Q56" s="550">
        <f t="shared" si="1"/>
        <v>0.41765098356001917</v>
      </c>
      <c r="S56" s="551">
        <f t="shared" si="60"/>
        <v>4871.4810722440634</v>
      </c>
      <c r="W56" s="546">
        <f t="shared" si="13"/>
        <v>108</v>
      </c>
      <c r="X56" s="551">
        <f t="shared" si="2"/>
        <v>96.22504486493763</v>
      </c>
      <c r="Y56" s="553">
        <f>$X56/PI()*SQRT('Hilfstabellen_Mat&amp;Bem'!f.Rd.3/'Hilfstabellen_Mat&amp;Bem'!$BD$30)</f>
        <v>1.5314691539494225</v>
      </c>
      <c r="Z56" s="553">
        <f>0.5*(1+'Hilfstabellen_Mat&amp;Bem'!$BD$31*($Y56-0.3)+$Y56^2)</f>
        <v>1.7342723424467512</v>
      </c>
      <c r="AA56" s="550">
        <f t="shared" si="3"/>
        <v>0.3924504746390417</v>
      </c>
      <c r="AC56" s="551">
        <f t="shared" si="61"/>
        <v>4577.542336189782</v>
      </c>
      <c r="AG56" s="546">
        <f t="shared" si="15"/>
        <v>108</v>
      </c>
      <c r="AH56" s="551">
        <f t="shared" si="4"/>
        <v>99.432546360435538</v>
      </c>
      <c r="AI56" s="553">
        <f>$AH56/PI()*SQRT('Hilfstabellen_Mat&amp;Bem'!f.Rd.3/'Hilfstabellen_Mat&amp;Bem'!$BD$30)</f>
        <v>1.5825181257477363</v>
      </c>
      <c r="AJ56" s="553">
        <f>0.5*(1+'Hilfstabellen_Mat&amp;Bem'!$BD$31*($AI56-0.3)+$AI56^2)</f>
        <v>1.8163077154474507</v>
      </c>
      <c r="AK56" s="550">
        <f t="shared" si="5"/>
        <v>0.36931484556972377</v>
      </c>
      <c r="AM56" s="551">
        <f t="shared" si="62"/>
        <v>4307.6883587252578</v>
      </c>
      <c r="AQ56" s="546">
        <f t="shared" si="17"/>
        <v>108</v>
      </c>
      <c r="AR56" s="551">
        <f t="shared" si="6"/>
        <v>102.64004785593346</v>
      </c>
      <c r="AS56" s="553">
        <f>$AR56/PI()*SQRT('Hilfstabellen_Mat&amp;Bem'!f.Rd.3/'Hilfstabellen_Mat&amp;Bem'!$BD$30)</f>
        <v>1.6335670975460506</v>
      </c>
      <c r="AT56" s="553">
        <f>0.5*(1+'Hilfstabellen_Mat&amp;Bem'!$BD$31*($AS56-0.3)+$AS56^2)</f>
        <v>1.9009490859698164</v>
      </c>
      <c r="AU56" s="550">
        <f t="shared" si="7"/>
        <v>0.34805681908695024</v>
      </c>
      <c r="AW56" s="551">
        <f t="shared" si="63"/>
        <v>4059.7347378301874</v>
      </c>
      <c r="AZ56" s="547">
        <f>'Hilfstabellen_Mat&amp;Bem'!$J$56</f>
        <v>3.3</v>
      </c>
      <c r="BA56" s="546">
        <f t="shared" si="19"/>
        <v>108</v>
      </c>
      <c r="BB56" s="551">
        <f t="shared" si="20"/>
        <v>105.84754935143138</v>
      </c>
      <c r="BC56" s="553">
        <f>BB56/PI()*SQRT('Hilfstabellen_Mat&amp;Bem'!f.Rd.3/'Hilfstabellen_Mat&amp;Bem'!$BD$30)</f>
        <v>1.6846160693443648</v>
      </c>
      <c r="BD56" s="553">
        <f>0.5*(1+'Hilfstabellen_Mat&amp;Bem'!$BD$31*(BC56-0.3)+BC56^2)</f>
        <v>1.988196454013847</v>
      </c>
      <c r="BE56" s="550">
        <f t="shared" si="21"/>
        <v>0.32850117514848043</v>
      </c>
      <c r="BG56" s="551">
        <f t="shared" si="22"/>
        <v>3831.6377069318755</v>
      </c>
      <c r="BJ56" s="547">
        <f>'Hilfstabellen_Mat&amp;Bem'!$J$57</f>
        <v>3.4</v>
      </c>
      <c r="BK56" s="546">
        <f t="shared" si="23"/>
        <v>108</v>
      </c>
      <c r="BL56" s="551">
        <f t="shared" si="24"/>
        <v>109.0550508469293</v>
      </c>
      <c r="BM56" s="553">
        <f>BL56/PI()*SQRT('Hilfstabellen_Mat&amp;Bem'!f.Rd.3/'Hilfstabellen_Mat&amp;Bem'!$BD$30)</f>
        <v>1.7356650411426788</v>
      </c>
      <c r="BN56" s="553">
        <f>0.5*(1+'Hilfstabellen_Mat&amp;Bem'!$BD$31*(BM56-0.3)+BM56^2)</f>
        <v>2.0780498195795425</v>
      </c>
      <c r="BO56" s="550">
        <f t="shared" si="25"/>
        <v>0.31048693189295201</v>
      </c>
      <c r="BQ56" s="551">
        <f t="shared" si="26"/>
        <v>3621.5195735993921</v>
      </c>
      <c r="BT56" s="547">
        <f>'Hilfstabellen_Mat&amp;Bem'!$J$58</f>
        <v>3.5</v>
      </c>
      <c r="BU56" s="546">
        <f t="shared" si="27"/>
        <v>108</v>
      </c>
      <c r="BV56" s="551">
        <f t="shared" si="28"/>
        <v>112.26255234242721</v>
      </c>
      <c r="BW56" s="553">
        <f>BV56/PI()*SQRT('Hilfstabellen_Mat&amp;Bem'!f.Rd.3/'Hilfstabellen_Mat&amp;Bem'!$BD$30)</f>
        <v>1.7867140129409926</v>
      </c>
      <c r="BX56" s="553">
        <f>0.5*(1+'Hilfstabellen_Mat&amp;Bem'!$BD$31*(BW56-0.3)+BW56^2)</f>
        <v>2.1705091826669025</v>
      </c>
      <c r="BY56" s="550">
        <f t="shared" si="29"/>
        <v>0.29386783593598781</v>
      </c>
      <c r="CA56" s="551">
        <f t="shared" si="30"/>
        <v>3427.6744383573619</v>
      </c>
      <c r="CD56" s="547">
        <f>'Hilfstabellen_Mat&amp;Bem'!$J$59</f>
        <v>3.6</v>
      </c>
      <c r="CE56" s="546">
        <f t="shared" si="31"/>
        <v>108</v>
      </c>
      <c r="CF56" s="551">
        <f t="shared" si="32"/>
        <v>115.47005383792515</v>
      </c>
      <c r="CG56" s="553">
        <f>CF56/PI()*SQRT('Hilfstabellen_Mat&amp;Bem'!f.Rd.3/'Hilfstabellen_Mat&amp;Bem'!$BD$30)</f>
        <v>1.8377629847393071</v>
      </c>
      <c r="CH56" s="553">
        <f>0.5*(1+'Hilfstabellen_Mat&amp;Bem'!$BD$31*(CG56-0.3)+CG56^2)</f>
        <v>2.2655745432759287</v>
      </c>
      <c r="CI56" s="550">
        <f t="shared" si="33"/>
        <v>0.27851192942466541</v>
      </c>
      <c r="CK56" s="551">
        <f t="shared" si="34"/>
        <v>3248.5631448092972</v>
      </c>
      <c r="CN56" s="547">
        <f>'Hilfstabellen_Mat&amp;Bem'!$J$60</f>
        <v>3.7</v>
      </c>
      <c r="CO56" s="546">
        <f t="shared" si="35"/>
        <v>108</v>
      </c>
      <c r="CP56" s="551">
        <f t="shared" si="36"/>
        <v>118.67755533342307</v>
      </c>
      <c r="CQ56" s="553">
        <f>CP56/PI()*SQRT('Hilfstabellen_Mat&amp;Bem'!f.Rd.3/'Hilfstabellen_Mat&amp;Bem'!$BD$30)</f>
        <v>1.8888119565376211</v>
      </c>
      <c r="CR56" s="553">
        <f>0.5*(1+'Hilfstabellen_Mat&amp;Bem'!$BD$31*(CQ56-0.3)+CQ56^2)</f>
        <v>2.3632459014066192</v>
      </c>
      <c r="CS56" s="550">
        <f t="shared" si="37"/>
        <v>0.26430064633018291</v>
      </c>
      <c r="CU56" s="551">
        <f t="shared" si="38"/>
        <v>3082.8027387952534</v>
      </c>
      <c r="CX56" s="547">
        <f>'Hilfstabellen_Mat&amp;Bem'!$J$61</f>
        <v>3.8</v>
      </c>
      <c r="CY56" s="546">
        <f t="shared" si="39"/>
        <v>108</v>
      </c>
      <c r="CZ56" s="551">
        <f t="shared" si="40"/>
        <v>121.88505682892098</v>
      </c>
      <c r="DA56" s="553">
        <f>CZ56/PI()*SQRT('Hilfstabellen_Mat&amp;Bem'!f.Rd.3/'Hilfstabellen_Mat&amp;Bem'!$BD$30)</f>
        <v>1.9398609283359349</v>
      </c>
      <c r="DB56" s="553">
        <f>0.5*(1+'Hilfstabellen_Mat&amp;Bem'!$BD$31*(DA56-0.3)+DA56^2)</f>
        <v>2.4635232570589745</v>
      </c>
      <c r="DC56" s="550">
        <f t="shared" si="41"/>
        <v>0.25112770150697467</v>
      </c>
      <c r="DE56" s="551">
        <f t="shared" si="42"/>
        <v>2929.1535103773526</v>
      </c>
      <c r="DH56" s="547">
        <f>'Hilfstabellen_Mat&amp;Bem'!$J$62</f>
        <v>3.9</v>
      </c>
      <c r="DI56" s="546">
        <f t="shared" si="43"/>
        <v>108</v>
      </c>
      <c r="DJ56" s="551">
        <f t="shared" si="44"/>
        <v>125.09255832441892</v>
      </c>
      <c r="DK56" s="553">
        <f>DJ56/PI()*SQRT('Hilfstabellen_Mat&amp;Bem'!f.Rd.3/'Hilfstabellen_Mat&amp;Bem'!$BD$30)</f>
        <v>1.9909099001342492</v>
      </c>
      <c r="DL56" s="553">
        <f>0.5*(1+'Hilfstabellen_Mat&amp;Bem'!$BD$31*(DK56-0.3)+DK56^2)</f>
        <v>2.5664066102329954</v>
      </c>
      <c r="DM56" s="550">
        <f t="shared" si="45"/>
        <v>0.23889792305570862</v>
      </c>
      <c r="DO56" s="551">
        <f t="shared" si="46"/>
        <v>2786.5053745217851</v>
      </c>
      <c r="DR56" s="547">
        <f>'Hilfstabellen_Mat&amp;Bem'!$J$63</f>
        <v>4</v>
      </c>
      <c r="DS56" s="546">
        <f t="shared" si="47"/>
        <v>108</v>
      </c>
      <c r="DT56" s="551">
        <f t="shared" si="48"/>
        <v>128.30005981991684</v>
      </c>
      <c r="DU56" s="553">
        <f>DT56/PI()*SQRT('Hilfstabellen_Mat&amp;Bem'!f.Rd.3/'Hilfstabellen_Mat&amp;Bem'!$BD$30)</f>
        <v>2.0419588719325632</v>
      </c>
      <c r="DV56" s="553">
        <f>0.5*(1+'Hilfstabellen_Mat&amp;Bem'!$BD$31*(DU56-0.3)+DU56^2)</f>
        <v>2.6718959609286808</v>
      </c>
      <c r="DW56" s="550">
        <f t="shared" si="49"/>
        <v>0.22752611115812574</v>
      </c>
      <c r="DY56" s="551">
        <f t="shared" si="50"/>
        <v>2653.8645605483784</v>
      </c>
      <c r="EB56" s="547">
        <f>'Hilfstabellen_Mat&amp;Bem'!$J$64</f>
        <v>4.0999999999999996</v>
      </c>
      <c r="EC56" s="546">
        <f t="shared" si="51"/>
        <v>108</v>
      </c>
      <c r="ED56" s="551">
        <f t="shared" si="52"/>
        <v>131.50756131541473</v>
      </c>
      <c r="EE56" s="553">
        <f>ED56/PI()*SQRT('Hilfstabellen_Mat&amp;Bem'!f.Rd.3/'Hilfstabellen_Mat&amp;Bem'!$BD$30)</f>
        <v>2.0930078437308768</v>
      </c>
      <c r="EF56" s="553">
        <f>0.5*(1+'Hilfstabellen_Mat&amp;Bem'!$BD$31*(EE56-0.3)+EE56^2)</f>
        <v>2.7799913091460309</v>
      </c>
      <c r="EG56" s="550">
        <f t="shared" si="53"/>
        <v>0.21693596658409509</v>
      </c>
      <c r="EI56" s="551">
        <f t="shared" si="54"/>
        <v>2530.341114236885</v>
      </c>
      <c r="EL56" s="547">
        <f>'Hilfstabellen_Mat&amp;Bem'!$J$65</f>
        <v>4.2</v>
      </c>
      <c r="EM56" s="546">
        <f t="shared" si="55"/>
        <v>108</v>
      </c>
      <c r="EN56" s="551">
        <f t="shared" si="56"/>
        <v>134.71506281091266</v>
      </c>
      <c r="EO56" s="553">
        <f>EN56/PI()*SQRT('Hilfstabellen_Mat&amp;Bem'!f.Rd.3/'Hilfstabellen_Mat&amp;Bem'!$BD$30)</f>
        <v>2.1440568155291913</v>
      </c>
      <c r="EP56" s="553">
        <f>0.5*(1+'Hilfstabellen_Mat&amp;Bem'!$BD$31*(EO56-0.3)+EO56^2)</f>
        <v>2.8906926548850476</v>
      </c>
      <c r="EQ56" s="550">
        <f t="shared" si="57"/>
        <v>0.20705910858525886</v>
      </c>
      <c r="ES56" s="551">
        <f t="shared" si="58"/>
        <v>2415.1374425384593</v>
      </c>
    </row>
    <row r="57" spans="3:149">
      <c r="C57" s="546">
        <v>109</v>
      </c>
      <c r="D57" s="551">
        <f t="shared" si="8"/>
        <v>88.986096535648727</v>
      </c>
      <c r="E57" s="553">
        <f>$D57/PI()*SQRT('Hilfstabellen_Mat&amp;Bem'!f.Rd.3/'Hilfstabellen_Mat&amp;Bem'!$BD$30)</f>
        <v>1.4162577130101079</v>
      </c>
      <c r="F57" s="553">
        <f>0.5*(1+'Hilfstabellen_Mat&amp;Bem'!$BD$31*($E57-0.3)+$E57^2)</f>
        <v>1.5587058404808161</v>
      </c>
      <c r="G57" s="550">
        <f t="shared" si="9"/>
        <v>0.45255254366327075</v>
      </c>
      <c r="I57" s="551">
        <f t="shared" si="59"/>
        <v>5376.7767712633195</v>
      </c>
      <c r="M57" s="546">
        <f t="shared" si="11"/>
        <v>109</v>
      </c>
      <c r="N57" s="551">
        <f t="shared" si="0"/>
        <v>92.164171411921899</v>
      </c>
      <c r="O57" s="553">
        <f>$N57/PI()*SQRT('Hilfstabellen_Mat&amp;Bem'!f.Rd.3/'Hilfstabellen_Mat&amp;Bem'!$BD$30)</f>
        <v>1.4668383456176119</v>
      </c>
      <c r="P57" s="553">
        <f>0.5*(1+'Hilfstabellen_Mat&amp;Bem'!$BD$31*($O57-0.3)+$O57^2)</f>
        <v>1.6341492833679869</v>
      </c>
      <c r="Q57" s="550">
        <f t="shared" si="1"/>
        <v>0.42472814105639978</v>
      </c>
      <c r="S57" s="551">
        <f t="shared" si="60"/>
        <v>5046.1950438910853</v>
      </c>
      <c r="W57" s="546">
        <f t="shared" si="13"/>
        <v>109</v>
      </c>
      <c r="X57" s="551">
        <f t="shared" si="2"/>
        <v>95.342246288195071</v>
      </c>
      <c r="Y57" s="553">
        <f>$X57/PI()*SQRT('Hilfstabellen_Mat&amp;Bem'!f.Rd.3/'Hilfstabellen_Mat&amp;Bem'!$BD$30)</f>
        <v>1.5174189782251157</v>
      </c>
      <c r="Z57" s="553">
        <f>0.5*(1+'Hilfstabellen_Mat&amp;Bem'!$BD$31*($Y57-0.3)+$Y57^2)</f>
        <v>1.7121511266501328</v>
      </c>
      <c r="AA57" s="550">
        <f t="shared" si="3"/>
        <v>0.39917227769401442</v>
      </c>
      <c r="AC57" s="551">
        <f t="shared" si="61"/>
        <v>4742.5658312825853</v>
      </c>
      <c r="AG57" s="546">
        <f t="shared" si="15"/>
        <v>109</v>
      </c>
      <c r="AH57" s="551">
        <f t="shared" si="4"/>
        <v>98.520321164468243</v>
      </c>
      <c r="AI57" s="553">
        <f>$AH57/PI()*SQRT('Hilfstabellen_Mat&amp;Bem'!f.Rd.3/'Hilfstabellen_Mat&amp;Bem'!$BD$30)</f>
        <v>1.5679996108326195</v>
      </c>
      <c r="AJ57" s="553">
        <f>0.5*(1+'Hilfstabellen_Mat&amp;Bem'!$BD$31*($AI57-0.3)+$AI57^2)</f>
        <v>1.7927113703272541</v>
      </c>
      <c r="AK57" s="550">
        <f t="shared" si="5"/>
        <v>0.37569567692889455</v>
      </c>
      <c r="AM57" s="551">
        <f t="shared" si="62"/>
        <v>4463.6403375921964</v>
      </c>
      <c r="AQ57" s="546">
        <f t="shared" si="17"/>
        <v>109</v>
      </c>
      <c r="AR57" s="551">
        <f t="shared" si="6"/>
        <v>101.69839604074141</v>
      </c>
      <c r="AS57" s="553">
        <f>$AR57/PI()*SQRT('Hilfstabellen_Mat&amp;Bem'!f.Rd.3/'Hilfstabellen_Mat&amp;Bem'!$BD$30)</f>
        <v>1.6185802434401237</v>
      </c>
      <c r="AT57" s="553">
        <f>0.5*(1+'Hilfstabellen_Mat&amp;Bem'!$BD$31*($AS57-0.3)+$AS57^2)</f>
        <v>1.8758300143993514</v>
      </c>
      <c r="AU57" s="550">
        <f t="shared" si="7"/>
        <v>0.35411360556685856</v>
      </c>
      <c r="AW57" s="551">
        <f t="shared" si="63"/>
        <v>4207.2237477398467</v>
      </c>
      <c r="AZ57" s="547">
        <f>'Hilfstabellen_Mat&amp;Bem'!$J$56</f>
        <v>3.3</v>
      </c>
      <c r="BA57" s="546">
        <f t="shared" si="19"/>
        <v>109</v>
      </c>
      <c r="BB57" s="551">
        <f t="shared" si="20"/>
        <v>104.87647091701457</v>
      </c>
      <c r="BC57" s="553">
        <f>BB57/PI()*SQRT('Hilfstabellen_Mat&amp;Bem'!f.Rd.3/'Hilfstabellen_Mat&amp;Bem'!$BD$30)</f>
        <v>1.6691608760476271</v>
      </c>
      <c r="BD57" s="553">
        <f>0.5*(1+'Hilfstabellen_Mat&amp;Bem'!$BD$31*(BC57-0.3)+BC57^2)</f>
        <v>1.9615070588664223</v>
      </c>
      <c r="BE57" s="550">
        <f t="shared" si="21"/>
        <v>0.33425190997068699</v>
      </c>
      <c r="BG57" s="551">
        <f t="shared" si="22"/>
        <v>3971.2469423617322</v>
      </c>
      <c r="BJ57" s="547">
        <f>'Hilfstabellen_Mat&amp;Bem'!$J$57</f>
        <v>3.4</v>
      </c>
      <c r="BK57" s="546">
        <f t="shared" si="23"/>
        <v>109</v>
      </c>
      <c r="BL57" s="551">
        <f t="shared" si="24"/>
        <v>108.05454579328774</v>
      </c>
      <c r="BM57" s="553">
        <f>BL57/PI()*SQRT('Hilfstabellen_Mat&amp;Bem'!f.Rd.3/'Hilfstabellen_Mat&amp;Bem'!$BD$30)</f>
        <v>1.7197415086551311</v>
      </c>
      <c r="BN57" s="553">
        <f>0.5*(1+'Hilfstabellen_Mat&amp;Bem'!$BD$31*(BM57-0.3)+BM57^2)</f>
        <v>2.0497425037284698</v>
      </c>
      <c r="BO57" s="550">
        <f t="shared" si="25"/>
        <v>0.31594976062439073</v>
      </c>
      <c r="BQ57" s="551">
        <f t="shared" si="26"/>
        <v>3753.7991059783863</v>
      </c>
      <c r="BT57" s="547">
        <f>'Hilfstabellen_Mat&amp;Bem'!$J$58</f>
        <v>3.5</v>
      </c>
      <c r="BU57" s="546">
        <f t="shared" si="27"/>
        <v>109</v>
      </c>
      <c r="BV57" s="551">
        <f t="shared" si="28"/>
        <v>111.23262066956092</v>
      </c>
      <c r="BW57" s="553">
        <f>BV57/PI()*SQRT('Hilfstabellen_Mat&amp;Bem'!f.Rd.3/'Hilfstabellen_Mat&amp;Bem'!$BD$30)</f>
        <v>1.7703221412626349</v>
      </c>
      <c r="BX57" s="553">
        <f>0.5*(1+'Hilfstabellen_Mat&amp;Bem'!$BD$31*(BW57-0.3)+BW57^2)</f>
        <v>2.1405363489854921</v>
      </c>
      <c r="BY57" s="550">
        <f t="shared" si="29"/>
        <v>0.29906050400022355</v>
      </c>
      <c r="CA57" s="551">
        <f t="shared" si="30"/>
        <v>3553.1378480266558</v>
      </c>
      <c r="CD57" s="547">
        <f>'Hilfstabellen_Mat&amp;Bem'!$J$59</f>
        <v>3.6</v>
      </c>
      <c r="CE57" s="546">
        <f t="shared" si="31"/>
        <v>109</v>
      </c>
      <c r="CF57" s="551">
        <f t="shared" si="32"/>
        <v>114.41069554583409</v>
      </c>
      <c r="CG57" s="553">
        <f>CF57/PI()*SQRT('Hilfstabellen_Mat&amp;Bem'!f.Rd.3/'Hilfstabellen_Mat&amp;Bem'!$BD$30)</f>
        <v>1.8209027738701389</v>
      </c>
      <c r="CH57" s="553">
        <f>0.5*(1+'Hilfstabellen_Mat&amp;Bem'!$BD$31*(CG57-0.3)+CG57^2)</f>
        <v>2.2338885946374898</v>
      </c>
      <c r="CI57" s="550">
        <f t="shared" si="33"/>
        <v>0.28345146117054015</v>
      </c>
      <c r="CK57" s="551">
        <f t="shared" si="34"/>
        <v>3367.6868101671876</v>
      </c>
      <c r="CN57" s="547">
        <f>'Hilfstabellen_Mat&amp;Bem'!$J$60</f>
        <v>3.7</v>
      </c>
      <c r="CO57" s="546">
        <f t="shared" si="35"/>
        <v>109</v>
      </c>
      <c r="CP57" s="551">
        <f t="shared" si="36"/>
        <v>117.58877042210725</v>
      </c>
      <c r="CQ57" s="553">
        <f>CP57/PI()*SQRT('Hilfstabellen_Mat&amp;Bem'!f.Rd.3/'Hilfstabellen_Mat&amp;Bem'!$BD$30)</f>
        <v>1.8714834064776427</v>
      </c>
      <c r="CR57" s="553">
        <f>0.5*(1+'Hilfstabellen_Mat&amp;Bem'!$BD$31*(CQ57-0.3)+CQ57^2)</f>
        <v>2.329799240684463</v>
      </c>
      <c r="CS57" s="550">
        <f t="shared" si="37"/>
        <v>0.26900317199661061</v>
      </c>
      <c r="CU57" s="551">
        <f t="shared" si="38"/>
        <v>3196.0266864917307</v>
      </c>
      <c r="CX57" s="547">
        <f>'Hilfstabellen_Mat&amp;Bem'!$J$61</f>
        <v>3.8</v>
      </c>
      <c r="CY57" s="546">
        <f t="shared" si="39"/>
        <v>109</v>
      </c>
      <c r="CZ57" s="551">
        <f t="shared" si="40"/>
        <v>120.76684529838042</v>
      </c>
      <c r="DA57" s="553">
        <f>CZ57/PI()*SQRT('Hilfstabellen_Mat&amp;Bem'!f.Rd.3/'Hilfstabellen_Mat&amp;Bem'!$BD$30)</f>
        <v>1.9220640390851464</v>
      </c>
      <c r="DB57" s="553">
        <f>0.5*(1+'Hilfstabellen_Mat&amp;Bem'!$BD$31*(DA57-0.3)+DA57^2)</f>
        <v>2.4282682871264112</v>
      </c>
      <c r="DC57" s="550">
        <f t="shared" si="41"/>
        <v>0.25560837811316833</v>
      </c>
      <c r="DE57" s="551">
        <f t="shared" si="42"/>
        <v>3036.8831403625531</v>
      </c>
      <c r="DH57" s="547">
        <f>'Hilfstabellen_Mat&amp;Bem'!$J$62</f>
        <v>3.9</v>
      </c>
      <c r="DI57" s="546">
        <f t="shared" si="43"/>
        <v>109</v>
      </c>
      <c r="DJ57" s="551">
        <f t="shared" si="44"/>
        <v>123.94492017465359</v>
      </c>
      <c r="DK57" s="553">
        <f>DJ57/PI()*SQRT('Hilfstabellen_Mat&amp;Bem'!f.Rd.3/'Hilfstabellen_Mat&amp;Bem'!$BD$30)</f>
        <v>1.9726446716926505</v>
      </c>
      <c r="DL57" s="553">
        <f>0.5*(1+'Hilfstabellen_Mat&amp;Bem'!$BD$31*(DK57-0.3)+DK57^2)</f>
        <v>2.5292957339633348</v>
      </c>
      <c r="DM57" s="550">
        <f t="shared" si="45"/>
        <v>0.24317091428776488</v>
      </c>
      <c r="DO57" s="551">
        <f t="shared" si="46"/>
        <v>2889.1136326529345</v>
      </c>
      <c r="DR57" s="547">
        <f>'Hilfstabellen_Mat&amp;Bem'!$J$63</f>
        <v>4</v>
      </c>
      <c r="DS57" s="546">
        <f t="shared" si="47"/>
        <v>109</v>
      </c>
      <c r="DT57" s="551">
        <f t="shared" si="48"/>
        <v>127.12299505092676</v>
      </c>
      <c r="DU57" s="553">
        <f>DT57/PI()*SQRT('Hilfstabellen_Mat&amp;Bem'!f.Rd.3/'Hilfstabellen_Mat&amp;Bem'!$BD$30)</f>
        <v>2.0232253043001545</v>
      </c>
      <c r="DV57" s="553">
        <f>0.5*(1+'Hilfstabellen_Mat&amp;Bem'!$BD$31*(DU57-0.3)+DU57^2)</f>
        <v>2.6328815811952344</v>
      </c>
      <c r="DW57" s="550">
        <f t="shared" si="49"/>
        <v>0.2316046035867618</v>
      </c>
      <c r="DY57" s="551">
        <f t="shared" si="50"/>
        <v>2751.6942952143168</v>
      </c>
      <c r="EB57" s="547">
        <f>'Hilfstabellen_Mat&amp;Bem'!$J$64</f>
        <v>4.0999999999999996</v>
      </c>
      <c r="EC57" s="546">
        <f t="shared" si="51"/>
        <v>109</v>
      </c>
      <c r="ED57" s="551">
        <f t="shared" si="52"/>
        <v>130.30106992719993</v>
      </c>
      <c r="EE57" s="553">
        <f>ED57/PI()*SQRT('Hilfstabellen_Mat&amp;Bem'!f.Rd.3/'Hilfstabellen_Mat&amp;Bem'!$BD$30)</f>
        <v>2.0738059369076582</v>
      </c>
      <c r="EF57" s="553">
        <f>0.5*(1+'Hilfstabellen_Mat&amp;Bem'!$BD$31*(EE57-0.3)+EE57^2)</f>
        <v>2.7390258288221077</v>
      </c>
      <c r="EG57" s="550">
        <f t="shared" si="53"/>
        <v>0.22083220749048463</v>
      </c>
      <c r="EI57" s="551">
        <f t="shared" si="54"/>
        <v>2623.7074571944477</v>
      </c>
      <c r="EL57" s="547">
        <f>'Hilfstabellen_Mat&amp;Bem'!$J$65</f>
        <v>4.2</v>
      </c>
      <c r="EM57" s="546">
        <f t="shared" si="55"/>
        <v>109</v>
      </c>
      <c r="EN57" s="551">
        <f t="shared" si="56"/>
        <v>133.4791448034731</v>
      </c>
      <c r="EO57" s="553">
        <f>EN57/PI()*SQRT('Hilfstabellen_Mat&amp;Bem'!f.Rd.3/'Hilfstabellen_Mat&amp;Bem'!$BD$30)</f>
        <v>2.124386569515162</v>
      </c>
      <c r="EP57" s="553">
        <f>0.5*(1+'Hilfstabellen_Mat&amp;Bem'!$BD$31*(EO57-0.3)+EO57^2)</f>
        <v>2.8477284768439572</v>
      </c>
      <c r="EQ57" s="550">
        <f t="shared" si="57"/>
        <v>0.21078445584474217</v>
      </c>
      <c r="ES57" s="551">
        <f t="shared" si="58"/>
        <v>2504.3301198913819</v>
      </c>
    </row>
    <row r="58" spans="3:149">
      <c r="C58" s="546">
        <v>110</v>
      </c>
      <c r="D58" s="551">
        <f t="shared" si="8"/>
        <v>88.177132021688294</v>
      </c>
      <c r="E58" s="553">
        <f>$D58/PI()*SQRT('Hilfstabellen_Mat&amp;Bem'!f.Rd.3/'Hilfstabellen_Mat&amp;Bem'!$BD$30)</f>
        <v>1.4033826428918343</v>
      </c>
      <c r="F58" s="553">
        <f>0.5*(1+'Hilfstabellen_Mat&amp;Bem'!$BD$31*($E58-0.3)+$E58^2)</f>
        <v>1.5399105533296267</v>
      </c>
      <c r="G58" s="550">
        <f t="shared" si="9"/>
        <v>0.46001960817132764</v>
      </c>
      <c r="I58" s="551">
        <f t="shared" si="59"/>
        <v>5566.2372588730641</v>
      </c>
      <c r="M58" s="546">
        <f t="shared" si="11"/>
        <v>110</v>
      </c>
      <c r="N58" s="551">
        <f t="shared" si="0"/>
        <v>91.326315308177158</v>
      </c>
      <c r="O58" s="553">
        <f>$N58/PI()*SQRT('Hilfstabellen_Mat&amp;Bem'!f.Rd.3/'Hilfstabellen_Mat&amp;Bem'!$BD$30)</f>
        <v>1.4535034515665428</v>
      </c>
      <c r="P58" s="553">
        <f>0.5*(1+'Hilfstabellen_Mat&amp;Bem'!$BD$31*($O58-0.3)+$O58^2)</f>
        <v>1.6140113144362538</v>
      </c>
      <c r="Q58" s="550">
        <f t="shared" si="1"/>
        <v>0.43183576622292846</v>
      </c>
      <c r="S58" s="551">
        <f t="shared" si="60"/>
        <v>5225.2127712974343</v>
      </c>
      <c r="W58" s="546">
        <f t="shared" si="13"/>
        <v>110</v>
      </c>
      <c r="X58" s="551">
        <f t="shared" si="2"/>
        <v>94.475498594666036</v>
      </c>
      <c r="Y58" s="553">
        <f>$X58/PI()*SQRT('Hilfstabellen_Mat&amp;Bem'!f.Rd.3/'Hilfstabellen_Mat&amp;Bem'!$BD$30)</f>
        <v>1.5036242602412511</v>
      </c>
      <c r="Z58" s="553">
        <f>0.5*(1+'Hilfstabellen_Mat&amp;Bem'!$BD$31*($Y58-0.3)+$Y58^2)</f>
        <v>1.6906241710050876</v>
      </c>
      <c r="AA58" s="550">
        <f t="shared" si="3"/>
        <v>0.40592789982641769</v>
      </c>
      <c r="AC58" s="551">
        <f t="shared" si="61"/>
        <v>4911.7275878996543</v>
      </c>
      <c r="AG58" s="546">
        <f t="shared" si="15"/>
        <v>110</v>
      </c>
      <c r="AH58" s="551">
        <f t="shared" si="4"/>
        <v>97.624681881154899</v>
      </c>
      <c r="AI58" s="553">
        <f>$AH58/PI()*SQRT('Hilfstabellen_Mat&amp;Bem'!f.Rd.3/'Hilfstabellen_Mat&amp;Bem'!$BD$30)</f>
        <v>1.5537450689159595</v>
      </c>
      <c r="AJ58" s="553">
        <f>0.5*(1+'Hilfstabellen_Mat&amp;Bem'!$BD$31*($AI58-0.3)+$AI58^2)</f>
        <v>1.769749123036128</v>
      </c>
      <c r="AK58" s="550">
        <f t="shared" si="5"/>
        <v>0.38211226008773724</v>
      </c>
      <c r="AM58" s="551">
        <f t="shared" si="62"/>
        <v>4623.5583470616202</v>
      </c>
      <c r="AQ58" s="546">
        <f t="shared" si="17"/>
        <v>110</v>
      </c>
      <c r="AR58" s="551">
        <f t="shared" si="6"/>
        <v>100.77386516764376</v>
      </c>
      <c r="AS58" s="553">
        <f>$AR58/PI()*SQRT('Hilfstabellen_Mat&amp;Bem'!f.Rd.3/'Hilfstabellen_Mat&amp;Bem'!$BD$30)</f>
        <v>1.6038658775906676</v>
      </c>
      <c r="AT58" s="553">
        <f>0.5*(1+'Hilfstabellen_Mat&amp;Bem'!$BD$31*($AS58-0.3)+$AS58^2)</f>
        <v>1.8513861705293746</v>
      </c>
      <c r="AU58" s="550">
        <f t="shared" si="7"/>
        <v>0.36020709492307867</v>
      </c>
      <c r="AW58" s="551">
        <f t="shared" si="63"/>
        <v>4358.5058485692516</v>
      </c>
      <c r="AZ58" s="547">
        <f>'Hilfstabellen_Mat&amp;Bem'!$J$56</f>
        <v>3.3</v>
      </c>
      <c r="BA58" s="546">
        <f t="shared" si="19"/>
        <v>110</v>
      </c>
      <c r="BB58" s="551">
        <f t="shared" si="20"/>
        <v>103.92304845413263</v>
      </c>
      <c r="BC58" s="553">
        <f>BB58/PI()*SQRT('Hilfstabellen_Mat&amp;Bem'!f.Rd.3/'Hilfstabellen_Mat&amp;Bem'!$BD$30)</f>
        <v>1.653986686265376</v>
      </c>
      <c r="BD58" s="553">
        <f>0.5*(1+'Hilfstabellen_Mat&amp;Bem'!$BD$31*(BC58-0.3)+BC58^2)</f>
        <v>1.9355353134848285</v>
      </c>
      <c r="BE58" s="550">
        <f t="shared" si="21"/>
        <v>0.34003962053241865</v>
      </c>
      <c r="BG58" s="551">
        <f t="shared" si="22"/>
        <v>4114.4794084422656</v>
      </c>
      <c r="BJ58" s="547">
        <f>'Hilfstabellen_Mat&amp;Bem'!$J$57</f>
        <v>3.4</v>
      </c>
      <c r="BK58" s="546">
        <f t="shared" si="23"/>
        <v>110</v>
      </c>
      <c r="BL58" s="551">
        <f t="shared" si="24"/>
        <v>107.0722317406215</v>
      </c>
      <c r="BM58" s="553">
        <f>BL58/PI()*SQRT('Hilfstabellen_Mat&amp;Bem'!f.Rd.3/'Hilfstabellen_Mat&amp;Bem'!$BD$30)</f>
        <v>1.7041074949400845</v>
      </c>
      <c r="BN58" s="553">
        <f>0.5*(1+'Hilfstabellen_Mat&amp;Bem'!$BD$31*(BM58-0.3)+BM58^2)</f>
        <v>2.0221965519024891</v>
      </c>
      <c r="BO58" s="550">
        <f t="shared" si="25"/>
        <v>0.32144937132660301</v>
      </c>
      <c r="BQ58" s="551">
        <f t="shared" si="26"/>
        <v>3889.5373930518963</v>
      </c>
      <c r="BT58" s="547">
        <f>'Hilfstabellen_Mat&amp;Bem'!$J$58</f>
        <v>3.5</v>
      </c>
      <c r="BU58" s="546">
        <f t="shared" si="27"/>
        <v>110</v>
      </c>
      <c r="BV58" s="551">
        <f t="shared" si="28"/>
        <v>110.22141502711037</v>
      </c>
      <c r="BW58" s="553">
        <f>BV58/PI()*SQRT('Hilfstabellen_Mat&amp;Bem'!f.Rd.3/'Hilfstabellen_Mat&amp;Bem'!$BD$30)</f>
        <v>1.754228303614793</v>
      </c>
      <c r="BX58" s="553">
        <f>0.5*(1+'Hilfstabellen_Mat&amp;Bem'!$BD$31*(BW58-0.3)+BW58^2)</f>
        <v>2.1113698857823566</v>
      </c>
      <c r="BY58" s="550">
        <f t="shared" si="29"/>
        <v>0.30428944197667712</v>
      </c>
      <c r="CA58" s="551">
        <f t="shared" si="30"/>
        <v>3681.9022479177934</v>
      </c>
      <c r="CD58" s="547">
        <f>'Hilfstabellen_Mat&amp;Bem'!$J$59</f>
        <v>3.6</v>
      </c>
      <c r="CE58" s="546">
        <f t="shared" si="31"/>
        <v>110</v>
      </c>
      <c r="CF58" s="551">
        <f t="shared" si="32"/>
        <v>113.37059831359923</v>
      </c>
      <c r="CG58" s="553">
        <f>CF58/PI()*SQRT('Hilfstabellen_Mat&amp;Bem'!f.Rd.3/'Hilfstabellen_Mat&amp;Bem'!$BD$30)</f>
        <v>1.8043491122895015</v>
      </c>
      <c r="CH58" s="553">
        <f>0.5*(1+'Hilfstabellen_Mat&amp;Bem'!$BD$31*(CG58-0.3)+CG58^2)</f>
        <v>2.2030553151244314</v>
      </c>
      <c r="CI58" s="550">
        <f t="shared" si="33"/>
        <v>0.28842653705502802</v>
      </c>
      <c r="CK58" s="551">
        <f t="shared" si="34"/>
        <v>3489.961098365839</v>
      </c>
      <c r="CN58" s="547">
        <f>'Hilfstabellen_Mat&amp;Bem'!$J$60</f>
        <v>3.7</v>
      </c>
      <c r="CO58" s="546">
        <f t="shared" si="35"/>
        <v>110</v>
      </c>
      <c r="CP58" s="551">
        <f t="shared" si="36"/>
        <v>116.51978160008809</v>
      </c>
      <c r="CQ58" s="553">
        <f>CP58/PI()*SQRT('Hilfstabellen_Mat&amp;Bem'!f.Rd.3/'Hilfstabellen_Mat&amp;Bem'!$BD$30)</f>
        <v>1.8544699209642095</v>
      </c>
      <c r="CR58" s="553">
        <f>0.5*(1+'Hilfstabellen_Mat&amp;Bem'!$BD$31*(CQ58-0.3)+CQ58^2)</f>
        <v>2.2972528399287109</v>
      </c>
      <c r="CS58" s="550">
        <f t="shared" si="37"/>
        <v>0.27374037638419618</v>
      </c>
      <c r="CU58" s="551">
        <f t="shared" si="38"/>
        <v>3312.2585542487736</v>
      </c>
      <c r="CX58" s="547">
        <f>'Hilfstabellen_Mat&amp;Bem'!$J$61</f>
        <v>3.8</v>
      </c>
      <c r="CY58" s="546">
        <f t="shared" si="39"/>
        <v>110</v>
      </c>
      <c r="CZ58" s="551">
        <f t="shared" si="40"/>
        <v>119.66896488657697</v>
      </c>
      <c r="DA58" s="553">
        <f>CZ58/PI()*SQRT('Hilfstabellen_Mat&amp;Bem'!f.Rd.3/'Hilfstabellen_Mat&amp;Bem'!$BD$30)</f>
        <v>1.9045907296389182</v>
      </c>
      <c r="DB58" s="553">
        <f>0.5*(1+'Hilfstabellen_Mat&amp;Bem'!$BD$31*(DA58-0.3)+DA58^2)</f>
        <v>2.3939624601951994</v>
      </c>
      <c r="DC58" s="550">
        <f t="shared" si="41"/>
        <v>0.26012278102735398</v>
      </c>
      <c r="DE58" s="551">
        <f t="shared" si="42"/>
        <v>3147.4856504309832</v>
      </c>
      <c r="DH58" s="547">
        <f>'Hilfstabellen_Mat&amp;Bem'!$J$62</f>
        <v>3.9</v>
      </c>
      <c r="DI58" s="546">
        <f t="shared" si="43"/>
        <v>110</v>
      </c>
      <c r="DJ58" s="551">
        <f t="shared" si="44"/>
        <v>122.81814817306584</v>
      </c>
      <c r="DK58" s="553">
        <f>DJ58/PI()*SQRT('Hilfstabellen_Mat&amp;Bem'!f.Rd.3/'Hilfstabellen_Mat&amp;Bem'!$BD$30)</f>
        <v>1.9547115383136262</v>
      </c>
      <c r="DL58" s="553">
        <f>0.5*(1+'Hilfstabellen_Mat&amp;Bem'!$BD$31*(DK58-0.3)+DK58^2)</f>
        <v>2.4931841759238926</v>
      </c>
      <c r="DM58" s="550">
        <f t="shared" si="45"/>
        <v>0.24747662990531716</v>
      </c>
      <c r="DO58" s="551">
        <f t="shared" si="46"/>
        <v>2994.4672218543378</v>
      </c>
      <c r="DR58" s="547">
        <f>'Hilfstabellen_Mat&amp;Bem'!$J$63</f>
        <v>4</v>
      </c>
      <c r="DS58" s="546">
        <f t="shared" si="47"/>
        <v>110</v>
      </c>
      <c r="DT58" s="551">
        <f t="shared" si="48"/>
        <v>125.96733145955471</v>
      </c>
      <c r="DU58" s="553">
        <f>DT58/PI()*SQRT('Hilfstabellen_Mat&amp;Bem'!f.Rd.3/'Hilfstabellen_Mat&amp;Bem'!$BD$30)</f>
        <v>2.0048323469883349</v>
      </c>
      <c r="DV58" s="553">
        <f>0.5*(1+'Hilfstabellen_Mat&amp;Bem'!$BD$31*(DU58-0.3)+DU58^2)</f>
        <v>2.5949179871147945</v>
      </c>
      <c r="DW58" s="550">
        <f t="shared" si="49"/>
        <v>0.23571479564656136</v>
      </c>
      <c r="DY58" s="551">
        <f t="shared" si="50"/>
        <v>2852.1490273233926</v>
      </c>
      <c r="EB58" s="547">
        <f>'Hilfstabellen_Mat&amp;Bem'!$J$64</f>
        <v>4.0999999999999996</v>
      </c>
      <c r="EC58" s="546">
        <f t="shared" si="51"/>
        <v>110</v>
      </c>
      <c r="ED58" s="551">
        <f t="shared" si="52"/>
        <v>129.11651474604358</v>
      </c>
      <c r="EE58" s="553">
        <f>ED58/PI()*SQRT('Hilfstabellen_Mat&amp;Bem'!f.Rd.3/'Hilfstabellen_Mat&amp;Bem'!$BD$30)</f>
        <v>2.0549531556630432</v>
      </c>
      <c r="EF58" s="553">
        <f>0.5*(1+'Hilfstabellen_Mat&amp;Bem'!$BD$31*(EE58-0.3)+EE58^2)</f>
        <v>2.6991638937679019</v>
      </c>
      <c r="EG58" s="550">
        <f t="shared" si="53"/>
        <v>0.22475911936255169</v>
      </c>
      <c r="EI58" s="551">
        <f t="shared" si="54"/>
        <v>2719.5853442868756</v>
      </c>
      <c r="EL58" s="547">
        <f>'Hilfstabellen_Mat&amp;Bem'!$J$65</f>
        <v>4.2</v>
      </c>
      <c r="EM58" s="546">
        <f t="shared" si="55"/>
        <v>110</v>
      </c>
      <c r="EN58" s="551">
        <f t="shared" si="56"/>
        <v>132.26569803253244</v>
      </c>
      <c r="EO58" s="553">
        <f>EN58/PI()*SQRT('Hilfstabellen_Mat&amp;Bem'!f.Rd.3/'Hilfstabellen_Mat&amp;Bem'!$BD$30)</f>
        <v>2.1050739643377514</v>
      </c>
      <c r="EP58" s="553">
        <f>0.5*(1+'Hilfstabellen_Mat&amp;Bem'!$BD$31*(EO58-0.3)+EO58^2)</f>
        <v>2.8059218958832157</v>
      </c>
      <c r="EQ58" s="550">
        <f t="shared" si="57"/>
        <v>0.21453945481534237</v>
      </c>
      <c r="ES58" s="551">
        <f t="shared" si="58"/>
        <v>2595.9274032656426</v>
      </c>
    </row>
    <row r="59" spans="3:149">
      <c r="C59" s="546">
        <v>111</v>
      </c>
      <c r="D59" s="551">
        <f t="shared" si="8"/>
        <v>87.382743444916329</v>
      </c>
      <c r="E59" s="553">
        <f>$D59/PI()*SQRT('Hilfstabellen_Mat&amp;Bem'!f.Rd.3/'Hilfstabellen_Mat&amp;Bem'!$BD$30)</f>
        <v>1.3907395560189348</v>
      </c>
      <c r="F59" s="553">
        <f>0.5*(1+'Hilfstabellen_Mat&amp;Bem'!$BD$31*($E59-0.3)+$E59^2)</f>
        <v>1.5216152341388187</v>
      </c>
      <c r="G59" s="550">
        <f t="shared" si="9"/>
        <v>0.46750951622507081</v>
      </c>
      <c r="I59" s="551">
        <f t="shared" si="59"/>
        <v>5760.1847494090971</v>
      </c>
      <c r="M59" s="546">
        <f t="shared" si="11"/>
        <v>111</v>
      </c>
      <c r="N59" s="551">
        <f t="shared" si="0"/>
        <v>90.503555710806197</v>
      </c>
      <c r="O59" s="553">
        <f>$N59/PI()*SQRT('Hilfstabellen_Mat&amp;Bem'!f.Rd.3/'Hilfstabellen_Mat&amp;Bem'!$BD$30)</f>
        <v>1.4404088258767542</v>
      </c>
      <c r="P59" s="553">
        <f>0.5*(1+'Hilfstabellen_Mat&amp;Bem'!$BD$31*($O59-0.3)+$O59^2)</f>
        <v>1.5944092341256626</v>
      </c>
      <c r="Q59" s="550">
        <f t="shared" si="1"/>
        <v>0.43897213584340455</v>
      </c>
      <c r="S59" s="551">
        <f t="shared" si="60"/>
        <v>5408.5756857265878</v>
      </c>
      <c r="W59" s="546">
        <f t="shared" si="13"/>
        <v>111</v>
      </c>
      <c r="X59" s="551">
        <f t="shared" si="2"/>
        <v>93.624367976696064</v>
      </c>
      <c r="Y59" s="553">
        <f>$X59/PI()*SQRT('Hilfstabellen_Mat&amp;Bem'!f.Rd.3/'Hilfstabellen_Mat&amp;Bem'!$BD$30)</f>
        <v>1.4900780957345732</v>
      </c>
      <c r="Z59" s="553">
        <f>0.5*(1+'Hilfstabellen_Mat&amp;Bem'!$BD$31*($Y59-0.3)+$Y59^2)</f>
        <v>1.6696702704807147</v>
      </c>
      <c r="AA59" s="550">
        <f t="shared" si="3"/>
        <v>0.41271599170744167</v>
      </c>
      <c r="AC59" s="551">
        <f t="shared" si="61"/>
        <v>5085.0737338273884</v>
      </c>
      <c r="AG59" s="546">
        <f t="shared" si="15"/>
        <v>111</v>
      </c>
      <c r="AH59" s="551">
        <f t="shared" si="4"/>
        <v>96.745180242585931</v>
      </c>
      <c r="AI59" s="553">
        <f>$AH59/PI()*SQRT('Hilfstabellen_Mat&amp;Bem'!f.Rd.3/'Hilfstabellen_Mat&amp;Bem'!$BD$30)</f>
        <v>1.5397473655923921</v>
      </c>
      <c r="AJ59" s="553">
        <f>0.5*(1+'Hilfstabellen_Mat&amp;Bem'!$BD$31*($AI59-0.3)+$AI59^2)</f>
        <v>1.7473983432039755</v>
      </c>
      <c r="AK59" s="550">
        <f t="shared" si="5"/>
        <v>0.38856352645315601</v>
      </c>
      <c r="AM59" s="551">
        <f t="shared" si="62"/>
        <v>4787.491209429335</v>
      </c>
      <c r="AQ59" s="546">
        <f t="shared" si="17"/>
        <v>111</v>
      </c>
      <c r="AR59" s="551">
        <f t="shared" si="6"/>
        <v>99.865992508475799</v>
      </c>
      <c r="AS59" s="553">
        <f>$AR59/PI()*SQRT('Hilfstabellen_Mat&amp;Bem'!f.Rd.3/'Hilfstabellen_Mat&amp;Bem'!$BD$30)</f>
        <v>1.5894166354502113</v>
      </c>
      <c r="AT59" s="553">
        <f>0.5*(1+'Hilfstabellen_Mat&amp;Bem'!$BD$31*($AS59-0.3)+$AS59^2)</f>
        <v>1.8275934522954453</v>
      </c>
      <c r="AU59" s="550">
        <f t="shared" si="7"/>
        <v>0.36633643114332559</v>
      </c>
      <c r="AW59" s="551">
        <f t="shared" si="63"/>
        <v>4513.6311681169145</v>
      </c>
      <c r="AZ59" s="547">
        <f>'Hilfstabellen_Mat&amp;Bem'!$J$56</f>
        <v>3.3</v>
      </c>
      <c r="BA59" s="546">
        <f t="shared" si="19"/>
        <v>111</v>
      </c>
      <c r="BB59" s="551">
        <f t="shared" si="20"/>
        <v>102.98680477436567</v>
      </c>
      <c r="BC59" s="553">
        <f>BB59/PI()*SQRT('Hilfstabellen_Mat&amp;Bem'!f.Rd.3/'Hilfstabellen_Mat&amp;Bem'!$BD$30)</f>
        <v>1.6390859053080302</v>
      </c>
      <c r="BD59" s="553">
        <f>0.5*(1+'Hilfstabellen_Mat&amp;Bem'!$BD$31*(BC59-0.3)+BC59^2)</f>
        <v>1.9102555977551239</v>
      </c>
      <c r="BE59" s="550">
        <f t="shared" si="21"/>
        <v>0.34586361341736516</v>
      </c>
      <c r="BG59" s="551">
        <f t="shared" si="22"/>
        <v>4261.3855809153565</v>
      </c>
      <c r="BJ59" s="547">
        <f>'Hilfstabellen_Mat&amp;Bem'!$J$57</f>
        <v>3.4</v>
      </c>
      <c r="BK59" s="546">
        <f t="shared" si="23"/>
        <v>111</v>
      </c>
      <c r="BL59" s="551">
        <f t="shared" si="24"/>
        <v>106.10761704025553</v>
      </c>
      <c r="BM59" s="553">
        <f>BL59/PI()*SQRT('Hilfstabellen_Mat&amp;Bem'!f.Rd.3/'Hilfstabellen_Mat&amp;Bem'!$BD$30)</f>
        <v>1.6887551751658496</v>
      </c>
      <c r="BN59" s="553">
        <f>0.5*(1+'Hilfstabellen_Mat&amp;Bem'!$BD$31*(BM59-0.3)+BM59^2)</f>
        <v>1.9953847795830124</v>
      </c>
      <c r="BO59" s="550">
        <f t="shared" si="25"/>
        <v>0.32698519628058814</v>
      </c>
      <c r="BQ59" s="551">
        <f t="shared" si="26"/>
        <v>4028.7846033731266</v>
      </c>
      <c r="BT59" s="547">
        <f>'Hilfstabellen_Mat&amp;Bem'!$J$58</f>
        <v>3.5</v>
      </c>
      <c r="BU59" s="546">
        <f t="shared" si="27"/>
        <v>111</v>
      </c>
      <c r="BV59" s="551">
        <f t="shared" si="28"/>
        <v>109.2284293061454</v>
      </c>
      <c r="BW59" s="553">
        <f>BV59/PI()*SQRT('Hilfstabellen_Mat&amp;Bem'!f.Rd.3/'Hilfstabellen_Mat&amp;Bem'!$BD$30)</f>
        <v>1.7384244450236688</v>
      </c>
      <c r="BX59" s="553">
        <f>0.5*(1+'Hilfstabellen_Mat&amp;Bem'!$BD$31*(BW59-0.3)+BW59^2)</f>
        <v>2.0829809977791087</v>
      </c>
      <c r="BY59" s="550">
        <f t="shared" si="29"/>
        <v>0.3095541803674875</v>
      </c>
      <c r="CA59" s="551">
        <f t="shared" si="30"/>
        <v>3814.0170563078136</v>
      </c>
      <c r="CD59" s="547">
        <f>'Hilfstabellen_Mat&amp;Bem'!$J$59</f>
        <v>3.6</v>
      </c>
      <c r="CE59" s="546">
        <f t="shared" si="31"/>
        <v>111</v>
      </c>
      <c r="CF59" s="551">
        <f t="shared" si="32"/>
        <v>112.34924157203528</v>
      </c>
      <c r="CG59" s="553">
        <f>CF59/PI()*SQRT('Hilfstabellen_Mat&amp;Bem'!f.Rd.3/'Hilfstabellen_Mat&amp;Bem'!$BD$30)</f>
        <v>1.7880937148814877</v>
      </c>
      <c r="CH59" s="553">
        <f>0.5*(1+'Hilfstabellen_Mat&amp;Bem'!$BD$31*(CG59-0.3)+CG59^2)</f>
        <v>2.1730442523434137</v>
      </c>
      <c r="CI59" s="550">
        <f t="shared" si="33"/>
        <v>0.29343676514145423</v>
      </c>
      <c r="CK59" s="551">
        <f t="shared" si="34"/>
        <v>3615.4343833078574</v>
      </c>
      <c r="CN59" s="547">
        <f>'Hilfstabellen_Mat&amp;Bem'!$J$60</f>
        <v>3.7</v>
      </c>
      <c r="CO59" s="546">
        <f t="shared" si="35"/>
        <v>111</v>
      </c>
      <c r="CP59" s="551">
        <f t="shared" si="36"/>
        <v>115.47005383792515</v>
      </c>
      <c r="CQ59" s="553">
        <f>CP59/PI()*SQRT('Hilfstabellen_Mat&amp;Bem'!f.Rd.3/'Hilfstabellen_Mat&amp;Bem'!$BD$30)</f>
        <v>1.8377629847393071</v>
      </c>
      <c r="CR59" s="553">
        <f>0.5*(1+'Hilfstabellen_Mat&amp;Bem'!$BD$31*(CQ59-0.3)+CQ59^2)</f>
        <v>2.2655745432759287</v>
      </c>
      <c r="CS59" s="550">
        <f t="shared" si="37"/>
        <v>0.27851192942466541</v>
      </c>
      <c r="CU59" s="551">
        <f t="shared" si="38"/>
        <v>3431.5454824413023</v>
      </c>
      <c r="CX59" s="547">
        <f>'Hilfstabellen_Mat&amp;Bem'!$J$61</f>
        <v>3.8</v>
      </c>
      <c r="CY59" s="546">
        <f t="shared" si="39"/>
        <v>111</v>
      </c>
      <c r="CZ59" s="551">
        <f t="shared" si="40"/>
        <v>118.59086610381502</v>
      </c>
      <c r="DA59" s="553">
        <f>CZ59/PI()*SQRT('Hilfstabellen_Mat&amp;Bem'!f.Rd.3/'Hilfstabellen_Mat&amp;Bem'!$BD$30)</f>
        <v>1.887432254597126</v>
      </c>
      <c r="DB59" s="553">
        <f>0.5*(1+'Hilfstabellen_Mat&amp;Bem'!$BD$31*(DA59-0.3)+DA59^2)</f>
        <v>2.3605718705766514</v>
      </c>
      <c r="DC59" s="550">
        <f t="shared" si="41"/>
        <v>0.26467063000842989</v>
      </c>
      <c r="DE59" s="551">
        <f t="shared" si="42"/>
        <v>3261.0068323338646</v>
      </c>
      <c r="DH59" s="547">
        <f>'Hilfstabellen_Mat&amp;Bem'!$J$62</f>
        <v>3.9</v>
      </c>
      <c r="DI59" s="546">
        <f t="shared" si="43"/>
        <v>111</v>
      </c>
      <c r="DJ59" s="551">
        <f t="shared" si="44"/>
        <v>121.71167836970488</v>
      </c>
      <c r="DK59" s="553">
        <f>DJ59/PI()*SQRT('Hilfstabellen_Mat&amp;Bem'!f.Rd.3/'Hilfstabellen_Mat&amp;Bem'!$BD$30)</f>
        <v>1.9371015244549452</v>
      </c>
      <c r="DL59" s="553">
        <f>0.5*(1+'Hilfstabellen_Mat&amp;Bem'!$BD$31*(DK59-0.3)+DK59^2)</f>
        <v>2.4580362342455837</v>
      </c>
      <c r="DM59" s="550">
        <f t="shared" si="45"/>
        <v>0.25181483016302625</v>
      </c>
      <c r="DO59" s="551">
        <f t="shared" si="46"/>
        <v>3102.6105224386465</v>
      </c>
      <c r="DR59" s="547">
        <f>'Hilfstabellen_Mat&amp;Bem'!$J$63</f>
        <v>4</v>
      </c>
      <c r="DS59" s="546">
        <f t="shared" si="47"/>
        <v>111</v>
      </c>
      <c r="DT59" s="551">
        <f t="shared" si="48"/>
        <v>124.83249063559475</v>
      </c>
      <c r="DU59" s="553">
        <f>DT59/PI()*SQRT('Hilfstabellen_Mat&amp;Bem'!f.Rd.3/'Hilfstabellen_Mat&amp;Bem'!$BD$30)</f>
        <v>1.9867707943127642</v>
      </c>
      <c r="DV59" s="553">
        <f>0.5*(1+'Hilfstabellen_Mat&amp;Bem'!$BD$31*(DU59-0.3)+DU59^2)</f>
        <v>2.5579676342827238</v>
      </c>
      <c r="DW59" s="550">
        <f t="shared" si="49"/>
        <v>0.23985648078699659</v>
      </c>
      <c r="DY59" s="551">
        <f t="shared" si="50"/>
        <v>2955.2716997765851</v>
      </c>
      <c r="EB59" s="547">
        <f>'Hilfstabellen_Mat&amp;Bem'!$J$64</f>
        <v>4.0999999999999996</v>
      </c>
      <c r="EC59" s="546">
        <f t="shared" si="51"/>
        <v>111</v>
      </c>
      <c r="ED59" s="551">
        <f t="shared" si="52"/>
        <v>127.95330290148462</v>
      </c>
      <c r="EE59" s="553">
        <f>ED59/PI()*SQRT('Hilfstabellen_Mat&amp;Bem'!f.Rd.3/'Hilfstabellen_Mat&amp;Bem'!$BD$30)</f>
        <v>2.0364400641705833</v>
      </c>
      <c r="EF59" s="553">
        <f>0.5*(1+'Hilfstabellen_Mat&amp;Bem'!$BD$31*(EE59-0.3)+EE59^2)</f>
        <v>2.6603660706880738</v>
      </c>
      <c r="EG59" s="550">
        <f t="shared" si="53"/>
        <v>0.22871652307971921</v>
      </c>
      <c r="EI59" s="551">
        <f t="shared" si="54"/>
        <v>2818.0162808652203</v>
      </c>
      <c r="EL59" s="547">
        <f>'Hilfstabellen_Mat&amp;Bem'!$J$65</f>
        <v>4.2</v>
      </c>
      <c r="EM59" s="546">
        <f t="shared" si="55"/>
        <v>111</v>
      </c>
      <c r="EN59" s="551">
        <f t="shared" si="56"/>
        <v>131.07411516737449</v>
      </c>
      <c r="EO59" s="553">
        <f>EN59/PI()*SQRT('Hilfstabellen_Mat&amp;Bem'!f.Rd.3/'Hilfstabellen_Mat&amp;Bem'!$BD$30)</f>
        <v>2.0861093340284023</v>
      </c>
      <c r="EP59" s="553">
        <f>0.5*(1+'Hilfstabellen_Mat&amp;Bem'!$BD$31*(EO59-0.3)+EO59^2)</f>
        <v>2.7652315434616321</v>
      </c>
      <c r="EQ59" s="550">
        <f t="shared" si="57"/>
        <v>0.21832394921462536</v>
      </c>
      <c r="ES59" s="551">
        <f t="shared" si="58"/>
        <v>2689.9693782733989</v>
      </c>
    </row>
    <row r="60" spans="3:149">
      <c r="C60" s="546">
        <v>112</v>
      </c>
      <c r="D60" s="551">
        <f t="shared" si="8"/>
        <v>86.602540378443862</v>
      </c>
      <c r="E60" s="553">
        <f>$D60/PI()*SQRT('Hilfstabellen_Mat&amp;Bem'!f.Rd.3/'Hilfstabellen_Mat&amp;Bem'!$BD$30)</f>
        <v>1.3783222385544802</v>
      </c>
      <c r="F60" s="553">
        <f>0.5*(1+'Hilfstabellen_Mat&amp;Bem'!$BD$31*($E60-0.3)+$E60^2)</f>
        <v>1.5038022085746408</v>
      </c>
      <c r="G60" s="550">
        <f t="shared" si="9"/>
        <v>0.47501995619125226</v>
      </c>
      <c r="I60" s="551">
        <f t="shared" si="59"/>
        <v>5958.6503304630687</v>
      </c>
      <c r="M60" s="546">
        <f t="shared" si="11"/>
        <v>112</v>
      </c>
      <c r="N60" s="551">
        <f t="shared" si="0"/>
        <v>89.695488249102567</v>
      </c>
      <c r="O60" s="553">
        <f>$N60/PI()*SQRT('Hilfstabellen_Mat&amp;Bem'!f.Rd.3/'Hilfstabellen_Mat&amp;Bem'!$BD$30)</f>
        <v>1.4275480327885688</v>
      </c>
      <c r="P60" s="553">
        <f>0.5*(1+'Hilfstabellen_Mat&amp;Bem'!$BD$31*($O60-0.3)+$O60^2)</f>
        <v>1.5753240945986846</v>
      </c>
      <c r="Q60" s="550">
        <f t="shared" si="1"/>
        <v>0.44613545870278182</v>
      </c>
      <c r="S60" s="551">
        <f t="shared" si="60"/>
        <v>5596.3231939676953</v>
      </c>
      <c r="W60" s="546">
        <f t="shared" si="13"/>
        <v>112</v>
      </c>
      <c r="X60" s="551">
        <f t="shared" si="2"/>
        <v>92.788436119761272</v>
      </c>
      <c r="Y60" s="553">
        <f>$X60/PI()*SQRT('Hilfstabellen_Mat&amp;Bem'!f.Rd.3/'Hilfstabellen_Mat&amp;Bem'!$BD$30)</f>
        <v>1.4767738270226571</v>
      </c>
      <c r="Z60" s="553">
        <f>0.5*(1+'Hilfstabellen_Mat&amp;Bem'!$BD$31*($Y60-0.3)+$Y60^2)</f>
        <v>1.6492691594407054</v>
      </c>
      <c r="AA60" s="550">
        <f t="shared" si="3"/>
        <v>0.41953515170812272</v>
      </c>
      <c r="AC60" s="551">
        <f t="shared" si="61"/>
        <v>5262.6489430266911</v>
      </c>
      <c r="AG60" s="546">
        <f t="shared" si="15"/>
        <v>112</v>
      </c>
      <c r="AH60" s="551">
        <f t="shared" si="4"/>
        <v>95.881383990419977</v>
      </c>
      <c r="AI60" s="553">
        <f>$AH60/PI()*SQRT('Hilfstabellen_Mat&amp;Bem'!f.Rd.3/'Hilfstabellen_Mat&amp;Bem'!$BD$30)</f>
        <v>1.5259996212567457</v>
      </c>
      <c r="AJ60" s="553">
        <f>0.5*(1+'Hilfstabellen_Mat&amp;Bem'!$BD$31*($AI60-0.3)+$AI60^2)</f>
        <v>1.7256374031007029</v>
      </c>
      <c r="AK60" s="550">
        <f t="shared" si="5"/>
        <v>0.39504836714845409</v>
      </c>
      <c r="AM60" s="551">
        <f t="shared" si="62"/>
        <v>4955.4867175102081</v>
      </c>
      <c r="AQ60" s="546">
        <f t="shared" si="17"/>
        <v>112</v>
      </c>
      <c r="AR60" s="551">
        <f t="shared" si="6"/>
        <v>98.974331861078696</v>
      </c>
      <c r="AS60" s="553">
        <f>$AR60/PI()*SQRT('Hilfstabellen_Mat&amp;Bem'!f.Rd.3/'Hilfstabellen_Mat&amp;Bem'!$BD$30)</f>
        <v>1.5752254154908345</v>
      </c>
      <c r="AT60" s="553">
        <f>0.5*(1+'Hilfstabellen_Mat&amp;Bem'!$BD$31*($AS60-0.3)+$AS60^2)</f>
        <v>1.804428825578678</v>
      </c>
      <c r="AU60" s="550">
        <f t="shared" si="7"/>
        <v>0.3725007270207823</v>
      </c>
      <c r="AW60" s="551">
        <f t="shared" si="63"/>
        <v>4672.649119748693</v>
      </c>
      <c r="AZ60" s="547">
        <f>'Hilfstabellen_Mat&amp;Bem'!$J$56</f>
        <v>3.3</v>
      </c>
      <c r="BA60" s="546">
        <f t="shared" si="19"/>
        <v>112</v>
      </c>
      <c r="BB60" s="551">
        <f t="shared" si="20"/>
        <v>102.06727973173741</v>
      </c>
      <c r="BC60" s="553">
        <f>BB60/PI()*SQRT('Hilfstabellen_Mat&amp;Bem'!f.Rd.3/'Hilfstabellen_Mat&amp;Bem'!$BD$30)</f>
        <v>1.6244512097249233</v>
      </c>
      <c r="BD60" s="553">
        <f>0.5*(1+'Hilfstabellen_Mat&amp;Bem'!$BD$31*(BC60-0.3)+BC60^2)</f>
        <v>1.8856434268746294</v>
      </c>
      <c r="BE60" s="550">
        <f t="shared" si="21"/>
        <v>0.3517231708737048</v>
      </c>
      <c r="BG60" s="551">
        <f t="shared" si="22"/>
        <v>4412.0154554397532</v>
      </c>
      <c r="BJ60" s="547">
        <f>'Hilfstabellen_Mat&amp;Bem'!$J$57</f>
        <v>3.4</v>
      </c>
      <c r="BK60" s="546">
        <f t="shared" si="23"/>
        <v>112</v>
      </c>
      <c r="BL60" s="551">
        <f t="shared" si="24"/>
        <v>105.16022760239612</v>
      </c>
      <c r="BM60" s="553">
        <f>BL60/PI()*SQRT('Hilfstabellen_Mat&amp;Bem'!f.Rd.3/'Hilfstabellen_Mat&amp;Bem'!$BD$30)</f>
        <v>1.6736770039590116</v>
      </c>
      <c r="BN60" s="553">
        <f>0.5*(1+'Hilfstabellen_Mat&amp;Bem'!$BD$31*(BM60-0.3)+BM60^2)</f>
        <v>1.9692812069885572</v>
      </c>
      <c r="BO60" s="550">
        <f t="shared" si="25"/>
        <v>0.33255664862315509</v>
      </c>
      <c r="BQ60" s="551">
        <f t="shared" si="26"/>
        <v>4171.5906003288574</v>
      </c>
      <c r="BT60" s="547">
        <f>'Hilfstabellen_Mat&amp;Bem'!$J$58</f>
        <v>3.5</v>
      </c>
      <c r="BU60" s="546">
        <f t="shared" si="27"/>
        <v>112</v>
      </c>
      <c r="BV60" s="551">
        <f t="shared" si="28"/>
        <v>108.25317547305482</v>
      </c>
      <c r="BW60" s="553">
        <f>BV60/PI()*SQRT('Hilfstabellen_Mat&amp;Bem'!f.Rd.3/'Hilfstabellen_Mat&amp;Bem'!$BD$30)</f>
        <v>1.7229027981931002</v>
      </c>
      <c r="BX60" s="553">
        <f>0.5*(1+'Hilfstabellen_Mat&amp;Bem'!$BD$31*(BW60-0.3)+BW60^2)</f>
        <v>2.0553421659204623</v>
      </c>
      <c r="BY60" s="550">
        <f t="shared" si="29"/>
        <v>0.31485423448256039</v>
      </c>
      <c r="CA60" s="551">
        <f t="shared" si="30"/>
        <v>3949.5315173492377</v>
      </c>
      <c r="CD60" s="547">
        <f>'Hilfstabellen_Mat&amp;Bem'!$J$59</f>
        <v>3.6</v>
      </c>
      <c r="CE60" s="546">
        <f t="shared" si="31"/>
        <v>112</v>
      </c>
      <c r="CF60" s="551">
        <f t="shared" si="32"/>
        <v>111.34612334371354</v>
      </c>
      <c r="CG60" s="553">
        <f>CF60/PI()*SQRT('Hilfstabellen_Mat&amp;Bem'!f.Rd.3/'Hilfstabellen_Mat&amp;Bem'!$BD$30)</f>
        <v>1.772128592427189</v>
      </c>
      <c r="CH60" s="553">
        <f>0.5*(1+'Hilfstabellen_Mat&amp;Bem'!$BD$31*(CG60-0.3)+CG60^2)</f>
        <v>2.1438263036703447</v>
      </c>
      <c r="CI60" s="550">
        <f t="shared" si="33"/>
        <v>0.2984817413315356</v>
      </c>
      <c r="CK60" s="551">
        <f t="shared" si="34"/>
        <v>3744.1549632627825</v>
      </c>
      <c r="CN60" s="547">
        <f>'Hilfstabellen_Mat&amp;Bem'!$J$60</f>
        <v>3.7</v>
      </c>
      <c r="CO60" s="546">
        <f t="shared" si="35"/>
        <v>112</v>
      </c>
      <c r="CP60" s="551">
        <f t="shared" si="36"/>
        <v>114.43907121437223</v>
      </c>
      <c r="CQ60" s="553">
        <f>CP60/PI()*SQRT('Hilfstabellen_Mat&amp;Bem'!f.Rd.3/'Hilfstabellen_Mat&amp;Bem'!$BD$30)</f>
        <v>1.8213543866612771</v>
      </c>
      <c r="CR60" s="553">
        <f>0.5*(1+'Hilfstabellen_Mat&amp;Bem'!$BD$31*(CQ60-0.3)+CQ60^2)</f>
        <v>2.2347336202382024</v>
      </c>
      <c r="CS60" s="550">
        <f t="shared" si="37"/>
        <v>0.2833174912311</v>
      </c>
      <c r="CU60" s="551">
        <f t="shared" si="38"/>
        <v>3553.9346100029184</v>
      </c>
      <c r="CX60" s="547">
        <f>'Hilfstabellen_Mat&amp;Bem'!$J$61</f>
        <v>3.8</v>
      </c>
      <c r="CY60" s="546">
        <f t="shared" si="39"/>
        <v>112</v>
      </c>
      <c r="CZ60" s="551">
        <f t="shared" si="40"/>
        <v>117.53201908503095</v>
      </c>
      <c r="DA60" s="553">
        <f>CZ60/PI()*SQRT('Hilfstabellen_Mat&amp;Bem'!f.Rd.3/'Hilfstabellen_Mat&amp;Bem'!$BD$30)</f>
        <v>1.8705801808953659</v>
      </c>
      <c r="DB60" s="553">
        <f>0.5*(1+'Hilfstabellen_Mat&amp;Bem'!$BD$31*(DA60-0.3)+DA60^2)</f>
        <v>2.3280641156240383</v>
      </c>
      <c r="DC60" s="550">
        <f t="shared" si="41"/>
        <v>0.26925163682320974</v>
      </c>
      <c r="DE60" s="551">
        <f t="shared" si="42"/>
        <v>3377.492532310343</v>
      </c>
      <c r="DH60" s="547">
        <f>'Hilfstabellen_Mat&amp;Bem'!$J$62</f>
        <v>3.9</v>
      </c>
      <c r="DI60" s="546">
        <f t="shared" si="43"/>
        <v>112</v>
      </c>
      <c r="DJ60" s="551">
        <f t="shared" si="44"/>
        <v>120.62496695568966</v>
      </c>
      <c r="DK60" s="553">
        <f>DJ60/PI()*SQRT('Hilfstabellen_Mat&amp;Bem'!f.Rd.3/'Hilfstabellen_Mat&amp;Bem'!$BD$30)</f>
        <v>1.9198059751294545</v>
      </c>
      <c r="DL60" s="553">
        <f>0.5*(1+'Hilfstabellen_Mat&amp;Bem'!$BD$31*(DK60-0.3)+DK60^2)</f>
        <v>2.4238177898278508</v>
      </c>
      <c r="DM60" s="550">
        <f t="shared" si="45"/>
        <v>0.25618526875942277</v>
      </c>
      <c r="DO60" s="551">
        <f t="shared" si="46"/>
        <v>3213.5880113181993</v>
      </c>
      <c r="DR60" s="547">
        <f>'Hilfstabellen_Mat&amp;Bem'!$J$63</f>
        <v>4</v>
      </c>
      <c r="DS60" s="546">
        <f t="shared" si="47"/>
        <v>112</v>
      </c>
      <c r="DT60" s="551">
        <f t="shared" si="48"/>
        <v>123.71791482634838</v>
      </c>
      <c r="DU60" s="553">
        <f>DT60/PI()*SQRT('Hilfstabellen_Mat&amp;Bem'!f.Rd.3/'Hilfstabellen_Mat&amp;Bem'!$BD$30)</f>
        <v>1.9690317693635433</v>
      </c>
      <c r="DV60" s="553">
        <f>0.5*(1+'Hilfstabellen_Mat&amp;Bem'!$BD$31*(DU60-0.3)+DU60^2)</f>
        <v>2.52199464284964</v>
      </c>
      <c r="DW60" s="550">
        <f t="shared" si="49"/>
        <v>0.2440294470395899</v>
      </c>
      <c r="DY60" s="551">
        <f t="shared" si="50"/>
        <v>3061.1053836646156</v>
      </c>
      <c r="EB60" s="547">
        <f>'Hilfstabellen_Mat&amp;Bem'!$J$64</f>
        <v>4.0999999999999996</v>
      </c>
      <c r="EC60" s="546">
        <f t="shared" si="51"/>
        <v>112</v>
      </c>
      <c r="ED60" s="551">
        <f t="shared" si="52"/>
        <v>126.81086269700707</v>
      </c>
      <c r="EE60" s="553">
        <f>ED60/PI()*SQRT('Hilfstabellen_Mat&amp;Bem'!f.Rd.3/'Hilfstabellen_Mat&amp;Bem'!$BD$30)</f>
        <v>2.0182575635976314</v>
      </c>
      <c r="EF60" s="553">
        <f>0.5*(1+'Hilfstabellen_Mat&amp;Bem'!$BD$31*(EE60-0.3)+EE60^2)</f>
        <v>2.6225946746894051</v>
      </c>
      <c r="EG60" s="550">
        <f t="shared" si="53"/>
        <v>0.23270423501281146</v>
      </c>
      <c r="EI60" s="551">
        <f t="shared" si="54"/>
        <v>2919.0419240007068</v>
      </c>
      <c r="EL60" s="547">
        <f>'Hilfstabellen_Mat&amp;Bem'!$J$65</f>
        <v>4.2</v>
      </c>
      <c r="EM60" s="546">
        <f t="shared" si="55"/>
        <v>112</v>
      </c>
      <c r="EN60" s="551">
        <f t="shared" si="56"/>
        <v>129.9038105676658</v>
      </c>
      <c r="EO60" s="553">
        <f>EN60/PI()*SQRT('Hilfstabellen_Mat&amp;Bem'!f.Rd.3/'Hilfstabellen_Mat&amp;Bem'!$BD$30)</f>
        <v>2.0674833578317204</v>
      </c>
      <c r="EP60" s="553">
        <f>0.5*(1+'Hilfstabellen_Mat&amp;Bem'!$BD$31*(EO60-0.3)+EO60^2)</f>
        <v>2.7256178853471487</v>
      </c>
      <c r="EQ60" s="550">
        <f t="shared" si="57"/>
        <v>0.22213777898364473</v>
      </c>
      <c r="ES60" s="551">
        <f t="shared" si="58"/>
        <v>2786.4962995708393</v>
      </c>
    </row>
    <row r="61" spans="3:149">
      <c r="C61" s="546">
        <v>113</v>
      </c>
      <c r="D61" s="551">
        <f t="shared" si="8"/>
        <v>85.836146215802756</v>
      </c>
      <c r="E61" s="553">
        <f>$D61/PI()*SQRT('Hilfstabellen_Mat&amp;Bem'!f.Rd.3/'Hilfstabellen_Mat&amp;Bem'!$BD$30)</f>
        <v>1.3661246966203695</v>
      </c>
      <c r="F61" s="553">
        <f>0.5*(1+'Hilfstabellen_Mat&amp;Bem'!$BD$31*($E61-0.3)+$E61^2)</f>
        <v>1.4864545781890668</v>
      </c>
      <c r="G61" s="550">
        <f t="shared" si="9"/>
        <v>0.48254852621369348</v>
      </c>
      <c r="I61" s="551">
        <f t="shared" si="59"/>
        <v>6161.6621312226525</v>
      </c>
      <c r="M61" s="546">
        <f t="shared" si="11"/>
        <v>113</v>
      </c>
      <c r="N61" s="551">
        <f t="shared" si="0"/>
        <v>88.901722866367152</v>
      </c>
      <c r="O61" s="553">
        <f>$N61/PI()*SQRT('Hilfstabellen_Mat&amp;Bem'!f.Rd.3/'Hilfstabellen_Mat&amp;Bem'!$BD$30)</f>
        <v>1.4149148643568115</v>
      </c>
      <c r="P61" s="553">
        <f>0.5*(1+'Hilfstabellen_Mat&amp;Bem'!$BD$31*($O61-0.3)+$O61^2)</f>
        <v>1.5567377799067676</v>
      </c>
      <c r="Q61" s="550">
        <f t="shared" si="1"/>
        <v>0.45332387338847008</v>
      </c>
      <c r="S61" s="551">
        <f t="shared" si="60"/>
        <v>5788.4925392973746</v>
      </c>
      <c r="W61" s="546">
        <f t="shared" si="13"/>
        <v>113</v>
      </c>
      <c r="X61" s="551">
        <f t="shared" si="2"/>
        <v>91.967299516931533</v>
      </c>
      <c r="Y61" s="553">
        <f>$X61/PI()*SQRT('Hilfstabellen_Mat&amp;Bem'!f.Rd.3/'Hilfstabellen_Mat&amp;Bem'!$BD$30)</f>
        <v>1.4637050320932534</v>
      </c>
      <c r="Z61" s="553">
        <f>0.5*(1+'Hilfstabellen_Mat&amp;Bem'!$BD$31*($Y61-0.3)+$Y61^2)</f>
        <v>1.6294014620922188</v>
      </c>
      <c r="AA61" s="550">
        <f t="shared" si="3"/>
        <v>0.42638392404570713</v>
      </c>
      <c r="AC61" s="551">
        <f t="shared" si="61"/>
        <v>5444.4963261396342</v>
      </c>
      <c r="AG61" s="546">
        <f t="shared" si="15"/>
        <v>113</v>
      </c>
      <c r="AH61" s="551">
        <f t="shared" si="4"/>
        <v>95.032876167495914</v>
      </c>
      <c r="AI61" s="553">
        <f>$AH61/PI()*SQRT('Hilfstabellen_Mat&amp;Bem'!f.Rd.3/'Hilfstabellen_Mat&amp;Bem'!$BD$30)</f>
        <v>1.5124951998296949</v>
      </c>
      <c r="AJ61" s="553">
        <f>0.5*(1+'Hilfstabellen_Mat&amp;Bem'!$BD$31*($AI61-0.3)+$AI61^2)</f>
        <v>1.7044456247454192</v>
      </c>
      <c r="AK61" s="550">
        <f t="shared" si="5"/>
        <v>0.40156563152453556</v>
      </c>
      <c r="AM61" s="551">
        <f t="shared" si="62"/>
        <v>5127.5915489367944</v>
      </c>
      <c r="AQ61" s="546">
        <f t="shared" si="17"/>
        <v>113</v>
      </c>
      <c r="AR61" s="551">
        <f t="shared" si="6"/>
        <v>98.098452818060309</v>
      </c>
      <c r="AS61" s="553">
        <f>$AR61/PI()*SQRT('Hilfstabellen_Mat&amp;Bem'!f.Rd.3/'Hilfstabellen_Mat&amp;Bem'!$BD$30)</f>
        <v>1.5612853675661369</v>
      </c>
      <c r="AT61" s="553">
        <f>0.5*(1+'Hilfstabellen_Mat&amp;Bem'!$BD$31*($AS61-0.3)+$AS61^2)</f>
        <v>1.7818702678663705</v>
      </c>
      <c r="AU61" s="550">
        <f t="shared" si="7"/>
        <v>0.37869906298412187</v>
      </c>
      <c r="AW61" s="551">
        <f t="shared" si="63"/>
        <v>4835.608335244252</v>
      </c>
      <c r="AZ61" s="547">
        <f>'Hilfstabellen_Mat&amp;Bem'!$J$56</f>
        <v>3.3</v>
      </c>
      <c r="BA61" s="546">
        <f t="shared" si="19"/>
        <v>113</v>
      </c>
      <c r="BB61" s="551">
        <f t="shared" si="20"/>
        <v>101.16402946862469</v>
      </c>
      <c r="BC61" s="553">
        <f>BB61/PI()*SQRT('Hilfstabellen_Mat&amp;Bem'!f.Rd.3/'Hilfstabellen_Mat&amp;Bem'!$BD$30)</f>
        <v>1.6100755353025786</v>
      </c>
      <c r="BD61" s="553">
        <f>0.5*(1+'Hilfstabellen_Mat&amp;Bem'!$BD$31*(BC61-0.3)+BC61^2)</f>
        <v>1.8616753914550714</v>
      </c>
      <c r="BE61" s="550">
        <f t="shared" si="21"/>
        <v>0.3576175499025579</v>
      </c>
      <c r="BG61" s="551">
        <f t="shared" si="22"/>
        <v>4566.418494705762</v>
      </c>
      <c r="BJ61" s="547">
        <f>'Hilfstabellen_Mat&amp;Bem'!$J$57</f>
        <v>3.4</v>
      </c>
      <c r="BK61" s="546">
        <f t="shared" si="23"/>
        <v>113</v>
      </c>
      <c r="BL61" s="551">
        <f t="shared" si="24"/>
        <v>104.22960611918907</v>
      </c>
      <c r="BM61" s="553">
        <f>BL61/PI()*SQRT('Hilfstabellen_Mat&amp;Bem'!f.Rd.3/'Hilfstabellen_Mat&amp;Bem'!$BD$30)</f>
        <v>1.6588657030390204</v>
      </c>
      <c r="BN61" s="553">
        <f>0.5*(1+'Hilfstabellen_Mat&amp;Bem'!$BD$31*(BM61-0.3)+BM61^2)</f>
        <v>1.9438609955115227</v>
      </c>
      <c r="BO61" s="550">
        <f t="shared" si="25"/>
        <v>0.3381631216377845</v>
      </c>
      <c r="BQ61" s="551">
        <f t="shared" si="26"/>
        <v>4318.0049001928701</v>
      </c>
      <c r="BT61" s="547">
        <f>'Hilfstabellen_Mat&amp;Bem'!$J$58</f>
        <v>3.5</v>
      </c>
      <c r="BU61" s="546">
        <f t="shared" si="27"/>
        <v>113</v>
      </c>
      <c r="BV61" s="551">
        <f t="shared" si="28"/>
        <v>107.29518276975345</v>
      </c>
      <c r="BW61" s="553">
        <f>BV61/PI()*SQRT('Hilfstabellen_Mat&amp;Bem'!f.Rd.3/'Hilfstabellen_Mat&amp;Bem'!$BD$30)</f>
        <v>1.7076558707754623</v>
      </c>
      <c r="BX61" s="553">
        <f>0.5*(1+'Hilfstabellen_Mat&amp;Bem'!$BD$31*(BW61-0.3)+BW61^2)</f>
        <v>2.0284270800357245</v>
      </c>
      <c r="BY61" s="550">
        <f t="shared" si="29"/>
        <v>0.32018910388651939</v>
      </c>
      <c r="CA61" s="551">
        <f t="shared" si="30"/>
        <v>4088.4946675269662</v>
      </c>
      <c r="CD61" s="547">
        <f>'Hilfstabellen_Mat&amp;Bem'!$J$59</f>
        <v>3.6</v>
      </c>
      <c r="CE61" s="546">
        <f t="shared" si="31"/>
        <v>113</v>
      </c>
      <c r="CF61" s="551">
        <f t="shared" si="32"/>
        <v>110.36075942031783</v>
      </c>
      <c r="CG61" s="553">
        <f>CF61/PI()*SQRT('Hilfstabellen_Mat&amp;Bem'!f.Rd.3/'Hilfstabellen_Mat&amp;Bem'!$BD$30)</f>
        <v>1.7564460385119038</v>
      </c>
      <c r="CH61" s="553">
        <f>0.5*(1+'Hilfstabellen_Mat&amp;Bem'!$BD$31*(CG61-0.3)+CG61^2)</f>
        <v>2.1153736450276752</v>
      </c>
      <c r="CI61" s="550">
        <f t="shared" si="33"/>
        <v>0.30356104893200542</v>
      </c>
      <c r="CK61" s="551">
        <f t="shared" si="34"/>
        <v>3876.1710338127773</v>
      </c>
      <c r="CN61" s="547">
        <f>'Hilfstabellen_Mat&amp;Bem'!$J$60</f>
        <v>3.7</v>
      </c>
      <c r="CO61" s="546">
        <f t="shared" si="35"/>
        <v>113</v>
      </c>
      <c r="CP61" s="551">
        <f t="shared" si="36"/>
        <v>113.42633607088221</v>
      </c>
      <c r="CQ61" s="553">
        <f>CP61/PI()*SQRT('Hilfstabellen_Mat&amp;Bem'!f.Rd.3/'Hilfstabellen_Mat&amp;Bem'!$BD$30)</f>
        <v>1.8052362062483454</v>
      </c>
      <c r="CR61" s="553">
        <f>0.5*(1+'Hilfstabellen_Mat&amp;Bem'!$BD$31*(CQ61-0.3)+CQ61^2)</f>
        <v>2.2047006904873765</v>
      </c>
      <c r="CS61" s="550">
        <f t="shared" si="37"/>
        <v>0.2881567117562765</v>
      </c>
      <c r="CU61" s="551">
        <f t="shared" si="38"/>
        <v>3679.4730524158945</v>
      </c>
      <c r="CX61" s="547">
        <f>'Hilfstabellen_Mat&amp;Bem'!$J$61</f>
        <v>3.8</v>
      </c>
      <c r="CY61" s="546">
        <f t="shared" si="39"/>
        <v>113</v>
      </c>
      <c r="CZ61" s="551">
        <f t="shared" si="40"/>
        <v>116.49191272144661</v>
      </c>
      <c r="DA61" s="553">
        <f>CZ61/PI()*SQRT('Hilfstabellen_Mat&amp;Bem'!f.Rd.3/'Hilfstabellen_Mat&amp;Bem'!$BD$30)</f>
        <v>1.8540263739847873</v>
      </c>
      <c r="DB61" s="553">
        <f>0.5*(1+'Hilfstabellen_Mat&amp;Bem'!$BD$31*(DA61-0.3)+DA61^2)</f>
        <v>2.2964082164148287</v>
      </c>
      <c r="DC61" s="550">
        <f t="shared" si="41"/>
        <v>0.27386550497526158</v>
      </c>
      <c r="DE61" s="551">
        <f t="shared" si="42"/>
        <v>3496.9886330291151</v>
      </c>
      <c r="DH61" s="547">
        <f>'Hilfstabellen_Mat&amp;Bem'!$J$62</f>
        <v>3.9</v>
      </c>
      <c r="DI61" s="546">
        <f t="shared" si="43"/>
        <v>113</v>
      </c>
      <c r="DJ61" s="551">
        <f t="shared" si="44"/>
        <v>119.55748937201101</v>
      </c>
      <c r="DK61" s="553">
        <f>DJ61/PI()*SQRT('Hilfstabellen_Mat&amp;Bem'!f.Rd.3/'Hilfstabellen_Mat&amp;Bem'!$BD$30)</f>
        <v>1.9028165417212293</v>
      </c>
      <c r="DL61" s="553">
        <f>0.5*(1+'Hilfstabellen_Mat&amp;Bem'!$BD$31*(DK61-0.3)+DK61^2)</f>
        <v>2.3904962228100306</v>
      </c>
      <c r="DM61" s="550">
        <f t="shared" si="45"/>
        <v>0.26058769262018366</v>
      </c>
      <c r="DO61" s="551">
        <f t="shared" si="46"/>
        <v>3327.4442470671252</v>
      </c>
      <c r="DR61" s="547">
        <f>'Hilfstabellen_Mat&amp;Bem'!$J$63</f>
        <v>4</v>
      </c>
      <c r="DS61" s="546">
        <f t="shared" si="47"/>
        <v>113</v>
      </c>
      <c r="DT61" s="551">
        <f t="shared" si="48"/>
        <v>122.62306602257537</v>
      </c>
      <c r="DU61" s="553">
        <f>DT61/PI()*SQRT('Hilfstabellen_Mat&amp;Bem'!f.Rd.3/'Hilfstabellen_Mat&amp;Bem'!$BD$30)</f>
        <v>1.951606709457671</v>
      </c>
      <c r="DV61" s="553">
        <f>0.5*(1+'Hilfstabellen_Mat&amp;Bem'!$BD$31*(DU61-0.3)+DU61^2)</f>
        <v>2.486964709672983</v>
      </c>
      <c r="DW61" s="550">
        <f t="shared" si="49"/>
        <v>0.24823347684347405</v>
      </c>
      <c r="DY61" s="551">
        <f t="shared" si="50"/>
        <v>3169.6932658143201</v>
      </c>
      <c r="EB61" s="547">
        <f>'Hilfstabellen_Mat&amp;Bem'!$J$64</f>
        <v>4.0999999999999996</v>
      </c>
      <c r="EC61" s="546">
        <f t="shared" si="51"/>
        <v>113</v>
      </c>
      <c r="ED61" s="551">
        <f t="shared" si="52"/>
        <v>125.68864267313977</v>
      </c>
      <c r="EE61" s="553">
        <f>ED61/PI()*SQRT('Hilfstabellen_Mat&amp;Bem'!f.Rd.3/'Hilfstabellen_Mat&amp;Bem'!$BD$30)</f>
        <v>2.0003968771941127</v>
      </c>
      <c r="EF61" s="553">
        <f>0.5*(1+'Hilfstabellen_Mat&amp;Bem'!$BD$31*(EE61-0.3)+EE61^2)</f>
        <v>2.5858136770036846</v>
      </c>
      <c r="EG61" s="550">
        <f t="shared" si="53"/>
        <v>0.23672206688266273</v>
      </c>
      <c r="EI61" s="551">
        <f t="shared" si="54"/>
        <v>3022.7040720247205</v>
      </c>
      <c r="EL61" s="547">
        <f>'Hilfstabellen_Mat&amp;Bem'!$J$65</f>
        <v>4.2</v>
      </c>
      <c r="EM61" s="546">
        <f t="shared" si="55"/>
        <v>113</v>
      </c>
      <c r="EN61" s="551">
        <f t="shared" si="56"/>
        <v>128.75421932370415</v>
      </c>
      <c r="EO61" s="553">
        <f>EN61/PI()*SQRT('Hilfstabellen_Mat&amp;Bem'!f.Rd.3/'Hilfstabellen_Mat&amp;Bem'!$BD$30)</f>
        <v>2.0491870449305547</v>
      </c>
      <c r="EP61" s="553">
        <f>0.5*(1+'Hilfstabellen_Mat&amp;Bem'!$BD$31*(EO61-0.3)+EO61^2)</f>
        <v>2.6870431248021376</v>
      </c>
      <c r="EQ61" s="550">
        <f t="shared" si="57"/>
        <v>0.22598078017155437</v>
      </c>
      <c r="ES61" s="551">
        <f t="shared" si="58"/>
        <v>2885.5485820105778</v>
      </c>
    </row>
    <row r="62" spans="3:149">
      <c r="C62" s="546">
        <v>114</v>
      </c>
      <c r="D62" s="551">
        <f t="shared" si="8"/>
        <v>85.083197564786957</v>
      </c>
      <c r="E62" s="553">
        <f>$D62/PI()*SQRT('Hilfstabellen_Mat&amp;Bem'!f.Rd.3/'Hilfstabellen_Mat&amp;Bem'!$BD$30)</f>
        <v>1.3541411466500157</v>
      </c>
      <c r="F62" s="553">
        <f>0.5*(1+'Hilfstabellen_Mat&amp;Bem'!$BD$31*($E62-0.3)+$E62^2)</f>
        <v>1.4695561798578105</v>
      </c>
      <c r="G62" s="550">
        <f t="shared" si="9"/>
        <v>0.49009273202854114</v>
      </c>
      <c r="I62" s="551">
        <f t="shared" si="59"/>
        <v>6369.2451454429211</v>
      </c>
      <c r="M62" s="546">
        <f t="shared" si="11"/>
        <v>114</v>
      </c>
      <c r="N62" s="551">
        <f t="shared" si="0"/>
        <v>88.121883192100768</v>
      </c>
      <c r="O62" s="553">
        <f>$N62/PI()*SQRT('Hilfstabellen_Mat&amp;Bem'!f.Rd.3/'Hilfstabellen_Mat&amp;Bem'!$BD$30)</f>
        <v>1.4025033304589447</v>
      </c>
      <c r="P62" s="553">
        <f>0.5*(1+'Hilfstabellen_Mat&amp;Bem'!$BD$31*($O62-0.3)+$O62^2)</f>
        <v>1.5386329624971631</v>
      </c>
      <c r="Q62" s="550">
        <f t="shared" si="1"/>
        <v>0.46053544612386083</v>
      </c>
      <c r="S62" s="551">
        <f t="shared" si="60"/>
        <v>5985.1186578256957</v>
      </c>
      <c r="W62" s="546">
        <f t="shared" si="13"/>
        <v>114</v>
      </c>
      <c r="X62" s="551">
        <f t="shared" si="2"/>
        <v>91.160568819414578</v>
      </c>
      <c r="Y62" s="553">
        <f>$X62/PI()*SQRT('Hilfstabellen_Mat&amp;Bem'!f.Rd.3/'Hilfstabellen_Mat&amp;Bem'!$BD$30)</f>
        <v>1.4508655142678737</v>
      </c>
      <c r="Z62" s="553">
        <f>0.5*(1+'Hilfstabellen_Mat&amp;Bem'!$BD$31*($Y62-0.3)+$Y62^2)</f>
        <v>1.6100486459592847</v>
      </c>
      <c r="AA62" s="550">
        <f t="shared" si="3"/>
        <v>0.43326079691640668</v>
      </c>
      <c r="AC62" s="551">
        <f t="shared" si="61"/>
        <v>5630.6573167256211</v>
      </c>
      <c r="AG62" s="546">
        <f t="shared" si="15"/>
        <v>114</v>
      </c>
      <c r="AH62" s="551">
        <f t="shared" si="4"/>
        <v>94.199254446728403</v>
      </c>
      <c r="AI62" s="553">
        <f>$AH62/PI()*SQRT('Hilfstabellen_Mat&amp;Bem'!f.Rd.3/'Hilfstabellen_Mat&amp;Bem'!$BD$30)</f>
        <v>1.4992276980768029</v>
      </c>
      <c r="AJ62" s="553">
        <f>0.5*(1+'Hilfstabellen_Mat&amp;Bem'!$BD$31*($AI62-0.3)+$AI62^2)</f>
        <v>1.683803230244175</v>
      </c>
      <c r="AK62" s="550">
        <f t="shared" si="5"/>
        <v>0.40811412564272487</v>
      </c>
      <c r="AM62" s="551">
        <f t="shared" si="62"/>
        <v>5303.8511768528524</v>
      </c>
      <c r="AQ62" s="546">
        <f t="shared" si="17"/>
        <v>114</v>
      </c>
      <c r="AR62" s="551">
        <f t="shared" si="6"/>
        <v>97.237940074042228</v>
      </c>
      <c r="AS62" s="553">
        <f>$AR62/PI()*SQRT('Hilfstabellen_Mat&amp;Bem'!f.Rd.3/'Hilfstabellen_Mat&amp;Bem'!$BD$30)</f>
        <v>1.5475898818857321</v>
      </c>
      <c r="AT62" s="553">
        <f>0.5*(1+'Hilfstabellen_Mat&amp;Bem'!$BD$31*($AS62-0.3)+$AS62^2)</f>
        <v>1.7598967153518337</v>
      </c>
      <c r="AU62" s="550">
        <f t="shared" si="7"/>
        <v>0.3849304858973977</v>
      </c>
      <c r="AW62" s="551">
        <f t="shared" si="63"/>
        <v>5002.5565947225805</v>
      </c>
      <c r="AZ62" s="547">
        <f>'Hilfstabellen_Mat&amp;Bem'!$J$56</f>
        <v>3.3</v>
      </c>
      <c r="BA62" s="546">
        <f t="shared" si="19"/>
        <v>114</v>
      </c>
      <c r="BB62" s="551">
        <f t="shared" si="20"/>
        <v>100.27662570135604</v>
      </c>
      <c r="BC62" s="553">
        <f>BB62/PI()*SQRT('Hilfstabellen_Mat&amp;Bem'!f.Rd.3/'Hilfstabellen_Mat&amp;Bem'!$BD$30)</f>
        <v>1.5959520656946611</v>
      </c>
      <c r="BD62" s="553">
        <f>0.5*(1+'Hilfstabellen_Mat&amp;Bem'!$BD$31*(BC62-0.3)+BC62^2)</f>
        <v>1.8383291012822609</v>
      </c>
      <c r="BE62" s="550">
        <f t="shared" si="21"/>
        <v>0.36354598131940252</v>
      </c>
      <c r="BG62" s="551">
        <f t="shared" si="22"/>
        <v>4724.6435732269556</v>
      </c>
      <c r="BJ62" s="547">
        <f>'Hilfstabellen_Mat&amp;Bem'!$J$57</f>
        <v>3.4</v>
      </c>
      <c r="BK62" s="546">
        <f t="shared" si="23"/>
        <v>114</v>
      </c>
      <c r="BL62" s="551">
        <f t="shared" si="24"/>
        <v>103.31531132866986</v>
      </c>
      <c r="BM62" s="553">
        <f>BL62/PI()*SQRT('Hilfstabellen_Mat&amp;Bem'!f.Rd.3/'Hilfstabellen_Mat&amp;Bem'!$BD$30)</f>
        <v>1.6443142495035905</v>
      </c>
      <c r="BN62" s="553">
        <f>0.5*(1+'Hilfstabellen_Mat&amp;Bem'!$BD$31*(BM62-0.3)+BM62^2)</f>
        <v>1.9191003880354576</v>
      </c>
      <c r="BO62" s="550">
        <f t="shared" si="25"/>
        <v>0.34380398802287399</v>
      </c>
      <c r="BQ62" s="551">
        <f t="shared" si="26"/>
        <v>4468.0766283452704</v>
      </c>
      <c r="BT62" s="547">
        <f>'Hilfstabellen_Mat&amp;Bem'!$J$58</f>
        <v>3.5</v>
      </c>
      <c r="BU62" s="546">
        <f t="shared" si="27"/>
        <v>114</v>
      </c>
      <c r="BV62" s="551">
        <f t="shared" si="28"/>
        <v>106.35399695598369</v>
      </c>
      <c r="BW62" s="553">
        <f>BV62/PI()*SQRT('Hilfstabellen_Mat&amp;Bem'!f.Rd.3/'Hilfstabellen_Mat&amp;Bem'!$BD$30)</f>
        <v>1.6926764333125197</v>
      </c>
      <c r="BX62" s="553">
        <f>0.5*(1+'Hilfstabellen_Mat&amp;Bem'!$BD$31*(BW62-0.3)+BW62^2)</f>
        <v>2.0022105756114223</v>
      </c>
      <c r="BY62" s="550">
        <f t="shared" si="29"/>
        <v>0.32555827182735481</v>
      </c>
      <c r="CA62" s="551">
        <f t="shared" si="30"/>
        <v>4230.9553006683027</v>
      </c>
      <c r="CD62" s="547">
        <f>'Hilfstabellen_Mat&amp;Bem'!$J$59</f>
        <v>3.6</v>
      </c>
      <c r="CE62" s="546">
        <f t="shared" si="31"/>
        <v>114</v>
      </c>
      <c r="CF62" s="551">
        <f t="shared" si="32"/>
        <v>109.3926825832975</v>
      </c>
      <c r="CG62" s="553">
        <f>CF62/PI()*SQRT('Hilfstabellen_Mat&amp;Bem'!f.Rd.3/'Hilfstabellen_Mat&amp;Bem'!$BD$30)</f>
        <v>1.7410386171214485</v>
      </c>
      <c r="CH62" s="553">
        <f>0.5*(1+'Hilfstabellen_Mat&amp;Bem'!$BD$31*(CG62-0.3)+CG62^2)</f>
        <v>2.0876596640101552</v>
      </c>
      <c r="CI62" s="550">
        <f t="shared" si="33"/>
        <v>0.30867425820666311</v>
      </c>
      <c r="CK62" s="551">
        <f t="shared" si="34"/>
        <v>4011.5306596537939</v>
      </c>
      <c r="CN62" s="547">
        <f>'Hilfstabellen_Mat&amp;Bem'!$J$60</f>
        <v>3.7</v>
      </c>
      <c r="CO62" s="546">
        <f t="shared" si="35"/>
        <v>114</v>
      </c>
      <c r="CP62" s="551">
        <f t="shared" si="36"/>
        <v>112.43136821061132</v>
      </c>
      <c r="CQ62" s="553">
        <f>CP62/PI()*SQRT('Hilfstabellen_Mat&amp;Bem'!f.Rd.3/'Hilfstabellen_Mat&amp;Bem'!$BD$30)</f>
        <v>1.7894008009303777</v>
      </c>
      <c r="CR62" s="553">
        <f>0.5*(1+'Hilfstabellen_Mat&amp;Bem'!$BD$31*(CQ62-0.3)+CQ62^2)</f>
        <v>2.1754476532316573</v>
      </c>
      <c r="CS62" s="550">
        <f t="shared" si="37"/>
        <v>0.29302923043949625</v>
      </c>
      <c r="CU62" s="551">
        <f t="shared" si="38"/>
        <v>3808.207878791693</v>
      </c>
      <c r="CX62" s="547">
        <f>'Hilfstabellen_Mat&amp;Bem'!$J$61</f>
        <v>3.8</v>
      </c>
      <c r="CY62" s="546">
        <f t="shared" si="39"/>
        <v>114</v>
      </c>
      <c r="CZ62" s="551">
        <f t="shared" si="40"/>
        <v>115.47005383792515</v>
      </c>
      <c r="DA62" s="553">
        <f>CZ62/PI()*SQRT('Hilfstabellen_Mat&amp;Bem'!f.Rd.3/'Hilfstabellen_Mat&amp;Bem'!$BD$30)</f>
        <v>1.8377629847393071</v>
      </c>
      <c r="DB62" s="553">
        <f>0.5*(1+'Hilfstabellen_Mat&amp;Bem'!$BD$31*(DA62-0.3)+DA62^2)</f>
        <v>2.2655745432759287</v>
      </c>
      <c r="DC62" s="550">
        <f t="shared" si="41"/>
        <v>0.27851192942466541</v>
      </c>
      <c r="DE62" s="551">
        <f t="shared" si="42"/>
        <v>3619.5410348029518</v>
      </c>
      <c r="DH62" s="547">
        <f>'Hilfstabellen_Mat&amp;Bem'!$J$62</f>
        <v>3.9</v>
      </c>
      <c r="DI62" s="546">
        <f t="shared" si="43"/>
        <v>114</v>
      </c>
      <c r="DJ62" s="551">
        <f t="shared" si="44"/>
        <v>118.50873946523896</v>
      </c>
      <c r="DK62" s="553">
        <f>DJ62/PI()*SQRT('Hilfstabellen_Mat&amp;Bem'!f.Rd.3/'Hilfstabellen_Mat&amp;Bem'!$BD$30)</f>
        <v>1.8861251685482359</v>
      </c>
      <c r="DL62" s="553">
        <f>0.5*(1+'Hilfstabellen_Mat&amp;Bem'!$BD$31*(DK62-0.3)+DK62^2)</f>
        <v>2.3580403341429674</v>
      </c>
      <c r="DM62" s="550">
        <f t="shared" si="45"/>
        <v>0.26502184167424281</v>
      </c>
      <c r="DO62" s="551">
        <f t="shared" si="46"/>
        <v>3444.2238543984595</v>
      </c>
      <c r="DR62" s="547">
        <f>'Hilfstabellen_Mat&amp;Bem'!$J$63</f>
        <v>4</v>
      </c>
      <c r="DS62" s="546">
        <f t="shared" si="47"/>
        <v>114</v>
      </c>
      <c r="DT62" s="551">
        <f t="shared" si="48"/>
        <v>121.5474250925528</v>
      </c>
      <c r="DU62" s="553">
        <f>DT62/PI()*SQRT('Hilfstabellen_Mat&amp;Bem'!f.Rd.3/'Hilfstabellen_Mat&amp;Bem'!$BD$30)</f>
        <v>1.9344873523571655</v>
      </c>
      <c r="DV62" s="553">
        <f>0.5*(1+'Hilfstabellen_Mat&amp;Bem'!$BD$31*(DU62-0.3)+DU62^2)</f>
        <v>2.4528450258327763</v>
      </c>
      <c r="DW62" s="550">
        <f t="shared" si="49"/>
        <v>0.25246834686527769</v>
      </c>
      <c r="DY62" s="551">
        <f t="shared" si="50"/>
        <v>3281.078635861149</v>
      </c>
      <c r="EB62" s="547">
        <f>'Hilfstabellen_Mat&amp;Bem'!$J$64</f>
        <v>4.0999999999999996</v>
      </c>
      <c r="EC62" s="546">
        <f t="shared" si="51"/>
        <v>114</v>
      </c>
      <c r="ED62" s="551">
        <f t="shared" si="52"/>
        <v>124.5861107198666</v>
      </c>
      <c r="EE62" s="553">
        <f>ED62/PI()*SQRT('Hilfstabellen_Mat&amp;Bem'!f.Rd.3/'Hilfstabellen_Mat&amp;Bem'!$BD$30)</f>
        <v>1.9828495361660943</v>
      </c>
      <c r="EF62" s="553">
        <f>0.5*(1+'Hilfstabellen_Mat&amp;Bem'!$BD$31*(EE62-0.3)+EE62^2)</f>
        <v>2.5499886183453526</v>
      </c>
      <c r="EG62" s="550">
        <f t="shared" si="53"/>
        <v>0.24076982561421789</v>
      </c>
      <c r="EI62" s="551">
        <f t="shared" si="54"/>
        <v>3129.0446536823756</v>
      </c>
      <c r="EL62" s="547">
        <f>'Hilfstabellen_Mat&amp;Bem'!$J$65</f>
        <v>4.2</v>
      </c>
      <c r="EM62" s="546">
        <f t="shared" si="55"/>
        <v>114</v>
      </c>
      <c r="EN62" s="551">
        <f t="shared" si="56"/>
        <v>127.62479634718044</v>
      </c>
      <c r="EO62" s="553">
        <f>EN62/PI()*SQRT('Hilfstabellen_Mat&amp;Bem'!f.Rd.3/'Hilfstabellen_Mat&amp;Bem'!$BD$30)</f>
        <v>2.0312117199750235</v>
      </c>
      <c r="EP62" s="553">
        <f>0.5*(1+'Hilfstabellen_Mat&amp;Bem'!$BD$31*(EO62-0.3)+EO62^2)</f>
        <v>2.6494711116806977</v>
      </c>
      <c r="EQ62" s="550">
        <f t="shared" si="57"/>
        <v>0.22985278481662202</v>
      </c>
      <c r="ES62" s="551">
        <f t="shared" si="58"/>
        <v>2987.16679147682</v>
      </c>
    </row>
    <row r="63" spans="3:149">
      <c r="C63" s="546">
        <v>115</v>
      </c>
      <c r="D63" s="551">
        <f t="shared" si="8"/>
        <v>84.343343672919247</v>
      </c>
      <c r="E63" s="553">
        <f>$D63/PI()*SQRT('Hilfstabellen_Mat&amp;Bem'!f.Rd.3/'Hilfstabellen_Mat&amp;Bem'!$BD$30)</f>
        <v>1.3423660062443634</v>
      </c>
      <c r="F63" s="553">
        <f>0.5*(1+'Hilfstabellen_Mat&amp;Bem'!$BD$31*($E63-0.3)+$E63^2)</f>
        <v>1.4530915476724395</v>
      </c>
      <c r="G63" s="550">
        <f t="shared" si="9"/>
        <v>0.49764998496337065</v>
      </c>
      <c r="I63" s="551">
        <f t="shared" si="59"/>
        <v>6581.4210511405772</v>
      </c>
      <c r="M63" s="546">
        <f t="shared" si="11"/>
        <v>115</v>
      </c>
      <c r="N63" s="551">
        <f t="shared" si="0"/>
        <v>87.355605946952068</v>
      </c>
      <c r="O63" s="553">
        <f>$N63/PI()*SQRT('Hilfstabellen_Mat&amp;Bem'!f.Rd.3/'Hilfstabellen_Mat&amp;Bem'!$BD$30)</f>
        <v>1.3903076493245192</v>
      </c>
      <c r="P63" s="553">
        <f>0.5*(1+'Hilfstabellen_Mat&amp;Bem'!$BD$31*($O63-0.3)+$O63^2)</f>
        <v>1.5209930623513612</v>
      </c>
      <c r="Q63" s="550">
        <f t="shared" si="1"/>
        <v>0.46776816865218362</v>
      </c>
      <c r="S63" s="551">
        <f t="shared" si="60"/>
        <v>6186.2340304251284</v>
      </c>
      <c r="W63" s="546">
        <f t="shared" si="13"/>
        <v>115</v>
      </c>
      <c r="X63" s="551">
        <f t="shared" si="2"/>
        <v>90.367868220984889</v>
      </c>
      <c r="Y63" s="553">
        <f>$X63/PI()*SQRT('Hilfstabellen_Mat&amp;Bem'!f.Rd.3/'Hilfstabellen_Mat&amp;Bem'!$BD$30)</f>
        <v>1.4382492924046748</v>
      </c>
      <c r="Z63" s="553">
        <f>0.5*(1+'Hilfstabellen_Mat&amp;Bem'!$BD$31*($Y63-0.3)+$Y63^2)</f>
        <v>1.5911929781715075</v>
      </c>
      <c r="AA63" s="550">
        <f t="shared" si="3"/>
        <v>0.44016420062294831</v>
      </c>
      <c r="AC63" s="551">
        <f t="shared" si="61"/>
        <v>5821.1715532384915</v>
      </c>
      <c r="AG63" s="546">
        <f t="shared" si="15"/>
        <v>115</v>
      </c>
      <c r="AH63" s="551">
        <f t="shared" si="4"/>
        <v>93.380130495017724</v>
      </c>
      <c r="AI63" s="553">
        <f>$AH63/PI()*SQRT('Hilfstabellen_Mat&amp;Bem'!f.Rd.3/'Hilfstabellen_Mat&amp;Bem'!$BD$30)</f>
        <v>1.4861909354848306</v>
      </c>
      <c r="AJ63" s="553">
        <f>0.5*(1+'Hilfstabellen_Mat&amp;Bem'!$BD$31*($AI63-0.3)+$AI63^2)</f>
        <v>1.6636912951328795</v>
      </c>
      <c r="AK63" s="550">
        <f t="shared" si="5"/>
        <v>0.41469261073282776</v>
      </c>
      <c r="AM63" s="551">
        <f t="shared" si="62"/>
        <v>5484.3097769416472</v>
      </c>
      <c r="AQ63" s="546">
        <f t="shared" si="17"/>
        <v>115</v>
      </c>
      <c r="AR63" s="551">
        <f t="shared" si="6"/>
        <v>96.392392769050559</v>
      </c>
      <c r="AS63" s="553">
        <f>$AR63/PI()*SQRT('Hilfstabellen_Mat&amp;Bem'!f.Rd.3/'Hilfstabellen_Mat&amp;Bem'!$BD$30)</f>
        <v>1.5341325785649866</v>
      </c>
      <c r="AT63" s="553">
        <f>0.5*(1+'Hilfstabellen_Mat&amp;Bem'!$BD$31*($AS63-0.3)+$AS63^2)</f>
        <v>1.7384880132354767</v>
      </c>
      <c r="AU63" s="550">
        <f t="shared" si="7"/>
        <v>0.3911940078311566</v>
      </c>
      <c r="AW63" s="551">
        <f t="shared" si="63"/>
        <v>5173.5407535670456</v>
      </c>
      <c r="AZ63" s="547">
        <f>'Hilfstabellen_Mat&amp;Bem'!$J$56</f>
        <v>3.3</v>
      </c>
      <c r="BA63" s="546">
        <f t="shared" si="19"/>
        <v>115</v>
      </c>
      <c r="BB63" s="551">
        <f t="shared" si="20"/>
        <v>99.40465504308338</v>
      </c>
      <c r="BC63" s="553">
        <f>BB63/PI()*SQRT('Hilfstabellen_Mat&amp;Bem'!f.Rd.3/'Hilfstabellen_Mat&amp;Bem'!$BD$30)</f>
        <v>1.5820742216451424</v>
      </c>
      <c r="BD63" s="553">
        <f>0.5*(1+'Hilfstabellen_Mat&amp;Bem'!$BD$31*(BC63-0.3)+BC63^2)</f>
        <v>1.8155831324792988</v>
      </c>
      <c r="BE63" s="550">
        <f t="shared" si="21"/>
        <v>0.36950766878878122</v>
      </c>
      <c r="BG63" s="551">
        <f t="shared" si="22"/>
        <v>4886.7389197316315</v>
      </c>
      <c r="BJ63" s="547">
        <f>'Hilfstabellen_Mat&amp;Bem'!$J$57</f>
        <v>3.4</v>
      </c>
      <c r="BK63" s="546">
        <f t="shared" si="23"/>
        <v>115</v>
      </c>
      <c r="BL63" s="551">
        <f t="shared" si="24"/>
        <v>102.41691731711622</v>
      </c>
      <c r="BM63" s="553">
        <f>BL63/PI()*SQRT('Hilfstabellen_Mat&amp;Bem'!f.Rd.3/'Hilfstabellen_Mat&amp;Bem'!$BD$30)</f>
        <v>1.6300158647252982</v>
      </c>
      <c r="BN63" s="553">
        <f>0.5*(1+'Hilfstabellen_Mat&amp;Bem'!$BD$31*(BM63-0.3)+BM63^2)</f>
        <v>1.8949766528643457</v>
      </c>
      <c r="BO63" s="550">
        <f t="shared" si="25"/>
        <v>0.34947859913724888</v>
      </c>
      <c r="BQ63" s="551">
        <f t="shared" si="26"/>
        <v>4621.8544735901169</v>
      </c>
      <c r="BT63" s="547">
        <f>'Hilfstabellen_Mat&amp;Bem'!$J$58</f>
        <v>3.5</v>
      </c>
      <c r="BU63" s="546">
        <f t="shared" si="27"/>
        <v>115</v>
      </c>
      <c r="BV63" s="551">
        <f t="shared" si="28"/>
        <v>105.42917959114905</v>
      </c>
      <c r="BW63" s="553">
        <f>BV63/PI()*SQRT('Hilfstabellen_Mat&amp;Bem'!f.Rd.3/'Hilfstabellen_Mat&amp;Bem'!$BD$30)</f>
        <v>1.6779575078054543</v>
      </c>
      <c r="BX63" s="553">
        <f>0.5*(1+'Hilfstabellen_Mat&amp;Bem'!$BD$31*(BW63-0.3)+BW63^2)</f>
        <v>1.9766685743906183</v>
      </c>
      <c r="BY63" s="550">
        <f t="shared" si="29"/>
        <v>0.33096120464649736</v>
      </c>
      <c r="CA63" s="551">
        <f t="shared" si="30"/>
        <v>4376.9619314499278</v>
      </c>
      <c r="CD63" s="547">
        <f>'Hilfstabellen_Mat&amp;Bem'!$J$59</f>
        <v>3.6</v>
      </c>
      <c r="CE63" s="546">
        <f t="shared" si="31"/>
        <v>115</v>
      </c>
      <c r="CF63" s="551">
        <f t="shared" si="32"/>
        <v>108.44144186518187</v>
      </c>
      <c r="CG63" s="553">
        <f>CF63/PI()*SQRT('Hilfstabellen_Mat&amp;Bem'!f.Rd.3/'Hilfstabellen_Mat&amp;Bem'!$BD$30)</f>
        <v>1.7258991508856099</v>
      </c>
      <c r="CH63" s="553">
        <f>0.5*(1+'Hilfstabellen_Mat&amp;Bem'!$BD$31*(CG63-0.3)+CG63^2)</f>
        <v>2.060658897058115</v>
      </c>
      <c r="CI63" s="550">
        <f t="shared" si="33"/>
        <v>0.31382092591355543</v>
      </c>
      <c r="CK63" s="551">
        <f t="shared" si="34"/>
        <v>4150.2817452067702</v>
      </c>
      <c r="CN63" s="547">
        <f>'Hilfstabellen_Mat&amp;Bem'!$J$60</f>
        <v>3.7</v>
      </c>
      <c r="CO63" s="546">
        <f t="shared" si="35"/>
        <v>115</v>
      </c>
      <c r="CP63" s="551">
        <f t="shared" si="36"/>
        <v>111.45370413921469</v>
      </c>
      <c r="CQ63" s="553">
        <f>CP63/PI()*SQRT('Hilfstabellen_Mat&amp;Bem'!f.Rd.3/'Hilfstabellen_Mat&amp;Bem'!$BD$30)</f>
        <v>1.7738407939657657</v>
      </c>
      <c r="CR63" s="553">
        <f>0.5*(1+'Hilfstabellen_Mat&amp;Bem'!$BD$31*(CQ63-0.3)+CQ63^2)</f>
        <v>2.146947620866837</v>
      </c>
      <c r="CS63" s="550">
        <f t="shared" si="37"/>
        <v>0.29793467584161559</v>
      </c>
      <c r="CU63" s="551">
        <f t="shared" si="38"/>
        <v>3940.1860880053664</v>
      </c>
      <c r="CX63" s="547">
        <f>'Hilfstabellen_Mat&amp;Bem'!$J$61</f>
        <v>3.8</v>
      </c>
      <c r="CY63" s="546">
        <f t="shared" si="39"/>
        <v>115</v>
      </c>
      <c r="CZ63" s="551">
        <f t="shared" si="40"/>
        <v>114.46596641324753</v>
      </c>
      <c r="DA63" s="553">
        <f>CZ63/PI()*SQRT('Hilfstabellen_Mat&amp;Bem'!f.Rd.3/'Hilfstabellen_Mat&amp;Bem'!$BD$30)</f>
        <v>1.8217824370459217</v>
      </c>
      <c r="DB63" s="553">
        <f>0.5*(1+'Hilfstabellen_Mat&amp;Bem'!$BD$31*(DA63-0.3)+DA63^2)</f>
        <v>2.2355347458167847</v>
      </c>
      <c r="DC63" s="550">
        <f t="shared" si="41"/>
        <v>0.28319059629844812</v>
      </c>
      <c r="DE63" s="551">
        <f t="shared" si="42"/>
        <v>3745.1956360469762</v>
      </c>
      <c r="DH63" s="547">
        <f>'Hilfstabellen_Mat&amp;Bem'!$J$62</f>
        <v>3.9</v>
      </c>
      <c r="DI63" s="546">
        <f t="shared" si="43"/>
        <v>115</v>
      </c>
      <c r="DJ63" s="551">
        <f t="shared" si="44"/>
        <v>117.47822868728036</v>
      </c>
      <c r="DK63" s="553">
        <f>DJ63/PI()*SQRT('Hilfstabellen_Mat&amp;Bem'!f.Rd.3/'Hilfstabellen_Mat&amp;Bem'!$BD$30)</f>
        <v>1.8697240801260773</v>
      </c>
      <c r="DL63" s="553">
        <f>0.5*(1+'Hilfstabellen_Mat&amp;Bem'!$BD$31*(DK63-0.3)+DK63^2)</f>
        <v>2.3264202719079567</v>
      </c>
      <c r="DM63" s="550">
        <f t="shared" si="45"/>
        <v>0.26948744862253027</v>
      </c>
      <c r="DO63" s="551">
        <f t="shared" si="46"/>
        <v>3563.9715080329629</v>
      </c>
      <c r="DR63" s="547">
        <f>'Hilfstabellen_Mat&amp;Bem'!$J$63</f>
        <v>4</v>
      </c>
      <c r="DS63" s="546">
        <f t="shared" si="47"/>
        <v>115</v>
      </c>
      <c r="DT63" s="551">
        <f t="shared" si="48"/>
        <v>120.49049096131318</v>
      </c>
      <c r="DU63" s="553">
        <f>DT63/PI()*SQRT('Hilfstabellen_Mat&amp;Bem'!f.Rd.3/'Hilfstabellen_Mat&amp;Bem'!$BD$30)</f>
        <v>1.9176657232062331</v>
      </c>
      <c r="DV63" s="553">
        <f>0.5*(1+'Hilfstabellen_Mat&amp;Bem'!$BD$31*(DU63-0.3)+DU63^2)</f>
        <v>2.4196041991403541</v>
      </c>
      <c r="DW63" s="550">
        <f t="shared" si="49"/>
        <v>0.25673382781317161</v>
      </c>
      <c r="DY63" s="551">
        <f t="shared" si="50"/>
        <v>3395.3048728291947</v>
      </c>
      <c r="EB63" s="547">
        <f>'Hilfstabellen_Mat&amp;Bem'!$J$64</f>
        <v>4.0999999999999996</v>
      </c>
      <c r="EC63" s="546">
        <f t="shared" si="51"/>
        <v>115</v>
      </c>
      <c r="ED63" s="551">
        <f t="shared" si="52"/>
        <v>123.50275323534602</v>
      </c>
      <c r="EE63" s="553">
        <f>ED63/PI()*SQRT('Hilfstabellen_Mat&amp;Bem'!f.Rd.3/'Hilfstabellen_Mat&amp;Bem'!$BD$30)</f>
        <v>1.9656073662863891</v>
      </c>
      <c r="EF63" s="553">
        <f>0.5*(1+'Hilfstabellen_Mat&amp;Bem'!$BD$31*(EE63-0.3)+EE63^2)</f>
        <v>2.5150865275139771</v>
      </c>
      <c r="EG63" s="550">
        <f t="shared" si="53"/>
        <v>0.24484731318598796</v>
      </c>
      <c r="EI63" s="551">
        <f t="shared" si="54"/>
        <v>3238.1057168846905</v>
      </c>
      <c r="EL63" s="547">
        <f>'Hilfstabellen_Mat&amp;Bem'!$J$65</f>
        <v>4.2</v>
      </c>
      <c r="EM63" s="546">
        <f t="shared" si="55"/>
        <v>115</v>
      </c>
      <c r="EN63" s="551">
        <f t="shared" si="56"/>
        <v>126.51501550937886</v>
      </c>
      <c r="EO63" s="553">
        <f>EN63/PI()*SQRT('Hilfstabellen_Mat&amp;Bem'!f.Rd.3/'Hilfstabellen_Mat&amp;Bem'!$BD$30)</f>
        <v>2.0135490093665451</v>
      </c>
      <c r="EP63" s="553">
        <f>0.5*(1+'Hilfstabellen_Mat&amp;Bem'!$BD$31*(EO63-0.3)+EO63^2)</f>
        <v>2.6128672570288245</v>
      </c>
      <c r="EQ63" s="550">
        <f t="shared" si="57"/>
        <v>0.23375362082353249</v>
      </c>
      <c r="ES63" s="551">
        <f t="shared" si="58"/>
        <v>3091.3916353912173</v>
      </c>
    </row>
    <row r="64" spans="3:149">
      <c r="C64" s="546">
        <v>116</v>
      </c>
      <c r="D64" s="551">
        <f t="shared" si="8"/>
        <v>83.616245882635454</v>
      </c>
      <c r="E64" s="553">
        <f>$D64/PI()*SQRT('Hilfstabellen_Mat&amp;Bem'!f.Rd.3/'Hilfstabellen_Mat&amp;Bem'!$BD$30)</f>
        <v>1.3307938855008774</v>
      </c>
      <c r="F64" s="553">
        <f>0.5*(1+'Hilfstabellen_Mat&amp;Bem'!$BD$31*($E64-0.3)+$E64^2)</f>
        <v>1.437045877118305</v>
      </c>
      <c r="G64" s="550">
        <f t="shared" si="9"/>
        <v>0.50521760016106154</v>
      </c>
      <c r="I64" s="551">
        <f t="shared" si="59"/>
        <v>6798.2080277672439</v>
      </c>
      <c r="M64" s="546">
        <f t="shared" si="11"/>
        <v>116</v>
      </c>
      <c r="N64" s="551">
        <f t="shared" si="0"/>
        <v>86.602540378443862</v>
      </c>
      <c r="O64" s="553">
        <f>$N64/PI()*SQRT('Hilfstabellen_Mat&amp;Bem'!f.Rd.3/'Hilfstabellen_Mat&amp;Bem'!$BD$30)</f>
        <v>1.3783222385544802</v>
      </c>
      <c r="P64" s="553">
        <f>0.5*(1+'Hilfstabellen_Mat&amp;Bem'!$BD$31*($O64-0.3)+$O64^2)</f>
        <v>1.5038022085746408</v>
      </c>
      <c r="Q64" s="550">
        <f t="shared" si="1"/>
        <v>0.47501995619125226</v>
      </c>
      <c r="S64" s="551">
        <f t="shared" si="60"/>
        <v>6391.8685305094905</v>
      </c>
      <c r="W64" s="546">
        <f t="shared" si="13"/>
        <v>116</v>
      </c>
      <c r="X64" s="551">
        <f t="shared" si="2"/>
        <v>89.588834874252271</v>
      </c>
      <c r="Y64" s="553">
        <f>$X64/PI()*SQRT('Hilfstabellen_Mat&amp;Bem'!f.Rd.3/'Hilfstabellen_Mat&amp;Bem'!$BD$30)</f>
        <v>1.425850591608083</v>
      </c>
      <c r="Z64" s="553">
        <f>0.5*(1+'Hilfstabellen_Mat&amp;Bem'!$BD$31*($Y64-0.3)+$Y64^2)</f>
        <v>1.5728174843749645</v>
      </c>
      <c r="AA64" s="550">
        <f t="shared" si="3"/>
        <v>0.44709250570667469</v>
      </c>
      <c r="AC64" s="551">
        <f t="shared" si="61"/>
        <v>6016.0767567890143</v>
      </c>
      <c r="AG64" s="546">
        <f t="shared" si="15"/>
        <v>116</v>
      </c>
      <c r="AH64" s="551">
        <f t="shared" si="4"/>
        <v>92.575129370060679</v>
      </c>
      <c r="AI64" s="553">
        <f>$AH64/PI()*SQRT('Hilfstabellen_Mat&amp;Bem'!f.Rd.3/'Hilfstabellen_Mat&amp;Bem'!$BD$30)</f>
        <v>1.4733789446616858</v>
      </c>
      <c r="AJ64" s="553">
        <f>0.5*(1+'Hilfstabellen_Mat&amp;Bem'!$BD$31*($AI64-0.3)+$AI64^2)</f>
        <v>1.6440917045192758</v>
      </c>
      <c r="AK64" s="550">
        <f t="shared" si="5"/>
        <v>0.42129980163076985</v>
      </c>
      <c r="AM64" s="551">
        <f t="shared" si="62"/>
        <v>5669.0101307436389</v>
      </c>
      <c r="AQ64" s="546">
        <f t="shared" si="17"/>
        <v>116</v>
      </c>
      <c r="AR64" s="551">
        <f t="shared" si="6"/>
        <v>95.561423865869074</v>
      </c>
      <c r="AS64" s="553">
        <f>$AR64/PI()*SQRT('Hilfstabellen_Mat&amp;Bem'!f.Rd.3/'Hilfstabellen_Mat&amp;Bem'!$BD$30)</f>
        <v>1.5209072977152882</v>
      </c>
      <c r="AT64" s="553">
        <f>0.5*(1+'Hilfstabellen_Mat&amp;Bem'!$BD$31*($AS64-0.3)+$AS64^2)</f>
        <v>1.7176248690075746</v>
      </c>
      <c r="AU64" s="550">
        <f t="shared" si="7"/>
        <v>0.39748860480649884</v>
      </c>
      <c r="AW64" s="551">
        <f t="shared" si="63"/>
        <v>5348.6066662762487</v>
      </c>
      <c r="AZ64" s="547">
        <f>'Hilfstabellen_Mat&amp;Bem'!$J$56</f>
        <v>3.3</v>
      </c>
      <c r="BA64" s="546">
        <f t="shared" si="19"/>
        <v>116</v>
      </c>
      <c r="BB64" s="551">
        <f t="shared" si="20"/>
        <v>98.547718361677497</v>
      </c>
      <c r="BC64" s="553">
        <f>BB64/PI()*SQRT('Hilfstabellen_Mat&amp;Bem'!f.Rd.3/'Hilfstabellen_Mat&amp;Bem'!$BD$30)</f>
        <v>1.5684356507688912</v>
      </c>
      <c r="BD64" s="553">
        <f>0.5*(1+'Hilfstabellen_Mat&amp;Bem'!$BD$31*(BC64-0.3)+BC64^2)</f>
        <v>1.7934169778398621</v>
      </c>
      <c r="BE64" s="550">
        <f t="shared" si="21"/>
        <v>0.37550178783280713</v>
      </c>
      <c r="BG64" s="551">
        <f t="shared" si="22"/>
        <v>5052.7520570782526</v>
      </c>
      <c r="BJ64" s="547">
        <f>'Hilfstabellen_Mat&amp;Bem'!$J$57</f>
        <v>3.4</v>
      </c>
      <c r="BK64" s="546">
        <f t="shared" si="23"/>
        <v>116</v>
      </c>
      <c r="BL64" s="551">
        <f t="shared" si="24"/>
        <v>101.53401285748591</v>
      </c>
      <c r="BM64" s="553">
        <f>BL64/PI()*SQRT('Hilfstabellen_Mat&amp;Bem'!f.Rd.3/'Hilfstabellen_Mat&amp;Bem'!$BD$30)</f>
        <v>1.6159640038224941</v>
      </c>
      <c r="BN64" s="553">
        <f>0.5*(1+'Hilfstabellen_Mat&amp;Bem'!$BD$31*(BM64-0.3)+BM64^2)</f>
        <v>1.8714680310161373</v>
      </c>
      <c r="BO64" s="550">
        <f t="shared" si="25"/>
        <v>0.3551862842229207</v>
      </c>
      <c r="BQ64" s="551">
        <f t="shared" si="26"/>
        <v>4779.3866405036206</v>
      </c>
      <c r="BT64" s="547">
        <f>'Hilfstabellen_Mat&amp;Bem'!$J$58</f>
        <v>3.5</v>
      </c>
      <c r="BU64" s="546">
        <f t="shared" si="27"/>
        <v>116</v>
      </c>
      <c r="BV64" s="551">
        <f t="shared" si="28"/>
        <v>104.52030735329431</v>
      </c>
      <c r="BW64" s="553">
        <f>BV64/PI()*SQRT('Hilfstabellen_Mat&amp;Bem'!f.Rd.3/'Hilfstabellen_Mat&amp;Bem'!$BD$30)</f>
        <v>1.6634923568760969</v>
      </c>
      <c r="BX64" s="553">
        <f>0.5*(1+'Hilfstabellen_Mat&amp;Bem'!$BD$31*(BW64-0.3)+BW64^2)</f>
        <v>1.9517780285364008</v>
      </c>
      <c r="BY64" s="550">
        <f t="shared" si="29"/>
        <v>0.33639735117009351</v>
      </c>
      <c r="CA64" s="551">
        <f t="shared" si="30"/>
        <v>4526.5627573447782</v>
      </c>
      <c r="CD64" s="547">
        <f>'Hilfstabellen_Mat&amp;Bem'!$J$59</f>
        <v>3.6</v>
      </c>
      <c r="CE64" s="546">
        <f t="shared" si="31"/>
        <v>116</v>
      </c>
      <c r="CF64" s="551">
        <f t="shared" si="32"/>
        <v>107.50660184910272</v>
      </c>
      <c r="CG64" s="553">
        <f>CF64/PI()*SQRT('Hilfstabellen_Mat&amp;Bem'!f.Rd.3/'Hilfstabellen_Mat&amp;Bem'!$BD$30)</f>
        <v>1.7110207099296995</v>
      </c>
      <c r="CH64" s="553">
        <f>0.5*(1+'Hilfstabellen_Mat&amp;Bem'!$BD$31*(CG64-0.3)+CG64^2)</f>
        <v>2.0343469704006512</v>
      </c>
      <c r="CI64" s="550">
        <f t="shared" si="33"/>
        <v>0.31900059482699777</v>
      </c>
      <c r="CK64" s="551">
        <f t="shared" si="34"/>
        <v>4292.4720039920821</v>
      </c>
      <c r="CN64" s="547">
        <f>'Hilfstabellen_Mat&amp;Bem'!$J$60</f>
        <v>3.7</v>
      </c>
      <c r="CO64" s="546">
        <f t="shared" si="35"/>
        <v>116</v>
      </c>
      <c r="CP64" s="551">
        <f t="shared" si="36"/>
        <v>110.49289634491113</v>
      </c>
      <c r="CQ64" s="553">
        <f>CP64/PI()*SQRT('Hilfstabellen_Mat&amp;Bem'!f.Rd.3/'Hilfstabellen_Mat&amp;Bem'!$BD$30)</f>
        <v>1.7585490629833023</v>
      </c>
      <c r="CR64" s="553">
        <f>0.5*(1+'Hilfstabellen_Mat&amp;Bem'!$BD$31*(CQ64-0.3)+CQ64^2)</f>
        <v>2.1191748566088902</v>
      </c>
      <c r="CS64" s="550">
        <f t="shared" si="37"/>
        <v>0.30287266526800227</v>
      </c>
      <c r="CU64" s="551">
        <f t="shared" si="38"/>
        <v>4075.4545838462386</v>
      </c>
      <c r="CX64" s="547">
        <f>'Hilfstabellen_Mat&amp;Bem'!$J$61</f>
        <v>3.8</v>
      </c>
      <c r="CY64" s="546">
        <f t="shared" si="39"/>
        <v>116</v>
      </c>
      <c r="CZ64" s="551">
        <f t="shared" si="40"/>
        <v>113.47919084071955</v>
      </c>
      <c r="DA64" s="553">
        <f>CZ64/PI()*SQRT('Hilfstabellen_Mat&amp;Bem'!f.Rd.3/'Hilfstabellen_Mat&amp;Bem'!$BD$30)</f>
        <v>1.8060774160369051</v>
      </c>
      <c r="DB64" s="553">
        <f>0.5*(1+'Hilfstabellen_Mat&amp;Bem'!$BD$31*(DA64-0.3)+DA64^2)</f>
        <v>2.2062616871611169</v>
      </c>
      <c r="DC64" s="550">
        <f t="shared" si="41"/>
        <v>0.2879011825914457</v>
      </c>
      <c r="DE64" s="551">
        <f t="shared" si="42"/>
        <v>3873.9983129504935</v>
      </c>
      <c r="DH64" s="547">
        <f>'Hilfstabellen_Mat&amp;Bem'!$J$62</f>
        <v>3.9</v>
      </c>
      <c r="DI64" s="546">
        <f t="shared" si="43"/>
        <v>116</v>
      </c>
      <c r="DJ64" s="551">
        <f t="shared" si="44"/>
        <v>116.46548533652795</v>
      </c>
      <c r="DK64" s="553">
        <f>DJ64/PI()*SQRT('Hilfstabellen_Mat&amp;Bem'!f.Rd.3/'Hilfstabellen_Mat&amp;Bem'!$BD$30)</f>
        <v>1.8536057690905079</v>
      </c>
      <c r="DL64" s="553">
        <f>0.5*(1+'Hilfstabellen_Mat&amp;Bem'!$BD$31*(DK64-0.3)+DK64^2)</f>
        <v>2.2956074620573319</v>
      </c>
      <c r="DM64" s="550">
        <f t="shared" si="45"/>
        <v>0.27398423869913197</v>
      </c>
      <c r="DO64" s="551">
        <f t="shared" si="46"/>
        <v>3686.7319159355197</v>
      </c>
      <c r="DR64" s="547">
        <f>'Hilfstabellen_Mat&amp;Bem'!$J$63</f>
        <v>4</v>
      </c>
      <c r="DS64" s="546">
        <f t="shared" si="47"/>
        <v>116</v>
      </c>
      <c r="DT64" s="551">
        <f t="shared" si="48"/>
        <v>119.45177983233637</v>
      </c>
      <c r="DU64" s="553">
        <f>DT64/PI()*SQRT('Hilfstabellen_Mat&amp;Bem'!f.Rd.3/'Hilfstabellen_Mat&amp;Bem'!$BD$30)</f>
        <v>1.9011341221441107</v>
      </c>
      <c r="DV64" s="553">
        <f>0.5*(1+'Hilfstabellen_Mat&amp;Bem'!$BD$31*(DU64-0.3)+DU64^2)</f>
        <v>2.3872121812975347</v>
      </c>
      <c r="DW64" s="550">
        <f t="shared" si="49"/>
        <v>0.26102968424490225</v>
      </c>
      <c r="DY64" s="551">
        <f t="shared" si="50"/>
        <v>3512.4154311994048</v>
      </c>
      <c r="EB64" s="547">
        <f>'Hilfstabellen_Mat&amp;Bem'!$J$64</f>
        <v>4.0999999999999996</v>
      </c>
      <c r="EC64" s="546">
        <f t="shared" si="51"/>
        <v>116</v>
      </c>
      <c r="ED64" s="551">
        <f t="shared" si="52"/>
        <v>122.43807432814476</v>
      </c>
      <c r="EE64" s="553">
        <f>ED64/PI()*SQRT('Hilfstabellen_Mat&amp;Bem'!f.Rd.3/'Hilfstabellen_Mat&amp;Bem'!$BD$30)</f>
        <v>1.9486624751977133</v>
      </c>
      <c r="EF64" s="553">
        <f>0.5*(1+'Hilfstabellen_Mat&amp;Bem'!$BD$31*(EE64-0.3)+EE64^2)</f>
        <v>2.4810758448817252</v>
      </c>
      <c r="EG64" s="550">
        <f t="shared" si="53"/>
        <v>0.24895432647472257</v>
      </c>
      <c r="EI64" s="551">
        <f t="shared" si="54"/>
        <v>3349.929417043867</v>
      </c>
      <c r="EL64" s="547">
        <f>'Hilfstabellen_Mat&amp;Bem'!$J$65</f>
        <v>4.2</v>
      </c>
      <c r="EM64" s="546">
        <f t="shared" si="55"/>
        <v>116</v>
      </c>
      <c r="EN64" s="551">
        <f t="shared" si="56"/>
        <v>125.42436882395317</v>
      </c>
      <c r="EO64" s="553">
        <f>EN64/PI()*SQRT('Hilfstabellen_Mat&amp;Bem'!f.Rd.3/'Hilfstabellen_Mat&amp;Bem'!$BD$30)</f>
        <v>1.9961908282513161</v>
      </c>
      <c r="EP64" s="553">
        <f>0.5*(1+'Hilfstabellen_Mat&amp;Bem'!$BD$31*(EO64-0.3)+EO64^2)</f>
        <v>2.5771984528099035</v>
      </c>
      <c r="EQ64" s="550">
        <f t="shared" si="57"/>
        <v>0.23768311183687074</v>
      </c>
      <c r="ES64" s="551">
        <f t="shared" si="58"/>
        <v>3198.2639528769328</v>
      </c>
    </row>
    <row r="65" spans="3:149">
      <c r="C65" s="546">
        <v>117</v>
      </c>
      <c r="D65" s="551">
        <f t="shared" si="8"/>
        <v>82.9015771144078</v>
      </c>
      <c r="E65" s="553">
        <f>$D65/PI()*SQRT('Hilfstabellen_Mat&amp;Bem'!f.Rd.3/'Hilfstabellen_Mat&amp;Bem'!$BD$30)</f>
        <v>1.3194195787871947</v>
      </c>
      <c r="F65" s="553">
        <f>0.5*(1+'Hilfstabellen_Mat&amp;Bem'!$BD$31*($E65-0.3)+$E65^2)</f>
        <v>1.421404991382849</v>
      </c>
      <c r="G65" s="550">
        <f t="shared" si="9"/>
        <v>0.51279279507357522</v>
      </c>
      <c r="I65" s="551">
        <f t="shared" si="59"/>
        <v>7019.6205717621715</v>
      </c>
      <c r="M65" s="546">
        <f t="shared" si="11"/>
        <v>117</v>
      </c>
      <c r="N65" s="551">
        <f t="shared" si="0"/>
        <v>85.862347725636653</v>
      </c>
      <c r="O65" s="553">
        <f>$N65/PI()*SQRT('Hilfstabellen_Mat&amp;Bem'!f.Rd.3/'Hilfstabellen_Mat&amp;Bem'!$BD$30)</f>
        <v>1.3665417066010233</v>
      </c>
      <c r="P65" s="553">
        <f>0.5*(1+'Hilfstabellen_Mat&amp;Bem'!$BD$31*($O65-0.3)+$O65^2)</f>
        <v>1.4870452032700698</v>
      </c>
      <c r="Q65" s="550">
        <f t="shared" si="1"/>
        <v>0.48228864548225564</v>
      </c>
      <c r="S65" s="551">
        <f t="shared" si="60"/>
        <v>6602.0492680065972</v>
      </c>
      <c r="W65" s="546">
        <f t="shared" si="13"/>
        <v>117</v>
      </c>
      <c r="X65" s="551">
        <f t="shared" si="2"/>
        <v>88.823118336865505</v>
      </c>
      <c r="Y65" s="553">
        <f>$X65/PI()*SQRT('Hilfstabellen_Mat&amp;Bem'!f.Rd.3/'Hilfstabellen_Mat&amp;Bem'!$BD$30)</f>
        <v>1.4136638344148516</v>
      </c>
      <c r="Z65" s="553">
        <f>0.5*(1+'Hilfstabellen_Mat&amp;Bem'!$BD$31*($Y65-0.3)+$Y65^2)</f>
        <v>1.5549059100869931</v>
      </c>
      <c r="AA65" s="550">
        <f t="shared" si="3"/>
        <v>0.45404402109541031</v>
      </c>
      <c r="AC65" s="551">
        <f t="shared" si="61"/>
        <v>6215.4086047750716</v>
      </c>
      <c r="AG65" s="546">
        <f t="shared" si="15"/>
        <v>117</v>
      </c>
      <c r="AH65" s="551">
        <f t="shared" si="4"/>
        <v>91.783888948094344</v>
      </c>
      <c r="AI65" s="553">
        <f>$AH65/PI()*SQRT('Hilfstabellen_Mat&amp;Bem'!f.Rd.3/'Hilfstabellen_Mat&amp;Bem'!$BD$30)</f>
        <v>1.4607859622286798</v>
      </c>
      <c r="AJ65" s="553">
        <f>0.5*(1+'Hilfstabellen_Mat&amp;Bem'!$BD$31*($AI65-0.3)+$AI65^2)</f>
        <v>1.624987111833619</v>
      </c>
      <c r="AK65" s="550">
        <f t="shared" si="5"/>
        <v>0.42793436520094014</v>
      </c>
      <c r="AM65" s="551">
        <f t="shared" si="62"/>
        <v>5857.9935252356699</v>
      </c>
      <c r="AQ65" s="546">
        <f t="shared" si="17"/>
        <v>117</v>
      </c>
      <c r="AR65" s="551">
        <f t="shared" si="6"/>
        <v>94.744659559323196</v>
      </c>
      <c r="AS65" s="553">
        <f>$AR65/PI()*SQRT('Hilfstabellen_Mat&amp;Bem'!f.Rd.3/'Hilfstabellen_Mat&amp;Bem'!$BD$30)</f>
        <v>1.5079080900425081</v>
      </c>
      <c r="AT65" s="553">
        <f>0.5*(1+'Hilfstabellen_Mat&amp;Bem'!$BD$31*($AS65-0.3)+$AS65^2)</f>
        <v>1.6972888085099478</v>
      </c>
      <c r="AU65" s="550">
        <f t="shared" si="7"/>
        <v>0.40381321551421906</v>
      </c>
      <c r="AW65" s="551">
        <f t="shared" si="63"/>
        <v>5527.7991071741444</v>
      </c>
      <c r="AZ65" s="547">
        <f>'Hilfstabellen_Mat&amp;Bem'!$J$56</f>
        <v>3.3</v>
      </c>
      <c r="BA65" s="546">
        <f t="shared" si="19"/>
        <v>117</v>
      </c>
      <c r="BB65" s="551">
        <f t="shared" si="20"/>
        <v>97.705430170552049</v>
      </c>
      <c r="BC65" s="553">
        <f>BB65/PI()*SQRT('Hilfstabellen_Mat&amp;Bem'!f.Rd.3/'Hilfstabellen_Mat&amp;Bem'!$BD$30)</f>
        <v>1.5550302178563367</v>
      </c>
      <c r="BD65" s="553">
        <f>0.5*(1+'Hilfstabellen_Mat&amp;Bem'!$BD$31*(BC65-0.3)+BC65^2)</f>
        <v>1.7718110001159797</v>
      </c>
      <c r="BE65" s="550">
        <f t="shared" si="21"/>
        <v>0.38152748481419246</v>
      </c>
      <c r="BG65" s="551">
        <f t="shared" si="22"/>
        <v>5222.7297396214808</v>
      </c>
      <c r="BJ65" s="547">
        <f>'Hilfstabellen_Mat&amp;Bem'!$J$57</f>
        <v>3.4</v>
      </c>
      <c r="BK65" s="546">
        <f t="shared" si="23"/>
        <v>117</v>
      </c>
      <c r="BL65" s="551">
        <f t="shared" si="24"/>
        <v>100.6662007817809</v>
      </c>
      <c r="BM65" s="553">
        <f>BL65/PI()*SQRT('Hilfstabellen_Mat&amp;Bem'!f.Rd.3/'Hilfstabellen_Mat&amp;Bem'!$BD$30)</f>
        <v>1.6021523456701652</v>
      </c>
      <c r="BN65" s="553">
        <f>0.5*(1+'Hilfstabellen_Mat&amp;Bem'!$BD$31*(BM65-0.3)+BM65^2)</f>
        <v>1.8485536866517145</v>
      </c>
      <c r="BO65" s="550">
        <f t="shared" si="25"/>
        <v>0.36092634960518138</v>
      </c>
      <c r="BQ65" s="551">
        <f t="shared" si="26"/>
        <v>4940.7207997453279</v>
      </c>
      <c r="BT65" s="547">
        <f>'Hilfstabellen_Mat&amp;Bem'!$J$58</f>
        <v>3.5</v>
      </c>
      <c r="BU65" s="546">
        <f t="shared" si="27"/>
        <v>117</v>
      </c>
      <c r="BV65" s="551">
        <f t="shared" si="28"/>
        <v>103.62697139300975</v>
      </c>
      <c r="BW65" s="553">
        <f>BV65/PI()*SQRT('Hilfstabellen_Mat&amp;Bem'!f.Rd.3/'Hilfstabellen_Mat&amp;Bem'!$BD$30)</f>
        <v>1.6492744734839935</v>
      </c>
      <c r="BX65" s="553">
        <f>0.5*(1+'Hilfstabellen_Mat&amp;Bem'!$BD$31*(BW65-0.3)+BW65^2)</f>
        <v>1.9275168681171517</v>
      </c>
      <c r="BY65" s="550">
        <f t="shared" si="29"/>
        <v>0.341866142081305</v>
      </c>
      <c r="CA65" s="551">
        <f t="shared" si="30"/>
        <v>4679.8056189509844</v>
      </c>
      <c r="CD65" s="547">
        <f>'Hilfstabellen_Mat&amp;Bem'!$J$59</f>
        <v>3.6</v>
      </c>
      <c r="CE65" s="546">
        <f t="shared" si="31"/>
        <v>117</v>
      </c>
      <c r="CF65" s="551">
        <f t="shared" si="32"/>
        <v>106.58774200423861</v>
      </c>
      <c r="CG65" s="553">
        <f>CF65/PI()*SQRT('Hilfstabellen_Mat&amp;Bem'!f.Rd.3/'Hilfstabellen_Mat&amp;Bem'!$BD$30)</f>
        <v>1.696396601297822</v>
      </c>
      <c r="CH65" s="553">
        <f>0.5*(1+'Hilfstabellen_Mat&amp;Bem'!$BD$31*(CG65-0.3)+CG65^2)</f>
        <v>2.0087005445122919</v>
      </c>
      <c r="CI65" s="550">
        <f t="shared" si="33"/>
        <v>0.32421279324418123</v>
      </c>
      <c r="CK65" s="551">
        <f t="shared" si="34"/>
        <v>4438.1489267195966</v>
      </c>
      <c r="CN65" s="547">
        <f>'Hilfstabellen_Mat&amp;Bem'!$J$60</f>
        <v>3.7</v>
      </c>
      <c r="CO65" s="546">
        <f t="shared" si="35"/>
        <v>117</v>
      </c>
      <c r="CP65" s="551">
        <f t="shared" si="36"/>
        <v>109.54851261546744</v>
      </c>
      <c r="CQ65" s="553">
        <f>CP65/PI()*SQRT('Hilfstabellen_Mat&amp;Bem'!f.Rd.3/'Hilfstabellen_Mat&amp;Bem'!$BD$30)</f>
        <v>1.7435187291116501</v>
      </c>
      <c r="CR65" s="553">
        <f>0.5*(1+'Hilfstabellen_Mat&amp;Bem'!$BD$31*(CQ65-0.3)+CQ65^2)</f>
        <v>2.0921047158371344</v>
      </c>
      <c r="CS65" s="550">
        <f t="shared" si="37"/>
        <v>0.30784280437915346</v>
      </c>
      <c r="CU65" s="551">
        <f t="shared" si="38"/>
        <v>4214.0601491462321</v>
      </c>
      <c r="CX65" s="547">
        <f>'Hilfstabellen_Mat&amp;Bem'!$J$61</f>
        <v>3.8</v>
      </c>
      <c r="CY65" s="546">
        <f t="shared" si="39"/>
        <v>117</v>
      </c>
      <c r="CZ65" s="551">
        <f t="shared" si="40"/>
        <v>112.5092832266963</v>
      </c>
      <c r="DA65" s="553">
        <f>CZ65/PI()*SQRT('Hilfstabellen_Mat&amp;Bem'!f.Rd.3/'Hilfstabellen_Mat&amp;Bem'!$BD$30)</f>
        <v>1.7906408569254784</v>
      </c>
      <c r="DB65" s="553">
        <f>0.5*(1+'Hilfstabellen_Mat&amp;Bem'!$BD$31*(DA65-0.3)+DA65^2)</f>
        <v>2.1777293820916794</v>
      </c>
      <c r="DC65" s="550">
        <f t="shared" si="41"/>
        <v>0.29264335585735712</v>
      </c>
      <c r="DE65" s="551">
        <f t="shared" si="42"/>
        <v>4005.9948983313616</v>
      </c>
      <c r="DH65" s="547">
        <f>'Hilfstabellen_Mat&amp;Bem'!$J$62</f>
        <v>3.9</v>
      </c>
      <c r="DI65" s="546">
        <f t="shared" si="43"/>
        <v>117</v>
      </c>
      <c r="DJ65" s="551">
        <f t="shared" si="44"/>
        <v>115.47005383792515</v>
      </c>
      <c r="DK65" s="553">
        <f>DJ65/PI()*SQRT('Hilfstabellen_Mat&amp;Bem'!f.Rd.3/'Hilfstabellen_Mat&amp;Bem'!$BD$30)</f>
        <v>1.8377629847393071</v>
      </c>
      <c r="DL65" s="553">
        <f>0.5*(1+'Hilfstabellen_Mat&amp;Bem'!$BD$31*(DK65-0.3)+DK65^2)</f>
        <v>2.2655745432759287</v>
      </c>
      <c r="DM65" s="550">
        <f t="shared" si="45"/>
        <v>0.27851192942466541</v>
      </c>
      <c r="DO65" s="551">
        <f t="shared" si="46"/>
        <v>3812.5498018942449</v>
      </c>
      <c r="DR65" s="547">
        <f>'Hilfstabellen_Mat&amp;Bem'!$J$63</f>
        <v>4</v>
      </c>
      <c r="DS65" s="546">
        <f t="shared" si="47"/>
        <v>117</v>
      </c>
      <c r="DT65" s="551">
        <f t="shared" si="48"/>
        <v>118.43082444915399</v>
      </c>
      <c r="DU65" s="553">
        <f>DT65/PI()*SQRT('Hilfstabellen_Mat&amp;Bem'!f.Rd.3/'Hilfstabellen_Mat&amp;Bem'!$BD$30)</f>
        <v>1.8848851125531352</v>
      </c>
      <c r="DV65" s="553">
        <f>0.5*(1+'Hilfstabellen_Mat&amp;Bem'!$BD$31*(DU65-0.3)+DU65^2)</f>
        <v>2.3556401993898795</v>
      </c>
      <c r="DW65" s="550">
        <f t="shared" si="49"/>
        <v>0.26535567436964491</v>
      </c>
      <c r="DY65" s="551">
        <f t="shared" si="50"/>
        <v>3632.4538264460693</v>
      </c>
      <c r="EB65" s="547">
        <f>'Hilfstabellen_Mat&amp;Bem'!$J$64</f>
        <v>4.0999999999999996</v>
      </c>
      <c r="EC65" s="546">
        <f t="shared" si="51"/>
        <v>117</v>
      </c>
      <c r="ED65" s="551">
        <f t="shared" si="52"/>
        <v>121.39159506038285</v>
      </c>
      <c r="EE65" s="553">
        <f>ED65/PI()*SQRT('Hilfstabellen_Mat&amp;Bem'!f.Rd.3/'Hilfstabellen_Mat&amp;Bem'!$BD$30)</f>
        <v>1.9320072403669639</v>
      </c>
      <c r="EF65" s="553">
        <f>0.5*(1+'Hilfstabellen_Mat&amp;Bem'!$BD$31*(EE65-0.3)+EE65^2)</f>
        <v>2.447926350433534</v>
      </c>
      <c r="EG65" s="550">
        <f t="shared" si="53"/>
        <v>0.25309065709515977</v>
      </c>
      <c r="EI65" s="551">
        <f t="shared" si="54"/>
        <v>3464.5580049756422</v>
      </c>
      <c r="EL65" s="547">
        <f>'Hilfstabellen_Mat&amp;Bem'!$J$65</f>
        <v>4.2</v>
      </c>
      <c r="EM65" s="546">
        <f t="shared" si="55"/>
        <v>117</v>
      </c>
      <c r="EN65" s="551">
        <f t="shared" si="56"/>
        <v>124.35236567161169</v>
      </c>
      <c r="EO65" s="553">
        <f>EN65/PI()*SQRT('Hilfstabellen_Mat&amp;Bem'!f.Rd.3/'Hilfstabellen_Mat&amp;Bem'!$BD$30)</f>
        <v>1.979129368180792</v>
      </c>
      <c r="EP65" s="553">
        <f>0.5*(1+'Hilfstabellen_Mat&amp;Bem'!$BD$31*(EO65-0.3)+EO65^2)</f>
        <v>2.5424329964068901</v>
      </c>
      <c r="EQ65" s="550">
        <f t="shared" si="57"/>
        <v>0.24164107711066929</v>
      </c>
      <c r="ES65" s="551">
        <f t="shared" si="58"/>
        <v>3307.8247045679518</v>
      </c>
    </row>
    <row r="66" spans="3:149">
      <c r="C66" s="546">
        <v>118</v>
      </c>
      <c r="D66" s="551">
        <f t="shared" si="8"/>
        <v>82.1990213761501</v>
      </c>
      <c r="E66" s="553">
        <f>$D66/PI()*SQRT('Hilfstabellen_Mat&amp;Bem'!f.Rd.3/'Hilfstabellen_Mat&amp;Bem'!$BD$30)</f>
        <v>1.3082380569330658</v>
      </c>
      <c r="F66" s="553">
        <f>0.5*(1+'Hilfstabellen_Mat&amp;Bem'!$BD$31*($E66-0.3)+$E66^2)</f>
        <v>1.4061553096506552</v>
      </c>
      <c r="G66" s="550">
        <f t="shared" si="9"/>
        <v>0.52037268827504302</v>
      </c>
      <c r="I66" s="551">
        <f t="shared" si="59"/>
        <v>7245.6693115416992</v>
      </c>
      <c r="M66" s="546">
        <f t="shared" si="11"/>
        <v>118</v>
      </c>
      <c r="N66" s="551">
        <f t="shared" si="0"/>
        <v>85.134700711012613</v>
      </c>
      <c r="O66" s="553">
        <f>$N66/PI()*SQRT('Hilfstabellen_Mat&amp;Bem'!f.Rd.3/'Hilfstabellen_Mat&amp;Bem'!$BD$30)</f>
        <v>1.3549608446806756</v>
      </c>
      <c r="P66" s="553">
        <f>0.5*(1+'Hilfstabellen_Mat&amp;Bem'!$BD$31*($O66-0.3)+$O66^2)</f>
        <v>1.4707074875429187</v>
      </c>
      <c r="Q66" s="550">
        <f t="shared" si="1"/>
        <v>0.48957199295855036</v>
      </c>
      <c r="S66" s="551">
        <f t="shared" si="60"/>
        <v>6816.8004299548556</v>
      </c>
      <c r="W66" s="546">
        <f t="shared" si="13"/>
        <v>118</v>
      </c>
      <c r="X66" s="551">
        <f t="shared" si="2"/>
        <v>88.070380045875112</v>
      </c>
      <c r="Y66" s="553">
        <f>$X66/PI()*SQRT('Hilfstabellen_Mat&amp;Bem'!f.Rd.3/'Hilfstabellen_Mat&amp;Bem'!$BD$30)</f>
        <v>1.4016836324282851</v>
      </c>
      <c r="Z66" s="553">
        <f>0.5*(1+'Hilfstabellen_Mat&amp;Bem'!$BD$31*($Y66-0.3)+$Y66^2)</f>
        <v>1.5374426843300901</v>
      </c>
      <c r="AA66" s="550">
        <f t="shared" si="3"/>
        <v>0.46101699227991688</v>
      </c>
      <c r="AC66" s="551">
        <f t="shared" si="61"/>
        <v>6419.2006005055628</v>
      </c>
      <c r="AG66" s="546">
        <f t="shared" si="15"/>
        <v>118</v>
      </c>
      <c r="AH66" s="551">
        <f t="shared" si="4"/>
        <v>91.006059380737611</v>
      </c>
      <c r="AI66" s="553">
        <f>$AH66/PI()*SQRT('Hilfstabellen_Mat&amp;Bem'!f.Rd.3/'Hilfstabellen_Mat&amp;Bem'!$BD$30)</f>
        <v>1.4484064201758944</v>
      </c>
      <c r="AJ66" s="553">
        <f>0.5*(1+'Hilfstabellen_Mat&amp;Bem'!$BD$31*($AI66-0.3)+$AI66^2)</f>
        <v>1.6063609000121695</v>
      </c>
      <c r="AK66" s="550">
        <f t="shared" si="5"/>
        <v>0.43459491874923373</v>
      </c>
      <c r="AM66" s="551">
        <f t="shared" si="62"/>
        <v>6051.2996486643306</v>
      </c>
      <c r="AQ66" s="546">
        <f t="shared" si="17"/>
        <v>118</v>
      </c>
      <c r="AR66" s="551">
        <f t="shared" si="6"/>
        <v>93.94173871560011</v>
      </c>
      <c r="AS66" s="553">
        <f>$AR66/PI()*SQRT('Hilfstabellen_Mat&amp;Bem'!f.Rd.3/'Hilfstabellen_Mat&amp;Bem'!$BD$30)</f>
        <v>1.4951292079235037</v>
      </c>
      <c r="AT66" s="553">
        <f>0.5*(1+'Hilfstabellen_Mat&amp;Bem'!$BD$31*($AS66-0.3)+$AS66^2)</f>
        <v>1.6774621345891569</v>
      </c>
      <c r="AU66" s="550">
        <f t="shared" si="7"/>
        <v>0.41016674001163111</v>
      </c>
      <c r="AW66" s="551">
        <f t="shared" si="63"/>
        <v>5711.1616879219519</v>
      </c>
      <c r="AZ66" s="547">
        <f>'Hilfstabellen_Mat&amp;Bem'!$J$56</f>
        <v>3.3</v>
      </c>
      <c r="BA66" s="546">
        <f t="shared" si="19"/>
        <v>118</v>
      </c>
      <c r="BB66" s="551">
        <f t="shared" si="20"/>
        <v>96.877418050462623</v>
      </c>
      <c r="BC66" s="553">
        <f>BB66/PI()*SQRT('Hilfstabellen_Mat&amp;Bem'!f.Rd.3/'Hilfstabellen_Mat&amp;Bem'!$BD$30)</f>
        <v>1.5418519956711134</v>
      </c>
      <c r="BD66" s="553">
        <f>0.5*(1+'Hilfstabellen_Mat&amp;Bem'!$BD$31*(BC66-0.3)+BC66^2)</f>
        <v>1.7507463880610534</v>
      </c>
      <c r="BE66" s="550">
        <f t="shared" si="21"/>
        <v>0.38758387589476567</v>
      </c>
      <c r="BG66" s="551">
        <f t="shared" si="22"/>
        <v>5396.7178879587173</v>
      </c>
      <c r="BJ66" s="547">
        <f>'Hilfstabellen_Mat&amp;Bem'!$J$57</f>
        <v>3.4</v>
      </c>
      <c r="BK66" s="546">
        <f t="shared" si="23"/>
        <v>118</v>
      </c>
      <c r="BL66" s="551">
        <f t="shared" si="24"/>
        <v>99.813097385325136</v>
      </c>
      <c r="BM66" s="553">
        <f>BL66/PI()*SQRT('Hilfstabellen_Mat&amp;Bem'!f.Rd.3/'Hilfstabellen_Mat&amp;Bem'!$BD$30)</f>
        <v>1.5885747834187232</v>
      </c>
      <c r="BN66" s="553">
        <f>0.5*(1+'Hilfstabellen_Mat&amp;Bem'!$BD$31*(BM66-0.3)+BM66^2)</f>
        <v>1.8262136604278578</v>
      </c>
      <c r="BO66" s="550">
        <f t="shared" si="25"/>
        <v>0.36669807787024455</v>
      </c>
      <c r="BQ66" s="551">
        <f t="shared" si="26"/>
        <v>5105.904036265285</v>
      </c>
      <c r="BT66" s="547">
        <f>'Hilfstabellen_Mat&amp;Bem'!$J$58</f>
        <v>3.5</v>
      </c>
      <c r="BU66" s="546">
        <f t="shared" si="27"/>
        <v>118</v>
      </c>
      <c r="BV66" s="551">
        <f t="shared" si="28"/>
        <v>102.74877672018764</v>
      </c>
      <c r="BW66" s="553">
        <f>BV66/PI()*SQRT('Hilfstabellen_Mat&amp;Bem'!f.Rd.3/'Hilfstabellen_Mat&amp;Bem'!$BD$30)</f>
        <v>1.6352975711663325</v>
      </c>
      <c r="BX66" s="553">
        <f>0.5*(1+'Hilfstabellen_Mat&amp;Bem'!$BD$31*(BW66-0.3)+BW66^2)</f>
        <v>1.9038639516895697</v>
      </c>
      <c r="BY66" s="550">
        <f t="shared" si="29"/>
        <v>0.347366989273525</v>
      </c>
      <c r="CA66" s="551">
        <f t="shared" si="30"/>
        <v>4836.7379586445622</v>
      </c>
      <c r="CD66" s="547">
        <f>'Hilfstabellen_Mat&amp;Bem'!$J$59</f>
        <v>3.6</v>
      </c>
      <c r="CE66" s="546">
        <f t="shared" si="31"/>
        <v>118</v>
      </c>
      <c r="CF66" s="551">
        <f t="shared" si="32"/>
        <v>105.68445605505013</v>
      </c>
      <c r="CG66" s="553">
        <f>CF66/PI()*SQRT('Hilfstabellen_Mat&amp;Bem'!f.Rd.3/'Hilfstabellen_Mat&amp;Bem'!$BD$30)</f>
        <v>1.6820203589139417</v>
      </c>
      <c r="CH66" s="553">
        <f>0.5*(1+'Hilfstabellen_Mat&amp;Bem'!$BD$31*(CG66-0.3)+CG66^2)</f>
        <v>1.9836972618461899</v>
      </c>
      <c r="CI66" s="550">
        <f t="shared" si="33"/>
        <v>0.32945703447613567</v>
      </c>
      <c r="CK66" s="551">
        <f t="shared" si="34"/>
        <v>4587.3597480457129</v>
      </c>
      <c r="CN66" s="547">
        <f>'Hilfstabellen_Mat&amp;Bem'!$J$60</f>
        <v>3.7</v>
      </c>
      <c r="CO66" s="546">
        <f t="shared" si="35"/>
        <v>118</v>
      </c>
      <c r="CP66" s="551">
        <f t="shared" si="36"/>
        <v>108.62013538991263</v>
      </c>
      <c r="CQ66" s="553">
        <f>CP66/PI()*SQRT('Hilfstabellen_Mat&amp;Bem'!f.Rd.3/'Hilfstabellen_Mat&amp;Bem'!$BD$30)</f>
        <v>1.7287431466615513</v>
      </c>
      <c r="CR66" s="553">
        <f>0.5*(1+'Hilfstabellen_Mat&amp;Bem'!$BD$31*(CQ66-0.3)+CQ66^2)</f>
        <v>2.0657135908977184</v>
      </c>
      <c r="CS66" s="550">
        <f t="shared" si="37"/>
        <v>0.31284468678872124</v>
      </c>
      <c r="CU66" s="551">
        <f t="shared" si="38"/>
        <v>4356.0494188461544</v>
      </c>
      <c r="CX66" s="547">
        <f>'Hilfstabellen_Mat&amp;Bem'!$J$61</f>
        <v>3.8</v>
      </c>
      <c r="CY66" s="546">
        <f t="shared" si="39"/>
        <v>118</v>
      </c>
      <c r="CZ66" s="551">
        <f t="shared" si="40"/>
        <v>111.55581472477515</v>
      </c>
      <c r="DA66" s="553">
        <f>CZ66/PI()*SQRT('Hilfstabellen_Mat&amp;Bem'!f.Rd.3/'Hilfstabellen_Mat&amp;Bem'!$BD$30)</f>
        <v>1.7754659344091612</v>
      </c>
      <c r="DB66" s="553">
        <f>0.5*(1+'Hilfstabellen_Mat&amp;Bem'!$BD$31*(DA66-0.3)+DA66^2)</f>
        <v>2.1499129388441558</v>
      </c>
      <c r="DC66" s="550">
        <f t="shared" si="41"/>
        <v>0.29741677388974957</v>
      </c>
      <c r="DE66" s="551">
        <f t="shared" si="42"/>
        <v>4141.2311596408726</v>
      </c>
      <c r="DH66" s="547">
        <f>'Hilfstabellen_Mat&amp;Bem'!$J$62</f>
        <v>3.9</v>
      </c>
      <c r="DI66" s="546">
        <f t="shared" si="43"/>
        <v>118</v>
      </c>
      <c r="DJ66" s="551">
        <f t="shared" si="44"/>
        <v>114.49149405963766</v>
      </c>
      <c r="DK66" s="553">
        <f>DJ66/PI()*SQRT('Hilfstabellen_Mat&amp;Bem'!f.Rd.3/'Hilfstabellen_Mat&amp;Bem'!$BD$30)</f>
        <v>1.8221887221567705</v>
      </c>
      <c r="DL66" s="553">
        <f>0.5*(1+'Hilfstabellen_Mat&amp;Bem'!$BD$31*(DK66-0.3)+DK66^2)</f>
        <v>2.2362953056855006</v>
      </c>
      <c r="DM66" s="550">
        <f t="shared" si="45"/>
        <v>0.28307023035166401</v>
      </c>
      <c r="DO66" s="551">
        <f t="shared" si="46"/>
        <v>3941.4698874165697</v>
      </c>
      <c r="DR66" s="547">
        <f>'Hilfstabellen_Mat&amp;Bem'!$J$63</f>
        <v>4</v>
      </c>
      <c r="DS66" s="546">
        <f t="shared" si="47"/>
        <v>118</v>
      </c>
      <c r="DT66" s="551">
        <f t="shared" si="48"/>
        <v>117.42717339450016</v>
      </c>
      <c r="DU66" s="553">
        <f>DT66/PI()*SQRT('Hilfstabellen_Mat&amp;Bem'!f.Rd.3/'Hilfstabellen_Mat&amp;Bem'!$BD$30)</f>
        <v>1.86891150990438</v>
      </c>
      <c r="DV66" s="553">
        <f>0.5*(1+'Hilfstabellen_Mat&amp;Bem'!$BD$31*(DU66-0.3)+DU66^2)</f>
        <v>2.3248606914217538</v>
      </c>
      <c r="DW66" s="550">
        <f t="shared" si="49"/>
        <v>0.2697115498434986</v>
      </c>
      <c r="DY66" s="551">
        <f t="shared" si="50"/>
        <v>3755.4636200208747</v>
      </c>
      <c r="EB66" s="547">
        <f>'Hilfstabellen_Mat&amp;Bem'!$J$64</f>
        <v>4.0999999999999996</v>
      </c>
      <c r="EC66" s="546">
        <f t="shared" si="51"/>
        <v>118</v>
      </c>
      <c r="ED66" s="551">
        <f t="shared" si="52"/>
        <v>120.36285272936266</v>
      </c>
      <c r="EE66" s="553">
        <f>ED66/PI()*SQRT('Hilfstabellen_Mat&amp;Bem'!f.Rd.3/'Hilfstabellen_Mat&amp;Bem'!$BD$30)</f>
        <v>1.9156342976519896</v>
      </c>
      <c r="EF66" s="553">
        <f>0.5*(1+'Hilfstabellen_Mat&amp;Bem'!$BD$31*(EE66-0.3)+EE66^2)</f>
        <v>2.4156090960529153</v>
      </c>
      <c r="EG66" s="550">
        <f t="shared" si="53"/>
        <v>0.25725609123471033</v>
      </c>
      <c r="EI66" s="551">
        <f t="shared" si="54"/>
        <v>3582.0338143521067</v>
      </c>
      <c r="EL66" s="547">
        <f>'Hilfstabellen_Mat&amp;Bem'!$J$65</f>
        <v>4.2</v>
      </c>
      <c r="EM66" s="546">
        <f t="shared" si="55"/>
        <v>118</v>
      </c>
      <c r="EN66" s="551">
        <f t="shared" si="56"/>
        <v>123.29853206422516</v>
      </c>
      <c r="EO66" s="553">
        <f>EN66/PI()*SQRT('Hilfstabellen_Mat&amp;Bem'!f.Rd.3/'Hilfstabellen_Mat&amp;Bem'!$BD$30)</f>
        <v>1.9623570853995991</v>
      </c>
      <c r="EP66" s="553">
        <f>0.5*(1+'Hilfstabellen_Mat&amp;Bem'!$BD$31*(EO66-0.3)+EO66^2)</f>
        <v>2.5085405195789847</v>
      </c>
      <c r="EQ66" s="550">
        <f t="shared" si="57"/>
        <v>0.24562733137390519</v>
      </c>
      <c r="ES66" s="551">
        <f t="shared" si="58"/>
        <v>3420.1149620502561</v>
      </c>
    </row>
    <row r="67" spans="3:149">
      <c r="C67" s="546">
        <v>119</v>
      </c>
      <c r="D67" s="551">
        <f t="shared" si="8"/>
        <v>81.508273297358926</v>
      </c>
      <c r="E67" s="553">
        <f>$D67/PI()*SQRT('Hilfstabellen_Mat&amp;Bem'!f.Rd.3/'Hilfstabellen_Mat&amp;Bem'!$BD$30)</f>
        <v>1.2972444598159814</v>
      </c>
      <c r="F67" s="553">
        <f>0.5*(1+'Hilfstabellen_Mat&amp;Bem'!$BD$31*($E67-0.3)+$E67^2)</f>
        <v>1.3912838172524276</v>
      </c>
      <c r="G67" s="550">
        <f t="shared" si="9"/>
        <v>0.52795429864782362</v>
      </c>
      <c r="I67" s="551">
        <f t="shared" si="59"/>
        <v>7476.3608231518301</v>
      </c>
      <c r="M67" s="546">
        <f t="shared" si="11"/>
        <v>119</v>
      </c>
      <c r="N67" s="551">
        <f t="shared" si="0"/>
        <v>84.419283057978888</v>
      </c>
      <c r="O67" s="553">
        <f>$N67/PI()*SQRT('Hilfstabellen_Mat&amp;Bem'!f.Rd.3/'Hilfstabellen_Mat&amp;Bem'!$BD$30)</f>
        <v>1.3435746190951237</v>
      </c>
      <c r="P67" s="553">
        <f>0.5*(1+'Hilfstabellen_Mat&amp;Bem'!$BD$31*($O67-0.3)+$O67^2)</f>
        <v>1.4547751094930597</v>
      </c>
      <c r="Q67" s="550">
        <f t="shared" si="1"/>
        <v>0.49686767306333296</v>
      </c>
      <c r="S67" s="551">
        <f t="shared" si="60"/>
        <v>7036.1431182498582</v>
      </c>
      <c r="W67" s="546">
        <f t="shared" si="13"/>
        <v>119</v>
      </c>
      <c r="X67" s="551">
        <f t="shared" si="2"/>
        <v>87.330292818598849</v>
      </c>
      <c r="Y67" s="553">
        <f>$X67/PI()*SQRT('Hilfstabellen_Mat&amp;Bem'!f.Rd.3/'Hilfstabellen_Mat&amp;Bem'!$BD$30)</f>
        <v>1.3899047783742657</v>
      </c>
      <c r="Z67" s="553">
        <f>0.5*(1+'Hilfstabellen_Mat&amp;Bem'!$BD$31*($Y67-0.3)+$Y67^2)</f>
        <v>1.5204128853925218</v>
      </c>
      <c r="AA67" s="550">
        <f t="shared" si="3"/>
        <v>0.46800959953350701</v>
      </c>
      <c r="AC67" s="551">
        <f t="shared" si="61"/>
        <v>6627.4839389939925</v>
      </c>
      <c r="AG67" s="546">
        <f t="shared" si="15"/>
        <v>119</v>
      </c>
      <c r="AH67" s="551">
        <f t="shared" si="4"/>
        <v>90.241302579218811</v>
      </c>
      <c r="AI67" s="553">
        <f>$AH67/PI()*SQRT('Hilfstabellen_Mat&amp;Bem'!f.Rd.3/'Hilfstabellen_Mat&amp;Bem'!$BD$30)</f>
        <v>1.436234937653408</v>
      </c>
      <c r="AJ67" s="553">
        <f>0.5*(1+'Hilfstabellen_Mat&amp;Bem'!$BD$31*($AI67-0.3)+$AI67^2)</f>
        <v>1.588197144950815</v>
      </c>
      <c r="AK67" s="550">
        <f t="shared" si="5"/>
        <v>0.44128002843376263</v>
      </c>
      <c r="AM67" s="551">
        <f t="shared" si="62"/>
        <v>6248.9664826505123</v>
      </c>
      <c r="AQ67" s="546">
        <f t="shared" si="17"/>
        <v>119</v>
      </c>
      <c r="AR67" s="551">
        <f t="shared" si="6"/>
        <v>93.152312339838772</v>
      </c>
      <c r="AS67" s="553">
        <f>$AR67/PI()*SQRT('Hilfstabellen_Mat&amp;Bem'!f.Rd.3/'Hilfstabellen_Mat&amp;Bem'!$BD$30)</f>
        <v>1.4825650969325501</v>
      </c>
      <c r="AT67" s="553">
        <f>0.5*(1+'Hilfstabellen_Mat&amp;Bem'!$BD$31*($AS67-0.3)+$AS67^2)</f>
        <v>1.6581278881679382</v>
      </c>
      <c r="AU67" s="550">
        <f t="shared" si="7"/>
        <v>0.4165480384001905</v>
      </c>
      <c r="AW67" s="551">
        <f t="shared" si="63"/>
        <v>5898.7367717850975</v>
      </c>
      <c r="AZ67" s="547">
        <f>'Hilfstabellen_Mat&amp;Bem'!$J$56</f>
        <v>3.3</v>
      </c>
      <c r="BA67" s="546">
        <f t="shared" si="19"/>
        <v>119</v>
      </c>
      <c r="BB67" s="551">
        <f t="shared" si="20"/>
        <v>96.063322100458734</v>
      </c>
      <c r="BC67" s="553">
        <f>BB67/PI()*SQRT('Hilfstabellen_Mat&amp;Bem'!f.Rd.3/'Hilfstabellen_Mat&amp;Bem'!$BD$30)</f>
        <v>1.5288952562116922</v>
      </c>
      <c r="BD67" s="553">
        <f>0.5*(1+'Hilfstabellen_Mat&amp;Bem'!$BD$31*(BC67-0.3)+BC67^2)</f>
        <v>1.7302051150438924</v>
      </c>
      <c r="BE67" s="550">
        <f t="shared" si="21"/>
        <v>0.39367004597071226</v>
      </c>
      <c r="BG67" s="551">
        <f t="shared" si="22"/>
        <v>5574.7615209912565</v>
      </c>
      <c r="BJ67" s="547">
        <f>'Hilfstabellen_Mat&amp;Bem'!$J$57</f>
        <v>3.4</v>
      </c>
      <c r="BK67" s="546">
        <f t="shared" si="23"/>
        <v>119</v>
      </c>
      <c r="BL67" s="551">
        <f t="shared" si="24"/>
        <v>98.974331861078696</v>
      </c>
      <c r="BM67" s="553">
        <f>BL67/PI()*SQRT('Hilfstabellen_Mat&amp;Bem'!f.Rd.3/'Hilfstabellen_Mat&amp;Bem'!$BD$30)</f>
        <v>1.5752254154908345</v>
      </c>
      <c r="BN67" s="553">
        <f>0.5*(1+'Hilfstabellen_Mat&amp;Bem'!$BD$31*(BM67-0.3)+BM67^2)</f>
        <v>1.804428825578678</v>
      </c>
      <c r="BO67" s="550">
        <f t="shared" si="25"/>
        <v>0.3725007270207823</v>
      </c>
      <c r="BQ67" s="551">
        <f t="shared" si="26"/>
        <v>5274.9827953412978</v>
      </c>
      <c r="BT67" s="547">
        <f>'Hilfstabellen_Mat&amp;Bem'!$J$58</f>
        <v>3.5</v>
      </c>
      <c r="BU67" s="546">
        <f t="shared" si="27"/>
        <v>119</v>
      </c>
      <c r="BV67" s="551">
        <f t="shared" si="28"/>
        <v>101.88534162169866</v>
      </c>
      <c r="BW67" s="553">
        <f>BV67/PI()*SQRT('Hilfstabellen_Mat&amp;Bem'!f.Rd.3/'Hilfstabellen_Mat&amp;Bem'!$BD$30)</f>
        <v>1.6215555747699768</v>
      </c>
      <c r="BX67" s="553">
        <f>0.5*(1+'Hilfstabellen_Mat&amp;Bem'!$BD$31*(BW67-0.3)+BW67^2)</f>
        <v>1.8807990197722937</v>
      </c>
      <c r="BY67" s="550">
        <f t="shared" si="29"/>
        <v>0.35289928518446811</v>
      </c>
      <c r="CA67" s="551">
        <f t="shared" si="30"/>
        <v>4997.4067774972527</v>
      </c>
      <c r="CD67" s="547">
        <f>'Hilfstabellen_Mat&amp;Bem'!$J$59</f>
        <v>3.6</v>
      </c>
      <c r="CE67" s="546">
        <f t="shared" si="31"/>
        <v>119</v>
      </c>
      <c r="CF67" s="551">
        <f t="shared" si="32"/>
        <v>104.79635138231862</v>
      </c>
      <c r="CG67" s="553">
        <f>CF67/PI()*SQRT('Hilfstabellen_Mat&amp;Bem'!f.Rd.3/'Hilfstabellen_Mat&amp;Bem'!$BD$30)</f>
        <v>1.6678857340491189</v>
      </c>
      <c r="CH67" s="553">
        <f>0.5*(1+'Hilfstabellen_Mat&amp;Bem'!$BD$31*(CG67-0.3)+CG67^2)</f>
        <v>1.9593156976247399</v>
      </c>
      <c r="CI67" s="550">
        <f t="shared" si="33"/>
        <v>0.33473281632285251</v>
      </c>
      <c r="CK67" s="551">
        <f t="shared" si="34"/>
        <v>4740.1514119479143</v>
      </c>
      <c r="CN67" s="547">
        <f>'Hilfstabellen_Mat&amp;Bem'!$J$60</f>
        <v>3.7</v>
      </c>
      <c r="CO67" s="546">
        <f t="shared" si="35"/>
        <v>119</v>
      </c>
      <c r="CP67" s="551">
        <f t="shared" si="36"/>
        <v>107.70736114293858</v>
      </c>
      <c r="CQ67" s="553">
        <f>CP67/PI()*SQRT('Hilfstabellen_Mat&amp;Bem'!f.Rd.3/'Hilfstabellen_Mat&amp;Bem'!$BD$30)</f>
        <v>1.714215893328261</v>
      </c>
      <c r="CR67" s="553">
        <f>0.5*(1+'Hilfstabellen_Mat&amp;Bem'!$BD$31*(CQ67-0.3)+CQ67^2)</f>
        <v>2.0399788591360171</v>
      </c>
      <c r="CS67" s="550">
        <f t="shared" si="37"/>
        <v>0.31787789364870961</v>
      </c>
      <c r="CU67" s="551">
        <f t="shared" si="38"/>
        <v>4501.4688519593765</v>
      </c>
      <c r="CX67" s="547">
        <f>'Hilfstabellen_Mat&amp;Bem'!$J$61</f>
        <v>3.8</v>
      </c>
      <c r="CY67" s="546">
        <f t="shared" si="39"/>
        <v>119</v>
      </c>
      <c r="CZ67" s="551">
        <f t="shared" si="40"/>
        <v>110.61837090355854</v>
      </c>
      <c r="DA67" s="553">
        <f>CZ67/PI()*SQRT('Hilfstabellen_Mat&amp;Bem'!f.Rd.3/'Hilfstabellen_Mat&amp;Bem'!$BD$30)</f>
        <v>1.760546052607403</v>
      </c>
      <c r="DB67" s="553">
        <f>0.5*(1+'Hilfstabellen_Mat&amp;Bem'!$BD$31*(DA67-0.3)+DA67^2)</f>
        <v>2.1227885043061248</v>
      </c>
      <c r="DC67" s="550">
        <f t="shared" si="41"/>
        <v>0.30222108439278861</v>
      </c>
      <c r="DE67" s="551">
        <f t="shared" si="42"/>
        <v>4279.7527760862795</v>
      </c>
      <c r="DH67" s="547">
        <f>'Hilfstabellen_Mat&amp;Bem'!$J$62</f>
        <v>3.9</v>
      </c>
      <c r="DI67" s="546">
        <f t="shared" si="43"/>
        <v>119</v>
      </c>
      <c r="DJ67" s="551">
        <f t="shared" si="44"/>
        <v>113.52938066417849</v>
      </c>
      <c r="DK67" s="553">
        <f>DJ67/PI()*SQRT('Hilfstabellen_Mat&amp;Bem'!f.Rd.3/'Hilfstabellen_Mat&amp;Bem'!$BD$30)</f>
        <v>1.8068762118865451</v>
      </c>
      <c r="DL67" s="553">
        <f>0.5*(1+'Hilfstabellen_Mat&amp;Bem'!$BD$31*(DK67-0.3)+DK67^2)</f>
        <v>2.207744633135063</v>
      </c>
      <c r="DM67" s="550">
        <f t="shared" si="45"/>
        <v>0.28765884280176796</v>
      </c>
      <c r="DO67" s="551">
        <f t="shared" si="46"/>
        <v>4073.5368729158358</v>
      </c>
      <c r="DR67" s="547">
        <f>'Hilfstabellen_Mat&amp;Bem'!$J$63</f>
        <v>4</v>
      </c>
      <c r="DS67" s="546">
        <f t="shared" si="47"/>
        <v>119</v>
      </c>
      <c r="DT67" s="551">
        <f t="shared" si="48"/>
        <v>116.44039042479847</v>
      </c>
      <c r="DU67" s="553">
        <f>DT67/PI()*SQRT('Hilfstabellen_Mat&amp;Bem'!f.Rd.3/'Hilfstabellen_Mat&amp;Bem'!$BD$30)</f>
        <v>1.8532063711656876</v>
      </c>
      <c r="DV67" s="553">
        <f>0.5*(1+'Hilfstabellen_Mat&amp;Bem'!$BD$31*(DU67-0.3)+DU67^2)</f>
        <v>2.2948472456228326</v>
      </c>
      <c r="DW67" s="550">
        <f t="shared" si="49"/>
        <v>0.27409705555845504</v>
      </c>
      <c r="DY67" s="551">
        <f t="shared" si="50"/>
        <v>3881.4884037632819</v>
      </c>
      <c r="EB67" s="547">
        <f>'Hilfstabellen_Mat&amp;Bem'!$J$64</f>
        <v>4.0999999999999996</v>
      </c>
      <c r="EC67" s="546">
        <f t="shared" si="51"/>
        <v>119</v>
      </c>
      <c r="ED67" s="551">
        <f t="shared" si="52"/>
        <v>119.35140018541843</v>
      </c>
      <c r="EE67" s="553">
        <f>ED67/PI()*SQRT('Hilfstabellen_Mat&amp;Bem'!f.Rd.3/'Hilfstabellen_Mat&amp;Bem'!$BD$30)</f>
        <v>1.8995365304448297</v>
      </c>
      <c r="EF67" s="553">
        <f>0.5*(1+'Hilfstabellen_Mat&amp;Bem'!$BD$31*(EE67-0.3)+EE67^2)</f>
        <v>2.3840963417694323</v>
      </c>
      <c r="EG67" s="550">
        <f t="shared" si="53"/>
        <v>0.26145040948293319</v>
      </c>
      <c r="EI67" s="551">
        <f t="shared" si="54"/>
        <v>3702.3992486878169</v>
      </c>
      <c r="EL67" s="547">
        <f>'Hilfstabellen_Mat&amp;Bem'!$J$65</f>
        <v>4.2</v>
      </c>
      <c r="EM67" s="546">
        <f t="shared" si="55"/>
        <v>119</v>
      </c>
      <c r="EN67" s="551">
        <f t="shared" si="56"/>
        <v>122.2624099460384</v>
      </c>
      <c r="EO67" s="553">
        <f>EN67/PI()*SQRT('Hilfstabellen_Mat&amp;Bem'!f.Rd.3/'Hilfstabellen_Mat&amp;Bem'!$BD$30)</f>
        <v>1.945866689723972</v>
      </c>
      <c r="EP67" s="553">
        <f>0.5*(1+'Hilfstabellen_Mat&amp;Bem'!$BD$31*(EO67-0.3)+EO67^2)</f>
        <v>2.475491921574863</v>
      </c>
      <c r="EQ67" s="550">
        <f t="shared" si="57"/>
        <v>0.24964168469182937</v>
      </c>
      <c r="ES67" s="551">
        <f t="shared" si="58"/>
        <v>3535.1758969209959</v>
      </c>
    </row>
    <row r="68" spans="3:149">
      <c r="C68" s="546">
        <v>120</v>
      </c>
      <c r="D68" s="551">
        <f t="shared" si="8"/>
        <v>80.829037686547593</v>
      </c>
      <c r="E68" s="553">
        <f>$D68/PI()*SQRT('Hilfstabellen_Mat&amp;Bem'!f.Rd.3/'Hilfstabellen_Mat&amp;Bem'!$BD$30)</f>
        <v>1.2864340893175148</v>
      </c>
      <c r="F68" s="553">
        <f>0.5*(1+'Hilfstabellen_Mat&amp;Bem'!$BD$31*($E68-0.3)+$E68^2)</f>
        <v>1.3767780375449674</v>
      </c>
      <c r="G68" s="550">
        <f t="shared" si="9"/>
        <v>0.53553454499937725</v>
      </c>
      <c r="I68" s="551">
        <f t="shared" si="59"/>
        <v>7711.6974479910323</v>
      </c>
      <c r="M68" s="546">
        <f t="shared" si="11"/>
        <v>120</v>
      </c>
      <c r="N68" s="551">
        <f t="shared" si="0"/>
        <v>83.715789032495735</v>
      </c>
      <c r="O68" s="553">
        <f>$N68/PI()*SQRT('Hilfstabellen_Mat&amp;Bem'!f.Rd.3/'Hilfstabellen_Mat&amp;Bem'!$BD$30)</f>
        <v>1.3323781639359975</v>
      </c>
      <c r="P68" s="553">
        <f>0.5*(1+'Hilfstabellen_Mat&amp;Bem'!$BD$31*($O68-0.3)+$O68^2)</f>
        <v>1.4392346940635299</v>
      </c>
      <c r="Q68" s="550">
        <f t="shared" si="1"/>
        <v>0.50417327674815737</v>
      </c>
      <c r="S68" s="551">
        <f t="shared" si="60"/>
        <v>7260.0951851734662</v>
      </c>
      <c r="W68" s="546">
        <f t="shared" si="13"/>
        <v>120</v>
      </c>
      <c r="X68" s="551">
        <f t="shared" si="2"/>
        <v>86.602540378443862</v>
      </c>
      <c r="Y68" s="553">
        <f>$X68/PI()*SQRT('Hilfstabellen_Mat&amp;Bem'!f.Rd.3/'Hilfstabellen_Mat&amp;Bem'!$BD$30)</f>
        <v>1.3783222385544802</v>
      </c>
      <c r="Z68" s="553">
        <f>0.5*(1+'Hilfstabellen_Mat&amp;Bem'!$BD$31*($Y68-0.3)+$Y68^2)</f>
        <v>1.5038022085746408</v>
      </c>
      <c r="AA68" s="550">
        <f t="shared" si="3"/>
        <v>0.47501995619125226</v>
      </c>
      <c r="AC68" s="551">
        <f t="shared" si="61"/>
        <v>6840.2873691540326</v>
      </c>
      <c r="AG68" s="546">
        <f t="shared" si="15"/>
        <v>120</v>
      </c>
      <c r="AH68" s="551">
        <f t="shared" si="4"/>
        <v>89.48929172439199</v>
      </c>
      <c r="AI68" s="553">
        <f>$AH68/PI()*SQRT('Hilfstabellen_Mat&amp;Bem'!f.Rd.3/'Hilfstabellen_Mat&amp;Bem'!$BD$30)</f>
        <v>1.4242663131729629</v>
      </c>
      <c r="AJ68" s="553">
        <f>0.5*(1+'Hilfstabellen_Mat&amp;Bem'!$BD$31*($AI68-0.3)+$AI68^2)</f>
        <v>1.5704805810783005</v>
      </c>
      <c r="AK68" s="550">
        <f t="shared" si="5"/>
        <v>0.44798820768125308</v>
      </c>
      <c r="AM68" s="551">
        <f t="shared" si="62"/>
        <v>6451.030190610044</v>
      </c>
      <c r="AQ68" s="546">
        <f t="shared" si="17"/>
        <v>120</v>
      </c>
      <c r="AR68" s="551">
        <f t="shared" si="6"/>
        <v>92.376043070340117</v>
      </c>
      <c r="AS68" s="553">
        <f>$AR68/PI()*SQRT('Hilfstabellen_Mat&amp;Bem'!f.Rd.3/'Hilfstabellen_Mat&amp;Bem'!$BD$30)</f>
        <v>1.4702103877914456</v>
      </c>
      <c r="AT68" s="553">
        <f>0.5*(1+'Hilfstabellen_Mat&amp;Bem'!$BD$31*($AS68-0.3)+$AS68^2)</f>
        <v>1.6392698115745088</v>
      </c>
      <c r="AU68" s="550">
        <f t="shared" si="7"/>
        <v>0.42295592948760607</v>
      </c>
      <c r="AW68" s="551">
        <f t="shared" si="63"/>
        <v>6090.5653846215273</v>
      </c>
      <c r="AZ68" s="547">
        <f>'Hilfstabellen_Mat&amp;Bem'!$J$56</f>
        <v>3.3</v>
      </c>
      <c r="BA68" s="546">
        <f t="shared" si="19"/>
        <v>120</v>
      </c>
      <c r="BB68" s="551">
        <f t="shared" si="20"/>
        <v>95.262794416288244</v>
      </c>
      <c r="BC68" s="553">
        <f>BB68/PI()*SQRT('Hilfstabellen_Mat&amp;Bem'!f.Rd.3/'Hilfstabellen_Mat&amp;Bem'!$BD$30)</f>
        <v>1.5161544624099283</v>
      </c>
      <c r="BD68" s="553">
        <f>0.5*(1+'Hilfstabellen_Mat&amp;Bem'!$BD$31*(BC68-0.3)+BC68^2)</f>
        <v>1.7101699000632657</v>
      </c>
      <c r="BE68" s="550">
        <f t="shared" si="21"/>
        <v>0.39978504758607736</v>
      </c>
      <c r="BG68" s="551">
        <f t="shared" si="22"/>
        <v>5756.904685239514</v>
      </c>
      <c r="BJ68" s="547">
        <f>'Hilfstabellen_Mat&amp;Bem'!$J$57</f>
        <v>3.4</v>
      </c>
      <c r="BK68" s="546">
        <f t="shared" si="23"/>
        <v>120</v>
      </c>
      <c r="BL68" s="551">
        <f t="shared" si="24"/>
        <v>98.149545762236372</v>
      </c>
      <c r="BM68" s="553">
        <f>BL68/PI()*SQRT('Hilfstabellen_Mat&amp;Bem'!f.Rd.3/'Hilfstabellen_Mat&amp;Bem'!$BD$30)</f>
        <v>1.5620985370284108</v>
      </c>
      <c r="BN68" s="553">
        <f>0.5*(1+'Hilfstabellen_Mat&amp;Bem'!$BD$31*(BM68-0.3)+BM68^2)</f>
        <v>1.7831808465445713</v>
      </c>
      <c r="BO68" s="550">
        <f t="shared" si="25"/>
        <v>0.37833352960987249</v>
      </c>
      <c r="BQ68" s="551">
        <f t="shared" si="26"/>
        <v>5448.0028263821641</v>
      </c>
      <c r="BT68" s="547">
        <f>'Hilfstabellen_Mat&amp;Bem'!$J$58</f>
        <v>3.5</v>
      </c>
      <c r="BU68" s="546">
        <f t="shared" si="27"/>
        <v>120</v>
      </c>
      <c r="BV68" s="551">
        <f t="shared" si="28"/>
        <v>101.03629710818451</v>
      </c>
      <c r="BW68" s="553">
        <f>BV68/PI()*SQRT('Hilfstabellen_Mat&amp;Bem'!f.Rd.3/'Hilfstabellen_Mat&amp;Bem'!$BD$30)</f>
        <v>1.6080426116468935</v>
      </c>
      <c r="BX68" s="553">
        <f>0.5*(1+'Hilfstabellen_Mat&amp;Bem'!$BD$31*(BW68-0.3)+BW68^2)</f>
        <v>1.8583026510184257</v>
      </c>
      <c r="BY68" s="550">
        <f t="shared" si="29"/>
        <v>0.35846240211117675</v>
      </c>
      <c r="CA68" s="551">
        <f t="shared" si="30"/>
        <v>5161.8585904009451</v>
      </c>
      <c r="CD68" s="547">
        <f>'Hilfstabellen_Mat&amp;Bem'!$J$59</f>
        <v>3.6</v>
      </c>
      <c r="CE68" s="546">
        <f t="shared" si="31"/>
        <v>120</v>
      </c>
      <c r="CF68" s="551">
        <f t="shared" si="32"/>
        <v>103.92304845413263</v>
      </c>
      <c r="CG68" s="553">
        <f>CF68/PI()*SQRT('Hilfstabellen_Mat&amp;Bem'!f.Rd.3/'Hilfstabellen_Mat&amp;Bem'!$BD$30)</f>
        <v>1.653986686265376</v>
      </c>
      <c r="CH68" s="553">
        <f>0.5*(1+'Hilfstabellen_Mat&amp;Bem'!$BD$31*(CG68-0.3)+CG68^2)</f>
        <v>1.9355353134848285</v>
      </c>
      <c r="CI68" s="550">
        <f t="shared" si="33"/>
        <v>0.34003962053241865</v>
      </c>
      <c r="CK68" s="551">
        <f t="shared" si="34"/>
        <v>4896.5705356668286</v>
      </c>
      <c r="CN68" s="547">
        <f>'Hilfstabellen_Mat&amp;Bem'!$J$60</f>
        <v>3.7</v>
      </c>
      <c r="CO68" s="546">
        <f t="shared" si="35"/>
        <v>120</v>
      </c>
      <c r="CP68" s="551">
        <f t="shared" si="36"/>
        <v>106.80979980008075</v>
      </c>
      <c r="CQ68" s="553">
        <f>CP68/PI()*SQRT('Hilfstabellen_Mat&amp;Bem'!f.Rd.3/'Hilfstabellen_Mat&amp;Bem'!$BD$30)</f>
        <v>1.699930760883859</v>
      </c>
      <c r="CR68" s="553">
        <f>0.5*(1+'Hilfstabellen_Mat&amp;Bem'!$BD$31*(CQ68-0.3)+CQ68^2)</f>
        <v>2.0148788339437811</v>
      </c>
      <c r="CS68" s="550">
        <f t="shared" si="37"/>
        <v>0.32294199322162775</v>
      </c>
      <c r="CU68" s="551">
        <f t="shared" si="38"/>
        <v>4650.36470239144</v>
      </c>
      <c r="CX68" s="547">
        <f>'Hilfstabellen_Mat&amp;Bem'!$J$61</f>
        <v>3.8</v>
      </c>
      <c r="CY68" s="546">
        <f t="shared" si="39"/>
        <v>120</v>
      </c>
      <c r="CZ68" s="551">
        <f t="shared" si="40"/>
        <v>109.6965511460289</v>
      </c>
      <c r="DA68" s="553">
        <f>CZ68/PI()*SQRT('Hilfstabellen_Mat&amp;Bem'!f.Rd.3/'Hilfstabellen_Mat&amp;Bem'!$BD$30)</f>
        <v>1.7458748355023417</v>
      </c>
      <c r="DB68" s="553">
        <f>0.5*(1+'Hilfstabellen_Mat&amp;Bem'!$BD$31*(DA68-0.3)+DA68^2)</f>
        <v>2.0963332123952814</v>
      </c>
      <c r="DC68" s="550">
        <f t="shared" si="41"/>
        <v>0.30705592464146914</v>
      </c>
      <c r="DE68" s="551">
        <f t="shared" si="42"/>
        <v>4421.6053148371557</v>
      </c>
      <c r="DH68" s="547">
        <f>'Hilfstabellen_Mat&amp;Bem'!$J$62</f>
        <v>3.9</v>
      </c>
      <c r="DI68" s="546">
        <f t="shared" si="43"/>
        <v>120</v>
      </c>
      <c r="DJ68" s="551">
        <f t="shared" si="44"/>
        <v>112.58330249197702</v>
      </c>
      <c r="DK68" s="553">
        <f>DJ68/PI()*SQRT('Hilfstabellen_Mat&amp;Bem'!f.Rd.3/'Hilfstabellen_Mat&amp;Bem'!$BD$30)</f>
        <v>1.7918189101208242</v>
      </c>
      <c r="DL68" s="553">
        <f>0.5*(1+'Hilfstabellen_Mat&amp;Bem'!$BD$31*(DK68-0.3)+DK68^2)</f>
        <v>2.1798984488393303</v>
      </c>
      <c r="DM68" s="550">
        <f t="shared" si="45"/>
        <v>0.29227745959451956</v>
      </c>
      <c r="DO68" s="551">
        <f t="shared" si="46"/>
        <v>4208.7954181610821</v>
      </c>
      <c r="DR68" s="547">
        <f>'Hilfstabellen_Mat&amp;Bem'!$J$63</f>
        <v>4</v>
      </c>
      <c r="DS68" s="546">
        <f t="shared" si="47"/>
        <v>120</v>
      </c>
      <c r="DT68" s="551">
        <f t="shared" si="48"/>
        <v>115.47005383792515</v>
      </c>
      <c r="DU68" s="553">
        <f>DT68/PI()*SQRT('Hilfstabellen_Mat&amp;Bem'!f.Rd.3/'Hilfstabellen_Mat&amp;Bem'!$BD$30)</f>
        <v>1.8377629847393071</v>
      </c>
      <c r="DV68" s="553">
        <f>0.5*(1+'Hilfstabellen_Mat&amp;Bem'!$BD$31*(DU68-0.3)+DU68^2)</f>
        <v>2.2655745432759287</v>
      </c>
      <c r="DW68" s="550">
        <f t="shared" si="49"/>
        <v>0.27851192942466541</v>
      </c>
      <c r="DY68" s="551">
        <f t="shared" si="50"/>
        <v>4010.5717837151819</v>
      </c>
      <c r="EB68" s="547">
        <f>'Hilfstabellen_Mat&amp;Bem'!$J$64</f>
        <v>4.0999999999999996</v>
      </c>
      <c r="EC68" s="546">
        <f t="shared" si="51"/>
        <v>120</v>
      </c>
      <c r="ED68" s="551">
        <f t="shared" si="52"/>
        <v>118.35680518387326</v>
      </c>
      <c r="EE68" s="553">
        <f>ED68/PI()*SQRT('Hilfstabellen_Mat&amp;Bem'!f.Rd.3/'Hilfstabellen_Mat&amp;Bem'!$BD$30)</f>
        <v>1.8837070593577891</v>
      </c>
      <c r="EF68" s="553">
        <f>0.5*(1+'Hilfstabellen_Mat&amp;Bem'!$BD$31*(EE68-0.3)+EE68^2)</f>
        <v>2.3533614957050739</v>
      </c>
      <c r="EG68" s="550">
        <f t="shared" si="53"/>
        <v>0.26567338665565821</v>
      </c>
      <c r="EI68" s="551">
        <f t="shared" si="54"/>
        <v>3825.696767841478</v>
      </c>
      <c r="EL68" s="547">
        <f>'Hilfstabellen_Mat&amp;Bem'!$J$65</f>
        <v>4.2</v>
      </c>
      <c r="EM68" s="546">
        <f t="shared" si="55"/>
        <v>120</v>
      </c>
      <c r="EN68" s="551">
        <f t="shared" si="56"/>
        <v>121.2435565298214</v>
      </c>
      <c r="EO68" s="553">
        <f>EN68/PI()*SQRT('Hilfstabellen_Mat&amp;Bem'!f.Rd.3/'Hilfstabellen_Mat&amp;Bem'!$BD$30)</f>
        <v>1.9296511339762721</v>
      </c>
      <c r="EP68" s="553">
        <f>0.5*(1+'Hilfstabellen_Mat&amp;Bem'!$BD$31*(EO68-0.3)+EO68^2)</f>
        <v>2.44325930612677</v>
      </c>
      <c r="EQ68" s="550">
        <f t="shared" si="57"/>
        <v>0.253683942323009</v>
      </c>
      <c r="ES68" s="551">
        <f t="shared" si="58"/>
        <v>3653.0487694513295</v>
      </c>
    </row>
    <row r="69" spans="3:149">
      <c r="C69" s="546">
        <v>121</v>
      </c>
      <c r="D69" s="551">
        <f t="shared" si="8"/>
        <v>80.161029110625719</v>
      </c>
      <c r="E69" s="553">
        <f>$D69/PI()*SQRT('Hilfstabellen_Mat&amp;Bem'!f.Rd.3/'Hilfstabellen_Mat&amp;Bem'!$BD$30)</f>
        <v>1.2758024026289403</v>
      </c>
      <c r="F69" s="553">
        <f>0.5*(1+'Hilfstabellen_Mat&amp;Bem'!$BD$31*($E69-0.3)+$E69^2)</f>
        <v>1.3626260054083352</v>
      </c>
      <c r="G69" s="550">
        <f t="shared" si="9"/>
        <v>0.54311024617172299</v>
      </c>
      <c r="I69" s="551">
        <f t="shared" si="59"/>
        <v>7951.6771142001962</v>
      </c>
      <c r="M69" s="546">
        <f t="shared" si="11"/>
        <v>121</v>
      </c>
      <c r="N69" s="551">
        <f t="shared" si="0"/>
        <v>83.02392300743378</v>
      </c>
      <c r="O69" s="553">
        <f>$N69/PI()*SQRT('Hilfstabellen_Mat&amp;Bem'!f.Rd.3/'Hilfstabellen_Mat&amp;Bem'!$BD$30)</f>
        <v>1.3213667741514026</v>
      </c>
      <c r="P69" s="553">
        <f>0.5*(1+'Hilfstabellen_Mat&amp;Bem'!$BD$31*($O69-0.3)+$O69^2)</f>
        <v>1.4240734146232121</v>
      </c>
      <c r="Q69" s="550">
        <f t="shared" si="1"/>
        <v>0.51148631018741719</v>
      </c>
      <c r="S69" s="551">
        <f t="shared" si="60"/>
        <v>7488.6710674539754</v>
      </c>
      <c r="W69" s="546">
        <f t="shared" si="13"/>
        <v>121</v>
      </c>
      <c r="X69" s="551">
        <f t="shared" si="2"/>
        <v>85.886816904241854</v>
      </c>
      <c r="Y69" s="553">
        <f>$X69/PI()*SQRT('Hilfstabellen_Mat&amp;Bem'!f.Rd.3/'Hilfstabellen_Mat&amp;Bem'!$BD$30)</f>
        <v>1.3669311456738649</v>
      </c>
      <c r="Z69" s="553">
        <f>0.5*(1+'Hilfstabellen_Mat&amp;Bem'!$BD$31*($Y69-0.3)+$Y69^2)</f>
        <v>1.4875969357903256</v>
      </c>
      <c r="AA69" s="550">
        <f t="shared" si="3"/>
        <v>0.48204610700723005</v>
      </c>
      <c r="AC69" s="551">
        <f t="shared" si="61"/>
        <v>7057.6370526928549</v>
      </c>
      <c r="AG69" s="546">
        <f t="shared" si="15"/>
        <v>121</v>
      </c>
      <c r="AH69" s="551">
        <f t="shared" si="4"/>
        <v>88.749710801049915</v>
      </c>
      <c r="AI69" s="553">
        <f>$AH69/PI()*SQRT('Hilfstabellen_Mat&amp;Bem'!f.Rd.3/'Hilfstabellen_Mat&amp;Bem'!$BD$30)</f>
        <v>1.4124955171963269</v>
      </c>
      <c r="AJ69" s="553">
        <f>0.5*(1+'Hilfstabellen_Mat&amp;Bem'!$BD$31*($AI69-0.3)+$AI69^2)</f>
        <v>1.5531965689096758</v>
      </c>
      <c r="AK69" s="550">
        <f t="shared" si="5"/>
        <v>0.45471791561830366</v>
      </c>
      <c r="AM69" s="551">
        <f t="shared" si="62"/>
        <v>6657.5250025675841</v>
      </c>
      <c r="AQ69" s="546">
        <f t="shared" si="17"/>
        <v>121</v>
      </c>
      <c r="AR69" s="551">
        <f t="shared" si="6"/>
        <v>91.612604697857975</v>
      </c>
      <c r="AS69" s="553">
        <f>$AR69/PI()*SQRT('Hilfstabellen_Mat&amp;Bem'!f.Rd.3/'Hilfstabellen_Mat&amp;Bem'!$BD$30)</f>
        <v>1.458059888718789</v>
      </c>
      <c r="AT69" s="553">
        <f>0.5*(1+'Hilfstabellen_Mat&amp;Bem'!$BD$31*($AS69-0.3)+$AS69^2)</f>
        <v>1.6208723139812631</v>
      </c>
      <c r="AU69" s="550">
        <f t="shared" si="7"/>
        <v>0.42938918943876525</v>
      </c>
      <c r="AW69" s="551">
        <f t="shared" si="63"/>
        <v>6286.6871225729619</v>
      </c>
      <c r="AZ69" s="547">
        <f>'Hilfstabellen_Mat&amp;Bem'!$J$56</f>
        <v>3.3</v>
      </c>
      <c r="BA69" s="546">
        <f t="shared" si="19"/>
        <v>121</v>
      </c>
      <c r="BB69" s="551">
        <f t="shared" si="20"/>
        <v>94.475498594666036</v>
      </c>
      <c r="BC69" s="553">
        <f>BB69/PI()*SQRT('Hilfstabellen_Mat&amp;Bem'!f.Rd.3/'Hilfstabellen_Mat&amp;Bem'!$BD$30)</f>
        <v>1.5036242602412511</v>
      </c>
      <c r="BD69" s="553">
        <f>0.5*(1+'Hilfstabellen_Mat&amp;Bem'!$BD$31*(BC69-0.3)+BC69^2)</f>
        <v>1.6906241710050876</v>
      </c>
      <c r="BE69" s="550">
        <f t="shared" si="21"/>
        <v>0.40592789982641769</v>
      </c>
      <c r="BG69" s="551">
        <f t="shared" si="22"/>
        <v>5943.1903813585814</v>
      </c>
      <c r="BJ69" s="547">
        <f>'Hilfstabellen_Mat&amp;Bem'!$J$57</f>
        <v>3.4</v>
      </c>
      <c r="BK69" s="546">
        <f t="shared" si="23"/>
        <v>121</v>
      </c>
      <c r="BL69" s="551">
        <f t="shared" si="24"/>
        <v>97.338392491474096</v>
      </c>
      <c r="BM69" s="553">
        <f>BL69/PI()*SQRT('Hilfstabellen_Mat&amp;Bem'!f.Rd.3/'Hilfstabellen_Mat&amp;Bem'!$BD$30)</f>
        <v>1.5491886317637134</v>
      </c>
      <c r="BN69" s="553">
        <f>0.5*(1+'Hilfstabellen_Mat&amp;Bem'!$BD$31*(BM69-0.3)+BM69^2)</f>
        <v>1.7624521399811488</v>
      </c>
      <c r="BO69" s="550">
        <f t="shared" si="25"/>
        <v>0.38419569185404318</v>
      </c>
      <c r="BQ69" s="551">
        <f t="shared" si="26"/>
        <v>5625.009124435046</v>
      </c>
      <c r="BT69" s="547">
        <f>'Hilfstabellen_Mat&amp;Bem'!$J$58</f>
        <v>3.5</v>
      </c>
      <c r="BU69" s="546">
        <f t="shared" si="27"/>
        <v>121</v>
      </c>
      <c r="BV69" s="551">
        <f t="shared" si="28"/>
        <v>100.20128638828216</v>
      </c>
      <c r="BW69" s="553">
        <f>BV69/PI()*SQRT('Hilfstabellen_Mat&amp;Bem'!f.Rd.3/'Hilfstabellen_Mat&amp;Bem'!$BD$30)</f>
        <v>1.5947530032861756</v>
      </c>
      <c r="BX69" s="553">
        <f>0.5*(1+'Hilfstabellen_Mat&amp;Bem'!$BD$31*(BW69-0.3)+BW69^2)</f>
        <v>1.8363562209094471</v>
      </c>
      <c r="BY69" s="550">
        <f t="shared" si="29"/>
        <v>0.36405569150607681</v>
      </c>
      <c r="CA69" s="551">
        <f t="shared" si="30"/>
        <v>5330.1393793404704</v>
      </c>
      <c r="CD69" s="547">
        <f>'Hilfstabellen_Mat&amp;Bem'!$J$59</f>
        <v>3.6</v>
      </c>
      <c r="CE69" s="546">
        <f t="shared" si="31"/>
        <v>121</v>
      </c>
      <c r="CF69" s="551">
        <f t="shared" si="32"/>
        <v>103.06418028509022</v>
      </c>
      <c r="CG69" s="553">
        <f>CF69/PI()*SQRT('Hilfstabellen_Mat&amp;Bem'!f.Rd.3/'Hilfstabellen_Mat&amp;Bem'!$BD$30)</f>
        <v>1.6403173748086375</v>
      </c>
      <c r="CH69" s="553">
        <f>0.5*(1+'Hilfstabellen_Mat&amp;Bem'!$BD$31*(CG69-0.3)+CG69^2)</f>
        <v>1.9123364137899819</v>
      </c>
      <c r="CI69" s="550">
        <f t="shared" si="33"/>
        <v>0.34537691224405065</v>
      </c>
      <c r="CK69" s="551">
        <f t="shared" si="34"/>
        <v>5056.6633721651451</v>
      </c>
      <c r="CN69" s="547">
        <f>'Hilfstabellen_Mat&amp;Bem'!$J$60</f>
        <v>3.7</v>
      </c>
      <c r="CO69" s="546">
        <f t="shared" si="35"/>
        <v>121</v>
      </c>
      <c r="CP69" s="551">
        <f t="shared" si="36"/>
        <v>105.92707418189828</v>
      </c>
      <c r="CQ69" s="553">
        <f>CP69/PI()*SQRT('Hilfstabellen_Mat&amp;Bem'!f.Rd.3/'Hilfstabellen_Mat&amp;Bem'!$BD$30)</f>
        <v>1.6858817463310996</v>
      </c>
      <c r="CR69" s="553">
        <f>0.5*(1+'Hilfstabellen_Mat&amp;Bem'!$BD$31*(CQ69-0.3)+CQ69^2)</f>
        <v>1.9903927186227537</v>
      </c>
      <c r="CS69" s="550">
        <f t="shared" si="37"/>
        <v>0.32803654043940439</v>
      </c>
      <c r="CU69" s="551">
        <f t="shared" si="38"/>
        <v>4802.7829885733199</v>
      </c>
      <c r="CX69" s="547">
        <f>'Hilfstabellen_Mat&amp;Bem'!$J$61</f>
        <v>3.8</v>
      </c>
      <c r="CY69" s="546">
        <f t="shared" si="39"/>
        <v>121</v>
      </c>
      <c r="CZ69" s="551">
        <f t="shared" si="40"/>
        <v>108.78996807870634</v>
      </c>
      <c r="DA69" s="553">
        <f>CZ69/PI()*SQRT('Hilfstabellen_Mat&amp;Bem'!f.Rd.3/'Hilfstabellen_Mat&amp;Bem'!$BD$30)</f>
        <v>1.7314461178535621</v>
      </c>
      <c r="DB69" s="553">
        <f>0.5*(1+'Hilfstabellen_Mat&amp;Bem'!$BD$31*(DA69-0.3)+DA69^2)</f>
        <v>2.0705251354077636</v>
      </c>
      <c r="DC69" s="550">
        <f t="shared" si="41"/>
        <v>0.31192092113114017</v>
      </c>
      <c r="DE69" s="551">
        <f t="shared" si="42"/>
        <v>4566.8342062810234</v>
      </c>
      <c r="DH69" s="547">
        <f>'Hilfstabellen_Mat&amp;Bem'!$J$62</f>
        <v>3.9</v>
      </c>
      <c r="DI69" s="546">
        <f t="shared" si="43"/>
        <v>121</v>
      </c>
      <c r="DJ69" s="551">
        <f t="shared" si="44"/>
        <v>111.6528619755144</v>
      </c>
      <c r="DK69" s="553">
        <f>DJ69/PI()*SQRT('Hilfstabellen_Mat&amp;Bem'!f.Rd.3/'Hilfstabellen_Mat&amp;Bem'!$BD$30)</f>
        <v>1.7770104893760241</v>
      </c>
      <c r="DL69" s="553">
        <f>0.5*(1+'Hilfstabellen_Mat&amp;Bem'!$BD$31*(DK69-0.3)+DK69^2)</f>
        <v>2.1527336641450097</v>
      </c>
      <c r="DM69" s="550">
        <f t="shared" si="45"/>
        <v>0.29692576476756732</v>
      </c>
      <c r="DO69" s="551">
        <f t="shared" si="46"/>
        <v>4347.2901219619534</v>
      </c>
      <c r="DR69" s="547">
        <f>'Hilfstabellen_Mat&amp;Bem'!$J$63</f>
        <v>4</v>
      </c>
      <c r="DS69" s="546">
        <f t="shared" si="47"/>
        <v>121</v>
      </c>
      <c r="DT69" s="551">
        <f t="shared" si="48"/>
        <v>114.51575587232244</v>
      </c>
      <c r="DU69" s="553">
        <f>DT69/PI()*SQRT('Hilfstabellen_Mat&amp;Bem'!f.Rd.3/'Hilfstabellen_Mat&amp;Bem'!$BD$30)</f>
        <v>1.822574860898486</v>
      </c>
      <c r="DV69" s="553">
        <f>0.5*(1+'Hilfstabellen_Mat&amp;Bem'!$BD$31*(DU69-0.3)+DU69^2)</f>
        <v>2.2370183048344923</v>
      </c>
      <c r="DW69" s="550">
        <f t="shared" si="49"/>
        <v>0.28295590214583488</v>
      </c>
      <c r="DY69" s="551">
        <f t="shared" si="50"/>
        <v>4142.7573633171687</v>
      </c>
      <c r="EB69" s="547">
        <f>'Hilfstabellen_Mat&amp;Bem'!$J$64</f>
        <v>4.0999999999999996</v>
      </c>
      <c r="EC69" s="546">
        <f t="shared" si="51"/>
        <v>121</v>
      </c>
      <c r="ED69" s="551">
        <f t="shared" si="52"/>
        <v>117.37864976913052</v>
      </c>
      <c r="EE69" s="553">
        <f>ED69/PI()*SQRT('Hilfstabellen_Mat&amp;Bem'!f.Rd.3/'Hilfstabellen_Mat&amp;Bem'!$BD$30)</f>
        <v>1.8681392324209485</v>
      </c>
      <c r="EF69" s="553">
        <f>0.5*(1+'Hilfstabellen_Mat&amp;Bem'!$BD$31*(EE69-0.3)+EE69^2)</f>
        <v>2.3233790574762128</v>
      </c>
      <c r="EG69" s="550">
        <f t="shared" si="53"/>
        <v>0.26992479161360994</v>
      </c>
      <c r="EI69" s="551">
        <f t="shared" si="54"/>
        <v>3951.9688740148631</v>
      </c>
      <c r="EL69" s="547">
        <f>'Hilfstabellen_Mat&amp;Bem'!$J$65</f>
        <v>4.2</v>
      </c>
      <c r="EM69" s="546">
        <f t="shared" si="55"/>
        <v>121</v>
      </c>
      <c r="EN69" s="551">
        <f t="shared" si="56"/>
        <v>120.24154366593859</v>
      </c>
      <c r="EO69" s="553">
        <f>EN69/PI()*SQRT('Hilfstabellen_Mat&amp;Bem'!f.Rd.3/'Hilfstabellen_Mat&amp;Bem'!$BD$30)</f>
        <v>1.9137036039434105</v>
      </c>
      <c r="EP69" s="553">
        <f>0.5*(1+'Hilfstabellen_Mat&amp;Bem'!$BD$31*(EO69-0.3)+EO69^2)</f>
        <v>2.4118159220701694</v>
      </c>
      <c r="EQ69" s="550">
        <f t="shared" si="57"/>
        <v>0.25775390457196323</v>
      </c>
      <c r="ES69" s="551">
        <f t="shared" si="58"/>
        <v>3773.7749168381138</v>
      </c>
    </row>
    <row r="70" spans="3:149">
      <c r="C70" s="546">
        <v>122</v>
      </c>
      <c r="D70" s="551">
        <f t="shared" si="8"/>
        <v>79.503971494964844</v>
      </c>
      <c r="E70" s="553">
        <f>$D70/PI()*SQRT('Hilfstabellen_Mat&amp;Bem'!f.Rd.3/'Hilfstabellen_Mat&amp;Bem'!$BD$30)</f>
        <v>1.26534500588608</v>
      </c>
      <c r="F70" s="553">
        <f>0.5*(1+'Hilfstabellen_Mat&amp;Bem'!$BD$31*($E70-0.3)+$E70^2)</f>
        <v>1.3488162422547259</v>
      </c>
      <c r="G70" s="550">
        <f t="shared" si="9"/>
        <v>0.55067812170883301</v>
      </c>
      <c r="I70" s="551">
        <f t="shared" si="59"/>
        <v>8196.2931635142704</v>
      </c>
      <c r="M70" s="546">
        <f t="shared" si="11"/>
        <v>122</v>
      </c>
      <c r="N70" s="551">
        <f t="shared" si="0"/>
        <v>82.34339904835646</v>
      </c>
      <c r="O70" s="553">
        <f>$N70/PI()*SQRT('Hilfstabellen_Mat&amp;Bem'!f.Rd.3/'Hilfstabellen_Mat&amp;Bem'!$BD$30)</f>
        <v>1.3105358989534404</v>
      </c>
      <c r="P70" s="553">
        <f>0.5*(1+'Hilfstabellen_Mat&amp;Bem'!$BD$31*($O70-0.3)+$O70^2)</f>
        <v>1.409278966170523</v>
      </c>
      <c r="Q70" s="550">
        <f t="shared" si="1"/>
        <v>0.51880419374715414</v>
      </c>
      <c r="S70" s="551">
        <f t="shared" si="60"/>
        <v>7721.8816197326423</v>
      </c>
      <c r="W70" s="546">
        <f t="shared" si="13"/>
        <v>122</v>
      </c>
      <c r="X70" s="551">
        <f t="shared" si="2"/>
        <v>85.182826601748062</v>
      </c>
      <c r="Y70" s="553">
        <f>$X70/PI()*SQRT('Hilfstabellen_Mat&amp;Bem'!f.Rd.3/'Hilfstabellen_Mat&amp;Bem'!$BD$30)</f>
        <v>1.3557267920208003</v>
      </c>
      <c r="Z70" s="553">
        <f>0.5*(1+'Hilfstabellen_Mat&amp;Bem'!$BD$31*($Y70-0.3)+$Y70^2)</f>
        <v>1.4717839069025449</v>
      </c>
      <c r="AA70" s="550">
        <f t="shared" si="3"/>
        <v>0.48908602661039186</v>
      </c>
      <c r="AC70" s="551">
        <f t="shared" si="61"/>
        <v>7279.5564200690724</v>
      </c>
      <c r="AG70" s="546">
        <f t="shared" si="15"/>
        <v>122</v>
      </c>
      <c r="AH70" s="551">
        <f t="shared" si="4"/>
        <v>88.022254155139663</v>
      </c>
      <c r="AI70" s="553">
        <f>$AH70/PI()*SQRT('Hilfstabellen_Mat&amp;Bem'!f.Rd.3/'Hilfstabellen_Mat&amp;Bem'!$BD$30)</f>
        <v>1.4009176850881602</v>
      </c>
      <c r="AJ70" s="553">
        <f>0.5*(1+'Hilfstabellen_Mat&amp;Bem'!$BD$31*($AI70-0.3)+$AI70^2)</f>
        <v>1.5363310644507928</v>
      </c>
      <c r="AK70" s="550">
        <f t="shared" si="5"/>
        <v>0.46146755552793706</v>
      </c>
      <c r="AM70" s="551">
        <f t="shared" si="62"/>
        <v>6868.4830964778148</v>
      </c>
      <c r="AQ70" s="546">
        <f t="shared" si="17"/>
        <v>122</v>
      </c>
      <c r="AR70" s="551">
        <f t="shared" si="6"/>
        <v>90.861681708531265</v>
      </c>
      <c r="AS70" s="553">
        <f>$AR70/PI()*SQRT('Hilfstabellen_Mat&amp;Bem'!f.Rd.3/'Hilfstabellen_Mat&amp;Bem'!$BD$30)</f>
        <v>1.4461085781555203</v>
      </c>
      <c r="AT70" s="553">
        <f>0.5*(1+'Hilfstabellen_Mat&amp;Bem'!$BD$31*($AS70-0.3)+$AS70^2)</f>
        <v>1.6029204388152665</v>
      </c>
      <c r="AU70" s="550">
        <f t="shared" si="7"/>
        <v>0.43584655042049458</v>
      </c>
      <c r="AW70" s="551">
        <f t="shared" si="63"/>
        <v>6487.1400564586411</v>
      </c>
      <c r="AZ70" s="547">
        <f>'Hilfstabellen_Mat&amp;Bem'!$J$56</f>
        <v>3.3</v>
      </c>
      <c r="BA70" s="546">
        <f t="shared" si="19"/>
        <v>122</v>
      </c>
      <c r="BB70" s="551">
        <f t="shared" si="20"/>
        <v>93.701109261922866</v>
      </c>
      <c r="BC70" s="553">
        <f>BB70/PI()*SQRT('Hilfstabellen_Mat&amp;Bem'!f.Rd.3/'Hilfstabellen_Mat&amp;Bem'!$BD$30)</f>
        <v>1.4912994712228802</v>
      </c>
      <c r="BD70" s="553">
        <f>0.5*(1+'Hilfstabellen_Mat&amp;Bem'!$BD$31*(BC70-0.3)+BC70^2)</f>
        <v>1.671552029995965</v>
      </c>
      <c r="BE70" s="550">
        <f t="shared" si="21"/>
        <v>0.41209758719485373</v>
      </c>
      <c r="BG70" s="551">
        <f t="shared" si="22"/>
        <v>6133.6604878082026</v>
      </c>
      <c r="BJ70" s="547">
        <f>'Hilfstabellen_Mat&amp;Bem'!$J$57</f>
        <v>3.4</v>
      </c>
      <c r="BK70" s="546">
        <f t="shared" si="23"/>
        <v>122</v>
      </c>
      <c r="BL70" s="551">
        <f t="shared" si="24"/>
        <v>96.540536815314468</v>
      </c>
      <c r="BM70" s="553">
        <f>BL70/PI()*SQRT('Hilfstabellen_Mat&amp;Bem'!f.Rd.3/'Hilfstabellen_Mat&amp;Bem'!$BD$30)</f>
        <v>1.5364903642902403</v>
      </c>
      <c r="BN70" s="553">
        <f>0.5*(1+'Hilfstabellen_Mat&amp;Bem'!$BD$31*(BM70-0.3)+BM70^2)</f>
        <v>1.7422258379928899</v>
      </c>
      <c r="BO70" s="550">
        <f t="shared" si="25"/>
        <v>0.39008639272630841</v>
      </c>
      <c r="BQ70" s="551">
        <f t="shared" si="26"/>
        <v>5806.0458693383744</v>
      </c>
      <c r="BT70" s="547">
        <f>'Hilfstabellen_Mat&amp;Bem'!$J$58</f>
        <v>3.5</v>
      </c>
      <c r="BU70" s="546">
        <f t="shared" si="27"/>
        <v>122</v>
      </c>
      <c r="BV70" s="551">
        <f t="shared" si="28"/>
        <v>99.379964368706069</v>
      </c>
      <c r="BW70" s="553">
        <f>BV70/PI()*SQRT('Hilfstabellen_Mat&amp;Bem'!f.Rd.3/'Hilfstabellen_Mat&amp;Bem'!$BD$30)</f>
        <v>1.5816812573576002</v>
      </c>
      <c r="BX70" s="553">
        <f>0.5*(1+'Hilfstabellen_Mat&amp;Bem'!$BD$31*(BW70-0.3)+BW70^2)</f>
        <v>1.8149418628060396</v>
      </c>
      <c r="BY70" s="550">
        <f t="shared" si="29"/>
        <v>0.36967848325432645</v>
      </c>
      <c r="CA70" s="551">
        <f t="shared" si="30"/>
        <v>5502.2945447573948</v>
      </c>
      <c r="CD70" s="547">
        <f>'Hilfstabellen_Mat&amp;Bem'!$J$59</f>
        <v>3.6</v>
      </c>
      <c r="CE70" s="546">
        <f t="shared" si="31"/>
        <v>122</v>
      </c>
      <c r="CF70" s="551">
        <f t="shared" si="32"/>
        <v>102.21939192209767</v>
      </c>
      <c r="CG70" s="553">
        <f>CF70/PI()*SQRT('Hilfstabellen_Mat&amp;Bem'!f.Rd.3/'Hilfstabellen_Mat&amp;Bem'!$BD$30)</f>
        <v>1.6268721504249601</v>
      </c>
      <c r="CH70" s="553">
        <f>0.5*(1+'Hilfstabellen_Mat&amp;Bem'!$BD$31*(CG70-0.3)+CG70^2)</f>
        <v>1.8897001044354151</v>
      </c>
      <c r="CI70" s="550">
        <f t="shared" si="33"/>
        <v>0.35074413941498184</v>
      </c>
      <c r="CK70" s="551">
        <f t="shared" si="34"/>
        <v>5220.4757710525901</v>
      </c>
      <c r="CN70" s="547">
        <f>'Hilfstabellen_Mat&amp;Bem'!$J$60</f>
        <v>3.7</v>
      </c>
      <c r="CO70" s="546">
        <f t="shared" si="35"/>
        <v>122</v>
      </c>
      <c r="CP70" s="551">
        <f t="shared" si="36"/>
        <v>105.05881947548927</v>
      </c>
      <c r="CQ70" s="553">
        <f>CP70/PI()*SQRT('Hilfstabellen_Mat&amp;Bem'!f.Rd.3/'Hilfstabellen_Mat&amp;Bem'!$BD$30)</f>
        <v>1.6720630434923203</v>
      </c>
      <c r="CR70" s="553">
        <f>0.5*(1+'Hilfstabellen_Mat&amp;Bem'!$BD$31*(CQ70-0.3)+CQ70^2)</f>
        <v>1.9665005628810164</v>
      </c>
      <c r="CS70" s="550">
        <f t="shared" si="37"/>
        <v>0.33316107644889487</v>
      </c>
      <c r="CU70" s="551">
        <f t="shared" si="38"/>
        <v>4958.7694618653513</v>
      </c>
      <c r="CX70" s="547">
        <f>'Hilfstabellen_Mat&amp;Bem'!$J$61</f>
        <v>3.8</v>
      </c>
      <c r="CY70" s="546">
        <f t="shared" si="39"/>
        <v>122</v>
      </c>
      <c r="CZ70" s="551">
        <f t="shared" si="40"/>
        <v>107.89824702888087</v>
      </c>
      <c r="DA70" s="553">
        <f>CZ70/PI()*SQRT('Hilfstabellen_Mat&amp;Bem'!f.Rd.3/'Hilfstabellen_Mat&amp;Bem'!$BD$30)</f>
        <v>1.7172539365596802</v>
      </c>
      <c r="DB70" s="553">
        <f>0.5*(1+'Hilfstabellen_Mat&amp;Bem'!$BD$31*(DA70-0.3)+DA70^2)</f>
        <v>2.0453432381428431</v>
      </c>
      <c r="DC70" s="550">
        <f t="shared" si="41"/>
        <v>0.31681568921612235</v>
      </c>
      <c r="DE70" s="551">
        <f t="shared" si="42"/>
        <v>4715.4847182927651</v>
      </c>
      <c r="DH70" s="547">
        <f>'Hilfstabellen_Mat&amp;Bem'!$J$62</f>
        <v>3.9</v>
      </c>
      <c r="DI70" s="546">
        <f t="shared" si="43"/>
        <v>122</v>
      </c>
      <c r="DJ70" s="551">
        <f t="shared" si="44"/>
        <v>110.73767458227248</v>
      </c>
      <c r="DK70" s="553">
        <f>DJ70/PI()*SQRT('Hilfstabellen_Mat&amp;Bem'!f.Rd.3/'Hilfstabellen_Mat&amp;Bem'!$BD$30)</f>
        <v>1.7624448296270403</v>
      </c>
      <c r="DL70" s="553">
        <f>0.5*(1+'Hilfstabellen_Mat&amp;Bem'!$BD$31*(DK70-0.3)+DK70^2)</f>
        <v>2.1262281302208956</v>
      </c>
      <c r="DM70" s="550">
        <f t="shared" si="45"/>
        <v>0.30160343328808581</v>
      </c>
      <c r="DO70" s="551">
        <f t="shared" si="46"/>
        <v>4489.0655010598693</v>
      </c>
      <c r="DR70" s="547">
        <f>'Hilfstabellen_Mat&amp;Bem'!$J$63</f>
        <v>4</v>
      </c>
      <c r="DS70" s="546">
        <f t="shared" si="47"/>
        <v>122</v>
      </c>
      <c r="DT70" s="551">
        <f t="shared" si="48"/>
        <v>113.57710213566406</v>
      </c>
      <c r="DU70" s="553">
        <f>DT70/PI()*SQRT('Hilfstabellen_Mat&amp;Bem'!f.Rd.3/'Hilfstabellen_Mat&amp;Bem'!$BD$30)</f>
        <v>1.8076357226943998</v>
      </c>
      <c r="DV70" s="553">
        <f>0.5*(1+'Hilfstabellen_Mat&amp;Bem'!$BD$31*(DU70-0.3)+DU70^2)</f>
        <v>2.2091552391151725</v>
      </c>
      <c r="DW70" s="550">
        <f t="shared" si="49"/>
        <v>0.28742869698757217</v>
      </c>
      <c r="DY70" s="551">
        <f t="shared" si="50"/>
        <v>4278.0887259630244</v>
      </c>
      <c r="EB70" s="547">
        <f>'Hilfstabellen_Mat&amp;Bem'!$J$64</f>
        <v>4.0999999999999996</v>
      </c>
      <c r="EC70" s="546">
        <f t="shared" si="51"/>
        <v>122</v>
      </c>
      <c r="ED70" s="551">
        <f t="shared" si="52"/>
        <v>116.41652968905568</v>
      </c>
      <c r="EE70" s="553">
        <f>ED70/PI()*SQRT('Hilfstabellen_Mat&amp;Bem'!f.Rd.3/'Hilfstabellen_Mat&amp;Bem'!$BD$30)</f>
        <v>1.8528266157617601</v>
      </c>
      <c r="EF70" s="553">
        <f>0.5*(1+'Hilfstabellen_Mat&amp;Bem'!$BD$31*(EE70-0.3)+EE70^2)</f>
        <v>2.2941245648256765</v>
      </c>
      <c r="EG70" s="550">
        <f t="shared" si="53"/>
        <v>0.27420438707538985</v>
      </c>
      <c r="EI70" s="551">
        <f t="shared" si="54"/>
        <v>4081.2580972301025</v>
      </c>
      <c r="EL70" s="547">
        <f>'Hilfstabellen_Mat&amp;Bem'!$J$65</f>
        <v>4.2</v>
      </c>
      <c r="EM70" s="546">
        <f t="shared" si="55"/>
        <v>122</v>
      </c>
      <c r="EN70" s="551">
        <f t="shared" si="56"/>
        <v>119.25595724244728</v>
      </c>
      <c r="EO70" s="553">
        <f>EN70/PI()*SQRT('Hilfstabellen_Mat&amp;Bem'!f.Rd.3/'Hilfstabellen_Mat&amp;Bem'!$BD$30)</f>
        <v>1.8980175088291202</v>
      </c>
      <c r="EP70" s="553">
        <f>0.5*(1+'Hilfstabellen_Mat&amp;Bem'!$BD$31*(EO70-0.3)+EO70^2)</f>
        <v>2.3811361073524058</v>
      </c>
      <c r="EQ70" s="550">
        <f t="shared" si="57"/>
        <v>0.26185136663727099</v>
      </c>
      <c r="ES70" s="551">
        <f t="shared" si="58"/>
        <v>3897.3957410291414</v>
      </c>
    </row>
    <row r="71" spans="3:149">
      <c r="C71" s="546">
        <v>123</v>
      </c>
      <c r="D71" s="551">
        <f t="shared" si="8"/>
        <v>78.857597742973269</v>
      </c>
      <c r="E71" s="553">
        <f>$D71/PI()*SQRT('Hilfstabellen_Mat&amp;Bem'!f.Rd.3/'Hilfstabellen_Mat&amp;Bem'!$BD$30)</f>
        <v>1.2550576481146487</v>
      </c>
      <c r="F71" s="553">
        <f>0.5*(1+'Hilfstabellen_Mat&amp;Bem'!$BD$31*($E71-0.3)+$E71^2)</f>
        <v>1.335337732451269</v>
      </c>
      <c r="G71" s="550">
        <f t="shared" si="9"/>
        <v>0.55823479315034208</v>
      </c>
      <c r="I71" s="551">
        <f t="shared" si="59"/>
        <v>8445.5341855715251</v>
      </c>
      <c r="M71" s="546">
        <f t="shared" si="11"/>
        <v>123</v>
      </c>
      <c r="N71" s="551">
        <f t="shared" si="0"/>
        <v>81.673940519508037</v>
      </c>
      <c r="O71" s="553">
        <f>$N71/PI()*SQRT('Hilfstabellen_Mat&amp;Bem'!f.Rd.3/'Hilfstabellen_Mat&amp;Bem'!$BD$30)</f>
        <v>1.2998811355473148</v>
      </c>
      <c r="P71" s="553">
        <f>0.5*(1+'Hilfstabellen_Mat&amp;Bem'!$BD$31*($O71-0.3)+$O71^2)</f>
        <v>1.3948395400532541</v>
      </c>
      <c r="Q71" s="550">
        <f t="shared" si="1"/>
        <v>0.52612426124976619</v>
      </c>
      <c r="S71" s="551">
        <f t="shared" si="60"/>
        <v>7959.7339484477125</v>
      </c>
      <c r="W71" s="546">
        <f t="shared" si="13"/>
        <v>123</v>
      </c>
      <c r="X71" s="551">
        <f t="shared" si="2"/>
        <v>84.49028329604279</v>
      </c>
      <c r="Y71" s="553">
        <f>$X71/PI()*SQRT('Hilfstabellen_Mat&amp;Bem'!f.Rd.3/'Hilfstabellen_Mat&amp;Bem'!$BD$30)</f>
        <v>1.3447046229799806</v>
      </c>
      <c r="Z71" s="553">
        <f>0.5*(1+'Hilfstabellen_Mat&amp;Bem'!$BD$31*($Y71-0.3)+$Y71^2)</f>
        <v>1.456350492680865</v>
      </c>
      <c r="AA71" s="550">
        <f t="shared" si="3"/>
        <v>0.49613761808186774</v>
      </c>
      <c r="AC71" s="551">
        <f t="shared" si="61"/>
        <v>7506.0660239605768</v>
      </c>
      <c r="AG71" s="546">
        <f t="shared" si="15"/>
        <v>123</v>
      </c>
      <c r="AH71" s="551">
        <f t="shared" si="4"/>
        <v>87.306626072577544</v>
      </c>
      <c r="AI71" s="553">
        <f>$AH71/PI()*SQRT('Hilfstabellen_Mat&amp;Bem'!f.Rd.3/'Hilfstabellen_Mat&amp;Bem'!$BD$30)</f>
        <v>1.3895281104126465</v>
      </c>
      <c r="AJ71" s="553">
        <f>0.5*(1+'Hilfstabellen_Mat&amp;Bem'!$BD$31*($AI71-0.3)+$AI71^2)</f>
        <v>1.5198705903341023</v>
      </c>
      <c r="AK71" s="550">
        <f t="shared" si="5"/>
        <v>0.46823547334322879</v>
      </c>
      <c r="AM71" s="551">
        <f t="shared" si="62"/>
        <v>7083.934476209708</v>
      </c>
      <c r="AQ71" s="546">
        <f t="shared" si="17"/>
        <v>123</v>
      </c>
      <c r="AR71" s="551">
        <f t="shared" si="6"/>
        <v>90.122968849112311</v>
      </c>
      <c r="AS71" s="553">
        <f>$AR71/PI()*SQRT('Hilfstabellen_Mat&amp;Bem'!f.Rd.3/'Hilfstabellen_Mat&amp;Bem'!$BD$30)</f>
        <v>1.4343515978453127</v>
      </c>
      <c r="AT71" s="553">
        <f>0.5*(1+'Hilfstabellen_Mat&amp;Bem'!$BD$31*($AS71-0.3)+$AS71^2)</f>
        <v>1.5853998330129666</v>
      </c>
      <c r="AU71" s="550">
        <f t="shared" si="7"/>
        <v>0.44232669924595308</v>
      </c>
      <c r="AW71" s="551">
        <f t="shared" si="63"/>
        <v>6691.9606328920245</v>
      </c>
      <c r="AZ71" s="547">
        <f>'Hilfstabellen_Mat&amp;Bem'!$J$56</f>
        <v>3.3</v>
      </c>
      <c r="BA71" s="546">
        <f t="shared" si="19"/>
        <v>123</v>
      </c>
      <c r="BB71" s="551">
        <f t="shared" si="20"/>
        <v>92.939311625647065</v>
      </c>
      <c r="BC71" s="553">
        <f>BB71/PI()*SQRT('Hilfstabellen_Mat&amp;Bem'!f.Rd.3/'Hilfstabellen_Mat&amp;Bem'!$BD$30)</f>
        <v>1.4791750852779786</v>
      </c>
      <c r="BD71" s="553">
        <f>0.5*(1+'Hilfstabellen_Mat&amp;Bem'!$BD$31*(BC71-0.3)+BC71^2)</f>
        <v>1.6529382207174566</v>
      </c>
      <c r="BE71" s="550">
        <f t="shared" si="21"/>
        <v>0.4182930584732108</v>
      </c>
      <c r="BG71" s="551">
        <f t="shared" si="22"/>
        <v>6328.3556816412065</v>
      </c>
      <c r="BJ71" s="547">
        <f>'Hilfstabellen_Mat&amp;Bem'!$J$57</f>
        <v>3.4</v>
      </c>
      <c r="BK71" s="546">
        <f t="shared" si="23"/>
        <v>123</v>
      </c>
      <c r="BL71" s="551">
        <f t="shared" si="24"/>
        <v>95.755654402181818</v>
      </c>
      <c r="BM71" s="553">
        <f>BL71/PI()*SQRT('Hilfstabellen_Mat&amp;Bem'!f.Rd.3/'Hilfstabellen_Mat&amp;Bem'!$BD$30)</f>
        <v>1.5239985727106447</v>
      </c>
      <c r="BN71" s="553">
        <f>0.5*(1+'Hilfstabellen_Mat&amp;Bem'!$BD$31*(BM71-0.3)+BM71^2)</f>
        <v>1.7224857534475733</v>
      </c>
      <c r="BO71" s="550">
        <f t="shared" si="25"/>
        <v>0.396004783030313</v>
      </c>
      <c r="BQ71" s="551">
        <f t="shared" si="26"/>
        <v>5991.1563624656055</v>
      </c>
      <c r="BT71" s="547">
        <f>'Hilfstabellen_Mat&amp;Bem'!$J$58</f>
        <v>3.5</v>
      </c>
      <c r="BU71" s="546">
        <f t="shared" si="27"/>
        <v>123</v>
      </c>
      <c r="BV71" s="551">
        <f t="shared" si="28"/>
        <v>98.5719971787166</v>
      </c>
      <c r="BW71" s="553">
        <f>BV71/PI()*SQRT('Hilfstabellen_Mat&amp;Bem'!f.Rd.3/'Hilfstabellen_Mat&amp;Bem'!$BD$30)</f>
        <v>1.5688220601433109</v>
      </c>
      <c r="BX71" s="553">
        <f>0.5*(1+'Hilfstabellen_Mat&amp;Bem'!$BD$31*(BW71-0.3)+BW71^2)</f>
        <v>1.7940424312033167</v>
      </c>
      <c r="BY71" s="550">
        <f t="shared" si="29"/>
        <v>0.37533008493281433</v>
      </c>
      <c r="CA71" s="551">
        <f t="shared" si="30"/>
        <v>5678.3688549485478</v>
      </c>
      <c r="CD71" s="547">
        <f>'Hilfstabellen_Mat&amp;Bem'!$J$59</f>
        <v>3.6</v>
      </c>
      <c r="CE71" s="546">
        <f t="shared" si="31"/>
        <v>123</v>
      </c>
      <c r="CF71" s="551">
        <f t="shared" si="32"/>
        <v>101.38833995525135</v>
      </c>
      <c r="CG71" s="553">
        <f>CF71/PI()*SQRT('Hilfstabellen_Mat&amp;Bem'!f.Rd.3/'Hilfstabellen_Mat&amp;Bem'!$BD$30)</f>
        <v>1.6136455475759768</v>
      </c>
      <c r="CH71" s="553">
        <f>0.5*(1+'Hilfstabellen_Mat&amp;Bem'!$BD$31*(CG71-0.3)+CG71^2)</f>
        <v>1.8676082539846859</v>
      </c>
      <c r="CI71" s="550">
        <f t="shared" si="33"/>
        <v>0.35614073223121168</v>
      </c>
      <c r="CK71" s="551">
        <f t="shared" si="34"/>
        <v>5388.053137926001</v>
      </c>
      <c r="CN71" s="547">
        <f>'Hilfstabellen_Mat&amp;Bem'!$J$60</f>
        <v>3.7</v>
      </c>
      <c r="CO71" s="546">
        <f t="shared" si="35"/>
        <v>123</v>
      </c>
      <c r="CP71" s="551">
        <f t="shared" si="36"/>
        <v>104.20468273178611</v>
      </c>
      <c r="CQ71" s="553">
        <f>CP71/PI()*SQRT('Hilfstabellen_Mat&amp;Bem'!f.Rd.3/'Hilfstabellen_Mat&amp;Bem'!$BD$30)</f>
        <v>1.6584690350086426</v>
      </c>
      <c r="CR71" s="553">
        <f>0.5*(1+'Hilfstabellen_Mat&amp;Bem'!$BD$31*(CQ71-0.3)+CQ71^2)</f>
        <v>1.9431832217916813</v>
      </c>
      <c r="CS71" s="550">
        <f t="shared" si="37"/>
        <v>0.33831512814385312</v>
      </c>
      <c r="CU71" s="551">
        <f t="shared" si="38"/>
        <v>5118.3695736883537</v>
      </c>
      <c r="CX71" s="547">
        <f>'Hilfstabellen_Mat&amp;Bem'!$J$61</f>
        <v>3.8</v>
      </c>
      <c r="CY71" s="546">
        <f t="shared" si="39"/>
        <v>123</v>
      </c>
      <c r="CZ71" s="551">
        <f t="shared" si="40"/>
        <v>107.02102550832088</v>
      </c>
      <c r="DA71" s="553">
        <f>CZ71/PI()*SQRT('Hilfstabellen_Mat&amp;Bem'!f.Rd.3/'Hilfstabellen_Mat&amp;Bem'!$BD$30)</f>
        <v>1.7032925224413089</v>
      </c>
      <c r="DB71" s="553">
        <f>0.5*(1+'Hilfstabellen_Mat&amp;Bem'!$BD$31*(DA71-0.3)+DA71^2)</f>
        <v>2.0207673346243036</v>
      </c>
      <c r="DC71" s="550">
        <f t="shared" si="41"/>
        <v>0.32173983273723777</v>
      </c>
      <c r="DE71" s="551">
        <f t="shared" si="42"/>
        <v>4867.6019294816706</v>
      </c>
      <c r="DH71" s="547">
        <f>'Hilfstabellen_Mat&amp;Bem'!$J$62</f>
        <v>3.9</v>
      </c>
      <c r="DI71" s="546">
        <f t="shared" si="43"/>
        <v>123</v>
      </c>
      <c r="DJ71" s="551">
        <f t="shared" si="44"/>
        <v>109.83736828485563</v>
      </c>
      <c r="DK71" s="553">
        <f>DJ71/PI()*SQRT('Hilfstabellen_Mat&amp;Bem'!f.Rd.3/'Hilfstabellen_Mat&amp;Bem'!$BD$30)</f>
        <v>1.7481160098739748</v>
      </c>
      <c r="DL71" s="553">
        <f>0.5*(1+'Hilfstabellen_Mat&amp;Bem'!$BD$31*(DK71-0.3)+DK71^2)</f>
        <v>2.1003605924825521</v>
      </c>
      <c r="DM71" s="550">
        <f t="shared" si="45"/>
        <v>0.30631013075522728</v>
      </c>
      <c r="DO71" s="551">
        <f t="shared" si="46"/>
        <v>4634.1659681958336</v>
      </c>
      <c r="DR71" s="547">
        <f>'Hilfstabellen_Mat&amp;Bem'!$J$63</f>
        <v>4</v>
      </c>
      <c r="DS71" s="546">
        <f t="shared" si="47"/>
        <v>123</v>
      </c>
      <c r="DT71" s="551">
        <f t="shared" si="48"/>
        <v>112.6537110613904</v>
      </c>
      <c r="DU71" s="553">
        <f>DT71/PI()*SQRT('Hilfstabellen_Mat&amp;Bem'!f.Rd.3/'Hilfstabellen_Mat&amp;Bem'!$BD$30)</f>
        <v>1.7929394973066408</v>
      </c>
      <c r="DV71" s="553">
        <f>0.5*(1+'Hilfstabellen_Mat&amp;Bem'!$BD$31*(DU71-0.3)+DU71^2)</f>
        <v>2.181962995366427</v>
      </c>
      <c r="DW71" s="550">
        <f t="shared" si="49"/>
        <v>0.29193002953852781</v>
      </c>
      <c r="DY71" s="551">
        <f t="shared" si="50"/>
        <v>4416.6094168883874</v>
      </c>
      <c r="EB71" s="547">
        <f>'Hilfstabellen_Mat&amp;Bem'!$J$64</f>
        <v>4.0999999999999996</v>
      </c>
      <c r="EC71" s="546">
        <f t="shared" si="51"/>
        <v>123</v>
      </c>
      <c r="ED71" s="551">
        <f t="shared" si="52"/>
        <v>115.47005383792515</v>
      </c>
      <c r="EE71" s="553">
        <f>ED71/PI()*SQRT('Hilfstabellen_Mat&amp;Bem'!f.Rd.3/'Hilfstabellen_Mat&amp;Bem'!$BD$30)</f>
        <v>1.8377629847393071</v>
      </c>
      <c r="EF71" s="553">
        <f>0.5*(1+'Hilfstabellen_Mat&amp;Bem'!$BD$31*(EE71-0.3)+EE71^2)</f>
        <v>2.2655745432759287</v>
      </c>
      <c r="EG71" s="550">
        <f t="shared" si="53"/>
        <v>0.27851192942466541</v>
      </c>
      <c r="EI71" s="551">
        <f t="shared" si="54"/>
        <v>4213.606980265763</v>
      </c>
      <c r="EL71" s="547">
        <f>'Hilfstabellen_Mat&amp;Bem'!$J$65</f>
        <v>4.2</v>
      </c>
      <c r="EM71" s="546">
        <f t="shared" si="55"/>
        <v>123</v>
      </c>
      <c r="EN71" s="551">
        <f t="shared" si="56"/>
        <v>118.28639661445992</v>
      </c>
      <c r="EO71" s="553">
        <f>EN71/PI()*SQRT('Hilfstabellen_Mat&amp;Bem'!f.Rd.3/'Hilfstabellen_Mat&amp;Bem'!$BD$30)</f>
        <v>1.8825864721719729</v>
      </c>
      <c r="EP71" s="553">
        <f>0.5*(1+'Hilfstabellen_Mat&amp;Bem'!$BD$31*(EO71-0.3)+EO71^2)</f>
        <v>2.3511952362110558</v>
      </c>
      <c r="EQ71" s="550">
        <f t="shared" si="57"/>
        <v>0.26597611845502772</v>
      </c>
      <c r="ES71" s="551">
        <f t="shared" si="58"/>
        <v>4023.9526961061142</v>
      </c>
    </row>
    <row r="72" spans="3:149">
      <c r="C72" s="546">
        <v>124</v>
      </c>
      <c r="D72" s="551">
        <f t="shared" si="8"/>
        <v>78.221649374078325</v>
      </c>
      <c r="E72" s="553">
        <f>$D72/PI()*SQRT('Hilfstabellen_Mat&amp;Bem'!f.Rd.3/'Hilfstabellen_Mat&amp;Bem'!$BD$30)</f>
        <v>1.2449362154685628</v>
      </c>
      <c r="F72" s="553">
        <f>0.5*(1+'Hilfstabellen_Mat&amp;Bem'!$BD$31*($E72-0.3)+$E72^2)</f>
        <v>1.322179901066022</v>
      </c>
      <c r="G72" s="550">
        <f t="shared" si="9"/>
        <v>0.56577678602226766</v>
      </c>
      <c r="I72" s="551">
        <f t="shared" si="59"/>
        <v>8699.3838618783884</v>
      </c>
      <c r="M72" s="546">
        <f t="shared" si="11"/>
        <v>124</v>
      </c>
      <c r="N72" s="551">
        <f t="shared" ref="N72:N135" si="64">$L$8*10^3/$M72*SQRT(12)</f>
        <v>81.015279708866842</v>
      </c>
      <c r="O72" s="553">
        <f>$N72/PI()*SQRT('Hilfstabellen_Mat&amp;Bem'!f.Rd.3/'Hilfstabellen_Mat&amp;Bem'!$BD$30)</f>
        <v>1.2893982231638688</v>
      </c>
      <c r="P72" s="553">
        <f>0.5*(1+'Hilfstabellen_Mat&amp;Bem'!$BD$31*($O72-0.3)+$O72^2)</f>
        <v>1.3807438001072643</v>
      </c>
      <c r="Q72" s="550">
        <f t="shared" ref="Q72:Q135" si="65">MIN(1/($P72+SQRT($P72^2-$O72^2)),1)</f>
        <v>0.53344375957937085</v>
      </c>
      <c r="S72" s="551">
        <f t="shared" si="60"/>
        <v>8202.2312472924059</v>
      </c>
      <c r="W72" s="546">
        <f t="shared" si="13"/>
        <v>124</v>
      </c>
      <c r="X72" s="551">
        <f t="shared" ref="X72:X135" si="66">$V$8*10^3/$W72*SQRT(12)</f>
        <v>83.808910043655359</v>
      </c>
      <c r="Y72" s="553">
        <f>$X72/PI()*SQRT('Hilfstabellen_Mat&amp;Bem'!f.Rd.3/'Hilfstabellen_Mat&amp;Bem'!$BD$30)</f>
        <v>1.3338602308591745</v>
      </c>
      <c r="Z72" s="553">
        <f>0.5*(1+'Hilfstabellen_Mat&amp;Bem'!$BD$31*($Y72-0.3)+$Y72^2)</f>
        <v>1.4412845692768039</v>
      </c>
      <c r="AA72" s="550">
        <f t="shared" ref="AA72:AA135" si="67">MIN(1/($Z72+SQRT($Z72^2-$Y72^2)),1)</f>
        <v>0.50319871167887764</v>
      </c>
      <c r="AC72" s="551">
        <f t="shared" si="61"/>
        <v>7737.1833907744231</v>
      </c>
      <c r="AG72" s="546">
        <f t="shared" si="15"/>
        <v>124</v>
      </c>
      <c r="AH72" s="551">
        <f t="shared" ref="AH72:AH135" si="68">$AF$8*10^3/$AG72*SQRT(12)</f>
        <v>86.602540378443862</v>
      </c>
      <c r="AI72" s="553">
        <f>$AH72/PI()*SQRT('Hilfstabellen_Mat&amp;Bem'!f.Rd.3/'Hilfstabellen_Mat&amp;Bem'!$BD$30)</f>
        <v>1.3783222385544802</v>
      </c>
      <c r="AJ72" s="553">
        <f>0.5*(1+'Hilfstabellen_Mat&amp;Bem'!$BD$31*($AI72-0.3)+$AI72^2)</f>
        <v>1.5038022085746408</v>
      </c>
      <c r="AK72" s="550">
        <f t="shared" ref="AK72:AK135" si="69">MIN(1/($AJ72+SQRT($AJ72^2-$AI72^2)),1)</f>
        <v>0.47501995619125226</v>
      </c>
      <c r="AM72" s="551">
        <f t="shared" si="62"/>
        <v>7303.9068463966951</v>
      </c>
      <c r="AQ72" s="546">
        <f t="shared" si="17"/>
        <v>124</v>
      </c>
      <c r="AR72" s="551">
        <f t="shared" ref="AR72:AR135" si="70">$AP$8*10^3/$AQ72*SQRT(12)</f>
        <v>89.396170713232365</v>
      </c>
      <c r="AS72" s="553">
        <f>$AR72/PI()*SQRT('Hilfstabellen_Mat&amp;Bem'!f.Rd.3/'Hilfstabellen_Mat&amp;Bem'!$BD$30)</f>
        <v>1.4227842462497859</v>
      </c>
      <c r="AT72" s="553">
        <f>0.5*(1+'Hilfstabellen_Mat&amp;Bem'!$BD$31*($AS72-0.3)+$AS72^2)</f>
        <v>1.568296718000775</v>
      </c>
      <c r="AU72" s="550">
        <f t="shared" ref="AU72:AU135" si="71">MIN(1/($AT72+SQRT($AT72^2-$AS72^2)),1)</f>
        <v>0.44882827602528236</v>
      </c>
      <c r="AW72" s="551">
        <f t="shared" si="63"/>
        <v>6901.1835721647412</v>
      </c>
      <c r="AZ72" s="547">
        <f>'Hilfstabellen_Mat&amp;Bem'!$J$56</f>
        <v>3.3</v>
      </c>
      <c r="BA72" s="546">
        <f t="shared" si="19"/>
        <v>124</v>
      </c>
      <c r="BB72" s="551">
        <f t="shared" si="20"/>
        <v>92.189801048020882</v>
      </c>
      <c r="BC72" s="553">
        <f>BB72/PI()*SQRT('Hilfstabellen_Mat&amp;Bem'!f.Rd.3/'Hilfstabellen_Mat&amp;Bem'!$BD$30)</f>
        <v>1.4672462539450919</v>
      </c>
      <c r="BD72" s="553">
        <f>0.5*(1+'Hilfstabellen_Mat&amp;Bem'!$BD$31*(BC72-0.3)+BC72^2)</f>
        <v>1.634768097555207</v>
      </c>
      <c r="BE72" s="550">
        <f t="shared" si="21"/>
        <v>0.42451322557139237</v>
      </c>
      <c r="BG72" s="551">
        <f t="shared" si="22"/>
        <v>6527.3153563857295</v>
      </c>
      <c r="BJ72" s="547">
        <f>'Hilfstabellen_Mat&amp;Bem'!$J$57</f>
        <v>3.4</v>
      </c>
      <c r="BK72" s="546">
        <f t="shared" si="23"/>
        <v>124</v>
      </c>
      <c r="BL72" s="551">
        <f t="shared" si="24"/>
        <v>94.983431382809385</v>
      </c>
      <c r="BM72" s="553">
        <f>BL72/PI()*SQRT('Hilfstabellen_Mat&amp;Bem'!f.Rd.3/'Hilfstabellen_Mat&amp;Bem'!$BD$30)</f>
        <v>1.5117082616403974</v>
      </c>
      <c r="BN72" s="553">
        <f>0.5*(1+'Hilfstabellen_Mat&amp;Bem'!$BD$31*(BM72-0.3)+BM72^2)</f>
        <v>1.7032163472379358</v>
      </c>
      <c r="BO72" s="550">
        <f t="shared" si="25"/>
        <v>0.40194998445695779</v>
      </c>
      <c r="BQ72" s="551">
        <f t="shared" si="26"/>
        <v>6180.382961010183</v>
      </c>
      <c r="BT72" s="547">
        <f>'Hilfstabellen_Mat&amp;Bem'!$J$58</f>
        <v>3.5</v>
      </c>
      <c r="BU72" s="546">
        <f t="shared" si="27"/>
        <v>124</v>
      </c>
      <c r="BV72" s="551">
        <f t="shared" si="28"/>
        <v>97.777061717597903</v>
      </c>
      <c r="BW72" s="553">
        <f>BV72/PI()*SQRT('Hilfstabellen_Mat&amp;Bem'!f.Rd.3/'Hilfstabellen_Mat&amp;Bem'!$BD$30)</f>
        <v>1.5561702693357033</v>
      </c>
      <c r="BX72" s="553">
        <f>0.5*(1+'Hilfstabellen_Mat&amp;Bem'!$BD$31*(BW72-0.3)+BW72^2)</f>
        <v>1.7736414670489631</v>
      </c>
      <c r="BY72" s="550">
        <f t="shared" si="29"/>
        <v>0.38100978105130773</v>
      </c>
      <c r="CA72" s="551">
        <f t="shared" si="30"/>
        <v>5858.4063934449077</v>
      </c>
      <c r="CD72" s="547">
        <f>'Hilfstabellen_Mat&amp;Bem'!$J$59</f>
        <v>3.6</v>
      </c>
      <c r="CE72" s="546">
        <f t="shared" si="31"/>
        <v>124</v>
      </c>
      <c r="CF72" s="551">
        <f t="shared" si="32"/>
        <v>100.57069205238642</v>
      </c>
      <c r="CG72" s="553">
        <f>CF72/PI()*SQRT('Hilfstabellen_Mat&amp;Bem'!f.Rd.3/'Hilfstabellen_Mat&amp;Bem'!$BD$30)</f>
        <v>1.6006322770310093</v>
      </c>
      <c r="CH72" s="553">
        <f>0.5*(1+'Hilfstabellen_Mat&amp;Bem'!$BD$31*(CG72-0.3)+CG72^2)</f>
        <v>1.8460434569882871</v>
      </c>
      <c r="CI72" s="550">
        <f t="shared" si="33"/>
        <v>0.36156610250220023</v>
      </c>
      <c r="CK72" s="551">
        <f t="shared" si="34"/>
        <v>5559.4403920738305</v>
      </c>
      <c r="CN72" s="547">
        <f>'Hilfstabellen_Mat&amp;Bem'!$J$60</f>
        <v>3.7</v>
      </c>
      <c r="CO72" s="546">
        <f t="shared" si="35"/>
        <v>124</v>
      </c>
      <c r="CP72" s="551">
        <f t="shared" si="36"/>
        <v>103.36432238717494</v>
      </c>
      <c r="CQ72" s="553">
        <f>CP72/PI()*SQRT('Hilfstabellen_Mat&amp;Bem'!f.Rd.3/'Hilfstabellen_Mat&amp;Bem'!$BD$30)</f>
        <v>1.645094284726315</v>
      </c>
      <c r="CR72" s="553">
        <f>0.5*(1+'Hilfstabellen_Mat&amp;Bem'!$BD$31*(CQ72-0.3)+CQ72^2)</f>
        <v>1.9204223170559087</v>
      </c>
      <c r="CS72" s="550">
        <f t="shared" si="37"/>
        <v>0.34349820768326084</v>
      </c>
      <c r="CU72" s="551">
        <f t="shared" si="38"/>
        <v>5281.6284413378189</v>
      </c>
      <c r="CX72" s="547">
        <f>'Hilfstabellen_Mat&amp;Bem'!$J$61</f>
        <v>3.8</v>
      </c>
      <c r="CY72" s="546">
        <f t="shared" si="39"/>
        <v>124</v>
      </c>
      <c r="CZ72" s="551">
        <f t="shared" si="40"/>
        <v>106.15795272196344</v>
      </c>
      <c r="DA72" s="553">
        <f>CZ72/PI()*SQRT('Hilfstabellen_Mat&amp;Bem'!f.Rd.3/'Hilfstabellen_Mat&amp;Bem'!$BD$30)</f>
        <v>1.6895562924216208</v>
      </c>
      <c r="DB72" s="553">
        <f>0.5*(1+'Hilfstabellen_Mat&amp;Bem'!$BD$31*(DA72-0.3)+DA72^2)</f>
        <v>1.9967780472518277</v>
      </c>
      <c r="DC72" s="550">
        <f t="shared" si="41"/>
        <v>0.32669294363808682</v>
      </c>
      <c r="DE72" s="551">
        <f t="shared" si="42"/>
        <v>5023.2307013792233</v>
      </c>
      <c r="DH72" s="547">
        <f>'Hilfstabellen_Mat&amp;Bem'!$J$62</f>
        <v>3.9</v>
      </c>
      <c r="DI72" s="546">
        <f t="shared" si="43"/>
        <v>124</v>
      </c>
      <c r="DJ72" s="551">
        <f t="shared" si="44"/>
        <v>108.95158305675196</v>
      </c>
      <c r="DK72" s="553">
        <f>DJ72/PI()*SQRT('Hilfstabellen_Mat&amp;Bem'!f.Rd.3/'Hilfstabellen_Mat&amp;Bem'!$BD$30)</f>
        <v>1.7340183001169267</v>
      </c>
      <c r="DL72" s="553">
        <f>0.5*(1+'Hilfstabellen_Mat&amp;Bem'!$BD$31*(DK72-0.3)+DK72^2)</f>
        <v>2.0751106475760444</v>
      </c>
      <c r="DM72" s="550">
        <f t="shared" si="45"/>
        <v>0.31104551309342832</v>
      </c>
      <c r="DO72" s="551">
        <f t="shared" si="46"/>
        <v>4782.6358093245535</v>
      </c>
      <c r="DR72" s="547">
        <f>'Hilfstabellen_Mat&amp;Bem'!$J$63</f>
        <v>4</v>
      </c>
      <c r="DS72" s="546">
        <f t="shared" si="47"/>
        <v>124</v>
      </c>
      <c r="DT72" s="551">
        <f t="shared" si="48"/>
        <v>111.74521339154046</v>
      </c>
      <c r="DU72" s="553">
        <f>DT72/PI()*SQRT('Hilfstabellen_Mat&amp;Bem'!f.Rd.3/'Hilfstabellen_Mat&amp;Bem'!$BD$30)</f>
        <v>1.7784803078122324</v>
      </c>
      <c r="DV72" s="553">
        <f>0.5*(1+'Hilfstabellen_Mat&amp;Bem'!$BD$31*(DU72-0.3)+DU72^2)</f>
        <v>2.1554201180285584</v>
      </c>
      <c r="DW72" s="550">
        <f t="shared" si="49"/>
        <v>0.29645960746415673</v>
      </c>
      <c r="DY72" s="551">
        <f t="shared" si="50"/>
        <v>4558.3629243688738</v>
      </c>
      <c r="EB72" s="547">
        <f>'Hilfstabellen_Mat&amp;Bem'!$J$64</f>
        <v>4.0999999999999996</v>
      </c>
      <c r="EC72" s="546">
        <f t="shared" si="51"/>
        <v>124</v>
      </c>
      <c r="ED72" s="551">
        <f t="shared" si="52"/>
        <v>114.53884372632896</v>
      </c>
      <c r="EE72" s="553">
        <f>ED72/PI()*SQRT('Hilfstabellen_Mat&amp;Bem'!f.Rd.3/'Hilfstabellen_Mat&amp;Bem'!$BD$30)</f>
        <v>1.8229423155075382</v>
      </c>
      <c r="EF72" s="553">
        <f>0.5*(1+'Hilfstabellen_Mat&amp;Bem'!$BD$31*(EE72-0.3)+EE72^2)</f>
        <v>2.2377064586093693</v>
      </c>
      <c r="EG72" s="550">
        <f t="shared" si="53"/>
        <v>0.28284716851142927</v>
      </c>
      <c r="EI72" s="551">
        <f t="shared" si="54"/>
        <v>4349.0580630317363</v>
      </c>
      <c r="EL72" s="547">
        <f>'Hilfstabellen_Mat&amp;Bem'!$J$65</f>
        <v>4.2</v>
      </c>
      <c r="EM72" s="546">
        <f t="shared" si="55"/>
        <v>124</v>
      </c>
      <c r="EN72" s="551">
        <f t="shared" si="56"/>
        <v>117.33247406111748</v>
      </c>
      <c r="EO72" s="553">
        <f>EN72/PI()*SQRT('Hilfstabellen_Mat&amp;Bem'!f.Rd.3/'Hilfstabellen_Mat&amp;Bem'!$BD$30)</f>
        <v>1.8674043232028439</v>
      </c>
      <c r="EP72" s="553">
        <f>0.5*(1+'Hilfstabellen_Mat&amp;Bem'!$BD$31*(EO72-0.3)+EO72^2)</f>
        <v>2.3219696693184777</v>
      </c>
      <c r="EQ72" s="550">
        <f t="shared" si="57"/>
        <v>0.27012794453752959</v>
      </c>
      <c r="ES72" s="551">
        <f t="shared" si="58"/>
        <v>4153.487275209055</v>
      </c>
    </row>
    <row r="73" spans="3:149">
      <c r="C73" s="546">
        <v>125</v>
      </c>
      <c r="D73" s="551">
        <f t="shared" ref="D73:D136" si="72">$B$8*10^3/$C73*SQRT(12)</f>
        <v>77.595876179085693</v>
      </c>
      <c r="E73" s="553">
        <f>$D73/PI()*SQRT('Hilfstabellen_Mat&amp;Bem'!f.Rd.3/'Hilfstabellen_Mat&amp;Bem'!$BD$30)</f>
        <v>1.2349767257448141</v>
      </c>
      <c r="F73" s="553">
        <f>0.5*(1+'Hilfstabellen_Mat&amp;Bem'!$BD$31*($E73-0.3)+$E73^2)</f>
        <v>1.3093325928529316</v>
      </c>
      <c r="G73" s="550">
        <f t="shared" ref="G73:G136" si="73">MIN(1/($F73+SQRT($F73^2-$E73^2)),1)</f>
        <v>0.57330053259678515</v>
      </c>
      <c r="I73" s="551">
        <f t="shared" si="59"/>
        <v>8957.8208218247673</v>
      </c>
      <c r="M73" s="546">
        <f t="shared" ref="M73:M136" si="74">$C73</f>
        <v>125</v>
      </c>
      <c r="N73" s="551">
        <f t="shared" si="64"/>
        <v>80.367157471195895</v>
      </c>
      <c r="O73" s="553">
        <f>$N73/PI()*SQRT('Hilfstabellen_Mat&amp;Bem'!f.Rd.3/'Hilfstabellen_Mat&amp;Bem'!$BD$30)</f>
        <v>1.2790830373785576</v>
      </c>
      <c r="P73" s="553">
        <f>0.5*(1+'Hilfstabellen_Mat&amp;Bem'!$BD$31*($O73-0.3)+$O73^2)</f>
        <v>1.3669808601237059</v>
      </c>
      <c r="Q73" s="550">
        <f t="shared" si="65"/>
        <v>0.54075984867557469</v>
      </c>
      <c r="S73" s="551">
        <f t="shared" si="60"/>
        <v>8449.3726355558538</v>
      </c>
      <c r="W73" s="546">
        <f t="shared" ref="W73:W136" si="75">$C73</f>
        <v>125</v>
      </c>
      <c r="X73" s="551">
        <f t="shared" si="66"/>
        <v>83.138438763306112</v>
      </c>
      <c r="Y73" s="553">
        <f>$X73/PI()*SQRT('Hilfstabellen_Mat&amp;Bem'!f.Rd.3/'Hilfstabellen_Mat&amp;Bem'!$BD$30)</f>
        <v>1.323189349012301</v>
      </c>
      <c r="Z73" s="553">
        <f>0.5*(1+'Hilfstabellen_Mat&amp;Bem'!$BD$31*($Y73-0.3)+$Y73^2)</f>
        <v>1.4265744941204135</v>
      </c>
      <c r="AA73" s="550">
        <f t="shared" si="67"/>
        <v>0.51026706373282316</v>
      </c>
      <c r="AC73" s="551">
        <f t="shared" si="61"/>
        <v>7972.9228708253622</v>
      </c>
      <c r="AG73" s="546">
        <f t="shared" ref="AG73:AG136" si="76">$C73</f>
        <v>125</v>
      </c>
      <c r="AH73" s="551">
        <f t="shared" si="68"/>
        <v>85.909720055416315</v>
      </c>
      <c r="AI73" s="553">
        <f>$AH73/PI()*SQRT('Hilfstabellen_Mat&amp;Bem'!f.Rd.3/'Hilfstabellen_Mat&amp;Bem'!$BD$30)</f>
        <v>1.3672956606460445</v>
      </c>
      <c r="AJ73" s="553">
        <f>0.5*(1+'Hilfstabellen_Mat&amp;Bem'!$BD$31*($AI73-0.3)+$AI73^2)</f>
        <v>1.4881134948430539</v>
      </c>
      <c r="AK73" s="550">
        <f t="shared" si="69"/>
        <v>0.48181923100213808</v>
      </c>
      <c r="AM73" s="551">
        <f t="shared" si="62"/>
        <v>7528.4254844084071</v>
      </c>
      <c r="AQ73" s="546">
        <f t="shared" ref="AQ73:AQ136" si="77">$C73</f>
        <v>125</v>
      </c>
      <c r="AR73" s="551">
        <f t="shared" si="70"/>
        <v>88.681001347526518</v>
      </c>
      <c r="AS73" s="553">
        <f>$AR73/PI()*SQRT('Hilfstabellen_Mat&amp;Bem'!f.Rd.3/'Hilfstabellen_Mat&amp;Bem'!$BD$30)</f>
        <v>1.4114019722797879</v>
      </c>
      <c r="AT73" s="553">
        <f>0.5*(1+'Hilfstabellen_Mat&amp;Bem'!$BD$31*($AS73-0.3)+$AS73^2)</f>
        <v>1.5515978622916271</v>
      </c>
      <c r="AU73" s="550">
        <f t="shared" si="71"/>
        <v>0.45534987283006151</v>
      </c>
      <c r="AW73" s="551">
        <f t="shared" si="63"/>
        <v>7114.8417629697115</v>
      </c>
      <c r="AZ73" s="547">
        <f>'Hilfstabellen_Mat&amp;Bem'!$J$56</f>
        <v>3.3</v>
      </c>
      <c r="BA73" s="546">
        <f t="shared" ref="BA73:BA136" si="78">$C73</f>
        <v>125</v>
      </c>
      <c r="BB73" s="551">
        <f t="shared" ref="BB73:BB136" si="79">AZ$8*10^3/BA73*SQRT(12)</f>
        <v>91.452282639636707</v>
      </c>
      <c r="BC73" s="553">
        <f>BB73/PI()*SQRT('Hilfstabellen_Mat&amp;Bem'!f.Rd.3/'Hilfstabellen_Mat&amp;Bem'!$BD$30)</f>
        <v>1.4555082839135309</v>
      </c>
      <c r="BD73" s="553">
        <f>0.5*(1+'Hilfstabellen_Mat&amp;Bem'!$BD$31*(BC73-0.3)+BC73^2)</f>
        <v>1.6170275964661325</v>
      </c>
      <c r="BE73" s="550">
        <f t="shared" ref="BE73:BE136" si="80">MIN(1/(BD73+SQRT(BD73^2-BC73^2)),1)</f>
        <v>0.43075696236864602</v>
      </c>
      <c r="BG73" s="551">
        <f t="shared" ref="BG73:BG136" si="81">BA73^2*BE73</f>
        <v>6730.5775370100937</v>
      </c>
      <c r="BJ73" s="547">
        <f>'Hilfstabellen_Mat&amp;Bem'!$J$57</f>
        <v>3.4</v>
      </c>
      <c r="BK73" s="546">
        <f t="shared" ref="BK73:BK136" si="82">$C73</f>
        <v>125</v>
      </c>
      <c r="BL73" s="551">
        <f t="shared" ref="BL73:BL136" si="83">BJ$8*10^3/BK73*SQRT(12)</f>
        <v>94.223563931746924</v>
      </c>
      <c r="BM73" s="553">
        <f>BL73/PI()*SQRT('Hilfstabellen_Mat&amp;Bem'!f.Rd.3/'Hilfstabellen_Mat&amp;Bem'!$BD$30)</f>
        <v>1.4996145955472746</v>
      </c>
      <c r="BN73" s="553">
        <f>0.5*(1+'Hilfstabellen_Mat&amp;Bem'!$BD$31*(BM73-0.3)+BM73^2)</f>
        <v>1.6844026973665716</v>
      </c>
      <c r="BO73" s="550">
        <f t="shared" ref="BO73:BO136" si="84">MIN(1/(BN73+SQRT(BN73^2-BM73^2)),1)</f>
        <v>0.40792108862515919</v>
      </c>
      <c r="BQ73" s="551">
        <f t="shared" ref="BQ73:BQ136" si="85">BK73^2*BO73</f>
        <v>6373.7670097681121</v>
      </c>
      <c r="BT73" s="547">
        <f>'Hilfstabellen_Mat&amp;Bem'!$J$58</f>
        <v>3.5</v>
      </c>
      <c r="BU73" s="546">
        <f t="shared" ref="BU73:BU136" si="86">$C73</f>
        <v>125</v>
      </c>
      <c r="BV73" s="551">
        <f t="shared" ref="BV73:BV136" si="87">BT$8*10^3/BU73*SQRT(12)</f>
        <v>96.994845223857126</v>
      </c>
      <c r="BW73" s="553">
        <f>BV73/PI()*SQRT('Hilfstabellen_Mat&amp;Bem'!f.Rd.3/'Hilfstabellen_Mat&amp;Bem'!$BD$30)</f>
        <v>1.5437209071810178</v>
      </c>
      <c r="BX73" s="553">
        <f>0.5*(1+'Hilfstabellen_Mat&amp;Bem'!$BD$31*(BW73-0.3)+BW73^2)</f>
        <v>1.7537231649929432</v>
      </c>
      <c r="BY73" s="550">
        <f t="shared" ref="BY73:BY136" si="88">MIN(1/(BX73+SQRT(BX73^2-BW73^2)),1)</f>
        <v>0.38671683227639481</v>
      </c>
      <c r="CA73" s="551">
        <f t="shared" ref="CA73:CA136" si="89">BU73^2*BY73</f>
        <v>6042.4505043186691</v>
      </c>
      <c r="CD73" s="547">
        <f>'Hilfstabellen_Mat&amp;Bem'!$J$59</f>
        <v>3.6</v>
      </c>
      <c r="CE73" s="546">
        <f t="shared" ref="CE73:CE136" si="90">$C73</f>
        <v>125</v>
      </c>
      <c r="CF73" s="551">
        <f t="shared" ref="CF73:CF136" si="91">CD$8*10^3/CE73*SQRT(12)</f>
        <v>99.766126515967329</v>
      </c>
      <c r="CG73" s="553">
        <f>CF73/PI()*SQRT('Hilfstabellen_Mat&amp;Bem'!f.Rd.3/'Hilfstabellen_Mat&amp;Bem'!$BD$30)</f>
        <v>1.5878272188147611</v>
      </c>
      <c r="CH73" s="553">
        <f>0.5*(1+'Hilfstabellen_Mat&amp;Bem'!$BD$31*(CG73-0.3)+CG73^2)</f>
        <v>1.8249889993452477</v>
      </c>
      <c r="CI73" s="550">
        <f t="shared" ref="CI73:CI136" si="92">MIN(1/(CH73+SQRT(CH73^2-CG73^2)),1)</f>
        <v>0.36701964303967183</v>
      </c>
      <c r="CK73" s="551">
        <f t="shared" ref="CK73:CK136" si="93">CE73^2*CI73</f>
        <v>5734.6819224948722</v>
      </c>
      <c r="CN73" s="547">
        <f>'Hilfstabellen_Mat&amp;Bem'!$J$60</f>
        <v>3.7</v>
      </c>
      <c r="CO73" s="546">
        <f t="shared" ref="CO73:CO136" si="94">$C73</f>
        <v>125</v>
      </c>
      <c r="CP73" s="551">
        <f t="shared" ref="CP73:CP136" si="95">CN$8*10^3/CO73*SQRT(12)</f>
        <v>102.53740780807753</v>
      </c>
      <c r="CQ73" s="553">
        <f>CP73/PI()*SQRT('Hilfstabellen_Mat&amp;Bem'!f.Rd.3/'Hilfstabellen_Mat&amp;Bem'!$BD$30)</f>
        <v>1.6319335304485045</v>
      </c>
      <c r="CR73" s="553">
        <f>0.5*(1+'Hilfstabellen_Mat&amp;Bem'!$BD$31*(CQ73-0.3)+CQ73^2)</f>
        <v>1.898200200423485</v>
      </c>
      <c r="CS73" s="550">
        <f t="shared" ref="CS73:CS136" si="96">MIN(1/(CR73+SQRT(CR73^2-CQ73^2)),1)</f>
        <v>0.34870981199596685</v>
      </c>
      <c r="CU73" s="551">
        <f t="shared" ref="CU73:CU136" si="97">CO73^2*CS73</f>
        <v>5448.5908124369817</v>
      </c>
      <c r="CX73" s="547">
        <f>'Hilfstabellen_Mat&amp;Bem'!$J$61</f>
        <v>3.8</v>
      </c>
      <c r="CY73" s="546">
        <f t="shared" ref="CY73:CY136" si="98">$C73</f>
        <v>125</v>
      </c>
      <c r="CZ73" s="551">
        <f t="shared" ref="CZ73:CZ136" si="99">CX$8*10^3/CY73*SQRT(12)</f>
        <v>105.30868910018773</v>
      </c>
      <c r="DA73" s="553">
        <f>CZ73/PI()*SQRT('Hilfstabellen_Mat&amp;Bem'!f.Rd.3/'Hilfstabellen_Mat&amp;Bem'!$BD$30)</f>
        <v>1.676039842082248</v>
      </c>
      <c r="DB73" s="553">
        <f>0.5*(1+'Hilfstabellen_Mat&amp;Bem'!$BD$31*(DA73-0.3)+DA73^2)</f>
        <v>1.9733567682276556</v>
      </c>
      <c r="DC73" s="550">
        <f t="shared" ref="DC73:DC136" si="100">MIN(1/(DB73+SQRT(DB73^2-DA73^2)),1)</f>
        <v>0.33167460156993017</v>
      </c>
      <c r="DE73" s="551">
        <f t="shared" ref="DE73:DE136" si="101">CY73^2*DC73</f>
        <v>5182.4156495301586</v>
      </c>
      <c r="DH73" s="547">
        <f>'Hilfstabellen_Mat&amp;Bem'!$J$62</f>
        <v>3.9</v>
      </c>
      <c r="DI73" s="546">
        <f t="shared" ref="DI73:DI136" si="102">$C73</f>
        <v>125</v>
      </c>
      <c r="DJ73" s="551">
        <f t="shared" ref="DJ73:DJ136" si="103">DH$8*10^3/DI73*SQRT(12)</f>
        <v>108.07997039229794</v>
      </c>
      <c r="DK73" s="553">
        <f>DJ73/PI()*SQRT('Hilfstabellen_Mat&amp;Bem'!f.Rd.3/'Hilfstabellen_Mat&amp;Bem'!$BD$30)</f>
        <v>1.7201461537159912</v>
      </c>
      <c r="DL73" s="553">
        <f>0.5*(1+'Hilfstabellen_Mat&amp;Bem'!$BD$31*(DK73-0.3)+DK73^2)</f>
        <v>2.0504587027577585</v>
      </c>
      <c r="DM73" s="550">
        <f t="shared" ref="DM73:DM136" si="104">MIN(1/(DL73+SQRT(DL73^2-DK73^2)),1)</f>
        <v>0.31580922623640595</v>
      </c>
      <c r="DO73" s="551">
        <f t="shared" ref="DO73:DO136" si="105">DI73^2*DM73</f>
        <v>4934.5191599438431</v>
      </c>
      <c r="DR73" s="547">
        <f>'Hilfstabellen_Mat&amp;Bem'!$J$63</f>
        <v>4</v>
      </c>
      <c r="DS73" s="546">
        <f t="shared" ref="DS73:DS136" si="106">$C73</f>
        <v>125</v>
      </c>
      <c r="DT73" s="551">
        <f t="shared" ref="DT73:DT136" si="107">DR$8*10^3/DS73*SQRT(12)</f>
        <v>110.85125168440814</v>
      </c>
      <c r="DU73" s="553">
        <f>DT73/PI()*SQRT('Hilfstabellen_Mat&amp;Bem'!f.Rd.3/'Hilfstabellen_Mat&amp;Bem'!$BD$30)</f>
        <v>1.7642524653497347</v>
      </c>
      <c r="DV73" s="553">
        <f>0.5*(1+'Hilfstabellen_Mat&amp;Bem'!$BD$31*(DU73-0.3)+DU73^2)</f>
        <v>2.1295060040137952</v>
      </c>
      <c r="DW73" s="550">
        <f t="shared" ref="DW73:DW136" si="108">MIN(1/(DV73+SQRT(DV73^2-DU73^2)),1)</f>
        <v>0.30101713025294041</v>
      </c>
      <c r="DY73" s="551">
        <f t="shared" ref="DY73:DY136" si="109">DS73^2*DW73</f>
        <v>4703.3926602021938</v>
      </c>
      <c r="EB73" s="547">
        <f>'Hilfstabellen_Mat&amp;Bem'!$J$64</f>
        <v>4.0999999999999996</v>
      </c>
      <c r="EC73" s="546">
        <f t="shared" ref="EC73:EC136" si="110">$C73</f>
        <v>125</v>
      </c>
      <c r="ED73" s="551">
        <f t="shared" ref="ED73:ED136" si="111">EB$8*10^3/EC73*SQRT(12)</f>
        <v>113.62253297651833</v>
      </c>
      <c r="EE73" s="553">
        <f>ED73/PI()*SQRT('Hilfstabellen_Mat&amp;Bem'!f.Rd.3/'Hilfstabellen_Mat&amp;Bem'!$BD$30)</f>
        <v>1.8083587769834777</v>
      </c>
      <c r="EF73" s="553">
        <f>0.5*(1+'Hilfstabellen_Mat&amp;Bem'!$BD$31*(EE73-0.3)+EE73^2)</f>
        <v>2.2104986719957633</v>
      </c>
      <c r="EG73" s="550">
        <f t="shared" ref="EG73:EG136" si="112">MIN(1/(EF73+SQRT(EF73^2-EE73^2)),1)</f>
        <v>0.28720984744717803</v>
      </c>
      <c r="EI73" s="551">
        <f t="shared" ref="EI73:EI136" si="113">EC73^2*EG73</f>
        <v>4487.6538663621568</v>
      </c>
      <c r="EL73" s="547">
        <f>'Hilfstabellen_Mat&amp;Bem'!$J$65</f>
        <v>4.2</v>
      </c>
      <c r="EM73" s="546">
        <f t="shared" ref="EM73:EM136" si="114">$C73</f>
        <v>125</v>
      </c>
      <c r="EN73" s="551">
        <f t="shared" ref="EN73:EN136" si="115">EL$8*10^3/EM73*SQRT(12)</f>
        <v>116.39381426862855</v>
      </c>
      <c r="EO73" s="553">
        <f>EN73/PI()*SQRT('Hilfstabellen_Mat&amp;Bem'!f.Rd.3/'Hilfstabellen_Mat&amp;Bem'!$BD$30)</f>
        <v>1.8524650886172211</v>
      </c>
      <c r="EP73" s="553">
        <f>0.5*(1+'Hilfstabellen_Mat&amp;Bem'!$BD$31*(EO73-0.3)+EO73^2)</f>
        <v>2.2934367067036656</v>
      </c>
      <c r="EQ73" s="550">
        <f t="shared" ref="EQ73:EQ136" si="116">MIN(1/(EP73+SQRT(EP73^2-EO73^2)),1)</f>
        <v>0.27430662380706122</v>
      </c>
      <c r="ES73" s="551">
        <f t="shared" ref="ES73:ES136" si="117">EM73^2*EQ73</f>
        <v>4286.0409969853317</v>
      </c>
    </row>
    <row r="74" spans="3:149">
      <c r="C74" s="546">
        <v>126</v>
      </c>
      <c r="D74" s="551">
        <f t="shared" si="72"/>
        <v>76.980035891950095</v>
      </c>
      <c r="E74" s="553">
        <f>$D74/PI()*SQRT('Hilfstabellen_Mat&amp;Bem'!f.Rd.3/'Hilfstabellen_Mat&amp;Bem'!$BD$30)</f>
        <v>1.2251753231595379</v>
      </c>
      <c r="F74" s="553">
        <f>0.5*(1+'Hilfstabellen_Mat&amp;Bem'!$BD$31*($E74-0.3)+$E74^2)</f>
        <v>1.2967860523975161</v>
      </c>
      <c r="G74" s="550">
        <f t="shared" si="73"/>
        <v>0.58080237549328984</v>
      </c>
      <c r="I74" s="551">
        <f t="shared" si="59"/>
        <v>9220.8185133314691</v>
      </c>
      <c r="M74" s="546">
        <f t="shared" si="74"/>
        <v>126</v>
      </c>
      <c r="N74" s="551">
        <f t="shared" si="64"/>
        <v>79.729322888091176</v>
      </c>
      <c r="O74" s="553">
        <f>$N74/PI()*SQRT('Hilfstabellen_Mat&amp;Bem'!f.Rd.3/'Hilfstabellen_Mat&amp;Bem'!$BD$30)</f>
        <v>1.2689315847009501</v>
      </c>
      <c r="P74" s="553">
        <f>0.5*(1+'Hilfstabellen_Mat&amp;Bem'!$BD$31*($O74-0.3)+$O74^2)</f>
        <v>1.3535402625608799</v>
      </c>
      <c r="Q74" s="550">
        <f t="shared" si="65"/>
        <v>0.54806960196618137</v>
      </c>
      <c r="S74" s="551">
        <f t="shared" si="60"/>
        <v>8701.1530008150949</v>
      </c>
      <c r="W74" s="546">
        <f t="shared" si="75"/>
        <v>126</v>
      </c>
      <c r="X74" s="551">
        <f t="shared" si="66"/>
        <v>82.478609884232256</v>
      </c>
      <c r="Y74" s="553">
        <f>$X74/PI()*SQRT('Hilfstabellen_Mat&amp;Bem'!f.Rd.3/'Hilfstabellen_Mat&amp;Bem'!$BD$30)</f>
        <v>1.3126878462423621</v>
      </c>
      <c r="Z74" s="553">
        <f>0.5*(1+'Hilfstabellen_Mat&amp;Bem'!$BD$31*($Y74-0.3)+$Y74^2)</f>
        <v>1.4122090831483236</v>
      </c>
      <c r="AA74" s="550">
        <f t="shared" si="67"/>
        <v>0.51734035575160087</v>
      </c>
      <c r="AC74" s="551">
        <f t="shared" si="61"/>
        <v>8213.2954879124154</v>
      </c>
      <c r="AG74" s="546">
        <f t="shared" si="76"/>
        <v>126</v>
      </c>
      <c r="AH74" s="551">
        <f t="shared" si="68"/>
        <v>85.227896880373322</v>
      </c>
      <c r="AI74" s="553">
        <f>$AH74/PI()*SQRT('Hilfstabellen_Mat&amp;Bem'!f.Rd.3/'Hilfstabellen_Mat&amp;Bem'!$BD$30)</f>
        <v>1.3564441077837741</v>
      </c>
      <c r="AJ74" s="553">
        <f>0.5*(1+'Hilfstabellen_Mat&amp;Bem'!$BD$31*($AI74-0.3)+$AI74^2)</f>
        <v>1.4727925141598481</v>
      </c>
      <c r="AK74" s="550">
        <f t="shared" si="69"/>
        <v>0.48863146319968254</v>
      </c>
      <c r="AM74" s="551">
        <f t="shared" si="62"/>
        <v>7757.5131097581598</v>
      </c>
      <c r="AQ74" s="546">
        <f t="shared" si="77"/>
        <v>126</v>
      </c>
      <c r="AR74" s="551">
        <f t="shared" si="70"/>
        <v>87.977183876514388</v>
      </c>
      <c r="AS74" s="553">
        <f>$AR74/PI()*SQRT('Hilfstabellen_Mat&amp;Bem'!f.Rd.3/'Hilfstabellen_Mat&amp;Bem'!$BD$30)</f>
        <v>1.4002003693251861</v>
      </c>
      <c r="AT74" s="553">
        <f>0.5*(1+'Hilfstabellen_Mat&amp;Bem'!$BD$31*($AS74-0.3)+$AS74^2)</f>
        <v>1.535290555595453</v>
      </c>
      <c r="AU74" s="550">
        <f t="shared" si="71"/>
        <v>0.46189003238009735</v>
      </c>
      <c r="AW74" s="551">
        <f t="shared" si="63"/>
        <v>7332.9661540664256</v>
      </c>
      <c r="AZ74" s="547">
        <f>'Hilfstabellen_Mat&amp;Bem'!$J$56</f>
        <v>3.3</v>
      </c>
      <c r="BA74" s="546">
        <f t="shared" si="78"/>
        <v>126</v>
      </c>
      <c r="BB74" s="551">
        <f t="shared" si="79"/>
        <v>90.726470872655469</v>
      </c>
      <c r="BC74" s="553">
        <f>BB74/PI()*SQRT('Hilfstabellen_Mat&amp;Bem'!f.Rd.3/'Hilfstabellen_Mat&amp;Bem'!$BD$30)</f>
        <v>1.4439566308665981</v>
      </c>
      <c r="BD74" s="553">
        <f>0.5*(1+'Hilfstabellen_Mat&amp;Bem'!$BD$31*(BC74-0.3)+BC74^2)</f>
        <v>1.5997032074551385</v>
      </c>
      <c r="BE74" s="550">
        <f t="shared" si="80"/>
        <v>0.43702310355094148</v>
      </c>
      <c r="BG74" s="551">
        <f t="shared" si="81"/>
        <v>6938.1787919747467</v>
      </c>
      <c r="BJ74" s="547">
        <f>'Hilfstabellen_Mat&amp;Bem'!$J$57</f>
        <v>3.4</v>
      </c>
      <c r="BK74" s="546">
        <f t="shared" si="82"/>
        <v>126</v>
      </c>
      <c r="BL74" s="551">
        <f t="shared" si="83"/>
        <v>93.475757868796549</v>
      </c>
      <c r="BM74" s="553">
        <f>BL74/PI()*SQRT('Hilfstabellen_Mat&amp;Bem'!f.Rd.3/'Hilfstabellen_Mat&amp;Bem'!$BD$30)</f>
        <v>1.4877128924080103</v>
      </c>
      <c r="BN74" s="553">
        <f>0.5*(1+'Hilfstabellen_Mat&amp;Bem'!$BD$31*(BM74-0.3)+BM74^2)</f>
        <v>1.6660304697389043</v>
      </c>
      <c r="BO74" s="550">
        <f t="shared" si="84"/>
        <v>0.41391715610870944</v>
      </c>
      <c r="BQ74" s="551">
        <f t="shared" si="85"/>
        <v>6571.348770381871</v>
      </c>
      <c r="BT74" s="547">
        <f>'Hilfstabellen_Mat&amp;Bem'!$J$58</f>
        <v>3.5</v>
      </c>
      <c r="BU74" s="546">
        <f t="shared" si="86"/>
        <v>126</v>
      </c>
      <c r="BV74" s="551">
        <f t="shared" si="87"/>
        <v>96.22504486493763</v>
      </c>
      <c r="BW74" s="553">
        <f>BV74/PI()*SQRT('Hilfstabellen_Mat&amp;Bem'!f.Rd.3/'Hilfstabellen_Mat&amp;Bem'!$BD$30)</f>
        <v>1.5314691539494225</v>
      </c>
      <c r="BX74" s="553">
        <f>0.5*(1+'Hilfstabellen_Mat&amp;Bem'!$BD$31*(BW74-0.3)+BW74^2)</f>
        <v>1.7342723424467512</v>
      </c>
      <c r="BY74" s="550">
        <f t="shared" si="88"/>
        <v>0.3924504746390417</v>
      </c>
      <c r="CA74" s="551">
        <f t="shared" si="89"/>
        <v>6230.543735369426</v>
      </c>
      <c r="CD74" s="547">
        <f>'Hilfstabellen_Mat&amp;Bem'!$J$59</f>
        <v>3.6</v>
      </c>
      <c r="CE74" s="546">
        <f t="shared" si="90"/>
        <v>126</v>
      </c>
      <c r="CF74" s="551">
        <f t="shared" si="91"/>
        <v>98.974331861078696</v>
      </c>
      <c r="CG74" s="553">
        <f>CF74/PI()*SQRT('Hilfstabellen_Mat&amp;Bem'!f.Rd.3/'Hilfstabellen_Mat&amp;Bem'!$BD$30)</f>
        <v>1.5752254154908345</v>
      </c>
      <c r="CH74" s="553">
        <f>0.5*(1+'Hilfstabellen_Mat&amp;Bem'!$BD$31*(CG74-0.3)+CG74^2)</f>
        <v>1.804428825578678</v>
      </c>
      <c r="CI74" s="550">
        <f t="shared" si="92"/>
        <v>0.3725007270207823</v>
      </c>
      <c r="CK74" s="551">
        <f t="shared" si="93"/>
        <v>5913.8215421819395</v>
      </c>
      <c r="CN74" s="547">
        <f>'Hilfstabellen_Mat&amp;Bem'!$J$60</f>
        <v>3.7</v>
      </c>
      <c r="CO74" s="546">
        <f t="shared" si="94"/>
        <v>126</v>
      </c>
      <c r="CP74" s="551">
        <f t="shared" si="95"/>
        <v>101.72361885721976</v>
      </c>
      <c r="CQ74" s="553">
        <f>CP74/PI()*SQRT('Hilfstabellen_Mat&amp;Bem'!f.Rd.3/'Hilfstabellen_Mat&amp;Bem'!$BD$30)</f>
        <v>1.6189816770322463</v>
      </c>
      <c r="CR74" s="553">
        <f>0.5*(1+'Hilfstabellen_Mat&amp;Bem'!$BD$31*(CQ74-0.3)+CQ74^2)</f>
        <v>1.8764999191346847</v>
      </c>
      <c r="CS74" s="550">
        <f t="shared" si="96"/>
        <v>0.35394942227162307</v>
      </c>
      <c r="CU74" s="551">
        <f t="shared" si="97"/>
        <v>5619.3010279842874</v>
      </c>
      <c r="CX74" s="547">
        <f>'Hilfstabellen_Mat&amp;Bem'!$J$61</f>
        <v>3.8</v>
      </c>
      <c r="CY74" s="546">
        <f t="shared" si="98"/>
        <v>126</v>
      </c>
      <c r="CZ74" s="551">
        <f t="shared" si="99"/>
        <v>104.47290585336084</v>
      </c>
      <c r="DA74" s="553">
        <f>CZ74/PI()*SQRT('Hilfstabellen_Mat&amp;Bem'!f.Rd.3/'Hilfstabellen_Mat&amp;Bem'!$BD$30)</f>
        <v>1.6627379385736587</v>
      </c>
      <c r="DB74" s="553">
        <f>0.5*(1+'Hilfstabellen_Mat&amp;Bem'!$BD$31*(DA74-0.3)+DA74^2)</f>
        <v>1.9504856231147731</v>
      </c>
      <c r="DC74" s="550">
        <f t="shared" si="100"/>
        <v>0.33668437348505625</v>
      </c>
      <c r="DE74" s="551">
        <f t="shared" si="101"/>
        <v>5345.2011134487529</v>
      </c>
      <c r="DH74" s="547">
        <f>'Hilfstabellen_Mat&amp;Bem'!$J$62</f>
        <v>3.9</v>
      </c>
      <c r="DI74" s="546">
        <f t="shared" si="102"/>
        <v>126</v>
      </c>
      <c r="DJ74" s="551">
        <f t="shared" si="103"/>
        <v>107.22219284950192</v>
      </c>
      <c r="DK74" s="553">
        <f>DJ74/PI()*SQRT('Hilfstabellen_Mat&amp;Bem'!f.Rd.3/'Hilfstabellen_Mat&amp;Bem'!$BD$30)</f>
        <v>1.7064942001150705</v>
      </c>
      <c r="DL74" s="553">
        <f>0.5*(1+'Hilfstabellen_Mat&amp;Bem'!$BD$31*(DK74-0.3)+DK74^2)</f>
        <v>2.0263859375189406</v>
      </c>
      <c r="DM74" s="550">
        <f t="shared" si="104"/>
        <v>0.32060090580168754</v>
      </c>
      <c r="DO74" s="551">
        <f t="shared" si="105"/>
        <v>5089.859980507591</v>
      </c>
      <c r="DR74" s="547">
        <f>'Hilfstabellen_Mat&amp;Bem'!$J$63</f>
        <v>4</v>
      </c>
      <c r="DS74" s="546">
        <f t="shared" si="106"/>
        <v>126</v>
      </c>
      <c r="DT74" s="551">
        <f t="shared" si="107"/>
        <v>109.971479845643</v>
      </c>
      <c r="DU74" s="553">
        <f>DT74/PI()*SQRT('Hilfstabellen_Mat&amp;Bem'!f.Rd.3/'Hilfstabellen_Mat&amp;Bem'!$BD$30)</f>
        <v>1.7502504616564829</v>
      </c>
      <c r="DV74" s="553">
        <f>0.5*(1+'Hilfstabellen_Mat&amp;Bem'!$BD$31*(DU74-0.3)+DU74^2)</f>
        <v>2.1042008623471902</v>
      </c>
      <c r="DW74" s="550">
        <f t="shared" si="108"/>
        <v>0.30560228895491826</v>
      </c>
      <c r="DY74" s="551">
        <f t="shared" si="109"/>
        <v>4851.7419394482822</v>
      </c>
      <c r="EB74" s="547">
        <f>'Hilfstabellen_Mat&amp;Bem'!$J$64</f>
        <v>4.0999999999999996</v>
      </c>
      <c r="EC74" s="546">
        <f t="shared" si="110"/>
        <v>126</v>
      </c>
      <c r="ED74" s="551">
        <f t="shared" si="111"/>
        <v>112.72076684178407</v>
      </c>
      <c r="EE74" s="553">
        <f>ED74/PI()*SQRT('Hilfstabellen_Mat&amp;Bem'!f.Rd.3/'Hilfstabellen_Mat&amp;Bem'!$BD$30)</f>
        <v>1.7940067231978949</v>
      </c>
      <c r="EF74" s="553">
        <f>0.5*(1+'Hilfstabellen_Mat&amp;Bem'!$BD$31*(EE74-0.3)+EE74^2)</f>
        <v>2.1839303975995188</v>
      </c>
      <c r="EG74" s="550">
        <f t="shared" si="112"/>
        <v>0.29159970239387389</v>
      </c>
      <c r="EI74" s="551">
        <f t="shared" si="113"/>
        <v>4629.4368752051423</v>
      </c>
      <c r="EL74" s="547">
        <f>'Hilfstabellen_Mat&amp;Bem'!$J$65</f>
        <v>4.2</v>
      </c>
      <c r="EM74" s="546">
        <f t="shared" si="114"/>
        <v>126</v>
      </c>
      <c r="EN74" s="551">
        <f t="shared" si="115"/>
        <v>115.47005383792515</v>
      </c>
      <c r="EO74" s="553">
        <f>EN74/PI()*SQRT('Hilfstabellen_Mat&amp;Bem'!f.Rd.3/'Hilfstabellen_Mat&amp;Bem'!$BD$30)</f>
        <v>1.8377629847393071</v>
      </c>
      <c r="EP74" s="553">
        <f>0.5*(1+'Hilfstabellen_Mat&amp;Bem'!$BD$31*(EO74-0.3)+EO74^2)</f>
        <v>2.2655745432759287</v>
      </c>
      <c r="EQ74" s="550">
        <f t="shared" si="116"/>
        <v>0.27851192942466541</v>
      </c>
      <c r="ES74" s="551">
        <f t="shared" si="117"/>
        <v>4421.6553915459881</v>
      </c>
    </row>
    <row r="75" spans="3:149">
      <c r="C75" s="546">
        <v>127</v>
      </c>
      <c r="D75" s="551">
        <f t="shared" si="72"/>
        <v>76.373893877052851</v>
      </c>
      <c r="E75" s="553">
        <f>$D75/PI()*SQRT('Hilfstabellen_Mat&amp;Bem'!f.Rd.3/'Hilfstabellen_Mat&amp;Bem'!$BD$30)</f>
        <v>1.2155282733708801</v>
      </c>
      <c r="F75" s="553">
        <f>0.5*(1+'Hilfstabellen_Mat&amp;Bem'!$BD$31*($E75-0.3)+$E75^2)</f>
        <v>1.2845309053505405</v>
      </c>
      <c r="G75" s="550">
        <f t="shared" si="73"/>
        <v>0.5882785721917122</v>
      </c>
      <c r="I75" s="551">
        <f t="shared" si="59"/>
        <v>9488.345090880126</v>
      </c>
      <c r="M75" s="546">
        <f t="shared" si="74"/>
        <v>127</v>
      </c>
      <c r="N75" s="551">
        <f t="shared" si="64"/>
        <v>79.101532944090451</v>
      </c>
      <c r="O75" s="553">
        <f>$N75/PI()*SQRT('Hilfstabellen_Mat&amp;Bem'!f.Rd.3/'Hilfstabellen_Mat&amp;Bem'!$BD$30)</f>
        <v>1.2589399974198401</v>
      </c>
      <c r="P75" s="553">
        <f>0.5*(1+'Hilfstabellen_Mat&amp;Bem'!$BD$31*($O75-0.3)+$O75^2)</f>
        <v>1.3404119584227256</v>
      </c>
      <c r="Q75" s="550">
        <f t="shared" si="65"/>
        <v>0.55537000729177688</v>
      </c>
      <c r="S75" s="551">
        <f t="shared" si="60"/>
        <v>8957.5628476090696</v>
      </c>
      <c r="W75" s="546">
        <f t="shared" si="75"/>
        <v>127</v>
      </c>
      <c r="X75" s="551">
        <f t="shared" si="66"/>
        <v>81.829172011128065</v>
      </c>
      <c r="Y75" s="553">
        <f>$X75/PI()*SQRT('Hilfstabellen_Mat&amp;Bem'!f.Rd.3/'Hilfstabellen_Mat&amp;Bem'!$BD$30)</f>
        <v>1.3023517214688003</v>
      </c>
      <c r="Z75" s="553">
        <f>0.5*(1+'Hilfstabellen_Mat&amp;Bem'!$BD$31*($Y75-0.3)+$Y75^2)</f>
        <v>1.3981775892798138</v>
      </c>
      <c r="AA75" s="550">
        <f t="shared" si="67"/>
        <v>0.52441619375863968</v>
      </c>
      <c r="AC75" s="551">
        <f t="shared" si="61"/>
        <v>8458.3087891330997</v>
      </c>
      <c r="AG75" s="546">
        <f t="shared" si="76"/>
        <v>127</v>
      </c>
      <c r="AH75" s="551">
        <f t="shared" si="68"/>
        <v>84.556811078165651</v>
      </c>
      <c r="AI75" s="553">
        <f>$AH75/PI()*SQRT('Hilfstabellen_Mat&amp;Bem'!f.Rd.3/'Hilfstabellen_Mat&amp;Bem'!$BD$30)</f>
        <v>1.3457634455177601</v>
      </c>
      <c r="AJ75" s="553">
        <f>0.5*(1+'Hilfstabellen_Mat&amp;Bem'!$BD$31*($AI75-0.3)+$AI75^2)</f>
        <v>1.4578277979218046</v>
      </c>
      <c r="AK75" s="550">
        <f t="shared" si="69"/>
        <v>0.49545475549167706</v>
      </c>
      <c r="AM75" s="551">
        <f t="shared" si="62"/>
        <v>7991.1897513252588</v>
      </c>
      <c r="AQ75" s="546">
        <f t="shared" si="77"/>
        <v>127</v>
      </c>
      <c r="AR75" s="551">
        <f t="shared" si="70"/>
        <v>87.284450145203266</v>
      </c>
      <c r="AS75" s="553">
        <f>$AR75/PI()*SQRT('Hilfstabellen_Mat&amp;Bem'!f.Rd.3/'Hilfstabellen_Mat&amp;Bem'!$BD$30)</f>
        <v>1.3891751695667203</v>
      </c>
      <c r="AT75" s="553">
        <f>0.5*(1+'Hilfstabellen_Mat&amp;Bem'!$BD$31*($AS75-0.3)+$AS75^2)</f>
        <v>1.5193625843486991</v>
      </c>
      <c r="AU75" s="550">
        <f t="shared" si="71"/>
        <v>0.46844724676213756</v>
      </c>
      <c r="AW75" s="551">
        <f t="shared" si="63"/>
        <v>7555.5856430265167</v>
      </c>
      <c r="AZ75" s="547">
        <f>'Hilfstabellen_Mat&amp;Bem'!$J$56</f>
        <v>3.3</v>
      </c>
      <c r="BA75" s="546">
        <f t="shared" si="78"/>
        <v>127</v>
      </c>
      <c r="BB75" s="551">
        <f t="shared" si="79"/>
        <v>90.012089212240866</v>
      </c>
      <c r="BC75" s="553">
        <f>BB75/PI()*SQRT('Hilfstabellen_Mat&amp;Bem'!f.Rd.3/'Hilfstabellen_Mat&amp;Bem'!$BD$30)</f>
        <v>1.4325868936156803</v>
      </c>
      <c r="BD75" s="553">
        <f>0.5*(1+'Hilfstabellen_Mat&amp;Bem'!$BD$31*(BC75-0.3)+BC75^2)</f>
        <v>1.5827819485604961</v>
      </c>
      <c r="BE75" s="550">
        <f t="shared" si="80"/>
        <v>0.4433104434493027</v>
      </c>
      <c r="BG75" s="551">
        <f t="shared" si="81"/>
        <v>7150.1541423938033</v>
      </c>
      <c r="BJ75" s="547">
        <f>'Hilfstabellen_Mat&amp;Bem'!$J$57</f>
        <v>3.4</v>
      </c>
      <c r="BK75" s="546">
        <f t="shared" si="82"/>
        <v>127</v>
      </c>
      <c r="BL75" s="551">
        <f t="shared" si="83"/>
        <v>92.739728279278452</v>
      </c>
      <c r="BM75" s="553">
        <f>BL75/PI()*SQRT('Hilfstabellen_Mat&amp;Bem'!f.Rd.3/'Hilfstabellen_Mat&amp;Bem'!$BD$30)</f>
        <v>1.47599861766464</v>
      </c>
      <c r="BN75" s="553">
        <f>0.5*(1+'Hilfstabellen_Mat&amp;Bem'!$BD$31*(BM75-0.3)+BM75^2)</f>
        <v>1.648085890557196</v>
      </c>
      <c r="BO75" s="550">
        <f t="shared" si="84"/>
        <v>0.41993721545154034</v>
      </c>
      <c r="BQ75" s="551">
        <f t="shared" si="85"/>
        <v>6773.1673480178943</v>
      </c>
      <c r="BT75" s="547">
        <f>'Hilfstabellen_Mat&amp;Bem'!$J$58</f>
        <v>3.5</v>
      </c>
      <c r="BU75" s="546">
        <f t="shared" si="86"/>
        <v>127</v>
      </c>
      <c r="BV75" s="551">
        <f t="shared" si="87"/>
        <v>95.467367346316067</v>
      </c>
      <c r="BW75" s="553">
        <f>BV75/PI()*SQRT('Hilfstabellen_Mat&amp;Bem'!f.Rd.3/'Hilfstabellen_Mat&amp;Bem'!$BD$30)</f>
        <v>1.5194103417136002</v>
      </c>
      <c r="BX75" s="553">
        <f>0.5*(1+'Hilfstabellen_Mat&amp;Bem'!$BD$31*(BW75-0.3)+BW75^2)</f>
        <v>1.7152744103387998</v>
      </c>
      <c r="BY75" s="550">
        <f t="shared" si="88"/>
        <v>0.39820991872677042</v>
      </c>
      <c r="CA75" s="551">
        <f t="shared" si="89"/>
        <v>6422.7277791440802</v>
      </c>
      <c r="CD75" s="547">
        <f>'Hilfstabellen_Mat&amp;Bem'!$J$59</f>
        <v>3.6</v>
      </c>
      <c r="CE75" s="546">
        <f t="shared" si="90"/>
        <v>127</v>
      </c>
      <c r="CF75" s="551">
        <f t="shared" si="91"/>
        <v>98.195006413353667</v>
      </c>
      <c r="CG75" s="553">
        <f>CF75/PI()*SQRT('Hilfstabellen_Mat&amp;Bem'!f.Rd.3/'Hilfstabellen_Mat&amp;Bem'!$BD$30)</f>
        <v>1.5628220657625602</v>
      </c>
      <c r="CH75" s="553">
        <f>0.5*(1+'Hilfstabellen_Mat&amp;Bem'!$BD$31*(CG75-0.3)+CG75^2)</f>
        <v>1.7843475079053062</v>
      </c>
      <c r="CI75" s="550">
        <f t="shared" si="92"/>
        <v>0.37800870733600794</v>
      </c>
      <c r="CK75" s="551">
        <f t="shared" si="93"/>
        <v>6096.9024406224726</v>
      </c>
      <c r="CN75" s="547">
        <f>'Hilfstabellen_Mat&amp;Bem'!$J$60</f>
        <v>3.7</v>
      </c>
      <c r="CO75" s="546">
        <f t="shared" si="94"/>
        <v>127</v>
      </c>
      <c r="CP75" s="551">
        <f t="shared" si="95"/>
        <v>100.92264548039128</v>
      </c>
      <c r="CQ75" s="553">
        <f>CP75/PI()*SQRT('Hilfstabellen_Mat&amp;Bem'!f.Rd.3/'Hilfstabellen_Mat&amp;Bem'!$BD$30)</f>
        <v>1.6062337898115204</v>
      </c>
      <c r="CR75" s="553">
        <f>0.5*(1+'Hilfstabellen_Mat&amp;Bem'!$BD$31*(CQ75-0.3)+CQ75^2)</f>
        <v>1.8553051832567156</v>
      </c>
      <c r="CS75" s="550">
        <f t="shared" si="96"/>
        <v>0.35921650343796802</v>
      </c>
      <c r="CU75" s="551">
        <f t="shared" si="97"/>
        <v>5793.8029839509863</v>
      </c>
      <c r="CX75" s="547">
        <f>'Hilfstabellen_Mat&amp;Bem'!$J$61</f>
        <v>3.8</v>
      </c>
      <c r="CY75" s="546">
        <f t="shared" si="98"/>
        <v>127</v>
      </c>
      <c r="CZ75" s="551">
        <f t="shared" si="99"/>
        <v>103.65028454742887</v>
      </c>
      <c r="DA75" s="553">
        <f>CZ75/PI()*SQRT('Hilfstabellen_Mat&amp;Bem'!f.Rd.3/'Hilfstabellen_Mat&amp;Bem'!$BD$30)</f>
        <v>1.6496455138604802</v>
      </c>
      <c r="DB75" s="553">
        <f>0.5*(1+'Hilfstabellen_Mat&amp;Bem'!$BD$31*(DA75-0.3)+DA75^2)</f>
        <v>1.928147436393028</v>
      </c>
      <c r="DC75" s="550">
        <f t="shared" si="100"/>
        <v>0.341721813218547</v>
      </c>
      <c r="DE75" s="551">
        <f t="shared" si="101"/>
        <v>5511.6311254019447</v>
      </c>
      <c r="DH75" s="547">
        <f>'Hilfstabellen_Mat&amp;Bem'!$J$62</f>
        <v>3.9</v>
      </c>
      <c r="DI75" s="546">
        <f t="shared" si="102"/>
        <v>127</v>
      </c>
      <c r="DJ75" s="551">
        <f t="shared" si="103"/>
        <v>106.37792361446647</v>
      </c>
      <c r="DK75" s="553">
        <f>DJ75/PI()*SQRT('Hilfstabellen_Mat&amp;Bem'!f.Rd.3/'Hilfstabellen_Mat&amp;Bem'!$BD$30)</f>
        <v>1.6930572379094402</v>
      </c>
      <c r="DL75" s="553">
        <f>0.5*(1+'Hilfstabellen_Mat&amp;Bem'!$BD$31*(DK75-0.3)+DK75^2)</f>
        <v>2.0028742673142435</v>
      </c>
      <c r="DM75" s="550">
        <f t="shared" si="104"/>
        <v>0.32542017675553647</v>
      </c>
      <c r="DO75" s="551">
        <f t="shared" si="105"/>
        <v>5248.7020308900474</v>
      </c>
      <c r="DR75" s="547">
        <f>'Hilfstabellen_Mat&amp;Bem'!$J$63</f>
        <v>4</v>
      </c>
      <c r="DS75" s="546">
        <f t="shared" si="106"/>
        <v>127</v>
      </c>
      <c r="DT75" s="551">
        <f t="shared" si="107"/>
        <v>109.10556268150408</v>
      </c>
      <c r="DU75" s="553">
        <f>DT75/PI()*SQRT('Hilfstabellen_Mat&amp;Bem'!f.Rd.3/'Hilfstabellen_Mat&amp;Bem'!$BD$30)</f>
        <v>1.7364689619584004</v>
      </c>
      <c r="DV75" s="553">
        <f>0.5*(1+'Hilfstabellen_Mat&amp;Bem'!$BD$31*(DU75-0.3)+DU75^2)</f>
        <v>2.0794856760203624</v>
      </c>
      <c r="DW75" s="550">
        <f t="shared" si="108"/>
        <v>0.31021476591237757</v>
      </c>
      <c r="DY75" s="551">
        <f t="shared" si="109"/>
        <v>5003.4539594007374</v>
      </c>
      <c r="EB75" s="547">
        <f>'Hilfstabellen_Mat&amp;Bem'!$J$64</f>
        <v>4.0999999999999996</v>
      </c>
      <c r="EC75" s="546">
        <f t="shared" si="110"/>
        <v>127</v>
      </c>
      <c r="ED75" s="551">
        <f t="shared" si="111"/>
        <v>111.83320174854167</v>
      </c>
      <c r="EE75" s="553">
        <f>ED75/PI()*SQRT('Hilfstabellen_Mat&amp;Bem'!f.Rd.3/'Hilfstabellen_Mat&amp;Bem'!$BD$30)</f>
        <v>1.7798806860073602</v>
      </c>
      <c r="EF75" s="553">
        <f>0.5*(1+'Hilfstabellen_Mat&amp;Bem'!$BD$31*(EE75-0.3)+EE75^2)</f>
        <v>2.1579816625113835</v>
      </c>
      <c r="EG75" s="550">
        <f t="shared" si="112"/>
        <v>0.29601646234654871</v>
      </c>
      <c r="EI75" s="551">
        <f t="shared" si="113"/>
        <v>4774.4495211874846</v>
      </c>
      <c r="EL75" s="547">
        <f>'Hilfstabellen_Mat&amp;Bem'!$J$65</f>
        <v>4.2</v>
      </c>
      <c r="EM75" s="546">
        <f t="shared" si="114"/>
        <v>127</v>
      </c>
      <c r="EN75" s="551">
        <f t="shared" si="115"/>
        <v>114.56084081557927</v>
      </c>
      <c r="EO75" s="553">
        <f>EN75/PI()*SQRT('Hilfstabellen_Mat&amp;Bem'!f.Rd.3/'Hilfstabellen_Mat&amp;Bem'!$BD$30)</f>
        <v>1.8232924100563199</v>
      </c>
      <c r="EP75" s="553">
        <f>0.5*(1+'Hilfstabellen_Mat&amp;Bem'!$BD$31*(EO75-0.3)+EO75^2)</f>
        <v>2.2383622267873076</v>
      </c>
      <c r="EQ75" s="550">
        <f t="shared" si="116"/>
        <v>0.28274362861377123</v>
      </c>
      <c r="ES75" s="551">
        <f t="shared" si="117"/>
        <v>4560.3719859115163</v>
      </c>
    </row>
    <row r="76" spans="3:149">
      <c r="C76" s="546">
        <v>128</v>
      </c>
      <c r="D76" s="551">
        <f t="shared" si="72"/>
        <v>75.777222831138374</v>
      </c>
      <c r="E76" s="553">
        <f>$D76/PI()*SQRT('Hilfstabellen_Mat&amp;Bem'!f.Rd.3/'Hilfstabellen_Mat&amp;Bem'!$BD$30)</f>
        <v>1.20603195873517</v>
      </c>
      <c r="F76" s="553">
        <f>0.5*(1+'Hilfstabellen_Mat&amp;Bem'!$BD$31*($E76-0.3)+$E76^2)</f>
        <v>1.2725581406820539</v>
      </c>
      <c r="G76" s="550">
        <f t="shared" si="73"/>
        <v>0.59572530052608452</v>
      </c>
      <c r="I76" s="551">
        <f t="shared" si="59"/>
        <v>9760.3633238193688</v>
      </c>
      <c r="M76" s="546">
        <f t="shared" si="74"/>
        <v>128</v>
      </c>
      <c r="N76" s="551">
        <f t="shared" si="64"/>
        <v>78.483552217964743</v>
      </c>
      <c r="O76" s="553">
        <f>$N76/PI()*SQRT('Hilfstabellen_Mat&amp;Bem'!f.Rd.3/'Hilfstabellen_Mat&amp;Bem'!$BD$30)</f>
        <v>1.2491045286899976</v>
      </c>
      <c r="P76" s="553">
        <f>0.5*(1+'Hilfstabellen_Mat&amp;Bem'!$BD$31*($O76-0.3)+$O76^2)</f>
        <v>1.3275862882314304</v>
      </c>
      <c r="Q76" s="550">
        <f t="shared" si="65"/>
        <v>0.56265796837702708</v>
      </c>
      <c r="S76" s="551">
        <f t="shared" si="60"/>
        <v>9218.5881538892118</v>
      </c>
      <c r="W76" s="546">
        <f t="shared" si="75"/>
        <v>128</v>
      </c>
      <c r="X76" s="551">
        <f t="shared" si="66"/>
        <v>81.189881604791125</v>
      </c>
      <c r="Y76" s="553">
        <f>$X76/PI()*SQRT('Hilfstabellen_Mat&amp;Bem'!f.Rd.3/'Hilfstabellen_Mat&amp;Bem'!$BD$30)</f>
        <v>1.2921770986448253</v>
      </c>
      <c r="Z76" s="553">
        <f>0.5*(1+'Hilfstabellen_Mat&amp;Bem'!$BD$31*($Y76-0.3)+$Y76^2)</f>
        <v>1.3844696820633207</v>
      </c>
      <c r="AA76" s="550">
        <f t="shared" si="67"/>
        <v>0.53149210790359103</v>
      </c>
      <c r="AC76" s="551">
        <f t="shared" si="61"/>
        <v>8707.9666958924354</v>
      </c>
      <c r="AG76" s="546">
        <f t="shared" si="76"/>
        <v>128</v>
      </c>
      <c r="AH76" s="551">
        <f t="shared" si="68"/>
        <v>83.896210991617494</v>
      </c>
      <c r="AI76" s="553">
        <f>$AH76/PI()*SQRT('Hilfstabellen_Mat&amp;Bem'!f.Rd.3/'Hilfstabellen_Mat&amp;Bem'!$BD$30)</f>
        <v>1.3352496685996529</v>
      </c>
      <c r="AJ76" s="553">
        <f>0.5*(1+'Hilfstabellen_Mat&amp;Bem'!$BD$31*($AI76-0.3)+$AI76^2)</f>
        <v>1.4432083221777241</v>
      </c>
      <c r="AK76" s="550">
        <f t="shared" si="69"/>
        <v>0.50228714677993158</v>
      </c>
      <c r="AM76" s="551">
        <f t="shared" si="62"/>
        <v>8229.472612842399</v>
      </c>
      <c r="AQ76" s="546">
        <f t="shared" si="77"/>
        <v>128</v>
      </c>
      <c r="AR76" s="551">
        <f t="shared" si="70"/>
        <v>86.602540378443862</v>
      </c>
      <c r="AS76" s="553">
        <f>$AR76/PI()*SQRT('Hilfstabellen_Mat&amp;Bem'!f.Rd.3/'Hilfstabellen_Mat&amp;Bem'!$BD$30)</f>
        <v>1.3783222385544802</v>
      </c>
      <c r="AT76" s="553">
        <f>0.5*(1+'Hilfstabellen_Mat&amp;Bem'!$BD$31*($AS76-0.3)+$AS76^2)</f>
        <v>1.5038022085746408</v>
      </c>
      <c r="AU76" s="550">
        <f t="shared" si="71"/>
        <v>0.47501995619125226</v>
      </c>
      <c r="AW76" s="551">
        <f t="shared" si="63"/>
        <v>7782.726962237477</v>
      </c>
      <c r="AZ76" s="547">
        <f>'Hilfstabellen_Mat&amp;Bem'!$J$56</f>
        <v>3.3</v>
      </c>
      <c r="BA76" s="546">
        <f t="shared" si="78"/>
        <v>128</v>
      </c>
      <c r="BB76" s="551">
        <f t="shared" si="79"/>
        <v>89.308869765270231</v>
      </c>
      <c r="BC76" s="553">
        <f>BB76/PI()*SQRT('Hilfstabellen_Mat&amp;Bem'!f.Rd.3/'Hilfstabellen_Mat&amp;Bem'!$BD$30)</f>
        <v>1.4213948085093078</v>
      </c>
      <c r="BD76" s="553">
        <f>0.5*(1+'Hilfstabellen_Mat&amp;Bem'!$BD$31*(BC76-0.3)+BC76^2)</f>
        <v>1.5662513412540711</v>
      </c>
      <c r="BE76" s="550">
        <f t="shared" si="80"/>
        <v>0.44961773488459661</v>
      </c>
      <c r="BG76" s="551">
        <f t="shared" si="81"/>
        <v>7366.5369683492308</v>
      </c>
      <c r="BJ76" s="547">
        <f>'Hilfstabellen_Mat&amp;Bem'!$J$57</f>
        <v>3.4</v>
      </c>
      <c r="BK76" s="546">
        <f t="shared" si="82"/>
        <v>128</v>
      </c>
      <c r="BL76" s="551">
        <f t="shared" si="83"/>
        <v>92.015199152096599</v>
      </c>
      <c r="BM76" s="553">
        <f>BL76/PI()*SQRT('Hilfstabellen_Mat&amp;Bem'!f.Rd.3/'Hilfstabellen_Mat&amp;Bem'!$BD$30)</f>
        <v>1.4644673784641351</v>
      </c>
      <c r="BN76" s="553">
        <f>0.5*(1+'Hilfstabellen_Mat&amp;Bem'!$BD$31*(BM76-0.3)+BM76^2)</f>
        <v>1.630555720216015</v>
      </c>
      <c r="BO76" s="550">
        <f t="shared" si="84"/>
        <v>0.42598026217408819</v>
      </c>
      <c r="BQ76" s="551">
        <f t="shared" si="85"/>
        <v>6979.2606154602609</v>
      </c>
      <c r="BT76" s="547">
        <f>'Hilfstabellen_Mat&amp;Bem'!$J$58</f>
        <v>3.5</v>
      </c>
      <c r="BU76" s="546">
        <f t="shared" si="86"/>
        <v>128</v>
      </c>
      <c r="BV76" s="551">
        <f t="shared" si="87"/>
        <v>94.721528538922968</v>
      </c>
      <c r="BW76" s="553">
        <f>BV76/PI()*SQRT('Hilfstabellen_Mat&amp;Bem'!f.Rd.3/'Hilfstabellen_Mat&amp;Bem'!$BD$30)</f>
        <v>1.5075399484189627</v>
      </c>
      <c r="BX76" s="553">
        <f>0.5*(1+'Hilfstabellen_Mat&amp;Bem'!$BD$31*(BW76-0.3)+BW76^2)</f>
        <v>1.6967153454604724</v>
      </c>
      <c r="BY76" s="550">
        <f t="shared" si="88"/>
        <v>0.40399434886167546</v>
      </c>
      <c r="CA76" s="551">
        <f t="shared" si="89"/>
        <v>6619.0434117496907</v>
      </c>
      <c r="CD76" s="547">
        <f>'Hilfstabellen_Mat&amp;Bem'!$J$59</f>
        <v>3.6</v>
      </c>
      <c r="CE76" s="546">
        <f t="shared" si="90"/>
        <v>128</v>
      </c>
      <c r="CF76" s="551">
        <f t="shared" si="91"/>
        <v>97.427857925749336</v>
      </c>
      <c r="CG76" s="553">
        <f>CF76/PI()*SQRT('Hilfstabellen_Mat&amp;Bem'!f.Rd.3/'Hilfstabellen_Mat&amp;Bem'!$BD$30)</f>
        <v>1.5506125183737902</v>
      </c>
      <c r="CH76" s="553">
        <f>0.5*(1+'Hilfstabellen_Mat&amp;Bem'!$BD$31*(CG76-0.3)+CG76^2)</f>
        <v>1.7647302169874435</v>
      </c>
      <c r="CI76" s="550">
        <f t="shared" si="92"/>
        <v>0.38354291592222733</v>
      </c>
      <c r="CK76" s="551">
        <f t="shared" si="93"/>
        <v>6283.9671344697726</v>
      </c>
      <c r="CN76" s="547">
        <f>'Hilfstabellen_Mat&amp;Bem'!$J$60</f>
        <v>3.7</v>
      </c>
      <c r="CO76" s="546">
        <f t="shared" si="94"/>
        <v>128</v>
      </c>
      <c r="CP76" s="551">
        <f t="shared" si="95"/>
        <v>100.13418731257572</v>
      </c>
      <c r="CQ76" s="553">
        <f>CP76/PI()*SQRT('Hilfstabellen_Mat&amp;Bem'!f.Rd.3/'Hilfstabellen_Mat&amp;Bem'!$BD$30)</f>
        <v>1.5936850883286178</v>
      </c>
      <c r="CR76" s="553">
        <f>0.5*(1+'Hilfstabellen_Mat&amp;Bem'!$BD$31*(CQ76-0.3)+CQ76^2)</f>
        <v>1.834600334796928</v>
      </c>
      <c r="CS76" s="550">
        <f t="shared" si="96"/>
        <v>0.36451050362456572</v>
      </c>
      <c r="CU76" s="551">
        <f t="shared" si="97"/>
        <v>5972.1400913848847</v>
      </c>
      <c r="CX76" s="547">
        <f>'Hilfstabellen_Mat&amp;Bem'!$J$61</f>
        <v>3.8</v>
      </c>
      <c r="CY76" s="546">
        <f t="shared" si="98"/>
        <v>128</v>
      </c>
      <c r="CZ76" s="551">
        <f t="shared" si="99"/>
        <v>102.84051669940209</v>
      </c>
      <c r="DA76" s="553">
        <f>CZ76/PI()*SQRT('Hilfstabellen_Mat&amp;Bem'!f.Rd.3/'Hilfstabellen_Mat&amp;Bem'!$BD$30)</f>
        <v>1.6367576582834453</v>
      </c>
      <c r="DB76" s="553">
        <f>0.5*(1+'Hilfstabellen_Mat&amp;Bem'!$BD$31*(DA76-0.3)+DA76^2)</f>
        <v>1.9063256988889261</v>
      </c>
      <c r="DC76" s="550">
        <f t="shared" si="100"/>
        <v>0.34678646105838212</v>
      </c>
      <c r="DE76" s="551">
        <f t="shared" si="101"/>
        <v>5681.7493779805327</v>
      </c>
      <c r="DH76" s="547">
        <f>'Hilfstabellen_Mat&amp;Bem'!$J$62</f>
        <v>3.9</v>
      </c>
      <c r="DI76" s="546">
        <f t="shared" si="102"/>
        <v>128</v>
      </c>
      <c r="DJ76" s="551">
        <f t="shared" si="103"/>
        <v>105.54684608622846</v>
      </c>
      <c r="DK76" s="553">
        <f>DJ76/PI()*SQRT('Hilfstabellen_Mat&amp;Bem'!f.Rd.3/'Hilfstabellen_Mat&amp;Bem'!$BD$30)</f>
        <v>1.6798302282382727</v>
      </c>
      <c r="DL76" s="553">
        <f>0.5*(1+'Hilfstabellen_Mat&amp;Bem'!$BD$31*(DK76-0.3)+DK76^2)</f>
        <v>1.9799063092634372</v>
      </c>
      <c r="DM76" s="550">
        <f t="shared" si="104"/>
        <v>0.3302666530681504</v>
      </c>
      <c r="DO76" s="551">
        <f t="shared" si="105"/>
        <v>5411.0888438685761</v>
      </c>
      <c r="DR76" s="547">
        <f>'Hilfstabellen_Mat&amp;Bem'!$J$63</f>
        <v>4</v>
      </c>
      <c r="DS76" s="546">
        <f t="shared" si="106"/>
        <v>128</v>
      </c>
      <c r="DT76" s="551">
        <f t="shared" si="107"/>
        <v>108.25317547305482</v>
      </c>
      <c r="DU76" s="553">
        <f>DT76/PI()*SQRT('Hilfstabellen_Mat&amp;Bem'!f.Rd.3/'Hilfstabellen_Mat&amp;Bem'!$BD$30)</f>
        <v>1.7229027981931002</v>
      </c>
      <c r="DV76" s="553">
        <f>0.5*(1+'Hilfstabellen_Mat&amp;Bem'!$BD$31*(DU76-0.3)+DU76^2)</f>
        <v>2.0553421659204623</v>
      </c>
      <c r="DW76" s="550">
        <f t="shared" si="108"/>
        <v>0.31485423448256039</v>
      </c>
      <c r="DY76" s="551">
        <f t="shared" si="109"/>
        <v>5158.5717777622694</v>
      </c>
      <c r="EB76" s="547">
        <f>'Hilfstabellen_Mat&amp;Bem'!$J$64</f>
        <v>4.0999999999999996</v>
      </c>
      <c r="EC76" s="546">
        <f t="shared" si="110"/>
        <v>128</v>
      </c>
      <c r="ED76" s="551">
        <f t="shared" si="111"/>
        <v>110.95950485988119</v>
      </c>
      <c r="EE76" s="553">
        <f>ED76/PI()*SQRT('Hilfstabellen_Mat&amp;Bem'!f.Rd.3/'Hilfstabellen_Mat&amp;Bem'!$BD$30)</f>
        <v>1.7659753681479278</v>
      </c>
      <c r="EF76" s="553">
        <f>0.5*(1+'Hilfstabellen_Mat&amp;Bem'!$BD$31*(EE76-0.3)+EE76^2)</f>
        <v>2.1326332688600007</v>
      </c>
      <c r="EG76" s="550">
        <f t="shared" si="112"/>
        <v>0.30045984890941307</v>
      </c>
      <c r="EI76" s="551">
        <f t="shared" si="113"/>
        <v>4922.7341645318238</v>
      </c>
      <c r="EL76" s="547">
        <f>'Hilfstabellen_Mat&amp;Bem'!$J$65</f>
        <v>4.2</v>
      </c>
      <c r="EM76" s="546">
        <f t="shared" si="114"/>
        <v>128</v>
      </c>
      <c r="EN76" s="551">
        <f t="shared" si="115"/>
        <v>113.66583424670756</v>
      </c>
      <c r="EO76" s="553">
        <f>EN76/PI()*SQRT('Hilfstabellen_Mat&amp;Bem'!f.Rd.3/'Hilfstabellen_Mat&amp;Bem'!$BD$30)</f>
        <v>1.8090479381027551</v>
      </c>
      <c r="EP76" s="553">
        <f>0.5*(1+'Hilfstabellen_Mat&amp;Bem'!$BD$31*(EO76-0.3)+EO76^2)</f>
        <v>2.2117796180820526</v>
      </c>
      <c r="EQ76" s="550">
        <f t="shared" si="116"/>
        <v>0.28700148247855856</v>
      </c>
      <c r="ES76" s="551">
        <f t="shared" si="117"/>
        <v>4702.2322889287034</v>
      </c>
    </row>
    <row r="77" spans="3:149">
      <c r="C77" s="546">
        <v>129</v>
      </c>
      <c r="D77" s="551">
        <f t="shared" si="72"/>
        <v>75.189802499114052</v>
      </c>
      <c r="E77" s="553">
        <f>$D77/PI()*SQRT('Hilfstabellen_Mat&amp;Bem'!f.Rd.3/'Hilfstabellen_Mat&amp;Bem'!$BD$30)</f>
        <v>1.1966828737837347</v>
      </c>
      <c r="F77" s="553">
        <f>0.5*(1+'Hilfstabellen_Mat&amp;Bem'!$BD$31*($E77-0.3)+$E77^2)</f>
        <v>1.2608590938928357</v>
      </c>
      <c r="G77" s="550">
        <f t="shared" si="73"/>
        <v>0.60313866522143977</v>
      </c>
      <c r="I77" s="551">
        <f t="shared" si="59"/>
        <v>10036.83052794998</v>
      </c>
      <c r="M77" s="546">
        <f t="shared" si="74"/>
        <v>129</v>
      </c>
      <c r="N77" s="551">
        <f t="shared" si="64"/>
        <v>77.875152588368124</v>
      </c>
      <c r="O77" s="553">
        <f>$N77/PI()*SQRT('Hilfstabellen_Mat&amp;Bem'!f.Rd.3/'Hilfstabellen_Mat&amp;Bem'!$BD$30)</f>
        <v>1.2394215478474395</v>
      </c>
      <c r="P77" s="553">
        <f>0.5*(1+'Hilfstabellen_Mat&amp;Bem'!$BD$31*($O77-0.3)+$O77^2)</f>
        <v>1.3150539640266432</v>
      </c>
      <c r="Q77" s="550">
        <f t="shared" si="65"/>
        <v>0.5699303069048216</v>
      </c>
      <c r="S77" s="551">
        <f t="shared" si="60"/>
        <v>9484.2102372031368</v>
      </c>
      <c r="W77" s="546">
        <f t="shared" si="75"/>
        <v>129</v>
      </c>
      <c r="X77" s="551">
        <f t="shared" si="66"/>
        <v>80.560502677622196</v>
      </c>
      <c r="Y77" s="553">
        <f>$X77/PI()*SQRT('Hilfstabellen_Mat&amp;Bem'!f.Rd.3/'Hilfstabellen_Mat&amp;Bem'!$BD$30)</f>
        <v>1.2821602219111443</v>
      </c>
      <c r="Z77" s="553">
        <f>0.5*(1+'Hilfstabellen_Mat&amp;Bem'!$BD$31*($Y77-0.3)+$Y77^2)</f>
        <v>1.3710754284211746</v>
      </c>
      <c r="AA77" s="550">
        <f t="shared" si="67"/>
        <v>0.5385655523819155</v>
      </c>
      <c r="AC77" s="551">
        <f t="shared" si="61"/>
        <v>8962.2693571874552</v>
      </c>
      <c r="AG77" s="546">
        <f t="shared" si="76"/>
        <v>129</v>
      </c>
      <c r="AH77" s="551">
        <f t="shared" si="68"/>
        <v>83.245852766876268</v>
      </c>
      <c r="AI77" s="553">
        <f>$AH77/PI()*SQRT('Hilfstabellen_Mat&amp;Bem'!f.Rd.3/'Hilfstabellen_Mat&amp;Bem'!$BD$30)</f>
        <v>1.3248988959748491</v>
      </c>
      <c r="AJ77" s="553">
        <f>0.5*(1+'Hilfstabellen_Mat&amp;Bem'!$BD$31*($AI77-0.3)+$AI77^2)</f>
        <v>1.4289234870764296</v>
      </c>
      <c r="AK77" s="550">
        <f t="shared" si="69"/>
        <v>0.50912661121181668</v>
      </c>
      <c r="AM77" s="551">
        <f t="shared" si="62"/>
        <v>8472.3759371758406</v>
      </c>
      <c r="AQ77" s="546">
        <f t="shared" si="77"/>
        <v>129</v>
      </c>
      <c r="AR77" s="551">
        <f t="shared" si="70"/>
        <v>85.931202856130341</v>
      </c>
      <c r="AS77" s="553">
        <f>$AR77/PI()*SQRT('Hilfstabellen_Mat&amp;Bem'!f.Rd.3/'Hilfstabellen_Mat&amp;Bem'!$BD$30)</f>
        <v>1.3676375700385539</v>
      </c>
      <c r="AT77" s="553">
        <f>0.5*(1+'Hilfstabellen_Mat&amp;Bem'!$BD$31*($AS77-0.3)+$AS77^2)</f>
        <v>1.488598139992408</v>
      </c>
      <c r="AU77" s="550">
        <f t="shared" si="71"/>
        <v>0.48160654782681472</v>
      </c>
      <c r="AW77" s="551">
        <f t="shared" si="63"/>
        <v>8014.414562386024</v>
      </c>
      <c r="AZ77" s="547">
        <f>'Hilfstabellen_Mat&amp;Bem'!$J$56</f>
        <v>3.3</v>
      </c>
      <c r="BA77" s="546">
        <f t="shared" si="78"/>
        <v>129</v>
      </c>
      <c r="BB77" s="551">
        <f t="shared" si="79"/>
        <v>88.616552945384413</v>
      </c>
      <c r="BC77" s="553">
        <f>BB77/PI()*SQRT('Hilfstabellen_Mat&amp;Bem'!f.Rd.3/'Hilfstabellen_Mat&amp;Bem'!$BD$30)</f>
        <v>1.4103762441022587</v>
      </c>
      <c r="BD77" s="553">
        <f>0.5*(1+'Hilfstabellen_Mat&amp;Bem'!$BD$31*(BC77-0.3)+BC77^2)</f>
        <v>1.55009938716911</v>
      </c>
      <c r="BE77" s="550">
        <f t="shared" si="80"/>
        <v>0.45594368802501145</v>
      </c>
      <c r="BG77" s="551">
        <f t="shared" si="81"/>
        <v>7587.3589124242153</v>
      </c>
      <c r="BJ77" s="547">
        <f>'Hilfstabellen_Mat&amp;Bem'!$J$57</f>
        <v>3.4</v>
      </c>
      <c r="BK77" s="546">
        <f t="shared" si="82"/>
        <v>129</v>
      </c>
      <c r="BL77" s="551">
        <f t="shared" si="83"/>
        <v>91.301903034638485</v>
      </c>
      <c r="BM77" s="553">
        <f>BL77/PI()*SQRT('Hilfstabellen_Mat&amp;Bem'!f.Rd.3/'Hilfstabellen_Mat&amp;Bem'!$BD$30)</f>
        <v>1.4531149181659635</v>
      </c>
      <c r="BN77" s="553">
        <f>0.5*(1+'Hilfstabellen_Mat&amp;Bem'!$BD$31*(BM77-0.3)+BM77^2)</f>
        <v>1.6134272286065356</v>
      </c>
      <c r="BO77" s="550">
        <f t="shared" si="84"/>
        <v>0.4320452577738596</v>
      </c>
      <c r="BQ77" s="551">
        <f t="shared" si="85"/>
        <v>7189.6651346147974</v>
      </c>
      <c r="BT77" s="547">
        <f>'Hilfstabellen_Mat&amp;Bem'!$J$58</f>
        <v>3.5</v>
      </c>
      <c r="BU77" s="546">
        <f t="shared" si="86"/>
        <v>129</v>
      </c>
      <c r="BV77" s="551">
        <f t="shared" si="87"/>
        <v>93.987253123892557</v>
      </c>
      <c r="BW77" s="553">
        <f>BV77/PI()*SQRT('Hilfstabellen_Mat&amp;Bem'!f.Rd.3/'Hilfstabellen_Mat&amp;Bem'!$BD$30)</f>
        <v>1.4958535922296683</v>
      </c>
      <c r="BX77" s="553">
        <f>0.5*(1+'Hilfstabellen_Mat&amp;Bem'!$BD$31*(BW77-0.3)+BW77^2)</f>
        <v>1.6785816643046847</v>
      </c>
      <c r="BY77" s="550">
        <f t="shared" si="88"/>
        <v>0.40980292226573062</v>
      </c>
      <c r="CA77" s="551">
        <f t="shared" si="89"/>
        <v>6819.5304294240232</v>
      </c>
      <c r="CD77" s="547">
        <f>'Hilfstabellen_Mat&amp;Bem'!$J$59</f>
        <v>3.6</v>
      </c>
      <c r="CE77" s="546">
        <f t="shared" si="90"/>
        <v>129</v>
      </c>
      <c r="CF77" s="551">
        <f t="shared" si="91"/>
        <v>96.67260321314663</v>
      </c>
      <c r="CG77" s="553">
        <f>CF77/PI()*SQRT('Hilfstabellen_Mat&amp;Bem'!f.Rd.3/'Hilfstabellen_Mat&amp;Bem'!$BD$30)</f>
        <v>1.5385922662933731</v>
      </c>
      <c r="CH77" s="553">
        <f>0.5*(1+'Hilfstabellen_Mat&amp;Bem'!$BD$31*(CG77-0.3)+CG77^2)</f>
        <v>1.7455626942635574</v>
      </c>
      <c r="CI77" s="550">
        <f t="shared" si="92"/>
        <v>0.3891026630815998</v>
      </c>
      <c r="CK77" s="551">
        <f t="shared" si="93"/>
        <v>6475.0574163409019</v>
      </c>
      <c r="CN77" s="547">
        <f>'Hilfstabellen_Mat&amp;Bem'!$J$60</f>
        <v>3.7</v>
      </c>
      <c r="CO77" s="546">
        <f t="shared" si="94"/>
        <v>129</v>
      </c>
      <c r="CP77" s="551">
        <f t="shared" si="95"/>
        <v>99.357953302400716</v>
      </c>
      <c r="CQ77" s="553">
        <f>CP77/PI()*SQRT('Hilfstabellen_Mat&amp;Bem'!f.Rd.3/'Hilfstabellen_Mat&amp;Bem'!$BD$30)</f>
        <v>1.5813309403570781</v>
      </c>
      <c r="CR77" s="553">
        <f>0.5*(1+'Hilfstabellen_Mat&amp;Bem'!$BD$31*(CQ77-0.3)+CQ77^2)</f>
        <v>1.8143703184831543</v>
      </c>
      <c r="CS77" s="550">
        <f t="shared" si="96"/>
        <v>0.36983085361317924</v>
      </c>
      <c r="CU77" s="551">
        <f t="shared" si="97"/>
        <v>6154.3552349769161</v>
      </c>
      <c r="CX77" s="547">
        <f>'Hilfstabellen_Mat&amp;Bem'!$J$61</f>
        <v>3.8</v>
      </c>
      <c r="CY77" s="546">
        <f t="shared" si="98"/>
        <v>129</v>
      </c>
      <c r="CZ77" s="551">
        <f t="shared" si="99"/>
        <v>102.04330339165477</v>
      </c>
      <c r="DA77" s="553">
        <f>CZ77/PI()*SQRT('Hilfstabellen_Mat&amp;Bem'!f.Rd.3/'Hilfstabellen_Mat&amp;Bem'!$BD$30)</f>
        <v>1.6240696144207829</v>
      </c>
      <c r="DB77" s="553">
        <f>0.5*(1+'Hilfstabellen_Mat&amp;Bem'!$BD$31*(DA77-0.3)+DA77^2)</f>
        <v>1.8850045369634745</v>
      </c>
      <c r="DC77" s="550">
        <f t="shared" si="100"/>
        <v>0.3518778433038674</v>
      </c>
      <c r="DE77" s="551">
        <f t="shared" si="101"/>
        <v>5855.5991904196571</v>
      </c>
      <c r="DH77" s="547">
        <f>'Hilfstabellen_Mat&amp;Bem'!$J$62</f>
        <v>3.9</v>
      </c>
      <c r="DI77" s="546">
        <f t="shared" si="102"/>
        <v>129</v>
      </c>
      <c r="DJ77" s="551">
        <f t="shared" si="103"/>
        <v>104.72865348090886</v>
      </c>
      <c r="DK77" s="553">
        <f>DJ77/PI()*SQRT('Hilfstabellen_Mat&amp;Bem'!f.Rd.3/'Hilfstabellen_Mat&amp;Bem'!$BD$30)</f>
        <v>1.6668082884844879</v>
      </c>
      <c r="DL77" s="553">
        <f>0.5*(1+'Hilfstabellen_Mat&amp;Bem'!$BD$31*(DK77-0.3)+DK77^2)</f>
        <v>1.9574653497045182</v>
      </c>
      <c r="DM77" s="550">
        <f t="shared" si="104"/>
        <v>0.33513993735902664</v>
      </c>
      <c r="DO77" s="551">
        <f t="shared" si="105"/>
        <v>5577.0636975915622</v>
      </c>
      <c r="DR77" s="547">
        <f>'Hilfstabellen_Mat&amp;Bem'!$J$63</f>
        <v>4</v>
      </c>
      <c r="DS77" s="546">
        <f t="shared" si="106"/>
        <v>129</v>
      </c>
      <c r="DT77" s="551">
        <f t="shared" si="107"/>
        <v>107.41400357016292</v>
      </c>
      <c r="DU77" s="553">
        <f>DT77/PI()*SQRT('Hilfstabellen_Mat&amp;Bem'!f.Rd.3/'Hilfstabellen_Mat&amp;Bem'!$BD$30)</f>
        <v>1.7095469625481923</v>
      </c>
      <c r="DV77" s="553">
        <f>0.5*(1+'Hilfstabellen_Mat&amp;Bem'!$BD$31*(DU77-0.3)+DU77^2)</f>
        <v>2.0317527567062847</v>
      </c>
      <c r="DW77" s="550">
        <f t="shared" si="108"/>
        <v>0.31952035875225931</v>
      </c>
      <c r="DY77" s="551">
        <f t="shared" si="109"/>
        <v>5317.1382899963473</v>
      </c>
      <c r="EB77" s="547">
        <f>'Hilfstabellen_Mat&amp;Bem'!$J$64</f>
        <v>4.0999999999999996</v>
      </c>
      <c r="EC77" s="546">
        <f t="shared" si="110"/>
        <v>129</v>
      </c>
      <c r="ED77" s="551">
        <f t="shared" si="111"/>
        <v>110.09935365941701</v>
      </c>
      <c r="EE77" s="553">
        <f>ED77/PI()*SQRT('Hilfstabellen_Mat&amp;Bem'!f.Rd.3/'Hilfstabellen_Mat&amp;Bem'!$BD$30)</f>
        <v>1.7522856366118973</v>
      </c>
      <c r="EF77" s="553">
        <f>0.5*(1+'Hilfstabellen_Mat&amp;Bem'!$BD$31*(EE77-0.3)+EE77^2)</f>
        <v>2.1078667579687762</v>
      </c>
      <c r="EG77" s="550">
        <f t="shared" si="112"/>
        <v>0.30492957606534343</v>
      </c>
      <c r="EI77" s="551">
        <f t="shared" si="113"/>
        <v>5074.3330753033797</v>
      </c>
      <c r="EL77" s="547">
        <f>'Hilfstabellen_Mat&amp;Bem'!$J$65</f>
        <v>4.2</v>
      </c>
      <c r="EM77" s="546">
        <f t="shared" si="114"/>
        <v>129</v>
      </c>
      <c r="EN77" s="551">
        <f t="shared" si="115"/>
        <v>112.78470374867108</v>
      </c>
      <c r="EO77" s="553">
        <f>EN77/PI()*SQRT('Hilfstabellen_Mat&amp;Bem'!f.Rd.3/'Hilfstabellen_Mat&amp;Bem'!$BD$30)</f>
        <v>1.7950243106756021</v>
      </c>
      <c r="EP77" s="553">
        <f>0.5*(1+'Hilfstabellen_Mat&amp;Bem'!$BD$31*(EO77-0.3)+EO77^2)</f>
        <v>2.1858073534919904</v>
      </c>
      <c r="EQ77" s="550">
        <f t="shared" si="116"/>
        <v>0.29128524581694415</v>
      </c>
      <c r="ES77" s="551">
        <f t="shared" si="117"/>
        <v>4847.2777756397672</v>
      </c>
    </row>
    <row r="78" spans="3:149">
      <c r="C78" s="546">
        <v>130</v>
      </c>
      <c r="D78" s="551">
        <f t="shared" si="72"/>
        <v>74.61141940296703</v>
      </c>
      <c r="E78" s="553">
        <f>$D78/PI()*SQRT('Hilfstabellen_Mat&amp;Bem'!f.Rd.3/'Hilfstabellen_Mat&amp;Bem'!$BD$30)</f>
        <v>1.1874776209084754</v>
      </c>
      <c r="F78" s="553">
        <f>0.5*(1+'Hilfstabellen_Mat&amp;Bem'!$BD$31*($E78-0.3)+$E78^2)</f>
        <v>1.2494254311246502</v>
      </c>
      <c r="G78" s="550">
        <f t="shared" si="73"/>
        <v>0.61051470552995557</v>
      </c>
      <c r="I78" s="551">
        <f t="shared" si="59"/>
        <v>10317.698523456249</v>
      </c>
      <c r="M78" s="546">
        <f t="shared" si="74"/>
        <v>130</v>
      </c>
      <c r="N78" s="551">
        <f t="shared" si="64"/>
        <v>77.276112953072982</v>
      </c>
      <c r="O78" s="553">
        <f>$N78/PI()*SQRT('Hilfstabellen_Mat&amp;Bem'!f.Rd.3/'Hilfstabellen_Mat&amp;Bem'!$BD$30)</f>
        <v>1.2298875359409207</v>
      </c>
      <c r="P78" s="553">
        <f>0.5*(1+'Hilfstabellen_Mat&amp;Bem'!$BD$31*($O78-0.3)+$O78^2)</f>
        <v>1.3028060523284608</v>
      </c>
      <c r="Q78" s="550">
        <f t="shared" si="65"/>
        <v>0.57718376524983861</v>
      </c>
      <c r="S78" s="551">
        <f t="shared" si="60"/>
        <v>9754.4056327222734</v>
      </c>
      <c r="W78" s="546">
        <f t="shared" si="75"/>
        <v>130</v>
      </c>
      <c r="X78" s="551">
        <f t="shared" si="66"/>
        <v>79.940806503178948</v>
      </c>
      <c r="Y78" s="553">
        <f>$X78/PI()*SQRT('Hilfstabellen_Mat&amp;Bem'!f.Rd.3/'Hilfstabellen_Mat&amp;Bem'!$BD$30)</f>
        <v>1.2722974509733662</v>
      </c>
      <c r="Z78" s="553">
        <f>0.5*(1+'Hilfstabellen_Mat&amp;Bem'!$BD$31*($Y78-0.3)+$Y78^2)</f>
        <v>1.3579852744253311</v>
      </c>
      <c r="AA78" s="550">
        <f t="shared" si="67"/>
        <v>0.54563390570277925</v>
      </c>
      <c r="AC78" s="551">
        <f t="shared" si="61"/>
        <v>9221.2130063769691</v>
      </c>
      <c r="AG78" s="546">
        <f t="shared" si="76"/>
        <v>130</v>
      </c>
      <c r="AH78" s="551">
        <f t="shared" si="68"/>
        <v>82.605500053284914</v>
      </c>
      <c r="AI78" s="553">
        <f>$AH78/PI()*SQRT('Hilfstabellen_Mat&amp;Bem'!f.Rd.3/'Hilfstabellen_Mat&amp;Bem'!$BD$30)</f>
        <v>1.3147073660058117</v>
      </c>
      <c r="AJ78" s="553">
        <f>0.5*(1+'Hilfstabellen_Mat&amp;Bem'!$BD$31*($AI78-0.3)+$AI78^2)</f>
        <v>1.4149630974152603</v>
      </c>
      <c r="AK78" s="550">
        <f t="shared" si="69"/>
        <v>0.51597105739704419</v>
      </c>
      <c r="AM78" s="551">
        <f t="shared" si="62"/>
        <v>8719.910870010046</v>
      </c>
      <c r="AQ78" s="546">
        <f t="shared" si="77"/>
        <v>130</v>
      </c>
      <c r="AR78" s="551">
        <f t="shared" si="70"/>
        <v>85.270193603390879</v>
      </c>
      <c r="AS78" s="553">
        <f>$AR78/PI()*SQRT('Hilfstabellen_Mat&amp;Bem'!f.Rd.3/'Hilfstabellen_Mat&amp;Bem'!$BD$30)</f>
        <v>1.3571172810382575</v>
      </c>
      <c r="AT78" s="553">
        <f>0.5*(1+'Hilfstabellen_Mat&amp;Bem'!$BD$31*($AS78-0.3)+$AS78^2)</f>
        <v>1.4737395212982491</v>
      </c>
      <c r="AU78" s="550">
        <f t="shared" si="71"/>
        <v>0.48820535465631798</v>
      </c>
      <c r="AW78" s="551">
        <f t="shared" si="63"/>
        <v>8250.670493691774</v>
      </c>
      <c r="AZ78" s="547">
        <f>'Hilfstabellen_Mat&amp;Bem'!$J$56</f>
        <v>3.3</v>
      </c>
      <c r="BA78" s="546">
        <f t="shared" si="78"/>
        <v>130</v>
      </c>
      <c r="BB78" s="551">
        <f t="shared" si="79"/>
        <v>87.934887153496831</v>
      </c>
      <c r="BC78" s="553">
        <f>BB78/PI()*SQRT('Hilfstabellen_Mat&amp;Bem'!f.Rd.3/'Hilfstabellen_Mat&amp;Bem'!$BD$30)</f>
        <v>1.3995271960707028</v>
      </c>
      <c r="BD78" s="553">
        <f>0.5*(1+'Hilfstabellen_Mat&amp;Bem'!$BD$31*(BC78-0.3)+BC78^2)</f>
        <v>1.5343145460742966</v>
      </c>
      <c r="BE78" s="550">
        <f t="shared" si="80"/>
        <v>0.46228696926324242</v>
      </c>
      <c r="BG78" s="551">
        <f t="shared" si="81"/>
        <v>7812.649780548797</v>
      </c>
      <c r="BJ78" s="547">
        <f>'Hilfstabellen_Mat&amp;Bem'!$J$57</f>
        <v>3.4</v>
      </c>
      <c r="BK78" s="546">
        <f t="shared" si="82"/>
        <v>130</v>
      </c>
      <c r="BL78" s="551">
        <f t="shared" si="83"/>
        <v>90.599580703602811</v>
      </c>
      <c r="BM78" s="553">
        <f>BL78/PI()*SQRT('Hilfstabellen_Mat&amp;Bem'!f.Rd.3/'Hilfstabellen_Mat&amp;Bem'!$BD$30)</f>
        <v>1.4419371111031485</v>
      </c>
      <c r="BN78" s="553">
        <f>0.5*(1+'Hilfstabellen_Mat&amp;Bem'!$BD$31*(BM78-0.3)+BM78^2)</f>
        <v>1.5966881717434043</v>
      </c>
      <c r="BO78" s="550">
        <f t="shared" si="84"/>
        <v>0.43813112872375859</v>
      </c>
      <c r="BQ78" s="551">
        <f t="shared" si="85"/>
        <v>7404.4160754315199</v>
      </c>
      <c r="BT78" s="547">
        <f>'Hilfstabellen_Mat&amp;Bem'!$J$58</f>
        <v>3.5</v>
      </c>
      <c r="BU78" s="546">
        <f t="shared" si="86"/>
        <v>130</v>
      </c>
      <c r="BV78" s="551">
        <f t="shared" si="87"/>
        <v>93.264274253708777</v>
      </c>
      <c r="BW78" s="553">
        <f>BV78/PI()*SQRT('Hilfstabellen_Mat&amp;Bem'!f.Rd.3/'Hilfstabellen_Mat&amp;Bem'!$BD$30)</f>
        <v>1.484347026135594</v>
      </c>
      <c r="BX78" s="553">
        <f>0.5*(1+'Hilfstabellen_Mat&amp;Bem'!$BD$31*(BW78-0.3)+BW78^2)</f>
        <v>1.6608603983055705</v>
      </c>
      <c r="BY78" s="550">
        <f t="shared" si="88"/>
        <v>0.41563476821509615</v>
      </c>
      <c r="CA78" s="551">
        <f t="shared" si="89"/>
        <v>7024.2275828351248</v>
      </c>
      <c r="CD78" s="547">
        <f>'Hilfstabellen_Mat&amp;Bem'!$J$59</f>
        <v>3.6</v>
      </c>
      <c r="CE78" s="546">
        <f t="shared" si="90"/>
        <v>130</v>
      </c>
      <c r="CF78" s="551">
        <f t="shared" si="91"/>
        <v>95.928967803814743</v>
      </c>
      <c r="CG78" s="553">
        <f>CF78/PI()*SQRT('Hilfstabellen_Mat&amp;Bem'!f.Rd.3/'Hilfstabellen_Mat&amp;Bem'!$BD$30)</f>
        <v>1.5267569411680397</v>
      </c>
      <c r="CH78" s="553">
        <f>0.5*(1+'Hilfstabellen_Mat&amp;Bem'!$BD$31*(CG78-0.3)+CG78^2)</f>
        <v>1.7268312257607965</v>
      </c>
      <c r="CI78" s="550">
        <f t="shared" si="92"/>
        <v>0.39468723678698364</v>
      </c>
      <c r="CK78" s="551">
        <f t="shared" si="93"/>
        <v>6670.2143017000235</v>
      </c>
      <c r="CN78" s="547">
        <f>'Hilfstabellen_Mat&amp;Bem'!$J$60</f>
        <v>3.7</v>
      </c>
      <c r="CO78" s="546">
        <f t="shared" si="94"/>
        <v>130</v>
      </c>
      <c r="CP78" s="551">
        <f t="shared" si="95"/>
        <v>98.593661353920695</v>
      </c>
      <c r="CQ78" s="553">
        <f>CP78/PI()*SQRT('Hilfstabellen_Mat&amp;Bem'!f.Rd.3/'Hilfstabellen_Mat&amp;Bem'!$BD$30)</f>
        <v>1.569166856200485</v>
      </c>
      <c r="CR78" s="553">
        <f>0.5*(1+'Hilfstabellen_Mat&amp;Bem'!$BD$31*(CQ78-0.3)+CQ78^2)</f>
        <v>1.7946006541090811</v>
      </c>
      <c r="CS78" s="550">
        <f t="shared" si="96"/>
        <v>0.37517696627503905</v>
      </c>
      <c r="CU78" s="551">
        <f t="shared" si="97"/>
        <v>6340.49073004816</v>
      </c>
      <c r="CX78" s="547">
        <f>'Hilfstabellen_Mat&amp;Bem'!$J$61</f>
        <v>3.8</v>
      </c>
      <c r="CY78" s="546">
        <f t="shared" si="98"/>
        <v>130</v>
      </c>
      <c r="CZ78" s="551">
        <f t="shared" si="99"/>
        <v>101.25835490402666</v>
      </c>
      <c r="DA78" s="553">
        <f>CZ78/PI()*SQRT('Hilfstabellen_Mat&amp;Bem'!f.Rd.3/'Hilfstabellen_Mat&amp;Bem'!$BD$30)</f>
        <v>1.6115767712329305</v>
      </c>
      <c r="DB78" s="553">
        <f>0.5*(1+'Hilfstabellen_Mat&amp;Bem'!$BD$31*(DA78-0.3)+DA78^2)</f>
        <v>1.8641686833504252</v>
      </c>
      <c r="DC78" s="550">
        <f t="shared" si="100"/>
        <v>0.35699547181240587</v>
      </c>
      <c r="DE78" s="551">
        <f t="shared" si="101"/>
        <v>6033.2234736296596</v>
      </c>
      <c r="DH78" s="547">
        <f>'Hilfstabellen_Mat&amp;Bem'!$J$62</f>
        <v>3.9</v>
      </c>
      <c r="DI78" s="546">
        <f t="shared" si="102"/>
        <v>130</v>
      </c>
      <c r="DJ78" s="551">
        <f t="shared" si="103"/>
        <v>103.92304845413263</v>
      </c>
      <c r="DK78" s="553">
        <f>DJ78/PI()*SQRT('Hilfstabellen_Mat&amp;Bem'!f.Rd.3/'Hilfstabellen_Mat&amp;Bem'!$BD$30)</f>
        <v>1.653986686265376</v>
      </c>
      <c r="DL78" s="553">
        <f>0.5*(1+'Hilfstabellen_Mat&amp;Bem'!$BD$31*(DK78-0.3)+DK78^2)</f>
        <v>1.9355353134848285</v>
      </c>
      <c r="DM78" s="550">
        <f t="shared" si="104"/>
        <v>0.34003962053241865</v>
      </c>
      <c r="DO78" s="551">
        <f t="shared" si="105"/>
        <v>5746.6695869978748</v>
      </c>
      <c r="DR78" s="547">
        <f>'Hilfstabellen_Mat&amp;Bem'!$J$63</f>
        <v>4</v>
      </c>
      <c r="DS78" s="546">
        <f t="shared" si="106"/>
        <v>130</v>
      </c>
      <c r="DT78" s="551">
        <f t="shared" si="107"/>
        <v>106.58774200423861</v>
      </c>
      <c r="DU78" s="553">
        <f>DT78/PI()*SQRT('Hilfstabellen_Mat&amp;Bem'!f.Rd.3/'Hilfstabellen_Mat&amp;Bem'!$BD$30)</f>
        <v>1.696396601297822</v>
      </c>
      <c r="DV78" s="553">
        <f>0.5*(1+'Hilfstabellen_Mat&amp;Bem'!$BD$31*(DU78-0.3)+DU78^2)</f>
        <v>2.0087005445122919</v>
      </c>
      <c r="DW78" s="550">
        <f t="shared" si="108"/>
        <v>0.32421279324418123</v>
      </c>
      <c r="DY78" s="551">
        <f t="shared" si="109"/>
        <v>5479.1962058266627</v>
      </c>
      <c r="EB78" s="547">
        <f>'Hilfstabellen_Mat&amp;Bem'!$J$64</f>
        <v>4.0999999999999996</v>
      </c>
      <c r="EC78" s="546">
        <f t="shared" si="110"/>
        <v>130</v>
      </c>
      <c r="ED78" s="551">
        <f t="shared" si="111"/>
        <v>109.25243555434457</v>
      </c>
      <c r="EE78" s="553">
        <f>ED78/PI()*SQRT('Hilfstabellen_Mat&amp;Bem'!f.Rd.3/'Hilfstabellen_Mat&amp;Bem'!$BD$30)</f>
        <v>1.7388065163302675</v>
      </c>
      <c r="EF78" s="553">
        <f>0.5*(1+'Hilfstabellen_Mat&amp;Bem'!$BD$31*(EE78-0.3)+EE78^2)</f>
        <v>2.0836643764328135</v>
      </c>
      <c r="EG78" s="550">
        <f t="shared" si="112"/>
        <v>0.30942534993861875</v>
      </c>
      <c r="EI78" s="551">
        <f t="shared" si="113"/>
        <v>5229.2884139626567</v>
      </c>
      <c r="EL78" s="547">
        <f>'Hilfstabellen_Mat&amp;Bem'!$J$65</f>
        <v>4.2</v>
      </c>
      <c r="EM78" s="546">
        <f t="shared" si="114"/>
        <v>130</v>
      </c>
      <c r="EN78" s="551">
        <f t="shared" si="115"/>
        <v>111.91712910445052</v>
      </c>
      <c r="EO78" s="553">
        <f>EN78/PI()*SQRT('Hilfstabellen_Mat&amp;Bem'!f.Rd.3/'Hilfstabellen_Mat&amp;Bem'!$BD$30)</f>
        <v>1.7812164313627126</v>
      </c>
      <c r="EP78" s="553">
        <f>0.5*(1+'Hilfstabellen_Mat&amp;Bem'!$BD$31*(EO78-0.3)+EO78^2)</f>
        <v>2.1604268092463941</v>
      </c>
      <c r="EQ78" s="550">
        <f t="shared" si="116"/>
        <v>0.2955946669280658</v>
      </c>
      <c r="ES78" s="551">
        <f t="shared" si="117"/>
        <v>4995.5498710843121</v>
      </c>
    </row>
    <row r="79" spans="3:149">
      <c r="C79" s="546">
        <v>131</v>
      </c>
      <c r="D79" s="551">
        <f t="shared" si="72"/>
        <v>74.041866583097033</v>
      </c>
      <c r="E79" s="553">
        <f>$D79/PI()*SQRT('Hilfstabellen_Mat&amp;Bem'!f.Rd.3/'Hilfstabellen_Mat&amp;Bem'!$BD$30)</f>
        <v>1.1784129062450517</v>
      </c>
      <c r="F79" s="553">
        <f>0.5*(1+'Hilfstabellen_Mat&amp;Bem'!$BD$31*($E79-0.3)+$E79^2)</f>
        <v>1.2382491341147071</v>
      </c>
      <c r="G79" s="550">
        <f t="shared" si="73"/>
        <v>0.61784940401265731</v>
      </c>
      <c r="I79" s="551">
        <f t="shared" si="59"/>
        <v>10602.913622261212</v>
      </c>
      <c r="M79" s="546">
        <f t="shared" si="74"/>
        <v>131</v>
      </c>
      <c r="N79" s="551">
        <f t="shared" si="64"/>
        <v>76.686218961064796</v>
      </c>
      <c r="O79" s="553">
        <f>$N79/PI()*SQRT('Hilfstabellen_Mat&amp;Bem'!f.Rd.3/'Hilfstabellen_Mat&amp;Bem'!$BD$30)</f>
        <v>1.2204990814680894</v>
      </c>
      <c r="P79" s="553">
        <f>0.5*(1+'Hilfstabellen_Mat&amp;Bem'!$BD$31*($O79-0.3)+$O79^2)</f>
        <v>1.2908339580056294</v>
      </c>
      <c r="Q79" s="550">
        <f t="shared" si="65"/>
        <v>0.58441500992761308</v>
      </c>
      <c r="S79" s="551">
        <f t="shared" si="60"/>
        <v>10029.145985367768</v>
      </c>
      <c r="W79" s="546">
        <f t="shared" si="75"/>
        <v>131</v>
      </c>
      <c r="X79" s="551">
        <f t="shared" si="66"/>
        <v>79.330571339032545</v>
      </c>
      <c r="Y79" s="553">
        <f>$X79/PI()*SQRT('Hilfstabellen_Mat&amp;Bem'!f.Rd.3/'Hilfstabellen_Mat&amp;Bem'!$BD$30)</f>
        <v>1.2625852566911269</v>
      </c>
      <c r="Z79" s="553">
        <f>0.5*(1+'Hilfstabellen_Mat&amp;Bem'!$BD$31*($Y79-0.3)+$Y79^2)</f>
        <v>1.3451900280414557</v>
      </c>
      <c r="AA79" s="550">
        <f t="shared" si="67"/>
        <v>0.55269447134657701</v>
      </c>
      <c r="AC79" s="551">
        <f t="shared" si="61"/>
        <v>9484.7898227786081</v>
      </c>
      <c r="AG79" s="546">
        <f t="shared" si="76"/>
        <v>131</v>
      </c>
      <c r="AH79" s="551">
        <f t="shared" si="68"/>
        <v>81.974923717000294</v>
      </c>
      <c r="AI79" s="553">
        <f>$AH79/PI()*SQRT('Hilfstabellen_Mat&amp;Bem'!f.Rd.3/'Hilfstabellen_Mat&amp;Bem'!$BD$30)</f>
        <v>1.3046714319141646</v>
      </c>
      <c r="AJ79" s="553">
        <f>0.5*(1+'Hilfstabellen_Mat&amp;Bem'!$BD$31*($AI79-0.3)+$AI79^2)</f>
        <v>1.4013173442221865</v>
      </c>
      <c r="AK79" s="550">
        <f t="shared" si="69"/>
        <v>0.52281832781530602</v>
      </c>
      <c r="AM79" s="551">
        <f t="shared" si="62"/>
        <v>8972.0853236384664</v>
      </c>
      <c r="AQ79" s="546">
        <f t="shared" si="77"/>
        <v>131</v>
      </c>
      <c r="AR79" s="551">
        <f t="shared" si="70"/>
        <v>84.619276094968058</v>
      </c>
      <c r="AS79" s="553">
        <f>$AR79/PI()*SQRT('Hilfstabellen_Mat&amp;Bem'!f.Rd.3/'Hilfstabellen_Mat&amp;Bem'!$BD$30)</f>
        <v>1.3467576071372021</v>
      </c>
      <c r="AT79" s="553">
        <f>0.5*(1+'Hilfstabellen_Mat&amp;Bem'!$BD$31*($AS79-0.3)+$AS79^2)</f>
        <v>1.4592159065478212</v>
      </c>
      <c r="AU79" s="550">
        <f t="shared" si="71"/>
        <v>0.49481465446159084</v>
      </c>
      <c r="AW79" s="551">
        <f t="shared" si="63"/>
        <v>8491.5142852153604</v>
      </c>
      <c r="AZ79" s="547">
        <f>'Hilfstabellen_Mat&amp;Bem'!$J$56</f>
        <v>3.3</v>
      </c>
      <c r="BA79" s="546">
        <f t="shared" si="78"/>
        <v>131</v>
      </c>
      <c r="BB79" s="551">
        <f t="shared" si="79"/>
        <v>87.263628472935807</v>
      </c>
      <c r="BC79" s="553">
        <f>BB79/PI()*SQRT('Hilfstabellen_Mat&amp;Bem'!f.Rd.3/'Hilfstabellen_Mat&amp;Bem'!$BD$30)</f>
        <v>1.3888437823602398</v>
      </c>
      <c r="BD79" s="553">
        <f>0.5*(1+'Hilfstabellen_Mat&amp;Bem'!$BD$31*(BC79-0.3)+BC79^2)</f>
        <v>1.5188857150183606</v>
      </c>
      <c r="BE79" s="550">
        <f t="shared" si="80"/>
        <v>0.46864620012123592</v>
      </c>
      <c r="BG79" s="551">
        <f t="shared" si="81"/>
        <v>8042.4374402805297</v>
      </c>
      <c r="BJ79" s="547">
        <f>'Hilfstabellen_Mat&amp;Bem'!$J$57</f>
        <v>3.4</v>
      </c>
      <c r="BK79" s="546">
        <f t="shared" si="82"/>
        <v>131</v>
      </c>
      <c r="BL79" s="551">
        <f t="shared" si="83"/>
        <v>89.907980850903542</v>
      </c>
      <c r="BM79" s="553">
        <f>BL79/PI()*SQRT('Hilfstabellen_Mat&amp;Bem'!f.Rd.3/'Hilfstabellen_Mat&amp;Bem'!$BD$30)</f>
        <v>1.430929957583277</v>
      </c>
      <c r="BN79" s="553">
        <f>0.5*(1+'Hilfstabellen_Mat&amp;Bem'!$BD$31*(BM79-0.3)+BM79^2)</f>
        <v>1.5803267696338033</v>
      </c>
      <c r="BO79" s="550">
        <f t="shared" si="84"/>
        <v>0.44423676547223312</v>
      </c>
      <c r="BQ79" s="551">
        <f t="shared" si="85"/>
        <v>7623.5471322689928</v>
      </c>
      <c r="BT79" s="547">
        <f>'Hilfstabellen_Mat&amp;Bem'!$J$58</f>
        <v>3.5</v>
      </c>
      <c r="BU79" s="546">
        <f t="shared" si="86"/>
        <v>131</v>
      </c>
      <c r="BV79" s="551">
        <f t="shared" si="87"/>
        <v>92.552333228871291</v>
      </c>
      <c r="BW79" s="553">
        <f>BV79/PI()*SQRT('Hilfstabellen_Mat&amp;Bem'!f.Rd.3/'Hilfstabellen_Mat&amp;Bem'!$BD$30)</f>
        <v>1.4730161328063147</v>
      </c>
      <c r="BX79" s="553">
        <f>0.5*(1+'Hilfstabellen_Mat&amp;Bem'!$BD$31*(BW79-0.3)+BW79^2)</f>
        <v>1.643539070394151</v>
      </c>
      <c r="BY79" s="550">
        <f t="shared" si="88"/>
        <v>0.42148898718541661</v>
      </c>
      <c r="CA79" s="551">
        <f t="shared" si="89"/>
        <v>7233.172509088934</v>
      </c>
      <c r="CD79" s="547">
        <f>'Hilfstabellen_Mat&amp;Bem'!$J$59</f>
        <v>3.6</v>
      </c>
      <c r="CE79" s="546">
        <f t="shared" si="90"/>
        <v>131</v>
      </c>
      <c r="CF79" s="551">
        <f t="shared" si="91"/>
        <v>95.196685606839054</v>
      </c>
      <c r="CG79" s="553">
        <f>CF79/PI()*SQRT('Hilfstabellen_Mat&amp;Bem'!f.Rd.3/'Hilfstabellen_Mat&amp;Bem'!$BD$30)</f>
        <v>1.5151023080293522</v>
      </c>
      <c r="CH79" s="553">
        <f>0.5*(1+'Hilfstabellen_Mat&amp;Bem'!$BD$31*(CG79-0.3)+CG79^2)</f>
        <v>1.7085226172994026</v>
      </c>
      <c r="CI79" s="550">
        <f t="shared" si="92"/>
        <v>0.40029590197480003</v>
      </c>
      <c r="CK79" s="551">
        <f t="shared" si="93"/>
        <v>6869.4779737895433</v>
      </c>
      <c r="CN79" s="547">
        <f>'Hilfstabellen_Mat&amp;Bem'!$J$60</f>
        <v>3.7</v>
      </c>
      <c r="CO79" s="546">
        <f t="shared" si="94"/>
        <v>131</v>
      </c>
      <c r="CP79" s="551">
        <f t="shared" si="95"/>
        <v>97.841037984806803</v>
      </c>
      <c r="CQ79" s="553">
        <f>CP79/PI()*SQRT('Hilfstabellen_Mat&amp;Bem'!f.Rd.3/'Hilfstabellen_Mat&amp;Bem'!$BD$30)</f>
        <v>1.5571884832523899</v>
      </c>
      <c r="CR79" s="553">
        <f>0.5*(1+'Hilfstabellen_Mat&amp;Bem'!$BD$31*(CQ79-0.3)+CQ79^2)</f>
        <v>1.7752774103495588</v>
      </c>
      <c r="CS79" s="550">
        <f t="shared" si="96"/>
        <v>0.38054823599535031</v>
      </c>
      <c r="CU79" s="551">
        <f t="shared" si="97"/>
        <v>6530.5882779162066</v>
      </c>
      <c r="CX79" s="547">
        <f>'Hilfstabellen_Mat&amp;Bem'!$J$61</f>
        <v>3.8</v>
      </c>
      <c r="CY79" s="546">
        <f t="shared" si="98"/>
        <v>131</v>
      </c>
      <c r="CZ79" s="551">
        <f t="shared" si="99"/>
        <v>100.48539036277455</v>
      </c>
      <c r="DA79" s="553">
        <f>CZ79/PI()*SQRT('Hilfstabellen_Mat&amp;Bem'!f.Rd.3/'Hilfstabellen_Mat&amp;Bem'!$BD$30)</f>
        <v>1.5992746584754274</v>
      </c>
      <c r="DB79" s="553">
        <f>0.5*(1+'Hilfstabellen_Mat&amp;Bem'!$BD$31*(DA79-0.3)+DA79^2)</f>
        <v>1.8438034495446187</v>
      </c>
      <c r="DC79" s="550">
        <f t="shared" si="100"/>
        <v>0.36213884353468673</v>
      </c>
      <c r="DE79" s="551">
        <f t="shared" si="101"/>
        <v>6214.6646938987587</v>
      </c>
      <c r="DH79" s="547">
        <f>'Hilfstabellen_Mat&amp;Bem'!$J$62</f>
        <v>3.9</v>
      </c>
      <c r="DI79" s="546">
        <f t="shared" si="102"/>
        <v>131</v>
      </c>
      <c r="DJ79" s="551">
        <f t="shared" si="103"/>
        <v>103.1297427407423</v>
      </c>
      <c r="DK79" s="553">
        <f>DJ79/PI()*SQRT('Hilfstabellen_Mat&amp;Bem'!f.Rd.3/'Hilfstabellen_Mat&amp;Bem'!$BD$30)</f>
        <v>1.6413608336984649</v>
      </c>
      <c r="DL79" s="553">
        <f>0.5*(1+'Hilfstabellen_Mat&amp;Bem'!$BD$31*(DK79-0.3)+DK79^2)</f>
        <v>1.9141007348845831</v>
      </c>
      <c r="DM79" s="550">
        <f t="shared" si="104"/>
        <v>0.34496528140282257</v>
      </c>
      <c r="DO79" s="551">
        <f t="shared" si="105"/>
        <v>5919.9491941538381</v>
      </c>
      <c r="DR79" s="547">
        <f>'Hilfstabellen_Mat&amp;Bem'!$J$63</f>
        <v>4</v>
      </c>
      <c r="DS79" s="546">
        <f t="shared" si="106"/>
        <v>131</v>
      </c>
      <c r="DT79" s="551">
        <f t="shared" si="107"/>
        <v>105.77409511871006</v>
      </c>
      <c r="DU79" s="553">
        <f>DT79/PI()*SQRT('Hilfstabellen_Mat&amp;Bem'!f.Rd.3/'Hilfstabellen_Mat&amp;Bem'!$BD$30)</f>
        <v>1.6834470089215026</v>
      </c>
      <c r="DV79" s="553">
        <f>0.5*(1+'Hilfstabellen_Mat&amp;Bem'!$BD$31*(DU79-0.3)+DU79^2)</f>
        <v>1.9861692663694521</v>
      </c>
      <c r="DW79" s="550">
        <f t="shared" si="108"/>
        <v>0.32893118261497484</v>
      </c>
      <c r="DY79" s="551">
        <f t="shared" si="109"/>
        <v>5644.788024855583</v>
      </c>
      <c r="EB79" s="547">
        <f>'Hilfstabellen_Mat&amp;Bem'!$J$64</f>
        <v>4.0999999999999996</v>
      </c>
      <c r="EC79" s="546">
        <f t="shared" si="110"/>
        <v>131</v>
      </c>
      <c r="ED79" s="551">
        <f t="shared" si="111"/>
        <v>108.41844749667781</v>
      </c>
      <c r="EE79" s="553">
        <f>ED79/PI()*SQRT('Hilfstabellen_Mat&amp;Bem'!f.Rd.3/'Hilfstabellen_Mat&amp;Bem'!$BD$30)</f>
        <v>1.72553318414454</v>
      </c>
      <c r="EF79" s="553">
        <f>0.5*(1+'Hilfstabellen_Mat&amp;Bem'!$BD$31*(EE79-0.3)+EE79^2)</f>
        <v>2.0600090439992247</v>
      </c>
      <c r="EG79" s="550">
        <f t="shared" si="112"/>
        <v>0.31394686855078879</v>
      </c>
      <c r="EI79" s="551">
        <f t="shared" si="113"/>
        <v>5387.6422112000864</v>
      </c>
      <c r="EL79" s="547">
        <f>'Hilfstabellen_Mat&amp;Bem'!$J$65</f>
        <v>4.2</v>
      </c>
      <c r="EM79" s="546">
        <f t="shared" si="114"/>
        <v>131</v>
      </c>
      <c r="EN79" s="551">
        <f t="shared" si="115"/>
        <v>111.06279987464556</v>
      </c>
      <c r="EO79" s="553">
        <f>EN79/PI()*SQRT('Hilfstabellen_Mat&amp;Bem'!f.Rd.3/'Hilfstabellen_Mat&amp;Bem'!$BD$30)</f>
        <v>1.7676193593675777</v>
      </c>
      <c r="EP79" s="553">
        <f>0.5*(1+'Hilfstabellen_Mat&amp;Bem'!$BD$31*(EO79-0.3)+EO79^2)</f>
        <v>2.1356200677739019</v>
      </c>
      <c r="EQ79" s="550">
        <f t="shared" si="116"/>
        <v>0.29992948741415326</v>
      </c>
      <c r="ES79" s="551">
        <f t="shared" si="117"/>
        <v>5147.089933514284</v>
      </c>
    </row>
    <row r="80" spans="3:149">
      <c r="C80" s="546">
        <v>132</v>
      </c>
      <c r="D80" s="551">
        <f t="shared" si="72"/>
        <v>73.480943351406907</v>
      </c>
      <c r="E80" s="553">
        <f>$D80/PI()*SQRT('Hilfstabellen_Mat&amp;Bem'!f.Rd.3/'Hilfstabellen_Mat&amp;Bem'!$BD$30)</f>
        <v>1.1694855357431952</v>
      </c>
      <c r="F80" s="553">
        <f>0.5*(1+'Hilfstabellen_Mat&amp;Bem'!$BD$31*($E80-0.3)+$E80^2)</f>
        <v>1.227322485943434</v>
      </c>
      <c r="G80" s="550">
        <f t="shared" si="73"/>
        <v>0.6251386965007365</v>
      </c>
      <c r="I80" s="551">
        <f t="shared" si="59"/>
        <v>10892.416647828833</v>
      </c>
      <c r="M80" s="546">
        <f t="shared" si="74"/>
        <v>132</v>
      </c>
      <c r="N80" s="551">
        <f t="shared" si="64"/>
        <v>76.105262756814298</v>
      </c>
      <c r="O80" s="553">
        <f>$N80/PI()*SQRT('Hilfstabellen_Mat&amp;Bem'!f.Rd.3/'Hilfstabellen_Mat&amp;Bem'!$BD$30)</f>
        <v>1.2112528763054522</v>
      </c>
      <c r="P80" s="553">
        <f>0.5*(1+'Hilfstabellen_Mat&amp;Bem'!$BD$31*($O80-0.3)+$O80^2)</f>
        <v>1.2791294089943883</v>
      </c>
      <c r="Q80" s="550">
        <f t="shared" si="65"/>
        <v>0.591620635813497</v>
      </c>
      <c r="S80" s="551">
        <f t="shared" si="60"/>
        <v>10308.397958414371</v>
      </c>
      <c r="W80" s="546">
        <f t="shared" si="75"/>
        <v>132</v>
      </c>
      <c r="X80" s="551">
        <f t="shared" si="66"/>
        <v>78.729582162221689</v>
      </c>
      <c r="Y80" s="553">
        <f>$X80/PI()*SQRT('Hilfstabellen_Mat&amp;Bem'!f.Rd.3/'Hilfstabellen_Mat&amp;Bem'!$BD$30)</f>
        <v>1.2530202168677091</v>
      </c>
      <c r="Z80" s="553">
        <f>0.5*(1+'Hilfstabellen_Mat&amp;Bem'!$BD$31*($Y80-0.3)+$Y80^2)</f>
        <v>1.3326808427829859</v>
      </c>
      <c r="AA80" s="550">
        <f t="shared" si="67"/>
        <v>0.55974447885496048</v>
      </c>
      <c r="AC80" s="551">
        <f t="shared" si="61"/>
        <v>9752.9877995688312</v>
      </c>
      <c r="AG80" s="546">
        <f t="shared" si="76"/>
        <v>132</v>
      </c>
      <c r="AH80" s="551">
        <f t="shared" si="68"/>
        <v>81.35390156762908</v>
      </c>
      <c r="AI80" s="553">
        <f>$AH80/PI()*SQRT('Hilfstabellen_Mat&amp;Bem'!f.Rd.3/'Hilfstabellen_Mat&amp;Bem'!$BD$30)</f>
        <v>1.2947875574299663</v>
      </c>
      <c r="AJ80" s="553">
        <f>0.5*(1+'Hilfstabellen_Mat&amp;Bem'!$BD$31*($AI80-0.3)+$AI80^2)</f>
        <v>1.3879767873092275</v>
      </c>
      <c r="AK80" s="550">
        <f t="shared" si="69"/>
        <v>0.52966619844225937</v>
      </c>
      <c r="AM80" s="551">
        <f t="shared" si="62"/>
        <v>9228.9038416579278</v>
      </c>
      <c r="AQ80" s="546">
        <f t="shared" si="77"/>
        <v>132</v>
      </c>
      <c r="AR80" s="551">
        <f t="shared" si="70"/>
        <v>83.978220973036471</v>
      </c>
      <c r="AS80" s="553">
        <f>$AR80/PI()*SQRT('Hilfstabellen_Mat&amp;Bem'!f.Rd.3/'Hilfstabellen_Mat&amp;Bem'!$BD$30)</f>
        <v>1.3365548979922233</v>
      </c>
      <c r="AT80" s="553">
        <f>0.5*(1+'Hilfstabellen_Mat&amp;Bem'!$BD$31*($AS80-0.3)+$AS80^2)</f>
        <v>1.4450172425731123</v>
      </c>
      <c r="AU80" s="550">
        <f t="shared" si="71"/>
        <v>0.50143266888338522</v>
      </c>
      <c r="AW80" s="551">
        <f t="shared" si="63"/>
        <v>8736.9628226241039</v>
      </c>
      <c r="AZ80" s="547">
        <f>'Hilfstabellen_Mat&amp;Bem'!$J$56</f>
        <v>3.3</v>
      </c>
      <c r="BA80" s="546">
        <f t="shared" si="78"/>
        <v>132</v>
      </c>
      <c r="BB80" s="551">
        <f t="shared" si="79"/>
        <v>86.602540378443862</v>
      </c>
      <c r="BC80" s="553">
        <f>BB80/PI()*SQRT('Hilfstabellen_Mat&amp;Bem'!f.Rd.3/'Hilfstabellen_Mat&amp;Bem'!$BD$30)</f>
        <v>1.3783222385544802</v>
      </c>
      <c r="BD80" s="553">
        <f>0.5*(1+'Hilfstabellen_Mat&amp;Bem'!$BD$31*(BC80-0.3)+BC80^2)</f>
        <v>1.5038022085746408</v>
      </c>
      <c r="BE80" s="550">
        <f t="shared" si="80"/>
        <v>0.47501995619125226</v>
      </c>
      <c r="BG80" s="551">
        <f t="shared" si="81"/>
        <v>8276.7477166763802</v>
      </c>
      <c r="BJ80" s="547">
        <f>'Hilfstabellen_Mat&amp;Bem'!$J$57</f>
        <v>3.4</v>
      </c>
      <c r="BK80" s="546">
        <f t="shared" si="82"/>
        <v>132</v>
      </c>
      <c r="BL80" s="551">
        <f t="shared" si="83"/>
        <v>89.226859783851253</v>
      </c>
      <c r="BM80" s="553">
        <f>BL80/PI()*SQRT('Hilfstabellen_Mat&amp;Bem'!f.Rd.3/'Hilfstabellen_Mat&amp;Bem'!$BD$30)</f>
        <v>1.4200895791167372</v>
      </c>
      <c r="BN80" s="553">
        <f>0.5*(1+'Hilfstabellen_Mat&amp;Bem'!$BD$31*(BM80-0.3)+BM80^2)</f>
        <v>1.5643316853138125</v>
      </c>
      <c r="BO80" s="550">
        <f t="shared" si="84"/>
        <v>0.45036102144983259</v>
      </c>
      <c r="BQ80" s="551">
        <f t="shared" si="85"/>
        <v>7847.0904377418829</v>
      </c>
      <c r="BT80" s="547">
        <f>'Hilfstabellen_Mat&amp;Bem'!$J$58</f>
        <v>3.5</v>
      </c>
      <c r="BU80" s="546">
        <f t="shared" si="86"/>
        <v>132</v>
      </c>
      <c r="BV80" s="551">
        <f t="shared" si="87"/>
        <v>91.851179189258644</v>
      </c>
      <c r="BW80" s="553">
        <f>BV80/PI()*SQRT('Hilfstabellen_Mat&amp;Bem'!f.Rd.3/'Hilfstabellen_Mat&amp;Bem'!$BD$30)</f>
        <v>1.4618569196789943</v>
      </c>
      <c r="BX80" s="553">
        <f>0.5*(1+'Hilfstabellen_Mat&amp;Bem'!$BD$31*(BW80-0.3)+BW80^2)</f>
        <v>1.6266056727906286</v>
      </c>
      <c r="BY80" s="550">
        <f t="shared" si="88"/>
        <v>0.42736464999041185</v>
      </c>
      <c r="CA80" s="551">
        <f t="shared" si="89"/>
        <v>7446.4016614329357</v>
      </c>
      <c r="CD80" s="547">
        <f>'Hilfstabellen_Mat&amp;Bem'!$J$59</f>
        <v>3.6</v>
      </c>
      <c r="CE80" s="546">
        <f t="shared" si="90"/>
        <v>132</v>
      </c>
      <c r="CF80" s="551">
        <f t="shared" si="91"/>
        <v>94.475498594666036</v>
      </c>
      <c r="CG80" s="553">
        <f>CF80/PI()*SQRT('Hilfstabellen_Mat&amp;Bem'!f.Rd.3/'Hilfstabellen_Mat&amp;Bem'!$BD$30)</f>
        <v>1.5036242602412511</v>
      </c>
      <c r="CH80" s="553">
        <f>0.5*(1+'Hilfstabellen_Mat&amp;Bem'!$BD$31*(CG80-0.3)+CG80^2)</f>
        <v>1.6906241710050876</v>
      </c>
      <c r="CI80" s="550">
        <f t="shared" si="92"/>
        <v>0.40592789982641769</v>
      </c>
      <c r="CK80" s="551">
        <f t="shared" si="93"/>
        <v>7072.8877265755018</v>
      </c>
      <c r="CN80" s="547">
        <f>'Hilfstabellen_Mat&amp;Bem'!$J$60</f>
        <v>3.7</v>
      </c>
      <c r="CO80" s="546">
        <f t="shared" si="94"/>
        <v>132</v>
      </c>
      <c r="CP80" s="551">
        <f t="shared" si="95"/>
        <v>97.099818000073427</v>
      </c>
      <c r="CQ80" s="553">
        <f>CP80/PI()*SQRT('Hilfstabellen_Mat&amp;Bem'!f.Rd.3/'Hilfstabellen_Mat&amp;Bem'!$BD$30)</f>
        <v>1.5453916008035082</v>
      </c>
      <c r="CR80" s="553">
        <f>0.5*(1+'Hilfstabellen_Mat&amp;Bem'!$BD$31*(CQ80-0.3)+CQ80^2)</f>
        <v>1.7563871799571902</v>
      </c>
      <c r="CS80" s="550">
        <f t="shared" si="96"/>
        <v>0.38594403808548561</v>
      </c>
      <c r="CU80" s="551">
        <f t="shared" si="97"/>
        <v>6724.6889196015009</v>
      </c>
      <c r="CX80" s="547">
        <f>'Hilfstabellen_Mat&amp;Bem'!$J$61</f>
        <v>3.8</v>
      </c>
      <c r="CY80" s="546">
        <f t="shared" si="98"/>
        <v>132</v>
      </c>
      <c r="CZ80" s="551">
        <f t="shared" si="99"/>
        <v>99.724137405480818</v>
      </c>
      <c r="DA80" s="553">
        <f>CZ80/PI()*SQRT('Hilfstabellen_Mat&amp;Bem'!f.Rd.3/'Hilfstabellen_Mat&amp;Bem'!$BD$30)</f>
        <v>1.5871589413657652</v>
      </c>
      <c r="DB80" s="553">
        <f>0.5*(1+'Hilfstabellen_Mat&amp;Bem'!$BD$31*(DA80-0.3)+DA80^2)</f>
        <v>1.8238946996469365</v>
      </c>
      <c r="DC80" s="550">
        <f t="shared" si="100"/>
        <v>0.36730744003841698</v>
      </c>
      <c r="DE80" s="551">
        <f t="shared" si="101"/>
        <v>6399.9648352293771</v>
      </c>
      <c r="DH80" s="547">
        <f>'Hilfstabellen_Mat&amp;Bem'!$J$62</f>
        <v>3.9</v>
      </c>
      <c r="DI80" s="546">
        <f t="shared" si="102"/>
        <v>132</v>
      </c>
      <c r="DJ80" s="551">
        <f t="shared" si="103"/>
        <v>102.34845681088821</v>
      </c>
      <c r="DK80" s="553">
        <f>DJ80/PI()*SQRT('Hilfstabellen_Mat&amp;Bem'!f.Rd.3/'Hilfstabellen_Mat&amp;Bem'!$BD$30)</f>
        <v>1.6289262819280221</v>
      </c>
      <c r="DL80" s="553">
        <f>0.5*(1+'Hilfstabellen_Mat&amp;Bem'!$BD$31*(DK80-0.3)+DK80^2)</f>
        <v>1.8931467300743263</v>
      </c>
      <c r="DM80" s="550">
        <f t="shared" si="104"/>
        <v>0.34991648631047473</v>
      </c>
      <c r="DO80" s="551">
        <f t="shared" si="105"/>
        <v>6096.9448574737116</v>
      </c>
      <c r="DR80" s="547">
        <f>'Hilfstabellen_Mat&amp;Bem'!$J$63</f>
        <v>4</v>
      </c>
      <c r="DS80" s="546">
        <f t="shared" si="106"/>
        <v>132</v>
      </c>
      <c r="DT80" s="551">
        <f t="shared" si="107"/>
        <v>104.9727762162956</v>
      </c>
      <c r="DU80" s="553">
        <f>DT80/PI()*SQRT('Hilfstabellen_Mat&amp;Bem'!f.Rd.3/'Hilfstabellen_Mat&amp;Bem'!$BD$30)</f>
        <v>1.6706936224902791</v>
      </c>
      <c r="DV80" s="553">
        <f>0.5*(1+'Hilfstabellen_Mat&amp;Bem'!$BD$31*(DU80-0.3)+DU80^2)</f>
        <v>1.9641432712393596</v>
      </c>
      <c r="DW80" s="550">
        <f t="shared" si="108"/>
        <v>0.33367516134482889</v>
      </c>
      <c r="DY80" s="551">
        <f t="shared" si="109"/>
        <v>5813.9560112722984</v>
      </c>
      <c r="EB80" s="547">
        <f>'Hilfstabellen_Mat&amp;Bem'!$J$64</f>
        <v>4.0999999999999996</v>
      </c>
      <c r="EC80" s="546">
        <f t="shared" si="110"/>
        <v>132</v>
      </c>
      <c r="ED80" s="551">
        <f t="shared" si="111"/>
        <v>107.59709562170298</v>
      </c>
      <c r="EE80" s="553">
        <f>ED80/PI()*SQRT('Hilfstabellen_Mat&amp;Bem'!f.Rd.3/'Hilfstabellen_Mat&amp;Bem'!$BD$30)</f>
        <v>1.712460963052536</v>
      </c>
      <c r="EF80" s="553">
        <f>0.5*(1+'Hilfstabellen_Mat&amp;Bem'!$BD$31*(EE80-0.3)+EE80^2)</f>
        <v>2.0368843231420364</v>
      </c>
      <c r="EG80" s="550">
        <f t="shared" si="112"/>
        <v>0.31849382156956341</v>
      </c>
      <c r="EI80" s="551">
        <f t="shared" si="113"/>
        <v>5549.4363470280732</v>
      </c>
      <c r="EL80" s="547">
        <f>'Hilfstabellen_Mat&amp;Bem'!$J$65</f>
        <v>4.2</v>
      </c>
      <c r="EM80" s="546">
        <f t="shared" si="114"/>
        <v>132</v>
      </c>
      <c r="EN80" s="551">
        <f t="shared" si="115"/>
        <v>110.22141502711037</v>
      </c>
      <c r="EO80" s="553">
        <f>EN80/PI()*SQRT('Hilfstabellen_Mat&amp;Bem'!f.Rd.3/'Hilfstabellen_Mat&amp;Bem'!$BD$30)</f>
        <v>1.754228303614793</v>
      </c>
      <c r="EP80" s="553">
        <f>0.5*(1+'Hilfstabellen_Mat&amp;Bem'!$BD$31*(EO80-0.3)+EO80^2)</f>
        <v>2.1113698857823566</v>
      </c>
      <c r="EQ80" s="550">
        <f t="shared" si="116"/>
        <v>0.30428944197667712</v>
      </c>
      <c r="ES80" s="551">
        <f t="shared" si="117"/>
        <v>5301.9392370016221</v>
      </c>
    </row>
    <row r="81" spans="3:149">
      <c r="C81" s="546">
        <v>133</v>
      </c>
      <c r="D81" s="551">
        <f t="shared" si="72"/>
        <v>72.928455055531671</v>
      </c>
      <c r="E81" s="553">
        <f>$D81/PI()*SQRT('Hilfstabellen_Mat&amp;Bem'!f.Rd.3/'Hilfstabellen_Mat&amp;Bem'!$BD$30)</f>
        <v>1.1606924114142989</v>
      </c>
      <c r="F81" s="553">
        <f>0.5*(1+'Hilfstabellen_Mat&amp;Bem'!$BD$31*($E81-0.3)+$E81^2)</f>
        <v>1.2166380575280851</v>
      </c>
      <c r="G81" s="550">
        <f t="shared" si="73"/>
        <v>0.63237848325553303</v>
      </c>
      <c r="I81" s="551">
        <f t="shared" si="59"/>
        <v>11186.142990307124</v>
      </c>
      <c r="M81" s="546">
        <f t="shared" si="74"/>
        <v>133</v>
      </c>
      <c r="N81" s="551">
        <f t="shared" si="64"/>
        <v>75.533042736086372</v>
      </c>
      <c r="O81" s="553">
        <f>$N81/PI()*SQRT('Hilfstabellen_Mat&amp;Bem'!f.Rd.3/'Hilfstabellen_Mat&amp;Bem'!$BD$30)</f>
        <v>1.2021457118219525</v>
      </c>
      <c r="P81" s="553">
        <f>0.5*(1+'Hilfstabellen_Mat&amp;Bem'!$BD$31*($O81-0.3)+$O81^2)</f>
        <v>1.2676844418170521</v>
      </c>
      <c r="Q81" s="550">
        <f t="shared" si="65"/>
        <v>0.59879717118288756</v>
      </c>
      <c r="S81" s="551">
        <f t="shared" si="60"/>
        <v>10592.123161054098</v>
      </c>
      <c r="W81" s="546">
        <f t="shared" si="75"/>
        <v>133</v>
      </c>
      <c r="X81" s="551">
        <f t="shared" si="66"/>
        <v>78.137630416641073</v>
      </c>
      <c r="Y81" s="553">
        <f>$X81/PI()*SQRT('Hilfstabellen_Mat&amp;Bem'!f.Rd.3/'Hilfstabellen_Mat&amp;Bem'!$BD$30)</f>
        <v>1.2435990122296061</v>
      </c>
      <c r="Z81" s="553">
        <f>0.5*(1+'Hilfstabellen_Mat&amp;Bem'!$BD$31*($Y81-0.3)+$Y81^2)</f>
        <v>1.3204492022207064</v>
      </c>
      <c r="AA81" s="550">
        <f t="shared" si="67"/>
        <v>0.56678108539740546</v>
      </c>
      <c r="AC81" s="551">
        <f t="shared" si="61"/>
        <v>10025.790619594705</v>
      </c>
      <c r="AG81" s="546">
        <f t="shared" si="76"/>
        <v>133</v>
      </c>
      <c r="AH81" s="551">
        <f t="shared" si="68"/>
        <v>80.742218097195789</v>
      </c>
      <c r="AI81" s="553">
        <f>$AH81/PI()*SQRT('Hilfstabellen_Mat&amp;Bem'!f.Rd.3/'Hilfstabellen_Mat&amp;Bem'!$BD$30)</f>
        <v>1.2850523126372599</v>
      </c>
      <c r="AJ81" s="553">
        <f>0.5*(1+'Hilfstabellen_Mat&amp;Bem'!$BD$31*($AI81-0.3)+$AI81^2)</f>
        <v>1.3749323387390482</v>
      </c>
      <c r="AK81" s="550">
        <f t="shared" si="69"/>
        <v>0.53651237862314727</v>
      </c>
      <c r="AM81" s="551">
        <f t="shared" si="62"/>
        <v>9490.3674654648512</v>
      </c>
      <c r="AQ81" s="546">
        <f t="shared" si="77"/>
        <v>133</v>
      </c>
      <c r="AR81" s="551">
        <f t="shared" si="70"/>
        <v>83.346805777750475</v>
      </c>
      <c r="AS81" s="553">
        <f>$AR81/PI()*SQRT('Hilfstabellen_Mat&amp;Bem'!f.Rd.3/'Hilfstabellen_Mat&amp;Bem'!$BD$30)</f>
        <v>1.3265056130449131</v>
      </c>
      <c r="AT81" s="553">
        <f>0.5*(1+'Hilfstabellen_Mat&amp;Bem'!$BD$31*($AS81-0.3)+$AS81^2)</f>
        <v>1.4311338513720759</v>
      </c>
      <c r="AU81" s="550">
        <f t="shared" si="71"/>
        <v>0.50805756260173751</v>
      </c>
      <c r="AW81" s="551">
        <f t="shared" si="63"/>
        <v>8987.0302248621356</v>
      </c>
      <c r="AZ81" s="547">
        <f>'Hilfstabellen_Mat&amp;Bem'!$J$56</f>
        <v>3.3</v>
      </c>
      <c r="BA81" s="546">
        <f t="shared" si="78"/>
        <v>133</v>
      </c>
      <c r="BB81" s="551">
        <f t="shared" si="79"/>
        <v>85.951393458305176</v>
      </c>
      <c r="BC81" s="553">
        <f>BB81/PI()*SQRT('Hilfstabellen_Mat&amp;Bem'!f.Rd.3/'Hilfstabellen_Mat&amp;Bem'!$BD$30)</f>
        <v>1.3679589134525667</v>
      </c>
      <c r="BD81" s="553">
        <f>0.5*(1+'Hilfstabellen_Mat&amp;Bem'!$BD$31*(BC81-0.3)+BC81^2)</f>
        <v>1.4890537401197919</v>
      </c>
      <c r="BE81" s="550">
        <f t="shared" si="80"/>
        <v>0.48140676612294153</v>
      </c>
      <c r="BG81" s="551">
        <f t="shared" si="81"/>
        <v>8515.6042859487134</v>
      </c>
      <c r="BJ81" s="547">
        <f>'Hilfstabellen_Mat&amp;Bem'!$J$57</f>
        <v>3.4</v>
      </c>
      <c r="BK81" s="546">
        <f t="shared" si="82"/>
        <v>133</v>
      </c>
      <c r="BL81" s="551">
        <f t="shared" si="83"/>
        <v>88.555981138859892</v>
      </c>
      <c r="BM81" s="553">
        <f>BL81/PI()*SQRT('Hilfstabellen_Mat&amp;Bem'!f.Rd.3/'Hilfstabellen_Mat&amp;Bem'!$BD$30)</f>
        <v>1.4094122138602205</v>
      </c>
      <c r="BN81" s="553">
        <f>0.5*(1+'Hilfstabellen_Mat&amp;Bem'!$BD$31*(BM81-0.3)+BM81^2)</f>
        <v>1.5486920049821951</v>
      </c>
      <c r="BO81" s="550">
        <f t="shared" si="84"/>
        <v>0.45650271208735088</v>
      </c>
      <c r="BQ81" s="551">
        <f t="shared" si="85"/>
        <v>8075.0764741131497</v>
      </c>
      <c r="BT81" s="547">
        <f>'Hilfstabellen_Mat&amp;Bem'!$J$58</f>
        <v>3.5</v>
      </c>
      <c r="BU81" s="546">
        <f t="shared" si="86"/>
        <v>133</v>
      </c>
      <c r="BV81" s="551">
        <f t="shared" si="87"/>
        <v>91.160568819414578</v>
      </c>
      <c r="BW81" s="553">
        <f>BV81/PI()*SQRT('Hilfstabellen_Mat&amp;Bem'!f.Rd.3/'Hilfstabellen_Mat&amp;Bem'!$BD$30)</f>
        <v>1.4508655142678737</v>
      </c>
      <c r="BX81" s="553">
        <f>0.5*(1+'Hilfstabellen_Mat&amp;Bem'!$BD$31*(BW81-0.3)+BW81^2)</f>
        <v>1.6100486459592847</v>
      </c>
      <c r="BY81" s="550">
        <f t="shared" si="88"/>
        <v>0.43326079691640668</v>
      </c>
      <c r="CA81" s="551">
        <f t="shared" si="89"/>
        <v>7663.9502366543175</v>
      </c>
      <c r="CD81" s="547">
        <f>'Hilfstabellen_Mat&amp;Bem'!$J$59</f>
        <v>3.6</v>
      </c>
      <c r="CE81" s="546">
        <f t="shared" si="90"/>
        <v>133</v>
      </c>
      <c r="CF81" s="551">
        <f t="shared" si="91"/>
        <v>93.765156499969294</v>
      </c>
      <c r="CG81" s="553">
        <f>CF81/PI()*SQRT('Hilfstabellen_Mat&amp;Bem'!f.Rd.3/'Hilfstabellen_Mat&amp;Bem'!$BD$30)</f>
        <v>1.4923188146755275</v>
      </c>
      <c r="CH81" s="553">
        <f>0.5*(1+'Hilfstabellen_Mat&amp;Bem'!$BD$31*(CG81-0.3)+CG81^2)</f>
        <v>1.6731236630510622</v>
      </c>
      <c r="CI81" s="550">
        <f t="shared" si="92"/>
        <v>0.41158244703934005</v>
      </c>
      <c r="CK81" s="551">
        <f t="shared" si="93"/>
        <v>7280.4819056788865</v>
      </c>
      <c r="CN81" s="547">
        <f>'Hilfstabellen_Mat&amp;Bem'!$J$60</f>
        <v>3.7</v>
      </c>
      <c r="CO81" s="546">
        <f t="shared" si="94"/>
        <v>133</v>
      </c>
      <c r="CP81" s="551">
        <f t="shared" si="95"/>
        <v>96.369744180523995</v>
      </c>
      <c r="CQ81" s="553">
        <f>CP81/PI()*SQRT('Hilfstabellen_Mat&amp;Bem'!f.Rd.3/'Hilfstabellen_Mat&amp;Bem'!$BD$30)</f>
        <v>1.5337721150831811</v>
      </c>
      <c r="CR81" s="553">
        <f>0.5*(1+'Hilfstabellen_Mat&amp;Bem'!$BD$31*(CQ81-0.3)+CQ81^2)</f>
        <v>1.7379170562575266</v>
      </c>
      <c r="CS81" s="550">
        <f t="shared" si="96"/>
        <v>0.39136372818341525</v>
      </c>
      <c r="CU81" s="551">
        <f t="shared" si="97"/>
        <v>6922.832987836432</v>
      </c>
      <c r="CX81" s="547">
        <f>'Hilfstabellen_Mat&amp;Bem'!$J$61</f>
        <v>3.8</v>
      </c>
      <c r="CY81" s="546">
        <f t="shared" si="98"/>
        <v>133</v>
      </c>
      <c r="CZ81" s="551">
        <f t="shared" si="99"/>
        <v>98.974331861078696</v>
      </c>
      <c r="DA81" s="553">
        <f>CZ81/PI()*SQRT('Hilfstabellen_Mat&amp;Bem'!f.Rd.3/'Hilfstabellen_Mat&amp;Bem'!$BD$30)</f>
        <v>1.5752254154908345</v>
      </c>
      <c r="DB81" s="553">
        <f>0.5*(1+'Hilfstabellen_Mat&amp;Bem'!$BD$31*(DA81-0.3)+DA81^2)</f>
        <v>1.804428825578678</v>
      </c>
      <c r="DC81" s="550">
        <f t="shared" si="100"/>
        <v>0.3725007270207823</v>
      </c>
      <c r="DE81" s="551">
        <f t="shared" si="101"/>
        <v>6589.1653602706183</v>
      </c>
      <c r="DH81" s="547">
        <f>'Hilfstabellen_Mat&amp;Bem'!$J$62</f>
        <v>3.9</v>
      </c>
      <c r="DI81" s="546">
        <f t="shared" si="102"/>
        <v>133</v>
      </c>
      <c r="DJ81" s="551">
        <f t="shared" si="103"/>
        <v>101.5789195416334</v>
      </c>
      <c r="DK81" s="553">
        <f>DJ81/PI()*SQRT('Hilfstabellen_Mat&amp;Bem'!f.Rd.3/'Hilfstabellen_Mat&amp;Bem'!$BD$30)</f>
        <v>1.6166787158984879</v>
      </c>
      <c r="DL81" s="553">
        <f>0.5*(1+'Hilfstabellen_Mat&amp;Bem'!$BD$31*(DK81-0.3)+DK81^2)</f>
        <v>1.8726589710145163</v>
      </c>
      <c r="DM81" s="550">
        <f t="shared" si="104"/>
        <v>0.35489278872686236</v>
      </c>
      <c r="DO81" s="551">
        <f t="shared" si="105"/>
        <v>6277.6985397894687</v>
      </c>
      <c r="DR81" s="547">
        <f>'Hilfstabellen_Mat&amp;Bem'!$J$63</f>
        <v>4</v>
      </c>
      <c r="DS81" s="546">
        <f t="shared" si="106"/>
        <v>133</v>
      </c>
      <c r="DT81" s="551">
        <f t="shared" si="107"/>
        <v>104.1835072221881</v>
      </c>
      <c r="DU81" s="553">
        <f>DT81/PI()*SQRT('Hilfstabellen_Mat&amp;Bem'!f.Rd.3/'Hilfstabellen_Mat&amp;Bem'!$BD$30)</f>
        <v>1.6581320163061415</v>
      </c>
      <c r="DV81" s="553">
        <f>0.5*(1+'Hilfstabellen_Mat&amp;Bem'!$BD$31*(DU81-0.3)+DU81^2)</f>
        <v>1.9426074925650423</v>
      </c>
      <c r="DW81" s="550">
        <f t="shared" si="108"/>
        <v>0.33844435341857226</v>
      </c>
      <c r="DY81" s="551">
        <f t="shared" si="109"/>
        <v>5986.7421676211252</v>
      </c>
      <c r="EB81" s="547">
        <f>'Hilfstabellen_Mat&amp;Bem'!$J$64</f>
        <v>4.0999999999999996</v>
      </c>
      <c r="EC81" s="546">
        <f t="shared" si="110"/>
        <v>133</v>
      </c>
      <c r="ED81" s="551">
        <f t="shared" si="111"/>
        <v>106.78809490274281</v>
      </c>
      <c r="EE81" s="553">
        <f>ED81/PI()*SQRT('Hilfstabellen_Mat&amp;Bem'!f.Rd.3/'Hilfstabellen_Mat&amp;Bem'!$BD$30)</f>
        <v>1.6995853167137953</v>
      </c>
      <c r="EF81" s="553">
        <f>0.5*(1+'Hilfstabellen_Mat&amp;Bem'!$BD$31*(EE81-0.3)+EE81^2)</f>
        <v>2.0142743902302556</v>
      </c>
      <c r="EG81" s="550">
        <f t="shared" si="112"/>
        <v>0.32306589005062009</v>
      </c>
      <c r="EI81" s="551">
        <f t="shared" si="113"/>
        <v>5714.712529105419</v>
      </c>
      <c r="EL81" s="547">
        <f>'Hilfstabellen_Mat&amp;Bem'!$J$65</f>
        <v>4.2</v>
      </c>
      <c r="EM81" s="546">
        <f t="shared" si="114"/>
        <v>133</v>
      </c>
      <c r="EN81" s="551">
        <f t="shared" si="115"/>
        <v>109.3926825832975</v>
      </c>
      <c r="EO81" s="553">
        <f>EN81/PI()*SQRT('Hilfstabellen_Mat&amp;Bem'!f.Rd.3/'Hilfstabellen_Mat&amp;Bem'!$BD$30)</f>
        <v>1.7410386171214485</v>
      </c>
      <c r="EP81" s="553">
        <f>0.5*(1+'Hilfstabellen_Mat&amp;Bem'!$BD$31*(EO81-0.3)+EO81^2)</f>
        <v>2.0876596640101552</v>
      </c>
      <c r="EQ81" s="550">
        <f t="shared" si="116"/>
        <v>0.30867425820666311</v>
      </c>
      <c r="ES81" s="551">
        <f t="shared" si="117"/>
        <v>5460.1389534176642</v>
      </c>
    </row>
    <row r="82" spans="3:149">
      <c r="C82" s="546">
        <v>134</v>
      </c>
      <c r="D82" s="551">
        <f t="shared" si="72"/>
        <v>72.384212853624717</v>
      </c>
      <c r="E82" s="553">
        <f>$D82/PI()*SQRT('Hilfstabellen_Mat&amp;Bem'!f.Rd.3/'Hilfstabellen_Mat&amp;Bem'!$BD$30)</f>
        <v>1.1520305277470282</v>
      </c>
      <c r="F82" s="553">
        <f>0.5*(1+'Hilfstabellen_Mat&amp;Bem'!$BD$31*($E82-0.3)+$E82^2)</f>
        <v>1.2061886948178995</v>
      </c>
      <c r="G82" s="550">
        <f t="shared" si="73"/>
        <v>0.63956464132837199</v>
      </c>
      <c r="I82" s="551">
        <f t="shared" si="59"/>
        <v>11484.022699692247</v>
      </c>
      <c r="M82" s="546">
        <f t="shared" si="74"/>
        <v>134</v>
      </c>
      <c r="N82" s="551">
        <f t="shared" si="64"/>
        <v>74.969363312682745</v>
      </c>
      <c r="O82" s="553">
        <f>$N82/PI()*SQRT('Hilfstabellen_Mat&amp;Bem'!f.Rd.3/'Hilfstabellen_Mat&amp;Bem'!$BD$30)</f>
        <v>1.1931744751665649</v>
      </c>
      <c r="P82" s="553">
        <f>0.5*(1+'Hilfstabellen_Mat&amp;Bem'!$BD$31*($O82-0.3)+$O82^2)</f>
        <v>1.2564913878528321</v>
      </c>
      <c r="Q82" s="550">
        <f t="shared" si="65"/>
        <v>0.60594108361952081</v>
      </c>
      <c r="S82" s="551">
        <f t="shared" si="60"/>
        <v>10880.278097472115</v>
      </c>
      <c r="W82" s="546">
        <f t="shared" si="75"/>
        <v>134</v>
      </c>
      <c r="X82" s="551">
        <f t="shared" si="66"/>
        <v>77.554513771740773</v>
      </c>
      <c r="Y82" s="553">
        <f>$X82/PI()*SQRT('Hilfstabellen_Mat&amp;Bem'!f.Rd.3/'Hilfstabellen_Mat&amp;Bem'!$BD$30)</f>
        <v>1.2343184225861017</v>
      </c>
      <c r="Z82" s="553">
        <f>0.5*(1+'Hilfstabellen_Mat&amp;Bem'!$BD$31*($Y82-0.3)+$Y82^2)</f>
        <v>1.3084869052970263</v>
      </c>
      <c r="AA82" s="550">
        <f t="shared" si="67"/>
        <v>0.57380137785890439</v>
      </c>
      <c r="AC82" s="551">
        <f t="shared" si="61"/>
        <v>10303.177540834487</v>
      </c>
      <c r="AG82" s="546">
        <f t="shared" si="76"/>
        <v>134</v>
      </c>
      <c r="AH82" s="551">
        <f t="shared" si="68"/>
        <v>80.139664230798786</v>
      </c>
      <c r="AI82" s="553">
        <f>$AH82/PI()*SQRT('Hilfstabellen_Mat&amp;Bem'!f.Rd.3/'Hilfstabellen_Mat&amp;Bem'!$BD$30)</f>
        <v>1.2754623700056382</v>
      </c>
      <c r="AJ82" s="553">
        <f>0.5*(1+'Hilfstabellen_Mat&amp;Bem'!$BD$31*($AI82-0.3)+$AI82^2)</f>
        <v>1.3621752471504815</v>
      </c>
      <c r="AK82" s="550">
        <f t="shared" si="69"/>
        <v>0.54335451122504397</v>
      </c>
      <c r="AM82" s="551">
        <f t="shared" si="62"/>
        <v>9756.4736035568894</v>
      </c>
      <c r="AQ82" s="546">
        <f t="shared" si="77"/>
        <v>134</v>
      </c>
      <c r="AR82" s="551">
        <f t="shared" si="70"/>
        <v>82.724814689856828</v>
      </c>
      <c r="AS82" s="553">
        <f>$AR82/PI()*SQRT('Hilfstabellen_Mat&amp;Bem'!f.Rd.3/'Hilfstabellen_Mat&amp;Bem'!$BD$30)</f>
        <v>1.3166063174251752</v>
      </c>
      <c r="AT82" s="553">
        <f>0.5*(1+'Hilfstabellen_Mat&amp;Bem'!$BD$31*($AS82-0.3)+$AS82^2)</f>
        <v>1.4175564134131995</v>
      </c>
      <c r="AU82" s="550">
        <f t="shared" si="71"/>
        <v>0.51468744265098054</v>
      </c>
      <c r="AW82" s="551">
        <f t="shared" si="63"/>
        <v>9241.727720241006</v>
      </c>
      <c r="AZ82" s="547">
        <f>'Hilfstabellen_Mat&amp;Bem'!$J$56</f>
        <v>3.3</v>
      </c>
      <c r="BA82" s="546">
        <f t="shared" si="78"/>
        <v>134</v>
      </c>
      <c r="BB82" s="551">
        <f t="shared" si="79"/>
        <v>85.309965148914841</v>
      </c>
      <c r="BC82" s="553">
        <f>BB82/PI()*SQRT('Hilfstabellen_Mat&amp;Bem'!f.Rd.3/'Hilfstabellen_Mat&amp;Bem'!$BD$30)</f>
        <v>1.3577502648447117</v>
      </c>
      <c r="BD82" s="553">
        <f>0.5*(1+'Hilfstabellen_Mat&amp;Bem'!$BD$31*(BC82-0.3)+BC82^2)</f>
        <v>1.4746304040851781</v>
      </c>
      <c r="BE82" s="550">
        <f t="shared" si="80"/>
        <v>0.48780511066715543</v>
      </c>
      <c r="BG82" s="551">
        <f t="shared" si="81"/>
        <v>8759.0285671394431</v>
      </c>
      <c r="BJ82" s="547">
        <f>'Hilfstabellen_Mat&amp;Bem'!$J$57</f>
        <v>3.4</v>
      </c>
      <c r="BK82" s="546">
        <f t="shared" si="82"/>
        <v>134</v>
      </c>
      <c r="BL82" s="551">
        <f t="shared" si="83"/>
        <v>87.895115607972869</v>
      </c>
      <c r="BM82" s="553">
        <f>BL82/PI()*SQRT('Hilfstabellen_Mat&amp;Bem'!f.Rd.3/'Hilfstabellen_Mat&amp;Bem'!$BD$30)</f>
        <v>1.3988942122642485</v>
      </c>
      <c r="BN82" s="553">
        <f>0.5*(1+'Hilfstabellen_Mat&amp;Bem'!$BD$31*(BM82-0.3)+BM82^2)</f>
        <v>1.5333972191664185</v>
      </c>
      <c r="BO82" s="550">
        <f t="shared" si="84"/>
        <v>0.46266061385135543</v>
      </c>
      <c r="BQ82" s="551">
        <f t="shared" si="85"/>
        <v>8307.5339823149388</v>
      </c>
      <c r="BT82" s="547">
        <f>'Hilfstabellen_Mat&amp;Bem'!$J$58</f>
        <v>3.5</v>
      </c>
      <c r="BU82" s="546">
        <f t="shared" si="86"/>
        <v>134</v>
      </c>
      <c r="BV82" s="551">
        <f t="shared" si="87"/>
        <v>90.480266067030897</v>
      </c>
      <c r="BW82" s="553">
        <f>BV82/PI()*SQRT('Hilfstabellen_Mat&amp;Bem'!f.Rd.3/'Hilfstabellen_Mat&amp;Bem'!$BD$30)</f>
        <v>1.4400381596837852</v>
      </c>
      <c r="BX82" s="553">
        <f>0.5*(1+'Hilfstabellen_Mat&amp;Bem'!$BD$31*(BW82-0.3)+BW82^2)</f>
        <v>1.5938568586569206</v>
      </c>
      <c r="BY82" s="550">
        <f t="shared" si="88"/>
        <v>0.43917643685580648</v>
      </c>
      <c r="CA82" s="551">
        <f t="shared" si="89"/>
        <v>7885.8521001828612</v>
      </c>
      <c r="CD82" s="547">
        <f>'Hilfstabellen_Mat&amp;Bem'!$J$59</f>
        <v>3.6</v>
      </c>
      <c r="CE82" s="546">
        <f t="shared" si="90"/>
        <v>134</v>
      </c>
      <c r="CF82" s="551">
        <f t="shared" si="91"/>
        <v>93.065416526088924</v>
      </c>
      <c r="CG82" s="553">
        <f>CF82/PI()*SQRT('Hilfstabellen_Mat&amp;Bem'!f.Rd.3/'Hilfstabellen_Mat&amp;Bem'!$BD$30)</f>
        <v>1.481182107103322</v>
      </c>
      <c r="CH82" s="553">
        <f>0.5*(1+'Hilfstabellen_Mat&amp;Bem'!$BD$31*(CG82-0.3)+CG82^2)</f>
        <v>1.6560093225566845</v>
      </c>
      <c r="CI82" s="550">
        <f t="shared" si="92"/>
        <v>0.41725873508967393</v>
      </c>
      <c r="CK82" s="551">
        <f t="shared" si="93"/>
        <v>7492.2978472701852</v>
      </c>
      <c r="CN82" s="547">
        <f>'Hilfstabellen_Mat&amp;Bem'!$J$60</f>
        <v>3.7</v>
      </c>
      <c r="CO82" s="546">
        <f t="shared" si="94"/>
        <v>134</v>
      </c>
      <c r="CP82" s="551">
        <f t="shared" si="95"/>
        <v>95.650566985146952</v>
      </c>
      <c r="CQ82" s="553">
        <f>CP82/PI()*SQRT('Hilfstabellen_Mat&amp;Bem'!f.Rd.3/'Hilfstabellen_Mat&amp;Bem'!$BD$30)</f>
        <v>1.5223260545228587</v>
      </c>
      <c r="CR82" s="553">
        <f>0.5*(1+'Hilfstabellen_Mat&amp;Bem'!$BD$31*(CQ82-0.3)+CQ82^2)</f>
        <v>1.71985461086571</v>
      </c>
      <c r="CS82" s="550">
        <f t="shared" si="96"/>
        <v>0.39680664164305285</v>
      </c>
      <c r="CU82" s="551">
        <f t="shared" si="97"/>
        <v>7125.0600573426573</v>
      </c>
      <c r="CX82" s="547">
        <f>'Hilfstabellen_Mat&amp;Bem'!$J$61</f>
        <v>3.8</v>
      </c>
      <c r="CY82" s="546">
        <f t="shared" si="98"/>
        <v>134</v>
      </c>
      <c r="CZ82" s="551">
        <f t="shared" si="99"/>
        <v>98.23571744420498</v>
      </c>
      <c r="DA82" s="553">
        <f>CZ82/PI()*SQRT('Hilfstabellen_Mat&amp;Bem'!f.Rd.3/'Hilfstabellen_Mat&amp;Bem'!$BD$30)</f>
        <v>1.5634700019423955</v>
      </c>
      <c r="DB82" s="553">
        <f>0.5*(1+'Hilfstabellen_Mat&amp;Bem'!$BD$31*(DA82-0.3)+DA82^2)</f>
        <v>1.785392723583997</v>
      </c>
      <c r="DC82" s="550">
        <f t="shared" si="100"/>
        <v>0.37771815380989093</v>
      </c>
      <c r="DE82" s="551">
        <f t="shared" si="101"/>
        <v>6782.3071698104013</v>
      </c>
      <c r="DH82" s="547">
        <f>'Hilfstabellen_Mat&amp;Bem'!$J$62</f>
        <v>3.9</v>
      </c>
      <c r="DI82" s="546">
        <f t="shared" si="102"/>
        <v>134</v>
      </c>
      <c r="DJ82" s="551">
        <f t="shared" si="103"/>
        <v>100.82086790326299</v>
      </c>
      <c r="DK82" s="553">
        <f>DJ82/PI()*SQRT('Hilfstabellen_Mat&amp;Bem'!f.Rd.3/'Hilfstabellen_Mat&amp;Bem'!$BD$30)</f>
        <v>1.6046139493619318</v>
      </c>
      <c r="DL82" s="553">
        <f>0.5*(1+'Hilfstabellen_Mat&amp;Bem'!$BD$31*(DK82-0.3)+DK82^2)</f>
        <v>1.8526236607115449</v>
      </c>
      <c r="DM82" s="550">
        <f t="shared" si="104"/>
        <v>0.35989372885029575</v>
      </c>
      <c r="DO82" s="551">
        <f t="shared" si="105"/>
        <v>6462.2517952359103</v>
      </c>
      <c r="DR82" s="547">
        <f>'Hilfstabellen_Mat&amp;Bem'!$J$63</f>
        <v>4</v>
      </c>
      <c r="DS82" s="546">
        <f t="shared" si="106"/>
        <v>134</v>
      </c>
      <c r="DT82" s="551">
        <f t="shared" si="107"/>
        <v>103.40601836232103</v>
      </c>
      <c r="DU82" s="553">
        <f>DT82/PI()*SQRT('Hilfstabellen_Mat&amp;Bem'!f.Rd.3/'Hilfstabellen_Mat&amp;Bem'!$BD$30)</f>
        <v>1.6457578967814692</v>
      </c>
      <c r="DV82" s="553">
        <f>0.5*(1+'Hilfstabellen_Mat&amp;Bem'!$BD$31*(DU82-0.3)+DU82^2)</f>
        <v>1.9215474222483562</v>
      </c>
      <c r="DW82" s="550">
        <f t="shared" si="108"/>
        <v>0.34323837199822183</v>
      </c>
      <c r="DY82" s="551">
        <f t="shared" si="109"/>
        <v>6163.1882076000711</v>
      </c>
      <c r="EB82" s="547">
        <f>'Hilfstabellen_Mat&amp;Bem'!$J$64</f>
        <v>4.0999999999999996</v>
      </c>
      <c r="EC82" s="546">
        <f t="shared" si="110"/>
        <v>134</v>
      </c>
      <c r="ED82" s="551">
        <f t="shared" si="111"/>
        <v>105.99116882137905</v>
      </c>
      <c r="EE82" s="553">
        <f>ED82/PI()*SQRT('Hilfstabellen_Mat&amp;Bem'!f.Rd.3/'Hilfstabellen_Mat&amp;Bem'!$BD$30)</f>
        <v>1.6869018442010058</v>
      </c>
      <c r="EF82" s="553">
        <f>0.5*(1+'Hilfstabellen_Mat&amp;Bem'!$BD$31*(EE82-0.3)+EE82^2)</f>
        <v>1.9921640081944274</v>
      </c>
      <c r="EG82" s="550">
        <f t="shared" si="112"/>
        <v>0.32766274617223923</v>
      </c>
      <c r="EI82" s="551">
        <f t="shared" si="113"/>
        <v>5883.5122702687277</v>
      </c>
      <c r="EL82" s="547">
        <f>'Hilfstabellen_Mat&amp;Bem'!$J$65</f>
        <v>4.2</v>
      </c>
      <c r="EM82" s="546">
        <f t="shared" si="114"/>
        <v>134</v>
      </c>
      <c r="EN82" s="551">
        <f t="shared" si="115"/>
        <v>108.57631928043708</v>
      </c>
      <c r="EO82" s="553">
        <f>EN82/PI()*SQRT('Hilfstabellen_Mat&amp;Bem'!f.Rd.3/'Hilfstabellen_Mat&amp;Bem'!$BD$30)</f>
        <v>1.7280457916205423</v>
      </c>
      <c r="EP82" s="553">
        <f>0.5*(1+'Hilfstabellen_Mat&amp;Bem'!$BD$31*(EO82-0.3)+EO82^2)</f>
        <v>2.0644734185497606</v>
      </c>
      <c r="EQ82" s="550">
        <f t="shared" si="116"/>
        <v>0.31308365636907798</v>
      </c>
      <c r="ES82" s="551">
        <f t="shared" si="117"/>
        <v>5621.7301337631643</v>
      </c>
    </row>
    <row r="83" spans="3:149">
      <c r="C83" s="546">
        <v>135</v>
      </c>
      <c r="D83" s="551">
        <f t="shared" si="72"/>
        <v>71.848033499153416</v>
      </c>
      <c r="E83" s="553">
        <f>$D83/PI()*SQRT('Hilfstabellen_Mat&amp;Bem'!f.Rd.3/'Hilfstabellen_Mat&amp;Bem'!$BD$30)</f>
        <v>1.1434969682822353</v>
      </c>
      <c r="F83" s="553">
        <f>0.5*(1+'Hilfstabellen_Mat&amp;Bem'!$BD$31*($E83-0.3)+$E83^2)</f>
        <v>1.1959675066494435</v>
      </c>
      <c r="G83" s="550">
        <f t="shared" si="73"/>
        <v>0.64669303810086276</v>
      </c>
      <c r="I83" s="551">
        <f t="shared" si="59"/>
        <v>11785.980619388223</v>
      </c>
      <c r="M83" s="546">
        <f t="shared" si="74"/>
        <v>135</v>
      </c>
      <c r="N83" s="551">
        <f t="shared" si="64"/>
        <v>74.414034695551763</v>
      </c>
      <c r="O83" s="553">
        <f>$N83/PI()*SQRT('Hilfstabellen_Mat&amp;Bem'!f.Rd.3/'Hilfstabellen_Mat&amp;Bem'!$BD$30)</f>
        <v>1.1843361457208867</v>
      </c>
      <c r="P83" s="553">
        <f>0.5*(1+'Hilfstabellen_Mat&amp;Bem'!$BD$31*($O83-0.3)+$O83^2)</f>
        <v>1.2455428603165473</v>
      </c>
      <c r="Q83" s="550">
        <f t="shared" si="65"/>
        <v>0.61304878683236663</v>
      </c>
      <c r="S83" s="551">
        <f t="shared" si="60"/>
        <v>11172.814140019882</v>
      </c>
      <c r="W83" s="546">
        <f t="shared" si="75"/>
        <v>135</v>
      </c>
      <c r="X83" s="551">
        <f t="shared" si="66"/>
        <v>76.980035891950095</v>
      </c>
      <c r="Y83" s="553">
        <f>$X83/PI()*SQRT('Hilfstabellen_Mat&amp;Bem'!f.Rd.3/'Hilfstabellen_Mat&amp;Bem'!$BD$30)</f>
        <v>1.2251753231595379</v>
      </c>
      <c r="Z83" s="553">
        <f>0.5*(1+'Hilfstabellen_Mat&amp;Bem'!$BD$31*($Y83-0.3)+$Y83^2)</f>
        <v>1.2967860523975161</v>
      </c>
      <c r="AA83" s="550">
        <f t="shared" si="67"/>
        <v>0.58080237549328984</v>
      </c>
      <c r="AC83" s="551">
        <f t="shared" si="61"/>
        <v>10585.123293365208</v>
      </c>
      <c r="AG83" s="546">
        <f t="shared" si="76"/>
        <v>135</v>
      </c>
      <c r="AH83" s="551">
        <f t="shared" si="68"/>
        <v>79.546037088348427</v>
      </c>
      <c r="AI83" s="553">
        <f>$AH83/PI()*SQRT('Hilfstabellen_Mat&amp;Bem'!f.Rd.3/'Hilfstabellen_Mat&amp;Bem'!$BD$30)</f>
        <v>1.2660145005981891</v>
      </c>
      <c r="AJ83" s="553">
        <f>0.5*(1+'Hilfstabellen_Mat&amp;Bem'!$BD$31*($AI83-0.3)+$AI83^2)</f>
        <v>1.3496970828923507</v>
      </c>
      <c r="AK83" s="550">
        <f t="shared" si="69"/>
        <v>0.55019017310021701</v>
      </c>
      <c r="AM83" s="551">
        <f t="shared" si="62"/>
        <v>10027.215904751454</v>
      </c>
      <c r="AQ83" s="546">
        <f t="shared" si="77"/>
        <v>135</v>
      </c>
      <c r="AR83" s="551">
        <f t="shared" si="70"/>
        <v>82.11203828474676</v>
      </c>
      <c r="AS83" s="553">
        <f>$AR83/PI()*SQRT('Hilfstabellen_Mat&amp;Bem'!f.Rd.3/'Hilfstabellen_Mat&amp;Bem'!$BD$30)</f>
        <v>1.3068536780368403</v>
      </c>
      <c r="AT83" s="553">
        <f>0.5*(1+'Hilfstabellen_Mat&amp;Bem'!$BD$31*($AS83-0.3)+$AS83^2)</f>
        <v>1.4042759518010506</v>
      </c>
      <c r="AU83" s="550">
        <f t="shared" si="71"/>
        <v>0.52132035788975695</v>
      </c>
      <c r="AW83" s="551">
        <f t="shared" si="63"/>
        <v>9501.0635225408205</v>
      </c>
      <c r="AZ83" s="547">
        <f>'Hilfstabellen_Mat&amp;Bem'!$J$56</f>
        <v>3.3</v>
      </c>
      <c r="BA83" s="546">
        <f t="shared" si="78"/>
        <v>135</v>
      </c>
      <c r="BB83" s="551">
        <f t="shared" si="79"/>
        <v>84.678039481145106</v>
      </c>
      <c r="BC83" s="553">
        <f>BB83/PI()*SQRT('Hilfstabellen_Mat&amp;Bem'!f.Rd.3/'Hilfstabellen_Mat&amp;Bem'!$BD$30)</f>
        <v>1.3476928554754917</v>
      </c>
      <c r="BD83" s="553">
        <f>0.5*(1+'Hilfstabellen_Mat&amp;Bem'!$BD$31*(BC83-0.3)+BC83^2)</f>
        <v>1.4605226591236169</v>
      </c>
      <c r="BE83" s="550">
        <f t="shared" si="80"/>
        <v>0.49421342178824773</v>
      </c>
      <c r="BG83" s="551">
        <f t="shared" si="81"/>
        <v>9007.0396120908154</v>
      </c>
      <c r="BJ83" s="547">
        <f>'Hilfstabellen_Mat&amp;Bem'!$J$57</f>
        <v>3.4</v>
      </c>
      <c r="BK83" s="546">
        <f t="shared" si="82"/>
        <v>135</v>
      </c>
      <c r="BL83" s="551">
        <f t="shared" si="83"/>
        <v>87.244040677543452</v>
      </c>
      <c r="BM83" s="553">
        <f>BL83/PI()*SQRT('Hilfstabellen_Mat&amp;Bem'!f.Rd.3/'Hilfstabellen_Mat&amp;Bem'!$BD$30)</f>
        <v>1.3885320329141431</v>
      </c>
      <c r="BN83" s="553">
        <f>0.5*(1+'Hilfstabellen_Mat&amp;Bem'!$BD$31*(BM83-0.3)+BM83^2)</f>
        <v>1.5184372048600485</v>
      </c>
      <c r="BO83" s="550">
        <f t="shared" si="84"/>
        <v>0.4688334633035629</v>
      </c>
      <c r="BQ83" s="551">
        <f t="shared" si="85"/>
        <v>8544.4898687074347</v>
      </c>
      <c r="BT83" s="547">
        <f>'Hilfstabellen_Mat&amp;Bem'!$J$58</f>
        <v>3.5</v>
      </c>
      <c r="BU83" s="546">
        <f t="shared" si="86"/>
        <v>135</v>
      </c>
      <c r="BV83" s="551">
        <f t="shared" si="87"/>
        <v>89.810041873941785</v>
      </c>
      <c r="BW83" s="553">
        <f>BV83/PI()*SQRT('Hilfstabellen_Mat&amp;Bem'!f.Rd.3/'Hilfstabellen_Mat&amp;Bem'!$BD$30)</f>
        <v>1.4293712103527945</v>
      </c>
      <c r="BX83" s="553">
        <f>0.5*(1+'Hilfstabellen_Mat&amp;Bem'!$BD$31*(BW83-0.3)+BW83^2)</f>
        <v>1.5780195890103461</v>
      </c>
      <c r="BY83" s="550">
        <f t="shared" si="88"/>
        <v>0.44511054644293813</v>
      </c>
      <c r="CA83" s="551">
        <f t="shared" si="89"/>
        <v>8112.1397089225475</v>
      </c>
      <c r="CD83" s="547">
        <f>'Hilfstabellen_Mat&amp;Bem'!$J$59</f>
        <v>3.6</v>
      </c>
      <c r="CE83" s="546">
        <f t="shared" si="90"/>
        <v>135</v>
      </c>
      <c r="CF83" s="551">
        <f t="shared" si="91"/>
        <v>92.376043070340117</v>
      </c>
      <c r="CG83" s="553">
        <f>CF83/PI()*SQRT('Hilfstabellen_Mat&amp;Bem'!f.Rd.3/'Hilfstabellen_Mat&amp;Bem'!$BD$30)</f>
        <v>1.4702103877914456</v>
      </c>
      <c r="CH83" s="553">
        <f>0.5*(1+'Hilfstabellen_Mat&amp;Bem'!$BD$31*(CG83-0.3)+CG83^2)</f>
        <v>1.6392698115745088</v>
      </c>
      <c r="CI83" s="550">
        <f t="shared" si="92"/>
        <v>0.42295592948760607</v>
      </c>
      <c r="CK83" s="551">
        <f t="shared" si="93"/>
        <v>7708.3718149116203</v>
      </c>
      <c r="CN83" s="547">
        <f>'Hilfstabellen_Mat&amp;Bem'!$J$60</f>
        <v>3.7</v>
      </c>
      <c r="CO83" s="546">
        <f t="shared" si="94"/>
        <v>135</v>
      </c>
      <c r="CP83" s="551">
        <f t="shared" si="95"/>
        <v>94.942044266738463</v>
      </c>
      <c r="CQ83" s="553">
        <f>CP83/PI()*SQRT('Hilfstabellen_Mat&amp;Bem'!f.Rd.3/'Hilfstabellen_Mat&amp;Bem'!$BD$30)</f>
        <v>1.511049565230097</v>
      </c>
      <c r="CR83" s="553">
        <f>0.5*(1+'Hilfstabellen_Mat&amp;Bem'!$BD$31*(CQ83-0.3)+CQ83^2)</f>
        <v>1.7021878725525377</v>
      </c>
      <c r="CS83" s="550">
        <f t="shared" si="96"/>
        <v>0.40227209291332094</v>
      </c>
      <c r="CU83" s="551">
        <f t="shared" si="97"/>
        <v>7331.408893345274</v>
      </c>
      <c r="CX83" s="547">
        <f>'Hilfstabellen_Mat&amp;Bem'!$J$61</f>
        <v>3.8</v>
      </c>
      <c r="CY83" s="546">
        <f t="shared" si="98"/>
        <v>135</v>
      </c>
      <c r="CZ83" s="551">
        <f t="shared" si="99"/>
        <v>97.508045463136796</v>
      </c>
      <c r="DA83" s="553">
        <f>CZ83/PI()*SQRT('Hilfstabellen_Mat&amp;Bem'!f.Rd.3/'Hilfstabellen_Mat&amp;Bem'!$BD$30)</f>
        <v>1.5518887426687482</v>
      </c>
      <c r="DB83" s="553">
        <f>0.5*(1+'Hilfstabellen_Mat&amp;Bem'!$BD$31*(DA83-0.3)+DA83^2)</f>
        <v>1.7667737719444316</v>
      </c>
      <c r="DC83" s="550">
        <f t="shared" si="100"/>
        <v>0.382959152855533</v>
      </c>
      <c r="DE83" s="551">
        <f t="shared" si="101"/>
        <v>6979.4305607920887</v>
      </c>
      <c r="DH83" s="547">
        <f>'Hilfstabellen_Mat&amp;Bem'!$J$62</f>
        <v>3.9</v>
      </c>
      <c r="DI83" s="546">
        <f t="shared" si="102"/>
        <v>135</v>
      </c>
      <c r="DJ83" s="551">
        <f t="shared" si="103"/>
        <v>100.07404665953513</v>
      </c>
      <c r="DK83" s="553">
        <f>DJ83/PI()*SQRT('Hilfstabellen_Mat&amp;Bem'!f.Rd.3/'Hilfstabellen_Mat&amp;Bem'!$BD$30)</f>
        <v>1.5927279201073992</v>
      </c>
      <c r="DL83" s="553">
        <f>0.5*(1+'Hilfstabellen_Mat&amp;Bem'!$BD$31*(DK83-0.3)+DK83^2)</f>
        <v>1.8330275097501909</v>
      </c>
      <c r="DM83" s="550">
        <f t="shared" si="104"/>
        <v>0.36491883319162854</v>
      </c>
      <c r="DO83" s="551">
        <f t="shared" si="105"/>
        <v>6650.6457349174307</v>
      </c>
      <c r="DR83" s="547">
        <f>'Hilfstabellen_Mat&amp;Bem'!$J$63</f>
        <v>4</v>
      </c>
      <c r="DS83" s="546">
        <f t="shared" si="106"/>
        <v>135</v>
      </c>
      <c r="DT83" s="551">
        <f t="shared" si="107"/>
        <v>102.64004785593346</v>
      </c>
      <c r="DU83" s="553">
        <f>DT83/PI()*SQRT('Hilfstabellen_Mat&amp;Bem'!f.Rd.3/'Hilfstabellen_Mat&amp;Bem'!$BD$30)</f>
        <v>1.6335670975460506</v>
      </c>
      <c r="DV83" s="553">
        <f>0.5*(1+'Hilfstabellen_Mat&amp;Bem'!$BD$31*(DU83-0.3)+DU83^2)</f>
        <v>1.9009490859698164</v>
      </c>
      <c r="DW83" s="550">
        <f t="shared" si="108"/>
        <v>0.34805681908695024</v>
      </c>
      <c r="DY83" s="551">
        <f t="shared" si="109"/>
        <v>6343.3355278596682</v>
      </c>
      <c r="EB83" s="547">
        <f>'Hilfstabellen_Mat&amp;Bem'!$J$64</f>
        <v>4.0999999999999996</v>
      </c>
      <c r="EC83" s="546">
        <f t="shared" si="110"/>
        <v>135</v>
      </c>
      <c r="ED83" s="551">
        <f t="shared" si="111"/>
        <v>105.20604905233179</v>
      </c>
      <c r="EE83" s="553">
        <f>ED83/PI()*SQRT('Hilfstabellen_Mat&amp;Bem'!f.Rd.3/'Hilfstabellen_Mat&amp;Bem'!$BD$30)</f>
        <v>1.674406274984702</v>
      </c>
      <c r="EF83" s="553">
        <f>0.5*(1+'Hilfstabellen_Mat&amp;Bem'!$BD$31*(EE83-0.3)+EE83^2)</f>
        <v>1.9705385006033078</v>
      </c>
      <c r="EG83" s="550">
        <f t="shared" si="112"/>
        <v>0.3322840529626877</v>
      </c>
      <c r="EI83" s="551">
        <f t="shared" si="113"/>
        <v>6055.8768652449835</v>
      </c>
      <c r="EL83" s="547">
        <f>'Hilfstabellen_Mat&amp;Bem'!$J$65</f>
        <v>4.2</v>
      </c>
      <c r="EM83" s="546">
        <f t="shared" si="114"/>
        <v>135</v>
      </c>
      <c r="EN83" s="551">
        <f t="shared" si="115"/>
        <v>107.77205024873014</v>
      </c>
      <c r="EO83" s="553">
        <f>EN83/PI()*SQRT('Hilfstabellen_Mat&amp;Bem'!f.Rd.3/'Hilfstabellen_Mat&amp;Bem'!$BD$30)</f>
        <v>1.7152454524233531</v>
      </c>
      <c r="EP83" s="553">
        <f>0.5*(1+'Hilfstabellen_Mat&amp;Bem'!$BD$31*(EO83-0.3)+EO83^2)</f>
        <v>2.0417957536506641</v>
      </c>
      <c r="EQ83" s="550">
        <f t="shared" si="116"/>
        <v>0.31751734918118685</v>
      </c>
      <c r="ES83" s="551">
        <f t="shared" si="117"/>
        <v>5786.7536888271306</v>
      </c>
    </row>
    <row r="84" spans="3:149">
      <c r="C84" s="546">
        <v>136</v>
      </c>
      <c r="D84" s="551">
        <f t="shared" si="72"/>
        <v>71.319739135189067</v>
      </c>
      <c r="E84" s="553">
        <f>$D84/PI()*SQRT('Hilfstabellen_Mat&amp;Bem'!f.Rd.3/'Hilfstabellen_Mat&amp;Bem'!$BD$30)</f>
        <v>1.1350889023389836</v>
      </c>
      <c r="F84" s="553">
        <f>0.5*(1+'Hilfstabellen_Mat&amp;Bem'!$BD$31*($E84-0.3)+$E84^2)</f>
        <v>1.1859678532235085</v>
      </c>
      <c r="G84" s="550">
        <f t="shared" si="73"/>
        <v>0.65375954596307928</v>
      </c>
      <c r="I84" s="551">
        <f t="shared" si="59"/>
        <v>12091.936562133114</v>
      </c>
      <c r="M84" s="546">
        <f t="shared" si="74"/>
        <v>136</v>
      </c>
      <c r="N84" s="551">
        <f t="shared" si="64"/>
        <v>73.866872675731528</v>
      </c>
      <c r="O84" s="553">
        <f>$N84/PI()*SQRT('Hilfstabellen_Mat&amp;Bem'!f.Rd.3/'Hilfstabellen_Mat&amp;Bem'!$BD$30)</f>
        <v>1.1756277917082332</v>
      </c>
      <c r="P84" s="553">
        <f>0.5*(1+'Hilfstabellen_Mat&amp;Bem'!$BD$31*($O84-0.3)+$O84^2)</f>
        <v>1.2348317419038</v>
      </c>
      <c r="Q84" s="550">
        <f t="shared" si="65"/>
        <v>0.62011664841351555</v>
      </c>
      <c r="S84" s="551">
        <f t="shared" si="60"/>
        <v>11469.677529056384</v>
      </c>
      <c r="W84" s="546">
        <f t="shared" si="75"/>
        <v>136</v>
      </c>
      <c r="X84" s="551">
        <f t="shared" si="66"/>
        <v>76.414006216273989</v>
      </c>
      <c r="Y84" s="553">
        <f>$X84/PI()*SQRT('Hilfstabellen_Mat&amp;Bem'!f.Rd.3/'Hilfstabellen_Mat&amp;Bem'!$BD$30)</f>
        <v>1.2161666810774825</v>
      </c>
      <c r="Z84" s="553">
        <f>0.5*(1+'Hilfstabellen_Mat&amp;Bem'!$BD$31*($Y84-0.3)+$Y84^2)</f>
        <v>1.2853390321353837</v>
      </c>
      <c r="AA84" s="550">
        <f t="shared" si="67"/>
        <v>0.58778103318578401</v>
      </c>
      <c r="AC84" s="551">
        <f t="shared" si="61"/>
        <v>10871.597989804261</v>
      </c>
      <c r="AG84" s="546">
        <f t="shared" si="76"/>
        <v>136</v>
      </c>
      <c r="AH84" s="551">
        <f t="shared" si="68"/>
        <v>78.961139756816451</v>
      </c>
      <c r="AI84" s="553">
        <f>$AH84/PI()*SQRT('Hilfstabellen_Mat&amp;Bem'!f.Rd.3/'Hilfstabellen_Mat&amp;Bem'!$BD$30)</f>
        <v>1.2567055704467318</v>
      </c>
      <c r="AJ84" s="553">
        <f>0.5*(1+'Hilfstabellen_Mat&amp;Bem'!$BD$31*($AI84-0.3)+$AI84^2)</f>
        <v>1.3374897239182593</v>
      </c>
      <c r="AK84" s="550">
        <f t="shared" si="69"/>
        <v>0.5570168758944094</v>
      </c>
      <c r="AM84" s="551">
        <f t="shared" si="62"/>
        <v>10302.584136542997</v>
      </c>
      <c r="AQ84" s="546">
        <f t="shared" si="77"/>
        <v>136</v>
      </c>
      <c r="AR84" s="551">
        <f t="shared" si="70"/>
        <v>81.508273297358926</v>
      </c>
      <c r="AS84" s="553">
        <f>$AR84/PI()*SQRT('Hilfstabellen_Mat&amp;Bem'!f.Rd.3/'Hilfstabellen_Mat&amp;Bem'!$BD$30)</f>
        <v>1.2972444598159814</v>
      </c>
      <c r="AT84" s="553">
        <f>0.5*(1+'Hilfstabellen_Mat&amp;Bem'!$BD$31*($AS84-0.3)+$AS84^2)</f>
        <v>1.3912838172524276</v>
      </c>
      <c r="AU84" s="550">
        <f t="shared" si="71"/>
        <v>0.52795429864782362</v>
      </c>
      <c r="AW84" s="551">
        <f t="shared" si="63"/>
        <v>9765.0427077901459</v>
      </c>
      <c r="AZ84" s="547">
        <f>'Hilfstabellen_Mat&amp;Bem'!$J$56</f>
        <v>3.3</v>
      </c>
      <c r="BA84" s="546">
        <f t="shared" si="78"/>
        <v>136</v>
      </c>
      <c r="BB84" s="551">
        <f t="shared" si="79"/>
        <v>84.055406837901401</v>
      </c>
      <c r="BC84" s="553">
        <f>BB84/PI()*SQRT('Hilfstabellen_Mat&amp;Bem'!f.Rd.3/'Hilfstabellen_Mat&amp;Bem'!$BD$30)</f>
        <v>1.3377833491852309</v>
      </c>
      <c r="BD84" s="553">
        <f>0.5*(1+'Hilfstabellen_Mat&amp;Bem'!$BD$31*(BC84-0.3)+BC84^2)</f>
        <v>1.4467213121378881</v>
      </c>
      <c r="BE84" s="550">
        <f t="shared" si="80"/>
        <v>0.50063008185772395</v>
      </c>
      <c r="BG84" s="551">
        <f t="shared" si="81"/>
        <v>9259.6539940404618</v>
      </c>
      <c r="BJ84" s="547">
        <f>'Hilfstabellen_Mat&amp;Bem'!$J$57</f>
        <v>3.4</v>
      </c>
      <c r="BK84" s="546">
        <f t="shared" si="82"/>
        <v>136</v>
      </c>
      <c r="BL84" s="551">
        <f t="shared" si="83"/>
        <v>86.602540378443862</v>
      </c>
      <c r="BM84" s="553">
        <f>BL84/PI()*SQRT('Hilfstabellen_Mat&amp;Bem'!f.Rd.3/'Hilfstabellen_Mat&amp;Bem'!$BD$30)</f>
        <v>1.3783222385544802</v>
      </c>
      <c r="BN84" s="553">
        <f>0.5*(1+'Hilfstabellen_Mat&amp;Bem'!$BD$31*(BM84-0.3)+BM84^2)</f>
        <v>1.5038022085746408</v>
      </c>
      <c r="BO84" s="550">
        <f t="shared" si="84"/>
        <v>0.47501995619125226</v>
      </c>
      <c r="BQ84" s="551">
        <f t="shared" si="85"/>
        <v>8785.9691097134018</v>
      </c>
      <c r="BT84" s="547">
        <f>'Hilfstabellen_Mat&amp;Bem'!$J$58</f>
        <v>3.5</v>
      </c>
      <c r="BU84" s="546">
        <f t="shared" si="86"/>
        <v>136</v>
      </c>
      <c r="BV84" s="551">
        <f t="shared" si="87"/>
        <v>89.149673918986323</v>
      </c>
      <c r="BW84" s="553">
        <f>BV84/PI()*SQRT('Hilfstabellen_Mat&amp;Bem'!f.Rd.3/'Hilfstabellen_Mat&amp;Bem'!$BD$30)</f>
        <v>1.4188611279237295</v>
      </c>
      <c r="BX84" s="553">
        <f>0.5*(1+'Hilfstabellen_Mat&amp;Bem'!$BD$31*(BW84-0.3)+BW84^2)</f>
        <v>1.5625265065626854</v>
      </c>
      <c r="BY84" s="550">
        <f t="shared" si="88"/>
        <v>0.45106206919610098</v>
      </c>
      <c r="CA84" s="551">
        <f t="shared" si="89"/>
        <v>8342.8440318510839</v>
      </c>
      <c r="CD84" s="547">
        <f>'Hilfstabellen_Mat&amp;Bem'!$J$59</f>
        <v>3.6</v>
      </c>
      <c r="CE84" s="546">
        <f t="shared" si="90"/>
        <v>136</v>
      </c>
      <c r="CF84" s="551">
        <f t="shared" si="91"/>
        <v>91.696807459528785</v>
      </c>
      <c r="CG84" s="553">
        <f>CF84/PI()*SQRT('Hilfstabellen_Mat&amp;Bem'!f.Rd.3/'Hilfstabellen_Mat&amp;Bem'!$BD$30)</f>
        <v>1.4594000172929789</v>
      </c>
      <c r="CH84" s="553">
        <f>0.5*(1+'Hilfstabellen_Mat&amp;Bem'!$BD$31*(CG84-0.3)+CG84^2)</f>
        <v>1.6228942061020226</v>
      </c>
      <c r="CI84" s="550">
        <f t="shared" si="92"/>
        <v>0.4286731690278639</v>
      </c>
      <c r="CK84" s="551">
        <f t="shared" si="93"/>
        <v>7928.7389343393706</v>
      </c>
      <c r="CN84" s="547">
        <f>'Hilfstabellen_Mat&amp;Bem'!$J$60</f>
        <v>3.7</v>
      </c>
      <c r="CO84" s="546">
        <f t="shared" si="94"/>
        <v>136</v>
      </c>
      <c r="CP84" s="551">
        <f t="shared" si="95"/>
        <v>94.24394100007126</v>
      </c>
      <c r="CQ84" s="553">
        <f>CP84/PI()*SQRT('Hilfstabellen_Mat&amp;Bem'!f.Rd.3/'Hilfstabellen_Mat&amp;Bem'!$BD$30)</f>
        <v>1.4999389066622284</v>
      </c>
      <c r="CR84" s="553">
        <f>0.5*(1+'Hilfstabellen_Mat&amp;Bem'!$BD$31*(CQ84-0.3)+CQ84^2)</f>
        <v>1.6849053071926519</v>
      </c>
      <c r="CS84" s="550">
        <f t="shared" si="96"/>
        <v>0.40775937490789871</v>
      </c>
      <c r="CU84" s="551">
        <f t="shared" si="97"/>
        <v>7541.9173982964949</v>
      </c>
      <c r="CX84" s="547">
        <f>'Hilfstabellen_Mat&amp;Bem'!$J$61</f>
        <v>3.8</v>
      </c>
      <c r="CY84" s="546">
        <f t="shared" si="98"/>
        <v>136</v>
      </c>
      <c r="CZ84" s="551">
        <f t="shared" si="99"/>
        <v>96.791074540613721</v>
      </c>
      <c r="DA84" s="553">
        <f>CZ84/PI()*SQRT('Hilfstabellen_Mat&amp;Bem'!f.Rd.3/'Hilfstabellen_Mat&amp;Bem'!$BD$30)</f>
        <v>1.5404777960314777</v>
      </c>
      <c r="DB84" s="553">
        <f>0.5*(1+'Hilfstabellen_Mat&amp;Bem'!$BD$31*(DA84-0.3)+DA84^2)</f>
        <v>1.7485598098345734</v>
      </c>
      <c r="DC84" s="550">
        <f t="shared" si="100"/>
        <v>0.38822313920966689</v>
      </c>
      <c r="DE84" s="551">
        <f t="shared" si="101"/>
        <v>7180.5751828219991</v>
      </c>
      <c r="DH84" s="547">
        <f>'Hilfstabellen_Mat&amp;Bem'!$J$62</f>
        <v>3.9</v>
      </c>
      <c r="DI84" s="546">
        <f t="shared" si="102"/>
        <v>136</v>
      </c>
      <c r="DJ84" s="551">
        <f t="shared" si="103"/>
        <v>99.338208081156196</v>
      </c>
      <c r="DK84" s="553">
        <f>DJ84/PI()*SQRT('Hilfstabellen_Mat&amp;Bem'!f.Rd.3/'Hilfstabellen_Mat&amp;Bem'!$BD$30)</f>
        <v>1.5810166854007273</v>
      </c>
      <c r="DL84" s="553">
        <f>0.5*(1+'Hilfstabellen_Mat&amp;Bem'!$BD$31*(DK84-0.3)+DK84^2)</f>
        <v>1.8138577140277874</v>
      </c>
      <c r="DM84" s="550">
        <f t="shared" si="104"/>
        <v>0.36996761415026203</v>
      </c>
      <c r="DO84" s="551">
        <f t="shared" si="105"/>
        <v>6842.9209913232462</v>
      </c>
      <c r="DR84" s="547">
        <f>'Hilfstabellen_Mat&amp;Bem'!$J$63</f>
        <v>4</v>
      </c>
      <c r="DS84" s="546">
        <f t="shared" si="106"/>
        <v>136</v>
      </c>
      <c r="DT84" s="551">
        <f t="shared" si="107"/>
        <v>101.88534162169866</v>
      </c>
      <c r="DU84" s="553">
        <f>DT84/PI()*SQRT('Hilfstabellen_Mat&amp;Bem'!f.Rd.3/'Hilfstabellen_Mat&amp;Bem'!$BD$30)</f>
        <v>1.6215555747699768</v>
      </c>
      <c r="DV84" s="553">
        <f>0.5*(1+'Hilfstabellen_Mat&amp;Bem'!$BD$31*(DU84-0.3)+DU84^2)</f>
        <v>1.8807990197722937</v>
      </c>
      <c r="DW84" s="550">
        <f t="shared" si="108"/>
        <v>0.35289928518446811</v>
      </c>
      <c r="DY84" s="551">
        <f t="shared" si="109"/>
        <v>6527.2251787719224</v>
      </c>
      <c r="EB84" s="547">
        <f>'Hilfstabellen_Mat&amp;Bem'!$J$64</f>
        <v>4.0999999999999996</v>
      </c>
      <c r="EC84" s="546">
        <f t="shared" si="110"/>
        <v>136</v>
      </c>
      <c r="ED84" s="551">
        <f t="shared" si="111"/>
        <v>104.43247516224113</v>
      </c>
      <c r="EE84" s="553">
        <f>ED84/PI()*SQRT('Hilfstabellen_Mat&amp;Bem'!f.Rd.3/'Hilfstabellen_Mat&amp;Bem'!$BD$30)</f>
        <v>1.6620944641392261</v>
      </c>
      <c r="EF84" s="553">
        <f>0.5*(1+'Hilfstabellen_Mat&amp;Bem'!$BD$31*(EE84-0.3)+EE84^2)</f>
        <v>1.949383727068092</v>
      </c>
      <c r="EG84" s="550">
        <f t="shared" si="112"/>
        <v>0.33692946402028789</v>
      </c>
      <c r="EI84" s="551">
        <f t="shared" si="113"/>
        <v>6231.847366519245</v>
      </c>
      <c r="EL84" s="547">
        <f>'Hilfstabellen_Mat&amp;Bem'!$J$65</f>
        <v>4.2</v>
      </c>
      <c r="EM84" s="546">
        <f t="shared" si="114"/>
        <v>136</v>
      </c>
      <c r="EN84" s="551">
        <f t="shared" si="115"/>
        <v>106.97960870278359</v>
      </c>
      <c r="EO84" s="553">
        <f>EN84/PI()*SQRT('Hilfstabellen_Mat&amp;Bem'!f.Rd.3/'Hilfstabellen_Mat&amp;Bem'!$BD$30)</f>
        <v>1.7026333535084757</v>
      </c>
      <c r="EP84" s="553">
        <f>0.5*(1+'Hilfstabellen_Mat&amp;Bem'!$BD$31*(EO84-0.3)+EO84^2)</f>
        <v>2.0196118359151827</v>
      </c>
      <c r="EQ84" s="550">
        <f t="shared" si="116"/>
        <v>0.32197504158479628</v>
      </c>
      <c r="ES84" s="551">
        <f t="shared" si="117"/>
        <v>5955.2503691523925</v>
      </c>
    </row>
    <row r="85" spans="3:149">
      <c r="C85" s="546">
        <v>137</v>
      </c>
      <c r="D85" s="551">
        <f t="shared" si="72"/>
        <v>70.79915709770593</v>
      </c>
      <c r="E85" s="553">
        <f>$D85/PI()*SQRT('Hilfstabellen_Mat&amp;Bem'!f.Rd.3/'Hilfstabellen_Mat&amp;Bem'!$BD$30)</f>
        <v>1.1268035818839546</v>
      </c>
      <c r="F85" s="553">
        <f>0.5*(1+'Hilfstabellen_Mat&amp;Bem'!$BD$31*($E85-0.3)+$E85^2)</f>
        <v>1.1761833351674527</v>
      </c>
      <c r="G85" s="550">
        <f t="shared" si="73"/>
        <v>0.66076005806159654</v>
      </c>
      <c r="I85" s="551">
        <f t="shared" si="59"/>
        <v>12401.805529758105</v>
      </c>
      <c r="M85" s="546">
        <f t="shared" si="74"/>
        <v>137</v>
      </c>
      <c r="N85" s="551">
        <f t="shared" si="64"/>
        <v>73.327698422623996</v>
      </c>
      <c r="O85" s="553">
        <f>$N85/PI()*SQRT('Hilfstabellen_Mat&amp;Bem'!f.Rd.3/'Hilfstabellen_Mat&amp;Bem'!$BD$30)</f>
        <v>1.1670465669512387</v>
      </c>
      <c r="P85" s="553">
        <f>0.5*(1+'Hilfstabellen_Mat&amp;Bem'!$BD$31*($O85-0.3)+$O85^2)</f>
        <v>1.2243511730638978</v>
      </c>
      <c r="Q85" s="550">
        <f t="shared" si="65"/>
        <v>0.62714099855934868</v>
      </c>
      <c r="S85" s="551">
        <f t="shared" si="60"/>
        <v>11770.809401960416</v>
      </c>
      <c r="W85" s="546">
        <f t="shared" si="75"/>
        <v>137</v>
      </c>
      <c r="X85" s="551">
        <f t="shared" si="66"/>
        <v>75.856239747542062</v>
      </c>
      <c r="Y85" s="553">
        <f>$X85/PI()*SQRT('Hilfstabellen_Mat&amp;Bem'!f.Rd.3/'Hilfstabellen_Mat&amp;Bem'!$BD$30)</f>
        <v>1.2072895520185227</v>
      </c>
      <c r="Z85" s="553">
        <f>0.5*(1+'Hilfstabellen_Mat&amp;Bem'!$BD$31*($Y85-0.3)+$Y85^2)</f>
        <v>1.2741385088074688</v>
      </c>
      <c r="AA85" s="550">
        <f t="shared" si="67"/>
        <v>0.5947342453665293</v>
      </c>
      <c r="AC85" s="551">
        <f t="shared" si="61"/>
        <v>11162.567051284388</v>
      </c>
      <c r="AG85" s="546">
        <f t="shared" si="76"/>
        <v>137</v>
      </c>
      <c r="AH85" s="551">
        <f t="shared" si="68"/>
        <v>78.384781072460129</v>
      </c>
      <c r="AI85" s="553">
        <f>$AH85/PI()*SQRT('Hilfstabellen_Mat&amp;Bem'!f.Rd.3/'Hilfstabellen_Mat&amp;Bem'!$BD$30)</f>
        <v>1.2475325370858068</v>
      </c>
      <c r="AJ85" s="553">
        <f>0.5*(1+'Hilfstabellen_Mat&amp;Bem'!$BD$31*($AI85-0.3)+$AI85^2)</f>
        <v>1.3255453423981653</v>
      </c>
      <c r="AK85" s="550">
        <f t="shared" si="69"/>
        <v>0.56383206723478607</v>
      </c>
      <c r="AM85" s="551">
        <f t="shared" si="62"/>
        <v>10582.5640699297</v>
      </c>
      <c r="AQ85" s="546">
        <f t="shared" si="77"/>
        <v>137</v>
      </c>
      <c r="AR85" s="551">
        <f t="shared" si="70"/>
        <v>80.913322397378209</v>
      </c>
      <c r="AS85" s="553">
        <f>$AR85/PI()*SQRT('Hilfstabellen_Mat&amp;Bem'!f.Rd.3/'Hilfstabellen_Mat&amp;Bem'!$BD$30)</f>
        <v>1.2877755221530911</v>
      </c>
      <c r="AT85" s="553">
        <f>0.5*(1+'Hilfstabellen_Mat&amp;Bem'!$BD$31*($AS85-0.3)+$AS85^2)</f>
        <v>1.3785716738359879</v>
      </c>
      <c r="AU85" s="550">
        <f t="shared" si="71"/>
        <v>0.53458719657288134</v>
      </c>
      <c r="AW85" s="551">
        <f t="shared" si="63"/>
        <v>10033.667092476409</v>
      </c>
      <c r="AZ85" s="547">
        <f>'Hilfstabellen_Mat&amp;Bem'!$J$56</f>
        <v>3.3</v>
      </c>
      <c r="BA85" s="546">
        <f t="shared" si="78"/>
        <v>137</v>
      </c>
      <c r="BB85" s="551">
        <f t="shared" si="79"/>
        <v>83.441863722296276</v>
      </c>
      <c r="BC85" s="553">
        <f>BB85/PI()*SQRT('Hilfstabellen_Mat&amp;Bem'!f.Rd.3/'Hilfstabellen_Mat&amp;Bem'!$BD$30)</f>
        <v>1.3280185072203752</v>
      </c>
      <c r="BD85" s="553">
        <f>0.5*(1+'Hilfstabellen_Mat&amp;Bem'!$BD$31*(BC85-0.3)+BC85^2)</f>
        <v>1.4332175031209355</v>
      </c>
      <c r="BE85" s="550">
        <f t="shared" si="80"/>
        <v>0.50705342294321842</v>
      </c>
      <c r="BG85" s="551">
        <f t="shared" si="81"/>
        <v>9516.8856952212664</v>
      </c>
      <c r="BJ85" s="547">
        <f>'Hilfstabellen_Mat&amp;Bem'!$J$57</f>
        <v>3.4</v>
      </c>
      <c r="BK85" s="546">
        <f t="shared" si="82"/>
        <v>137</v>
      </c>
      <c r="BL85" s="551">
        <f t="shared" si="83"/>
        <v>85.970405047214342</v>
      </c>
      <c r="BM85" s="553">
        <f>BL85/PI()*SQRT('Hilfstabellen_Mat&amp;Bem'!f.Rd.3/'Hilfstabellen_Mat&amp;Bem'!$BD$30)</f>
        <v>1.368261492287659</v>
      </c>
      <c r="BN85" s="553">
        <f>0.5*(1+'Hilfstabellen_Mat&amp;Bem'!$BD$31*(BM85-0.3)+BM85^2)</f>
        <v>1.4894828302530088</v>
      </c>
      <c r="BO85" s="550">
        <f t="shared" si="84"/>
        <v>0.48121874657663499</v>
      </c>
      <c r="BQ85" s="551">
        <f t="shared" si="85"/>
        <v>9031.9946544968625</v>
      </c>
      <c r="BT85" s="547">
        <f>'Hilfstabellen_Mat&amp;Bem'!$J$58</f>
        <v>3.5</v>
      </c>
      <c r="BU85" s="546">
        <f t="shared" si="86"/>
        <v>137</v>
      </c>
      <c r="BV85" s="551">
        <f t="shared" si="87"/>
        <v>88.498946372132409</v>
      </c>
      <c r="BW85" s="553">
        <f>BV85/PI()*SQRT('Hilfstabellen_Mat&amp;Bem'!f.Rd.3/'Hilfstabellen_Mat&amp;Bem'!$BD$30)</f>
        <v>1.4085044773549431</v>
      </c>
      <c r="BX85" s="553">
        <f>0.5*(1+'Hilfstabellen_Mat&amp;Bem'!$BD$31*(BW85-0.3)+BW85^2)</f>
        <v>1.547367655232208</v>
      </c>
      <c r="BY85" s="550">
        <f t="shared" si="88"/>
        <v>0.45702991467014048</v>
      </c>
      <c r="CA85" s="551">
        <f t="shared" si="89"/>
        <v>8577.9944684438669</v>
      </c>
      <c r="CD85" s="547">
        <f>'Hilfstabellen_Mat&amp;Bem'!$J$59</f>
        <v>3.6</v>
      </c>
      <c r="CE85" s="546">
        <f t="shared" si="90"/>
        <v>137</v>
      </c>
      <c r="CF85" s="551">
        <f t="shared" si="91"/>
        <v>91.027487697050489</v>
      </c>
      <c r="CG85" s="553">
        <f>CF85/PI()*SQRT('Hilfstabellen_Mat&amp;Bem'!f.Rd.3/'Hilfstabellen_Mat&amp;Bem'!$BD$30)</f>
        <v>1.4487474624222276</v>
      </c>
      <c r="CH85" s="553">
        <f>0.5*(1+'Hilfstabellen_Mat&amp;Bem'!$BD$31*(CG85-0.3)+CG85^2)</f>
        <v>1.6068719780585332</v>
      </c>
      <c r="CI85" s="550">
        <f t="shared" si="92"/>
        <v>0.43440956503741229</v>
      </c>
      <c r="CK85" s="551">
        <f t="shared" si="93"/>
        <v>8153.4331261871912</v>
      </c>
      <c r="CN85" s="547">
        <f>'Hilfstabellen_Mat&amp;Bem'!$J$60</f>
        <v>3.7</v>
      </c>
      <c r="CO85" s="546">
        <f t="shared" si="94"/>
        <v>137</v>
      </c>
      <c r="CP85" s="551">
        <f t="shared" si="95"/>
        <v>93.556029021968541</v>
      </c>
      <c r="CQ85" s="553">
        <f>CP85/PI()*SQRT('Hilfstabellen_Mat&amp;Bem'!f.Rd.3/'Hilfstabellen_Mat&amp;Bem'!$BD$30)</f>
        <v>1.4889904474895115</v>
      </c>
      <c r="CR85" s="553">
        <f>0.5*(1+'Hilfstabellen_Mat&amp;Bem'!$BD$31*(CQ85-0.3)+CQ85^2)</f>
        <v>1.6679957987319833</v>
      </c>
      <c r="CS85" s="550">
        <f t="shared" si="96"/>
        <v>0.41326775836676249</v>
      </c>
      <c r="CU85" s="551">
        <f t="shared" si="97"/>
        <v>7756.6225567857655</v>
      </c>
      <c r="CX85" s="547">
        <f>'Hilfstabellen_Mat&amp;Bem'!$J$61</f>
        <v>3.8</v>
      </c>
      <c r="CY85" s="546">
        <f t="shared" si="98"/>
        <v>137</v>
      </c>
      <c r="CZ85" s="551">
        <f t="shared" si="99"/>
        <v>96.084570346886608</v>
      </c>
      <c r="DA85" s="553">
        <f>CZ85/PI()*SQRT('Hilfstabellen_Mat&amp;Bem'!f.Rd.3/'Hilfstabellen_Mat&amp;Bem'!$BD$30)</f>
        <v>1.5292334325567953</v>
      </c>
      <c r="DB85" s="553">
        <f>0.5*(1+'Hilfstabellen_Mat&amp;Bem'!$BD$31*(DA85-0.3)+DA85^2)</f>
        <v>1.730739117252559</v>
      </c>
      <c r="DC85" s="550">
        <f t="shared" si="100"/>
        <v>0.39350950999714057</v>
      </c>
      <c r="DE85" s="551">
        <f t="shared" si="101"/>
        <v>7385.7799931363315</v>
      </c>
      <c r="DH85" s="547">
        <f>'Hilfstabellen_Mat&amp;Bem'!$J$62</f>
        <v>3.9</v>
      </c>
      <c r="DI85" s="546">
        <f t="shared" si="102"/>
        <v>137</v>
      </c>
      <c r="DJ85" s="551">
        <f t="shared" si="103"/>
        <v>98.613111671804688</v>
      </c>
      <c r="DK85" s="553">
        <f>DJ85/PI()*SQRT('Hilfstabellen_Mat&amp;Bem'!f.Rd.3/'Hilfstabellen_Mat&amp;Bem'!$BD$30)</f>
        <v>1.5694764176240796</v>
      </c>
      <c r="DL85" s="553">
        <f>0.5*(1+'Hilfstabellen_Mat&amp;Bem'!$BD$31*(DK85-0.3)+DK85^2)</f>
        <v>1.7951019336202612</v>
      </c>
      <c r="DM85" s="550">
        <f t="shared" si="104"/>
        <v>0.37503956958061763</v>
      </c>
      <c r="DO85" s="551">
        <f t="shared" si="105"/>
        <v>7039.1176814586124</v>
      </c>
      <c r="DR85" s="547">
        <f>'Hilfstabellen_Mat&amp;Bem'!$J$63</f>
        <v>4</v>
      </c>
      <c r="DS85" s="546">
        <f t="shared" si="106"/>
        <v>137</v>
      </c>
      <c r="DT85" s="551">
        <f t="shared" si="107"/>
        <v>101.14165299672275</v>
      </c>
      <c r="DU85" s="553">
        <f>DT85/PI()*SQRT('Hilfstabellen_Mat&amp;Bem'!f.Rd.3/'Hilfstabellen_Mat&amp;Bem'!$BD$30)</f>
        <v>1.6097194026913639</v>
      </c>
      <c r="DV85" s="553">
        <f>0.5*(1+'Hilfstabellen_Mat&amp;Bem'!$BD$31*(DU85-0.3)+DU85^2)</f>
        <v>1.8610842478350891</v>
      </c>
      <c r="DW85" s="550">
        <f t="shared" si="108"/>
        <v>0.35776534893385353</v>
      </c>
      <c r="DY85" s="551">
        <f t="shared" si="109"/>
        <v>6714.8978341394968</v>
      </c>
      <c r="EB85" s="547">
        <f>'Hilfstabellen_Mat&amp;Bem'!$J$64</f>
        <v>4.0999999999999996</v>
      </c>
      <c r="EC85" s="546">
        <f t="shared" si="110"/>
        <v>137</v>
      </c>
      <c r="ED85" s="551">
        <f t="shared" si="111"/>
        <v>103.67019432164082</v>
      </c>
      <c r="EE85" s="553">
        <f>ED85/PI()*SQRT('Hilfstabellen_Mat&amp;Bem'!f.Rd.3/'Hilfstabellen_Mat&amp;Bem'!$BD$30)</f>
        <v>1.6499623877586478</v>
      </c>
      <c r="EF85" s="553">
        <f>0.5*(1+'Hilfstabellen_Mat&amp;Bem'!$BD$31*(EE85-0.3)+EE85^2)</f>
        <v>1.9286860598970414</v>
      </c>
      <c r="EG85" s="550">
        <f t="shared" si="112"/>
        <v>0.34159862322612022</v>
      </c>
      <c r="EI85" s="551">
        <f t="shared" si="113"/>
        <v>6411.4645593310506</v>
      </c>
      <c r="EL85" s="547">
        <f>'Hilfstabellen_Mat&amp;Bem'!$J$65</f>
        <v>4.2</v>
      </c>
      <c r="EM85" s="546">
        <f t="shared" si="114"/>
        <v>137</v>
      </c>
      <c r="EN85" s="551">
        <f t="shared" si="115"/>
        <v>106.1987356465589</v>
      </c>
      <c r="EO85" s="553">
        <f>EN85/PI()*SQRT('Hilfstabellen_Mat&amp;Bem'!f.Rd.3/'Hilfstabellen_Mat&amp;Bem'!$BD$30)</f>
        <v>1.6902053728259319</v>
      </c>
      <c r="EP85" s="553">
        <f>0.5*(1+'Hilfstabellen_Mat&amp;Bem'!$BD$31*(EO85-0.3)+EO85^2)</f>
        <v>1.9979073698061205</v>
      </c>
      <c r="EQ85" s="550">
        <f t="shared" si="116"/>
        <v>0.32645643051230594</v>
      </c>
      <c r="ES85" s="551">
        <f t="shared" si="117"/>
        <v>6127.2607442854705</v>
      </c>
    </row>
    <row r="86" spans="3:149">
      <c r="C86" s="546">
        <v>138</v>
      </c>
      <c r="D86" s="551">
        <f t="shared" si="72"/>
        <v>70.286119727432705</v>
      </c>
      <c r="E86" s="553">
        <f>$D86/PI()*SQRT('Hilfstabellen_Mat&amp;Bem'!f.Rd.3/'Hilfstabellen_Mat&amp;Bem'!$BD$30)</f>
        <v>1.1186383385369696</v>
      </c>
      <c r="F86" s="553">
        <f>0.5*(1+'Hilfstabellen_Mat&amp;Bem'!$BD$31*($E86-0.3)+$E86^2)</f>
        <v>1.1666077831492245</v>
      </c>
      <c r="G86" s="550">
        <f t="shared" si="73"/>
        <v>0.66769050502213045</v>
      </c>
      <c r="I86" s="551">
        <f t="shared" ref="I86:I149" si="118">C86^2*G86</f>
        <v>12715.497977641453</v>
      </c>
      <c r="M86" s="546">
        <f t="shared" si="74"/>
        <v>138</v>
      </c>
      <c r="N86" s="551">
        <f t="shared" si="64"/>
        <v>72.796338289126723</v>
      </c>
      <c r="O86" s="553">
        <f>$N86/PI()*SQRT('Hilfstabellen_Mat&amp;Bem'!f.Rd.3/'Hilfstabellen_Mat&amp;Bem'!$BD$30)</f>
        <v>1.1585897077704326</v>
      </c>
      <c r="P86" s="553">
        <f>0.5*(1+'Hilfstabellen_Mat&amp;Bem'!$BD$31*($O86-0.3)+$O86^2)</f>
        <v>1.2140945408643098</v>
      </c>
      <c r="Q86" s="550">
        <f t="shared" si="65"/>
        <v>0.63411813976513454</v>
      </c>
      <c r="S86" s="551">
        <f t="shared" ref="S86:S149" si="119">M86^2*Q86</f>
        <v>12076.145853687221</v>
      </c>
      <c r="W86" s="546">
        <f t="shared" si="75"/>
        <v>138</v>
      </c>
      <c r="X86" s="551">
        <f t="shared" si="66"/>
        <v>75.306556850820755</v>
      </c>
      <c r="Y86" s="553">
        <f>$X86/PI()*SQRT('Hilfstabellen_Mat&amp;Bem'!f.Rd.3/'Hilfstabellen_Mat&amp;Bem'!$BD$30)</f>
        <v>1.198541077003896</v>
      </c>
      <c r="Z86" s="553">
        <f>0.5*(1+'Hilfstabellen_Mat&amp;Bem'!$BD$31*($Y86-0.3)+$Y86^2)</f>
        <v>1.2631774104830242</v>
      </c>
      <c r="AA86" s="550">
        <f t="shared" si="67"/>
        <v>0.6016588506139412</v>
      </c>
      <c r="AC86" s="551">
        <f t="shared" ref="AC86:AC149" si="120">W86^2*AA86</f>
        <v>11457.991151091896</v>
      </c>
      <c r="AG86" s="546">
        <f t="shared" si="76"/>
        <v>138</v>
      </c>
      <c r="AH86" s="551">
        <f t="shared" si="68"/>
        <v>77.816775412514772</v>
      </c>
      <c r="AI86" s="553">
        <f>$AH86/PI()*SQRT('Hilfstabellen_Mat&amp;Bem'!f.Rd.3/'Hilfstabellen_Mat&amp;Bem'!$BD$30)</f>
        <v>1.238492446237359</v>
      </c>
      <c r="AJ86" s="553">
        <f>0.5*(1+'Hilfstabellen_Mat&amp;Bem'!$BD$31*($AI86-0.3)+$AI86^2)</f>
        <v>1.3138563920053667</v>
      </c>
      <c r="AK86" s="550">
        <f t="shared" si="69"/>
        <v>0.5706331323329249</v>
      </c>
      <c r="AM86" s="551">
        <f t="shared" ref="AM86:AM149" si="121">AG86^2*AK86</f>
        <v>10867.137372148221</v>
      </c>
      <c r="AQ86" s="546">
        <f t="shared" si="77"/>
        <v>138</v>
      </c>
      <c r="AR86" s="551">
        <f t="shared" si="70"/>
        <v>80.326993974208804</v>
      </c>
      <c r="AS86" s="553">
        <f>$AR86/PI()*SQRT('Hilfstabellen_Mat&amp;Bem'!f.Rd.3/'Hilfstabellen_Mat&amp;Bem'!$BD$30)</f>
        <v>1.2784438154708224</v>
      </c>
      <c r="AT86" s="553">
        <f>0.5*(1+'Hilfstabellen_Mat&amp;Bem'!$BD$31*($AS86-0.3)+$AS86^2)</f>
        <v>1.3661314854313382</v>
      </c>
      <c r="AU86" s="550">
        <f t="shared" si="71"/>
        <v>0.54121692470195826</v>
      </c>
      <c r="AW86" s="551">
        <f t="shared" ref="AW86:AW149" si="122">AQ86^2*AU86</f>
        <v>10306.935114024092</v>
      </c>
      <c r="AZ86" s="547">
        <f>'Hilfstabellen_Mat&amp;Bem'!$J$56</f>
        <v>3.3</v>
      </c>
      <c r="BA86" s="546">
        <f t="shared" si="78"/>
        <v>138</v>
      </c>
      <c r="BB86" s="551">
        <f t="shared" si="79"/>
        <v>82.837212535902822</v>
      </c>
      <c r="BC86" s="553">
        <f>BB86/PI()*SQRT('Hilfstabellen_Mat&amp;Bem'!f.Rd.3/'Hilfstabellen_Mat&amp;Bem'!$BD$30)</f>
        <v>1.3183951847042854</v>
      </c>
      <c r="BD86" s="553">
        <f>0.5*(1+'Hilfstabellen_Mat&amp;Bem'!$BD$31*(BC86-0.3)+BC86^2)</f>
        <v>1.4200026907609378</v>
      </c>
      <c r="BE86" s="550">
        <f t="shared" si="80"/>
        <v>0.51348172620792565</v>
      </c>
      <c r="BG86" s="551">
        <f t="shared" si="81"/>
        <v>9778.7459939037362</v>
      </c>
      <c r="BJ86" s="547">
        <f>'Hilfstabellen_Mat&amp;Bem'!$J$57</f>
        <v>3.4</v>
      </c>
      <c r="BK86" s="546">
        <f t="shared" si="82"/>
        <v>138</v>
      </c>
      <c r="BL86" s="551">
        <f t="shared" si="83"/>
        <v>85.347431097596839</v>
      </c>
      <c r="BM86" s="553">
        <f>BL86/PI()*SQRT('Hilfstabellen_Mat&amp;Bem'!f.Rd.3/'Hilfstabellen_Mat&amp;Bem'!$BD$30)</f>
        <v>1.3583465539377484</v>
      </c>
      <c r="BN86" s="553">
        <f>0.5*(1+'Hilfstabellen_Mat&amp;Bem'!$BD$31*(BM86-0.3)+BM86^2)</f>
        <v>1.4754700079941656</v>
      </c>
      <c r="BO86" s="550">
        <f t="shared" si="84"/>
        <v>0.48742844601391921</v>
      </c>
      <c r="BQ86" s="551">
        <f t="shared" si="85"/>
        <v>9282.587325889077</v>
      </c>
      <c r="BT86" s="547">
        <f>'Hilfstabellen_Mat&amp;Bem'!$J$58</f>
        <v>3.5</v>
      </c>
      <c r="BU86" s="546">
        <f t="shared" si="86"/>
        <v>138</v>
      </c>
      <c r="BV86" s="551">
        <f t="shared" si="87"/>
        <v>87.857649659290871</v>
      </c>
      <c r="BW86" s="553">
        <f>BV86/PI()*SQRT('Hilfstabellen_Mat&amp;Bem'!f.Rd.3/'Hilfstabellen_Mat&amp;Bem'!$BD$30)</f>
        <v>1.3982979231712118</v>
      </c>
      <c r="BX86" s="553">
        <f>0.5*(1+'Hilfstabellen_Mat&amp;Bem'!$BD$31*(BW86-0.3)+BW86^2)</f>
        <v>1.5325334371310229</v>
      </c>
      <c r="BY86" s="550">
        <f t="shared" si="88"/>
        <v>0.4630129576243685</v>
      </c>
      <c r="CA86" s="551">
        <f t="shared" si="89"/>
        <v>8817.6187649984731</v>
      </c>
      <c r="CD86" s="547">
        <f>'Hilfstabellen_Mat&amp;Bem'!$J$59</f>
        <v>3.6</v>
      </c>
      <c r="CE86" s="546">
        <f t="shared" si="90"/>
        <v>138</v>
      </c>
      <c r="CF86" s="551">
        <f t="shared" si="91"/>
        <v>90.367868220984889</v>
      </c>
      <c r="CG86" s="553">
        <f>CF86/PI()*SQRT('Hilfstabellen_Mat&amp;Bem'!f.Rd.3/'Hilfstabellen_Mat&amp;Bem'!$BD$30)</f>
        <v>1.4382492924046748</v>
      </c>
      <c r="CH86" s="553">
        <f>0.5*(1+'Hilfstabellen_Mat&amp;Bem'!$BD$31*(CG86-0.3)+CG86^2)</f>
        <v>1.5911929781715075</v>
      </c>
      <c r="CI86" s="550">
        <f t="shared" si="92"/>
        <v>0.44016420062294831</v>
      </c>
      <c r="CK86" s="551">
        <f t="shared" si="93"/>
        <v>8382.4870366634277</v>
      </c>
      <c r="CN86" s="547">
        <f>'Hilfstabellen_Mat&amp;Bem'!$J$60</f>
        <v>3.7</v>
      </c>
      <c r="CO86" s="546">
        <f t="shared" si="94"/>
        <v>138</v>
      </c>
      <c r="CP86" s="551">
        <f t="shared" si="95"/>
        <v>92.87808678267892</v>
      </c>
      <c r="CQ86" s="553">
        <f>CP86/PI()*SQRT('Hilfstabellen_Mat&amp;Bem'!f.Rd.3/'Hilfstabellen_Mat&amp;Bem'!$BD$30)</f>
        <v>1.4782006616381382</v>
      </c>
      <c r="CR86" s="553">
        <f>0.5*(1+'Hilfstabellen_Mat&amp;Bem'!$BD$31*(CQ86-0.3)+CQ86^2)</f>
        <v>1.6514486311156218</v>
      </c>
      <c r="CS86" s="550">
        <f t="shared" si="96"/>
        <v>0.41879649121082513</v>
      </c>
      <c r="CU86" s="551">
        <f t="shared" si="97"/>
        <v>7975.560378618954</v>
      </c>
      <c r="CX86" s="547">
        <f>'Hilfstabellen_Mat&amp;Bem'!$J$61</f>
        <v>3.8</v>
      </c>
      <c r="CY86" s="546">
        <f t="shared" si="98"/>
        <v>138</v>
      </c>
      <c r="CZ86" s="551">
        <f t="shared" si="99"/>
        <v>95.388305344372952</v>
      </c>
      <c r="DA86" s="553">
        <f>CZ86/PI()*SQRT('Hilfstabellen_Mat&amp;Bem'!f.Rd.3/'Hilfstabellen_Mat&amp;Bem'!$BD$30)</f>
        <v>1.5181520308716014</v>
      </c>
      <c r="DB86" s="553">
        <f>0.5*(1+'Hilfstabellen_Mat&amp;Bem'!$BD$31*(DA86-0.3)+DA86^2)</f>
        <v>1.7133003959633641</v>
      </c>
      <c r="DC86" s="550">
        <f t="shared" si="100"/>
        <v>0.39881764387725915</v>
      </c>
      <c r="DE86" s="551">
        <f t="shared" si="101"/>
        <v>7595.0832099985237</v>
      </c>
      <c r="DH86" s="547">
        <f>'Hilfstabellen_Mat&amp;Bem'!$J$62</f>
        <v>3.9</v>
      </c>
      <c r="DI86" s="546">
        <f t="shared" si="102"/>
        <v>138</v>
      </c>
      <c r="DJ86" s="551">
        <f t="shared" si="103"/>
        <v>97.89852390606697</v>
      </c>
      <c r="DK86" s="553">
        <f>DJ86/PI()*SQRT('Hilfstabellen_Mat&amp;Bem'!f.Rd.3/'Hilfstabellen_Mat&amp;Bem'!$BD$30)</f>
        <v>1.5581034001050647</v>
      </c>
      <c r="DL86" s="553">
        <f>0.5*(1+'Hilfstabellen_Mat&amp;Bem'!$BD$31*(DK86-0.3)+DK86^2)</f>
        <v>1.7767482727147348</v>
      </c>
      <c r="DM86" s="550">
        <f t="shared" si="104"/>
        <v>0.380134182349328</v>
      </c>
      <c r="DO86" s="551">
        <f t="shared" si="105"/>
        <v>7239.275368660602</v>
      </c>
      <c r="DR86" s="547">
        <f>'Hilfstabellen_Mat&amp;Bem'!$J$63</f>
        <v>4</v>
      </c>
      <c r="DS86" s="546">
        <f t="shared" si="106"/>
        <v>138</v>
      </c>
      <c r="DT86" s="551">
        <f t="shared" si="107"/>
        <v>100.408742467761</v>
      </c>
      <c r="DU86" s="553">
        <f>DT86/PI()*SQRT('Hilfstabellen_Mat&amp;Bem'!f.Rd.3/'Hilfstabellen_Mat&amp;Bem'!$BD$30)</f>
        <v>1.5980547693385279</v>
      </c>
      <c r="DV86" s="553">
        <f>0.5*(1+'Hilfstabellen_Mat&amp;Bem'!$BD$31*(DU86-0.3)+DU86^2)</f>
        <v>1.8417922613697342</v>
      </c>
      <c r="DW86" s="550">
        <f t="shared" si="108"/>
        <v>0.36265457675988183</v>
      </c>
      <c r="DY86" s="551">
        <f t="shared" si="109"/>
        <v>6906.3937598151897</v>
      </c>
      <c r="EB86" s="547">
        <f>'Hilfstabellen_Mat&amp;Bem'!$J$64</f>
        <v>4.0999999999999996</v>
      </c>
      <c r="EC86" s="546">
        <f t="shared" si="110"/>
        <v>138</v>
      </c>
      <c r="ED86" s="551">
        <f t="shared" si="111"/>
        <v>102.91896102945502</v>
      </c>
      <c r="EE86" s="553">
        <f>ED86/PI()*SQRT('Hilfstabellen_Mat&amp;Bem'!f.Rd.3/'Hilfstabellen_Mat&amp;Bem'!$BD$30)</f>
        <v>1.6380061385719911</v>
      </c>
      <c r="EF86" s="553">
        <f>0.5*(1+'Hilfstabellen_Mat&amp;Bem'!$BD$31*(EE86-0.3)+EE86^2)</f>
        <v>1.9084323619283621</v>
      </c>
      <c r="EG86" s="550">
        <f t="shared" si="112"/>
        <v>0.34629116444933389</v>
      </c>
      <c r="EI86" s="551">
        <f t="shared" si="113"/>
        <v>6594.7689357731142</v>
      </c>
      <c r="EL86" s="547">
        <f>'Hilfstabellen_Mat&amp;Bem'!$J$65</f>
        <v>4.2</v>
      </c>
      <c r="EM86" s="546">
        <f t="shared" si="114"/>
        <v>138</v>
      </c>
      <c r="EN86" s="551">
        <f t="shared" si="115"/>
        <v>105.42917959114905</v>
      </c>
      <c r="EO86" s="553">
        <f>EN86/PI()*SQRT('Hilfstabellen_Mat&amp;Bem'!f.Rd.3/'Hilfstabellen_Mat&amp;Bem'!$BD$30)</f>
        <v>1.6779575078054543</v>
      </c>
      <c r="EP86" s="553">
        <f>0.5*(1+'Hilfstabellen_Mat&amp;Bem'!$BD$31*(EO86-0.3)+EO86^2)</f>
        <v>1.9766685743906183</v>
      </c>
      <c r="EQ86" s="550">
        <f t="shared" si="116"/>
        <v>0.33096120464649736</v>
      </c>
      <c r="ES86" s="551">
        <f t="shared" si="117"/>
        <v>6302.8251812878962</v>
      </c>
    </row>
    <row r="87" spans="3:149">
      <c r="C87" s="546">
        <v>139</v>
      </c>
      <c r="D87" s="551">
        <f t="shared" si="72"/>
        <v>69.780464189825267</v>
      </c>
      <c r="E87" s="553">
        <f>$D87/PI()*SQRT('Hilfstabellen_Mat&amp;Bem'!f.Rd.3/'Hilfstabellen_Mat&amp;Bem'!$BD$30)</f>
        <v>1.1105905807057681</v>
      </c>
      <c r="F87" s="553">
        <f>0.5*(1+'Hilfstabellen_Mat&amp;Bem'!$BD$31*($E87-0.3)+$E87^2)</f>
        <v>1.157235248011476</v>
      </c>
      <c r="G87" s="550">
        <f t="shared" si="73"/>
        <v>0.67454687252313184</v>
      </c>
      <c r="I87" s="551">
        <f t="shared" si="118"/>
        <v>13032.920124019431</v>
      </c>
      <c r="M87" s="546">
        <f t="shared" si="74"/>
        <v>139</v>
      </c>
      <c r="N87" s="551">
        <f t="shared" si="64"/>
        <v>72.27262362517618</v>
      </c>
      <c r="O87" s="553">
        <f>$N87/PI()*SQRT('Hilfstabellen_Mat&amp;Bem'!f.Rd.3/'Hilfstabellen_Mat&amp;Bem'!$BD$30)</f>
        <v>1.1502545300166886</v>
      </c>
      <c r="P87" s="553">
        <f>0.5*(1+'Hilfstabellen_Mat&amp;Bem'!$BD$31*($O87-0.3)+$O87^2)</f>
        <v>1.2040554684127911</v>
      </c>
      <c r="Q87" s="550">
        <f t="shared" si="65"/>
        <v>0.64104435748898103</v>
      </c>
      <c r="S87" s="551">
        <f t="shared" si="119"/>
        <v>12385.618031044603</v>
      </c>
      <c r="W87" s="546">
        <f t="shared" si="75"/>
        <v>139</v>
      </c>
      <c r="X87" s="551">
        <f t="shared" si="66"/>
        <v>74.76478306052708</v>
      </c>
      <c r="Y87" s="553">
        <f>$X87/PI()*SQRT('Hilfstabellen_Mat&amp;Bem'!f.Rd.3/'Hilfstabellen_Mat&amp;Bem'!$BD$30)</f>
        <v>1.189918479327609</v>
      </c>
      <c r="Z87" s="553">
        <f>0.5*(1+'Hilfstabellen_Mat&amp;Bem'!$BD$31*($Y87-0.3)+$Y87^2)</f>
        <v>1.2524489176890452</v>
      </c>
      <c r="AA87" s="550">
        <f t="shared" si="67"/>
        <v>0.60855163698261117</v>
      </c>
      <c r="AC87" s="551">
        <f t="shared" si="120"/>
        <v>11757.826178141031</v>
      </c>
      <c r="AG87" s="546">
        <f t="shared" si="76"/>
        <v>139</v>
      </c>
      <c r="AH87" s="551">
        <f t="shared" si="68"/>
        <v>77.256942495877979</v>
      </c>
      <c r="AI87" s="553">
        <f>$AH87/PI()*SQRT('Hilfstabellen_Mat&amp;Bem'!f.Rd.3/'Hilfstabellen_Mat&amp;Bem'!$BD$30)</f>
        <v>1.2295824286385291</v>
      </c>
      <c r="AJ87" s="553">
        <f>0.5*(1+'Hilfstabellen_Mat&amp;Bem'!$BD$31*($AI87-0.3)+$AI87^2)</f>
        <v>1.3024155958402381</v>
      </c>
      <c r="AK87" s="550">
        <f t="shared" si="69"/>
        <v>0.57741739603832132</v>
      </c>
      <c r="AM87" s="551">
        <f t="shared" si="121"/>
        <v>11156.281508856406</v>
      </c>
      <c r="AQ87" s="546">
        <f t="shared" si="77"/>
        <v>139</v>
      </c>
      <c r="AR87" s="551">
        <f t="shared" si="70"/>
        <v>79.749101931228878</v>
      </c>
      <c r="AS87" s="553">
        <f>$AR87/PI()*SQRT('Hilfstabellen_Mat&amp;Bem'!f.Rd.3/'Hilfstabellen_Mat&amp;Bem'!$BD$30)</f>
        <v>1.2692463779494494</v>
      </c>
      <c r="AT87" s="553">
        <f>0.5*(1+'Hilfstabellen_Mat&amp;Bem'!$BD$31*($AS87-0.3)+$AS87^2)</f>
        <v>1.3539555028663708</v>
      </c>
      <c r="AU87" s="550">
        <f t="shared" si="71"/>
        <v>0.54784129778311053</v>
      </c>
      <c r="AW87" s="551">
        <f t="shared" si="122"/>
        <v>10584.841714467479</v>
      </c>
      <c r="AZ87" s="547">
        <f>'Hilfstabellen_Mat&amp;Bem'!$J$56</f>
        <v>3.3</v>
      </c>
      <c r="BA87" s="546">
        <f t="shared" si="78"/>
        <v>139</v>
      </c>
      <c r="BB87" s="551">
        <f t="shared" si="79"/>
        <v>82.241261366579792</v>
      </c>
      <c r="BC87" s="553">
        <f>BB87/PI()*SQRT('Hilfstabellen_Mat&amp;Bem'!f.Rd.3/'Hilfstabellen_Mat&amp;Bem'!$BD$30)</f>
        <v>1.3089103272603699</v>
      </c>
      <c r="BD87" s="553">
        <f>0.5*(1+'Hilfstabellen_Mat&amp;Bem'!$BD$31*(BC87-0.3)+BC87^2)</f>
        <v>1.4070686387674429</v>
      </c>
      <c r="BE87" s="550">
        <f t="shared" si="80"/>
        <v>0.51991322143676511</v>
      </c>
      <c r="BG87" s="551">
        <f t="shared" si="81"/>
        <v>10045.243351379739</v>
      </c>
      <c r="BJ87" s="547">
        <f>'Hilfstabellen_Mat&amp;Bem'!$J$57</f>
        <v>3.4</v>
      </c>
      <c r="BK87" s="546">
        <f t="shared" si="82"/>
        <v>139</v>
      </c>
      <c r="BL87" s="551">
        <f t="shared" si="83"/>
        <v>84.733420801930691</v>
      </c>
      <c r="BM87" s="553">
        <f>BL87/PI()*SQRT('Hilfstabellen_Mat&amp;Bem'!f.Rd.3/'Hilfstabellen_Mat&amp;Bem'!$BD$30)</f>
        <v>1.34857427657129</v>
      </c>
      <c r="BN87" s="553">
        <f>0.5*(1+'Hilfstabellen_Mat&amp;Bem'!$BD$31*(BM87-0.3)+BM87^2)</f>
        <v>1.4617550035434537</v>
      </c>
      <c r="BO87" s="550">
        <f t="shared" si="84"/>
        <v>0.49364762278361973</v>
      </c>
      <c r="BQ87" s="551">
        <f t="shared" si="85"/>
        <v>9537.7657198023171</v>
      </c>
      <c r="BT87" s="547">
        <f>'Hilfstabellen_Mat&amp;Bem'!$J$58</f>
        <v>3.5</v>
      </c>
      <c r="BU87" s="546">
        <f t="shared" si="86"/>
        <v>139</v>
      </c>
      <c r="BV87" s="551">
        <f t="shared" si="87"/>
        <v>87.225580237281591</v>
      </c>
      <c r="BW87" s="553">
        <f>BV87/PI()*SQRT('Hilfstabellen_Mat&amp;Bem'!f.Rd.3/'Hilfstabellen_Mat&amp;Bem'!$BD$30)</f>
        <v>1.3882382258822104</v>
      </c>
      <c r="BX87" s="553">
        <f>0.5*(1+'Hilfstabellen_Mat&amp;Bem'!$BD$31*(BW87-0.3)+BW87^2)</f>
        <v>1.5180145971944039</v>
      </c>
      <c r="BY87" s="550">
        <f t="shared" si="88"/>
        <v>0.46901003721117507</v>
      </c>
      <c r="CA87" s="551">
        <f t="shared" si="89"/>
        <v>9061.7429289571137</v>
      </c>
      <c r="CD87" s="547">
        <f>'Hilfstabellen_Mat&amp;Bem'!$J$59</f>
        <v>3.6</v>
      </c>
      <c r="CE87" s="546">
        <f t="shared" si="90"/>
        <v>139</v>
      </c>
      <c r="CF87" s="551">
        <f t="shared" si="91"/>
        <v>89.71773967263249</v>
      </c>
      <c r="CG87" s="553">
        <f>CF87/PI()*SQRT('Hilfstabellen_Mat&amp;Bem'!f.Rd.3/'Hilfstabellen_Mat&amp;Bem'!$BD$30)</f>
        <v>1.4279021751931307</v>
      </c>
      <c r="CH87" s="553">
        <f>0.5*(1+'Hilfstabellen_Mat&amp;Bem'!$BD$31*(CG87-0.3)+CG87^2)</f>
        <v>1.5758474197202936</v>
      </c>
      <c r="CI87" s="550">
        <f t="shared" si="92"/>
        <v>0.44593612992107229</v>
      </c>
      <c r="CK87" s="551">
        <f t="shared" si="93"/>
        <v>8615.9319662050384</v>
      </c>
      <c r="CN87" s="547">
        <f>'Hilfstabellen_Mat&amp;Bem'!$J$60</f>
        <v>3.7</v>
      </c>
      <c r="CO87" s="546">
        <f t="shared" si="94"/>
        <v>139</v>
      </c>
      <c r="CP87" s="551">
        <f t="shared" si="95"/>
        <v>92.209899107983389</v>
      </c>
      <c r="CQ87" s="553">
        <f>CP87/PI()*SQRT('Hilfstabellen_Mat&amp;Bem'!f.Rd.3/'Hilfstabellen_Mat&amp;Bem'!$BD$30)</f>
        <v>1.4675661245040508</v>
      </c>
      <c r="CR87" s="553">
        <f>0.5*(1+'Hilfstabellen_Mat&amp;Bem'!$BD$31*(CQ87-0.3)+CQ87^2)</f>
        <v>1.6352534711211222</v>
      </c>
      <c r="CS87" s="550">
        <f t="shared" si="96"/>
        <v>0.42434479789115342</v>
      </c>
      <c r="CU87" s="551">
        <f t="shared" si="97"/>
        <v>8198.7658400549753</v>
      </c>
      <c r="CX87" s="547">
        <f>'Hilfstabellen_Mat&amp;Bem'!$J$61</f>
        <v>3.8</v>
      </c>
      <c r="CY87" s="546">
        <f t="shared" si="98"/>
        <v>139</v>
      </c>
      <c r="CZ87" s="551">
        <f t="shared" si="99"/>
        <v>94.702058543334289</v>
      </c>
      <c r="DA87" s="553">
        <f>CZ87/PI()*SQRT('Hilfstabellen_Mat&amp;Bem'!f.Rd.3/'Hilfstabellen_Mat&amp;Bem'!$BD$30)</f>
        <v>1.5072300738149711</v>
      </c>
      <c r="DB87" s="553">
        <f>0.5*(1+'Hilfstabellen_Mat&amp;Bem'!$BD$31*(DA87-0.3)+DA87^2)</f>
        <v>1.6962327513968902</v>
      </c>
      <c r="DC87" s="550">
        <f t="shared" si="100"/>
        <v>0.40414690049692009</v>
      </c>
      <c r="DE87" s="551">
        <f t="shared" si="101"/>
        <v>7808.5222645009935</v>
      </c>
      <c r="DH87" s="547">
        <f>'Hilfstabellen_Mat&amp;Bem'!$J$62</f>
        <v>3.9</v>
      </c>
      <c r="DI87" s="546">
        <f t="shared" si="102"/>
        <v>139</v>
      </c>
      <c r="DJ87" s="551">
        <f t="shared" si="103"/>
        <v>97.194217978685188</v>
      </c>
      <c r="DK87" s="553">
        <f>DJ87/PI()*SQRT('Hilfstabellen_Mat&amp;Bem'!f.Rd.3/'Hilfstabellen_Mat&amp;Bem'!$BD$30)</f>
        <v>1.5468940231258914</v>
      </c>
      <c r="DL87" s="553">
        <f>0.5*(1+'Hilfstabellen_Mat&amp;Bem'!$BD$31*(DK87-0.3)+DK87^2)</f>
        <v>1.7587852605475975</v>
      </c>
      <c r="DM87" s="550">
        <f t="shared" si="104"/>
        <v>0.38525091988345395</v>
      </c>
      <c r="DO87" s="551">
        <f t="shared" si="105"/>
        <v>7443.4330230682135</v>
      </c>
      <c r="DR87" s="547">
        <f>'Hilfstabellen_Mat&amp;Bem'!$J$63</f>
        <v>4</v>
      </c>
      <c r="DS87" s="546">
        <f t="shared" si="106"/>
        <v>139</v>
      </c>
      <c r="DT87" s="551">
        <f t="shared" si="107"/>
        <v>99.686377414036087</v>
      </c>
      <c r="DU87" s="553">
        <f>DT87/PI()*SQRT('Hilfstabellen_Mat&amp;Bem'!f.Rd.3/'Hilfstabellen_Mat&amp;Bem'!$BD$30)</f>
        <v>1.5865579724368115</v>
      </c>
      <c r="DV87" s="553">
        <f>0.5*(1+'Hilfstabellen_Mat&amp;Bem'!$BD$31*(DU87-0.3)+DU87^2)</f>
        <v>1.8229109985732437</v>
      </c>
      <c r="DW87" s="550">
        <f t="shared" si="108"/>
        <v>0.36756652249895727</v>
      </c>
      <c r="DY87" s="551">
        <f t="shared" si="109"/>
        <v>7101.7527812023536</v>
      </c>
      <c r="EB87" s="547">
        <f>'Hilfstabellen_Mat&amp;Bem'!$J$64</f>
        <v>4.0999999999999996</v>
      </c>
      <c r="EC87" s="546">
        <f t="shared" si="110"/>
        <v>139</v>
      </c>
      <c r="ED87" s="551">
        <f t="shared" si="111"/>
        <v>102.178536849387</v>
      </c>
      <c r="EE87" s="553">
        <f>ED87/PI()*SQRT('Hilfstabellen_Mat&amp;Bem'!f.Rd.3/'Hilfstabellen_Mat&amp;Bem'!$BD$30)</f>
        <v>1.6262219217477321</v>
      </c>
      <c r="EF87" s="553">
        <f>0.5*(1+'Hilfstabellen_Mat&amp;Bem'!$BD$31*(EE87-0.3)+EE87^2)</f>
        <v>1.88860996547383</v>
      </c>
      <c r="EG87" s="550">
        <f t="shared" si="112"/>
        <v>0.351006711245053</v>
      </c>
      <c r="EI87" s="551">
        <f t="shared" si="113"/>
        <v>6781.8006679656692</v>
      </c>
      <c r="EL87" s="547">
        <f>'Hilfstabellen_Mat&amp;Bem'!$J$65</f>
        <v>4.2</v>
      </c>
      <c r="EM87" s="546">
        <f t="shared" si="114"/>
        <v>139</v>
      </c>
      <c r="EN87" s="551">
        <f t="shared" si="115"/>
        <v>104.6706962847379</v>
      </c>
      <c r="EO87" s="553">
        <f>EN87/PI()*SQRT('Hilfstabellen_Mat&amp;Bem'!f.Rd.3/'Hilfstabellen_Mat&amp;Bem'!$BD$30)</f>
        <v>1.6658858710586522</v>
      </c>
      <c r="EP87" s="553">
        <f>0.5*(1+'Hilfstabellen_Mat&amp;Bem'!$BD$31*(EO87-0.3)+EO87^2)</f>
        <v>1.9558821612493547</v>
      </c>
      <c r="EQ87" s="550">
        <f t="shared" si="116"/>
        <v>0.33548904417400427</v>
      </c>
      <c r="ES87" s="551">
        <f t="shared" si="117"/>
        <v>6481.9838224859368</v>
      </c>
    </row>
    <row r="88" spans="3:149">
      <c r="C88" s="546">
        <v>140</v>
      </c>
      <c r="D88" s="551">
        <f t="shared" si="72"/>
        <v>69.282032302755084</v>
      </c>
      <c r="E88" s="553">
        <f>$D88/PI()*SQRT('Hilfstabellen_Mat&amp;Bem'!f.Rd.3/'Hilfstabellen_Mat&amp;Bem'!$BD$30)</f>
        <v>1.102657790843584</v>
      </c>
      <c r="F88" s="553">
        <f>0.5*(1+'Hilfstabellen_Mat&amp;Bem'!$BD$31*($E88-0.3)+$E88^2)</f>
        <v>1.1480599913962055</v>
      </c>
      <c r="G88" s="550">
        <f t="shared" si="73"/>
        <v>0.68132521956793579</v>
      </c>
      <c r="I88" s="551">
        <f t="shared" si="118"/>
        <v>13353.974303531542</v>
      </c>
      <c r="M88" s="546">
        <f t="shared" si="74"/>
        <v>140</v>
      </c>
      <c r="N88" s="551">
        <f t="shared" si="64"/>
        <v>71.756390599282057</v>
      </c>
      <c r="O88" s="553">
        <f>$N88/PI()*SQRT('Hilfstabellen_Mat&amp;Bem'!f.Rd.3/'Hilfstabellen_Mat&amp;Bem'!$BD$30)</f>
        <v>1.1420384262308552</v>
      </c>
      <c r="P88" s="553">
        <f>0.5*(1+'Hilfstabellen_Mat&amp;Bem'!$BD$31*($O88-0.3)+$O88^2)</f>
        <v>1.1942278048054669</v>
      </c>
      <c r="Q88" s="550">
        <f t="shared" si="65"/>
        <v>0.64791593176489992</v>
      </c>
      <c r="S88" s="551">
        <f t="shared" si="119"/>
        <v>12699.152262592039</v>
      </c>
      <c r="W88" s="546">
        <f t="shared" si="75"/>
        <v>140</v>
      </c>
      <c r="X88" s="551">
        <f t="shared" si="66"/>
        <v>74.230748895809015</v>
      </c>
      <c r="Y88" s="553">
        <f>$X88/PI()*SQRT('Hilfstabellen_Mat&amp;Bem'!f.Rd.3/'Hilfstabellen_Mat&amp;Bem'!$BD$30)</f>
        <v>1.1814190616181257</v>
      </c>
      <c r="Z88" s="553">
        <f>0.5*(1+'Hilfstabellen_Mat&amp;Bem'!$BD$31*($Y88-0.3)+$Y88^2)</f>
        <v>1.2419464526582327</v>
      </c>
      <c r="AA88" s="550">
        <f t="shared" si="67"/>
        <v>0.61540934808505643</v>
      </c>
      <c r="AC88" s="551">
        <f t="shared" si="120"/>
        <v>12062.023222467105</v>
      </c>
      <c r="AG88" s="546">
        <f t="shared" si="76"/>
        <v>140</v>
      </c>
      <c r="AH88" s="551">
        <f t="shared" si="68"/>
        <v>76.705107192335987</v>
      </c>
      <c r="AI88" s="553">
        <f>$AH88/PI()*SQRT('Hilfstabellen_Mat&amp;Bem'!f.Rd.3/'Hilfstabellen_Mat&amp;Bem'!$BD$30)</f>
        <v>1.2207996970053967</v>
      </c>
      <c r="AJ88" s="553">
        <f>0.5*(1+'Hilfstabellen_Mat&amp;Bem'!$BD$31*($AI88-0.3)+$AI88^2)</f>
        <v>1.291215934954504</v>
      </c>
      <c r="AK88" s="550">
        <f t="shared" si="69"/>
        <v>0.58418212537745373</v>
      </c>
      <c r="AM88" s="551">
        <f t="shared" si="121"/>
        <v>11449.969657398093</v>
      </c>
      <c r="AQ88" s="546">
        <f t="shared" si="77"/>
        <v>140</v>
      </c>
      <c r="AR88" s="551">
        <f t="shared" si="70"/>
        <v>79.179465488862959</v>
      </c>
      <c r="AS88" s="553">
        <f>$AR88/PI()*SQRT('Hilfstabellen_Mat&amp;Bem'!f.Rd.3/'Hilfstabellen_Mat&amp;Bem'!$BD$30)</f>
        <v>1.2601803323926677</v>
      </c>
      <c r="AT88" s="553">
        <f>0.5*(1+'Hilfstabellen_Mat&amp;Bem'!$BD$31*($AS88-0.3)+$AS88^2)</f>
        <v>1.3420362516942808</v>
      </c>
      <c r="AU88" s="550">
        <f t="shared" si="71"/>
        <v>0.55445807287425108</v>
      </c>
      <c r="AW88" s="551">
        <f t="shared" si="122"/>
        <v>10867.378228335321</v>
      </c>
      <c r="AZ88" s="547">
        <f>'Hilfstabellen_Mat&amp;Bem'!$J$56</f>
        <v>3.3</v>
      </c>
      <c r="BA88" s="546">
        <f t="shared" si="78"/>
        <v>140</v>
      </c>
      <c r="BB88" s="551">
        <f t="shared" si="79"/>
        <v>81.653823785389932</v>
      </c>
      <c r="BC88" s="553">
        <f>BB88/PI()*SQRT('Hilfstabellen_Mat&amp;Bem'!f.Rd.3/'Hilfstabellen_Mat&amp;Bem'!$BD$30)</f>
        <v>1.2995609677799385</v>
      </c>
      <c r="BD88" s="553">
        <f>0.5*(1+'Hilfstabellen_Mat&amp;Bem'!$BD$31*(BC88-0.3)+BC88^2)</f>
        <v>1.3944074028775622</v>
      </c>
      <c r="BE88" s="550">
        <f t="shared" si="80"/>
        <v>0.52634608670669869</v>
      </c>
      <c r="BG88" s="551">
        <f t="shared" si="81"/>
        <v>10316.383299451294</v>
      </c>
      <c r="BJ88" s="547">
        <f>'Hilfstabellen_Mat&amp;Bem'!$J$57</f>
        <v>3.4</v>
      </c>
      <c r="BK88" s="546">
        <f t="shared" si="82"/>
        <v>140</v>
      </c>
      <c r="BL88" s="551">
        <f t="shared" si="83"/>
        <v>84.12818208191689</v>
      </c>
      <c r="BM88" s="553">
        <f>BL88/PI()*SQRT('Hilfstabellen_Mat&amp;Bem'!f.Rd.3/'Hilfstabellen_Mat&amp;Bem'!$BD$30)</f>
        <v>1.3389416031672092</v>
      </c>
      <c r="BN88" s="553">
        <f>0.5*(1+'Hilfstabellen_Mat&amp;Bem'!$BD$31*(BM88-0.3)+BM88^2)</f>
        <v>1.4483293885043487</v>
      </c>
      <c r="BO88" s="550">
        <f t="shared" si="84"/>
        <v>0.49987480119453281</v>
      </c>
      <c r="BQ88" s="551">
        <f t="shared" si="85"/>
        <v>9797.5461034128439</v>
      </c>
      <c r="BT88" s="547">
        <f>'Hilfstabellen_Mat&amp;Bem'!$J$58</f>
        <v>3.5</v>
      </c>
      <c r="BU88" s="546">
        <f t="shared" si="86"/>
        <v>140</v>
      </c>
      <c r="BV88" s="551">
        <f t="shared" si="87"/>
        <v>86.602540378443862</v>
      </c>
      <c r="BW88" s="553">
        <f>BV88/PI()*SQRT('Hilfstabellen_Mat&amp;Bem'!f.Rd.3/'Hilfstabellen_Mat&amp;Bem'!$BD$30)</f>
        <v>1.3783222385544802</v>
      </c>
      <c r="BX88" s="553">
        <f>0.5*(1+'Hilfstabellen_Mat&amp;Bem'!$BD$31*(BW88-0.3)+BW88^2)</f>
        <v>1.5038022085746408</v>
      </c>
      <c r="BY88" s="550">
        <f t="shared" si="88"/>
        <v>0.47501995619125226</v>
      </c>
      <c r="CA88" s="551">
        <f t="shared" si="89"/>
        <v>9310.3911413485439</v>
      </c>
      <c r="CD88" s="547">
        <f>'Hilfstabellen_Mat&amp;Bem'!$J$59</f>
        <v>3.6</v>
      </c>
      <c r="CE88" s="546">
        <f t="shared" si="90"/>
        <v>140</v>
      </c>
      <c r="CF88" s="551">
        <f t="shared" si="91"/>
        <v>89.076898674970835</v>
      </c>
      <c r="CG88" s="553">
        <f>CF88/PI()*SQRT('Hilfstabellen_Mat&amp;Bem'!f.Rd.3/'Hilfstabellen_Mat&amp;Bem'!$BD$30)</f>
        <v>1.4177028739417512</v>
      </c>
      <c r="CH88" s="553">
        <f>0.5*(1+'Hilfstabellen_Mat&amp;Bem'!$BD$31*(CG88-0.3)+CG88^2)</f>
        <v>1.560825863088438</v>
      </c>
      <c r="CI88" s="550">
        <f t="shared" si="92"/>
        <v>0.45172437735437948</v>
      </c>
      <c r="CK88" s="551">
        <f t="shared" si="93"/>
        <v>8853.7977961458382</v>
      </c>
      <c r="CN88" s="547">
        <f>'Hilfstabellen_Mat&amp;Bem'!$J$60</f>
        <v>3.7</v>
      </c>
      <c r="CO88" s="546">
        <f t="shared" si="94"/>
        <v>140</v>
      </c>
      <c r="CP88" s="551">
        <f t="shared" si="95"/>
        <v>91.551256971497793</v>
      </c>
      <c r="CQ88" s="553">
        <f>CP88/PI()*SQRT('Hilfstabellen_Mat&amp;Bem'!f.Rd.3/'Hilfstabellen_Mat&amp;Bem'!$BD$30)</f>
        <v>1.4570835093290218</v>
      </c>
      <c r="CR88" s="553">
        <f>0.5*(1+'Hilfstabellen_Mat&amp;Bem'!$BD$31*(CQ88-0.3)+CQ88^2)</f>
        <v>1.6194003520457398</v>
      </c>
      <c r="CS88" s="550">
        <f t="shared" si="96"/>
        <v>0.42991187873447134</v>
      </c>
      <c r="CU88" s="551">
        <f t="shared" si="97"/>
        <v>8426.2728231956389</v>
      </c>
      <c r="CX88" s="547">
        <f>'Hilfstabellen_Mat&amp;Bem'!$J$61</f>
        <v>3.8</v>
      </c>
      <c r="CY88" s="546">
        <f t="shared" si="98"/>
        <v>140</v>
      </c>
      <c r="CZ88" s="551">
        <f t="shared" si="99"/>
        <v>94.025615268024765</v>
      </c>
      <c r="DA88" s="553">
        <f>CZ88/PI()*SQRT('Hilfstabellen_Mat&amp;Bem'!f.Rd.3/'Hilfstabellen_Mat&amp;Bem'!$BD$30)</f>
        <v>1.4964641447162927</v>
      </c>
      <c r="DB88" s="553">
        <f>0.5*(1+'Hilfstabellen_Mat&amp;Bem'!$BD$31*(DA88-0.3)+DA88^2)</f>
        <v>1.6795256754465475</v>
      </c>
      <c r="DC88" s="550">
        <f t="shared" si="100"/>
        <v>0.40949661993615977</v>
      </c>
      <c r="DE88" s="551">
        <f t="shared" si="101"/>
        <v>8026.1337507487315</v>
      </c>
      <c r="DH88" s="547">
        <f>'Hilfstabellen_Mat&amp;Bem'!$J$62</f>
        <v>3.9</v>
      </c>
      <c r="DI88" s="546">
        <f t="shared" si="102"/>
        <v>140</v>
      </c>
      <c r="DJ88" s="551">
        <f t="shared" si="103"/>
        <v>96.499973564551738</v>
      </c>
      <c r="DK88" s="553">
        <f>DJ88/PI()*SQRT('Hilfstabellen_Mat&amp;Bem'!f.Rd.3/'Hilfstabellen_Mat&amp;Bem'!$BD$30)</f>
        <v>1.5358447801035637</v>
      </c>
      <c r="DL88" s="553">
        <f>0.5*(1+'Hilfstabellen_Mat&amp;Bem'!$BD$31*(DK88-0.3)+DK88^2)</f>
        <v>1.7412018332908601</v>
      </c>
      <c r="DM88" s="550">
        <f t="shared" si="104"/>
        <v>0.39038923371011269</v>
      </c>
      <c r="DO88" s="551">
        <f t="shared" si="105"/>
        <v>7651.6289807182084</v>
      </c>
      <c r="DR88" s="547">
        <f>'Hilfstabellen_Mat&amp;Bem'!$J$63</f>
        <v>4</v>
      </c>
      <c r="DS88" s="546">
        <f t="shared" si="106"/>
        <v>140</v>
      </c>
      <c r="DT88" s="551">
        <f t="shared" si="107"/>
        <v>98.974331861078696</v>
      </c>
      <c r="DU88" s="553">
        <f>DT88/PI()*SQRT('Hilfstabellen_Mat&amp;Bem'!f.Rd.3/'Hilfstabellen_Mat&amp;Bem'!$BD$30)</f>
        <v>1.5752254154908345</v>
      </c>
      <c r="DV88" s="553">
        <f>0.5*(1+'Hilfstabellen_Mat&amp;Bem'!$BD$31*(DU88-0.3)+DU88^2)</f>
        <v>1.804428825578678</v>
      </c>
      <c r="DW88" s="550">
        <f t="shared" si="108"/>
        <v>0.3725007270207823</v>
      </c>
      <c r="DY88" s="551">
        <f t="shared" si="109"/>
        <v>7301.0142496073331</v>
      </c>
      <c r="EB88" s="547">
        <f>'Hilfstabellen_Mat&amp;Bem'!$J$64</f>
        <v>4.0999999999999996</v>
      </c>
      <c r="EC88" s="546">
        <f t="shared" si="110"/>
        <v>140</v>
      </c>
      <c r="ED88" s="551">
        <f t="shared" si="111"/>
        <v>101.44869015760565</v>
      </c>
      <c r="EE88" s="553">
        <f>ED88/PI()*SQRT('Hilfstabellen_Mat&amp;Bem'!f.Rd.3/'Hilfstabellen_Mat&amp;Bem'!$BD$30)</f>
        <v>1.6146060508781053</v>
      </c>
      <c r="EF88" s="553">
        <f>0.5*(1+'Hilfstabellen_Mat&amp;Bem'!$BD$31*(EE88-0.3)+EE88^2)</f>
        <v>1.8692066523100004</v>
      </c>
      <c r="EG88" s="550">
        <f t="shared" si="112"/>
        <v>0.35574487654489223</v>
      </c>
      <c r="EI88" s="551">
        <f t="shared" si="113"/>
        <v>6972.599580279888</v>
      </c>
      <c r="EL88" s="547">
        <f>'Hilfstabellen_Mat&amp;Bem'!$J$65</f>
        <v>4.2</v>
      </c>
      <c r="EM88" s="546">
        <f t="shared" si="114"/>
        <v>140</v>
      </c>
      <c r="EN88" s="551">
        <f t="shared" si="115"/>
        <v>103.92304845413263</v>
      </c>
      <c r="EO88" s="553">
        <f>EN88/PI()*SQRT('Hilfstabellen_Mat&amp;Bem'!f.Rd.3/'Hilfstabellen_Mat&amp;Bem'!$BD$30)</f>
        <v>1.653986686265376</v>
      </c>
      <c r="EP88" s="553">
        <f>0.5*(1+'Hilfstabellen_Mat&amp;Bem'!$BD$31*(EO88-0.3)+EO88^2)</f>
        <v>1.9355353134848285</v>
      </c>
      <c r="EQ88" s="550">
        <f t="shared" si="116"/>
        <v>0.34003962053241865</v>
      </c>
      <c r="ES88" s="551">
        <f t="shared" si="117"/>
        <v>6664.7765624354051</v>
      </c>
    </row>
    <row r="89" spans="3:149">
      <c r="C89" s="546">
        <v>141</v>
      </c>
      <c r="D89" s="551">
        <f t="shared" si="72"/>
        <v>68.79067037152987</v>
      </c>
      <c r="E89" s="553">
        <f>$D89/PI()*SQRT('Hilfstabellen_Mat&amp;Bem'!f.Rd.3/'Hilfstabellen_Mat&amp;Bem'!$BD$30)</f>
        <v>1.0948375228234168</v>
      </c>
      <c r="F89" s="553">
        <f>0.5*(1+'Hilfstabellen_Mat&amp;Bem'!$BD$31*($E89-0.3)+$E89^2)</f>
        <v>1.1390764768322288</v>
      </c>
      <c r="G89" s="550">
        <f t="shared" si="73"/>
        <v>0.68802169727488727</v>
      </c>
      <c r="I89" s="551">
        <f t="shared" si="118"/>
        <v>13678.559363522034</v>
      </c>
      <c r="M89" s="546">
        <f t="shared" si="74"/>
        <v>141</v>
      </c>
      <c r="N89" s="551">
        <f t="shared" si="64"/>
        <v>71.247480027655939</v>
      </c>
      <c r="O89" s="553">
        <f>$N89/PI()*SQRT('Hilfstabellen_Mat&amp;Bem'!f.Rd.3/'Hilfstabellen_Mat&amp;Bem'!$BD$30)</f>
        <v>1.1339388629242533</v>
      </c>
      <c r="P89" s="553">
        <f>0.5*(1+'Hilfstabellen_Mat&amp;Bem'!$BD$31*($O89-0.3)+$O89^2)</f>
        <v>1.1846056155711868</v>
      </c>
      <c r="Q89" s="550">
        <f t="shared" si="65"/>
        <v>0.65472914972671403</v>
      </c>
      <c r="S89" s="551">
        <f t="shared" si="119"/>
        <v>13016.670225716802</v>
      </c>
      <c r="W89" s="546">
        <f t="shared" si="75"/>
        <v>141</v>
      </c>
      <c r="X89" s="551">
        <f t="shared" si="66"/>
        <v>73.704289683782008</v>
      </c>
      <c r="Y89" s="553">
        <f>$X89/PI()*SQRT('Hilfstabellen_Mat&amp;Bem'!f.Rd.3/'Hilfstabellen_Mat&amp;Bem'!$BD$30)</f>
        <v>1.1730402030250895</v>
      </c>
      <c r="Z89" s="553">
        <f>0.5*(1+'Hilfstabellen_Mat&amp;Bem'!$BD$31*($Y89-0.3)+$Y89^2)</f>
        <v>1.2316636691078262</v>
      </c>
      <c r="AA89" s="550">
        <f t="shared" si="67"/>
        <v>0.62222868994976976</v>
      </c>
      <c r="AC89" s="551">
        <f t="shared" si="120"/>
        <v>12370.528584891372</v>
      </c>
      <c r="AG89" s="546">
        <f t="shared" si="76"/>
        <v>141</v>
      </c>
      <c r="AH89" s="551">
        <f t="shared" si="68"/>
        <v>76.161099339908077</v>
      </c>
      <c r="AI89" s="553">
        <f>$AH89/PI()*SQRT('Hilfstabellen_Mat&amp;Bem'!f.Rd.3/'Hilfstabellen_Mat&amp;Bem'!$BD$30)</f>
        <v>1.2121415431259259</v>
      </c>
      <c r="AJ89" s="553">
        <f>0.5*(1+'Hilfstabellen_Mat&amp;Bem'!$BD$31*($AI89-0.3)+$AI89^2)</f>
        <v>1.2802506374421467</v>
      </c>
      <c r="AK89" s="550">
        <f t="shared" si="69"/>
        <v>0.59092453261235312</v>
      </c>
      <c r="AM89" s="551">
        <f t="shared" si="121"/>
        <v>11748.170632866193</v>
      </c>
      <c r="AQ89" s="546">
        <f t="shared" si="77"/>
        <v>141</v>
      </c>
      <c r="AR89" s="551">
        <f t="shared" si="70"/>
        <v>78.617908996034146</v>
      </c>
      <c r="AS89" s="553">
        <f>$AR89/PI()*SQRT('Hilfstabellen_Mat&amp;Bem'!f.Rd.3/'Hilfstabellen_Mat&amp;Bem'!$BD$30)</f>
        <v>1.2512428832267624</v>
      </c>
      <c r="AT89" s="553">
        <f>0.5*(1+'Hilfstabellen_Mat&amp;Bem'!$BD$31*($AS89-0.3)+$AS89^2)</f>
        <v>1.3303665205741488</v>
      </c>
      <c r="AU89" s="550">
        <f t="shared" si="71"/>
        <v>0.5610649502467393</v>
      </c>
      <c r="AW89" s="551">
        <f t="shared" si="122"/>
        <v>11154.532275855425</v>
      </c>
      <c r="AZ89" s="547">
        <f>'Hilfstabellen_Mat&amp;Bem'!$J$56</f>
        <v>3.3</v>
      </c>
      <c r="BA89" s="546">
        <f t="shared" si="78"/>
        <v>141</v>
      </c>
      <c r="BB89" s="551">
        <f t="shared" si="79"/>
        <v>81.074718652160215</v>
      </c>
      <c r="BC89" s="553">
        <f>BB89/PI()*SQRT('Hilfstabellen_Mat&amp;Bem'!f.Rd.3/'Hilfstabellen_Mat&amp;Bem'!$BD$30)</f>
        <v>1.2903442233275986</v>
      </c>
      <c r="BD89" s="553">
        <f>0.5*(1+'Hilfstabellen_Mat&amp;Bem'!$BD$31*(BC89-0.3)+BC89^2)</f>
        <v>1.3820113185038316</v>
      </c>
      <c r="BE89" s="550">
        <f t="shared" si="80"/>
        <v>0.53277844821973119</v>
      </c>
      <c r="BG89" s="551">
        <f t="shared" si="81"/>
        <v>10592.168329056476</v>
      </c>
      <c r="BJ89" s="547">
        <f>'Hilfstabellen_Mat&amp;Bem'!$J$57</f>
        <v>3.4</v>
      </c>
      <c r="BK89" s="546">
        <f t="shared" si="82"/>
        <v>141</v>
      </c>
      <c r="BL89" s="551">
        <f t="shared" si="83"/>
        <v>83.531528308286269</v>
      </c>
      <c r="BM89" s="553">
        <f>BL89/PI()*SQRT('Hilfstabellen_Mat&amp;Bem'!f.Rd.3/'Hilfstabellen_Mat&amp;Bem'!$BD$30)</f>
        <v>1.3294455634284346</v>
      </c>
      <c r="BN89" s="553">
        <f>0.5*(1+'Hilfstabellen_Mat&amp;Bem'!$BD$31*(BM89-0.3)+BM89^2)</f>
        <v>1.4351850312311956</v>
      </c>
      <c r="BO89" s="550">
        <f t="shared" si="84"/>
        <v>0.50610846096467643</v>
      </c>
      <c r="BQ89" s="551">
        <f t="shared" si="85"/>
        <v>10061.942312438732</v>
      </c>
      <c r="BT89" s="547">
        <f>'Hilfstabellen_Mat&amp;Bem'!$J$58</f>
        <v>3.5</v>
      </c>
      <c r="BU89" s="546">
        <f t="shared" si="86"/>
        <v>141</v>
      </c>
      <c r="BV89" s="551">
        <f t="shared" si="87"/>
        <v>85.988337964412338</v>
      </c>
      <c r="BW89" s="553">
        <f>BV89/PI()*SQRT('Hilfstabellen_Mat&amp;Bem'!f.Rd.3/'Hilfstabellen_Mat&amp;Bem'!$BD$30)</f>
        <v>1.368546903529271</v>
      </c>
      <c r="BX89" s="553">
        <f>0.5*(1+'Hilfstabellen_Mat&amp;Bem'!$BD$31*(BW89-0.3)+BW89^2)</f>
        <v>1.4898876587562415</v>
      </c>
      <c r="BY89" s="550">
        <f t="shared" si="88"/>
        <v>0.48104148018195697</v>
      </c>
      <c r="CA89" s="551">
        <f t="shared" si="89"/>
        <v>9563.5856674974857</v>
      </c>
      <c r="CD89" s="547">
        <f>'Hilfstabellen_Mat&amp;Bem'!$J$59</f>
        <v>3.6</v>
      </c>
      <c r="CE89" s="546">
        <f t="shared" si="90"/>
        <v>141</v>
      </c>
      <c r="CF89" s="551">
        <f t="shared" si="91"/>
        <v>88.445147620538407</v>
      </c>
      <c r="CG89" s="553">
        <f>CF89/PI()*SQRT('Hilfstabellen_Mat&amp;Bem'!f.Rd.3/'Hilfstabellen_Mat&amp;Bem'!$BD$30)</f>
        <v>1.4076482436301072</v>
      </c>
      <c r="CH89" s="553">
        <f>0.5*(1+'Hilfstabellen_Mat&amp;Bem'!$BD$31*(CG89-0.3)+CG89^2)</f>
        <v>1.5461192010789682</v>
      </c>
      <c r="CI89" s="550">
        <f t="shared" si="92"/>
        <v>0.45752793689707705</v>
      </c>
      <c r="CK89" s="551">
        <f t="shared" si="93"/>
        <v>9096.1129134507883</v>
      </c>
      <c r="CN89" s="547">
        <f>'Hilfstabellen_Mat&amp;Bem'!$J$60</f>
        <v>3.7</v>
      </c>
      <c r="CO89" s="546">
        <f t="shared" si="94"/>
        <v>141</v>
      </c>
      <c r="CP89" s="551">
        <f t="shared" si="95"/>
        <v>90.901957276664476</v>
      </c>
      <c r="CQ89" s="553">
        <f>CP89/PI()*SQRT('Hilfstabellen_Mat&amp;Bem'!f.Rd.3/'Hilfstabellen_Mat&amp;Bem'!$BD$30)</f>
        <v>1.4467495837309436</v>
      </c>
      <c r="CR89" s="553">
        <f>0.5*(1+'Hilfstabellen_Mat&amp;Bem'!$BD$31*(CQ89-0.3)+CQ89^2)</f>
        <v>1.6038796581993764</v>
      </c>
      <c r="CS89" s="550">
        <f t="shared" si="96"/>
        <v>0.43549690928687679</v>
      </c>
      <c r="CU89" s="551">
        <f t="shared" si="97"/>
        <v>8658.1140535323975</v>
      </c>
      <c r="CX89" s="547">
        <f>'Hilfstabellen_Mat&amp;Bem'!$J$61</f>
        <v>3.8</v>
      </c>
      <c r="CY89" s="546">
        <f t="shared" si="98"/>
        <v>141</v>
      </c>
      <c r="CZ89" s="551">
        <f t="shared" si="99"/>
        <v>93.358766932790545</v>
      </c>
      <c r="DA89" s="553">
        <f>CZ89/PI()*SQRT('Hilfstabellen_Mat&amp;Bem'!f.Rd.3/'Hilfstabellen_Mat&amp;Bem'!$BD$30)</f>
        <v>1.4858509238317801</v>
      </c>
      <c r="DB89" s="553">
        <f>0.5*(1+'Hilfstabellen_Mat&amp;Bem'!$BD$31*(DA89-0.3)+DA89^2)</f>
        <v>1.6631690301174662</v>
      </c>
      <c r="DC89" s="550">
        <f t="shared" si="100"/>
        <v>0.41486612214710067</v>
      </c>
      <c r="DE89" s="551">
        <f t="shared" si="101"/>
        <v>8247.9533744065084</v>
      </c>
      <c r="DH89" s="547">
        <f>'Hilfstabellen_Mat&amp;Bem'!$J$62</f>
        <v>3.9</v>
      </c>
      <c r="DI89" s="546">
        <f t="shared" si="102"/>
        <v>141</v>
      </c>
      <c r="DJ89" s="551">
        <f t="shared" si="103"/>
        <v>95.815576588916613</v>
      </c>
      <c r="DK89" s="553">
        <f>DJ89/PI()*SQRT('Hilfstabellen_Mat&amp;Bem'!f.Rd.3/'Hilfstabellen_Mat&amp;Bem'!$BD$30)</f>
        <v>1.5249522639326163</v>
      </c>
      <c r="DL89" s="553">
        <f>0.5*(1+'Hilfstabellen_Mat&amp;Bem'!$BD$31*(DK89-0.3)+DK89^2)</f>
        <v>1.7239873168332367</v>
      </c>
      <c r="DM89" s="550">
        <f t="shared" si="104"/>
        <v>0.39554855898797875</v>
      </c>
      <c r="DO89" s="551">
        <f t="shared" si="105"/>
        <v>7863.9009012400056</v>
      </c>
      <c r="DR89" s="547">
        <f>'Hilfstabellen_Mat&amp;Bem'!$J$63</f>
        <v>4</v>
      </c>
      <c r="DS89" s="546">
        <f t="shared" si="106"/>
        <v>141</v>
      </c>
      <c r="DT89" s="551">
        <f t="shared" si="107"/>
        <v>98.272386245042668</v>
      </c>
      <c r="DU89" s="553">
        <f>DT89/PI()*SQRT('Hilfstabellen_Mat&amp;Bem'!f.Rd.3/'Hilfstabellen_Mat&amp;Bem'!$BD$30)</f>
        <v>1.5640536040334525</v>
      </c>
      <c r="DV89" s="553">
        <f>0.5*(1+'Hilfstabellen_Mat&amp;Bem'!$BD$31*(DU89-0.3)+DU89^2)</f>
        <v>1.7863345183466888</v>
      </c>
      <c r="DW89" s="550">
        <f t="shared" si="108"/>
        <v>0.37745671784195112</v>
      </c>
      <c r="DY89" s="551">
        <f t="shared" si="109"/>
        <v>7504.2170074158303</v>
      </c>
      <c r="EB89" s="547">
        <f>'Hilfstabellen_Mat&amp;Bem'!$J$64</f>
        <v>4.0999999999999996</v>
      </c>
      <c r="EC89" s="546">
        <f t="shared" si="110"/>
        <v>141</v>
      </c>
      <c r="ED89" s="551">
        <f t="shared" si="111"/>
        <v>100.72919590116874</v>
      </c>
      <c r="EE89" s="553">
        <f>ED89/PI()*SQRT('Hilfstabellen_Mat&amp;Bem'!f.Rd.3/'Hilfstabellen_Mat&amp;Bem'!$BD$30)</f>
        <v>1.6031549441342889</v>
      </c>
      <c r="EF89" s="553">
        <f>0.5*(1+'Hilfstabellen_Mat&amp;Bem'!$BD$31*(EE89-0.3)+EE89^2)</f>
        <v>1.850210634657822</v>
      </c>
      <c r="EG89" s="550">
        <f t="shared" si="112"/>
        <v>0.36050526234012492</v>
      </c>
      <c r="EI89" s="551">
        <f t="shared" si="113"/>
        <v>7167.2051205840235</v>
      </c>
      <c r="EL89" s="547">
        <f>'Hilfstabellen_Mat&amp;Bem'!$J$65</f>
        <v>4.2</v>
      </c>
      <c r="EM89" s="546">
        <f t="shared" si="114"/>
        <v>141</v>
      </c>
      <c r="EN89" s="551">
        <f t="shared" si="115"/>
        <v>103.18600555729481</v>
      </c>
      <c r="EO89" s="553">
        <f>EN89/PI()*SQRT('Hilfstabellen_Mat&amp;Bem'!f.Rd.3/'Hilfstabellen_Mat&amp;Bem'!$BD$30)</f>
        <v>1.6422562842351252</v>
      </c>
      <c r="EP89" s="553">
        <f>0.5*(1+'Hilfstabellen_Mat&amp;Bem'!$BD$31*(EO89-0.3)+EO89^2)</f>
        <v>1.9156156657666363</v>
      </c>
      <c r="EQ89" s="550">
        <f t="shared" si="116"/>
        <v>0.34461259615100509</v>
      </c>
      <c r="ES89" s="551">
        <f t="shared" si="117"/>
        <v>6851.2430240781323</v>
      </c>
    </row>
    <row r="90" spans="3:149">
      <c r="C90" s="546">
        <v>142</v>
      </c>
      <c r="D90" s="551">
        <f t="shared" si="72"/>
        <v>68.306229030885291</v>
      </c>
      <c r="E90" s="553">
        <f>$D90/PI()*SQRT('Hilfstabellen_Mat&amp;Bem'!f.Rd.3/'Hilfstabellen_Mat&amp;Bem'!$BD$30)</f>
        <v>1.0871273994232518</v>
      </c>
      <c r="F90" s="553">
        <f>0.5*(1+'Hilfstabellen_Mat&amp;Bem'!$BD$31*($E90-0.3)+$E90^2)</f>
        <v>1.1302793612595439</v>
      </c>
      <c r="G90" s="550">
        <f t="shared" si="73"/>
        <v>0.69463256797828066</v>
      </c>
      <c r="I90" s="551">
        <f t="shared" si="118"/>
        <v>14006.571100714051</v>
      </c>
      <c r="M90" s="546">
        <f t="shared" si="74"/>
        <v>142</v>
      </c>
      <c r="N90" s="551">
        <f t="shared" si="64"/>
        <v>70.745737210559767</v>
      </c>
      <c r="O90" s="553">
        <f>$N90/PI()*SQRT('Hilfstabellen_Mat&amp;Bem'!f.Rd.3/'Hilfstabellen_Mat&amp;Bem'!$BD$30)</f>
        <v>1.1259533779740822</v>
      </c>
      <c r="P90" s="553">
        <f>0.5*(1+'Hilfstabellen_Mat&amp;Bem'!$BD$31*($O90-0.3)+$O90^2)</f>
        <v>1.1751831735843274</v>
      </c>
      <c r="Q90" s="550">
        <f t="shared" si="65"/>
        <v>0.66148031898496729</v>
      </c>
      <c r="S90" s="551">
        <f t="shared" si="119"/>
        <v>13338.089152012881</v>
      </c>
      <c r="W90" s="546">
        <f t="shared" si="75"/>
        <v>142</v>
      </c>
      <c r="X90" s="551">
        <f t="shared" si="66"/>
        <v>73.185245390234243</v>
      </c>
      <c r="Y90" s="553">
        <f>$X90/PI()*SQRT('Hilfstabellen_Mat&amp;Bem'!f.Rd.3/'Hilfstabellen_Mat&amp;Bem'!$BD$30)</f>
        <v>1.1647793565249127</v>
      </c>
      <c r="Z90" s="553">
        <f>0.5*(1+'Hilfstabellen_Mat&amp;Bem'!$BD$31*($Y90-0.3)+$Y90^2)</f>
        <v>1.2215944425195404</v>
      </c>
      <c r="AA90" s="550">
        <f t="shared" si="67"/>
        <v>0.62900633866970768</v>
      </c>
      <c r="AC90" s="551">
        <f t="shared" si="120"/>
        <v>12683.283812935986</v>
      </c>
      <c r="AG90" s="546">
        <f t="shared" si="76"/>
        <v>142</v>
      </c>
      <c r="AH90" s="551">
        <f t="shared" si="68"/>
        <v>75.624753569908719</v>
      </c>
      <c r="AI90" s="553">
        <f>$AH90/PI()*SQRT('Hilfstabellen_Mat&amp;Bem'!f.Rd.3/'Hilfstabellen_Mat&amp;Bem'!$BD$30)</f>
        <v>1.2036053350757432</v>
      </c>
      <c r="AJ90" s="553">
        <f>0.5*(1+'Hilfstabellen_Mat&amp;Bem'!$BD$31*($AI90-0.3)+$AI90^2)</f>
        <v>1.2695131680651832</v>
      </c>
      <c r="AK90" s="550">
        <f t="shared" si="69"/>
        <v>0.5976417788507602</v>
      </c>
      <c r="AM90" s="551">
        <f t="shared" si="121"/>
        <v>12050.848828746728</v>
      </c>
      <c r="AQ90" s="546">
        <f t="shared" si="77"/>
        <v>142</v>
      </c>
      <c r="AR90" s="551">
        <f t="shared" si="70"/>
        <v>78.064261749583196</v>
      </c>
      <c r="AS90" s="553">
        <f>$AR90/PI()*SQRT('Hilfstabellen_Mat&amp;Bem'!f.Rd.3/'Hilfstabellen_Mat&amp;Bem'!$BD$30)</f>
        <v>1.2424313136265737</v>
      </c>
      <c r="AT90" s="553">
        <f>0.5*(1+'Hilfstabellen_Mat&amp;Bem'!$BD$31*($AS90-0.3)+$AS90^2)</f>
        <v>1.3189393502212554</v>
      </c>
      <c r="AU90" s="550">
        <f t="shared" si="71"/>
        <v>0.5676595746219365</v>
      </c>
      <c r="AW90" s="551">
        <f t="shared" si="122"/>
        <v>11446.287662676728</v>
      </c>
      <c r="AZ90" s="547">
        <f>'Hilfstabellen_Mat&amp;Bem'!$J$56</f>
        <v>3.3</v>
      </c>
      <c r="BA90" s="546">
        <f t="shared" si="78"/>
        <v>142</v>
      </c>
      <c r="BB90" s="551">
        <f t="shared" si="79"/>
        <v>80.503769929257672</v>
      </c>
      <c r="BC90" s="553">
        <f>BB90/PI()*SQRT('Hilfstabellen_Mat&amp;Bem'!f.Rd.3/'Hilfstabellen_Mat&amp;Bem'!$BD$30)</f>
        <v>1.2812572921774041</v>
      </c>
      <c r="BD90" s="553">
        <f>0.5*(1+'Hilfstabellen_Mat&amp;Bem'!$BD$31*(BC90-0.3)+BC90^2)</f>
        <v>1.3698729889877572</v>
      </c>
      <c r="BE90" s="550">
        <f t="shared" si="80"/>
        <v>0.5392083803181813</v>
      </c>
      <c r="BG90" s="551">
        <f t="shared" si="81"/>
        <v>10872.597780735809</v>
      </c>
      <c r="BJ90" s="547">
        <f>'Hilfstabellen_Mat&amp;Bem'!$J$57</f>
        <v>3.4</v>
      </c>
      <c r="BK90" s="546">
        <f t="shared" si="82"/>
        <v>142</v>
      </c>
      <c r="BL90" s="551">
        <f t="shared" si="83"/>
        <v>82.943278108932148</v>
      </c>
      <c r="BM90" s="553">
        <f>BL90/PI()*SQRT('Hilfstabellen_Mat&amp;Bem'!f.Rd.3/'Hilfstabellen_Mat&amp;Bem'!$BD$30)</f>
        <v>1.3200832707282346</v>
      </c>
      <c r="BN90" s="553">
        <f>0.5*(1+'Hilfstabellen_Mat&amp;Bem'!$BD$31*(BM90-0.3)+BM90^2)</f>
        <v>1.4223140843646884</v>
      </c>
      <c r="BO90" s="550">
        <f t="shared" si="84"/>
        <v>0.51234703669340365</v>
      </c>
      <c r="BQ90" s="551">
        <f t="shared" si="85"/>
        <v>10330.965647885791</v>
      </c>
      <c r="BT90" s="547">
        <f>'Hilfstabellen_Mat&amp;Bem'!$J$58</f>
        <v>3.5</v>
      </c>
      <c r="BU90" s="546">
        <f t="shared" si="86"/>
        <v>142</v>
      </c>
      <c r="BV90" s="551">
        <f t="shared" si="87"/>
        <v>85.38278628860661</v>
      </c>
      <c r="BW90" s="553">
        <f>BV90/PI()*SQRT('Hilfstabellen_Mat&amp;Bem'!f.Rd.3/'Hilfstabellen_Mat&amp;Bem'!$BD$30)</f>
        <v>1.3589092492790646</v>
      </c>
      <c r="BX90" s="553">
        <f>0.5*(1+'Hilfstabellen_Mat&amp;Bem'!$BD$31*(BW90-0.3)+BW90^2)</f>
        <v>1.4762626363520488</v>
      </c>
      <c r="BY90" s="550">
        <f t="shared" si="88"/>
        <v>0.48707333694595734</v>
      </c>
      <c r="CA90" s="551">
        <f t="shared" si="89"/>
        <v>9821.3467661782834</v>
      </c>
      <c r="CD90" s="547">
        <f>'Hilfstabellen_Mat&amp;Bem'!$J$59</f>
        <v>3.6</v>
      </c>
      <c r="CE90" s="546">
        <f t="shared" si="90"/>
        <v>142</v>
      </c>
      <c r="CF90" s="551">
        <f t="shared" si="91"/>
        <v>87.8222944682811</v>
      </c>
      <c r="CG90" s="553">
        <f>CF90/PI()*SQRT('Hilfstabellen_Mat&amp;Bem'!f.Rd.3/'Hilfstabellen_Mat&amp;Bem'!$BD$30)</f>
        <v>1.3977352278298953</v>
      </c>
      <c r="CH90" s="553">
        <f>0.5*(1+'Hilfstabellen_Mat&amp;Bem'!$BD$31*(CG90-0.3)+CG90^2)</f>
        <v>1.5317186449498394</v>
      </c>
      <c r="CI90" s="550">
        <f t="shared" si="92"/>
        <v>0.46334577135415483</v>
      </c>
      <c r="CK90" s="551">
        <f t="shared" si="93"/>
        <v>9342.904133585178</v>
      </c>
      <c r="CN90" s="547">
        <f>'Hilfstabellen_Mat&amp;Bem'!$J$60</f>
        <v>3.7</v>
      </c>
      <c r="CO90" s="546">
        <f t="shared" si="94"/>
        <v>142</v>
      </c>
      <c r="CP90" s="551">
        <f t="shared" si="95"/>
        <v>90.261802647955577</v>
      </c>
      <c r="CQ90" s="553">
        <f>CP90/PI()*SQRT('Hilfstabellen_Mat&amp;Bem'!f.Rd.3/'Hilfstabellen_Mat&amp;Bem'!$BD$30)</f>
        <v>1.436561206380726</v>
      </c>
      <c r="CR90" s="553">
        <f>0.5*(1+'Hilfstabellen_Mat&amp;Bem'!$BD$31*(CQ90-0.3)+CQ90^2)</f>
        <v>1.5886821101580597</v>
      </c>
      <c r="CS90" s="550">
        <f t="shared" si="96"/>
        <v>0.4410990396579495</v>
      </c>
      <c r="CU90" s="551">
        <f t="shared" si="97"/>
        <v>8894.3210356628933</v>
      </c>
      <c r="CX90" s="547">
        <f>'Hilfstabellen_Mat&amp;Bem'!$J$61</f>
        <v>3.8</v>
      </c>
      <c r="CY90" s="546">
        <f t="shared" si="98"/>
        <v>142</v>
      </c>
      <c r="CZ90" s="551">
        <f t="shared" si="99"/>
        <v>92.701310827630053</v>
      </c>
      <c r="DA90" s="553">
        <f>CZ90/PI()*SQRT('Hilfstabellen_Mat&amp;Bem'!f.Rd.3/'Hilfstabellen_Mat&amp;Bem'!$BD$30)</f>
        <v>1.4753871849315563</v>
      </c>
      <c r="DB90" s="553">
        <f>0.5*(1+'Hilfstabellen_Mat&amp;Bem'!$BD$31*(DA90-0.3)+DA90^2)</f>
        <v>1.6471530319767091</v>
      </c>
      <c r="DC90" s="550">
        <f t="shared" si="100"/>
        <v>0.42025470638742313</v>
      </c>
      <c r="DE90" s="551">
        <f t="shared" si="101"/>
        <v>8474.0158995959991</v>
      </c>
      <c r="DH90" s="547">
        <f>'Hilfstabellen_Mat&amp;Bem'!$J$62</f>
        <v>3.9</v>
      </c>
      <c r="DI90" s="546">
        <f t="shared" si="102"/>
        <v>142</v>
      </c>
      <c r="DJ90" s="551">
        <f t="shared" si="103"/>
        <v>95.140819007304529</v>
      </c>
      <c r="DK90" s="553">
        <f>DJ90/PI()*SQRT('Hilfstabellen_Mat&amp;Bem'!f.Rd.3/'Hilfstabellen_Mat&amp;Bem'!$BD$30)</f>
        <v>1.5142131634823868</v>
      </c>
      <c r="DL90" s="553">
        <f>0.5*(1+'Hilfstabellen_Mat&amp;Bem'!$BD$31*(DK90-0.3)+DK90^2)</f>
        <v>1.707131410405788</v>
      </c>
      <c r="DM90" s="550">
        <f t="shared" si="104"/>
        <v>0.40072831403120596</v>
      </c>
      <c r="DO90" s="551">
        <f t="shared" si="105"/>
        <v>8080.2857241252368</v>
      </c>
      <c r="DR90" s="547">
        <f>'Hilfstabellen_Mat&amp;Bem'!$J$63</f>
        <v>4</v>
      </c>
      <c r="DS90" s="546">
        <f t="shared" si="106"/>
        <v>142</v>
      </c>
      <c r="DT90" s="551">
        <f t="shared" si="107"/>
        <v>97.580327186979005</v>
      </c>
      <c r="DU90" s="553">
        <f>DT90/PI()*SQRT('Hilfstabellen_Mat&amp;Bem'!f.Rd.3/'Hilfstabellen_Mat&amp;Bem'!$BD$30)</f>
        <v>1.5530391420332172</v>
      </c>
      <c r="DV90" s="553">
        <f>0.5*(1+'Hilfstabellen_Mat&amp;Bem'!$BD$31*(DU90-0.3)+DU90^2)</f>
        <v>1.7686172454452966</v>
      </c>
      <c r="DW90" s="550">
        <f t="shared" si="108"/>
        <v>0.38243400873169764</v>
      </c>
      <c r="DY90" s="551">
        <f t="shared" si="109"/>
        <v>7711.3993520659515</v>
      </c>
      <c r="EB90" s="547">
        <f>'Hilfstabellen_Mat&amp;Bem'!$J$64</f>
        <v>4.0999999999999996</v>
      </c>
      <c r="EC90" s="546">
        <f t="shared" si="110"/>
        <v>142</v>
      </c>
      <c r="ED90" s="551">
        <f t="shared" si="111"/>
        <v>100.01983536665348</v>
      </c>
      <c r="EE90" s="553">
        <f>ED90/PI()*SQRT('Hilfstabellen_Mat&amp;Bem'!f.Rd.3/'Hilfstabellen_Mat&amp;Bem'!$BD$30)</f>
        <v>1.5918651205840477</v>
      </c>
      <c r="EF90" s="553">
        <f>0.5*(1+'Hilfstabellen_Mat&amp;Bem'!$BD$31*(EE90-0.3)+EE90^2)</f>
        <v>1.8316105370952347</v>
      </c>
      <c r="EG90" s="550">
        <f t="shared" si="112"/>
        <v>0.36528745935757062</v>
      </c>
      <c r="EI90" s="551">
        <f t="shared" si="113"/>
        <v>7365.6563304860538</v>
      </c>
      <c r="EL90" s="547">
        <f>'Hilfstabellen_Mat&amp;Bem'!$J$65</f>
        <v>4.2</v>
      </c>
      <c r="EM90" s="546">
        <f t="shared" si="114"/>
        <v>142</v>
      </c>
      <c r="EN90" s="551">
        <f t="shared" si="115"/>
        <v>102.45934354632796</v>
      </c>
      <c r="EO90" s="553">
        <f>EN90/PI()*SQRT('Hilfstabellen_Mat&amp;Bem'!f.Rd.3/'Hilfstabellen_Mat&amp;Bem'!$BD$30)</f>
        <v>1.630691099134878</v>
      </c>
      <c r="EP90" s="553">
        <f>0.5*(1+'Hilfstabellen_Mat&amp;Bem'!$BD$31*(EO90-0.3)+EO90^2)</f>
        <v>1.8961112853556021</v>
      </c>
      <c r="EQ90" s="550">
        <f t="shared" si="116"/>
        <v>0.34920762418500656</v>
      </c>
      <c r="ES90" s="551">
        <f t="shared" si="117"/>
        <v>7041.4225340664725</v>
      </c>
    </row>
    <row r="91" spans="3:149">
      <c r="C91" s="546">
        <v>143</v>
      </c>
      <c r="D91" s="551">
        <f t="shared" si="72"/>
        <v>67.828563093606377</v>
      </c>
      <c r="E91" s="553">
        <f>$D91/PI()*SQRT('Hilfstabellen_Mat&amp;Bem'!f.Rd.3/'Hilfstabellen_Mat&amp;Bem'!$BD$30)</f>
        <v>1.0795251099167957</v>
      </c>
      <c r="F91" s="553">
        <f>0.5*(1+'Hilfstabellen_Mat&amp;Bem'!$BD$31*($E91-0.3)+$E91^2)</f>
        <v>1.1216634869662747</v>
      </c>
      <c r="G91" s="550">
        <f t="shared" si="73"/>
        <v>0.70115422440913022</v>
      </c>
      <c r="I91" s="551">
        <f t="shared" si="118"/>
        <v>14337.902734942303</v>
      </c>
      <c r="M91" s="546">
        <f t="shared" si="74"/>
        <v>143</v>
      </c>
      <c r="N91" s="551">
        <f t="shared" si="64"/>
        <v>70.251011775520894</v>
      </c>
      <c r="O91" s="553">
        <f>$N91/PI()*SQRT('Hilfstabellen_Mat&amp;Bem'!f.Rd.3/'Hilfstabellen_Mat&amp;Bem'!$BD$30)</f>
        <v>1.1180795781281097</v>
      </c>
      <c r="P91" s="553">
        <f>0.5*(1+'Hilfstabellen_Mat&amp;Bem'!$BD$31*($O91-0.3)+$O91^2)</f>
        <v>1.1659549504199713</v>
      </c>
      <c r="Q91" s="550">
        <f t="shared" si="65"/>
        <v>0.66816578177817398</v>
      </c>
      <c r="S91" s="551">
        <f t="shared" si="119"/>
        <v>13663.322071581881</v>
      </c>
      <c r="W91" s="546">
        <f t="shared" si="75"/>
        <v>143</v>
      </c>
      <c r="X91" s="551">
        <f t="shared" si="66"/>
        <v>72.673460457435411</v>
      </c>
      <c r="Y91" s="553">
        <f>$X91/PI()*SQRT('Hilfstabellen_Mat&amp;Bem'!f.Rd.3/'Hilfstabellen_Mat&amp;Bem'!$BD$30)</f>
        <v>1.156634046339424</v>
      </c>
      <c r="Z91" s="553">
        <f>0.5*(1+'Hilfstabellen_Mat&amp;Bem'!$BD$31*($Y91-0.3)+$Y91^2)</f>
        <v>1.2117328608927256</v>
      </c>
      <c r="AA91" s="550">
        <f t="shared" si="67"/>
        <v>0.63573894884549054</v>
      </c>
      <c r="AC91" s="551">
        <f t="shared" si="120"/>
        <v>13000.225764941437</v>
      </c>
      <c r="AG91" s="546">
        <f t="shared" si="76"/>
        <v>143</v>
      </c>
      <c r="AH91" s="551">
        <f t="shared" si="68"/>
        <v>75.095909139349914</v>
      </c>
      <c r="AI91" s="553">
        <f>$AH91/PI()*SQRT('Hilfstabellen_Mat&amp;Bem'!f.Rd.3/'Hilfstabellen_Mat&amp;Bem'!$BD$30)</f>
        <v>1.1951885145507379</v>
      </c>
      <c r="AJ91" s="553">
        <f>0.5*(1+'Hilfstabellen_Mat&amp;Bem'!$BD$31*($AI91-0.3)+$AI91^2)</f>
        <v>1.2589972183845366</v>
      </c>
      <c r="AK91" s="550">
        <f t="shared" si="69"/>
        <v>0.60433097823725845</v>
      </c>
      <c r="AM91" s="551">
        <f t="shared" si="121"/>
        <v>12357.964173973698</v>
      </c>
      <c r="AQ91" s="546">
        <f t="shared" si="77"/>
        <v>143</v>
      </c>
      <c r="AR91" s="551">
        <f t="shared" si="70"/>
        <v>77.518357821264431</v>
      </c>
      <c r="AS91" s="553">
        <f>$AR91/PI()*SQRT('Hilfstabellen_Mat&amp;Bem'!f.Rd.3/'Hilfstabellen_Mat&amp;Bem'!$BD$30)</f>
        <v>1.2337429827620521</v>
      </c>
      <c r="AT91" s="553">
        <f>0.5*(1+'Hilfstabellen_Mat&amp;Bem'!$BD$31*($AS91-0.3)+$AS91^2)</f>
        <v>1.3077480228954053</v>
      </c>
      <c r="AU91" s="550">
        <f t="shared" si="71"/>
        <v>0.57423953676915795</v>
      </c>
      <c r="AW91" s="551">
        <f t="shared" si="122"/>
        <v>11742.624287392511</v>
      </c>
      <c r="AZ91" s="547">
        <f>'Hilfstabellen_Mat&amp;Bem'!$J$56</f>
        <v>3.3</v>
      </c>
      <c r="BA91" s="546">
        <f t="shared" si="78"/>
        <v>143</v>
      </c>
      <c r="BB91" s="551">
        <f t="shared" si="79"/>
        <v>79.940806503178948</v>
      </c>
      <c r="BC91" s="553">
        <f>BB91/PI()*SQRT('Hilfstabellen_Mat&amp;Bem'!f.Rd.3/'Hilfstabellen_Mat&amp;Bem'!$BD$30)</f>
        <v>1.2722974509733662</v>
      </c>
      <c r="BD91" s="553">
        <f>0.5*(1+'Hilfstabellen_Mat&amp;Bem'!$BD$31*(BC91-0.3)+BC91^2)</f>
        <v>1.3579852744253311</v>
      </c>
      <c r="BE91" s="550">
        <f t="shared" si="80"/>
        <v>0.54563390570277925</v>
      </c>
      <c r="BG91" s="551">
        <f t="shared" si="81"/>
        <v>11157.667737716132</v>
      </c>
      <c r="BJ91" s="547">
        <f>'Hilfstabellen_Mat&amp;Bem'!$J$57</f>
        <v>3.4</v>
      </c>
      <c r="BK91" s="546">
        <f t="shared" si="82"/>
        <v>143</v>
      </c>
      <c r="BL91" s="551">
        <f t="shared" si="83"/>
        <v>82.363255185093465</v>
      </c>
      <c r="BM91" s="553">
        <f>BL91/PI()*SQRT('Hilfstabellen_Mat&amp;Bem'!f.Rd.3/'Hilfstabellen_Mat&amp;Bem'!$BD$30)</f>
        <v>1.3108519191846806</v>
      </c>
      <c r="BN91" s="553">
        <f>0.5*(1+'Hilfstabellen_Mat&amp;Bem'!$BD$31*(BM91-0.3)+BM91^2)</f>
        <v>1.4097089729743142</v>
      </c>
      <c r="BO91" s="550">
        <f t="shared" si="84"/>
        <v>0.51858891743780244</v>
      </c>
      <c r="BQ91" s="551">
        <f t="shared" si="85"/>
        <v>10604.624772685622</v>
      </c>
      <c r="BT91" s="547">
        <f>'Hilfstabellen_Mat&amp;Bem'!$J$58</f>
        <v>3.5</v>
      </c>
      <c r="BU91" s="546">
        <f t="shared" si="86"/>
        <v>143</v>
      </c>
      <c r="BV91" s="551">
        <f t="shared" si="87"/>
        <v>84.785703867007982</v>
      </c>
      <c r="BW91" s="553">
        <f>BV91/PI()*SQRT('Hilfstabellen_Mat&amp;Bem'!f.Rd.3/'Hilfstabellen_Mat&amp;Bem'!$BD$30)</f>
        <v>1.3494063873959947</v>
      </c>
      <c r="BX91" s="553">
        <f>0.5*(1+'Hilfstabellen_Mat&amp;Bem'!$BD$31*(BW91-0.3)+BW91^2)</f>
        <v>1.4629191185423545</v>
      </c>
      <c r="BY91" s="550">
        <f t="shared" si="88"/>
        <v>0.49311421572797681</v>
      </c>
      <c r="CA91" s="551">
        <f t="shared" si="89"/>
        <v>10083.692597421397</v>
      </c>
      <c r="CD91" s="547">
        <f>'Hilfstabellen_Mat&amp;Bem'!$J$59</f>
        <v>3.6</v>
      </c>
      <c r="CE91" s="546">
        <f t="shared" si="90"/>
        <v>143</v>
      </c>
      <c r="CF91" s="551">
        <f t="shared" si="91"/>
        <v>87.208152548922484</v>
      </c>
      <c r="CG91" s="553">
        <f>CF91/PI()*SQRT('Hilfstabellen_Mat&amp;Bem'!f.Rd.3/'Hilfstabellen_Mat&amp;Bem'!$BD$30)</f>
        <v>1.3879608556073086</v>
      </c>
      <c r="CH91" s="553">
        <f>0.5*(1+'Hilfstabellen_Mat&amp;Bem'!$BD$31*(CG91-0.3)+CG91^2)</f>
        <v>1.5176157111294515</v>
      </c>
      <c r="CI91" s="550">
        <f t="shared" si="92"/>
        <v>0.4691768116585559</v>
      </c>
      <c r="CK91" s="551">
        <f t="shared" si="93"/>
        <v>9594.1966216058099</v>
      </c>
      <c r="CN91" s="547">
        <f>'Hilfstabellen_Mat&amp;Bem'!$J$60</f>
        <v>3.7</v>
      </c>
      <c r="CO91" s="546">
        <f t="shared" si="94"/>
        <v>143</v>
      </c>
      <c r="CP91" s="551">
        <f t="shared" si="95"/>
        <v>89.630601230837001</v>
      </c>
      <c r="CQ91" s="553">
        <f>CP91/PI()*SQRT('Hilfstabellen_Mat&amp;Bem'!f.Rd.3/'Hilfstabellen_Mat&amp;Bem'!$BD$30)</f>
        <v>1.4265153238186228</v>
      </c>
      <c r="CR91" s="553">
        <f>0.5*(1+'Hilfstabellen_Mat&amp;Bem'!$BD$31*(CQ91-0.3)+CQ91^2)</f>
        <v>1.5737987507356062</v>
      </c>
      <c r="CS91" s="550">
        <f t="shared" si="96"/>
        <v>0.44671739386769682</v>
      </c>
      <c r="CU91" s="551">
        <f t="shared" si="97"/>
        <v>9134.9239872005328</v>
      </c>
      <c r="CX91" s="547">
        <f>'Hilfstabellen_Mat&amp;Bem'!$J$61</f>
        <v>3.8</v>
      </c>
      <c r="CY91" s="546">
        <f t="shared" si="98"/>
        <v>143</v>
      </c>
      <c r="CZ91" s="551">
        <f t="shared" si="99"/>
        <v>92.053049912751518</v>
      </c>
      <c r="DA91" s="553">
        <f>CZ91/PI()*SQRT('Hilfstabellen_Mat&amp;Bem'!f.Rd.3/'Hilfstabellen_Mat&amp;Bem'!$BD$30)</f>
        <v>1.4650697920299371</v>
      </c>
      <c r="DB91" s="553">
        <f>0.5*(1+'Hilfstabellen_Mat&amp;Bem'!$BD$31*(DA91-0.3)+DA91^2)</f>
        <v>1.6314682373608185</v>
      </c>
      <c r="DC91" s="550">
        <f t="shared" si="100"/>
        <v>0.42566165064965744</v>
      </c>
      <c r="DE91" s="551">
        <f t="shared" si="101"/>
        <v>8704.3550941348458</v>
      </c>
      <c r="DH91" s="547">
        <f>'Hilfstabellen_Mat&amp;Bem'!$J$62</f>
        <v>3.9</v>
      </c>
      <c r="DI91" s="546">
        <f t="shared" si="102"/>
        <v>143</v>
      </c>
      <c r="DJ91" s="551">
        <f t="shared" si="103"/>
        <v>94.475498594666036</v>
      </c>
      <c r="DK91" s="553">
        <f>DJ91/PI()*SQRT('Hilfstabellen_Mat&amp;Bem'!f.Rd.3/'Hilfstabellen_Mat&amp;Bem'!$BD$30)</f>
        <v>1.5036242602412511</v>
      </c>
      <c r="DL91" s="553">
        <f>0.5*(1+'Hilfstabellen_Mat&amp;Bem'!$BD$31*(DK91-0.3)+DK91^2)</f>
        <v>1.6906241710050876</v>
      </c>
      <c r="DM91" s="550">
        <f t="shared" si="104"/>
        <v>0.40592789982641769</v>
      </c>
      <c r="DO91" s="551">
        <f t="shared" si="105"/>
        <v>8300.8196235504147</v>
      </c>
      <c r="DR91" s="547">
        <f>'Hilfstabellen_Mat&amp;Bem'!$J$63</f>
        <v>4</v>
      </c>
      <c r="DS91" s="546">
        <f t="shared" si="106"/>
        <v>143</v>
      </c>
      <c r="DT91" s="551">
        <f t="shared" si="107"/>
        <v>96.897947276580553</v>
      </c>
      <c r="DU91" s="553">
        <f>DT91/PI()*SQRT('Hilfstabellen_Mat&amp;Bem'!f.Rd.3/'Hilfstabellen_Mat&amp;Bem'!$BD$30)</f>
        <v>1.5421787284525654</v>
      </c>
      <c r="DV91" s="553">
        <f>0.5*(1+'Hilfstabellen_Mat&amp;Bem'!$BD$31*(DU91-0.3)+DU91^2)</f>
        <v>1.7512665516684138</v>
      </c>
      <c r="DW91" s="550">
        <f t="shared" si="108"/>
        <v>0.38743209931009293</v>
      </c>
      <c r="DY91" s="551">
        <f t="shared" si="109"/>
        <v>7922.5989987920902</v>
      </c>
      <c r="EB91" s="547">
        <f>'Hilfstabellen_Mat&amp;Bem'!$J$64</f>
        <v>4.0999999999999996</v>
      </c>
      <c r="EC91" s="546">
        <f t="shared" si="110"/>
        <v>143</v>
      </c>
      <c r="ED91" s="551">
        <f t="shared" si="111"/>
        <v>99.320395958495055</v>
      </c>
      <c r="EE91" s="553">
        <f>ED91/PI()*SQRT('Hilfstabellen_Mat&amp;Bem'!f.Rd.3/'Hilfstabellen_Mat&amp;Bem'!$BD$30)</f>
        <v>1.5807331966638793</v>
      </c>
      <c r="EF91" s="553">
        <f>0.5*(1+'Hilfstabellen_Mat&amp;Bem'!$BD$31*(EE91-0.3)+EE91^2)</f>
        <v>1.8133953793507973</v>
      </c>
      <c r="EG91" s="550">
        <f t="shared" si="112"/>
        <v>0.37009104672830356</v>
      </c>
      <c r="EI91" s="551">
        <f t="shared" si="113"/>
        <v>7567.9918145470792</v>
      </c>
      <c r="EL91" s="547">
        <f>'Hilfstabellen_Mat&amp;Bem'!$J$65</f>
        <v>4.2</v>
      </c>
      <c r="EM91" s="546">
        <f t="shared" si="114"/>
        <v>143</v>
      </c>
      <c r="EN91" s="551">
        <f t="shared" si="115"/>
        <v>101.74284464040957</v>
      </c>
      <c r="EO91" s="553">
        <f>EN91/PI()*SQRT('Hilfstabellen_Mat&amp;Bem'!f.Rd.3/'Hilfstabellen_Mat&amp;Bem'!$BD$30)</f>
        <v>1.6192876648751935</v>
      </c>
      <c r="EP91" s="553">
        <f>0.5*(1+'Hilfstabellen_Mat&amp;Bem'!$BD$31*(EO91-0.3)+EO91^2)</f>
        <v>1.877010654052238</v>
      </c>
      <c r="EQ91" s="550">
        <f t="shared" si="116"/>
        <v>0.3538243482435503</v>
      </c>
      <c r="ES91" s="551">
        <f t="shared" si="117"/>
        <v>7235.3540972323599</v>
      </c>
    </row>
    <row r="92" spans="3:149">
      <c r="C92" s="546">
        <v>144</v>
      </c>
      <c r="D92" s="551">
        <f t="shared" si="72"/>
        <v>67.357531405456328</v>
      </c>
      <c r="E92" s="553">
        <f>$D92/PI()*SQRT('Hilfstabellen_Mat&amp;Bem'!f.Rd.3/'Hilfstabellen_Mat&amp;Bem'!$BD$30)</f>
        <v>1.0720284077645956</v>
      </c>
      <c r="F92" s="553">
        <f>0.5*(1+'Hilfstabellen_Mat&amp;Bem'!$BD$31*($E92-0.3)+$E92^2)</f>
        <v>1.1132238739153768</v>
      </c>
      <c r="G92" s="550">
        <f t="shared" si="73"/>
        <v>0.70758320870488756</v>
      </c>
      <c r="I92" s="551">
        <f t="shared" si="118"/>
        <v>14672.445415704547</v>
      </c>
      <c r="M92" s="546">
        <f t="shared" si="74"/>
        <v>144</v>
      </c>
      <c r="N92" s="551">
        <f t="shared" si="64"/>
        <v>69.763157527079784</v>
      </c>
      <c r="O92" s="553">
        <f>$N92/PI()*SQRT('Hilfstabellen_Mat&amp;Bem'!f.Rd.3/'Hilfstabellen_Mat&amp;Bem'!$BD$30)</f>
        <v>1.1103151366133313</v>
      </c>
      <c r="P92" s="553">
        <f>0.5*(1+'Hilfstabellen_Mat&amp;Bem'!$BD$31*($O92-0.3)+$O92^2)</f>
        <v>1.1569156081270067</v>
      </c>
      <c r="Q92" s="550">
        <f t="shared" si="65"/>
        <v>0.6747819297982105</v>
      </c>
      <c r="S92" s="551">
        <f t="shared" si="119"/>
        <v>13992.278096295693</v>
      </c>
      <c r="W92" s="546">
        <f t="shared" si="75"/>
        <v>144</v>
      </c>
      <c r="X92" s="551">
        <f t="shared" si="66"/>
        <v>72.168783648703211</v>
      </c>
      <c r="Y92" s="553">
        <f>$X92/PI()*SQRT('Hilfstabellen_Mat&amp;Bem'!f.Rd.3/'Hilfstabellen_Mat&amp;Bem'!$BD$30)</f>
        <v>1.1486018654620667</v>
      </c>
      <c r="Z92" s="553">
        <f>0.5*(1+'Hilfstabellen_Mat&amp;Bem'!$BD$31*($Y92-0.3)+$Y92^2)</f>
        <v>1.2020732159445731</v>
      </c>
      <c r="AA92" s="550">
        <f t="shared" si="67"/>
        <v>0.64242316281628098</v>
      </c>
      <c r="AC92" s="551">
        <f t="shared" si="120"/>
        <v>13321.286704158403</v>
      </c>
      <c r="AG92" s="546">
        <f t="shared" si="76"/>
        <v>144</v>
      </c>
      <c r="AH92" s="551">
        <f t="shared" si="68"/>
        <v>74.574409770326653</v>
      </c>
      <c r="AI92" s="553">
        <f>$AH92/PI()*SQRT('Hilfstabellen_Mat&amp;Bem'!f.Rd.3/'Hilfstabellen_Mat&amp;Bem'!$BD$30)</f>
        <v>1.1868885943108023</v>
      </c>
      <c r="AJ92" s="553">
        <f>0.5*(1+'Hilfstabellen_Mat&amp;Bem'!$BD$31*($AI92-0.3)+$AI92^2)</f>
        <v>1.2486966973680762</v>
      </c>
      <c r="AK92" s="550">
        <f t="shared" si="69"/>
        <v>0.61098920275112267</v>
      </c>
      <c r="AM92" s="551">
        <f t="shared" si="121"/>
        <v>12669.472108247281</v>
      </c>
      <c r="AQ92" s="546">
        <f t="shared" si="77"/>
        <v>144</v>
      </c>
      <c r="AR92" s="551">
        <f t="shared" si="70"/>
        <v>76.980035891950095</v>
      </c>
      <c r="AS92" s="553">
        <f>$AR92/PI()*SQRT('Hilfstabellen_Mat&amp;Bem'!f.Rd.3/'Hilfstabellen_Mat&amp;Bem'!$BD$30)</f>
        <v>1.2251753231595379</v>
      </c>
      <c r="AT92" s="553">
        <f>0.5*(1+'Hilfstabellen_Mat&amp;Bem'!$BD$31*($AS92-0.3)+$AS92^2)</f>
        <v>1.2967860523975161</v>
      </c>
      <c r="AU92" s="550">
        <f t="shared" si="71"/>
        <v>0.58080237549328984</v>
      </c>
      <c r="AW92" s="551">
        <f t="shared" si="122"/>
        <v>12043.518058228858</v>
      </c>
      <c r="AZ92" s="547">
        <f>'Hilfstabellen_Mat&amp;Bem'!$J$56</f>
        <v>3.3</v>
      </c>
      <c r="BA92" s="546">
        <f t="shared" si="78"/>
        <v>144</v>
      </c>
      <c r="BB92" s="551">
        <f t="shared" si="79"/>
        <v>79.385662013573537</v>
      </c>
      <c r="BC92" s="553">
        <f>BB92/PI()*SQRT('Hilfstabellen_Mat&amp;Bem'!f.Rd.3/'Hilfstabellen_Mat&amp;Bem'!$BD$30)</f>
        <v>1.2634620520082736</v>
      </c>
      <c r="BD92" s="553">
        <f>0.5*(1+'Hilfstabellen_Mat&amp;Bem'!$BD$31*(BC92-0.3)+BC92^2)</f>
        <v>1.3463412810328923</v>
      </c>
      <c r="BE92" s="550">
        <f t="shared" si="80"/>
        <v>0.55205299587500101</v>
      </c>
      <c r="BG92" s="551">
        <f t="shared" si="81"/>
        <v>11447.370922464021</v>
      </c>
      <c r="BJ92" s="547">
        <f>'Hilfstabellen_Mat&amp;Bem'!$J$57</f>
        <v>3.4</v>
      </c>
      <c r="BK92" s="546">
        <f t="shared" si="82"/>
        <v>144</v>
      </c>
      <c r="BL92" s="551">
        <f t="shared" si="83"/>
        <v>81.791288135196979</v>
      </c>
      <c r="BM92" s="553">
        <f>BL92/PI()*SQRT('Hilfstabellen_Mat&amp;Bem'!f.Rd.3/'Hilfstabellen_Mat&amp;Bem'!$BD$30)</f>
        <v>1.3017487808570092</v>
      </c>
      <c r="BN92" s="553">
        <f>0.5*(1+'Hilfstabellen_Mat&amp;Bem'!$BD$31*(BM92-0.3)+BM92^2)</f>
        <v>1.3973623832742055</v>
      </c>
      <c r="BO92" s="550">
        <f t="shared" si="84"/>
        <v>0.52483244640739102</v>
      </c>
      <c r="BQ92" s="551">
        <f t="shared" si="85"/>
        <v>10882.925608703659</v>
      </c>
      <c r="BT92" s="547">
        <f>'Hilfstabellen_Mat&amp;Bem'!$J$58</f>
        <v>3.5</v>
      </c>
      <c r="BU92" s="546">
        <f t="shared" si="86"/>
        <v>144</v>
      </c>
      <c r="BV92" s="551">
        <f t="shared" si="87"/>
        <v>84.196914256820421</v>
      </c>
      <c r="BW92" s="553">
        <f>BV92/PI()*SQRT('Hilfstabellen_Mat&amp;Bem'!f.Rd.3/'Hilfstabellen_Mat&amp;Bem'!$BD$30)</f>
        <v>1.3400355097057446</v>
      </c>
      <c r="BX92" s="553">
        <f>0.5*(1+'Hilfstabellen_Mat&amp;Bem'!$BD$31*(BW92-0.3)+BW92^2)</f>
        <v>1.4498493591214547</v>
      </c>
      <c r="BY92" s="550">
        <f t="shared" si="88"/>
        <v>0.49916276664813369</v>
      </c>
      <c r="CA92" s="551">
        <f t="shared" si="89"/>
        <v>10350.6391292157</v>
      </c>
      <c r="CD92" s="547">
        <f>'Hilfstabellen_Mat&amp;Bem'!$J$59</f>
        <v>3.6</v>
      </c>
      <c r="CE92" s="546">
        <f t="shared" si="90"/>
        <v>144</v>
      </c>
      <c r="CF92" s="551">
        <f t="shared" si="91"/>
        <v>86.602540378443862</v>
      </c>
      <c r="CG92" s="553">
        <f>CF92/PI()*SQRT('Hilfstabellen_Mat&amp;Bem'!f.Rd.3/'Hilfstabellen_Mat&amp;Bem'!$BD$30)</f>
        <v>1.3783222385544802</v>
      </c>
      <c r="CH92" s="553">
        <f>0.5*(1+'Hilfstabellen_Mat&amp;Bem'!$BD$31*(CG92-0.3)+CG92^2)</f>
        <v>1.5038022085746408</v>
      </c>
      <c r="CI92" s="550">
        <f t="shared" si="92"/>
        <v>0.47501995619125226</v>
      </c>
      <c r="CK92" s="551">
        <f t="shared" si="93"/>
        <v>9850.0138115818063</v>
      </c>
      <c r="CN92" s="547">
        <f>'Hilfstabellen_Mat&amp;Bem'!$J$60</f>
        <v>3.7</v>
      </c>
      <c r="CO92" s="546">
        <f t="shared" si="94"/>
        <v>144</v>
      </c>
      <c r="CP92" s="551">
        <f t="shared" si="95"/>
        <v>89.00816650006729</v>
      </c>
      <c r="CQ92" s="553">
        <f>CP92/PI()*SQRT('Hilfstabellen_Mat&amp;Bem'!f.Rd.3/'Hilfstabellen_Mat&amp;Bem'!$BD$30)</f>
        <v>1.4166089674032156</v>
      </c>
      <c r="CR92" s="553">
        <f>0.5*(1+'Hilfstabellen_Mat&amp;Bem'!$BD$31*(CQ92-0.3)+CQ92^2)</f>
        <v>1.5592209316337633</v>
      </c>
      <c r="CS92" s="550">
        <f t="shared" si="96"/>
        <v>0.45235106919906698</v>
      </c>
      <c r="CU92" s="551">
        <f t="shared" si="97"/>
        <v>9379.9517709118536</v>
      </c>
      <c r="CX92" s="547">
        <f>'Hilfstabellen_Mat&amp;Bem'!$J$61</f>
        <v>3.8</v>
      </c>
      <c r="CY92" s="546">
        <f t="shared" si="98"/>
        <v>144</v>
      </c>
      <c r="CZ92" s="551">
        <f t="shared" si="99"/>
        <v>91.413792621690746</v>
      </c>
      <c r="DA92" s="553">
        <f>CZ92/PI()*SQRT('Hilfstabellen_Mat&amp;Bem'!f.Rd.3/'Hilfstabellen_Mat&amp;Bem'!$BD$30)</f>
        <v>1.4548956962519515</v>
      </c>
      <c r="DB92" s="553">
        <f>0.5*(1+'Hilfstabellen_Mat&amp;Bem'!$BD$31*(DA92-0.3)+DA92^2)</f>
        <v>1.6161055282988228</v>
      </c>
      <c r="DC92" s="550">
        <f t="shared" si="100"/>
        <v>0.43108621108776091</v>
      </c>
      <c r="DE92" s="551">
        <f t="shared" si="101"/>
        <v>8939.0036731158107</v>
      </c>
      <c r="DH92" s="547">
        <f>'Hilfstabellen_Mat&amp;Bem'!$J$62</f>
        <v>3.9</v>
      </c>
      <c r="DI92" s="546">
        <f t="shared" si="102"/>
        <v>144</v>
      </c>
      <c r="DJ92" s="551">
        <f t="shared" si="103"/>
        <v>93.819418743314174</v>
      </c>
      <c r="DK92" s="553">
        <f>DJ92/PI()*SQRT('Hilfstabellen_Mat&amp;Bem'!f.Rd.3/'Hilfstabellen_Mat&amp;Bem'!$BD$30)</f>
        <v>1.4931824251006867</v>
      </c>
      <c r="DL92" s="553">
        <f>0.5*(1+'Hilfstabellen_Mat&amp;Bem'!$BD$31*(DK92-0.3)+DK92^2)</f>
        <v>1.6744559985698182</v>
      </c>
      <c r="DM92" s="550">
        <f t="shared" si="104"/>
        <v>0.41114669954351285</v>
      </c>
      <c r="DO92" s="551">
        <f t="shared" si="105"/>
        <v>8525.5379617342824</v>
      </c>
      <c r="DR92" s="547">
        <f>'Hilfstabellen_Mat&amp;Bem'!$J$63</f>
        <v>4</v>
      </c>
      <c r="DS92" s="546">
        <f t="shared" si="106"/>
        <v>144</v>
      </c>
      <c r="DT92" s="551">
        <f t="shared" si="107"/>
        <v>96.22504486493763</v>
      </c>
      <c r="DU92" s="553">
        <f>DT92/PI()*SQRT('Hilfstabellen_Mat&amp;Bem'!f.Rd.3/'Hilfstabellen_Mat&amp;Bem'!$BD$30)</f>
        <v>1.5314691539494225</v>
      </c>
      <c r="DV92" s="553">
        <f>0.5*(1+'Hilfstabellen_Mat&amp;Bem'!$BD$31*(DU92-0.3)+DU92^2)</f>
        <v>1.7342723424467512</v>
      </c>
      <c r="DW92" s="550">
        <f t="shared" si="108"/>
        <v>0.3924504746390417</v>
      </c>
      <c r="DY92" s="551">
        <f t="shared" si="109"/>
        <v>8137.853042115169</v>
      </c>
      <c r="EB92" s="547">
        <f>'Hilfstabellen_Mat&amp;Bem'!$J$64</f>
        <v>4.0999999999999996</v>
      </c>
      <c r="EC92" s="546">
        <f t="shared" si="110"/>
        <v>144</v>
      </c>
      <c r="ED92" s="551">
        <f t="shared" si="111"/>
        <v>98.630670986561057</v>
      </c>
      <c r="EE92" s="553">
        <f>ED92/PI()*SQRT('Hilfstabellen_Mat&amp;Bem'!f.Rd.3/'Hilfstabellen_Mat&amp;Bem'!$BD$30)</f>
        <v>1.5697558827981579</v>
      </c>
      <c r="EF92" s="553">
        <f>0.5*(1+'Hilfstabellen_Mat&amp;Bem'!$BD$31*(EE92-0.3)+EE92^2)</f>
        <v>1.7955545599296199</v>
      </c>
      <c r="EG92" s="550">
        <f t="shared" si="112"/>
        <v>0.37491559164932159</v>
      </c>
      <c r="EI92" s="551">
        <f t="shared" si="113"/>
        <v>7774.2497084403321</v>
      </c>
      <c r="EL92" s="547">
        <f>'Hilfstabellen_Mat&amp;Bem'!$J$65</f>
        <v>4.2</v>
      </c>
      <c r="EM92" s="546">
        <f t="shared" si="114"/>
        <v>144</v>
      </c>
      <c r="EN92" s="551">
        <f t="shared" si="115"/>
        <v>101.03629710818451</v>
      </c>
      <c r="EO92" s="553">
        <f>EN92/PI()*SQRT('Hilfstabellen_Mat&amp;Bem'!f.Rd.3/'Hilfstabellen_Mat&amp;Bem'!$BD$30)</f>
        <v>1.6080426116468935</v>
      </c>
      <c r="EP92" s="553">
        <f>0.5*(1+'Hilfstabellen_Mat&amp;Bem'!$BD$31*(EO92-0.3)+EO92^2)</f>
        <v>1.8583026510184257</v>
      </c>
      <c r="EQ92" s="550">
        <f t="shared" si="116"/>
        <v>0.35846240211117675</v>
      </c>
      <c r="ES92" s="551">
        <f t="shared" si="117"/>
        <v>7433.0763701773612</v>
      </c>
    </row>
    <row r="93" spans="3:149">
      <c r="C93" s="546">
        <v>145</v>
      </c>
      <c r="D93" s="551">
        <f t="shared" si="72"/>
        <v>66.892996706108363</v>
      </c>
      <c r="E93" s="553">
        <f>$D93/PI()*SQRT('Hilfstabellen_Mat&amp;Bem'!f.Rd.3/'Hilfstabellen_Mat&amp;Bem'!$BD$30)</f>
        <v>1.064635108400702</v>
      </c>
      <c r="F93" s="553">
        <f>0.5*(1+'Hilfstabellen_Mat&amp;Bem'!$BD$31*($E93-0.3)+$E93^2)</f>
        <v>1.1049557124397222</v>
      </c>
      <c r="G93" s="550">
        <f t="shared" si="73"/>
        <v>0.71391623098231394</v>
      </c>
      <c r="I93" s="551">
        <f t="shared" si="118"/>
        <v>15010.088756403151</v>
      </c>
      <c r="M93" s="546">
        <f t="shared" si="74"/>
        <v>145</v>
      </c>
      <c r="N93" s="551">
        <f t="shared" si="64"/>
        <v>69.282032302755084</v>
      </c>
      <c r="O93" s="553">
        <f>$N93/PI()*SQRT('Hilfstabellen_Mat&amp;Bem'!f.Rd.3/'Hilfstabellen_Mat&amp;Bem'!$BD$30)</f>
        <v>1.102657790843584</v>
      </c>
      <c r="P93" s="553">
        <f>0.5*(1+'Hilfstabellen_Mat&amp;Bem'!$BD$31*($O93-0.3)+$O93^2)</f>
        <v>1.1480599913962055</v>
      </c>
      <c r="Q93" s="550">
        <f t="shared" si="65"/>
        <v>0.68132521956793579</v>
      </c>
      <c r="S93" s="551">
        <f t="shared" si="119"/>
        <v>14324.862741415851</v>
      </c>
      <c r="W93" s="546">
        <f t="shared" si="75"/>
        <v>145</v>
      </c>
      <c r="X93" s="551">
        <f t="shared" si="66"/>
        <v>71.67106789940182</v>
      </c>
      <c r="Y93" s="553">
        <f>$X93/PI()*SQRT('Hilfstabellen_Mat&amp;Bem'!f.Rd.3/'Hilfstabellen_Mat&amp;Bem'!$BD$30)</f>
        <v>1.1406804732864664</v>
      </c>
      <c r="Z93" s="553">
        <f>0.5*(1+'Hilfstabellen_Mat&amp;Bem'!$BD$31*($Y93-0.3)+$Y93^2)</f>
        <v>1.1926099947328419</v>
      </c>
      <c r="AA93" s="550">
        <f t="shared" si="67"/>
        <v>0.64905562065849165</v>
      </c>
      <c r="AC93" s="551">
        <f t="shared" si="120"/>
        <v>13646.394424344788</v>
      </c>
      <c r="AG93" s="546">
        <f t="shared" si="76"/>
        <v>145</v>
      </c>
      <c r="AH93" s="551">
        <f t="shared" si="68"/>
        <v>74.060103496048541</v>
      </c>
      <c r="AI93" s="553">
        <f>$AH93/PI()*SQRT('Hilfstabellen_Mat&amp;Bem'!f.Rd.3/'Hilfstabellen_Mat&amp;Bem'!$BD$30)</f>
        <v>1.1787031557293486</v>
      </c>
      <c r="AJ93" s="553">
        <f>0.5*(1+'Hilfstabellen_Mat&amp;Bem'!$BD$31*($AI93-0.3)+$AI93^2)</f>
        <v>1.2386057224496299</v>
      </c>
      <c r="AK93" s="550">
        <f t="shared" si="69"/>
        <v>0.61761348763196688</v>
      </c>
      <c r="AM93" s="551">
        <f t="shared" si="121"/>
        <v>12985.323577462104</v>
      </c>
      <c r="AQ93" s="546">
        <f t="shared" si="77"/>
        <v>145</v>
      </c>
      <c r="AR93" s="551">
        <f t="shared" si="70"/>
        <v>76.449139092695276</v>
      </c>
      <c r="AS93" s="553">
        <f>$AR93/PI()*SQRT('Hilfstabellen_Mat&amp;Bem'!f.Rd.3/'Hilfstabellen_Mat&amp;Bem'!$BD$30)</f>
        <v>1.2167258381722308</v>
      </c>
      <c r="AT93" s="553">
        <f>0.5*(1+'Hilfstabellen_Mat&amp;Bem'!$BD$31*($AS93-0.3)+$AS93^2)</f>
        <v>1.2860471745465702</v>
      </c>
      <c r="AU93" s="550">
        <f t="shared" si="71"/>
        <v>0.58734558003969251</v>
      </c>
      <c r="AW93" s="551">
        <f t="shared" si="122"/>
        <v>12348.940820334536</v>
      </c>
      <c r="AZ93" s="547">
        <f>'Hilfstabellen_Mat&amp;Bem'!$J$56</f>
        <v>3.3</v>
      </c>
      <c r="BA93" s="546">
        <f t="shared" si="78"/>
        <v>145</v>
      </c>
      <c r="BB93" s="551">
        <f t="shared" si="79"/>
        <v>78.838174689341997</v>
      </c>
      <c r="BC93" s="553">
        <f>BB93/PI()*SQRT('Hilfstabellen_Mat&amp;Bem'!f.Rd.3/'Hilfstabellen_Mat&amp;Bem'!$BD$30)</f>
        <v>1.254748520615113</v>
      </c>
      <c r="BD93" s="553">
        <f>0.5*(1+'Hilfstabellen_Mat&amp;Bem'!$BD$31*(BC93-0.3)+BC93^2)</f>
        <v>1.3349343510236631</v>
      </c>
      <c r="BE93" s="550">
        <f t="shared" si="80"/>
        <v>0.55846357182575301</v>
      </c>
      <c r="BG93" s="551">
        <f t="shared" si="81"/>
        <v>11741.696597636457</v>
      </c>
      <c r="BJ93" s="547">
        <f>'Hilfstabellen_Mat&amp;Bem'!$J$57</f>
        <v>3.4</v>
      </c>
      <c r="BK93" s="546">
        <f t="shared" si="82"/>
        <v>145</v>
      </c>
      <c r="BL93" s="551">
        <f t="shared" si="83"/>
        <v>81.227210285988718</v>
      </c>
      <c r="BM93" s="553">
        <f>BL93/PI()*SQRT('Hilfstabellen_Mat&amp;Bem'!f.Rd.3/'Hilfstabellen_Mat&amp;Bem'!$BD$30)</f>
        <v>1.2927712030579952</v>
      </c>
      <c r="BN93" s="553">
        <f>0.5*(1+'Hilfstabellen_Mat&amp;Bem'!$BD$31*(BM93-0.3)+BM93^2)</f>
        <v>1.3852672518809079</v>
      </c>
      <c r="BO93" s="550">
        <f t="shared" si="84"/>
        <v>0.53107592079200794</v>
      </c>
      <c r="BQ93" s="551">
        <f t="shared" si="85"/>
        <v>11165.871234651966</v>
      </c>
      <c r="BT93" s="547">
        <f>'Hilfstabellen_Mat&amp;Bem'!$J$58</f>
        <v>3.5</v>
      </c>
      <c r="BU93" s="546">
        <f t="shared" si="86"/>
        <v>145</v>
      </c>
      <c r="BV93" s="551">
        <f t="shared" si="87"/>
        <v>83.616245882635454</v>
      </c>
      <c r="BW93" s="553">
        <f>BV93/PI()*SQRT('Hilfstabellen_Mat&amp;Bem'!f.Rd.3/'Hilfstabellen_Mat&amp;Bem'!$BD$30)</f>
        <v>1.3307938855008774</v>
      </c>
      <c r="BX93" s="553">
        <f>0.5*(1+'Hilfstabellen_Mat&amp;Bem'!$BD$31*(BW93-0.3)+BW93^2)</f>
        <v>1.437045877118305</v>
      </c>
      <c r="BY93" s="550">
        <f t="shared" si="88"/>
        <v>0.50521760016106154</v>
      </c>
      <c r="CA93" s="551">
        <f t="shared" si="89"/>
        <v>10622.20004338632</v>
      </c>
      <c r="CD93" s="547">
        <f>'Hilfstabellen_Mat&amp;Bem'!$J$59</f>
        <v>3.6</v>
      </c>
      <c r="CE93" s="546">
        <f t="shared" si="90"/>
        <v>145</v>
      </c>
      <c r="CF93" s="551">
        <f t="shared" si="91"/>
        <v>86.005281479282175</v>
      </c>
      <c r="CG93" s="553">
        <f>CF93/PI()*SQRT('Hilfstabellen_Mat&amp;Bem'!f.Rd.3/'Hilfstabellen_Mat&amp;Bem'!$BD$30)</f>
        <v>1.3688165679437596</v>
      </c>
      <c r="CH93" s="553">
        <f>0.5*(1+'Hilfstabellen_Mat&amp;Bem'!$BD$31*(CG93-0.3)+CG93^2)</f>
        <v>1.4902702267358545</v>
      </c>
      <c r="CI93" s="550">
        <f t="shared" si="92"/>
        <v>0.48087407012961958</v>
      </c>
      <c r="CK93" s="551">
        <f t="shared" si="93"/>
        <v>10110.377324475252</v>
      </c>
      <c r="CN93" s="547">
        <f>'Hilfstabellen_Mat&amp;Bem'!$J$60</f>
        <v>3.7</v>
      </c>
      <c r="CO93" s="546">
        <f t="shared" si="94"/>
        <v>145</v>
      </c>
      <c r="CP93" s="551">
        <f t="shared" si="95"/>
        <v>88.39431707592891</v>
      </c>
      <c r="CQ93" s="553">
        <f>CP93/PI()*SQRT('Hilfstabellen_Mat&amp;Bem'!f.Rd.3/'Hilfstabellen_Mat&amp;Bem'!$BD$30)</f>
        <v>1.4068392503866418</v>
      </c>
      <c r="CR93" s="553">
        <f>0.5*(1+'Hilfstabellen_Mat&amp;Bem'!$BD$31*(CQ93-0.3)+CQ93^2)</f>
        <v>1.5449403007335563</v>
      </c>
      <c r="CS93" s="550">
        <f t="shared" si="96"/>
        <v>0.45799913555907562</v>
      </c>
      <c r="CU93" s="551">
        <f t="shared" si="97"/>
        <v>9629.4318251295645</v>
      </c>
      <c r="CX93" s="547">
        <f>'Hilfstabellen_Mat&amp;Bem'!$J$61</f>
        <v>3.8</v>
      </c>
      <c r="CY93" s="546">
        <f t="shared" si="98"/>
        <v>145</v>
      </c>
      <c r="CZ93" s="551">
        <f t="shared" si="99"/>
        <v>90.783352672575631</v>
      </c>
      <c r="DA93" s="553">
        <f>CZ93/PI()*SQRT('Hilfstabellen_Mat&amp;Bem'!f.Rd.3/'Hilfstabellen_Mat&amp;Bem'!$BD$30)</f>
        <v>1.444861932829524</v>
      </c>
      <c r="DB93" s="553">
        <f>0.5*(1+'Hilfstabellen_Mat&amp;Bem'!$BD$31*(DA93-0.3)+DA93^2)</f>
        <v>1.60105609911141</v>
      </c>
      <c r="DC93" s="550">
        <f t="shared" si="100"/>
        <v>0.43652762144263757</v>
      </c>
      <c r="DE93" s="551">
        <f t="shared" si="101"/>
        <v>9177.9932408314544</v>
      </c>
      <c r="DH93" s="547">
        <f>'Hilfstabellen_Mat&amp;Bem'!$J$62</f>
        <v>3.9</v>
      </c>
      <c r="DI93" s="546">
        <f t="shared" si="102"/>
        <v>145</v>
      </c>
      <c r="DJ93" s="551">
        <f t="shared" si="103"/>
        <v>93.172388269222367</v>
      </c>
      <c r="DK93" s="553">
        <f>DJ93/PI()*SQRT('Hilfstabellen_Mat&amp;Bem'!f.Rd.3/'Hilfstabellen_Mat&amp;Bem'!$BD$30)</f>
        <v>1.4828846152724064</v>
      </c>
      <c r="DL93" s="553">
        <f>0.5*(1+'Hilfstabellen_Mat&amp;Bem'!$BD$31*(DK93-0.3)+DK93^2)</f>
        <v>1.6586176218694166</v>
      </c>
      <c r="DM93" s="550">
        <f t="shared" si="104"/>
        <v>0.41638407804115113</v>
      </c>
      <c r="DO93" s="551">
        <f t="shared" si="105"/>
        <v>8754.4752408152017</v>
      </c>
      <c r="DR93" s="547">
        <f>'Hilfstabellen_Mat&amp;Bem'!$J$63</f>
        <v>4</v>
      </c>
      <c r="DS93" s="546">
        <f t="shared" si="106"/>
        <v>145</v>
      </c>
      <c r="DT93" s="551">
        <f t="shared" si="107"/>
        <v>95.561423865869074</v>
      </c>
      <c r="DU93" s="553">
        <f>DT93/PI()*SQRT('Hilfstabellen_Mat&amp;Bem'!f.Rd.3/'Hilfstabellen_Mat&amp;Bem'!$BD$30)</f>
        <v>1.5209072977152882</v>
      </c>
      <c r="DV93" s="553">
        <f>0.5*(1+'Hilfstabellen_Mat&amp;Bem'!$BD$31*(DU93-0.3)+DU93^2)</f>
        <v>1.7176248690075746</v>
      </c>
      <c r="DW93" s="550">
        <f t="shared" si="108"/>
        <v>0.39748860480649884</v>
      </c>
      <c r="DY93" s="551">
        <f t="shared" si="109"/>
        <v>8357.1979160566389</v>
      </c>
      <c r="EB93" s="547">
        <f>'Hilfstabellen_Mat&amp;Bem'!$J$64</f>
        <v>4.0999999999999996</v>
      </c>
      <c r="EC93" s="546">
        <f t="shared" si="110"/>
        <v>145</v>
      </c>
      <c r="ED93" s="551">
        <f t="shared" si="111"/>
        <v>97.950459462515809</v>
      </c>
      <c r="EE93" s="553">
        <f>ED93/PI()*SQRT('Hilfstabellen_Mat&amp;Bem'!f.Rd.3/'Hilfstabellen_Mat&amp;Bem'!$BD$30)</f>
        <v>1.5589299801581706</v>
      </c>
      <c r="EF93" s="553">
        <f>0.5*(1+'Hilfstabellen_Mat&amp;Bem'!$BD$31*(EE93-0.3)+EE93^2)</f>
        <v>1.7780778405258857</v>
      </c>
      <c r="EG93" s="550">
        <f t="shared" si="112"/>
        <v>0.37976064903835122</v>
      </c>
      <c r="EI93" s="551">
        <f t="shared" si="113"/>
        <v>7984.467646031334</v>
      </c>
      <c r="EL93" s="547">
        <f>'Hilfstabellen_Mat&amp;Bem'!$J$65</f>
        <v>4.2</v>
      </c>
      <c r="EM93" s="546">
        <f t="shared" si="114"/>
        <v>145</v>
      </c>
      <c r="EN93" s="551">
        <f t="shared" si="115"/>
        <v>100.33949505916254</v>
      </c>
      <c r="EO93" s="553">
        <f>EN93/PI()*SQRT('Hilfstabellen_Mat&amp;Bem'!f.Rd.3/'Hilfstabellen_Mat&amp;Bem'!$BD$30)</f>
        <v>1.5969526626010531</v>
      </c>
      <c r="EP93" s="553">
        <f>0.5*(1+'Hilfstabellen_Mat&amp;Bem'!$BD$31*(EO93-0.3)+EO93^2)</f>
        <v>1.8399765364243492</v>
      </c>
      <c r="EQ93" s="550">
        <f t="shared" si="116"/>
        <v>0.36312140946304378</v>
      </c>
      <c r="ES93" s="551">
        <f t="shared" si="117"/>
        <v>7634.6276339604956</v>
      </c>
    </row>
    <row r="94" spans="3:149">
      <c r="C94" s="546">
        <v>146</v>
      </c>
      <c r="D94" s="551">
        <f t="shared" si="72"/>
        <v>66.434825495792538</v>
      </c>
      <c r="E94" s="553">
        <f>$D94/PI()*SQRT('Hilfstabellen_Mat&amp;Bem'!f.Rd.3/'Hilfstabellen_Mat&amp;Bem'!$BD$30)</f>
        <v>1.057343087110286</v>
      </c>
      <c r="F94" s="553">
        <f>0.5*(1+'Hilfstabellen_Mat&amp;Bem'!$BD$31*($E94-0.3)+$E94^2)</f>
        <v>1.0968543562854691</v>
      </c>
      <c r="G94" s="550">
        <f t="shared" si="73"/>
        <v>0.72015018719888879</v>
      </c>
      <c r="I94" s="551">
        <f t="shared" si="118"/>
        <v>15350.721390331513</v>
      </c>
      <c r="M94" s="546">
        <f t="shared" si="74"/>
        <v>146</v>
      </c>
      <c r="N94" s="551">
        <f t="shared" si="64"/>
        <v>68.807497834928</v>
      </c>
      <c r="O94" s="553">
        <f>$N94/PI()*SQRT('Hilfstabellen_Mat&amp;Bem'!f.Rd.3/'Hilfstabellen_Mat&amp;Bem'!$BD$30)</f>
        <v>1.0951053402213677</v>
      </c>
      <c r="P94" s="553">
        <f>0.5*(1+'Hilfstabellen_Mat&amp;Bem'!$BD$31*($O94-0.3)+$O94^2)</f>
        <v>1.1393831201017472</v>
      </c>
      <c r="Q94" s="550">
        <f t="shared" si="65"/>
        <v>0.687792188227899</v>
      </c>
      <c r="S94" s="551">
        <f t="shared" si="119"/>
        <v>14660.978284265895</v>
      </c>
      <c r="W94" s="546">
        <f t="shared" si="75"/>
        <v>146</v>
      </c>
      <c r="X94" s="551">
        <f t="shared" si="66"/>
        <v>71.180170174063448</v>
      </c>
      <c r="Y94" s="553">
        <f>$X94/PI()*SQRT('Hilfstabellen_Mat&amp;Bem'!f.Rd.3/'Hilfstabellen_Mat&amp;Bem'!$BD$30)</f>
        <v>1.1328675933324495</v>
      </c>
      <c r="Z94" s="553">
        <f>0.5*(1+'Hilfstabellen_Mat&amp;Bem'!$BD$31*($Y94-0.3)+$Y94^2)</f>
        <v>1.1833378716780505</v>
      </c>
      <c r="AA94" s="550">
        <f t="shared" si="67"/>
        <v>0.65563297091842343</v>
      </c>
      <c r="AC94" s="551">
        <f t="shared" si="120"/>
        <v>13975.472408097114</v>
      </c>
      <c r="AG94" s="546">
        <f t="shared" si="76"/>
        <v>146</v>
      </c>
      <c r="AH94" s="551">
        <f t="shared" si="68"/>
        <v>73.552842513198897</v>
      </c>
      <c r="AI94" s="553">
        <f>$AH94/PI()*SQRT('Hilfstabellen_Mat&amp;Bem'!f.Rd.3/'Hilfstabellen_Mat&amp;Bem'!$BD$30)</f>
        <v>1.170629846443531</v>
      </c>
      <c r="AJ94" s="553">
        <f>0.5*(1+'Hilfstabellen_Mat&amp;Bem'!$BD$31*($AI94-0.3)+$AI94^2)</f>
        <v>1.2287186110143788</v>
      </c>
      <c r="AK94" s="550">
        <f t="shared" si="69"/>
        <v>0.62420083744853894</v>
      </c>
      <c r="AM94" s="551">
        <f t="shared" si="121"/>
        <v>13305.465051053056</v>
      </c>
      <c r="AQ94" s="546">
        <f t="shared" si="77"/>
        <v>146</v>
      </c>
      <c r="AR94" s="551">
        <f t="shared" si="70"/>
        <v>75.925514852334345</v>
      </c>
      <c r="AS94" s="553">
        <f>$AR94/PI()*SQRT('Hilfstabellen_Mat&amp;Bem'!f.Rd.3/'Hilfstabellen_Mat&amp;Bem'!$BD$30)</f>
        <v>1.2083920995546127</v>
      </c>
      <c r="AT94" s="553">
        <f>0.5*(1+'Hilfstabellen_Mat&amp;Bem'!$BD$31*($AS94-0.3)+$AS94^2)</f>
        <v>1.2755253381107332</v>
      </c>
      <c r="AU94" s="550">
        <f t="shared" si="71"/>
        <v>0.59386659294285415</v>
      </c>
      <c r="AW94" s="551">
        <f t="shared" si="122"/>
        <v>12658.860295169879</v>
      </c>
      <c r="AZ94" s="547">
        <f>'Hilfstabellen_Mat&amp;Bem'!$J$56</f>
        <v>3.3</v>
      </c>
      <c r="BA94" s="546">
        <f t="shared" si="78"/>
        <v>146</v>
      </c>
      <c r="BB94" s="551">
        <f t="shared" si="79"/>
        <v>78.298187191469793</v>
      </c>
      <c r="BC94" s="553">
        <f>BB94/PI()*SQRT('Hilfstabellen_Mat&amp;Bem'!f.Rd.3/'Hilfstabellen_Mat&amp;Bem'!$BD$30)</f>
        <v>1.2461543526656946</v>
      </c>
      <c r="BD94" s="553">
        <f>0.5*(1+'Hilfstabellen_Mat&amp;Bem'!$BD$31*(BC94-0.3)+BC94^2)</f>
        <v>1.3237580529671131</v>
      </c>
      <c r="BE94" s="550">
        <f t="shared" si="80"/>
        <v>0.56486350499303573</v>
      </c>
      <c r="BG94" s="551">
        <f t="shared" si="81"/>
        <v>12040.630472431549</v>
      </c>
      <c r="BJ94" s="547">
        <f>'Hilfstabellen_Mat&amp;Bem'!$J$57</f>
        <v>3.4</v>
      </c>
      <c r="BK94" s="546">
        <f t="shared" si="82"/>
        <v>146</v>
      </c>
      <c r="BL94" s="551">
        <f t="shared" si="83"/>
        <v>80.670859530605242</v>
      </c>
      <c r="BM94" s="553">
        <f>BL94/PI()*SQRT('Hilfstabellen_Mat&amp;Bem'!f.Rd.3/'Hilfstabellen_Mat&amp;Bem'!$BD$30)</f>
        <v>1.2839166057767761</v>
      </c>
      <c r="BN94" s="553">
        <f>0.5*(1+'Hilfstabellen_Mat&amp;Bem'!$BD$31*(BM94-0.3)+BM94^2)</f>
        <v>1.3734167555835177</v>
      </c>
      <c r="BO94" s="550">
        <f t="shared" si="84"/>
        <v>0.53731759173862703</v>
      </c>
      <c r="BQ94" s="551">
        <f t="shared" si="85"/>
        <v>11453.461785500574</v>
      </c>
      <c r="BT94" s="547">
        <f>'Hilfstabellen_Mat&amp;Bem'!$J$58</f>
        <v>3.5</v>
      </c>
      <c r="BU94" s="546">
        <f t="shared" si="86"/>
        <v>146</v>
      </c>
      <c r="BV94" s="551">
        <f t="shared" si="87"/>
        <v>83.04353186974069</v>
      </c>
      <c r="BW94" s="553">
        <f>BV94/PI()*SQRT('Hilfstabellen_Mat&amp;Bem'!f.Rd.3/'Hilfstabellen_Mat&amp;Bem'!$BD$30)</f>
        <v>1.3216788588878579</v>
      </c>
      <c r="BX94" s="553">
        <f>0.5*(1+'Hilfstabellen_Mat&amp;Bem'!$BD$31*(BW94-0.3)+BW94^2)</f>
        <v>1.4245014459599479</v>
      </c>
      <c r="BY94" s="550">
        <f t="shared" si="88"/>
        <v>0.51127728659073091</v>
      </c>
      <c r="CA94" s="551">
        <f t="shared" si="89"/>
        <v>10898.386640968019</v>
      </c>
      <c r="CD94" s="547">
        <f>'Hilfstabellen_Mat&amp;Bem'!$J$59</f>
        <v>3.6</v>
      </c>
      <c r="CE94" s="546">
        <f t="shared" si="90"/>
        <v>146</v>
      </c>
      <c r="CF94" s="551">
        <f t="shared" si="91"/>
        <v>85.416204208876138</v>
      </c>
      <c r="CG94" s="553">
        <f>CF94/PI()*SQRT('Hilfstabellen_Mat&amp;Bem'!f.Rd.3/'Hilfstabellen_Mat&amp;Bem'!$BD$30)</f>
        <v>1.3594411119989394</v>
      </c>
      <c r="CH94" s="553">
        <f>0.5*(1+'Hilfstabellen_Mat&amp;Bem'!$BD$31*(CG94-0.3)+CG94^2)</f>
        <v>1.4770121240964034</v>
      </c>
      <c r="CI94" s="550">
        <f t="shared" si="92"/>
        <v>0.48673798482999892</v>
      </c>
      <c r="CK94" s="551">
        <f t="shared" si="93"/>
        <v>10375.306884636257</v>
      </c>
      <c r="CN94" s="547">
        <f>'Hilfstabellen_Mat&amp;Bem'!$J$60</f>
        <v>3.7</v>
      </c>
      <c r="CO94" s="546">
        <f t="shared" si="94"/>
        <v>146</v>
      </c>
      <c r="CP94" s="551">
        <f t="shared" si="95"/>
        <v>87.788876548011586</v>
      </c>
      <c r="CQ94" s="553">
        <f>CP94/PI()*SQRT('Hilfstabellen_Mat&amp;Bem'!f.Rd.3/'Hilfstabellen_Mat&amp;Bem'!$BD$30)</f>
        <v>1.3972033651100211</v>
      </c>
      <c r="CR94" s="553">
        <f>0.5*(1+'Hilfstabellen_Mat&amp;Bem'!$BD$31*(CQ94-0.3)+CQ94^2)</f>
        <v>1.5309487899928844</v>
      </c>
      <c r="CS94" s="550">
        <f t="shared" si="96"/>
        <v>0.46366063485190967</v>
      </c>
      <c r="CU94" s="551">
        <f t="shared" si="97"/>
        <v>9883.3900925033067</v>
      </c>
      <c r="CX94" s="547">
        <f>'Hilfstabellen_Mat&amp;Bem'!$J$61</f>
        <v>3.8</v>
      </c>
      <c r="CY94" s="546">
        <f t="shared" si="98"/>
        <v>146</v>
      </c>
      <c r="CZ94" s="551">
        <f t="shared" si="99"/>
        <v>90.161548887147035</v>
      </c>
      <c r="DA94" s="553">
        <f>CZ94/PI()*SQRT('Hilfstabellen_Mat&amp;Bem'!f.Rd.3/'Hilfstabellen_Mat&amp;Bem'!$BD$30)</f>
        <v>1.4349656182211028</v>
      </c>
      <c r="DB94" s="553">
        <f>0.5*(1+'Hilfstabellen_Mat&amp;Bem'!$BD$31*(DA94-0.3)+DA94^2)</f>
        <v>1.586311443649391</v>
      </c>
      <c r="DC94" s="550">
        <f t="shared" si="100"/>
        <v>0.44198509246846096</v>
      </c>
      <c r="DE94" s="551">
        <f t="shared" si="101"/>
        <v>9421.3542310577141</v>
      </c>
      <c r="DH94" s="547">
        <f>'Hilfstabellen_Mat&amp;Bem'!$J$62</f>
        <v>3.9</v>
      </c>
      <c r="DI94" s="546">
        <f t="shared" si="102"/>
        <v>146</v>
      </c>
      <c r="DJ94" s="551">
        <f t="shared" si="103"/>
        <v>92.534221226282483</v>
      </c>
      <c r="DK94" s="553">
        <f>DJ94/PI()*SQRT('Hilfstabellen_Mat&amp;Bem'!f.Rd.3/'Hilfstabellen_Mat&amp;Bem'!$BD$30)</f>
        <v>1.4727278713321843</v>
      </c>
      <c r="DL94" s="553">
        <f>0.5*(1+'Hilfstabellen_Mat&amp;Bem'!$BD$31*(DK94-0.3)+DK94^2)</f>
        <v>1.6431000850659225</v>
      </c>
      <c r="DM94" s="550">
        <f t="shared" si="104"/>
        <v>0.42163938136790846</v>
      </c>
      <c r="DO94" s="551">
        <f t="shared" si="105"/>
        <v>8987.6650532383374</v>
      </c>
      <c r="DR94" s="547">
        <f>'Hilfstabellen_Mat&amp;Bem'!$J$63</f>
        <v>4</v>
      </c>
      <c r="DS94" s="546">
        <f t="shared" si="106"/>
        <v>146</v>
      </c>
      <c r="DT94" s="551">
        <f t="shared" si="107"/>
        <v>94.906893565417931</v>
      </c>
      <c r="DU94" s="553">
        <f>DT94/PI()*SQRT('Hilfstabellen_Mat&amp;Bem'!f.Rd.3/'Hilfstabellen_Mat&amp;Bem'!$BD$30)</f>
        <v>1.510490124443266</v>
      </c>
      <c r="DV94" s="553">
        <f>0.5*(1+'Hilfstabellen_Mat&amp;Bem'!$BD$31*(DU94-0.3)+DU94^2)</f>
        <v>1.70131471424248</v>
      </c>
      <c r="DW94" s="550">
        <f t="shared" si="108"/>
        <v>0.40254594450439907</v>
      </c>
      <c r="DY94" s="551">
        <f t="shared" si="109"/>
        <v>8580.6693530557714</v>
      </c>
      <c r="EB94" s="547">
        <f>'Hilfstabellen_Mat&amp;Bem'!$J$64</f>
        <v>4.0999999999999996</v>
      </c>
      <c r="EC94" s="546">
        <f t="shared" si="110"/>
        <v>146</v>
      </c>
      <c r="ED94" s="551">
        <f t="shared" si="111"/>
        <v>97.27956590455338</v>
      </c>
      <c r="EE94" s="553">
        <f>ED94/PI()*SQRT('Hilfstabellen_Mat&amp;Bem'!f.Rd.3/'Hilfstabellen_Mat&amp;Bem'!$BD$30)</f>
        <v>1.5482523775543475</v>
      </c>
      <c r="EF94" s="553">
        <f>0.5*(1+'Hilfstabellen_Mat&amp;Bem'!$BD$31*(EE94-0.3)+EE94^2)</f>
        <v>1.7609553311790624</v>
      </c>
      <c r="EG94" s="550">
        <f t="shared" si="112"/>
        <v>0.38462576118201253</v>
      </c>
      <c r="EI94" s="551">
        <f t="shared" si="113"/>
        <v>8198.6827253557785</v>
      </c>
      <c r="EL94" s="547">
        <f>'Hilfstabellen_Mat&amp;Bem'!$J$65</f>
        <v>4.2</v>
      </c>
      <c r="EM94" s="546">
        <f t="shared" si="114"/>
        <v>146</v>
      </c>
      <c r="EN94" s="551">
        <f t="shared" si="115"/>
        <v>99.652238243688828</v>
      </c>
      <c r="EO94" s="553">
        <f>EN94/PI()*SQRT('Hilfstabellen_Mat&amp;Bem'!f.Rd.3/'Hilfstabellen_Mat&amp;Bem'!$BD$30)</f>
        <v>1.5860146306654292</v>
      </c>
      <c r="EP94" s="553">
        <f>0.5*(1+'Hilfstabellen_Mat&amp;Bem'!$BD$31*(EO94-0.3)+EO94^2)</f>
        <v>1.8220219358756702</v>
      </c>
      <c r="EQ94" s="550">
        <f t="shared" si="116"/>
        <v>0.36780098357387914</v>
      </c>
      <c r="ES94" s="551">
        <f t="shared" si="117"/>
        <v>7840.0457658608075</v>
      </c>
    </row>
    <row r="95" spans="3:149">
      <c r="C95" s="546">
        <v>147</v>
      </c>
      <c r="D95" s="551">
        <f t="shared" si="72"/>
        <v>65.982887907385802</v>
      </c>
      <c r="E95" s="553">
        <f>$D95/PI()*SQRT('Hilfstabellen_Mat&amp;Bem'!f.Rd.3/'Hilfstabellen_Mat&amp;Bem'!$BD$30)</f>
        <v>1.0501502769938897</v>
      </c>
      <c r="F95" s="553">
        <f>0.5*(1+'Hilfstabellen_Mat&amp;Bem'!$BD$31*($E95-0.3)+$E95^2)</f>
        <v>1.0889153159848663</v>
      </c>
      <c r="G95" s="550">
        <f t="shared" si="73"/>
        <v>0.72628217602621081</v>
      </c>
      <c r="I95" s="551">
        <f t="shared" si="118"/>
        <v>15694.231541750389</v>
      </c>
      <c r="M95" s="546">
        <f t="shared" si="74"/>
        <v>147</v>
      </c>
      <c r="N95" s="551">
        <f t="shared" si="64"/>
        <v>68.339419618363863</v>
      </c>
      <c r="O95" s="553">
        <f>$N95/PI()*SQRT('Hilfstabellen_Mat&amp;Bem'!f.Rd.3/'Hilfstabellen_Mat&amp;Bem'!$BD$30)</f>
        <v>1.0876556440293859</v>
      </c>
      <c r="P95" s="553">
        <f>0.5*(1+'Hilfstabellen_Mat&amp;Bem'!$BD$31*($O95-0.3)+$O95^2)</f>
        <v>1.1308801821959582</v>
      </c>
      <c r="Q95" s="550">
        <f t="shared" si="65"/>
        <v>0.69417946956903576</v>
      </c>
      <c r="S95" s="551">
        <f t="shared" si="119"/>
        <v>15000.524157917294</v>
      </c>
      <c r="W95" s="546">
        <f t="shared" si="75"/>
        <v>147</v>
      </c>
      <c r="X95" s="551">
        <f t="shared" si="66"/>
        <v>70.695951329341923</v>
      </c>
      <c r="Y95" s="553">
        <f>$X95/PI()*SQRT('Hilfstabellen_Mat&amp;Bem'!f.Rd.3/'Hilfstabellen_Mat&amp;Bem'!$BD$30)</f>
        <v>1.1251610110648818</v>
      </c>
      <c r="Z95" s="553">
        <f>0.5*(1+'Hilfstabellen_Mat&amp;Bem'!$BD$31*($Y95-0.3)+$Y95^2)</f>
        <v>1.1742517009635174</v>
      </c>
      <c r="AA95" s="550">
        <f t="shared" si="67"/>
        <v>0.66215188202972464</v>
      </c>
      <c r="AC95" s="551">
        <f t="shared" si="120"/>
        <v>14308.44001878032</v>
      </c>
      <c r="AG95" s="546">
        <f t="shared" si="76"/>
        <v>147</v>
      </c>
      <c r="AH95" s="551">
        <f t="shared" si="68"/>
        <v>73.052483040319999</v>
      </c>
      <c r="AI95" s="553">
        <f>$AH95/PI()*SQRT('Hilfstabellen_Mat&amp;Bem'!f.Rd.3/'Hilfstabellen_Mat&amp;Bem'!$BD$30)</f>
        <v>1.1626663781003781</v>
      </c>
      <c r="AJ95" s="553">
        <f>0.5*(1+'Hilfstabellen_Mat&amp;Bem'!$BD$31*($AI95-0.3)+$AI95^2)</f>
        <v>1.2190298722875446</v>
      </c>
      <c r="AK95" s="550">
        <f t="shared" si="69"/>
        <v>0.63074823281915371</v>
      </c>
      <c r="AM95" s="551">
        <f t="shared" si="121"/>
        <v>13629.838562989093</v>
      </c>
      <c r="AQ95" s="546">
        <f t="shared" si="77"/>
        <v>147</v>
      </c>
      <c r="AR95" s="551">
        <f t="shared" si="70"/>
        <v>75.409014751298059</v>
      </c>
      <c r="AS95" s="553">
        <f>$AR95/PI()*SQRT('Hilfstabellen_Mat&amp;Bem'!f.Rd.3/'Hilfstabellen_Mat&amp;Bem'!$BD$30)</f>
        <v>1.200171745135874</v>
      </c>
      <c r="AT95" s="553">
        <f>0.5*(1+'Hilfstabellen_Mat&amp;Bem'!$BD$31*($AS95-0.3)+$AS95^2)</f>
        <v>1.2652146961680382</v>
      </c>
      <c r="AU95" s="550">
        <f t="shared" si="71"/>
        <v>0.60036281334347452</v>
      </c>
      <c r="AW95" s="551">
        <f t="shared" si="122"/>
        <v>12973.240033539141</v>
      </c>
      <c r="AZ95" s="547">
        <f>'Hilfstabellen_Mat&amp;Bem'!$J$56</f>
        <v>3.3</v>
      </c>
      <c r="BA95" s="546">
        <f t="shared" si="78"/>
        <v>147</v>
      </c>
      <c r="BB95" s="551">
        <f t="shared" si="79"/>
        <v>77.76554646227612</v>
      </c>
      <c r="BC95" s="553">
        <f>BB95/PI()*SQRT('Hilfstabellen_Mat&amp;Bem'!f.Rd.3/'Hilfstabellen_Mat&amp;Bem'!$BD$30)</f>
        <v>1.2376771121713699</v>
      </c>
      <c r="BD95" s="553">
        <f>0.5*(1+'Hilfstabellen_Mat&amp;Bem'!$BD$31*(BC95-0.3)+BC95^2)</f>
        <v>1.3128061726049993</v>
      </c>
      <c r="BE95" s="550">
        <f t="shared" si="80"/>
        <v>0.57125061851147685</v>
      </c>
      <c r="BG95" s="551">
        <f t="shared" si="81"/>
        <v>12344.154615414503</v>
      </c>
      <c r="BJ95" s="547">
        <f>'Hilfstabellen_Mat&amp;Bem'!$J$57</f>
        <v>3.4</v>
      </c>
      <c r="BK95" s="546">
        <f t="shared" si="82"/>
        <v>147</v>
      </c>
      <c r="BL95" s="551">
        <f t="shared" si="83"/>
        <v>80.122078173254181</v>
      </c>
      <c r="BM95" s="553">
        <f>BL95/PI()*SQRT('Hilfstabellen_Mat&amp;Bem'!f.Rd.3/'Hilfstabellen_Mat&amp;Bem'!$BD$30)</f>
        <v>1.275182479206866</v>
      </c>
      <c r="BN95" s="553">
        <f>0.5*(1+'Hilfstabellen_Mat&amp;Bem'!$BD$31*(BM95-0.3)+BM95^2)</f>
        <v>1.3618043015984278</v>
      </c>
      <c r="BO95" s="550">
        <f t="shared" si="84"/>
        <v>0.54355566449361581</v>
      </c>
      <c r="BQ95" s="551">
        <f t="shared" si="85"/>
        <v>11745.694354042544</v>
      </c>
      <c r="BT95" s="547">
        <f>'Hilfstabellen_Mat&amp;Bem'!$J$58</f>
        <v>3.5</v>
      </c>
      <c r="BU95" s="546">
        <f t="shared" si="86"/>
        <v>147</v>
      </c>
      <c r="BV95" s="551">
        <f t="shared" si="87"/>
        <v>82.478609884232256</v>
      </c>
      <c r="BW95" s="553">
        <f>BV95/PI()*SQRT('Hilfstabellen_Mat&amp;Bem'!f.Rd.3/'Hilfstabellen_Mat&amp;Bem'!$BD$30)</f>
        <v>1.3126878462423621</v>
      </c>
      <c r="BX95" s="553">
        <f>0.5*(1+'Hilfstabellen_Mat&amp;Bem'!$BD$31*(BW95-0.3)+BW95^2)</f>
        <v>1.4122090831483236</v>
      </c>
      <c r="BY95" s="550">
        <f t="shared" si="88"/>
        <v>0.51734035575160087</v>
      </c>
      <c r="CA95" s="551">
        <f t="shared" si="89"/>
        <v>11179.207747436343</v>
      </c>
      <c r="CD95" s="547">
        <f>'Hilfstabellen_Mat&amp;Bem'!$J$59</f>
        <v>3.6</v>
      </c>
      <c r="CE95" s="546">
        <f t="shared" si="90"/>
        <v>147</v>
      </c>
      <c r="CF95" s="551">
        <f t="shared" si="91"/>
        <v>84.835141595210303</v>
      </c>
      <c r="CG95" s="553">
        <f>CF95/PI()*SQRT('Hilfstabellen_Mat&amp;Bem'!f.Rd.3/'Hilfstabellen_Mat&amp;Bem'!$BD$30)</f>
        <v>1.350193213277858</v>
      </c>
      <c r="CH95" s="553">
        <f>0.5*(1+'Hilfstabellen_Mat&amp;Bem'!$BD$31*(CG95-0.3)+CG95^2)</f>
        <v>1.4640205172546865</v>
      </c>
      <c r="CI95" s="550">
        <f t="shared" si="92"/>
        <v>0.49261049725086981</v>
      </c>
      <c r="CK95" s="551">
        <f t="shared" si="93"/>
        <v>10644.820235094046</v>
      </c>
      <c r="CN95" s="547">
        <f>'Hilfstabellen_Mat&amp;Bem'!$J$60</f>
        <v>3.7</v>
      </c>
      <c r="CO95" s="546">
        <f t="shared" si="94"/>
        <v>147</v>
      </c>
      <c r="CP95" s="551">
        <f t="shared" si="95"/>
        <v>87.191673306188378</v>
      </c>
      <c r="CQ95" s="553">
        <f>CP95/PI()*SQRT('Hilfstabellen_Mat&amp;Bem'!f.Rd.3/'Hilfstabellen_Mat&amp;Bem'!$BD$30)</f>
        <v>1.3876985803133541</v>
      </c>
      <c r="CR95" s="553">
        <f>0.5*(1+'Hilfstabellen_Mat&amp;Bem'!$BD$31*(CQ95-0.3)+CQ95^2)</f>
        <v>1.517238603917517</v>
      </c>
      <c r="CS95" s="550">
        <f t="shared" si="96"/>
        <v>0.46933458036772868</v>
      </c>
      <c r="CU95" s="551">
        <f t="shared" si="97"/>
        <v>10141.850947166249</v>
      </c>
      <c r="CX95" s="547">
        <f>'Hilfstabellen_Mat&amp;Bem'!$J$61</f>
        <v>3.8</v>
      </c>
      <c r="CY95" s="546">
        <f t="shared" si="98"/>
        <v>147</v>
      </c>
      <c r="CZ95" s="551">
        <f t="shared" si="99"/>
        <v>89.548205017166438</v>
      </c>
      <c r="DA95" s="553">
        <f>CZ95/PI()*SQRT('Hilfstabellen_Mat&amp;Bem'!f.Rd.3/'Hilfstabellen_Mat&amp;Bem'!$BD$30)</f>
        <v>1.4252039473488503</v>
      </c>
      <c r="DB95" s="553">
        <f>0.5*(1+'Hilfstabellen_Mat&amp;Bem'!$BD$31*(DA95-0.3)+DA95^2)</f>
        <v>1.5718633431368145</v>
      </c>
      <c r="DC95" s="550">
        <f t="shared" si="100"/>
        <v>0.44745781136188084</v>
      </c>
      <c r="DE95" s="551">
        <f t="shared" si="101"/>
        <v>9669.1158457188831</v>
      </c>
      <c r="DH95" s="547">
        <f>'Hilfstabellen_Mat&amp;Bem'!$J$62</f>
        <v>3.9</v>
      </c>
      <c r="DI95" s="546">
        <f t="shared" si="102"/>
        <v>147</v>
      </c>
      <c r="DJ95" s="551">
        <f t="shared" si="103"/>
        <v>91.904736728144499</v>
      </c>
      <c r="DK95" s="553">
        <f>DJ95/PI()*SQRT('Hilfstabellen_Mat&amp;Bem'!f.Rd.3/'Hilfstabellen_Mat&amp;Bem'!$BD$30)</f>
        <v>1.4627093143843464</v>
      </c>
      <c r="DL95" s="553">
        <f>0.5*(1+'Hilfstabellen_Mat&amp;Bem'!$BD$31*(DK95-0.3)+DK95^2)</f>
        <v>1.6278947349125796</v>
      </c>
      <c r="DM95" s="550">
        <f t="shared" si="104"/>
        <v>0.42691193626021973</v>
      </c>
      <c r="DO95" s="551">
        <f t="shared" si="105"/>
        <v>9225.1400306470878</v>
      </c>
      <c r="DR95" s="547">
        <f>'Hilfstabellen_Mat&amp;Bem'!$J$63</f>
        <v>4</v>
      </c>
      <c r="DS95" s="546">
        <f t="shared" si="106"/>
        <v>147</v>
      </c>
      <c r="DT95" s="551">
        <f t="shared" si="107"/>
        <v>94.26126843912256</v>
      </c>
      <c r="DU95" s="553">
        <f>DT95/PI()*SQRT('Hilfstabellen_Mat&amp;Bem'!f.Rd.3/'Hilfstabellen_Mat&amp;Bem'!$BD$30)</f>
        <v>1.5002146814198423</v>
      </c>
      <c r="DV95" s="553">
        <f>0.5*(1+'Hilfstabellen_Mat&amp;Bem'!$BD$31*(DU95-0.3)+DU95^2)</f>
        <v>1.6853327792448116</v>
      </c>
      <c r="DW95" s="550">
        <f t="shared" si="108"/>
        <v>0.40762193260087765</v>
      </c>
      <c r="DY95" s="551">
        <f t="shared" si="109"/>
        <v>8808.3023415723655</v>
      </c>
      <c r="EB95" s="547">
        <f>'Hilfstabellen_Mat&amp;Bem'!$J$64</f>
        <v>4.0999999999999996</v>
      </c>
      <c r="EC95" s="546">
        <f t="shared" si="110"/>
        <v>147</v>
      </c>
      <c r="ED95" s="551">
        <f t="shared" si="111"/>
        <v>96.617800150100635</v>
      </c>
      <c r="EE95" s="553">
        <f>ED95/PI()*SQRT('Hilfstabellen_Mat&amp;Bem'!f.Rd.3/'Hilfstabellen_Mat&amp;Bem'!$BD$30)</f>
        <v>1.5377200484553386</v>
      </c>
      <c r="EF95" s="553">
        <f>0.5*(1+'Hilfstabellen_Mat&amp;Bem'!$BD$31*(EE95-0.3)+EE95^2)</f>
        <v>1.7441774761335114</v>
      </c>
      <c r="EG95" s="550">
        <f t="shared" si="112"/>
        <v>0.38951045737760998</v>
      </c>
      <c r="EI95" s="551">
        <f t="shared" si="113"/>
        <v>8416.9314734727741</v>
      </c>
      <c r="EL95" s="547">
        <f>'Hilfstabellen_Mat&amp;Bem'!$J$65</f>
        <v>4.2</v>
      </c>
      <c r="EM95" s="546">
        <f t="shared" si="114"/>
        <v>147</v>
      </c>
      <c r="EN95" s="551">
        <f t="shared" si="115"/>
        <v>98.974331861078696</v>
      </c>
      <c r="EO95" s="553">
        <f>EN95/PI()*SQRT('Hilfstabellen_Mat&amp;Bem'!f.Rd.3/'Hilfstabellen_Mat&amp;Bem'!$BD$30)</f>
        <v>1.5752254154908345</v>
      </c>
      <c r="EP95" s="553">
        <f>0.5*(1+'Hilfstabellen_Mat&amp;Bem'!$BD$31*(EO95-0.3)+EO95^2)</f>
        <v>1.804428825578678</v>
      </c>
      <c r="EQ95" s="550">
        <f t="shared" si="116"/>
        <v>0.3725007270207823</v>
      </c>
      <c r="ES95" s="551">
        <f t="shared" si="117"/>
        <v>8049.3682101920849</v>
      </c>
    </row>
    <row r="96" spans="3:149">
      <c r="C96" s="546">
        <v>148</v>
      </c>
      <c r="D96" s="551">
        <f t="shared" si="72"/>
        <v>65.537057583687243</v>
      </c>
      <c r="E96" s="553">
        <f>$D96/PI()*SQRT('Hilfstabellen_Mat&amp;Bem'!f.Rd.3/'Hilfstabellen_Mat&amp;Bem'!$BD$30)</f>
        <v>1.0430546670142011</v>
      </c>
      <c r="F96" s="553">
        <f>0.5*(1+'Hilfstabellen_Mat&amp;Bem'!$BD$31*($E96-0.3)+$E96^2)</f>
        <v>1.081134252540763</v>
      </c>
      <c r="G96" s="550">
        <f t="shared" si="73"/>
        <v>0.73230951446445125</v>
      </c>
      <c r="I96" s="551">
        <f t="shared" si="118"/>
        <v>16040.507604829339</v>
      </c>
      <c r="M96" s="546">
        <f t="shared" si="74"/>
        <v>148</v>
      </c>
      <c r="N96" s="551">
        <f t="shared" si="64"/>
        <v>67.877666783104644</v>
      </c>
      <c r="O96" s="553">
        <f>$N96/PI()*SQRT('Hilfstabellen_Mat&amp;Bem'!f.Rd.3/'Hilfstabellen_Mat&amp;Bem'!$BD$30)</f>
        <v>1.0803066194075654</v>
      </c>
      <c r="P96" s="553">
        <f>0.5*(1+'Hilfstabellen_Mat&amp;Bem'!$BD$31*($O96-0.3)+$O96^2)</f>
        <v>1.1225465269382795</v>
      </c>
      <c r="Q96" s="550">
        <f t="shared" si="65"/>
        <v>0.70048381013031003</v>
      </c>
      <c r="S96" s="551">
        <f t="shared" si="119"/>
        <v>15343.39737709431</v>
      </c>
      <c r="W96" s="546">
        <f t="shared" si="75"/>
        <v>148</v>
      </c>
      <c r="X96" s="551">
        <f t="shared" si="66"/>
        <v>70.218275982522044</v>
      </c>
      <c r="Y96" s="553">
        <f>$X96/PI()*SQRT('Hilfstabellen_Mat&amp;Bem'!f.Rd.3/'Hilfstabellen_Mat&amp;Bem'!$BD$30)</f>
        <v>1.1175585718009298</v>
      </c>
      <c r="Z96" s="553">
        <f>0.5*(1+'Hilfstabellen_Mat&amp;Bem'!$BD$31*($Y96-0.3)+$Y96^2)</f>
        <v>1.1653465092929134</v>
      </c>
      <c r="AA96" s="550">
        <f t="shared" si="67"/>
        <v>0.66860905435057116</v>
      </c>
      <c r="AC96" s="551">
        <f t="shared" si="120"/>
        <v>14645.21272649491</v>
      </c>
      <c r="AG96" s="546">
        <f t="shared" si="76"/>
        <v>148</v>
      </c>
      <c r="AH96" s="551">
        <f t="shared" si="68"/>
        <v>72.558885181939459</v>
      </c>
      <c r="AI96" s="553">
        <f>$AH96/PI()*SQRT('Hilfstabellen_Mat&amp;Bem'!f.Rd.3/'Hilfstabellen_Mat&amp;Bem'!$BD$30)</f>
        <v>1.1548105241942943</v>
      </c>
      <c r="AJ96" s="553">
        <f>0.5*(1+'Hilfstabellen_Mat&amp;Bem'!$BD$31*($AI96-0.3)+$AI96^2)</f>
        <v>1.2095341996046651</v>
      </c>
      <c r="AK96" s="550">
        <f t="shared" si="69"/>
        <v>0.63725263778428054</v>
      </c>
      <c r="AM96" s="551">
        <f t="shared" si="121"/>
        <v>13958.38177802688</v>
      </c>
      <c r="AQ96" s="546">
        <f t="shared" si="77"/>
        <v>148</v>
      </c>
      <c r="AR96" s="551">
        <f t="shared" si="70"/>
        <v>74.899494381356845</v>
      </c>
      <c r="AS96" s="553">
        <f>$AR96/PI()*SQRT('Hilfstabellen_Mat&amp;Bem'!f.Rd.3/'Hilfstabellen_Mat&amp;Bem'!$BD$30)</f>
        <v>1.1920624765876584</v>
      </c>
      <c r="AT96" s="553">
        <f>0.5*(1+'Hilfstabellen_Mat&amp;Bem'!$BD$31*($AS96-0.3)+$AS96^2)</f>
        <v>1.2551095978735338</v>
      </c>
      <c r="AU96" s="550">
        <f t="shared" si="71"/>
        <v>0.60683160079620002</v>
      </c>
      <c r="AW96" s="551">
        <f t="shared" si="122"/>
        <v>13292.039383839965</v>
      </c>
      <c r="AZ96" s="547">
        <f>'Hilfstabellen_Mat&amp;Bem'!$J$56</f>
        <v>3.3</v>
      </c>
      <c r="BA96" s="546">
        <f t="shared" si="78"/>
        <v>148</v>
      </c>
      <c r="BB96" s="551">
        <f t="shared" si="79"/>
        <v>77.24010358077426</v>
      </c>
      <c r="BC96" s="553">
        <f>BB96/PI()*SQRT('Hilfstabellen_Mat&amp;Bem'!f.Rd.3/'Hilfstabellen_Mat&amp;Bem'!$BD$30)</f>
        <v>1.2293144289810229</v>
      </c>
      <c r="BD96" s="553">
        <f>0.5*(1+'Hilfstabellen_Mat&amp;Bem'!$BD$31*(BC96-0.3)+BC96^2)</f>
        <v>1.3020727040995204</v>
      </c>
      <c r="BE96" s="550">
        <f t="shared" si="80"/>
        <v>0.57762268877661882</v>
      </c>
      <c r="BG96" s="551">
        <f t="shared" si="81"/>
        <v>12652.247374963059</v>
      </c>
      <c r="BJ96" s="547">
        <f>'Hilfstabellen_Mat&amp;Bem'!$J$57</f>
        <v>3.4</v>
      </c>
      <c r="BK96" s="546">
        <f t="shared" si="82"/>
        <v>148</v>
      </c>
      <c r="BL96" s="551">
        <f t="shared" si="83"/>
        <v>79.580712780191647</v>
      </c>
      <c r="BM96" s="553">
        <f>BL96/PI()*SQRT('Hilfstabellen_Mat&amp;Bem'!f.Rd.3/'Hilfstabellen_Mat&amp;Bem'!$BD$30)</f>
        <v>1.266566381374387</v>
      </c>
      <c r="BN96" s="553">
        <f>0.5*(1+'Hilfstabellen_Mat&amp;Bem'!$BD$31*(BM96-0.3)+BM96^2)</f>
        <v>1.3504235182826241</v>
      </c>
      <c r="BO96" s="550">
        <f t="shared" si="84"/>
        <v>0.54978829872764523</v>
      </c>
      <c r="BQ96" s="551">
        <f t="shared" si="85"/>
        <v>12042.56289533034</v>
      </c>
      <c r="BT96" s="547">
        <f>'Hilfstabellen_Mat&amp;Bem'!$J$58</f>
        <v>3.5</v>
      </c>
      <c r="BU96" s="546">
        <f t="shared" si="86"/>
        <v>148</v>
      </c>
      <c r="BV96" s="551">
        <f t="shared" si="87"/>
        <v>81.921321979609061</v>
      </c>
      <c r="BW96" s="553">
        <f>BV96/PI()*SQRT('Hilfstabellen_Mat&amp;Bem'!f.Rd.3/'Hilfstabellen_Mat&amp;Bem'!$BD$30)</f>
        <v>1.3038183337677516</v>
      </c>
      <c r="BX96" s="553">
        <f>0.5*(1+'Hilfstabellen_Mat&amp;Bem'!$BD$31*(BW96-0.3)+BW96^2)</f>
        <v>1.4001620404228456</v>
      </c>
      <c r="BY96" s="550">
        <f t="shared" si="88"/>
        <v>0.52340529666743951</v>
      </c>
      <c r="CA96" s="551">
        <f t="shared" si="89"/>
        <v>11464.669618203596</v>
      </c>
      <c r="CD96" s="547">
        <f>'Hilfstabellen_Mat&amp;Bem'!$J$59</f>
        <v>3.6</v>
      </c>
      <c r="CE96" s="546">
        <f t="shared" si="90"/>
        <v>148</v>
      </c>
      <c r="CF96" s="551">
        <f t="shared" si="91"/>
        <v>84.261931179026448</v>
      </c>
      <c r="CG96" s="553">
        <f>CF96/PI()*SQRT('Hilfstabellen_Mat&amp;Bem'!f.Rd.3/'Hilfstabellen_Mat&amp;Bem'!$BD$30)</f>
        <v>1.3410702861611157</v>
      </c>
      <c r="CH96" s="553">
        <f>0.5*(1+'Hilfstabellen_Mat&amp;Bem'!$BD$31*(CG96-0.3)+CG96^2)</f>
        <v>1.4512882705201842</v>
      </c>
      <c r="CI96" s="550">
        <f t="shared" si="92"/>
        <v>0.49849036942359876</v>
      </c>
      <c r="CK96" s="551">
        <f t="shared" si="93"/>
        <v>10918.933051854507</v>
      </c>
      <c r="CN96" s="547">
        <f>'Hilfstabellen_Mat&amp;Bem'!$J$60</f>
        <v>3.7</v>
      </c>
      <c r="CO96" s="546">
        <f t="shared" si="94"/>
        <v>148</v>
      </c>
      <c r="CP96" s="551">
        <f t="shared" si="95"/>
        <v>86.602540378443862</v>
      </c>
      <c r="CQ96" s="553">
        <f>CP96/PI()*SQRT('Hilfstabellen_Mat&amp;Bem'!f.Rd.3/'Hilfstabellen_Mat&amp;Bem'!$BD$30)</f>
        <v>1.3783222385544802</v>
      </c>
      <c r="CR96" s="553">
        <f>0.5*(1+'Hilfstabellen_Mat&amp;Bem'!$BD$31*(CQ96-0.3)+CQ96^2)</f>
        <v>1.5038022085746408</v>
      </c>
      <c r="CS96" s="550">
        <f t="shared" si="96"/>
        <v>0.47501995619125226</v>
      </c>
      <c r="CU96" s="551">
        <f t="shared" si="97"/>
        <v>10404.837120413189</v>
      </c>
      <c r="CX96" s="547">
        <f>'Hilfstabellen_Mat&amp;Bem'!$J$61</f>
        <v>3.8</v>
      </c>
      <c r="CY96" s="546">
        <f t="shared" si="98"/>
        <v>148</v>
      </c>
      <c r="CZ96" s="551">
        <f t="shared" si="99"/>
        <v>88.943149577861263</v>
      </c>
      <c r="DA96" s="553">
        <f>CZ96/PI()*SQRT('Hilfstabellen_Mat&amp;Bem'!f.Rd.3/'Hilfstabellen_Mat&amp;Bem'!$BD$30)</f>
        <v>1.4155741909478445</v>
      </c>
      <c r="DB96" s="553">
        <f>0.5*(1+'Hilfstabellen_Mat&amp;Bem'!$BD$31*(DA96-0.3)+DA96^2)</f>
        <v>1.5577038545862145</v>
      </c>
      <c r="DC96" s="550">
        <f t="shared" si="100"/>
        <v>0.45294494119642764</v>
      </c>
      <c r="DE96" s="551">
        <f t="shared" si="101"/>
        <v>9921.3059919665502</v>
      </c>
      <c r="DH96" s="547">
        <f>'Hilfstabellen_Mat&amp;Bem'!$J$62</f>
        <v>3.9</v>
      </c>
      <c r="DI96" s="546">
        <f t="shared" si="102"/>
        <v>148</v>
      </c>
      <c r="DJ96" s="551">
        <f t="shared" si="103"/>
        <v>91.283758777278663</v>
      </c>
      <c r="DK96" s="553">
        <f>DJ96/PI()*SQRT('Hilfstabellen_Mat&amp;Bem'!f.Rd.3/'Hilfstabellen_Mat&amp;Bem'!$BD$30)</f>
        <v>1.4528261433412089</v>
      </c>
      <c r="DL96" s="553">
        <f>0.5*(1+'Hilfstabellen_Mat&amp;Bem'!$BD$31*(DK96-0.3)+DK96^2)</f>
        <v>1.6129932085549057</v>
      </c>
      <c r="DM96" s="550">
        <f t="shared" si="104"/>
        <v>0.43220104963838218</v>
      </c>
      <c r="DO96" s="551">
        <f t="shared" si="105"/>
        <v>9466.931791279123</v>
      </c>
      <c r="DR96" s="547">
        <f>'Hilfstabellen_Mat&amp;Bem'!$J$63</f>
        <v>4</v>
      </c>
      <c r="DS96" s="546">
        <f t="shared" si="106"/>
        <v>148</v>
      </c>
      <c r="DT96" s="551">
        <f t="shared" si="107"/>
        <v>93.624367976696064</v>
      </c>
      <c r="DU96" s="553">
        <f>DT96/PI()*SQRT('Hilfstabellen_Mat&amp;Bem'!f.Rd.3/'Hilfstabellen_Mat&amp;Bem'!$BD$30)</f>
        <v>1.4900780957345732</v>
      </c>
      <c r="DV96" s="553">
        <f>0.5*(1+'Hilfstabellen_Mat&amp;Bem'!$BD$31*(DU96-0.3)+DU96^2)</f>
        <v>1.6696702704807147</v>
      </c>
      <c r="DW96" s="550">
        <f t="shared" si="108"/>
        <v>0.41271599170744167</v>
      </c>
      <c r="DY96" s="551">
        <f t="shared" si="109"/>
        <v>9040.1310823598014</v>
      </c>
      <c r="EB96" s="547">
        <f>'Hilfstabellen_Mat&amp;Bem'!$J$64</f>
        <v>4.0999999999999996</v>
      </c>
      <c r="EC96" s="546">
        <f t="shared" si="110"/>
        <v>148</v>
      </c>
      <c r="ED96" s="551">
        <f t="shared" si="111"/>
        <v>95.964977176113464</v>
      </c>
      <c r="EE96" s="553">
        <f>ED96/PI()*SQRT('Hilfstabellen_Mat&amp;Bem'!f.Rd.3/'Hilfstabellen_Mat&amp;Bem'!$BD$30)</f>
        <v>1.5273300481279375</v>
      </c>
      <c r="EF96" s="553">
        <f>0.5*(1+'Hilfstabellen_Mat&amp;Bem'!$BD$31*(EE96-0.3)+EE96^2)</f>
        <v>1.7277350403636409</v>
      </c>
      <c r="EG96" s="550">
        <f t="shared" si="112"/>
        <v>0.39441425356887655</v>
      </c>
      <c r="EI96" s="551">
        <f t="shared" si="113"/>
        <v>8639.2498101726724</v>
      </c>
      <c r="EL96" s="547">
        <f>'Hilfstabellen_Mat&amp;Bem'!$J$65</f>
        <v>4.2</v>
      </c>
      <c r="EM96" s="546">
        <f t="shared" si="114"/>
        <v>148</v>
      </c>
      <c r="EN96" s="551">
        <f t="shared" si="115"/>
        <v>98.305586375530865</v>
      </c>
      <c r="EO96" s="553">
        <f>EN96/PI()*SQRT('Hilfstabellen_Mat&amp;Bem'!f.Rd.3/'Hilfstabellen_Mat&amp;Bem'!$BD$30)</f>
        <v>1.5645820005213018</v>
      </c>
      <c r="EP96" s="553">
        <f>0.5*(1+'Hilfstabellen_Mat&amp;Bem'!$BD$31*(EO96-0.3)+EO96^2)</f>
        <v>1.7871875182036847</v>
      </c>
      <c r="EQ96" s="550">
        <f t="shared" si="116"/>
        <v>0.37722023138001748</v>
      </c>
      <c r="ES96" s="551">
        <f t="shared" si="117"/>
        <v>8262.6319481479022</v>
      </c>
    </row>
    <row r="97" spans="3:149">
      <c r="C97" s="546">
        <v>149</v>
      </c>
      <c r="D97" s="551">
        <f t="shared" si="72"/>
        <v>65.097211559635653</v>
      </c>
      <c r="E97" s="553">
        <f>$D97/PI()*SQRT('Hilfstabellen_Mat&amp;Bem'!f.Rd.3/'Hilfstabellen_Mat&amp;Bem'!$BD$30)</f>
        <v>1.0360543001214884</v>
      </c>
      <c r="F97" s="553">
        <f>0.5*(1+'Hilfstabellen_Mat&amp;Bem'!$BD$31*($E97-0.3)+$E97^2)</f>
        <v>1.073506971406188</v>
      </c>
      <c r="G97" s="550">
        <f t="shared" si="73"/>
        <v>0.73822975194032481</v>
      </c>
      <c r="I97" s="551">
        <f t="shared" si="118"/>
        <v>16389.438722827152</v>
      </c>
      <c r="M97" s="546">
        <f t="shared" si="74"/>
        <v>149</v>
      </c>
      <c r="N97" s="551">
        <f t="shared" si="64"/>
        <v>67.422111972479783</v>
      </c>
      <c r="O97" s="553">
        <f>$N97/PI()*SQRT('Hilfstabellen_Mat&amp;Bem'!f.Rd.3/'Hilfstabellen_Mat&amp;Bem'!$BD$30)</f>
        <v>1.0730562394115415</v>
      </c>
      <c r="P97" s="553">
        <f>0.5*(1+'Hilfstabellen_Mat&amp;Bem'!$BD$31*($O97-0.3)+$O97^2)</f>
        <v>1.1143776584405969</v>
      </c>
      <c r="Q97" s="550">
        <f t="shared" si="65"/>
        <v>0.70670208516522759</v>
      </c>
      <c r="S97" s="551">
        <f t="shared" si="119"/>
        <v>15689.492992753218</v>
      </c>
      <c r="W97" s="546">
        <f t="shared" si="75"/>
        <v>149</v>
      </c>
      <c r="X97" s="551">
        <f t="shared" si="66"/>
        <v>69.747012385323913</v>
      </c>
      <c r="Y97" s="553">
        <f>$X97/PI()*SQRT('Hilfstabellen_Mat&amp;Bem'!f.Rd.3/'Hilfstabellen_Mat&amp;Bem'!$BD$30)</f>
        <v>1.1100581787015948</v>
      </c>
      <c r="Z97" s="553">
        <f>0.5*(1+'Hilfstabellen_Mat&amp;Bem'!$BD$31*($Y97-0.3)+$Y97^2)</f>
        <v>1.1566174889862306</v>
      </c>
      <c r="AA97" s="550">
        <f t="shared" si="67"/>
        <v>0.67500123273895618</v>
      </c>
      <c r="AC97" s="551">
        <f t="shared" si="120"/>
        <v>14985.702368037566</v>
      </c>
      <c r="AG97" s="546">
        <f t="shared" si="76"/>
        <v>149</v>
      </c>
      <c r="AH97" s="551">
        <f t="shared" si="68"/>
        <v>72.071912798168043</v>
      </c>
      <c r="AI97" s="553">
        <f>$AH97/PI()*SQRT('Hilfstabellen_Mat&amp;Bem'!f.Rd.3/'Hilfstabellen_Mat&amp;Bem'!$BD$30)</f>
        <v>1.147060117991648</v>
      </c>
      <c r="AJ97" s="553">
        <f>0.5*(1+'Hilfstabellen_Mat&amp;Bem'!$BD$31*($AI97-0.3)+$AI97^2)</f>
        <v>1.200226463043089</v>
      </c>
      <c r="AK97" s="550">
        <f t="shared" si="69"/>
        <v>0.64371100782269297</v>
      </c>
      <c r="AM97" s="551">
        <f t="shared" si="121"/>
        <v>14291.028084671607</v>
      </c>
      <c r="AQ97" s="546">
        <f t="shared" si="77"/>
        <v>149</v>
      </c>
      <c r="AR97" s="551">
        <f t="shared" si="70"/>
        <v>74.396813211012173</v>
      </c>
      <c r="AS97" s="553">
        <f>$AR97/PI()*SQRT('Hilfstabellen_Mat&amp;Bem'!f.Rd.3/'Hilfstabellen_Mat&amp;Bem'!$BD$30)</f>
        <v>1.1840620572817009</v>
      </c>
      <c r="AT97" s="553">
        <f>0.5*(1+'Hilfstabellen_Mat&amp;Bem'!$BD$31*($AS97-0.3)+$AS97^2)</f>
        <v>1.245204580611172</v>
      </c>
      <c r="AU97" s="550">
        <f t="shared" si="71"/>
        <v>0.61327027958706137</v>
      </c>
      <c r="AW97" s="551">
        <f t="shared" si="122"/>
        <v>13615.213477112349</v>
      </c>
      <c r="AZ97" s="547">
        <f>'Hilfstabellen_Mat&amp;Bem'!$J$56</f>
        <v>3.3</v>
      </c>
      <c r="BA97" s="546">
        <f t="shared" si="78"/>
        <v>149</v>
      </c>
      <c r="BB97" s="551">
        <f t="shared" si="79"/>
        <v>76.721713623856303</v>
      </c>
      <c r="BC97" s="553">
        <f>BB97/PI()*SQRT('Hilfstabellen_Mat&amp;Bem'!f.Rd.3/'Hilfstabellen_Mat&amp;Bem'!$BD$30)</f>
        <v>1.2210639965717542</v>
      </c>
      <c r="BD97" s="553">
        <f>0.5*(1+'Hilfstabellen_Mat&amp;Bem'!$BD$31*(BC97-0.3)+BC97^2)</f>
        <v>1.2915518416904801</v>
      </c>
      <c r="BE97" s="550">
        <f t="shared" si="80"/>
        <v>0.58397744734651313</v>
      </c>
      <c r="BG97" s="551">
        <f t="shared" si="81"/>
        <v>12964.883308539938</v>
      </c>
      <c r="BJ97" s="547">
        <f>'Hilfstabellen_Mat&amp;Bem'!$J$57</f>
        <v>3.4</v>
      </c>
      <c r="BK97" s="546">
        <f t="shared" si="82"/>
        <v>149</v>
      </c>
      <c r="BL97" s="551">
        <f t="shared" si="83"/>
        <v>79.046614036700433</v>
      </c>
      <c r="BM97" s="553">
        <f>BL97/PI()*SQRT('Hilfstabellen_Mat&amp;Bem'!f.Rd.3/'Hilfstabellen_Mat&amp;Bem'!$BD$30)</f>
        <v>1.2580659358618074</v>
      </c>
      <c r="BN97" s="553">
        <f>0.5*(1+'Hilfstabellen_Mat&amp;Bem'!$BD$31*(BM97-0.3)+BM97^2)</f>
        <v>1.339268246281013</v>
      </c>
      <c r="BO97" s="550">
        <f t="shared" si="84"/>
        <v>0.55601360906105768</v>
      </c>
      <c r="BQ97" s="551">
        <f t="shared" si="85"/>
        <v>12344.058134764542</v>
      </c>
      <c r="BT97" s="547">
        <f>'Hilfstabellen_Mat&amp;Bem'!$J$58</f>
        <v>3.5</v>
      </c>
      <c r="BU97" s="546">
        <f t="shared" si="86"/>
        <v>149</v>
      </c>
      <c r="BV97" s="551">
        <f t="shared" si="87"/>
        <v>81.371514449544563</v>
      </c>
      <c r="BW97" s="553">
        <f>BV97/PI()*SQRT('Hilfstabellen_Mat&amp;Bem'!f.Rd.3/'Hilfstabellen_Mat&amp;Bem'!$BD$30)</f>
        <v>1.2950678751518605</v>
      </c>
      <c r="BX97" s="553">
        <f>0.5*(1+'Hilfstabellen_Mat&amp;Bem'!$BD$31*(BW97-0.3)+BW97^2)</f>
        <v>1.3883537943827706</v>
      </c>
      <c r="BY97" s="550">
        <f t="shared" si="88"/>
        <v>0.52947055739987359</v>
      </c>
      <c r="CA97" s="551">
        <f t="shared" si="89"/>
        <v>11754.775844834594</v>
      </c>
      <c r="CD97" s="547">
        <f>'Hilfstabellen_Mat&amp;Bem'!$J$59</f>
        <v>3.6</v>
      </c>
      <c r="CE97" s="546">
        <f t="shared" si="90"/>
        <v>149</v>
      </c>
      <c r="CF97" s="551">
        <f t="shared" si="91"/>
        <v>83.696414862388693</v>
      </c>
      <c r="CG97" s="553">
        <f>CF97/PI()*SQRT('Hilfstabellen_Mat&amp;Bem'!f.Rd.3/'Hilfstabellen_Mat&amp;Bem'!$BD$30)</f>
        <v>1.3320698144419136</v>
      </c>
      <c r="CH97" s="553">
        <f>0.5*(1+'Hilfstabellen_Mat&amp;Bem'!$BD$31*(CG97-0.3)+CG97^2)</f>
        <v>1.4388084859957528</v>
      </c>
      <c r="CI97" s="550">
        <f t="shared" si="92"/>
        <v>0.50437632797828835</v>
      </c>
      <c r="CK97" s="551">
        <f t="shared" si="93"/>
        <v>11197.65885744598</v>
      </c>
      <c r="CN97" s="547">
        <f>'Hilfstabellen_Mat&amp;Bem'!$J$60</f>
        <v>3.7</v>
      </c>
      <c r="CO97" s="546">
        <f t="shared" si="94"/>
        <v>149</v>
      </c>
      <c r="CP97" s="551">
        <f t="shared" si="95"/>
        <v>86.021315275232823</v>
      </c>
      <c r="CQ97" s="553">
        <f>CP97/PI()*SQRT('Hilfstabellen_Mat&amp;Bem'!f.Rd.3/'Hilfstabellen_Mat&amp;Bem'!$BD$30)</f>
        <v>1.3690717537319668</v>
      </c>
      <c r="CR97" s="553">
        <f>0.5*(1+'Hilfstabellen_Mat&amp;Bem'!$BD$31*(CQ97-0.3)+CQ97^2)</f>
        <v>1.4906323211199599</v>
      </c>
      <c r="CS97" s="550">
        <f t="shared" si="96"/>
        <v>0.48071571663460555</v>
      </c>
      <c r="CU97" s="551">
        <f t="shared" si="97"/>
        <v>10672.369625004878</v>
      </c>
      <c r="CX97" s="547">
        <f>'Hilfstabellen_Mat&amp;Bem'!$J$61</f>
        <v>3.8</v>
      </c>
      <c r="CY97" s="546">
        <f t="shared" si="98"/>
        <v>149</v>
      </c>
      <c r="CZ97" s="551">
        <f t="shared" si="99"/>
        <v>88.346215688076967</v>
      </c>
      <c r="DA97" s="553">
        <f>CZ97/PI()*SQRT('Hilfstabellen_Mat&amp;Bem'!f.Rd.3/'Hilfstabellen_Mat&amp;Bem'!$BD$30)</f>
        <v>1.4060736930220203</v>
      </c>
      <c r="DB97" s="553">
        <f>0.5*(1+'Hilfstabellen_Mat&amp;Bem'!$BD$31*(DA97-0.3)+DA97^2)</f>
        <v>1.5438252997553925</v>
      </c>
      <c r="DC97" s="550">
        <f t="shared" si="100"/>
        <v>0.45844562036468778</v>
      </c>
      <c r="DE97" s="551">
        <f t="shared" si="101"/>
        <v>10177.951217716434</v>
      </c>
      <c r="DH97" s="547">
        <f>'Hilfstabellen_Mat&amp;Bem'!$J$62</f>
        <v>3.9</v>
      </c>
      <c r="DI97" s="546">
        <f t="shared" si="102"/>
        <v>149</v>
      </c>
      <c r="DJ97" s="551">
        <f t="shared" si="103"/>
        <v>90.671116100921097</v>
      </c>
      <c r="DK97" s="553">
        <f>DJ97/PI()*SQRT('Hilfstabellen_Mat&amp;Bem'!f.Rd.3/'Hilfstabellen_Mat&amp;Bem'!$BD$30)</f>
        <v>1.4430756323120733</v>
      </c>
      <c r="DL97" s="553">
        <f>0.5*(1+'Hilfstabellen_Mat&amp;Bem'!$BD$31*(DK97-0.3)+DK97^2)</f>
        <v>1.5983874219020486</v>
      </c>
      <c r="DM97" s="550">
        <f t="shared" si="104"/>
        <v>0.43750600810204021</v>
      </c>
      <c r="DO97" s="551">
        <f t="shared" si="105"/>
        <v>9713.0708858733942</v>
      </c>
      <c r="DR97" s="547">
        <f>'Hilfstabellen_Mat&amp;Bem'!$J$63</f>
        <v>4</v>
      </c>
      <c r="DS97" s="546">
        <f t="shared" si="106"/>
        <v>149</v>
      </c>
      <c r="DT97" s="551">
        <f t="shared" si="107"/>
        <v>92.996016513765213</v>
      </c>
      <c r="DU97" s="553">
        <f>DT97/PI()*SQRT('Hilfstabellen_Mat&amp;Bem'!f.Rd.3/'Hilfstabellen_Mat&amp;Bem'!$BD$30)</f>
        <v>1.4800775716021262</v>
      </c>
      <c r="DV97" s="553">
        <f>0.5*(1+'Hilfstabellen_Mat&amp;Bem'!$BD$31*(DU97-0.3)+DU97^2)</f>
        <v>1.6543186875599298</v>
      </c>
      <c r="DW97" s="550">
        <f t="shared" si="108"/>
        <v>0.41782752774185622</v>
      </c>
      <c r="DY97" s="551">
        <f t="shared" si="109"/>
        <v>9276.18894339695</v>
      </c>
      <c r="EB97" s="547">
        <f>'Hilfstabellen_Mat&amp;Bem'!$J$64</f>
        <v>4.0999999999999996</v>
      </c>
      <c r="EC97" s="546">
        <f t="shared" si="110"/>
        <v>149</v>
      </c>
      <c r="ED97" s="551">
        <f t="shared" si="111"/>
        <v>95.320916926609343</v>
      </c>
      <c r="EE97" s="553">
        <f>ED97/PI()*SQRT('Hilfstabellen_Mat&amp;Bem'!f.Rd.3/'Hilfstabellen_Mat&amp;Bem'!$BD$30)</f>
        <v>1.5170795108921793</v>
      </c>
      <c r="EF97" s="553">
        <f>0.5*(1+'Hilfstabellen_Mat&amp;Bem'!$BD$31*(EE97-0.3)+EE97^2)</f>
        <v>1.7116190967290359</v>
      </c>
      <c r="EG97" s="550">
        <f t="shared" si="112"/>
        <v>0.39933665197604667</v>
      </c>
      <c r="EI97" s="551">
        <f t="shared" si="113"/>
        <v>8865.6730105202114</v>
      </c>
      <c r="EL97" s="547">
        <f>'Hilfstabellen_Mat&amp;Bem'!$J$65</f>
        <v>4.2</v>
      </c>
      <c r="EM97" s="546">
        <f t="shared" si="114"/>
        <v>149</v>
      </c>
      <c r="EN97" s="551">
        <f t="shared" si="115"/>
        <v>97.645817339453473</v>
      </c>
      <c r="EO97" s="553">
        <f>EN97/PI()*SQRT('Hilfstabellen_Mat&amp;Bem'!f.Rd.3/'Hilfstabellen_Mat&amp;Bem'!$BD$30)</f>
        <v>1.5540814501822326</v>
      </c>
      <c r="EP97" s="553">
        <f>0.5*(1+'Hilfstabellen_Mat&amp;Bem'!$BD$31*(EO97-0.3)+EO97^2)</f>
        <v>1.770288649409367</v>
      </c>
      <c r="EQ97" s="550">
        <f t="shared" si="116"/>
        <v>0.38195907691795783</v>
      </c>
      <c r="ES97" s="551">
        <f t="shared" si="117"/>
        <v>8479.8734666555811</v>
      </c>
    </row>
    <row r="98" spans="3:149">
      <c r="C98" s="546">
        <v>150</v>
      </c>
      <c r="D98" s="551">
        <f t="shared" si="72"/>
        <v>64.663230149238089</v>
      </c>
      <c r="E98" s="553">
        <f>$D98/PI()*SQRT('Hilfstabellen_Mat&amp;Bem'!f.Rd.3/'Hilfstabellen_Mat&amp;Bem'!$BD$30)</f>
        <v>1.029147271454012</v>
      </c>
      <c r="F98" s="553">
        <f>0.5*(1+'Hilfstabellen_Mat&amp;Bem'!$BD$31*($E98-0.3)+$E98^2)</f>
        <v>1.0660294167433195</v>
      </c>
      <c r="G98" s="550">
        <f t="shared" si="73"/>
        <v>0.74404068265235079</v>
      </c>
      <c r="I98" s="551">
        <f t="shared" si="118"/>
        <v>16740.915359677892</v>
      </c>
      <c r="M98" s="546">
        <f t="shared" si="74"/>
        <v>150</v>
      </c>
      <c r="N98" s="551">
        <f t="shared" si="64"/>
        <v>66.972631225996579</v>
      </c>
      <c r="O98" s="553">
        <f>$N98/PI()*SQRT('Hilfstabellen_Mat&amp;Bem'!f.Rd.3/'Hilfstabellen_Mat&amp;Bem'!$BD$30)</f>
        <v>1.065902531148798</v>
      </c>
      <c r="P98" s="553">
        <f>0.5*(1+'Hilfstabellen_Mat&amp;Bem'!$BD$31*($O98-0.3)+$O98^2)</f>
        <v>1.106369229512147</v>
      </c>
      <c r="Q98" s="550">
        <f t="shared" si="65"/>
        <v>0.71283131426970792</v>
      </c>
      <c r="S98" s="551">
        <f t="shared" si="119"/>
        <v>16038.704571068429</v>
      </c>
      <c r="W98" s="546">
        <f t="shared" si="75"/>
        <v>150</v>
      </c>
      <c r="X98" s="551">
        <f t="shared" si="66"/>
        <v>69.282032302755084</v>
      </c>
      <c r="Y98" s="553">
        <f>$X98/PI()*SQRT('Hilfstabellen_Mat&amp;Bem'!f.Rd.3/'Hilfstabellen_Mat&amp;Bem'!$BD$30)</f>
        <v>1.102657790843584</v>
      </c>
      <c r="Z98" s="553">
        <f>0.5*(1+'Hilfstabellen_Mat&amp;Bem'!$BD$31*($Y98-0.3)+$Y98^2)</f>
        <v>1.1480599913962055</v>
      </c>
      <c r="AA98" s="550">
        <f t="shared" si="67"/>
        <v>0.68132521956793579</v>
      </c>
      <c r="AC98" s="551">
        <f t="shared" si="120"/>
        <v>15329.817440278555</v>
      </c>
      <c r="AG98" s="546">
        <f t="shared" si="76"/>
        <v>150</v>
      </c>
      <c r="AH98" s="551">
        <f t="shared" si="68"/>
        <v>71.591433379513589</v>
      </c>
      <c r="AI98" s="553">
        <f>$AH98/PI()*SQRT('Hilfstabellen_Mat&amp;Bem'!f.Rd.3/'Hilfstabellen_Mat&amp;Bem'!$BD$30)</f>
        <v>1.1394130505383702</v>
      </c>
      <c r="AJ98" s="553">
        <f>0.5*(1+'Hilfstabellen_Mat&amp;Bem'!$BD$31*($AI98-0.3)+$AI98^2)</f>
        <v>1.1911017023954957</v>
      </c>
      <c r="AK98" s="550">
        <f t="shared" si="69"/>
        <v>0.65012029849247466</v>
      </c>
      <c r="AM98" s="551">
        <f t="shared" si="121"/>
        <v>14627.70671608068</v>
      </c>
      <c r="AQ98" s="546">
        <f t="shared" si="77"/>
        <v>150</v>
      </c>
      <c r="AR98" s="551">
        <f t="shared" si="70"/>
        <v>73.900834456272094</v>
      </c>
      <c r="AS98" s="553">
        <f>$AR98/PI()*SQRT('Hilfstabellen_Mat&amp;Bem'!f.Rd.3/'Hilfstabellen_Mat&amp;Bem'!$BD$30)</f>
        <v>1.1761683102331564</v>
      </c>
      <c r="AT98" s="553">
        <f>0.5*(1+'Hilfstabellen_Mat&amp;Bem'!$BD$31*($AS98-0.3)+$AS98^2)</f>
        <v>1.235494362510017</v>
      </c>
      <c r="AU98" s="550">
        <f t="shared" si="71"/>
        <v>0.61967614357566925</v>
      </c>
      <c r="AW98" s="551">
        <f t="shared" si="122"/>
        <v>13942.713230452558</v>
      </c>
      <c r="AZ98" s="547">
        <f>'Hilfstabellen_Mat&amp;Bem'!$J$56</f>
        <v>3.3</v>
      </c>
      <c r="BA98" s="546">
        <f t="shared" si="78"/>
        <v>150</v>
      </c>
      <c r="BB98" s="551">
        <f t="shared" si="79"/>
        <v>76.210235533030598</v>
      </c>
      <c r="BC98" s="553">
        <f>BB98/PI()*SQRT('Hilfstabellen_Mat&amp;Bem'!f.Rd.3/'Hilfstabellen_Mat&amp;Bem'!$BD$30)</f>
        <v>1.2129235699279426</v>
      </c>
      <c r="BD98" s="553">
        <f>0.5*(1+'Hilfstabellen_Mat&amp;Bem'!$BD$31*(BC98-0.3)+BC98^2)</f>
        <v>1.2812379717397695</v>
      </c>
      <c r="BE98" s="550">
        <f t="shared" si="80"/>
        <v>0.59031258320241364</v>
      </c>
      <c r="BG98" s="551">
        <f t="shared" si="81"/>
        <v>13282.033122054307</v>
      </c>
      <c r="BJ98" s="547">
        <f>'Hilfstabellen_Mat&amp;Bem'!$J$57</f>
        <v>3.4</v>
      </c>
      <c r="BK98" s="546">
        <f t="shared" si="82"/>
        <v>150</v>
      </c>
      <c r="BL98" s="551">
        <f t="shared" si="83"/>
        <v>78.519636609789103</v>
      </c>
      <c r="BM98" s="553">
        <f>BL98/PI()*SQRT('Hilfstabellen_Mat&amp;Bem'!f.Rd.3/'Hilfstabellen_Mat&amp;Bem'!$BD$30)</f>
        <v>1.2496788296227288</v>
      </c>
      <c r="BN98" s="553">
        <f>0.5*(1+'Hilfstabellen_Mat&amp;Bem'!$BD$31*(BM98-0.3)+BM98^2)</f>
        <v>1.328332530084753</v>
      </c>
      <c r="BO98" s="550">
        <f t="shared" si="84"/>
        <v>0.56222966580793909</v>
      </c>
      <c r="BQ98" s="551">
        <f t="shared" si="85"/>
        <v>12650.16748067863</v>
      </c>
      <c r="BT98" s="547">
        <f>'Hilfstabellen_Mat&amp;Bem'!$J$58</f>
        <v>3.5</v>
      </c>
      <c r="BU98" s="546">
        <f t="shared" si="86"/>
        <v>150</v>
      </c>
      <c r="BV98" s="551">
        <f t="shared" si="87"/>
        <v>80.829037686547593</v>
      </c>
      <c r="BW98" s="553">
        <f>BV98/PI()*SQRT('Hilfstabellen_Mat&amp;Bem'!f.Rd.3/'Hilfstabellen_Mat&amp;Bem'!$BD$30)</f>
        <v>1.2864340893175148</v>
      </c>
      <c r="BX98" s="553">
        <f>0.5*(1+'Hilfstabellen_Mat&amp;Bem'!$BD$31*(BW98-0.3)+BW98^2)</f>
        <v>1.3767780375449674</v>
      </c>
      <c r="BY98" s="550">
        <f t="shared" si="88"/>
        <v>0.53553454499937725</v>
      </c>
      <c r="CA98" s="551">
        <f t="shared" si="89"/>
        <v>12049.527262485988</v>
      </c>
      <c r="CD98" s="547">
        <f>'Hilfstabellen_Mat&amp;Bem'!$J$59</f>
        <v>3.6</v>
      </c>
      <c r="CE98" s="546">
        <f t="shared" si="90"/>
        <v>150</v>
      </c>
      <c r="CF98" s="551">
        <f t="shared" si="91"/>
        <v>83.138438763306112</v>
      </c>
      <c r="CG98" s="553">
        <f>CF98/PI()*SQRT('Hilfstabellen_Mat&amp;Bem'!f.Rd.3/'Hilfstabellen_Mat&amp;Bem'!$BD$30)</f>
        <v>1.323189349012301</v>
      </c>
      <c r="CH98" s="553">
        <f>0.5*(1+'Hilfstabellen_Mat&amp;Bem'!$BD$31*(CG98-0.3)+CG98^2)</f>
        <v>1.4265744941204135</v>
      </c>
      <c r="CI98" s="550">
        <f t="shared" si="92"/>
        <v>0.51026706373282316</v>
      </c>
      <c r="CK98" s="551">
        <f t="shared" si="93"/>
        <v>11481.008933988522</v>
      </c>
      <c r="CN98" s="547">
        <f>'Hilfstabellen_Mat&amp;Bem'!$J$60</f>
        <v>3.7</v>
      </c>
      <c r="CO98" s="546">
        <f t="shared" si="94"/>
        <v>150</v>
      </c>
      <c r="CP98" s="551">
        <f t="shared" si="95"/>
        <v>85.447839840064617</v>
      </c>
      <c r="CQ98" s="553">
        <f>CP98/PI()*SQRT('Hilfstabellen_Mat&amp;Bem'!f.Rd.3/'Hilfstabellen_Mat&amp;Bem'!$BD$30)</f>
        <v>1.3599446087070872</v>
      </c>
      <c r="CR98" s="553">
        <f>0.5*(1+'Hilfstabellen_Mat&amp;Bem'!$BD$31*(CQ98-0.3)+CQ98^2)</f>
        <v>1.4777218998110906</v>
      </c>
      <c r="CS98" s="550">
        <f t="shared" si="96"/>
        <v>0.48642078569930747</v>
      </c>
      <c r="CU98" s="551">
        <f t="shared" si="97"/>
        <v>10944.467678234418</v>
      </c>
      <c r="CX98" s="547">
        <f>'Hilfstabellen_Mat&amp;Bem'!$J$61</f>
        <v>3.8</v>
      </c>
      <c r="CY98" s="546">
        <f t="shared" si="98"/>
        <v>150</v>
      </c>
      <c r="CZ98" s="551">
        <f t="shared" si="99"/>
        <v>87.757240916823108</v>
      </c>
      <c r="DA98" s="553">
        <f>CZ98/PI()*SQRT('Hilfstabellen_Mat&amp;Bem'!f.Rd.3/'Hilfstabellen_Mat&amp;Bem'!$BD$30)</f>
        <v>1.3966998684018732</v>
      </c>
      <c r="DB98" s="553">
        <f>0.5*(1+'Hilfstabellen_Mat&amp;Bem'!$BD$31*(DA98-0.3)+DA98^2)</f>
        <v>1.5302202546169985</v>
      </c>
      <c r="DC98" s="550">
        <f t="shared" si="100"/>
        <v>0.46395896203108089</v>
      </c>
      <c r="DE98" s="551">
        <f t="shared" si="101"/>
        <v>10439.076645699321</v>
      </c>
      <c r="DH98" s="547">
        <f>'Hilfstabellen_Mat&amp;Bem'!$J$62</f>
        <v>3.9</v>
      </c>
      <c r="DI98" s="546">
        <f t="shared" si="102"/>
        <v>150</v>
      </c>
      <c r="DJ98" s="551">
        <f t="shared" si="103"/>
        <v>90.066641993581612</v>
      </c>
      <c r="DK98" s="553">
        <f>DJ98/PI()*SQRT('Hilfstabellen_Mat&amp;Bem'!f.Rd.3/'Hilfstabellen_Mat&amp;Bem'!$BD$30)</f>
        <v>1.4334551280966594</v>
      </c>
      <c r="DL98" s="553">
        <f>0.5*(1+'Hilfstabellen_Mat&amp;Bem'!$BD$31*(DK98-0.3)+DK98^2)</f>
        <v>1.5840695585381379</v>
      </c>
      <c r="DM98" s="550">
        <f t="shared" si="104"/>
        <v>0.44282607742675106</v>
      </c>
      <c r="DO98" s="551">
        <f t="shared" si="105"/>
        <v>9963.5867421018993</v>
      </c>
      <c r="DR98" s="547">
        <f>'Hilfstabellen_Mat&amp;Bem'!$J$63</f>
        <v>4</v>
      </c>
      <c r="DS98" s="546">
        <f t="shared" si="106"/>
        <v>150</v>
      </c>
      <c r="DT98" s="551">
        <f t="shared" si="107"/>
        <v>92.376043070340117</v>
      </c>
      <c r="DU98" s="553">
        <f>DT98/PI()*SQRT('Hilfstabellen_Mat&amp;Bem'!f.Rd.3/'Hilfstabellen_Mat&amp;Bem'!$BD$30)</f>
        <v>1.4702103877914456</v>
      </c>
      <c r="DV98" s="553">
        <f>0.5*(1+'Hilfstabellen_Mat&amp;Bem'!$BD$31*(DU98-0.3)+DU98^2)</f>
        <v>1.6392698115745088</v>
      </c>
      <c r="DW98" s="550">
        <f t="shared" si="108"/>
        <v>0.42295592948760607</v>
      </c>
      <c r="DY98" s="551">
        <f t="shared" si="109"/>
        <v>9516.508413471136</v>
      </c>
      <c r="EB98" s="547">
        <f>'Hilfstabellen_Mat&amp;Bem'!$J$64</f>
        <v>4.0999999999999996</v>
      </c>
      <c r="EC98" s="546">
        <f t="shared" si="110"/>
        <v>150</v>
      </c>
      <c r="ED98" s="551">
        <f t="shared" si="111"/>
        <v>94.685444147098622</v>
      </c>
      <c r="EE98" s="553">
        <f>ED98/PI()*SQRT('Hilfstabellen_Mat&amp;Bem'!f.Rd.3/'Hilfstabellen_Mat&amp;Bem'!$BD$30)</f>
        <v>1.5069656474862319</v>
      </c>
      <c r="EF98" s="553">
        <f>0.5*(1+'Hilfstabellen_Mat&amp;Bem'!$BD$31*(EE98-0.3)+EE98^2)</f>
        <v>1.6958210137261105</v>
      </c>
      <c r="EG98" s="550">
        <f t="shared" si="112"/>
        <v>0.40427714072070653</v>
      </c>
      <c r="EI98" s="551">
        <f t="shared" si="113"/>
        <v>9096.2356662158963</v>
      </c>
      <c r="EL98" s="547">
        <f>'Hilfstabellen_Mat&amp;Bem'!$J$65</f>
        <v>4.2</v>
      </c>
      <c r="EM98" s="546">
        <f t="shared" si="114"/>
        <v>150</v>
      </c>
      <c r="EN98" s="551">
        <f t="shared" si="115"/>
        <v>96.994845223857126</v>
      </c>
      <c r="EO98" s="553">
        <f>EN98/PI()*SQRT('Hilfstabellen_Mat&amp;Bem'!f.Rd.3/'Hilfstabellen_Mat&amp;Bem'!$BD$30)</f>
        <v>1.5437209071810178</v>
      </c>
      <c r="EP98" s="553">
        <f>0.5*(1+'Hilfstabellen_Mat&amp;Bem'!$BD$31*(EO98-0.3)+EO98^2)</f>
        <v>1.7537231649929432</v>
      </c>
      <c r="EQ98" s="550">
        <f t="shared" si="116"/>
        <v>0.38671683227639481</v>
      </c>
      <c r="ES98" s="551">
        <f t="shared" si="117"/>
        <v>8701.1287262188835</v>
      </c>
    </row>
    <row r="99" spans="3:149">
      <c r="C99" s="546">
        <v>151</v>
      </c>
      <c r="D99" s="551">
        <f t="shared" si="72"/>
        <v>64.234996836991471</v>
      </c>
      <c r="E99" s="553">
        <f>$D99/PI()*SQRT('Hilfstabellen_Mat&amp;Bem'!f.Rd.3/'Hilfstabellen_Mat&amp;Bem'!$BD$30)</f>
        <v>1.0223317266099456</v>
      </c>
      <c r="F99" s="553">
        <f>0.5*(1+'Hilfstabellen_Mat&amp;Bem'!$BD$31*($E99-0.3)+$E99^2)</f>
        <v>1.0586976659471337</v>
      </c>
      <c r="G99" s="550">
        <f t="shared" si="73"/>
        <v>0.74974035595578981</v>
      </c>
      <c r="I99" s="551">
        <f t="shared" si="118"/>
        <v>17094.829856147964</v>
      </c>
      <c r="M99" s="546">
        <f t="shared" si="74"/>
        <v>151</v>
      </c>
      <c r="N99" s="551">
        <f t="shared" si="64"/>
        <v>66.529103866884029</v>
      </c>
      <c r="O99" s="553">
        <f>$N99/PI()*SQRT('Hilfstabellen_Mat&amp;Bem'!f.Rd.3/'Hilfstabellen_Mat&amp;Bem'!$BD$30)</f>
        <v>1.0588435739888722</v>
      </c>
      <c r="P99" s="553">
        <f>0.5*(1+'Hilfstabellen_Mat&amp;Bem'!$BD$31*($O99-0.3)+$O99^2)</f>
        <v>1.0985170357882077</v>
      </c>
      <c r="Q99" s="550">
        <f t="shared" si="65"/>
        <v>0.71886867645679764</v>
      </c>
      <c r="S99" s="551">
        <f t="shared" si="119"/>
        <v>16390.924691891443</v>
      </c>
      <c r="W99" s="546">
        <f t="shared" si="75"/>
        <v>151</v>
      </c>
      <c r="X99" s="551">
        <f t="shared" si="66"/>
        <v>68.823210896776573</v>
      </c>
      <c r="Y99" s="553">
        <f>$X99/PI()*SQRT('Hilfstabellen_Mat&amp;Bem'!f.Rd.3/'Hilfstabellen_Mat&amp;Bem'!$BD$30)</f>
        <v>1.0953554213677987</v>
      </c>
      <c r="Z99" s="553">
        <f>0.5*(1+'Hilfstabellen_Mat&amp;Bem'!$BD$31*($Y99-0.3)+$Y99^2)</f>
        <v>1.1396695206283038</v>
      </c>
      <c r="AA99" s="550">
        <f t="shared" si="67"/>
        <v>0.68757788806655518</v>
      </c>
      <c r="AC99" s="551">
        <f t="shared" si="120"/>
        <v>15677.463425805525</v>
      </c>
      <c r="AG99" s="546">
        <f t="shared" si="76"/>
        <v>151</v>
      </c>
      <c r="AH99" s="551">
        <f t="shared" si="68"/>
        <v>71.117317926669131</v>
      </c>
      <c r="AI99" s="553">
        <f>$AH99/PI()*SQRT('Hilfstabellen_Mat&amp;Bem'!f.Rd.3/'Hilfstabellen_Mat&amp;Bem'!$BD$30)</f>
        <v>1.1318672687467255</v>
      </c>
      <c r="AJ99" s="553">
        <f>0.5*(1+'Hilfstabellen_Mat&amp;Bem'!$BD$31*($AI99-0.3)+$AI99^2)</f>
        <v>1.1821551204674223</v>
      </c>
      <c r="AK99" s="550">
        <f t="shared" si="69"/>
        <v>0.65647747466708706</v>
      </c>
      <c r="AM99" s="551">
        <f t="shared" si="121"/>
        <v>14968.342899884252</v>
      </c>
      <c r="AQ99" s="546">
        <f t="shared" si="77"/>
        <v>151</v>
      </c>
      <c r="AR99" s="551">
        <f t="shared" si="70"/>
        <v>73.411424956561689</v>
      </c>
      <c r="AS99" s="553">
        <f>$AR99/PI()*SQRT('Hilfstabellen_Mat&amp;Bem'!f.Rd.3/'Hilfstabellen_Mat&amp;Bem'!$BD$30)</f>
        <v>1.168379116125652</v>
      </c>
      <c r="AT99" s="553">
        <f>0.5*(1+'Hilfstabellen_Mat&amp;Bem'!$BD$31*($AS99-0.3)+$AS99^2)</f>
        <v>1.2259738353055627</v>
      </c>
      <c r="AU99" s="550">
        <f t="shared" si="71"/>
        <v>0.6260464615724497</v>
      </c>
      <c r="AW99" s="551">
        <f t="shared" si="122"/>
        <v>14274.485370313425</v>
      </c>
      <c r="AZ99" s="547">
        <f>'Hilfstabellen_Mat&amp;Bem'!$J$56</f>
        <v>3.3</v>
      </c>
      <c r="BA99" s="546">
        <f t="shared" si="78"/>
        <v>151</v>
      </c>
      <c r="BB99" s="551">
        <f t="shared" si="79"/>
        <v>75.705531986454233</v>
      </c>
      <c r="BC99" s="553">
        <f>BB99/PI()*SQRT('Hilfstabellen_Mat&amp;Bem'!f.Rd.3/'Hilfstabellen_Mat&amp;Bem'!$BD$30)</f>
        <v>1.2048909635045788</v>
      </c>
      <c r="BD99" s="553">
        <f>0.5*(1+'Hilfstabellen_Mat&amp;Bem'!$BD$31*(BC99-0.3)+BC99^2)</f>
        <v>1.271125665142725</v>
      </c>
      <c r="BE99" s="550">
        <f t="shared" si="80"/>
        <v>0.59662574538923219</v>
      </c>
      <c r="BG99" s="551">
        <f t="shared" si="81"/>
        <v>13603.663620619884</v>
      </c>
      <c r="BJ99" s="547">
        <f>'Hilfstabellen_Mat&amp;Bem'!$J$57</f>
        <v>3.4</v>
      </c>
      <c r="BK99" s="546">
        <f t="shared" si="82"/>
        <v>151</v>
      </c>
      <c r="BL99" s="551">
        <f t="shared" si="83"/>
        <v>77.999639016346791</v>
      </c>
      <c r="BM99" s="553">
        <f>BL99/PI()*SQRT('Hilfstabellen_Mat&amp;Bem'!f.Rd.3/'Hilfstabellen_Mat&amp;Bem'!$BD$30)</f>
        <v>1.2414028108835053</v>
      </c>
      <c r="BN99" s="553">
        <f>0.5*(1+'Hilfstabellen_Mat&amp;Bem'!$BD$31*(BM99-0.3)+BM99^2)</f>
        <v>1.3176106099789093</v>
      </c>
      <c r="BO99" s="550">
        <f t="shared" si="84"/>
        <v>0.56843449595742945</v>
      </c>
      <c r="BQ99" s="551">
        <f t="shared" si="85"/>
        <v>12960.874942325348</v>
      </c>
      <c r="BT99" s="547">
        <f>'Hilfstabellen_Mat&amp;Bem'!$J$58</f>
        <v>3.5</v>
      </c>
      <c r="BU99" s="546">
        <f t="shared" si="86"/>
        <v>151</v>
      </c>
      <c r="BV99" s="551">
        <f t="shared" si="87"/>
        <v>80.293746046239335</v>
      </c>
      <c r="BW99" s="553">
        <f>BV99/PI()*SQRT('Hilfstabellen_Mat&amp;Bem'!f.Rd.3/'Hilfstabellen_Mat&amp;Bem'!$BD$30)</f>
        <v>1.2779146582624319</v>
      </c>
      <c r="BX99" s="553">
        <f>0.5*(1+'Hilfstabellen_Mat&amp;Bem'!$BD$31*(BW99-0.3)+BW99^2)</f>
        <v>1.3654286698141156</v>
      </c>
      <c r="BY99" s="550">
        <f t="shared" si="88"/>
        <v>0.5415956255920561</v>
      </c>
      <c r="CA99" s="551">
        <f t="shared" si="89"/>
        <v>12348.921859124472</v>
      </c>
      <c r="CD99" s="547">
        <f>'Hilfstabellen_Mat&amp;Bem'!$J$59</f>
        <v>3.6</v>
      </c>
      <c r="CE99" s="546">
        <f t="shared" si="90"/>
        <v>151</v>
      </c>
      <c r="CF99" s="551">
        <f t="shared" si="91"/>
        <v>82.587853076131893</v>
      </c>
      <c r="CG99" s="553">
        <f>CF99/PI()*SQRT('Hilfstabellen_Mat&amp;Bem'!f.Rd.3/'Hilfstabellen_Mat&amp;Bem'!$BD$30)</f>
        <v>1.3144265056413587</v>
      </c>
      <c r="CH99" s="553">
        <f>0.5*(1+'Hilfstabellen_Mat&amp;Bem'!$BD$31*(CG99-0.3)+CG99^2)</f>
        <v>1.4145798446483444</v>
      </c>
      <c r="CI99" s="550">
        <f t="shared" si="92"/>
        <v>0.51616123135378256</v>
      </c>
      <c r="CK99" s="551">
        <f t="shared" si="93"/>
        <v>11768.992236097596</v>
      </c>
      <c r="CN99" s="547">
        <f>'Hilfstabellen_Mat&amp;Bem'!$J$60</f>
        <v>3.7</v>
      </c>
      <c r="CO99" s="546">
        <f t="shared" si="94"/>
        <v>151</v>
      </c>
      <c r="CP99" s="551">
        <f t="shared" si="95"/>
        <v>84.881960106024451</v>
      </c>
      <c r="CQ99" s="553">
        <f>CP99/PI()*SQRT('Hilfstabellen_Mat&amp;Bem'!f.Rd.3/'Hilfstabellen_Mat&amp;Bem'!$BD$30)</f>
        <v>1.3509383530202852</v>
      </c>
      <c r="CR99" s="553">
        <f>0.5*(1+'Hilfstabellen_Mat&amp;Bem'!$BD$31*(CQ99-0.3)+CQ99^2)</f>
        <v>1.4650641344815947</v>
      </c>
      <c r="CS99" s="550">
        <f t="shared" si="96"/>
        <v>0.4921340565727072</v>
      </c>
      <c r="CU99" s="551">
        <f t="shared" si="97"/>
        <v>11221.148623914298</v>
      </c>
      <c r="CX99" s="547">
        <f>'Hilfstabellen_Mat&amp;Bem'!$J$61</f>
        <v>3.8</v>
      </c>
      <c r="CY99" s="546">
        <f t="shared" si="98"/>
        <v>151</v>
      </c>
      <c r="CZ99" s="551">
        <f t="shared" si="99"/>
        <v>87.176067135916995</v>
      </c>
      <c r="DA99" s="553">
        <f>CZ99/PI()*SQRT('Hilfstabellen_Mat&amp;Bem'!f.Rd.3/'Hilfstabellen_Mat&amp;Bem'!$BD$30)</f>
        <v>1.3874502003992117</v>
      </c>
      <c r="DB99" s="553">
        <f>0.5*(1+'Hilfstabellen_Mat&amp;Bem'!$BD$31*(DA99-0.3)+DA99^2)</f>
        <v>1.516881539313867</v>
      </c>
      <c r="DC99" s="550">
        <f t="shared" si="100"/>
        <v>0.46948405359835849</v>
      </c>
      <c r="DE99" s="551">
        <f t="shared" si="101"/>
        <v>10704.705906096171</v>
      </c>
      <c r="DH99" s="547">
        <f>'Hilfstabellen_Mat&amp;Bem'!$J$62</f>
        <v>3.9</v>
      </c>
      <c r="DI99" s="546">
        <f t="shared" si="102"/>
        <v>151</v>
      </c>
      <c r="DJ99" s="551">
        <f t="shared" si="103"/>
        <v>89.470174165809553</v>
      </c>
      <c r="DK99" s="553">
        <f>DJ99/PI()*SQRT('Hilfstabellen_Mat&amp;Bem'!f.Rd.3/'Hilfstabellen_Mat&amp;Bem'!$BD$30)</f>
        <v>1.4239620477781385</v>
      </c>
      <c r="DL99" s="553">
        <f>0.5*(1+'Hilfstabellen_Mat&amp;Bem'!$BD$31*(DK99-0.3)+DK99^2)</f>
        <v>1.5700320591451618</v>
      </c>
      <c r="DM99" s="550">
        <f t="shared" si="104"/>
        <v>0.44816050206340241</v>
      </c>
      <c r="DO99" s="551">
        <f t="shared" si="105"/>
        <v>10218.507607547639</v>
      </c>
      <c r="DR99" s="547">
        <f>'Hilfstabellen_Mat&amp;Bem'!$J$63</f>
        <v>4</v>
      </c>
      <c r="DS99" s="546">
        <f t="shared" si="106"/>
        <v>151</v>
      </c>
      <c r="DT99" s="551">
        <f t="shared" si="107"/>
        <v>91.764281195702111</v>
      </c>
      <c r="DU99" s="553">
        <f>DT99/PI()*SQRT('Hilfstabellen_Mat&amp;Bem'!f.Rd.3/'Hilfstabellen_Mat&amp;Bem'!$BD$30)</f>
        <v>1.4604738951570653</v>
      </c>
      <c r="DV99" s="553">
        <f>0.5*(1+'Hilfstabellen_Mat&amp;Bem'!$BD$31*(DU99-0.3)+DU99^2)</f>
        <v>1.6245156939754786</v>
      </c>
      <c r="DW99" s="550">
        <f t="shared" si="108"/>
        <v>0.42810056815091346</v>
      </c>
      <c r="DY99" s="551">
        <f t="shared" si="109"/>
        <v>9761.1210544089772</v>
      </c>
      <c r="EB99" s="547">
        <f>'Hilfstabellen_Mat&amp;Bem'!$J$64</f>
        <v>4.0999999999999996</v>
      </c>
      <c r="EC99" s="546">
        <f t="shared" si="110"/>
        <v>151</v>
      </c>
      <c r="ED99" s="551">
        <f t="shared" si="111"/>
        <v>94.058388225594655</v>
      </c>
      <c r="EE99" s="553">
        <f>ED99/PI()*SQRT('Hilfstabellen_Mat&amp;Bem'!f.Rd.3/'Hilfstabellen_Mat&amp;Bem'!$BD$30)</f>
        <v>1.4969857425359916</v>
      </c>
      <c r="EF99" s="553">
        <f>0.5*(1+'Hilfstabellen_Mat&amp;Bem'!$BD$31*(EE99-0.3)+EE99^2)</f>
        <v>1.6803324438048168</v>
      </c>
      <c r="EG99" s="550">
        <f t="shared" si="112"/>
        <v>0.40923519344593334</v>
      </c>
      <c r="EI99" s="551">
        <f t="shared" si="113"/>
        <v>9330.9716457607265</v>
      </c>
      <c r="EL99" s="547">
        <f>'Hilfstabellen_Mat&amp;Bem'!$J$65</f>
        <v>4.2</v>
      </c>
      <c r="EM99" s="546">
        <f t="shared" si="114"/>
        <v>151</v>
      </c>
      <c r="EN99" s="551">
        <f t="shared" si="115"/>
        <v>96.352495255487213</v>
      </c>
      <c r="EO99" s="553">
        <f>EN99/PI()*SQRT('Hilfstabellen_Mat&amp;Bem'!f.Rd.3/'Hilfstabellen_Mat&amp;Bem'!$BD$30)</f>
        <v>1.5334975899149184</v>
      </c>
      <c r="EP99" s="553">
        <f>0.5*(1+'Hilfstabellen_Mat&amp;Bem'!$BD$31*(EO99-0.3)+EO99^2)</f>
        <v>1.7374823086331777</v>
      </c>
      <c r="EQ99" s="550">
        <f t="shared" si="116"/>
        <v>0.39149305415246055</v>
      </c>
      <c r="ES99" s="551">
        <f t="shared" si="117"/>
        <v>8926.4331277302535</v>
      </c>
    </row>
    <row r="100" spans="3:149">
      <c r="C100" s="546">
        <v>152</v>
      </c>
      <c r="D100" s="551">
        <f t="shared" si="72"/>
        <v>63.812398173590218</v>
      </c>
      <c r="E100" s="553">
        <f>$D100/PI()*SQRT('Hilfstabellen_Mat&amp;Bem'!f.Rd.3/'Hilfstabellen_Mat&amp;Bem'!$BD$30)</f>
        <v>1.0156058599875117</v>
      </c>
      <c r="F100" s="553">
        <f>0.5*(1+'Hilfstabellen_Mat&amp;Bem'!$BD$31*($E100-0.3)+$E100^2)</f>
        <v>1.0515079244198622</v>
      </c>
      <c r="G100" s="550">
        <f t="shared" si="73"/>
        <v>0.75532708461504172</v>
      </c>
      <c r="I100" s="551">
        <f t="shared" si="118"/>
        <v>17451.076962945925</v>
      </c>
      <c r="M100" s="546">
        <f t="shared" si="74"/>
        <v>152</v>
      </c>
      <c r="N100" s="551">
        <f t="shared" si="64"/>
        <v>66.091412394075576</v>
      </c>
      <c r="O100" s="553">
        <f>$N100/PI()*SQRT('Hilfstabellen_Mat&amp;Bem'!f.Rd.3/'Hilfstabellen_Mat&amp;Bem'!$BD$30)</f>
        <v>1.0518774978442085</v>
      </c>
      <c r="P100" s="553">
        <f>0.5*(1+'Hilfstabellen_Mat&amp;Bem'!$BD$31*($O100-0.3)+$O100^2)</f>
        <v>1.0908170101277068</v>
      </c>
      <c r="Q100" s="550">
        <f t="shared" si="65"/>
        <v>0.72481152446167441</v>
      </c>
      <c r="S100" s="551">
        <f t="shared" si="119"/>
        <v>16746.045461162525</v>
      </c>
      <c r="W100" s="546">
        <f t="shared" si="75"/>
        <v>152</v>
      </c>
      <c r="X100" s="551">
        <f t="shared" si="66"/>
        <v>68.370426614560941</v>
      </c>
      <c r="Y100" s="553">
        <f>$X100/PI()*SQRT('Hilfstabellen_Mat&amp;Bem'!f.Rd.3/'Hilfstabellen_Mat&amp;Bem'!$BD$30)</f>
        <v>1.0881491357009054</v>
      </c>
      <c r="Z100" s="553">
        <f>0.5*(1+'Hilfstabellen_Mat&amp;Bem'!$BD$31*($Y100-0.3)+$Y100^2)</f>
        <v>1.131441727548359</v>
      </c>
      <c r="AA100" s="550">
        <f t="shared" si="67"/>
        <v>0.69375619585702919</v>
      </c>
      <c r="AC100" s="551">
        <f t="shared" si="120"/>
        <v>16028.543149080802</v>
      </c>
      <c r="AG100" s="546">
        <f t="shared" si="76"/>
        <v>152</v>
      </c>
      <c r="AH100" s="551">
        <f t="shared" si="68"/>
        <v>70.649440835046306</v>
      </c>
      <c r="AI100" s="553">
        <f>$AH100/PI()*SQRT('Hilfstabellen_Mat&amp;Bem'!f.Rd.3/'Hilfstabellen_Mat&amp;Bem'!$BD$30)</f>
        <v>1.1244207735576024</v>
      </c>
      <c r="AJ100" s="553">
        <f>0.5*(1+'Hilfstabellen_Mat&amp;Bem'!$BD$31*($AI100-0.3)+$AI100^2)</f>
        <v>1.1733820766818186</v>
      </c>
      <c r="AK100" s="550">
        <f t="shared" si="69"/>
        <v>0.66277952032485898</v>
      </c>
      <c r="AM100" s="551">
        <f t="shared" si="121"/>
        <v>15312.858037585542</v>
      </c>
      <c r="AQ100" s="546">
        <f t="shared" si="77"/>
        <v>152</v>
      </c>
      <c r="AR100" s="551">
        <f t="shared" si="70"/>
        <v>72.928455055531671</v>
      </c>
      <c r="AS100" s="553">
        <f>$AR100/PI()*SQRT('Hilfstabellen_Mat&amp;Bem'!f.Rd.3/'Hilfstabellen_Mat&amp;Bem'!$BD$30)</f>
        <v>1.1606924114142989</v>
      </c>
      <c r="AT100" s="553">
        <f>0.5*(1+'Hilfstabellen_Mat&amp;Bem'!$BD$31*($AS100-0.3)+$AS100^2)</f>
        <v>1.2166380575280851</v>
      </c>
      <c r="AU100" s="550">
        <f t="shared" si="71"/>
        <v>0.63237848325553303</v>
      </c>
      <c r="AW100" s="551">
        <f t="shared" si="122"/>
        <v>14610.472477135836</v>
      </c>
      <c r="AZ100" s="547">
        <f>'Hilfstabellen_Mat&amp;Bem'!$J$56</f>
        <v>3.3</v>
      </c>
      <c r="BA100" s="546">
        <f t="shared" si="78"/>
        <v>152</v>
      </c>
      <c r="BB100" s="551">
        <f t="shared" si="79"/>
        <v>75.207469276017036</v>
      </c>
      <c r="BC100" s="553">
        <f>BB100/PI()*SQRT('Hilfstabellen_Mat&amp;Bem'!f.Rd.3/'Hilfstabellen_Mat&amp;Bem'!$BD$30)</f>
        <v>1.1969640492709959</v>
      </c>
      <c r="BD100" s="553">
        <f>0.5*(1+'Hilfstabellen_Mat&amp;Bem'!$BD$31*(BC100-0.3)+BC100^2)</f>
        <v>1.2612096700871593</v>
      </c>
      <c r="BE100" s="550">
        <f t="shared" si="80"/>
        <v>0.60291454605472905</v>
      </c>
      <c r="BG100" s="551">
        <f t="shared" si="81"/>
        <v>13929.737672048461</v>
      </c>
      <c r="BJ100" s="547">
        <f>'Hilfstabellen_Mat&amp;Bem'!$J$57</f>
        <v>3.4</v>
      </c>
      <c r="BK100" s="546">
        <f t="shared" si="82"/>
        <v>152</v>
      </c>
      <c r="BL100" s="551">
        <f t="shared" si="83"/>
        <v>77.486483496502402</v>
      </c>
      <c r="BM100" s="553">
        <f>BL100/PI()*SQRT('Hilfstabellen_Mat&amp;Bem'!f.Rd.3/'Hilfstabellen_Mat&amp;Bem'!$BD$30)</f>
        <v>1.2332356871276928</v>
      </c>
      <c r="BN100" s="553">
        <f>0.5*(1+'Hilfstabellen_Mat&amp;Bem'!$BD$31*(BM100-0.3)+BM100^2)</f>
        <v>1.307096914359041</v>
      </c>
      <c r="BO100" s="550">
        <f t="shared" si="84"/>
        <v>0.57462608441087915</v>
      </c>
      <c r="BQ100" s="551">
        <f t="shared" si="85"/>
        <v>13276.161054228951</v>
      </c>
      <c r="BT100" s="547">
        <f>'Hilfstabellen_Mat&amp;Bem'!$J$58</f>
        <v>3.5</v>
      </c>
      <c r="BU100" s="546">
        <f t="shared" si="86"/>
        <v>152</v>
      </c>
      <c r="BV100" s="551">
        <f t="shared" si="87"/>
        <v>79.765497716987767</v>
      </c>
      <c r="BW100" s="553">
        <f>BV100/PI()*SQRT('Hilfstabellen_Mat&amp;Bem'!f.Rd.3/'Hilfstabellen_Mat&amp;Bem'!$BD$30)</f>
        <v>1.2695073249843896</v>
      </c>
      <c r="BX100" s="553">
        <f>0.5*(1+'Hilfstabellen_Mat&amp;Bem'!$BD$31*(BW100-0.3)+BW100^2)</f>
        <v>1.3542997903437297</v>
      </c>
      <c r="BY100" s="550">
        <f t="shared" si="88"/>
        <v>0.54765212461615187</v>
      </c>
      <c r="CA100" s="551">
        <f t="shared" si="89"/>
        <v>12652.954687131572</v>
      </c>
      <c r="CD100" s="547">
        <f>'Hilfstabellen_Mat&amp;Bem'!$J$59</f>
        <v>3.6</v>
      </c>
      <c r="CE100" s="546">
        <f t="shared" si="90"/>
        <v>152</v>
      </c>
      <c r="CF100" s="551">
        <f t="shared" si="91"/>
        <v>82.044511937473132</v>
      </c>
      <c r="CG100" s="553">
        <f>CF100/PI()*SQRT('Hilfstabellen_Mat&amp;Bem'!f.Rd.3/'Hilfstabellen_Mat&amp;Bem'!$BD$30)</f>
        <v>1.3057789628410865</v>
      </c>
      <c r="CH100" s="553">
        <f>0.5*(1+'Hilfstabellen_Mat&amp;Bem'!$BD$31*(CG100-0.3)+CG100^2)</f>
        <v>1.4028182980412263</v>
      </c>
      <c r="CI100" s="550">
        <f t="shared" si="92"/>
        <v>0.52205744909846441</v>
      </c>
      <c r="CK100" s="551">
        <f t="shared" si="93"/>
        <v>12061.615303970922</v>
      </c>
      <c r="CN100" s="547">
        <f>'Hilfstabellen_Mat&amp;Bem'!$J$60</f>
        <v>3.7</v>
      </c>
      <c r="CO100" s="546">
        <f t="shared" si="94"/>
        <v>152</v>
      </c>
      <c r="CP100" s="551">
        <f t="shared" si="95"/>
        <v>84.323526157958497</v>
      </c>
      <c r="CQ100" s="553">
        <f>CP100/PI()*SQRT('Hilfstabellen_Mat&amp;Bem'!f.Rd.3/'Hilfstabellen_Mat&amp;Bem'!$BD$30)</f>
        <v>1.3420506006977835</v>
      </c>
      <c r="CR100" s="553">
        <f>0.5*(1+'Hilfstabellen_Mat&amp;Bem'!$BD$31*(CQ100-0.3)+CQ100^2)</f>
        <v>1.4526524374515299</v>
      </c>
      <c r="CS100" s="550">
        <f t="shared" si="96"/>
        <v>0.49785439116461105</v>
      </c>
      <c r="CU100" s="551">
        <f t="shared" si="97"/>
        <v>11502.427853467174</v>
      </c>
      <c r="CX100" s="547">
        <f>'Hilfstabellen_Mat&amp;Bem'!$J$61</f>
        <v>3.8</v>
      </c>
      <c r="CY100" s="546">
        <f t="shared" si="98"/>
        <v>152</v>
      </c>
      <c r="CZ100" s="551">
        <f t="shared" si="99"/>
        <v>86.602540378443862</v>
      </c>
      <c r="DA100" s="553">
        <f>CZ100/PI()*SQRT('Hilfstabellen_Mat&amp;Bem'!f.Rd.3/'Hilfstabellen_Mat&amp;Bem'!$BD$30)</f>
        <v>1.3783222385544802</v>
      </c>
      <c r="DB100" s="553">
        <f>0.5*(1+'Hilfstabellen_Mat&amp;Bem'!$BD$31*(DA100-0.3)+DA100^2)</f>
        <v>1.5038022085746408</v>
      </c>
      <c r="DC100" s="550">
        <f t="shared" si="100"/>
        <v>0.47501995619125226</v>
      </c>
      <c r="DE100" s="551">
        <f t="shared" si="101"/>
        <v>10974.861067842692</v>
      </c>
      <c r="DH100" s="547">
        <f>'Hilfstabellen_Mat&amp;Bem'!$J$62</f>
        <v>3.9</v>
      </c>
      <c r="DI100" s="546">
        <f t="shared" si="102"/>
        <v>152</v>
      </c>
      <c r="DJ100" s="551">
        <f t="shared" si="103"/>
        <v>88.881554598929227</v>
      </c>
      <c r="DK100" s="553">
        <f>DJ100/PI()*SQRT('Hilfstabellen_Mat&amp;Bem'!f.Rd.3/'Hilfstabellen_Mat&amp;Bem'!$BD$30)</f>
        <v>1.4145938764111772</v>
      </c>
      <c r="DL100" s="553">
        <f>0.5*(1+'Hilfstabellen_Mat&amp;Bem'!$BD$31*(DK100-0.3)+DK100^2)</f>
        <v>1.5562676114105591</v>
      </c>
      <c r="DM100" s="550">
        <f t="shared" si="104"/>
        <v>0.45350850464245707</v>
      </c>
      <c r="DO100" s="551">
        <f t="shared" si="105"/>
        <v>10477.860491259327</v>
      </c>
      <c r="DR100" s="547">
        <f>'Hilfstabellen_Mat&amp;Bem'!$J$63</f>
        <v>4</v>
      </c>
      <c r="DS100" s="546">
        <f t="shared" si="106"/>
        <v>152</v>
      </c>
      <c r="DT100" s="551">
        <f t="shared" si="107"/>
        <v>91.160568819414578</v>
      </c>
      <c r="DU100" s="553">
        <f>DT100/PI()*SQRT('Hilfstabellen_Mat&amp;Bem'!f.Rd.3/'Hilfstabellen_Mat&amp;Bem'!$BD$30)</f>
        <v>1.4508655142678737</v>
      </c>
      <c r="DV100" s="553">
        <f>0.5*(1+'Hilfstabellen_Mat&amp;Bem'!$BD$31*(DU100-0.3)+DU100^2)</f>
        <v>1.6100486459592847</v>
      </c>
      <c r="DW100" s="550">
        <f t="shared" si="108"/>
        <v>0.43326079691640668</v>
      </c>
      <c r="DY100" s="551">
        <f t="shared" si="109"/>
        <v>10010.05745195666</v>
      </c>
      <c r="EB100" s="547">
        <f>'Hilfstabellen_Mat&amp;Bem'!$J$64</f>
        <v>4.0999999999999996</v>
      </c>
      <c r="EC100" s="546">
        <f t="shared" si="110"/>
        <v>152</v>
      </c>
      <c r="ED100" s="551">
        <f t="shared" si="111"/>
        <v>93.439583039899958</v>
      </c>
      <c r="EE100" s="553">
        <f>ED100/PI()*SQRT('Hilfstabellen_Mat&amp;Bem'!f.Rd.3/'Hilfstabellen_Mat&amp;Bem'!$BD$30)</f>
        <v>1.4871371521245709</v>
      </c>
      <c r="EF100" s="553">
        <f>0.5*(1+'Hilfstabellen_Mat&amp;Bem'!$BD$31*(EE100-0.3)+EE100^2)</f>
        <v>1.665145312220818</v>
      </c>
      <c r="EG100" s="550">
        <f t="shared" si="112"/>
        <v>0.41421026893230889</v>
      </c>
      <c r="EI100" s="551">
        <f t="shared" si="113"/>
        <v>9569.9140534120652</v>
      </c>
      <c r="EL100" s="547">
        <f>'Hilfstabellen_Mat&amp;Bem'!$J$65</f>
        <v>4.2</v>
      </c>
      <c r="EM100" s="546">
        <f t="shared" si="114"/>
        <v>152</v>
      </c>
      <c r="EN100" s="551">
        <f t="shared" si="115"/>
        <v>95.718597260385323</v>
      </c>
      <c r="EO100" s="553">
        <f>EN100/PI()*SQRT('Hilfstabellen_Mat&amp;Bem'!f.Rd.3/'Hilfstabellen_Mat&amp;Bem'!$BD$30)</f>
        <v>1.5234087899812676</v>
      </c>
      <c r="EP100" s="553">
        <f>0.5*(1+'Hilfstabellen_Mat&amp;Bem'!$BD$31*(EO100-0.3)+EO100^2)</f>
        <v>1.7215576101951582</v>
      </c>
      <c r="EQ100" s="550">
        <f t="shared" si="116"/>
        <v>0.39628728697345644</v>
      </c>
      <c r="ES100" s="551">
        <f t="shared" si="117"/>
        <v>9155.8214782347368</v>
      </c>
    </row>
    <row r="101" spans="3:149">
      <c r="C101" s="546">
        <v>153</v>
      </c>
      <c r="D101" s="551">
        <f t="shared" si="72"/>
        <v>63.395323675723603</v>
      </c>
      <c r="E101" s="553">
        <f>$D101/PI()*SQRT('Hilfstabellen_Mat&amp;Bem'!f.Rd.3/'Hilfstabellen_Mat&amp;Bem'!$BD$30)</f>
        <v>1.0089679131902076</v>
      </c>
      <c r="F101" s="553">
        <f>0.5*(1+'Hilfstabellen_Mat&amp;Bem'!$BD$31*($E101-0.3)+$E101^2)</f>
        <v>1.0444565205832115</v>
      </c>
      <c r="G101" s="550">
        <f t="shared" si="73"/>
        <v>0.76079945079218425</v>
      </c>
      <c r="I101" s="551">
        <f t="shared" si="118"/>
        <v>17809.554343594242</v>
      </c>
      <c r="M101" s="546">
        <f t="shared" si="74"/>
        <v>153</v>
      </c>
      <c r="N101" s="551">
        <f t="shared" si="64"/>
        <v>65.659442378428025</v>
      </c>
      <c r="O101" s="553">
        <f>$N101/PI()*SQRT('Hilfstabellen_Mat&amp;Bem'!f.Rd.3/'Hilfstabellen_Mat&amp;Bem'!$BD$30)</f>
        <v>1.0450024815184296</v>
      </c>
      <c r="P101" s="553">
        <f>0.5*(1+'Hilfstabellen_Mat&amp;Bem'!$BD$31*($O101-0.3)+$O101^2)</f>
        <v>1.0832652172657593</v>
      </c>
      <c r="Q101" s="550">
        <f t="shared" si="65"/>
        <v>0.7306573980637997</v>
      </c>
      <c r="S101" s="551">
        <f t="shared" si="119"/>
        <v>17103.959031275488</v>
      </c>
      <c r="W101" s="546">
        <f t="shared" si="75"/>
        <v>153</v>
      </c>
      <c r="X101" s="551">
        <f t="shared" si="66"/>
        <v>67.923561081132448</v>
      </c>
      <c r="Y101" s="553">
        <f>$X101/PI()*SQRT('Hilfstabellen_Mat&amp;Bem'!f.Rd.3/'Hilfstabellen_Mat&amp;Bem'!$BD$30)</f>
        <v>1.0810370498466513</v>
      </c>
      <c r="Z101" s="553">
        <f>0.5*(1+'Hilfstabellen_Mat&amp;Bem'!$BD$31*($Y101-0.3)+$Y101^2)</f>
        <v>1.1233724040629083</v>
      </c>
      <c r="AA101" s="550">
        <f t="shared" si="67"/>
        <v>0.69985719854511885</v>
      </c>
      <c r="AC101" s="551">
        <f t="shared" si="120"/>
        <v>16382.957160742688</v>
      </c>
      <c r="AG101" s="546">
        <f t="shared" si="76"/>
        <v>153</v>
      </c>
      <c r="AH101" s="551">
        <f t="shared" si="68"/>
        <v>70.187679783836856</v>
      </c>
      <c r="AI101" s="553">
        <f>$AH101/PI()*SQRT('Hilfstabellen_Mat&amp;Bem'!f.Rd.3/'Hilfstabellen_Mat&amp;Bem'!$BD$30)</f>
        <v>1.117071618174873</v>
      </c>
      <c r="AJ101" s="553">
        <f>0.5*(1+'Hilfstabellen_Mat&amp;Bem'!$BD$31*($AI101-0.3)+$AI101^2)</f>
        <v>1.1647780809746582</v>
      </c>
      <c r="AK101" s="550">
        <f t="shared" si="69"/>
        <v>0.66902344883784104</v>
      </c>
      <c r="AM101" s="551">
        <f t="shared" si="121"/>
        <v>15661.16991384502</v>
      </c>
      <c r="AQ101" s="546">
        <f t="shared" si="77"/>
        <v>153</v>
      </c>
      <c r="AR101" s="551">
        <f t="shared" si="70"/>
        <v>72.451798486541264</v>
      </c>
      <c r="AS101" s="553">
        <f>$AR101/PI()*SQRT('Hilfstabellen_Mat&amp;Bem'!f.Rd.3/'Hilfstabellen_Mat&amp;Bem'!$BD$30)</f>
        <v>1.1531061865030945</v>
      </c>
      <c r="AT101" s="553">
        <f>0.5*(1+'Hilfstabellen_Mat&amp;Bem'!$BD$31*($AS101-0.3)+$AS101^2)</f>
        <v>1.2074822480010092</v>
      </c>
      <c r="AU101" s="550">
        <f t="shared" si="71"/>
        <v>0.63866944562543027</v>
      </c>
      <c r="AW101" s="551">
        <f t="shared" si="122"/>
        <v>14950.613052645696</v>
      </c>
      <c r="AZ101" s="547">
        <f>'Hilfstabellen_Mat&amp;Bem'!$J$56</f>
        <v>3.3</v>
      </c>
      <c r="BA101" s="546">
        <f t="shared" si="78"/>
        <v>153</v>
      </c>
      <c r="BB101" s="551">
        <f t="shared" si="79"/>
        <v>74.715917189245687</v>
      </c>
      <c r="BC101" s="553">
        <f>BB101/PI()*SQRT('Hilfstabellen_Mat&amp;Bem'!f.Rd.3/'Hilfstabellen_Mat&amp;Bem'!$BD$30)</f>
        <v>1.1891407548313164</v>
      </c>
      <c r="BD101" s="553">
        <f>0.5*(1+'Hilfstabellen_Mat&amp;Bem'!$BD$31*(BC101-0.3)+BC101^2)</f>
        <v>1.2514849051419623</v>
      </c>
      <c r="BE101" s="550">
        <f t="shared" si="80"/>
        <v>0.60917656390425268</v>
      </c>
      <c r="BG101" s="551">
        <f t="shared" si="81"/>
        <v>14260.214184434652</v>
      </c>
      <c r="BJ101" s="547">
        <f>'Hilfstabellen_Mat&amp;Bem'!$J$57</f>
        <v>3.4</v>
      </c>
      <c r="BK101" s="546">
        <f t="shared" si="82"/>
        <v>153</v>
      </c>
      <c r="BL101" s="551">
        <f t="shared" si="83"/>
        <v>76.980035891950095</v>
      </c>
      <c r="BM101" s="553">
        <f>BL101/PI()*SQRT('Hilfstabellen_Mat&amp;Bem'!f.Rd.3/'Hilfstabellen_Mat&amp;Bem'!$BD$30)</f>
        <v>1.2251753231595379</v>
      </c>
      <c r="BN101" s="553">
        <f>0.5*(1+'Hilfstabellen_Mat&amp;Bem'!$BD$31*(BM101-0.3)+BM101^2)</f>
        <v>1.2967860523975161</v>
      </c>
      <c r="BO101" s="550">
        <f t="shared" si="84"/>
        <v>0.58080237549328984</v>
      </c>
      <c r="BQ101" s="551">
        <f t="shared" si="85"/>
        <v>13596.002807922421</v>
      </c>
      <c r="BT101" s="547">
        <f>'Hilfstabellen_Mat&amp;Bem'!$J$58</f>
        <v>3.5</v>
      </c>
      <c r="BU101" s="546">
        <f t="shared" si="86"/>
        <v>153</v>
      </c>
      <c r="BV101" s="551">
        <f t="shared" si="87"/>
        <v>79.244154594654518</v>
      </c>
      <c r="BW101" s="553">
        <f>BV101/PI()*SQRT('Hilfstabellen_Mat&amp;Bem'!f.Rd.3/'Hilfstabellen_Mat&amp;Bem'!$BD$30)</f>
        <v>1.2612098914877599</v>
      </c>
      <c r="BX101" s="553">
        <f>0.5*(1+'Hilfstabellen_Mat&amp;Bem'!$BD$31*(BW101-0.3)+BW101^2)</f>
        <v>1.3433856897676715</v>
      </c>
      <c r="BY101" s="550">
        <f t="shared" si="88"/>
        <v>0.55370232722267232</v>
      </c>
      <c r="CA101" s="551">
        <f t="shared" si="89"/>
        <v>12961.617777955536</v>
      </c>
      <c r="CD101" s="547">
        <f>'Hilfstabellen_Mat&amp;Bem'!$J$59</f>
        <v>3.6</v>
      </c>
      <c r="CE101" s="546">
        <f t="shared" si="90"/>
        <v>153</v>
      </c>
      <c r="CF101" s="551">
        <f t="shared" si="91"/>
        <v>81.508273297358926</v>
      </c>
      <c r="CG101" s="553">
        <f>CF101/PI()*SQRT('Hilfstabellen_Mat&amp;Bem'!f.Rd.3/'Hilfstabellen_Mat&amp;Bem'!$BD$30)</f>
        <v>1.2972444598159814</v>
      </c>
      <c r="CH101" s="553">
        <f>0.5*(1+'Hilfstabellen_Mat&amp;Bem'!$BD$31*(CG101-0.3)+CG101^2)</f>
        <v>1.3912838172524276</v>
      </c>
      <c r="CI101" s="550">
        <f t="shared" si="92"/>
        <v>0.52795429864782362</v>
      </c>
      <c r="CK101" s="551">
        <f t="shared" si="93"/>
        <v>12358.882177046902</v>
      </c>
      <c r="CN101" s="547">
        <f>'Hilfstabellen_Mat&amp;Bem'!$J$60</f>
        <v>3.7</v>
      </c>
      <c r="CO101" s="546">
        <f t="shared" si="94"/>
        <v>153</v>
      </c>
      <c r="CP101" s="551">
        <f t="shared" si="95"/>
        <v>83.772392000063334</v>
      </c>
      <c r="CQ101" s="553">
        <f>CP101/PI()*SQRT('Hilfstabellen_Mat&amp;Bem'!f.Rd.3/'Hilfstabellen_Mat&amp;Bem'!$BD$30)</f>
        <v>1.3332790281442028</v>
      </c>
      <c r="CR101" s="553">
        <f>0.5*(1+'Hilfstabellen_Mat&amp;Bem'!$BD$31*(CQ101-0.3)+CQ101^2)</f>
        <v>1.4404804348517852</v>
      </c>
      <c r="CS101" s="550">
        <f t="shared" si="96"/>
        <v>0.50358061969029411</v>
      </c>
      <c r="CU101" s="551">
        <f t="shared" si="97"/>
        <v>11788.318726330095</v>
      </c>
      <c r="CX101" s="547">
        <f>'Hilfstabellen_Mat&amp;Bem'!$J$61</f>
        <v>3.8</v>
      </c>
      <c r="CY101" s="546">
        <f t="shared" si="98"/>
        <v>153</v>
      </c>
      <c r="CZ101" s="551">
        <f t="shared" si="99"/>
        <v>86.036510702767757</v>
      </c>
      <c r="DA101" s="553">
        <f>CZ101/PI()*SQRT('Hilfstabellen_Mat&amp;Bem'!f.Rd.3/'Hilfstabellen_Mat&amp;Bem'!$BD$30)</f>
        <v>1.3693135964724248</v>
      </c>
      <c r="DB101" s="553">
        <f>0.5*(1+'Hilfstabellen_Mat&amp;Bem'!$BD$31*(DA101-0.3)+DA101^2)</f>
        <v>1.4909755425657445</v>
      </c>
      <c r="DC101" s="550">
        <f t="shared" si="100"/>
        <v>0.48056570416099464</v>
      </c>
      <c r="DE101" s="551">
        <f t="shared" si="101"/>
        <v>11249.562568704723</v>
      </c>
      <c r="DH101" s="547">
        <f>'Hilfstabellen_Mat&amp;Bem'!$J$62</f>
        <v>3.9</v>
      </c>
      <c r="DI101" s="546">
        <f t="shared" si="102"/>
        <v>153</v>
      </c>
      <c r="DJ101" s="551">
        <f t="shared" si="103"/>
        <v>88.300629405472165</v>
      </c>
      <c r="DK101" s="553">
        <f>DJ101/PI()*SQRT('Hilfstabellen_Mat&amp;Bem'!f.Rd.3/'Hilfstabellen_Mat&amp;Bem'!$BD$30)</f>
        <v>1.4053481648006463</v>
      </c>
      <c r="DL101" s="553">
        <f>0.5*(1+'Hilfstabellen_Mat&amp;Bem'!$BD$31*(DK101-0.3)+DK101^2)</f>
        <v>1.5427691403943045</v>
      </c>
      <c r="DM101" s="550">
        <f t="shared" si="104"/>
        <v>0.45886928548519751</v>
      </c>
      <c r="DO101" s="551">
        <f t="shared" si="105"/>
        <v>10741.671103922989</v>
      </c>
      <c r="DR101" s="547">
        <f>'Hilfstabellen_Mat&amp;Bem'!$J$63</f>
        <v>4</v>
      </c>
      <c r="DS101" s="546">
        <f t="shared" si="106"/>
        <v>153</v>
      </c>
      <c r="DT101" s="551">
        <f t="shared" si="107"/>
        <v>90.564748108176587</v>
      </c>
      <c r="DU101" s="553">
        <f>DT101/PI()*SQRT('Hilfstabellen_Mat&amp;Bem'!f.Rd.3/'Hilfstabellen_Mat&amp;Bem'!$BD$30)</f>
        <v>1.4413827331288682</v>
      </c>
      <c r="DV101" s="553">
        <f>0.5*(1+'Hilfstabellen_Mat&amp;Bem'!$BD$31*(DU101-0.3)+DU101^2)</f>
        <v>1.5958612283374665</v>
      </c>
      <c r="DW101" s="550">
        <f t="shared" si="108"/>
        <v>0.4384359505026727</v>
      </c>
      <c r="DY101" s="551">
        <f t="shared" si="109"/>
        <v>10263.347165317065</v>
      </c>
      <c r="EB101" s="547">
        <f>'Hilfstabellen_Mat&amp;Bem'!$J$64</f>
        <v>4.0999999999999996</v>
      </c>
      <c r="EC101" s="546">
        <f t="shared" si="110"/>
        <v>153</v>
      </c>
      <c r="ED101" s="551">
        <f t="shared" si="111"/>
        <v>92.828866810880996</v>
      </c>
      <c r="EE101" s="553">
        <f>ED101/PI()*SQRT('Hilfstabellen_Mat&amp;Bem'!f.Rd.3/'Hilfstabellen_Mat&amp;Bem'!$BD$30)</f>
        <v>1.4774173014570897</v>
      </c>
      <c r="EF101" s="553">
        <f>0.5*(1+'Hilfstabellen_Mat&amp;Bem'!$BD$31*(EE101-0.3)+EE101^2)</f>
        <v>1.6502518063952289</v>
      </c>
      <c r="EG101" s="550">
        <f t="shared" si="112"/>
        <v>0.41920181071048201</v>
      </c>
      <c r="EI101" s="551">
        <f t="shared" si="113"/>
        <v>9813.0951869216733</v>
      </c>
      <c r="EL101" s="547">
        <f>'Hilfstabellen_Mat&amp;Bem'!$J$65</f>
        <v>4.2</v>
      </c>
      <c r="EM101" s="546">
        <f t="shared" si="114"/>
        <v>153</v>
      </c>
      <c r="EN101" s="551">
        <f t="shared" si="115"/>
        <v>95.092985513585404</v>
      </c>
      <c r="EO101" s="553">
        <f>EN101/PI()*SQRT('Hilfstabellen_Mat&amp;Bem'!f.Rd.3/'Hilfstabellen_Mat&amp;Bem'!$BD$30)</f>
        <v>1.5134518697853114</v>
      </c>
      <c r="EP101" s="553">
        <f>0.5*(1+'Hilfstabellen_Mat&amp;Bem'!$BD$31*(EO101-0.3)+EO101^2)</f>
        <v>1.7059408745675932</v>
      </c>
      <c r="EQ101" s="550">
        <f t="shared" si="116"/>
        <v>0.40109906256693229</v>
      </c>
      <c r="ES101" s="551">
        <f t="shared" si="117"/>
        <v>9389.3279556293182</v>
      </c>
    </row>
    <row r="102" spans="3:149">
      <c r="C102" s="546">
        <v>154</v>
      </c>
      <c r="D102" s="551">
        <f t="shared" si="72"/>
        <v>62.983665729777357</v>
      </c>
      <c r="E102" s="553">
        <f>$D102/PI()*SQRT('Hilfstabellen_Mat&amp;Bem'!f.Rd.3/'Hilfstabellen_Mat&amp;Bem'!$BD$30)</f>
        <v>1.0024161734941675</v>
      </c>
      <c r="F102" s="553">
        <f>0.5*(1+'Hilfstabellen_Mat&amp;Bem'!$BD$31*($E102-0.3)+$E102^2)</f>
        <v>1.0375399011160527</v>
      </c>
      <c r="G102" s="550">
        <f t="shared" si="73"/>
        <v>0.76615630968545334</v>
      </c>
      <c r="I102" s="551">
        <f t="shared" si="118"/>
        <v>18170.163040500211</v>
      </c>
      <c r="M102" s="546">
        <f t="shared" si="74"/>
        <v>154</v>
      </c>
      <c r="N102" s="551">
        <f t="shared" si="64"/>
        <v>65.233082362983694</v>
      </c>
      <c r="O102" s="553">
        <f>$N102/PI()*SQRT('Hilfstabellen_Mat&amp;Bem'!f.Rd.3/'Hilfstabellen_Mat&amp;Bem'!$BD$30)</f>
        <v>1.0382167511189591</v>
      </c>
      <c r="P102" s="553">
        <f>0.5*(1+'Hilfstabellen_Mat&amp;Bem'!$BD$31*($O102-0.3)+$O102^2)</f>
        <v>1.0758578487079511</v>
      </c>
      <c r="Q102" s="550">
        <f t="shared" si="65"/>
        <v>0.73640403622221062</v>
      </c>
      <c r="S102" s="551">
        <f t="shared" si="119"/>
        <v>17464.558123045947</v>
      </c>
      <c r="W102" s="546">
        <f t="shared" si="75"/>
        <v>154</v>
      </c>
      <c r="X102" s="551">
        <f t="shared" si="66"/>
        <v>67.482498996190017</v>
      </c>
      <c r="Y102" s="553">
        <f>$X102/PI()*SQRT('Hilfstabellen_Mat&amp;Bem'!f.Rd.3/'Hilfstabellen_Mat&amp;Bem'!$BD$30)</f>
        <v>1.0740173287437507</v>
      </c>
      <c r="Z102" s="553">
        <f>0.5*(1+'Hilfstabellen_Mat&amp;Bem'!$BD$31*($Y102-0.3)+$Y102^2)</f>
        <v>1.1154574776581185</v>
      </c>
      <c r="AA102" s="550">
        <f t="shared" si="67"/>
        <v>0.70587806320916746</v>
      </c>
      <c r="AC102" s="551">
        <f t="shared" si="120"/>
        <v>16740.604147068614</v>
      </c>
      <c r="AG102" s="546">
        <f t="shared" si="76"/>
        <v>154</v>
      </c>
      <c r="AH102" s="551">
        <f t="shared" si="68"/>
        <v>69.731915629396354</v>
      </c>
      <c r="AI102" s="553">
        <f>$AH102/PI()*SQRT('Hilfstabellen_Mat&amp;Bem'!f.Rd.3/'Hilfstabellen_Mat&amp;Bem'!$BD$30)</f>
        <v>1.1098179063685425</v>
      </c>
      <c r="AJ102" s="553">
        <f>0.5*(1+'Hilfstabellen_Mat&amp;Bem'!$BD$31*($AI102-0.3)+$AI102^2)</f>
        <v>1.1563387879665545</v>
      </c>
      <c r="AK102" s="550">
        <f t="shared" si="69"/>
        <v>0.67520631369324058</v>
      </c>
      <c r="AM102" s="551">
        <f t="shared" si="121"/>
        <v>16013.192935548894</v>
      </c>
      <c r="AQ102" s="546">
        <f t="shared" si="77"/>
        <v>154</v>
      </c>
      <c r="AR102" s="551">
        <f t="shared" si="70"/>
        <v>71.981332262602692</v>
      </c>
      <c r="AS102" s="553">
        <f>$AR102/PI()*SQRT('Hilfstabellen_Mat&amp;Bem'!f.Rd.3/'Hilfstabellen_Mat&amp;Bem'!$BD$30)</f>
        <v>1.1456184839933341</v>
      </c>
      <c r="AT102" s="553">
        <f>0.5*(1+'Hilfstabellen_Mat&amp;Bem'!$BD$31*($AS102-0.3)+$AS102^2)</f>
        <v>1.1985017796332591</v>
      </c>
      <c r="AU102" s="550">
        <f t="shared" si="71"/>
        <v>0.64491657998831953</v>
      </c>
      <c r="AW102" s="551">
        <f t="shared" si="122"/>
        <v>15294.841611002987</v>
      </c>
      <c r="AZ102" s="547">
        <f>'Hilfstabellen_Mat&amp;Bem'!$J$56</f>
        <v>3.3</v>
      </c>
      <c r="BA102" s="546">
        <f t="shared" si="78"/>
        <v>154</v>
      </c>
      <c r="BB102" s="551">
        <f t="shared" si="79"/>
        <v>74.230748895809015</v>
      </c>
      <c r="BC102" s="553">
        <f>BB102/PI()*SQRT('Hilfstabellen_Mat&amp;Bem'!f.Rd.3/'Hilfstabellen_Mat&amp;Bem'!$BD$30)</f>
        <v>1.1814190616181257</v>
      </c>
      <c r="BD102" s="553">
        <f>0.5*(1+'Hilfstabellen_Mat&amp;Bem'!$BD$31*(BC102-0.3)+BC102^2)</f>
        <v>1.2419464526582327</v>
      </c>
      <c r="BE102" s="550">
        <f t="shared" si="80"/>
        <v>0.61540934808505643</v>
      </c>
      <c r="BG102" s="551">
        <f t="shared" si="81"/>
        <v>14595.048099185198</v>
      </c>
      <c r="BJ102" s="547">
        <f>'Hilfstabellen_Mat&amp;Bem'!$J$57</f>
        <v>3.4</v>
      </c>
      <c r="BK102" s="546">
        <f t="shared" si="82"/>
        <v>154</v>
      </c>
      <c r="BL102" s="551">
        <f t="shared" si="83"/>
        <v>76.480165529015352</v>
      </c>
      <c r="BM102" s="553">
        <f>BL102/PI()*SQRT('Hilfstabellen_Mat&amp;Bem'!f.Rd.3/'Hilfstabellen_Mat&amp;Bem'!$BD$30)</f>
        <v>1.2172196392429175</v>
      </c>
      <c r="BN102" s="553">
        <f>0.5*(1+'Hilfstabellen_Mat&amp;Bem'!$BD$31*(BM102-0.3)+BM102^2)</f>
        <v>1.286672807041475</v>
      </c>
      <c r="BO102" s="550">
        <f t="shared" si="84"/>
        <v>0.58696127475703941</v>
      </c>
      <c r="BQ102" s="551">
        <f t="shared" si="85"/>
        <v>13920.373592137947</v>
      </c>
      <c r="BT102" s="547">
        <f>'Hilfstabellen_Mat&amp;Bem'!$J$58</f>
        <v>3.5</v>
      </c>
      <c r="BU102" s="546">
        <f t="shared" si="86"/>
        <v>154</v>
      </c>
      <c r="BV102" s="551">
        <f t="shared" si="87"/>
        <v>78.729582162221689</v>
      </c>
      <c r="BW102" s="553">
        <f>BV102/PI()*SQRT('Hilfstabellen_Mat&amp;Bem'!f.Rd.3/'Hilfstabellen_Mat&amp;Bem'!$BD$30)</f>
        <v>1.2530202168677091</v>
      </c>
      <c r="BX102" s="553">
        <f>0.5*(1+'Hilfstabellen_Mat&amp;Bem'!$BD$31*(BW102-0.3)+BW102^2)</f>
        <v>1.3326808427829859</v>
      </c>
      <c r="BY102" s="550">
        <f t="shared" si="88"/>
        <v>0.55974447885496048</v>
      </c>
      <c r="CA102" s="551">
        <f t="shared" si="89"/>
        <v>13274.900060524244</v>
      </c>
      <c r="CD102" s="547">
        <f>'Hilfstabellen_Mat&amp;Bem'!$J$59</f>
        <v>3.6</v>
      </c>
      <c r="CE102" s="546">
        <f t="shared" si="90"/>
        <v>154</v>
      </c>
      <c r="CF102" s="551">
        <f t="shared" si="91"/>
        <v>80.978998795428026</v>
      </c>
      <c r="CG102" s="553">
        <f>CF102/PI()*SQRT('Hilfstabellen_Mat&amp;Bem'!f.Rd.3/'Hilfstabellen_Mat&amp;Bem'!$BD$30)</f>
        <v>1.288820794492501</v>
      </c>
      <c r="CH102" s="553">
        <f>0.5*(1+'Hilfstabellen_Mat&amp;Bem'!$BD$31*(CG102-0.3)+CG102^2)</f>
        <v>1.3799705598827656</v>
      </c>
      <c r="CI102" s="550">
        <f t="shared" si="92"/>
        <v>0.53385032504067365</v>
      </c>
      <c r="CK102" s="551">
        <f t="shared" si="93"/>
        <v>12660.794308664616</v>
      </c>
      <c r="CN102" s="547">
        <f>'Hilfstabellen_Mat&amp;Bem'!$J$60</f>
        <v>3.7</v>
      </c>
      <c r="CO102" s="546">
        <f t="shared" si="94"/>
        <v>154</v>
      </c>
      <c r="CP102" s="551">
        <f t="shared" si="95"/>
        <v>83.228415428634364</v>
      </c>
      <c r="CQ102" s="553">
        <f>CP102/PI()*SQRT('Hilfstabellen_Mat&amp;Bem'!f.Rd.3/'Hilfstabellen_Mat&amp;Bem'!$BD$30)</f>
        <v>1.3246213721172928</v>
      </c>
      <c r="CR102" s="553">
        <f>0.5*(1+'Hilfstabellen_Mat&amp;Bem'!$BD$31*(CQ102-0.3)+CQ102^2)</f>
        <v>1.4285419583408143</v>
      </c>
      <c r="CS102" s="550">
        <f t="shared" si="96"/>
        <v>0.50931154030654502</v>
      </c>
      <c r="CU102" s="551">
        <f t="shared" si="97"/>
        <v>12078.832489910023</v>
      </c>
      <c r="CX102" s="547">
        <f>'Hilfstabellen_Mat&amp;Bem'!$J$61</f>
        <v>3.8</v>
      </c>
      <c r="CY102" s="546">
        <f t="shared" si="98"/>
        <v>154</v>
      </c>
      <c r="CZ102" s="551">
        <f t="shared" si="99"/>
        <v>85.477832061840687</v>
      </c>
      <c r="DA102" s="553">
        <f>CZ102/PI()*SQRT('Hilfstabellen_Mat&amp;Bem'!f.Rd.3/'Hilfstabellen_Mat&amp;Bem'!$BD$30)</f>
        <v>1.3604219497420842</v>
      </c>
      <c r="DB102" s="553">
        <f>0.5*(1+'Hilfstabellen_Mat&amp;Bem'!$BD$31*(DA102-0.3)+DA102^2)</f>
        <v>1.4783950381571311</v>
      </c>
      <c r="DC102" s="550">
        <f t="shared" si="100"/>
        <v>0.48612030461478534</v>
      </c>
      <c r="DE102" s="551">
        <f t="shared" si="101"/>
        <v>11528.82914424425</v>
      </c>
      <c r="DH102" s="547">
        <f>'Hilfstabellen_Mat&amp;Bem'!$J$62</f>
        <v>3.9</v>
      </c>
      <c r="DI102" s="546">
        <f t="shared" si="102"/>
        <v>154</v>
      </c>
      <c r="DJ102" s="551">
        <f t="shared" si="103"/>
        <v>87.727248695047024</v>
      </c>
      <c r="DK102" s="553">
        <f>DJ102/PI()*SQRT('Hilfstabellen_Mat&amp;Bem'!f.Rd.3/'Hilfstabellen_Mat&amp;Bem'!$BD$30)</f>
        <v>1.396222527366876</v>
      </c>
      <c r="DL102" s="553">
        <f>0.5*(1+'Hilfstabellen_Mat&amp;Bem'!$BD$31*(DK102-0.3)+DK102^2)</f>
        <v>1.5295297993317174</v>
      </c>
      <c r="DM102" s="550">
        <f t="shared" si="104"/>
        <v>0.4642420221243696</v>
      </c>
      <c r="DO102" s="551">
        <f t="shared" si="105"/>
        <v>11009.96379670155</v>
      </c>
      <c r="DR102" s="547">
        <f>'Hilfstabellen_Mat&amp;Bem'!$J$63</f>
        <v>4</v>
      </c>
      <c r="DS102" s="546">
        <f t="shared" si="106"/>
        <v>154</v>
      </c>
      <c r="DT102" s="551">
        <f t="shared" si="107"/>
        <v>89.976665328253361</v>
      </c>
      <c r="DU102" s="553">
        <f>DT102/PI()*SQRT('Hilfstabellen_Mat&amp;Bem'!f.Rd.3/'Hilfstabellen_Mat&amp;Bem'!$BD$30)</f>
        <v>1.4320231049916679</v>
      </c>
      <c r="DV102" s="553">
        <f>0.5*(1+'Hilfstabellen_Mat&amp;Bem'!$BD$31*(DU102-0.3)+DU102^2)</f>
        <v>1.5819462418645722</v>
      </c>
      <c r="DW102" s="550">
        <f t="shared" si="108"/>
        <v>0.44362534471906445</v>
      </c>
      <c r="DY102" s="551">
        <f t="shared" si="109"/>
        <v>10521.018675357333</v>
      </c>
      <c r="EB102" s="547">
        <f>'Hilfstabellen_Mat&amp;Bem'!$J$64</f>
        <v>4.0999999999999996</v>
      </c>
      <c r="EC102" s="546">
        <f t="shared" si="110"/>
        <v>154</v>
      </c>
      <c r="ED102" s="551">
        <f t="shared" si="111"/>
        <v>92.226081961459684</v>
      </c>
      <c r="EE102" s="553">
        <f>ED102/PI()*SQRT('Hilfstabellen_Mat&amp;Bem'!f.Rd.3/'Hilfstabellen_Mat&amp;Bem'!$BD$30)</f>
        <v>1.4678236826164592</v>
      </c>
      <c r="EF102" s="553">
        <f>0.5*(1+'Hilfstabellen_Mat&amp;Bem'!$BD$31*(EE102-0.3)+EE102^2)</f>
        <v>1.6356443657556952</v>
      </c>
      <c r="EG102" s="550">
        <f t="shared" si="112"/>
        <v>0.42420924667103155</v>
      </c>
      <c r="EI102" s="551">
        <f t="shared" si="113"/>
        <v>10060.546494050184</v>
      </c>
      <c r="EL102" s="547">
        <f>'Hilfstabellen_Mat&amp;Bem'!$J$65</f>
        <v>4.2</v>
      </c>
      <c r="EM102" s="546">
        <f t="shared" si="114"/>
        <v>154</v>
      </c>
      <c r="EN102" s="551">
        <f t="shared" si="115"/>
        <v>94.475498594666036</v>
      </c>
      <c r="EO102" s="553">
        <f>EN102/PI()*SQRT('Hilfstabellen_Mat&amp;Bem'!f.Rd.3/'Hilfstabellen_Mat&amp;Bem'!$BD$30)</f>
        <v>1.5036242602412511</v>
      </c>
      <c r="EP102" s="553">
        <f>0.5*(1+'Hilfstabellen_Mat&amp;Bem'!$BD$31*(EO102-0.3)+EO102^2)</f>
        <v>1.6906241710050876</v>
      </c>
      <c r="EQ102" s="550">
        <f t="shared" si="116"/>
        <v>0.40592789982641769</v>
      </c>
      <c r="ES102" s="551">
        <f t="shared" si="117"/>
        <v>9626.9860722833218</v>
      </c>
    </row>
    <row r="103" spans="3:149">
      <c r="C103" s="546">
        <v>155</v>
      </c>
      <c r="D103" s="551">
        <f t="shared" si="72"/>
        <v>62.577319499262664</v>
      </c>
      <c r="E103" s="553">
        <f>$D103/PI()*SQRT('Hilfstabellen_Mat&amp;Bem'!f.Rd.3/'Hilfstabellen_Mat&amp;Bem'!$BD$30)</f>
        <v>0.99594897237485025</v>
      </c>
      <c r="F103" s="553">
        <f>0.5*(1+'Hilfstabellen_Mat&amp;Bem'!$BD$31*($E103-0.3)+$E103^2)</f>
        <v>1.0307546264060026</v>
      </c>
      <c r="G103" s="550">
        <f t="shared" si="73"/>
        <v>0.77139679077915346</v>
      </c>
      <c r="I103" s="551">
        <f t="shared" si="118"/>
        <v>18532.80789846916</v>
      </c>
      <c r="M103" s="546">
        <f t="shared" si="74"/>
        <v>155</v>
      </c>
      <c r="N103" s="551">
        <f t="shared" si="64"/>
        <v>64.812223767093471</v>
      </c>
      <c r="O103" s="553">
        <f>$N103/PI()*SQRT('Hilfstabellen_Mat&amp;Bem'!f.Rd.3/'Hilfstabellen_Mat&amp;Bem'!$BD$30)</f>
        <v>1.031518578531095</v>
      </c>
      <c r="P103" s="553">
        <f>0.5*(1+'Hilfstabellen_Mat&amp;Bem'!$BD$31*($O103-0.3)+$O103^2)</f>
        <v>1.0685912178539601</v>
      </c>
      <c r="Q103" s="550">
        <f t="shared" si="65"/>
        <v>0.74204938783477392</v>
      </c>
      <c r="S103" s="551">
        <f t="shared" si="119"/>
        <v>17827.736542730443</v>
      </c>
      <c r="W103" s="546">
        <f t="shared" si="75"/>
        <v>155</v>
      </c>
      <c r="X103" s="551">
        <f t="shared" si="66"/>
        <v>67.047128034924285</v>
      </c>
      <c r="Y103" s="553">
        <f>$X103/PI()*SQRT('Hilfstabellen_Mat&amp;Bem'!f.Rd.3/'Hilfstabellen_Mat&amp;Bem'!$BD$30)</f>
        <v>1.0670881846873397</v>
      </c>
      <c r="Z103" s="553">
        <f>0.5*(1+'Hilfstabellen_Mat&amp;Bem'!$BD$31*($Y103-0.3)+$Y103^2)</f>
        <v>1.1076930061840278</v>
      </c>
      <c r="AA103" s="550">
        <f t="shared" si="67"/>
        <v>0.71181608162443133</v>
      </c>
      <c r="AC103" s="551">
        <f t="shared" si="120"/>
        <v>17101.381361026964</v>
      </c>
      <c r="AG103" s="546">
        <f t="shared" si="76"/>
        <v>155</v>
      </c>
      <c r="AH103" s="551">
        <f t="shared" si="68"/>
        <v>69.282032302755084</v>
      </c>
      <c r="AI103" s="553">
        <f>$AH103/PI()*SQRT('Hilfstabellen_Mat&amp;Bem'!f.Rd.3/'Hilfstabellen_Mat&amp;Bem'!$BD$30)</f>
        <v>1.102657790843584</v>
      </c>
      <c r="AJ103" s="553">
        <f>0.5*(1+'Hilfstabellen_Mat&amp;Bem'!$BD$31*($AI103-0.3)+$AI103^2)</f>
        <v>1.1480599913962055</v>
      </c>
      <c r="AK103" s="550">
        <f t="shared" si="69"/>
        <v>0.68132521956793579</v>
      </c>
      <c r="AM103" s="551">
        <f t="shared" si="121"/>
        <v>16368.838400119657</v>
      </c>
      <c r="AQ103" s="546">
        <f t="shared" si="77"/>
        <v>155</v>
      </c>
      <c r="AR103" s="551">
        <f t="shared" si="70"/>
        <v>71.516936570585898</v>
      </c>
      <c r="AS103" s="553">
        <f>$AR103/PI()*SQRT('Hilfstabellen_Mat&amp;Bem'!f.Rd.3/'Hilfstabellen_Mat&amp;Bem'!$BD$30)</f>
        <v>1.1382273969998289</v>
      </c>
      <c r="AT103" s="553">
        <f>0.5*(1+'Hilfstabellen_Mat&amp;Bem'!$BD$31*($AS103-0.3)+$AS103^2)</f>
        <v>1.1896921734904944</v>
      </c>
      <c r="AU103" s="550">
        <f t="shared" si="71"/>
        <v>0.65111711945067652</v>
      </c>
      <c r="AW103" s="551">
        <f t="shared" si="122"/>
        <v>15643.088794802503</v>
      </c>
      <c r="AZ103" s="547">
        <f>'Hilfstabellen_Mat&amp;Bem'!$J$56</f>
        <v>3.3</v>
      </c>
      <c r="BA103" s="546">
        <f t="shared" si="78"/>
        <v>155</v>
      </c>
      <c r="BB103" s="551">
        <f t="shared" si="79"/>
        <v>73.751840838416697</v>
      </c>
      <c r="BC103" s="553">
        <f>BB103/PI()*SQRT('Hilfstabellen_Mat&amp;Bem'!f.Rd.3/'Hilfstabellen_Mat&amp;Bem'!$BD$30)</f>
        <v>1.1737970031560732</v>
      </c>
      <c r="BD103" s="553">
        <f>0.5*(1+'Hilfstabellen_Mat&amp;Bem'!$BD$31*(BC103-0.3)+BC103^2)</f>
        <v>1.2325895524668931</v>
      </c>
      <c r="BE103" s="550">
        <f t="shared" si="80"/>
        <v>0.62161042251085097</v>
      </c>
      <c r="BG103" s="551">
        <f t="shared" si="81"/>
        <v>14934.190400823194</v>
      </c>
      <c r="BJ103" s="547">
        <f>'Hilfstabellen_Mat&amp;Bem'!$J$57</f>
        <v>3.4</v>
      </c>
      <c r="BK103" s="546">
        <f t="shared" si="82"/>
        <v>155</v>
      </c>
      <c r="BL103" s="551">
        <f t="shared" si="83"/>
        <v>75.986745106247511</v>
      </c>
      <c r="BM103" s="553">
        <f>BL103/PI()*SQRT('Hilfstabellen_Mat&amp;Bem'!f.Rd.3/'Hilfstabellen_Mat&amp;Bem'!$BD$30)</f>
        <v>1.2093666093123181</v>
      </c>
      <c r="BN103" s="553">
        <f>0.5*(1+'Hilfstabellen_Mat&amp;Bem'!$BD$31*(BM103-0.3)+BM103^2)</f>
        <v>1.2767521283254024</v>
      </c>
      <c r="BO103" s="550">
        <f t="shared" si="84"/>
        <v>0.59310065109512267</v>
      </c>
      <c r="BQ103" s="551">
        <f t="shared" si="85"/>
        <v>14249.243142560323</v>
      </c>
      <c r="BT103" s="547">
        <f>'Hilfstabellen_Mat&amp;Bem'!$J$58</f>
        <v>3.5</v>
      </c>
      <c r="BU103" s="546">
        <f t="shared" si="86"/>
        <v>155</v>
      </c>
      <c r="BV103" s="551">
        <f t="shared" si="87"/>
        <v>78.221649374078325</v>
      </c>
      <c r="BW103" s="553">
        <f>BV103/PI()*SQRT('Hilfstabellen_Mat&amp;Bem'!f.Rd.3/'Hilfstabellen_Mat&amp;Bem'!$BD$30)</f>
        <v>1.2449362154685628</v>
      </c>
      <c r="BX103" s="553">
        <f>0.5*(1+'Hilfstabellen_Mat&amp;Bem'!$BD$31*(BW103-0.3)+BW103^2)</f>
        <v>1.322179901066022</v>
      </c>
      <c r="BY103" s="550">
        <f t="shared" si="88"/>
        <v>0.56577678602226766</v>
      </c>
      <c r="CA103" s="551">
        <f t="shared" si="89"/>
        <v>13592.78728418498</v>
      </c>
      <c r="CD103" s="547">
        <f>'Hilfstabellen_Mat&amp;Bem'!$J$59</f>
        <v>3.6</v>
      </c>
      <c r="CE103" s="546">
        <f t="shared" si="90"/>
        <v>155</v>
      </c>
      <c r="CF103" s="551">
        <f t="shared" si="91"/>
        <v>80.456553641909139</v>
      </c>
      <c r="CG103" s="553">
        <f>CF103/PI()*SQRT('Hilfstabellen_Mat&amp;Bem'!f.Rd.3/'Hilfstabellen_Mat&amp;Bem'!$BD$30)</f>
        <v>1.2805058216248075</v>
      </c>
      <c r="CH103" s="553">
        <f>0.5*(1+'Hilfstabellen_Mat&amp;Bem'!$BD$31*(CG103-0.3)+CG103^2)</f>
        <v>1.3688728706887519</v>
      </c>
      <c r="CI103" s="550">
        <f t="shared" si="92"/>
        <v>0.53974403672000992</v>
      </c>
      <c r="CK103" s="551">
        <f t="shared" si="93"/>
        <v>12967.350482198239</v>
      </c>
      <c r="CN103" s="547">
        <f>'Hilfstabellen_Mat&amp;Bem'!$J$60</f>
        <v>3.7</v>
      </c>
      <c r="CO103" s="546">
        <f t="shared" si="94"/>
        <v>155</v>
      </c>
      <c r="CP103" s="551">
        <f t="shared" si="95"/>
        <v>82.691457909739938</v>
      </c>
      <c r="CQ103" s="553">
        <f>CP103/PI()*SQRT('Hilfstabellen_Mat&amp;Bem'!f.Rd.3/'Hilfstabellen_Mat&amp;Bem'!$BD$30)</f>
        <v>1.316075427781052</v>
      </c>
      <c r="CR103" s="553">
        <f>0.5*(1+'Hilfstabellen_Mat&amp;Bem'!$BD$31*(CQ103-0.3)+CQ103^2)</f>
        <v>1.4168310371935919</v>
      </c>
      <c r="CS103" s="550">
        <f t="shared" si="96"/>
        <v>0.51504591880786232</v>
      </c>
      <c r="CU103" s="551">
        <f t="shared" si="97"/>
        <v>12373.978199358893</v>
      </c>
      <c r="CX103" s="547">
        <f>'Hilfstabellen_Mat&amp;Bem'!$J$61</f>
        <v>3.8</v>
      </c>
      <c r="CY103" s="546">
        <f t="shared" si="98"/>
        <v>155</v>
      </c>
      <c r="CZ103" s="551">
        <f t="shared" si="99"/>
        <v>84.926362177570752</v>
      </c>
      <c r="DA103" s="553">
        <f>CZ103/PI()*SQRT('Hilfstabellen_Mat&amp;Bem'!f.Rd.3/'Hilfstabellen_Mat&amp;Bem'!$BD$30)</f>
        <v>1.3516450339372967</v>
      </c>
      <c r="DB103" s="553">
        <f>0.5*(1+'Hilfstabellen_Mat&amp;Bem'!$BD$31*(DA103-0.3)+DA103^2)</f>
        <v>1.4660544005805427</v>
      </c>
      <c r="DC103" s="550">
        <f t="shared" si="100"/>
        <v>0.49168273697460579</v>
      </c>
      <c r="DE103" s="551">
        <f t="shared" si="101"/>
        <v>11812.677755814904</v>
      </c>
      <c r="DH103" s="547">
        <f>'Hilfstabellen_Mat&amp;Bem'!$J$62</f>
        <v>3.9</v>
      </c>
      <c r="DI103" s="546">
        <f t="shared" si="102"/>
        <v>155</v>
      </c>
      <c r="DJ103" s="551">
        <f t="shared" si="103"/>
        <v>87.161266445401552</v>
      </c>
      <c r="DK103" s="553">
        <f>DJ103/PI()*SQRT('Hilfstabellen_Mat&amp;Bem'!f.Rd.3/'Hilfstabellen_Mat&amp;Bem'!$BD$30)</f>
        <v>1.387214640093541</v>
      </c>
      <c r="DL103" s="553">
        <f>0.5*(1+'Hilfstabellen_Mat&amp;Bem'!$BD$31*(DK103-0.3)+DK103^2)</f>
        <v>1.5165429608496033</v>
      </c>
      <c r="DM103" s="550">
        <f t="shared" si="104"/>
        <v>0.4696258688368572</v>
      </c>
      <c r="DO103" s="551">
        <f t="shared" si="105"/>
        <v>11282.761498805494</v>
      </c>
      <c r="DR103" s="547">
        <f>'Hilfstabellen_Mat&amp;Bem'!$J$63</f>
        <v>4</v>
      </c>
      <c r="DS103" s="546">
        <f t="shared" si="106"/>
        <v>155</v>
      </c>
      <c r="DT103" s="551">
        <f t="shared" si="107"/>
        <v>89.396170713232365</v>
      </c>
      <c r="DU103" s="553">
        <f>DT103/PI()*SQRT('Hilfstabellen_Mat&amp;Bem'!f.Rd.3/'Hilfstabellen_Mat&amp;Bem'!$BD$30)</f>
        <v>1.4227842462497859</v>
      </c>
      <c r="DV103" s="553">
        <f>0.5*(1+'Hilfstabellen_Mat&amp;Bem'!$BD$31*(DU103-0.3)+DU103^2)</f>
        <v>1.568296718000775</v>
      </c>
      <c r="DW103" s="550">
        <f t="shared" si="108"/>
        <v>0.44882827602528236</v>
      </c>
      <c r="DY103" s="551">
        <f t="shared" si="109"/>
        <v>10783.099331507408</v>
      </c>
      <c r="EB103" s="547">
        <f>'Hilfstabellen_Mat&amp;Bem'!$J$64</f>
        <v>4.0999999999999996</v>
      </c>
      <c r="EC103" s="546">
        <f t="shared" si="110"/>
        <v>155</v>
      </c>
      <c r="ED103" s="551">
        <f t="shared" si="111"/>
        <v>91.631074981063179</v>
      </c>
      <c r="EE103" s="553">
        <f>ED103/PI()*SQRT('Hilfstabellen_Mat&amp;Bem'!f.Rd.3/'Hilfstabellen_Mat&amp;Bem'!$BD$30)</f>
        <v>1.4583538524060307</v>
      </c>
      <c r="EF103" s="553">
        <f>0.5*(1+'Hilfstabellen_Mat&amp;Bem'!$BD$31*(EE103-0.3)+EE103^2)</f>
        <v>1.6213156720340569</v>
      </c>
      <c r="EG103" s="550">
        <f t="shared" si="112"/>
        <v>0.42923198867248907</v>
      </c>
      <c r="EI103" s="551">
        <f t="shared" si="113"/>
        <v>10312.29852785655</v>
      </c>
      <c r="EL103" s="547">
        <f>'Hilfstabellen_Mat&amp;Bem'!$J$65</f>
        <v>4.2</v>
      </c>
      <c r="EM103" s="546">
        <f t="shared" si="114"/>
        <v>155</v>
      </c>
      <c r="EN103" s="551">
        <f t="shared" si="115"/>
        <v>93.865979248893993</v>
      </c>
      <c r="EO103" s="553">
        <f>EN103/PI()*SQRT('Hilfstabellen_Mat&amp;Bem'!f.Rd.3/'Hilfstabellen_Mat&amp;Bem'!$BD$30)</f>
        <v>1.4939234585622754</v>
      </c>
      <c r="EP103" s="553">
        <f>0.5*(1+'Hilfstabellen_Mat&amp;Bem'!$BD$31*(EO103-0.3)+EO103^2)</f>
        <v>1.6755998229494491</v>
      </c>
      <c r="EQ103" s="550">
        <f t="shared" si="116"/>
        <v>0.41077330437326098</v>
      </c>
      <c r="ES103" s="551">
        <f t="shared" si="117"/>
        <v>9868.8286375675943</v>
      </c>
    </row>
    <row r="104" spans="3:149">
      <c r="C104" s="546">
        <v>156</v>
      </c>
      <c r="D104" s="551">
        <f t="shared" si="72"/>
        <v>62.176182835805847</v>
      </c>
      <c r="E104" s="553">
        <f>$D104/PI()*SQRT('Hilfstabellen_Mat&amp;Bem'!f.Rd.3/'Hilfstabellen_Mat&amp;Bem'!$BD$30)</f>
        <v>0.989564684090396</v>
      </c>
      <c r="F104" s="553">
        <f>0.5*(1+'Hilfstabellen_Mat&amp;Bem'!$BD$31*($E104-0.3)+$E104^2)</f>
        <v>1.0240973662039825</v>
      </c>
      <c r="G104" s="550">
        <f t="shared" si="73"/>
        <v>0.77652029671503187</v>
      </c>
      <c r="I104" s="551">
        <f t="shared" si="118"/>
        <v>18897.397940857016</v>
      </c>
      <c r="M104" s="546">
        <f t="shared" si="74"/>
        <v>156</v>
      </c>
      <c r="N104" s="551">
        <f t="shared" si="64"/>
        <v>64.39676079422749</v>
      </c>
      <c r="O104" s="553">
        <f>$N104/PI()*SQRT('Hilfstabellen_Mat&amp;Bem'!f.Rd.3/'Hilfstabellen_Mat&amp;Bem'!$BD$30)</f>
        <v>1.0249062799507673</v>
      </c>
      <c r="P104" s="553">
        <f>0.5*(1+'Hilfstabellen_Mat&amp;Bem'!$BD$31*($O104-0.3)+$O104^2)</f>
        <v>1.0614617553387986</v>
      </c>
      <c r="Q104" s="550">
        <f t="shared" si="65"/>
        <v>0.7475916209526049</v>
      </c>
      <c r="S104" s="551">
        <f t="shared" si="119"/>
        <v>18193.389687502593</v>
      </c>
      <c r="W104" s="546">
        <f t="shared" si="75"/>
        <v>156</v>
      </c>
      <c r="X104" s="551">
        <f t="shared" si="66"/>
        <v>66.617338752649118</v>
      </c>
      <c r="Y104" s="553">
        <f>$X104/PI()*SQRT('Hilfstabellen_Mat&amp;Bem'!f.Rd.3/'Hilfstabellen_Mat&amp;Bem'!$BD$30)</f>
        <v>1.0602478758111384</v>
      </c>
      <c r="Z104" s="553">
        <f>0.5*(1+'Hilfstabellen_Mat&amp;Bem'!$BD$31*($Y104-0.3)+$Y104^2)</f>
        <v>1.1000751728715725</v>
      </c>
      <c r="AA104" s="550">
        <f t="shared" si="67"/>
        <v>0.71766868305375253</v>
      </c>
      <c r="AC104" s="551">
        <f t="shared" si="120"/>
        <v>17465.18507079612</v>
      </c>
      <c r="AG104" s="546">
        <f t="shared" si="76"/>
        <v>156</v>
      </c>
      <c r="AH104" s="551">
        <f t="shared" si="68"/>
        <v>68.837916711070761</v>
      </c>
      <c r="AI104" s="553">
        <f>$AH104/PI()*SQRT('Hilfstabellen_Mat&amp;Bem'!f.Rd.3/'Hilfstabellen_Mat&amp;Bem'!$BD$30)</f>
        <v>1.09558947167151</v>
      </c>
      <c r="AJ104" s="553">
        <f>0.5*(1+'Hilfstabellen_Mat&amp;Bem'!$BD$31*($AI104-0.3)+$AI104^2)</f>
        <v>1.1399376188023047</v>
      </c>
      <c r="AK104" s="550">
        <f t="shared" si="69"/>
        <v>0.68737733366420695</v>
      </c>
      <c r="AM104" s="551">
        <f t="shared" si="121"/>
        <v>16728.014792052141</v>
      </c>
      <c r="AQ104" s="546">
        <f t="shared" si="77"/>
        <v>156</v>
      </c>
      <c r="AR104" s="551">
        <f t="shared" si="70"/>
        <v>71.058494669492404</v>
      </c>
      <c r="AS104" s="553">
        <f>$AR104/PI()*SQRT('Hilfstabellen_Mat&amp;Bem'!f.Rd.3/'Hilfstabellen_Mat&amp;Bem'!$BD$30)</f>
        <v>1.1309310675318813</v>
      </c>
      <c r="AT104" s="553">
        <f>0.5*(1+'Hilfstabellen_Mat&amp;Bem'!$BD$31*($AS104-0.3)+$AS104^2)</f>
        <v>1.1810490931309945</v>
      </c>
      <c r="AU104" s="550">
        <f t="shared" si="71"/>
        <v>0.6572683068992371</v>
      </c>
      <c r="AW104" s="551">
        <f t="shared" si="122"/>
        <v>15995.281516699833</v>
      </c>
      <c r="AZ104" s="547">
        <f>'Hilfstabellen_Mat&amp;Bem'!$J$56</f>
        <v>3.3</v>
      </c>
      <c r="BA104" s="546">
        <f t="shared" si="78"/>
        <v>156</v>
      </c>
      <c r="BB104" s="551">
        <f t="shared" si="79"/>
        <v>73.279072627914033</v>
      </c>
      <c r="BC104" s="553">
        <f>BB104/PI()*SQRT('Hilfstabellen_Mat&amp;Bem'!f.Rd.3/'Hilfstabellen_Mat&amp;Bem'!$BD$30)</f>
        <v>1.1662726633922524</v>
      </c>
      <c r="BD104" s="553">
        <f>0.5*(1+'Hilfstabellen_Mat&amp;Bem'!$BD$31*(BC104-0.3)+BC104^2)</f>
        <v>1.2234095958576416</v>
      </c>
      <c r="BE104" s="550">
        <f t="shared" si="80"/>
        <v>0.62777729063324594</v>
      </c>
      <c r="BG104" s="551">
        <f t="shared" si="81"/>
        <v>15277.588144850673</v>
      </c>
      <c r="BJ104" s="547">
        <f>'Hilfstabellen_Mat&amp;Bem'!$J$57</f>
        <v>3.4</v>
      </c>
      <c r="BK104" s="546">
        <f t="shared" si="82"/>
        <v>156</v>
      </c>
      <c r="BL104" s="551">
        <f t="shared" si="83"/>
        <v>75.499650586335676</v>
      </c>
      <c r="BM104" s="553">
        <f>BL104/PI()*SQRT('Hilfstabellen_Mat&amp;Bem'!f.Rd.3/'Hilfstabellen_Mat&amp;Bem'!$BD$30)</f>
        <v>1.201614259252624</v>
      </c>
      <c r="BN104" s="553">
        <f>0.5*(1+'Hilfstabellen_Mat&amp;Bem'!$BD$31*(BM104-0.3)+BM104^2)</f>
        <v>1.2670191269822473</v>
      </c>
      <c r="BO104" s="550">
        <f t="shared" si="84"/>
        <v>0.59921833918003287</v>
      </c>
      <c r="BQ104" s="551">
        <f t="shared" si="85"/>
        <v>14582.577502285279</v>
      </c>
      <c r="BT104" s="547">
        <f>'Hilfstabellen_Mat&amp;Bem'!$J$58</f>
        <v>3.5</v>
      </c>
      <c r="BU104" s="546">
        <f t="shared" si="86"/>
        <v>156</v>
      </c>
      <c r="BV104" s="551">
        <f t="shared" si="87"/>
        <v>77.720228544757305</v>
      </c>
      <c r="BW104" s="553">
        <f>BV104/PI()*SQRT('Hilfstabellen_Mat&amp;Bem'!f.Rd.3/'Hilfstabellen_Mat&amp;Bem'!$BD$30)</f>
        <v>1.2369558551129949</v>
      </c>
      <c r="BX104" s="553">
        <f>0.5*(1+'Hilfstabellen_Mat&amp;Bem'!$BD$31*(BW104-0.3)+BW104^2)</f>
        <v>1.3118776865048098</v>
      </c>
      <c r="BY104" s="550">
        <f t="shared" si="88"/>
        <v>0.57179741728252964</v>
      </c>
      <c r="CA104" s="551">
        <f t="shared" si="89"/>
        <v>13915.261946987641</v>
      </c>
      <c r="CD104" s="547">
        <f>'Hilfstabellen_Mat&amp;Bem'!$J$59</f>
        <v>3.6</v>
      </c>
      <c r="CE104" s="546">
        <f t="shared" si="90"/>
        <v>156</v>
      </c>
      <c r="CF104" s="551">
        <f t="shared" si="91"/>
        <v>79.940806503178948</v>
      </c>
      <c r="CG104" s="553">
        <f>CF104/PI()*SQRT('Hilfstabellen_Mat&amp;Bem'!f.Rd.3/'Hilfstabellen_Mat&amp;Bem'!$BD$30)</f>
        <v>1.2722974509733662</v>
      </c>
      <c r="CH104" s="553">
        <f>0.5*(1+'Hilfstabellen_Mat&amp;Bem'!$BD$31*(CG104-0.3)+CG104^2)</f>
        <v>1.3579852744253311</v>
      </c>
      <c r="CI104" s="550">
        <f t="shared" si="92"/>
        <v>0.54563390570277925</v>
      </c>
      <c r="CK104" s="551">
        <f t="shared" si="93"/>
        <v>13278.546729182835</v>
      </c>
      <c r="CN104" s="547">
        <f>'Hilfstabellen_Mat&amp;Bem'!$J$60</f>
        <v>3.7</v>
      </c>
      <c r="CO104" s="546">
        <f t="shared" si="94"/>
        <v>156</v>
      </c>
      <c r="CP104" s="551">
        <f t="shared" si="95"/>
        <v>82.161384461600591</v>
      </c>
      <c r="CQ104" s="553">
        <f>CP104/PI()*SQRT('Hilfstabellen_Mat&amp;Bem'!f.Rd.3/'Hilfstabellen_Mat&amp;Bem'!$BD$30)</f>
        <v>1.3076390468337378</v>
      </c>
      <c r="CR104" s="553">
        <f>0.5*(1+'Hilfstabellen_Mat&amp;Bem'!$BD$31*(CQ104-0.3)+CQ104^2)</f>
        <v>1.40534189074381</v>
      </c>
      <c r="CS104" s="550">
        <f t="shared" si="96"/>
        <v>0.52078248839036556</v>
      </c>
      <c r="CU104" s="551">
        <f t="shared" si="97"/>
        <v>12673.762637467937</v>
      </c>
      <c r="CX104" s="547">
        <f>'Hilfstabellen_Mat&amp;Bem'!$J$61</f>
        <v>3.8</v>
      </c>
      <c r="CY104" s="546">
        <f t="shared" si="98"/>
        <v>156</v>
      </c>
      <c r="CZ104" s="551">
        <f t="shared" si="99"/>
        <v>84.381962420022219</v>
      </c>
      <c r="DA104" s="553">
        <f>CZ104/PI()*SQRT('Hilfstabellen_Mat&amp;Bem'!f.Rd.3/'Hilfstabellen_Mat&amp;Bem'!$BD$30)</f>
        <v>1.3429806426941089</v>
      </c>
      <c r="DB104" s="553">
        <f>0.5*(1+'Hilfstabellen_Mat&amp;Bem'!$BD$31*(DA104-0.3)+DA104^2)</f>
        <v>1.4539475354602462</v>
      </c>
      <c r="DC104" s="550">
        <f t="shared" si="100"/>
        <v>0.49725195257014465</v>
      </c>
      <c r="DE104" s="551">
        <f t="shared" si="101"/>
        <v>12101.123517747041</v>
      </c>
      <c r="DH104" s="547">
        <f>'Hilfstabellen_Mat&amp;Bem'!$J$62</f>
        <v>3.9</v>
      </c>
      <c r="DI104" s="546">
        <f t="shared" si="102"/>
        <v>156</v>
      </c>
      <c r="DJ104" s="551">
        <f t="shared" si="103"/>
        <v>86.602540378443862</v>
      </c>
      <c r="DK104" s="553">
        <f>DJ104/PI()*SQRT('Hilfstabellen_Mat&amp;Bem'!f.Rd.3/'Hilfstabellen_Mat&amp;Bem'!$BD$30)</f>
        <v>1.3783222385544802</v>
      </c>
      <c r="DL104" s="553">
        <f>0.5*(1+'Hilfstabellen_Mat&amp;Bem'!$BD$31*(DK104-0.3)+DK104^2)</f>
        <v>1.5038022085746408</v>
      </c>
      <c r="DM104" s="550">
        <f t="shared" si="104"/>
        <v>0.47501995619125226</v>
      </c>
      <c r="DO104" s="551">
        <f t="shared" si="105"/>
        <v>11560.085653870316</v>
      </c>
      <c r="DR104" s="547">
        <f>'Hilfstabellen_Mat&amp;Bem'!$J$63</f>
        <v>4</v>
      </c>
      <c r="DS104" s="546">
        <f t="shared" si="106"/>
        <v>156</v>
      </c>
      <c r="DT104" s="551">
        <f t="shared" si="107"/>
        <v>88.823118336865505</v>
      </c>
      <c r="DU104" s="553">
        <f>DT104/PI()*SQRT('Hilfstabellen_Mat&amp;Bem'!f.Rd.3/'Hilfstabellen_Mat&amp;Bem'!$BD$30)</f>
        <v>1.4136638344148516</v>
      </c>
      <c r="DV104" s="553">
        <f>0.5*(1+'Hilfstabellen_Mat&amp;Bem'!$BD$31*(DU104-0.3)+DU104^2)</f>
        <v>1.5549059100869931</v>
      </c>
      <c r="DW104" s="550">
        <f t="shared" si="108"/>
        <v>0.45404402109541031</v>
      </c>
      <c r="DY104" s="551">
        <f t="shared" si="109"/>
        <v>11049.615297377904</v>
      </c>
      <c r="EB104" s="547">
        <f>'Hilfstabellen_Mat&amp;Bem'!$J$64</f>
        <v>4.0999999999999996</v>
      </c>
      <c r="EC104" s="546">
        <f t="shared" si="110"/>
        <v>156</v>
      </c>
      <c r="ED104" s="551">
        <f t="shared" si="111"/>
        <v>91.043696295287134</v>
      </c>
      <c r="EE104" s="553">
        <f>ED104/PI()*SQRT('Hilfstabellen_Mat&amp;Bem'!f.Rd.3/'Hilfstabellen_Mat&amp;Bem'!$BD$30)</f>
        <v>1.4490054302752227</v>
      </c>
      <c r="EF104" s="553">
        <f>0.5*(1+'Hilfstabellen_Mat&amp;Bem'!$BD$31*(EE104-0.3)+EE104^2)</f>
        <v>1.6072586399973026</v>
      </c>
      <c r="EG104" s="550">
        <f t="shared" si="112"/>
        <v>0.43426943214846758</v>
      </c>
      <c r="EI104" s="551">
        <f t="shared" si="113"/>
        <v>10568.380900765107</v>
      </c>
      <c r="EL104" s="547">
        <f>'Hilfstabellen_Mat&amp;Bem'!$J$65</f>
        <v>4.2</v>
      </c>
      <c r="EM104" s="546">
        <f t="shared" si="114"/>
        <v>156</v>
      </c>
      <c r="EN104" s="551">
        <f t="shared" si="115"/>
        <v>93.264274253708777</v>
      </c>
      <c r="EO104" s="553">
        <f>EN104/PI()*SQRT('Hilfstabellen_Mat&amp;Bem'!f.Rd.3/'Hilfstabellen_Mat&amp;Bem'!$BD$30)</f>
        <v>1.484347026135594</v>
      </c>
      <c r="EP104" s="553">
        <f>0.5*(1+'Hilfstabellen_Mat&amp;Bem'!$BD$31*(EO104-0.3)+EO104^2)</f>
        <v>1.6608603983055705</v>
      </c>
      <c r="EQ104" s="550">
        <f t="shared" si="116"/>
        <v>0.41563476821509615</v>
      </c>
      <c r="ES104" s="551">
        <f t="shared" si="117"/>
        <v>10114.88771928258</v>
      </c>
    </row>
    <row r="105" spans="3:149">
      <c r="C105" s="546">
        <v>157</v>
      </c>
      <c r="D105" s="551">
        <f t="shared" si="72"/>
        <v>61.780156193539568</v>
      </c>
      <c r="E105" s="553">
        <f>$D105/PI()*SQRT('Hilfstabellen_Mat&amp;Bem'!f.Rd.3/'Hilfstabellen_Mat&amp;Bem'!$BD$30)</f>
        <v>0.98326172431911962</v>
      </c>
      <c r="F105" s="553">
        <f>0.5*(1+'Hilfstabellen_Mat&amp;Bem'!$BD$31*($E105-0.3)+$E105^2)</f>
        <v>1.0175648954714602</v>
      </c>
      <c r="G105" s="550">
        <f t="shared" si="73"/>
        <v>0.78152649984277045</v>
      </c>
      <c r="I105" s="551">
        <f t="shared" si="118"/>
        <v>19263.846694624448</v>
      </c>
      <c r="M105" s="546">
        <f t="shared" si="74"/>
        <v>157</v>
      </c>
      <c r="N105" s="551">
        <f t="shared" si="64"/>
        <v>63.986590343308841</v>
      </c>
      <c r="O105" s="553">
        <f>$N105/PI()*SQRT('Hilfstabellen_Mat&amp;Bem'!f.Rd.3/'Hilfstabellen_Mat&amp;Bem'!$BD$30)</f>
        <v>1.018378214473374</v>
      </c>
      <c r="P105" s="553">
        <f>0.5*(1+'Hilfstabellen_Mat&amp;Bem'!$BD$31*($O105-0.3)+$O105^2)</f>
        <v>1.0544660045806573</v>
      </c>
      <c r="Q105" s="550">
        <f t="shared" si="65"/>
        <v>0.75302913030622154</v>
      </c>
      <c r="S105" s="551">
        <f t="shared" si="119"/>
        <v>18561.415032918056</v>
      </c>
      <c r="W105" s="546">
        <f t="shared" si="75"/>
        <v>157</v>
      </c>
      <c r="X105" s="551">
        <f t="shared" si="66"/>
        <v>66.193024493078113</v>
      </c>
      <c r="Y105" s="553">
        <f>$X105/PI()*SQRT('Hilfstabellen_Mat&amp;Bem'!f.Rd.3/'Hilfstabellen_Mat&amp;Bem'!$BD$30)</f>
        <v>1.0534947046276282</v>
      </c>
      <c r="Z105" s="553">
        <f>0.5*(1+'Hilfstabellen_Mat&amp;Bem'!$BD$31*($Y105-0.3)+$Y105^2)</f>
        <v>1.0926002815706082</v>
      </c>
      <c r="AA105" s="550">
        <f t="shared" si="67"/>
        <v>0.72343344643365026</v>
      </c>
      <c r="AC105" s="551">
        <f t="shared" si="120"/>
        <v>17831.911021143045</v>
      </c>
      <c r="AG105" s="546">
        <f t="shared" si="76"/>
        <v>157</v>
      </c>
      <c r="AH105" s="551">
        <f t="shared" si="68"/>
        <v>68.399458642847378</v>
      </c>
      <c r="AI105" s="553">
        <f>$AH105/PI()*SQRT('Hilfstabellen_Mat&amp;Bem'!f.Rd.3/'Hilfstabellen_Mat&amp;Bem'!$BD$30)</f>
        <v>1.0886111947818824</v>
      </c>
      <c r="AJ105" s="553">
        <f>0.5*(1+'Hilfstabellen_Mat&amp;Bem'!$BD$31*($AI105-0.3)+$AI105^2)</f>
        <v>1.1319677264413128</v>
      </c>
      <c r="AK105" s="550">
        <f t="shared" si="69"/>
        <v>0.69335989720322777</v>
      </c>
      <c r="AM105" s="551">
        <f t="shared" si="121"/>
        <v>17090.628106162363</v>
      </c>
      <c r="AQ105" s="546">
        <f t="shared" si="77"/>
        <v>157</v>
      </c>
      <c r="AR105" s="551">
        <f t="shared" si="70"/>
        <v>70.605892792616643</v>
      </c>
      <c r="AS105" s="553">
        <f>$AR105/PI()*SQRT('Hilfstabellen_Mat&amp;Bem'!f.Rd.3/'Hilfstabellen_Mat&amp;Bem'!$BD$30)</f>
        <v>1.1237276849361366</v>
      </c>
      <c r="AT105" s="553">
        <f>0.5*(1+'Hilfstabellen_Mat&amp;Bem'!$BD$31*($AS105-0.3)+$AS105^2)</f>
        <v>1.1725683391927715</v>
      </c>
      <c r="AU105" s="550">
        <f t="shared" si="71"/>
        <v>0.66336740343096479</v>
      </c>
      <c r="AW105" s="551">
        <f t="shared" si="122"/>
        <v>16351.343127169852</v>
      </c>
      <c r="AZ105" s="547">
        <f>'Hilfstabellen_Mat&amp;Bem'!$J$56</f>
        <v>3.3</v>
      </c>
      <c r="BA105" s="546">
        <f t="shared" si="78"/>
        <v>157</v>
      </c>
      <c r="BB105" s="551">
        <f t="shared" si="79"/>
        <v>72.812326942385923</v>
      </c>
      <c r="BC105" s="553">
        <f>BB105/PI()*SQRT('Hilfstabellen_Mat&amp;Bem'!f.Rd.3/'Hilfstabellen_Mat&amp;Bem'!$BD$30)</f>
        <v>1.1588441750903911</v>
      </c>
      <c r="BD105" s="553">
        <f>0.5*(1+'Hilfstabellen_Mat&amp;Bem'!$BD$31*(BC105-0.3)+BC105^2)</f>
        <v>1.2144021198249839</v>
      </c>
      <c r="BE105" s="550">
        <f t="shared" si="80"/>
        <v>0.63390744066206473</v>
      </c>
      <c r="BG105" s="551">
        <f t="shared" si="81"/>
        <v>15625.184504879233</v>
      </c>
      <c r="BJ105" s="547">
        <f>'Hilfstabellen_Mat&amp;Bem'!$J$57</f>
        <v>3.4</v>
      </c>
      <c r="BK105" s="546">
        <f t="shared" si="82"/>
        <v>157</v>
      </c>
      <c r="BL105" s="551">
        <f t="shared" si="83"/>
        <v>75.018761092155188</v>
      </c>
      <c r="BM105" s="553">
        <f>BL105/PI()*SQRT('Hilfstabellen_Mat&amp;Bem'!f.Rd.3/'Hilfstabellen_Mat&amp;Bem'!$BD$30)</f>
        <v>1.1939606652446453</v>
      </c>
      <c r="BN105" s="553">
        <f>0.5*(1+'Hilfstabellen_Mat&amp;Bem'!$BD$31*(BM105-0.3)+BM105^2)</f>
        <v>1.2574690683379501</v>
      </c>
      <c r="BO105" s="550">
        <f t="shared" si="84"/>
        <v>0.60531214224288887</v>
      </c>
      <c r="BQ105" s="551">
        <f t="shared" si="85"/>
        <v>14920.338994144968</v>
      </c>
      <c r="BT105" s="547">
        <f>'Hilfstabellen_Mat&amp;Bem'!$J$58</f>
        <v>3.5</v>
      </c>
      <c r="BU105" s="546">
        <f t="shared" si="86"/>
        <v>157</v>
      </c>
      <c r="BV105" s="551">
        <f t="shared" si="87"/>
        <v>77.225195241924467</v>
      </c>
      <c r="BW105" s="553">
        <f>BV105/PI()*SQRT('Hilfstabellen_Mat&amp;Bem'!f.Rd.3/'Hilfstabellen_Mat&amp;Bem'!$BD$30)</f>
        <v>1.2290771553988997</v>
      </c>
      <c r="BX105" s="553">
        <f>0.5*(1+'Hilfstabellen_Mat&amp;Bem'!$BD$31*(BW105-0.3)+BW105^2)</f>
        <v>1.3017691847316706</v>
      </c>
      <c r="BY105" s="550">
        <f t="shared" si="88"/>
        <v>0.5778045044494744</v>
      </c>
      <c r="CA105" s="551">
        <f t="shared" si="89"/>
        <v>14242.303230175094</v>
      </c>
      <c r="CD105" s="547">
        <f>'Hilfstabellen_Mat&amp;Bem'!$J$59</f>
        <v>3.6</v>
      </c>
      <c r="CE105" s="546">
        <f t="shared" si="90"/>
        <v>157</v>
      </c>
      <c r="CF105" s="551">
        <f t="shared" si="91"/>
        <v>79.431629391693733</v>
      </c>
      <c r="CG105" s="553">
        <f>CF105/PI()*SQRT('Hilfstabellen_Mat&amp;Bem'!f.Rd.3/'Hilfstabellen_Mat&amp;Bem'!$BD$30)</f>
        <v>1.2641936455531537</v>
      </c>
      <c r="CH105" s="553">
        <f>0.5*(1+'Hilfstabellen_Mat&amp;Bem'!$BD$31*(CG105-0.3)+CG105^2)</f>
        <v>1.3473024690061441</v>
      </c>
      <c r="CI105" s="550">
        <f t="shared" si="92"/>
        <v>0.55151836788483344</v>
      </c>
      <c r="CK105" s="551">
        <f t="shared" si="93"/>
        <v>13594.37624999326</v>
      </c>
      <c r="CN105" s="547">
        <f>'Hilfstabellen_Mat&amp;Bem'!$J$60</f>
        <v>3.7</v>
      </c>
      <c r="CO105" s="546">
        <f t="shared" si="94"/>
        <v>157</v>
      </c>
      <c r="CP105" s="551">
        <f t="shared" si="95"/>
        <v>81.638063541462998</v>
      </c>
      <c r="CQ105" s="553">
        <f>CP105/PI()*SQRT('Hilfstabellen_Mat&amp;Bem'!f.Rd.3/'Hilfstabellen_Mat&amp;Bem'!$BD$30)</f>
        <v>1.2993101357074082</v>
      </c>
      <c r="CR105" s="553">
        <f>0.5*(1+'Hilfstabellen_Mat&amp;Bem'!$BD$31*(CQ105-0.3)+CQ105^2)</f>
        <v>1.3940689211613719</v>
      </c>
      <c r="CS105" s="550">
        <f t="shared" si="96"/>
        <v>0.52651994949145864</v>
      </c>
      <c r="CU105" s="551">
        <f t="shared" si="97"/>
        <v>12978.190235014965</v>
      </c>
      <c r="CX105" s="547">
        <f>'Hilfstabellen_Mat&amp;Bem'!$J$61</f>
        <v>3.8</v>
      </c>
      <c r="CY105" s="546">
        <f t="shared" si="98"/>
        <v>157</v>
      </c>
      <c r="CZ105" s="551">
        <f t="shared" si="99"/>
        <v>83.844497691232277</v>
      </c>
      <c r="DA105" s="553">
        <f>CZ105/PI()*SQRT('Hilfstabellen_Mat&amp;Bem'!f.Rd.3/'Hilfstabellen_Mat&amp;Bem'!$BD$30)</f>
        <v>1.3344266258616626</v>
      </c>
      <c r="DB105" s="553">
        <f>0.5*(1+'Hilfstabellen_Mat&amp;Bem'!$BD$31*(DA105-0.3)+DA105^2)</f>
        <v>1.4420685411973539</v>
      </c>
      <c r="DC105" s="550">
        <f t="shared" si="100"/>
        <v>0.50282687427095374</v>
      </c>
      <c r="DE105" s="551">
        <f t="shared" si="101"/>
        <v>12394.179623904738</v>
      </c>
      <c r="DH105" s="547">
        <f>'Hilfstabellen_Mat&amp;Bem'!$J$62</f>
        <v>3.9</v>
      </c>
      <c r="DI105" s="546">
        <f t="shared" si="102"/>
        <v>157</v>
      </c>
      <c r="DJ105" s="551">
        <f t="shared" si="103"/>
        <v>86.050931841001542</v>
      </c>
      <c r="DK105" s="553">
        <f>DJ105/PI()*SQRT('Hilfstabellen_Mat&amp;Bem'!f.Rd.3/'Hilfstabellen_Mat&amp;Bem'!$BD$30)</f>
        <v>1.3695431160159166</v>
      </c>
      <c r="DL105" s="553">
        <f>0.5*(1+'Hilfstabellen_Mat&amp;Bem'!$BD$31*(DK105-0.3)+DK105^2)</f>
        <v>1.4913013291140889</v>
      </c>
      <c r="DM105" s="550">
        <f t="shared" si="104"/>
        <v>0.48042339061346717</v>
      </c>
      <c r="DO105" s="551">
        <f t="shared" si="105"/>
        <v>11841.956155231352</v>
      </c>
      <c r="DR105" s="547">
        <f>'Hilfstabellen_Mat&amp;Bem'!$J$63</f>
        <v>4</v>
      </c>
      <c r="DS105" s="546">
        <f t="shared" si="106"/>
        <v>157</v>
      </c>
      <c r="DT105" s="551">
        <f t="shared" si="107"/>
        <v>88.257365990770822</v>
      </c>
      <c r="DU105" s="553">
        <f>DT105/PI()*SQRT('Hilfstabellen_Mat&amp;Bem'!f.Rd.3/'Hilfstabellen_Mat&amp;Bem'!$BD$30)</f>
        <v>1.404659606170171</v>
      </c>
      <c r="DV105" s="553">
        <f>0.5*(1+'Hilfstabellen_Mat&amp;Bem'!$BD$31*(DU105-0.3)+DU105^2)</f>
        <v>1.5417672849115784</v>
      </c>
      <c r="DW105" s="550">
        <f t="shared" si="108"/>
        <v>0.45927183638826619</v>
      </c>
      <c r="DY105" s="551">
        <f t="shared" si="109"/>
        <v>11320.591495134373</v>
      </c>
      <c r="EB105" s="547">
        <f>'Hilfstabellen_Mat&amp;Bem'!$J$64</f>
        <v>4.0999999999999996</v>
      </c>
      <c r="EC105" s="546">
        <f t="shared" si="110"/>
        <v>157</v>
      </c>
      <c r="ED105" s="551">
        <f t="shared" si="111"/>
        <v>90.463800140540073</v>
      </c>
      <c r="EE105" s="553">
        <f>ED105/PI()*SQRT('Hilfstabellen_Mat&amp;Bem'!f.Rd.3/'Hilfstabellen_Mat&amp;Bem'!$BD$30)</f>
        <v>1.439776096324425</v>
      </c>
      <c r="EF105" s="553">
        <f>0.5*(1+'Hilfstabellen_Mat&amp;Bem'!$BD$31*(EE105-0.3)+EE105^2)</f>
        <v>1.5934664085898214</v>
      </c>
      <c r="EG105" s="550">
        <f t="shared" si="112"/>
        <v>0.43932095571496704</v>
      </c>
      <c r="EI105" s="551">
        <f t="shared" si="113"/>
        <v>10828.822237418222</v>
      </c>
      <c r="EL105" s="547">
        <f>'Hilfstabellen_Mat&amp;Bem'!$J$65</f>
        <v>4.2</v>
      </c>
      <c r="EM105" s="546">
        <f t="shared" si="114"/>
        <v>157</v>
      </c>
      <c r="EN105" s="551">
        <f t="shared" si="115"/>
        <v>92.670234290309352</v>
      </c>
      <c r="EO105" s="553">
        <f>EN105/PI()*SQRT('Hilfstabellen_Mat&amp;Bem'!f.Rd.3/'Hilfstabellen_Mat&amp;Bem'!$BD$30)</f>
        <v>1.4748925864786795</v>
      </c>
      <c r="EP105" s="553">
        <f>0.5*(1+'Hilfstabellen_Mat&amp;Bem'!$BD$31*(EO105-0.3)+EO105^2)</f>
        <v>1.6463987001488185</v>
      </c>
      <c r="EQ105" s="550">
        <f t="shared" si="116"/>
        <v>0.42051176940153107</v>
      </c>
      <c r="ES105" s="551">
        <f t="shared" si="117"/>
        <v>10365.19460397834</v>
      </c>
    </row>
    <row r="106" spans="3:149">
      <c r="C106" s="546">
        <v>158</v>
      </c>
      <c r="D106" s="551">
        <f t="shared" si="72"/>
        <v>61.389142546745006</v>
      </c>
      <c r="E106" s="553">
        <f>$D106/PI()*SQRT('Hilfstabellen_Mat&amp;Bem'!f.Rd.3/'Hilfstabellen_Mat&amp;Bem'!$BD$30)</f>
        <v>0.9770385488487453</v>
      </c>
      <c r="F106" s="553">
        <f>0.5*(1+'Hilfstabellen_Mat&amp;Bem'!$BD$31*($E106-0.3)+$E106^2)</f>
        <v>1.0111540904106682</v>
      </c>
      <c r="G106" s="550">
        <f t="shared" si="73"/>
        <v>0.78641533655226648</v>
      </c>
      <c r="I106" s="551">
        <f t="shared" si="118"/>
        <v>19632.072461690779</v>
      </c>
      <c r="M106" s="546">
        <f t="shared" si="74"/>
        <v>158</v>
      </c>
      <c r="N106" s="551">
        <f t="shared" si="64"/>
        <v>63.581611923414471</v>
      </c>
      <c r="O106" s="553">
        <f>$N106/PI()*SQRT('Hilfstabellen_Mat&amp;Bem'!f.Rd.3/'Hilfstabellen_Mat&amp;Bem'!$BD$30)</f>
        <v>1.0119327827362006</v>
      </c>
      <c r="P106" s="553">
        <f>0.5*(1+'Hilfstabellen_Mat&amp;Bem'!$BD$31*($O106-0.3)+$O106^2)</f>
        <v>1.0476006175249253</v>
      </c>
      <c r="Q106" s="550">
        <f t="shared" si="65"/>
        <v>0.75836054302976419</v>
      </c>
      <c r="S106" s="551">
        <f t="shared" si="119"/>
        <v>18931.712596195033</v>
      </c>
      <c r="W106" s="546">
        <f t="shared" si="75"/>
        <v>158</v>
      </c>
      <c r="X106" s="551">
        <f t="shared" si="66"/>
        <v>65.774081300083949</v>
      </c>
      <c r="Y106" s="553">
        <f>$X106/PI()*SQRT('Hilfstabellen_Mat&amp;Bem'!f.Rd.3/'Hilfstabellen_Mat&amp;Bem'!$BD$30)</f>
        <v>1.046827016623656</v>
      </c>
      <c r="Z106" s="553">
        <f>0.5*(1+'Hilfstabellen_Mat&amp;Bem'!$BD$31*($Y106-0.3)+$Y106^2)</f>
        <v>1.0852647521977747</v>
      </c>
      <c r="AA106" s="550">
        <f t="shared" si="67"/>
        <v>0.72910811178694857</v>
      </c>
      <c r="AC106" s="551">
        <f t="shared" si="120"/>
        <v>18201.454902649384</v>
      </c>
      <c r="AG106" s="546">
        <f t="shared" si="76"/>
        <v>158</v>
      </c>
      <c r="AH106" s="551">
        <f t="shared" si="68"/>
        <v>67.966550676753414</v>
      </c>
      <c r="AI106" s="553">
        <f>$AH106/PI()*SQRT('Hilfstabellen_Mat&amp;Bem'!f.Rd.3/'Hilfstabellen_Mat&amp;Bem'!$BD$30)</f>
        <v>1.0817212505111111</v>
      </c>
      <c r="AJ106" s="553">
        <f>0.5*(1+'Hilfstabellen_Mat&amp;Bem'!$BD$31*($AI106-0.3)+$AI106^2)</f>
        <v>1.1241464944292165</v>
      </c>
      <c r="AK106" s="550">
        <f t="shared" si="69"/>
        <v>0.69927023696239698</v>
      </c>
      <c r="AM106" s="551">
        <f t="shared" si="121"/>
        <v>17456.582195529278</v>
      </c>
      <c r="AQ106" s="546">
        <f t="shared" si="77"/>
        <v>158</v>
      </c>
      <c r="AR106" s="551">
        <f t="shared" si="70"/>
        <v>70.159020053422879</v>
      </c>
      <c r="AS106" s="553">
        <f>$AR106/PI()*SQRT('Hilfstabellen_Mat&amp;Bem'!f.Rd.3/'Hilfstabellen_Mat&amp;Bem'!$BD$30)</f>
        <v>1.1166154843985663</v>
      </c>
      <c r="AT106" s="553">
        <f>0.5*(1+'Hilfstabellen_Mat&amp;Bem'!$BD$31*($AS106-0.3)+$AS106^2)</f>
        <v>1.1642458442192507</v>
      </c>
      <c r="AU106" s="550">
        <f t="shared" si="71"/>
        <v>0.6694116971880032</v>
      </c>
      <c r="AW106" s="551">
        <f t="shared" si="122"/>
        <v>16711.193608601312</v>
      </c>
      <c r="AZ106" s="547">
        <f>'Hilfstabellen_Mat&amp;Bem'!$J$56</f>
        <v>3.3</v>
      </c>
      <c r="BA106" s="546">
        <f t="shared" si="78"/>
        <v>158</v>
      </c>
      <c r="BB106" s="551">
        <f t="shared" si="79"/>
        <v>72.351489430092343</v>
      </c>
      <c r="BC106" s="553">
        <f>BB106/PI()*SQRT('Hilfstabellen_Mat&amp;Bem'!f.Rd.3/'Hilfstabellen_Mat&amp;Bem'!$BD$30)</f>
        <v>1.1515097182860214</v>
      </c>
      <c r="BD106" s="553">
        <f>0.5*(1+'Hilfstabellen_Mat&amp;Bem'!$BD$31*(BC106-0.3)+BC106^2)</f>
        <v>1.2055628015678774</v>
      </c>
      <c r="BE106" s="550">
        <f t="shared" si="80"/>
        <v>0.63999835123123971</v>
      </c>
      <c r="BG106" s="551">
        <f t="shared" si="81"/>
        <v>15976.918840136668</v>
      </c>
      <c r="BJ106" s="547">
        <f>'Hilfstabellen_Mat&amp;Bem'!$J$57</f>
        <v>3.4</v>
      </c>
      <c r="BK106" s="546">
        <f t="shared" si="82"/>
        <v>158</v>
      </c>
      <c r="BL106" s="551">
        <f t="shared" si="83"/>
        <v>74.543958806761808</v>
      </c>
      <c r="BM106" s="553">
        <f>BL106/PI()*SQRT('Hilfstabellen_Mat&amp;Bem'!f.Rd.3/'Hilfstabellen_Mat&amp;Bem'!$BD$30)</f>
        <v>1.1864039521734766</v>
      </c>
      <c r="BN106" s="553">
        <f>0.5*(1+'Hilfstabellen_Mat&amp;Bem'!$BD$31*(BM106-0.3)+BM106^2)</f>
        <v>1.2480973664750963</v>
      </c>
      <c r="BO106" s="550">
        <f t="shared" si="84"/>
        <v>0.61137983520548667</v>
      </c>
      <c r="BQ106" s="551">
        <f t="shared" si="85"/>
        <v>15262.486206069769</v>
      </c>
      <c r="BT106" s="547">
        <f>'Hilfstabellen_Mat&amp;Bem'!$J$58</f>
        <v>3.5</v>
      </c>
      <c r="BU106" s="546">
        <f t="shared" si="86"/>
        <v>158</v>
      </c>
      <c r="BV106" s="551">
        <f t="shared" si="87"/>
        <v>76.736428183431272</v>
      </c>
      <c r="BW106" s="553">
        <f>BV106/PI()*SQRT('Hilfstabellen_Mat&amp;Bem'!f.Rd.3/'Hilfstabellen_Mat&amp;Bem'!$BD$30)</f>
        <v>1.221298186060932</v>
      </c>
      <c r="BX106" s="553">
        <f>0.5*(1+'Hilfstabellen_Mat&amp;Bem'!$BD$31*(BW106-0.3)+BW106^2)</f>
        <v>1.2918495389409079</v>
      </c>
      <c r="BY106" s="550">
        <f t="shared" si="88"/>
        <v>0.58379614403894342</v>
      </c>
      <c r="CA106" s="551">
        <f t="shared" si="89"/>
        <v>14573.886939788184</v>
      </c>
      <c r="CD106" s="547">
        <f>'Hilfstabellen_Mat&amp;Bem'!$J$59</f>
        <v>3.6</v>
      </c>
      <c r="CE106" s="546">
        <f t="shared" si="90"/>
        <v>158</v>
      </c>
      <c r="CF106" s="551">
        <f t="shared" si="91"/>
        <v>78.928897560100737</v>
      </c>
      <c r="CG106" s="553">
        <f>CF106/PI()*SQRT('Hilfstabellen_Mat&amp;Bem'!f.Rd.3/'Hilfstabellen_Mat&amp;Bem'!$BD$30)</f>
        <v>1.2561924199483872</v>
      </c>
      <c r="CH106" s="553">
        <f>0.5*(1+'Hilfstabellen_Mat&amp;Bem'!$BD$31*(CG106-0.3)+CG106^2)</f>
        <v>1.3368193189653119</v>
      </c>
      <c r="CI106" s="550">
        <f t="shared" si="92"/>
        <v>0.55739582349313554</v>
      </c>
      <c r="CK106" s="551">
        <f t="shared" si="93"/>
        <v>13914.829337682635</v>
      </c>
      <c r="CN106" s="547">
        <f>'Hilfstabellen_Mat&amp;Bem'!$J$60</f>
        <v>3.7</v>
      </c>
      <c r="CO106" s="546">
        <f t="shared" si="94"/>
        <v>158</v>
      </c>
      <c r="CP106" s="551">
        <f t="shared" si="95"/>
        <v>81.121366936770201</v>
      </c>
      <c r="CQ106" s="553">
        <f>CP106/PI()*SQRT('Hilfstabellen_Mat&amp;Bem'!f.Rd.3/'Hilfstabellen_Mat&amp;Bem'!$BD$30)</f>
        <v>1.2910866538358423</v>
      </c>
      <c r="CR106" s="553">
        <f>0.5*(1+'Hilfstabellen_Mat&amp;Bem'!$BD$31*(CQ106-0.3)+CQ106^2)</f>
        <v>1.3830067065483083</v>
      </c>
      <c r="CS106" s="550">
        <f t="shared" si="96"/>
        <v>0.53225696971369885</v>
      </c>
      <c r="CU106" s="551">
        <f t="shared" si="97"/>
        <v>13287.262991932777</v>
      </c>
      <c r="CX106" s="547">
        <f>'Hilfstabellen_Mat&amp;Bem'!$J$61</f>
        <v>3.8</v>
      </c>
      <c r="CY106" s="546">
        <f t="shared" si="98"/>
        <v>158</v>
      </c>
      <c r="CZ106" s="551">
        <f t="shared" si="99"/>
        <v>83.313836313439666</v>
      </c>
      <c r="DA106" s="553">
        <f>CZ106/PI()*SQRT('Hilfstabellen_Mat&amp;Bem'!f.Rd.3/'Hilfstabellen_Mat&amp;Bem'!$BD$30)</f>
        <v>1.3259808877232975</v>
      </c>
      <c r="DB106" s="553">
        <f>0.5*(1+'Hilfstabellen_Mat&amp;Bem'!$BD$31*(DA106-0.3)+DA106^2)</f>
        <v>1.4304117016898967</v>
      </c>
      <c r="DC106" s="550">
        <f t="shared" si="100"/>
        <v>0.50840639616333505</v>
      </c>
      <c r="DE106" s="551">
        <f t="shared" si="101"/>
        <v>12691.857273821497</v>
      </c>
      <c r="DH106" s="547">
        <f>'Hilfstabellen_Mat&amp;Bem'!$J$62</f>
        <v>3.9</v>
      </c>
      <c r="DI106" s="546">
        <f t="shared" si="102"/>
        <v>158</v>
      </c>
      <c r="DJ106" s="551">
        <f t="shared" si="103"/>
        <v>85.50630569010913</v>
      </c>
      <c r="DK106" s="553">
        <f>DJ106/PI()*SQRT('Hilfstabellen_Mat&amp;Bem'!f.Rd.3/'Hilfstabellen_Mat&amp;Bem'!$BD$30)</f>
        <v>1.3608751216107526</v>
      </c>
      <c r="DL106" s="553">
        <f>0.5*(1+'Hilfstabellen_Mat&amp;Bem'!$BD$31*(DK106-0.3)+DK106^2)</f>
        <v>1.479034304390078</v>
      </c>
      <c r="DM106" s="550">
        <f t="shared" si="104"/>
        <v>0.48583525397377042</v>
      </c>
      <c r="DO106" s="551">
        <f t="shared" si="105"/>
        <v>12128.391280201206</v>
      </c>
      <c r="DR106" s="547">
        <f>'Hilfstabellen_Mat&amp;Bem'!$J$63</f>
        <v>4</v>
      </c>
      <c r="DS106" s="546">
        <f t="shared" si="106"/>
        <v>158</v>
      </c>
      <c r="DT106" s="551">
        <f t="shared" si="107"/>
        <v>87.698775066778595</v>
      </c>
      <c r="DU106" s="553">
        <f>DT106/PI()*SQRT('Hilfstabellen_Mat&amp;Bem'!f.Rd.3/'Hilfstabellen_Mat&amp;Bem'!$BD$30)</f>
        <v>1.3957693554982078</v>
      </c>
      <c r="DV106" s="553">
        <f>0.5*(1+'Hilfstabellen_Mat&amp;Bem'!$BD$31*(DU106-0.3)+DU106^2)</f>
        <v>1.5288745146488516</v>
      </c>
      <c r="DW106" s="550">
        <f t="shared" si="108"/>
        <v>0.46451095772608958</v>
      </c>
      <c r="DY106" s="551">
        <f t="shared" si="109"/>
        <v>11596.051548674101</v>
      </c>
      <c r="EB106" s="547">
        <f>'Hilfstabellen_Mat&amp;Bem'!$J$64</f>
        <v>4.0999999999999996</v>
      </c>
      <c r="EC106" s="546">
        <f t="shared" si="110"/>
        <v>158</v>
      </c>
      <c r="ED106" s="551">
        <f t="shared" si="111"/>
        <v>89.891244443448059</v>
      </c>
      <c r="EE106" s="553">
        <f>ED106/PI()*SQRT('Hilfstabellen_Mat&amp;Bem'!f.Rd.3/'Hilfstabellen_Mat&amp;Bem'!$BD$30)</f>
        <v>1.430663589385663</v>
      </c>
      <c r="EF106" s="553">
        <f>0.5*(1+'Hilfstabellen_Mat&amp;Bem'!$BD$31*(EE106-0.3)+EE106^2)</f>
        <v>1.5799323324662176</v>
      </c>
      <c r="EG106" s="550">
        <f t="shared" si="112"/>
        <v>0.44438592077903644</v>
      </c>
      <c r="EI106" s="551">
        <f t="shared" si="113"/>
        <v>11093.650126327866</v>
      </c>
      <c r="EL106" s="547">
        <f>'Hilfstabellen_Mat&amp;Bem'!$J$65</f>
        <v>4.2</v>
      </c>
      <c r="EM106" s="546">
        <f t="shared" si="114"/>
        <v>158</v>
      </c>
      <c r="EN106" s="551">
        <f t="shared" si="115"/>
        <v>92.083713820117524</v>
      </c>
      <c r="EO106" s="553">
        <f>EN106/PI()*SQRT('Hilfstabellen_Mat&amp;Bem'!f.Rd.3/'Hilfstabellen_Mat&amp;Bem'!$BD$30)</f>
        <v>1.4655578232731181</v>
      </c>
      <c r="EP106" s="553">
        <f>0.5*(1+'Hilfstabellen_Mat&amp;Bem'!$BD$31*(EO106-0.3)+EO106^2)</f>
        <v>1.6322077578421759</v>
      </c>
      <c r="EQ106" s="550">
        <f t="shared" si="116"/>
        <v>0.42540377167772037</v>
      </c>
      <c r="ES106" s="551">
        <f t="shared" si="117"/>
        <v>10619.779756162612</v>
      </c>
    </row>
    <row r="107" spans="3:149">
      <c r="C107" s="546">
        <v>159</v>
      </c>
      <c r="D107" s="551">
        <f t="shared" si="72"/>
        <v>61.003047310601964</v>
      </c>
      <c r="E107" s="553">
        <f>$D107/PI()*SQRT('Hilfstabellen_Mat&amp;Bem'!f.Rd.3/'Hilfstabellen_Mat&amp;Bem'!$BD$30)</f>
        <v>0.97089365231510549</v>
      </c>
      <c r="F107" s="553">
        <f>0.5*(1+'Hilfstabellen_Mat&amp;Bem'!$BD$31*($E107-0.3)+$E107^2)</f>
        <v>1.0048619246686377</v>
      </c>
      <c r="G107" s="550">
        <f t="shared" si="73"/>
        <v>0.79118699953124016</v>
      </c>
      <c r="I107" s="551">
        <f t="shared" si="118"/>
        <v>20001.998535149283</v>
      </c>
      <c r="M107" s="546">
        <f t="shared" si="74"/>
        <v>159</v>
      </c>
      <c r="N107" s="551">
        <f t="shared" si="64"/>
        <v>63.181727571694886</v>
      </c>
      <c r="O107" s="553">
        <f>$N107/PI()*SQRT('Hilfstabellen_Mat&amp;Bem'!f.Rd.3/'Hilfstabellen_Mat&amp;Bem'!$BD$30)</f>
        <v>1.0055684256120736</v>
      </c>
      <c r="P107" s="553">
        <f>0.5*(1+'Hilfstabellen_Mat&amp;Bem'!$BD$31*($O107-0.3)+$O107^2)</f>
        <v>1.0408623505745758</v>
      </c>
      <c r="Q107" s="550">
        <f t="shared" si="65"/>
        <v>0.7635847225027067</v>
      </c>
      <c r="S107" s="551">
        <f t="shared" si="119"/>
        <v>19304.185369590927</v>
      </c>
      <c r="W107" s="546">
        <f t="shared" si="75"/>
        <v>159</v>
      </c>
      <c r="X107" s="551">
        <f t="shared" si="66"/>
        <v>65.360407832787828</v>
      </c>
      <c r="Y107" s="553">
        <f>$X107/PI()*SQRT('Hilfstabellen_Mat&amp;Bem'!f.Rd.3/'Hilfstabellen_Mat&amp;Bem'!$BD$30)</f>
        <v>1.0402431989090417</v>
      </c>
      <c r="Z107" s="553">
        <f>0.5*(1+'Hilfstabellen_Mat&amp;Bem'!$BD$31*($Y107-0.3)+$Y107^2)</f>
        <v>1.0780651163837101</v>
      </c>
      <c r="AA107" s="550">
        <f t="shared" si="67"/>
        <v>0.734690590699277</v>
      </c>
      <c r="AC107" s="551">
        <f t="shared" si="120"/>
        <v>18573.712823468421</v>
      </c>
      <c r="AG107" s="546">
        <f t="shared" si="76"/>
        <v>159</v>
      </c>
      <c r="AH107" s="551">
        <f t="shared" si="68"/>
        <v>67.53908809388075</v>
      </c>
      <c r="AI107" s="553">
        <f>$AH107/PI()*SQRT('Hilfstabellen_Mat&amp;Bem'!f.Rd.3/'Hilfstabellen_Mat&amp;Bem'!$BD$30)</f>
        <v>1.0749179722060098</v>
      </c>
      <c r="AJ107" s="553">
        <f>0.5*(1+'Hilfstabellen_Mat&amp;Bem'!$BD$31*($AI107-0.3)+$AI107^2)</f>
        <v>1.1164702220960407</v>
      </c>
      <c r="AK107" s="550">
        <f t="shared" si="69"/>
        <v>0.70510577673377384</v>
      </c>
      <c r="AM107" s="551">
        <f t="shared" si="121"/>
        <v>17825.779141606537</v>
      </c>
      <c r="AQ107" s="546">
        <f t="shared" si="77"/>
        <v>159</v>
      </c>
      <c r="AR107" s="551">
        <f t="shared" si="70"/>
        <v>69.717768354973671</v>
      </c>
      <c r="AS107" s="553">
        <f>$AR107/PI()*SQRT('Hilfstabellen_Mat&amp;Bem'!f.Rd.3/'Hilfstabellen_Mat&amp;Bem'!$BD$30)</f>
        <v>1.1095927455029777</v>
      </c>
      <c r="AT107" s="553">
        <f>0.5*(1+'Hilfstabellen_Mat&amp;Bem'!$BD$31*($AS107-0.3)+$AS107^2)</f>
        <v>1.1560776677115667</v>
      </c>
      <c r="AU107" s="550">
        <f t="shared" si="71"/>
        <v>0.67539851254270056</v>
      </c>
      <c r="AW107" s="551">
        <f t="shared" si="122"/>
        <v>17074.749795592012</v>
      </c>
      <c r="AZ107" s="547">
        <f>'Hilfstabellen_Mat&amp;Bem'!$J$56</f>
        <v>3.3</v>
      </c>
      <c r="BA107" s="546">
        <f t="shared" si="78"/>
        <v>159</v>
      </c>
      <c r="BB107" s="551">
        <f t="shared" si="79"/>
        <v>71.896448616066607</v>
      </c>
      <c r="BC107" s="553">
        <f>BB107/PI()*SQRT('Hilfstabellen_Mat&amp;Bem'!f.Rd.3/'Hilfstabellen_Mat&amp;Bem'!$BD$30)</f>
        <v>1.144267518799946</v>
      </c>
      <c r="BD107" s="553">
        <f>0.5*(1+'Hilfstabellen_Mat&amp;Bem'!$BD$31*(BC107-0.3)+BC107^2)</f>
        <v>1.1968874532302898</v>
      </c>
      <c r="BE107" s="550">
        <f t="shared" si="80"/>
        <v>0.64604749750107593</v>
      </c>
      <c r="BG107" s="551">
        <f t="shared" si="81"/>
        <v>16332.726784324701</v>
      </c>
      <c r="BJ107" s="547">
        <f>'Hilfstabellen_Mat&amp;Bem'!$J$57</f>
        <v>3.4</v>
      </c>
      <c r="BK107" s="546">
        <f t="shared" si="82"/>
        <v>159</v>
      </c>
      <c r="BL107" s="551">
        <f t="shared" si="83"/>
        <v>74.075128877159528</v>
      </c>
      <c r="BM107" s="553">
        <f>BL107/PI()*SQRT('Hilfstabellen_Mat&amp;Bem'!f.Rd.3/'Hilfstabellen_Mat&amp;Bem'!$BD$30)</f>
        <v>1.1789422920969137</v>
      </c>
      <c r="BN107" s="553">
        <f>0.5*(1+'Hilfstabellen_Mat&amp;Bem'!$BD$31*(BM107-0.3)+BM107^2)</f>
        <v>1.2388995786522079</v>
      </c>
      <c r="BO107" s="550">
        <f t="shared" si="84"/>
        <v>0.61741916817557119</v>
      </c>
      <c r="BQ107" s="551">
        <f t="shared" si="85"/>
        <v>15608.973990646615</v>
      </c>
      <c r="BT107" s="547">
        <f>'Hilfstabellen_Mat&amp;Bem'!$J$58</f>
        <v>3.5</v>
      </c>
      <c r="BU107" s="546">
        <f t="shared" si="86"/>
        <v>159</v>
      </c>
      <c r="BV107" s="551">
        <f t="shared" si="87"/>
        <v>76.25380913825245</v>
      </c>
      <c r="BW107" s="553">
        <f>BV107/PI()*SQRT('Hilfstabellen_Mat&amp;Bem'!f.Rd.3/'Hilfstabellen_Mat&amp;Bem'!$BD$30)</f>
        <v>1.2136170653938818</v>
      </c>
      <c r="BX107" s="553">
        <f>0.5*(1+'Hilfstabellen_Mat&amp;Bem'!$BD$31*(BW107-0.3)+BW107^2)</f>
        <v>1.2821140439773229</v>
      </c>
      <c r="BY107" s="550">
        <f t="shared" si="88"/>
        <v>0.58977039896880279</v>
      </c>
      <c r="CA107" s="551">
        <f t="shared" si="89"/>
        <v>14909.985456330303</v>
      </c>
      <c r="CD107" s="547">
        <f>'Hilfstabellen_Mat&amp;Bem'!$J$59</f>
        <v>3.6</v>
      </c>
      <c r="CE107" s="546">
        <f t="shared" si="90"/>
        <v>159</v>
      </c>
      <c r="CF107" s="551">
        <f t="shared" si="91"/>
        <v>78.432489399345371</v>
      </c>
      <c r="CG107" s="553">
        <f>CF107/PI()*SQRT('Hilfstabellen_Mat&amp;Bem'!f.Rd.3/'Hilfstabellen_Mat&amp;Bem'!$BD$30)</f>
        <v>1.2482918386908499</v>
      </c>
      <c r="CH107" s="553">
        <f>0.5*(1+'Hilfstabellen_Mat&amp;Bem'!$BD$31*(CG107-0.3)+CG107^2)</f>
        <v>1.3265308492056338</v>
      </c>
      <c r="CI107" s="550">
        <f t="shared" si="92"/>
        <v>0.56326463769754476</v>
      </c>
      <c r="CK107" s="551">
        <f t="shared" si="93"/>
        <v>14239.893305631629</v>
      </c>
      <c r="CN107" s="547">
        <f>'Hilfstabellen_Mat&amp;Bem'!$J$60</f>
        <v>3.7</v>
      </c>
      <c r="CO107" s="546">
        <f t="shared" si="94"/>
        <v>159</v>
      </c>
      <c r="CP107" s="551">
        <f t="shared" si="95"/>
        <v>80.611169660438307</v>
      </c>
      <c r="CQ107" s="553">
        <f>CP107/PI()*SQRT('Hilfstabellen_Mat&amp;Bem'!f.Rd.3/'Hilfstabellen_Mat&amp;Bem'!$BD$30)</f>
        <v>1.282966611987818</v>
      </c>
      <c r="CR107" s="553">
        <f>0.5*(1+'Hilfstabellen_Mat&amp;Bem'!$BD$31*(CQ107-0.3)+CQ107^2)</f>
        <v>1.3721499943371411</v>
      </c>
      <c r="CS107" s="550">
        <f t="shared" si="96"/>
        <v>0.53799218384176373</v>
      </c>
      <c r="CU107" s="551">
        <f t="shared" si="97"/>
        <v>13600.980399703629</v>
      </c>
      <c r="CX107" s="547">
        <f>'Hilfstabellen_Mat&amp;Bem'!$J$61</f>
        <v>3.8</v>
      </c>
      <c r="CY107" s="546">
        <f t="shared" si="98"/>
        <v>159</v>
      </c>
      <c r="CZ107" s="551">
        <f t="shared" si="99"/>
        <v>82.789849921531243</v>
      </c>
      <c r="DA107" s="553">
        <f>CZ107/PI()*SQRT('Hilfstabellen_Mat&amp;Bem'!f.Rd.3/'Hilfstabellen_Mat&amp;Bem'!$BD$30)</f>
        <v>1.3176413852847864</v>
      </c>
      <c r="DB107" s="553">
        <f>0.5*(1+'Hilfstabellen_Mat&amp;Bem'!$BD$31*(DA107-0.3)+DA107^2)</f>
        <v>1.4189714793718449</v>
      </c>
      <c r="DC107" s="550">
        <f t="shared" si="100"/>
        <v>0.51398938327781207</v>
      </c>
      <c r="DE107" s="551">
        <f t="shared" si="101"/>
        <v>12994.165598646367</v>
      </c>
      <c r="DH107" s="547">
        <f>'Hilfstabellen_Mat&amp;Bem'!$J$62</f>
        <v>3.9</v>
      </c>
      <c r="DI107" s="546">
        <f t="shared" si="102"/>
        <v>159</v>
      </c>
      <c r="DJ107" s="551">
        <f t="shared" si="103"/>
        <v>84.968530182624164</v>
      </c>
      <c r="DK107" s="553">
        <f>DJ107/PI()*SQRT('Hilfstabellen_Mat&amp;Bem'!f.Rd.3/'Hilfstabellen_Mat&amp;Bem'!$BD$30)</f>
        <v>1.352316158581754</v>
      </c>
      <c r="DL107" s="553">
        <f>0.5*(1+'Hilfstabellen_Mat&amp;Bem'!$BD$31*(DK107-0.3)+DK107^2)</f>
        <v>1.4669953043097435</v>
      </c>
      <c r="DM107" s="550">
        <f t="shared" si="104"/>
        <v>0.49125460319893915</v>
      </c>
      <c r="DO107" s="551">
        <f t="shared" si="105"/>
        <v>12419.407623472382</v>
      </c>
      <c r="DR107" s="547">
        <f>'Hilfstabellen_Mat&amp;Bem'!$J$63</f>
        <v>4</v>
      </c>
      <c r="DS107" s="546">
        <f t="shared" si="106"/>
        <v>159</v>
      </c>
      <c r="DT107" s="551">
        <f t="shared" si="107"/>
        <v>87.1472104437171</v>
      </c>
      <c r="DU107" s="553">
        <f>DT107/PI()*SQRT('Hilfstabellen_Mat&amp;Bem'!f.Rd.3/'Hilfstabellen_Mat&amp;Bem'!$BD$30)</f>
        <v>1.3869909318787224</v>
      </c>
      <c r="DV107" s="553">
        <f>0.5*(1+'Hilfstabellen_Mat&amp;Bem'!$BD$31*(DU107-0.3)+DU107^2)</f>
        <v>1.5162214691508393</v>
      </c>
      <c r="DW107" s="550">
        <f t="shared" si="108"/>
        <v>0.46976059988380103</v>
      </c>
      <c r="DY107" s="551">
        <f t="shared" si="109"/>
        <v>11876.017725662374</v>
      </c>
      <c r="EB107" s="547">
        <f>'Hilfstabellen_Mat&amp;Bem'!$J$64</f>
        <v>4.0999999999999996</v>
      </c>
      <c r="EC107" s="546">
        <f t="shared" si="110"/>
        <v>159</v>
      </c>
      <c r="ED107" s="551">
        <f t="shared" si="111"/>
        <v>89.325890704810021</v>
      </c>
      <c r="EE107" s="553">
        <f>ED107/PI()*SQRT('Hilfstabellen_Mat&amp;Bem'!f.Rd.3/'Hilfstabellen_Mat&amp;Bem'!$BD$30)</f>
        <v>1.4216657051756902</v>
      </c>
      <c r="EF107" s="553">
        <f>0.5*(1+'Hilfstabellen_Mat&amp;Bem'!$BD$31*(EE107-0.3)+EE107^2)</f>
        <v>1.5666499738951307</v>
      </c>
      <c r="EG107" s="550">
        <f t="shared" si="112"/>
        <v>0.44946367115009683</v>
      </c>
      <c r="EI107" s="551">
        <f t="shared" si="113"/>
        <v>11362.891070345599</v>
      </c>
      <c r="EL107" s="547">
        <f>'Hilfstabellen_Mat&amp;Bem'!$J$65</f>
        <v>4.2</v>
      </c>
      <c r="EM107" s="546">
        <f t="shared" si="114"/>
        <v>159</v>
      </c>
      <c r="EN107" s="551">
        <f t="shared" si="115"/>
        <v>91.504570965902943</v>
      </c>
      <c r="EO107" s="553">
        <f>EN107/PI()*SQRT('Hilfstabellen_Mat&amp;Bem'!f.Rd.3/'Hilfstabellen_Mat&amp;Bem'!$BD$30)</f>
        <v>1.4563404784726581</v>
      </c>
      <c r="EP107" s="553">
        <f>0.5*(1+'Hilfstabellen_Mat&amp;Bem'!$BD$31*(EO107-0.3)+EO107^2)</f>
        <v>1.6182808185426183</v>
      </c>
      <c r="EQ107" s="550">
        <f t="shared" si="116"/>
        <v>0.43031022413656694</v>
      </c>
      <c r="ES107" s="551">
        <f t="shared" si="117"/>
        <v>10878.672776396548</v>
      </c>
    </row>
    <row r="108" spans="3:149">
      <c r="C108" s="546">
        <v>160</v>
      </c>
      <c r="D108" s="551">
        <f t="shared" si="72"/>
        <v>60.621778264910702</v>
      </c>
      <c r="E108" s="553">
        <f>$D108/PI()*SQRT('Hilfstabellen_Mat&amp;Bem'!f.Rd.3/'Hilfstabellen_Mat&amp;Bem'!$BD$30)</f>
        <v>0.96482556698813604</v>
      </c>
      <c r="F108" s="553">
        <f>0.5*(1+'Hilfstabellen_Mat&amp;Bem'!$BD$31*($E108-0.3)+$E108^2)</f>
        <v>0.99868546570639594</v>
      </c>
      <c r="G108" s="550">
        <f t="shared" si="73"/>
        <v>0.79584192812715104</v>
      </c>
      <c r="I108" s="551">
        <f t="shared" si="118"/>
        <v>20373.553360055066</v>
      </c>
      <c r="M108" s="546">
        <f t="shared" si="74"/>
        <v>160</v>
      </c>
      <c r="N108" s="551">
        <f t="shared" si="64"/>
        <v>62.786841774371801</v>
      </c>
      <c r="O108" s="553">
        <f>$N108/PI()*SQRT('Hilfstabellen_Mat&amp;Bem'!f.Rd.3/'Hilfstabellen_Mat&amp;Bem'!$BD$30)</f>
        <v>0.99928362295199813</v>
      </c>
      <c r="P108" s="553">
        <f>0.5*(1+'Hilfstabellen_Mat&amp;Bem'!$BD$31*($O108-0.3)+$O108^2)</f>
        <v>1.0342480606976354</v>
      </c>
      <c r="Q108" s="550">
        <f t="shared" si="65"/>
        <v>0.76870077026397432</v>
      </c>
      <c r="S108" s="551">
        <f t="shared" si="119"/>
        <v>19678.739718757744</v>
      </c>
      <c r="W108" s="546">
        <f t="shared" si="75"/>
        <v>160</v>
      </c>
      <c r="X108" s="551">
        <f t="shared" si="66"/>
        <v>64.9519052838329</v>
      </c>
      <c r="Y108" s="553">
        <f>$X108/PI()*SQRT('Hilfstabellen_Mat&amp;Bem'!f.Rd.3/'Hilfstabellen_Mat&amp;Bem'!$BD$30)</f>
        <v>1.0337416789158602</v>
      </c>
      <c r="Z108" s="553">
        <f>0.5*(1+'Hilfstabellen_Mat&amp;Bem'!$BD$31*($Y108-0.3)+$Y108^2)</f>
        <v>1.0709980133096837</v>
      </c>
      <c r="AA108" s="550">
        <f t="shared" si="67"/>
        <v>0.74017897570723978</v>
      </c>
      <c r="AC108" s="551">
        <f t="shared" si="120"/>
        <v>18948.581778105337</v>
      </c>
      <c r="AG108" s="546">
        <f t="shared" si="76"/>
        <v>160</v>
      </c>
      <c r="AH108" s="551">
        <f t="shared" si="68"/>
        <v>67.116968793293992</v>
      </c>
      <c r="AI108" s="553">
        <f>$AH108/PI()*SQRT('Hilfstabellen_Mat&amp;Bem'!f.Rd.3/'Hilfstabellen_Mat&amp;Bem'!$BD$30)</f>
        <v>1.0681997348797221</v>
      </c>
      <c r="AJ108" s="553">
        <f>0.5*(1+'Hilfstabellen_Mat&amp;Bem'!$BD$31*($AI108-0.3)+$AI108^2)</f>
        <v>1.1089353235425405</v>
      </c>
      <c r="AK108" s="550">
        <f t="shared" si="69"/>
        <v>0.71086404857398378</v>
      </c>
      <c r="AM108" s="551">
        <f t="shared" si="121"/>
        <v>18198.119643493985</v>
      </c>
      <c r="AQ108" s="546">
        <f t="shared" si="77"/>
        <v>160</v>
      </c>
      <c r="AR108" s="551">
        <f t="shared" si="70"/>
        <v>69.282032302755084</v>
      </c>
      <c r="AS108" s="553">
        <f>$AR108/PI()*SQRT('Hilfstabellen_Mat&amp;Bem'!f.Rd.3/'Hilfstabellen_Mat&amp;Bem'!$BD$30)</f>
        <v>1.102657790843584</v>
      </c>
      <c r="AT108" s="553">
        <f>0.5*(1+'Hilfstabellen_Mat&amp;Bem'!$BD$31*($AS108-0.3)+$AS108^2)</f>
        <v>1.1480599913962055</v>
      </c>
      <c r="AU108" s="550">
        <f t="shared" si="71"/>
        <v>0.68132521956793579</v>
      </c>
      <c r="AW108" s="551">
        <f t="shared" si="122"/>
        <v>17441.925620939157</v>
      </c>
      <c r="AZ108" s="547">
        <f>'Hilfstabellen_Mat&amp;Bem'!$J$56</f>
        <v>3.3</v>
      </c>
      <c r="BA108" s="546">
        <f t="shared" si="78"/>
        <v>160</v>
      </c>
      <c r="BB108" s="551">
        <f t="shared" si="79"/>
        <v>71.44709581221619</v>
      </c>
      <c r="BC108" s="553">
        <f>BB108/PI()*SQRT('Hilfstabellen_Mat&amp;Bem'!f.Rd.3/'Hilfstabellen_Mat&amp;Bem'!$BD$30)</f>
        <v>1.1371158468074463</v>
      </c>
      <c r="BD108" s="553">
        <f>0.5*(1+'Hilfstabellen_Mat&amp;Bem'!$BD$31*(BC108-0.3)+BC108^2)</f>
        <v>1.1883720168706802</v>
      </c>
      <c r="BE108" s="550">
        <f t="shared" si="80"/>
        <v>0.65205235768120839</v>
      </c>
      <c r="BG108" s="551">
        <f t="shared" si="81"/>
        <v>16692.540356638936</v>
      </c>
      <c r="BJ108" s="547">
        <f>'Hilfstabellen_Mat&amp;Bem'!$J$57</f>
        <v>3.4</v>
      </c>
      <c r="BK108" s="546">
        <f t="shared" si="82"/>
        <v>160</v>
      </c>
      <c r="BL108" s="551">
        <f t="shared" si="83"/>
        <v>73.612159321677282</v>
      </c>
      <c r="BM108" s="553">
        <f>BL108/PI()*SQRT('Hilfstabellen_Mat&amp;Bem'!f.Rd.3/'Hilfstabellen_Mat&amp;Bem'!$BD$30)</f>
        <v>1.1715739027713081</v>
      </c>
      <c r="BN108" s="553">
        <f>0.5*(1+'Hilfstabellen_Mat&amp;Bem'!$BD$31*(BM108-0.3)+BM108^2)</f>
        <v>1.2298713999659627</v>
      </c>
      <c r="BO108" s="550">
        <f t="shared" si="84"/>
        <v>0.62342787031274605</v>
      </c>
      <c r="BQ108" s="551">
        <f t="shared" si="85"/>
        <v>15959.753480006299</v>
      </c>
      <c r="BT108" s="547">
        <f>'Hilfstabellen_Mat&amp;Bem'!$J$58</f>
        <v>3.5</v>
      </c>
      <c r="BU108" s="546">
        <f t="shared" si="86"/>
        <v>160</v>
      </c>
      <c r="BV108" s="551">
        <f t="shared" si="87"/>
        <v>75.777222831138374</v>
      </c>
      <c r="BW108" s="553">
        <f>BV108/PI()*SQRT('Hilfstabellen_Mat&amp;Bem'!f.Rd.3/'Hilfstabellen_Mat&amp;Bem'!$BD$30)</f>
        <v>1.20603195873517</v>
      </c>
      <c r="BX108" s="553">
        <f>0.5*(1+'Hilfstabellen_Mat&amp;Bem'!$BD$31*(BW108-0.3)+BW108^2)</f>
        <v>1.2725581406820539</v>
      </c>
      <c r="BY108" s="550">
        <f t="shared" si="88"/>
        <v>0.59572530052608452</v>
      </c>
      <c r="CA108" s="551">
        <f t="shared" si="89"/>
        <v>15250.567693467763</v>
      </c>
      <c r="CD108" s="547">
        <f>'Hilfstabellen_Mat&amp;Bem'!$J$59</f>
        <v>3.6</v>
      </c>
      <c r="CE108" s="546">
        <f t="shared" si="90"/>
        <v>160</v>
      </c>
      <c r="CF108" s="551">
        <f t="shared" si="91"/>
        <v>77.94228634059948</v>
      </c>
      <c r="CG108" s="553">
        <f>CF108/PI()*SQRT('Hilfstabellen_Mat&amp;Bem'!f.Rd.3/'Hilfstabellen_Mat&amp;Bem'!$BD$30)</f>
        <v>1.2404900146990323</v>
      </c>
      <c r="CH108" s="553">
        <f>0.5*(1+'Hilfstabellen_Mat&amp;Bem'!$BD$31*(CG108-0.3)+CG108^2)</f>
        <v>1.3164322390189542</v>
      </c>
      <c r="CI108" s="550">
        <f t="shared" si="92"/>
        <v>0.56912314139462705</v>
      </c>
      <c r="CK108" s="551">
        <f t="shared" si="93"/>
        <v>14569.552419702453</v>
      </c>
      <c r="CN108" s="547">
        <f>'Hilfstabellen_Mat&amp;Bem'!$J$60</f>
        <v>3.7</v>
      </c>
      <c r="CO108" s="546">
        <f t="shared" si="94"/>
        <v>160</v>
      </c>
      <c r="CP108" s="551">
        <f t="shared" si="95"/>
        <v>80.107349850060572</v>
      </c>
      <c r="CQ108" s="553">
        <f>CP108/PI()*SQRT('Hilfstabellen_Mat&amp;Bem'!f.Rd.3/'Hilfstabellen_Mat&amp;Bem'!$BD$30)</f>
        <v>1.2749480706628942</v>
      </c>
      <c r="CR108" s="553">
        <f>0.5*(1+'Hilfstabellen_Mat&amp;Bem'!$BD$31*(CQ108-0.3)+CQ108^2)</f>
        <v>1.3614936949766627</v>
      </c>
      <c r="CS108" s="550">
        <f t="shared" si="96"/>
        <v>0.54372419396176919</v>
      </c>
      <c r="CU108" s="551">
        <f t="shared" si="97"/>
        <v>13919.33936542129</v>
      </c>
      <c r="CX108" s="547">
        <f>'Hilfstabellen_Mat&amp;Bem'!$J$61</f>
        <v>3.8</v>
      </c>
      <c r="CY108" s="546">
        <f t="shared" si="98"/>
        <v>160</v>
      </c>
      <c r="CZ108" s="551">
        <f t="shared" si="99"/>
        <v>82.272413359521664</v>
      </c>
      <c r="DA108" s="553">
        <f>CZ108/PI()*SQRT('Hilfstabellen_Mat&amp;Bem'!f.Rd.3/'Hilfstabellen_Mat&amp;Bem'!$BD$30)</f>
        <v>1.3094061266267563</v>
      </c>
      <c r="DB108" s="553">
        <f>0.5*(1+'Hilfstabellen_Mat&amp;Bem'!$BD$31*(DA108-0.3)+DA108^2)</f>
        <v>1.4077425085551802</v>
      </c>
      <c r="DC108" s="550">
        <f t="shared" si="100"/>
        <v>0.51957467137344193</v>
      </c>
      <c r="DE108" s="551">
        <f t="shared" si="101"/>
        <v>13301.111587160114</v>
      </c>
      <c r="DH108" s="547">
        <f>'Hilfstabellen_Mat&amp;Bem'!$J$62</f>
        <v>3.9</v>
      </c>
      <c r="DI108" s="546">
        <f t="shared" si="102"/>
        <v>160</v>
      </c>
      <c r="DJ108" s="551">
        <f t="shared" si="103"/>
        <v>84.437476868982756</v>
      </c>
      <c r="DK108" s="553">
        <f>DJ108/PI()*SQRT('Hilfstabellen_Mat&amp;Bem'!f.Rd.3/'Hilfstabellen_Mat&amp;Bem'!$BD$30)</f>
        <v>1.3438641825906181</v>
      </c>
      <c r="DL108" s="553">
        <f>0.5*(1+'Hilfstabellen_Mat&amp;Bem'!$BD$31*(DK108-0.3)+DK108^2)</f>
        <v>1.4551786797545061</v>
      </c>
      <c r="DM108" s="550">
        <f t="shared" si="104"/>
        <v>0.49668046991348136</v>
      </c>
      <c r="DO108" s="551">
        <f t="shared" si="105"/>
        <v>12715.020029785122</v>
      </c>
      <c r="DR108" s="547">
        <f>'Hilfstabellen_Mat&amp;Bem'!$J$63</f>
        <v>4</v>
      </c>
      <c r="DS108" s="546">
        <f t="shared" si="106"/>
        <v>160</v>
      </c>
      <c r="DT108" s="551">
        <f t="shared" si="107"/>
        <v>86.602540378443862</v>
      </c>
      <c r="DU108" s="553">
        <f>DT108/PI()*SQRT('Hilfstabellen_Mat&amp;Bem'!f.Rd.3/'Hilfstabellen_Mat&amp;Bem'!$BD$30)</f>
        <v>1.3783222385544802</v>
      </c>
      <c r="DV108" s="553">
        <f>0.5*(1+'Hilfstabellen_Mat&amp;Bem'!$BD$31*(DU108-0.3)+DU108^2)</f>
        <v>1.5038022085746408</v>
      </c>
      <c r="DW108" s="550">
        <f t="shared" si="108"/>
        <v>0.47501995619125226</v>
      </c>
      <c r="DY108" s="551">
        <f t="shared" si="109"/>
        <v>12160.510878496058</v>
      </c>
      <c r="EB108" s="547">
        <f>'Hilfstabellen_Mat&amp;Bem'!$J$64</f>
        <v>4.0999999999999996</v>
      </c>
      <c r="EC108" s="546">
        <f t="shared" si="110"/>
        <v>160</v>
      </c>
      <c r="ED108" s="551">
        <f t="shared" si="111"/>
        <v>88.767603887904954</v>
      </c>
      <c r="EE108" s="553">
        <f>ED108/PI()*SQRT('Hilfstabellen_Mat&amp;Bem'!f.Rd.3/'Hilfstabellen_Mat&amp;Bem'!$BD$30)</f>
        <v>1.4127802945183421</v>
      </c>
      <c r="EF108" s="553">
        <f>0.5*(1+'Hilfstabellen_Mat&amp;Bem'!$BD$31*(EE108-0.3)+EE108^2)</f>
        <v>1.5536130950155838</v>
      </c>
      <c r="EG108" s="550">
        <f t="shared" si="112"/>
        <v>0.45455353265536907</v>
      </c>
      <c r="EI108" s="551">
        <f t="shared" si="113"/>
        <v>11636.570435977448</v>
      </c>
      <c r="EL108" s="547">
        <f>'Hilfstabellen_Mat&amp;Bem'!$J$65</f>
        <v>4.2</v>
      </c>
      <c r="EM108" s="546">
        <f t="shared" si="114"/>
        <v>160</v>
      </c>
      <c r="EN108" s="551">
        <f t="shared" si="115"/>
        <v>90.932667397366046</v>
      </c>
      <c r="EO108" s="553">
        <f>EN108/PI()*SQRT('Hilfstabellen_Mat&amp;Bem'!f.Rd.3/'Hilfstabellen_Mat&amp;Bem'!$BD$30)</f>
        <v>1.4472383504822042</v>
      </c>
      <c r="EP108" s="553">
        <f>0.5*(1+'Hilfstabellen_Mat&amp;Bem'!$BD$31*(EO108-0.3)+EO108^2)</f>
        <v>1.6046113390773358</v>
      </c>
      <c r="EQ108" s="550">
        <f t="shared" si="116"/>
        <v>0.4352305608703852</v>
      </c>
      <c r="ES108" s="551">
        <f t="shared" si="117"/>
        <v>11141.902358281861</v>
      </c>
    </row>
    <row r="109" spans="3:149">
      <c r="C109" s="546">
        <v>161</v>
      </c>
      <c r="D109" s="551">
        <f t="shared" si="72"/>
        <v>60.245245480656592</v>
      </c>
      <c r="E109" s="553">
        <f>$D109/PI()*SQRT('Hilfstabellen_Mat&amp;Bem'!f.Rd.3/'Hilfstabellen_Mat&amp;Bem'!$BD$30)</f>
        <v>0.95883286160311654</v>
      </c>
      <c r="F109" s="553">
        <f>0.5*(1+'Hilfstabellen_Mat&amp;Bem'!$BD$31*($E109-0.3)+$E109^2)</f>
        <v>0.99262187132516644</v>
      </c>
      <c r="G109" s="550">
        <f t="shared" si="73"/>
        <v>0.80038079702139198</v>
      </c>
      <c r="I109" s="551">
        <f t="shared" si="118"/>
        <v>20746.670639591503</v>
      </c>
      <c r="M109" s="546">
        <f t="shared" si="74"/>
        <v>161</v>
      </c>
      <c r="N109" s="551">
        <f t="shared" si="64"/>
        <v>62.396861390680044</v>
      </c>
      <c r="O109" s="553">
        <f>$N109/PI()*SQRT('Hilfstabellen_Mat&amp;Bem'!f.Rd.3/'Hilfstabellen_Mat&amp;Bem'!$BD$30)</f>
        <v>0.99307689237465646</v>
      </c>
      <c r="P109" s="553">
        <f>0.5*(1+'Hilfstabellen_Mat&amp;Bem'!$BD$31*($O109-0.3)+$O109^2)</f>
        <v>1.0277547017029853</v>
      </c>
      <c r="Q109" s="550">
        <f t="shared" si="65"/>
        <v>0.77370802598995969</v>
      </c>
      <c r="S109" s="551">
        <f t="shared" si="119"/>
        <v>20055.285741685744</v>
      </c>
      <c r="W109" s="546">
        <f t="shared" si="75"/>
        <v>161</v>
      </c>
      <c r="X109" s="551">
        <f t="shared" si="66"/>
        <v>64.548477300703496</v>
      </c>
      <c r="Y109" s="553">
        <f>$X109/PI()*SQRT('Hilfstabellen_Mat&amp;Bem'!f.Rd.3/'Hilfstabellen_Mat&amp;Bem'!$BD$30)</f>
        <v>1.0273209231461964</v>
      </c>
      <c r="Z109" s="553">
        <f>0.5*(1+'Hilfstabellen_Mat&amp;Bem'!$BD$31*($Y109-0.3)+$Y109^2)</f>
        <v>1.0640601857242864</v>
      </c>
      <c r="AA109" s="550">
        <f t="shared" si="67"/>
        <v>0.7455715484606229</v>
      </c>
      <c r="AC109" s="551">
        <f t="shared" si="120"/>
        <v>19325.960107647807</v>
      </c>
      <c r="AG109" s="546">
        <f t="shared" si="76"/>
        <v>161</v>
      </c>
      <c r="AH109" s="551">
        <f t="shared" si="68"/>
        <v>66.700093210726948</v>
      </c>
      <c r="AI109" s="553">
        <f>$AH109/PI()*SQRT('Hilfstabellen_Mat&amp;Bem'!f.Rd.3/'Hilfstabellen_Mat&amp;Bem'!$BD$30)</f>
        <v>1.0615649539177363</v>
      </c>
      <c r="AJ109" s="553">
        <f>0.5*(1+'Hilfstabellen_Mat&amp;Bem'!$BD$31*($AI109-0.3)+$AI109^2)</f>
        <v>1.1015383233890697</v>
      </c>
      <c r="AK109" s="550">
        <f t="shared" si="69"/>
        <v>0.71654270371149142</v>
      </c>
      <c r="AM109" s="551">
        <f t="shared" si="121"/>
        <v>18573.503422905571</v>
      </c>
      <c r="AQ109" s="546">
        <f t="shared" si="77"/>
        <v>161</v>
      </c>
      <c r="AR109" s="551">
        <f t="shared" si="70"/>
        <v>68.851709120750385</v>
      </c>
      <c r="AS109" s="553">
        <f>$AR109/PI()*SQRT('Hilfstabellen_Mat&amp;Bem'!f.Rd.3/'Hilfstabellen_Mat&amp;Bem'!$BD$30)</f>
        <v>1.095808984689276</v>
      </c>
      <c r="AT109" s="553">
        <f>0.5*(1+'Hilfstabellen_Mat&amp;Bem'!$BD$31*($AS109-0.3)+$AS109^2)</f>
        <v>1.1401891146973349</v>
      </c>
      <c r="AU109" s="550">
        <f t="shared" si="71"/>
        <v>0.68718924371843093</v>
      </c>
      <c r="AW109" s="551">
        <f t="shared" si="122"/>
        <v>17812.632386425448</v>
      </c>
      <c r="AZ109" s="547">
        <f>'Hilfstabellen_Mat&amp;Bem'!$J$56</f>
        <v>3.3</v>
      </c>
      <c r="BA109" s="546">
        <f t="shared" si="78"/>
        <v>161</v>
      </c>
      <c r="BB109" s="551">
        <f t="shared" si="79"/>
        <v>71.003325030773851</v>
      </c>
      <c r="BC109" s="553">
        <f>BB109/PI()*SQRT('Hilfstabellen_Mat&amp;Bem'!f.Rd.3/'Hilfstabellen_Mat&amp;Bem'!$BD$30)</f>
        <v>1.1300530154608162</v>
      </c>
      <c r="BD109" s="553">
        <f>0.5*(1+'Hilfstabellen_Mat&amp;Bem'!$BD$31*(BC109-0.3)+BC109^2)</f>
        <v>1.1800125596490827</v>
      </c>
      <c r="BE109" s="550">
        <f t="shared" si="80"/>
        <v>0.65801041995161702</v>
      </c>
      <c r="BG109" s="551">
        <f t="shared" si="81"/>
        <v>17056.288095565866</v>
      </c>
      <c r="BJ109" s="547">
        <f>'Hilfstabellen_Mat&amp;Bem'!$J$57</f>
        <v>3.4</v>
      </c>
      <c r="BK109" s="546">
        <f t="shared" si="82"/>
        <v>161</v>
      </c>
      <c r="BL109" s="551">
        <f t="shared" si="83"/>
        <v>73.154940940797303</v>
      </c>
      <c r="BM109" s="553">
        <f>BL109/PI()*SQRT('Hilfstabellen_Mat&amp;Bem'!f.Rd.3/'Hilfstabellen_Mat&amp;Bem'!$BD$30)</f>
        <v>1.1642970462323559</v>
      </c>
      <c r="BN109" s="553">
        <f>0.5*(1+'Hilfstabellen_Mat&amp;Bem'!$BD$31*(BM109-0.3)+BM109^2)</f>
        <v>1.2210086582443123</v>
      </c>
      <c r="BO109" s="550">
        <f t="shared" si="84"/>
        <v>0.62940365406910803</v>
      </c>
      <c r="BQ109" s="551">
        <f t="shared" si="85"/>
        <v>16314.772117125349</v>
      </c>
      <c r="BT109" s="547">
        <f>'Hilfstabellen_Mat&amp;Bem'!$J$58</f>
        <v>3.5</v>
      </c>
      <c r="BU109" s="546">
        <f t="shared" si="86"/>
        <v>161</v>
      </c>
      <c r="BV109" s="551">
        <f t="shared" si="87"/>
        <v>75.306556850820755</v>
      </c>
      <c r="BW109" s="553">
        <f>BV109/PI()*SQRT('Hilfstabellen_Mat&amp;Bem'!f.Rd.3/'Hilfstabellen_Mat&amp;Bem'!$BD$30)</f>
        <v>1.198541077003896</v>
      </c>
      <c r="BX109" s="553">
        <f>0.5*(1+'Hilfstabellen_Mat&amp;Bem'!$BD$31*(BW109-0.3)+BW109^2)</f>
        <v>1.2631774104830242</v>
      </c>
      <c r="BY109" s="550">
        <f t="shared" si="88"/>
        <v>0.6016588506139412</v>
      </c>
      <c r="CA109" s="551">
        <f t="shared" si="89"/>
        <v>15595.599066763969</v>
      </c>
      <c r="CD109" s="547">
        <f>'Hilfstabellen_Mat&amp;Bem'!$J$59</f>
        <v>3.6</v>
      </c>
      <c r="CE109" s="546">
        <f t="shared" si="90"/>
        <v>161</v>
      </c>
      <c r="CF109" s="551">
        <f t="shared" si="91"/>
        <v>77.458172760844207</v>
      </c>
      <c r="CG109" s="553">
        <f>CF109/PI()*SQRT('Hilfstabellen_Mat&amp;Bem'!f.Rd.3/'Hilfstabellen_Mat&amp;Bem'!$BD$30)</f>
        <v>1.2327851077754359</v>
      </c>
      <c r="CH109" s="553">
        <f>0.5*(1+'Hilfstabellen_Mat&amp;Bem'!$BD$31*(CG109-0.3)+CG109^2)</f>
        <v>1.3065188163652184</v>
      </c>
      <c r="CI109" s="550">
        <f t="shared" si="92"/>
        <v>0.57496963217596631</v>
      </c>
      <c r="CK109" s="551">
        <f t="shared" si="93"/>
        <v>14903.787835633222</v>
      </c>
      <c r="CN109" s="547">
        <f>'Hilfstabellen_Mat&amp;Bem'!$J$60</f>
        <v>3.7</v>
      </c>
      <c r="CO109" s="546">
        <f t="shared" si="94"/>
        <v>161</v>
      </c>
      <c r="CP109" s="551">
        <f t="shared" si="95"/>
        <v>79.609788670867644</v>
      </c>
      <c r="CQ109" s="553">
        <f>CP109/PI()*SQRT('Hilfstabellen_Mat&amp;Bem'!f.Rd.3/'Hilfstabellen_Mat&amp;Bem'!$BD$30)</f>
        <v>1.2670291385469756</v>
      </c>
      <c r="CR109" s="553">
        <f>0.5*(1+'Hilfstabellen_Mat&amp;Bem'!$BD$31*(CQ109-0.3)+CQ109^2)</f>
        <v>1.3510328758908945</v>
      </c>
      <c r="CS109" s="550">
        <f t="shared" si="96"/>
        <v>0.54945156969255615</v>
      </c>
      <c r="CU109" s="551">
        <f t="shared" si="97"/>
        <v>14242.334138000748</v>
      </c>
      <c r="CX109" s="547">
        <f>'Hilfstabellen_Mat&amp;Bem'!$J$61</f>
        <v>3.8</v>
      </c>
      <c r="CY109" s="546">
        <f t="shared" si="98"/>
        <v>161</v>
      </c>
      <c r="CZ109" s="551">
        <f t="shared" si="99"/>
        <v>81.761404580891096</v>
      </c>
      <c r="DA109" s="553">
        <f>CZ109/PI()*SQRT('Hilfstabellen_Mat&amp;Bem'!f.Rd.3/'Hilfstabellen_Mat&amp;Bem'!$BD$30)</f>
        <v>1.3012731693185156</v>
      </c>
      <c r="DB109" s="553">
        <f>0.5*(1+'Hilfstabellen_Mat&amp;Bem'!$BD$31*(DA109-0.3)+DA109^2)</f>
        <v>1.3967195890600528</v>
      </c>
      <c r="DC109" s="550">
        <f t="shared" si="100"/>
        <v>0.52516106678555274</v>
      </c>
      <c r="DE109" s="551">
        <f t="shared" si="101"/>
        <v>13612.700012148312</v>
      </c>
      <c r="DH109" s="547">
        <f>'Hilfstabellen_Mat&amp;Bem'!$J$62</f>
        <v>3.9</v>
      </c>
      <c r="DI109" s="546">
        <f t="shared" si="102"/>
        <v>161</v>
      </c>
      <c r="DJ109" s="551">
        <f t="shared" si="103"/>
        <v>83.913020490914548</v>
      </c>
      <c r="DK109" s="553">
        <f>DJ109/PI()*SQRT('Hilfstabellen_Mat&amp;Bem'!f.Rd.3/'Hilfstabellen_Mat&amp;Bem'!$BD$30)</f>
        <v>1.3355172000900553</v>
      </c>
      <c r="DL109" s="553">
        <f>0.5*(1+'Hilfstabellen_Mat&amp;Bem'!$BD$31*(DK109-0.3)+DK109^2)</f>
        <v>1.443578955872693</v>
      </c>
      <c r="DM109" s="550">
        <f t="shared" si="104"/>
        <v>0.50211186011419739</v>
      </c>
      <c r="DO109" s="551">
        <f t="shared" si="105"/>
        <v>13015.241526020111</v>
      </c>
      <c r="DR109" s="547">
        <f>'Hilfstabellen_Mat&amp;Bem'!$J$63</f>
        <v>4</v>
      </c>
      <c r="DS109" s="546">
        <f t="shared" si="106"/>
        <v>161</v>
      </c>
      <c r="DT109" s="551">
        <f t="shared" si="107"/>
        <v>86.064636400937999</v>
      </c>
      <c r="DU109" s="553">
        <f>DT109/PI()*SQRT('Hilfstabellen_Mat&amp;Bem'!f.Rd.3/'Hilfstabellen_Mat&amp;Bem'!$BD$30)</f>
        <v>1.3697612308615952</v>
      </c>
      <c r="DV109" s="553">
        <f>0.5*(1+'Hilfstabellen_Mat&amp;Bem'!$BD$31*(DU109-0.3)+DU109^2)</f>
        <v>1.4916109763288159</v>
      </c>
      <c r="DW109" s="550">
        <f t="shared" si="108"/>
        <v>0.48028819815110696</v>
      </c>
      <c r="DY109" s="551">
        <f t="shared" si="109"/>
        <v>12449.550384274844</v>
      </c>
      <c r="EB109" s="547">
        <f>'Hilfstabellen_Mat&amp;Bem'!$J$64</f>
        <v>4.0999999999999996</v>
      </c>
      <c r="EC109" s="546">
        <f t="shared" si="110"/>
        <v>161</v>
      </c>
      <c r="ED109" s="551">
        <f t="shared" si="111"/>
        <v>88.216252310961451</v>
      </c>
      <c r="EE109" s="553">
        <f>ED109/PI()*SQRT('Hilfstabellen_Mat&amp;Bem'!f.Rd.3/'Hilfstabellen_Mat&amp;Bem'!$BD$30)</f>
        <v>1.4040052616331353</v>
      </c>
      <c r="EF109" s="553">
        <f>0.5*(1+'Hilfstabellen_Mat&amp;Bem'!$BD$31*(EE109-0.3)+EE109^2)</f>
        <v>1.5408156504284212</v>
      </c>
      <c r="EG109" s="550">
        <f t="shared" si="112"/>
        <v>0.4596548127609863</v>
      </c>
      <c r="EI109" s="551">
        <f t="shared" si="113"/>
        <v>11914.712401577526</v>
      </c>
      <c r="EL109" s="547">
        <f>'Hilfstabellen_Mat&amp;Bem'!$J$65</f>
        <v>4.2</v>
      </c>
      <c r="EM109" s="546">
        <f t="shared" si="114"/>
        <v>161</v>
      </c>
      <c r="EN109" s="551">
        <f t="shared" si="115"/>
        <v>90.367868220984889</v>
      </c>
      <c r="EO109" s="553">
        <f>EN109/PI()*SQRT('Hilfstabellen_Mat&amp;Bem'!f.Rd.3/'Hilfstabellen_Mat&amp;Bem'!$BD$30)</f>
        <v>1.4382492924046748</v>
      </c>
      <c r="EP109" s="553">
        <f>0.5*(1+'Hilfstabellen_Mat&amp;Bem'!$BD$31*(EO109-0.3)+EO109^2)</f>
        <v>1.5911929781715075</v>
      </c>
      <c r="EQ109" s="550">
        <f t="shared" si="116"/>
        <v>0.44016420062294831</v>
      </c>
      <c r="ES109" s="551">
        <f t="shared" si="117"/>
        <v>11409.496244347443</v>
      </c>
    </row>
    <row r="110" spans="3:149">
      <c r="C110" s="546">
        <v>162</v>
      </c>
      <c r="D110" s="551">
        <f t="shared" si="72"/>
        <v>59.873361249294518</v>
      </c>
      <c r="E110" s="553">
        <f>$D110/PI()*SQRT('Hilfstabellen_Mat&amp;Bem'!f.Rd.3/'Hilfstabellen_Mat&amp;Bem'!$BD$30)</f>
        <v>0.95291414023519616</v>
      </c>
      <c r="F110" s="553">
        <f>0.5*(1+'Hilfstabellen_Mat&amp;Bem'!$BD$31*($E110-0.3)+$E110^2)</f>
        <v>0.98666838634185139</v>
      </c>
      <c r="G110" s="550">
        <f t="shared" si="73"/>
        <v>0.80480450344570242</v>
      </c>
      <c r="I110" s="551">
        <f t="shared" si="118"/>
        <v>21121.289388429013</v>
      </c>
      <c r="M110" s="546">
        <f t="shared" si="74"/>
        <v>162</v>
      </c>
      <c r="N110" s="551">
        <f t="shared" si="64"/>
        <v>62.011695579626469</v>
      </c>
      <c r="O110" s="553">
        <f>$N110/PI()*SQRT('Hilfstabellen_Mat&amp;Bem'!f.Rd.3/'Hilfstabellen_Mat&amp;Bem'!$BD$30)</f>
        <v>0.98694678810073888</v>
      </c>
      <c r="P110" s="553">
        <f>0.5*(1+'Hilfstabellen_Mat&amp;Bem'!$BD$31*($O110-0.3)+$O110^2)</f>
        <v>1.0213793206762194</v>
      </c>
      <c r="Q110" s="550">
        <f t="shared" si="65"/>
        <v>0.77860606556438849</v>
      </c>
      <c r="S110" s="551">
        <f t="shared" si="119"/>
        <v>20433.737584671813</v>
      </c>
      <c r="W110" s="546">
        <f t="shared" si="75"/>
        <v>162</v>
      </c>
      <c r="X110" s="551">
        <f t="shared" si="66"/>
        <v>64.15002990995842</v>
      </c>
      <c r="Y110" s="553">
        <f>$X110/PI()*SQRT('Hilfstabellen_Mat&amp;Bem'!f.Rd.3/'Hilfstabellen_Mat&amp;Bem'!$BD$30)</f>
        <v>1.0209794359662816</v>
      </c>
      <c r="Z110" s="553">
        <f>0.5*(1+'Hilfstabellen_Mat&amp;Bem'!$BD$31*($Y110-0.3)+$Y110^2)</f>
        <v>1.0572484761313272</v>
      </c>
      <c r="AA110" s="550">
        <f t="shared" si="67"/>
        <v>0.75086678653940098</v>
      </c>
      <c r="AC110" s="551">
        <f t="shared" si="120"/>
        <v>19705.747945940038</v>
      </c>
      <c r="AG110" s="546">
        <f t="shared" si="76"/>
        <v>162</v>
      </c>
      <c r="AH110" s="551">
        <f t="shared" si="68"/>
        <v>66.288364240290363</v>
      </c>
      <c r="AI110" s="553">
        <f>$AH110/PI()*SQRT('Hilfstabellen_Mat&amp;Bem'!f.Rd.3/'Hilfstabellen_Mat&amp;Bem'!$BD$30)</f>
        <v>1.0550120838318244</v>
      </c>
      <c r="AJ110" s="553">
        <f>0.5*(1+'Hilfstabellen_Mat&amp;Bem'!$BD$31*($AI110-0.3)+$AI110^2)</f>
        <v>1.0942758527071756</v>
      </c>
      <c r="AK110" s="550">
        <f t="shared" si="69"/>
        <v>0.72213952297534845</v>
      </c>
      <c r="AM110" s="551">
        <f t="shared" si="121"/>
        <v>18951.829640965043</v>
      </c>
      <c r="AQ110" s="546">
        <f t="shared" si="77"/>
        <v>162</v>
      </c>
      <c r="AR110" s="551">
        <f t="shared" si="70"/>
        <v>68.426698570622307</v>
      </c>
      <c r="AS110" s="553">
        <f>$AR110/PI()*SQRT('Hilfstabellen_Mat&amp;Bem'!f.Rd.3/'Hilfstabellen_Mat&amp;Bem'!$BD$30)</f>
        <v>1.089044731697367</v>
      </c>
      <c r="AT110" s="553">
        <f>0.5*(1+'Hilfstabellen_Mat&amp;Bem'!$BD$31*($AS110-0.3)+$AS110^2)</f>
        <v>1.1324614504037633</v>
      </c>
      <c r="AU110" s="550">
        <f t="shared" si="71"/>
        <v>0.69298807563977438</v>
      </c>
      <c r="AW110" s="551">
        <f t="shared" si="122"/>
        <v>18186.77905709024</v>
      </c>
      <c r="AZ110" s="547">
        <f>'Hilfstabellen_Mat&amp;Bem'!$J$56</f>
        <v>3.3</v>
      </c>
      <c r="BA110" s="546">
        <f t="shared" si="78"/>
        <v>162</v>
      </c>
      <c r="BB110" s="551">
        <f t="shared" si="79"/>
        <v>70.56503290095425</v>
      </c>
      <c r="BC110" s="553">
        <f>BB110/PI()*SQRT('Hilfstabellen_Mat&amp;Bem'!f.Rd.3/'Hilfstabellen_Mat&amp;Bem'!$BD$30)</f>
        <v>1.1230773795629097</v>
      </c>
      <c r="BD110" s="553">
        <f>0.5*(1+'Hilfstabellen_Mat&amp;Bem'!$BD$31*(BC110-0.3)+BC110^2)</f>
        <v>1.1718052692210914</v>
      </c>
      <c r="BE110" s="550">
        <f t="shared" si="80"/>
        <v>0.6639191897517065</v>
      </c>
      <c r="BG110" s="551">
        <f t="shared" si="81"/>
        <v>17423.895215843786</v>
      </c>
      <c r="BJ110" s="547">
        <f>'Hilfstabellen_Mat&amp;Bem'!$J$57</f>
        <v>3.4</v>
      </c>
      <c r="BK110" s="546">
        <f t="shared" si="82"/>
        <v>162</v>
      </c>
      <c r="BL110" s="551">
        <f t="shared" si="83"/>
        <v>72.703367231286208</v>
      </c>
      <c r="BM110" s="553">
        <f>BL110/PI()*SQRT('Hilfstabellen_Mat&amp;Bem'!f.Rd.3/'Hilfstabellen_Mat&amp;Bem'!$BD$30)</f>
        <v>1.1571100274284525</v>
      </c>
      <c r="BN110" s="553">
        <f>0.5*(1+'Hilfstabellen_Mat&amp;Bem'!$BD$31*(BM110-0.3)+BM110^2)</f>
        <v>1.2123073091591596</v>
      </c>
      <c r="BO110" s="550">
        <f t="shared" si="84"/>
        <v>0.63534421980482469</v>
      </c>
      <c r="BQ110" s="551">
        <f t="shared" si="85"/>
        <v>16673.973704557819</v>
      </c>
      <c r="BT110" s="547">
        <f>'Hilfstabellen_Mat&amp;Bem'!$J$58</f>
        <v>3.5</v>
      </c>
      <c r="BU110" s="546">
        <f t="shared" si="86"/>
        <v>162</v>
      </c>
      <c r="BV110" s="551">
        <f t="shared" si="87"/>
        <v>74.841701561618137</v>
      </c>
      <c r="BW110" s="553">
        <f>BV110/PI()*SQRT('Hilfstabellen_Mat&amp;Bem'!f.Rd.3/'Hilfstabellen_Mat&amp;Bem'!$BD$30)</f>
        <v>1.1911426752939949</v>
      </c>
      <c r="BX110" s="553">
        <f>0.5*(1+'Hilfstabellen_Mat&amp;Bem'!$BD$31*(BW110-0.3)+BW110^2)</f>
        <v>1.2539675702179673</v>
      </c>
      <c r="BY110" s="550">
        <f t="shared" si="88"/>
        <v>0.60756902428965398</v>
      </c>
      <c r="CA110" s="551">
        <f t="shared" si="89"/>
        <v>15945.041473457679</v>
      </c>
      <c r="CD110" s="547">
        <f>'Hilfstabellen_Mat&amp;Bem'!$J$59</f>
        <v>3.6</v>
      </c>
      <c r="CE110" s="546">
        <f t="shared" si="90"/>
        <v>162</v>
      </c>
      <c r="CF110" s="551">
        <f t="shared" si="91"/>
        <v>76.980035891950095</v>
      </c>
      <c r="CG110" s="553">
        <f>CF110/PI()*SQRT('Hilfstabellen_Mat&amp;Bem'!f.Rd.3/'Hilfstabellen_Mat&amp;Bem'!$BD$30)</f>
        <v>1.2251753231595379</v>
      </c>
      <c r="CH110" s="553">
        <f>0.5*(1+'Hilfstabellen_Mat&amp;Bem'!$BD$31*(CG110-0.3)+CG110^2)</f>
        <v>1.2967860523975161</v>
      </c>
      <c r="CI110" s="550">
        <f t="shared" si="92"/>
        <v>0.58080237549328984</v>
      </c>
      <c r="CK110" s="551">
        <f t="shared" si="93"/>
        <v>15242.577542445899</v>
      </c>
      <c r="CN110" s="547">
        <f>'Hilfstabellen_Mat&amp;Bem'!$J$60</f>
        <v>3.7</v>
      </c>
      <c r="CO110" s="546">
        <f t="shared" si="94"/>
        <v>162</v>
      </c>
      <c r="CP110" s="551">
        <f t="shared" si="95"/>
        <v>79.118370222282039</v>
      </c>
      <c r="CQ110" s="553">
        <f>CP110/PI()*SQRT('Hilfstabellen_Mat&amp;Bem'!f.Rd.3/'Hilfstabellen_Mat&amp;Bem'!$BD$30)</f>
        <v>1.2592079710250808</v>
      </c>
      <c r="CR110" s="553">
        <f>0.5*(1+'Hilfstabellen_Mat&amp;Bem'!$BD$31*(CQ110-0.3)+CQ110^2)</f>
        <v>1.3407627556978043</v>
      </c>
      <c r="CS110" s="550">
        <f t="shared" si="96"/>
        <v>0.55517284853883575</v>
      </c>
      <c r="CU110" s="551">
        <f t="shared" si="97"/>
        <v>14569.956237053206</v>
      </c>
      <c r="CX110" s="547">
        <f>'Hilfstabellen_Mat&amp;Bem'!$J$61</f>
        <v>3.8</v>
      </c>
      <c r="CY110" s="546">
        <f t="shared" si="98"/>
        <v>162</v>
      </c>
      <c r="CZ110" s="551">
        <f t="shared" si="99"/>
        <v>81.256704552613996</v>
      </c>
      <c r="DA110" s="553">
        <f>CZ110/PI()*SQRT('Hilfstabellen_Mat&amp;Bem'!f.Rd.3/'Hilfstabellen_Mat&amp;Bem'!$BD$30)</f>
        <v>1.2932406188906234</v>
      </c>
      <c r="DB110" s="553">
        <f>0.5*(1+'Hilfstabellen_Mat&amp;Bem'!$BD$31*(DA110-0.3)+DA110^2)</f>
        <v>1.3858976801188323</v>
      </c>
      <c r="DC110" s="550">
        <f t="shared" si="100"/>
        <v>0.5307473463438892</v>
      </c>
      <c r="DE110" s="551">
        <f t="shared" si="101"/>
        <v>13928.933357449028</v>
      </c>
      <c r="DH110" s="547">
        <f>'Hilfstabellen_Mat&amp;Bem'!$J$62</f>
        <v>3.9</v>
      </c>
      <c r="DI110" s="546">
        <f t="shared" si="102"/>
        <v>162</v>
      </c>
      <c r="DJ110" s="551">
        <f t="shared" si="103"/>
        <v>83.39503888294594</v>
      </c>
      <c r="DK110" s="553">
        <f>DJ110/PI()*SQRT('Hilfstabellen_Mat&amp;Bem'!f.Rd.3/'Hilfstabellen_Mat&amp;Bem'!$BD$30)</f>
        <v>1.3272732667561662</v>
      </c>
      <c r="DL110" s="553">
        <f>0.5*(1+'Hilfstabellen_Mat&amp;Bem'!$BD$31*(DK110-0.3)+DK110^2)</f>
        <v>1.4321908256606009</v>
      </c>
      <c r="DM110" s="550">
        <f t="shared" si="104"/>
        <v>0.50754775388263151</v>
      </c>
      <c r="DO110" s="551">
        <f t="shared" si="105"/>
        <v>13320.083252895782</v>
      </c>
      <c r="DR110" s="547">
        <f>'Hilfstabellen_Mat&amp;Bem'!$J$63</f>
        <v>4</v>
      </c>
      <c r="DS110" s="546">
        <f t="shared" si="106"/>
        <v>162</v>
      </c>
      <c r="DT110" s="551">
        <f t="shared" si="107"/>
        <v>85.533373213277883</v>
      </c>
      <c r="DU110" s="553">
        <f>DT110/PI()*SQRT('Hilfstabellen_Mat&amp;Bem'!f.Rd.3/'Hilfstabellen_Mat&amp;Bem'!$BD$30)</f>
        <v>1.3613059146217088</v>
      </c>
      <c r="DV110" s="553">
        <f>0.5*(1+'Hilfstabellen_Mat&amp;Bem'!$BD$31*(DU110-0.3)+DU110^2)</f>
        <v>1.4796421923231091</v>
      </c>
      <c r="DW110" s="550">
        <f t="shared" si="108"/>
        <v>0.48556447507520545</v>
      </c>
      <c r="DY110" s="551">
        <f t="shared" si="109"/>
        <v>12743.154083873691</v>
      </c>
      <c r="EB110" s="547">
        <f>'Hilfstabellen_Mat&amp;Bem'!$J$64</f>
        <v>4.0999999999999996</v>
      </c>
      <c r="EC110" s="546">
        <f t="shared" si="110"/>
        <v>162</v>
      </c>
      <c r="ED110" s="551">
        <f t="shared" si="111"/>
        <v>87.671707543609841</v>
      </c>
      <c r="EE110" s="553">
        <f>ED110/PI()*SQRT('Hilfstabellen_Mat&amp;Bem'!f.Rd.3/'Hilfstabellen_Mat&amp;Bem'!$BD$30)</f>
        <v>1.3953385624872516</v>
      </c>
      <c r="EF110" s="553">
        <f>0.5*(1+'Hilfstabellen_Mat&amp;Bem'!$BD$31*(EE110-0.3)+EE110^2)</f>
        <v>1.5282517801063575</v>
      </c>
      <c r="EG110" s="550">
        <f t="shared" si="112"/>
        <v>0.4647668002005243</v>
      </c>
      <c r="EI110" s="551">
        <f t="shared" si="113"/>
        <v>12197.33990446256</v>
      </c>
      <c r="EL110" s="547">
        <f>'Hilfstabellen_Mat&amp;Bem'!$J$65</f>
        <v>4.2</v>
      </c>
      <c r="EM110" s="546">
        <f t="shared" si="114"/>
        <v>162</v>
      </c>
      <c r="EN110" s="551">
        <f t="shared" si="115"/>
        <v>89.810041873941785</v>
      </c>
      <c r="EO110" s="553">
        <f>EN110/PI()*SQRT('Hilfstabellen_Mat&amp;Bem'!f.Rd.3/'Hilfstabellen_Mat&amp;Bem'!$BD$30)</f>
        <v>1.4293712103527945</v>
      </c>
      <c r="EP110" s="553">
        <f>0.5*(1+'Hilfstabellen_Mat&amp;Bem'!$BD$31*(EO110-0.3)+EO110^2)</f>
        <v>1.5780195890103461</v>
      </c>
      <c r="EQ110" s="550">
        <f t="shared" si="116"/>
        <v>0.44511054644293813</v>
      </c>
      <c r="ES110" s="551">
        <f t="shared" si="117"/>
        <v>11681.481180848468</v>
      </c>
    </row>
    <row r="111" spans="3:149">
      <c r="C111" s="546">
        <v>163</v>
      </c>
      <c r="D111" s="551">
        <f t="shared" si="72"/>
        <v>59.50604001463627</v>
      </c>
      <c r="E111" s="553">
        <f>$D111/PI()*SQRT('Hilfstabellen_Mat&amp;Bem'!f.Rd.3/'Hilfstabellen_Mat&amp;Bem'!$BD$30)</f>
        <v>0.94706804121534827</v>
      </c>
      <c r="F111" s="553">
        <f>0.5*(1+'Hilfstabellen_Mat&amp;Bem'!$BD$31*($E111-0.3)+$E111^2)</f>
        <v>0.98082233940650565</v>
      </c>
      <c r="G111" s="550">
        <f t="shared" si="73"/>
        <v>0.80911415318530433</v>
      </c>
      <c r="I111" s="551">
        <f t="shared" si="118"/>
        <v>21497.353935980351</v>
      </c>
      <c r="M111" s="546">
        <f t="shared" si="74"/>
        <v>163</v>
      </c>
      <c r="N111" s="551">
        <f t="shared" si="64"/>
        <v>61.631255729444703</v>
      </c>
      <c r="O111" s="553">
        <f>$N111/PI()*SQRT('Hilfstabellen_Mat&amp;Bem'!f.Rd.3/'Hilfstabellen_Mat&amp;Bem'!$BD$30)</f>
        <v>0.9808918998301821</v>
      </c>
      <c r="P111" s="553">
        <f>0.5*(1+'Hilfstabellen_Mat&amp;Bem'!$BD$31*($O111-0.3)+$O111^2)</f>
        <v>1.0151190545677411</v>
      </c>
      <c r="Q111" s="550">
        <f t="shared" si="65"/>
        <v>0.7833946973031396</v>
      </c>
      <c r="S111" s="551">
        <f t="shared" si="119"/>
        <v>20814.013712647116</v>
      </c>
      <c r="W111" s="546">
        <f t="shared" si="75"/>
        <v>163</v>
      </c>
      <c r="X111" s="551">
        <f t="shared" si="66"/>
        <v>63.756471444253151</v>
      </c>
      <c r="Y111" s="553">
        <f>$X111/PI()*SQRT('Hilfstabellen_Mat&amp;Bem'!f.Rd.3/'Hilfstabellen_Mat&amp;Bem'!$BD$30)</f>
        <v>1.0147157584450162</v>
      </c>
      <c r="Z111" s="553">
        <f>0.5*(1+'Hilfstabellen_Mat&amp;Bem'!$BD$31*($Y111-0.3)+$Y111^2)</f>
        <v>1.0505598231405731</v>
      </c>
      <c r="AA111" s="550">
        <f t="shared" si="67"/>
        <v>0.75606336882806258</v>
      </c>
      <c r="AC111" s="551">
        <f t="shared" si="120"/>
        <v>20087.847646392795</v>
      </c>
      <c r="AG111" s="546">
        <f t="shared" si="76"/>
        <v>163</v>
      </c>
      <c r="AH111" s="551">
        <f t="shared" si="68"/>
        <v>65.881687159061585</v>
      </c>
      <c r="AI111" s="553">
        <f>$AH111/PI()*SQRT('Hilfstabellen_Mat&amp;Bem'!f.Rd.3/'Hilfstabellen_Mat&amp;Bem'!$BD$30)</f>
        <v>1.04853961705985</v>
      </c>
      <c r="AJ111" s="553">
        <f>0.5*(1+'Hilfstabellen_Mat&amp;Bem'!$BD$31*($AI111-0.3)+$AI111^2)</f>
        <v>1.0871446451250009</v>
      </c>
      <c r="AK111" s="550">
        <f t="shared" si="69"/>
        <v>0.72765242661066054</v>
      </c>
      <c r="AM111" s="551">
        <f t="shared" si="121"/>
        <v>19332.997322618641</v>
      </c>
      <c r="AQ111" s="546">
        <f t="shared" si="77"/>
        <v>163</v>
      </c>
      <c r="AR111" s="551">
        <f t="shared" si="70"/>
        <v>68.006902873870033</v>
      </c>
      <c r="AS111" s="553">
        <f>$AR111/PI()*SQRT('Hilfstabellen_Mat&amp;Bem'!f.Rd.3/'Hilfstabellen_Mat&amp;Bem'!$BD$30)</f>
        <v>1.0823634756746841</v>
      </c>
      <c r="AT111" s="553">
        <f>0.5*(1+'Hilfstabellen_Mat&amp;Bem'!$BD$31*($AS111-0.3)+$AS111^2)</f>
        <v>1.1248735205210254</v>
      </c>
      <c r="AU111" s="550">
        <f t="shared" si="71"/>
        <v>0.69871928101379444</v>
      </c>
      <c r="AW111" s="551">
        <f t="shared" si="122"/>
        <v>18564.272577255506</v>
      </c>
      <c r="AZ111" s="547">
        <f>'Hilfstabellen_Mat&amp;Bem'!$J$56</f>
        <v>3.3</v>
      </c>
      <c r="BA111" s="546">
        <f t="shared" si="78"/>
        <v>163</v>
      </c>
      <c r="BB111" s="551">
        <f t="shared" si="79"/>
        <v>70.132118588678452</v>
      </c>
      <c r="BC111" s="553">
        <f>BB111/PI()*SQRT('Hilfstabellen_Mat&amp;Bem'!f.Rd.3/'Hilfstabellen_Mat&amp;Bem'!$BD$30)</f>
        <v>1.1161873342895177</v>
      </c>
      <c r="BD111" s="553">
        <f>0.5*(1+'Hilfstabellen_Mat&amp;Bem'!$BD$31*(BC111-0.3)+BC111^2)</f>
        <v>1.1637464493286456</v>
      </c>
      <c r="BE111" s="550">
        <f t="shared" si="80"/>
        <v>0.66977619739982519</v>
      </c>
      <c r="BG111" s="551">
        <f t="shared" si="81"/>
        <v>17795.283788715955</v>
      </c>
      <c r="BJ111" s="547">
        <f>'Hilfstabellen_Mat&amp;Bem'!$J$57</f>
        <v>3.4</v>
      </c>
      <c r="BK111" s="546">
        <f t="shared" si="82"/>
        <v>163</v>
      </c>
      <c r="BL111" s="551">
        <f t="shared" si="83"/>
        <v>72.2573343034869</v>
      </c>
      <c r="BM111" s="553">
        <f>BL111/PI()*SQRT('Hilfstabellen_Mat&amp;Bem'!f.Rd.3/'Hilfstabellen_Mat&amp;Bem'!$BD$30)</f>
        <v>1.1500111929043515</v>
      </c>
      <c r="BN111" s="553">
        <f>0.5*(1+'Hilfstabellen_Mat&amp;Bem'!$BD$31*(BM111-0.3)+BM111^2)</f>
        <v>1.2037634315478623</v>
      </c>
      <c r="BO111" s="550">
        <f t="shared" si="84"/>
        <v>0.64124726077456318</v>
      </c>
      <c r="BQ111" s="551">
        <f t="shared" si="85"/>
        <v>17037.298471519371</v>
      </c>
      <c r="BT111" s="547">
        <f>'Hilfstabellen_Mat&amp;Bem'!$J$58</f>
        <v>3.5</v>
      </c>
      <c r="BU111" s="546">
        <f t="shared" si="86"/>
        <v>163</v>
      </c>
      <c r="BV111" s="551">
        <f t="shared" si="87"/>
        <v>74.382550018295333</v>
      </c>
      <c r="BW111" s="553">
        <f>BV111/PI()*SQRT('Hilfstabellen_Mat&amp;Bem'!f.Rd.3/'Hilfstabellen_Mat&amp;Bem'!$BD$30)</f>
        <v>1.1838350515191853</v>
      </c>
      <c r="BX111" s="553">
        <f>0.5*(1+'Hilfstabellen_Mat&amp;Bem'!$BD$31*(BW111-0.3)+BW111^2)</f>
        <v>1.2449244671786754</v>
      </c>
      <c r="BY111" s="550">
        <f t="shared" si="88"/>
        <v>0.61345377260322398</v>
      </c>
      <c r="CA111" s="551">
        <f t="shared" si="89"/>
        <v>16298.853284295057</v>
      </c>
      <c r="CD111" s="547">
        <f>'Hilfstabellen_Mat&amp;Bem'!$J$59</f>
        <v>3.6</v>
      </c>
      <c r="CE111" s="546">
        <f t="shared" si="90"/>
        <v>163</v>
      </c>
      <c r="CF111" s="551">
        <f t="shared" si="91"/>
        <v>76.507765733103781</v>
      </c>
      <c r="CG111" s="553">
        <f>CF111/PI()*SQRT('Hilfstabellen_Mat&amp;Bem'!f.Rd.3/'Hilfstabellen_Mat&amp;Bem'!$BD$30)</f>
        <v>1.2176589101340194</v>
      </c>
      <c r="CH111" s="553">
        <f>0.5*(1+'Hilfstabellen_Mat&amp;Bem'!$BD$31*(CG111-0.3)+CG111^2)</f>
        <v>1.2872295562210847</v>
      </c>
      <c r="CI111" s="550">
        <f t="shared" si="92"/>
        <v>0.58661960603242691</v>
      </c>
      <c r="CK111" s="551">
        <f t="shared" si="93"/>
        <v>15585.89631267555</v>
      </c>
      <c r="CN111" s="547">
        <f>'Hilfstabellen_Mat&amp;Bem'!$J$60</f>
        <v>3.7</v>
      </c>
      <c r="CO111" s="546">
        <f t="shared" si="94"/>
        <v>163</v>
      </c>
      <c r="CP111" s="551">
        <f t="shared" si="95"/>
        <v>78.632981447912215</v>
      </c>
      <c r="CQ111" s="553">
        <f>CP111/PI()*SQRT('Hilfstabellen_Mat&amp;Bem'!f.Rd.3/'Hilfstabellen_Mat&amp;Bem'!$BD$30)</f>
        <v>1.2514827687488532</v>
      </c>
      <c r="CR111" s="553">
        <f>0.5*(1+'Hilfstabellen_Mat&amp;Bem'!$BD$31*(CQ111-0.3)+CQ111^2)</f>
        <v>1.3306786986750905</v>
      </c>
      <c r="CS111" s="550">
        <f t="shared" si="96"/>
        <v>0.56088653637630603</v>
      </c>
      <c r="CU111" s="551">
        <f t="shared" si="97"/>
        <v>14902.194384982075</v>
      </c>
      <c r="CX111" s="547">
        <f>'Hilfstabellen_Mat&amp;Bem'!$J$61</f>
        <v>3.8</v>
      </c>
      <c r="CY111" s="546">
        <f t="shared" si="98"/>
        <v>163</v>
      </c>
      <c r="CZ111" s="551">
        <f t="shared" si="99"/>
        <v>80.758197162720663</v>
      </c>
      <c r="DA111" s="553">
        <f>CZ111/PI()*SQRT('Hilfstabellen_Mat&amp;Bem'!f.Rd.3/'Hilfstabellen_Mat&amp;Bem'!$BD$30)</f>
        <v>1.2853066273636873</v>
      </c>
      <c r="DB111" s="553">
        <f>0.5*(1+'Hilfstabellen_Mat&amp;Bem'!$BD$31*(DA111-0.3)+DA111^2)</f>
        <v>1.3752718945406925</v>
      </c>
      <c r="DC111" s="550">
        <f t="shared" si="100"/>
        <v>0.53633225736845258</v>
      </c>
      <c r="DE111" s="551">
        <f t="shared" si="101"/>
        <v>14249.811746022417</v>
      </c>
      <c r="DH111" s="547">
        <f>'Hilfstabellen_Mat&amp;Bem'!$J$62</f>
        <v>3.9</v>
      </c>
      <c r="DI111" s="546">
        <f t="shared" si="102"/>
        <v>163</v>
      </c>
      <c r="DJ111" s="551">
        <f t="shared" si="103"/>
        <v>82.883412877529082</v>
      </c>
      <c r="DK111" s="553">
        <f>DJ111/PI()*SQRT('Hilfstabellen_Mat&amp;Bem'!f.Rd.3/'Hilfstabellen_Mat&amp;Bem'!$BD$30)</f>
        <v>1.3191304859785209</v>
      </c>
      <c r="DL111" s="553">
        <f>0.5*(1+'Hilfstabellen_Mat&amp;Bem'!$BD$31*(DK111-0.3)+DK111^2)</f>
        <v>1.4210091438178905</v>
      </c>
      <c r="DM111" s="550">
        <f t="shared" si="104"/>
        <v>0.51298710514028545</v>
      </c>
      <c r="DO111" s="551">
        <f t="shared" si="105"/>
        <v>13629.554396472244</v>
      </c>
      <c r="DR111" s="547">
        <f>'Hilfstabellen_Mat&amp;Bem'!$J$63</f>
        <v>4</v>
      </c>
      <c r="DS111" s="546">
        <f t="shared" si="106"/>
        <v>163</v>
      </c>
      <c r="DT111" s="551">
        <f t="shared" si="107"/>
        <v>85.00862859233753</v>
      </c>
      <c r="DU111" s="553">
        <f>DT111/PI()*SQRT('Hilfstabellen_Mat&amp;Bem'!f.Rd.3/'Hilfstabellen_Mat&amp;Bem'!$BD$30)</f>
        <v>1.3529543445933547</v>
      </c>
      <c r="DV111" s="553">
        <f>0.5*(1+'Hilfstabellen_Mat&amp;Bem'!$BD$31*(DU111-0.3)+DU111^2)</f>
        <v>1.4678904465066847</v>
      </c>
      <c r="DW111" s="550">
        <f t="shared" si="108"/>
        <v>0.4908479137424992</v>
      </c>
      <c r="DY111" s="551">
        <f t="shared" si="109"/>
        <v>13041.338220224461</v>
      </c>
      <c r="EB111" s="547">
        <f>'Hilfstabellen_Mat&amp;Bem'!$J$64</f>
        <v>4.0999999999999996</v>
      </c>
      <c r="EC111" s="546">
        <f t="shared" si="110"/>
        <v>163</v>
      </c>
      <c r="ED111" s="551">
        <f t="shared" si="111"/>
        <v>87.133844307145964</v>
      </c>
      <c r="EE111" s="553">
        <f>ED111/PI()*SQRT('Hilfstabellen_Mat&amp;Bem'!f.Rd.3/'Hilfstabellen_Mat&amp;Bem'!$BD$30)</f>
        <v>1.3867782032081886</v>
      </c>
      <c r="EF111" s="553">
        <f>0.5*(1+'Hilfstabellen_Mat&amp;Bem'!$BD$31*(EE111-0.3)+EE111^2)</f>
        <v>1.5159158026070756</v>
      </c>
      <c r="EG111" s="550">
        <f t="shared" si="112"/>
        <v>0.46988876461283635</v>
      </c>
      <c r="EI111" s="551">
        <f t="shared" si="113"/>
        <v>12484.474586998449</v>
      </c>
      <c r="EL111" s="547">
        <f>'Hilfstabellen_Mat&amp;Bem'!$J$65</f>
        <v>4.2</v>
      </c>
      <c r="EM111" s="546">
        <f t="shared" si="114"/>
        <v>163</v>
      </c>
      <c r="EN111" s="551">
        <f t="shared" si="115"/>
        <v>89.259060021954411</v>
      </c>
      <c r="EO111" s="553">
        <f>EN111/PI()*SQRT('Hilfstabellen_Mat&amp;Bem'!f.Rd.3/'Hilfstabellen_Mat&amp;Bem'!$BD$30)</f>
        <v>1.4206020618230226</v>
      </c>
      <c r="EP111" s="553">
        <f>0.5*(1+'Hilfstabellen_Mat&amp;Bem'!$BD$31*(EO111-0.3)+EO111^2)</f>
        <v>1.5650852121190626</v>
      </c>
      <c r="EQ111" s="550">
        <f t="shared" si="116"/>
        <v>0.45006898533993089</v>
      </c>
      <c r="ES111" s="551">
        <f t="shared" si="117"/>
        <v>11957.882871496624</v>
      </c>
    </row>
    <row r="112" spans="3:149">
      <c r="C112" s="546">
        <v>164</v>
      </c>
      <c r="D112" s="551">
        <f t="shared" si="72"/>
        <v>59.143198307229959</v>
      </c>
      <c r="E112" s="553">
        <f>$D112/PI()*SQRT('Hilfstabellen_Mat&amp;Bem'!f.Rd.3/'Hilfstabellen_Mat&amp;Bem'!$BD$30)</f>
        <v>0.94129323608598647</v>
      </c>
      <c r="F112" s="553">
        <f>0.5*(1+'Hilfstabellen_Mat&amp;Bem'!$BD$31*($E112-0.3)+$E112^2)</f>
        <v>0.97508113995491374</v>
      </c>
      <c r="G112" s="550">
        <f t="shared" si="73"/>
        <v>0.81331104562050727</v>
      </c>
      <c r="I112" s="551">
        <f t="shared" si="118"/>
        <v>21874.813883009163</v>
      </c>
      <c r="M112" s="546">
        <f t="shared" si="74"/>
        <v>164</v>
      </c>
      <c r="N112" s="551">
        <f t="shared" si="64"/>
        <v>61.255455389631024</v>
      </c>
      <c r="O112" s="553">
        <f>$N112/PI()*SQRT('Hilfstabellen_Mat&amp;Bem'!f.Rd.3/'Hilfstabellen_Mat&amp;Bem'!$BD$30)</f>
        <v>0.97491085166048608</v>
      </c>
      <c r="P112" s="553">
        <f>0.5*(1+'Hilfstabellen_Mat&amp;Bem'!$BD$31*($O112-0.3)+$O112^2)</f>
        <v>1.0089711269257116</v>
      </c>
      <c r="Q112" s="550">
        <f t="shared" si="65"/>
        <v>0.78807395642973987</v>
      </c>
      <c r="S112" s="551">
        <f t="shared" si="119"/>
        <v>21196.037132134283</v>
      </c>
      <c r="W112" s="546">
        <f t="shared" si="75"/>
        <v>164</v>
      </c>
      <c r="X112" s="551">
        <f t="shared" si="66"/>
        <v>63.367712472032096</v>
      </c>
      <c r="Y112" s="553">
        <f>$X112/PI()*SQRT('Hilfstabellen_Mat&amp;Bem'!f.Rd.3/'Hilfstabellen_Mat&amp;Bem'!$BD$30)</f>
        <v>1.0085284672349857</v>
      </c>
      <c r="Z112" s="553">
        <f>0.5*(1+'Hilfstabellen_Mat&amp;Bem'!$BD$31*($Y112-0.3)+$Y112^2)</f>
        <v>1.0439912579734241</v>
      </c>
      <c r="AA112" s="550">
        <f t="shared" si="67"/>
        <v>0.76116017937428282</v>
      </c>
      <c r="AC112" s="551">
        <f t="shared" si="120"/>
        <v>20472.16418445071</v>
      </c>
      <c r="AG112" s="546">
        <f t="shared" si="76"/>
        <v>164</v>
      </c>
      <c r="AH112" s="551">
        <f t="shared" si="68"/>
        <v>65.479969554433168</v>
      </c>
      <c r="AI112" s="553">
        <f>$AH112/PI()*SQRT('Hilfstabellen_Mat&amp;Bem'!f.Rd.3/'Hilfstabellen_Mat&amp;Bem'!$BD$30)</f>
        <v>1.0421460828094851</v>
      </c>
      <c r="AJ112" s="553">
        <f>0.5*(1+'Hilfstabellen_Mat&amp;Bem'!$BD$31*($AI112-0.3)+$AI112^2)</f>
        <v>1.0801415330980513</v>
      </c>
      <c r="AK112" s="550">
        <f t="shared" si="69"/>
        <v>0.73307948335028172</v>
      </c>
      <c r="AM112" s="551">
        <f t="shared" si="121"/>
        <v>19716.905784189177</v>
      </c>
      <c r="AQ112" s="546">
        <f t="shared" si="77"/>
        <v>164</v>
      </c>
      <c r="AR112" s="551">
        <f t="shared" si="70"/>
        <v>67.592226636834226</v>
      </c>
      <c r="AS112" s="553">
        <f>$AR112/PI()*SQRT('Hilfstabellen_Mat&amp;Bem'!f.Rd.3/'Hilfstabellen_Mat&amp;Bem'!$BD$30)</f>
        <v>1.0757636983839844</v>
      </c>
      <c r="AT112" s="553">
        <f>0.5*(1+'Hilfstabellen_Mat&amp;Bem'!$BD$31*($AS112-0.3)+$AS112^2)</f>
        <v>1.1174219522995934</v>
      </c>
      <c r="AU112" s="550">
        <f t="shared" si="71"/>
        <v>0.70438051034207694</v>
      </c>
      <c r="AW112" s="551">
        <f t="shared" si="122"/>
        <v>18945.018206160501</v>
      </c>
      <c r="AZ112" s="547">
        <f>'Hilfstabellen_Mat&amp;Bem'!$J$56</f>
        <v>3.3</v>
      </c>
      <c r="BA112" s="546">
        <f t="shared" si="78"/>
        <v>164</v>
      </c>
      <c r="BB112" s="551">
        <f t="shared" si="79"/>
        <v>69.704483719235299</v>
      </c>
      <c r="BC112" s="553">
        <f>BB112/PI()*SQRT('Hilfstabellen_Mat&amp;Bem'!f.Rd.3/'Hilfstabellen_Mat&amp;Bem'!$BD$30)</f>
        <v>1.1093813139584838</v>
      </c>
      <c r="BD112" s="553">
        <f>0.5*(1+'Hilfstabellen_Mat&amp;Bem'!$BD$31*(BC112-0.3)+BC112^2)</f>
        <v>1.1558325155780502</v>
      </c>
      <c r="BE112" s="550">
        <f t="shared" si="80"/>
        <v>0.6755790059978739</v>
      </c>
      <c r="BG112" s="551">
        <f t="shared" si="81"/>
        <v>18170.372945318817</v>
      </c>
      <c r="BJ112" s="547">
        <f>'Hilfstabellen_Mat&amp;Bem'!$J$57</f>
        <v>3.4</v>
      </c>
      <c r="BK112" s="546">
        <f t="shared" si="82"/>
        <v>164</v>
      </c>
      <c r="BL112" s="551">
        <f t="shared" si="83"/>
        <v>71.816740801636371</v>
      </c>
      <c r="BM112" s="553">
        <f>BL112/PI()*SQRT('Hilfstabellen_Mat&amp;Bem'!f.Rd.3/'Hilfstabellen_Mat&amp;Bem'!$BD$30)</f>
        <v>1.1429989295329834</v>
      </c>
      <c r="BN112" s="553">
        <f>0.5*(1+'Hilfstabellen_Mat&amp;Bem'!$BD$31*(BM112-0.3)+BM112^2)</f>
        <v>1.1953732229334222</v>
      </c>
      <c r="BO112" s="550">
        <f t="shared" si="84"/>
        <v>0.64711046847588582</v>
      </c>
      <c r="BQ112" s="551">
        <f t="shared" si="85"/>
        <v>17404.683160127424</v>
      </c>
      <c r="BT112" s="547">
        <f>'Hilfstabellen_Mat&amp;Bem'!$J$58</f>
        <v>3.5</v>
      </c>
      <c r="BU112" s="546">
        <f t="shared" si="86"/>
        <v>164</v>
      </c>
      <c r="BV112" s="551">
        <f t="shared" si="87"/>
        <v>73.928997884037443</v>
      </c>
      <c r="BW112" s="553">
        <f>BV112/PI()*SQRT('Hilfstabellen_Mat&amp;Bem'!f.Rd.3/'Hilfstabellen_Mat&amp;Bem'!$BD$30)</f>
        <v>1.176616545107483</v>
      </c>
      <c r="BX112" s="553">
        <f>0.5*(1+'Hilfstabellen_Mat&amp;Bem'!$BD$31*(BW112-0.3)+BW112^2)</f>
        <v>1.2360440743657088</v>
      </c>
      <c r="BY112" s="550">
        <f t="shared" si="88"/>
        <v>0.61931102574405072</v>
      </c>
      <c r="CA112" s="551">
        <f t="shared" si="89"/>
        <v>16656.989348411989</v>
      </c>
      <c r="CD112" s="547">
        <f>'Hilfstabellen_Mat&amp;Bem'!$J$59</f>
        <v>3.6</v>
      </c>
      <c r="CE112" s="546">
        <f t="shared" si="90"/>
        <v>164</v>
      </c>
      <c r="CF112" s="551">
        <f t="shared" si="91"/>
        <v>76.041254966438515</v>
      </c>
      <c r="CG112" s="553">
        <f>CF112/PI()*SQRT('Hilfstabellen_Mat&amp;Bem'!f.Rd.3/'Hilfstabellen_Mat&amp;Bem'!$BD$30)</f>
        <v>1.2102341606819826</v>
      </c>
      <c r="CH112" s="553">
        <f>0.5*(1+'Hilfstabellen_Mat&amp;Bem'!$BD$31*(CG112-0.3)+CG112^2)</f>
        <v>1.2778450698749104</v>
      </c>
      <c r="CI112" s="550">
        <f t="shared" si="92"/>
        <v>0.59241952930760378</v>
      </c>
      <c r="CK112" s="551">
        <f t="shared" si="93"/>
        <v>15933.71566025731</v>
      </c>
      <c r="CN112" s="547">
        <f>'Hilfstabellen_Mat&amp;Bem'!$J$60</f>
        <v>3.7</v>
      </c>
      <c r="CO112" s="546">
        <f t="shared" si="94"/>
        <v>164</v>
      </c>
      <c r="CP112" s="551">
        <f t="shared" si="95"/>
        <v>78.153512048839588</v>
      </c>
      <c r="CQ112" s="553">
        <f>CP112/PI()*SQRT('Hilfstabellen_Mat&amp;Bem'!f.Rd.3/'Hilfstabellen_Mat&amp;Bem'!$BD$30)</f>
        <v>1.2438517762564822</v>
      </c>
      <c r="CR112" s="553">
        <f>0.5*(1+'Hilfstabellen_Mat&amp;Bem'!$BD$31*(CQ112-0.3)+CQ112^2)</f>
        <v>1.3207762094610271</v>
      </c>
      <c r="CS112" s="550">
        <f t="shared" si="96"/>
        <v>0.56659110807900381</v>
      </c>
      <c r="CU112" s="551">
        <f t="shared" si="97"/>
        <v>15239.034442892887</v>
      </c>
      <c r="CX112" s="547">
        <f>'Hilfstabellen_Mat&amp;Bem'!$J$61</f>
        <v>3.8</v>
      </c>
      <c r="CY112" s="546">
        <f t="shared" si="98"/>
        <v>164</v>
      </c>
      <c r="CZ112" s="551">
        <f t="shared" si="99"/>
        <v>80.26576913124066</v>
      </c>
      <c r="DA112" s="553">
        <f>CZ112/PI()*SQRT('Hilfstabellen_Mat&amp;Bem'!f.Rd.3/'Hilfstabellen_Mat&amp;Bem'!$BD$30)</f>
        <v>1.2774693918309818</v>
      </c>
      <c r="DB112" s="553">
        <f>0.5*(1+'Hilfstabellen_Mat&amp;Bem'!$BD$31*(DA112-0.3)+DA112^2)</f>
        <v>1.3648374931240586</v>
      </c>
      <c r="DC112" s="550">
        <f t="shared" si="100"/>
        <v>0.54191451775066657</v>
      </c>
      <c r="DE112" s="551">
        <f t="shared" si="101"/>
        <v>14575.332869421927</v>
      </c>
      <c r="DH112" s="547">
        <f>'Hilfstabellen_Mat&amp;Bem'!$J$62</f>
        <v>3.9</v>
      </c>
      <c r="DI112" s="546">
        <f t="shared" si="102"/>
        <v>164</v>
      </c>
      <c r="DJ112" s="551">
        <f t="shared" si="103"/>
        <v>82.378026213641718</v>
      </c>
      <c r="DK112" s="553">
        <f>DJ112/PI()*SQRT('Hilfstabellen_Mat&amp;Bem'!f.Rd.3/'Hilfstabellen_Mat&amp;Bem'!$BD$30)</f>
        <v>1.3110870074054812</v>
      </c>
      <c r="DL112" s="553">
        <f>0.5*(1+'Hilfstabellen_Mat&amp;Bem'!$BD$31*(DK112-0.3)+DK112^2)</f>
        <v>1.4100289208640042</v>
      </c>
      <c r="DM112" s="550">
        <f t="shared" si="104"/>
        <v>0.5184288414517505</v>
      </c>
      <c r="DO112" s="551">
        <f t="shared" si="105"/>
        <v>13943.662119686282</v>
      </c>
      <c r="DR112" s="547">
        <f>'Hilfstabellen_Mat&amp;Bem'!$J$63</f>
        <v>4</v>
      </c>
      <c r="DS112" s="546">
        <f t="shared" si="106"/>
        <v>164</v>
      </c>
      <c r="DT112" s="551">
        <f t="shared" si="107"/>
        <v>84.49028329604279</v>
      </c>
      <c r="DU112" s="553">
        <f>DT112/PI()*SQRT('Hilfstabellen_Mat&amp;Bem'!f.Rd.3/'Hilfstabellen_Mat&amp;Bem'!$BD$30)</f>
        <v>1.3447046229799806</v>
      </c>
      <c r="DV112" s="553">
        <f>0.5*(1+'Hilfstabellen_Mat&amp;Bem'!$BD$31*(DU112-0.3)+DU112^2)</f>
        <v>1.456350492680865</v>
      </c>
      <c r="DW112" s="550">
        <f t="shared" si="108"/>
        <v>0.49613761808186774</v>
      </c>
      <c r="DY112" s="551">
        <f t="shared" si="109"/>
        <v>13344.117375929914</v>
      </c>
      <c r="EB112" s="547">
        <f>'Hilfstabellen_Mat&amp;Bem'!$J$64</f>
        <v>4.0999999999999996</v>
      </c>
      <c r="EC112" s="546">
        <f t="shared" si="110"/>
        <v>164</v>
      </c>
      <c r="ED112" s="551">
        <f t="shared" si="111"/>
        <v>86.602540378443862</v>
      </c>
      <c r="EE112" s="553">
        <f>ED112/PI()*SQRT('Hilfstabellen_Mat&amp;Bem'!f.Rd.3/'Hilfstabellen_Mat&amp;Bem'!$BD$30)</f>
        <v>1.3783222385544802</v>
      </c>
      <c r="EF112" s="553">
        <f>0.5*(1+'Hilfstabellen_Mat&amp;Bem'!$BD$31*(EE112-0.3)+EE112^2)</f>
        <v>1.5038022085746408</v>
      </c>
      <c r="EG112" s="550">
        <f t="shared" si="112"/>
        <v>0.47501995619125226</v>
      </c>
      <c r="EI112" s="551">
        <f t="shared" si="113"/>
        <v>12776.13674171992</v>
      </c>
      <c r="EL112" s="547">
        <f>'Hilfstabellen_Mat&amp;Bem'!$J$65</f>
        <v>4.2</v>
      </c>
      <c r="EM112" s="546">
        <f t="shared" si="114"/>
        <v>164</v>
      </c>
      <c r="EN112" s="551">
        <f t="shared" si="115"/>
        <v>88.714797460844935</v>
      </c>
      <c r="EO112" s="553">
        <f>EN112/PI()*SQRT('Hilfstabellen_Mat&amp;Bem'!f.Rd.3/'Hilfstabellen_Mat&amp;Bem'!$BD$30)</f>
        <v>1.4119398541289798</v>
      </c>
      <c r="EP112" s="553">
        <f>0.5*(1+'Hilfstabellen_Mat&amp;Bem'!$BD$31*(EO112-0.3)+EO112^2)</f>
        <v>1.5523840685453314</v>
      </c>
      <c r="EQ112" s="550">
        <f t="shared" si="116"/>
        <v>0.4550388879441466</v>
      </c>
      <c r="ES112" s="551">
        <f t="shared" si="117"/>
        <v>12238.725930145767</v>
      </c>
    </row>
    <row r="113" spans="3:149">
      <c r="C113" s="546">
        <v>165</v>
      </c>
      <c r="D113" s="551">
        <f t="shared" si="72"/>
        <v>58.784754681125527</v>
      </c>
      <c r="E113" s="553">
        <f>$D113/PI()*SQRT('Hilfstabellen_Mat&amp;Bem'!f.Rd.3/'Hilfstabellen_Mat&amp;Bem'!$BD$30)</f>
        <v>0.93558842859455627</v>
      </c>
      <c r="F113" s="553">
        <f>0.5*(1+'Hilfstabellen_Mat&amp;Bem'!$BD$31*($E113-0.3)+$E113^2)</f>
        <v>0.96944227528974336</v>
      </c>
      <c r="G113" s="550">
        <f t="shared" si="73"/>
        <v>0.8173966580588341</v>
      </c>
      <c r="I113" s="551">
        <f t="shared" si="118"/>
        <v>22253.62401565176</v>
      </c>
      <c r="M113" s="546">
        <f t="shared" si="74"/>
        <v>165</v>
      </c>
      <c r="N113" s="551">
        <f t="shared" si="64"/>
        <v>60.884210205451438</v>
      </c>
      <c r="O113" s="553">
        <f>$N113/PI()*SQRT('Hilfstabellen_Mat&amp;Bem'!f.Rd.3/'Hilfstabellen_Mat&amp;Bem'!$BD$30)</f>
        <v>0.9690023010443618</v>
      </c>
      <c r="P113" s="553">
        <f>0.5*(1+'Hilfstabellen_Mat&amp;Bem'!$BD$31*($O113-0.3)+$O113^2)</f>
        <v>1.002932844766852</v>
      </c>
      <c r="Q113" s="550">
        <f t="shared" si="65"/>
        <v>0.79264409792644119</v>
      </c>
      <c r="S113" s="551">
        <f t="shared" si="119"/>
        <v>21579.735566047362</v>
      </c>
      <c r="W113" s="546">
        <f t="shared" si="75"/>
        <v>165</v>
      </c>
      <c r="X113" s="551">
        <f t="shared" si="66"/>
        <v>62.983665729777357</v>
      </c>
      <c r="Y113" s="553">
        <f>$X113/PI()*SQRT('Hilfstabellen_Mat&amp;Bem'!f.Rd.3/'Hilfstabellen_Mat&amp;Bem'!$BD$30)</f>
        <v>1.0024161734941675</v>
      </c>
      <c r="Z113" s="553">
        <f>0.5*(1+'Hilfstabellen_Mat&amp;Bem'!$BD$31*($Y113-0.3)+$Y113^2)</f>
        <v>1.0375399011160527</v>
      </c>
      <c r="AA113" s="550">
        <f t="shared" si="67"/>
        <v>0.76615630968545334</v>
      </c>
      <c r="AC113" s="551">
        <f t="shared" si="120"/>
        <v>20858.605531186466</v>
      </c>
      <c r="AG113" s="546">
        <f t="shared" si="76"/>
        <v>165</v>
      </c>
      <c r="AH113" s="551">
        <f t="shared" si="68"/>
        <v>65.083121254103261</v>
      </c>
      <c r="AI113" s="553">
        <f>$AH113/PI()*SQRT('Hilfstabellen_Mat&amp;Bem'!f.Rd.3/'Hilfstabellen_Mat&amp;Bem'!$BD$30)</f>
        <v>1.0358300459439729</v>
      </c>
      <c r="AJ113" s="553">
        <f>0.5*(1+'Hilfstabellen_Mat&amp;Bem'!$BD$31*($AI113-0.3)+$AI113^2)</f>
        <v>1.073263444337345</v>
      </c>
      <c r="AK113" s="550">
        <f t="shared" si="69"/>
        <v>0.73841891861968179</v>
      </c>
      <c r="AM113" s="551">
        <f t="shared" si="121"/>
        <v>20103.455059420838</v>
      </c>
      <c r="AQ113" s="546">
        <f t="shared" si="77"/>
        <v>165</v>
      </c>
      <c r="AR113" s="551">
        <f t="shared" si="70"/>
        <v>67.18257677842918</v>
      </c>
      <c r="AS113" s="553">
        <f>$AR113/PI()*SQRT('Hilfstabellen_Mat&amp;Bem'!f.Rd.3/'Hilfstabellen_Mat&amp;Bem'!$BD$30)</f>
        <v>1.0692439183937787</v>
      </c>
      <c r="AT113" s="553">
        <f>0.5*(1+'Hilfstabellen_Mat&amp;Bem'!$BD$31*($AS113-0.3)+$AS113^2)</f>
        <v>1.1101034744307299</v>
      </c>
      <c r="AU113" s="550">
        <f t="shared" si="71"/>
        <v>0.70996950856400287</v>
      </c>
      <c r="AW113" s="551">
        <f t="shared" si="122"/>
        <v>19328.91987065498</v>
      </c>
      <c r="AZ113" s="547">
        <f>'Hilfstabellen_Mat&amp;Bem'!$J$56</f>
        <v>3.3</v>
      </c>
      <c r="BA113" s="546">
        <f t="shared" si="78"/>
        <v>165</v>
      </c>
      <c r="BB113" s="551">
        <f t="shared" si="79"/>
        <v>69.282032302755084</v>
      </c>
      <c r="BC113" s="553">
        <f>BB113/PI()*SQRT('Hilfstabellen_Mat&amp;Bem'!f.Rd.3/'Hilfstabellen_Mat&amp;Bem'!$BD$30)</f>
        <v>1.102657790843584</v>
      </c>
      <c r="BD113" s="553">
        <f>0.5*(1+'Hilfstabellen_Mat&amp;Bem'!$BD$31*(BC113-0.3)+BC113^2)</f>
        <v>1.1480599913962055</v>
      </c>
      <c r="BE113" s="550">
        <f t="shared" si="80"/>
        <v>0.68132521956793579</v>
      </c>
      <c r="BG113" s="551">
        <f t="shared" si="81"/>
        <v>18549.079102737051</v>
      </c>
      <c r="BJ113" s="547">
        <f>'Hilfstabellen_Mat&amp;Bem'!$J$57</f>
        <v>3.4</v>
      </c>
      <c r="BK113" s="546">
        <f t="shared" si="82"/>
        <v>165</v>
      </c>
      <c r="BL113" s="551">
        <f t="shared" si="83"/>
        <v>71.381487827081003</v>
      </c>
      <c r="BM113" s="553">
        <f>BL113/PI()*SQRT('Hilfstabellen_Mat&amp;Bem'!f.Rd.3/'Hilfstabellen_Mat&amp;Bem'!$BD$30)</f>
        <v>1.1360716632933898</v>
      </c>
      <c r="BN113" s="553">
        <f>0.5*(1+'Hilfstabellen_Mat&amp;Bem'!$BD$31*(BM113-0.3)+BM113^2)</f>
        <v>1.1871329952337741</v>
      </c>
      <c r="BO113" s="550">
        <f t="shared" si="84"/>
        <v>0.65293153834551676</v>
      </c>
      <c r="BQ113" s="551">
        <f t="shared" si="85"/>
        <v>17776.061131456692</v>
      </c>
      <c r="BT113" s="547">
        <f>'Hilfstabellen_Mat&amp;Bem'!$J$58</f>
        <v>3.5</v>
      </c>
      <c r="BU113" s="546">
        <f t="shared" si="86"/>
        <v>165</v>
      </c>
      <c r="BV113" s="551">
        <f t="shared" si="87"/>
        <v>73.480943351406907</v>
      </c>
      <c r="BW113" s="553">
        <f>BV113/PI()*SQRT('Hilfstabellen_Mat&amp;Bem'!f.Rd.3/'Hilfstabellen_Mat&amp;Bem'!$BD$30)</f>
        <v>1.1694855357431952</v>
      </c>
      <c r="BX113" s="553">
        <f>0.5*(1+'Hilfstabellen_Mat&amp;Bem'!$BD$31*(BW113-0.3)+BW113^2)</f>
        <v>1.227322485943434</v>
      </c>
      <c r="BY113" s="550">
        <f t="shared" si="88"/>
        <v>0.6251386965007365</v>
      </c>
      <c r="CA113" s="551">
        <f t="shared" si="89"/>
        <v>17019.401012232553</v>
      </c>
      <c r="CD113" s="547">
        <f>'Hilfstabellen_Mat&amp;Bem'!$J$59</f>
        <v>3.6</v>
      </c>
      <c r="CE113" s="546">
        <f t="shared" si="90"/>
        <v>165</v>
      </c>
      <c r="CF113" s="551">
        <f t="shared" si="91"/>
        <v>75.580398875732811</v>
      </c>
      <c r="CG113" s="553">
        <f>CF113/PI()*SQRT('Hilfstabellen_Mat&amp;Bem'!f.Rd.3/'Hilfstabellen_Mat&amp;Bem'!$BD$30)</f>
        <v>1.2028994081930007</v>
      </c>
      <c r="CH113" s="553">
        <f>0.5*(1+'Hilfstabellen_Mat&amp;Bem'!$BD$31*(CG113-0.3)+CG113^2)</f>
        <v>1.2686284635251857</v>
      </c>
      <c r="CI113" s="550">
        <f t="shared" si="92"/>
        <v>0.59820032348686469</v>
      </c>
      <c r="CK113" s="551">
        <f t="shared" si="93"/>
        <v>16286.003806929892</v>
      </c>
      <c r="CN113" s="547">
        <f>'Hilfstabellen_Mat&amp;Bem'!$J$60</f>
        <v>3.7</v>
      </c>
      <c r="CO113" s="546">
        <f t="shared" si="94"/>
        <v>165</v>
      </c>
      <c r="CP113" s="551">
        <f t="shared" si="95"/>
        <v>77.679854400058744</v>
      </c>
      <c r="CQ113" s="553">
        <f>CP113/PI()*SQRT('Hilfstabellen_Mat&amp;Bem'!f.Rd.3/'Hilfstabellen_Mat&amp;Bem'!$BD$30)</f>
        <v>1.2363132806428068</v>
      </c>
      <c r="CR113" s="553">
        <f>0.5*(1+'Hilfstabellen_Mat&amp;Bem'!$BD$31*(CQ113-0.3)+CQ113^2)</f>
        <v>1.3110509279790301</v>
      </c>
      <c r="CS113" s="550">
        <f t="shared" si="96"/>
        <v>0.57228500829918894</v>
      </c>
      <c r="CU113" s="551">
        <f t="shared" si="97"/>
        <v>15580.459350945419</v>
      </c>
      <c r="CX113" s="547">
        <f>'Hilfstabellen_Mat&amp;Bem'!$J$61</f>
        <v>3.8</v>
      </c>
      <c r="CY113" s="546">
        <f t="shared" si="98"/>
        <v>165</v>
      </c>
      <c r="CZ113" s="551">
        <f t="shared" si="99"/>
        <v>79.779309924384648</v>
      </c>
      <c r="DA113" s="553">
        <f>CZ113/PI()*SQRT('Hilfstabellen_Mat&amp;Bem'!f.Rd.3/'Hilfstabellen_Mat&amp;Bem'!$BD$30)</f>
        <v>1.269727153092612</v>
      </c>
      <c r="DB113" s="553">
        <f>0.5*(1+'Hilfstabellen_Mat&amp;Bem'!$BD$31*(DA113-0.3)+DA113^2)</f>
        <v>1.3545898793049651</v>
      </c>
      <c r="DC113" s="550">
        <f t="shared" si="100"/>
        <v>0.5474928161277649</v>
      </c>
      <c r="DE113" s="551">
        <f t="shared" si="101"/>
        <v>14905.4919190784</v>
      </c>
      <c r="DH113" s="547">
        <f>'Hilfstabellen_Mat&amp;Bem'!$J$62</f>
        <v>3.9</v>
      </c>
      <c r="DI113" s="546">
        <f t="shared" si="102"/>
        <v>165</v>
      </c>
      <c r="DJ113" s="551">
        <f t="shared" si="103"/>
        <v>81.878765448710553</v>
      </c>
      <c r="DK113" s="553">
        <f>DJ113/PI()*SQRT('Hilfstabellen_Mat&amp;Bem'!f.Rd.3/'Hilfstabellen_Mat&amp;Bem'!$BD$30)</f>
        <v>1.3031410255424176</v>
      </c>
      <c r="DL113" s="553">
        <f>0.5*(1+'Hilfstabellen_Mat&amp;Bem'!$BD$31*(DK113-0.3)+DK113^2)</f>
        <v>1.3992453175029929</v>
      </c>
      <c r="DM113" s="550">
        <f t="shared" si="104"/>
        <v>0.52387186388123075</v>
      </c>
      <c r="DO113" s="551">
        <f t="shared" si="105"/>
        <v>14262.411494166507</v>
      </c>
      <c r="DR113" s="547">
        <f>'Hilfstabellen_Mat&amp;Bem'!$J$63</f>
        <v>4</v>
      </c>
      <c r="DS113" s="546">
        <f t="shared" si="106"/>
        <v>165</v>
      </c>
      <c r="DT113" s="551">
        <f t="shared" si="107"/>
        <v>83.978220973036471</v>
      </c>
      <c r="DU113" s="553">
        <f>DT113/PI()*SQRT('Hilfstabellen_Mat&amp;Bem'!f.Rd.3/'Hilfstabellen_Mat&amp;Bem'!$BD$30)</f>
        <v>1.3365548979922233</v>
      </c>
      <c r="DV113" s="553">
        <f>0.5*(1+'Hilfstabellen_Mat&amp;Bem'!$BD$31*(DU113-0.3)+DU113^2)</f>
        <v>1.4450172425731123</v>
      </c>
      <c r="DW113" s="550">
        <f t="shared" si="108"/>
        <v>0.50143266888338522</v>
      </c>
      <c r="DY113" s="551">
        <f t="shared" si="109"/>
        <v>13651.504410350162</v>
      </c>
      <c r="EB113" s="547">
        <f>'Hilfstabellen_Mat&amp;Bem'!$J$64</f>
        <v>4.0999999999999996</v>
      </c>
      <c r="EC113" s="546">
        <f t="shared" si="110"/>
        <v>165</v>
      </c>
      <c r="ED113" s="551">
        <f t="shared" si="111"/>
        <v>86.077676497362376</v>
      </c>
      <c r="EE113" s="553">
        <f>ED113/PI()*SQRT('Hilfstabellen_Mat&amp;Bem'!f.Rd.3/'Hilfstabellen_Mat&amp;Bem'!$BD$30)</f>
        <v>1.3699687704420287</v>
      </c>
      <c r="EF113" s="553">
        <f>0.5*(1+'Hilfstabellen_Mat&amp;Bem'!$BD$31*(EE113-0.3)+EE113^2)</f>
        <v>1.4919056545153233</v>
      </c>
      <c r="EG113" s="550">
        <f t="shared" si="112"/>
        <v>0.48015960534636659</v>
      </c>
      <c r="EI113" s="551">
        <f t="shared" si="113"/>
        <v>13072.34525555483</v>
      </c>
      <c r="EL113" s="547">
        <f>'Hilfstabellen_Mat&amp;Bem'!$J$65</f>
        <v>4.2</v>
      </c>
      <c r="EM113" s="546">
        <f t="shared" si="114"/>
        <v>165</v>
      </c>
      <c r="EN113" s="551">
        <f t="shared" si="115"/>
        <v>88.177132021688294</v>
      </c>
      <c r="EO113" s="553">
        <f>EN113/PI()*SQRT('Hilfstabellen_Mat&amp;Bem'!f.Rd.3/'Hilfstabellen_Mat&amp;Bem'!$BD$30)</f>
        <v>1.4033826428918343</v>
      </c>
      <c r="EP113" s="553">
        <f>0.5*(1+'Hilfstabellen_Mat&amp;Bem'!$BD$31*(EO113-0.3)+EO113^2)</f>
        <v>1.5399105533296267</v>
      </c>
      <c r="EQ113" s="550">
        <f t="shared" si="116"/>
        <v>0.46001960817132764</v>
      </c>
      <c r="ES113" s="551">
        <f t="shared" si="117"/>
        <v>12524.033832464394</v>
      </c>
    </row>
    <row r="114" spans="3:149">
      <c r="C114" s="546">
        <v>166</v>
      </c>
      <c r="D114" s="551">
        <f t="shared" si="72"/>
        <v>58.43062965292598</v>
      </c>
      <c r="E114" s="553">
        <f>$D114/PI()*SQRT('Hilfstabellen_Mat&amp;Bem'!f.Rd.3/'Hilfstabellen_Mat&amp;Bem'!$BD$30)</f>
        <v>0.92995235372350471</v>
      </c>
      <c r="F114" s="553">
        <f>0.5*(1+'Hilfstabellen_Mat&amp;Bem'!$BD$31*($E114-0.3)+$E114^2)</f>
        <v>0.96390330778411837</v>
      </c>
      <c r="G114" s="550">
        <f t="shared" si="73"/>
        <v>0.82137262960359558</v>
      </c>
      <c r="I114" s="551">
        <f t="shared" si="118"/>
        <v>22633.74418135668</v>
      </c>
      <c r="M114" s="546">
        <f t="shared" si="74"/>
        <v>166</v>
      </c>
      <c r="N114" s="551">
        <f t="shared" si="64"/>
        <v>60.517437854816194</v>
      </c>
      <c r="O114" s="553">
        <f>$N114/PI()*SQRT('Hilfstabellen_Mat&amp;Bem'!f.Rd.3/'Hilfstabellen_Mat&amp;Bem'!$BD$30)</f>
        <v>0.96316493778505841</v>
      </c>
      <c r="P114" s="553">
        <f>0.5*(1+'Hilfstabellen_Mat&amp;Bem'!$BD$31*($O114-0.3)+$O114^2)</f>
        <v>0.99700159557850065</v>
      </c>
      <c r="Q114" s="550">
        <f t="shared" si="65"/>
        <v>0.79710558791058106</v>
      </c>
      <c r="S114" s="551">
        <f t="shared" si="119"/>
        <v>21965.041580463971</v>
      </c>
      <c r="W114" s="546">
        <f t="shared" si="75"/>
        <v>166</v>
      </c>
      <c r="X114" s="551">
        <f t="shared" si="66"/>
        <v>62.604246056706408</v>
      </c>
      <c r="Y114" s="553">
        <f>$X114/PI()*SQRT('Hilfstabellen_Mat&amp;Bem'!f.Rd.3/'Hilfstabellen_Mat&amp;Bem'!$BD$30)</f>
        <v>0.99637752184661221</v>
      </c>
      <c r="Z114" s="553">
        <f>0.5*(1+'Hilfstabellen_Mat&amp;Bem'!$BD$31*($Y114-0.3)+$Y114^2)</f>
        <v>1.0312029591129286</v>
      </c>
      <c r="AA114" s="550">
        <f t="shared" si="67"/>
        <v>0.77105105944429675</v>
      </c>
      <c r="AC114" s="551">
        <f t="shared" si="120"/>
        <v>21247.082994047043</v>
      </c>
      <c r="AG114" s="546">
        <f t="shared" si="76"/>
        <v>166</v>
      </c>
      <c r="AH114" s="551">
        <f t="shared" si="68"/>
        <v>64.691054258596623</v>
      </c>
      <c r="AI114" s="553">
        <f>$AH114/PI()*SQRT('Hilfstabellen_Mat&amp;Bem'!f.Rd.3/'Hilfstabellen_Mat&amp;Bem'!$BD$30)</f>
        <v>1.029590105908166</v>
      </c>
      <c r="AJ114" s="553">
        <f>0.5*(1+'Hilfstabellen_Mat&amp;Bem'!$BD$31*($AI114-0.3)+$AI114^2)</f>
        <v>1.0665073983874027</v>
      </c>
      <c r="AK114" s="550">
        <f t="shared" si="69"/>
        <v>0.74366912176240862</v>
      </c>
      <c r="AM114" s="551">
        <f t="shared" si="121"/>
        <v>20492.546319284931</v>
      </c>
      <c r="AQ114" s="546">
        <f t="shared" si="77"/>
        <v>166</v>
      </c>
      <c r="AR114" s="551">
        <f t="shared" si="70"/>
        <v>66.777862460486844</v>
      </c>
      <c r="AS114" s="553">
        <f>$AR114/PI()*SQRT('Hilfstabellen_Mat&amp;Bem'!f.Rd.3/'Hilfstabellen_Mat&amp;Bem'!$BD$30)</f>
        <v>1.0628026899697198</v>
      </c>
      <c r="AT114" s="553">
        <f>0.5*(1+'Hilfstabellen_Mat&amp;Bem'!$BD$31*($AS114-0.3)+$AS114^2)</f>
        <v>1.1029149134019223</v>
      </c>
      <c r="AU114" s="550">
        <f t="shared" si="71"/>
        <v>0.71548412440210929</v>
      </c>
      <c r="AW114" s="551">
        <f t="shared" si="122"/>
        <v>19715.880532024523</v>
      </c>
      <c r="AZ114" s="547">
        <f>'Hilfstabellen_Mat&amp;Bem'!$J$56</f>
        <v>3.3</v>
      </c>
      <c r="BA114" s="546">
        <f t="shared" si="78"/>
        <v>166</v>
      </c>
      <c r="BB114" s="551">
        <f t="shared" si="79"/>
        <v>68.864670662377037</v>
      </c>
      <c r="BC114" s="553">
        <f>BB114/PI()*SQRT('Hilfstabellen_Mat&amp;Bem'!f.Rd.3/'Hilfstabellen_Mat&amp;Bem'!$BD$30)</f>
        <v>1.0960152740312734</v>
      </c>
      <c r="BD114" s="553">
        <f>0.5*(1+'Hilfstabellen_Mat&amp;Bem'!$BD$31*(BC114-0.3)+BC114^2)</f>
        <v>1.1404255041564872</v>
      </c>
      <c r="BE114" s="550">
        <f t="shared" si="80"/>
        <v>0.68701249136044507</v>
      </c>
      <c r="BG114" s="551">
        <f t="shared" si="81"/>
        <v>18931.316211928424</v>
      </c>
      <c r="BJ114" s="547">
        <f>'Hilfstabellen_Mat&amp;Bem'!$J$57</f>
        <v>3.4</v>
      </c>
      <c r="BK114" s="546">
        <f t="shared" si="82"/>
        <v>166</v>
      </c>
      <c r="BL114" s="551">
        <f t="shared" si="83"/>
        <v>70.951478864267258</v>
      </c>
      <c r="BM114" s="553">
        <f>BL114/PI()*SQRT('Hilfstabellen_Mat&amp;Bem'!f.Rd.3/'Hilfstabellen_Mat&amp;Bem'!$BD$30)</f>
        <v>1.129227858092827</v>
      </c>
      <c r="BN114" s="553">
        <f>0.5*(1+'Hilfstabellen_Mat&amp;Bem'!$BD$31*(BM114-0.3)+BM114^2)</f>
        <v>1.1790391706510983</v>
      </c>
      <c r="BO114" s="550">
        <f t="shared" si="84"/>
        <v>0.65870817578382779</v>
      </c>
      <c r="BQ114" s="551">
        <f t="shared" si="85"/>
        <v>18151.362491899159</v>
      </c>
      <c r="BT114" s="547">
        <f>'Hilfstabellen_Mat&amp;Bem'!$J$58</f>
        <v>3.5</v>
      </c>
      <c r="BU114" s="546">
        <f t="shared" si="86"/>
        <v>166</v>
      </c>
      <c r="BV114" s="551">
        <f t="shared" si="87"/>
        <v>73.038287066157466</v>
      </c>
      <c r="BW114" s="553">
        <f>BV114/PI()*SQRT('Hilfstabellen_Mat&amp;Bem'!f.Rd.3/'Hilfstabellen_Mat&amp;Bem'!$BD$30)</f>
        <v>1.1624404421543806</v>
      </c>
      <c r="BX114" s="553">
        <f>0.5*(1+'Hilfstabellen_Mat&amp;Bem'!$BD$31*(BW114-0.3)+BW114^2)</f>
        <v>1.2187559128857548</v>
      </c>
      <c r="BY114" s="550">
        <f t="shared" si="88"/>
        <v>0.63093468403630015</v>
      </c>
      <c r="CA114" s="551">
        <f t="shared" si="89"/>
        <v>17386.036153304289</v>
      </c>
      <c r="CD114" s="547">
        <f>'Hilfstabellen_Mat&amp;Bem'!$J$59</f>
        <v>3.6</v>
      </c>
      <c r="CE114" s="546">
        <f t="shared" si="90"/>
        <v>166</v>
      </c>
      <c r="CF114" s="551">
        <f t="shared" si="91"/>
        <v>75.125095268047687</v>
      </c>
      <c r="CG114" s="553">
        <f>CF114/PI()*SQRT('Hilfstabellen_Mat&amp;Bem'!f.Rd.3/'Hilfstabellen_Mat&amp;Bem'!$BD$30)</f>
        <v>1.1956530262159346</v>
      </c>
      <c r="CH114" s="553">
        <f>0.5*(1+'Hilfstabellen_Mat&amp;Bem'!$BD$31*(CG114-0.3)+CG114^2)</f>
        <v>1.2595757308604578</v>
      </c>
      <c r="CI114" s="550">
        <f t="shared" si="92"/>
        <v>0.60396014145845089</v>
      </c>
      <c r="CK114" s="551">
        <f t="shared" si="93"/>
        <v>16642.725658029074</v>
      </c>
      <c r="CN114" s="547">
        <f>'Hilfstabellen_Mat&amp;Bem'!$J$60</f>
        <v>3.7</v>
      </c>
      <c r="CO114" s="546">
        <f t="shared" si="94"/>
        <v>166</v>
      </c>
      <c r="CP114" s="551">
        <f t="shared" si="95"/>
        <v>77.211903469937894</v>
      </c>
      <c r="CQ114" s="553">
        <f>CP114/PI()*SQRT('Hilfstabellen_Mat&amp;Bem'!f.Rd.3/'Hilfstabellen_Mat&amp;Bem'!$BD$30)</f>
        <v>1.2288656102774882</v>
      </c>
      <c r="CR114" s="553">
        <f>0.5*(1+'Hilfstabellen_Mat&amp;Bem'!$BD$31*(CQ114-0.3)+CQ114^2)</f>
        <v>1.3014986245752063</v>
      </c>
      <c r="CS114" s="550">
        <f t="shared" si="96"/>
        <v>0.57796665240999845</v>
      </c>
      <c r="CU114" s="551">
        <f t="shared" si="97"/>
        <v>15926.449073809918</v>
      </c>
      <c r="CX114" s="547">
        <f>'Hilfstabellen_Mat&amp;Bem'!$J$61</f>
        <v>3.8</v>
      </c>
      <c r="CY114" s="546">
        <f t="shared" si="98"/>
        <v>166</v>
      </c>
      <c r="CZ114" s="551">
        <f t="shared" si="99"/>
        <v>79.298711671828116</v>
      </c>
      <c r="DA114" s="553">
        <f>CZ114/PI()*SQRT('Hilfstabellen_Mat&amp;Bem'!f.Rd.3/'Hilfstabellen_Mat&amp;Bem'!$BD$30)</f>
        <v>1.2620781943390422</v>
      </c>
      <c r="DB114" s="553">
        <f>0.5*(1+'Hilfstabellen_Mat&amp;Bem'!$BD$31*(DA114-0.3)+DA114^2)</f>
        <v>1.3445245940300006</v>
      </c>
      <c r="DC114" s="550">
        <f t="shared" si="100"/>
        <v>0.55306581215855177</v>
      </c>
      <c r="DE114" s="551">
        <f t="shared" si="101"/>
        <v>15240.281519841054</v>
      </c>
      <c r="DH114" s="547">
        <f>'Hilfstabellen_Mat&amp;Bem'!$J$62</f>
        <v>3.9</v>
      </c>
      <c r="DI114" s="546">
        <f t="shared" si="102"/>
        <v>166</v>
      </c>
      <c r="DJ114" s="551">
        <f t="shared" si="103"/>
        <v>81.385519873718323</v>
      </c>
      <c r="DK114" s="553">
        <f>DJ114/PI()*SQRT('Hilfstabellen_Mat&amp;Bem'!f.Rd.3/'Hilfstabellen_Mat&amp;Bem'!$BD$30)</f>
        <v>1.2952907784005958</v>
      </c>
      <c r="DL114" s="553">
        <f>0.5*(1+'Hilfstabellen_Mat&amp;Bem'!$BD$31*(DK114-0.3)+DK114^2)</f>
        <v>1.3886536392248403</v>
      </c>
      <c r="DM114" s="550">
        <f t="shared" si="104"/>
        <v>0.52931504690820952</v>
      </c>
      <c r="DO114" s="551">
        <f t="shared" si="105"/>
        <v>14585.805432602621</v>
      </c>
      <c r="DR114" s="547">
        <f>'Hilfstabellen_Mat&amp;Bem'!$J$63</f>
        <v>4</v>
      </c>
      <c r="DS114" s="546">
        <f t="shared" si="106"/>
        <v>166</v>
      </c>
      <c r="DT114" s="551">
        <f t="shared" si="107"/>
        <v>83.472328075608544</v>
      </c>
      <c r="DU114" s="553">
        <f>DT114/PI()*SQRT('Hilfstabellen_Mat&amp;Bem'!f.Rd.3/'Hilfstabellen_Mat&amp;Bem'!$BD$30)</f>
        <v>1.3285033624621496</v>
      </c>
      <c r="DV114" s="553">
        <f>0.5*(1+'Hilfstabellen_Mat&amp;Bem'!$BD$31*(DU114-0.3)+DU114^2)</f>
        <v>1.4338857601597264</v>
      </c>
      <c r="DW114" s="550">
        <f t="shared" si="108"/>
        <v>0.50673212354182984</v>
      </c>
      <c r="DY114" s="551">
        <f t="shared" si="109"/>
        <v>13963.510396318663</v>
      </c>
      <c r="EB114" s="547">
        <f>'Hilfstabellen_Mat&amp;Bem'!$J$64</f>
        <v>4.0999999999999996</v>
      </c>
      <c r="EC114" s="546">
        <f t="shared" si="110"/>
        <v>166</v>
      </c>
      <c r="ED114" s="551">
        <f t="shared" si="111"/>
        <v>85.559136277498752</v>
      </c>
      <c r="EE114" s="553">
        <f>ED114/PI()*SQRT('Hilfstabellen_Mat&amp;Bem'!f.Rd.3/'Hilfstabellen_Mat&amp;Bem'!$BD$30)</f>
        <v>1.3617159465237032</v>
      </c>
      <c r="EF114" s="553">
        <f>0.5*(1+'Hilfstabellen_Mat&amp;Bem'!$BD$31*(EE114-0.3)+EE114^2)</f>
        <v>1.4802209568346576</v>
      </c>
      <c r="EG114" s="550">
        <f t="shared" si="112"/>
        <v>0.48530692238482659</v>
      </c>
      <c r="EI114" s="551">
        <f t="shared" si="113"/>
        <v>13373.117553236281</v>
      </c>
      <c r="EL114" s="547">
        <f>'Hilfstabellen_Mat&amp;Bem'!$J$65</f>
        <v>4.2</v>
      </c>
      <c r="EM114" s="546">
        <f t="shared" si="114"/>
        <v>166</v>
      </c>
      <c r="EN114" s="551">
        <f t="shared" si="115"/>
        <v>87.645944479388959</v>
      </c>
      <c r="EO114" s="553">
        <f>EN114/PI()*SQRT('Hilfstabellen_Mat&amp;Bem'!f.Rd.3/'Hilfstabellen_Mat&amp;Bem'!$BD$30)</f>
        <v>1.3949285305852568</v>
      </c>
      <c r="EP114" s="553">
        <f>0.5*(1+'Hilfstabellen_Mat&amp;Bem'!$BD$31*(EO114-0.3)+EO114^2)</f>
        <v>1.5276592292496347</v>
      </c>
      <c r="EQ114" s="550">
        <f t="shared" si="116"/>
        <v>0.46501048289421787</v>
      </c>
      <c r="ES114" s="551">
        <f t="shared" si="117"/>
        <v>12813.828866633068</v>
      </c>
    </row>
    <row r="115" spans="3:149">
      <c r="C115" s="546">
        <v>167</v>
      </c>
      <c r="D115" s="551">
        <f t="shared" si="72"/>
        <v>58.080745643028216</v>
      </c>
      <c r="E115" s="553">
        <f>$D115/PI()*SQRT('Hilfstabellen_Mat&amp;Bem'!f.Rd.3/'Hilfstabellen_Mat&amp;Bem'!$BD$30)</f>
        <v>0.92438377675510042</v>
      </c>
      <c r="F115" s="553">
        <f>0.5*(1+'Hilfstabellen_Mat&amp;Bem'!$BD$31*($E115-0.3)+$E115^2)</f>
        <v>0.9584618722017666</v>
      </c>
      <c r="G115" s="550">
        <f t="shared" si="73"/>
        <v>0.82524074479324638</v>
      </c>
      <c r="I115" s="551">
        <f t="shared" si="118"/>
        <v>23015.13913153885</v>
      </c>
      <c r="M115" s="546">
        <f t="shared" si="74"/>
        <v>167</v>
      </c>
      <c r="N115" s="551">
        <f t="shared" si="64"/>
        <v>60.155057987422083</v>
      </c>
      <c r="O115" s="553">
        <f>$N115/PI()*SQRT('Hilfstabellen_Mat&amp;Bem'!f.Rd.3/'Hilfstabellen_Mat&amp;Bem'!$BD$30)</f>
        <v>0.95739748306778272</v>
      </c>
      <c r="P115" s="553">
        <f>0.5*(1+'Hilfstabellen_Mat&amp;Bem'!$BD$31*($O115-0.3)+$O115^2)</f>
        <v>0.99117484444565185</v>
      </c>
      <c r="Q115" s="550">
        <f t="shared" si="65"/>
        <v>0.8014590937059386</v>
      </c>
      <c r="S115" s="551">
        <f t="shared" si="119"/>
        <v>22351.892664364921</v>
      </c>
      <c r="W115" s="546">
        <f t="shared" si="75"/>
        <v>167</v>
      </c>
      <c r="X115" s="551">
        <f t="shared" si="66"/>
        <v>62.22937033181595</v>
      </c>
      <c r="Y115" s="553">
        <f>$X115/PI()*SQRT('Hilfstabellen_Mat&amp;Bem'!f.Rd.3/'Hilfstabellen_Mat&amp;Bem'!$BD$30)</f>
        <v>0.99041118938046491</v>
      </c>
      <c r="Z115" s="553">
        <f>0.5*(1+'Hilfstabellen_Mat&amp;Bem'!$BD$31*($Y115-0.3)+$Y115^2)</f>
        <v>1.0249777214940368</v>
      </c>
      <c r="AA115" s="550">
        <f t="shared" si="67"/>
        <v>0.77584393565275989</v>
      </c>
      <c r="AC115" s="551">
        <f t="shared" si="120"/>
        <v>21637.511521419819</v>
      </c>
      <c r="AG115" s="546">
        <f t="shared" si="76"/>
        <v>167</v>
      </c>
      <c r="AH115" s="551">
        <f t="shared" si="68"/>
        <v>64.303682676209817</v>
      </c>
      <c r="AI115" s="553">
        <f>$AH115/PI()*SQRT('Hilfstabellen_Mat&amp;Bem'!f.Rd.3/'Hilfstabellen_Mat&amp;Bem'!$BD$30)</f>
        <v>1.0234248956931471</v>
      </c>
      <c r="AJ115" s="553">
        <f>0.5*(1+'Hilfstabellen_Mat&amp;Bem'!$BD$31*($AI115-0.3)+$AI115^2)</f>
        <v>1.059870503346922</v>
      </c>
      <c r="AK115" s="550">
        <f t="shared" si="69"/>
        <v>0.74882865218704797</v>
      </c>
      <c r="AM115" s="551">
        <f t="shared" si="121"/>
        <v>20884.082280844581</v>
      </c>
      <c r="AQ115" s="546">
        <f t="shared" si="77"/>
        <v>167</v>
      </c>
      <c r="AR115" s="551">
        <f t="shared" si="70"/>
        <v>66.377995020603677</v>
      </c>
      <c r="AS115" s="553">
        <f>$AR115/PI()*SQRT('Hilfstabellen_Mat&amp;Bem'!f.Rd.3/'Hilfstabellen_Mat&amp;Bem'!$BD$30)</f>
        <v>1.056438602005829</v>
      </c>
      <c r="AT115" s="553">
        <f>0.5*(1+'Hilfstabellen_Mat&amp;Bem'!$BD$31*($AS115-0.3)+$AS115^2)</f>
        <v>1.0958531900043065</v>
      </c>
      <c r="AU115" s="550">
        <f t="shared" si="71"/>
        <v>0.72092231932594553</v>
      </c>
      <c r="AW115" s="551">
        <f t="shared" si="122"/>
        <v>20105.802563681296</v>
      </c>
      <c r="AZ115" s="547">
        <f>'Hilfstabellen_Mat&amp;Bem'!$J$56</f>
        <v>3.3</v>
      </c>
      <c r="BA115" s="546">
        <f t="shared" si="78"/>
        <v>167</v>
      </c>
      <c r="BB115" s="551">
        <f t="shared" si="79"/>
        <v>68.452307364997537</v>
      </c>
      <c r="BC115" s="553">
        <f>BB115/PI()*SQRT('Hilfstabellen_Mat&amp;Bem'!f.Rd.3/'Hilfstabellen_Mat&amp;Bem'!$BD$30)</f>
        <v>1.0894523083185113</v>
      </c>
      <c r="BD115" s="553">
        <f>0.5*(1+'Hilfstabellen_Mat&amp;Bem'!$BD$31*(BC115-0.3)+BC115^2)</f>
        <v>1.1329257814661917</v>
      </c>
      <c r="BE115" s="550">
        <f t="shared" si="80"/>
        <v>0.69263853226643013</v>
      </c>
      <c r="BG115" s="551">
        <f t="shared" si="81"/>
        <v>19316.996026378471</v>
      </c>
      <c r="BJ115" s="547">
        <f>'Hilfstabellen_Mat&amp;Bem'!$J$57</f>
        <v>3.4</v>
      </c>
      <c r="BK115" s="546">
        <f t="shared" si="82"/>
        <v>167</v>
      </c>
      <c r="BL115" s="551">
        <f t="shared" si="83"/>
        <v>70.526619709391412</v>
      </c>
      <c r="BM115" s="553">
        <f>BL115/PI()*SQRT('Hilfstabellen_Mat&amp;Bem'!f.Rd.3/'Hilfstabellen_Mat&amp;Bem'!$BD$30)</f>
        <v>1.1224660146311936</v>
      </c>
      <c r="BN115" s="553">
        <f>0.5*(1+'Hilfstabellen_Mat&amp;Bem'!$BD$31*(BM115-0.3)+BM115^2)</f>
        <v>1.1710882777325771</v>
      </c>
      <c r="BO115" s="550">
        <f t="shared" si="84"/>
        <v>0.66443810248203672</v>
      </c>
      <c r="BQ115" s="551">
        <f t="shared" si="85"/>
        <v>18530.514240121523</v>
      </c>
      <c r="BT115" s="547">
        <f>'Hilfstabellen_Mat&amp;Bem'!$J$58</f>
        <v>3.5</v>
      </c>
      <c r="BU115" s="546">
        <f t="shared" si="86"/>
        <v>167</v>
      </c>
      <c r="BV115" s="551">
        <f t="shared" si="87"/>
        <v>72.600932053785272</v>
      </c>
      <c r="BW115" s="553">
        <f>BV115/PI()*SQRT('Hilfstabellen_Mat&amp;Bem'!f.Rd.3/'Hilfstabellen_Mat&amp;Bem'!$BD$30)</f>
        <v>1.1554797209438756</v>
      </c>
      <c r="BX115" s="553">
        <f>0.5*(1+'Hilfstabellen_Mat&amp;Bem'!$BD$31*(BW115-0.3)+BW115^2)</f>
        <v>1.2103406788034621</v>
      </c>
      <c r="BY115" s="550">
        <f t="shared" si="88"/>
        <v>0.63669687797785246</v>
      </c>
      <c r="CA115" s="551">
        <f t="shared" si="89"/>
        <v>17756.839229924328</v>
      </c>
      <c r="CD115" s="547">
        <f>'Hilfstabellen_Mat&amp;Bem'!$J$59</f>
        <v>3.6</v>
      </c>
      <c r="CE115" s="546">
        <f t="shared" si="90"/>
        <v>167</v>
      </c>
      <c r="CF115" s="551">
        <f t="shared" si="91"/>
        <v>74.675244398179146</v>
      </c>
      <c r="CG115" s="553">
        <f>CF115/PI()*SQRT('Hilfstabellen_Mat&amp;Bem'!f.Rd.3/'Hilfstabellen_Mat&amp;Bem'!$BD$30)</f>
        <v>1.1884934272565579</v>
      </c>
      <c r="CH115" s="553">
        <f>0.5*(1+'Hilfstabellen_Mat&amp;Bem'!$BD$31*(CG115-0.3)+CG115^2)</f>
        <v>1.2506829846788476</v>
      </c>
      <c r="CI115" s="550">
        <f t="shared" si="92"/>
        <v>0.60969711314676223</v>
      </c>
      <c r="CK115" s="551">
        <f t="shared" si="93"/>
        <v>17003.842788550053</v>
      </c>
      <c r="CN115" s="547">
        <f>'Hilfstabellen_Mat&amp;Bem'!$J$60</f>
        <v>3.7</v>
      </c>
      <c r="CO115" s="546">
        <f t="shared" si="94"/>
        <v>167</v>
      </c>
      <c r="CP115" s="551">
        <f t="shared" si="95"/>
        <v>76.749556742572992</v>
      </c>
      <c r="CQ115" s="553">
        <f>CP115/PI()*SQRT('Hilfstabellen_Mat&amp;Bem'!f.Rd.3/'Hilfstabellen_Mat&amp;Bem'!$BD$30)</f>
        <v>1.2215071335692398</v>
      </c>
      <c r="CR115" s="553">
        <f>0.5*(1+'Hilfstabellen_Mat&amp;Bem'!$BD$31*(CQ115-0.3)+CQ115^2)</f>
        <v>1.2921151953587322</v>
      </c>
      <c r="CS115" s="550">
        <f t="shared" si="96"/>
        <v>0.58363442762091344</v>
      </c>
      <c r="CU115" s="551">
        <f t="shared" si="97"/>
        <v>16276.980551919654</v>
      </c>
      <c r="CX115" s="547">
        <f>'Hilfstabellen_Mat&amp;Bem'!$J$61</f>
        <v>3.8</v>
      </c>
      <c r="CY115" s="546">
        <f t="shared" si="98"/>
        <v>167</v>
      </c>
      <c r="CZ115" s="551">
        <f t="shared" si="99"/>
        <v>78.823869086966866</v>
      </c>
      <c r="DA115" s="553">
        <f>CZ115/PI()*SQRT('Hilfstabellen_Mat&amp;Bem'!f.Rd.3/'Hilfstabellen_Mat&amp;Bem'!$BD$30)</f>
        <v>1.2545208398819221</v>
      </c>
      <c r="DB115" s="553">
        <f>0.5*(1+'Hilfstabellen_Mat&amp;Bem'!$BD$31*(DA115-0.3)+DA115^2)</f>
        <v>1.3346373108431178</v>
      </c>
      <c r="DC115" s="550">
        <f t="shared" si="100"/>
        <v>0.55863213690889013</v>
      </c>
      <c r="DE115" s="551">
        <f t="shared" si="101"/>
        <v>15579.691666252036</v>
      </c>
      <c r="DH115" s="547">
        <f>'Hilfstabellen_Mat&amp;Bem'!$J$62</f>
        <v>3.9</v>
      </c>
      <c r="DI115" s="546">
        <f t="shared" si="102"/>
        <v>167</v>
      </c>
      <c r="DJ115" s="551">
        <f t="shared" si="103"/>
        <v>80.898181431360726</v>
      </c>
      <c r="DK115" s="553">
        <f>DJ115/PI()*SQRT('Hilfstabellen_Mat&amp;Bem'!f.Rd.3/'Hilfstabellen_Mat&amp;Bem'!$BD$30)</f>
        <v>1.2875345461946042</v>
      </c>
      <c r="DL115" s="553">
        <f>0.5*(1+'Hilfstabellen_Mat&amp;Bem'!$BD$31*(DK115-0.3)+DK115^2)</f>
        <v>1.378249331132003</v>
      </c>
      <c r="DM115" s="550">
        <f t="shared" si="104"/>
        <v>0.53475723840829315</v>
      </c>
      <c r="DO115" s="551">
        <f t="shared" si="105"/>
        <v>14913.844621968887</v>
      </c>
      <c r="DR115" s="547">
        <f>'Hilfstabellen_Mat&amp;Bem'!$J$63</f>
        <v>4</v>
      </c>
      <c r="DS115" s="546">
        <f t="shared" si="106"/>
        <v>167</v>
      </c>
      <c r="DT115" s="551">
        <f t="shared" si="107"/>
        <v>82.9724937757546</v>
      </c>
      <c r="DU115" s="553">
        <f>DT115/PI()*SQRT('Hilfstabellen_Mat&amp;Bem'!f.Rd.3/'Hilfstabellen_Mat&amp;Bem'!$BD$30)</f>
        <v>1.3205482525072865</v>
      </c>
      <c r="DV115" s="553">
        <f>0.5*(1+'Hilfstabellen_Mat&amp;Bem'!$BD$31*(DU115-0.3)+DU115^2)</f>
        <v>1.4229512562253883</v>
      </c>
      <c r="DW115" s="550">
        <f t="shared" si="108"/>
        <v>0.51203501583649591</v>
      </c>
      <c r="DY115" s="551">
        <f t="shared" si="109"/>
        <v>14280.144556664034</v>
      </c>
      <c r="EB115" s="547">
        <f>'Hilfstabellen_Mat&amp;Bem'!$J$64</f>
        <v>4.0999999999999996</v>
      </c>
      <c r="EC115" s="546">
        <f t="shared" si="110"/>
        <v>167</v>
      </c>
      <c r="ED115" s="551">
        <f t="shared" si="111"/>
        <v>85.04680612014846</v>
      </c>
      <c r="EE115" s="553">
        <f>ED115/PI()*SQRT('Hilfstabellen_Mat&amp;Bem'!f.Rd.3/'Hilfstabellen_Mat&amp;Bem'!$BD$30)</f>
        <v>1.3535619588199685</v>
      </c>
      <c r="EF115" s="553">
        <f>0.5*(1+'Hilfstabellen_Mat&amp;Bem'!$BD$31*(EE115-0.3)+EE115^2)</f>
        <v>1.4687430861232735</v>
      </c>
      <c r="EG115" s="550">
        <f t="shared" si="112"/>
        <v>0.49046109720671605</v>
      </c>
      <c r="EI115" s="551">
        <f t="shared" si="113"/>
        <v>13678.469539998105</v>
      </c>
      <c r="EL115" s="547">
        <f>'Hilfstabellen_Mat&amp;Bem'!$J$65</f>
        <v>4.2</v>
      </c>
      <c r="EM115" s="546">
        <f t="shared" si="114"/>
        <v>167</v>
      </c>
      <c r="EN115" s="551">
        <f t="shared" si="115"/>
        <v>87.12111846454232</v>
      </c>
      <c r="EO115" s="553">
        <f>EN115/PI()*SQRT('Hilfstabellen_Mat&amp;Bem'!f.Rd.3/'Hilfstabellen_Mat&amp;Bem'!$BD$30)</f>
        <v>1.3865756651326506</v>
      </c>
      <c r="EP115" s="553">
        <f>0.5*(1+'Hilfstabellen_Mat&amp;Bem'!$BD$31*(EO115-0.3)+EO115^2)</f>
        <v>1.5156248208256589</v>
      </c>
      <c r="EQ115" s="550">
        <f t="shared" si="116"/>
        <v>0.47001083162225959</v>
      </c>
      <c r="ES115" s="551">
        <f t="shared" si="117"/>
        <v>13108.132083113198</v>
      </c>
    </row>
    <row r="116" spans="3:149">
      <c r="C116" s="546">
        <v>168</v>
      </c>
      <c r="D116" s="551">
        <f t="shared" si="72"/>
        <v>57.735026918962575</v>
      </c>
      <c r="E116" s="553">
        <f>$D116/PI()*SQRT('Hilfstabellen_Mat&amp;Bem'!f.Rd.3/'Hilfstabellen_Mat&amp;Bem'!$BD$30)</f>
        <v>0.91888149236965355</v>
      </c>
      <c r="F116" s="553">
        <f>0.5*(1+'Hilfstabellen_Mat&amp;Bem'!$BD$31*($E116-0.3)+$E116^2)</f>
        <v>0.95311567312822354</v>
      </c>
      <c r="G116" s="550">
        <f t="shared" si="73"/>
        <v>0.8290029172295762</v>
      </c>
      <c r="I116" s="551">
        <f t="shared" si="118"/>
        <v>23397.77833588756</v>
      </c>
      <c r="M116" s="546">
        <f t="shared" si="74"/>
        <v>168</v>
      </c>
      <c r="N116" s="551">
        <f t="shared" si="64"/>
        <v>59.796992166068385</v>
      </c>
      <c r="O116" s="553">
        <f>$N116/PI()*SQRT('Hilfstabellen_Mat&amp;Bem'!f.Rd.3/'Hilfstabellen_Mat&amp;Bem'!$BD$30)</f>
        <v>0.9516986885257126</v>
      </c>
      <c r="P116" s="553">
        <f>0.5*(1+'Hilfstabellen_Mat&amp;Bem'!$BD$31*($O116-0.3)+$O116^2)</f>
        <v>0.98545013129706627</v>
      </c>
      <c r="Q116" s="550">
        <f t="shared" si="65"/>
        <v>0.80570547279338722</v>
      </c>
      <c r="S116" s="551">
        <f t="shared" si="119"/>
        <v>22740.231264120561</v>
      </c>
      <c r="W116" s="546">
        <f t="shared" si="75"/>
        <v>168</v>
      </c>
      <c r="X116" s="551">
        <f t="shared" si="66"/>
        <v>61.858957413174188</v>
      </c>
      <c r="Y116" s="553">
        <f>$X116/PI()*SQRT('Hilfstabellen_Mat&amp;Bem'!f.Rd.3/'Hilfstabellen_Mat&amp;Bem'!$BD$30)</f>
        <v>0.98451588468177165</v>
      </c>
      <c r="Z116" s="553">
        <f>0.5*(1+'Hilfstabellen_Mat&amp;Bem'!$BD$31*($Y116-0.3)+$Y116^2)</f>
        <v>1.0188615578294544</v>
      </c>
      <c r="AA116" s="550">
        <f t="shared" si="67"/>
        <v>0.78053465024077107</v>
      </c>
      <c r="AC116" s="551">
        <f t="shared" si="120"/>
        <v>22029.809968395522</v>
      </c>
      <c r="AG116" s="546">
        <f t="shared" si="76"/>
        <v>168</v>
      </c>
      <c r="AH116" s="551">
        <f t="shared" si="68"/>
        <v>63.920922660279992</v>
      </c>
      <c r="AI116" s="553">
        <f>$AH116/PI()*SQRT('Hilfstabellen_Mat&amp;Bem'!f.Rd.3/'Hilfstabellen_Mat&amp;Bem'!$BD$30)</f>
        <v>1.0173330808378305</v>
      </c>
      <c r="AJ116" s="553">
        <f>0.5*(1+'Hilfstabellen_Mat&amp;Bem'!$BD$31*($AI116-0.3)+$AI116^2)</f>
        <v>1.0533499527253873</v>
      </c>
      <c r="AK116" s="550">
        <f t="shared" si="69"/>
        <v>0.75389624435256064</v>
      </c>
      <c r="AM116" s="551">
        <f t="shared" si="121"/>
        <v>21277.967600606673</v>
      </c>
      <c r="AQ116" s="546">
        <f t="shared" si="77"/>
        <v>168</v>
      </c>
      <c r="AR116" s="551">
        <f t="shared" si="70"/>
        <v>65.982887907385802</v>
      </c>
      <c r="AS116" s="553">
        <f>$AR116/PI()*SQRT('Hilfstabellen_Mat&amp;Bem'!f.Rd.3/'Hilfstabellen_Mat&amp;Bem'!$BD$30)</f>
        <v>1.0501502769938897</v>
      </c>
      <c r="AT116" s="553">
        <f>0.5*(1+'Hilfstabellen_Mat&amp;Bem'!$BD$31*($AS116-0.3)+$AS116^2)</f>
        <v>1.0889153159848663</v>
      </c>
      <c r="AU116" s="550">
        <f t="shared" si="71"/>
        <v>0.72628217602621081</v>
      </c>
      <c r="AW116" s="551">
        <f t="shared" si="122"/>
        <v>20498.588136163773</v>
      </c>
      <c r="AZ116" s="547">
        <f>'Hilfstabellen_Mat&amp;Bem'!$J$56</f>
        <v>3.3</v>
      </c>
      <c r="BA116" s="546">
        <f t="shared" si="78"/>
        <v>168</v>
      </c>
      <c r="BB116" s="551">
        <f t="shared" si="79"/>
        <v>68.044853154491605</v>
      </c>
      <c r="BC116" s="553">
        <f>BB116/PI()*SQRT('Hilfstabellen_Mat&amp;Bem'!f.Rd.3/'Hilfstabellen_Mat&amp;Bem'!$BD$30)</f>
        <v>1.0829674731499488</v>
      </c>
      <c r="BD116" s="553">
        <f>0.5*(1+'Hilfstabellen_Mat&amp;Bem'!$BD$31*(BC116-0.3)+BC116^2)</f>
        <v>1.1255576476078901</v>
      </c>
      <c r="BE116" s="550">
        <f t="shared" si="80"/>
        <v>0.6982011192600639</v>
      </c>
      <c r="BG116" s="551">
        <f t="shared" si="81"/>
        <v>19706.028389996045</v>
      </c>
      <c r="BJ116" s="547">
        <f>'Hilfstabellen_Mat&amp;Bem'!$J$57</f>
        <v>3.4</v>
      </c>
      <c r="BK116" s="546">
        <f t="shared" si="82"/>
        <v>168</v>
      </c>
      <c r="BL116" s="551">
        <f t="shared" si="83"/>
        <v>70.106818401597408</v>
      </c>
      <c r="BM116" s="553">
        <f>BL116/PI()*SQRT('Hilfstabellen_Mat&amp;Bem'!f.Rd.3/'Hilfstabellen_Mat&amp;Bem'!$BD$30)</f>
        <v>1.1157846693060076</v>
      </c>
      <c r="BN116" s="553">
        <f>0.5*(1+'Hilfstabellen_Mat&amp;Bem'!$BD$31*(BM116-0.3)+BM116^2)</f>
        <v>1.1632769475944587</v>
      </c>
      <c r="BO116" s="550">
        <f t="shared" si="84"/>
        <v>0.67011906302058666</v>
      </c>
      <c r="BQ116" s="551">
        <f t="shared" si="85"/>
        <v>18913.440434693039</v>
      </c>
      <c r="BT116" s="547">
        <f>'Hilfstabellen_Mat&amp;Bem'!$J$58</f>
        <v>3.5</v>
      </c>
      <c r="BU116" s="546">
        <f t="shared" si="86"/>
        <v>168</v>
      </c>
      <c r="BV116" s="551">
        <f t="shared" si="87"/>
        <v>72.168783648703211</v>
      </c>
      <c r="BW116" s="553">
        <f>BV116/PI()*SQRT('Hilfstabellen_Mat&amp;Bem'!f.Rd.3/'Hilfstabellen_Mat&amp;Bem'!$BD$30)</f>
        <v>1.1486018654620667</v>
      </c>
      <c r="BX116" s="553">
        <f>0.5*(1+'Hilfstabellen_Mat&amp;Bem'!$BD$31*(BW116-0.3)+BW116^2)</f>
        <v>1.2020732159445731</v>
      </c>
      <c r="BY116" s="550">
        <f t="shared" si="88"/>
        <v>0.64242316281628098</v>
      </c>
      <c r="CA116" s="551">
        <f t="shared" si="89"/>
        <v>18131.751347326714</v>
      </c>
      <c r="CD116" s="547">
        <f>'Hilfstabellen_Mat&amp;Bem'!$J$59</f>
        <v>3.6</v>
      </c>
      <c r="CE116" s="546">
        <f t="shared" si="90"/>
        <v>168</v>
      </c>
      <c r="CF116" s="551">
        <f t="shared" si="91"/>
        <v>74.230748895809015</v>
      </c>
      <c r="CG116" s="553">
        <f>CF116/PI()*SQRT('Hilfstabellen_Mat&amp;Bem'!f.Rd.3/'Hilfstabellen_Mat&amp;Bem'!$BD$30)</f>
        <v>1.1814190616181257</v>
      </c>
      <c r="CH116" s="553">
        <f>0.5*(1+'Hilfstabellen_Mat&amp;Bem'!$BD$31*(CG116-0.3)+CG116^2)</f>
        <v>1.2419464526582327</v>
      </c>
      <c r="CI116" s="550">
        <f t="shared" si="92"/>
        <v>0.61540934808505643</v>
      </c>
      <c r="CK116" s="551">
        <f t="shared" si="93"/>
        <v>17369.313440352631</v>
      </c>
      <c r="CN116" s="547">
        <f>'Hilfstabellen_Mat&amp;Bem'!$J$60</f>
        <v>3.7</v>
      </c>
      <c r="CO116" s="546">
        <f t="shared" si="94"/>
        <v>168</v>
      </c>
      <c r="CP116" s="551">
        <f t="shared" si="95"/>
        <v>76.292714142914832</v>
      </c>
      <c r="CQ116" s="553">
        <f>CP116/PI()*SQRT('Hilfstabellen_Mat&amp;Bem'!f.Rd.3/'Hilfstabellen_Mat&amp;Bem'!$BD$30)</f>
        <v>1.214236257774185</v>
      </c>
      <c r="CR116" s="553">
        <f>0.5*(1+'Hilfstabellen_Mat&amp;Bem'!$BD$31*(CQ116-0.3)+CQ116^2)</f>
        <v>1.2828966577354377</v>
      </c>
      <c r="CS116" s="550">
        <f t="shared" si="96"/>
        <v>0.58928669427575009</v>
      </c>
      <c r="CU116" s="551">
        <f t="shared" si="97"/>
        <v>16632.027659238771</v>
      </c>
      <c r="CX116" s="547">
        <f>'Hilfstabellen_Mat&amp;Bem'!$J$61</f>
        <v>3.8</v>
      </c>
      <c r="CY116" s="546">
        <f t="shared" si="98"/>
        <v>168</v>
      </c>
      <c r="CZ116" s="551">
        <f t="shared" si="99"/>
        <v>78.354679390020635</v>
      </c>
      <c r="DA116" s="553">
        <f>CZ116/PI()*SQRT('Hilfstabellen_Mat&amp;Bem'!f.Rd.3/'Hilfstabellen_Mat&amp;Bem'!$BD$30)</f>
        <v>1.247053453930244</v>
      </c>
      <c r="DB116" s="553">
        <f>0.5*(1+'Hilfstabellen_Mat&amp;Bem'!$BD$31*(DA116-0.3)+DA116^2)</f>
        <v>1.3249238311761879</v>
      </c>
      <c r="DC116" s="550">
        <f t="shared" si="100"/>
        <v>0.56419039335538235</v>
      </c>
      <c r="DE116" s="551">
        <f t="shared" si="101"/>
        <v>15923.709662062311</v>
      </c>
      <c r="DH116" s="547">
        <f>'Hilfstabellen_Mat&amp;Bem'!$J$62</f>
        <v>3.9</v>
      </c>
      <c r="DI116" s="546">
        <f t="shared" si="102"/>
        <v>168</v>
      </c>
      <c r="DJ116" s="551">
        <f t="shared" si="103"/>
        <v>80.416644637126439</v>
      </c>
      <c r="DK116" s="553">
        <f>DJ116/PI()*SQRT('Hilfstabellen_Mat&amp;Bem'!f.Rd.3/'Hilfstabellen_Mat&amp;Bem'!$BD$30)</f>
        <v>1.2798706500863029</v>
      </c>
      <c r="DL116" s="553">
        <f>0.5*(1+'Hilfstabellen_Mat&amp;Bem'!$BD$31*(DK116-0.3)+DK116^2)</f>
        <v>1.368027972980483</v>
      </c>
      <c r="DM116" s="550">
        <f t="shared" si="104"/>
        <v>0.54019725970553722</v>
      </c>
      <c r="DO116" s="551">
        <f t="shared" si="105"/>
        <v>15246.527457929084</v>
      </c>
      <c r="DR116" s="547">
        <f>'Hilfstabellen_Mat&amp;Bem'!$J$63</f>
        <v>4</v>
      </c>
      <c r="DS116" s="546">
        <f t="shared" si="106"/>
        <v>168</v>
      </c>
      <c r="DT116" s="551">
        <f t="shared" si="107"/>
        <v>82.478609884232256</v>
      </c>
      <c r="DU116" s="553">
        <f>DT116/PI()*SQRT('Hilfstabellen_Mat&amp;Bem'!f.Rd.3/'Hilfstabellen_Mat&amp;Bem'!$BD$30)</f>
        <v>1.3126878462423621</v>
      </c>
      <c r="DV116" s="553">
        <f>0.5*(1+'Hilfstabellen_Mat&amp;Bem'!$BD$31*(DU116-0.3)+DU116^2)</f>
        <v>1.4122090831483236</v>
      </c>
      <c r="DW116" s="550">
        <f t="shared" si="108"/>
        <v>0.51734035575160087</v>
      </c>
      <c r="DY116" s="551">
        <f t="shared" si="109"/>
        <v>14601.414200733183</v>
      </c>
      <c r="EB116" s="547">
        <f>'Hilfstabellen_Mat&amp;Bem'!$J$64</f>
        <v>4.0999999999999996</v>
      </c>
      <c r="EC116" s="546">
        <f t="shared" si="110"/>
        <v>168</v>
      </c>
      <c r="ED116" s="551">
        <f t="shared" si="111"/>
        <v>84.540575131338059</v>
      </c>
      <c r="EE116" s="553">
        <f>ED116/PI()*SQRT('Hilfstabellen_Mat&amp;Bem'!f.Rd.3/'Hilfstabellen_Mat&amp;Bem'!$BD$30)</f>
        <v>1.3455050423984212</v>
      </c>
      <c r="EF116" s="553">
        <f>0.5*(1+'Hilfstabellen_Mat&amp;Bem'!$BD$31*(EE116-0.3)+EE116^2)</f>
        <v>1.4574671616797095</v>
      </c>
      <c r="EG116" s="550">
        <f t="shared" si="112"/>
        <v>0.495621299024324</v>
      </c>
      <c r="EI116" s="551">
        <f t="shared" si="113"/>
        <v>13988.415543662521</v>
      </c>
      <c r="EL116" s="547">
        <f>'Hilfstabellen_Mat&amp;Bem'!$J$65</f>
        <v>4.2</v>
      </c>
      <c r="EM116" s="546">
        <f t="shared" si="114"/>
        <v>168</v>
      </c>
      <c r="EN116" s="551">
        <f t="shared" si="115"/>
        <v>86.602540378443862</v>
      </c>
      <c r="EO116" s="553">
        <f>EN116/PI()*SQRT('Hilfstabellen_Mat&amp;Bem'!f.Rd.3/'Hilfstabellen_Mat&amp;Bem'!$BD$30)</f>
        <v>1.3783222385544802</v>
      </c>
      <c r="EP116" s="553">
        <f>0.5*(1+'Hilfstabellen_Mat&amp;Bem'!$BD$31*(EO116-0.3)+EO116^2)</f>
        <v>1.5038022085746408</v>
      </c>
      <c r="EQ116" s="550">
        <f t="shared" si="116"/>
        <v>0.47501995619125226</v>
      </c>
      <c r="ES116" s="551">
        <f t="shared" si="117"/>
        <v>13406.963243541904</v>
      </c>
    </row>
    <row r="117" spans="3:149">
      <c r="C117" s="546">
        <v>169</v>
      </c>
      <c r="D117" s="551">
        <f t="shared" si="72"/>
        <v>57.393399540743857</v>
      </c>
      <c r="E117" s="553">
        <f>$D117/PI()*SQRT('Hilfstabellen_Mat&amp;Bem'!f.Rd.3/'Hilfstabellen_Mat&amp;Bem'!$BD$30)</f>
        <v>0.91344432377575002</v>
      </c>
      <c r="F117" s="553">
        <f>0.5*(1+'Hilfstabellen_Mat&amp;Bem'!$BD$31*($E117-0.3)+$E117^2)</f>
        <v>0.9478624825078561</v>
      </c>
      <c r="G117" s="550">
        <f t="shared" si="73"/>
        <v>0.83266117339297363</v>
      </c>
      <c r="I117" s="551">
        <f t="shared" si="118"/>
        <v>23781.635773276721</v>
      </c>
      <c r="M117" s="546">
        <f t="shared" si="74"/>
        <v>169</v>
      </c>
      <c r="N117" s="551">
        <f t="shared" si="64"/>
        <v>59.443163810056141</v>
      </c>
      <c r="O117" s="553">
        <f>$N117/PI()*SQRT('Hilfstabellen_Mat&amp;Bem'!f.Rd.3/'Hilfstabellen_Mat&amp;Bem'!$BD$30)</f>
        <v>0.94606733533916987</v>
      </c>
      <c r="P117" s="553">
        <f>0.5*(1+'Hilfstabellen_Mat&amp;Bem'!$BD$31*($O117-0.3)+$O117^2)</f>
        <v>0.97982506826483717</v>
      </c>
      <c r="Q117" s="550">
        <f t="shared" si="65"/>
        <v>0.80984576083447701</v>
      </c>
      <c r="S117" s="551">
        <f t="shared" si="119"/>
        <v>23130.004775193498</v>
      </c>
      <c r="W117" s="546">
        <f t="shared" si="75"/>
        <v>169</v>
      </c>
      <c r="X117" s="551">
        <f t="shared" si="66"/>
        <v>61.492928079368419</v>
      </c>
      <c r="Y117" s="553">
        <f>$X117/PI()*SQRT('Hilfstabellen_Mat&amp;Bem'!f.Rd.3/'Hilfstabellen_Mat&amp;Bem'!$BD$30)</f>
        <v>0.97869034690258949</v>
      </c>
      <c r="Z117" s="553">
        <f>0.5*(1+'Hilfstabellen_Mat&amp;Bem'!$BD$31*($Y117-0.3)+$Y117^2)</f>
        <v>1.012851914905285</v>
      </c>
      <c r="AA117" s="550">
        <f t="shared" si="67"/>
        <v>0.78512311620241282</v>
      </c>
      <c r="AC117" s="551">
        <f t="shared" si="120"/>
        <v>22423.901321857113</v>
      </c>
      <c r="AG117" s="546">
        <f t="shared" si="76"/>
        <v>169</v>
      </c>
      <c r="AH117" s="551">
        <f t="shared" si="68"/>
        <v>63.542692348680703</v>
      </c>
      <c r="AI117" s="553">
        <f>$AH117/PI()*SQRT('Hilfstabellen_Mat&amp;Bem'!f.Rd.3/'Hilfstabellen_Mat&amp;Bem'!$BD$30)</f>
        <v>1.011313358466009</v>
      </c>
      <c r="AJ117" s="553">
        <f>0.5*(1+'Hilfstabellen_Mat&amp;Bem'!$BD$31*($AI117-0.3)+$AI117^2)</f>
        <v>1.0469430224291996</v>
      </c>
      <c r="AK117" s="550">
        <f t="shared" si="69"/>
        <v>0.75887081152716951</v>
      </c>
      <c r="AM117" s="551">
        <f t="shared" si="121"/>
        <v>21674.109248027489</v>
      </c>
      <c r="AQ117" s="546">
        <f t="shared" si="77"/>
        <v>169</v>
      </c>
      <c r="AR117" s="551">
        <f t="shared" si="70"/>
        <v>65.59245661799298</v>
      </c>
      <c r="AS117" s="553">
        <f>$AR117/PI()*SQRT('Hilfstabellen_Mat&amp;Bem'!f.Rd.3/'Hilfstabellen_Mat&amp;Bem'!$BD$30)</f>
        <v>1.0439363700294286</v>
      </c>
      <c r="AT117" s="553">
        <f>0.5*(1+'Hilfstabellen_Mat&amp;Bem'!$BD$31*($AS117-0.3)+$AS117^2)</f>
        <v>1.0820983908365815</v>
      </c>
      <c r="AU117" s="550">
        <f t="shared" si="71"/>
        <v>0.73156190629388629</v>
      </c>
      <c r="AW117" s="551">
        <f t="shared" si="122"/>
        <v>20894.139605659686</v>
      </c>
      <c r="AZ117" s="547">
        <f>'Hilfstabellen_Mat&amp;Bem'!$J$56</f>
        <v>3.3</v>
      </c>
      <c r="BA117" s="546">
        <f t="shared" si="78"/>
        <v>169</v>
      </c>
      <c r="BB117" s="551">
        <f t="shared" si="79"/>
        <v>67.642220887305271</v>
      </c>
      <c r="BC117" s="553">
        <f>BB117/PI()*SQRT('Hilfstabellen_Mat&amp;Bem'!f.Rd.3/'Hilfstabellen_Mat&amp;Bem'!$BD$30)</f>
        <v>1.0765593815928485</v>
      </c>
      <c r="BD117" s="553">
        <f>0.5*(1+'Hilfstabellen_Mat&amp;Bem'!$BD$31*(BC117-0.3)+BC117^2)</f>
        <v>1.1183180201274308</v>
      </c>
      <c r="BE117" s="550">
        <f t="shared" si="80"/>
        <v>0.70369810379240072</v>
      </c>
      <c r="BG117" s="551">
        <f t="shared" si="81"/>
        <v>20098.321542414757</v>
      </c>
      <c r="BJ117" s="547">
        <f>'Hilfstabellen_Mat&amp;Bem'!$J$57</f>
        <v>3.4</v>
      </c>
      <c r="BK117" s="546">
        <f t="shared" si="82"/>
        <v>169</v>
      </c>
      <c r="BL117" s="551">
        <f t="shared" si="83"/>
        <v>69.691985156617548</v>
      </c>
      <c r="BM117" s="553">
        <f>BL117/PI()*SQRT('Hilfstabellen_Mat&amp;Bem'!f.Rd.3/'Hilfstabellen_Mat&amp;Bem'!$BD$30)</f>
        <v>1.1091823931562681</v>
      </c>
      <c r="BN117" s="553">
        <f>0.5*(1+'Hilfstabellen_Mat&amp;Bem'!$BD$31*(BM117-0.3)+BM117^2)</f>
        <v>1.1556019103017465</v>
      </c>
      <c r="BO117" s="550">
        <f t="shared" si="84"/>
        <v>0.67574883170105737</v>
      </c>
      <c r="BQ117" s="551">
        <f t="shared" si="85"/>
        <v>19300.062382213899</v>
      </c>
      <c r="BT117" s="547">
        <f>'Hilfstabellen_Mat&amp;Bem'!$J$58</f>
        <v>3.5</v>
      </c>
      <c r="BU117" s="546">
        <f t="shared" si="86"/>
        <v>169</v>
      </c>
      <c r="BV117" s="551">
        <f t="shared" si="87"/>
        <v>71.741749425929825</v>
      </c>
      <c r="BW117" s="553">
        <f>BV117/PI()*SQRT('Hilfstabellen_Mat&amp;Bem'!f.Rd.3/'Hilfstabellen_Mat&amp;Bem'!$BD$30)</f>
        <v>1.1418054047196877</v>
      </c>
      <c r="BX117" s="553">
        <f>0.5*(1+'Hilfstabellen_Mat&amp;Bem'!$BD$31*(BW117-0.3)+BW117^2)</f>
        <v>1.1939500613595295</v>
      </c>
      <c r="BY117" s="550">
        <f t="shared" si="88"/>
        <v>0.64811142260755239</v>
      </c>
      <c r="CA117" s="551">
        <f t="shared" si="89"/>
        <v>18510.710341094305</v>
      </c>
      <c r="CD117" s="547">
        <f>'Hilfstabellen_Mat&amp;Bem'!$J$59</f>
        <v>3.6</v>
      </c>
      <c r="CE117" s="546">
        <f t="shared" si="90"/>
        <v>169</v>
      </c>
      <c r="CF117" s="551">
        <f t="shared" si="91"/>
        <v>73.791513695242102</v>
      </c>
      <c r="CG117" s="553">
        <f>CF117/PI()*SQRT('Hilfstabellen_Mat&amp;Bem'!f.Rd.3/'Hilfstabellen_Mat&amp;Bem'!$BD$30)</f>
        <v>1.1744284162831071</v>
      </c>
      <c r="CH117" s="553">
        <f>0.5*(1+'Hilfstabellen_Mat&amp;Bem'!$BD$31*(CG117-0.3)+CG117^2)</f>
        <v>1.2333624733007789</v>
      </c>
      <c r="CI117" s="550">
        <f t="shared" si="92"/>
        <v>0.62109493825026074</v>
      </c>
      <c r="CK117" s="551">
        <f t="shared" si="93"/>
        <v>17739.092531365695</v>
      </c>
      <c r="CN117" s="547">
        <f>'Hilfstabellen_Mat&amp;Bem'!$J$60</f>
        <v>3.7</v>
      </c>
      <c r="CO117" s="546">
        <f t="shared" si="94"/>
        <v>169</v>
      </c>
      <c r="CP117" s="551">
        <f t="shared" si="95"/>
        <v>75.841277964554379</v>
      </c>
      <c r="CQ117" s="553">
        <f>CP117/PI()*SQRT('Hilfstabellen_Mat&amp;Bem'!f.Rd.3/'Hilfstabellen_Mat&amp;Bem'!$BD$30)</f>
        <v>1.207051427846527</v>
      </c>
      <c r="CR117" s="553">
        <f>0.5*(1+'Hilfstabellen_Mat&amp;Bem'!$BD$31*(CQ117-0.3)+CQ117^2)</f>
        <v>1.2738391461254963</v>
      </c>
      <c r="CS117" s="550">
        <f t="shared" si="96"/>
        <v>0.59492178734238388</v>
      </c>
      <c r="CU117" s="551">
        <f t="shared" si="97"/>
        <v>16991.561168285825</v>
      </c>
      <c r="CX117" s="547">
        <f>'Hilfstabellen_Mat&amp;Bem'!$J$61</f>
        <v>3.8</v>
      </c>
      <c r="CY117" s="546">
        <f t="shared" si="98"/>
        <v>169</v>
      </c>
      <c r="CZ117" s="551">
        <f t="shared" si="99"/>
        <v>77.891042233866671</v>
      </c>
      <c r="DA117" s="553">
        <f>CZ117/PI()*SQRT('Hilfstabellen_Mat&amp;Bem'!f.Rd.3/'Hilfstabellen_Mat&amp;Bem'!$BD$30)</f>
        <v>1.2396744394099466</v>
      </c>
      <c r="DB117" s="553">
        <f>0.5*(1+'Hilfstabellen_Mat&amp;Bem'!$BD$31*(DA117-0.3)+DA117^2)</f>
        <v>1.3153800798336801</v>
      </c>
      <c r="DC117" s="550">
        <f t="shared" si="100"/>
        <v>0.56973915701580247</v>
      </c>
      <c r="DE117" s="551">
        <f t="shared" si="101"/>
        <v>16272.320063528334</v>
      </c>
      <c r="DH117" s="547">
        <f>'Hilfstabellen_Mat&amp;Bem'!$J$62</f>
        <v>3.9</v>
      </c>
      <c r="DI117" s="546">
        <f t="shared" si="102"/>
        <v>169</v>
      </c>
      <c r="DJ117" s="551">
        <f t="shared" si="103"/>
        <v>79.940806503178948</v>
      </c>
      <c r="DK117" s="553">
        <f>DJ117/PI()*SQRT('Hilfstabellen_Mat&amp;Bem'!f.Rd.3/'Hilfstabellen_Mat&amp;Bem'!$BD$30)</f>
        <v>1.2722974509733662</v>
      </c>
      <c r="DL117" s="553">
        <f>0.5*(1+'Hilfstabellen_Mat&amp;Bem'!$BD$31*(DK117-0.3)+DK117^2)</f>
        <v>1.3579852744253311</v>
      </c>
      <c r="DM117" s="550">
        <f t="shared" si="104"/>
        <v>0.54563390570277925</v>
      </c>
      <c r="DO117" s="551">
        <f t="shared" si="105"/>
        <v>15583.849980777079</v>
      </c>
      <c r="DR117" s="547">
        <f>'Hilfstabellen_Mat&amp;Bem'!$J$63</f>
        <v>4</v>
      </c>
      <c r="DS117" s="546">
        <f t="shared" si="106"/>
        <v>169</v>
      </c>
      <c r="DT117" s="551">
        <f t="shared" si="107"/>
        <v>81.990570772491225</v>
      </c>
      <c r="DU117" s="553">
        <f>DT117/PI()*SQRT('Hilfstabellen_Mat&amp;Bem'!f.Rd.3/'Hilfstabellen_Mat&amp;Bem'!$BD$30)</f>
        <v>1.3049204625367858</v>
      </c>
      <c r="DV117" s="553">
        <f>0.5*(1+'Hilfstabellen_Mat&amp;Bem'!$BD$31*(DU117-0.3)+DU117^2)</f>
        <v>1.4016547299004489</v>
      </c>
      <c r="DW117" s="550">
        <f t="shared" si="108"/>
        <v>0.52264712934183299</v>
      </c>
      <c r="DY117" s="551">
        <f t="shared" si="109"/>
        <v>14927.324661132092</v>
      </c>
      <c r="EB117" s="547">
        <f>'Hilfstabellen_Mat&amp;Bem'!$J$64</f>
        <v>4.0999999999999996</v>
      </c>
      <c r="EC117" s="546">
        <f t="shared" si="110"/>
        <v>169</v>
      </c>
      <c r="ED117" s="551">
        <f t="shared" si="111"/>
        <v>84.040335041803516</v>
      </c>
      <c r="EE117" s="553">
        <f>ED117/PI()*SQRT('Hilfstabellen_Mat&amp;Bem'!f.Rd.3/'Hilfstabellen_Mat&amp;Bem'!$BD$30)</f>
        <v>1.3375434741002057</v>
      </c>
      <c r="EF117" s="553">
        <f>0.5*(1+'Hilfstabellen_Mat&amp;Bem'!$BD$31*(EE117-0.3)+EE117^2)</f>
        <v>1.4463884462590342</v>
      </c>
      <c r="EG117" s="550">
        <f t="shared" si="112"/>
        <v>0.50078667610528149</v>
      </c>
      <c r="EI117" s="551">
        <f t="shared" si="113"/>
        <v>14302.968256242944</v>
      </c>
      <c r="EL117" s="547">
        <f>'Hilfstabellen_Mat&amp;Bem'!$J$65</f>
        <v>4.2</v>
      </c>
      <c r="EM117" s="546">
        <f t="shared" si="114"/>
        <v>169</v>
      </c>
      <c r="EN117" s="551">
        <f t="shared" si="115"/>
        <v>86.090099311115793</v>
      </c>
      <c r="EO117" s="553">
        <f>EN117/PI()*SQRT('Hilfstabellen_Mat&amp;Bem'!f.Rd.3/'Hilfstabellen_Mat&amp;Bem'!$BD$30)</f>
        <v>1.3701664856636253</v>
      </c>
      <c r="EP117" s="553">
        <f>0.5*(1+'Hilfstabellen_Mat&amp;Bem'!$BD$31*(EO117-0.3)+EO117^2)</f>
        <v>1.492186423501086</v>
      </c>
      <c r="EQ117" s="550">
        <f t="shared" si="116"/>
        <v>0.48003714046486623</v>
      </c>
      <c r="ES117" s="551">
        <f t="shared" si="117"/>
        <v>13710.340768817045</v>
      </c>
    </row>
    <row r="118" spans="3:149">
      <c r="C118" s="546">
        <v>170</v>
      </c>
      <c r="D118" s="551">
        <f t="shared" si="72"/>
        <v>57.055791308151242</v>
      </c>
      <c r="E118" s="553">
        <f>$D118/PI()*SQRT('Hilfstabellen_Mat&amp;Bem'!f.Rd.3/'Hilfstabellen_Mat&amp;Bem'!$BD$30)</f>
        <v>0.90807112187118677</v>
      </c>
      <c r="F118" s="553">
        <f>0.5*(1+'Hilfstabellen_Mat&amp;Bem'!$BD$31*($E118-0.3)+$E118^2)</f>
        <v>0.94270013728175717</v>
      </c>
      <c r="G118" s="550">
        <f t="shared" si="73"/>
        <v>0.83621763682059935</v>
      </c>
      <c r="I118" s="551">
        <f t="shared" si="118"/>
        <v>24166.689704115321</v>
      </c>
      <c r="M118" s="546">
        <f t="shared" si="74"/>
        <v>170</v>
      </c>
      <c r="N118" s="551">
        <f t="shared" si="64"/>
        <v>59.093498140585218</v>
      </c>
      <c r="O118" s="553">
        <f>$N118/PI()*SQRT('Hilfstabellen_Mat&amp;Bem'!f.Rd.3/'Hilfstabellen_Mat&amp;Bem'!$BD$30)</f>
        <v>0.94050223336658645</v>
      </c>
      <c r="P118" s="553">
        <f>0.5*(1+'Hilfstabellen_Mat&amp;Bem'!$BD$31*($O118-0.3)+$O118^2)</f>
        <v>0.97429733715209788</v>
      </c>
      <c r="Q118" s="550">
        <f t="shared" si="65"/>
        <v>0.81388115896554136</v>
      </c>
      <c r="S118" s="551">
        <f t="shared" si="119"/>
        <v>23521.165494104145</v>
      </c>
      <c r="W118" s="546">
        <f t="shared" si="75"/>
        <v>170</v>
      </c>
      <c r="X118" s="551">
        <f t="shared" si="66"/>
        <v>61.131204973019202</v>
      </c>
      <c r="Y118" s="553">
        <f>$X118/PI()*SQRT('Hilfstabellen_Mat&amp;Bem'!f.Rd.3/'Hilfstabellen_Mat&amp;Bem'!$BD$30)</f>
        <v>0.97293334486198602</v>
      </c>
      <c r="Z118" s="553">
        <f>0.5*(1+'Hilfstabellen_Mat&amp;Bem'!$BD$31*($Y118-0.3)+$Y118^2)</f>
        <v>1.0069463140152655</v>
      </c>
      <c r="AA118" s="550">
        <f t="shared" si="67"/>
        <v>0.78960944234581298</v>
      </c>
      <c r="AC118" s="551">
        <f t="shared" si="120"/>
        <v>22819.712883793996</v>
      </c>
      <c r="AG118" s="546">
        <f t="shared" si="76"/>
        <v>170</v>
      </c>
      <c r="AH118" s="551">
        <f t="shared" si="68"/>
        <v>63.168911805453163</v>
      </c>
      <c r="AI118" s="553">
        <f>$AH118/PI()*SQRT('Hilfstabellen_Mat&amp;Bem'!f.Rd.3/'Hilfstabellen_Mat&amp;Bem'!$BD$30)</f>
        <v>1.0053644563573856</v>
      </c>
      <c r="AJ118" s="553">
        <f>0.5*(1+'Hilfstabellen_Mat&amp;Bem'!$BD$31*($AI118-0.3)+$AI118^2)</f>
        <v>1.04064706787126</v>
      </c>
      <c r="AK118" s="550">
        <f t="shared" si="69"/>
        <v>0.76375144827586372</v>
      </c>
      <c r="AM118" s="551">
        <f t="shared" si="121"/>
        <v>22072.416855172462</v>
      </c>
      <c r="AQ118" s="546">
        <f t="shared" si="77"/>
        <v>170</v>
      </c>
      <c r="AR118" s="551">
        <f t="shared" si="70"/>
        <v>65.206618637887146</v>
      </c>
      <c r="AS118" s="553">
        <f>$AR118/PI()*SQRT('Hilfstabellen_Mat&amp;Bem'!f.Rd.3/'Hilfstabellen_Mat&amp;Bem'!$BD$30)</f>
        <v>1.037795567852785</v>
      </c>
      <c r="AT118" s="553">
        <f>0.5*(1+'Hilfstabellen_Mat&amp;Bem'!$BD$31*($AS118-0.3)+$AS118^2)</f>
        <v>1.0753995987200815</v>
      </c>
      <c r="AU118" s="550">
        <f t="shared" si="71"/>
        <v>0.73675985820433554</v>
      </c>
      <c r="AW118" s="551">
        <f t="shared" si="122"/>
        <v>21292.359902105298</v>
      </c>
      <c r="AZ118" s="547">
        <f>'Hilfstabellen_Mat&amp;Bem'!$J$56</f>
        <v>3.3</v>
      </c>
      <c r="BA118" s="546">
        <f t="shared" si="78"/>
        <v>170</v>
      </c>
      <c r="BB118" s="551">
        <f t="shared" si="79"/>
        <v>67.244325470321115</v>
      </c>
      <c r="BC118" s="553">
        <f>BB118/PI()*SQRT('Hilfstabellen_Mat&amp;Bem'!f.Rd.3/'Hilfstabellen_Mat&amp;Bem'!$BD$30)</f>
        <v>1.0702266793481845</v>
      </c>
      <c r="BD118" s="553">
        <f>0.5*(1+'Hilfstabellen_Mat&amp;Bem'!$BD$31*(BC118-0.3)+BC118^2)</f>
        <v>1.1112039065617301</v>
      </c>
      <c r="BE118" s="550">
        <f t="shared" si="80"/>
        <v>0.70912742005290053</v>
      </c>
      <c r="BG118" s="551">
        <f t="shared" si="81"/>
        <v>20493.782439528826</v>
      </c>
      <c r="BJ118" s="547">
        <f>'Hilfstabellen_Mat&amp;Bem'!$J$57</f>
        <v>3.4</v>
      </c>
      <c r="BK118" s="546">
        <f t="shared" si="82"/>
        <v>170</v>
      </c>
      <c r="BL118" s="551">
        <f t="shared" si="83"/>
        <v>69.282032302755084</v>
      </c>
      <c r="BM118" s="553">
        <f>BL118/PI()*SQRT('Hilfstabellen_Mat&amp;Bem'!f.Rd.3/'Hilfstabellen_Mat&amp;Bem'!$BD$30)</f>
        <v>1.102657790843584</v>
      </c>
      <c r="BN118" s="553">
        <f>0.5*(1+'Hilfstabellen_Mat&amp;Bem'!$BD$31*(BM118-0.3)+BM118^2)</f>
        <v>1.1480599913962055</v>
      </c>
      <c r="BO118" s="550">
        <f t="shared" si="84"/>
        <v>0.68132521956793579</v>
      </c>
      <c r="BQ118" s="551">
        <f t="shared" si="85"/>
        <v>19690.298845513345</v>
      </c>
      <c r="BT118" s="547">
        <f>'Hilfstabellen_Mat&amp;Bem'!$J$58</f>
        <v>3.5</v>
      </c>
      <c r="BU118" s="546">
        <f t="shared" si="86"/>
        <v>170</v>
      </c>
      <c r="BV118" s="551">
        <f t="shared" si="87"/>
        <v>71.319739135189067</v>
      </c>
      <c r="BW118" s="553">
        <f>BV118/PI()*SQRT('Hilfstabellen_Mat&amp;Bem'!f.Rd.3/'Hilfstabellen_Mat&amp;Bem'!$BD$30)</f>
        <v>1.1350889023389836</v>
      </c>
      <c r="BX118" s="553">
        <f>0.5*(1+'Hilfstabellen_Mat&amp;Bem'!$BD$31*(BW118-0.3)+BW118^2)</f>
        <v>1.1859678532235085</v>
      </c>
      <c r="BY118" s="550">
        <f t="shared" si="88"/>
        <v>0.65375954596307928</v>
      </c>
      <c r="CA118" s="551">
        <f t="shared" si="89"/>
        <v>18893.650878332992</v>
      </c>
      <c r="CD118" s="547">
        <f>'Hilfstabellen_Mat&amp;Bem'!$J$59</f>
        <v>3.6</v>
      </c>
      <c r="CE118" s="546">
        <f t="shared" si="90"/>
        <v>170</v>
      </c>
      <c r="CF118" s="551">
        <f t="shared" si="91"/>
        <v>73.357445967623036</v>
      </c>
      <c r="CG118" s="553">
        <f>CF118/PI()*SQRT('Hilfstabellen_Mat&amp;Bem'!f.Rd.3/'Hilfstabellen_Mat&amp;Bem'!$BD$30)</f>
        <v>1.1675200138343833</v>
      </c>
      <c r="CH118" s="553">
        <f>0.5*(1+'Hilfstabellen_Mat&amp;Bem'!$BD$31*(CG118-0.3)+CG118^2)</f>
        <v>1.2249274920436384</v>
      </c>
      <c r="CI118" s="550">
        <f t="shared" si="92"/>
        <v>0.62675196116324483</v>
      </c>
      <c r="CK118" s="551">
        <f t="shared" si="93"/>
        <v>18113.131677617777</v>
      </c>
      <c r="CN118" s="547">
        <f>'Hilfstabellen_Mat&amp;Bem'!$J$60</f>
        <v>3.7</v>
      </c>
      <c r="CO118" s="546">
        <f t="shared" si="94"/>
        <v>170</v>
      </c>
      <c r="CP118" s="551">
        <f t="shared" si="95"/>
        <v>75.395152800057005</v>
      </c>
      <c r="CQ118" s="553">
        <f>CP118/PI()*SQRT('Hilfstabellen_Mat&amp;Bem'!f.Rd.3/'Hilfstabellen_Mat&amp;Bem'!$BD$30)</f>
        <v>1.1999511253297828</v>
      </c>
      <c r="CR118" s="553">
        <f>0.5*(1+'Hilfstabellen_Mat&amp;Bem'!$BD$31*(CQ118-0.3)+CQ118^2)</f>
        <v>1.2649389078565951</v>
      </c>
      <c r="CS118" s="550">
        <f t="shared" si="96"/>
        <v>0.60053801810274543</v>
      </c>
      <c r="CU118" s="551">
        <f t="shared" si="97"/>
        <v>17355.548723169344</v>
      </c>
      <c r="CX118" s="547">
        <f>'Hilfstabellen_Mat&amp;Bem'!$J$61</f>
        <v>3.8</v>
      </c>
      <c r="CY118" s="546">
        <f t="shared" si="98"/>
        <v>170</v>
      </c>
      <c r="CZ118" s="551">
        <f t="shared" si="99"/>
        <v>77.432859632490974</v>
      </c>
      <c r="DA118" s="553">
        <f>CZ118/PI()*SQRT('Hilfstabellen_Mat&amp;Bem'!f.Rd.3/'Hilfstabellen_Mat&amp;Bem'!$BD$30)</f>
        <v>1.2323822368251822</v>
      </c>
      <c r="DB118" s="553">
        <f>0.5*(1+'Hilfstabellen_Mat&amp;Bem'!$BD$31*(DA118-0.3)+DA118^2)</f>
        <v>1.3060021006623788</v>
      </c>
      <c r="DC118" s="550">
        <f t="shared" si="100"/>
        <v>0.57527697671479938</v>
      </c>
      <c r="DE118" s="551">
        <f t="shared" si="101"/>
        <v>16625.5046270577</v>
      </c>
      <c r="DH118" s="547">
        <f>'Hilfstabellen_Mat&amp;Bem'!$J$62</f>
        <v>3.9</v>
      </c>
      <c r="DI118" s="546">
        <f t="shared" si="102"/>
        <v>170</v>
      </c>
      <c r="DJ118" s="551">
        <f t="shared" si="103"/>
        <v>79.470566464924957</v>
      </c>
      <c r="DK118" s="553">
        <f>DJ118/PI()*SQRT('Hilfstabellen_Mat&amp;Bem'!f.Rd.3/'Hilfstabellen_Mat&amp;Bem'!$BD$30)</f>
        <v>1.2648133483205819</v>
      </c>
      <c r="DL118" s="553">
        <f>0.5*(1+'Hilfstabellen_Mat&amp;Bem'!$BD$31*(DK118-0.3)+DK118^2)</f>
        <v>1.3481170704609897</v>
      </c>
      <c r="DM118" s="550">
        <f t="shared" si="104"/>
        <v>0.55106594509673312</v>
      </c>
      <c r="DO118" s="551">
        <f t="shared" si="105"/>
        <v>15925.805813295587</v>
      </c>
      <c r="DR118" s="547">
        <f>'Hilfstabellen_Mat&amp;Bem'!$J$63</f>
        <v>4</v>
      </c>
      <c r="DS118" s="546">
        <f t="shared" si="106"/>
        <v>170</v>
      </c>
      <c r="DT118" s="551">
        <f t="shared" si="107"/>
        <v>81.508273297358926</v>
      </c>
      <c r="DU118" s="553">
        <f>DT118/PI()*SQRT('Hilfstabellen_Mat&amp;Bem'!f.Rd.3/'Hilfstabellen_Mat&amp;Bem'!$BD$30)</f>
        <v>1.2972444598159814</v>
      </c>
      <c r="DV118" s="553">
        <f>0.5*(1+'Hilfstabellen_Mat&amp;Bem'!$BD$31*(DU118-0.3)+DU118^2)</f>
        <v>1.3912838172524276</v>
      </c>
      <c r="DW118" s="550">
        <f t="shared" si="108"/>
        <v>0.52795429864782362</v>
      </c>
      <c r="DY118" s="551">
        <f t="shared" si="109"/>
        <v>15257.879230922103</v>
      </c>
      <c r="EB118" s="547">
        <f>'Hilfstabellen_Mat&amp;Bem'!$J$64</f>
        <v>4.0999999999999996</v>
      </c>
      <c r="EC118" s="546">
        <f t="shared" si="110"/>
        <v>170</v>
      </c>
      <c r="ED118" s="551">
        <f t="shared" si="111"/>
        <v>83.545980129792895</v>
      </c>
      <c r="EE118" s="553">
        <f>ED118/PI()*SQRT('Hilfstabellen_Mat&amp;Bem'!f.Rd.3/'Hilfstabellen_Mat&amp;Bem'!$BD$30)</f>
        <v>1.3296755713113808</v>
      </c>
      <c r="EF118" s="553">
        <f>0.5*(1+'Hilfstabellen_Mat&amp;Bem'!$BD$31*(EE118-0.3)+EE118^2)</f>
        <v>1.4355023410366925</v>
      </c>
      <c r="EG118" s="550">
        <f t="shared" si="112"/>
        <v>0.50595635554326068</v>
      </c>
      <c r="EI118" s="551">
        <f t="shared" si="113"/>
        <v>14622.138675200235</v>
      </c>
      <c r="EL118" s="547">
        <f>'Hilfstabellen_Mat&amp;Bem'!$J$65</f>
        <v>4.2</v>
      </c>
      <c r="EM118" s="546">
        <f t="shared" si="114"/>
        <v>170</v>
      </c>
      <c r="EN118" s="551">
        <f t="shared" si="115"/>
        <v>85.583686962226878</v>
      </c>
      <c r="EO118" s="553">
        <f>EN118/PI()*SQRT('Hilfstabellen_Mat&amp;Bem'!f.Rd.3/'Hilfstabellen_Mat&amp;Bem'!$BD$30)</f>
        <v>1.3621066828067805</v>
      </c>
      <c r="EP118" s="553">
        <f>0.5*(1+'Hilfstabellen_Mat&amp;Bem'!$BD$31*(EO118-0.3)+EO118^2)</f>
        <v>1.4807726418137848</v>
      </c>
      <c r="EQ118" s="550">
        <f t="shared" si="116"/>
        <v>0.48506165005005225</v>
      </c>
      <c r="ES118" s="551">
        <f t="shared" si="117"/>
        <v>14018.281686446509</v>
      </c>
    </row>
    <row r="119" spans="3:149">
      <c r="C119" s="546">
        <v>171</v>
      </c>
      <c r="D119" s="551">
        <f t="shared" si="72"/>
        <v>56.722131709857969</v>
      </c>
      <c r="E119" s="553">
        <f>$D119/PI()*SQRT('Hilfstabellen_Mat&amp;Bem'!f.Rd.3/'Hilfstabellen_Mat&amp;Bem'!$BD$30)</f>
        <v>0.90276076443334385</v>
      </c>
      <c r="F119" s="553">
        <f>0.5*(1+'Hilfstabellen_Mat&amp;Bem'!$BD$31*($E119-0.3)+$E119^2)</f>
        <v>0.93762653712180488</v>
      </c>
      <c r="G119" s="550">
        <f t="shared" si="73"/>
        <v>0.83967451279937444</v>
      </c>
      <c r="I119" s="551">
        <f t="shared" si="118"/>
        <v>24552.922428766509</v>
      </c>
      <c r="M119" s="546">
        <f t="shared" si="74"/>
        <v>171</v>
      </c>
      <c r="N119" s="551">
        <f t="shared" si="64"/>
        <v>58.747922128067174</v>
      </c>
      <c r="O119" s="553">
        <f>$N119/PI()*SQRT('Hilfstabellen_Mat&amp;Bem'!f.Rd.3/'Hilfstabellen_Mat&amp;Bem'!$BD$30)</f>
        <v>0.93500222030596314</v>
      </c>
      <c r="P119" s="553">
        <f>0.5*(1+'Hilfstabellen_Mat&amp;Bem'!$BD$31*($O119-0.3)+$O119^2)</f>
        <v>0.96886468700383854</v>
      </c>
      <c r="Q119" s="550">
        <f t="shared" si="65"/>
        <v>0.81781302055890159</v>
      </c>
      <c r="S119" s="551">
        <f t="shared" si="119"/>
        <v>23913.67053416284</v>
      </c>
      <c r="W119" s="546">
        <f t="shared" si="75"/>
        <v>171</v>
      </c>
      <c r="X119" s="551">
        <f t="shared" si="66"/>
        <v>60.7737125462764</v>
      </c>
      <c r="Y119" s="553">
        <f>$X119/PI()*SQRT('Hilfstabellen_Mat&amp;Bem'!f.Rd.3/'Hilfstabellen_Mat&amp;Bem'!$BD$30)</f>
        <v>0.96724367617858276</v>
      </c>
      <c r="Z119" s="553">
        <f>0.5*(1+'Hilfstabellen_Mat&amp;Bem'!$BD$31*($Y119-0.3)+$Y119^2)</f>
        <v>1.0011423483626585</v>
      </c>
      <c r="AA119" s="550">
        <f t="shared" si="67"/>
        <v>0.79399392676393965</v>
      </c>
      <c r="AC119" s="551">
        <f t="shared" si="120"/>
        <v>23217.176412504359</v>
      </c>
      <c r="AG119" s="546">
        <f t="shared" si="76"/>
        <v>171</v>
      </c>
      <c r="AH119" s="551">
        <f t="shared" si="68"/>
        <v>62.799502964485605</v>
      </c>
      <c r="AI119" s="553">
        <f>$AH119/PI()*SQRT('Hilfstabellen_Mat&amp;Bem'!f.Rd.3/'Hilfstabellen_Mat&amp;Bem'!$BD$30)</f>
        <v>0.99948513205120193</v>
      </c>
      <c r="AJ119" s="553">
        <f>0.5*(1+'Hilfstabellen_Mat&amp;Bem'!$BD$31*($AI119-0.3)+$AI119^2)</f>
        <v>1.0344595211982646</v>
      </c>
      <c r="AK119" s="550">
        <f t="shared" si="69"/>
        <v>0.76853743165262633</v>
      </c>
      <c r="AM119" s="551">
        <f t="shared" si="121"/>
        <v>22472.803038954447</v>
      </c>
      <c r="AQ119" s="546">
        <f t="shared" si="77"/>
        <v>171</v>
      </c>
      <c r="AR119" s="551">
        <f t="shared" si="70"/>
        <v>64.825293382694809</v>
      </c>
      <c r="AS119" s="553">
        <f>$AR119/PI()*SQRT('Hilfstabellen_Mat&amp;Bem'!f.Rd.3/'Hilfstabellen_Mat&amp;Bem'!$BD$30)</f>
        <v>1.0317265879238213</v>
      </c>
      <c r="AT119" s="553">
        <f>0.5*(1+'Hilfstabellen_Mat&amp;Bem'!$BD$31*($AS119-0.3)+$AS119^2)</f>
        <v>1.0688162055106565</v>
      </c>
      <c r="AU119" s="550">
        <f t="shared" si="71"/>
        <v>0.7418745225140464</v>
      </c>
      <c r="AW119" s="551">
        <f t="shared" si="122"/>
        <v>21693.152912833229</v>
      </c>
      <c r="AZ119" s="547">
        <f>'Hilfstabellen_Mat&amp;Bem'!$J$56</f>
        <v>3.3</v>
      </c>
      <c r="BA119" s="546">
        <f t="shared" si="78"/>
        <v>171</v>
      </c>
      <c r="BB119" s="551">
        <f t="shared" si="79"/>
        <v>66.851083800904036</v>
      </c>
      <c r="BC119" s="553">
        <f>BB119/PI()*SQRT('Hilfstabellen_Mat&amp;Bem'!f.Rd.3/'Hilfstabellen_Mat&amp;Bem'!$BD$30)</f>
        <v>1.0639680437964409</v>
      </c>
      <c r="BD119" s="553">
        <f>0.5*(1+'Hilfstabellen_Mat&amp;Bem'!$BD$31*(BC119-0.3)+BC119^2)</f>
        <v>1.1042124012998347</v>
      </c>
      <c r="BE119" s="550">
        <f t="shared" si="80"/>
        <v>0.71448709301244995</v>
      </c>
      <c r="BG119" s="551">
        <f t="shared" si="81"/>
        <v>20892.31708677705</v>
      </c>
      <c r="BJ119" s="547">
        <f>'Hilfstabellen_Mat&amp;Bem'!$J$57</f>
        <v>3.4</v>
      </c>
      <c r="BK119" s="546">
        <f t="shared" si="82"/>
        <v>171</v>
      </c>
      <c r="BL119" s="551">
        <f t="shared" si="83"/>
        <v>68.876874219113247</v>
      </c>
      <c r="BM119" s="553">
        <f>BL119/PI()*SQRT('Hilfstabellen_Mat&amp;Bem'!f.Rd.3/'Hilfstabellen_Mat&amp;Bem'!$BD$30)</f>
        <v>1.0962094996690603</v>
      </c>
      <c r="BN119" s="553">
        <f>0.5*(1+'Hilfstabellen_Mat&amp;Bem'!$BD$31*(BM119-0.3)+BM119^2)</f>
        <v>1.1406481085657987</v>
      </c>
      <c r="BO119" s="550">
        <f t="shared" si="84"/>
        <v>0.68684608157070304</v>
      </c>
      <c r="BQ119" s="551">
        <f t="shared" si="85"/>
        <v>20084.066271208929</v>
      </c>
      <c r="BT119" s="547">
        <f>'Hilfstabellen_Mat&amp;Bem'!$J$58</f>
        <v>3.5</v>
      </c>
      <c r="BU119" s="546">
        <f t="shared" si="86"/>
        <v>171</v>
      </c>
      <c r="BV119" s="551">
        <f t="shared" si="87"/>
        <v>70.902664637322459</v>
      </c>
      <c r="BW119" s="553">
        <f>BV119/PI()*SQRT('Hilfstabellen_Mat&amp;Bem'!f.Rd.3/'Hilfstabellen_Mat&amp;Bem'!$BD$30)</f>
        <v>1.1284509555416797</v>
      </c>
      <c r="BX119" s="553">
        <f>0.5*(1+'Hilfstabellen_Mat&amp;Bem'!$BD$31*(BW119-0.3)+BW119^2)</f>
        <v>1.178123327308549</v>
      </c>
      <c r="BY119" s="550">
        <f t="shared" si="88"/>
        <v>0.65936543131207792</v>
      </c>
      <c r="CA119" s="551">
        <f t="shared" si="89"/>
        <v>19280.504576996471</v>
      </c>
      <c r="CD119" s="547">
        <f>'Hilfstabellen_Mat&amp;Bem'!$J$59</f>
        <v>3.6</v>
      </c>
      <c r="CE119" s="546">
        <f t="shared" si="90"/>
        <v>171</v>
      </c>
      <c r="CF119" s="551">
        <f t="shared" si="91"/>
        <v>72.928455055531671</v>
      </c>
      <c r="CG119" s="553">
        <f>CF119/PI()*SQRT('Hilfstabellen_Mat&amp;Bem'!f.Rd.3/'Hilfstabellen_Mat&amp;Bem'!$BD$30)</f>
        <v>1.1606924114142989</v>
      </c>
      <c r="CH119" s="553">
        <f>0.5*(1+'Hilfstabellen_Mat&amp;Bem'!$BD$31*(CG119-0.3)+CG119^2)</f>
        <v>1.2166380575280851</v>
      </c>
      <c r="CI119" s="550">
        <f t="shared" si="92"/>
        <v>0.63237848325553303</v>
      </c>
      <c r="CK119" s="551">
        <f t="shared" si="93"/>
        <v>18491.379228875041</v>
      </c>
      <c r="CN119" s="547">
        <f>'Hilfstabellen_Mat&amp;Bem'!$J$60</f>
        <v>3.7</v>
      </c>
      <c r="CO119" s="546">
        <f t="shared" si="94"/>
        <v>171</v>
      </c>
      <c r="CP119" s="551">
        <f t="shared" si="95"/>
        <v>74.954245473740883</v>
      </c>
      <c r="CQ119" s="553">
        <f>CP119/PI()*SQRT('Hilfstabellen_Mat&amp;Bem'!f.Rd.3/'Hilfstabellen_Mat&amp;Bem'!$BD$30)</f>
        <v>1.1929338672869185</v>
      </c>
      <c r="CR119" s="553">
        <f>0.5*(1+'Hilfstabellen_Mat&amp;Bem'!$BD$31*(CQ119-0.3)+CQ119^2)</f>
        <v>1.2561922992244074</v>
      </c>
      <c r="CS119" s="550">
        <f t="shared" si="96"/>
        <v>0.60613367605076585</v>
      </c>
      <c r="CU119" s="551">
        <f t="shared" si="97"/>
        <v>17723.954821400443</v>
      </c>
      <c r="CX119" s="547">
        <f>'Hilfstabellen_Mat&amp;Bem'!$J$61</f>
        <v>3.8</v>
      </c>
      <c r="CY119" s="546">
        <f t="shared" si="98"/>
        <v>171</v>
      </c>
      <c r="CZ119" s="551">
        <f t="shared" si="99"/>
        <v>76.980035891950095</v>
      </c>
      <c r="DA119" s="553">
        <f>CZ119/PI()*SQRT('Hilfstabellen_Mat&amp;Bem'!f.Rd.3/'Hilfstabellen_Mat&amp;Bem'!$BD$30)</f>
        <v>1.2251753231595379</v>
      </c>
      <c r="DB119" s="553">
        <f>0.5*(1+'Hilfstabellen_Mat&amp;Bem'!$BD$31*(DA119-0.3)+DA119^2)</f>
        <v>1.2967860523975161</v>
      </c>
      <c r="DC119" s="550">
        <f t="shared" si="100"/>
        <v>0.58080237549328984</v>
      </c>
      <c r="DE119" s="551">
        <f t="shared" si="101"/>
        <v>16983.242261799289</v>
      </c>
      <c r="DH119" s="547">
        <f>'Hilfstabellen_Mat&amp;Bem'!$J$62</f>
        <v>3.9</v>
      </c>
      <c r="DI119" s="546">
        <f t="shared" si="102"/>
        <v>171</v>
      </c>
      <c r="DJ119" s="551">
        <f t="shared" si="103"/>
        <v>79.005826310159321</v>
      </c>
      <c r="DK119" s="553">
        <f>DJ119/PI()*SQRT('Hilfstabellen_Mat&amp;Bem'!f.Rd.3/'Hilfstabellen_Mat&amp;Bem'!$BD$30)</f>
        <v>1.2574167790321575</v>
      </c>
      <c r="DL119" s="553">
        <f>0.5*(1+'Hilfstabellen_Mat&amp;Bem'!$BD$31*(DK119-0.3)+DK119^2)</f>
        <v>1.3384193170474106</v>
      </c>
      <c r="DM119" s="550">
        <f t="shared" si="104"/>
        <v>0.5564921206847514</v>
      </c>
      <c r="DO119" s="551">
        <f t="shared" si="105"/>
        <v>16272.386100942816</v>
      </c>
      <c r="DR119" s="547">
        <f>'Hilfstabellen_Mat&amp;Bem'!$J$63</f>
        <v>4</v>
      </c>
      <c r="DS119" s="546">
        <f t="shared" si="106"/>
        <v>171</v>
      </c>
      <c r="DT119" s="551">
        <f t="shared" si="107"/>
        <v>81.031616728368519</v>
      </c>
      <c r="DU119" s="553">
        <f>DT119/PI()*SQRT('Hilfstabellen_Mat&amp;Bem'!f.Rd.3/'Hilfstabellen_Mat&amp;Bem'!$BD$30)</f>
        <v>1.2896582349047767</v>
      </c>
      <c r="DV119" s="553">
        <f>0.5*(1+'Hilfstabellen_Mat&amp;Bem'!$BD$31*(DU119-0.3)+DU119^2)</f>
        <v>1.3810920931740909</v>
      </c>
      <c r="DW119" s="550">
        <f t="shared" si="108"/>
        <v>0.53326080166655154</v>
      </c>
      <c r="DY119" s="551">
        <f t="shared" si="109"/>
        <v>15593.079101531634</v>
      </c>
      <c r="EB119" s="547">
        <f>'Hilfstabellen_Mat&amp;Bem'!$J$64</f>
        <v>4.0999999999999996</v>
      </c>
      <c r="EC119" s="546">
        <f t="shared" si="110"/>
        <v>171</v>
      </c>
      <c r="ED119" s="551">
        <f t="shared" si="111"/>
        <v>83.057407146577731</v>
      </c>
      <c r="EE119" s="553">
        <f>ED119/PI()*SQRT('Hilfstabellen_Mat&amp;Bem'!f.Rd.3/'Hilfstabellen_Mat&amp;Bem'!$BD$30)</f>
        <v>1.3218996907773961</v>
      </c>
      <c r="EF119" s="553">
        <f>0.5*(1+'Hilfstabellen_Mat&amp;Bem'!$BD$31*(EE119-0.3)+EE119^2)</f>
        <v>1.4248043807775574</v>
      </c>
      <c r="EG119" s="550">
        <f t="shared" si="112"/>
        <v>0.5111294430596155</v>
      </c>
      <c r="EI119" s="551">
        <f t="shared" si="113"/>
        <v>14945.936044506218</v>
      </c>
      <c r="EL119" s="547">
        <f>'Hilfstabellen_Mat&amp;Bem'!$J$65</f>
        <v>4.2</v>
      </c>
      <c r="EM119" s="546">
        <f t="shared" si="114"/>
        <v>171</v>
      </c>
      <c r="EN119" s="551">
        <f t="shared" si="115"/>
        <v>85.083197564786957</v>
      </c>
      <c r="EO119" s="553">
        <f>EN119/PI()*SQRT('Hilfstabellen_Mat&amp;Bem'!f.Rd.3/'Hilfstabellen_Mat&amp;Bem'!$BD$30)</f>
        <v>1.3541411466500157</v>
      </c>
      <c r="EP119" s="553">
        <f>0.5*(1+'Hilfstabellen_Mat&amp;Bem'!$BD$31*(EO119-0.3)+EO119^2)</f>
        <v>1.4695561798578105</v>
      </c>
      <c r="EQ119" s="550">
        <f t="shared" si="116"/>
        <v>0.49009273202854114</v>
      </c>
      <c r="ES119" s="551">
        <f t="shared" si="117"/>
        <v>14330.801577246571</v>
      </c>
    </row>
    <row r="120" spans="3:149">
      <c r="C120" s="546">
        <v>172</v>
      </c>
      <c r="D120" s="551">
        <f t="shared" si="72"/>
        <v>56.392351874335539</v>
      </c>
      <c r="E120" s="553">
        <f>$D120/PI()*SQRT('Hilfstabellen_Mat&amp;Bem'!f.Rd.3/'Hilfstabellen_Mat&amp;Bem'!$BD$30)</f>
        <v>0.89751215533780104</v>
      </c>
      <c r="F120" s="553">
        <f>0.5*(1+'Hilfstabellen_Mat&amp;Bem'!$BD$31*($E120-0.3)+$E120^2)</f>
        <v>0.93263964225644258</v>
      </c>
      <c r="G120" s="550">
        <f t="shared" si="73"/>
        <v>0.84303407370106309</v>
      </c>
      <c r="I120" s="551">
        <f t="shared" si="118"/>
        <v>24940.32003637225</v>
      </c>
      <c r="M120" s="546">
        <f t="shared" si="74"/>
        <v>172</v>
      </c>
      <c r="N120" s="551">
        <f t="shared" si="64"/>
        <v>58.406364441276089</v>
      </c>
      <c r="O120" s="553">
        <f>$N120/PI()*SQRT('Hilfstabellen_Mat&amp;Bem'!f.Rd.3/'Hilfstabellen_Mat&amp;Bem'!$BD$30)</f>
        <v>0.92956616088557953</v>
      </c>
      <c r="P120" s="553">
        <f>0.5*(1+'Hilfstabellen_Mat&amp;Bem'!$BD$31*($O120-0.3)+$O120^2)</f>
        <v>0.96352493177605658</v>
      </c>
      <c r="Q120" s="550">
        <f t="shared" si="65"/>
        <v>0.82164283764223056</v>
      </c>
      <c r="S120" s="551">
        <f t="shared" si="119"/>
        <v>24307.481708807751</v>
      </c>
      <c r="W120" s="546">
        <f t="shared" si="75"/>
        <v>172</v>
      </c>
      <c r="X120" s="551">
        <f t="shared" si="66"/>
        <v>60.42037700821664</v>
      </c>
      <c r="Y120" s="553">
        <f>$X120/PI()*SQRT('Hilfstabellen_Mat&amp;Bem'!f.Rd.3/'Hilfstabellen_Mat&amp;Bem'!$BD$30)</f>
        <v>0.96162016643335813</v>
      </c>
      <c r="Z120" s="553">
        <f>0.5*(1+'Hilfstabellen_Mat&amp;Bem'!$BD$31*($Y120-0.3)+$Y120^2)</f>
        <v>0.99543768056732762</v>
      </c>
      <c r="AA120" s="550">
        <f t="shared" si="67"/>
        <v>0.79827704915097208</v>
      </c>
      <c r="AC120" s="551">
        <f t="shared" si="120"/>
        <v>23616.228222082358</v>
      </c>
      <c r="AG120" s="546">
        <f t="shared" si="76"/>
        <v>172</v>
      </c>
      <c r="AH120" s="551">
        <f t="shared" si="68"/>
        <v>62.434389575157198</v>
      </c>
      <c r="AI120" s="553">
        <f>$AH120/PI()*SQRT('Hilfstabellen_Mat&amp;Bem'!f.Rd.3/'Hilfstabellen_Mat&amp;Bem'!$BD$30)</f>
        <v>0.99367417198113683</v>
      </c>
      <c r="AJ120" s="553">
        <f>0.5*(1+'Hilfstabellen_Mat&amp;Bem'!$BD$31*($AI120-0.3)+$AI120^2)</f>
        <v>1.0283778886302557</v>
      </c>
      <c r="AK120" s="550">
        <f t="shared" si="69"/>
        <v>0.77322822109503542</v>
      </c>
      <c r="AM120" s="551">
        <f t="shared" si="121"/>
        <v>22875.183692875529</v>
      </c>
      <c r="AQ120" s="546">
        <f t="shared" si="77"/>
        <v>172</v>
      </c>
      <c r="AR120" s="551">
        <f t="shared" si="70"/>
        <v>64.448402142097763</v>
      </c>
      <c r="AS120" s="553">
        <f>$AR120/PI()*SQRT('Hilfstabellen_Mat&amp;Bem'!f.Rd.3/'Hilfstabellen_Mat&amp;Bem'!$BD$30)</f>
        <v>1.0257281775289155</v>
      </c>
      <c r="AT120" s="553">
        <f>0.5*(1+'Hilfstabellen_Mat&amp;Bem'!$BD$31*($AS120-0.3)+$AS120^2)</f>
        <v>1.0623455559648409</v>
      </c>
      <c r="AU120" s="550">
        <f t="shared" si="71"/>
        <v>0.74690453818751323</v>
      </c>
      <c r="AW120" s="551">
        <f t="shared" si="122"/>
        <v>22096.423857739392</v>
      </c>
      <c r="AZ120" s="547">
        <f>'Hilfstabellen_Mat&amp;Bem'!$J$56</f>
        <v>3.3</v>
      </c>
      <c r="BA120" s="546">
        <f t="shared" si="78"/>
        <v>172</v>
      </c>
      <c r="BB120" s="551">
        <f t="shared" si="79"/>
        <v>66.462414709038313</v>
      </c>
      <c r="BC120" s="553">
        <f>BB120/PI()*SQRT('Hilfstabellen_Mat&amp;Bem'!f.Rd.3/'Hilfstabellen_Mat&amp;Bem'!$BD$30)</f>
        <v>1.057782183076694</v>
      </c>
      <c r="BD120" s="553">
        <f>0.5*(1+'Hilfstabellen_Mat&amp;Bem'!$BD$31*(BC120-0.3)+BC120^2)</f>
        <v>1.097340682571083</v>
      </c>
      <c r="BE120" s="550">
        <f t="shared" si="80"/>
        <v>0.71977524616017763</v>
      </c>
      <c r="BG120" s="551">
        <f t="shared" si="81"/>
        <v>21293.830882402694</v>
      </c>
      <c r="BJ120" s="547">
        <f>'Hilfstabellen_Mat&amp;Bem'!$J$57</f>
        <v>3.4</v>
      </c>
      <c r="BK120" s="546">
        <f t="shared" si="82"/>
        <v>172</v>
      </c>
      <c r="BL120" s="551">
        <f t="shared" si="83"/>
        <v>68.476427275978864</v>
      </c>
      <c r="BM120" s="553">
        <f>BL120/PI()*SQRT('Hilfstabellen_Mat&amp;Bem'!f.Rd.3/'Hilfstabellen_Mat&amp;Bem'!$BD$30)</f>
        <v>1.0898361886244727</v>
      </c>
      <c r="BN120" s="553">
        <f>0.5*(1+'Hilfstabellen_Mat&amp;Bem'!$BD$31*(BM120-0.3)+BM120^2)</f>
        <v>1.1333632684489823</v>
      </c>
      <c r="BO120" s="550">
        <f t="shared" si="84"/>
        <v>0.69230932381127419</v>
      </c>
      <c r="BQ120" s="551">
        <f t="shared" si="85"/>
        <v>20481.279035632735</v>
      </c>
      <c r="BT120" s="547">
        <f>'Hilfstabellen_Mat&amp;Bem'!$J$58</f>
        <v>3.5</v>
      </c>
      <c r="BU120" s="546">
        <f t="shared" si="86"/>
        <v>172</v>
      </c>
      <c r="BV120" s="551">
        <f t="shared" si="87"/>
        <v>70.490439842919415</v>
      </c>
      <c r="BW120" s="553">
        <f>BV120/PI()*SQRT('Hilfstabellen_Mat&amp;Bem'!f.Rd.3/'Hilfstabellen_Mat&amp;Bem'!$BD$30)</f>
        <v>1.1218901941722512</v>
      </c>
      <c r="BX120" s="553">
        <f>0.5*(1+'Hilfstabellen_Mat&amp;Bem'!$BD$31*(BW120-0.3)+BW120^2)</f>
        <v>1.1704133135985384</v>
      </c>
      <c r="BY120" s="550">
        <f t="shared" si="88"/>
        <v>0.6649269924142196</v>
      </c>
      <c r="CA120" s="551">
        <f t="shared" si="89"/>
        <v>19671.200143582271</v>
      </c>
      <c r="CD120" s="547">
        <f>'Hilfstabellen_Mat&amp;Bem'!$J$59</f>
        <v>3.6</v>
      </c>
      <c r="CE120" s="546">
        <f t="shared" si="90"/>
        <v>172</v>
      </c>
      <c r="CF120" s="551">
        <f t="shared" si="91"/>
        <v>72.504452409859979</v>
      </c>
      <c r="CG120" s="553">
        <f>CF120/PI()*SQRT('Hilfstabellen_Mat&amp;Bem'!f.Rd.3/'Hilfstabellen_Mat&amp;Bem'!$BD$30)</f>
        <v>1.1539441997200299</v>
      </c>
      <c r="CH120" s="553">
        <f>0.5*(1+'Hilfstabellen_Mat&amp;Bem'!$BD$31*(CG120-0.3)+CG120^2)</f>
        <v>1.2084908180197518</v>
      </c>
      <c r="CI120" s="550">
        <f t="shared" si="92"/>
        <v>0.63797256350080112</v>
      </c>
      <c r="CK120" s="551">
        <f t="shared" si="93"/>
        <v>18873.7803186077</v>
      </c>
      <c r="CN120" s="547">
        <f>'Hilfstabellen_Mat&amp;Bem'!$J$60</f>
        <v>3.7</v>
      </c>
      <c r="CO120" s="546">
        <f t="shared" si="94"/>
        <v>172</v>
      </c>
      <c r="CP120" s="551">
        <f t="shared" si="95"/>
        <v>74.51846497680053</v>
      </c>
      <c r="CQ120" s="553">
        <f>CP120/PI()*SQRT('Hilfstabellen_Mat&amp;Bem'!f.Rd.3/'Hilfstabellen_Mat&amp;Bem'!$BD$30)</f>
        <v>1.1859982052678084</v>
      </c>
      <c r="CR120" s="553">
        <f>0.5*(1+'Hilfstabellen_Mat&amp;Bem'!$BD$31*(CQ120-0.3)+CQ120^2)</f>
        <v>1.2475957817126218</v>
      </c>
      <c r="CS120" s="550">
        <f t="shared" si="96"/>
        <v>0.611707031004881</v>
      </c>
      <c r="CU120" s="551">
        <f t="shared" si="97"/>
        <v>18096.740805248399</v>
      </c>
      <c r="CX120" s="547">
        <f>'Hilfstabellen_Mat&amp;Bem'!$J$61</f>
        <v>3.8</v>
      </c>
      <c r="CY120" s="546">
        <f t="shared" si="98"/>
        <v>172</v>
      </c>
      <c r="CZ120" s="551">
        <f t="shared" si="99"/>
        <v>76.532477543741081</v>
      </c>
      <c r="DA120" s="553">
        <f>CZ120/PI()*SQRT('Hilfstabellen_Mat&amp;Bem'!f.Rd.3/'Hilfstabellen_Mat&amp;Bem'!$BD$30)</f>
        <v>1.2180522108155871</v>
      </c>
      <c r="DB120" s="553">
        <f>0.5*(1+'Hilfstabellen_Mat&amp;Bem'!$BD$31*(DA120-0.3)+DA120^2)</f>
        <v>1.287728204677149</v>
      </c>
      <c r="DC120" s="550">
        <f t="shared" si="100"/>
        <v>0.58631385166973271</v>
      </c>
      <c r="DE120" s="551">
        <f t="shared" si="101"/>
        <v>17345.508987797373</v>
      </c>
      <c r="DH120" s="547">
        <f>'Hilfstabellen_Mat&amp;Bem'!$J$62</f>
        <v>3.9</v>
      </c>
      <c r="DI120" s="546">
        <f t="shared" si="102"/>
        <v>172</v>
      </c>
      <c r="DJ120" s="551">
        <f t="shared" si="103"/>
        <v>78.546490110681631</v>
      </c>
      <c r="DK120" s="553">
        <f>DJ120/PI()*SQRT('Hilfstabellen_Mat&amp;Bem'!f.Rd.3/'Hilfstabellen_Mat&amp;Bem'!$BD$30)</f>
        <v>1.2501062163633656</v>
      </c>
      <c r="DL120" s="553">
        <f>0.5*(1+'Hilfstabellen_Mat&amp;Bem'!$BD$31*(DK120-0.3)+DK120^2)</f>
        <v>1.328888086913333</v>
      </c>
      <c r="DM120" s="550">
        <f t="shared" si="104"/>
        <v>0.56191114977030554</v>
      </c>
      <c r="DO120" s="551">
        <f t="shared" si="105"/>
        <v>16623.57945480472</v>
      </c>
      <c r="DR120" s="547">
        <f>'Hilfstabellen_Mat&amp;Bem'!$J$63</f>
        <v>4</v>
      </c>
      <c r="DS120" s="546">
        <f t="shared" si="106"/>
        <v>172</v>
      </c>
      <c r="DT120" s="551">
        <f t="shared" si="107"/>
        <v>80.560502677622196</v>
      </c>
      <c r="DU120" s="553">
        <f>DT120/PI()*SQRT('Hilfstabellen_Mat&amp;Bem'!f.Rd.3/'Hilfstabellen_Mat&amp;Bem'!$BD$30)</f>
        <v>1.2821602219111443</v>
      </c>
      <c r="DV120" s="553">
        <f>0.5*(1+'Hilfstabellen_Mat&amp;Bem'!$BD$31*(DU120-0.3)+DU120^2)</f>
        <v>1.3710754284211746</v>
      </c>
      <c r="DW120" s="550">
        <f t="shared" si="108"/>
        <v>0.5385655523819155</v>
      </c>
      <c r="DY120" s="551">
        <f t="shared" si="109"/>
        <v>15932.923301666588</v>
      </c>
      <c r="EB120" s="547">
        <f>'Hilfstabellen_Mat&amp;Bem'!$J$64</f>
        <v>4.0999999999999996</v>
      </c>
      <c r="EC120" s="546">
        <f t="shared" si="110"/>
        <v>172</v>
      </c>
      <c r="ED120" s="551">
        <f t="shared" si="111"/>
        <v>82.574515244562761</v>
      </c>
      <c r="EE120" s="553">
        <f>ED120/PI()*SQRT('Hilfstabellen_Mat&amp;Bem'!f.Rd.3/'Hilfstabellen_Mat&amp;Bem'!$BD$30)</f>
        <v>1.3142142274589232</v>
      </c>
      <c r="EF120" s="553">
        <f>0.5*(1+'Hilfstabellen_Mat&amp;Bem'!$BD$31*(EE120-0.3)+EE120^2)</f>
        <v>1.4142902292006734</v>
      </c>
      <c r="EG120" s="550">
        <f t="shared" si="112"/>
        <v>0.51630502283956814</v>
      </c>
      <c r="EI120" s="551">
        <f t="shared" si="113"/>
        <v>15274.367795685785</v>
      </c>
      <c r="EL120" s="547">
        <f>'Hilfstabellen_Mat&amp;Bem'!$J$65</f>
        <v>4.2</v>
      </c>
      <c r="EM120" s="546">
        <f t="shared" si="114"/>
        <v>172</v>
      </c>
      <c r="EN120" s="551">
        <f t="shared" si="115"/>
        <v>84.588527811503312</v>
      </c>
      <c r="EO120" s="553">
        <f>EN120/PI()*SQRT('Hilfstabellen_Mat&amp;Bem'!f.Rd.3/'Hilfstabellen_Mat&amp;Bem'!$BD$30)</f>
        <v>1.3462682330067017</v>
      </c>
      <c r="EP120" s="553">
        <f>0.5*(1+'Hilfstabellen_Mat&amp;Bem'!$BD$31*(EO120-0.3)+EO120^2)</f>
        <v>1.4585324892518285</v>
      </c>
      <c r="EQ120" s="550">
        <f t="shared" si="116"/>
        <v>0.49512961470678746</v>
      </c>
      <c r="ES120" s="551">
        <f t="shared" si="117"/>
        <v>14647.9145214856</v>
      </c>
    </row>
    <row r="121" spans="3:149">
      <c r="C121" s="546">
        <v>173</v>
      </c>
      <c r="D121" s="551">
        <f t="shared" si="72"/>
        <v>56.066384522460773</v>
      </c>
      <c r="E121" s="553">
        <f>$D121/PI()*SQRT('Hilfstabellen_Mat&amp;Bem'!f.Rd.3/'Hilfstabellen_Mat&amp;Bem'!$BD$30)</f>
        <v>0.89232422380405674</v>
      </c>
      <c r="F121" s="553">
        <f>0.5*(1+'Hilfstabellen_Mat&amp;Bem'!$BD$31*($E121-0.3)+$E121^2)</f>
        <v>0.92773747138395901</v>
      </c>
      <c r="G121" s="550">
        <f t="shared" si="73"/>
        <v>0.84629864506231856</v>
      </c>
      <c r="I121" s="551">
        <f t="shared" si="118"/>
        <v>25328.872148070132</v>
      </c>
      <c r="M121" s="546">
        <f t="shared" si="74"/>
        <v>173</v>
      </c>
      <c r="N121" s="551">
        <f t="shared" si="64"/>
        <v>58.06875539826293</v>
      </c>
      <c r="O121" s="553">
        <f>$N121/PI()*SQRT('Hilfstabellen_Mat&amp;Bem'!f.Rd.3/'Hilfstabellen_Mat&amp;Bem'!$BD$30)</f>
        <v>0.92419294608277269</v>
      </c>
      <c r="P121" s="553">
        <f>0.5*(1+'Hilfstabellen_Mat&amp;Bem'!$BD$31*($O121-0.3)+$O121^2)</f>
        <v>0.95827594809871608</v>
      </c>
      <c r="Q121" s="550">
        <f t="shared" si="65"/>
        <v>0.82537222715767</v>
      </c>
      <c r="S121" s="551">
        <f t="shared" si="119"/>
        <v>24702.565386601906</v>
      </c>
      <c r="W121" s="546">
        <f t="shared" si="75"/>
        <v>173</v>
      </c>
      <c r="X121" s="551">
        <f t="shared" si="66"/>
        <v>60.071126274065101</v>
      </c>
      <c r="Y121" s="553">
        <f>$X121/PI()*SQRT('Hilfstabellen_Mat&amp;Bem'!f.Rd.3/'Hilfstabellen_Mat&amp;Bem'!$BD$30)</f>
        <v>0.95606166836148909</v>
      </c>
      <c r="Z121" s="553">
        <f>0.5*(1+'Hilfstabellen_Mat&amp;Bem'!$BD$31*($Y121-0.3)+$Y121^2)</f>
        <v>0.98983004027315147</v>
      </c>
      <c r="AA121" s="550">
        <f t="shared" si="67"/>
        <v>0.80245946210270491</v>
      </c>
      <c r="AC121" s="551">
        <f t="shared" si="120"/>
        <v>24016.809241271854</v>
      </c>
      <c r="AG121" s="546">
        <f t="shared" si="76"/>
        <v>173</v>
      </c>
      <c r="AH121" s="551">
        <f t="shared" si="68"/>
        <v>62.073497149867279</v>
      </c>
      <c r="AI121" s="553">
        <f>$AH121/PI()*SQRT('Hilfstabellen_Mat&amp;Bem'!f.Rd.3/'Hilfstabellen_Mat&amp;Bem'!$BD$30)</f>
        <v>0.98793039064020549</v>
      </c>
      <c r="AJ121" s="553">
        <f>0.5*(1+'Hilfstabellen_Mat&amp;Bem'!$BD$31*($AI121-0.3)+$AI121^2)</f>
        <v>1.0223997479072648</v>
      </c>
      <c r="AK121" s="550">
        <f t="shared" si="69"/>
        <v>0.77782345704025058</v>
      </c>
      <c r="AM121" s="551">
        <f t="shared" si="121"/>
        <v>23279.478245757658</v>
      </c>
      <c r="AQ121" s="546">
        <f t="shared" si="77"/>
        <v>173</v>
      </c>
      <c r="AR121" s="551">
        <f t="shared" si="70"/>
        <v>64.07586802566945</v>
      </c>
      <c r="AS121" s="553">
        <f>$AR121/PI()*SQRT('Hilfstabellen_Mat&amp;Bem'!f.Rd.3/'Hilfstabellen_Mat&amp;Bem'!$BD$30)</f>
        <v>1.0197991129189219</v>
      </c>
      <c r="AT121" s="553">
        <f>0.5*(1+'Hilfstabellen_Mat&amp;Bem'!$BD$31*($AS121-0.3)+$AS121^2)</f>
        <v>1.0559850710010561</v>
      </c>
      <c r="AU121" s="550">
        <f t="shared" si="71"/>
        <v>0.7518486969836794</v>
      </c>
      <c r="AW121" s="551">
        <f t="shared" si="122"/>
        <v>22502.079652024542</v>
      </c>
      <c r="AZ121" s="547">
        <f>'Hilfstabellen_Mat&amp;Bem'!$J$56</f>
        <v>3.3</v>
      </c>
      <c r="BA121" s="546">
        <f t="shared" si="78"/>
        <v>173</v>
      </c>
      <c r="BB121" s="551">
        <f t="shared" si="79"/>
        <v>66.078238901471607</v>
      </c>
      <c r="BC121" s="553">
        <f>BB121/PI()*SQRT('Hilfstabellen_Mat&amp;Bem'!f.Rd.3/'Hilfstabellen_Mat&amp;Bem'!$BD$30)</f>
        <v>1.0516678351976381</v>
      </c>
      <c r="BD121" s="553">
        <f>0.5*(1+'Hilfstabellen_Mat&amp;Bem'!$BD$31*(BC121-0.3)+BC121^2)</f>
        <v>1.0905860095545252</v>
      </c>
      <c r="BE121" s="550">
        <f t="shared" si="80"/>
        <v>0.72499010884659743</v>
      </c>
      <c r="BG121" s="551">
        <f t="shared" si="81"/>
        <v>21698.228967669813</v>
      </c>
      <c r="BJ121" s="547">
        <f>'Hilfstabellen_Mat&amp;Bem'!$J$57</f>
        <v>3.4</v>
      </c>
      <c r="BK121" s="546">
        <f t="shared" si="82"/>
        <v>173</v>
      </c>
      <c r="BL121" s="551">
        <f t="shared" si="83"/>
        <v>68.080609777273779</v>
      </c>
      <c r="BM121" s="553">
        <f>BL121/PI()*SQRT('Hilfstabellen_Mat&amp;Bem'!f.Rd.3/'Hilfstabellen_Mat&amp;Bem'!$BD$30)</f>
        <v>1.0835365574763542</v>
      </c>
      <c r="BN121" s="553">
        <f>0.5*(1+'Hilfstabellen_Mat&amp;Bem'!$BD$31*(BM121-0.3)+BM121^2)</f>
        <v>1.1262025635676722</v>
      </c>
      <c r="BO121" s="550">
        <f t="shared" si="84"/>
        <v>0.69771291081683562</v>
      </c>
      <c r="BQ121" s="551">
        <f t="shared" si="85"/>
        <v>20881.849707837075</v>
      </c>
      <c r="BT121" s="547">
        <f>'Hilfstabellen_Mat&amp;Bem'!$J$58</f>
        <v>3.5</v>
      </c>
      <c r="BU121" s="546">
        <f t="shared" si="86"/>
        <v>173</v>
      </c>
      <c r="BV121" s="551">
        <f t="shared" si="87"/>
        <v>70.082980653075964</v>
      </c>
      <c r="BW121" s="553">
        <f>BV121/PI()*SQRT('Hilfstabellen_Mat&amp;Bem'!f.Rd.3/'Hilfstabellen_Mat&amp;Bem'!$BD$30)</f>
        <v>1.1154052797550706</v>
      </c>
      <c r="BX121" s="553">
        <f>0.5*(1+'Hilfstabellen_Mat&amp;Bem'!$BD$31*(BW121-0.3)+BW121^2)</f>
        <v>1.1628347330404973</v>
      </c>
      <c r="BY121" s="550">
        <f t="shared" si="88"/>
        <v>0.67044216409602642</v>
      </c>
      <c r="CA121" s="551">
        <f t="shared" si="89"/>
        <v>20065.663529229976</v>
      </c>
      <c r="CD121" s="547">
        <f>'Hilfstabellen_Mat&amp;Bem'!$J$59</f>
        <v>3.6</v>
      </c>
      <c r="CE121" s="546">
        <f t="shared" si="90"/>
        <v>173</v>
      </c>
      <c r="CF121" s="551">
        <f t="shared" si="91"/>
        <v>72.085351528878135</v>
      </c>
      <c r="CG121" s="553">
        <f>CF121/PI()*SQRT('Hilfstabellen_Mat&amp;Bem'!f.Rd.3/'Hilfstabellen_Mat&amp;Bem'!$BD$30)</f>
        <v>1.147274002033787</v>
      </c>
      <c r="CH121" s="553">
        <f>0.5*(1+'Hilfstabellen_Mat&amp;Bem'!$BD$31*(CG121-0.3)+CG121^2)</f>
        <v>1.2004825179730003</v>
      </c>
      <c r="CI121" s="550">
        <f t="shared" si="92"/>
        <v>0.64353225730659291</v>
      </c>
      <c r="CK121" s="551">
        <f t="shared" si="93"/>
        <v>19260.276928929019</v>
      </c>
      <c r="CN121" s="547">
        <f>'Hilfstabellen_Mat&amp;Bem'!$J$60</f>
        <v>3.7</v>
      </c>
      <c r="CO121" s="546">
        <f t="shared" si="94"/>
        <v>173</v>
      </c>
      <c r="CP121" s="551">
        <f t="shared" si="95"/>
        <v>74.087722404680292</v>
      </c>
      <c r="CQ121" s="553">
        <f>CP121/PI()*SQRT('Hilfstabellen_Mat&amp;Bem'!f.Rd.3/'Hilfstabellen_Mat&amp;Bem'!$BD$30)</f>
        <v>1.1791427243125032</v>
      </c>
      <c r="CR121" s="553">
        <f>0.5*(1+'Hilfstabellen_Mat&amp;Bem'!$BD$31*(CQ121-0.3)+CQ121^2)</f>
        <v>1.2391459183651812</v>
      </c>
      <c r="CS121" s="550">
        <f t="shared" si="96"/>
        <v>0.61725633544041836</v>
      </c>
      <c r="CU121" s="551">
        <f t="shared" si="97"/>
        <v>18473.86486339628</v>
      </c>
      <c r="CX121" s="547">
        <f>'Hilfstabellen_Mat&amp;Bem'!$J$61</f>
        <v>3.8</v>
      </c>
      <c r="CY121" s="546">
        <f t="shared" si="98"/>
        <v>173</v>
      </c>
      <c r="CZ121" s="551">
        <f t="shared" si="99"/>
        <v>76.090093280482463</v>
      </c>
      <c r="DA121" s="553">
        <f>CZ121/PI()*SQRT('Hilfstabellen_Mat&amp;Bem'!f.Rd.3/'Hilfstabellen_Mat&amp;Bem'!$BD$30)</f>
        <v>1.2110114465912196</v>
      </c>
      <c r="DB121" s="553">
        <f>0.5*(1+'Hilfstabellen_Mat&amp;Bem'!$BD$31*(DA121-0.3)+DA121^2)</f>
        <v>1.2788249342170401</v>
      </c>
      <c r="DC121" s="550">
        <f t="shared" si="100"/>
        <v>0.59180988006113278</v>
      </c>
      <c r="DE121" s="551">
        <f t="shared" si="101"/>
        <v>17712.277900349643</v>
      </c>
      <c r="DH121" s="547">
        <f>'Hilfstabellen_Mat&amp;Bem'!$J$62</f>
        <v>3.9</v>
      </c>
      <c r="DI121" s="546">
        <f t="shared" si="102"/>
        <v>173</v>
      </c>
      <c r="DJ121" s="551">
        <f t="shared" si="103"/>
        <v>78.092464156284635</v>
      </c>
      <c r="DK121" s="553">
        <f>DJ121/PI()*SQRT('Hilfstabellen_Mat&amp;Bem'!f.Rd.3/'Hilfstabellen_Mat&amp;Bem'!$BD$30)</f>
        <v>1.2428801688699358</v>
      </c>
      <c r="DL121" s="553">
        <f>0.5*(1+'Hilfstabellen_Mat&amp;Bem'!$BD$31*(DK121-0.3)+DK121^2)</f>
        <v>1.319519565528577</v>
      </c>
      <c r="DM121" s="550">
        <f t="shared" si="104"/>
        <v>0.56732172467428876</v>
      </c>
      <c r="DO121" s="551">
        <f t="shared" si="105"/>
        <v>16979.371897776789</v>
      </c>
      <c r="DR121" s="547">
        <f>'Hilfstabellen_Mat&amp;Bem'!$J$63</f>
        <v>4</v>
      </c>
      <c r="DS121" s="546">
        <f t="shared" si="106"/>
        <v>173</v>
      </c>
      <c r="DT121" s="551">
        <f t="shared" si="107"/>
        <v>80.094835032086806</v>
      </c>
      <c r="DU121" s="553">
        <f>DT121/PI()*SQRT('Hilfstabellen_Mat&amp;Bem'!f.Rd.3/'Hilfstabellen_Mat&amp;Bem'!$BD$30)</f>
        <v>1.2747488911486522</v>
      </c>
      <c r="DV121" s="553">
        <f>0.5*(1+'Hilfstabellen_Mat&amp;Bem'!$BD$31*(DU121-0.3)+DU121^2)</f>
        <v>1.3612298122997917</v>
      </c>
      <c r="DW121" s="550">
        <f t="shared" si="108"/>
        <v>0.5438674408609</v>
      </c>
      <c r="DY121" s="551">
        <f t="shared" si="109"/>
        <v>16277.408637525876</v>
      </c>
      <c r="EB121" s="547">
        <f>'Hilfstabellen_Mat&amp;Bem'!$J$64</f>
        <v>4.0999999999999996</v>
      </c>
      <c r="EC121" s="546">
        <f t="shared" si="110"/>
        <v>173</v>
      </c>
      <c r="ED121" s="551">
        <f t="shared" si="111"/>
        <v>82.097205907888977</v>
      </c>
      <c r="EE121" s="553">
        <f>ED121/PI()*SQRT('Hilfstabellen_Mat&amp;Bem'!f.Rd.3/'Hilfstabellen_Mat&amp;Bem'!$BD$30)</f>
        <v>1.3066176134273686</v>
      </c>
      <c r="EF121" s="553">
        <f>0.5*(1+'Hilfstabellen_Mat&amp;Bem'!$BD$31*(EE121-0.3)+EE121^2)</f>
        <v>1.4039556745306847</v>
      </c>
      <c r="EG121" s="550">
        <f t="shared" si="112"/>
        <v>0.52148215740672965</v>
      </c>
      <c r="EI121" s="551">
        <f t="shared" si="113"/>
        <v>15607.439489026012</v>
      </c>
      <c r="EL121" s="547">
        <f>'Hilfstabellen_Mat&amp;Bem'!$J$65</f>
        <v>4.2</v>
      </c>
      <c r="EM121" s="546">
        <f t="shared" si="114"/>
        <v>173</v>
      </c>
      <c r="EN121" s="551">
        <f t="shared" si="115"/>
        <v>84.099576783691148</v>
      </c>
      <c r="EO121" s="553">
        <f>EN121/PI()*SQRT('Hilfstabellen_Mat&amp;Bem'!f.Rd.3/'Hilfstabellen_Mat&amp;Bem'!$BD$30)</f>
        <v>1.3384863357060848</v>
      </c>
      <c r="EP121" s="553">
        <f>0.5*(1+'Hilfstabellen_Mat&amp;Bem'!$BD$31*(EO121-0.3)+EO121^2)</f>
        <v>1.4476971522212554</v>
      </c>
      <c r="EQ121" s="550">
        <f t="shared" si="116"/>
        <v>0.50017150738687444</v>
      </c>
      <c r="ES121" s="551">
        <f t="shared" si="117"/>
        <v>14969.633044581766</v>
      </c>
    </row>
    <row r="122" spans="3:149">
      <c r="C122" s="546">
        <v>174</v>
      </c>
      <c r="D122" s="551">
        <f t="shared" si="72"/>
        <v>55.744163921756972</v>
      </c>
      <c r="E122" s="553">
        <f>$D122/PI()*SQRT('Hilfstabellen_Mat&amp;Bem'!f.Rd.3/'Hilfstabellen_Mat&amp;Bem'!$BD$30)</f>
        <v>0.88719592366725175</v>
      </c>
      <c r="F122" s="553">
        <f>0.5*(1+'Hilfstabellen_Mat&amp;Bem'!$BD$31*($E122-0.3)+$E122^2)</f>
        <v>0.92291809966925653</v>
      </c>
      <c r="G122" s="550">
        <f t="shared" si="73"/>
        <v>0.84947059248896006</v>
      </c>
      <c r="I122" s="551">
        <f t="shared" si="118"/>
        <v>25718.571658195753</v>
      </c>
      <c r="M122" s="546">
        <f t="shared" si="74"/>
        <v>174</v>
      </c>
      <c r="N122" s="551">
        <f t="shared" si="64"/>
        <v>57.735026918962575</v>
      </c>
      <c r="O122" s="553">
        <f>$N122/PI()*SQRT('Hilfstabellen_Mat&amp;Bem'!f.Rd.3/'Hilfstabellen_Mat&amp;Bem'!$BD$30)</f>
        <v>0.91888149236965355</v>
      </c>
      <c r="P122" s="553">
        <f>0.5*(1+'Hilfstabellen_Mat&amp;Bem'!$BD$31*($O122-0.3)+$O122^2)</f>
        <v>0.95311567312822354</v>
      </c>
      <c r="Q122" s="550">
        <f t="shared" si="65"/>
        <v>0.8290029172295762</v>
      </c>
      <c r="S122" s="551">
        <f t="shared" si="119"/>
        <v>25098.892322042648</v>
      </c>
      <c r="W122" s="546">
        <f t="shared" si="75"/>
        <v>174</v>
      </c>
      <c r="X122" s="551">
        <f t="shared" si="66"/>
        <v>59.725889916168185</v>
      </c>
      <c r="Y122" s="553">
        <f>$X122/PI()*SQRT('Hilfstabellen_Mat&amp;Bem'!f.Rd.3/'Hilfstabellen_Mat&amp;Bem'!$BD$30)</f>
        <v>0.95056706107205535</v>
      </c>
      <c r="Z122" s="553">
        <f>0.5*(1+'Hilfstabellen_Mat&amp;Bem'!$BD$31*($Y122-0.3)+$Y122^2)</f>
        <v>0.98431722185118509</v>
      </c>
      <c r="AA122" s="550">
        <f t="shared" si="67"/>
        <v>0.80654198154921952</v>
      </c>
      <c r="AC122" s="551">
        <f t="shared" si="120"/>
        <v>24418.865033384169</v>
      </c>
      <c r="AG122" s="546">
        <f t="shared" si="76"/>
        <v>174</v>
      </c>
      <c r="AH122" s="551">
        <f t="shared" si="68"/>
        <v>61.716752913373782</v>
      </c>
      <c r="AI122" s="553">
        <f>$AH122/PI()*SQRT('Hilfstabellen_Mat&amp;Bem'!f.Rd.3/'Hilfstabellen_Mat&amp;Bem'!$BD$30)</f>
        <v>0.98225262977445704</v>
      </c>
      <c r="AJ122" s="553">
        <f>0.5*(1+'Hilfstabellen_Mat&amp;Bem'!$BD$31*($AI122-0.3)+$AI122^2)</f>
        <v>1.0165227458381412</v>
      </c>
      <c r="AK122" s="550">
        <f t="shared" si="69"/>
        <v>0.78232295830201659</v>
      </c>
      <c r="AM122" s="551">
        <f t="shared" si="121"/>
        <v>23685.609885551854</v>
      </c>
      <c r="AQ122" s="546">
        <f t="shared" si="77"/>
        <v>174</v>
      </c>
      <c r="AR122" s="551">
        <f t="shared" si="70"/>
        <v>63.707615910579385</v>
      </c>
      <c r="AS122" s="553">
        <f>$AR122/PI()*SQRT('Hilfstabellen_Mat&amp;Bem'!f.Rd.3/'Hilfstabellen_Mat&amp;Bem'!$BD$30)</f>
        <v>1.013938198476859</v>
      </c>
      <c r="AT122" s="553">
        <f>0.5*(1+'Hilfstabellen_Mat&amp;Bem'!$BD$31*($AS122-0.3)+$AS122^2)</f>
        <v>1.049732245089092</v>
      </c>
      <c r="AU122" s="550">
        <f t="shared" si="71"/>
        <v>0.7567059470450419</v>
      </c>
      <c r="AW122" s="551">
        <f t="shared" si="122"/>
        <v>22910.029252735687</v>
      </c>
      <c r="AZ122" s="547">
        <f>'Hilfstabellen_Mat&amp;Bem'!$J$56</f>
        <v>3.3</v>
      </c>
      <c r="BA122" s="546">
        <f t="shared" si="78"/>
        <v>174</v>
      </c>
      <c r="BB122" s="551">
        <f t="shared" si="79"/>
        <v>65.698478907784988</v>
      </c>
      <c r="BC122" s="553">
        <f>BB122/PI()*SQRT('Hilfstabellen_Mat&amp;Bem'!f.Rd.3/'Hilfstabellen_Mat&amp;Bem'!$BD$30)</f>
        <v>1.0456237671792608</v>
      </c>
      <c r="BD122" s="553">
        <f>0.5*(1+'Hilfstabellen_Mat&amp;Bem'!$BD$31*(BC122-0.3)+BC122^2)</f>
        <v>1.0839457196040374</v>
      </c>
      <c r="BE122" s="550">
        <f t="shared" si="80"/>
        <v>0.73013002314764408</v>
      </c>
      <c r="BG122" s="551">
        <f t="shared" si="81"/>
        <v>22105.416580818073</v>
      </c>
      <c r="BJ122" s="547">
        <f>'Hilfstabellen_Mat&amp;Bem'!$J$57</f>
        <v>3.4</v>
      </c>
      <c r="BK122" s="546">
        <f t="shared" si="82"/>
        <v>174</v>
      </c>
      <c r="BL122" s="551">
        <f t="shared" si="83"/>
        <v>67.689341904990599</v>
      </c>
      <c r="BM122" s="553">
        <f>BL122/PI()*SQRT('Hilfstabellen_Mat&amp;Bem'!f.Rd.3/'Hilfstabellen_Mat&amp;Bem'!$BD$30)</f>
        <v>1.0773093358816626</v>
      </c>
      <c r="BN122" s="553">
        <f>0.5*(1+'Hilfstabellen_Mat&amp;Bem'!$BD$31*(BM122-0.3)+BM122^2)</f>
        <v>1.1191631693829776</v>
      </c>
      <c r="BO122" s="550">
        <f t="shared" si="84"/>
        <v>0.70305487277392598</v>
      </c>
      <c r="BQ122" s="551">
        <f t="shared" si="85"/>
        <v>21285.689328103384</v>
      </c>
      <c r="BT122" s="547">
        <f>'Hilfstabellen_Mat&amp;Bem'!$J$58</f>
        <v>3.5</v>
      </c>
      <c r="BU122" s="546">
        <f t="shared" si="86"/>
        <v>174</v>
      </c>
      <c r="BV122" s="551">
        <f t="shared" si="87"/>
        <v>69.680204902196209</v>
      </c>
      <c r="BW122" s="553">
        <f>BV122/PI()*SQRT('Hilfstabellen_Mat&amp;Bem'!f.Rd.3/'Hilfstabellen_Mat&amp;Bem'!$BD$30)</f>
        <v>1.1089949045840644</v>
      </c>
      <c r="BX122" s="553">
        <f>0.5*(1+'Hilfstabellen_Mat&amp;Bem'!$BD$31*(BW122-0.3)+BW122^2)</f>
        <v>1.1553845944259122</v>
      </c>
      <c r="BY122" s="550">
        <f t="shared" si="88"/>
        <v>0.67590890817965976</v>
      </c>
      <c r="CA122" s="551">
        <f t="shared" si="89"/>
        <v>20463.818104047379</v>
      </c>
      <c r="CD122" s="547">
        <f>'Hilfstabellen_Mat&amp;Bem'!$J$59</f>
        <v>3.6</v>
      </c>
      <c r="CE122" s="546">
        <f t="shared" si="90"/>
        <v>174</v>
      </c>
      <c r="CF122" s="551">
        <f t="shared" si="91"/>
        <v>71.67106789940182</v>
      </c>
      <c r="CG122" s="553">
        <f>CF122/PI()*SQRT('Hilfstabellen_Mat&amp;Bem'!f.Rd.3/'Hilfstabellen_Mat&amp;Bem'!$BD$30)</f>
        <v>1.1406804732864664</v>
      </c>
      <c r="CH122" s="553">
        <f>0.5*(1+'Hilfstabellen_Mat&amp;Bem'!$BD$31*(CG122-0.3)+CG122^2)</f>
        <v>1.1926099947328419</v>
      </c>
      <c r="CI122" s="550">
        <f t="shared" si="92"/>
        <v>0.64905562065849165</v>
      </c>
      <c r="CK122" s="551">
        <f t="shared" si="93"/>
        <v>19650.807971056493</v>
      </c>
      <c r="CN122" s="547">
        <f>'Hilfstabellen_Mat&amp;Bem'!$J$60</f>
        <v>3.7</v>
      </c>
      <c r="CO122" s="546">
        <f t="shared" si="94"/>
        <v>174</v>
      </c>
      <c r="CP122" s="551">
        <f t="shared" si="95"/>
        <v>73.66193089660743</v>
      </c>
      <c r="CQ122" s="553">
        <f>CP122/PI()*SQRT('Hilfstabellen_Mat&amp;Bem'!f.Rd.3/'Hilfstabellen_Mat&amp;Bem'!$BD$30)</f>
        <v>1.1723660419888684</v>
      </c>
      <c r="CR122" s="553">
        <f>0.5*(1+'Hilfstabellen_Mat&amp;Bem'!$BD$31*(CQ122-0.3)+CQ122^2)</f>
        <v>1.2308393703037659</v>
      </c>
      <c r="CS122" s="550">
        <f t="shared" si="96"/>
        <v>0.62277982704567947</v>
      </c>
      <c r="CU122" s="551">
        <f t="shared" si="97"/>
        <v>18855.28204363499</v>
      </c>
      <c r="CX122" s="547">
        <f>'Hilfstabellen_Mat&amp;Bem'!$J$61</f>
        <v>3.8</v>
      </c>
      <c r="CY122" s="546">
        <f t="shared" si="98"/>
        <v>174</v>
      </c>
      <c r="CZ122" s="551">
        <f t="shared" si="99"/>
        <v>75.652793893813026</v>
      </c>
      <c r="DA122" s="553">
        <f>CZ122/PI()*SQRT('Hilfstabellen_Mat&amp;Bem'!f.Rd.3/'Hilfstabellen_Mat&amp;Bem'!$BD$30)</f>
        <v>1.20405161069127</v>
      </c>
      <c r="DB122" s="553">
        <f>0.5*(1+'Hilfstabellen_Mat&amp;Bem'!$BD$31*(DA122-0.3)+DA122^2)</f>
        <v>1.2700727211386842</v>
      </c>
      <c r="DC122" s="550">
        <f t="shared" si="100"/>
        <v>0.59728891337116141</v>
      </c>
      <c r="DE122" s="551">
        <f t="shared" si="101"/>
        <v>18083.519141225283</v>
      </c>
      <c r="DH122" s="547">
        <f>'Hilfstabellen_Mat&amp;Bem'!$J$62</f>
        <v>3.9</v>
      </c>
      <c r="DI122" s="546">
        <f t="shared" si="102"/>
        <v>174</v>
      </c>
      <c r="DJ122" s="551">
        <f t="shared" si="103"/>
        <v>77.643656891018637</v>
      </c>
      <c r="DK122" s="553">
        <f>DJ122/PI()*SQRT('Hilfstabellen_Mat&amp;Bem'!f.Rd.3/'Hilfstabellen_Mat&amp;Bem'!$BD$30)</f>
        <v>1.235737179393672</v>
      </c>
      <c r="DL122" s="553">
        <f>0.5*(1+'Hilfstabellen_Mat&amp;Bem'!$BD$31*(DK122-0.3)+DK122^2)</f>
        <v>1.3103100472375977</v>
      </c>
      <c r="DM122" s="550">
        <f t="shared" si="104"/>
        <v>0.57272251335927837</v>
      </c>
      <c r="DO122" s="551">
        <f t="shared" si="105"/>
        <v>17339.74681446551</v>
      </c>
      <c r="DR122" s="547">
        <f>'Hilfstabellen_Mat&amp;Bem'!$J$63</f>
        <v>4</v>
      </c>
      <c r="DS122" s="546">
        <f t="shared" si="106"/>
        <v>174</v>
      </c>
      <c r="DT122" s="551">
        <f t="shared" si="107"/>
        <v>79.634519888224233</v>
      </c>
      <c r="DU122" s="553">
        <f>DT122/PI()*SQRT('Hilfstabellen_Mat&amp;Bem'!f.Rd.3/'Hilfstabellen_Mat&amp;Bem'!$BD$30)</f>
        <v>1.2674227480960738</v>
      </c>
      <c r="DV122" s="553">
        <f>0.5*(1+'Hilfstabellen_Mat&amp;Bem'!$BD$31*(DU122-0.3)+DU122^2)</f>
        <v>1.3515513486005055</v>
      </c>
      <c r="DW122" s="550">
        <f t="shared" si="108"/>
        <v>0.54916533342094176</v>
      </c>
      <c r="DY122" s="551">
        <f t="shared" si="109"/>
        <v>16626.529634652434</v>
      </c>
      <c r="EB122" s="547">
        <f>'Hilfstabellen_Mat&amp;Bem'!$J$64</f>
        <v>4.0999999999999996</v>
      </c>
      <c r="EC122" s="546">
        <f t="shared" si="110"/>
        <v>174</v>
      </c>
      <c r="ED122" s="551">
        <f t="shared" si="111"/>
        <v>81.625382885429843</v>
      </c>
      <c r="EE122" s="553">
        <f>ED122/PI()*SQRT('Hilfstabellen_Mat&amp;Bem'!f.Rd.3/'Hilfstabellen_Mat&amp;Bem'!$BD$30)</f>
        <v>1.2991083167984756</v>
      </c>
      <c r="EF122" s="553">
        <f>0.5*(1+'Hilfstabellen_Mat&amp;Bem'!$BD$31*(EE122-0.3)+EE122^2)</f>
        <v>1.3937966252274081</v>
      </c>
      <c r="EG122" s="550">
        <f t="shared" si="112"/>
        <v>0.52665988753994564</v>
      </c>
      <c r="EI122" s="551">
        <f t="shared" si="113"/>
        <v>15945.154755159394</v>
      </c>
      <c r="EL122" s="547">
        <f>'Hilfstabellen_Mat&amp;Bem'!$J$65</f>
        <v>4.2</v>
      </c>
      <c r="EM122" s="546">
        <f t="shared" si="114"/>
        <v>174</v>
      </c>
      <c r="EN122" s="551">
        <f t="shared" si="115"/>
        <v>83.616245882635454</v>
      </c>
      <c r="EO122" s="553">
        <f>EN122/PI()*SQRT('Hilfstabellen_Mat&amp;Bem'!f.Rd.3/'Hilfstabellen_Mat&amp;Bem'!$BD$30)</f>
        <v>1.3307938855008774</v>
      </c>
      <c r="EP122" s="553">
        <f>0.5*(1+'Hilfstabellen_Mat&amp;Bem'!$BD$31*(EO122-0.3)+EO122^2)</f>
        <v>1.437045877118305</v>
      </c>
      <c r="EQ122" s="550">
        <f t="shared" si="116"/>
        <v>0.50521760016106154</v>
      </c>
      <c r="ES122" s="551">
        <f t="shared" si="117"/>
        <v>15295.968062476299</v>
      </c>
    </row>
    <row r="123" spans="3:149">
      <c r="C123" s="546">
        <v>175</v>
      </c>
      <c r="D123" s="551">
        <f t="shared" si="72"/>
        <v>55.42562584220407</v>
      </c>
      <c r="E123" s="553">
        <f>$D123/PI()*SQRT('Hilfstabellen_Mat&amp;Bem'!f.Rd.3/'Hilfstabellen_Mat&amp;Bem'!$BD$30)</f>
        <v>0.88212623267486734</v>
      </c>
      <c r="F123" s="553">
        <f>0.5*(1+'Hilfstabellen_Mat&amp;Bem'!$BD$31*($E123-0.3)+$E123^2)</f>
        <v>0.91817965682032043</v>
      </c>
      <c r="G123" s="550">
        <f t="shared" si="73"/>
        <v>0.85255230944152194</v>
      </c>
      <c r="I123" s="551">
        <f t="shared" si="118"/>
        <v>26109.414476646609</v>
      </c>
      <c r="M123" s="546">
        <f t="shared" si="74"/>
        <v>175</v>
      </c>
      <c r="N123" s="551">
        <f t="shared" si="64"/>
        <v>57.405112479425647</v>
      </c>
      <c r="O123" s="553">
        <f>$N123/PI()*SQRT('Hilfstabellen_Mat&amp;Bem'!f.Rd.3/'Hilfstabellen_Mat&amp;Bem'!$BD$30)</f>
        <v>0.913630740984684</v>
      </c>
      <c r="P123" s="553">
        <f>0.5*(1+'Hilfstabellen_Mat&amp;Bem'!$BD$31*($O123-0.3)+$O123^2)</f>
        <v>0.94804210248534559</v>
      </c>
      <c r="Q123" s="550">
        <f t="shared" si="65"/>
        <v>0.83253673359456437</v>
      </c>
      <c r="S123" s="551">
        <f t="shared" si="119"/>
        <v>25496.437466333533</v>
      </c>
      <c r="W123" s="546">
        <f t="shared" si="75"/>
        <v>175</v>
      </c>
      <c r="X123" s="551">
        <f t="shared" si="66"/>
        <v>59.384599116647216</v>
      </c>
      <c r="Y123" s="553">
        <f>$X123/PI()*SQRT('Hilfstabellen_Mat&amp;Bem'!f.Rd.3/'Hilfstabellen_Mat&amp;Bem'!$BD$30)</f>
        <v>0.94513524929450066</v>
      </c>
      <c r="Z123" s="553">
        <f>0.5*(1+'Hilfstabellen_Mat&amp;Bem'!$BD$31*($Y123-0.3)+$Y123^2)</f>
        <v>0.97889708219421401</v>
      </c>
      <c r="AA123" s="550">
        <f t="shared" si="67"/>
        <v>0.8105255764739373</v>
      </c>
      <c r="AC123" s="551">
        <f t="shared" si="120"/>
        <v>24822.345779514329</v>
      </c>
      <c r="AG123" s="546">
        <f t="shared" si="76"/>
        <v>175</v>
      </c>
      <c r="AH123" s="551">
        <f t="shared" si="68"/>
        <v>61.364085753868792</v>
      </c>
      <c r="AI123" s="553">
        <f>$AH123/PI()*SQRT('Hilfstabellen_Mat&amp;Bem'!f.Rd.3/'Hilfstabellen_Mat&amp;Bem'!$BD$30)</f>
        <v>0.97663975760431743</v>
      </c>
      <c r="AJ123" s="553">
        <f>0.5*(1+'Hilfstabellen_Mat&amp;Bem'!$BD$31*($AI123-0.3)+$AI123^2)</f>
        <v>1.0107445959469259</v>
      </c>
      <c r="AK123" s="550">
        <f t="shared" si="69"/>
        <v>0.78672671826749452</v>
      </c>
      <c r="AM123" s="551">
        <f t="shared" si="121"/>
        <v>24093.505746942021</v>
      </c>
      <c r="AQ123" s="546">
        <f t="shared" si="77"/>
        <v>175</v>
      </c>
      <c r="AR123" s="551">
        <f t="shared" si="70"/>
        <v>63.343572391090362</v>
      </c>
      <c r="AS123" s="553">
        <f>$AR123/PI()*SQRT('Hilfstabellen_Mat&amp;Bem'!f.Rd.3/'Hilfstabellen_Mat&amp;Bem'!$BD$30)</f>
        <v>1.008144265914134</v>
      </c>
      <c r="AT123" s="553">
        <f>0.5*(1+'Hilfstabellen_Mat&amp;Bem'!$BD$31*($AS123-0.3)+$AS123^2)</f>
        <v>1.0435846437434808</v>
      </c>
      <c r="AU123" s="550">
        <f t="shared" si="71"/>
        <v>0.76147539544753873</v>
      </c>
      <c r="AW123" s="551">
        <f t="shared" si="122"/>
        <v>23320.183985580872</v>
      </c>
      <c r="AZ123" s="547">
        <f>'Hilfstabellen_Mat&amp;Bem'!$J$56</f>
        <v>3.3</v>
      </c>
      <c r="BA123" s="546">
        <f t="shared" si="78"/>
        <v>175</v>
      </c>
      <c r="BB123" s="551">
        <f t="shared" si="79"/>
        <v>65.323059028311945</v>
      </c>
      <c r="BC123" s="553">
        <f>BB123/PI()*SQRT('Hilfstabellen_Mat&amp;Bem'!f.Rd.3/'Hilfstabellen_Mat&amp;Bem'!$BD$30)</f>
        <v>1.0396487742239509</v>
      </c>
      <c r="BD123" s="553">
        <f>0.5*(1+'Hilfstabellen_Mat&amp;Bem'!$BD$31*(BC123-0.3)+BC123^2)</f>
        <v>1.0774172255838792</v>
      </c>
      <c r="BE123" s="550">
        <f t="shared" si="80"/>
        <v>0.7351934501679378</v>
      </c>
      <c r="BG123" s="551">
        <f t="shared" si="81"/>
        <v>22515.299411393094</v>
      </c>
      <c r="BJ123" s="547">
        <f>'Hilfstabellen_Mat&amp;Bem'!$J$57</f>
        <v>3.4</v>
      </c>
      <c r="BK123" s="546">
        <f t="shared" si="82"/>
        <v>175</v>
      </c>
      <c r="BL123" s="551">
        <f t="shared" si="83"/>
        <v>67.302545665533515</v>
      </c>
      <c r="BM123" s="553">
        <f>BL123/PI()*SQRT('Hilfstabellen_Mat&amp;Bem'!f.Rd.3/'Hilfstabellen_Mat&amp;Bem'!$BD$30)</f>
        <v>1.0711532825337675</v>
      </c>
      <c r="BN123" s="553">
        <f>0.5*(1+'Hilfstabellen_Mat&amp;Bem'!$BD$31*(BM123-0.3)+BM123^2)</f>
        <v>1.1122423414681211</v>
      </c>
      <c r="BO123" s="550">
        <f t="shared" si="84"/>
        <v>0.70833331265620547</v>
      </c>
      <c r="BQ123" s="551">
        <f t="shared" si="85"/>
        <v>21692.707700096293</v>
      </c>
      <c r="BT123" s="547">
        <f>'Hilfstabellen_Mat&amp;Bem'!$J$58</f>
        <v>3.5</v>
      </c>
      <c r="BU123" s="546">
        <f t="shared" si="86"/>
        <v>175</v>
      </c>
      <c r="BV123" s="551">
        <f t="shared" si="87"/>
        <v>69.282032302755084</v>
      </c>
      <c r="BW123" s="553">
        <f>BV123/PI()*SQRT('Hilfstabellen_Mat&amp;Bem'!f.Rd.3/'Hilfstabellen_Mat&amp;Bem'!$BD$30)</f>
        <v>1.102657790843584</v>
      </c>
      <c r="BX123" s="553">
        <f>0.5*(1+'Hilfstabellen_Mat&amp;Bem'!$BD$31*(BW123-0.3)+BW123^2)</f>
        <v>1.1480599913962055</v>
      </c>
      <c r="BY123" s="550">
        <f t="shared" si="88"/>
        <v>0.68132521956793579</v>
      </c>
      <c r="CA123" s="551">
        <f t="shared" si="89"/>
        <v>20865.584849268034</v>
      </c>
      <c r="CD123" s="547">
        <f>'Hilfstabellen_Mat&amp;Bem'!$J$59</f>
        <v>3.6</v>
      </c>
      <c r="CE123" s="546">
        <f t="shared" si="90"/>
        <v>175</v>
      </c>
      <c r="CF123" s="551">
        <f t="shared" si="91"/>
        <v>71.261518939976668</v>
      </c>
      <c r="CG123" s="553">
        <f>CF123/PI()*SQRT('Hilfstabellen_Mat&amp;Bem'!f.Rd.3/'Hilfstabellen_Mat&amp;Bem'!$BD$30)</f>
        <v>1.1341622991534008</v>
      </c>
      <c r="CH123" s="553">
        <f>0.5*(1+'Hilfstabellen_Mat&amp;Bem'!$BD$31*(CG123-0.3)+CG123^2)</f>
        <v>1.1848701753681341</v>
      </c>
      <c r="CI123" s="550">
        <f t="shared" si="92"/>
        <v>0.65454071450558182</v>
      </c>
      <c r="CK123" s="551">
        <f t="shared" si="93"/>
        <v>20045.309381733445</v>
      </c>
      <c r="CN123" s="547">
        <f>'Hilfstabellen_Mat&amp;Bem'!$J$60</f>
        <v>3.7</v>
      </c>
      <c r="CO123" s="546">
        <f t="shared" si="94"/>
        <v>175</v>
      </c>
      <c r="CP123" s="551">
        <f t="shared" si="95"/>
        <v>73.241005577198237</v>
      </c>
      <c r="CQ123" s="553">
        <f>CP123/PI()*SQRT('Hilfstabellen_Mat&amp;Bem'!f.Rd.3/'Hilfstabellen_Mat&amp;Bem'!$BD$30)</f>
        <v>1.1656668074632175</v>
      </c>
      <c r="CR123" s="553">
        <f>0.5*(1+'Hilfstabellen_Mat&amp;Bem'!$BD$31*(CQ123-0.3)+CQ123^2)</f>
        <v>1.2226728933839057</v>
      </c>
      <c r="CS123" s="550">
        <f t="shared" si="96"/>
        <v>0.62827573150379912</v>
      </c>
      <c r="CU123" s="551">
        <f t="shared" si="97"/>
        <v>19240.944277303846</v>
      </c>
      <c r="CX123" s="547">
        <f>'Hilfstabellen_Mat&amp;Bem'!$J$61</f>
        <v>3.8</v>
      </c>
      <c r="CY123" s="546">
        <f t="shared" si="98"/>
        <v>175</v>
      </c>
      <c r="CZ123" s="551">
        <f t="shared" si="99"/>
        <v>75.220492214419806</v>
      </c>
      <c r="DA123" s="553">
        <f>CZ123/PI()*SQRT('Hilfstabellen_Mat&amp;Bem'!f.Rd.3/'Hilfstabellen_Mat&amp;Bem'!$BD$30)</f>
        <v>1.1971713157730342</v>
      </c>
      <c r="DB123" s="553">
        <f>0.5*(1+'Hilfstabellen_Mat&amp;Bem'!$BD$31*(DA123-0.3)+DA123^2)</f>
        <v>1.2614681454435206</v>
      </c>
      <c r="DC123" s="550">
        <f t="shared" si="100"/>
        <v>0.60274938375214282</v>
      </c>
      <c r="DE123" s="551">
        <f t="shared" si="101"/>
        <v>18459.199877409374</v>
      </c>
      <c r="DH123" s="547">
        <f>'Hilfstabellen_Mat&amp;Bem'!$J$62</f>
        <v>3.9</v>
      </c>
      <c r="DI123" s="546">
        <f t="shared" si="102"/>
        <v>175</v>
      </c>
      <c r="DJ123" s="551">
        <f t="shared" si="103"/>
        <v>77.199978851641376</v>
      </c>
      <c r="DK123" s="553">
        <f>DJ123/PI()*SQRT('Hilfstabellen_Mat&amp;Bem'!f.Rd.3/'Hilfstabellen_Mat&amp;Bem'!$BD$30)</f>
        <v>1.2286758240828508</v>
      </c>
      <c r="DL123" s="553">
        <f>0.5*(1+'Hilfstabellen_Mat&amp;Bem'!$BD$31*(DK123-0.3)+DK123^2)</f>
        <v>1.3012559315469789</v>
      </c>
      <c r="DM123" s="550">
        <f t="shared" si="104"/>
        <v>0.5781121601738074</v>
      </c>
      <c r="DO123" s="551">
        <f t="shared" si="105"/>
        <v>17704.684905322851</v>
      </c>
      <c r="DR123" s="547">
        <f>'Hilfstabellen_Mat&amp;Bem'!$J$63</f>
        <v>4</v>
      </c>
      <c r="DS123" s="546">
        <f t="shared" si="106"/>
        <v>175</v>
      </c>
      <c r="DT123" s="551">
        <f t="shared" si="107"/>
        <v>79.179465488862959</v>
      </c>
      <c r="DU123" s="553">
        <f>DT123/PI()*SQRT('Hilfstabellen_Mat&amp;Bem'!f.Rd.3/'Hilfstabellen_Mat&amp;Bem'!$BD$30)</f>
        <v>1.2601803323926677</v>
      </c>
      <c r="DV123" s="553">
        <f>0.5*(1+'Hilfstabellen_Mat&amp;Bem'!$BD$31*(DU123-0.3)+DU123^2)</f>
        <v>1.3420362516942808</v>
      </c>
      <c r="DW123" s="550">
        <f t="shared" si="108"/>
        <v>0.55445807287425108</v>
      </c>
      <c r="DY123" s="551">
        <f t="shared" si="109"/>
        <v>16980.278481773941</v>
      </c>
      <c r="EB123" s="547">
        <f>'Hilfstabellen_Mat&amp;Bem'!$J$64</f>
        <v>4.0999999999999996</v>
      </c>
      <c r="EC123" s="546">
        <f t="shared" si="110"/>
        <v>175</v>
      </c>
      <c r="ED123" s="551">
        <f t="shared" si="111"/>
        <v>81.158952126084529</v>
      </c>
      <c r="EE123" s="553">
        <f>ED123/PI()*SQRT('Hilfstabellen_Mat&amp;Bem'!f.Rd.3/'Hilfstabellen_Mat&amp;Bem'!$BD$30)</f>
        <v>1.2916848407024843</v>
      </c>
      <c r="EF123" s="553">
        <f>0.5*(1+'Hilfstabellen_Mat&amp;Bem'!$BD$31*(EE123-0.3)+EE123^2)</f>
        <v>1.3838091058854254</v>
      </c>
      <c r="EG123" s="550">
        <f t="shared" si="112"/>
        <v>0.53183723223665536</v>
      </c>
      <c r="EI123" s="551">
        <f t="shared" si="113"/>
        <v>16287.51523724757</v>
      </c>
      <c r="EL123" s="547">
        <f>'Hilfstabellen_Mat&amp;Bem'!$J$65</f>
        <v>4.2</v>
      </c>
      <c r="EM123" s="546">
        <f t="shared" si="114"/>
        <v>175</v>
      </c>
      <c r="EN123" s="551">
        <f t="shared" si="115"/>
        <v>83.138438763306112</v>
      </c>
      <c r="EO123" s="553">
        <f>EN123/PI()*SQRT('Hilfstabellen_Mat&amp;Bem'!f.Rd.3/'Hilfstabellen_Mat&amp;Bem'!$BD$30)</f>
        <v>1.323189349012301</v>
      </c>
      <c r="EP123" s="553">
        <f>0.5*(1+'Hilfstabellen_Mat&amp;Bem'!$BD$31*(EO123-0.3)+EO123^2)</f>
        <v>1.4265744941204135</v>
      </c>
      <c r="EQ123" s="550">
        <f t="shared" si="116"/>
        <v>0.51026706373282316</v>
      </c>
      <c r="ES123" s="551">
        <f t="shared" si="117"/>
        <v>15626.92882681771</v>
      </c>
    </row>
    <row r="124" spans="3:149">
      <c r="C124" s="546">
        <v>176</v>
      </c>
      <c r="D124" s="551">
        <f t="shared" si="72"/>
        <v>55.110707513555184</v>
      </c>
      <c r="E124" s="553">
        <f>$D124/PI()*SQRT('Hilfstabellen_Mat&amp;Bem'!f.Rd.3/'Hilfstabellen_Mat&amp;Bem'!$BD$30)</f>
        <v>0.87711415180739649</v>
      </c>
      <c r="F124" s="553">
        <f>0.5*(1+'Hilfstabellen_Mat&amp;Bem'!$BD$31*($E124-0.3)+$E124^2)</f>
        <v>0.91352032524077409</v>
      </c>
      <c r="G124" s="550">
        <f t="shared" si="73"/>
        <v>0.85554620593872366</v>
      </c>
      <c r="I124" s="551">
        <f t="shared" si="118"/>
        <v>26501.399275157903</v>
      </c>
      <c r="M124" s="546">
        <f t="shared" si="74"/>
        <v>176</v>
      </c>
      <c r="N124" s="551">
        <f t="shared" si="64"/>
        <v>57.07894706761072</v>
      </c>
      <c r="O124" s="553">
        <f>$N124/PI()*SQRT('Hilfstabellen_Mat&amp;Bem'!f.Rd.3/'Hilfstabellen_Mat&amp;Bem'!$BD$30)</f>
        <v>0.90843965722908904</v>
      </c>
      <c r="P124" s="553">
        <f>0.5*(1+'Hilfstabellen_Mat&amp;Bem'!$BD$31*($O124-0.3)+$O124^2)</f>
        <v>0.94305328827470691</v>
      </c>
      <c r="Q124" s="550">
        <f t="shared" si="65"/>
        <v>0.8359755863304601</v>
      </c>
      <c r="S124" s="551">
        <f t="shared" si="119"/>
        <v>25895.179762172331</v>
      </c>
      <c r="W124" s="546">
        <f t="shared" si="75"/>
        <v>176</v>
      </c>
      <c r="X124" s="551">
        <f t="shared" si="66"/>
        <v>59.04718662166627</v>
      </c>
      <c r="Y124" s="553">
        <f>$X124/PI()*SQRT('Hilfstabellen_Mat&amp;Bem'!f.Rd.3/'Hilfstabellen_Mat&amp;Bem'!$BD$30)</f>
        <v>0.93976516265078203</v>
      </c>
      <c r="Z124" s="553">
        <f>0.5*(1+'Hilfstabellen_Mat&amp;Bem'!$BD$31*($Y124-0.3)+$Y124^2)</f>
        <v>0.97356753859856449</v>
      </c>
      <c r="AA124" s="550">
        <f t="shared" si="67"/>
        <v>0.8144113580751251</v>
      </c>
      <c r="AC124" s="551">
        <f t="shared" si="120"/>
        <v>25227.206227735074</v>
      </c>
      <c r="AG124" s="546">
        <f t="shared" si="76"/>
        <v>176</v>
      </c>
      <c r="AH124" s="551">
        <f t="shared" si="68"/>
        <v>61.015426175721807</v>
      </c>
      <c r="AI124" s="553">
        <f>$AH124/PI()*SQRT('Hilfstabellen_Mat&amp;Bem'!f.Rd.3/'Hilfstabellen_Mat&amp;Bem'!$BD$30)</f>
        <v>0.97109066807247457</v>
      </c>
      <c r="AJ124" s="553">
        <f>0.5*(1+'Hilfstabellen_Mat&amp;Bem'!$BD$31*($AI124-0.3)+$AI124^2)</f>
        <v>1.0050630762123463</v>
      </c>
      <c r="AK124" s="550">
        <f t="shared" si="69"/>
        <v>0.79103489999013765</v>
      </c>
      <c r="AM124" s="551">
        <f t="shared" si="121"/>
        <v>24503.097062094505</v>
      </c>
      <c r="AQ124" s="546">
        <f t="shared" si="77"/>
        <v>176</v>
      </c>
      <c r="AR124" s="551">
        <f t="shared" si="70"/>
        <v>62.983665729777357</v>
      </c>
      <c r="AS124" s="553">
        <f>$AR124/PI()*SQRT('Hilfstabellen_Mat&amp;Bem'!f.Rd.3/'Hilfstabellen_Mat&amp;Bem'!$BD$30)</f>
        <v>1.0024161734941675</v>
      </c>
      <c r="AT124" s="553">
        <f>0.5*(1+'Hilfstabellen_Mat&amp;Bem'!$BD$31*($AS124-0.3)+$AS124^2)</f>
        <v>1.0375399011160527</v>
      </c>
      <c r="AU124" s="550">
        <f t="shared" si="71"/>
        <v>0.76615630968545334</v>
      </c>
      <c r="AW124" s="551">
        <f t="shared" si="122"/>
        <v>23732.457848816604</v>
      </c>
      <c r="AZ124" s="547">
        <f>'Hilfstabellen_Mat&amp;Bem'!$J$56</f>
        <v>3.3</v>
      </c>
      <c r="BA124" s="546">
        <f t="shared" si="78"/>
        <v>176</v>
      </c>
      <c r="BB124" s="551">
        <f t="shared" si="79"/>
        <v>64.9519052838329</v>
      </c>
      <c r="BC124" s="553">
        <f>BB124/PI()*SQRT('Hilfstabellen_Mat&amp;Bem'!f.Rd.3/'Hilfstabellen_Mat&amp;Bem'!$BD$30)</f>
        <v>1.0337416789158602</v>
      </c>
      <c r="BD124" s="553">
        <f>0.5*(1+'Hilfstabellen_Mat&amp;Bem'!$BD$31*(BC124-0.3)+BC124^2)</f>
        <v>1.0709980133096837</v>
      </c>
      <c r="BE124" s="550">
        <f t="shared" si="80"/>
        <v>0.74017897570723978</v>
      </c>
      <c r="BG124" s="551">
        <f t="shared" si="81"/>
        <v>22927.783951507459</v>
      </c>
      <c r="BJ124" s="547">
        <f>'Hilfstabellen_Mat&amp;Bem'!$J$57</f>
        <v>3.4</v>
      </c>
      <c r="BK124" s="546">
        <f t="shared" si="82"/>
        <v>176</v>
      </c>
      <c r="BL124" s="551">
        <f t="shared" si="83"/>
        <v>66.920144837888429</v>
      </c>
      <c r="BM124" s="553">
        <f>BL124/PI()*SQRT('Hilfstabellen_Mat&amp;Bem'!f.Rd.3/'Hilfstabellen_Mat&amp;Bem'!$BD$30)</f>
        <v>1.0650671843375528</v>
      </c>
      <c r="BN124" s="553">
        <f>0.5*(1+'Hilfstabellen_Mat&amp;Bem'!$BD$31*(BM124-0.3)+BM124^2)</f>
        <v>1.1054374127932389</v>
      </c>
      <c r="BO124" s="550">
        <f t="shared" si="84"/>
        <v>0.71354641317601086</v>
      </c>
      <c r="BQ124" s="551">
        <f t="shared" si="85"/>
        <v>22102.813694540113</v>
      </c>
      <c r="BT124" s="547">
        <f>'Hilfstabellen_Mat&amp;Bem'!$J$58</f>
        <v>3.5</v>
      </c>
      <c r="BU124" s="546">
        <f t="shared" si="86"/>
        <v>176</v>
      </c>
      <c r="BV124" s="551">
        <f t="shared" si="87"/>
        <v>68.888384391943987</v>
      </c>
      <c r="BW124" s="553">
        <f>BV124/PI()*SQRT('Hilfstabellen_Mat&amp;Bem'!f.Rd.3/'Hilfstabellen_Mat&amp;Bem'!$BD$30)</f>
        <v>1.0963926897592458</v>
      </c>
      <c r="BX124" s="553">
        <f>0.5*(1+'Hilfstabellen_Mat&amp;Bem'!$BD$31*(BW124-0.3)+BW124^2)</f>
        <v>1.140858099566719</v>
      </c>
      <c r="BY124" s="550">
        <f t="shared" si="88"/>
        <v>0.686689132444818</v>
      </c>
      <c r="CA124" s="551">
        <f t="shared" si="89"/>
        <v>21270.882566610682</v>
      </c>
      <c r="CD124" s="547">
        <f>'Hilfstabellen_Mat&amp;Bem'!$J$59</f>
        <v>3.6</v>
      </c>
      <c r="CE124" s="546">
        <f t="shared" si="90"/>
        <v>176</v>
      </c>
      <c r="CF124" s="551">
        <f t="shared" si="91"/>
        <v>70.856623945999516</v>
      </c>
      <c r="CG124" s="553">
        <f>CF124/PI()*SQRT('Hilfstabellen_Mat&amp;Bem'!f.Rd.3/'Hilfstabellen_Mat&amp;Bem'!$BD$30)</f>
        <v>1.1277181951809383</v>
      </c>
      <c r="CH124" s="553">
        <f>0.5*(1+'Hilfstabellen_Mat&amp;Bem'!$BD$31*(CG124-0.3)+CG124^2)</f>
        <v>1.1772600736301233</v>
      </c>
      <c r="CI124" s="550">
        <f t="shared" si="92"/>
        <v>0.6599856093724128</v>
      </c>
      <c r="CK124" s="551">
        <f t="shared" si="93"/>
        <v>20443.714235919859</v>
      </c>
      <c r="CN124" s="547">
        <f>'Hilfstabellen_Mat&amp;Bem'!$J$60</f>
        <v>3.7</v>
      </c>
      <c r="CO124" s="546">
        <f t="shared" si="94"/>
        <v>176</v>
      </c>
      <c r="CP124" s="551">
        <f t="shared" si="95"/>
        <v>72.824863500055059</v>
      </c>
      <c r="CQ124" s="553">
        <f>CP124/PI()*SQRT('Hilfstabellen_Mat&amp;Bem'!f.Rd.3/'Hilfstabellen_Mat&amp;Bem'!$BD$30)</f>
        <v>1.1590437006026311</v>
      </c>
      <c r="CR124" s="553">
        <f>0.5*(1+'Hilfstabellen_Mat&amp;Bem'!$BD$31*(CQ124-0.3)+CQ124^2)</f>
        <v>1.2146433349834522</v>
      </c>
      <c r="CS124" s="550">
        <f t="shared" si="96"/>
        <v>0.63374226550048807</v>
      </c>
      <c r="CU124" s="551">
        <f t="shared" si="97"/>
        <v>19630.80041614312</v>
      </c>
      <c r="CX124" s="547">
        <f>'Hilfstabellen_Mat&amp;Bem'!$J$61</f>
        <v>3.8</v>
      </c>
      <c r="CY124" s="546">
        <f t="shared" si="98"/>
        <v>176</v>
      </c>
      <c r="CZ124" s="551">
        <f t="shared" si="99"/>
        <v>74.793103054110603</v>
      </c>
      <c r="DA124" s="553">
        <f>CZ124/PI()*SQRT('Hilfstabellen_Mat&amp;Bem'!f.Rd.3/'Hilfstabellen_Mat&amp;Bem'!$BD$30)</f>
        <v>1.1903692060243238</v>
      </c>
      <c r="DB124" s="553">
        <f>0.5*(1+'Hilfstabellen_Mat&amp;Bem'!$BD$31*(DA124-0.3)+DA124^2)</f>
        <v>1.2530078836267058</v>
      </c>
      <c r="DC124" s="550">
        <f t="shared" si="100"/>
        <v>0.60818970454690136</v>
      </c>
      <c r="DE124" s="551">
        <f t="shared" si="101"/>
        <v>18839.284288044815</v>
      </c>
      <c r="DH124" s="547">
        <f>'Hilfstabellen_Mat&amp;Bem'!$J$62</f>
        <v>3.9</v>
      </c>
      <c r="DI124" s="546">
        <f t="shared" si="102"/>
        <v>176</v>
      </c>
      <c r="DJ124" s="551">
        <f t="shared" si="103"/>
        <v>76.761342608166146</v>
      </c>
      <c r="DK124" s="553">
        <f>DJ124/PI()*SQRT('Hilfstabellen_Mat&amp;Bem'!f.Rd.3/'Hilfstabellen_Mat&amp;Bem'!$BD$30)</f>
        <v>1.2216947114460164</v>
      </c>
      <c r="DL124" s="553">
        <f>0.5*(1+'Hilfstabellen_Mat&amp;Bem'!$BD$31*(DK124-0.3)+DK124^2)</f>
        <v>1.2923537195598835</v>
      </c>
      <c r="DM124" s="550">
        <f t="shared" si="104"/>
        <v>0.5834892867235818</v>
      </c>
      <c r="DO124" s="551">
        <f t="shared" si="105"/>
        <v>18074.164145549668</v>
      </c>
      <c r="DR124" s="547">
        <f>'Hilfstabellen_Mat&amp;Bem'!$J$63</f>
        <v>4</v>
      </c>
      <c r="DS124" s="546">
        <f t="shared" si="106"/>
        <v>176</v>
      </c>
      <c r="DT124" s="551">
        <f t="shared" si="107"/>
        <v>78.729582162221689</v>
      </c>
      <c r="DU124" s="553">
        <f>DT124/PI()*SQRT('Hilfstabellen_Mat&amp;Bem'!f.Rd.3/'Hilfstabellen_Mat&amp;Bem'!$BD$30)</f>
        <v>1.2530202168677091</v>
      </c>
      <c r="DV124" s="553">
        <f>0.5*(1+'Hilfstabellen_Mat&amp;Bem'!$BD$31*(DU124-0.3)+DU124^2)</f>
        <v>1.3326808427829859</v>
      </c>
      <c r="DW124" s="550">
        <f t="shared" si="108"/>
        <v>0.55974447885496048</v>
      </c>
      <c r="DY124" s="551">
        <f t="shared" si="109"/>
        <v>17338.644977011256</v>
      </c>
      <c r="EB124" s="547">
        <f>'Hilfstabellen_Mat&amp;Bem'!$J$64</f>
        <v>4.0999999999999996</v>
      </c>
      <c r="EC124" s="546">
        <f t="shared" si="110"/>
        <v>176</v>
      </c>
      <c r="ED124" s="551">
        <f t="shared" si="111"/>
        <v>80.697821716277232</v>
      </c>
      <c r="EE124" s="553">
        <f>ED124/PI()*SQRT('Hilfstabellen_Mat&amp;Bem'!f.Rd.3/'Hilfstabellen_Mat&amp;Bem'!$BD$30)</f>
        <v>1.2843457222894019</v>
      </c>
      <c r="EF124" s="553">
        <f>0.5*(1+'Hilfstabellen_Mat&amp;Bem'!$BD$31*(EE124-0.3)+EE124^2)</f>
        <v>1.373989253296013</v>
      </c>
      <c r="EG124" s="550">
        <f t="shared" si="112"/>
        <v>0.53701318872712112</v>
      </c>
      <c r="EI124" s="551">
        <f t="shared" si="113"/>
        <v>16634.520534011303</v>
      </c>
      <c r="EL124" s="547">
        <f>'Hilfstabellen_Mat&amp;Bem'!$J$65</f>
        <v>4.2</v>
      </c>
      <c r="EM124" s="546">
        <f t="shared" si="114"/>
        <v>176</v>
      </c>
      <c r="EN124" s="551">
        <f t="shared" si="115"/>
        <v>82.666061270332776</v>
      </c>
      <c r="EO124" s="553">
        <f>EN124/PI()*SQRT('Hilfstabellen_Mat&amp;Bem'!f.Rd.3/'Hilfstabellen_Mat&amp;Bem'!$BD$30)</f>
        <v>1.3156712277110947</v>
      </c>
      <c r="EP124" s="553">
        <f>0.5*(1+'Hilfstabellen_Mat&amp;Bem'!$BD$31*(EO124-0.3)+EO124^2)</f>
        <v>1.4162789510989642</v>
      </c>
      <c r="EQ124" s="550">
        <f t="shared" si="116"/>
        <v>0.51531904926740091</v>
      </c>
      <c r="ES124" s="551">
        <f t="shared" si="117"/>
        <v>15962.52287010701</v>
      </c>
    </row>
    <row r="125" spans="3:149">
      <c r="C125" s="546">
        <v>177</v>
      </c>
      <c r="D125" s="551">
        <f t="shared" si="72"/>
        <v>54.799347584100069</v>
      </c>
      <c r="E125" s="553">
        <f>$D125/PI()*SQRT('Hilfstabellen_Mat&amp;Bem'!f.Rd.3/'Hilfstabellen_Mat&amp;Bem'!$BD$30)</f>
        <v>0.87215870462204392</v>
      </c>
      <c r="F125" s="553">
        <f>0.5*(1+'Hilfstabellen_Mat&amp;Bem'!$BD$31*($E125-0.3)+$E125^2)</f>
        <v>0.90893833825510306</v>
      </c>
      <c r="G125" s="550">
        <f t="shared" si="73"/>
        <v>0.85845469819713505</v>
      </c>
      <c r="I125" s="551">
        <f t="shared" si="118"/>
        <v>26894.527239818042</v>
      </c>
      <c r="M125" s="546">
        <f t="shared" si="74"/>
        <v>177</v>
      </c>
      <c r="N125" s="551">
        <f t="shared" si="64"/>
        <v>56.756467140675078</v>
      </c>
      <c r="O125" s="553">
        <f>$N125/PI()*SQRT('Hilfstabellen_Mat&amp;Bem'!f.Rd.3/'Hilfstabellen_Mat&amp;Bem'!$BD$30)</f>
        <v>0.90330722978711708</v>
      </c>
      <c r="P125" s="553">
        <f>0.5*(1+'Hilfstabellen_Mat&amp;Bem'!$BD$31*($O125-0.3)+$O125^2)</f>
        <v>0.93814733718219367</v>
      </c>
      <c r="Q125" s="550">
        <f t="shared" si="65"/>
        <v>0.83932145700266025</v>
      </c>
      <c r="S125" s="551">
        <f t="shared" si="119"/>
        <v>26295.101926436342</v>
      </c>
      <c r="W125" s="546">
        <f t="shared" si="75"/>
        <v>177</v>
      </c>
      <c r="X125" s="551">
        <f t="shared" si="66"/>
        <v>58.713586697250079</v>
      </c>
      <c r="Y125" s="553">
        <f>$X125/PI()*SQRT('Hilfstabellen_Mat&amp;Bem'!f.Rd.3/'Hilfstabellen_Mat&amp;Bem'!$BD$30)</f>
        <v>0.93445575495219002</v>
      </c>
      <c r="Z125" s="553">
        <f>0.5*(1+'Hilfstabellen_Mat&amp;Bem'!$BD$31*($Y125-0.3)+$Y125^2)</f>
        <v>0.96832656672924322</v>
      </c>
      <c r="AA125" s="550">
        <f t="shared" si="67"/>
        <v>0.81820056852432677</v>
      </c>
      <c r="AC125" s="551">
        <f t="shared" si="120"/>
        <v>25633.405611298633</v>
      </c>
      <c r="AG125" s="546">
        <f t="shared" si="76"/>
        <v>177</v>
      </c>
      <c r="AH125" s="551">
        <f t="shared" si="68"/>
        <v>60.670706253825081</v>
      </c>
      <c r="AI125" s="553">
        <f>$AH125/PI()*SQRT('Hilfstabellen_Mat&amp;Bem'!f.Rd.3/'Hilfstabellen_Mat&amp;Bem'!$BD$30)</f>
        <v>0.96560428011726307</v>
      </c>
      <c r="AJ125" s="553">
        <f>0.5*(1+'Hilfstabellen_Mat&amp;Bem'!$BD$31*($AI125-0.3)+$AI125^2)</f>
        <v>0.99947602689625203</v>
      </c>
      <c r="AK125" s="550">
        <f t="shared" si="69"/>
        <v>0.79524783026978896</v>
      </c>
      <c r="AM125" s="551">
        <f t="shared" si="121"/>
        <v>24914.319274522219</v>
      </c>
      <c r="AQ125" s="546">
        <f t="shared" si="77"/>
        <v>177</v>
      </c>
      <c r="AR125" s="551">
        <f t="shared" si="70"/>
        <v>62.627825810400083</v>
      </c>
      <c r="AS125" s="553">
        <f>$AR125/PI()*SQRT('Hilfstabellen_Mat&amp;Bem'!f.Rd.3/'Hilfstabellen_Mat&amp;Bem'!$BD$30)</f>
        <v>0.99675280528233601</v>
      </c>
      <c r="AT125" s="553">
        <f>0.5*(1+'Hilfstabellen_Mat&amp;Bem'!$BD$31*($AS125-0.3)+$AS125^2)</f>
        <v>1.03159571768322</v>
      </c>
      <c r="AU125" s="550">
        <f t="shared" si="71"/>
        <v>0.77074811808212906</v>
      </c>
      <c r="AW125" s="551">
        <f t="shared" si="122"/>
        <v>24146.767791395021</v>
      </c>
      <c r="AZ125" s="547">
        <f>'Hilfstabellen_Mat&amp;Bem'!$J$56</f>
        <v>3.3</v>
      </c>
      <c r="BA125" s="546">
        <f t="shared" si="78"/>
        <v>177</v>
      </c>
      <c r="BB125" s="551">
        <f t="shared" si="79"/>
        <v>64.584945366975077</v>
      </c>
      <c r="BC125" s="553">
        <f>BB125/PI()*SQRT('Hilfstabellen_Mat&amp;Bem'!f.Rd.3/'Hilfstabellen_Mat&amp;Bem'!$BD$30)</f>
        <v>1.0279013304474087</v>
      </c>
      <c r="BD125" s="553">
        <f>0.5*(1+'Hilfstabellen_Mat&amp;Bem'!$BD$31*(BC125-0.3)+BC125^2)</f>
        <v>1.0646856390901469</v>
      </c>
      <c r="BE125" s="550">
        <f t="shared" si="80"/>
        <v>0.74508531522134103</v>
      </c>
      <c r="BG125" s="551">
        <f t="shared" si="81"/>
        <v>23342.777840569393</v>
      </c>
      <c r="BJ125" s="547">
        <f>'Hilfstabellen_Mat&amp;Bem'!$J$57</f>
        <v>3.4</v>
      </c>
      <c r="BK125" s="546">
        <f t="shared" si="82"/>
        <v>177</v>
      </c>
      <c r="BL125" s="551">
        <f t="shared" si="83"/>
        <v>66.542064923550086</v>
      </c>
      <c r="BM125" s="553">
        <f>BL125/PI()*SQRT('Hilfstabellen_Mat&amp;Bem'!f.Rd.3/'Hilfstabellen_Mat&amp;Bem'!$BD$30)</f>
        <v>1.0590498556124819</v>
      </c>
      <c r="BN125" s="553">
        <f>0.5*(1+'Hilfstabellen_Mat&amp;Bem'!$BD$31*(BM125-0.3)+BM125^2)</f>
        <v>1.0987457911170333</v>
      </c>
      <c r="BO125" s="550">
        <f t="shared" si="84"/>
        <v>0.71869244348854866</v>
      </c>
      <c r="BQ125" s="551">
        <f t="shared" si="85"/>
        <v>22515.915562052742</v>
      </c>
      <c r="BT125" s="547">
        <f>'Hilfstabellen_Mat&amp;Bem'!$J$58</f>
        <v>3.5</v>
      </c>
      <c r="BU125" s="546">
        <f t="shared" si="86"/>
        <v>177</v>
      </c>
      <c r="BV125" s="551">
        <f t="shared" si="87"/>
        <v>68.499184480125081</v>
      </c>
      <c r="BW125" s="553">
        <f>BV125/PI()*SQRT('Hilfstabellen_Mat&amp;Bem'!f.Rd.3/'Hilfstabellen_Mat&amp;Bem'!$BD$30)</f>
        <v>1.0901983807775548</v>
      </c>
      <c r="BX125" s="553">
        <f>0.5*(1+'Hilfstabellen_Mat&amp;Bem'!$BD$31*(BW125-0.3)+BW125^2)</f>
        <v>1.133776173763879</v>
      </c>
      <c r="BY125" s="550">
        <f t="shared" si="88"/>
        <v>0.6919987265462989</v>
      </c>
      <c r="CA125" s="551">
        <f t="shared" si="89"/>
        <v>21679.628103968997</v>
      </c>
      <c r="CD125" s="547">
        <f>'Hilfstabellen_Mat&amp;Bem'!$J$59</f>
        <v>3.6</v>
      </c>
      <c r="CE125" s="546">
        <f t="shared" si="90"/>
        <v>177</v>
      </c>
      <c r="CF125" s="551">
        <f t="shared" si="91"/>
        <v>70.456304036700089</v>
      </c>
      <c r="CG125" s="553">
        <f>CF125/PI()*SQRT('Hilfstabellen_Mat&amp;Bem'!f.Rd.3/'Hilfstabellen_Mat&amp;Bem'!$BD$30)</f>
        <v>1.121346905942628</v>
      </c>
      <c r="CH125" s="553">
        <f>0.5*(1+'Hilfstabellen_Mat&amp;Bem'!$BD$31*(CG125-0.3)+CG125^2)</f>
        <v>1.1697767870306839</v>
      </c>
      <c r="CI125" s="550">
        <f t="shared" si="92"/>
        <v>0.6653883901789307</v>
      </c>
      <c r="CK125" s="551">
        <f t="shared" si="93"/>
        <v>20845.952875915718</v>
      </c>
      <c r="CN125" s="547">
        <f>'Hilfstabellen_Mat&amp;Bem'!$J$60</f>
        <v>3.7</v>
      </c>
      <c r="CO125" s="546">
        <f t="shared" si="94"/>
        <v>177</v>
      </c>
      <c r="CP125" s="551">
        <f t="shared" si="95"/>
        <v>72.413423593275084</v>
      </c>
      <c r="CQ125" s="553">
        <f>CP125/PI()*SQRT('Hilfstabellen_Mat&amp;Bem'!f.Rd.3/'Hilfstabellen_Mat&amp;Bem'!$BD$30)</f>
        <v>1.1524954311077007</v>
      </c>
      <c r="CR125" s="553">
        <f>0.5*(1+'Hilfstabellen_Mat&amp;Bem'!$BD$31*(CQ125-0.3)+CQ125^2)</f>
        <v>1.2067476309174474</v>
      </c>
      <c r="CS125" s="550">
        <f t="shared" si="96"/>
        <v>0.63917763995557497</v>
      </c>
      <c r="CU125" s="551">
        <f t="shared" si="97"/>
        <v>20024.796282168209</v>
      </c>
      <c r="CX125" s="547">
        <f>'Hilfstabellen_Mat&amp;Bem'!$J$61</f>
        <v>3.8</v>
      </c>
      <c r="CY125" s="546">
        <f t="shared" si="98"/>
        <v>177</v>
      </c>
      <c r="CZ125" s="551">
        <f t="shared" si="99"/>
        <v>74.370543149850093</v>
      </c>
      <c r="DA125" s="553">
        <f>CZ125/PI()*SQRT('Hilfstabellen_Mat&amp;Bem'!f.Rd.3/'Hilfstabellen_Mat&amp;Bem'!$BD$30)</f>
        <v>1.1836439562727739</v>
      </c>
      <c r="DB125" s="553">
        <f>0.5*(1+'Hilfstabellen_Mat&amp;Bem'!$BD$31*(DA125-0.3)+DA125^2)</f>
        <v>1.2446887054241709</v>
      </c>
      <c r="DC125" s="550">
        <f t="shared" si="100"/>
        <v>0.61360827221550818</v>
      </c>
      <c r="DE125" s="551">
        <f t="shared" si="101"/>
        <v>19223.733560239656</v>
      </c>
      <c r="DH125" s="547">
        <f>'Hilfstabellen_Mat&amp;Bem'!$J$62</f>
        <v>3.9</v>
      </c>
      <c r="DI125" s="546">
        <f t="shared" si="102"/>
        <v>177</v>
      </c>
      <c r="DJ125" s="551">
        <f t="shared" si="103"/>
        <v>76.327662706425102</v>
      </c>
      <c r="DK125" s="553">
        <f>DJ125/PI()*SQRT('Hilfstabellen_Mat&amp;Bem'!f.Rd.3/'Hilfstabellen_Mat&amp;Bem'!$BD$30)</f>
        <v>1.214792481437847</v>
      </c>
      <c r="DL125" s="553">
        <f>0.5*(1+'Hilfstabellen_Mat&amp;Bem'!$BD$31*(DK125-0.3)+DK125^2)</f>
        <v>1.2836000105508534</v>
      </c>
      <c r="DM125" s="550">
        <f t="shared" si="104"/>
        <v>0.58885249287632146</v>
      </c>
      <c r="DO125" s="551">
        <f t="shared" si="105"/>
        <v>18448.159749322276</v>
      </c>
      <c r="DR125" s="547">
        <f>'Hilfstabellen_Mat&amp;Bem'!$J$63</f>
        <v>4</v>
      </c>
      <c r="DS125" s="546">
        <f t="shared" si="106"/>
        <v>177</v>
      </c>
      <c r="DT125" s="551">
        <f t="shared" si="107"/>
        <v>78.28478226300011</v>
      </c>
      <c r="DU125" s="553">
        <f>DT125/PI()*SQRT('Hilfstabellen_Mat&amp;Bem'!f.Rd.3/'Hilfstabellen_Mat&amp;Bem'!$BD$30)</f>
        <v>1.2459410066029202</v>
      </c>
      <c r="DV125" s="553">
        <f>0.5*(1+'Hilfstabellen_Mat&amp;Bem'!$BD$31*(DU125-0.3)+DU125^2)</f>
        <v>1.3234815462974949</v>
      </c>
      <c r="DW125" s="550">
        <f t="shared" si="108"/>
        <v>0.56502334823503952</v>
      </c>
      <c r="DY125" s="551">
        <f t="shared" si="109"/>
        <v>17701.616476855554</v>
      </c>
      <c r="EB125" s="547">
        <f>'Hilfstabellen_Mat&amp;Bem'!$J$64</f>
        <v>4.0999999999999996</v>
      </c>
      <c r="EC125" s="546">
        <f t="shared" si="110"/>
        <v>177</v>
      </c>
      <c r="ED125" s="551">
        <f t="shared" si="111"/>
        <v>80.241901819575105</v>
      </c>
      <c r="EE125" s="553">
        <f>ED125/PI()*SQRT('Hilfstabellen_Mat&amp;Bem'!f.Rd.3/'Hilfstabellen_Mat&amp;Bem'!$BD$30)</f>
        <v>1.2770895317679931</v>
      </c>
      <c r="EF125" s="553">
        <f>0.5*(1+'Hilfstabellen_Mat&amp;Bem'!$BD$31*(EE125-0.3)+EE125^2)</f>
        <v>1.3643333126640957</v>
      </c>
      <c r="EG125" s="550">
        <f t="shared" si="112"/>
        <v>0.54218673254406236</v>
      </c>
      <c r="EI125" s="551">
        <f t="shared" si="113"/>
        <v>16986.168143872928</v>
      </c>
      <c r="EL125" s="547">
        <f>'Hilfstabellen_Mat&amp;Bem'!$J$65</f>
        <v>4.2</v>
      </c>
      <c r="EM125" s="546">
        <f t="shared" si="114"/>
        <v>177</v>
      </c>
      <c r="EN125" s="551">
        <f t="shared" si="115"/>
        <v>82.1990213761501</v>
      </c>
      <c r="EO125" s="553">
        <f>EN125/PI()*SQRT('Hilfstabellen_Mat&amp;Bem'!f.Rd.3/'Hilfstabellen_Mat&amp;Bem'!$BD$30)</f>
        <v>1.3082380569330658</v>
      </c>
      <c r="EP125" s="553">
        <f>0.5*(1+'Hilfstabellen_Mat&amp;Bem'!$BD$31*(EO125-0.3)+EO125^2)</f>
        <v>1.4061553096506552</v>
      </c>
      <c r="EQ125" s="550">
        <f t="shared" si="116"/>
        <v>0.52037268827504302</v>
      </c>
      <c r="ES125" s="551">
        <f t="shared" si="117"/>
        <v>16302.755950968824</v>
      </c>
    </row>
    <row r="126" spans="3:149">
      <c r="C126" s="546">
        <v>178</v>
      </c>
      <c r="D126" s="551">
        <f t="shared" si="72"/>
        <v>54.491486080818603</v>
      </c>
      <c r="E126" s="553">
        <f>$D126/PI()*SQRT('Hilfstabellen_Mat&amp;Bem'!f.Rd.3/'Hilfstabellen_Mat&amp;Bem'!$BD$30)</f>
        <v>0.86725893661854914</v>
      </c>
      <c r="F126" s="553">
        <f>0.5*(1+'Hilfstabellen_Mat&amp;Bem'!$BD$31*($E126-0.3)+$E126^2)</f>
        <v>0.9044319784032957</v>
      </c>
      <c r="G126" s="550">
        <f t="shared" si="73"/>
        <v>0.86128019920920385</v>
      </c>
      <c r="I126" s="551">
        <f t="shared" si="118"/>
        <v>27288.801831744415</v>
      </c>
      <c r="M126" s="546">
        <f t="shared" si="74"/>
        <v>178</v>
      </c>
      <c r="N126" s="551">
        <f t="shared" si="64"/>
        <v>56.437610583704988</v>
      </c>
      <c r="O126" s="553">
        <f>$N126/PI()*SQRT('Hilfstabellen_Mat&amp;Bem'!f.Rd.3/'Hilfstabellen_Mat&amp;Bem'!$BD$30)</f>
        <v>0.89823247006921181</v>
      </c>
      <c r="P126" s="553">
        <f>0.5*(1+'Hilfstabellen_Mat&amp;Bem'!$BD$31*($O126-0.3)+$O126^2)</f>
        <v>0.93332240864677929</v>
      </c>
      <c r="Q126" s="550">
        <f t="shared" si="65"/>
        <v>0.84257638632779419</v>
      </c>
      <c r="S126" s="551">
        <f t="shared" si="119"/>
        <v>26696.190224409831</v>
      </c>
      <c r="W126" s="546">
        <f t="shared" si="75"/>
        <v>178</v>
      </c>
      <c r="X126" s="551">
        <f t="shared" si="66"/>
        <v>58.383735086591372</v>
      </c>
      <c r="Y126" s="553">
        <f>$X126/PI()*SQRT('Hilfstabellen_Mat&amp;Bem'!f.Rd.3/'Hilfstabellen_Mat&amp;Bem'!$BD$30)</f>
        <v>0.92920600351987437</v>
      </c>
      <c r="Z126" s="553">
        <f>0.5*(1+'Hilfstabellen_Mat&amp;Bem'!$BD$31*($Y126-0.3)+$Y126^2)</f>
        <v>0.96317219866468207</v>
      </c>
      <c r="AA126" s="550">
        <f t="shared" si="67"/>
        <v>0.82189456947131156</v>
      </c>
      <c r="AC126" s="551">
        <f t="shared" si="120"/>
        <v>26040.907539129035</v>
      </c>
      <c r="AG126" s="546">
        <f t="shared" si="76"/>
        <v>178</v>
      </c>
      <c r="AH126" s="551">
        <f t="shared" si="68"/>
        <v>60.329859589477749</v>
      </c>
      <c r="AI126" s="553">
        <f>$AH126/PI()*SQRT('Hilfstabellen_Mat&amp;Bem'!f.Rd.3/'Hilfstabellen_Mat&amp;Bem'!$BD$30)</f>
        <v>0.96017953697053682</v>
      </c>
      <c r="AJ126" s="553">
        <f>0.5*(1+'Hilfstabellen_Mat&amp;Bem'!$BD$31*($AI126-0.3)+$AI126^2)</f>
        <v>0.99398134845700414</v>
      </c>
      <c r="AK126" s="550">
        <f t="shared" si="69"/>
        <v>0.79936599282360743</v>
      </c>
      <c r="AM126" s="551">
        <f t="shared" si="121"/>
        <v>25327.112116623179</v>
      </c>
      <c r="AQ126" s="546">
        <f t="shared" si="77"/>
        <v>178</v>
      </c>
      <c r="AR126" s="551">
        <f t="shared" si="70"/>
        <v>62.275984092364126</v>
      </c>
      <c r="AS126" s="553">
        <f>$AR126/PI()*SQRT('Hilfstabellen_Mat&amp;Bem'!f.Rd.3/'Hilfstabellen_Mat&amp;Bem'!$BD$30)</f>
        <v>0.99115307042119927</v>
      </c>
      <c r="AT126" s="553">
        <f>0.5*(1+'Hilfstabellen_Mat&amp;Bem'!$BD$31*($AS126-0.3)+$AS126^2)</f>
        <v>1.0257498580237454</v>
      </c>
      <c r="AU126" s="550">
        <f t="shared" si="71"/>
        <v>0.77525040913405519</v>
      </c>
      <c r="AW126" s="551">
        <f t="shared" si="122"/>
        <v>24563.033963003403</v>
      </c>
      <c r="AZ126" s="547">
        <f>'Hilfstabellen_Mat&amp;Bem'!$J$56</f>
        <v>3.3</v>
      </c>
      <c r="BA126" s="546">
        <f t="shared" si="78"/>
        <v>178</v>
      </c>
      <c r="BB126" s="551">
        <f t="shared" si="79"/>
        <v>64.222108595250504</v>
      </c>
      <c r="BC126" s="553">
        <f>BB126/PI()*SQRT('Hilfstabellen_Mat&amp;Bem'!f.Rd.3/'Hilfstabellen_Mat&amp;Bem'!$BD$30)</f>
        <v>1.0221266038718617</v>
      </c>
      <c r="BD126" s="553">
        <f>0.5*(1+'Hilfstabellen_Mat&amp;Bem'!$BD$31*(BC126-0.3)+BC126^2)</f>
        <v>1.058477727364906</v>
      </c>
      <c r="BE126" s="550">
        <f t="shared" si="80"/>
        <v>0.74991131801754318</v>
      </c>
      <c r="BG126" s="551">
        <f t="shared" si="81"/>
        <v>23760.190200067838</v>
      </c>
      <c r="BJ126" s="547">
        <f>'Hilfstabellen_Mat&amp;Bem'!$J$57</f>
        <v>3.4</v>
      </c>
      <c r="BK126" s="546">
        <f t="shared" si="82"/>
        <v>178</v>
      </c>
      <c r="BL126" s="551">
        <f t="shared" si="83"/>
        <v>66.168233098136881</v>
      </c>
      <c r="BM126" s="553">
        <f>BL126/PI()*SQRT('Hilfstabellen_Mat&amp;Bem'!f.Rd.3/'Hilfstabellen_Mat&amp;Bem'!$BD$30)</f>
        <v>1.0531001373225242</v>
      </c>
      <c r="BN126" s="553">
        <f>0.5*(1+'Hilfstabellen_Mat&amp;Bem'!$BD$31*(BM126-0.3)+BM126^2)</f>
        <v>1.0921649564804858</v>
      </c>
      <c r="BO126" s="550">
        <f t="shared" si="84"/>
        <v>0.72376976557765182</v>
      </c>
      <c r="BQ126" s="551">
        <f t="shared" si="85"/>
        <v>22931.921252562319</v>
      </c>
      <c r="BT126" s="547">
        <f>'Hilfstabellen_Mat&amp;Bem'!$J$58</f>
        <v>3.5</v>
      </c>
      <c r="BU126" s="546">
        <f t="shared" si="86"/>
        <v>178</v>
      </c>
      <c r="BV126" s="551">
        <f t="shared" si="87"/>
        <v>68.114357601023272</v>
      </c>
      <c r="BW126" s="553">
        <f>BV126/PI()*SQRT('Hilfstabellen_Mat&amp;Bem'!f.Rd.3/'Hilfstabellen_Mat&amp;Bem'!$BD$30)</f>
        <v>1.0840736707731868</v>
      </c>
      <c r="BX126" s="553">
        <f>0.5*(1+'Hilfstabellen_Mat&amp;Bem'!$BD$31*(BW126-0.3)+BW126^2)</f>
        <v>1.1268115453704852</v>
      </c>
      <c r="BY126" s="550">
        <f t="shared" si="88"/>
        <v>0.69725213345267911</v>
      </c>
      <c r="CA126" s="551">
        <f t="shared" si="89"/>
        <v>22091.736596314684</v>
      </c>
      <c r="CD126" s="547">
        <f>'Hilfstabellen_Mat&amp;Bem'!$J$59</f>
        <v>3.6</v>
      </c>
      <c r="CE126" s="546">
        <f t="shared" si="90"/>
        <v>178</v>
      </c>
      <c r="CF126" s="551">
        <f t="shared" si="91"/>
        <v>70.060482103909649</v>
      </c>
      <c r="CG126" s="553">
        <f>CF126/PI()*SQRT('Hilfstabellen_Mat&amp;Bem'!f.Rd.3/'Hilfstabellen_Mat&amp;Bem'!$BD$30)</f>
        <v>1.1150472042238493</v>
      </c>
      <c r="CH126" s="553">
        <f>0.5*(1+'Hilfstabellen_Mat&amp;Bem'!$BD$31*(CG126-0.3)+CG126^2)</f>
        <v>1.1624174940349037</v>
      </c>
      <c r="CI126" s="550">
        <f t="shared" si="92"/>
        <v>0.67074716124598688</v>
      </c>
      <c r="CK126" s="551">
        <f t="shared" si="93"/>
        <v>21251.95305691785</v>
      </c>
      <c r="CN126" s="547">
        <f>'Hilfstabellen_Mat&amp;Bem'!$J$60</f>
        <v>3.7</v>
      </c>
      <c r="CO126" s="546">
        <f t="shared" si="94"/>
        <v>178</v>
      </c>
      <c r="CP126" s="551">
        <f t="shared" si="95"/>
        <v>72.006606606796026</v>
      </c>
      <c r="CQ126" s="553">
        <f>CP126/PI()*SQRT('Hilfstabellen_Mat&amp;Bem'!f.Rd.3/'Hilfstabellen_Mat&amp;Bem'!$BD$30)</f>
        <v>1.1460207376745117</v>
      </c>
      <c r="CR126" s="553">
        <f>0.5*(1+'Hilfstabellen_Mat&amp;Bem'!$BD$31*(CQ126-0.3)+CQ126^2)</f>
        <v>1.1989828024737417</v>
      </c>
      <c r="CS126" s="550">
        <f t="shared" si="96"/>
        <v>0.64458006347384578</v>
      </c>
      <c r="CU126" s="551">
        <f t="shared" si="97"/>
        <v>20422.87473110533</v>
      </c>
      <c r="CX126" s="547">
        <f>'Hilfstabellen_Mat&amp;Bem'!$J$61</f>
        <v>3.8</v>
      </c>
      <c r="CY126" s="546">
        <f t="shared" si="98"/>
        <v>178</v>
      </c>
      <c r="CZ126" s="551">
        <f t="shared" si="99"/>
        <v>73.952731109682404</v>
      </c>
      <c r="DA126" s="553">
        <f>CZ126/PI()*SQRT('Hilfstabellen_Mat&amp;Bem'!f.Rd.3/'Hilfstabellen_Mat&amp;Bem'!$BD$30)</f>
        <v>1.1769942711251742</v>
      </c>
      <c r="DB126" s="553">
        <f>0.5*(1+'Hilfstabellen_Mat&amp;Bem'!$BD$31*(DA126-0.3)+DA126^2)</f>
        <v>1.2365074706869987</v>
      </c>
      <c r="DC126" s="550">
        <f t="shared" si="100"/>
        <v>0.61900346845086263</v>
      </c>
      <c r="DE126" s="551">
        <f t="shared" si="101"/>
        <v>19612.505894397131</v>
      </c>
      <c r="DH126" s="547">
        <f>'Hilfstabellen_Mat&amp;Bem'!$J$62</f>
        <v>3.9</v>
      </c>
      <c r="DI126" s="546">
        <f t="shared" si="102"/>
        <v>178</v>
      </c>
      <c r="DJ126" s="551">
        <f t="shared" si="103"/>
        <v>75.898855612568781</v>
      </c>
      <c r="DK126" s="553">
        <f>DJ126/PI()*SQRT('Hilfstabellen_Mat&amp;Bem'!f.Rd.3/'Hilfstabellen_Mat&amp;Bem'!$BD$30)</f>
        <v>1.2079678045758366</v>
      </c>
      <c r="DL126" s="553">
        <f>0.5*(1+'Hilfstabellen_Mat&amp;Bem'!$BD$31*(DK126-0.3)+DK126^2)</f>
        <v>1.2749914986746751</v>
      </c>
      <c r="DM126" s="550">
        <f t="shared" si="104"/>
        <v>0.59420035790658721</v>
      </c>
      <c r="DO126" s="551">
        <f t="shared" si="105"/>
        <v>18826.64413991231</v>
      </c>
      <c r="DR126" s="547">
        <f>'Hilfstabellen_Mat&amp;Bem'!$J$63</f>
        <v>4</v>
      </c>
      <c r="DS126" s="546">
        <f t="shared" si="106"/>
        <v>178</v>
      </c>
      <c r="DT126" s="551">
        <f t="shared" si="107"/>
        <v>77.844980115455158</v>
      </c>
      <c r="DU126" s="553">
        <f>DT126/PI()*SQRT('Hilfstabellen_Mat&amp;Bem'!f.Rd.3/'Hilfstabellen_Mat&amp;Bem'!$BD$30)</f>
        <v>1.2389413380264991</v>
      </c>
      <c r="DV126" s="553">
        <f>0.5*(1+'Hilfstabellen_Mat&amp;Bem'!$BD$31*(DU126-0.3)+DU126^2)</f>
        <v>1.314434886436771</v>
      </c>
      <c r="DW126" s="550">
        <f t="shared" si="108"/>
        <v>0.57029345563495704</v>
      </c>
      <c r="DY126" s="551">
        <f t="shared" si="109"/>
        <v>18069.177848337979</v>
      </c>
      <c r="EB126" s="547">
        <f>'Hilfstabellen_Mat&amp;Bem'!$J$64</f>
        <v>4.0999999999999996</v>
      </c>
      <c r="EC126" s="546">
        <f t="shared" si="110"/>
        <v>178</v>
      </c>
      <c r="ED126" s="551">
        <f t="shared" si="111"/>
        <v>79.791104618341535</v>
      </c>
      <c r="EE126" s="553">
        <f>ED126/PI()*SQRT('Hilfstabellen_Mat&amp;Bem'!f.Rd.3/'Hilfstabellen_Mat&amp;Bem'!$BD$30)</f>
        <v>1.2699148714771615</v>
      </c>
      <c r="EF126" s="553">
        <f>0.5*(1+'Hilfstabellen_Mat&amp;Bem'!$BD$31*(EE126-0.3)+EE126^2)</f>
        <v>1.3548376339732859</v>
      </c>
      <c r="EG126" s="550">
        <f t="shared" si="112"/>
        <v>0.54735681765237365</v>
      </c>
      <c r="EI126" s="551">
        <f t="shared" si="113"/>
        <v>17342.453410497808</v>
      </c>
      <c r="EL126" s="547">
        <f>'Hilfstabellen_Mat&amp;Bem'!$J$65</f>
        <v>4.2</v>
      </c>
      <c r="EM126" s="546">
        <f t="shared" si="114"/>
        <v>178</v>
      </c>
      <c r="EN126" s="551">
        <f t="shared" si="115"/>
        <v>81.737229121227912</v>
      </c>
      <c r="EO126" s="553">
        <f>EN126/PI()*SQRT('Hilfstabellen_Mat&amp;Bem'!f.Rd.3/'Hilfstabellen_Mat&amp;Bem'!$BD$30)</f>
        <v>1.300888404927824</v>
      </c>
      <c r="EP126" s="553">
        <f>0.5*(1+'Hilfstabellen_Mat&amp;Bem'!$BD$31*(EO126-0.3)+EO126^2)</f>
        <v>1.3961997412842204</v>
      </c>
      <c r="EQ126" s="550">
        <f t="shared" si="116"/>
        <v>0.52542709253028952</v>
      </c>
      <c r="ES126" s="551">
        <f t="shared" si="117"/>
        <v>16647.631999729692</v>
      </c>
    </row>
    <row r="127" spans="3:149">
      <c r="C127" s="546">
        <v>179</v>
      </c>
      <c r="D127" s="551">
        <f t="shared" si="72"/>
        <v>54.187064370869905</v>
      </c>
      <c r="E127" s="553">
        <f>$D127/PI()*SQRT('Hilfstabellen_Mat&amp;Bem'!f.Rd.3/'Hilfstabellen_Mat&amp;Bem'!$BD$30)</f>
        <v>0.86241391462626693</v>
      </c>
      <c r="F127" s="553">
        <f>0.5*(1+'Hilfstabellen_Mat&amp;Bem'!$BD$31*($E127-0.3)+$E127^2)</f>
        <v>0.89999957580181444</v>
      </c>
      <c r="G127" s="550">
        <f t="shared" si="73"/>
        <v>0.8640251102479789</v>
      </c>
      <c r="I127" s="551">
        <f t="shared" si="118"/>
        <v>27684.228557455492</v>
      </c>
      <c r="M127" s="546">
        <f t="shared" si="74"/>
        <v>179</v>
      </c>
      <c r="N127" s="551">
        <f t="shared" si="64"/>
        <v>56.122316669829537</v>
      </c>
      <c r="O127" s="553">
        <f>$N127/PI()*SQRT('Hilfstabellen_Mat&amp;Bem'!f.Rd.3/'Hilfstabellen_Mat&amp;Bem'!$BD$30)</f>
        <v>0.89321441157720494</v>
      </c>
      <c r="P127" s="553">
        <f>0.5*(1+'Hilfstabellen_Mat&amp;Bem'!$BD$31*($O127-0.3)+$O127^2)</f>
        <v>0.92857671310346657</v>
      </c>
      <c r="Q127" s="550">
        <f t="shared" si="65"/>
        <v>0.84574246243611384</v>
      </c>
      <c r="S127" s="551">
        <f t="shared" si="119"/>
        <v>27098.434238915524</v>
      </c>
      <c r="W127" s="546">
        <f t="shared" si="75"/>
        <v>179</v>
      </c>
      <c r="X127" s="551">
        <f t="shared" si="66"/>
        <v>58.057568968789177</v>
      </c>
      <c r="Y127" s="553">
        <f>$X127/PI()*SQRT('Hilfstabellen_Mat&amp;Bem'!f.Rd.3/'Hilfstabellen_Mat&amp;Bem'!$BD$30)</f>
        <v>0.92401490852814305</v>
      </c>
      <c r="Z127" s="553">
        <f>0.5*(1+'Hilfstabellen_Mat&amp;Bem'!$BD$31*($Y127-0.3)+$Y127^2)</f>
        <v>0.95810252101754345</v>
      </c>
      <c r="AA127" s="550">
        <f t="shared" si="67"/>
        <v>0.8254948304374673</v>
      </c>
      <c r="AC127" s="551">
        <f t="shared" si="120"/>
        <v>26449.679862046891</v>
      </c>
      <c r="AG127" s="546">
        <f t="shared" si="76"/>
        <v>179</v>
      </c>
      <c r="AH127" s="551">
        <f t="shared" si="68"/>
        <v>59.992821267748823</v>
      </c>
      <c r="AI127" s="553">
        <f>$AH127/PI()*SQRT('Hilfstabellen_Mat&amp;Bem'!f.Rd.3/'Hilfstabellen_Mat&amp;Bem'!$BD$30)</f>
        <v>0.95481540547908128</v>
      </c>
      <c r="AJ127" s="553">
        <f>0.5*(1+'Hilfstabellen_Mat&amp;Bem'!$BD$31*($AI127-0.3)+$AI127^2)</f>
        <v>0.98857699954404521</v>
      </c>
      <c r="AK127" s="550">
        <f t="shared" si="69"/>
        <v>0.80339002066090659</v>
      </c>
      <c r="AM127" s="551">
        <f t="shared" si="121"/>
        <v>25741.419651996108</v>
      </c>
      <c r="AQ127" s="546">
        <f t="shared" si="77"/>
        <v>179</v>
      </c>
      <c r="AR127" s="551">
        <f t="shared" si="70"/>
        <v>61.928073566708456</v>
      </c>
      <c r="AS127" s="553">
        <f>$AR127/PI()*SQRT('Hilfstabellen_Mat&amp;Bem'!f.Rd.3/'Hilfstabellen_Mat&amp;Bem'!$BD$30)</f>
        <v>0.98561590243001929</v>
      </c>
      <c r="AT127" s="553">
        <f>0.5*(1+'Hilfstabellen_Mat&amp;Bem'!$BD$31*($AS127-0.3)+$AS127^2)</f>
        <v>1.0200001486829717</v>
      </c>
      <c r="AU127" s="550">
        <f t="shared" si="71"/>
        <v>0.77966292981214969</v>
      </c>
      <c r="AW127" s="551">
        <f t="shared" si="122"/>
        <v>24981.179934111089</v>
      </c>
      <c r="AZ127" s="547">
        <f>'Hilfstabellen_Mat&amp;Bem'!$J$56</f>
        <v>3.3</v>
      </c>
      <c r="BA127" s="546">
        <f t="shared" si="78"/>
        <v>179</v>
      </c>
      <c r="BB127" s="551">
        <f t="shared" si="79"/>
        <v>63.863325865668102</v>
      </c>
      <c r="BC127" s="553">
        <f>BB127/PI()*SQRT('Hilfstabellen_Mat&amp;Bem'!f.Rd.3/'Hilfstabellen_Mat&amp;Bem'!$BD$30)</f>
        <v>1.0164163993809576</v>
      </c>
      <c r="BD127" s="553">
        <f>0.5*(1+'Hilfstabellen_Mat&amp;Bem'!$BD$31*(BC127-0.3)+BC127^2)</f>
        <v>1.0523719684343229</v>
      </c>
      <c r="BE127" s="550">
        <f t="shared" si="80"/>
        <v>0.75465597063518797</v>
      </c>
      <c r="BG127" s="551">
        <f t="shared" si="81"/>
        <v>24179.931955122058</v>
      </c>
      <c r="BJ127" s="547">
        <f>'Hilfstabellen_Mat&amp;Bem'!$J$57</f>
        <v>3.4</v>
      </c>
      <c r="BK127" s="546">
        <f t="shared" si="82"/>
        <v>179</v>
      </c>
      <c r="BL127" s="551">
        <f t="shared" si="83"/>
        <v>65.798578164627742</v>
      </c>
      <c r="BM127" s="553">
        <f>BL127/PI()*SQRT('Hilfstabellen_Mat&amp;Bem'!f.Rd.3/'Hilfstabellen_Mat&amp;Bem'!$BD$30)</f>
        <v>1.0472168963318955</v>
      </c>
      <c r="BN127" s="553">
        <f>0.5*(1+'Hilfstabellen_Mat&amp;Bem'!$BD$31*(BM127-0.3)+BM127^2)</f>
        <v>1.0856924587980987</v>
      </c>
      <c r="BO127" s="550">
        <f t="shared" si="84"/>
        <v>0.72877684025336897</v>
      </c>
      <c r="BQ127" s="551">
        <f t="shared" si="85"/>
        <v>23350.738738558197</v>
      </c>
      <c r="BT127" s="547">
        <f>'Hilfstabellen_Mat&amp;Bem'!$J$58</f>
        <v>3.5</v>
      </c>
      <c r="BU127" s="546">
        <f t="shared" si="86"/>
        <v>179</v>
      </c>
      <c r="BV127" s="551">
        <f t="shared" si="87"/>
        <v>67.733830463587381</v>
      </c>
      <c r="BW127" s="553">
        <f>BV127/PI()*SQRT('Hilfstabellen_Mat&amp;Bem'!f.Rd.3/'Hilfstabellen_Mat&amp;Bem'!$BD$30)</f>
        <v>1.0780173932828336</v>
      </c>
      <c r="BX127" s="553">
        <f>0.5*(1+'Hilfstabellen_Mat&amp;Bem'!$BD$31*(BW127-0.3)+BW127^2)</f>
        <v>1.1199616197742994</v>
      </c>
      <c r="BY127" s="550">
        <f t="shared" si="88"/>
        <v>0.70244754284990296</v>
      </c>
      <c r="CA127" s="551">
        <f t="shared" si="89"/>
        <v>22507.121720453742</v>
      </c>
      <c r="CD127" s="547">
        <f>'Hilfstabellen_Mat&amp;Bem'!$J$59</f>
        <v>3.6</v>
      </c>
      <c r="CE127" s="546">
        <f t="shared" si="90"/>
        <v>179</v>
      </c>
      <c r="CF127" s="551">
        <f t="shared" si="91"/>
        <v>69.669082762547021</v>
      </c>
      <c r="CG127" s="553">
        <f>CF127/PI()*SQRT('Hilfstabellen_Mat&amp;Bem'!f.Rd.3/'Hilfstabellen_Mat&amp;Bem'!$BD$30)</f>
        <v>1.108817890233772</v>
      </c>
      <c r="CH127" s="553">
        <f>0.5*(1+'Hilfstabellen_Mat&amp;Bem'!$BD$31*(CG127-0.3)+CG127^2)</f>
        <v>1.1551794513629252</v>
      </c>
      <c r="CI127" s="550">
        <f t="shared" si="92"/>
        <v>0.67606005146017412</v>
      </c>
      <c r="CK127" s="551">
        <f t="shared" si="93"/>
        <v>21661.64010883544</v>
      </c>
      <c r="CN127" s="547">
        <f>'Hilfstabellen_Mat&amp;Bem'!$J$60</f>
        <v>3.7</v>
      </c>
      <c r="CO127" s="546">
        <f t="shared" si="94"/>
        <v>179</v>
      </c>
      <c r="CP127" s="551">
        <f t="shared" si="95"/>
        <v>71.604335061506646</v>
      </c>
      <c r="CQ127" s="553">
        <f>CP127/PI()*SQRT('Hilfstabellen_Mat&amp;Bem'!f.Rd.3/'Hilfstabellen_Mat&amp;Bem'!$BD$30)</f>
        <v>1.1396183871847096</v>
      </c>
      <c r="CR127" s="553">
        <f>0.5*(1+'Hilfstabellen_Mat&amp;Bem'!$BD$31*(CQ127-0.3)+CQ127^2)</f>
        <v>1.191345953563975</v>
      </c>
      <c r="CS127" s="550">
        <f t="shared" si="96"/>
        <v>0.64994774600808725</v>
      </c>
      <c r="CU127" s="551">
        <f t="shared" si="97"/>
        <v>20824.975729845122</v>
      </c>
      <c r="CX127" s="547">
        <f>'Hilfstabellen_Mat&amp;Bem'!$J$61</f>
        <v>3.8</v>
      </c>
      <c r="CY127" s="546">
        <f t="shared" si="98"/>
        <v>179</v>
      </c>
      <c r="CZ127" s="551">
        <f t="shared" si="99"/>
        <v>73.5395873604663</v>
      </c>
      <c r="DA127" s="553">
        <f>CZ127/PI()*SQRT('Hilfstabellen_Mat&amp;Bem'!f.Rd.3/'Hilfstabellen_Mat&amp;Bem'!$BD$30)</f>
        <v>1.170418884135648</v>
      </c>
      <c r="DB127" s="553">
        <f>0.5*(1+'Hilfstabellen_Mat&amp;Bem'!$BD$31*(DA127-0.3)+DA127^2)</f>
        <v>1.2284611263774501</v>
      </c>
      <c r="DC127" s="550">
        <f t="shared" si="100"/>
        <v>0.62437366248575243</v>
      </c>
      <c r="DE127" s="551">
        <f t="shared" si="101"/>
        <v>20005.556519705995</v>
      </c>
      <c r="DH127" s="547">
        <f>'Hilfstabellen_Mat&amp;Bem'!$J$62</f>
        <v>3.9</v>
      </c>
      <c r="DI127" s="546">
        <f t="shared" si="102"/>
        <v>179</v>
      </c>
      <c r="DJ127" s="551">
        <f t="shared" si="103"/>
        <v>75.474839659425939</v>
      </c>
      <c r="DK127" s="553">
        <f>DJ127/PI()*SQRT('Hilfstabellen_Mat&amp;Bem'!f.Rd.3/'Hilfstabellen_Mat&amp;Bem'!$BD$30)</f>
        <v>1.2012193810865863</v>
      </c>
      <c r="DL127" s="553">
        <f>0.5*(1+'Hilfstabellen_Mat&amp;Bem'!$BD$31*(DK127-0.3)+DK127^2)</f>
        <v>1.2665249698033501</v>
      </c>
      <c r="DM127" s="550">
        <f t="shared" si="104"/>
        <v>0.5995314417864982</v>
      </c>
      <c r="DO127" s="551">
        <f t="shared" si="105"/>
        <v>19209.58692628119</v>
      </c>
      <c r="DR127" s="547">
        <f>'Hilfstabellen_Mat&amp;Bem'!$J$63</f>
        <v>4</v>
      </c>
      <c r="DS127" s="546">
        <f t="shared" si="106"/>
        <v>179</v>
      </c>
      <c r="DT127" s="551">
        <f t="shared" si="107"/>
        <v>77.410091958385564</v>
      </c>
      <c r="DU127" s="553">
        <f>DT127/PI()*SQRT('Hilfstabellen_Mat&amp;Bem'!f.Rd.3/'Hilfstabellen_Mat&amp;Bem'!$BD$30)</f>
        <v>1.232019878037524</v>
      </c>
      <c r="DV127" s="553">
        <f>0.5*(1+'Hilfstabellen_Mat&amp;Bem'!$BD$31*(DU127-0.3)+DU127^2)</f>
        <v>1.305537483841674</v>
      </c>
      <c r="DW127" s="550">
        <f t="shared" si="108"/>
        <v>0.57555355403502528</v>
      </c>
      <c r="DY127" s="551">
        <f t="shared" si="109"/>
        <v>18441.311424836244</v>
      </c>
      <c r="EB127" s="547">
        <f>'Hilfstabellen_Mat&amp;Bem'!$J$64</f>
        <v>4.0999999999999996</v>
      </c>
      <c r="EC127" s="546">
        <f t="shared" si="110"/>
        <v>179</v>
      </c>
      <c r="ED127" s="551">
        <f t="shared" si="111"/>
        <v>79.345344257345218</v>
      </c>
      <c r="EE127" s="553">
        <f>ED127/PI()*SQRT('Hilfstabellen_Mat&amp;Bem'!f.Rd.3/'Hilfstabellen_Mat&amp;Bem'!$BD$30)</f>
        <v>1.2628203749884623</v>
      </c>
      <c r="EF127" s="553">
        <f>0.5*(1+'Hilfstabellen_Mat&amp;Bem'!$BD$31*(EE127-0.3)+EE127^2)</f>
        <v>1.3454986684924233</v>
      </c>
      <c r="EG127" s="550">
        <f t="shared" si="112"/>
        <v>0.55252237664373305</v>
      </c>
      <c r="EI127" s="551">
        <f t="shared" si="113"/>
        <v>17703.369470041849</v>
      </c>
      <c r="EL127" s="547">
        <f>'Hilfstabellen_Mat&amp;Bem'!$J$65</f>
        <v>4.2</v>
      </c>
      <c r="EM127" s="546">
        <f t="shared" si="114"/>
        <v>179</v>
      </c>
      <c r="EN127" s="551">
        <f t="shared" si="115"/>
        <v>81.280596556304843</v>
      </c>
      <c r="EO127" s="553">
        <f>EN127/PI()*SQRT('Hilfstabellen_Mat&amp;Bem'!f.Rd.3/'Hilfstabellen_Mat&amp;Bem'!$BD$30)</f>
        <v>1.2936208719394002</v>
      </c>
      <c r="EP127" s="553">
        <f>0.5*(1+'Hilfstabellen_Mat&amp;Bem'!$BD$31*(EO127-0.3)+EO127^2)</f>
        <v>1.386408523755597</v>
      </c>
      <c r="EQ127" s="550">
        <f t="shared" si="116"/>
        <v>0.5304813540307991</v>
      </c>
      <c r="ES127" s="551">
        <f t="shared" si="117"/>
        <v>16997.153064500835</v>
      </c>
    </row>
    <row r="128" spans="3:149">
      <c r="C128" s="546">
        <v>180</v>
      </c>
      <c r="D128" s="551">
        <f t="shared" si="72"/>
        <v>53.886025124365069</v>
      </c>
      <c r="E128" s="553">
        <f>$D128/PI()*SQRT('Hilfstabellen_Mat&amp;Bem'!f.Rd.3/'Hilfstabellen_Mat&amp;Bem'!$BD$30)</f>
        <v>0.85762272621167657</v>
      </c>
      <c r="F128" s="553">
        <f>0.5*(1+'Hilfstabellen_Mat&amp;Bem'!$BD$31*($E128-0.3)+$E128^2)</f>
        <v>0.8956395065679581</v>
      </c>
      <c r="G128" s="550">
        <f t="shared" si="73"/>
        <v>0.86669181327531264</v>
      </c>
      <c r="I128" s="551">
        <f t="shared" si="118"/>
        <v>28080.814750120131</v>
      </c>
      <c r="M128" s="546">
        <f t="shared" si="74"/>
        <v>180</v>
      </c>
      <c r="N128" s="551">
        <f t="shared" si="64"/>
        <v>55.810526021663819</v>
      </c>
      <c r="O128" s="553">
        <f>$N128/PI()*SQRT('Hilfstabellen_Mat&amp;Bem'!f.Rd.3/'Hilfstabellen_Mat&amp;Bem'!$BD$30)</f>
        <v>0.888252109290665</v>
      </c>
      <c r="P128" s="553">
        <f>0.5*(1+'Hilfstabellen_Mat&amp;Bem'!$BD$31*($O128-0.3)+$O128^2)</f>
        <v>0.92390851029419108</v>
      </c>
      <c r="Q128" s="550">
        <f t="shared" si="65"/>
        <v>0.84882180979614574</v>
      </c>
      <c r="S128" s="551">
        <f t="shared" si="119"/>
        <v>27501.826637395123</v>
      </c>
      <c r="W128" s="546">
        <f t="shared" si="75"/>
        <v>180</v>
      </c>
      <c r="X128" s="551">
        <f t="shared" si="66"/>
        <v>57.735026918962575</v>
      </c>
      <c r="Y128" s="553">
        <f>$X128/PI()*SQRT('Hilfstabellen_Mat&amp;Bem'!f.Rd.3/'Hilfstabellen_Mat&amp;Bem'!$BD$30)</f>
        <v>0.91888149236965355</v>
      </c>
      <c r="Z128" s="553">
        <f>0.5*(1+'Hilfstabellen_Mat&amp;Bem'!$BD$31*($Y128-0.3)+$Y128^2)</f>
        <v>0.95311567312822354</v>
      </c>
      <c r="AA128" s="550">
        <f t="shared" si="67"/>
        <v>0.8290029172295762</v>
      </c>
      <c r="AC128" s="551">
        <f t="shared" si="120"/>
        <v>26859.69451823827</v>
      </c>
      <c r="AG128" s="546">
        <f t="shared" si="76"/>
        <v>180</v>
      </c>
      <c r="AH128" s="551">
        <f t="shared" si="68"/>
        <v>59.659527816261324</v>
      </c>
      <c r="AI128" s="553">
        <f>$AH128/PI()*SQRT('Hilfstabellen_Mat&amp;Bem'!f.Rd.3/'Hilfstabellen_Mat&amp;Bem'!$BD$30)</f>
        <v>0.94951087544864188</v>
      </c>
      <c r="AJ128" s="553">
        <f>0.5*(1+'Hilfstabellen_Mat&amp;Bem'!$BD$31*($AI128-0.3)+$AI128^2)</f>
        <v>0.98326099507005527</v>
      </c>
      <c r="AK128" s="550">
        <f t="shared" si="69"/>
        <v>0.80732068778157773</v>
      </c>
      <c r="AM128" s="551">
        <f t="shared" si="121"/>
        <v>26157.190284123117</v>
      </c>
      <c r="AQ128" s="546">
        <f t="shared" si="77"/>
        <v>180</v>
      </c>
      <c r="AR128" s="551">
        <f t="shared" si="70"/>
        <v>61.58402871356008</v>
      </c>
      <c r="AS128" s="553">
        <f>$AR128/PI()*SQRT('Hilfstabellen_Mat&amp;Bem'!f.Rd.3/'Hilfstabellen_Mat&amp;Bem'!$BD$30)</f>
        <v>0.98014025852763043</v>
      </c>
      <c r="AT128" s="553">
        <f>0.5*(1+'Hilfstabellen_Mat&amp;Bem'!$BD$31*($AS128-0.3)+$AS128^2)</f>
        <v>1.0143444761196867</v>
      </c>
      <c r="AU128" s="550">
        <f t="shared" si="71"/>
        <v>0.78398558285962561</v>
      </c>
      <c r="AW128" s="551">
        <f t="shared" si="122"/>
        <v>25401.13288465187</v>
      </c>
      <c r="AZ128" s="547">
        <f>'Hilfstabellen_Mat&amp;Bem'!$J$56</f>
        <v>3.3</v>
      </c>
      <c r="BA128" s="546">
        <f t="shared" si="78"/>
        <v>180</v>
      </c>
      <c r="BB128" s="551">
        <f t="shared" si="79"/>
        <v>63.50852961085883</v>
      </c>
      <c r="BC128" s="553">
        <f>BB128/PI()*SQRT('Hilfstabellen_Mat&amp;Bem'!f.Rd.3/'Hilfstabellen_Mat&amp;Bem'!$BD$30)</f>
        <v>1.0107696416066188</v>
      </c>
      <c r="BD128" s="553">
        <f>0.5*(1+'Hilfstabellen_Mat&amp;Bem'!$BD$31*(BC128-0.3)+BC128^2)</f>
        <v>1.0463661162771172</v>
      </c>
      <c r="BE128" s="550">
        <f t="shared" si="80"/>
        <v>0.75931839937312084</v>
      </c>
      <c r="BG128" s="551">
        <f t="shared" si="81"/>
        <v>24601.916139689114</v>
      </c>
      <c r="BJ128" s="547">
        <f>'Hilfstabellen_Mat&amp;Bem'!$J$57</f>
        <v>3.4</v>
      </c>
      <c r="BK128" s="546">
        <f t="shared" si="82"/>
        <v>180</v>
      </c>
      <c r="BL128" s="551">
        <f t="shared" si="83"/>
        <v>65.433030508157586</v>
      </c>
      <c r="BM128" s="553">
        <f>BL128/PI()*SQRT('Hilfstabellen_Mat&amp;Bem'!f.Rd.3/'Hilfstabellen_Mat&amp;Bem'!$BD$30)</f>
        <v>1.0413990246856073</v>
      </c>
      <c r="BN128" s="553">
        <f>0.5*(1+'Hilfstabellen_Mat&amp;Bem'!$BD$31*(BM128-0.3)+BM128^2)</f>
        <v>1.0793259155423476</v>
      </c>
      <c r="BO128" s="550">
        <f t="shared" si="84"/>
        <v>0.73371223269439967</v>
      </c>
      <c r="BQ128" s="551">
        <f t="shared" si="85"/>
        <v>23772.276339298551</v>
      </c>
      <c r="BT128" s="547">
        <f>'Hilfstabellen_Mat&amp;Bem'!$J$58</f>
        <v>3.5</v>
      </c>
      <c r="BU128" s="546">
        <f t="shared" si="86"/>
        <v>180</v>
      </c>
      <c r="BV128" s="551">
        <f t="shared" si="87"/>
        <v>67.357531405456328</v>
      </c>
      <c r="BW128" s="553">
        <f>BV128/PI()*SQRT('Hilfstabellen_Mat&amp;Bem'!f.Rd.3/'Hilfstabellen_Mat&amp;Bem'!$BD$30)</f>
        <v>1.0720284077645956</v>
      </c>
      <c r="BX128" s="553">
        <f>0.5*(1+'Hilfstabellen_Mat&amp;Bem'!$BD$31*(BW128-0.3)+BW128^2)</f>
        <v>1.1132238739153768</v>
      </c>
      <c r="BY128" s="550">
        <f t="shared" si="88"/>
        <v>0.70758320870488756</v>
      </c>
      <c r="CA128" s="551">
        <f t="shared" si="89"/>
        <v>22925.695962038357</v>
      </c>
      <c r="CD128" s="547">
        <f>'Hilfstabellen_Mat&amp;Bem'!$J$59</f>
        <v>3.6</v>
      </c>
      <c r="CE128" s="546">
        <f t="shared" si="90"/>
        <v>180</v>
      </c>
      <c r="CF128" s="551">
        <f t="shared" si="91"/>
        <v>69.282032302755084</v>
      </c>
      <c r="CG128" s="553">
        <f>CF128/PI()*SQRT('Hilfstabellen_Mat&amp;Bem'!f.Rd.3/'Hilfstabellen_Mat&amp;Bem'!$BD$30)</f>
        <v>1.102657790843584</v>
      </c>
      <c r="CH128" s="553">
        <f>0.5*(1+'Hilfstabellen_Mat&amp;Bem'!$BD$31*(CG128-0.3)+CG128^2)</f>
        <v>1.1480599913962055</v>
      </c>
      <c r="CI128" s="550">
        <f t="shared" si="92"/>
        <v>0.68132521956793579</v>
      </c>
      <c r="CK128" s="551">
        <f t="shared" si="93"/>
        <v>22074.937114001121</v>
      </c>
      <c r="CN128" s="547">
        <f>'Hilfstabellen_Mat&amp;Bem'!$J$60</f>
        <v>3.7</v>
      </c>
      <c r="CO128" s="546">
        <f t="shared" si="94"/>
        <v>180</v>
      </c>
      <c r="CP128" s="551">
        <f t="shared" si="95"/>
        <v>71.20653320005384</v>
      </c>
      <c r="CQ128" s="553">
        <f>CP128/PI()*SQRT('Hilfstabellen_Mat&amp;Bem'!f.Rd.3/'Hilfstabellen_Mat&amp;Bem'!$BD$30)</f>
        <v>1.1332871739225725</v>
      </c>
      <c r="CR128" s="553">
        <f>0.5*(1+'Hilfstabellen_Mat&amp;Bem'!$BD$31*(CQ128-0.3)+CQ128^2)</f>
        <v>1.1838342679848342</v>
      </c>
      <c r="CS128" s="550">
        <f t="shared" si="96"/>
        <v>0.65527890272442257</v>
      </c>
      <c r="CU128" s="551">
        <f t="shared" si="97"/>
        <v>21231.03644827129</v>
      </c>
      <c r="CX128" s="547">
        <f>'Hilfstabellen_Mat&amp;Bem'!$J$61</f>
        <v>3.8</v>
      </c>
      <c r="CY128" s="546">
        <f t="shared" si="98"/>
        <v>180</v>
      </c>
      <c r="CZ128" s="551">
        <f t="shared" si="99"/>
        <v>73.131034097352597</v>
      </c>
      <c r="DA128" s="553">
        <f>CZ128/PI()*SQRT('Hilfstabellen_Mat&amp;Bem'!f.Rd.3/'Hilfstabellen_Mat&amp;Bem'!$BD$30)</f>
        <v>1.163916557001561</v>
      </c>
      <c r="DB128" s="553">
        <f>0.5*(1+'Hilfstabellen_Mat&amp;Bem'!$BD$31*(DA128-0.3)+DA128^2)</f>
        <v>1.2205467036812621</v>
      </c>
      <c r="DC128" s="550">
        <f t="shared" si="100"/>
        <v>0.62971721359255517</v>
      </c>
      <c r="DE128" s="551">
        <f t="shared" si="101"/>
        <v>20402.837720398787</v>
      </c>
      <c r="DH128" s="547">
        <f>'Hilfstabellen_Mat&amp;Bem'!$J$62</f>
        <v>3.9</v>
      </c>
      <c r="DI128" s="546">
        <f t="shared" si="102"/>
        <v>180</v>
      </c>
      <c r="DJ128" s="551">
        <f t="shared" si="103"/>
        <v>75.055534994651353</v>
      </c>
      <c r="DK128" s="553">
        <f>DJ128/PI()*SQRT('Hilfstabellen_Mat&amp;Bem'!f.Rd.3/'Hilfstabellen_Mat&amp;Bem'!$BD$30)</f>
        <v>1.1945459400805496</v>
      </c>
      <c r="DL128" s="553">
        <f>0.5*(1+'Hilfstabellen_Mat&amp;Bem'!$BD$31*(DK128-0.3)+DK128^2)</f>
        <v>1.2581972984854894</v>
      </c>
      <c r="DM128" s="550">
        <f t="shared" si="104"/>
        <v>0.60484428662769774</v>
      </c>
      <c r="DO128" s="551">
        <f t="shared" si="105"/>
        <v>19596.954886737407</v>
      </c>
      <c r="DR128" s="547">
        <f>'Hilfstabellen_Mat&amp;Bem'!$J$63</f>
        <v>4</v>
      </c>
      <c r="DS128" s="546">
        <f t="shared" si="106"/>
        <v>180</v>
      </c>
      <c r="DT128" s="551">
        <f t="shared" si="107"/>
        <v>76.980035891950095</v>
      </c>
      <c r="DU128" s="553">
        <f>DT128/PI()*SQRT('Hilfstabellen_Mat&amp;Bem'!f.Rd.3/'Hilfstabellen_Mat&amp;Bem'!$BD$30)</f>
        <v>1.2251753231595379</v>
      </c>
      <c r="DV128" s="553">
        <f>0.5*(1+'Hilfstabellen_Mat&amp;Bem'!$BD$31*(DU128-0.3)+DU128^2)</f>
        <v>1.2967860523975161</v>
      </c>
      <c r="DW128" s="550">
        <f t="shared" si="108"/>
        <v>0.58080237549328984</v>
      </c>
      <c r="DY128" s="551">
        <f t="shared" si="109"/>
        <v>18817.996965982591</v>
      </c>
      <c r="EB128" s="547">
        <f>'Hilfstabellen_Mat&amp;Bem'!$J$64</f>
        <v>4.0999999999999996</v>
      </c>
      <c r="EC128" s="546">
        <f t="shared" si="110"/>
        <v>180</v>
      </c>
      <c r="ED128" s="551">
        <f t="shared" si="111"/>
        <v>78.904536789248851</v>
      </c>
      <c r="EE128" s="553">
        <f>ED128/PI()*SQRT('Hilfstabellen_Mat&amp;Bem'!f.Rd.3/'Hilfstabellen_Mat&amp;Bem'!$BD$30)</f>
        <v>1.2558047062385265</v>
      </c>
      <c r="EF128" s="553">
        <f>0.5*(1+'Hilfstabellen_Mat&amp;Bem'!$BD$31*(EE128-0.3)+EE128^2)</f>
        <v>1.336312965417342</v>
      </c>
      <c r="EG128" s="550">
        <f t="shared" si="112"/>
        <v>0.55768232100101989</v>
      </c>
      <c r="EI128" s="551">
        <f t="shared" si="113"/>
        <v>18068.907200433045</v>
      </c>
      <c r="EL128" s="547">
        <f>'Hilfstabellen_Mat&amp;Bem'!$J$65</f>
        <v>4.2</v>
      </c>
      <c r="EM128" s="546">
        <f t="shared" si="114"/>
        <v>180</v>
      </c>
      <c r="EN128" s="551">
        <f t="shared" si="115"/>
        <v>80.829037686547593</v>
      </c>
      <c r="EO128" s="553">
        <f>EN128/PI()*SQRT('Hilfstabellen_Mat&amp;Bem'!f.Rd.3/'Hilfstabellen_Mat&amp;Bem'!$BD$30)</f>
        <v>1.2864340893175148</v>
      </c>
      <c r="EP128" s="553">
        <f>0.5*(1+'Hilfstabellen_Mat&amp;Bem'!$BD$31*(EO128-0.3)+EO128^2)</f>
        <v>1.3767780375449674</v>
      </c>
      <c r="EQ128" s="550">
        <f t="shared" si="116"/>
        <v>0.53553454499937725</v>
      </c>
      <c r="ES128" s="551">
        <f t="shared" si="117"/>
        <v>17351.319257979823</v>
      </c>
    </row>
    <row r="129" spans="3:149">
      <c r="C129" s="546">
        <v>181</v>
      </c>
      <c r="D129" s="551">
        <f t="shared" si="72"/>
        <v>53.588312278374097</v>
      </c>
      <c r="E129" s="553">
        <f>$D129/PI()*SQRT('Hilfstabellen_Mat&amp;Bem'!f.Rd.3/'Hilfstabellen_Mat&amp;Bem'!$BD$30)</f>
        <v>0.85288447910553455</v>
      </c>
      <c r="F129" s="553">
        <f>0.5*(1+'Hilfstabellen_Mat&amp;Bem'!$BD$31*($E129-0.3)+$E129^2)</f>
        <v>0.89135019130483628</v>
      </c>
      <c r="G129" s="550">
        <f t="shared" si="73"/>
        <v>0.86928266422091249</v>
      </c>
      <c r="I129" s="551">
        <f t="shared" si="118"/>
        <v>28478.569362541315</v>
      </c>
      <c r="M129" s="546">
        <f t="shared" si="74"/>
        <v>181</v>
      </c>
      <c r="N129" s="551">
        <f t="shared" si="64"/>
        <v>55.502180574030326</v>
      </c>
      <c r="O129" s="553">
        <f>$N129/PI()*SQRT('Hilfstabellen_Mat&amp;Bem'!f.Rd.3/'Hilfstabellen_Mat&amp;Bem'!$BD$30)</f>
        <v>0.88334463907358962</v>
      </c>
      <c r="P129" s="553">
        <f>0.5*(1+'Hilfstabellen_Mat&amp;Bem'!$BD$31*($O129-0.3)+$O129^2)</f>
        <v>0.91931610764370464</v>
      </c>
      <c r="Q129" s="550">
        <f t="shared" si="65"/>
        <v>0.85181657884822781</v>
      </c>
      <c r="S129" s="551">
        <f t="shared" si="119"/>
        <v>27906.362939646791</v>
      </c>
      <c r="W129" s="546">
        <f t="shared" si="75"/>
        <v>181</v>
      </c>
      <c r="X129" s="551">
        <f t="shared" si="66"/>
        <v>57.416048869686541</v>
      </c>
      <c r="Y129" s="553">
        <f>$X129/PI()*SQRT('Hilfstabellen_Mat&amp;Bem'!f.Rd.3/'Hilfstabellen_Mat&amp;Bem'!$BD$30)</f>
        <v>0.91380479904164447</v>
      </c>
      <c r="Z129" s="553">
        <f>0.5*(1+'Hilfstabellen_Mat&amp;Bem'!$BD$31*($Y129-0.3)+$Y129^2)</f>
        <v>0.94820984532785224</v>
      </c>
      <c r="AA129" s="550">
        <f t="shared" si="67"/>
        <v>0.8324204804941141</v>
      </c>
      <c r="AC129" s="551">
        <f t="shared" si="120"/>
        <v>27270.927361467671</v>
      </c>
      <c r="AG129" s="546">
        <f t="shared" si="76"/>
        <v>181</v>
      </c>
      <c r="AH129" s="551">
        <f t="shared" si="68"/>
        <v>59.329917165342756</v>
      </c>
      <c r="AI129" s="553">
        <f>$AH129/PI()*SQRT('Hilfstabellen_Mat&amp;Bem'!f.Rd.3/'Hilfstabellen_Mat&amp;Bem'!$BD$30)</f>
        <v>0.9442649590096992</v>
      </c>
      <c r="AJ129" s="553">
        <f>0.5*(1+'Hilfstabellen_Mat&amp;Bem'!$BD$31*($AI129-0.3)+$AI129^2)</f>
        <v>0.97803140435727942</v>
      </c>
      <c r="AK129" s="550">
        <f t="shared" si="69"/>
        <v>0.81115890032138283</v>
      </c>
      <c r="AM129" s="551">
        <f t="shared" si="121"/>
        <v>26574.376733428824</v>
      </c>
      <c r="AQ129" s="546">
        <f t="shared" si="77"/>
        <v>181</v>
      </c>
      <c r="AR129" s="551">
        <f t="shared" si="70"/>
        <v>61.243785460998978</v>
      </c>
      <c r="AS129" s="553">
        <f>$AR129/PI()*SQRT('Hilfstabellen_Mat&amp;Bem'!f.Rd.3/'Hilfstabellen_Mat&amp;Bem'!$BD$30)</f>
        <v>0.97472511897775405</v>
      </c>
      <c r="AT129" s="553">
        <f>0.5*(1+'Hilfstabellen_Mat&amp;Bem'!$BD$31*($AS129-0.3)+$AS129^2)</f>
        <v>1.0087807847319861</v>
      </c>
      <c r="AU129" s="550">
        <f t="shared" si="71"/>
        <v>0.78821842314007673</v>
      </c>
      <c r="AW129" s="551">
        <f t="shared" si="122"/>
        <v>25822.823760492054</v>
      </c>
      <c r="AZ129" s="547">
        <f>'Hilfstabellen_Mat&amp;Bem'!$J$56</f>
        <v>3.3</v>
      </c>
      <c r="BA129" s="546">
        <f t="shared" si="78"/>
        <v>181</v>
      </c>
      <c r="BB129" s="551">
        <f t="shared" si="79"/>
        <v>63.157653756655193</v>
      </c>
      <c r="BC129" s="553">
        <f>BB129/PI()*SQRT('Hilfstabellen_Mat&amp;Bem'!f.Rd.3/'Hilfstabellen_Mat&amp;Bem'!$BD$30)</f>
        <v>1.0051852789458087</v>
      </c>
      <c r="BD129" s="553">
        <f>0.5*(1+'Hilfstabellen_Mat&amp;Bem'!$BD$31*(BC129-0.3)+BC129^2)</f>
        <v>1.0404579864519721</v>
      </c>
      <c r="BE129" s="550">
        <f t="shared" si="80"/>
        <v>0.76389787193832193</v>
      </c>
      <c r="BG129" s="551">
        <f t="shared" si="81"/>
        <v>25026.058182571363</v>
      </c>
      <c r="BJ129" s="547">
        <f>'Hilfstabellen_Mat&amp;Bem'!$J$57</f>
        <v>3.4</v>
      </c>
      <c r="BK129" s="546">
        <f t="shared" si="82"/>
        <v>181</v>
      </c>
      <c r="BL129" s="551">
        <f t="shared" si="83"/>
        <v>65.071522052311408</v>
      </c>
      <c r="BM129" s="553">
        <f>BL129/PI()*SQRT('Hilfstabellen_Mat&amp;Bem'!f.Rd.3/'Hilfstabellen_Mat&amp;Bem'!$BD$30)</f>
        <v>1.0356454389138636</v>
      </c>
      <c r="BN129" s="553">
        <f>0.5*(1+'Hilfstabellen_Mat&amp;Bem'!$BD$31*(BM129-0.3)+BM129^2)</f>
        <v>1.0730630095172378</v>
      </c>
      <c r="BO129" s="550">
        <f t="shared" si="84"/>
        <v>0.73857461747253561</v>
      </c>
      <c r="BQ129" s="551">
        <f t="shared" si="85"/>
        <v>24196.443043017738</v>
      </c>
      <c r="BT129" s="547">
        <f>'Hilfstabellen_Mat&amp;Bem'!$J$58</f>
        <v>3.5</v>
      </c>
      <c r="BU129" s="546">
        <f t="shared" si="86"/>
        <v>181</v>
      </c>
      <c r="BV129" s="551">
        <f t="shared" si="87"/>
        <v>66.985390347967623</v>
      </c>
      <c r="BW129" s="553">
        <f>BV129/PI()*SQRT('Hilfstabellen_Mat&amp;Bem'!f.Rd.3/'Hilfstabellen_Mat&amp;Bem'!$BD$30)</f>
        <v>1.0661055988819184</v>
      </c>
      <c r="BX129" s="553">
        <f>0.5*(1+'Hilfstabellen_Mat&amp;Bem'!$BD$31*(BW129-0.3)+BW129^2)</f>
        <v>1.1065958539277827</v>
      </c>
      <c r="BY129" s="550">
        <f t="shared" si="88"/>
        <v>0.71265745529787217</v>
      </c>
      <c r="CA129" s="551">
        <f t="shared" si="89"/>
        <v>23347.370893013591</v>
      </c>
      <c r="CD129" s="547">
        <f>'Hilfstabellen_Mat&amp;Bem'!$J$59</f>
        <v>3.6</v>
      </c>
      <c r="CE129" s="546">
        <f t="shared" si="90"/>
        <v>181</v>
      </c>
      <c r="CF129" s="551">
        <f t="shared" si="91"/>
        <v>68.899258643623853</v>
      </c>
      <c r="CG129" s="553">
        <f>CF129/PI()*SQRT('Hilfstabellen_Mat&amp;Bem'!f.Rd.3/'Hilfstabellen_Mat&amp;Bem'!$BD$30)</f>
        <v>1.0965657588499733</v>
      </c>
      <c r="CH129" s="553">
        <f>0.5*(1+'Hilfstabellen_Mat&amp;Bem'!$BD$31*(CG129-0.3)+CG129^2)</f>
        <v>1.1410565196836076</v>
      </c>
      <c r="CI129" s="550">
        <f t="shared" si="92"/>
        <v>0.68654085956520627</v>
      </c>
      <c r="CK129" s="551">
        <f t="shared" si="93"/>
        <v>22491.765100215722</v>
      </c>
      <c r="CN129" s="547">
        <f>'Hilfstabellen_Mat&amp;Bem'!$J$60</f>
        <v>3.7</v>
      </c>
      <c r="CO129" s="546">
        <f t="shared" si="94"/>
        <v>181</v>
      </c>
      <c r="CP129" s="551">
        <f t="shared" si="95"/>
        <v>70.813126939280068</v>
      </c>
      <c r="CQ129" s="553">
        <f>CP129/PI()*SQRT('Hilfstabellen_Mat&amp;Bem'!f.Rd.3/'Hilfstabellen_Mat&amp;Bem'!$BD$30)</f>
        <v>1.127025918818028</v>
      </c>
      <c r="CR129" s="553">
        <f>0.5*(1+'Hilfstabellen_Mat&amp;Bem'!$BD$31*(CQ129-0.3)+CQ129^2)</f>
        <v>1.1764450067847116</v>
      </c>
      <c r="CS129" s="550">
        <f t="shared" si="96"/>
        <v>0.66057175805714008</v>
      </c>
      <c r="CU129" s="551">
        <f t="shared" si="97"/>
        <v>21640.991365709968</v>
      </c>
      <c r="CX129" s="547">
        <f>'Hilfstabellen_Mat&amp;Bem'!$J$61</f>
        <v>3.8</v>
      </c>
      <c r="CY129" s="546">
        <f t="shared" si="98"/>
        <v>181</v>
      </c>
      <c r="CZ129" s="551">
        <f t="shared" si="99"/>
        <v>72.726995234936282</v>
      </c>
      <c r="DA129" s="553">
        <f>CZ129/PI()*SQRT('Hilfstabellen_Mat&amp;Bem'!f.Rd.3/'Hilfstabellen_Mat&amp;Bem'!$BD$30)</f>
        <v>1.1574860787860828</v>
      </c>
      <c r="DB129" s="553">
        <f>0.5*(1+'Hilfstabellen_Mat&amp;Bem'!$BD$31*(DA129-0.3)+DA129^2)</f>
        <v>1.212761315231095</v>
      </c>
      <c r="DC129" s="550">
        <f t="shared" si="100"/>
        <v>0.63503247377509953</v>
      </c>
      <c r="DE129" s="551">
        <f t="shared" si="101"/>
        <v>20804.298873346037</v>
      </c>
      <c r="DH129" s="547">
        <f>'Hilfstabellen_Mat&amp;Bem'!$J$62</f>
        <v>3.9</v>
      </c>
      <c r="DI129" s="546">
        <f t="shared" si="102"/>
        <v>181</v>
      </c>
      <c r="DJ129" s="551">
        <f t="shared" si="103"/>
        <v>74.640863530592497</v>
      </c>
      <c r="DK129" s="553">
        <f>DJ129/PI()*SQRT('Hilfstabellen_Mat&amp;Bem'!f.Rd.3/'Hilfstabellen_Mat&amp;Bem'!$BD$30)</f>
        <v>1.1879462387541375</v>
      </c>
      <c r="DL129" s="553">
        <f>0.5*(1+'Hilfstabellen_Mat&amp;Bem'!$BD$31*(DK129-0.3)+DK129^2)</f>
        <v>1.250005445022758</v>
      </c>
      <c r="DM129" s="550">
        <f t="shared" si="104"/>
        <v>0.6101374182792132</v>
      </c>
      <c r="DO129" s="551">
        <f t="shared" si="105"/>
        <v>19988.711960245302</v>
      </c>
      <c r="DR129" s="547">
        <f>'Hilfstabellen_Mat&amp;Bem'!$J$63</f>
        <v>4</v>
      </c>
      <c r="DS129" s="546">
        <f t="shared" si="106"/>
        <v>181</v>
      </c>
      <c r="DT129" s="551">
        <f t="shared" si="107"/>
        <v>76.554731826248712</v>
      </c>
      <c r="DU129" s="553">
        <f>DT129/PI()*SQRT('Hilfstabellen_Mat&amp;Bem'!f.Rd.3/'Hilfstabellen_Mat&amp;Bem'!$BD$30)</f>
        <v>1.2184063987221925</v>
      </c>
      <c r="DV129" s="553">
        <f>0.5*(1+'Hilfstabellen_Mat&amp;Bem'!$BD$31*(DU129-0.3)+DU129^2)</f>
        <v>1.2881773961597007</v>
      </c>
      <c r="DW129" s="550">
        <f t="shared" si="108"/>
        <v>0.58603863197566475</v>
      </c>
      <c r="DY129" s="551">
        <f t="shared" si="109"/>
        <v>19199.211622154751</v>
      </c>
      <c r="EB129" s="547">
        <f>'Hilfstabellen_Mat&amp;Bem'!$J$64</f>
        <v>4.0999999999999996</v>
      </c>
      <c r="EC129" s="546">
        <f t="shared" si="110"/>
        <v>181</v>
      </c>
      <c r="ED129" s="551">
        <f t="shared" si="111"/>
        <v>78.468600121904942</v>
      </c>
      <c r="EE129" s="553">
        <f>ED129/PI()*SQRT('Hilfstabellen_Mat&amp;Bem'!f.Rd.3/'Hilfstabellen_Mat&amp;Bem'!$BD$30)</f>
        <v>1.2488665586902474</v>
      </c>
      <c r="EF129" s="553">
        <f>0.5*(1+'Hilfstabellen_Mat&amp;Bem'!$BD$31*(EE129-0.3)+EE129^2)</f>
        <v>1.3272771686419229</v>
      </c>
      <c r="EG129" s="550">
        <f t="shared" si="112"/>
        <v>0.56283554143752046</v>
      </c>
      <c r="EI129" s="551">
        <f t="shared" si="113"/>
        <v>18439.055173034609</v>
      </c>
      <c r="EL129" s="547">
        <f>'Hilfstabellen_Mat&amp;Bem'!$J$65</f>
        <v>4.2</v>
      </c>
      <c r="EM129" s="546">
        <f t="shared" si="114"/>
        <v>181</v>
      </c>
      <c r="EN129" s="551">
        <f t="shared" si="115"/>
        <v>80.382468417561157</v>
      </c>
      <c r="EO129" s="553">
        <f>EN129/PI()*SQRT('Hilfstabellen_Mat&amp;Bem'!f.Rd.3/'Hilfstabellen_Mat&amp;Bem'!$BD$30)</f>
        <v>1.2793267186583022</v>
      </c>
      <c r="EP129" s="553">
        <f>0.5*(1+'Hilfstabellen_Mat&amp;Bem'!$BD$31*(EO129-0.3)+EO129^2)</f>
        <v>1.3673047624694243</v>
      </c>
      <c r="EQ129" s="550">
        <f t="shared" si="116"/>
        <v>0.54058571793300336</v>
      </c>
      <c r="ES129" s="551">
        <f t="shared" si="117"/>
        <v>17710.128705203122</v>
      </c>
    </row>
    <row r="130" spans="3:149">
      <c r="C130" s="546">
        <v>182</v>
      </c>
      <c r="D130" s="551">
        <f t="shared" si="72"/>
        <v>53.293871002119303</v>
      </c>
      <c r="E130" s="553">
        <f>$D130/PI()*SQRT('Hilfstabellen_Mat&amp;Bem'!f.Rd.3/'Hilfstabellen_Mat&amp;Bem'!$BD$30)</f>
        <v>0.848198300648911</v>
      </c>
      <c r="F130" s="553">
        <f>0.5*(1+'Hilfstabellen_Mat&amp;Bem'!$BD$31*($E130-0.3)+$E130^2)</f>
        <v>0.88713009364429585</v>
      </c>
      <c r="G130" s="550">
        <f t="shared" si="73"/>
        <v>0.871799987092294</v>
      </c>
      <c r="I130" s="551">
        <f t="shared" si="118"/>
        <v>28877.502772445147</v>
      </c>
      <c r="M130" s="546">
        <f t="shared" si="74"/>
        <v>182</v>
      </c>
      <c r="N130" s="551">
        <f t="shared" si="64"/>
        <v>55.197223537909274</v>
      </c>
      <c r="O130" s="553">
        <f>$N130/PI()*SQRT('Hilfstabellen_Mat&amp;Bem'!f.Rd.3/'Hilfstabellen_Mat&amp;Bem'!$BD$30)</f>
        <v>0.87849109710065765</v>
      </c>
      <c r="P130" s="553">
        <f>0.5*(1+'Hilfstabellen_Mat&amp;Bem'!$BD$31*($O130-0.3)+$O130^2)</f>
        <v>0.91479785869759145</v>
      </c>
      <c r="Q130" s="550">
        <f t="shared" si="65"/>
        <v>0.85472893637793657</v>
      </c>
      <c r="S130" s="551">
        <f t="shared" si="119"/>
        <v>28312.041288582772</v>
      </c>
      <c r="W130" s="546">
        <f t="shared" si="75"/>
        <v>182</v>
      </c>
      <c r="X130" s="551">
        <f t="shared" si="66"/>
        <v>57.100576073699244</v>
      </c>
      <c r="Y130" s="553">
        <f>$X130/PI()*SQRT('Hilfstabellen_Mat&amp;Bem'!f.Rd.3/'Hilfstabellen_Mat&amp;Bem'!$BD$30)</f>
        <v>0.90878389355240441</v>
      </c>
      <c r="Z130" s="553">
        <f>0.5*(1+'Hilfstabellen_Mat&amp;Bem'!$BD$31*($Y130-0.3)+$Y130^2)</f>
        <v>0.94338327726775417</v>
      </c>
      <c r="AA130" s="550">
        <f t="shared" si="67"/>
        <v>0.83574924451915533</v>
      </c>
      <c r="AC130" s="551">
        <f t="shared" si="120"/>
        <v>27683.357975452502</v>
      </c>
      <c r="AG130" s="546">
        <f t="shared" si="76"/>
        <v>182</v>
      </c>
      <c r="AH130" s="551">
        <f t="shared" si="68"/>
        <v>59.003928609489222</v>
      </c>
      <c r="AI130" s="553">
        <f>$AH130/PI()*SQRT('Hilfstabellen_Mat&amp;Bem'!f.Rd.3/'Hilfstabellen_Mat&amp;Bem'!$BD$30)</f>
        <v>0.93907669000415128</v>
      </c>
      <c r="AJ130" s="553">
        <f>0.5*(1+'Hilfstabellen_Mat&amp;Bem'!$BD$31*($AI130-0.3)+$AI130^2)</f>
        <v>0.97288634935478402</v>
      </c>
      <c r="AK130" s="550">
        <f t="shared" si="69"/>
        <v>0.81490568726817003</v>
      </c>
      <c r="AM130" s="551">
        <f t="shared" si="121"/>
        <v>26992.935985070864</v>
      </c>
      <c r="AQ130" s="546">
        <f t="shared" si="77"/>
        <v>182</v>
      </c>
      <c r="AR130" s="551">
        <f t="shared" si="70"/>
        <v>60.907281145279207</v>
      </c>
      <c r="AS130" s="553">
        <f>$AR130/PI()*SQRT('Hilfstabellen_Mat&amp;Bem'!f.Rd.3/'Hilfstabellen_Mat&amp;Bem'!$BD$30)</f>
        <v>0.96936948645589815</v>
      </c>
      <c r="AT130" s="553">
        <f>0.5*(1+'Hilfstabellen_Mat&amp;Bem'!$BD$31*($AS130-0.3)+$AS130^2)</f>
        <v>1.0033070749586808</v>
      </c>
      <c r="AU130" s="550">
        <f t="shared" si="71"/>
        <v>0.79236165310214357</v>
      </c>
      <c r="AW130" s="551">
        <f t="shared" si="122"/>
        <v>26246.187397355403</v>
      </c>
      <c r="AZ130" s="547">
        <f>'Hilfstabellen_Mat&amp;Bem'!$J$56</f>
        <v>3.3</v>
      </c>
      <c r="BA130" s="546">
        <f t="shared" si="78"/>
        <v>182</v>
      </c>
      <c r="BB130" s="551">
        <f t="shared" si="79"/>
        <v>62.81063368106917</v>
      </c>
      <c r="BC130" s="553">
        <f>BB130/PI()*SQRT('Hilfstabellen_Mat&amp;Bem'!f.Rd.3/'Hilfstabellen_Mat&amp;Bem'!$BD$30)</f>
        <v>0.99966228290764492</v>
      </c>
      <c r="BD130" s="553">
        <f>0.5*(1+'Hilfstabellen_Mat&amp;Bem'!$BD$31*(BC130-0.3)+BC130^2)</f>
        <v>1.0346454540794445</v>
      </c>
      <c r="BE130" s="550">
        <f t="shared" si="80"/>
        <v>0.76839379820277942</v>
      </c>
      <c r="BG130" s="551">
        <f t="shared" si="81"/>
        <v>25452.276171668866</v>
      </c>
      <c r="BJ130" s="547">
        <f>'Hilfstabellen_Mat&amp;Bem'!$J$57</f>
        <v>3.4</v>
      </c>
      <c r="BK130" s="546">
        <f t="shared" si="82"/>
        <v>182</v>
      </c>
      <c r="BL130" s="551">
        <f t="shared" si="83"/>
        <v>64.713986216859155</v>
      </c>
      <c r="BM130" s="553">
        <f>BL130/PI()*SQRT('Hilfstabellen_Mat&amp;Bem'!f.Rd.3/'Hilfstabellen_Mat&amp;Bem'!$BD$30)</f>
        <v>1.0299550793593919</v>
      </c>
      <c r="BN130" s="553">
        <f>0.5*(1+'Hilfstabellen_Mat&amp;Bem'!$BD$31*(BM130-0.3)+BM130^2)</f>
        <v>1.0669014867170752</v>
      </c>
      <c r="BO130" s="550">
        <f t="shared" si="84"/>
        <v>0.74336278300167291</v>
      </c>
      <c r="BQ130" s="551">
        <f t="shared" si="85"/>
        <v>24623.148824147414</v>
      </c>
      <c r="BT130" s="547">
        <f>'Hilfstabellen_Mat&amp;Bem'!$J$58</f>
        <v>3.5</v>
      </c>
      <c r="BU130" s="546">
        <f t="shared" si="86"/>
        <v>182</v>
      </c>
      <c r="BV130" s="551">
        <f t="shared" si="87"/>
        <v>66.617338752649118</v>
      </c>
      <c r="BW130" s="553">
        <f>BV130/PI()*SQRT('Hilfstabellen_Mat&amp;Bem'!f.Rd.3/'Hilfstabellen_Mat&amp;Bem'!$BD$30)</f>
        <v>1.0602478758111384</v>
      </c>
      <c r="BX130" s="553">
        <f>0.5*(1+'Hilfstabellen_Mat&amp;Bem'!$BD$31*(BW130-0.3)+BW130^2)</f>
        <v>1.1000751728715725</v>
      </c>
      <c r="BY130" s="550">
        <f t="shared" si="88"/>
        <v>0.71766868305375253</v>
      </c>
      <c r="CA130" s="551">
        <f t="shared" si="89"/>
        <v>23772.0574574725</v>
      </c>
      <c r="CD130" s="547">
        <f>'Hilfstabellen_Mat&amp;Bem'!$J$59</f>
        <v>3.6</v>
      </c>
      <c r="CE130" s="546">
        <f t="shared" si="90"/>
        <v>182</v>
      </c>
      <c r="CF130" s="551">
        <f t="shared" si="91"/>
        <v>68.520691288439096</v>
      </c>
      <c r="CG130" s="553">
        <f>CF130/PI()*SQRT('Hilfstabellen_Mat&amp;Bem'!f.Rd.3/'Hilfstabellen_Mat&amp;Bem'!$BD$30)</f>
        <v>1.0905406722628854</v>
      </c>
      <c r="CH130" s="553">
        <f>0.5*(1+'Hilfstabellen_Mat&amp;Bem'!$BD$31*(CG130-0.3)+CG130^2)</f>
        <v>1.1341665125429374</v>
      </c>
      <c r="CI130" s="550">
        <f t="shared" si="92"/>
        <v>0.69170520614544784</v>
      </c>
      <c r="CK130" s="551">
        <f t="shared" si="93"/>
        <v>22912.043248361813</v>
      </c>
      <c r="CN130" s="547">
        <f>'Hilfstabellen_Mat&amp;Bem'!$J$60</f>
        <v>3.7</v>
      </c>
      <c r="CO130" s="546">
        <f t="shared" si="94"/>
        <v>182</v>
      </c>
      <c r="CP130" s="551">
        <f t="shared" si="95"/>
        <v>70.424043824229074</v>
      </c>
      <c r="CQ130" s="553">
        <f>CP130/PI()*SQRT('Hilfstabellen_Mat&amp;Bem'!f.Rd.3/'Hilfstabellen_Mat&amp;Bem'!$BD$30)</f>
        <v>1.1208334687146322</v>
      </c>
      <c r="CR130" s="553">
        <f>0.5*(1+'Hilfstabellen_Mat&amp;Bem'!$BD$31*(CQ130-0.3)+CQ130^2)</f>
        <v>1.1691755057311688</v>
      </c>
      <c r="CS130" s="550">
        <f t="shared" si="96"/>
        <v>0.66582454993714502</v>
      </c>
      <c r="CU130" s="551">
        <f t="shared" si="97"/>
        <v>22054.772392117993</v>
      </c>
      <c r="CX130" s="547">
        <f>'Hilfstabellen_Mat&amp;Bem'!$J$61</f>
        <v>3.8</v>
      </c>
      <c r="CY130" s="546">
        <f t="shared" si="98"/>
        <v>182</v>
      </c>
      <c r="CZ130" s="551">
        <f t="shared" si="99"/>
        <v>72.327396360019051</v>
      </c>
      <c r="DA130" s="553">
        <f>CZ130/PI()*SQRT('Hilfstabellen_Mat&amp;Bem'!f.Rd.3/'Hilfstabellen_Mat&amp;Bem'!$BD$30)</f>
        <v>1.1511262651663789</v>
      </c>
      <c r="DB130" s="553">
        <f>0.5*(1+'Hilfstabellen_Mat&amp;Bem'!$BD$31*(DA130-0.3)+DA130^2)</f>
        <v>1.2051021524362673</v>
      </c>
      <c r="DC130" s="550">
        <f t="shared" si="100"/>
        <v>0.64031779065036942</v>
      </c>
      <c r="DE130" s="551">
        <f t="shared" si="101"/>
        <v>21209.886497502837</v>
      </c>
      <c r="DH130" s="547">
        <f>'Hilfstabellen_Mat&amp;Bem'!$J$62</f>
        <v>3.9</v>
      </c>
      <c r="DI130" s="546">
        <f t="shared" si="102"/>
        <v>182</v>
      </c>
      <c r="DJ130" s="551">
        <f t="shared" si="103"/>
        <v>74.230748895809015</v>
      </c>
      <c r="DK130" s="553">
        <f>DJ130/PI()*SQRT('Hilfstabellen_Mat&amp;Bem'!f.Rd.3/'Hilfstabellen_Mat&amp;Bem'!$BD$30)</f>
        <v>1.1814190616181257</v>
      </c>
      <c r="DL130" s="553">
        <f>0.5*(1+'Hilfstabellen_Mat&amp;Bem'!$BD$31*(DK130-0.3)+DK130^2)</f>
        <v>1.2419464526582327</v>
      </c>
      <c r="DM130" s="550">
        <f t="shared" si="104"/>
        <v>0.61540934808505643</v>
      </c>
      <c r="DO130" s="551">
        <f t="shared" si="105"/>
        <v>20384.819245969407</v>
      </c>
      <c r="DR130" s="547">
        <f>'Hilfstabellen_Mat&amp;Bem'!$J$63</f>
        <v>4</v>
      </c>
      <c r="DS130" s="546">
        <f t="shared" si="106"/>
        <v>182</v>
      </c>
      <c r="DT130" s="551">
        <f t="shared" si="107"/>
        <v>76.134101431598992</v>
      </c>
      <c r="DU130" s="553">
        <f>DT130/PI()*SQRT('Hilfstabellen_Mat&amp;Bem'!f.Rd.3/'Hilfstabellen_Mat&amp;Bem'!$BD$30)</f>
        <v>1.2117118580698727</v>
      </c>
      <c r="DV130" s="553">
        <f>0.5*(1+'Hilfstabellen_Mat&amp;Bem'!$BD$31*(DU130-0.3)+DU130^2)</f>
        <v>1.2797084063970652</v>
      </c>
      <c r="DW130" s="550">
        <f t="shared" si="108"/>
        <v>0.59126101630377015</v>
      </c>
      <c r="DY130" s="551">
        <f t="shared" si="109"/>
        <v>19584.929904046083</v>
      </c>
      <c r="EB130" s="547">
        <f>'Hilfstabellen_Mat&amp;Bem'!$J$64</f>
        <v>4.0999999999999996</v>
      </c>
      <c r="EC130" s="546">
        <f t="shared" si="110"/>
        <v>182</v>
      </c>
      <c r="ED130" s="551">
        <f t="shared" si="111"/>
        <v>78.037453967388984</v>
      </c>
      <c r="EE130" s="553">
        <f>ED130/PI()*SQRT('Hilfstabellen_Mat&amp;Bem'!f.Rd.3/'Hilfstabellen_Mat&amp;Bem'!$BD$30)</f>
        <v>1.2420046545216197</v>
      </c>
      <c r="EF130" s="553">
        <f>0.5*(1+'Hilfstabellen_Mat&amp;Bem'!$BD$31*(EE130-0.3)+EE130^2)</f>
        <v>1.3183880136527648</v>
      </c>
      <c r="EG130" s="550">
        <f t="shared" si="112"/>
        <v>0.56798090831594661</v>
      </c>
      <c r="EI130" s="551">
        <f t="shared" si="113"/>
        <v>18813.799607057415</v>
      </c>
      <c r="EL130" s="547">
        <f>'Hilfstabellen_Mat&amp;Bem'!$J$65</f>
        <v>4.2</v>
      </c>
      <c r="EM130" s="546">
        <f t="shared" si="114"/>
        <v>182</v>
      </c>
      <c r="EN130" s="551">
        <f t="shared" si="115"/>
        <v>79.940806503178948</v>
      </c>
      <c r="EO130" s="553">
        <f>EN130/PI()*SQRT('Hilfstabellen_Mat&amp;Bem'!f.Rd.3/'Hilfstabellen_Mat&amp;Bem'!$BD$30)</f>
        <v>1.2722974509733662</v>
      </c>
      <c r="EP130" s="553">
        <f>0.5*(1+'Hilfstabellen_Mat&amp;Bem'!$BD$31*(EO130-0.3)+EO130^2)</f>
        <v>1.3579852744253311</v>
      </c>
      <c r="EQ130" s="550">
        <f t="shared" si="116"/>
        <v>0.54563390570277925</v>
      </c>
      <c r="ES130" s="551">
        <f t="shared" si="117"/>
        <v>18073.577492498858</v>
      </c>
    </row>
    <row r="131" spans="3:149">
      <c r="C131" s="546">
        <v>183</v>
      </c>
      <c r="D131" s="551">
        <f t="shared" si="72"/>
        <v>53.002647663309901</v>
      </c>
      <c r="E131" s="553">
        <f>$D131/PI()*SQRT('Hilfstabellen_Mat&amp;Bem'!f.Rd.3/'Hilfstabellen_Mat&amp;Bem'!$BD$30)</f>
        <v>0.84356333725738664</v>
      </c>
      <c r="F131" s="553">
        <f>0.5*(1+'Hilfstabellen_Mat&amp;Bem'!$BD$31*($E131-0.3)+$E131^2)</f>
        <v>0.88297771884527898</v>
      </c>
      <c r="G131" s="550">
        <f t="shared" si="73"/>
        <v>0.87424606887017531</v>
      </c>
      <c r="I131" s="551">
        <f t="shared" si="118"/>
        <v>29277.626600393301</v>
      </c>
      <c r="M131" s="546">
        <f t="shared" si="74"/>
        <v>183</v>
      </c>
      <c r="N131" s="551">
        <f t="shared" si="64"/>
        <v>54.895599365570973</v>
      </c>
      <c r="O131" s="553">
        <f>$N131/PI()*SQRT('Hilfstabellen_Mat&amp;Bem'!f.Rd.3/'Hilfstabellen_Mat&amp;Bem'!$BD$30)</f>
        <v>0.87369059930229354</v>
      </c>
      <c r="P131" s="553">
        <f>0.5*(1+'Hilfstabellen_Mat&amp;Bem'!$BD$31*($O131-0.3)+$O131^2)</f>
        <v>0.91035216161971522</v>
      </c>
      <c r="Q131" s="550">
        <f t="shared" si="65"/>
        <v>0.85756105664626259</v>
      </c>
      <c r="S131" s="551">
        <f t="shared" si="119"/>
        <v>28718.862226026689</v>
      </c>
      <c r="W131" s="546">
        <f t="shared" si="75"/>
        <v>183</v>
      </c>
      <c r="X131" s="551">
        <f t="shared" si="66"/>
        <v>56.788551067832032</v>
      </c>
      <c r="Y131" s="553">
        <f>$X131/PI()*SQRT('Hilfstabellen_Mat&amp;Bem'!f.Rd.3/'Hilfstabellen_Mat&amp;Bem'!$BD$30)</f>
        <v>0.90381786134719988</v>
      </c>
      <c r="Z131" s="553">
        <f>0.5*(1+'Hilfstabellen_Mat&amp;Bem'!$BD$31*($Y131-0.3)+$Y131^2)</f>
        <v>0.9386342563124731</v>
      </c>
      <c r="AA131" s="550">
        <f t="shared" si="67"/>
        <v>0.8389909963771095</v>
      </c>
      <c r="AC131" s="551">
        <f t="shared" si="120"/>
        <v>28096.969477673021</v>
      </c>
      <c r="AG131" s="546">
        <f t="shared" si="76"/>
        <v>183</v>
      </c>
      <c r="AH131" s="551">
        <f t="shared" si="68"/>
        <v>58.681502770093111</v>
      </c>
      <c r="AI131" s="553">
        <f>$AH131/PI()*SQRT('Hilfstabellen_Mat&amp;Bem'!f.Rd.3/'Hilfstabellen_Mat&amp;Bem'!$BD$30)</f>
        <v>0.93394512339210678</v>
      </c>
      <c r="AJ131" s="553">
        <f>0.5*(1+'Hilfstabellen_Mat&amp;Bem'!$BD$31*($AI131-0.3)+$AI131^2)</f>
        <v>0.96782400292355419</v>
      </c>
      <c r="AK131" s="550">
        <f t="shared" si="69"/>
        <v>0.81856219087124726</v>
      </c>
      <c r="AM131" s="551">
        <f t="shared" si="121"/>
        <v>27412.829210087199</v>
      </c>
      <c r="AQ131" s="546">
        <f t="shared" si="77"/>
        <v>183</v>
      </c>
      <c r="AR131" s="551">
        <f t="shared" si="70"/>
        <v>60.574454472354184</v>
      </c>
      <c r="AS131" s="553">
        <f>$AR131/PI()*SQRT('Hilfstabellen_Mat&amp;Bem'!f.Rd.3/'Hilfstabellen_Mat&amp;Bem'!$BD$30)</f>
        <v>0.96407238543701357</v>
      </c>
      <c r="AT131" s="553">
        <f>0.5*(1+'Hilfstabellen_Mat&amp;Bem'!$BD$31*($AS131-0.3)+$AS131^2)</f>
        <v>0.99792140145295749</v>
      </c>
      <c r="AU131" s="550">
        <f t="shared" si="71"/>
        <v>0.79641561743796274</v>
      </c>
      <c r="AW131" s="551">
        <f t="shared" si="122"/>
        <v>26671.162612379936</v>
      </c>
      <c r="AZ131" s="547">
        <f>'Hilfstabellen_Mat&amp;Bem'!$J$56</f>
        <v>3.3</v>
      </c>
      <c r="BA131" s="546">
        <f t="shared" si="78"/>
        <v>183</v>
      </c>
      <c r="BB131" s="551">
        <f t="shared" si="79"/>
        <v>62.467406174615242</v>
      </c>
      <c r="BC131" s="553">
        <f>BB131/PI()*SQRT('Hilfstabellen_Mat&amp;Bem'!f.Rd.3/'Hilfstabellen_Mat&amp;Bem'!$BD$30)</f>
        <v>0.99419964748192013</v>
      </c>
      <c r="BD131" s="553">
        <f>0.5*(1+'Hilfstabellen_Mat&amp;Bem'!$BD$31*(BC131-0.3)+BC131^2)</f>
        <v>1.0289264519006831</v>
      </c>
      <c r="BE131" s="550">
        <f t="shared" si="80"/>
        <v>0.77280573006878073</v>
      </c>
      <c r="BG131" s="551">
        <f t="shared" si="81"/>
        <v>25880.491094273399</v>
      </c>
      <c r="BJ131" s="547">
        <f>'Hilfstabellen_Mat&amp;Bem'!$J$57</f>
        <v>3.4</v>
      </c>
      <c r="BK131" s="546">
        <f t="shared" si="82"/>
        <v>183</v>
      </c>
      <c r="BL131" s="551">
        <f t="shared" si="83"/>
        <v>64.360357876876321</v>
      </c>
      <c r="BM131" s="553">
        <f>BL131/PI()*SQRT('Hilfstabellen_Mat&amp;Bem'!f.Rd.3/'Hilfstabellen_Mat&amp;Bem'!$BD$30)</f>
        <v>1.024326909526827</v>
      </c>
      <c r="BN131" s="553">
        <f>0.5*(1+'Hilfstabellen_Mat&amp;Bem'!$BD$31*(BM131-0.3)+BM131^2)</f>
        <v>1.0608391542667315</v>
      </c>
      <c r="BO131" s="550">
        <f t="shared" si="84"/>
        <v>0.7480756353606981</v>
      </c>
      <c r="BQ131" s="551">
        <f t="shared" si="85"/>
        <v>25052.304952594419</v>
      </c>
      <c r="BT131" s="547">
        <f>'Hilfstabellen_Mat&amp;Bem'!$J$58</f>
        <v>3.5</v>
      </c>
      <c r="BU131" s="546">
        <f t="shared" si="86"/>
        <v>183</v>
      </c>
      <c r="BV131" s="551">
        <f t="shared" si="87"/>
        <v>66.25330957913738</v>
      </c>
      <c r="BW131" s="553">
        <f>BV131/PI()*SQRT('Hilfstabellen_Mat&amp;Bem'!f.Rd.3/'Hilfstabellen_Mat&amp;Bem'!$BD$30)</f>
        <v>1.0544541715717335</v>
      </c>
      <c r="BX131" s="553">
        <f>0.5*(1+'Hilfstabellen_Mat&amp;Bem'!$BD$31*(BW131-0.3)+BW131^2)</f>
        <v>1.0936595085511023</v>
      </c>
      <c r="BY131" s="550">
        <f t="shared" si="88"/>
        <v>0.72261537411428489</v>
      </c>
      <c r="CA131" s="551">
        <f t="shared" si="89"/>
        <v>24199.666263713287</v>
      </c>
      <c r="CD131" s="547">
        <f>'Hilfstabellen_Mat&amp;Bem'!$J$59</f>
        <v>3.6</v>
      </c>
      <c r="CE131" s="546">
        <f t="shared" si="90"/>
        <v>183</v>
      </c>
      <c r="CF131" s="551">
        <f t="shared" si="91"/>
        <v>68.146261281398452</v>
      </c>
      <c r="CG131" s="553">
        <f>CF131/PI()*SQRT('Hilfstabellen_Mat&amp;Bem'!f.Rd.3/'Hilfstabellen_Mat&amp;Bem'!$BD$30)</f>
        <v>1.0845814336166402</v>
      </c>
      <c r="CH131" s="553">
        <f>0.5*(1+'Hilfstabellen_Mat&amp;Bem'!$BD$31*(CG131-0.3)+CG131^2)</f>
        <v>1.1273875147537953</v>
      </c>
      <c r="CI131" s="550">
        <f t="shared" si="92"/>
        <v>0.69681654016578776</v>
      </c>
      <c r="CK131" s="551">
        <f t="shared" si="93"/>
        <v>23335.689113612065</v>
      </c>
      <c r="CN131" s="547">
        <f>'Hilfstabellen_Mat&amp;Bem'!$J$60</f>
        <v>3.7</v>
      </c>
      <c r="CO131" s="546">
        <f t="shared" si="94"/>
        <v>183</v>
      </c>
      <c r="CP131" s="551">
        <f t="shared" si="95"/>
        <v>70.03921298365951</v>
      </c>
      <c r="CQ131" s="553">
        <f>CP131/PI()*SQRT('Hilfstabellen_Mat&amp;Bem'!f.Rd.3/'Hilfstabellen_Mat&amp;Bem'!$BD$30)</f>
        <v>1.1147086956615468</v>
      </c>
      <c r="CR131" s="553">
        <f>0.5*(1+'Hilfstabellen_Mat&amp;Bem'!$BD$31*(CQ131-0.3)+CQ131^2)</f>
        <v>1.1620231728748109</v>
      </c>
      <c r="CS131" s="550">
        <f t="shared" si="96"/>
        <v>0.671035534175079</v>
      </c>
      <c r="CU131" s="551">
        <f t="shared" si="97"/>
        <v>22472.309003989219</v>
      </c>
      <c r="CX131" s="547">
        <f>'Hilfstabellen_Mat&amp;Bem'!$J$61</f>
        <v>3.8</v>
      </c>
      <c r="CY131" s="546">
        <f t="shared" si="98"/>
        <v>183</v>
      </c>
      <c r="CZ131" s="551">
        <f t="shared" si="99"/>
        <v>71.932164685920583</v>
      </c>
      <c r="DA131" s="553">
        <f>CZ131/PI()*SQRT('Hilfstabellen_Mat&amp;Bem'!f.Rd.3/'Hilfstabellen_Mat&amp;Bem'!$BD$30)</f>
        <v>1.1448359577064535</v>
      </c>
      <c r="DB131" s="553">
        <f>0.5*(1+'Hilfstabellen_Mat&amp;Bem'!$BD$31*(DA131-0.3)+DA131^2)</f>
        <v>1.197566482914149</v>
      </c>
      <c r="DC131" s="550">
        <f t="shared" si="100"/>
        <v>0.6455715105157428</v>
      </c>
      <c r="DE131" s="551">
        <f t="shared" si="101"/>
        <v>21619.544315661711</v>
      </c>
      <c r="DH131" s="547">
        <f>'Hilfstabellen_Mat&amp;Bem'!$J$62</f>
        <v>3.9</v>
      </c>
      <c r="DI131" s="546">
        <f t="shared" si="102"/>
        <v>183</v>
      </c>
      <c r="DJ131" s="551">
        <f t="shared" si="103"/>
        <v>73.825116388181655</v>
      </c>
      <c r="DK131" s="553">
        <f>DJ131/PI()*SQRT('Hilfstabellen_Mat&amp;Bem'!f.Rd.3/'Hilfstabellen_Mat&amp;Bem'!$BD$30)</f>
        <v>1.1749632197513602</v>
      </c>
      <c r="DL131" s="553">
        <f>0.5*(1+'Hilfstabellen_Mat&amp;Bem'!$BD$31*(DK131-0.3)+DK131^2)</f>
        <v>1.2340174448718098</v>
      </c>
      <c r="DM131" s="550">
        <f t="shared" si="104"/>
        <v>0.62065857480442854</v>
      </c>
      <c r="DO131" s="551">
        <f t="shared" si="105"/>
        <v>20785.235011625507</v>
      </c>
      <c r="DR131" s="547">
        <f>'Hilfstabellen_Mat&amp;Bem'!$J$63</f>
        <v>4</v>
      </c>
      <c r="DS131" s="546">
        <f t="shared" si="106"/>
        <v>183</v>
      </c>
      <c r="DT131" s="551">
        <f t="shared" si="107"/>
        <v>75.718068090442713</v>
      </c>
      <c r="DU131" s="553">
        <f>DT131/PI()*SQRT('Hilfstabellen_Mat&amp;Bem'!f.Rd.3/'Hilfstabellen_Mat&amp;Bem'!$BD$30)</f>
        <v>1.2050904817962669</v>
      </c>
      <c r="DV131" s="553">
        <f>0.5*(1+'Hilfstabellen_Mat&amp;Bem'!$BD$31*(DU131-0.3)+DU131^2)</f>
        <v>1.2713760587477927</v>
      </c>
      <c r="DW131" s="550">
        <f t="shared" si="108"/>
        <v>0.5964682032256271</v>
      </c>
      <c r="DY131" s="551">
        <f t="shared" si="109"/>
        <v>19975.123657823027</v>
      </c>
      <c r="EB131" s="547">
        <f>'Hilfstabellen_Mat&amp;Bem'!$J$64</f>
        <v>4.0999999999999996</v>
      </c>
      <c r="EC131" s="546">
        <f t="shared" si="110"/>
        <v>183</v>
      </c>
      <c r="ED131" s="551">
        <f t="shared" si="111"/>
        <v>77.611019792703786</v>
      </c>
      <c r="EE131" s="553">
        <f>ED131/PI()*SQRT('Hilfstabellen_Mat&amp;Bem'!f.Rd.3/'Hilfstabellen_Mat&amp;Bem'!$BD$30)</f>
        <v>1.2352177438411736</v>
      </c>
      <c r="EF131" s="553">
        <f>0.5*(1+'Hilfstabellen_Mat&amp;Bem'!$BD$31*(EE131-0.3)+EE131^2)</f>
        <v>1.3096423245420983</v>
      </c>
      <c r="EG131" s="550">
        <f t="shared" si="112"/>
        <v>0.57311727215228081</v>
      </c>
      <c r="EI131" s="551">
        <f t="shared" si="113"/>
        <v>19193.124327107733</v>
      </c>
      <c r="EL131" s="547">
        <f>'Hilfstabellen_Mat&amp;Bem'!$J$65</f>
        <v>4.2</v>
      </c>
      <c r="EM131" s="546">
        <f t="shared" si="114"/>
        <v>183</v>
      </c>
      <c r="EN131" s="551">
        <f t="shared" si="115"/>
        <v>79.503971494964844</v>
      </c>
      <c r="EO131" s="553">
        <f>EN131/PI()*SQRT('Hilfstabellen_Mat&amp;Bem'!f.Rd.3/'Hilfstabellen_Mat&amp;Bem'!$BD$30)</f>
        <v>1.26534500588608</v>
      </c>
      <c r="EP131" s="553">
        <f>0.5*(1+'Hilfstabellen_Mat&amp;Bem'!$BD$31*(EO131-0.3)+EO131^2)</f>
        <v>1.3488162422547259</v>
      </c>
      <c r="EQ131" s="550">
        <f t="shared" si="116"/>
        <v>0.55067812170883301</v>
      </c>
      <c r="ES131" s="551">
        <f t="shared" si="117"/>
        <v>18441.659617907109</v>
      </c>
    </row>
    <row r="132" spans="3:149">
      <c r="C132" s="546">
        <v>184</v>
      </c>
      <c r="D132" s="551">
        <f t="shared" si="72"/>
        <v>52.714589795574526</v>
      </c>
      <c r="E132" s="553">
        <f>$D132/PI()*SQRT('Hilfstabellen_Mat&amp;Bem'!f.Rd.3/'Hilfstabellen_Mat&amp;Bem'!$BD$30)</f>
        <v>0.83897875390272714</v>
      </c>
      <c r="F132" s="553">
        <f>0.5*(1+'Hilfstabellen_Mat&amp;Bem'!$BD$31*($E132-0.3)+$E132^2)</f>
        <v>0.87889161244522285</v>
      </c>
      <c r="G132" s="550">
        <f t="shared" si="73"/>
        <v>0.8766231551400161</v>
      </c>
      <c r="I132" s="551">
        <f t="shared" si="118"/>
        <v>29678.953540420385</v>
      </c>
      <c r="M132" s="546">
        <f t="shared" si="74"/>
        <v>184</v>
      </c>
      <c r="N132" s="551">
        <f t="shared" si="64"/>
        <v>54.597253716845039</v>
      </c>
      <c r="O132" s="553">
        <f>$N132/PI()*SQRT('Hilfstabellen_Mat&amp;Bem'!f.Rd.3/'Hilfstabellen_Mat&amp;Bem'!$BD$30)</f>
        <v>0.86894228082782432</v>
      </c>
      <c r="P132" s="553">
        <f>0.5*(1+'Hilfstabellen_Mat&amp;Bem'!$BD$31*($O132-0.3)+$O132^2)</f>
        <v>0.90597745774652205</v>
      </c>
      <c r="Q132" s="550">
        <f t="shared" si="65"/>
        <v>0.86031511328086208</v>
      </c>
      <c r="S132" s="551">
        <f t="shared" si="119"/>
        <v>29126.828475236867</v>
      </c>
      <c r="W132" s="546">
        <f t="shared" si="75"/>
        <v>184</v>
      </c>
      <c r="X132" s="551">
        <f t="shared" si="66"/>
        <v>56.479917638115559</v>
      </c>
      <c r="Y132" s="553">
        <f>$X132/PI()*SQRT('Hilfstabellen_Mat&amp;Bem'!f.Rd.3/'Hilfstabellen_Mat&amp;Bem'!$BD$30)</f>
        <v>0.89890580775292195</v>
      </c>
      <c r="Z132" s="553">
        <f>0.5*(1+'Hilfstabellen_Mat&amp;Bem'!$BD$31*($Y132-0.3)+$Y132^2)</f>
        <v>0.93396111599361253</v>
      </c>
      <c r="AA132" s="550">
        <f t="shared" si="67"/>
        <v>0.84214757548731978</v>
      </c>
      <c r="AC132" s="551">
        <f t="shared" si="120"/>
        <v>28511.7483156987</v>
      </c>
      <c r="AG132" s="546">
        <f t="shared" si="76"/>
        <v>184</v>
      </c>
      <c r="AH132" s="551">
        <f t="shared" si="68"/>
        <v>58.362581559386086</v>
      </c>
      <c r="AI132" s="553">
        <f>$AH132/PI()*SQRT('Hilfstabellen_Mat&amp;Bem'!f.Rd.3/'Hilfstabellen_Mat&amp;Bem'!$BD$30)</f>
        <v>0.92886933467801924</v>
      </c>
      <c r="AJ132" s="553">
        <f>0.5*(1+'Hilfstabellen_Mat&amp;Bem'!$BD$31*($AI132-0.3)+$AI132^2)</f>
        <v>0.96284258718649407</v>
      </c>
      <c r="AK132" s="550">
        <f t="shared" si="69"/>
        <v>0.82212965686193451</v>
      </c>
      <c r="AM132" s="551">
        <f t="shared" si="121"/>
        <v>27834.021662717656</v>
      </c>
      <c r="AQ132" s="546">
        <f t="shared" si="77"/>
        <v>184</v>
      </c>
      <c r="AR132" s="551">
        <f t="shared" si="70"/>
        <v>60.245245480656592</v>
      </c>
      <c r="AS132" s="553">
        <f>$AR132/PI()*SQRT('Hilfstabellen_Mat&amp;Bem'!f.Rd.3/'Hilfstabellen_Mat&amp;Bem'!$BD$30)</f>
        <v>0.95883286160311654</v>
      </c>
      <c r="AT132" s="553">
        <f>0.5*(1+'Hilfstabellen_Mat&amp;Bem'!$BD$31*($AS132-0.3)+$AS132^2)</f>
        <v>0.99262187132516644</v>
      </c>
      <c r="AU132" s="550">
        <f t="shared" si="71"/>
        <v>0.80038079702139198</v>
      </c>
      <c r="AW132" s="551">
        <f t="shared" si="122"/>
        <v>27097.692263956247</v>
      </c>
      <c r="AZ132" s="547">
        <f>'Hilfstabellen_Mat&amp;Bem'!$J$56</f>
        <v>3.3</v>
      </c>
      <c r="BA132" s="546">
        <f t="shared" si="78"/>
        <v>184</v>
      </c>
      <c r="BB132" s="551">
        <f t="shared" si="79"/>
        <v>62.12790940192712</v>
      </c>
      <c r="BC132" s="553">
        <f>BB132/PI()*SQRT('Hilfstabellen_Mat&amp;Bem'!f.Rd.3/'Hilfstabellen_Mat&amp;Bem'!$BD$30)</f>
        <v>0.98879638852821405</v>
      </c>
      <c r="BD132" s="553">
        <f>0.5*(1+'Hilfstabellen_Mat&amp;Bem'!$BD$31*(BC132-0.3)+BC132^2)</f>
        <v>1.0232989684096301</v>
      </c>
      <c r="BE132" s="550">
        <f t="shared" si="80"/>
        <v>0.77713336045573911</v>
      </c>
      <c r="BG132" s="551">
        <f t="shared" si="81"/>
        <v>26310.627051589505</v>
      </c>
      <c r="BJ132" s="547">
        <f>'Hilfstabellen_Mat&amp;Bem'!$J$57</f>
        <v>3.4</v>
      </c>
      <c r="BK132" s="546">
        <f t="shared" si="82"/>
        <v>184</v>
      </c>
      <c r="BL132" s="551">
        <f t="shared" si="83"/>
        <v>64.010573323197633</v>
      </c>
      <c r="BM132" s="553">
        <f>BL132/PI()*SQRT('Hilfstabellen_Mat&amp;Bem'!f.Rd.3/'Hilfstabellen_Mat&amp;Bem'!$BD$30)</f>
        <v>1.0187599154533113</v>
      </c>
      <c r="BN132" s="553">
        <f>0.5*(1+'Hilfstabellen_Mat&amp;Bem'!$BD$31*(BM132-0.3)+BM132^2)</f>
        <v>1.0548738784398846</v>
      </c>
      <c r="BO132" s="550">
        <f t="shared" si="84"/>
        <v>0.75271220144732043</v>
      </c>
      <c r="BQ132" s="551">
        <f t="shared" si="85"/>
        <v>25483.824292200479</v>
      </c>
      <c r="BT132" s="547">
        <f>'Hilfstabellen_Mat&amp;Bem'!$J$58</f>
        <v>3.5</v>
      </c>
      <c r="BU132" s="546">
        <f t="shared" si="86"/>
        <v>184</v>
      </c>
      <c r="BV132" s="551">
        <f t="shared" si="87"/>
        <v>65.893237244468153</v>
      </c>
      <c r="BW132" s="553">
        <f>BV132/PI()*SQRT('Hilfstabellen_Mat&amp;Bem'!f.Rd.3/'Hilfstabellen_Mat&amp;Bem'!$BD$30)</f>
        <v>1.0487234423784089</v>
      </c>
      <c r="BX132" s="553">
        <f>0.5*(1+'Hilfstabellen_Mat&amp;Bem'!$BD$31*(BW132-0.3)+BW132^2)</f>
        <v>1.0873466014159305</v>
      </c>
      <c r="BY132" s="550">
        <f t="shared" si="88"/>
        <v>0.72749609759397604</v>
      </c>
      <c r="CA132" s="551">
        <f t="shared" si="89"/>
        <v>24630.107880141652</v>
      </c>
      <c r="CD132" s="547">
        <f>'Hilfstabellen_Mat&amp;Bem'!$J$59</f>
        <v>3.6</v>
      </c>
      <c r="CE132" s="546">
        <f t="shared" si="90"/>
        <v>184</v>
      </c>
      <c r="CF132" s="551">
        <f t="shared" si="91"/>
        <v>67.775901165738674</v>
      </c>
      <c r="CG132" s="553">
        <f>CF132/PI()*SQRT('Hilfstabellen_Mat&amp;Bem'!f.Rd.3/'Hilfstabellen_Mat&amp;Bem'!$BD$30)</f>
        <v>1.0786869693035062</v>
      </c>
      <c r="CH132" s="553">
        <f>0.5*(1+'Hilfstabellen_Mat&amp;Bem'!$BD$31*(CG132-0.3)+CG132^2)</f>
        <v>1.1207171373377669</v>
      </c>
      <c r="CI132" s="550">
        <f t="shared" si="92"/>
        <v>0.70187319408831916</v>
      </c>
      <c r="CK132" s="551">
        <f t="shared" si="93"/>
        <v>23762.618859054135</v>
      </c>
      <c r="CN132" s="547">
        <f>'Hilfstabellen_Mat&amp;Bem'!$J$60</f>
        <v>3.7</v>
      </c>
      <c r="CO132" s="546">
        <f t="shared" si="94"/>
        <v>184</v>
      </c>
      <c r="CP132" s="551">
        <f t="shared" si="95"/>
        <v>69.658565087009194</v>
      </c>
      <c r="CQ132" s="553">
        <f>CP132/PI()*SQRT('Hilfstabellen_Mat&amp;Bem'!f.Rd.3/'Hilfstabellen_Mat&amp;Bem'!$BD$30)</f>
        <v>1.1086504962286037</v>
      </c>
      <c r="CR132" s="553">
        <f>0.5*(1+'Hilfstabellen_Mat&amp;Bem'!$BD$31*(CQ132-0.3)+CQ132^2)</f>
        <v>1.1549854862053948</v>
      </c>
      <c r="CS132" s="550">
        <f t="shared" si="96"/>
        <v>0.67620298897706199</v>
      </c>
      <c r="CU132" s="551">
        <f t="shared" si="97"/>
        <v>22893.52839480741</v>
      </c>
      <c r="CX132" s="547">
        <f>'Hilfstabellen_Mat&amp;Bem'!$J$61</f>
        <v>3.8</v>
      </c>
      <c r="CY132" s="546">
        <f t="shared" si="98"/>
        <v>184</v>
      </c>
      <c r="CZ132" s="551">
        <f t="shared" si="99"/>
        <v>71.5412290082797</v>
      </c>
      <c r="DA132" s="553">
        <f>CZ132/PI()*SQRT('Hilfstabellen_Mat&amp;Bem'!f.Rd.3/'Hilfstabellen_Mat&amp;Bem'!$BD$30)</f>
        <v>1.1386140231537007</v>
      </c>
      <c r="DB132" s="553">
        <f>0.5*(1+'Hilfstabellen_Mat&amp;Bem'!$BD$31*(DA132-0.3)+DA132^2)</f>
        <v>1.190151648018813</v>
      </c>
      <c r="DC132" s="550">
        <f t="shared" si="100"/>
        <v>0.65079198159530127</v>
      </c>
      <c r="DE132" s="551">
        <f t="shared" si="101"/>
        <v>22033.213328890521</v>
      </c>
      <c r="DH132" s="547">
        <f>'Hilfstabellen_Mat&amp;Bem'!$J$62</f>
        <v>3.9</v>
      </c>
      <c r="DI132" s="546">
        <f t="shared" si="102"/>
        <v>184</v>
      </c>
      <c r="DJ132" s="551">
        <f t="shared" si="103"/>
        <v>73.42389292955022</v>
      </c>
      <c r="DK132" s="553">
        <f>DJ132/PI()*SQRT('Hilfstabellen_Mat&amp;Bem'!f.Rd.3/'Hilfstabellen_Mat&amp;Bem'!$BD$30)</f>
        <v>1.1685775500787983</v>
      </c>
      <c r="DL132" s="553">
        <f>0.5*(1+'Hilfstabellen_Mat&amp;Bem'!$BD$31*(DK132-0.3)+DK132^2)</f>
        <v>1.226215622778023</v>
      </c>
      <c r="DM132" s="550">
        <f t="shared" si="104"/>
        <v>0.6258835866962974</v>
      </c>
      <c r="DO132" s="551">
        <f t="shared" si="105"/>
        <v>21189.914711189846</v>
      </c>
      <c r="DR132" s="547">
        <f>'Hilfstabellen_Mat&amp;Bem'!$J$63</f>
        <v>4</v>
      </c>
      <c r="DS132" s="546">
        <f t="shared" si="106"/>
        <v>184</v>
      </c>
      <c r="DT132" s="551">
        <f t="shared" si="107"/>
        <v>75.306556850820755</v>
      </c>
      <c r="DU132" s="553">
        <f>DT132/PI()*SQRT('Hilfstabellen_Mat&amp;Bem'!f.Rd.3/'Hilfstabellen_Mat&amp;Bem'!$BD$30)</f>
        <v>1.198541077003896</v>
      </c>
      <c r="DV132" s="553">
        <f>0.5*(1+'Hilfstabellen_Mat&amp;Bem'!$BD$31*(DU132-0.3)+DU132^2)</f>
        <v>1.2631774104830242</v>
      </c>
      <c r="DW132" s="550">
        <f t="shared" si="108"/>
        <v>0.6016588506139412</v>
      </c>
      <c r="DY132" s="551">
        <f t="shared" si="109"/>
        <v>20369.762046385593</v>
      </c>
      <c r="EB132" s="547">
        <f>'Hilfstabellen_Mat&amp;Bem'!$J$64</f>
        <v>4.0999999999999996</v>
      </c>
      <c r="EC132" s="546">
        <f t="shared" si="110"/>
        <v>184</v>
      </c>
      <c r="ED132" s="551">
        <f t="shared" si="111"/>
        <v>77.189220772091275</v>
      </c>
      <c r="EE132" s="553">
        <f>ED132/PI()*SQRT('Hilfstabellen_Mat&amp;Bem'!f.Rd.3/'Hilfstabellen_Mat&amp;Bem'!$BD$30)</f>
        <v>1.2285046039289933</v>
      </c>
      <c r="EF132" s="553">
        <f>0.5*(1+'Hilfstabellen_Mat&amp;Bem'!$BD$31*(EE132-0.3)+EE132^2)</f>
        <v>1.3010370111338161</v>
      </c>
      <c r="EG132" s="550">
        <f t="shared" si="112"/>
        <v>0.57824346420941686</v>
      </c>
      <c r="EI132" s="551">
        <f t="shared" si="113"/>
        <v>19577.010724274016</v>
      </c>
      <c r="EL132" s="547">
        <f>'Hilfstabellen_Mat&amp;Bem'!$J$65</f>
        <v>4.2</v>
      </c>
      <c r="EM132" s="546">
        <f t="shared" si="114"/>
        <v>184</v>
      </c>
      <c r="EN132" s="551">
        <f t="shared" si="115"/>
        <v>79.071884693361781</v>
      </c>
      <c r="EO132" s="553">
        <f>EN132/PI()*SQRT('Hilfstabellen_Mat&amp;Bem'!f.Rd.3/'Hilfstabellen_Mat&amp;Bem'!$BD$30)</f>
        <v>1.2584681308540906</v>
      </c>
      <c r="EP132" s="553">
        <f>0.5*(1+'Hilfstabellen_Mat&amp;Bem'!$BD$31*(EO132-0.3)+EO132^2)</f>
        <v>1.3397944247303988</v>
      </c>
      <c r="EQ132" s="550">
        <f t="shared" si="116"/>
        <v>0.5557173600943055</v>
      </c>
      <c r="ES132" s="551">
        <f t="shared" si="117"/>
        <v>18814.366943352808</v>
      </c>
    </row>
    <row r="133" spans="3:149">
      <c r="C133" s="546">
        <v>185</v>
      </c>
      <c r="D133" s="551">
        <f t="shared" si="72"/>
        <v>52.429646066949793</v>
      </c>
      <c r="E133" s="553">
        <f>$D133/PI()*SQRT('Hilfstabellen_Mat&amp;Bem'!f.Rd.3/'Hilfstabellen_Mat&amp;Bem'!$BD$30)</f>
        <v>0.83444373361136093</v>
      </c>
      <c r="F133" s="553">
        <f>0.5*(1+'Hilfstabellen_Mat&amp;Bem'!$BD$31*($E133-0.3)+$E133^2)</f>
        <v>0.874870358962202</v>
      </c>
      <c r="G133" s="550">
        <f t="shared" si="73"/>
        <v>0.87893344640806581</v>
      </c>
      <c r="I133" s="551">
        <f t="shared" si="118"/>
        <v>30081.497203316052</v>
      </c>
      <c r="M133" s="546">
        <f t="shared" si="74"/>
        <v>185</v>
      </c>
      <c r="N133" s="551">
        <f t="shared" si="64"/>
        <v>54.302133426483714</v>
      </c>
      <c r="O133" s="553">
        <f>$N133/PI()*SQRT('Hilfstabellen_Mat&amp;Bem'!f.Rd.3/'Hilfstabellen_Mat&amp;Bem'!$BD$30)</f>
        <v>0.86424529552605245</v>
      </c>
      <c r="P133" s="553">
        <f>0.5*(1+'Hilfstabellen_Mat&amp;Bem'!$BD$31*($O133-0.3)+$O133^2)</f>
        <v>0.90167223019575937</v>
      </c>
      <c r="Q133" s="550">
        <f t="shared" si="65"/>
        <v>0.8629932719218455</v>
      </c>
      <c r="S133" s="551">
        <f t="shared" si="119"/>
        <v>29535.944731525164</v>
      </c>
      <c r="W133" s="546">
        <f t="shared" si="75"/>
        <v>185</v>
      </c>
      <c r="X133" s="551">
        <f t="shared" si="66"/>
        <v>56.174620786017641</v>
      </c>
      <c r="Y133" s="553">
        <f>$X133/PI()*SQRT('Hilfstabellen_Mat&amp;Bem'!f.Rd.3/'Hilfstabellen_Mat&amp;Bem'!$BD$30)</f>
        <v>0.89404685744074386</v>
      </c>
      <c r="Z133" s="553">
        <f>0.5*(1+'Hilfstabellen_Mat&amp;Bem'!$BD$31*($Y133-0.3)+$Y133^2)</f>
        <v>0.92936223452187217</v>
      </c>
      <c r="AA133" s="550">
        <f t="shared" si="67"/>
        <v>0.84522086366346427</v>
      </c>
      <c r="AC133" s="551">
        <f t="shared" si="120"/>
        <v>28927.684058882063</v>
      </c>
      <c r="AG133" s="546">
        <f t="shared" si="76"/>
        <v>185</v>
      </c>
      <c r="AH133" s="551">
        <f t="shared" si="68"/>
        <v>58.047108145551562</v>
      </c>
      <c r="AI133" s="553">
        <f>$AH133/PI()*SQRT('Hilfstabellen_Mat&amp;Bem'!f.Rd.3/'Hilfstabellen_Mat&amp;Bem'!$BD$30)</f>
        <v>0.92384841935543527</v>
      </c>
      <c r="AJ133" s="553">
        <f>0.5*(1+'Hilfstabellen_Mat&amp;Bem'!$BD$31*($AI133-0.3)+$AI133^2)</f>
        <v>0.95794037194053983</v>
      </c>
      <c r="AK133" s="550">
        <f t="shared" si="69"/>
        <v>0.82560942459709841</v>
      </c>
      <c r="AM133" s="551">
        <f t="shared" si="121"/>
        <v>28256.482556835694</v>
      </c>
      <c r="AQ133" s="546">
        <f t="shared" si="77"/>
        <v>185</v>
      </c>
      <c r="AR133" s="551">
        <f t="shared" si="70"/>
        <v>59.919595505085482</v>
      </c>
      <c r="AS133" s="553">
        <f>$AR133/PI()*SQRT('Hilfstabellen_Mat&amp;Bem'!f.Rd.3/'Hilfstabellen_Mat&amp;Bem'!$BD$30)</f>
        <v>0.95364998127012679</v>
      </c>
      <c r="AT133" s="553">
        <f>0.5*(1+'Hilfstabellen_Mat&amp;Bem'!$BD$31*($AS133-0.3)+$AS133^2)</f>
        <v>0.98740664245176291</v>
      </c>
      <c r="AU133" s="550">
        <f t="shared" si="71"/>
        <v>0.80425780221860255</v>
      </c>
      <c r="AW133" s="551">
        <f t="shared" si="122"/>
        <v>27525.723280931674</v>
      </c>
      <c r="AZ133" s="547">
        <f>'Hilfstabellen_Mat&amp;Bem'!$J$56</f>
        <v>3.3</v>
      </c>
      <c r="BA133" s="546">
        <f t="shared" si="78"/>
        <v>185</v>
      </c>
      <c r="BB133" s="551">
        <f t="shared" si="79"/>
        <v>61.792082864619402</v>
      </c>
      <c r="BC133" s="553">
        <f>BB133/PI()*SQRT('Hilfstabellen_Mat&amp;Bem'!f.Rd.3/'Hilfstabellen_Mat&amp;Bem'!$BD$30)</f>
        <v>0.9834515431848182</v>
      </c>
      <c r="BD133" s="553">
        <f>0.5*(1+'Hilfstabellen_Mat&amp;Bem'!$BD$31*(BC133-0.3)+BC133^2)</f>
        <v>1.0177610460555411</v>
      </c>
      <c r="BE133" s="550">
        <f t="shared" si="80"/>
        <v>0.78137652143416525</v>
      </c>
      <c r="BG133" s="551">
        <f t="shared" si="81"/>
        <v>26742.611446084305</v>
      </c>
      <c r="BJ133" s="547">
        <f>'Hilfstabellen_Mat&amp;Bem'!$J$57</f>
        <v>3.4</v>
      </c>
      <c r="BK133" s="546">
        <f t="shared" si="82"/>
        <v>185</v>
      </c>
      <c r="BL133" s="551">
        <f t="shared" si="83"/>
        <v>63.664570224153323</v>
      </c>
      <c r="BM133" s="553">
        <f>BL133/PI()*SQRT('Hilfstabellen_Mat&amp;Bem'!f.Rd.3/'Hilfstabellen_Mat&amp;Bem'!$BD$30)</f>
        <v>1.0132531050995097</v>
      </c>
      <c r="BN133" s="553">
        <f>0.5*(1+'Hilfstabellen_Mat&amp;Bem'!$BD$31*(BM133-0.3)+BM133^2)</f>
        <v>1.0490035827518747</v>
      </c>
      <c r="BO133" s="550">
        <f t="shared" si="84"/>
        <v>0.75727163142869491</v>
      </c>
      <c r="BQ133" s="551">
        <f t="shared" si="85"/>
        <v>25917.621585647084</v>
      </c>
      <c r="BT133" s="547">
        <f>'Hilfstabellen_Mat&amp;Bem'!$J$58</f>
        <v>3.5</v>
      </c>
      <c r="BU133" s="546">
        <f t="shared" si="86"/>
        <v>185</v>
      </c>
      <c r="BV133" s="551">
        <f t="shared" si="87"/>
        <v>65.537057583687243</v>
      </c>
      <c r="BW133" s="553">
        <f>BV133/PI()*SQRT('Hilfstabellen_Mat&amp;Bem'!f.Rd.3/'Hilfstabellen_Mat&amp;Bem'!$BD$30)</f>
        <v>1.0430546670142011</v>
      </c>
      <c r="BX133" s="553">
        <f>0.5*(1+'Hilfstabellen_Mat&amp;Bem'!$BD$31*(BW133-0.3)+BW133^2)</f>
        <v>1.081134252540763</v>
      </c>
      <c r="BY133" s="550">
        <f t="shared" si="88"/>
        <v>0.73230951446445125</v>
      </c>
      <c r="CA133" s="551">
        <f t="shared" si="89"/>
        <v>25063.293132545845</v>
      </c>
      <c r="CD133" s="547">
        <f>'Hilfstabellen_Mat&amp;Bem'!$J$59</f>
        <v>3.6</v>
      </c>
      <c r="CE133" s="546">
        <f t="shared" si="90"/>
        <v>185</v>
      </c>
      <c r="CF133" s="551">
        <f t="shared" si="91"/>
        <v>67.409544943221164</v>
      </c>
      <c r="CG133" s="553">
        <f>CF133/PI()*SQRT('Hilfstabellen_Mat&amp;Bem'!f.Rd.3/'Hilfstabellen_Mat&amp;Bem'!$BD$30)</f>
        <v>1.0728562289288925</v>
      </c>
      <c r="CH133" s="553">
        <f>0.5*(1+'Hilfstabellen_Mat&amp;Bem'!$BD$31*(CG133-0.3)+CG133^2)</f>
        <v>1.1141530554222068</v>
      </c>
      <c r="CI133" s="550">
        <f t="shared" si="92"/>
        <v>0.70687355735142576</v>
      </c>
      <c r="CK133" s="551">
        <f t="shared" si="93"/>
        <v>24192.747500352547</v>
      </c>
      <c r="CN133" s="547">
        <f>'Hilfstabellen_Mat&amp;Bem'!$J$60</f>
        <v>3.7</v>
      </c>
      <c r="CO133" s="546">
        <f t="shared" si="94"/>
        <v>185</v>
      </c>
      <c r="CP133" s="551">
        <f t="shared" si="95"/>
        <v>69.282032302755084</v>
      </c>
      <c r="CQ133" s="553">
        <f>CP133/PI()*SQRT('Hilfstabellen_Mat&amp;Bem'!f.Rd.3/'Hilfstabellen_Mat&amp;Bem'!$BD$30)</f>
        <v>1.102657790843584</v>
      </c>
      <c r="CR133" s="553">
        <f>0.5*(1+'Hilfstabellen_Mat&amp;Bem'!$BD$31*(CQ133-0.3)+CQ133^2)</f>
        <v>1.1480599913962055</v>
      </c>
      <c r="CS133" s="550">
        <f t="shared" si="96"/>
        <v>0.68132521956793579</v>
      </c>
      <c r="CU133" s="551">
        <f t="shared" si="97"/>
        <v>23318.355639712601</v>
      </c>
      <c r="CX133" s="547">
        <f>'Hilfstabellen_Mat&amp;Bem'!$J$61</f>
        <v>3.8</v>
      </c>
      <c r="CY133" s="546">
        <f t="shared" si="98"/>
        <v>185</v>
      </c>
      <c r="CZ133" s="551">
        <f t="shared" si="99"/>
        <v>71.154519662289005</v>
      </c>
      <c r="DA133" s="553">
        <f>CZ133/PI()*SQRT('Hilfstabellen_Mat&amp;Bem'!f.Rd.3/'Hilfstabellen_Mat&amp;Bem'!$BD$30)</f>
        <v>1.1324593527582756</v>
      </c>
      <c r="DB133" s="553">
        <f>0.5*(1+'Hilfstabellen_Mat&amp;Bem'!$BD$31*(DA133-0.3)+DA133^2)</f>
        <v>1.1828550604627601</v>
      </c>
      <c r="DC133" s="550">
        <f t="shared" si="100"/>
        <v>0.65597755745647501</v>
      </c>
      <c r="DE133" s="551">
        <f t="shared" si="101"/>
        <v>22450.831903947856</v>
      </c>
      <c r="DH133" s="547">
        <f>'Hilfstabellen_Mat&amp;Bem'!$J$62</f>
        <v>3.9</v>
      </c>
      <c r="DI133" s="546">
        <f t="shared" si="102"/>
        <v>185</v>
      </c>
      <c r="DJ133" s="551">
        <f t="shared" si="103"/>
        <v>73.027007021822925</v>
      </c>
      <c r="DK133" s="553">
        <f>DJ133/PI()*SQRT('Hilfstabellen_Mat&amp;Bem'!f.Rd.3/'Hilfstabellen_Mat&amp;Bem'!$BD$30)</f>
        <v>1.162260914672967</v>
      </c>
      <c r="DL133" s="553">
        <f>0.5*(1+'Hilfstabellen_Mat&amp;Bem'!$BD$31*(DK133-0.3)+DK133^2)</f>
        <v>1.2185382626218693</v>
      </c>
      <c r="DM133" s="550">
        <f t="shared" si="104"/>
        <v>0.63108286376885914</v>
      </c>
      <c r="DO133" s="551">
        <f t="shared" si="105"/>
        <v>21598.811012489205</v>
      </c>
      <c r="DR133" s="547">
        <f>'Hilfstabellen_Mat&amp;Bem'!$J$63</f>
        <v>4</v>
      </c>
      <c r="DS133" s="546">
        <f t="shared" si="106"/>
        <v>185</v>
      </c>
      <c r="DT133" s="551">
        <f t="shared" si="107"/>
        <v>74.899494381356845</v>
      </c>
      <c r="DU133" s="553">
        <f>DT133/PI()*SQRT('Hilfstabellen_Mat&amp;Bem'!f.Rd.3/'Hilfstabellen_Mat&amp;Bem'!$BD$30)</f>
        <v>1.1920624765876584</v>
      </c>
      <c r="DV133" s="553">
        <f>0.5*(1+'Hilfstabellen_Mat&amp;Bem'!$BD$31*(DU133-0.3)+DU133^2)</f>
        <v>1.2551095978735338</v>
      </c>
      <c r="DW133" s="550">
        <f t="shared" si="108"/>
        <v>0.60683160079620002</v>
      </c>
      <c r="DY133" s="551">
        <f t="shared" si="109"/>
        <v>20768.811537249945</v>
      </c>
      <c r="EB133" s="547">
        <f>'Hilfstabellen_Mat&amp;Bem'!$J$64</f>
        <v>4.0999999999999996</v>
      </c>
      <c r="EC133" s="546">
        <f t="shared" si="110"/>
        <v>185</v>
      </c>
      <c r="ED133" s="551">
        <f t="shared" si="111"/>
        <v>76.771981740890766</v>
      </c>
      <c r="EE133" s="553">
        <f>ED133/PI()*SQRT('Hilfstabellen_Mat&amp;Bem'!f.Rd.3/'Hilfstabellen_Mat&amp;Bem'!$BD$30)</f>
        <v>1.2218640385023498</v>
      </c>
      <c r="EF133" s="553">
        <f>0.5*(1+'Hilfstabellen_Mat&amp;Bem'!$BD$31*(EE133-0.3)+EE133^2)</f>
        <v>1.2925690662177534</v>
      </c>
      <c r="EG133" s="550">
        <f t="shared" si="112"/>
        <v>0.58335829718544985</v>
      </c>
      <c r="EI133" s="551">
        <f t="shared" si="113"/>
        <v>19965.43772117202</v>
      </c>
      <c r="EL133" s="547">
        <f>'Hilfstabellen_Mat&amp;Bem'!$J$65</f>
        <v>4.2</v>
      </c>
      <c r="EM133" s="546">
        <f t="shared" si="114"/>
        <v>185</v>
      </c>
      <c r="EN133" s="551">
        <f t="shared" si="115"/>
        <v>78.644469100424686</v>
      </c>
      <c r="EO133" s="553">
        <f>EN133/PI()*SQRT('Hilfstabellen_Mat&amp;Bem'!f.Rd.3/'Hilfstabellen_Mat&amp;Bem'!$BD$30)</f>
        <v>1.2516656004170414</v>
      </c>
      <c r="EP133" s="553">
        <f>0.5*(1+'Hilfstabellen_Mat&amp;Bem'!$BD$31*(EO133-0.3)+EO133^2)</f>
        <v>1.3309166676545285</v>
      </c>
      <c r="EQ133" s="550">
        <f t="shared" si="116"/>
        <v>0.56075059602262156</v>
      </c>
      <c r="ES133" s="551">
        <f t="shared" si="117"/>
        <v>19191.689148874222</v>
      </c>
    </row>
    <row r="134" spans="3:149">
      <c r="C134" s="546">
        <v>186</v>
      </c>
      <c r="D134" s="551">
        <f t="shared" si="72"/>
        <v>52.147766249385555</v>
      </c>
      <c r="E134" s="553">
        <f>$D134/PI()*SQRT('Hilfstabellen_Mat&amp;Bem'!f.Rd.3/'Hilfstabellen_Mat&amp;Bem'!$BD$30)</f>
        <v>0.82995747697904187</v>
      </c>
      <c r="F134" s="553">
        <f>0.5*(1+'Hilfstabellen_Mat&amp;Bem'!$BD$31*($E134-0.3)+$E134^2)</f>
        <v>0.87091258064566057</v>
      </c>
      <c r="G134" s="550">
        <f t="shared" si="73"/>
        <v>0.88117909504911385</v>
      </c>
      <c r="I134" s="551">
        <f t="shared" si="118"/>
        <v>30485.271972319144</v>
      </c>
      <c r="M134" s="546">
        <f t="shared" si="74"/>
        <v>186</v>
      </c>
      <c r="N134" s="551">
        <f t="shared" si="64"/>
        <v>54.010186472577892</v>
      </c>
      <c r="O134" s="553">
        <f>$N134/PI()*SQRT('Hilfstabellen_Mat&amp;Bem'!f.Rd.3/'Hilfstabellen_Mat&amp;Bem'!$BD$30)</f>
        <v>0.85959881544257899</v>
      </c>
      <c r="P134" s="553">
        <f>0.5*(1+'Hilfstabellen_Mat&amp;Bem'!$BD$31*($O134-0.3)+$O134^2)</f>
        <v>0.89743500252727149</v>
      </c>
      <c r="Q134" s="550">
        <f t="shared" si="65"/>
        <v>0.86559768360638012</v>
      </c>
      <c r="S134" s="551">
        <f t="shared" si="119"/>
        <v>29946.217462046327</v>
      </c>
      <c r="W134" s="546">
        <f t="shared" si="75"/>
        <v>186</v>
      </c>
      <c r="X134" s="551">
        <f t="shared" si="66"/>
        <v>55.87260669577023</v>
      </c>
      <c r="Y134" s="553">
        <f>$X134/PI()*SQRT('Hilfstabellen_Mat&amp;Bem'!f.Rd.3/'Hilfstabellen_Mat&amp;Bem'!$BD$30)</f>
        <v>0.88924015390611622</v>
      </c>
      <c r="Z134" s="553">
        <f>0.5*(1+'Hilfstabellen_Mat&amp;Bem'!$BD$31*($Y134-0.3)+$Y134^2)</f>
        <v>0.92483603335479247</v>
      </c>
      <c r="AA134" s="550">
        <f t="shared" si="67"/>
        <v>0.84821277569700859</v>
      </c>
      <c r="AC134" s="551">
        <f t="shared" si="120"/>
        <v>29344.76918801371</v>
      </c>
      <c r="AG134" s="546">
        <f t="shared" si="76"/>
        <v>186</v>
      </c>
      <c r="AH134" s="551">
        <f t="shared" si="68"/>
        <v>57.735026918962575</v>
      </c>
      <c r="AI134" s="553">
        <f>$AH134/PI()*SQRT('Hilfstabellen_Mat&amp;Bem'!f.Rd.3/'Hilfstabellen_Mat&amp;Bem'!$BD$30)</f>
        <v>0.91888149236965355</v>
      </c>
      <c r="AJ134" s="553">
        <f>0.5*(1+'Hilfstabellen_Mat&amp;Bem'!$BD$31*($AI134-0.3)+$AI134^2)</f>
        <v>0.95311567312822354</v>
      </c>
      <c r="AK134" s="550">
        <f t="shared" si="69"/>
        <v>0.8290029172295762</v>
      </c>
      <c r="AM134" s="551">
        <f t="shared" si="121"/>
        <v>28680.184924474419</v>
      </c>
      <c r="AQ134" s="546">
        <f t="shared" si="77"/>
        <v>186</v>
      </c>
      <c r="AR134" s="551">
        <f t="shared" si="70"/>
        <v>59.597447142154913</v>
      </c>
      <c r="AS134" s="553">
        <f>$AR134/PI()*SQRT('Hilfstabellen_Mat&amp;Bem'!f.Rd.3/'Hilfstabellen_Mat&amp;Bem'!$BD$30)</f>
        <v>0.94852283083319056</v>
      </c>
      <c r="AT134" s="553">
        <f>0.5*(1+'Hilfstabellen_Mat&amp;Bem'!$BD$31*($AS134-0.3)+$AS134^2)</f>
        <v>0.98227392184756424</v>
      </c>
      <c r="AU134" s="550">
        <f t="shared" si="71"/>
        <v>0.80804736566800472</v>
      </c>
      <c r="AW134" s="551">
        <f t="shared" si="122"/>
        <v>27955.206662650293</v>
      </c>
      <c r="AZ134" s="547">
        <f>'Hilfstabellen_Mat&amp;Bem'!$J$56</f>
        <v>3.3</v>
      </c>
      <c r="BA134" s="546">
        <f t="shared" si="78"/>
        <v>186</v>
      </c>
      <c r="BB134" s="551">
        <f t="shared" si="79"/>
        <v>61.459867365347257</v>
      </c>
      <c r="BC134" s="553">
        <f>BB134/PI()*SQRT('Hilfstabellen_Mat&amp;Bem'!f.Rd.3/'Hilfstabellen_Mat&amp;Bem'!$BD$30)</f>
        <v>0.97816416929672789</v>
      </c>
      <c r="BD134" s="553">
        <f>0.5*(1+'Hilfstabellen_Mat&amp;Bem'!$BD$31*(BC134-0.3)+BC134^2)</f>
        <v>1.0123107795128155</v>
      </c>
      <c r="BE134" s="550">
        <f t="shared" si="80"/>
        <v>0.78553518154407664</v>
      </c>
      <c r="BG134" s="551">
        <f t="shared" si="81"/>
        <v>27176.375140698874</v>
      </c>
      <c r="BJ134" s="547">
        <f>'Hilfstabellen_Mat&amp;Bem'!$J$57</f>
        <v>3.4</v>
      </c>
      <c r="BK134" s="546">
        <f t="shared" si="82"/>
        <v>186</v>
      </c>
      <c r="BL134" s="551">
        <f t="shared" si="83"/>
        <v>63.322287588539602</v>
      </c>
      <c r="BM134" s="553">
        <f>BL134/PI()*SQRT('Hilfstabellen_Mat&amp;Bem'!f.Rd.3/'Hilfstabellen_Mat&amp;Bem'!$BD$30)</f>
        <v>1.007805507760265</v>
      </c>
      <c r="BN134" s="553">
        <f>0.5*(1+'Hilfstabellen_Mat&amp;Bem'!$BD$31*(BM134-0.3)+BM134^2)</f>
        <v>1.0432262461239761</v>
      </c>
      <c r="BO134" s="550">
        <f t="shared" si="84"/>
        <v>0.76175320046416461</v>
      </c>
      <c r="BQ134" s="551">
        <f t="shared" si="85"/>
        <v>26353.61372325824</v>
      </c>
      <c r="BT134" s="547">
        <f>'Hilfstabellen_Mat&amp;Bem'!$J$58</f>
        <v>3.5</v>
      </c>
      <c r="BU134" s="546">
        <f t="shared" si="86"/>
        <v>186</v>
      </c>
      <c r="BV134" s="551">
        <f t="shared" si="87"/>
        <v>65.18470781173194</v>
      </c>
      <c r="BW134" s="553">
        <f>BV134/PI()*SQRT('Hilfstabellen_Mat&amp;Bem'!f.Rd.3/'Hilfstabellen_Mat&amp;Bem'!$BD$30)</f>
        <v>1.0374468462238022</v>
      </c>
      <c r="BX134" s="553">
        <f>0.5*(1+'Hilfstabellen_Mat&amp;Bem'!$BD$31*(BW134-0.3)+BW134^2)</f>
        <v>1.075020321681047</v>
      </c>
      <c r="BY134" s="550">
        <f t="shared" si="88"/>
        <v>0.73705438201516604</v>
      </c>
      <c r="CA134" s="551">
        <f t="shared" si="89"/>
        <v>25499.133400196686</v>
      </c>
      <c r="CD134" s="547">
        <f>'Hilfstabellen_Mat&amp;Bem'!$J$59</f>
        <v>3.6</v>
      </c>
      <c r="CE134" s="546">
        <f t="shared" si="90"/>
        <v>186</v>
      </c>
      <c r="CF134" s="551">
        <f t="shared" si="91"/>
        <v>67.047128034924285</v>
      </c>
      <c r="CG134" s="553">
        <f>CF134/PI()*SQRT('Hilfstabellen_Mat&amp;Bem'!f.Rd.3/'Hilfstabellen_Mat&amp;Bem'!$BD$30)</f>
        <v>1.0670881846873397</v>
      </c>
      <c r="CH134" s="553">
        <f>0.5*(1+'Hilfstabellen_Mat&amp;Bem'!$BD$31*(CG134-0.3)+CG134^2)</f>
        <v>1.1076930061840278</v>
      </c>
      <c r="CI134" s="550">
        <f t="shared" si="92"/>
        <v>0.71181608162443133</v>
      </c>
      <c r="CK134" s="551">
        <f t="shared" si="93"/>
        <v>24625.989159878827</v>
      </c>
      <c r="CN134" s="547">
        <f>'Hilfstabellen_Mat&amp;Bem'!$J$60</f>
        <v>3.7</v>
      </c>
      <c r="CO134" s="546">
        <f t="shared" si="94"/>
        <v>186</v>
      </c>
      <c r="CP134" s="551">
        <f t="shared" si="95"/>
        <v>68.909548258116615</v>
      </c>
      <c r="CQ134" s="553">
        <f>CP134/PI()*SQRT('Hilfstabellen_Mat&amp;Bem'!f.Rd.3/'Hilfstabellen_Mat&amp;Bem'!$BD$30)</f>
        <v>1.0967295231508767</v>
      </c>
      <c r="CR134" s="553">
        <f>0.5*(1+'Hilfstabellen_Mat&amp;Bem'!$BD$31*(CQ134-0.3)+CQ134^2)</f>
        <v>1.1412442996329184</v>
      </c>
      <c r="CS134" s="550">
        <f t="shared" si="96"/>
        <v>0.68640056289397378</v>
      </c>
      <c r="CU134" s="551">
        <f t="shared" si="97"/>
        <v>23746.713873879919</v>
      </c>
      <c r="CX134" s="547">
        <f>'Hilfstabellen_Mat&amp;Bem'!$J$61</f>
        <v>3.8</v>
      </c>
      <c r="CY134" s="546">
        <f t="shared" si="98"/>
        <v>186</v>
      </c>
      <c r="CZ134" s="551">
        <f t="shared" si="99"/>
        <v>70.77196848130896</v>
      </c>
      <c r="DA134" s="553">
        <f>CZ134/PI()*SQRT('Hilfstabellen_Mat&amp;Bem'!f.Rd.3/'Hilfstabellen_Mat&amp;Bem'!$BD$30)</f>
        <v>1.1263708616144139</v>
      </c>
      <c r="DB134" s="553">
        <f>0.5*(1+'Hilfstabellen_Mat&amp;Bem'!$BD$31*(DA134-0.3)+DA134^2)</f>
        <v>1.1756742020277193</v>
      </c>
      <c r="DC134" s="550">
        <f t="shared" si="100"/>
        <v>0.66112660058589878</v>
      </c>
      <c r="DE134" s="551">
        <f t="shared" si="101"/>
        <v>22872.335873869753</v>
      </c>
      <c r="DH134" s="547">
        <f>'Hilfstabellen_Mat&amp;Bem'!$J$62</f>
        <v>3.9</v>
      </c>
      <c r="DI134" s="546">
        <f t="shared" si="102"/>
        <v>186</v>
      </c>
      <c r="DJ134" s="551">
        <f t="shared" si="103"/>
        <v>72.634388704501305</v>
      </c>
      <c r="DK134" s="553">
        <f>DJ134/PI()*SQRT('Hilfstabellen_Mat&amp;Bem'!f.Rd.3/'Hilfstabellen_Mat&amp;Bem'!$BD$30)</f>
        <v>1.1560122000779511</v>
      </c>
      <c r="DL134" s="553">
        <f>0.5*(1+'Hilfstabellen_Mat&amp;Bem'!$BD$31*(DK134-0.3)+DK134^2)</f>
        <v>1.2109827133684301</v>
      </c>
      <c r="DM134" s="550">
        <f t="shared" si="104"/>
        <v>0.63625488019301757</v>
      </c>
      <c r="DO134" s="551">
        <f t="shared" si="105"/>
        <v>22011.873835157636</v>
      </c>
      <c r="DR134" s="547">
        <f>'Hilfstabellen_Mat&amp;Bem'!$J$63</f>
        <v>4</v>
      </c>
      <c r="DS134" s="546">
        <f t="shared" si="106"/>
        <v>186</v>
      </c>
      <c r="DT134" s="551">
        <f t="shared" si="107"/>
        <v>74.496808927693635</v>
      </c>
      <c r="DU134" s="553">
        <f>DT134/PI()*SQRT('Hilfstabellen_Mat&amp;Bem'!f.Rd.3/'Hilfstabellen_Mat&amp;Bem'!$BD$30)</f>
        <v>1.1856535385414881</v>
      </c>
      <c r="DV134" s="553">
        <f>0.5*(1+'Hilfstabellen_Mat&amp;Bem'!$BD$31*(DU134-0.3)+DU134^2)</f>
        <v>1.2471698336550505</v>
      </c>
      <c r="DW134" s="550">
        <f t="shared" si="108"/>
        <v>0.61198508202020507</v>
      </c>
      <c r="DY134" s="551">
        <f t="shared" si="109"/>
        <v>21172.235897571016</v>
      </c>
      <c r="EB134" s="547">
        <f>'Hilfstabellen_Mat&amp;Bem'!$J$64</f>
        <v>4.0999999999999996</v>
      </c>
      <c r="EC134" s="546">
        <f t="shared" si="110"/>
        <v>186</v>
      </c>
      <c r="ED134" s="551">
        <f t="shared" si="111"/>
        <v>76.35922915088598</v>
      </c>
      <c r="EE134" s="553">
        <f>ED134/PI()*SQRT('Hilfstabellen_Mat&amp;Bem'!f.Rd.3/'Hilfstabellen_Mat&amp;Bem'!$BD$30)</f>
        <v>1.2152948770050254</v>
      </c>
      <c r="EF134" s="553">
        <f>0.5*(1+'Hilfstabellen_Mat&amp;Bem'!$BD$31*(EE134-0.3)+EE134^2)</f>
        <v>1.2842355628875812</v>
      </c>
      <c r="EG134" s="550">
        <f t="shared" si="112"/>
        <v>0.58846056600131413</v>
      </c>
      <c r="EI134" s="551">
        <f t="shared" si="113"/>
        <v>20358.381741381465</v>
      </c>
      <c r="EL134" s="547">
        <f>'Hilfstabellen_Mat&amp;Bem'!$J$65</f>
        <v>4.2</v>
      </c>
      <c r="EM134" s="546">
        <f t="shared" si="114"/>
        <v>186</v>
      </c>
      <c r="EN134" s="551">
        <f t="shared" si="115"/>
        <v>78.221649374078325</v>
      </c>
      <c r="EO134" s="553">
        <f>EN134/PI()*SQRT('Hilfstabellen_Mat&amp;Bem'!f.Rd.3/'Hilfstabellen_Mat&amp;Bem'!$BD$30)</f>
        <v>1.2449362154685628</v>
      </c>
      <c r="EP134" s="553">
        <f>0.5*(1+'Hilfstabellen_Mat&amp;Bem'!$BD$31*(EO134-0.3)+EO134^2)</f>
        <v>1.322179901066022</v>
      </c>
      <c r="EQ134" s="550">
        <f t="shared" si="116"/>
        <v>0.56577678602226766</v>
      </c>
      <c r="ES134" s="551">
        <f t="shared" si="117"/>
        <v>19573.613689226371</v>
      </c>
    </row>
    <row r="135" spans="3:149">
      <c r="C135" s="546">
        <v>187</v>
      </c>
      <c r="D135" s="551">
        <f t="shared" si="72"/>
        <v>51.868901189228403</v>
      </c>
      <c r="E135" s="553">
        <f>$D135/PI()*SQRT('Hilfstabellen_Mat&amp;Bem'!f.Rd.3/'Hilfstabellen_Mat&amp;Bem'!$BD$30)</f>
        <v>0.82551920170107884</v>
      </c>
      <c r="F135" s="553">
        <f>0.5*(1+'Hilfstabellen_Mat&amp;Bem'!$BD$31*($E135-0.3)+$E135^2)</f>
        <v>0.86701693627364718</v>
      </c>
      <c r="G135" s="550">
        <f t="shared" si="73"/>
        <v>0.88336220283310951</v>
      </c>
      <c r="I135" s="551">
        <f t="shared" si="118"/>
        <v>30890.292870871006</v>
      </c>
      <c r="M135" s="546">
        <f t="shared" si="74"/>
        <v>187</v>
      </c>
      <c r="N135" s="551">
        <f t="shared" si="64"/>
        <v>53.721361945986565</v>
      </c>
      <c r="O135" s="553">
        <f>$N135/PI()*SQRT('Hilfstabellen_Mat&amp;Bem'!f.Rd.3/'Hilfstabellen_Mat&amp;Bem'!$BD$30)</f>
        <v>0.85500203033326039</v>
      </c>
      <c r="P135" s="553">
        <f>0.5*(1+'Hilfstabellen_Mat&amp;Bem'!$BD$31*($O135-0.3)+$O135^2)</f>
        <v>0.89326433745366174</v>
      </c>
      <c r="Q135" s="550">
        <f t="shared" si="65"/>
        <v>0.86813047886878891</v>
      </c>
      <c r="S135" s="551">
        <f t="shared" si="119"/>
        <v>30357.654715562679</v>
      </c>
      <c r="W135" s="546">
        <f t="shared" si="75"/>
        <v>187</v>
      </c>
      <c r="X135" s="551">
        <f t="shared" si="66"/>
        <v>55.573822702744721</v>
      </c>
      <c r="Y135" s="553">
        <f>$X135/PI()*SQRT('Hilfstabellen_Mat&amp;Bem'!f.Rd.3/'Hilfstabellen_Mat&amp;Bem'!$BD$30)</f>
        <v>0.88448485896544171</v>
      </c>
      <c r="Z135" s="553">
        <f>0.5*(1+'Hilfstabellen_Mat&amp;Bem'!$BD$31*($Y135-0.3)+$Y135^2)</f>
        <v>0.92038097581783074</v>
      </c>
      <c r="AA135" s="550">
        <f t="shared" si="67"/>
        <v>0.85112525051496279</v>
      </c>
      <c r="AC135" s="551">
        <f t="shared" si="120"/>
        <v>29762.998885257733</v>
      </c>
      <c r="AG135" s="546">
        <f t="shared" si="76"/>
        <v>187</v>
      </c>
      <c r="AH135" s="551">
        <f t="shared" si="68"/>
        <v>57.426283459502883</v>
      </c>
      <c r="AI135" s="553">
        <f>$AH135/PI()*SQRT('Hilfstabellen_Mat&amp;Bem'!f.Rd.3/'Hilfstabellen_Mat&amp;Bem'!$BD$30)</f>
        <v>0.91396768759762326</v>
      </c>
      <c r="AJ135" s="553">
        <f>0.5*(1+'Hilfstabellen_Mat&amp;Bem'!$BD$31*($AI135-0.3)+$AI135^2)</f>
        <v>0.94836685136615451</v>
      </c>
      <c r="AK135" s="550">
        <f t="shared" si="69"/>
        <v>0.83231163200021174</v>
      </c>
      <c r="AM135" s="551">
        <f t="shared" si="121"/>
        <v>29105.105459415405</v>
      </c>
      <c r="AQ135" s="546">
        <f t="shared" si="77"/>
        <v>187</v>
      </c>
      <c r="AR135" s="551">
        <f t="shared" si="70"/>
        <v>59.278744216261039</v>
      </c>
      <c r="AS135" s="553">
        <f>$AR135/PI()*SQRT('Hilfstabellen_Mat&amp;Bem'!f.Rd.3/'Hilfstabellen_Mat&amp;Bem'!$BD$30)</f>
        <v>0.94345051622980458</v>
      </c>
      <c r="AT135" s="553">
        <f>0.5*(1+'Hilfstabellen_Mat&amp;Bem'!$BD$31*($AS135-0.3)+$AS135^2)</f>
        <v>0.9772219640986326</v>
      </c>
      <c r="AU135" s="550">
        <f t="shared" si="71"/>
        <v>0.81175033462863977</v>
      </c>
      <c r="AW135" s="551">
        <f t="shared" si="122"/>
        <v>28386.097451628902</v>
      </c>
      <c r="AZ135" s="547">
        <f>'Hilfstabellen_Mat&amp;Bem'!$J$56</f>
        <v>3.3</v>
      </c>
      <c r="BA135" s="546">
        <f t="shared" si="78"/>
        <v>187</v>
      </c>
      <c r="BB135" s="551">
        <f t="shared" si="79"/>
        <v>61.131204973019202</v>
      </c>
      <c r="BC135" s="553">
        <f>BB135/PI()*SQRT('Hilfstabellen_Mat&amp;Bem'!f.Rd.3/'Hilfstabellen_Mat&amp;Bem'!$BD$30)</f>
        <v>0.97293334486198602</v>
      </c>
      <c r="BD135" s="553">
        <f>0.5*(1+'Hilfstabellen_Mat&amp;Bem'!$BD$31*(BC135-0.3)+BC135^2)</f>
        <v>1.0069463140152655</v>
      </c>
      <c r="BE135" s="550">
        <f t="shared" si="80"/>
        <v>0.78960944234581298</v>
      </c>
      <c r="BG135" s="551">
        <f t="shared" si="81"/>
        <v>27611.852589390735</v>
      </c>
      <c r="BJ135" s="547">
        <f>'Hilfstabellen_Mat&amp;Bem'!$J$57</f>
        <v>3.4</v>
      </c>
      <c r="BK135" s="546">
        <f t="shared" si="82"/>
        <v>187</v>
      </c>
      <c r="BL135" s="551">
        <f t="shared" si="83"/>
        <v>62.983665729777357</v>
      </c>
      <c r="BM135" s="553">
        <f>BL135/PI()*SQRT('Hilfstabellen_Mat&amp;Bem'!f.Rd.3/'Hilfstabellen_Mat&amp;Bem'!$BD$30)</f>
        <v>1.0024161734941675</v>
      </c>
      <c r="BN135" s="553">
        <f>0.5*(1+'Hilfstabellen_Mat&amp;Bem'!$BD$31*(BM135-0.3)+BM135^2)</f>
        <v>1.0375399011160527</v>
      </c>
      <c r="BO135" s="550">
        <f t="shared" si="84"/>
        <v>0.76615630968545334</v>
      </c>
      <c r="BQ135" s="551">
        <f t="shared" si="85"/>
        <v>26791.719993390619</v>
      </c>
      <c r="BT135" s="547">
        <f>'Hilfstabellen_Mat&amp;Bem'!$J$58</f>
        <v>3.5</v>
      </c>
      <c r="BU135" s="546">
        <f t="shared" si="86"/>
        <v>187</v>
      </c>
      <c r="BV135" s="551">
        <f t="shared" si="87"/>
        <v>64.836126486535505</v>
      </c>
      <c r="BW135" s="553">
        <f>BV135/PI()*SQRT('Hilfstabellen_Mat&amp;Bem'!f.Rd.3/'Hilfstabellen_Mat&amp;Bem'!$BD$30)</f>
        <v>1.0318990021263488</v>
      </c>
      <c r="BX135" s="553">
        <f>0.5*(1+'Hilfstabellen_Mat&amp;Bem'!$BD$31*(BW135-0.3)+BW135^2)</f>
        <v>1.0690027254009946</v>
      </c>
      <c r="BY135" s="550">
        <f t="shared" si="88"/>
        <v>0.74172955784239514</v>
      </c>
      <c r="CA135" s="551">
        <f t="shared" si="89"/>
        <v>25937.540908190716</v>
      </c>
      <c r="CD135" s="547">
        <f>'Hilfstabellen_Mat&amp;Bem'!$J$59</f>
        <v>3.6</v>
      </c>
      <c r="CE135" s="546">
        <f t="shared" si="90"/>
        <v>187</v>
      </c>
      <c r="CF135" s="551">
        <f t="shared" si="91"/>
        <v>66.688587243293668</v>
      </c>
      <c r="CG135" s="553">
        <f>CF135/PI()*SQRT('Hilfstabellen_Mat&amp;Bem'!f.Rd.3/'Hilfstabellen_Mat&amp;Bem'!$BD$30)</f>
        <v>1.0613818307585301</v>
      </c>
      <c r="CH135" s="553">
        <f>0.5*(1+'Hilfstabellen_Mat&amp;Bem'!$BD$31*(CG135-0.3)+CG135^2)</f>
        <v>1.1013347868700909</v>
      </c>
      <c r="CI135" s="550">
        <f t="shared" si="92"/>
        <v>0.71669928589795773</v>
      </c>
      <c r="CK135" s="551">
        <f t="shared" si="93"/>
        <v>25062.257328565684</v>
      </c>
      <c r="CN135" s="547">
        <f>'Hilfstabellen_Mat&amp;Bem'!$J$60</f>
        <v>3.7</v>
      </c>
      <c r="CO135" s="546">
        <f t="shared" si="94"/>
        <v>187</v>
      </c>
      <c r="CP135" s="551">
        <f t="shared" si="95"/>
        <v>68.541048000051816</v>
      </c>
      <c r="CQ135" s="553">
        <f>CP135/PI()*SQRT('Hilfstabellen_Mat&amp;Bem'!f.Rd.3/'Hilfstabellen_Mat&amp;Bem'!$BD$30)</f>
        <v>1.0908646593907114</v>
      </c>
      <c r="CR135" s="553">
        <f>0.5*(1+'Hilfstabellen_Mat&amp;Bem'!$BD$31*(CQ135-0.3)+CQ135^2)</f>
        <v>1.134536085523342</v>
      </c>
      <c r="CS135" s="550">
        <f t="shared" si="96"/>
        <v>0.69142739237427231</v>
      </c>
      <c r="CU135" s="551">
        <f t="shared" si="97"/>
        <v>24178.524483935929</v>
      </c>
      <c r="CX135" s="547">
        <f>'Hilfstabellen_Mat&amp;Bem'!$J$61</f>
        <v>3.8</v>
      </c>
      <c r="CY135" s="546">
        <f t="shared" si="98"/>
        <v>187</v>
      </c>
      <c r="CZ135" s="551">
        <f t="shared" si="99"/>
        <v>70.393508756809979</v>
      </c>
      <c r="DA135" s="553">
        <f>CZ135/PI()*SQRT('Hilfstabellen_Mat&amp;Bem'!f.Rd.3/'Hilfstabellen_Mat&amp;Bem'!$BD$30)</f>
        <v>1.1203474880228927</v>
      </c>
      <c r="DB135" s="553">
        <f>0.5*(1+'Hilfstabellen_Mat&amp;Bem'!$BD$31*(DA135-0.3)+DA135^2)</f>
        <v>1.1686066213607476</v>
      </c>
      <c r="DC135" s="550">
        <f t="shared" si="100"/>
        <v>0.66623748611087175</v>
      </c>
      <c r="DE135" s="551">
        <f t="shared" si="101"/>
        <v>23297.658651811074</v>
      </c>
      <c r="DH135" s="547">
        <f>'Hilfstabellen_Mat&amp;Bem'!$J$62</f>
        <v>3.9</v>
      </c>
      <c r="DI135" s="546">
        <f t="shared" si="102"/>
        <v>187</v>
      </c>
      <c r="DJ135" s="551">
        <f t="shared" si="103"/>
        <v>72.245969513568141</v>
      </c>
      <c r="DK135" s="553">
        <f>DJ135/PI()*SQRT('Hilfstabellen_Mat&amp;Bem'!f.Rd.3/'Hilfstabellen_Mat&amp;Bem'!$BD$30)</f>
        <v>1.1498303166550743</v>
      </c>
      <c r="DL135" s="553">
        <f>0.5*(1+'Hilfstabellen_Mat&amp;Bem'!$BD$31*(DK135-0.3)+DK135^2)</f>
        <v>1.2035463943823079</v>
      </c>
      <c r="DM135" s="550">
        <f t="shared" si="104"/>
        <v>0.64139810687746535</v>
      </c>
      <c r="DO135" s="551">
        <f t="shared" si="105"/>
        <v>22429.050399398086</v>
      </c>
      <c r="DR135" s="547">
        <f>'Hilfstabellen_Mat&amp;Bem'!$J$63</f>
        <v>4</v>
      </c>
      <c r="DS135" s="546">
        <f t="shared" si="106"/>
        <v>187</v>
      </c>
      <c r="DT135" s="551">
        <f t="shared" si="107"/>
        <v>74.098430270326304</v>
      </c>
      <c r="DU135" s="553">
        <f>DT135/PI()*SQRT('Hilfstabellen_Mat&amp;Bem'!f.Rd.3/'Hilfstabellen_Mat&amp;Bem'!$BD$30)</f>
        <v>1.1793131452872558</v>
      </c>
      <c r="DV135" s="553">
        <f>0.5*(1+'Hilfstabellen_Mat&amp;Bem'!$BD$31*(DU135-0.3)+DU135^2)</f>
        <v>1.2393554045880228</v>
      </c>
      <c r="DW135" s="550">
        <f t="shared" si="108"/>
        <v>0.61711791005793026</v>
      </c>
      <c r="DY135" s="551">
        <f t="shared" si="109"/>
        <v>21579.996196815762</v>
      </c>
      <c r="EB135" s="547">
        <f>'Hilfstabellen_Mat&amp;Bem'!$J$64</f>
        <v>4.0999999999999996</v>
      </c>
      <c r="EC135" s="546">
        <f t="shared" si="110"/>
        <v>187</v>
      </c>
      <c r="ED135" s="551">
        <f t="shared" si="111"/>
        <v>75.950891027084452</v>
      </c>
      <c r="EE135" s="553">
        <f>ED135/PI()*SQRT('Hilfstabellen_Mat&amp;Bem'!f.Rd.3/'Hilfstabellen_Mat&amp;Bem'!$BD$30)</f>
        <v>1.2087959739194372</v>
      </c>
      <c r="EF135" s="553">
        <f>0.5*(1+'Hilfstabellen_Mat&amp;Bem'!$BD$31*(EE135-0.3)+EE135^2)</f>
        <v>1.2760336519778921</v>
      </c>
      <c r="EG135" s="550">
        <f t="shared" si="112"/>
        <v>0.59354904869223823</v>
      </c>
      <c r="EI135" s="551">
        <f t="shared" si="113"/>
        <v>20755.81668371888</v>
      </c>
      <c r="EL135" s="547">
        <f>'Hilfstabellen_Mat&amp;Bem'!$J$65</f>
        <v>4.2</v>
      </c>
      <c r="EM135" s="546">
        <f t="shared" si="114"/>
        <v>187</v>
      </c>
      <c r="EN135" s="551">
        <f t="shared" si="115"/>
        <v>77.803351783842615</v>
      </c>
      <c r="EO135" s="553">
        <f>EN135/PI()*SQRT('Hilfstabellen_Mat&amp;Bem'!f.Rd.3/'Hilfstabellen_Mat&amp;Bem'!$BD$30)</f>
        <v>1.2382788025516187</v>
      </c>
      <c r="EP135" s="553">
        <f>0.5*(1+'Hilfstabellen_Mat&amp;Bem'!$BD$31*(EO135-0.3)+EO135^2)</f>
        <v>1.3135811365519161</v>
      </c>
      <c r="EQ135" s="550">
        <f t="shared" si="116"/>
        <v>0.57079486840333205</v>
      </c>
      <c r="ES135" s="551">
        <f t="shared" si="117"/>
        <v>19960.12575319612</v>
      </c>
    </row>
    <row r="136" spans="3:149">
      <c r="C136" s="546">
        <v>188</v>
      </c>
      <c r="D136" s="551">
        <f t="shared" si="72"/>
        <v>51.593002778647403</v>
      </c>
      <c r="E136" s="553">
        <f>$D136/PI()*SQRT('Hilfstabellen_Mat&amp;Bem'!f.Rd.3/'Hilfstabellen_Mat&amp;Bem'!$BD$30)</f>
        <v>0.82112814211756258</v>
      </c>
      <c r="F136" s="553">
        <f>0.5*(1+'Hilfstabellen_Mat&amp;Bem'!$BD$31*($E136-0.3)+$E136^2)</f>
        <v>0.86318211999459815</v>
      </c>
      <c r="G136" s="550">
        <f t="shared" si="73"/>
        <v>0.8854848189785719</v>
      </c>
      <c r="I136" s="551">
        <f t="shared" si="118"/>
        <v>31296.575441978646</v>
      </c>
      <c r="M136" s="546">
        <f t="shared" si="74"/>
        <v>188</v>
      </c>
      <c r="N136" s="551">
        <f t="shared" ref="N136:N199" si="123">$L$8*10^3/$M136*SQRT(12)</f>
        <v>53.435610020741954</v>
      </c>
      <c r="O136" s="553">
        <f>$N136/PI()*SQRT('Hilfstabellen_Mat&amp;Bem'!f.Rd.3/'Hilfstabellen_Mat&amp;Bem'!$BD$30)</f>
        <v>0.85045414719318979</v>
      </c>
      <c r="P136" s="553">
        <f>0.5*(1+'Hilfstabellen_Mat&amp;Bem'!$BD$31*($O136-0.3)+$O136^2)</f>
        <v>0.88915883559870723</v>
      </c>
      <c r="Q136" s="550">
        <f t="shared" ref="Q136:Q199" si="124">MIN(1/($P136+SQRT($P136^2-$O136^2)),1)</f>
        <v>0.8705937625267467</v>
      </c>
      <c r="S136" s="551">
        <f t="shared" si="119"/>
        <v>30770.265942745336</v>
      </c>
      <c r="W136" s="546">
        <f t="shared" si="75"/>
        <v>188</v>
      </c>
      <c r="X136" s="551">
        <f t="shared" ref="X136:X199" si="125">$V$8*10^3/$W136*SQRT(12)</f>
        <v>55.278217262836506</v>
      </c>
      <c r="Y136" s="553">
        <f>$X136/PI()*SQRT('Hilfstabellen_Mat&amp;Bem'!f.Rd.3/'Hilfstabellen_Mat&amp;Bem'!$BD$30)</f>
        <v>0.87978015226881723</v>
      </c>
      <c r="Z136" s="553">
        <f>0.5*(1+'Hilfstabellen_Mat&amp;Bem'!$BD$31*($Y136-0.3)+$Y136^2)</f>
        <v>0.91599556577651253</v>
      </c>
      <c r="AA136" s="550">
        <f t="shared" ref="AA136:AA199" si="126">MIN(1/($Z136+SQRT($Z136^2-$Y136^2)),1)</f>
        <v>0.85396024293816841</v>
      </c>
      <c r="AC136" s="551">
        <f t="shared" si="120"/>
        <v>30182.370826406623</v>
      </c>
      <c r="AG136" s="546">
        <f t="shared" si="76"/>
        <v>188</v>
      </c>
      <c r="AH136" s="551">
        <f t="shared" ref="AH136:AH199" si="127">$AF$8*10^3/$AG136*SQRT(12)</f>
        <v>57.120824504931058</v>
      </c>
      <c r="AI136" s="553">
        <f>$AH136/PI()*SQRT('Hilfstabellen_Mat&amp;Bem'!f.Rd.3/'Hilfstabellen_Mat&amp;Bem'!$BD$30)</f>
        <v>0.90910615734444444</v>
      </c>
      <c r="AJ136" s="553">
        <f>0.5*(1+'Hilfstabellen_Mat&amp;Bem'!$BD$31*($AI136-0.3)+$AI136^2)</f>
        <v>0.94369231052801317</v>
      </c>
      <c r="AK136" s="550">
        <f t="shared" ref="AK136:AK199" si="128">MIN(1/($AJ136+SQRT($AJ136^2-$AI136^2)),1)</f>
        <v>0.83553713073610225</v>
      </c>
      <c r="AM136" s="551">
        <f t="shared" si="121"/>
        <v>29531.2243487368</v>
      </c>
      <c r="AQ136" s="546">
        <f t="shared" si="77"/>
        <v>188</v>
      </c>
      <c r="AR136" s="551">
        <f t="shared" ref="AR136:AR199" si="129">$AP$8*10^3/$AQ136*SQRT(12)</f>
        <v>58.963431747025602</v>
      </c>
      <c r="AS136" s="553">
        <f>$AR136/PI()*SQRT('Hilfstabellen_Mat&amp;Bem'!f.Rd.3/'Hilfstabellen_Mat&amp;Bem'!$BD$30)</f>
        <v>0.93843216242007144</v>
      </c>
      <c r="AT136" s="553">
        <f>0.5*(1+'Hilfstabellen_Mat&amp;Bem'!$BD$31*($AS136-0.3)+$AS136^2)</f>
        <v>0.97224906985320914</v>
      </c>
      <c r="AU136" s="550">
        <f t="shared" ref="AU136:AU199" si="130">MIN(1/($AT136+SQRT($AT136^2-$AS136^2)),1)</f>
        <v>0.81536766299625374</v>
      </c>
      <c r="AW136" s="551">
        <f t="shared" si="122"/>
        <v>28818.354680939592</v>
      </c>
      <c r="AZ136" s="547">
        <f>'Hilfstabellen_Mat&amp;Bem'!$J$56</f>
        <v>3.3</v>
      </c>
      <c r="BA136" s="546">
        <f t="shared" si="78"/>
        <v>188</v>
      </c>
      <c r="BB136" s="551">
        <f t="shared" si="79"/>
        <v>60.806038989120154</v>
      </c>
      <c r="BC136" s="553">
        <f>BB136/PI()*SQRT('Hilfstabellen_Mat&amp;Bem'!f.Rd.3/'Hilfstabellen_Mat&amp;Bem'!$BD$30)</f>
        <v>0.96775816749569887</v>
      </c>
      <c r="BD136" s="553">
        <f>0.5*(1+'Hilfstabellen_Mat&amp;Bem'!$BD$31*(BC136-0.3)+BC136^2)</f>
        <v>1.0016658437521015</v>
      </c>
      <c r="BE136" s="550">
        <f t="shared" si="80"/>
        <v>0.79359953426052876</v>
      </c>
      <c r="BG136" s="551">
        <f t="shared" si="81"/>
        <v>28048.981938904129</v>
      </c>
      <c r="BJ136" s="547">
        <f>'Hilfstabellen_Mat&amp;Bem'!$J$57</f>
        <v>3.4</v>
      </c>
      <c r="BK136" s="546">
        <f t="shared" si="82"/>
        <v>188</v>
      </c>
      <c r="BL136" s="551">
        <f t="shared" si="83"/>
        <v>62.648646231214705</v>
      </c>
      <c r="BM136" s="553">
        <f>BL136/PI()*SQRT('Hilfstabellen_Mat&amp;Bem'!f.Rd.3/'Hilfstabellen_Mat&amp;Bem'!$BD$30)</f>
        <v>0.99708417257132609</v>
      </c>
      <c r="BN136" s="553">
        <f>0.5*(1+'Hilfstabellen_Mat&amp;Bem'!$BD$31*(BM136-0.3)+BM136^2)</f>
        <v>1.0319426322246894</v>
      </c>
      <c r="BO136" s="550">
        <f t="shared" si="84"/>
        <v>0.77048048642992173</v>
      </c>
      <c r="BQ136" s="551">
        <f t="shared" si="85"/>
        <v>27231.862312379155</v>
      </c>
      <c r="BT136" s="547">
        <f>'Hilfstabellen_Mat&amp;Bem'!$J$58</f>
        <v>3.5</v>
      </c>
      <c r="BU136" s="546">
        <f t="shared" si="86"/>
        <v>188</v>
      </c>
      <c r="BV136" s="551">
        <f t="shared" si="87"/>
        <v>64.491253473309257</v>
      </c>
      <c r="BW136" s="553">
        <f>BV136/PI()*SQRT('Hilfstabellen_Mat&amp;Bem'!f.Rd.3/'Hilfstabellen_Mat&amp;Bem'!$BD$30)</f>
        <v>1.0264101776469532</v>
      </c>
      <c r="BX136" s="553">
        <f>0.5*(1+'Hilfstabellen_Mat&amp;Bem'!$BD$31*(BW136-0.3)+BW136^2)</f>
        <v>1.0630794352709727</v>
      </c>
      <c r="BY136" s="550">
        <f t="shared" si="88"/>
        <v>0.74633400332349464</v>
      </c>
      <c r="CA136" s="551">
        <f t="shared" si="89"/>
        <v>26378.429013465593</v>
      </c>
      <c r="CD136" s="547">
        <f>'Hilfstabellen_Mat&amp;Bem'!$J$59</f>
        <v>3.6</v>
      </c>
      <c r="CE136" s="546">
        <f t="shared" si="90"/>
        <v>188</v>
      </c>
      <c r="CF136" s="551">
        <f t="shared" si="91"/>
        <v>66.333860715403816</v>
      </c>
      <c r="CG136" s="553">
        <f>CF136/PI()*SQRT('Hilfstabellen_Mat&amp;Bem'!f.Rd.3/'Hilfstabellen_Mat&amp;Bem'!$BD$30)</f>
        <v>1.0557361827225806</v>
      </c>
      <c r="CH136" s="553">
        <f>0.5*(1+'Hilfstabellen_Mat&amp;Bem'!$BD$31*(CG136-0.3)+CG136^2)</f>
        <v>1.0950762528909521</v>
      </c>
      <c r="CI136" s="550">
        <f t="shared" si="92"/>
        <v>0.72152176136223256</v>
      </c>
      <c r="CK136" s="551">
        <f t="shared" si="93"/>
        <v>25501.465133586749</v>
      </c>
      <c r="CN136" s="547">
        <f>'Hilfstabellen_Mat&amp;Bem'!$J$60</f>
        <v>3.7</v>
      </c>
      <c r="CO136" s="546">
        <f t="shared" si="94"/>
        <v>188</v>
      </c>
      <c r="CP136" s="551">
        <f t="shared" si="95"/>
        <v>68.17646795749836</v>
      </c>
      <c r="CQ136" s="553">
        <f>CP136/PI()*SQRT('Hilfstabellen_Mat&amp;Bem'!f.Rd.3/'Hilfstabellen_Mat&amp;Bem'!$BD$30)</f>
        <v>1.0850621877982078</v>
      </c>
      <c r="CR136" s="553">
        <f>0.5*(1+'Hilfstabellen_Mat&amp;Bem'!$BD$31*(CQ136-0.3)+CQ136^2)</f>
        <v>1.127933085084627</v>
      </c>
      <c r="CS136" s="550">
        <f t="shared" si="96"/>
        <v>0.69640412266753293</v>
      </c>
      <c r="CU136" s="551">
        <f t="shared" si="97"/>
        <v>24613.707311561284</v>
      </c>
      <c r="CX136" s="547">
        <f>'Hilfstabellen_Mat&amp;Bem'!$J$61</f>
        <v>3.8</v>
      </c>
      <c r="CY136" s="546">
        <f t="shared" si="98"/>
        <v>188</v>
      </c>
      <c r="CZ136" s="551">
        <f t="shared" si="99"/>
        <v>70.019075199592905</v>
      </c>
      <c r="DA136" s="553">
        <f>CZ136/PI()*SQRT('Hilfstabellen_Mat&amp;Bem'!f.Rd.3/'Hilfstabellen_Mat&amp;Bem'!$BD$30)</f>
        <v>1.1143881928738348</v>
      </c>
      <c r="DB136" s="553">
        <f>0.5*(1+'Hilfstabellen_Mat&amp;Bem'!$BD$31*(DA136-0.3)+DA136^2)</f>
        <v>1.1616499318519975</v>
      </c>
      <c r="DC136" s="550">
        <f t="shared" si="100"/>
        <v>0.6713086056503389</v>
      </c>
      <c r="DE136" s="551">
        <f t="shared" si="101"/>
        <v>23726.731358105579</v>
      </c>
      <c r="DH136" s="547">
        <f>'Hilfstabellen_Mat&amp;Bem'!$J$62</f>
        <v>3.9</v>
      </c>
      <c r="DI136" s="546">
        <f t="shared" si="102"/>
        <v>188</v>
      </c>
      <c r="DJ136" s="551">
        <f t="shared" si="103"/>
        <v>71.861682441687464</v>
      </c>
      <c r="DK136" s="553">
        <f>DJ136/PI()*SQRT('Hilfstabellen_Mat&amp;Bem'!f.Rd.3/'Hilfstabellen_Mat&amp;Bem'!$BD$30)</f>
        <v>1.1437141979494623</v>
      </c>
      <c r="DL136" s="553">
        <f>0.5*(1+'Hilfstabellen_Mat&amp;Bem'!$BD$31*(DK136-0.3)+DK136^2)</f>
        <v>1.1962267931930639</v>
      </c>
      <c r="DM136" s="550">
        <f t="shared" si="104"/>
        <v>0.64651101420130941</v>
      </c>
      <c r="DO136" s="551">
        <f t="shared" si="105"/>
        <v>22850.285285931081</v>
      </c>
      <c r="DR136" s="547">
        <f>'Hilfstabellen_Mat&amp;Bem'!$J$63</f>
        <v>4</v>
      </c>
      <c r="DS136" s="546">
        <f t="shared" si="106"/>
        <v>188</v>
      </c>
      <c r="DT136" s="551">
        <f t="shared" si="107"/>
        <v>73.704289683782008</v>
      </c>
      <c r="DU136" s="553">
        <f>DT136/PI()*SQRT('Hilfstabellen_Mat&amp;Bem'!f.Rd.3/'Hilfstabellen_Mat&amp;Bem'!$BD$30)</f>
        <v>1.1730402030250895</v>
      </c>
      <c r="DV136" s="553">
        <f>0.5*(1+'Hilfstabellen_Mat&amp;Bem'!$BD$31*(DU136-0.3)+DU136^2)</f>
        <v>1.2316636691078262</v>
      </c>
      <c r="DW136" s="550">
        <f t="shared" si="108"/>
        <v>0.62222868994976976</v>
      </c>
      <c r="DY136" s="551">
        <f t="shared" si="109"/>
        <v>21992.050817584663</v>
      </c>
      <c r="EB136" s="547">
        <f>'Hilfstabellen_Mat&amp;Bem'!$J$64</f>
        <v>4.0999999999999996</v>
      </c>
      <c r="EC136" s="546">
        <f t="shared" si="110"/>
        <v>188</v>
      </c>
      <c r="ED136" s="551">
        <f t="shared" si="111"/>
        <v>75.546896925876553</v>
      </c>
      <c r="EE136" s="553">
        <f>ED136/PI()*SQRT('Hilfstabellen_Mat&amp;Bem'!f.Rd.3/'Hilfstabellen_Mat&amp;Bem'!$BD$30)</f>
        <v>1.2023662081007167</v>
      </c>
      <c r="EF136" s="553">
        <f>0.5*(1+'Hilfstabellen_Mat&amp;Bem'!$BD$31*(EE136-0.3)+EE136^2)</f>
        <v>1.267960559596284</v>
      </c>
      <c r="EG136" s="550">
        <f t="shared" si="112"/>
        <v>0.59862250740717871</v>
      </c>
      <c r="EI136" s="551">
        <f t="shared" si="113"/>
        <v>21157.713901799325</v>
      </c>
      <c r="EL136" s="547">
        <f>'Hilfstabellen_Mat&amp;Bem'!$J$65</f>
        <v>4.2</v>
      </c>
      <c r="EM136" s="546">
        <f t="shared" si="114"/>
        <v>188</v>
      </c>
      <c r="EN136" s="551">
        <f t="shared" si="115"/>
        <v>77.389504167971097</v>
      </c>
      <c r="EO136" s="553">
        <f>EN136/PI()*SQRT('Hilfstabellen_Mat&amp;Bem'!f.Rd.3/'Hilfstabellen_Mat&amp;Bem'!$BD$30)</f>
        <v>1.2316922131763439</v>
      </c>
      <c r="EP136" s="553">
        <f>0.5*(1+'Hilfstabellen_Mat&amp;Bem'!$BD$31*(EO136-0.3)+EO136^2)</f>
        <v>1.3051174646584374</v>
      </c>
      <c r="EQ136" s="550">
        <f t="shared" si="116"/>
        <v>0.57580376375001963</v>
      </c>
      <c r="ES136" s="551">
        <f t="shared" si="117"/>
        <v>20351.208225980692</v>
      </c>
    </row>
    <row r="137" spans="3:149">
      <c r="C137" s="546">
        <v>189</v>
      </c>
      <c r="D137" s="551">
        <f t="shared" ref="D137:D200" si="131">$B$8*10^3/$C137*SQRT(12)</f>
        <v>51.32002392796673</v>
      </c>
      <c r="E137" s="553">
        <f>$D137/PI()*SQRT('Hilfstabellen_Mat&amp;Bem'!f.Rd.3/'Hilfstabellen_Mat&amp;Bem'!$BD$30)</f>
        <v>0.81678354877302528</v>
      </c>
      <c r="F137" s="553">
        <f>0.5*(1+'Hilfstabellen_Mat&amp;Bem'!$BD$31*($E137-0.3)+$E137^2)</f>
        <v>0.8594068602117797</v>
      </c>
      <c r="G137" s="550">
        <f t="shared" ref="G137:G200" si="132">MIN(1/($F137+SQRT($F137^2-$E137^2)),1)</f>
        <v>0.88754893868220897</v>
      </c>
      <c r="I137" s="551">
        <f t="shared" si="118"/>
        <v>31704.135638667187</v>
      </c>
      <c r="M137" s="546">
        <f t="shared" ref="M137:M200" si="133">$C137</f>
        <v>189</v>
      </c>
      <c r="N137" s="551">
        <f t="shared" si="123"/>
        <v>53.152881925394112</v>
      </c>
      <c r="O137" s="553">
        <f>$N137/PI()*SQRT('Hilfstabellen_Mat&amp;Bem'!f.Rd.3/'Hilfstabellen_Mat&amp;Bem'!$BD$30)</f>
        <v>0.84595438980063331</v>
      </c>
      <c r="P137" s="553">
        <f>0.5*(1+'Hilfstabellen_Mat&amp;Bem'!$BD$31*($O137-0.3)+$O137^2)</f>
        <v>0.88511713430151262</v>
      </c>
      <c r="Q137" s="550">
        <f t="shared" si="124"/>
        <v>0.87298960911955348</v>
      </c>
      <c r="S137" s="551">
        <f t="shared" si="119"/>
        <v>31184.061827359568</v>
      </c>
      <c r="W137" s="546">
        <f t="shared" ref="W137:W200" si="134">$C137</f>
        <v>189</v>
      </c>
      <c r="X137" s="551">
        <f t="shared" si="125"/>
        <v>54.985739922821502</v>
      </c>
      <c r="Y137" s="553">
        <f>$X137/PI()*SQRT('Hilfstabellen_Mat&amp;Bem'!f.Rd.3/'Hilfstabellen_Mat&amp;Bem'!$BD$30)</f>
        <v>0.87512523082824145</v>
      </c>
      <c r="Z137" s="553">
        <f>0.5*(1+'Hilfstabellen_Mat&amp;Bem'!$BD$31*($Y137-0.3)+$Y137^2)</f>
        <v>0.91167834635750356</v>
      </c>
      <c r="AA137" s="550">
        <f t="shared" si="126"/>
        <v>0.8567197160553286</v>
      </c>
      <c r="AC137" s="551">
        <f t="shared" si="120"/>
        <v>30602.884977212394</v>
      </c>
      <c r="AG137" s="546">
        <f t="shared" ref="AG137:AG200" si="135">$C137</f>
        <v>189</v>
      </c>
      <c r="AH137" s="551">
        <f t="shared" si="127"/>
        <v>56.818597920248884</v>
      </c>
      <c r="AI137" s="553">
        <f>$AH137/PI()*SQRT('Hilfstabellen_Mat&amp;Bem'!f.Rd.3/'Hilfstabellen_Mat&amp;Bem'!$BD$30)</f>
        <v>0.90429607185584937</v>
      </c>
      <c r="AJ137" s="553">
        <f>0.5*(1+'Hilfstabellen_Mat&amp;Bem'!$BD$31*($AI137-0.3)+$AI137^2)</f>
        <v>0.93909049637975217</v>
      </c>
      <c r="AK137" s="550">
        <f t="shared" si="128"/>
        <v>0.83868103062899324</v>
      </c>
      <c r="AM137" s="551">
        <f t="shared" si="121"/>
        <v>29958.525095098266</v>
      </c>
      <c r="AQ137" s="546">
        <f t="shared" ref="AQ137:AQ200" si="136">$C137</f>
        <v>189</v>
      </c>
      <c r="AR137" s="551">
        <f t="shared" si="129"/>
        <v>58.651455917676259</v>
      </c>
      <c r="AS137" s="553">
        <f>$AR137/PI()*SQRT('Hilfstabellen_Mat&amp;Bem'!f.Rd.3/'Hilfstabellen_Mat&amp;Bem'!$BD$30)</f>
        <v>0.9334669128834574</v>
      </c>
      <c r="AT137" s="553">
        <f>0.5*(1+'Hilfstabellen_Mat&amp;Bem'!$BD$31*($AS137-0.3)+$AS137^2)</f>
        <v>0.96735358436825902</v>
      </c>
      <c r="AU137" s="550">
        <f t="shared" si="130"/>
        <v>0.81890040308441547</v>
      </c>
      <c r="AW137" s="551">
        <f t="shared" si="122"/>
        <v>29251.941298578404</v>
      </c>
      <c r="AZ137" s="547">
        <f>'Hilfstabellen_Mat&amp;Bem'!$J$56</f>
        <v>3.3</v>
      </c>
      <c r="BA137" s="546">
        <f t="shared" ref="BA137:BA200" si="137">$C137</f>
        <v>189</v>
      </c>
      <c r="BB137" s="551">
        <f t="shared" ref="BB137:BB200" si="138">AZ$8*10^3/BA137*SQRT(12)</f>
        <v>60.484313915103641</v>
      </c>
      <c r="BC137" s="553">
        <f>BB137/PI()*SQRT('Hilfstabellen_Mat&amp;Bem'!f.Rd.3/'Hilfstabellen_Mat&amp;Bem'!$BD$30)</f>
        <v>0.96263775391106532</v>
      </c>
      <c r="BD137" s="553">
        <f>0.5*(1+'Hilfstabellen_Mat&amp;Bem'!$BD$31*(BC137-0.3)+BC137^2)</f>
        <v>0.99646761032302367</v>
      </c>
      <c r="BE137" s="550">
        <f t="shared" ref="BE137:BE200" si="139">MIN(1/(BD137+SQRT(BD137^2-BC137^2)),1)</f>
        <v>0.79750581176554669</v>
      </c>
      <c r="BG137" s="551">
        <f t="shared" ref="BG137:BG200" si="140">BA137^2*BE137</f>
        <v>28487.705102077092</v>
      </c>
      <c r="BJ137" s="547">
        <f>'Hilfstabellen_Mat&amp;Bem'!$J$57</f>
        <v>3.4</v>
      </c>
      <c r="BK137" s="546">
        <f t="shared" ref="BK137:BK200" si="141">$C137</f>
        <v>189</v>
      </c>
      <c r="BL137" s="551">
        <f t="shared" ref="BL137:BL200" si="142">BJ$8*10^3/BK137*SQRT(12)</f>
        <v>62.317171912531037</v>
      </c>
      <c r="BM137" s="553">
        <f>BL137/PI()*SQRT('Hilfstabellen_Mat&amp;Bem'!f.Rd.3/'Hilfstabellen_Mat&amp;Bem'!$BD$30)</f>
        <v>0.99180859493867368</v>
      </c>
      <c r="BN137" s="553">
        <f>0.5*(1+'Hilfstabellen_Mat&amp;Bem'!$BD$31*(BM137-0.3)+BM137^2)</f>
        <v>1.0264325742440468</v>
      </c>
      <c r="BO137" s="550">
        <f t="shared" ref="BO137:BO200" si="143">MIN(1/(BN137+SQRT(BN137^2-BM137^2)),1)</f>
        <v>0.77472538373277977</v>
      </c>
      <c r="BQ137" s="551">
        <f t="shared" ref="BQ137:BQ200" si="144">BK137^2*BO137</f>
        <v>27673.965432318626</v>
      </c>
      <c r="BT137" s="547">
        <f>'Hilfstabellen_Mat&amp;Bem'!$J$58</f>
        <v>3.5</v>
      </c>
      <c r="BU137" s="546">
        <f t="shared" ref="BU137:BU200" si="145">$C137</f>
        <v>189</v>
      </c>
      <c r="BV137" s="551">
        <f t="shared" ref="BV137:BV200" si="146">BT$8*10^3/BU137*SQRT(12)</f>
        <v>64.15002990995842</v>
      </c>
      <c r="BW137" s="553">
        <f>BV137/PI()*SQRT('Hilfstabellen_Mat&amp;Bem'!f.Rd.3/'Hilfstabellen_Mat&amp;Bem'!$BD$30)</f>
        <v>1.0209794359662816</v>
      </c>
      <c r="BX137" s="553">
        <f>0.5*(1+'Hilfstabellen_Mat&amp;Bem'!$BD$31*(BW137-0.3)+BW137^2)</f>
        <v>1.0572484761313272</v>
      </c>
      <c r="BY137" s="550">
        <f t="shared" ref="BY137:BY200" si="147">MIN(1/(BX137+SQRT(BX137^2-BW137^2)),1)</f>
        <v>0.75086678653940098</v>
      </c>
      <c r="CA137" s="551">
        <f t="shared" ref="CA137:CA200" si="148">BU137^2*BY137</f>
        <v>26821.712481973944</v>
      </c>
      <c r="CD137" s="547">
        <f>'Hilfstabellen_Mat&amp;Bem'!$J$59</f>
        <v>3.6</v>
      </c>
      <c r="CE137" s="546">
        <f t="shared" ref="CE137:CE200" si="149">$C137</f>
        <v>189</v>
      </c>
      <c r="CF137" s="551">
        <f t="shared" ref="CF137:CF200" si="150">CD$8*10^3/CE137*SQRT(12)</f>
        <v>65.982887907385802</v>
      </c>
      <c r="CG137" s="553">
        <f>CF137/PI()*SQRT('Hilfstabellen_Mat&amp;Bem'!f.Rd.3/'Hilfstabellen_Mat&amp;Bem'!$BD$30)</f>
        <v>1.0501502769938897</v>
      </c>
      <c r="CH137" s="553">
        <f>0.5*(1+'Hilfstabellen_Mat&amp;Bem'!$BD$31*(CG137-0.3)+CG137^2)</f>
        <v>1.0889153159848663</v>
      </c>
      <c r="CI137" s="550">
        <f t="shared" ref="CI137:CI200" si="151">MIN(1/(CH137+SQRT(CH137^2-CG137^2)),1)</f>
        <v>0.72628217602621081</v>
      </c>
      <c r="CK137" s="551">
        <f t="shared" ref="CK137:CK200" si="152">CE137^2*CI137</f>
        <v>25943.525609832275</v>
      </c>
      <c r="CN137" s="547">
        <f>'Hilfstabellen_Mat&amp;Bem'!$J$60</f>
        <v>3.7</v>
      </c>
      <c r="CO137" s="546">
        <f t="shared" ref="CO137:CO200" si="153">$C137</f>
        <v>189</v>
      </c>
      <c r="CP137" s="551">
        <f t="shared" ref="CP137:CP200" si="154">CN$8*10^3/CO137*SQRT(12)</f>
        <v>67.815745904813184</v>
      </c>
      <c r="CQ137" s="553">
        <f>CP137/PI()*SQRT('Hilfstabellen_Mat&amp;Bem'!f.Rd.3/'Hilfstabellen_Mat&amp;Bem'!$BD$30)</f>
        <v>1.0793211180214977</v>
      </c>
      <c r="CR137" s="553">
        <f>0.5*(1+'Hilfstabellen_Mat&amp;Bem'!$BD$31*(CQ137-0.3)+CQ137^2)</f>
        <v>1.1214330938046628</v>
      </c>
      <c r="CS137" s="550">
        <f t="shared" ref="CS137:CS200" si="155">MIN(1/(CR137+SQRT(CR137^2-CQ137^2)),1)</f>
        <v>0.70132921441880791</v>
      </c>
      <c r="CU137" s="551">
        <f t="shared" ref="CU137:CU200" si="156">CO137^2*CS137</f>
        <v>25052.180868254236</v>
      </c>
      <c r="CX137" s="547">
        <f>'Hilfstabellen_Mat&amp;Bem'!$J$61</f>
        <v>3.8</v>
      </c>
      <c r="CY137" s="546">
        <f t="shared" ref="CY137:CY200" si="157">$C137</f>
        <v>189</v>
      </c>
      <c r="CZ137" s="551">
        <f t="shared" ref="CZ137:CZ200" si="158">CX$8*10^3/CY137*SQRT(12)</f>
        <v>69.648603902240552</v>
      </c>
      <c r="DA137" s="553">
        <f>CZ137/PI()*SQRT('Hilfstabellen_Mat&amp;Bem'!f.Rd.3/'Hilfstabellen_Mat&amp;Bem'!$BD$30)</f>
        <v>1.1084919590491056</v>
      </c>
      <c r="DB137" s="553">
        <f>0.5*(1+'Hilfstabellen_Mat&amp;Bem'!$BD$31*(DA137-0.3)+DA137^2)</f>
        <v>1.1548018095907171</v>
      </c>
      <c r="DC137" s="550">
        <f t="shared" ref="DC137:DC200" si="159">MIN(1/(DB137+SQRT(DB137^2-DA137^2)),1)</f>
        <v>0.67633837127677887</v>
      </c>
      <c r="DE137" s="551">
        <f t="shared" ref="DE137:DE200" si="160">CY137^2*DC137</f>
        <v>24159.48296037782</v>
      </c>
      <c r="DH137" s="547">
        <f>'Hilfstabellen_Mat&amp;Bem'!$J$62</f>
        <v>3.9</v>
      </c>
      <c r="DI137" s="546">
        <f t="shared" ref="DI137:DI200" si="161">$C137</f>
        <v>189</v>
      </c>
      <c r="DJ137" s="551">
        <f t="shared" ref="DJ137:DJ200" si="162">DH$8*10^3/DI137*SQRT(12)</f>
        <v>71.481461899667949</v>
      </c>
      <c r="DK137" s="553">
        <f>DJ137/PI()*SQRT('Hilfstabellen_Mat&amp;Bem'!f.Rd.3/'Hilfstabellen_Mat&amp;Bem'!$BD$30)</f>
        <v>1.1376628000767137</v>
      </c>
      <c r="DL137" s="553">
        <f>0.5*(1+'Hilfstabellen_Mat&amp;Bem'!$BD$31*(DK137-0.3)+DK137^2)</f>
        <v>1.18902146334303</v>
      </c>
      <c r="DM137" s="550">
        <f t="shared" ref="DM137:DM200" si="163">MIN(1/(DL137+SQRT(DL137^2-DK137^2)),1)</f>
        <v>0.65159207489840731</v>
      </c>
      <c r="DO137" s="551">
        <f t="shared" ref="DO137:DO200" si="164">DI137^2*DM137</f>
        <v>23275.520507446006</v>
      </c>
      <c r="DR137" s="547">
        <f>'Hilfstabellen_Mat&amp;Bem'!$J$63</f>
        <v>4</v>
      </c>
      <c r="DS137" s="546">
        <f t="shared" ref="DS137:DS200" si="165">$C137</f>
        <v>189</v>
      </c>
      <c r="DT137" s="551">
        <f t="shared" ref="DT137:DT200" si="166">DR$8*10^3/DS137*SQRT(12)</f>
        <v>73.314319897095331</v>
      </c>
      <c r="DU137" s="553">
        <f>DT137/PI()*SQRT('Hilfstabellen_Mat&amp;Bem'!f.Rd.3/'Hilfstabellen_Mat&amp;Bem'!$BD$30)</f>
        <v>1.1668336411043219</v>
      </c>
      <c r="DV137" s="553">
        <f>0.5*(1+'Hilfstabellen_Mat&amp;Bem'!$BD$31*(DU137-0.3)+DU137^2)</f>
        <v>1.2240920550616008</v>
      </c>
      <c r="DW137" s="550">
        <f t="shared" ref="DW137:DW200" si="167">MIN(1/(DV137+SQRT(DV137^2-DU137^2)),1)</f>
        <v>0.62731601789028935</v>
      </c>
      <c r="DY137" s="551">
        <f t="shared" ref="DY137:DY200" si="168">DS137^2*DW137</f>
        <v>22408.355475059027</v>
      </c>
      <c r="EB137" s="547">
        <f>'Hilfstabellen_Mat&amp;Bem'!$J$64</f>
        <v>4.0999999999999996</v>
      </c>
      <c r="EC137" s="546">
        <f t="shared" ref="EC137:EC200" si="169">$C137</f>
        <v>189</v>
      </c>
      <c r="ED137" s="551">
        <f t="shared" ref="ED137:ED200" si="170">EB$8*10^3/EC137*SQRT(12)</f>
        <v>75.147177894522713</v>
      </c>
      <c r="EE137" s="553">
        <f>ED137/PI()*SQRT('Hilfstabellen_Mat&amp;Bem'!f.Rd.3/'Hilfstabellen_Mat&amp;Bem'!$BD$30)</f>
        <v>1.19600448213193</v>
      </c>
      <c r="EF137" s="553">
        <f>0.5*(1+'Hilfstabellen_Mat&amp;Bem'!$BD$31*(EE137-0.3)+EE137^2)</f>
        <v>1.2600135847464293</v>
      </c>
      <c r="EG137" s="550">
        <f t="shared" ref="EG137:EG200" si="171">MIN(1/(EF137+SQRT(EF137^2-EE137^2)),1)</f>
        <v>0.60367968952003082</v>
      </c>
      <c r="EI137" s="551">
        <f t="shared" ref="EI137:EI200" si="172">EC137^2*EG137</f>
        <v>21564.042189345022</v>
      </c>
      <c r="EL137" s="547">
        <f>'Hilfstabellen_Mat&amp;Bem'!$J$65</f>
        <v>4.2</v>
      </c>
      <c r="EM137" s="546">
        <f t="shared" ref="EM137:EM200" si="173">$C137</f>
        <v>189</v>
      </c>
      <c r="EN137" s="551">
        <f t="shared" ref="EN137:EN200" si="174">EL$8*10^3/EM137*SQRT(12)</f>
        <v>76.980035891950095</v>
      </c>
      <c r="EO137" s="553">
        <f>EN137/PI()*SQRT('Hilfstabellen_Mat&amp;Bem'!f.Rd.3/'Hilfstabellen_Mat&amp;Bem'!$BD$30)</f>
        <v>1.2251753231595379</v>
      </c>
      <c r="EP137" s="553">
        <f>0.5*(1+'Hilfstabellen_Mat&amp;Bem'!$BD$31*(EO137-0.3)+EO137^2)</f>
        <v>1.2967860523975161</v>
      </c>
      <c r="EQ137" s="550">
        <f t="shared" ref="EQ137:EQ200" si="175">MIN(1/(EP137+SQRT(EP137^2-EO137^2)),1)</f>
        <v>0.58080237549328984</v>
      </c>
      <c r="ES137" s="551">
        <f t="shared" ref="ES137:ES200" si="176">EM137^2*EQ137</f>
        <v>20746.841654995806</v>
      </c>
    </row>
    <row r="138" spans="3:149">
      <c r="C138" s="546">
        <v>190</v>
      </c>
      <c r="D138" s="551">
        <f t="shared" si="131"/>
        <v>51.04991853887217</v>
      </c>
      <c r="E138" s="553">
        <f>$D138/PI()*SQRT('Hilfstabellen_Mat&amp;Bem'!f.Rd.3/'Hilfstabellen_Mat&amp;Bem'!$BD$30)</f>
        <v>0.81248468799000939</v>
      </c>
      <c r="F138" s="553">
        <f>0.5*(1+'Hilfstabellen_Mat&amp;Bem'!$BD$31*($E138-0.3)+$E138^2)</f>
        <v>0.85568991850861198</v>
      </c>
      <c r="G138" s="550">
        <f t="shared" si="132"/>
        <v>0.88955650207615644</v>
      </c>
      <c r="I138" s="551">
        <f t="shared" si="118"/>
        <v>32112.989724949246</v>
      </c>
      <c r="M138" s="546">
        <f t="shared" si="133"/>
        <v>190</v>
      </c>
      <c r="N138" s="551">
        <f t="shared" si="123"/>
        <v>52.873129915260463</v>
      </c>
      <c r="O138" s="553">
        <f>$N138/PI()*SQRT('Hilfstabellen_Mat&amp;Bem'!f.Rd.3/'Hilfstabellen_Mat&amp;Bem'!$BD$30)</f>
        <v>0.84150199827536687</v>
      </c>
      <c r="P138" s="553">
        <f>0.5*(1+'Hilfstabellen_Mat&amp;Bem'!$BD$31*($O138-0.3)+$O138^2)</f>
        <v>0.88113790646448609</v>
      </c>
      <c r="Q138" s="550">
        <f t="shared" si="124"/>
        <v>0.87532005896103371</v>
      </c>
      <c r="S138" s="551">
        <f t="shared" si="119"/>
        <v>31599.054128493317</v>
      </c>
      <c r="W138" s="546">
        <f t="shared" si="134"/>
        <v>190</v>
      </c>
      <c r="X138" s="551">
        <f t="shared" si="125"/>
        <v>54.69634129164875</v>
      </c>
      <c r="Y138" s="553">
        <f>$X138/PI()*SQRT('Hilfstabellen_Mat&amp;Bem'!f.Rd.3/'Hilfstabellen_Mat&amp;Bem'!$BD$30)</f>
        <v>0.87051930856072424</v>
      </c>
      <c r="Z138" s="553">
        <f>0.5*(1+'Hilfstabellen_Mat&amp;Bem'!$BD$31*($Y138-0.3)+$Y138^2)</f>
        <v>0.90742789871655694</v>
      </c>
      <c r="AA138" s="550">
        <f t="shared" si="126"/>
        <v>0.85940563421819804</v>
      </c>
      <c r="AC138" s="551">
        <f t="shared" si="120"/>
        <v>31024.543395276949</v>
      </c>
      <c r="AG138" s="546">
        <f t="shared" si="135"/>
        <v>190</v>
      </c>
      <c r="AH138" s="551">
        <f t="shared" si="127"/>
        <v>56.519552668037036</v>
      </c>
      <c r="AI138" s="553">
        <f>$AH138/PI()*SQRT('Hilfstabellen_Mat&amp;Bem'!f.Rd.3/'Hilfstabellen_Mat&amp;Bem'!$BD$30)</f>
        <v>0.8995366188460816</v>
      </c>
      <c r="AJ138" s="553">
        <f>0.5*(1+'Hilfstabellen_Mat&amp;Bem'!$BD$31*($AI138-0.3)+$AI138^2)</f>
        <v>0.93455989526482441</v>
      </c>
      <c r="AK138" s="550">
        <f t="shared" si="128"/>
        <v>0.84174499535682157</v>
      </c>
      <c r="AM138" s="551">
        <f t="shared" si="121"/>
        <v>30386.994332381259</v>
      </c>
      <c r="AQ138" s="546">
        <f t="shared" si="136"/>
        <v>190</v>
      </c>
      <c r="AR138" s="551">
        <f t="shared" si="129"/>
        <v>58.342764044425337</v>
      </c>
      <c r="AS138" s="553">
        <f>$AR138/PI()*SQRT('Hilfstabellen_Mat&amp;Bem'!f.Rd.3/'Hilfstabellen_Mat&amp;Bem'!$BD$30)</f>
        <v>0.9285539291314393</v>
      </c>
      <c r="AT138" s="553">
        <f>0.5*(1+'Hilfstabellen_Mat&amp;Bem'!$BD$31*($AS138-0.3)+$AS138^2)</f>
        <v>0.96253389610928897</v>
      </c>
      <c r="AU138" s="550">
        <f t="shared" si="130"/>
        <v>0.82234969726446916</v>
      </c>
      <c r="AW138" s="551">
        <f t="shared" si="122"/>
        <v>29686.824071247338</v>
      </c>
      <c r="AZ138" s="547">
        <f>'Hilfstabellen_Mat&amp;Bem'!$J$56</f>
        <v>3.3</v>
      </c>
      <c r="BA138" s="546">
        <f t="shared" si="137"/>
        <v>190</v>
      </c>
      <c r="BB138" s="551">
        <f t="shared" si="138"/>
        <v>60.165975420813631</v>
      </c>
      <c r="BC138" s="553">
        <f>BB138/PI()*SQRT('Hilfstabellen_Mat&amp;Bem'!f.Rd.3/'Hilfstabellen_Mat&amp;Bem'!$BD$30)</f>
        <v>0.95757123941679678</v>
      </c>
      <c r="BD138" s="553">
        <f>0.5*(1+'Hilfstabellen_Mat&amp;Bem'!$BD$31*(BC138-0.3)+BC138^2)</f>
        <v>0.99134990124995004</v>
      </c>
      <c r="BE138" s="550">
        <f t="shared" si="139"/>
        <v>0.80132874801597154</v>
      </c>
      <c r="BG138" s="551">
        <f t="shared" si="140"/>
        <v>28927.967803376574</v>
      </c>
      <c r="BJ138" s="547">
        <f>'Hilfstabellen_Mat&amp;Bem'!$J$57</f>
        <v>3.4</v>
      </c>
      <c r="BK138" s="546">
        <f t="shared" si="141"/>
        <v>190</v>
      </c>
      <c r="BL138" s="551">
        <f t="shared" si="142"/>
        <v>61.989186797201924</v>
      </c>
      <c r="BM138" s="553">
        <f>BL138/PI()*SQRT('Hilfstabellen_Mat&amp;Bem'!f.Rd.3/'Hilfstabellen_Mat&amp;Bem'!$BD$30)</f>
        <v>0.98658854970215426</v>
      </c>
      <c r="BN138" s="553">
        <f>0.5*(1+'Hilfstabellen_Mat&amp;Bem'!$BD$31*(BM138-0.3)+BM138^2)</f>
        <v>1.0210079106868077</v>
      </c>
      <c r="BO138" s="550">
        <f t="shared" si="143"/>
        <v>0.77889077909417037</v>
      </c>
      <c r="BQ138" s="551">
        <f t="shared" si="144"/>
        <v>28117.957125299552</v>
      </c>
      <c r="BT138" s="547">
        <f>'Hilfstabellen_Mat&amp;Bem'!$J$58</f>
        <v>3.5</v>
      </c>
      <c r="BU138" s="546">
        <f t="shared" si="145"/>
        <v>190</v>
      </c>
      <c r="BV138" s="551">
        <f t="shared" si="146"/>
        <v>63.812398173590218</v>
      </c>
      <c r="BW138" s="553">
        <f>BV138/PI()*SQRT('Hilfstabellen_Mat&amp;Bem'!f.Rd.3/'Hilfstabellen_Mat&amp;Bem'!$BD$30)</f>
        <v>1.0156058599875117</v>
      </c>
      <c r="BX138" s="553">
        <f>0.5*(1+'Hilfstabellen_Mat&amp;Bem'!$BD$31*(BW138-0.3)+BW138^2)</f>
        <v>1.0515079244198622</v>
      </c>
      <c r="BY138" s="550">
        <f t="shared" si="147"/>
        <v>0.75532708461504172</v>
      </c>
      <c r="CA138" s="551">
        <f t="shared" si="148"/>
        <v>27267.307754603007</v>
      </c>
      <c r="CD138" s="547">
        <f>'Hilfstabellen_Mat&amp;Bem'!$J$59</f>
        <v>3.6</v>
      </c>
      <c r="CE138" s="546">
        <f t="shared" si="149"/>
        <v>190</v>
      </c>
      <c r="CF138" s="551">
        <f t="shared" si="150"/>
        <v>65.635609549978497</v>
      </c>
      <c r="CG138" s="553">
        <f>CF138/PI()*SQRT('Hilfstabellen_Mat&amp;Bem'!f.Rd.3/'Hilfstabellen_Mat&amp;Bem'!$BD$30)</f>
        <v>1.044623170272869</v>
      </c>
      <c r="CH138" s="553">
        <f>0.5*(1+'Hilfstabellen_Mat&amp;Bem'!$BD$31*(CG138-0.3)+CG138^2)</f>
        <v>1.0828499424491131</v>
      </c>
      <c r="CI138" s="550">
        <f t="shared" si="151"/>
        <v>0.73097927903180626</v>
      </c>
      <c r="CK138" s="551">
        <f t="shared" si="152"/>
        <v>26388.351973048208</v>
      </c>
      <c r="CN138" s="547">
        <f>'Hilfstabellen_Mat&amp;Bem'!$J$60</f>
        <v>3.7</v>
      </c>
      <c r="CO138" s="546">
        <f t="shared" si="153"/>
        <v>190</v>
      </c>
      <c r="CP138" s="551">
        <f t="shared" si="154"/>
        <v>67.458820926366798</v>
      </c>
      <c r="CQ138" s="553">
        <f>CP138/PI()*SQRT('Hilfstabellen_Mat&amp;Bem'!f.Rd.3/'Hilfstabellen_Mat&amp;Bem'!$BD$30)</f>
        <v>1.0736404805582267</v>
      </c>
      <c r="CR138" s="553">
        <f>0.5*(1+'Hilfstabellen_Mat&amp;Bem'!$BD$31*(CQ138-0.3)+CQ138^2)</f>
        <v>1.1150339647745613</v>
      </c>
      <c r="CS138" s="550">
        <f t="shared" si="155"/>
        <v>0.70620117894900691</v>
      </c>
      <c r="CU138" s="551">
        <f t="shared" si="156"/>
        <v>25493.862560059151</v>
      </c>
      <c r="CX138" s="547">
        <f>'Hilfstabellen_Mat&amp;Bem'!$J$61</f>
        <v>3.8</v>
      </c>
      <c r="CY138" s="546">
        <f t="shared" si="157"/>
        <v>190</v>
      </c>
      <c r="CZ138" s="551">
        <f t="shared" si="158"/>
        <v>69.282032302755084</v>
      </c>
      <c r="DA138" s="553">
        <f>CZ138/PI()*SQRT('Hilfstabellen_Mat&amp;Bem'!f.Rd.3/'Hilfstabellen_Mat&amp;Bem'!$BD$30)</f>
        <v>1.102657790843584</v>
      </c>
      <c r="DB138" s="553">
        <f>0.5*(1+'Hilfstabellen_Mat&amp;Bem'!$BD$31*(DA138-0.3)+DA138^2)</f>
        <v>1.1480599913962055</v>
      </c>
      <c r="DC138" s="550">
        <f t="shared" si="159"/>
        <v>0.68132521956793579</v>
      </c>
      <c r="DE138" s="551">
        <f t="shared" si="160"/>
        <v>24595.840426402483</v>
      </c>
      <c r="DH138" s="547">
        <f>'Hilfstabellen_Mat&amp;Bem'!$J$62</f>
        <v>3.9</v>
      </c>
      <c r="DI138" s="546">
        <f t="shared" si="161"/>
        <v>190</v>
      </c>
      <c r="DJ138" s="551">
        <f t="shared" si="162"/>
        <v>71.105243679143385</v>
      </c>
      <c r="DK138" s="553">
        <f>DJ138/PI()*SQRT('Hilfstabellen_Mat&amp;Bem'!f.Rd.3/'Hilfstabellen_Mat&amp;Bem'!$BD$30)</f>
        <v>1.1316751011289417</v>
      </c>
      <c r="DL138" s="553">
        <f>0.5*(1+'Hilfstabellen_Mat&amp;Bem'!$BD$31*(DK138-0.3)+DK138^2)</f>
        <v>1.1819280223140471</v>
      </c>
      <c r="DM138" s="550">
        <f t="shared" si="163"/>
        <v>0.65663976708569505</v>
      </c>
      <c r="DO138" s="551">
        <f t="shared" si="164"/>
        <v>23704.695591793592</v>
      </c>
      <c r="DR138" s="547">
        <f>'Hilfstabellen_Mat&amp;Bem'!$J$63</f>
        <v>4</v>
      </c>
      <c r="DS138" s="546">
        <f t="shared" si="165"/>
        <v>190</v>
      </c>
      <c r="DT138" s="551">
        <f t="shared" si="166"/>
        <v>72.928455055531671</v>
      </c>
      <c r="DU138" s="553">
        <f>DT138/PI()*SQRT('Hilfstabellen_Mat&amp;Bem'!f.Rd.3/'Hilfstabellen_Mat&amp;Bem'!$BD$30)</f>
        <v>1.1606924114142989</v>
      </c>
      <c r="DV138" s="553">
        <f>0.5*(1+'Hilfstabellen_Mat&amp;Bem'!$BD$31*(DU138-0.3)+DU138^2)</f>
        <v>1.2166380575280851</v>
      </c>
      <c r="DW138" s="550">
        <f t="shared" si="167"/>
        <v>0.63237848325553303</v>
      </c>
      <c r="DY138" s="551">
        <f t="shared" si="168"/>
        <v>22828.863245524743</v>
      </c>
      <c r="EB138" s="547">
        <f>'Hilfstabellen_Mat&amp;Bem'!$J$64</f>
        <v>4.0999999999999996</v>
      </c>
      <c r="EC138" s="546">
        <f t="shared" si="169"/>
        <v>190</v>
      </c>
      <c r="ED138" s="551">
        <f t="shared" si="170"/>
        <v>74.751666431919958</v>
      </c>
      <c r="EE138" s="553">
        <f>ED138/PI()*SQRT('Hilfstabellen_Mat&amp;Bem'!f.Rd.3/'Hilfstabellen_Mat&amp;Bem'!$BD$30)</f>
        <v>1.1897097216996564</v>
      </c>
      <c r="EF138" s="553">
        <f>0.5*(1+'Hilfstabellen_Mat&amp;Bem'!$BD$31*(EE138-0.3)+EE138^2)</f>
        <v>1.2521900970383197</v>
      </c>
      <c r="EG138" s="550">
        <f t="shared" si="171"/>
        <v>0.60871932885594671</v>
      </c>
      <c r="EI138" s="551">
        <f t="shared" si="172"/>
        <v>21974.767771699677</v>
      </c>
      <c r="EL138" s="547">
        <f>'Hilfstabellen_Mat&amp;Bem'!$J$65</f>
        <v>4.2</v>
      </c>
      <c r="EM138" s="546">
        <f t="shared" si="173"/>
        <v>190</v>
      </c>
      <c r="EN138" s="551">
        <f t="shared" si="174"/>
        <v>76.574877808308258</v>
      </c>
      <c r="EO138" s="553">
        <f>EN138/PI()*SQRT('Hilfstabellen_Mat&amp;Bem'!f.Rd.3/'Hilfstabellen_Mat&amp;Bem'!$BD$30)</f>
        <v>1.2187270319850141</v>
      </c>
      <c r="EP138" s="553">
        <f>0.5*(1+'Hilfstabellen_Mat&amp;Bem'!$BD$31*(EO138-0.3)+EO138^2)</f>
        <v>1.2885841408447516</v>
      </c>
      <c r="EQ138" s="550">
        <f t="shared" si="175"/>
        <v>0.58578959056765256</v>
      </c>
      <c r="ES138" s="551">
        <f t="shared" si="176"/>
        <v>21147.004219492257</v>
      </c>
    </row>
    <row r="139" spans="3:149">
      <c r="C139" s="546">
        <v>191</v>
      </c>
      <c r="D139" s="551">
        <f t="shared" si="131"/>
        <v>50.782641478459226</v>
      </c>
      <c r="E139" s="553">
        <f>$D139/PI()*SQRT('Hilfstabellen_Mat&amp;Bem'!f.Rd.3/'Hilfstabellen_Mat&amp;Bem'!$BD$30)</f>
        <v>0.80823084145603019</v>
      </c>
      <c r="F139" s="553">
        <f>0.5*(1+'Hilfstabellen_Mat&amp;Bem'!$BD$31*($E139-0.3)+$E139^2)</f>
        <v>0.85203008861316287</v>
      </c>
      <c r="G139" s="550">
        <f t="shared" si="132"/>
        <v>0.89150939356667136</v>
      </c>
      <c r="I139" s="551">
        <f t="shared" si="118"/>
        <v>32523.154186705739</v>
      </c>
      <c r="M139" s="546">
        <f t="shared" si="133"/>
        <v>191</v>
      </c>
      <c r="N139" s="551">
        <f t="shared" si="123"/>
        <v>52.596307245547052</v>
      </c>
      <c r="O139" s="553">
        <f>$N139/PI()*SQRT('Hilfstabellen_Mat&amp;Bem'!f.Rd.3/'Hilfstabellen_Mat&amp;Bem'!$BD$30)</f>
        <v>0.83709622865088851</v>
      </c>
      <c r="P139" s="553">
        <f>0.5*(1+'Hilfstabellen_Mat&amp;Bem'!$BD$31*($O139-0.3)+$O139^2)</f>
        <v>0.87721985944331471</v>
      </c>
      <c r="Q139" s="550">
        <f t="shared" si="124"/>
        <v>0.87758711476737139</v>
      </c>
      <c r="S139" s="551">
        <f t="shared" si="119"/>
        <v>32015.255533828476</v>
      </c>
      <c r="W139" s="546">
        <f t="shared" si="134"/>
        <v>191</v>
      </c>
      <c r="X139" s="551">
        <f t="shared" si="125"/>
        <v>54.409973012634886</v>
      </c>
      <c r="Y139" s="553">
        <f>$X139/PI()*SQRT('Hilfstabellen_Mat&amp;Bem'!f.Rd.3/'Hilfstabellen_Mat&amp;Bem'!$BD$30)</f>
        <v>0.86596161584574682</v>
      </c>
      <c r="Z139" s="553">
        <f>0.5*(1+'Hilfstabellen_Mat&amp;Bem'!$BD$31*($Y139-0.3)+$Y139^2)</f>
        <v>0.90324284085137574</v>
      </c>
      <c r="AA139" s="550">
        <f t="shared" si="126"/>
        <v>0.86201995665478215</v>
      </c>
      <c r="AC139" s="551">
        <f t="shared" si="120"/>
        <v>31447.350038723107</v>
      </c>
      <c r="AG139" s="546">
        <f t="shared" si="135"/>
        <v>191</v>
      </c>
      <c r="AH139" s="551">
        <f t="shared" si="127"/>
        <v>56.22363877972272</v>
      </c>
      <c r="AI139" s="553">
        <f>$AH139/PI()*SQRT('Hilfstabellen_Mat&amp;Bem'!f.Rd.3/'Hilfstabellen_Mat&amp;Bem'!$BD$30)</f>
        <v>0.89482700304060503</v>
      </c>
      <c r="AJ139" s="553">
        <f>0.5*(1+'Hilfstabellen_Mat&amp;Bem'!$BD$31*($AI139-0.3)+$AI139^2)</f>
        <v>0.93009903283734574</v>
      </c>
      <c r="AK139" s="550">
        <f t="shared" si="128"/>
        <v>0.84473072660056414</v>
      </c>
      <c r="AM139" s="551">
        <f t="shared" si="121"/>
        <v>30816.621637115182</v>
      </c>
      <c r="AQ139" s="546">
        <f t="shared" si="136"/>
        <v>191</v>
      </c>
      <c r="AR139" s="551">
        <f t="shared" si="129"/>
        <v>58.037304546810546</v>
      </c>
      <c r="AS139" s="553">
        <f>$AR139/PI()*SQRT('Hilfstabellen_Mat&amp;Bem'!f.Rd.3/'Hilfstabellen_Mat&amp;Bem'!$BD$30)</f>
        <v>0.92369239023546312</v>
      </c>
      <c r="AT139" s="553">
        <f>0.5*(1+'Hilfstabellen_Mat&amp;Bem'!$BD$31*($AS139-0.3)+$AS139^2)</f>
        <v>0.95778843540122471</v>
      </c>
      <c r="AU139" s="550">
        <f t="shared" si="130"/>
        <v>0.82571676955304174</v>
      </c>
      <c r="AW139" s="551">
        <f t="shared" si="122"/>
        <v>30122.973470064517</v>
      </c>
      <c r="AZ139" s="547">
        <f>'Hilfstabellen_Mat&amp;Bem'!$J$56</f>
        <v>3.3</v>
      </c>
      <c r="BA139" s="546">
        <f t="shared" si="137"/>
        <v>191</v>
      </c>
      <c r="BB139" s="551">
        <f t="shared" si="138"/>
        <v>59.850970313898372</v>
      </c>
      <c r="BC139" s="553">
        <f>BB139/PI()*SQRT('Hilfstabellen_Mat&amp;Bem'!f.Rd.3/'Hilfstabellen_Mat&amp;Bem'!$BD$30)</f>
        <v>0.95255777743032144</v>
      </c>
      <c r="BD139" s="553">
        <f>0.5*(1+'Hilfstabellen_Mat&amp;Bem'!$BD$31*(BC139-0.3)+BC139^2)</f>
        <v>0.9863110485430131</v>
      </c>
      <c r="BE139" s="550">
        <f t="shared" si="139"/>
        <v>0.80506892896857052</v>
      </c>
      <c r="BG139" s="551">
        <f t="shared" si="140"/>
        <v>29369.71959770242</v>
      </c>
      <c r="BJ139" s="547">
        <f>'Hilfstabellen_Mat&amp;Bem'!$J$57</f>
        <v>3.4</v>
      </c>
      <c r="BK139" s="546">
        <f t="shared" si="141"/>
        <v>191</v>
      </c>
      <c r="BL139" s="551">
        <f t="shared" si="142"/>
        <v>61.664636080986199</v>
      </c>
      <c r="BM139" s="553">
        <f>BL139/PI()*SQRT('Hilfstabellen_Mat&amp;Bem'!f.Rd.3/'Hilfstabellen_Mat&amp;Bem'!$BD$30)</f>
        <v>0.98142316462517953</v>
      </c>
      <c r="BN139" s="553">
        <f>0.5*(1+'Hilfstabellen_Mat&amp;Bem'!$BD$31*(BM139-0.3)+BM139^2)</f>
        <v>1.01566687226271</v>
      </c>
      <c r="BO139" s="550">
        <f t="shared" si="143"/>
        <v>0.78297657254663822</v>
      </c>
      <c r="BQ139" s="551">
        <f t="shared" si="144"/>
        <v>28563.768343073909</v>
      </c>
      <c r="BT139" s="547">
        <f>'Hilfstabellen_Mat&amp;Bem'!$J$58</f>
        <v>3.5</v>
      </c>
      <c r="BU139" s="546">
        <f t="shared" si="145"/>
        <v>191</v>
      </c>
      <c r="BV139" s="551">
        <f t="shared" si="146"/>
        <v>63.478301848074025</v>
      </c>
      <c r="BW139" s="553">
        <f>BV139/PI()*SQRT('Hilfstabellen_Mat&amp;Bem'!f.Rd.3/'Hilfstabellen_Mat&amp;Bem'!$BD$30)</f>
        <v>1.0102885518200375</v>
      </c>
      <c r="BX139" s="553">
        <f>0.5*(1+'Hilfstabellen_Mat&amp;Bem'!$BD$31*(BW139-0.3)+BW139^2)</f>
        <v>1.0458559065603161</v>
      </c>
      <c r="BY139" s="550">
        <f t="shared" si="147"/>
        <v>0.75971418545468694</v>
      </c>
      <c r="CA139" s="551">
        <f t="shared" si="148"/>
        <v>27715.133199572436</v>
      </c>
      <c r="CD139" s="547">
        <f>'Hilfstabellen_Mat&amp;Bem'!$J$59</f>
        <v>3.6</v>
      </c>
      <c r="CE139" s="546">
        <f t="shared" si="149"/>
        <v>191</v>
      </c>
      <c r="CF139" s="551">
        <f t="shared" si="150"/>
        <v>65.291967615161866</v>
      </c>
      <c r="CG139" s="553">
        <f>CF139/PI()*SQRT('Hilfstabellen_Mat&amp;Bem'!f.Rd.3/'Hilfstabellen_Mat&amp;Bem'!$BD$30)</f>
        <v>1.0391539390148961</v>
      </c>
      <c r="CH139" s="553">
        <f>0.5*(1+'Hilfstabellen_Mat&amp;Bem'!$BD$31*(CG139-0.3)+CG139^2)</f>
        <v>1.0768781514358321</v>
      </c>
      <c r="CI139" s="550">
        <f t="shared" si="151"/>
        <v>0.73561190461982118</v>
      </c>
      <c r="CK139" s="551">
        <f t="shared" si="152"/>
        <v>26835.857892435695</v>
      </c>
      <c r="CN139" s="547">
        <f>'Hilfstabellen_Mat&amp;Bem'!$J$60</f>
        <v>3.7</v>
      </c>
      <c r="CO139" s="546">
        <f t="shared" si="153"/>
        <v>191</v>
      </c>
      <c r="CP139" s="551">
        <f t="shared" si="154"/>
        <v>67.105633382249692</v>
      </c>
      <c r="CQ139" s="553">
        <f>CP139/PI()*SQRT('Hilfstabellen_Mat&amp;Bem'!f.Rd.3/'Hilfstabellen_Mat&amp;Bem'!$BD$30)</f>
        <v>1.0680193262097544</v>
      </c>
      <c r="CR139" s="553">
        <f>0.5*(1+'Hilfstabellen_Mat&amp;Bem'!$BD$31*(CQ139-0.3)+CQ139^2)</f>
        <v>1.1087336068892566</v>
      </c>
      <c r="CS139" s="550">
        <f t="shared" si="155"/>
        <v>0.71101858284867048</v>
      </c>
      <c r="CU139" s="551">
        <f t="shared" si="156"/>
        <v>25938.668920902346</v>
      </c>
      <c r="CX139" s="547">
        <f>'Hilfstabellen_Mat&amp;Bem'!$J$61</f>
        <v>3.8</v>
      </c>
      <c r="CY139" s="546">
        <f t="shared" si="157"/>
        <v>191</v>
      </c>
      <c r="CZ139" s="551">
        <f t="shared" si="158"/>
        <v>68.919299149337519</v>
      </c>
      <c r="DA139" s="553">
        <f>CZ139/PI()*SQRT('Hilfstabellen_Mat&amp;Bem'!f.Rd.3/'Hilfstabellen_Mat&amp;Bem'!$BD$30)</f>
        <v>1.0968847134046125</v>
      </c>
      <c r="DB139" s="553">
        <f>0.5*(1+'Hilfstabellen_Mat&amp;Bem'!$BD$31*(DA139-0.3)+DA139^2)</f>
        <v>1.1414222729205901</v>
      </c>
      <c r="DC139" s="550">
        <f t="shared" si="159"/>
        <v>0.68626761572497497</v>
      </c>
      <c r="DE139" s="551">
        <f t="shared" si="160"/>
        <v>25035.728889262813</v>
      </c>
      <c r="DH139" s="547">
        <f>'Hilfstabellen_Mat&amp;Bem'!$J$62</f>
        <v>3.9</v>
      </c>
      <c r="DI139" s="546">
        <f t="shared" si="161"/>
        <v>191</v>
      </c>
      <c r="DJ139" s="551">
        <f t="shared" si="162"/>
        <v>70.732964916425345</v>
      </c>
      <c r="DK139" s="553">
        <f>DJ139/PI()*SQRT('Hilfstabellen_Mat&amp;Bem'!f.Rd.3/'Hilfstabellen_Mat&amp;Bem'!$BD$30)</f>
        <v>1.1257501005994706</v>
      </c>
      <c r="DL139" s="553">
        <f>0.5*(1+'Hilfstabellen_Mat&amp;Bem'!$BD$31*(DK139-0.3)+DK139^2)</f>
        <v>1.1749441495298325</v>
      </c>
      <c r="DM139" s="550">
        <f t="shared" si="163"/>
        <v>0.66165257742584083</v>
      </c>
      <c r="DO139" s="551">
        <f t="shared" si="164"/>
        <v>24137.7476770721</v>
      </c>
      <c r="DR139" s="547">
        <f>'Hilfstabellen_Mat&amp;Bem'!$J$63</f>
        <v>4</v>
      </c>
      <c r="DS139" s="546">
        <f t="shared" si="165"/>
        <v>191</v>
      </c>
      <c r="DT139" s="551">
        <f t="shared" si="166"/>
        <v>72.546630683513172</v>
      </c>
      <c r="DU139" s="553">
        <f>DT139/PI()*SQRT('Hilfstabellen_Mat&amp;Bem'!f.Rd.3/'Hilfstabellen_Mat&amp;Bem'!$BD$30)</f>
        <v>1.1546154877943289</v>
      </c>
      <c r="DV139" s="553">
        <f>0.5*(1+'Hilfstabellen_Mat&amp;Bem'!$BD$31*(DU139-0.3)+DU139^2)</f>
        <v>1.2092992367169844</v>
      </c>
      <c r="DW139" s="550">
        <f t="shared" si="167"/>
        <v>0.6374146707707713</v>
      </c>
      <c r="DY139" s="551">
        <f t="shared" si="168"/>
        <v>23253.524604388509</v>
      </c>
      <c r="EB139" s="547">
        <f>'Hilfstabellen_Mat&amp;Bem'!$J$64</f>
        <v>4.0999999999999996</v>
      </c>
      <c r="EC139" s="546">
        <f t="shared" si="169"/>
        <v>191</v>
      </c>
      <c r="ED139" s="551">
        <f t="shared" si="170"/>
        <v>74.360296450600998</v>
      </c>
      <c r="EE139" s="553">
        <f>ED139/PI()*SQRT('Hilfstabellen_Mat&amp;Bem'!f.Rd.3/'Hilfstabellen_Mat&amp;Bem'!$BD$30)</f>
        <v>1.183480874989187</v>
      </c>
      <c r="EF139" s="553">
        <f>0.5*(1+'Hilfstabellen_Mat&amp;Bem'!$BD$31*(EE139-0.3)+EE139^2)</f>
        <v>1.2444875344820452</v>
      </c>
      <c r="EG139" s="550">
        <f t="shared" si="171"/>
        <v>0.61374014703556568</v>
      </c>
      <c r="EI139" s="551">
        <f t="shared" si="172"/>
        <v>22389.854304004471</v>
      </c>
      <c r="EL139" s="547">
        <f>'Hilfstabellen_Mat&amp;Bem'!$J$65</f>
        <v>4.2</v>
      </c>
      <c r="EM139" s="546">
        <f t="shared" si="173"/>
        <v>191</v>
      </c>
      <c r="EN139" s="551">
        <f t="shared" si="174"/>
        <v>76.173962217688839</v>
      </c>
      <c r="EO139" s="553">
        <f>EN139/PI()*SQRT('Hilfstabellen_Mat&amp;Bem'!f.Rd.3/'Hilfstabellen_Mat&amp;Bem'!$BD$30)</f>
        <v>1.2123462621840453</v>
      </c>
      <c r="EP139" s="553">
        <f>0.5*(1+'Hilfstabellen_Mat&amp;Bem'!$BD$31*(EO139-0.3)+EO139^2)</f>
        <v>1.2805090428250152</v>
      </c>
      <c r="EQ139" s="550">
        <f t="shared" si="175"/>
        <v>0.59076428015599403</v>
      </c>
      <c r="ES139" s="551">
        <f t="shared" si="176"/>
        <v>21551.671704370819</v>
      </c>
    </row>
    <row r="140" spans="3:149">
      <c r="C140" s="546">
        <v>192</v>
      </c>
      <c r="D140" s="551">
        <f t="shared" si="131"/>
        <v>50.518148554092257</v>
      </c>
      <c r="E140" s="553">
        <f>$D140/PI()*SQRT('Hilfstabellen_Mat&amp;Bem'!f.Rd.3/'Hilfstabellen_Mat&amp;Bem'!$BD$30)</f>
        <v>0.80402130582344677</v>
      </c>
      <c r="F140" s="553">
        <f>0.5*(1+'Hilfstabellen_Mat&amp;Bem'!$BD$31*($E140-0.3)+$E140^2)</f>
        <v>0.8484261954001926</v>
      </c>
      <c r="G140" s="550">
        <f t="shared" si="132"/>
        <v>0.89340944151077073</v>
      </c>
      <c r="I140" s="551">
        <f t="shared" si="118"/>
        <v>32934.645651853054</v>
      </c>
      <c r="M140" s="546">
        <f t="shared" si="133"/>
        <v>192</v>
      </c>
      <c r="N140" s="551">
        <f t="shared" si="123"/>
        <v>52.322368145309831</v>
      </c>
      <c r="O140" s="553">
        <f>$N140/PI()*SQRT('Hilfstabellen_Mat&amp;Bem'!f.Rd.3/'Hilfstabellen_Mat&amp;Bem'!$BD$30)</f>
        <v>0.83273635245999833</v>
      </c>
      <c r="P140" s="553">
        <f>0.5*(1+'Hilfstabellen_Mat&amp;Bem'!$BD$31*($O140-0.3)+$O140^2)</f>
        <v>0.8733617339771913</v>
      </c>
      <c r="Q140" s="550">
        <f t="shared" si="124"/>
        <v>0.87979273881890829</v>
      </c>
      <c r="S140" s="551">
        <f t="shared" si="119"/>
        <v>32432.679523820236</v>
      </c>
      <c r="W140" s="546">
        <f t="shared" si="134"/>
        <v>192</v>
      </c>
      <c r="X140" s="551">
        <f t="shared" si="125"/>
        <v>54.126587736527412</v>
      </c>
      <c r="Y140" s="553">
        <f>$X140/PI()*SQRT('Hilfstabellen_Mat&amp;Bem'!f.Rd.3/'Hilfstabellen_Mat&amp;Bem'!$BD$30)</f>
        <v>0.86145139909655011</v>
      </c>
      <c r="Z140" s="553">
        <f>0.5*(1+'Hilfstabellen_Mat&amp;Bem'!$BD$31*($Y140-0.3)+$Y140^2)</f>
        <v>0.89912182645752936</v>
      </c>
      <c r="AA140" s="550">
        <f t="shared" si="126"/>
        <v>0.86456463169002984</v>
      </c>
      <c r="AC140" s="551">
        <f t="shared" si="120"/>
        <v>31871.31058262126</v>
      </c>
      <c r="AG140" s="546">
        <f t="shared" si="135"/>
        <v>192</v>
      </c>
      <c r="AH140" s="551">
        <f t="shared" si="127"/>
        <v>55.930807327744986</v>
      </c>
      <c r="AI140" s="553">
        <f>$AH140/PI()*SQRT('Hilfstabellen_Mat&amp;Bem'!f.Rd.3/'Hilfstabellen_Mat&amp;Bem'!$BD$30)</f>
        <v>0.89016644573310166</v>
      </c>
      <c r="AJ140" s="553">
        <f>0.5*(1+'Hilfstabellen_Mat&amp;Bem'!$BD$31*($AI140-0.3)+$AI140^2)</f>
        <v>0.92570647284120655</v>
      </c>
      <c r="AK140" s="550">
        <f t="shared" si="128"/>
        <v>0.84763995599796849</v>
      </c>
      <c r="AM140" s="551">
        <f t="shared" si="121"/>
        <v>31247.399337909112</v>
      </c>
      <c r="AQ140" s="546">
        <f t="shared" si="136"/>
        <v>192</v>
      </c>
      <c r="AR140" s="551">
        <f t="shared" si="129"/>
        <v>57.735026918962575</v>
      </c>
      <c r="AS140" s="553">
        <f>$AR140/PI()*SQRT('Hilfstabellen_Mat&amp;Bem'!f.Rd.3/'Hilfstabellen_Mat&amp;Bem'!$BD$30)</f>
        <v>0.91888149236965355</v>
      </c>
      <c r="AT140" s="553">
        <f>0.5*(1+'Hilfstabellen_Mat&amp;Bem'!$BD$31*($AS140-0.3)+$AS140^2)</f>
        <v>0.95311567312822354</v>
      </c>
      <c r="AU140" s="550">
        <f t="shared" si="130"/>
        <v>0.8290029172295762</v>
      </c>
      <c r="AW140" s="551">
        <f t="shared" si="122"/>
        <v>30560.363540751096</v>
      </c>
      <c r="AZ140" s="547">
        <f>'Hilfstabellen_Mat&amp;Bem'!$J$56</f>
        <v>3.3</v>
      </c>
      <c r="BA140" s="546">
        <f t="shared" si="137"/>
        <v>192</v>
      </c>
      <c r="BB140" s="551">
        <f t="shared" si="138"/>
        <v>59.539246510180156</v>
      </c>
      <c r="BC140" s="553">
        <f>BB140/PI()*SQRT('Hilfstabellen_Mat&amp;Bem'!f.Rd.3/'Hilfstabellen_Mat&amp;Bem'!$BD$30)</f>
        <v>0.94759653900620511</v>
      </c>
      <c r="BD140" s="553">
        <f>0.5*(1+'Hilfstabellen_Mat&amp;Bem'!$BD$31*(BC140-0.3)+BC140^2)</f>
        <v>0.98134942731857944</v>
      </c>
      <c r="BE140" s="550">
        <f t="shared" si="139"/>
        <v>0.80872704708680532</v>
      </c>
      <c r="BG140" s="551">
        <f t="shared" si="140"/>
        <v>29812.913863807989</v>
      </c>
      <c r="BJ140" s="547">
        <f>'Hilfstabellen_Mat&amp;Bem'!$J$57</f>
        <v>3.4</v>
      </c>
      <c r="BK140" s="546">
        <f t="shared" si="141"/>
        <v>192</v>
      </c>
      <c r="BL140" s="551">
        <f t="shared" si="142"/>
        <v>61.34346610139773</v>
      </c>
      <c r="BM140" s="553">
        <f>BL140/PI()*SQRT('Hilfstabellen_Mat&amp;Bem'!f.Rd.3/'Hilfstabellen_Mat&amp;Bem'!$BD$30)</f>
        <v>0.97631158564275666</v>
      </c>
      <c r="BN140" s="553">
        <f>0.5*(1+'Hilfstabellen_Mat&amp;Bem'!$BD$31*(BM140-0.3)+BM140^2)</f>
        <v>1.0104077354122747</v>
      </c>
      <c r="BO140" s="550">
        <f t="shared" si="143"/>
        <v>0.78698278405730848</v>
      </c>
      <c r="BQ140" s="551">
        <f t="shared" si="144"/>
        <v>29011.333351488618</v>
      </c>
      <c r="BT140" s="547">
        <f>'Hilfstabellen_Mat&amp;Bem'!$J$58</f>
        <v>3.5</v>
      </c>
      <c r="BU140" s="546">
        <f t="shared" si="145"/>
        <v>192</v>
      </c>
      <c r="BV140" s="551">
        <f t="shared" si="146"/>
        <v>63.147685692615319</v>
      </c>
      <c r="BW140" s="553">
        <f>BV140/PI()*SQRT('Hilfstabellen_Mat&amp;Bem'!f.Rd.3/'Hilfstabellen_Mat&amp;Bem'!$BD$30)</f>
        <v>1.0050266322793087</v>
      </c>
      <c r="BX140" s="553">
        <f>0.5*(1+'Hilfstabellen_Mat&amp;Bem'!$BD$31*(BW140-0.3)+BW140^2)</f>
        <v>1.0402905974093097</v>
      </c>
      <c r="BY140" s="550">
        <f t="shared" si="147"/>
        <v>0.76402748885706762</v>
      </c>
      <c r="CA140" s="551">
        <f t="shared" si="148"/>
        <v>28165.109349226939</v>
      </c>
      <c r="CD140" s="547">
        <f>'Hilfstabellen_Mat&amp;Bem'!$J$59</f>
        <v>3.6</v>
      </c>
      <c r="CE140" s="546">
        <f t="shared" si="149"/>
        <v>192</v>
      </c>
      <c r="CF140" s="551">
        <f t="shared" si="150"/>
        <v>64.9519052838329</v>
      </c>
      <c r="CG140" s="553">
        <f>CF140/PI()*SQRT('Hilfstabellen_Mat&amp;Bem'!f.Rd.3/'Hilfstabellen_Mat&amp;Bem'!$BD$30)</f>
        <v>1.0337416789158602</v>
      </c>
      <c r="CH140" s="553">
        <f>0.5*(1+'Hilfstabellen_Mat&amp;Bem'!$BD$31*(CG140-0.3)+CG140^2)</f>
        <v>1.0709980133096837</v>
      </c>
      <c r="CI140" s="550">
        <f t="shared" si="151"/>
        <v>0.74017897570723978</v>
      </c>
      <c r="CK140" s="551">
        <f t="shared" si="152"/>
        <v>27285.957760471687</v>
      </c>
      <c r="CN140" s="547">
        <f>'Hilfstabellen_Mat&amp;Bem'!$J$60</f>
        <v>3.7</v>
      </c>
      <c r="CO140" s="546">
        <f t="shared" si="153"/>
        <v>192</v>
      </c>
      <c r="CP140" s="551">
        <f t="shared" si="154"/>
        <v>66.756124875050475</v>
      </c>
      <c r="CQ140" s="553">
        <f>CP140/PI()*SQRT('Hilfstabellen_Mat&amp;Bem'!f.Rd.3/'Hilfstabellen_Mat&amp;Bem'!$BD$30)</f>
        <v>1.0624567255524118</v>
      </c>
      <c r="CR140" s="553">
        <f>0.5*(1+'Hilfstabellen_Mat&amp;Bem'!$BD$31*(CQ140-0.3)+CQ140^2)</f>
        <v>1.102529983113397</v>
      </c>
      <c r="CS140" s="550">
        <f t="shared" si="155"/>
        <v>0.71578005243675102</v>
      </c>
      <c r="CU140" s="551">
        <f t="shared" si="156"/>
        <v>26386.515853028388</v>
      </c>
      <c r="CX140" s="547">
        <f>'Hilfstabellen_Mat&amp;Bem'!$J$61</f>
        <v>3.8</v>
      </c>
      <c r="CY140" s="546">
        <f t="shared" si="157"/>
        <v>192</v>
      </c>
      <c r="CZ140" s="551">
        <f t="shared" si="158"/>
        <v>68.560344466268063</v>
      </c>
      <c r="DA140" s="553">
        <f>CZ140/PI()*SQRT('Hilfstabellen_Mat&amp;Bem'!f.Rd.3/'Hilfstabellen_Mat&amp;Bem'!$BD$30)</f>
        <v>1.0911717721889636</v>
      </c>
      <c r="DB140" s="553">
        <f>0.5*(1+'Hilfstabellen_Mat&amp;Bem'!$BD$31*(DA140-0.3)+DA140^2)</f>
        <v>1.1348865068204499</v>
      </c>
      <c r="DC140" s="550">
        <f t="shared" si="159"/>
        <v>0.69116405773142631</v>
      </c>
      <c r="DE140" s="551">
        <f t="shared" si="160"/>
        <v>25479.0718242113</v>
      </c>
      <c r="DH140" s="547">
        <f>'Hilfstabellen_Mat&amp;Bem'!$J$62</f>
        <v>3.9</v>
      </c>
      <c r="DI140" s="546">
        <f t="shared" si="161"/>
        <v>192</v>
      </c>
      <c r="DJ140" s="551">
        <f t="shared" si="162"/>
        <v>70.364564057485637</v>
      </c>
      <c r="DK140" s="553">
        <f>DJ140/PI()*SQRT('Hilfstabellen_Mat&amp;Bem'!f.Rd.3/'Hilfstabellen_Mat&amp;Bem'!$BD$30)</f>
        <v>1.1198868188255151</v>
      </c>
      <c r="DL140" s="553">
        <f>0.5*(1+'Hilfstabellen_Mat&amp;Bem'!$BD$31*(DK140-0.3)+DK140^2)</f>
        <v>1.1680675844308417</v>
      </c>
      <c r="DM140" s="550">
        <f t="shared" si="163"/>
        <v>0.66662900441254869</v>
      </c>
      <c r="DO140" s="551">
        <f t="shared" si="164"/>
        <v>24574.611618664196</v>
      </c>
      <c r="DR140" s="547">
        <f>'Hilfstabellen_Mat&amp;Bem'!$J$63</f>
        <v>4</v>
      </c>
      <c r="DS140" s="546">
        <f t="shared" si="165"/>
        <v>192</v>
      </c>
      <c r="DT140" s="551">
        <f t="shared" si="166"/>
        <v>72.168783648703211</v>
      </c>
      <c r="DU140" s="553">
        <f>DT140/PI()*SQRT('Hilfstabellen_Mat&amp;Bem'!f.Rd.3/'Hilfstabellen_Mat&amp;Bem'!$BD$30)</f>
        <v>1.1486018654620667</v>
      </c>
      <c r="DV140" s="553">
        <f>0.5*(1+'Hilfstabellen_Mat&amp;Bem'!$BD$31*(DU140-0.3)+DU140^2)</f>
        <v>1.2020732159445731</v>
      </c>
      <c r="DW140" s="550">
        <f t="shared" si="167"/>
        <v>0.64242316281628098</v>
      </c>
      <c r="DY140" s="551">
        <f t="shared" si="168"/>
        <v>23682.287474059383</v>
      </c>
      <c r="EB140" s="547">
        <f>'Hilfstabellen_Mat&amp;Bem'!$J$64</f>
        <v>4.0999999999999996</v>
      </c>
      <c r="EC140" s="546">
        <f t="shared" si="169"/>
        <v>192</v>
      </c>
      <c r="ED140" s="551">
        <f t="shared" si="170"/>
        <v>73.9730032399208</v>
      </c>
      <c r="EE140" s="553">
        <f>ED140/PI()*SQRT('Hilfstabellen_Mat&amp;Bem'!f.Rd.3/'Hilfstabellen_Mat&amp;Bem'!$BD$30)</f>
        <v>1.1773169120986184</v>
      </c>
      <c r="EF140" s="553">
        <f>0.5*(1+'Hilfstabellen_Mat&amp;Bem'!$BD$31*(EE140-0.3)+EE140^2)</f>
        <v>1.2369034013616438</v>
      </c>
      <c r="EG140" s="550">
        <f t="shared" si="171"/>
        <v>0.61874085493931319</v>
      </c>
      <c r="EI140" s="551">
        <f t="shared" si="172"/>
        <v>22809.262876482841</v>
      </c>
      <c r="EL140" s="547">
        <f>'Hilfstabellen_Mat&amp;Bem'!$J$65</f>
        <v>4.2</v>
      </c>
      <c r="EM140" s="546">
        <f t="shared" si="173"/>
        <v>192</v>
      </c>
      <c r="EN140" s="551">
        <f t="shared" si="174"/>
        <v>75.777222831138374</v>
      </c>
      <c r="EO140" s="553">
        <f>EN140/PI()*SQRT('Hilfstabellen_Mat&amp;Bem'!f.Rd.3/'Hilfstabellen_Mat&amp;Bem'!$BD$30)</f>
        <v>1.20603195873517</v>
      </c>
      <c r="EP140" s="553">
        <f>0.5*(1+'Hilfstabellen_Mat&amp;Bem'!$BD$31*(EO140-0.3)+EO140^2)</f>
        <v>1.2725581406820539</v>
      </c>
      <c r="EQ140" s="550">
        <f t="shared" si="175"/>
        <v>0.59572530052608452</v>
      </c>
      <c r="ES140" s="551">
        <f t="shared" si="176"/>
        <v>21960.817478593581</v>
      </c>
    </row>
    <row r="141" spans="3:149">
      <c r="C141" s="546">
        <v>193</v>
      </c>
      <c r="D141" s="551">
        <f t="shared" si="131"/>
        <v>50.256396489045144</v>
      </c>
      <c r="E141" s="553">
        <f>$D141/PI()*SQRT('Hilfstabellen_Mat&amp;Bem'!f.Rd.3/'Hilfstabellen_Mat&amp;Bem'!$BD$30)</f>
        <v>0.79985539232177094</v>
      </c>
      <c r="F141" s="553">
        <f>0.5*(1+'Hilfstabellen_Mat&amp;Bem'!$BD$31*($E141-0.3)+$E141^2)</f>
        <v>0.84487709392919563</v>
      </c>
      <c r="G141" s="550">
        <f t="shared" si="132"/>
        <v>0.89525841819018226</v>
      </c>
      <c r="I141" s="551">
        <f t="shared" si="118"/>
        <v>33347.4808191661</v>
      </c>
      <c r="M141" s="546">
        <f t="shared" si="133"/>
        <v>193</v>
      </c>
      <c r="N141" s="551">
        <f t="shared" si="123"/>
        <v>52.051267792225325</v>
      </c>
      <c r="O141" s="553">
        <f>$N141/PI()*SQRT('Hilfstabellen_Mat&amp;Bem'!f.Rd.3/'Hilfstabellen_Mat&amp;Bem'!$BD$30)</f>
        <v>0.82842165633326259</v>
      </c>
      <c r="P141" s="553">
        <f>0.5*(1+'Hilfstabellen_Mat&amp;Bem'!$BD$31*($O141-0.3)+$O141^2)</f>
        <v>0.86956230315763627</v>
      </c>
      <c r="Q141" s="550">
        <f t="shared" si="124"/>
        <v>0.88193885061448118</v>
      </c>
      <c r="S141" s="551">
        <f t="shared" si="119"/>
        <v>32851.340246538806</v>
      </c>
      <c r="W141" s="546">
        <f t="shared" si="134"/>
        <v>193</v>
      </c>
      <c r="X141" s="551">
        <f t="shared" si="125"/>
        <v>53.846139095405512</v>
      </c>
      <c r="Y141" s="553">
        <f>$X141/PI()*SQRT('Hilfstabellen_Mat&amp;Bem'!f.Rd.3/'Hilfstabellen_Mat&amp;Bem'!$BD$30)</f>
        <v>0.85698792034475457</v>
      </c>
      <c r="Z141" s="553">
        <f>0.5*(1+'Hilfstabellen_Mat&amp;Bem'!$BD$31*($Y141-0.3)+$Y141^2)</f>
        <v>0.89506354382565134</v>
      </c>
      <c r="AA141" s="550">
        <f t="shared" si="126"/>
        <v>0.86704159155736638</v>
      </c>
      <c r="AC141" s="551">
        <f t="shared" si="120"/>
        <v>32296.432243920339</v>
      </c>
      <c r="AG141" s="546">
        <f t="shared" si="135"/>
        <v>193</v>
      </c>
      <c r="AH141" s="551">
        <f t="shared" si="127"/>
        <v>55.641010398585692</v>
      </c>
      <c r="AI141" s="553">
        <f>$AH141/PI()*SQRT('Hilfstabellen_Mat&amp;Bem'!f.Rd.3/'Hilfstabellen_Mat&amp;Bem'!$BD$30)</f>
        <v>0.88555418435624633</v>
      </c>
      <c r="AJ141" s="553">
        <f>0.5*(1+'Hilfstabellen_Mat&amp;Bem'!$BD$31*($AI141-0.3)+$AI141^2)</f>
        <v>0.92138081593324073</v>
      </c>
      <c r="AK141" s="550">
        <f t="shared" si="128"/>
        <v>0.85047443756570429</v>
      </c>
      <c r="AM141" s="551">
        <f t="shared" si="121"/>
        <v>31679.322324884921</v>
      </c>
      <c r="AQ141" s="546">
        <f t="shared" si="136"/>
        <v>193</v>
      </c>
      <c r="AR141" s="551">
        <f t="shared" si="129"/>
        <v>57.435881701765872</v>
      </c>
      <c r="AS141" s="553">
        <f>$AR141/PI()*SQRT('Hilfstabellen_Mat&amp;Bem'!f.Rd.3/'Hilfstabellen_Mat&amp;Bem'!$BD$30)</f>
        <v>0.91412044836773809</v>
      </c>
      <c r="AT141" s="553">
        <f>0.5*(1+'Hilfstabellen_Mat&amp;Bem'!$BD$31*($AS141-0.3)+$AS141^2)</f>
        <v>0.94851411948040421</v>
      </c>
      <c r="AU141" s="550">
        <f t="shared" si="130"/>
        <v>0.83220950255913273</v>
      </c>
      <c r="AW141" s="551">
        <f t="shared" si="122"/>
        <v>30998.971760825134</v>
      </c>
      <c r="AZ141" s="547">
        <f>'Hilfstabellen_Mat&amp;Bem'!$J$56</f>
        <v>3.3</v>
      </c>
      <c r="BA141" s="546">
        <f t="shared" si="137"/>
        <v>193</v>
      </c>
      <c r="BB141" s="551">
        <f t="shared" si="138"/>
        <v>59.23075300494606</v>
      </c>
      <c r="BC141" s="553">
        <f>BB141/PI()*SQRT('Hilfstabellen_Mat&amp;Bem'!f.Rd.3/'Hilfstabellen_Mat&amp;Bem'!$BD$30)</f>
        <v>0.94268671237922996</v>
      </c>
      <c r="BD141" s="553">
        <f>0.5*(1+'Hilfstabellen_Mat&amp;Bem'!$BD$31*(BC141-0.3)+BC141^2)</f>
        <v>0.976463454467142</v>
      </c>
      <c r="BE141" s="550">
        <f t="shared" si="139"/>
        <v>0.81230389470713771</v>
      </c>
      <c r="BG141" s="551">
        <f t="shared" si="140"/>
        <v>30257.507773946174</v>
      </c>
      <c r="BJ141" s="547">
        <f>'Hilfstabellen_Mat&amp;Bem'!$J$57</f>
        <v>3.4</v>
      </c>
      <c r="BK141" s="546">
        <f t="shared" si="141"/>
        <v>193</v>
      </c>
      <c r="BL141" s="551">
        <f t="shared" si="142"/>
        <v>61.02562430812624</v>
      </c>
      <c r="BM141" s="553">
        <f>BL141/PI()*SQRT('Hilfstabellen_Mat&amp;Bem'!f.Rd.3/'Hilfstabellen_Mat&amp;Bem'!$BD$30)</f>
        <v>0.97125297639072172</v>
      </c>
      <c r="BN141" s="553">
        <f>0.5*(1+'Hilfstabellen_Mat&amp;Bem'!$BD$31*(BM141-0.3)+BM141^2)</f>
        <v>1.0052288208934539</v>
      </c>
      <c r="BO141" s="550">
        <f t="shared" si="143"/>
        <v>0.7909095503070851</v>
      </c>
      <c r="BQ141" s="551">
        <f t="shared" si="144"/>
        <v>29460.589839388613</v>
      </c>
      <c r="BT141" s="547">
        <f>'Hilfstabellen_Mat&amp;Bem'!$J$58</f>
        <v>3.5</v>
      </c>
      <c r="BU141" s="546">
        <f t="shared" si="145"/>
        <v>193</v>
      </c>
      <c r="BV141" s="551">
        <f t="shared" si="146"/>
        <v>62.820495611306427</v>
      </c>
      <c r="BW141" s="553">
        <f>BV141/PI()*SQRT('Hilfstabellen_Mat&amp;Bem'!f.Rd.3/'Hilfstabellen_Mat&amp;Bem'!$BD$30)</f>
        <v>0.9998192404022137</v>
      </c>
      <c r="BX141" s="553">
        <f>0.5*(1+'Hilfstabellen_Mat&amp;Bem'!$BD$31*(BW141-0.3)+BW141^2)</f>
        <v>1.0348102187593404</v>
      </c>
      <c r="BY141" s="550">
        <f t="shared" si="147"/>
        <v>0.7682665070032062</v>
      </c>
      <c r="CA141" s="551">
        <f t="shared" si="148"/>
        <v>28617.159119362426</v>
      </c>
      <c r="CD141" s="547">
        <f>'Hilfstabellen_Mat&amp;Bem'!$J$59</f>
        <v>3.6</v>
      </c>
      <c r="CE141" s="546">
        <f t="shared" si="149"/>
        <v>193</v>
      </c>
      <c r="CF141" s="551">
        <f t="shared" si="150"/>
        <v>64.6153669144866</v>
      </c>
      <c r="CG141" s="553">
        <f>CF141/PI()*SQRT('Hilfstabellen_Mat&amp;Bem'!f.Rd.3/'Hilfstabellen_Mat&amp;Bem'!$BD$30)</f>
        <v>1.0283855044137054</v>
      </c>
      <c r="CH141" s="553">
        <f>0.5*(1+'Hilfstabellen_Mat&amp;Bem'!$BD$31*(CG141-0.3)+CG141^2)</f>
        <v>1.0652076480648009</v>
      </c>
      <c r="CI141" s="550">
        <f t="shared" si="151"/>
        <v>0.74467950703937968</v>
      </c>
      <c r="CK141" s="551">
        <f t="shared" si="152"/>
        <v>27738.566957709852</v>
      </c>
      <c r="CN141" s="547">
        <f>'Hilfstabellen_Mat&amp;Bem'!$J$60</f>
        <v>3.7</v>
      </c>
      <c r="CO141" s="546">
        <f t="shared" si="153"/>
        <v>193</v>
      </c>
      <c r="CP141" s="551">
        <f t="shared" si="154"/>
        <v>66.410238217666802</v>
      </c>
      <c r="CQ141" s="553">
        <f>CP141/PI()*SQRT('Hilfstabellen_Mat&amp;Bem'!f.Rd.3/'Hilfstabellen_Mat&amp;Bem'!$BD$30)</f>
        <v>1.0569517684251974</v>
      </c>
      <c r="CR141" s="553">
        <f>0.5*(1+'Hilfstabellen_Mat&amp;Bem'!$BD$31*(CQ141-0.3)+CQ141^2)</f>
        <v>1.0964211088098361</v>
      </c>
      <c r="CS141" s="550">
        <f t="shared" si="155"/>
        <v>0.72048427804493986</v>
      </c>
      <c r="CU141" s="551">
        <f t="shared" si="156"/>
        <v>26837.318872895965</v>
      </c>
      <c r="CX141" s="547">
        <f>'Hilfstabellen_Mat&amp;Bem'!$J$61</f>
        <v>3.8</v>
      </c>
      <c r="CY141" s="546">
        <f t="shared" si="157"/>
        <v>193</v>
      </c>
      <c r="CZ141" s="551">
        <f t="shared" si="158"/>
        <v>68.205109520846975</v>
      </c>
      <c r="DA141" s="553">
        <f>CZ141/PI()*SQRT('Hilfstabellen_Mat&amp;Bem'!f.Rd.3/'Hilfstabellen_Mat&amp;Bem'!$BD$30)</f>
        <v>1.0855180324366891</v>
      </c>
      <c r="DB141" s="553">
        <f>0.5*(1+'Hilfstabellen_Mat&amp;Bem'!$BD$31*(DA141-0.3)+DA141^2)</f>
        <v>1.1284506009944448</v>
      </c>
      <c r="DC141" s="550">
        <f t="shared" si="159"/>
        <v>0.69601308052526711</v>
      </c>
      <c r="DE141" s="551">
        <f t="shared" si="160"/>
        <v>25925.791236485675</v>
      </c>
      <c r="DH141" s="547">
        <f>'Hilfstabellen_Mat&amp;Bem'!$J$62</f>
        <v>3.9</v>
      </c>
      <c r="DI141" s="546">
        <f t="shared" si="161"/>
        <v>193</v>
      </c>
      <c r="DJ141" s="551">
        <f t="shared" si="162"/>
        <v>69.999980824027162</v>
      </c>
      <c r="DK141" s="553">
        <f>DJ141/PI()*SQRT('Hilfstabellen_Mat&amp;Bem'!f.Rd.3/'Hilfstabellen_Mat&amp;Bem'!$BD$30)</f>
        <v>1.1140842964481807</v>
      </c>
      <c r="DL141" s="553">
        <f>0.5*(1+'Hilfstabellen_Mat&amp;Bem'!$BD$31*(DK141-0.3)+DK141^2)</f>
        <v>1.161296124618628</v>
      </c>
      <c r="DM141" s="550">
        <f t="shared" si="163"/>
        <v>0.67156756176478738</v>
      </c>
      <c r="DO141" s="551">
        <f t="shared" si="164"/>
        <v>25015.220108176563</v>
      </c>
      <c r="DR141" s="547">
        <f>'Hilfstabellen_Mat&amp;Bem'!$J$63</f>
        <v>4</v>
      </c>
      <c r="DS141" s="546">
        <f t="shared" si="165"/>
        <v>193</v>
      </c>
      <c r="DT141" s="551">
        <f t="shared" si="166"/>
        <v>71.794852127207335</v>
      </c>
      <c r="DU141" s="553">
        <f>DT141/PI()*SQRT('Hilfstabellen_Mat&amp;Bem'!f.Rd.3/'Hilfstabellen_Mat&amp;Bem'!$BD$30)</f>
        <v>1.1426505604596726</v>
      </c>
      <c r="DV141" s="553">
        <f>0.5*(1+'Hilfstabellen_Mat&amp;Bem'!$BD$31*(DU141-0.3)+DU141^2)</f>
        <v>1.1949576796823855</v>
      </c>
      <c r="DW141" s="550">
        <f t="shared" si="167"/>
        <v>0.64740254186738089</v>
      </c>
      <c r="DY141" s="551">
        <f t="shared" si="168"/>
        <v>24115.097282018072</v>
      </c>
      <c r="EB141" s="547">
        <f>'Hilfstabellen_Mat&amp;Bem'!$J$64</f>
        <v>4.0999999999999996</v>
      </c>
      <c r="EC141" s="546">
        <f t="shared" si="169"/>
        <v>193</v>
      </c>
      <c r="ED141" s="551">
        <f t="shared" si="170"/>
        <v>73.589723430387536</v>
      </c>
      <c r="EE141" s="553">
        <f>ED141/PI()*SQRT('Hilfstabellen_Mat&amp;Bem'!f.Rd.3/'Hilfstabellen_Mat&amp;Bem'!$BD$30)</f>
        <v>1.1712168244711645</v>
      </c>
      <c r="EF141" s="553">
        <f>0.5*(1+'Hilfstabellen_Mat&amp;Bem'!$BD$31*(EE141-0.3)+EE141^2)</f>
        <v>1.2294352661857175</v>
      </c>
      <c r="EG141" s="550">
        <f t="shared" si="171"/>
        <v>0.62372015429321837</v>
      </c>
      <c r="EI141" s="551">
        <f t="shared" si="172"/>
        <v>23232.952027268089</v>
      </c>
      <c r="EL141" s="547">
        <f>'Hilfstabellen_Mat&amp;Bem'!$J$65</f>
        <v>4.2</v>
      </c>
      <c r="EM141" s="546">
        <f t="shared" si="173"/>
        <v>193</v>
      </c>
      <c r="EN141" s="551">
        <f t="shared" si="174"/>
        <v>75.38459473356771</v>
      </c>
      <c r="EO141" s="553">
        <f>EN141/PI()*SQRT('Hilfstabellen_Mat&amp;Bem'!f.Rd.3/'Hilfstabellen_Mat&amp;Bem'!$BD$30)</f>
        <v>1.1997830884826564</v>
      </c>
      <c r="EP141" s="553">
        <f>0.5*(1+'Hilfstabellen_Mat&amp;Bem'!$BD$31*(EO141-0.3)+EO141^2)</f>
        <v>1.2647288841286235</v>
      </c>
      <c r="EQ141" s="550">
        <f t="shared" si="175"/>
        <v>0.60067149396214381</v>
      </c>
      <c r="ES141" s="551">
        <f t="shared" si="176"/>
        <v>22374.412478595896</v>
      </c>
    </row>
    <row r="142" spans="3:149">
      <c r="C142" s="546">
        <v>194</v>
      </c>
      <c r="D142" s="551">
        <f t="shared" si="131"/>
        <v>49.997342898895425</v>
      </c>
      <c r="E142" s="553">
        <f>$D142/PI()*SQRT('Hilfstabellen_Mat&amp;Bem'!f.Rd.3/'Hilfstabellen_Mat&amp;Bem'!$BD$30)</f>
        <v>0.79573242638196795</v>
      </c>
      <c r="F142" s="553">
        <f>0.5*(1+'Hilfstabellen_Mat&amp;Bem'!$BD$31*($E142-0.3)+$E142^2)</f>
        <v>0.84138166851696539</v>
      </c>
      <c r="G142" s="550">
        <f t="shared" si="132"/>
        <v>0.89705804004490841</v>
      </c>
      <c r="I142" s="551">
        <f t="shared" si="118"/>
        <v>33761.676395130176</v>
      </c>
      <c r="M142" s="546">
        <f t="shared" si="133"/>
        <v>194</v>
      </c>
      <c r="N142" s="551">
        <f t="shared" si="123"/>
        <v>51.78296228814169</v>
      </c>
      <c r="O142" s="553">
        <f>$N142/PI()*SQRT('Hilfstabellen_Mat&amp;Bem'!f.Rd.3/'Hilfstabellen_Mat&amp;Bem'!$BD$30)</f>
        <v>0.8241514416098954</v>
      </c>
      <c r="P142" s="553">
        <f>0.5*(1+'Hilfstabellen_Mat&amp;Bem'!$BD$31*($O142-0.3)+$O142^2)</f>
        <v>0.86582037143432911</v>
      </c>
      <c r="Q142" s="550">
        <f t="shared" si="124"/>
        <v>0.88402732497713332</v>
      </c>
      <c r="S142" s="551">
        <f t="shared" si="119"/>
        <v>33271.252402839389</v>
      </c>
      <c r="W142" s="546">
        <f t="shared" si="134"/>
        <v>194</v>
      </c>
      <c r="X142" s="551">
        <f t="shared" si="125"/>
        <v>53.568581677387954</v>
      </c>
      <c r="Y142" s="553">
        <f>$X142/PI()*SQRT('Hilfstabellen_Mat&amp;Bem'!f.Rd.3/'Hilfstabellen_Mat&amp;Bem'!$BD$30)</f>
        <v>0.85257045683782273</v>
      </c>
      <c r="Z142" s="553">
        <f>0.5*(1+'Hilfstabellen_Mat&amp;Bem'!$BD$31*($Y142-0.3)+$Y142^2)</f>
        <v>0.89106671477821797</v>
      </c>
      <c r="AA142" s="550">
        <f t="shared" si="126"/>
        <v>0.86945274777940962</v>
      </c>
      <c r="AC142" s="551">
        <f t="shared" si="120"/>
        <v>32722.723615425861</v>
      </c>
      <c r="AG142" s="546">
        <f t="shared" si="135"/>
        <v>194</v>
      </c>
      <c r="AH142" s="551">
        <f t="shared" si="127"/>
        <v>55.354201066634218</v>
      </c>
      <c r="AI142" s="553">
        <f>$AH142/PI()*SQRT('Hilfstabellen_Mat&amp;Bem'!f.Rd.3/'Hilfstabellen_Mat&amp;Bem'!$BD$30)</f>
        <v>0.88098947206575018</v>
      </c>
      <c r="AJ142" s="553">
        <f>0.5*(1+'Hilfstabellen_Mat&amp;Bem'!$BD$31*($AI142-0.3)+$AI142^2)</f>
        <v>0.9171206985486321</v>
      </c>
      <c r="AK142" s="550">
        <f t="shared" si="128"/>
        <v>0.85323594061209884</v>
      </c>
      <c r="AM142" s="551">
        <f t="shared" si="121"/>
        <v>32112.387860876952</v>
      </c>
      <c r="AQ142" s="546">
        <f t="shared" si="136"/>
        <v>194</v>
      </c>
      <c r="AR142" s="551">
        <f t="shared" si="129"/>
        <v>57.139820455880482</v>
      </c>
      <c r="AS142" s="553">
        <f>$AR142/PI()*SQRT('Hilfstabellen_Mat&amp;Bem'!f.Rd.3/'Hilfstabellen_Mat&amp;Bem'!$BD$30)</f>
        <v>0.90940848729367763</v>
      </c>
      <c r="AT142" s="553">
        <f>0.5*(1+'Hilfstabellen_Mat&amp;Bem'!$BD$31*($AS142-0.3)+$AS142^2)</f>
        <v>0.94398232274557137</v>
      </c>
      <c r="AU142" s="550">
        <f t="shared" si="130"/>
        <v>0.83533794468781586</v>
      </c>
      <c r="AW142" s="551">
        <f t="shared" si="122"/>
        <v>31438.778886270637</v>
      </c>
      <c r="AZ142" s="547">
        <f>'Hilfstabellen_Mat&amp;Bem'!$J$56</f>
        <v>3.3</v>
      </c>
      <c r="BA142" s="546">
        <f t="shared" si="137"/>
        <v>194</v>
      </c>
      <c r="BB142" s="551">
        <f t="shared" si="138"/>
        <v>58.925439845126746</v>
      </c>
      <c r="BC142" s="553">
        <f>BB142/PI()*SQRT('Hilfstabellen_Mat&amp;Bem'!f.Rd.3/'Hilfstabellen_Mat&amp;Bem'!$BD$30)</f>
        <v>0.93782750252160507</v>
      </c>
      <c r="BD142" s="553">
        <f>0.5*(1+'Hilfstabellen_Mat&amp;Bem'!$BD$31*(BC142-0.3)+BC142^2)</f>
        <v>0.9716515873690359</v>
      </c>
      <c r="BE142" s="550">
        <f t="shared" si="139"/>
        <v>0.81580035714643129</v>
      </c>
      <c r="BG142" s="551">
        <f t="shared" si="140"/>
        <v>30703.462241563087</v>
      </c>
      <c r="BJ142" s="547">
        <f>'Hilfstabellen_Mat&amp;Bem'!$J$57</f>
        <v>3.4</v>
      </c>
      <c r="BK142" s="546">
        <f t="shared" si="141"/>
        <v>194</v>
      </c>
      <c r="BL142" s="551">
        <f t="shared" si="142"/>
        <v>60.711059234373018</v>
      </c>
      <c r="BM142" s="553">
        <f>BL142/PI()*SQRT('Hilfstabellen_Mat&amp;Bem'!f.Rd.3/'Hilfstabellen_Mat&amp;Bem'!$BD$30)</f>
        <v>0.96624651774953252</v>
      </c>
      <c r="BN142" s="553">
        <f>0.5*(1+'Hilfstabellen_Mat&amp;Bem'!$BD$31*(BM142-0.3)+BM142^2)</f>
        <v>1.0001284924190255</v>
      </c>
      <c r="BO142" s="550">
        <f t="shared" si="143"/>
        <v>0.79475712089605388</v>
      </c>
      <c r="BQ142" s="551">
        <f t="shared" si="144"/>
        <v>29911.479002043885</v>
      </c>
      <c r="BT142" s="547">
        <f>'Hilfstabellen_Mat&amp;Bem'!$J$58</f>
        <v>3.5</v>
      </c>
      <c r="BU142" s="546">
        <f t="shared" si="145"/>
        <v>194</v>
      </c>
      <c r="BV142" s="551">
        <f t="shared" si="146"/>
        <v>62.496678623619282</v>
      </c>
      <c r="BW142" s="553">
        <f>BV142/PI()*SQRT('Hilfstabellen_Mat&amp;Bem'!f.Rd.3/'Hilfstabellen_Mat&amp;Bem'!$BD$30)</f>
        <v>0.99466553297745985</v>
      </c>
      <c r="BX142" s="553">
        <f>0.5*(1+'Hilfstabellen_Mat&amp;Bem'!$BD$31*(BW142-0.3)+BW142^2)</f>
        <v>1.0294130378955402</v>
      </c>
      <c r="BY142" s="550">
        <f t="shared" si="147"/>
        <v>0.77243086431803809</v>
      </c>
      <c r="CA142" s="551">
        <f t="shared" si="148"/>
        <v>29071.208009473681</v>
      </c>
      <c r="CD142" s="547">
        <f>'Hilfstabellen_Mat&amp;Bem'!$J$59</f>
        <v>3.6</v>
      </c>
      <c r="CE142" s="546">
        <f t="shared" si="149"/>
        <v>194</v>
      </c>
      <c r="CF142" s="551">
        <f t="shared" si="150"/>
        <v>64.282298012865553</v>
      </c>
      <c r="CG142" s="553">
        <f>CF142/PI()*SQRT('Hilfstabellen_Mat&amp;Bem'!f.Rd.3/'Hilfstabellen_Mat&amp;Bem'!$BD$30)</f>
        <v>1.0230845482053874</v>
      </c>
      <c r="CH142" s="553">
        <f>0.5*(1+'Hilfstabellen_Mat&amp;Bem'!$BD$31*(CG142-0.3)+CG142^2)</f>
        <v>1.0595052237985803</v>
      </c>
      <c r="CI142" s="550">
        <f t="shared" si="151"/>
        <v>0.74911260788500389</v>
      </c>
      <c r="CK142" s="551">
        <f t="shared" si="152"/>
        <v>28193.602110360007</v>
      </c>
      <c r="CN142" s="547">
        <f>'Hilfstabellen_Mat&amp;Bem'!$J$60</f>
        <v>3.7</v>
      </c>
      <c r="CO142" s="546">
        <f t="shared" si="153"/>
        <v>194</v>
      </c>
      <c r="CP142" s="551">
        <f t="shared" si="154"/>
        <v>66.067917402111803</v>
      </c>
      <c r="CQ142" s="553">
        <f>CP142/PI()*SQRT('Hilfstabellen_Mat&amp;Bem'!f.Rd.3/'Hilfstabellen_Mat&amp;Bem'!$BD$30)</f>
        <v>1.0515035634333145</v>
      </c>
      <c r="CR142" s="553">
        <f>0.5*(1+'Hilfstabellen_Mat&amp;Bem'!$BD$31*(CQ142-0.3)+CQ142^2)</f>
        <v>1.090405050128145</v>
      </c>
      <c r="CS142" s="550">
        <f t="shared" si="155"/>
        <v>0.72513001808850408</v>
      </c>
      <c r="CU142" s="551">
        <f t="shared" si="156"/>
        <v>27290.993360778939</v>
      </c>
      <c r="CX142" s="547">
        <f>'Hilfstabellen_Mat&amp;Bem'!$J$61</f>
        <v>3.8</v>
      </c>
      <c r="CY142" s="546">
        <f t="shared" si="157"/>
        <v>194</v>
      </c>
      <c r="CZ142" s="551">
        <f t="shared" si="158"/>
        <v>67.853536791358081</v>
      </c>
      <c r="DA142" s="553">
        <f>CZ142/PI()*SQRT('Hilfstabellen_Mat&amp;Bem'!f.Rd.3/'Hilfstabellen_Mat&amp;Bem'!$BD$30)</f>
        <v>1.0799225786612423</v>
      </c>
      <c r="DB142" s="553">
        <f>0.5*(1+'Hilfstabellen_Mat&amp;Bem'!$BD$31*(DA142-0.3)+DA142^2)</f>
        <v>1.1221125168842356</v>
      </c>
      <c r="DC142" s="550">
        <f t="shared" si="159"/>
        <v>0.7008132601547683</v>
      </c>
      <c r="DE142" s="551">
        <f t="shared" si="160"/>
        <v>26375.807859184861</v>
      </c>
      <c r="DH142" s="547">
        <f>'Hilfstabellen_Mat&amp;Bem'!$J$62</f>
        <v>3.9</v>
      </c>
      <c r="DI142" s="546">
        <f t="shared" si="161"/>
        <v>194</v>
      </c>
      <c r="DJ142" s="551">
        <f t="shared" si="162"/>
        <v>69.639156180604346</v>
      </c>
      <c r="DK142" s="553">
        <f>DJ142/PI()*SQRT('Hilfstabellen_Mat&amp;Bem'!f.Rd.3/'Hilfstabellen_Mat&amp;Bem'!$BD$30)</f>
        <v>1.1083415938891696</v>
      </c>
      <c r="DL142" s="553">
        <f>0.5*(1+'Hilfstabellen_Mat&amp;Bem'!$BD$31*(DK142-0.3)+DK142^2)</f>
        <v>1.1546276240668512</v>
      </c>
      <c r="DM142" s="550">
        <f t="shared" si="163"/>
        <v>0.67646678191419796</v>
      </c>
      <c r="DO142" s="551">
        <f t="shared" si="164"/>
        <v>25459.503804122753</v>
      </c>
      <c r="DR142" s="547">
        <f>'Hilfstabellen_Mat&amp;Bem'!$J$63</f>
        <v>4</v>
      </c>
      <c r="DS142" s="546">
        <f t="shared" si="165"/>
        <v>194</v>
      </c>
      <c r="DT142" s="551">
        <f t="shared" si="166"/>
        <v>71.42477556985061</v>
      </c>
      <c r="DU142" s="553">
        <f>DT142/PI()*SQRT('Hilfstabellen_Mat&amp;Bem'!f.Rd.3/'Hilfstabellen_Mat&amp;Bem'!$BD$30)</f>
        <v>1.136760609117097</v>
      </c>
      <c r="DV142" s="553">
        <f>0.5*(1+'Hilfstabellen_Mat&amp;Bem'!$BD$31*(DU142-0.3)+DU142^2)</f>
        <v>1.1879503716759916</v>
      </c>
      <c r="DW142" s="550">
        <f t="shared" si="167"/>
        <v>0.65235139306346535</v>
      </c>
      <c r="DY142" s="551">
        <f t="shared" si="168"/>
        <v>24551.897029336582</v>
      </c>
      <c r="EB142" s="547">
        <f>'Hilfstabellen_Mat&amp;Bem'!$J$64</f>
        <v>4.0999999999999996</v>
      </c>
      <c r="EC142" s="546">
        <f t="shared" si="169"/>
        <v>194</v>
      </c>
      <c r="ED142" s="551">
        <f t="shared" si="170"/>
        <v>73.210394959096874</v>
      </c>
      <c r="EE142" s="553">
        <f>ED142/PI()*SQRT('Hilfstabellen_Mat&amp;Bem'!f.Rd.3/'Hilfstabellen_Mat&amp;Bem'!$BD$30)</f>
        <v>1.1651796243450245</v>
      </c>
      <c r="EF142" s="553">
        <f>0.5*(1+'Hilfstabellen_Mat&amp;Bem'!$BD$31*(EE142-0.3)+EE142^2)</f>
        <v>1.2220807597116576</v>
      </c>
      <c r="EG142" s="550">
        <f t="shared" si="171"/>
        <v>0.62867673937688928</v>
      </c>
      <c r="EI142" s="551">
        <f t="shared" si="172"/>
        <v>23660.877763188604</v>
      </c>
      <c r="EL142" s="547">
        <f>'Hilfstabellen_Mat&amp;Bem'!$J$65</f>
        <v>4.2</v>
      </c>
      <c r="EM142" s="546">
        <f t="shared" si="173"/>
        <v>194</v>
      </c>
      <c r="EN142" s="551">
        <f t="shared" si="174"/>
        <v>74.996014348343138</v>
      </c>
      <c r="EO142" s="553">
        <f>EN142/PI()*SQRT('Hilfstabellen_Mat&amp;Bem'!f.Rd.3/'Hilfstabellen_Mat&amp;Bem'!$BD$30)</f>
        <v>1.1935986395729519</v>
      </c>
      <c r="EP142" s="553">
        <f>0.5*(1+'Hilfstabellen_Mat&amp;Bem'!$BD$31*(EO142-0.3)+EO142^2)</f>
        <v>1.2570187881738484</v>
      </c>
      <c r="EQ142" s="550">
        <f t="shared" si="175"/>
        <v>0.60560168979449758</v>
      </c>
      <c r="ES142" s="551">
        <f t="shared" si="176"/>
        <v>22792.425197105709</v>
      </c>
    </row>
    <row r="143" spans="3:149">
      <c r="C143" s="546">
        <v>195</v>
      </c>
      <c r="D143" s="551">
        <f t="shared" si="131"/>
        <v>49.740946268644677</v>
      </c>
      <c r="E143" s="553">
        <f>$D143/PI()*SQRT('Hilfstabellen_Mat&amp;Bem'!f.Rd.3/'Hilfstabellen_Mat&amp;Bem'!$BD$30)</f>
        <v>0.7916517472723168</v>
      </c>
      <c r="F143" s="553">
        <f>0.5*(1+'Hilfstabellen_Mat&amp;Bem'!$BD$31*($E143-0.3)+$E143^2)</f>
        <v>0.83793883184327189</v>
      </c>
      <c r="G143" s="550">
        <f t="shared" si="132"/>
        <v>0.89880996813166547</v>
      </c>
      <c r="I143" s="551">
        <f t="shared" si="118"/>
        <v>34177.249038206581</v>
      </c>
      <c r="M143" s="546">
        <f t="shared" si="133"/>
        <v>195</v>
      </c>
      <c r="N143" s="551">
        <f t="shared" si="123"/>
        <v>51.51740863538199</v>
      </c>
      <c r="O143" s="553">
        <f>$N143/PI()*SQRT('Hilfstabellen_Mat&amp;Bem'!f.Rd.3/'Hilfstabellen_Mat&amp;Bem'!$BD$30)</f>
        <v>0.81992502396061395</v>
      </c>
      <c r="P143" s="553">
        <f>0.5*(1+'Hilfstabellen_Mat&amp;Bem'!$BD$31*($O143-0.3)+$O143^2)</f>
        <v>0.86213477365643743</v>
      </c>
      <c r="Q143" s="550">
        <f t="shared" si="124"/>
        <v>0.88605999057087159</v>
      </c>
      <c r="S143" s="551">
        <f t="shared" si="119"/>
        <v>33692.431141457389</v>
      </c>
      <c r="W143" s="546">
        <f t="shared" si="134"/>
        <v>195</v>
      </c>
      <c r="X143" s="551">
        <f t="shared" si="125"/>
        <v>53.293871002119303</v>
      </c>
      <c r="Y143" s="553">
        <f>$X143/PI()*SQRT('Hilfstabellen_Mat&amp;Bem'!f.Rd.3/'Hilfstabellen_Mat&amp;Bem'!$BD$30)</f>
        <v>0.848198300648911</v>
      </c>
      <c r="Z143" s="553">
        <f>0.5*(1+'Hilfstabellen_Mat&amp;Bem'!$BD$31*($Y143-0.3)+$Y143^2)</f>
        <v>0.88713009364429585</v>
      </c>
      <c r="AA143" s="550">
        <f t="shared" si="126"/>
        <v>0.871799987092294</v>
      </c>
      <c r="AC143" s="551">
        <f t="shared" si="120"/>
        <v>33150.194509184483</v>
      </c>
      <c r="AG143" s="546">
        <f t="shared" si="135"/>
        <v>195</v>
      </c>
      <c r="AH143" s="551">
        <f t="shared" si="127"/>
        <v>55.070333368856609</v>
      </c>
      <c r="AI143" s="553">
        <f>$AH143/PI()*SQRT('Hilfstabellen_Mat&amp;Bem'!f.Rd.3/'Hilfstabellen_Mat&amp;Bem'!$BD$30)</f>
        <v>0.87647157733720782</v>
      </c>
      <c r="AJ143" s="553">
        <f>0.5*(1+'Hilfstabellen_Mat&amp;Bem'!$BD$31*($AI143-0.3)+$AI143^2)</f>
        <v>0.91292479180684694</v>
      </c>
      <c r="AK143" s="550">
        <f t="shared" si="128"/>
        <v>0.855926243154012</v>
      </c>
      <c r="AM143" s="551">
        <f t="shared" si="121"/>
        <v>32546.595395931305</v>
      </c>
      <c r="AQ143" s="546">
        <f t="shared" si="136"/>
        <v>195</v>
      </c>
      <c r="AR143" s="551">
        <f t="shared" si="129"/>
        <v>56.846795735593915</v>
      </c>
      <c r="AS143" s="553">
        <f>$AR143/PI()*SQRT('Hilfstabellen_Mat&amp;Bem'!f.Rd.3/'Hilfstabellen_Mat&amp;Bem'!$BD$30)</f>
        <v>0.90474485402550497</v>
      </c>
      <c r="AT143" s="553">
        <f>0.5*(1+'Hilfstabellen_Mat&amp;Bem'!$BD$31*($AS143-0.3)+$AS143^2)</f>
        <v>0.93951886814409136</v>
      </c>
      <c r="AU143" s="550">
        <f t="shared" si="130"/>
        <v>0.83838971176989641</v>
      </c>
      <c r="AW143" s="551">
        <f t="shared" si="122"/>
        <v>31879.768790050312</v>
      </c>
      <c r="AZ143" s="547">
        <f>'Hilfstabellen_Mat&amp;Bem'!$J$56</f>
        <v>3.3</v>
      </c>
      <c r="BA143" s="546">
        <f t="shared" si="137"/>
        <v>195</v>
      </c>
      <c r="BB143" s="551">
        <f t="shared" si="138"/>
        <v>58.623258102331228</v>
      </c>
      <c r="BC143" s="553">
        <f>BB143/PI()*SQRT('Hilfstabellen_Mat&amp;Bem'!f.Rd.3/'Hilfstabellen_Mat&amp;Bem'!$BD$30)</f>
        <v>0.93301813071380202</v>
      </c>
      <c r="BD143" s="553">
        <f>0.5*(1+'Hilfstabellen_Mat&amp;Bem'!$BD$31*(BC143-0.3)+BC143^2)</f>
        <v>0.96691232265602878</v>
      </c>
      <c r="BE143" s="550">
        <f t="shared" si="139"/>
        <v>0.819217405628484</v>
      </c>
      <c r="BG143" s="551">
        <f t="shared" si="140"/>
        <v>31150.741849023103</v>
      </c>
      <c r="BJ143" s="547">
        <f>'Hilfstabellen_Mat&amp;Bem'!$J$57</f>
        <v>3.4</v>
      </c>
      <c r="BK143" s="546">
        <f t="shared" si="141"/>
        <v>195</v>
      </c>
      <c r="BL143" s="551">
        <f t="shared" si="142"/>
        <v>60.399720469068534</v>
      </c>
      <c r="BM143" s="553">
        <f>BL143/PI()*SQRT('Hilfstabellen_Mat&amp;Bem'!f.Rd.3/'Hilfstabellen_Mat&amp;Bem'!$BD$30)</f>
        <v>0.96129140740209884</v>
      </c>
      <c r="BN143" s="553">
        <f>0.5*(1+'Hilfstabellen_Mat&amp;Bem'!$BD$31*(BM143-0.3)+BM143^2)</f>
        <v>0.99510515534265886</v>
      </c>
      <c r="BO143" s="550">
        <f t="shared" si="143"/>
        <v>0.79852585403001941</v>
      </c>
      <c r="BQ143" s="551">
        <f t="shared" si="144"/>
        <v>30363.94559949149</v>
      </c>
      <c r="BT143" s="547">
        <f>'Hilfstabellen_Mat&amp;Bem'!$J$58</f>
        <v>3.5</v>
      </c>
      <c r="BU143" s="546">
        <f t="shared" si="145"/>
        <v>195</v>
      </c>
      <c r="BV143" s="551">
        <f t="shared" si="146"/>
        <v>62.176182835805847</v>
      </c>
      <c r="BW143" s="553">
        <f>BV143/PI()*SQRT('Hilfstabellen_Mat&amp;Bem'!f.Rd.3/'Hilfstabellen_Mat&amp;Bem'!$BD$30)</f>
        <v>0.989564684090396</v>
      </c>
      <c r="BX143" s="553">
        <f>0.5*(1+'Hilfstabellen_Mat&amp;Bem'!$BD$31*(BW143-0.3)+BW143^2)</f>
        <v>1.0240973662039825</v>
      </c>
      <c r="BY143" s="550">
        <f t="shared" si="147"/>
        <v>0.77652029671503187</v>
      </c>
      <c r="CA143" s="551">
        <f t="shared" si="148"/>
        <v>29527.184282589085</v>
      </c>
      <c r="CD143" s="547">
        <f>'Hilfstabellen_Mat&amp;Bem'!$J$59</f>
        <v>3.6</v>
      </c>
      <c r="CE143" s="546">
        <f t="shared" si="149"/>
        <v>195</v>
      </c>
      <c r="CF143" s="551">
        <f t="shared" si="150"/>
        <v>63.952645202543152</v>
      </c>
      <c r="CG143" s="553">
        <f>CF143/PI()*SQRT('Hilfstabellen_Mat&amp;Bem'!f.Rd.3/'Hilfstabellen_Mat&amp;Bem'!$BD$30)</f>
        <v>1.0178379607786929</v>
      </c>
      <c r="CH143" s="553">
        <f>0.5*(1+'Hilfstabellen_Mat&amp;Bem'!$BD$31*(CG143-0.3)+CG143^2)</f>
        <v>1.0538889552399988</v>
      </c>
      <c r="CI143" s="550">
        <f t="shared" si="151"/>
        <v>0.75347748424764449</v>
      </c>
      <c r="CK143" s="551">
        <f t="shared" si="152"/>
        <v>28650.981338516682</v>
      </c>
      <c r="CN143" s="547">
        <f>'Hilfstabellen_Mat&amp;Bem'!$J$60</f>
        <v>3.7</v>
      </c>
      <c r="CO143" s="546">
        <f t="shared" si="153"/>
        <v>195</v>
      </c>
      <c r="CP143" s="551">
        <f t="shared" si="154"/>
        <v>65.729107569280472</v>
      </c>
      <c r="CQ143" s="553">
        <f>CP143/PI()*SQRT('Hilfstabellen_Mat&amp;Bem'!f.Rd.3/'Hilfstabellen_Mat&amp;Bem'!$BD$30)</f>
        <v>1.0461112374669901</v>
      </c>
      <c r="CR143" s="553">
        <f>0.5*(1+'Hilfstabellen_Mat&amp;Bem'!$BD$31*(CQ143-0.3)+CQ143^2)</f>
        <v>1.0844799224507082</v>
      </c>
      <c r="CS143" s="550">
        <f t="shared" si="155"/>
        <v>0.7297161028856346</v>
      </c>
      <c r="CU143" s="551">
        <f t="shared" si="156"/>
        <v>27747.454812226257</v>
      </c>
      <c r="CX143" s="547">
        <f>'Hilfstabellen_Mat&amp;Bem'!$J$61</f>
        <v>3.8</v>
      </c>
      <c r="CY143" s="546">
        <f t="shared" si="157"/>
        <v>195</v>
      </c>
      <c r="CZ143" s="551">
        <f t="shared" si="158"/>
        <v>67.505569936017778</v>
      </c>
      <c r="DA143" s="553">
        <f>CZ143/PI()*SQRT('Hilfstabellen_Mat&amp;Bem'!f.Rd.3/'Hilfstabellen_Mat&amp;Bem'!$BD$30)</f>
        <v>1.0743845141552872</v>
      </c>
      <c r="DB143" s="553">
        <f>0.5*(1+'Hilfstabellen_Mat&amp;Bem'!$BD$31*(DA143-0.3)+DA143^2)</f>
        <v>1.1158702678361108</v>
      </c>
      <c r="DC143" s="550">
        <f t="shared" si="159"/>
        <v>0.70556321788727805</v>
      </c>
      <c r="DE143" s="551">
        <f t="shared" si="160"/>
        <v>26829.041360163748</v>
      </c>
      <c r="DH143" s="547">
        <f>'Hilfstabellen_Mat&amp;Bem'!$J$62</f>
        <v>3.9</v>
      </c>
      <c r="DI143" s="546">
        <f t="shared" si="161"/>
        <v>195</v>
      </c>
      <c r="DJ143" s="551">
        <f t="shared" si="162"/>
        <v>69.282032302755084</v>
      </c>
      <c r="DK143" s="553">
        <f>DJ143/PI()*SQRT('Hilfstabellen_Mat&amp;Bem'!f.Rd.3/'Hilfstabellen_Mat&amp;Bem'!$BD$30)</f>
        <v>1.102657790843584</v>
      </c>
      <c r="DL143" s="553">
        <f>0.5*(1+'Hilfstabellen_Mat&amp;Bem'!$BD$31*(DK143-0.3)+DK143^2)</f>
        <v>1.1480599913962055</v>
      </c>
      <c r="DM143" s="550">
        <f t="shared" si="163"/>
        <v>0.68132521956793579</v>
      </c>
      <c r="DO143" s="551">
        <f t="shared" si="164"/>
        <v>25907.391474070759</v>
      </c>
      <c r="DR143" s="547">
        <f>'Hilfstabellen_Mat&amp;Bem'!$J$63</f>
        <v>4</v>
      </c>
      <c r="DS143" s="546">
        <f t="shared" si="165"/>
        <v>195</v>
      </c>
      <c r="DT143" s="551">
        <f t="shared" si="166"/>
        <v>71.058494669492404</v>
      </c>
      <c r="DU143" s="553">
        <f>DT143/PI()*SQRT('Hilfstabellen_Mat&amp;Bem'!f.Rd.3/'Hilfstabellen_Mat&amp;Bem'!$BD$30)</f>
        <v>1.1309310675318813</v>
      </c>
      <c r="DV143" s="553">
        <f>0.5*(1+'Hilfstabellen_Mat&amp;Bem'!$BD$31*(DU143-0.3)+DU143^2)</f>
        <v>1.1810490931309945</v>
      </c>
      <c r="DW143" s="550">
        <f t="shared" si="167"/>
        <v>0.6572683068992371</v>
      </c>
      <c r="DY143" s="551">
        <f t="shared" si="168"/>
        <v>24992.627369843489</v>
      </c>
      <c r="EB143" s="547">
        <f>'Hilfstabellen_Mat&amp;Bem'!$J$64</f>
        <v>4.0999999999999996</v>
      </c>
      <c r="EC143" s="546">
        <f t="shared" si="169"/>
        <v>195</v>
      </c>
      <c r="ED143" s="551">
        <f t="shared" si="170"/>
        <v>72.83495703622971</v>
      </c>
      <c r="EE143" s="553">
        <f>ED143/PI()*SQRT('Hilfstabellen_Mat&amp;Bem'!f.Rd.3/'Hilfstabellen_Mat&amp;Bem'!$BD$30)</f>
        <v>1.1592043442201783</v>
      </c>
      <c r="EF143" s="553">
        <f>0.5*(1+'Hilfstabellen_Mat&amp;Bem'!$BD$31*(EE143-0.3)+EE143^2)</f>
        <v>1.2148375730404757</v>
      </c>
      <c r="EG143" s="550">
        <f t="shared" si="171"/>
        <v>0.63360929885336825</v>
      </c>
      <c r="EI143" s="551">
        <f t="shared" si="172"/>
        <v>24092.993588899328</v>
      </c>
      <c r="EL143" s="547">
        <f>'Hilfstabellen_Mat&amp;Bem'!$J$65</f>
        <v>4.2</v>
      </c>
      <c r="EM143" s="546">
        <f t="shared" si="173"/>
        <v>195</v>
      </c>
      <c r="EN143" s="551">
        <f t="shared" si="174"/>
        <v>74.61141940296703</v>
      </c>
      <c r="EO143" s="553">
        <f>EN143/PI()*SQRT('Hilfstabellen_Mat&amp;Bem'!f.Rd.3/'Hilfstabellen_Mat&amp;Bem'!$BD$30)</f>
        <v>1.1874776209084754</v>
      </c>
      <c r="EP143" s="553">
        <f>0.5*(1+'Hilfstabellen_Mat&amp;Bem'!$BD$31*(EO143-0.3)+EO143^2)</f>
        <v>1.2494254311246502</v>
      </c>
      <c r="EQ143" s="550">
        <f t="shared" si="175"/>
        <v>0.61051470552995557</v>
      </c>
      <c r="ES143" s="551">
        <f t="shared" si="176"/>
        <v>23214.821677776559</v>
      </c>
    </row>
    <row r="144" spans="3:149">
      <c r="C144" s="546">
        <v>196</v>
      </c>
      <c r="D144" s="551">
        <f t="shared" si="131"/>
        <v>49.487165930539348</v>
      </c>
      <c r="E144" s="553">
        <f>$D144/PI()*SQRT('Hilfstabellen_Mat&amp;Bem'!f.Rd.3/'Hilfstabellen_Mat&amp;Bem'!$BD$30)</f>
        <v>0.78761270774541725</v>
      </c>
      <c r="F144" s="553">
        <f>0.5*(1+'Hilfstabellen_Mat&amp;Bem'!$BD$31*($E144-0.3)+$E144^2)</f>
        <v>0.8345475240883049</v>
      </c>
      <c r="G144" s="550">
        <f t="shared" si="132"/>
        <v>0.90051580877540705</v>
      </c>
      <c r="I144" s="551">
        <f t="shared" si="118"/>
        <v>34594.215309916035</v>
      </c>
      <c r="M144" s="546">
        <f t="shared" si="133"/>
        <v>196</v>
      </c>
      <c r="N144" s="551">
        <f t="shared" si="123"/>
        <v>51.254564713772901</v>
      </c>
      <c r="O144" s="553">
        <f>$N144/PI()*SQRT('Hilfstabellen_Mat&amp;Bem'!f.Rd.3/'Hilfstabellen_Mat&amp;Bem'!$BD$30)</f>
        <v>0.81574173302203945</v>
      </c>
      <c r="P144" s="553">
        <f>0.5*(1+'Hilfstabellen_Mat&amp;Bem'!$BD$31*($O144-0.3)+$O144^2)</f>
        <v>0.85850437414800207</v>
      </c>
      <c r="Q144" s="550">
        <f t="shared" si="124"/>
        <v>0.88803862878941353</v>
      </c>
      <c r="S144" s="551">
        <f t="shared" si="119"/>
        <v>34114.891963574111</v>
      </c>
      <c r="W144" s="546">
        <f t="shared" si="134"/>
        <v>196</v>
      </c>
      <c r="X144" s="551">
        <f t="shared" si="125"/>
        <v>53.021963497006446</v>
      </c>
      <c r="Y144" s="553">
        <f>$X144/PI()*SQRT('Hilfstabellen_Mat&amp;Bem'!f.Rd.3/'Hilfstabellen_Mat&amp;Bem'!$BD$30)</f>
        <v>0.84387075829866132</v>
      </c>
      <c r="Z144" s="553">
        <f>0.5*(1+'Hilfstabellen_Mat&amp;Bem'!$BD$31*($Y144-0.3)+$Y144^2)</f>
        <v>0.88325246627071197</v>
      </c>
      <c r="AA144" s="550">
        <f t="shared" si="126"/>
        <v>0.87408516788504032</v>
      </c>
      <c r="AC144" s="551">
        <f t="shared" si="120"/>
        <v>33578.855809471708</v>
      </c>
      <c r="AG144" s="546">
        <f t="shared" si="135"/>
        <v>196</v>
      </c>
      <c r="AH144" s="551">
        <f t="shared" si="127"/>
        <v>54.789362280239992</v>
      </c>
      <c r="AI144" s="553">
        <f>$AH144/PI()*SQRT('Hilfstabellen_Mat&amp;Bem'!f.Rd.3/'Hilfstabellen_Mat&amp;Bem'!$BD$30)</f>
        <v>0.8719997835752834</v>
      </c>
      <c r="AJ144" s="553">
        <f>0.5*(1+'Hilfstabellen_Mat&amp;Bem'!$BD$31*($AI144-0.3)+$AI144^2)</f>
        <v>0.90879180045643471</v>
      </c>
      <c r="AK144" s="550">
        <f t="shared" si="128"/>
        <v>0.85854712584370818</v>
      </c>
      <c r="AM144" s="551">
        <f t="shared" si="121"/>
        <v>32981.946386411895</v>
      </c>
      <c r="AQ144" s="546">
        <f t="shared" si="136"/>
        <v>196</v>
      </c>
      <c r="AR144" s="551">
        <f t="shared" si="129"/>
        <v>56.556761063473544</v>
      </c>
      <c r="AS144" s="553">
        <f>$AR144/PI()*SQRT('Hilfstabellen_Mat&amp;Bem'!f.Rd.3/'Hilfstabellen_Mat&amp;Bem'!$BD$30)</f>
        <v>0.90012880885190549</v>
      </c>
      <c r="AT144" s="553">
        <f>0.5*(1+'Hilfstabellen_Mat&amp;Bem'!$BD$31*($AS144-0.3)+$AS144^2)</f>
        <v>0.9351223767051704</v>
      </c>
      <c r="AU144" s="550">
        <f t="shared" si="130"/>
        <v>0.84136631337721324</v>
      </c>
      <c r="AW144" s="551">
        <f t="shared" si="122"/>
        <v>32321.928294699024</v>
      </c>
      <c r="AZ144" s="547">
        <f>'Hilfstabellen_Mat&amp;Bem'!$J$56</f>
        <v>3.3</v>
      </c>
      <c r="BA144" s="546">
        <f t="shared" si="137"/>
        <v>196</v>
      </c>
      <c r="BB144" s="551">
        <f t="shared" si="138"/>
        <v>58.324159846707097</v>
      </c>
      <c r="BC144" s="553">
        <f>BB144/PI()*SQRT('Hilfstabellen_Mat&amp;Bem'!f.Rd.3/'Hilfstabellen_Mat&amp;Bem'!$BD$30)</f>
        <v>0.92825783412852747</v>
      </c>
      <c r="BD144" s="553">
        <f>0.5*(1+'Hilfstabellen_Mat&amp;Bem'!$BD$31*(BC144-0.3)+BC144^2)</f>
        <v>0.96224419501691871</v>
      </c>
      <c r="BE144" s="550">
        <f t="shared" si="139"/>
        <v>0.82255609010473607</v>
      </c>
      <c r="BG144" s="551">
        <f t="shared" si="140"/>
        <v>31599.31475746354</v>
      </c>
      <c r="BJ144" s="547">
        <f>'Hilfstabellen_Mat&amp;Bem'!$J$57</f>
        <v>3.4</v>
      </c>
      <c r="BK144" s="546">
        <f t="shared" si="141"/>
        <v>196</v>
      </c>
      <c r="BL144" s="551">
        <f t="shared" si="142"/>
        <v>60.091558629940636</v>
      </c>
      <c r="BM144" s="553">
        <f>BL144/PI()*SQRT('Hilfstabellen_Mat&amp;Bem'!f.Rd.3/'Hilfstabellen_Mat&amp;Bem'!$BD$30)</f>
        <v>0.95638685940514945</v>
      </c>
      <c r="BN144" s="553">
        <f>0.5*(1+'Hilfstabellen_Mat&amp;Bem'!$BD$31*(BM144-0.3)+BM144^2)</f>
        <v>0.99015725539167998</v>
      </c>
      <c r="BO144" s="550">
        <f t="shared" si="143"/>
        <v>0.80221621174754509</v>
      </c>
      <c r="BQ144" s="551">
        <f t="shared" si="144"/>
        <v>30817.937990493694</v>
      </c>
      <c r="BT144" s="547">
        <f>'Hilfstabellen_Mat&amp;Bem'!$J$58</f>
        <v>3.5</v>
      </c>
      <c r="BU144" s="546">
        <f t="shared" si="145"/>
        <v>196</v>
      </c>
      <c r="BV144" s="551">
        <f t="shared" si="146"/>
        <v>61.858957413174188</v>
      </c>
      <c r="BW144" s="553">
        <f>BV144/PI()*SQRT('Hilfstabellen_Mat&amp;Bem'!f.Rd.3/'Hilfstabellen_Mat&amp;Bem'!$BD$30)</f>
        <v>0.98451588468177165</v>
      </c>
      <c r="BX144" s="553">
        <f>0.5*(1+'Hilfstabellen_Mat&amp;Bem'!$BD$31*(BW144-0.3)+BW144^2)</f>
        <v>1.0188615578294544</v>
      </c>
      <c r="BY144" s="550">
        <f t="shared" si="147"/>
        <v>0.78053465024077107</v>
      </c>
      <c r="CA144" s="551">
        <f t="shared" si="148"/>
        <v>29985.019123649461</v>
      </c>
      <c r="CD144" s="547">
        <f>'Hilfstabellen_Mat&amp;Bem'!$J$59</f>
        <v>3.6</v>
      </c>
      <c r="CE144" s="546">
        <f t="shared" si="149"/>
        <v>196</v>
      </c>
      <c r="CF144" s="551">
        <f t="shared" si="150"/>
        <v>63.626356196407741</v>
      </c>
      <c r="CG144" s="553">
        <f>CF144/PI()*SQRT('Hilfstabellen_Mat&amp;Bem'!f.Rd.3/'Hilfstabellen_Mat&amp;Bem'!$BD$30)</f>
        <v>1.0126449099583936</v>
      </c>
      <c r="CH144" s="553">
        <f>0.5*(1+'Hilfstabellen_Mat&amp;Bem'!$BD$31*(CG144-0.3)+CG144^2)</f>
        <v>1.0483571023302414</v>
      </c>
      <c r="CI144" s="550">
        <f t="shared" si="151"/>
        <v>0.75777344057213936</v>
      </c>
      <c r="CK144" s="551">
        <f t="shared" si="152"/>
        <v>29110.624493019306</v>
      </c>
      <c r="CN144" s="547">
        <f>'Hilfstabellen_Mat&amp;Bem'!$J$60</f>
        <v>3.7</v>
      </c>
      <c r="CO144" s="546">
        <f t="shared" si="153"/>
        <v>196</v>
      </c>
      <c r="CP144" s="551">
        <f t="shared" si="154"/>
        <v>65.393754979641287</v>
      </c>
      <c r="CQ144" s="553">
        <f>CP144/PI()*SQRT('Hilfstabellen_Mat&amp;Bem'!f.Rd.3/'Hilfstabellen_Mat&amp;Bem'!$BD$30)</f>
        <v>1.0407739352350158</v>
      </c>
      <c r="CR144" s="553">
        <f>0.5*(1+'Hilfstabellen_Mat&amp;Bem'!$BD$31*(CQ144-0.3)+CQ144^2)</f>
        <v>1.0786438888940411</v>
      </c>
      <c r="CS144" s="550">
        <f t="shared" si="155"/>
        <v>0.73424143818903542</v>
      </c>
      <c r="CU144" s="551">
        <f t="shared" si="156"/>
        <v>28206.619089469983</v>
      </c>
      <c r="CX144" s="547">
        <f>'Hilfstabellen_Mat&amp;Bem'!$J$61</f>
        <v>3.8</v>
      </c>
      <c r="CY144" s="546">
        <f t="shared" si="157"/>
        <v>196</v>
      </c>
      <c r="CZ144" s="551">
        <f t="shared" si="158"/>
        <v>67.161153762874832</v>
      </c>
      <c r="DA144" s="553">
        <f>CZ144/PI()*SQRT('Hilfstabellen_Mat&amp;Bem'!f.Rd.3/'Hilfstabellen_Mat&amp;Bem'!$BD$30)</f>
        <v>1.0689029605116376</v>
      </c>
      <c r="DB144" s="553">
        <f>0.5*(1+'Hilfstabellen_Mat&amp;Bem'!$BD$31*(DA144-0.3)+DA144^2)</f>
        <v>1.1097219175208535</v>
      </c>
      <c r="DC144" s="550">
        <f t="shared" si="159"/>
        <v>0.71026162423905781</v>
      </c>
      <c r="DE144" s="551">
        <f t="shared" si="160"/>
        <v>27285.410556767645</v>
      </c>
      <c r="DH144" s="547">
        <f>'Hilfstabellen_Mat&amp;Bem'!$J$62</f>
        <v>3.9</v>
      </c>
      <c r="DI144" s="546">
        <f t="shared" si="161"/>
        <v>196</v>
      </c>
      <c r="DJ144" s="551">
        <f t="shared" si="162"/>
        <v>68.928552546108378</v>
      </c>
      <c r="DK144" s="553">
        <f>DJ144/PI()*SQRT('Hilfstabellen_Mat&amp;Bem'!f.Rd.3/'Hilfstabellen_Mat&amp;Bem'!$BD$30)</f>
        <v>1.0970319857882598</v>
      </c>
      <c r="DL144" s="553">
        <f>0.5*(1+'Hilfstabellen_Mat&amp;Bem'!$BD$31*(DK144-0.3)+DK144^2)</f>
        <v>1.1415911882106793</v>
      </c>
      <c r="DM144" s="550">
        <f t="shared" si="163"/>
        <v>0.68614145532728632</v>
      </c>
      <c r="DO144" s="551">
        <f t="shared" si="164"/>
        <v>26358.81014785303</v>
      </c>
      <c r="DR144" s="547">
        <f>'Hilfstabellen_Mat&amp;Bem'!$J$63</f>
        <v>4</v>
      </c>
      <c r="DS144" s="546">
        <f t="shared" si="165"/>
        <v>196</v>
      </c>
      <c r="DT144" s="551">
        <f t="shared" si="166"/>
        <v>70.695951329341923</v>
      </c>
      <c r="DU144" s="553">
        <f>DT144/PI()*SQRT('Hilfstabellen_Mat&amp;Bem'!f.Rd.3/'Hilfstabellen_Mat&amp;Bem'!$BD$30)</f>
        <v>1.1251610110648818</v>
      </c>
      <c r="DV144" s="553">
        <f>0.5*(1+'Hilfstabellen_Mat&amp;Bem'!$BD$31*(DU144-0.3)+DU144^2)</f>
        <v>1.1742517009635174</v>
      </c>
      <c r="DW144" s="550">
        <f t="shared" si="167"/>
        <v>0.66215188202972464</v>
      </c>
      <c r="DY144" s="551">
        <f t="shared" si="168"/>
        <v>25437.226700053903</v>
      </c>
      <c r="EB144" s="547">
        <f>'Hilfstabellen_Mat&amp;Bem'!$J$64</f>
        <v>4.0999999999999996</v>
      </c>
      <c r="EC144" s="546">
        <f t="shared" si="169"/>
        <v>196</v>
      </c>
      <c r="ED144" s="551">
        <f t="shared" si="170"/>
        <v>72.463350112575483</v>
      </c>
      <c r="EE144" s="553">
        <f>ED144/PI()*SQRT('Hilfstabellen_Mat&amp;Bem'!f.Rd.3/'Hilfstabellen_Mat&amp;Bem'!$BD$30)</f>
        <v>1.153290036341504</v>
      </c>
      <c r="EF144" s="553">
        <f>0.5*(1+'Hilfstabellen_Mat&amp;Bem'!$BD$31*(EE144-0.3)+EE144^2)</f>
        <v>1.2077034557793689</v>
      </c>
      <c r="EG144" s="550">
        <f t="shared" si="171"/>
        <v>0.6385165177196126</v>
      </c>
      <c r="EI144" s="551">
        <f t="shared" si="172"/>
        <v>24529.250544716637</v>
      </c>
      <c r="EL144" s="547">
        <f>'Hilfstabellen_Mat&amp;Bem'!$J$65</f>
        <v>4.2</v>
      </c>
      <c r="EM144" s="546">
        <f t="shared" si="173"/>
        <v>196</v>
      </c>
      <c r="EN144" s="551">
        <f t="shared" si="174"/>
        <v>74.230748895809015</v>
      </c>
      <c r="EO144" s="553">
        <f>EN144/PI()*SQRT('Hilfstabellen_Mat&amp;Bem'!f.Rd.3/'Hilfstabellen_Mat&amp;Bem'!$BD$30)</f>
        <v>1.1814190616181257</v>
      </c>
      <c r="EP144" s="553">
        <f>0.5*(1+'Hilfstabellen_Mat&amp;Bem'!$BD$31*(EO144-0.3)+EO144^2)</f>
        <v>1.2419464526582327</v>
      </c>
      <c r="EQ144" s="550">
        <f t="shared" si="175"/>
        <v>0.61540934808505643</v>
      </c>
      <c r="ES144" s="551">
        <f t="shared" si="176"/>
        <v>23641.565516035527</v>
      </c>
    </row>
    <row r="145" spans="3:149">
      <c r="C145" s="546">
        <v>197</v>
      </c>
      <c r="D145" s="551">
        <f t="shared" si="131"/>
        <v>49.235962042567067</v>
      </c>
      <c r="E145" s="553">
        <f>$D145/PI()*SQRT('Hilfstabellen_Mat&amp;Bem'!f.Rd.3/'Hilfstabellen_Mat&amp;Bem'!$BD$30)</f>
        <v>0.78361467369594806</v>
      </c>
      <c r="F145" s="553">
        <f>0.5*(1+'Hilfstabellen_Mat&amp;Bem'!$BD$31*($E145-0.3)+$E145^2)</f>
        <v>0.83120671210060104</v>
      </c>
      <c r="G145" s="550">
        <f t="shared" si="132"/>
        <v>0.90217711438497561</v>
      </c>
      <c r="I145" s="551">
        <f t="shared" si="118"/>
        <v>35012.591632166521</v>
      </c>
      <c r="M145" s="546">
        <f t="shared" si="133"/>
        <v>197</v>
      </c>
      <c r="N145" s="551">
        <f t="shared" si="123"/>
        <v>50.994389258373033</v>
      </c>
      <c r="O145" s="553">
        <f>$N145/PI()*SQRT('Hilfstabellen_Mat&amp;Bem'!f.Rd.3/'Hilfstabellen_Mat&amp;Bem'!$BD$30)</f>
        <v>0.81160091204223195</v>
      </c>
      <c r="P145" s="553">
        <f>0.5*(1+'Hilfstabellen_Mat&amp;Bem'!$BD$31*($O145-0.3)+$O145^2)</f>
        <v>0.854928065816003</v>
      </c>
      <c r="Q145" s="550">
        <f t="shared" si="124"/>
        <v>0.88996497297949806</v>
      </c>
      <c r="S145" s="551">
        <f t="shared" si="119"/>
        <v>34538.650636361337</v>
      </c>
      <c r="W145" s="546">
        <f t="shared" si="134"/>
        <v>197</v>
      </c>
      <c r="X145" s="551">
        <f t="shared" si="125"/>
        <v>52.752816474178999</v>
      </c>
      <c r="Y145" s="553">
        <f>$X145/PI()*SQRT('Hilfstabellen_Mat&amp;Bem'!f.Rd.3/'Hilfstabellen_Mat&amp;Bem'!$BD$30)</f>
        <v>0.83958715038851572</v>
      </c>
      <c r="Z145" s="553">
        <f>0.5*(1+'Hilfstabellen_Mat&amp;Bem'!$BD$31*($Y145-0.3)+$Y145^2)</f>
        <v>0.87943264906817986</v>
      </c>
      <c r="AA145" s="550">
        <f t="shared" si="126"/>
        <v>0.8763101171233576</v>
      </c>
      <c r="AC145" s="551">
        <f t="shared" si="120"/>
        <v>34008.719335440386</v>
      </c>
      <c r="AG145" s="546">
        <f t="shared" si="135"/>
        <v>197</v>
      </c>
      <c r="AH145" s="551">
        <f t="shared" si="127"/>
        <v>54.511243689984973</v>
      </c>
      <c r="AI145" s="553">
        <f>$AH145/PI()*SQRT('Hilfstabellen_Mat&amp;Bem'!f.Rd.3/'Hilfstabellen_Mat&amp;Bem'!$BD$30)</f>
        <v>0.86757338873479972</v>
      </c>
      <c r="AJ145" s="553">
        <f>0.5*(1+'Hilfstabellen_Mat&amp;Bem'!$BD$31*($AI145-0.3)+$AI145^2)</f>
        <v>0.90472046185713184</v>
      </c>
      <c r="AK145" s="550">
        <f t="shared" si="128"/>
        <v>0.86110036640474341</v>
      </c>
      <c r="AM145" s="551">
        <f t="shared" si="121"/>
        <v>33418.444119801687</v>
      </c>
      <c r="AQ145" s="546">
        <f t="shared" si="136"/>
        <v>197</v>
      </c>
      <c r="AR145" s="551">
        <f t="shared" si="129"/>
        <v>56.269670905790932</v>
      </c>
      <c r="AS145" s="553">
        <f>$AR145/PI()*SQRT('Hilfstabellen_Mat&amp;Bem'!f.Rd.3/'Hilfstabellen_Mat&amp;Bem'!$BD$30)</f>
        <v>0.8955596270810835</v>
      </c>
      <c r="AT145" s="553">
        <f>0.5*(1+'Hilfstabellen_Mat&amp;Bem'!$BD$31*($AS145-0.3)+$AS145^2)</f>
        <v>0.93079150418285883</v>
      </c>
      <c r="AU145" s="550">
        <f t="shared" si="130"/>
        <v>0.84426929323301647</v>
      </c>
      <c r="AW145" s="551">
        <f t="shared" si="122"/>
        <v>32765.247001080137</v>
      </c>
      <c r="AZ145" s="547">
        <f>'Hilfstabellen_Mat&amp;Bem'!$J$56</f>
        <v>3.3</v>
      </c>
      <c r="BA145" s="546">
        <f t="shared" si="137"/>
        <v>197</v>
      </c>
      <c r="BB145" s="551">
        <f t="shared" si="138"/>
        <v>58.028098121596905</v>
      </c>
      <c r="BC145" s="553">
        <f>BB145/PI()*SQRT('Hilfstabellen_Mat&amp;Bem'!f.Rd.3/'Hilfstabellen_Mat&amp;Bem'!$BD$30)</f>
        <v>0.9235458654273675</v>
      </c>
      <c r="BD145" s="553">
        <f>0.5*(1+'Hilfstabellen_Mat&amp;Bem'!$BD$31*(BC145-0.3)+BC145^2)</f>
        <v>0.95764577604536094</v>
      </c>
      <c r="BE145" s="550">
        <f t="shared" si="139"/>
        <v>0.82581753204006481</v>
      </c>
      <c r="BG145" s="551">
        <f t="shared" si="140"/>
        <v>32049.152600942874</v>
      </c>
      <c r="BJ145" s="547">
        <f>'Hilfstabellen_Mat&amp;Bem'!$J$57</f>
        <v>3.4</v>
      </c>
      <c r="BK145" s="546">
        <f t="shared" si="141"/>
        <v>197</v>
      </c>
      <c r="BL145" s="551">
        <f t="shared" si="142"/>
        <v>59.786525337402864</v>
      </c>
      <c r="BM145" s="553">
        <f>BL145/PI()*SQRT('Hilfstabellen_Mat&amp;Bem'!f.Rd.3/'Hilfstabellen_Mat&amp;Bem'!$BD$30)</f>
        <v>0.95153210377365116</v>
      </c>
      <c r="BN145" s="553">
        <f>0.5*(1+'Hilfstabellen_Mat&amp;Bem'!$BD$31*(BM145-0.3)+BM145^2)</f>
        <v>0.98528327744463784</v>
      </c>
      <c r="BO145" s="550">
        <f t="shared" si="143"/>
        <v>0.80582875475006988</v>
      </c>
      <c r="BQ145" s="551">
        <f t="shared" si="144"/>
        <v>31273.408143095461</v>
      </c>
      <c r="BT145" s="547">
        <f>'Hilfstabellen_Mat&amp;Bem'!$J$58</f>
        <v>3.5</v>
      </c>
      <c r="BU145" s="546">
        <f t="shared" si="145"/>
        <v>197</v>
      </c>
      <c r="BV145" s="551">
        <f t="shared" si="146"/>
        <v>61.544952553208837</v>
      </c>
      <c r="BW145" s="553">
        <f>BV145/PI()*SQRT('Hilfstabellen_Mat&amp;Bem'!f.Rd.3/'Hilfstabellen_Mat&amp;Bem'!$BD$30)</f>
        <v>0.97951834211993516</v>
      </c>
      <c r="BX145" s="553">
        <f>0.5*(1+'Hilfstabellen_Mat&amp;Bem'!$BD$31*(BW145-0.3)+BW145^2)</f>
        <v>1.0137040083806901</v>
      </c>
      <c r="BY145" s="550">
        <f t="shared" si="147"/>
        <v>0.78447387914380917</v>
      </c>
      <c r="CA145" s="551">
        <f t="shared" si="148"/>
        <v>30444.64677569209</v>
      </c>
      <c r="CD145" s="547">
        <f>'Hilfstabellen_Mat&amp;Bem'!$J$59</f>
        <v>3.6</v>
      </c>
      <c r="CE145" s="546">
        <f t="shared" si="149"/>
        <v>197</v>
      </c>
      <c r="CF145" s="551">
        <f t="shared" si="150"/>
        <v>63.303379769014803</v>
      </c>
      <c r="CG145" s="553">
        <f>CF145/PI()*SQRT('Hilfstabellen_Mat&amp;Bem'!f.Rd.3/'Hilfstabellen_Mat&amp;Bem'!$BD$30)</f>
        <v>1.007504580466219</v>
      </c>
      <c r="CH145" s="553">
        <f>0.5*(1+'Hilfstabellen_Mat&amp;Bem'!$BD$31*(CG145-0.3)+CG145^2)</f>
        <v>1.042907968853517</v>
      </c>
      <c r="CI145" s="550">
        <f t="shared" si="151"/>
        <v>0.76199988093147741</v>
      </c>
      <c r="CK145" s="551">
        <f t="shared" si="152"/>
        <v>29572.453379069706</v>
      </c>
      <c r="CN145" s="547">
        <f>'Hilfstabellen_Mat&amp;Bem'!$J$60</f>
        <v>3.7</v>
      </c>
      <c r="CO145" s="546">
        <f t="shared" si="153"/>
        <v>197</v>
      </c>
      <c r="CP145" s="551">
        <f t="shared" si="154"/>
        <v>65.061806984820777</v>
      </c>
      <c r="CQ145" s="553">
        <f>CP145/PI()*SQRT('Hilfstabellen_Mat&amp;Bem'!f.Rd.3/'Hilfstabellen_Mat&amp;Bem'!$BD$30)</f>
        <v>1.0354908188125032</v>
      </c>
      <c r="CR145" s="553">
        <f>0.5*(1+'Hilfstabellen_Mat&amp;Bem'!$BD$31*(CQ145-0.3)+CQ145^2)</f>
        <v>1.0728951588631193</v>
      </c>
      <c r="CS145" s="550">
        <f t="shared" si="155"/>
        <v>0.73870500839577913</v>
      </c>
      <c r="CU145" s="551">
        <f t="shared" si="156"/>
        <v>28668.402670831791</v>
      </c>
      <c r="CX145" s="547">
        <f>'Hilfstabellen_Mat&amp;Bem'!$J$61</f>
        <v>3.8</v>
      </c>
      <c r="CY145" s="546">
        <f t="shared" si="157"/>
        <v>197</v>
      </c>
      <c r="CZ145" s="551">
        <f t="shared" si="158"/>
        <v>66.820234200626729</v>
      </c>
      <c r="DA145" s="553">
        <f>CZ145/PI()*SQRT('Hilfstabellen_Mat&amp;Bem'!f.Rd.3/'Hilfstabellen_Mat&amp;Bem'!$BD$30)</f>
        <v>1.0634770571587866</v>
      </c>
      <c r="DB145" s="553">
        <f>0.5*(1+'Hilfstabellen_Mat&amp;Bem'!$BD$31*(DA145-0.3)+DA145^2)</f>
        <v>1.1036655784094958</v>
      </c>
      <c r="DC145" s="550">
        <f t="shared" si="159"/>
        <v>0.71490720289362197</v>
      </c>
      <c r="DE145" s="551">
        <f t="shared" si="160"/>
        <v>27744.833637098574</v>
      </c>
      <c r="DH145" s="547">
        <f>'Hilfstabellen_Mat&amp;Bem'!$J$62</f>
        <v>3.9</v>
      </c>
      <c r="DI145" s="546">
        <f t="shared" si="161"/>
        <v>197</v>
      </c>
      <c r="DJ145" s="551">
        <f t="shared" si="162"/>
        <v>68.578661416432695</v>
      </c>
      <c r="DK145" s="553">
        <f>DJ145/PI()*SQRT('Hilfstabellen_Mat&amp;Bem'!f.Rd.3/'Hilfstabellen_Mat&amp;Bem'!$BD$30)</f>
        <v>1.0914632955050705</v>
      </c>
      <c r="DL145" s="553">
        <f>0.5*(1+'Hilfstabellen_Mat&amp;Bem'!$BD$31*(DK145-0.3)+DK145^2)</f>
        <v>1.135219227492648</v>
      </c>
      <c r="DM145" s="550">
        <f t="shared" si="163"/>
        <v>0.69091409934062942</v>
      </c>
      <c r="DO145" s="551">
        <f t="shared" si="164"/>
        <v>26813.685281310489</v>
      </c>
      <c r="DR145" s="547">
        <f>'Hilfstabellen_Mat&amp;Bem'!$J$63</f>
        <v>4</v>
      </c>
      <c r="DS145" s="546">
        <f t="shared" si="165"/>
        <v>197</v>
      </c>
      <c r="DT145" s="551">
        <f t="shared" si="166"/>
        <v>70.337088632238675</v>
      </c>
      <c r="DU145" s="553">
        <f>DT145/PI()*SQRT('Hilfstabellen_Mat&amp;Bem'!f.Rd.3/'Hilfstabellen_Mat&amp;Bem'!$BD$30)</f>
        <v>1.1194495338513546</v>
      </c>
      <c r="DV145" s="553">
        <f>0.5*(1+'Hilfstabellen_Mat&amp;Bem'!$BD$31*(DU145-0.3)+DU145^2)</f>
        <v>1.1675561061125754</v>
      </c>
      <c r="DW145" s="550">
        <f t="shared" si="167"/>
        <v>0.66700072817902611</v>
      </c>
      <c r="DY145" s="551">
        <f t="shared" si="168"/>
        <v>25885.631259899823</v>
      </c>
      <c r="EB145" s="547">
        <f>'Hilfstabellen_Mat&amp;Bem'!$J$64</f>
        <v>4.0999999999999996</v>
      </c>
      <c r="EC145" s="546">
        <f t="shared" si="169"/>
        <v>197</v>
      </c>
      <c r="ED145" s="551">
        <f t="shared" si="170"/>
        <v>72.095515848044627</v>
      </c>
      <c r="EE145" s="553">
        <f>ED145/PI()*SQRT('Hilfstabellen_Mat&amp;Bem'!f.Rd.3/'Hilfstabellen_Mat&amp;Bem'!$BD$30)</f>
        <v>1.1474357721976383</v>
      </c>
      <c r="EF145" s="553">
        <f>0.5*(1+'Hilfstabellen_Mat&amp;Bem'!$BD$31*(EE145-0.3)+EE145^2)</f>
        <v>1.2006762142692771</v>
      </c>
      <c r="EG145" s="550">
        <f t="shared" si="171"/>
        <v>0.6433970793752658</v>
      </c>
      <c r="EI145" s="551">
        <f t="shared" si="172"/>
        <v>24969.597253474691</v>
      </c>
      <c r="EL145" s="547">
        <f>'Hilfstabellen_Mat&amp;Bem'!$J$65</f>
        <v>4.2</v>
      </c>
      <c r="EM145" s="546">
        <f t="shared" si="173"/>
        <v>197</v>
      </c>
      <c r="EN145" s="551">
        <f t="shared" si="174"/>
        <v>73.853943063850608</v>
      </c>
      <c r="EO145" s="553">
        <f>EN145/PI()*SQRT('Hilfstabellen_Mat&amp;Bem'!f.Rd.3/'Hilfstabellen_Mat&amp;Bem'!$BD$30)</f>
        <v>1.1754220105439221</v>
      </c>
      <c r="EP145" s="553">
        <f>0.5*(1+'Hilfstabellen_Mat&amp;Bem'!$BD$31*(EO145-0.3)+EO145^2)</f>
        <v>1.2345795519627543</v>
      </c>
      <c r="EQ145" s="550">
        <f t="shared" si="175"/>
        <v>0.62028441512378407</v>
      </c>
      <c r="ES145" s="551">
        <f t="shared" si="176"/>
        <v>24072.617866538934</v>
      </c>
    </row>
    <row r="146" spans="3:149">
      <c r="C146" s="546">
        <v>198</v>
      </c>
      <c r="D146" s="551">
        <f t="shared" si="131"/>
        <v>48.987295567604612</v>
      </c>
      <c r="E146" s="553">
        <f>$D146/PI()*SQRT('Hilfstabellen_Mat&amp;Bem'!f.Rd.3/'Hilfstabellen_Mat&amp;Bem'!$BD$30)</f>
        <v>0.77965702382879698</v>
      </c>
      <c r="F146" s="553">
        <f>0.5*(1+'Hilfstabellen_Mat&amp;Bem'!$BD$31*($E146-0.3)+$E146^2)</f>
        <v>0.82791538859422853</v>
      </c>
      <c r="G146" s="550">
        <f t="shared" si="132"/>
        <v>0.90379538440668372</v>
      </c>
      <c r="I146" s="551">
        <f t="shared" si="118"/>
        <v>35432.394250279627</v>
      </c>
      <c r="M146" s="546">
        <f t="shared" si="133"/>
        <v>198</v>
      </c>
      <c r="N146" s="551">
        <f t="shared" si="123"/>
        <v>50.736841837876206</v>
      </c>
      <c r="O146" s="553">
        <f>$N146/PI()*SQRT('Hilfstabellen_Mat&amp;Bem'!f.Rd.3/'Hilfstabellen_Mat&amp;Bem'!$BD$30)</f>
        <v>0.80750191753696832</v>
      </c>
      <c r="P146" s="553">
        <f>0.5*(1+'Hilfstabellen_Mat&amp;Bem'!$BD$31*($O146-0.3)+$O146^2)</f>
        <v>0.85140476928978881</v>
      </c>
      <c r="Q146" s="550">
        <f t="shared" si="124"/>
        <v>0.89184070796325055</v>
      </c>
      <c r="S146" s="551">
        <f t="shared" si="119"/>
        <v>34963.723114991277</v>
      </c>
      <c r="W146" s="546">
        <f t="shared" si="134"/>
        <v>198</v>
      </c>
      <c r="X146" s="551">
        <f t="shared" si="125"/>
        <v>52.4863881081478</v>
      </c>
      <c r="Y146" s="553">
        <f>$X146/PI()*SQRT('Hilfstabellen_Mat&amp;Bem'!f.Rd.3/'Hilfstabellen_Mat&amp;Bem'!$BD$30)</f>
        <v>0.83534681124513954</v>
      </c>
      <c r="Z146" s="553">
        <f>0.5*(1+'Hilfstabellen_Mat&amp;Bem'!$BD$31*($Y146-0.3)+$Y146^2)</f>
        <v>0.87566948809096834</v>
      </c>
      <c r="AA146" s="550">
        <f t="shared" si="126"/>
        <v>0.87847662772594404</v>
      </c>
      <c r="AC146" s="551">
        <f t="shared" si="120"/>
        <v>34439.797713367909</v>
      </c>
      <c r="AG146" s="546">
        <f t="shared" si="135"/>
        <v>198</v>
      </c>
      <c r="AH146" s="551">
        <f t="shared" si="127"/>
        <v>54.235934378419387</v>
      </c>
      <c r="AI146" s="553">
        <f>$AH146/PI()*SQRT('Hilfstabellen_Mat&amp;Bem'!f.Rd.3/'Hilfstabellen_Mat&amp;Bem'!$BD$30)</f>
        <v>0.86319170495331088</v>
      </c>
      <c r="AJ146" s="553">
        <f>0.5*(1+'Hilfstabellen_Mat&amp;Bem'!$BD$31*($AI146-0.3)+$AI146^2)</f>
        <v>0.90070954499776734</v>
      </c>
      <c r="AK146" s="550">
        <f t="shared" si="128"/>
        <v>0.86358773457000604</v>
      </c>
      <c r="AM146" s="551">
        <f t="shared" si="121"/>
        <v>33856.09354608252</v>
      </c>
      <c r="AQ146" s="546">
        <f t="shared" si="136"/>
        <v>198</v>
      </c>
      <c r="AR146" s="551">
        <f t="shared" si="129"/>
        <v>55.985480648690981</v>
      </c>
      <c r="AS146" s="553">
        <f>$AR146/PI()*SQRT('Hilfstabellen_Mat&amp;Bem'!f.Rd.3/'Hilfstabellen_Mat&amp;Bem'!$BD$30)</f>
        <v>0.8910365986614821</v>
      </c>
      <c r="AT146" s="553">
        <f>0.5*(1+'Hilfstabellen_Mat&amp;Bem'!$BD$31*($AS146-0.3)+$AS146^2)</f>
        <v>0.9265249400101857</v>
      </c>
      <c r="AU146" s="550">
        <f t="shared" si="130"/>
        <v>0.84710022230417592</v>
      </c>
      <c r="AW146" s="551">
        <f t="shared" si="122"/>
        <v>33209.717115212916</v>
      </c>
      <c r="AZ146" s="547">
        <f>'Hilfstabellen_Mat&amp;Bem'!$J$56</f>
        <v>3.3</v>
      </c>
      <c r="BA146" s="546">
        <f t="shared" si="137"/>
        <v>198</v>
      </c>
      <c r="BB146" s="551">
        <f t="shared" si="138"/>
        <v>57.735026918962575</v>
      </c>
      <c r="BC146" s="553">
        <f>BB146/PI()*SQRT('Hilfstabellen_Mat&amp;Bem'!f.Rd.3/'Hilfstabellen_Mat&amp;Bem'!$BD$30)</f>
        <v>0.91888149236965355</v>
      </c>
      <c r="BD146" s="553">
        <f>0.5*(1+'Hilfstabellen_Mat&amp;Bem'!$BD$31*(BC146-0.3)+BC146^2)</f>
        <v>0.95311567312822354</v>
      </c>
      <c r="BE146" s="550">
        <f t="shared" si="139"/>
        <v>0.8290029172295762</v>
      </c>
      <c r="BG146" s="551">
        <f t="shared" si="140"/>
        <v>32500.230367068307</v>
      </c>
      <c r="BJ146" s="547">
        <f>'Hilfstabellen_Mat&amp;Bem'!$J$57</f>
        <v>3.4</v>
      </c>
      <c r="BK146" s="546">
        <f t="shared" si="141"/>
        <v>198</v>
      </c>
      <c r="BL146" s="551">
        <f t="shared" si="142"/>
        <v>59.484573189234169</v>
      </c>
      <c r="BM146" s="553">
        <f>BL146/PI()*SQRT('Hilfstabellen_Mat&amp;Bem'!f.Rd.3/'Hilfstabellen_Mat&amp;Bem'!$BD$30)</f>
        <v>0.94672638607782478</v>
      </c>
      <c r="BN146" s="553">
        <f>0.5*(1+'Hilfstabellen_Mat&amp;Bem'!$BD$31*(BM146-0.3)+BM146^2)</f>
        <v>0.98048174435188051</v>
      </c>
      <c r="BO146" s="550">
        <f t="shared" si="143"/>
        <v>0.80936413689953657</v>
      </c>
      <c r="BQ146" s="551">
        <f t="shared" si="144"/>
        <v>31730.311623009431</v>
      </c>
      <c r="BT146" s="547">
        <f>'Hilfstabellen_Mat&amp;Bem'!$J$58</f>
        <v>3.5</v>
      </c>
      <c r="BU146" s="546">
        <f t="shared" si="145"/>
        <v>198</v>
      </c>
      <c r="BV146" s="551">
        <f t="shared" si="146"/>
        <v>61.234119459505763</v>
      </c>
      <c r="BW146" s="553">
        <f>BV146/PI()*SQRT('Hilfstabellen_Mat&amp;Bem'!f.Rd.3/'Hilfstabellen_Mat&amp;Bem'!$BD$30)</f>
        <v>0.97457127978599611</v>
      </c>
      <c r="BX146" s="553">
        <f>0.5*(1+'Hilfstabellen_Mat&amp;Bem'!$BD$31*(BW146-0.3)+BW146^2)</f>
        <v>1.008623153681157</v>
      </c>
      <c r="BY146" s="550">
        <f t="shared" si="147"/>
        <v>0.78833804339882529</v>
      </c>
      <c r="CA146" s="551">
        <f t="shared" si="148"/>
        <v>30906.004653407548</v>
      </c>
      <c r="CD146" s="547">
        <f>'Hilfstabellen_Mat&amp;Bem'!$J$59</f>
        <v>3.6</v>
      </c>
      <c r="CE146" s="546">
        <f t="shared" si="149"/>
        <v>198</v>
      </c>
      <c r="CF146" s="551">
        <f t="shared" si="150"/>
        <v>62.983665729777357</v>
      </c>
      <c r="CG146" s="553">
        <f>CF146/PI()*SQRT('Hilfstabellen_Mat&amp;Bem'!f.Rd.3/'Hilfstabellen_Mat&amp;Bem'!$BD$30)</f>
        <v>1.0024161734941675</v>
      </c>
      <c r="CH146" s="553">
        <f>0.5*(1+'Hilfstabellen_Mat&amp;Bem'!$BD$31*(CG146-0.3)+CG146^2)</f>
        <v>1.0375399011160527</v>
      </c>
      <c r="CI146" s="550">
        <f t="shared" si="151"/>
        <v>0.76615630968545334</v>
      </c>
      <c r="CK146" s="551">
        <f t="shared" si="152"/>
        <v>30036.391964908511</v>
      </c>
      <c r="CN146" s="547">
        <f>'Hilfstabellen_Mat&amp;Bem'!$J$60</f>
        <v>3.7</v>
      </c>
      <c r="CO146" s="546">
        <f t="shared" si="153"/>
        <v>198</v>
      </c>
      <c r="CP146" s="551">
        <f t="shared" si="154"/>
        <v>64.733212000048951</v>
      </c>
      <c r="CQ146" s="553">
        <f>CP146/PI()*SQRT('Hilfstabellen_Mat&amp;Bem'!f.Rd.3/'Hilfstabellen_Mat&amp;Bem'!$BD$30)</f>
        <v>1.0302610672023389</v>
      </c>
      <c r="CR146" s="553">
        <f>0.5*(1+'Hilfstabellen_Mat&amp;Bem'!$BD$31*(CQ146-0.3)+CQ146^2)</f>
        <v>1.067231986656568</v>
      </c>
      <c r="CS146" s="550">
        <f t="shared" si="155"/>
        <v>0.74310587940444961</v>
      </c>
      <c r="CU146" s="551">
        <f t="shared" si="156"/>
        <v>29132.722896172043</v>
      </c>
      <c r="CX146" s="547">
        <f>'Hilfstabellen_Mat&amp;Bem'!$J$61</f>
        <v>3.8</v>
      </c>
      <c r="CY146" s="546">
        <f t="shared" si="157"/>
        <v>198</v>
      </c>
      <c r="CZ146" s="551">
        <f t="shared" si="158"/>
        <v>66.482758270320531</v>
      </c>
      <c r="DA146" s="553">
        <f>CZ146/PI()*SQRT('Hilfstabellen_Mat&amp;Bem'!f.Rd.3/'Hilfstabellen_Mat&amp;Bem'!$BD$30)</f>
        <v>1.0581059609105099</v>
      </c>
      <c r="DB146" s="553">
        <f>0.5*(1+'Hilfstabellen_Mat&amp;Bem'!$BD$31*(DA146-0.3)+DA146^2)</f>
        <v>1.0976994103027022</v>
      </c>
      <c r="DC146" s="550">
        <f t="shared" si="159"/>
        <v>0.71949873447584223</v>
      </c>
      <c r="DE146" s="551">
        <f t="shared" si="160"/>
        <v>28207.228386390918</v>
      </c>
      <c r="DH146" s="547">
        <f>'Hilfstabellen_Mat&amp;Bem'!$J$62</f>
        <v>3.9</v>
      </c>
      <c r="DI146" s="546">
        <f t="shared" si="161"/>
        <v>198</v>
      </c>
      <c r="DJ146" s="551">
        <f t="shared" si="162"/>
        <v>68.232304540592125</v>
      </c>
      <c r="DK146" s="553">
        <f>DJ146/PI()*SQRT('Hilfstabellen_Mat&amp;Bem'!f.Rd.3/'Hilfstabellen_Mat&amp;Bem'!$BD$30)</f>
        <v>1.0859508546186811</v>
      </c>
      <c r="DL146" s="553">
        <f>0.5*(1+'Hilfstabellen_Mat&amp;Bem'!$BD$31*(DK146-0.3)+DK146^2)</f>
        <v>1.1289421720544559</v>
      </c>
      <c r="DM146" s="550">
        <f t="shared" si="163"/>
        <v>0.69564179496765732</v>
      </c>
      <c r="DO146" s="551">
        <f t="shared" si="164"/>
        <v>27271.940929912038</v>
      </c>
      <c r="DR146" s="547">
        <f>'Hilfstabellen_Mat&amp;Bem'!$J$63</f>
        <v>4</v>
      </c>
      <c r="DS146" s="546">
        <f t="shared" si="165"/>
        <v>198</v>
      </c>
      <c r="DT146" s="551">
        <f t="shared" si="166"/>
        <v>69.981850810863719</v>
      </c>
      <c r="DU146" s="553">
        <f>DT146/PI()*SQRT('Hilfstabellen_Mat&amp;Bem'!f.Rd.3/'Hilfstabellen_Mat&amp;Bem'!$BD$30)</f>
        <v>1.1137957483268526</v>
      </c>
      <c r="DV146" s="553">
        <f>0.5*(1+'Hilfstabellen_Mat&amp;Bem'!$BD$31*(DU146-0.3)+DU146^2)</f>
        <v>1.1609602719118293</v>
      </c>
      <c r="DW146" s="550">
        <f t="shared" si="167"/>
        <v>0.67181346914106399</v>
      </c>
      <c r="DY146" s="551">
        <f t="shared" si="168"/>
        <v>26337.775244206274</v>
      </c>
      <c r="EB146" s="547">
        <f>'Hilfstabellen_Mat&amp;Bem'!$J$64</f>
        <v>4.0999999999999996</v>
      </c>
      <c r="EC146" s="546">
        <f t="shared" si="169"/>
        <v>198</v>
      </c>
      <c r="ED146" s="551">
        <f t="shared" si="170"/>
        <v>71.731397081135313</v>
      </c>
      <c r="EE146" s="553">
        <f>ED146/PI()*SQRT('Hilfstabellen_Mat&amp;Bem'!f.Rd.3/'Hilfstabellen_Mat&amp;Bem'!$BD$30)</f>
        <v>1.1416406420350238</v>
      </c>
      <c r="EF146" s="553">
        <f>0.5*(1+'Hilfstabellen_Mat&amp;Bem'!$BD$31*(EE146-0.3)+EE146^2)</f>
        <v>1.1937537098748219</v>
      </c>
      <c r="EG146" s="550">
        <f t="shared" si="171"/>
        <v>0.6482496678062224</v>
      </c>
      <c r="EI146" s="551">
        <f t="shared" si="172"/>
        <v>25413.979976675142</v>
      </c>
      <c r="EL146" s="547">
        <f>'Hilfstabellen_Mat&amp;Bem'!$J$65</f>
        <v>4.2</v>
      </c>
      <c r="EM146" s="546">
        <f t="shared" si="173"/>
        <v>198</v>
      </c>
      <c r="EN146" s="551">
        <f t="shared" si="174"/>
        <v>73.480943351406907</v>
      </c>
      <c r="EO146" s="553">
        <f>EN146/PI()*SQRT('Hilfstabellen_Mat&amp;Bem'!f.Rd.3/'Hilfstabellen_Mat&amp;Bem'!$BD$30)</f>
        <v>1.1694855357431952</v>
      </c>
      <c r="EP146" s="553">
        <f>0.5*(1+'Hilfstabellen_Mat&amp;Bem'!$BD$31*(EO146-0.3)+EO146^2)</f>
        <v>1.227322485943434</v>
      </c>
      <c r="EQ146" s="550">
        <f t="shared" si="175"/>
        <v>0.6251386965007365</v>
      </c>
      <c r="ES146" s="551">
        <f t="shared" si="176"/>
        <v>24507.937457614873</v>
      </c>
    </row>
    <row r="147" spans="3:149">
      <c r="C147" s="546">
        <v>199</v>
      </c>
      <c r="D147" s="551">
        <f t="shared" si="131"/>
        <v>48.741128253194539</v>
      </c>
      <c r="E147" s="553">
        <f>$D147/PI()*SQRT('Hilfstabellen_Mat&amp;Bem'!f.Rd.3/'Hilfstabellen_Mat&amp;Bem'!$BD$30)</f>
        <v>0.7757391493371949</v>
      </c>
      <c r="F147" s="553">
        <f>0.5*(1+'Hilfstabellen_Mat&amp;Bem'!$BD$31*($E147-0.3)+$E147^2)</f>
        <v>0.82467257137405714</v>
      </c>
      <c r="G147" s="550">
        <f t="shared" si="132"/>
        <v>0.90537206639222323</v>
      </c>
      <c r="I147" s="551">
        <f t="shared" si="118"/>
        <v>35853.639201198435</v>
      </c>
      <c r="M147" s="546">
        <f t="shared" si="133"/>
        <v>199</v>
      </c>
      <c r="N147" s="551">
        <f t="shared" si="123"/>
        <v>50.481882833665772</v>
      </c>
      <c r="O147" s="553">
        <f>$N147/PI()*SQRT('Hilfstabellen_Mat&amp;Bem'!f.Rd.3/'Hilfstabellen_Mat&amp;Bem'!$BD$30)</f>
        <v>0.80344411895638046</v>
      </c>
      <c r="P147" s="553">
        <f>0.5*(1+'Hilfstabellen_Mat&amp;Bem'!$BD$31*($O147-0.3)+$O147^2)</f>
        <v>0.84793343209061622</v>
      </c>
      <c r="Q147" s="550">
        <f t="shared" si="124"/>
        <v>0.89366746982612411</v>
      </c>
      <c r="S147" s="551">
        <f t="shared" si="119"/>
        <v>35390.125472584339</v>
      </c>
      <c r="W147" s="546">
        <f t="shared" si="134"/>
        <v>199</v>
      </c>
      <c r="X147" s="551">
        <f t="shared" si="125"/>
        <v>52.222637414137004</v>
      </c>
      <c r="Y147" s="553">
        <f>$X147/PI()*SQRT('Hilfstabellen_Mat&amp;Bem'!f.Rd.3/'Hilfstabellen_Mat&amp;Bem'!$BD$30)</f>
        <v>0.83114908857556602</v>
      </c>
      <c r="Z147" s="553">
        <f>0.5*(1+'Hilfstabellen_Mat&amp;Bem'!$BD$31*($Y147-0.3)+$Y147^2)</f>
        <v>0.87196185814877536</v>
      </c>
      <c r="AA147" s="550">
        <f t="shared" si="126"/>
        <v>0.88058645636070243</v>
      </c>
      <c r="AC147" s="551">
        <f t="shared" si="120"/>
        <v>34872.10425834018</v>
      </c>
      <c r="AG147" s="546">
        <f t="shared" si="135"/>
        <v>199</v>
      </c>
      <c r="AH147" s="551">
        <f t="shared" si="127"/>
        <v>53.963391994608237</v>
      </c>
      <c r="AI147" s="553">
        <f>$AH147/PI()*SQRT('Hilfstabellen_Mat&amp;Bem'!f.Rd.3/'Hilfstabellen_Mat&amp;Bem'!$BD$30)</f>
        <v>0.85885405819475147</v>
      </c>
      <c r="AJ147" s="553">
        <f>0.5*(1+'Hilfstabellen_Mat&amp;Bem'!$BD$31*($AI147-0.3)+$AI147^2)</f>
        <v>0.89675784954853432</v>
      </c>
      <c r="AK147" s="550">
        <f t="shared" si="128"/>
        <v>0.86601098751005567</v>
      </c>
      <c r="AM147" s="551">
        <f t="shared" si="121"/>
        <v>34294.901116385714</v>
      </c>
      <c r="AQ147" s="546">
        <f t="shared" si="136"/>
        <v>199</v>
      </c>
      <c r="AR147" s="551">
        <f t="shared" si="129"/>
        <v>55.704146575079463</v>
      </c>
      <c r="AS147" s="553">
        <f>$AR147/PI()*SQRT('Hilfstabellen_Mat&amp;Bem'!f.Rd.3/'Hilfstabellen_Mat&amp;Bem'!$BD$30)</f>
        <v>0.88655902781393692</v>
      </c>
      <c r="AT147" s="553">
        <f>0.5*(1+'Hilfstabellen_Mat&amp;Bem'!$BD$31*($AS147-0.3)+$AS147^2)</f>
        <v>0.92232140628989334</v>
      </c>
      <c r="AU147" s="550">
        <f t="shared" si="130"/>
        <v>0.84986069227787531</v>
      </c>
      <c r="AW147" s="551">
        <f t="shared" si="122"/>
        <v>33655.33327489614</v>
      </c>
      <c r="AZ147" s="547">
        <f>'Hilfstabellen_Mat&amp;Bem'!$J$56</f>
        <v>3.3</v>
      </c>
      <c r="BA147" s="546">
        <f t="shared" si="137"/>
        <v>199</v>
      </c>
      <c r="BB147" s="551">
        <f t="shared" si="138"/>
        <v>57.444901155550703</v>
      </c>
      <c r="BC147" s="553">
        <f>BB147/PI()*SQRT('Hilfstabellen_Mat&amp;Bem'!f.Rd.3/'Hilfstabellen_Mat&amp;Bem'!$BD$30)</f>
        <v>0.91426399743312248</v>
      </c>
      <c r="BD147" s="553">
        <f>0.5*(1+'Hilfstabellen_Mat&amp;Bem'!$BD$31*(BC147-0.3)+BC147^2)</f>
        <v>0.94865252837285241</v>
      </c>
      <c r="BE147" s="550">
        <f t="shared" si="139"/>
        <v>0.8321134887065994</v>
      </c>
      <c r="BG147" s="551">
        <f t="shared" si="140"/>
        <v>32952.526266270041</v>
      </c>
      <c r="BJ147" s="547">
        <f>'Hilfstabellen_Mat&amp;Bem'!$J$57</f>
        <v>3.4</v>
      </c>
      <c r="BK147" s="546">
        <f t="shared" si="141"/>
        <v>199</v>
      </c>
      <c r="BL147" s="551">
        <f t="shared" si="142"/>
        <v>59.185655736021928</v>
      </c>
      <c r="BM147" s="553">
        <f>BL147/PI()*SQRT('Hilfstabellen_Mat&amp;Bem'!f.Rd.3/'Hilfstabellen_Mat&amp;Bem'!$BD$30)</f>
        <v>0.94196896705230793</v>
      </c>
      <c r="BN147" s="553">
        <f>0.5*(1+'Hilfstabellen_Mat&amp;Bem'!$BD$31*(BM147-0.3)+BM147^2)</f>
        <v>0.97575121579741142</v>
      </c>
      <c r="BO147" s="550">
        <f t="shared" si="143"/>
        <v>0.81282309944862396</v>
      </c>
      <c r="BQ147" s="551">
        <f t="shared" si="144"/>
        <v>32188.607561264958</v>
      </c>
      <c r="BT147" s="547">
        <f>'Hilfstabellen_Mat&amp;Bem'!$J$58</f>
        <v>3.5</v>
      </c>
      <c r="BU147" s="546">
        <f t="shared" si="145"/>
        <v>199</v>
      </c>
      <c r="BV147" s="551">
        <f t="shared" si="146"/>
        <v>60.926410316493168</v>
      </c>
      <c r="BW147" s="553">
        <f>BV147/PI()*SQRT('Hilfstabellen_Mat&amp;Bem'!f.Rd.3/'Hilfstabellen_Mat&amp;Bem'!$BD$30)</f>
        <v>0.96967393667149349</v>
      </c>
      <c r="BX147" s="553">
        <f>0.5*(1+'Hilfstabellen_Mat&amp;Bem'!$BD$31*(BW147-0.3)+BW147^2)</f>
        <v>1.0036174685635704</v>
      </c>
      <c r="BY147" s="550">
        <f t="shared" si="147"/>
        <v>0.79212730572306189</v>
      </c>
      <c r="CA147" s="551">
        <f t="shared" si="148"/>
        <v>31369.033433938974</v>
      </c>
      <c r="CD147" s="547">
        <f>'Hilfstabellen_Mat&amp;Bem'!$J$59</f>
        <v>3.6</v>
      </c>
      <c r="CE147" s="546">
        <f t="shared" si="149"/>
        <v>199</v>
      </c>
      <c r="CF147" s="551">
        <f t="shared" si="150"/>
        <v>62.667164896964394</v>
      </c>
      <c r="CG147" s="553">
        <f>CF147/PI()*SQRT('Hilfstabellen_Mat&amp;Bem'!f.Rd.3/'Hilfstabellen_Mat&amp;Bem'!$BD$30)</f>
        <v>0.99737890629067893</v>
      </c>
      <c r="CH147" s="553">
        <f>0.5*(1+'Hilfstabellen_Mat&amp;Bem'!$BD$31*(CG147-0.3)+CG147^2)</f>
        <v>1.0322512866713294</v>
      </c>
      <c r="CI147" s="550">
        <f t="shared" si="151"/>
        <v>0.77024233160914646</v>
      </c>
      <c r="CK147" s="551">
        <f t="shared" si="152"/>
        <v>30502.366574053809</v>
      </c>
      <c r="CN147" s="547">
        <f>'Hilfstabellen_Mat&amp;Bem'!$J$60</f>
        <v>3.7</v>
      </c>
      <c r="CO147" s="546">
        <f t="shared" si="153"/>
        <v>199</v>
      </c>
      <c r="CP147" s="551">
        <f t="shared" si="154"/>
        <v>64.407919477435641</v>
      </c>
      <c r="CQ147" s="553">
        <f>CP147/PI()*SQRT('Hilfstabellen_Mat&amp;Bem'!f.Rd.3/'Hilfstabellen_Mat&amp;Bem'!$BD$30)</f>
        <v>1.0250838759098648</v>
      </c>
      <c r="CR147" s="553">
        <f>0.5*(1+'Hilfstabellen_Mat&amp;Bem'!$BD$31*(CQ147-0.3)+CQ147^2)</f>
        <v>1.0616526701206888</v>
      </c>
      <c r="CS147" s="550">
        <f t="shared" si="155"/>
        <v>0.74744320109206563</v>
      </c>
      <c r="CU147" s="551">
        <f t="shared" si="156"/>
        <v>29599.49820644689</v>
      </c>
      <c r="CX147" s="547">
        <f>'Hilfstabellen_Mat&amp;Bem'!$J$61</f>
        <v>3.8</v>
      </c>
      <c r="CY147" s="546">
        <f t="shared" si="157"/>
        <v>199</v>
      </c>
      <c r="CZ147" s="551">
        <f t="shared" si="158"/>
        <v>66.14867405790686</v>
      </c>
      <c r="DA147" s="553">
        <f>CZ147/PI()*SQRT('Hilfstabellen_Mat&amp;Bem'!f.Rd.3/'Hilfstabellen_Mat&amp;Bem'!$BD$30)</f>
        <v>1.0527888455290499</v>
      </c>
      <c r="DB147" s="553">
        <f>0.5*(1+'Hilfstabellen_Mat&amp;Bem'!$BD$31*(DA147-0.3)+DA147^2)</f>
        <v>1.0918216189116474</v>
      </c>
      <c r="DC147" s="550">
        <f t="shared" si="159"/>
        <v>0.72403506014931285</v>
      </c>
      <c r="DE147" s="551">
        <f t="shared" si="160"/>
        <v>28672.512416972939</v>
      </c>
      <c r="DH147" s="547">
        <f>'Hilfstabellen_Mat&amp;Bem'!$J$62</f>
        <v>3.9</v>
      </c>
      <c r="DI147" s="546">
        <f t="shared" si="161"/>
        <v>199</v>
      </c>
      <c r="DJ147" s="551">
        <f t="shared" si="162"/>
        <v>67.889428638378106</v>
      </c>
      <c r="DK147" s="553">
        <f>DJ147/PI()*SQRT('Hilfstabellen_Mat&amp;Bem'!f.Rd.3/'Hilfstabellen_Mat&amp;Bem'!$BD$30)</f>
        <v>1.0804938151482357</v>
      </c>
      <c r="DL147" s="553">
        <f>0.5*(1+'Hilfstabellen_Mat&amp;Bem'!$BD$31*(DK147-0.3)+DK147^2)</f>
        <v>1.1227581330442067</v>
      </c>
      <c r="DM147" s="550">
        <f t="shared" si="163"/>
        <v>0.70032322243037759</v>
      </c>
      <c r="DO147" s="551">
        <f t="shared" si="164"/>
        <v>27733.499931465383</v>
      </c>
      <c r="DR147" s="547">
        <f>'Hilfstabellen_Mat&amp;Bem'!$J$63</f>
        <v>4</v>
      </c>
      <c r="DS147" s="546">
        <f t="shared" si="165"/>
        <v>199</v>
      </c>
      <c r="DT147" s="551">
        <f t="shared" si="166"/>
        <v>69.630183218849339</v>
      </c>
      <c r="DU147" s="553">
        <f>DT147/PI()*SQRT('Hilfstabellen_Mat&amp;Bem'!f.Rd.3/'Hilfstabellen_Mat&amp;Bem'!$BD$30)</f>
        <v>1.1081987847674213</v>
      </c>
      <c r="DV147" s="553">
        <f>0.5*(1+'Hilfstabellen_Mat&amp;Bem'!$BD$31*(DU147-0.3)+DU147^2)</f>
        <v>1.1544622125183657</v>
      </c>
      <c r="DW147" s="550">
        <f t="shared" si="167"/>
        <v>0.6765887458589428</v>
      </c>
      <c r="DY147" s="551">
        <f t="shared" si="168"/>
        <v>26793.590924759992</v>
      </c>
      <c r="EB147" s="547">
        <f>'Hilfstabellen_Mat&amp;Bem'!$J$64</f>
        <v>4.0999999999999996</v>
      </c>
      <c r="EC147" s="546">
        <f t="shared" si="169"/>
        <v>199</v>
      </c>
      <c r="ED147" s="551">
        <f t="shared" si="170"/>
        <v>71.370937799320572</v>
      </c>
      <c r="EE147" s="553">
        <f>ED147/PI()*SQRT('Hilfstabellen_Mat&amp;Bem'!f.Rd.3/'Hilfstabellen_Mat&amp;Bem'!$BD$30)</f>
        <v>1.1359037543866068</v>
      </c>
      <c r="EF147" s="553">
        <f>0.5*(1+'Hilfstabellen_Mat&amp;Bem'!$BD$31*(EE147-0.3)+EE147^2)</f>
        <v>1.1869338573341248</v>
      </c>
      <c r="EG147" s="550">
        <f t="shared" si="171"/>
        <v>0.65307296987827423</v>
      </c>
      <c r="EI147" s="551">
        <f t="shared" si="172"/>
        <v>25862.342680149537</v>
      </c>
      <c r="EL147" s="547">
        <f>'Hilfstabellen_Mat&amp;Bem'!$J$65</f>
        <v>4.2</v>
      </c>
      <c r="EM147" s="546">
        <f t="shared" si="173"/>
        <v>199</v>
      </c>
      <c r="EN147" s="551">
        <f t="shared" si="174"/>
        <v>73.111692379791805</v>
      </c>
      <c r="EO147" s="553">
        <f>EN147/PI()*SQRT('Hilfstabellen_Mat&amp;Bem'!f.Rd.3/'Hilfstabellen_Mat&amp;Bem'!$BD$30)</f>
        <v>1.1636087240057924</v>
      </c>
      <c r="EP147" s="553">
        <f>0.5*(1+'Hilfstabellen_Mat&amp;Bem'!$BD$31*(EO147-0.3)+EO147^2)</f>
        <v>1.2201730674914839</v>
      </c>
      <c r="EQ147" s="550">
        <f t="shared" si="175"/>
        <v>0.62997097581002259</v>
      </c>
      <c r="ES147" s="551">
        <f t="shared" si="176"/>
        <v>24947.480613052703</v>
      </c>
    </row>
    <row r="148" spans="3:149">
      <c r="C148" s="546">
        <v>200</v>
      </c>
      <c r="D148" s="551">
        <f t="shared" si="131"/>
        <v>48.497422611928563</v>
      </c>
      <c r="E148" s="553">
        <f>$D148/PI()*SQRT('Hilfstabellen_Mat&amp;Bem'!f.Rd.3/'Hilfstabellen_Mat&amp;Bem'!$BD$30)</f>
        <v>0.77186045359050892</v>
      </c>
      <c r="F148" s="553">
        <f>0.5*(1+'Hilfstabellen_Mat&amp;Bem'!$BD$31*($E148-0.3)+$E148^2)</f>
        <v>0.82147730258799856</v>
      </c>
      <c r="G148" s="550">
        <f t="shared" si="132"/>
        <v>0.90690855715976848</v>
      </c>
      <c r="I148" s="551">
        <f t="shared" si="118"/>
        <v>36276.34228639074</v>
      </c>
      <c r="M148" s="546">
        <f t="shared" si="133"/>
        <v>200</v>
      </c>
      <c r="N148" s="551">
        <f t="shared" si="123"/>
        <v>50.229473419497438</v>
      </c>
      <c r="O148" s="553">
        <f>$N148/PI()*SQRT('Hilfstabellen_Mat&amp;Bem'!f.Rd.3/'Hilfstabellen_Mat&amp;Bem'!$BD$30)</f>
        <v>0.79942689836159841</v>
      </c>
      <c r="P148" s="553">
        <f>0.5*(1+'Hilfstabellen_Mat&amp;Bem'!$BD$31*($O148-0.3)+$O148^2)</f>
        <v>0.84451302783010274</v>
      </c>
      <c r="Q148" s="550">
        <f t="shared" si="124"/>
        <v>0.89544684593915047</v>
      </c>
      <c r="S148" s="551">
        <f t="shared" si="119"/>
        <v>35817.873837566018</v>
      </c>
      <c r="W148" s="546">
        <f t="shared" si="134"/>
        <v>200</v>
      </c>
      <c r="X148" s="551">
        <f t="shared" si="125"/>
        <v>51.961524227066313</v>
      </c>
      <c r="Y148" s="553">
        <f>$X148/PI()*SQRT('Hilfstabellen_Mat&amp;Bem'!f.Rd.3/'Hilfstabellen_Mat&amp;Bem'!$BD$30)</f>
        <v>0.82699334313268802</v>
      </c>
      <c r="Z148" s="553">
        <f>0.5*(1+'Hilfstabellen_Mat&amp;Bem'!$BD$31*($Y148-0.3)+$Y148^2)</f>
        <v>0.86830866194952439</v>
      </c>
      <c r="AA148" s="550">
        <f t="shared" si="126"/>
        <v>0.88264132162822806</v>
      </c>
      <c r="AC148" s="551">
        <f t="shared" si="120"/>
        <v>35305.652865129123</v>
      </c>
      <c r="AG148" s="546">
        <f t="shared" si="135"/>
        <v>200</v>
      </c>
      <c r="AH148" s="551">
        <f t="shared" si="127"/>
        <v>53.693575034635195</v>
      </c>
      <c r="AI148" s="553">
        <f>$AH148/PI()*SQRT('Hilfstabellen_Mat&amp;Bem'!f.Rd.3/'Hilfstabellen_Mat&amp;Bem'!$BD$30)</f>
        <v>0.85455978790377773</v>
      </c>
      <c r="AJ148" s="553">
        <f>0.5*(1+'Hilfstabellen_Mat&amp;Bem'!$BD$31*($AI148-0.3)+$AI148^2)</f>
        <v>0.89286420494626373</v>
      </c>
      <c r="AK148" s="550">
        <f t="shared" si="128"/>
        <v>0.86837186573577085</v>
      </c>
      <c r="AM148" s="551">
        <f t="shared" si="121"/>
        <v>34734.874629430837</v>
      </c>
      <c r="AQ148" s="546">
        <f t="shared" si="136"/>
        <v>200</v>
      </c>
      <c r="AR148" s="551">
        <f t="shared" si="129"/>
        <v>55.42562584220407</v>
      </c>
      <c r="AS148" s="553">
        <f>$AR148/PI()*SQRT('Hilfstabellen_Mat&amp;Bem'!f.Rd.3/'Hilfstabellen_Mat&amp;Bem'!$BD$30)</f>
        <v>0.88212623267486734</v>
      </c>
      <c r="AT148" s="553">
        <f>0.5*(1+'Hilfstabellen_Mat&amp;Bem'!$BD$31*($AS148-0.3)+$AS148^2)</f>
        <v>0.91817965682032043</v>
      </c>
      <c r="AU148" s="550">
        <f t="shared" si="130"/>
        <v>0.85255230944152194</v>
      </c>
      <c r="AW148" s="551">
        <f t="shared" si="122"/>
        <v>34102.092377660876</v>
      </c>
      <c r="AZ148" s="547">
        <f>'Hilfstabellen_Mat&amp;Bem'!$J$56</f>
        <v>3.3</v>
      </c>
      <c r="BA148" s="546">
        <f t="shared" si="137"/>
        <v>200</v>
      </c>
      <c r="BB148" s="551">
        <f t="shared" si="138"/>
        <v>57.157676649772945</v>
      </c>
      <c r="BC148" s="553">
        <f>BB148/PI()*SQRT('Hilfstabellen_Mat&amp;Bem'!f.Rd.3/'Hilfstabellen_Mat&amp;Bem'!$BD$30)</f>
        <v>0.90969267744595683</v>
      </c>
      <c r="BD148" s="553">
        <f>0.5*(1+'Hilfstabellen_Mat&amp;Bem'!$BD$31*(BC148-0.3)+BC148^2)</f>
        <v>0.94425501757169461</v>
      </c>
      <c r="BE148" s="550">
        <f t="shared" si="139"/>
        <v>0.83515053979590059</v>
      </c>
      <c r="BG148" s="551">
        <f t="shared" si="140"/>
        <v>33406.021591836026</v>
      </c>
      <c r="BJ148" s="547">
        <f>'Hilfstabellen_Mat&amp;Bem'!$J$57</f>
        <v>3.4</v>
      </c>
      <c r="BK148" s="546">
        <f t="shared" si="141"/>
        <v>200</v>
      </c>
      <c r="BL148" s="551">
        <f t="shared" si="142"/>
        <v>58.889727457341827</v>
      </c>
      <c r="BM148" s="553">
        <f>BL148/PI()*SQRT('Hilfstabellen_Mat&amp;Bem'!f.Rd.3/'Hilfstabellen_Mat&amp;Bem'!$BD$30)</f>
        <v>0.93725912221704655</v>
      </c>
      <c r="BN148" s="553">
        <f>0.5*(1+'Hilfstabellen_Mat&amp;Bem'!$BD$31*(BM148-0.3)+BM148^2)</f>
        <v>0.97109028720038659</v>
      </c>
      <c r="BO148" s="550">
        <f t="shared" si="143"/>
        <v>0.81620646506814321</v>
      </c>
      <c r="BQ148" s="551">
        <f t="shared" si="144"/>
        <v>32648.258602725728</v>
      </c>
      <c r="BT148" s="547">
        <f>'Hilfstabellen_Mat&amp;Bem'!$J$58</f>
        <v>3.5</v>
      </c>
      <c r="BU148" s="546">
        <f t="shared" si="145"/>
        <v>200</v>
      </c>
      <c r="BV148" s="551">
        <f t="shared" si="146"/>
        <v>60.621778264910702</v>
      </c>
      <c r="BW148" s="553">
        <f>BV148/PI()*SQRT('Hilfstabellen_Mat&amp;Bem'!f.Rd.3/'Hilfstabellen_Mat&amp;Bem'!$BD$30)</f>
        <v>0.96482556698813604</v>
      </c>
      <c r="BX148" s="553">
        <f>0.5*(1+'Hilfstabellen_Mat&amp;Bem'!$BD$31*(BW148-0.3)+BW148^2)</f>
        <v>0.99868546570639594</v>
      </c>
      <c r="BY148" s="550">
        <f t="shared" si="147"/>
        <v>0.79584192812715104</v>
      </c>
      <c r="CA148" s="551">
        <f t="shared" si="148"/>
        <v>31833.67712508604</v>
      </c>
      <c r="CD148" s="547">
        <f>'Hilfstabellen_Mat&amp;Bem'!$J$59</f>
        <v>3.6</v>
      </c>
      <c r="CE148" s="546">
        <f t="shared" si="149"/>
        <v>200</v>
      </c>
      <c r="CF148" s="551">
        <f t="shared" si="150"/>
        <v>62.353829072479577</v>
      </c>
      <c r="CG148" s="553">
        <f>CF148/PI()*SQRT('Hilfstabellen_Mat&amp;Bem'!f.Rd.3/'Hilfstabellen_Mat&amp;Bem'!$BD$30)</f>
        <v>0.99239201175922576</v>
      </c>
      <c r="CH148" s="553">
        <f>0.5*(1+'Hilfstabellen_Mat&amp;Bem'!$BD$31*(CG148-0.3)+CG148^2)</f>
        <v>1.0270405530897229</v>
      </c>
      <c r="CI148" s="550">
        <f t="shared" si="151"/>
        <v>0.77425765149575387</v>
      </c>
      <c r="CK148" s="551">
        <f t="shared" si="152"/>
        <v>30970.306059830156</v>
      </c>
      <c r="CN148" s="547">
        <f>'Hilfstabellen_Mat&amp;Bem'!$J$60</f>
        <v>3.7</v>
      </c>
      <c r="CO148" s="546">
        <f t="shared" si="153"/>
        <v>200</v>
      </c>
      <c r="CP148" s="551">
        <f t="shared" si="154"/>
        <v>64.085879880048452</v>
      </c>
      <c r="CQ148" s="553">
        <f>CP148/PI()*SQRT('Hilfstabellen_Mat&amp;Bem'!f.Rd.3/'Hilfstabellen_Mat&amp;Bem'!$BD$30)</f>
        <v>1.0199584565303152</v>
      </c>
      <c r="CR148" s="553">
        <f>0.5*(1+'Hilfstabellen_Mat&amp;Bem'!$BD$31*(CQ148-0.3)+CQ148^2)</f>
        <v>1.0561555493503672</v>
      </c>
      <c r="CS148" s="550">
        <f t="shared" si="155"/>
        <v>0.75171620938735029</v>
      </c>
      <c r="CU148" s="551">
        <f t="shared" si="156"/>
        <v>30068.648375494013</v>
      </c>
      <c r="CX148" s="547">
        <f>'Hilfstabellen_Mat&amp;Bem'!$J$61</f>
        <v>3.8</v>
      </c>
      <c r="CY148" s="546">
        <f t="shared" si="157"/>
        <v>200</v>
      </c>
      <c r="CZ148" s="551">
        <f t="shared" si="158"/>
        <v>65.817930687617334</v>
      </c>
      <c r="DA148" s="553">
        <f>CZ148/PI()*SQRT('Hilfstabellen_Mat&amp;Bem'!f.Rd.3/'Hilfstabellen_Mat&amp;Bem'!$BD$30)</f>
        <v>1.047524901301405</v>
      </c>
      <c r="DB148" s="553">
        <f>0.5*(1+'Hilfstabellen_Mat&amp;Bem'!$BD$31*(DA148-0.3)+DA148^2)</f>
        <v>1.0860304544883292</v>
      </c>
      <c r="DC148" s="550">
        <f t="shared" si="159"/>
        <v>0.72851508500527873</v>
      </c>
      <c r="DE148" s="551">
        <f t="shared" si="160"/>
        <v>29140.603400211148</v>
      </c>
      <c r="DH148" s="547">
        <f>'Hilfstabellen_Mat&amp;Bem'!$J$62</f>
        <v>3.9</v>
      </c>
      <c r="DI148" s="546">
        <f t="shared" si="161"/>
        <v>200</v>
      </c>
      <c r="DJ148" s="551">
        <f t="shared" si="162"/>
        <v>67.549981495186216</v>
      </c>
      <c r="DK148" s="553">
        <f>DJ148/PI()*SQRT('Hilfstabellen_Mat&amp;Bem'!f.Rd.3/'Hilfstabellen_Mat&amp;Bem'!$BD$30)</f>
        <v>1.0750913460724945</v>
      </c>
      <c r="DL148" s="553">
        <f>0.5*(1+'Hilfstabellen_Mat&amp;Bem'!$BD$31*(DK148-0.3)+DK148^2)</f>
        <v>1.1166652685036087</v>
      </c>
      <c r="DM148" s="550">
        <f t="shared" si="163"/>
        <v>0.7049571024252389</v>
      </c>
      <c r="DO148" s="551">
        <f t="shared" si="164"/>
        <v>28198.284097009557</v>
      </c>
      <c r="DR148" s="547">
        <f>'Hilfstabellen_Mat&amp;Bem'!$J$63</f>
        <v>4</v>
      </c>
      <c r="DS148" s="546">
        <f t="shared" si="165"/>
        <v>200</v>
      </c>
      <c r="DT148" s="551">
        <f t="shared" si="166"/>
        <v>69.282032302755084</v>
      </c>
      <c r="DU148" s="553">
        <f>DT148/PI()*SQRT('Hilfstabellen_Mat&amp;Bem'!f.Rd.3/'Hilfstabellen_Mat&amp;Bem'!$BD$30)</f>
        <v>1.102657790843584</v>
      </c>
      <c r="DV148" s="553">
        <f>0.5*(1+'Hilfstabellen_Mat&amp;Bem'!$BD$31*(DU148-0.3)+DU148^2)</f>
        <v>1.1480599913962055</v>
      </c>
      <c r="DW148" s="550">
        <f t="shared" si="167"/>
        <v>0.68132521956793579</v>
      </c>
      <c r="DY148" s="551">
        <f t="shared" si="168"/>
        <v>27253.008782717432</v>
      </c>
      <c r="EB148" s="547">
        <f>'Hilfstabellen_Mat&amp;Bem'!$J$64</f>
        <v>4.0999999999999996</v>
      </c>
      <c r="EC148" s="546">
        <f t="shared" si="169"/>
        <v>200</v>
      </c>
      <c r="ED148" s="551">
        <f t="shared" si="170"/>
        <v>71.014083110323966</v>
      </c>
      <c r="EE148" s="553">
        <f>ED148/PI()*SQRT('Hilfstabellen_Mat&amp;Bem'!f.Rd.3/'Hilfstabellen_Mat&amp;Bem'!$BD$30)</f>
        <v>1.1302242356146737</v>
      </c>
      <c r="EF148" s="553">
        <f>0.5*(1+'Hilfstabellen_Mat&amp;Bem'!$BD$31*(EE148-0.3)+EE148^2)</f>
        <v>1.1802146231661204</v>
      </c>
      <c r="EG148" s="550">
        <f t="shared" si="171"/>
        <v>0.65786567773484139</v>
      </c>
      <c r="EI148" s="551">
        <f t="shared" si="172"/>
        <v>26314.627109393656</v>
      </c>
      <c r="EL148" s="547">
        <f>'Hilfstabellen_Mat&amp;Bem'!$J$65</f>
        <v>4.2</v>
      </c>
      <c r="EM148" s="546">
        <f t="shared" si="173"/>
        <v>200</v>
      </c>
      <c r="EN148" s="551">
        <f t="shared" si="174"/>
        <v>72.746133917892848</v>
      </c>
      <c r="EO148" s="553">
        <f>EN148/PI()*SQRT('Hilfstabellen_Mat&amp;Bem'!f.Rd.3/'Hilfstabellen_Mat&amp;Bem'!$BD$30)</f>
        <v>1.1577906803857634</v>
      </c>
      <c r="EP148" s="553">
        <f>0.5*(1+'Hilfstabellen_Mat&amp;Bem'!$BD$31*(EO148-0.3)+EO148^2)</f>
        <v>1.2131291638133526</v>
      </c>
      <c r="EQ148" s="550">
        <f t="shared" si="175"/>
        <v>0.63478003203940803</v>
      </c>
      <c r="ES148" s="551">
        <f t="shared" si="176"/>
        <v>25391.201281576323</v>
      </c>
    </row>
    <row r="149" spans="3:149">
      <c r="C149" s="546">
        <v>201</v>
      </c>
      <c r="D149" s="551">
        <f t="shared" si="131"/>
        <v>48.256141902416481</v>
      </c>
      <c r="E149" s="553">
        <f>$D149/PI()*SQRT('Hilfstabellen_Mat&amp;Bem'!f.Rd.3/'Hilfstabellen_Mat&amp;Bem'!$BD$30)</f>
        <v>0.7680203518313522</v>
      </c>
      <c r="F149" s="553">
        <f>0.5*(1+'Hilfstabellen_Mat&amp;Bem'!$BD$31*($E149-0.3)+$E149^2)</f>
        <v>0.8183286480051446</v>
      </c>
      <c r="G149" s="550">
        <f t="shared" si="132"/>
        <v>0.90840620402943073</v>
      </c>
      <c r="I149" s="551">
        <f t="shared" si="118"/>
        <v>36700.519048993032</v>
      </c>
      <c r="M149" s="546">
        <f t="shared" si="133"/>
        <v>201</v>
      </c>
      <c r="N149" s="551">
        <f t="shared" si="123"/>
        <v>49.979575541788499</v>
      </c>
      <c r="O149" s="553">
        <f>$N149/PI()*SQRT('Hilfstabellen_Mat&amp;Bem'!f.Rd.3/'Hilfstabellen_Mat&amp;Bem'!$BD$30)</f>
        <v>0.79544965011104329</v>
      </c>
      <c r="P149" s="553">
        <f>0.5*(1+'Hilfstabellen_Mat&amp;Bem'!$BD$31*($O149-0.3)+$O149^2)</f>
        <v>0.84114255543644278</v>
      </c>
      <c r="Q149" s="550">
        <f t="shared" si="124"/>
        <v>0.89718037518645155</v>
      </c>
      <c r="S149" s="551">
        <f t="shared" si="119"/>
        <v>36246.98433790783</v>
      </c>
      <c r="W149" s="546">
        <f t="shared" si="134"/>
        <v>201</v>
      </c>
      <c r="X149" s="551">
        <f t="shared" si="125"/>
        <v>51.703009181160517</v>
      </c>
      <c r="Y149" s="553">
        <f>$X149/PI()*SQRT('Hilfstabellen_Mat&amp;Bem'!f.Rd.3/'Hilfstabellen_Mat&amp;Bem'!$BD$30)</f>
        <v>0.82287894839073461</v>
      </c>
      <c r="Z149" s="553">
        <f>0.5*(1+'Hilfstabellen_Mat&amp;Bem'!$BD$31*($Y149-0.3)+$Y149^2)</f>
        <v>0.86470882927185744</v>
      </c>
      <c r="AA149" s="550">
        <f t="shared" si="126"/>
        <v>0.88464290260030765</v>
      </c>
      <c r="AC149" s="551">
        <f t="shared" si="120"/>
        <v>35740.457907955031</v>
      </c>
      <c r="AG149" s="546">
        <f t="shared" si="135"/>
        <v>201</v>
      </c>
      <c r="AH149" s="551">
        <f t="shared" si="127"/>
        <v>53.426442820532529</v>
      </c>
      <c r="AI149" s="553">
        <f>$AH149/PI()*SQRT('Hilfstabellen_Mat&amp;Bem'!f.Rd.3/'Hilfstabellen_Mat&amp;Bem'!$BD$30)</f>
        <v>0.85030824667042548</v>
      </c>
      <c r="AJ149" s="553">
        <f>0.5*(1+'Hilfstabellen_Mat&amp;Bem'!$BD$31*($AI149-0.3)+$AI149^2)</f>
        <v>0.88902746951138778</v>
      </c>
      <c r="AK149" s="550">
        <f t="shared" si="128"/>
        <v>0.87067208945602692</v>
      </c>
      <c r="AM149" s="551">
        <f t="shared" si="121"/>
        <v>35176.023086112946</v>
      </c>
      <c r="AQ149" s="546">
        <f t="shared" si="136"/>
        <v>201</v>
      </c>
      <c r="AR149" s="551">
        <f t="shared" si="129"/>
        <v>55.149876459904547</v>
      </c>
      <c r="AS149" s="553">
        <f>$AR149/PI()*SQRT('Hilfstabellen_Mat&amp;Bem'!f.Rd.3/'Hilfstabellen_Mat&amp;Bem'!$BD$30)</f>
        <v>0.87773754495011669</v>
      </c>
      <c r="AT149" s="553">
        <f>0.5*(1+'Hilfstabellen_Mat&amp;Bem'!$BD$31*($AS149-0.3)+$AS149^2)</f>
        <v>0.91409847615503481</v>
      </c>
      <c r="AU149" s="550">
        <f t="shared" si="130"/>
        <v>0.85517668897786947</v>
      </c>
      <c r="AW149" s="551">
        <f t="shared" si="122"/>
        <v>34549.993411394906</v>
      </c>
      <c r="AZ149" s="547">
        <f>'Hilfstabellen_Mat&amp;Bem'!$J$56</f>
        <v>3.3</v>
      </c>
      <c r="BA149" s="546">
        <f t="shared" si="137"/>
        <v>201</v>
      </c>
      <c r="BB149" s="551">
        <f t="shared" si="138"/>
        <v>56.873310099276566</v>
      </c>
      <c r="BC149" s="553">
        <f>BB149/PI()*SQRT('Hilfstabellen_Mat&amp;Bem'!f.Rd.3/'Hilfstabellen_Mat&amp;Bem'!$BD$30)</f>
        <v>0.90516684322980778</v>
      </c>
      <c r="BD149" s="553">
        <f>0.5*(1+'Hilfstabellen_Mat&amp;Bem'!$BD$31*(BC149-0.3)+BC149^2)</f>
        <v>0.93992184920279809</v>
      </c>
      <c r="BE149" s="550">
        <f t="shared" si="139"/>
        <v>0.83811540735963652</v>
      </c>
      <c r="BG149" s="551">
        <f t="shared" si="140"/>
        <v>33860.700572736678</v>
      </c>
      <c r="BJ149" s="547">
        <f>'Hilfstabellen_Mat&amp;Bem'!$J$57</f>
        <v>3.4</v>
      </c>
      <c r="BK149" s="546">
        <f t="shared" si="141"/>
        <v>201</v>
      </c>
      <c r="BL149" s="551">
        <f t="shared" si="142"/>
        <v>58.596743738648577</v>
      </c>
      <c r="BM149" s="553">
        <f>BL149/PI()*SQRT('Hilfstabellen_Mat&amp;Bem'!f.Rd.3/'Hilfstabellen_Mat&amp;Bem'!$BD$30)</f>
        <v>0.93259614150949899</v>
      </c>
      <c r="BN149" s="553">
        <f>0.5*(1+'Hilfstabellen_Mat&amp;Bem'!$BD$31*(BM149-0.3)+BM149^2)</f>
        <v>0.96649758865467761</v>
      </c>
      <c r="BO149" s="550">
        <f t="shared" si="143"/>
        <v>0.81951513173455259</v>
      </c>
      <c r="BQ149" s="551">
        <f t="shared" si="144"/>
        <v>33109.230837207659</v>
      </c>
      <c r="BT149" s="547">
        <f>'Hilfstabellen_Mat&amp;Bem'!$J$58</f>
        <v>3.5</v>
      </c>
      <c r="BU149" s="546">
        <f t="shared" si="145"/>
        <v>201</v>
      </c>
      <c r="BV149" s="551">
        <f t="shared" si="146"/>
        <v>60.320177378020603</v>
      </c>
      <c r="BW149" s="553">
        <f>BV149/PI()*SQRT('Hilfstabellen_Mat&amp;Bem'!f.Rd.3/'Hilfstabellen_Mat&amp;Bem'!$BD$30)</f>
        <v>0.9600254397891903</v>
      </c>
      <c r="BX149" s="553">
        <f>0.5*(1+'Hilfstabellen_Mat&amp;Bem'!$BD$31*(BW149-0.3)+BW149^2)</f>
        <v>0.9938256945106736</v>
      </c>
      <c r="BY149" s="550">
        <f t="shared" si="147"/>
        <v>0.79948226804659361</v>
      </c>
      <c r="CA149" s="551">
        <f t="shared" si="148"/>
        <v>32299.883111350427</v>
      </c>
      <c r="CD149" s="547">
        <f>'Hilfstabellen_Mat&amp;Bem'!$J$59</f>
        <v>3.6</v>
      </c>
      <c r="CE149" s="546">
        <f t="shared" si="149"/>
        <v>201</v>
      </c>
      <c r="CF149" s="551">
        <f t="shared" si="150"/>
        <v>62.043611017392614</v>
      </c>
      <c r="CG149" s="553">
        <f>CF149/PI()*SQRT('Hilfstabellen_Mat&amp;Bem'!f.Rd.3/'Hilfstabellen_Mat&amp;Bem'!$BD$30)</f>
        <v>0.98745473806888118</v>
      </c>
      <c r="CH149" s="553">
        <f>0.5*(1+'Hilfstabellen_Mat&amp;Bem'!$BD$31*(CG149-0.3)+CG149^2)</f>
        <v>1.0219061667707856</v>
      </c>
      <c r="CI149" s="550">
        <f t="shared" si="151"/>
        <v>0.77820207324463619</v>
      </c>
      <c r="CK149" s="551">
        <f t="shared" si="152"/>
        <v>31440.141961156547</v>
      </c>
      <c r="CN149" s="547">
        <f>'Hilfstabellen_Mat&amp;Bem'!$J$60</f>
        <v>3.7</v>
      </c>
      <c r="CO149" s="546">
        <f t="shared" si="153"/>
        <v>201</v>
      </c>
      <c r="CP149" s="551">
        <f t="shared" si="154"/>
        <v>63.767044656764632</v>
      </c>
      <c r="CQ149" s="553">
        <f>CP149/PI()*SQRT('Hilfstabellen_Mat&amp;Bem'!f.Rd.3/'Hilfstabellen_Mat&amp;Bem'!$BD$30)</f>
        <v>1.0148840363485723</v>
      </c>
      <c r="CR149" s="553">
        <f>0.5*(1+'Hilfstabellen_Mat&amp;Bem'!$BD$31*(CQ149-0.3)+CQ149^2)</f>
        <v>1.0507390054350139</v>
      </c>
      <c r="CS149" s="550">
        <f t="shared" si="155"/>
        <v>0.75592422792134284</v>
      </c>
      <c r="CU149" s="551">
        <f t="shared" si="156"/>
        <v>30540.094732250171</v>
      </c>
      <c r="CX149" s="547">
        <f>'Hilfstabellen_Mat&amp;Bem'!$J$61</f>
        <v>3.8</v>
      </c>
      <c r="CY149" s="546">
        <f t="shared" si="157"/>
        <v>201</v>
      </c>
      <c r="CZ149" s="551">
        <f t="shared" si="158"/>
        <v>65.490478296136644</v>
      </c>
      <c r="DA149" s="553">
        <f>CZ149/PI()*SQRT('Hilfstabellen_Mat&amp;Bem'!f.Rd.3/'Hilfstabellen_Mat&amp;Bem'!$BD$30)</f>
        <v>1.0423133346282636</v>
      </c>
      <c r="DB149" s="553">
        <f>0.5*(1+'Hilfstabellen_Mat&amp;Bem'!$BD$31*(DA149-0.3)+DA149^2)</f>
        <v>1.0803242105033584</v>
      </c>
      <c r="DC149" s="550">
        <f t="shared" si="159"/>
        <v>0.73293778121267916</v>
      </c>
      <c r="DE149" s="551">
        <f t="shared" si="160"/>
        <v>29611.41929877345</v>
      </c>
      <c r="DH149" s="547">
        <f>'Hilfstabellen_Mat&amp;Bem'!$J$62</f>
        <v>3.9</v>
      </c>
      <c r="DI149" s="546">
        <f t="shared" si="161"/>
        <v>201</v>
      </c>
      <c r="DJ149" s="551">
        <f t="shared" si="162"/>
        <v>67.213911935508662</v>
      </c>
      <c r="DK149" s="553">
        <f>DJ149/PI()*SQRT('Hilfstabellen_Mat&amp;Bem'!f.Rd.3/'Hilfstabellen_Mat&amp;Bem'!$BD$30)</f>
        <v>1.0697426329079547</v>
      </c>
      <c r="DL149" s="553">
        <f>0.5*(1+'Hilfstabellen_Mat&amp;Bem'!$BD$31*(DK149-0.3)+DK149^2)</f>
        <v>1.1106617819758193</v>
      </c>
      <c r="DM149" s="550">
        <f t="shared" si="163"/>
        <v>0.70954219966982657</v>
      </c>
      <c r="DO149" s="551">
        <f t="shared" si="164"/>
        <v>28666.214408860662</v>
      </c>
      <c r="DR149" s="547">
        <f>'Hilfstabellen_Mat&amp;Bem'!$J$63</f>
        <v>4</v>
      </c>
      <c r="DS149" s="546">
        <f t="shared" si="165"/>
        <v>201</v>
      </c>
      <c r="DT149" s="551">
        <f t="shared" si="166"/>
        <v>68.93734557488068</v>
      </c>
      <c r="DU149" s="553">
        <f>DT149/PI()*SQRT('Hilfstabellen_Mat&amp;Bem'!f.Rd.3/'Hilfstabellen_Mat&amp;Bem'!$BD$30)</f>
        <v>1.0971719311876458</v>
      </c>
      <c r="DV149" s="553">
        <f>0.5*(1+'Hilfstabellen_Mat&amp;Bem'!$BD$31*(DU149-0.3)+DU149^2)</f>
        <v>1.1417517198523963</v>
      </c>
      <c r="DW149" s="550">
        <f t="shared" si="167"/>
        <v>0.68602157498551064</v>
      </c>
      <c r="DY149" s="551">
        <f t="shared" si="168"/>
        <v>27715.957650989614</v>
      </c>
      <c r="EB149" s="547">
        <f>'Hilfstabellen_Mat&amp;Bem'!$J$64</f>
        <v>4.0999999999999996</v>
      </c>
      <c r="EC149" s="546">
        <f t="shared" si="169"/>
        <v>201</v>
      </c>
      <c r="ED149" s="551">
        <f t="shared" si="170"/>
        <v>70.660779214252699</v>
      </c>
      <c r="EE149" s="553">
        <f>ED149/PI()*SQRT('Hilfstabellen_Mat&amp;Bem'!f.Rd.3/'Hilfstabellen_Mat&amp;Bem'!$BD$30)</f>
        <v>1.1246012294673369</v>
      </c>
      <c r="EF149" s="553">
        <f>0.5*(1+'Hilfstabellen_Mat&amp;Bem'!$BD$31*(EE149-0.3)+EE149^2)</f>
        <v>1.1735940241330898</v>
      </c>
      <c r="EG149" s="550">
        <f t="shared" si="171"/>
        <v>0.66262649129145368</v>
      </c>
      <c r="EI149" s="551">
        <f t="shared" si="172"/>
        <v>26770.772874666021</v>
      </c>
      <c r="EL149" s="547">
        <f>'Hilfstabellen_Mat&amp;Bem'!$J$65</f>
        <v>4.2</v>
      </c>
      <c r="EM149" s="546">
        <f t="shared" si="173"/>
        <v>201</v>
      </c>
      <c r="EN149" s="551">
        <f t="shared" si="174"/>
        <v>72.384212853624717</v>
      </c>
      <c r="EO149" s="553">
        <f>EN149/PI()*SQRT('Hilfstabellen_Mat&amp;Bem'!f.Rd.3/'Hilfstabellen_Mat&amp;Bem'!$BD$30)</f>
        <v>1.1520305277470282</v>
      </c>
      <c r="EP149" s="553">
        <f>0.5*(1+'Hilfstabellen_Mat&amp;Bem'!$BD$31*(EO149-0.3)+EO149^2)</f>
        <v>1.2061886948178995</v>
      </c>
      <c r="EQ149" s="550">
        <f t="shared" si="175"/>
        <v>0.63956464132837199</v>
      </c>
      <c r="ES149" s="551">
        <f t="shared" si="176"/>
        <v>25839.051074307557</v>
      </c>
    </row>
    <row r="150" spans="3:149">
      <c r="C150" s="546">
        <v>202</v>
      </c>
      <c r="D150" s="551">
        <f t="shared" si="131"/>
        <v>48.017250110820356</v>
      </c>
      <c r="E150" s="553">
        <f>$D150/PI()*SQRT('Hilfstabellen_Mat&amp;Bem'!f.Rd.3/'Hilfstabellen_Mat&amp;Bem'!$BD$30)</f>
        <v>0.76421827088169192</v>
      </c>
      <c r="F150" s="553">
        <f>0.5*(1+'Hilfstabellen_Mat&amp;Bem'!$BD$31*($E150-0.3)+$E150^2)</f>
        <v>0.81522569631878605</v>
      </c>
      <c r="G150" s="550">
        <f t="shared" si="132"/>
        <v>0.90986630611635411</v>
      </c>
      <c r="I150" s="551">
        <f t="shared" ref="I150:I213" si="177">C150^2*G150</f>
        <v>37126.184754771712</v>
      </c>
      <c r="M150" s="546">
        <f t="shared" si="133"/>
        <v>202</v>
      </c>
      <c r="N150" s="551">
        <f t="shared" si="123"/>
        <v>49.732151900492518</v>
      </c>
      <c r="O150" s="553">
        <f>$N150/PI()*SQRT('Hilfstabellen_Mat&amp;Bem'!f.Rd.3/'Hilfstabellen_Mat&amp;Bem'!$BD$30)</f>
        <v>0.79151178055603821</v>
      </c>
      <c r="P150" s="553">
        <f>0.5*(1+'Hilfstabellen_Mat&amp;Bem'!$BD$31*($O150-0.3)+$O150^2)</f>
        <v>0.83782103840729683</v>
      </c>
      <c r="Q150" s="550">
        <f t="shared" si="124"/>
        <v>0.89886954837119537</v>
      </c>
      <c r="S150" s="551">
        <f t="shared" ref="S150:S213" si="178">M150^2*Q150</f>
        <v>36677.473051738256</v>
      </c>
      <c r="W150" s="546">
        <f t="shared" si="134"/>
        <v>202</v>
      </c>
      <c r="X150" s="551">
        <f t="shared" si="125"/>
        <v>51.447053690164672</v>
      </c>
      <c r="Y150" s="553">
        <f>$X150/PI()*SQRT('Hilfstabellen_Mat&amp;Bem'!f.Rd.3/'Hilfstabellen_Mat&amp;Bem'!$BD$30)</f>
        <v>0.8188052902303844</v>
      </c>
      <c r="Z150" s="553">
        <f>0.5*(1+'Hilfstabellen_Mat&amp;Bem'!$BD$31*($Y150-0.3)+$Y150^2)</f>
        <v>0.86116131616615121</v>
      </c>
      <c r="AA150" s="550">
        <f t="shared" si="126"/>
        <v>0.8865928376819685</v>
      </c>
      <c r="AC150" s="551">
        <f t="shared" ref="AC150:AC213" si="179">W150^2*AA150</f>
        <v>36176.534148775041</v>
      </c>
      <c r="AG150" s="546">
        <f t="shared" si="135"/>
        <v>202</v>
      </c>
      <c r="AH150" s="551">
        <f t="shared" si="127"/>
        <v>53.16195547983682</v>
      </c>
      <c r="AI150" s="553">
        <f>$AH150/PI()*SQRT('Hilfstabellen_Mat&amp;Bem'!f.Rd.3/'Hilfstabellen_Mat&amp;Bem'!$BD$30)</f>
        <v>0.84609879990473036</v>
      </c>
      <c r="AJ150" s="553">
        <f>0.5*(1+'Hilfstabellen_Mat&amp;Bem'!$BD$31*($AI150-0.3)+$AI150^2)</f>
        <v>0.885246529595349</v>
      </c>
      <c r="AK150" s="550">
        <f t="shared" si="128"/>
        <v>0.87291335536854597</v>
      </c>
      <c r="AM150" s="551">
        <f t="shared" ref="AM150:AM213" si="180">AG150^2*AK150</f>
        <v>35618.35655245815</v>
      </c>
      <c r="AQ150" s="546">
        <f t="shared" si="136"/>
        <v>202</v>
      </c>
      <c r="AR150" s="551">
        <f t="shared" si="129"/>
        <v>54.876857269508982</v>
      </c>
      <c r="AS150" s="553">
        <f>$AR150/PI()*SQRT('Hilfstabellen_Mat&amp;Bem'!f.Rd.3/'Hilfstabellen_Mat&amp;Bem'!$BD$30)</f>
        <v>0.87339230957907654</v>
      </c>
      <c r="AT150" s="553">
        <f>0.5*(1+'Hilfstabellen_Mat&amp;Bem'!$BD$31*($AS150-0.3)+$AS150^2)</f>
        <v>0.91007667869489062</v>
      </c>
      <c r="AU150" s="550">
        <f t="shared" si="130"/>
        <v>0.85773544968121351</v>
      </c>
      <c r="AW150" s="551">
        <f t="shared" ref="AW150:AW213" si="181">AQ150^2*AU150</f>
        <v>34999.037288792235</v>
      </c>
      <c r="AZ150" s="547">
        <f>'Hilfstabellen_Mat&amp;Bem'!$J$56</f>
        <v>3.3</v>
      </c>
      <c r="BA150" s="546">
        <f t="shared" si="137"/>
        <v>202</v>
      </c>
      <c r="BB150" s="551">
        <f t="shared" si="138"/>
        <v>56.591759059181129</v>
      </c>
      <c r="BC150" s="553">
        <f>BB150/PI()*SQRT('Hilfstabellen_Mat&amp;Bem'!f.Rd.3/'Hilfstabellen_Mat&amp;Bem'!$BD$30)</f>
        <v>0.90068581925342261</v>
      </c>
      <c r="BD150" s="553">
        <f>0.5*(1+'Hilfstabellen_Mat&amp;Bem'!$BD$31*(BC150-0.3)+BC150^2)</f>
        <v>0.93565176346477574</v>
      </c>
      <c r="BE150" s="550">
        <f t="shared" si="139"/>
        <v>0.84100946527693332</v>
      </c>
      <c r="BG150" s="551">
        <f t="shared" si="140"/>
        <v>34316.550221159989</v>
      </c>
      <c r="BJ150" s="547">
        <f>'Hilfstabellen_Mat&amp;Bem'!$J$57</f>
        <v>3.4</v>
      </c>
      <c r="BK150" s="546">
        <f t="shared" si="141"/>
        <v>202</v>
      </c>
      <c r="BL150" s="551">
        <f t="shared" si="142"/>
        <v>58.306660848853291</v>
      </c>
      <c r="BM150" s="553">
        <f>BL150/PI()*SQRT('Hilfstabellen_Mat&amp;Bem'!f.Rd.3/'Hilfstabellen_Mat&amp;Bem'!$BD$30)</f>
        <v>0.9279793289277688</v>
      </c>
      <c r="BN150" s="553">
        <f>0.5*(1+'Hilfstabellen_Mat&amp;Bem'!$BD$31*(BM150-0.3)+BM150^2)</f>
        <v>0.96197178390500448</v>
      </c>
      <c r="BO150" s="550">
        <f t="shared" si="143"/>
        <v>0.82275006653800598</v>
      </c>
      <c r="BQ150" s="551">
        <f t="shared" si="144"/>
        <v>33571.493715016797</v>
      </c>
      <c r="BT150" s="547">
        <f>'Hilfstabellen_Mat&amp;Bem'!$J$58</f>
        <v>3.5</v>
      </c>
      <c r="BU150" s="546">
        <f t="shared" si="145"/>
        <v>202</v>
      </c>
      <c r="BV150" s="551">
        <f t="shared" si="146"/>
        <v>60.021562638525445</v>
      </c>
      <c r="BW150" s="553">
        <f>BV150/PI()*SQRT('Hilfstabellen_Mat&amp;Bem'!f.Rd.3/'Hilfstabellen_Mat&amp;Bem'!$BD$30)</f>
        <v>0.95527283860211498</v>
      </c>
      <c r="BX150" s="553">
        <f>0.5*(1+'Hilfstabellen_Mat&amp;Bem'!$BD$31*(BW150-0.3)+BW150^2)</f>
        <v>0.98903674001557695</v>
      </c>
      <c r="BY150" s="550">
        <f t="shared" si="147"/>
        <v>0.80304877410335129</v>
      </c>
      <c r="CA150" s="551">
        <f t="shared" si="148"/>
        <v>32767.602178513145</v>
      </c>
      <c r="CD150" s="547">
        <f>'Hilfstabellen_Mat&amp;Bem'!$J$59</f>
        <v>3.6</v>
      </c>
      <c r="CE150" s="546">
        <f t="shared" si="149"/>
        <v>202</v>
      </c>
      <c r="CF150" s="551">
        <f t="shared" si="150"/>
        <v>61.736464428197607</v>
      </c>
      <c r="CG150" s="553">
        <f>CF150/PI()*SQRT('Hilfstabellen_Mat&amp;Bem'!f.Rd.3/'Hilfstabellen_Mat&amp;Bem'!$BD$30)</f>
        <v>0.98256634827646117</v>
      </c>
      <c r="CH150" s="553">
        <f>0.5*(1+'Hilfstabellen_Mat&amp;Bem'!$BD$31*(CG150-0.3)+CG150^2)</f>
        <v>1.016846631796493</v>
      </c>
      <c r="CI150" s="550">
        <f t="shared" si="151"/>
        <v>0.78207549845151725</v>
      </c>
      <c r="CK150" s="551">
        <f t="shared" si="152"/>
        <v>31911.80863881571</v>
      </c>
      <c r="CN150" s="547">
        <f>'Hilfstabellen_Mat&amp;Bem'!$J$60</f>
        <v>3.7</v>
      </c>
      <c r="CO150" s="546">
        <f t="shared" si="153"/>
        <v>202</v>
      </c>
      <c r="CP150" s="551">
        <f t="shared" si="154"/>
        <v>63.451366217869761</v>
      </c>
      <c r="CQ150" s="553">
        <f>CP150/PI()*SQRT('Hilfstabellen_Mat&amp;Bem'!f.Rd.3/'Hilfstabellen_Mat&amp;Bem'!$BD$30)</f>
        <v>1.0098598579508073</v>
      </c>
      <c r="CR150" s="553">
        <f>0.5*(1+'Hilfstabellen_Mat&amp;Bem'!$BD$31*(CQ150-0.3)+CQ150^2)</f>
        <v>1.0454014592477527</v>
      </c>
      <c r="CS150" s="550">
        <f t="shared" si="155"/>
        <v>0.76006666924119348</v>
      </c>
      <c r="CU150" s="551">
        <f t="shared" si="156"/>
        <v>31013.760371717657</v>
      </c>
      <c r="CX150" s="547">
        <f>'Hilfstabellen_Mat&amp;Bem'!$J$61</f>
        <v>3.8</v>
      </c>
      <c r="CY150" s="546">
        <f t="shared" si="157"/>
        <v>202</v>
      </c>
      <c r="CZ150" s="551">
        <f t="shared" si="158"/>
        <v>65.166268007541916</v>
      </c>
      <c r="DA150" s="553">
        <f>CZ150/PI()*SQRT('Hilfstabellen_Mat&amp;Bem'!f.Rd.3/'Hilfstabellen_Mat&amp;Bem'!$BD$30)</f>
        <v>1.0371533676251534</v>
      </c>
      <c r="DB150" s="553">
        <f>0.5*(1+'Hilfstabellen_Mat&amp;Bem'!$BD$31*(DA150-0.3)+DA150^2)</f>
        <v>1.0747012223693559</v>
      </c>
      <c r="DC150" s="550">
        <f t="shared" si="159"/>
        <v>0.73730219090065796</v>
      </c>
      <c r="DE150" s="551">
        <f t="shared" si="160"/>
        <v>30084.878597510447</v>
      </c>
      <c r="DH150" s="547">
        <f>'Hilfstabellen_Mat&amp;Bem'!$J$62</f>
        <v>3.9</v>
      </c>
      <c r="DI150" s="546">
        <f t="shared" si="161"/>
        <v>202</v>
      </c>
      <c r="DJ150" s="551">
        <f t="shared" si="162"/>
        <v>66.881169797214071</v>
      </c>
      <c r="DK150" s="553">
        <f>DJ150/PI()*SQRT('Hilfstabellen_Mat&amp;Bem'!f.Rd.3/'Hilfstabellen_Mat&amp;Bem'!$BD$30)</f>
        <v>1.0644468772994995</v>
      </c>
      <c r="DL150" s="553">
        <f>0.5*(1+'Hilfstabellen_Mat&amp;Bem'!$BD$31*(DK150-0.3)+DK150^2)</f>
        <v>1.1047459211613027</v>
      </c>
      <c r="DM150" s="550">
        <f t="shared" si="163"/>
        <v>0.71407732635703625</v>
      </c>
      <c r="DO150" s="551">
        <f t="shared" si="164"/>
        <v>29137.211224672508</v>
      </c>
      <c r="DR150" s="547">
        <f>'Hilfstabellen_Mat&amp;Bem'!$J$63</f>
        <v>4</v>
      </c>
      <c r="DS150" s="546">
        <f t="shared" si="165"/>
        <v>202</v>
      </c>
      <c r="DT150" s="551">
        <f t="shared" si="166"/>
        <v>68.596071586886225</v>
      </c>
      <c r="DU150" s="553">
        <f>DT150/PI()*SQRT('Hilfstabellen_Mat&amp;Bem'!f.Rd.3/'Hilfstabellen_Mat&amp;Bem'!$BD$30)</f>
        <v>1.0917403869738456</v>
      </c>
      <c r="DV150" s="553">
        <f>0.5*(1+'Hilfstabellen_Mat&amp;Bem'!$BD$31*(DU150-0.3)+DU150^2)</f>
        <v>1.1355355556235933</v>
      </c>
      <c r="DW150" s="550">
        <f t="shared" si="167"/>
        <v>0.69067652353040021</v>
      </c>
      <c r="DY150" s="551">
        <f t="shared" si="168"/>
        <v>28182.364866134449</v>
      </c>
      <c r="EB150" s="547">
        <f>'Hilfstabellen_Mat&amp;Bem'!$J$64</f>
        <v>4.0999999999999996</v>
      </c>
      <c r="EC150" s="546">
        <f t="shared" si="169"/>
        <v>202</v>
      </c>
      <c r="ED150" s="551">
        <f t="shared" si="170"/>
        <v>70.31097337655838</v>
      </c>
      <c r="EE150" s="553">
        <f>ED150/PI()*SQRT('Hilfstabellen_Mat&amp;Bem'!f.Rd.3/'Hilfstabellen_Mat&amp;Bem'!$BD$30)</f>
        <v>1.1190338966481919</v>
      </c>
      <c r="EF150" s="553">
        <f>0.5*(1+'Hilfstabellen_Mat&amp;Bem'!$BD$31*(EE150-0.3)+EE150^2)</f>
        <v>1.1670701257562275</v>
      </c>
      <c r="EG150" s="550">
        <f t="shared" si="171"/>
        <v>0.66735412081831025</v>
      </c>
      <c r="EI150" s="551">
        <f t="shared" si="172"/>
        <v>27230.717545870331</v>
      </c>
      <c r="EL150" s="547">
        <f>'Hilfstabellen_Mat&amp;Bem'!$J$65</f>
        <v>4.2</v>
      </c>
      <c r="EM150" s="546">
        <f t="shared" si="173"/>
        <v>202</v>
      </c>
      <c r="EN150" s="551">
        <f t="shared" si="174"/>
        <v>72.025875166230534</v>
      </c>
      <c r="EO150" s="553">
        <f>EN150/PI()*SQRT('Hilfstabellen_Mat&amp;Bem'!f.Rd.3/'Hilfstabellen_Mat&amp;Bem'!$BD$30)</f>
        <v>1.1463274063225379</v>
      </c>
      <c r="EP150" s="553">
        <f>0.5*(1+'Hilfstabellen_Mat&amp;Bem'!$BD$31*(EO150-0.3)+EO150^2)</f>
        <v>1.1993496315592054</v>
      </c>
      <c r="EQ150" s="550">
        <f t="shared" si="175"/>
        <v>0.64432357882785685</v>
      </c>
      <c r="ES150" s="551">
        <f t="shared" si="176"/>
        <v>26290.979310491872</v>
      </c>
    </row>
    <row r="151" spans="3:149">
      <c r="C151" s="546">
        <v>203</v>
      </c>
      <c r="D151" s="551">
        <f t="shared" si="131"/>
        <v>47.780711932934537</v>
      </c>
      <c r="E151" s="553">
        <f>$D151/PI()*SQRT('Hilfstabellen_Mat&amp;Bem'!f.Rd.3/'Hilfstabellen_Mat&amp;Bem'!$BD$30)</f>
        <v>0.7604536488576441</v>
      </c>
      <c r="F151" s="553">
        <f>0.5*(1+'Hilfstabellen_Mat&amp;Bem'!$BD$31*($E151-0.3)+$E151^2)</f>
        <v>0.81216755847333477</v>
      </c>
      <c r="G151" s="550">
        <f t="shared" si="132"/>
        <v>0.9112901156667117</v>
      </c>
      <c r="I151" s="551">
        <f t="shared" si="177"/>
        <v>37553.354376509524</v>
      </c>
      <c r="M151" s="546">
        <f t="shared" si="133"/>
        <v>203</v>
      </c>
      <c r="N151" s="551">
        <f t="shared" si="123"/>
        <v>49.487165930539348</v>
      </c>
      <c r="O151" s="553">
        <f>$N151/PI()*SQRT('Hilfstabellen_Mat&amp;Bem'!f.Rd.3/'Hilfstabellen_Mat&amp;Bem'!$BD$30)</f>
        <v>0.78761270774541725</v>
      </c>
      <c r="P151" s="553">
        <f>0.5*(1+'Hilfstabellen_Mat&amp;Bem'!$BD$31*($O151-0.3)+$O151^2)</f>
        <v>0.8345475240883049</v>
      </c>
      <c r="Q151" s="550">
        <f t="shared" si="124"/>
        <v>0.90051580877540705</v>
      </c>
      <c r="S151" s="551">
        <f t="shared" si="178"/>
        <v>37109.35596382575</v>
      </c>
      <c r="W151" s="546">
        <f t="shared" si="134"/>
        <v>203</v>
      </c>
      <c r="X151" s="551">
        <f t="shared" si="125"/>
        <v>51.193619928144159</v>
      </c>
      <c r="Y151" s="553">
        <f>$X151/PI()*SQRT('Hilfstabellen_Mat&amp;Bem'!f.Rd.3/'Hilfstabellen_Mat&amp;Bem'!$BD$30)</f>
        <v>0.8147717666331904</v>
      </c>
      <c r="Z151" s="553">
        <f>0.5*(1+'Hilfstabellen_Mat&amp;Bem'!$BD$31*($Y151-0.3)+$Y151^2)</f>
        <v>0.85766510418294462</v>
      </c>
      <c r="AA151" s="550">
        <f t="shared" si="126"/>
        <v>0.88849272376668742</v>
      </c>
      <c r="AC151" s="551">
        <f t="shared" si="179"/>
        <v>36613.89665370142</v>
      </c>
      <c r="AG151" s="546">
        <f t="shared" si="135"/>
        <v>203</v>
      </c>
      <c r="AH151" s="551">
        <f t="shared" si="127"/>
        <v>52.900073925748963</v>
      </c>
      <c r="AI151" s="553">
        <f>$AH151/PI()*SQRT('Hilfstabellen_Mat&amp;Bem'!f.Rd.3/'Hilfstabellen_Mat&amp;Bem'!$BD$30)</f>
        <v>0.84193082552096321</v>
      </c>
      <c r="AJ151" s="553">
        <f>0.5*(1+'Hilfstabellen_Mat&amp;Bem'!$BD$31*($AI151-0.3)+$AI151^2)</f>
        <v>0.88152029875725346</v>
      </c>
      <c r="AK151" s="550">
        <f t="shared" si="128"/>
        <v>0.87509733386022104</v>
      </c>
      <c r="AM151" s="551">
        <f t="shared" si="180"/>
        <v>36061.886031045848</v>
      </c>
      <c r="AQ151" s="546">
        <f t="shared" si="136"/>
        <v>203</v>
      </c>
      <c r="AR151" s="551">
        <f t="shared" si="129"/>
        <v>54.606527923353767</v>
      </c>
      <c r="AS151" s="553">
        <f>$AR151/PI()*SQRT('Hilfstabellen_Mat&amp;Bem'!f.Rd.3/'Hilfstabellen_Mat&amp;Bem'!$BD$30)</f>
        <v>0.86908988440873625</v>
      </c>
      <c r="AT151" s="553">
        <f>0.5*(1+'Hilfstabellen_Mat&amp;Bem'!$BD$31*($AS151-0.3)+$AS151^2)</f>
        <v>0.90611310781123211</v>
      </c>
      <c r="AU151" s="550">
        <f t="shared" si="130"/>
        <v>0.8602302090950853</v>
      </c>
      <c r="AW151" s="551">
        <f t="shared" si="181"/>
        <v>35449.226686599373</v>
      </c>
      <c r="AZ151" s="547">
        <f>'Hilfstabellen_Mat&amp;Bem'!$J$56</f>
        <v>3.3</v>
      </c>
      <c r="BA151" s="546">
        <f t="shared" si="137"/>
        <v>203</v>
      </c>
      <c r="BB151" s="551">
        <f t="shared" si="138"/>
        <v>56.312981920958563</v>
      </c>
      <c r="BC151" s="553">
        <f>BB151/PI()*SQRT('Hilfstabellen_Mat&amp;Bem'!f.Rd.3/'Hilfstabellen_Mat&amp;Bem'!$BD$30)</f>
        <v>0.89624894329650917</v>
      </c>
      <c r="BD151" s="553">
        <f>0.5*(1+'Hilfstabellen_Mat&amp;Bem'!$BD$31*(BC151-0.3)+BC151^2)</f>
        <v>0.93144353134488012</v>
      </c>
      <c r="BE151" s="550">
        <f t="shared" si="139"/>
        <v>0.84383411819138032</v>
      </c>
      <c r="BG151" s="551">
        <f t="shared" si="140"/>
        <v>34773.560176548592</v>
      </c>
      <c r="BJ151" s="547">
        <f>'Hilfstabellen_Mat&amp;Bem'!$J$57</f>
        <v>3.4</v>
      </c>
      <c r="BK151" s="546">
        <f t="shared" si="141"/>
        <v>203</v>
      </c>
      <c r="BL151" s="551">
        <f t="shared" si="142"/>
        <v>58.019435918563381</v>
      </c>
      <c r="BM151" s="553">
        <f>BL151/PI()*SQRT('Hilfstabellen_Mat&amp;Bem'!f.Rd.3/'Hilfstabellen_Mat&amp;Bem'!$BD$30)</f>
        <v>0.92340800218428232</v>
      </c>
      <c r="BN151" s="553">
        <f>0.5*(1+'Hilfstabellen_Mat&amp;Bem'!$BD$31*(BM151-0.3)+BM151^2)</f>
        <v>0.95751156935819792</v>
      </c>
      <c r="BO151" s="550">
        <f t="shared" si="143"/>
        <v>0.82591229946798894</v>
      </c>
      <c r="BQ151" s="551">
        <f t="shared" si="144"/>
        <v>34035.019948776353</v>
      </c>
      <c r="BT151" s="547">
        <f>'Hilfstabellen_Mat&amp;Bem'!$J$58</f>
        <v>3.5</v>
      </c>
      <c r="BU151" s="546">
        <f t="shared" si="145"/>
        <v>203</v>
      </c>
      <c r="BV151" s="551">
        <f t="shared" si="146"/>
        <v>59.725889916168185</v>
      </c>
      <c r="BW151" s="553">
        <f>BV151/PI()*SQRT('Hilfstabellen_Mat&amp;Bem'!f.Rd.3/'Hilfstabellen_Mat&amp;Bem'!$BD$30)</f>
        <v>0.95056706107205535</v>
      </c>
      <c r="BX151" s="553">
        <f>0.5*(1+'Hilfstabellen_Mat&amp;Bem'!$BD$31*(BW151-0.3)+BW151^2)</f>
        <v>0.98431722185118509</v>
      </c>
      <c r="BY151" s="550">
        <f t="shared" si="147"/>
        <v>0.80654198154921952</v>
      </c>
      <c r="CA151" s="551">
        <f t="shared" si="148"/>
        <v>33236.788517661786</v>
      </c>
      <c r="CD151" s="547">
        <f>'Hilfstabellen_Mat&amp;Bem'!$J$59</f>
        <v>3.6</v>
      </c>
      <c r="CE151" s="546">
        <f t="shared" si="149"/>
        <v>203</v>
      </c>
      <c r="CF151" s="551">
        <f t="shared" si="150"/>
        <v>61.432343913772989</v>
      </c>
      <c r="CG151" s="553">
        <f>CF151/PI()*SQRT('Hilfstabellen_Mat&amp;Bem'!f.Rd.3/'Hilfstabellen_Mat&amp;Bem'!$BD$30)</f>
        <v>0.97772611995982839</v>
      </c>
      <c r="CH151" s="553">
        <f>0.5*(1+'Hilfstabellen_Mat&amp;Bem'!$BD$31*(CG151-0.3)+CG151^2)</f>
        <v>1.0118604888238418</v>
      </c>
      <c r="CI151" s="550">
        <f t="shared" si="151"/>
        <v>0.78587792452339034</v>
      </c>
      <c r="CK151" s="551">
        <f t="shared" si="152"/>
        <v>32385.243391684391</v>
      </c>
      <c r="CN151" s="547">
        <f>'Hilfstabellen_Mat&amp;Bem'!$J$60</f>
        <v>3.7</v>
      </c>
      <c r="CO151" s="546">
        <f t="shared" si="153"/>
        <v>203</v>
      </c>
      <c r="CP151" s="551">
        <f t="shared" si="154"/>
        <v>63.138797911377793</v>
      </c>
      <c r="CQ151" s="553">
        <f>CP151/PI()*SQRT('Hilfstabellen_Mat&amp;Bem'!f.Rd.3/'Hilfstabellen_Mat&amp;Bem'!$BD$30)</f>
        <v>1.0048851788476012</v>
      </c>
      <c r="CR151" s="553">
        <f>0.5*(1+'Hilfstabellen_Mat&amp;Bem'!$BD$31*(CQ151-0.3)+CQ151^2)</f>
        <v>1.0401413702761677</v>
      </c>
      <c r="CS151" s="550">
        <f t="shared" si="155"/>
        <v>0.76414303557801433</v>
      </c>
      <c r="CU151" s="551">
        <f t="shared" si="156"/>
        <v>31489.570353134393</v>
      </c>
      <c r="CX151" s="547">
        <f>'Hilfstabellen_Mat&amp;Bem'!$J$61</f>
        <v>3.8</v>
      </c>
      <c r="CY151" s="546">
        <f t="shared" si="157"/>
        <v>203</v>
      </c>
      <c r="CZ151" s="551">
        <f t="shared" si="158"/>
        <v>64.845251908982604</v>
      </c>
      <c r="DA151" s="553">
        <f>CZ151/PI()*SQRT('Hilfstabellen_Mat&amp;Bem'!f.Rd.3/'Hilfstabellen_Mat&amp;Bem'!$BD$30)</f>
        <v>1.0320442377353745</v>
      </c>
      <c r="DB151" s="553">
        <f>0.5*(1+'Hilfstabellen_Mat&amp;Bem'!$BD$31*(DA151-0.3)+DA151^2)</f>
        <v>1.0691598662081638</v>
      </c>
      <c r="DC151" s="550">
        <f t="shared" si="159"/>
        <v>0.74160742874714392</v>
      </c>
      <c r="DE151" s="551">
        <f t="shared" si="160"/>
        <v>30560.900531241052</v>
      </c>
      <c r="DH151" s="547">
        <f>'Hilfstabellen_Mat&amp;Bem'!$J$62</f>
        <v>3.9</v>
      </c>
      <c r="DI151" s="546">
        <f t="shared" si="161"/>
        <v>203</v>
      </c>
      <c r="DJ151" s="551">
        <f t="shared" si="162"/>
        <v>66.551705906587401</v>
      </c>
      <c r="DK151" s="553">
        <f>DJ151/PI()*SQRT('Hilfstabellen_Mat&amp;Bem'!f.Rd.3/'Hilfstabellen_Mat&amp;Bem'!$BD$30)</f>
        <v>1.0592032966231473</v>
      </c>
      <c r="DL151" s="553">
        <f>0.5*(1+'Hilfstabellen_Mat&amp;Bem'!$BD$31*(DK151-0.3)+DK151^2)</f>
        <v>1.0989159766198289</v>
      </c>
      <c r="DM151" s="550">
        <f t="shared" si="163"/>
        <v>0.71856134548939932</v>
      </c>
      <c r="DO151" s="551">
        <f t="shared" si="164"/>
        <v>29611.194486272656</v>
      </c>
      <c r="DR151" s="547">
        <f>'Hilfstabellen_Mat&amp;Bem'!$J$63</f>
        <v>4</v>
      </c>
      <c r="DS151" s="546">
        <f t="shared" si="165"/>
        <v>203</v>
      </c>
      <c r="DT151" s="551">
        <f t="shared" si="166"/>
        <v>68.258159904192212</v>
      </c>
      <c r="DU151" s="553">
        <f>DT151/PI()*SQRT('Hilfstabellen_Mat&amp;Bem'!f.Rd.3/'Hilfstabellen_Mat&amp;Bem'!$BD$30)</f>
        <v>1.0863623555109203</v>
      </c>
      <c r="DV151" s="553">
        <f>0.5*(1+'Hilfstabellen_Mat&amp;Bem'!$BD$31*(DU151-0.3)+DU151^2)</f>
        <v>1.1294097015111637</v>
      </c>
      <c r="DW151" s="550">
        <f t="shared" si="167"/>
        <v>0.69528880655135872</v>
      </c>
      <c r="DY151" s="551">
        <f t="shared" si="168"/>
        <v>28652.156429174942</v>
      </c>
      <c r="EB151" s="547">
        <f>'Hilfstabellen_Mat&amp;Bem'!$J$64</f>
        <v>4.0999999999999996</v>
      </c>
      <c r="EC151" s="546">
        <f t="shared" si="169"/>
        <v>203</v>
      </c>
      <c r="ED151" s="551">
        <f t="shared" si="170"/>
        <v>69.964613901797009</v>
      </c>
      <c r="EE151" s="553">
        <f>ED151/PI()*SQRT('Hilfstabellen_Mat&amp;Bem'!f.Rd.3/'Hilfstabellen_Mat&amp;Bem'!$BD$30)</f>
        <v>1.1135214143986933</v>
      </c>
      <c r="EF151" s="553">
        <f>0.5*(1+'Hilfstabellen_Mat&amp;Bem'!$BD$31*(EE151-0.3)+EE151^2)</f>
        <v>1.1606410408821679</v>
      </c>
      <c r="EG151" s="550">
        <f t="shared" si="171"/>
        <v>0.67204728960085103</v>
      </c>
      <c r="EI151" s="551">
        <f t="shared" si="172"/>
        <v>27694.39675716147</v>
      </c>
      <c r="EL151" s="547">
        <f>'Hilfstabellen_Mat&amp;Bem'!$J$65</f>
        <v>4.2</v>
      </c>
      <c r="EM151" s="546">
        <f t="shared" si="173"/>
        <v>203</v>
      </c>
      <c r="EN151" s="551">
        <f t="shared" si="174"/>
        <v>71.67106789940182</v>
      </c>
      <c r="EO151" s="553">
        <f>EN151/PI()*SQRT('Hilfstabellen_Mat&amp;Bem'!f.Rd.3/'Hilfstabellen_Mat&amp;Bem'!$BD$30)</f>
        <v>1.1406804732864664</v>
      </c>
      <c r="EP151" s="553">
        <f>0.5*(1+'Hilfstabellen_Mat&amp;Bem'!$BD$31*(EO151-0.3)+EO151^2)</f>
        <v>1.1926099947328419</v>
      </c>
      <c r="EQ151" s="550">
        <f t="shared" si="175"/>
        <v>0.64905562065849165</v>
      </c>
      <c r="ES151" s="551">
        <f t="shared" si="176"/>
        <v>26746.933071715783</v>
      </c>
    </row>
    <row r="152" spans="3:149">
      <c r="C152" s="546">
        <v>204</v>
      </c>
      <c r="D152" s="551">
        <f t="shared" si="131"/>
        <v>47.546492756792702</v>
      </c>
      <c r="E152" s="553">
        <f>$D152/PI()*SQRT('Hilfstabellen_Mat&amp;Bem'!f.Rd.3/'Hilfstabellen_Mat&amp;Bem'!$BD$30)</f>
        <v>0.75672593489265572</v>
      </c>
      <c r="F152" s="553">
        <f>0.5*(1+'Hilfstabellen_Mat&amp;Bem'!$BD$31*($E152-0.3)+$E152^2)</f>
        <v>0.80915336701421481</v>
      </c>
      <c r="G152" s="550">
        <f t="shared" si="132"/>
        <v>0.9126788394236639</v>
      </c>
      <c r="I152" s="551">
        <f t="shared" si="177"/>
        <v>37982.0425814552</v>
      </c>
      <c r="M152" s="546">
        <f t="shared" si="133"/>
        <v>204</v>
      </c>
      <c r="N152" s="551">
        <f t="shared" si="123"/>
        <v>49.244581783821019</v>
      </c>
      <c r="O152" s="553">
        <f>$N152/PI()*SQRT('Hilfstabellen_Mat&amp;Bem'!f.Rd.3/'Hilfstabellen_Mat&amp;Bem'!$BD$30)</f>
        <v>0.78375186113882211</v>
      </c>
      <c r="P152" s="553">
        <f>0.5*(1+'Hilfstabellen_Mat&amp;Bem'!$BD$31*($O152-0.3)+$O152^2)</f>
        <v>0.83132108297622476</v>
      </c>
      <c r="Q152" s="550">
        <f t="shared" si="124"/>
        <v>0.90212055285117876</v>
      </c>
      <c r="S152" s="551">
        <f t="shared" si="178"/>
        <v>37542.648927454655</v>
      </c>
      <c r="W152" s="546">
        <f t="shared" si="134"/>
        <v>204</v>
      </c>
      <c r="X152" s="551">
        <f t="shared" si="125"/>
        <v>50.942670810849329</v>
      </c>
      <c r="Y152" s="553">
        <f>$X152/PI()*SQRT('Hilfstabellen_Mat&amp;Bem'!f.Rd.3/'Hilfstabellen_Mat&amp;Bem'!$BD$30)</f>
        <v>0.8107777873849884</v>
      </c>
      <c r="Z152" s="553">
        <f>0.5*(1+'Hilfstabellen_Mat&amp;Bem'!$BD$31*($Y152-0.3)+$Y152^2)</f>
        <v>0.85421919962769821</v>
      </c>
      <c r="AA152" s="550">
        <f t="shared" si="126"/>
        <v>0.89034411565570126</v>
      </c>
      <c r="AC152" s="551">
        <f t="shared" si="179"/>
        <v>37052.560717127664</v>
      </c>
      <c r="AG152" s="546">
        <f t="shared" si="135"/>
        <v>204</v>
      </c>
      <c r="AH152" s="551">
        <f t="shared" si="127"/>
        <v>52.640759837877638</v>
      </c>
      <c r="AI152" s="553">
        <f>$AH152/PI()*SQRT('Hilfstabellen_Mat&amp;Bem'!f.Rd.3/'Hilfstabellen_Mat&amp;Bem'!$BD$30)</f>
        <v>0.83780371363115469</v>
      </c>
      <c r="AJ152" s="553">
        <f>0.5*(1+'Hilfstabellen_Mat&amp;Bem'!$BD$31*($AI152-0.3)+$AI152^2)</f>
        <v>0.87784771696863473</v>
      </c>
      <c r="AK152" s="550">
        <f t="shared" si="128"/>
        <v>0.87722566659191514</v>
      </c>
      <c r="AM152" s="551">
        <f t="shared" si="180"/>
        <v>36506.623340889142</v>
      </c>
      <c r="AQ152" s="546">
        <f t="shared" si="136"/>
        <v>204</v>
      </c>
      <c r="AR152" s="551">
        <f t="shared" si="129"/>
        <v>54.338848864905948</v>
      </c>
      <c r="AS152" s="553">
        <f>$AR152/PI()*SQRT('Hilfstabellen_Mat&amp;Bem'!f.Rd.3/'Hilfstabellen_Mat&amp;Bem'!$BD$30)</f>
        <v>0.86482963987732087</v>
      </c>
      <c r="AT152" s="553">
        <f>0.5*(1+'Hilfstabellen_Mat&amp;Bem'!$BD$31*($AS152-0.3)+$AS152^2)</f>
        <v>0.90220663499903431</v>
      </c>
      <c r="AU152" s="550">
        <f t="shared" si="130"/>
        <v>0.86266257906710841</v>
      </c>
      <c r="AW152" s="551">
        <f t="shared" si="181"/>
        <v>35900.565890456783</v>
      </c>
      <c r="AZ152" s="547">
        <f>'Hilfstabellen_Mat&amp;Bem'!$J$56</f>
        <v>3.3</v>
      </c>
      <c r="BA152" s="546">
        <f t="shared" si="137"/>
        <v>204</v>
      </c>
      <c r="BB152" s="551">
        <f t="shared" si="138"/>
        <v>56.036937891934258</v>
      </c>
      <c r="BC152" s="553">
        <f>BB152/PI()*SQRT('Hilfstabellen_Mat&amp;Bem'!f.Rd.3/'Hilfstabellen_Mat&amp;Bem'!$BD$30)</f>
        <v>0.89185556612348715</v>
      </c>
      <c r="BD152" s="553">
        <f>0.5*(1+'Hilfstabellen_Mat&amp;Bem'!$BD$31*(BC152-0.3)+BC152^2)</f>
        <v>0.92729595371889717</v>
      </c>
      <c r="BE152" s="550">
        <f t="shared" si="139"/>
        <v>0.84659079555428773</v>
      </c>
      <c r="BG152" s="551">
        <f t="shared" si="140"/>
        <v>35231.722547787242</v>
      </c>
      <c r="BJ152" s="547">
        <f>'Hilfstabellen_Mat&amp;Bem'!$J$57</f>
        <v>3.4</v>
      </c>
      <c r="BK152" s="546">
        <f t="shared" si="141"/>
        <v>204</v>
      </c>
      <c r="BL152" s="551">
        <f t="shared" si="142"/>
        <v>57.735026918962575</v>
      </c>
      <c r="BM152" s="553">
        <f>BL152/PI()*SQRT('Hilfstabellen_Mat&amp;Bem'!f.Rd.3/'Hilfstabellen_Mat&amp;Bem'!$BD$30)</f>
        <v>0.91888149236965355</v>
      </c>
      <c r="BN152" s="553">
        <f>0.5*(1+'Hilfstabellen_Mat&amp;Bem'!$BD$31*(BM152-0.3)+BM152^2)</f>
        <v>0.95311567312822354</v>
      </c>
      <c r="BO152" s="550">
        <f t="shared" si="143"/>
        <v>0.8290029172295762</v>
      </c>
      <c r="BQ152" s="551">
        <f t="shared" si="144"/>
        <v>34499.785403426045</v>
      </c>
      <c r="BT152" s="547">
        <f>'Hilfstabellen_Mat&amp;Bem'!$J$58</f>
        <v>3.5</v>
      </c>
      <c r="BU152" s="546">
        <f t="shared" si="145"/>
        <v>204</v>
      </c>
      <c r="BV152" s="551">
        <f t="shared" si="146"/>
        <v>59.433115945990885</v>
      </c>
      <c r="BW152" s="553">
        <f>BV152/PI()*SQRT('Hilfstabellen_Mat&amp;Bem'!f.Rd.3/'Hilfstabellen_Mat&amp;Bem'!$BD$30)</f>
        <v>0.94590741861581984</v>
      </c>
      <c r="BX152" s="553">
        <f>0.5*(1+'Hilfstabellen_Mat&amp;Bem'!$BD$31*(BW152-0.3)+BW152^2)</f>
        <v>0.97966579322701286</v>
      </c>
      <c r="BY152" s="550">
        <f t="shared" si="147"/>
        <v>0.80996250744384413</v>
      </c>
      <c r="CA152" s="551">
        <f t="shared" si="148"/>
        <v>33707.399709783014</v>
      </c>
      <c r="CD152" s="547">
        <f>'Hilfstabellen_Mat&amp;Bem'!$J$59</f>
        <v>3.6</v>
      </c>
      <c r="CE152" s="546">
        <f t="shared" si="149"/>
        <v>204</v>
      </c>
      <c r="CF152" s="551">
        <f t="shared" si="150"/>
        <v>61.131204973019202</v>
      </c>
      <c r="CG152" s="553">
        <f>CF152/PI()*SQRT('Hilfstabellen_Mat&amp;Bem'!f.Rd.3/'Hilfstabellen_Mat&amp;Bem'!$BD$30)</f>
        <v>0.97293334486198602</v>
      </c>
      <c r="CH152" s="553">
        <f>0.5*(1+'Hilfstabellen_Mat&amp;Bem'!$BD$31*(CG152-0.3)+CG152^2)</f>
        <v>1.0069463140152655</v>
      </c>
      <c r="CI152" s="550">
        <f t="shared" si="151"/>
        <v>0.78960944234581298</v>
      </c>
      <c r="CK152" s="551">
        <f t="shared" si="152"/>
        <v>32860.386552663353</v>
      </c>
      <c r="CN152" s="547">
        <f>'Hilfstabellen_Mat&amp;Bem'!$J$60</f>
        <v>3.7</v>
      </c>
      <c r="CO152" s="546">
        <f t="shared" si="153"/>
        <v>204</v>
      </c>
      <c r="CP152" s="551">
        <f t="shared" si="154"/>
        <v>62.829294000047504</v>
      </c>
      <c r="CQ152" s="553">
        <f>CP152/PI()*SQRT('Hilfstabellen_Mat&amp;Bem'!f.Rd.3/'Hilfstabellen_Mat&amp;Bem'!$BD$30)</f>
        <v>0.9999592711081523</v>
      </c>
      <c r="CR152" s="553">
        <f>0.5*(1+'Hilfstabellen_Mat&amp;Bem'!$BD$31*(CQ152-0.3)+CQ152^2)</f>
        <v>1.0349572354929812</v>
      </c>
      <c r="CS152" s="550">
        <f t="shared" si="155"/>
        <v>0.76815291916490658</v>
      </c>
      <c r="CU152" s="551">
        <f t="shared" si="156"/>
        <v>31967.451883966751</v>
      </c>
      <c r="CX152" s="547">
        <f>'Hilfstabellen_Mat&amp;Bem'!$J$61</f>
        <v>3.8</v>
      </c>
      <c r="CY152" s="546">
        <f t="shared" si="157"/>
        <v>204</v>
      </c>
      <c r="CZ152" s="551">
        <f t="shared" si="158"/>
        <v>64.527383027075828</v>
      </c>
      <c r="DA152" s="553">
        <f>CZ152/PI()*SQRT('Hilfstabellen_Mat&amp;Bem'!f.Rd.3/'Hilfstabellen_Mat&amp;Bem'!$BD$30)</f>
        <v>1.0269851973543187</v>
      </c>
      <c r="DB152" s="553">
        <f>0.5*(1+'Hilfstabellen_Mat&amp;Bem'!$BD$31*(DA152-0.3)+DA152^2)</f>
        <v>1.0636985576601603</v>
      </c>
      <c r="DC152" s="550">
        <f t="shared" si="159"/>
        <v>0.74585268424984763</v>
      </c>
      <c r="DE152" s="551">
        <f t="shared" si="160"/>
        <v>31039.405307741657</v>
      </c>
      <c r="DH152" s="547">
        <f>'Hilfstabellen_Mat&amp;Bem'!$J$62</f>
        <v>3.9</v>
      </c>
      <c r="DI152" s="546">
        <f t="shared" si="161"/>
        <v>204</v>
      </c>
      <c r="DJ152" s="551">
        <f t="shared" si="162"/>
        <v>66.225472054104131</v>
      </c>
      <c r="DK152" s="553">
        <f>DJ152/PI()*SQRT('Hilfstabellen_Mat&amp;Bem'!f.Rd.3/'Hilfstabellen_Mat&amp;Bem'!$BD$30)</f>
        <v>1.054011123600485</v>
      </c>
      <c r="DL152" s="553">
        <f>0.5*(1+'Hilfstabellen_Mat&amp;Bem'!$BD$31*(DK152-0.3)+DK152^2)</f>
        <v>1.0931702805168027</v>
      </c>
      <c r="DM152" s="550">
        <f t="shared" si="163"/>
        <v>0.72299317406643071</v>
      </c>
      <c r="DO152" s="551">
        <f t="shared" si="164"/>
        <v>30088.083931948582</v>
      </c>
      <c r="DR152" s="547">
        <f>'Hilfstabellen_Mat&amp;Bem'!$J$63</f>
        <v>4</v>
      </c>
      <c r="DS152" s="546">
        <f t="shared" si="165"/>
        <v>204</v>
      </c>
      <c r="DT152" s="551">
        <f t="shared" si="166"/>
        <v>67.923561081132448</v>
      </c>
      <c r="DU152" s="553">
        <f>DT152/PI()*SQRT('Hilfstabellen_Mat&amp;Bem'!f.Rd.3/'Hilfstabellen_Mat&amp;Bem'!$BD$30)</f>
        <v>1.0810370498466513</v>
      </c>
      <c r="DV152" s="553">
        <f>0.5*(1+'Hilfstabellen_Mat&amp;Bem'!$BD$31*(DU152-0.3)+DU152^2)</f>
        <v>1.1233724040629083</v>
      </c>
      <c r="DW152" s="550">
        <f t="shared" si="167"/>
        <v>0.69985719854511885</v>
      </c>
      <c r="DY152" s="551">
        <f t="shared" si="168"/>
        <v>29125.257174653667</v>
      </c>
      <c r="EB152" s="547">
        <f>'Hilfstabellen_Mat&amp;Bem'!$J$64</f>
        <v>4.0999999999999996</v>
      </c>
      <c r="EC152" s="546">
        <f t="shared" si="169"/>
        <v>204</v>
      </c>
      <c r="ED152" s="551">
        <f t="shared" si="170"/>
        <v>69.62165010816075</v>
      </c>
      <c r="EE152" s="553">
        <f>ED152/PI()*SQRT('Hilfstabellen_Mat&amp;Bem'!f.Rd.3/'Hilfstabellen_Mat&amp;Bem'!$BD$30)</f>
        <v>1.1080629760928173</v>
      </c>
      <c r="EF152" s="553">
        <f>0.5*(1+'Hilfstabellen_Mat&amp;Bem'!$BD$31*(EE152-0.3)+EE152^2)</f>
        <v>1.1543049282984765</v>
      </c>
      <c r="EG152" s="550">
        <f t="shared" si="171"/>
        <v>0.67670473666694464</v>
      </c>
      <c r="EI152" s="551">
        <f t="shared" si="172"/>
        <v>28161.744321131569</v>
      </c>
      <c r="EL152" s="547">
        <f>'Hilfstabellen_Mat&amp;Bem'!$J$65</f>
        <v>4.2</v>
      </c>
      <c r="EM152" s="546">
        <f t="shared" si="173"/>
        <v>204</v>
      </c>
      <c r="EN152" s="551">
        <f t="shared" si="174"/>
        <v>71.319739135189067</v>
      </c>
      <c r="EO152" s="553">
        <f>EN152/PI()*SQRT('Hilfstabellen_Mat&amp;Bem'!f.Rd.3/'Hilfstabellen_Mat&amp;Bem'!$BD$30)</f>
        <v>1.1350889023389836</v>
      </c>
      <c r="EP152" s="553">
        <f>0.5*(1+'Hilfstabellen_Mat&amp;Bem'!$BD$31*(EO152-0.3)+EO152^2)</f>
        <v>1.1859678532235085</v>
      </c>
      <c r="EQ152" s="550">
        <f t="shared" si="175"/>
        <v>0.65375954596307928</v>
      </c>
      <c r="ES152" s="551">
        <f t="shared" si="176"/>
        <v>27206.857264799506</v>
      </c>
    </row>
    <row r="153" spans="3:149">
      <c r="C153" s="546">
        <v>205</v>
      </c>
      <c r="D153" s="551">
        <f t="shared" si="131"/>
        <v>47.314558645783961</v>
      </c>
      <c r="E153" s="553">
        <f>$D153/PI()*SQRT('Hilfstabellen_Mat&amp;Bem'!f.Rd.3/'Hilfstabellen_Mat&amp;Bem'!$BD$30)</f>
        <v>0.75303458886878916</v>
      </c>
      <c r="F153" s="553">
        <f>0.5*(1+'Hilfstabellen_Mat&amp;Bem'!$BD$31*($E153-0.3)+$E153^2)</f>
        <v>0.80618227545983256</v>
      </c>
      <c r="G153" s="550">
        <f t="shared" si="132"/>
        <v>0.91403364001198051</v>
      </c>
      <c r="I153" s="551">
        <f t="shared" si="177"/>
        <v>38412.263721503477</v>
      </c>
      <c r="M153" s="546">
        <f t="shared" si="133"/>
        <v>205</v>
      </c>
      <c r="N153" s="551">
        <f t="shared" si="123"/>
        <v>49.004364311704819</v>
      </c>
      <c r="O153" s="553">
        <f>$N153/PI()*SQRT('Hilfstabellen_Mat&amp;Bem'!f.Rd.3/'Hilfstabellen_Mat&amp;Bem'!$BD$30)</f>
        <v>0.77992868132838877</v>
      </c>
      <c r="P153" s="553">
        <f>0.5*(1+'Hilfstabellen_Mat&amp;Bem'!$BD$31*($O153-0.3)+$O153^2)</f>
        <v>0.8281408080457392</v>
      </c>
      <c r="Q153" s="550">
        <f t="shared" si="124"/>
        <v>0.90368513102288361</v>
      </c>
      <c r="S153" s="551">
        <f t="shared" si="178"/>
        <v>37977.367631236681</v>
      </c>
      <c r="W153" s="546">
        <f t="shared" si="134"/>
        <v>205</v>
      </c>
      <c r="X153" s="551">
        <f t="shared" si="125"/>
        <v>50.694169977625677</v>
      </c>
      <c r="Y153" s="553">
        <f>$X153/PI()*SQRT('Hilfstabellen_Mat&amp;Bem'!f.Rd.3/'Hilfstabellen_Mat&amp;Bem'!$BD$30)</f>
        <v>0.80682277378798839</v>
      </c>
      <c r="Z153" s="553">
        <f>0.5*(1+'Hilfstabellen_Mat&amp;Bem'!$BD$31*($Y153-0.3)+$Y153^2)</f>
        <v>0.85082263284087123</v>
      </c>
      <c r="AA153" s="550">
        <f t="shared" si="126"/>
        <v>0.89214852571383851</v>
      </c>
      <c r="AC153" s="551">
        <f t="shared" si="179"/>
        <v>37492.541793124066</v>
      </c>
      <c r="AG153" s="546">
        <f t="shared" si="135"/>
        <v>205</v>
      </c>
      <c r="AH153" s="551">
        <f t="shared" si="127"/>
        <v>52.383975643546528</v>
      </c>
      <c r="AI153" s="553">
        <f>$AH153/PI()*SQRT('Hilfstabellen_Mat&amp;Bem'!f.Rd.3/'Hilfstabellen_Mat&amp;Bem'!$BD$30)</f>
        <v>0.8337168662475879</v>
      </c>
      <c r="AJ153" s="553">
        <f>0.5*(1+'Hilfstabellen_Mat&amp;Bem'!$BD$31*($AI153-0.3)+$AI153^2)</f>
        <v>0.87422774984522866</v>
      </c>
      <c r="AK153" s="550">
        <f t="shared" si="128"/>
        <v>0.87929996444204184</v>
      </c>
      <c r="AM153" s="551">
        <f t="shared" si="180"/>
        <v>36952.58100567681</v>
      </c>
      <c r="AQ153" s="546">
        <f t="shared" si="136"/>
        <v>205</v>
      </c>
      <c r="AR153" s="551">
        <f t="shared" si="129"/>
        <v>54.073781309467385</v>
      </c>
      <c r="AS153" s="553">
        <f>$AR153/PI()*SQRT('Hilfstabellen_Mat&amp;Bem'!f.Rd.3/'Hilfstabellen_Mat&amp;Bem'!$BD$30)</f>
        <v>0.86061095870718762</v>
      </c>
      <c r="AT153" s="553">
        <f>0.5*(1+'Hilfstabellen_Mat&amp;Bem'!$BD$31*($AS153-0.3)+$AS153^2)</f>
        <v>0.89835615905881172</v>
      </c>
      <c r="AU153" s="550">
        <f t="shared" si="130"/>
        <v>0.86503416171263325</v>
      </c>
      <c r="AW153" s="551">
        <f t="shared" si="181"/>
        <v>36353.060645973412</v>
      </c>
      <c r="AZ153" s="547">
        <f>'Hilfstabellen_Mat&amp;Bem'!$J$56</f>
        <v>3.3</v>
      </c>
      <c r="BA153" s="546">
        <f t="shared" si="137"/>
        <v>205</v>
      </c>
      <c r="BB153" s="551">
        <f t="shared" si="138"/>
        <v>55.763586975388243</v>
      </c>
      <c r="BC153" s="553">
        <f>BB153/PI()*SQRT('Hilfstabellen_Mat&amp;Bem'!f.Rd.3/'Hilfstabellen_Mat&amp;Bem'!$BD$30)</f>
        <v>0.88750505116678724</v>
      </c>
      <c r="BD153" s="553">
        <f>0.5*(1+'Hilfstabellen_Mat&amp;Bem'!$BD$31*(BC153-0.3)+BC153^2)</f>
        <v>0.92320786048162029</v>
      </c>
      <c r="BE153" s="550">
        <f t="shared" si="139"/>
        <v>0.84928094598539972</v>
      </c>
      <c r="BG153" s="551">
        <f t="shared" si="140"/>
        <v>35691.03175503642</v>
      </c>
      <c r="BJ153" s="547">
        <f>'Hilfstabellen_Mat&amp;Bem'!$J$57</f>
        <v>3.4</v>
      </c>
      <c r="BK153" s="546">
        <f t="shared" si="141"/>
        <v>205</v>
      </c>
      <c r="BL153" s="551">
        <f t="shared" si="142"/>
        <v>57.453392641309101</v>
      </c>
      <c r="BM153" s="553">
        <f>BL153/PI()*SQRT('Hilfstabellen_Mat&amp;Bem'!f.Rd.3/'Hilfstabellen_Mat&amp;Bem'!$BD$30)</f>
        <v>0.91439914362638697</v>
      </c>
      <c r="BN153" s="553">
        <f>0.5*(1+'Hilfstabellen_Mat&amp;Bem'!$BD$31*(BM153-0.3)+BM153^2)</f>
        <v>0.94878285411365426</v>
      </c>
      <c r="BO153" s="550">
        <f t="shared" si="143"/>
        <v>0.83202305713881419</v>
      </c>
      <c r="BQ153" s="551">
        <f t="shared" si="144"/>
        <v>34965.768976258667</v>
      </c>
      <c r="BT153" s="547">
        <f>'Hilfstabellen_Mat&amp;Bem'!$J$58</f>
        <v>3.5</v>
      </c>
      <c r="BU153" s="546">
        <f t="shared" si="145"/>
        <v>205</v>
      </c>
      <c r="BV153" s="551">
        <f t="shared" si="146"/>
        <v>59.143198307229959</v>
      </c>
      <c r="BW153" s="553">
        <f>BV153/PI()*SQRT('Hilfstabellen_Mat&amp;Bem'!f.Rd.3/'Hilfstabellen_Mat&amp;Bem'!$BD$30)</f>
        <v>0.94129323608598647</v>
      </c>
      <c r="BX153" s="553">
        <f>0.5*(1+'Hilfstabellen_Mat&amp;Bem'!$BD$31*(BW153-0.3)+BW153^2)</f>
        <v>0.97508113995491374</v>
      </c>
      <c r="BY153" s="550">
        <f t="shared" si="147"/>
        <v>0.81331104562050727</v>
      </c>
      <c r="CA153" s="551">
        <f t="shared" si="148"/>
        <v>34179.396692201815</v>
      </c>
      <c r="CD153" s="547">
        <f>'Hilfstabellen_Mat&amp;Bem'!$J$59</f>
        <v>3.6</v>
      </c>
      <c r="CE153" s="546">
        <f t="shared" si="149"/>
        <v>205</v>
      </c>
      <c r="CF153" s="551">
        <f t="shared" si="150"/>
        <v>60.833003973150817</v>
      </c>
      <c r="CG153" s="553">
        <f>CF153/PI()*SQRT('Hilfstabellen_Mat&amp;Bem'!f.Rd.3/'Hilfstabellen_Mat&amp;Bem'!$BD$30)</f>
        <v>0.9681873285455862</v>
      </c>
      <c r="CH153" s="553">
        <f>0.5*(1+'Hilfstabellen_Mat&amp;Bem'!$BD$31*(CG153-0.3)+CG153^2)</f>
        <v>1.0021027180053987</v>
      </c>
      <c r="CI153" s="550">
        <f t="shared" si="151"/>
        <v>0.79327023353473991</v>
      </c>
      <c r="CK153" s="551">
        <f t="shared" si="152"/>
        <v>33337.181564297447</v>
      </c>
      <c r="CN153" s="547">
        <f>'Hilfstabellen_Mat&amp;Bem'!$J$60</f>
        <v>3.7</v>
      </c>
      <c r="CO153" s="546">
        <f t="shared" si="153"/>
        <v>205</v>
      </c>
      <c r="CP153" s="551">
        <f t="shared" si="154"/>
        <v>62.52280963907166</v>
      </c>
      <c r="CQ153" s="553">
        <f>CP153/PI()*SQRT('Hilfstabellen_Mat&amp;Bem'!f.Rd.3/'Hilfstabellen_Mat&amp;Bem'!$BD$30)</f>
        <v>0.99508142100518571</v>
      </c>
      <c r="CR153" s="553">
        <f>0.5*(1+'Hilfstabellen_Mat&amp;Bem'!$BD$31*(CQ153-0.3)+CQ153^2)</f>
        <v>1.0298475882651092</v>
      </c>
      <c r="CS153" s="550">
        <f t="shared" si="155"/>
        <v>0.77209600210650398</v>
      </c>
      <c r="CU153" s="551">
        <f t="shared" si="156"/>
        <v>32447.33448852583</v>
      </c>
      <c r="CX153" s="547">
        <f>'Hilfstabellen_Mat&amp;Bem'!$J$61</f>
        <v>3.8</v>
      </c>
      <c r="CY153" s="546">
        <f t="shared" si="157"/>
        <v>205</v>
      </c>
      <c r="CZ153" s="551">
        <f t="shared" si="158"/>
        <v>64.212615304992511</v>
      </c>
      <c r="DA153" s="553">
        <f>CZ153/PI()*SQRT('Hilfstabellen_Mat&amp;Bem'!f.Rd.3/'Hilfstabellen_Mat&amp;Bem'!$BD$30)</f>
        <v>1.0219755134647852</v>
      </c>
      <c r="DB153" s="553">
        <f>0.5*(1+'Hilfstabellen_Mat&amp;Bem'!$BD$31*(DA153-0.3)+DA153^2)</f>
        <v>1.058315750734045</v>
      </c>
      <c r="DC153" s="550">
        <f t="shared" si="159"/>
        <v>0.7500372236591436</v>
      </c>
      <c r="DE153" s="551">
        <f t="shared" si="160"/>
        <v>31520.31432427551</v>
      </c>
      <c r="DH153" s="547">
        <f>'Hilfstabellen_Mat&amp;Bem'!$J$62</f>
        <v>3.9</v>
      </c>
      <c r="DI153" s="546">
        <f t="shared" si="161"/>
        <v>205</v>
      </c>
      <c r="DJ153" s="551">
        <f t="shared" si="162"/>
        <v>65.902420970913369</v>
      </c>
      <c r="DK153" s="553">
        <f>DJ153/PI()*SQRT('Hilfstabellen_Mat&amp;Bem'!f.Rd.3/'Hilfstabellen_Mat&amp;Bem'!$BD$30)</f>
        <v>1.0488696059243849</v>
      </c>
      <c r="DL153" s="553">
        <f>0.5*(1+'Hilfstabellen_Mat&amp;Bem'!$BD$31*(DK153-0.3)+DK153^2)</f>
        <v>1.0875072054122066</v>
      </c>
      <c r="DM153" s="550">
        <f t="shared" si="163"/>
        <v>0.72737178609839326</v>
      </c>
      <c r="DO153" s="551">
        <f t="shared" si="164"/>
        <v>30567.799310784976</v>
      </c>
      <c r="DR153" s="547">
        <f>'Hilfstabellen_Mat&amp;Bem'!$J$63</f>
        <v>4</v>
      </c>
      <c r="DS153" s="546">
        <f t="shared" si="165"/>
        <v>205</v>
      </c>
      <c r="DT153" s="551">
        <f t="shared" si="166"/>
        <v>67.592226636834226</v>
      </c>
      <c r="DU153" s="553">
        <f>DT153/PI()*SQRT('Hilfstabellen_Mat&amp;Bem'!f.Rd.3/'Hilfstabellen_Mat&amp;Bem'!$BD$30)</f>
        <v>1.0757636983839844</v>
      </c>
      <c r="DV153" s="553">
        <f>0.5*(1+'Hilfstabellen_Mat&amp;Bem'!$BD$31*(DU153-0.3)+DU153^2)</f>
        <v>1.1174219522995934</v>
      </c>
      <c r="DW153" s="550">
        <f t="shared" si="167"/>
        <v>0.70438051034207694</v>
      </c>
      <c r="DY153" s="551">
        <f t="shared" si="168"/>
        <v>29601.590947125784</v>
      </c>
      <c r="EB153" s="547">
        <f>'Hilfstabellen_Mat&amp;Bem'!$J$64</f>
        <v>4.0999999999999996</v>
      </c>
      <c r="EC153" s="546">
        <f t="shared" si="169"/>
        <v>205</v>
      </c>
      <c r="ED153" s="551">
        <f t="shared" si="170"/>
        <v>69.282032302755084</v>
      </c>
      <c r="EE153" s="553">
        <f>ED153/PI()*SQRT('Hilfstabellen_Mat&amp;Bem'!f.Rd.3/'Hilfstabellen_Mat&amp;Bem'!$BD$30)</f>
        <v>1.102657790843584</v>
      </c>
      <c r="EF153" s="553">
        <f>0.5*(1+'Hilfstabellen_Mat&amp;Bem'!$BD$31*(EE153-0.3)+EE153^2)</f>
        <v>1.1480599913962055</v>
      </c>
      <c r="EG153" s="550">
        <f t="shared" si="171"/>
        <v>0.68132521956793579</v>
      </c>
      <c r="EI153" s="551">
        <f t="shared" si="172"/>
        <v>28632.692352342503</v>
      </c>
      <c r="EL153" s="547">
        <f>'Hilfstabellen_Mat&amp;Bem'!$J$65</f>
        <v>4.2</v>
      </c>
      <c r="EM153" s="546">
        <f t="shared" si="173"/>
        <v>205</v>
      </c>
      <c r="EN153" s="551">
        <f t="shared" si="174"/>
        <v>70.971837968675942</v>
      </c>
      <c r="EO153" s="553">
        <f>EN153/PI()*SQRT('Hilfstabellen_Mat&amp;Bem'!f.Rd.3/'Hilfstabellen_Mat&amp;Bem'!$BD$30)</f>
        <v>1.1295518833031837</v>
      </c>
      <c r="EP153" s="553">
        <f>0.5*(1+'Hilfstabellen_Mat&amp;Bem'!$BD$31*(EO153-0.3)+EO153^2)</f>
        <v>1.1794213227020438</v>
      </c>
      <c r="EQ153" s="550">
        <f t="shared" si="175"/>
        <v>0.6584341390480436</v>
      </c>
      <c r="ES153" s="551">
        <f t="shared" si="176"/>
        <v>27670.694693494032</v>
      </c>
    </row>
    <row r="154" spans="3:149">
      <c r="C154" s="546">
        <v>206</v>
      </c>
      <c r="D154" s="551">
        <f t="shared" si="131"/>
        <v>47.08487632226074</v>
      </c>
      <c r="E154" s="553">
        <f>$D154/PI()*SQRT('Hilfstabellen_Mat&amp;Bem'!f.Rd.3/'Hilfstabellen_Mat&amp;Bem'!$BD$30)</f>
        <v>0.74937908115583385</v>
      </c>
      <c r="F154" s="553">
        <f>0.5*(1+'Hilfstabellen_Mat&amp;Bem'!$BD$31*($E154-0.3)+$E154^2)</f>
        <v>0.80325345769477263</v>
      </c>
      <c r="G154" s="550">
        <f t="shared" si="132"/>
        <v>0.91535563733152547</v>
      </c>
      <c r="I154" s="551">
        <f t="shared" si="177"/>
        <v>38844.031825800615</v>
      </c>
      <c r="M154" s="546">
        <f t="shared" si="133"/>
        <v>206</v>
      </c>
      <c r="N154" s="551">
        <f t="shared" si="123"/>
        <v>48.766479048055764</v>
      </c>
      <c r="O154" s="553">
        <f>$N154/PI()*SQRT('Hilfstabellen_Mat&amp;Bem'!f.Rd.3/'Hilfstabellen_Mat&amp;Bem'!$BD$30)</f>
        <v>0.77614261976854226</v>
      </c>
      <c r="P154" s="553">
        <f>0.5*(1+'Hilfstabellen_Mat&amp;Bem'!$BD$31*($O154-0.3)+$O154^2)</f>
        <v>0.82500581409901508</v>
      </c>
      <c r="Q154" s="550">
        <f t="shared" si="124"/>
        <v>0.9052108485819903</v>
      </c>
      <c r="S154" s="551">
        <f t="shared" si="178"/>
        <v>38413.527570425344</v>
      </c>
      <c r="W154" s="546">
        <f t="shared" si="134"/>
        <v>206</v>
      </c>
      <c r="X154" s="551">
        <f t="shared" si="125"/>
        <v>50.448081773850795</v>
      </c>
      <c r="Y154" s="553">
        <f>$X154/PI()*SQRT('Hilfstabellen_Mat&amp;Bem'!f.Rd.3/'Hilfstabellen_Mat&amp;Bem'!$BD$30)</f>
        <v>0.80290615838125068</v>
      </c>
      <c r="Z154" s="553">
        <f>0.5*(1+'Hilfstabellen_Mat&amp;Bem'!$BD$31*($Y154-0.3)+$Y154^2)</f>
        <v>0.84747445750233164</v>
      </c>
      <c r="AA154" s="550">
        <f t="shared" si="126"/>
        <v>0.89390742373591059</v>
      </c>
      <c r="AC154" s="551">
        <f t="shared" si="179"/>
        <v>37933.855433657103</v>
      </c>
      <c r="AG154" s="546">
        <f t="shared" si="135"/>
        <v>206</v>
      </c>
      <c r="AH154" s="551">
        <f t="shared" si="127"/>
        <v>52.129684499645819</v>
      </c>
      <c r="AI154" s="553">
        <f>$AH154/PI()*SQRT('Hilfstabellen_Mat&amp;Bem'!f.Rd.3/'Hilfstabellen_Mat&amp;Bem'!$BD$30)</f>
        <v>0.82966969699395898</v>
      </c>
      <c r="AJ154" s="553">
        <f>0.5*(1+'Hilfstabellen_Mat&amp;Bem'!$BD$31*($AI154-0.3)+$AI154^2)</f>
        <v>0.87065938790472186</v>
      </c>
      <c r="AK154" s="550">
        <f t="shared" si="128"/>
        <v>0.88132180578293173</v>
      </c>
      <c r="AM154" s="551">
        <f t="shared" si="180"/>
        <v>37399.772150204488</v>
      </c>
      <c r="AQ154" s="546">
        <f t="shared" si="136"/>
        <v>206</v>
      </c>
      <c r="AR154" s="551">
        <f t="shared" si="129"/>
        <v>53.811287225440843</v>
      </c>
      <c r="AS154" s="553">
        <f>$AR154/PI()*SQRT('Hilfstabellen_Mat&amp;Bem'!f.Rd.3/'Hilfstabellen_Mat&amp;Bem'!$BD$30)</f>
        <v>0.85643323560666718</v>
      </c>
      <c r="AT154" s="553">
        <f>0.5*(1+'Hilfstabellen_Mat&amp;Bem'!$BD$31*($AS154-0.3)+$AS154^2)</f>
        <v>0.89456060530618597</v>
      </c>
      <c r="AU154" s="550">
        <f t="shared" si="130"/>
        <v>0.86734654577533954</v>
      </c>
      <c r="AW154" s="551">
        <f t="shared" si="181"/>
        <v>36806.718016522311</v>
      </c>
      <c r="AZ154" s="547">
        <f>'Hilfstabellen_Mat&amp;Bem'!$J$56</f>
        <v>3.3</v>
      </c>
      <c r="BA154" s="546">
        <f t="shared" si="137"/>
        <v>206</v>
      </c>
      <c r="BB154" s="551">
        <f t="shared" si="138"/>
        <v>55.492889951235867</v>
      </c>
      <c r="BC154" s="553">
        <f>BB154/PI()*SQRT('Hilfstabellen_Mat&amp;Bem'!f.Rd.3/'Hilfstabellen_Mat&amp;Bem'!$BD$30)</f>
        <v>0.88319677421937559</v>
      </c>
      <c r="BD154" s="553">
        <f>0.5*(1+'Hilfstabellen_Mat&amp;Bem'!$BD$31*(BC154-0.3)+BC154^2)</f>
        <v>0.9191781097067242</v>
      </c>
      <c r="BE154" s="550">
        <f t="shared" si="139"/>
        <v>0.85190603196695003</v>
      </c>
      <c r="BG154" s="551">
        <f t="shared" si="140"/>
        <v>36151.484372549494</v>
      </c>
      <c r="BJ154" s="547">
        <f>'Hilfstabellen_Mat&amp;Bem'!$J$57</f>
        <v>3.4</v>
      </c>
      <c r="BK154" s="546">
        <f t="shared" si="141"/>
        <v>206</v>
      </c>
      <c r="BL154" s="551">
        <f t="shared" si="142"/>
        <v>57.174492677030905</v>
      </c>
      <c r="BM154" s="553">
        <f>BL154/PI()*SQRT('Hilfstabellen_Mat&amp;Bem'!f.Rd.3/'Hilfstabellen_Mat&amp;Bem'!$BD$30)</f>
        <v>0.90996031283208412</v>
      </c>
      <c r="BN154" s="553">
        <f>0.5*(1+'Hilfstabellen_Mat&amp;Bem'!$BD$31*(BM154-0.3)+BM154^2)</f>
        <v>0.94451190110633632</v>
      </c>
      <c r="BO154" s="550">
        <f t="shared" si="143"/>
        <v>0.83497390114083758</v>
      </c>
      <c r="BQ154" s="551">
        <f t="shared" si="144"/>
        <v>35432.952468812582</v>
      </c>
      <c r="BT154" s="547">
        <f>'Hilfstabellen_Mat&amp;Bem'!$J$58</f>
        <v>3.5</v>
      </c>
      <c r="BU154" s="546">
        <f t="shared" si="145"/>
        <v>206</v>
      </c>
      <c r="BV154" s="551">
        <f t="shared" si="146"/>
        <v>58.856095402825929</v>
      </c>
      <c r="BW154" s="553">
        <f>BV154/PI()*SQRT('Hilfstabellen_Mat&amp;Bem'!f.Rd.3/'Hilfstabellen_Mat&amp;Bem'!$BD$30)</f>
        <v>0.93672385144479231</v>
      </c>
      <c r="BX154" s="553">
        <f>0.5*(1+'Hilfstabellen_Mat&amp;Bem'!$BD$31*(BW154-0.3)+BW154^2)</f>
        <v>0.97056197950502221</v>
      </c>
      <c r="BY154" s="550">
        <f t="shared" si="147"/>
        <v>0.81658836149220337</v>
      </c>
      <c r="CA154" s="551">
        <f t="shared" si="148"/>
        <v>34652.743708283146</v>
      </c>
      <c r="CD154" s="547">
        <f>'Hilfstabellen_Mat&amp;Bem'!$J$59</f>
        <v>3.6</v>
      </c>
      <c r="CE154" s="546">
        <f t="shared" si="149"/>
        <v>206</v>
      </c>
      <c r="CF154" s="551">
        <f t="shared" si="150"/>
        <v>60.537698128620946</v>
      </c>
      <c r="CG154" s="553">
        <f>CF154/PI()*SQRT('Hilfstabellen_Mat&amp;Bem'!f.Rd.3/'Hilfstabellen_Mat&amp;Bem'!$BD$30)</f>
        <v>0.96348739005750061</v>
      </c>
      <c r="CH154" s="553">
        <f>0.5*(1+'Hilfstabellen_Mat&amp;Bem'!$BD$31*(CG154-0.3)+CG154^2)</f>
        <v>0.9973283449027821</v>
      </c>
      <c r="CI154" s="550">
        <f t="shared" si="151"/>
        <v>0.79686056730885368</v>
      </c>
      <c r="CK154" s="551">
        <f t="shared" si="152"/>
        <v>33815.575034318514</v>
      </c>
      <c r="CN154" s="547">
        <f>'Hilfstabellen_Mat&amp;Bem'!$J$60</f>
        <v>3.7</v>
      </c>
      <c r="CO154" s="546">
        <f t="shared" si="153"/>
        <v>206</v>
      </c>
      <c r="CP154" s="551">
        <f t="shared" si="154"/>
        <v>62.21930085441597</v>
      </c>
      <c r="CQ154" s="553">
        <f>CP154/PI()*SQRT('Hilfstabellen_Mat&amp;Bem'!f.Rd.3/'Hilfstabellen_Mat&amp;Bem'!$BD$30)</f>
        <v>0.99025092867020881</v>
      </c>
      <c r="CR154" s="553">
        <f>0.5*(1+'Hilfstabellen_Mat&amp;Bem'!$BD$31*(CQ154-0.3)+CQ154^2)</f>
        <v>1.0248109972996158</v>
      </c>
      <c r="CS154" s="550">
        <f t="shared" si="155"/>
        <v>0.77597205580655459</v>
      </c>
      <c r="CU154" s="551">
        <f t="shared" si="156"/>
        <v>32929.150160206947</v>
      </c>
      <c r="CX154" s="547">
        <f>'Hilfstabellen_Mat&amp;Bem'!$J$61</f>
        <v>3.8</v>
      </c>
      <c r="CY154" s="546">
        <f t="shared" si="157"/>
        <v>206</v>
      </c>
      <c r="CZ154" s="551">
        <f t="shared" si="158"/>
        <v>63.900903580211008</v>
      </c>
      <c r="DA154" s="553">
        <f>CZ154/PI()*SQRT('Hilfstabellen_Mat&amp;Bem'!f.Rd.3/'Hilfstabellen_Mat&amp;Bem'!$BD$30)</f>
        <v>1.0170144672829176</v>
      </c>
      <c r="DB154" s="553">
        <f>0.5*(1+'Hilfstabellen_Mat&amp;Bem'!$BD$31*(DA154-0.3)+DA154^2)</f>
        <v>1.0530099366955241</v>
      </c>
      <c r="DC154" s="550">
        <f t="shared" si="159"/>
        <v>0.7541603915558428</v>
      </c>
      <c r="DE154" s="551">
        <f t="shared" si="160"/>
        <v>32003.550376063744</v>
      </c>
      <c r="DH154" s="547">
        <f>'Hilfstabellen_Mat&amp;Bem'!$J$62</f>
        <v>3.9</v>
      </c>
      <c r="DI154" s="546">
        <f t="shared" si="161"/>
        <v>206</v>
      </c>
      <c r="DJ154" s="551">
        <f t="shared" si="162"/>
        <v>65.582506306006024</v>
      </c>
      <c r="DK154" s="553">
        <f>DJ154/PI()*SQRT('Hilfstabellen_Mat&amp;Bem'!f.Rd.3/'Hilfstabellen_Mat&amp;Bem'!$BD$30)</f>
        <v>1.0437780058956256</v>
      </c>
      <c r="DL154" s="553">
        <f>0.5*(1+'Hilfstabellen_Mat&amp;Bem'!$BD$31*(DK154-0.3)+DK154^2)</f>
        <v>1.0819251630905056</v>
      </c>
      <c r="DM154" s="550">
        <f t="shared" si="163"/>
        <v>0.73169621542087937</v>
      </c>
      <c r="DO154" s="551">
        <f t="shared" si="164"/>
        <v>31050.260597600438</v>
      </c>
      <c r="DR154" s="547">
        <f>'Hilfstabellen_Mat&amp;Bem'!$J$63</f>
        <v>4</v>
      </c>
      <c r="DS154" s="546">
        <f t="shared" si="165"/>
        <v>206</v>
      </c>
      <c r="DT154" s="551">
        <f t="shared" si="166"/>
        <v>67.264109031801055</v>
      </c>
      <c r="DU154" s="553">
        <f>DT154/PI()*SQRT('Hilfstabellen_Mat&amp;Bem'!f.Rd.3/'Hilfstabellen_Mat&amp;Bem'!$BD$30)</f>
        <v>1.0705415445083342</v>
      </c>
      <c r="DV154" s="553">
        <f>0.5*(1+'Hilfstabellen_Mat&amp;Bem'!$BD$31*(DU154-0.3)+DU154^2)</f>
        <v>1.1115566764845615</v>
      </c>
      <c r="DW154" s="550">
        <f t="shared" si="167"/>
        <v>0.70885759223750955</v>
      </c>
      <c r="DY154" s="551">
        <f t="shared" si="168"/>
        <v>30081.080784190955</v>
      </c>
      <c r="EB154" s="547">
        <f>'Hilfstabellen_Mat&amp;Bem'!$J$64</f>
        <v>4.0999999999999996</v>
      </c>
      <c r="EC154" s="546">
        <f t="shared" si="169"/>
        <v>206</v>
      </c>
      <c r="ED154" s="551">
        <f t="shared" si="170"/>
        <v>68.945711757596086</v>
      </c>
      <c r="EE154" s="553">
        <f>ED154/PI()*SQRT('Hilfstabellen_Mat&amp;Bem'!f.Rd.3/'Hilfstabellen_Mat&amp;Bem'!$BD$30)</f>
        <v>1.0973050831210427</v>
      </c>
      <c r="EF154" s="553">
        <f>0.5*(1+'Hilfstabellen_Mat&amp;Bem'!$BD$31*(EE154-0.3)+EE154^2)</f>
        <v>1.1419044768776914</v>
      </c>
      <c r="EG154" s="550">
        <f t="shared" si="171"/>
        <v>0.68590751719955645</v>
      </c>
      <c r="EI154" s="551">
        <f t="shared" si="172"/>
        <v>29107.171399880379</v>
      </c>
      <c r="EL154" s="547">
        <f>'Hilfstabellen_Mat&amp;Bem'!$J$65</f>
        <v>4.2</v>
      </c>
      <c r="EM154" s="546">
        <f t="shared" si="173"/>
        <v>206</v>
      </c>
      <c r="EN154" s="551">
        <f t="shared" si="174"/>
        <v>70.627314483391103</v>
      </c>
      <c r="EO154" s="553">
        <f>EN154/PI()*SQRT('Hilfstabellen_Mat&amp;Bem'!f.Rd.3/'Hilfstabellen_Mat&amp;Bem'!$BD$30)</f>
        <v>1.1240686217337508</v>
      </c>
      <c r="EP154" s="553">
        <f>0.5*(1+'Hilfstabellen_Mat&amp;Bem'!$BD$31*(EO154-0.3)+EO154^2)</f>
        <v>1.1729685642698946</v>
      </c>
      <c r="EQ154" s="550">
        <f t="shared" si="175"/>
        <v>0.66307819160745929</v>
      </c>
      <c r="ES154" s="551">
        <f t="shared" si="176"/>
        <v>28138.386139054142</v>
      </c>
    </row>
    <row r="155" spans="3:149">
      <c r="C155" s="546">
        <v>207</v>
      </c>
      <c r="D155" s="551">
        <f t="shared" si="131"/>
        <v>46.857413151621799</v>
      </c>
      <c r="E155" s="553">
        <f>$D155/PI()*SQRT('Hilfstabellen_Mat&amp;Bem'!f.Rd.3/'Hilfstabellen_Mat&amp;Bem'!$BD$30)</f>
        <v>0.74575889235797965</v>
      </c>
      <c r="F155" s="553">
        <f>0.5*(1+'Hilfstabellen_Mat&amp;Bem'!$BD$31*($E155-0.3)+$E155^2)</f>
        <v>0.80036610738339931</v>
      </c>
      <c r="G155" s="550">
        <f t="shared" si="132"/>
        <v>0.91664590995115325</v>
      </c>
      <c r="I155" s="551">
        <f t="shared" si="177"/>
        <v>39277.360595496968</v>
      </c>
      <c r="M155" s="546">
        <f t="shared" si="133"/>
        <v>207</v>
      </c>
      <c r="N155" s="551">
        <f t="shared" si="123"/>
        <v>48.530892192751146</v>
      </c>
      <c r="O155" s="553">
        <f>$N155/PI()*SQRT('Hilfstabellen_Mat&amp;Bem'!f.Rd.3/'Hilfstabellen_Mat&amp;Bem'!$BD$30)</f>
        <v>0.77239313851362168</v>
      </c>
      <c r="P155" s="553">
        <f>0.5*(1+'Hilfstabellen_Mat&amp;Bem'!$BD$31*($O155-0.3)+$O155^2)</f>
        <v>0.82191523713714254</v>
      </c>
      <c r="Q155" s="550">
        <f t="shared" si="124"/>
        <v>0.90669896665789074</v>
      </c>
      <c r="S155" s="551">
        <f t="shared" si="178"/>
        <v>38851.144022323962</v>
      </c>
      <c r="W155" s="546">
        <f t="shared" si="134"/>
        <v>207</v>
      </c>
      <c r="X155" s="551">
        <f t="shared" si="125"/>
        <v>50.204371233880501</v>
      </c>
      <c r="Y155" s="553">
        <f>$X155/PI()*SQRT('Hilfstabellen_Mat&amp;Bem'!f.Rd.3/'Hilfstabellen_Mat&amp;Bem'!$BD$30)</f>
        <v>0.79902738466926393</v>
      </c>
      <c r="Z155" s="553">
        <f>0.5*(1+'Hilfstabellen_Mat&amp;Bem'!$BD$31*($Y155-0.3)+$Y155^2)</f>
        <v>0.84417374995916505</v>
      </c>
      <c r="AA155" s="550">
        <f t="shared" si="126"/>
        <v>0.89562223699936638</v>
      </c>
      <c r="AC155" s="551">
        <f t="shared" si="179"/>
        <v>38376.517233185848</v>
      </c>
      <c r="AG155" s="546">
        <f t="shared" si="135"/>
        <v>207</v>
      </c>
      <c r="AH155" s="551">
        <f t="shared" si="127"/>
        <v>51.877850275009848</v>
      </c>
      <c r="AI155" s="553">
        <f>$AH155/PI()*SQRT('Hilfstabellen_Mat&amp;Bem'!f.Rd.3/'Hilfstabellen_Mat&amp;Bem'!$BD$30)</f>
        <v>0.82566163082490596</v>
      </c>
      <c r="AJ155" s="553">
        <f>0.5*(1+'Hilfstabellen_Mat&amp;Bem'!$BD$31*($AI155-0.3)+$AI155^2)</f>
        <v>0.86714164584946696</v>
      </c>
      <c r="AK155" s="550">
        <f t="shared" si="128"/>
        <v>0.88329273506413131</v>
      </c>
      <c r="AM155" s="551">
        <f t="shared" si="180"/>
        <v>37848.210404762962</v>
      </c>
      <c r="AQ155" s="546">
        <f t="shared" si="136"/>
        <v>207</v>
      </c>
      <c r="AR155" s="551">
        <f t="shared" si="129"/>
        <v>53.551329316139196</v>
      </c>
      <c r="AS155" s="553">
        <f>$AR155/PI()*SQRT('Hilfstabellen_Mat&amp;Bem'!f.Rd.3/'Hilfstabellen_Mat&amp;Bem'!$BD$30)</f>
        <v>0.85229587698054809</v>
      </c>
      <c r="AT155" s="553">
        <f>0.5*(1+'Hilfstabellen_Mat&amp;Bem'!$BD$31*($AS155-0.3)+$AS155^2)</f>
        <v>0.89081892480804825</v>
      </c>
      <c r="AU155" s="550">
        <f t="shared" si="130"/>
        <v>0.86960130337023778</v>
      </c>
      <c r="AW155" s="551">
        <f t="shared" si="181"/>
        <v>37261.546248111321</v>
      </c>
      <c r="AZ155" s="547">
        <f>'Hilfstabellen_Mat&amp;Bem'!$J$56</f>
        <v>3.3</v>
      </c>
      <c r="BA155" s="546">
        <f t="shared" si="137"/>
        <v>207</v>
      </c>
      <c r="BB155" s="551">
        <f t="shared" si="138"/>
        <v>55.22480835726855</v>
      </c>
      <c r="BC155" s="553">
        <f>BB155/PI()*SQRT('Hilfstabellen_Mat&amp;Bem'!f.Rd.3/'Hilfstabellen_Mat&amp;Bem'!$BD$30)</f>
        <v>0.87893012313619023</v>
      </c>
      <c r="BD155" s="553">
        <f>0.5*(1+'Hilfstabellen_Mat&amp;Bem'!$BD$31*(BC155-0.3)+BC155^2)</f>
        <v>0.91520558683490871</v>
      </c>
      <c r="BE155" s="550">
        <f t="shared" si="139"/>
        <v>0.85446752488158328</v>
      </c>
      <c r="BG155" s="551">
        <f t="shared" si="140"/>
        <v>36613.078973650961</v>
      </c>
      <c r="BJ155" s="547">
        <f>'Hilfstabellen_Mat&amp;Bem'!$J$57</f>
        <v>3.4</v>
      </c>
      <c r="BK155" s="546">
        <f t="shared" si="141"/>
        <v>207</v>
      </c>
      <c r="BL155" s="551">
        <f t="shared" si="142"/>
        <v>56.898287398397891</v>
      </c>
      <c r="BM155" s="553">
        <f>BL155/PI()*SQRT('Hilfstabellen_Mat&amp;Bem'!f.Rd.3/'Hilfstabellen_Mat&amp;Bem'!$BD$30)</f>
        <v>0.90556436929183226</v>
      </c>
      <c r="BN155" s="553">
        <f>0.5*(1+'Hilfstabellen_Mat&amp;Bem'!$BD$31*(BM155-0.3)+BM155^2)</f>
        <v>0.94030163193004856</v>
      </c>
      <c r="BO155" s="550">
        <f t="shared" si="143"/>
        <v>0.83785666998919384</v>
      </c>
      <c r="BQ155" s="551">
        <f t="shared" si="144"/>
        <v>35901.32045236697</v>
      </c>
      <c r="BT155" s="547">
        <f>'Hilfstabellen_Mat&amp;Bem'!$J$58</f>
        <v>3.5</v>
      </c>
      <c r="BU155" s="546">
        <f t="shared" si="145"/>
        <v>207</v>
      </c>
      <c r="BV155" s="551">
        <f t="shared" si="146"/>
        <v>58.571766439527252</v>
      </c>
      <c r="BW155" s="553">
        <f>BV155/PI()*SQRT('Hilfstabellen_Mat&amp;Bem'!f.Rd.3/'Hilfstabellen_Mat&amp;Bem'!$BD$30)</f>
        <v>0.93219861544747451</v>
      </c>
      <c r="BX155" s="553">
        <f>0.5*(1+'Hilfstabellen_Mat&amp;Bem'!$BD$31*(BW155-0.3)+BW155^2)</f>
        <v>0.96610706009346803</v>
      </c>
      <c r="BY155" s="550">
        <f t="shared" si="147"/>
        <v>0.8197952867490611</v>
      </c>
      <c r="CA155" s="551">
        <f t="shared" si="148"/>
        <v>35127.408241910518</v>
      </c>
      <c r="CD155" s="547">
        <f>'Hilfstabellen_Mat&amp;Bem'!$J$59</f>
        <v>3.6</v>
      </c>
      <c r="CE155" s="546">
        <f t="shared" si="149"/>
        <v>207</v>
      </c>
      <c r="CF155" s="551">
        <f t="shared" si="150"/>
        <v>60.245245480656592</v>
      </c>
      <c r="CG155" s="553">
        <f>CF155/PI()*SQRT('Hilfstabellen_Mat&amp;Bem'!f.Rd.3/'Hilfstabellen_Mat&amp;Bem'!$BD$30)</f>
        <v>0.95883286160311654</v>
      </c>
      <c r="CH155" s="553">
        <f>0.5*(1+'Hilfstabellen_Mat&amp;Bem'!$BD$31*(CG155-0.3)+CG155^2)</f>
        <v>0.99262187132516644</v>
      </c>
      <c r="CI155" s="550">
        <f t="shared" si="151"/>
        <v>0.80038079702139198</v>
      </c>
      <c r="CK155" s="551">
        <f t="shared" si="152"/>
        <v>34295.516771569623</v>
      </c>
      <c r="CN155" s="547">
        <f>'Hilfstabellen_Mat&amp;Bem'!$J$60</f>
        <v>3.7</v>
      </c>
      <c r="CO155" s="546">
        <f t="shared" si="153"/>
        <v>207</v>
      </c>
      <c r="CP155" s="551">
        <f t="shared" si="154"/>
        <v>61.918724521785954</v>
      </c>
      <c r="CQ155" s="553">
        <f>CP155/PI()*SQRT('Hilfstabellen_Mat&amp;Bem'!f.Rd.3/'Hilfstabellen_Mat&amp;Bem'!$BD$30)</f>
        <v>0.98546710775875879</v>
      </c>
      <c r="CR155" s="553">
        <f>0.5*(1+'Hilfstabellen_Mat&amp;Bem'!$BD$31*(CQ155-0.3)+CQ155^2)</f>
        <v>1.0198460656251445</v>
      </c>
      <c r="CS155" s="550">
        <f t="shared" si="155"/>
        <v>0.77978093996505193</v>
      </c>
      <c r="CU155" s="551">
        <f t="shared" si="156"/>
        <v>33412.833496562511</v>
      </c>
      <c r="CX155" s="547">
        <f>'Hilfstabellen_Mat&amp;Bem'!$J$61</f>
        <v>3.8</v>
      </c>
      <c r="CY155" s="546">
        <f t="shared" si="157"/>
        <v>207</v>
      </c>
      <c r="CZ155" s="551">
        <f t="shared" si="158"/>
        <v>63.592203562915294</v>
      </c>
      <c r="DA155" s="553">
        <f>CZ155/PI()*SQRT('Hilfstabellen_Mat&amp;Bem'!f.Rd.3/'Hilfstabellen_Mat&amp;Bem'!$BD$30)</f>
        <v>1.0121013539144008</v>
      </c>
      <c r="DB155" s="553">
        <f>0.5*(1+'Hilfstabellen_Mat&amp;Bem'!$BD$31*(DA155-0.3)+DA155^2)</f>
        <v>1.0477796429934016</v>
      </c>
      <c r="DC155" s="550">
        <f t="shared" si="159"/>
        <v>0.75822161206062111</v>
      </c>
      <c r="DE155" s="551">
        <f t="shared" si="160"/>
        <v>32489.037855185554</v>
      </c>
      <c r="DH155" s="547">
        <f>'Hilfstabellen_Mat&amp;Bem'!$J$62</f>
        <v>3.9</v>
      </c>
      <c r="DI155" s="546">
        <f t="shared" si="161"/>
        <v>207</v>
      </c>
      <c r="DJ155" s="551">
        <f t="shared" si="162"/>
        <v>65.265682604044642</v>
      </c>
      <c r="DK155" s="553">
        <f>DJ155/PI()*SQRT('Hilfstabellen_Mat&amp;Bem'!f.Rd.3/'Hilfstabellen_Mat&amp;Bem'!$BD$30)</f>
        <v>1.038735600070043</v>
      </c>
      <c r="DL155" s="553">
        <f>0.5*(1+'Hilfstabellen_Mat&amp;Bem'!$BD$31*(DK155-0.3)+DK155^2)</f>
        <v>1.0764226034299382</v>
      </c>
      <c r="DM155" s="550">
        <f t="shared" si="163"/>
        <v>0.73596555828593557</v>
      </c>
      <c r="DO155" s="551">
        <f t="shared" si="164"/>
        <v>31535.388206994052</v>
      </c>
      <c r="DR155" s="547">
        <f>'Hilfstabellen_Mat&amp;Bem'!$J$63</f>
        <v>4</v>
      </c>
      <c r="DS155" s="546">
        <f t="shared" si="165"/>
        <v>207</v>
      </c>
      <c r="DT155" s="551">
        <f t="shared" si="166"/>
        <v>66.939161645173996</v>
      </c>
      <c r="DU155" s="553">
        <f>DT155/PI()*SQRT('Hilfstabellen_Mat&amp;Bem'!f.Rd.3/'Hilfstabellen_Mat&amp;Bem'!$BD$30)</f>
        <v>1.0653698462256851</v>
      </c>
      <c r="DV155" s="553">
        <f>0.5*(1+'Hilfstabellen_Mat&amp;Bem'!$BD$31*(DU155-0.3)+DU155^2)</f>
        <v>1.1057749469347542</v>
      </c>
      <c r="DW155" s="550">
        <f t="shared" si="167"/>
        <v>0.71328733704565228</v>
      </c>
      <c r="DY155" s="551">
        <f t="shared" si="168"/>
        <v>30563.649105069155</v>
      </c>
      <c r="EB155" s="547">
        <f>'Hilfstabellen_Mat&amp;Bem'!$J$64</f>
        <v>4.0999999999999996</v>
      </c>
      <c r="EC155" s="546">
        <f t="shared" si="169"/>
        <v>207</v>
      </c>
      <c r="ED155" s="551">
        <f t="shared" si="170"/>
        <v>68.612640686303351</v>
      </c>
      <c r="EE155" s="553">
        <f>ED155/PI()*SQRT('Hilfstabellen_Mat&amp;Bem'!f.Rd.3/'Hilfstabellen_Mat&amp;Bem'!$BD$30)</f>
        <v>1.0920040923813275</v>
      </c>
      <c r="EF155" s="553">
        <f>0.5*(1+'Hilfstabellen_Mat&amp;Bem'!$BD$31*(EE155-0.3)+EE155^2)</f>
        <v>1.1358366735078498</v>
      </c>
      <c r="EG155" s="550">
        <f t="shared" si="171"/>
        <v>0.69045043264749606</v>
      </c>
      <c r="EI155" s="551">
        <f t="shared" si="172"/>
        <v>29585.110588512558</v>
      </c>
      <c r="EL155" s="547">
        <f>'Hilfstabellen_Mat&amp;Bem'!$J$65</f>
        <v>4.2</v>
      </c>
      <c r="EM155" s="546">
        <f t="shared" si="173"/>
        <v>207</v>
      </c>
      <c r="EN155" s="551">
        <f t="shared" si="174"/>
        <v>70.286119727432705</v>
      </c>
      <c r="EO155" s="553">
        <f>EN155/PI()*SQRT('Hilfstabellen_Mat&amp;Bem'!f.Rd.3/'Hilfstabellen_Mat&amp;Bem'!$BD$30)</f>
        <v>1.1186383385369696</v>
      </c>
      <c r="EP155" s="553">
        <f>0.5*(1+'Hilfstabellen_Mat&amp;Bem'!$BD$31*(EO155-0.3)+EO155^2)</f>
        <v>1.1666077831492245</v>
      </c>
      <c r="EQ155" s="550">
        <f t="shared" si="175"/>
        <v>0.66769050502213045</v>
      </c>
      <c r="ES155" s="551">
        <f t="shared" si="176"/>
        <v>28609.87044969327</v>
      </c>
    </row>
    <row r="156" spans="3:149">
      <c r="C156" s="546">
        <v>208</v>
      </c>
      <c r="D156" s="551">
        <f t="shared" si="131"/>
        <v>46.632137126854388</v>
      </c>
      <c r="E156" s="553">
        <f>$D156/PI()*SQRT('Hilfstabellen_Mat&amp;Bem'!f.Rd.3/'Hilfstabellen_Mat&amp;Bem'!$BD$30)</f>
        <v>0.742173513067797</v>
      </c>
      <c r="F156" s="553">
        <f>0.5*(1+'Hilfstabellen_Mat&amp;Bem'!$BD$31*($E156-0.3)+$E156^2)</f>
        <v>0.79751943740308751</v>
      </c>
      <c r="G156" s="550">
        <f t="shared" si="132"/>
        <v>0.91790549649576936</v>
      </c>
      <c r="I156" s="551">
        <f t="shared" si="177"/>
        <v>39712.263400392963</v>
      </c>
      <c r="M156" s="546">
        <f t="shared" si="133"/>
        <v>208</v>
      </c>
      <c r="N156" s="551">
        <f t="shared" si="123"/>
        <v>48.297570595670614</v>
      </c>
      <c r="O156" s="553">
        <f>$N156/PI()*SQRT('Hilfstabellen_Mat&amp;Bem'!f.Rd.3/'Hilfstabellen_Mat&amp;Bem'!$BD$30)</f>
        <v>0.76867970996307555</v>
      </c>
      <c r="P156" s="553">
        <f>0.5*(1+'Hilfstabellen_Mat&amp;Bem'!$BD$31*($O156-0.3)+$O156^2)</f>
        <v>0.81886823375261275</v>
      </c>
      <c r="Q156" s="550">
        <f t="shared" si="124"/>
        <v>0.90815070324994096</v>
      </c>
      <c r="S156" s="551">
        <f t="shared" si="178"/>
        <v>39290.232025405443</v>
      </c>
      <c r="W156" s="546">
        <f t="shared" si="134"/>
        <v>208</v>
      </c>
      <c r="X156" s="551">
        <f t="shared" si="125"/>
        <v>49.963004064486846</v>
      </c>
      <c r="Y156" s="553">
        <f>$X156/PI()*SQRT('Hilfstabellen_Mat&amp;Bem'!f.Rd.3/'Hilfstabellen_Mat&amp;Bem'!$BD$30)</f>
        <v>0.795185906858354</v>
      </c>
      <c r="Z156" s="553">
        <f>0.5*(1+'Hilfstabellen_Mat&amp;Bem'!$BD$31*($Y156-0.3)+$Y156^2)</f>
        <v>0.84091960857598913</v>
      </c>
      <c r="AA156" s="550">
        <f t="shared" si="126"/>
        <v>0.89729435048062189</v>
      </c>
      <c r="AC156" s="551">
        <f t="shared" si="179"/>
        <v>38820.542779193624</v>
      </c>
      <c r="AG156" s="546">
        <f t="shared" si="135"/>
        <v>208</v>
      </c>
      <c r="AH156" s="551">
        <f t="shared" si="127"/>
        <v>51.628437533303071</v>
      </c>
      <c r="AI156" s="553">
        <f>$AH156/PI()*SQRT('Hilfstabellen_Mat&amp;Bem'!f.Rd.3/'Hilfstabellen_Mat&amp;Bem'!$BD$30)</f>
        <v>0.82169210375363244</v>
      </c>
      <c r="AJ156" s="553">
        <f>0.5*(1+'Hilfstabellen_Mat&amp;Bem'!$BD$31*($AI156-0.3)+$AI156^2)</f>
        <v>0.86367356187321676</v>
      </c>
      <c r="AK156" s="550">
        <f t="shared" si="128"/>
        <v>0.88521426167720008</v>
      </c>
      <c r="AM156" s="551">
        <f t="shared" si="180"/>
        <v>38297.909817202381</v>
      </c>
      <c r="AQ156" s="546">
        <f t="shared" si="136"/>
        <v>208</v>
      </c>
      <c r="AR156" s="551">
        <f t="shared" si="129"/>
        <v>53.293871002119303</v>
      </c>
      <c r="AS156" s="553">
        <f>$AR156/PI()*SQRT('Hilfstabellen_Mat&amp;Bem'!f.Rd.3/'Hilfstabellen_Mat&amp;Bem'!$BD$30)</f>
        <v>0.848198300648911</v>
      </c>
      <c r="AT156" s="553">
        <f>0.5*(1+'Hilfstabellen_Mat&amp;Bem'!$BD$31*($AS156-0.3)+$AS156^2)</f>
        <v>0.88713009364429585</v>
      </c>
      <c r="AU156" s="550">
        <f t="shared" si="130"/>
        <v>0.871799987092294</v>
      </c>
      <c r="AW156" s="551">
        <f t="shared" si="181"/>
        <v>37717.554641561008</v>
      </c>
      <c r="AZ156" s="547">
        <f>'Hilfstabellen_Mat&amp;Bem'!$J$56</f>
        <v>3.3</v>
      </c>
      <c r="BA156" s="546">
        <f t="shared" si="137"/>
        <v>208</v>
      </c>
      <c r="BB156" s="551">
        <f t="shared" si="138"/>
        <v>54.959304470935528</v>
      </c>
      <c r="BC156" s="553">
        <f>BB156/PI()*SQRT('Hilfstabellen_Mat&amp;Bem'!f.Rd.3/'Hilfstabellen_Mat&amp;Bem'!$BD$30)</f>
        <v>0.87470449754418933</v>
      </c>
      <c r="BD156" s="553">
        <f>0.5*(1+'Hilfstabellen_Mat&amp;Bem'!$BD$31*(BC156-0.3)+BC156^2)</f>
        <v>0.91128920388922585</v>
      </c>
      <c r="BE156" s="550">
        <f t="shared" si="139"/>
        <v>0.85696690039980017</v>
      </c>
      <c r="BG156" s="551">
        <f t="shared" si="140"/>
        <v>37075.815978896957</v>
      </c>
      <c r="BJ156" s="547">
        <f>'Hilfstabellen_Mat&amp;Bem'!$J$57</f>
        <v>3.4</v>
      </c>
      <c r="BK156" s="546">
        <f t="shared" si="141"/>
        <v>208</v>
      </c>
      <c r="BL156" s="551">
        <f t="shared" si="142"/>
        <v>56.624737939751753</v>
      </c>
      <c r="BM156" s="553">
        <f>BL156/PI()*SQRT('Hilfstabellen_Mat&amp;Bem'!f.Rd.3/'Hilfstabellen_Mat&amp;Bem'!$BD$30)</f>
        <v>0.90121069443946777</v>
      </c>
      <c r="BN156" s="553">
        <f>0.5*(1+'Hilfstabellen_Mat&amp;Bem'!$BD$31*(BM156-0.3)+BM156^2)</f>
        <v>0.93615089260800721</v>
      </c>
      <c r="BO156" s="550">
        <f t="shared" si="143"/>
        <v>0.84067261761963585</v>
      </c>
      <c r="BQ156" s="551">
        <f t="shared" si="144"/>
        <v>36370.860128695924</v>
      </c>
      <c r="BT156" s="547">
        <f>'Hilfstabellen_Mat&amp;Bem'!$J$58</f>
        <v>3.5</v>
      </c>
      <c r="BU156" s="546">
        <f t="shared" si="145"/>
        <v>208</v>
      </c>
      <c r="BV156" s="551">
        <f t="shared" si="146"/>
        <v>58.290171408567979</v>
      </c>
      <c r="BW156" s="553">
        <f>BV156/PI()*SQRT('Hilfstabellen_Mat&amp;Bem'!f.Rd.3/'Hilfstabellen_Mat&amp;Bem'!$BD$30)</f>
        <v>0.92771689133474622</v>
      </c>
      <c r="BX156" s="553">
        <f>0.5*(1+'Hilfstabellen_Mat&amp;Bem'!$BD$31*(BW156-0.3)+BW156^2)</f>
        <v>0.96171515980063993</v>
      </c>
      <c r="BY156" s="550">
        <f t="shared" si="147"/>
        <v>0.82293271399607582</v>
      </c>
      <c r="CA156" s="551">
        <f t="shared" si="148"/>
        <v>35603.360938326223</v>
      </c>
      <c r="CD156" s="547">
        <f>'Hilfstabellen_Mat&amp;Bem'!$J$59</f>
        <v>3.6</v>
      </c>
      <c r="CE156" s="546">
        <f t="shared" si="149"/>
        <v>208</v>
      </c>
      <c r="CF156" s="551">
        <f t="shared" si="150"/>
        <v>59.955604877384204</v>
      </c>
      <c r="CG156" s="553">
        <f>CF156/PI()*SQRT('Hilfstabellen_Mat&amp;Bem'!f.Rd.3/'Hilfstabellen_Mat&amp;Bem'!$BD$30)</f>
        <v>0.95422308823002455</v>
      </c>
      <c r="CH156" s="553">
        <f>0.5*(1+'Hilfstabellen_Mat&amp;Bem'!$BD$31*(CG156-0.3)+CG156^2)</f>
        <v>0.98798200546712378</v>
      </c>
      <c r="CI156" s="550">
        <f t="shared" si="151"/>
        <v>0.80383135639276937</v>
      </c>
      <c r="CK156" s="551">
        <f t="shared" si="152"/>
        <v>34776.959802976773</v>
      </c>
      <c r="CN156" s="547">
        <f>'Hilfstabellen_Mat&amp;Bem'!$J$60</f>
        <v>3.7</v>
      </c>
      <c r="CO156" s="546">
        <f t="shared" si="153"/>
        <v>208</v>
      </c>
      <c r="CP156" s="551">
        <f t="shared" si="154"/>
        <v>61.621038346200443</v>
      </c>
      <c r="CQ156" s="553">
        <f>CP156/PI()*SQRT('Hilfstabellen_Mat&amp;Bem'!f.Rd.3/'Hilfstabellen_Mat&amp;Bem'!$BD$30)</f>
        <v>0.98072928512530333</v>
      </c>
      <c r="CR156" s="553">
        <f>0.5*(1+'Hilfstabellen_Mat&amp;Bem'!$BD$31*(CQ156-0.3)+CQ156^2)</f>
        <v>1.0149514296074593</v>
      </c>
      <c r="CS156" s="550">
        <f t="shared" si="155"/>
        <v>0.78352260116116534</v>
      </c>
      <c r="CU156" s="551">
        <f t="shared" si="156"/>
        <v>33898.321816636657</v>
      </c>
      <c r="CX156" s="547">
        <f>'Hilfstabellen_Mat&amp;Bem'!$J$61</f>
        <v>3.8</v>
      </c>
      <c r="CY156" s="546">
        <f t="shared" si="157"/>
        <v>208</v>
      </c>
      <c r="CZ156" s="551">
        <f t="shared" si="158"/>
        <v>63.286471815016668</v>
      </c>
      <c r="DA156" s="553">
        <f>CZ156/PI()*SQRT('Hilfstabellen_Mat&amp;Bem'!f.Rd.3/'Hilfstabellen_Mat&amp;Bem'!$BD$30)</f>
        <v>1.0072354820205818</v>
      </c>
      <c r="DB156" s="553">
        <f>0.5*(1+'Hilfstabellen_Mat&amp;Bem'!$BD$31*(DA156-0.3)+DA156^2)</f>
        <v>1.0426234322216459</v>
      </c>
      <c r="DC156" s="550">
        <f t="shared" si="159"/>
        <v>0.76222038966594252</v>
      </c>
      <c r="DE156" s="551">
        <f t="shared" si="160"/>
        <v>32976.70293850734</v>
      </c>
      <c r="DH156" s="547">
        <f>'Hilfstabellen_Mat&amp;Bem'!$J$62</f>
        <v>3.9</v>
      </c>
      <c r="DI156" s="546">
        <f t="shared" si="161"/>
        <v>208</v>
      </c>
      <c r="DJ156" s="551">
        <f t="shared" si="162"/>
        <v>64.9519052838329</v>
      </c>
      <c r="DK156" s="553">
        <f>DJ156/PI()*SQRT('Hilfstabellen_Mat&amp;Bem'!f.Rd.3/'Hilfstabellen_Mat&amp;Bem'!$BD$30)</f>
        <v>1.0337416789158602</v>
      </c>
      <c r="DL156" s="553">
        <f>0.5*(1+'Hilfstabellen_Mat&amp;Bem'!$BD$31*(DK156-0.3)+DK156^2)</f>
        <v>1.0709980133096837</v>
      </c>
      <c r="DM156" s="550">
        <f t="shared" si="163"/>
        <v>0.74017897570723978</v>
      </c>
      <c r="DO156" s="551">
        <f t="shared" si="164"/>
        <v>32023.10320499802</v>
      </c>
      <c r="DR156" s="547">
        <f>'Hilfstabellen_Mat&amp;Bem'!$J$63</f>
        <v>4</v>
      </c>
      <c r="DS156" s="546">
        <f t="shared" si="165"/>
        <v>208</v>
      </c>
      <c r="DT156" s="551">
        <f t="shared" si="166"/>
        <v>66.617338752649118</v>
      </c>
      <c r="DU156" s="553">
        <f>DT156/PI()*SQRT('Hilfstabellen_Mat&amp;Bem'!f.Rd.3/'Hilfstabellen_Mat&amp;Bem'!$BD$30)</f>
        <v>1.0602478758111384</v>
      </c>
      <c r="DV156" s="553">
        <f>0.5*(1+'Hilfstabellen_Mat&amp;Bem'!$BD$31*(DU156-0.3)+DU156^2)</f>
        <v>1.1000751728715725</v>
      </c>
      <c r="DW156" s="550">
        <f t="shared" si="167"/>
        <v>0.71766868305375253</v>
      </c>
      <c r="DY156" s="551">
        <f t="shared" si="168"/>
        <v>31049.217903637549</v>
      </c>
      <c r="EB156" s="547">
        <f>'Hilfstabellen_Mat&amp;Bem'!$J$64</f>
        <v>4.0999999999999996</v>
      </c>
      <c r="EC156" s="546">
        <f t="shared" si="169"/>
        <v>208</v>
      </c>
      <c r="ED156" s="551">
        <f t="shared" si="170"/>
        <v>68.282772221465351</v>
      </c>
      <c r="EE156" s="553">
        <f>ED156/PI()*SQRT('Hilfstabellen_Mat&amp;Bem'!f.Rd.3/'Hilfstabellen_Mat&amp;Bem'!$BD$30)</f>
        <v>1.0867540727064171</v>
      </c>
      <c r="EF156" s="553">
        <f>0.5*(1+'Hilfstabellen_Mat&amp;Bem'!$BD$31*(EE156-0.3)+EE156^2)</f>
        <v>1.129854910907313</v>
      </c>
      <c r="EG156" s="550">
        <f t="shared" si="171"/>
        <v>0.69495279604133542</v>
      </c>
      <c r="EI156" s="551">
        <f t="shared" si="172"/>
        <v>30066.437767932337</v>
      </c>
      <c r="EL156" s="547">
        <f>'Hilfstabellen_Mat&amp;Bem'!$J$65</f>
        <v>4.2</v>
      </c>
      <c r="EM156" s="546">
        <f t="shared" si="173"/>
        <v>208</v>
      </c>
      <c r="EN156" s="551">
        <f t="shared" si="174"/>
        <v>69.948205690281583</v>
      </c>
      <c r="EO156" s="553">
        <f>EN156/PI()*SQRT('Hilfstabellen_Mat&amp;Bem'!f.Rd.3/'Hilfstabellen_Mat&amp;Bem'!$BD$30)</f>
        <v>1.1132602696016956</v>
      </c>
      <c r="EP156" s="553">
        <f>0.5*(1+'Hilfstabellen_Mat&amp;Bem'!$BD$31*(EO156-0.3)+EO156^2)</f>
        <v>1.1603372274169046</v>
      </c>
      <c r="EQ156" s="550">
        <f t="shared" si="175"/>
        <v>0.67226989272509641</v>
      </c>
      <c r="ES156" s="551">
        <f t="shared" si="176"/>
        <v>29085.084638858571</v>
      </c>
    </row>
    <row r="157" spans="3:149">
      <c r="C157" s="546">
        <v>209</v>
      </c>
      <c r="D157" s="551">
        <f t="shared" si="131"/>
        <v>46.409016853520157</v>
      </c>
      <c r="E157" s="553">
        <f>$D157/PI()*SQRT('Hilfstabellen_Mat&amp;Bem'!f.Rd.3/'Hilfstabellen_Mat&amp;Bem'!$BD$30)</f>
        <v>0.73862244362728124</v>
      </c>
      <c r="F157" s="553">
        <f>0.5*(1+'Hilfstabellen_Mat&amp;Bem'!$BD$31*($E157-0.3)+$E157^2)</f>
        <v>0.79471267929633216</v>
      </c>
      <c r="G157" s="550">
        <f t="shared" si="132"/>
        <v>0.91913539702040203</v>
      </c>
      <c r="I157" s="551">
        <f t="shared" si="177"/>
        <v>40148.753277248179</v>
      </c>
      <c r="M157" s="546">
        <f t="shared" si="133"/>
        <v>209</v>
      </c>
      <c r="N157" s="551">
        <f t="shared" si="123"/>
        <v>48.066481741145871</v>
      </c>
      <c r="O157" s="553">
        <f>$N157/PI()*SQRT('Hilfstabellen_Mat&amp;Bem'!f.Rd.3/'Hilfstabellen_Mat&amp;Bem'!$BD$30)</f>
        <v>0.76500181661396982</v>
      </c>
      <c r="P157" s="553">
        <f>0.5*(1+'Hilfstabellen_Mat&amp;Bem'!$BD$31*($O157-0.3)+$O157^2)</f>
        <v>0.81586398054203546</v>
      </c>
      <c r="Q157" s="550">
        <f t="shared" si="124"/>
        <v>0.90956723430748943</v>
      </c>
      <c r="S157" s="551">
        <f t="shared" si="178"/>
        <v>39730.806361785442</v>
      </c>
      <c r="W157" s="546">
        <f t="shared" si="134"/>
        <v>209</v>
      </c>
      <c r="X157" s="551">
        <f t="shared" si="125"/>
        <v>49.723946628771593</v>
      </c>
      <c r="Y157" s="553">
        <f>$X157/PI()*SQRT('Hilfstabellen_Mat&amp;Bem'!f.Rd.3/'Hilfstabellen_Mat&amp;Bem'!$BD$30)</f>
        <v>0.79138118960065851</v>
      </c>
      <c r="Z157" s="553">
        <f>0.5*(1+'Hilfstabellen_Mat&amp;Bem'!$BD$31*($Y157-0.3)+$Y157^2)</f>
        <v>0.83771115310690969</v>
      </c>
      <c r="AA157" s="550">
        <f t="shared" si="126"/>
        <v>0.89892510721419105</v>
      </c>
      <c r="AC157" s="551">
        <f t="shared" si="179"/>
        <v>39265.947608223083</v>
      </c>
      <c r="AG157" s="546">
        <f t="shared" si="135"/>
        <v>209</v>
      </c>
      <c r="AH157" s="551">
        <f t="shared" si="127"/>
        <v>51.381411516397314</v>
      </c>
      <c r="AI157" s="553">
        <f>$AH157/PI()*SQRT('Hilfstabellen_Mat&amp;Bem'!f.Rd.3/'Hilfstabellen_Mat&amp;Bem'!$BD$30)</f>
        <v>0.81776056258734708</v>
      </c>
      <c r="AJ157" s="553">
        <f>0.5*(1+'Hilfstabellen_Mat&amp;Bem'!$BD$31*($AI157-0.3)+$AI157^2)</f>
        <v>0.86025419699095462</v>
      </c>
      <c r="AK157" s="550">
        <f t="shared" si="128"/>
        <v>0.88708785907728938</v>
      </c>
      <c r="AM157" s="551">
        <f t="shared" si="180"/>
        <v>38748.884772355079</v>
      </c>
      <c r="AQ157" s="546">
        <f t="shared" si="136"/>
        <v>209</v>
      </c>
      <c r="AR157" s="551">
        <f t="shared" si="129"/>
        <v>53.038876404023036</v>
      </c>
      <c r="AS157" s="553">
        <f>$AR157/PI()*SQRT('Hilfstabellen_Mat&amp;Bem'!f.Rd.3/'Hilfstabellen_Mat&amp;Bem'!$BD$30)</f>
        <v>0.84413993557403577</v>
      </c>
      <c r="AT157" s="553">
        <f>0.5*(1+'Hilfstabellen_Mat&amp;Bem'!$BD$31*($AS157-0.3)+$AS157^2)</f>
        <v>0.88349311219417037</v>
      </c>
      <c r="AU157" s="550">
        <f t="shared" si="130"/>
        <v>0.87394412747225136</v>
      </c>
      <c r="AW157" s="551">
        <f t="shared" si="181"/>
        <v>38174.753432115409</v>
      </c>
      <c r="AZ157" s="547">
        <f>'Hilfstabellen_Mat&amp;Bem'!$J$56</f>
        <v>3.3</v>
      </c>
      <c r="BA157" s="546">
        <f t="shared" si="137"/>
        <v>209</v>
      </c>
      <c r="BB157" s="551">
        <f t="shared" si="138"/>
        <v>54.69634129164875</v>
      </c>
      <c r="BC157" s="553">
        <f>BB157/PI()*SQRT('Hilfstabellen_Mat&amp;Bem'!f.Rd.3/'Hilfstabellen_Mat&amp;Bem'!$BD$30)</f>
        <v>0.87051930856072424</v>
      </c>
      <c r="BD157" s="553">
        <f>0.5*(1+'Hilfstabellen_Mat&amp;Bem'!$BD$31*(BC157-0.3)+BC157^2)</f>
        <v>0.90742789871655694</v>
      </c>
      <c r="BE157" s="550">
        <f t="shared" si="139"/>
        <v>0.85940563421819804</v>
      </c>
      <c r="BG157" s="551">
        <f t="shared" si="140"/>
        <v>37539.697508285106</v>
      </c>
      <c r="BJ157" s="547">
        <f>'Hilfstabellen_Mat&amp;Bem'!$J$57</f>
        <v>3.4</v>
      </c>
      <c r="BK157" s="546">
        <f t="shared" si="141"/>
        <v>209</v>
      </c>
      <c r="BL157" s="551">
        <f t="shared" si="142"/>
        <v>56.353806179274478</v>
      </c>
      <c r="BM157" s="553">
        <f>BL157/PI()*SQRT('Hilfstabellen_Mat&amp;Bem'!f.Rd.3/'Hilfstabellen_Mat&amp;Bem'!$BD$30)</f>
        <v>0.89689868154741303</v>
      </c>
      <c r="BN157" s="553">
        <f>0.5*(1+'Hilfstabellen_Mat&amp;Bem'!$BD$31*(BM157-0.3)+BM157^2)</f>
        <v>0.93205855655811454</v>
      </c>
      <c r="BO157" s="550">
        <f t="shared" si="143"/>
        <v>0.84342302574643568</v>
      </c>
      <c r="BQ157" s="551">
        <f t="shared" si="144"/>
        <v>36841.561187630054</v>
      </c>
      <c r="BT157" s="547">
        <f>'Hilfstabellen_Mat&amp;Bem'!$J$58</f>
        <v>3.5</v>
      </c>
      <c r="BU157" s="546">
        <f t="shared" si="145"/>
        <v>209</v>
      </c>
      <c r="BV157" s="551">
        <f t="shared" si="146"/>
        <v>58.011271066900193</v>
      </c>
      <c r="BW157" s="553">
        <f>BV157/PI()*SQRT('Hilfstabellen_Mat&amp;Bem'!f.Rd.3/'Hilfstabellen_Mat&amp;Bem'!$BD$30)</f>
        <v>0.9232780545341015</v>
      </c>
      <c r="BX157" s="553">
        <f>0.5*(1+'Hilfstabellen_Mat&amp;Bem'!$BD$31*(BW157-0.3)+BW157^2)</f>
        <v>0.95738508571884273</v>
      </c>
      <c r="BY157" s="550">
        <f t="shared" si="147"/>
        <v>0.82600159137731599</v>
      </c>
      <c r="CA157" s="551">
        <f t="shared" si="148"/>
        <v>36080.575512952542</v>
      </c>
      <c r="CD157" s="547">
        <f>'Hilfstabellen_Mat&amp;Bem'!$J$59</f>
        <v>3.6</v>
      </c>
      <c r="CE157" s="546">
        <f t="shared" si="149"/>
        <v>209</v>
      </c>
      <c r="CF157" s="551">
        <f t="shared" si="150"/>
        <v>59.668735954525907</v>
      </c>
      <c r="CG157" s="553">
        <f>CF157/PI()*SQRT('Hilfstabellen_Mat&amp;Bem'!f.Rd.3/'Hilfstabellen_Mat&amp;Bem'!$BD$30)</f>
        <v>0.94965742752079008</v>
      </c>
      <c r="CH157" s="553">
        <f>0.5*(1+'Hilfstabellen_Mat&amp;Bem'!$BD$31*(CG157-0.3)+CG157^2)</f>
        <v>0.98340748619874185</v>
      </c>
      <c r="CI157" s="550">
        <f t="shared" si="151"/>
        <v>0.80721275548677884</v>
      </c>
      <c r="CK157" s="551">
        <f t="shared" si="152"/>
        <v>35259.860372417985</v>
      </c>
      <c r="CN157" s="547">
        <f>'Hilfstabellen_Mat&amp;Bem'!$J$60</f>
        <v>3.7</v>
      </c>
      <c r="CO157" s="546">
        <f t="shared" si="153"/>
        <v>209</v>
      </c>
      <c r="CP157" s="551">
        <f t="shared" si="154"/>
        <v>61.326200842151628</v>
      </c>
      <c r="CQ157" s="553">
        <f>CP157/PI()*SQRT('Hilfstabellen_Mat&amp;Bem'!f.Rd.3/'Hilfstabellen_Mat&amp;Bem'!$BD$30)</f>
        <v>0.97603680050747865</v>
      </c>
      <c r="CR157" s="553">
        <f>0.5*(1+'Hilfstabellen_Mat&amp;Bem'!$BD$31*(CQ157-0.3)+CQ157^2)</f>
        <v>1.0101257579978118</v>
      </c>
      <c r="CS157" s="550">
        <f t="shared" si="155"/>
        <v>0.78719707104250813</v>
      </c>
      <c r="CU157" s="551">
        <f t="shared" si="156"/>
        <v>34385.555260207795</v>
      </c>
      <c r="CX157" s="547">
        <f>'Hilfstabellen_Mat&amp;Bem'!$J$61</f>
        <v>3.8</v>
      </c>
      <c r="CY157" s="546">
        <f t="shared" si="157"/>
        <v>209</v>
      </c>
      <c r="CZ157" s="551">
        <f t="shared" si="158"/>
        <v>62.983665729777357</v>
      </c>
      <c r="DA157" s="553">
        <f>CZ157/PI()*SQRT('Hilfstabellen_Mat&amp;Bem'!f.Rd.3/'Hilfstabellen_Mat&amp;Bem'!$BD$30)</f>
        <v>1.0024161734941675</v>
      </c>
      <c r="DB157" s="553">
        <f>0.5*(1+'Hilfstabellen_Mat&amp;Bem'!$BD$31*(DA157-0.3)+DA157^2)</f>
        <v>1.0375399011160527</v>
      </c>
      <c r="DC157" s="550">
        <f t="shared" si="159"/>
        <v>0.76615630968545334</v>
      </c>
      <c r="DE157" s="551">
        <f t="shared" si="160"/>
        <v>33466.47376337029</v>
      </c>
      <c r="DH157" s="547">
        <f>'Hilfstabellen_Mat&amp;Bem'!$J$62</f>
        <v>3.9</v>
      </c>
      <c r="DI157" s="546">
        <f t="shared" si="161"/>
        <v>209</v>
      </c>
      <c r="DJ157" s="551">
        <f t="shared" si="162"/>
        <v>64.641130617403078</v>
      </c>
      <c r="DK157" s="553">
        <f>DJ157/PI()*SQRT('Hilfstabellen_Mat&amp;Bem'!f.Rd.3/'Hilfstabellen_Mat&amp;Bem'!$BD$30)</f>
        <v>1.028795546480856</v>
      </c>
      <c r="DL157" s="553">
        <f>0.5*(1+'Hilfstabellen_Mat&amp;Bem'!$BD$31*(DK157-0.3)+DK157^2)</f>
        <v>1.0656499155534644</v>
      </c>
      <c r="DM157" s="550">
        <f t="shared" si="163"/>
        <v>0.74433569553893808</v>
      </c>
      <c r="DO157" s="551">
        <f t="shared" si="164"/>
        <v>32513.327516836354</v>
      </c>
      <c r="DR157" s="547">
        <f>'Hilfstabellen_Mat&amp;Bem'!$J$63</f>
        <v>4</v>
      </c>
      <c r="DS157" s="546">
        <f t="shared" si="165"/>
        <v>209</v>
      </c>
      <c r="DT157" s="551">
        <f t="shared" si="166"/>
        <v>66.2985955050288</v>
      </c>
      <c r="DU157" s="553">
        <f>DT157/PI()*SQRT('Hilfstabellen_Mat&amp;Bem'!f.Rd.3/'Hilfstabellen_Mat&amp;Bem'!$BD$30)</f>
        <v>1.0551749194675446</v>
      </c>
      <c r="DV157" s="553">
        <f>0.5*(1+'Hilfstabellen_Mat&amp;Bem'!$BD$31*(DU157-0.3)+DU157^2)</f>
        <v>1.0944558013100467</v>
      </c>
      <c r="DW157" s="550">
        <f t="shared" si="167"/>
        <v>0.72200061685332084</v>
      </c>
      <c r="DY157" s="551">
        <f t="shared" si="168"/>
        <v>31537.708944769907</v>
      </c>
      <c r="EB157" s="547">
        <f>'Hilfstabellen_Mat&amp;Bem'!$J$64</f>
        <v>4.0999999999999996</v>
      </c>
      <c r="EC157" s="546">
        <f t="shared" si="169"/>
        <v>209</v>
      </c>
      <c r="ED157" s="551">
        <f t="shared" si="170"/>
        <v>67.956060392654507</v>
      </c>
      <c r="EE157" s="553">
        <f>ED157/PI()*SQRT('Hilfstabellen_Mat&amp;Bem'!f.Rd.3/'Hilfstabellen_Mat&amp;Bem'!$BD$30)</f>
        <v>1.0815542924542332</v>
      </c>
      <c r="EF157" s="553">
        <f>0.5*(1+'Hilfstabellen_Mat&amp;Bem'!$BD$31*(EE157-0.3)+EE157^2)</f>
        <v>1.1239575583858001</v>
      </c>
      <c r="EG157" s="550">
        <f t="shared" si="171"/>
        <v>0.6994134673996204</v>
      </c>
      <c r="EI157" s="551">
        <f t="shared" si="172"/>
        <v>30551.07966948282</v>
      </c>
      <c r="EL157" s="547">
        <f>'Hilfstabellen_Mat&amp;Bem'!$J$65</f>
        <v>4.2</v>
      </c>
      <c r="EM157" s="546">
        <f t="shared" si="173"/>
        <v>209</v>
      </c>
      <c r="EN157" s="551">
        <f t="shared" si="174"/>
        <v>69.613525280280228</v>
      </c>
      <c r="EO157" s="553">
        <f>EN157/PI()*SQRT('Hilfstabellen_Mat&amp;Bem'!f.Rd.3/'Hilfstabellen_Mat&amp;Bem'!$BD$30)</f>
        <v>1.1079336654409218</v>
      </c>
      <c r="EP157" s="553">
        <f>0.5*(1+'Hilfstabellen_Mat&amp;Bem'!$BD$31*(EO157-0.3)+EO157^2)</f>
        <v>1.1541551867807243</v>
      </c>
      <c r="EQ157" s="550">
        <f t="shared" si="175"/>
        <v>0.67681518262377738</v>
      </c>
      <c r="ES157" s="551">
        <f t="shared" si="176"/>
        <v>29563.963992189219</v>
      </c>
    </row>
    <row r="158" spans="3:149">
      <c r="C158" s="546">
        <v>210</v>
      </c>
      <c r="D158" s="551">
        <f t="shared" si="131"/>
        <v>46.188021535170058</v>
      </c>
      <c r="E158" s="553">
        <f>$D158/PI()*SQRT('Hilfstabellen_Mat&amp;Bem'!f.Rd.3/'Hilfstabellen_Mat&amp;Bem'!$BD$30)</f>
        <v>0.73510519389572282</v>
      </c>
      <c r="F158" s="553">
        <f>0.5*(1+'Hilfstabellen_Mat&amp;Bem'!$BD$31*($E158-0.3)+$E158^2)</f>
        <v>0.79194508274102016</v>
      </c>
      <c r="G158" s="550">
        <f t="shared" si="132"/>
        <v>0.92033657436610028</v>
      </c>
      <c r="I158" s="551">
        <f t="shared" si="177"/>
        <v>40586.842929545019</v>
      </c>
      <c r="M158" s="546">
        <f t="shared" si="133"/>
        <v>210</v>
      </c>
      <c r="N158" s="551">
        <f t="shared" si="123"/>
        <v>47.837593732854707</v>
      </c>
      <c r="O158" s="553">
        <f>$N158/PI()*SQRT('Hilfstabellen_Mat&amp;Bem'!f.Rd.3/'Hilfstabellen_Mat&amp;Bem'!$BD$30)</f>
        <v>0.76135895082057004</v>
      </c>
      <c r="P158" s="553">
        <f>0.5*(1+'Hilfstabellen_Mat&amp;Bem'!$BD$31*($O158-0.3)+$O158^2)</f>
        <v>0.8129016735383281</v>
      </c>
      <c r="Q158" s="550">
        <f t="shared" si="124"/>
        <v>0.91094969484619592</v>
      </c>
      <c r="S158" s="551">
        <f t="shared" si="178"/>
        <v>40172.881542717238</v>
      </c>
      <c r="W158" s="546">
        <f t="shared" si="134"/>
        <v>210</v>
      </c>
      <c r="X158" s="551">
        <f t="shared" si="125"/>
        <v>49.487165930539348</v>
      </c>
      <c r="Y158" s="553">
        <f>$X158/PI()*SQRT('Hilfstabellen_Mat&amp;Bem'!f.Rd.3/'Hilfstabellen_Mat&amp;Bem'!$BD$30)</f>
        <v>0.78761270774541725</v>
      </c>
      <c r="Z158" s="553">
        <f>0.5*(1+'Hilfstabellen_Mat&amp;Bem'!$BD$31*($Y158-0.3)+$Y158^2)</f>
        <v>0.8345475240883049</v>
      </c>
      <c r="AA158" s="550">
        <f t="shared" si="126"/>
        <v>0.90051580877540705</v>
      </c>
      <c r="AC158" s="551">
        <f t="shared" si="179"/>
        <v>39712.747166995454</v>
      </c>
      <c r="AG158" s="546">
        <f t="shared" si="135"/>
        <v>210</v>
      </c>
      <c r="AH158" s="551">
        <f t="shared" si="127"/>
        <v>51.136738128223996</v>
      </c>
      <c r="AI158" s="553">
        <f>$AH158/PI()*SQRT('Hilfstabellen_Mat&amp;Bem'!f.Rd.3/'Hilfstabellen_Mat&amp;Bem'!$BD$30)</f>
        <v>0.81386646467026458</v>
      </c>
      <c r="AJ158" s="553">
        <f>0.5*(1+'Hilfstabellen_Mat&amp;Bem'!$BD$31*($AI158-0.3)+$AI158^2)</f>
        <v>0.8568826343909508</v>
      </c>
      <c r="AK158" s="550">
        <f t="shared" si="128"/>
        <v>0.88891496413767823</v>
      </c>
      <c r="AM158" s="551">
        <f t="shared" si="180"/>
        <v>39201.149918471609</v>
      </c>
      <c r="AQ158" s="546">
        <f t="shared" si="136"/>
        <v>210</v>
      </c>
      <c r="AR158" s="551">
        <f t="shared" si="129"/>
        <v>52.786310325908637</v>
      </c>
      <c r="AS158" s="553">
        <f>$AR158/PI()*SQRT('Hilfstabellen_Mat&amp;Bem'!f.Rd.3/'Hilfstabellen_Mat&amp;Bem'!$BD$30)</f>
        <v>0.84012022159511168</v>
      </c>
      <c r="AT158" s="553">
        <f>0.5*(1+'Hilfstabellen_Mat&amp;Bem'!$BD$31*($AS158-0.3)+$AS158^2)</f>
        <v>0.87990700444626535</v>
      </c>
      <c r="AU158" s="550">
        <f t="shared" si="130"/>
        <v>0.87603523076003675</v>
      </c>
      <c r="AW158" s="551">
        <f t="shared" si="181"/>
        <v>38633.153676517621</v>
      </c>
      <c r="AZ158" s="547">
        <f>'Hilfstabellen_Mat&amp;Bem'!$J$56</f>
        <v>3.3</v>
      </c>
      <c r="BA158" s="546">
        <f t="shared" si="137"/>
        <v>210</v>
      </c>
      <c r="BB158" s="551">
        <f t="shared" si="138"/>
        <v>54.435882523593278</v>
      </c>
      <c r="BC158" s="553">
        <f>BB158/PI()*SQRT('Hilfstabellen_Mat&amp;Bem'!f.Rd.3/'Hilfstabellen_Mat&amp;Bem'!$BD$30)</f>
        <v>0.8663739785199589</v>
      </c>
      <c r="BD158" s="553">
        <f>0.5*(1+'Hilfstabellen_Mat&amp;Bem'!$BD$31*(BC158-0.3)+BC158^2)</f>
        <v>0.90362063425424899</v>
      </c>
      <c r="BE158" s="550">
        <f t="shared" si="139"/>
        <v>0.86178519814594245</v>
      </c>
      <c r="BG158" s="551">
        <f t="shared" si="140"/>
        <v>38004.727238236061</v>
      </c>
      <c r="BJ158" s="547">
        <f>'Hilfstabellen_Mat&amp;Bem'!$J$57</f>
        <v>3.4</v>
      </c>
      <c r="BK158" s="546">
        <f t="shared" si="141"/>
        <v>210</v>
      </c>
      <c r="BL158" s="551">
        <f t="shared" si="142"/>
        <v>56.085454721277927</v>
      </c>
      <c r="BM158" s="553">
        <f>BL158/PI()*SQRT('Hilfstabellen_Mat&amp;Bem'!f.Rd.3/'Hilfstabellen_Mat&amp;Bem'!$BD$30)</f>
        <v>0.89262773544480611</v>
      </c>
      <c r="BN158" s="553">
        <f>0.5*(1+'Hilfstabellen_Mat&amp;Bem'!$BD$31*(BM158-0.3)+BM158^2)</f>
        <v>0.92802352381490172</v>
      </c>
      <c r="BO158" s="550">
        <f t="shared" si="143"/>
        <v>0.84610919870419388</v>
      </c>
      <c r="BQ158" s="551">
        <f t="shared" si="144"/>
        <v>37313.415662854954</v>
      </c>
      <c r="BT158" s="547">
        <f>'Hilfstabellen_Mat&amp;Bem'!$J$58</f>
        <v>3.5</v>
      </c>
      <c r="BU158" s="546">
        <f t="shared" si="145"/>
        <v>210</v>
      </c>
      <c r="BV158" s="551">
        <f t="shared" si="146"/>
        <v>57.735026918962575</v>
      </c>
      <c r="BW158" s="553">
        <f>BV158/PI()*SQRT('Hilfstabellen_Mat&amp;Bem'!f.Rd.3/'Hilfstabellen_Mat&amp;Bem'!$BD$30)</f>
        <v>0.91888149236965355</v>
      </c>
      <c r="BX158" s="553">
        <f>0.5*(1+'Hilfstabellen_Mat&amp;Bem'!$BD$31*(BW158-0.3)+BW158^2)</f>
        <v>0.95311567312822354</v>
      </c>
      <c r="BY158" s="550">
        <f t="shared" si="147"/>
        <v>0.8290029172295762</v>
      </c>
      <c r="CA158" s="551">
        <f t="shared" si="148"/>
        <v>36559.028649824308</v>
      </c>
      <c r="CD158" s="547">
        <f>'Hilfstabellen_Mat&amp;Bem'!$J$59</f>
        <v>3.6</v>
      </c>
      <c r="CE158" s="546">
        <f t="shared" si="149"/>
        <v>210</v>
      </c>
      <c r="CF158" s="551">
        <f t="shared" si="150"/>
        <v>59.384599116647216</v>
      </c>
      <c r="CG158" s="553">
        <f>CF158/PI()*SQRT('Hilfstabellen_Mat&amp;Bem'!f.Rd.3/'Hilfstabellen_Mat&amp;Bem'!$BD$30)</f>
        <v>0.94513524929450066</v>
      </c>
      <c r="CH158" s="553">
        <f>0.5*(1+'Hilfstabellen_Mat&amp;Bem'!$BD$31*(CG158-0.3)+CG158^2)</f>
        <v>0.97889708219421401</v>
      </c>
      <c r="CI158" s="550">
        <f t="shared" si="151"/>
        <v>0.8105255764739373</v>
      </c>
      <c r="CK158" s="551">
        <f t="shared" si="152"/>
        <v>35744.177922500632</v>
      </c>
      <c r="CN158" s="547">
        <f>'Hilfstabellen_Mat&amp;Bem'!$J$60</f>
        <v>3.7</v>
      </c>
      <c r="CO158" s="546">
        <f t="shared" si="153"/>
        <v>210</v>
      </c>
      <c r="CP158" s="551">
        <f t="shared" si="154"/>
        <v>61.034171314331864</v>
      </c>
      <c r="CQ158" s="553">
        <f>CP158/PI()*SQRT('Hilfstabellen_Mat&amp;Bem'!f.Rd.3/'Hilfstabellen_Mat&amp;Bem'!$BD$30)</f>
        <v>0.97138900621934798</v>
      </c>
      <c r="CR158" s="553">
        <f>0.5*(1+'Hilfstabellen_Mat&amp;Bem'!$BD$31*(CQ158-0.3)+CQ158^2)</f>
        <v>1.0053677510128736</v>
      </c>
      <c r="CS158" s="550">
        <f t="shared" si="155"/>
        <v>0.79080446414524563</v>
      </c>
      <c r="CU158" s="551">
        <f t="shared" si="156"/>
        <v>34874.47686880533</v>
      </c>
      <c r="CX158" s="547">
        <f>'Hilfstabellen_Mat&amp;Bem'!$J$61</f>
        <v>3.8</v>
      </c>
      <c r="CY158" s="546">
        <f t="shared" si="157"/>
        <v>210</v>
      </c>
      <c r="CZ158" s="551">
        <f t="shared" si="158"/>
        <v>62.683743512016505</v>
      </c>
      <c r="DA158" s="553">
        <f>CZ158/PI()*SQRT('Hilfstabellen_Mat&amp;Bem'!f.Rd.3/'Hilfstabellen_Mat&amp;Bem'!$BD$30)</f>
        <v>0.99764276314419509</v>
      </c>
      <c r="DB158" s="553">
        <f>0.5*(1+'Hilfstabellen_Mat&amp;Bem'!$BD$31*(DA158-0.3)+DA158^2)</f>
        <v>1.032527679584202</v>
      </c>
      <c r="DC158" s="550">
        <f t="shared" si="159"/>
        <v>0.77002903832008696</v>
      </c>
      <c r="DE158" s="551">
        <f t="shared" si="160"/>
        <v>33958.280589915834</v>
      </c>
      <c r="DH158" s="547">
        <f>'Hilfstabellen_Mat&amp;Bem'!$J$62</f>
        <v>3.9</v>
      </c>
      <c r="DI158" s="546">
        <f t="shared" si="161"/>
        <v>210</v>
      </c>
      <c r="DJ158" s="551">
        <f t="shared" si="162"/>
        <v>64.333315709701154</v>
      </c>
      <c r="DK158" s="553">
        <f>DJ158/PI()*SQRT('Hilfstabellen_Mat&amp;Bem'!f.Rd.3/'Hilfstabellen_Mat&amp;Bem'!$BD$30)</f>
        <v>1.0238965200690424</v>
      </c>
      <c r="DL158" s="553">
        <f>0.5*(1+'Hilfstabellen_Mat&amp;Bem'!$BD$31*(DK158-0.3)+DK158^2)</f>
        <v>1.0603768679081997</v>
      </c>
      <c r="DM158" s="550">
        <f t="shared" si="163"/>
        <v>0.74843501427022974</v>
      </c>
      <c r="DO158" s="551">
        <f t="shared" si="164"/>
        <v>33005.984129317134</v>
      </c>
      <c r="DR158" s="547">
        <f>'Hilfstabellen_Mat&amp;Bem'!$J$63</f>
        <v>4</v>
      </c>
      <c r="DS158" s="546">
        <f t="shared" si="165"/>
        <v>210</v>
      </c>
      <c r="DT158" s="551">
        <f t="shared" si="166"/>
        <v>65.982887907385802</v>
      </c>
      <c r="DU158" s="553">
        <f>DT158/PI()*SQRT('Hilfstabellen_Mat&amp;Bem'!f.Rd.3/'Hilfstabellen_Mat&amp;Bem'!$BD$30)</f>
        <v>1.0501502769938897</v>
      </c>
      <c r="DV158" s="553">
        <f>0.5*(1+'Hilfstabellen_Mat&amp;Bem'!$BD$31*(DU158-0.3)+DU158^2)</f>
        <v>1.0889153159848663</v>
      </c>
      <c r="DW158" s="550">
        <f t="shared" si="167"/>
        <v>0.72628217602621081</v>
      </c>
      <c r="DY158" s="551">
        <f t="shared" si="168"/>
        <v>32029.043962755895</v>
      </c>
      <c r="EB158" s="547">
        <f>'Hilfstabellen_Mat&amp;Bem'!$J$64</f>
        <v>4.0999999999999996</v>
      </c>
      <c r="EC158" s="546">
        <f t="shared" si="169"/>
        <v>210</v>
      </c>
      <c r="ED158" s="551">
        <f t="shared" si="170"/>
        <v>67.63246010507045</v>
      </c>
      <c r="EE158" s="553">
        <f>ED158/PI()*SQRT('Hilfstabellen_Mat&amp;Bem'!f.Rd.3/'Hilfstabellen_Mat&amp;Bem'!$BD$30)</f>
        <v>1.0764040339187371</v>
      </c>
      <c r="EF158" s="553">
        <f>0.5*(1+'Hilfstabellen_Mat&amp;Bem'!$BD$31*(EE158-0.3)+EE158^2)</f>
        <v>1.1181430238142016</v>
      </c>
      <c r="EG158" s="550">
        <f t="shared" si="171"/>
        <v>0.70383133944803755</v>
      </c>
      <c r="EI158" s="551">
        <f t="shared" si="172"/>
        <v>31038.962069658457</v>
      </c>
      <c r="EL158" s="547">
        <f>'Hilfstabellen_Mat&amp;Bem'!$J$65</f>
        <v>4.2</v>
      </c>
      <c r="EM158" s="546">
        <f t="shared" si="173"/>
        <v>210</v>
      </c>
      <c r="EN158" s="551">
        <f t="shared" si="174"/>
        <v>69.282032302755084</v>
      </c>
      <c r="EO158" s="553">
        <f>EN158/PI()*SQRT('Hilfstabellen_Mat&amp;Bem'!f.Rd.3/'Hilfstabellen_Mat&amp;Bem'!$BD$30)</f>
        <v>1.102657790843584</v>
      </c>
      <c r="EP158" s="553">
        <f>0.5*(1+'Hilfstabellen_Mat&amp;Bem'!$BD$31*(EO158-0.3)+EO158^2)</f>
        <v>1.1480599913962055</v>
      </c>
      <c r="EQ158" s="550">
        <f t="shared" si="175"/>
        <v>0.68132521956793579</v>
      </c>
      <c r="ES158" s="551">
        <f t="shared" si="176"/>
        <v>30046.442182945968</v>
      </c>
    </row>
    <row r="159" spans="3:149">
      <c r="C159" s="546">
        <v>211</v>
      </c>
      <c r="D159" s="551">
        <f t="shared" si="131"/>
        <v>45.969120959173992</v>
      </c>
      <c r="E159" s="553">
        <f>$D159/PI()*SQRT('Hilfstabellen_Mat&amp;Bem'!f.Rd.3/'Hilfstabellen_Mat&amp;Bem'!$BD$30)</f>
        <v>0.73162128302417906</v>
      </c>
      <c r="F159" s="553">
        <f>0.5*(1+'Hilfstabellen_Mat&amp;Bem'!$BD$31*($E159-0.3)+$E159^2)</f>
        <v>0.78921591503818189</v>
      </c>
      <c r="G159" s="550">
        <f t="shared" si="132"/>
        <v>0.92150995549333181</v>
      </c>
      <c r="I159" s="551">
        <f t="shared" si="177"/>
        <v>41026.544728518624</v>
      </c>
      <c r="M159" s="546">
        <f t="shared" si="133"/>
        <v>211</v>
      </c>
      <c r="N159" s="551">
        <f t="shared" si="123"/>
        <v>47.610875279144494</v>
      </c>
      <c r="O159" s="553">
        <f>$N159/PI()*SQRT('Hilfstabellen_Mat&amp;Bem'!f.Rd.3/'Hilfstabellen_Mat&amp;Bem'!$BD$30)</f>
        <v>0.75775061456075687</v>
      </c>
      <c r="P159" s="553">
        <f>0.5*(1+'Hilfstabellen_Mat&amp;Bem'!$BD$31*($O159-0.3)+$O159^2)</f>
        <v>0.80998052766164019</v>
      </c>
      <c r="Q159" s="550">
        <f t="shared" si="124"/>
        <v>0.91229918009030853</v>
      </c>
      <c r="S159" s="551">
        <f t="shared" si="178"/>
        <v>40616.471796800623</v>
      </c>
      <c r="W159" s="546">
        <f t="shared" si="134"/>
        <v>211</v>
      </c>
      <c r="X159" s="551">
        <f t="shared" si="125"/>
        <v>49.252629599114989</v>
      </c>
      <c r="Y159" s="553">
        <f>$X159/PI()*SQRT('Hilfstabellen_Mat&amp;Bem'!f.Rd.3/'Hilfstabellen_Mat&amp;Bem'!$BD$30)</f>
        <v>0.78387994609733469</v>
      </c>
      <c r="Z159" s="553">
        <f>0.5*(1+'Hilfstabellen_Mat&amp;Bem'!$BD$31*($Y159-0.3)+$Y159^2)</f>
        <v>0.83142788225164688</v>
      </c>
      <c r="AA159" s="550">
        <f t="shared" si="126"/>
        <v>0.90206771586917012</v>
      </c>
      <c r="AC159" s="551">
        <f t="shared" si="179"/>
        <v>40160.956778211323</v>
      </c>
      <c r="AG159" s="546">
        <f t="shared" si="135"/>
        <v>211</v>
      </c>
      <c r="AH159" s="551">
        <f t="shared" si="127"/>
        <v>50.894383919085492</v>
      </c>
      <c r="AI159" s="553">
        <f>$AH159/PI()*SQRT('Hilfstabellen_Mat&amp;Bem'!f.Rd.3/'Hilfstabellen_Mat&amp;Bem'!$BD$30)</f>
        <v>0.81000927763391251</v>
      </c>
      <c r="AJ159" s="553">
        <f>0.5*(1+'Hilfstabellen_Mat&amp;Bem'!$BD$31*($AI159-0.3)+$AI159^2)</f>
        <v>0.85355797880820194</v>
      </c>
      <c r="AK159" s="550">
        <f t="shared" si="128"/>
        <v>0.89069697671451564</v>
      </c>
      <c r="AM159" s="551">
        <f t="shared" si="180"/>
        <v>39654.720100306949</v>
      </c>
      <c r="AQ159" s="546">
        <f t="shared" si="136"/>
        <v>211</v>
      </c>
      <c r="AR159" s="551">
        <f t="shared" si="129"/>
        <v>52.536138239055994</v>
      </c>
      <c r="AS159" s="553">
        <f>$AR159/PI()*SQRT('Hilfstabellen_Mat&amp;Bem'!f.Rd.3/'Hilfstabellen_Mat&amp;Bem'!$BD$30)</f>
        <v>0.83613860917049032</v>
      </c>
      <c r="AT159" s="553">
        <f>0.5*(1+'Hilfstabellen_Mat&amp;Bem'!$BD$31*($AS159-0.3)+$AS159^2)</f>
        <v>0.87637081733130562</v>
      </c>
      <c r="AU159" s="550">
        <f t="shared" si="130"/>
        <v>0.87807477701539949</v>
      </c>
      <c r="AW159" s="551">
        <f t="shared" si="181"/>
        <v>39092.7671475026</v>
      </c>
      <c r="AZ159" s="547">
        <f>'Hilfstabellen_Mat&amp;Bem'!$J$56</f>
        <v>3.3</v>
      </c>
      <c r="BA159" s="546">
        <f t="shared" si="137"/>
        <v>211</v>
      </c>
      <c r="BB159" s="551">
        <f t="shared" si="138"/>
        <v>54.177892559026489</v>
      </c>
      <c r="BC159" s="553">
        <f>BB159/PI()*SQRT('Hilfstabellen_Mat&amp;Bem'!f.Rd.3/'Hilfstabellen_Mat&amp;Bem'!$BD$30)</f>
        <v>0.86226794070706814</v>
      </c>
      <c r="BD159" s="553">
        <f>0.5*(1+'Hilfstabellen_Mat&amp;Bem'!$BD$31*(BC159-0.3)+BC159^2)</f>
        <v>0.89986639782095734</v>
      </c>
      <c r="BE159" s="550">
        <f t="shared" si="139"/>
        <v>0.864107056533579</v>
      </c>
      <c r="BG159" s="551">
        <f t="shared" si="140"/>
        <v>38470.910263931473</v>
      </c>
      <c r="BJ159" s="547">
        <f>'Hilfstabellen_Mat&amp;Bem'!$J$57</f>
        <v>3.4</v>
      </c>
      <c r="BK159" s="546">
        <f t="shared" si="141"/>
        <v>211</v>
      </c>
      <c r="BL159" s="551">
        <f t="shared" si="142"/>
        <v>55.819646878996991</v>
      </c>
      <c r="BM159" s="553">
        <f>BL159/PI()*SQRT('Hilfstabellen_Mat&amp;Bem'!f.Rd.3/'Hilfstabellen_Mat&amp;Bem'!$BD$30)</f>
        <v>0.88839727224364595</v>
      </c>
      <c r="BN159" s="553">
        <f>0.5*(1+'Hilfstabellen_Mat&amp;Bem'!$BD$31*(BM159-0.3)+BM159^2)</f>
        <v>0.92404472027715767</v>
      </c>
      <c r="BO159" s="550">
        <f t="shared" si="143"/>
        <v>0.8487324585532352</v>
      </c>
      <c r="BQ159" s="551">
        <f t="shared" si="144"/>
        <v>37786.417787248582</v>
      </c>
      <c r="BT159" s="547">
        <f>'Hilfstabellen_Mat&amp;Bem'!$J$58</f>
        <v>3.5</v>
      </c>
      <c r="BU159" s="546">
        <f t="shared" si="145"/>
        <v>211</v>
      </c>
      <c r="BV159" s="551">
        <f t="shared" si="146"/>
        <v>57.461401198967486</v>
      </c>
      <c r="BW159" s="553">
        <f>BV159/PI()*SQRT('Hilfstabellen_Mat&amp;Bem'!f.Rd.3/'Hilfstabellen_Mat&amp;Bem'!$BD$30)</f>
        <v>0.91452660378022377</v>
      </c>
      <c r="BX159" s="553">
        <f>0.5*(1+'Hilfstabellen_Mat&amp;Bem'!$BD$31*(BW159-0.3)+BW159^2)</f>
        <v>0.94890578469990638</v>
      </c>
      <c r="BY159" s="550">
        <f t="shared" si="147"/>
        <v>0.83193773480478439</v>
      </c>
      <c r="CA159" s="551">
        <f t="shared" si="148"/>
        <v>37038.699891243807</v>
      </c>
      <c r="CD159" s="547">
        <f>'Hilfstabellen_Mat&amp;Bem'!$J$59</f>
        <v>3.6</v>
      </c>
      <c r="CE159" s="546">
        <f t="shared" si="149"/>
        <v>211</v>
      </c>
      <c r="CF159" s="551">
        <f t="shared" si="150"/>
        <v>59.103155518937989</v>
      </c>
      <c r="CG159" s="553">
        <f>CF159/PI()*SQRT('Hilfstabellen_Mat&amp;Bem'!f.Rd.3/'Hilfstabellen_Mat&amp;Bem'!$BD$30)</f>
        <v>0.94065593531680158</v>
      </c>
      <c r="CH159" s="553">
        <f>0.5*(1+'Hilfstabellen_Mat&amp;Bem'!$BD$31*(CG159-0.3)+CG159^2)</f>
        <v>0.97444959108920348</v>
      </c>
      <c r="CI159" s="550">
        <f t="shared" si="151"/>
        <v>0.81377046922553653</v>
      </c>
      <c r="CK159" s="551">
        <f t="shared" si="152"/>
        <v>36229.875060390114</v>
      </c>
      <c r="CN159" s="547">
        <f>'Hilfstabellen_Mat&amp;Bem'!$J$60</f>
        <v>3.7</v>
      </c>
      <c r="CO159" s="546">
        <f t="shared" si="153"/>
        <v>211</v>
      </c>
      <c r="CP159" s="551">
        <f t="shared" si="154"/>
        <v>60.744909838908484</v>
      </c>
      <c r="CQ159" s="553">
        <f>CP159/PI()*SQRT('Hilfstabellen_Mat&amp;Bem'!f.Rd.3/'Hilfstabellen_Mat&amp;Bem'!$BD$30)</f>
        <v>0.9667852668533794</v>
      </c>
      <c r="CR159" s="553">
        <f>0.5*(1+'Hilfstabellen_Mat&amp;Bem'!$BD$31*(CQ159-0.3)+CQ159^2)</f>
        <v>1.000676139445049</v>
      </c>
      <c r="CS159" s="550">
        <f t="shared" si="155"/>
        <v>0.79434497537287185</v>
      </c>
      <c r="CU159" s="551">
        <f t="shared" si="156"/>
        <v>35365.03264857563</v>
      </c>
      <c r="CX159" s="547">
        <f>'Hilfstabellen_Mat&amp;Bem'!$J$61</f>
        <v>3.8</v>
      </c>
      <c r="CY159" s="546">
        <f t="shared" si="157"/>
        <v>211</v>
      </c>
      <c r="CZ159" s="551">
        <f t="shared" si="158"/>
        <v>62.386664158878993</v>
      </c>
      <c r="DA159" s="553">
        <f>CZ159/PI()*SQRT('Hilfstabellen_Mat&amp;Bem'!f.Rd.3/'Hilfstabellen_Mat&amp;Bem'!$BD$30)</f>
        <v>0.99291459838995744</v>
      </c>
      <c r="DB159" s="553">
        <f>0.5*(1+'Hilfstabellen_Mat&amp;Bem'!$BD$31*(DA159-0.3)+DA159^2)</f>
        <v>1.0275854297674432</v>
      </c>
      <c r="DC159" s="550">
        <f t="shared" si="159"/>
        <v>0.77383832234433192</v>
      </c>
      <c r="DE159" s="551">
        <f t="shared" si="160"/>
        <v>34452.055949091999</v>
      </c>
      <c r="DH159" s="547">
        <f>'Hilfstabellen_Mat&amp;Bem'!$J$62</f>
        <v>3.9</v>
      </c>
      <c r="DI159" s="546">
        <f t="shared" si="161"/>
        <v>211</v>
      </c>
      <c r="DJ159" s="551">
        <f t="shared" si="162"/>
        <v>64.028418478849488</v>
      </c>
      <c r="DK159" s="553">
        <f>DJ159/PI()*SQRT('Hilfstabellen_Mat&amp;Bem'!f.Rd.3/'Hilfstabellen_Mat&amp;Bem'!$BD$30)</f>
        <v>1.019043929926535</v>
      </c>
      <c r="DL159" s="553">
        <f>0.5*(1+'Hilfstabellen_Mat&amp;Bem'!$BD$31*(DK159-0.3)+DK159^2)</f>
        <v>1.0551774620563852</v>
      </c>
      <c r="DM159" s="550">
        <f t="shared" si="163"/>
        <v>0.75247629852054576</v>
      </c>
      <c r="DO159" s="551">
        <f t="shared" si="164"/>
        <v>33500.997286433216</v>
      </c>
      <c r="DR159" s="547">
        <f>'Hilfstabellen_Mat&amp;Bem'!$J$63</f>
        <v>4</v>
      </c>
      <c r="DS159" s="546">
        <f t="shared" si="165"/>
        <v>211</v>
      </c>
      <c r="DT159" s="551">
        <f t="shared" si="166"/>
        <v>65.670172798819991</v>
      </c>
      <c r="DU159" s="553">
        <f>DT159/PI()*SQRT('Hilfstabellen_Mat&amp;Bem'!f.Rd.3/'Hilfstabellen_Mat&amp;Bem'!$BD$30)</f>
        <v>1.0451732614631131</v>
      </c>
      <c r="DV159" s="553">
        <f>0.5*(1+'Hilfstabellen_Mat&amp;Bem'!$BD$31*(DU159-0.3)+DU159^2)</f>
        <v>1.0834522363118761</v>
      </c>
      <c r="DW159" s="550">
        <f t="shared" si="167"/>
        <v>0.73051245166388667</v>
      </c>
      <c r="DY159" s="551">
        <f t="shared" si="168"/>
        <v>32523.1448605279</v>
      </c>
      <c r="EB159" s="547">
        <f>'Hilfstabellen_Mat&amp;Bem'!$J$64</f>
        <v>4.0999999999999996</v>
      </c>
      <c r="EC159" s="546">
        <f t="shared" si="169"/>
        <v>211</v>
      </c>
      <c r="ED159" s="551">
        <f t="shared" si="170"/>
        <v>67.311927118790479</v>
      </c>
      <c r="EE159" s="553">
        <f>ED159/PI()*SQRT('Hilfstabellen_Mat&amp;Bem'!f.Rd.3/'Hilfstabellen_Mat&amp;Bem'!$BD$30)</f>
        <v>1.0713025929996907</v>
      </c>
      <c r="EF159" s="553">
        <f>0.5*(1+'Hilfstabellen_Mat&amp;Bem'!$BD$31*(EE159-0.3)+EE159^2)</f>
        <v>1.1124097525339149</v>
      </c>
      <c r="EG159" s="550">
        <f t="shared" si="171"/>
        <v>0.70820534039204275</v>
      </c>
      <c r="EI159" s="551">
        <f t="shared" si="172"/>
        <v>31530.009959594136</v>
      </c>
      <c r="EL159" s="547">
        <f>'Hilfstabellen_Mat&amp;Bem'!$J$65</f>
        <v>4.2</v>
      </c>
      <c r="EM159" s="546">
        <f t="shared" si="173"/>
        <v>211</v>
      </c>
      <c r="EN159" s="551">
        <f t="shared" si="174"/>
        <v>68.953681438760995</v>
      </c>
      <c r="EO159" s="553">
        <f>EN159/PI()*SQRT('Hilfstabellen_Mat&amp;Bem'!f.Rd.3/'Hilfstabellen_Mat&amp;Bem'!$BD$30)</f>
        <v>1.0974319245362687</v>
      </c>
      <c r="EP159" s="553">
        <f>0.5*(1+'Hilfstabellen_Mat&amp;Bem'!$BD$31*(EO159-0.3)+EO159^2)</f>
        <v>1.1420500107225027</v>
      </c>
      <c r="EQ159" s="550">
        <f t="shared" si="175"/>
        <v>0.68579886785152311</v>
      </c>
      <c r="ES159" s="551">
        <f t="shared" si="176"/>
        <v>30532.45139561766</v>
      </c>
    </row>
    <row r="160" spans="3:149">
      <c r="C160" s="546">
        <v>212</v>
      </c>
      <c r="D160" s="551">
        <f t="shared" si="131"/>
        <v>45.752285482951471</v>
      </c>
      <c r="E160" s="553">
        <f>$D160/PI()*SQRT('Hilfstabellen_Mat&amp;Bem'!f.Rd.3/'Hilfstabellen_Mat&amp;Bem'!$BD$30)</f>
        <v>0.72817023923632906</v>
      </c>
      <c r="F160" s="553">
        <f>0.5*(1+'Hilfstabellen_Mat&amp;Bem'!$BD$31*($E160-0.3)+$E160^2)</f>
        <v>0.78652446061656289</v>
      </c>
      <c r="G160" s="550">
        <f t="shared" si="132"/>
        <v>0.92265643278932352</v>
      </c>
      <c r="I160" s="551">
        <f t="shared" si="177"/>
        <v>41467.870715283359</v>
      </c>
      <c r="M160" s="546">
        <f t="shared" si="133"/>
        <v>212</v>
      </c>
      <c r="N160" s="551">
        <f t="shared" si="123"/>
        <v>47.38629567877117</v>
      </c>
      <c r="O160" s="553">
        <f>$N160/PI()*SQRT('Hilfstabellen_Mat&amp;Bem'!f.Rd.3/'Hilfstabellen_Mat&amp;Bem'!$BD$30)</f>
        <v>0.75417631920905526</v>
      </c>
      <c r="P160" s="553">
        <f>0.5*(1+'Hilfstabellen_Mat&amp;Bem'!$BD$31*($O160-0.3)+$O160^2)</f>
        <v>0.80709977618831208</v>
      </c>
      <c r="Q160" s="550">
        <f t="shared" si="124"/>
        <v>0.91361674663183245</v>
      </c>
      <c r="S160" s="551">
        <f t="shared" si="178"/>
        <v>41061.591060621075</v>
      </c>
      <c r="W160" s="546">
        <f t="shared" si="134"/>
        <v>212</v>
      </c>
      <c r="X160" s="551">
        <f t="shared" si="125"/>
        <v>49.020305874590861</v>
      </c>
      <c r="Y160" s="553">
        <f>$X160/PI()*SQRT('Hilfstabellen_Mat&amp;Bem'!f.Rd.3/'Hilfstabellen_Mat&amp;Bem'!$BD$30)</f>
        <v>0.78018239918178123</v>
      </c>
      <c r="Z160" s="553">
        <f>0.5*(1+'Hilfstabellen_Mat&amp;Bem'!$BD$31*($Y160-0.3)+$Y160^2)</f>
        <v>0.82835140795560913</v>
      </c>
      <c r="AA160" s="550">
        <f t="shared" si="126"/>
        <v>0.9035820490087223</v>
      </c>
      <c r="AC160" s="551">
        <f t="shared" si="179"/>
        <v>40610.591610648014</v>
      </c>
      <c r="AG160" s="546">
        <f t="shared" si="135"/>
        <v>212</v>
      </c>
      <c r="AH160" s="551">
        <f t="shared" si="127"/>
        <v>50.654316070410559</v>
      </c>
      <c r="AI160" s="553">
        <f>$AH160/PI()*SQRT('Hilfstabellen_Mat&amp;Bem'!f.Rd.3/'Hilfstabellen_Mat&amp;Bem'!$BD$30)</f>
        <v>0.80618847915450731</v>
      </c>
      <c r="AJ160" s="553">
        <f>0.5*(1+'Hilfstabellen_Mat&amp;Bem'!$BD$31*($AI160-0.3)+$AI160^2)</f>
        <v>0.85027935591845405</v>
      </c>
      <c r="AK160" s="550">
        <f t="shared" si="128"/>
        <v>0.89243525940018797</v>
      </c>
      <c r="AM160" s="551">
        <f t="shared" si="180"/>
        <v>40109.610298482046</v>
      </c>
      <c r="AQ160" s="546">
        <f t="shared" si="136"/>
        <v>212</v>
      </c>
      <c r="AR160" s="551">
        <f t="shared" si="129"/>
        <v>52.288326266230257</v>
      </c>
      <c r="AS160" s="553">
        <f>$AR160/PI()*SQRT('Hilfstabellen_Mat&amp;Bem'!f.Rd.3/'Hilfstabellen_Mat&amp;Bem'!$BD$30)</f>
        <v>0.83219455912723339</v>
      </c>
      <c r="AT160" s="553">
        <f>0.5*(1+'Hilfstabellen_Mat&amp;Bem'!$BD$31*($AS160-0.3)+$AS160^2)</f>
        <v>0.87288362007684683</v>
      </c>
      <c r="AU160" s="550">
        <f t="shared" si="130"/>
        <v>0.88006421848503391</v>
      </c>
      <c r="AW160" s="551">
        <f t="shared" si="181"/>
        <v>39553.606235591367</v>
      </c>
      <c r="AZ160" s="547">
        <f>'Hilfstabellen_Mat&amp;Bem'!$J$56</f>
        <v>3.3</v>
      </c>
      <c r="BA160" s="546">
        <f t="shared" si="137"/>
        <v>212</v>
      </c>
      <c r="BB160" s="551">
        <f t="shared" si="138"/>
        <v>53.922336462049948</v>
      </c>
      <c r="BC160" s="553">
        <f>BB160/PI()*SQRT('Hilfstabellen_Mat&amp;Bem'!f.Rd.3/'Hilfstabellen_Mat&amp;Bem'!$BD$30)</f>
        <v>0.85820063909995936</v>
      </c>
      <c r="BD160" s="553">
        <f>0.5*(1+'Hilfstabellen_Mat&amp;Bem'!$BD$31*(BC160-0.3)+BC160^2)</f>
        <v>0.89616420043078726</v>
      </c>
      <c r="BE160" s="550">
        <f t="shared" si="139"/>
        <v>0.86637266303548499</v>
      </c>
      <c r="BG160" s="551">
        <f t="shared" si="140"/>
        <v>38938.25296746684</v>
      </c>
      <c r="BJ160" s="547">
        <f>'Hilfstabellen_Mat&amp;Bem'!$J$57</f>
        <v>3.4</v>
      </c>
      <c r="BK160" s="546">
        <f t="shared" si="141"/>
        <v>212</v>
      </c>
      <c r="BL160" s="551">
        <f t="shared" si="142"/>
        <v>55.556346657869639</v>
      </c>
      <c r="BM160" s="553">
        <f>BL160/PI()*SQRT('Hilfstabellen_Mat&amp;Bem'!f.Rd.3/'Hilfstabellen_Mat&amp;Bem'!$BD$30)</f>
        <v>0.88420671907268533</v>
      </c>
      <c r="BN160" s="553">
        <f>0.5*(1+'Hilfstabellen_Mat&amp;Bem'!$BD$31*(BM160-0.3)+BM160^2)</f>
        <v>0.92012109698027567</v>
      </c>
      <c r="BO160" s="550">
        <f t="shared" si="143"/>
        <v>0.85129414046208574</v>
      </c>
      <c r="BQ160" s="551">
        <f t="shared" si="144"/>
        <v>38260.563848927981</v>
      </c>
      <c r="BT160" s="547">
        <f>'Hilfstabellen_Mat&amp;Bem'!$J$58</f>
        <v>3.5</v>
      </c>
      <c r="BU160" s="546">
        <f t="shared" si="145"/>
        <v>212</v>
      </c>
      <c r="BV160" s="551">
        <f t="shared" si="146"/>
        <v>57.190356853689337</v>
      </c>
      <c r="BW160" s="553">
        <f>BV160/PI()*SQRT('Hilfstabellen_Mat&amp;Bem'!f.Rd.3/'Hilfstabellen_Mat&amp;Bem'!$BD$30)</f>
        <v>0.9102127990454113</v>
      </c>
      <c r="BX160" s="553">
        <f>0.5*(1+'Hilfstabellen_Mat&amp;Bem'!$BD$31*(BW160-0.3)+BW160^2)</f>
        <v>0.94475430972531171</v>
      </c>
      <c r="BY160" s="550">
        <f t="shared" si="147"/>
        <v>0.83480712709659344</v>
      </c>
      <c r="CA160" s="551">
        <f t="shared" si="148"/>
        <v>37519.571520229292</v>
      </c>
      <c r="CD160" s="547">
        <f>'Hilfstabellen_Mat&amp;Bem'!$J$59</f>
        <v>3.6</v>
      </c>
      <c r="CE160" s="546">
        <f t="shared" si="149"/>
        <v>212</v>
      </c>
      <c r="CF160" s="551">
        <f t="shared" si="150"/>
        <v>58.824367049509036</v>
      </c>
      <c r="CG160" s="553">
        <f>CF160/PI()*SQRT('Hilfstabellen_Mat&amp;Bem'!f.Rd.3/'Hilfstabellen_Mat&amp;Bem'!$BD$30)</f>
        <v>0.9362188790181375</v>
      </c>
      <c r="CH160" s="553">
        <f>0.5*(1+'Hilfstabellen_Mat&amp;Bem'!$BD$31*(CG160-0.3)+CG160^2)</f>
        <v>0.97006383866589585</v>
      </c>
      <c r="CI160" s="550">
        <f t="shared" si="151"/>
        <v>0.81694814678133687</v>
      </c>
      <c r="CK160" s="551">
        <f t="shared" si="152"/>
        <v>36716.917508940402</v>
      </c>
      <c r="CN160" s="547">
        <f>'Hilfstabellen_Mat&amp;Bem'!$J$60</f>
        <v>3.7</v>
      </c>
      <c r="CO160" s="546">
        <f t="shared" si="153"/>
        <v>212</v>
      </c>
      <c r="CP160" s="551">
        <f t="shared" si="154"/>
        <v>60.458377245328741</v>
      </c>
      <c r="CQ160" s="553">
        <f>CP160/PI()*SQRT('Hilfstabellen_Mat&amp;Bem'!f.Rd.3/'Hilfstabellen_Mat&amp;Bem'!$BD$30)</f>
        <v>0.96222495899086358</v>
      </c>
      <c r="CR160" s="553">
        <f>0.5*(1+'Hilfstabellen_Mat&amp;Bem'!$BD$31*(CQ160-0.3)+CQ160^2)</f>
        <v>0.99604968380202785</v>
      </c>
      <c r="CS160" s="550">
        <f t="shared" si="155"/>
        <v>0.79781887716435151</v>
      </c>
      <c r="CU160" s="551">
        <f t="shared" si="156"/>
        <v>35857.171615274616</v>
      </c>
      <c r="CX160" s="547">
        <f>'Hilfstabellen_Mat&amp;Bem'!$J$61</f>
        <v>3.8</v>
      </c>
      <c r="CY160" s="546">
        <f t="shared" si="157"/>
        <v>212</v>
      </c>
      <c r="CZ160" s="551">
        <f t="shared" si="158"/>
        <v>62.092387441148425</v>
      </c>
      <c r="DA160" s="553">
        <f>CZ160/PI()*SQRT('Hilfstabellen_Mat&amp;Bem'!f.Rd.3/'Hilfstabellen_Mat&amp;Bem'!$BD$30)</f>
        <v>0.98823103896358955</v>
      </c>
      <c r="DB160" s="553">
        <f>0.5*(1+'Hilfstabellen_Mat&amp;Bem'!$BD$31*(DA160-0.3)+DA160^2)</f>
        <v>1.0227118451337072</v>
      </c>
      <c r="DC160" s="550">
        <f t="shared" si="159"/>
        <v>0.77758398842021614</v>
      </c>
      <c r="DE160" s="551">
        <f t="shared" si="160"/>
        <v>34947.734775558194</v>
      </c>
      <c r="DH160" s="547">
        <f>'Hilfstabellen_Mat&amp;Bem'!$J$62</f>
        <v>3.9</v>
      </c>
      <c r="DI160" s="546">
        <f t="shared" si="161"/>
        <v>212</v>
      </c>
      <c r="DJ160" s="551">
        <f t="shared" si="162"/>
        <v>63.726397636968123</v>
      </c>
      <c r="DK160" s="553">
        <f>DJ160/PI()*SQRT('Hilfstabellen_Mat&amp;Bem'!f.Rd.3/'Hilfstabellen_Mat&amp;Bem'!$BD$30)</f>
        <v>1.0142371189363155</v>
      </c>
      <c r="DL160" s="553">
        <f>0.5*(1+'Hilfstabellen_Mat&amp;Bem'!$BD$31*(DK160-0.3)+DK160^2)</f>
        <v>1.0500503226609346</v>
      </c>
      <c r="DM160" s="550">
        <f t="shared" si="163"/>
        <v>0.75645898622317254</v>
      </c>
      <c r="DO160" s="551">
        <f t="shared" si="164"/>
        <v>33998.292676814264</v>
      </c>
      <c r="DR160" s="547">
        <f>'Hilfstabellen_Mat&amp;Bem'!$J$63</f>
        <v>4</v>
      </c>
      <c r="DS160" s="546">
        <f t="shared" si="165"/>
        <v>212</v>
      </c>
      <c r="DT160" s="551">
        <f t="shared" si="166"/>
        <v>65.360407832787828</v>
      </c>
      <c r="DU160" s="553">
        <f>DT160/PI()*SQRT('Hilfstabellen_Mat&amp;Bem'!f.Rd.3/'Hilfstabellen_Mat&amp;Bem'!$BD$30)</f>
        <v>1.0402431989090417</v>
      </c>
      <c r="DV160" s="553">
        <f>0.5*(1+'Hilfstabellen_Mat&amp;Bem'!$BD$31*(DU160-0.3)+DU160^2)</f>
        <v>1.0780651163837101</v>
      </c>
      <c r="DW160" s="550">
        <f t="shared" si="167"/>
        <v>0.734690590699277</v>
      </c>
      <c r="DY160" s="551">
        <f t="shared" si="168"/>
        <v>33019.933908388302</v>
      </c>
      <c r="EB160" s="547">
        <f>'Hilfstabellen_Mat&amp;Bem'!$J$64</f>
        <v>4.0999999999999996</v>
      </c>
      <c r="EC160" s="546">
        <f t="shared" si="169"/>
        <v>212</v>
      </c>
      <c r="ED160" s="551">
        <f t="shared" si="170"/>
        <v>66.994418028607512</v>
      </c>
      <c r="EE160" s="553">
        <f>ED160/PI()*SQRT('Hilfstabellen_Mat&amp;Bem'!f.Rd.3/'Hilfstabellen_Mat&amp;Bem'!$BD$30)</f>
        <v>1.0662492788817677</v>
      </c>
      <c r="EF160" s="553">
        <f>0.5*(1+'Hilfstabellen_Mat&amp;Bem'!$BD$31*(EE160-0.3)+EE160^2)</f>
        <v>1.1067562263020332</v>
      </c>
      <c r="EG160" s="550">
        <f t="shared" si="171"/>
        <v>0.71253443662489202</v>
      </c>
      <c r="EI160" s="551">
        <f t="shared" si="172"/>
        <v>32024.147719669149</v>
      </c>
      <c r="EL160" s="547">
        <f>'Hilfstabellen_Mat&amp;Bem'!$J$65</f>
        <v>4.2</v>
      </c>
      <c r="EM160" s="546">
        <f t="shared" si="173"/>
        <v>212</v>
      </c>
      <c r="EN160" s="551">
        <f t="shared" si="174"/>
        <v>68.628428224427211</v>
      </c>
      <c r="EO160" s="553">
        <f>EN160/PI()*SQRT('Hilfstabellen_Mat&amp;Bem'!f.Rd.3/'Hilfstabellen_Mat&amp;Bem'!$BD$30)</f>
        <v>1.0922553588544937</v>
      </c>
      <c r="EP160" s="553">
        <f>0.5*(1+'Hilfstabellen_Mat&amp;Bem'!$BD$31*(EO160-0.3)+EO160^2)</f>
        <v>1.136123652415904</v>
      </c>
      <c r="EQ160" s="550">
        <f t="shared" si="175"/>
        <v>0.69023501373556351</v>
      </c>
      <c r="ES160" s="551">
        <f t="shared" si="176"/>
        <v>31021.922457331166</v>
      </c>
    </row>
    <row r="161" spans="3:149">
      <c r="C161" s="546">
        <v>213</v>
      </c>
      <c r="D161" s="551">
        <f t="shared" si="131"/>
        <v>45.537486020590194</v>
      </c>
      <c r="E161" s="553">
        <f>$D161/PI()*SQRT('Hilfstabellen_Mat&amp;Bem'!f.Rd.3/'Hilfstabellen_Mat&amp;Bem'!$BD$30)</f>
        <v>0.72475159961550117</v>
      </c>
      <c r="F161" s="553">
        <f>0.5*(1+'Hilfstabellen_Mat&amp;Bem'!$BD$31*($E161-0.3)+$E161^2)</f>
        <v>0.78387002055338884</v>
      </c>
      <c r="G161" s="550">
        <f t="shared" si="132"/>
        <v>0.92377686534644898</v>
      </c>
      <c r="I161" s="551">
        <f t="shared" si="177"/>
        <v>41910.832603903043</v>
      </c>
      <c r="M161" s="546">
        <f t="shared" si="133"/>
        <v>213</v>
      </c>
      <c r="N161" s="551">
        <f t="shared" si="123"/>
        <v>47.163824807039852</v>
      </c>
      <c r="O161" s="553">
        <f>$N161/PI()*SQRT('Hilfstabellen_Mat&amp;Bem'!f.Rd.3/'Hilfstabellen_Mat&amp;Bem'!$BD$30)</f>
        <v>0.75063558531605501</v>
      </c>
      <c r="P161" s="553">
        <f>0.5*(1+'Hilfstabellen_Mat&amp;Bem'!$BD$31*($O161-0.3)+$O161^2)</f>
        <v>0.804258670237191</v>
      </c>
      <c r="Q161" s="550">
        <f t="shared" si="124"/>
        <v>0.914903413598669</v>
      </c>
      <c r="S161" s="551">
        <f t="shared" si="178"/>
        <v>41508.252971558017</v>
      </c>
      <c r="W161" s="546">
        <f t="shared" si="134"/>
        <v>213</v>
      </c>
      <c r="X161" s="551">
        <f t="shared" si="125"/>
        <v>48.790163593489503</v>
      </c>
      <c r="Y161" s="553">
        <f>$X161/PI()*SQRT('Hilfstabellen_Mat&amp;Bem'!f.Rd.3/'Hilfstabellen_Mat&amp;Bem'!$BD$30)</f>
        <v>0.77651957101660862</v>
      </c>
      <c r="Z161" s="553">
        <f>0.5*(1+'Hilfstabellen_Mat&amp;Bem'!$BD$31*($Y161-0.3)+$Y161^2)</f>
        <v>0.82531730063673936</v>
      </c>
      <c r="AA161" s="550">
        <f t="shared" si="126"/>
        <v>0.90505998926994491</v>
      </c>
      <c r="AC161" s="551">
        <f t="shared" si="179"/>
        <v>41061.666653188127</v>
      </c>
      <c r="AG161" s="546">
        <f t="shared" si="135"/>
        <v>213</v>
      </c>
      <c r="AH161" s="551">
        <f t="shared" si="127"/>
        <v>50.416502379939146</v>
      </c>
      <c r="AI161" s="553">
        <f>$AH161/PI()*SQRT('Hilfstabellen_Mat&amp;Bem'!f.Rd.3/'Hilfstabellen_Mat&amp;Bem'!$BD$30)</f>
        <v>0.80240355671716213</v>
      </c>
      <c r="AJ161" s="553">
        <f>0.5*(1+'Hilfstabellen_Mat&amp;Bem'!$BD$31*($AI161-0.3)+$AI161^2)</f>
        <v>0.84704591175203414</v>
      </c>
      <c r="AK161" s="550">
        <f t="shared" si="128"/>
        <v>0.8941311374449965</v>
      </c>
      <c r="AM161" s="551">
        <f t="shared" si="180"/>
        <v>40565.835574742043</v>
      </c>
      <c r="AQ161" s="546">
        <f t="shared" si="136"/>
        <v>213</v>
      </c>
      <c r="AR161" s="551">
        <f t="shared" si="129"/>
        <v>52.042841166388797</v>
      </c>
      <c r="AS161" s="553">
        <f>$AR161/PI()*SQRT('Hilfstabellen_Mat&amp;Bem'!f.Rd.3/'Hilfstabellen_Mat&amp;Bem'!$BD$30)</f>
        <v>0.82828754241771585</v>
      </c>
      <c r="AT161" s="553">
        <f>0.5*(1+'Hilfstabellen_Mat&amp;Bem'!$BD$31*($AS161-0.3)+$AS161^2)</f>
        <v>0.86944450358307557</v>
      </c>
      <c r="AU161" s="550">
        <f t="shared" si="130"/>
        <v>0.8820049782453836</v>
      </c>
      <c r="AW161" s="551">
        <f t="shared" si="181"/>
        <v>40015.683858014811</v>
      </c>
      <c r="AZ161" s="547">
        <f>'Hilfstabellen_Mat&amp;Bem'!$J$56</f>
        <v>3.3</v>
      </c>
      <c r="BA161" s="546">
        <f t="shared" si="137"/>
        <v>213</v>
      </c>
      <c r="BB161" s="551">
        <f t="shared" si="138"/>
        <v>53.669179952838448</v>
      </c>
      <c r="BC161" s="553">
        <f>BB161/PI()*SQRT('Hilfstabellen_Mat&amp;Bem'!f.Rd.3/'Hilfstabellen_Mat&amp;Bem'!$BD$30)</f>
        <v>0.85417152811826935</v>
      </c>
      <c r="BD161" s="553">
        <f>0.5*(1+'Hilfstabellen_Mat&amp;Bem'!$BD$31*(BC161-0.3)+BC161^2)</f>
        <v>0.89251307612986319</v>
      </c>
      <c r="BE161" s="550">
        <f t="shared" si="139"/>
        <v>0.86858345769491829</v>
      </c>
      <c r="BG161" s="551">
        <f t="shared" si="140"/>
        <v>39406.762892160747</v>
      </c>
      <c r="BJ161" s="547">
        <f>'Hilfstabellen_Mat&amp;Bem'!$J$57</f>
        <v>3.4</v>
      </c>
      <c r="BK161" s="546">
        <f t="shared" si="141"/>
        <v>213</v>
      </c>
      <c r="BL161" s="551">
        <f t="shared" si="142"/>
        <v>55.295518739288099</v>
      </c>
      <c r="BM161" s="553">
        <f>BL161/PI()*SQRT('Hilfstabellen_Mat&amp;Bem'!f.Rd.3/'Hilfstabellen_Mat&amp;Bem'!$BD$30)</f>
        <v>0.88005551381882308</v>
      </c>
      <c r="BN161" s="553">
        <f>0.5*(1+'Hilfstabellen_Mat&amp;Bem'!$BD$31*(BM161-0.3)+BM161^2)</f>
        <v>0.91625162939239746</v>
      </c>
      <c r="BO161" s="550">
        <f t="shared" si="143"/>
        <v>0.85379558837624392</v>
      </c>
      <c r="BQ161" s="551">
        <f t="shared" si="144"/>
        <v>38735.852049041809</v>
      </c>
      <c r="BT161" s="547">
        <f>'Hilfstabellen_Mat&amp;Bem'!$J$58</f>
        <v>3.5</v>
      </c>
      <c r="BU161" s="546">
        <f t="shared" si="145"/>
        <v>213</v>
      </c>
      <c r="BV161" s="551">
        <f t="shared" si="146"/>
        <v>56.921857525737749</v>
      </c>
      <c r="BW161" s="553">
        <f>BV161/PI()*SQRT('Hilfstabellen_Mat&amp;Bem'!f.Rd.3/'Hilfstabellen_Mat&amp;Bem'!$BD$30)</f>
        <v>0.90593949951937669</v>
      </c>
      <c r="BX161" s="553">
        <f>0.5*(1+'Hilfstabellen_Mat&amp;Bem'!$BD$31*(BW161-0.3)+BW161^2)</f>
        <v>0.94066016337067815</v>
      </c>
      <c r="BY161" s="550">
        <f t="shared" si="147"/>
        <v>0.83761221180251222</v>
      </c>
      <c r="CA161" s="551">
        <f t="shared" si="148"/>
        <v>38001.628437268177</v>
      </c>
      <c r="CD161" s="547">
        <f>'Hilfstabellen_Mat&amp;Bem'!$J$59</f>
        <v>3.6</v>
      </c>
      <c r="CE161" s="546">
        <f t="shared" si="149"/>
        <v>213</v>
      </c>
      <c r="CF161" s="551">
        <f t="shared" si="150"/>
        <v>58.548196312187393</v>
      </c>
      <c r="CG161" s="553">
        <f>CF161/PI()*SQRT('Hilfstabellen_Mat&amp;Bem'!f.Rd.3/'Hilfstabellen_Mat&amp;Bem'!$BD$30)</f>
        <v>0.93182348521993019</v>
      </c>
      <c r="CH161" s="553">
        <f>0.5*(1+'Hilfstabellen_Mat&amp;Bem'!$BD$31*(CG161-0.3)+CG161^2)</f>
        <v>0.96573867806470526</v>
      </c>
      <c r="CI161" s="550">
        <f t="shared" si="151"/>
        <v>0.82005938073256823</v>
      </c>
      <c r="CK161" s="551">
        <f t="shared" si="152"/>
        <v>37205.274044455888</v>
      </c>
      <c r="CN161" s="547">
        <f>'Hilfstabellen_Mat&amp;Bem'!$J$60</f>
        <v>3.7</v>
      </c>
      <c r="CO161" s="546">
        <f t="shared" si="153"/>
        <v>213</v>
      </c>
      <c r="CP161" s="551">
        <f t="shared" si="154"/>
        <v>60.174535098637051</v>
      </c>
      <c r="CQ161" s="553">
        <f>CP161/PI()*SQRT('Hilfstabellen_Mat&amp;Bem'!f.Rd.3/'Hilfstabellen_Mat&amp;Bem'!$BD$30)</f>
        <v>0.95770747092048392</v>
      </c>
      <c r="CR161" s="553">
        <f>0.5*(1+'Hilfstabellen_Mat&amp;Bem'!$BD$31*(CQ161-0.3)+CQ161^2)</f>
        <v>0.99148717347447901</v>
      </c>
      <c r="CS161" s="550">
        <f t="shared" si="155"/>
        <v>0.80122651638453379</v>
      </c>
      <c r="CU161" s="551">
        <f t="shared" si="156"/>
        <v>36350.845821849915</v>
      </c>
      <c r="CX161" s="547">
        <f>'Hilfstabellen_Mat&amp;Bem'!$J$61</f>
        <v>3.8</v>
      </c>
      <c r="CY161" s="546">
        <f t="shared" si="157"/>
        <v>213</v>
      </c>
      <c r="CZ161" s="551">
        <f t="shared" si="158"/>
        <v>61.800873885086695</v>
      </c>
      <c r="DA161" s="553">
        <f>CZ161/PI()*SQRT('Hilfstabellen_Mat&amp;Bem'!f.Rd.3/'Hilfstabellen_Mat&amp;Bem'!$BD$30)</f>
        <v>0.98359145662103742</v>
      </c>
      <c r="DB161" s="553">
        <f>0.5*(1+'Hilfstabellen_Mat&amp;Bem'!$BD$31*(DA161-0.3)+DA161^2)</f>
        <v>1.017905649599999</v>
      </c>
      <c r="DC161" s="550">
        <f t="shared" si="159"/>
        <v>0.78126594205051336</v>
      </c>
      <c r="DE161" s="551">
        <f t="shared" si="160"/>
        <v>35445.254524889744</v>
      </c>
      <c r="DH161" s="547">
        <f>'Hilfstabellen_Mat&amp;Bem'!$J$62</f>
        <v>3.9</v>
      </c>
      <c r="DI161" s="546">
        <f t="shared" si="161"/>
        <v>213</v>
      </c>
      <c r="DJ161" s="551">
        <f t="shared" si="162"/>
        <v>63.427212671536346</v>
      </c>
      <c r="DK161" s="553">
        <f>DJ161/PI()*SQRT('Hilfstabellen_Mat&amp;Bem'!f.Rd.3/'Hilfstabellen_Mat&amp;Bem'!$BD$30)</f>
        <v>1.009475442321591</v>
      </c>
      <c r="DL161" s="553">
        <f>0.5*(1+'Hilfstabellen_Mat&amp;Bem'!$BD$31*(DK161-0.3)+DK161^2)</f>
        <v>1.0449941064412656</v>
      </c>
      <c r="DM161" s="550">
        <f t="shared" si="163"/>
        <v>0.76038258748840548</v>
      </c>
      <c r="DO161" s="551">
        <f t="shared" si="164"/>
        <v>34497.797611761467</v>
      </c>
      <c r="DR161" s="547">
        <f>'Hilfstabellen_Mat&amp;Bem'!$J$63</f>
        <v>4</v>
      </c>
      <c r="DS161" s="546">
        <f t="shared" si="165"/>
        <v>213</v>
      </c>
      <c r="DT161" s="551">
        <f t="shared" si="166"/>
        <v>65.053551457986003</v>
      </c>
      <c r="DU161" s="553">
        <f>DT161/PI()*SQRT('Hilfstabellen_Mat&amp;Bem'!f.Rd.3/'Hilfstabellen_Mat&amp;Bem'!$BD$30)</f>
        <v>1.0353594280221448</v>
      </c>
      <c r="DV161" s="553">
        <f>0.5*(1+'Hilfstabellen_Mat&amp;Bem'!$BD$31*(DU161-0.3)+DU161^2)</f>
        <v>1.0727525439982786</v>
      </c>
      <c r="DW161" s="550">
        <f t="shared" si="167"/>
        <v>0.73881579803199493</v>
      </c>
      <c r="DY161" s="551">
        <f t="shared" si="168"/>
        <v>33519.333940913581</v>
      </c>
      <c r="EB161" s="547">
        <f>'Hilfstabellen_Mat&amp;Bem'!$J$64</f>
        <v>4.0999999999999996</v>
      </c>
      <c r="EC161" s="546">
        <f t="shared" si="169"/>
        <v>213</v>
      </c>
      <c r="ED161" s="551">
        <f t="shared" si="170"/>
        <v>66.679890244435654</v>
      </c>
      <c r="EE161" s="553">
        <f>ED161/PI()*SQRT('Hilfstabellen_Mat&amp;Bem'!f.Rd.3/'Hilfstabellen_Mat&amp;Bem'!$BD$30)</f>
        <v>1.0612434137226985</v>
      </c>
      <c r="EF161" s="553">
        <f>0.5*(1+'Hilfstabellen_Mat&amp;Bem'!$BD$31*(EE161-0.3)+EE161^2)</f>
        <v>1.1011809622710382</v>
      </c>
      <c r="EG161" s="550">
        <f t="shared" si="171"/>
        <v>0.71681763535183252</v>
      </c>
      <c r="EI161" s="551">
        <f t="shared" si="172"/>
        <v>32521.299298277288</v>
      </c>
      <c r="EL161" s="547">
        <f>'Hilfstabellen_Mat&amp;Bem'!$J$65</f>
        <v>4.2</v>
      </c>
      <c r="EM161" s="546">
        <f t="shared" si="173"/>
        <v>213</v>
      </c>
      <c r="EN161" s="551">
        <f t="shared" si="174"/>
        <v>68.306229030885291</v>
      </c>
      <c r="EO161" s="553">
        <f>EN161/PI()*SQRT('Hilfstabellen_Mat&amp;Bem'!f.Rd.3/'Hilfstabellen_Mat&amp;Bem'!$BD$30)</f>
        <v>1.0871273994232518</v>
      </c>
      <c r="EP161" s="553">
        <f>0.5*(1+'Hilfstabellen_Mat&amp;Bem'!$BD$31*(EO161-0.3)+EO161^2)</f>
        <v>1.1302793612595439</v>
      </c>
      <c r="EQ161" s="550">
        <f t="shared" si="175"/>
        <v>0.69463256797828066</v>
      </c>
      <c r="ES161" s="551">
        <f t="shared" si="176"/>
        <v>31514.784976606614</v>
      </c>
    </row>
    <row r="162" spans="3:149">
      <c r="C162" s="546">
        <v>214</v>
      </c>
      <c r="D162" s="551">
        <f t="shared" si="131"/>
        <v>45.324694029839776</v>
      </c>
      <c r="E162" s="553">
        <f>$D162/PI()*SQRT('Hilfstabellen_Mat&amp;Bem'!f.Rd.3/'Hilfstabellen_Mat&amp;Bem'!$BD$30)</f>
        <v>0.72136490989767177</v>
      </c>
      <c r="F162" s="553">
        <f>0.5*(1+'Hilfstabellen_Mat&amp;Bem'!$BD$31*($E162-0.3)+$E162^2)</f>
        <v>0.78125191211072165</v>
      </c>
      <c r="G162" s="550">
        <f t="shared" si="132"/>
        <v>0.92487208020936962</v>
      </c>
      <c r="I162" s="551">
        <f t="shared" si="177"/>
        <v>42355.441785268289</v>
      </c>
      <c r="M162" s="546">
        <f t="shared" si="133"/>
        <v>214</v>
      </c>
      <c r="N162" s="551">
        <f t="shared" si="123"/>
        <v>46.943433102334055</v>
      </c>
      <c r="O162" s="553">
        <f>$N162/PI()*SQRT('Hilfstabellen_Mat&amp;Bem'!f.Rd.3/'Hilfstabellen_Mat&amp;Bem'!$BD$30)</f>
        <v>0.74712794239401736</v>
      </c>
      <c r="P162" s="553">
        <f>0.5*(1+'Hilfstabellen_Mat&amp;Bem'!$BD$31*($O162-0.3)+$O162^2)</f>
        <v>0.80145647827265987</v>
      </c>
      <c r="Q162" s="550">
        <f t="shared" si="124"/>
        <v>0.91616016382486209</v>
      </c>
      <c r="S162" s="551">
        <f t="shared" si="178"/>
        <v>41956.470862523383</v>
      </c>
      <c r="W162" s="546">
        <f t="shared" si="134"/>
        <v>214</v>
      </c>
      <c r="X162" s="551">
        <f t="shared" si="125"/>
        <v>48.562172174828333</v>
      </c>
      <c r="Y162" s="553">
        <f>$X162/PI()*SQRT('Hilfstabellen_Mat&amp;Bem'!f.Rd.3/'Hilfstabellen_Mat&amp;Bem'!$BD$30)</f>
        <v>0.77289097489036274</v>
      </c>
      <c r="Z162" s="553">
        <f>0.5*(1+'Hilfstabellen_Mat&amp;Bem'!$BD$31*($Y162-0.3)+$Y162^2)</f>
        <v>0.82232477827800587</v>
      </c>
      <c r="AA162" s="550">
        <f t="shared" si="126"/>
        <v>0.90650267910809268</v>
      </c>
      <c r="AC162" s="551">
        <f t="shared" si="179"/>
        <v>41514.196692434212</v>
      </c>
      <c r="AG162" s="546">
        <f t="shared" si="135"/>
        <v>214</v>
      </c>
      <c r="AH162" s="551">
        <f t="shared" si="127"/>
        <v>50.180911247322612</v>
      </c>
      <c r="AI162" s="553">
        <f>$AH162/PI()*SQRT('Hilfstabellen_Mat&amp;Bem'!f.Rd.3/'Hilfstabellen_Mat&amp;Bem'!$BD$30)</f>
        <v>0.79865400738670811</v>
      </c>
      <c r="AJ162" s="553">
        <f>0.5*(1+'Hilfstabellen_Mat&amp;Bem'!$BD$31*($AI162-0.3)+$AI162^2)</f>
        <v>0.84385681212675934</v>
      </c>
      <c r="AK162" s="550">
        <f t="shared" si="128"/>
        <v>0.89578589882810111</v>
      </c>
      <c r="AM162" s="551">
        <f t="shared" si="180"/>
        <v>41023.411022731721</v>
      </c>
      <c r="AQ162" s="546">
        <f t="shared" si="136"/>
        <v>214</v>
      </c>
      <c r="AR162" s="551">
        <f t="shared" si="129"/>
        <v>51.799650319816891</v>
      </c>
      <c r="AS162" s="553">
        <f>$AR162/PI()*SQRT('Hilfstabellen_Mat&amp;Bem'!f.Rd.3/'Hilfstabellen_Mat&amp;Bem'!$BD$30)</f>
        <v>0.82441703988305359</v>
      </c>
      <c r="AT162" s="553">
        <f>0.5*(1+'Hilfstabellen_Mat&amp;Bem'!$BD$31*($AS162-0.3)+$AS162^2)</f>
        <v>0.86605257981892092</v>
      </c>
      <c r="AU162" s="550">
        <f t="shared" si="130"/>
        <v>0.88389844909054249</v>
      </c>
      <c r="AW162" s="551">
        <f t="shared" si="181"/>
        <v>40479.013374550486</v>
      </c>
      <c r="AZ162" s="547">
        <f>'Hilfstabellen_Mat&amp;Bem'!$J$56</f>
        <v>3.3</v>
      </c>
      <c r="BA162" s="546">
        <f t="shared" si="137"/>
        <v>214</v>
      </c>
      <c r="BB162" s="551">
        <f t="shared" si="138"/>
        <v>53.418389392311163</v>
      </c>
      <c r="BC162" s="553">
        <f>BB162/PI()*SQRT('Hilfstabellen_Mat&amp;Bem'!f.Rd.3/'Hilfstabellen_Mat&amp;Bem'!$BD$30)</f>
        <v>0.85018007237939897</v>
      </c>
      <c r="BD162" s="553">
        <f>0.5*(1+'Hilfstabellen_Mat&amp;Bem'!$BD$31*(BC162-0.3)+BC162^2)</f>
        <v>0.88891208135448996</v>
      </c>
      <c r="BE162" s="550">
        <f t="shared" si="139"/>
        <v>0.87074086433875919</v>
      </c>
      <c r="BG162" s="551">
        <f t="shared" si="140"/>
        <v>39876.448623257813</v>
      </c>
      <c r="BJ162" s="547">
        <f>'Hilfstabellen_Mat&amp;Bem'!$J$57</f>
        <v>3.4</v>
      </c>
      <c r="BK162" s="546">
        <f t="shared" si="141"/>
        <v>214</v>
      </c>
      <c r="BL162" s="551">
        <f t="shared" si="142"/>
        <v>55.037128464805448</v>
      </c>
      <c r="BM162" s="553">
        <f>BL162/PI()*SQRT('Hilfstabellen_Mat&amp;Bem'!f.Rd.3/'Hilfstabellen_Mat&amp;Bem'!$BD$30)</f>
        <v>0.87594310487574445</v>
      </c>
      <c r="BN162" s="553">
        <f>0.5*(1+'Hilfstabellen_Mat&amp;Bem'!$BD$31*(BM162-0.3)+BM162^2)</f>
        <v>0.91243531673346689</v>
      </c>
      <c r="BO162" s="550">
        <f t="shared" si="143"/>
        <v>0.85623815097854261</v>
      </c>
      <c r="BQ162" s="551">
        <f t="shared" si="144"/>
        <v>39212.282362213336</v>
      </c>
      <c r="BT162" s="547">
        <f>'Hilfstabellen_Mat&amp;Bem'!$J$58</f>
        <v>3.5</v>
      </c>
      <c r="BU162" s="546">
        <f t="shared" si="145"/>
        <v>214</v>
      </c>
      <c r="BV162" s="551">
        <f t="shared" si="146"/>
        <v>56.655867537299727</v>
      </c>
      <c r="BW162" s="553">
        <f>BV162/PI()*SQRT('Hilfstabellen_Mat&amp;Bem'!f.Rd.3/'Hilfstabellen_Mat&amp;Bem'!$BD$30)</f>
        <v>0.90170613737209004</v>
      </c>
      <c r="BX162" s="553">
        <f>0.5*(1+'Hilfstabellen_Mat&amp;Bem'!$BD$31*(BW162-0.3)+BW162^2)</f>
        <v>0.93662228595585173</v>
      </c>
      <c r="BY162" s="550">
        <f t="shared" si="147"/>
        <v>0.8403541364487781</v>
      </c>
      <c r="CA162" s="551">
        <f t="shared" si="148"/>
        <v>38484.858032808239</v>
      </c>
      <c r="CD162" s="547">
        <f>'Hilfstabellen_Mat&amp;Bem'!$J$59</f>
        <v>3.6</v>
      </c>
      <c r="CE162" s="546">
        <f t="shared" si="149"/>
        <v>214</v>
      </c>
      <c r="CF162" s="551">
        <f t="shared" si="150"/>
        <v>58.274606609793999</v>
      </c>
      <c r="CG162" s="553">
        <f>CF162/PI()*SQRT('Hilfstabellen_Mat&amp;Bem'!f.Rd.3/'Hilfstabellen_Mat&amp;Bem'!$BD$30)</f>
        <v>0.92746916986843519</v>
      </c>
      <c r="CH162" s="553">
        <f>0.5*(1+'Hilfstabellen_Mat&amp;Bem'!$BD$31*(CG162-0.3)+CG162^2)</f>
        <v>0.96147298902164391</v>
      </c>
      <c r="CI162" s="550">
        <f t="shared" si="151"/>
        <v>0.82310499656011094</v>
      </c>
      <c r="CK162" s="551">
        <f t="shared" si="152"/>
        <v>37694.916422466842</v>
      </c>
      <c r="CN162" s="547">
        <f>'Hilfstabellen_Mat&amp;Bem'!$J$60</f>
        <v>3.7</v>
      </c>
      <c r="CO162" s="546">
        <f t="shared" si="153"/>
        <v>214</v>
      </c>
      <c r="CP162" s="551">
        <f t="shared" si="154"/>
        <v>59.893345682288277</v>
      </c>
      <c r="CQ162" s="553">
        <f>CP162/PI()*SQRT('Hilfstabellen_Mat&amp;Bem'!f.Rd.3/'Hilfstabellen_Mat&amp;Bem'!$BD$30)</f>
        <v>0.95323220236478068</v>
      </c>
      <c r="CR162" s="553">
        <f>0.5*(1+'Hilfstabellen_Mat&amp;Bem'!$BD$31*(CQ162-0.3)+CQ162^2)</f>
        <v>0.98698742593084421</v>
      </c>
      <c r="CS162" s="550">
        <f t="shared" si="155"/>
        <v>0.80456831097138726</v>
      </c>
      <c r="CU162" s="551">
        <f t="shared" si="156"/>
        <v>36846.010369245654</v>
      </c>
      <c r="CX162" s="547">
        <f>'Hilfstabellen_Mat&amp;Bem'!$J$61</f>
        <v>3.8</v>
      </c>
      <c r="CY162" s="546">
        <f t="shared" si="157"/>
        <v>214</v>
      </c>
      <c r="CZ162" s="551">
        <f t="shared" si="158"/>
        <v>61.512084754782563</v>
      </c>
      <c r="DA162" s="553">
        <f>CZ162/PI()*SQRT('Hilfstabellen_Mat&amp;Bem'!f.Rd.3/'Hilfstabellen_Mat&amp;Bem'!$BD$30)</f>
        <v>0.97899523486112627</v>
      </c>
      <c r="DB162" s="553">
        <f>0.5*(1+'Hilfstabellen_Mat&amp;Bem'!$BD$31*(DA162-0.3)+DA162^2)</f>
        <v>1.0131655966834523</v>
      </c>
      <c r="DC162" s="550">
        <f t="shared" si="159"/>
        <v>0.78488416618634582</v>
      </c>
      <c r="DE162" s="551">
        <f t="shared" si="160"/>
        <v>35944.555274669896</v>
      </c>
      <c r="DH162" s="547">
        <f>'Hilfstabellen_Mat&amp;Bem'!$J$62</f>
        <v>3.9</v>
      </c>
      <c r="DI162" s="546">
        <f t="shared" si="161"/>
        <v>214</v>
      </c>
      <c r="DJ162" s="551">
        <f t="shared" si="162"/>
        <v>63.130823827276828</v>
      </c>
      <c r="DK162" s="553">
        <f>DJ162/PI()*SQRT('Hilfstabellen_Mat&amp;Bem'!f.Rd.3/'Hilfstabellen_Mat&amp;Bem'!$BD$30)</f>
        <v>1.0047582673574715</v>
      </c>
      <c r="DL162" s="553">
        <f>0.5*(1+'Hilfstabellen_Mat&amp;Bem'!$BD$31*(DK162-0.3)+DK162^2)</f>
        <v>1.0400075012794676</v>
      </c>
      <c r="DM162" s="550">
        <f t="shared" si="163"/>
        <v>0.76424668514066096</v>
      </c>
      <c r="DO162" s="551">
        <f t="shared" si="164"/>
        <v>34999.441192701706</v>
      </c>
      <c r="DR162" s="547">
        <f>'Hilfstabellen_Mat&amp;Bem'!$J$63</f>
        <v>4</v>
      </c>
      <c r="DS162" s="546">
        <f t="shared" si="165"/>
        <v>214</v>
      </c>
      <c r="DT162" s="551">
        <f t="shared" si="166"/>
        <v>64.749562899771107</v>
      </c>
      <c r="DU162" s="553">
        <f>DT162/PI()*SQRT('Hilfstabellen_Mat&amp;Bem'!f.Rd.3/'Hilfstabellen_Mat&amp;Bem'!$BD$30)</f>
        <v>1.0305212998538169</v>
      </c>
      <c r="DV162" s="553">
        <f>0.5*(1+'Hilfstabellen_Mat&amp;Bem'!$BD$31*(DU162-0.3)+DU162^2)</f>
        <v>1.0675131397188911</v>
      </c>
      <c r="DW162" s="550">
        <f t="shared" si="167"/>
        <v>0.74288733842934962</v>
      </c>
      <c r="DY162" s="551">
        <f t="shared" si="168"/>
        <v>34021.268550710498</v>
      </c>
      <c r="EB162" s="547">
        <f>'Hilfstabellen_Mat&amp;Bem'!$J$64</f>
        <v>4.0999999999999996</v>
      </c>
      <c r="EC162" s="546">
        <f t="shared" si="169"/>
        <v>214</v>
      </c>
      <c r="ED162" s="551">
        <f t="shared" si="170"/>
        <v>66.3683019722654</v>
      </c>
      <c r="EE162" s="553">
        <f>ED162/PI()*SQRT('Hilfstabellen_Mat&amp;Bem'!f.Rd.3/'Hilfstabellen_Mat&amp;Bem'!$BD$30)</f>
        <v>1.0562843323501625</v>
      </c>
      <c r="EF162" s="553">
        <f>0.5*(1+'Hilfstabellen_Mat&amp;Bem'!$BD$31*(EE162-0.3)+EE162^2)</f>
        <v>1.0956825120017224</v>
      </c>
      <c r="EG162" s="550">
        <f t="shared" si="171"/>
        <v>0.72105398711125479</v>
      </c>
      <c r="EI162" s="551">
        <f t="shared" si="172"/>
        <v>33021.388393747024</v>
      </c>
      <c r="EL162" s="547">
        <f>'Hilfstabellen_Mat&amp;Bem'!$J$65</f>
        <v>4.2</v>
      </c>
      <c r="EM162" s="546">
        <f t="shared" si="173"/>
        <v>214</v>
      </c>
      <c r="EN162" s="551">
        <f t="shared" si="174"/>
        <v>67.987041044759664</v>
      </c>
      <c r="EO162" s="553">
        <f>EN162/PI()*SQRT('Hilfstabellen_Mat&amp;Bem'!f.Rd.3/'Hilfstabellen_Mat&amp;Bem'!$BD$30)</f>
        <v>1.0820473648465077</v>
      </c>
      <c r="EP162" s="553">
        <f>0.5*(1+'Hilfstabellen_Mat&amp;Bem'!$BD$31*(EO162-0.3)+EO162^2)</f>
        <v>1.124515618127961</v>
      </c>
      <c r="EQ162" s="550">
        <f t="shared" si="175"/>
        <v>0.69899046835793244</v>
      </c>
      <c r="ES162" s="551">
        <f t="shared" si="176"/>
        <v>32010.967488919872</v>
      </c>
    </row>
    <row r="163" spans="3:149">
      <c r="C163" s="546">
        <v>215</v>
      </c>
      <c r="D163" s="551">
        <f t="shared" si="131"/>
        <v>45.113881499468427</v>
      </c>
      <c r="E163" s="553">
        <f>$D163/PI()*SQRT('Hilfstabellen_Mat&amp;Bem'!f.Rd.3/'Hilfstabellen_Mat&amp;Bem'!$BD$30)</f>
        <v>0.71800972427024079</v>
      </c>
      <c r="F163" s="553">
        <f>0.5*(1+'Hilfstabellen_Mat&amp;Bem'!$BD$31*($E163-0.3)+$E163^2)</f>
        <v>0.77866946828682559</v>
      </c>
      <c r="G163" s="550">
        <f t="shared" si="132"/>
        <v>0.92594287358915683</v>
      </c>
      <c r="I163" s="551">
        <f t="shared" si="177"/>
        <v>42801.709331658778</v>
      </c>
      <c r="M163" s="546">
        <f t="shared" si="133"/>
        <v>215</v>
      </c>
      <c r="N163" s="551">
        <f t="shared" si="123"/>
        <v>46.725091553020874</v>
      </c>
      <c r="O163" s="553">
        <f>$N163/PI()*SQRT('Hilfstabellen_Mat&amp;Bem'!f.Rd.3/'Hilfstabellen_Mat&amp;Bem'!$BD$30)</f>
        <v>0.74365292870846378</v>
      </c>
      <c r="P163" s="553">
        <f>0.5*(1+'Hilfstabellen_Mat&amp;Bem'!$BD$31*($O163-0.3)+$O163^2)</f>
        <v>0.79869248562376094</v>
      </c>
      <c r="Q163" s="550">
        <f t="shared" si="124"/>
        <v>0.91738794501700627</v>
      </c>
      <c r="S163" s="551">
        <f t="shared" si="178"/>
        <v>42406.257758411113</v>
      </c>
      <c r="W163" s="546">
        <f t="shared" si="134"/>
        <v>215</v>
      </c>
      <c r="X163" s="551">
        <f t="shared" si="125"/>
        <v>48.336301606573315</v>
      </c>
      <c r="Y163" s="553">
        <f>$X163/PI()*SQRT('Hilfstabellen_Mat&amp;Bem'!f.Rd.3/'Hilfstabellen_Mat&amp;Bem'!$BD$30)</f>
        <v>0.76929613314668654</v>
      </c>
      <c r="Z163" s="553">
        <f>0.5*(1+'Hilfstabellen_Mat&amp;Bem'!$BD$31*($Y163-0.3)+$Y163^2)</f>
        <v>0.81937307689455652</v>
      </c>
      <c r="AA163" s="550">
        <f t="shared" si="126"/>
        <v>0.90791122322520768</v>
      </c>
      <c r="AC163" s="551">
        <f t="shared" si="179"/>
        <v>41968.196293585228</v>
      </c>
      <c r="AG163" s="546">
        <f t="shared" si="135"/>
        <v>215</v>
      </c>
      <c r="AH163" s="551">
        <f t="shared" si="127"/>
        <v>49.947511660125762</v>
      </c>
      <c r="AI163" s="553">
        <f>$AH163/PI()*SQRT('Hilfstabellen_Mat&amp;Bem'!f.Rd.3/'Hilfstabellen_Mat&amp;Bem'!$BD$30)</f>
        <v>0.79493933758490953</v>
      </c>
      <c r="AJ163" s="553">
        <f>0.5*(1+'Hilfstabellen_Mat&amp;Bem'!$BD$31*($AI163-0.3)+$AI163^2)</f>
        <v>0.84071124209921289</v>
      </c>
      <c r="AK163" s="550">
        <f t="shared" si="128"/>
        <v>0.89740079446003107</v>
      </c>
      <c r="AM163" s="551">
        <f t="shared" si="180"/>
        <v>41482.351723914937</v>
      </c>
      <c r="AQ163" s="546">
        <f t="shared" si="136"/>
        <v>215</v>
      </c>
      <c r="AR163" s="551">
        <f t="shared" si="129"/>
        <v>51.558721713678203</v>
      </c>
      <c r="AS163" s="553">
        <f>$AR163/PI()*SQRT('Hilfstabellen_Mat&amp;Bem'!f.Rd.3/'Hilfstabellen_Mat&amp;Bem'!$BD$30)</f>
        <v>0.8205825420231323</v>
      </c>
      <c r="AT163" s="553">
        <f>0.5*(1+'Hilfstabellen_Mat&amp;Bem'!$BD$31*($AS163-0.3)+$AS163^2)</f>
        <v>0.86270698123772949</v>
      </c>
      <c r="AU163" s="550">
        <f t="shared" si="130"/>
        <v>0.8857459926450757</v>
      </c>
      <c r="AW163" s="551">
        <f t="shared" si="181"/>
        <v>40943.608510018625</v>
      </c>
      <c r="AZ163" s="547">
        <f>'Hilfstabellen_Mat&amp;Bem'!$J$56</f>
        <v>3.3</v>
      </c>
      <c r="BA163" s="546">
        <f t="shared" si="137"/>
        <v>215</v>
      </c>
      <c r="BB163" s="551">
        <f t="shared" si="138"/>
        <v>53.169931767230651</v>
      </c>
      <c r="BC163" s="553">
        <f>BB163/PI()*SQRT('Hilfstabellen_Mat&amp;Bem'!f.Rd.3/'Hilfstabellen_Mat&amp;Bem'!$BD$30)</f>
        <v>0.84622574646135529</v>
      </c>
      <c r="BD163" s="553">
        <f>0.5*(1+'Hilfstabellen_Mat&amp;Bem'!$BD$31*(BC163-0.3)+BC163^2)</f>
        <v>0.88536029431010665</v>
      </c>
      <c r="BE163" s="550">
        <f t="shared" si="139"/>
        <v>0.87284628826756949</v>
      </c>
      <c r="BG163" s="551">
        <f t="shared" si="140"/>
        <v>40347.319675168401</v>
      </c>
      <c r="BJ163" s="547">
        <f>'Hilfstabellen_Mat&amp;Bem'!$J$57</f>
        <v>3.4</v>
      </c>
      <c r="BK163" s="546">
        <f t="shared" si="141"/>
        <v>215</v>
      </c>
      <c r="BL163" s="551">
        <f t="shared" si="142"/>
        <v>54.781141820783091</v>
      </c>
      <c r="BM163" s="553">
        <f>BL163/PI()*SQRT('Hilfstabellen_Mat&amp;Bem'!f.Rd.3/'Hilfstabellen_Mat&amp;Bem'!$BD$30)</f>
        <v>0.87186895089957805</v>
      </c>
      <c r="BN163" s="553">
        <f>0.5*(1+'Hilfstabellen_Mat&amp;Bem'!$BD$31*(BM163-0.3)+BM163^2)</f>
        <v>0.90867118131634439</v>
      </c>
      <c r="BO163" s="550">
        <f t="shared" si="143"/>
        <v>0.85862317794288789</v>
      </c>
      <c r="BQ163" s="551">
        <f t="shared" si="144"/>
        <v>39689.85640040999</v>
      </c>
      <c r="BT163" s="547">
        <f>'Hilfstabellen_Mat&amp;Bem'!$J$58</f>
        <v>3.5</v>
      </c>
      <c r="BU163" s="546">
        <f t="shared" si="145"/>
        <v>215</v>
      </c>
      <c r="BV163" s="551">
        <f t="shared" si="146"/>
        <v>56.392351874335539</v>
      </c>
      <c r="BW163" s="553">
        <f>BV163/PI()*SQRT('Hilfstabellen_Mat&amp;Bem'!f.Rd.3/'Hilfstabellen_Mat&amp;Bem'!$BD$30)</f>
        <v>0.89751215533780104</v>
      </c>
      <c r="BX163" s="553">
        <f>0.5*(1+'Hilfstabellen_Mat&amp;Bem'!$BD$31*(BW163-0.3)+BW163^2)</f>
        <v>0.93263964225644258</v>
      </c>
      <c r="BY163" s="550">
        <f t="shared" si="147"/>
        <v>0.84303407370106309</v>
      </c>
      <c r="CA163" s="551">
        <f t="shared" si="148"/>
        <v>38969.250056831639</v>
      </c>
      <c r="CD163" s="547">
        <f>'Hilfstabellen_Mat&amp;Bem'!$J$59</f>
        <v>3.6</v>
      </c>
      <c r="CE163" s="546">
        <f t="shared" si="149"/>
        <v>215</v>
      </c>
      <c r="CF163" s="551">
        <f t="shared" si="150"/>
        <v>58.003561927887986</v>
      </c>
      <c r="CG163" s="553">
        <f>CF163/PI()*SQRT('Hilfstabellen_Mat&amp;Bem'!f.Rd.3/'Hilfstabellen_Mat&amp;Bem'!$BD$30)</f>
        <v>0.92315535977602403</v>
      </c>
      <c r="CH163" s="553">
        <f>0.5*(1+'Hilfstabellen_Mat&amp;Bem'!$BD$31*(CG163-0.3)+CG163^2)</f>
        <v>0.95726567713040134</v>
      </c>
      <c r="CI163" s="550">
        <f t="shared" si="151"/>
        <v>0.82608586896547631</v>
      </c>
      <c r="CK163" s="551">
        <f t="shared" si="152"/>
        <v>38185.81929292914</v>
      </c>
      <c r="CN163" s="547">
        <f>'Hilfstabellen_Mat&amp;Bem'!$J$60</f>
        <v>3.7</v>
      </c>
      <c r="CO163" s="546">
        <f t="shared" si="153"/>
        <v>215</v>
      </c>
      <c r="CP163" s="551">
        <f t="shared" si="154"/>
        <v>59.61477198144042</v>
      </c>
      <c r="CQ163" s="553">
        <f>CP163/PI()*SQRT('Hilfstabellen_Mat&amp;Bem'!f.Rd.3/'Hilfstabellen_Mat&amp;Bem'!$BD$30)</f>
        <v>0.9487985642142468</v>
      </c>
      <c r="CR163" s="553">
        <f>0.5*(1+'Hilfstabellen_Mat&amp;Bem'!$BD$31*(CQ163-0.3)+CQ163^2)</f>
        <v>0.98254928593822055</v>
      </c>
      <c r="CS163" s="550">
        <f t="shared" si="155"/>
        <v>0.80784474637564063</v>
      </c>
      <c r="CU163" s="551">
        <f t="shared" si="156"/>
        <v>37342.62340121399</v>
      </c>
      <c r="CX163" s="547">
        <f>'Hilfstabellen_Mat&amp;Bem'!$J$61</f>
        <v>3.8</v>
      </c>
      <c r="CY163" s="546">
        <f t="shared" si="157"/>
        <v>215</v>
      </c>
      <c r="CZ163" s="551">
        <f t="shared" si="158"/>
        <v>61.225982034992867</v>
      </c>
      <c r="DA163" s="553">
        <f>CZ163/PI()*SQRT('Hilfstabellen_Mat&amp;Bem'!f.Rd.3/'Hilfstabellen_Mat&amp;Bem'!$BD$30)</f>
        <v>0.97444176865246979</v>
      </c>
      <c r="DB163" s="553">
        <f>0.5*(1+'Hilfstabellen_Mat&amp;Bem'!$BD$31*(DA163-0.3)+DA163^2)</f>
        <v>1.0084904686799003</v>
      </c>
      <c r="DC163" s="550">
        <f t="shared" si="159"/>
        <v>0.78843871950770283</v>
      </c>
      <c r="DE163" s="551">
        <f t="shared" si="160"/>
        <v>36445.579809243565</v>
      </c>
      <c r="DH163" s="547">
        <f>'Hilfstabellen_Mat&amp;Bem'!$J$62</f>
        <v>3.9</v>
      </c>
      <c r="DI163" s="546">
        <f t="shared" si="161"/>
        <v>215</v>
      </c>
      <c r="DJ163" s="551">
        <f t="shared" si="162"/>
        <v>62.837192088545315</v>
      </c>
      <c r="DK163" s="553">
        <f>DJ163/PI()*SQRT('Hilfstabellen_Mat&amp;Bem'!f.Rd.3/'Hilfstabellen_Mat&amp;Bem'!$BD$30)</f>
        <v>1.0000849730906927</v>
      </c>
      <c r="DL163" s="553">
        <f>0.5*(1+'Hilfstabellen_Mat&amp;Bem'!$BD$31*(DK163-0.3)+DK163^2)</f>
        <v>1.0350892253554402</v>
      </c>
      <c r="DM163" s="550">
        <f t="shared" si="163"/>
        <v>0.76805093492739729</v>
      </c>
      <c r="DO163" s="551">
        <f t="shared" si="164"/>
        <v>35503.15446701894</v>
      </c>
      <c r="DR163" s="547">
        <f>'Hilfstabellen_Mat&amp;Bem'!$J$63</f>
        <v>4</v>
      </c>
      <c r="DS163" s="546">
        <f t="shared" si="165"/>
        <v>215</v>
      </c>
      <c r="DT163" s="551">
        <f t="shared" si="166"/>
        <v>64.448402142097763</v>
      </c>
      <c r="DU163" s="553">
        <f>DT163/PI()*SQRT('Hilfstabellen_Mat&amp;Bem'!f.Rd.3/'Hilfstabellen_Mat&amp;Bem'!$BD$30)</f>
        <v>1.0257281775289155</v>
      </c>
      <c r="DV163" s="553">
        <f>0.5*(1+'Hilfstabellen_Mat&amp;Bem'!$BD$31*(DU163-0.3)+DU163^2)</f>
        <v>1.0623455559648409</v>
      </c>
      <c r="DW163" s="550">
        <f t="shared" si="167"/>
        <v>0.74690453818751323</v>
      </c>
      <c r="DY163" s="551">
        <f t="shared" si="168"/>
        <v>34525.662277717798</v>
      </c>
      <c r="EB163" s="547">
        <f>'Hilfstabellen_Mat&amp;Bem'!$J$64</f>
        <v>4.0999999999999996</v>
      </c>
      <c r="EC163" s="546">
        <f t="shared" si="169"/>
        <v>215</v>
      </c>
      <c r="ED163" s="551">
        <f t="shared" si="170"/>
        <v>66.059612195650189</v>
      </c>
      <c r="EE163" s="553">
        <f>ED163/PI()*SQRT('Hilfstabellen_Mat&amp;Bem'!f.Rd.3/'Hilfstabellen_Mat&amp;Bem'!$BD$30)</f>
        <v>1.0513713819671382</v>
      </c>
      <c r="EF163" s="553">
        <f>0.5*(1+'Hilfstabellen_Mat&amp;Bem'!$BD$31*(EE163-0.3)+EE163^2)</f>
        <v>1.090259460508102</v>
      </c>
      <c r="EG163" s="550">
        <f t="shared" si="171"/>
        <v>0.72524258817391174</v>
      </c>
      <c r="EI163" s="551">
        <f t="shared" si="172"/>
        <v>33524.338638339068</v>
      </c>
      <c r="EL163" s="547">
        <f>'Hilfstabellen_Mat&amp;Bem'!$J$65</f>
        <v>4.2</v>
      </c>
      <c r="EM163" s="546">
        <f t="shared" si="173"/>
        <v>215</v>
      </c>
      <c r="EN163" s="551">
        <f t="shared" si="174"/>
        <v>67.670822249202644</v>
      </c>
      <c r="EO163" s="553">
        <f>EN163/PI()*SQRT('Hilfstabellen_Mat&amp;Bem'!f.Rd.3/'Hilfstabellen_Mat&amp;Bem'!$BD$30)</f>
        <v>1.0770145864053613</v>
      </c>
      <c r="EP163" s="553">
        <f>0.5*(1+'Hilfstabellen_Mat&amp;Bem'!$BD$31*(EO163-0.3)+EO163^2)</f>
        <v>1.1188309389852238</v>
      </c>
      <c r="EQ163" s="550">
        <f t="shared" si="175"/>
        <v>0.70330768217312434</v>
      </c>
      <c r="ES163" s="551">
        <f t="shared" si="176"/>
        <v>32510.397608452673</v>
      </c>
    </row>
    <row r="164" spans="3:149">
      <c r="C164" s="546">
        <v>216</v>
      </c>
      <c r="D164" s="551">
        <f t="shared" si="131"/>
        <v>44.905020936970892</v>
      </c>
      <c r="E164" s="553">
        <f>$D164/PI()*SQRT('Hilfstabellen_Mat&amp;Bem'!f.Rd.3/'Hilfstabellen_Mat&amp;Bem'!$BD$30)</f>
        <v>0.71468560517639723</v>
      </c>
      <c r="F164" s="553">
        <f>0.5*(1+'Hilfstabellen_Mat&amp;Bem'!$BD$31*($E164-0.3)+$E164^2)</f>
        <v>0.77612203738199637</v>
      </c>
      <c r="G164" s="550">
        <f t="shared" si="132"/>
        <v>0.92699001204304887</v>
      </c>
      <c r="I164" s="551">
        <f t="shared" si="177"/>
        <v>43249.646001880486</v>
      </c>
      <c r="M164" s="546">
        <f t="shared" si="133"/>
        <v>216</v>
      </c>
      <c r="N164" s="551">
        <f t="shared" si="123"/>
        <v>46.508771684719846</v>
      </c>
      <c r="O164" s="553">
        <f>$N164/PI()*SQRT('Hilfstabellen_Mat&amp;Bem'!f.Rd.3/'Hilfstabellen_Mat&amp;Bem'!$BD$30)</f>
        <v>0.74021009107555402</v>
      </c>
      <c r="P164" s="553">
        <f>0.5*(1+'Hilfstabellen_Mat&amp;Bem'!$BD$31*($O164-0.3)+$O164^2)</f>
        <v>0.79596599401881774</v>
      </c>
      <c r="Q164" s="550">
        <f t="shared" si="124"/>
        <v>0.91858767091175375</v>
      </c>
      <c r="S164" s="551">
        <f t="shared" si="178"/>
        <v>42857.626374058782</v>
      </c>
      <c r="W164" s="546">
        <f t="shared" si="134"/>
        <v>216</v>
      </c>
      <c r="X164" s="551">
        <f t="shared" si="125"/>
        <v>48.112522432468815</v>
      </c>
      <c r="Y164" s="553">
        <f>$X164/PI()*SQRT('Hilfstabellen_Mat&amp;Bem'!f.Rd.3/'Hilfstabellen_Mat&amp;Bem'!$BD$30)</f>
        <v>0.76573457697471126</v>
      </c>
      <c r="Z164" s="553">
        <f>0.5*(1+'Hilfstabellen_Mat&amp;Bem'!$BD$31*($Y164-0.3)+$Y164^2)</f>
        <v>0.81646145003605564</v>
      </c>
      <c r="AA164" s="550">
        <f t="shared" si="126"/>
        <v>0.90928668947769287</v>
      </c>
      <c r="AC164" s="551">
        <f t="shared" si="179"/>
        <v>42423.67978427124</v>
      </c>
      <c r="AG164" s="546">
        <f t="shared" si="135"/>
        <v>216</v>
      </c>
      <c r="AH164" s="551">
        <f t="shared" si="127"/>
        <v>49.716273180217769</v>
      </c>
      <c r="AI164" s="553">
        <f>$AH164/PI()*SQRT('Hilfstabellen_Mat&amp;Bem'!f.Rd.3/'Hilfstabellen_Mat&amp;Bem'!$BD$30)</f>
        <v>0.79125906287386816</v>
      </c>
      <c r="AJ164" s="553">
        <f>0.5*(1+'Hilfstabellen_Mat&amp;Bem'!$BD$31*($AI164-0.3)+$AI164^2)</f>
        <v>0.8376084054337094</v>
      </c>
      <c r="AK164" s="550">
        <f t="shared" si="128"/>
        <v>0.89897703850035759</v>
      </c>
      <c r="AM164" s="551">
        <f t="shared" si="180"/>
        <v>41942.672708272687</v>
      </c>
      <c r="AQ164" s="546">
        <f t="shared" si="136"/>
        <v>216</v>
      </c>
      <c r="AR164" s="551">
        <f t="shared" si="129"/>
        <v>51.32002392796673</v>
      </c>
      <c r="AS164" s="553">
        <f>$AR164/PI()*SQRT('Hilfstabellen_Mat&amp;Bem'!f.Rd.3/'Hilfstabellen_Mat&amp;Bem'!$BD$30)</f>
        <v>0.81678354877302528</v>
      </c>
      <c r="AT164" s="553">
        <f>0.5*(1+'Hilfstabellen_Mat&amp;Bem'!$BD$31*($AS164-0.3)+$AS164^2)</f>
        <v>0.8594068602117797</v>
      </c>
      <c r="AU164" s="550">
        <f t="shared" si="130"/>
        <v>0.88754893868220897</v>
      </c>
      <c r="AW164" s="551">
        <f t="shared" si="181"/>
        <v>41409.48328315714</v>
      </c>
      <c r="AZ164" s="547">
        <f>'Hilfstabellen_Mat&amp;Bem'!$J$56</f>
        <v>3.3</v>
      </c>
      <c r="BA164" s="546">
        <f t="shared" si="137"/>
        <v>216</v>
      </c>
      <c r="BB164" s="551">
        <f t="shared" si="138"/>
        <v>52.923774675715691</v>
      </c>
      <c r="BC164" s="553">
        <f>BB164/PI()*SQRT('Hilfstabellen_Mat&amp;Bem'!f.Rd.3/'Hilfstabellen_Mat&amp;Bem'!$BD$30)</f>
        <v>0.8423080346721824</v>
      </c>
      <c r="BD164" s="553">
        <f>0.5*(1+'Hilfstabellen_Mat&amp;Bem'!$BD$31*(BC164-0.3)+BC164^2)</f>
        <v>0.88185681437026631</v>
      </c>
      <c r="BE164" s="550">
        <f t="shared" si="139"/>
        <v>0.87490111422553563</v>
      </c>
      <c r="BG164" s="551">
        <f t="shared" si="140"/>
        <v>40819.386385306592</v>
      </c>
      <c r="BJ164" s="547">
        <f>'Hilfstabellen_Mat&amp;Bem'!$J$57</f>
        <v>3.4</v>
      </c>
      <c r="BK164" s="546">
        <f t="shared" si="141"/>
        <v>216</v>
      </c>
      <c r="BL164" s="551">
        <f t="shared" si="142"/>
        <v>54.527525423464652</v>
      </c>
      <c r="BM164" s="553">
        <f>BL164/PI()*SQRT('Hilfstabellen_Mat&amp;Bem'!f.Rd.3/'Hilfstabellen_Mat&amp;Bem'!$BD$30)</f>
        <v>0.86783252057133942</v>
      </c>
      <c r="BN164" s="553">
        <f>0.5*(1+'Hilfstabellen_Mat&amp;Bem'!$BD$31*(BM164-0.3)+BM164^2)</f>
        <v>0.904958267909169</v>
      </c>
      <c r="BO164" s="550">
        <f t="shared" si="143"/>
        <v>0.86095201648001696</v>
      </c>
      <c r="BQ164" s="551">
        <f t="shared" si="144"/>
        <v>40168.577280891674</v>
      </c>
      <c r="BT164" s="547">
        <f>'Hilfstabellen_Mat&amp;Bem'!$J$58</f>
        <v>3.5</v>
      </c>
      <c r="BU164" s="546">
        <f t="shared" si="145"/>
        <v>216</v>
      </c>
      <c r="BV164" s="551">
        <f t="shared" si="146"/>
        <v>56.131276171213607</v>
      </c>
      <c r="BW164" s="553">
        <f>BV164/PI()*SQRT('Hilfstabellen_Mat&amp;Bem'!f.Rd.3/'Hilfstabellen_Mat&amp;Bem'!$BD$30)</f>
        <v>0.89335700647049632</v>
      </c>
      <c r="BX164" s="553">
        <f>0.5*(1+'Hilfstabellen_Mat&amp;Bem'!$BD$31*(BW164-0.3)+BW164^2)</f>
        <v>0.928711220828488</v>
      </c>
      <c r="BY164" s="550">
        <f t="shared" si="147"/>
        <v>0.84565321688004447</v>
      </c>
      <c r="CA164" s="551">
        <f t="shared" si="148"/>
        <v>39454.796486755353</v>
      </c>
      <c r="CD164" s="547">
        <f>'Hilfstabellen_Mat&amp;Bem'!$J$59</f>
        <v>3.6</v>
      </c>
      <c r="CE164" s="546">
        <f t="shared" si="149"/>
        <v>216</v>
      </c>
      <c r="CF164" s="551">
        <f t="shared" si="150"/>
        <v>57.735026918962575</v>
      </c>
      <c r="CG164" s="553">
        <f>CF164/PI()*SQRT('Hilfstabellen_Mat&amp;Bem'!f.Rd.3/'Hilfstabellen_Mat&amp;Bem'!$BD$30)</f>
        <v>0.91888149236965355</v>
      </c>
      <c r="CH164" s="553">
        <f>0.5*(1+'Hilfstabellen_Mat&amp;Bem'!$BD$31*(CG164-0.3)+CG164^2)</f>
        <v>0.95311567312822354</v>
      </c>
      <c r="CI164" s="550">
        <f t="shared" si="151"/>
        <v>0.8290029172295762</v>
      </c>
      <c r="CK164" s="551">
        <f t="shared" si="152"/>
        <v>38677.960106263105</v>
      </c>
      <c r="CN164" s="547">
        <f>'Hilfstabellen_Mat&amp;Bem'!$J$60</f>
        <v>3.7</v>
      </c>
      <c r="CO164" s="546">
        <f t="shared" si="153"/>
        <v>216</v>
      </c>
      <c r="CP164" s="551">
        <f t="shared" si="154"/>
        <v>59.338777666711536</v>
      </c>
      <c r="CQ164" s="553">
        <f>CP164/PI()*SQRT('Hilfstabellen_Mat&amp;Bem'!f.Rd.3/'Hilfstabellen_Mat&amp;Bem'!$BD$30)</f>
        <v>0.94440597826881056</v>
      </c>
      <c r="CR164" s="553">
        <f>0.5*(1+'Hilfstabellen_Mat&amp;Bem'!$BD$31*(CQ164-0.3)+CQ164^2)</f>
        <v>0.97817162480837516</v>
      </c>
      <c r="CS164" s="550">
        <f t="shared" si="155"/>
        <v>0.81105637182883816</v>
      </c>
      <c r="CU164" s="551">
        <f t="shared" si="156"/>
        <v>37840.646084046275</v>
      </c>
      <c r="CX164" s="547">
        <f>'Hilfstabellen_Mat&amp;Bem'!$J$61</f>
        <v>3.8</v>
      </c>
      <c r="CY164" s="546">
        <f t="shared" si="157"/>
        <v>216</v>
      </c>
      <c r="CZ164" s="551">
        <f t="shared" si="158"/>
        <v>60.94252841446049</v>
      </c>
      <c r="DA164" s="553">
        <f>CZ164/PI()*SQRT('Hilfstabellen_Mat&amp;Bem'!f.Rd.3/'Hilfstabellen_Mat&amp;Bem'!$BD$30)</f>
        <v>0.96993046416796747</v>
      </c>
      <c r="DB164" s="553">
        <f>0.5*(1+'Hilfstabellen_Mat&amp;Bem'!$BD$31*(DA164-0.3)+DA164^2)</f>
        <v>1.0038790758689426</v>
      </c>
      <c r="DC164" s="550">
        <f t="shared" si="159"/>
        <v>0.79192973439838543</v>
      </c>
      <c r="DE164" s="551">
        <f t="shared" si="160"/>
        <v>36948.273688091074</v>
      </c>
      <c r="DH164" s="547">
        <f>'Hilfstabellen_Mat&amp;Bem'!$J$62</f>
        <v>3.9</v>
      </c>
      <c r="DI164" s="546">
        <f t="shared" si="161"/>
        <v>216</v>
      </c>
      <c r="DJ164" s="551">
        <f t="shared" si="162"/>
        <v>62.546279162209458</v>
      </c>
      <c r="DK164" s="553">
        <f>DJ164/PI()*SQRT('Hilfstabellen_Mat&amp;Bem'!f.Rd.3/'Hilfstabellen_Mat&amp;Bem'!$BD$30)</f>
        <v>0.99545495006712459</v>
      </c>
      <c r="DL164" s="553">
        <f>0.5*(1+'Hilfstabellen_Mat&amp;Bem'!$BD$31*(DK164-0.3)+DK164^2)</f>
        <v>1.0302380263099269</v>
      </c>
      <c r="DM164" s="550">
        <f t="shared" si="163"/>
        <v>0.77179506540116882</v>
      </c>
      <c r="DO164" s="551">
        <f t="shared" si="164"/>
        <v>36008.870571356936</v>
      </c>
      <c r="DR164" s="547">
        <f>'Hilfstabellen_Mat&amp;Bem'!$J$63</f>
        <v>4</v>
      </c>
      <c r="DS164" s="546">
        <f t="shared" si="165"/>
        <v>216</v>
      </c>
      <c r="DT164" s="551">
        <f t="shared" si="166"/>
        <v>64.15002990995842</v>
      </c>
      <c r="DU164" s="553">
        <f>DT164/PI()*SQRT('Hilfstabellen_Mat&amp;Bem'!f.Rd.3/'Hilfstabellen_Mat&amp;Bem'!$BD$30)</f>
        <v>1.0209794359662816</v>
      </c>
      <c r="DV164" s="553">
        <f>0.5*(1+'Hilfstabellen_Mat&amp;Bem'!$BD$31*(DU164-0.3)+DU164^2)</f>
        <v>1.0572484761313272</v>
      </c>
      <c r="DW164" s="550">
        <f t="shared" si="167"/>
        <v>0.75086678653940098</v>
      </c>
      <c r="DY164" s="551">
        <f t="shared" si="168"/>
        <v>35032.44079278229</v>
      </c>
      <c r="EB164" s="547">
        <f>'Hilfstabellen_Mat&amp;Bem'!$J$64</f>
        <v>4.0999999999999996</v>
      </c>
      <c r="EC164" s="546">
        <f t="shared" si="169"/>
        <v>216</v>
      </c>
      <c r="ED164" s="551">
        <f t="shared" si="170"/>
        <v>65.753780657707367</v>
      </c>
      <c r="EE164" s="553">
        <f>ED164/PI()*SQRT('Hilfstabellen_Mat&amp;Bem'!f.Rd.3/'Hilfstabellen_Mat&amp;Bem'!$BD$30)</f>
        <v>1.0465039218654384</v>
      </c>
      <c r="EF164" s="553">
        <f>0.5*(1+'Hilfstabellen_Mat&amp;Bem'!$BD$31*(EE164-0.3)+EE164^2)</f>
        <v>1.0849104253331436</v>
      </c>
      <c r="EG164" s="550">
        <f t="shared" si="171"/>
        <v>0.72938258280186608</v>
      </c>
      <c r="EI164" s="551">
        <f t="shared" si="172"/>
        <v>34030.073783203865</v>
      </c>
      <c r="EL164" s="547">
        <f>'Hilfstabellen_Mat&amp;Bem'!$J$65</f>
        <v>4.2</v>
      </c>
      <c r="EM164" s="546">
        <f t="shared" si="173"/>
        <v>216</v>
      </c>
      <c r="EN164" s="551">
        <f t="shared" si="174"/>
        <v>67.357531405456328</v>
      </c>
      <c r="EO164" s="553">
        <f>EN164/PI()*SQRT('Hilfstabellen_Mat&amp;Bem'!f.Rd.3/'Hilfstabellen_Mat&amp;Bem'!$BD$30)</f>
        <v>1.0720284077645956</v>
      </c>
      <c r="EP164" s="553">
        <f>0.5*(1+'Hilfstabellen_Mat&amp;Bem'!$BD$31*(EO164-0.3)+EO164^2)</f>
        <v>1.1132238739153768</v>
      </c>
      <c r="EQ164" s="550">
        <f t="shared" si="175"/>
        <v>0.70758320870488756</v>
      </c>
      <c r="ES164" s="551">
        <f t="shared" si="176"/>
        <v>33013.002185335237</v>
      </c>
    </row>
    <row r="165" spans="3:149">
      <c r="C165" s="546">
        <v>217</v>
      </c>
      <c r="D165" s="551">
        <f t="shared" si="131"/>
        <v>44.698085356616183</v>
      </c>
      <c r="E165" s="553">
        <f>$D165/PI()*SQRT('Hilfstabellen_Mat&amp;Bem'!f.Rd.3/'Hilfstabellen_Mat&amp;Bem'!$BD$30)</f>
        <v>0.71139212312489297</v>
      </c>
      <c r="F165" s="553">
        <f>0.5*(1+'Hilfstabellen_Mat&amp;Bem'!$BD$31*($E165-0.3)+$E165^2)</f>
        <v>0.77360898257831612</v>
      </c>
      <c r="G165" s="550">
        <f t="shared" si="132"/>
        <v>0.92801423361892288</v>
      </c>
      <c r="I165" s="551">
        <f t="shared" si="177"/>
        <v>43699.262246881459</v>
      </c>
      <c r="M165" s="546">
        <f t="shared" si="133"/>
        <v>217</v>
      </c>
      <c r="N165" s="551">
        <f t="shared" si="123"/>
        <v>46.294445547923907</v>
      </c>
      <c r="O165" s="553">
        <f>$N165/PI()*SQRT('Hilfstabellen_Mat&amp;Bem'!f.Rd.3/'Hilfstabellen_Mat&amp;Bem'!$BD$30)</f>
        <v>0.73679898466506777</v>
      </c>
      <c r="P165" s="553">
        <f>0.5*(1+'Hilfstabellen_Mat&amp;Bem'!$BD$31*($O165-0.3)+$O165^2)</f>
        <v>0.79327632113499069</v>
      </c>
      <c r="Q165" s="550">
        <f t="shared" si="124"/>
        <v>0.91976022242008493</v>
      </c>
      <c r="S165" s="551">
        <f t="shared" si="178"/>
        <v>43310.589113539376</v>
      </c>
      <c r="W165" s="546">
        <f t="shared" si="134"/>
        <v>217</v>
      </c>
      <c r="X165" s="551">
        <f t="shared" si="125"/>
        <v>47.890805739231624</v>
      </c>
      <c r="Y165" s="553">
        <f>$X165/PI()*SQRT('Hilfstabellen_Mat&amp;Bem'!f.Rd.3/'Hilfstabellen_Mat&amp;Bem'!$BD$30)</f>
        <v>0.76220584620524245</v>
      </c>
      <c r="Z165" s="553">
        <f>0.5*(1+'Hilfstabellen_Mat&amp;Bem'!$BD$31*($Y165-0.3)+$Y165^2)</f>
        <v>0.81358916830498706</v>
      </c>
      <c r="AA165" s="550">
        <f t="shared" si="126"/>
        <v>0.91063010981468773</v>
      </c>
      <c r="AC165" s="551">
        <f t="shared" si="179"/>
        <v>42880.661241063834</v>
      </c>
      <c r="AG165" s="546">
        <f t="shared" si="135"/>
        <v>217</v>
      </c>
      <c r="AH165" s="551">
        <f t="shared" si="127"/>
        <v>49.487165930539348</v>
      </c>
      <c r="AI165" s="553">
        <f>$AH165/PI()*SQRT('Hilfstabellen_Mat&amp;Bem'!f.Rd.3/'Hilfstabellen_Mat&amp;Bem'!$BD$30)</f>
        <v>0.78761270774541725</v>
      </c>
      <c r="AJ165" s="553">
        <f>0.5*(1+'Hilfstabellen_Mat&amp;Bem'!$BD$31*($AI165-0.3)+$AI165^2)</f>
        <v>0.8345475240883049</v>
      </c>
      <c r="AK165" s="550">
        <f t="shared" si="128"/>
        <v>0.90051580877540705</v>
      </c>
      <c r="AM165" s="551">
        <f t="shared" si="180"/>
        <v>42404.388919425139</v>
      </c>
      <c r="AQ165" s="546">
        <f t="shared" si="136"/>
        <v>217</v>
      </c>
      <c r="AR165" s="551">
        <f t="shared" si="129"/>
        <v>51.083526121847072</v>
      </c>
      <c r="AS165" s="553">
        <f>$AR165/PI()*SQRT('Hilfstabellen_Mat&amp;Bem'!f.Rd.3/'Hilfstabellen_Mat&amp;Bem'!$BD$30)</f>
        <v>0.81301956928559216</v>
      </c>
      <c r="AT165" s="553">
        <f>0.5*(1+'Hilfstabellen_Mat&amp;Bem'!$BD$31*($AS165-0.3)+$AS165^2)</f>
        <v>0.85615138848494443</v>
      </c>
      <c r="AU165" s="550">
        <f t="shared" si="130"/>
        <v>0.88930858462858375</v>
      </c>
      <c r="AW165" s="551">
        <f t="shared" si="181"/>
        <v>41876.651941575379</v>
      </c>
      <c r="AZ165" s="547">
        <f>'Hilfstabellen_Mat&amp;Bem'!$J$56</f>
        <v>3.3</v>
      </c>
      <c r="BA165" s="546">
        <f t="shared" si="137"/>
        <v>217</v>
      </c>
      <c r="BB165" s="551">
        <f t="shared" si="138"/>
        <v>52.679886313154789</v>
      </c>
      <c r="BC165" s="553">
        <f>BB165/PI()*SQRT('Hilfstabellen_Mat&amp;Bem'!f.Rd.3/'Hilfstabellen_Mat&amp;Bem'!$BD$30)</f>
        <v>0.83842643082576673</v>
      </c>
      <c r="BD165" s="553">
        <f>0.5*(1+'Hilfstabellen_Mat&amp;Bem'!$BD$31*(BC165-0.3)+BC165^2)</f>
        <v>0.87840076149490542</v>
      </c>
      <c r="BE165" s="550">
        <f t="shared" si="139"/>
        <v>0.87690670463411413</v>
      </c>
      <c r="BG165" s="551">
        <f t="shared" si="140"/>
        <v>41292.659814515799</v>
      </c>
      <c r="BJ165" s="547">
        <f>'Hilfstabellen_Mat&amp;Bem'!$J$57</f>
        <v>3.4</v>
      </c>
      <c r="BK165" s="546">
        <f t="shared" si="141"/>
        <v>217</v>
      </c>
      <c r="BL165" s="551">
        <f t="shared" si="142"/>
        <v>54.276246504462513</v>
      </c>
      <c r="BM165" s="553">
        <f>BL165/PI()*SQRT('Hilfstabellen_Mat&amp;Bem'!f.Rd.3/'Hilfstabellen_Mat&amp;Bem'!$BD$30)</f>
        <v>0.86383329236594142</v>
      </c>
      <c r="BN165" s="553">
        <f>0.5*(1+'Hilfstabellen_Mat&amp;Bem'!$BD$31*(BM165-0.3)+BM165^2)</f>
        <v>0.90129564311818799</v>
      </c>
      <c r="BO165" s="550">
        <f t="shared" si="143"/>
        <v>0.8632260081712011</v>
      </c>
      <c r="BQ165" s="551">
        <f t="shared" si="144"/>
        <v>40648.449498773691</v>
      </c>
      <c r="BT165" s="547">
        <f>'Hilfstabellen_Mat&amp;Bem'!$J$58</f>
        <v>3.5</v>
      </c>
      <c r="BU165" s="546">
        <f t="shared" si="145"/>
        <v>217</v>
      </c>
      <c r="BV165" s="551">
        <f t="shared" si="146"/>
        <v>55.87260669577023</v>
      </c>
      <c r="BW165" s="553">
        <f>BV165/PI()*SQRT('Hilfstabellen_Mat&amp;Bem'!f.Rd.3/'Hilfstabellen_Mat&amp;Bem'!$BD$30)</f>
        <v>0.88924015390611622</v>
      </c>
      <c r="BX165" s="553">
        <f>0.5*(1+'Hilfstabellen_Mat&amp;Bem'!$BD$31*(BW165-0.3)+BW165^2)</f>
        <v>0.92483603335479247</v>
      </c>
      <c r="BY165" s="550">
        <f t="shared" si="147"/>
        <v>0.84821277569700859</v>
      </c>
      <c r="CA165" s="551">
        <f t="shared" si="148"/>
        <v>39941.491394796438</v>
      </c>
      <c r="CD165" s="547">
        <f>'Hilfstabellen_Mat&amp;Bem'!$J$59</f>
        <v>3.6</v>
      </c>
      <c r="CE165" s="546">
        <f t="shared" si="149"/>
        <v>217</v>
      </c>
      <c r="CF165" s="551">
        <f t="shared" si="150"/>
        <v>57.468966887077954</v>
      </c>
      <c r="CG165" s="553">
        <f>CF165/PI()*SQRT('Hilfstabellen_Mat&amp;Bem'!f.Rd.3/'Hilfstabellen_Mat&amp;Bem'!$BD$30)</f>
        <v>0.9146470154462909</v>
      </c>
      <c r="CH165" s="553">
        <f>0.5*(1+'Hilfstabellen_Mat&amp;Bem'!$BD$31*(CG165-0.3)+CG165^2)</f>
        <v>0.9490219322047182</v>
      </c>
      <c r="CI165" s="550">
        <f t="shared" si="151"/>
        <v>0.83185710063135532</v>
      </c>
      <c r="CK165" s="551">
        <f t="shared" si="152"/>
        <v>39171.319011629894</v>
      </c>
      <c r="CN165" s="547">
        <f>'Hilfstabellen_Mat&amp;Bem'!$J$60</f>
        <v>3.7</v>
      </c>
      <c r="CO165" s="546">
        <f t="shared" si="153"/>
        <v>217</v>
      </c>
      <c r="CP165" s="551">
        <f t="shared" si="154"/>
        <v>59.065327078385671</v>
      </c>
      <c r="CQ165" s="553">
        <f>CP165/PI()*SQRT('Hilfstabellen_Mat&amp;Bem'!f.Rd.3/'Hilfstabellen_Mat&amp;Bem'!$BD$30)</f>
        <v>0.9400538769864657</v>
      </c>
      <c r="CR165" s="553">
        <f>0.5*(1+'Hilfstabellen_Mat&amp;Bem'!$BD$31*(CQ165-0.3)+CQ165^2)</f>
        <v>0.97385333966796583</v>
      </c>
      <c r="CS165" s="550">
        <f t="shared" si="155"/>
        <v>0.81420379647572205</v>
      </c>
      <c r="CU165" s="551">
        <f t="shared" si="156"/>
        <v>38340.042572245278</v>
      </c>
      <c r="CX165" s="547">
        <f>'Hilfstabellen_Mat&amp;Bem'!$J$61</f>
        <v>3.8</v>
      </c>
      <c r="CY165" s="546">
        <f t="shared" si="157"/>
        <v>217</v>
      </c>
      <c r="CZ165" s="551">
        <f t="shared" si="158"/>
        <v>60.661687269693395</v>
      </c>
      <c r="DA165" s="553">
        <f>CZ165/PI()*SQRT('Hilfstabellen_Mat&amp;Bem'!f.Rd.3/'Hilfstabellen_Mat&amp;Bem'!$BD$30)</f>
        <v>0.96546073852664049</v>
      </c>
      <c r="DB165" s="553">
        <f>0.5*(1+'Hilfstabellen_Mat&amp;Bem'!$BD$31*(DA165-0.3)+DA165^2)</f>
        <v>0.99933025574453505</v>
      </c>
      <c r="DC165" s="550">
        <f t="shared" si="159"/>
        <v>0.79535741463944987</v>
      </c>
      <c r="DE165" s="551">
        <f t="shared" si="160"/>
        <v>37452.585297957055</v>
      </c>
      <c r="DH165" s="547">
        <f>'Hilfstabellen_Mat&amp;Bem'!$J$62</f>
        <v>3.9</v>
      </c>
      <c r="DI165" s="546">
        <f t="shared" si="161"/>
        <v>217</v>
      </c>
      <c r="DJ165" s="551">
        <f t="shared" si="162"/>
        <v>62.258047461001119</v>
      </c>
      <c r="DK165" s="553">
        <f>DJ165/PI()*SQRT('Hilfstabellen_Mat&amp;Bem'!f.Rd.3/'Hilfstabellen_Mat&amp;Bem'!$BD$30)</f>
        <v>0.99086760006681518</v>
      </c>
      <c r="DL165" s="553">
        <f>0.5*(1+'Hilfstabellen_Mat&amp;Bem'!$BD$31*(DK165-0.3)+DK165^2)</f>
        <v>1.0254526804344257</v>
      </c>
      <c r="DM165" s="550">
        <f t="shared" si="163"/>
        <v>0.77547887747949396</v>
      </c>
      <c r="DO165" s="551">
        <f t="shared" si="164"/>
        <v>36516.524861631893</v>
      </c>
      <c r="DR165" s="547">
        <f>'Hilfstabellen_Mat&amp;Bem'!$J$63</f>
        <v>4</v>
      </c>
      <c r="DS165" s="546">
        <f t="shared" si="165"/>
        <v>217</v>
      </c>
      <c r="DT165" s="551">
        <f t="shared" si="166"/>
        <v>63.854407652308829</v>
      </c>
      <c r="DU165" s="553">
        <f>DT165/PI()*SQRT('Hilfstabellen_Mat&amp;Bem'!f.Rd.3/'Hilfstabellen_Mat&amp;Bem'!$BD$30)</f>
        <v>1.0162744616069899</v>
      </c>
      <c r="DV165" s="553">
        <f>0.5*(1+'Hilfstabellen_Mat&amp;Bem'!$BD$31*(DU165-0.3)+DU165^2)</f>
        <v>1.052220613737638</v>
      </c>
      <c r="DW165" s="550">
        <f t="shared" si="167"/>
        <v>0.75477353679821968</v>
      </c>
      <c r="DY165" s="551">
        <f t="shared" si="168"/>
        <v>35541.531074291364</v>
      </c>
      <c r="EB165" s="547">
        <f>'Hilfstabellen_Mat&amp;Bem'!$J$64</f>
        <v>4.0999999999999996</v>
      </c>
      <c r="EC165" s="546">
        <f t="shared" si="169"/>
        <v>217</v>
      </c>
      <c r="ED165" s="551">
        <f t="shared" si="170"/>
        <v>65.450767843616561</v>
      </c>
      <c r="EE165" s="553">
        <f>ED165/PI()*SQRT('Hilfstabellen_Mat&amp;Bem'!f.Rd.3/'Hilfstabellen_Mat&amp;Bem'!$BD$30)</f>
        <v>1.0416813231471647</v>
      </c>
      <c r="EF165" s="553">
        <f>0.5*(1+'Hilfstabellen_Mat&amp;Bem'!$BD$31*(EE165-0.3)+EE165^2)</f>
        <v>1.0796340556541721</v>
      </c>
      <c r="EG165" s="550">
        <f t="shared" si="171"/>
        <v>0.73347316534962603</v>
      </c>
      <c r="EI165" s="551">
        <f t="shared" si="172"/>
        <v>34538.517883148539</v>
      </c>
      <c r="EL165" s="547">
        <f>'Hilfstabellen_Mat&amp;Bem'!$J$65</f>
        <v>4.2</v>
      </c>
      <c r="EM165" s="546">
        <f t="shared" si="173"/>
        <v>217</v>
      </c>
      <c r="EN165" s="551">
        <f t="shared" si="174"/>
        <v>67.047128034924285</v>
      </c>
      <c r="EO165" s="553">
        <f>EN165/PI()*SQRT('Hilfstabellen_Mat&amp;Bem'!f.Rd.3/'Hilfstabellen_Mat&amp;Bem'!$BD$30)</f>
        <v>1.0670881846873397</v>
      </c>
      <c r="EP165" s="553">
        <f>0.5*(1+'Hilfstabellen_Mat&amp;Bem'!$BD$31*(EO165-0.3)+EO165^2)</f>
        <v>1.1076930061840278</v>
      </c>
      <c r="EQ165" s="550">
        <f t="shared" si="175"/>
        <v>0.71181608162443133</v>
      </c>
      <c r="ES165" s="551">
        <f t="shared" si="176"/>
        <v>33518.707467612847</v>
      </c>
    </row>
    <row r="166" spans="3:149">
      <c r="C166" s="546">
        <v>218</v>
      </c>
      <c r="D166" s="551">
        <f t="shared" si="131"/>
        <v>44.493048267824364</v>
      </c>
      <c r="E166" s="553">
        <f>$D166/PI()*SQRT('Hilfstabellen_Mat&amp;Bem'!f.Rd.3/'Hilfstabellen_Mat&amp;Bem'!$BD$30)</f>
        <v>0.70812885650505397</v>
      </c>
      <c r="F166" s="553">
        <f>0.5*(1+'Hilfstabellen_Mat&amp;Bem'!$BD$31*($E166-0.3)+$E166^2)</f>
        <v>0.77112968153283035</v>
      </c>
      <c r="G166" s="550">
        <f t="shared" si="132"/>
        <v>0.92901624896387314</v>
      </c>
      <c r="I166" s="551">
        <f t="shared" si="177"/>
        <v>44150.568215759107</v>
      </c>
      <c r="M166" s="546">
        <f t="shared" si="133"/>
        <v>218</v>
      </c>
      <c r="N166" s="551">
        <f t="shared" si="123"/>
        <v>46.082085705960949</v>
      </c>
      <c r="O166" s="553">
        <f>$N166/PI()*SQRT('Hilfstabellen_Mat&amp;Bem'!f.Rd.3/'Hilfstabellen_Mat&amp;Bem'!$BD$30)</f>
        <v>0.73341917280880597</v>
      </c>
      <c r="P166" s="553">
        <f>0.5*(1+'Hilfstabellen_Mat&amp;Bem'!$BD$31*($O166-0.3)+$O166^2)</f>
        <v>0.79062280016221687</v>
      </c>
      <c r="Q166" s="550">
        <f t="shared" si="124"/>
        <v>0.92090644875471361</v>
      </c>
      <c r="S166" s="551">
        <f t="shared" si="178"/>
        <v>43765.158070619007</v>
      </c>
      <c r="W166" s="546">
        <f t="shared" si="134"/>
        <v>218</v>
      </c>
      <c r="X166" s="551">
        <f t="shared" si="125"/>
        <v>47.671123144097535</v>
      </c>
      <c r="Y166" s="553">
        <f>$X166/PI()*SQRT('Hilfstabellen_Mat&amp;Bem'!f.Rd.3/'Hilfstabellen_Mat&amp;Bem'!$BD$30)</f>
        <v>0.75870948911255787</v>
      </c>
      <c r="Z166" s="553">
        <f>0.5*(1+'Hilfstabellen_Mat&amp;Bem'!$BD$31*($Y166-0.3)+$Y166^2)</f>
        <v>0.81075551889034725</v>
      </c>
      <c r="AA166" s="550">
        <f t="shared" si="126"/>
        <v>0.91194248123893118</v>
      </c>
      <c r="AC166" s="551">
        <f t="shared" si="179"/>
        <v>43339.154478398967</v>
      </c>
      <c r="AG166" s="546">
        <f t="shared" si="135"/>
        <v>218</v>
      </c>
      <c r="AH166" s="551">
        <f t="shared" si="127"/>
        <v>49.260160582234121</v>
      </c>
      <c r="AI166" s="553">
        <f>$AH166/PI()*SQRT('Hilfstabellen_Mat&amp;Bem'!f.Rd.3/'Hilfstabellen_Mat&amp;Bem'!$BD$30)</f>
        <v>0.78399980541630976</v>
      </c>
      <c r="AJ166" s="553">
        <f>0.5*(1+'Hilfstabellen_Mat&amp;Bem'!$BD$31*($AI166-0.3)+$AI166^2)</f>
        <v>0.83152783771722127</v>
      </c>
      <c r="AK166" s="550">
        <f t="shared" si="128"/>
        <v>0.90201824728216085</v>
      </c>
      <c r="AM166" s="551">
        <f t="shared" si="180"/>
        <v>42867.515183837415</v>
      </c>
      <c r="AQ166" s="546">
        <f t="shared" si="136"/>
        <v>218</v>
      </c>
      <c r="AR166" s="551">
        <f t="shared" si="129"/>
        <v>50.849198020370707</v>
      </c>
      <c r="AS166" s="553">
        <f>$AR166/PI()*SQRT('Hilfstabellen_Mat&amp;Bem'!f.Rd.3/'Hilfstabellen_Mat&amp;Bem'!$BD$30)</f>
        <v>0.80929012172006187</v>
      </c>
      <c r="AT166" s="553">
        <f>0.5*(1+'Hilfstabellen_Mat&amp;Bem'!$BD$31*($AS166-0.3)+$AS166^2)</f>
        <v>0.85293975664283939</v>
      </c>
      <c r="AU166" s="550">
        <f t="shared" si="130"/>
        <v>0.89102619523762294</v>
      </c>
      <c r="AW166" s="551">
        <f t="shared" si="181"/>
        <v>42345.128902472796</v>
      </c>
      <c r="AZ166" s="547">
        <f>'Hilfstabellen_Mat&amp;Bem'!$J$56</f>
        <v>3.3</v>
      </c>
      <c r="BA166" s="546">
        <f t="shared" si="137"/>
        <v>218</v>
      </c>
      <c r="BB166" s="551">
        <f t="shared" si="138"/>
        <v>52.438235458507286</v>
      </c>
      <c r="BC166" s="553">
        <f>BB166/PI()*SQRT('Hilfstabellen_Mat&amp;Bem'!f.Rd.3/'Hilfstabellen_Mat&amp;Bem'!$BD$30)</f>
        <v>0.83458043802381354</v>
      </c>
      <c r="BD166" s="553">
        <f>0.5*(1+'Hilfstabellen_Mat&amp;Bem'!$BD$31*(BC166-0.3)+BC166^2)</f>
        <v>0.87499127566720092</v>
      </c>
      <c r="BE166" s="550">
        <f t="shared" si="139"/>
        <v>0.87886439807277428</v>
      </c>
      <c r="BG166" s="551">
        <f t="shared" si="140"/>
        <v>41767.151654010522</v>
      </c>
      <c r="BJ166" s="547">
        <f>'Hilfstabellen_Mat&amp;Bem'!$J$57</f>
        <v>3.4</v>
      </c>
      <c r="BK166" s="546">
        <f t="shared" si="141"/>
        <v>218</v>
      </c>
      <c r="BL166" s="551">
        <f t="shared" si="142"/>
        <v>54.027272896643872</v>
      </c>
      <c r="BM166" s="553">
        <f>BL166/PI()*SQRT('Hilfstabellen_Mat&amp;Bem'!f.Rd.3/'Hilfstabellen_Mat&amp;Bem'!$BD$30)</f>
        <v>0.85987075432756555</v>
      </c>
      <c r="BN166" s="553">
        <f>0.5*(1+'Hilfstabellen_Mat&amp;Bem'!$BD$31*(BM166-0.3)+BM166^2)</f>
        <v>0.89768239479030654</v>
      </c>
      <c r="BO166" s="550">
        <f t="shared" si="143"/>
        <v>0.86544648608349173</v>
      </c>
      <c r="BQ166" s="551">
        <f t="shared" si="144"/>
        <v>41129.478804631864</v>
      </c>
      <c r="BT166" s="547">
        <f>'Hilfstabellen_Mat&amp;Bem'!$J$58</f>
        <v>3.5</v>
      </c>
      <c r="BU166" s="546">
        <f t="shared" si="145"/>
        <v>218</v>
      </c>
      <c r="BV166" s="551">
        <f t="shared" si="146"/>
        <v>55.616310334780458</v>
      </c>
      <c r="BW166" s="553">
        <f>BV166/PI()*SQRT('Hilfstabellen_Mat&amp;Bem'!f.Rd.3/'Hilfstabellen_Mat&amp;Bem'!$BD$30)</f>
        <v>0.88516107063131744</v>
      </c>
      <c r="BX166" s="553">
        <f>0.5*(1+'Hilfstabellen_Mat&amp;Bem'!$BD$31*(BW166-0.3)+BW166^2)</f>
        <v>0.92101311401215591</v>
      </c>
      <c r="BY166" s="550">
        <f t="shared" si="147"/>
        <v>0.85071397222095302</v>
      </c>
      <c r="CA166" s="551">
        <f t="shared" si="148"/>
        <v>40429.330815828573</v>
      </c>
      <c r="CD166" s="547">
        <f>'Hilfstabellen_Mat&amp;Bem'!$J$59</f>
        <v>3.6</v>
      </c>
      <c r="CE166" s="546">
        <f t="shared" si="149"/>
        <v>218</v>
      </c>
      <c r="CF166" s="551">
        <f t="shared" si="150"/>
        <v>57.205347772917044</v>
      </c>
      <c r="CG166" s="553">
        <f>CF166/PI()*SQRT('Hilfstabellen_Mat&amp;Bem'!f.Rd.3/'Hilfstabellen_Mat&amp;Bem'!$BD$30)</f>
        <v>0.91045138693506944</v>
      </c>
      <c r="CH166" s="553">
        <f>0.5*(1+'Hilfstabellen_Mat&amp;Bem'!$BD$31*(CG166-0.3)+CG166^2)</f>
        <v>0.94498343333274915</v>
      </c>
      <c r="CI166" s="550">
        <f t="shared" si="151"/>
        <v>0.83464941395523251</v>
      </c>
      <c r="CK166" s="551">
        <f t="shared" si="152"/>
        <v>39665.878748808471</v>
      </c>
      <c r="CN166" s="547">
        <f>'Hilfstabellen_Mat&amp;Bem'!$J$60</f>
        <v>3.7</v>
      </c>
      <c r="CO166" s="546">
        <f t="shared" si="153"/>
        <v>218</v>
      </c>
      <c r="CP166" s="551">
        <f t="shared" si="154"/>
        <v>58.794385211053623</v>
      </c>
      <c r="CQ166" s="553">
        <f>CP166/PI()*SQRT('Hilfstabellen_Mat&amp;Bem'!f.Rd.3/'Hilfstabellen_Mat&amp;Bem'!$BD$30)</f>
        <v>0.93574170323882133</v>
      </c>
      <c r="CR166" s="553">
        <f>0.5*(1+'Hilfstabellen_Mat&amp;Bem'!$BD$31*(CQ166-0.3)+CQ166^2)</f>
        <v>0.96959335275208625</v>
      </c>
      <c r="CS166" s="550">
        <f t="shared" si="155"/>
        <v>0.81728768540620478</v>
      </c>
      <c r="CU166" s="551">
        <f t="shared" si="156"/>
        <v>38840.779961244472</v>
      </c>
      <c r="CX166" s="547">
        <f>'Hilfstabellen_Mat&amp;Bem'!$J$61</f>
        <v>3.8</v>
      </c>
      <c r="CY166" s="546">
        <f t="shared" si="157"/>
        <v>218</v>
      </c>
      <c r="CZ166" s="551">
        <f t="shared" si="158"/>
        <v>60.383422649190209</v>
      </c>
      <c r="DA166" s="553">
        <f>CZ166/PI()*SQRT('Hilfstabellen_Mat&amp;Bem'!f.Rd.3/'Hilfstabellen_Mat&amp;Bem'!$BD$30)</f>
        <v>0.96103201954257322</v>
      </c>
      <c r="DB166" s="553">
        <f>0.5*(1+'Hilfstabellen_Mat&amp;Bem'!$BD$31*(DA166-0.3)+DA166^2)</f>
        <v>0.9948428722701671</v>
      </c>
      <c r="DC166" s="550">
        <f t="shared" si="159"/>
        <v>0.79872203284733301</v>
      </c>
      <c r="DE166" s="551">
        <f t="shared" si="160"/>
        <v>37958.465889036655</v>
      </c>
      <c r="DH166" s="547">
        <f>'Hilfstabellen_Mat&amp;Bem'!$J$62</f>
        <v>3.9</v>
      </c>
      <c r="DI166" s="546">
        <f t="shared" si="161"/>
        <v>218</v>
      </c>
      <c r="DJ166" s="551">
        <f t="shared" si="162"/>
        <v>61.972460087326795</v>
      </c>
      <c r="DK166" s="553">
        <f>DJ166/PI()*SQRT('Hilfstabellen_Mat&amp;Bem'!f.Rd.3/'Hilfstabellen_Mat&amp;Bem'!$BD$30)</f>
        <v>0.98632233584632523</v>
      </c>
      <c r="DL166" s="553">
        <f>0.5*(1+'Hilfstabellen_Mat&amp;Bem'!$BD$31*(DK166-0.3)+DK166^2)</f>
        <v>1.0207319918869919</v>
      </c>
      <c r="DM166" s="550">
        <f t="shared" si="163"/>
        <v>0.77910224369051606</v>
      </c>
      <c r="DO166" s="551">
        <f t="shared" si="164"/>
        <v>37026.055029148083</v>
      </c>
      <c r="DR166" s="547">
        <f>'Hilfstabellen_Mat&amp;Bem'!$J$63</f>
        <v>4</v>
      </c>
      <c r="DS166" s="546">
        <f t="shared" si="165"/>
        <v>218</v>
      </c>
      <c r="DT166" s="551">
        <f t="shared" si="166"/>
        <v>63.56149752546338</v>
      </c>
      <c r="DU166" s="553">
        <f>DT166/PI()*SQRT('Hilfstabellen_Mat&amp;Bem'!f.Rd.3/'Hilfstabellen_Mat&amp;Bem'!$BD$30)</f>
        <v>1.0116126521500772</v>
      </c>
      <c r="DV166" s="553">
        <f>0.5*(1+'Hilfstabellen_Mat&amp;Bem'!$BD$31*(DU166-0.3)+DU166^2)</f>
        <v>1.0472607116025605</v>
      </c>
      <c r="DW166" s="550">
        <f t="shared" si="167"/>
        <v>0.75862430722821605</v>
      </c>
      <c r="DY166" s="551">
        <f t="shared" si="168"/>
        <v>36052.861576713738</v>
      </c>
      <c r="EB166" s="547">
        <f>'Hilfstabellen_Mat&amp;Bem'!$J$64</f>
        <v>4.0999999999999996</v>
      </c>
      <c r="EC166" s="546">
        <f t="shared" si="169"/>
        <v>218</v>
      </c>
      <c r="ED166" s="551">
        <f t="shared" si="170"/>
        <v>65.150534963599966</v>
      </c>
      <c r="EE166" s="553">
        <f>ED166/PI()*SQRT('Hilfstabellen_Mat&amp;Bem'!f.Rd.3/'Hilfstabellen_Mat&amp;Bem'!$BD$30)</f>
        <v>1.0369029684538291</v>
      </c>
      <c r="EF166" s="553">
        <f>0.5*(1+'Hilfstabellen_Mat&amp;Bem'!$BD$31*(EE166-0.3)+EE166^2)</f>
        <v>1.0744290314168727</v>
      </c>
      <c r="EG166" s="550">
        <f t="shared" si="171"/>
        <v>0.73751358219100882</v>
      </c>
      <c r="EI166" s="551">
        <f t="shared" si="172"/>
        <v>35049.5954800455</v>
      </c>
      <c r="EL166" s="547">
        <f>'Hilfstabellen_Mat&amp;Bem'!$J$65</f>
        <v>4.2</v>
      </c>
      <c r="EM166" s="546">
        <f t="shared" si="173"/>
        <v>218</v>
      </c>
      <c r="EN166" s="551">
        <f t="shared" si="174"/>
        <v>66.739572401736552</v>
      </c>
      <c r="EO166" s="553">
        <f>EN166/PI()*SQRT('Hilfstabellen_Mat&amp;Bem'!f.Rd.3/'Hilfstabellen_Mat&amp;Bem'!$BD$30)</f>
        <v>1.062193284757581</v>
      </c>
      <c r="EP166" s="553">
        <f>0.5*(1+'Hilfstabellen_Mat&amp;Bem'!$BD$31*(EO166-0.3)+EO166^2)</f>
        <v>1.102236951329929</v>
      </c>
      <c r="EQ166" s="550">
        <f t="shared" si="175"/>
        <v>0.71600537133032705</v>
      </c>
      <c r="ES166" s="551">
        <f t="shared" si="176"/>
        <v>34027.439267102462</v>
      </c>
    </row>
    <row r="167" spans="3:149">
      <c r="C167" s="546">
        <v>219</v>
      </c>
      <c r="D167" s="551">
        <f t="shared" si="131"/>
        <v>44.289883663861701</v>
      </c>
      <c r="E167" s="553">
        <f>$D167/PI()*SQRT('Hilfstabellen_Mat&amp;Bem'!f.Rd.3/'Hilfstabellen_Mat&amp;Bem'!$BD$30)</f>
        <v>0.70489539140685753</v>
      </c>
      <c r="F167" s="553">
        <f>0.5*(1+'Hilfstabellen_Mat&amp;Bem'!$BD$31*($E167-0.3)+$E167^2)</f>
        <v>0.76868352598365641</v>
      </c>
      <c r="G167" s="550">
        <f t="shared" si="132"/>
        <v>0.92999674239658259</v>
      </c>
      <c r="I167" s="551">
        <f t="shared" si="177"/>
        <v>44603.573762082495</v>
      </c>
      <c r="M167" s="546">
        <f t="shared" si="133"/>
        <v>219</v>
      </c>
      <c r="N167" s="551">
        <f t="shared" si="123"/>
        <v>45.871665223285333</v>
      </c>
      <c r="O167" s="553">
        <f>$N167/PI()*SQRT('Hilfstabellen_Mat&amp;Bem'!f.Rd.3/'Hilfstabellen_Mat&amp;Bem'!$BD$30)</f>
        <v>0.73007022681424516</v>
      </c>
      <c r="P167" s="553">
        <f>0.5*(1+'Hilfstabellen_Mat&amp;Bem'!$BD$31*($O167-0.3)+$O167^2)</f>
        <v>0.78800477938101388</v>
      </c>
      <c r="Q167" s="550">
        <f t="shared" si="124"/>
        <v>0.92202716853759226</v>
      </c>
      <c r="S167" s="551">
        <f t="shared" si="178"/>
        <v>44221.34503023146</v>
      </c>
      <c r="W167" s="546">
        <f t="shared" si="134"/>
        <v>219</v>
      </c>
      <c r="X167" s="551">
        <f t="shared" si="125"/>
        <v>47.453446782708966</v>
      </c>
      <c r="Y167" s="553">
        <f>$X167/PI()*SQRT('Hilfstabellen_Mat&amp;Bem'!f.Rd.3/'Hilfstabellen_Mat&amp;Bem'!$BD$30)</f>
        <v>0.75524506222163301</v>
      </c>
      <c r="Z167" s="553">
        <f>0.5*(1+'Hilfstabellen_Mat&amp;Bem'!$BD$31*($Y167-0.3)+$Y167^2)</f>
        <v>0.80795980511616072</v>
      </c>
      <c r="AA167" s="550">
        <f t="shared" si="126"/>
        <v>0.91322476678279985</v>
      </c>
      <c r="AC167" s="551">
        <f t="shared" si="179"/>
        <v>43799.173039669862</v>
      </c>
      <c r="AG167" s="546">
        <f t="shared" si="135"/>
        <v>219</v>
      </c>
      <c r="AH167" s="551">
        <f t="shared" si="127"/>
        <v>49.035228342132598</v>
      </c>
      <c r="AI167" s="553">
        <f>$AH167/PI()*SQRT('Hilfstabellen_Mat&amp;Bem'!f.Rd.3/'Hilfstabellen_Mat&amp;Bem'!$BD$30)</f>
        <v>0.78041989762902075</v>
      </c>
      <c r="AJ167" s="553">
        <f>0.5*(1+'Hilfstabellen_Mat&amp;Bem'!$BD$31*($AI167-0.3)+$AI167^2)</f>
        <v>0.82854860318909673</v>
      </c>
      <c r="AK167" s="550">
        <f t="shared" si="128"/>
        <v>0.90348546076568004</v>
      </c>
      <c r="AM167" s="551">
        <f t="shared" si="180"/>
        <v>43332.066183782779</v>
      </c>
      <c r="AQ167" s="546">
        <f t="shared" si="136"/>
        <v>219</v>
      </c>
      <c r="AR167" s="551">
        <f t="shared" si="129"/>
        <v>50.617009901556223</v>
      </c>
      <c r="AS167" s="553">
        <f>$AR167/PI()*SQRT('Hilfstabellen_Mat&amp;Bem'!f.Rd.3/'Hilfstabellen_Mat&amp;Bem'!$BD$30)</f>
        <v>0.80559473303640849</v>
      </c>
      <c r="AT167" s="553">
        <f>0.5*(1+'Hilfstabellen_Mat&amp;Bem'!$BD$31*($AS167-0.3)+$AS167^2)</f>
        <v>0.84977117359982168</v>
      </c>
      <c r="AU167" s="550">
        <f t="shared" si="130"/>
        <v>0.89270300241449307</v>
      </c>
      <c r="AW167" s="551">
        <f t="shared" si="181"/>
        <v>42814.928698801501</v>
      </c>
      <c r="AZ167" s="547">
        <f>'Hilfstabellen_Mat&amp;Bem'!$J$56</f>
        <v>3.3</v>
      </c>
      <c r="BA167" s="546">
        <f t="shared" si="137"/>
        <v>219</v>
      </c>
      <c r="BB167" s="551">
        <f t="shared" si="138"/>
        <v>52.198791460979862</v>
      </c>
      <c r="BC167" s="553">
        <f>BB167/PI()*SQRT('Hilfstabellen_Mat&amp;Bem'!f.Rd.3/'Hilfstabellen_Mat&amp;Bem'!$BD$30)</f>
        <v>0.83076956844379635</v>
      </c>
      <c r="BD167" s="553">
        <f>0.5*(1+'Hilfstabellen_Mat&amp;Bem'!$BD$31*(BC167-0.3)+BC167^2)</f>
        <v>0.87162751634833557</v>
      </c>
      <c r="BE167" s="550">
        <f t="shared" si="139"/>
        <v>0.88077550799005677</v>
      </c>
      <c r="BG167" s="551">
        <f t="shared" si="140"/>
        <v>42242.874138711115</v>
      </c>
      <c r="BJ167" s="547">
        <f>'Hilfstabellen_Mat&amp;Bem'!$J$57</f>
        <v>3.4</v>
      </c>
      <c r="BK167" s="546">
        <f t="shared" si="141"/>
        <v>219</v>
      </c>
      <c r="BL167" s="551">
        <f t="shared" si="142"/>
        <v>53.780573020403494</v>
      </c>
      <c r="BM167" s="553">
        <f>BL167/PI()*SQRT('Hilfstabellen_Mat&amp;Bem'!f.Rd.3/'Hilfstabellen_Mat&amp;Bem'!$BD$30)</f>
        <v>0.85594440385118409</v>
      </c>
      <c r="BN167" s="553">
        <f>0.5*(1+'Hilfstabellen_Mat&amp;Bem'!$BD$31*(BM167-0.3)+BM167^2)</f>
        <v>0.89411763143463863</v>
      </c>
      <c r="BO167" s="550">
        <f t="shared" si="143"/>
        <v>0.86761477215814187</v>
      </c>
      <c r="BQ167" s="551">
        <f t="shared" si="144"/>
        <v>41611.67208747664</v>
      </c>
      <c r="BT167" s="547">
        <f>'Hilfstabellen_Mat&amp;Bem'!$J$58</f>
        <v>3.5</v>
      </c>
      <c r="BU167" s="546">
        <f t="shared" si="145"/>
        <v>219</v>
      </c>
      <c r="BV167" s="551">
        <f t="shared" si="146"/>
        <v>55.362354579827119</v>
      </c>
      <c r="BW167" s="553">
        <f>BV167/PI()*SQRT('Hilfstabellen_Mat&amp;Bem'!f.Rd.3/'Hilfstabellen_Mat&amp;Bem'!$BD$30)</f>
        <v>0.88111923925857172</v>
      </c>
      <c r="BX167" s="553">
        <f>0.5*(1+'Hilfstabellen_Mat&amp;Bem'!$BD$31*(BW167-0.3)+BW167^2)</f>
        <v>0.91724151885873062</v>
      </c>
      <c r="BY167" s="550">
        <f t="shared" si="147"/>
        <v>0.8531580370852454</v>
      </c>
      <c r="CA167" s="551">
        <f t="shared" si="148"/>
        <v>40918.312616645453</v>
      </c>
      <c r="CD167" s="547">
        <f>'Hilfstabellen_Mat&amp;Bem'!$J$59</f>
        <v>3.6</v>
      </c>
      <c r="CE167" s="546">
        <f t="shared" si="149"/>
        <v>219</v>
      </c>
      <c r="CF167" s="551">
        <f t="shared" si="150"/>
        <v>56.944136139250766</v>
      </c>
      <c r="CG167" s="553">
        <f>CF167/PI()*SQRT('Hilfstabellen_Mat&amp;Bem'!f.Rd.3/'Hilfstabellen_Mat&amp;Bem'!$BD$30)</f>
        <v>0.90629407466595957</v>
      </c>
      <c r="CH167" s="553">
        <f>0.5*(1+'Hilfstabellen_Mat&amp;Bem'!$BD$31*(CG167-0.3)+CG167^2)</f>
        <v>0.940999178620612</v>
      </c>
      <c r="CI167" s="550">
        <f t="shared" si="151"/>
        <v>0.83738088311305181</v>
      </c>
      <c r="CK167" s="551">
        <f t="shared" si="152"/>
        <v>40161.62453498508</v>
      </c>
      <c r="CN167" s="547">
        <f>'Hilfstabellen_Mat&amp;Bem'!$J$60</f>
        <v>3.7</v>
      </c>
      <c r="CO167" s="546">
        <f t="shared" si="153"/>
        <v>219</v>
      </c>
      <c r="CP167" s="551">
        <f t="shared" si="154"/>
        <v>58.525917698674391</v>
      </c>
      <c r="CQ167" s="553">
        <f>CP167/PI()*SQRT('Hilfstabellen_Mat&amp;Bem'!f.Rd.3/'Hilfstabellen_Mat&amp;Bem'!$BD$30)</f>
        <v>0.93146891007334731</v>
      </c>
      <c r="CR167" s="553">
        <f>0.5*(1+'Hilfstabellen_Mat&amp;Bem'!$BD$31*(CQ167-0.3)+CQ167^2)</f>
        <v>0.96539061072028209</v>
      </c>
      <c r="CS167" s="550">
        <f t="shared" si="155"/>
        <v>0.82030875562111749</v>
      </c>
      <c r="CU167" s="551">
        <f t="shared" si="156"/>
        <v>39342.828228344413</v>
      </c>
      <c r="CX167" s="547">
        <f>'Hilfstabellen_Mat&amp;Bem'!$J$61</f>
        <v>3.8</v>
      </c>
      <c r="CY167" s="546">
        <f t="shared" si="157"/>
        <v>219</v>
      </c>
      <c r="CZ167" s="551">
        <f t="shared" si="158"/>
        <v>60.107699258098016</v>
      </c>
      <c r="DA167" s="553">
        <f>CZ167/PI()*SQRT('Hilfstabellen_Mat&amp;Bem'!f.Rd.3/'Hilfstabellen_Mat&amp;Bem'!$BD$30)</f>
        <v>0.95664374548073505</v>
      </c>
      <c r="DB167" s="553">
        <f>0.5*(1+'Hilfstabellen_Mat&amp;Bem'!$BD$31*(DA167-0.3)+DA167^2)</f>
        <v>0.99041581515774135</v>
      </c>
      <c r="DC167" s="550">
        <f t="shared" si="159"/>
        <v>0.80202392768446273</v>
      </c>
      <c r="DE167" s="551">
        <f t="shared" si="160"/>
        <v>38465.869595674514</v>
      </c>
      <c r="DH167" s="547">
        <f>'Hilfstabellen_Mat&amp;Bem'!$J$62</f>
        <v>3.9</v>
      </c>
      <c r="DI167" s="546">
        <f t="shared" si="161"/>
        <v>219</v>
      </c>
      <c r="DJ167" s="551">
        <f t="shared" si="162"/>
        <v>61.689480817521648</v>
      </c>
      <c r="DK167" s="553">
        <f>DJ167/PI()*SQRT('Hilfstabellen_Mat&amp;Bem'!f.Rd.3/'Hilfstabellen_Mat&amp;Bem'!$BD$30)</f>
        <v>0.98181858088812268</v>
      </c>
      <c r="DL167" s="553">
        <f>0.5*(1+'Hilfstabellen_Mat&amp;Bem'!$BD$31*(DK167-0.3)+DK167^2)</f>
        <v>1.0160747919329896</v>
      </c>
      <c r="DM167" s="550">
        <f t="shared" si="163"/>
        <v>0.78266510711553039</v>
      </c>
      <c r="DO167" s="551">
        <f t="shared" si="164"/>
        <v>37537.401202367953</v>
      </c>
      <c r="DR167" s="547">
        <f>'Hilfstabellen_Mat&amp;Bem'!$J$63</f>
        <v>4</v>
      </c>
      <c r="DS167" s="546">
        <f t="shared" si="165"/>
        <v>219</v>
      </c>
      <c r="DT167" s="551">
        <f t="shared" si="166"/>
        <v>63.271262376945288</v>
      </c>
      <c r="DU167" s="553">
        <f>DT167/PI()*SQRT('Hilfstabellen_Mat&amp;Bem'!f.Rd.3/'Hilfstabellen_Mat&amp;Bem'!$BD$30)</f>
        <v>1.0069934162955105</v>
      </c>
      <c r="DV167" s="553">
        <f>0.5*(1+'Hilfstabellen_Mat&amp;Bem'!$BD$31*(DU167-0.3)+DU167^2)</f>
        <v>1.0423675410460271</v>
      </c>
      <c r="DW167" s="550">
        <f t="shared" si="167"/>
        <v>0.762418681636856</v>
      </c>
      <c r="DY167" s="551">
        <f t="shared" si="168"/>
        <v>36566.362389985254</v>
      </c>
      <c r="EB167" s="547">
        <f>'Hilfstabellen_Mat&amp;Bem'!$J$64</f>
        <v>4.0999999999999996</v>
      </c>
      <c r="EC167" s="546">
        <f t="shared" si="169"/>
        <v>219</v>
      </c>
      <c r="ED167" s="551">
        <f t="shared" si="170"/>
        <v>64.85304393636892</v>
      </c>
      <c r="EE167" s="553">
        <f>ED167/PI()*SQRT('Hilfstabellen_Mat&amp;Bem'!f.Rd.3/'Hilfstabellen_Mat&amp;Bem'!$BD$30)</f>
        <v>1.0321682517028985</v>
      </c>
      <c r="EF167" s="553">
        <f>0.5*(1+'Hilfstabellen_Mat&amp;Bem'!$BD$31*(EE167-0.3)+EE167^2)</f>
        <v>1.0692940624968539</v>
      </c>
      <c r="EG167" s="550">
        <f t="shared" si="171"/>
        <v>0.74150313345655228</v>
      </c>
      <c r="EI167" s="551">
        <f t="shared" si="172"/>
        <v>35563.231783709707</v>
      </c>
      <c r="EL167" s="547">
        <f>'Hilfstabellen_Mat&amp;Bem'!$J$65</f>
        <v>4.2</v>
      </c>
      <c r="EM167" s="546">
        <f t="shared" si="173"/>
        <v>219</v>
      </c>
      <c r="EN167" s="551">
        <f t="shared" si="174"/>
        <v>66.434825495792538</v>
      </c>
      <c r="EO167" s="553">
        <f>EN167/PI()*SQRT('Hilfstabellen_Mat&amp;Bem'!f.Rd.3/'Hilfstabellen_Mat&amp;Bem'!$BD$30)</f>
        <v>1.057343087110286</v>
      </c>
      <c r="EP167" s="553">
        <f>0.5*(1+'Hilfstabellen_Mat&amp;Bem'!$BD$31*(EO167-0.3)+EO167^2)</f>
        <v>1.0968543562854691</v>
      </c>
      <c r="EQ167" s="550">
        <f t="shared" si="175"/>
        <v>0.72015018719888879</v>
      </c>
      <c r="ES167" s="551">
        <f t="shared" si="176"/>
        <v>34539.123128245905</v>
      </c>
    </row>
    <row r="168" spans="3:149">
      <c r="C168" s="546">
        <v>220</v>
      </c>
      <c r="D168" s="551">
        <f t="shared" si="131"/>
        <v>44.088566010844147</v>
      </c>
      <c r="E168" s="553">
        <f>$D168/PI()*SQRT('Hilfstabellen_Mat&amp;Bem'!f.Rd.3/'Hilfstabellen_Mat&amp;Bem'!$BD$30)</f>
        <v>0.70169132144591717</v>
      </c>
      <c r="F168" s="553">
        <f>0.5*(1+'Hilfstabellen_Mat&amp;Bem'!$BD$31*($E168-0.3)+$E168^2)</f>
        <v>0.76626992136855465</v>
      </c>
      <c r="G168" s="550">
        <f t="shared" si="132"/>
        <v>0.93095637294343947</v>
      </c>
      <c r="I168" s="551">
        <f t="shared" si="177"/>
        <v>45058.288450462467</v>
      </c>
      <c r="M168" s="546">
        <f t="shared" si="133"/>
        <v>220</v>
      </c>
      <c r="N168" s="551">
        <f t="shared" si="123"/>
        <v>45.663157654088579</v>
      </c>
      <c r="O168" s="553">
        <f>$N168/PI()*SQRT('Hilfstabellen_Mat&amp;Bem'!f.Rd.3/'Hilfstabellen_Mat&amp;Bem'!$BD$30)</f>
        <v>0.72675172578327141</v>
      </c>
      <c r="P168" s="553">
        <f>0.5*(1+'Hilfstabellen_Mat&amp;Bem'!$BD$31*($O168-0.3)+$O168^2)</f>
        <v>0.78542162175364527</v>
      </c>
      <c r="Q168" s="550">
        <f t="shared" si="124"/>
        <v>0.92312317088502049</v>
      </c>
      <c r="S168" s="551">
        <f t="shared" si="178"/>
        <v>44679.161470834995</v>
      </c>
      <c r="W168" s="546">
        <f t="shared" si="134"/>
        <v>220</v>
      </c>
      <c r="X168" s="551">
        <f t="shared" si="125"/>
        <v>47.237749297333018</v>
      </c>
      <c r="Y168" s="553">
        <f>$X168/PI()*SQRT('Hilfstabellen_Mat&amp;Bem'!f.Rd.3/'Hilfstabellen_Mat&amp;Bem'!$BD$30)</f>
        <v>0.75181213012062553</v>
      </c>
      <c r="Z168" s="553">
        <f>0.5*(1+'Hilfstabellen_Mat&amp;Bem'!$BD$31*($Y168-0.3)+$Y168^2)</f>
        <v>0.8052013460042875</v>
      </c>
      <c r="AA168" s="550">
        <f t="shared" si="126"/>
        <v>0.91447789649307298</v>
      </c>
      <c r="AC168" s="551">
        <f t="shared" si="179"/>
        <v>44260.73019026473</v>
      </c>
      <c r="AG168" s="546">
        <f t="shared" si="135"/>
        <v>220</v>
      </c>
      <c r="AH168" s="551">
        <f t="shared" si="127"/>
        <v>48.81234094057745</v>
      </c>
      <c r="AI168" s="553">
        <f>$AH168/PI()*SQRT('Hilfstabellen_Mat&amp;Bem'!f.Rd.3/'Hilfstabellen_Mat&amp;Bem'!$BD$30)</f>
        <v>0.77687253445797977</v>
      </c>
      <c r="AJ168" s="553">
        <f>0.5*(1+'Hilfstabellen_Mat&amp;Bem'!$BD$31*($AI168-0.3)+$AI168^2)</f>
        <v>0.82560909412048145</v>
      </c>
      <c r="AK168" s="550">
        <f t="shared" si="128"/>
        <v>0.90491852135854589</v>
      </c>
      <c r="AM168" s="551">
        <f t="shared" si="180"/>
        <v>43798.05643375362</v>
      </c>
      <c r="AQ168" s="546">
        <f t="shared" si="136"/>
        <v>220</v>
      </c>
      <c r="AR168" s="551">
        <f t="shared" si="129"/>
        <v>50.386932583821881</v>
      </c>
      <c r="AS168" s="553">
        <f>$AR168/PI()*SQRT('Hilfstabellen_Mat&amp;Bem'!f.Rd.3/'Hilfstabellen_Mat&amp;Bem'!$BD$30)</f>
        <v>0.80193293879533378</v>
      </c>
      <c r="AT168" s="553">
        <f>0.5*(1+'Hilfstabellen_Mat&amp;Bem'!$BD$31*($AS168-0.3)+$AS168^2)</f>
        <v>0.846644866102227</v>
      </c>
      <c r="AU168" s="550">
        <f t="shared" si="130"/>
        <v>0.89434020517662705</v>
      </c>
      <c r="AW168" s="551">
        <f t="shared" si="181"/>
        <v>43286.06593054875</v>
      </c>
      <c r="AZ168" s="547">
        <f>'Hilfstabellen_Mat&amp;Bem'!$J$56</f>
        <v>3.3</v>
      </c>
      <c r="BA168" s="546">
        <f t="shared" si="137"/>
        <v>220</v>
      </c>
      <c r="BB168" s="551">
        <f t="shared" si="138"/>
        <v>51.961524227066313</v>
      </c>
      <c r="BC168" s="553">
        <f>BB168/PI()*SQRT('Hilfstabellen_Mat&amp;Bem'!f.Rd.3/'Hilfstabellen_Mat&amp;Bem'!$BD$30)</f>
        <v>0.82699334313268802</v>
      </c>
      <c r="BD168" s="553">
        <f>0.5*(1+'Hilfstabellen_Mat&amp;Bem'!$BD$31*(BC168-0.3)+BC168^2)</f>
        <v>0.86830866194952439</v>
      </c>
      <c r="BE168" s="550">
        <f t="shared" si="139"/>
        <v>0.88264132162822806</v>
      </c>
      <c r="BG168" s="551">
        <f t="shared" si="140"/>
        <v>42719.839966806241</v>
      </c>
      <c r="BJ168" s="547">
        <f>'Hilfstabellen_Mat&amp;Bem'!$J$57</f>
        <v>3.4</v>
      </c>
      <c r="BK168" s="546">
        <f t="shared" si="141"/>
        <v>220</v>
      </c>
      <c r="BL168" s="551">
        <f t="shared" si="142"/>
        <v>53.536115870310752</v>
      </c>
      <c r="BM168" s="553">
        <f>BL168/PI()*SQRT('Hilfstabellen_Mat&amp;Bem'!f.Rd.3/'Hilfstabellen_Mat&amp;Bem'!$BD$30)</f>
        <v>0.85205374747004226</v>
      </c>
      <c r="BN168" s="553">
        <f>0.5*(1+'Hilfstabellen_Mat&amp;Bem'!$BD$31*(BM168-0.3)+BM168^2)</f>
        <v>0.89060048166237338</v>
      </c>
      <c r="BO168" s="550">
        <f t="shared" si="143"/>
        <v>0.86973217486223442</v>
      </c>
      <c r="BQ168" s="551">
        <f t="shared" si="144"/>
        <v>42095.037263332146</v>
      </c>
      <c r="BT168" s="547">
        <f>'Hilfstabellen_Mat&amp;Bem'!$J$58</f>
        <v>3.5</v>
      </c>
      <c r="BU168" s="546">
        <f t="shared" si="145"/>
        <v>220</v>
      </c>
      <c r="BV168" s="551">
        <f t="shared" si="146"/>
        <v>55.110707513555184</v>
      </c>
      <c r="BW168" s="553">
        <f>BV168/PI()*SQRT('Hilfstabellen_Mat&amp;Bem'!f.Rd.3/'Hilfstabellen_Mat&amp;Bem'!$BD$30)</f>
        <v>0.87711415180739649</v>
      </c>
      <c r="BX168" s="553">
        <f>0.5*(1+'Hilfstabellen_Mat&amp;Bem'!$BD$31*(BW168-0.3)+BW168^2)</f>
        <v>0.91352032524077409</v>
      </c>
      <c r="BY168" s="550">
        <f t="shared" si="147"/>
        <v>0.85554620593872366</v>
      </c>
      <c r="CA168" s="551">
        <f t="shared" si="148"/>
        <v>41408.436367434224</v>
      </c>
      <c r="CD168" s="547">
        <f>'Hilfstabellen_Mat&amp;Bem'!$J$59</f>
        <v>3.6</v>
      </c>
      <c r="CE168" s="546">
        <f t="shared" si="149"/>
        <v>220</v>
      </c>
      <c r="CF168" s="551">
        <f t="shared" si="150"/>
        <v>56.685299156799616</v>
      </c>
      <c r="CG168" s="553">
        <f>CF168/PI()*SQRT('Hilfstabellen_Mat&amp;Bem'!f.Rd.3/'Hilfstabellen_Mat&amp;Bem'!$BD$30)</f>
        <v>0.90217455614475073</v>
      </c>
      <c r="CH168" s="553">
        <f>0.5*(1+'Hilfstabellen_Mat&amp;Bem'!$BD$31*(CG168-0.3)+CG168^2)</f>
        <v>0.93706819268472652</v>
      </c>
      <c r="CI168" s="550">
        <f t="shared" si="151"/>
        <v>0.84005256090292846</v>
      </c>
      <c r="CK168" s="551">
        <f t="shared" si="152"/>
        <v>40658.543947701735</v>
      </c>
      <c r="CN168" s="547">
        <f>'Hilfstabellen_Mat&amp;Bem'!$J$60</f>
        <v>3.7</v>
      </c>
      <c r="CO168" s="546">
        <f t="shared" si="153"/>
        <v>220</v>
      </c>
      <c r="CP168" s="551">
        <f t="shared" si="154"/>
        <v>58.259890800044047</v>
      </c>
      <c r="CQ168" s="553">
        <f>CP168/PI()*SQRT('Hilfstabellen_Mat&amp;Bem'!f.Rd.3/'Hilfstabellen_Mat&amp;Bem'!$BD$30)</f>
        <v>0.92723496048210474</v>
      </c>
      <c r="CR168" s="553">
        <f>0.5*(1+'Hilfstabellen_Mat&amp;Bem'!$BD$31*(CQ168-0.3)+CQ168^2)</f>
        <v>0.96124408399423045</v>
      </c>
      <c r="CS168" s="550">
        <f t="shared" si="155"/>
        <v>0.82326777196438372</v>
      </c>
      <c r="CU168" s="551">
        <f t="shared" si="156"/>
        <v>39846.160163076172</v>
      </c>
      <c r="CX168" s="547">
        <f>'Hilfstabellen_Mat&amp;Bem'!$J$61</f>
        <v>3.8</v>
      </c>
      <c r="CY168" s="546">
        <f t="shared" si="157"/>
        <v>220</v>
      </c>
      <c r="CZ168" s="551">
        <f t="shared" si="158"/>
        <v>59.834482443288486</v>
      </c>
      <c r="DA168" s="553">
        <f>CZ168/PI()*SQRT('Hilfstabellen_Mat&amp;Bem'!f.Rd.3/'Hilfstabellen_Mat&amp;Bem'!$BD$30)</f>
        <v>0.95229536481945909</v>
      </c>
      <c r="DB168" s="553">
        <f>0.5*(1+'Hilfstabellen_Mat&amp;Bem'!$BD$31*(DA168-0.3)+DA168^2)</f>
        <v>0.98604799916928632</v>
      </c>
      <c r="DC168" s="550">
        <f t="shared" si="159"/>
        <v>0.8052635008713529</v>
      </c>
      <c r="DE168" s="551">
        <f t="shared" si="160"/>
        <v>38974.753442173482</v>
      </c>
      <c r="DH168" s="547">
        <f>'Hilfstabellen_Mat&amp;Bem'!$J$62</f>
        <v>3.9</v>
      </c>
      <c r="DI168" s="546">
        <f t="shared" si="161"/>
        <v>220</v>
      </c>
      <c r="DJ168" s="551">
        <f t="shared" si="162"/>
        <v>61.409074086532918</v>
      </c>
      <c r="DK168" s="553">
        <f>DJ168/PI()*SQRT('Hilfstabellen_Mat&amp;Bem'!f.Rd.3/'Hilfstabellen_Mat&amp;Bem'!$BD$30)</f>
        <v>0.9773557691568131</v>
      </c>
      <c r="DL168" s="553">
        <f>0.5*(1+'Hilfstabellen_Mat&amp;Bem'!$BD$31*(DK168-0.3)+DK168^2)</f>
        <v>1.0114799382098936</v>
      </c>
      <c r="DM168" s="550">
        <f t="shared" si="163"/>
        <v>0.78616748004231163</v>
      </c>
      <c r="DO168" s="551">
        <f t="shared" si="164"/>
        <v>38050.506034047881</v>
      </c>
      <c r="DR168" s="547">
        <f>'Hilfstabellen_Mat&amp;Bem'!$J$63</f>
        <v>4</v>
      </c>
      <c r="DS168" s="546">
        <f t="shared" si="165"/>
        <v>220</v>
      </c>
      <c r="DT168" s="551">
        <f t="shared" si="166"/>
        <v>62.983665729777357</v>
      </c>
      <c r="DU168" s="553">
        <f>DT168/PI()*SQRT('Hilfstabellen_Mat&amp;Bem'!f.Rd.3/'Hilfstabellen_Mat&amp;Bem'!$BD$30)</f>
        <v>1.0024161734941675</v>
      </c>
      <c r="DV168" s="553">
        <f>0.5*(1+'Hilfstabellen_Mat&amp;Bem'!$BD$31*(DU168-0.3)+DU168^2)</f>
        <v>1.0375399011160527</v>
      </c>
      <c r="DW168" s="550">
        <f t="shared" si="167"/>
        <v>0.76615630968545334</v>
      </c>
      <c r="DY168" s="551">
        <f t="shared" si="168"/>
        <v>37081.965388775941</v>
      </c>
      <c r="EB168" s="547">
        <f>'Hilfstabellen_Mat&amp;Bem'!$J$64</f>
        <v>4.0999999999999996</v>
      </c>
      <c r="EC168" s="546">
        <f t="shared" si="169"/>
        <v>220</v>
      </c>
      <c r="ED168" s="551">
        <f t="shared" si="170"/>
        <v>64.558257373021789</v>
      </c>
      <c r="EE168" s="553">
        <f>ED168/PI()*SQRT('Hilfstabellen_Mat&amp;Bem'!f.Rd.3/'Hilfstabellen_Mat&amp;Bem'!$BD$30)</f>
        <v>1.0274765778315216</v>
      </c>
      <c r="EF168" s="553">
        <f>0.5*(1+'Hilfstabellen_Mat&amp;Bem'!$BD$31*(EE168-0.3)+EE168^2)</f>
        <v>1.0642278878877636</v>
      </c>
      <c r="EG168" s="550">
        <f t="shared" si="171"/>
        <v>0.74544117456785453</v>
      </c>
      <c r="EI168" s="551">
        <f t="shared" si="172"/>
        <v>36079.352849084156</v>
      </c>
      <c r="EL168" s="547">
        <f>'Hilfstabellen_Mat&amp;Bem'!$J$65</f>
        <v>4.2</v>
      </c>
      <c r="EM168" s="546">
        <f t="shared" si="173"/>
        <v>220</v>
      </c>
      <c r="EN168" s="551">
        <f t="shared" si="174"/>
        <v>66.132849016266221</v>
      </c>
      <c r="EO168" s="553">
        <f>EN168/PI()*SQRT('Hilfstabellen_Mat&amp;Bem'!f.Rd.3/'Hilfstabellen_Mat&amp;Bem'!$BD$30)</f>
        <v>1.0525369821688757</v>
      </c>
      <c r="EP168" s="553">
        <f>0.5*(1+'Hilfstabellen_Mat&amp;Bem'!$BD$31*(EO168-0.3)+EO168^2)</f>
        <v>1.0915438985250259</v>
      </c>
      <c r="EQ168" s="550">
        <f t="shared" si="175"/>
        <v>0.7242496797317185</v>
      </c>
      <c r="ES168" s="551">
        <f t="shared" si="176"/>
        <v>35053.684499015173</v>
      </c>
    </row>
    <row r="169" spans="3:149">
      <c r="C169" s="546">
        <v>221</v>
      </c>
      <c r="D169" s="551">
        <f t="shared" si="131"/>
        <v>43.889070237039419</v>
      </c>
      <c r="E169" s="553">
        <f>$D169/PI()*SQRT('Hilfstabellen_Mat&amp;Bem'!f.Rd.3/'Hilfstabellen_Mat&amp;Bem'!$BD$30)</f>
        <v>0.69851624759322073</v>
      </c>
      <c r="F169" s="553">
        <f>0.5*(1+'Hilfstabellen_Mat&amp;Bem'!$BD$31*($E169-0.3)+$E169^2)</f>
        <v>0.76388828645551787</v>
      </c>
      <c r="G169" s="550">
        <f t="shared" si="132"/>
        <v>0.93189577533853307</v>
      </c>
      <c r="I169" s="551">
        <f t="shared" si="177"/>
        <v>45514.721563309293</v>
      </c>
      <c r="M169" s="546">
        <f t="shared" si="133"/>
        <v>221</v>
      </c>
      <c r="N169" s="551">
        <f t="shared" si="123"/>
        <v>45.456537031219398</v>
      </c>
      <c r="O169" s="553">
        <f>$N169/PI()*SQRT('Hilfstabellen_Mat&amp;Bem'!f.Rd.3/'Hilfstabellen_Mat&amp;Bem'!$BD$30)</f>
        <v>0.72346325643583576</v>
      </c>
      <c r="P169" s="553">
        <f>0.5*(1+'Hilfstabellen_Mat&amp;Bem'!$BD$31*($O169-0.3)+$O169^2)</f>
        <v>0.78287270452816382</v>
      </c>
      <c r="Q169" s="550">
        <f t="shared" si="124"/>
        <v>0.9241952164683398</v>
      </c>
      <c r="S169" s="551">
        <f t="shared" si="178"/>
        <v>45138.618567530182</v>
      </c>
      <c r="W169" s="546">
        <f t="shared" si="134"/>
        <v>221</v>
      </c>
      <c r="X169" s="551">
        <f t="shared" si="125"/>
        <v>47.024003825399383</v>
      </c>
      <c r="Y169" s="553">
        <f>$X169/PI()*SQRT('Hilfstabellen_Mat&amp;Bem'!f.Rd.3/'Hilfstabellen_Mat&amp;Bem'!$BD$30)</f>
        <v>0.74841026527845078</v>
      </c>
      <c r="Z169" s="553">
        <f>0.5*(1+'Hilfstabellen_Mat&amp;Bem'!$BD$31*($Y169-0.3)+$Y169^2)</f>
        <v>0.8024794758510031</v>
      </c>
      <c r="AA169" s="550">
        <f t="shared" si="126"/>
        <v>0.91570276841882747</v>
      </c>
      <c r="AC169" s="551">
        <f t="shared" si="179"/>
        <v>44723.838912343956</v>
      </c>
      <c r="AG169" s="546">
        <f t="shared" si="135"/>
        <v>221</v>
      </c>
      <c r="AH169" s="551">
        <f t="shared" si="127"/>
        <v>48.591470619579361</v>
      </c>
      <c r="AI169" s="553">
        <f>$AH169/PI()*SQRT('Hilfstabellen_Mat&amp;Bem'!f.Rd.3/'Hilfstabellen_Mat&amp;Bem'!$BD$30)</f>
        <v>0.77335727412106581</v>
      </c>
      <c r="AJ169" s="553">
        <f>0.5*(1+'Hilfstabellen_Mat&amp;Bem'!$BD$31*($AI169-0.3)+$AI169^2)</f>
        <v>0.82270860042403604</v>
      </c>
      <c r="AK169" s="550">
        <f t="shared" si="128"/>
        <v>0.90631846727189747</v>
      </c>
      <c r="AM169" s="551">
        <f t="shared" si="180"/>
        <v>44265.500260026747</v>
      </c>
      <c r="AQ169" s="546">
        <f t="shared" si="136"/>
        <v>221</v>
      </c>
      <c r="AR169" s="551">
        <f t="shared" si="129"/>
        <v>50.15893741375934</v>
      </c>
      <c r="AS169" s="553">
        <f>$AR169/PI()*SQRT('Hilfstabellen_Mat&amp;Bem'!f.Rd.3/'Hilfstabellen_Mat&amp;Bem'!$BD$30)</f>
        <v>0.79830428296368083</v>
      </c>
      <c r="AT169" s="553">
        <f>0.5*(1+'Hilfstabellen_Mat&amp;Bem'!$BD$31*($AS169-0.3)+$AS169^2)</f>
        <v>0.84356007824726231</v>
      </c>
      <c r="AU169" s="550">
        <f t="shared" si="130"/>
        <v>0.89593896973478526</v>
      </c>
      <c r="AW169" s="551">
        <f t="shared" si="181"/>
        <v>43758.555220816648</v>
      </c>
      <c r="AZ169" s="547">
        <f>'Hilfstabellen_Mat&amp;Bem'!$J$56</f>
        <v>3.3</v>
      </c>
      <c r="BA169" s="546">
        <f t="shared" si="137"/>
        <v>221</v>
      </c>
      <c r="BB169" s="551">
        <f t="shared" si="138"/>
        <v>51.726404207939318</v>
      </c>
      <c r="BC169" s="553">
        <f>BB169/PI()*SQRT('Hilfstabellen_Mat&amp;Bem'!f.Rd.3/'Hilfstabellen_Mat&amp;Bem'!$BD$30)</f>
        <v>0.82325129180629575</v>
      </c>
      <c r="BD169" s="553">
        <f>0.5*(1+'Hilfstabellen_Mat&amp;Bem'!$BD$31*(BC169-0.3)+BC169^2)</f>
        <v>0.86503390932068203</v>
      </c>
      <c r="BE169" s="550">
        <f t="shared" si="139"/>
        <v>0.88446309914504329</v>
      </c>
      <c r="BG169" s="551">
        <f t="shared" si="140"/>
        <v>43198.062225343056</v>
      </c>
      <c r="BJ169" s="547">
        <f>'Hilfstabellen_Mat&amp;Bem'!$J$57</f>
        <v>3.4</v>
      </c>
      <c r="BK169" s="546">
        <f t="shared" si="141"/>
        <v>221</v>
      </c>
      <c r="BL169" s="551">
        <f t="shared" si="142"/>
        <v>53.293871002119303</v>
      </c>
      <c r="BM169" s="553">
        <f>BL169/PI()*SQRT('Hilfstabellen_Mat&amp;Bem'!f.Rd.3/'Hilfstabellen_Mat&amp;Bem'!$BD$30)</f>
        <v>0.848198300648911</v>
      </c>
      <c r="BN169" s="553">
        <f>0.5*(1+'Hilfstabellen_Mat&amp;Bem'!$BD$31*(BM169-0.3)+BM169^2)</f>
        <v>0.88713009364429585</v>
      </c>
      <c r="BO169" s="550">
        <f t="shared" si="143"/>
        <v>0.871799987092294</v>
      </c>
      <c r="BQ169" s="551">
        <f t="shared" si="144"/>
        <v>42579.583169574733</v>
      </c>
      <c r="BT169" s="547">
        <f>'Hilfstabellen_Mat&amp;Bem'!$J$58</f>
        <v>3.5</v>
      </c>
      <c r="BU169" s="546">
        <f t="shared" si="145"/>
        <v>221</v>
      </c>
      <c r="BV169" s="551">
        <f t="shared" si="146"/>
        <v>54.861337796299281</v>
      </c>
      <c r="BW169" s="553">
        <f>BV169/PI()*SQRT('Hilfstabellen_Mat&amp;Bem'!f.Rd.3/'Hilfstabellen_Mat&amp;Bem'!$BD$30)</f>
        <v>0.87314530949152602</v>
      </c>
      <c r="BX169" s="553">
        <f>0.5*(1+'Hilfstabellen_Mat&amp;Bem'!$BD$31*(BW169-0.3)+BW169^2)</f>
        <v>0.90984863121810267</v>
      </c>
      <c r="BY169" s="550">
        <f t="shared" si="147"/>
        <v>0.85787971614327585</v>
      </c>
      <c r="CA169" s="551">
        <f t="shared" si="148"/>
        <v>41899.703216153735</v>
      </c>
      <c r="CD169" s="547">
        <f>'Hilfstabellen_Mat&amp;Bem'!$J$59</f>
        <v>3.6</v>
      </c>
      <c r="CE169" s="546">
        <f t="shared" si="149"/>
        <v>221</v>
      </c>
      <c r="CF169" s="551">
        <f t="shared" si="150"/>
        <v>56.428804590479253</v>
      </c>
      <c r="CG169" s="553">
        <f>CF169/PI()*SQRT('Hilfstabellen_Mat&amp;Bem'!f.Rd.3/'Hilfstabellen_Mat&amp;Bem'!$BD$30)</f>
        <v>0.89809231833414094</v>
      </c>
      <c r="CH169" s="553">
        <f>0.5*(1+'Hilfstabellen_Mat&amp;Bem'!$BD$31*(CG169-0.3)+CG169^2)</f>
        <v>0.93318952204210293</v>
      </c>
      <c r="CI169" s="550">
        <f t="shared" si="151"/>
        <v>0.84266552292407315</v>
      </c>
      <c r="CK169" s="551">
        <f t="shared" si="152"/>
        <v>41156.626805134656</v>
      </c>
      <c r="CN169" s="547">
        <f>'Hilfstabellen_Mat&amp;Bem'!$J$60</f>
        <v>3.7</v>
      </c>
      <c r="CO169" s="546">
        <f t="shared" si="153"/>
        <v>221</v>
      </c>
      <c r="CP169" s="551">
        <f t="shared" si="154"/>
        <v>57.996271384659238</v>
      </c>
      <c r="CQ169" s="553">
        <f>CP169/PI()*SQRT('Hilfstabellen_Mat&amp;Bem'!f.Rd.3/'Hilfstabellen_Mat&amp;Bem'!$BD$30)</f>
        <v>0.92303932717675596</v>
      </c>
      <c r="CR169" s="553">
        <f>0.5*(1+'Hilfstabellen_Mat&amp;Bem'!$BD$31*(CQ169-0.3)+CQ169^2)</f>
        <v>0.95715276611629696</v>
      </c>
      <c r="CS169" s="550">
        <f t="shared" si="155"/>
        <v>0.82616554305244261</v>
      </c>
      <c r="CU169" s="551">
        <f t="shared" si="156"/>
        <v>40350.751288224346</v>
      </c>
      <c r="CX169" s="547">
        <f>'Hilfstabellen_Mat&amp;Bem'!$J$61</f>
        <v>3.8</v>
      </c>
      <c r="CY169" s="546">
        <f t="shared" si="157"/>
        <v>221</v>
      </c>
      <c r="CZ169" s="551">
        <f t="shared" si="158"/>
        <v>59.563738178839216</v>
      </c>
      <c r="DA169" s="553">
        <f>CZ169/PI()*SQRT('Hilfstabellen_Mat&amp;Bem'!f.Rd.3/'Hilfstabellen_Mat&amp;Bem'!$BD$30)</f>
        <v>0.94798633601937099</v>
      </c>
      <c r="DB169" s="553">
        <f>0.5*(1+'Hilfstabellen_Mat&amp;Bem'!$BD$31*(DA169-0.3)+DA169^2)</f>
        <v>0.98173836344068444</v>
      </c>
      <c r="DC169" s="550">
        <f t="shared" si="159"/>
        <v>0.80844121402985536</v>
      </c>
      <c r="DE169" s="551">
        <f t="shared" si="160"/>
        <v>39485.077334432164</v>
      </c>
      <c r="DH169" s="547">
        <f>'Hilfstabellen_Mat&amp;Bem'!$J$62</f>
        <v>3.9</v>
      </c>
      <c r="DI169" s="546">
        <f t="shared" si="161"/>
        <v>221</v>
      </c>
      <c r="DJ169" s="551">
        <f t="shared" si="162"/>
        <v>61.131204973019202</v>
      </c>
      <c r="DK169" s="553">
        <f>DJ169/PI()*SQRT('Hilfstabellen_Mat&amp;Bem'!f.Rd.3/'Hilfstabellen_Mat&amp;Bem'!$BD$30)</f>
        <v>0.97293334486198602</v>
      </c>
      <c r="DL169" s="553">
        <f>0.5*(1+'Hilfstabellen_Mat&amp;Bem'!$BD$31*(DK169-0.3)+DK169^2)</f>
        <v>1.0069463140152655</v>
      </c>
      <c r="DM169" s="550">
        <f t="shared" si="163"/>
        <v>0.78960944234581298</v>
      </c>
      <c r="DO169" s="551">
        <f t="shared" si="164"/>
        <v>38565.314773611855</v>
      </c>
      <c r="DR169" s="547">
        <f>'Hilfstabellen_Mat&amp;Bem'!$J$63</f>
        <v>4</v>
      </c>
      <c r="DS169" s="546">
        <f t="shared" si="165"/>
        <v>221</v>
      </c>
      <c r="DT169" s="551">
        <f t="shared" si="166"/>
        <v>62.698671767199173</v>
      </c>
      <c r="DU169" s="553">
        <f>DT169/PI()*SQRT('Hilfstabellen_Mat&amp;Bem'!f.Rd.3/'Hilfstabellen_Mat&amp;Bem'!$BD$30)</f>
        <v>0.99788035370460093</v>
      </c>
      <c r="DV169" s="553">
        <f>0.5*(1+'Hilfstabellen_Mat&amp;Bem'!$BD$31*(DU169-0.3)+DU169^2)</f>
        <v>1.0327766178400397</v>
      </c>
      <c r="DW169" s="550">
        <f t="shared" si="167"/>
        <v>0.76983690691808615</v>
      </c>
      <c r="DY169" s="551">
        <f t="shared" si="168"/>
        <v>37599.604370786248</v>
      </c>
      <c r="EB169" s="547">
        <f>'Hilfstabellen_Mat&amp;Bem'!$J$64</f>
        <v>4.0999999999999996</v>
      </c>
      <c r="EC169" s="546">
        <f t="shared" si="169"/>
        <v>221</v>
      </c>
      <c r="ED169" s="551">
        <f t="shared" si="170"/>
        <v>64.266138561379165</v>
      </c>
      <c r="EE169" s="553">
        <f>ED169/PI()*SQRT('Hilfstabellen_Mat&amp;Bem'!f.Rd.3/'Hilfstabellen_Mat&amp;Bem'!$BD$30)</f>
        <v>1.0228273625472164</v>
      </c>
      <c r="EF169" s="553">
        <f>0.5*(1+'Hilfstabellen_Mat&amp;Bem'!$BD$31*(EE169-0.3)+EE169^2)</f>
        <v>1.0592292749150083</v>
      </c>
      <c r="EG169" s="550">
        <f t="shared" si="171"/>
        <v>0.74932711755694004</v>
      </c>
      <c r="EI169" s="551">
        <f t="shared" si="172"/>
        <v>36597.885748598506</v>
      </c>
      <c r="EL169" s="547">
        <f>'Hilfstabellen_Mat&amp;Bem'!$J$65</f>
        <v>4.2</v>
      </c>
      <c r="EM169" s="546">
        <f t="shared" si="173"/>
        <v>221</v>
      </c>
      <c r="EN169" s="551">
        <f t="shared" si="174"/>
        <v>65.833605355559129</v>
      </c>
      <c r="EO169" s="553">
        <f>EN169/PI()*SQRT('Hilfstabellen_Mat&amp;Bem'!f.Rd.3/'Hilfstabellen_Mat&amp;Bem'!$BD$30)</f>
        <v>1.0477743713898311</v>
      </c>
      <c r="EP169" s="553">
        <f>0.5*(1+'Hilfstabellen_Mat&amp;Bem'!$BD$31*(EO169-0.3)+EO169^2)</f>
        <v>1.0863042852401694</v>
      </c>
      <c r="EQ169" s="550">
        <f t="shared" si="175"/>
        <v>0.72830304258484402</v>
      </c>
      <c r="ES169" s="551">
        <f t="shared" si="176"/>
        <v>35571.048902886367</v>
      </c>
    </row>
    <row r="170" spans="3:149">
      <c r="C170" s="546">
        <v>222</v>
      </c>
      <c r="D170" s="551">
        <f t="shared" si="131"/>
        <v>43.691371722458165</v>
      </c>
      <c r="E170" s="553">
        <f>$D170/PI()*SQRT('Hilfstabellen_Mat&amp;Bem'!f.Rd.3/'Hilfstabellen_Mat&amp;Bem'!$BD$30)</f>
        <v>0.69536977800946742</v>
      </c>
      <c r="F170" s="553">
        <f>0.5*(1+'Hilfstabellen_Mat&amp;Bem'!$BD$31*($E170-0.3)+$E170^2)</f>
        <v>0.76153805298494137</v>
      </c>
      <c r="G170" s="550">
        <f t="shared" si="132"/>
        <v>0.93281556098786433</v>
      </c>
      <c r="I170" s="551">
        <f t="shared" si="177"/>
        <v>45972.882107725905</v>
      </c>
      <c r="M170" s="546">
        <f t="shared" si="133"/>
        <v>222</v>
      </c>
      <c r="N170" s="551">
        <f t="shared" si="123"/>
        <v>45.251777855403098</v>
      </c>
      <c r="O170" s="553">
        <f>$N170/PI()*SQRT('Hilfstabellen_Mat&amp;Bem'!f.Rd.3/'Hilfstabellen_Mat&amp;Bem'!$BD$30)</f>
        <v>0.72020441293837711</v>
      </c>
      <c r="P170" s="553">
        <f>0.5*(1+'Hilfstabellen_Mat&amp;Bem'!$BD$31*($O170-0.3)+$O170^2)</f>
        <v>0.78035741885487497</v>
      </c>
      <c r="Q170" s="550">
        <f t="shared" si="124"/>
        <v>0.92524403854861226</v>
      </c>
      <c r="S170" s="551">
        <f t="shared" si="178"/>
        <v>45599.727195829808</v>
      </c>
      <c r="W170" s="546">
        <f t="shared" si="134"/>
        <v>222</v>
      </c>
      <c r="X170" s="551">
        <f t="shared" si="125"/>
        <v>46.812183988348032</v>
      </c>
      <c r="Y170" s="553">
        <f>$X170/PI()*SQRT('Hilfstabellen_Mat&amp;Bem'!f.Rd.3/'Hilfstabellen_Mat&amp;Bem'!$BD$30)</f>
        <v>0.74503904786728659</v>
      </c>
      <c r="Z170" s="553">
        <f>0.5*(1+'Hilfstabellen_Mat&amp;Bem'!$BD$31*($Y170-0.3)+$Y170^2)</f>
        <v>0.79979354381686085</v>
      </c>
      <c r="AA170" s="550">
        <f t="shared" si="126"/>
        <v>0.91690024959756122</v>
      </c>
      <c r="AC170" s="551">
        <f t="shared" si="179"/>
        <v>45188.51190116621</v>
      </c>
      <c r="AG170" s="546">
        <f t="shared" si="135"/>
        <v>222</v>
      </c>
      <c r="AH170" s="551">
        <f t="shared" si="127"/>
        <v>48.372590121292966</v>
      </c>
      <c r="AI170" s="553">
        <f>$AH170/PI()*SQRT('Hilfstabellen_Mat&amp;Bem'!f.Rd.3/'Hilfstabellen_Mat&amp;Bem'!$BD$30)</f>
        <v>0.76987368279619606</v>
      </c>
      <c r="AJ170" s="553">
        <f>0.5*(1+'Hilfstabellen_Mat&amp;Bem'!$BD$31*($AI170-0.3)+$AI170^2)</f>
        <v>0.81984642787089879</v>
      </c>
      <c r="AK170" s="550">
        <f t="shared" si="128"/>
        <v>0.90768630352867663</v>
      </c>
      <c r="AM170" s="551">
        <f t="shared" si="180"/>
        <v>44734.411783107302</v>
      </c>
      <c r="AQ170" s="546">
        <f t="shared" si="136"/>
        <v>222</v>
      </c>
      <c r="AR170" s="551">
        <f t="shared" si="129"/>
        <v>49.932996254237899</v>
      </c>
      <c r="AS170" s="553">
        <f>$AR170/PI()*SQRT('Hilfstabellen_Mat&amp;Bem'!f.Rd.3/'Hilfstabellen_Mat&amp;Bem'!$BD$30)</f>
        <v>0.79470831772510564</v>
      </c>
      <c r="AT170" s="553">
        <f>0.5*(1+'Hilfstabellen_Mat&amp;Bem'!$BD$31*($AS170-0.3)+$AS170^2)</f>
        <v>0.840516071016989</v>
      </c>
      <c r="AU170" s="550">
        <f t="shared" si="130"/>
        <v>0.89750042968065802</v>
      </c>
      <c r="AW170" s="551">
        <f t="shared" si="181"/>
        <v>44232.411176381553</v>
      </c>
      <c r="AZ170" s="547">
        <f>'Hilfstabellen_Mat&amp;Bem'!$J$56</f>
        <v>3.3</v>
      </c>
      <c r="BA170" s="546">
        <f t="shared" si="137"/>
        <v>222</v>
      </c>
      <c r="BB170" s="551">
        <f t="shared" si="138"/>
        <v>51.493402387182833</v>
      </c>
      <c r="BC170" s="553">
        <f>BB170/PI()*SQRT('Hilfstabellen_Mat&amp;Bem'!f.Rd.3/'Hilfstabellen_Mat&amp;Bem'!$BD$30)</f>
        <v>0.81954295265401511</v>
      </c>
      <c r="BD170" s="553">
        <f>0.5*(1+'Hilfstabellen_Mat&amp;Bem'!$BD$31*(BC170-0.3)+BC170^2)</f>
        <v>0.86180247325513137</v>
      </c>
      <c r="BE170" s="550">
        <f t="shared" si="139"/>
        <v>0.88624207291652068</v>
      </c>
      <c r="BG170" s="551">
        <f t="shared" si="140"/>
        <v>43677.554321617805</v>
      </c>
      <c r="BJ170" s="547">
        <f>'Hilfstabellen_Mat&amp;Bem'!$J$57</f>
        <v>3.4</v>
      </c>
      <c r="BK170" s="546">
        <f t="shared" si="141"/>
        <v>222</v>
      </c>
      <c r="BL170" s="551">
        <f t="shared" si="142"/>
        <v>53.053808520127767</v>
      </c>
      <c r="BM170" s="553">
        <f>BL170/PI()*SQRT('Hilfstabellen_Mat&amp;Bem'!f.Rd.3/'Hilfstabellen_Mat&amp;Bem'!$BD$30)</f>
        <v>0.8443775875829248</v>
      </c>
      <c r="BN170" s="553">
        <f>0.5*(1+'Hilfstabellen_Mat&amp;Bem'!$BD$31*(BM170-0.3)+BM170^2)</f>
        <v>0.88370563458532625</v>
      </c>
      <c r="BO170" s="550">
        <f t="shared" si="143"/>
        <v>0.87381948431767575</v>
      </c>
      <c r="BQ170" s="551">
        <f t="shared" si="144"/>
        <v>43065.319465112334</v>
      </c>
      <c r="BT170" s="547">
        <f>'Hilfstabellen_Mat&amp;Bem'!$J$58</f>
        <v>3.5</v>
      </c>
      <c r="BU170" s="546">
        <f t="shared" si="145"/>
        <v>222</v>
      </c>
      <c r="BV170" s="551">
        <f t="shared" si="146"/>
        <v>54.6142146530727</v>
      </c>
      <c r="BW170" s="553">
        <f>BV170/PI()*SQRT('Hilfstabellen_Mat&amp;Bem'!f.Rd.3/'Hilfstabellen_Mat&amp;Bem'!$BD$30)</f>
        <v>0.86921222251183439</v>
      </c>
      <c r="BX170" s="553">
        <f>0.5*(1+'Hilfstabellen_Mat&amp;Bem'!$BD$31*(BW170-0.3)+BW170^2)</f>
        <v>0.90622555500757307</v>
      </c>
      <c r="BY170" s="550">
        <f t="shared" si="147"/>
        <v>0.86015980371737855</v>
      </c>
      <c r="CA170" s="551">
        <f t="shared" si="148"/>
        <v>42392.115766407282</v>
      </c>
      <c r="CD170" s="547">
        <f>'Hilfstabellen_Mat&amp;Bem'!$J$59</f>
        <v>3.6</v>
      </c>
      <c r="CE170" s="546">
        <f t="shared" si="149"/>
        <v>222</v>
      </c>
      <c r="CF170" s="551">
        <f t="shared" si="150"/>
        <v>56.174620786017641</v>
      </c>
      <c r="CG170" s="553">
        <f>CF170/PI()*SQRT('Hilfstabellen_Mat&amp;Bem'!f.Rd.3/'Hilfstabellen_Mat&amp;Bem'!$BD$30)</f>
        <v>0.89404685744074386</v>
      </c>
      <c r="CH170" s="553">
        <f>0.5*(1+'Hilfstabellen_Mat&amp;Bem'!$BD$31*(CG170-0.3)+CG170^2)</f>
        <v>0.92936223452187217</v>
      </c>
      <c r="CI170" s="550">
        <f t="shared" si="151"/>
        <v>0.84522086366346427</v>
      </c>
      <c r="CK170" s="551">
        <f t="shared" si="152"/>
        <v>41655.865044790175</v>
      </c>
      <c r="CN170" s="547">
        <f>'Hilfstabellen_Mat&amp;Bem'!$J$60</f>
        <v>3.7</v>
      </c>
      <c r="CO170" s="546">
        <f t="shared" si="153"/>
        <v>222</v>
      </c>
      <c r="CP170" s="551">
        <f t="shared" si="154"/>
        <v>57.735026918962575</v>
      </c>
      <c r="CQ170" s="553">
        <f>CP170/PI()*SQRT('Hilfstabellen_Mat&amp;Bem'!f.Rd.3/'Hilfstabellen_Mat&amp;Bem'!$BD$30)</f>
        <v>0.91888149236965355</v>
      </c>
      <c r="CR170" s="553">
        <f>0.5*(1+'Hilfstabellen_Mat&amp;Bem'!$BD$31*(CQ170-0.3)+CQ170^2)</f>
        <v>0.95311567312822354</v>
      </c>
      <c r="CS170" s="550">
        <f t="shared" si="155"/>
        <v>0.8290029172295762</v>
      </c>
      <c r="CU170" s="551">
        <f t="shared" si="156"/>
        <v>40856.579772742436</v>
      </c>
      <c r="CX170" s="547">
        <f>'Hilfstabellen_Mat&amp;Bem'!$J$61</f>
        <v>3.8</v>
      </c>
      <c r="CY170" s="546">
        <f t="shared" si="157"/>
        <v>222</v>
      </c>
      <c r="CZ170" s="551">
        <f t="shared" si="158"/>
        <v>59.295433051907509</v>
      </c>
      <c r="DA170" s="553">
        <f>CZ170/PI()*SQRT('Hilfstabellen_Mat&amp;Bem'!f.Rd.3/'Hilfstabellen_Mat&amp;Bem'!$BD$30)</f>
        <v>0.94371612729856302</v>
      </c>
      <c r="DB170" s="553">
        <f>0.5*(1+'Hilfstabellen_Mat&amp;Bem'!$BD$31*(DA170-0.3)+DA170^2)</f>
        <v>0.97748587082662697</v>
      </c>
      <c r="DC170" s="550">
        <f t="shared" si="159"/>
        <v>0.8115575853874708</v>
      </c>
      <c r="DE170" s="551">
        <f t="shared" si="160"/>
        <v>39996.804038236114</v>
      </c>
      <c r="DH170" s="547">
        <f>'Hilfstabellen_Mat&amp;Bem'!$J$62</f>
        <v>3.9</v>
      </c>
      <c r="DI170" s="546">
        <f t="shared" si="161"/>
        <v>222</v>
      </c>
      <c r="DJ170" s="551">
        <f t="shared" si="162"/>
        <v>60.855839184852442</v>
      </c>
      <c r="DK170" s="553">
        <f>DJ170/PI()*SQRT('Hilfstabellen_Mat&amp;Bem'!f.Rd.3/'Hilfstabellen_Mat&amp;Bem'!$BD$30)</f>
        <v>0.96855076222747261</v>
      </c>
      <c r="DL170" s="553">
        <f>0.5*(1+'Hilfstabellen_Mat&amp;Bem'!$BD$31*(DK170-0.3)+DK170^2)</f>
        <v>1.0024728276170827</v>
      </c>
      <c r="DM170" s="550">
        <f t="shared" si="163"/>
        <v>0.7929911396150261</v>
      </c>
      <c r="DO170" s="551">
        <f t="shared" si="164"/>
        <v>39081.775324786948</v>
      </c>
      <c r="DR170" s="547">
        <f>'Hilfstabellen_Mat&amp;Bem'!$J$63</f>
        <v>4</v>
      </c>
      <c r="DS170" s="546">
        <f t="shared" si="165"/>
        <v>222</v>
      </c>
      <c r="DT170" s="551">
        <f t="shared" si="166"/>
        <v>62.416245317797376</v>
      </c>
      <c r="DU170" s="553">
        <f>DT170/PI()*SQRT('Hilfstabellen_Mat&amp;Bem'!f.Rd.3/'Hilfstabellen_Mat&amp;Bem'!$BD$30)</f>
        <v>0.99338539715638208</v>
      </c>
      <c r="DV170" s="553">
        <f>0.5*(1+'Hilfstabellen_Mat&amp;Bem'!$BD$31*(DU170-0.3)+DU170^2)</f>
        <v>1.0280765434995907</v>
      </c>
      <c r="DW170" s="550">
        <f t="shared" si="167"/>
        <v>0.77346025451142897</v>
      </c>
      <c r="DY170" s="551">
        <f t="shared" si="168"/>
        <v>38119.215183341264</v>
      </c>
      <c r="EB170" s="547">
        <f>'Hilfstabellen_Mat&amp;Bem'!$J$64</f>
        <v>4.0999999999999996</v>
      </c>
      <c r="EC170" s="546">
        <f t="shared" si="169"/>
        <v>222</v>
      </c>
      <c r="ED170" s="551">
        <f t="shared" si="170"/>
        <v>63.97665145074231</v>
      </c>
      <c r="EE170" s="553">
        <f>ED170/PI()*SQRT('Hilfstabellen_Mat&amp;Bem'!f.Rd.3/'Hilfstabellen_Mat&amp;Bem'!$BD$30)</f>
        <v>1.0182200320852917</v>
      </c>
      <c r="EF170" s="553">
        <f>0.5*(1+'Hilfstabellen_Mat&amp;Bem'!$BD$31*(EE170-0.3)+EE170^2)</f>
        <v>1.0542970184741507</v>
      </c>
      <c r="EG170" s="550">
        <f t="shared" si="171"/>
        <v>0.75316043216067396</v>
      </c>
      <c r="EI170" s="551">
        <f t="shared" si="172"/>
        <v>37118.758738606659</v>
      </c>
      <c r="EL170" s="547">
        <f>'Hilfstabellen_Mat&amp;Bem'!$J$65</f>
        <v>4.2</v>
      </c>
      <c r="EM170" s="546">
        <f t="shared" si="173"/>
        <v>222</v>
      </c>
      <c r="EN170" s="551">
        <f t="shared" si="174"/>
        <v>65.537057583687243</v>
      </c>
      <c r="EO170" s="553">
        <f>EN170/PI()*SQRT('Hilfstabellen_Mat&amp;Bem'!f.Rd.3/'Hilfstabellen_Mat&amp;Bem'!$BD$30)</f>
        <v>1.0430546670142011</v>
      </c>
      <c r="EP170" s="553">
        <f>0.5*(1+'Hilfstabellen_Mat&amp;Bem'!$BD$31*(EO170-0.3)+EO170^2)</f>
        <v>1.081134252540763</v>
      </c>
      <c r="EQ170" s="550">
        <f t="shared" si="175"/>
        <v>0.73230951446445125</v>
      </c>
      <c r="ES170" s="551">
        <f t="shared" si="176"/>
        <v>36091.142110866014</v>
      </c>
    </row>
    <row r="171" spans="3:149">
      <c r="C171" s="546">
        <v>223</v>
      </c>
      <c r="D171" s="551">
        <f t="shared" si="131"/>
        <v>43.495446288725169</v>
      </c>
      <c r="E171" s="553">
        <f>$D171/PI()*SQRT('Hilfstabellen_Mat&amp;Bem'!f.Rd.3/'Hilfstabellen_Mat&amp;Bem'!$BD$30)</f>
        <v>0.69225152788386446</v>
      </c>
      <c r="F171" s="553">
        <f>0.5*(1+'Hilfstabellen_Mat&amp;Bem'!$BD$31*($E171-0.3)+$E171^2)</f>
        <v>0.75921866532296556</v>
      </c>
      <c r="G171" s="550">
        <f t="shared" si="132"/>
        <v>0.93371631889824547</v>
      </c>
      <c r="I171" s="551">
        <f t="shared" si="177"/>
        <v>46432.778822490851</v>
      </c>
      <c r="M171" s="546">
        <f t="shared" si="133"/>
        <v>223</v>
      </c>
      <c r="N171" s="551">
        <f t="shared" si="123"/>
        <v>45.048855084751061</v>
      </c>
      <c r="O171" s="553">
        <f>$N171/PI()*SQRT('Hilfstabellen_Mat&amp;Bem'!f.Rd.3/'Hilfstabellen_Mat&amp;Bem'!$BD$30)</f>
        <v>0.7169747967368596</v>
      </c>
      <c r="P171" s="553">
        <f>0.5*(1+'Hilfstabellen_Mat&amp;Bem'!$BD$31*($O171-0.3)+$O171^2)</f>
        <v>0.77787516941477364</v>
      </c>
      <c r="Q171" s="550">
        <f t="shared" si="124"/>
        <v>0.92627034398404984</v>
      </c>
      <c r="S171" s="551">
        <f t="shared" si="178"/>
        <v>46062.497935982814</v>
      </c>
      <c r="W171" s="546">
        <f t="shared" si="134"/>
        <v>223</v>
      </c>
      <c r="X171" s="551">
        <f t="shared" si="125"/>
        <v>46.602263880776967</v>
      </c>
      <c r="Y171" s="553">
        <f>$X171/PI()*SQRT('Hilfstabellen_Mat&amp;Bem'!f.Rd.3/'Hilfstabellen_Mat&amp;Bem'!$BD$30)</f>
        <v>0.74169806558985485</v>
      </c>
      <c r="Z171" s="553">
        <f>0.5*(1+'Hilfstabellen_Mat&amp;Bem'!$BD$31*($Y171-0.3)+$Y171^2)</f>
        <v>0.79714291352935907</v>
      </c>
      <c r="AA171" s="550">
        <f t="shared" si="126"/>
        <v>0.91807117703535002</v>
      </c>
      <c r="AC171" s="551">
        <f t="shared" si="179"/>
        <v>45654.761562790918</v>
      </c>
      <c r="AG171" s="546">
        <f t="shared" si="135"/>
        <v>223</v>
      </c>
      <c r="AH171" s="551">
        <f t="shared" si="127"/>
        <v>48.155672676802865</v>
      </c>
      <c r="AI171" s="553">
        <f>$AH171/PI()*SQRT('Hilfstabellen_Mat&amp;Bem'!f.Rd.3/'Hilfstabellen_Mat&amp;Bem'!$BD$30)</f>
        <v>0.76642133444284999</v>
      </c>
      <c r="AJ171" s="553">
        <f>0.5*(1+'Hilfstabellen_Mat&amp;Bem'!$BD$31*($AI171-0.3)+$AI171^2)</f>
        <v>0.81702189766672195</v>
      </c>
      <c r="AK171" s="550">
        <f t="shared" si="128"/>
        <v>0.90902300273063497</v>
      </c>
      <c r="AM171" s="551">
        <f t="shared" si="180"/>
        <v>45204.804902791744</v>
      </c>
      <c r="AQ171" s="546">
        <f t="shared" si="136"/>
        <v>223</v>
      </c>
      <c r="AR171" s="551">
        <f t="shared" si="129"/>
        <v>49.709081472828764</v>
      </c>
      <c r="AS171" s="553">
        <f>$AR171/PI()*SQRT('Hilfstabellen_Mat&amp;Bem'!f.Rd.3/'Hilfstabellen_Mat&amp;Bem'!$BD$30)</f>
        <v>0.79114460329584513</v>
      </c>
      <c r="AT171" s="553">
        <f>0.5*(1+'Hilfstabellen_Mat&amp;Bem'!$BD$31*($AS171-0.3)+$AS171^2)</f>
        <v>0.83751212182686241</v>
      </c>
      <c r="AU171" s="550">
        <f t="shared" si="130"/>
        <v>0.89902568626801338</v>
      </c>
      <c r="AW171" s="551">
        <f t="shared" si="181"/>
        <v>44707.648352422038</v>
      </c>
      <c r="AZ171" s="547">
        <f>'Hilfstabellen_Mat&amp;Bem'!$J$56</f>
        <v>3.3</v>
      </c>
      <c r="BA171" s="546">
        <f t="shared" si="137"/>
        <v>223</v>
      </c>
      <c r="BB171" s="551">
        <f t="shared" si="138"/>
        <v>51.262490268854656</v>
      </c>
      <c r="BC171" s="553">
        <f>BB171/PI()*SQRT('Hilfstabellen_Mat&amp;Bem'!f.Rd.3/'Hilfstabellen_Mat&amp;Bem'!$BD$30)</f>
        <v>0.81586787214884016</v>
      </c>
      <c r="BD171" s="553">
        <f>0.5*(1+'Hilfstabellen_Mat&amp;Bem'!$BD$31*(BC171-0.3)+BC171^2)</f>
        <v>0.85861358600978011</v>
      </c>
      <c r="BE171" s="550">
        <f t="shared" si="139"/>
        <v>0.88797944700517906</v>
      </c>
      <c r="BG171" s="551">
        <f t="shared" si="140"/>
        <v>44158.329920120552</v>
      </c>
      <c r="BJ171" s="547">
        <f>'Hilfstabellen_Mat&amp;Bem'!$J$57</f>
        <v>3.4</v>
      </c>
      <c r="BK171" s="546">
        <f t="shared" si="141"/>
        <v>223</v>
      </c>
      <c r="BL171" s="551">
        <f t="shared" si="142"/>
        <v>52.815899064880561</v>
      </c>
      <c r="BM171" s="553">
        <f>BL171/PI()*SQRT('Hilfstabellen_Mat&amp;Bem'!f.Rd.3/'Hilfstabellen_Mat&amp;Bem'!$BD$30)</f>
        <v>0.84059114100183552</v>
      </c>
      <c r="BN171" s="553">
        <f>0.5*(1+'Hilfstabellen_Mat&amp;Bem'!$BD$31*(BM171-0.3)+BM171^2)</f>
        <v>0.88032629021547559</v>
      </c>
      <c r="BO171" s="550">
        <f t="shared" si="143"/>
        <v>0.87579192295084163</v>
      </c>
      <c r="BQ171" s="551">
        <f t="shared" si="144"/>
        <v>43552.256536422406</v>
      </c>
      <c r="BT171" s="547">
        <f>'Hilfstabellen_Mat&amp;Bem'!$J$58</f>
        <v>3.5</v>
      </c>
      <c r="BU171" s="546">
        <f t="shared" si="145"/>
        <v>223</v>
      </c>
      <c r="BV171" s="551">
        <f t="shared" si="146"/>
        <v>54.36930786090646</v>
      </c>
      <c r="BW171" s="553">
        <f>BV171/PI()*SQRT('Hilfstabellen_Mat&amp;Bem'!f.Rd.3/'Hilfstabellen_Mat&amp;Bem'!$BD$30)</f>
        <v>0.86531440985483066</v>
      </c>
      <c r="BX171" s="553">
        <f>0.5*(1+'Hilfstabellen_Mat&amp;Bem'!$BD$31*(BW171-0.3)+BW171^2)</f>
        <v>0.90265023444394843</v>
      </c>
      <c r="BY171" s="550">
        <f t="shared" si="147"/>
        <v>0.86238770052283731</v>
      </c>
      <c r="CA171" s="551">
        <f t="shared" si="148"/>
        <v>42885.677959300177</v>
      </c>
      <c r="CD171" s="547">
        <f>'Hilfstabellen_Mat&amp;Bem'!$J$59</f>
        <v>3.6</v>
      </c>
      <c r="CE171" s="546">
        <f t="shared" si="149"/>
        <v>223</v>
      </c>
      <c r="CF171" s="551">
        <f t="shared" si="150"/>
        <v>55.922716656932359</v>
      </c>
      <c r="CG171" s="553">
        <f>CF171/PI()*SQRT('Hilfstabellen_Mat&amp;Bem'!f.Rd.3/'Hilfstabellen_Mat&amp;Bem'!$BD$30)</f>
        <v>0.89003767870782569</v>
      </c>
      <c r="CH171" s="553">
        <f>0.5*(1+'Hilfstabellen_Mat&amp;Bem'!$BD$31*(CG171-0.3)+CG171^2)</f>
        <v>0.92558541869519873</v>
      </c>
      <c r="CI171" s="550">
        <f t="shared" si="151"/>
        <v>0.84771969276711034</v>
      </c>
      <c r="CK171" s="551">
        <f t="shared" si="152"/>
        <v>42156.252601615633</v>
      </c>
      <c r="CN171" s="547">
        <f>'Hilfstabellen_Mat&amp;Bem'!$J$60</f>
        <v>3.7</v>
      </c>
      <c r="CO171" s="546">
        <f t="shared" si="153"/>
        <v>223</v>
      </c>
      <c r="CP171" s="551">
        <f t="shared" si="154"/>
        <v>57.47612545295825</v>
      </c>
      <c r="CQ171" s="553">
        <f>CP171/PI()*SQRT('Hilfstabellen_Mat&amp;Bem'!f.Rd.3/'Hilfstabellen_Mat&amp;Bem'!$BD$30)</f>
        <v>0.91476094756082083</v>
      </c>
      <c r="CR171" s="553">
        <f>0.5*(1+'Hilfstabellen_Mat&amp;Bem'!$BD$31*(CQ171-0.3)+CQ171^2)</f>
        <v>0.94913184296922648</v>
      </c>
      <c r="CS171" s="550">
        <f t="shared" si="155"/>
        <v>0.83178077857546451</v>
      </c>
      <c r="CU171" s="551">
        <f t="shared" si="156"/>
        <v>41363.626337779271</v>
      </c>
      <c r="CX171" s="547">
        <f>'Hilfstabellen_Mat&amp;Bem'!$J$61</f>
        <v>3.8</v>
      </c>
      <c r="CY171" s="546">
        <f t="shared" si="157"/>
        <v>223</v>
      </c>
      <c r="CZ171" s="551">
        <f t="shared" si="158"/>
        <v>59.029534248984163</v>
      </c>
      <c r="DA171" s="553">
        <f>CZ171/PI()*SQRT('Hilfstabellen_Mat&amp;Bem'!f.Rd.3/'Hilfstabellen_Mat&amp;Bem'!$BD$30)</f>
        <v>0.93948421641381619</v>
      </c>
      <c r="DB171" s="553">
        <f>0.5*(1+'Hilfstabellen_Mat&amp;Bem'!$BD$31*(DA171-0.3)+DA171^2)</f>
        <v>0.97328950726603192</v>
      </c>
      <c r="DC171" s="550">
        <f t="shared" si="159"/>
        <v>0.81461318637244373</v>
      </c>
      <c r="DE171" s="551">
        <f t="shared" si="160"/>
        <v>40509.899145115254</v>
      </c>
      <c r="DH171" s="547">
        <f>'Hilfstabellen_Mat&amp;Bem'!$J$62</f>
        <v>3.9</v>
      </c>
      <c r="DI171" s="546">
        <f t="shared" si="161"/>
        <v>223</v>
      </c>
      <c r="DJ171" s="551">
        <f t="shared" si="162"/>
        <v>60.582943045010055</v>
      </c>
      <c r="DK171" s="553">
        <f>DJ171/PI()*SQRT('Hilfstabellen_Mat&amp;Bem'!f.Rd.3/'Hilfstabellen_Mat&amp;Bem'!$BD$30)</f>
        <v>0.96420748526681122</v>
      </c>
      <c r="DL171" s="553">
        <f>0.5*(1+'Hilfstabellen_Mat&amp;Bem'!$BD$31*(DK171-0.3)+DK171^2)</f>
        <v>0.99805841158561448</v>
      </c>
      <c r="DM171" s="550">
        <f t="shared" si="163"/>
        <v>0.79631278104681436</v>
      </c>
      <c r="DO171" s="551">
        <f t="shared" si="164"/>
        <v>39599.838288677034</v>
      </c>
      <c r="DR171" s="547">
        <f>'Hilfstabellen_Mat&amp;Bem'!$J$63</f>
        <v>4</v>
      </c>
      <c r="DS171" s="546">
        <f t="shared" si="165"/>
        <v>223</v>
      </c>
      <c r="DT171" s="551">
        <f t="shared" si="166"/>
        <v>62.136351841035946</v>
      </c>
      <c r="DU171" s="553">
        <f>DT171/PI()*SQRT('Hilfstabellen_Mat&amp;Bem'!f.Rd.3/'Hilfstabellen_Mat&amp;Bem'!$BD$30)</f>
        <v>0.98893075411980635</v>
      </c>
      <c r="DV171" s="553">
        <f>0.5*(1+'Hilfstabellen_Mat&amp;Bem'!$BD$31*(DU171-0.3)+DU171^2)</f>
        <v>1.0234385559279748</v>
      </c>
      <c r="DW171" s="550">
        <f t="shared" si="167"/>
        <v>0.77702619875085399</v>
      </c>
      <c r="DY171" s="551">
        <f t="shared" si="168"/>
        <v>38640.735837681219</v>
      </c>
      <c r="EB171" s="547">
        <f>'Hilfstabellen_Mat&amp;Bem'!$J$64</f>
        <v>4.0999999999999996</v>
      </c>
      <c r="EC171" s="546">
        <f t="shared" si="169"/>
        <v>223</v>
      </c>
      <c r="ED171" s="551">
        <f t="shared" si="170"/>
        <v>63.689760637061852</v>
      </c>
      <c r="EE171" s="553">
        <f>ED171/PI()*SQRT('Hilfstabellen_Mat&amp;Bem'!f.Rd.3/'Hilfstabellen_Mat&amp;Bem'!$BD$30)</f>
        <v>1.0136540229728015</v>
      </c>
      <c r="EF171" s="553">
        <f>0.5*(1+'Hilfstabellen_Mat&amp;Bem'!$BD$31*(EE171-0.3)+EE171^2)</f>
        <v>1.0494299402931124</v>
      </c>
      <c r="EG171" s="550">
        <f t="shared" si="171"/>
        <v>0.75694064668231764</v>
      </c>
      <c r="EI171" s="551">
        <f t="shared" si="172"/>
        <v>37641.901418864974</v>
      </c>
      <c r="EL171" s="547">
        <f>'Hilfstabellen_Mat&amp;Bem'!$J$65</f>
        <v>4.2</v>
      </c>
      <c r="EM171" s="546">
        <f t="shared" si="173"/>
        <v>223</v>
      </c>
      <c r="EN171" s="551">
        <f t="shared" si="174"/>
        <v>65.243169433087743</v>
      </c>
      <c r="EO171" s="553">
        <f>EN171/PI()*SQRT('Hilfstabellen_Mat&amp;Bem'!f.Rd.3/'Hilfstabellen_Mat&amp;Bem'!$BD$30)</f>
        <v>1.0383772918257967</v>
      </c>
      <c r="EP171" s="553">
        <f>0.5*(1+'Hilfstabellen_Mat&amp;Bem'!$BD$31*(EO171-0.3)+EO171^2)</f>
        <v>1.0760325646810278</v>
      </c>
      <c r="EQ171" s="550">
        <f t="shared" si="175"/>
        <v>0.73626838087508883</v>
      </c>
      <c r="ES171" s="551">
        <f t="shared" si="176"/>
        <v>36613.890312537296</v>
      </c>
    </row>
    <row r="172" spans="3:149">
      <c r="C172" s="546">
        <v>224</v>
      </c>
      <c r="D172" s="551">
        <f t="shared" si="131"/>
        <v>43.301270189221931</v>
      </c>
      <c r="E172" s="553">
        <f>$D172/PI()*SQRT('Hilfstabellen_Mat&amp;Bem'!f.Rd.3/'Hilfstabellen_Mat&amp;Bem'!$BD$30)</f>
        <v>0.68916111927724011</v>
      </c>
      <c r="F172" s="553">
        <f>0.5*(1+'Hilfstabellen_Mat&amp;Bem'!$BD$31*($E172-0.3)+$E172^2)</f>
        <v>0.75692958012559108</v>
      </c>
      <c r="G172" s="550">
        <f t="shared" si="132"/>
        <v>0.9345986165714808</v>
      </c>
      <c r="I172" s="551">
        <f t="shared" si="177"/>
        <v>46894.420185090617</v>
      </c>
      <c r="M172" s="546">
        <f t="shared" si="133"/>
        <v>224</v>
      </c>
      <c r="N172" s="551">
        <f t="shared" si="123"/>
        <v>44.847744124551284</v>
      </c>
      <c r="O172" s="553">
        <f>$N172/PI()*SQRT('Hilfstabellen_Mat&amp;Bem'!f.Rd.3/'Hilfstabellen_Mat&amp;Bem'!$BD$30)</f>
        <v>0.71377401639428439</v>
      </c>
      <c r="P172" s="553">
        <f>0.5*(1+'Hilfstabellen_Mat&amp;Bem'!$BD$31*($O172-0.3)+$O172^2)</f>
        <v>0.77542537405952827</v>
      </c>
      <c r="Q172" s="550">
        <f t="shared" si="124"/>
        <v>0.92727481420928737</v>
      </c>
      <c r="S172" s="551">
        <f t="shared" si="178"/>
        <v>46526.941077765201</v>
      </c>
      <c r="W172" s="546">
        <f t="shared" si="134"/>
        <v>224</v>
      </c>
      <c r="X172" s="551">
        <f t="shared" si="125"/>
        <v>46.394218059880636</v>
      </c>
      <c r="Y172" s="553">
        <f>$X172/PI()*SQRT('Hilfstabellen_Mat&amp;Bem'!f.Rd.3/'Hilfstabellen_Mat&amp;Bem'!$BD$30)</f>
        <v>0.73838691351132857</v>
      </c>
      <c r="Z172" s="553">
        <f>0.5*(1+'Hilfstabellen_Mat&amp;Bem'!$BD$31*($Y172-0.3)+$Y172^2)</f>
        <v>0.79452696269795953</v>
      </c>
      <c r="AA172" s="550">
        <f t="shared" si="126"/>
        <v>0.91921635867742457</v>
      </c>
      <c r="AC172" s="551">
        <f t="shared" si="179"/>
        <v>46122.600012998453</v>
      </c>
      <c r="AG172" s="546">
        <f t="shared" si="135"/>
        <v>224</v>
      </c>
      <c r="AH172" s="551">
        <f t="shared" si="127"/>
        <v>47.940691995209988</v>
      </c>
      <c r="AI172" s="553">
        <f>$AH172/PI()*SQRT('Hilfstabellen_Mat&amp;Bem'!f.Rd.3/'Hilfstabellen_Mat&amp;Bem'!$BD$30)</f>
        <v>0.76299981062837285</v>
      </c>
      <c r="AJ172" s="553">
        <f>0.5*(1+'Hilfstabellen_Mat&amp;Bem'!$BD$31*($AI172-0.3)+$AI172^2)</f>
        <v>0.81423434604088507</v>
      </c>
      <c r="AK172" s="550">
        <f t="shared" si="128"/>
        <v>0.91032950585157013</v>
      </c>
      <c r="AM172" s="551">
        <f t="shared" si="180"/>
        <v>45676.69328560838</v>
      </c>
      <c r="AQ172" s="546">
        <f t="shared" si="136"/>
        <v>224</v>
      </c>
      <c r="AR172" s="551">
        <f t="shared" si="129"/>
        <v>49.487165930539348</v>
      </c>
      <c r="AS172" s="553">
        <f>$AR172/PI()*SQRT('Hilfstabellen_Mat&amp;Bem'!f.Rd.3/'Hilfstabellen_Mat&amp;Bem'!$BD$30)</f>
        <v>0.78761270774541725</v>
      </c>
      <c r="AT172" s="553">
        <f>0.5*(1+'Hilfstabellen_Mat&amp;Bem'!$BD$31*($AS172-0.3)+$AS172^2)</f>
        <v>0.8345475240883049</v>
      </c>
      <c r="AU172" s="550">
        <f t="shared" si="130"/>
        <v>0.90051580877540705</v>
      </c>
      <c r="AW172" s="551">
        <f t="shared" si="181"/>
        <v>45184.281221114827</v>
      </c>
      <c r="AZ172" s="547">
        <f>'Hilfstabellen_Mat&amp;Bem'!$J$56</f>
        <v>3.3</v>
      </c>
      <c r="BA172" s="546">
        <f t="shared" si="137"/>
        <v>224</v>
      </c>
      <c r="BB172" s="551">
        <f t="shared" si="138"/>
        <v>51.033639865868707</v>
      </c>
      <c r="BC172" s="553">
        <f>BB172/PI()*SQRT('Hilfstabellen_Mat&amp;Bem'!f.Rd.3/'Hilfstabellen_Mat&amp;Bem'!$BD$30)</f>
        <v>0.81222560486246165</v>
      </c>
      <c r="BD172" s="553">
        <f>0.5*(1+'Hilfstabellen_Mat&amp;Bem'!$BD$31*(BC172-0.3)+BC172^2)</f>
        <v>0.85546649684021892</v>
      </c>
      <c r="BE172" s="550">
        <f t="shared" si="139"/>
        <v>0.88967639677876187</v>
      </c>
      <c r="BG172" s="551">
        <f t="shared" si="140"/>
        <v>44640.402884771152</v>
      </c>
      <c r="BJ172" s="547">
        <f>'Hilfstabellen_Mat&amp;Bem'!$J$57</f>
        <v>3.4</v>
      </c>
      <c r="BK172" s="546">
        <f t="shared" si="141"/>
        <v>224</v>
      </c>
      <c r="BL172" s="551">
        <f t="shared" si="142"/>
        <v>52.58011380119806</v>
      </c>
      <c r="BM172" s="553">
        <f>BL172/PI()*SQRT('Hilfstabellen_Mat&amp;Bem'!f.Rd.3/'Hilfstabellen_Mat&amp;Bem'!$BD$30)</f>
        <v>0.83683850197950582</v>
      </c>
      <c r="BN172" s="553">
        <f>0.5*(1+'Hilfstabellen_Mat&amp;Bem'!$BD$31*(BM172-0.3)+BM172^2)</f>
        <v>0.87699126429662699</v>
      </c>
      <c r="BO172" s="550">
        <f t="shared" si="143"/>
        <v>0.87771853893118934</v>
      </c>
      <c r="BQ172" s="551">
        <f t="shared" si="144"/>
        <v>44040.40540941136</v>
      </c>
      <c r="BT172" s="547">
        <f>'Hilfstabellen_Mat&amp;Bem'!$J$58</f>
        <v>3.5</v>
      </c>
      <c r="BU172" s="546">
        <f t="shared" si="145"/>
        <v>224</v>
      </c>
      <c r="BV172" s="551">
        <f t="shared" si="146"/>
        <v>54.126587736527412</v>
      </c>
      <c r="BW172" s="553">
        <f>BV172/PI()*SQRT('Hilfstabellen_Mat&amp;Bem'!f.Rd.3/'Hilfstabellen_Mat&amp;Bem'!$BD$30)</f>
        <v>0.86145139909655011</v>
      </c>
      <c r="BX172" s="553">
        <f>0.5*(1+'Hilfstabellen_Mat&amp;Bem'!$BD$31*(BW172-0.3)+BW172^2)</f>
        <v>0.89912182645752936</v>
      </c>
      <c r="BY172" s="550">
        <f t="shared" si="147"/>
        <v>0.86456463169002984</v>
      </c>
      <c r="CA172" s="551">
        <f t="shared" si="148"/>
        <v>43380.394959678939</v>
      </c>
      <c r="CD172" s="547">
        <f>'Hilfstabellen_Mat&amp;Bem'!$J$59</f>
        <v>3.6</v>
      </c>
      <c r="CE172" s="546">
        <f t="shared" si="149"/>
        <v>224</v>
      </c>
      <c r="CF172" s="551">
        <f t="shared" si="150"/>
        <v>55.673061671856772</v>
      </c>
      <c r="CG172" s="553">
        <f>CF172/PI()*SQRT('Hilfstabellen_Mat&amp;Bem'!f.Rd.3/'Hilfstabellen_Mat&amp;Bem'!$BD$30)</f>
        <v>0.8860642962135945</v>
      </c>
      <c r="CH172" s="553">
        <f>0.5*(1+'Hilfstabellen_Mat&amp;Bem'!$BD$31*(CG172-0.3)+CG172^2)</f>
        <v>0.92185818332292602</v>
      </c>
      <c r="CI172" s="550">
        <f t="shared" si="151"/>
        <v>0.85016313150567724</v>
      </c>
      <c r="CK172" s="551">
        <f t="shared" si="152"/>
        <v>42657.785286428858</v>
      </c>
      <c r="CN172" s="547">
        <f>'Hilfstabellen_Mat&amp;Bem'!$J$60</f>
        <v>3.7</v>
      </c>
      <c r="CO172" s="546">
        <f t="shared" si="153"/>
        <v>224</v>
      </c>
      <c r="CP172" s="551">
        <f t="shared" si="154"/>
        <v>57.219535607186117</v>
      </c>
      <c r="CQ172" s="553">
        <f>CP172/PI()*SQRT('Hilfstabellen_Mat&amp;Bem'!f.Rd.3/'Hilfstabellen_Mat&amp;Bem'!$BD$30)</f>
        <v>0.91067719333063857</v>
      </c>
      <c r="CR172" s="553">
        <f>0.5*(1+'Hilfstabellen_Mat&amp;Bem'!$BD$31*(CQ172-0.3)+CQ172^2)</f>
        <v>0.94520033489281652</v>
      </c>
      <c r="CS172" s="550">
        <f t="shared" si="155"/>
        <v>0.83450004298874492</v>
      </c>
      <c r="CU172" s="551">
        <f t="shared" si="156"/>
        <v>41871.874157003265</v>
      </c>
      <c r="CX172" s="547">
        <f>'Hilfstabellen_Mat&amp;Bem'!$J$61</f>
        <v>3.8</v>
      </c>
      <c r="CY172" s="546">
        <f t="shared" si="157"/>
        <v>224</v>
      </c>
      <c r="CZ172" s="551">
        <f t="shared" si="158"/>
        <v>58.766009542515476</v>
      </c>
      <c r="DA172" s="553">
        <f>CZ172/PI()*SQRT('Hilfstabellen_Mat&amp;Bem'!f.Rd.3/'Hilfstabellen_Mat&amp;Bem'!$BD$30)</f>
        <v>0.93529009044768296</v>
      </c>
      <c r="DB172" s="553">
        <f>0.5*(1+'Hilfstabellen_Mat&amp;Bem'!$BD$31*(DA172-0.3)+DA172^2)</f>
        <v>0.96914828116720164</v>
      </c>
      <c r="DC172" s="550">
        <f t="shared" si="159"/>
        <v>0.81760863812875562</v>
      </c>
      <c r="DE172" s="551">
        <f t="shared" si="160"/>
        <v>41024.331026748441</v>
      </c>
      <c r="DH172" s="547">
        <f>'Hilfstabellen_Mat&amp;Bem'!$J$62</f>
        <v>3.9</v>
      </c>
      <c r="DI172" s="546">
        <f t="shared" si="161"/>
        <v>224</v>
      </c>
      <c r="DJ172" s="551">
        <f t="shared" si="162"/>
        <v>60.312483477844829</v>
      </c>
      <c r="DK172" s="553">
        <f>DJ172/PI()*SQRT('Hilfstabellen_Mat&amp;Bem'!f.Rd.3/'Hilfstabellen_Mat&amp;Bem'!$BD$30)</f>
        <v>0.95990298756472725</v>
      </c>
      <c r="DL172" s="553">
        <f>0.5*(1+'Hilfstabellen_Mat&amp;Bem'!$BD$31*(DK172-0.3)+DK172^2)</f>
        <v>0.99370202214608083</v>
      </c>
      <c r="DM172" s="550">
        <f t="shared" si="163"/>
        <v>0.79957463712904098</v>
      </c>
      <c r="DO172" s="551">
        <f t="shared" si="164"/>
        <v>40119.456992586762</v>
      </c>
      <c r="DR172" s="547">
        <f>'Hilfstabellen_Mat&amp;Bem'!$J$63</f>
        <v>4</v>
      </c>
      <c r="DS172" s="546">
        <f t="shared" si="165"/>
        <v>224</v>
      </c>
      <c r="DT172" s="551">
        <f t="shared" si="166"/>
        <v>61.858957413174188</v>
      </c>
      <c r="DU172" s="553">
        <f>DT172/PI()*SQRT('Hilfstabellen_Mat&amp;Bem'!f.Rd.3/'Hilfstabellen_Mat&amp;Bem'!$BD$30)</f>
        <v>0.98451588468177165</v>
      </c>
      <c r="DV172" s="553">
        <f>0.5*(1+'Hilfstabellen_Mat&amp;Bem'!$BD$31*(DU172-0.3)+DU172^2)</f>
        <v>1.0188615578294544</v>
      </c>
      <c r="DW172" s="550">
        <f t="shared" si="167"/>
        <v>0.78053465024077107</v>
      </c>
      <c r="DY172" s="551">
        <f t="shared" si="168"/>
        <v>39164.106610480929</v>
      </c>
      <c r="EB172" s="547">
        <f>'Hilfstabellen_Mat&amp;Bem'!$J$64</f>
        <v>4.0999999999999996</v>
      </c>
      <c r="EC172" s="546">
        <f t="shared" si="169"/>
        <v>224</v>
      </c>
      <c r="ED172" s="551">
        <f t="shared" si="170"/>
        <v>63.405431348503534</v>
      </c>
      <c r="EE172" s="553">
        <f>ED172/PI()*SQRT('Hilfstabellen_Mat&amp;Bem'!f.Rd.3/'Hilfstabellen_Mat&amp;Bem'!$BD$30)</f>
        <v>1.0091287817988157</v>
      </c>
      <c r="EF172" s="553">
        <f>0.5*(1+'Hilfstabellen_Mat&amp;Bem'!$BD$31*(EE172-0.3)+EE172^2)</f>
        <v>1.0446268882173215</v>
      </c>
      <c r="EG172" s="550">
        <f t="shared" si="171"/>
        <v>0.76066734861451357</v>
      </c>
      <c r="EI172" s="551">
        <f t="shared" si="172"/>
        <v>38167.244884081832</v>
      </c>
      <c r="EL172" s="547">
        <f>'Hilfstabellen_Mat&amp;Bem'!$J$65</f>
        <v>4.2</v>
      </c>
      <c r="EM172" s="546">
        <f t="shared" si="173"/>
        <v>224</v>
      </c>
      <c r="EN172" s="551">
        <f t="shared" si="174"/>
        <v>64.9519052838329</v>
      </c>
      <c r="EO172" s="553">
        <f>EN172/PI()*SQRT('Hilfstabellen_Mat&amp;Bem'!f.Rd.3/'Hilfstabellen_Mat&amp;Bem'!$BD$30)</f>
        <v>1.0337416789158602</v>
      </c>
      <c r="EP172" s="553">
        <f>0.5*(1+'Hilfstabellen_Mat&amp;Bem'!$BD$31*(EO172-0.3)+EO172^2)</f>
        <v>1.0709980133096837</v>
      </c>
      <c r="EQ172" s="550">
        <f t="shared" si="175"/>
        <v>0.74017897570723978</v>
      </c>
      <c r="ES172" s="551">
        <f t="shared" si="176"/>
        <v>37139.220285086463</v>
      </c>
    </row>
    <row r="173" spans="3:149">
      <c r="C173" s="546">
        <v>225</v>
      </c>
      <c r="D173" s="551">
        <f t="shared" si="131"/>
        <v>43.108820099492057</v>
      </c>
      <c r="E173" s="553">
        <f>$D173/PI()*SQRT('Hilfstabellen_Mat&amp;Bem'!f.Rd.3/'Hilfstabellen_Mat&amp;Bem'!$BD$30)</f>
        <v>0.68609818096934128</v>
      </c>
      <c r="F173" s="553">
        <f>0.5*(1+'Hilfstabellen_Mat&amp;Bem'!$BD$31*($E173-0.3)+$E173^2)</f>
        <v>0.75467026601318654</v>
      </c>
      <c r="G173" s="550">
        <f t="shared" si="132"/>
        <v>0.9354630008645296</v>
      </c>
      <c r="I173" s="551">
        <f t="shared" si="177"/>
        <v>47357.814418766808</v>
      </c>
      <c r="M173" s="546">
        <f t="shared" si="133"/>
        <v>225</v>
      </c>
      <c r="N173" s="551">
        <f t="shared" si="123"/>
        <v>44.648420817331058</v>
      </c>
      <c r="O173" s="553">
        <f>$N173/PI()*SQRT('Hilfstabellen_Mat&amp;Bem'!f.Rd.3/'Hilfstabellen_Mat&amp;Bem'!$BD$30)</f>
        <v>0.71060168743253205</v>
      </c>
      <c r="P173" s="553">
        <f>0.5*(1+'Hilfstabellen_Mat&amp;Bem'!$BD$31*($O173-0.3)+$O173^2)</f>
        <v>0.77300746346260762</v>
      </c>
      <c r="Q173" s="550">
        <f t="shared" si="124"/>
        <v>0.92825810618585647</v>
      </c>
      <c r="S173" s="551">
        <f t="shared" si="178"/>
        <v>46993.066625658983</v>
      </c>
      <c r="W173" s="546">
        <f t="shared" si="134"/>
        <v>225</v>
      </c>
      <c r="X173" s="551">
        <f t="shared" si="125"/>
        <v>46.188021535170058</v>
      </c>
      <c r="Y173" s="553">
        <f>$X173/PI()*SQRT('Hilfstabellen_Mat&amp;Bem'!f.Rd.3/'Hilfstabellen_Mat&amp;Bem'!$BD$30)</f>
        <v>0.73510519389572282</v>
      </c>
      <c r="Z173" s="553">
        <f>0.5*(1+'Hilfstabellen_Mat&amp;Bem'!$BD$31*($Y173-0.3)+$Y173^2)</f>
        <v>0.79194508274102016</v>
      </c>
      <c r="AA173" s="550">
        <f t="shared" si="126"/>
        <v>0.92033657436610028</v>
      </c>
      <c r="AC173" s="551">
        <f t="shared" si="179"/>
        <v>46592.039077283829</v>
      </c>
      <c r="AG173" s="546">
        <f t="shared" si="135"/>
        <v>225</v>
      </c>
      <c r="AH173" s="551">
        <f t="shared" si="127"/>
        <v>47.727622253009066</v>
      </c>
      <c r="AI173" s="553">
        <f>$AH173/PI()*SQRT('Hilfstabellen_Mat&amp;Bem'!f.Rd.3/'Hilfstabellen_Mat&amp;Bem'!$BD$30)</f>
        <v>0.75960870035891359</v>
      </c>
      <c r="AJ173" s="553">
        <f>0.5*(1+'Hilfstabellen_Mat&amp;Bem'!$BD$31*($AI173-0.3)+$AI173^2)</f>
        <v>0.81148312384842458</v>
      </c>
      <c r="AK173" s="550">
        <f t="shared" si="128"/>
        <v>0.91160672305006774</v>
      </c>
      <c r="AM173" s="551">
        <f t="shared" si="180"/>
        <v>46150.09035440968</v>
      </c>
      <c r="AQ173" s="546">
        <f t="shared" si="136"/>
        <v>225</v>
      </c>
      <c r="AR173" s="551">
        <f t="shared" si="129"/>
        <v>49.26722297084806</v>
      </c>
      <c r="AS173" s="553">
        <f>$AR173/PI()*SQRT('Hilfstabellen_Mat&amp;Bem'!f.Rd.3/'Hilfstabellen_Mat&amp;Bem'!$BD$30)</f>
        <v>0.78411220682210425</v>
      </c>
      <c r="AT173" s="553">
        <f>0.5*(1+'Hilfstabellen_Mat&amp;Bem'!$BD$31*($AS173-0.3)+$AS173^2)</f>
        <v>0.83162158678482045</v>
      </c>
      <c r="AU173" s="550">
        <f t="shared" si="130"/>
        <v>0.90197183493942679</v>
      </c>
      <c r="AW173" s="551">
        <f t="shared" si="181"/>
        <v>45662.324143808481</v>
      </c>
      <c r="AZ173" s="547">
        <f>'Hilfstabellen_Mat&amp;Bem'!$J$56</f>
        <v>3.3</v>
      </c>
      <c r="BA173" s="546">
        <f t="shared" si="137"/>
        <v>225</v>
      </c>
      <c r="BB173" s="551">
        <f t="shared" si="138"/>
        <v>50.806823688687061</v>
      </c>
      <c r="BC173" s="553">
        <f>BB173/PI()*SQRT('Hilfstabellen_Mat&amp;Bem'!f.Rd.3/'Hilfstabellen_Mat&amp;Bem'!$BD$30)</f>
        <v>0.80861571328529502</v>
      </c>
      <c r="BD173" s="553">
        <f>0.5*(1+'Hilfstabellen_Mat&amp;Bem'!$BD$31*(BC173-0.3)+BC173^2)</f>
        <v>0.852360471550208</v>
      </c>
      <c r="BE173" s="550">
        <f t="shared" si="139"/>
        <v>0.89133406866520437</v>
      </c>
      <c r="BG173" s="551">
        <f t="shared" si="140"/>
        <v>45123.787226175969</v>
      </c>
      <c r="BJ173" s="547">
        <f>'Hilfstabellen_Mat&amp;Bem'!$J$57</f>
        <v>3.4</v>
      </c>
      <c r="BK173" s="546">
        <f t="shared" si="141"/>
        <v>225</v>
      </c>
      <c r="BL173" s="551">
        <f t="shared" si="142"/>
        <v>52.346424406526062</v>
      </c>
      <c r="BM173" s="553">
        <f>BL173/PI()*SQRT('Hilfstabellen_Mat&amp;Bem'!f.Rd.3/'Hilfstabellen_Mat&amp;Bem'!$BD$30)</f>
        <v>0.83311921974848568</v>
      </c>
      <c r="BN173" s="553">
        <f>0.5*(1+'Hilfstabellen_Mat&amp;Bem'!$BD$31*(BM173-0.3)+BM173^2)</f>
        <v>0.8736997781445871</v>
      </c>
      <c r="BO173" s="550">
        <f t="shared" si="143"/>
        <v>0.87960054650886321</v>
      </c>
      <c r="BQ173" s="551">
        <f t="shared" si="144"/>
        <v>44529.7776670112</v>
      </c>
      <c r="BT173" s="547">
        <f>'Hilfstabellen_Mat&amp;Bem'!$J$58</f>
        <v>3.5</v>
      </c>
      <c r="BU173" s="546">
        <f t="shared" si="145"/>
        <v>225</v>
      </c>
      <c r="BV173" s="551">
        <f t="shared" si="146"/>
        <v>53.886025124365069</v>
      </c>
      <c r="BW173" s="553">
        <f>BV173/PI()*SQRT('Hilfstabellen_Mat&amp;Bem'!f.Rd.3/'Hilfstabellen_Mat&amp;Bem'!$BD$30)</f>
        <v>0.85762272621167657</v>
      </c>
      <c r="BX173" s="553">
        <f>0.5*(1+'Hilfstabellen_Mat&amp;Bem'!$BD$31*(BW173-0.3)+BW173^2)</f>
        <v>0.8956395065679581</v>
      </c>
      <c r="BY173" s="550">
        <f t="shared" si="147"/>
        <v>0.86669181327531264</v>
      </c>
      <c r="CA173" s="551">
        <f t="shared" si="148"/>
        <v>43876.273047062699</v>
      </c>
      <c r="CD173" s="547">
        <f>'Hilfstabellen_Mat&amp;Bem'!$J$59</f>
        <v>3.6</v>
      </c>
      <c r="CE173" s="546">
        <f t="shared" si="149"/>
        <v>225</v>
      </c>
      <c r="CF173" s="551">
        <f t="shared" si="150"/>
        <v>55.42562584220407</v>
      </c>
      <c r="CG173" s="553">
        <f>CF173/PI()*SQRT('Hilfstabellen_Mat&amp;Bem'!f.Rd.3/'Hilfstabellen_Mat&amp;Bem'!$BD$30)</f>
        <v>0.88212623267486734</v>
      </c>
      <c r="CH173" s="553">
        <f>0.5*(1+'Hilfstabellen_Mat&amp;Bem'!$BD$31*(CG173-0.3)+CG173^2)</f>
        <v>0.91817965682032043</v>
      </c>
      <c r="CI173" s="550">
        <f t="shared" si="151"/>
        <v>0.85255230944152194</v>
      </c>
      <c r="CK173" s="551">
        <f t="shared" si="152"/>
        <v>43160.460665477047</v>
      </c>
      <c r="CN173" s="547">
        <f>'Hilfstabellen_Mat&amp;Bem'!$J$60</f>
        <v>3.7</v>
      </c>
      <c r="CO173" s="546">
        <f t="shared" si="153"/>
        <v>225</v>
      </c>
      <c r="CP173" s="551">
        <f t="shared" si="154"/>
        <v>56.965226560043064</v>
      </c>
      <c r="CQ173" s="553">
        <f>CP173/PI()*SQRT('Hilfstabellen_Mat&amp;Bem'!f.Rd.3/'Hilfstabellen_Mat&amp;Bem'!$BD$30)</f>
        <v>0.90662973913805789</v>
      </c>
      <c r="CR173" s="553">
        <f>0.5*(1+'Hilfstabellen_Mat&amp;Bem'!$BD$31*(CQ173-0.3)+CQ173^2)</f>
        <v>0.94132022890167444</v>
      </c>
      <c r="CS173" s="550">
        <f t="shared" si="155"/>
        <v>0.83716165436775924</v>
      </c>
      <c r="CU173" s="551">
        <f t="shared" si="156"/>
        <v>42381.308752367811</v>
      </c>
      <c r="CX173" s="547">
        <f>'Hilfstabellen_Mat&amp;Bem'!$J$61</f>
        <v>3.8</v>
      </c>
      <c r="CY173" s="546">
        <f t="shared" si="157"/>
        <v>225</v>
      </c>
      <c r="CZ173" s="551">
        <f t="shared" si="158"/>
        <v>58.504827277882079</v>
      </c>
      <c r="DA173" s="553">
        <f>CZ173/PI()*SQRT('Hilfstabellen_Mat&amp;Bem'!f.Rd.3/'Hilfstabellen_Mat&amp;Bem'!$BD$30)</f>
        <v>0.93113324560124888</v>
      </c>
      <c r="DB173" s="553">
        <f>0.5*(1+'Hilfstabellen_Mat&amp;Bem'!$BD$31*(DA173-0.3)+DA173^2)</f>
        <v>0.96506122281202034</v>
      </c>
      <c r="DC173" s="550">
        <f t="shared" si="159"/>
        <v>0.82054460797918738</v>
      </c>
      <c r="DE173" s="551">
        <f t="shared" si="160"/>
        <v>41540.070778946363</v>
      </c>
      <c r="DH173" s="547">
        <f>'Hilfstabellen_Mat&amp;Bem'!$J$62</f>
        <v>3.9</v>
      </c>
      <c r="DI173" s="546">
        <f t="shared" si="161"/>
        <v>225</v>
      </c>
      <c r="DJ173" s="551">
        <f t="shared" si="162"/>
        <v>60.044427995721072</v>
      </c>
      <c r="DK173" s="553">
        <f>DJ173/PI()*SQRT('Hilfstabellen_Mat&amp;Bem'!f.Rd.3/'Hilfstabellen_Mat&amp;Bem'!$BD$30)</f>
        <v>0.95563675206443954</v>
      </c>
      <c r="DL173" s="553">
        <f>0.5*(1+'Hilfstabellen_Mat&amp;Bem'!$BD$31*(DK173-0.3)+DK173^2)</f>
        <v>0.98940263855135746</v>
      </c>
      <c r="DM173" s="550">
        <f t="shared" si="163"/>
        <v>0.80277703713656579</v>
      </c>
      <c r="DO173" s="551">
        <f t="shared" si="164"/>
        <v>40640.587505038646</v>
      </c>
      <c r="DR173" s="547">
        <f>'Hilfstabellen_Mat&amp;Bem'!$J$63</f>
        <v>4</v>
      </c>
      <c r="DS173" s="546">
        <f t="shared" si="165"/>
        <v>225</v>
      </c>
      <c r="DT173" s="551">
        <f t="shared" si="166"/>
        <v>61.58402871356008</v>
      </c>
      <c r="DU173" s="553">
        <f>DT173/PI()*SQRT('Hilfstabellen_Mat&amp;Bem'!f.Rd.3/'Hilfstabellen_Mat&amp;Bem'!$BD$30)</f>
        <v>0.98014025852763043</v>
      </c>
      <c r="DV173" s="553">
        <f>0.5*(1+'Hilfstabellen_Mat&amp;Bem'!$BD$31*(DU173-0.3)+DU173^2)</f>
        <v>1.0143444761196867</v>
      </c>
      <c r="DW173" s="550">
        <f t="shared" si="167"/>
        <v>0.78398558285962561</v>
      </c>
      <c r="DY173" s="551">
        <f t="shared" si="168"/>
        <v>39689.270132268546</v>
      </c>
      <c r="EB173" s="547">
        <f>'Hilfstabellen_Mat&amp;Bem'!$J$64</f>
        <v>4.0999999999999996</v>
      </c>
      <c r="EC173" s="546">
        <f t="shared" si="169"/>
        <v>225</v>
      </c>
      <c r="ED173" s="551">
        <f t="shared" si="170"/>
        <v>63.123629431399074</v>
      </c>
      <c r="EE173" s="553">
        <f>ED173/PI()*SQRT('Hilfstabellen_Mat&amp;Bem'!f.Rd.3/'Hilfstabellen_Mat&amp;Bem'!$BD$30)</f>
        <v>1.0046437649908211</v>
      </c>
      <c r="EF173" s="553">
        <f>0.5*(1+'Hilfstabellen_Mat&amp;Bem'!$BD$31*(EE173-0.3)+EE173^2)</f>
        <v>1.0398867355170069</v>
      </c>
      <c r="EG173" s="550">
        <f t="shared" si="171"/>
        <v>0.76434018502022116</v>
      </c>
      <c r="EI173" s="551">
        <f t="shared" si="172"/>
        <v>38694.721866648695</v>
      </c>
      <c r="EL173" s="547">
        <f>'Hilfstabellen_Mat&amp;Bem'!$J$65</f>
        <v>4.2</v>
      </c>
      <c r="EM173" s="546">
        <f t="shared" si="173"/>
        <v>225</v>
      </c>
      <c r="EN173" s="551">
        <f t="shared" si="174"/>
        <v>64.663230149238089</v>
      </c>
      <c r="EO173" s="553">
        <f>EN173/PI()*SQRT('Hilfstabellen_Mat&amp;Bem'!f.Rd.3/'Hilfstabellen_Mat&amp;Bem'!$BD$30)</f>
        <v>1.029147271454012</v>
      </c>
      <c r="EP173" s="553">
        <f>0.5*(1+'Hilfstabellen_Mat&amp;Bem'!$BD$31*(EO173-0.3)+EO173^2)</f>
        <v>1.0660294167433195</v>
      </c>
      <c r="EQ173" s="550">
        <f t="shared" si="175"/>
        <v>0.74404068265235079</v>
      </c>
      <c r="ES173" s="551">
        <f t="shared" si="176"/>
        <v>37667.059559275258</v>
      </c>
    </row>
    <row r="174" spans="3:149">
      <c r="C174" s="546">
        <v>226</v>
      </c>
      <c r="D174" s="551">
        <f t="shared" si="131"/>
        <v>42.918073107901378</v>
      </c>
      <c r="E174" s="553">
        <f>$D174/PI()*SQRT('Hilfstabellen_Mat&amp;Bem'!f.Rd.3/'Hilfstabellen_Mat&amp;Bem'!$BD$30)</f>
        <v>0.68306234831018475</v>
      </c>
      <c r="F174" s="553">
        <f>0.5*(1+'Hilfstabellen_Mat&amp;Bem'!$BD$31*($E174-0.3)+$E174^2)</f>
        <v>0.75244020325502137</v>
      </c>
      <c r="G174" s="550">
        <f t="shared" si="132"/>
        <v>0.93630999881643329</v>
      </c>
      <c r="I174" s="551">
        <f t="shared" si="177"/>
        <v>47822.969499548148</v>
      </c>
      <c r="M174" s="546">
        <f t="shared" si="133"/>
        <v>226</v>
      </c>
      <c r="N174" s="551">
        <f t="shared" si="123"/>
        <v>44.450861433183576</v>
      </c>
      <c r="O174" s="553">
        <f>$N174/PI()*SQRT('Hilfstabellen_Mat&amp;Bem'!f.Rd.3/'Hilfstabellen_Mat&amp;Bem'!$BD$30)</f>
        <v>0.70745743217840573</v>
      </c>
      <c r="P174" s="553">
        <f>0.5*(1+'Hilfstabellen_Mat&amp;Bem'!$BD$31*($O174-0.3)+$O174^2)</f>
        <v>0.7706208807811521</v>
      </c>
      <c r="Q174" s="550">
        <f t="shared" si="124"/>
        <v>0.92922085332348259</v>
      </c>
      <c r="S174" s="551">
        <f t="shared" si="178"/>
        <v>47460.884304350198</v>
      </c>
      <c r="W174" s="546">
        <f t="shared" si="134"/>
        <v>226</v>
      </c>
      <c r="X174" s="551">
        <f t="shared" si="125"/>
        <v>45.983649758465766</v>
      </c>
      <c r="Y174" s="553">
        <f>$X174/PI()*SQRT('Hilfstabellen_Mat&amp;Bem'!f.Rd.3/'Hilfstabellen_Mat&amp;Bem'!$BD$30)</f>
        <v>0.73185251604662671</v>
      </c>
      <c r="Z174" s="553">
        <f>0.5*(1+'Hilfstabellen_Mat&amp;Bem'!$BD$31*($Y174-0.3)+$Y174^2)</f>
        <v>0.78939667842422034</v>
      </c>
      <c r="AA174" s="550">
        <f t="shared" si="126"/>
        <v>0.92143257678347446</v>
      </c>
      <c r="AC174" s="551">
        <f t="shared" si="179"/>
        <v>47063.090291792738</v>
      </c>
      <c r="AG174" s="546">
        <f t="shared" si="135"/>
        <v>226</v>
      </c>
      <c r="AH174" s="551">
        <f t="shared" si="127"/>
        <v>47.516438083747957</v>
      </c>
      <c r="AI174" s="553">
        <f>$AH174/PI()*SQRT('Hilfstabellen_Mat&amp;Bem'!f.Rd.3/'Hilfstabellen_Mat&amp;Bem'!$BD$30)</f>
        <v>0.75624759991484747</v>
      </c>
      <c r="AJ174" s="553">
        <f>0.5*(1+'Hilfstabellen_Mat&amp;Bem'!$BD$31*($AI174-0.3)+$AI174^2)</f>
        <v>0.808767596184226</v>
      </c>
      <c r="AK174" s="550">
        <f t="shared" si="128"/>
        <v>0.91285553449579648</v>
      </c>
      <c r="AM174" s="551">
        <f t="shared" si="180"/>
        <v>46625.009279907303</v>
      </c>
      <c r="AQ174" s="546">
        <f t="shared" si="136"/>
        <v>226</v>
      </c>
      <c r="AR174" s="551">
        <f t="shared" si="129"/>
        <v>49.049226409030155</v>
      </c>
      <c r="AS174" s="553">
        <f>$AR174/PI()*SQRT('Hilfstabellen_Mat&amp;Bem'!f.Rd.3/'Hilfstabellen_Mat&amp;Bem'!$BD$30)</f>
        <v>0.78064268378306845</v>
      </c>
      <c r="AT174" s="553">
        <f>0.5*(1+'Hilfstabellen_Mat&amp;Bem'!$BD$31*($AS174-0.3)+$AS174^2)</f>
        <v>0.82873363406116929</v>
      </c>
      <c r="AU174" s="550">
        <f t="shared" si="130"/>
        <v>0.90339477144838742</v>
      </c>
      <c r="AW174" s="551">
        <f t="shared" si="181"/>
        <v>46141.791346497834</v>
      </c>
      <c r="AZ174" s="547">
        <f>'Hilfstabellen_Mat&amp;Bem'!$J$56</f>
        <v>3.3</v>
      </c>
      <c r="BA174" s="546">
        <f t="shared" si="137"/>
        <v>226</v>
      </c>
      <c r="BB174" s="551">
        <f t="shared" si="138"/>
        <v>50.582014734312345</v>
      </c>
      <c r="BC174" s="553">
        <f>BB174/PI()*SQRT('Hilfstabellen_Mat&amp;Bem'!f.Rd.3/'Hilfstabellen_Mat&amp;Bem'!$BD$30)</f>
        <v>0.80503776765128932</v>
      </c>
      <c r="BD174" s="553">
        <f>0.5*(1+'Hilfstabellen_Mat&amp;Bem'!$BD$31*(BC174-0.3)+BC174^2)</f>
        <v>0.84929479205504999</v>
      </c>
      <c r="BE174" s="550">
        <f t="shared" si="139"/>
        <v>0.89295358003031755</v>
      </c>
      <c r="BG174" s="551">
        <f t="shared" si="140"/>
        <v>45608.497053628496</v>
      </c>
      <c r="BJ174" s="547">
        <f>'Hilfstabellen_Mat&amp;Bem'!$J$57</f>
        <v>3.4</v>
      </c>
      <c r="BK174" s="546">
        <f t="shared" si="141"/>
        <v>226</v>
      </c>
      <c r="BL174" s="551">
        <f t="shared" si="142"/>
        <v>52.114803059594536</v>
      </c>
      <c r="BM174" s="553">
        <f>BL174/PI()*SQRT('Hilfstabellen_Mat&amp;Bem'!f.Rd.3/'Hilfstabellen_Mat&amp;Bem'!$BD$30)</f>
        <v>0.82943285151951018</v>
      </c>
      <c r="BN174" s="553">
        <f>0.5*(1+'Hilfstabellen_Mat&amp;Bem'!$BD$31*(BM174-0.3)+BM174^2)</f>
        <v>0.87045107016586831</v>
      </c>
      <c r="BO174" s="550">
        <f t="shared" si="143"/>
        <v>0.8814391372149214</v>
      </c>
      <c r="BQ174" s="551">
        <f t="shared" si="144"/>
        <v>45020.385372389326</v>
      </c>
      <c r="BT174" s="547">
        <f>'Hilfstabellen_Mat&amp;Bem'!$J$58</f>
        <v>3.5</v>
      </c>
      <c r="BU174" s="546">
        <f t="shared" si="145"/>
        <v>226</v>
      </c>
      <c r="BV174" s="551">
        <f t="shared" si="146"/>
        <v>53.647591384876726</v>
      </c>
      <c r="BW174" s="553">
        <f>BV174/PI()*SQRT('Hilfstabellen_Mat&amp;Bem'!f.Rd.3/'Hilfstabellen_Mat&amp;Bem'!$BD$30)</f>
        <v>0.85382793538773116</v>
      </c>
      <c r="BX174" s="553">
        <f>0.5*(1+'Hilfstabellen_Mat&amp;Bem'!$BD$31*(BW174-0.3)+BW174^2)</f>
        <v>0.89220246839362438</v>
      </c>
      <c r="BY174" s="550">
        <f t="shared" si="147"/>
        <v>0.86877045014288201</v>
      </c>
      <c r="CA174" s="551">
        <f t="shared" si="148"/>
        <v>44373.319511497844</v>
      </c>
      <c r="CD174" s="547">
        <f>'Hilfstabellen_Mat&amp;Bem'!$J$59</f>
        <v>3.6</v>
      </c>
      <c r="CE174" s="546">
        <f t="shared" si="149"/>
        <v>226</v>
      </c>
      <c r="CF174" s="551">
        <f t="shared" si="150"/>
        <v>55.180379710158917</v>
      </c>
      <c r="CG174" s="553">
        <f>CF174/PI()*SQRT('Hilfstabellen_Mat&amp;Bem'!f.Rd.3/'Hilfstabellen_Mat&amp;Bem'!$BD$30)</f>
        <v>0.87822301925595192</v>
      </c>
      <c r="CH174" s="553">
        <f>0.5*(1+'Hilfstabellen_Mat&amp;Bem'!$BD$31*(CG174-0.3)+CG174^2)</f>
        <v>0.91454898673831764</v>
      </c>
      <c r="CI174" s="550">
        <f t="shared" si="151"/>
        <v>0.85488836130157453</v>
      </c>
      <c r="CK174" s="551">
        <f t="shared" si="152"/>
        <v>43664.277941839224</v>
      </c>
      <c r="CN174" s="547">
        <f>'Hilfstabellen_Mat&amp;Bem'!$J$60</f>
        <v>3.7</v>
      </c>
      <c r="CO174" s="546">
        <f t="shared" si="153"/>
        <v>226</v>
      </c>
      <c r="CP174" s="551">
        <f t="shared" si="154"/>
        <v>56.713168035441107</v>
      </c>
      <c r="CQ174" s="553">
        <f>CP174/PI()*SQRT('Hilfstabellen_Mat&amp;Bem'!f.Rd.3/'Hilfstabellen_Mat&amp;Bem'!$BD$30)</f>
        <v>0.90261810312417268</v>
      </c>
      <c r="CR174" s="553">
        <f>0.5*(1+'Hilfstabellen_Mat&amp;Bem'!$BD$31*(CQ174-0.3)+CQ174^2)</f>
        <v>0.93749062519994841</v>
      </c>
      <c r="CS174" s="550">
        <f t="shared" si="155"/>
        <v>0.83976658090700806</v>
      </c>
      <c r="CU174" s="551">
        <f t="shared" si="156"/>
        <v>42891.917886406343</v>
      </c>
      <c r="CX174" s="547">
        <f>'Hilfstabellen_Mat&amp;Bem'!$J$61</f>
        <v>3.8</v>
      </c>
      <c r="CY174" s="546">
        <f t="shared" si="157"/>
        <v>226</v>
      </c>
      <c r="CZ174" s="551">
        <f t="shared" si="158"/>
        <v>58.245956360723305</v>
      </c>
      <c r="DA174" s="553">
        <f>CZ174/PI()*SQRT('Hilfstabellen_Mat&amp;Bem'!f.Rd.3/'Hilfstabellen_Mat&amp;Bem'!$BD$30)</f>
        <v>0.92701318699239366</v>
      </c>
      <c r="DB174" s="553">
        <f>0.5*(1+'Hilfstabellen_Mat&amp;Bem'!$BD$31*(DA174-0.3)+DA174^2)</f>
        <v>0.96102738377851704</v>
      </c>
      <c r="DC174" s="550">
        <f t="shared" si="159"/>
        <v>0.8234218058633479</v>
      </c>
      <c r="DE174" s="551">
        <f t="shared" si="160"/>
        <v>42057.092156276354</v>
      </c>
      <c r="DH174" s="547">
        <f>'Hilfstabellen_Mat&amp;Bem'!$J$62</f>
        <v>3.9</v>
      </c>
      <c r="DI174" s="546">
        <f t="shared" si="161"/>
        <v>226</v>
      </c>
      <c r="DJ174" s="551">
        <f t="shared" si="162"/>
        <v>59.778744686005503</v>
      </c>
      <c r="DK174" s="553">
        <f>DJ174/PI()*SQRT('Hilfstabellen_Mat&amp;Bem'!f.Rd.3/'Hilfstabellen_Mat&amp;Bem'!$BD$30)</f>
        <v>0.95140827086061464</v>
      </c>
      <c r="DL174" s="553">
        <f>0.5*(1+'Hilfstabellen_Mat&amp;Bem'!$BD$31*(DK174-0.3)+DK174^2)</f>
        <v>0.98515926247402308</v>
      </c>
      <c r="DM174" s="550">
        <f t="shared" si="163"/>
        <v>0.80592036646447607</v>
      </c>
      <c r="DO174" s="551">
        <f t="shared" si="164"/>
        <v>41163.188637539577</v>
      </c>
      <c r="DR174" s="547">
        <f>'Hilfstabellen_Mat&amp;Bem'!$J$63</f>
        <v>4</v>
      </c>
      <c r="DS174" s="546">
        <f t="shared" si="165"/>
        <v>226</v>
      </c>
      <c r="DT174" s="551">
        <f t="shared" si="166"/>
        <v>61.311533011287686</v>
      </c>
      <c r="DU174" s="553">
        <f>DT174/PI()*SQRT('Hilfstabellen_Mat&amp;Bem'!f.Rd.3/'Hilfstabellen_Mat&amp;Bem'!$BD$30)</f>
        <v>0.9758033547288355</v>
      </c>
      <c r="DV174" s="553">
        <f>0.5*(1+'Hilfstabellen_Mat&amp;Bem'!$BD$31*(DU174-0.3)+DU174^2)</f>
        <v>1.0098862612864665</v>
      </c>
      <c r="DW174" s="550">
        <f t="shared" si="167"/>
        <v>0.78737903247221508</v>
      </c>
      <c r="DY174" s="551">
        <f t="shared" si="168"/>
        <v>40216.171462550854</v>
      </c>
      <c r="EB174" s="547">
        <f>'Hilfstabellen_Mat&amp;Bem'!$J$64</f>
        <v>4.0999999999999996</v>
      </c>
      <c r="EC174" s="546">
        <f t="shared" si="169"/>
        <v>226</v>
      </c>
      <c r="ED174" s="551">
        <f t="shared" si="170"/>
        <v>62.844321336569884</v>
      </c>
      <c r="EE174" s="553">
        <f>ED174/PI()*SQRT('Hilfstabellen_Mat&amp;Bem'!f.Rd.3/'Hilfstabellen_Mat&amp;Bem'!$BD$30)</f>
        <v>1.0001984385970564</v>
      </c>
      <c r="EF174" s="553">
        <f>0.5*(1+'Hilfstabellen_Mat&amp;Bem'!$BD$31*(EE174-0.3)+EE174^2)</f>
        <v>1.0352083802158476</v>
      </c>
      <c r="EG174" s="550">
        <f t="shared" si="171"/>
        <v>0.76795886267047764</v>
      </c>
      <c r="EI174" s="551">
        <f t="shared" si="172"/>
        <v>39224.266869757317</v>
      </c>
      <c r="EL174" s="547">
        <f>'Hilfstabellen_Mat&amp;Bem'!$J$65</f>
        <v>4.2</v>
      </c>
      <c r="EM174" s="546">
        <f t="shared" si="173"/>
        <v>226</v>
      </c>
      <c r="EN174" s="551">
        <f t="shared" si="174"/>
        <v>64.377109661852074</v>
      </c>
      <c r="EO174" s="553">
        <f>EN174/PI()*SQRT('Hilfstabellen_Mat&amp;Bem'!f.Rd.3/'Hilfstabellen_Mat&amp;Bem'!$BD$30)</f>
        <v>1.0245935224652774</v>
      </c>
      <c r="EP174" s="553">
        <f>0.5*(1+'Hilfstabellen_Mat&amp;Bem'!$BD$31*(EO174-0.3)+EO174^2)</f>
        <v>1.0611256192621663</v>
      </c>
      <c r="EQ174" s="550">
        <f t="shared" si="175"/>
        <v>0.7478529364348333</v>
      </c>
      <c r="ES174" s="551">
        <f t="shared" si="176"/>
        <v>38197.336581345546</v>
      </c>
    </row>
    <row r="175" spans="3:149">
      <c r="C175" s="546">
        <v>227</v>
      </c>
      <c r="D175" s="551">
        <f t="shared" si="131"/>
        <v>42.729006706544986</v>
      </c>
      <c r="E175" s="553">
        <f>$D175/PI()*SQRT('Hilfstabellen_Mat&amp;Bem'!f.Rd.3/'Hilfstabellen_Mat&amp;Bem'!$BD$30)</f>
        <v>0.6800532630753382</v>
      </c>
      <c r="F175" s="553">
        <f>0.5*(1+'Hilfstabellen_Mat&amp;Bem'!$BD$31*($E175-0.3)+$E175^2)</f>
        <v>0.75023888346347445</v>
      </c>
      <c r="G175" s="550">
        <f t="shared" si="132"/>
        <v>0.9371401184428344</v>
      </c>
      <c r="I175" s="551">
        <f t="shared" si="177"/>
        <v>48289.893163240813</v>
      </c>
      <c r="M175" s="546">
        <f t="shared" si="133"/>
        <v>227</v>
      </c>
      <c r="N175" s="551">
        <f t="shared" si="123"/>
        <v>44.255042660350171</v>
      </c>
      <c r="O175" s="553">
        <f>$N175/PI()*SQRT('Hilfstabellen_Mat&amp;Bem'!f.Rd.3/'Hilfstabellen_Mat&amp;Bem'!$BD$30)</f>
        <v>0.70434087961374325</v>
      </c>
      <c r="P175" s="553">
        <f>0.5*(1+'Hilfstabellen_Mat&amp;Bem'!$BD$31*($O175-0.3)+$O175^2)</f>
        <v>0.76826508132821791</v>
      </c>
      <c r="Q175" s="550">
        <f t="shared" si="124"/>
        <v>0.9301636663720142</v>
      </c>
      <c r="S175" s="551">
        <f t="shared" si="178"/>
        <v>47930.403564483517</v>
      </c>
      <c r="W175" s="546">
        <f t="shared" si="134"/>
        <v>227</v>
      </c>
      <c r="X175" s="551">
        <f t="shared" si="125"/>
        <v>45.781078614155341</v>
      </c>
      <c r="Y175" s="553">
        <f>$X175/PI()*SQRT('Hilfstabellen_Mat&amp;Bem'!f.Rd.3/'Hilfstabellen_Mat&amp;Bem'!$BD$30)</f>
        <v>0.72862849615214809</v>
      </c>
      <c r="Z175" s="553">
        <f>0.5*(1+'Hilfstabellen_Mat&amp;Bem'!$BD$31*($Y175-0.3)+$Y175^2)</f>
        <v>0.78688116751007786</v>
      </c>
      <c r="AA175" s="550">
        <f t="shared" si="126"/>
        <v>0.9225050923767486</v>
      </c>
      <c r="AC175" s="551">
        <f t="shared" si="179"/>
        <v>47535.76490508148</v>
      </c>
      <c r="AG175" s="546">
        <f t="shared" si="135"/>
        <v>227</v>
      </c>
      <c r="AH175" s="551">
        <f t="shared" si="127"/>
        <v>47.307114567960525</v>
      </c>
      <c r="AI175" s="553">
        <f>$AH175/PI()*SQRT('Hilfstabellen_Mat&amp;Bem'!f.Rd.3/'Hilfstabellen_Mat&amp;Bem'!$BD$30)</f>
        <v>0.75291611269055314</v>
      </c>
      <c r="AJ175" s="553">
        <f>0.5*(1+'Hilfstabellen_Mat&amp;Bem'!$BD$31*($AI175-0.3)+$AI175^2)</f>
        <v>0.80608714200905451</v>
      </c>
      <c r="AK175" s="550">
        <f t="shared" si="128"/>
        <v>0.91407679120409957</v>
      </c>
      <c r="AM175" s="551">
        <f t="shared" si="180"/>
        <v>47101.462973956048</v>
      </c>
      <c r="AQ175" s="546">
        <f t="shared" si="136"/>
        <v>227</v>
      </c>
      <c r="AR175" s="551">
        <f t="shared" si="129"/>
        <v>48.833150521765695</v>
      </c>
      <c r="AS175" s="553">
        <f>$AR175/PI()*SQRT('Hilfstabellen_Mat&amp;Bem'!f.Rd.3/'Hilfstabellen_Mat&amp;Bem'!$BD$30)</f>
        <v>0.77720372922895786</v>
      </c>
      <c r="AT175" s="553">
        <f>0.5*(1+'Hilfstabellen_Mat&amp;Bem'!$BD$31*($AS175-0.3)+$AS175^2)</f>
        <v>0.82588300482514754</v>
      </c>
      <c r="AU175" s="550">
        <f t="shared" si="130"/>
        <v>0.90478559448726648</v>
      </c>
      <c r="AW175" s="551">
        <f t="shared" si="181"/>
        <v>46622.696898334354</v>
      </c>
      <c r="AZ175" s="547">
        <f>'Hilfstabellen_Mat&amp;Bem'!$J$56</f>
        <v>3.3</v>
      </c>
      <c r="BA175" s="546">
        <f t="shared" si="137"/>
        <v>227</v>
      </c>
      <c r="BB175" s="551">
        <f t="shared" si="138"/>
        <v>50.35918647557088</v>
      </c>
      <c r="BC175" s="553">
        <f>BB175/PI()*SQRT('Hilfstabellen_Mat&amp;Bem'!f.Rd.3/'Hilfstabellen_Mat&amp;Bem'!$BD$30)</f>
        <v>0.80149134576736292</v>
      </c>
      <c r="BD175" s="553">
        <f>0.5*(1+'Hilfstabellen_Mat&amp;Bem'!$BD$31*(BC175-0.3)+BC175^2)</f>
        <v>0.84626875595835727</v>
      </c>
      <c r="BE175" s="550">
        <f t="shared" si="139"/>
        <v>0.89453601916544656</v>
      </c>
      <c r="BG175" s="551">
        <f t="shared" si="140"/>
        <v>46094.546531576299</v>
      </c>
      <c r="BJ175" s="547">
        <f>'Hilfstabellen_Mat&amp;Bem'!$J$57</f>
        <v>3.4</v>
      </c>
      <c r="BK175" s="546">
        <f t="shared" si="141"/>
        <v>227</v>
      </c>
      <c r="BL175" s="551">
        <f t="shared" si="142"/>
        <v>51.885222429376057</v>
      </c>
      <c r="BM175" s="553">
        <f>BL175/PI()*SQRT('Hilfstabellen_Mat&amp;Bem'!f.Rd.3/'Hilfstabellen_Mat&amp;Bem'!$BD$30)</f>
        <v>0.82577896230576775</v>
      </c>
      <c r="BN175" s="553">
        <f>0.5*(1+'Hilfstabellen_Mat&amp;Bem'!$BD$31*(BM175-0.3)+BM175^2)</f>
        <v>0.8672443954086837</v>
      </c>
      <c r="BO175" s="550">
        <f t="shared" si="143"/>
        <v>0.88323547900436117</v>
      </c>
      <c r="BQ175" s="551">
        <f t="shared" si="144"/>
        <v>45512.240997615729</v>
      </c>
      <c r="BT175" s="547">
        <f>'Hilfstabellen_Mat&amp;Bem'!$J$58</f>
        <v>3.5</v>
      </c>
      <c r="BU175" s="546">
        <f t="shared" si="145"/>
        <v>227</v>
      </c>
      <c r="BV175" s="551">
        <f t="shared" si="146"/>
        <v>53.411258383181234</v>
      </c>
      <c r="BW175" s="553">
        <f>BV175/PI()*SQRT('Hilfstabellen_Mat&amp;Bem'!f.Rd.3/'Hilfstabellen_Mat&amp;Bem'!$BD$30)</f>
        <v>0.8500665788441728</v>
      </c>
      <c r="BX175" s="553">
        <f>0.5*(1+'Hilfstabellen_Mat&amp;Bem'!$BD$31*(BW175-0.3)+BW175^2)</f>
        <v>0.88880992317612684</v>
      </c>
      <c r="BY175" s="550">
        <f t="shared" si="147"/>
        <v>0.87080173406228989</v>
      </c>
      <c r="CA175" s="551">
        <f t="shared" si="148"/>
        <v>44871.542554495732</v>
      </c>
      <c r="CD175" s="547">
        <f>'Hilfstabellen_Mat&amp;Bem'!$J$59</f>
        <v>3.6</v>
      </c>
      <c r="CE175" s="546">
        <f t="shared" si="149"/>
        <v>227</v>
      </c>
      <c r="CF175" s="551">
        <f t="shared" si="150"/>
        <v>54.937294336986419</v>
      </c>
      <c r="CG175" s="553">
        <f>CF175/PI()*SQRT('Hilfstabellen_Mat&amp;Bem'!f.Rd.3/'Hilfstabellen_Mat&amp;Bem'!$BD$30)</f>
        <v>0.87435419538257786</v>
      </c>
      <c r="CH175" s="553">
        <f>0.5*(1+'Hilfstabellen_Mat&amp;Bem'!$BD$31*(CG175-0.3)+CG175^2)</f>
        <v>0.91096533926068646</v>
      </c>
      <c r="CI175" s="550">
        <f t="shared" si="151"/>
        <v>0.85717242405821792</v>
      </c>
      <c r="CK175" s="551">
        <f t="shared" si="152"/>
        <v>44169.237839295914</v>
      </c>
      <c r="CN175" s="547">
        <f>'Hilfstabellen_Mat&amp;Bem'!$J$60</f>
        <v>3.7</v>
      </c>
      <c r="CO175" s="546">
        <f t="shared" si="153"/>
        <v>227</v>
      </c>
      <c r="CP175" s="551">
        <f t="shared" si="154"/>
        <v>56.463330290791596</v>
      </c>
      <c r="CQ175" s="553">
        <f>CP175/PI()*SQRT('Hilfstabellen_Mat&amp;Bem'!f.Rd.3/'Hilfstabellen_Mat&amp;Bem'!$BD$30)</f>
        <v>0.89864181192098269</v>
      </c>
      <c r="CR175" s="553">
        <f>0.5*(1+'Hilfstabellen_Mat&amp;Bem'!$BD$31*(CQ175-0.3)+CQ175^2)</f>
        <v>0.93371064366236256</v>
      </c>
      <c r="CS175" s="550">
        <f t="shared" si="155"/>
        <v>0.84231581152516799</v>
      </c>
      <c r="CU175" s="551">
        <f t="shared" si="156"/>
        <v>43403.691452080384</v>
      </c>
      <c r="CX175" s="547">
        <f>'Hilfstabellen_Mat&amp;Bem'!$J$61</f>
        <v>3.8</v>
      </c>
      <c r="CY175" s="546">
        <f t="shared" si="157"/>
        <v>227</v>
      </c>
      <c r="CZ175" s="551">
        <f t="shared" si="158"/>
        <v>57.989366244596773</v>
      </c>
      <c r="DA175" s="553">
        <f>CZ175/PI()*SQRT('Hilfstabellen_Mat&amp;Bem'!f.Rd.3/'Hilfstabellen_Mat&amp;Bem'!$BD$30)</f>
        <v>0.92292942845938775</v>
      </c>
      <c r="DB175" s="553">
        <f>0.5*(1+'Hilfstabellen_Mat&amp;Bem'!$BD$31*(DA175-0.3)+DA175^2)</f>
        <v>0.95704583638115559</v>
      </c>
      <c r="DC175" s="550">
        <f t="shared" si="159"/>
        <v>0.82624098077603947</v>
      </c>
      <c r="DE175" s="551">
        <f t="shared" si="160"/>
        <v>42575.371498408538</v>
      </c>
      <c r="DH175" s="547">
        <f>'Hilfstabellen_Mat&amp;Bem'!$J$62</f>
        <v>3.9</v>
      </c>
      <c r="DI175" s="546">
        <f t="shared" si="161"/>
        <v>227</v>
      </c>
      <c r="DJ175" s="551">
        <f t="shared" si="162"/>
        <v>59.515402198401944</v>
      </c>
      <c r="DK175" s="553">
        <f>DJ175/PI()*SQRT('Hilfstabellen_Mat&amp;Bem'!f.Rd.3/'Hilfstabellen_Mat&amp;Bem'!$BD$30)</f>
        <v>0.94721704499779236</v>
      </c>
      <c r="DL175" s="553">
        <f>0.5*(1+'Hilfstabellen_Mat&amp;Bem'!$BD$31*(DK175-0.3)+DK175^2)</f>
        <v>0.98097091741706444</v>
      </c>
      <c r="DM175" s="550">
        <f t="shared" si="163"/>
        <v>0.80900506382340442</v>
      </c>
      <c r="DO175" s="551">
        <f t="shared" si="164"/>
        <v>41687.221933756206</v>
      </c>
      <c r="DR175" s="547">
        <f>'Hilfstabellen_Mat&amp;Bem'!$J$63</f>
        <v>4</v>
      </c>
      <c r="DS175" s="546">
        <f t="shared" si="165"/>
        <v>227</v>
      </c>
      <c r="DT175" s="551">
        <f t="shared" si="166"/>
        <v>61.041438152207121</v>
      </c>
      <c r="DU175" s="553">
        <f>DT175/PI()*SQRT('Hilfstabellen_Mat&amp;Bem'!f.Rd.3/'Hilfstabellen_Mat&amp;Bem'!$BD$30)</f>
        <v>0.97150466153619741</v>
      </c>
      <c r="DV175" s="553">
        <f>0.5*(1+'Hilfstabellen_Mat&amp;Bem'!$BD$31*(DU175-0.3)+DU175^2)</f>
        <v>1.0054858867700907</v>
      </c>
      <c r="DW175" s="550">
        <f t="shared" si="167"/>
        <v>0.79071509541401208</v>
      </c>
      <c r="DY175" s="551">
        <f t="shared" si="168"/>
        <v>40744.758151588627</v>
      </c>
      <c r="EB175" s="547">
        <f>'Hilfstabellen_Mat&amp;Bem'!$J$64</f>
        <v>4.0999999999999996</v>
      </c>
      <c r="EC175" s="546">
        <f t="shared" si="169"/>
        <v>227</v>
      </c>
      <c r="ED175" s="551">
        <f t="shared" si="170"/>
        <v>62.567474106012305</v>
      </c>
      <c r="EE175" s="553">
        <f>ED175/PI()*SQRT('Hilfstabellen_Mat&amp;Bem'!f.Rd.3/'Hilfstabellen_Mat&amp;Bem'!$BD$30)</f>
        <v>0.99579227807460247</v>
      </c>
      <c r="EF175" s="553">
        <f>0.5*(1+'Hilfstabellen_Mat&amp;Bem'!$BD$31*(EE175-0.3)+EE175^2)</f>
        <v>1.0305907444402334</v>
      </c>
      <c r="EG175" s="550">
        <f t="shared" si="171"/>
        <v>0.77152314794012156</v>
      </c>
      <c r="EI175" s="551">
        <f t="shared" si="172"/>
        <v>39755.816290206523</v>
      </c>
      <c r="EL175" s="547">
        <f>'Hilfstabellen_Mat&amp;Bem'!$J$65</f>
        <v>4.2</v>
      </c>
      <c r="EM175" s="546">
        <f t="shared" si="173"/>
        <v>227</v>
      </c>
      <c r="EN175" s="551">
        <f t="shared" si="174"/>
        <v>64.093510059817476</v>
      </c>
      <c r="EO175" s="553">
        <f>EN175/PI()*SQRT('Hilfstabellen_Mat&amp;Bem'!f.Rd.3/'Hilfstabellen_Mat&amp;Bem'!$BD$30)</f>
        <v>1.0200798946130074</v>
      </c>
      <c r="EP175" s="553">
        <f>0.5*(1+'Hilfstabellen_Mat&amp;Bem'!$BD$31*(EO175-0.3)+EO175^2)</f>
        <v>1.0562854904274925</v>
      </c>
      <c r="EQ175" s="550">
        <f t="shared" si="175"/>
        <v>0.75161522385205648</v>
      </c>
      <c r="ES175" s="551">
        <f t="shared" si="176"/>
        <v>38729.980869872619</v>
      </c>
    </row>
    <row r="176" spans="3:149">
      <c r="C176" s="546">
        <v>228</v>
      </c>
      <c r="D176" s="551">
        <f t="shared" si="131"/>
        <v>42.541598782393478</v>
      </c>
      <c r="E176" s="553">
        <f>$D176/PI()*SQRT('Hilfstabellen_Mat&amp;Bem'!f.Rd.3/'Hilfstabellen_Mat&amp;Bem'!$BD$30)</f>
        <v>0.67707057332500786</v>
      </c>
      <c r="F176" s="553">
        <f>0.5*(1+'Hilfstabellen_Mat&amp;Bem'!$BD$31*($E176-0.3)+$E176^2)</f>
        <v>0.74806580929757782</v>
      </c>
      <c r="G176" s="550">
        <f t="shared" si="132"/>
        <v>0.9379538494989923</v>
      </c>
      <c r="I176" s="551">
        <f t="shared" si="177"/>
        <v>48758.592912355612</v>
      </c>
      <c r="M176" s="546">
        <f t="shared" si="133"/>
        <v>228</v>
      </c>
      <c r="N176" s="551">
        <f t="shared" si="123"/>
        <v>44.060941596050384</v>
      </c>
      <c r="O176" s="553">
        <f>$N176/PI()*SQRT('Hilfstabellen_Mat&amp;Bem'!f.Rd.3/'Hilfstabellen_Mat&amp;Bem'!$BD$30)</f>
        <v>0.70125166522947235</v>
      </c>
      <c r="P176" s="553">
        <f>0.5*(1+'Hilfstabellen_Mat&amp;Bem'!$BD$31*($O176-0.3)+$O176^2)</f>
        <v>0.76593953225502753</v>
      </c>
      <c r="Q176" s="550">
        <f t="shared" si="124"/>
        <v>0.93108713428398604</v>
      </c>
      <c r="S176" s="551">
        <f t="shared" si="178"/>
        <v>48401.63358861873</v>
      </c>
      <c r="W176" s="546">
        <f t="shared" si="134"/>
        <v>228</v>
      </c>
      <c r="X176" s="551">
        <f t="shared" si="125"/>
        <v>45.580284409707289</v>
      </c>
      <c r="Y176" s="553">
        <f>$X176/PI()*SQRT('Hilfstabellen_Mat&amp;Bem'!f.Rd.3/'Hilfstabellen_Mat&amp;Bem'!$BD$30)</f>
        <v>0.72543275713393685</v>
      </c>
      <c r="Z176" s="553">
        <f>0.5*(1+'Hilfstabellen_Mat&amp;Bem'!$BD$31*($Y176-0.3)+$Y176^2)</f>
        <v>0.78439798041816955</v>
      </c>
      <c r="AA176" s="550">
        <f t="shared" si="126"/>
        <v>0.92355482226439289</v>
      </c>
      <c r="AC176" s="551">
        <f t="shared" si="179"/>
        <v>48010.073880592201</v>
      </c>
      <c r="AG176" s="546">
        <f t="shared" si="135"/>
        <v>228</v>
      </c>
      <c r="AH176" s="551">
        <f t="shared" si="127"/>
        <v>47.099627223364202</v>
      </c>
      <c r="AI176" s="553">
        <f>$AH176/PI()*SQRT('Hilfstabellen_Mat&amp;Bem'!f.Rd.3/'Hilfstabellen_Mat&amp;Bem'!$BD$30)</f>
        <v>0.74961384903840145</v>
      </c>
      <c r="AJ176" s="553">
        <f>0.5*(1+'Hilfstabellen_Mat&amp;Bem'!$BD$31*($AI176-0.3)+$AI176^2)</f>
        <v>0.80344115378700376</v>
      </c>
      <c r="AK176" s="550">
        <f t="shared" si="128"/>
        <v>0.91527131587427002</v>
      </c>
      <c r="AM176" s="551">
        <f t="shared" si="180"/>
        <v>47579.46408440805</v>
      </c>
      <c r="AQ176" s="546">
        <f t="shared" si="136"/>
        <v>228</v>
      </c>
      <c r="AR176" s="551">
        <f t="shared" si="129"/>
        <v>48.618970037021114</v>
      </c>
      <c r="AS176" s="553">
        <f>$AR176/PI()*SQRT('Hilfstabellen_Mat&amp;Bem'!f.Rd.3/'Hilfstabellen_Mat&amp;Bem'!$BD$30)</f>
        <v>0.77379494094286605</v>
      </c>
      <c r="AT176" s="553">
        <f>0.5*(1+'Hilfstabellen_Mat&amp;Bem'!$BD$31*($AS176-0.3)+$AS176^2)</f>
        <v>0.82306905236153005</v>
      </c>
      <c r="AU176" s="550">
        <f t="shared" si="130"/>
        <v>0.90614525032553728</v>
      </c>
      <c r="AW176" s="551">
        <f t="shared" si="181"/>
        <v>47105.054692922728</v>
      </c>
      <c r="AZ176" s="547">
        <f>'Hilfstabellen_Mat&amp;Bem'!$J$56</f>
        <v>3.3</v>
      </c>
      <c r="BA176" s="546">
        <f t="shared" si="137"/>
        <v>228</v>
      </c>
      <c r="BB176" s="551">
        <f t="shared" si="138"/>
        <v>50.13831285067802</v>
      </c>
      <c r="BC176" s="553">
        <f>BB176/PI()*SQRT('Hilfstabellen_Mat&amp;Bem'!f.Rd.3/'Hilfstabellen_Mat&amp;Bem'!$BD$30)</f>
        <v>0.79797603284733054</v>
      </c>
      <c r="BD176" s="553">
        <f>0.5*(1+'Hilfstabellen_Mat&amp;Bem'!$BD$31*(BC176-0.3)+BC176^2)</f>
        <v>0.84328167614174854</v>
      </c>
      <c r="BE176" s="550">
        <f t="shared" si="139"/>
        <v>0.89608244537315507</v>
      </c>
      <c r="BG176" s="551">
        <f t="shared" si="140"/>
        <v>46581.949840278096</v>
      </c>
      <c r="BJ176" s="547">
        <f>'Hilfstabellen_Mat&amp;Bem'!$J$57</f>
        <v>3.4</v>
      </c>
      <c r="BK176" s="546">
        <f t="shared" si="141"/>
        <v>228</v>
      </c>
      <c r="BL176" s="551">
        <f t="shared" si="142"/>
        <v>51.657655664334932</v>
      </c>
      <c r="BM176" s="553">
        <f>BL176/PI()*SQRT('Hilfstabellen_Mat&amp;Bem'!f.Rd.3/'Hilfstabellen_Mat&amp;Bem'!$BD$30)</f>
        <v>0.82215712475179525</v>
      </c>
      <c r="BN176" s="553">
        <f>0.5*(1+'Hilfstabellen_Mat&amp;Bem'!$BD$31*(BM176-0.3)+BM176^2)</f>
        <v>0.86407902512765933</v>
      </c>
      <c r="BO176" s="550">
        <f t="shared" si="143"/>
        <v>0.88499071555873665</v>
      </c>
      <c r="BQ176" s="551">
        <f t="shared" si="144"/>
        <v>46005.357357605368</v>
      </c>
      <c r="BT176" s="547">
        <f>'Hilfstabellen_Mat&amp;Bem'!$J$58</f>
        <v>3.5</v>
      </c>
      <c r="BU176" s="546">
        <f t="shared" si="145"/>
        <v>228</v>
      </c>
      <c r="BV176" s="551">
        <f t="shared" si="146"/>
        <v>53.176998477991845</v>
      </c>
      <c r="BW176" s="553">
        <f>BV176/PI()*SQRT('Hilfstabellen_Mat&amp;Bem'!f.Rd.3/'Hilfstabellen_Mat&amp;Bem'!$BD$30)</f>
        <v>0.84633821665625986</v>
      </c>
      <c r="BX176" s="553">
        <f>0.5*(1+'Hilfstabellen_Mat&amp;Bem'!$BD$31*(BW176-0.3)+BW176^2)</f>
        <v>0.88546109931926209</v>
      </c>
      <c r="BY176" s="550">
        <f t="shared" si="147"/>
        <v>0.87278684201194712</v>
      </c>
      <c r="CA176" s="551">
        <f t="shared" si="148"/>
        <v>45370.951195149057</v>
      </c>
      <c r="CD176" s="547">
        <f>'Hilfstabellen_Mat&amp;Bem'!$J$59</f>
        <v>3.6</v>
      </c>
      <c r="CE176" s="546">
        <f t="shared" si="149"/>
        <v>228</v>
      </c>
      <c r="CF176" s="551">
        <f t="shared" si="150"/>
        <v>54.69634129164875</v>
      </c>
      <c r="CG176" s="553">
        <f>CF176/PI()*SQRT('Hilfstabellen_Mat&amp;Bem'!f.Rd.3/'Hilfstabellen_Mat&amp;Bem'!$BD$30)</f>
        <v>0.87051930856072424</v>
      </c>
      <c r="CH176" s="553">
        <f>0.5*(1+'Hilfstabellen_Mat&amp;Bem'!$BD$31*(CG176-0.3)+CG176^2)</f>
        <v>0.90742789871655694</v>
      </c>
      <c r="CI176" s="550">
        <f t="shared" si="151"/>
        <v>0.85940563421819804</v>
      </c>
      <c r="CK176" s="551">
        <f t="shared" si="152"/>
        <v>44675.342489198811</v>
      </c>
      <c r="CN176" s="547">
        <f>'Hilfstabellen_Mat&amp;Bem'!$J$60</f>
        <v>3.7</v>
      </c>
      <c r="CO176" s="546">
        <f t="shared" si="153"/>
        <v>228</v>
      </c>
      <c r="CP176" s="551">
        <f t="shared" si="154"/>
        <v>56.215684105305662</v>
      </c>
      <c r="CQ176" s="553">
        <f>CP176/PI()*SQRT('Hilfstabellen_Mat&amp;Bem'!f.Rd.3/'Hilfstabellen_Mat&amp;Bem'!$BD$30)</f>
        <v>0.89470040046518884</v>
      </c>
      <c r="CR176" s="553">
        <f>0.5*(1+'Hilfstabellen_Mat&amp;Bem'!$BD$31*(CQ176-0.3)+CQ176^2)</f>
        <v>0.92997942331954409</v>
      </c>
      <c r="CS176" s="550">
        <f t="shared" si="155"/>
        <v>0.8448103524379531</v>
      </c>
      <c r="CU176" s="551">
        <f t="shared" si="156"/>
        <v>43916.621361134552</v>
      </c>
      <c r="CX176" s="547">
        <f>'Hilfstabellen_Mat&amp;Bem'!$J$61</f>
        <v>3.8</v>
      </c>
      <c r="CY176" s="546">
        <f t="shared" si="157"/>
        <v>228</v>
      </c>
      <c r="CZ176" s="551">
        <f t="shared" si="158"/>
        <v>57.735026918962575</v>
      </c>
      <c r="DA176" s="553">
        <f>CZ176/PI()*SQRT('Hilfstabellen_Mat&amp;Bem'!f.Rd.3/'Hilfstabellen_Mat&amp;Bem'!$BD$30)</f>
        <v>0.91888149236965355</v>
      </c>
      <c r="DB176" s="553">
        <f>0.5*(1+'Hilfstabellen_Mat&amp;Bem'!$BD$31*(DA176-0.3)+DA176^2)</f>
        <v>0.95311567312822354</v>
      </c>
      <c r="DC176" s="550">
        <f t="shared" si="159"/>
        <v>0.8290029172295762</v>
      </c>
      <c r="DE176" s="551">
        <f t="shared" si="160"/>
        <v>43094.887649262288</v>
      </c>
      <c r="DH176" s="547">
        <f>'Hilfstabellen_Mat&amp;Bem'!$J$62</f>
        <v>3.9</v>
      </c>
      <c r="DI176" s="546">
        <f t="shared" si="161"/>
        <v>228</v>
      </c>
      <c r="DJ176" s="551">
        <f t="shared" si="162"/>
        <v>59.25436973261948</v>
      </c>
      <c r="DK176" s="553">
        <f>DJ176/PI()*SQRT('Hilfstabellen_Mat&amp;Bem'!f.Rd.3/'Hilfstabellen_Mat&amp;Bem'!$BD$30)</f>
        <v>0.94306258427411793</v>
      </c>
      <c r="DL176" s="553">
        <f>0.5*(1+'Hilfstabellen_Mat&amp;Bem'!$BD$31*(DK176-0.3)+DK176^2)</f>
        <v>0.97683664814259485</v>
      </c>
      <c r="DM176" s="550">
        <f t="shared" si="163"/>
        <v>0.81203161832185122</v>
      </c>
      <c r="DO176" s="551">
        <f t="shared" si="164"/>
        <v>42212.651646843115</v>
      </c>
      <c r="DR176" s="547">
        <f>'Hilfstabellen_Mat&amp;Bem'!$J$63</f>
        <v>4</v>
      </c>
      <c r="DS176" s="546">
        <f t="shared" si="165"/>
        <v>228</v>
      </c>
      <c r="DT176" s="551">
        <f t="shared" si="166"/>
        <v>60.7737125462764</v>
      </c>
      <c r="DU176" s="553">
        <f>DT176/PI()*SQRT('Hilfstabellen_Mat&amp;Bem'!f.Rd.3/'Hilfstabellen_Mat&amp;Bem'!$BD$30)</f>
        <v>0.96724367617858276</v>
      </c>
      <c r="DV176" s="553">
        <f>0.5*(1+'Hilfstabellen_Mat&amp;Bem'!$BD$31*(DU176-0.3)+DU176^2)</f>
        <v>1.0011423483626585</v>
      </c>
      <c r="DW176" s="550">
        <f t="shared" si="167"/>
        <v>0.79399392676393965</v>
      </c>
      <c r="DY176" s="551">
        <f t="shared" si="168"/>
        <v>41274.980288896637</v>
      </c>
      <c r="EB176" s="547">
        <f>'Hilfstabellen_Mat&amp;Bem'!$J$64</f>
        <v>4.0999999999999996</v>
      </c>
      <c r="EC176" s="546">
        <f t="shared" si="169"/>
        <v>228</v>
      </c>
      <c r="ED176" s="551">
        <f t="shared" si="170"/>
        <v>62.293055359933298</v>
      </c>
      <c r="EE176" s="553">
        <f>ED176/PI()*SQRT('Hilfstabellen_Mat&amp;Bem'!f.Rd.3/'Hilfstabellen_Mat&amp;Bem'!$BD$30)</f>
        <v>0.99142476808304714</v>
      </c>
      <c r="EF176" s="553">
        <f>0.5*(1+'Hilfstabellen_Mat&amp;Bem'!$BD$31*(EE176-0.3)+EE176^2)</f>
        <v>1.0260327737884143</v>
      </c>
      <c r="EG176" s="550">
        <f t="shared" si="171"/>
        <v>0.77503286646491132</v>
      </c>
      <c r="EI176" s="551">
        <f t="shared" si="172"/>
        <v>40289.308530311951</v>
      </c>
      <c r="EL176" s="547">
        <f>'Hilfstabellen_Mat&amp;Bem'!$J$65</f>
        <v>4.2</v>
      </c>
      <c r="EM176" s="546">
        <f t="shared" si="173"/>
        <v>228</v>
      </c>
      <c r="EN176" s="551">
        <f t="shared" si="174"/>
        <v>63.812398173590218</v>
      </c>
      <c r="EO176" s="553">
        <f>EN176/PI()*SQRT('Hilfstabellen_Mat&amp;Bem'!f.Rd.3/'Hilfstabellen_Mat&amp;Bem'!$BD$30)</f>
        <v>1.0156058599875117</v>
      </c>
      <c r="EP176" s="553">
        <f>0.5*(1+'Hilfstabellen_Mat&amp;Bem'!$BD$31*(EO176-0.3)+EO176^2)</f>
        <v>1.0515079244198622</v>
      </c>
      <c r="EQ176" s="550">
        <f t="shared" si="175"/>
        <v>0.75532708461504172</v>
      </c>
      <c r="ES176" s="551">
        <f t="shared" si="176"/>
        <v>39264.92316662833</v>
      </c>
    </row>
    <row r="177" spans="3:149">
      <c r="C177" s="546">
        <v>229</v>
      </c>
      <c r="D177" s="551">
        <f t="shared" si="131"/>
        <v>42.355827608671234</v>
      </c>
      <c r="E177" s="553">
        <f>$D177/PI()*SQRT('Hilfstabellen_Mat&amp;Bem'!f.Rd.3/'Hilfstabellen_Mat&amp;Bem'!$BD$30)</f>
        <v>0.67411393326682001</v>
      </c>
      <c r="F177" s="553">
        <f>0.5*(1+'Hilfstabellen_Mat&amp;Bem'!$BD$31*($E177-0.3)+$E177^2)</f>
        <v>0.74592049417557238</v>
      </c>
      <c r="G177" s="550">
        <f t="shared" si="132"/>
        <v>0.93875166421221401</v>
      </c>
      <c r="I177" s="551">
        <f t="shared" si="177"/>
        <v>49229.076022952715</v>
      </c>
      <c r="M177" s="546">
        <f t="shared" si="133"/>
        <v>229</v>
      </c>
      <c r="N177" s="551">
        <f t="shared" si="123"/>
        <v>43.868535737552349</v>
      </c>
      <c r="O177" s="553">
        <f>$N177/PI()*SQRT('Hilfstabellen_Mat&amp;Bem'!f.Rd.3/'Hilfstabellen_Mat&amp;Bem'!$BD$30)</f>
        <v>0.69818943088349217</v>
      </c>
      <c r="P177" s="553">
        <f>0.5*(1+'Hilfstabellen_Mat&amp;Bem'!$BD$31*($O177-0.3)+$O177^2)</f>
        <v>0.76364371224288197</v>
      </c>
      <c r="Q177" s="550">
        <f t="shared" si="124"/>
        <v>0.93199182504796829</v>
      </c>
      <c r="S177" s="551">
        <f t="shared" si="178"/>
        <v>48874.583297340505</v>
      </c>
      <c r="W177" s="546">
        <f t="shared" si="134"/>
        <v>229</v>
      </c>
      <c r="X177" s="551">
        <f t="shared" si="125"/>
        <v>45.381243866433465</v>
      </c>
      <c r="Y177" s="553">
        <f>$X177/PI()*SQRT('Hilfstabellen_Mat&amp;Bem'!f.Rd.3/'Hilfstabellen_Mat&amp;Bem'!$BD$30)</f>
        <v>0.72226492850016433</v>
      </c>
      <c r="Z177" s="553">
        <f>0.5*(1+'Hilfstabellen_Mat&amp;Bem'!$BD$31*($Y177-0.3)+$Y177^2)</f>
        <v>0.78194655989568196</v>
      </c>
      <c r="AA177" s="550">
        <f t="shared" si="126"/>
        <v>0.92458244312174276</v>
      </c>
      <c r="AC177" s="551">
        <f t="shared" si="179"/>
        <v>48486.027899747314</v>
      </c>
      <c r="AG177" s="546">
        <f t="shared" si="135"/>
        <v>229</v>
      </c>
      <c r="AH177" s="551">
        <f t="shared" si="127"/>
        <v>46.89395199531458</v>
      </c>
      <c r="AI177" s="553">
        <f>$AH177/PI()*SQRT('Hilfstabellen_Mat&amp;Bem'!f.Rd.3/'Hilfstabellen_Mat&amp;Bem'!$BD$30)</f>
        <v>0.74634042611683649</v>
      </c>
      <c r="AJ177" s="553">
        <f>0.5*(1+'Hilfstabellen_Mat&amp;Bem'!$BD$31*($AI177-0.3)+$AI177^2)</f>
        <v>0.80082903713397235</v>
      </c>
      <c r="AK177" s="550">
        <f t="shared" si="128"/>
        <v>0.91643990372747186</v>
      </c>
      <c r="AM177" s="551">
        <f t="shared" si="180"/>
        <v>48059.024991372353</v>
      </c>
      <c r="AQ177" s="546">
        <f t="shared" si="136"/>
        <v>229</v>
      </c>
      <c r="AR177" s="551">
        <f t="shared" si="129"/>
        <v>48.406660124195696</v>
      </c>
      <c r="AS177" s="553">
        <f>$AR177/PI()*SQRT('Hilfstabellen_Mat&amp;Bem'!f.Rd.3/'Hilfstabellen_Mat&amp;Bem'!$BD$30)</f>
        <v>0.77041592373350865</v>
      </c>
      <c r="AT177" s="553">
        <f>0.5*(1+'Hilfstabellen_Mat&amp;Bem'!$BD$31*($AS177-0.3)+$AS177^2)</f>
        <v>0.82029114395775315</v>
      </c>
      <c r="AU177" s="550">
        <f t="shared" si="130"/>
        <v>0.90747465594032928</v>
      </c>
      <c r="AW177" s="551">
        <f t="shared" si="181"/>
        <v>47588.878432166806</v>
      </c>
      <c r="AZ177" s="547">
        <f>'Hilfstabellen_Mat&amp;Bem'!$J$56</f>
        <v>3.3</v>
      </c>
      <c r="BA177" s="546">
        <f t="shared" si="137"/>
        <v>229</v>
      </c>
      <c r="BB177" s="551">
        <f t="shared" si="138"/>
        <v>49.919368253076804</v>
      </c>
      <c r="BC177" s="553">
        <f>BB177/PI()*SQRT('Hilfstabellen_Mat&amp;Bem'!f.Rd.3/'Hilfstabellen_Mat&amp;Bem'!$BD$30)</f>
        <v>0.79449142135018058</v>
      </c>
      <c r="BD177" s="553">
        <f>0.5*(1+'Hilfstabellen_Mat&amp;Bem'!$BD$31*(BC177-0.3)+BC177^2)</f>
        <v>0.84033288036702414</v>
      </c>
      <c r="BE177" s="550">
        <f t="shared" si="139"/>
        <v>0.89759388913978433</v>
      </c>
      <c r="BG177" s="551">
        <f t="shared" si="140"/>
        <v>47070.721140379428</v>
      </c>
      <c r="BJ177" s="547">
        <f>'Hilfstabellen_Mat&amp;Bem'!$J$57</f>
        <v>3.4</v>
      </c>
      <c r="BK177" s="546">
        <f t="shared" si="141"/>
        <v>229</v>
      </c>
      <c r="BL177" s="551">
        <f t="shared" si="142"/>
        <v>51.432076381957927</v>
      </c>
      <c r="BM177" s="553">
        <f>BL177/PI()*SQRT('Hilfstabellen_Mat&amp;Bem'!f.Rd.3/'Hilfstabellen_Mat&amp;Bem'!$BD$30)</f>
        <v>0.81856691896685296</v>
      </c>
      <c r="BN177" s="553">
        <f>0.5*(1+'Hilfstabellen_Mat&amp;Bem'!$BD$31*(BM177-0.3)+BM177^2)</f>
        <v>0.86095424636178586</v>
      </c>
      <c r="BO177" s="550">
        <f t="shared" si="143"/>
        <v>0.88670596573544891</v>
      </c>
      <c r="BQ177" s="551">
        <f t="shared" si="144"/>
        <v>46499.747549132677</v>
      </c>
      <c r="BT177" s="547">
        <f>'Hilfstabellen_Mat&amp;Bem'!$J$58</f>
        <v>3.5</v>
      </c>
      <c r="BU177" s="546">
        <f t="shared" si="145"/>
        <v>229</v>
      </c>
      <c r="BV177" s="551">
        <f t="shared" si="146"/>
        <v>52.944784510839042</v>
      </c>
      <c r="BW177" s="553">
        <f>BV177/PI()*SQRT('Hilfstabellen_Mat&amp;Bem'!f.Rd.3/'Hilfstabellen_Mat&amp;Bem'!$BD$30)</f>
        <v>0.84264241658352512</v>
      </c>
      <c r="BX177" s="553">
        <f>0.5*(1+'Hilfstabellen_Mat&amp;Bem'!$BD$31*(BW177-0.3)+BW177^2)</f>
        <v>0.88215524194203776</v>
      </c>
      <c r="BY177" s="550">
        <f t="shared" si="147"/>
        <v>0.87472693467831086</v>
      </c>
      <c r="CA177" s="551">
        <f t="shared" si="148"/>
        <v>45871.555181465301</v>
      </c>
      <c r="CD177" s="547">
        <f>'Hilfstabellen_Mat&amp;Bem'!$J$59</f>
        <v>3.6</v>
      </c>
      <c r="CE177" s="546">
        <f t="shared" si="149"/>
        <v>229</v>
      </c>
      <c r="CF177" s="551">
        <f t="shared" si="150"/>
        <v>54.457492639720151</v>
      </c>
      <c r="CG177" s="553">
        <f>CF177/PI()*SQRT('Hilfstabellen_Mat&amp;Bem'!f.Rd.3/'Hilfstabellen_Mat&amp;Bem'!$BD$30)</f>
        <v>0.86671791420019706</v>
      </c>
      <c r="CH177" s="553">
        <f>0.5*(1+'Hilfstabellen_Mat&amp;Bem'!$BD$31*(CG177-0.3)+CG177^2)</f>
        <v>0.90393586710777996</v>
      </c>
      <c r="CI177" s="550">
        <f t="shared" si="151"/>
        <v>0.86158912531776044</v>
      </c>
      <c r="CK177" s="551">
        <f t="shared" si="152"/>
        <v>45182.595320788678</v>
      </c>
      <c r="CN177" s="547">
        <f>'Hilfstabellen_Mat&amp;Bem'!$J$60</f>
        <v>3.7</v>
      </c>
      <c r="CO177" s="546">
        <f t="shared" si="153"/>
        <v>229</v>
      </c>
      <c r="CP177" s="551">
        <f t="shared" si="154"/>
        <v>55.970200768601273</v>
      </c>
      <c r="CQ177" s="553">
        <f>CP177/PI()*SQRT('Hilfstabellen_Mat&amp;Bem'!f.Rd.3/'Hilfstabellen_Mat&amp;Bem'!$BD$30)</f>
        <v>0.89079341181686922</v>
      </c>
      <c r="CR177" s="553">
        <f>0.5*(1+'Hilfstabellen_Mat&amp;Bem'!$BD$31*(CQ177-0.3)+CQ177^2)</f>
        <v>0.92629612185901267</v>
      </c>
      <c r="CS177" s="550">
        <f t="shared" si="155"/>
        <v>0.84725122388656471</v>
      </c>
      <c r="CU177" s="551">
        <f t="shared" si="156"/>
        <v>44430.701431835339</v>
      </c>
      <c r="CX177" s="547">
        <f>'Hilfstabellen_Mat&amp;Bem'!$J$61</f>
        <v>3.8</v>
      </c>
      <c r="CY177" s="546">
        <f t="shared" si="157"/>
        <v>229</v>
      </c>
      <c r="CZ177" s="551">
        <f t="shared" si="158"/>
        <v>57.482908897482389</v>
      </c>
      <c r="DA177" s="553">
        <f>CZ177/PI()*SQRT('Hilfstabellen_Mat&amp;Bem'!f.Rd.3/'Hilfstabellen_Mat&amp;Bem'!$BD$30)</f>
        <v>0.91486890943354138</v>
      </c>
      <c r="DB177" s="553">
        <f>0.5*(1+'Hilfstabellen_Mat&amp;Bem'!$BD$31*(DA177-0.3)+DA177^2)</f>
        <v>0.94923600619573567</v>
      </c>
      <c r="DC177" s="550">
        <f t="shared" si="159"/>
        <v>0.83170843176174447</v>
      </c>
      <c r="DE177" s="551">
        <f t="shared" si="160"/>
        <v>43615.62187001764</v>
      </c>
      <c r="DH177" s="547">
        <f>'Hilfstabellen_Mat&amp;Bem'!$J$62</f>
        <v>3.9</v>
      </c>
      <c r="DI177" s="546">
        <f t="shared" si="161"/>
        <v>229</v>
      </c>
      <c r="DJ177" s="551">
        <f t="shared" si="162"/>
        <v>58.995617026363504</v>
      </c>
      <c r="DK177" s="553">
        <f>DJ177/PI()*SQRT('Hilfstabellen_Mat&amp;Bem'!f.Rd.3/'Hilfstabellen_Mat&amp;Bem'!$BD$30)</f>
        <v>0.93894440705021354</v>
      </c>
      <c r="DL177" s="553">
        <f>0.5*(1+'Hilfstabellen_Mat&amp;Bem'!$BD$31*(DK177-0.3)+DK177^2)</f>
        <v>0.97275552011794919</v>
      </c>
      <c r="DM177" s="550">
        <f t="shared" si="163"/>
        <v>0.81500056646023056</v>
      </c>
      <c r="DO177" s="551">
        <f t="shared" si="164"/>
        <v>42739.444705740949</v>
      </c>
      <c r="DR177" s="547">
        <f>'Hilfstabellen_Mat&amp;Bem'!$J$63</f>
        <v>4</v>
      </c>
      <c r="DS177" s="546">
        <f t="shared" si="165"/>
        <v>229</v>
      </c>
      <c r="DT177" s="551">
        <f t="shared" si="166"/>
        <v>60.508325155244627</v>
      </c>
      <c r="DU177" s="553">
        <f>DT177/PI()*SQRT('Hilfstabellen_Mat&amp;Bem'!f.Rd.3/'Hilfstabellen_Mat&amp;Bem'!$BD$30)</f>
        <v>0.96301990466688592</v>
      </c>
      <c r="DV177" s="553">
        <f>0.5*(1+'Hilfstabellen_Mat&amp;Bem'!$BD$31*(DU177-0.3)+DU177^2)</f>
        <v>0.99685466362565334</v>
      </c>
      <c r="DW177" s="550">
        <f t="shared" si="167"/>
        <v>0.79721573842350091</v>
      </c>
      <c r="DY177" s="551">
        <f t="shared" si="168"/>
        <v>41806.790538666814</v>
      </c>
      <c r="EB177" s="547">
        <f>'Hilfstabellen_Mat&amp;Bem'!$J$64</f>
        <v>4.0999999999999996</v>
      </c>
      <c r="EC177" s="546">
        <f t="shared" si="169"/>
        <v>229</v>
      </c>
      <c r="ED177" s="551">
        <f t="shared" si="170"/>
        <v>62.021033284125728</v>
      </c>
      <c r="EE177" s="553">
        <f>ED177/PI()*SQRT('Hilfstabellen_Mat&amp;Bem'!f.Rd.3/'Hilfstabellen_Mat&amp;Bem'!$BD$30)</f>
        <v>0.98709540228355763</v>
      </c>
      <c r="EF177" s="553">
        <f>0.5*(1+'Hilfstabellen_Mat&amp;Bem'!$BD$31*(EE177-0.3)+EE177^2)</f>
        <v>1.0215334367188471</v>
      </c>
      <c r="EG177" s="550">
        <f t="shared" si="171"/>
        <v>0.77848790256566369</v>
      </c>
      <c r="EI177" s="551">
        <f t="shared" si="172"/>
        <v>40824.68409844597</v>
      </c>
      <c r="EL177" s="547">
        <f>'Hilfstabellen_Mat&amp;Bem'!$J$65</f>
        <v>4.2</v>
      </c>
      <c r="EM177" s="546">
        <f t="shared" si="173"/>
        <v>229</v>
      </c>
      <c r="EN177" s="551">
        <f t="shared" si="174"/>
        <v>63.533741413006844</v>
      </c>
      <c r="EO177" s="553">
        <f>EN177/PI()*SQRT('Hilfstabellen_Mat&amp;Bem'!f.Rd.3/'Hilfstabellen_Mat&amp;Bem'!$BD$30)</f>
        <v>1.0111708999002298</v>
      </c>
      <c r="EP177" s="553">
        <f>0.5*(1+'Hilfstabellen_Mat&amp;Bem'!$BD$31*(EO177-0.3)+EO177^2)</f>
        <v>1.0467918393975317</v>
      </c>
      <c r="EQ177" s="550">
        <f t="shared" si="175"/>
        <v>0.75898811198432958</v>
      </c>
      <c r="ES177" s="551">
        <f t="shared" si="176"/>
        <v>39802.095580570225</v>
      </c>
    </row>
    <row r="178" spans="3:149">
      <c r="C178" s="546">
        <v>230</v>
      </c>
      <c r="D178" s="551">
        <f t="shared" si="131"/>
        <v>42.171671836459623</v>
      </c>
      <c r="E178" s="553">
        <f>$D178/PI()*SQRT('Hilfstabellen_Mat&amp;Bem'!f.Rd.3/'Hilfstabellen_Mat&amp;Bem'!$BD$30)</f>
        <v>0.67118300312218171</v>
      </c>
      <c r="F178" s="553">
        <f>0.5*(1+'Hilfstabellen_Mat&amp;Bem'!$BD$31*($E178-0.3)+$E178^2)</f>
        <v>0.7438024619961644</v>
      </c>
      <c r="G178" s="550">
        <f t="shared" si="132"/>
        <v>0.93953401798464886</v>
      </c>
      <c r="I178" s="551">
        <f t="shared" si="177"/>
        <v>49701.349551387924</v>
      </c>
      <c r="M178" s="546">
        <f t="shared" si="133"/>
        <v>230</v>
      </c>
      <c r="N178" s="551">
        <f t="shared" si="123"/>
        <v>43.677802973476034</v>
      </c>
      <c r="O178" s="553">
        <f>$N178/PI()*SQRT('Hilfstabellen_Mat&amp;Bem'!f.Rd.3/'Hilfstabellen_Mat&amp;Bem'!$BD$30)</f>
        <v>0.69515382466225961</v>
      </c>
      <c r="P178" s="553">
        <f>0.5*(1+'Hilfstabellen_Mat&amp;Bem'!$BD$31*($O178-0.3)+$O178^2)</f>
        <v>0.76137711120439677</v>
      </c>
      <c r="Q178" s="550">
        <f t="shared" si="124"/>
        <v>0.93287828649297766</v>
      </c>
      <c r="S178" s="551">
        <f t="shared" si="178"/>
        <v>49349.26135547852</v>
      </c>
      <c r="W178" s="546">
        <f t="shared" si="134"/>
        <v>230</v>
      </c>
      <c r="X178" s="551">
        <f t="shared" si="125"/>
        <v>45.183934110492444</v>
      </c>
      <c r="Y178" s="553">
        <f>$X178/PI()*SQRT('Hilfstabellen_Mat&amp;Bem'!f.Rd.3/'Hilfstabellen_Mat&amp;Bem'!$BD$30)</f>
        <v>0.7191246462023374</v>
      </c>
      <c r="Z178" s="553">
        <f>0.5*(1+'Hilfstabellen_Mat&amp;Bem'!$BD$31*($Y178-0.3)+$Y178^2)</f>
        <v>0.77952636069793535</v>
      </c>
      <c r="AA178" s="550">
        <f t="shared" si="126"/>
        <v>0.92558860804488929</v>
      </c>
      <c r="AC178" s="551">
        <f t="shared" si="179"/>
        <v>48963.637365574643</v>
      </c>
      <c r="AG178" s="546">
        <f t="shared" si="135"/>
        <v>230</v>
      </c>
      <c r="AH178" s="551">
        <f t="shared" si="127"/>
        <v>46.690065247508862</v>
      </c>
      <c r="AI178" s="553">
        <f>$AH178/PI()*SQRT('Hilfstabellen_Mat&amp;Bem'!f.Rd.3/'Hilfstabellen_Mat&amp;Bem'!$BD$30)</f>
        <v>0.74309546774241531</v>
      </c>
      <c r="AJ178" s="553">
        <f>0.5*(1+'Hilfstabellen_Mat&amp;Bem'!$BD$31*($AI178-0.3)+$AI178^2)</f>
        <v>0.79825021047678035</v>
      </c>
      <c r="AK178" s="550">
        <f t="shared" si="128"/>
        <v>0.91758332334080983</v>
      </c>
      <c r="AM178" s="551">
        <f t="shared" si="180"/>
        <v>48540.157804728842</v>
      </c>
      <c r="AQ178" s="546">
        <f t="shared" si="136"/>
        <v>230</v>
      </c>
      <c r="AR178" s="551">
        <f t="shared" si="129"/>
        <v>48.19619638452528</v>
      </c>
      <c r="AS178" s="553">
        <f>$AR178/PI()*SQRT('Hilfstabellen_Mat&amp;Bem'!f.Rd.3/'Hilfstabellen_Mat&amp;Bem'!$BD$30)</f>
        <v>0.76706628928249332</v>
      </c>
      <c r="AT178" s="553">
        <f>0.5*(1+'Hilfstabellen_Mat&amp;Bem'!$BD$31*($AS178-0.3)+$AS178^2)</f>
        <v>0.81754866054093156</v>
      </c>
      <c r="AU178" s="550">
        <f t="shared" si="130"/>
        <v>0.90877469966811264</v>
      </c>
      <c r="AW178" s="551">
        <f t="shared" si="181"/>
        <v>48074.181612443157</v>
      </c>
      <c r="AZ178" s="547">
        <f>'Hilfstabellen_Mat&amp;Bem'!$J$56</f>
        <v>3.3</v>
      </c>
      <c r="BA178" s="546">
        <f t="shared" si="137"/>
        <v>230</v>
      </c>
      <c r="BB178" s="551">
        <f t="shared" si="138"/>
        <v>49.70232752154169</v>
      </c>
      <c r="BC178" s="553">
        <f>BB178/PI()*SQRT('Hilfstabellen_Mat&amp;Bem'!f.Rd.3/'Hilfstabellen_Mat&amp;Bem'!$BD$30)</f>
        <v>0.79103711082257122</v>
      </c>
      <c r="BD178" s="553">
        <f>0.5*(1+'Hilfstabellen_Mat&amp;Bem'!$BD$31*(BC178-0.3)+BC178^2)</f>
        <v>0.83742171089038897</v>
      </c>
      <c r="BE178" s="550">
        <f t="shared" si="139"/>
        <v>0.89907135238452185</v>
      </c>
      <c r="BG178" s="551">
        <f t="shared" si="140"/>
        <v>47560.874541141209</v>
      </c>
      <c r="BJ178" s="547">
        <f>'Hilfstabellen_Mat&amp;Bem'!$J$57</f>
        <v>3.4</v>
      </c>
      <c r="BK178" s="546">
        <f t="shared" si="141"/>
        <v>230</v>
      </c>
      <c r="BL178" s="551">
        <f t="shared" si="142"/>
        <v>51.208458658558108</v>
      </c>
      <c r="BM178" s="553">
        <f>BL178/PI()*SQRT('Hilfstabellen_Mat&amp;Bem'!f.Rd.3/'Hilfstabellen_Mat&amp;Bem'!$BD$30)</f>
        <v>0.81500793236264912</v>
      </c>
      <c r="BN178" s="553">
        <f>0.5*(1+'Hilfstabellen_Mat&amp;Bem'!$BD$31*(BM178-0.3)+BM178^2)</f>
        <v>0.8578693615251527</v>
      </c>
      <c r="BO178" s="550">
        <f t="shared" si="143"/>
        <v>0.88838232315124532</v>
      </c>
      <c r="BQ178" s="551">
        <f t="shared" si="144"/>
        <v>46995.424894700875</v>
      </c>
      <c r="BT178" s="547">
        <f>'Hilfstabellen_Mat&amp;Bem'!$J$58</f>
        <v>3.5</v>
      </c>
      <c r="BU178" s="546">
        <f t="shared" si="145"/>
        <v>230</v>
      </c>
      <c r="BV178" s="551">
        <f t="shared" si="146"/>
        <v>52.714589795574526</v>
      </c>
      <c r="BW178" s="553">
        <f>BV178/PI()*SQRT('Hilfstabellen_Mat&amp;Bem'!f.Rd.3/'Hilfstabellen_Mat&amp;Bem'!$BD$30)</f>
        <v>0.83897875390272714</v>
      </c>
      <c r="BX178" s="553">
        <f>0.5*(1+'Hilfstabellen_Mat&amp;Bem'!$BD$31*(BW178-0.3)+BW178^2)</f>
        <v>0.87889161244522285</v>
      </c>
      <c r="BY178" s="550">
        <f t="shared" si="147"/>
        <v>0.8766231551400161</v>
      </c>
      <c r="CA178" s="551">
        <f t="shared" si="148"/>
        <v>46373.364906906849</v>
      </c>
      <c r="CD178" s="547">
        <f>'Hilfstabellen_Mat&amp;Bem'!$J$59</f>
        <v>3.6</v>
      </c>
      <c r="CE178" s="546">
        <f t="shared" si="149"/>
        <v>230</v>
      </c>
      <c r="CF178" s="551">
        <f t="shared" si="150"/>
        <v>54.220720932590936</v>
      </c>
      <c r="CG178" s="553">
        <f>CF178/PI()*SQRT('Hilfstabellen_Mat&amp;Bem'!f.Rd.3/'Hilfstabellen_Mat&amp;Bem'!$BD$30)</f>
        <v>0.86294957544280493</v>
      </c>
      <c r="CH178" s="553">
        <f>0.5*(1+'Hilfstabellen_Mat&amp;Bem'!$BD$31*(CG178-0.3)+CG178^2)</f>
        <v>0.90048846365059898</v>
      </c>
      <c r="CI178" s="550">
        <f t="shared" si="151"/>
        <v>0.86372402562059269</v>
      </c>
      <c r="CK178" s="551">
        <f t="shared" si="152"/>
        <v>45691.000955329357</v>
      </c>
      <c r="CN178" s="547">
        <f>'Hilfstabellen_Mat&amp;Bem'!$J$60</f>
        <v>3.7</v>
      </c>
      <c r="CO178" s="546">
        <f t="shared" si="153"/>
        <v>230</v>
      </c>
      <c r="CP178" s="551">
        <f t="shared" si="154"/>
        <v>55.726852069607347</v>
      </c>
      <c r="CQ178" s="553">
        <f>CP178/PI()*SQRT('Hilfstabellen_Mat&amp;Bem'!f.Rd.3/'Hilfstabellen_Mat&amp;Bem'!$BD$30)</f>
        <v>0.88692039698288283</v>
      </c>
      <c r="CR178" s="553">
        <f>0.5*(1+'Hilfstabellen_Mat&amp;Bem'!$BD$31*(CQ178-0.3)+CQ178^2)</f>
        <v>0.92265991514128143</v>
      </c>
      <c r="CS178" s="550">
        <f t="shared" si="155"/>
        <v>0.84963945703010491</v>
      </c>
      <c r="CU178" s="551">
        <f t="shared" si="156"/>
        <v>44945.927276892551</v>
      </c>
      <c r="CX178" s="547">
        <f>'Hilfstabellen_Mat&amp;Bem'!$J$61</f>
        <v>3.8</v>
      </c>
      <c r="CY178" s="546">
        <f t="shared" si="157"/>
        <v>230</v>
      </c>
      <c r="CZ178" s="551">
        <f t="shared" si="158"/>
        <v>57.232983206623764</v>
      </c>
      <c r="DA178" s="553">
        <f>CZ178/PI()*SQRT('Hilfstabellen_Mat&amp;Bem'!f.Rd.3/'Hilfstabellen_Mat&amp;Bem'!$BD$30)</f>
        <v>0.91089121852296084</v>
      </c>
      <c r="DB178" s="553">
        <f>0.5*(1+'Hilfstabellen_Mat&amp;Bem'!$BD$31*(DA178-0.3)+DA178^2)</f>
        <v>0.9454059669172703</v>
      </c>
      <c r="DC178" s="550">
        <f t="shared" si="159"/>
        <v>0.83435836950907449</v>
      </c>
      <c r="DE178" s="551">
        <f t="shared" si="160"/>
        <v>44137.557747030041</v>
      </c>
      <c r="DH178" s="547">
        <f>'Hilfstabellen_Mat&amp;Bem'!$J$62</f>
        <v>3.9</v>
      </c>
      <c r="DI178" s="546">
        <f t="shared" si="161"/>
        <v>230</v>
      </c>
      <c r="DJ178" s="551">
        <f t="shared" si="162"/>
        <v>58.739114343640182</v>
      </c>
      <c r="DK178" s="553">
        <f>DJ178/PI()*SQRT('Hilfstabellen_Mat&amp;Bem'!f.Rd.3/'Hilfstabellen_Mat&amp;Bem'!$BD$30)</f>
        <v>0.93486204006303864</v>
      </c>
      <c r="DL178" s="553">
        <f>0.5*(1+'Hilfstabellen_Mat&amp;Bem'!$BD$31*(DK178-0.3)+DK178^2)</f>
        <v>0.96872661897856505</v>
      </c>
      <c r="DM178" s="550">
        <f t="shared" si="163"/>
        <v>0.81791248906077052</v>
      </c>
      <c r="DO178" s="551">
        <f t="shared" si="164"/>
        <v>43267.570671314759</v>
      </c>
      <c r="DR178" s="547">
        <f>'Hilfstabellen_Mat&amp;Bem'!$J$63</f>
        <v>4</v>
      </c>
      <c r="DS178" s="546">
        <f t="shared" si="165"/>
        <v>230</v>
      </c>
      <c r="DT178" s="551">
        <f t="shared" si="166"/>
        <v>60.245245480656592</v>
      </c>
      <c r="DU178" s="553">
        <f>DT178/PI()*SQRT('Hilfstabellen_Mat&amp;Bem'!f.Rd.3/'Hilfstabellen_Mat&amp;Bem'!$BD$30)</f>
        <v>0.95883286160311654</v>
      </c>
      <c r="DV178" s="553">
        <f>0.5*(1+'Hilfstabellen_Mat&amp;Bem'!$BD$31*(DU178-0.3)+DU178^2)</f>
        <v>0.99262187132516644</v>
      </c>
      <c r="DW178" s="550">
        <f t="shared" si="167"/>
        <v>0.80038079702139198</v>
      </c>
      <c r="DY178" s="551">
        <f t="shared" si="168"/>
        <v>42340.144162431636</v>
      </c>
      <c r="EB178" s="547">
        <f>'Hilfstabellen_Mat&amp;Bem'!$J$64</f>
        <v>4.0999999999999996</v>
      </c>
      <c r="EC178" s="546">
        <f t="shared" si="169"/>
        <v>230</v>
      </c>
      <c r="ED178" s="551">
        <f t="shared" si="170"/>
        <v>61.75137661767301</v>
      </c>
      <c r="EE178" s="553">
        <f>ED178/PI()*SQRT('Hilfstabellen_Mat&amp;Bem'!f.Rd.3/'Hilfstabellen_Mat&amp;Bem'!$BD$30)</f>
        <v>0.98280368314319455</v>
      </c>
      <c r="EF178" s="553">
        <f>0.5*(1+'Hilfstabellen_Mat&amp;Bem'!$BD$31*(EE178-0.3)+EE178^2)</f>
        <v>1.017091723957074</v>
      </c>
      <c r="EG178" s="550">
        <f t="shared" si="171"/>
        <v>0.781888198447109</v>
      </c>
      <c r="EI178" s="551">
        <f t="shared" si="172"/>
        <v>41361.885697852063</v>
      </c>
      <c r="EL178" s="547">
        <f>'Hilfstabellen_Mat&amp;Bem'!$J$65</f>
        <v>4.2</v>
      </c>
      <c r="EM178" s="546">
        <f t="shared" si="173"/>
        <v>230</v>
      </c>
      <c r="EN178" s="551">
        <f t="shared" si="174"/>
        <v>63.257507754689428</v>
      </c>
      <c r="EO178" s="553">
        <f>EN178/PI()*SQRT('Hilfstabellen_Mat&amp;Bem'!f.Rd.3/'Hilfstabellen_Mat&amp;Bem'!$BD$30)</f>
        <v>1.0067745046832726</v>
      </c>
      <c r="EP178" s="553">
        <f>0.5*(1+'Hilfstabellen_Mat&amp;Bem'!$BD$31*(EO178-0.3)+EO178^2)</f>
        <v>1.0421361768742878</v>
      </c>
      <c r="EQ178" s="550">
        <f t="shared" si="175"/>
        <v>0.76259795319734192</v>
      </c>
      <c r="ES178" s="551">
        <f t="shared" si="176"/>
        <v>40341.431724139387</v>
      </c>
    </row>
    <row r="179" spans="3:149">
      <c r="C179" s="546">
        <v>231</v>
      </c>
      <c r="D179" s="551">
        <f t="shared" si="131"/>
        <v>41.989110486518236</v>
      </c>
      <c r="E179" s="553">
        <f>$D179/PI()*SQRT('Hilfstabellen_Mat&amp;Bem'!f.Rd.3/'Hilfstabellen_Mat&amp;Bem'!$BD$30)</f>
        <v>0.66827744899611163</v>
      </c>
      <c r="F179" s="553">
        <f>0.5*(1+'Hilfstabellen_Mat&amp;Bem'!$BD$31*($E179-0.3)+$E179^2)</f>
        <v>0.74171124686818091</v>
      </c>
      <c r="G179" s="550">
        <f t="shared" si="132"/>
        <v>0.94030135006741433</v>
      </c>
      <c r="I179" s="551">
        <f t="shared" si="177"/>
        <v>50175.420340947298</v>
      </c>
      <c r="M179" s="546">
        <f t="shared" si="133"/>
        <v>231</v>
      </c>
      <c r="N179" s="551">
        <f t="shared" si="123"/>
        <v>43.488721575322458</v>
      </c>
      <c r="O179" s="553">
        <f>$N179/PI()*SQRT('Hilfstabellen_Mat&amp;Bem'!f.Rd.3/'Hilfstabellen_Mat&amp;Bem'!$BD$30)</f>
        <v>0.69214450074597278</v>
      </c>
      <c r="P179" s="553">
        <f>0.5*(1+'Hilfstabellen_Mat&amp;Bem'!$BD$31*($O179-0.3)+$O179^2)</f>
        <v>0.7591392299937445</v>
      </c>
      <c r="Q179" s="550">
        <f t="shared" si="124"/>
        <v>0.93374704706433997</v>
      </c>
      <c r="S179" s="551">
        <f t="shared" si="178"/>
        <v>49825.676178400245</v>
      </c>
      <c r="W179" s="546">
        <f t="shared" si="134"/>
        <v>231</v>
      </c>
      <c r="X179" s="551">
        <f t="shared" si="125"/>
        <v>44.988332664126681</v>
      </c>
      <c r="Y179" s="553">
        <f>$X179/PI()*SQRT('Hilfstabellen_Mat&amp;Bem'!f.Rd.3/'Hilfstabellen_Mat&amp;Bem'!$BD$30)</f>
        <v>0.71601155249583393</v>
      </c>
      <c r="Z179" s="553">
        <f>0.5*(1+'Hilfstabellen_Mat&amp;Bem'!$BD$31*($Y179-0.3)+$Y179^2)</f>
        <v>0.77713684927853888</v>
      </c>
      <c r="AA179" s="550">
        <f t="shared" si="126"/>
        <v>0.92657394739200638</v>
      </c>
      <c r="AC179" s="551">
        <f t="shared" si="179"/>
        <v>49442.912406784853</v>
      </c>
      <c r="AG179" s="546">
        <f t="shared" si="135"/>
        <v>231</v>
      </c>
      <c r="AH179" s="551">
        <f t="shared" si="127"/>
        <v>46.487943752930903</v>
      </c>
      <c r="AI179" s="553">
        <f>$AH179/PI()*SQRT('Hilfstabellen_Mat&amp;Bem'!f.Rd.3/'Hilfstabellen_Mat&amp;Bem'!$BD$30)</f>
        <v>0.73987860424569496</v>
      </c>
      <c r="AJ179" s="553">
        <f>0.5*(1+'Hilfstabellen_Mat&amp;Bem'!$BD$31*($AI179-0.3)+$AI179^2)</f>
        <v>0.7957041047225637</v>
      </c>
      <c r="AK179" s="550">
        <f t="shared" si="128"/>
        <v>0.91870231747452047</v>
      </c>
      <c r="AM179" s="551">
        <f t="shared" si="180"/>
        <v>49022.874362757888</v>
      </c>
      <c r="AQ179" s="546">
        <f t="shared" si="136"/>
        <v>231</v>
      </c>
      <c r="AR179" s="551">
        <f t="shared" si="129"/>
        <v>47.987554841735125</v>
      </c>
      <c r="AS179" s="553">
        <f>$AR179/PI()*SQRT('Hilfstabellen_Mat&amp;Bem'!f.Rd.3/'Hilfstabellen_Mat&amp;Bem'!$BD$30)</f>
        <v>0.76374565599555611</v>
      </c>
      <c r="AT179" s="553">
        <f>0.5*(1+'Hilfstabellen_Mat&amp;Bem'!$BD$31*($AS179-0.3)+$AS179^2)</f>
        <v>0.81484099632581897</v>
      </c>
      <c r="AU179" s="550">
        <f t="shared" si="130"/>
        <v>0.91004624187878702</v>
      </c>
      <c r="AW179" s="551">
        <f t="shared" si="181"/>
        <v>48560.977512893951</v>
      </c>
      <c r="AZ179" s="547">
        <f>'Hilfstabellen_Mat&amp;Bem'!$J$56</f>
        <v>3.3</v>
      </c>
      <c r="BA179" s="546">
        <f t="shared" si="137"/>
        <v>231</v>
      </c>
      <c r="BB179" s="551">
        <f t="shared" si="138"/>
        <v>49.487165930539348</v>
      </c>
      <c r="BC179" s="553">
        <f>BB179/PI()*SQRT('Hilfstabellen_Mat&amp;Bem'!f.Rd.3/'Hilfstabellen_Mat&amp;Bem'!$BD$30)</f>
        <v>0.78761270774541725</v>
      </c>
      <c r="BD179" s="553">
        <f>0.5*(1+'Hilfstabellen_Mat&amp;Bem'!$BD$31*(BC179-0.3)+BC179^2)</f>
        <v>0.8345475240883049</v>
      </c>
      <c r="BE179" s="550">
        <f t="shared" si="139"/>
        <v>0.90051580877540705</v>
      </c>
      <c r="BG179" s="551">
        <f t="shared" si="140"/>
        <v>48052.424072064496</v>
      </c>
      <c r="BJ179" s="547">
        <f>'Hilfstabellen_Mat&amp;Bem'!$J$57</f>
        <v>3.4</v>
      </c>
      <c r="BK179" s="546">
        <f t="shared" si="141"/>
        <v>231</v>
      </c>
      <c r="BL179" s="551">
        <f t="shared" si="142"/>
        <v>50.98677701934357</v>
      </c>
      <c r="BM179" s="553">
        <f>BL179/PI()*SQRT('Hilfstabellen_Mat&amp;Bem'!f.Rd.3/'Hilfstabellen_Mat&amp;Bem'!$BD$30)</f>
        <v>0.8114797594952784</v>
      </c>
      <c r="BN179" s="553">
        <f>0.5*(1+'Hilfstabellen_Mat&amp;Bem'!$BD$31*(BM179-0.3)+BM179^2)</f>
        <v>0.8548236880100214</v>
      </c>
      <c r="BO179" s="550">
        <f t="shared" si="143"/>
        <v>0.8900208558879612</v>
      </c>
      <c r="BQ179" s="551">
        <f t="shared" si="144"/>
        <v>47492.402891037498</v>
      </c>
      <c r="BT179" s="547">
        <f>'Hilfstabellen_Mat&amp;Bem'!$J$58</f>
        <v>3.5</v>
      </c>
      <c r="BU179" s="546">
        <f t="shared" si="145"/>
        <v>231</v>
      </c>
      <c r="BV179" s="551">
        <f t="shared" si="146"/>
        <v>52.4863881081478</v>
      </c>
      <c r="BW179" s="553">
        <f>BV179/PI()*SQRT('Hilfstabellen_Mat&amp;Bem'!f.Rd.3/'Hilfstabellen_Mat&amp;Bem'!$BD$30)</f>
        <v>0.83534681124513954</v>
      </c>
      <c r="BX179" s="553">
        <f>0.5*(1+'Hilfstabellen_Mat&amp;Bem'!$BD$31*(BW179-0.3)+BW179^2)</f>
        <v>0.87566948809096834</v>
      </c>
      <c r="BY179" s="550">
        <f t="shared" si="147"/>
        <v>0.87847662772594404</v>
      </c>
      <c r="CA179" s="551">
        <f t="shared" si="148"/>
        <v>46876.391332084102</v>
      </c>
      <c r="CD179" s="547">
        <f>'Hilfstabellen_Mat&amp;Bem'!$J$59</f>
        <v>3.6</v>
      </c>
      <c r="CE179" s="546">
        <f t="shared" si="149"/>
        <v>231</v>
      </c>
      <c r="CF179" s="551">
        <f t="shared" si="150"/>
        <v>53.985999196952015</v>
      </c>
      <c r="CG179" s="553">
        <f>CF179/PI()*SQRT('Hilfstabellen_Mat&amp;Bem'!f.Rd.3/'Hilfstabellen_Mat&amp;Bem'!$BD$30)</f>
        <v>0.85921386299500058</v>
      </c>
      <c r="CH179" s="553">
        <f>0.5*(1+'Hilfstabellen_Mat&amp;Bem'!$BD$31*(CG179-0.3)+CG179^2)</f>
        <v>0.89708492433114584</v>
      </c>
      <c r="CI179" s="550">
        <f t="shared" si="151"/>
        <v>0.86581145601376464</v>
      </c>
      <c r="CK179" s="551">
        <f t="shared" si="152"/>
        <v>46200.565104350491</v>
      </c>
      <c r="CN179" s="547">
        <f>'Hilfstabellen_Mat&amp;Bem'!$J$60</f>
        <v>3.7</v>
      </c>
      <c r="CO179" s="546">
        <f t="shared" si="153"/>
        <v>231</v>
      </c>
      <c r="CP179" s="551">
        <f t="shared" si="154"/>
        <v>55.485610285756238</v>
      </c>
      <c r="CQ179" s="553">
        <f>CP179/PI()*SQRT('Hilfstabellen_Mat&amp;Bem'!f.Rd.3/'Hilfstabellen_Mat&amp;Bem'!$BD$30)</f>
        <v>0.88308091474486172</v>
      </c>
      <c r="CR179" s="553">
        <f>0.5*(1+'Hilfstabellen_Mat&amp;Bem'!$BD$31*(CQ179-0.3)+CQ179^2)</f>
        <v>0.91906999673055401</v>
      </c>
      <c r="CS179" s="550">
        <f t="shared" si="155"/>
        <v>0.85197609100806926</v>
      </c>
      <c r="CU179" s="551">
        <f t="shared" si="156"/>
        <v>45462.296192281581</v>
      </c>
      <c r="CX179" s="547">
        <f>'Hilfstabellen_Mat&amp;Bem'!$J$61</f>
        <v>3.8</v>
      </c>
      <c r="CY179" s="546">
        <f t="shared" si="157"/>
        <v>231</v>
      </c>
      <c r="CZ179" s="551">
        <f t="shared" si="158"/>
        <v>56.985221374560467</v>
      </c>
      <c r="DA179" s="553">
        <f>CZ179/PI()*SQRT('Hilfstabellen_Mat&amp;Bem'!f.Rd.3/'Hilfstabellen_Mat&amp;Bem'!$BD$30)</f>
        <v>0.90694796649472298</v>
      </c>
      <c r="DB179" s="553">
        <f>0.5*(1+'Hilfstabellen_Mat&amp;Bem'!$BD$31*(DA179-0.3)+DA179^2)</f>
        <v>0.94162470528919284</v>
      </c>
      <c r="DC179" s="550">
        <f t="shared" si="159"/>
        <v>0.83695360086295423</v>
      </c>
      <c r="DE179" s="551">
        <f t="shared" si="160"/>
        <v>44660.681095648099</v>
      </c>
      <c r="DH179" s="547">
        <f>'Hilfstabellen_Mat&amp;Bem'!$J$62</f>
        <v>3.9</v>
      </c>
      <c r="DI179" s="546">
        <f t="shared" si="161"/>
        <v>231</v>
      </c>
      <c r="DJ179" s="551">
        <f t="shared" si="162"/>
        <v>58.48483246336469</v>
      </c>
      <c r="DK179" s="553">
        <f>DJ179/PI()*SQRT('Hilfstabellen_Mat&amp;Bem'!f.Rd.3/'Hilfstabellen_Mat&amp;Bem'!$BD$30)</f>
        <v>0.93081501824458412</v>
      </c>
      <c r="DL179" s="553">
        <f>0.5*(1+'Hilfstabellen_Mat&amp;Bem'!$BD$31*(DK179-0.3)+DK179^2)</f>
        <v>0.9647490500070619</v>
      </c>
      <c r="DM179" s="550">
        <f t="shared" si="163"/>
        <v>0.82076800815661433</v>
      </c>
      <c r="DO179" s="551">
        <f t="shared" si="164"/>
        <v>43797.0016832451</v>
      </c>
      <c r="DR179" s="547">
        <f>'Hilfstabellen_Mat&amp;Bem'!$J$63</f>
        <v>4</v>
      </c>
      <c r="DS179" s="546">
        <f t="shared" si="165"/>
        <v>231</v>
      </c>
      <c r="DT179" s="551">
        <f t="shared" si="166"/>
        <v>59.984443552168905</v>
      </c>
      <c r="DU179" s="553">
        <f>DT179/PI()*SQRT('Hilfstabellen_Mat&amp;Bem'!f.Rd.3/'Hilfstabellen_Mat&amp;Bem'!$BD$30)</f>
        <v>0.95468206999444516</v>
      </c>
      <c r="DV179" s="553">
        <f>0.5*(1+'Hilfstabellen_Mat&amp;Bem'!$BD$31*(DU179-0.3)+DU179^2)</f>
        <v>0.98844303088416163</v>
      </c>
      <c r="DW179" s="550">
        <f t="shared" si="167"/>
        <v>0.80348942166354775</v>
      </c>
      <c r="DY179" s="551">
        <f t="shared" si="168"/>
        <v>42874.999029388571</v>
      </c>
      <c r="EB179" s="547">
        <f>'Hilfstabellen_Mat&amp;Bem'!$J$64</f>
        <v>4.0999999999999996</v>
      </c>
      <c r="EC179" s="546">
        <f t="shared" si="169"/>
        <v>231</v>
      </c>
      <c r="ED179" s="551">
        <f t="shared" si="170"/>
        <v>61.484054640973127</v>
      </c>
      <c r="EE179" s="553">
        <f>ED179/PI()*SQRT('Hilfstabellen_Mat&amp;Bem'!f.Rd.3/'Hilfstabellen_Mat&amp;Bem'!$BD$30)</f>
        <v>0.97854912174430619</v>
      </c>
      <c r="EF179" s="553">
        <f>0.5*(1+'Hilfstabellen_Mat&amp;Bem'!$BD$31*(EE179-0.3)+EE179^2)</f>
        <v>1.0127066479204918</v>
      </c>
      <c r="EG179" s="550">
        <f t="shared" si="171"/>
        <v>0.7852337531811121</v>
      </c>
      <c r="EI179" s="551">
        <f t="shared" si="172"/>
        <v>41900.85830349732</v>
      </c>
      <c r="EL179" s="547">
        <f>'Hilfstabellen_Mat&amp;Bem'!$J$65</f>
        <v>4.2</v>
      </c>
      <c r="EM179" s="546">
        <f t="shared" si="173"/>
        <v>231</v>
      </c>
      <c r="EN179" s="551">
        <f t="shared" si="174"/>
        <v>62.983665729777357</v>
      </c>
      <c r="EO179" s="553">
        <f>EN179/PI()*SQRT('Hilfstabellen_Mat&amp;Bem'!f.Rd.3/'Hilfstabellen_Mat&amp;Bem'!$BD$30)</f>
        <v>1.0024161734941675</v>
      </c>
      <c r="EP179" s="553">
        <f>0.5*(1+'Hilfstabellen_Mat&amp;Bem'!$BD$31*(EO179-0.3)+EO179^2)</f>
        <v>1.0375399011160527</v>
      </c>
      <c r="EQ179" s="550">
        <f t="shared" si="175"/>
        <v>0.76615630968545334</v>
      </c>
      <c r="ES179" s="551">
        <f t="shared" si="176"/>
        <v>40882.866841125477</v>
      </c>
    </row>
    <row r="180" spans="3:149">
      <c r="C180" s="546">
        <v>232</v>
      </c>
      <c r="D180" s="551">
        <f t="shared" si="131"/>
        <v>41.808122941317727</v>
      </c>
      <c r="E180" s="553">
        <f>$D180/PI()*SQRT('Hilfstabellen_Mat&amp;Bem'!f.Rd.3/'Hilfstabellen_Mat&amp;Bem'!$BD$30)</f>
        <v>0.6653969427504387</v>
      </c>
      <c r="F180" s="553">
        <f>0.5*(1+'Hilfstabellen_Mat&amp;Bem'!$BD$31*($E180-0.3)+$E180^2)</f>
        <v>0.73964639284833722</v>
      </c>
      <c r="G180" s="550">
        <f t="shared" si="132"/>
        <v>0.94105408420703018</v>
      </c>
      <c r="I180" s="551">
        <f t="shared" si="177"/>
        <v>50651.295028359193</v>
      </c>
      <c r="M180" s="546">
        <f t="shared" si="133"/>
        <v>232</v>
      </c>
      <c r="N180" s="551">
        <f t="shared" si="123"/>
        <v>43.301270189221931</v>
      </c>
      <c r="O180" s="553">
        <f>$N180/PI()*SQRT('Hilfstabellen_Mat&amp;Bem'!f.Rd.3/'Hilfstabellen_Mat&amp;Bem'!$BD$30)</f>
        <v>0.68916111927724011</v>
      </c>
      <c r="P180" s="553">
        <f>0.5*(1+'Hilfstabellen_Mat&amp;Bem'!$BD$31*($O180-0.3)+$O180^2)</f>
        <v>0.75692958012559108</v>
      </c>
      <c r="Q180" s="550">
        <f t="shared" si="124"/>
        <v>0.9345986165714808</v>
      </c>
      <c r="S180" s="551">
        <f t="shared" si="178"/>
        <v>50303.835938343385</v>
      </c>
      <c r="W180" s="546">
        <f t="shared" si="134"/>
        <v>232</v>
      </c>
      <c r="X180" s="551">
        <f t="shared" si="125"/>
        <v>44.794417437126135</v>
      </c>
      <c r="Y180" s="553">
        <f>$X180/PI()*SQRT('Hilfstabellen_Mat&amp;Bem'!f.Rd.3/'Hilfstabellen_Mat&amp;Bem'!$BD$30)</f>
        <v>0.71292529580404151</v>
      </c>
      <c r="Z180" s="553">
        <f>0.5*(1+'Hilfstabellen_Mat&amp;Bem'!$BD$31*($Y180-0.3)+$Y180^2)</f>
        <v>0.77477750348884211</v>
      </c>
      <c r="AA180" s="550">
        <f t="shared" si="126"/>
        <v>0.92753906960148247</v>
      </c>
      <c r="AC180" s="551">
        <f t="shared" si="179"/>
        <v>49923.862882230191</v>
      </c>
      <c r="AG180" s="546">
        <f t="shared" si="135"/>
        <v>232</v>
      </c>
      <c r="AH180" s="551">
        <f t="shared" si="127"/>
        <v>46.28756468503034</v>
      </c>
      <c r="AI180" s="553">
        <f>$AH180/PI()*SQRT('Hilfstabellen_Mat&amp;Bem'!f.Rd.3/'Hilfstabellen_Mat&amp;Bem'!$BD$30)</f>
        <v>0.73668947233084292</v>
      </c>
      <c r="AJ180" s="553">
        <f>0.5*(1+'Hilfstabellen_Mat&amp;Bem'!$BD$31*($AI180-0.3)+$AI180^2)</f>
        <v>0.79319016293808997</v>
      </c>
      <c r="AK180" s="550">
        <f t="shared" si="128"/>
        <v>0.91979760388969445</v>
      </c>
      <c r="AM180" s="551">
        <f t="shared" si="180"/>
        <v>49507.186231758911</v>
      </c>
      <c r="AQ180" s="546">
        <f t="shared" si="136"/>
        <v>232</v>
      </c>
      <c r="AR180" s="551">
        <f t="shared" si="129"/>
        <v>47.780711932934537</v>
      </c>
      <c r="AS180" s="553">
        <f>$AR180/PI()*SQRT('Hilfstabellen_Mat&amp;Bem'!f.Rd.3/'Hilfstabellen_Mat&amp;Bem'!$BD$30)</f>
        <v>0.7604536488576441</v>
      </c>
      <c r="AT180" s="553">
        <f>0.5*(1+'Hilfstabellen_Mat&amp;Bem'!$BD$31*($AS180-0.3)+$AS180^2)</f>
        <v>0.81216755847333477</v>
      </c>
      <c r="AU180" s="550">
        <f t="shared" si="130"/>
        <v>0.9112901156667117</v>
      </c>
      <c r="AW180" s="551">
        <f t="shared" si="181"/>
        <v>49049.279185645093</v>
      </c>
      <c r="AZ180" s="547">
        <f>'Hilfstabellen_Mat&amp;Bem'!$J$56</f>
        <v>3.3</v>
      </c>
      <c r="BA180" s="546">
        <f t="shared" si="137"/>
        <v>232</v>
      </c>
      <c r="BB180" s="551">
        <f t="shared" si="138"/>
        <v>49.273859180838748</v>
      </c>
      <c r="BC180" s="553">
        <f>BB180/PI()*SQRT('Hilfstabellen_Mat&amp;Bem'!f.Rd.3/'Hilfstabellen_Mat&amp;Bem'!$BD$30)</f>
        <v>0.78421782538444562</v>
      </c>
      <c r="BD180" s="553">
        <f>0.5*(1+'Hilfstabellen_Mat&amp;Bem'!$BD$31*(BC180-0.3)+BC180^2)</f>
        <v>0.83170969009457663</v>
      </c>
      <c r="BE180" s="550">
        <f t="shared" si="139"/>
        <v>0.90192820410343866</v>
      </c>
      <c r="BG180" s="551">
        <f t="shared" si="140"/>
        <v>48545.383657663486</v>
      </c>
      <c r="BJ180" s="547">
        <f>'Hilfstabellen_Mat&amp;Bem'!$J$57</f>
        <v>3.4</v>
      </c>
      <c r="BK180" s="546">
        <f t="shared" si="141"/>
        <v>232</v>
      </c>
      <c r="BL180" s="551">
        <f t="shared" si="142"/>
        <v>50.767006428742953</v>
      </c>
      <c r="BM180" s="553">
        <f>BL180/PI()*SQRT('Hilfstabellen_Mat&amp;Bem'!f.Rd.3/'Hilfstabellen_Mat&amp;Bem'!$BD$30)</f>
        <v>0.80798200191124703</v>
      </c>
      <c r="BN180" s="553">
        <f>0.5*(1+'Hilfstabellen_Mat&amp;Bem'!$BD$31*(BM180-0.3)+BM180^2)</f>
        <v>0.85181655780181553</v>
      </c>
      <c r="BO180" s="550">
        <f t="shared" si="143"/>
        <v>0.89162260630909029</v>
      </c>
      <c r="BQ180" s="551">
        <f t="shared" si="144"/>
        <v>47990.695161980475</v>
      </c>
      <c r="BT180" s="547">
        <f>'Hilfstabellen_Mat&amp;Bem'!$J$58</f>
        <v>3.5</v>
      </c>
      <c r="BU180" s="546">
        <f t="shared" si="145"/>
        <v>232</v>
      </c>
      <c r="BV180" s="551">
        <f t="shared" si="146"/>
        <v>52.260153676647157</v>
      </c>
      <c r="BW180" s="553">
        <f>BV180/PI()*SQRT('Hilfstabellen_Mat&amp;Bem'!f.Rd.3/'Hilfstabellen_Mat&amp;Bem'!$BD$30)</f>
        <v>0.83174617843804843</v>
      </c>
      <c r="BX180" s="553">
        <f>0.5*(1+'Hilfstabellen_Mat&amp;Bem'!$BD$31*(BW180-0.3)+BW180^2)</f>
        <v>0.87248816159505138</v>
      </c>
      <c r="BY180" s="550">
        <f t="shared" si="147"/>
        <v>0.88028845703610448</v>
      </c>
      <c r="CA180" s="551">
        <f t="shared" si="148"/>
        <v>47380.645911511288</v>
      </c>
      <c r="CD180" s="547">
        <f>'Hilfstabellen_Mat&amp;Bem'!$J$59</f>
        <v>3.6</v>
      </c>
      <c r="CE180" s="546">
        <f t="shared" si="149"/>
        <v>232</v>
      </c>
      <c r="CF180" s="551">
        <f t="shared" si="150"/>
        <v>53.753300924551361</v>
      </c>
      <c r="CG180" s="553">
        <f>CF180/PI()*SQRT('Hilfstabellen_Mat&amp;Bem'!f.Rd.3/'Hilfstabellen_Mat&amp;Bem'!$BD$30)</f>
        <v>0.85551035496484973</v>
      </c>
      <c r="CH180" s="553">
        <f>0.5*(1+'Hilfstabellen_Mat&amp;Bem'!$BD$31*(CG180-0.3)+CG180^2)</f>
        <v>0.89372450147428406</v>
      </c>
      <c r="CI180" s="550">
        <f t="shared" si="151"/>
        <v>0.86785252809569868</v>
      </c>
      <c r="CK180" s="551">
        <f t="shared" si="152"/>
        <v>46711.294472222886</v>
      </c>
      <c r="CN180" s="547">
        <f>'Hilfstabellen_Mat&amp;Bem'!$J$60</f>
        <v>3.7</v>
      </c>
      <c r="CO180" s="546">
        <f t="shared" si="153"/>
        <v>232</v>
      </c>
      <c r="CP180" s="551">
        <f t="shared" si="154"/>
        <v>55.246448172455565</v>
      </c>
      <c r="CQ180" s="553">
        <f>CP180/PI()*SQRT('Hilfstabellen_Mat&amp;Bem'!f.Rd.3/'Hilfstabellen_Mat&amp;Bem'!$BD$30)</f>
        <v>0.87927453149165113</v>
      </c>
      <c r="CR180" s="553">
        <f>0.5*(1+'Hilfstabellen_Mat&amp;Bem'!$BD$31*(CQ180-0.3)+CQ180^2)</f>
        <v>0.9155255774395139</v>
      </c>
      <c r="CS180" s="550">
        <f t="shared" si="155"/>
        <v>0.85426217017695749</v>
      </c>
      <c r="CU180" s="551">
        <f t="shared" si="156"/>
        <v>45979.807047604561</v>
      </c>
      <c r="CX180" s="547">
        <f>'Hilfstabellen_Mat&amp;Bem'!$J$61</f>
        <v>3.8</v>
      </c>
      <c r="CY180" s="546">
        <f t="shared" si="157"/>
        <v>232</v>
      </c>
      <c r="CZ180" s="551">
        <f t="shared" si="158"/>
        <v>56.739595420359777</v>
      </c>
      <c r="DA180" s="553">
        <f>CZ180/PI()*SQRT('Hilfstabellen_Mat&amp;Bem'!f.Rd.3/'Hilfstabellen_Mat&amp;Bem'!$BD$30)</f>
        <v>0.90303870801845254</v>
      </c>
      <c r="DB180" s="553">
        <f>0.5*(1+'Hilfstabellen_Mat&amp;Bem'!$BD$31*(DA180-0.3)+DA180^2)</f>
        <v>0.93789138949074058</v>
      </c>
      <c r="DC180" s="550">
        <f t="shared" si="159"/>
        <v>0.83949501822397987</v>
      </c>
      <c r="DE180" s="551">
        <f t="shared" si="160"/>
        <v>45184.979860887492</v>
      </c>
      <c r="DH180" s="547">
        <f>'Hilfstabellen_Mat&amp;Bem'!$J$62</f>
        <v>3.9</v>
      </c>
      <c r="DI180" s="546">
        <f t="shared" si="161"/>
        <v>232</v>
      </c>
      <c r="DJ180" s="551">
        <f t="shared" si="162"/>
        <v>58.232742668263974</v>
      </c>
      <c r="DK180" s="553">
        <f>DJ180/PI()*SQRT('Hilfstabellen_Mat&amp;Bem'!f.Rd.3/'Hilfstabellen_Mat&amp;Bem'!$BD$30)</f>
        <v>0.92680288454525395</v>
      </c>
      <c r="DL180" s="553">
        <f>0.5*(1+'Hilfstabellen_Mat&amp;Bem'!$BD$31*(DK180-0.3)+DK180^2)</f>
        <v>0.96082193762796431</v>
      </c>
      <c r="DM180" s="550">
        <f t="shared" si="163"/>
        <v>0.82356778386238083</v>
      </c>
      <c r="DO180" s="551">
        <f t="shared" si="164"/>
        <v>44327.712398608783</v>
      </c>
      <c r="DR180" s="547">
        <f>'Hilfstabellen_Mat&amp;Bem'!$J$63</f>
        <v>4</v>
      </c>
      <c r="DS180" s="546">
        <f t="shared" si="165"/>
        <v>232</v>
      </c>
      <c r="DT180" s="551">
        <f t="shared" si="166"/>
        <v>59.725889916168185</v>
      </c>
      <c r="DU180" s="553">
        <f>DT180/PI()*SQRT('Hilfstabellen_Mat&amp;Bem'!f.Rd.3/'Hilfstabellen_Mat&amp;Bem'!$BD$30)</f>
        <v>0.95056706107205535</v>
      </c>
      <c r="DV180" s="553">
        <f>0.5*(1+'Hilfstabellen_Mat&amp;Bem'!$BD$31*(DU180-0.3)+DU180^2)</f>
        <v>0.98431722185118509</v>
      </c>
      <c r="DW180" s="550">
        <f t="shared" si="167"/>
        <v>0.80654198154921952</v>
      </c>
      <c r="DY180" s="551">
        <f t="shared" si="168"/>
        <v>43411.315614905194</v>
      </c>
      <c r="EB180" s="547">
        <f>'Hilfstabellen_Mat&amp;Bem'!$J$64</f>
        <v>4.0999999999999996</v>
      </c>
      <c r="EC180" s="546">
        <f t="shared" si="169"/>
        <v>232</v>
      </c>
      <c r="ED180" s="551">
        <f t="shared" si="170"/>
        <v>61.219037164072382</v>
      </c>
      <c r="EE180" s="553">
        <f>ED180/PI()*SQRT('Hilfstabellen_Mat&amp;Bem'!f.Rd.3/'Hilfstabellen_Mat&amp;Bem'!$BD$30)</f>
        <v>0.97433123759885665</v>
      </c>
      <c r="EF180" s="553">
        <f>0.5*(1+'Hilfstabellen_Mat&amp;Bem'!$BD$31*(EE180-0.3)+EE180^2)</f>
        <v>1.0083772421604027</v>
      </c>
      <c r="EG180" s="550">
        <f t="shared" si="171"/>
        <v>0.78852462148565949</v>
      </c>
      <c r="EI180" s="551">
        <f t="shared" si="172"/>
        <v>42441.549226844138</v>
      </c>
      <c r="EL180" s="547">
        <f>'Hilfstabellen_Mat&amp;Bem'!$J$65</f>
        <v>4.2</v>
      </c>
      <c r="EM180" s="546">
        <f t="shared" si="173"/>
        <v>232</v>
      </c>
      <c r="EN180" s="551">
        <f t="shared" si="174"/>
        <v>62.712184411976587</v>
      </c>
      <c r="EO180" s="553">
        <f>EN180/PI()*SQRT('Hilfstabellen_Mat&amp;Bem'!f.Rd.3/'Hilfstabellen_Mat&amp;Bem'!$BD$30)</f>
        <v>0.99809541412565805</v>
      </c>
      <c r="EP180" s="553">
        <f>0.5*(1+'Hilfstabellen_Mat&amp;Bem'!$BD$31*(EO180-0.3)+EO180^2)</f>
        <v>1.0330019985556174</v>
      </c>
      <c r="EQ180" s="550">
        <f t="shared" si="175"/>
        <v>0.76966293708088884</v>
      </c>
      <c r="ES180" s="551">
        <f t="shared" si="176"/>
        <v>41426.33792544176</v>
      </c>
    </row>
    <row r="181" spans="3:149">
      <c r="C181" s="546">
        <v>233</v>
      </c>
      <c r="D181" s="551">
        <f t="shared" si="131"/>
        <v>41.628688937277737</v>
      </c>
      <c r="E181" s="553">
        <f>$D181/PI()*SQRT('Hilfstabellen_Mat&amp;Bem'!f.Rd.3/'Hilfstabellen_Mat&amp;Bem'!$BD$30)</f>
        <v>0.66254116188026524</v>
      </c>
      <c r="F181" s="553">
        <f>0.5*(1+'Hilfstabellen_Mat&amp;Bem'!$BD$31*($E181-0.3)+$E181^2)</f>
        <v>0.73760745368683922</v>
      </c>
      <c r="G181" s="550">
        <f t="shared" si="132"/>
        <v>0.94179262926512619</v>
      </c>
      <c r="I181" s="551">
        <f t="shared" si="177"/>
        <v>51128.980050174439</v>
      </c>
      <c r="M181" s="546">
        <f t="shared" si="133"/>
        <v>233</v>
      </c>
      <c r="N181" s="551">
        <f t="shared" si="123"/>
        <v>43.115427827894798</v>
      </c>
      <c r="O181" s="553">
        <f>$N181/PI()*SQRT('Hilfstabellen_Mat&amp;Bem'!f.Rd.3/'Hilfstabellen_Mat&amp;Bem'!$BD$30)</f>
        <v>0.68620334623313184</v>
      </c>
      <c r="P181" s="553">
        <f>0.5*(1+'Hilfstabellen_Mat&amp;Bem'!$BD$31*($O181-0.3)+$O181^2)</f>
        <v>0.75474768350243027</v>
      </c>
      <c r="Q181" s="550">
        <f t="shared" si="124"/>
        <v>0.93543348690819861</v>
      </c>
      <c r="S181" s="551">
        <f t="shared" si="178"/>
        <v>50783.748570759191</v>
      </c>
      <c r="W181" s="546">
        <f t="shared" si="134"/>
        <v>233</v>
      </c>
      <c r="X181" s="551">
        <f t="shared" si="125"/>
        <v>44.60216671851186</v>
      </c>
      <c r="Y181" s="553">
        <f>$X181/PI()*SQRT('Hilfstabellen_Mat&amp;Bem'!f.Rd.3/'Hilfstabellen_Mat&amp;Bem'!$BD$30)</f>
        <v>0.70986553058599844</v>
      </c>
      <c r="Z181" s="553">
        <f>0.5*(1+'Hilfstabellen_Mat&amp;Bem'!$BD$31*($Y181-0.3)+$Y181^2)</f>
        <v>0.77244781228637049</v>
      </c>
      <c r="AA181" s="550">
        <f t="shared" si="126"/>
        <v>0.92848456198643026</v>
      </c>
      <c r="AC181" s="551">
        <f t="shared" si="179"/>
        <v>50406.498385681312</v>
      </c>
      <c r="AG181" s="546">
        <f t="shared" si="135"/>
        <v>233</v>
      </c>
      <c r="AH181" s="551">
        <f t="shared" si="127"/>
        <v>46.088905609128922</v>
      </c>
      <c r="AI181" s="553">
        <f>$AH181/PI()*SQRT('Hilfstabellen_Mat&amp;Bem'!f.Rd.3/'Hilfstabellen_Mat&amp;Bem'!$BD$30)</f>
        <v>0.73352771493886504</v>
      </c>
      <c r="AJ181" s="553">
        <f>0.5*(1+'Hilfstabellen_Mat&amp;Bem'!$BD$31*($AI181-0.3)+$AI181^2)</f>
        <v>0.79070784003865979</v>
      </c>
      <c r="AK181" s="550">
        <f t="shared" si="128"/>
        <v>0.92086987615432292</v>
      </c>
      <c r="AM181" s="551">
        <f t="shared" si="180"/>
        <v>49993.104706542035</v>
      </c>
      <c r="AQ181" s="546">
        <f t="shared" si="136"/>
        <v>233</v>
      </c>
      <c r="AR181" s="551">
        <f t="shared" si="129"/>
        <v>47.575644499745984</v>
      </c>
      <c r="AS181" s="553">
        <f>$AR181/PI()*SQRT('Hilfstabellen_Mat&amp;Bem'!f.Rd.3/'Hilfstabellen_Mat&amp;Bem'!$BD$30)</f>
        <v>0.75718989929173164</v>
      </c>
      <c r="AT181" s="553">
        <f>0.5*(1+'Hilfstabellen_Mat&amp;Bem'!$BD$31*($AS181-0.3)+$AS181^2)</f>
        <v>0.80952776675929794</v>
      </c>
      <c r="AU181" s="550">
        <f t="shared" si="130"/>
        <v>0.91250712755380381</v>
      </c>
      <c r="AW181" s="551">
        <f t="shared" si="181"/>
        <v>49539.099447768458</v>
      </c>
      <c r="AZ181" s="547">
        <f>'Hilfstabellen_Mat&amp;Bem'!$J$56</f>
        <v>3.3</v>
      </c>
      <c r="BA181" s="546">
        <f t="shared" si="137"/>
        <v>233</v>
      </c>
      <c r="BB181" s="551">
        <f t="shared" si="138"/>
        <v>49.062383390363046</v>
      </c>
      <c r="BC181" s="553">
        <f>BB181/PI()*SQRT('Hilfstabellen_Mat&amp;Bem'!f.Rd.3/'Hilfstabellen_Mat&amp;Bem'!$BD$30)</f>
        <v>0.78085208364459824</v>
      </c>
      <c r="BD181" s="553">
        <f>0.5*(1+'Hilfstabellen_Mat&amp;Bem'!$BD$31*(BC181-0.3)+BC181^2)</f>
        <v>0.82890759244828527</v>
      </c>
      <c r="BE181" s="550">
        <f t="shared" si="139"/>
        <v>0.90330945670668128</v>
      </c>
      <c r="BG181" s="551">
        <f t="shared" si="140"/>
        <v>49039.767095149022</v>
      </c>
      <c r="BJ181" s="547">
        <f>'Hilfstabellen_Mat&amp;Bem'!$J$57</f>
        <v>3.4</v>
      </c>
      <c r="BK181" s="546">
        <f t="shared" si="141"/>
        <v>233</v>
      </c>
      <c r="BL181" s="551">
        <f t="shared" si="142"/>
        <v>50.549122280980107</v>
      </c>
      <c r="BM181" s="553">
        <f>BL181/PI()*SQRT('Hilfstabellen_Mat&amp;Bem'!f.Rd.3/'Hilfstabellen_Mat&amp;Bem'!$BD$30)</f>
        <v>0.80451426799746484</v>
      </c>
      <c r="BN181" s="553">
        <f>0.5*(1+'Hilfstabellen_Mat&amp;Bem'!$BD$31*(BM181-0.3)+BM181^2)</f>
        <v>0.84884731710562156</v>
      </c>
      <c r="BO181" s="550">
        <f t="shared" si="143"/>
        <v>0.89318859097637493</v>
      </c>
      <c r="BQ181" s="551">
        <f t="shared" si="144"/>
        <v>48490.315415516416</v>
      </c>
      <c r="BT181" s="547">
        <f>'Hilfstabellen_Mat&amp;Bem'!$J$58</f>
        <v>3.5</v>
      </c>
      <c r="BU181" s="546">
        <f t="shared" si="145"/>
        <v>233</v>
      </c>
      <c r="BV181" s="551">
        <f t="shared" si="146"/>
        <v>52.035861171597169</v>
      </c>
      <c r="BW181" s="553">
        <f>BV181/PI()*SQRT('Hilfstabellen_Mat&amp;Bem'!f.Rd.3/'Hilfstabellen_Mat&amp;Bem'!$BD$30)</f>
        <v>0.82817645235033144</v>
      </c>
      <c r="BX181" s="553">
        <f>0.5*(1+'Hilfstabellen_Mat&amp;Bem'!$BD$31*(BW181-0.3)+BW181^2)</f>
        <v>0.86934694073130692</v>
      </c>
      <c r="BY181" s="550">
        <f t="shared" si="147"/>
        <v>0.8820597271142534</v>
      </c>
      <c r="CA181" s="551">
        <f t="shared" si="148"/>
        <v>47886.140525305702</v>
      </c>
      <c r="CD181" s="547">
        <f>'Hilfstabellen_Mat&amp;Bem'!$J$59</f>
        <v>3.6</v>
      </c>
      <c r="CE181" s="546">
        <f t="shared" si="149"/>
        <v>233</v>
      </c>
      <c r="CF181" s="551">
        <f t="shared" si="150"/>
        <v>53.522600062214231</v>
      </c>
      <c r="CG181" s="553">
        <f>CF181/PI()*SQRT('Hilfstabellen_Mat&amp;Bem'!f.Rd.3/'Hilfstabellen_Mat&amp;Bem'!$BD$30)</f>
        <v>0.85183863670319804</v>
      </c>
      <c r="CH181" s="553">
        <f>0.5*(1+'Hilfstabellen_Mat&amp;Bem'!$BD$31*(CG181-0.3)+CG181^2)</f>
        <v>0.89040646332534135</v>
      </c>
      <c r="CI181" s="550">
        <f t="shared" si="151"/>
        <v>0.8698483424492629</v>
      </c>
      <c r="CK181" s="551">
        <f t="shared" si="152"/>
        <v>47223.196663228031</v>
      </c>
      <c r="CN181" s="547">
        <f>'Hilfstabellen_Mat&amp;Bem'!$J$60</f>
        <v>3.7</v>
      </c>
      <c r="CO181" s="546">
        <f t="shared" si="153"/>
        <v>233</v>
      </c>
      <c r="CP181" s="551">
        <f t="shared" si="154"/>
        <v>55.009338952831293</v>
      </c>
      <c r="CQ181" s="553">
        <f>CP181/PI()*SQRT('Hilfstabellen_Mat&amp;Bem'!f.Rd.3/'Hilfstabellen_Mat&amp;Bem'!$BD$30)</f>
        <v>0.87550082105606464</v>
      </c>
      <c r="CR181" s="553">
        <f>0.5*(1+'Hilfstabellen_Mat&amp;Bem'!$BD$31*(CQ181-0.3)+CQ181^2)</f>
        <v>0.91202588488772496</v>
      </c>
      <c r="CS181" s="550">
        <f t="shared" si="155"/>
        <v>0.8564987415231381</v>
      </c>
      <c r="CU181" s="551">
        <f t="shared" si="156"/>
        <v>46498.460178549642</v>
      </c>
      <c r="CX181" s="547">
        <f>'Hilfstabellen_Mat&amp;Bem'!$J$61</f>
        <v>3.8</v>
      </c>
      <c r="CY181" s="546">
        <f t="shared" si="157"/>
        <v>233</v>
      </c>
      <c r="CZ181" s="551">
        <f t="shared" si="158"/>
        <v>56.496077843448361</v>
      </c>
      <c r="DA181" s="553">
        <f>CZ181/PI()*SQRT('Hilfstabellen_Mat&amp;Bem'!f.Rd.3/'Hilfstabellen_Mat&amp;Bem'!$BD$30)</f>
        <v>0.89916300540893135</v>
      </c>
      <c r="DB181" s="553">
        <f>0.5*(1+'Hilfstabellen_Mat&amp;Bem'!$BD$31*(DA181-0.3)+DA181^2)</f>
        <v>0.93420520541845753</v>
      </c>
      <c r="DC181" s="550">
        <f t="shared" si="159"/>
        <v>0.84198353286779426</v>
      </c>
      <c r="DE181" s="551">
        <f t="shared" si="160"/>
        <v>45710.444015859684</v>
      </c>
      <c r="DH181" s="547">
        <f>'Hilfstabellen_Mat&amp;Bem'!$J$62</f>
        <v>3.9</v>
      </c>
      <c r="DI181" s="546">
        <f t="shared" si="161"/>
        <v>233</v>
      </c>
      <c r="DJ181" s="551">
        <f t="shared" si="162"/>
        <v>57.982816734065416</v>
      </c>
      <c r="DK181" s="553">
        <f>DJ181/PI()*SQRT('Hilfstabellen_Mat&amp;Bem'!f.Rd.3/'Hilfstabellen_Mat&amp;Bem'!$BD$30)</f>
        <v>0.92282518976179784</v>
      </c>
      <c r="DL181" s="553">
        <f>0.5*(1+'Hilfstabellen_Mat&amp;Bem'!$BD$31*(DK181-0.3)+DK181^2)</f>
        <v>0.95694442491753895</v>
      </c>
      <c r="DM181" s="550">
        <f t="shared" si="163"/>
        <v>0.82631251124716976</v>
      </c>
      <c r="DO181" s="551">
        <f t="shared" si="164"/>
        <v>44859.679923097596</v>
      </c>
      <c r="DR181" s="547">
        <f>'Hilfstabellen_Mat&amp;Bem'!$J$63</f>
        <v>4</v>
      </c>
      <c r="DS181" s="546">
        <f t="shared" si="165"/>
        <v>233</v>
      </c>
      <c r="DT181" s="551">
        <f t="shared" si="166"/>
        <v>59.469555624682471</v>
      </c>
      <c r="DU181" s="553">
        <f>DT181/PI()*SQRT('Hilfstabellen_Mat&amp;Bem'!f.Rd.3/'Hilfstabellen_Mat&amp;Bem'!$BD$30)</f>
        <v>0.94648737411466444</v>
      </c>
      <c r="DV181" s="553">
        <f>0.5*(1+'Hilfstabellen_Mat&amp;Bem'!$BD$31*(DU181-0.3)+DU181^2)</f>
        <v>0.98024354338496955</v>
      </c>
      <c r="DW181" s="550">
        <f t="shared" si="167"/>
        <v>0.80953889347391994</v>
      </c>
      <c r="DY181" s="551">
        <f t="shared" si="168"/>
        <v>43949.056987805641</v>
      </c>
      <c r="EB181" s="547">
        <f>'Hilfstabellen_Mat&amp;Bem'!$J$64</f>
        <v>4.0999999999999996</v>
      </c>
      <c r="EC181" s="546">
        <f t="shared" si="169"/>
        <v>233</v>
      </c>
      <c r="ED181" s="551">
        <f t="shared" si="170"/>
        <v>60.956294515299547</v>
      </c>
      <c r="EE181" s="553">
        <f>ED181/PI()*SQRT('Hilfstabellen_Mat&amp;Bem'!f.Rd.3/'Hilfstabellen_Mat&amp;Bem'!$BD$30)</f>
        <v>0.97014955846753126</v>
      </c>
      <c r="EF181" s="553">
        <f>0.5*(1+'Hilfstabellen_Mat&amp;Bem'!$BD$31*(EE181-0.3)+EE181^2)</f>
        <v>1.0041025608207494</v>
      </c>
      <c r="EG181" s="550">
        <f t="shared" si="171"/>
        <v>0.79176091231259904</v>
      </c>
      <c r="EI181" s="551">
        <f t="shared" si="172"/>
        <v>42983.908168538692</v>
      </c>
      <c r="EL181" s="547">
        <f>'Hilfstabellen_Mat&amp;Bem'!$J$65</f>
        <v>4.2</v>
      </c>
      <c r="EM181" s="546">
        <f t="shared" si="173"/>
        <v>233</v>
      </c>
      <c r="EN181" s="551">
        <f t="shared" si="174"/>
        <v>62.443033405916601</v>
      </c>
      <c r="EO181" s="553">
        <f>EN181/PI()*SQRT('Hilfstabellen_Mat&amp;Bem'!f.Rd.3/'Hilfstabellen_Mat&amp;Bem'!$BD$30)</f>
        <v>0.99381174282039775</v>
      </c>
      <c r="EP181" s="553">
        <f>0.5*(1+'Hilfstabellen_Mat&amp;Bem'!$BD$31*(EO181-0.3)+EO181^2)</f>
        <v>1.0285214772248781</v>
      </c>
      <c r="EQ181" s="550">
        <f t="shared" si="175"/>
        <v>0.77311764501546765</v>
      </c>
      <c r="ES181" s="551">
        <f t="shared" si="176"/>
        <v>41971.78383024472</v>
      </c>
    </row>
    <row r="182" spans="3:149">
      <c r="C182" s="546">
        <v>234</v>
      </c>
      <c r="D182" s="551">
        <f t="shared" si="131"/>
        <v>41.4507885572039</v>
      </c>
      <c r="E182" s="553">
        <f>$D182/PI()*SQRT('Hilfstabellen_Mat&amp;Bem'!f.Rd.3/'Hilfstabellen_Mat&amp;Bem'!$BD$30)</f>
        <v>0.65970978939359737</v>
      </c>
      <c r="F182" s="553">
        <f>0.5*(1+'Hilfstabellen_Mat&amp;Bem'!$BD$31*($E182-0.3)+$E182^2)</f>
        <v>0.73559399258055214</v>
      </c>
      <c r="G182" s="550">
        <f t="shared" si="132"/>
        <v>0.9425173798123988</v>
      </c>
      <c r="I182" s="551">
        <f t="shared" si="177"/>
        <v>51608.481649007706</v>
      </c>
      <c r="M182" s="546">
        <f t="shared" si="133"/>
        <v>234</v>
      </c>
      <c r="N182" s="551">
        <f t="shared" si="123"/>
        <v>42.931173862818326</v>
      </c>
      <c r="O182" s="553">
        <f>$N182/PI()*SQRT('Hilfstabellen_Mat&amp;Bem'!f.Rd.3/'Hilfstabellen_Mat&amp;Bem'!$BD$30)</f>
        <v>0.68327085330051163</v>
      </c>
      <c r="P182" s="553">
        <f>0.5*(1+'Hilfstabellen_Mat&amp;Bem'!$BD$31*($O182-0.3)+$O182^2)</f>
        <v>0.75259307215003024</v>
      </c>
      <c r="Q182" s="550">
        <f t="shared" si="124"/>
        <v>0.93625213274603125</v>
      </c>
      <c r="S182" s="551">
        <f t="shared" si="178"/>
        <v>51265.421780641685</v>
      </c>
      <c r="W182" s="546">
        <f t="shared" si="134"/>
        <v>234</v>
      </c>
      <c r="X182" s="551">
        <f t="shared" si="125"/>
        <v>44.411559168432753</v>
      </c>
      <c r="Y182" s="553">
        <f>$X182/PI()*SQRT('Hilfstabellen_Mat&amp;Bem'!f.Rd.3/'Hilfstabellen_Mat&amp;Bem'!$BD$30)</f>
        <v>0.70683191720742578</v>
      </c>
      <c r="Z182" s="553">
        <f>0.5*(1+'Hilfstabellen_Mat&amp;Bem'!$BD$31*($Y182-0.3)+$Y182^2)</f>
        <v>0.77014727545193395</v>
      </c>
      <c r="AA182" s="550">
        <f t="shared" si="126"/>
        <v>0.92941099150532003</v>
      </c>
      <c r="AC182" s="551">
        <f t="shared" si="179"/>
        <v>50890.828250865306</v>
      </c>
      <c r="AG182" s="546">
        <f t="shared" si="135"/>
        <v>234</v>
      </c>
      <c r="AH182" s="551">
        <f t="shared" si="127"/>
        <v>45.891944474047172</v>
      </c>
      <c r="AI182" s="553">
        <f>$AH182/PI()*SQRT('Hilfstabellen_Mat&amp;Bem'!f.Rd.3/'Hilfstabellen_Mat&amp;Bem'!$BD$30)</f>
        <v>0.73039298111433992</v>
      </c>
      <c r="AJ182" s="553">
        <f>0.5*(1+'Hilfstabellen_Mat&amp;Bem'!$BD$31*($AI182-0.3)+$AI182^2)</f>
        <v>0.78825660248626328</v>
      </c>
      <c r="AK182" s="550">
        <f t="shared" si="128"/>
        <v>0.92191980443582899</v>
      </c>
      <c r="AM182" s="551">
        <f t="shared" si="180"/>
        <v>50480.640811688252</v>
      </c>
      <c r="AQ182" s="546">
        <f t="shared" si="136"/>
        <v>234</v>
      </c>
      <c r="AR182" s="551">
        <f t="shared" si="129"/>
        <v>47.372329779661598</v>
      </c>
      <c r="AS182" s="553">
        <f>$AR182/PI()*SQRT('Hilfstabellen_Mat&amp;Bem'!f.Rd.3/'Hilfstabellen_Mat&amp;Bem'!$BD$30)</f>
        <v>0.75395404502125407</v>
      </c>
      <c r="AT182" s="553">
        <f>0.5*(1+'Hilfstabellen_Mat&amp;Bem'!$BD$31*($AS182-0.3)+$AS182^2)</f>
        <v>0.80692105325301833</v>
      </c>
      <c r="AU182" s="550">
        <f t="shared" si="130"/>
        <v>0.91369805820039007</v>
      </c>
      <c r="AW182" s="551">
        <f t="shared" si="181"/>
        <v>50030.450874820555</v>
      </c>
      <c r="AZ182" s="547">
        <f>'Hilfstabellen_Mat&amp;Bem'!$J$56</f>
        <v>3.3</v>
      </c>
      <c r="BA182" s="546">
        <f t="shared" si="137"/>
        <v>234</v>
      </c>
      <c r="BB182" s="551">
        <f t="shared" si="138"/>
        <v>48.852715085276024</v>
      </c>
      <c r="BC182" s="553">
        <f>BB182/PI()*SQRT('Hilfstabellen_Mat&amp;Bem'!f.Rd.3/'Hilfstabellen_Mat&amp;Bem'!$BD$30)</f>
        <v>0.77751510892816833</v>
      </c>
      <c r="BD182" s="553">
        <f>0.5*(1+'Hilfstabellen_Mat&amp;Bem'!$BD$31*(BC182-0.3)+BC182^2)</f>
        <v>0.82614062775219921</v>
      </c>
      <c r="BE182" s="550">
        <f t="shared" si="139"/>
        <v>0.90466045793697458</v>
      </c>
      <c r="BG182" s="551">
        <f t="shared" si="140"/>
        <v>49535.58803479698</v>
      </c>
      <c r="BJ182" s="547">
        <f>'Hilfstabellen_Mat&amp;Bem'!$J$57</f>
        <v>3.4</v>
      </c>
      <c r="BK182" s="546">
        <f t="shared" si="141"/>
        <v>234</v>
      </c>
      <c r="BL182" s="551">
        <f t="shared" si="142"/>
        <v>50.333100390890451</v>
      </c>
      <c r="BM182" s="553">
        <f>BL182/PI()*SQRT('Hilfstabellen_Mat&amp;Bem'!f.Rd.3/'Hilfstabellen_Mat&amp;Bem'!$BD$30)</f>
        <v>0.80107617283508259</v>
      </c>
      <c r="BN182" s="553">
        <f>0.5*(1+'Hilfstabellen_Mat&amp;Bem'!$BD$31*(BM182-0.3)+BM182^2)</f>
        <v>0.8459153259838057</v>
      </c>
      <c r="BO182" s="550">
        <f t="shared" si="143"/>
        <v>0.89471980065621581</v>
      </c>
      <c r="BQ182" s="551">
        <f t="shared" si="144"/>
        <v>48991.277404731751</v>
      </c>
      <c r="BT182" s="547">
        <f>'Hilfstabellen_Mat&amp;Bem'!$J$58</f>
        <v>3.5</v>
      </c>
      <c r="BU182" s="546">
        <f t="shared" si="145"/>
        <v>234</v>
      </c>
      <c r="BV182" s="551">
        <f t="shared" si="146"/>
        <v>51.813485696504877</v>
      </c>
      <c r="BW182" s="553">
        <f>BV182/PI()*SQRT('Hilfstabellen_Mat&amp;Bem'!f.Rd.3/'Hilfstabellen_Mat&amp;Bem'!$BD$30)</f>
        <v>0.82463723674199674</v>
      </c>
      <c r="BX182" s="553">
        <f>0.5*(1+'Hilfstabellen_Mat&amp;Bem'!$BD$31*(BW182-0.3)+BW182^2)</f>
        <v>0.8662451479478378</v>
      </c>
      <c r="BY182" s="550">
        <f t="shared" si="147"/>
        <v>0.88379150076126867</v>
      </c>
      <c r="CA182" s="551">
        <f t="shared" si="148"/>
        <v>48392.887415684025</v>
      </c>
      <c r="CD182" s="547">
        <f>'Hilfstabellen_Mat&amp;Bem'!$J$59</f>
        <v>3.6</v>
      </c>
      <c r="CE182" s="546">
        <f t="shared" si="149"/>
        <v>234</v>
      </c>
      <c r="CF182" s="551">
        <f t="shared" si="150"/>
        <v>53.293871002119303</v>
      </c>
      <c r="CG182" s="553">
        <f>CF182/PI()*SQRT('Hilfstabellen_Mat&amp;Bem'!f.Rd.3/'Hilfstabellen_Mat&amp;Bem'!$BD$30)</f>
        <v>0.848198300648911</v>
      </c>
      <c r="CH182" s="553">
        <f>0.5*(1+'Hilfstabellen_Mat&amp;Bem'!$BD$31*(CG182-0.3)+CG182^2)</f>
        <v>0.88713009364429585</v>
      </c>
      <c r="CI182" s="550">
        <f t="shared" si="151"/>
        <v>0.871799987092294</v>
      </c>
      <c r="CK182" s="551">
        <f t="shared" si="152"/>
        <v>47736.28009322565</v>
      </c>
      <c r="CN182" s="547">
        <f>'Hilfstabellen_Mat&amp;Bem'!$J$60</f>
        <v>3.7</v>
      </c>
      <c r="CO182" s="546">
        <f t="shared" si="153"/>
        <v>234</v>
      </c>
      <c r="CP182" s="551">
        <f t="shared" si="154"/>
        <v>54.774256307733722</v>
      </c>
      <c r="CQ182" s="553">
        <f>CP182/PI()*SQRT('Hilfstabellen_Mat&amp;Bem'!f.Rd.3/'Hilfstabellen_Mat&amp;Bem'!$BD$30)</f>
        <v>0.87175936455582503</v>
      </c>
      <c r="CR182" s="553">
        <f>0.5*(1+'Hilfstabellen_Mat&amp;Bem'!$BD$31*(CQ182-0.3)+CQ182^2)</f>
        <v>0.90857016307317906</v>
      </c>
      <c r="CS182" s="550">
        <f t="shared" si="155"/>
        <v>0.85868685225237507</v>
      </c>
      <c r="CU182" s="551">
        <f t="shared" si="156"/>
        <v>47018.257281931052</v>
      </c>
      <c r="CX182" s="547">
        <f>'Hilfstabellen_Mat&amp;Bem'!$J$61</f>
        <v>3.8</v>
      </c>
      <c r="CY182" s="546">
        <f t="shared" si="157"/>
        <v>234</v>
      </c>
      <c r="CZ182" s="551">
        <f t="shared" si="158"/>
        <v>56.254641613348149</v>
      </c>
      <c r="DA182" s="553">
        <f>CZ182/PI()*SQRT('Hilfstabellen_Mat&amp;Bem'!f.Rd.3/'Hilfstabellen_Mat&amp;Bem'!$BD$30)</f>
        <v>0.89532042846273918</v>
      </c>
      <c r="DB182" s="553">
        <f>0.5*(1+'Hilfstabellen_Mat&amp;Bem'!$BD$31*(DA182-0.3)+DA182^2)</f>
        <v>0.93056535623448844</v>
      </c>
      <c r="DC182" s="550">
        <f t="shared" si="159"/>
        <v>0.84442007193356716</v>
      </c>
      <c r="DE182" s="551">
        <f t="shared" si="160"/>
        <v>46237.065458794401</v>
      </c>
      <c r="DH182" s="547">
        <f>'Hilfstabellen_Mat&amp;Bem'!$J$62</f>
        <v>3.9</v>
      </c>
      <c r="DI182" s="546">
        <f t="shared" si="161"/>
        <v>234</v>
      </c>
      <c r="DJ182" s="551">
        <f t="shared" si="162"/>
        <v>57.735026918962575</v>
      </c>
      <c r="DK182" s="553">
        <f>DJ182/PI()*SQRT('Hilfstabellen_Mat&amp;Bem'!f.Rd.3/'Hilfstabellen_Mat&amp;Bem'!$BD$30)</f>
        <v>0.91888149236965355</v>
      </c>
      <c r="DL182" s="553">
        <f>0.5*(1+'Hilfstabellen_Mat&amp;Bem'!$BD$31*(DK182-0.3)+DK182^2)</f>
        <v>0.95311567312822354</v>
      </c>
      <c r="DM182" s="550">
        <f t="shared" si="163"/>
        <v>0.8290029172295762</v>
      </c>
      <c r="DO182" s="551">
        <f t="shared" si="164"/>
        <v>45392.883735822674</v>
      </c>
      <c r="DR182" s="547">
        <f>'Hilfstabellen_Mat&amp;Bem'!$J$63</f>
        <v>4</v>
      </c>
      <c r="DS182" s="546">
        <f t="shared" si="165"/>
        <v>234</v>
      </c>
      <c r="DT182" s="551">
        <f t="shared" si="166"/>
        <v>59.215412224576994</v>
      </c>
      <c r="DU182" s="553">
        <f>DT182/PI()*SQRT('Hilfstabellen_Mat&amp;Bem'!f.Rd.3/'Hilfstabellen_Mat&amp;Bem'!$BD$30)</f>
        <v>0.94244255627656759</v>
      </c>
      <c r="DV182" s="553">
        <f>0.5*(1+'Hilfstabellen_Mat&amp;Bem'!$BD$31*(DU182-0.3)+DU182^2)</f>
        <v>0.97622111375438403</v>
      </c>
      <c r="DW182" s="550">
        <f t="shared" si="167"/>
        <v>0.81248061924011106</v>
      </c>
      <c r="DY182" s="551">
        <f t="shared" si="168"/>
        <v>44488.188787111518</v>
      </c>
      <c r="EB182" s="547">
        <f>'Hilfstabellen_Mat&amp;Bem'!$J$64</f>
        <v>4.0999999999999996</v>
      </c>
      <c r="EC182" s="546">
        <f t="shared" si="169"/>
        <v>234</v>
      </c>
      <c r="ED182" s="551">
        <f t="shared" si="170"/>
        <v>60.695797530191427</v>
      </c>
      <c r="EE182" s="553">
        <f>ED182/PI()*SQRT('Hilfstabellen_Mat&amp;Bem'!f.Rd.3/'Hilfstabellen_Mat&amp;Bem'!$BD$30)</f>
        <v>0.96600362018348196</v>
      </c>
      <c r="EF182" s="553">
        <f>0.5*(1+'Hilfstabellen_Mat&amp;Bem'!$BD$31*(EE182-0.3)+EE182^2)</f>
        <v>0.99988167811297046</v>
      </c>
      <c r="EG182" s="550">
        <f t="shared" si="171"/>
        <v>0.7949427872584609</v>
      </c>
      <c r="EI182" s="551">
        <f t="shared" si="172"/>
        <v>43527.887259124283</v>
      </c>
      <c r="EL182" s="547">
        <f>'Hilfstabellen_Mat&amp;Bem'!$J$65</f>
        <v>4.2</v>
      </c>
      <c r="EM182" s="546">
        <f t="shared" si="173"/>
        <v>234</v>
      </c>
      <c r="EN182" s="551">
        <f t="shared" si="174"/>
        <v>62.176182835805847</v>
      </c>
      <c r="EO182" s="553">
        <f>EN182/PI()*SQRT('Hilfstabellen_Mat&amp;Bem'!f.Rd.3/'Hilfstabellen_Mat&amp;Bem'!$BD$30)</f>
        <v>0.989564684090396</v>
      </c>
      <c r="EP182" s="553">
        <f>0.5*(1+'Hilfstabellen_Mat&amp;Bem'!$BD$31*(EO182-0.3)+EO182^2)</f>
        <v>1.0240973662039825</v>
      </c>
      <c r="EQ182" s="550">
        <f t="shared" si="175"/>
        <v>0.77652029671503187</v>
      </c>
      <c r="ES182" s="551">
        <f t="shared" si="176"/>
        <v>42519.145366928286</v>
      </c>
    </row>
    <row r="183" spans="3:149">
      <c r="C183" s="546">
        <v>235</v>
      </c>
      <c r="D183" s="551">
        <f t="shared" si="131"/>
        <v>41.274402222917921</v>
      </c>
      <c r="E183" s="553">
        <f>$D183/PI()*SQRT('Hilfstabellen_Mat&amp;Bem'!f.Rd.3/'Hilfstabellen_Mat&amp;Bem'!$BD$30)</f>
        <v>0.65690251369405006</v>
      </c>
      <c r="F183" s="553">
        <f>0.5*(1+'Hilfstabellen_Mat&amp;Bem'!$BD$31*($E183-0.3)+$E183^2)</f>
        <v>0.73360558193348335</v>
      </c>
      <c r="G183" s="550">
        <f t="shared" si="132"/>
        <v>0.94322871669776931</v>
      </c>
      <c r="I183" s="551">
        <f t="shared" si="177"/>
        <v>52089.80587963431</v>
      </c>
      <c r="M183" s="546">
        <f t="shared" si="133"/>
        <v>235</v>
      </c>
      <c r="N183" s="551">
        <f t="shared" si="123"/>
        <v>42.748488016593569</v>
      </c>
      <c r="O183" s="553">
        <f>$N183/PI()*SQRT('Hilfstabellen_Mat&amp;Bem'!f.Rd.3/'Hilfstabellen_Mat&amp;Bem'!$BD$30)</f>
        <v>0.68036331775455194</v>
      </c>
      <c r="P183" s="553">
        <f>0.5*(1+'Hilfstabellen_Mat&amp;Bem'!$BD$31*($O183-0.3)+$O183^2)</f>
        <v>0.75046528796071832</v>
      </c>
      <c r="Q183" s="550">
        <f t="shared" si="124"/>
        <v>0.93705501220136933</v>
      </c>
      <c r="S183" s="551">
        <f t="shared" si="178"/>
        <v>51748.863048820618</v>
      </c>
      <c r="W183" s="546">
        <f t="shared" si="134"/>
        <v>235</v>
      </c>
      <c r="X183" s="551">
        <f t="shared" si="125"/>
        <v>44.222573810269203</v>
      </c>
      <c r="Y183" s="553">
        <f>$X183/PI()*SQRT('Hilfstabellen_Mat&amp;Bem'!f.Rd.3/'Hilfstabellen_Mat&amp;Bem'!$BD$30)</f>
        <v>0.7038241218150536</v>
      </c>
      <c r="Z183" s="553">
        <f>0.5*(1+'Hilfstabellen_Mat&amp;Bem'!$BD$31*($Y183-0.3)+$Y183^2)</f>
        <v>0.76787540331511839</v>
      </c>
      <c r="AA183" s="550">
        <f t="shared" si="126"/>
        <v>0.93031890550863872</v>
      </c>
      <c r="AC183" s="551">
        <f t="shared" si="179"/>
        <v>51376.861556714575</v>
      </c>
      <c r="AG183" s="546">
        <f t="shared" si="135"/>
        <v>235</v>
      </c>
      <c r="AH183" s="551">
        <f t="shared" si="127"/>
        <v>45.696659603944845</v>
      </c>
      <c r="AI183" s="553">
        <f>$AH183/PI()*SQRT('Hilfstabellen_Mat&amp;Bem'!f.Rd.3/'Hilfstabellen_Mat&amp;Bem'!$BD$30)</f>
        <v>0.72728492587555549</v>
      </c>
      <c r="AJ183" s="553">
        <f>0.5*(1+'Hilfstabellen_Mat&amp;Bem'!$BD$31*($AI183-0.3)+$AI183^2)</f>
        <v>0.78583592799668389</v>
      </c>
      <c r="AK183" s="550">
        <f t="shared" si="128"/>
        <v>0.92294803627851618</v>
      </c>
      <c r="AM183" s="551">
        <f t="shared" si="180"/>
        <v>50969.805303481058</v>
      </c>
      <c r="AQ183" s="546">
        <f t="shared" si="136"/>
        <v>235</v>
      </c>
      <c r="AR183" s="551">
        <f t="shared" si="129"/>
        <v>47.170745397620486</v>
      </c>
      <c r="AS183" s="553">
        <f>$AR183/PI()*SQRT('Hilfstabellen_Mat&amp;Bem'!f.Rd.3/'Hilfstabellen_Mat&amp;Bem'!$BD$30)</f>
        <v>0.75074572993605726</v>
      </c>
      <c r="AT183" s="553">
        <f>0.5*(1+'Hilfstabellen_Mat&amp;Bem'!$BD$31*($AS183-0.3)+$AS183^2)</f>
        <v>0.80434686200541461</v>
      </c>
      <c r="AU183" s="550">
        <f t="shared" si="130"/>
        <v>0.91486366312000222</v>
      </c>
      <c r="AW183" s="551">
        <f t="shared" si="181"/>
        <v>50523.345795802124</v>
      </c>
      <c r="AZ183" s="547">
        <f>'Hilfstabellen_Mat&amp;Bem'!$J$56</f>
        <v>3.3</v>
      </c>
      <c r="BA183" s="546">
        <f t="shared" si="137"/>
        <v>235</v>
      </c>
      <c r="BB183" s="551">
        <f t="shared" si="138"/>
        <v>48.64483119129612</v>
      </c>
      <c r="BC183" s="553">
        <f>BB183/PI()*SQRT('Hilfstabellen_Mat&amp;Bem'!f.Rd.3/'Hilfstabellen_Mat&amp;Bem'!$BD$30)</f>
        <v>0.77420653399655892</v>
      </c>
      <c r="BD183" s="553">
        <f>0.5*(1+'Hilfstabellen_Mat&amp;Bem'!$BD$31*(BC183-0.3)+BC183^2)</f>
        <v>0.82340820534131043</v>
      </c>
      <c r="BE183" s="550">
        <f t="shared" si="139"/>
        <v>0.9059820726624872</v>
      </c>
      <c r="BG183" s="551">
        <f t="shared" si="140"/>
        <v>50032.859962785857</v>
      </c>
      <c r="BJ183" s="547">
        <f>'Hilfstabellen_Mat&amp;Bem'!$J$57</f>
        <v>3.4</v>
      </c>
      <c r="BK183" s="546">
        <f t="shared" si="141"/>
        <v>235</v>
      </c>
      <c r="BL183" s="551">
        <f t="shared" si="142"/>
        <v>50.118916984971769</v>
      </c>
      <c r="BM183" s="553">
        <f>BL183/PI()*SQRT('Hilfstabellen_Mat&amp;Bem'!f.Rd.3/'Hilfstabellen_Mat&amp;Bem'!$BD$30)</f>
        <v>0.79766733805706092</v>
      </c>
      <c r="BN183" s="553">
        <f>0.5*(1+'Hilfstabellen_Mat&amp;Bem'!$BD$31*(BM183-0.3)+BM183^2)</f>
        <v>0.84301995800437179</v>
      </c>
      <c r="BO183" s="550">
        <f t="shared" si="143"/>
        <v>0.8962172004063278</v>
      </c>
      <c r="BQ183" s="551">
        <f t="shared" si="144"/>
        <v>49493.594892439454</v>
      </c>
      <c r="BT183" s="547">
        <f>'Hilfstabellen_Mat&amp;Bem'!$J$58</f>
        <v>3.5</v>
      </c>
      <c r="BU183" s="546">
        <f t="shared" si="145"/>
        <v>235</v>
      </c>
      <c r="BV183" s="551">
        <f t="shared" si="146"/>
        <v>51.593002778647403</v>
      </c>
      <c r="BW183" s="553">
        <f>BV183/PI()*SQRT('Hilfstabellen_Mat&amp;Bem'!f.Rd.3/'Hilfstabellen_Mat&amp;Bem'!$BD$30)</f>
        <v>0.82112814211756258</v>
      </c>
      <c r="BX183" s="553">
        <f>0.5*(1+'Hilfstabellen_Mat&amp;Bem'!$BD$31*(BW183-0.3)+BW183^2)</f>
        <v>0.86318211999459815</v>
      </c>
      <c r="BY183" s="550">
        <f t="shared" si="147"/>
        <v>0.8854848189785719</v>
      </c>
      <c r="CA183" s="551">
        <f t="shared" si="148"/>
        <v>48900.899128091631</v>
      </c>
      <c r="CD183" s="547">
        <f>'Hilfstabellen_Mat&amp;Bem'!$J$59</f>
        <v>3.6</v>
      </c>
      <c r="CE183" s="546">
        <f t="shared" si="149"/>
        <v>235</v>
      </c>
      <c r="CF183" s="551">
        <f t="shared" si="150"/>
        <v>53.067088572323051</v>
      </c>
      <c r="CG183" s="553">
        <f>CF183/PI()*SQRT('Hilfstabellen_Mat&amp;Bem'!f.Rd.3/'Hilfstabellen_Mat&amp;Bem'!$BD$30)</f>
        <v>0.84458894617806457</v>
      </c>
      <c r="CH183" s="553">
        <f>0.5*(1+'Hilfstabellen_Mat&amp;Bem'!$BD$31*(CG183-0.3)+CG183^2)</f>
        <v>0.88389469131199006</v>
      </c>
      <c r="CI183" s="550">
        <f t="shared" si="151"/>
        <v>0.87370853609731336</v>
      </c>
      <c r="CK183" s="551">
        <f t="shared" si="152"/>
        <v>48250.553905974128</v>
      </c>
      <c r="CN183" s="547">
        <f>'Hilfstabellen_Mat&amp;Bem'!$J$60</f>
        <v>3.7</v>
      </c>
      <c r="CO183" s="546">
        <f t="shared" si="153"/>
        <v>235</v>
      </c>
      <c r="CP183" s="551">
        <f t="shared" si="154"/>
        <v>54.541174365998685</v>
      </c>
      <c r="CQ183" s="553">
        <f>CP183/PI()*SQRT('Hilfstabellen_Mat&amp;Bem'!f.Rd.3/'Hilfstabellen_Mat&amp;Bem'!$BD$30)</f>
        <v>0.86804975023856612</v>
      </c>
      <c r="CR183" s="553">
        <f>0.5*(1+'Hilfstabellen_Mat&amp;Bem'!$BD$31*(CQ183-0.3)+CQ183^2)</f>
        <v>0.90515767195654684</v>
      </c>
      <c r="CS183" s="550">
        <f t="shared" si="155"/>
        <v>0.86082754755489144</v>
      </c>
      <c r="CU183" s="551">
        <f t="shared" si="156"/>
        <v>47539.201313718877</v>
      </c>
      <c r="CX183" s="547">
        <f>'Hilfstabellen_Mat&amp;Bem'!$J$61</f>
        <v>3.8</v>
      </c>
      <c r="CY183" s="546">
        <f t="shared" si="157"/>
        <v>235</v>
      </c>
      <c r="CZ183" s="551">
        <f t="shared" si="158"/>
        <v>56.015260159674327</v>
      </c>
      <c r="DA183" s="553">
        <f>CZ183/PI()*SQRT('Hilfstabellen_Mat&amp;Bem'!f.Rd.3/'Hilfstabellen_Mat&amp;Bem'!$BD$30)</f>
        <v>0.89151055429906811</v>
      </c>
      <c r="DB183" s="553">
        <f>0.5*(1+'Hilfstabellen_Mat&amp;Bem'!$BD$31*(DA183-0.3)+DA183^2)</f>
        <v>0.92697106192826928</v>
      </c>
      <c r="DC183" s="550">
        <f t="shared" si="159"/>
        <v>0.84680557554421287</v>
      </c>
      <c r="DE183" s="551">
        <f t="shared" si="160"/>
        <v>46764.837909429159</v>
      </c>
      <c r="DH183" s="547">
        <f>'Hilfstabellen_Mat&amp;Bem'!$J$62</f>
        <v>3.9</v>
      </c>
      <c r="DI183" s="546">
        <f t="shared" si="161"/>
        <v>235</v>
      </c>
      <c r="DJ183" s="551">
        <f t="shared" si="162"/>
        <v>57.489345953349961</v>
      </c>
      <c r="DK183" s="553">
        <f>DJ183/PI()*SQRT('Hilfstabellen_Mat&amp;Bem'!f.Rd.3/'Hilfstabellen_Mat&amp;Bem'!$BD$30)</f>
        <v>0.91497135835956966</v>
      </c>
      <c r="DL183" s="553">
        <f>0.5*(1+'Hilfstabellen_Mat&amp;Bem'!$BD$31*(DK183-0.3)+DK183^2)</f>
        <v>0.9493348612271566</v>
      </c>
      <c r="DM183" s="550">
        <f t="shared" si="163"/>
        <v>0.83163975751269081</v>
      </c>
      <c r="DO183" s="551">
        <f t="shared" si="164"/>
        <v>45927.305608638351</v>
      </c>
      <c r="DR183" s="547">
        <f>'Hilfstabellen_Mat&amp;Bem'!$J$63</f>
        <v>4</v>
      </c>
      <c r="DS183" s="546">
        <f t="shared" si="165"/>
        <v>235</v>
      </c>
      <c r="DT183" s="551">
        <f t="shared" si="166"/>
        <v>58.963431747025602</v>
      </c>
      <c r="DU183" s="553">
        <f>DT183/PI()*SQRT('Hilfstabellen_Mat&amp;Bem'!f.Rd.3/'Hilfstabellen_Mat&amp;Bem'!$BD$30)</f>
        <v>0.93843216242007144</v>
      </c>
      <c r="DV183" s="553">
        <f>0.5*(1+'Hilfstabellen_Mat&amp;Bem'!$BD$31*(DU183-0.3)+DU183^2)</f>
        <v>0.97224906985320914</v>
      </c>
      <c r="DW183" s="550">
        <f t="shared" si="167"/>
        <v>0.81536766299625374</v>
      </c>
      <c r="DY183" s="551">
        <f t="shared" si="168"/>
        <v>45028.679188968112</v>
      </c>
      <c r="EB183" s="547">
        <f>'Hilfstabellen_Mat&amp;Bem'!$J$64</f>
        <v>4.0999999999999996</v>
      </c>
      <c r="EC183" s="546">
        <f t="shared" si="169"/>
        <v>235</v>
      </c>
      <c r="ED183" s="551">
        <f t="shared" si="170"/>
        <v>60.437517540701251</v>
      </c>
      <c r="EE183" s="553">
        <f>ED183/PI()*SQRT('Hilfstabellen_Mat&amp;Bem'!f.Rd.3/'Hilfstabellen_Mat&amp;Bem'!$BD$30)</f>
        <v>0.96189296648057343</v>
      </c>
      <c r="EF183" s="553">
        <f>0.5*(1+'Hilfstabellen_Mat&amp;Bem'!$BD$31*(EE183-0.3)+EE183^2)</f>
        <v>0.99571368780642744</v>
      </c>
      <c r="EG183" s="550">
        <f t="shared" si="171"/>
        <v>0.79807045881382233</v>
      </c>
      <c r="EI183" s="551">
        <f t="shared" si="172"/>
        <v>44073.441087993335</v>
      </c>
      <c r="EL183" s="547">
        <f>'Hilfstabellen_Mat&amp;Bem'!$J$65</f>
        <v>4.2</v>
      </c>
      <c r="EM183" s="546">
        <f t="shared" si="173"/>
        <v>235</v>
      </c>
      <c r="EN183" s="551">
        <f t="shared" si="174"/>
        <v>61.911603334376878</v>
      </c>
      <c r="EO183" s="553">
        <f>EN183/PI()*SQRT('Hilfstabellen_Mat&amp;Bem'!f.Rd.3/'Hilfstabellen_Mat&amp;Bem'!$BD$30)</f>
        <v>0.98535377054107498</v>
      </c>
      <c r="EP183" s="553">
        <f>0.5*(1+'Hilfstabellen_Mat&amp;Bem'!$BD$31*(EO183-0.3)+EO183^2)</f>
        <v>1.0197287150868104</v>
      </c>
      <c r="EQ183" s="550">
        <f t="shared" si="175"/>
        <v>0.7798708083952024</v>
      </c>
      <c r="ES183" s="551">
        <f t="shared" si="176"/>
        <v>43068.365393625056</v>
      </c>
    </row>
    <row r="184" spans="3:149">
      <c r="C184" s="546">
        <v>236</v>
      </c>
      <c r="D184" s="551">
        <f t="shared" si="131"/>
        <v>41.09951068807505</v>
      </c>
      <c r="E184" s="553">
        <f>$D184/PI()*SQRT('Hilfstabellen_Mat&amp;Bem'!f.Rd.3/'Hilfstabellen_Mat&amp;Bem'!$BD$30)</f>
        <v>0.65411902846653291</v>
      </c>
      <c r="F184" s="553">
        <f>0.5*(1+'Hilfstabellen_Mat&amp;Bem'!$BD$31*($E184-0.3)+$E184^2)</f>
        <v>0.73164180312432714</v>
      </c>
      <c r="G184" s="550">
        <f t="shared" si="132"/>
        <v>0.94392700759369352</v>
      </c>
      <c r="I184" s="551">
        <f t="shared" si="177"/>
        <v>52572.958614938354</v>
      </c>
      <c r="M184" s="546">
        <f t="shared" si="133"/>
        <v>236</v>
      </c>
      <c r="N184" s="551">
        <f t="shared" si="123"/>
        <v>42.567350355506306</v>
      </c>
      <c r="O184" s="553">
        <f>$N184/PI()*SQRT('Hilfstabellen_Mat&amp;Bem'!f.Rd.3/'Hilfstabellen_Mat&amp;Bem'!$BD$30)</f>
        <v>0.67748042234033778</v>
      </c>
      <c r="P184" s="553">
        <f>0.5*(1+'Hilfstabellen_Mat&amp;Bem'!$BD$31*($O184-0.3)+$O184^2)</f>
        <v>0.74836388244423813</v>
      </c>
      <c r="Q184" s="550">
        <f t="shared" si="124"/>
        <v>0.93784256747701999</v>
      </c>
      <c r="S184" s="551">
        <f t="shared" si="178"/>
        <v>52234.079638200106</v>
      </c>
      <c r="W184" s="546">
        <f t="shared" si="134"/>
        <v>236</v>
      </c>
      <c r="X184" s="551">
        <f t="shared" si="125"/>
        <v>44.035190022937556</v>
      </c>
      <c r="Y184" s="553">
        <f>$X184/PI()*SQRT('Hilfstabellen_Mat&amp;Bem'!f.Rd.3/'Hilfstabellen_Mat&amp;Bem'!$BD$30)</f>
        <v>0.70084181621414254</v>
      </c>
      <c r="Z184" s="553">
        <f>0.5*(1+'Hilfstabellen_Mat&amp;Bem'!$BD$31*($Y184-0.3)+$Y184^2)</f>
        <v>0.76563171648787609</v>
      </c>
      <c r="AA184" s="550">
        <f t="shared" si="126"/>
        <v>0.93120883246160091</v>
      </c>
      <c r="AC184" s="551">
        <f t="shared" si="179"/>
        <v>51864.607132781326</v>
      </c>
      <c r="AG184" s="546">
        <f t="shared" si="135"/>
        <v>236</v>
      </c>
      <c r="AH184" s="551">
        <f t="shared" si="127"/>
        <v>45.503029690368805</v>
      </c>
      <c r="AI184" s="553">
        <f>$AH184/PI()*SQRT('Hilfstabellen_Mat&amp;Bem'!f.Rd.3/'Hilfstabellen_Mat&amp;Bem'!$BD$30)</f>
        <v>0.72420321008794719</v>
      </c>
      <c r="AJ184" s="553">
        <f>0.5*(1+'Hilfstabellen_Mat&amp;Bem'!$BD$31*($AI184-0.3)+$AI184^2)</f>
        <v>0.78344530525524103</v>
      </c>
      <c r="AK184" s="550">
        <f t="shared" si="128"/>
        <v>0.92395519736469556</v>
      </c>
      <c r="AM184" s="551">
        <f t="shared" si="180"/>
        <v>51460.608672424081</v>
      </c>
      <c r="AQ184" s="546">
        <f t="shared" si="136"/>
        <v>236</v>
      </c>
      <c r="AR184" s="551">
        <f t="shared" si="129"/>
        <v>46.970869357800055</v>
      </c>
      <c r="AS184" s="553">
        <f>$AR184/PI()*SQRT('Hilfstabellen_Mat&amp;Bem'!f.Rd.3/'Hilfstabellen_Mat&amp;Bem'!$BD$30)</f>
        <v>0.74756460396175184</v>
      </c>
      <c r="AT184" s="553">
        <f>0.5*(1+'Hilfstabellen_Mat&amp;Bem'!$BD$31*($AS184-0.3)+$AS184^2)</f>
        <v>0.80180464874633306</v>
      </c>
      <c r="AU184" s="550">
        <f t="shared" si="130"/>
        <v>0.91600467339476555</v>
      </c>
      <c r="AW184" s="551">
        <f t="shared" si="181"/>
        <v>51017.796289394864</v>
      </c>
      <c r="AZ184" s="547">
        <f>'Hilfstabellen_Mat&amp;Bem'!$J$56</f>
        <v>3.3</v>
      </c>
      <c r="BA184" s="546">
        <f t="shared" si="137"/>
        <v>236</v>
      </c>
      <c r="BB184" s="551">
        <f t="shared" si="138"/>
        <v>48.438709025231312</v>
      </c>
      <c r="BC184" s="553">
        <f>BB184/PI()*SQRT('Hilfstabellen_Mat&amp;Bem'!f.Rd.3/'Hilfstabellen_Mat&amp;Bem'!$BD$30)</f>
        <v>0.77092599783555671</v>
      </c>
      <c r="BD184" s="553">
        <f>0.5*(1+'Hilfstabellen_Mat&amp;Bem'!$BD$31*(BC184-0.3)+BC184^2)</f>
        <v>0.82070974696115218</v>
      </c>
      <c r="BE184" s="550">
        <f t="shared" si="139"/>
        <v>0.90727513980000318</v>
      </c>
      <c r="BG184" s="551">
        <f t="shared" si="140"/>
        <v>50531.59618630098</v>
      </c>
      <c r="BJ184" s="547">
        <f>'Hilfstabellen_Mat&amp;Bem'!$J$57</f>
        <v>3.4</v>
      </c>
      <c r="BK184" s="546">
        <f t="shared" si="141"/>
        <v>236</v>
      </c>
      <c r="BL184" s="551">
        <f t="shared" si="142"/>
        <v>49.906548692662568</v>
      </c>
      <c r="BM184" s="553">
        <f>BL184/PI()*SQRT('Hilfstabellen_Mat&amp;Bem'!f.Rd.3/'Hilfstabellen_Mat&amp;Bem'!$BD$30)</f>
        <v>0.79428739170936158</v>
      </c>
      <c r="BN184" s="553">
        <f>0.5*(1+'Hilfstabellen_Mat&amp;Bem'!$BD$31*(BM184-0.3)+BM184^2)</f>
        <v>0.8401605998996986</v>
      </c>
      <c r="BO184" s="550">
        <f t="shared" si="143"/>
        <v>0.89768172973369553</v>
      </c>
      <c r="BQ184" s="551">
        <f t="shared" si="144"/>
        <v>49997.281619247908</v>
      </c>
      <c r="BT184" s="547">
        <f>'Hilfstabellen_Mat&amp;Bem'!$J$58</f>
        <v>3.5</v>
      </c>
      <c r="BU184" s="546">
        <f t="shared" si="145"/>
        <v>236</v>
      </c>
      <c r="BV184" s="551">
        <f t="shared" si="146"/>
        <v>51.374388360093818</v>
      </c>
      <c r="BW184" s="553">
        <f>BV184/PI()*SQRT('Hilfstabellen_Mat&amp;Bem'!f.Rd.3/'Hilfstabellen_Mat&amp;Bem'!$BD$30)</f>
        <v>0.81764878558316623</v>
      </c>
      <c r="BX184" s="553">
        <f>0.5*(1+'Hilfstabellen_Mat&amp;Bem'!$BD$31*(BW184-0.3)+BW184^2)</f>
        <v>0.86015720756197167</v>
      </c>
      <c r="BY184" s="550">
        <f t="shared" si="147"/>
        <v>0.88714070053116556</v>
      </c>
      <c r="CA184" s="551">
        <f t="shared" si="148"/>
        <v>49410.188456783799</v>
      </c>
      <c r="CD184" s="547">
        <f>'Hilfstabellen_Mat&amp;Bem'!$J$59</f>
        <v>3.6</v>
      </c>
      <c r="CE184" s="546">
        <f t="shared" si="149"/>
        <v>236</v>
      </c>
      <c r="CF184" s="551">
        <f t="shared" si="150"/>
        <v>52.842228027525067</v>
      </c>
      <c r="CG184" s="553">
        <f>CF184/PI()*SQRT('Hilfstabellen_Mat&amp;Bem'!f.Rd.3/'Hilfstabellen_Mat&amp;Bem'!$BD$30)</f>
        <v>0.84101017945697087</v>
      </c>
      <c r="CH184" s="553">
        <f>0.5*(1+'Hilfstabellen_Mat&amp;Bem'!$BD$31*(CG184-0.3)+CG184^2)</f>
        <v>0.88069956994797172</v>
      </c>
      <c r="CI184" s="550">
        <f t="shared" si="151"/>
        <v>0.87557504837173572</v>
      </c>
      <c r="CK184" s="551">
        <f t="shared" si="152"/>
        <v>48766.027894112194</v>
      </c>
      <c r="CN184" s="547">
        <f>'Hilfstabellen_Mat&amp;Bem'!$J$60</f>
        <v>3.7</v>
      </c>
      <c r="CO184" s="546">
        <f t="shared" si="153"/>
        <v>236</v>
      </c>
      <c r="CP184" s="551">
        <f t="shared" si="154"/>
        <v>54.310067694956317</v>
      </c>
      <c r="CQ184" s="553">
        <f>CP184/PI()*SQRT('Hilfstabellen_Mat&amp;Bem'!f.Rd.3/'Hilfstabellen_Mat&amp;Bem'!$BD$30)</f>
        <v>0.86437157333077563</v>
      </c>
      <c r="CR184" s="553">
        <f>0.5*(1+'Hilfstabellen_Mat&amp;Bem'!$BD$31*(CQ184-0.3)+CQ184^2)</f>
        <v>0.90178768705769896</v>
      </c>
      <c r="CS184" s="550">
        <f t="shared" si="155"/>
        <v>0.86292186854351427</v>
      </c>
      <c r="CU184" s="551">
        <f t="shared" si="156"/>
        <v>48061.29639039957</v>
      </c>
      <c r="CX184" s="547">
        <f>'Hilfstabellen_Mat&amp;Bem'!$J$61</f>
        <v>3.8</v>
      </c>
      <c r="CY184" s="546">
        <f t="shared" si="157"/>
        <v>236</v>
      </c>
      <c r="CZ184" s="551">
        <f t="shared" si="158"/>
        <v>55.777907362387573</v>
      </c>
      <c r="DA184" s="553">
        <f>CZ184/PI()*SQRT('Hilfstabellen_Mat&amp;Bem'!f.Rd.3/'Hilfstabellen_Mat&amp;Bem'!$BD$30)</f>
        <v>0.88773296720458061</v>
      </c>
      <c r="DB184" s="553">
        <f>0.5*(1+'Hilfstabellen_Mat&amp;Bem'!$BD$31*(DA184-0.3)+DA184^2)</f>
        <v>0.9234215588911534</v>
      </c>
      <c r="DC184" s="550">
        <f t="shared" si="159"/>
        <v>0.84914099406553101</v>
      </c>
      <c r="DE184" s="551">
        <f t="shared" si="160"/>
        <v>47293.756805473815</v>
      </c>
      <c r="DH184" s="547">
        <f>'Hilfstabellen_Mat&amp;Bem'!$J$62</f>
        <v>3.9</v>
      </c>
      <c r="DI184" s="546">
        <f t="shared" si="161"/>
        <v>236</v>
      </c>
      <c r="DJ184" s="551">
        <f t="shared" si="162"/>
        <v>57.24574702981883</v>
      </c>
      <c r="DK184" s="553">
        <f>DJ184/PI()*SQRT('Hilfstabellen_Mat&amp;Bem'!f.Rd.3/'Hilfstabellen_Mat&amp;Bem'!$BD$30)</f>
        <v>0.91109436107838526</v>
      </c>
      <c r="DL184" s="553">
        <f>0.5*(1+'Hilfstabellen_Mat&amp;Bem'!$BD$31*(DK184-0.3)+DK184^2)</f>
        <v>0.94560118544833482</v>
      </c>
      <c r="DM184" s="550">
        <f t="shared" si="163"/>
        <v>0.83422381357541087</v>
      </c>
      <c r="DO184" s="551">
        <f t="shared" si="164"/>
        <v>46462.929520896083</v>
      </c>
      <c r="DR184" s="547">
        <f>'Hilfstabellen_Mat&amp;Bem'!$J$63</f>
        <v>4</v>
      </c>
      <c r="DS184" s="546">
        <f t="shared" si="165"/>
        <v>236</v>
      </c>
      <c r="DT184" s="551">
        <f t="shared" si="166"/>
        <v>58.713586697250079</v>
      </c>
      <c r="DU184" s="553">
        <f>DT184/PI()*SQRT('Hilfstabellen_Mat&amp;Bem'!f.Rd.3/'Hilfstabellen_Mat&amp;Bem'!$BD$30)</f>
        <v>0.93445575495219002</v>
      </c>
      <c r="DV184" s="553">
        <f>0.5*(1+'Hilfstabellen_Mat&amp;Bem'!$BD$31*(DU184-0.3)+DU184^2)</f>
        <v>0.96832656672924322</v>
      </c>
      <c r="DW184" s="550">
        <f t="shared" si="167"/>
        <v>0.81820056852432677</v>
      </c>
      <c r="DY184" s="551">
        <f t="shared" si="168"/>
        <v>45570.498864530906</v>
      </c>
      <c r="EB184" s="547">
        <f>'Hilfstabellen_Mat&amp;Bem'!$J$64</f>
        <v>4.0999999999999996</v>
      </c>
      <c r="EC184" s="546">
        <f t="shared" si="169"/>
        <v>236</v>
      </c>
      <c r="ED184" s="551">
        <f t="shared" si="170"/>
        <v>60.181426364681329</v>
      </c>
      <c r="EE184" s="553">
        <f>ED184/PI()*SQRT('Hilfstabellen_Mat&amp;Bem'!f.Rd.3/'Hilfstabellen_Mat&amp;Bem'!$BD$30)</f>
        <v>0.95781714882599478</v>
      </c>
      <c r="EF184" s="553">
        <f>0.5*(1+'Hilfstabellen_Mat&amp;Bem'!$BD$31*(EE184-0.3)+EE184^2)</f>
        <v>0.99159770273387871</v>
      </c>
      <c r="EG184" s="550">
        <f t="shared" si="171"/>
        <v>0.80114418846755509</v>
      </c>
      <c r="EI184" s="551">
        <f t="shared" si="172"/>
        <v>44620.526720888949</v>
      </c>
      <c r="EL184" s="547">
        <f>'Hilfstabellen_Mat&amp;Bem'!$J$65</f>
        <v>4.2</v>
      </c>
      <c r="EM184" s="546">
        <f t="shared" si="173"/>
        <v>236</v>
      </c>
      <c r="EN184" s="551">
        <f t="shared" si="174"/>
        <v>61.649266032112578</v>
      </c>
      <c r="EO184" s="553">
        <f>EN184/PI()*SQRT('Hilfstabellen_Mat&amp;Bem'!f.Rd.3/'Hilfstabellen_Mat&amp;Bem'!$BD$30)</f>
        <v>0.98117854269979954</v>
      </c>
      <c r="EP184" s="553">
        <f>0.5*(1+'Hilfstabellen_Mat&amp;Bem'!$BD$31*(EO184-0.3)+EO184^2)</f>
        <v>1.0154145934622412</v>
      </c>
      <c r="EQ184" s="550">
        <f t="shared" si="175"/>
        <v>0.78316914846572661</v>
      </c>
      <c r="ES184" s="551">
        <f t="shared" si="176"/>
        <v>43619.388892947107</v>
      </c>
    </row>
    <row r="185" spans="3:149">
      <c r="C185" s="546">
        <v>237</v>
      </c>
      <c r="D185" s="551">
        <f t="shared" si="131"/>
        <v>40.926095031163342</v>
      </c>
      <c r="E185" s="553">
        <f>$D185/PI()*SQRT('Hilfstabellen_Mat&amp;Bem'!f.Rd.3/'Hilfstabellen_Mat&amp;Bem'!$BD$30)</f>
        <v>0.65135903256583028</v>
      </c>
      <c r="F185" s="553">
        <f>0.5*(1+'Hilfstabellen_Mat&amp;Bem'!$BD$31*($E185-0.3)+$E185^2)</f>
        <v>0.72970224628083868</v>
      </c>
      <c r="G185" s="550">
        <f t="shared" si="132"/>
        <v>0.94461260751854215</v>
      </c>
      <c r="I185" s="551">
        <f t="shared" si="177"/>
        <v>53057.945551708995</v>
      </c>
      <c r="M185" s="546">
        <f t="shared" si="133"/>
        <v>237</v>
      </c>
      <c r="N185" s="551">
        <f t="shared" si="123"/>
        <v>42.387741282276323</v>
      </c>
      <c r="O185" s="553">
        <f>$N185/PI()*SQRT('Hilfstabellen_Mat&amp;Bem'!f.Rd.3/'Hilfstabellen_Mat&amp;Bem'!$BD$30)</f>
        <v>0.6746218551574672</v>
      </c>
      <c r="P185" s="553">
        <f>0.5*(1+'Hilfstabellen_Mat&amp;Bem'!$BD$31*($O185-0.3)+$O185^2)</f>
        <v>0.7462884164859247</v>
      </c>
      <c r="Q185" s="550">
        <f t="shared" si="124"/>
        <v>0.93861522547893939</v>
      </c>
      <c r="S185" s="551">
        <f t="shared" si="178"/>
        <v>52721.07859992655</v>
      </c>
      <c r="W185" s="546">
        <f t="shared" si="134"/>
        <v>237</v>
      </c>
      <c r="X185" s="551">
        <f t="shared" si="125"/>
        <v>43.849387533389297</v>
      </c>
      <c r="Y185" s="553">
        <f>$X185/PI()*SQRT('Hilfstabellen_Mat&amp;Bem'!f.Rd.3/'Hilfstabellen_Mat&amp;Bem'!$BD$30)</f>
        <v>0.6978846777491039</v>
      </c>
      <c r="Z185" s="553">
        <f>0.5*(1+'Hilfstabellen_Mat&amp;Bem'!$BD$31*($Y185-0.3)+$Y185^2)</f>
        <v>0.7634157456059405</v>
      </c>
      <c r="AA185" s="550">
        <f t="shared" si="126"/>
        <v>0.93208128264306123</v>
      </c>
      <c r="AC185" s="551">
        <f t="shared" si="179"/>
        <v>52354.073564778104</v>
      </c>
      <c r="AG185" s="546">
        <f t="shared" si="135"/>
        <v>237</v>
      </c>
      <c r="AH185" s="551">
        <f t="shared" si="127"/>
        <v>45.311033784502271</v>
      </c>
      <c r="AI185" s="553">
        <f>$AH185/PI()*SQRT('Hilfstabellen_Mat&amp;Bem'!f.Rd.3/'Hilfstabellen_Mat&amp;Bem'!$BD$30)</f>
        <v>0.7211475003407406</v>
      </c>
      <c r="AJ185" s="553">
        <f>0.5*(1+'Hilfstabellen_Mat&amp;Bem'!$BD$31*($AI185-0.3)+$AI185^2)</f>
        <v>0.78108423364088631</v>
      </c>
      <c r="AK185" s="550">
        <f t="shared" si="128"/>
        <v>0.92494189225845713</v>
      </c>
      <c r="AM185" s="551">
        <f t="shared" si="180"/>
        <v>51953.061146265281</v>
      </c>
      <c r="AQ185" s="546">
        <f t="shared" si="136"/>
        <v>237</v>
      </c>
      <c r="AR185" s="551">
        <f t="shared" si="129"/>
        <v>46.772680035615252</v>
      </c>
      <c r="AS185" s="553">
        <f>$AR185/PI()*SQRT('Hilfstabellen_Mat&amp;Bem'!f.Rd.3/'Hilfstabellen_Mat&amp;Bem'!$BD$30)</f>
        <v>0.74441032293237752</v>
      </c>
      <c r="AT185" s="553">
        <f>0.5*(1+'Hilfstabellen_Mat&amp;Bem'!$BD$31*($AS185-0.3)+$AS185^2)</f>
        <v>0.79929388059076212</v>
      </c>
      <c r="AU185" s="550">
        <f t="shared" si="130"/>
        <v>0.91712179638845515</v>
      </c>
      <c r="AW185" s="551">
        <f t="shared" si="181"/>
        <v>51513.814181343136</v>
      </c>
      <c r="AZ185" s="547">
        <f>'Hilfstabellen_Mat&amp;Bem'!$J$56</f>
        <v>3.3</v>
      </c>
      <c r="BA185" s="546">
        <f t="shared" si="137"/>
        <v>237</v>
      </c>
      <c r="BB185" s="551">
        <f t="shared" si="138"/>
        <v>48.234326286728226</v>
      </c>
      <c r="BC185" s="553">
        <f>BB185/PI()*SQRT('Hilfstabellen_Mat&amp;Bem'!f.Rd.3/'Hilfstabellen_Mat&amp;Bem'!$BD$30)</f>
        <v>0.76767314552401433</v>
      </c>
      <c r="BD185" s="553">
        <f>0.5*(1+'Hilfstabellen_Mat&amp;Bem'!$BD$31*(BC185-0.3)+BC185^2)</f>
        <v>0.81804468645556794</v>
      </c>
      <c r="BE185" s="550">
        <f t="shared" si="139"/>
        <v>0.90854047287140238</v>
      </c>
      <c r="BG185" s="551">
        <f t="shared" si="140"/>
        <v>51031.809820713803</v>
      </c>
      <c r="BJ185" s="547">
        <f>'Hilfstabellen_Mat&amp;Bem'!$J$57</f>
        <v>3.4</v>
      </c>
      <c r="BK185" s="546">
        <f t="shared" si="141"/>
        <v>237</v>
      </c>
      <c r="BL185" s="551">
        <f t="shared" si="142"/>
        <v>49.695972537841207</v>
      </c>
      <c r="BM185" s="553">
        <f>BL185/PI()*SQRT('Hilfstabellen_Mat&amp;Bem'!f.Rd.3/'Hilfstabellen_Mat&amp;Bem'!$BD$30)</f>
        <v>0.79093596811565114</v>
      </c>
      <c r="BN185" s="553">
        <f>0.5*(1+'Hilfstabellen_Mat&amp;Bem'!$BD$31*(BM185-0.3)+BM185^2)</f>
        <v>0.83733665123530376</v>
      </c>
      <c r="BO185" s="550">
        <f t="shared" si="143"/>
        <v>0.89911430281551685</v>
      </c>
      <c r="BQ185" s="551">
        <f t="shared" si="144"/>
        <v>50502.351274844768</v>
      </c>
      <c r="BT185" s="547">
        <f>'Hilfstabellen_Mat&amp;Bem'!$J$58</f>
        <v>3.5</v>
      </c>
      <c r="BU185" s="546">
        <f t="shared" si="145"/>
        <v>237</v>
      </c>
      <c r="BV185" s="551">
        <f t="shared" si="146"/>
        <v>51.157618788954181</v>
      </c>
      <c r="BW185" s="553">
        <f>BV185/PI()*SQRT('Hilfstabellen_Mat&amp;Bem'!f.Rd.3/'Hilfstabellen_Mat&amp;Bem'!$BD$30)</f>
        <v>0.81419879070728796</v>
      </c>
      <c r="BX185" s="553">
        <f>0.5*(1+'Hilfstabellen_Mat&amp;Bem'!$BD$31*(BW185-0.3)+BW185^2)</f>
        <v>0.85716977492996937</v>
      </c>
      <c r="BY185" s="550">
        <f t="shared" si="147"/>
        <v>0.88876014162023931</v>
      </c>
      <c r="CA185" s="551">
        <f t="shared" si="148"/>
        <v>49920.768394667219</v>
      </c>
      <c r="CD185" s="547">
        <f>'Hilfstabellen_Mat&amp;Bem'!$J$59</f>
        <v>3.6</v>
      </c>
      <c r="CE185" s="546">
        <f t="shared" si="149"/>
        <v>237</v>
      </c>
      <c r="CF185" s="551">
        <f t="shared" si="150"/>
        <v>52.619265040067155</v>
      </c>
      <c r="CG185" s="553">
        <f>CF185/PI()*SQRT('Hilfstabellen_Mat&amp;Bem'!f.Rd.3/'Hilfstabellen_Mat&amp;Bem'!$BD$30)</f>
        <v>0.83746161329892466</v>
      </c>
      <c r="CH185" s="553">
        <f>0.5*(1+'Hilfstabellen_Mat&amp;Bem'!$BD$31*(CG185-0.3)+CG185^2)</f>
        <v>0.87754405753956499</v>
      </c>
      <c r="CI185" s="550">
        <f t="shared" si="151"/>
        <v>0.87740056658964649</v>
      </c>
      <c r="CK185" s="551">
        <f t="shared" si="152"/>
        <v>49282.712424773854</v>
      </c>
      <c r="CN185" s="547">
        <f>'Hilfstabellen_Mat&amp;Bem'!$J$60</f>
        <v>3.7</v>
      </c>
      <c r="CO185" s="546">
        <f t="shared" si="153"/>
        <v>237</v>
      </c>
      <c r="CP185" s="551">
        <f t="shared" si="154"/>
        <v>54.080911291180129</v>
      </c>
      <c r="CQ185" s="553">
        <f>CP185/PI()*SQRT('Hilfstabellen_Mat&amp;Bem'!f.Rd.3/'Hilfstabellen_Mat&amp;Bem'!$BD$30)</f>
        <v>0.86072443589056147</v>
      </c>
      <c r="CR185" s="553">
        <f>0.5*(1+'Hilfstabellen_Mat&amp;Bem'!$BD$31*(CQ185-0.3)+CQ185^2)</f>
        <v>0.89845949906409062</v>
      </c>
      <c r="CS185" s="550">
        <f t="shared" si="155"/>
        <v>0.86497085036124277</v>
      </c>
      <c r="CU185" s="551">
        <f t="shared" si="156"/>
        <v>48584.547693940644</v>
      </c>
      <c r="CX185" s="547">
        <f>'Hilfstabellen_Mat&amp;Bem'!$J$61</f>
        <v>3.8</v>
      </c>
      <c r="CY185" s="546">
        <f t="shared" si="157"/>
        <v>237</v>
      </c>
      <c r="CZ185" s="551">
        <f t="shared" si="158"/>
        <v>55.54255754229311</v>
      </c>
      <c r="DA185" s="553">
        <f>CZ185/PI()*SQRT('Hilfstabellen_Mat&amp;Bem'!f.Rd.3/'Hilfstabellen_Mat&amp;Bem'!$BD$30)</f>
        <v>0.88398725848219828</v>
      </c>
      <c r="DB185" s="553">
        <f>0.5*(1+'Hilfstabellen_Mat&amp;Bem'!$BD$31*(DA185-0.3)+DA185^2)</f>
        <v>0.91991609950354636</v>
      </c>
      <c r="DC185" s="550">
        <f t="shared" si="159"/>
        <v>0.85142728550959423</v>
      </c>
      <c r="DE185" s="551">
        <f t="shared" si="160"/>
        <v>47823.819199788399</v>
      </c>
      <c r="DH185" s="547">
        <f>'Hilfstabellen_Mat&amp;Bem'!$J$62</f>
        <v>3.9</v>
      </c>
      <c r="DI185" s="546">
        <f t="shared" si="161"/>
        <v>237</v>
      </c>
      <c r="DJ185" s="551">
        <f t="shared" si="162"/>
        <v>57.004203793406084</v>
      </c>
      <c r="DK185" s="553">
        <f>DJ185/PI()*SQRT('Hilfstabellen_Mat&amp;Bem'!f.Rd.3/'Hilfstabellen_Mat&amp;Bem'!$BD$30)</f>
        <v>0.90725008107383498</v>
      </c>
      <c r="DL185" s="553">
        <f>0.5*(1+'Hilfstabellen_Mat&amp;Bem'!$BD$31*(DK185-0.3)+DK185^2)</f>
        <v>0.94191385885793188</v>
      </c>
      <c r="DM185" s="550">
        <f t="shared" si="163"/>
        <v>0.83675588973466319</v>
      </c>
      <c r="DO185" s="551">
        <f t="shared" si="164"/>
        <v>46999.741570506296</v>
      </c>
      <c r="DR185" s="547">
        <f>'Hilfstabellen_Mat&amp;Bem'!$J$63</f>
        <v>4</v>
      </c>
      <c r="DS185" s="546">
        <f t="shared" si="165"/>
        <v>237</v>
      </c>
      <c r="DT185" s="551">
        <f t="shared" si="166"/>
        <v>58.465850044519058</v>
      </c>
      <c r="DU185" s="553">
        <f>DT185/PI()*SQRT('Hilfstabellen_Mat&amp;Bem'!f.Rd.3/'Hilfstabellen_Mat&amp;Bem'!$BD$30)</f>
        <v>0.93051290366547179</v>
      </c>
      <c r="DV185" s="553">
        <f>0.5*(1+'Hilfstabellen_Mat&amp;Bem'!$BD$31*(DU185-0.3)+DU185^2)</f>
        <v>0.96445277712724742</v>
      </c>
      <c r="DW185" s="550">
        <f t="shared" si="167"/>
        <v>0.82097991649524404</v>
      </c>
      <c r="DY185" s="551">
        <f t="shared" si="168"/>
        <v>46113.620929621364</v>
      </c>
      <c r="EB185" s="547">
        <f>'Hilfstabellen_Mat&amp;Bem'!$J$64</f>
        <v>4.0999999999999996</v>
      </c>
      <c r="EC185" s="546">
        <f t="shared" si="169"/>
        <v>237</v>
      </c>
      <c r="ED185" s="551">
        <f t="shared" si="170"/>
        <v>59.927496295632039</v>
      </c>
      <c r="EE185" s="553">
        <f>ED185/PI()*SQRT('Hilfstabellen_Mat&amp;Bem'!f.Rd.3/'Hilfstabellen_Mat&amp;Bem'!$BD$30)</f>
        <v>0.9537757262571086</v>
      </c>
      <c r="EF185" s="553">
        <f>0.5*(1+'Hilfstabellen_Mat&amp;Bem'!$BD$31*(EE185-0.3)+EE185^2)</f>
        <v>0.98753285431149296</v>
      </c>
      <c r="EG185" s="550">
        <f t="shared" si="171"/>
        <v>0.80416428468295253</v>
      </c>
      <c r="EI185" s="551">
        <f t="shared" si="172"/>
        <v>45169.103706356764</v>
      </c>
      <c r="EL185" s="547">
        <f>'Hilfstabellen_Mat&amp;Bem'!$J$65</f>
        <v>4.2</v>
      </c>
      <c r="EM185" s="546">
        <f t="shared" si="173"/>
        <v>237</v>
      </c>
      <c r="EN185" s="551">
        <f t="shared" si="174"/>
        <v>61.389142546745006</v>
      </c>
      <c r="EO185" s="553">
        <f>EN185/PI()*SQRT('Hilfstabellen_Mat&amp;Bem'!f.Rd.3/'Hilfstabellen_Mat&amp;Bem'!$BD$30)</f>
        <v>0.9770385488487453</v>
      </c>
      <c r="EP185" s="553">
        <f>0.5*(1+'Hilfstabellen_Mat&amp;Bem'!$BD$31*(EO185-0.3)+EO185^2)</f>
        <v>1.0111540904106682</v>
      </c>
      <c r="EQ185" s="550">
        <f t="shared" si="175"/>
        <v>0.78641533655226648</v>
      </c>
      <c r="ES185" s="551">
        <f t="shared" si="176"/>
        <v>44172.163038804254</v>
      </c>
    </row>
    <row r="186" spans="3:149">
      <c r="C186" s="546">
        <v>238</v>
      </c>
      <c r="D186" s="551">
        <f t="shared" si="131"/>
        <v>40.754136648679463</v>
      </c>
      <c r="E186" s="553">
        <f>$D186/PI()*SQRT('Hilfstabellen_Mat&amp;Bem'!f.Rd.3/'Hilfstabellen_Mat&amp;Bem'!$BD$30)</f>
        <v>0.64862222990799068</v>
      </c>
      <c r="F186" s="553">
        <f>0.5*(1+'Hilfstabellen_Mat&amp;Bem'!$BD$31*($E186-0.3)+$E186^2)</f>
        <v>0.72778651006080675</v>
      </c>
      <c r="G186" s="550">
        <f t="shared" si="132"/>
        <v>0.94528585933696407</v>
      </c>
      <c r="I186" s="551">
        <f t="shared" si="177"/>
        <v>53544.772216282996</v>
      </c>
      <c r="M186" s="546">
        <f t="shared" si="133"/>
        <v>238</v>
      </c>
      <c r="N186" s="551">
        <f t="shared" si="123"/>
        <v>42.209641528989444</v>
      </c>
      <c r="O186" s="553">
        <f>$N186/PI()*SQRT('Hilfstabellen_Mat&amp;Bem'!f.Rd.3/'Hilfstabellen_Mat&amp;Bem'!$BD$30)</f>
        <v>0.67178730954756183</v>
      </c>
      <c r="P186" s="553">
        <f>0.5*(1+'Hilfstabellen_Mat&amp;Bem'!$BD$31*($O186-0.3)+$O186^2)</f>
        <v>0.74423846011195394</v>
      </c>
      <c r="Q186" s="550">
        <f t="shared" si="124"/>
        <v>0.93937339840887701</v>
      </c>
      <c r="S186" s="551">
        <f t="shared" si="178"/>
        <v>53209.866779472432</v>
      </c>
      <c r="W186" s="546">
        <f t="shared" si="134"/>
        <v>238</v>
      </c>
      <c r="X186" s="551">
        <f t="shared" si="125"/>
        <v>43.665146409299425</v>
      </c>
      <c r="Y186" s="553">
        <f>$X186/PI()*SQRT('Hilfstabellen_Mat&amp;Bem'!f.Rd.3/'Hilfstabellen_Mat&amp;Bem'!$BD$30)</f>
        <v>0.69495238918713287</v>
      </c>
      <c r="Z186" s="553">
        <f>0.5*(1+'Hilfstabellen_Mat&amp;Bem'!$BD$31*($Y186-0.3)+$Y186^2)</f>
        <v>0.76122703107780876</v>
      </c>
      <c r="AA186" s="550">
        <f t="shared" si="126"/>
        <v>0.93293674882085964</v>
      </c>
      <c r="AC186" s="551">
        <f t="shared" si="179"/>
        <v>52845.269200208772</v>
      </c>
      <c r="AG186" s="546">
        <f t="shared" si="135"/>
        <v>238</v>
      </c>
      <c r="AH186" s="551">
        <f t="shared" si="127"/>
        <v>45.120651289609405</v>
      </c>
      <c r="AI186" s="553">
        <f>$AH186/PI()*SQRT('Hilfstabellen_Mat&amp;Bem'!f.Rd.3/'Hilfstabellen_Mat&amp;Bem'!$BD$30)</f>
        <v>0.71811746882670402</v>
      </c>
      <c r="AJ186" s="553">
        <f>0.5*(1+'Hilfstabellen_Mat&amp;Bem'!$BD$31*($AI186-0.3)+$AI186^2)</f>
        <v>0.77875222295837132</v>
      </c>
      <c r="AK186" s="550">
        <f t="shared" si="128"/>
        <v>0.92590870513129064</v>
      </c>
      <c r="AM186" s="551">
        <f t="shared" si="180"/>
        <v>52447.172693456829</v>
      </c>
      <c r="AQ186" s="546">
        <f t="shared" si="136"/>
        <v>238</v>
      </c>
      <c r="AR186" s="551">
        <f t="shared" si="129"/>
        <v>46.576156169919386</v>
      </c>
      <c r="AS186" s="553">
        <f>$AR186/PI()*SQRT('Hilfstabellen_Mat&amp;Bem'!f.Rd.3/'Hilfstabellen_Mat&amp;Bem'!$BD$30)</f>
        <v>0.74128254846627506</v>
      </c>
      <c r="AT186" s="553">
        <f>0.5*(1+'Hilfstabellen_Mat&amp;Bem'!$BD$31*($AS186-0.3)+$AS186^2)</f>
        <v>0.79681403575364151</v>
      </c>
      <c r="AU186" s="550">
        <f t="shared" si="130"/>
        <v>0.91821571645468125</v>
      </c>
      <c r="AW186" s="551">
        <f t="shared" si="181"/>
        <v>52011.411042858963</v>
      </c>
      <c r="AZ186" s="547">
        <f>'Hilfstabellen_Mat&amp;Bem'!$J$56</f>
        <v>3.3</v>
      </c>
      <c r="BA186" s="546">
        <f t="shared" si="137"/>
        <v>238</v>
      </c>
      <c r="BB186" s="551">
        <f t="shared" si="138"/>
        <v>48.031661050229367</v>
      </c>
      <c r="BC186" s="553">
        <f>BB186/PI()*SQRT('Hilfstabellen_Mat&amp;Bem'!f.Rd.3/'Hilfstabellen_Mat&amp;Bem'!$BD$30)</f>
        <v>0.7644476281058461</v>
      </c>
      <c r="BD186" s="553">
        <f>0.5*(1+'Hilfstabellen_Mat&amp;Bem'!$BD$31*(BC186-0.3)+BC186^2)</f>
        <v>0.81541246946361934</v>
      </c>
      <c r="BE186" s="550">
        <f t="shared" si="139"/>
        <v>0.90977886057934843</v>
      </c>
      <c r="BG186" s="551">
        <f t="shared" si="140"/>
        <v>51533.513778656612</v>
      </c>
      <c r="BJ186" s="547">
        <f>'Hilfstabellen_Mat&amp;Bem'!$J$57</f>
        <v>3.4</v>
      </c>
      <c r="BK186" s="546">
        <f t="shared" si="141"/>
        <v>238</v>
      </c>
      <c r="BL186" s="551">
        <f t="shared" si="142"/>
        <v>49.487165930539348</v>
      </c>
      <c r="BM186" s="553">
        <f>BL186/PI()*SQRT('Hilfstabellen_Mat&amp;Bem'!f.Rd.3/'Hilfstabellen_Mat&amp;Bem'!$BD$30)</f>
        <v>0.78761270774541725</v>
      </c>
      <c r="BN186" s="553">
        <f>0.5*(1+'Hilfstabellen_Mat&amp;Bem'!$BD$31*(BM186-0.3)+BM186^2)</f>
        <v>0.8345475240883049</v>
      </c>
      <c r="BO186" s="550">
        <f t="shared" si="143"/>
        <v>0.90051580877540705</v>
      </c>
      <c r="BQ186" s="551">
        <f t="shared" si="144"/>
        <v>51008.817472274153</v>
      </c>
      <c r="BT186" s="547">
        <f>'Hilfstabellen_Mat&amp;Bem'!$J$58</f>
        <v>3.5</v>
      </c>
      <c r="BU186" s="546">
        <f t="shared" si="145"/>
        <v>238</v>
      </c>
      <c r="BV186" s="551">
        <f t="shared" si="146"/>
        <v>50.942670810849329</v>
      </c>
      <c r="BW186" s="553">
        <f>BV186/PI()*SQRT('Hilfstabellen_Mat&amp;Bem'!f.Rd.3/'Hilfstabellen_Mat&amp;Bem'!$BD$30)</f>
        <v>0.8107777873849884</v>
      </c>
      <c r="BX186" s="553">
        <f>0.5*(1+'Hilfstabellen_Mat&amp;Bem'!$BD$31*(BW186-0.3)+BW186^2)</f>
        <v>0.85421919962769821</v>
      </c>
      <c r="BY186" s="550">
        <f t="shared" si="147"/>
        <v>0.89034411565570126</v>
      </c>
      <c r="CA186" s="551">
        <f t="shared" si="148"/>
        <v>50432.652087201539</v>
      </c>
      <c r="CD186" s="547">
        <f>'Hilfstabellen_Mat&amp;Bem'!$J$59</f>
        <v>3.6</v>
      </c>
      <c r="CE186" s="546">
        <f t="shared" si="149"/>
        <v>238</v>
      </c>
      <c r="CF186" s="551">
        <f t="shared" si="150"/>
        <v>52.39817569115931</v>
      </c>
      <c r="CG186" s="553">
        <f>CF186/PI()*SQRT('Hilfstabellen_Mat&amp;Bem'!f.Rd.3/'Hilfstabellen_Mat&amp;Bem'!$BD$30)</f>
        <v>0.83394286702455944</v>
      </c>
      <c r="CH186" s="553">
        <f>0.5*(1+'Hilfstabellen_Mat&amp;Bem'!$BD$31*(CG186-0.3)+CG186^2)</f>
        <v>0.87442749608179904</v>
      </c>
      <c r="CI186" s="550">
        <f t="shared" si="151"/>
        <v>0.87918611626602816</v>
      </c>
      <c r="CK186" s="551">
        <f t="shared" si="152"/>
        <v>49800.618369772899</v>
      </c>
      <c r="CN186" s="547">
        <f>'Hilfstabellen_Mat&amp;Bem'!$J$60</f>
        <v>3.7</v>
      </c>
      <c r="CO186" s="546">
        <f t="shared" si="153"/>
        <v>238</v>
      </c>
      <c r="CP186" s="551">
        <f t="shared" si="154"/>
        <v>53.85368057146929</v>
      </c>
      <c r="CQ186" s="553">
        <f>CP186/PI()*SQRT('Hilfstabellen_Mat&amp;Bem'!f.Rd.3/'Hilfstabellen_Mat&amp;Bem'!$BD$30)</f>
        <v>0.85710794666413048</v>
      </c>
      <c r="CR186" s="553">
        <f>0.5*(1+'Hilfstabellen_Mat&amp;Bem'!$BD$31*(CQ186-0.3)+CQ186^2)</f>
        <v>0.8951724134506075</v>
      </c>
      <c r="CS186" s="550">
        <f t="shared" si="155"/>
        <v>0.86697552045363968</v>
      </c>
      <c r="CU186" s="551">
        <f t="shared" si="156"/>
        <v>49108.961380575965</v>
      </c>
      <c r="CX186" s="547">
        <f>'Hilfstabellen_Mat&amp;Bem'!$J$61</f>
        <v>3.8</v>
      </c>
      <c r="CY186" s="546">
        <f t="shared" si="157"/>
        <v>238</v>
      </c>
      <c r="CZ186" s="551">
        <f t="shared" si="158"/>
        <v>55.309185451779271</v>
      </c>
      <c r="DA186" s="553">
        <f>CZ186/PI()*SQRT('Hilfstabellen_Mat&amp;Bem'!f.Rd.3/'Hilfstabellen_Mat&amp;Bem'!$BD$30)</f>
        <v>0.88027302630370152</v>
      </c>
      <c r="DB186" s="553">
        <f>0.5*(1+'Hilfstabellen_Mat&amp;Bem'!$BD$31*(DA186-0.3)+DA186^2)</f>
        <v>0.9164539517341237</v>
      </c>
      <c r="DC186" s="550">
        <f t="shared" si="159"/>
        <v>0.8536654130860315</v>
      </c>
      <c r="DE186" s="551">
        <f t="shared" si="160"/>
        <v>48355.023658845166</v>
      </c>
      <c r="DH186" s="547">
        <f>'Hilfstabellen_Mat&amp;Bem'!$J$62</f>
        <v>3.9</v>
      </c>
      <c r="DI186" s="546">
        <f t="shared" si="161"/>
        <v>238</v>
      </c>
      <c r="DJ186" s="551">
        <f t="shared" si="162"/>
        <v>56.764690332089245</v>
      </c>
      <c r="DK186" s="553">
        <f>DJ186/PI()*SQRT('Hilfstabellen_Mat&amp;Bem'!f.Rd.3/'Hilfstabellen_Mat&amp;Bem'!$BD$30)</f>
        <v>0.90343810594327256</v>
      </c>
      <c r="DL186" s="553">
        <f>0.5*(1+'Hilfstabellen_Mat&amp;Bem'!$BD$31*(DK186-0.3)+DK186^2)</f>
        <v>0.93827211093234753</v>
      </c>
      <c r="DM186" s="550">
        <f t="shared" si="163"/>
        <v>0.83923681029139785</v>
      </c>
      <c r="DO186" s="551">
        <f t="shared" si="164"/>
        <v>47537.729882145941</v>
      </c>
      <c r="DR186" s="547">
        <f>'Hilfstabellen_Mat&amp;Bem'!$J$63</f>
        <v>4</v>
      </c>
      <c r="DS186" s="546">
        <f t="shared" si="165"/>
        <v>238</v>
      </c>
      <c r="DT186" s="551">
        <f t="shared" si="166"/>
        <v>58.220195212399233</v>
      </c>
      <c r="DU186" s="553">
        <f>DT186/PI()*SQRT('Hilfstabellen_Mat&amp;Bem'!f.Rd.3/'Hilfstabellen_Mat&amp;Bem'!$BD$30)</f>
        <v>0.92660318558284382</v>
      </c>
      <c r="DV186" s="553">
        <f>0.5*(1+'Hilfstabellen_Mat&amp;Bem'!$BD$31*(DU186-0.3)+DU186^2)</f>
        <v>0.96062689104527921</v>
      </c>
      <c r="DW186" s="550">
        <f t="shared" si="167"/>
        <v>0.82370632171066671</v>
      </c>
      <c r="DY186" s="551">
        <f t="shared" si="168"/>
        <v>46658.020886979008</v>
      </c>
      <c r="EB186" s="547">
        <f>'Hilfstabellen_Mat&amp;Bem'!$J$64</f>
        <v>4.0999999999999996</v>
      </c>
      <c r="EC186" s="546">
        <f t="shared" si="169"/>
        <v>238</v>
      </c>
      <c r="ED186" s="551">
        <f t="shared" si="170"/>
        <v>59.675700092709214</v>
      </c>
      <c r="EE186" s="553">
        <f>ED186/PI()*SQRT('Hilfstabellen_Mat&amp;Bem'!f.Rd.3/'Hilfstabellen_Mat&amp;Bem'!$BD$30)</f>
        <v>0.94976826522241486</v>
      </c>
      <c r="EF186" s="553">
        <f>0.5*(1+'Hilfstabellen_Mat&amp;Bem'!$BD$31*(EE186-0.3)+EE186^2)</f>
        <v>0.98351829207291841</v>
      </c>
      <c r="EG186" s="550">
        <f t="shared" si="171"/>
        <v>0.80713110076313244</v>
      </c>
      <c r="EI186" s="551">
        <f t="shared" si="172"/>
        <v>45719.134071626875</v>
      </c>
      <c r="EL186" s="547">
        <f>'Hilfstabellen_Mat&amp;Bem'!$J$65</f>
        <v>4.2</v>
      </c>
      <c r="EM186" s="546">
        <f t="shared" si="173"/>
        <v>238</v>
      </c>
      <c r="EN186" s="551">
        <f t="shared" si="174"/>
        <v>61.131204973019202</v>
      </c>
      <c r="EO186" s="553">
        <f>EN186/PI()*SQRT('Hilfstabellen_Mat&amp;Bem'!f.Rd.3/'Hilfstabellen_Mat&amp;Bem'!$BD$30)</f>
        <v>0.97293334486198602</v>
      </c>
      <c r="EP186" s="553">
        <f>0.5*(1+'Hilfstabellen_Mat&amp;Bem'!$BD$31*(EO186-0.3)+EO186^2)</f>
        <v>1.0069463140152655</v>
      </c>
      <c r="EQ186" s="550">
        <f t="shared" si="175"/>
        <v>0.78960944234581298</v>
      </c>
      <c r="ES186" s="551">
        <f t="shared" si="176"/>
        <v>44726.637252236229</v>
      </c>
    </row>
    <row r="187" spans="3:149">
      <c r="C187" s="546">
        <v>239</v>
      </c>
      <c r="D187" s="551">
        <f t="shared" si="131"/>
        <v>40.583617248475782</v>
      </c>
      <c r="E187" s="553">
        <f>$D187/PI()*SQRT('Hilfstabellen_Mat&amp;Bem'!f.Rd.3/'Hilfstabellen_Mat&amp;Bem'!$BD$30)</f>
        <v>0.64590832936444265</v>
      </c>
      <c r="F187" s="553">
        <f>0.5*(1+'Hilfstabellen_Mat&amp;Bem'!$BD$31*($E187-0.3)+$E187^2)</f>
        <v>0.72589420143940475</v>
      </c>
      <c r="G187" s="550">
        <f t="shared" si="132"/>
        <v>0.94594709423911938</v>
      </c>
      <c r="I187" s="551">
        <f t="shared" si="177"/>
        <v>54033.443970032735</v>
      </c>
      <c r="M187" s="546">
        <f t="shared" si="133"/>
        <v>239</v>
      </c>
      <c r="N187" s="551">
        <f t="shared" si="123"/>
        <v>42.033032150207063</v>
      </c>
      <c r="O187" s="553">
        <f>$N187/PI()*SQRT('Hilfstabellen_Mat&amp;Bem'!f.Rd.3/'Hilfstabellen_Mat&amp;Bem'!$BD$30)</f>
        <v>0.6689764839846013</v>
      </c>
      <c r="P187" s="553">
        <f>0.5*(1+'Hilfstabellen_Mat&amp;Bem'!$BD$31*($O187-0.3)+$O187^2)</f>
        <v>0.74221359226142991</v>
      </c>
      <c r="Q187" s="550">
        <f t="shared" si="124"/>
        <v>0.94011748433368492</v>
      </c>
      <c r="S187" s="551">
        <f t="shared" si="178"/>
        <v>53700.450822624414</v>
      </c>
      <c r="W187" s="546">
        <f t="shared" si="134"/>
        <v>239</v>
      </c>
      <c r="X187" s="551">
        <f t="shared" si="125"/>
        <v>43.482447051938337</v>
      </c>
      <c r="Y187" s="553">
        <f>$X187/PI()*SQRT('Hilfstabellen_Mat&amp;Bem'!f.Rd.3/'Hilfstabellen_Mat&amp;Bem'!$BD$30)</f>
        <v>0.69204463860475984</v>
      </c>
      <c r="Z187" s="553">
        <f>0.5*(1+'Hilfstabellen_Mat&amp;Bem'!$BD$31*($Y187-0.3)+$Y187^2)</f>
        <v>0.75906512284103433</v>
      </c>
      <c r="AA187" s="550">
        <f t="shared" si="126"/>
        <v>0.93377570690391865</v>
      </c>
      <c r="AC187" s="551">
        <f t="shared" si="179"/>
        <v>53338.202154058738</v>
      </c>
      <c r="AG187" s="546">
        <f t="shared" si="135"/>
        <v>239</v>
      </c>
      <c r="AH187" s="551">
        <f t="shared" si="127"/>
        <v>44.931861953669618</v>
      </c>
      <c r="AI187" s="553">
        <f>$AH187/PI()*SQRT('Hilfstabellen_Mat&amp;Bem'!f.Rd.3/'Hilfstabellen_Mat&amp;Bem'!$BD$30)</f>
        <v>0.71511279322491861</v>
      </c>
      <c r="AJ187" s="553">
        <f>0.5*(1+'Hilfstabellen_Mat&amp;Bem'!$BD$31*($AI187-0.3)+$AI187^2)</f>
        <v>0.77644879317821847</v>
      </c>
      <c r="AK187" s="550">
        <f t="shared" si="128"/>
        <v>0.92685620046894523</v>
      </c>
      <c r="AM187" s="551">
        <f t="shared" si="180"/>
        <v>52942.953026986623</v>
      </c>
      <c r="AQ187" s="546">
        <f t="shared" si="136"/>
        <v>239</v>
      </c>
      <c r="AR187" s="551">
        <f t="shared" si="129"/>
        <v>46.381276855400891</v>
      </c>
      <c r="AS187" s="553">
        <f>$AR187/PI()*SQRT('Hilfstabellen_Mat&amp;Bem'!f.Rd.3/'Hilfstabellen_Mat&amp;Bem'!$BD$30)</f>
        <v>0.73818094784507715</v>
      </c>
      <c r="AT187" s="553">
        <f>0.5*(1+'Hilfstabellen_Mat&amp;Bem'!$BD$31*($AS187-0.3)+$AS187^2)</f>
        <v>0.79436460327298208</v>
      </c>
      <c r="AU187" s="550">
        <f t="shared" si="130"/>
        <v>0.91928709563800459</v>
      </c>
      <c r="AW187" s="551">
        <f t="shared" si="181"/>
        <v>52510.598189938457</v>
      </c>
      <c r="AZ187" s="547">
        <f>'Hilfstabellen_Mat&amp;Bem'!$J$56</f>
        <v>3.3</v>
      </c>
      <c r="BA187" s="546">
        <f t="shared" si="137"/>
        <v>239</v>
      </c>
      <c r="BB187" s="551">
        <f t="shared" si="138"/>
        <v>47.830691757132172</v>
      </c>
      <c r="BC187" s="553">
        <f>BB187/PI()*SQRT('Hilfstabellen_Mat&amp;Bem'!f.Rd.3/'Hilfstabellen_Mat&amp;Bem'!$BD$30)</f>
        <v>0.76124910246523592</v>
      </c>
      <c r="BD187" s="553">
        <f>0.5*(1+'Hilfstabellen_Mat&amp;Bem'!$BD$31*(BC187-0.3)+BC187^2)</f>
        <v>0.81281255312532541</v>
      </c>
      <c r="BE187" s="550">
        <f t="shared" si="139"/>
        <v>0.91099106739770819</v>
      </c>
      <c r="BG187" s="551">
        <f t="shared" si="140"/>
        <v>52036.720760824486</v>
      </c>
      <c r="BJ187" s="547">
        <f>'Hilfstabellen_Mat&amp;Bem'!$J$57</f>
        <v>3.4</v>
      </c>
      <c r="BK187" s="546">
        <f t="shared" si="141"/>
        <v>239</v>
      </c>
      <c r="BL187" s="551">
        <f t="shared" si="142"/>
        <v>49.280106658863453</v>
      </c>
      <c r="BM187" s="553">
        <f>BL187/PI()*SQRT('Hilfstabellen_Mat&amp;Bem'!f.Rd.3/'Hilfstabellen_Mat&amp;Bem'!$BD$30)</f>
        <v>0.78431725708539457</v>
      </c>
      <c r="BN187" s="553">
        <f>0.5*(1+'Hilfstabellen_Mat&amp;Bem'!$BD$31*(BM187-0.3)+BM187^2)</f>
        <v>0.83179264273524822</v>
      </c>
      <c r="BO187" s="550">
        <f t="shared" si="143"/>
        <v>0.90188711200776239</v>
      </c>
      <c r="BQ187" s="551">
        <f t="shared" si="144"/>
        <v>51516.693724995399</v>
      </c>
      <c r="BT187" s="547">
        <f>'Hilfstabellen_Mat&amp;Bem'!$J$58</f>
        <v>3.5</v>
      </c>
      <c r="BU187" s="546">
        <f t="shared" si="145"/>
        <v>239</v>
      </c>
      <c r="BV187" s="551">
        <f t="shared" si="146"/>
        <v>50.729521560594733</v>
      </c>
      <c r="BW187" s="553">
        <f>BV187/PI()*SQRT('Hilfstabellen_Mat&amp;Bem'!f.Rd.3/'Hilfstabellen_Mat&amp;Bem'!$BD$30)</f>
        <v>0.80738541170555322</v>
      </c>
      <c r="BX187" s="553">
        <f>0.5*(1+'Hilfstabellen_Mat&amp;Bem'!$BD$31*(BW187-0.3)+BW187^2)</f>
        <v>0.85130487210275052</v>
      </c>
      <c r="BY187" s="550">
        <f t="shared" si="147"/>
        <v>0.89189357311946604</v>
      </c>
      <c r="CA187" s="551">
        <f t="shared" si="148"/>
        <v>50945.85279015702</v>
      </c>
      <c r="CD187" s="547">
        <f>'Hilfstabellen_Mat&amp;Bem'!$J$59</f>
        <v>3.6</v>
      </c>
      <c r="CE187" s="546">
        <f t="shared" si="149"/>
        <v>239</v>
      </c>
      <c r="CF187" s="551">
        <f t="shared" si="150"/>
        <v>52.178936462326007</v>
      </c>
      <c r="CG187" s="553">
        <f>CF187/PI()*SQRT('Hilfstabellen_Mat&amp;Bem'!f.Rd.3/'Hilfstabellen_Mat&amp;Bem'!$BD$30)</f>
        <v>0.83045356632571188</v>
      </c>
      <c r="CH187" s="553">
        <f>0.5*(1+'Hilfstabellen_Mat&amp;Bem'!$BD$31*(CG187-0.3)+CG187^2)</f>
        <v>0.87134924122783242</v>
      </c>
      <c r="CI187" s="550">
        <f t="shared" si="151"/>
        <v>0.88093270496432108</v>
      </c>
      <c r="CK187" s="551">
        <f t="shared" si="152"/>
        <v>50319.757040266981</v>
      </c>
      <c r="CN187" s="547">
        <f>'Hilfstabellen_Mat&amp;Bem'!$J$60</f>
        <v>3.7</v>
      </c>
      <c r="CO187" s="546">
        <f t="shared" si="153"/>
        <v>239</v>
      </c>
      <c r="CP187" s="551">
        <f t="shared" si="154"/>
        <v>53.628351364057288</v>
      </c>
      <c r="CQ187" s="553">
        <f>CP187/PI()*SQRT('Hilfstabellen_Mat&amp;Bem'!f.Rd.3/'Hilfstabellen_Mat&amp;Bem'!$BD$30)</f>
        <v>0.85352172094587064</v>
      </c>
      <c r="CR187" s="553">
        <f>0.5*(1+'Hilfstabellen_Mat&amp;Bem'!$BD$31*(CQ187-0.3)+CQ187^2)</f>
        <v>0.89192575011049391</v>
      </c>
      <c r="CS187" s="550">
        <f t="shared" si="155"/>
        <v>0.86893689700058774</v>
      </c>
      <c r="CU187" s="551">
        <f t="shared" si="156"/>
        <v>49634.544493570575</v>
      </c>
      <c r="CX187" s="547">
        <f>'Hilfstabellen_Mat&amp;Bem'!$J$61</f>
        <v>3.8</v>
      </c>
      <c r="CY187" s="546">
        <f t="shared" si="157"/>
        <v>239</v>
      </c>
      <c r="CZ187" s="551">
        <f t="shared" si="158"/>
        <v>55.077766265788561</v>
      </c>
      <c r="DA187" s="553">
        <f>CZ187/PI()*SQRT('Hilfstabellen_Mat&amp;Bem'!f.Rd.3/'Hilfstabellen_Mat&amp;Bem'!$BD$30)</f>
        <v>0.87658987556602919</v>
      </c>
      <c r="DB187" s="553">
        <f>0.5*(1+'Hilfstabellen_Mat&amp;Bem'!$BD$31*(DA187-0.3)+DA187^2)</f>
        <v>0.91303439875073478</v>
      </c>
      <c r="DC187" s="550">
        <f t="shared" si="159"/>
        <v>0.85585634290325419</v>
      </c>
      <c r="DE187" s="551">
        <f t="shared" si="160"/>
        <v>48887.370162976782</v>
      </c>
      <c r="DH187" s="547">
        <f>'Hilfstabellen_Mat&amp;Bem'!$J$62</f>
        <v>3.9</v>
      </c>
      <c r="DI187" s="546">
        <f t="shared" si="161"/>
        <v>239</v>
      </c>
      <c r="DJ187" s="551">
        <f t="shared" si="162"/>
        <v>56.527181167519842</v>
      </c>
      <c r="DK187" s="553">
        <f>DJ187/PI()*SQRT('Hilfstabellen_Mat&amp;Bem'!f.Rd.3/'Hilfstabellen_Mat&amp;Bem'!$BD$30)</f>
        <v>0.89965803018618795</v>
      </c>
      <c r="DL187" s="553">
        <f>0.5*(1+'Hilfstabellen_Mat&amp;Bem'!$BD$31*(DK187-0.3)+DK187^2)</f>
        <v>0.93467518714855524</v>
      </c>
      <c r="DM187" s="550">
        <f t="shared" si="163"/>
        <v>0.84166741677146462</v>
      </c>
      <c r="DO187" s="551">
        <f t="shared" si="164"/>
        <v>48076.884513402831</v>
      </c>
      <c r="DR187" s="547">
        <f>'Hilfstabellen_Mat&amp;Bem'!$J$63</f>
        <v>4</v>
      </c>
      <c r="DS187" s="546">
        <f t="shared" si="165"/>
        <v>239</v>
      </c>
      <c r="DT187" s="551">
        <f t="shared" si="166"/>
        <v>57.976596069251116</v>
      </c>
      <c r="DU187" s="553">
        <f>DT187/PI()*SQRT('Hilfstabellen_Mat&amp;Bem'!f.Rd.3/'Hilfstabellen_Mat&amp;Bem'!$BD$30)</f>
        <v>0.92272618480634661</v>
      </c>
      <c r="DV187" s="553">
        <f>0.5*(1+'Hilfstabellen_Mat&amp;Bem'!$BD$31*(DU187-0.3)+DU187^2)</f>
        <v>0.95684811530395542</v>
      </c>
      <c r="DW187" s="550">
        <f t="shared" si="167"/>
        <v>0.82638043034867625</v>
      </c>
      <c r="DY187" s="551">
        <f t="shared" si="168"/>
        <v>47203.676561946733</v>
      </c>
      <c r="EB187" s="547">
        <f>'Hilfstabellen_Mat&amp;Bem'!$J$64</f>
        <v>4.0999999999999996</v>
      </c>
      <c r="EC187" s="546">
        <f t="shared" si="169"/>
        <v>239</v>
      </c>
      <c r="ED187" s="551">
        <f t="shared" si="170"/>
        <v>59.426010970982389</v>
      </c>
      <c r="EE187" s="553">
        <f>ED187/PI()*SQRT('Hilfstabellen_Mat&amp;Bem'!f.Rd.3/'Hilfstabellen_Mat&amp;Bem'!$BD$30)</f>
        <v>0.94579433942650515</v>
      </c>
      <c r="EF187" s="553">
        <f>0.5*(1+'Hilfstabellen_Mat&amp;Bem'!$BD$31*(EE187-0.3)+EE187^2)</f>
        <v>0.97955318321693485</v>
      </c>
      <c r="EG187" s="550">
        <f t="shared" si="171"/>
        <v>0.8100450326232892</v>
      </c>
      <c r="EI187" s="551">
        <f t="shared" si="172"/>
        <v>46270.582308474899</v>
      </c>
      <c r="EL187" s="547">
        <f>'Hilfstabellen_Mat&amp;Bem'!$J$65</f>
        <v>4.2</v>
      </c>
      <c r="EM187" s="546">
        <f t="shared" si="173"/>
        <v>239</v>
      </c>
      <c r="EN187" s="551">
        <f t="shared" si="174"/>
        <v>60.875425872713677</v>
      </c>
      <c r="EO187" s="553">
        <f>EN187/PI()*SQRT('Hilfstabellen_Mat&amp;Bem'!f.Rd.3/'Hilfstabellen_Mat&amp;Bem'!$BD$30)</f>
        <v>0.96886249404666391</v>
      </c>
      <c r="EP187" s="553">
        <f>0.5*(1+'Hilfstabellen_Mat&amp;Bem'!$BD$31*(EO187-0.3)+EO187^2)</f>
        <v>1.0027903908874942</v>
      </c>
      <c r="EQ187" s="550">
        <f t="shared" si="175"/>
        <v>0.79275158429119685</v>
      </c>
      <c r="ES187" s="551">
        <f t="shared" si="176"/>
        <v>45282.763246297458</v>
      </c>
    </row>
    <row r="188" spans="3:149">
      <c r="C188" s="546">
        <v>240</v>
      </c>
      <c r="D188" s="551">
        <f t="shared" si="131"/>
        <v>40.414518843273797</v>
      </c>
      <c r="E188" s="553">
        <f>$D188/PI()*SQRT('Hilfstabellen_Mat&amp;Bem'!f.Rd.3/'Hilfstabellen_Mat&amp;Bem'!$BD$30)</f>
        <v>0.6432170446587574</v>
      </c>
      <c r="F188" s="553">
        <f>0.5*(1+'Hilfstabellen_Mat&amp;Bem'!$BD$31*($E188-0.3)+$E188^2)</f>
        <v>0.72402493550271085</v>
      </c>
      <c r="G188" s="550">
        <f t="shared" si="132"/>
        <v>0.94659663219963075</v>
      </c>
      <c r="I188" s="551">
        <f t="shared" si="177"/>
        <v>54523.96601469873</v>
      </c>
      <c r="M188" s="546">
        <f t="shared" si="133"/>
        <v>240</v>
      </c>
      <c r="N188" s="551">
        <f t="shared" si="123"/>
        <v>41.857894516247868</v>
      </c>
      <c r="O188" s="553">
        <f>$N188/PI()*SQRT('Hilfstabellen_Mat&amp;Bem'!f.Rd.3/'Hilfstabellen_Mat&amp;Bem'!$BD$30)</f>
        <v>0.66618908196799875</v>
      </c>
      <c r="P188" s="553">
        <f>0.5*(1+'Hilfstabellen_Mat&amp;Bem'!$BD$31*($O188-0.3)+$O188^2)</f>
        <v>0.74021340056508245</v>
      </c>
      <c r="Q188" s="550">
        <f t="shared" si="124"/>
        <v>0.94084786773205598</v>
      </c>
      <c r="S188" s="551">
        <f t="shared" si="178"/>
        <v>54192.837181366427</v>
      </c>
      <c r="W188" s="546">
        <f t="shared" si="134"/>
        <v>240</v>
      </c>
      <c r="X188" s="551">
        <f t="shared" si="125"/>
        <v>43.301270189221931</v>
      </c>
      <c r="Y188" s="553">
        <f>$X188/PI()*SQRT('Hilfstabellen_Mat&amp;Bem'!f.Rd.3/'Hilfstabellen_Mat&amp;Bem'!$BD$30)</f>
        <v>0.68916111927724011</v>
      </c>
      <c r="Z188" s="553">
        <f>0.5*(1+'Hilfstabellen_Mat&amp;Bem'!$BD$31*($Y188-0.3)+$Y188^2)</f>
        <v>0.75692958012559108</v>
      </c>
      <c r="AA188" s="550">
        <f t="shared" si="126"/>
        <v>0.9345986165714808</v>
      </c>
      <c r="AC188" s="551">
        <f t="shared" si="179"/>
        <v>53832.880314517293</v>
      </c>
      <c r="AG188" s="546">
        <f t="shared" si="135"/>
        <v>240</v>
      </c>
      <c r="AH188" s="551">
        <f t="shared" si="127"/>
        <v>44.744645862195995</v>
      </c>
      <c r="AI188" s="553">
        <f>$AH188/PI()*SQRT('Hilfstabellen_Mat&amp;Bem'!f.Rd.3/'Hilfstabellen_Mat&amp;Bem'!$BD$30)</f>
        <v>0.71213315658648146</v>
      </c>
      <c r="AJ188" s="553">
        <f>0.5*(1+'Hilfstabellen_Mat&amp;Bem'!$BD$31*($AI188-0.3)+$AI188^2)</f>
        <v>0.7741734741842371</v>
      </c>
      <c r="AK188" s="550">
        <f t="shared" si="128"/>
        <v>0.9277849237590946</v>
      </c>
      <c r="AM188" s="551">
        <f t="shared" si="180"/>
        <v>53440.411608523849</v>
      </c>
      <c r="AQ188" s="546">
        <f t="shared" si="136"/>
        <v>240</v>
      </c>
      <c r="AR188" s="551">
        <f t="shared" si="129"/>
        <v>46.188021535170058</v>
      </c>
      <c r="AS188" s="553">
        <f>$AR188/PI()*SQRT('Hilfstabellen_Mat&amp;Bem'!f.Rd.3/'Hilfstabellen_Mat&amp;Bem'!$BD$30)</f>
        <v>0.73510519389572282</v>
      </c>
      <c r="AT188" s="553">
        <f>0.5*(1+'Hilfstabellen_Mat&amp;Bem'!$BD$31*($AS188-0.3)+$AS188^2)</f>
        <v>0.79194508274102016</v>
      </c>
      <c r="AU188" s="550">
        <f t="shared" si="130"/>
        <v>0.92033657436610028</v>
      </c>
      <c r="AW188" s="551">
        <f t="shared" si="181"/>
        <v>53011.386683487377</v>
      </c>
      <c r="AZ188" s="547">
        <f>'Hilfstabellen_Mat&amp;Bem'!$J$56</f>
        <v>3.3</v>
      </c>
      <c r="BA188" s="546">
        <f t="shared" si="137"/>
        <v>240</v>
      </c>
      <c r="BB188" s="551">
        <f t="shared" si="138"/>
        <v>47.631397208144122</v>
      </c>
      <c r="BC188" s="553">
        <f>BB188/PI()*SQRT('Hilfstabellen_Mat&amp;Bem'!f.Rd.3/'Hilfstabellen_Mat&amp;Bem'!$BD$30)</f>
        <v>0.75807723120496417</v>
      </c>
      <c r="BD188" s="553">
        <f>0.5*(1+'Hilfstabellen_Mat&amp;Bem'!$BD$31*(BC188-0.3)+BC188^2)</f>
        <v>0.81024440579594059</v>
      </c>
      <c r="BE188" s="550">
        <f t="shared" si="139"/>
        <v>0.91217783417269793</v>
      </c>
      <c r="BG188" s="551">
        <f t="shared" si="140"/>
        <v>52541.443248347401</v>
      </c>
      <c r="BJ188" s="547">
        <f>'Hilfstabellen_Mat&amp;Bem'!$J$57</f>
        <v>3.4</v>
      </c>
      <c r="BK188" s="546">
        <f t="shared" si="141"/>
        <v>240</v>
      </c>
      <c r="BL188" s="551">
        <f t="shared" si="142"/>
        <v>49.074772881118186</v>
      </c>
      <c r="BM188" s="553">
        <f>BL188/PI()*SQRT('Hilfstabellen_Mat&amp;Bem'!f.Rd.3/'Hilfstabellen_Mat&amp;Bem'!$BD$30)</f>
        <v>0.78104926851420542</v>
      </c>
      <c r="BN188" s="553">
        <f>0.5*(1+'Hilfstabellen_Mat&amp;Bem'!$BD$31*(BM188-0.3)+BM188^2)</f>
        <v>0.82907144334899807</v>
      </c>
      <c r="BO188" s="550">
        <f t="shared" si="143"/>
        <v>0.90322905254372277</v>
      </c>
      <c r="BQ188" s="551">
        <f t="shared" si="144"/>
        <v>52025.993426518435</v>
      </c>
      <c r="BT188" s="547">
        <f>'Hilfstabellen_Mat&amp;Bem'!$J$58</f>
        <v>3.5</v>
      </c>
      <c r="BU188" s="546">
        <f t="shared" si="145"/>
        <v>240</v>
      </c>
      <c r="BV188" s="551">
        <f t="shared" si="146"/>
        <v>50.518148554092257</v>
      </c>
      <c r="BW188" s="553">
        <f>BV188/PI()*SQRT('Hilfstabellen_Mat&amp;Bem'!f.Rd.3/'Hilfstabellen_Mat&amp;Bem'!$BD$30)</f>
        <v>0.80402130582344677</v>
      </c>
      <c r="BX188" s="553">
        <f>0.5*(1+'Hilfstabellen_Mat&amp;Bem'!$BD$31*(BW188-0.3)+BW188^2)</f>
        <v>0.8484261954001926</v>
      </c>
      <c r="BY188" s="550">
        <f t="shared" si="147"/>
        <v>0.89340944151077073</v>
      </c>
      <c r="CA188" s="551">
        <f t="shared" si="148"/>
        <v>51460.383831020394</v>
      </c>
      <c r="CD188" s="547">
        <f>'Hilfstabellen_Mat&amp;Bem'!$J$59</f>
        <v>3.6</v>
      </c>
      <c r="CE188" s="546">
        <f t="shared" si="149"/>
        <v>240</v>
      </c>
      <c r="CF188" s="551">
        <f t="shared" si="150"/>
        <v>51.961524227066313</v>
      </c>
      <c r="CG188" s="553">
        <f>CF188/PI()*SQRT('Hilfstabellen_Mat&amp;Bem'!f.Rd.3/'Hilfstabellen_Mat&amp;Bem'!$BD$30)</f>
        <v>0.82699334313268802</v>
      </c>
      <c r="CH188" s="553">
        <f>0.5*(1+'Hilfstabellen_Mat&amp;Bem'!$BD$31*(CG188-0.3)+CG188^2)</f>
        <v>0.86830866194952439</v>
      </c>
      <c r="CI188" s="550">
        <f t="shared" si="151"/>
        <v>0.88264132162822806</v>
      </c>
      <c r="CK188" s="551">
        <f t="shared" si="152"/>
        <v>50840.14012578594</v>
      </c>
      <c r="CN188" s="547">
        <f>'Hilfstabellen_Mat&amp;Bem'!$J$60</f>
        <v>3.7</v>
      </c>
      <c r="CO188" s="546">
        <f t="shared" si="153"/>
        <v>240</v>
      </c>
      <c r="CP188" s="551">
        <f t="shared" si="154"/>
        <v>53.404899900040377</v>
      </c>
      <c r="CQ188" s="553">
        <f>CP188/PI()*SQRT('Hilfstabellen_Mat&amp;Bem'!f.Rd.3/'Hilfstabellen_Mat&amp;Bem'!$BD$30)</f>
        <v>0.84996538044192949</v>
      </c>
      <c r="CR188" s="553">
        <f>0.5*(1+'Hilfstabellen_Mat&amp;Bem'!$BD$31*(CQ188-0.3)+CQ188^2)</f>
        <v>0.88871884299699344</v>
      </c>
      <c r="CS188" s="550">
        <f t="shared" si="155"/>
        <v>0.8708559875013</v>
      </c>
      <c r="CU188" s="551">
        <f t="shared" si="156"/>
        <v>50161.30488007488</v>
      </c>
      <c r="CX188" s="547">
        <f>'Hilfstabellen_Mat&amp;Bem'!$J$61</f>
        <v>3.8</v>
      </c>
      <c r="CY188" s="546">
        <f t="shared" si="157"/>
        <v>240</v>
      </c>
      <c r="CZ188" s="551">
        <f t="shared" si="158"/>
        <v>54.848275573014448</v>
      </c>
      <c r="DA188" s="553">
        <f>CZ188/PI()*SQRT('Hilfstabellen_Mat&amp;Bem'!f.Rd.3/'Hilfstabellen_Mat&amp;Bem'!$BD$30)</f>
        <v>0.87293741775117084</v>
      </c>
      <c r="DB188" s="553">
        <f>0.5*(1+'Hilfstabellen_Mat&amp;Bem'!$BD$31*(DA188-0.3)+DA188^2)</f>
        <v>0.90965673854259965</v>
      </c>
      <c r="DC188" s="550">
        <f t="shared" si="159"/>
        <v>0.85800104182029346</v>
      </c>
      <c r="DE188" s="551">
        <f t="shared" si="160"/>
        <v>49420.860008848904</v>
      </c>
      <c r="DH188" s="547">
        <f>'Hilfstabellen_Mat&amp;Bem'!$J$62</f>
        <v>3.9</v>
      </c>
      <c r="DI188" s="546">
        <f t="shared" si="161"/>
        <v>240</v>
      </c>
      <c r="DJ188" s="551">
        <f t="shared" si="162"/>
        <v>56.291651245988511</v>
      </c>
      <c r="DK188" s="553">
        <f>DJ188/PI()*SQRT('Hilfstabellen_Mat&amp;Bem'!f.Rd.3/'Hilfstabellen_Mat&amp;Bem'!$BD$30)</f>
        <v>0.89590945506041209</v>
      </c>
      <c r="DL188" s="553">
        <f>0.5*(1+'Hilfstabellen_Mat&amp;Bem'!$BD$31*(DK188-0.3)+DK188^2)</f>
        <v>0.93112234858634291</v>
      </c>
      <c r="DM188" s="550">
        <f t="shared" si="163"/>
        <v>0.84404856527078032</v>
      </c>
      <c r="DO188" s="551">
        <f t="shared" si="164"/>
        <v>48617.197359596947</v>
      </c>
      <c r="DR188" s="547">
        <f>'Hilfstabellen_Mat&amp;Bem'!$J$63</f>
        <v>4</v>
      </c>
      <c r="DS188" s="546">
        <f t="shared" si="165"/>
        <v>240</v>
      </c>
      <c r="DT188" s="551">
        <f t="shared" si="166"/>
        <v>57.735026918962575</v>
      </c>
      <c r="DU188" s="553">
        <f>DT188/PI()*SQRT('Hilfstabellen_Mat&amp;Bem'!f.Rd.3/'Hilfstabellen_Mat&amp;Bem'!$BD$30)</f>
        <v>0.91888149236965355</v>
      </c>
      <c r="DV188" s="553">
        <f>0.5*(1+'Hilfstabellen_Mat&amp;Bem'!$BD$31*(DU188-0.3)+DU188^2)</f>
        <v>0.95311567312822354</v>
      </c>
      <c r="DW188" s="550">
        <f t="shared" si="167"/>
        <v>0.8290029172295762</v>
      </c>
      <c r="DY188" s="551">
        <f t="shared" si="168"/>
        <v>47750.568032423587</v>
      </c>
      <c r="EB188" s="547">
        <f>'Hilfstabellen_Mat&amp;Bem'!$J$64</f>
        <v>4.0999999999999996</v>
      </c>
      <c r="EC188" s="546">
        <f t="shared" si="169"/>
        <v>240</v>
      </c>
      <c r="ED188" s="551">
        <f t="shared" si="170"/>
        <v>59.178402591936631</v>
      </c>
      <c r="EE188" s="553">
        <f>ED188/PI()*SQRT('Hilfstabellen_Mat&amp;Bem'!f.Rd.3/'Hilfstabellen_Mat&amp;Bem'!$BD$30)</f>
        <v>0.94185352967889457</v>
      </c>
      <c r="EF188" s="553">
        <f>0.5*(1+'Hilfstabellen_Mat&amp;Bem'!$BD$31*(EE188-0.3)+EE188^2)</f>
        <v>0.97563671216824099</v>
      </c>
      <c r="EG188" s="550">
        <f t="shared" si="171"/>
        <v>0.81290651648732437</v>
      </c>
      <c r="EI188" s="551">
        <f t="shared" si="172"/>
        <v>46823.415349669885</v>
      </c>
      <c r="EL188" s="547">
        <f>'Hilfstabellen_Mat&amp;Bem'!$J$65</f>
        <v>4.2</v>
      </c>
      <c r="EM188" s="546">
        <f t="shared" si="173"/>
        <v>240</v>
      </c>
      <c r="EN188" s="551">
        <f t="shared" si="174"/>
        <v>60.621778264910702</v>
      </c>
      <c r="EO188" s="553">
        <f>EN188/PI()*SQRT('Hilfstabellen_Mat&amp;Bem'!f.Rd.3/'Hilfstabellen_Mat&amp;Bem'!$BD$30)</f>
        <v>0.96482556698813604</v>
      </c>
      <c r="EP188" s="553">
        <f>0.5*(1+'Hilfstabellen_Mat&amp;Bem'!$BD$31*(EO188-0.3)+EO188^2)</f>
        <v>0.99868546570639594</v>
      </c>
      <c r="EQ188" s="550">
        <f t="shared" si="175"/>
        <v>0.79584192812715104</v>
      </c>
      <c r="ES188" s="551">
        <f t="shared" si="176"/>
        <v>45840.495060123903</v>
      </c>
    </row>
    <row r="189" spans="3:149">
      <c r="C189" s="546">
        <v>241</v>
      </c>
      <c r="D189" s="551">
        <f t="shared" si="131"/>
        <v>40.246823744339054</v>
      </c>
      <c r="E189" s="553">
        <f>$D189/PI()*SQRT('Hilfstabellen_Mat&amp;Bem'!f.Rd.3/'Hilfstabellen_Mat&amp;Bem'!$BD$30)</f>
        <v>0.64054809426598247</v>
      </c>
      <c r="F189" s="553">
        <f>0.5*(1+'Hilfstabellen_Mat&amp;Bem'!$BD$31*($E189-0.3)+$E189^2)</f>
        <v>0.72217833524719011</v>
      </c>
      <c r="G189" s="550">
        <f t="shared" si="132"/>
        <v>0.9472347824171089</v>
      </c>
      <c r="I189" s="551">
        <f t="shared" si="177"/>
        <v>55016.343397568104</v>
      </c>
      <c r="M189" s="546">
        <f t="shared" si="133"/>
        <v>241</v>
      </c>
      <c r="N189" s="551">
        <f t="shared" si="123"/>
        <v>41.684210306636878</v>
      </c>
      <c r="O189" s="553">
        <f>$N189/PI()*SQRT('Hilfstabellen_Mat&amp;Bem'!f.Rd.3/'Hilfstabellen_Mat&amp;Bem'!$BD$30)</f>
        <v>0.66342481191833902</v>
      </c>
      <c r="P189" s="553">
        <f>0.5*(1+'Hilfstabellen_Mat&amp;Bem'!$BD$31*($O189-0.3)+$O189^2)</f>
        <v>0.7382374811303587</v>
      </c>
      <c r="Q189" s="550">
        <f t="shared" si="124"/>
        <v>0.9415649200194478</v>
      </c>
      <c r="S189" s="551">
        <f t="shared" si="178"/>
        <v>54687.03211964955</v>
      </c>
      <c r="W189" s="546">
        <f t="shared" si="134"/>
        <v>241</v>
      </c>
      <c r="X189" s="551">
        <f t="shared" si="125"/>
        <v>43.121596868934702</v>
      </c>
      <c r="Y189" s="553">
        <f>$X189/PI()*SQRT('Hilfstabellen_Mat&amp;Bem'!f.Rd.3/'Hilfstabellen_Mat&amp;Bem'!$BD$30)</f>
        <v>0.68630152957069557</v>
      </c>
      <c r="Z189" s="553">
        <f>0.5*(1+'Hilfstabellen_Mat&amp;Bem'!$BD$31*($Y189-0.3)+$Y189^2)</f>
        <v>0.75481997122407296</v>
      </c>
      <c r="AA189" s="550">
        <f t="shared" si="126"/>
        <v>0.93540592187991689</v>
      </c>
      <c r="AC189" s="551">
        <f t="shared" si="179"/>
        <v>54329.311348707452</v>
      </c>
      <c r="AG189" s="546">
        <f t="shared" si="135"/>
        <v>241</v>
      </c>
      <c r="AH189" s="551">
        <f t="shared" si="127"/>
        <v>44.558983431232527</v>
      </c>
      <c r="AI189" s="553">
        <f>$AH189/PI()*SQRT('Hilfstabellen_Mat&amp;Bem'!f.Rd.3/'Hilfstabellen_Mat&amp;Bem'!$BD$30)</f>
        <v>0.70917824722305201</v>
      </c>
      <c r="AJ189" s="553">
        <f>0.5*(1+'Hilfstabellen_Mat&amp;Bem'!$BD$31*($AI189-0.3)+$AI189^2)</f>
        <v>0.77192580552833268</v>
      </c>
      <c r="AK189" s="550">
        <f t="shared" si="128"/>
        <v>0.92869540215951352</v>
      </c>
      <c r="AM189" s="551">
        <f t="shared" si="180"/>
        <v>53939.557652826705</v>
      </c>
      <c r="AQ189" s="546">
        <f t="shared" si="136"/>
        <v>241</v>
      </c>
      <c r="AR189" s="551">
        <f t="shared" si="129"/>
        <v>45.996369993530351</v>
      </c>
      <c r="AS189" s="553">
        <f>$AR189/PI()*SQRT('Hilfstabellen_Mat&amp;Bem'!f.Rd.3/'Hilfstabellen_Mat&amp;Bem'!$BD$30)</f>
        <v>0.73205496487540866</v>
      </c>
      <c r="AT189" s="553">
        <f>0.5*(1+'Hilfstabellen_Mat&amp;Bem'!$BD$31*($AS189-0.3)+$AS189^2)</f>
        <v>0.78955498404313829</v>
      </c>
      <c r="AU189" s="550">
        <f t="shared" si="130"/>
        <v>0.92136477213138057</v>
      </c>
      <c r="AW189" s="551">
        <f t="shared" si="181"/>
        <v>53513.787330162711</v>
      </c>
      <c r="AZ189" s="547">
        <f>'Hilfstabellen_Mat&amp;Bem'!$J$56</f>
        <v>3.3</v>
      </c>
      <c r="BA189" s="546">
        <f t="shared" si="137"/>
        <v>241</v>
      </c>
      <c r="BB189" s="551">
        <f t="shared" si="138"/>
        <v>47.433756555828168</v>
      </c>
      <c r="BC189" s="553">
        <f>BB189/PI()*SQRT('Hilfstabellen_Mat&amp;Bem'!f.Rd.3/'Hilfstabellen_Mat&amp;Bem'!$BD$30)</f>
        <v>0.75493168252776499</v>
      </c>
      <c r="BD189" s="553">
        <f>0.5*(1+'Hilfstabellen_Mat&amp;Bem'!$BD$31*(BC189-0.3)+BC189^2)</f>
        <v>0.80770750676848935</v>
      </c>
      <c r="BE189" s="550">
        <f t="shared" si="139"/>
        <v>0.91333987873119948</v>
      </c>
      <c r="BG189" s="551">
        <f t="shared" si="140"/>
        <v>53047.693496586799</v>
      </c>
      <c r="BJ189" s="547">
        <f>'Hilfstabellen_Mat&amp;Bem'!$J$57</f>
        <v>3.4</v>
      </c>
      <c r="BK189" s="546">
        <f t="shared" si="141"/>
        <v>241</v>
      </c>
      <c r="BL189" s="551">
        <f t="shared" si="142"/>
        <v>48.871143118125993</v>
      </c>
      <c r="BM189" s="553">
        <f>BL189/PI()*SQRT('Hilfstabellen_Mat&amp;Bem'!f.Rd.3/'Hilfstabellen_Mat&amp;Bem'!$BD$30)</f>
        <v>0.77780840018012154</v>
      </c>
      <c r="BN189" s="553">
        <f>0.5*(1+'Hilfstabellen_Mat&amp;Bem'!$BD$31*(BM189-0.3)+BM189^2)</f>
        <v>0.82638337370438619</v>
      </c>
      <c r="BO189" s="550">
        <f t="shared" si="143"/>
        <v>0.90454244645273962</v>
      </c>
      <c r="BQ189" s="551">
        <f t="shared" si="144"/>
        <v>52536.729832421574</v>
      </c>
      <c r="BT189" s="547">
        <f>'Hilfstabellen_Mat&amp;Bem'!$J$58</f>
        <v>3.5</v>
      </c>
      <c r="BU189" s="546">
        <f t="shared" si="145"/>
        <v>241</v>
      </c>
      <c r="BV189" s="551">
        <f t="shared" si="146"/>
        <v>50.308529680423817</v>
      </c>
      <c r="BW189" s="553">
        <f>BV189/PI()*SQRT('Hilfstabellen_Mat&amp;Bem'!f.Rd.3/'Hilfstabellen_Mat&amp;Bem'!$BD$30)</f>
        <v>0.80068511783247809</v>
      </c>
      <c r="BX189" s="553">
        <f>0.5*(1+'Hilfstabellen_Mat&amp;Bem'!$BD$31*(BW189-0.3)+BW189^2)</f>
        <v>0.84558258485082849</v>
      </c>
      <c r="BY189" s="550">
        <f t="shared" si="147"/>
        <v>0.89489262536531922</v>
      </c>
      <c r="CA189" s="551">
        <f t="shared" si="148"/>
        <v>51976.258573843108</v>
      </c>
      <c r="CD189" s="547">
        <f>'Hilfstabellen_Mat&amp;Bem'!$J$59</f>
        <v>3.6</v>
      </c>
      <c r="CE189" s="546">
        <f t="shared" si="149"/>
        <v>241</v>
      </c>
      <c r="CF189" s="551">
        <f t="shared" si="150"/>
        <v>51.745916242721641</v>
      </c>
      <c r="CG189" s="553">
        <f>CF189/PI()*SQRT('Hilfstabellen_Mat&amp;Bem'!f.Rd.3/'Hilfstabellen_Mat&amp;Bem'!$BD$30)</f>
        <v>0.82356183548483453</v>
      </c>
      <c r="CH189" s="553">
        <f>0.5*(1+'Hilfstabellen_Mat&amp;Bem'!$BD$31*(CG189-0.3)+CG189^2)</f>
        <v>0.86530514020781646</v>
      </c>
      <c r="CI189" s="550">
        <f t="shared" si="151"/>
        <v>0.88431293602885253</v>
      </c>
      <c r="CK189" s="551">
        <f t="shared" si="152"/>
        <v>51361.779637491782</v>
      </c>
      <c r="CN189" s="547">
        <f>'Hilfstabellen_Mat&amp;Bem'!$J$60</f>
        <v>3.7</v>
      </c>
      <c r="CO189" s="546">
        <f t="shared" si="153"/>
        <v>241</v>
      </c>
      <c r="CP189" s="551">
        <f t="shared" si="154"/>
        <v>53.183302805019466</v>
      </c>
      <c r="CQ189" s="553">
        <f>CP189/PI()*SQRT('Hilfstabellen_Mat&amp;Bem'!f.Rd.3/'Hilfstabellen_Mat&amp;Bem'!$BD$30)</f>
        <v>0.84643855313719107</v>
      </c>
      <c r="CR189" s="553">
        <f>0.5*(1+'Hilfstabellen_Mat&amp;Bem'!$BD$31*(CQ189-0.3)+CQ189^2)</f>
        <v>0.88555103977535032</v>
      </c>
      <c r="CS189" s="550">
        <f t="shared" si="155"/>
        <v>0.87273378750595298</v>
      </c>
      <c r="CU189" s="551">
        <f t="shared" si="156"/>
        <v>50689.251112133257</v>
      </c>
      <c r="CX189" s="547">
        <f>'Hilfstabellen_Mat&amp;Bem'!$J$61</f>
        <v>3.8</v>
      </c>
      <c r="CY189" s="546">
        <f t="shared" si="157"/>
        <v>241</v>
      </c>
      <c r="CZ189" s="551">
        <f t="shared" si="158"/>
        <v>54.62068936731729</v>
      </c>
      <c r="DA189" s="553">
        <f>CZ189/PI()*SQRT('Hilfstabellen_Mat&amp;Bem'!f.Rd.3/'Hilfstabellen_Mat&amp;Bem'!$BD$30)</f>
        <v>0.86931527078954773</v>
      </c>
      <c r="DB189" s="553">
        <f>0.5*(1+'Hilfstabellen_Mat&amp;Bem'!$BD$31*(DA189-0.3)+DA189^2)</f>
        <v>0.90632028355342975</v>
      </c>
      <c r="DC189" s="550">
        <f t="shared" si="159"/>
        <v>0.86010047544859891</v>
      </c>
      <c r="DE189" s="551">
        <f t="shared" si="160"/>
        <v>49955.495714530072</v>
      </c>
      <c r="DH189" s="547">
        <f>'Hilfstabellen_Mat&amp;Bem'!$J$62</f>
        <v>3.9</v>
      </c>
      <c r="DI189" s="546">
        <f t="shared" si="161"/>
        <v>241</v>
      </c>
      <c r="DJ189" s="551">
        <f t="shared" si="162"/>
        <v>56.058075929615107</v>
      </c>
      <c r="DK189" s="553">
        <f>DJ189/PI()*SQRT('Hilfstabellen_Mat&amp;Bem'!f.Rd.3/'Hilfstabellen_Mat&amp;Bem'!$BD$30)</f>
        <v>0.89219198844190406</v>
      </c>
      <c r="DL189" s="553">
        <f>0.5*(1+'Hilfstabellen_Mat&amp;Bem'!$BD$31*(DK189-0.3)+DK189^2)</f>
        <v>0.92761287154205452</v>
      </c>
      <c r="DM189" s="550">
        <f t="shared" si="163"/>
        <v>0.84638112391252807</v>
      </c>
      <c r="DO189" s="551">
        <f t="shared" si="164"/>
        <v>49158.662057963542</v>
      </c>
      <c r="DR189" s="547">
        <f>'Hilfstabellen_Mat&amp;Bem'!$J$63</f>
        <v>4</v>
      </c>
      <c r="DS189" s="546">
        <f t="shared" si="165"/>
        <v>241</v>
      </c>
      <c r="DT189" s="551">
        <f t="shared" si="166"/>
        <v>57.495462491912939</v>
      </c>
      <c r="DU189" s="553">
        <f>DT189/PI()*SQRT('Hilfstabellen_Mat&amp;Bem'!f.Rd.3/'Hilfstabellen_Mat&amp;Bem'!$BD$30)</f>
        <v>0.91506870609426072</v>
      </c>
      <c r="DV189" s="553">
        <f>0.5*(1+'Hilfstabellen_Mat&amp;Bem'!$BD$31*(DU189-0.3)+DU189^2)</f>
        <v>0.94942880374122529</v>
      </c>
      <c r="DW189" s="550">
        <f t="shared" si="167"/>
        <v>0.83157448311679505</v>
      </c>
      <c r="DY189" s="551">
        <f t="shared" si="168"/>
        <v>48298.677553906571</v>
      </c>
      <c r="EB189" s="547">
        <f>'Hilfstabellen_Mat&amp;Bem'!$J$64</f>
        <v>4.0999999999999996</v>
      </c>
      <c r="EC189" s="546">
        <f t="shared" si="169"/>
        <v>241</v>
      </c>
      <c r="ED189" s="551">
        <f t="shared" si="170"/>
        <v>58.932849054210756</v>
      </c>
      <c r="EE189" s="553">
        <f>ED189/PI()*SQRT('Hilfstabellen_Mat&amp;Bem'!f.Rd.3/'Hilfstabellen_Mat&amp;Bem'!$BD$30)</f>
        <v>0.93794542374661705</v>
      </c>
      <c r="EF189" s="553">
        <f>0.5*(1+'Hilfstabellen_Mat&amp;Bem'!$BD$31*(EE189-0.3)+EE189^2)</f>
        <v>0.9717680801509414</v>
      </c>
      <c r="EG189" s="550">
        <f t="shared" si="171"/>
        <v>0.81571602652613262</v>
      </c>
      <c r="EI189" s="551">
        <f t="shared" si="172"/>
        <v>47377.602536664308</v>
      </c>
      <c r="EL189" s="547">
        <f>'Hilfstabellen_Mat&amp;Bem'!$J$65</f>
        <v>4.2</v>
      </c>
      <c r="EM189" s="546">
        <f t="shared" si="173"/>
        <v>241</v>
      </c>
      <c r="EN189" s="551">
        <f t="shared" si="174"/>
        <v>60.37023561650858</v>
      </c>
      <c r="EO189" s="553">
        <f>EN189/PI()*SQRT('Hilfstabellen_Mat&amp;Bem'!f.Rd.3/'Hilfstabellen_Mat&amp;Bem'!$BD$30)</f>
        <v>0.96082214139897371</v>
      </c>
      <c r="EP189" s="553">
        <f>0.5*(1+'Hilfstabellen_Mat&amp;Bem'!$BD$31*(EO189-0.3)+EO189^2)</f>
        <v>0.99463070077120341</v>
      </c>
      <c r="EQ189" s="550">
        <f t="shared" si="175"/>
        <v>0.79888068529128697</v>
      </c>
      <c r="ES189" s="551">
        <f t="shared" si="176"/>
        <v>46399.789082403237</v>
      </c>
    </row>
    <row r="190" spans="3:149">
      <c r="C190" s="546">
        <v>242</v>
      </c>
      <c r="D190" s="551">
        <f t="shared" si="131"/>
        <v>40.08051455531286</v>
      </c>
      <c r="E190" s="553">
        <f>$D190/PI()*SQRT('Hilfstabellen_Mat&amp;Bem'!f.Rd.3/'Hilfstabellen_Mat&amp;Bem'!$BD$30)</f>
        <v>0.63790120131447015</v>
      </c>
      <c r="F190" s="553">
        <f>0.5*(1+'Hilfstabellen_Mat&amp;Bem'!$BD$31*($E190-0.3)+$E190^2)</f>
        <v>0.72035403138494558</v>
      </c>
      <c r="G190" s="550">
        <f t="shared" si="132"/>
        <v>0.94786184373504134</v>
      </c>
      <c r="I190" s="551">
        <f t="shared" si="177"/>
        <v>55510.58101649896</v>
      </c>
      <c r="M190" s="546">
        <f t="shared" si="133"/>
        <v>242</v>
      </c>
      <c r="N190" s="551">
        <f t="shared" si="123"/>
        <v>41.51196150371689</v>
      </c>
      <c r="O190" s="553">
        <f>$N190/PI()*SQRT('Hilfstabellen_Mat&amp;Bem'!f.Rd.3/'Hilfstabellen_Mat&amp;Bem'!$BD$30)</f>
        <v>0.66068338707570129</v>
      </c>
      <c r="P190" s="553">
        <f>0.5*(1+'Hilfstabellen_Mat&amp;Bem'!$BD$31*($O190-0.3)+$O190^2)</f>
        <v>0.73628543833269555</v>
      </c>
      <c r="Q190" s="550">
        <f t="shared" si="124"/>
        <v>0.94226900005195591</v>
      </c>
      <c r="S190" s="551">
        <f t="shared" si="178"/>
        <v>55183.041719042747</v>
      </c>
      <c r="W190" s="546">
        <f t="shared" si="134"/>
        <v>242</v>
      </c>
      <c r="X190" s="551">
        <f t="shared" si="125"/>
        <v>42.943408452120927</v>
      </c>
      <c r="Y190" s="553">
        <f>$X190/PI()*SQRT('Hilfstabellen_Mat&amp;Bem'!f.Rd.3/'Hilfstabellen_Mat&amp;Bem'!$BD$30)</f>
        <v>0.68346557283693243</v>
      </c>
      <c r="Z190" s="553">
        <f>0.5*(1+'Hilfstabellen_Mat&amp;Bem'!$BD$31*($Y190-0.3)+$Y190^2)</f>
        <v>0.75273587326850466</v>
      </c>
      <c r="AA190" s="550">
        <f t="shared" si="126"/>
        <v>0.93619805184760674</v>
      </c>
      <c r="AC190" s="551">
        <f t="shared" si="179"/>
        <v>54827.502708403241</v>
      </c>
      <c r="AG190" s="546">
        <f t="shared" si="135"/>
        <v>242</v>
      </c>
      <c r="AH190" s="551">
        <f t="shared" si="127"/>
        <v>44.374855400524957</v>
      </c>
      <c r="AI190" s="553">
        <f>$AH190/PI()*SQRT('Hilfstabellen_Mat&amp;Bem'!f.Rd.3/'Hilfstabellen_Mat&amp;Bem'!$BD$30)</f>
        <v>0.70624775859816347</v>
      </c>
      <c r="AJ190" s="553">
        <f>0.5*(1+'Hilfstabellen_Mat&amp;Bem'!$BD$31*($AI190-0.3)+$AI190^2)</f>
        <v>0.76970533619237314</v>
      </c>
      <c r="AK190" s="550">
        <f t="shared" si="128"/>
        <v>0.92958814514660326</v>
      </c>
      <c r="AM190" s="551">
        <f t="shared" si="180"/>
        <v>54440.40013236567</v>
      </c>
      <c r="AQ190" s="546">
        <f t="shared" si="136"/>
        <v>242</v>
      </c>
      <c r="AR190" s="551">
        <f t="shared" si="129"/>
        <v>45.806302348928988</v>
      </c>
      <c r="AS190" s="553">
        <f>$AR190/PI()*SQRT('Hilfstabellen_Mat&amp;Bem'!f.Rd.3/'Hilfstabellen_Mat&amp;Bem'!$BD$30)</f>
        <v>0.7290299443593945</v>
      </c>
      <c r="AT190" s="553">
        <f>0.5*(1+'Hilfstabellen_Mat&amp;Bem'!$BD$31*($AS190-0.3)+$AS190^2)</f>
        <v>0.78719382710430064</v>
      </c>
      <c r="AU190" s="550">
        <f t="shared" si="130"/>
        <v>0.9223722881607227</v>
      </c>
      <c r="AW190" s="551">
        <f t="shared" si="181"/>
        <v>54017.810683844567</v>
      </c>
      <c r="AZ190" s="547">
        <f>'Hilfstabellen_Mat&amp;Bem'!$J$56</f>
        <v>3.3</v>
      </c>
      <c r="BA190" s="546">
        <f t="shared" si="137"/>
        <v>242</v>
      </c>
      <c r="BB190" s="551">
        <f t="shared" si="138"/>
        <v>47.237749297333018</v>
      </c>
      <c r="BC190" s="553">
        <f>BB190/PI()*SQRT('Hilfstabellen_Mat&amp;Bem'!f.Rd.3/'Hilfstabellen_Mat&amp;Bem'!$BD$30)</f>
        <v>0.75181213012062553</v>
      </c>
      <c r="BD190" s="553">
        <f>0.5*(1+'Hilfstabellen_Mat&amp;Bem'!$BD$31*(BC190-0.3)+BC190^2)</f>
        <v>0.8052013460042875</v>
      </c>
      <c r="BE190" s="550">
        <f t="shared" si="139"/>
        <v>0.91447789649307298</v>
      </c>
      <c r="BG190" s="551">
        <f t="shared" si="140"/>
        <v>53555.483530220328</v>
      </c>
      <c r="BJ190" s="547">
        <f>'Hilfstabellen_Mat&amp;Bem'!$J$57</f>
        <v>3.4</v>
      </c>
      <c r="BK190" s="546">
        <f t="shared" si="141"/>
        <v>242</v>
      </c>
      <c r="BL190" s="551">
        <f t="shared" si="142"/>
        <v>48.669196245737048</v>
      </c>
      <c r="BM190" s="553">
        <f>BL190/PI()*SQRT('Hilfstabellen_Mat&amp;Bem'!f.Rd.3/'Hilfstabellen_Mat&amp;Bem'!$BD$30)</f>
        <v>0.77459431588185668</v>
      </c>
      <c r="BN190" s="553">
        <f>0.5*(1+'Hilfstabellen_Mat&amp;Bem'!$BD$31*(BM190-0.3)+BM190^2)</f>
        <v>0.82372789289233372</v>
      </c>
      <c r="BO190" s="550">
        <f t="shared" si="143"/>
        <v>0.90582808627426281</v>
      </c>
      <c r="BQ190" s="551">
        <f t="shared" si="144"/>
        <v>53048.916044565929</v>
      </c>
      <c r="BT190" s="547">
        <f>'Hilfstabellen_Mat&amp;Bem'!$J$58</f>
        <v>3.5</v>
      </c>
      <c r="BU190" s="546">
        <f t="shared" si="145"/>
        <v>242</v>
      </c>
      <c r="BV190" s="551">
        <f t="shared" si="146"/>
        <v>50.100643194141078</v>
      </c>
      <c r="BW190" s="553">
        <f>BV190/PI()*SQRT('Hilfstabellen_Mat&amp;Bem'!f.Rd.3/'Hilfstabellen_Mat&amp;Bem'!$BD$30)</f>
        <v>0.79737650164308782</v>
      </c>
      <c r="BX190" s="553">
        <f>0.5*(1+'Hilfstabellen_Mat&amp;Bem'!$BD$31*(BW190-0.3)+BW190^2)</f>
        <v>0.84277346776843898</v>
      </c>
      <c r="BY190" s="550">
        <f t="shared" si="147"/>
        <v>0.89634400634052624</v>
      </c>
      <c r="CA190" s="551">
        <f t="shared" si="148"/>
        <v>52493.490387326579</v>
      </c>
      <c r="CD190" s="547">
        <f>'Hilfstabellen_Mat&amp;Bem'!$J$59</f>
        <v>3.6</v>
      </c>
      <c r="CE190" s="546">
        <f t="shared" si="149"/>
        <v>242</v>
      </c>
      <c r="CF190" s="551">
        <f t="shared" si="150"/>
        <v>51.532090142545108</v>
      </c>
      <c r="CG190" s="553">
        <f>CF190/PI()*SQRT('Hilfstabellen_Mat&amp;Bem'!f.Rd.3/'Hilfstabellen_Mat&amp;Bem'!$BD$30)</f>
        <v>0.82015868740431874</v>
      </c>
      <c r="CH190" s="553">
        <f>0.5*(1+'Hilfstabellen_Mat&amp;Bem'!$BD$31*(CG190-0.3)+CG190^2)</f>
        <v>0.86233807063260348</v>
      </c>
      <c r="CI190" s="550">
        <f t="shared" si="151"/>
        <v>0.88594849831842859</v>
      </c>
      <c r="CK190" s="551">
        <f t="shared" si="152"/>
        <v>51884.687855520453</v>
      </c>
      <c r="CN190" s="547">
        <f>'Hilfstabellen_Mat&amp;Bem'!$J$60</f>
        <v>3.7</v>
      </c>
      <c r="CO190" s="546">
        <f t="shared" si="153"/>
        <v>242</v>
      </c>
      <c r="CP190" s="551">
        <f t="shared" si="154"/>
        <v>52.963537090949139</v>
      </c>
      <c r="CQ190" s="553">
        <f>CP190/PI()*SQRT('Hilfstabellen_Mat&amp;Bem'!f.Rd.3/'Hilfstabellen_Mat&amp;Bem'!$BD$30)</f>
        <v>0.84294087316554978</v>
      </c>
      <c r="CR190" s="553">
        <f>0.5*(1+'Hilfstabellen_Mat&amp;Bem'!$BD$31*(CQ190-0.3)+CQ190^2)</f>
        <v>0.88242170148482724</v>
      </c>
      <c r="CS190" s="550">
        <f t="shared" si="155"/>
        <v>0.87457127948691837</v>
      </c>
      <c r="CU190" s="551">
        <f t="shared" si="156"/>
        <v>51218.392411871886</v>
      </c>
      <c r="CX190" s="547">
        <f>'Hilfstabellen_Mat&amp;Bem'!$J$61</f>
        <v>3.8</v>
      </c>
      <c r="CY190" s="546">
        <f t="shared" si="157"/>
        <v>242</v>
      </c>
      <c r="CZ190" s="551">
        <f t="shared" si="158"/>
        <v>54.394984039353169</v>
      </c>
      <c r="DA190" s="553">
        <f>CZ190/PI()*SQRT('Hilfstabellen_Mat&amp;Bem'!f.Rd.3/'Hilfstabellen_Mat&amp;Bem'!$BD$30)</f>
        <v>0.86572305892678103</v>
      </c>
      <c r="DB190" s="553">
        <f>0.5*(1+'Hilfstabellen_Mat&amp;Bem'!$BD$31*(DA190-0.3)+DA190^2)</f>
        <v>0.90302436032511046</v>
      </c>
      <c r="DC190" s="550">
        <f t="shared" si="159"/>
        <v>0.86215560630205168</v>
      </c>
      <c r="DE190" s="551">
        <f t="shared" si="160"/>
        <v>50491.280927473352</v>
      </c>
      <c r="DH190" s="547">
        <f>'Hilfstabellen_Mat&amp;Bem'!$J$62</f>
        <v>3.9</v>
      </c>
      <c r="DI190" s="546">
        <f t="shared" si="161"/>
        <v>242</v>
      </c>
      <c r="DJ190" s="551">
        <f t="shared" si="162"/>
        <v>55.826430987757199</v>
      </c>
      <c r="DK190" s="553">
        <f>DJ190/PI()*SQRT('Hilfstabellen_Mat&amp;Bem'!f.Rd.3/'Hilfstabellen_Mat&amp;Bem'!$BD$30)</f>
        <v>0.88850524468801206</v>
      </c>
      <c r="DL190" s="553">
        <f>0.5*(1+'Hilfstabellen_Mat&amp;Bem'!$BD$31*(DK190-0.3)+DK190^2)</f>
        <v>0.92414604715345261</v>
      </c>
      <c r="DM190" s="550">
        <f t="shared" si="163"/>
        <v>0.84866597042254555</v>
      </c>
      <c r="DO190" s="551">
        <f t="shared" si="164"/>
        <v>49701.273891825957</v>
      </c>
      <c r="DR190" s="547">
        <f>'Hilfstabellen_Mat&amp;Bem'!$J$63</f>
        <v>4</v>
      </c>
      <c r="DS190" s="546">
        <f t="shared" si="165"/>
        <v>242</v>
      </c>
      <c r="DT190" s="551">
        <f t="shared" si="166"/>
        <v>57.257877936161222</v>
      </c>
      <c r="DU190" s="553">
        <f>DT190/PI()*SQRT('Hilfstabellen_Mat&amp;Bem'!f.Rd.3/'Hilfstabellen_Mat&amp;Bem'!$BD$30)</f>
        <v>0.91128743044924299</v>
      </c>
      <c r="DV190" s="553">
        <f>0.5*(1+'Hilfstabellen_Mat&amp;Bem'!$BD$31*(DU190-0.3)+DU190^2)</f>
        <v>0.94578676196985412</v>
      </c>
      <c r="DW190" s="550">
        <f t="shared" si="167"/>
        <v>0.83409585206651693</v>
      </c>
      <c r="DY190" s="551">
        <f t="shared" si="168"/>
        <v>48847.989480423501</v>
      </c>
      <c r="EB190" s="547">
        <f>'Hilfstabellen_Mat&amp;Bem'!$J$64</f>
        <v>4.0999999999999996</v>
      </c>
      <c r="EC190" s="546">
        <f t="shared" si="169"/>
        <v>242</v>
      </c>
      <c r="ED190" s="551">
        <f t="shared" si="170"/>
        <v>58.689324884565259</v>
      </c>
      <c r="EE190" s="553">
        <f>ED190/PI()*SQRT('Hilfstabellen_Mat&amp;Bem'!f.Rd.3/'Hilfstabellen_Mat&amp;Bem'!$BD$30)</f>
        <v>0.93406961621047424</v>
      </c>
      <c r="EF190" s="553">
        <f>0.5*(1+'Hilfstabellen_Mat&amp;Bem'!$BD$31*(EE190-0.3)+EE190^2)</f>
        <v>0.96794650477431499</v>
      </c>
      <c r="EG190" s="550">
        <f t="shared" si="171"/>
        <v>0.81847407245436743</v>
      </c>
      <c r="EI190" s="551">
        <f t="shared" si="172"/>
        <v>47933.115579217578</v>
      </c>
      <c r="EL190" s="547">
        <f>'Hilfstabellen_Mat&amp;Bem'!$J$65</f>
        <v>4.2</v>
      </c>
      <c r="EM190" s="546">
        <f t="shared" si="173"/>
        <v>242</v>
      </c>
      <c r="EN190" s="551">
        <f t="shared" si="174"/>
        <v>60.120771832969297</v>
      </c>
      <c r="EO190" s="553">
        <f>EN190/PI()*SQRT('Hilfstabellen_Mat&amp;Bem'!f.Rd.3/'Hilfstabellen_Mat&amp;Bem'!$BD$30)</f>
        <v>0.95685180197170527</v>
      </c>
      <c r="EP190" s="553">
        <f>0.5*(1+'Hilfstabellen_Mat&amp;Bem'!$BD$31*(EO190-0.3)+EO190^2)</f>
        <v>0.990625275566835</v>
      </c>
      <c r="EQ190" s="550">
        <f t="shared" si="175"/>
        <v>0.80186811120398915</v>
      </c>
      <c r="ES190" s="551">
        <f t="shared" si="176"/>
        <v>46960.604064550418</v>
      </c>
    </row>
    <row r="191" spans="3:149">
      <c r="C191" s="546">
        <v>243</v>
      </c>
      <c r="D191" s="551">
        <f t="shared" si="131"/>
        <v>39.91557416619635</v>
      </c>
      <c r="E191" s="553">
        <f>$D191/PI()*SQRT('Hilfstabellen_Mat&amp;Bem'!f.Rd.3/'Hilfstabellen_Mat&amp;Bem'!$BD$30)</f>
        <v>0.63527609349013092</v>
      </c>
      <c r="F191" s="553">
        <f>0.5*(1+'Hilfstabellen_Mat&amp;Bem'!$BD$31*($E191-0.3)+$E191^2)</f>
        <v>0.71855166215454735</v>
      </c>
      <c r="G191" s="550">
        <f t="shared" si="132"/>
        <v>0.94847810504484742</v>
      </c>
      <c r="I191" s="551">
        <f t="shared" si="177"/>
        <v>56006.683624793193</v>
      </c>
      <c r="M191" s="546">
        <f t="shared" si="133"/>
        <v>243</v>
      </c>
      <c r="N191" s="551">
        <f t="shared" si="123"/>
        <v>41.341130386417646</v>
      </c>
      <c r="O191" s="553">
        <f>$N191/PI()*SQRT('Hilfstabellen_Mat&amp;Bem'!f.Rd.3/'Hilfstabellen_Mat&amp;Bem'!$BD$30)</f>
        <v>0.65796452540049266</v>
      </c>
      <c r="P191" s="553">
        <f>0.5*(1+'Hilfstabellen_Mat&amp;Bem'!$BD$31*($O191-0.3)+$O191^2)</f>
        <v>0.73435688461277249</v>
      </c>
      <c r="Q191" s="550">
        <f t="shared" si="124"/>
        <v>0.94296045460988409</v>
      </c>
      <c r="S191" s="551">
        <f t="shared" si="178"/>
        <v>55680.871884259046</v>
      </c>
      <c r="W191" s="546">
        <f t="shared" si="134"/>
        <v>243</v>
      </c>
      <c r="X191" s="551">
        <f t="shared" si="125"/>
        <v>42.766686606638942</v>
      </c>
      <c r="Y191" s="553">
        <f>$X191/PI()*SQRT('Hilfstabellen_Mat&amp;Bem'!f.Rd.3/'Hilfstabellen_Mat&amp;Bem'!$BD$30)</f>
        <v>0.6806529573108544</v>
      </c>
      <c r="Z191" s="553">
        <f>0.5*(1+'Hilfstabellen_Mat&amp;Bem'!$BD$31*($Y191-0.3)+$Y191^2)</f>
        <v>0.7506768720135486</v>
      </c>
      <c r="AA191" s="550">
        <f t="shared" si="126"/>
        <v>0.93697542101838738</v>
      </c>
      <c r="AC191" s="551">
        <f t="shared" si="179"/>
        <v>55327.461635714753</v>
      </c>
      <c r="AG191" s="546">
        <f t="shared" si="135"/>
        <v>243</v>
      </c>
      <c r="AH191" s="551">
        <f t="shared" si="127"/>
        <v>44.192242826860237</v>
      </c>
      <c r="AI191" s="553">
        <f>$AH191/PI()*SQRT('Hilfstabellen_Mat&amp;Bem'!f.Rd.3/'Hilfstabellen_Mat&amp;Bem'!$BD$30)</f>
        <v>0.70334138922121614</v>
      </c>
      <c r="AJ191" s="553">
        <f>0.5*(1+'Hilfstabellen_Mat&amp;Bem'!$BD$31*($AI191-0.3)+$AI191^2)</f>
        <v>0.76751162435687603</v>
      </c>
      <c r="AK191" s="550">
        <f t="shared" si="128"/>
        <v>0.93046364514422109</v>
      </c>
      <c r="AM191" s="551">
        <f t="shared" si="180"/>
        <v>54942.947782121111</v>
      </c>
      <c r="AQ191" s="546">
        <f t="shared" si="136"/>
        <v>243</v>
      </c>
      <c r="AR191" s="551">
        <f t="shared" si="129"/>
        <v>45.61779904708154</v>
      </c>
      <c r="AS191" s="553">
        <f>$AR191/PI()*SQRT('Hilfstabellen_Mat&amp;Bem'!f.Rd.3/'Hilfstabellen_Mat&amp;Bem'!$BD$30)</f>
        <v>0.72602982113157799</v>
      </c>
      <c r="AT191" s="553">
        <f>0.5*(1+'Hilfstabellen_Mat&amp;Bem'!$BD$31*($AS191-0.3)+$AS191^2)</f>
        <v>0.78486114164275445</v>
      </c>
      <c r="AU191" s="550">
        <f t="shared" si="130"/>
        <v>0.92335970207218898</v>
      </c>
      <c r="AW191" s="551">
        <f t="shared" si="181"/>
        <v>54523.467047660684</v>
      </c>
      <c r="AZ191" s="547">
        <f>'Hilfstabellen_Mat&amp;Bem'!$J$56</f>
        <v>3.3</v>
      </c>
      <c r="BA191" s="546">
        <f t="shared" si="137"/>
        <v>243</v>
      </c>
      <c r="BB191" s="551">
        <f t="shared" si="138"/>
        <v>47.043355267302836</v>
      </c>
      <c r="BC191" s="553">
        <f>BB191/PI()*SQRT('Hilfstabellen_Mat&amp;Bem'!f.Rd.3/'Hilfstabellen_Mat&amp;Bem'!$BD$30)</f>
        <v>0.74871825304193984</v>
      </c>
      <c r="BD191" s="553">
        <f>0.5*(1+'Hilfstabellen_Mat&amp;Bem'!$BD$31*(BC191-0.3)+BC191^2)</f>
        <v>0.80272542387118406</v>
      </c>
      <c r="BE191" s="550">
        <f t="shared" si="139"/>
        <v>0.91559256108468756</v>
      </c>
      <c r="BG191" s="551">
        <f t="shared" si="140"/>
        <v>54064.825139489716</v>
      </c>
      <c r="BJ191" s="547">
        <f>'Hilfstabellen_Mat&amp;Bem'!$J$57</f>
        <v>3.4</v>
      </c>
      <c r="BK191" s="546">
        <f t="shared" si="141"/>
        <v>243</v>
      </c>
      <c r="BL191" s="551">
        <f t="shared" si="142"/>
        <v>48.468911487524132</v>
      </c>
      <c r="BM191" s="553">
        <f>BL191/PI()*SQRT('Hilfstabellen_Mat&amp;Bem'!f.Rd.3/'Hilfstabellen_Mat&amp;Bem'!$BD$30)</f>
        <v>0.77140668495230158</v>
      </c>
      <c r="BN191" s="553">
        <f>0.5*(1+'Hilfstabellen_Mat&amp;Bem'!$BD$31*(BM191-0.3)+BM191^2)</f>
        <v>0.82110447104216489</v>
      </c>
      <c r="BO191" s="550">
        <f t="shared" si="143"/>
        <v>0.90708674147456603</v>
      </c>
      <c r="BQ191" s="551">
        <f t="shared" si="144"/>
        <v>53562.564997331647</v>
      </c>
      <c r="BT191" s="547">
        <f>'Hilfstabellen_Mat&amp;Bem'!$J$58</f>
        <v>3.5</v>
      </c>
      <c r="BU191" s="546">
        <f t="shared" si="145"/>
        <v>243</v>
      </c>
      <c r="BV191" s="551">
        <f t="shared" si="146"/>
        <v>49.894467707745434</v>
      </c>
      <c r="BW191" s="553">
        <f>BV191/PI()*SQRT('Hilfstabellen_Mat&amp;Bem'!f.Rd.3/'Hilfstabellen_Mat&amp;Bem'!$BD$30)</f>
        <v>0.79409511686266354</v>
      </c>
      <c r="BX191" s="553">
        <f>0.5*(1+'Hilfstabellen_Mat&amp;Bem'!$BD$31*(BW191-0.3)+BW191^2)</f>
        <v>0.8399982831556968</v>
      </c>
      <c r="BY191" s="550">
        <f t="shared" si="147"/>
        <v>0.89776444335964567</v>
      </c>
      <c r="CA191" s="551">
        <f t="shared" si="148"/>
        <v>53012.092615943715</v>
      </c>
      <c r="CD191" s="547">
        <f>'Hilfstabellen_Mat&amp;Bem'!$J$59</f>
        <v>3.6</v>
      </c>
      <c r="CE191" s="546">
        <f t="shared" si="149"/>
        <v>243</v>
      </c>
      <c r="CF191" s="551">
        <f t="shared" si="150"/>
        <v>51.32002392796673</v>
      </c>
      <c r="CG191" s="553">
        <f>CF191/PI()*SQRT('Hilfstabellen_Mat&amp;Bem'!f.Rd.3/'Hilfstabellen_Mat&amp;Bem'!$BD$30)</f>
        <v>0.81678354877302528</v>
      </c>
      <c r="CH191" s="553">
        <f>0.5*(1+'Hilfstabellen_Mat&amp;Bem'!$BD$31*(CG191-0.3)+CG191^2)</f>
        <v>0.8594068602117797</v>
      </c>
      <c r="CI191" s="550">
        <f t="shared" si="151"/>
        <v>0.88754893868220897</v>
      </c>
      <c r="CK191" s="551">
        <f t="shared" si="152"/>
        <v>52408.877280245761</v>
      </c>
      <c r="CN191" s="547">
        <f>'Hilfstabellen_Mat&amp;Bem'!$J$60</f>
        <v>3.7</v>
      </c>
      <c r="CO191" s="546">
        <f t="shared" si="153"/>
        <v>243</v>
      </c>
      <c r="CP191" s="551">
        <f t="shared" si="154"/>
        <v>52.745580148188026</v>
      </c>
      <c r="CQ191" s="553">
        <f>CP191/PI()*SQRT('Hilfstabellen_Mat&amp;Bem'!f.Rd.3/'Hilfstabellen_Mat&amp;Bem'!$BD$30)</f>
        <v>0.83947198068338702</v>
      </c>
      <c r="CR191" s="553">
        <f>0.5*(1+'Hilfstabellen_Mat&amp;Bem'!$BD$31*(CQ191-0.3)+CQ191^2)</f>
        <v>0.87933020221041369</v>
      </c>
      <c r="CS191" s="550">
        <f t="shared" si="155"/>
        <v>0.87636943184228999</v>
      </c>
      <c r="CU191" s="551">
        <f t="shared" si="156"/>
        <v>51748.738580855381</v>
      </c>
      <c r="CX191" s="547">
        <f>'Hilfstabellen_Mat&amp;Bem'!$J$61</f>
        <v>3.8</v>
      </c>
      <c r="CY191" s="546">
        <f t="shared" si="157"/>
        <v>243</v>
      </c>
      <c r="CZ191" s="551">
        <f t="shared" si="158"/>
        <v>54.171136368409329</v>
      </c>
      <c r="DA191" s="553">
        <f>CZ191/PI()*SQRT('Hilfstabellen_Mat&amp;Bem'!f.Rd.3/'Hilfstabellen_Mat&amp;Bem'!$BD$30)</f>
        <v>0.86216041259374898</v>
      </c>
      <c r="DB191" s="553">
        <f>0.5*(1+'Hilfstabellen_Mat&amp;Bem'!$BD$31*(DA191-0.3)+DA191^2)</f>
        <v>0.89976830915159911</v>
      </c>
      <c r="DC191" s="550">
        <f t="shared" si="159"/>
        <v>0.86416739209244853</v>
      </c>
      <c r="DE191" s="551">
        <f t="shared" si="160"/>
        <v>51028.220335666992</v>
      </c>
      <c r="DH191" s="547">
        <f>'Hilfstabellen_Mat&amp;Bem'!$J$62</f>
        <v>3.9</v>
      </c>
      <c r="DI191" s="546">
        <f t="shared" si="161"/>
        <v>243</v>
      </c>
      <c r="DJ191" s="551">
        <f t="shared" si="162"/>
        <v>55.596692588630624</v>
      </c>
      <c r="DK191" s="553">
        <f>DJ191/PI()*SQRT('Hilfstabellen_Mat&amp;Bem'!f.Rd.3/'Hilfstabellen_Mat&amp;Bem'!$BD$30)</f>
        <v>0.88484884450411061</v>
      </c>
      <c r="DL191" s="553">
        <f>0.5*(1+'Hilfstabellen_Mat&amp;Bem'!$BD$31*(DK191-0.3)+DK191^2)</f>
        <v>0.9207211810353354</v>
      </c>
      <c r="DM191" s="550">
        <f t="shared" si="163"/>
        <v>0.85090398982756577</v>
      </c>
      <c r="DO191" s="551">
        <f t="shared" si="164"/>
        <v>50245.029695327932</v>
      </c>
      <c r="DR191" s="547">
        <f>'Hilfstabellen_Mat&amp;Bem'!$J$63</f>
        <v>4</v>
      </c>
      <c r="DS191" s="546">
        <f t="shared" si="165"/>
        <v>243</v>
      </c>
      <c r="DT191" s="551">
        <f t="shared" si="166"/>
        <v>57.02224880885192</v>
      </c>
      <c r="DU191" s="553">
        <f>DT191/PI()*SQRT('Hilfstabellen_Mat&amp;Bem'!f.Rd.3/'Hilfstabellen_Mat&amp;Bem'!$BD$30)</f>
        <v>0.90753727641447246</v>
      </c>
      <c r="DV191" s="553">
        <f>0.5*(1+'Hilfstabellen_Mat&amp;Bem'!$BD$31*(DU191-0.3)+DU191^2)</f>
        <v>0.9421888178616229</v>
      </c>
      <c r="DW191" s="550">
        <f t="shared" si="167"/>
        <v>0.83656776883824846</v>
      </c>
      <c r="DY191" s="551">
        <f t="shared" si="168"/>
        <v>49398.490182129732</v>
      </c>
      <c r="EB191" s="547">
        <f>'Hilfstabellen_Mat&amp;Bem'!$J$64</f>
        <v>4.0999999999999996</v>
      </c>
      <c r="EC191" s="546">
        <f t="shared" si="169"/>
        <v>243</v>
      </c>
      <c r="ED191" s="551">
        <f t="shared" si="170"/>
        <v>58.447805029073216</v>
      </c>
      <c r="EE191" s="553">
        <f>ED191/PI()*SQRT('Hilfstabellen_Mat&amp;Bem'!f.Rd.3/'Hilfstabellen_Mat&amp;Bem'!$BD$30)</f>
        <v>0.93022570832483431</v>
      </c>
      <c r="EF191" s="553">
        <f>0.5*(1+'Hilfstabellen_Mat&amp;Bem'!$BD$31*(EE191-0.3)+EE191^2)</f>
        <v>0.96417121963046148</v>
      </c>
      <c r="EG191" s="550">
        <f t="shared" si="171"/>
        <v>0.8211811971019225</v>
      </c>
      <c r="EI191" s="551">
        <f t="shared" si="172"/>
        <v>48489.928507671422</v>
      </c>
      <c r="EL191" s="547">
        <f>'Hilfstabellen_Mat&amp;Bem'!$J$65</f>
        <v>4.2</v>
      </c>
      <c r="EM191" s="546">
        <f t="shared" si="173"/>
        <v>243</v>
      </c>
      <c r="EN191" s="551">
        <f t="shared" si="174"/>
        <v>59.873361249294518</v>
      </c>
      <c r="EO191" s="553">
        <f>EN191/PI()*SQRT('Hilfstabellen_Mat&amp;Bem'!f.Rd.3/'Hilfstabellen_Mat&amp;Bem'!$BD$30)</f>
        <v>0.95291414023519616</v>
      </c>
      <c r="EP191" s="553">
        <f>0.5*(1+'Hilfstabellen_Mat&amp;Bem'!$BD$31*(EO191-0.3)+EO191^2)</f>
        <v>0.98666838634185139</v>
      </c>
      <c r="EQ191" s="550">
        <f t="shared" si="175"/>
        <v>0.80480450344570242</v>
      </c>
      <c r="ES191" s="551">
        <f t="shared" si="176"/>
        <v>47522.901123965283</v>
      </c>
    </row>
    <row r="192" spans="3:149">
      <c r="C192" s="546">
        <v>244</v>
      </c>
      <c r="D192" s="551">
        <f t="shared" si="131"/>
        <v>39.751985747482422</v>
      </c>
      <c r="E192" s="553">
        <f>$D192/PI()*SQRT('Hilfstabellen_Mat&amp;Bem'!f.Rd.3/'Hilfstabellen_Mat&amp;Bem'!$BD$30)</f>
        <v>0.63267250294304</v>
      </c>
      <c r="F192" s="553">
        <f>0.5*(1+'Hilfstabellen_Mat&amp;Bem'!$BD$31*($E192-0.3)+$E192^2)</f>
        <v>0.71677087313725751</v>
      </c>
      <c r="G192" s="550">
        <f t="shared" si="132"/>
        <v>0.9490838456718409</v>
      </c>
      <c r="I192" s="551">
        <f t="shared" si="177"/>
        <v>56504.655835918718</v>
      </c>
      <c r="M192" s="546">
        <f t="shared" si="133"/>
        <v>244</v>
      </c>
      <c r="N192" s="551">
        <f t="shared" si="123"/>
        <v>41.17169952417823</v>
      </c>
      <c r="O192" s="553">
        <f>$N192/PI()*SQRT('Hilfstabellen_Mat&amp;Bem'!f.Rd.3/'Hilfstabellen_Mat&amp;Bem'!$BD$30)</f>
        <v>0.65526794947672018</v>
      </c>
      <c r="P192" s="553">
        <f>0.5*(1+'Hilfstabellen_Mat&amp;Bem'!$BD$31*($O192-0.3)+$O192^2)</f>
        <v>0.73245144027954878</v>
      </c>
      <c r="Q192" s="550">
        <f t="shared" si="124"/>
        <v>0.94363961886175873</v>
      </c>
      <c r="S192" s="551">
        <f t="shared" si="178"/>
        <v>56180.528348553671</v>
      </c>
      <c r="W192" s="546">
        <f t="shared" si="134"/>
        <v>244</v>
      </c>
      <c r="X192" s="551">
        <f t="shared" si="125"/>
        <v>42.591413300874031</v>
      </c>
      <c r="Y192" s="553">
        <f>$X192/PI()*SQRT('Hilfstabellen_Mat&amp;Bem'!f.Rd.3/'Hilfstabellen_Mat&amp;Bem'!$BD$30)</f>
        <v>0.67786339601040013</v>
      </c>
      <c r="Z192" s="553">
        <f>0.5*(1+'Hilfstabellen_Mat&amp;Bem'!$BD$31*($Y192-0.3)+$Y192^2)</f>
        <v>0.74864256162589626</v>
      </c>
      <c r="AA192" s="550">
        <f t="shared" si="126"/>
        <v>0.93773843000414547</v>
      </c>
      <c r="AC192" s="551">
        <f t="shared" si="179"/>
        <v>55829.195168726808</v>
      </c>
      <c r="AG192" s="546">
        <f t="shared" si="135"/>
        <v>244</v>
      </c>
      <c r="AH192" s="551">
        <f t="shared" si="127"/>
        <v>44.011127077569832</v>
      </c>
      <c r="AI192" s="553">
        <f>$AH192/PI()*SQRT('Hilfstabellen_Mat&amp;Bem'!f.Rd.3/'Hilfstabellen_Mat&amp;Bem'!$BD$30)</f>
        <v>0.70045884254408008</v>
      </c>
      <c r="AJ192" s="553">
        <f>0.5*(1+'Hilfstabellen_Mat&amp;Bem'!$BD$31*($AI192-0.3)+$AI192^2)</f>
        <v>0.76534423717630018</v>
      </c>
      <c r="AK192" s="550">
        <f t="shared" si="128"/>
        <v>0.93132237813285712</v>
      </c>
      <c r="AM192" s="551">
        <f t="shared" si="180"/>
        <v>55447.20910451778</v>
      </c>
      <c r="AQ192" s="546">
        <f t="shared" si="136"/>
        <v>244</v>
      </c>
      <c r="AR192" s="551">
        <f t="shared" si="129"/>
        <v>45.430840854265632</v>
      </c>
      <c r="AS192" s="553">
        <f>$AR192/PI()*SQRT('Hilfstabellen_Mat&amp;Bem'!f.Rd.3/'Hilfstabellen_Mat&amp;Bem'!$BD$30)</f>
        <v>0.72305428907776015</v>
      </c>
      <c r="AT192" s="553">
        <f>0.5*(1+'Hilfstabellen_Mat&amp;Bem'!$BD$31*($AS192-0.3)+$AS192^2)</f>
        <v>0.78255646693076053</v>
      </c>
      <c r="AU192" s="550">
        <f t="shared" si="130"/>
        <v>0.92432757451782643</v>
      </c>
      <c r="AW192" s="551">
        <f t="shared" si="181"/>
        <v>55030.766476493314</v>
      </c>
      <c r="AZ192" s="547">
        <f>'Hilfstabellen_Mat&amp;Bem'!$J$56</f>
        <v>3.3</v>
      </c>
      <c r="BA192" s="546">
        <f t="shared" si="137"/>
        <v>244</v>
      </c>
      <c r="BB192" s="551">
        <f t="shared" si="138"/>
        <v>46.850554630961433</v>
      </c>
      <c r="BC192" s="553">
        <f>BB192/PI()*SQRT('Hilfstabellen_Mat&amp;Bem'!f.Rd.3/'Hilfstabellen_Mat&amp;Bem'!$BD$30)</f>
        <v>0.7456497356114401</v>
      </c>
      <c r="BD192" s="553">
        <f>0.5*(1+'Hilfstabellen_Mat&amp;Bem'!$BD$31*(BC192-0.3)+BC192^2)</f>
        <v>0.80027925088927732</v>
      </c>
      <c r="BE192" s="550">
        <f t="shared" si="139"/>
        <v>0.91668452495120567</v>
      </c>
      <c r="BG192" s="551">
        <f t="shared" si="140"/>
        <v>54575.729877494981</v>
      </c>
      <c r="BJ192" s="547">
        <f>'Hilfstabellen_Mat&amp;Bem'!$J$57</f>
        <v>3.4</v>
      </c>
      <c r="BK192" s="546">
        <f t="shared" si="141"/>
        <v>244</v>
      </c>
      <c r="BL192" s="551">
        <f t="shared" si="142"/>
        <v>48.270268407657234</v>
      </c>
      <c r="BM192" s="553">
        <f>BL192/PI()*SQRT('Hilfstabellen_Mat&amp;Bem'!f.Rd.3/'Hilfstabellen_Mat&amp;Bem'!$BD$30)</f>
        <v>0.76824518214512016</v>
      </c>
      <c r="BN192" s="553">
        <f>0.5*(1+'Hilfstabellen_Mat&amp;Bem'!$BD$31*(BM192-0.3)+BM192^2)</f>
        <v>0.81851258905185043</v>
      </c>
      <c r="BO192" s="550">
        <f t="shared" si="143"/>
        <v>0.90831915892417836</v>
      </c>
      <c r="BQ192" s="551">
        <f t="shared" si="144"/>
        <v>54077.689445709882</v>
      </c>
      <c r="BT192" s="547">
        <f>'Hilfstabellen_Mat&amp;Bem'!$J$58</f>
        <v>3.5</v>
      </c>
      <c r="BU192" s="546">
        <f t="shared" si="145"/>
        <v>244</v>
      </c>
      <c r="BV192" s="551">
        <f t="shared" si="146"/>
        <v>49.689982184353035</v>
      </c>
      <c r="BW192" s="553">
        <f>BV192/PI()*SQRT('Hilfstabellen_Mat&amp;Bem'!f.Rd.3/'Hilfstabellen_Mat&amp;Bem'!$BD$30)</f>
        <v>0.79084062867880012</v>
      </c>
      <c r="BX192" s="553">
        <f>0.5*(1+'Hilfstabellen_Mat&amp;Bem'!$BD$31*(BW192-0.3)+BW192^2)</f>
        <v>0.83725648141847986</v>
      </c>
      <c r="BY192" s="550">
        <f t="shared" si="147"/>
        <v>0.89915477280804779</v>
      </c>
      <c r="CA192" s="551">
        <f t="shared" si="148"/>
        <v>53532.078553899933</v>
      </c>
      <c r="CD192" s="547">
        <f>'Hilfstabellen_Mat&amp;Bem'!$J$59</f>
        <v>3.6</v>
      </c>
      <c r="CE192" s="546">
        <f t="shared" si="149"/>
        <v>244</v>
      </c>
      <c r="CF192" s="551">
        <f t="shared" si="150"/>
        <v>51.109695961048835</v>
      </c>
      <c r="CG192" s="553">
        <f>CF192/PI()*SQRT('Hilfstabellen_Mat&amp;Bem'!f.Rd.3/'Hilfstabellen_Mat&amp;Bem'!$BD$30)</f>
        <v>0.81343607521248007</v>
      </c>
      <c r="CH192" s="553">
        <f>0.5*(1+'Hilfstabellen_Mat&amp;Bem'!$BD$31*(CG192-0.3)+CG192^2)</f>
        <v>0.85651092798916584</v>
      </c>
      <c r="CI192" s="550">
        <f t="shared" si="151"/>
        <v>0.88911516708033544</v>
      </c>
      <c r="CK192" s="551">
        <f t="shared" si="152"/>
        <v>52934.360587294854</v>
      </c>
      <c r="CN192" s="547">
        <f>'Hilfstabellen_Mat&amp;Bem'!$J$60</f>
        <v>3.7</v>
      </c>
      <c r="CO192" s="546">
        <f t="shared" si="153"/>
        <v>244</v>
      </c>
      <c r="CP192" s="551">
        <f t="shared" si="154"/>
        <v>52.529409737744636</v>
      </c>
      <c r="CQ192" s="553">
        <f>CP192/PI()*SQRT('Hilfstabellen_Mat&amp;Bem'!f.Rd.3/'Hilfstabellen_Mat&amp;Bem'!$BD$30)</f>
        <v>0.83603152174616013</v>
      </c>
      <c r="CR192" s="553">
        <f>0.5*(1+'Hilfstabellen_Mat&amp;Bem'!$BD$31*(CQ192-0.3)+CQ192^2)</f>
        <v>0.87627592876390814</v>
      </c>
      <c r="CS192" s="550">
        <f t="shared" si="155"/>
        <v>0.87812919802424982</v>
      </c>
      <c r="CU192" s="551">
        <f t="shared" si="156"/>
        <v>52280.29993357174</v>
      </c>
      <c r="CX192" s="547">
        <f>'Hilfstabellen_Mat&amp;Bem'!$J$61</f>
        <v>3.8</v>
      </c>
      <c r="CY192" s="546">
        <f t="shared" si="157"/>
        <v>244</v>
      </c>
      <c r="CZ192" s="551">
        <f t="shared" si="158"/>
        <v>53.949123514440437</v>
      </c>
      <c r="DA192" s="553">
        <f>CZ192/PI()*SQRT('Hilfstabellen_Mat&amp;Bem'!f.Rd.3/'Hilfstabellen_Mat&amp;Bem'!$BD$30)</f>
        <v>0.85862696827984009</v>
      </c>
      <c r="DB192" s="553">
        <f>0.5*(1+'Hilfstabellen_Mat&amp;Bem'!$BD$31*(DA192-0.3)+DA192^2)</f>
        <v>0.89655148374270677</v>
      </c>
      <c r="DC192" s="550">
        <f t="shared" si="159"/>
        <v>0.86613678416687034</v>
      </c>
      <c r="DE192" s="551">
        <f t="shared" si="160"/>
        <v>51566.319582158794</v>
      </c>
      <c r="DH192" s="547">
        <f>'Hilfstabellen_Mat&amp;Bem'!$J$62</f>
        <v>3.9</v>
      </c>
      <c r="DI192" s="546">
        <f t="shared" si="161"/>
        <v>244</v>
      </c>
      <c r="DJ192" s="551">
        <f t="shared" si="162"/>
        <v>55.368837291136238</v>
      </c>
      <c r="DK192" s="553">
        <f>DJ192/PI()*SQRT('Hilfstabellen_Mat&amp;Bem'!f.Rd.3/'Hilfstabellen_Mat&amp;Bem'!$BD$30)</f>
        <v>0.88122241481352015</v>
      </c>
      <c r="DL192" s="553">
        <f>0.5*(1+'Hilfstabellen_Mat&amp;Bem'!$BD$31*(DK192-0.3)+DK192^2)</f>
        <v>0.91733759292556183</v>
      </c>
      <c r="DM192" s="550">
        <f t="shared" si="163"/>
        <v>0.85309607227956363</v>
      </c>
      <c r="DO192" s="551">
        <f t="shared" si="164"/>
        <v>50789.927759236103</v>
      </c>
      <c r="DR192" s="547">
        <f>'Hilfstabellen_Mat&amp;Bem'!$J$63</f>
        <v>4</v>
      </c>
      <c r="DS192" s="546">
        <f t="shared" si="165"/>
        <v>244</v>
      </c>
      <c r="DT192" s="551">
        <f t="shared" si="166"/>
        <v>56.788551067832032</v>
      </c>
      <c r="DU192" s="553">
        <f>DT192/PI()*SQRT('Hilfstabellen_Mat&amp;Bem'!f.Rd.3/'Hilfstabellen_Mat&amp;Bem'!$BD$30)</f>
        <v>0.90381786134719988</v>
      </c>
      <c r="DV192" s="553">
        <f>0.5*(1+'Hilfstabellen_Mat&amp;Bem'!$BD$31*(DU192-0.3)+DU192^2)</f>
        <v>0.9386342563124731</v>
      </c>
      <c r="DW192" s="550">
        <f t="shared" si="167"/>
        <v>0.8389909963771095</v>
      </c>
      <c r="DY192" s="551">
        <f t="shared" si="168"/>
        <v>49950.16796030759</v>
      </c>
      <c r="EB192" s="547">
        <f>'Hilfstabellen_Mat&amp;Bem'!$J$64</f>
        <v>4.0999999999999996</v>
      </c>
      <c r="EC192" s="546">
        <f t="shared" si="169"/>
        <v>244</v>
      </c>
      <c r="ED192" s="551">
        <f t="shared" si="170"/>
        <v>58.208264844527839</v>
      </c>
      <c r="EE192" s="553">
        <f>ED192/PI()*SQRT('Hilfstabellen_Mat&amp;Bem'!f.Rd.3/'Hilfstabellen_Mat&amp;Bem'!$BD$30)</f>
        <v>0.92641330788088005</v>
      </c>
      <c r="EF192" s="553">
        <f>0.5*(1+'Hilfstabellen_Mat&amp;Bem'!$BD$31*(EE192-0.3)+EE192^2)</f>
        <v>0.96044147390344115</v>
      </c>
      <c r="EG192" s="550">
        <f t="shared" si="171"/>
        <v>0.82383797397558045</v>
      </c>
      <c r="EI192" s="551">
        <f t="shared" si="172"/>
        <v>49048.01761861016</v>
      </c>
      <c r="EL192" s="547">
        <f>'Hilfstabellen_Mat&amp;Bem'!$J$65</f>
        <v>4.2</v>
      </c>
      <c r="EM192" s="546">
        <f t="shared" si="173"/>
        <v>244</v>
      </c>
      <c r="EN192" s="551">
        <f t="shared" si="174"/>
        <v>59.62797862122364</v>
      </c>
      <c r="EO192" s="553">
        <f>EN192/PI()*SQRT('Hilfstabellen_Mat&amp;Bem'!f.Rd.3/'Hilfstabellen_Mat&amp;Bem'!$BD$30)</f>
        <v>0.94900875441456012</v>
      </c>
      <c r="EP192" s="553">
        <f>0.5*(1+'Hilfstabellen_Mat&amp;Bem'!$BD$31*(EO192-0.3)+EO192^2)</f>
        <v>0.9827592456984654</v>
      </c>
      <c r="EQ192" s="550">
        <f t="shared" si="175"/>
        <v>0.80769019984237944</v>
      </c>
      <c r="ES192" s="551">
        <f t="shared" si="176"/>
        <v>48086.643737815903</v>
      </c>
    </row>
    <row r="193" spans="3:149">
      <c r="C193" s="546">
        <v>245</v>
      </c>
      <c r="D193" s="551">
        <f t="shared" si="131"/>
        <v>39.58973274443148</v>
      </c>
      <c r="E193" s="553">
        <f>$D193/PI()*SQRT('Hilfstabellen_Mat&amp;Bem'!f.Rd.3/'Hilfstabellen_Mat&amp;Bem'!$BD$30)</f>
        <v>0.63009016619633385</v>
      </c>
      <c r="F193" s="553">
        <f>0.5*(1+'Hilfstabellen_Mat&amp;Bem'!$BD$31*($E193-0.3)+$E193^2)</f>
        <v>0.71501131707847843</v>
      </c>
      <c r="G193" s="550">
        <f t="shared" si="132"/>
        <v>0.94967933574484364</v>
      </c>
      <c r="I193" s="551">
        <f t="shared" si="177"/>
        <v>57004.502128084241</v>
      </c>
      <c r="M193" s="546">
        <f t="shared" si="133"/>
        <v>245</v>
      </c>
      <c r="N193" s="551">
        <f t="shared" si="123"/>
        <v>41.003651771018319</v>
      </c>
      <c r="O193" s="553">
        <f>$N193/PI()*SQRT('Hilfstabellen_Mat&amp;Bem'!f.Rd.3/'Hilfstabellen_Mat&amp;Bem'!$BD$30)</f>
        <v>0.65259338641763143</v>
      </c>
      <c r="P193" s="553">
        <f>0.5*(1+'Hilfstabellen_Mat&amp;Bem'!$BD$31*($O193-0.3)+$O193^2)</f>
        <v>0.7305687333188976</v>
      </c>
      <c r="Q193" s="550">
        <f t="shared" si="124"/>
        <v>0.94430681680950757</v>
      </c>
      <c r="S193" s="551">
        <f t="shared" si="178"/>
        <v>56682.016678990694</v>
      </c>
      <c r="W193" s="546">
        <f t="shared" si="134"/>
        <v>245</v>
      </c>
      <c r="X193" s="551">
        <f t="shared" si="125"/>
        <v>42.417570797605151</v>
      </c>
      <c r="Y193" s="553">
        <f>$X193/PI()*SQRT('Hilfstabellen_Mat&amp;Bem'!f.Rd.3/'Hilfstabellen_Mat&amp;Bem'!$BD$30)</f>
        <v>0.67509660663892901</v>
      </c>
      <c r="Z193" s="553">
        <f>0.5*(1+'Hilfstabellen_Mat&amp;Bem'!$BD$31*($Y193-0.3)+$Y193^2)</f>
        <v>0.74663254447964489</v>
      </c>
      <c r="AA193" s="550">
        <f t="shared" si="126"/>
        <v>0.93848746600709954</v>
      </c>
      <c r="AC193" s="551">
        <f t="shared" si="179"/>
        <v>56332.710147076148</v>
      </c>
      <c r="AG193" s="546">
        <f t="shared" si="135"/>
        <v>245</v>
      </c>
      <c r="AH193" s="551">
        <f t="shared" si="127"/>
        <v>43.831489824191998</v>
      </c>
      <c r="AI193" s="553">
        <f>$AH193/PI()*SQRT('Hilfstabellen_Mat&amp;Bem'!f.Rd.3/'Hilfstabellen_Mat&amp;Bem'!$BD$30)</f>
        <v>0.69759982686022681</v>
      </c>
      <c r="AJ193" s="553">
        <f>0.5*(1+'Hilfstabellen_Mat&amp;Bem'!$BD$31*($AI193-0.3)+$AI193^2)</f>
        <v>0.76320275056072051</v>
      </c>
      <c r="AK193" s="550">
        <f t="shared" si="128"/>
        <v>0.93216480423929005</v>
      </c>
      <c r="AM193" s="551">
        <f t="shared" si="180"/>
        <v>55953.192374463382</v>
      </c>
      <c r="AQ193" s="546">
        <f t="shared" si="136"/>
        <v>245</v>
      </c>
      <c r="AR193" s="551">
        <f t="shared" si="129"/>
        <v>45.245408850778837</v>
      </c>
      <c r="AS193" s="553">
        <f>$AR193/PI()*SQRT('Hilfstabellen_Mat&amp;Bem'!f.Rd.3/'Hilfstabellen_Mat&amp;Bem'!$BD$30)</f>
        <v>0.72010304708152439</v>
      </c>
      <c r="AT193" s="553">
        <f>0.5*(1+'Hilfstabellen_Mat&amp;Bem'!$BD$31*($AS193-0.3)+$AS193^2)</f>
        <v>0.78027935156212425</v>
      </c>
      <c r="AU193" s="550">
        <f t="shared" si="130"/>
        <v>0.92527644781181173</v>
      </c>
      <c r="AW193" s="551">
        <f t="shared" si="181"/>
        <v>55539.718779903997</v>
      </c>
      <c r="AZ193" s="547">
        <f>'Hilfstabellen_Mat&amp;Bem'!$J$56</f>
        <v>3.3</v>
      </c>
      <c r="BA193" s="546">
        <f t="shared" si="137"/>
        <v>245</v>
      </c>
      <c r="BB193" s="551">
        <f t="shared" si="138"/>
        <v>46.659327877365669</v>
      </c>
      <c r="BC193" s="553">
        <f>BB193/PI()*SQRT('Hilfstabellen_Mat&amp;Bem'!f.Rd.3/'Hilfstabellen_Mat&amp;Bem'!$BD$30)</f>
        <v>0.74260626730282198</v>
      </c>
      <c r="BD193" s="553">
        <f>0.5*(1+'Hilfstabellen_Mat&amp;Bem'!$BD$31*(BC193-0.3)+BC193^2)</f>
        <v>0.79786234748385632</v>
      </c>
      <c r="BE193" s="550">
        <f t="shared" si="139"/>
        <v>0.91775441996548612</v>
      </c>
      <c r="BG193" s="551">
        <f t="shared" si="140"/>
        <v>55088.209058428307</v>
      </c>
      <c r="BJ193" s="547">
        <f>'Hilfstabellen_Mat&amp;Bem'!$J$57</f>
        <v>3.4</v>
      </c>
      <c r="BK193" s="546">
        <f t="shared" si="141"/>
        <v>245</v>
      </c>
      <c r="BL193" s="551">
        <f t="shared" si="142"/>
        <v>48.073246903952509</v>
      </c>
      <c r="BM193" s="553">
        <f>BL193/PI()*SQRT('Hilfstabellen_Mat&amp;Bem'!f.Rd.3/'Hilfstabellen_Mat&amp;Bem'!$BD$30)</f>
        <v>0.76510948752411956</v>
      </c>
      <c r="BN193" s="553">
        <f>0.5*(1+'Hilfstabellen_Mat&amp;Bem'!$BD$31*(BM193-0.3)+BM193^2)</f>
        <v>0.8159517383259165</v>
      </c>
      <c r="BO193" s="550">
        <f t="shared" si="143"/>
        <v>0.90952606339183417</v>
      </c>
      <c r="BQ193" s="551">
        <f t="shared" si="144"/>
        <v>54594.301955094845</v>
      </c>
      <c r="BT193" s="547">
        <f>'Hilfstabellen_Mat&amp;Bem'!$J$58</f>
        <v>3.5</v>
      </c>
      <c r="BU193" s="546">
        <f t="shared" si="145"/>
        <v>245</v>
      </c>
      <c r="BV193" s="551">
        <f t="shared" si="146"/>
        <v>49.487165930539348</v>
      </c>
      <c r="BW193" s="553">
        <f>BV193/PI()*SQRT('Hilfstabellen_Mat&amp;Bem'!f.Rd.3/'Hilfstabellen_Mat&amp;Bem'!$BD$30)</f>
        <v>0.78761270774541725</v>
      </c>
      <c r="BX193" s="553">
        <f>0.5*(1+'Hilfstabellen_Mat&amp;Bem'!$BD$31*(BW193-0.3)+BW193^2)</f>
        <v>0.8345475240883049</v>
      </c>
      <c r="BY193" s="550">
        <f t="shared" si="147"/>
        <v>0.90051580877540705</v>
      </c>
      <c r="CA193" s="551">
        <f t="shared" si="148"/>
        <v>54053.461421743807</v>
      </c>
      <c r="CD193" s="547">
        <f>'Hilfstabellen_Mat&amp;Bem'!$J$59</f>
        <v>3.6</v>
      </c>
      <c r="CE193" s="546">
        <f t="shared" si="149"/>
        <v>245</v>
      </c>
      <c r="CF193" s="551">
        <f t="shared" si="150"/>
        <v>50.901084957126187</v>
      </c>
      <c r="CG193" s="553">
        <f>CF193/PI()*SQRT('Hilfstabellen_Mat&amp;Bem'!f.Rd.3/'Hilfstabellen_Mat&amp;Bem'!$BD$30)</f>
        <v>0.81011592796671494</v>
      </c>
      <c r="CH193" s="553">
        <f>0.5*(1+'Hilfstabellen_Mat&amp;Bem'!$BD$31*(CG193-0.3)+CG193^2)</f>
        <v>0.85364970477102153</v>
      </c>
      <c r="CI193" s="550">
        <f t="shared" si="151"/>
        <v>0.89064807307191562</v>
      </c>
      <c r="CK193" s="551">
        <f t="shared" si="152"/>
        <v>53461.150586141732</v>
      </c>
      <c r="CN193" s="547">
        <f>'Hilfstabellen_Mat&amp;Bem'!$J$60</f>
        <v>3.7</v>
      </c>
      <c r="CO193" s="546">
        <f t="shared" si="153"/>
        <v>245</v>
      </c>
      <c r="CP193" s="551">
        <f t="shared" si="154"/>
        <v>52.315003983713027</v>
      </c>
      <c r="CQ193" s="553">
        <f>CP193/PI()*SQRT('Hilfstabellen_Mat&amp;Bem'!f.Rd.3/'Hilfstabellen_Mat&amp;Bem'!$BD$30)</f>
        <v>0.83261914818801253</v>
      </c>
      <c r="CR193" s="553">
        <f>0.5*(1+'Hilfstabellen_Mat&amp;Bem'!$BD$31*(CQ193-0.3)+CQ193^2)</f>
        <v>0.87325828037406639</v>
      </c>
      <c r="CS193" s="550">
        <f t="shared" si="155"/>
        <v>0.87985151578473941</v>
      </c>
      <c r="CU193" s="551">
        <f t="shared" si="156"/>
        <v>52813.087234978986</v>
      </c>
      <c r="CX193" s="547">
        <f>'Hilfstabellen_Mat&amp;Bem'!$J$61</f>
        <v>3.8</v>
      </c>
      <c r="CY193" s="546">
        <f t="shared" si="157"/>
        <v>245</v>
      </c>
      <c r="CZ193" s="551">
        <f t="shared" si="158"/>
        <v>53.728923010299859</v>
      </c>
      <c r="DA193" s="553">
        <f>CZ193/PI()*SQRT('Hilfstabellen_Mat&amp;Bem'!f.Rd.3/'Hilfstabellen_Mat&amp;Bem'!$BD$30)</f>
        <v>0.85512236840931011</v>
      </c>
      <c r="DB193" s="553">
        <f>0.5*(1+'Hilfstabellen_Mat&amp;Bem'!$BD$31*(DA193-0.3)+DA193^2)</f>
        <v>0.89337325089743946</v>
      </c>
      <c r="DC193" s="550">
        <f t="shared" si="159"/>
        <v>0.86806472608264829</v>
      </c>
      <c r="DE193" s="551">
        <f t="shared" si="160"/>
        <v>52105.585183110961</v>
      </c>
      <c r="DH193" s="547">
        <f>'Hilfstabellen_Mat&amp;Bem'!$J$62</f>
        <v>3.9</v>
      </c>
      <c r="DI193" s="546">
        <f t="shared" si="161"/>
        <v>245</v>
      </c>
      <c r="DJ193" s="551">
        <f t="shared" si="162"/>
        <v>55.142842036886705</v>
      </c>
      <c r="DK193" s="553">
        <f>DJ193/PI()*SQRT('Hilfstabellen_Mat&amp;Bem'!f.Rd.3/'Hilfstabellen_Mat&amp;Bem'!$BD$30)</f>
        <v>0.87762558863060791</v>
      </c>
      <c r="DL193" s="553">
        <f>0.5*(1+'Hilfstabellen_Mat&amp;Bem'!$BD$31*(DK193-0.3)+DK193^2)</f>
        <v>0.91399461634114099</v>
      </c>
      <c r="DM193" s="550">
        <f t="shared" si="163"/>
        <v>0.85524311100816874</v>
      </c>
      <c r="DO193" s="551">
        <f t="shared" si="164"/>
        <v>51335.967738265332</v>
      </c>
      <c r="DR193" s="547">
        <f>'Hilfstabellen_Mat&amp;Bem'!$J$63</f>
        <v>4</v>
      </c>
      <c r="DS193" s="546">
        <f t="shared" si="165"/>
        <v>245</v>
      </c>
      <c r="DT193" s="551">
        <f t="shared" si="166"/>
        <v>56.556761063473544</v>
      </c>
      <c r="DU193" s="553">
        <f>DT193/PI()*SQRT('Hilfstabellen_Mat&amp;Bem'!f.Rd.3/'Hilfstabellen_Mat&amp;Bem'!$BD$30)</f>
        <v>0.90012880885190549</v>
      </c>
      <c r="DV193" s="553">
        <f>0.5*(1+'Hilfstabellen_Mat&amp;Bem'!$BD$31*(DU193-0.3)+DU193^2)</f>
        <v>0.9351223767051704</v>
      </c>
      <c r="DW193" s="550">
        <f t="shared" si="167"/>
        <v>0.84136631337721324</v>
      </c>
      <c r="DY193" s="551">
        <f t="shared" si="168"/>
        <v>50503.012960467226</v>
      </c>
      <c r="EB193" s="547">
        <f>'Hilfstabellen_Mat&amp;Bem'!$J$64</f>
        <v>4.0999999999999996</v>
      </c>
      <c r="EC193" s="546">
        <f t="shared" si="169"/>
        <v>245</v>
      </c>
      <c r="ED193" s="551">
        <f t="shared" si="170"/>
        <v>57.970680090060377</v>
      </c>
      <c r="EE193" s="553">
        <f>ED193/PI()*SQRT('Hilfstabellen_Mat&amp;Bem'!f.Rd.3/'Hilfstabellen_Mat&amp;Bem'!$BD$30)</f>
        <v>0.92263202907320307</v>
      </c>
      <c r="EF193" s="553">
        <f>0.5*(1+'Hilfstabellen_Mat&amp;Bem'!$BD$31*(EE193-0.3)+EE193^2)</f>
        <v>0.95675653198952804</v>
      </c>
      <c r="EG193" s="550">
        <f t="shared" si="171"/>
        <v>0.82644500482542083</v>
      </c>
      <c r="EI193" s="551">
        <f t="shared" si="172"/>
        <v>49607.361414645886</v>
      </c>
      <c r="EL193" s="547">
        <f>'Hilfstabellen_Mat&amp;Bem'!$J$65</f>
        <v>4.2</v>
      </c>
      <c r="EM193" s="546">
        <f t="shared" si="173"/>
        <v>245</v>
      </c>
      <c r="EN193" s="551">
        <f t="shared" si="174"/>
        <v>59.384599116647216</v>
      </c>
      <c r="EO193" s="553">
        <f>EN193/PI()*SQRT('Hilfstabellen_Mat&amp;Bem'!f.Rd.3/'Hilfstabellen_Mat&amp;Bem'!$BD$30)</f>
        <v>0.94513524929450066</v>
      </c>
      <c r="EP193" s="553">
        <f>0.5*(1+'Hilfstabellen_Mat&amp;Bem'!$BD$31*(EO193-0.3)+EO193^2)</f>
        <v>0.97889708219421401</v>
      </c>
      <c r="EQ193" s="550">
        <f t="shared" si="175"/>
        <v>0.8105255764739373</v>
      </c>
      <c r="ES193" s="551">
        <f t="shared" si="176"/>
        <v>48651.79772784809</v>
      </c>
    </row>
    <row r="194" spans="3:149">
      <c r="C194" s="546">
        <v>246</v>
      </c>
      <c r="D194" s="551">
        <f t="shared" si="131"/>
        <v>39.428798871486634</v>
      </c>
      <c r="E194" s="553">
        <f>$D194/PI()*SQRT('Hilfstabellen_Mat&amp;Bem'!f.Rd.3/'Hilfstabellen_Mat&amp;Bem'!$BD$30)</f>
        <v>0.62752882405732435</v>
      </c>
      <c r="F194" s="553">
        <f>0.5*(1+'Hilfstabellen_Mat&amp;Bem'!$BD$31*($E194-0.3)+$E194^2)</f>
        <v>0.71327265371425042</v>
      </c>
      <c r="G194" s="550">
        <f t="shared" si="132"/>
        <v>0.95026483655014304</v>
      </c>
      <c r="I194" s="551">
        <f t="shared" si="177"/>
        <v>57506.226848668455</v>
      </c>
      <c r="M194" s="546">
        <f t="shared" si="133"/>
        <v>246</v>
      </c>
      <c r="N194" s="551">
        <f t="shared" si="123"/>
        <v>40.836970259754018</v>
      </c>
      <c r="O194" s="553">
        <f>$N194/PI()*SQRT('Hilfstabellen_Mat&amp;Bem'!f.Rd.3/'Hilfstabellen_Mat&amp;Bem'!$BD$30)</f>
        <v>0.64994056777365738</v>
      </c>
      <c r="P194" s="553">
        <f>0.5*(1+'Hilfstabellen_Mat&amp;Bem'!$BD$31*($O194-0.3)+$O194^2)</f>
        <v>0.72870839920765484</v>
      </c>
      <c r="Q194" s="550">
        <f t="shared" si="124"/>
        <v>0.94496236171553127</v>
      </c>
      <c r="S194" s="551">
        <f t="shared" si="178"/>
        <v>57185.34228157709</v>
      </c>
      <c r="W194" s="546">
        <f t="shared" si="134"/>
        <v>246</v>
      </c>
      <c r="X194" s="551">
        <f t="shared" si="125"/>
        <v>42.245141648021395</v>
      </c>
      <c r="Y194" s="553">
        <f>$X194/PI()*SQRT('Hilfstabellen_Mat&amp;Bem'!f.Rd.3/'Hilfstabellen_Mat&amp;Bem'!$BD$30)</f>
        <v>0.67235231148999031</v>
      </c>
      <c r="Z194" s="553">
        <f>0.5*(1+'Hilfstabellen_Mat&amp;Bem'!$BD$31*($Y194-0.3)+$Y194^2)</f>
        <v>0.74464643095746597</v>
      </c>
      <c r="AA194" s="550">
        <f t="shared" si="126"/>
        <v>0.93922290332237113</v>
      </c>
      <c r="AC194" s="551">
        <f t="shared" si="179"/>
        <v>56838.01321745661</v>
      </c>
      <c r="AG194" s="546">
        <f t="shared" si="135"/>
        <v>246</v>
      </c>
      <c r="AH194" s="551">
        <f t="shared" si="127"/>
        <v>43.653313036288772</v>
      </c>
      <c r="AI194" s="553">
        <f>$AH194/PI()*SQRT('Hilfstabellen_Mat&amp;Bem'!f.Rd.3/'Hilfstabellen_Mat&amp;Bem'!$BD$30)</f>
        <v>0.69476405520632323</v>
      </c>
      <c r="AJ194" s="553">
        <f>0.5*(1+'Hilfstabellen_Mat&amp;Bem'!$BD$31*($AI194-0.3)+$AI194^2)</f>
        <v>0.76108674896368367</v>
      </c>
      <c r="AK194" s="550">
        <f t="shared" si="128"/>
        <v>0.93299136830692486</v>
      </c>
      <c r="AM194" s="551">
        <f t="shared" si="180"/>
        <v>56460.905644461862</v>
      </c>
      <c r="AQ194" s="546">
        <f t="shared" si="136"/>
        <v>246</v>
      </c>
      <c r="AR194" s="551">
        <f t="shared" si="129"/>
        <v>45.061484424556156</v>
      </c>
      <c r="AS194" s="553">
        <f>$AR194/PI()*SQRT('Hilfstabellen_Mat&amp;Bem'!f.Rd.3/'Hilfstabellen_Mat&amp;Bem'!$BD$30)</f>
        <v>0.71717579892265637</v>
      </c>
      <c r="AT194" s="553">
        <f>0.5*(1+'Hilfstabellen_Mat&amp;Bem'!$BD$31*($AS194-0.3)+$AS194^2)</f>
        <v>0.77802935322630806</v>
      </c>
      <c r="AU194" s="550">
        <f t="shared" si="130"/>
        <v>0.92620684654336927</v>
      </c>
      <c r="AW194" s="551">
        <f t="shared" si="181"/>
        <v>56050.333525418537</v>
      </c>
      <c r="AZ194" s="547">
        <f>'Hilfstabellen_Mat&amp;Bem'!$J$56</f>
        <v>3.3</v>
      </c>
      <c r="BA194" s="546">
        <f t="shared" si="137"/>
        <v>246</v>
      </c>
      <c r="BB194" s="551">
        <f t="shared" si="138"/>
        <v>46.469655812823532</v>
      </c>
      <c r="BC194" s="553">
        <f>BB194/PI()*SQRT('Hilfstabellen_Mat&amp;Bem'!f.Rd.3/'Hilfstabellen_Mat&amp;Bem'!$BD$30)</f>
        <v>0.73958754263898929</v>
      </c>
      <c r="BD194" s="553">
        <f>0.5*(1+'Hilfstabellen_Mat&amp;Bem'!$BD$31*(BC194-0.3)+BC194^2)</f>
        <v>0.79547424374533882</v>
      </c>
      <c r="BE194" s="550">
        <f t="shared" si="139"/>
        <v>0.91880285803173578</v>
      </c>
      <c r="BG194" s="551">
        <f t="shared" si="140"/>
        <v>55602.273756648523</v>
      </c>
      <c r="BJ194" s="547">
        <f>'Hilfstabellen_Mat&amp;Bem'!$J$57</f>
        <v>3.4</v>
      </c>
      <c r="BK194" s="546">
        <f t="shared" si="141"/>
        <v>246</v>
      </c>
      <c r="BL194" s="551">
        <f t="shared" si="142"/>
        <v>47.877827201090909</v>
      </c>
      <c r="BM194" s="553">
        <f>BL194/PI()*SQRT('Hilfstabellen_Mat&amp;Bem'!f.Rd.3/'Hilfstabellen_Mat&amp;Bem'!$BD$30)</f>
        <v>0.76199928635532233</v>
      </c>
      <c r="BN194" s="553">
        <f>0.5*(1+'Hilfstabellen_Mat&amp;Bem'!$BD$31*(BM194-0.3)+BM194^2)</f>
        <v>0.81342142052077637</v>
      </c>
      <c r="BO194" s="550">
        <f t="shared" si="143"/>
        <v>0.91070815805126315</v>
      </c>
      <c r="BQ194" s="551">
        <f t="shared" si="144"/>
        <v>55112.414892630244</v>
      </c>
      <c r="BT194" s="547">
        <f>'Hilfstabellen_Mat&amp;Bem'!$J$58</f>
        <v>3.5</v>
      </c>
      <c r="BU194" s="546">
        <f t="shared" si="145"/>
        <v>246</v>
      </c>
      <c r="BV194" s="551">
        <f t="shared" si="146"/>
        <v>49.2859985893583</v>
      </c>
      <c r="BW194" s="553">
        <f>BV194/PI()*SQRT('Hilfstabellen_Mat&amp;Bem'!f.Rd.3/'Hilfstabellen_Mat&amp;Bem'!$BD$30)</f>
        <v>0.78441103007165547</v>
      </c>
      <c r="BX194" s="553">
        <f>0.5*(1+'Hilfstabellen_Mat&amp;Bem'!$BD$31*(BW194-0.3)+BW194^2)</f>
        <v>0.83187088355262062</v>
      </c>
      <c r="BY194" s="550">
        <f t="shared" si="147"/>
        <v>0.90184834333802133</v>
      </c>
      <c r="CA194" s="551">
        <f t="shared" si="148"/>
        <v>54576.254345443696</v>
      </c>
      <c r="CD194" s="547">
        <f>'Hilfstabellen_Mat&amp;Bem'!$J$59</f>
        <v>3.6</v>
      </c>
      <c r="CE194" s="546">
        <f t="shared" si="149"/>
        <v>246</v>
      </c>
      <c r="CF194" s="551">
        <f t="shared" si="150"/>
        <v>50.694169977625677</v>
      </c>
      <c r="CG194" s="553">
        <f>CF194/PI()*SQRT('Hilfstabellen_Mat&amp;Bem'!f.Rd.3/'Hilfstabellen_Mat&amp;Bem'!$BD$30)</f>
        <v>0.80682277378798839</v>
      </c>
      <c r="CH194" s="553">
        <f>0.5*(1+'Hilfstabellen_Mat&amp;Bem'!$BD$31*(CG194-0.3)+CG194^2)</f>
        <v>0.85082263284087123</v>
      </c>
      <c r="CI194" s="550">
        <f t="shared" si="151"/>
        <v>0.89214852571383851</v>
      </c>
      <c r="CK194" s="551">
        <f t="shared" si="152"/>
        <v>53989.260182098653</v>
      </c>
      <c r="CN194" s="547">
        <f>'Hilfstabellen_Mat&amp;Bem'!$J$60</f>
        <v>3.7</v>
      </c>
      <c r="CO194" s="546">
        <f t="shared" si="153"/>
        <v>246</v>
      </c>
      <c r="CP194" s="551">
        <f t="shared" si="154"/>
        <v>52.102341365893054</v>
      </c>
      <c r="CQ194" s="553">
        <f>CP194/PI()*SQRT('Hilfstabellen_Mat&amp;Bem'!f.Rd.3/'Hilfstabellen_Mat&amp;Bem'!$BD$30)</f>
        <v>0.82923451750432131</v>
      </c>
      <c r="CR194" s="553">
        <f>0.5*(1+'Hilfstabellen_Mat&amp;Bem'!$BD$31*(CQ194-0.3)+CQ194^2)</f>
        <v>0.87027666838552842</v>
      </c>
      <c r="CS194" s="550">
        <f t="shared" si="155"/>
        <v>0.88153730653089524</v>
      </c>
      <c r="CU194" s="551">
        <f t="shared" si="156"/>
        <v>53347.111642023658</v>
      </c>
      <c r="CX194" s="547">
        <f>'Hilfstabellen_Mat&amp;Bem'!$J$61</f>
        <v>3.8</v>
      </c>
      <c r="CY194" s="546">
        <f t="shared" si="157"/>
        <v>246</v>
      </c>
      <c r="CZ194" s="551">
        <f t="shared" si="158"/>
        <v>53.510512754160438</v>
      </c>
      <c r="DA194" s="553">
        <f>CZ194/PI()*SQRT('Hilfstabellen_Mat&amp;Bem'!f.Rd.3/'Hilfstabellen_Mat&amp;Bem'!$BD$30)</f>
        <v>0.85164626122065445</v>
      </c>
      <c r="DB194" s="553">
        <f>0.5*(1+'Hilfstabellen_Mat&amp;Bem'!$BD$31*(DA194-0.3)+DA194^2)</f>
        <v>0.89023299018659241</v>
      </c>
      <c r="DC194" s="550">
        <f t="shared" si="159"/>
        <v>0.86995215231504197</v>
      </c>
      <c r="DE194" s="551">
        <f t="shared" si="160"/>
        <v>52646.024449497083</v>
      </c>
      <c r="DH194" s="547">
        <f>'Hilfstabellen_Mat&amp;Bem'!$J$62</f>
        <v>3.9</v>
      </c>
      <c r="DI194" s="546">
        <f t="shared" si="161"/>
        <v>246</v>
      </c>
      <c r="DJ194" s="551">
        <f t="shared" si="162"/>
        <v>54.918684142427814</v>
      </c>
      <c r="DK194" s="553">
        <f>DJ194/PI()*SQRT('Hilfstabellen_Mat&amp;Bem'!f.Rd.3/'Hilfstabellen_Mat&amp;Bem'!$BD$30)</f>
        <v>0.87405800493698738</v>
      </c>
      <c r="DL194" s="553">
        <f>0.5*(1+'Hilfstabellen_Mat&amp;Bem'!$BD$31*(DK194-0.3)+DK194^2)</f>
        <v>0.91069159824406265</v>
      </c>
      <c r="DM194" s="550">
        <f t="shared" si="163"/>
        <v>0.85734600040193876</v>
      </c>
      <c r="DO194" s="551">
        <f t="shared" si="164"/>
        <v>51883.150560323724</v>
      </c>
      <c r="DR194" s="547">
        <f>'Hilfstabellen_Mat&amp;Bem'!$J$63</f>
        <v>4</v>
      </c>
      <c r="DS194" s="546">
        <f t="shared" si="165"/>
        <v>246</v>
      </c>
      <c r="DT194" s="551">
        <f t="shared" si="166"/>
        <v>56.326855530695198</v>
      </c>
      <c r="DU194" s="553">
        <f>DT194/PI()*SQRT('Hilfstabellen_Mat&amp;Bem'!f.Rd.3/'Hilfstabellen_Mat&amp;Bem'!$BD$30)</f>
        <v>0.89646974865332041</v>
      </c>
      <c r="DV194" s="553">
        <f>0.5*(1+'Hilfstabellen_Mat&amp;Bem'!$BD$31*(DU194-0.3)+DU194^2)</f>
        <v>0.9316524925579398</v>
      </c>
      <c r="DW194" s="550">
        <f t="shared" si="167"/>
        <v>0.84369451193409994</v>
      </c>
      <c r="DY194" s="551">
        <f t="shared" si="168"/>
        <v>51057.017084203995</v>
      </c>
      <c r="EB194" s="547">
        <f>'Hilfstabellen_Mat&amp;Bem'!$J$64</f>
        <v>4.0999999999999996</v>
      </c>
      <c r="EC194" s="546">
        <f t="shared" si="169"/>
        <v>246</v>
      </c>
      <c r="ED194" s="551">
        <f t="shared" si="170"/>
        <v>57.735026918962575</v>
      </c>
      <c r="EE194" s="553">
        <f>ED194/PI()*SQRT('Hilfstabellen_Mat&amp;Bem'!f.Rd.3/'Hilfstabellen_Mat&amp;Bem'!$BD$30)</f>
        <v>0.91888149236965355</v>
      </c>
      <c r="EF194" s="553">
        <f>0.5*(1+'Hilfstabellen_Mat&amp;Bem'!$BD$31*(EE194-0.3)+EE194^2)</f>
        <v>0.95311567312822354</v>
      </c>
      <c r="EG194" s="550">
        <f t="shared" si="171"/>
        <v>0.8290029172295762</v>
      </c>
      <c r="EI194" s="551">
        <f t="shared" si="172"/>
        <v>50167.940539065035</v>
      </c>
      <c r="EL194" s="547">
        <f>'Hilfstabellen_Mat&amp;Bem'!$J$65</f>
        <v>4.2</v>
      </c>
      <c r="EM194" s="546">
        <f t="shared" si="173"/>
        <v>246</v>
      </c>
      <c r="EN194" s="551">
        <f t="shared" si="174"/>
        <v>59.143198307229959</v>
      </c>
      <c r="EO194" s="553">
        <f>EN194/PI()*SQRT('Hilfstabellen_Mat&amp;Bem'!f.Rd.3/'Hilfstabellen_Mat&amp;Bem'!$BD$30)</f>
        <v>0.94129323608598647</v>
      </c>
      <c r="EP194" s="553">
        <f>0.5*(1+'Hilfstabellen_Mat&amp;Bem'!$BD$31*(EO194-0.3)+EO194^2)</f>
        <v>0.97508113995491374</v>
      </c>
      <c r="EQ194" s="550">
        <f t="shared" si="175"/>
        <v>0.81331104562050727</v>
      </c>
      <c r="ES194" s="551">
        <f t="shared" si="176"/>
        <v>49218.331236770617</v>
      </c>
    </row>
    <row r="195" spans="3:149">
      <c r="C195" s="546">
        <v>247</v>
      </c>
      <c r="D195" s="551">
        <f t="shared" si="131"/>
        <v>39.26916810682475</v>
      </c>
      <c r="E195" s="553">
        <f>$D195/PI()*SQRT('Hilfstabellen_Mat&amp;Bem'!f.Rd.3/'Hilfstabellen_Mat&amp;Bem'!$BD$30)</f>
        <v>0.62498822153077649</v>
      </c>
      <c r="F195" s="553">
        <f>0.5*(1+'Hilfstabellen_Mat&amp;Bem'!$BD$31*($E195-0.3)+$E195^2)</f>
        <v>0.71155454960264031</v>
      </c>
      <c r="G195" s="550">
        <f t="shared" si="132"/>
        <v>0.9508406008704825</v>
      </c>
      <c r="I195" s="551">
        <f t="shared" si="177"/>
        <v>58009.834218507269</v>
      </c>
      <c r="M195" s="546">
        <f t="shared" si="133"/>
        <v>247</v>
      </c>
      <c r="N195" s="551">
        <f t="shared" si="123"/>
        <v>40.671638396354197</v>
      </c>
      <c r="O195" s="553">
        <f>$N195/PI()*SQRT('Hilfstabellen_Mat&amp;Bem'!f.Rd.3/'Hilfstabellen_Mat&amp;Bem'!$BD$30)</f>
        <v>0.64730922944258984</v>
      </c>
      <c r="P195" s="553">
        <f>0.5*(1+'Hilfstabellen_Mat&amp;Bem'!$BD$31*($O195-0.3)+$O195^2)</f>
        <v>0.72687008073290915</v>
      </c>
      <c r="Q195" s="550">
        <f t="shared" si="124"/>
        <v>0.94560655651235193</v>
      </c>
      <c r="S195" s="551">
        <f t="shared" si="178"/>
        <v>57690.510406262081</v>
      </c>
      <c r="W195" s="546">
        <f t="shared" si="134"/>
        <v>247</v>
      </c>
      <c r="X195" s="551">
        <f t="shared" si="125"/>
        <v>42.074108685883658</v>
      </c>
      <c r="Y195" s="553">
        <f>$X195/PI()*SQRT('Hilfstabellen_Mat&amp;Bem'!f.Rd.3/'Hilfstabellen_Mat&amp;Bem'!$BD$30)</f>
        <v>0.66963023735440341</v>
      </c>
      <c r="Z195" s="553">
        <f>0.5*(1+'Hilfstabellen_Mat&amp;Bem'!$BD$31*($Y195-0.3)+$Y195^2)</f>
        <v>0.74268383925737746</v>
      </c>
      <c r="AA195" s="550">
        <f t="shared" si="126"/>
        <v>0.93994510382143293</v>
      </c>
      <c r="AC195" s="551">
        <f t="shared" si="179"/>
        <v>57345.110839041801</v>
      </c>
      <c r="AG195" s="546">
        <f t="shared" si="135"/>
        <v>247</v>
      </c>
      <c r="AH195" s="551">
        <f t="shared" si="127"/>
        <v>43.476578975413112</v>
      </c>
      <c r="AI195" s="553">
        <f>$AH195/PI()*SQRT('Hilfstabellen_Mat&amp;Bem'!f.Rd.3/'Hilfstabellen_Mat&amp;Bem'!$BD$30)</f>
        <v>0.69195124526621676</v>
      </c>
      <c r="AJ195" s="553">
        <f>0.5*(1+'Hilfstabellen_Mat&amp;Bem'!$BD$31*($AI195-0.3)+$AI195^2)</f>
        <v>0.75899582517604491</v>
      </c>
      <c r="AK195" s="550">
        <f t="shared" si="128"/>
        <v>0.93380250044707247</v>
      </c>
      <c r="AM195" s="551">
        <f t="shared" si="180"/>
        <v>56970.356749775441</v>
      </c>
      <c r="AQ195" s="546">
        <f t="shared" si="136"/>
        <v>247</v>
      </c>
      <c r="AR195" s="551">
        <f t="shared" si="129"/>
        <v>44.879049264942566</v>
      </c>
      <c r="AS195" s="553">
        <f>$AR195/PI()*SQRT('Hilfstabellen_Mat&amp;Bem'!f.Rd.3/'Hilfstabellen_Mat&amp;Bem'!$BD$30)</f>
        <v>0.71427225317803023</v>
      </c>
      <c r="AT195" s="553">
        <f>0.5*(1+'Hilfstabellen_Mat&amp;Bem'!$BD$31*($AS195-0.3)+$AS195^2)</f>
        <v>0.77580603848891161</v>
      </c>
      <c r="AU195" s="550">
        <f t="shared" si="130"/>
        <v>0.92711927817402973</v>
      </c>
      <c r="AW195" s="551">
        <f t="shared" si="181"/>
        <v>56562.620042119379</v>
      </c>
      <c r="AZ195" s="547">
        <f>'Hilfstabellen_Mat&amp;Bem'!$J$56</f>
        <v>3.3</v>
      </c>
      <c r="BA195" s="546">
        <f t="shared" si="137"/>
        <v>247</v>
      </c>
      <c r="BB195" s="551">
        <f t="shared" si="138"/>
        <v>46.281519554472027</v>
      </c>
      <c r="BC195" s="553">
        <f>BB195/PI()*SQRT('Hilfstabellen_Mat&amp;Bem'!f.Rd.3/'Hilfstabellen_Mat&amp;Bem'!$BD$30)</f>
        <v>0.73659326108984369</v>
      </c>
      <c r="BD195" s="553">
        <f>0.5*(1+'Hilfstabellen_Mat&amp;Bem'!$BD$31*(BC195-0.3)+BC195^2)</f>
        <v>0.79311447919597744</v>
      </c>
      <c r="BE195" s="550">
        <f t="shared" si="139"/>
        <v>0.91983043168230216</v>
      </c>
      <c r="BG195" s="551">
        <f t="shared" si="140"/>
        <v>56117.934806505575</v>
      </c>
      <c r="BJ195" s="547">
        <f>'Hilfstabellen_Mat&amp;Bem'!$J$57</f>
        <v>3.4</v>
      </c>
      <c r="BK195" s="546">
        <f t="shared" si="141"/>
        <v>247</v>
      </c>
      <c r="BL195" s="551">
        <f t="shared" si="142"/>
        <v>47.683989844001474</v>
      </c>
      <c r="BM195" s="553">
        <f>BL195/PI()*SQRT('Hilfstabellen_Mat&amp;Bem'!f.Rd.3/'Hilfstabellen_Mat&amp;Bem'!$BD$30)</f>
        <v>0.75891426900165704</v>
      </c>
      <c r="BN195" s="553">
        <f>0.5*(1+'Hilfstabellen_Mat&amp;Bem'!$BD$31*(BM195-0.3)+BM195^2)</f>
        <v>0.81092114729724263</v>
      </c>
      <c r="BO195" s="550">
        <f t="shared" si="143"/>
        <v>0.91186612499749786</v>
      </c>
      <c r="BQ195" s="551">
        <f t="shared" si="144"/>
        <v>55632.040419972349</v>
      </c>
      <c r="BT195" s="547">
        <f>'Hilfstabellen_Mat&amp;Bem'!$J$58</f>
        <v>3.5</v>
      </c>
      <c r="BU195" s="546">
        <f t="shared" si="145"/>
        <v>247</v>
      </c>
      <c r="BV195" s="551">
        <f t="shared" si="146"/>
        <v>49.086460133530935</v>
      </c>
      <c r="BW195" s="553">
        <f>BV195/PI()*SQRT('Hilfstabellen_Mat&amp;Bem'!f.Rd.3/'Hilfstabellen_Mat&amp;Bem'!$BD$30)</f>
        <v>0.7812352769134705</v>
      </c>
      <c r="BX195" s="553">
        <f>0.5*(1+'Hilfstabellen_Mat&amp;Bem'!$BD$31*(BW195-0.3)+BW195^2)</f>
        <v>0.82922604279270695</v>
      </c>
      <c r="BY195" s="550">
        <f t="shared" si="147"/>
        <v>0.90315314687593395</v>
      </c>
      <c r="CA195" s="551">
        <f t="shared" si="148"/>
        <v>55100.470337753854</v>
      </c>
      <c r="CD195" s="547">
        <f>'Hilfstabellen_Mat&amp;Bem'!$J$59</f>
        <v>3.6</v>
      </c>
      <c r="CE195" s="546">
        <f t="shared" si="149"/>
        <v>247</v>
      </c>
      <c r="CF195" s="551">
        <f t="shared" si="150"/>
        <v>50.488930423060388</v>
      </c>
      <c r="CG195" s="553">
        <f>CF195/PI()*SQRT('Hilfstabellen_Mat&amp;Bem'!f.Rd.3/'Hilfstabellen_Mat&amp;Bem'!$BD$30)</f>
        <v>0.80355628482528396</v>
      </c>
      <c r="CH195" s="553">
        <f>0.5*(1+'Hilfstabellen_Mat&amp;Bem'!$BD$31*(CG195-0.3)+CG195^2)</f>
        <v>0.84802916568237063</v>
      </c>
      <c r="CI195" s="550">
        <f t="shared" si="151"/>
        <v>0.89361737352729753</v>
      </c>
      <c r="CK195" s="551">
        <f t="shared" si="152"/>
        <v>54518.702341526892</v>
      </c>
      <c r="CN195" s="547">
        <f>'Hilfstabellen_Mat&amp;Bem'!$J$60</f>
        <v>3.7</v>
      </c>
      <c r="CO195" s="546">
        <f t="shared" si="153"/>
        <v>247</v>
      </c>
      <c r="CP195" s="551">
        <f t="shared" si="154"/>
        <v>51.891400712589842</v>
      </c>
      <c r="CQ195" s="553">
        <f>CP195/PI()*SQRT('Hilfstabellen_Mat&amp;Bem'!f.Rd.3/'Hilfstabellen_Mat&amp;Bem'!$BD$30)</f>
        <v>0.82587729273709742</v>
      </c>
      <c r="CR195" s="553">
        <f>0.5*(1+'Hilfstabellen_Mat&amp;Bem'!$BD$31*(CQ195-0.3)+CQ195^2)</f>
        <v>0.86733051596623356</v>
      </c>
      <c r="CS195" s="550">
        <f t="shared" si="155"/>
        <v>0.88318747478282322</v>
      </c>
      <c r="CU195" s="551">
        <f t="shared" si="156"/>
        <v>53882.384649025262</v>
      </c>
      <c r="CX195" s="547">
        <f>'Hilfstabellen_Mat&amp;Bem'!$J$61</f>
        <v>3.8</v>
      </c>
      <c r="CY195" s="546">
        <f t="shared" si="157"/>
        <v>247</v>
      </c>
      <c r="CZ195" s="551">
        <f t="shared" si="158"/>
        <v>53.293871002119303</v>
      </c>
      <c r="DA195" s="553">
        <f>CZ195/PI()*SQRT('Hilfstabellen_Mat&amp;Bem'!f.Rd.3/'Hilfstabellen_Mat&amp;Bem'!$BD$30)</f>
        <v>0.848198300648911</v>
      </c>
      <c r="DB195" s="553">
        <f>0.5*(1+'Hilfstabellen_Mat&amp;Bem'!$BD$31*(DA195-0.3)+DA195^2)</f>
        <v>0.88713009364429585</v>
      </c>
      <c r="DC195" s="550">
        <f t="shared" si="159"/>
        <v>0.871799987092294</v>
      </c>
      <c r="DE195" s="551">
        <f t="shared" si="160"/>
        <v>53187.645412513768</v>
      </c>
      <c r="DH195" s="547">
        <f>'Hilfstabellen_Mat&amp;Bem'!$J$62</f>
        <v>3.9</v>
      </c>
      <c r="DI195" s="546">
        <f t="shared" si="161"/>
        <v>247</v>
      </c>
      <c r="DJ195" s="551">
        <f t="shared" si="162"/>
        <v>54.69634129164875</v>
      </c>
      <c r="DK195" s="553">
        <f>DJ195/PI()*SQRT('Hilfstabellen_Mat&amp;Bem'!f.Rd.3/'Hilfstabellen_Mat&amp;Bem'!$BD$30)</f>
        <v>0.87051930856072424</v>
      </c>
      <c r="DL195" s="553">
        <f>0.5*(1+'Hilfstabellen_Mat&amp;Bem'!$BD$31*(DK195-0.3)+DK195^2)</f>
        <v>0.90742789871655694</v>
      </c>
      <c r="DM195" s="550">
        <f t="shared" si="163"/>
        <v>0.85940563421819804</v>
      </c>
      <c r="DO195" s="551">
        <f t="shared" si="164"/>
        <v>52431.478338018045</v>
      </c>
      <c r="DR195" s="547">
        <f>'Hilfstabellen_Mat&amp;Bem'!$J$63</f>
        <v>4</v>
      </c>
      <c r="DS195" s="546">
        <f t="shared" si="165"/>
        <v>247</v>
      </c>
      <c r="DT195" s="551">
        <f t="shared" si="166"/>
        <v>56.098811581178211</v>
      </c>
      <c r="DU195" s="553">
        <f>DT195/PI()*SQRT('Hilfstabellen_Mat&amp;Bem'!f.Rd.3/'Hilfstabellen_Mat&amp;Bem'!$BD$30)</f>
        <v>0.89284031647253781</v>
      </c>
      <c r="DV195" s="553">
        <f>0.5*(1+'Hilfstabellen_Mat&amp;Bem'!$BD$31*(DU195-0.3)+DU195^2)</f>
        <v>0.9282239311830176</v>
      </c>
      <c r="DW195" s="550">
        <f t="shared" si="167"/>
        <v>0.84597639529282387</v>
      </c>
      <c r="DY195" s="551">
        <f t="shared" si="168"/>
        <v>51612.17390041989</v>
      </c>
      <c r="EB195" s="547">
        <f>'Hilfstabellen_Mat&amp;Bem'!$J$64</f>
        <v>4.0999999999999996</v>
      </c>
      <c r="EC195" s="546">
        <f t="shared" si="169"/>
        <v>247</v>
      </c>
      <c r="ED195" s="551">
        <f t="shared" si="170"/>
        <v>57.501281870707658</v>
      </c>
      <c r="EE195" s="553">
        <f>ED195/PI()*SQRT('Hilfstabellen_Mat&amp;Bem'!f.Rd.3/'Hilfstabellen_Mat&amp;Bem'!$BD$30)</f>
        <v>0.91516132438435105</v>
      </c>
      <c r="EF195" s="553">
        <f>0.5*(1+'Hilfstabellen_Mat&amp;Bem'!$BD$31*(EE195-0.3)+EE195^2)</f>
        <v>0.94951819104367718</v>
      </c>
      <c r="EG195" s="550">
        <f t="shared" si="171"/>
        <v>0.83151236220987734</v>
      </c>
      <c r="EI195" s="551">
        <f t="shared" si="172"/>
        <v>50729.737706062406</v>
      </c>
      <c r="EL195" s="547">
        <f>'Hilfstabellen_Mat&amp;Bem'!$J$65</f>
        <v>4.2</v>
      </c>
      <c r="EM195" s="546">
        <f t="shared" si="173"/>
        <v>247</v>
      </c>
      <c r="EN195" s="551">
        <f t="shared" si="174"/>
        <v>58.903752160237126</v>
      </c>
      <c r="EO195" s="553">
        <f>EN195/PI()*SQRT('Hilfstabellen_Mat&amp;Bem'!f.Rd.3/'Hilfstabellen_Mat&amp;Bem'!$BD$30)</f>
        <v>0.93748233229616484</v>
      </c>
      <c r="EP195" s="553">
        <f>0.5*(1+'Hilfstabellen_Mat&amp;Bem'!$BD$31*(EO195-0.3)+EO195^2)</f>
        <v>0.97131067829853657</v>
      </c>
      <c r="EQ195" s="550">
        <f t="shared" si="175"/>
        <v>0.81604705366100383</v>
      </c>
      <c r="ES195" s="551">
        <f t="shared" si="176"/>
        <v>49786.214696804185</v>
      </c>
    </row>
    <row r="196" spans="3:149">
      <c r="C196" s="546">
        <v>248</v>
      </c>
      <c r="D196" s="551">
        <f t="shared" si="131"/>
        <v>39.110824687039162</v>
      </c>
      <c r="E196" s="553">
        <f>$D196/PI()*SQRT('Hilfstabellen_Mat&amp;Bem'!f.Rd.3/'Hilfstabellen_Mat&amp;Bem'!$BD$30)</f>
        <v>0.62246810773428141</v>
      </c>
      <c r="F196" s="553">
        <f>0.5*(1+'Hilfstabellen_Mat&amp;Bem'!$BD$31*($E196-0.3)+$E196^2)</f>
        <v>0.70985667795986251</v>
      </c>
      <c r="G196" s="550">
        <f t="shared" si="132"/>
        <v>0.95140687330972329</v>
      </c>
      <c r="I196" s="551">
        <f t="shared" si="177"/>
        <v>58515.328336041224</v>
      </c>
      <c r="M196" s="546">
        <f t="shared" si="133"/>
        <v>248</v>
      </c>
      <c r="N196" s="551">
        <f t="shared" si="123"/>
        <v>40.507639854433421</v>
      </c>
      <c r="O196" s="553">
        <f>$N196/PI()*SQRT('Hilfstabellen_Mat&amp;Bem'!f.Rd.3/'Hilfstabellen_Mat&amp;Bem'!$BD$30)</f>
        <v>0.64469911158193438</v>
      </c>
      <c r="P196" s="553">
        <f>0.5*(1+'Hilfstabellen_Mat&amp;Bem'!$BD$31*($O196-0.3)+$O196^2)</f>
        <v>0.7250534278163645</v>
      </c>
      <c r="Q196" s="550">
        <f t="shared" si="124"/>
        <v>0.94623969419553589</v>
      </c>
      <c r="S196" s="551">
        <f t="shared" si="178"/>
        <v>58197.526151802238</v>
      </c>
      <c r="W196" s="546">
        <f t="shared" si="134"/>
        <v>248</v>
      </c>
      <c r="X196" s="551">
        <f t="shared" si="125"/>
        <v>41.90445502182768</v>
      </c>
      <c r="Y196" s="553">
        <f>$X196/PI()*SQRT('Hilfstabellen_Mat&amp;Bem'!f.Rd.3/'Hilfstabellen_Mat&amp;Bem'!$BD$30)</f>
        <v>0.66693011542958724</v>
      </c>
      <c r="Z196" s="553">
        <f>0.5*(1+'Hilfstabellen_Mat&amp;Bem'!$BD$31*($Y196-0.3)+$Y196^2)</f>
        <v>0.74074439520494062</v>
      </c>
      <c r="AA196" s="550">
        <f t="shared" si="126"/>
        <v>0.94065441741703471</v>
      </c>
      <c r="AC196" s="551">
        <f t="shared" si="179"/>
        <v>57854.009288817302</v>
      </c>
      <c r="AG196" s="546">
        <f t="shared" si="135"/>
        <v>248</v>
      </c>
      <c r="AH196" s="551">
        <f t="shared" si="127"/>
        <v>43.301270189221931</v>
      </c>
      <c r="AI196" s="553">
        <f>$AH196/PI()*SQRT('Hilfstabellen_Mat&amp;Bem'!f.Rd.3/'Hilfstabellen_Mat&amp;Bem'!$BD$30)</f>
        <v>0.68916111927724011</v>
      </c>
      <c r="AJ196" s="553">
        <f>0.5*(1+'Hilfstabellen_Mat&amp;Bem'!$BD$31*($AI196-0.3)+$AI196^2)</f>
        <v>0.75692958012559108</v>
      </c>
      <c r="AK196" s="550">
        <f t="shared" si="128"/>
        <v>0.9345986165714808</v>
      </c>
      <c r="AM196" s="551">
        <f t="shared" si="180"/>
        <v>57481.553313612356</v>
      </c>
      <c r="AQ196" s="546">
        <f t="shared" si="136"/>
        <v>248</v>
      </c>
      <c r="AR196" s="551">
        <f t="shared" si="129"/>
        <v>44.698085356616183</v>
      </c>
      <c r="AS196" s="553">
        <f>$AR196/PI()*SQRT('Hilfstabellen_Mat&amp;Bem'!f.Rd.3/'Hilfstabellen_Mat&amp;Bem'!$BD$30)</f>
        <v>0.71139212312489297</v>
      </c>
      <c r="AT196" s="553">
        <f>0.5*(1+'Hilfstabellen_Mat&amp;Bem'!$BD$31*($AS196-0.3)+$AS196^2)</f>
        <v>0.77360898257831612</v>
      </c>
      <c r="AU196" s="550">
        <f t="shared" si="130"/>
        <v>0.92801423361892288</v>
      </c>
      <c r="AW196" s="551">
        <f t="shared" si="181"/>
        <v>57076.587424498233</v>
      </c>
      <c r="AZ196" s="547">
        <f>'Hilfstabellen_Mat&amp;Bem'!$J$56</f>
        <v>3.3</v>
      </c>
      <c r="BA196" s="546">
        <f t="shared" si="137"/>
        <v>248</v>
      </c>
      <c r="BB196" s="551">
        <f t="shared" si="138"/>
        <v>46.094900524010441</v>
      </c>
      <c r="BC196" s="553">
        <f>BB196/PI()*SQRT('Hilfstabellen_Mat&amp;Bem'!f.Rd.3/'Hilfstabellen_Mat&amp;Bem'!$BD$30)</f>
        <v>0.73362312697254595</v>
      </c>
      <c r="BD196" s="553">
        <f>0.5*(1+'Hilfstabellen_Mat&amp;Bem'!$BD$31*(BC196-0.3)+BC196^2)</f>
        <v>0.7907826025631155</v>
      </c>
      <c r="BE196" s="550">
        <f t="shared" si="139"/>
        <v>0.9208377146662361</v>
      </c>
      <c r="BG196" s="551">
        <f t="shared" si="140"/>
        <v>56635.202802832187</v>
      </c>
      <c r="BJ196" s="547">
        <f>'Hilfstabellen_Mat&amp;Bem'!$J$57</f>
        <v>3.4</v>
      </c>
      <c r="BK196" s="546">
        <f t="shared" si="141"/>
        <v>248</v>
      </c>
      <c r="BL196" s="551">
        <f t="shared" si="142"/>
        <v>47.491715691404693</v>
      </c>
      <c r="BM196" s="553">
        <f>BL196/PI()*SQRT('Hilfstabellen_Mat&amp;Bem'!f.Rd.3/'Hilfstabellen_Mat&amp;Bem'!$BD$30)</f>
        <v>0.7558541308201987</v>
      </c>
      <c r="BN196" s="553">
        <f>0.5*(1+'Hilfstabellen_Mat&amp;Bem'!$BD$31*(BM196-0.3)+BM196^2)</f>
        <v>0.80845044007998901</v>
      </c>
      <c r="BO196" s="550">
        <f t="shared" si="143"/>
        <v>0.91300062576976315</v>
      </c>
      <c r="BQ196" s="551">
        <f t="shared" si="144"/>
        <v>56153.190487343512</v>
      </c>
      <c r="BT196" s="547">
        <f>'Hilfstabellen_Mat&amp;Bem'!$J$58</f>
        <v>3.5</v>
      </c>
      <c r="BU196" s="546">
        <f t="shared" si="145"/>
        <v>248</v>
      </c>
      <c r="BV196" s="551">
        <f t="shared" si="146"/>
        <v>48.888530858798951</v>
      </c>
      <c r="BW196" s="553">
        <f>BV196/PI()*SQRT('Hilfstabellen_Mat&amp;Bem'!f.Rd.3/'Hilfstabellen_Mat&amp;Bem'!$BD$30)</f>
        <v>0.77808513466785167</v>
      </c>
      <c r="BX196" s="553">
        <f>0.5*(1+'Hilfstabellen_Mat&amp;Bem'!$BD$31*(BW196-0.3)+BW196^2)</f>
        <v>0.82661249512893709</v>
      </c>
      <c r="BY196" s="550">
        <f t="shared" si="147"/>
        <v>0.9044309684199684</v>
      </c>
      <c r="CA196" s="551">
        <f t="shared" si="148"/>
        <v>55626.122281701733</v>
      </c>
      <c r="CD196" s="547">
        <f>'Hilfstabellen_Mat&amp;Bem'!$J$59</f>
        <v>3.6</v>
      </c>
      <c r="CE196" s="546">
        <f t="shared" si="149"/>
        <v>248</v>
      </c>
      <c r="CF196" s="551">
        <f t="shared" si="150"/>
        <v>50.28534602619321</v>
      </c>
      <c r="CG196" s="553">
        <f>CF196/PI()*SQRT('Hilfstabellen_Mat&amp;Bem'!f.Rd.3/'Hilfstabellen_Mat&amp;Bem'!$BD$30)</f>
        <v>0.80031613851550465</v>
      </c>
      <c r="CH196" s="553">
        <f>0.5*(1+'Hilfstabellen_Mat&amp;Bem'!$BD$31*(CG196-0.3)+CG196^2)</f>
        <v>0.8452687677099594</v>
      </c>
      <c r="CI196" s="550">
        <f t="shared" si="151"/>
        <v>0.89505544452534058</v>
      </c>
      <c r="CK196" s="551">
        <f t="shared" si="152"/>
        <v>55049.490060086544</v>
      </c>
      <c r="CN196" s="547">
        <f>'Hilfstabellen_Mat&amp;Bem'!$J$60</f>
        <v>3.7</v>
      </c>
      <c r="CO196" s="546">
        <f t="shared" si="153"/>
        <v>248</v>
      </c>
      <c r="CP196" s="551">
        <f t="shared" si="154"/>
        <v>51.682161193587469</v>
      </c>
      <c r="CQ196" s="553">
        <f>CP196/PI()*SQRT('Hilfstabellen_Mat&amp;Bem'!f.Rd.3/'Hilfstabellen_Mat&amp;Bem'!$BD$30)</f>
        <v>0.82254714236315751</v>
      </c>
      <c r="CR196" s="553">
        <f>0.5*(1+'Hilfstabellen_Mat&amp;Bem'!$BD$31*(CQ196-0.3)+CQ196^2)</f>
        <v>0.86441925782305606</v>
      </c>
      <c r="CS196" s="550">
        <f t="shared" si="155"/>
        <v>0.88480290772637826</v>
      </c>
      <c r="CU196" s="551">
        <f t="shared" si="156"/>
        <v>54418.918036803167</v>
      </c>
      <c r="CX196" s="547">
        <f>'Hilfstabellen_Mat&amp;Bem'!$J$61</f>
        <v>3.8</v>
      </c>
      <c r="CY196" s="546">
        <f t="shared" si="157"/>
        <v>248</v>
      </c>
      <c r="CZ196" s="551">
        <f t="shared" si="158"/>
        <v>53.07897636098172</v>
      </c>
      <c r="DA196" s="553">
        <f>CZ196/PI()*SQRT('Hilfstabellen_Mat&amp;Bem'!f.Rd.3/'Hilfstabellen_Mat&amp;Bem'!$BD$30)</f>
        <v>0.84477814621081038</v>
      </c>
      <c r="DB196" s="553">
        <f>0.5*(1+'Hilfstabellen_Mat&amp;Bem'!$BD$31*(DA196-0.3)+DA196^2)</f>
        <v>0.88406396546822719</v>
      </c>
      <c r="DC196" s="550">
        <f t="shared" si="159"/>
        <v>0.87360914335235484</v>
      </c>
      <c r="DE196" s="551">
        <f t="shared" si="160"/>
        <v>53730.45675274323</v>
      </c>
      <c r="DH196" s="547">
        <f>'Hilfstabellen_Mat&amp;Bem'!$J$62</f>
        <v>3.9</v>
      </c>
      <c r="DI196" s="546">
        <f t="shared" si="161"/>
        <v>248</v>
      </c>
      <c r="DJ196" s="551">
        <f t="shared" si="162"/>
        <v>54.475791528375979</v>
      </c>
      <c r="DK196" s="553">
        <f>DJ196/PI()*SQRT('Hilfstabellen_Mat&amp;Bem'!f.Rd.3/'Hilfstabellen_Mat&amp;Bem'!$BD$30)</f>
        <v>0.86700915005846335</v>
      </c>
      <c r="DL196" s="553">
        <f>0.5*(1+'Hilfstabellen_Mat&amp;Bem'!$BD$31*(DK196-0.3)+DK196^2)</f>
        <v>0.90420289064547266</v>
      </c>
      <c r="DM196" s="550">
        <f t="shared" si="163"/>
        <v>0.86142290392023479</v>
      </c>
      <c r="DO196" s="551">
        <f t="shared" si="164"/>
        <v>52980.954282710118</v>
      </c>
      <c r="DR196" s="547">
        <f>'Hilfstabellen_Mat&amp;Bem'!$J$63</f>
        <v>4</v>
      </c>
      <c r="DS196" s="546">
        <f t="shared" si="165"/>
        <v>248</v>
      </c>
      <c r="DT196" s="551">
        <f t="shared" si="166"/>
        <v>55.87260669577023</v>
      </c>
      <c r="DU196" s="553">
        <f>DT196/PI()*SQRT('Hilfstabellen_Mat&amp;Bem'!f.Rd.3/'Hilfstabellen_Mat&amp;Bem'!$BD$30)</f>
        <v>0.88924015390611622</v>
      </c>
      <c r="DV196" s="553">
        <f>0.5*(1+'Hilfstabellen_Mat&amp;Bem'!$BD$31*(DU196-0.3)+DU196^2)</f>
        <v>0.92483603335479247</v>
      </c>
      <c r="DW196" s="550">
        <f t="shared" si="167"/>
        <v>0.84821277569700859</v>
      </c>
      <c r="DY196" s="551">
        <f t="shared" si="168"/>
        <v>52168.478556468814</v>
      </c>
      <c r="EB196" s="547">
        <f>'Hilfstabellen_Mat&amp;Bem'!$J$64</f>
        <v>4.0999999999999996</v>
      </c>
      <c r="EC196" s="546">
        <f t="shared" si="169"/>
        <v>248</v>
      </c>
      <c r="ED196" s="551">
        <f t="shared" si="170"/>
        <v>57.269421863164482</v>
      </c>
      <c r="EE196" s="553">
        <f>ED196/PI()*SQRT('Hilfstabellen_Mat&amp;Bem'!f.Rd.3/'Hilfstabellen_Mat&amp;Bem'!$BD$30)</f>
        <v>0.91147115775376908</v>
      </c>
      <c r="EF196" s="553">
        <f>0.5*(1+'Hilfstabellen_Mat&amp;Bem'!$BD$31*(EE196-0.3)+EE196^2)</f>
        <v>0.94596339359618653</v>
      </c>
      <c r="EG196" s="550">
        <f t="shared" si="171"/>
        <v>0.83397401188979559</v>
      </c>
      <c r="EI196" s="551">
        <f t="shared" si="172"/>
        <v>51292.737627269991</v>
      </c>
      <c r="EL196" s="547">
        <f>'Hilfstabellen_Mat&amp;Bem'!$J$65</f>
        <v>4.2</v>
      </c>
      <c r="EM196" s="546">
        <f t="shared" si="173"/>
        <v>248</v>
      </c>
      <c r="EN196" s="551">
        <f t="shared" si="174"/>
        <v>58.66623703055874</v>
      </c>
      <c r="EO196" s="553">
        <f>EN196/PI()*SQRT('Hilfstabellen_Mat&amp;Bem'!f.Rd.3/'Hilfstabellen_Mat&amp;Bem'!$BD$30)</f>
        <v>0.93370216160142194</v>
      </c>
      <c r="EP196" s="553">
        <f>0.5*(1+'Hilfstabellen_Mat&amp;Bem'!$BD$31*(EO196-0.3)+EO196^2)</f>
        <v>0.96758497136965493</v>
      </c>
      <c r="EQ196" s="550">
        <f t="shared" si="175"/>
        <v>0.81873407893815187</v>
      </c>
      <c r="ES196" s="551">
        <f t="shared" si="176"/>
        <v>50355.420791012089</v>
      </c>
    </row>
    <row r="197" spans="3:149">
      <c r="C197" s="546">
        <v>249</v>
      </c>
      <c r="D197" s="551">
        <f t="shared" si="131"/>
        <v>38.953753101950653</v>
      </c>
      <c r="E197" s="553">
        <f>$D197/PI()*SQRT('Hilfstabellen_Mat&amp;Bem'!f.Rd.3/'Hilfstabellen_Mat&amp;Bem'!$BD$30)</f>
        <v>0.61996823581566984</v>
      </c>
      <c r="F197" s="553">
        <f>0.5*(1+'Hilfstabellen_Mat&amp;Bem'!$BD$31*($E197-0.3)+$E197^2)</f>
        <v>0.70817871850098058</v>
      </c>
      <c r="G197" s="550">
        <f t="shared" si="132"/>
        <v>0.95196389060381159</v>
      </c>
      <c r="I197" s="551">
        <f t="shared" si="177"/>
        <v>59022.713181326922</v>
      </c>
      <c r="M197" s="546">
        <f t="shared" si="133"/>
        <v>249</v>
      </c>
      <c r="N197" s="551">
        <f t="shared" si="123"/>
        <v>40.344958569877456</v>
      </c>
      <c r="O197" s="553">
        <f>$N197/PI()*SQRT('Hilfstabellen_Mat&amp;Bem'!f.Rd.3/'Hilfstabellen_Mat&amp;Bem'!$BD$30)</f>
        <v>0.64210995852337227</v>
      </c>
      <c r="P197" s="553">
        <f>0.5*(1+'Hilfstabellen_Mat&amp;Bem'!$BD$31*($O197-0.3)+$O197^2)</f>
        <v>0.72325809734361213</v>
      </c>
      <c r="Q197" s="550">
        <f t="shared" si="124"/>
        <v>0.94686205820054037</v>
      </c>
      <c r="S197" s="551">
        <f t="shared" si="178"/>
        <v>58706.394470491701</v>
      </c>
      <c r="W197" s="546">
        <f t="shared" si="134"/>
        <v>249</v>
      </c>
      <c r="X197" s="551">
        <f t="shared" si="125"/>
        <v>41.736164037804272</v>
      </c>
      <c r="Y197" s="553">
        <f>$X197/PI()*SQRT('Hilfstabellen_Mat&amp;Bem'!f.Rd.3/'Hilfstabellen_Mat&amp;Bem'!$BD$30)</f>
        <v>0.66425168123107481</v>
      </c>
      <c r="Z197" s="553">
        <f>0.5*(1+'Hilfstabellen_Mat&amp;Bem'!$BD$31*($Y197-0.3)+$Y197^2)</f>
        <v>0.73882773207070851</v>
      </c>
      <c r="AA197" s="550">
        <f t="shared" si="126"/>
        <v>0.94135118251020788</v>
      </c>
      <c r="AC197" s="551">
        <f t="shared" si="179"/>
        <v>58364.714666815402</v>
      </c>
      <c r="AG197" s="546">
        <f t="shared" si="135"/>
        <v>249</v>
      </c>
      <c r="AH197" s="551">
        <f t="shared" si="127"/>
        <v>43.127369505731082</v>
      </c>
      <c r="AI197" s="553">
        <f>$AH197/PI()*SQRT('Hilfstabellen_Mat&amp;Bem'!f.Rd.3/'Hilfstabellen_Mat&amp;Bem'!$BD$30)</f>
        <v>0.68639340393877735</v>
      </c>
      <c r="AJ197" s="553">
        <f>0.5*(1+'Hilfstabellen_Mat&amp;Bem'!$BD$31*($AI197-0.3)+$AI197^2)</f>
        <v>0.75488762268226972</v>
      </c>
      <c r="AK197" s="550">
        <f t="shared" si="128"/>
        <v>0.93538011890646844</v>
      </c>
      <c r="AM197" s="551">
        <f t="shared" si="180"/>
        <v>57994.502752319953</v>
      </c>
      <c r="AQ197" s="546">
        <f t="shared" si="136"/>
        <v>249</v>
      </c>
      <c r="AR197" s="551">
        <f t="shared" si="129"/>
        <v>44.518574973657884</v>
      </c>
      <c r="AS197" s="553">
        <f>$AR197/PI()*SQRT('Hilfstabellen_Mat&amp;Bem'!f.Rd.3/'Hilfstabellen_Mat&amp;Bem'!$BD$30)</f>
        <v>0.70853512664647977</v>
      </c>
      <c r="AT197" s="553">
        <f>0.5*(1+'Hilfstabellen_Mat&amp;Bem'!$BD$31*($AS197-0.3)+$AS197^2)</f>
        <v>0.77143776917829543</v>
      </c>
      <c r="AU197" s="550">
        <f t="shared" si="130"/>
        <v>0.92889218781191163</v>
      </c>
      <c r="AW197" s="551">
        <f t="shared" si="181"/>
        <v>57592.244536526334</v>
      </c>
      <c r="AZ197" s="547">
        <f>'Hilfstabellen_Mat&amp;Bem'!$J$56</f>
        <v>3.3</v>
      </c>
      <c r="BA197" s="546">
        <f t="shared" si="137"/>
        <v>249</v>
      </c>
      <c r="BB197" s="551">
        <f t="shared" si="138"/>
        <v>45.909780441584694</v>
      </c>
      <c r="BC197" s="553">
        <f>BB197/PI()*SQRT('Hilfstabellen_Mat&amp;Bem'!f.Rd.3/'Hilfstabellen_Mat&amp;Bem'!$BD$30)</f>
        <v>0.7306768493541822</v>
      </c>
      <c r="BD197" s="553">
        <f>0.5*(1+'Hilfstabellen_Mat&amp;Bem'!$BD$31*(BC197-0.3)+BC197^2)</f>
        <v>0.78847817155878619</v>
      </c>
      <c r="BE197" s="550">
        <f t="shared" si="139"/>
        <v>0.92182526252844454</v>
      </c>
      <c r="BG197" s="551">
        <f t="shared" si="140"/>
        <v>57154.088102026093</v>
      </c>
      <c r="BJ197" s="547">
        <f>'Hilfstabellen_Mat&amp;Bem'!$J$57</f>
        <v>3.4</v>
      </c>
      <c r="BK197" s="546">
        <f t="shared" si="141"/>
        <v>249</v>
      </c>
      <c r="BL197" s="551">
        <f t="shared" si="142"/>
        <v>47.300985909511503</v>
      </c>
      <c r="BM197" s="553">
        <f>BL197/PI()*SQRT('Hilfstabellen_Mat&amp;Bem'!f.Rd.3/'Hilfstabellen_Mat&amp;Bem'!$BD$30)</f>
        <v>0.75281857206188474</v>
      </c>
      <c r="BN197" s="553">
        <f>0.5*(1+'Hilfstabellen_Mat&amp;Bem'!$BD$31*(BM197-0.3)+BM197^2)</f>
        <v>0.80600882982374178</v>
      </c>
      <c r="BO197" s="550">
        <f t="shared" si="143"/>
        <v>0.91411230187828973</v>
      </c>
      <c r="BQ197" s="551">
        <f t="shared" si="144"/>
        <v>56675.876828755841</v>
      </c>
      <c r="BT197" s="547">
        <f>'Hilfstabellen_Mat&amp;Bem'!$J$58</f>
        <v>3.5</v>
      </c>
      <c r="BU197" s="546">
        <f t="shared" si="145"/>
        <v>249</v>
      </c>
      <c r="BV197" s="551">
        <f t="shared" si="146"/>
        <v>48.69219137743832</v>
      </c>
      <c r="BW197" s="553">
        <f>BV197/PI()*SQRT('Hilfstabellen_Mat&amp;Bem'!f.Rd.3/'Hilfstabellen_Mat&amp;Bem'!$BD$30)</f>
        <v>0.77496029476958739</v>
      </c>
      <c r="BX197" s="553">
        <f>0.5*(1+'Hilfstabellen_Mat&amp;Bem'!$BD$31*(BW197-0.3)+BW197^2)</f>
        <v>0.82402974397316231</v>
      </c>
      <c r="BY197" s="550">
        <f t="shared" si="147"/>
        <v>0.90568253602419968</v>
      </c>
      <c r="CA197" s="551">
        <f t="shared" si="148"/>
        <v>56153.222916036408</v>
      </c>
      <c r="CD197" s="547">
        <f>'Hilfstabellen_Mat&amp;Bem'!$J$59</f>
        <v>3.6</v>
      </c>
      <c r="CE197" s="546">
        <f t="shared" si="149"/>
        <v>249</v>
      </c>
      <c r="CF197" s="551">
        <f t="shared" si="150"/>
        <v>50.083396845365122</v>
      </c>
      <c r="CG197" s="553">
        <f>CF197/PI()*SQRT('Hilfstabellen_Mat&amp;Bem'!f.Rd.3/'Hilfstabellen_Mat&amp;Bem'!$BD$30)</f>
        <v>0.7971020174772897</v>
      </c>
      <c r="CH197" s="553">
        <f>0.5*(1+'Hilfstabellen_Mat&amp;Bem'!$BD$31*(CG197-0.3)+CG197^2)</f>
        <v>0.84254091400704723</v>
      </c>
      <c r="CI197" s="550">
        <f t="shared" si="151"/>
        <v>0.89646354629519653</v>
      </c>
      <c r="CK197" s="551">
        <f t="shared" si="152"/>
        <v>55581.636333848481</v>
      </c>
      <c r="CN197" s="547">
        <f>'Hilfstabellen_Mat&amp;Bem'!$J$60</f>
        <v>3.7</v>
      </c>
      <c r="CO197" s="546">
        <f t="shared" si="153"/>
        <v>249</v>
      </c>
      <c r="CP197" s="551">
        <f t="shared" si="154"/>
        <v>51.474602313291932</v>
      </c>
      <c r="CQ197" s="553">
        <f>CP197/PI()*SQRT('Hilfstabellen_Mat&amp;Bem'!f.Rd.3/'Hilfstabellen_Mat&amp;Bem'!$BD$30)</f>
        <v>0.81924374018499224</v>
      </c>
      <c r="CR197" s="553">
        <f>0.5*(1+'Hilfstabellen_Mat&amp;Bem'!$BD$31*(CQ197-0.3)+CQ197^2)</f>
        <v>0.86154233992539708</v>
      </c>
      <c r="CS197" s="550">
        <f t="shared" si="155"/>
        <v>0.88638447485383864</v>
      </c>
      <c r="CU197" s="551">
        <f t="shared" si="156"/>
        <v>54956.723825412853</v>
      </c>
      <c r="CX197" s="547">
        <f>'Hilfstabellen_Mat&amp;Bem'!$J$61</f>
        <v>3.8</v>
      </c>
      <c r="CY197" s="546">
        <f t="shared" si="157"/>
        <v>249</v>
      </c>
      <c r="CZ197" s="551">
        <f t="shared" si="158"/>
        <v>52.865807781218741</v>
      </c>
      <c r="DA197" s="553">
        <f>CZ197/PI()*SQRT('Hilfstabellen_Mat&amp;Bem'!f.Rd.3/'Hilfstabellen_Mat&amp;Bem'!$BD$30)</f>
        <v>0.84138546289269467</v>
      </c>
      <c r="DB197" s="553">
        <f>0.5*(1+'Hilfstabellen_Mat&amp;Bem'!$BD$31*(DA197-0.3)+DA197^2)</f>
        <v>0.88103402172821177</v>
      </c>
      <c r="DC197" s="550">
        <f t="shared" si="159"/>
        <v>0.87538052181531434</v>
      </c>
      <c r="DE197" s="551">
        <f t="shared" si="160"/>
        <v>54274.467733071302</v>
      </c>
      <c r="DH197" s="547">
        <f>'Hilfstabellen_Mat&amp;Bem'!$J$62</f>
        <v>3.9</v>
      </c>
      <c r="DI197" s="546">
        <f t="shared" si="161"/>
        <v>249</v>
      </c>
      <c r="DJ197" s="551">
        <f t="shared" si="162"/>
        <v>54.257013249145551</v>
      </c>
      <c r="DK197" s="553">
        <f>DJ197/PI()*SQRT('Hilfstabellen_Mat&amp;Bem'!f.Rd.3/'Hilfstabellen_Mat&amp;Bem'!$BD$30)</f>
        <v>0.86352718560039721</v>
      </c>
      <c r="DL197" s="553">
        <f>0.5*(1+'Hilfstabellen_Mat&amp;Bem'!$BD$31*(DK197-0.3)+DK197^2)</f>
        <v>0.90101595941549117</v>
      </c>
      <c r="DM197" s="550">
        <f t="shared" si="163"/>
        <v>0.86339869713978068</v>
      </c>
      <c r="DO197" s="551">
        <f t="shared" si="164"/>
        <v>53531.582621363545</v>
      </c>
      <c r="DR197" s="547">
        <f>'Hilfstabellen_Mat&amp;Bem'!$J$63</f>
        <v>4</v>
      </c>
      <c r="DS197" s="546">
        <f t="shared" si="165"/>
        <v>249</v>
      </c>
      <c r="DT197" s="551">
        <f t="shared" si="166"/>
        <v>55.648218717072361</v>
      </c>
      <c r="DU197" s="553">
        <f>DT197/PI()*SQRT('Hilfstabellen_Mat&amp;Bem'!f.Rd.3/'Hilfstabellen_Mat&amp;Bem'!$BD$30)</f>
        <v>0.88566890830809974</v>
      </c>
      <c r="DV197" s="553">
        <f>0.5*(1+'Hilfstabellen_Mat&amp;Bem'!$BD$31*(DU197-0.3)+DU197^2)</f>
        <v>0.92148815298723563</v>
      </c>
      <c r="DW197" s="550">
        <f t="shared" si="167"/>
        <v>0.85040447234292649</v>
      </c>
      <c r="DY197" s="551">
        <f t="shared" si="168"/>
        <v>52725.927689733784</v>
      </c>
      <c r="EB197" s="547">
        <f>'Hilfstabellen_Mat&amp;Bem'!$J$64</f>
        <v>4.0999999999999996</v>
      </c>
      <c r="EC197" s="546">
        <f t="shared" si="169"/>
        <v>249</v>
      </c>
      <c r="ED197" s="551">
        <f t="shared" si="170"/>
        <v>57.039424184999163</v>
      </c>
      <c r="EE197" s="553">
        <f>ED197/PI()*SQRT('Hilfstabellen_Mat&amp;Bem'!f.Rd.3/'Hilfstabellen_Mat&amp;Bem'!$BD$30)</f>
        <v>0.90781063101580206</v>
      </c>
      <c r="EF197" s="553">
        <f>0.5*(1+'Hilfstabellen_Mat&amp;Bem'!$BD$31*(EE197-0.3)+EE197^2)</f>
        <v>0.94245060244344447</v>
      </c>
      <c r="EG197" s="550">
        <f t="shared" si="171"/>
        <v>0.83638855720495231</v>
      </c>
      <c r="EI197" s="551">
        <f t="shared" si="172"/>
        <v>51856.926935264251</v>
      </c>
      <c r="EL197" s="547">
        <f>'Hilfstabellen_Mat&amp;Bem'!$J$65</f>
        <v>4.2</v>
      </c>
      <c r="EM197" s="546">
        <f t="shared" si="173"/>
        <v>249</v>
      </c>
      <c r="EN197" s="551">
        <f t="shared" si="174"/>
        <v>58.43062965292598</v>
      </c>
      <c r="EO197" s="553">
        <f>EN197/PI()*SQRT('Hilfstabellen_Mat&amp;Bem'!f.Rd.3/'Hilfstabellen_Mat&amp;Bem'!$BD$30)</f>
        <v>0.92995235372350471</v>
      </c>
      <c r="EP197" s="553">
        <f>0.5*(1+'Hilfstabellen_Mat&amp;Bem'!$BD$31*(EO197-0.3)+EO197^2)</f>
        <v>0.96390330778411837</v>
      </c>
      <c r="EQ197" s="550">
        <f t="shared" si="175"/>
        <v>0.82137262960359558</v>
      </c>
      <c r="ES197" s="551">
        <f t="shared" si="176"/>
        <v>50925.924408052531</v>
      </c>
    </row>
    <row r="198" spans="3:149">
      <c r="C198" s="546">
        <v>250</v>
      </c>
      <c r="D198" s="551">
        <f t="shared" si="131"/>
        <v>38.797938089542846</v>
      </c>
      <c r="E198" s="553">
        <f>$D198/PI()*SQRT('Hilfstabellen_Mat&amp;Bem'!f.Rd.3/'Hilfstabellen_Mat&amp;Bem'!$BD$30)</f>
        <v>0.61748836287240705</v>
      </c>
      <c r="F198" s="553">
        <f>0.5*(1+'Hilfstabellen_Mat&amp;Bem'!$BD$31*($E198-0.3)+$E198^2)</f>
        <v>0.70652035728504303</v>
      </c>
      <c r="G198" s="550">
        <f t="shared" si="132"/>
        <v>0.95251188191865255</v>
      </c>
      <c r="I198" s="551">
        <f t="shared" si="177"/>
        <v>59531.992619915785</v>
      </c>
      <c r="M198" s="546">
        <f t="shared" si="133"/>
        <v>250</v>
      </c>
      <c r="N198" s="551">
        <f t="shared" si="123"/>
        <v>40.183578735597948</v>
      </c>
      <c r="O198" s="553">
        <f>$N198/PI()*SQRT('Hilfstabellen_Mat&amp;Bem'!f.Rd.3/'Hilfstabellen_Mat&amp;Bem'!$BD$30)</f>
        <v>0.63954151868927878</v>
      </c>
      <c r="P198" s="553">
        <f>0.5*(1+'Hilfstabellen_Mat&amp;Bem'!$BD$31*($O198-0.3)+$O198^2)</f>
        <v>0.72148375299815848</v>
      </c>
      <c r="Q198" s="550">
        <f t="shared" si="124"/>
        <v>0.94747392276413256</v>
      </c>
      <c r="S198" s="551">
        <f t="shared" si="178"/>
        <v>59217.120172758288</v>
      </c>
      <c r="W198" s="546">
        <f t="shared" si="134"/>
        <v>250</v>
      </c>
      <c r="X198" s="551">
        <f t="shared" si="125"/>
        <v>41.569219381653056</v>
      </c>
      <c r="Y198" s="553">
        <f>$X198/PI()*SQRT('Hilfstabellen_Mat&amp;Bem'!f.Rd.3/'Hilfstabellen_Mat&amp;Bem'!$BD$30)</f>
        <v>0.6615946745061505</v>
      </c>
      <c r="Z198" s="553">
        <f>0.5*(1+'Hilfstabellen_Mat&amp;Bem'!$BD$31*($Y198-0.3)+$Y198^2)</f>
        <v>0.73693349039275713</v>
      </c>
      <c r="AA198" s="550">
        <f t="shared" si="126"/>
        <v>0.94203572641994926</v>
      </c>
      <c r="AC198" s="551">
        <f t="shared" si="179"/>
        <v>58877.232901246825</v>
      </c>
      <c r="AG198" s="546">
        <f t="shared" si="135"/>
        <v>250</v>
      </c>
      <c r="AH198" s="551">
        <f t="shared" si="127"/>
        <v>42.954860027708158</v>
      </c>
      <c r="AI198" s="553">
        <f>$AH198/PI()*SQRT('Hilfstabellen_Mat&amp;Bem'!f.Rd.3/'Hilfstabellen_Mat&amp;Bem'!$BD$30)</f>
        <v>0.68364783032302223</v>
      </c>
      <c r="AJ198" s="553">
        <f>0.5*(1+'Hilfstabellen_Mat&amp;Bem'!$BD$31*($AI198-0.3)+$AI198^2)</f>
        <v>0.75286956946883898</v>
      </c>
      <c r="AK198" s="550">
        <f t="shared" si="128"/>
        <v>0.9361473964890622</v>
      </c>
      <c r="AM198" s="551">
        <f t="shared" si="180"/>
        <v>58509.212280566389</v>
      </c>
      <c r="AQ198" s="546">
        <f t="shared" si="136"/>
        <v>250</v>
      </c>
      <c r="AR198" s="551">
        <f t="shared" si="129"/>
        <v>44.340500673763259</v>
      </c>
      <c r="AS198" s="553">
        <f>$AR198/PI()*SQRT('Hilfstabellen_Mat&amp;Bem'!f.Rd.3/'Hilfstabellen_Mat&amp;Bem'!$BD$30)</f>
        <v>0.70570098613989396</v>
      </c>
      <c r="AT198" s="553">
        <f>0.5*(1+'Hilfstabellen_Mat&amp;Bem'!$BD$31*($AS198-0.3)+$AS198^2)</f>
        <v>0.76929199022640415</v>
      </c>
      <c r="AU198" s="550">
        <f t="shared" si="130"/>
        <v>0.92975360025445675</v>
      </c>
      <c r="AW198" s="551">
        <f t="shared" si="181"/>
        <v>58109.600015903547</v>
      </c>
      <c r="AZ198" s="547">
        <f>'Hilfstabellen_Mat&amp;Bem'!$J$56</f>
        <v>3.3</v>
      </c>
      <c r="BA198" s="546">
        <f t="shared" si="137"/>
        <v>250</v>
      </c>
      <c r="BB198" s="551">
        <f t="shared" si="138"/>
        <v>45.726141319818353</v>
      </c>
      <c r="BC198" s="553">
        <f>BB198/PI()*SQRT('Hilfstabellen_Mat&amp;Bem'!f.Rd.3/'Hilfstabellen_Mat&amp;Bem'!$BD$30)</f>
        <v>0.72775414195676547</v>
      </c>
      <c r="BD198" s="553">
        <f>0.5*(1+'Hilfstabellen_Mat&amp;Bem'!$BD$31*(BC198-0.3)+BC198^2)</f>
        <v>0.78620075266545231</v>
      </c>
      <c r="BE198" s="550">
        <f t="shared" si="139"/>
        <v>0.92279361317845121</v>
      </c>
      <c r="BG198" s="551">
        <f t="shared" si="140"/>
        <v>57674.6008236532</v>
      </c>
      <c r="BJ198" s="547">
        <f>'Hilfstabellen_Mat&amp;Bem'!$J$57</f>
        <v>3.4</v>
      </c>
      <c r="BK198" s="546">
        <f t="shared" si="141"/>
        <v>250</v>
      </c>
      <c r="BL198" s="551">
        <f t="shared" si="142"/>
        <v>47.111781965873462</v>
      </c>
      <c r="BM198" s="553">
        <f>BL198/PI()*SQRT('Hilfstabellen_Mat&amp;Bem'!f.Rd.3/'Hilfstabellen_Mat&amp;Bem'!$BD$30)</f>
        <v>0.7498072977736373</v>
      </c>
      <c r="BN198" s="553">
        <f>0.5*(1+'Hilfstabellen_Mat&amp;Bem'!$BD$31*(BM198-0.3)+BM198^2)</f>
        <v>0.80359585678598378</v>
      </c>
      <c r="BO198" s="550">
        <f t="shared" si="143"/>
        <v>0.91520177533273173</v>
      </c>
      <c r="BQ198" s="551">
        <f t="shared" si="144"/>
        <v>57200.110958295736</v>
      </c>
      <c r="BT198" s="547">
        <f>'Hilfstabellen_Mat&amp;Bem'!$J$58</f>
        <v>3.5</v>
      </c>
      <c r="BU198" s="546">
        <f t="shared" si="145"/>
        <v>250</v>
      </c>
      <c r="BV198" s="551">
        <f t="shared" si="146"/>
        <v>48.497422611928563</v>
      </c>
      <c r="BW198" s="553">
        <f>BV198/PI()*SQRT('Hilfstabellen_Mat&amp;Bem'!f.Rd.3/'Hilfstabellen_Mat&amp;Bem'!$BD$30)</f>
        <v>0.77186045359050892</v>
      </c>
      <c r="BX198" s="553">
        <f>0.5*(1+'Hilfstabellen_Mat&amp;Bem'!$BD$31*(BW198-0.3)+BW198^2)</f>
        <v>0.82147730258799856</v>
      </c>
      <c r="BY198" s="550">
        <f t="shared" si="147"/>
        <v>0.90690855715976848</v>
      </c>
      <c r="CA198" s="551">
        <f t="shared" si="148"/>
        <v>56681.784822485533</v>
      </c>
      <c r="CD198" s="547">
        <f>'Hilfstabellen_Mat&amp;Bem'!$J$59</f>
        <v>3.6</v>
      </c>
      <c r="CE198" s="546">
        <f t="shared" si="149"/>
        <v>250</v>
      </c>
      <c r="CF198" s="551">
        <f t="shared" si="150"/>
        <v>49.883063257983665</v>
      </c>
      <c r="CG198" s="553">
        <f>CF198/PI()*SQRT('Hilfstabellen_Mat&amp;Bem'!f.Rd.3/'Hilfstabellen_Mat&amp;Bem'!$BD$30)</f>
        <v>0.79391360940738054</v>
      </c>
      <c r="CH198" s="553">
        <f>0.5*(1+'Hilfstabellen_Mat&amp;Bem'!$BD$31*(CG198-0.3)+CG198^2)</f>
        <v>0.83984509007149644</v>
      </c>
      <c r="CI198" s="550">
        <f t="shared" si="151"/>
        <v>0.89784246612950591</v>
      </c>
      <c r="CK198" s="551">
        <f t="shared" si="152"/>
        <v>56115.154133094118</v>
      </c>
      <c r="CN198" s="547">
        <f>'Hilfstabellen_Mat&amp;Bem'!$J$60</f>
        <v>3.7</v>
      </c>
      <c r="CO198" s="546">
        <f t="shared" si="153"/>
        <v>250</v>
      </c>
      <c r="CP198" s="551">
        <f t="shared" si="154"/>
        <v>51.268703904038766</v>
      </c>
      <c r="CQ198" s="553">
        <f>CP198/PI()*SQRT('Hilfstabellen_Mat&amp;Bem'!f.Rd.3/'Hilfstabellen_Mat&amp;Bem'!$BD$30)</f>
        <v>0.81596676522425227</v>
      </c>
      <c r="CR198" s="553">
        <f>0.5*(1+'Hilfstabellen_Mat&amp;Bem'!$BD$31*(CQ198-0.3)+CQ198^2)</f>
        <v>0.85869921923647752</v>
      </c>
      <c r="CS198" s="550">
        <f t="shared" si="155"/>
        <v>0.88793302768557392</v>
      </c>
      <c r="CU198" s="551">
        <f t="shared" si="156"/>
        <v>55495.814230348369</v>
      </c>
      <c r="CX198" s="547">
        <f>'Hilfstabellen_Mat&amp;Bem'!$J$61</f>
        <v>3.8</v>
      </c>
      <c r="CY198" s="546">
        <f t="shared" si="157"/>
        <v>250</v>
      </c>
      <c r="CZ198" s="551">
        <f t="shared" si="158"/>
        <v>52.654344550093867</v>
      </c>
      <c r="DA198" s="553">
        <f>CZ198/PI()*SQRT('Hilfstabellen_Mat&amp;Bem'!f.Rd.3/'Hilfstabellen_Mat&amp;Bem'!$BD$30)</f>
        <v>0.83801992104112399</v>
      </c>
      <c r="DB198" s="553">
        <f>0.5*(1+'Hilfstabellen_Mat&amp;Bem'!$BD$31*(DA198-0.3)+DA198^2)</f>
        <v>0.87803969008294203</v>
      </c>
      <c r="DC198" s="550">
        <f t="shared" si="159"/>
        <v>0.87711501016540827</v>
      </c>
      <c r="DE198" s="551">
        <f t="shared" si="160"/>
        <v>54819.688135338016</v>
      </c>
      <c r="DH198" s="547">
        <f>'Hilfstabellen_Mat&amp;Bem'!$J$62</f>
        <v>3.9</v>
      </c>
      <c r="DI198" s="546">
        <f t="shared" si="161"/>
        <v>250</v>
      </c>
      <c r="DJ198" s="551">
        <f t="shared" si="162"/>
        <v>54.039985196148969</v>
      </c>
      <c r="DK198" s="553">
        <f>DJ198/PI()*SQRT('Hilfstabellen_Mat&amp;Bem'!f.Rd.3/'Hilfstabellen_Mat&amp;Bem'!$BD$30)</f>
        <v>0.86007307685799561</v>
      </c>
      <c r="DL198" s="553">
        <f>0.5*(1+'Hilfstabellen_Mat&amp;Bem'!$BD$31*(DK198-0.3)+DK198^2)</f>
        <v>0.89786650261088963</v>
      </c>
      <c r="DM198" s="550">
        <f t="shared" si="163"/>
        <v>0.86533389626200707</v>
      </c>
      <c r="DO198" s="551">
        <f t="shared" si="164"/>
        <v>54083.368516375442</v>
      </c>
      <c r="DR198" s="547">
        <f>'Hilfstabellen_Mat&amp;Bem'!$J$63</f>
        <v>4</v>
      </c>
      <c r="DS198" s="546">
        <f t="shared" si="165"/>
        <v>250</v>
      </c>
      <c r="DT198" s="551">
        <f t="shared" si="166"/>
        <v>55.42562584220407</v>
      </c>
      <c r="DU198" s="553">
        <f>DT198/PI()*SQRT('Hilfstabellen_Mat&amp;Bem'!f.Rd.3/'Hilfstabellen_Mat&amp;Bem'!$BD$30)</f>
        <v>0.88212623267486734</v>
      </c>
      <c r="DV198" s="553">
        <f>0.5*(1+'Hilfstabellen_Mat&amp;Bem'!$BD$31*(DU198-0.3)+DU198^2)</f>
        <v>0.91817965682032043</v>
      </c>
      <c r="DW198" s="550">
        <f t="shared" si="167"/>
        <v>0.85255230944152194</v>
      </c>
      <c r="DY198" s="551">
        <f t="shared" si="168"/>
        <v>53284.519340095118</v>
      </c>
      <c r="EB198" s="547">
        <f>'Hilfstabellen_Mat&amp;Bem'!$J$64</f>
        <v>4.0999999999999996</v>
      </c>
      <c r="EC198" s="546">
        <f t="shared" si="169"/>
        <v>250</v>
      </c>
      <c r="ED198" s="551">
        <f t="shared" si="170"/>
        <v>56.811266488259164</v>
      </c>
      <c r="EE198" s="553">
        <f>ED198/PI()*SQRT('Hilfstabellen_Mat&amp;Bem'!f.Rd.3/'Hilfstabellen_Mat&amp;Bem'!$BD$30)</f>
        <v>0.90417938849173884</v>
      </c>
      <c r="EF198" s="553">
        <f>0.5*(1+'Hilfstabellen_Mat&amp;Bem'!$BD$31*(EE198-0.3)+EE198^2)</f>
        <v>0.93897915271123433</v>
      </c>
      <c r="EG198" s="550">
        <f t="shared" si="171"/>
        <v>0.83875670567527216</v>
      </c>
      <c r="EI198" s="551">
        <f t="shared" si="172"/>
        <v>52422.29410470451</v>
      </c>
      <c r="EL198" s="547">
        <f>'Hilfstabellen_Mat&amp;Bem'!$J$65</f>
        <v>4.2</v>
      </c>
      <c r="EM198" s="546">
        <f t="shared" si="173"/>
        <v>250</v>
      </c>
      <c r="EN198" s="551">
        <f t="shared" si="174"/>
        <v>58.196907134314273</v>
      </c>
      <c r="EO198" s="553">
        <f>EN198/PI()*SQRT('Hilfstabellen_Mat&amp;Bem'!f.Rd.3/'Hilfstabellen_Mat&amp;Bem'!$BD$30)</f>
        <v>0.92623254430861057</v>
      </c>
      <c r="EP198" s="553">
        <f>0.5*(1+'Hilfstabellen_Mat&amp;Bem'!$BD$31*(EO198-0.3)+EO198^2)</f>
        <v>0.96026499028363177</v>
      </c>
      <c r="EQ198" s="550">
        <f t="shared" si="175"/>
        <v>0.82396324145605226</v>
      </c>
      <c r="ES198" s="551">
        <f t="shared" si="176"/>
        <v>51497.702591003268</v>
      </c>
    </row>
    <row r="199" spans="3:149">
      <c r="C199" s="546">
        <v>251</v>
      </c>
      <c r="D199" s="551">
        <f t="shared" si="131"/>
        <v>38.643364631018777</v>
      </c>
      <c r="E199" s="553">
        <f>$D199/PI()*SQRT('Hilfstabellen_Mat&amp;Bem'!f.Rd.3/'Hilfstabellen_Mat&amp;Bem'!$BD$30)</f>
        <v>0.61502824987291549</v>
      </c>
      <c r="F199" s="553">
        <f>0.5*(1+'Hilfstabellen_Mat&amp;Bem'!$BD$31*($E199-0.3)+$E199^2)</f>
        <v>0.70488128656451643</v>
      </c>
      <c r="G199" s="550">
        <f t="shared" si="132"/>
        <v>0.95305106913545379</v>
      </c>
      <c r="I199" s="551">
        <f t="shared" si="177"/>
        <v>60043.170406602723</v>
      </c>
      <c r="M199" s="546">
        <f t="shared" si="133"/>
        <v>251</v>
      </c>
      <c r="N199" s="551">
        <f t="shared" si="123"/>
        <v>40.023484796412305</v>
      </c>
      <c r="O199" s="553">
        <f>$N199/PI()*SQRT('Hilfstabellen_Mat&amp;Bem'!f.Rd.3/'Hilfstabellen_Mat&amp;Bem'!$BD$30)</f>
        <v>0.63699354451123391</v>
      </c>
      <c r="P199" s="553">
        <f>0.5*(1+'Hilfstabellen_Mat&amp;Bem'!$BD$31*($O199-0.3)+$O199^2)</f>
        <v>0.71973006510005444</v>
      </c>
      <c r="Q199" s="550">
        <f t="shared" si="124"/>
        <v>0.9480755532710109</v>
      </c>
      <c r="S199" s="551">
        <f t="shared" si="178"/>
        <v>59729.707931626959</v>
      </c>
      <c r="W199" s="546">
        <f t="shared" si="134"/>
        <v>251</v>
      </c>
      <c r="X199" s="551">
        <f t="shared" si="125"/>
        <v>41.403604961805833</v>
      </c>
      <c r="Y199" s="553">
        <f>$X199/PI()*SQRT('Hilfstabellen_Mat&amp;Bem'!f.Rd.3/'Hilfstabellen_Mat&amp;Bem'!$BD$30)</f>
        <v>0.65895883914955233</v>
      </c>
      <c r="Z199" s="553">
        <f>0.5*(1+'Hilfstabellen_Mat&amp;Bem'!$BD$31*($Y199-0.3)+$Y199^2)</f>
        <v>0.73506131780414041</v>
      </c>
      <c r="AA199" s="550">
        <f t="shared" si="126"/>
        <v>0.94270836579617501</v>
      </c>
      <c r="AC199" s="551">
        <f t="shared" si="179"/>
        <v>59391.569753524818</v>
      </c>
      <c r="AG199" s="546">
        <f t="shared" si="135"/>
        <v>251</v>
      </c>
      <c r="AH199" s="551">
        <f t="shared" si="127"/>
        <v>42.783725127199354</v>
      </c>
      <c r="AI199" s="553">
        <f>$AH199/PI()*SQRT('Hilfstabellen_Mat&amp;Bem'!f.Rd.3/'Hilfstabellen_Mat&amp;Bem'!$BD$30)</f>
        <v>0.68092413378787064</v>
      </c>
      <c r="AJ199" s="553">
        <f>0.5*(1+'Hilfstabellen_Mat&amp;Bem'!$BD$31*($AI199-0.3)+$AI199^2)</f>
        <v>0.75087504467677446</v>
      </c>
      <c r="AK199" s="550">
        <f t="shared" si="128"/>
        <v>0.93690082564552457</v>
      </c>
      <c r="AM199" s="551">
        <f t="shared" si="180"/>
        <v>59025.688916493695</v>
      </c>
      <c r="AQ199" s="546">
        <f t="shared" si="136"/>
        <v>251</v>
      </c>
      <c r="AR199" s="551">
        <f t="shared" si="129"/>
        <v>44.163845292592882</v>
      </c>
      <c r="AS199" s="553">
        <f>$AR199/PI()*SQRT('Hilfstabellen_Mat&amp;Bem'!f.Rd.3/'Hilfstabellen_Mat&amp;Bem'!$BD$30)</f>
        <v>0.70288942842618907</v>
      </c>
      <c r="AT199" s="553">
        <f>0.5*(1+'Hilfstabellen_Mat&amp;Bem'!$BD$31*($AS199-0.3)+$AS199^2)</f>
        <v>0.76717124571795692</v>
      </c>
      <c r="AU199" s="550">
        <f t="shared" si="130"/>
        <v>0.93059891554821317</v>
      </c>
      <c r="AW199" s="551">
        <f t="shared" si="181"/>
        <v>58628.662278452975</v>
      </c>
      <c r="AZ199" s="547">
        <f>'Hilfstabellen_Mat&amp;Bem'!$J$56</f>
        <v>3.3</v>
      </c>
      <c r="BA199" s="546">
        <f t="shared" si="137"/>
        <v>251</v>
      </c>
      <c r="BB199" s="551">
        <f t="shared" si="138"/>
        <v>45.543965457986417</v>
      </c>
      <c r="BC199" s="553">
        <f>BB199/PI()*SQRT('Hilfstabellen_Mat&amp;Bem'!f.Rd.3/'Hilfstabellen_Mat&amp;Bem'!$BD$30)</f>
        <v>0.7248547230645076</v>
      </c>
      <c r="BD199" s="553">
        <f>0.5*(1+'Hilfstabellen_Mat&amp;Bem'!$BD$31*(BC199-0.3)+BC199^2)</f>
        <v>0.78394992092768734</v>
      </c>
      <c r="BE199" s="550">
        <f t="shared" si="139"/>
        <v>0.92374328744795853</v>
      </c>
      <c r="BG199" s="551">
        <f t="shared" si="140"/>
        <v>58196.750852508834</v>
      </c>
      <c r="BJ199" s="547">
        <f>'Hilfstabellen_Mat&amp;Bem'!$J$57</f>
        <v>3.4</v>
      </c>
      <c r="BK199" s="546">
        <f t="shared" si="141"/>
        <v>251</v>
      </c>
      <c r="BL199" s="551">
        <f t="shared" si="142"/>
        <v>46.924085623379945</v>
      </c>
      <c r="BM199" s="553">
        <f>BL199/PI()*SQRT('Hilfstabellen_Mat&amp;Bem'!f.Rd.3/'Hilfstabellen_Mat&amp;Bem'!$BD$30)</f>
        <v>0.74682001770282591</v>
      </c>
      <c r="BN199" s="553">
        <f>0.5*(1+'Hilfstabellen_Mat&amp;Bem'!$BD$31*(BM199-0.3)+BM199^2)</f>
        <v>0.80121107030596594</v>
      </c>
      <c r="BO199" s="550">
        <f t="shared" si="143"/>
        <v>0.91626964917011666</v>
      </c>
      <c r="BQ199" s="551">
        <f t="shared" si="144"/>
        <v>57725.90416736652</v>
      </c>
      <c r="BT199" s="547">
        <f>'Hilfstabellen_Mat&amp;Bem'!$J$58</f>
        <v>3.5</v>
      </c>
      <c r="BU199" s="546">
        <f t="shared" si="145"/>
        <v>251</v>
      </c>
      <c r="BV199" s="551">
        <f t="shared" si="146"/>
        <v>48.304205788773466</v>
      </c>
      <c r="BW199" s="553">
        <f>BV199/PI()*SQRT('Hilfstabellen_Mat&amp;Bem'!f.Rd.3/'Hilfstabellen_Mat&amp;Bem'!$BD$30)</f>
        <v>0.76878531234114433</v>
      </c>
      <c r="BX199" s="553">
        <f>0.5*(1+'Hilfstabellen_Mat&amp;Bem'!$BD$31*(BW199-0.3)+BW199^2)</f>
        <v>0.81895469385279263</v>
      </c>
      <c r="BY199" s="550">
        <f t="shared" si="147"/>
        <v>0.90810971912631888</v>
      </c>
      <c r="CA199" s="551">
        <f t="shared" si="148"/>
        <v>57211.820414677219</v>
      </c>
      <c r="CD199" s="547">
        <f>'Hilfstabellen_Mat&amp;Bem'!$J$59</f>
        <v>3.6</v>
      </c>
      <c r="CE199" s="546">
        <f t="shared" si="149"/>
        <v>251</v>
      </c>
      <c r="CF199" s="551">
        <f t="shared" si="150"/>
        <v>49.684325954166994</v>
      </c>
      <c r="CG199" s="553">
        <f>CF199/PI()*SQRT('Hilfstabellen_Mat&amp;Bem'!f.Rd.3/'Hilfstabellen_Mat&amp;Bem'!$BD$30)</f>
        <v>0.79075060697946276</v>
      </c>
      <c r="CH199" s="553">
        <f>0.5*(1+'Hilfstabellen_Mat&amp;Bem'!$BD$31*(CG199-0.3)+CG199^2)</f>
        <v>0.83718079156816749</v>
      </c>
      <c r="CI199" s="550">
        <f t="shared" si="151"/>
        <v>0.89919297120098018</v>
      </c>
      <c r="CK199" s="551">
        <f t="shared" si="152"/>
        <v>56650.056378632951</v>
      </c>
      <c r="CN199" s="547">
        <f>'Hilfstabellen_Mat&amp;Bem'!$J$60</f>
        <v>3.7</v>
      </c>
      <c r="CO199" s="546">
        <f t="shared" si="153"/>
        <v>251</v>
      </c>
      <c r="CP199" s="551">
        <f t="shared" si="154"/>
        <v>51.064446119560522</v>
      </c>
      <c r="CQ199" s="553">
        <f>CP199/PI()*SQRT('Hilfstabellen_Mat&amp;Bem'!f.Rd.3/'Hilfstabellen_Mat&amp;Bem'!$BD$30)</f>
        <v>0.81271590161778107</v>
      </c>
      <c r="CR199" s="553">
        <f>0.5*(1+'Hilfstabellen_Mat&amp;Bem'!$BD$31*(CQ199-0.3)+CQ199^2)</f>
        <v>0.85588936345209055</v>
      </c>
      <c r="CS199" s="550">
        <f t="shared" si="155"/>
        <v>0.88944939956605718</v>
      </c>
      <c r="CU199" s="551">
        <f t="shared" si="156"/>
        <v>56036.201622061169</v>
      </c>
      <c r="CX199" s="547">
        <f>'Hilfstabellen_Mat&amp;Bem'!$J$61</f>
        <v>3.8</v>
      </c>
      <c r="CY199" s="546">
        <f t="shared" si="157"/>
        <v>251</v>
      </c>
      <c r="CZ199" s="551">
        <f t="shared" si="158"/>
        <v>52.44456628495405</v>
      </c>
      <c r="DA199" s="553">
        <f>CZ199/PI()*SQRT('Hilfstabellen_Mat&amp;Bem'!f.Rd.3/'Hilfstabellen_Mat&amp;Bem'!$BD$30)</f>
        <v>0.8346811962560996</v>
      </c>
      <c r="DB199" s="553">
        <f>0.5*(1+'Hilfstabellen_Mat&amp;Bem'!$BD$31*(DA199-0.3)+DA199^2)</f>
        <v>0.87508040950456167</v>
      </c>
      <c r="DC199" s="550">
        <f t="shared" si="159"/>
        <v>0.87881348233636014</v>
      </c>
      <c r="DE199" s="551">
        <f t="shared" si="160"/>
        <v>55366.128200673025</v>
      </c>
      <c r="DH199" s="547">
        <f>'Hilfstabellen_Mat&amp;Bem'!$J$62</f>
        <v>3.9</v>
      </c>
      <c r="DI199" s="546">
        <f t="shared" si="161"/>
        <v>251</v>
      </c>
      <c r="DJ199" s="551">
        <f t="shared" si="162"/>
        <v>53.824686450347578</v>
      </c>
      <c r="DK199" s="553">
        <f>DJ199/PI()*SQRT('Hilfstabellen_Mat&amp;Bem'!f.Rd.3/'Hilfstabellen_Mat&amp;Bem'!$BD$30)</f>
        <v>0.85664649089441791</v>
      </c>
      <c r="DL199" s="553">
        <f>0.5*(1+'Hilfstabellen_Mat&amp;Bem'!$BD$31*(DK199-0.3)+DK199^2)</f>
        <v>0.89475392972558099</v>
      </c>
      <c r="DM199" s="550">
        <f t="shared" si="163"/>
        <v>0.86722937712964832</v>
      </c>
      <c r="DO199" s="551">
        <f t="shared" si="164"/>
        <v>54636.317988544972</v>
      </c>
      <c r="DR199" s="547">
        <f>'Hilfstabellen_Mat&amp;Bem'!$J$63</f>
        <v>4</v>
      </c>
      <c r="DS199" s="546">
        <f t="shared" si="165"/>
        <v>251</v>
      </c>
      <c r="DT199" s="551">
        <f t="shared" si="166"/>
        <v>55.204806615741106</v>
      </c>
      <c r="DU199" s="553">
        <f>DT199/PI()*SQRT('Hilfstabellen_Mat&amp;Bem'!f.Rd.3/'Hilfstabellen_Mat&amp;Bem'!$BD$30)</f>
        <v>0.87861178553273644</v>
      </c>
      <c r="DV199" s="553">
        <f>0.5*(1+'Hilfstabellen_Mat&amp;Bem'!$BD$31*(DU199-0.3)+DU199^2)</f>
        <v>0.91490992411514849</v>
      </c>
      <c r="DW199" s="550">
        <f t="shared" si="167"/>
        <v>0.85465711439021197</v>
      </c>
      <c r="DY199" s="551">
        <f t="shared" si="168"/>
        <v>53844.252863697744</v>
      </c>
      <c r="EB199" s="547">
        <f>'Hilfstabellen_Mat&amp;Bem'!$J$64</f>
        <v>4.0999999999999996</v>
      </c>
      <c r="EC199" s="546">
        <f t="shared" si="169"/>
        <v>251</v>
      </c>
      <c r="ED199" s="551">
        <f t="shared" si="170"/>
        <v>56.584926781134634</v>
      </c>
      <c r="EE199" s="553">
        <f>ED199/PI()*SQRT('Hilfstabellen_Mat&amp;Bem'!f.Rd.3/'Hilfstabellen_Mat&amp;Bem'!$BD$30)</f>
        <v>0.90057708017105476</v>
      </c>
      <c r="EF199" s="553">
        <f>0.5*(1+'Hilfstabellen_Mat&amp;Bem'!$BD$31*(EE199-0.3)+EE199^2)</f>
        <v>0.93554839267326395</v>
      </c>
      <c r="EG199" s="550">
        <f t="shared" si="171"/>
        <v>0.84107917924671172</v>
      </c>
      <c r="EI199" s="551">
        <f t="shared" si="172"/>
        <v>52988.829371722088</v>
      </c>
      <c r="EL199" s="547">
        <f>'Hilfstabellen_Mat&amp;Bem'!$J$65</f>
        <v>4.2</v>
      </c>
      <c r="EM199" s="546">
        <f t="shared" si="173"/>
        <v>251</v>
      </c>
      <c r="EN199" s="551">
        <f t="shared" si="174"/>
        <v>57.965046946528162</v>
      </c>
      <c r="EO199" s="553">
        <f>EN199/PI()*SQRT('Hilfstabellen_Mat&amp;Bem'!f.Rd.3/'Hilfstabellen_Mat&amp;Bem'!$BD$30)</f>
        <v>0.92254237480937329</v>
      </c>
      <c r="EP199" s="553">
        <f>0.5*(1+'Hilfstabellen_Mat&amp;Bem'!$BD$31*(EO199-0.3)+EO199^2)</f>
        <v>0.95666933539992782</v>
      </c>
      <c r="EQ199" s="550">
        <f t="shared" si="175"/>
        <v>0.82650647578475289</v>
      </c>
      <c r="ES199" s="551">
        <f t="shared" si="176"/>
        <v>52070.73448091522</v>
      </c>
    </row>
    <row r="200" spans="3:149">
      <c r="C200" s="546">
        <v>252</v>
      </c>
      <c r="D200" s="551">
        <f t="shared" si="131"/>
        <v>38.490017945975048</v>
      </c>
      <c r="E200" s="553">
        <f>$D200/PI()*SQRT('Hilfstabellen_Mat&amp;Bem'!f.Rd.3/'Hilfstabellen_Mat&amp;Bem'!$BD$30)</f>
        <v>0.61258766157976896</v>
      </c>
      <c r="F200" s="553">
        <f>0.5*(1+'Hilfstabellen_Mat&amp;Bem'!$BD$31*($E200-0.3)+$E200^2)</f>
        <v>0.70326120463887321</v>
      </c>
      <c r="G200" s="550">
        <f t="shared" si="132"/>
        <v>0.95358166712411119</v>
      </c>
      <c r="I200" s="551">
        <f t="shared" si="177"/>
        <v>60556.250189049555</v>
      </c>
      <c r="M200" s="546">
        <f t="shared" si="133"/>
        <v>252</v>
      </c>
      <c r="N200" s="551">
        <f t="shared" ref="N200:N263" si="182">$L$8*10^3/$M200*SQRT(12)</f>
        <v>39.864661444045588</v>
      </c>
      <c r="O200" s="553">
        <f>$N200/PI()*SQRT('Hilfstabellen_Mat&amp;Bem'!f.Rd.3/'Hilfstabellen_Mat&amp;Bem'!$BD$30)</f>
        <v>0.63446579235047507</v>
      </c>
      <c r="P200" s="553">
        <f>0.5*(1+'Hilfstabellen_Mat&amp;Bem'!$BD$31*($O200-0.3)+$O200^2)</f>
        <v>0.71799671044898183</v>
      </c>
      <c r="Q200" s="550">
        <f t="shared" ref="Q200:Q263" si="183">MIN(1/($P200+SQRT($P200^2-$O200^2)),1)</f>
        <v>0.94866720658622672</v>
      </c>
      <c r="S200" s="551">
        <f t="shared" si="178"/>
        <v>60244.162287051739</v>
      </c>
      <c r="W200" s="546">
        <f t="shared" si="134"/>
        <v>252</v>
      </c>
      <c r="X200" s="551">
        <f t="shared" ref="X200:X263" si="184">$V$8*10^3/$W200*SQRT(12)</f>
        <v>41.239304942116128</v>
      </c>
      <c r="Y200" s="553">
        <f>$X200/PI()*SQRT('Hilfstabellen_Mat&amp;Bem'!f.Rd.3/'Hilfstabellen_Mat&amp;Bem'!$BD$30)</f>
        <v>0.65634392312118106</v>
      </c>
      <c r="Z200" s="553">
        <f>0.5*(1+'Hilfstabellen_Mat&amp;Bem'!$BD$31*($Y200-0.3)+$Y200^2)</f>
        <v>0.73321086886511044</v>
      </c>
      <c r="AA200" s="550">
        <f t="shared" ref="AA200:AA263" si="185">MIN(1/($Z200+SQRT($Z200^2-$Y200^2)),1)</f>
        <v>0.9433694070165376</v>
      </c>
      <c r="AC200" s="551">
        <f t="shared" si="179"/>
        <v>59907.730823178201</v>
      </c>
      <c r="AG200" s="546">
        <f t="shared" si="135"/>
        <v>252</v>
      </c>
      <c r="AH200" s="551">
        <f t="shared" ref="AH200:AH263" si="186">$AF$8*10^3/$AG200*SQRT(12)</f>
        <v>42.613948440186661</v>
      </c>
      <c r="AI200" s="553">
        <f>$AH200/PI()*SQRT('Hilfstabellen_Mat&amp;Bem'!f.Rd.3/'Hilfstabellen_Mat&amp;Bem'!$BD$30)</f>
        <v>0.67822205389188706</v>
      </c>
      <c r="AJ200" s="553">
        <f>0.5*(1+'Hilfstabellen_Mat&amp;Bem'!$BD$31*($AI200-0.3)+$AI200^2)</f>
        <v>0.74890367988725925</v>
      </c>
      <c r="AK200" s="550">
        <f t="shared" ref="AK200:AK263" si="187">MIN(1/($AJ200+SQRT($AJ200^2-$AI200^2)),1)</f>
        <v>0.93764077045273853</v>
      </c>
      <c r="AM200" s="551">
        <f t="shared" si="180"/>
        <v>59543.939486830706</v>
      </c>
      <c r="AQ200" s="546">
        <f t="shared" si="136"/>
        <v>252</v>
      </c>
      <c r="AR200" s="551">
        <f t="shared" ref="AR200:AR263" si="188">$AP$8*10^3/$AQ200*SQRT(12)</f>
        <v>43.988591938257194</v>
      </c>
      <c r="AS200" s="553">
        <f>$AR200/PI()*SQRT('Hilfstabellen_Mat&amp;Bem'!f.Rd.3/'Hilfstabellen_Mat&amp;Bem'!$BD$30)</f>
        <v>0.70010018466259305</v>
      </c>
      <c r="AT200" s="553">
        <f>0.5*(1+'Hilfstabellen_Mat&amp;Bem'!$BD$31*($AS200-0.3)+$AS200^2)</f>
        <v>0.76507514351542816</v>
      </c>
      <c r="AU200" s="550">
        <f t="shared" ref="AU200:AU263" si="189">MIN(1/($AT200+SQRT($AT200^2-$AS200^2)),1)</f>
        <v>0.93142856391138606</v>
      </c>
      <c r="AW200" s="551">
        <f t="shared" si="181"/>
        <v>59149.439522628658</v>
      </c>
      <c r="AZ200" s="547">
        <f>'Hilfstabellen_Mat&amp;Bem'!$J$56</f>
        <v>3.3</v>
      </c>
      <c r="BA200" s="546">
        <f t="shared" si="137"/>
        <v>252</v>
      </c>
      <c r="BB200" s="551">
        <f t="shared" si="138"/>
        <v>45.363235436327734</v>
      </c>
      <c r="BC200" s="553">
        <f>BB200/PI()*SQRT('Hilfstabellen_Mat&amp;Bem'!f.Rd.3/'Hilfstabellen_Mat&amp;Bem'!$BD$30)</f>
        <v>0.72197831543329904</v>
      </c>
      <c r="BD200" s="553">
        <f>0.5*(1+'Hilfstabellen_Mat&amp;Bem'!$BD$31*(BC200-0.3)+BC200^2)</f>
        <v>0.78172525974961715</v>
      </c>
      <c r="BE200" s="550">
        <f t="shared" si="139"/>
        <v>0.92467478963653305</v>
      </c>
      <c r="BG200" s="551">
        <f t="shared" si="140"/>
        <v>58720.547841078398</v>
      </c>
      <c r="BJ200" s="547">
        <f>'Hilfstabellen_Mat&amp;Bem'!$J$57</f>
        <v>3.4</v>
      </c>
      <c r="BK200" s="546">
        <f t="shared" si="141"/>
        <v>252</v>
      </c>
      <c r="BL200" s="551">
        <f t="shared" si="142"/>
        <v>46.737878934398275</v>
      </c>
      <c r="BM200" s="553">
        <f>BL200/PI()*SQRT('Hilfstabellen_Mat&amp;Bem'!f.Rd.3/'Hilfstabellen_Mat&amp;Bem'!$BD$30)</f>
        <v>0.74385644620400515</v>
      </c>
      <c r="BN200" s="553">
        <f>0.5*(1+'Hilfstabellen_Mat&amp;Bem'!$BD$31*(BM200-0.3)+BM200^2)</f>
        <v>0.79885402858982624</v>
      </c>
      <c r="BO200" s="550">
        <f t="shared" si="143"/>
        <v>0.91731650798051678</v>
      </c>
      <c r="BQ200" s="551">
        <f t="shared" si="144"/>
        <v>58253.26752279474</v>
      </c>
      <c r="BT200" s="547">
        <f>'Hilfstabellen_Mat&amp;Bem'!$J$58</f>
        <v>3.5</v>
      </c>
      <c r="BU200" s="546">
        <f t="shared" si="145"/>
        <v>252</v>
      </c>
      <c r="BV200" s="551">
        <f t="shared" si="146"/>
        <v>48.112522432468815</v>
      </c>
      <c r="BW200" s="553">
        <f>BV200/PI()*SQRT('Hilfstabellen_Mat&amp;Bem'!f.Rd.3/'Hilfstabellen_Mat&amp;Bem'!$BD$30)</f>
        <v>0.76573457697471126</v>
      </c>
      <c r="BX200" s="553">
        <f>0.5*(1+'Hilfstabellen_Mat&amp;Bem'!$BD$31*(BW200-0.3)+BW200^2)</f>
        <v>0.81646145003605564</v>
      </c>
      <c r="BY200" s="550">
        <f t="shared" si="147"/>
        <v>0.90928668947769287</v>
      </c>
      <c r="CA200" s="551">
        <f t="shared" si="148"/>
        <v>57743.341928591406</v>
      </c>
      <c r="CD200" s="547">
        <f>'Hilfstabellen_Mat&amp;Bem'!$J$59</f>
        <v>3.6</v>
      </c>
      <c r="CE200" s="546">
        <f t="shared" si="149"/>
        <v>252</v>
      </c>
      <c r="CF200" s="551">
        <f t="shared" si="150"/>
        <v>49.487165930539348</v>
      </c>
      <c r="CG200" s="553">
        <f>CF200/PI()*SQRT('Hilfstabellen_Mat&amp;Bem'!f.Rd.3/'Hilfstabellen_Mat&amp;Bem'!$BD$30)</f>
        <v>0.78761270774541725</v>
      </c>
      <c r="CH200" s="553">
        <f>0.5*(1+'Hilfstabellen_Mat&amp;Bem'!$BD$31*(CG200-0.3)+CG200^2)</f>
        <v>0.8345475240883049</v>
      </c>
      <c r="CI200" s="550">
        <f t="shared" si="151"/>
        <v>0.90051580877540705</v>
      </c>
      <c r="CK200" s="551">
        <f t="shared" si="152"/>
        <v>57186.355920473448</v>
      </c>
      <c r="CN200" s="547">
        <f>'Hilfstabellen_Mat&amp;Bem'!$J$60</f>
        <v>3.7</v>
      </c>
      <c r="CO200" s="546">
        <f t="shared" si="153"/>
        <v>252</v>
      </c>
      <c r="CP200" s="551">
        <f t="shared" si="154"/>
        <v>50.861809428609881</v>
      </c>
      <c r="CQ200" s="553">
        <f>CP200/PI()*SQRT('Hilfstabellen_Mat&amp;Bem'!f.Rd.3/'Hilfstabellen_Mat&amp;Bem'!$BD$30)</f>
        <v>0.80949083851612313</v>
      </c>
      <c r="CR200" s="553">
        <f>0.5*(1+'Hilfstabellen_Mat&amp;Bem'!$BD$31*(CQ200-0.3)+CQ200^2)</f>
        <v>0.85311225074657426</v>
      </c>
      <c r="CS200" s="550">
        <f t="shared" si="155"/>
        <v>0.89093440552787517</v>
      </c>
      <c r="CU200" s="551">
        <f t="shared" si="156"/>
        <v>56577.898488642182</v>
      </c>
      <c r="CX200" s="547">
        <f>'Hilfstabellen_Mat&amp;Bem'!$J$61</f>
        <v>3.8</v>
      </c>
      <c r="CY200" s="546">
        <f t="shared" si="157"/>
        <v>252</v>
      </c>
      <c r="CZ200" s="551">
        <f t="shared" si="158"/>
        <v>52.236452926680421</v>
      </c>
      <c r="DA200" s="553">
        <f>CZ200/PI()*SQRT('Hilfstabellen_Mat&amp;Bem'!f.Rd.3/'Hilfstabellen_Mat&amp;Bem'!$BD$30)</f>
        <v>0.83136896928682935</v>
      </c>
      <c r="DB200" s="553">
        <f>0.5*(1+'Hilfstabellen_Mat&amp;Bem'!$BD$31*(DA200-0.3)+DA200^2)</f>
        <v>0.87215563001086394</v>
      </c>
      <c r="DC200" s="550">
        <f t="shared" si="159"/>
        <v>0.88047679789380795</v>
      </c>
      <c r="DE200" s="551">
        <f t="shared" si="160"/>
        <v>55913.798573448381</v>
      </c>
      <c r="DH200" s="547">
        <f>'Hilfstabellen_Mat&amp;Bem'!$J$62</f>
        <v>3.9</v>
      </c>
      <c r="DI200" s="546">
        <f t="shared" si="161"/>
        <v>252</v>
      </c>
      <c r="DJ200" s="551">
        <f t="shared" si="162"/>
        <v>53.611096424750961</v>
      </c>
      <c r="DK200" s="553">
        <f>DJ200/PI()*SQRT('Hilfstabellen_Mat&amp;Bem'!f.Rd.3/'Hilfstabellen_Mat&amp;Bem'!$BD$30)</f>
        <v>0.85324710005753523</v>
      </c>
      <c r="DL200" s="553">
        <f>0.5*(1+'Hilfstabellen_Mat&amp;Bem'!$BD$31*(DK200-0.3)+DK200^2)</f>
        <v>0.89167766188117348</v>
      </c>
      <c r="DM200" s="550">
        <f t="shared" si="163"/>
        <v>0.86908600786234769</v>
      </c>
      <c r="DO200" s="551">
        <f t="shared" si="164"/>
        <v>55190.437843290529</v>
      </c>
      <c r="DR200" s="547">
        <f>'Hilfstabellen_Mat&amp;Bem'!$J$63</f>
        <v>4</v>
      </c>
      <c r="DS200" s="546">
        <f t="shared" si="165"/>
        <v>252</v>
      </c>
      <c r="DT200" s="551">
        <f t="shared" si="166"/>
        <v>54.985739922821502</v>
      </c>
      <c r="DU200" s="553">
        <f>DT200/PI()*SQRT('Hilfstabellen_Mat&amp;Bem'!f.Rd.3/'Hilfstabellen_Mat&amp;Bem'!$BD$30)</f>
        <v>0.87512523082824145</v>
      </c>
      <c r="DV200" s="553">
        <f>0.5*(1+'Hilfstabellen_Mat&amp;Bem'!$BD$31*(DU200-0.3)+DU200^2)</f>
        <v>0.91167834635750356</v>
      </c>
      <c r="DW200" s="550">
        <f t="shared" si="167"/>
        <v>0.8567197160553286</v>
      </c>
      <c r="DY200" s="551">
        <f t="shared" si="168"/>
        <v>54405.128848377586</v>
      </c>
      <c r="EB200" s="547">
        <f>'Hilfstabellen_Mat&amp;Bem'!$J$64</f>
        <v>4.0999999999999996</v>
      </c>
      <c r="EC200" s="546">
        <f t="shared" si="169"/>
        <v>252</v>
      </c>
      <c r="ED200" s="551">
        <f t="shared" si="170"/>
        <v>56.360383420892035</v>
      </c>
      <c r="EE200" s="553">
        <f>ED200/PI()*SQRT('Hilfstabellen_Mat&amp;Bem'!f.Rd.3/'Hilfstabellen_Mat&amp;Bem'!$BD$30)</f>
        <v>0.89700336159894745</v>
      </c>
      <c r="EF200" s="553">
        <f>0.5*(1+'Hilfstabellen_Mat&amp;Bem'!$BD$31*(EE200-0.3)+EE200^2)</f>
        <v>0.93215768343985339</v>
      </c>
      <c r="EG200" s="550">
        <f t="shared" si="171"/>
        <v>0.84335671220932795</v>
      </c>
      <c r="EI200" s="551">
        <f t="shared" si="172"/>
        <v>53556.524652141161</v>
      </c>
      <c r="EL200" s="547">
        <f>'Hilfstabellen_Mat&amp;Bem'!$J$65</f>
        <v>4.2</v>
      </c>
      <c r="EM200" s="546">
        <f t="shared" si="173"/>
        <v>252</v>
      </c>
      <c r="EN200" s="551">
        <f t="shared" si="174"/>
        <v>57.735026918962575</v>
      </c>
      <c r="EO200" s="553">
        <f>EN200/PI()*SQRT('Hilfstabellen_Mat&amp;Bem'!f.Rd.3/'Hilfstabellen_Mat&amp;Bem'!$BD$30)</f>
        <v>0.91888149236965355</v>
      </c>
      <c r="EP200" s="553">
        <f>0.5*(1+'Hilfstabellen_Mat&amp;Bem'!$BD$31*(EO200-0.3)+EO200^2)</f>
        <v>0.95311567312822354</v>
      </c>
      <c r="EQ200" s="550">
        <f t="shared" si="175"/>
        <v>0.8290029172295762</v>
      </c>
      <c r="ES200" s="551">
        <f t="shared" si="176"/>
        <v>52645.001255747004</v>
      </c>
    </row>
    <row r="201" spans="3:149">
      <c r="C201" s="546">
        <v>253</v>
      </c>
      <c r="D201" s="551">
        <f t="shared" ref="D201:D264" si="190">$B$8*10^3/$C201*SQRT(12)</f>
        <v>38.337883487690561</v>
      </c>
      <c r="E201" s="553">
        <f>$D201/PI()*SQRT('Hilfstabellen_Mat&amp;Bem'!f.Rd.3/'Hilfstabellen_Mat&amp;Bem'!$BD$30)</f>
        <v>0.61016636647471056</v>
      </c>
      <c r="F201" s="553">
        <f>0.5*(1+'Hilfstabellen_Mat&amp;Bem'!$BD$31*($E201-0.3)+$E201^2)</f>
        <v>0.70165981571221092</v>
      </c>
      <c r="G201" s="550">
        <f t="shared" ref="G201:G264" si="191">MIN(1/($F201+SQRT($F201^2-$E201^2)),1)</f>
        <v>0.95410388400514301</v>
      </c>
      <c r="I201" s="551">
        <f t="shared" si="177"/>
        <v>61071.235511285202</v>
      </c>
      <c r="M201" s="546">
        <f t="shared" ref="M201:M264" si="192">$C201</f>
        <v>253</v>
      </c>
      <c r="N201" s="551">
        <f t="shared" si="182"/>
        <v>39.707093612250937</v>
      </c>
      <c r="O201" s="553">
        <f>$N201/PI()*SQRT('Hilfstabellen_Mat&amp;Bem'!f.Rd.3/'Hilfstabellen_Mat&amp;Bem'!$BD$30)</f>
        <v>0.63195802242023591</v>
      </c>
      <c r="P201" s="553">
        <f>0.5*(1+'Hilfstabellen_Mat&amp;Bem'!$BD$31*($O201-0.3)+$O201^2)</f>
        <v>0.71628337217165949</v>
      </c>
      <c r="Q201" s="550">
        <f t="shared" si="183"/>
        <v>0.94924913137398925</v>
      </c>
      <c r="S201" s="551">
        <f t="shared" si="178"/>
        <v>60760.487650117677</v>
      </c>
      <c r="W201" s="546">
        <f t="shared" ref="W201:W264" si="193">$C201</f>
        <v>253</v>
      </c>
      <c r="X201" s="551">
        <f t="shared" si="184"/>
        <v>41.076303736811319</v>
      </c>
      <c r="Y201" s="553">
        <f>$X201/PI()*SQRT('Hilfstabellen_Mat&amp;Bem'!f.Rd.3/'Hilfstabellen_Mat&amp;Bem'!$BD$30)</f>
        <v>0.65374967836576137</v>
      </c>
      <c r="Z201" s="553">
        <f>0.5*(1+'Hilfstabellen_Mat&amp;Bem'!$BD$31*($Y201-0.3)+$Y201^2)</f>
        <v>0.7313818048999563</v>
      </c>
      <c r="AA201" s="550">
        <f t="shared" si="185"/>
        <v>0.9440191465676796</v>
      </c>
      <c r="AC201" s="551">
        <f t="shared" si="179"/>
        <v>60425.721552650604</v>
      </c>
      <c r="AG201" s="546">
        <f t="shared" ref="AG201:AG264" si="194">$C201</f>
        <v>253</v>
      </c>
      <c r="AH201" s="551">
        <f t="shared" si="186"/>
        <v>42.445513861371694</v>
      </c>
      <c r="AI201" s="553">
        <f>$AH201/PI()*SQRT('Hilfstabellen_Mat&amp;Bem'!f.Rd.3/'Hilfstabellen_Mat&amp;Bem'!$BD$30)</f>
        <v>0.67554133431128671</v>
      </c>
      <c r="AJ201" s="553">
        <f>0.5*(1+'Hilfstabellen_Mat&amp;Bem'!$BD$31*($AI201-0.3)+$AI201^2)</f>
        <v>0.74695511389710112</v>
      </c>
      <c r="AK201" s="550">
        <f t="shared" si="187"/>
        <v>0.93836758318287938</v>
      </c>
      <c r="AM201" s="551">
        <f t="shared" si="180"/>
        <v>60063.970631952929</v>
      </c>
      <c r="AQ201" s="546">
        <f t="shared" ref="AQ201:AQ264" si="195">$C201</f>
        <v>253</v>
      </c>
      <c r="AR201" s="551">
        <f t="shared" si="188"/>
        <v>43.814723985932069</v>
      </c>
      <c r="AS201" s="553">
        <f>$AR201/PI()*SQRT('Hilfstabellen_Mat&amp;Bem'!f.Rd.3/'Hilfstabellen_Mat&amp;Bem'!$BD$30)</f>
        <v>0.69733299025681206</v>
      </c>
      <c r="AT201" s="553">
        <f>0.5*(1+'Hilfstabellen_Mat&amp;Bem'!$BD$31*($AS201-0.3)+$AS201^2)</f>
        <v>0.76300329916309417</v>
      </c>
      <c r="AU201" s="550">
        <f t="shared" si="189"/>
        <v>0.93224296167899023</v>
      </c>
      <c r="AW201" s="551">
        <f t="shared" si="181"/>
        <v>59671.939734110485</v>
      </c>
      <c r="AZ201" s="547">
        <f>'Hilfstabellen_Mat&amp;Bem'!$J$56</f>
        <v>3.3</v>
      </c>
      <c r="BA201" s="546">
        <f t="shared" ref="BA201:BA264" si="196">$C201</f>
        <v>253</v>
      </c>
      <c r="BB201" s="551">
        <f t="shared" ref="BB201:BB264" si="197">AZ$8*10^3/BA201*SQRT(12)</f>
        <v>45.183934110492444</v>
      </c>
      <c r="BC201" s="553">
        <f>BB201/PI()*SQRT('Hilfstabellen_Mat&amp;Bem'!f.Rd.3/'Hilfstabellen_Mat&amp;Bem'!$BD$30)</f>
        <v>0.7191246462023374</v>
      </c>
      <c r="BD201" s="553">
        <f>0.5*(1+'Hilfstabellen_Mat&amp;Bem'!$BD$31*(BC201-0.3)+BC201^2)</f>
        <v>0.77952636069793535</v>
      </c>
      <c r="BE201" s="550">
        <f t="shared" ref="BE201:BE264" si="198">MIN(1/(BD201+SQRT(BD201^2-BC201^2)),1)</f>
        <v>0.92558860804488929</v>
      </c>
      <c r="BG201" s="551">
        <f t="shared" ref="BG201:BG264" si="199">BA201^2*BE201</f>
        <v>59246.00121234532</v>
      </c>
      <c r="BJ201" s="547">
        <f>'Hilfstabellen_Mat&amp;Bem'!$J$57</f>
        <v>3.4</v>
      </c>
      <c r="BK201" s="546">
        <f t="shared" ref="BK201:BK264" si="200">$C201</f>
        <v>253</v>
      </c>
      <c r="BL201" s="551">
        <f t="shared" ref="BL201:BL264" si="201">BJ$8*10^3/BK201*SQRT(12)</f>
        <v>46.553144235052827</v>
      </c>
      <c r="BM201" s="553">
        <f>BL201/PI()*SQRT('Hilfstabellen_Mat&amp;Bem'!f.Rd.3/'Hilfstabellen_Mat&amp;Bem'!$BD$30)</f>
        <v>0.74091630214786286</v>
      </c>
      <c r="BN201" s="553">
        <f>0.5*(1+'Hilfstabellen_Mat&amp;Bem'!$BD$31*(BM201-0.3)+BM201^2)</f>
        <v>0.79652429850162476</v>
      </c>
      <c r="BO201" s="550">
        <f t="shared" ref="BO201:BO264" si="202">MIN(1/(BN201+SQRT(BN201^2-BM201^2)),1)</f>
        <v>0.91834291842884741</v>
      </c>
      <c r="BQ201" s="551">
        <f t="shared" ref="BQ201:BQ264" si="203">BK201^2*BO201</f>
        <v>58782.211865712095</v>
      </c>
      <c r="BT201" s="547">
        <f>'Hilfstabellen_Mat&amp;Bem'!$J$58</f>
        <v>3.5</v>
      </c>
      <c r="BU201" s="546">
        <f t="shared" ref="BU201:BU264" si="204">$C201</f>
        <v>253</v>
      </c>
      <c r="BV201" s="551">
        <f t="shared" ref="BV201:BV264" si="205">BT$8*10^3/BU201*SQRT(12)</f>
        <v>47.922354359613202</v>
      </c>
      <c r="BW201" s="553">
        <f>BV201/PI()*SQRT('Hilfstabellen_Mat&amp;Bem'!f.Rd.3/'Hilfstabellen_Mat&amp;Bem'!$BD$30)</f>
        <v>0.76270795809338821</v>
      </c>
      <c r="BX201" s="553">
        <f>0.5*(1+'Hilfstabellen_Mat&amp;Bem'!$BD$31*(BW201-0.3)+BW201^2)</f>
        <v>0.8139971125741623</v>
      </c>
      <c r="BY201" s="550">
        <f t="shared" ref="BY201:BY264" si="206">MIN(1/(BX201+SQRT(BX201^2-BW201^2)),1)</f>
        <v>0.91044011645882439</v>
      </c>
      <c r="CA201" s="551">
        <f t="shared" ref="CA201:CA264" si="207">BU201^2*BY201</f>
        <v>58276.361414412888</v>
      </c>
      <c r="CD201" s="547">
        <f>'Hilfstabellen_Mat&amp;Bem'!$J$59</f>
        <v>3.6</v>
      </c>
      <c r="CE201" s="546">
        <f t="shared" ref="CE201:CE264" si="208">$C201</f>
        <v>253</v>
      </c>
      <c r="CF201" s="551">
        <f t="shared" ref="CF201:CF264" si="209">CD$8*10^3/CE201*SQRT(12)</f>
        <v>49.291564484173577</v>
      </c>
      <c r="CG201" s="553">
        <f>CF201/PI()*SQRT('Hilfstabellen_Mat&amp;Bem'!f.Rd.3/'Hilfstabellen_Mat&amp;Bem'!$BD$30)</f>
        <v>0.78449961403891355</v>
      </c>
      <c r="CH201" s="553">
        <f>0.5*(1+'Hilfstabellen_Mat&amp;Bem'!$BD$31*(CG201-0.3)+CG201^2)</f>
        <v>0.83194480291554784</v>
      </c>
      <c r="CI201" s="550">
        <f t="shared" ref="CI201:CI264" si="210">MIN(1/(CH201+SQRT(CH201^2-CG201^2)),1)</f>
        <v>0.90181170645827646</v>
      </c>
      <c r="CK201" s="551">
        <f t="shared" ref="CK201:CK264" si="211">CE201^2*CI201</f>
        <v>57724.065518687821</v>
      </c>
      <c r="CN201" s="547">
        <f>'Hilfstabellen_Mat&amp;Bem'!$J$60</f>
        <v>3.7</v>
      </c>
      <c r="CO201" s="546">
        <f t="shared" ref="CO201:CO264" si="212">$C201</f>
        <v>253</v>
      </c>
      <c r="CP201" s="551">
        <f t="shared" ref="CP201:CP264" si="213">CN$8*10^3/CO201*SQRT(12)</f>
        <v>50.660774608733959</v>
      </c>
      <c r="CQ201" s="553">
        <f>CP201/PI()*SQRT('Hilfstabellen_Mat&amp;Bem'!f.Rd.3/'Hilfstabellen_Mat&amp;Bem'!$BD$30)</f>
        <v>0.80629126998443901</v>
      </c>
      <c r="CR201" s="553">
        <f>0.5*(1+'Hilfstabellen_Mat&amp;Bem'!$BD$31*(CQ201-0.3)+CQ201^2)</f>
        <v>0.85036736952578185</v>
      </c>
      <c r="CS201" s="550">
        <f t="shared" ref="CS201:CS264" si="214">MIN(1/(CR201+SQRT(CR201^2-CQ201^2)),1)</f>
        <v>0.89238884221765791</v>
      </c>
      <c r="CU201" s="551">
        <f t="shared" ref="CU201:CU264" si="215">CO201^2*CS201</f>
        <v>57120.917401510065</v>
      </c>
      <c r="CX201" s="547">
        <f>'Hilfstabellen_Mat&amp;Bem'!$J$61</f>
        <v>3.8</v>
      </c>
      <c r="CY201" s="546">
        <f t="shared" ref="CY201:CY264" si="216">$C201</f>
        <v>253</v>
      </c>
      <c r="CZ201" s="551">
        <f t="shared" ref="CZ201:CZ264" si="217">CX$8*10^3/CY201*SQRT(12)</f>
        <v>52.029984733294334</v>
      </c>
      <c r="DA201" s="553">
        <f>CZ201/PI()*SQRT('Hilfstabellen_Mat&amp;Bem'!f.Rd.3/'Hilfstabellen_Mat&amp;Bem'!$BD$30)</f>
        <v>0.82808292592996446</v>
      </c>
      <c r="DB201" s="553">
        <f>0.5*(1+'Hilfstabellen_Mat&amp;Bem'!$BD$31*(DA201-0.3)+DA201^2)</f>
        <v>0.86926481240486375</v>
      </c>
      <c r="DC201" s="550">
        <f t="shared" ref="DC201:DC264" si="218">MIN(1/(DB201+SQRT(DB201^2-DA201^2)),1)</f>
        <v>0.88210580150858686</v>
      </c>
      <c r="DE201" s="551">
        <f t="shared" ref="DE201:DE264" si="219">CY201^2*DC201</f>
        <v>56462.710248763135</v>
      </c>
      <c r="DH201" s="547">
        <f>'Hilfstabellen_Mat&amp;Bem'!$J$62</f>
        <v>3.9</v>
      </c>
      <c r="DI201" s="546">
        <f t="shared" ref="DI201:DI264" si="220">$C201</f>
        <v>253</v>
      </c>
      <c r="DJ201" s="551">
        <f t="shared" ref="DJ201:DJ264" si="221">DH$8*10^3/DI201*SQRT(12)</f>
        <v>53.39919485785471</v>
      </c>
      <c r="DK201" s="553">
        <f>DJ201/PI()*SQRT('Hilfstabellen_Mat&amp;Bem'!f.Rd.3/'Hilfstabellen_Mat&amp;Bem'!$BD$30)</f>
        <v>0.8498745818754897</v>
      </c>
      <c r="DL201" s="553">
        <f>0.5*(1+'Hilfstabellen_Mat&amp;Bem'!$BD$31*(DK201-0.3)+DK201^2)</f>
        <v>0.88863713155279367</v>
      </c>
      <c r="DM201" s="550">
        <f t="shared" ref="DM201:DM264" si="222">MIN(1/(DL201+SQRT(DL201^2-DK201^2)),1)</f>
        <v>0.87090464778691956</v>
      </c>
      <c r="DO201" s="551">
        <f t="shared" ref="DO201:DO264" si="223">DI201^2*DM201</f>
        <v>55745.735600192937</v>
      </c>
      <c r="DR201" s="547">
        <f>'Hilfstabellen_Mat&amp;Bem'!$J$63</f>
        <v>4</v>
      </c>
      <c r="DS201" s="546">
        <f t="shared" ref="DS201:DS264" si="224">$C201</f>
        <v>253</v>
      </c>
      <c r="DT201" s="551">
        <f t="shared" ref="DT201:DT264" si="225">DR$8*10^3/DS201*SQRT(12)</f>
        <v>54.768404982415085</v>
      </c>
      <c r="DU201" s="553">
        <f>DT201/PI()*SQRT('Hilfstabellen_Mat&amp;Bem'!f.Rd.3/'Hilfstabellen_Mat&amp;Bem'!$BD$30)</f>
        <v>0.87166623782101516</v>
      </c>
      <c r="DV201" s="553">
        <f>0.5*(1+'Hilfstabellen_Mat&amp;Bem'!$BD$31*(DU201-0.3)+DU201^2)</f>
        <v>0.90848432696957204</v>
      </c>
      <c r="DW201" s="550">
        <f t="shared" ref="DW201:DW264" si="226">MIN(1/(DV201+SQRT(DV201^2-DU201^2)),1)</f>
        <v>0.85874094316516347</v>
      </c>
      <c r="DY201" s="551">
        <f t="shared" ref="DY201:DY264" si="227">DS201^2*DW201</f>
        <v>54967.149031058951</v>
      </c>
      <c r="EB201" s="547">
        <f>'Hilfstabellen_Mat&amp;Bem'!$J$64</f>
        <v>4.0999999999999996</v>
      </c>
      <c r="EC201" s="546">
        <f t="shared" ref="EC201:EC264" si="228">$C201</f>
        <v>253</v>
      </c>
      <c r="ED201" s="551">
        <f t="shared" ref="ED201:ED264" si="229">EB$8*10^3/EC201*SQRT(12)</f>
        <v>56.137615106975467</v>
      </c>
      <c r="EE201" s="553">
        <f>ED201/PI()*SQRT('Hilfstabellen_Mat&amp;Bem'!f.Rd.3/'Hilfstabellen_Mat&amp;Bem'!$BD$30)</f>
        <v>0.8934578937665405</v>
      </c>
      <c r="EF201" s="553">
        <f>0.5*(1+'Hilfstabellen_Mat&amp;Bem'!$BD$31*(EE201-0.3)+EE201^2)</f>
        <v>0.92880639865519843</v>
      </c>
      <c r="EG201" s="550">
        <f t="shared" ref="EG201:EG264" si="230">MIN(1/(EF201+SQRT(EF201^2-EE201^2)),1)</f>
        <v>0.84559004919734038</v>
      </c>
      <c r="EI201" s="551">
        <f t="shared" ref="EI201:EI264" si="231">EC201^2*EG201</f>
        <v>54125.373459072558</v>
      </c>
      <c r="EL201" s="547">
        <f>'Hilfstabellen_Mat&amp;Bem'!$J$65</f>
        <v>4.2</v>
      </c>
      <c r="EM201" s="546">
        <f t="shared" ref="EM201:EM264" si="232">$C201</f>
        <v>253</v>
      </c>
      <c r="EN201" s="551">
        <f t="shared" ref="EN201:EN264" si="233">EL$8*10^3/EM201*SQRT(12)</f>
        <v>57.506825231535842</v>
      </c>
      <c r="EO201" s="553">
        <f>EN201/PI()*SQRT('Hilfstabellen_Mat&amp;Bem'!f.Rd.3/'Hilfstabellen_Mat&amp;Bem'!$BD$30)</f>
        <v>0.91524954971206585</v>
      </c>
      <c r="EP201" s="553">
        <f>0.5*(1+'Hilfstabellen_Mat&amp;Bem'!$BD$31*(EO201-0.3)+EO201^2)</f>
        <v>0.94960334660967294</v>
      </c>
      <c r="EQ201" s="550">
        <f t="shared" ref="EQ201:EQ264" si="234">MIN(1/(EP201+SQRT(EP201^2-EO201^2)),1)</f>
        <v>0.83145317166841848</v>
      </c>
      <c r="ES201" s="551">
        <f t="shared" ref="ES201:ES264" si="235">EM201^2*EQ201</f>
        <v>53220.486065323799</v>
      </c>
    </row>
    <row r="202" spans="3:149">
      <c r="C202" s="546">
        <v>254</v>
      </c>
      <c r="D202" s="551">
        <f t="shared" si="190"/>
        <v>38.186946938526425</v>
      </c>
      <c r="E202" s="553">
        <f>$D202/PI()*SQRT('Hilfstabellen_Mat&amp;Bem'!f.Rd.3/'Hilfstabellen_Mat&amp;Bem'!$BD$30)</f>
        <v>0.60776413668544005</v>
      </c>
      <c r="F202" s="553">
        <f>0.5*(1+'Hilfstabellen_Mat&amp;Bem'!$BD$31*($E202-0.3)+$E202^2)</f>
        <v>0.70007682975477115</v>
      </c>
      <c r="G202" s="550">
        <f t="shared" si="191"/>
        <v>0.9546179214006959</v>
      </c>
      <c r="I202" s="551">
        <f t="shared" si="177"/>
        <v>61588.129817087298</v>
      </c>
      <c r="M202" s="546">
        <f t="shared" si="192"/>
        <v>254</v>
      </c>
      <c r="N202" s="551">
        <f t="shared" si="182"/>
        <v>39.550766472045225</v>
      </c>
      <c r="O202" s="553">
        <f>$N202/PI()*SQRT('Hilfstabellen_Mat&amp;Bem'!f.Rd.3/'Hilfstabellen_Mat&amp;Bem'!$BD$30)</f>
        <v>0.62946999870992004</v>
      </c>
      <c r="P202" s="553">
        <f>0.5*(1+'Hilfstabellen_Mat&amp;Bem'!$BD$31*($O202-0.3)+$O202^2)</f>
        <v>0.71458973957342931</v>
      </c>
      <c r="Q202" s="550">
        <f t="shared" si="183"/>
        <v>0.94982156840342458</v>
      </c>
      <c r="S202" s="551">
        <f t="shared" si="178"/>
        <v>61278.688307115342</v>
      </c>
      <c r="W202" s="546">
        <f t="shared" si="193"/>
        <v>254</v>
      </c>
      <c r="X202" s="551">
        <f t="shared" si="184"/>
        <v>40.914586005564033</v>
      </c>
      <c r="Y202" s="553">
        <f>$X202/PI()*SQRT('Hilfstabellen_Mat&amp;Bem'!f.Rd.3/'Hilfstabellen_Mat&amp;Bem'!$BD$30)</f>
        <v>0.65117586073440015</v>
      </c>
      <c r="Z202" s="553">
        <f>0.5*(1+'Hilfstabellen_Mat&amp;Bem'!$BD$31*($Y202-0.3)+$Y202^2)</f>
        <v>0.72957379383831344</v>
      </c>
      <c r="AA202" s="550">
        <f t="shared" si="185"/>
        <v>0.94465787141149704</v>
      </c>
      <c r="AC202" s="551">
        <f t="shared" si="179"/>
        <v>60945.547231984143</v>
      </c>
      <c r="AG202" s="546">
        <f t="shared" si="194"/>
        <v>254</v>
      </c>
      <c r="AH202" s="551">
        <f t="shared" si="186"/>
        <v>42.278405539082826</v>
      </c>
      <c r="AI202" s="553">
        <f>$AH202/PI()*SQRT('Hilfstabellen_Mat&amp;Bem'!f.Rd.3/'Hilfstabellen_Mat&amp;Bem'!$BD$30)</f>
        <v>0.67288172275888003</v>
      </c>
      <c r="AJ202" s="553">
        <f>0.5*(1+'Hilfstabellen_Mat&amp;Bem'!$BD$31*($AI202-0.3)+$AI202^2)</f>
        <v>0.74502899254942312</v>
      </c>
      <c r="AK202" s="550">
        <f t="shared" si="187"/>
        <v>0.93908160473184521</v>
      </c>
      <c r="AM202" s="551">
        <f t="shared" si="180"/>
        <v>60585.788810879727</v>
      </c>
      <c r="AQ202" s="546">
        <f t="shared" si="195"/>
        <v>254</v>
      </c>
      <c r="AR202" s="551">
        <f t="shared" si="188"/>
        <v>43.642225072601633</v>
      </c>
      <c r="AS202" s="553">
        <f>$AR202/PI()*SQRT('Hilfstabellen_Mat&amp;Bem'!f.Rd.3/'Hilfstabellen_Mat&amp;Bem'!$BD$30)</f>
        <v>0.69458758478336013</v>
      </c>
      <c r="AT202" s="553">
        <f>0.5*(1+'Hilfstabellen_Mat&amp;Bem'!$BD$31*($AS202-0.3)+$AS202^2)</f>
        <v>0.76095533570675866</v>
      </c>
      <c r="AU202" s="550">
        <f t="shared" si="189"/>
        <v>0.9330425117871638</v>
      </c>
      <c r="AW202" s="551">
        <f t="shared" si="181"/>
        <v>60196.170690460662</v>
      </c>
      <c r="AZ202" s="547">
        <f>'Hilfstabellen_Mat&amp;Bem'!$J$56</f>
        <v>3.3</v>
      </c>
      <c r="BA202" s="546">
        <f t="shared" si="196"/>
        <v>254</v>
      </c>
      <c r="BB202" s="551">
        <f t="shared" si="197"/>
        <v>45.006044606120433</v>
      </c>
      <c r="BC202" s="553">
        <f>BB202/PI()*SQRT('Hilfstabellen_Mat&amp;Bem'!f.Rd.3/'Hilfstabellen_Mat&amp;Bem'!$BD$30)</f>
        <v>0.71629344680784013</v>
      </c>
      <c r="BD202" s="553">
        <f>0.5*(1+'Hilfstabellen_Mat&amp;Bem'!$BD$31*(BC202-0.3)+BC202^2)</f>
        <v>0.77735282331032007</v>
      </c>
      <c r="BE202" s="550">
        <f t="shared" si="198"/>
        <v>0.92648521549535812</v>
      </c>
      <c r="BG202" s="551">
        <f t="shared" si="199"/>
        <v>59773.120162898522</v>
      </c>
      <c r="BJ202" s="547">
        <f>'Hilfstabellen_Mat&amp;Bem'!$J$57</f>
        <v>3.4</v>
      </c>
      <c r="BK202" s="546">
        <f t="shared" si="200"/>
        <v>254</v>
      </c>
      <c r="BL202" s="551">
        <f t="shared" si="201"/>
        <v>46.369864139639226</v>
      </c>
      <c r="BM202" s="553">
        <f>BL202/PI()*SQRT('Hilfstabellen_Mat&amp;Bem'!f.Rd.3/'Hilfstabellen_Mat&amp;Bem'!$BD$30)</f>
        <v>0.73799930883232001</v>
      </c>
      <c r="BN202" s="553">
        <f>0.5*(1+'Hilfstabellen_Mat&amp;Bem'!$BD$31*(BM202-0.3)+BM202^2)</f>
        <v>0.79422145536010702</v>
      </c>
      <c r="BO202" s="550">
        <f t="shared" si="202"/>
        <v>0.91934942977142764</v>
      </c>
      <c r="BQ202" s="551">
        <f t="shared" si="203"/>
        <v>59312.747811133428</v>
      </c>
      <c r="BT202" s="547">
        <f>'Hilfstabellen_Mat&amp;Bem'!$J$58</f>
        <v>3.5</v>
      </c>
      <c r="BU202" s="546">
        <f t="shared" si="204"/>
        <v>254</v>
      </c>
      <c r="BV202" s="551">
        <f t="shared" si="205"/>
        <v>47.733683673158033</v>
      </c>
      <c r="BW202" s="553">
        <f>BV202/PI()*SQRT('Hilfstabellen_Mat&amp;Bem'!f.Rd.3/'Hilfstabellen_Mat&amp;Bem'!$BD$30)</f>
        <v>0.75970517085680012</v>
      </c>
      <c r="BX202" s="553">
        <f>0.5*(1+'Hilfstabellen_Mat&amp;Bem'!$BD$31*(BW202-0.3)+BW202^2)</f>
        <v>0.81156123185612006</v>
      </c>
      <c r="BY202" s="550">
        <f t="shared" si="206"/>
        <v>0.91157062945109235</v>
      </c>
      <c r="CA202" s="551">
        <f t="shared" si="207"/>
        <v>58810.890729666673</v>
      </c>
      <c r="CD202" s="547">
        <f>'Hilfstabellen_Mat&amp;Bem'!$J$59</f>
        <v>3.6</v>
      </c>
      <c r="CE202" s="546">
        <f t="shared" si="208"/>
        <v>254</v>
      </c>
      <c r="CF202" s="551">
        <f t="shared" si="209"/>
        <v>49.097503206676834</v>
      </c>
      <c r="CG202" s="553">
        <f>CF202/PI()*SQRT('Hilfstabellen_Mat&amp;Bem'!f.Rd.3/'Hilfstabellen_Mat&amp;Bem'!$BD$30)</f>
        <v>0.78141103288128011</v>
      </c>
      <c r="CH202" s="553">
        <f>0.5*(1+'Hilfstabellen_Mat&amp;Bem'!$BD$31*(CG202-0.3)+CG202^2)</f>
        <v>0.82937215279835852</v>
      </c>
      <c r="CI202" s="550">
        <f t="shared" si="210"/>
        <v>0.90308137247067621</v>
      </c>
      <c r="CK202" s="551">
        <f t="shared" si="211"/>
        <v>58263.197826318145</v>
      </c>
      <c r="CN202" s="547">
        <f>'Hilfstabellen_Mat&amp;Bem'!$J$60</f>
        <v>3.7</v>
      </c>
      <c r="CO202" s="546">
        <f t="shared" si="212"/>
        <v>254</v>
      </c>
      <c r="CP202" s="551">
        <f t="shared" si="213"/>
        <v>50.461322740195641</v>
      </c>
      <c r="CQ202" s="553">
        <f>CP202/PI()*SQRT('Hilfstabellen_Mat&amp;Bem'!f.Rd.3/'Hilfstabellen_Mat&amp;Bem'!$BD$30)</f>
        <v>0.80311689490576021</v>
      </c>
      <c r="CR202" s="553">
        <f>0.5*(1+'Hilfstabellen_Mat&amp;Bem'!$BD$31*(CQ202-0.3)+CQ202^2)</f>
        <v>0.84765421818682296</v>
      </c>
      <c r="CS202" s="550">
        <f t="shared" si="214"/>
        <v>0.89381348787820014</v>
      </c>
      <c r="CU202" s="551">
        <f t="shared" si="215"/>
        <v>57665.270983949958</v>
      </c>
      <c r="CX202" s="547">
        <f>'Hilfstabellen_Mat&amp;Bem'!$J$61</f>
        <v>3.8</v>
      </c>
      <c r="CY202" s="546">
        <f t="shared" si="216"/>
        <v>254</v>
      </c>
      <c r="CZ202" s="551">
        <f t="shared" si="217"/>
        <v>51.825142273714434</v>
      </c>
      <c r="DA202" s="553">
        <f>CZ202/PI()*SQRT('Hilfstabellen_Mat&amp;Bem'!f.Rd.3/'Hilfstabellen_Mat&amp;Bem'!$BD$30)</f>
        <v>0.8248227569302401</v>
      </c>
      <c r="DB202" s="553">
        <f>0.5*(1+'Hilfstabellen_Mat&amp;Bem'!$BD$31*(DA202-0.3)+DA202^2)</f>
        <v>0.86640742802151305</v>
      </c>
      <c r="DC202" s="550">
        <f t="shared" si="218"/>
        <v>0.88370132251473477</v>
      </c>
      <c r="DE202" s="551">
        <f t="shared" si="219"/>
        <v>57012.874523360631</v>
      </c>
      <c r="DH202" s="547">
        <f>'Hilfstabellen_Mat&amp;Bem'!$J$62</f>
        <v>3.9</v>
      </c>
      <c r="DI202" s="546">
        <f t="shared" si="220"/>
        <v>254</v>
      </c>
      <c r="DJ202" s="551">
        <f t="shared" si="221"/>
        <v>53.188961807233234</v>
      </c>
      <c r="DK202" s="553">
        <f>DJ202/PI()*SQRT('Hilfstabellen_Mat&amp;Bem'!f.Rd.3/'Hilfstabellen_Mat&amp;Bem'!$BD$30)</f>
        <v>0.84652861895472009</v>
      </c>
      <c r="DL202" s="553">
        <f>0.5*(1+'Hilfstabellen_Mat&amp;Bem'!$BD$31*(DK202-0.3)+DK202^2)</f>
        <v>0.88563178230242889</v>
      </c>
      <c r="DM202" s="550">
        <f t="shared" si="222"/>
        <v>0.87268614647388654</v>
      </c>
      <c r="DO202" s="551">
        <f t="shared" si="223"/>
        <v>56302.219425909265</v>
      </c>
      <c r="DR202" s="547">
        <f>'Hilfstabellen_Mat&amp;Bem'!$J$63</f>
        <v>4</v>
      </c>
      <c r="DS202" s="546">
        <f t="shared" si="224"/>
        <v>254</v>
      </c>
      <c r="DT202" s="551">
        <f t="shared" si="225"/>
        <v>54.552781340752041</v>
      </c>
      <c r="DU202" s="553">
        <f>DT202/PI()*SQRT('Hilfstabellen_Mat&amp;Bem'!f.Rd.3/'Hilfstabellen_Mat&amp;Bem'!$BD$30)</f>
        <v>0.8682344809792002</v>
      </c>
      <c r="DV202" s="553">
        <f>0.5*(1+'Hilfstabellen_Mat&amp;Bem'!$BD$31*(DU202-0.3)+DU202^2)</f>
        <v>0.9053272810295705</v>
      </c>
      <c r="DW202" s="550">
        <f t="shared" si="226"/>
        <v>0.86072162281278719</v>
      </c>
      <c r="DY202" s="551">
        <f t="shared" si="227"/>
        <v>55530.31621738978</v>
      </c>
      <c r="EB202" s="547">
        <f>'Hilfstabellen_Mat&amp;Bem'!$J$64</f>
        <v>4.0999999999999996</v>
      </c>
      <c r="EC202" s="546">
        <f t="shared" si="228"/>
        <v>254</v>
      </c>
      <c r="ED202" s="551">
        <f t="shared" si="229"/>
        <v>55.916600874270834</v>
      </c>
      <c r="EE202" s="553">
        <f>ED202/PI()*SQRT('Hilfstabellen_Mat&amp;Bem'!f.Rd.3/'Hilfstabellen_Mat&amp;Bem'!$BD$30)</f>
        <v>0.88994034300368008</v>
      </c>
      <c r="EF202" s="553">
        <f>0.5*(1+'Hilfstabellen_Mat&amp;Bem'!$BD$31*(EE202-0.3)+EE202^2)</f>
        <v>0.92549392420293786</v>
      </c>
      <c r="EG202" s="550">
        <f t="shared" si="230"/>
        <v>0.84777994327576922</v>
      </c>
      <c r="EI202" s="551">
        <f t="shared" si="231"/>
        <v>54695.370820379525</v>
      </c>
      <c r="EL202" s="547">
        <f>'Hilfstabellen_Mat&amp;Bem'!$J$65</f>
        <v>4.2</v>
      </c>
      <c r="EM202" s="546">
        <f t="shared" si="232"/>
        <v>254</v>
      </c>
      <c r="EN202" s="551">
        <f t="shared" si="233"/>
        <v>57.280420407789634</v>
      </c>
      <c r="EO202" s="553">
        <f>EN202/PI()*SQRT('Hilfstabellen_Mat&amp;Bem'!f.Rd.3/'Hilfstabellen_Mat&amp;Bem'!$BD$30)</f>
        <v>0.91164620502815996</v>
      </c>
      <c r="EP202" s="553">
        <f>0.5*(1+'Hilfstabellen_Mat&amp;Bem'!$BD$31*(EO202-0.3)+EO202^2)</f>
        <v>0.94613171182253097</v>
      </c>
      <c r="EQ202" s="550">
        <f t="shared" si="234"/>
        <v>0.83385786414140528</v>
      </c>
      <c r="ES202" s="551">
        <f t="shared" si="235"/>
        <v>53797.173962946901</v>
      </c>
    </row>
    <row r="203" spans="3:149">
      <c r="C203" s="546">
        <v>255</v>
      </c>
      <c r="D203" s="551">
        <f t="shared" si="190"/>
        <v>38.037194205434169</v>
      </c>
      <c r="E203" s="553">
        <f>$D203/PI()*SQRT('Hilfstabellen_Mat&amp;Bem'!f.Rd.3/'Hilfstabellen_Mat&amp;Bem'!$BD$30)</f>
        <v>0.60538074791412466</v>
      </c>
      <c r="F203" s="553">
        <f>0.5*(1+'Hilfstabellen_Mat&amp;Bem'!$BD$31*($E203-0.3)+$E203^2)</f>
        <v>0.69851196236823876</v>
      </c>
      <c r="G203" s="550">
        <f t="shared" si="191"/>
        <v>0.95512397467509447</v>
      </c>
      <c r="I203" s="551">
        <f t="shared" si="177"/>
        <v>62106.936453248018</v>
      </c>
      <c r="M203" s="546">
        <f t="shared" si="192"/>
        <v>255</v>
      </c>
      <c r="N203" s="551">
        <f t="shared" si="182"/>
        <v>39.395665427056819</v>
      </c>
      <c r="O203" s="553">
        <f>$N203/PI()*SQRT('Hilfstabellen_Mat&amp;Bem'!f.Rd.3/'Hilfstabellen_Mat&amp;Bem'!$BD$30)</f>
        <v>0.62700148891105778</v>
      </c>
      <c r="P203" s="553">
        <f>0.5*(1+'Hilfstabellen_Mat&amp;Bem'!$BD$31*($O203-0.3)+$O203^2)</f>
        <v>0.71291550799389458</v>
      </c>
      <c r="Q203" s="550">
        <f t="shared" si="183"/>
        <v>0.95038475084182383</v>
      </c>
      <c r="S203" s="551">
        <f t="shared" si="178"/>
        <v>61798.768423489593</v>
      </c>
      <c r="W203" s="546">
        <f t="shared" si="193"/>
        <v>255</v>
      </c>
      <c r="X203" s="551">
        <f t="shared" si="184"/>
        <v>40.754136648679463</v>
      </c>
      <c r="Y203" s="553">
        <f>$X203/PI()*SQRT('Hilfstabellen_Mat&amp;Bem'!f.Rd.3/'Hilfstabellen_Mat&amp;Bem'!$BD$30)</f>
        <v>0.64862222990799068</v>
      </c>
      <c r="Z203" s="553">
        <f>0.5*(1+'Hilfstabellen_Mat&amp;Bem'!$BD$31*($Y203-0.3)+$Y203^2)</f>
        <v>0.72778651006080675</v>
      </c>
      <c r="AA203" s="550">
        <f t="shared" si="185"/>
        <v>0.94528585933696407</v>
      </c>
      <c r="AC203" s="551">
        <f t="shared" si="179"/>
        <v>61467.213003386089</v>
      </c>
      <c r="AG203" s="546">
        <f t="shared" si="194"/>
        <v>255</v>
      </c>
      <c r="AH203" s="551">
        <f t="shared" si="186"/>
        <v>42.112607870302114</v>
      </c>
      <c r="AI203" s="553">
        <f>$AH203/PI()*SQRT('Hilfstabellen_Mat&amp;Bem'!f.Rd.3/'Hilfstabellen_Mat&amp;Bem'!$BD$30)</f>
        <v>0.67024297090492369</v>
      </c>
      <c r="AJ203" s="553">
        <f>0.5*(1+'Hilfstabellen_Mat&amp;Bem'!$BD$31*($AI203-0.3)+$AI203^2)</f>
        <v>0.74312496856897536</v>
      </c>
      <c r="AK203" s="550">
        <f t="shared" si="187"/>
        <v>0.93978316503191928</v>
      </c>
      <c r="AM203" s="551">
        <f t="shared" si="180"/>
        <v>61109.40030620055</v>
      </c>
      <c r="AQ203" s="546">
        <f t="shared" si="195"/>
        <v>255</v>
      </c>
      <c r="AR203" s="551">
        <f t="shared" si="188"/>
        <v>43.471079091924757</v>
      </c>
      <c r="AS203" s="553">
        <f>$AR203/PI()*SQRT('Hilfstabellen_Mat&amp;Bem'!f.Rd.3/'Hilfstabellen_Mat&amp;Bem'!$BD$30)</f>
        <v>0.69186371190185669</v>
      </c>
      <c r="AT203" s="553">
        <f>0.5*(1+'Hilfstabellen_Mat&amp;Bem'!$BD$31*($AS203-0.3)+$AS203^2)</f>
        <v>0.75893088351840055</v>
      </c>
      <c r="AU203" s="550">
        <f t="shared" si="189"/>
        <v>0.9338276042417617</v>
      </c>
      <c r="AW203" s="551">
        <f t="shared" si="181"/>
        <v>60722.139965820556</v>
      </c>
      <c r="AZ203" s="547">
        <f>'Hilfstabellen_Mat&amp;Bem'!$J$56</f>
        <v>3.3</v>
      </c>
      <c r="BA203" s="546">
        <f t="shared" si="196"/>
        <v>255</v>
      </c>
      <c r="BB203" s="551">
        <f t="shared" si="197"/>
        <v>44.829550313547408</v>
      </c>
      <c r="BC203" s="553">
        <f>BB203/PI()*SQRT('Hilfstabellen_Mat&amp;Bem'!f.Rd.3/'Hilfstabellen_Mat&amp;Bem'!$BD$30)</f>
        <v>0.7134844528987897</v>
      </c>
      <c r="BD203" s="553">
        <f>0.5*(1+'Hilfstabellen_Mat&amp;Bem'!$BD$31*(BC203-0.3)+BC203^2)</f>
        <v>0.77520425490908207</v>
      </c>
      <c r="BE203" s="550">
        <f t="shared" si="198"/>
        <v>0.92736506983922851</v>
      </c>
      <c r="BG203" s="551">
        <f t="shared" si="199"/>
        <v>60301.913666295834</v>
      </c>
      <c r="BJ203" s="547">
        <f>'Hilfstabellen_Mat&amp;Bem'!$J$57</f>
        <v>3.4</v>
      </c>
      <c r="BK203" s="546">
        <f t="shared" si="200"/>
        <v>255</v>
      </c>
      <c r="BL203" s="551">
        <f t="shared" si="201"/>
        <v>46.188021535170058</v>
      </c>
      <c r="BM203" s="553">
        <f>BL203/PI()*SQRT('Hilfstabellen_Mat&amp;Bem'!f.Rd.3/'Hilfstabellen_Mat&amp;Bem'!$BD$30)</f>
        <v>0.73510519389572282</v>
      </c>
      <c r="BN203" s="553">
        <f>0.5*(1+'Hilfstabellen_Mat&amp;Bem'!$BD$31*(BM203-0.3)+BM203^2)</f>
        <v>0.79194508274102016</v>
      </c>
      <c r="BO203" s="550">
        <f t="shared" si="202"/>
        <v>0.92033657436610028</v>
      </c>
      <c r="BQ203" s="551">
        <f t="shared" si="203"/>
        <v>59844.88574815567</v>
      </c>
      <c r="BT203" s="547">
        <f>'Hilfstabellen_Mat&amp;Bem'!$J$58</f>
        <v>3.5</v>
      </c>
      <c r="BU203" s="546">
        <f t="shared" si="204"/>
        <v>255</v>
      </c>
      <c r="BV203" s="551">
        <f t="shared" si="205"/>
        <v>47.546492756792702</v>
      </c>
      <c r="BW203" s="553">
        <f>BV203/PI()*SQRT('Hilfstabellen_Mat&amp;Bem'!f.Rd.3/'Hilfstabellen_Mat&amp;Bem'!$BD$30)</f>
        <v>0.75672593489265572</v>
      </c>
      <c r="BX203" s="553">
        <f>0.5*(1+'Hilfstabellen_Mat&amp;Bem'!$BD$31*(BW203-0.3)+BW203^2)</f>
        <v>0.80915336701421481</v>
      </c>
      <c r="BY203" s="550">
        <f t="shared" si="206"/>
        <v>0.9126788394236639</v>
      </c>
      <c r="CA203" s="551">
        <f t="shared" si="207"/>
        <v>59346.941533523743</v>
      </c>
      <c r="CD203" s="547">
        <f>'Hilfstabellen_Mat&amp;Bem'!$J$59</f>
        <v>3.6</v>
      </c>
      <c r="CE203" s="546">
        <f t="shared" si="208"/>
        <v>255</v>
      </c>
      <c r="CF203" s="551">
        <f t="shared" si="209"/>
        <v>48.904963978415353</v>
      </c>
      <c r="CG203" s="553">
        <f>CF203/PI()*SQRT('Hilfstabellen_Mat&amp;Bem'!f.Rd.3/'Hilfstabellen_Mat&amp;Bem'!$BD$30)</f>
        <v>0.77834667588958872</v>
      </c>
      <c r="CH203" s="553">
        <f>0.5*(1+'Hilfstabellen_Mat&amp;Bem'!$BD$31*(CG203-0.3)+CG203^2)</f>
        <v>0.82682910772866569</v>
      </c>
      <c r="CI203" s="550">
        <f t="shared" si="210"/>
        <v>0.90432549595044487</v>
      </c>
      <c r="CK203" s="551">
        <f t="shared" si="211"/>
        <v>58803.765374177674</v>
      </c>
      <c r="CN203" s="547">
        <f>'Hilfstabellen_Mat&amp;Bem'!$J$60</f>
        <v>3.7</v>
      </c>
      <c r="CO203" s="546">
        <f t="shared" si="212"/>
        <v>255</v>
      </c>
      <c r="CP203" s="551">
        <f t="shared" si="213"/>
        <v>50.263435200038003</v>
      </c>
      <c r="CQ203" s="553">
        <f>CP203/PI()*SQRT('Hilfstabellen_Mat&amp;Bem'!f.Rd.3/'Hilfstabellen_Mat&amp;Bem'!$BD$30)</f>
        <v>0.79996741688652184</v>
      </c>
      <c r="CR203" s="553">
        <f>0.5*(1+'Hilfstabellen_Mat&amp;Bem'!$BD$31*(CQ203-0.3)+CQ203^2)</f>
        <v>0.84497230488437314</v>
      </c>
      <c r="CS203" s="550">
        <f t="shared" si="214"/>
        <v>0.89520910238131646</v>
      </c>
      <c r="CU203" s="551">
        <f t="shared" si="215"/>
        <v>58210.971882345104</v>
      </c>
      <c r="CX203" s="547">
        <f>'Hilfstabellen_Mat&amp;Bem'!$J$61</f>
        <v>3.8</v>
      </c>
      <c r="CY203" s="546">
        <f t="shared" si="216"/>
        <v>255</v>
      </c>
      <c r="CZ203" s="551">
        <f t="shared" si="217"/>
        <v>51.621906421660654</v>
      </c>
      <c r="DA203" s="553">
        <f>CZ203/PI()*SQRT('Hilfstabellen_Mat&amp;Bem'!f.Rd.3/'Hilfstabellen_Mat&amp;Bem'!$BD$30)</f>
        <v>0.82158815788345485</v>
      </c>
      <c r="DB203" s="553">
        <f>0.5*(1+'Hilfstabellen_Mat&amp;Bem'!$BD$31*(DA203-0.3)+DA203^2)</f>
        <v>0.86358295848133704</v>
      </c>
      <c r="DC203" s="550">
        <f t="shared" si="218"/>
        <v>0.88526417454619777</v>
      </c>
      <c r="DE203" s="551">
        <f t="shared" si="219"/>
        <v>57564.302949866513</v>
      </c>
      <c r="DH203" s="547">
        <f>'Hilfstabellen_Mat&amp;Bem'!$J$62</f>
        <v>3.9</v>
      </c>
      <c r="DI203" s="546">
        <f t="shared" si="220"/>
        <v>255</v>
      </c>
      <c r="DJ203" s="551">
        <f t="shared" si="221"/>
        <v>52.980377643283305</v>
      </c>
      <c r="DK203" s="553">
        <f>DJ203/PI()*SQRT('Hilfstabellen_Mat&amp;Bem'!f.Rd.3/'Hilfstabellen_Mat&amp;Bem'!$BD$30)</f>
        <v>0.84320889888038786</v>
      </c>
      <c r="DL203" s="553">
        <f>0.5*(1+'Hilfstabellen_Mat&amp;Bem'!$BD$31*(DK203-0.3)+DK203^2)</f>
        <v>0.8826610685195575</v>
      </c>
      <c r="DM203" s="550">
        <f t="shared" si="222"/>
        <v>0.87443134287540725</v>
      </c>
      <c r="DO203" s="551">
        <f t="shared" si="223"/>
        <v>56859.898070473355</v>
      </c>
      <c r="DR203" s="547">
        <f>'Hilfstabellen_Mat&amp;Bem'!$J$63</f>
        <v>4</v>
      </c>
      <c r="DS203" s="546">
        <f t="shared" si="224"/>
        <v>255</v>
      </c>
      <c r="DT203" s="551">
        <f t="shared" si="225"/>
        <v>54.338848864905948</v>
      </c>
      <c r="DU203" s="553">
        <f>DT203/PI()*SQRT('Hilfstabellen_Mat&amp;Bem'!f.Rd.3/'Hilfstabellen_Mat&amp;Bem'!$BD$30)</f>
        <v>0.86482963987732087</v>
      </c>
      <c r="DV203" s="553">
        <f>0.5*(1+'Hilfstabellen_Mat&amp;Bem'!$BD$31*(DU203-0.3)+DU203^2)</f>
        <v>0.90220663499903431</v>
      </c>
      <c r="DW203" s="550">
        <f t="shared" si="226"/>
        <v>0.86266257906710841</v>
      </c>
      <c r="DY203" s="551">
        <f t="shared" si="227"/>
        <v>56094.634203838723</v>
      </c>
      <c r="EB203" s="547">
        <f>'Hilfstabellen_Mat&amp;Bem'!$J$64</f>
        <v>4.0999999999999996</v>
      </c>
      <c r="EC203" s="546">
        <f t="shared" si="228"/>
        <v>255</v>
      </c>
      <c r="ED203" s="551">
        <f t="shared" si="229"/>
        <v>55.697320086528599</v>
      </c>
      <c r="EE203" s="553">
        <f>ED203/PI()*SQRT('Hilfstabellen_Mat&amp;Bem'!f.Rd.3/'Hilfstabellen_Mat&amp;Bem'!$BD$30)</f>
        <v>0.88645038087425387</v>
      </c>
      <c r="EF203" s="553">
        <f>0.5*(1+'Hilfstabellen_Mat&amp;Bem'!$BD$31*(EE203-0.3)+EE203^2)</f>
        <v>0.92221965791976768</v>
      </c>
      <c r="EG203" s="550">
        <f t="shared" si="230"/>
        <v>0.84992715411719455</v>
      </c>
      <c r="EI203" s="551">
        <f t="shared" si="231"/>
        <v>55266.513196470572</v>
      </c>
      <c r="EL203" s="547">
        <f>'Hilfstabellen_Mat&amp;Bem'!$J$65</f>
        <v>4.2</v>
      </c>
      <c r="EM203" s="546">
        <f t="shared" si="232"/>
        <v>255</v>
      </c>
      <c r="EN203" s="551">
        <f t="shared" si="233"/>
        <v>57.055791308151242</v>
      </c>
      <c r="EO203" s="553">
        <f>EN203/PI()*SQRT('Hilfstabellen_Mat&amp;Bem'!f.Rd.3/'Hilfstabellen_Mat&amp;Bem'!$BD$30)</f>
        <v>0.90807112187118677</v>
      </c>
      <c r="EP203" s="553">
        <f>0.5*(1+'Hilfstabellen_Mat&amp;Bem'!$BD$31*(EO203-0.3)+EO203^2)</f>
        <v>0.94270013728175717</v>
      </c>
      <c r="EQ203" s="550">
        <f t="shared" si="234"/>
        <v>0.83621763682059935</v>
      </c>
      <c r="ES203" s="551">
        <f t="shared" si="235"/>
        <v>54375.051834259473</v>
      </c>
    </row>
    <row r="204" spans="3:149">
      <c r="C204" s="546">
        <v>256</v>
      </c>
      <c r="D204" s="551">
        <f t="shared" si="190"/>
        <v>37.888611415569187</v>
      </c>
      <c r="E204" s="553">
        <f>$D204/PI()*SQRT('Hilfstabellen_Mat&amp;Bem'!f.Rd.3/'Hilfstabellen_Mat&amp;Bem'!$BD$30)</f>
        <v>0.603015979367585</v>
      </c>
      <c r="F204" s="553">
        <f>0.5*(1+'Hilfstabellen_Mat&amp;Bem'!$BD$31*($E204-0.3)+$E204^2)</f>
        <v>0.69696493465470311</v>
      </c>
      <c r="G204" s="550">
        <f t="shared" si="191"/>
        <v>0.95562223316540607</v>
      </c>
      <c r="I204" s="551">
        <f t="shared" si="177"/>
        <v>62627.658672728052</v>
      </c>
      <c r="M204" s="546">
        <f t="shared" si="192"/>
        <v>256</v>
      </c>
      <c r="N204" s="551">
        <f t="shared" si="182"/>
        <v>39.241776108982371</v>
      </c>
      <c r="O204" s="553">
        <f>$N204/PI()*SQRT('Hilfstabellen_Mat&amp;Bem'!f.Rd.3/'Hilfstabellen_Mat&amp;Bem'!$BD$30)</f>
        <v>0.62455226434499878</v>
      </c>
      <c r="P204" s="553">
        <f>0.5*(1+'Hilfstabellen_Mat&amp;Bem'!$BD$31*($O204-0.3)+$O204^2)</f>
        <v>0.71126037866648262</v>
      </c>
      <c r="Q204" s="550">
        <f t="shared" si="183"/>
        <v>0.95093890453591434</v>
      </c>
      <c r="S204" s="551">
        <f t="shared" si="178"/>
        <v>62320.732047665682</v>
      </c>
      <c r="W204" s="546">
        <f t="shared" si="193"/>
        <v>256</v>
      </c>
      <c r="X204" s="551">
        <f t="shared" si="184"/>
        <v>40.594940802395563</v>
      </c>
      <c r="Y204" s="553">
        <f>$X204/PI()*SQRT('Hilfstabellen_Mat&amp;Bem'!f.Rd.3/'Hilfstabellen_Mat&amp;Bem'!$BD$30)</f>
        <v>0.64608854932241266</v>
      </c>
      <c r="Z204" s="553">
        <f>0.5*(1+'Hilfstabellen_Mat&amp;Bem'!$BD$31*($Y204-0.3)+$Y204^2)</f>
        <v>0.72601963424889049</v>
      </c>
      <c r="AA204" s="550">
        <f t="shared" si="185"/>
        <v>0.94590337929806756</v>
      </c>
      <c r="AC204" s="551">
        <f t="shared" si="179"/>
        <v>61990.723865678156</v>
      </c>
      <c r="AG204" s="546">
        <f t="shared" si="194"/>
        <v>256</v>
      </c>
      <c r="AH204" s="551">
        <f t="shared" si="186"/>
        <v>41.948105495808747</v>
      </c>
      <c r="AI204" s="553">
        <f>$AH204/PI()*SQRT('Hilfstabellen_Mat&amp;Bem'!f.Rd.3/'Hilfstabellen_Mat&amp;Bem'!$BD$30)</f>
        <v>0.66762483429982644</v>
      </c>
      <c r="AJ204" s="553">
        <f>0.5*(1+'Hilfstabellen_Mat&amp;Bem'!$BD$31*($AI204-0.3)+$AI204^2)</f>
        <v>0.74124270140192672</v>
      </c>
      <c r="AK204" s="550">
        <f t="shared" si="187"/>
        <v>0.94047258344913742</v>
      </c>
      <c r="AM204" s="551">
        <f t="shared" si="180"/>
        <v>61634.81122892267</v>
      </c>
      <c r="AQ204" s="546">
        <f t="shared" si="195"/>
        <v>256</v>
      </c>
      <c r="AR204" s="551">
        <f t="shared" si="188"/>
        <v>43.301270189221931</v>
      </c>
      <c r="AS204" s="553">
        <f>$AR204/PI()*SQRT('Hilfstabellen_Mat&amp;Bem'!f.Rd.3/'Hilfstabellen_Mat&amp;Bem'!$BD$30)</f>
        <v>0.68916111927724011</v>
      </c>
      <c r="AT204" s="553">
        <f>0.5*(1+'Hilfstabellen_Mat&amp;Bem'!$BD$31*($AS204-0.3)+$AS204^2)</f>
        <v>0.75692958012559108</v>
      </c>
      <c r="AU204" s="550">
        <f t="shared" si="189"/>
        <v>0.9345986165714808</v>
      </c>
      <c r="AW204" s="551">
        <f t="shared" si="181"/>
        <v>61249.854935628566</v>
      </c>
      <c r="AZ204" s="547">
        <f>'Hilfstabellen_Mat&amp;Bem'!$J$56</f>
        <v>3.3</v>
      </c>
      <c r="BA204" s="546">
        <f t="shared" si="196"/>
        <v>256</v>
      </c>
      <c r="BB204" s="551">
        <f t="shared" si="197"/>
        <v>44.654434882635115</v>
      </c>
      <c r="BC204" s="553">
        <f>BB204/PI()*SQRT('Hilfstabellen_Mat&amp;Bem'!f.Rd.3/'Hilfstabellen_Mat&amp;Bem'!$BD$30)</f>
        <v>0.71069740425465389</v>
      </c>
      <c r="BD204" s="553">
        <f>0.5*(1+'Hilfstabellen_Mat&amp;Bem'!$BD$31*(BC204-0.3)+BC204^2)</f>
        <v>0.77308027041988414</v>
      </c>
      <c r="BE204" s="550">
        <f t="shared" si="198"/>
        <v>0.92822861445075322</v>
      </c>
      <c r="BG204" s="551">
        <f t="shared" si="199"/>
        <v>60832.390476644563</v>
      </c>
      <c r="BJ204" s="547">
        <f>'Hilfstabellen_Mat&amp;Bem'!$J$57</f>
        <v>3.4</v>
      </c>
      <c r="BK204" s="546">
        <f t="shared" si="200"/>
        <v>256</v>
      </c>
      <c r="BL204" s="551">
        <f t="shared" si="201"/>
        <v>46.0075995760483</v>
      </c>
      <c r="BM204" s="553">
        <f>BL204/PI()*SQRT('Hilfstabellen_Mat&amp;Bem'!f.Rd.3/'Hilfstabellen_Mat&amp;Bem'!$BD$30)</f>
        <v>0.73223368923206755</v>
      </c>
      <c r="BN204" s="553">
        <f>0.5*(1+'Hilfstabellen_Mat&amp;Bem'!$BD$31*(BM204-0.3)+BM204^2)</f>
        <v>0.78969477228480534</v>
      </c>
      <c r="BO204" s="550">
        <f t="shared" si="202"/>
        <v>0.92130486817489932</v>
      </c>
      <c r="BQ204" s="551">
        <f t="shared" si="203"/>
        <v>60378.635840710202</v>
      </c>
      <c r="BT204" s="547">
        <f>'Hilfstabellen_Mat&amp;Bem'!$J$58</f>
        <v>3.5</v>
      </c>
      <c r="BU204" s="546">
        <f t="shared" si="204"/>
        <v>256</v>
      </c>
      <c r="BV204" s="551">
        <f t="shared" si="205"/>
        <v>47.360764269461484</v>
      </c>
      <c r="BW204" s="553">
        <f>BV204/PI()*SQRT('Hilfstabellen_Mat&amp;Bem'!f.Rd.3/'Hilfstabellen_Mat&amp;Bem'!$BD$30)</f>
        <v>0.75376997420948133</v>
      </c>
      <c r="BX204" s="553">
        <f>0.5*(1+'Hilfstabellen_Mat&amp;Bem'!$BD$31*(BW204-0.3)+BW204^2)</f>
        <v>0.80677308572035522</v>
      </c>
      <c r="BY204" s="550">
        <f t="shared" si="206"/>
        <v>0.91376533938862736</v>
      </c>
      <c r="CA204" s="551">
        <f t="shared" si="207"/>
        <v>59884.525282173083</v>
      </c>
      <c r="CD204" s="547">
        <f>'Hilfstabellen_Mat&amp;Bem'!$J$59</f>
        <v>3.6</v>
      </c>
      <c r="CE204" s="546">
        <f t="shared" si="208"/>
        <v>256</v>
      </c>
      <c r="CF204" s="551">
        <f t="shared" si="209"/>
        <v>48.713928962874668</v>
      </c>
      <c r="CG204" s="553">
        <f>CF204/PI()*SQRT('Hilfstabellen_Mat&amp;Bem'!f.Rd.3/'Hilfstabellen_Mat&amp;Bem'!$BD$30)</f>
        <v>0.77530625918689511</v>
      </c>
      <c r="CH204" s="553">
        <f>0.5*(1+'Hilfstabellen_Mat&amp;Bem'!$BD$31*(CG204-0.3)+CG204^2)</f>
        <v>0.82431521072653324</v>
      </c>
      <c r="CI204" s="550">
        <f t="shared" si="210"/>
        <v>0.90554474727489709</v>
      </c>
      <c r="CK204" s="551">
        <f t="shared" si="211"/>
        <v>59345.780557407656</v>
      </c>
      <c r="CN204" s="547">
        <f>'Hilfstabellen_Mat&amp;Bem'!$J$60</f>
        <v>3.7</v>
      </c>
      <c r="CO204" s="546">
        <f t="shared" si="212"/>
        <v>256</v>
      </c>
      <c r="CP204" s="551">
        <f t="shared" si="213"/>
        <v>50.067093656287859</v>
      </c>
      <c r="CQ204" s="553">
        <f>CP204/PI()*SQRT('Hilfstabellen_Mat&amp;Bem'!f.Rd.3/'Hilfstabellen_Mat&amp;Bem'!$BD$30)</f>
        <v>0.79684254416430889</v>
      </c>
      <c r="CR204" s="553">
        <f>0.5*(1+'Hilfstabellen_Mat&amp;Bem'!$BD$31*(CQ204-0.3)+CQ204^2)</f>
        <v>0.84232114730333973</v>
      </c>
      <c r="CS204" s="550">
        <f t="shared" si="214"/>
        <v>0.89657642730634157</v>
      </c>
      <c r="CU204" s="551">
        <f t="shared" si="215"/>
        <v>58758.032739948401</v>
      </c>
      <c r="CX204" s="547">
        <f>'Hilfstabellen_Mat&amp;Bem'!$J$61</f>
        <v>3.8</v>
      </c>
      <c r="CY204" s="546">
        <f t="shared" si="216"/>
        <v>256</v>
      </c>
      <c r="CZ204" s="551">
        <f t="shared" si="217"/>
        <v>51.420258349701044</v>
      </c>
      <c r="DA204" s="553">
        <f>CZ204/PI()*SQRT('Hilfstabellen_Mat&amp;Bem'!f.Rd.3/'Hilfstabellen_Mat&amp;Bem'!$BD$30)</f>
        <v>0.81837882914172266</v>
      </c>
      <c r="DB204" s="553">
        <f>0.5*(1+'Hilfstabellen_Mat&amp;Bem'!$BD$31*(DA204-0.3)+DA204^2)</f>
        <v>0.86079089545077458</v>
      </c>
      <c r="DC204" s="550">
        <f t="shared" si="218"/>
        <v>0.88679515524639752</v>
      </c>
      <c r="DE204" s="551">
        <f t="shared" si="219"/>
        <v>58117.007294227908</v>
      </c>
      <c r="DH204" s="547">
        <f>'Hilfstabellen_Mat&amp;Bem'!$J$62</f>
        <v>3.9</v>
      </c>
      <c r="DI204" s="546">
        <f t="shared" si="220"/>
        <v>256</v>
      </c>
      <c r="DJ204" s="551">
        <f t="shared" si="221"/>
        <v>52.773423043114228</v>
      </c>
      <c r="DK204" s="553">
        <f>DJ204/PI()*SQRT('Hilfstabellen_Mat&amp;Bem'!f.Rd.3/'Hilfstabellen_Mat&amp;Bem'!$BD$30)</f>
        <v>0.83991511411913633</v>
      </c>
      <c r="DL204" s="553">
        <f>0.5*(1+'Hilfstabellen_Mat&amp;Bem'!$BD$31*(DK204-0.3)+DK204^2)</f>
        <v>0.87972445516883768</v>
      </c>
      <c r="DM204" s="550">
        <f t="shared" si="222"/>
        <v>0.87614106455953067</v>
      </c>
      <c r="DO204" s="551">
        <f t="shared" si="223"/>
        <v>57418.780806973402</v>
      </c>
      <c r="DR204" s="547">
        <f>'Hilfstabellen_Mat&amp;Bem'!$J$63</f>
        <v>4</v>
      </c>
      <c r="DS204" s="546">
        <f t="shared" si="224"/>
        <v>256</v>
      </c>
      <c r="DT204" s="551">
        <f t="shared" si="225"/>
        <v>54.126587736527412</v>
      </c>
      <c r="DU204" s="553">
        <f>DT204/PI()*SQRT('Hilfstabellen_Mat&amp;Bem'!f.Rd.3/'Hilfstabellen_Mat&amp;Bem'!$BD$30)</f>
        <v>0.86145139909655011</v>
      </c>
      <c r="DV204" s="553">
        <f>0.5*(1+'Hilfstabellen_Mat&amp;Bem'!$BD$31*(DU204-0.3)+DU204^2)</f>
        <v>0.89912182645752936</v>
      </c>
      <c r="DW204" s="550">
        <f t="shared" si="226"/>
        <v>0.86456463169002984</v>
      </c>
      <c r="DY204" s="551">
        <f t="shared" si="227"/>
        <v>56660.107702437796</v>
      </c>
      <c r="EB204" s="547">
        <f>'Hilfstabellen_Mat&amp;Bem'!$J$64</f>
        <v>4.0999999999999996</v>
      </c>
      <c r="EC204" s="546">
        <f t="shared" si="228"/>
        <v>256</v>
      </c>
      <c r="ED204" s="551">
        <f t="shared" si="229"/>
        <v>55.479752429940596</v>
      </c>
      <c r="EE204" s="553">
        <f>ED204/PI()*SQRT('Hilfstabellen_Mat&amp;Bem'!f.Rd.3/'Hilfstabellen_Mat&amp;Bem'!$BD$30)</f>
        <v>0.88298768407396389</v>
      </c>
      <c r="EF204" s="553">
        <f>0.5*(1+'Hilfstabellen_Mat&amp;Bem'!$BD$31*(EE204-0.3)+EE204^2)</f>
        <v>0.91898300931684929</v>
      </c>
      <c r="EG204" s="550">
        <f t="shared" si="230"/>
        <v>0.85203244627125474</v>
      </c>
      <c r="EI204" s="551">
        <f t="shared" si="231"/>
        <v>55838.798398832951</v>
      </c>
      <c r="EL204" s="547">
        <f>'Hilfstabellen_Mat&amp;Bem'!$J$65</f>
        <v>4.2</v>
      </c>
      <c r="EM204" s="546">
        <f t="shared" si="232"/>
        <v>256</v>
      </c>
      <c r="EN204" s="551">
        <f t="shared" si="233"/>
        <v>56.832917123353781</v>
      </c>
      <c r="EO204" s="553">
        <f>EN204/PI()*SQRT('Hilfstabellen_Mat&amp;Bem'!f.Rd.3/'Hilfstabellen_Mat&amp;Bem'!$BD$30)</f>
        <v>0.90452396905137755</v>
      </c>
      <c r="EP204" s="553">
        <f>0.5*(1+'Hilfstabellen_Mat&amp;Bem'!$BD$31*(EO204-0.3)+EO204^2)</f>
        <v>0.93930800374679757</v>
      </c>
      <c r="EQ204" s="550">
        <f t="shared" si="234"/>
        <v>0.83853314703289406</v>
      </c>
      <c r="ES204" s="551">
        <f t="shared" si="235"/>
        <v>54954.108323947745</v>
      </c>
    </row>
    <row r="205" spans="3:149">
      <c r="C205" s="546">
        <v>257</v>
      </c>
      <c r="D205" s="551">
        <f t="shared" si="190"/>
        <v>37.741184912006666</v>
      </c>
      <c r="E205" s="553">
        <f>$D205/PI()*SQRT('Hilfstabellen_Mat&amp;Bem'!f.Rd.3/'Hilfstabellen_Mat&amp;Bem'!$BD$30)</f>
        <v>0.60066961368911209</v>
      </c>
      <c r="F205" s="553">
        <f>0.5*(1+'Hilfstabellen_Mat&amp;Bem'!$BD$31*($E205-0.3)+$E205^2)</f>
        <v>0.6954354730891692</v>
      </c>
      <c r="G205" s="550">
        <f t="shared" si="191"/>
        <v>0.95611288040245612</v>
      </c>
      <c r="I205" s="551">
        <f t="shared" si="177"/>
        <v>63150.299637701828</v>
      </c>
      <c r="M205" s="546">
        <f t="shared" si="192"/>
        <v>257</v>
      </c>
      <c r="N205" s="551">
        <f t="shared" si="182"/>
        <v>39.08908437314976</v>
      </c>
      <c r="O205" s="553">
        <f>$N205/PI()*SQRT('Hilfstabellen_Mat&amp;Bem'!f.Rd.3/'Hilfstabellen_Mat&amp;Bem'!$BD$30)</f>
        <v>0.62212209989229461</v>
      </c>
      <c r="P205" s="553">
        <f>0.5*(1+'Hilfstabellen_Mat&amp;Bem'!$BD$31*($O205-0.3)+$O205^2)</f>
        <v>0.70962405858181388</v>
      </c>
      <c r="Q205" s="550">
        <f t="shared" si="183"/>
        <v>0.95148424828164579</v>
      </c>
      <c r="S205" s="551">
        <f t="shared" si="178"/>
        <v>62844.583114754423</v>
      </c>
      <c r="W205" s="546">
        <f t="shared" si="193"/>
        <v>257</v>
      </c>
      <c r="X205" s="551">
        <f t="shared" si="184"/>
        <v>40.436983834292853</v>
      </c>
      <c r="Y205" s="553">
        <f>$X205/PI()*SQRT('Hilfstabellen_Mat&amp;Bem'!f.Rd.3/'Hilfstabellen_Mat&amp;Bem'!$BD$30)</f>
        <v>0.64357458609547713</v>
      </c>
      <c r="Z205" s="553">
        <f>0.5*(1+'Hilfstabellen_Mat&amp;Bem'!$BD$31*($Y205-0.3)+$Y205^2)</f>
        <v>0.72427285323875612</v>
      </c>
      <c r="AA205" s="550">
        <f t="shared" si="185"/>
        <v>0.94651069173837477</v>
      </c>
      <c r="AC205" s="551">
        <f t="shared" si="179"/>
        <v>62516.084678627914</v>
      </c>
      <c r="AG205" s="546">
        <f t="shared" si="194"/>
        <v>257</v>
      </c>
      <c r="AH205" s="551">
        <f t="shared" si="186"/>
        <v>41.784883295435947</v>
      </c>
      <c r="AI205" s="553">
        <f>$AH205/PI()*SQRT('Hilfstabellen_Mat&amp;Bem'!f.Rd.3/'Hilfstabellen_Mat&amp;Bem'!$BD$30)</f>
        <v>0.66502707229865976</v>
      </c>
      <c r="AJ205" s="553">
        <f>0.5*(1+'Hilfstabellen_Mat&amp;Bem'!$BD$31*($AI205-0.3)+$AI205^2)</f>
        <v>0.73938185705999637</v>
      </c>
      <c r="AK205" s="550">
        <f t="shared" si="187"/>
        <v>0.94115016916584027</v>
      </c>
      <c r="AM205" s="551">
        <f t="shared" si="180"/>
        <v>62162.027523234581</v>
      </c>
      <c r="AQ205" s="546">
        <f t="shared" si="195"/>
        <v>257</v>
      </c>
      <c r="AR205" s="551">
        <f t="shared" si="188"/>
        <v>43.13278275657904</v>
      </c>
      <c r="AS205" s="553">
        <f>$AR205/PI()*SQRT('Hilfstabellen_Mat&amp;Bem'!f.Rd.3/'Hilfstabellen_Mat&amp;Bem'!$BD$30)</f>
        <v>0.68647955850184228</v>
      </c>
      <c r="AT205" s="553">
        <f>0.5*(1+'Hilfstabellen_Mat&amp;Bem'!$BD$31*($AS205-0.3)+$AS205^2)</f>
        <v>0.75495107004553419</v>
      </c>
      <c r="AU205" s="550">
        <f t="shared" si="189"/>
        <v>0.93535591426579179</v>
      </c>
      <c r="AW205" s="551">
        <f t="shared" si="181"/>
        <v>61779.322781341281</v>
      </c>
      <c r="AZ205" s="547">
        <f>'Hilfstabellen_Mat&amp;Bem'!$J$56</f>
        <v>3.3</v>
      </c>
      <c r="BA205" s="546">
        <f t="shared" si="196"/>
        <v>257</v>
      </c>
      <c r="BB205" s="551">
        <f t="shared" si="197"/>
        <v>44.480682217722141</v>
      </c>
      <c r="BC205" s="553">
        <f>BB205/PI()*SQRT('Hilfstabellen_Mat&amp;Bem'!f.Rd.3/'Hilfstabellen_Mat&amp;Bem'!$BD$30)</f>
        <v>0.70793204470502491</v>
      </c>
      <c r="BD205" s="553">
        <f>0.5*(1+'Hilfstabellen_Mat&amp;Bem'!$BD$31*(BC205-0.3)+BC205^2)</f>
        <v>0.77098049219537002</v>
      </c>
      <c r="BE205" s="550">
        <f t="shared" si="198"/>
        <v>0.92907627870768106</v>
      </c>
      <c r="BG205" s="551">
        <f t="shared" si="199"/>
        <v>61364.559132363625</v>
      </c>
      <c r="BJ205" s="547">
        <f>'Hilfstabellen_Mat&amp;Bem'!$J$57</f>
        <v>3.4</v>
      </c>
      <c r="BK205" s="546">
        <f t="shared" si="200"/>
        <v>257</v>
      </c>
      <c r="BL205" s="551">
        <f t="shared" si="201"/>
        <v>45.828581678865227</v>
      </c>
      <c r="BM205" s="553">
        <f>BL205/PI()*SQRT('Hilfstabellen_Mat&amp;Bem'!f.Rd.3/'Hilfstabellen_Mat&amp;Bem'!$BD$30)</f>
        <v>0.72938453090820732</v>
      </c>
      <c r="BN205" s="553">
        <f>0.5*(1+'Hilfstabellen_Mat&amp;Bem'!$BD$31*(BM205-0.3)+BM205^2)</f>
        <v>0.78747012350950318</v>
      </c>
      <c r="BO205" s="550">
        <f t="shared" si="202"/>
        <v>0.92225481125839881</v>
      </c>
      <c r="BQ205" s="551">
        <f t="shared" si="203"/>
        <v>60914.008028805983</v>
      </c>
      <c r="BT205" s="547">
        <f>'Hilfstabellen_Mat&amp;Bem'!$J$58</f>
        <v>3.5</v>
      </c>
      <c r="BU205" s="546">
        <f t="shared" si="204"/>
        <v>257</v>
      </c>
      <c r="BV205" s="551">
        <f t="shared" si="205"/>
        <v>47.176481140008327</v>
      </c>
      <c r="BW205" s="553">
        <f>BV205/PI()*SQRT('Hilfstabellen_Mat&amp;Bem'!f.Rd.3/'Hilfstabellen_Mat&amp;Bem'!$BD$30)</f>
        <v>0.75083701711138995</v>
      </c>
      <c r="BX205" s="553">
        <f>0.5*(1+'Hilfstabellen_Mat&amp;Bem'!$BD$31*(BW205-0.3)+BW205^2)</f>
        <v>0.80441996398793436</v>
      </c>
      <c r="BY205" s="550">
        <f t="shared" si="206"/>
        <v>0.91483070485794271</v>
      </c>
      <c r="CA205" s="551">
        <f t="shared" si="207"/>
        <v>60423.653225162256</v>
      </c>
      <c r="CD205" s="547">
        <f>'Hilfstabellen_Mat&amp;Bem'!$J$59</f>
        <v>3.6</v>
      </c>
      <c r="CE205" s="546">
        <f t="shared" si="208"/>
        <v>257</v>
      </c>
      <c r="CF205" s="551">
        <f t="shared" si="209"/>
        <v>48.524380601151421</v>
      </c>
      <c r="CG205" s="553">
        <f>CF205/PI()*SQRT('Hilfstabellen_Mat&amp;Bem'!f.Rd.3/'Hilfstabellen_Mat&amp;Bem'!$BD$30)</f>
        <v>0.77228950331457247</v>
      </c>
      <c r="CH205" s="553">
        <f>0.5*(1+'Hilfstabellen_Mat&amp;Bem'!$BD$31*(CG205-0.3)+CG205^2)</f>
        <v>0.82183001363066321</v>
      </c>
      <c r="CI205" s="550">
        <f t="shared" si="210"/>
        <v>0.90673977840175402</v>
      </c>
      <c r="CK205" s="551">
        <f t="shared" si="211"/>
        <v>59889.255623657453</v>
      </c>
      <c r="CN205" s="547">
        <f>'Hilfstabellen_Mat&amp;Bem'!$J$60</f>
        <v>3.7</v>
      </c>
      <c r="CO205" s="546">
        <f t="shared" si="212"/>
        <v>257</v>
      </c>
      <c r="CP205" s="551">
        <f t="shared" si="213"/>
        <v>49.872280062294521</v>
      </c>
      <c r="CQ205" s="553">
        <f>CP205/PI()*SQRT('Hilfstabellen_Mat&amp;Bem'!f.Rd.3/'Hilfstabellen_Mat&amp;Bem'!$BD$30)</f>
        <v>0.7937419895177551</v>
      </c>
      <c r="CR205" s="553">
        <f>0.5*(1+'Hilfstabellen_Mat&amp;Bem'!$BD$31*(CQ205-0.3)+CQ205^2)</f>
        <v>0.83970027243768985</v>
      </c>
      <c r="CS205" s="550">
        <f t="shared" si="214"/>
        <v>0.89791618605946488</v>
      </c>
      <c r="CU205" s="551">
        <f t="shared" si="215"/>
        <v>59306.466173041597</v>
      </c>
      <c r="CX205" s="547">
        <f>'Hilfstabellen_Mat&amp;Bem'!$J$61</f>
        <v>3.8</v>
      </c>
      <c r="CY205" s="546">
        <f t="shared" si="216"/>
        <v>257</v>
      </c>
      <c r="CZ205" s="551">
        <f t="shared" si="217"/>
        <v>51.220179523437615</v>
      </c>
      <c r="DA205" s="553">
        <f>CZ205/PI()*SQRT('Hilfstabellen_Mat&amp;Bem'!f.Rd.3/'Hilfstabellen_Mat&amp;Bem'!$BD$30)</f>
        <v>0.81519447572093773</v>
      </c>
      <c r="DB205" s="553">
        <f>0.5*(1+'Hilfstabellen_Mat&amp;Bem'!$BD$31*(DA205-0.3)+DA205^2)</f>
        <v>0.85803074040901417</v>
      </c>
      <c r="DC205" s="550">
        <f t="shared" si="218"/>
        <v>0.88829504604500065</v>
      </c>
      <c r="DE205" s="551">
        <f t="shared" si="219"/>
        <v>58670.99949622625</v>
      </c>
      <c r="DH205" s="547">
        <f>'Hilfstabellen_Mat&amp;Bem'!$J$62</f>
        <v>3.9</v>
      </c>
      <c r="DI205" s="546">
        <f t="shared" si="220"/>
        <v>257</v>
      </c>
      <c r="DJ205" s="551">
        <f t="shared" si="221"/>
        <v>52.568078984580708</v>
      </c>
      <c r="DK205" s="553">
        <f>DJ205/PI()*SQRT('Hilfstabellen_Mat&amp;Bem'!f.Rd.3/'Hilfstabellen_Mat&amp;Bem'!$BD$30)</f>
        <v>0.83664696192412036</v>
      </c>
      <c r="DL205" s="553">
        <f>0.5*(1+'Hilfstabellen_Mat&amp;Bem'!$BD$31*(DK205-0.3)+DK205^2)</f>
        <v>0.87682141754463627</v>
      </c>
      <c r="DM205" s="550">
        <f t="shared" si="222"/>
        <v>0.87781612703562539</v>
      </c>
      <c r="DO205" s="551">
        <f t="shared" si="223"/>
        <v>57978.877374576019</v>
      </c>
      <c r="DR205" s="547">
        <f>'Hilfstabellen_Mat&amp;Bem'!$J$63</f>
        <v>4</v>
      </c>
      <c r="DS205" s="546">
        <f t="shared" si="224"/>
        <v>257</v>
      </c>
      <c r="DT205" s="551">
        <f t="shared" si="225"/>
        <v>53.915978445723802</v>
      </c>
      <c r="DU205" s="553">
        <f>DT205/PI()*SQRT('Hilfstabellen_Mat&amp;Bem'!f.Rd.3/'Hilfstabellen_Mat&amp;Bem'!$BD$30)</f>
        <v>0.85809944812730277</v>
      </c>
      <c r="DV205" s="553">
        <f>0.5*(1+'Hilfstabellen_Mat&amp;Bem'!$BD$31*(DU205-0.3)+DU205^2)</f>
        <v>0.89607230384455594</v>
      </c>
      <c r="DW205" s="550">
        <f t="shared" si="226"/>
        <v>0.86642859495701308</v>
      </c>
      <c r="DY205" s="551">
        <f t="shared" si="227"/>
        <v>57226.742268315757</v>
      </c>
      <c r="EB205" s="547">
        <f>'Hilfstabellen_Mat&amp;Bem'!$J$64</f>
        <v>4.0999999999999996</v>
      </c>
      <c r="EC205" s="546">
        <f t="shared" si="228"/>
        <v>257</v>
      </c>
      <c r="ED205" s="551">
        <f t="shared" si="229"/>
        <v>55.263877906866902</v>
      </c>
      <c r="EE205" s="553">
        <f>ED205/PI()*SQRT('Hilfstabellen_Mat&amp;Bem'!f.Rd.3/'Hilfstabellen_Mat&amp;Bem'!$BD$30)</f>
        <v>0.8795519343304854</v>
      </c>
      <c r="EF205" s="553">
        <f>0.5*(1+'Hilfstabellen_Mat&amp;Bem'!$BD$31*(EE205-0.3)+EE205^2)</f>
        <v>0.91578339930877339</v>
      </c>
      <c r="EG205" s="550">
        <f t="shared" si="230"/>
        <v>0.85409658752856421</v>
      </c>
      <c r="EI205" s="551">
        <f t="shared" si="231"/>
        <v>56412.225509674136</v>
      </c>
      <c r="EL205" s="547">
        <f>'Hilfstabellen_Mat&amp;Bem'!$J$65</f>
        <v>4.2</v>
      </c>
      <c r="EM205" s="546">
        <f t="shared" si="232"/>
        <v>257</v>
      </c>
      <c r="EN205" s="551">
        <f t="shared" si="233"/>
        <v>56.611777368009989</v>
      </c>
      <c r="EO205" s="553">
        <f>EN205/PI()*SQRT('Hilfstabellen_Mat&amp;Bem'!f.Rd.3/'Hilfstabellen_Mat&amp;Bem'!$BD$30)</f>
        <v>0.9010044205336678</v>
      </c>
      <c r="EP205" s="553">
        <f>0.5*(1+'Hilfstabellen_Mat&amp;Bem'!$BD$31*(EO205-0.3)+EO205^2)</f>
        <v>0.93595470393728863</v>
      </c>
      <c r="EQ205" s="550">
        <f t="shared" si="234"/>
        <v>0.84080506534282418</v>
      </c>
      <c r="ES205" s="551">
        <f t="shared" si="235"/>
        <v>55534.333760828194</v>
      </c>
    </row>
    <row r="206" spans="3:149">
      <c r="C206" s="546">
        <v>258</v>
      </c>
      <c r="D206" s="551">
        <f t="shared" si="190"/>
        <v>37.594901249557026</v>
      </c>
      <c r="E206" s="553">
        <f>$D206/PI()*SQRT('Hilfstabellen_Mat&amp;Bem'!f.Rd.3/'Hilfstabellen_Mat&amp;Bem'!$BD$30)</f>
        <v>0.59834143689186736</v>
      </c>
      <c r="F206" s="553">
        <f>0.5*(1+'Hilfstabellen_Mat&amp;Bem'!$BD$31*($E206-0.3)+$E206^2)</f>
        <v>0.69392330939550562</v>
      </c>
      <c r="G206" s="550">
        <f t="shared" si="191"/>
        <v>0.95659609432272474</v>
      </c>
      <c r="I206" s="551">
        <f t="shared" si="177"/>
        <v>63674.862422497848</v>
      </c>
      <c r="M206" s="546">
        <f t="shared" si="192"/>
        <v>258</v>
      </c>
      <c r="N206" s="551">
        <f t="shared" si="182"/>
        <v>38.937576294184062</v>
      </c>
      <c r="O206" s="553">
        <f>$N206/PI()*SQRT('Hilfstabellen_Mat&amp;Bem'!f.Rd.3/'Hilfstabellen_Mat&amp;Bem'!$BD$30)</f>
        <v>0.61971077392371976</v>
      </c>
      <c r="P206" s="553">
        <f>0.5*(1+'Hilfstabellen_Mat&amp;Bem'!$BD$31*($O206-0.3)+$O206^2)</f>
        <v>0.70800626035475389</v>
      </c>
      <c r="Q206" s="550">
        <f t="shared" si="183"/>
        <v>0.95202099408298679</v>
      </c>
      <c r="S206" s="551">
        <f t="shared" si="178"/>
        <v>63370.325450139935</v>
      </c>
      <c r="W206" s="546">
        <f t="shared" si="193"/>
        <v>258</v>
      </c>
      <c r="X206" s="551">
        <f t="shared" si="184"/>
        <v>40.280251338811098</v>
      </c>
      <c r="Y206" s="553">
        <f>$X206/PI()*SQRT('Hilfstabellen_Mat&amp;Bem'!f.Rd.3/'Hilfstabellen_Mat&amp;Bem'!$BD$30)</f>
        <v>0.64108011095557216</v>
      </c>
      <c r="Z206" s="553">
        <f>0.5*(1+'Hilfstabellen_Mat&amp;Bem'!$BD$31*($Y206-0.3)+$Y206^2)</f>
        <v>0.72254585987918296</v>
      </c>
      <c r="AA206" s="550">
        <f t="shared" si="185"/>
        <v>0.94710804890275635</v>
      </c>
      <c r="AC206" s="551">
        <f t="shared" si="179"/>
        <v>63043.300167163077</v>
      </c>
      <c r="AG206" s="546">
        <f t="shared" si="194"/>
        <v>258</v>
      </c>
      <c r="AH206" s="551">
        <f t="shared" si="186"/>
        <v>41.622926383438134</v>
      </c>
      <c r="AI206" s="553">
        <f>$AH206/PI()*SQRT('Hilfstabellen_Mat&amp;Bem'!f.Rd.3/'Hilfstabellen_Mat&amp;Bem'!$BD$30)</f>
        <v>0.66244944798742456</v>
      </c>
      <c r="AJ206" s="553">
        <f>0.5*(1+'Hilfstabellen_Mat&amp;Bem'!$BD$31*($AI206-0.3)+$AI206^2)</f>
        <v>0.73754210796879305</v>
      </c>
      <c r="AK206" s="550">
        <f t="shared" si="187"/>
        <v>0.94181622154888334</v>
      </c>
      <c r="AM206" s="551">
        <f t="shared" si="180"/>
        <v>62691.054971179874</v>
      </c>
      <c r="AQ206" s="546">
        <f t="shared" si="195"/>
        <v>258</v>
      </c>
      <c r="AR206" s="551">
        <f t="shared" si="188"/>
        <v>42.96560142806517</v>
      </c>
      <c r="AS206" s="553">
        <f>$AR206/PI()*SQRT('Hilfstabellen_Mat&amp;Bem'!f.Rd.3/'Hilfstabellen_Mat&amp;Bem'!$BD$30)</f>
        <v>0.68381878501927695</v>
      </c>
      <c r="AT206" s="553">
        <f>0.5*(1+'Hilfstabellen_Mat&amp;Bem'!$BD$31*($AS206-0.3)+$AS206^2)</f>
        <v>0.75299500462358382</v>
      </c>
      <c r="AU206" s="550">
        <f t="shared" si="189"/>
        <v>0.93609985119800887</v>
      </c>
      <c r="AW206" s="551">
        <f t="shared" si="181"/>
        <v>62310.550495144264</v>
      </c>
      <c r="AZ206" s="547">
        <f>'Hilfstabellen_Mat&amp;Bem'!$J$56</f>
        <v>3.3</v>
      </c>
      <c r="BA206" s="546">
        <f t="shared" si="196"/>
        <v>258</v>
      </c>
      <c r="BB206" s="551">
        <f t="shared" si="197"/>
        <v>44.308276472692206</v>
      </c>
      <c r="BC206" s="553">
        <f>BB206/PI()*SQRT('Hilfstabellen_Mat&amp;Bem'!f.Rd.3/'Hilfstabellen_Mat&amp;Bem'!$BD$30)</f>
        <v>0.70518812205112935</v>
      </c>
      <c r="BD206" s="553">
        <f>0.5*(1+'Hilfstabellen_Mat&amp;Bem'!$BD$31*(BC206-0.3)+BC206^2)</f>
        <v>0.76890454984355572</v>
      </c>
      <c r="BE206" s="550">
        <f t="shared" si="198"/>
        <v>0.92990847845825719</v>
      </c>
      <c r="BG206" s="551">
        <f t="shared" si="199"/>
        <v>61898.427960095432</v>
      </c>
      <c r="BJ206" s="547">
        <f>'Hilfstabellen_Mat&amp;Bem'!$J$57</f>
        <v>3.4</v>
      </c>
      <c r="BK206" s="546">
        <f t="shared" si="200"/>
        <v>258</v>
      </c>
      <c r="BL206" s="551">
        <f t="shared" si="201"/>
        <v>45.650951517319243</v>
      </c>
      <c r="BM206" s="553">
        <f>BL206/PI()*SQRT('Hilfstabellen_Mat&amp;Bem'!f.Rd.3/'Hilfstabellen_Mat&amp;Bem'!$BD$30)</f>
        <v>0.72655745908298175</v>
      </c>
      <c r="BN206" s="553">
        <f>0.5*(1+'Hilfstabellen_Mat&amp;Bem'!$BD$31*(BM206-0.3)+BM206^2)</f>
        <v>0.78527074362870841</v>
      </c>
      <c r="BO206" s="550">
        <f t="shared" si="202"/>
        <v>0.92318688826101547</v>
      </c>
      <c r="BQ206" s="551">
        <f t="shared" si="203"/>
        <v>61451.012030206235</v>
      </c>
      <c r="BT206" s="547">
        <f>'Hilfstabellen_Mat&amp;Bem'!$J$58</f>
        <v>3.5</v>
      </c>
      <c r="BU206" s="546">
        <f t="shared" si="204"/>
        <v>258</v>
      </c>
      <c r="BV206" s="551">
        <f t="shared" si="205"/>
        <v>46.993626561946279</v>
      </c>
      <c r="BW206" s="553">
        <f>BV206/PI()*SQRT('Hilfstabellen_Mat&amp;Bem'!f.Rd.3/'Hilfstabellen_Mat&amp;Bem'!$BD$30)</f>
        <v>0.74792679611483415</v>
      </c>
      <c r="BX206" s="553">
        <f>0.5*(1+'Hilfstabellen_Mat&amp;Bem'!$BD$31*(BW206-0.3)+BW206^2)</f>
        <v>0.80209358597904212</v>
      </c>
      <c r="BY206" s="550">
        <f t="shared" si="206"/>
        <v>0.91587549430047444</v>
      </c>
      <c r="CA206" s="551">
        <f t="shared" si="207"/>
        <v>60964.336402616784</v>
      </c>
      <c r="CD206" s="547">
        <f>'Hilfstabellen_Mat&amp;Bem'!$J$59</f>
        <v>3.6</v>
      </c>
      <c r="CE206" s="546">
        <f t="shared" si="208"/>
        <v>258</v>
      </c>
      <c r="CF206" s="551">
        <f t="shared" si="209"/>
        <v>48.336301606573315</v>
      </c>
      <c r="CG206" s="553">
        <f>CF206/PI()*SQRT('Hilfstabellen_Mat&amp;Bem'!f.Rd.3/'Hilfstabellen_Mat&amp;Bem'!$BD$30)</f>
        <v>0.76929613314668654</v>
      </c>
      <c r="CH206" s="553">
        <f>0.5*(1+'Hilfstabellen_Mat&amp;Bem'!$BD$31*(CG206-0.3)+CG206^2)</f>
        <v>0.81937307689455652</v>
      </c>
      <c r="CI206" s="550">
        <f t="shared" si="210"/>
        <v>0.90791122322520768</v>
      </c>
      <c r="CK206" s="551">
        <f t="shared" si="211"/>
        <v>60434.20266276272</v>
      </c>
      <c r="CN206" s="547">
        <f>'Hilfstabellen_Mat&amp;Bem'!$J$60</f>
        <v>3.7</v>
      </c>
      <c r="CO206" s="546">
        <f t="shared" si="212"/>
        <v>258</v>
      </c>
      <c r="CP206" s="551">
        <f t="shared" si="213"/>
        <v>49.678976651200358</v>
      </c>
      <c r="CQ206" s="553">
        <f>CP206/PI()*SQRT('Hilfstabellen_Mat&amp;Bem'!f.Rd.3/'Hilfstabellen_Mat&amp;Bem'!$BD$30)</f>
        <v>0.79066547017853905</v>
      </c>
      <c r="CR206" s="553">
        <f>0.5*(1+'Hilfstabellen_Mat&amp;Bem'!$BD$31*(CQ206-0.3)+CQ206^2)</f>
        <v>0.83710921637525204</v>
      </c>
      <c r="CS206" s="550">
        <f t="shared" si="214"/>
        <v>0.89922908402942769</v>
      </c>
      <c r="CU206" s="551">
        <f t="shared" si="215"/>
        <v>59856.284749334824</v>
      </c>
      <c r="CX206" s="547">
        <f>'Hilfstabellen_Mat&amp;Bem'!$J$61</f>
        <v>3.8</v>
      </c>
      <c r="CY206" s="546">
        <f t="shared" si="216"/>
        <v>258</v>
      </c>
      <c r="CZ206" s="551">
        <f t="shared" si="217"/>
        <v>51.021651695827387</v>
      </c>
      <c r="DA206" s="553">
        <f>CZ206/PI()*SQRT('Hilfstabellen_Mat&amp;Bem'!f.Rd.3/'Hilfstabellen_Mat&amp;Bem'!$BD$30)</f>
        <v>0.81203480721039145</v>
      </c>
      <c r="DB206" s="553">
        <f>0.5*(1+'Hilfstabellen_Mat&amp;Bem'!$BD$31*(DA206-0.3)+DA206^2)</f>
        <v>0.85530200442112836</v>
      </c>
      <c r="DC206" s="550">
        <f t="shared" si="218"/>
        <v>0.88976461199644297</v>
      </c>
      <c r="DE206" s="551">
        <f t="shared" si="219"/>
        <v>59226.291632931228</v>
      </c>
      <c r="DH206" s="547">
        <f>'Hilfstabellen_Mat&amp;Bem'!$J$62</f>
        <v>3.9</v>
      </c>
      <c r="DI206" s="546">
        <f t="shared" si="220"/>
        <v>258</v>
      </c>
      <c r="DJ206" s="551">
        <f t="shared" si="221"/>
        <v>52.36432674045443</v>
      </c>
      <c r="DK206" s="553">
        <f>DJ206/PI()*SQRT('Hilfstabellen_Mat&amp;Bem'!f.Rd.3/'Hilfstabellen_Mat&amp;Bem'!$BD$30)</f>
        <v>0.83340414424224396</v>
      </c>
      <c r="DL206" s="553">
        <f>0.5*(1+'Hilfstabellen_Mat&amp;Bem'!$BD$31*(DK206-0.3)+DK206^2)</f>
        <v>0.87395144103218569</v>
      </c>
      <c r="DM206" s="550">
        <f t="shared" si="222"/>
        <v>0.87945733316575891</v>
      </c>
      <c r="DO206" s="551">
        <f t="shared" si="223"/>
        <v>58540.197924845575</v>
      </c>
      <c r="DR206" s="547">
        <f>'Hilfstabellen_Mat&amp;Bem'!$J$63</f>
        <v>4</v>
      </c>
      <c r="DS206" s="546">
        <f t="shared" si="224"/>
        <v>258</v>
      </c>
      <c r="DT206" s="551">
        <f t="shared" si="225"/>
        <v>53.707001785081459</v>
      </c>
      <c r="DU206" s="553">
        <f>DT206/PI()*SQRT('Hilfstabellen_Mat&amp;Bem'!f.Rd.3/'Hilfstabellen_Mat&amp;Bem'!$BD$30)</f>
        <v>0.85477348127409614</v>
      </c>
      <c r="DV206" s="553">
        <f>0.5*(1+'Hilfstabellen_Mat&amp;Bem'!$BD$31*(DU206-0.3)+DU206^2)</f>
        <v>0.89305752620842349</v>
      </c>
      <c r="DW206" s="550">
        <f t="shared" si="226"/>
        <v>0.86825527657793988</v>
      </c>
      <c r="DY206" s="551">
        <f t="shared" si="227"/>
        <v>57794.544230133994</v>
      </c>
      <c r="EB206" s="547">
        <f>'Hilfstabellen_Mat&amp;Bem'!$J$64</f>
        <v>4.0999999999999996</v>
      </c>
      <c r="EC206" s="546">
        <f t="shared" si="228"/>
        <v>258</v>
      </c>
      <c r="ED206" s="551">
        <f t="shared" si="229"/>
        <v>55.049676829708503</v>
      </c>
      <c r="EE206" s="553">
        <f>ED206/PI()*SQRT('Hilfstabellen_Mat&amp;Bem'!f.Rd.3/'Hilfstabellen_Mat&amp;Bem'!$BD$30)</f>
        <v>0.87614281830594865</v>
      </c>
      <c r="EF206" s="553">
        <f>0.5*(1+'Hilfstabellen_Mat&amp;Bem'!$BD$31*(EE206-0.3)+EE206^2)</f>
        <v>0.91262025994984275</v>
      </c>
      <c r="EG206" s="550">
        <f t="shared" si="230"/>
        <v>0.85612034737996145</v>
      </c>
      <c r="EI206" s="551">
        <f t="shared" si="231"/>
        <v>56986.794802999757</v>
      </c>
      <c r="EL206" s="547">
        <f>'Hilfstabellen_Mat&amp;Bem'!$J$65</f>
        <v>4.2</v>
      </c>
      <c r="EM206" s="546">
        <f t="shared" si="232"/>
        <v>258</v>
      </c>
      <c r="EN206" s="551">
        <f t="shared" si="233"/>
        <v>56.392351874335539</v>
      </c>
      <c r="EO206" s="553">
        <f>EN206/PI()*SQRT('Hilfstabellen_Mat&amp;Bem'!f.Rd.3/'Hilfstabellen_Mat&amp;Bem'!$BD$30)</f>
        <v>0.89751215533780104</v>
      </c>
      <c r="EP206" s="553">
        <f>0.5*(1+'Hilfstabellen_Mat&amp;Bem'!$BD$31*(EO206-0.3)+EO206^2)</f>
        <v>0.93263964225644258</v>
      </c>
      <c r="EQ206" s="550">
        <f t="shared" si="234"/>
        <v>0.84303407370106309</v>
      </c>
      <c r="ES206" s="551">
        <f t="shared" si="235"/>
        <v>56115.720081837564</v>
      </c>
    </row>
    <row r="207" spans="3:149">
      <c r="C207" s="546">
        <v>259</v>
      </c>
      <c r="D207" s="551">
        <f t="shared" si="190"/>
        <v>37.449747190678423</v>
      </c>
      <c r="E207" s="553">
        <f>$D207/PI()*SQRT('Hilfstabellen_Mat&amp;Bem'!f.Rd.3/'Hilfstabellen_Mat&amp;Bem'!$BD$30)</f>
        <v>0.5960312382938292</v>
      </c>
      <c r="F207" s="553">
        <f>0.5*(1+'Hilfstabellen_Mat&amp;Bem'!$BD$31*($E207-0.3)+$E207^2)</f>
        <v>0.69242818042572918</v>
      </c>
      <c r="G207" s="550">
        <f t="shared" si="191"/>
        <v>0.95707204747151975</v>
      </c>
      <c r="I207" s="551">
        <f t="shared" si="177"/>
        <v>64201.35001643702</v>
      </c>
      <c r="M207" s="546">
        <f t="shared" si="192"/>
        <v>259</v>
      </c>
      <c r="N207" s="551">
        <f t="shared" si="182"/>
        <v>38.787238161774084</v>
      </c>
      <c r="O207" s="553">
        <f>$N207/PI()*SQRT('Hilfstabellen_Mat&amp;Bem'!f.Rd.3/'Hilfstabellen_Mat&amp;Bem'!$BD$30)</f>
        <v>0.61731806823289459</v>
      </c>
      <c r="P207" s="553">
        <f>0.5*(1+'Hilfstabellen_Mat&amp;Bem'!$BD$31*($O207-0.3)+$O207^2)</f>
        <v>0.70640670209504108</v>
      </c>
      <c r="Q207" s="550">
        <f t="shared" si="183"/>
        <v>0.95254934740019226</v>
      </c>
      <c r="S207" s="551">
        <f t="shared" si="178"/>
        <v>63897.962772952298</v>
      </c>
      <c r="W207" s="546">
        <f t="shared" si="193"/>
        <v>259</v>
      </c>
      <c r="X207" s="551">
        <f t="shared" si="184"/>
        <v>40.124729132869739</v>
      </c>
      <c r="Y207" s="553">
        <f>$X207/PI()*SQRT('Hilfstabellen_Mat&amp;Bem'!f.Rd.3/'Hilfstabellen_Mat&amp;Bem'!$BD$30)</f>
        <v>0.63860489817195987</v>
      </c>
      <c r="Z207" s="553">
        <f>0.5*(1+'Hilfstabellen_Mat&amp;Bem'!$BD$31*($Y207-0.3)+$Y207^2)</f>
        <v>0.72083835289320763</v>
      </c>
      <c r="AA207" s="550">
        <f t="shared" si="185"/>
        <v>0.94769569513676299</v>
      </c>
      <c r="AC207" s="551">
        <f t="shared" si="179"/>
        <v>63572.374925469201</v>
      </c>
      <c r="AG207" s="546">
        <f t="shared" si="194"/>
        <v>259</v>
      </c>
      <c r="AH207" s="551">
        <f t="shared" si="186"/>
        <v>41.4622201039654</v>
      </c>
      <c r="AI207" s="553">
        <f>$AH207/PI()*SQRT('Hilfstabellen_Mat&amp;Bem'!f.Rd.3/'Hilfstabellen_Mat&amp;Bem'!$BD$30)</f>
        <v>0.65989172811102526</v>
      </c>
      <c r="AJ207" s="553">
        <f>0.5*(1+'Hilfstabellen_Mat&amp;Bem'!$BD$31*($AI207-0.3)+$AI207^2)</f>
        <v>0.73572313282022894</v>
      </c>
      <c r="AK207" s="550">
        <f t="shared" si="187"/>
        <v>0.94247103050398717</v>
      </c>
      <c r="AM207" s="551">
        <f t="shared" si="180"/>
        <v>63221.899197237966</v>
      </c>
      <c r="AQ207" s="546">
        <f t="shared" si="195"/>
        <v>259</v>
      </c>
      <c r="AR207" s="551">
        <f t="shared" si="188"/>
        <v>42.799711075061062</v>
      </c>
      <c r="AS207" s="553">
        <f>$AR207/PI()*SQRT('Hilfstabellen_Mat&amp;Bem'!f.Rd.3/'Hilfstabellen_Mat&amp;Bem'!$BD$30)</f>
        <v>0.68117855805009064</v>
      </c>
      <c r="AT207" s="553">
        <f>0.5*(1+'Hilfstabellen_Mat&amp;Bem'!$BD$31*($AS207-0.3)+$AS207^2)</f>
        <v>0.7510610418761049</v>
      </c>
      <c r="AU207" s="550">
        <f t="shared" si="189"/>
        <v>0.93683077003380721</v>
      </c>
      <c r="AW207" s="551">
        <f t="shared" si="181"/>
        <v>62843.54488463782</v>
      </c>
      <c r="AZ207" s="547">
        <f>'Hilfstabellen_Mat&amp;Bem'!$J$56</f>
        <v>3.3</v>
      </c>
      <c r="BA207" s="546">
        <f t="shared" si="196"/>
        <v>259</v>
      </c>
      <c r="BB207" s="551">
        <f t="shared" si="197"/>
        <v>44.137202046156716</v>
      </c>
      <c r="BC207" s="553">
        <f>BB207/PI()*SQRT('Hilfstabellen_Mat&amp;Bem'!f.Rd.3/'Hilfstabellen_Mat&amp;Bem'!$BD$30)</f>
        <v>0.70246538798915592</v>
      </c>
      <c r="BD207" s="553">
        <f>0.5*(1+'Hilfstabellen_Mat&amp;Bem'!$BD$31*(BC207-0.3)+BC207^2)</f>
        <v>0.76685208006083538</v>
      </c>
      <c r="BE207" s="550">
        <f t="shared" si="198"/>
        <v>0.93072561647469221</v>
      </c>
      <c r="BG207" s="551">
        <f t="shared" si="199"/>
        <v>62434.005078738825</v>
      </c>
      <c r="BJ207" s="547">
        <f>'Hilfstabellen_Mat&amp;Bem'!$J$57</f>
        <v>3.4</v>
      </c>
      <c r="BK207" s="546">
        <f t="shared" si="200"/>
        <v>259</v>
      </c>
      <c r="BL207" s="551">
        <f t="shared" si="201"/>
        <v>45.474693017252378</v>
      </c>
      <c r="BM207" s="553">
        <f>BL207/PI()*SQRT('Hilfstabellen_Mat&amp;Bem'!f.Rd.3/'Hilfstabellen_Mat&amp;Bem'!$BD$30)</f>
        <v>0.72375221792822131</v>
      </c>
      <c r="BN207" s="553">
        <f>0.5*(1+'Hilfstabellen_Mat&amp;Bem'!$BD$31*(BM207-0.3)+BM207^2)</f>
        <v>0.78309624737442085</v>
      </c>
      <c r="BO207" s="550">
        <f t="shared" si="202"/>
        <v>0.92410156888666373</v>
      </c>
      <c r="BQ207" s="551">
        <f t="shared" si="203"/>
        <v>61989.657342486287</v>
      </c>
      <c r="BT207" s="547">
        <f>'Hilfstabellen_Mat&amp;Bem'!$J$58</f>
        <v>3.5</v>
      </c>
      <c r="BU207" s="546">
        <f t="shared" si="204"/>
        <v>259</v>
      </c>
      <c r="BV207" s="551">
        <f t="shared" si="205"/>
        <v>46.812183988348032</v>
      </c>
      <c r="BW207" s="553">
        <f>BV207/PI()*SQRT('Hilfstabellen_Mat&amp;Bem'!f.Rd.3/'Hilfstabellen_Mat&amp;Bem'!$BD$30)</f>
        <v>0.74503904786728659</v>
      </c>
      <c r="BX207" s="553">
        <f>0.5*(1+'Hilfstabellen_Mat&amp;Bem'!$BD$31*(BW207-0.3)+BW207^2)</f>
        <v>0.79979354381686085</v>
      </c>
      <c r="BY207" s="550">
        <f t="shared" si="206"/>
        <v>0.91690024959756122</v>
      </c>
      <c r="CA207" s="551">
        <f t="shared" si="207"/>
        <v>61506.585643254002</v>
      </c>
      <c r="CD207" s="547">
        <f>'Hilfstabellen_Mat&amp;Bem'!$J$59</f>
        <v>3.6</v>
      </c>
      <c r="CE207" s="546">
        <f t="shared" si="208"/>
        <v>259</v>
      </c>
      <c r="CF207" s="551">
        <f t="shared" si="209"/>
        <v>48.149674959443693</v>
      </c>
      <c r="CG207" s="553">
        <f>CF207/PI()*SQRT('Hilfstabellen_Mat&amp;Bem'!f.Rd.3/'Hilfstabellen_Mat&amp;Bem'!$BD$30)</f>
        <v>0.76632587780635197</v>
      </c>
      <c r="CH207" s="553">
        <f>0.5*(1+'Hilfstabellen_Mat&amp;Bem'!$BD$31*(CG207-0.3)+CG207^2)</f>
        <v>0.81694396938815561</v>
      </c>
      <c r="CI207" s="550">
        <f t="shared" si="210"/>
        <v>0.90905969794431274</v>
      </c>
      <c r="CK207" s="551">
        <f t="shared" si="211"/>
        <v>60980.633597802444</v>
      </c>
      <c r="CN207" s="547">
        <f>'Hilfstabellen_Mat&amp;Bem'!$J$60</f>
        <v>3.7</v>
      </c>
      <c r="CO207" s="546">
        <f t="shared" si="212"/>
        <v>259</v>
      </c>
      <c r="CP207" s="551">
        <f t="shared" si="213"/>
        <v>49.487165930539348</v>
      </c>
      <c r="CQ207" s="553">
        <f>CP207/PI()*SQRT('Hilfstabellen_Mat&amp;Bem'!f.Rd.3/'Hilfstabellen_Mat&amp;Bem'!$BD$30)</f>
        <v>0.78761270774541725</v>
      </c>
      <c r="CR207" s="553">
        <f>0.5*(1+'Hilfstabellen_Mat&amp;Bem'!$BD$31*(CQ207-0.3)+CQ207^2)</f>
        <v>0.8345475240883049</v>
      </c>
      <c r="CS207" s="550">
        <f t="shared" si="214"/>
        <v>0.90051580877540705</v>
      </c>
      <c r="CU207" s="551">
        <f t="shared" si="215"/>
        <v>60407.500968463079</v>
      </c>
      <c r="CX207" s="547">
        <f>'Hilfstabellen_Mat&amp;Bem'!$J$61</f>
        <v>3.8</v>
      </c>
      <c r="CY207" s="546">
        <f t="shared" si="216"/>
        <v>259</v>
      </c>
      <c r="CZ207" s="551">
        <f t="shared" si="217"/>
        <v>50.824656901635009</v>
      </c>
      <c r="DA207" s="553">
        <f>CZ207/PI()*SQRT('Hilfstabellen_Mat&amp;Bem'!f.Rd.3/'Hilfstabellen_Mat&amp;Bem'!$BD$30)</f>
        <v>0.80889953768448264</v>
      </c>
      <c r="DB207" s="553">
        <f>0.5*(1+'Hilfstabellen_Mat&amp;Bem'!$BD$31*(DA207-0.3)+DA207^2)</f>
        <v>0.85260420791730895</v>
      </c>
      <c r="DC207" s="550">
        <f t="shared" si="218"/>
        <v>0.89120460167500548</v>
      </c>
      <c r="DE207" s="551">
        <f t="shared" si="219"/>
        <v>59782.895884961043</v>
      </c>
      <c r="DH207" s="547">
        <f>'Hilfstabellen_Mat&amp;Bem'!$J$62</f>
        <v>3.9</v>
      </c>
      <c r="DI207" s="546">
        <f t="shared" si="220"/>
        <v>259</v>
      </c>
      <c r="DJ207" s="551">
        <f t="shared" si="221"/>
        <v>52.162147872730664</v>
      </c>
      <c r="DK207" s="553">
        <f>DJ207/PI()*SQRT('Hilfstabellen_Mat&amp;Bem'!f.Rd.3/'Hilfstabellen_Mat&amp;Bem'!$BD$30)</f>
        <v>0.83018636762354792</v>
      </c>
      <c r="DL207" s="553">
        <f>0.5*(1+'Hilfstabellen_Mat&amp;Bem'!$BD$31*(DK207-0.3)+DK207^2)</f>
        <v>0.87111402087516776</v>
      </c>
      <c r="DM207" s="550">
        <f t="shared" si="222"/>
        <v>0.88106547265682134</v>
      </c>
      <c r="DO207" s="551">
        <f t="shared" si="223"/>
        <v>59102.752971292233</v>
      </c>
      <c r="DR207" s="547">
        <f>'Hilfstabellen_Mat&amp;Bem'!$J$63</f>
        <v>4</v>
      </c>
      <c r="DS207" s="546">
        <f t="shared" si="224"/>
        <v>259</v>
      </c>
      <c r="DT207" s="551">
        <f t="shared" si="225"/>
        <v>53.499638843826318</v>
      </c>
      <c r="DU207" s="553">
        <f>DT207/PI()*SQRT('Hilfstabellen_Mat&amp;Bem'!f.Rd.3/'Hilfstabellen_Mat&amp;Bem'!$BD$30)</f>
        <v>0.85147319756261308</v>
      </c>
      <c r="DV207" s="553">
        <f>0.5*(1+'Hilfstabellen_Mat&amp;Bem'!$BD$31*(DU207-0.3)+DU207^2)</f>
        <v>0.89007696296188099</v>
      </c>
      <c r="DW207" s="550">
        <f t="shared" si="226"/>
        <v>0.8700454767147825</v>
      </c>
      <c r="DY207" s="551">
        <f t="shared" si="227"/>
        <v>58363.520623504322</v>
      </c>
      <c r="EB207" s="547">
        <f>'Hilfstabellen_Mat&amp;Bem'!$J$64</f>
        <v>4.0999999999999996</v>
      </c>
      <c r="EC207" s="546">
        <f t="shared" si="228"/>
        <v>259</v>
      </c>
      <c r="ED207" s="551">
        <f t="shared" si="229"/>
        <v>54.83712981492198</v>
      </c>
      <c r="EE207" s="553">
        <f>ED207/PI()*SQRT('Hilfstabellen_Mat&amp;Bem'!f.Rd.3/'Hilfstabellen_Mat&amp;Bem'!$BD$30)</f>
        <v>0.87276002750167858</v>
      </c>
      <c r="EF207" s="553">
        <f>0.5*(1+'Hilfstabellen_Mat&amp;Bem'!$BD$31*(EE207-0.3)+EE207^2)</f>
        <v>0.90949303417744942</v>
      </c>
      <c r="EG207" s="550">
        <f t="shared" si="230"/>
        <v>0.85810449557120771</v>
      </c>
      <c r="EI207" s="551">
        <f t="shared" si="231"/>
        <v>57562.507667412188</v>
      </c>
      <c r="EL207" s="547">
        <f>'Hilfstabellen_Mat&amp;Bem'!$J$65</f>
        <v>4.2</v>
      </c>
      <c r="EM207" s="546">
        <f t="shared" si="232"/>
        <v>259</v>
      </c>
      <c r="EN207" s="551">
        <f t="shared" si="233"/>
        <v>56.174620786017641</v>
      </c>
      <c r="EO207" s="553">
        <f>EN207/PI()*SQRT('Hilfstabellen_Mat&amp;Bem'!f.Rd.3/'Hilfstabellen_Mat&amp;Bem'!$BD$30)</f>
        <v>0.89404685744074386</v>
      </c>
      <c r="EP207" s="553">
        <f>0.5*(1+'Hilfstabellen_Mat&amp;Bem'!$BD$31*(EO207-0.3)+EO207^2)</f>
        <v>0.92936223452187217</v>
      </c>
      <c r="EQ207" s="550">
        <f t="shared" si="234"/>
        <v>0.84522086366346427</v>
      </c>
      <c r="ES207" s="551">
        <f t="shared" si="235"/>
        <v>56698.260755408846</v>
      </c>
    </row>
    <row r="208" spans="3:149">
      <c r="C208" s="546">
        <v>260</v>
      </c>
      <c r="D208" s="551">
        <f t="shared" si="190"/>
        <v>37.305709701483515</v>
      </c>
      <c r="E208" s="553">
        <f>$D208/PI()*SQRT('Hilfstabellen_Mat&amp;Bem'!f.Rd.3/'Hilfstabellen_Mat&amp;Bem'!$BD$30)</f>
        <v>0.59373881045423771</v>
      </c>
      <c r="F208" s="553">
        <f>0.5*(1+'Hilfstabellen_Mat&amp;Bem'!$BD$31*($E208-0.3)+$E208^2)</f>
        <v>0.69094982804251848</v>
      </c>
      <c r="G208" s="550">
        <f t="shared" si="191"/>
        <v>0.95754090719782115</v>
      </c>
      <c r="I208" s="551">
        <f t="shared" si="177"/>
        <v>64729.765326572706</v>
      </c>
      <c r="M208" s="546">
        <f t="shared" si="192"/>
        <v>260</v>
      </c>
      <c r="N208" s="551">
        <f t="shared" si="182"/>
        <v>38.638056476536491</v>
      </c>
      <c r="O208" s="553">
        <f>$N208/PI()*SQRT('Hilfstabellen_Mat&amp;Bem'!f.Rd.3/'Hilfstabellen_Mat&amp;Bem'!$BD$30)</f>
        <v>0.61494376797046035</v>
      </c>
      <c r="P208" s="553">
        <f>0.5*(1+'Hilfstabellen_Mat&amp;Bem'!$BD$31*($O208-0.3)+$O208^2)</f>
        <v>0.70482510728137671</v>
      </c>
      <c r="Q208" s="550">
        <f t="shared" si="183"/>
        <v>0.95306950738798901</v>
      </c>
      <c r="S208" s="551">
        <f t="shared" si="178"/>
        <v>64427.498699428055</v>
      </c>
      <c r="W208" s="546">
        <f t="shared" si="193"/>
        <v>260</v>
      </c>
      <c r="X208" s="551">
        <f t="shared" si="184"/>
        <v>39.970403251589474</v>
      </c>
      <c r="Y208" s="553">
        <f>$X208/PI()*SQRT('Hilfstabellen_Mat&amp;Bem'!f.Rd.3/'Hilfstabellen_Mat&amp;Bem'!$BD$30)</f>
        <v>0.63614872548668311</v>
      </c>
      <c r="Z208" s="553">
        <f>0.5*(1+'Hilfstabellen_Mat&amp;Bem'!$BD$31*($Y208-0.3)+$Y208^2)</f>
        <v>0.71915003674349975</v>
      </c>
      <c r="AA208" s="550">
        <f t="shared" si="185"/>
        <v>0.94827386717413598</v>
      </c>
      <c r="AC208" s="551">
        <f t="shared" si="179"/>
        <v>64103.313420971594</v>
      </c>
      <c r="AG208" s="546">
        <f t="shared" si="194"/>
        <v>260</v>
      </c>
      <c r="AH208" s="551">
        <f t="shared" si="186"/>
        <v>41.302750026642457</v>
      </c>
      <c r="AI208" s="553">
        <f>$AH208/PI()*SQRT('Hilfstabellen_Mat&amp;Bem'!f.Rd.3/'Hilfstabellen_Mat&amp;Bem'!$BD$30)</f>
        <v>0.65735368300290586</v>
      </c>
      <c r="AJ208" s="553">
        <f>0.5*(1+'Hilfstabellen_Mat&amp;Bem'!$BD$31*($AI208-0.3)+$AI208^2)</f>
        <v>0.73392461642888773</v>
      </c>
      <c r="AK208" s="550">
        <f t="shared" si="187"/>
        <v>0.94311487681668549</v>
      </c>
      <c r="AM208" s="551">
        <f t="shared" si="180"/>
        <v>63754.565672807941</v>
      </c>
      <c r="AQ208" s="546">
        <f t="shared" si="195"/>
        <v>260</v>
      </c>
      <c r="AR208" s="551">
        <f t="shared" si="188"/>
        <v>42.63509680169544</v>
      </c>
      <c r="AS208" s="553">
        <f>$AR208/PI()*SQRT('Hilfstabellen_Mat&amp;Bem'!f.Rd.3/'Hilfstabellen_Mat&amp;Bem'!$BD$30)</f>
        <v>0.67855864051912873</v>
      </c>
      <c r="AT208" s="553">
        <f>0.5*(1+'Hilfstabellen_Mat&amp;Bem'!$BD$31*($AS208-0.3)+$AS208^2)</f>
        <v>0.74914884633754053</v>
      </c>
      <c r="AU208" s="550">
        <f t="shared" si="189"/>
        <v>0.93754900262555374</v>
      </c>
      <c r="AW208" s="551">
        <f t="shared" si="181"/>
        <v>63378.312577487435</v>
      </c>
      <c r="AZ208" s="547">
        <f>'Hilfstabellen_Mat&amp;Bem'!$J$56</f>
        <v>3.3</v>
      </c>
      <c r="BA208" s="546">
        <f t="shared" si="196"/>
        <v>260</v>
      </c>
      <c r="BB208" s="551">
        <f t="shared" si="197"/>
        <v>43.967443576748416</v>
      </c>
      <c r="BC208" s="553">
        <f>BB208/PI()*SQRT('Hilfstabellen_Mat&amp;Bem'!f.Rd.3/'Hilfstabellen_Mat&amp;Bem'!$BD$30)</f>
        <v>0.69976359803535138</v>
      </c>
      <c r="BD208" s="553">
        <f>0.5*(1+'Hilfstabellen_Mat&amp;Bem'!$BD$31*(BC208-0.3)+BC208^2)</f>
        <v>0.76482272646945804</v>
      </c>
      <c r="BE208" s="550">
        <f t="shared" si="198"/>
        <v>0.9315280828931578</v>
      </c>
      <c r="BG208" s="551">
        <f t="shared" si="199"/>
        <v>62971.298403577464</v>
      </c>
      <c r="BJ208" s="547">
        <f>'Hilfstabellen_Mat&amp;Bem'!$J$57</f>
        <v>3.4</v>
      </c>
      <c r="BK208" s="546">
        <f t="shared" si="200"/>
        <v>260</v>
      </c>
      <c r="BL208" s="551">
        <f t="shared" si="201"/>
        <v>45.299790351801406</v>
      </c>
      <c r="BM208" s="553">
        <f>BL208/PI()*SQRT('Hilfstabellen_Mat&amp;Bem'!f.Rd.3/'Hilfstabellen_Mat&amp;Bem'!$BD$30)</f>
        <v>0.72096855555157424</v>
      </c>
      <c r="BN208" s="553">
        <f>0.5*(1+'Hilfstabellen_Mat&amp;Bem'!$BD$31*(BM208-0.3)+BM208^2)</f>
        <v>0.78094625682464047</v>
      </c>
      <c r="BO208" s="550">
        <f t="shared" si="202"/>
        <v>0.92499930836427913</v>
      </c>
      <c r="BQ208" s="551">
        <f t="shared" si="203"/>
        <v>62529.953245425269</v>
      </c>
      <c r="BT208" s="547">
        <f>'Hilfstabellen_Mat&amp;Bem'!$J$58</f>
        <v>3.5</v>
      </c>
      <c r="BU208" s="546">
        <f t="shared" si="204"/>
        <v>260</v>
      </c>
      <c r="BV208" s="551">
        <f t="shared" si="205"/>
        <v>46.632137126854388</v>
      </c>
      <c r="BW208" s="553">
        <f>BV208/PI()*SQRT('Hilfstabellen_Mat&amp;Bem'!f.Rd.3/'Hilfstabellen_Mat&amp;Bem'!$BD$30)</f>
        <v>0.742173513067797</v>
      </c>
      <c r="BX208" s="553">
        <f>0.5*(1+'Hilfstabellen_Mat&amp;Bem'!$BD$31*(BW208-0.3)+BW208^2)</f>
        <v>0.79751943740308751</v>
      </c>
      <c r="BY208" s="550">
        <f t="shared" si="206"/>
        <v>0.91790549649576936</v>
      </c>
      <c r="CA208" s="551">
        <f t="shared" si="207"/>
        <v>62050.411563114008</v>
      </c>
      <c r="CD208" s="547">
        <f>'Hilfstabellen_Mat&amp;Bem'!$J$59</f>
        <v>3.6</v>
      </c>
      <c r="CE208" s="546">
        <f t="shared" si="208"/>
        <v>260</v>
      </c>
      <c r="CF208" s="551">
        <f t="shared" si="209"/>
        <v>47.964483901907371</v>
      </c>
      <c r="CG208" s="553">
        <f>CF208/PI()*SQRT('Hilfstabellen_Mat&amp;Bem'!f.Rd.3/'Hilfstabellen_Mat&amp;Bem'!$BD$30)</f>
        <v>0.76337847058401986</v>
      </c>
      <c r="CH208" s="553">
        <f>0.5*(1+'Hilfstabellen_Mat&amp;Bem'!$BD$31*(CG208-0.3)+CG208^2)</f>
        <v>0.81454226820479958</v>
      </c>
      <c r="CI208" s="550">
        <f t="shared" si="210"/>
        <v>0.91018580144118733</v>
      </c>
      <c r="CK208" s="551">
        <f t="shared" si="211"/>
        <v>61528.56017742426</v>
      </c>
      <c r="CN208" s="547">
        <f>'Hilfstabellen_Mat&amp;Bem'!$J$60</f>
        <v>3.7</v>
      </c>
      <c r="CO208" s="546">
        <f t="shared" si="212"/>
        <v>260</v>
      </c>
      <c r="CP208" s="551">
        <f t="shared" si="213"/>
        <v>49.296830676960347</v>
      </c>
      <c r="CQ208" s="553">
        <f>CP208/PI()*SQRT('Hilfstabellen_Mat&amp;Bem'!f.Rd.3/'Hilfstabellen_Mat&amp;Bem'!$BD$30)</f>
        <v>0.78458342810024251</v>
      </c>
      <c r="CR208" s="553">
        <f>0.5*(1+'Hilfstabellen_Mat&amp;Bem'!$BD$31*(CQ208-0.3)+CQ208^2)</f>
        <v>0.83201474922977625</v>
      </c>
      <c r="CS208" s="550">
        <f t="shared" si="214"/>
        <v>0.90177703024322009</v>
      </c>
      <c r="CU208" s="551">
        <f t="shared" si="215"/>
        <v>60960.127244441675</v>
      </c>
      <c r="CX208" s="547">
        <f>'Hilfstabellen_Mat&amp;Bem'!$J$61</f>
        <v>3.8</v>
      </c>
      <c r="CY208" s="546">
        <f t="shared" si="216"/>
        <v>260</v>
      </c>
      <c r="CZ208" s="551">
        <f t="shared" si="217"/>
        <v>50.62917745201333</v>
      </c>
      <c r="DA208" s="553">
        <f>CZ208/PI()*SQRT('Hilfstabellen_Mat&amp;Bem'!f.Rd.3/'Hilfstabellen_Mat&amp;Bem'!$BD$30)</f>
        <v>0.80578838561646526</v>
      </c>
      <c r="DB208" s="553">
        <f>0.5*(1+'Hilfstabellen_Mat&amp;Bem'!$BD$31*(DA208-0.3)+DA208^2)</f>
        <v>0.84993688047801796</v>
      </c>
      <c r="DC208" s="550">
        <f t="shared" si="218"/>
        <v>0.89261574712147396</v>
      </c>
      <c r="DE208" s="551">
        <f t="shared" si="219"/>
        <v>60340.824505411641</v>
      </c>
      <c r="DH208" s="547">
        <f>'Hilfstabellen_Mat&amp;Bem'!$J$62</f>
        <v>3.9</v>
      </c>
      <c r="DI208" s="546">
        <f t="shared" si="220"/>
        <v>260</v>
      </c>
      <c r="DJ208" s="551">
        <f t="shared" si="221"/>
        <v>51.961524227066313</v>
      </c>
      <c r="DK208" s="553">
        <f>DJ208/PI()*SQRT('Hilfstabellen_Mat&amp;Bem'!f.Rd.3/'Hilfstabellen_Mat&amp;Bem'!$BD$30)</f>
        <v>0.82699334313268802</v>
      </c>
      <c r="DL208" s="553">
        <f>0.5*(1+'Hilfstabellen_Mat&amp;Bem'!$BD$31*(DK208-0.3)+DK208^2)</f>
        <v>0.86830866194952439</v>
      </c>
      <c r="DM208" s="550">
        <f t="shared" si="222"/>
        <v>0.88264132162822806</v>
      </c>
      <c r="DO208" s="551">
        <f t="shared" si="223"/>
        <v>59666.553342068219</v>
      </c>
      <c r="DR208" s="547">
        <f>'Hilfstabellen_Mat&amp;Bem'!$J$63</f>
        <v>4</v>
      </c>
      <c r="DS208" s="546">
        <f t="shared" si="224"/>
        <v>260</v>
      </c>
      <c r="DT208" s="551">
        <f t="shared" si="225"/>
        <v>53.293871002119303</v>
      </c>
      <c r="DU208" s="553">
        <f>DT208/PI()*SQRT('Hilfstabellen_Mat&amp;Bem'!f.Rd.3/'Hilfstabellen_Mat&amp;Bem'!$BD$30)</f>
        <v>0.848198300648911</v>
      </c>
      <c r="DV208" s="553">
        <f>0.5*(1+'Hilfstabellen_Mat&amp;Bem'!$BD$31*(DU208-0.3)+DU208^2)</f>
        <v>0.88713009364429585</v>
      </c>
      <c r="DW208" s="550">
        <f t="shared" si="226"/>
        <v>0.871799987092294</v>
      </c>
      <c r="DY208" s="551">
        <f t="shared" si="227"/>
        <v>58933.679127439078</v>
      </c>
      <c r="EB208" s="547">
        <f>'Hilfstabellen_Mat&amp;Bem'!$J$64</f>
        <v>4.0999999999999996</v>
      </c>
      <c r="EC208" s="546">
        <f t="shared" si="228"/>
        <v>260</v>
      </c>
      <c r="ED208" s="551">
        <f t="shared" si="229"/>
        <v>54.626217777172286</v>
      </c>
      <c r="EE208" s="553">
        <f>ED208/PI()*SQRT('Hilfstabellen_Mat&amp;Bem'!f.Rd.3/'Hilfstabellen_Mat&amp;Bem'!$BD$30)</f>
        <v>0.86940325816513375</v>
      </c>
      <c r="EF208" s="553">
        <f>0.5*(1+'Hilfstabellen_Mat&amp;Bem'!$BD$31*(EE208-0.3)+EE208^2)</f>
        <v>0.9064011755623318</v>
      </c>
      <c r="EG208" s="550">
        <f t="shared" si="230"/>
        <v>0.86004980075260562</v>
      </c>
      <c r="EI208" s="551">
        <f t="shared" si="231"/>
        <v>58139.366530876141</v>
      </c>
      <c r="EL208" s="547">
        <f>'Hilfstabellen_Mat&amp;Bem'!$J$65</f>
        <v>4.2</v>
      </c>
      <c r="EM208" s="546">
        <f t="shared" si="232"/>
        <v>260</v>
      </c>
      <c r="EN208" s="551">
        <f t="shared" si="233"/>
        <v>55.958564552225262</v>
      </c>
      <c r="EO208" s="553">
        <f>EN208/PI()*SQRT('Hilfstabellen_Mat&amp;Bem'!f.Rd.3/'Hilfstabellen_Mat&amp;Bem'!$BD$30)</f>
        <v>0.89060821568135629</v>
      </c>
      <c r="EP208" s="553">
        <f>0.5*(1+'Hilfstabellen_Mat&amp;Bem'!$BD$31*(EO208-0.3)+EO208^2)</f>
        <v>0.92612190770363245</v>
      </c>
      <c r="EQ208" s="550">
        <f t="shared" si="234"/>
        <v>0.84736613468460786</v>
      </c>
      <c r="ES208" s="551">
        <f t="shared" si="235"/>
        <v>57281.95070467949</v>
      </c>
    </row>
    <row r="209" spans="3:149">
      <c r="C209" s="546">
        <v>261</v>
      </c>
      <c r="D209" s="551">
        <f t="shared" si="190"/>
        <v>37.162775947837979</v>
      </c>
      <c r="E209" s="553">
        <f>$D209/PI()*SQRT('Hilfstabellen_Mat&amp;Bem'!f.Rd.3/'Hilfstabellen_Mat&amp;Bem'!$BD$30)</f>
        <v>0.59146394911150102</v>
      </c>
      <c r="F209" s="553">
        <f>0.5*(1+'Hilfstabellen_Mat&amp;Bem'!$BD$31*($E209-0.3)+$E209^2)</f>
        <v>0.68948799900486124</v>
      </c>
      <c r="G209" s="550">
        <f t="shared" si="191"/>
        <v>0.95800283584115808</v>
      </c>
      <c r="I209" s="551">
        <f t="shared" si="177"/>
        <v>65260.111180335531</v>
      </c>
      <c r="M209" s="546">
        <f t="shared" si="192"/>
        <v>261</v>
      </c>
      <c r="N209" s="551">
        <f t="shared" si="182"/>
        <v>38.490017945975048</v>
      </c>
      <c r="O209" s="553">
        <f>$N209/PI()*SQRT('Hilfstabellen_Mat&amp;Bem'!f.Rd.3/'Hilfstabellen_Mat&amp;Bem'!$BD$30)</f>
        <v>0.61258766157976896</v>
      </c>
      <c r="P209" s="553">
        <f>0.5*(1+'Hilfstabellen_Mat&amp;Bem'!$BD$31*($O209-0.3)+$O209^2)</f>
        <v>0.70326120463887321</v>
      </c>
      <c r="Q209" s="550">
        <f t="shared" si="183"/>
        <v>0.95358166712411119</v>
      </c>
      <c r="S209" s="551">
        <f t="shared" si="178"/>
        <v>64958.936746161577</v>
      </c>
      <c r="W209" s="546">
        <f t="shared" si="193"/>
        <v>261</v>
      </c>
      <c r="X209" s="551">
        <f t="shared" si="184"/>
        <v>39.817259944112116</v>
      </c>
      <c r="Y209" s="553">
        <f>$X209/PI()*SQRT('Hilfstabellen_Mat&amp;Bem'!f.Rd.3/'Hilfstabellen_Mat&amp;Bem'!$BD$30)</f>
        <v>0.6337113740480369</v>
      </c>
      <c r="Z209" s="553">
        <f>0.5*(1+'Hilfstabellen_Mat&amp;Bem'!$BD$31*($Y209-0.3)+$Y209^2)</f>
        <v>0.71748062150132741</v>
      </c>
      <c r="AA209" s="550">
        <f t="shared" si="185"/>
        <v>0.94884279441292885</v>
      </c>
      <c r="AC209" s="551">
        <f t="shared" si="179"/>
        <v>64636.119998203125</v>
      </c>
      <c r="AG209" s="546">
        <f t="shared" si="194"/>
        <v>261</v>
      </c>
      <c r="AH209" s="551">
        <f t="shared" si="186"/>
        <v>41.144501942249192</v>
      </c>
      <c r="AI209" s="553">
        <f>$AH209/PI()*SQRT('Hilfstabellen_Mat&amp;Bem'!f.Rd.3/'Hilfstabellen_Mat&amp;Bem'!$BD$30)</f>
        <v>0.65483508651630484</v>
      </c>
      <c r="AJ209" s="553">
        <f>0.5*(1+'Hilfstabellen_Mat&amp;Bem'!$BD$31*($AI209-0.3)+$AI209^2)</f>
        <v>0.73214624959222352</v>
      </c>
      <c r="AK209" s="550">
        <f t="shared" si="187"/>
        <v>0.94374803248034067</v>
      </c>
      <c r="AM209" s="551">
        <f t="shared" si="180"/>
        <v>64289.059720593286</v>
      </c>
      <c r="AQ209" s="546">
        <f t="shared" si="195"/>
        <v>261</v>
      </c>
      <c r="AR209" s="551">
        <f t="shared" si="188"/>
        <v>42.471743940386261</v>
      </c>
      <c r="AS209" s="553">
        <f>$AR209/PI()*SQRT('Hilfstabellen_Mat&amp;Bem'!f.Rd.3/'Hilfstabellen_Mat&amp;Bem'!$BD$30)</f>
        <v>0.67595879898457267</v>
      </c>
      <c r="AT209" s="553">
        <f>0.5*(1+'Hilfstabellen_Mat&amp;Bem'!$BD$31*($AS209-0.3)+$AS209^2)</f>
        <v>0.74725808891156165</v>
      </c>
      <c r="AU209" s="550">
        <f t="shared" si="189"/>
        <v>0.93825487039280064</v>
      </c>
      <c r="AW209" s="551">
        <f t="shared" si="181"/>
        <v>63914.860026027971</v>
      </c>
      <c r="AZ209" s="547">
        <f>'Hilfstabellen_Mat&amp;Bem'!$J$56</f>
        <v>3.3</v>
      </c>
      <c r="BA209" s="546">
        <f t="shared" si="196"/>
        <v>261</v>
      </c>
      <c r="BB209" s="551">
        <f t="shared" si="197"/>
        <v>43.79898593852333</v>
      </c>
      <c r="BC209" s="553">
        <f>BB209/PI()*SQRT('Hilfstabellen_Mat&amp;Bem'!f.Rd.3/'Hilfstabellen_Mat&amp;Bem'!$BD$30)</f>
        <v>0.6970825114528405</v>
      </c>
      <c r="BD209" s="553">
        <f>0.5*(1+'Hilfstabellen_Mat&amp;Bem'!$BD$31*(BC209-0.3)+BC209^2)</f>
        <v>0.76281613945934179</v>
      </c>
      <c r="BE209" s="550">
        <f t="shared" si="198"/>
        <v>0.93231625564041276</v>
      </c>
      <c r="BG209" s="551">
        <f t="shared" si="199"/>
        <v>63510.315650480559</v>
      </c>
      <c r="BJ209" s="547">
        <f>'Hilfstabellen_Mat&amp;Bem'!$J$57</f>
        <v>3.4</v>
      </c>
      <c r="BK209" s="546">
        <f t="shared" si="200"/>
        <v>261</v>
      </c>
      <c r="BL209" s="551">
        <f t="shared" si="201"/>
        <v>45.126227936660399</v>
      </c>
      <c r="BM209" s="553">
        <f>BL209/PI()*SQRT('Hilfstabellen_Mat&amp;Bem'!f.Rd.3/'Hilfstabellen_Mat&amp;Bem'!$BD$30)</f>
        <v>0.71820622392110844</v>
      </c>
      <c r="BN209" s="553">
        <f>0.5*(1+'Hilfstabellen_Mat&amp;Bem'!$BD$31*(BM209-0.3)+BM209^2)</f>
        <v>0.77882040123556417</v>
      </c>
      <c r="BO209" s="550">
        <f t="shared" si="202"/>
        <v>0.92588054790281404</v>
      </c>
      <c r="BQ209" s="551">
        <f t="shared" si="203"/>
        <v>63071.908803687598</v>
      </c>
      <c r="BT209" s="547">
        <f>'Hilfstabellen_Mat&amp;Bem'!$J$58</f>
        <v>3.5</v>
      </c>
      <c r="BU209" s="546">
        <f t="shared" si="204"/>
        <v>261</v>
      </c>
      <c r="BV209" s="551">
        <f t="shared" si="205"/>
        <v>46.453469934797468</v>
      </c>
      <c r="BW209" s="553">
        <f>BV209/PI()*SQRT('Hilfstabellen_Mat&amp;Bem'!f.Rd.3/'Hilfstabellen_Mat&amp;Bem'!$BD$30)</f>
        <v>0.73932993638937627</v>
      </c>
      <c r="BX209" s="553">
        <f>0.5*(1+'Hilfstabellen_Mat&amp;Bem'!$BD$31*(BW209-0.3)+BW209^2)</f>
        <v>0.79527087424022835</v>
      </c>
      <c r="BY209" s="550">
        <f t="shared" si="206"/>
        <v>0.91889174505564786</v>
      </c>
      <c r="CA209" s="551">
        <f t="shared" si="207"/>
        <v>62595.824564935785</v>
      </c>
      <c r="CD209" s="547">
        <f>'Hilfstabellen_Mat&amp;Bem'!$J$59</f>
        <v>3.6</v>
      </c>
      <c r="CE209" s="546">
        <f t="shared" si="208"/>
        <v>261</v>
      </c>
      <c r="CF209" s="551">
        <f t="shared" si="209"/>
        <v>47.780711932934537</v>
      </c>
      <c r="CG209" s="553">
        <f>CF209/PI()*SQRT('Hilfstabellen_Mat&amp;Bem'!f.Rd.3/'Hilfstabellen_Mat&amp;Bem'!$BD$30)</f>
        <v>0.7604536488576441</v>
      </c>
      <c r="CH209" s="553">
        <f>0.5*(1+'Hilfstabellen_Mat&amp;Bem'!$BD$31*(CG209-0.3)+CG209^2)</f>
        <v>0.81216755847333477</v>
      </c>
      <c r="CI209" s="550">
        <f t="shared" si="210"/>
        <v>0.9112901156667117</v>
      </c>
      <c r="CK209" s="551">
        <f t="shared" si="211"/>
        <v>62077.99396933207</v>
      </c>
      <c r="CN209" s="547">
        <f>'Hilfstabellen_Mat&amp;Bem'!$J$60</f>
        <v>3.7</v>
      </c>
      <c r="CO209" s="546">
        <f t="shared" si="212"/>
        <v>261</v>
      </c>
      <c r="CP209" s="551">
        <f t="shared" si="213"/>
        <v>49.107953931071613</v>
      </c>
      <c r="CQ209" s="553">
        <f>CP209/PI()*SQRT('Hilfstabellen_Mat&amp;Bem'!f.Rd.3/'Hilfstabellen_Mat&amp;Bem'!$BD$30)</f>
        <v>0.78157736132591216</v>
      </c>
      <c r="CR209" s="553">
        <f>0.5*(1+'Hilfstabellen_Mat&amp;Bem'!$BD$31*(CQ209-0.3)+CQ209^2)</f>
        <v>0.82951045393488321</v>
      </c>
      <c r="CS209" s="550">
        <f t="shared" si="214"/>
        <v>0.9030134010062546</v>
      </c>
      <c r="CU209" s="551">
        <f t="shared" si="215"/>
        <v>61514.175889947073</v>
      </c>
      <c r="CX209" s="547">
        <f>'Hilfstabellen_Mat&amp;Bem'!$J$61</f>
        <v>3.8</v>
      </c>
      <c r="CY209" s="546">
        <f t="shared" si="216"/>
        <v>261</v>
      </c>
      <c r="CZ209" s="551">
        <f t="shared" si="217"/>
        <v>50.435195929208689</v>
      </c>
      <c r="DA209" s="553">
        <f>CZ209/PI()*SQRT('Hilfstabellen_Mat&amp;Bem'!f.Rd.3/'Hilfstabellen_Mat&amp;Bem'!$BD$30)</f>
        <v>0.8027010737941801</v>
      </c>
      <c r="DB209" s="553">
        <f>0.5*(1+'Hilfstabellen_Mat&amp;Bem'!$BD$31*(DA209-0.3)+DA209^2)</f>
        <v>0.84729956062487388</v>
      </c>
      <c r="DC209" s="550">
        <f t="shared" si="218"/>
        <v>0.89399876383667309</v>
      </c>
      <c r="DE209" s="551">
        <f t="shared" si="219"/>
        <v>60900.089791318009</v>
      </c>
      <c r="DH209" s="547">
        <f>'Hilfstabellen_Mat&amp;Bem'!$J$62</f>
        <v>3.9</v>
      </c>
      <c r="DI209" s="546">
        <f t="shared" si="220"/>
        <v>261</v>
      </c>
      <c r="DJ209" s="551">
        <f t="shared" si="221"/>
        <v>51.762437927345758</v>
      </c>
      <c r="DK209" s="553">
        <f>DJ209/PI()*SQRT('Hilfstabellen_Mat&amp;Bem'!f.Rd.3/'Hilfstabellen_Mat&amp;Bem'!$BD$30)</f>
        <v>0.82382478626244804</v>
      </c>
      <c r="DL209" s="553">
        <f>0.5*(1+'Hilfstabellen_Mat&amp;Bem'!$BD$31*(DK209-0.3)+DK209^2)</f>
        <v>0.86553487854330657</v>
      </c>
      <c r="DM209" s="550">
        <f t="shared" si="222"/>
        <v>0.88418564225011931</v>
      </c>
      <c r="DO209" s="551">
        <f t="shared" si="223"/>
        <v>60231.610135720381</v>
      </c>
      <c r="DR209" s="547">
        <f>'Hilfstabellen_Mat&amp;Bem'!$J$63</f>
        <v>4</v>
      </c>
      <c r="DS209" s="546">
        <f t="shared" si="224"/>
        <v>261</v>
      </c>
      <c r="DT209" s="551">
        <f t="shared" si="225"/>
        <v>53.089679925482827</v>
      </c>
      <c r="DU209" s="553">
        <f>DT209/PI()*SQRT('Hilfstabellen_Mat&amp;Bem'!f.Rd.3/'Hilfstabellen_Mat&amp;Bem'!$BD$30)</f>
        <v>0.84494849873071587</v>
      </c>
      <c r="DV209" s="553">
        <f>0.5*(1+'Hilfstabellen_Mat&amp;Bem'!$BD$31*(DU209-0.3)+DU209^2)</f>
        <v>0.88421640769018106</v>
      </c>
      <c r="DW209" s="550">
        <f t="shared" si="226"/>
        <v>0.8735195901977153</v>
      </c>
      <c r="DY209" s="551">
        <f t="shared" si="227"/>
        <v>59505.028003858562</v>
      </c>
      <c r="EB209" s="547">
        <f>'Hilfstabellen_Mat&amp;Bem'!$J$64</f>
        <v>4.0999999999999996</v>
      </c>
      <c r="EC209" s="546">
        <f t="shared" si="228"/>
        <v>261</v>
      </c>
      <c r="ED209" s="551">
        <f t="shared" si="229"/>
        <v>54.416921923619896</v>
      </c>
      <c r="EE209" s="553">
        <f>ED209/PI()*SQRT('Hilfstabellen_Mat&amp;Bem'!f.Rd.3/'Hilfstabellen_Mat&amp;Bem'!$BD$30)</f>
        <v>0.86607221119898359</v>
      </c>
      <c r="EF209" s="553">
        <f>0.5*(1+'Hilfstabellen_Mat&amp;Bem'!$BD$31*(EE209-0.3)+EE209^2)</f>
        <v>0.90334414806549768</v>
      </c>
      <c r="EG209" s="550">
        <f t="shared" si="230"/>
        <v>0.86195702922240691</v>
      </c>
      <c r="EI209" s="551">
        <f t="shared" si="231"/>
        <v>58717.374787659581</v>
      </c>
      <c r="EL209" s="547">
        <f>'Hilfstabellen_Mat&amp;Bem'!$J$65</f>
        <v>4.2</v>
      </c>
      <c r="EM209" s="546">
        <f t="shared" si="232"/>
        <v>261</v>
      </c>
      <c r="EN209" s="551">
        <f t="shared" si="233"/>
        <v>55.744163921756972</v>
      </c>
      <c r="EO209" s="553">
        <f>EN209/PI()*SQRT('Hilfstabellen_Mat&amp;Bem'!f.Rd.3/'Hilfstabellen_Mat&amp;Bem'!$BD$30)</f>
        <v>0.88719592366725175</v>
      </c>
      <c r="EP209" s="553">
        <f>0.5*(1+'Hilfstabellen_Mat&amp;Bem'!$BD$31*(EO209-0.3)+EO209^2)</f>
        <v>0.92291809966925653</v>
      </c>
      <c r="EQ209" s="550">
        <f t="shared" si="234"/>
        <v>0.84947059248896006</v>
      </c>
      <c r="ES209" s="551">
        <f t="shared" si="235"/>
        <v>57866.786230940452</v>
      </c>
    </row>
    <row r="210" spans="3:149">
      <c r="C210" s="546">
        <v>262</v>
      </c>
      <c r="D210" s="551">
        <f t="shared" si="190"/>
        <v>37.020933291548516</v>
      </c>
      <c r="E210" s="553">
        <f>$D210/PI()*SQRT('Hilfstabellen_Mat&amp;Bem'!f.Rd.3/'Hilfstabellen_Mat&amp;Bem'!$BD$30)</f>
        <v>0.58920645312252584</v>
      </c>
      <c r="F210" s="553">
        <f>0.5*(1+'Hilfstabellen_Mat&amp;Bem'!$BD$31*($E210-0.3)+$E210^2)</f>
        <v>0.68804244485673993</v>
      </c>
      <c r="G210" s="550">
        <f t="shared" si="191"/>
        <v>0.95845799091087636</v>
      </c>
      <c r="I210" s="551">
        <f t="shared" si="177"/>
        <v>65792.3903280862</v>
      </c>
      <c r="M210" s="546">
        <f t="shared" si="192"/>
        <v>262</v>
      </c>
      <c r="N210" s="551">
        <f t="shared" si="182"/>
        <v>38.343109480532398</v>
      </c>
      <c r="O210" s="553">
        <f>$N210/PI()*SQRT('Hilfstabellen_Mat&amp;Bem'!f.Rd.3/'Hilfstabellen_Mat&amp;Bem'!$BD$30)</f>
        <v>0.61024954073404469</v>
      </c>
      <c r="P210" s="553">
        <f>0.5*(1+'Hilfstabellen_Mat&amp;Bem'!$BD$31*($O210-0.3)+$O210^2)</f>
        <v>0.70171472801975843</v>
      </c>
      <c r="Q210" s="550">
        <f t="shared" si="183"/>
        <v>0.95408601382859515</v>
      </c>
      <c r="S210" s="551">
        <f t="shared" si="178"/>
        <v>65492.280333250084</v>
      </c>
      <c r="W210" s="546">
        <f t="shared" si="193"/>
        <v>262</v>
      </c>
      <c r="X210" s="551">
        <f t="shared" si="184"/>
        <v>39.665285669516273</v>
      </c>
      <c r="Y210" s="553">
        <f>$X210/PI()*SQRT('Hilfstabellen_Mat&amp;Bem'!f.Rd.3/'Hilfstabellen_Mat&amp;Bem'!$BD$30)</f>
        <v>0.63129262834556343</v>
      </c>
      <c r="Z210" s="553">
        <f>0.5*(1+'Hilfstabellen_Mat&amp;Bem'!$BD$31*($Y210-0.3)+$Y210^2)</f>
        <v>0.71582982271900297</v>
      </c>
      <c r="AA210" s="550">
        <f t="shared" si="185"/>
        <v>0.94940269918069353</v>
      </c>
      <c r="AC210" s="551">
        <f t="shared" si="179"/>
        <v>65170.798882559524</v>
      </c>
      <c r="AG210" s="546">
        <f t="shared" si="194"/>
        <v>262</v>
      </c>
      <c r="AH210" s="551">
        <f t="shared" si="186"/>
        <v>40.987461858500147</v>
      </c>
      <c r="AI210" s="553">
        <f>$AH210/PI()*SQRT('Hilfstabellen_Mat&amp;Bem'!f.Rd.3/'Hilfstabellen_Mat&amp;Bem'!$BD$30)</f>
        <v>0.65233571595708228</v>
      </c>
      <c r="AJ210" s="553">
        <f>0.5*(1+'Hilfstabellen_Mat&amp;Bem'!$BD$31*($AI210-0.3)+$AI210^2)</f>
        <v>0.73038772895447368</v>
      </c>
      <c r="AK210" s="550">
        <f t="shared" si="187"/>
        <v>0.94437076101168382</v>
      </c>
      <c r="AM210" s="551">
        <f t="shared" si="180"/>
        <v>64825.386518886022</v>
      </c>
      <c r="AQ210" s="546">
        <f t="shared" si="195"/>
        <v>262</v>
      </c>
      <c r="AR210" s="551">
        <f t="shared" si="188"/>
        <v>42.309638047484029</v>
      </c>
      <c r="AS210" s="553">
        <f>$AR210/PI()*SQRT('Hilfstabellen_Mat&amp;Bem'!f.Rd.3/'Hilfstabellen_Mat&amp;Bem'!$BD$30)</f>
        <v>0.67337880356860103</v>
      </c>
      <c r="AT210" s="553">
        <f>0.5*(1+'Hilfstabellen_Mat&amp;Bem'!$BD$31*($AS210-0.3)+$AS210^2)</f>
        <v>0.74538844672617033</v>
      </c>
      <c r="AU210" s="550">
        <f t="shared" si="189"/>
        <v>0.93894868468932358</v>
      </c>
      <c r="AW210" s="551">
        <f t="shared" si="181"/>
        <v>64453.19351181393</v>
      </c>
      <c r="AZ210" s="547">
        <f>'Hilfstabellen_Mat&amp;Bem'!$J$56</f>
        <v>3.3</v>
      </c>
      <c r="BA210" s="546">
        <f t="shared" si="196"/>
        <v>262</v>
      </c>
      <c r="BB210" s="551">
        <f t="shared" si="197"/>
        <v>43.631814236467903</v>
      </c>
      <c r="BC210" s="553">
        <f>BB210/PI()*SQRT('Hilfstabellen_Mat&amp;Bem'!f.Rd.3/'Hilfstabellen_Mat&amp;Bem'!$BD$30)</f>
        <v>0.69442189118011988</v>
      </c>
      <c r="BD210" s="553">
        <f>0.5*(1+'Hilfstabellen_Mat&amp;Bem'!$BD$31*(BC210-0.3)+BC210^2)</f>
        <v>0.76083197603409314</v>
      </c>
      <c r="BE210" s="550">
        <f t="shared" si="198"/>
        <v>0.93309050084719736</v>
      </c>
      <c r="BG210" s="551">
        <f t="shared" si="199"/>
        <v>64051.064340155019</v>
      </c>
      <c r="BJ210" s="547">
        <f>'Hilfstabellen_Mat&amp;Bem'!$J$57</f>
        <v>3.4</v>
      </c>
      <c r="BK210" s="546">
        <f t="shared" si="200"/>
        <v>262</v>
      </c>
      <c r="BL210" s="551">
        <f t="shared" si="201"/>
        <v>44.953990425451771</v>
      </c>
      <c r="BM210" s="553">
        <f>BL210/PI()*SQRT('Hilfstabellen_Mat&amp;Bem'!f.Rd.3/'Hilfstabellen_Mat&amp;Bem'!$BD$30)</f>
        <v>0.71546497879163851</v>
      </c>
      <c r="BN210" s="553">
        <f>0.5*(1+'Hilfstabellen_Mat&amp;Bem'!$BD$31*(BM210-0.3)+BM210^2)</f>
        <v>0.77671831687824167</v>
      </c>
      <c r="BO210" s="550">
        <f t="shared" si="202"/>
        <v>0.92674571513541226</v>
      </c>
      <c r="BQ210" s="551">
        <f t="shared" si="203"/>
        <v>63615.53286975524</v>
      </c>
      <c r="BT210" s="547">
        <f>'Hilfstabellen_Mat&amp;Bem'!$J$58</f>
        <v>3.5</v>
      </c>
      <c r="BU210" s="546">
        <f t="shared" si="204"/>
        <v>262</v>
      </c>
      <c r="BV210" s="551">
        <f t="shared" si="205"/>
        <v>46.276166614435645</v>
      </c>
      <c r="BW210" s="553">
        <f>BV210/PI()*SQRT('Hilfstabellen_Mat&amp;Bem'!f.Rd.3/'Hilfstabellen_Mat&amp;Bem'!$BD$30)</f>
        <v>0.73650806640315736</v>
      </c>
      <c r="BX210" s="553">
        <f>0.5*(1+'Hilfstabellen_Mat&amp;Bem'!$BD$31*(BW210-0.3)+BW210^2)</f>
        <v>0.79304746925861669</v>
      </c>
      <c r="BY210" s="550">
        <f t="shared" si="206"/>
        <v>0.91985949009545465</v>
      </c>
      <c r="CA210" s="551">
        <f t="shared" si="207"/>
        <v>63142.834838112387</v>
      </c>
      <c r="CD210" s="547">
        <f>'Hilfstabellen_Mat&amp;Bem'!$J$59</f>
        <v>3.6</v>
      </c>
      <c r="CE210" s="546">
        <f t="shared" si="208"/>
        <v>262</v>
      </c>
      <c r="CF210" s="551">
        <f t="shared" si="209"/>
        <v>47.598342803419527</v>
      </c>
      <c r="CG210" s="553">
        <f>CF210/PI()*SQRT('Hilfstabellen_Mat&amp;Bem'!f.Rd.3/'Hilfstabellen_Mat&amp;Bem'!$BD$30)</f>
        <v>0.7575511540146761</v>
      </c>
      <c r="CH210" s="553">
        <f>0.5*(1+'Hilfstabellen_Mat&amp;Bem'!$BD$31*(CG210-0.3)+CG210^2)</f>
        <v>0.80981943317521754</v>
      </c>
      <c r="CI210" s="550">
        <f t="shared" si="210"/>
        <v>0.9123732060316827</v>
      </c>
      <c r="CK210" s="551">
        <f t="shared" si="211"/>
        <v>62628.94635483883</v>
      </c>
      <c r="CN210" s="547">
        <f>'Hilfstabellen_Mat&amp;Bem'!$J$60</f>
        <v>3.7</v>
      </c>
      <c r="CO210" s="546">
        <f t="shared" si="212"/>
        <v>262</v>
      </c>
      <c r="CP210" s="551">
        <f t="shared" si="213"/>
        <v>48.920518992403402</v>
      </c>
      <c r="CQ210" s="553">
        <f>CP210/PI()*SQRT('Hilfstabellen_Mat&amp;Bem'!f.Rd.3/'Hilfstabellen_Mat&amp;Bem'!$BD$30)</f>
        <v>0.77859424162619495</v>
      </c>
      <c r="CR210" s="553">
        <f>0.5*(1+'Hilfstabellen_Mat&amp;Bem'!$BD$31*(CQ210-0.3)+CQ210^2)</f>
        <v>0.82703420862804466</v>
      </c>
      <c r="CS210" s="550">
        <f t="shared" si="214"/>
        <v>0.90422555652782588</v>
      </c>
      <c r="CU210" s="551">
        <f t="shared" si="215"/>
        <v>62069.659102296078</v>
      </c>
      <c r="CX210" s="547">
        <f>'Hilfstabellen_Mat&amp;Bem'!$J$61</f>
        <v>3.8</v>
      </c>
      <c r="CY210" s="546">
        <f t="shared" si="216"/>
        <v>262</v>
      </c>
      <c r="CZ210" s="551">
        <f t="shared" si="217"/>
        <v>50.242695181387276</v>
      </c>
      <c r="DA210" s="553">
        <f>CZ210/PI()*SQRT('Hilfstabellen_Mat&amp;Bem'!f.Rd.3/'Hilfstabellen_Mat&amp;Bem'!$BD$30)</f>
        <v>0.79963732923771369</v>
      </c>
      <c r="DB210" s="553">
        <f>0.5*(1+'Hilfstabellen_Mat&amp;Bem'!$BD$31*(DA210-0.3)+DA210^2)</f>
        <v>0.84469179561709762</v>
      </c>
      <c r="DC210" s="550">
        <f t="shared" si="218"/>
        <v>0.89535435081740955</v>
      </c>
      <c r="DE210" s="551">
        <f t="shared" si="219"/>
        <v>61460.704057510258</v>
      </c>
      <c r="DH210" s="547">
        <f>'Hilfstabellen_Mat&amp;Bem'!$J$62</f>
        <v>3.9</v>
      </c>
      <c r="DI210" s="546">
        <f t="shared" si="220"/>
        <v>262</v>
      </c>
      <c r="DJ210" s="551">
        <f t="shared" si="221"/>
        <v>51.564871370371151</v>
      </c>
      <c r="DK210" s="553">
        <f>DJ210/PI()*SQRT('Hilfstabellen_Mat&amp;Bem'!f.Rd.3/'Hilfstabellen_Mat&amp;Bem'!$BD$30)</f>
        <v>0.82068041684923243</v>
      </c>
      <c r="DL210" s="553">
        <f>0.5*(1+'Hilfstabellen_Mat&amp;Bem'!$BD$31*(DK210-0.3)+DK210^2)</f>
        <v>0.86279219414237662</v>
      </c>
      <c r="DM210" s="550">
        <f t="shared" si="222"/>
        <v>0.88569918244709178</v>
      </c>
      <c r="DO210" s="551">
        <f t="shared" si="223"/>
        <v>60797.934679898171</v>
      </c>
      <c r="DR210" s="547">
        <f>'Hilfstabellen_Mat&amp;Bem'!$J$63</f>
        <v>4</v>
      </c>
      <c r="DS210" s="546">
        <f t="shared" si="224"/>
        <v>262</v>
      </c>
      <c r="DT210" s="551">
        <f t="shared" si="225"/>
        <v>52.887047559355032</v>
      </c>
      <c r="DU210" s="553">
        <f>DT210/PI()*SQRT('Hilfstabellen_Mat&amp;Bem'!f.Rd.3/'Hilfstabellen_Mat&amp;Bem'!$BD$30)</f>
        <v>0.84172350446075128</v>
      </c>
      <c r="DV210" s="553">
        <f>0.5*(1+'Hilfstabellen_Mat&amp;Bem'!$BD$31*(DU210-0.3)+DU210^2)</f>
        <v>0.88133540420388179</v>
      </c>
      <c r="DW210" s="550">
        <f t="shared" si="226"/>
        <v>0.87520505856531106</v>
      </c>
      <c r="DY210" s="551">
        <f t="shared" si="227"/>
        <v>60077.576040157212</v>
      </c>
      <c r="EB210" s="547">
        <f>'Hilfstabellen_Mat&amp;Bem'!$J$64</f>
        <v>4.0999999999999996</v>
      </c>
      <c r="EC210" s="546">
        <f t="shared" si="228"/>
        <v>262</v>
      </c>
      <c r="ED210" s="551">
        <f t="shared" si="229"/>
        <v>54.209223748338907</v>
      </c>
      <c r="EE210" s="553">
        <f>ED210/PI()*SQRT('Hilfstabellen_Mat&amp;Bem'!f.Rd.3/'Hilfstabellen_Mat&amp;Bem'!$BD$30)</f>
        <v>0.86276659207227002</v>
      </c>
      <c r="EF210" s="553">
        <f>0.5*(1+'Hilfstabellen_Mat&amp;Bem'!$BD$31*(EE210-0.3)+EE210^2)</f>
        <v>0.9003214258016129</v>
      </c>
      <c r="EG210" s="550">
        <f t="shared" si="230"/>
        <v>0.86382694376235036</v>
      </c>
      <c r="EI210" s="551">
        <f t="shared" si="231"/>
        <v>59296.536727622777</v>
      </c>
      <c r="EL210" s="547">
        <f>'Hilfstabellen_Mat&amp;Bem'!$J$65</f>
        <v>4.2</v>
      </c>
      <c r="EM210" s="546">
        <f t="shared" si="232"/>
        <v>262</v>
      </c>
      <c r="EN210" s="551">
        <f t="shared" si="233"/>
        <v>55.531399937322782</v>
      </c>
      <c r="EO210" s="553">
        <f>EN210/PI()*SQRT('Hilfstabellen_Mat&amp;Bem'!f.Rd.3/'Hilfstabellen_Mat&amp;Bem'!$BD$30)</f>
        <v>0.88380967968378887</v>
      </c>
      <c r="EP210" s="553">
        <f>0.5*(1+'Hilfstabellen_Mat&amp;Bem'!$BD$31*(EO210-0.3)+EO210^2)</f>
        <v>0.91975025893557016</v>
      </c>
      <c r="EQ210" s="550">
        <f t="shared" si="234"/>
        <v>0.85153494752197367</v>
      </c>
      <c r="ES210" s="551">
        <f t="shared" si="235"/>
        <v>58452.764937698361</v>
      </c>
    </row>
    <row r="211" spans="3:149">
      <c r="C211" s="546">
        <v>263</v>
      </c>
      <c r="D211" s="551">
        <f t="shared" si="190"/>
        <v>36.880169286637688</v>
      </c>
      <c r="E211" s="553">
        <f>$D211/PI()*SQRT('Hilfstabellen_Mat&amp;Bem'!f.Rd.3/'Hilfstabellen_Mat&amp;Bem'!$BD$30)</f>
        <v>0.58696612440342877</v>
      </c>
      <c r="F211" s="553">
        <f>0.5*(1+'Hilfstabellen_Mat&amp;Bem'!$BD$31*($E211-0.3)+$E211^2)</f>
        <v>0.68661292181876221</v>
      </c>
      <c r="G211" s="550">
        <f t="shared" si="191"/>
        <v>0.95890652525812781</v>
      </c>
      <c r="I211" s="551">
        <f t="shared" si="177"/>
        <v>66326.605445579436</v>
      </c>
      <c r="M211" s="546">
        <f t="shared" si="192"/>
        <v>263</v>
      </c>
      <c r="N211" s="551">
        <f t="shared" si="182"/>
        <v>38.197318189731895</v>
      </c>
      <c r="O211" s="553">
        <f>$N211/PI()*SQRT('Hilfstabellen_Mat&amp;Bem'!f.Rd.3/'Hilfstabellen_Mat&amp;Bem'!$BD$30)</f>
        <v>0.60792920027497988</v>
      </c>
      <c r="P211" s="553">
        <f>0.5*(1+'Hilfstabellen_Mat&amp;Bem'!$BD$31*($O211-0.3)+$O211^2)</f>
        <v>0.70018541628723718</v>
      </c>
      <c r="Q211" s="550">
        <f t="shared" si="183"/>
        <v>0.95458272907422914</v>
      </c>
      <c r="S211" s="551">
        <f t="shared" si="178"/>
        <v>66027.532787335353</v>
      </c>
      <c r="W211" s="546">
        <f t="shared" si="193"/>
        <v>263</v>
      </c>
      <c r="X211" s="551">
        <f t="shared" si="184"/>
        <v>39.514467092826095</v>
      </c>
      <c r="Y211" s="553">
        <f>$X211/PI()*SQRT('Hilfstabellen_Mat&amp;Bem'!f.Rd.3/'Hilfstabellen_Mat&amp;Bem'!$BD$30)</f>
        <v>0.62889227614653087</v>
      </c>
      <c r="Z211" s="553">
        <f>0.5*(1+'Hilfstabellen_Mat&amp;Bem'!$BD$31*($Y211-0.3)+$Y211^2)</f>
        <v>0.71419736130570877</v>
      </c>
      <c r="AA211" s="550">
        <f t="shared" si="185"/>
        <v>0.94995379698916105</v>
      </c>
      <c r="AC211" s="551">
        <f t="shared" si="179"/>
        <v>65707.354183943287</v>
      </c>
      <c r="AG211" s="546">
        <f t="shared" si="194"/>
        <v>263</v>
      </c>
      <c r="AH211" s="551">
        <f t="shared" si="186"/>
        <v>40.831615995920302</v>
      </c>
      <c r="AI211" s="553">
        <f>$AH211/PI()*SQRT('Hilfstabellen_Mat&amp;Bem'!f.Rd.3/'Hilfstabellen_Mat&amp;Bem'!$BD$30)</f>
        <v>0.64985535201808198</v>
      </c>
      <c r="AJ211" s="553">
        <f>0.5*(1+'Hilfstabellen_Mat&amp;Bem'!$BD$31*($AI211-0.3)+$AI211^2)</f>
        <v>0.72864875687417674</v>
      </c>
      <c r="AK211" s="550">
        <f t="shared" si="187"/>
        <v>0.94498331775431454</v>
      </c>
      <c r="AM211" s="551">
        <f t="shared" si="180"/>
        <v>65363.551105748185</v>
      </c>
      <c r="AQ211" s="546">
        <f t="shared" si="195"/>
        <v>263</v>
      </c>
      <c r="AR211" s="551">
        <f t="shared" si="188"/>
        <v>42.148764899014502</v>
      </c>
      <c r="AS211" s="553">
        <f>$AR211/PI()*SQRT('Hilfstabellen_Mat&amp;Bem'!f.Rd.3/'Hilfstabellen_Mat&amp;Bem'!$BD$30)</f>
        <v>0.67081842788963297</v>
      </c>
      <c r="AT211" s="553">
        <f>0.5*(1+'Hilfstabellen_Mat&amp;Bem'!$BD$31*($AS211-0.3)+$AS211^2)</f>
        <v>0.74353960299264099</v>
      </c>
      <c r="AU211" s="550">
        <f t="shared" si="189"/>
        <v>0.93963074715707129</v>
      </c>
      <c r="AW211" s="551">
        <f t="shared" si="181"/>
        <v>64993.319150107462</v>
      </c>
      <c r="AZ211" s="547">
        <f>'Hilfstabellen_Mat&amp;Bem'!$J$56</f>
        <v>3.3</v>
      </c>
      <c r="BA211" s="546">
        <f t="shared" si="196"/>
        <v>263</v>
      </c>
      <c r="BB211" s="551">
        <f t="shared" si="197"/>
        <v>43.465913802108702</v>
      </c>
      <c r="BC211" s="553">
        <f>BB211/PI()*SQRT('Hilfstabellen_Mat&amp;Bem'!f.Rd.3/'Hilfstabellen_Mat&amp;Bem'!$BD$30)</f>
        <v>0.69178150376118397</v>
      </c>
      <c r="BD211" s="553">
        <f>0.5*(1+'Hilfstabellen_Mat&amp;Bem'!$BD$31*(BC211-0.3)+BC211^2)</f>
        <v>0.75886989966110163</v>
      </c>
      <c r="BE211" s="550">
        <f t="shared" si="198"/>
        <v>0.93385117324858402</v>
      </c>
      <c r="BG211" s="551">
        <f t="shared" si="199"/>
        <v>64593.551802431306</v>
      </c>
      <c r="BJ211" s="547">
        <f>'Hilfstabellen_Mat&amp;Bem'!$J$57</f>
        <v>3.4</v>
      </c>
      <c r="BK211" s="546">
        <f t="shared" si="200"/>
        <v>263</v>
      </c>
      <c r="BL211" s="551">
        <f t="shared" si="201"/>
        <v>44.783062705202909</v>
      </c>
      <c r="BM211" s="553">
        <f>BL211/PI()*SQRT('Hilfstabellen_Mat&amp;Bem'!f.Rd.3/'Hilfstabellen_Mat&amp;Bem'!$BD$30)</f>
        <v>0.71274457963273496</v>
      </c>
      <c r="BN211" s="553">
        <f>0.5*(1+'Hilfstabellen_Mat&amp;Bem'!$BD$31*(BM211-0.3)+BM211^2)</f>
        <v>0.77463964687955889</v>
      </c>
      <c r="BO211" s="550">
        <f t="shared" si="202"/>
        <v>0.92759522455253252</v>
      </c>
      <c r="BQ211" s="551">
        <f t="shared" si="203"/>
        <v>64160.834087074123</v>
      </c>
      <c r="BT211" s="547">
        <f>'Hilfstabellen_Mat&amp;Bem'!$J$58</f>
        <v>3.5</v>
      </c>
      <c r="BU211" s="546">
        <f t="shared" si="204"/>
        <v>263</v>
      </c>
      <c r="BV211" s="551">
        <f t="shared" si="205"/>
        <v>46.100211608297109</v>
      </c>
      <c r="BW211" s="553">
        <f>BV211/PI()*SQRT('Hilfstabellen_Mat&amp;Bem'!f.Rd.3/'Hilfstabellen_Mat&amp;Bem'!$BD$30)</f>
        <v>0.73370765550428596</v>
      </c>
      <c r="BX211" s="553">
        <f>0.5*(1+'Hilfstabellen_Mat&amp;Bem'!$BD$31*(BW211-0.3)+BW211^2)</f>
        <v>0.79084884464801219</v>
      </c>
      <c r="BY211" s="550">
        <f t="shared" si="206"/>
        <v>0.92080921162896956</v>
      </c>
      <c r="CA211" s="551">
        <f t="shared" si="207"/>
        <v>63691.452359164192</v>
      </c>
      <c r="CD211" s="547">
        <f>'Hilfstabellen_Mat&amp;Bem'!$J$59</f>
        <v>3.6</v>
      </c>
      <c r="CE211" s="546">
        <f t="shared" si="208"/>
        <v>263</v>
      </c>
      <c r="CF211" s="551">
        <f t="shared" si="209"/>
        <v>47.417360511391315</v>
      </c>
      <c r="CG211" s="553">
        <f>CF211/PI()*SQRT('Hilfstabellen_Mat&amp;Bem'!f.Rd.3/'Hilfstabellen_Mat&amp;Bem'!$BD$30)</f>
        <v>0.75467073137583707</v>
      </c>
      <c r="CH211" s="553">
        <f>0.5*(1+'Hilfstabellen_Mat&amp;Bem'!$BD$31*(CG211-0.3)+CG211^2)</f>
        <v>0.80749749296646223</v>
      </c>
      <c r="CI211" s="550">
        <f t="shared" si="210"/>
        <v>0.91343562180154669</v>
      </c>
      <c r="CK211" s="551">
        <f t="shared" si="211"/>
        <v>63181.42852439118</v>
      </c>
      <c r="CN211" s="547">
        <f>'Hilfstabellen_Mat&amp;Bem'!$J$60</f>
        <v>3.7</v>
      </c>
      <c r="CO211" s="546">
        <f t="shared" si="212"/>
        <v>263</v>
      </c>
      <c r="CP211" s="551">
        <f t="shared" si="213"/>
        <v>48.734509414485515</v>
      </c>
      <c r="CQ211" s="553">
        <f>CP211/PI()*SQRT('Hilfstabellen_Mat&amp;Bem'!f.Rd.3/'Hilfstabellen_Mat&amp;Bem'!$BD$30)</f>
        <v>0.77563380724738806</v>
      </c>
      <c r="CR211" s="553">
        <f>0.5*(1+'Hilfstabellen_Mat&amp;Bem'!$BD$31*(CQ211-0.3)+CQ211^2)</f>
        <v>0.82458559183490854</v>
      </c>
      <c r="CS211" s="550">
        <f t="shared" si="214"/>
        <v>0.9054141154419193</v>
      </c>
      <c r="CU211" s="551">
        <f t="shared" si="215"/>
        <v>62626.588951002115</v>
      </c>
      <c r="CX211" s="547">
        <f>'Hilfstabellen_Mat&amp;Bem'!$J$61</f>
        <v>3.8</v>
      </c>
      <c r="CY211" s="546">
        <f t="shared" si="216"/>
        <v>263</v>
      </c>
      <c r="CZ211" s="551">
        <f t="shared" si="217"/>
        <v>50.051658317579722</v>
      </c>
      <c r="DA211" s="553">
        <f>CZ211/PI()*SQRT('Hilfstabellen_Mat&amp;Bem'!f.Rd.3/'Hilfstabellen_Mat&amp;Bem'!$BD$30)</f>
        <v>0.79659688311893917</v>
      </c>
      <c r="DB211" s="553">
        <f>0.5*(1+'Hilfstabellen_Mat&amp;Bem'!$BD$31*(DA211-0.3)+DA211^2)</f>
        <v>0.84211314125335135</v>
      </c>
      <c r="DC211" s="550">
        <f t="shared" si="218"/>
        <v>0.89668319063064628</v>
      </c>
      <c r="DE211" s="551">
        <f t="shared" si="219"/>
        <v>62022.679612731175</v>
      </c>
      <c r="DH211" s="547">
        <f>'Hilfstabellen_Mat&amp;Bem'!$J$62</f>
        <v>3.9</v>
      </c>
      <c r="DI211" s="546">
        <f t="shared" si="220"/>
        <v>263</v>
      </c>
      <c r="DJ211" s="551">
        <f t="shared" si="221"/>
        <v>51.368807220673922</v>
      </c>
      <c r="DK211" s="553">
        <f>DJ211/PI()*SQRT('Hilfstabellen_Mat&amp;Bem'!f.Rd.3/'Hilfstabellen_Mat&amp;Bem'!$BD$30)</f>
        <v>0.81755995899049005</v>
      </c>
      <c r="DL211" s="553">
        <f>0.5*(1+'Hilfstabellen_Mat&amp;Bem'!$BD$31*(DK211-0.3)+DK211^2)</f>
        <v>0.86008014122179044</v>
      </c>
      <c r="DM211" s="550">
        <f t="shared" si="222"/>
        <v>0.88718267566263764</v>
      </c>
      <c r="DO211" s="551">
        <f t="shared" si="223"/>
        <v>61365.538492908985</v>
      </c>
      <c r="DR211" s="547">
        <f>'Hilfstabellen_Mat&amp;Bem'!$J$63</f>
        <v>4</v>
      </c>
      <c r="DS211" s="546">
        <f t="shared" si="224"/>
        <v>263</v>
      </c>
      <c r="DT211" s="551">
        <f t="shared" si="225"/>
        <v>52.685956123768129</v>
      </c>
      <c r="DU211" s="553">
        <f>DT211/PI()*SQRT('Hilfstabellen_Mat&amp;Bem'!f.Rd.3/'Hilfstabellen_Mat&amp;Bem'!$BD$30)</f>
        <v>0.83852303486204116</v>
      </c>
      <c r="DV211" s="553">
        <f>0.5*(1+'Hilfstabellen_Mat&amp;Bem'!$BD$31*(DU211-0.3)+DU211^2)</f>
        <v>0.87848659174022603</v>
      </c>
      <c r="DW211" s="550">
        <f t="shared" si="226"/>
        <v>0.87685715414146193</v>
      </c>
      <c r="DY211" s="551">
        <f t="shared" si="227"/>
        <v>60651.332494810777</v>
      </c>
      <c r="EB211" s="547">
        <f>'Hilfstabellen_Mat&amp;Bem'!$J$64</f>
        <v>4.0999999999999996</v>
      </c>
      <c r="EC211" s="546">
        <f t="shared" si="228"/>
        <v>263</v>
      </c>
      <c r="ED211" s="551">
        <f t="shared" si="229"/>
        <v>54.003105026862329</v>
      </c>
      <c r="EE211" s="553">
        <f>ED211/PI()*SQRT('Hilfstabellen_Mat&amp;Bem'!f.Rd.3/'Hilfstabellen_Mat&amp;Bem'!$BD$30)</f>
        <v>0.85948611073359216</v>
      </c>
      <c r="EF211" s="553">
        <f>0.5*(1+'Hilfstabellen_Mat&amp;Bem'!$BD$31*(EE211-0.3)+EE211^2)</f>
        <v>0.8973324928086579</v>
      </c>
      <c r="EG211" s="550">
        <f t="shared" si="230"/>
        <v>0.8656603025632118</v>
      </c>
      <c r="EI211" s="551">
        <f t="shared" si="231"/>
        <v>59876.8574679948</v>
      </c>
      <c r="EL211" s="547">
        <f>'Hilfstabellen_Mat&amp;Bem'!$J$65</f>
        <v>4.2</v>
      </c>
      <c r="EM211" s="546">
        <f t="shared" si="232"/>
        <v>263</v>
      </c>
      <c r="EN211" s="551">
        <f t="shared" si="233"/>
        <v>55.320253929956536</v>
      </c>
      <c r="EO211" s="553">
        <f>EN211/PI()*SQRT('Hilfstabellen_Mat&amp;Bem'!f.Rd.3/'Hilfstabellen_Mat&amp;Bem'!$BD$30)</f>
        <v>0.88044918660514326</v>
      </c>
      <c r="EP211" s="553">
        <f>0.5*(1+'Hilfstabellen_Mat&amp;Bem'!$BD$31*(EO211-0.3)+EO211^2)</f>
        <v>0.91661784442708627</v>
      </c>
      <c r="EQ211" s="550">
        <f t="shared" si="234"/>
        <v>0.85355991348268934</v>
      </c>
      <c r="ES211" s="551">
        <f t="shared" si="235"/>
        <v>59039.885655684142</v>
      </c>
    </row>
    <row r="212" spans="3:149">
      <c r="C212" s="546">
        <v>264</v>
      </c>
      <c r="D212" s="551">
        <f t="shared" si="190"/>
        <v>36.740471675703454</v>
      </c>
      <c r="E212" s="553">
        <f>$D212/PI()*SQRT('Hilfstabellen_Mat&amp;Bem'!f.Rd.3/'Hilfstabellen_Mat&amp;Bem'!$BD$30)</f>
        <v>0.58474276787159762</v>
      </c>
      <c r="F212" s="553">
        <f>0.5*(1+'Hilfstabellen_Mat&amp;Bem'!$BD$31*($E212-0.3)+$E212^2)</f>
        <v>0.68519919068264845</v>
      </c>
      <c r="G212" s="550">
        <f t="shared" si="191"/>
        <v>0.95934858724090655</v>
      </c>
      <c r="I212" s="551">
        <f t="shared" si="177"/>
        <v>66862.759136342225</v>
      </c>
      <c r="M212" s="546">
        <f t="shared" si="192"/>
        <v>264</v>
      </c>
      <c r="N212" s="551">
        <f t="shared" si="182"/>
        <v>38.052631378407149</v>
      </c>
      <c r="O212" s="553">
        <f>$N212/PI()*SQRT('Hilfstabellen_Mat&amp;Bem'!f.Rd.3/'Hilfstabellen_Mat&amp;Bem'!$BD$30)</f>
        <v>0.6056264381527261</v>
      </c>
      <c r="P212" s="553">
        <f>0.5*(1+'Hilfstabellen_Mat&amp;Bem'!$BD$31*($O212-0.3)+$O212^2)</f>
        <v>0.69867301320241526</v>
      </c>
      <c r="Q212" s="550">
        <f t="shared" si="183"/>
        <v>0.95507198898853574</v>
      </c>
      <c r="S212" s="551">
        <f t="shared" si="178"/>
        <v>66564.697344544984</v>
      </c>
      <c r="W212" s="546">
        <f t="shared" si="193"/>
        <v>264</v>
      </c>
      <c r="X212" s="551">
        <f t="shared" si="184"/>
        <v>39.364791081110845</v>
      </c>
      <c r="Y212" s="553">
        <f>$X212/PI()*SQRT('Hilfstabellen_Mat&amp;Bem'!f.Rd.3/'Hilfstabellen_Mat&amp;Bem'!$BD$30)</f>
        <v>0.62651010843385457</v>
      </c>
      <c r="Z212" s="553">
        <f>0.5*(1+'Hilfstabellen_Mat&amp;Bem'!$BD$31*($Y212-0.3)+$Y212^2)</f>
        <v>0.71258296340659288</v>
      </c>
      <c r="AA212" s="550">
        <f t="shared" si="185"/>
        <v>0.95049629677885661</v>
      </c>
      <c r="AC212" s="551">
        <f t="shared" si="179"/>
        <v>66245.789900299191</v>
      </c>
      <c r="AG212" s="546">
        <f t="shared" si="194"/>
        <v>264</v>
      </c>
      <c r="AH212" s="551">
        <f t="shared" si="186"/>
        <v>40.67695078381454</v>
      </c>
      <c r="AI212" s="553">
        <f>$AH212/PI()*SQRT('Hilfstabellen_Mat&amp;Bem'!f.Rd.3/'Hilfstabellen_Mat&amp;Bem'!$BD$30)</f>
        <v>0.64739377871498316</v>
      </c>
      <c r="AJ212" s="553">
        <f>0.5*(1+'Hilfstabellen_Mat&amp;Bem'!$BD$31*($AI212-0.3)+$AI212^2)</f>
        <v>0.72692904129518143</v>
      </c>
      <c r="AK212" s="550">
        <f t="shared" si="187"/>
        <v>0.94558595017060776</v>
      </c>
      <c r="AM212" s="551">
        <f t="shared" si="180"/>
        <v>65903.558383090683</v>
      </c>
      <c r="AQ212" s="546">
        <f t="shared" si="195"/>
        <v>264</v>
      </c>
      <c r="AR212" s="551">
        <f t="shared" si="188"/>
        <v>41.989110486518236</v>
      </c>
      <c r="AS212" s="553">
        <f>$AR212/PI()*SQRT('Hilfstabellen_Mat&amp;Bem'!f.Rd.3/'Hilfstabellen_Mat&amp;Bem'!$BD$30)</f>
        <v>0.66827744899611163</v>
      </c>
      <c r="AT212" s="553">
        <f>0.5*(1+'Hilfstabellen_Mat&amp;Bem'!$BD$31*($AS212-0.3)+$AS212^2)</f>
        <v>0.74171124686818091</v>
      </c>
      <c r="AU212" s="550">
        <f t="shared" si="189"/>
        <v>0.94030135006741433</v>
      </c>
      <c r="AW212" s="551">
        <f t="shared" si="181"/>
        <v>65535.242894298506</v>
      </c>
      <c r="AZ212" s="547">
        <f>'Hilfstabellen_Mat&amp;Bem'!$J$56</f>
        <v>3.3</v>
      </c>
      <c r="BA212" s="546">
        <f t="shared" si="196"/>
        <v>264</v>
      </c>
      <c r="BB212" s="551">
        <f t="shared" si="197"/>
        <v>43.301270189221931</v>
      </c>
      <c r="BC212" s="553">
        <f>BB212/PI()*SQRT('Hilfstabellen_Mat&amp;Bem'!f.Rd.3/'Hilfstabellen_Mat&amp;Bem'!$BD$30)</f>
        <v>0.68916111927724011</v>
      </c>
      <c r="BD212" s="553">
        <f>0.5*(1+'Hilfstabellen_Mat&amp;Bem'!$BD$31*(BC212-0.3)+BC212^2)</f>
        <v>0.75692958012559108</v>
      </c>
      <c r="BE212" s="550">
        <f t="shared" si="198"/>
        <v>0.9345986165714808</v>
      </c>
      <c r="BG212" s="551">
        <f t="shared" si="199"/>
        <v>65137.785180565923</v>
      </c>
      <c r="BJ212" s="547">
        <f>'Hilfstabellen_Mat&amp;Bem'!$J$57</f>
        <v>3.4</v>
      </c>
      <c r="BK212" s="546">
        <f t="shared" si="200"/>
        <v>264</v>
      </c>
      <c r="BL212" s="551">
        <f t="shared" si="201"/>
        <v>44.613429891925627</v>
      </c>
      <c r="BM212" s="553">
        <f>BL212/PI()*SQRT('Hilfstabellen_Mat&amp;Bem'!f.Rd.3/'Hilfstabellen_Mat&amp;Bem'!$BD$30)</f>
        <v>0.71004478955836858</v>
      </c>
      <c r="BN212" s="553">
        <f>0.5*(1+'Hilfstabellen_Mat&amp;Bem'!$BD$31*(BM212-0.3)+BM212^2)</f>
        <v>0.7725840410674123</v>
      </c>
      <c r="BO212" s="550">
        <f t="shared" si="202"/>
        <v>0.92842947792389041</v>
      </c>
      <c r="BQ212" s="551">
        <f t="shared" si="203"/>
        <v>64707.820893383469</v>
      </c>
      <c r="BT212" s="547">
        <f>'Hilfstabellen_Mat&amp;Bem'!$J$58</f>
        <v>3.5</v>
      </c>
      <c r="BU212" s="546">
        <f t="shared" si="204"/>
        <v>264</v>
      </c>
      <c r="BV212" s="551">
        <f t="shared" si="205"/>
        <v>45.925589594629322</v>
      </c>
      <c r="BW212" s="553">
        <f>BV212/PI()*SQRT('Hilfstabellen_Mat&amp;Bem'!f.Rd.3/'Hilfstabellen_Mat&amp;Bem'!$BD$30)</f>
        <v>0.73092845983949717</v>
      </c>
      <c r="BX212" s="553">
        <f>0.5*(1+'Hilfstabellen_Mat&amp;Bem'!$BD$31*(BW212-0.3)+BW212^2)</f>
        <v>0.78867462969364455</v>
      </c>
      <c r="BY212" s="550">
        <f t="shared" si="206"/>
        <v>0.92174137529662459</v>
      </c>
      <c r="CA212" s="551">
        <f t="shared" si="207"/>
        <v>64241.686892673548</v>
      </c>
      <c r="CD212" s="547">
        <f>'Hilfstabellen_Mat&amp;Bem'!$J$59</f>
        <v>3.6</v>
      </c>
      <c r="CE212" s="546">
        <f t="shared" si="208"/>
        <v>264</v>
      </c>
      <c r="CF212" s="551">
        <f t="shared" si="209"/>
        <v>47.237749297333018</v>
      </c>
      <c r="CG212" s="553">
        <f>CF212/PI()*SQRT('Hilfstabellen_Mat&amp;Bem'!f.Rd.3/'Hilfstabellen_Mat&amp;Bem'!$BD$30)</f>
        <v>0.75181213012062553</v>
      </c>
      <c r="CH212" s="553">
        <f>0.5*(1+'Hilfstabellen_Mat&amp;Bem'!$BD$31*(CG212-0.3)+CG212^2)</f>
        <v>0.8052013460042875</v>
      </c>
      <c r="CI212" s="550">
        <f t="shared" si="210"/>
        <v>0.91447789649307298</v>
      </c>
      <c r="CK212" s="551">
        <f t="shared" si="211"/>
        <v>63735.451473981215</v>
      </c>
      <c r="CN212" s="547">
        <f>'Hilfstabellen_Mat&amp;Bem'!$J$60</f>
        <v>3.7</v>
      </c>
      <c r="CO212" s="546">
        <f t="shared" si="212"/>
        <v>264</v>
      </c>
      <c r="CP212" s="551">
        <f t="shared" si="213"/>
        <v>48.549909000036713</v>
      </c>
      <c r="CQ212" s="553">
        <f>CP212/PI()*SQRT('Hilfstabellen_Mat&amp;Bem'!f.Rd.3/'Hilfstabellen_Mat&amp;Bem'!$BD$30)</f>
        <v>0.77269580040175412</v>
      </c>
      <c r="CR212" s="553">
        <f>0.5*(1+'Hilfstabellen_Mat&amp;Bem'!$BD$31*(CQ212-0.3)+CQ212^2)</f>
        <v>0.82216418999934149</v>
      </c>
      <c r="CS212" s="550">
        <f t="shared" si="214"/>
        <v>0.90657967984951016</v>
      </c>
      <c r="CU212" s="551">
        <f t="shared" si="215"/>
        <v>63184.977366791463</v>
      </c>
      <c r="CX212" s="547">
        <f>'Hilfstabellen_Mat&amp;Bem'!$J$61</f>
        <v>3.8</v>
      </c>
      <c r="CY212" s="546">
        <f t="shared" si="216"/>
        <v>264</v>
      </c>
      <c r="CZ212" s="551">
        <f t="shared" si="217"/>
        <v>49.862068702740409</v>
      </c>
      <c r="DA212" s="553">
        <f>CZ212/PI()*SQRT('Hilfstabellen_Mat&amp;Bem'!f.Rd.3/'Hilfstabellen_Mat&amp;Bem'!$BD$30)</f>
        <v>0.79357947068288259</v>
      </c>
      <c r="DB212" s="553">
        <f>0.5*(1+'Hilfstabellen_Mat&amp;Bem'!$BD$31*(DA212-0.3)+DA212^2)</f>
        <v>0.83956316167880618</v>
      </c>
      <c r="DC212" s="550">
        <f t="shared" si="218"/>
        <v>0.89798594952194499</v>
      </c>
      <c r="DE212" s="551">
        <f t="shared" si="219"/>
        <v>62586.028737881476</v>
      </c>
      <c r="DH212" s="547">
        <f>'Hilfstabellen_Mat&amp;Bem'!$J$62</f>
        <v>3.9</v>
      </c>
      <c r="DI212" s="546">
        <f t="shared" si="220"/>
        <v>264</v>
      </c>
      <c r="DJ212" s="551">
        <f t="shared" si="221"/>
        <v>51.174228405444104</v>
      </c>
      <c r="DK212" s="553">
        <f>DJ212/PI()*SQRT('Hilfstabellen_Mat&amp;Bem'!f.Rd.3/'Hilfstabellen_Mat&amp;Bem'!$BD$30)</f>
        <v>0.81446314096401107</v>
      </c>
      <c r="DL212" s="553">
        <f>0.5*(1+'Hilfstabellen_Mat&amp;Bem'!$BD$31*(DK212-0.3)+DK212^2)</f>
        <v>0.85739826104268191</v>
      </c>
      <c r="DM212" s="550">
        <f t="shared" si="222"/>
        <v>0.88863684067963389</v>
      </c>
      <c r="DO212" s="551">
        <f t="shared" si="223"/>
        <v>61934.433248007765</v>
      </c>
      <c r="DR212" s="547">
        <f>'Hilfstabellen_Mat&amp;Bem'!$J$63</f>
        <v>4</v>
      </c>
      <c r="DS212" s="546">
        <f t="shared" si="224"/>
        <v>264</v>
      </c>
      <c r="DT212" s="551">
        <f t="shared" si="225"/>
        <v>52.4863881081478</v>
      </c>
      <c r="DU212" s="553">
        <f>DT212/PI()*SQRT('Hilfstabellen_Mat&amp;Bem'!f.Rd.3/'Hilfstabellen_Mat&amp;Bem'!$BD$30)</f>
        <v>0.83534681124513954</v>
      </c>
      <c r="DV212" s="553">
        <f>0.5*(1+'Hilfstabellen_Mat&amp;Bem'!$BD$31*(DU212-0.3)+DU212^2)</f>
        <v>0.87566948809096834</v>
      </c>
      <c r="DW212" s="550">
        <f t="shared" si="226"/>
        <v>0.87847662772594404</v>
      </c>
      <c r="DY212" s="551">
        <f t="shared" si="227"/>
        <v>61226.307045987392</v>
      </c>
      <c r="EB212" s="547">
        <f>'Hilfstabellen_Mat&amp;Bem'!$J$64</f>
        <v>4.0999999999999996</v>
      </c>
      <c r="EC212" s="546">
        <f t="shared" si="228"/>
        <v>264</v>
      </c>
      <c r="ED212" s="551">
        <f t="shared" si="229"/>
        <v>53.798547810851488</v>
      </c>
      <c r="EE212" s="553">
        <f>ED212/PI()*SQRT('Hilfstabellen_Mat&amp;Bem'!f.Rd.3/'Hilfstabellen_Mat&amp;Bem'!$BD$30)</f>
        <v>0.85623048152626802</v>
      </c>
      <c r="EF212" s="553">
        <f>0.5*(1+'Hilfstabellen_Mat&amp;Bem'!$BD$31*(EE212-0.3)+EE212^2)</f>
        <v>0.89437684282366581</v>
      </c>
      <c r="EG212" s="550">
        <f t="shared" si="230"/>
        <v>0.86745785823786647</v>
      </c>
      <c r="EI212" s="551">
        <f t="shared" si="231"/>
        <v>60458.342887746345</v>
      </c>
      <c r="EL212" s="547">
        <f>'Hilfstabellen_Mat&amp;Bem'!$J$65</f>
        <v>4.2</v>
      </c>
      <c r="EM212" s="546">
        <f t="shared" si="232"/>
        <v>264</v>
      </c>
      <c r="EN212" s="551">
        <f t="shared" si="233"/>
        <v>55.110707513555184</v>
      </c>
      <c r="EO212" s="553">
        <f>EN212/PI()*SQRT('Hilfstabellen_Mat&amp;Bem'!f.Rd.3/'Hilfstabellen_Mat&amp;Bem'!$BD$30)</f>
        <v>0.87711415180739649</v>
      </c>
      <c r="EP212" s="553">
        <f>0.5*(1+'Hilfstabellen_Mat&amp;Bem'!$BD$31*(EO212-0.3)+EO212^2)</f>
        <v>0.91352032524077409</v>
      </c>
      <c r="EQ212" s="550">
        <f t="shared" si="234"/>
        <v>0.85554620593872366</v>
      </c>
      <c r="ES212" s="551">
        <f t="shared" si="235"/>
        <v>59628.148369105285</v>
      </c>
    </row>
    <row r="213" spans="3:149">
      <c r="C213" s="546">
        <v>265</v>
      </c>
      <c r="D213" s="551">
        <f t="shared" si="190"/>
        <v>36.601828386361177</v>
      </c>
      <c r="E213" s="553">
        <f>$D213/PI()*SQRT('Hilfstabellen_Mat&amp;Bem'!f.Rd.3/'Hilfstabellen_Mat&amp;Bem'!$BD$30)</f>
        <v>0.58253619138906332</v>
      </c>
      <c r="F213" s="553">
        <f>0.5*(1+'Hilfstabellen_Mat&amp;Bem'!$BD$31*($E213-0.3)+$E213^2)</f>
        <v>0.68380101670849081</v>
      </c>
      <c r="G213" s="550">
        <f t="shared" si="191"/>
        <v>0.95978432088243359</v>
      </c>
      <c r="I213" s="551">
        <f t="shared" si="177"/>
        <v>67400.853933968901</v>
      </c>
      <c r="M213" s="546">
        <f t="shared" si="192"/>
        <v>265</v>
      </c>
      <c r="N213" s="551">
        <f t="shared" si="182"/>
        <v>37.909036543016938</v>
      </c>
      <c r="O213" s="553">
        <f>$N213/PI()*SQRT('Hilfstabellen_Mat&amp;Bem'!f.Rd.3/'Hilfstabellen_Mat&amp;Bem'!$BD$30)</f>
        <v>0.60334105536724425</v>
      </c>
      <c r="P213" s="553">
        <f>0.5*(1+'Hilfstabellen_Mat&amp;Bem'!$BD$31*($O213-0.3)+$O213^2)</f>
        <v>0.69717726731419227</v>
      </c>
      <c r="Q213" s="550">
        <f t="shared" si="183"/>
        <v>0.95555396444765184</v>
      </c>
      <c r="S213" s="551">
        <f t="shared" si="178"/>
        <v>67103.777153336356</v>
      </c>
      <c r="W213" s="546">
        <f t="shared" si="193"/>
        <v>265</v>
      </c>
      <c r="X213" s="551">
        <f t="shared" si="184"/>
        <v>39.216244699672686</v>
      </c>
      <c r="Y213" s="553">
        <f>$X213/PI()*SQRT('Hilfstabellen_Mat&amp;Bem'!f.Rd.3/'Hilfstabellen_Mat&amp;Bem'!$BD$30)</f>
        <v>0.62414591934542496</v>
      </c>
      <c r="Z213" s="553">
        <f>0.5*(1+'Hilfstabellen_Mat&amp;Bem'!$BD$31*($Y213-0.3)+$Y213^2)</f>
        <v>0.71098636028504414</v>
      </c>
      <c r="AA213" s="550">
        <f t="shared" si="185"/>
        <v>0.95103040115404447</v>
      </c>
      <c r="AC213" s="551">
        <f t="shared" si="179"/>
        <v>66786.109921042778</v>
      </c>
      <c r="AG213" s="546">
        <f t="shared" si="194"/>
        <v>265</v>
      </c>
      <c r="AH213" s="551">
        <f t="shared" si="186"/>
        <v>40.523452856328447</v>
      </c>
      <c r="AI213" s="553">
        <f>$AH213/PI()*SQRT('Hilfstabellen_Mat&amp;Bem'!f.Rd.3/'Hilfstabellen_Mat&amp;Bem'!$BD$30)</f>
        <v>0.64495078332360578</v>
      </c>
      <c r="AJ213" s="553">
        <f>0.5*(1+'Hilfstabellen_Mat&amp;Bem'!$BD$31*($AI213-0.3)+$AI213^2)</f>
        <v>0.72522829562104663</v>
      </c>
      <c r="AK213" s="550">
        <f t="shared" si="187"/>
        <v>0.94617889812244893</v>
      </c>
      <c r="AM213" s="551">
        <f t="shared" si="180"/>
        <v>66445.413120648969</v>
      </c>
      <c r="AQ213" s="546">
        <f t="shared" si="195"/>
        <v>265</v>
      </c>
      <c r="AR213" s="551">
        <f t="shared" si="188"/>
        <v>41.830661012984208</v>
      </c>
      <c r="AS213" s="553">
        <f>$AR213/PI()*SQRT('Hilfstabellen_Mat&amp;Bem'!f.Rd.3/'Hilfstabellen_Mat&amp;Bem'!$BD$30)</f>
        <v>0.66575564730178671</v>
      </c>
      <c r="AT213" s="553">
        <f>0.5*(1+'Hilfstabellen_Mat&amp;Bem'!$BD$31*($AS213-0.3)+$AS213^2)</f>
        <v>0.73990307332219984</v>
      </c>
      <c r="AU213" s="550">
        <f t="shared" si="189"/>
        <v>0.94096077665007505</v>
      </c>
      <c r="AW213" s="551">
        <f t="shared" si="181"/>
        <v>66078.970540251525</v>
      </c>
      <c r="AZ213" s="547">
        <f>'Hilfstabellen_Mat&amp;Bem'!$J$56</f>
        <v>3.3</v>
      </c>
      <c r="BA213" s="546">
        <f t="shared" si="196"/>
        <v>265</v>
      </c>
      <c r="BB213" s="551">
        <f t="shared" si="197"/>
        <v>43.137869169639963</v>
      </c>
      <c r="BC213" s="553">
        <f>BB213/PI()*SQRT('Hilfstabellen_Mat&amp;Bem'!f.Rd.3/'Hilfstabellen_Mat&amp;Bem'!$BD$30)</f>
        <v>0.68656051127996753</v>
      </c>
      <c r="BD213" s="553">
        <f>0.5*(1+'Hilfstabellen_Mat&amp;Bem'!$BD$31*(BC213-0.3)+BC213^2)</f>
        <v>0.75501069338850357</v>
      </c>
      <c r="BE213" s="550">
        <f t="shared" si="198"/>
        <v>0.93533316390952903</v>
      </c>
      <c r="BG213" s="551">
        <f t="shared" si="199"/>
        <v>65683.771435546674</v>
      </c>
      <c r="BJ213" s="547">
        <f>'Hilfstabellen_Mat&amp;Bem'!$J$57</f>
        <v>3.4</v>
      </c>
      <c r="BK213" s="546">
        <f t="shared" si="200"/>
        <v>265</v>
      </c>
      <c r="BL213" s="551">
        <f t="shared" si="201"/>
        <v>44.445077326295717</v>
      </c>
      <c r="BM213" s="553">
        <f>BL213/PI()*SQRT('Hilfstabellen_Mat&amp;Bem'!f.Rd.3/'Hilfstabellen_Mat&amp;Bem'!$BD$30)</f>
        <v>0.70736537525814835</v>
      </c>
      <c r="BN213" s="553">
        <f>0.5*(1+'Hilfstabellen_Mat&amp;Bem'!$BD$31*(BM213-0.3)+BM213^2)</f>
        <v>0.77055115581995792</v>
      </c>
      <c r="BO213" s="550">
        <f t="shared" si="202"/>
        <v>0.92924886470909773</v>
      </c>
      <c r="BQ213" s="551">
        <f t="shared" si="203"/>
        <v>65256.501524196385</v>
      </c>
      <c r="BT213" s="547">
        <f>'Hilfstabellen_Mat&amp;Bem'!$J$58</f>
        <v>3.5</v>
      </c>
      <c r="BU213" s="546">
        <f t="shared" si="204"/>
        <v>265</v>
      </c>
      <c r="BV213" s="551">
        <f t="shared" si="205"/>
        <v>45.752285482951471</v>
      </c>
      <c r="BW213" s="553">
        <f>BV213/PI()*SQRT('Hilfstabellen_Mat&amp;Bem'!f.Rd.3/'Hilfstabellen_Mat&amp;Bem'!$BD$30)</f>
        <v>0.72817023923632906</v>
      </c>
      <c r="BX213" s="553">
        <f>0.5*(1+'Hilfstabellen_Mat&amp;Bem'!$BD$31*(BW213-0.3)+BW213^2)</f>
        <v>0.78652446061656289</v>
      </c>
      <c r="BY213" s="550">
        <f t="shared" si="206"/>
        <v>0.92265643278932352</v>
      </c>
      <c r="CA213" s="551">
        <f t="shared" si="207"/>
        <v>64793.547992630243</v>
      </c>
      <c r="CD213" s="547">
        <f>'Hilfstabellen_Mat&amp;Bem'!$J$59</f>
        <v>3.6</v>
      </c>
      <c r="CE213" s="546">
        <f t="shared" si="208"/>
        <v>265</v>
      </c>
      <c r="CF213" s="551">
        <f t="shared" si="209"/>
        <v>47.059493639607233</v>
      </c>
      <c r="CG213" s="553">
        <f>CF213/PI()*SQRT('Hilfstabellen_Mat&amp;Bem'!f.Rd.3/'Hilfstabellen_Mat&amp;Bem'!$BD$30)</f>
        <v>0.74897510321451</v>
      </c>
      <c r="CH213" s="553">
        <f>0.5*(1+'Hilfstabellen_Mat&amp;Bem'!$BD$31*(CG213-0.3)+CG213^2)</f>
        <v>0.80293060777831848</v>
      </c>
      <c r="CI213" s="550">
        <f t="shared" si="210"/>
        <v>0.91550054827148197</v>
      </c>
      <c r="CK213" s="551">
        <f t="shared" si="211"/>
        <v>64291.026002364822</v>
      </c>
      <c r="CN213" s="547">
        <f>'Hilfstabellen_Mat&amp;Bem'!$J$60</f>
        <v>3.7</v>
      </c>
      <c r="CO213" s="546">
        <f t="shared" si="212"/>
        <v>265</v>
      </c>
      <c r="CP213" s="551">
        <f t="shared" si="213"/>
        <v>48.366701796262987</v>
      </c>
      <c r="CQ213" s="553">
        <f>CP213/PI()*SQRT('Hilfstabellen_Mat&amp;Bem'!f.Rd.3/'Hilfstabellen_Mat&amp;Bem'!$BD$30)</f>
        <v>0.76977996719269082</v>
      </c>
      <c r="CR213" s="553">
        <f>0.5*(1+'Hilfstabellen_Mat&amp;Bem'!$BD$31*(CQ213-0.3)+CQ213^2)</f>
        <v>0.81976959730522458</v>
      </c>
      <c r="CS213" s="550">
        <f t="shared" si="214"/>
        <v>0.90772283562793621</v>
      </c>
      <c r="CU213" s="551">
        <f t="shared" si="215"/>
        <v>63744.836131971817</v>
      </c>
      <c r="CX213" s="547">
        <f>'Hilfstabellen_Mat&amp;Bem'!$J$61</f>
        <v>3.8</v>
      </c>
      <c r="CY213" s="546">
        <f t="shared" si="216"/>
        <v>265</v>
      </c>
      <c r="CZ213" s="551">
        <f t="shared" si="217"/>
        <v>49.673909952918741</v>
      </c>
      <c r="DA213" s="553">
        <f>CZ213/PI()*SQRT('Hilfstabellen_Mat&amp;Bem'!f.Rd.3/'Hilfstabellen_Mat&amp;Bem'!$BD$30)</f>
        <v>0.79058483117087164</v>
      </c>
      <c r="DB213" s="553">
        <f>0.5*(1+'Hilfstabellen_Mat&amp;Bem'!$BD$31*(DA213-0.3)+DA213^2)</f>
        <v>0.83704142919728142</v>
      </c>
      <c r="DC213" s="550">
        <f t="shared" si="218"/>
        <v>0.89926327755451463</v>
      </c>
      <c r="DE213" s="551">
        <f t="shared" si="219"/>
        <v>63150.76366626579</v>
      </c>
      <c r="DH213" s="547">
        <f>'Hilfstabellen_Mat&amp;Bem'!$J$62</f>
        <v>3.9</v>
      </c>
      <c r="DI213" s="546">
        <f t="shared" si="220"/>
        <v>265</v>
      </c>
      <c r="DJ213" s="551">
        <f t="shared" si="221"/>
        <v>50.981118109574496</v>
      </c>
      <c r="DK213" s="553">
        <f>DJ213/PI()*SQRT('Hilfstabellen_Mat&amp;Bem'!f.Rd.3/'Hilfstabellen_Mat&amp;Bem'!$BD$30)</f>
        <v>0.81138969514905246</v>
      </c>
      <c r="DL213" s="553">
        <f>0.5*(1+'Hilfstabellen_Mat&amp;Bem'!$BD$31*(DK213-0.3)+DK213^2)</f>
        <v>0.85474610345448876</v>
      </c>
      <c r="DM213" s="550">
        <f t="shared" si="222"/>
        <v>0.8900623814923927</v>
      </c>
      <c r="DO213" s="551">
        <f t="shared" si="223"/>
        <v>62504.630740303277</v>
      </c>
      <c r="DR213" s="547">
        <f>'Hilfstabellen_Mat&amp;Bem'!$J$63</f>
        <v>4</v>
      </c>
      <c r="DS213" s="546">
        <f t="shared" si="224"/>
        <v>265</v>
      </c>
      <c r="DT213" s="551">
        <f t="shared" si="225"/>
        <v>52.288326266230257</v>
      </c>
      <c r="DU213" s="553">
        <f>DT213/PI()*SQRT('Hilfstabellen_Mat&amp;Bem'!f.Rd.3/'Hilfstabellen_Mat&amp;Bem'!$BD$30)</f>
        <v>0.83219455912723339</v>
      </c>
      <c r="DV213" s="553">
        <f>0.5*(1+'Hilfstabellen_Mat&amp;Bem'!$BD$31*(DU213-0.3)+DU213^2)</f>
        <v>0.87288362007684683</v>
      </c>
      <c r="DW213" s="550">
        <f t="shared" si="226"/>
        <v>0.88006421848503391</v>
      </c>
      <c r="DY213" s="551">
        <f t="shared" si="227"/>
        <v>61802.509743111506</v>
      </c>
      <c r="EB213" s="547">
        <f>'Hilfstabellen_Mat&amp;Bem'!$J$64</f>
        <v>4.0999999999999996</v>
      </c>
      <c r="EC213" s="546">
        <f t="shared" si="228"/>
        <v>265</v>
      </c>
      <c r="ED213" s="551">
        <f t="shared" si="229"/>
        <v>53.595534422886011</v>
      </c>
      <c r="EE213" s="553">
        <f>ED213/PI()*SQRT('Hilfstabellen_Mat&amp;Bem'!f.Rd.3/'Hilfstabellen_Mat&amp;Bem'!$BD$30)</f>
        <v>0.85299942310541421</v>
      </c>
      <c r="EF213" s="553">
        <f>0.5*(1+'Hilfstabellen_Mat&amp;Bem'!$BD$31*(EE213-0.3)+EE213^2)</f>
        <v>0.89145397906435542</v>
      </c>
      <c r="EG213" s="550">
        <f t="shared" si="230"/>
        <v>0.86922035691903998</v>
      </c>
      <c r="EI213" s="551">
        <f t="shared" si="231"/>
        <v>61040.999564639584</v>
      </c>
      <c r="EL213" s="547">
        <f>'Hilfstabellen_Mat&amp;Bem'!$J$65</f>
        <v>4.2</v>
      </c>
      <c r="EM213" s="546">
        <f t="shared" si="232"/>
        <v>265</v>
      </c>
      <c r="EN213" s="551">
        <f t="shared" si="233"/>
        <v>54.902742579541766</v>
      </c>
      <c r="EO213" s="553">
        <f>EN213/PI()*SQRT('Hilfstabellen_Mat&amp;Bem'!f.Rd.3/'Hilfstabellen_Mat&amp;Bem'!$BD$30)</f>
        <v>0.87380428708359492</v>
      </c>
      <c r="EP213" s="553">
        <f>0.5*(1+'Hilfstabellen_Mat&amp;Bem'!$BD$31*(EO213-0.3)+EO213^2)</f>
        <v>0.91045718041701451</v>
      </c>
      <c r="EQ213" s="550">
        <f t="shared" si="234"/>
        <v>0.8574945410239001</v>
      </c>
      <c r="ES213" s="551">
        <f t="shared" si="235"/>
        <v>60217.554143403388</v>
      </c>
    </row>
    <row r="214" spans="3:149">
      <c r="C214" s="546">
        <v>266</v>
      </c>
      <c r="D214" s="551">
        <f t="shared" si="190"/>
        <v>36.464227527765836</v>
      </c>
      <c r="E214" s="553">
        <f>$D214/PI()*SQRT('Hilfstabellen_Mat&amp;Bem'!f.Rd.3/'Hilfstabellen_Mat&amp;Bem'!$BD$30)</f>
        <v>0.58034620570714945</v>
      </c>
      <c r="F214" s="553">
        <f>0.5*(1+'Hilfstabellen_Mat&amp;Bem'!$BD$31*($E214-0.3)+$E214^2)</f>
        <v>0.68241816952470002</v>
      </c>
      <c r="G214" s="550">
        <f t="shared" si="191"/>
        <v>0.96021386602318637</v>
      </c>
      <c r="I214" s="551">
        <f t="shared" ref="I214:I268" si="236">C214^2*G214</f>
        <v>67940.892304336579</v>
      </c>
      <c r="M214" s="546">
        <f t="shared" si="192"/>
        <v>266</v>
      </c>
      <c r="N214" s="551">
        <f t="shared" si="182"/>
        <v>37.766521368043186</v>
      </c>
      <c r="O214" s="553">
        <f>$N214/PI()*SQRT('Hilfstabellen_Mat&amp;Bem'!f.Rd.3/'Hilfstabellen_Mat&amp;Bem'!$BD$30)</f>
        <v>0.60107285591097626</v>
      </c>
      <c r="P214" s="553">
        <f>0.5*(1+'Hilfstabellen_Mat&amp;Bem'!$BD$31*($O214-0.3)+$O214^2)</f>
        <v>0.69569793185203732</v>
      </c>
      <c r="Q214" s="550">
        <f t="shared" si="183"/>
        <v>0.95602882126244837</v>
      </c>
      <c r="S214" s="551">
        <f t="shared" ref="S214:S268" si="237">M214^2*Q214</f>
        <v>67644.77527724579</v>
      </c>
      <c r="W214" s="546">
        <f t="shared" si="193"/>
        <v>266</v>
      </c>
      <c r="X214" s="551">
        <f t="shared" si="184"/>
        <v>39.068815208320537</v>
      </c>
      <c r="Y214" s="553">
        <f>$X214/PI()*SQRT('Hilfstabellen_Mat&amp;Bem'!f.Rd.3/'Hilfstabellen_Mat&amp;Bem'!$BD$30)</f>
        <v>0.62179950611480306</v>
      </c>
      <c r="Z214" s="553">
        <f>0.5*(1+'Hilfstabellen_Mat&amp;Bem'!$BD$31*($Y214-0.3)+$Y214^2)</f>
        <v>0.70940728820804666</v>
      </c>
      <c r="AA214" s="550">
        <f t="shared" si="185"/>
        <v>0.95155630660839907</v>
      </c>
      <c r="AC214" s="551">
        <f t="shared" ref="AC214:AC268" si="238">W214^2*AA214</f>
        <v>67328.318030383889</v>
      </c>
      <c r="AG214" s="546">
        <f t="shared" si="194"/>
        <v>266</v>
      </c>
      <c r="AH214" s="551">
        <f t="shared" si="186"/>
        <v>40.371109048597894</v>
      </c>
      <c r="AI214" s="553">
        <f>$AH214/PI()*SQRT('Hilfstabellen_Mat&amp;Bem'!f.Rd.3/'Hilfstabellen_Mat&amp;Bem'!$BD$30)</f>
        <v>0.64252615631862997</v>
      </c>
      <c r="AJ214" s="553">
        <f>0.5*(1+'Hilfstabellen_Mat&amp;Bem'!$BD$31*($AI214-0.3)+$AI214^2)</f>
        <v>0.72354623859272782</v>
      </c>
      <c r="AK214" s="550">
        <f t="shared" si="187"/>
        <v>0.94676239414121122</v>
      </c>
      <c r="AM214" s="551">
        <f t="shared" ref="AM214:AM268" si="239">AG214^2*AK214</f>
        <v>66989.119959855539</v>
      </c>
      <c r="AQ214" s="546">
        <f t="shared" si="195"/>
        <v>266</v>
      </c>
      <c r="AR214" s="551">
        <f t="shared" si="188"/>
        <v>41.673402888875238</v>
      </c>
      <c r="AS214" s="553">
        <f>$AR214/PI()*SQRT('Hilfstabellen_Mat&amp;Bem'!f.Rd.3/'Hilfstabellen_Mat&amp;Bem'!$BD$30)</f>
        <v>0.66325280652245655</v>
      </c>
      <c r="AT214" s="553">
        <f>0.5*(1+'Hilfstabellen_Mat&amp;Bem'!$BD$31*($AS214-0.3)+$AS214^2)</f>
        <v>0.73811478300608035</v>
      </c>
      <c r="AU214" s="550">
        <f t="shared" si="189"/>
        <v>0.94160930141011556</v>
      </c>
      <c r="AW214" s="551">
        <f t="shared" ref="AW214:AW268" si="240">AQ214^2*AU214</f>
        <v>66624.507730574143</v>
      </c>
      <c r="AZ214" s="547">
        <f>'Hilfstabellen_Mat&amp;Bem'!$J$56</f>
        <v>3.3</v>
      </c>
      <c r="BA214" s="546">
        <f t="shared" si="196"/>
        <v>266</v>
      </c>
      <c r="BB214" s="551">
        <f t="shared" si="197"/>
        <v>42.975696729152588</v>
      </c>
      <c r="BC214" s="553">
        <f>BB214/PI()*SQRT('Hilfstabellen_Mat&amp;Bem'!f.Rd.3/'Hilfstabellen_Mat&amp;Bem'!$BD$30)</f>
        <v>0.68397945672628335</v>
      </c>
      <c r="BD214" s="553">
        <f>0.5*(1+'Hilfstabellen_Mat&amp;Bem'!$BD$31*(BC214-0.3)+BC214^2)</f>
        <v>0.75311292144810504</v>
      </c>
      <c r="BE214" s="550">
        <f t="shared" si="198"/>
        <v>0.93605513808564167</v>
      </c>
      <c r="BG214" s="551">
        <f t="shared" si="199"/>
        <v>66231.517350387658</v>
      </c>
      <c r="BJ214" s="547">
        <f>'Hilfstabellen_Mat&amp;Bem'!$J$57</f>
        <v>3.4</v>
      </c>
      <c r="BK214" s="546">
        <f t="shared" si="200"/>
        <v>266</v>
      </c>
      <c r="BL214" s="551">
        <f t="shared" si="201"/>
        <v>44.277990569429946</v>
      </c>
      <c r="BM214" s="553">
        <f>BL214/PI()*SQRT('Hilfstabellen_Mat&amp;Bem'!f.Rd.3/'Hilfstabellen_Mat&amp;Bem'!$BD$30)</f>
        <v>0.70470610693011027</v>
      </c>
      <c r="BN214" s="553">
        <f>0.5*(1+'Hilfstabellen_Mat&amp;Bem'!$BD$31*(BM214-0.3)+BM214^2)</f>
        <v>0.76854065391880155</v>
      </c>
      <c r="BO214" s="550">
        <f t="shared" si="202"/>
        <v>0.93005376245699978</v>
      </c>
      <c r="BQ214" s="551">
        <f t="shared" si="203"/>
        <v>65806.884016407479</v>
      </c>
      <c r="BT214" s="547">
        <f>'Hilfstabellen_Mat&amp;Bem'!$J$58</f>
        <v>3.5</v>
      </c>
      <c r="BU214" s="546">
        <f t="shared" si="204"/>
        <v>266</v>
      </c>
      <c r="BV214" s="551">
        <f t="shared" si="205"/>
        <v>45.580284409707289</v>
      </c>
      <c r="BW214" s="553">
        <f>BV214/PI()*SQRT('Hilfstabellen_Mat&amp;Bem'!f.Rd.3/'Hilfstabellen_Mat&amp;Bem'!$BD$30)</f>
        <v>0.72543275713393685</v>
      </c>
      <c r="BX214" s="553">
        <f>0.5*(1+'Hilfstabellen_Mat&amp;Bem'!$BD$31*(BW214-0.3)+BW214^2)</f>
        <v>0.78439798041816955</v>
      </c>
      <c r="BY214" s="550">
        <f t="shared" si="206"/>
        <v>0.92355482226439289</v>
      </c>
      <c r="CA214" s="551">
        <f t="shared" si="207"/>
        <v>65347.045004139385</v>
      </c>
      <c r="CD214" s="547">
        <f>'Hilfstabellen_Mat&amp;Bem'!$J$59</f>
        <v>3.6</v>
      </c>
      <c r="CE214" s="546">
        <f t="shared" si="208"/>
        <v>266</v>
      </c>
      <c r="CF214" s="551">
        <f t="shared" si="209"/>
        <v>46.882578249984647</v>
      </c>
      <c r="CG214" s="553">
        <f>CF214/PI()*SQRT('Hilfstabellen_Mat&amp;Bem'!f.Rd.3/'Hilfstabellen_Mat&amp;Bem'!$BD$30)</f>
        <v>0.74615940733776376</v>
      </c>
      <c r="CH214" s="553">
        <f>0.5*(1+'Hilfstabellen_Mat&amp;Bem'!$BD$31*(CG214-0.3)+CG214^2)</f>
        <v>0.80068490094620959</v>
      </c>
      <c r="CI214" s="550">
        <f t="shared" si="210"/>
        <v>0.91650408034671293</v>
      </c>
      <c r="CK214" s="551">
        <f t="shared" si="211"/>
        <v>64848.162709012024</v>
      </c>
      <c r="CN214" s="547">
        <f>'Hilfstabellen_Mat&amp;Bem'!$J$60</f>
        <v>3.7</v>
      </c>
      <c r="CO214" s="546">
        <f t="shared" si="212"/>
        <v>266</v>
      </c>
      <c r="CP214" s="551">
        <f t="shared" si="213"/>
        <v>48.184872090261997</v>
      </c>
      <c r="CQ214" s="553">
        <f>CP214/PI()*SQRT('Hilfstabellen_Mat&amp;Bem'!f.Rd.3/'Hilfstabellen_Mat&amp;Bem'!$BD$30)</f>
        <v>0.76688605754159056</v>
      </c>
      <c r="CR214" s="553">
        <f>0.5*(1+'Hilfstabellen_Mat&amp;Bem'!$BD$31*(CQ214-0.3)+CQ214^2)</f>
        <v>0.81740141550292145</v>
      </c>
      <c r="CS214" s="550">
        <f t="shared" si="214"/>
        <v>0.90884415275096175</v>
      </c>
      <c r="CU214" s="551">
        <f t="shared" si="215"/>
        <v>64306.17687204705</v>
      </c>
      <c r="CX214" s="547">
        <f>'Hilfstabellen_Mat&amp;Bem'!$J$61</f>
        <v>3.8</v>
      </c>
      <c r="CY214" s="546">
        <f t="shared" si="216"/>
        <v>266</v>
      </c>
      <c r="CZ214" s="551">
        <f t="shared" si="217"/>
        <v>49.487165930539348</v>
      </c>
      <c r="DA214" s="553">
        <f>CZ214/PI()*SQRT('Hilfstabellen_Mat&amp;Bem'!f.Rd.3/'Hilfstabellen_Mat&amp;Bem'!$BD$30)</f>
        <v>0.78761270774541725</v>
      </c>
      <c r="DB214" s="553">
        <f>0.5*(1+'Hilfstabellen_Mat&amp;Bem'!$BD$31*(DA214-0.3)+DA214^2)</f>
        <v>0.8345475240883049</v>
      </c>
      <c r="DC214" s="550">
        <f t="shared" si="218"/>
        <v>0.90051580877540705</v>
      </c>
      <c r="DE214" s="551">
        <f t="shared" si="219"/>
        <v>63716.896565712697</v>
      </c>
      <c r="DH214" s="547">
        <f>'Hilfstabellen_Mat&amp;Bem'!$J$62</f>
        <v>3.9</v>
      </c>
      <c r="DI214" s="546">
        <f t="shared" si="220"/>
        <v>266</v>
      </c>
      <c r="DJ214" s="551">
        <f t="shared" si="221"/>
        <v>50.789459770816698</v>
      </c>
      <c r="DK214" s="553">
        <f>DJ214/PI()*SQRT('Hilfstabellen_Mat&amp;Bem'!f.Rd.3/'Hilfstabellen_Mat&amp;Bem'!$BD$30)</f>
        <v>0.80833935794924394</v>
      </c>
      <c r="DL214" s="553">
        <f>0.5*(1+'Hilfstabellen_Mat&amp;Bem'!$BD$31*(DK214-0.3)+DK214^2)</f>
        <v>0.85212322670236018</v>
      </c>
      <c r="DM214" s="550">
        <f t="shared" si="222"/>
        <v>0.89145998722599129</v>
      </c>
      <c r="DO214" s="551">
        <f t="shared" si="223"/>
        <v>63076.142856162238</v>
      </c>
      <c r="DR214" s="547">
        <f>'Hilfstabellen_Mat&amp;Bem'!$J$63</f>
        <v>4</v>
      </c>
      <c r="DS214" s="546">
        <f t="shared" si="224"/>
        <v>266</v>
      </c>
      <c r="DT214" s="551">
        <f t="shared" si="225"/>
        <v>52.091753611094049</v>
      </c>
      <c r="DU214" s="553">
        <f>DT214/PI()*SQRT('Hilfstabellen_Mat&amp;Bem'!f.Rd.3/'Hilfstabellen_Mat&amp;Bem'!$BD$30)</f>
        <v>0.82906600815307074</v>
      </c>
      <c r="DV214" s="553">
        <f>0.5*(1+'Hilfstabellen_Mat&amp;Bem'!$BD$31*(DU214-0.3)+DU214^2)</f>
        <v>0.87012852334508728</v>
      </c>
      <c r="DW214" s="550">
        <f t="shared" si="226"/>
        <v>0.88162065353208707</v>
      </c>
      <c r="DY214" s="551">
        <f t="shared" si="227"/>
        <v>62379.950961316354</v>
      </c>
      <c r="EB214" s="547">
        <f>'Hilfstabellen_Mat&amp;Bem'!$J$64</f>
        <v>4.0999999999999996</v>
      </c>
      <c r="EC214" s="546">
        <f t="shared" si="228"/>
        <v>266</v>
      </c>
      <c r="ED214" s="551">
        <f t="shared" si="229"/>
        <v>53.394047451371407</v>
      </c>
      <c r="EE214" s="553">
        <f>ED214/PI()*SQRT('Hilfstabellen_Mat&amp;Bem'!f.Rd.3/'Hilfstabellen_Mat&amp;Bem'!$BD$30)</f>
        <v>0.84979265835689766</v>
      </c>
      <c r="EF214" s="553">
        <f>0.5*(1+'Hilfstabellen_Mat&amp;Bem'!$BD$31*(EE214-0.3)+EE214^2)</f>
        <v>0.88856341401648642</v>
      </c>
      <c r="EG214" s="550">
        <f t="shared" si="230"/>
        <v>0.87094853743865197</v>
      </c>
      <c r="EI214" s="551">
        <f t="shared" si="231"/>
        <v>61624.83471500926</v>
      </c>
      <c r="EL214" s="547">
        <f>'Hilfstabellen_Mat&amp;Bem'!$J$65</f>
        <v>4.2</v>
      </c>
      <c r="EM214" s="546">
        <f t="shared" si="232"/>
        <v>266</v>
      </c>
      <c r="EN214" s="551">
        <f t="shared" si="233"/>
        <v>54.69634129164875</v>
      </c>
      <c r="EO214" s="553">
        <f>EN214/PI()*SQRT('Hilfstabellen_Mat&amp;Bem'!f.Rd.3/'Hilfstabellen_Mat&amp;Bem'!$BD$30)</f>
        <v>0.87051930856072424</v>
      </c>
      <c r="EP214" s="553">
        <f>0.5*(1+'Hilfstabellen_Mat&amp;Bem'!$BD$31*(EO214-0.3)+EO214^2)</f>
        <v>0.90742789871655694</v>
      </c>
      <c r="EQ214" s="550">
        <f t="shared" si="234"/>
        <v>0.85940563421819804</v>
      </c>
      <c r="ES214" s="551">
        <f t="shared" si="235"/>
        <v>60808.105054742824</v>
      </c>
    </row>
    <row r="215" spans="3:149">
      <c r="C215" s="546">
        <v>267</v>
      </c>
      <c r="D215" s="551">
        <f t="shared" si="190"/>
        <v>36.327657387212405</v>
      </c>
      <c r="E215" s="553">
        <f>$D215/PI()*SQRT('Hilfstabellen_Mat&amp;Bem'!f.Rd.3/'Hilfstabellen_Mat&amp;Bem'!$BD$30)</f>
        <v>0.57817262441236617</v>
      </c>
      <c r="F215" s="553">
        <f>0.5*(1+'Hilfstabellen_Mat&amp;Bem'!$BD$31*($E215-0.3)+$E215^2)</f>
        <v>0.68105042303055985</v>
      </c>
      <c r="G215" s="550">
        <f t="shared" si="191"/>
        <v>0.96063735846685028</v>
      </c>
      <c r="I215" s="551">
        <f t="shared" si="236"/>
        <v>68482.876647743295</v>
      </c>
      <c r="M215" s="546">
        <f t="shared" si="192"/>
        <v>267</v>
      </c>
      <c r="N215" s="551">
        <f t="shared" si="182"/>
        <v>37.625073722469992</v>
      </c>
      <c r="O215" s="553">
        <f>$N215/PI()*SQRT('Hilfstabellen_Mat&amp;Bem'!f.Rd.3/'Hilfstabellen_Mat&amp;Bem'!$BD$30)</f>
        <v>0.5988216467128078</v>
      </c>
      <c r="P215" s="553">
        <f>0.5*(1+'Hilfstabellen_Mat&amp;Bem'!$BD$31*($O215-0.3)+$O215^2)</f>
        <v>0.69423476462155986</v>
      </c>
      <c r="Q215" s="550">
        <f t="shared" si="183"/>
        <v>0.95649672035722477</v>
      </c>
      <c r="S215" s="551">
        <f t="shared" si="237"/>
        <v>68187.694697546191</v>
      </c>
      <c r="W215" s="546">
        <f t="shared" si="193"/>
        <v>267</v>
      </c>
      <c r="X215" s="551">
        <f t="shared" si="184"/>
        <v>38.922490057727579</v>
      </c>
      <c r="Y215" s="553">
        <f>$X215/PI()*SQRT('Hilfstabellen_Mat&amp;Bem'!f.Rd.3/'Hilfstabellen_Mat&amp;Bem'!$BD$30)</f>
        <v>0.61947066901324954</v>
      </c>
      <c r="Z215" s="553">
        <f>0.5*(1+'Hilfstabellen_Mat&amp;Bem'!$BD$31*($Y215-0.3)+$Y215^2)</f>
        <v>0.70784548833452399</v>
      </c>
      <c r="AA215" s="550">
        <f t="shared" si="185"/>
        <v>0.95207420374178831</v>
      </c>
      <c r="AC215" s="551">
        <f t="shared" si="238"/>
        <v>67872.417910548349</v>
      </c>
      <c r="AG215" s="546">
        <f t="shared" si="194"/>
        <v>267</v>
      </c>
      <c r="AH215" s="551">
        <f t="shared" si="186"/>
        <v>40.219906392985166</v>
      </c>
      <c r="AI215" s="553">
        <f>$AH215/PI()*SQRT('Hilfstabellen_Mat&amp;Bem'!f.Rd.3/'Hilfstabellen_Mat&amp;Bem'!$BD$30)</f>
        <v>0.64011969131369117</v>
      </c>
      <c r="AJ215" s="553">
        <f>0.5*(1+'Hilfstabellen_Mat&amp;Bem'!$BD$31*($AI215-0.3)+$AI215^2)</f>
        <v>0.72188259416945222</v>
      </c>
      <c r="AK215" s="550">
        <f t="shared" si="187"/>
        <v>0.94733666368738123</v>
      </c>
      <c r="AM215" s="551">
        <f t="shared" si="239"/>
        <v>67534.683417609718</v>
      </c>
      <c r="AQ215" s="546">
        <f t="shared" si="195"/>
        <v>267</v>
      </c>
      <c r="AR215" s="551">
        <f t="shared" si="188"/>
        <v>41.517322728242753</v>
      </c>
      <c r="AS215" s="553">
        <f>$AR215/PI()*SQRT('Hilfstabellen_Mat&amp;Bem'!f.Rd.3/'Hilfstabellen_Mat&amp;Bem'!$BD$30)</f>
        <v>0.66076871361413292</v>
      </c>
      <c r="AT215" s="553">
        <f>0.5*(1+'Hilfstabellen_Mat&amp;Bem'!$BD$31*($AS215-0.3)+$AS215^2)</f>
        <v>0.73634608212634456</v>
      </c>
      <c r="AU215" s="550">
        <f t="shared" si="189"/>
        <v>0.94224719043337124</v>
      </c>
      <c r="AW215" s="551">
        <f t="shared" si="240"/>
        <v>67171.859958804605</v>
      </c>
      <c r="AZ215" s="547">
        <f>'Hilfstabellen_Mat&amp;Bem'!$J$56</f>
        <v>3.3</v>
      </c>
      <c r="BA215" s="546">
        <f t="shared" si="196"/>
        <v>267</v>
      </c>
      <c r="BB215" s="551">
        <f t="shared" si="197"/>
        <v>42.81473906350034</v>
      </c>
      <c r="BC215" s="553">
        <f>BB215/PI()*SQRT('Hilfstabellen_Mat&amp;Bem'!f.Rd.3/'Hilfstabellen_Mat&amp;Bem'!$BD$30)</f>
        <v>0.68141773591457455</v>
      </c>
      <c r="BD215" s="553">
        <f>0.5*(1+'Hilfstabellen_Mat&amp;Bem'!$BD$31*(BC215-0.3)+BC215^2)</f>
        <v>0.75123595220520123</v>
      </c>
      <c r="BE215" s="550">
        <f t="shared" si="198"/>
        <v>0.93676485200244741</v>
      </c>
      <c r="BG215" s="551">
        <f t="shared" si="199"/>
        <v>66781.029534402478</v>
      </c>
      <c r="BJ215" s="547">
        <f>'Hilfstabellen_Mat&amp;Bem'!$J$57</f>
        <v>3.4</v>
      </c>
      <c r="BK215" s="546">
        <f t="shared" si="200"/>
        <v>267</v>
      </c>
      <c r="BL215" s="551">
        <f t="shared" si="201"/>
        <v>44.11215539875792</v>
      </c>
      <c r="BM215" s="553">
        <f>BL215/PI()*SQRT('Hilfstabellen_Mat&amp;Bem'!f.Rd.3/'Hilfstabellen_Mat&amp;Bem'!$BD$30)</f>
        <v>0.70206675821501607</v>
      </c>
      <c r="BN215" s="553">
        <f>0.5*(1+'Hilfstabellen_Mat&amp;Bem'!$BD$31*(BM215-0.3)+BM215^2)</f>
        <v>0.76655220440602179</v>
      </c>
      <c r="BO215" s="550">
        <f t="shared" si="202"/>
        <v>0.93084453719369786</v>
      </c>
      <c r="BQ215" s="551">
        <f t="shared" si="203"/>
        <v>66358.976212001522</v>
      </c>
      <c r="BT215" s="547">
        <f>'Hilfstabellen_Mat&amp;Bem'!$J$58</f>
        <v>3.5</v>
      </c>
      <c r="BU215" s="546">
        <f t="shared" si="204"/>
        <v>267</v>
      </c>
      <c r="BV215" s="551">
        <f t="shared" si="205"/>
        <v>45.409571734015501</v>
      </c>
      <c r="BW215" s="553">
        <f>BV215/PI()*SQRT('Hilfstabellen_Mat&amp;Bem'!f.Rd.3/'Hilfstabellen_Mat&amp;Bem'!$BD$30)</f>
        <v>0.7227157805154576</v>
      </c>
      <c r="BX215" s="553">
        <f>0.5*(1+'Hilfstabellen_Mat&amp;Bem'!$BD$31*(BW215-0.3)+BW215^2)</f>
        <v>0.78229483872880645</v>
      </c>
      <c r="BY215" s="550">
        <f t="shared" si="206"/>
        <v>0.92443696875322923</v>
      </c>
      <c r="CA215" s="551">
        <f t="shared" si="207"/>
        <v>65902.187065448961</v>
      </c>
      <c r="CD215" s="547">
        <f>'Hilfstabellen_Mat&amp;Bem'!$J$59</f>
        <v>3.6</v>
      </c>
      <c r="CE215" s="546">
        <f t="shared" si="208"/>
        <v>267</v>
      </c>
      <c r="CF215" s="551">
        <f t="shared" si="209"/>
        <v>46.706988069273088</v>
      </c>
      <c r="CG215" s="553">
        <f>CF215/PI()*SQRT('Hilfstabellen_Mat&amp;Bem'!f.Rd.3/'Hilfstabellen_Mat&amp;Bem'!$BD$30)</f>
        <v>0.74336480281589934</v>
      </c>
      <c r="CH215" s="553">
        <f>0.5*(1+'Hilfstabellen_Mat&amp;Bem'!$BD$31*(CG215-0.3)+CG215^2)</f>
        <v>0.79846385517355545</v>
      </c>
      <c r="CI215" s="550">
        <f t="shared" si="210"/>
        <v>0.91748898136767754</v>
      </c>
      <c r="CK215" s="551">
        <f t="shared" si="211"/>
        <v>65406.871992720364</v>
      </c>
      <c r="CN215" s="547">
        <f>'Hilfstabellen_Mat&amp;Bem'!$J$60</f>
        <v>3.7</v>
      </c>
      <c r="CO215" s="546">
        <f t="shared" si="212"/>
        <v>267</v>
      </c>
      <c r="CP215" s="551">
        <f t="shared" si="213"/>
        <v>48.004404404530675</v>
      </c>
      <c r="CQ215" s="553">
        <f>CP215/PI()*SQRT('Hilfstabellen_Mat&amp;Bem'!f.Rd.3/'Hilfstabellen_Mat&amp;Bem'!$BD$30)</f>
        <v>0.76401382511634097</v>
      </c>
      <c r="CR215" s="553">
        <f>0.5*(1+'Hilfstabellen_Mat&amp;Bem'!$BD$31*(CQ215-0.3)+CQ215^2)</f>
        <v>0.81505925374026844</v>
      </c>
      <c r="CS215" s="550">
        <f t="shared" si="214"/>
        <v>0.90994418561744428</v>
      </c>
      <c r="CU215" s="551">
        <f t="shared" si="215"/>
        <v>64869.011048481982</v>
      </c>
      <c r="CX215" s="547">
        <f>'Hilfstabellen_Mat&amp;Bem'!$J$61</f>
        <v>3.8</v>
      </c>
      <c r="CY215" s="546">
        <f t="shared" si="216"/>
        <v>267</v>
      </c>
      <c r="CZ215" s="551">
        <f t="shared" si="217"/>
        <v>49.301820739788262</v>
      </c>
      <c r="DA215" s="553">
        <f>CZ215/PI()*SQRT('Hilfstabellen_Mat&amp;Bem'!f.Rd.3/'Hilfstabellen_Mat&amp;Bem'!$BD$30)</f>
        <v>0.78466284741678272</v>
      </c>
      <c r="DB215" s="553">
        <f>0.5*(1+'Hilfstabellen_Mat&amp;Bem'!$BD$31*(DA215-0.3)+DA215^2)</f>
        <v>0.83208103442894576</v>
      </c>
      <c r="DC215" s="550">
        <f t="shared" si="218"/>
        <v>0.90174416140567704</v>
      </c>
      <c r="DE215" s="551">
        <f t="shared" si="219"/>
        <v>64284.439522449313</v>
      </c>
      <c r="DH215" s="547">
        <f>'Hilfstabellen_Mat&amp;Bem'!$J$62</f>
        <v>3.9</v>
      </c>
      <c r="DI215" s="546">
        <f t="shared" si="220"/>
        <v>267</v>
      </c>
      <c r="DJ215" s="551">
        <f t="shared" si="221"/>
        <v>50.599237075045849</v>
      </c>
      <c r="DK215" s="553">
        <f>DJ215/PI()*SQRT('Hilfstabellen_Mat&amp;Bem'!f.Rd.3/'Hilfstabellen_Mat&amp;Bem'!$BD$30)</f>
        <v>0.80531186971722435</v>
      </c>
      <c r="DL215" s="553">
        <f>0.5*(1+'Hilfstabellen_Mat&amp;Bem'!$BD$31*(DK215-0.3)+DK215^2)</f>
        <v>0.84952919723958709</v>
      </c>
      <c r="DM215" s="550">
        <f t="shared" si="222"/>
        <v>0.89283033209878793</v>
      </c>
      <c r="DO215" s="551">
        <f t="shared" si="223"/>
        <v>63648.981544990493</v>
      </c>
      <c r="DR215" s="547">
        <f>'Hilfstabellen_Mat&amp;Bem'!$J$63</f>
        <v>4</v>
      </c>
      <c r="DS215" s="546">
        <f t="shared" si="224"/>
        <v>267</v>
      </c>
      <c r="DT215" s="551">
        <f t="shared" si="225"/>
        <v>51.896653410303436</v>
      </c>
      <c r="DU215" s="553">
        <f>DT215/PI()*SQRT('Hilfstabellen_Mat&amp;Bem'!f.Rd.3/'Hilfstabellen_Mat&amp;Bem'!$BD$30)</f>
        <v>0.82596089201766609</v>
      </c>
      <c r="DV215" s="553">
        <f>0.5*(1+'Hilfstabellen_Mat&amp;Bem'!$BD$31*(DU215-0.3)+DU215^2)</f>
        <v>0.86740374217219274</v>
      </c>
      <c r="DW215" s="550">
        <f t="shared" si="226"/>
        <v>0.88314664757127948</v>
      </c>
      <c r="DY215" s="551">
        <f t="shared" si="227"/>
        <v>62958.641358708941</v>
      </c>
      <c r="EB215" s="547">
        <f>'Hilfstabellen_Mat&amp;Bem'!$J$64</f>
        <v>4.0999999999999996</v>
      </c>
      <c r="EC215" s="546">
        <f t="shared" si="228"/>
        <v>267</v>
      </c>
      <c r="ED215" s="551">
        <f t="shared" si="229"/>
        <v>53.194069745561023</v>
      </c>
      <c r="EE215" s="553">
        <f>ED215/PI()*SQRT('Hilfstabellen_Mat&amp;Bem'!f.Rd.3/'Hilfstabellen_Mat&amp;Bem'!$BD$30)</f>
        <v>0.84660991431810761</v>
      </c>
      <c r="EF215" s="553">
        <f>0.5*(1+'Hilfstabellen_Mat&amp;Bem'!$BD$31*(EE215-0.3)+EE215^2)</f>
        <v>0.88570466922676216</v>
      </c>
      <c r="EG215" s="550">
        <f t="shared" si="230"/>
        <v>0.87264313058546117</v>
      </c>
      <c r="EI215" s="551">
        <f t="shared" si="231"/>
        <v>62209.856136306938</v>
      </c>
      <c r="EL215" s="547">
        <f>'Hilfstabellen_Mat&amp;Bem'!$J$65</f>
        <v>4.2</v>
      </c>
      <c r="EM215" s="546">
        <f t="shared" si="232"/>
        <v>267</v>
      </c>
      <c r="EN215" s="551">
        <f t="shared" si="233"/>
        <v>54.491486080818603</v>
      </c>
      <c r="EO215" s="553">
        <f>EN215/PI()*SQRT('Hilfstabellen_Mat&amp;Bem'!f.Rd.3/'Hilfstabellen_Mat&amp;Bem'!$BD$30)</f>
        <v>0.86725893661854914</v>
      </c>
      <c r="EP215" s="553">
        <f>0.5*(1+'Hilfstabellen_Mat&amp;Bem'!$BD$31*(EO215-0.3)+EO215^2)</f>
        <v>0.9044319784032957</v>
      </c>
      <c r="EQ215" s="550">
        <f t="shared" si="234"/>
        <v>0.86128019920920385</v>
      </c>
      <c r="ES215" s="551">
        <f t="shared" si="235"/>
        <v>61399.804121424932</v>
      </c>
    </row>
    <row r="216" spans="3:149">
      <c r="C216" s="546">
        <v>268</v>
      </c>
      <c r="D216" s="551">
        <f t="shared" si="190"/>
        <v>36.192106426812359</v>
      </c>
      <c r="E216" s="553">
        <f>$D216/PI()*SQRT('Hilfstabellen_Mat&amp;Bem'!f.Rd.3/'Hilfstabellen_Mat&amp;Bem'!$BD$30)</f>
        <v>0.57601526387351409</v>
      </c>
      <c r="F216" s="553">
        <f>0.5*(1+'Hilfstabellen_Mat&amp;Bem'!$BD$31*($E216-0.3)+$E216^2)</f>
        <v>0.67969755530131271</v>
      </c>
      <c r="G216" s="550">
        <f t="shared" si="191"/>
        <v>0.96105493012045529</v>
      </c>
      <c r="I216" s="551">
        <f t="shared" si="236"/>
        <v>69026.809300971581</v>
      </c>
      <c r="M216" s="546">
        <f t="shared" si="192"/>
        <v>268</v>
      </c>
      <c r="N216" s="551">
        <f t="shared" si="182"/>
        <v>37.484681656341373</v>
      </c>
      <c r="O216" s="553">
        <f>$N216/PI()*SQRT('Hilfstabellen_Mat&amp;Bem'!f.Rd.3/'Hilfstabellen_Mat&amp;Bem'!$BD$30)</f>
        <v>0.59658723758328247</v>
      </c>
      <c r="P216" s="553">
        <f>0.5*(1+'Hilfstabellen_Mat&amp;Bem'!$BD$31*($O216-0.3)+$O216^2)</f>
        <v>0.69278752790279019</v>
      </c>
      <c r="Q216" s="550">
        <f t="shared" si="183"/>
        <v>0.95695781794130108</v>
      </c>
      <c r="S216" s="551">
        <f t="shared" si="237"/>
        <v>68732.538315816011</v>
      </c>
      <c r="W216" s="546">
        <f t="shared" si="193"/>
        <v>268</v>
      </c>
      <c r="X216" s="551">
        <f t="shared" si="184"/>
        <v>38.777256885870386</v>
      </c>
      <c r="Y216" s="553">
        <f>$X216/PI()*SQRT('Hilfstabellen_Mat&amp;Bem'!f.Rd.3/'Hilfstabellen_Mat&amp;Bem'!$BD$30)</f>
        <v>0.61715921129305085</v>
      </c>
      <c r="Z216" s="553">
        <f>0.5*(1+'Hilfstabellen_Mat&amp;Bem'!$BD$31*($Y216-0.3)+$Y216^2)</f>
        <v>0.70630070660658273</v>
      </c>
      <c r="AA216" s="550">
        <f t="shared" si="185"/>
        <v>0.95258427746852414</v>
      </c>
      <c r="AC216" s="551">
        <f t="shared" si="238"/>
        <v>68418.413144899285</v>
      </c>
      <c r="AG216" s="546">
        <f t="shared" si="194"/>
        <v>268</v>
      </c>
      <c r="AH216" s="551">
        <f t="shared" si="186"/>
        <v>40.069832115399393</v>
      </c>
      <c r="AI216" s="553">
        <f>$AH216/PI()*SQRT('Hilfstabellen_Mat&amp;Bem'!f.Rd.3/'Hilfstabellen_Mat&amp;Bem'!$BD$30)</f>
        <v>0.63773118500281911</v>
      </c>
      <c r="AJ216" s="553">
        <f>0.5*(1+'Hilfstabellen_Mat&amp;Bem'!$BD$31*($AI216-0.3)+$AI216^2)</f>
        <v>0.72023709141269088</v>
      </c>
      <c r="AK216" s="550">
        <f t="shared" si="187"/>
        <v>0.94790192540022433</v>
      </c>
      <c r="AM216" s="551">
        <f t="shared" si="239"/>
        <v>68082.107889945706</v>
      </c>
      <c r="AQ216" s="546">
        <f t="shared" si="195"/>
        <v>268</v>
      </c>
      <c r="AR216" s="551">
        <f t="shared" si="188"/>
        <v>41.362407344928414</v>
      </c>
      <c r="AS216" s="553">
        <f>$AR216/PI()*SQRT('Hilfstabellen_Mat&amp;Bem'!f.Rd.3/'Hilfstabellen_Mat&amp;Bem'!$BD$30)</f>
        <v>0.6583031587125876</v>
      </c>
      <c r="AT216" s="553">
        <f>0.5*(1+'Hilfstabellen_Mat&amp;Bem'!$BD$31*($AS216-0.3)+$AS216^2)</f>
        <v>0.73459668232111452</v>
      </c>
      <c r="AU216" s="550">
        <f t="shared" si="189"/>
        <v>0.9428747016807012</v>
      </c>
      <c r="AW216" s="551">
        <f t="shared" si="240"/>
        <v>67721.032573514676</v>
      </c>
      <c r="AZ216" s="547">
        <f>'Hilfstabellen_Mat&amp;Bem'!$J$56</f>
        <v>3.3</v>
      </c>
      <c r="BA216" s="546">
        <f t="shared" si="196"/>
        <v>268</v>
      </c>
      <c r="BB216" s="551">
        <f t="shared" si="197"/>
        <v>42.654982574457421</v>
      </c>
      <c r="BC216" s="553">
        <f>BB216/PI()*SQRT('Hilfstabellen_Mat&amp;Bem'!f.Rd.3/'Hilfstabellen_Mat&amp;Bem'!$BD$30)</f>
        <v>0.67887513242235586</v>
      </c>
      <c r="BD216" s="553">
        <f>0.5*(1+'Hilfstabellen_Mat&amp;Bem'!$BD$31*(BC216-0.3)+BC216^2)</f>
        <v>0.74937947933185345</v>
      </c>
      <c r="BE216" s="550">
        <f t="shared" si="198"/>
        <v>0.93746260898092992</v>
      </c>
      <c r="BG216" s="551">
        <f t="shared" si="199"/>
        <v>67332.314427446312</v>
      </c>
      <c r="BJ216" s="547">
        <f>'Hilfstabellen_Mat&amp;Bem'!$J$57</f>
        <v>3.4</v>
      </c>
      <c r="BK216" s="546">
        <f t="shared" si="200"/>
        <v>268</v>
      </c>
      <c r="BL216" s="551">
        <f t="shared" si="201"/>
        <v>43.947557803986435</v>
      </c>
      <c r="BM216" s="553">
        <f>BL216/PI()*SQRT('Hilfstabellen_Mat&amp;Bem'!f.Rd.3/'Hilfstabellen_Mat&amp;Bem'!$BD$30)</f>
        <v>0.69944710613212424</v>
      </c>
      <c r="BN216" s="553">
        <f>0.5*(1+'Hilfstabellen_Mat&amp;Bem'!$BD$31*(BM216-0.3)+BM216^2)</f>
        <v>0.76458548244490776</v>
      </c>
      <c r="BO216" s="550">
        <f t="shared" si="202"/>
        <v>0.93162154379932482</v>
      </c>
      <c r="BQ216" s="551">
        <f t="shared" si="203"/>
        <v>66912.785761842708</v>
      </c>
      <c r="BT216" s="547">
        <f>'Hilfstabellen_Mat&amp;Bem'!$J$58</f>
        <v>3.5</v>
      </c>
      <c r="BU216" s="546">
        <f t="shared" si="204"/>
        <v>268</v>
      </c>
      <c r="BV216" s="551">
        <f t="shared" si="205"/>
        <v>45.240133033515448</v>
      </c>
      <c r="BW216" s="553">
        <f>BV216/PI()*SQRT('Hilfstabellen_Mat&amp;Bem'!f.Rd.3/'Hilfstabellen_Mat&amp;Bem'!$BD$30)</f>
        <v>0.72001907984189262</v>
      </c>
      <c r="BX216" s="553">
        <f>0.5*(1+'Hilfstabellen_Mat&amp;Bem'!$BD$31*(BW216-0.3)+BW216^2)</f>
        <v>0.78021469166027746</v>
      </c>
      <c r="BY216" s="550">
        <f t="shared" si="206"/>
        <v>0.92530328456028077</v>
      </c>
      <c r="CA216" s="551">
        <f t="shared" si="207"/>
        <v>66458.983110257599</v>
      </c>
      <c r="CD216" s="547">
        <f>'Hilfstabellen_Mat&amp;Bem'!$J$59</f>
        <v>3.6</v>
      </c>
      <c r="CE216" s="546">
        <f t="shared" si="208"/>
        <v>268</v>
      </c>
      <c r="CF216" s="551">
        <f t="shared" si="209"/>
        <v>46.532708263044462</v>
      </c>
      <c r="CG216" s="553">
        <f>CF216/PI()*SQRT('Hilfstabellen_Mat&amp;Bem'!f.Rd.3/'Hilfstabellen_Mat&amp;Bem'!$BD$30)</f>
        <v>0.74059105355166099</v>
      </c>
      <c r="CH216" s="553">
        <f>0.5*(1+'Hilfstabellen_Mat&amp;Bem'!$BD$31*(CG216-0.3)+CG216^2)</f>
        <v>0.79626710697796277</v>
      </c>
      <c r="CI216" s="550">
        <f t="shared" si="210"/>
        <v>0.91845572581348345</v>
      </c>
      <c r="CK216" s="551">
        <f t="shared" si="211"/>
        <v>65967.164050827632</v>
      </c>
      <c r="CN216" s="547">
        <f>'Hilfstabellen_Mat&amp;Bem'!$J$60</f>
        <v>3.7</v>
      </c>
      <c r="CO216" s="546">
        <f t="shared" si="212"/>
        <v>268</v>
      </c>
      <c r="CP216" s="551">
        <f t="shared" si="213"/>
        <v>47.825283492573476</v>
      </c>
      <c r="CQ216" s="553">
        <f>CP216/PI()*SQRT('Hilfstabellen_Mat&amp;Bem'!f.Rd.3/'Hilfstabellen_Mat&amp;Bem'!$BD$30)</f>
        <v>0.76116302726142937</v>
      </c>
      <c r="CR216" s="553">
        <f>0.5*(1+'Hilfstabellen_Mat&amp;Bem'!$BD$31*(CQ216-0.3)+CQ216^2)</f>
        <v>0.81274272839796313</v>
      </c>
      <c r="CS216" s="550">
        <f t="shared" si="214"/>
        <v>0.91102347338666145</v>
      </c>
      <c r="CU216" s="551">
        <f t="shared" si="215"/>
        <v>65433.349952523575</v>
      </c>
      <c r="CX216" s="547">
        <f>'Hilfstabellen_Mat&amp;Bem'!$J$61</f>
        <v>3.8</v>
      </c>
      <c r="CY216" s="546">
        <f t="shared" si="216"/>
        <v>268</v>
      </c>
      <c r="CZ216" s="551">
        <f t="shared" si="217"/>
        <v>49.11785872210249</v>
      </c>
      <c r="DA216" s="553">
        <f>CZ216/PI()*SQRT('Hilfstabellen_Mat&amp;Bem'!f.Rd.3/'Hilfstabellen_Mat&amp;Bem'!$BD$30)</f>
        <v>0.78173500097119775</v>
      </c>
      <c r="DB216" s="553">
        <f>0.5*(1+'Hilfstabellen_Mat&amp;Bem'!$BD$31*(DA216-0.3)+DA216^2)</f>
        <v>0.82964155592027922</v>
      </c>
      <c r="DC216" s="550">
        <f t="shared" si="218"/>
        <v>0.90294893805153409</v>
      </c>
      <c r="DE216" s="551">
        <f t="shared" si="219"/>
        <v>64853.404526613383</v>
      </c>
      <c r="DH216" s="547">
        <f>'Hilfstabellen_Mat&amp;Bem'!$J$62</f>
        <v>3.9</v>
      </c>
      <c r="DI216" s="546">
        <f t="shared" si="220"/>
        <v>268</v>
      </c>
      <c r="DJ216" s="551">
        <f t="shared" si="221"/>
        <v>50.410433951631497</v>
      </c>
      <c r="DK216" s="553">
        <f>DJ216/PI()*SQRT('Hilfstabellen_Mat&amp;Bem'!f.Rd.3/'Hilfstabellen_Mat&amp;Bem'!$BD$30)</f>
        <v>0.8023069746809659</v>
      </c>
      <c r="DL216" s="553">
        <f>0.5*(1+'Hilfstabellen_Mat&amp;Bem'!$BD$31*(DK216-0.3)+DK216^2)</f>
        <v>0.84696358954491036</v>
      </c>
      <c r="DM216" s="550">
        <f t="shared" si="222"/>
        <v>0.89417407542424265</v>
      </c>
      <c r="DO216" s="551">
        <f t="shared" si="223"/>
        <v>64223.158793270806</v>
      </c>
      <c r="DR216" s="547">
        <f>'Hilfstabellen_Mat&amp;Bem'!$J$63</f>
        <v>4</v>
      </c>
      <c r="DS216" s="546">
        <f t="shared" si="224"/>
        <v>268</v>
      </c>
      <c r="DT216" s="551">
        <f t="shared" si="225"/>
        <v>51.703009181160517</v>
      </c>
      <c r="DU216" s="553">
        <f>DT216/PI()*SQRT('Hilfstabellen_Mat&amp;Bem'!f.Rd.3/'Hilfstabellen_Mat&amp;Bem'!$BD$30)</f>
        <v>0.82287894839073461</v>
      </c>
      <c r="DV216" s="553">
        <f>0.5*(1+'Hilfstabellen_Mat&amp;Bem'!$BD$31*(DU216-0.3)+DU216^2)</f>
        <v>0.86470882927185744</v>
      </c>
      <c r="DW216" s="550">
        <f t="shared" si="226"/>
        <v>0.88464290260030765</v>
      </c>
      <c r="DY216" s="551">
        <f t="shared" si="227"/>
        <v>63538.591836364496</v>
      </c>
      <c r="EB216" s="547">
        <f>'Hilfstabellen_Mat&amp;Bem'!$J$64</f>
        <v>4.0999999999999996</v>
      </c>
      <c r="EC216" s="546">
        <f t="shared" si="228"/>
        <v>268</v>
      </c>
      <c r="ED216" s="551">
        <f t="shared" si="229"/>
        <v>52.995584410689524</v>
      </c>
      <c r="EE216" s="553">
        <f>ED216/PI()*SQRT('Hilfstabellen_Mat&amp;Bem'!f.Rd.3/'Hilfstabellen_Mat&amp;Bem'!$BD$30)</f>
        <v>0.84345092210050288</v>
      </c>
      <c r="EF216" s="553">
        <f>0.5*(1+'Hilfstabellen_Mat&amp;Bem'!$BD$31*(EE216-0.3)+EE216^2)</f>
        <v>0.88287727510111946</v>
      </c>
      <c r="EG216" s="550">
        <f t="shared" si="230"/>
        <v>0.87430485843754213</v>
      </c>
      <c r="EI216" s="551">
        <f t="shared" si="231"/>
        <v>62796.072152418026</v>
      </c>
      <c r="EL216" s="547">
        <f>'Hilfstabellen_Mat&amp;Bem'!$J$65</f>
        <v>4.2</v>
      </c>
      <c r="EM216" s="546">
        <f t="shared" si="232"/>
        <v>268</v>
      </c>
      <c r="EN216" s="551">
        <f t="shared" si="233"/>
        <v>54.288159640218538</v>
      </c>
      <c r="EO216" s="553">
        <f>EN216/PI()*SQRT('Hilfstabellen_Mat&amp;Bem'!f.Rd.3/'Hilfstabellen_Mat&amp;Bem'!$BD$30)</f>
        <v>0.86402289581027114</v>
      </c>
      <c r="EP216" s="553">
        <f>0.5*(1+'Hilfstabellen_Mat&amp;Bem'!$BD$31*(EO216-0.3)+EO216^2)</f>
        <v>0.90146892703269677</v>
      </c>
      <c r="EQ216" s="550">
        <f t="shared" si="234"/>
        <v>0.86311894683377777</v>
      </c>
      <c r="ES216" s="551">
        <f t="shared" si="235"/>
        <v>61992.655237389255</v>
      </c>
    </row>
    <row r="217" spans="3:149">
      <c r="C217" s="546">
        <v>269</v>
      </c>
      <c r="D217" s="551">
        <f t="shared" si="190"/>
        <v>36.057563280244281</v>
      </c>
      <c r="E217" s="553">
        <f>$D217/PI()*SQRT('Hilfstabellen_Mat&amp;Bem'!f.Rd.3/'Hilfstabellen_Mat&amp;Bem'!$BD$30)</f>
        <v>0.57387394318996943</v>
      </c>
      <c r="F217" s="553">
        <f>0.5*(1+'Hilfstabellen_Mat&amp;Bem'!$BD$31*($E217-0.3)+$E217^2)</f>
        <v>0.67835934849570056</v>
      </c>
      <c r="G217" s="550">
        <f t="shared" si="191"/>
        <v>0.96146670912895604</v>
      </c>
      <c r="I217" s="551">
        <f t="shared" si="236"/>
        <v>69572.692539280382</v>
      </c>
      <c r="M217" s="546">
        <f t="shared" si="192"/>
        <v>269</v>
      </c>
      <c r="N217" s="551">
        <f t="shared" si="182"/>
        <v>37.345333397395869</v>
      </c>
      <c r="O217" s="553">
        <f>$N217/PI()*SQRT('Hilfstabellen_Mat&amp;Bem'!f.Rd.3/'Hilfstabellen_Mat&amp;Bem'!$BD$30)</f>
        <v>0.59436944116103985</v>
      </c>
      <c r="P217" s="553">
        <f>0.5*(1+'Hilfstabellen_Mat&amp;Bem'!$BD$31*($O217-0.3)+$O217^2)</f>
        <v>0.69135598835109535</v>
      </c>
      <c r="Q217" s="550">
        <f t="shared" si="183"/>
        <v>0.95741226567379911</v>
      </c>
      <c r="S217" s="551">
        <f t="shared" si="237"/>
        <v>69279.308956421781</v>
      </c>
      <c r="W217" s="546">
        <f t="shared" si="193"/>
        <v>269</v>
      </c>
      <c r="X217" s="551">
        <f t="shared" si="184"/>
        <v>38.633103514547443</v>
      </c>
      <c r="Y217" s="553">
        <f>$X217/PI()*SQRT('Hilfstabellen_Mat&amp;Bem'!f.Rd.3/'Hilfstabellen_Mat&amp;Bem'!$BD$30)</f>
        <v>0.61486493913211016</v>
      </c>
      <c r="Z217" s="553">
        <f>0.5*(1+'Hilfstabellen_Mat&amp;Bem'!$BD$31*($Y217-0.3)+$Y217^2)</f>
        <v>0.70477269364357231</v>
      </c>
      <c r="AA217" s="550">
        <f t="shared" si="185"/>
        <v>0.95308670721743671</v>
      </c>
      <c r="AC217" s="551">
        <f t="shared" si="238"/>
        <v>68966.307220960938</v>
      </c>
      <c r="AG217" s="546">
        <f t="shared" si="194"/>
        <v>269</v>
      </c>
      <c r="AH217" s="551">
        <f t="shared" si="186"/>
        <v>39.920873631699031</v>
      </c>
      <c r="AI217" s="553">
        <f>$AH217/PI()*SQRT('Hilfstabellen_Mat&amp;Bem'!f.Rd.3/'Hilfstabellen_Mat&amp;Bem'!$BD$30)</f>
        <v>0.63536043710318046</v>
      </c>
      <c r="AJ217" s="553">
        <f>0.5*(1+'Hilfstabellen_Mat&amp;Bem'!$BD$31*($AI217-0.3)+$AI217^2)</f>
        <v>0.71860946437313133</v>
      </c>
      <c r="AK217" s="550">
        <f t="shared" si="187"/>
        <v>0.94845839133786891</v>
      </c>
      <c r="AM217" s="551">
        <f t="shared" si="239"/>
        <v>68631.397655599532</v>
      </c>
      <c r="AQ217" s="546">
        <f t="shared" si="195"/>
        <v>269</v>
      </c>
      <c r="AR217" s="551">
        <f t="shared" si="188"/>
        <v>41.208643748850605</v>
      </c>
      <c r="AS217" s="553">
        <f>$AR217/PI()*SQRT('Hilfstabellen_Mat&amp;Bem'!f.Rd.3/'Hilfstabellen_Mat&amp;Bem'!$BD$30)</f>
        <v>0.65585593507425077</v>
      </c>
      <c r="AT217" s="553">
        <f>0.5*(1+'Hilfstabellen_Mat&amp;Bem'!$BD$31*($AS217-0.3)+$AS217^2)</f>
        <v>0.73286630053977253</v>
      </c>
      <c r="AU217" s="550">
        <f t="shared" si="189"/>
        <v>0.94349208527143036</v>
      </c>
      <c r="AW217" s="551">
        <f t="shared" si="240"/>
        <v>68272.030782325979</v>
      </c>
      <c r="AZ217" s="547">
        <f>'Hilfstabellen_Mat&amp;Bem'!$J$56</f>
        <v>3.3</v>
      </c>
      <c r="BA217" s="546">
        <f t="shared" si="196"/>
        <v>269</v>
      </c>
      <c r="BB217" s="551">
        <f t="shared" si="197"/>
        <v>42.496413866002193</v>
      </c>
      <c r="BC217" s="553">
        <f>BB217/PI()*SQRT('Hilfstabellen_Mat&amp;Bem'!f.Rd.3/'Hilfstabellen_Mat&amp;Bem'!$BD$30)</f>
        <v>0.67635143304532119</v>
      </c>
      <c r="BD217" s="553">
        <f>0.5*(1+'Hilfstabellen_Mat&amp;Bem'!$BD$31*(BC217-0.3)+BC217^2)</f>
        <v>0.74754320214349579</v>
      </c>
      <c r="BE217" s="550">
        <f t="shared" si="198"/>
        <v>0.9381487030875445</v>
      </c>
      <c r="BG217" s="551">
        <f t="shared" si="199"/>
        <v>67885.37830411781</v>
      </c>
      <c r="BJ217" s="547">
        <f>'Hilfstabellen_Mat&amp;Bem'!$J$57</f>
        <v>3.4</v>
      </c>
      <c r="BK217" s="546">
        <f t="shared" si="200"/>
        <v>269</v>
      </c>
      <c r="BL217" s="551">
        <f t="shared" si="201"/>
        <v>43.784183983153774</v>
      </c>
      <c r="BM217" s="553">
        <f>BL217/PI()*SQRT('Hilfstabellen_Mat&amp;Bem'!f.Rd.3/'Hilfstabellen_Mat&amp;Bem'!$BD$30)</f>
        <v>0.6968469310163915</v>
      </c>
      <c r="BN217" s="553">
        <f>0.5*(1+'Hilfstabellen_Mat&amp;Bem'!$BD$31*(BM217-0.3)+BM217^2)</f>
        <v>0.76264016918430133</v>
      </c>
      <c r="BO217" s="550">
        <f t="shared" si="202"/>
        <v>0.93238512637366056</v>
      </c>
      <c r="BQ217" s="551">
        <f t="shared" si="203"/>
        <v>67468.320129524451</v>
      </c>
      <c r="BT217" s="547">
        <f>'Hilfstabellen_Mat&amp;Bem'!$J$58</f>
        <v>3.5</v>
      </c>
      <c r="BU217" s="546">
        <f t="shared" si="204"/>
        <v>269</v>
      </c>
      <c r="BV217" s="551">
        <f t="shared" si="205"/>
        <v>45.071954100305355</v>
      </c>
      <c r="BW217" s="553">
        <f>BV217/PI()*SQRT('Hilfstabellen_Mat&amp;Bem'!f.Rd.3/'Hilfstabellen_Mat&amp;Bem'!$BD$30)</f>
        <v>0.71734242898746181</v>
      </c>
      <c r="BX217" s="553">
        <f>0.5*(1+'Hilfstabellen_Mat&amp;Bem'!$BD$31*(BW217-0.3)+BW217^2)</f>
        <v>0.77815720166218894</v>
      </c>
      <c r="BY217" s="550">
        <f t="shared" si="206"/>
        <v>0.9261541696530704</v>
      </c>
      <c r="CA217" s="551">
        <f t="shared" si="207"/>
        <v>67017.441870265829</v>
      </c>
      <c r="CD217" s="547">
        <f>'Hilfstabellen_Mat&amp;Bem'!$J$59</f>
        <v>3.6</v>
      </c>
      <c r="CE217" s="546">
        <f t="shared" si="208"/>
        <v>269</v>
      </c>
      <c r="CF217" s="551">
        <f t="shared" si="209"/>
        <v>46.359724217456936</v>
      </c>
      <c r="CG217" s="553">
        <f>CF217/PI()*SQRT('Hilfstabellen_Mat&amp;Bem'!f.Rd.3/'Hilfstabellen_Mat&amp;Bem'!$BD$30)</f>
        <v>0.73783792695853212</v>
      </c>
      <c r="CH217" s="553">
        <f>0.5*(1+'Hilfstabellen_Mat&amp;Bem'!$BD$31*(CG217-0.3)+CG217^2)</f>
        <v>0.79409429957715871</v>
      </c>
      <c r="CI217" s="550">
        <f t="shared" si="210"/>
        <v>0.91940477438072965</v>
      </c>
      <c r="CK217" s="551">
        <f t="shared" si="211"/>
        <v>66529.048878963978</v>
      </c>
      <c r="CN217" s="547">
        <f>'Hilfstabellen_Mat&amp;Bem'!$J$60</f>
        <v>3.7</v>
      </c>
      <c r="CO217" s="546">
        <f t="shared" si="212"/>
        <v>269</v>
      </c>
      <c r="CP217" s="551">
        <f t="shared" si="213"/>
        <v>47.647494334608517</v>
      </c>
      <c r="CQ217" s="553">
        <f>CP217/PI()*SQRT('Hilfstabellen_Mat&amp;Bem'!f.Rd.3/'Hilfstabellen_Mat&amp;Bem'!$BD$30)</f>
        <v>0.75833342492960254</v>
      </c>
      <c r="CR217" s="553">
        <f>0.5*(1+'Hilfstabellen_Mat&amp;Bem'!$BD$31*(CQ217-0.3)+CQ217^2)</f>
        <v>0.81045146292921066</v>
      </c>
      <c r="CS217" s="550">
        <f t="shared" si="214"/>
        <v>0.91208254031857483</v>
      </c>
      <c r="CU217" s="551">
        <f t="shared" si="215"/>
        <v>65999.204699992391</v>
      </c>
      <c r="CX217" s="547">
        <f>'Hilfstabellen_Mat&amp;Bem'!$J$61</f>
        <v>3.8</v>
      </c>
      <c r="CY217" s="546">
        <f t="shared" si="216"/>
        <v>269</v>
      </c>
      <c r="CZ217" s="551">
        <f t="shared" si="217"/>
        <v>48.935264451760098</v>
      </c>
      <c r="DA217" s="553">
        <f>CZ217/PI()*SQRT('Hilfstabellen_Mat&amp;Bem'!f.Rd.3/'Hilfstabellen_Mat&amp;Bem'!$BD$30)</f>
        <v>0.77882892290067274</v>
      </c>
      <c r="DB217" s="553">
        <f>0.5*(1+'Hilfstabellen_Mat&amp;Bem'!$BD$31*(DA217-0.3)+DA217^2)</f>
        <v>0.82722869171834468</v>
      </c>
      <c r="DC217" s="550">
        <f t="shared" si="218"/>
        <v>0.90413072593374932</v>
      </c>
      <c r="DE217" s="551">
        <f t="shared" si="219"/>
        <v>65423.803459292038</v>
      </c>
      <c r="DH217" s="547">
        <f>'Hilfstabellen_Mat&amp;Bem'!$J$62</f>
        <v>3.9</v>
      </c>
      <c r="DI217" s="546">
        <f t="shared" si="220"/>
        <v>269</v>
      </c>
      <c r="DJ217" s="551">
        <f t="shared" si="221"/>
        <v>50.223034568911679</v>
      </c>
      <c r="DK217" s="553">
        <f>DJ217/PI()*SQRT('Hilfstabellen_Mat&amp;Bem'!f.Rd.3/'Hilfstabellen_Mat&amp;Bem'!$BD$30)</f>
        <v>0.79932442087174316</v>
      </c>
      <c r="DL217" s="553">
        <f>0.5*(1+'Hilfstabellen_Mat&amp;Bem'!$BD$31*(DK217-0.3)+DK217^2)</f>
        <v>0.84442598594456086</v>
      </c>
      <c r="DM217" s="550">
        <f t="shared" si="222"/>
        <v>0.89549186164836869</v>
      </c>
      <c r="DO217" s="551">
        <f t="shared" si="223"/>
        <v>64798.686600737608</v>
      </c>
      <c r="DR217" s="547">
        <f>'Hilfstabellen_Mat&amp;Bem'!$J$63</f>
        <v>4</v>
      </c>
      <c r="DS217" s="546">
        <f t="shared" si="224"/>
        <v>269</v>
      </c>
      <c r="DT217" s="551">
        <f t="shared" si="225"/>
        <v>51.51080468606326</v>
      </c>
      <c r="DU217" s="553">
        <f>DT217/PI()*SQRT('Hilfstabellen_Mat&amp;Bem'!f.Rd.3/'Hilfstabellen_Mat&amp;Bem'!$BD$30)</f>
        <v>0.81981991884281347</v>
      </c>
      <c r="DV217" s="553">
        <f>0.5*(1+'Hilfstabellen_Mat&amp;Bem'!$BD$31*(DU217-0.3)+DU217^2)</f>
        <v>0.86204334560785933</v>
      </c>
      <c r="DW217" s="550">
        <f t="shared" si="226"/>
        <v>0.88611010766790643</v>
      </c>
      <c r="DY217" s="551">
        <f t="shared" si="227"/>
        <v>64119.813500957374</v>
      </c>
      <c r="EB217" s="547">
        <f>'Hilfstabellen_Mat&amp;Bem'!$J$64</f>
        <v>4.0999999999999996</v>
      </c>
      <c r="EC217" s="546">
        <f t="shared" si="228"/>
        <v>269</v>
      </c>
      <c r="ED217" s="551">
        <f t="shared" si="229"/>
        <v>52.798574803214848</v>
      </c>
      <c r="EE217" s="553">
        <f>ED217/PI()*SQRT('Hilfstabellen_Mat&amp;Bem'!f.Rd.3/'Hilfstabellen_Mat&amp;Bem'!$BD$30)</f>
        <v>0.84031541681388389</v>
      </c>
      <c r="EF217" s="553">
        <f>0.5*(1+'Hilfstabellen_Mat&amp;Bem'!$BD$31*(EE217-0.3)+EE217^2)</f>
        <v>0.88008077070823987</v>
      </c>
      <c r="EG217" s="550">
        <f t="shared" si="230"/>
        <v>0.87593443376604074</v>
      </c>
      <c r="EI217" s="551">
        <f t="shared" si="231"/>
        <v>63383.491561744471</v>
      </c>
      <c r="EL217" s="547">
        <f>'Hilfstabellen_Mat&amp;Bem'!$J$65</f>
        <v>4.2</v>
      </c>
      <c r="EM217" s="546">
        <f t="shared" si="232"/>
        <v>269</v>
      </c>
      <c r="EN217" s="551">
        <f t="shared" si="233"/>
        <v>54.086344920366422</v>
      </c>
      <c r="EO217" s="553">
        <f>EN217/PI()*SQRT('Hilfstabellen_Mat&amp;Bem'!f.Rd.3/'Hilfstabellen_Mat&amp;Bem'!$BD$30)</f>
        <v>0.8608109147849542</v>
      </c>
      <c r="EP217" s="553">
        <f>0.5*(1+'Hilfstabellen_Mat&amp;Bem'!$BD$31*(EO217-0.3)+EO217^2)</f>
        <v>0.89853826124570257</v>
      </c>
      <c r="EQ217" s="550">
        <f t="shared" si="234"/>
        <v>0.86492258409827549</v>
      </c>
      <c r="ES217" s="551">
        <f t="shared" si="235"/>
        <v>62586.66310793531</v>
      </c>
    </row>
    <row r="218" spans="3:149">
      <c r="C218" s="546">
        <v>270</v>
      </c>
      <c r="D218" s="551">
        <f t="shared" si="190"/>
        <v>35.924016749576708</v>
      </c>
      <c r="E218" s="553">
        <f>$D218/PI()*SQRT('Hilfstabellen_Mat&amp;Bem'!f.Rd.3/'Hilfstabellen_Mat&amp;Bem'!$BD$30)</f>
        <v>0.57174848414111767</v>
      </c>
      <c r="F218" s="553">
        <f>0.5*(1+'Hilfstabellen_Mat&amp;Bem'!$BD$31*($E218-0.3)+$E218^2)</f>
        <v>0.67703558876588876</v>
      </c>
      <c r="G218" s="550">
        <f t="shared" si="191"/>
        <v>0.96187282000449648</v>
      </c>
      <c r="I218" s="551">
        <f t="shared" si="236"/>
        <v>70120.528578327794</v>
      </c>
      <c r="M218" s="546">
        <f t="shared" si="192"/>
        <v>270</v>
      </c>
      <c r="N218" s="551">
        <f t="shared" si="182"/>
        <v>37.207017347775881</v>
      </c>
      <c r="O218" s="553">
        <f>$N218/PI()*SQRT('Hilfstabellen_Mat&amp;Bem'!f.Rd.3/'Hilfstabellen_Mat&amp;Bem'!$BD$30)</f>
        <v>0.59216807286044337</v>
      </c>
      <c r="P218" s="553">
        <f>0.5*(1+'Hilfstabellen_Mat&amp;Bem'!$BD$31*($O218-0.3)+$O218^2)</f>
        <v>0.68993991690064793</v>
      </c>
      <c r="Q218" s="550">
        <f t="shared" si="183"/>
        <v>0.95786021082191408</v>
      </c>
      <c r="S218" s="551">
        <f t="shared" si="237"/>
        <v>69828.009368917541</v>
      </c>
      <c r="W218" s="546">
        <f t="shared" si="193"/>
        <v>270</v>
      </c>
      <c r="X218" s="551">
        <f t="shared" si="184"/>
        <v>38.490017945975048</v>
      </c>
      <c r="Y218" s="553">
        <f>$X218/PI()*SQRT('Hilfstabellen_Mat&amp;Bem'!f.Rd.3/'Hilfstabellen_Mat&amp;Bem'!$BD$30)</f>
        <v>0.61258766157976896</v>
      </c>
      <c r="Z218" s="553">
        <f>0.5*(1+'Hilfstabellen_Mat&amp;Bem'!$BD$31*($Y218-0.3)+$Y218^2)</f>
        <v>0.70326120463887321</v>
      </c>
      <c r="AA218" s="550">
        <f t="shared" si="185"/>
        <v>0.95358166712411119</v>
      </c>
      <c r="AC218" s="551">
        <f t="shared" si="238"/>
        <v>69516.103533347705</v>
      </c>
      <c r="AG218" s="546">
        <f t="shared" si="194"/>
        <v>270</v>
      </c>
      <c r="AH218" s="551">
        <f t="shared" si="186"/>
        <v>39.773018544174214</v>
      </c>
      <c r="AI218" s="553">
        <f>$AH218/PI()*SQRT('Hilfstabellen_Mat&amp;Bem'!f.Rd.3/'Hilfstabellen_Mat&amp;Bem'!$BD$30)</f>
        <v>0.63300725029909455</v>
      </c>
      <c r="AJ218" s="553">
        <f>0.5*(1+'Hilfstabellen_Mat&amp;Bem'!$BD$31*($AI218-0.3)+$AI218^2)</f>
        <v>0.71699945198056503</v>
      </c>
      <c r="AK218" s="550">
        <f t="shared" si="187"/>
        <v>0.94900626720818371</v>
      </c>
      <c r="AM218" s="551">
        <f t="shared" si="239"/>
        <v>69182.556879476586</v>
      </c>
      <c r="AQ218" s="546">
        <f t="shared" si="195"/>
        <v>270</v>
      </c>
      <c r="AR218" s="551">
        <f t="shared" si="188"/>
        <v>41.05601914237338</v>
      </c>
      <c r="AS218" s="553">
        <f>$AR218/PI()*SQRT('Hilfstabellen_Mat&amp;Bem'!f.Rd.3/'Hilfstabellen_Mat&amp;Bem'!$BD$30)</f>
        <v>0.65342683901842014</v>
      </c>
      <c r="AT218" s="553">
        <f>0.5*(1+'Hilfstabellen_Mat&amp;Bem'!$BD$31*($AS218-0.3)+$AS218^2)</f>
        <v>0.73115465892572318</v>
      </c>
      <c r="AU218" s="550">
        <f t="shared" si="189"/>
        <v>0.94409958375634717</v>
      </c>
      <c r="AW218" s="551">
        <f t="shared" si="240"/>
        <v>68824.859655837703</v>
      </c>
      <c r="AZ218" s="547">
        <f>'Hilfstabellen_Mat&amp;Bem'!$J$56</f>
        <v>3.3</v>
      </c>
      <c r="BA218" s="546">
        <f t="shared" si="196"/>
        <v>270</v>
      </c>
      <c r="BB218" s="551">
        <f t="shared" si="197"/>
        <v>42.339019740572553</v>
      </c>
      <c r="BC218" s="553">
        <f>BB218/PI()*SQRT('Hilfstabellen_Mat&amp;Bem'!f.Rd.3/'Hilfstabellen_Mat&amp;Bem'!$BD$30)</f>
        <v>0.67384642773774583</v>
      </c>
      <c r="BD218" s="553">
        <f>0.5*(1+'Hilfstabellen_Mat&amp;Bem'!$BD$31*(BC218-0.3)+BC218^2)</f>
        <v>0.74572682547434788</v>
      </c>
      <c r="BE218" s="550">
        <f t="shared" si="198"/>
        <v>0.93882341945011794</v>
      </c>
      <c r="BG218" s="551">
        <f t="shared" si="199"/>
        <v>68440.227277913596</v>
      </c>
      <c r="BJ218" s="547">
        <f>'Hilfstabellen_Mat&amp;Bem'!$J$57</f>
        <v>3.4</v>
      </c>
      <c r="BK218" s="546">
        <f t="shared" si="200"/>
        <v>270</v>
      </c>
      <c r="BL218" s="551">
        <f t="shared" si="201"/>
        <v>43.622020338771726</v>
      </c>
      <c r="BM218" s="553">
        <f>BL218/PI()*SQRT('Hilfstabellen_Mat&amp;Bem'!f.Rd.3/'Hilfstabellen_Mat&amp;Bem'!$BD$30)</f>
        <v>0.69426601645707153</v>
      </c>
      <c r="BN218" s="553">
        <f>0.5*(1+'Hilfstabellen_Mat&amp;Bem'!$BD$31*(BM218-0.3)+BM218^2)</f>
        <v>0.76071595162643901</v>
      </c>
      <c r="BO218" s="550">
        <f t="shared" si="202"/>
        <v>0.93313561859070893</v>
      </c>
      <c r="BQ218" s="551">
        <f t="shared" si="203"/>
        <v>68025.586595262677</v>
      </c>
      <c r="BT218" s="547">
        <f>'Hilfstabellen_Mat&amp;Bem'!$J$58</f>
        <v>3.5</v>
      </c>
      <c r="BU218" s="546">
        <f t="shared" si="204"/>
        <v>270</v>
      </c>
      <c r="BV218" s="551">
        <f t="shared" si="205"/>
        <v>44.905020936970892</v>
      </c>
      <c r="BW218" s="553">
        <f>BV218/PI()*SQRT('Hilfstabellen_Mat&amp;Bem'!f.Rd.3/'Hilfstabellen_Mat&amp;Bem'!$BD$30)</f>
        <v>0.71468560517639723</v>
      </c>
      <c r="BX218" s="553">
        <f>0.5*(1+'Hilfstabellen_Mat&amp;Bem'!$BD$31*(BW218-0.3)+BW218^2)</f>
        <v>0.77612203738199637</v>
      </c>
      <c r="BY218" s="550">
        <f t="shared" si="206"/>
        <v>0.92699001204304887</v>
      </c>
      <c r="CA218" s="551">
        <f t="shared" si="207"/>
        <v>67577.571877938259</v>
      </c>
      <c r="CD218" s="547">
        <f>'Hilfstabellen_Mat&amp;Bem'!$J$59</f>
        <v>3.6</v>
      </c>
      <c r="CE218" s="546">
        <f t="shared" si="208"/>
        <v>270</v>
      </c>
      <c r="CF218" s="551">
        <f t="shared" si="209"/>
        <v>46.188021535170058</v>
      </c>
      <c r="CG218" s="553">
        <f>CF218/PI()*SQRT('Hilfstabellen_Mat&amp;Bem'!f.Rd.3/'Hilfstabellen_Mat&amp;Bem'!$BD$30)</f>
        <v>0.73510519389572282</v>
      </c>
      <c r="CH218" s="553">
        <f>0.5*(1+'Hilfstabellen_Mat&amp;Bem'!$BD$31*(CG218-0.3)+CG218^2)</f>
        <v>0.79194508274102016</v>
      </c>
      <c r="CI218" s="550">
        <f t="shared" si="210"/>
        <v>0.92033657436610028</v>
      </c>
      <c r="CK218" s="551">
        <f t="shared" si="211"/>
        <v>67092.536271288714</v>
      </c>
      <c r="CN218" s="547">
        <f>'Hilfstabellen_Mat&amp;Bem'!$J$60</f>
        <v>3.7</v>
      </c>
      <c r="CO218" s="546">
        <f t="shared" si="212"/>
        <v>270</v>
      </c>
      <c r="CP218" s="551">
        <f t="shared" si="213"/>
        <v>47.471022133369232</v>
      </c>
      <c r="CQ218" s="553">
        <f>CP218/PI()*SQRT('Hilfstabellen_Mat&amp;Bem'!f.Rd.3/'Hilfstabellen_Mat&amp;Bem'!$BD$30)</f>
        <v>0.75552478261504852</v>
      </c>
      <c r="CR218" s="553">
        <f>0.5*(1+'Hilfstabellen_Mat&amp;Bem'!$BD$31*(CQ218-0.3)+CQ218^2)</f>
        <v>0.80818508770351061</v>
      </c>
      <c r="CS218" s="550">
        <f t="shared" si="214"/>
        <v>0.91312189611746508</v>
      </c>
      <c r="CU218" s="551">
        <f t="shared" si="215"/>
        <v>66566.586226963205</v>
      </c>
      <c r="CX218" s="547">
        <f>'Hilfstabellen_Mat&amp;Bem'!$J$61</f>
        <v>3.8</v>
      </c>
      <c r="CY218" s="546">
        <f t="shared" si="216"/>
        <v>270</v>
      </c>
      <c r="CZ218" s="551">
        <f t="shared" si="217"/>
        <v>48.754022731568398</v>
      </c>
      <c r="DA218" s="553">
        <f>CZ218/PI()*SQRT('Hilfstabellen_Mat&amp;Bem'!f.Rd.3/'Hilfstabellen_Mat&amp;Bem'!$BD$30)</f>
        <v>0.77594437133437411</v>
      </c>
      <c r="DB218" s="553">
        <f>0.5*(1+'Hilfstabellen_Mat&amp;Bem'!$BD$31*(DA218-0.3)+DA218^2)</f>
        <v>0.82484205226946727</v>
      </c>
      <c r="DC218" s="550">
        <f t="shared" si="218"/>
        <v>0.90529009713278707</v>
      </c>
      <c r="DE218" s="551">
        <f t="shared" si="219"/>
        <v>65995.648080980172</v>
      </c>
      <c r="DH218" s="547">
        <f>'Hilfstabellen_Mat&amp;Bem'!$J$62</f>
        <v>3.9</v>
      </c>
      <c r="DI218" s="546">
        <f t="shared" si="220"/>
        <v>270</v>
      </c>
      <c r="DJ218" s="551">
        <f t="shared" si="221"/>
        <v>50.037023329767564</v>
      </c>
      <c r="DK218" s="553">
        <f>DJ218/PI()*SQRT('Hilfstabellen_Mat&amp;Bem'!f.Rd.3/'Hilfstabellen_Mat&amp;Bem'!$BD$30)</f>
        <v>0.79636396005369958</v>
      </c>
      <c r="DL218" s="553">
        <f>0.5*(1+'Hilfstabellen_Mat&amp;Bem'!$BD$31*(DK218-0.3)+DK218^2)</f>
        <v>0.84191597643889027</v>
      </c>
      <c r="DM218" s="550">
        <f t="shared" si="222"/>
        <v>0.89678432041935363</v>
      </c>
      <c r="DO218" s="551">
        <f t="shared" si="223"/>
        <v>65375.576958570877</v>
      </c>
      <c r="DR218" s="547">
        <f>'Hilfstabellen_Mat&amp;Bem'!$J$63</f>
        <v>4</v>
      </c>
      <c r="DS218" s="546">
        <f t="shared" si="224"/>
        <v>270</v>
      </c>
      <c r="DT218" s="551">
        <f t="shared" si="225"/>
        <v>51.32002392796673</v>
      </c>
      <c r="DU218" s="553">
        <f>DT218/PI()*SQRT('Hilfstabellen_Mat&amp;Bem'!f.Rd.3/'Hilfstabellen_Mat&amp;Bem'!$BD$30)</f>
        <v>0.81678354877302528</v>
      </c>
      <c r="DV218" s="553">
        <f>0.5*(1+'Hilfstabellen_Mat&amp;Bem'!$BD$31*(DU218-0.3)+DU218^2)</f>
        <v>0.8594068602117797</v>
      </c>
      <c r="DW218" s="550">
        <f t="shared" si="226"/>
        <v>0.88754893868220897</v>
      </c>
      <c r="DY218" s="551">
        <f t="shared" si="227"/>
        <v>64702.317629933037</v>
      </c>
      <c r="EB218" s="547">
        <f>'Hilfstabellen_Mat&amp;Bem'!$J$64</f>
        <v>4.0999999999999996</v>
      </c>
      <c r="EC218" s="546">
        <f t="shared" si="228"/>
        <v>270</v>
      </c>
      <c r="ED218" s="551">
        <f t="shared" si="229"/>
        <v>52.603024526165896</v>
      </c>
      <c r="EE218" s="553">
        <f>ED218/PI()*SQRT('Hilfstabellen_Mat&amp;Bem'!f.Rd.3/'Hilfstabellen_Mat&amp;Bem'!$BD$30)</f>
        <v>0.83720313749235098</v>
      </c>
      <c r="EF218" s="553">
        <f>0.5*(1+'Hilfstabellen_Mat&amp;Bem'!$BD$31*(EE218-0.3)+EE218^2)</f>
        <v>0.87731470358813568</v>
      </c>
      <c r="EG218" s="550">
        <f t="shared" si="230"/>
        <v>0.87753255950655018</v>
      </c>
      <c r="EI218" s="551">
        <f t="shared" si="231"/>
        <v>63972.123588027505</v>
      </c>
      <c r="EL218" s="547">
        <f>'Hilfstabellen_Mat&amp;Bem'!$J$65</f>
        <v>4.2</v>
      </c>
      <c r="EM218" s="546">
        <f t="shared" si="232"/>
        <v>270</v>
      </c>
      <c r="EN218" s="551">
        <f t="shared" si="233"/>
        <v>53.886025124365069</v>
      </c>
      <c r="EO218" s="553">
        <f>EN218/PI()*SQRT('Hilfstabellen_Mat&amp;Bem'!f.Rd.3/'Hilfstabellen_Mat&amp;Bem'!$BD$30)</f>
        <v>0.85762272621167657</v>
      </c>
      <c r="EP218" s="553">
        <f>0.5*(1+'Hilfstabellen_Mat&amp;Bem'!$BD$31*(EO218-0.3)+EO218^2)</f>
        <v>0.8956395065679581</v>
      </c>
      <c r="EQ218" s="550">
        <f t="shared" si="234"/>
        <v>0.86669181327531264</v>
      </c>
      <c r="ES218" s="551">
        <f t="shared" si="235"/>
        <v>63181.833187770295</v>
      </c>
    </row>
    <row r="219" spans="3:149">
      <c r="C219" s="546">
        <v>271</v>
      </c>
      <c r="D219" s="551">
        <f t="shared" si="190"/>
        <v>35.791455802161302</v>
      </c>
      <c r="E219" s="553">
        <f>$D219/PI()*SQRT('Hilfstabellen_Mat&amp;Bem'!f.Rd.3/'Hilfstabellen_Mat&amp;Bem'!$BD$30)</f>
        <v>0.56963871113690689</v>
      </c>
      <c r="F219" s="553">
        <f>0.5*(1+'Hilfstabellen_Mat&amp;Bem'!$BD$31*($E219-0.3)+$E219^2)</f>
        <v>0.67572606616970354</v>
      </c>
      <c r="G219" s="550">
        <f t="shared" si="191"/>
        <v>0.96227338375058624</v>
      </c>
      <c r="I219" s="551">
        <f t="shared" si="236"/>
        <v>70670.319576026799</v>
      </c>
      <c r="M219" s="546">
        <f t="shared" si="192"/>
        <v>271</v>
      </c>
      <c r="N219" s="551">
        <f t="shared" si="182"/>
        <v>37.069722080809917</v>
      </c>
      <c r="O219" s="553">
        <f>$N219/PI()*SQRT('Hilfstabellen_Mat&amp;Bem'!f.Rd.3/'Hilfstabellen_Mat&amp;Bem'!$BD$30)</f>
        <v>0.58998295082036789</v>
      </c>
      <c r="P219" s="553">
        <f>0.5*(1+'Hilfstabellen_Mat&amp;Bem'!$BD$31*($O219-0.3)+$O219^2)</f>
        <v>0.68853908867037272</v>
      </c>
      <c r="Q219" s="550">
        <f t="shared" si="183"/>
        <v>0.9583017964129571</v>
      </c>
      <c r="S219" s="551">
        <f t="shared" si="237"/>
        <v>70378.642230363985</v>
      </c>
      <c r="W219" s="546">
        <f t="shared" si="193"/>
        <v>271</v>
      </c>
      <c r="X219" s="551">
        <f t="shared" si="184"/>
        <v>38.347988359458533</v>
      </c>
      <c r="Y219" s="553">
        <f>$X219/PI()*SQRT('Hilfstabellen_Mat&amp;Bem'!f.Rd.3/'Hilfstabellen_Mat&amp;Bem'!$BD$30)</f>
        <v>0.61032719050382889</v>
      </c>
      <c r="Z219" s="553">
        <f>0.5*(1+'Hilfstabellen_Mat&amp;Bem'!$BD$31*($Y219-0.3)+$Y219^2)</f>
        <v>0.70176599925934002</v>
      </c>
      <c r="AA219" s="550">
        <f t="shared" si="185"/>
        <v>0.95406932621560037</v>
      </c>
      <c r="AC219" s="551">
        <f t="shared" si="238"/>
        <v>70067.80538659991</v>
      </c>
      <c r="AG219" s="546">
        <f t="shared" si="194"/>
        <v>271</v>
      </c>
      <c r="AH219" s="551">
        <f t="shared" si="186"/>
        <v>39.626254638107156</v>
      </c>
      <c r="AI219" s="553">
        <f>$AH219/PI()*SQRT('Hilfstabellen_Mat&amp;Bem'!f.Rd.3/'Hilfstabellen_Mat&amp;Bem'!$BD$30)</f>
        <v>0.63067143018728988</v>
      </c>
      <c r="AJ219" s="553">
        <f>0.5*(1+'Hilfstabellen_Mat&amp;Bem'!$BD$31*($AI219-0.3)+$AI219^2)</f>
        <v>0.71540679793660533</v>
      </c>
      <c r="AK219" s="550">
        <f t="shared" si="187"/>
        <v>0.94954575259079355</v>
      </c>
      <c r="AM219" s="551">
        <f t="shared" si="239"/>
        <v>69735.589616020472</v>
      </c>
      <c r="AQ219" s="546">
        <f t="shared" si="195"/>
        <v>271</v>
      </c>
      <c r="AR219" s="551">
        <f t="shared" si="188"/>
        <v>40.904520916755772</v>
      </c>
      <c r="AS219" s="553">
        <f>$AR219/PI()*SQRT('Hilfstabellen_Mat&amp;Bem'!f.Rd.3/'Hilfstabellen_Mat&amp;Bem'!$BD$30)</f>
        <v>0.65101566987075077</v>
      </c>
      <c r="AT219" s="553">
        <f>0.5*(1+'Hilfstabellen_Mat&amp;Bem'!$BD$31*($AS219-0.3)+$AS219^2)</f>
        <v>0.72946148470216876</v>
      </c>
      <c r="AU219" s="550">
        <f t="shared" si="189"/>
        <v>0.94469743238061588</v>
      </c>
      <c r="AW219" s="551">
        <f t="shared" si="240"/>
        <v>69379.524131464816</v>
      </c>
      <c r="AZ219" s="547">
        <f>'Hilfstabellen_Mat&amp;Bem'!$J$56</f>
        <v>3.3</v>
      </c>
      <c r="BA219" s="546">
        <f t="shared" si="196"/>
        <v>271</v>
      </c>
      <c r="BB219" s="551">
        <f t="shared" si="197"/>
        <v>42.182787195404387</v>
      </c>
      <c r="BC219" s="553">
        <f>BB219/PI()*SQRT('Hilfstabellen_Mat&amp;Bem'!f.Rd.3/'Hilfstabellen_Mat&amp;Bem'!$BD$30)</f>
        <v>0.67135990955421176</v>
      </c>
      <c r="BD219" s="553">
        <f>0.5*(1+'Hilfstabellen_Mat&amp;Bem'!$BD$31*(BC219-0.3)+BC219^2)</f>
        <v>0.74393005955603031</v>
      </c>
      <c r="BE219" s="550">
        <f t="shared" si="198"/>
        <v>0.93948703456283045</v>
      </c>
      <c r="BG219" s="551">
        <f t="shared" si="199"/>
        <v>68996.867305328837</v>
      </c>
      <c r="BJ219" s="547">
        <f>'Hilfstabellen_Mat&amp;Bem'!$J$57</f>
        <v>3.4</v>
      </c>
      <c r="BK219" s="546">
        <f t="shared" si="200"/>
        <v>271</v>
      </c>
      <c r="BL219" s="551">
        <f t="shared" si="201"/>
        <v>43.46105347405301</v>
      </c>
      <c r="BM219" s="553">
        <f>BL219/PI()*SQRT('Hilfstabellen_Mat&amp;Bem'!f.Rd.3/'Hilfstabellen_Mat&amp;Bem'!$BD$30)</f>
        <v>0.69170414923767276</v>
      </c>
      <c r="BN219" s="553">
        <f>0.5*(1+'Hilfstabellen_Mat&amp;Bem'!$BD$31*(BM219-0.3)+BM219^2)</f>
        <v>0.75881252249818998</v>
      </c>
      <c r="BO219" s="550">
        <f t="shared" si="202"/>
        <v>0.93387334404238487</v>
      </c>
      <c r="BQ219" s="551">
        <f t="shared" si="203"/>
        <v>68584.592259816782</v>
      </c>
      <c r="BT219" s="547">
        <f>'Hilfstabellen_Mat&amp;Bem'!$J$58</f>
        <v>3.5</v>
      </c>
      <c r="BU219" s="546">
        <f t="shared" si="204"/>
        <v>271</v>
      </c>
      <c r="BV219" s="551">
        <f t="shared" si="205"/>
        <v>44.739319752701626</v>
      </c>
      <c r="BW219" s="553">
        <f>BV219/PI()*SQRT('Hilfstabellen_Mat&amp;Bem'!f.Rd.3/'Hilfstabellen_Mat&amp;Bem'!$BD$30)</f>
        <v>0.71204838892113376</v>
      </c>
      <c r="BX219" s="553">
        <f>0.5*(1+'Hilfstabellen_Mat&amp;Bem'!$BD$31*(BW219-0.3)+BW219^2)</f>
        <v>0.77410887352864777</v>
      </c>
      <c r="BY219" s="550">
        <f t="shared" si="206"/>
        <v>0.92781118815711272</v>
      </c>
      <c r="CA219" s="551">
        <f t="shared" si="207"/>
        <v>68139.381469446511</v>
      </c>
      <c r="CD219" s="547">
        <f>'Hilfstabellen_Mat&amp;Bem'!$J$59</f>
        <v>3.6</v>
      </c>
      <c r="CE219" s="546">
        <f t="shared" si="208"/>
        <v>271</v>
      </c>
      <c r="CF219" s="551">
        <f t="shared" si="209"/>
        <v>46.017586031350241</v>
      </c>
      <c r="CG219" s="553">
        <f>CF219/PI()*SQRT('Hilfstabellen_Mat&amp;Bem'!f.Rd.3/'Hilfstabellen_Mat&amp;Bem'!$BD$30)</f>
        <v>0.73239262860459453</v>
      </c>
      <c r="CH219" s="553">
        <f>0.5*(1+'Hilfstabellen_Mat&amp;Bem'!$BD$31*(CG219-0.3)+CG219^2)</f>
        <v>0.78981911264740345</v>
      </c>
      <c r="CI219" s="550">
        <f t="shared" si="210"/>
        <v>0.92125156004359798</v>
      </c>
      <c r="CK219" s="551">
        <f t="shared" si="211"/>
        <v>67657.635821161879</v>
      </c>
      <c r="CN219" s="547">
        <f>'Hilfstabellen_Mat&amp;Bem'!$J$60</f>
        <v>3.7</v>
      </c>
      <c r="CO219" s="546">
        <f t="shared" si="212"/>
        <v>271</v>
      </c>
      <c r="CP219" s="551">
        <f t="shared" si="213"/>
        <v>47.295852309998864</v>
      </c>
      <c r="CQ219" s="553">
        <f>CP219/PI()*SQRT('Hilfstabellen_Mat&amp;Bem'!f.Rd.3/'Hilfstabellen_Mat&amp;Bem'!$BD$30)</f>
        <v>0.75273686828805564</v>
      </c>
      <c r="CR219" s="553">
        <f>0.5*(1+'Hilfstabellen_Mat&amp;Bem'!$BD$31*(CQ219-0.3)+CQ219^2)</f>
        <v>0.80594323985445748</v>
      </c>
      <c r="CS219" s="550">
        <f t="shared" si="214"/>
        <v>0.91414203627752977</v>
      </c>
      <c r="CU219" s="551">
        <f t="shared" si="215"/>
        <v>67135.505286258063</v>
      </c>
      <c r="CX219" s="547">
        <f>'Hilfstabellen_Mat&amp;Bem'!$J$61</f>
        <v>3.8</v>
      </c>
      <c r="CY219" s="546">
        <f t="shared" si="216"/>
        <v>271</v>
      </c>
      <c r="CZ219" s="551">
        <f t="shared" si="217"/>
        <v>48.57411858864748</v>
      </c>
      <c r="DA219" s="553">
        <f>CZ219/PI()*SQRT('Hilfstabellen_Mat&amp;Bem'!f.Rd.3/'Hilfstabellen_Mat&amp;Bem'!$BD$30)</f>
        <v>0.77308110797151652</v>
      </c>
      <c r="DB219" s="553">
        <f>0.5*(1+'Hilfstabellen_Mat&amp;Bem'!$BD$31*(DA219-0.3)+DA219^2)</f>
        <v>0.82248125514980952</v>
      </c>
      <c r="DC219" s="550">
        <f t="shared" si="218"/>
        <v>0.90642760884733797</v>
      </c>
      <c r="DE219" s="551">
        <f t="shared" si="219"/>
        <v>66568.950021357348</v>
      </c>
      <c r="DH219" s="547">
        <f>'Hilfstabellen_Mat&amp;Bem'!$J$62</f>
        <v>3.9</v>
      </c>
      <c r="DI219" s="546">
        <f t="shared" si="220"/>
        <v>271</v>
      </c>
      <c r="DJ219" s="551">
        <f t="shared" si="221"/>
        <v>49.852384867296095</v>
      </c>
      <c r="DK219" s="553">
        <f>DJ219/PI()*SQRT('Hilfstabellen_Mat&amp;Bem'!f.Rd.3/'Hilfstabellen_Mat&amp;Bem'!$BD$30)</f>
        <v>0.79342534765497752</v>
      </c>
      <c r="DL219" s="553">
        <f>0.5*(1+'Hilfstabellen_Mat&amp;Bem'!$BD$31*(DK219-0.3)+DK219^2)</f>
        <v>0.83943315853345979</v>
      </c>
      <c r="DM219" s="550">
        <f t="shared" si="222"/>
        <v>0.89805206668609616</v>
      </c>
      <c r="DO219" s="551">
        <f t="shared" si="223"/>
        <v>65953.841829493584</v>
      </c>
      <c r="DR219" s="547">
        <f>'Hilfstabellen_Mat&amp;Bem'!$J$63</f>
        <v>4</v>
      </c>
      <c r="DS219" s="546">
        <f t="shared" si="224"/>
        <v>271</v>
      </c>
      <c r="DT219" s="551">
        <f t="shared" si="225"/>
        <v>51.130651145944718</v>
      </c>
      <c r="DU219" s="553">
        <f>DT219/PI()*SQRT('Hilfstabellen_Mat&amp;Bem'!f.Rd.3/'Hilfstabellen_Mat&amp;Bem'!$BD$30)</f>
        <v>0.81376958733843852</v>
      </c>
      <c r="DV219" s="553">
        <f>0.5*(1+'Hilfstabellen_Mat&amp;Bem'!$BD$31*(DU219-0.3)+DU219^2)</f>
        <v>0.85679895000540807</v>
      </c>
      <c r="DW219" s="550">
        <f t="shared" si="226"/>
        <v>0.88896005826607749</v>
      </c>
      <c r="DY219" s="551">
        <f t="shared" si="227"/>
        <v>65286.115639118994</v>
      </c>
      <c r="EB219" s="547">
        <f>'Hilfstabellen_Mat&amp;Bem'!$J$64</f>
        <v>4.0999999999999996</v>
      </c>
      <c r="EC219" s="546">
        <f t="shared" si="228"/>
        <v>271</v>
      </c>
      <c r="ED219" s="551">
        <f t="shared" si="229"/>
        <v>52.408917424593334</v>
      </c>
      <c r="EE219" s="553">
        <f>ED219/PI()*SQRT('Hilfstabellen_Mat&amp;Bem'!f.Rd.3/'Hilfstabellen_Mat&amp;Bem'!$BD$30)</f>
        <v>0.83411382702189951</v>
      </c>
      <c r="EF219" s="553">
        <f>0.5*(1+'Hilfstabellen_Mat&amp;Bem'!$BD$31*(EE219-0.3)+EE219^2)</f>
        <v>0.87457862956565469</v>
      </c>
      <c r="EG219" s="550">
        <f t="shared" si="230"/>
        <v>0.87909992829444861</v>
      </c>
      <c r="EI219" s="551">
        <f t="shared" si="231"/>
        <v>64561.977833872603</v>
      </c>
      <c r="EL219" s="547">
        <f>'Hilfstabellen_Mat&amp;Bem'!$J$65</f>
        <v>4.2</v>
      </c>
      <c r="EM219" s="546">
        <f t="shared" si="232"/>
        <v>271</v>
      </c>
      <c r="EN219" s="551">
        <f t="shared" si="233"/>
        <v>53.687183703241949</v>
      </c>
      <c r="EO219" s="553">
        <f>EN219/PI()*SQRT('Hilfstabellen_Mat&amp;Bem'!f.Rd.3/'Hilfstabellen_Mat&amp;Bem'!$BD$30)</f>
        <v>0.8544580667053604</v>
      </c>
      <c r="EP219" s="553">
        <f>0.5*(1+'Hilfstabellen_Mat&amp;Bem'!$BD$31*(EO219-0.3)+EO219^2)</f>
        <v>0.89277219721419909</v>
      </c>
      <c r="EQ219" s="550">
        <f t="shared" si="234"/>
        <v>0.86842733107477588</v>
      </c>
      <c r="ES219" s="551">
        <f t="shared" si="235"/>
        <v>63778.171621462614</v>
      </c>
    </row>
    <row r="220" spans="3:149">
      <c r="C220" s="546">
        <v>272</v>
      </c>
      <c r="D220" s="551">
        <f t="shared" si="190"/>
        <v>35.659869567594534</v>
      </c>
      <c r="E220" s="553">
        <f>$D220/PI()*SQRT('Hilfstabellen_Mat&amp;Bem'!f.Rd.3/'Hilfstabellen_Mat&amp;Bem'!$BD$30)</f>
        <v>0.56754445116949181</v>
      </c>
      <c r="F220" s="553">
        <f>0.5*(1+'Hilfstabellen_Mat&amp;Bem'!$BD$31*($E220-0.3)+$E220^2)</f>
        <v>0.67443057458511446</v>
      </c>
      <c r="G220" s="550">
        <f t="shared" si="191"/>
        <v>0.96266851798141373</v>
      </c>
      <c r="I220" s="551">
        <f t="shared" si="236"/>
        <v>71222.067634336912</v>
      </c>
      <c r="M220" s="546">
        <f t="shared" si="192"/>
        <v>272</v>
      </c>
      <c r="N220" s="551">
        <f t="shared" si="182"/>
        <v>36.933436337865764</v>
      </c>
      <c r="O220" s="553">
        <f>$N220/PI()*SQRT('Hilfstabellen_Mat&amp;Bem'!f.Rd.3/'Hilfstabellen_Mat&amp;Bem'!$BD$30)</f>
        <v>0.58781389585411659</v>
      </c>
      <c r="P220" s="553">
        <f>0.5*(1+'Hilfstabellen_Mat&amp;Bem'!$BD$31*($O220-0.3)+$O220^2)</f>
        <v>0.68715328287230293</v>
      </c>
      <c r="Q220" s="550">
        <f t="shared" si="183"/>
        <v>0.9587371613804202</v>
      </c>
      <c r="S220" s="551">
        <f t="shared" si="237"/>
        <v>70931.210147569014</v>
      </c>
      <c r="W220" s="546">
        <f t="shared" si="193"/>
        <v>272</v>
      </c>
      <c r="X220" s="551">
        <f t="shared" si="184"/>
        <v>38.207003108136995</v>
      </c>
      <c r="Y220" s="553">
        <f>$X220/PI()*SQRT('Hilfstabellen_Mat&amp;Bem'!f.Rd.3/'Hilfstabellen_Mat&amp;Bem'!$BD$30)</f>
        <v>0.60808334053874125</v>
      </c>
      <c r="Z220" s="553">
        <f>0.5*(1+'Hilfstabellen_Mat&amp;Bem'!$BD$31*($Y220-0.3)+$Y220^2)</f>
        <v>0.70028684154731446</v>
      </c>
      <c r="AA220" s="550">
        <f t="shared" si="185"/>
        <v>0.95454984858793968</v>
      </c>
      <c r="AC220" s="551">
        <f t="shared" si="238"/>
        <v>70621.415997930133</v>
      </c>
      <c r="AG220" s="546">
        <f t="shared" si="194"/>
        <v>272</v>
      </c>
      <c r="AH220" s="551">
        <f t="shared" si="186"/>
        <v>39.480569878408225</v>
      </c>
      <c r="AI220" s="553">
        <f>$AH220/PI()*SQRT('Hilfstabellen_Mat&amp;Bem'!f.Rd.3/'Hilfstabellen_Mat&amp;Bem'!$BD$30)</f>
        <v>0.62835278522336591</v>
      </c>
      <c r="AJ220" s="553">
        <f>0.5*(1+'Hilfstabellen_Mat&amp;Bem'!$BD$31*($AI220-0.3)+$AI220^2)</f>
        <v>0.71383125061014907</v>
      </c>
      <c r="AK220" s="550">
        <f t="shared" si="187"/>
        <v>0.95007704115059255</v>
      </c>
      <c r="AM220" s="551">
        <f t="shared" si="239"/>
        <v>70290.499812485446</v>
      </c>
      <c r="AQ220" s="546">
        <f t="shared" si="195"/>
        <v>272</v>
      </c>
      <c r="AR220" s="551">
        <f t="shared" si="188"/>
        <v>40.754136648679463</v>
      </c>
      <c r="AS220" s="553">
        <f>$AR220/PI()*SQRT('Hilfstabellen_Mat&amp;Bem'!f.Rd.3/'Hilfstabellen_Mat&amp;Bem'!$BD$30)</f>
        <v>0.64862222990799068</v>
      </c>
      <c r="AT220" s="553">
        <f>0.5*(1+'Hilfstabellen_Mat&amp;Bem'!$BD$31*($AS220-0.3)+$AS220^2)</f>
        <v>0.72778651006080675</v>
      </c>
      <c r="AU220" s="550">
        <f t="shared" si="189"/>
        <v>0.94528585933696407</v>
      </c>
      <c r="AW220" s="551">
        <f t="shared" si="240"/>
        <v>69936.029017185952</v>
      </c>
      <c r="AZ220" s="547">
        <f>'Hilfstabellen_Mat&amp;Bem'!$J$56</f>
        <v>3.3</v>
      </c>
      <c r="BA220" s="546">
        <f t="shared" si="196"/>
        <v>272</v>
      </c>
      <c r="BB220" s="551">
        <f t="shared" si="197"/>
        <v>42.027703418950701</v>
      </c>
      <c r="BC220" s="553">
        <f>BB220/PI()*SQRT('Hilfstabellen_Mat&amp;Bem'!f.Rd.3/'Hilfstabellen_Mat&amp;Bem'!$BD$30)</f>
        <v>0.66889167459261545</v>
      </c>
      <c r="BD220" s="553">
        <f>0.5*(1+'Hilfstabellen_Mat&amp;Bem'!$BD$31*(BC220-0.3)+BC220^2)</f>
        <v>0.74215261989928738</v>
      </c>
      <c r="BE220" s="550">
        <f t="shared" si="198"/>
        <v>0.94013981658058887</v>
      </c>
      <c r="BG220" s="551">
        <f t="shared" si="199"/>
        <v>69555.304189898292</v>
      </c>
      <c r="BJ220" s="547">
        <f>'Hilfstabellen_Mat&amp;Bem'!$J$57</f>
        <v>3.4</v>
      </c>
      <c r="BK220" s="546">
        <f t="shared" si="200"/>
        <v>272</v>
      </c>
      <c r="BL220" s="551">
        <f t="shared" si="201"/>
        <v>43.301270189221931</v>
      </c>
      <c r="BM220" s="553">
        <f>BL220/PI()*SQRT('Hilfstabellen_Mat&amp;Bem'!f.Rd.3/'Hilfstabellen_Mat&amp;Bem'!$BD$30)</f>
        <v>0.68916111927724011</v>
      </c>
      <c r="BN220" s="553">
        <f>0.5*(1+'Hilfstabellen_Mat&amp;Bem'!$BD$31*(BM220-0.3)+BM220^2)</f>
        <v>0.75692958012559108</v>
      </c>
      <c r="BO220" s="550">
        <f t="shared" si="202"/>
        <v>0.9345986165714808</v>
      </c>
      <c r="BQ220" s="551">
        <f t="shared" si="203"/>
        <v>69145.344048424435</v>
      </c>
      <c r="BT220" s="547">
        <f>'Hilfstabellen_Mat&amp;Bem'!$J$58</f>
        <v>3.5</v>
      </c>
      <c r="BU220" s="546">
        <f t="shared" si="204"/>
        <v>272</v>
      </c>
      <c r="BV220" s="551">
        <f t="shared" si="205"/>
        <v>44.574836959493162</v>
      </c>
      <c r="BW220" s="553">
        <f>BV220/PI()*SQRT('Hilfstabellen_Mat&amp;Bem'!f.Rd.3/'Hilfstabellen_Mat&amp;Bem'!$BD$30)</f>
        <v>0.70943056396186477</v>
      </c>
      <c r="BX220" s="553">
        <f>0.5*(1+'Hilfstabellen_Mat&amp;Bem'!$BD$31*(BW220-0.3)+BW220^2)</f>
        <v>0.77211739073971808</v>
      </c>
      <c r="BY220" s="550">
        <f t="shared" si="206"/>
        <v>0.92861806319968909</v>
      </c>
      <c r="CA220" s="551">
        <f t="shared" si="207"/>
        <v>68702.878787765803</v>
      </c>
      <c r="CD220" s="547">
        <f>'Hilfstabellen_Mat&amp;Bem'!$J$59</f>
        <v>3.6</v>
      </c>
      <c r="CE220" s="546">
        <f t="shared" si="208"/>
        <v>272</v>
      </c>
      <c r="CF220" s="551">
        <f t="shared" si="209"/>
        <v>45.848403729764392</v>
      </c>
      <c r="CG220" s="553">
        <f>CF220/PI()*SQRT('Hilfstabellen_Mat&amp;Bem'!f.Rd.3/'Hilfstabellen_Mat&amp;Bem'!$BD$30)</f>
        <v>0.72970000864648943</v>
      </c>
      <c r="CH220" s="553">
        <f>0.5*(1+'Hilfstabellen_Mat&amp;Bem'!$BD$31*(CG220-0.3)+CG220^2)</f>
        <v>0.78771605174166792</v>
      </c>
      <c r="CI220" s="550">
        <f t="shared" si="210"/>
        <v>0.92215015303583658</v>
      </c>
      <c r="CK220" s="551">
        <f t="shared" si="211"/>
        <v>68224.35692220334</v>
      </c>
      <c r="CN220" s="547">
        <f>'Hilfstabellen_Mat&amp;Bem'!$J$60</f>
        <v>3.7</v>
      </c>
      <c r="CO220" s="546">
        <f t="shared" si="212"/>
        <v>272</v>
      </c>
      <c r="CP220" s="551">
        <f t="shared" si="213"/>
        <v>47.12197050003563</v>
      </c>
      <c r="CQ220" s="553">
        <f>CP220/PI()*SQRT('Hilfstabellen_Mat&amp;Bem'!f.Rd.3/'Hilfstabellen_Mat&amp;Bem'!$BD$30)</f>
        <v>0.7499694533311142</v>
      </c>
      <c r="CR220" s="553">
        <f>0.5*(1+'Hilfstabellen_Mat&amp;Bem'!$BD$31*(CQ220-0.3)+CQ220^2)</f>
        <v>0.80372556313144083</v>
      </c>
      <c r="CS220" s="550">
        <f t="shared" si="214"/>
        <v>0.91514344242918688</v>
      </c>
      <c r="CU220" s="551">
        <f t="shared" si="215"/>
        <v>67705.972444680956</v>
      </c>
      <c r="CX220" s="547">
        <f>'Hilfstabellen_Mat&amp;Bem'!$J$61</f>
        <v>3.8</v>
      </c>
      <c r="CY220" s="546">
        <f t="shared" si="216"/>
        <v>272</v>
      </c>
      <c r="CZ220" s="551">
        <f t="shared" si="217"/>
        <v>48.39553727030686</v>
      </c>
      <c r="DA220" s="553">
        <f>CZ220/PI()*SQRT('Hilfstabellen_Mat&amp;Bem'!f.Rd.3/'Hilfstabellen_Mat&amp;Bem'!$BD$30)</f>
        <v>0.77023889801573886</v>
      </c>
      <c r="DB220" s="553">
        <f>0.5*(1+'Hilfstabellen_Mat&amp;Bem'!$BD$31*(DA220-0.3)+DA220^2)</f>
        <v>0.82014592490903682</v>
      </c>
      <c r="DC220" s="550">
        <f t="shared" si="218"/>
        <v>0.90754380366412257</v>
      </c>
      <c r="DE220" s="551">
        <f t="shared" si="219"/>
        <v>67143.72077028644</v>
      </c>
      <c r="DH220" s="547">
        <f>'Hilfstabellen_Mat&amp;Bem'!$J$62</f>
        <v>3.9</v>
      </c>
      <c r="DI220" s="546">
        <f t="shared" si="220"/>
        <v>272</v>
      </c>
      <c r="DJ220" s="551">
        <f t="shared" si="221"/>
        <v>49.669104040578098</v>
      </c>
      <c r="DK220" s="553">
        <f>DJ220/PI()*SQRT('Hilfstabellen_Mat&amp;Bem'!f.Rd.3/'Hilfstabellen_Mat&amp;Bem'!$BD$30)</f>
        <v>0.79050834270036363</v>
      </c>
      <c r="DL220" s="553">
        <f>0.5*(1+'Hilfstabellen_Mat&amp;Bem'!$BD$31*(DK220-0.3)+DK220^2)</f>
        <v>0.83697713707445598</v>
      </c>
      <c r="DM220" s="550">
        <f t="shared" si="222"/>
        <v>0.89929570082260257</v>
      </c>
      <c r="DO220" s="551">
        <f t="shared" si="223"/>
        <v>66533.49312965943</v>
      </c>
      <c r="DR220" s="547">
        <f>'Hilfstabellen_Mat&amp;Bem'!$J$63</f>
        <v>4</v>
      </c>
      <c r="DS220" s="546">
        <f t="shared" si="224"/>
        <v>272</v>
      </c>
      <c r="DT220" s="551">
        <f t="shared" si="225"/>
        <v>50.942670810849329</v>
      </c>
      <c r="DU220" s="553">
        <f>DT220/PI()*SQRT('Hilfstabellen_Mat&amp;Bem'!f.Rd.3/'Hilfstabellen_Mat&amp;Bem'!$BD$30)</f>
        <v>0.8107777873849884</v>
      </c>
      <c r="DV220" s="553">
        <f>0.5*(1+'Hilfstabellen_Mat&amp;Bem'!$BD$31*(DU220-0.3)+DU220^2)</f>
        <v>0.85421919962769821</v>
      </c>
      <c r="DW220" s="550">
        <f t="shared" si="226"/>
        <v>0.89034411565570126</v>
      </c>
      <c r="DY220" s="551">
        <f t="shared" si="227"/>
        <v>65871.219052671397</v>
      </c>
      <c r="EB220" s="547">
        <f>'Hilfstabellen_Mat&amp;Bem'!$J$64</f>
        <v>4.0999999999999996</v>
      </c>
      <c r="EC220" s="546">
        <f t="shared" si="228"/>
        <v>272</v>
      </c>
      <c r="ED220" s="551">
        <f t="shared" si="229"/>
        <v>52.216237581120566</v>
      </c>
      <c r="EE220" s="553">
        <f>ED220/PI()*SQRT('Hilfstabellen_Mat&amp;Bem'!f.Rd.3/'Hilfstabellen_Mat&amp;Bem'!$BD$30)</f>
        <v>0.83104723206961306</v>
      </c>
      <c r="EF220" s="553">
        <f>0.5*(1+'Hilfstabellen_Mat&amp;Bem'!$BD$31*(EE220-0.3)+EE220^2)</f>
        <v>0.87187211256876329</v>
      </c>
      <c r="EG220" s="550">
        <f t="shared" si="230"/>
        <v>0.88063722206051653</v>
      </c>
      <c r="EI220" s="551">
        <f t="shared" si="231"/>
        <v>65153.064236925253</v>
      </c>
      <c r="EL220" s="547">
        <f>'Hilfstabellen_Mat&amp;Bem'!$J$65</f>
        <v>4.2</v>
      </c>
      <c r="EM220" s="546">
        <f t="shared" si="232"/>
        <v>272</v>
      </c>
      <c r="EN220" s="551">
        <f t="shared" si="233"/>
        <v>53.489804351391797</v>
      </c>
      <c r="EO220" s="553">
        <f>EN220/PI()*SQRT('Hilfstabellen_Mat&amp;Bem'!f.Rd.3/'Hilfstabellen_Mat&amp;Bem'!$BD$30)</f>
        <v>0.85131667675423783</v>
      </c>
      <c r="EP220" s="553">
        <f>0.5*(1+'Hilfstabellen_Mat&amp;Bem'!$BD$31*(EO220-0.3)+EO220^2)</f>
        <v>0.88993587589765166</v>
      </c>
      <c r="EQ220" s="550">
        <f t="shared" si="234"/>
        <v>0.87012982788655779</v>
      </c>
      <c r="ES220" s="551">
        <f t="shared" si="235"/>
        <v>64375.685186359093</v>
      </c>
    </row>
    <row r="221" spans="3:149">
      <c r="C221" s="546">
        <v>273</v>
      </c>
      <c r="D221" s="551">
        <f t="shared" si="190"/>
        <v>35.529247334746202</v>
      </c>
      <c r="E221" s="553">
        <f>$D221/PI()*SQRT('Hilfstabellen_Mat&amp;Bem'!f.Rd.3/'Hilfstabellen_Mat&amp;Bem'!$BD$30)</f>
        <v>0.56546553376594066</v>
      </c>
      <c r="F221" s="553">
        <f>0.5*(1+'Hilfstabellen_Mat&amp;Bem'!$BD$31*($E221-0.3)+$E221^2)</f>
        <v>0.67314891162689716</v>
      </c>
      <c r="G221" s="550">
        <f t="shared" si="191"/>
        <v>0.96305833703650445</v>
      </c>
      <c r="I221" s="551">
        <f t="shared" si="236"/>
        <v>71775.774800993633</v>
      </c>
      <c r="M221" s="546">
        <f t="shared" si="192"/>
        <v>273</v>
      </c>
      <c r="N221" s="551">
        <f t="shared" si="182"/>
        <v>36.798149025272849</v>
      </c>
      <c r="O221" s="553">
        <f>$N221/PI()*SQRT('Hilfstabellen_Mat&amp;Bem'!f.Rd.3/'Hilfstabellen_Mat&amp;Bem'!$BD$30)</f>
        <v>0.58566073140043851</v>
      </c>
      <c r="P221" s="553">
        <f>0.5*(1+'Hilfstabellen_Mat&amp;Bem'!$BD$31*($O221-0.3)+$O221^2)</f>
        <v>0.68578228272227026</v>
      </c>
      <c r="Q221" s="550">
        <f t="shared" si="183"/>
        <v>0.95916644070433421</v>
      </c>
      <c r="S221" s="551">
        <f t="shared" si="237"/>
        <v>71485.715659253328</v>
      </c>
      <c r="W221" s="546">
        <f t="shared" si="193"/>
        <v>273</v>
      </c>
      <c r="X221" s="551">
        <f t="shared" si="184"/>
        <v>38.067050715799496</v>
      </c>
      <c r="Y221" s="553">
        <f>$X221/PI()*SQRT('Hilfstabellen_Mat&amp;Bem'!f.Rd.3/'Hilfstabellen_Mat&amp;Bem'!$BD$30)</f>
        <v>0.60585592903493635</v>
      </c>
      <c r="Z221" s="553">
        <f>0.5*(1+'Hilfstabellen_Mat&amp;Bem'!$BD$31*($Y221-0.3)+$Y221^2)</f>
        <v>0.6988234998251398</v>
      </c>
      <c r="AA221" s="550">
        <f t="shared" si="185"/>
        <v>0.95502339357674515</v>
      </c>
      <c r="AC221" s="551">
        <f t="shared" si="238"/>
        <v>71176.938499881246</v>
      </c>
      <c r="AG221" s="546">
        <f t="shared" si="194"/>
        <v>273</v>
      </c>
      <c r="AH221" s="551">
        <f t="shared" si="186"/>
        <v>39.33595240632615</v>
      </c>
      <c r="AI221" s="553">
        <f>$AH221/PI()*SQRT('Hilfstabellen_Mat&amp;Bem'!f.Rd.3/'Hilfstabellen_Mat&amp;Bem'!$BD$30)</f>
        <v>0.6260511266694343</v>
      </c>
      <c r="AJ221" s="553">
        <f>0.5*(1+'Hilfstabellen_Mat&amp;Bem'!$BD$31*($AI221-0.3)+$AI221^2)</f>
        <v>0.71227256293550567</v>
      </c>
      <c r="AK221" s="550">
        <f t="shared" si="187"/>
        <v>0.95060032084307911</v>
      </c>
      <c r="AM221" s="551">
        <f t="shared" si="239"/>
        <v>70847.291312113841</v>
      </c>
      <c r="AQ221" s="546">
        <f t="shared" si="195"/>
        <v>273</v>
      </c>
      <c r="AR221" s="551">
        <f t="shared" si="188"/>
        <v>40.604854096852797</v>
      </c>
      <c r="AS221" s="553">
        <f>$AR221/PI()*SQRT('Hilfstabellen_Mat&amp;Bem'!f.Rd.3/'Hilfstabellen_Mat&amp;Bem'!$BD$30)</f>
        <v>0.64624632430393214</v>
      </c>
      <c r="AT221" s="553">
        <f>0.5*(1+'Hilfstabellen_Mat&amp;Bem'!$BD$31*($AS221-0.3)+$AS221^2)</f>
        <v>0.72612947205336809</v>
      </c>
      <c r="AU221" s="550">
        <f t="shared" si="189"/>
        <v>0.94586508600947683</v>
      </c>
      <c r="AW221" s="551">
        <f t="shared" si="240"/>
        <v>70494.378995200299</v>
      </c>
      <c r="AZ221" s="547">
        <f>'Hilfstabellen_Mat&amp;Bem'!$J$56</f>
        <v>3.3</v>
      </c>
      <c r="BA221" s="546">
        <f t="shared" si="196"/>
        <v>273</v>
      </c>
      <c r="BB221" s="551">
        <f t="shared" si="197"/>
        <v>41.873755787379444</v>
      </c>
      <c r="BC221" s="553">
        <f>BB221/PI()*SQRT('Hilfstabellen_Mat&amp;Bem'!f.Rd.3/'Hilfstabellen_Mat&amp;Bem'!$BD$30)</f>
        <v>0.66644152193842987</v>
      </c>
      <c r="BD221" s="553">
        <f>0.5*(1+'Hilfstabellen_Mat&amp;Bem'!$BD$31*(BC221-0.3)+BC221^2)</f>
        <v>0.74039422717872683</v>
      </c>
      <c r="BE221" s="550">
        <f t="shared" si="198"/>
        <v>0.94078202560309598</v>
      </c>
      <c r="BG221" s="551">
        <f t="shared" si="199"/>
        <v>70115.543586173138</v>
      </c>
      <c r="BJ221" s="547">
        <f>'Hilfstabellen_Mat&amp;Bem'!$J$57</f>
        <v>3.4</v>
      </c>
      <c r="BK221" s="546">
        <f t="shared" si="200"/>
        <v>273</v>
      </c>
      <c r="BL221" s="551">
        <f t="shared" si="201"/>
        <v>43.142657477906099</v>
      </c>
      <c r="BM221" s="553">
        <f>BL221/PI()*SQRT('Hilfstabellen_Mat&amp;Bem'!f.Rd.3/'Hilfstabellen_Mat&amp;Bem'!$BD$30)</f>
        <v>0.68663671957292793</v>
      </c>
      <c r="BN221" s="553">
        <f>0.5*(1+'Hilfstabellen_Mat&amp;Bem'!$BD$31*(BM221-0.3)+BM221^2)</f>
        <v>0.75506682831158223</v>
      </c>
      <c r="BO221" s="550">
        <f t="shared" si="202"/>
        <v>0.93531174059410116</v>
      </c>
      <c r="BQ221" s="551">
        <f t="shared" si="203"/>
        <v>69707.84871473776</v>
      </c>
      <c r="BT221" s="547">
        <f>'Hilfstabellen_Mat&amp;Bem'!$J$58</f>
        <v>3.5</v>
      </c>
      <c r="BU221" s="546">
        <f t="shared" si="204"/>
        <v>273</v>
      </c>
      <c r="BV221" s="551">
        <f t="shared" si="205"/>
        <v>44.411559168432753</v>
      </c>
      <c r="BW221" s="553">
        <f>BV221/PI()*SQRT('Hilfstabellen_Mat&amp;Bem'!f.Rd.3/'Hilfstabellen_Mat&amp;Bem'!$BD$30)</f>
        <v>0.70683191720742578</v>
      </c>
      <c r="BX221" s="553">
        <f>0.5*(1+'Hilfstabellen_Mat&amp;Bem'!$BD$31*(BW221-0.3)+BW221^2)</f>
        <v>0.77014727545193395</v>
      </c>
      <c r="BY221" s="550">
        <f t="shared" si="206"/>
        <v>0.92941099150532003</v>
      </c>
      <c r="CA221" s="551">
        <f t="shared" si="207"/>
        <v>69268.0717859</v>
      </c>
      <c r="CD221" s="547">
        <f>'Hilfstabellen_Mat&amp;Bem'!$J$59</f>
        <v>3.6</v>
      </c>
      <c r="CE221" s="546">
        <f t="shared" si="208"/>
        <v>273</v>
      </c>
      <c r="CF221" s="551">
        <f t="shared" si="209"/>
        <v>45.6804608589594</v>
      </c>
      <c r="CG221" s="553">
        <f>CF221/PI()*SQRT('Hilfstabellen_Mat&amp;Bem'!f.Rd.3/'Hilfstabellen_Mat&amp;Bem'!$BD$30)</f>
        <v>0.72702711484192362</v>
      </c>
      <c r="CH221" s="553">
        <f>0.5*(1+'Hilfstabellen_Mat&amp;Bem'!$BD$31*(CG221-0.3)+CG221^2)</f>
        <v>0.78563556859978201</v>
      </c>
      <c r="CI221" s="550">
        <f t="shared" si="210"/>
        <v>0.92303276267891199</v>
      </c>
      <c r="CK221" s="551">
        <f t="shared" si="211"/>
        <v>68792.708769696634</v>
      </c>
      <c r="CN221" s="547">
        <f>'Hilfstabellen_Mat&amp;Bem'!$J$60</f>
        <v>3.7</v>
      </c>
      <c r="CO221" s="546">
        <f t="shared" si="212"/>
        <v>273</v>
      </c>
      <c r="CP221" s="551">
        <f t="shared" si="213"/>
        <v>46.949362549486047</v>
      </c>
      <c r="CQ221" s="553">
        <f>CP221/PI()*SQRT('Hilfstabellen_Mat&amp;Bem'!f.Rd.3/'Hilfstabellen_Mat&amp;Bem'!$BD$30)</f>
        <v>0.74722231247642146</v>
      </c>
      <c r="CR221" s="553">
        <f>0.5*(1+'Hilfstabellen_Mat&amp;Bem'!$BD$31*(CQ221-0.3)+CQ221^2)</f>
        <v>0.8015317077551265</v>
      </c>
      <c r="CS221" s="550">
        <f t="shared" si="214"/>
        <v>0.91612658268497593</v>
      </c>
      <c r="CU221" s="551">
        <f t="shared" si="215"/>
        <v>68277.998080928577</v>
      </c>
      <c r="CX221" s="547">
        <f>'Hilfstabellen_Mat&amp;Bem'!$J$61</f>
        <v>3.8</v>
      </c>
      <c r="CY221" s="546">
        <f t="shared" si="216"/>
        <v>273</v>
      </c>
      <c r="CZ221" s="551">
        <f t="shared" si="217"/>
        <v>48.218264240012701</v>
      </c>
      <c r="DA221" s="553">
        <f>CZ221/PI()*SQRT('Hilfstabellen_Mat&amp;Bem'!f.Rd.3/'Hilfstabellen_Mat&amp;Bem'!$BD$30)</f>
        <v>0.76741751011091941</v>
      </c>
      <c r="DB221" s="553">
        <f>0.5*(1+'Hilfstabellen_Mat&amp;Bem'!$BD$31*(DA221-0.3)+DA221^2)</f>
        <v>0.81783569291796754</v>
      </c>
      <c r="DC221" s="550">
        <f t="shared" si="218"/>
        <v>0.90863920983702096</v>
      </c>
      <c r="DE221" s="551">
        <f t="shared" si="219"/>
        <v>67719.971669943334</v>
      </c>
      <c r="DH221" s="547">
        <f>'Hilfstabellen_Mat&amp;Bem'!$J$62</f>
        <v>3.9</v>
      </c>
      <c r="DI221" s="546">
        <f t="shared" si="220"/>
        <v>273</v>
      </c>
      <c r="DJ221" s="551">
        <f t="shared" si="221"/>
        <v>49.487165930539348</v>
      </c>
      <c r="DK221" s="553">
        <f>DJ221/PI()*SQRT('Hilfstabellen_Mat&amp;Bem'!f.Rd.3/'Hilfstabellen_Mat&amp;Bem'!$BD$30)</f>
        <v>0.78761270774541725</v>
      </c>
      <c r="DL221" s="553">
        <f>0.5*(1+'Hilfstabellen_Mat&amp;Bem'!$BD$31*(DK221-0.3)+DK221^2)</f>
        <v>0.8345475240883049</v>
      </c>
      <c r="DM221" s="550">
        <f t="shared" si="222"/>
        <v>0.90051580877540705</v>
      </c>
      <c r="DO221" s="551">
        <f t="shared" si="223"/>
        <v>67114.542712222305</v>
      </c>
      <c r="DR221" s="547">
        <f>'Hilfstabellen_Mat&amp;Bem'!$J$63</f>
        <v>4</v>
      </c>
      <c r="DS221" s="546">
        <f t="shared" si="224"/>
        <v>273</v>
      </c>
      <c r="DT221" s="551">
        <f t="shared" si="225"/>
        <v>50.756067621065995</v>
      </c>
      <c r="DU221" s="553">
        <f>DT221/PI()*SQRT('Hilfstabellen_Mat&amp;Bem'!f.Rd.3/'Hilfstabellen_Mat&amp;Bem'!$BD$30)</f>
        <v>0.80780790537991509</v>
      </c>
      <c r="DV221" s="553">
        <f>0.5*(1+'Hilfstabellen_Mat&amp;Bem'!$BD$31*(DU221-0.3)+DU221^2)</f>
        <v>0.85166720126613871</v>
      </c>
      <c r="DW221" s="550">
        <f t="shared" si="226"/>
        <v>0.89170174663891277</v>
      </c>
      <c r="DY221" s="551">
        <f t="shared" si="227"/>
        <v>66457.639475251533</v>
      </c>
      <c r="EB221" s="547">
        <f>'Hilfstabellen_Mat&amp;Bem'!$J$64</f>
        <v>4.0999999999999996</v>
      </c>
      <c r="EC221" s="546">
        <f t="shared" si="228"/>
        <v>273</v>
      </c>
      <c r="ED221" s="551">
        <f t="shared" si="229"/>
        <v>52.024969311592649</v>
      </c>
      <c r="EE221" s="553">
        <f>ED221/PI()*SQRT('Hilfstabellen_Mat&amp;Bem'!f.Rd.3/'Hilfstabellen_Mat&amp;Bem'!$BD$30)</f>
        <v>0.82800310301441304</v>
      </c>
      <c r="EF221" s="553">
        <f>0.5*(1+'Hilfstabellen_Mat&amp;Bem'!$BD$31*(EE221-0.3)+EE221^2)</f>
        <v>0.86919472445146906</v>
      </c>
      <c r="EG221" s="550">
        <f t="shared" si="230"/>
        <v>0.88214511168318499</v>
      </c>
      <c r="EI221" s="551">
        <f t="shared" si="231"/>
        <v>65745.393028636099</v>
      </c>
      <c r="EL221" s="547">
        <f>'Hilfstabellen_Mat&amp;Bem'!$J$65</f>
        <v>4.2</v>
      </c>
      <c r="EM221" s="546">
        <f t="shared" si="232"/>
        <v>273</v>
      </c>
      <c r="EN221" s="551">
        <f t="shared" si="233"/>
        <v>53.293871002119303</v>
      </c>
      <c r="EO221" s="553">
        <f>EN221/PI()*SQRT('Hilfstabellen_Mat&amp;Bem'!f.Rd.3/'Hilfstabellen_Mat&amp;Bem'!$BD$30)</f>
        <v>0.848198300648911</v>
      </c>
      <c r="EP221" s="553">
        <f>0.5*(1+'Hilfstabellen_Mat&amp;Bem'!$BD$31*(EO221-0.3)+EO221^2)</f>
        <v>0.88713009364429585</v>
      </c>
      <c r="EQ221" s="550">
        <f t="shared" si="234"/>
        <v>0.871799987092294</v>
      </c>
      <c r="ES221" s="551">
        <f t="shared" si="235"/>
        <v>64974.381238001581</v>
      </c>
    </row>
    <row r="222" spans="3:149">
      <c r="C222" s="546">
        <v>274</v>
      </c>
      <c r="D222" s="551">
        <f t="shared" si="190"/>
        <v>35.399578548852965</v>
      </c>
      <c r="E222" s="553">
        <f>$D222/PI()*SQRT('Hilfstabellen_Mat&amp;Bem'!f.Rd.3/'Hilfstabellen_Mat&amp;Bem'!$BD$30)</f>
        <v>0.56340179094197729</v>
      </c>
      <c r="F222" s="553">
        <f>0.5*(1+'Hilfstabellen_Mat&amp;Bem'!$BD$31*($E222-0.3)+$E222^2)</f>
        <v>0.67188087856541256</v>
      </c>
      <c r="G222" s="550">
        <f t="shared" si="191"/>
        <v>0.9634429520909239</v>
      </c>
      <c r="I222" s="551">
        <f t="shared" si="236"/>
        <v>72331.443071178204</v>
      </c>
      <c r="M222" s="546">
        <f t="shared" si="192"/>
        <v>274</v>
      </c>
      <c r="N222" s="551">
        <f t="shared" si="182"/>
        <v>36.663849211311998</v>
      </c>
      <c r="O222" s="553">
        <f>$N222/PI()*SQRT('Hilfstabellen_Mat&amp;Bem'!f.Rd.3/'Hilfstabellen_Mat&amp;Bem'!$BD$30)</f>
        <v>0.58352328347561933</v>
      </c>
      <c r="P222" s="553">
        <f>0.5*(1+'Hilfstabellen_Mat&amp;Bem'!$BD$31*($O222-0.3)+$O222^2)</f>
        <v>0.68442587535286492</v>
      </c>
      <c r="Q222" s="550">
        <f t="shared" si="183"/>
        <v>0.95958976554615472</v>
      </c>
      <c r="S222" s="551">
        <f t="shared" si="237"/>
        <v>72042.161238143119</v>
      </c>
      <c r="W222" s="546">
        <f t="shared" si="193"/>
        <v>274</v>
      </c>
      <c r="X222" s="551">
        <f t="shared" si="184"/>
        <v>37.928119873771031</v>
      </c>
      <c r="Y222" s="553">
        <f>$X222/PI()*SQRT('Hilfstabellen_Mat&amp;Bem'!f.Rd.3/'Hilfstabellen_Mat&amp;Bem'!$BD$30)</f>
        <v>0.60364477600926136</v>
      </c>
      <c r="Z222" s="553">
        <f>0.5*(1+'Hilfstabellen_Mat&amp;Bem'!$BD$31*($Y222-0.3)+$Y222^2)</f>
        <v>0.69737574660209878</v>
      </c>
      <c r="AA222" s="550">
        <f t="shared" si="185"/>
        <v>0.95549011592119693</v>
      </c>
      <c r="AC222" s="551">
        <f t="shared" si="238"/>
        <v>71734.375942899787</v>
      </c>
      <c r="AG222" s="546">
        <f t="shared" si="194"/>
        <v>274</v>
      </c>
      <c r="AH222" s="551">
        <f t="shared" si="186"/>
        <v>39.192390536230064</v>
      </c>
      <c r="AI222" s="553">
        <f>$AH222/PI()*SQRT('Hilfstabellen_Mat&amp;Bem'!f.Rd.3/'Hilfstabellen_Mat&amp;Bem'!$BD$30)</f>
        <v>0.6237662685429034</v>
      </c>
      <c r="AJ222" s="553">
        <f>0.5*(1+'Hilfstabellen_Mat&amp;Bem'!$BD$31*($AI222-0.3)+$AI222^2)</f>
        <v>0.71073049231311392</v>
      </c>
      <c r="AK222" s="550">
        <f t="shared" si="187"/>
        <v>0.95111577411183146</v>
      </c>
      <c r="AM222" s="551">
        <f t="shared" si="239"/>
        <v>71405.967857219861</v>
      </c>
      <c r="AQ222" s="546">
        <f t="shared" si="195"/>
        <v>274</v>
      </c>
      <c r="AR222" s="551">
        <f t="shared" si="188"/>
        <v>40.456661198689105</v>
      </c>
      <c r="AS222" s="553">
        <f>$AR222/PI()*SQRT('Hilfstabellen_Mat&amp;Bem'!f.Rd.3/'Hilfstabellen_Mat&amp;Bem'!$BD$30)</f>
        <v>0.64388776107654555</v>
      </c>
      <c r="AT222" s="553">
        <f>0.5*(1+'Hilfstabellen_Mat&amp;Bem'!$BD$31*($AS222-0.3)+$AS222^2)</f>
        <v>0.72449011248591055</v>
      </c>
      <c r="AU222" s="550">
        <f t="shared" si="189"/>
        <v>0.94643532720834289</v>
      </c>
      <c r="AW222" s="551">
        <f t="shared" si="240"/>
        <v>71054.578625493552</v>
      </c>
      <c r="AZ222" s="547">
        <f>'Hilfstabellen_Mat&amp;Bem'!$J$56</f>
        <v>3.3</v>
      </c>
      <c r="BA222" s="546">
        <f t="shared" si="196"/>
        <v>274</v>
      </c>
      <c r="BB222" s="551">
        <f t="shared" si="197"/>
        <v>41.720931861148138</v>
      </c>
      <c r="BC222" s="553">
        <f>BB222/PI()*SQRT('Hilfstabellen_Mat&amp;Bem'!f.Rd.3/'Hilfstabellen_Mat&amp;Bem'!$BD$30)</f>
        <v>0.66400925361018759</v>
      </c>
      <c r="BD222" s="553">
        <f>0.5*(1+'Hilfstabellen_Mat&amp;Bem'!$BD$31*(BC222-0.3)+BC222^2)</f>
        <v>0.73865460712048858</v>
      </c>
      <c r="BE222" s="550">
        <f t="shared" si="198"/>
        <v>0.9414139139489327</v>
      </c>
      <c r="BG222" s="551">
        <f t="shared" si="199"/>
        <v>70677.591003630077</v>
      </c>
      <c r="BJ222" s="547">
        <f>'Hilfstabellen_Mat&amp;Bem'!$J$57</f>
        <v>3.4</v>
      </c>
      <c r="BK222" s="546">
        <f t="shared" si="200"/>
        <v>274</v>
      </c>
      <c r="BL222" s="551">
        <f t="shared" si="201"/>
        <v>42.985202523607171</v>
      </c>
      <c r="BM222" s="553">
        <f>BL222/PI()*SQRT('Hilfstabellen_Mat&amp;Bem'!f.Rd.3/'Hilfstabellen_Mat&amp;Bem'!$BD$30)</f>
        <v>0.68413074614382952</v>
      </c>
      <c r="BN222" s="553">
        <f>0.5*(1+'Hilfstabellen_Mat&amp;Bem'!$BD$31*(BM222-0.3)+BM222^2)</f>
        <v>0.75322397621684789</v>
      </c>
      <c r="BO222" s="550">
        <f t="shared" si="202"/>
        <v>0.93601301141177784</v>
      </c>
      <c r="BQ222" s="551">
        <f t="shared" si="203"/>
        <v>70272.112844750634</v>
      </c>
      <c r="BT222" s="547">
        <f>'Hilfstabellen_Mat&amp;Bem'!$J$58</f>
        <v>3.5</v>
      </c>
      <c r="BU222" s="546">
        <f t="shared" si="204"/>
        <v>274</v>
      </c>
      <c r="BV222" s="551">
        <f t="shared" si="205"/>
        <v>44.249473186066204</v>
      </c>
      <c r="BW222" s="553">
        <f>BV222/PI()*SQRT('Hilfstabellen_Mat&amp;Bem'!f.Rd.3/'Hilfstabellen_Mat&amp;Bem'!$BD$30)</f>
        <v>0.70425223867747155</v>
      </c>
      <c r="BX222" s="553">
        <f>0.5*(1+'Hilfstabellen_Mat&amp;Bem'!$BD$31*(BW222-0.3)+BW222^2)</f>
        <v>0.76819821977498881</v>
      </c>
      <c r="BY222" s="550">
        <f t="shared" si="206"/>
        <v>0.93019031688173692</v>
      </c>
      <c r="CA222" s="551">
        <f t="shared" si="207"/>
        <v>69834.968230213286</v>
      </c>
      <c r="CD222" s="547">
        <f>'Hilfstabellen_Mat&amp;Bem'!$J$59</f>
        <v>3.6</v>
      </c>
      <c r="CE222" s="546">
        <f t="shared" si="208"/>
        <v>274</v>
      </c>
      <c r="CF222" s="551">
        <f t="shared" si="209"/>
        <v>45.513743848525245</v>
      </c>
      <c r="CG222" s="553">
        <f>CF222/PI()*SQRT('Hilfstabellen_Mat&amp;Bem'!f.Rd.3/'Hilfstabellen_Mat&amp;Bem'!$BD$30)</f>
        <v>0.72437373121111381</v>
      </c>
      <c r="CH222" s="553">
        <f>0.5*(1+'Hilfstabellen_Mat&amp;Bem'!$BD$31*(CG222-0.3)+CG222^2)</f>
        <v>0.78357733779491112</v>
      </c>
      <c r="CI222" s="550">
        <f t="shared" si="210"/>
        <v>0.92389978638044601</v>
      </c>
      <c r="CK222" s="551">
        <f t="shared" si="211"/>
        <v>69362.700362298361</v>
      </c>
      <c r="CN222" s="547">
        <f>'Hilfstabellen_Mat&amp;Bem'!$J$60</f>
        <v>3.7</v>
      </c>
      <c r="CO222" s="546">
        <f t="shared" si="212"/>
        <v>274</v>
      </c>
      <c r="CP222" s="551">
        <f t="shared" si="213"/>
        <v>46.778014510984271</v>
      </c>
      <c r="CQ222" s="553">
        <f>CP222/PI()*SQRT('Hilfstabellen_Mat&amp;Bem'!f.Rd.3/'Hilfstabellen_Mat&amp;Bem'!$BD$30)</f>
        <v>0.74449522374475574</v>
      </c>
      <c r="CR222" s="553">
        <f>0.5*(1+'Hilfstabellen_Mat&amp;Bem'!$BD$31*(CQ222-0.3)+CQ222^2)</f>
        <v>0.79936133027661471</v>
      </c>
      <c r="CS222" s="550">
        <f t="shared" si="214"/>
        <v>0.91709191198404305</v>
      </c>
      <c r="CU222" s="551">
        <f t="shared" si="215"/>
        <v>68851.592384114017</v>
      </c>
      <c r="CX222" s="547">
        <f>'Hilfstabellen_Mat&amp;Bem'!$J$61</f>
        <v>3.8</v>
      </c>
      <c r="CY222" s="546">
        <f t="shared" si="216"/>
        <v>274</v>
      </c>
      <c r="CZ222" s="551">
        <f t="shared" si="217"/>
        <v>48.042285173443304</v>
      </c>
      <c r="DA222" s="553">
        <f>CZ222/PI()*SQRT('Hilfstabellen_Mat&amp;Bem'!f.Rd.3/'Hilfstabellen_Mat&amp;Bem'!$BD$30)</f>
        <v>0.76461671627839767</v>
      </c>
      <c r="DB222" s="553">
        <f>0.5*(1+'Hilfstabellen_Mat&amp;Bem'!$BD$31*(DA222-0.3)+DA222^2)</f>
        <v>0.8155501972200998</v>
      </c>
      <c r="DC222" s="550">
        <f t="shared" si="218"/>
        <v>0.90971434157374209</v>
      </c>
      <c r="DE222" s="551">
        <f t="shared" si="219"/>
        <v>68297.713907990255</v>
      </c>
      <c r="DH222" s="547">
        <f>'Hilfstabellen_Mat&amp;Bem'!$J$62</f>
        <v>3.9</v>
      </c>
      <c r="DI222" s="546">
        <f t="shared" si="220"/>
        <v>274</v>
      </c>
      <c r="DJ222" s="551">
        <f t="shared" si="221"/>
        <v>49.306555835902344</v>
      </c>
      <c r="DK222" s="553">
        <f>DJ222/PI()*SQRT('Hilfstabellen_Mat&amp;Bem'!f.Rd.3/'Hilfstabellen_Mat&amp;Bem'!$BD$30)</f>
        <v>0.78473820881203982</v>
      </c>
      <c r="DL222" s="553">
        <f>0.5*(1+'Hilfstabellen_Mat&amp;Bem'!$BD$31*(DK222-0.3)+DK222^2)</f>
        <v>0.83214393862536618</v>
      </c>
      <c r="DM222" s="550">
        <f t="shared" si="222"/>
        <v>0.90171296223135144</v>
      </c>
      <c r="DO222" s="551">
        <f t="shared" si="223"/>
        <v>67697.002352480937</v>
      </c>
      <c r="DR222" s="547">
        <f>'Hilfstabellen_Mat&amp;Bem'!$J$63</f>
        <v>4</v>
      </c>
      <c r="DS222" s="546">
        <f t="shared" si="224"/>
        <v>274</v>
      </c>
      <c r="DT222" s="551">
        <f t="shared" si="225"/>
        <v>50.570826498361377</v>
      </c>
      <c r="DU222" s="553">
        <f>DT222/PI()*SQRT('Hilfstabellen_Mat&amp;Bem'!f.Rd.3/'Hilfstabellen_Mat&amp;Bem'!$BD$30)</f>
        <v>0.80485970134568197</v>
      </c>
      <c r="DV222" s="553">
        <f>0.5*(1+'Hilfstabellen_Mat&amp;Bem'!$BD$31*(DU222-0.3)+DU222^2)</f>
        <v>0.84914255449241427</v>
      </c>
      <c r="DW222" s="550">
        <f t="shared" si="226"/>
        <v>0.89303357352983048</v>
      </c>
      <c r="DY222" s="551">
        <f t="shared" si="227"/>
        <v>67045.38856632555</v>
      </c>
      <c r="EB222" s="547">
        <f>'Hilfstabellen_Mat&amp;Bem'!$J$64</f>
        <v>4.0999999999999996</v>
      </c>
      <c r="EC222" s="546">
        <f t="shared" si="228"/>
        <v>274</v>
      </c>
      <c r="ED222" s="551">
        <f t="shared" si="229"/>
        <v>51.835097160820411</v>
      </c>
      <c r="EE222" s="553">
        <f>ED222/PI()*SQRT('Hilfstabellen_Mat&amp;Bem'!f.Rd.3/'Hilfstabellen_Mat&amp;Bem'!$BD$30)</f>
        <v>0.82498119387932389</v>
      </c>
      <c r="EF222" s="553">
        <f>0.5*(1+'Hilfstabellen_Mat&amp;Bem'!$BD$31*(EE222-0.3)+EE222^2)</f>
        <v>0.86654604482124342</v>
      </c>
      <c r="EG222" s="550">
        <f t="shared" si="230"/>
        <v>0.8836242566938316</v>
      </c>
      <c r="EI222" s="551">
        <f t="shared" si="231"/>
        <v>66338.974695546101</v>
      </c>
      <c r="EL222" s="547">
        <f>'Hilfstabellen_Mat&amp;Bem'!$J$65</f>
        <v>4.2</v>
      </c>
      <c r="EM222" s="546">
        <f t="shared" si="232"/>
        <v>274</v>
      </c>
      <c r="EN222" s="551">
        <f t="shared" si="233"/>
        <v>53.099367823279451</v>
      </c>
      <c r="EO222" s="553">
        <f>EN222/PI()*SQRT('Hilfstabellen_Mat&amp;Bem'!f.Rd.3/'Hilfstabellen_Mat&amp;Bem'!$BD$30)</f>
        <v>0.84510268641296593</v>
      </c>
      <c r="EP222" s="553">
        <f>0.5*(1+'Hilfstabellen_Mat&amp;Bem'!$BD$31*(EO222-0.3)+EO222^2)</f>
        <v>0.8843544096118543</v>
      </c>
      <c r="EQ222" s="550">
        <f t="shared" si="234"/>
        <v>0.87343848444323169</v>
      </c>
      <c r="ES222" s="551">
        <f t="shared" si="235"/>
        <v>65574.267658060067</v>
      </c>
    </row>
    <row r="223" spans="3:149">
      <c r="C223" s="546">
        <v>275</v>
      </c>
      <c r="D223" s="551">
        <f t="shared" si="190"/>
        <v>35.270852808675315</v>
      </c>
      <c r="E223" s="553">
        <f>$D223/PI()*SQRT('Hilfstabellen_Mat&amp;Bem'!f.Rd.3/'Hilfstabellen_Mat&amp;Bem'!$BD$30)</f>
        <v>0.56135305715673367</v>
      </c>
      <c r="F223" s="553">
        <f>0.5*(1+'Hilfstabellen_Mat&amp;Bem'!$BD$31*($E223-0.3)+$E223^2)</f>
        <v>0.67062628024744231</v>
      </c>
      <c r="G223" s="550">
        <f t="shared" si="191"/>
        <v>0.96382247126121734</v>
      </c>
      <c r="I223" s="551">
        <f t="shared" si="236"/>
        <v>72889.074389129557</v>
      </c>
      <c r="M223" s="546">
        <f t="shared" si="192"/>
        <v>275</v>
      </c>
      <c r="N223" s="551">
        <f t="shared" si="182"/>
        <v>36.53052612327086</v>
      </c>
      <c r="O223" s="553">
        <f>$N223/PI()*SQRT('Hilfstabellen_Mat&amp;Bem'!f.Rd.3/'Hilfstabellen_Mat&amp;Bem'!$BD$30)</f>
        <v>0.58140138062661695</v>
      </c>
      <c r="P223" s="553">
        <f>0.5*(1+'Hilfstabellen_Mat&amp;Bem'!$BD$31*($O223-0.3)+$O223^2)</f>
        <v>0.68308385172859909</v>
      </c>
      <c r="Q223" s="550">
        <f t="shared" si="183"/>
        <v>0.96000726337840603</v>
      </c>
      <c r="S223" s="551">
        <f t="shared" si="237"/>
        <v>72600.549292991956</v>
      </c>
      <c r="W223" s="546">
        <f t="shared" si="193"/>
        <v>275</v>
      </c>
      <c r="X223" s="551">
        <f t="shared" si="184"/>
        <v>37.790199437866406</v>
      </c>
      <c r="Y223" s="553">
        <f>$X223/PI()*SQRT('Hilfstabellen_Mat&amp;Bem'!f.Rd.3/'Hilfstabellen_Mat&amp;Bem'!$BD$30)</f>
        <v>0.60144970409650034</v>
      </c>
      <c r="Z223" s="553">
        <f>0.5*(1+'Hilfstabellen_Mat&amp;Bem'!$BD$31*($Y223-0.3)+$Y223^2)</f>
        <v>0.69594335848370892</v>
      </c>
      <c r="AA223" s="550">
        <f t="shared" si="185"/>
        <v>0.95595016592166893</v>
      </c>
      <c r="AC223" s="551">
        <f t="shared" si="238"/>
        <v>72293.73129782622</v>
      </c>
      <c r="AG223" s="546">
        <f t="shared" si="194"/>
        <v>275</v>
      </c>
      <c r="AH223" s="551">
        <f t="shared" si="186"/>
        <v>39.049872752461958</v>
      </c>
      <c r="AI223" s="553">
        <f>$AH223/PI()*SQRT('Hilfstabellen_Mat&amp;Bem'!f.Rd.3/'Hilfstabellen_Mat&amp;Bem'!$BD$30)</f>
        <v>0.62149802756638373</v>
      </c>
      <c r="AJ223" s="553">
        <f>0.5*(1+'Hilfstabellen_Mat&amp;Bem'!$BD$31*($AI223-0.3)+$AI223^2)</f>
        <v>0.70920480051277202</v>
      </c>
      <c r="AK223" s="550">
        <f t="shared" si="187"/>
        <v>0.95162357807844711</v>
      </c>
      <c r="AM223" s="551">
        <f t="shared" si="239"/>
        <v>71966.533092182566</v>
      </c>
      <c r="AQ223" s="546">
        <f t="shared" si="195"/>
        <v>275</v>
      </c>
      <c r="AR223" s="551">
        <f t="shared" si="188"/>
        <v>40.309546067057504</v>
      </c>
      <c r="AS223" s="553">
        <f>$AR223/PI()*SQRT('Hilfstabellen_Mat&amp;Bem'!f.Rd.3/'Hilfstabellen_Mat&amp;Bem'!$BD$30)</f>
        <v>0.64154635103626712</v>
      </c>
      <c r="AT223" s="553">
        <f>0.5*(1+'Hilfstabellen_Mat&amp;Bem'!$BD$31*($AS223-0.3)+$AS223^2)</f>
        <v>0.72286817781578805</v>
      </c>
      <c r="AU223" s="550">
        <f t="shared" si="189"/>
        <v>0.94699679139588067</v>
      </c>
      <c r="AW223" s="551">
        <f t="shared" si="240"/>
        <v>71616.63234931347</v>
      </c>
      <c r="AZ223" s="547">
        <f>'Hilfstabellen_Mat&amp;Bem'!$J$56</f>
        <v>3.3</v>
      </c>
      <c r="BA223" s="546">
        <f t="shared" si="196"/>
        <v>275</v>
      </c>
      <c r="BB223" s="551">
        <f t="shared" si="197"/>
        <v>41.569219381653056</v>
      </c>
      <c r="BC223" s="553">
        <f>BB223/PI()*SQRT('Hilfstabellen_Mat&amp;Bem'!f.Rd.3/'Hilfstabellen_Mat&amp;Bem'!$BD$30)</f>
        <v>0.6615946745061505</v>
      </c>
      <c r="BD223" s="553">
        <f>0.5*(1+'Hilfstabellen_Mat&amp;Bem'!$BD$31*(BC223-0.3)+BC223^2)</f>
        <v>0.73693349039275713</v>
      </c>
      <c r="BE223" s="550">
        <f t="shared" si="198"/>
        <v>0.94203572641994926</v>
      </c>
      <c r="BG223" s="551">
        <f t="shared" si="199"/>
        <v>71241.451810508661</v>
      </c>
      <c r="BJ223" s="547">
        <f>'Hilfstabellen_Mat&amp;Bem'!$J$57</f>
        <v>3.4</v>
      </c>
      <c r="BK223" s="546">
        <f t="shared" si="200"/>
        <v>275</v>
      </c>
      <c r="BL223" s="551">
        <f t="shared" si="201"/>
        <v>42.828892696248602</v>
      </c>
      <c r="BM223" s="553">
        <f>BL223/PI()*SQRT('Hilfstabellen_Mat&amp;Bem'!f.Rd.3/'Hilfstabellen_Mat&amp;Bem'!$BD$30)</f>
        <v>0.68164299797603389</v>
      </c>
      <c r="BN223" s="553">
        <f>0.5*(1+'Hilfstabellen_Mat&amp;Bem'!$BD$31*(BM223-0.3)+BM223^2)</f>
        <v>0.75140073824367937</v>
      </c>
      <c r="BO223" s="550">
        <f t="shared" si="202"/>
        <v>0.93670271551346718</v>
      </c>
      <c r="BQ223" s="551">
        <f t="shared" si="203"/>
        <v>70838.14286070595</v>
      </c>
      <c r="BT223" s="547">
        <f>'Hilfstabellen_Mat&amp;Bem'!$J$58</f>
        <v>3.5</v>
      </c>
      <c r="BU223" s="546">
        <f t="shared" si="204"/>
        <v>275</v>
      </c>
      <c r="BV223" s="551">
        <f t="shared" si="205"/>
        <v>44.088566010844147</v>
      </c>
      <c r="BW223" s="553">
        <f>BV223/PI()*SQRT('Hilfstabellen_Mat&amp;Bem'!f.Rd.3/'Hilfstabellen_Mat&amp;Bem'!$BD$30)</f>
        <v>0.70169132144591717</v>
      </c>
      <c r="BX223" s="553">
        <f>0.5*(1+'Hilfstabellen_Mat&amp;Bem'!$BD$31*(BW223-0.3)+BW223^2)</f>
        <v>0.76626992136855465</v>
      </c>
      <c r="BY223" s="550">
        <f t="shared" si="206"/>
        <v>0.93095637294343947</v>
      </c>
      <c r="CA223" s="551">
        <f t="shared" si="207"/>
        <v>70403.575703847615</v>
      </c>
      <c r="CD223" s="547">
        <f>'Hilfstabellen_Mat&amp;Bem'!$J$59</f>
        <v>3.6</v>
      </c>
      <c r="CE223" s="546">
        <f t="shared" si="208"/>
        <v>275</v>
      </c>
      <c r="CF223" s="551">
        <f t="shared" si="209"/>
        <v>45.3482393254397</v>
      </c>
      <c r="CG223" s="553">
        <f>CF223/PI()*SQRT('Hilfstabellen_Mat&amp;Bem'!f.Rd.3/'Hilfstabellen_Mat&amp;Bem'!$BD$30)</f>
        <v>0.72173964491580067</v>
      </c>
      <c r="CH223" s="553">
        <f>0.5*(1+'Hilfstabellen_Mat&amp;Bem'!$BD$31*(CG223-0.3)+CG223^2)</f>
        <v>0.78154103976738309</v>
      </c>
      <c r="CI223" s="550">
        <f t="shared" si="210"/>
        <v>0.92475160997047101</v>
      </c>
      <c r="CK223" s="551">
        <f t="shared" si="211"/>
        <v>69934.340504016873</v>
      </c>
      <c r="CN223" s="547">
        <f>'Hilfstabellen_Mat&amp;Bem'!$J$60</f>
        <v>3.7</v>
      </c>
      <c r="CO223" s="546">
        <f t="shared" si="212"/>
        <v>275</v>
      </c>
      <c r="CP223" s="551">
        <f t="shared" si="213"/>
        <v>46.607912640035245</v>
      </c>
      <c r="CQ223" s="553">
        <f>CP223/PI()*SQRT('Hilfstabellen_Mat&amp;Bem'!f.Rd.3/'Hilfstabellen_Mat&amp;Bem'!$BD$30)</f>
        <v>0.74178796838568395</v>
      </c>
      <c r="CR223" s="553">
        <f>0.5*(1+'Hilfstabellen_Mat&amp;Bem'!$BD$31*(CQ223-0.3)+CQ223^2)</f>
        <v>0.79721409344016447</v>
      </c>
      <c r="CS223" s="550">
        <f t="shared" si="214"/>
        <v>0.91803987243434559</v>
      </c>
      <c r="CU223" s="551">
        <f t="shared" si="215"/>
        <v>69426.765352847389</v>
      </c>
      <c r="CX223" s="547">
        <f>'Hilfstabellen_Mat&amp;Bem'!$J$61</f>
        <v>3.8</v>
      </c>
      <c r="CY223" s="546">
        <f t="shared" si="216"/>
        <v>275</v>
      </c>
      <c r="CZ223" s="551">
        <f t="shared" si="217"/>
        <v>47.86758595463079</v>
      </c>
      <c r="DA223" s="553">
        <f>CZ223/PI()*SQRT('Hilfstabellen_Mat&amp;Bem'!f.Rd.3/'Hilfstabellen_Mat&amp;Bem'!$BD$30)</f>
        <v>0.76183629185556723</v>
      </c>
      <c r="DB223" s="553">
        <f>0.5*(1+'Hilfstabellen_Mat&amp;Bem'!$BD$31*(DA223-0.3)+DA223^2)</f>
        <v>0.81328908238689879</v>
      </c>
      <c r="DC223" s="550">
        <f t="shared" si="218"/>
        <v>0.91076969932842433</v>
      </c>
      <c r="DE223" s="551">
        <f t="shared" si="219"/>
        <v>68876.958511712088</v>
      </c>
      <c r="DH223" s="547">
        <f>'Hilfstabellen_Mat&amp;Bem'!$J$62</f>
        <v>3.9</v>
      </c>
      <c r="DI223" s="546">
        <f t="shared" si="220"/>
        <v>275</v>
      </c>
      <c r="DJ223" s="551">
        <f t="shared" si="221"/>
        <v>49.127259269226336</v>
      </c>
      <c r="DK223" s="553">
        <f>DJ223/PI()*SQRT('Hilfstabellen_Mat&amp;Bem'!f.Rd.3/'Hilfstabellen_Mat&amp;Bem'!$BD$30)</f>
        <v>0.78188461532545062</v>
      </c>
      <c r="DL223" s="553">
        <f>0.5*(1+'Hilfstabellen_Mat&amp;Bem'!$BD$31*(DK223-0.3)+DK223^2)</f>
        <v>0.82976600660758648</v>
      </c>
      <c r="DM223" s="550">
        <f t="shared" si="222"/>
        <v>0.90288771880326457</v>
      </c>
      <c r="DO223" s="551">
        <f t="shared" si="223"/>
        <v>68280.883734496878</v>
      </c>
      <c r="DR223" s="547">
        <f>'Hilfstabellen_Mat&amp;Bem'!$J$63</f>
        <v>4</v>
      </c>
      <c r="DS223" s="546">
        <f t="shared" si="224"/>
        <v>275</v>
      </c>
      <c r="DT223" s="551">
        <f t="shared" si="225"/>
        <v>50.386932583821881</v>
      </c>
      <c r="DU223" s="553">
        <f>DT223/PI()*SQRT('Hilfstabellen_Mat&amp;Bem'!f.Rd.3/'Hilfstabellen_Mat&amp;Bem'!$BD$30)</f>
        <v>0.80193293879533378</v>
      </c>
      <c r="DV223" s="553">
        <f>0.5*(1+'Hilfstabellen_Mat&amp;Bem'!$BD$31*(DU223-0.3)+DU223^2)</f>
        <v>0.846644866102227</v>
      </c>
      <c r="DW223" s="550">
        <f t="shared" si="226"/>
        <v>0.89434020517662705</v>
      </c>
      <c r="DY223" s="551">
        <f t="shared" si="227"/>
        <v>67634.478016482419</v>
      </c>
      <c r="EB223" s="547">
        <f>'Hilfstabellen_Mat&amp;Bem'!$J$64</f>
        <v>4.0999999999999996</v>
      </c>
      <c r="EC223" s="546">
        <f t="shared" si="228"/>
        <v>275</v>
      </c>
      <c r="ED223" s="551">
        <f t="shared" si="229"/>
        <v>51.646605898417427</v>
      </c>
      <c r="EE223" s="553">
        <f>ED223/PI()*SQRT('Hilfstabellen_Mat&amp;Bem'!f.Rd.3/'Hilfstabellen_Mat&amp;Bem'!$BD$30)</f>
        <v>0.82198126226521728</v>
      </c>
      <c r="EF223" s="553">
        <f>0.5*(1+'Hilfstabellen_Mat&amp;Bem'!$BD$31*(EE223-0.3)+EE223^2)</f>
        <v>0.86392566087082079</v>
      </c>
      <c r="EG223" s="550">
        <f t="shared" si="230"/>
        <v>0.88507530503158571</v>
      </c>
      <c r="EI223" s="551">
        <f t="shared" si="231"/>
        <v>66933.819943013674</v>
      </c>
      <c r="EL223" s="547">
        <f>'Hilfstabellen_Mat&amp;Bem'!$J$65</f>
        <v>4.2</v>
      </c>
      <c r="EM223" s="546">
        <f t="shared" si="232"/>
        <v>275</v>
      </c>
      <c r="EN223" s="551">
        <f t="shared" si="233"/>
        <v>52.906279213012979</v>
      </c>
      <c r="EO223" s="553">
        <f>EN223/PI()*SQRT('Hilfstabellen_Mat&amp;Bem'!f.Rd.3/'Hilfstabellen_Mat&amp;Bem'!$BD$30)</f>
        <v>0.84202958573510056</v>
      </c>
      <c r="EP223" s="553">
        <f>0.5*(1+'Hilfstabellen_Mat&amp;Bem'!$BD$31*(EO223-0.3)+EO223^2)</f>
        <v>0.88160839091336751</v>
      </c>
      <c r="EQ223" s="550">
        <f t="shared" si="234"/>
        <v>0.87504598750125484</v>
      </c>
      <c r="ES223" s="551">
        <f t="shared" si="235"/>
        <v>66175.352804782393</v>
      </c>
    </row>
    <row r="224" spans="3:149">
      <c r="C224" s="546">
        <v>276</v>
      </c>
      <c r="D224" s="551">
        <f t="shared" si="190"/>
        <v>35.143059863716353</v>
      </c>
      <c r="E224" s="553">
        <f>$D224/PI()*SQRT('Hilfstabellen_Mat&amp;Bem'!f.Rd.3/'Hilfstabellen_Mat&amp;Bem'!$BD$30)</f>
        <v>0.55931916926848479</v>
      </c>
      <c r="F224" s="553">
        <f>0.5*(1+'Hilfstabellen_Mat&amp;Bem'!$BD$31*($E224-0.3)+$E224^2)</f>
        <v>0.66938492501901814</v>
      </c>
      <c r="G224" s="550">
        <f t="shared" si="191"/>
        <v>0.96419699970727202</v>
      </c>
      <c r="I224" s="551">
        <f t="shared" si="236"/>
        <v>73448.670649701147</v>
      </c>
      <c r="M224" s="546">
        <f t="shared" si="192"/>
        <v>276</v>
      </c>
      <c r="N224" s="551">
        <f t="shared" si="182"/>
        <v>36.398169144563361</v>
      </c>
      <c r="O224" s="553">
        <f>$N224/PI()*SQRT('Hilfstabellen_Mat&amp;Bem'!f.Rd.3/'Hilfstabellen_Mat&amp;Bem'!$BD$30)</f>
        <v>0.57929485388521629</v>
      </c>
      <c r="P224" s="553">
        <f>0.5*(1+'Hilfstabellen_Mat&amp;Bem'!$BD$31*($O224-0.3)+$O224^2)</f>
        <v>0.68175600656320789</v>
      </c>
      <c r="Q224" s="550">
        <f t="shared" si="183"/>
        <v>0.96041905810931527</v>
      </c>
      <c r="S224" s="551">
        <f t="shared" si="237"/>
        <v>73160.882170535202</v>
      </c>
      <c r="W224" s="546">
        <f t="shared" si="193"/>
        <v>276</v>
      </c>
      <c r="X224" s="551">
        <f t="shared" si="184"/>
        <v>37.653278425410377</v>
      </c>
      <c r="Y224" s="553">
        <f>$X224/PI()*SQRT('Hilfstabellen_Mat&amp;Bem'!f.Rd.3/'Hilfstabellen_Mat&amp;Bem'!$BD$30)</f>
        <v>0.599270538501948</v>
      </c>
      <c r="Z224" s="553">
        <f>0.5*(1+'Hilfstabellen_Mat&amp;Bem'!$BD$31*($Y224-0.3)+$Y224^2)</f>
        <v>0.69452611608330472</v>
      </c>
      <c r="AA224" s="550">
        <f t="shared" si="185"/>
        <v>0.95640368959127675</v>
      </c>
      <c r="AC224" s="551">
        <f t="shared" si="238"/>
        <v>72855.007458305103</v>
      </c>
      <c r="AG224" s="546">
        <f t="shared" si="194"/>
        <v>276</v>
      </c>
      <c r="AH224" s="551">
        <f t="shared" si="186"/>
        <v>38.908387706257386</v>
      </c>
      <c r="AI224" s="553">
        <f>$AH224/PI()*SQRT('Hilfstabellen_Mat&amp;Bem'!f.Rd.3/'Hilfstabellen_Mat&amp;Bem'!$BD$30)</f>
        <v>0.6192462231186795</v>
      </c>
      <c r="AJ224" s="553">
        <f>0.5*(1+'Hilfstabellen_Mat&amp;Bem'!$BD$31*($AI224-0.3)+$AI224^2)</f>
        <v>0.70769525357930863</v>
      </c>
      <c r="AK224" s="550">
        <f t="shared" si="187"/>
        <v>0.95212390472523178</v>
      </c>
      <c r="AM224" s="551">
        <f t="shared" si="239"/>
        <v>72528.990566349254</v>
      </c>
      <c r="AQ224" s="546">
        <f t="shared" si="195"/>
        <v>276</v>
      </c>
      <c r="AR224" s="551">
        <f t="shared" si="188"/>
        <v>40.163496987104402</v>
      </c>
      <c r="AS224" s="553">
        <f>$AR224/PI()*SQRT('Hilfstabellen_Mat&amp;Bem'!f.Rd.3/'Hilfstabellen_Mat&amp;Bem'!$BD$30)</f>
        <v>0.63922190773541121</v>
      </c>
      <c r="AT224" s="553">
        <f>0.5*(1+'Hilfstabellen_Mat&amp;Bem'!$BD$31*($AS224-0.3)+$AS224^2)</f>
        <v>0.72126341905121993</v>
      </c>
      <c r="AU224" s="550">
        <f t="shared" si="189"/>
        <v>0.94754968090415725</v>
      </c>
      <c r="AW224" s="551">
        <f t="shared" si="240"/>
        <v>72180.544492555084</v>
      </c>
      <c r="AZ224" s="547">
        <f>'Hilfstabellen_Mat&amp;Bem'!$J$56</f>
        <v>3.3</v>
      </c>
      <c r="BA224" s="546">
        <f t="shared" si="196"/>
        <v>276</v>
      </c>
      <c r="BB224" s="551">
        <f t="shared" si="197"/>
        <v>41.418606267951411</v>
      </c>
      <c r="BC224" s="553">
        <f>BB224/PI()*SQRT('Hilfstabellen_Mat&amp;Bem'!f.Rd.3/'Hilfstabellen_Mat&amp;Bem'!$BD$30)</f>
        <v>0.6591975923521427</v>
      </c>
      <c r="BD224" s="553">
        <f>0.5*(1+'Hilfstabellen_Mat&amp;Bem'!$BD$31*(BC224-0.3)+BC224^2)</f>
        <v>0.73523061249903798</v>
      </c>
      <c r="BE224" s="550">
        <f t="shared" si="198"/>
        <v>0.94264770055627711</v>
      </c>
      <c r="BG224" s="551">
        <f t="shared" si="199"/>
        <v>71807.131237574969</v>
      </c>
      <c r="BJ224" s="547">
        <f>'Hilfstabellen_Mat&amp;Bem'!$J$57</f>
        <v>3.4</v>
      </c>
      <c r="BK224" s="546">
        <f t="shared" si="200"/>
        <v>276</v>
      </c>
      <c r="BL224" s="551">
        <f t="shared" si="201"/>
        <v>42.67371554879842</v>
      </c>
      <c r="BM224" s="553">
        <f>BL224/PI()*SQRT('Hilfstabellen_Mat&amp;Bem'!f.Rd.3/'Hilfstabellen_Mat&amp;Bem'!$BD$30)</f>
        <v>0.6791732769688742</v>
      </c>
      <c r="BN224" s="553">
        <f>0.5*(1+'Hilfstabellen_Mat&amp;Bem'!$BD$31*(BM224-0.3)+BM224^2)</f>
        <v>0.74959683392276322</v>
      </c>
      <c r="BO224" s="550">
        <f t="shared" si="202"/>
        <v>0.93738113086767672</v>
      </c>
      <c r="BQ224" s="551">
        <f t="shared" si="203"/>
        <v>71405.945024976143</v>
      </c>
      <c r="BT224" s="547">
        <f>'Hilfstabellen_Mat&amp;Bem'!$J$58</f>
        <v>3.5</v>
      </c>
      <c r="BU224" s="546">
        <f t="shared" si="204"/>
        <v>276</v>
      </c>
      <c r="BV224" s="551">
        <f t="shared" si="205"/>
        <v>43.928824829645436</v>
      </c>
      <c r="BW224" s="553">
        <f>BV224/PI()*SQRT('Hilfstabellen_Mat&amp;Bem'!f.Rd.3/'Hilfstabellen_Mat&amp;Bem'!$BD$30)</f>
        <v>0.69914896158560591</v>
      </c>
      <c r="BX224" s="553">
        <f>0.5*(1+'Hilfstabellen_Mat&amp;Bem'!$BD$31*(BW224-0.3)+BW224^2)</f>
        <v>0.76436208332239586</v>
      </c>
      <c r="BY224" s="550">
        <f t="shared" si="206"/>
        <v>0.93170948343583704</v>
      </c>
      <c r="CA224" s="551">
        <f t="shared" si="207"/>
        <v>70973.901610208326</v>
      </c>
      <c r="CD224" s="547">
        <f>'Hilfstabellen_Mat&amp;Bem'!$J$59</f>
        <v>3.6</v>
      </c>
      <c r="CE224" s="546">
        <f t="shared" si="208"/>
        <v>276</v>
      </c>
      <c r="CF224" s="551">
        <f t="shared" si="209"/>
        <v>45.183934110492444</v>
      </c>
      <c r="CG224" s="553">
        <f>CF224/PI()*SQRT('Hilfstabellen_Mat&amp;Bem'!f.Rd.3/'Hilfstabellen_Mat&amp;Bem'!$BD$30)</f>
        <v>0.7191246462023374</v>
      </c>
      <c r="CH224" s="553">
        <f>0.5*(1+'Hilfstabellen_Mat&amp;Bem'!$BD$31*(CG224-0.3)+CG224^2)</f>
        <v>0.77952636069793535</v>
      </c>
      <c r="CI224" s="550">
        <f t="shared" si="210"/>
        <v>0.92558860804488929</v>
      </c>
      <c r="CK224" s="551">
        <f t="shared" si="211"/>
        <v>70507.63780642749</v>
      </c>
      <c r="CN224" s="547">
        <f>'Hilfstabellen_Mat&amp;Bem'!$J$60</f>
        <v>3.7</v>
      </c>
      <c r="CO224" s="546">
        <f t="shared" si="212"/>
        <v>276</v>
      </c>
      <c r="CP224" s="551">
        <f t="shared" si="213"/>
        <v>46.43904339133946</v>
      </c>
      <c r="CQ224" s="553">
        <f>CP224/PI()*SQRT('Hilfstabellen_Mat&amp;Bem'!f.Rd.3/'Hilfstabellen_Mat&amp;Bem'!$BD$30)</f>
        <v>0.73910033081906912</v>
      </c>
      <c r="CR224" s="553">
        <f>0.5*(1+'Hilfstabellen_Mat&amp;Bem'!$BD$31*(CQ224-0.3)+CQ224^2)</f>
        <v>0.79508966604938214</v>
      </c>
      <c r="CS224" s="550">
        <f t="shared" si="214"/>
        <v>0.9189708936518024</v>
      </c>
      <c r="CU224" s="551">
        <f t="shared" si="215"/>
        <v>70003.5267948197</v>
      </c>
      <c r="CX224" s="547">
        <f>'Hilfstabellen_Mat&amp;Bem'!$J$61</f>
        <v>3.8</v>
      </c>
      <c r="CY224" s="546">
        <f t="shared" si="216"/>
        <v>276</v>
      </c>
      <c r="CZ224" s="551">
        <f t="shared" si="217"/>
        <v>47.694152672186476</v>
      </c>
      <c r="DA224" s="553">
        <f>CZ224/PI()*SQRT('Hilfstabellen_Mat&amp;Bem'!f.Rd.3/'Hilfstabellen_Mat&amp;Bem'!$BD$30)</f>
        <v>0.75907601543580072</v>
      </c>
      <c r="DB224" s="553">
        <f>0.5*(1+'Hilfstabellen_Mat&amp;Bem'!$BD$31*(DA224-0.3)+DA224^2)</f>
        <v>0.811051999376736</v>
      </c>
      <c r="DC224" s="550">
        <f t="shared" si="218"/>
        <v>0.9118057700986969</v>
      </c>
      <c r="DE224" s="551">
        <f t="shared" si="219"/>
        <v>69457.716343038337</v>
      </c>
      <c r="DH224" s="547">
        <f>'Hilfstabellen_Mat&amp;Bem'!$J$62</f>
        <v>3.9</v>
      </c>
      <c r="DI224" s="546">
        <f t="shared" si="220"/>
        <v>276</v>
      </c>
      <c r="DJ224" s="551">
        <f t="shared" si="221"/>
        <v>48.949261953033485</v>
      </c>
      <c r="DK224" s="553">
        <f>DJ224/PI()*SQRT('Hilfstabellen_Mat&amp;Bem'!f.Rd.3/'Hilfstabellen_Mat&amp;Bem'!$BD$30)</f>
        <v>0.77905170005253233</v>
      </c>
      <c r="DL224" s="553">
        <f>0.5*(1+'Hilfstabellen_Mat&amp;Bem'!$BD$31*(DK224-0.3)+DK224^2)</f>
        <v>0.82741336067999705</v>
      </c>
      <c r="DM224" s="550">
        <f t="shared" si="222"/>
        <v>0.90404062223126247</v>
      </c>
      <c r="DO224" s="551">
        <f t="shared" si="223"/>
        <v>68866.19843908865</v>
      </c>
      <c r="DR224" s="547">
        <f>'Hilfstabellen_Mat&amp;Bem'!$J$63</f>
        <v>4</v>
      </c>
      <c r="DS224" s="546">
        <f t="shared" si="224"/>
        <v>276</v>
      </c>
      <c r="DT224" s="551">
        <f t="shared" si="225"/>
        <v>50.204371233880501</v>
      </c>
      <c r="DU224" s="553">
        <f>DT224/PI()*SQRT('Hilfstabellen_Mat&amp;Bem'!f.Rd.3/'Hilfstabellen_Mat&amp;Bem'!$BD$30)</f>
        <v>0.79902738466926393</v>
      </c>
      <c r="DV224" s="553">
        <f>0.5*(1+'Hilfstabellen_Mat&amp;Bem'!$BD$31*(DU224-0.3)+DU224^2)</f>
        <v>0.84417374995916505</v>
      </c>
      <c r="DW224" s="550">
        <f t="shared" si="226"/>
        <v>0.89562223699936638</v>
      </c>
      <c r="DY224" s="551">
        <f t="shared" si="227"/>
        <v>68224.919525663732</v>
      </c>
      <c r="EB224" s="547">
        <f>'Hilfstabellen_Mat&amp;Bem'!$J$64</f>
        <v>4.0999999999999996</v>
      </c>
      <c r="EC224" s="546">
        <f t="shared" si="228"/>
        <v>276</v>
      </c>
      <c r="ED224" s="551">
        <f t="shared" si="229"/>
        <v>51.45948051472751</v>
      </c>
      <c r="EE224" s="553">
        <f>ED224/PI()*SQRT('Hilfstabellen_Mat&amp;Bem'!f.Rd.3/'Hilfstabellen_Mat&amp;Bem'!$BD$30)</f>
        <v>0.81900306928599553</v>
      </c>
      <c r="EF224" s="553">
        <f>0.5*(1+'Hilfstabellen_Mat&amp;Bem'!$BD$31*(EE224-0.3)+EE224^2)</f>
        <v>0.86133316721424036</v>
      </c>
      <c r="EG224" s="550">
        <f t="shared" si="230"/>
        <v>0.88649889284423322</v>
      </c>
      <c r="EI224" s="551">
        <f t="shared" si="231"/>
        <v>67529.939661302313</v>
      </c>
      <c r="EL224" s="547">
        <f>'Hilfstabellen_Mat&amp;Bem'!$J$65</f>
        <v>4.2</v>
      </c>
      <c r="EM224" s="546">
        <f t="shared" si="232"/>
        <v>276</v>
      </c>
      <c r="EN224" s="551">
        <f t="shared" si="233"/>
        <v>52.714589795574526</v>
      </c>
      <c r="EO224" s="553">
        <f>EN224/PI()*SQRT('Hilfstabellen_Mat&amp;Bem'!f.Rd.3/'Hilfstabellen_Mat&amp;Bem'!$BD$30)</f>
        <v>0.83897875390272714</v>
      </c>
      <c r="EP224" s="553">
        <f>0.5*(1+'Hilfstabellen_Mat&amp;Bem'!$BD$31*(EO224-0.3)+EO224^2)</f>
        <v>0.87889161244522285</v>
      </c>
      <c r="EQ224" s="550">
        <f t="shared" si="234"/>
        <v>0.8766231551400161</v>
      </c>
      <c r="ES224" s="551">
        <f t="shared" si="235"/>
        <v>66777.645465945869</v>
      </c>
    </row>
    <row r="225" spans="3:149">
      <c r="C225" s="546">
        <v>277</v>
      </c>
      <c r="D225" s="551">
        <f t="shared" si="190"/>
        <v>35.016189611500764</v>
      </c>
      <c r="E225" s="553">
        <f>$D225/PI()*SQRT('Hilfstabellen_Mat&amp;Bem'!f.Rd.3/'Hilfstabellen_Mat&amp;Bem'!$BD$30)</f>
        <v>0.55729996649134206</v>
      </c>
      <c r="F225" s="553">
        <f>0.5*(1+'Hilfstabellen_Mat&amp;Bem'!$BD$31*($E225-0.3)+$E225^2)</f>
        <v>0.66815662465019265</v>
      </c>
      <c r="G225" s="550">
        <f t="shared" si="191"/>
        <v>0.96456663973026802</v>
      </c>
      <c r="I225" s="551">
        <f t="shared" si="236"/>
        <v>74010.233699863733</v>
      </c>
      <c r="M225" s="546">
        <f t="shared" si="192"/>
        <v>277</v>
      </c>
      <c r="N225" s="551">
        <f t="shared" si="182"/>
        <v>36.266767811911507</v>
      </c>
      <c r="O225" s="553">
        <f>$N225/PI()*SQRT('Hilfstabellen_Mat&amp;Bem'!f.Rd.3/'Hilfstabellen_Mat&amp;Bem'!$BD$30)</f>
        <v>0.57720353672317581</v>
      </c>
      <c r="P225" s="553">
        <f>0.5*(1+'Hilfstabellen_Mat&amp;Bem'!$BD$31*($O225-0.3)+$O225^2)</f>
        <v>0.6804421382390301</v>
      </c>
      <c r="Q225" s="550">
        <f t="shared" si="183"/>
        <v>0.96082527020263531</v>
      </c>
      <c r="S225" s="551">
        <f t="shared" si="237"/>
        <v>73723.162157377999</v>
      </c>
      <c r="W225" s="546">
        <f t="shared" si="193"/>
        <v>277</v>
      </c>
      <c r="X225" s="551">
        <f t="shared" si="184"/>
        <v>37.51734601232225</v>
      </c>
      <c r="Y225" s="553">
        <f>$X225/PI()*SQRT('Hilfstabellen_Mat&amp;Bem'!f.Rd.3/'Hilfstabellen_Mat&amp;Bem'!$BD$30)</f>
        <v>0.59710710695500946</v>
      </c>
      <c r="Z225" s="553">
        <f>0.5*(1+'Hilfstabellen_Mat&amp;Bem'!$BD$31*($Y225-0.3)+$Y225^2)</f>
        <v>0.69312380393584105</v>
      </c>
      <c r="AA225" s="550">
        <f t="shared" si="185"/>
        <v>0.95685082880159111</v>
      </c>
      <c r="AC225" s="551">
        <f t="shared" si="238"/>
        <v>73418.207243117286</v>
      </c>
      <c r="AG225" s="546">
        <f t="shared" si="194"/>
        <v>277</v>
      </c>
      <c r="AH225" s="551">
        <f t="shared" si="186"/>
        <v>38.767924212732986</v>
      </c>
      <c r="AI225" s="553">
        <f>$AH225/PI()*SQRT('Hilfstabellen_Mat&amp;Bem'!f.Rd.3/'Hilfstabellen_Mat&amp;Bem'!$BD$30)</f>
        <v>0.6170106771868431</v>
      </c>
      <c r="AJ225" s="553">
        <f>0.5*(1+'Hilfstabellen_Mat&amp;Bem'!$BD$31*($AI225-0.3)+$AI225^2)</f>
        <v>0.70620162174062551</v>
      </c>
      <c r="AK225" s="550">
        <f t="shared" si="187"/>
        <v>0.95261692107092699</v>
      </c>
      <c r="AM225" s="551">
        <f t="shared" si="239"/>
        <v>73093.343736851151</v>
      </c>
      <c r="AQ225" s="546">
        <f t="shared" si="195"/>
        <v>277</v>
      </c>
      <c r="AR225" s="551">
        <f t="shared" si="188"/>
        <v>40.018502413143736</v>
      </c>
      <c r="AS225" s="553">
        <f>$AR225/PI()*SQRT('Hilfstabellen_Mat&amp;Bem'!f.Rd.3/'Hilfstabellen_Mat&amp;Bem'!$BD$30)</f>
        <v>0.63691424741867675</v>
      </c>
      <c r="AT225" s="553">
        <f>0.5*(1+'Hilfstabellen_Mat&amp;Bem'!$BD$31*($AS225-0.3)+$AS225^2)</f>
        <v>0.71967559165338346</v>
      </c>
      <c r="AU225" s="550">
        <f t="shared" si="189"/>
        <v>0.94809419214451718</v>
      </c>
      <c r="AW225" s="551">
        <f t="shared" si="240"/>
        <v>72746.319269056665</v>
      </c>
      <c r="AZ225" s="547">
        <f>'Hilfstabellen_Mat&amp;Bem'!$J$56</f>
        <v>3.3</v>
      </c>
      <c r="BA225" s="546">
        <f t="shared" si="196"/>
        <v>277</v>
      </c>
      <c r="BB225" s="551">
        <f t="shared" si="197"/>
        <v>41.269080613554479</v>
      </c>
      <c r="BC225" s="553">
        <f>BB225/PI()*SQRT('Hilfstabellen_Mat&amp;Bem'!f.Rd.3/'Hilfstabellen_Mat&amp;Bem'!$BD$30)</f>
        <v>0.6568178176505105</v>
      </c>
      <c r="BD225" s="553">
        <f>0.5*(1+'Hilfstabellen_Mat&amp;Bem'!$BD$31*(BC225-0.3)+BC225^2)</f>
        <v>0.73354571367411514</v>
      </c>
      <c r="BE225" s="550">
        <f t="shared" si="198"/>
        <v>0.9432500668822601</v>
      </c>
      <c r="BG225" s="551">
        <f t="shared" si="199"/>
        <v>72374.634381808937</v>
      </c>
      <c r="BJ225" s="547">
        <f>'Hilfstabellen_Mat&amp;Bem'!$J$57</f>
        <v>3.4</v>
      </c>
      <c r="BK225" s="546">
        <f t="shared" si="200"/>
        <v>277</v>
      </c>
      <c r="BL225" s="551">
        <f t="shared" si="201"/>
        <v>42.519658813965215</v>
      </c>
      <c r="BM225" s="553">
        <f>BL225/PI()*SQRT('Hilfstabellen_Mat&amp;Bem'!f.Rd.3/'Hilfstabellen_Mat&amp;Bem'!$BD$30)</f>
        <v>0.67672138788234404</v>
      </c>
      <c r="BN225" s="553">
        <f>0.5*(1+'Hilfstabellen_Mat&amp;Bem'!$BD$31*(BM225-0.3)+BM225^2)</f>
        <v>0.74781198780282021</v>
      </c>
      <c r="BO225" s="550">
        <f t="shared" si="202"/>
        <v>0.93804852720494036</v>
      </c>
      <c r="BQ225" s="551">
        <f t="shared" si="203"/>
        <v>71975.525443907871</v>
      </c>
      <c r="BT225" s="547">
        <f>'Hilfstabellen_Mat&amp;Bem'!$J$58</f>
        <v>3.5</v>
      </c>
      <c r="BU225" s="546">
        <f t="shared" si="204"/>
        <v>277</v>
      </c>
      <c r="BV225" s="551">
        <f t="shared" si="205"/>
        <v>43.770237014375958</v>
      </c>
      <c r="BW225" s="553">
        <f>BV225/PI()*SQRT('Hilfstabellen_Mat&amp;Bem'!f.Rd.3/'Hilfstabellen_Mat&amp;Bem'!$BD$30)</f>
        <v>0.69662495811417768</v>
      </c>
      <c r="BX225" s="553">
        <f>0.5*(1+'Hilfstabellen_Mat&amp;Bem'!$BD$31*(BW225-0.3)+BW225^2)</f>
        <v>0.76247441403949878</v>
      </c>
      <c r="BY225" s="550">
        <f t="shared" si="206"/>
        <v>0.93244996255002111</v>
      </c>
      <c r="CA225" s="551">
        <f t="shared" si="207"/>
        <v>71545.953176500567</v>
      </c>
      <c r="CD225" s="547">
        <f>'Hilfstabellen_Mat&amp;Bem'!$J$59</f>
        <v>3.6</v>
      </c>
      <c r="CE225" s="546">
        <f t="shared" si="208"/>
        <v>277</v>
      </c>
      <c r="CF225" s="551">
        <f t="shared" si="209"/>
        <v>45.020815214786701</v>
      </c>
      <c r="CG225" s="553">
        <f>CF225/PI()*SQRT('Hilfstabellen_Mat&amp;Bem'!f.Rd.3/'Hilfstabellen_Mat&amp;Bem'!$BD$30)</f>
        <v>0.71652852834601133</v>
      </c>
      <c r="CH225" s="553">
        <f>0.5*(1+'Hilfstabellen_Mat&amp;Bem'!$BD$31*(CG225-0.3)+CG225^2)</f>
        <v>0.77753299238415097</v>
      </c>
      <c r="CI225" s="550">
        <f t="shared" si="210"/>
        <v>0.92641114430128446</v>
      </c>
      <c r="CK225" s="551">
        <f t="shared" si="211"/>
        <v>71082.600691093248</v>
      </c>
      <c r="CN225" s="547">
        <f>'Hilfstabellen_Mat&amp;Bem'!$J$60</f>
        <v>3.7</v>
      </c>
      <c r="CO225" s="546">
        <f t="shared" si="212"/>
        <v>277</v>
      </c>
      <c r="CP225" s="551">
        <f t="shared" si="213"/>
        <v>46.271393415197437</v>
      </c>
      <c r="CQ225" s="553">
        <f>CP225/PI()*SQRT('Hilfstabellen_Mat&amp;Bem'!f.Rd.3/'Hilfstabellen_Mat&amp;Bem'!$BD$30)</f>
        <v>0.73643209857784497</v>
      </c>
      <c r="CR225" s="553">
        <f>0.5*(1+'Hilfstabellen_Mat&amp;Bem'!$BD$31*(CQ225-0.3)+CQ225^2)</f>
        <v>0.79298772283677665</v>
      </c>
      <c r="CS225" s="550">
        <f t="shared" si="214"/>
        <v>0.91988539309570394</v>
      </c>
      <c r="CU225" s="551">
        <f t="shared" si="215"/>
        <v>70581.886326840264</v>
      </c>
      <c r="CX225" s="547">
        <f>'Hilfstabellen_Mat&amp;Bem'!$J$61</f>
        <v>3.8</v>
      </c>
      <c r="CY225" s="546">
        <f t="shared" si="216"/>
        <v>277</v>
      </c>
      <c r="CZ225" s="551">
        <f t="shared" si="217"/>
        <v>47.52197161560818</v>
      </c>
      <c r="DA225" s="553">
        <f>CZ225/PI()*SQRT('Hilfstabellen_Mat&amp;Bem'!f.Rd.3/'Hilfstabellen_Mat&amp;Bem'!$BD$30)</f>
        <v>0.75633566880967862</v>
      </c>
      <c r="DB225" s="553">
        <f>0.5*(1+'Hilfstabellen_Mat&amp;Bem'!$BD$31*(DA225-0.3)+DA225^2)</f>
        <v>0.80883860539737595</v>
      </c>
      <c r="DC225" s="550">
        <f t="shared" si="218"/>
        <v>0.91282302772588464</v>
      </c>
      <c r="DE225" s="551">
        <f t="shared" si="219"/>
        <v>70039.998094379407</v>
      </c>
      <c r="DH225" s="547">
        <f>'Hilfstabellen_Mat&amp;Bem'!$J$62</f>
        <v>3.9</v>
      </c>
      <c r="DI225" s="546">
        <f t="shared" si="220"/>
        <v>277</v>
      </c>
      <c r="DJ225" s="551">
        <f t="shared" si="221"/>
        <v>48.772549816018923</v>
      </c>
      <c r="DK225" s="553">
        <f>DJ225/PI()*SQRT('Hilfstabellen_Mat&amp;Bem'!f.Rd.3/'Hilfstabellen_Mat&amp;Bem'!$BD$30)</f>
        <v>0.77623923904151226</v>
      </c>
      <c r="DL225" s="553">
        <f>0.5*(1+'Hilfstabellen_Mat&amp;Bem'!$BD$31*(DK225-0.3)+DK225^2)</f>
        <v>0.82508564006594853</v>
      </c>
      <c r="DM225" s="550">
        <f t="shared" si="222"/>
        <v>0.90517220259755138</v>
      </c>
      <c r="DO225" s="551">
        <f t="shared" si="223"/>
        <v>69452.957933107522</v>
      </c>
      <c r="DR225" s="547">
        <f>'Hilfstabellen_Mat&amp;Bem'!$J$63</f>
        <v>4</v>
      </c>
      <c r="DS225" s="546">
        <f t="shared" si="224"/>
        <v>277</v>
      </c>
      <c r="DT225" s="551">
        <f t="shared" si="225"/>
        <v>50.023128016429666</v>
      </c>
      <c r="DU225" s="553">
        <f>DT225/PI()*SQRT('Hilfstabellen_Mat&amp;Bem'!f.Rd.3/'Hilfstabellen_Mat&amp;Bem'!$BD$30)</f>
        <v>0.79614280927334591</v>
      </c>
      <c r="DV225" s="553">
        <f>0.5*(1+'Hilfstabellen_Mat&amp;Bem'!$BD$31*(DU225-0.3)+DU225^2)</f>
        <v>0.84172882684249495</v>
      </c>
      <c r="DW225" s="550">
        <f t="shared" si="226"/>
        <v>0.89688025105504465</v>
      </c>
      <c r="DY225" s="551">
        <f t="shared" si="227"/>
        <v>68816.724783202517</v>
      </c>
      <c r="EB225" s="547">
        <f>'Hilfstabellen_Mat&amp;Bem'!$J$64</f>
        <v>4.0999999999999996</v>
      </c>
      <c r="EC225" s="546">
        <f t="shared" si="228"/>
        <v>277</v>
      </c>
      <c r="ED225" s="551">
        <f t="shared" si="229"/>
        <v>51.273706216840409</v>
      </c>
      <c r="EE225" s="553">
        <f>ED225/PI()*SQRT('Hilfstabellen_Mat&amp;Bem'!f.Rd.3/'Hilfstabellen_Mat&amp;Bem'!$BD$30)</f>
        <v>0.81604637950517955</v>
      </c>
      <c r="EF225" s="553">
        <f>0.5*(1+'Hilfstabellen_Mat&amp;Bem'!$BD$31*(EE225-0.3)+EE225^2)</f>
        <v>0.85876816572701475</v>
      </c>
      <c r="EG225" s="550">
        <f t="shared" si="230"/>
        <v>0.88789564433187529</v>
      </c>
      <c r="EI225" s="551">
        <f t="shared" si="231"/>
        <v>68127.344893940462</v>
      </c>
      <c r="EL225" s="547">
        <f>'Hilfstabellen_Mat&amp;Bem'!$J$65</f>
        <v>4.2</v>
      </c>
      <c r="EM225" s="546">
        <f t="shared" si="232"/>
        <v>277</v>
      </c>
      <c r="EN225" s="551">
        <f t="shared" si="233"/>
        <v>52.524284417251152</v>
      </c>
      <c r="EO225" s="553">
        <f>EN225/PI()*SQRT('Hilfstabellen_Mat&amp;Bem'!f.Rd.3/'Hilfstabellen_Mat&amp;Bem'!$BD$30)</f>
        <v>0.83594994973701331</v>
      </c>
      <c r="EP225" s="553">
        <f>0.5*(1+'Hilfstabellen_Mat&amp;Bem'!$BD$31*(EO225-0.3)+EO225^2)</f>
        <v>0.87620365671950817</v>
      </c>
      <c r="EQ225" s="550">
        <f t="shared" si="234"/>
        <v>0.87817063710308574</v>
      </c>
      <c r="ES225" s="551">
        <f t="shared" si="235"/>
        <v>67381.154814282665</v>
      </c>
    </row>
    <row r="226" spans="3:149">
      <c r="C226" s="546">
        <v>278</v>
      </c>
      <c r="D226" s="551">
        <f t="shared" si="190"/>
        <v>34.890232094912633</v>
      </c>
      <c r="E226" s="553">
        <f>$D226/PI()*SQRT('Hilfstabellen_Mat&amp;Bem'!f.Rd.3/'Hilfstabellen_Mat&amp;Bem'!$BD$30)</f>
        <v>0.55529529035288405</v>
      </c>
      <c r="F226" s="553">
        <f>0.5*(1+'Hilfstabellen_Mat&amp;Bem'!$BD$31*($E226-0.3)+$E226^2)</f>
        <v>0.66694119426169107</v>
      </c>
      <c r="G226" s="550">
        <f t="shared" si="191"/>
        <v>0.96493149086689678</v>
      </c>
      <c r="I226" s="551">
        <f t="shared" si="236"/>
        <v>74573.765340157246</v>
      </c>
      <c r="M226" s="546">
        <f t="shared" si="192"/>
        <v>278</v>
      </c>
      <c r="N226" s="551">
        <f t="shared" si="182"/>
        <v>36.13631181258809</v>
      </c>
      <c r="O226" s="553">
        <f>$N226/PI()*SQRT('Hilfstabellen_Mat&amp;Bem'!f.Rd.3/'Hilfstabellen_Mat&amp;Bem'!$BD$30)</f>
        <v>0.57512726500834432</v>
      </c>
      <c r="P226" s="553">
        <f>0.5*(1+'Hilfstabellen_Mat&amp;Bem'!$BD$31*($O226-0.3)+$O226^2)</f>
        <v>0.67914204872840633</v>
      </c>
      <c r="Q226" s="550">
        <f t="shared" si="183"/>
        <v>0.96122601679287301</v>
      </c>
      <c r="S226" s="551">
        <f t="shared" si="237"/>
        <v>74287.391481820392</v>
      </c>
      <c r="W226" s="546">
        <f t="shared" si="193"/>
        <v>278</v>
      </c>
      <c r="X226" s="551">
        <f t="shared" si="184"/>
        <v>37.38239153026354</v>
      </c>
      <c r="Y226" s="553">
        <f>$X226/PI()*SQRT('Hilfstabellen_Mat&amp;Bem'!f.Rd.3/'Hilfstabellen_Mat&amp;Bem'!$BD$30)</f>
        <v>0.59495923966380448</v>
      </c>
      <c r="Z226" s="553">
        <f>0.5*(1+'Hilfstabellen_Mat&amp;Bem'!$BD$31*($Y226-0.3)+$Y226^2)</f>
        <v>0.69173621041385636</v>
      </c>
      <c r="AA226" s="550">
        <f t="shared" si="185"/>
        <v>0.95729172142276109</v>
      </c>
      <c r="AC226" s="551">
        <f t="shared" si="238"/>
        <v>73983.333398436662</v>
      </c>
      <c r="AG226" s="546">
        <f t="shared" si="194"/>
        <v>278</v>
      </c>
      <c r="AH226" s="551">
        <f t="shared" si="186"/>
        <v>38.62847124793899</v>
      </c>
      <c r="AI226" s="553">
        <f>$AH226/PI()*SQRT('Hilfstabellen_Mat&amp;Bem'!f.Rd.3/'Hilfstabellen_Mat&amp;Bem'!$BD$30)</f>
        <v>0.61479121431926453</v>
      </c>
      <c r="AJ226" s="553">
        <f>0.5*(1+'Hilfstabellen_Mat&amp;Bem'!$BD$31*($AI226-0.3)+$AI226^2)</f>
        <v>0.70472367931804114</v>
      </c>
      <c r="AK226" s="550">
        <f t="shared" si="187"/>
        <v>0.95310278933976655</v>
      </c>
      <c r="AM226" s="551">
        <f t="shared" si="239"/>
        <v>73659.595971334522</v>
      </c>
      <c r="AQ226" s="546">
        <f t="shared" si="195"/>
        <v>278</v>
      </c>
      <c r="AR226" s="551">
        <f t="shared" si="188"/>
        <v>39.874550965614439</v>
      </c>
      <c r="AS226" s="553">
        <f>$AR226/PI()*SQRT('Hilfstabellen_Mat&amp;Bem'!f.Rd.3/'Hilfstabellen_Mat&amp;Bem'!$BD$30)</f>
        <v>0.63462318897472469</v>
      </c>
      <c r="AT226" s="553">
        <f>0.5*(1+'Hilfstabellen_Mat&amp;Bem'!$BD$31*($AS226-0.3)+$AS226^2)</f>
        <v>0.7181044554409608</v>
      </c>
      <c r="AU226" s="550">
        <f t="shared" si="189"/>
        <v>0.9486305158093119</v>
      </c>
      <c r="AW226" s="551">
        <f t="shared" si="240"/>
        <v>73313.960783806862</v>
      </c>
      <c r="AZ226" s="547">
        <f>'Hilfstabellen_Mat&amp;Bem'!$J$56</f>
        <v>3.3</v>
      </c>
      <c r="BA226" s="546">
        <f t="shared" si="196"/>
        <v>278</v>
      </c>
      <c r="BB226" s="551">
        <f t="shared" si="197"/>
        <v>41.120630683289896</v>
      </c>
      <c r="BC226" s="553">
        <f>BB226/PI()*SQRT('Hilfstabellen_Mat&amp;Bem'!f.Rd.3/'Hilfstabellen_Mat&amp;Bem'!$BD$30)</f>
        <v>0.65445516363018497</v>
      </c>
      <c r="BD226" s="553">
        <f>0.5*(1+'Hilfstabellen_Mat&amp;Bem'!$BD$31*(BC226-0.3)+BC226^2)</f>
        <v>0.73187853878261533</v>
      </c>
      <c r="BE226" s="550">
        <f t="shared" si="198"/>
        <v>0.94384304914360295</v>
      </c>
      <c r="BG226" s="551">
        <f t="shared" si="199"/>
        <v>72943.966210014216</v>
      </c>
      <c r="BJ226" s="547">
        <f>'Hilfstabellen_Mat&amp;Bem'!$J$57</f>
        <v>3.4</v>
      </c>
      <c r="BK226" s="546">
        <f t="shared" si="200"/>
        <v>278</v>
      </c>
      <c r="BL226" s="551">
        <f t="shared" si="201"/>
        <v>42.366710400965346</v>
      </c>
      <c r="BM226" s="553">
        <f>BL226/PI()*SQRT('Hilfstabellen_Mat&amp;Bem'!f.Rd.3/'Hilfstabellen_Mat&amp;Bem'!$BD$30)</f>
        <v>0.67428713828564502</v>
      </c>
      <c r="BN226" s="553">
        <f>0.5*(1+'Hilfstabellen_Mat&amp;Bem'!$BD$31*(BM226-0.3)+BM226^2)</f>
        <v>0.74604592934300451</v>
      </c>
      <c r="BO226" s="550">
        <f t="shared" si="202"/>
        <v>0.9387051662908974</v>
      </c>
      <c r="BQ226" s="551">
        <f t="shared" si="203"/>
        <v>72546.890071625719</v>
      </c>
      <c r="BT226" s="547">
        <f>'Hilfstabellen_Mat&amp;Bem'!$J$58</f>
        <v>3.5</v>
      </c>
      <c r="BU226" s="546">
        <f t="shared" si="204"/>
        <v>278</v>
      </c>
      <c r="BV226" s="551">
        <f t="shared" si="205"/>
        <v>43.612790118640795</v>
      </c>
      <c r="BW226" s="553">
        <f>BV226/PI()*SQRT('Hilfstabellen_Mat&amp;Bem'!f.Rd.3/'Hilfstabellen_Mat&amp;Bem'!$BD$30)</f>
        <v>0.69411911294110518</v>
      </c>
      <c r="BX226" s="553">
        <f>0.5*(1+'Hilfstabellen_Mat&amp;Bem'!$BD$31*(BW226-0.3)+BW226^2)</f>
        <v>0.76060662712212856</v>
      </c>
      <c r="BY226" s="550">
        <f t="shared" si="206"/>
        <v>0.93317811522828298</v>
      </c>
      <c r="CA226" s="551">
        <f t="shared" si="207"/>
        <v>72119.737457302617</v>
      </c>
      <c r="CD226" s="547">
        <f>'Hilfstabellen_Mat&amp;Bem'!$J$59</f>
        <v>3.6</v>
      </c>
      <c r="CE226" s="546">
        <f t="shared" si="208"/>
        <v>278</v>
      </c>
      <c r="CF226" s="551">
        <f t="shared" si="209"/>
        <v>44.858869836316245</v>
      </c>
      <c r="CG226" s="553">
        <f>CF226/PI()*SQRT('Hilfstabellen_Mat&amp;Bem'!f.Rd.3/'Hilfstabellen_Mat&amp;Bem'!$BD$30)</f>
        <v>0.71395108759656534</v>
      </c>
      <c r="CH226" s="553">
        <f>0.5*(1+'Hilfstabellen_Mat&amp;Bem'!$BD$31*(CG226-0.3)+CG226^2)</f>
        <v>0.77556063211998749</v>
      </c>
      <c r="CI226" s="550">
        <f t="shared" si="210"/>
        <v>0.92721957186693726</v>
      </c>
      <c r="CK226" s="551">
        <f t="shared" si="211"/>
        <v>71659.237392164374</v>
      </c>
      <c r="CN226" s="547">
        <f>'Hilfstabellen_Mat&amp;Bem'!$J$60</f>
        <v>3.7</v>
      </c>
      <c r="CO226" s="546">
        <f t="shared" si="212"/>
        <v>278</v>
      </c>
      <c r="CP226" s="551">
        <f t="shared" si="213"/>
        <v>46.104949553991695</v>
      </c>
      <c r="CQ226" s="553">
        <f>CP226/PI()*SQRT('Hilfstabellen_Mat&amp;Bem'!f.Rd.3/'Hilfstabellen_Mat&amp;Bem'!$BD$30)</f>
        <v>0.73378306225202539</v>
      </c>
      <c r="CR226" s="553">
        <f>0.5*(1+'Hilfstabellen_Mat&amp;Bem'!$BD$31*(CQ226-0.3)+CQ226^2)</f>
        <v>0.79090794433658118</v>
      </c>
      <c r="CS226" s="550">
        <f t="shared" si="214"/>
        <v>0.92078377639980979</v>
      </c>
      <c r="CU226" s="551">
        <f t="shared" si="215"/>
        <v>71161.853375282895</v>
      </c>
      <c r="CX226" s="547">
        <f>'Hilfstabellen_Mat&amp;Bem'!$J$61</f>
        <v>3.8</v>
      </c>
      <c r="CY226" s="546">
        <f t="shared" si="216"/>
        <v>278</v>
      </c>
      <c r="CZ226" s="551">
        <f t="shared" si="217"/>
        <v>47.351029271667144</v>
      </c>
      <c r="DA226" s="553">
        <f>CZ226/PI()*SQRT('Hilfstabellen_Mat&amp;Bem'!f.Rd.3/'Hilfstabellen_Mat&amp;Bem'!$BD$30)</f>
        <v>0.75361503690748555</v>
      </c>
      <c r="DB226" s="553">
        <f>0.5*(1+'Hilfstabellen_Mat&amp;Bem'!$BD$31*(DA226-0.3)+DA226^2)</f>
        <v>0.80664856377190974</v>
      </c>
      <c r="DC226" s="550">
        <f t="shared" si="218"/>
        <v>0.9138219331971541</v>
      </c>
      <c r="DE226" s="551">
        <f t="shared" si="219"/>
        <v>70623.814285208864</v>
      </c>
      <c r="DH226" s="547">
        <f>'Hilfstabellen_Mat&amp;Bem'!$J$62</f>
        <v>3.9</v>
      </c>
      <c r="DI226" s="546">
        <f t="shared" si="220"/>
        <v>278</v>
      </c>
      <c r="DJ226" s="551">
        <f t="shared" si="221"/>
        <v>48.597108989342594</v>
      </c>
      <c r="DK226" s="553">
        <f>DJ226/PI()*SQRT('Hilfstabellen_Mat&amp;Bem'!f.Rd.3/'Hilfstabellen_Mat&amp;Bem'!$BD$30)</f>
        <v>0.77344701156294571</v>
      </c>
      <c r="DL226" s="553">
        <f>0.5*(1+'Hilfstabellen_Mat&amp;Bem'!$BD$31*(DK226-0.3)+DK226^2)</f>
        <v>0.82278249042597307</v>
      </c>
      <c r="DM226" s="550">
        <f t="shared" si="222"/>
        <v>0.906282976552794</v>
      </c>
      <c r="DO226" s="551">
        <f t="shared" si="223"/>
        <v>70041.173559906136</v>
      </c>
      <c r="DR226" s="547">
        <f>'Hilfstabellen_Mat&amp;Bem'!$J$63</f>
        <v>4</v>
      </c>
      <c r="DS226" s="546">
        <f t="shared" si="224"/>
        <v>278</v>
      </c>
      <c r="DT226" s="551">
        <f t="shared" si="225"/>
        <v>49.843188707018044</v>
      </c>
      <c r="DU226" s="553">
        <f>DT226/PI()*SQRT('Hilfstabellen_Mat&amp;Bem'!f.Rd.3/'Hilfstabellen_Mat&amp;Bem'!$BD$30)</f>
        <v>0.79327898621840576</v>
      </c>
      <c r="DV226" s="553">
        <f>0.5*(1+'Hilfstabellen_Mat&amp;Bem'!$BD$31*(DU226-0.3)+DU226^2)</f>
        <v>0.83930972429877104</v>
      </c>
      <c r="DW226" s="550">
        <f t="shared" si="226"/>
        <v>0.89811481612713184</v>
      </c>
      <c r="DY226" s="551">
        <f t="shared" si="227"/>
        <v>69409.905449569254</v>
      </c>
      <c r="EB226" s="547">
        <f>'Hilfstabellen_Mat&amp;Bem'!$J$64</f>
        <v>4.0999999999999996</v>
      </c>
      <c r="EC226" s="546">
        <f t="shared" si="228"/>
        <v>278</v>
      </c>
      <c r="ED226" s="551">
        <f t="shared" si="229"/>
        <v>51.0892684246935</v>
      </c>
      <c r="EE226" s="553">
        <f>ED226/PI()*SQRT('Hilfstabellen_Mat&amp;Bem'!f.Rd.3/'Hilfstabellen_Mat&amp;Bem'!$BD$30)</f>
        <v>0.81311096087386603</v>
      </c>
      <c r="EF226" s="553">
        <f>0.5*(1+'Hilfstabellen_Mat&amp;Bem'!$BD$31*(EE226-0.3)+EE226^2)</f>
        <v>0.85623026539030422</v>
      </c>
      <c r="EG226" s="550">
        <f t="shared" si="230"/>
        <v>0.88926617163014876</v>
      </c>
      <c r="EI226" s="551">
        <f t="shared" si="231"/>
        <v>68726.046808264422</v>
      </c>
      <c r="EL226" s="547">
        <f>'Hilfstabellen_Mat&amp;Bem'!$J$65</f>
        <v>4.2</v>
      </c>
      <c r="EM226" s="546">
        <f t="shared" si="232"/>
        <v>278</v>
      </c>
      <c r="EN226" s="551">
        <f t="shared" si="233"/>
        <v>52.33534814236895</v>
      </c>
      <c r="EO226" s="553">
        <f>EN226/PI()*SQRT('Hilfstabellen_Mat&amp;Bem'!f.Rd.3/'Hilfstabellen_Mat&amp;Bem'!$BD$30)</f>
        <v>0.83294293552932608</v>
      </c>
      <c r="EP226" s="553">
        <f>0.5*(1+'Hilfstabellen_Mat&amp;Bem'!$BD$31*(EO226-0.3)+EO226^2)</f>
        <v>0.87354411370057183</v>
      </c>
      <c r="EQ226" s="550">
        <f t="shared" si="234"/>
        <v>0.87968907361599769</v>
      </c>
      <c r="ES226" s="551">
        <f t="shared" si="235"/>
        <v>67985.890365338768</v>
      </c>
    </row>
    <row r="227" spans="3:149">
      <c r="C227" s="546">
        <v>279</v>
      </c>
      <c r="D227" s="551">
        <f t="shared" si="190"/>
        <v>34.765177499590365</v>
      </c>
      <c r="E227" s="553">
        <f>$D227/PI()*SQRT('Hilfstabellen_Mat&amp;Bem'!f.Rd.3/'Hilfstabellen_Mat&amp;Bem'!$BD$30)</f>
        <v>0.55330498465269451</v>
      </c>
      <c r="F227" s="553">
        <f>0.5*(1+'Hilfstabellen_Mat&amp;Bem'!$BD$31*($E227-0.3)+$E227^2)</f>
        <v>0.6657384522533939</v>
      </c>
      <c r="G227" s="550">
        <f t="shared" si="191"/>
        <v>0.96529164997998906</v>
      </c>
      <c r="I227" s="551">
        <f t="shared" si="236"/>
        <v>75139.267326092333</v>
      </c>
      <c r="M227" s="546">
        <f t="shared" si="192"/>
        <v>279</v>
      </c>
      <c r="N227" s="551">
        <f t="shared" si="182"/>
        <v>36.006790981718595</v>
      </c>
      <c r="O227" s="553">
        <f>$N227/PI()*SQRT('Hilfstabellen_Mat&amp;Bem'!f.Rd.3/'Hilfstabellen_Mat&amp;Bem'!$BD$30)</f>
        <v>0.57306587696171929</v>
      </c>
      <c r="P227" s="553">
        <f>0.5*(1+'Hilfstabellen_Mat&amp;Bem'!$BD$31*($O227-0.3)+$O227^2)</f>
        <v>0.67785554351703814</v>
      </c>
      <c r="Q227" s="550">
        <f t="shared" si="183"/>
        <v>0.96162141179610516</v>
      </c>
      <c r="S227" s="551">
        <f t="shared" si="237"/>
        <v>74853.572315620622</v>
      </c>
      <c r="W227" s="546">
        <f t="shared" si="193"/>
        <v>279</v>
      </c>
      <c r="X227" s="551">
        <f t="shared" si="184"/>
        <v>37.248404463846818</v>
      </c>
      <c r="Y227" s="553">
        <f>$X227/PI()*SQRT('Hilfstabellen_Mat&amp;Bem'!f.Rd.3/'Hilfstabellen_Mat&amp;Bem'!$BD$30)</f>
        <v>0.59282676927074407</v>
      </c>
      <c r="Z227" s="553">
        <f>0.5*(1+'Hilfstabellen_Mat&amp;Bem'!$BD$31*($Y227-0.3)+$Y227^2)</f>
        <v>0.6903631276455312</v>
      </c>
      <c r="AA227" s="550">
        <f t="shared" si="185"/>
        <v>0.95772650145827465</v>
      </c>
      <c r="AC227" s="551">
        <f t="shared" si="238"/>
        <v>74550.388600013554</v>
      </c>
      <c r="AG227" s="546">
        <f t="shared" si="194"/>
        <v>279</v>
      </c>
      <c r="AH227" s="551">
        <f t="shared" si="186"/>
        <v>38.490017945975048</v>
      </c>
      <c r="AI227" s="553">
        <f>$AH227/PI()*SQRT('Hilfstabellen_Mat&amp;Bem'!f.Rd.3/'Hilfstabellen_Mat&amp;Bem'!$BD$30)</f>
        <v>0.61258766157976896</v>
      </c>
      <c r="AJ227" s="553">
        <f>0.5*(1+'Hilfstabellen_Mat&amp;Bem'!$BD$31*($AI227-0.3)+$AI227^2)</f>
        <v>0.70326120463887321</v>
      </c>
      <c r="AK227" s="550">
        <f t="shared" si="187"/>
        <v>0.95358166712411119</v>
      </c>
      <c r="AM227" s="551">
        <f t="shared" si="239"/>
        <v>74227.750550607932</v>
      </c>
      <c r="AQ227" s="546">
        <f t="shared" si="195"/>
        <v>279</v>
      </c>
      <c r="AR227" s="551">
        <f t="shared" si="188"/>
        <v>39.731631428103277</v>
      </c>
      <c r="AS227" s="553">
        <f>$AR227/PI()*SQRT('Hilfstabellen_Mat&amp;Bem'!f.Rd.3/'Hilfstabellen_Mat&amp;Bem'!$BD$30)</f>
        <v>0.63234855388879385</v>
      </c>
      <c r="AT227" s="553">
        <f>0.5*(1+'Hilfstabellen_Mat&amp;Bem'!$BD$31*($AS227-0.3)+$AS227^2)</f>
        <v>0.71654977449706414</v>
      </c>
      <c r="AU227" s="550">
        <f t="shared" si="189"/>
        <v>0.94915883706613735</v>
      </c>
      <c r="AW227" s="551">
        <f t="shared" si="240"/>
        <v>73883.473036065203</v>
      </c>
      <c r="AZ227" s="547">
        <f>'Hilfstabellen_Mat&amp;Bem'!$J$56</f>
        <v>3.3</v>
      </c>
      <c r="BA227" s="546">
        <f t="shared" si="196"/>
        <v>279</v>
      </c>
      <c r="BB227" s="551">
        <f t="shared" si="197"/>
        <v>40.973244910231507</v>
      </c>
      <c r="BC227" s="553">
        <f>BB227/PI()*SQRT('Hilfstabellen_Mat&amp;Bem'!f.Rd.3/'Hilfstabellen_Mat&amp;Bem'!$BD$30)</f>
        <v>0.65210944619781863</v>
      </c>
      <c r="BD227" s="553">
        <f>0.5*(1+'Hilfstabellen_Mat&amp;Bem'!$BD$31*(BC227-0.3)+BC227^2)</f>
        <v>0.73022883722010379</v>
      </c>
      <c r="BE227" s="550">
        <f t="shared" si="198"/>
        <v>0.94442686453602809</v>
      </c>
      <c r="BG227" s="551">
        <f t="shared" si="199"/>
        <v>73515.131562348965</v>
      </c>
      <c r="BJ227" s="547">
        <f>'Hilfstabellen_Mat&amp;Bem'!$J$57</f>
        <v>3.4</v>
      </c>
      <c r="BK227" s="546">
        <f t="shared" si="200"/>
        <v>279</v>
      </c>
      <c r="BL227" s="551">
        <f t="shared" si="201"/>
        <v>42.21485839235973</v>
      </c>
      <c r="BM227" s="553">
        <f>BL227/PI()*SQRT('Hilfstabellen_Mat&amp;Bem'!f.Rd.3/'Hilfstabellen_Mat&amp;Bem'!$BD$30)</f>
        <v>0.67187033850684341</v>
      </c>
      <c r="BN227" s="553">
        <f>0.5*(1+'Hilfstabellen_Mat&amp;Bem'!$BD$31*(BM227-0.3)+BM227^2)</f>
        <v>0.74429839280799237</v>
      </c>
      <c r="BO227" s="550">
        <f t="shared" si="202"/>
        <v>0.93935130219020946</v>
      </c>
      <c r="BQ227" s="551">
        <f t="shared" si="203"/>
        <v>73120.044713788098</v>
      </c>
      <c r="BT227" s="547">
        <f>'Hilfstabellen_Mat&amp;Bem'!$J$58</f>
        <v>3.5</v>
      </c>
      <c r="BU227" s="546">
        <f t="shared" si="204"/>
        <v>279</v>
      </c>
      <c r="BV227" s="551">
        <f t="shared" si="205"/>
        <v>43.45647187448796</v>
      </c>
      <c r="BW227" s="553">
        <f>BV227/PI()*SQRT('Hilfstabellen_Mat&amp;Bem'!f.Rd.3/'Hilfstabellen_Mat&amp;Bem'!$BD$30)</f>
        <v>0.6916312308158683</v>
      </c>
      <c r="BX227" s="553">
        <f>0.5*(1+'Hilfstabellen_Mat&amp;Bem'!$BD$31*(BW227-0.3)+BW227^2)</f>
        <v>0.75875844126072978</v>
      </c>
      <c r="BY227" s="550">
        <f t="shared" si="206"/>
        <v>0.93389423746049238</v>
      </c>
      <c r="CA227" s="551">
        <f t="shared" si="207"/>
        <v>72695.261338162192</v>
      </c>
      <c r="CD227" s="547">
        <f>'Hilfstabellen_Mat&amp;Bem'!$J$59</f>
        <v>3.6</v>
      </c>
      <c r="CE227" s="546">
        <f t="shared" si="208"/>
        <v>279</v>
      </c>
      <c r="CF227" s="551">
        <f t="shared" si="209"/>
        <v>44.698085356616183</v>
      </c>
      <c r="CG227" s="553">
        <f>CF227/PI()*SQRT('Hilfstabellen_Mat&amp;Bem'!f.Rd.3/'Hilfstabellen_Mat&amp;Bem'!$BD$30)</f>
        <v>0.71139212312489297</v>
      </c>
      <c r="CH227" s="553">
        <f>0.5*(1+'Hilfstabellen_Mat&amp;Bem'!$BD$31*(CG227-0.3)+CG227^2)</f>
        <v>0.77360898257831612</v>
      </c>
      <c r="CI227" s="550">
        <f t="shared" si="210"/>
        <v>0.92801423361892288</v>
      </c>
      <c r="CK227" s="551">
        <f t="shared" si="211"/>
        <v>72237.555959130579</v>
      </c>
      <c r="CN227" s="547">
        <f>'Hilfstabellen_Mat&amp;Bem'!$J$60</f>
        <v>3.7</v>
      </c>
      <c r="CO227" s="546">
        <f t="shared" si="212"/>
        <v>279</v>
      </c>
      <c r="CP227" s="551">
        <f t="shared" si="213"/>
        <v>45.939698838744413</v>
      </c>
      <c r="CQ227" s="553">
        <f>CP227/PI()*SQRT('Hilfstabellen_Mat&amp;Bem'!f.Rd.3/'Hilfstabellen_Mat&amp;Bem'!$BD$30)</f>
        <v>0.73115301543391775</v>
      </c>
      <c r="CR227" s="553">
        <f>0.5*(1+'Hilfstabellen_Mat&amp;Bem'!$BD$31*(CQ227-0.3)+CQ227^2)</f>
        <v>0.78885001676075128</v>
      </c>
      <c r="CS227" s="550">
        <f t="shared" si="214"/>
        <v>0.92166643769861611</v>
      </c>
      <c r="CU227" s="551">
        <f t="shared" si="215"/>
        <v>71743.437176897976</v>
      </c>
      <c r="CX227" s="547">
        <f>'Hilfstabellen_Mat&amp;Bem'!$J$61</f>
        <v>3.8</v>
      </c>
      <c r="CY227" s="546">
        <f t="shared" si="216"/>
        <v>279</v>
      </c>
      <c r="CZ227" s="551">
        <f t="shared" si="217"/>
        <v>47.181312320872642</v>
      </c>
      <c r="DA227" s="553">
        <f>CZ227/PI()*SQRT('Hilfstabellen_Mat&amp;Bem'!f.Rd.3/'Hilfstabellen_Mat&amp;Bem'!$BD$30)</f>
        <v>0.75091390774294264</v>
      </c>
      <c r="DB227" s="553">
        <f>0.5*(1+'Hilfstabellen_Mat&amp;Bem'!$BD$31*(DA227-0.3)+DA227^2)</f>
        <v>0.80448154380803549</v>
      </c>
      <c r="DC227" s="550">
        <f t="shared" si="218"/>
        <v>0.9148029349485286</v>
      </c>
      <c r="DE227" s="551">
        <f t="shared" si="219"/>
        <v>71209.175259328418</v>
      </c>
      <c r="DH227" s="547">
        <f>'Hilfstabellen_Mat&amp;Bem'!$J$62</f>
        <v>3.9</v>
      </c>
      <c r="DI227" s="546">
        <f t="shared" si="220"/>
        <v>279</v>
      </c>
      <c r="DJ227" s="551">
        <f t="shared" si="221"/>
        <v>48.422925803000865</v>
      </c>
      <c r="DK227" s="553">
        <f>DJ227/PI()*SQRT('Hilfstabellen_Mat&amp;Bem'!f.Rd.3/'Hilfstabellen_Mat&amp;Bem'!$BD$30)</f>
        <v>0.77067480005196742</v>
      </c>
      <c r="DL227" s="553">
        <f>0.5*(1+'Hilfstabellen_Mat&amp;Bem'!$BD$31*(DK227-0.3)+DK227^2)</f>
        <v>0.82050356372016831</v>
      </c>
      <c r="DM227" s="550">
        <f t="shared" si="222"/>
        <v>0.9073734475522609</v>
      </c>
      <c r="DO227" s="551">
        <f t="shared" si="223"/>
        <v>70630.856530915538</v>
      </c>
      <c r="DR227" s="547">
        <f>'Hilfstabellen_Mat&amp;Bem'!$J$63</f>
        <v>4</v>
      </c>
      <c r="DS227" s="546">
        <f t="shared" si="224"/>
        <v>279</v>
      </c>
      <c r="DT227" s="551">
        <f t="shared" si="225"/>
        <v>49.664539285129095</v>
      </c>
      <c r="DU227" s="553">
        <f>DT227/PI()*SQRT('Hilfstabellen_Mat&amp;Bem'!f.Rd.3/'Hilfstabellen_Mat&amp;Bem'!$BD$30)</f>
        <v>0.7904356923609922</v>
      </c>
      <c r="DV227" s="553">
        <f>0.5*(1+'Hilfstabellen_Mat&amp;Bem'!$BD$31*(DU227-0.3)+DU227^2)</f>
        <v>0.83691607649715016</v>
      </c>
      <c r="DW227" s="550">
        <f t="shared" si="226"/>
        <v>0.89932648783707625</v>
      </c>
      <c r="DY227" s="551">
        <f t="shared" si="227"/>
        <v>70004.473139725858</v>
      </c>
      <c r="EB227" s="547">
        <f>'Hilfstabellen_Mat&amp;Bem'!$J$64</f>
        <v>4.0999999999999996</v>
      </c>
      <c r="EC227" s="546">
        <f t="shared" si="228"/>
        <v>279</v>
      </c>
      <c r="ED227" s="551">
        <f t="shared" si="229"/>
        <v>50.906152767257325</v>
      </c>
      <c r="EE227" s="553">
        <f>ED227/PI()*SQRT('Hilfstabellen_Mat&amp;Bem'!f.Rd.3/'Hilfstabellen_Mat&amp;Bem'!$BD$30)</f>
        <v>0.81019658467001698</v>
      </c>
      <c r="EF227" s="553">
        <f>0.5*(1+'Hilfstabellen_Mat&amp;Bem'!$BD$31*(EE227-0.3)+EE227^2)</f>
        <v>0.85371908213898084</v>
      </c>
      <c r="EG227" s="550">
        <f t="shared" si="230"/>
        <v>0.89061107472991485</v>
      </c>
      <c r="EI227" s="551">
        <f t="shared" si="231"/>
        <v>69326.0566680513</v>
      </c>
      <c r="EL227" s="547">
        <f>'Hilfstabellen_Mat&amp;Bem'!$J$65</f>
        <v>4.2</v>
      </c>
      <c r="EM227" s="546">
        <f t="shared" si="232"/>
        <v>279</v>
      </c>
      <c r="EN227" s="551">
        <f t="shared" si="233"/>
        <v>52.147766249385555</v>
      </c>
      <c r="EO227" s="553">
        <f>EN227/PI()*SQRT('Hilfstabellen_Mat&amp;Bem'!f.Rd.3/'Hilfstabellen_Mat&amp;Bem'!$BD$30)</f>
        <v>0.82995747697904187</v>
      </c>
      <c r="EP227" s="553">
        <f>0.5*(1+'Hilfstabellen_Mat&amp;Bem'!$BD$31*(EO227-0.3)+EO227^2)</f>
        <v>0.87091258064566057</v>
      </c>
      <c r="EQ227" s="550">
        <f t="shared" si="234"/>
        <v>0.88117909504911385</v>
      </c>
      <c r="ES227" s="551">
        <f t="shared" si="235"/>
        <v>68591.861937718073</v>
      </c>
    </row>
    <row r="228" spans="3:149">
      <c r="C228" s="546">
        <v>280</v>
      </c>
      <c r="D228" s="551">
        <f t="shared" si="190"/>
        <v>34.641016151377542</v>
      </c>
      <c r="E228" s="553">
        <f>$D228/PI()*SQRT('Hilfstabellen_Mat&amp;Bem'!f.Rd.3/'Hilfstabellen_Mat&amp;Bem'!$BD$30)</f>
        <v>0.55132889542179198</v>
      </c>
      <c r="F228" s="553">
        <f>0.5*(1+'Hilfstabellen_Mat&amp;Bem'!$BD$31*($E228-0.3)+$E228^2)</f>
        <v>0.66454822023459625</v>
      </c>
      <c r="G228" s="550">
        <f t="shared" si="191"/>
        <v>0.96564721134572118</v>
      </c>
      <c r="I228" s="551">
        <f t="shared" si="236"/>
        <v>75706.74136950454</v>
      </c>
      <c r="M228" s="546">
        <f t="shared" si="192"/>
        <v>280</v>
      </c>
      <c r="N228" s="551">
        <f t="shared" si="182"/>
        <v>35.878195299641028</v>
      </c>
      <c r="O228" s="553">
        <f>$N228/PI()*SQRT('Hilfstabellen_Mat&amp;Bem'!f.Rd.3/'Hilfstabellen_Mat&amp;Bem'!$BD$30)</f>
        <v>0.57101921311542758</v>
      </c>
      <c r="P228" s="553">
        <f>0.5*(1+'Hilfstabellen_Mat&amp;Bem'!$BD$31*($O228-0.3)+$O228^2)</f>
        <v>0.67658243152925235</v>
      </c>
      <c r="Q228" s="550">
        <f t="shared" si="183"/>
        <v>0.962011566016577</v>
      </c>
      <c r="S228" s="551">
        <f t="shared" si="237"/>
        <v>75421.70677569964</v>
      </c>
      <c r="W228" s="546">
        <f t="shared" si="193"/>
        <v>280</v>
      </c>
      <c r="X228" s="551">
        <f t="shared" si="184"/>
        <v>37.115374447904507</v>
      </c>
      <c r="Y228" s="553">
        <f>$X228/PI()*SQRT('Hilfstabellen_Mat&amp;Bem'!f.Rd.3/'Hilfstabellen_Mat&amp;Bem'!$BD$30)</f>
        <v>0.59070953080906285</v>
      </c>
      <c r="Z228" s="553">
        <f>0.5*(1+'Hilfstabellen_Mat&amp;Bem'!$BD$31*($Y228-0.3)+$Y228^2)</f>
        <v>0.68900435143478478</v>
      </c>
      <c r="AA228" s="550">
        <f t="shared" si="185"/>
        <v>0.95815529917458298</v>
      </c>
      <c r="AC228" s="551">
        <f t="shared" si="238"/>
        <v>75119.3754552873</v>
      </c>
      <c r="AG228" s="546">
        <f t="shared" si="194"/>
        <v>280</v>
      </c>
      <c r="AH228" s="551">
        <f t="shared" si="186"/>
        <v>38.352553596167994</v>
      </c>
      <c r="AI228" s="553">
        <f>$AH228/PI()*SQRT('Hilfstabellen_Mat&amp;Bem'!f.Rd.3/'Hilfstabellen_Mat&amp;Bem'!$BD$30)</f>
        <v>0.61039984850269835</v>
      </c>
      <c r="AJ228" s="553">
        <f>0.5*(1+'Hilfstabellen_Mat&amp;Bem'!$BD$31*($AI228-0.3)+$AI228^2)</f>
        <v>0.70181397995119343</v>
      </c>
      <c r="AK228" s="550">
        <f t="shared" si="187"/>
        <v>0.95405370754092744</v>
      </c>
      <c r="AM228" s="551">
        <f t="shared" si="239"/>
        <v>74797.810671208717</v>
      </c>
      <c r="AQ228" s="546">
        <f t="shared" si="195"/>
        <v>280</v>
      </c>
      <c r="AR228" s="551">
        <f t="shared" si="188"/>
        <v>39.58973274443148</v>
      </c>
      <c r="AS228" s="553">
        <f>$AR228/PI()*SQRT('Hilfstabellen_Mat&amp;Bem'!f.Rd.3/'Hilfstabellen_Mat&amp;Bem'!$BD$30)</f>
        <v>0.63009016619633385</v>
      </c>
      <c r="AT228" s="553">
        <f>0.5*(1+'Hilfstabellen_Mat&amp;Bem'!$BD$31*($AS228-0.3)+$AS228^2)</f>
        <v>0.71501131707847843</v>
      </c>
      <c r="AU228" s="550">
        <f t="shared" si="189"/>
        <v>0.94967933574484364</v>
      </c>
      <c r="AW228" s="551">
        <f t="shared" si="240"/>
        <v>74454.859922395743</v>
      </c>
      <c r="AZ228" s="547">
        <f>'Hilfstabellen_Mat&amp;Bem'!$J$56</f>
        <v>3.3</v>
      </c>
      <c r="BA228" s="546">
        <f t="shared" si="196"/>
        <v>280</v>
      </c>
      <c r="BB228" s="551">
        <f t="shared" si="197"/>
        <v>40.826911892694966</v>
      </c>
      <c r="BC228" s="553">
        <f>BB228/PI()*SQRT('Hilfstabellen_Mat&amp;Bem'!f.Rd.3/'Hilfstabellen_Mat&amp;Bem'!$BD$30)</f>
        <v>0.64978048388996923</v>
      </c>
      <c r="BD228" s="553">
        <f>0.5*(1+'Hilfstabellen_Mat&amp;Bem'!$BD$31*(BC228-0.3)+BC228^2)</f>
        <v>0.72859636281663975</v>
      </c>
      <c r="BE228" s="550">
        <f t="shared" si="198"/>
        <v>0.94500172392572568</v>
      </c>
      <c r="BG228" s="551">
        <f t="shared" si="199"/>
        <v>74088.135155776894</v>
      </c>
      <c r="BJ228" s="547">
        <f>'Hilfstabellen_Mat&amp;Bem'!$J$57</f>
        <v>3.4</v>
      </c>
      <c r="BK228" s="546">
        <f t="shared" si="200"/>
        <v>280</v>
      </c>
      <c r="BL228" s="551">
        <f t="shared" si="201"/>
        <v>42.064091040958445</v>
      </c>
      <c r="BM228" s="553">
        <f>BL228/PI()*SQRT('Hilfstabellen_Mat&amp;Bem'!f.Rd.3/'Hilfstabellen_Mat&amp;Bem'!$BD$30)</f>
        <v>0.66947080158360461</v>
      </c>
      <c r="BN228" s="553">
        <f>0.5*(1+'Hilfstabellen_Mat&amp;Bem'!$BD$31*(BM228-0.3)+BM228^2)</f>
        <v>0.74256911716567731</v>
      </c>
      <c r="BO228" s="550">
        <f t="shared" si="202"/>
        <v>0.93998718152157468</v>
      </c>
      <c r="BQ228" s="551">
        <f t="shared" si="203"/>
        <v>73694.995031291459</v>
      </c>
      <c r="BT228" s="547">
        <f>'Hilfstabellen_Mat&amp;Bem'!$J$58</f>
        <v>3.5</v>
      </c>
      <c r="BU228" s="546">
        <f t="shared" si="204"/>
        <v>280</v>
      </c>
      <c r="BV228" s="551">
        <f t="shared" si="205"/>
        <v>43.301270189221931</v>
      </c>
      <c r="BW228" s="553">
        <f>BV228/PI()*SQRT('Hilfstabellen_Mat&amp;Bem'!f.Rd.3/'Hilfstabellen_Mat&amp;Bem'!$BD$30)</f>
        <v>0.68916111927724011</v>
      </c>
      <c r="BX228" s="553">
        <f>0.5*(1+'Hilfstabellen_Mat&amp;Bem'!$BD$31*(BW228-0.3)+BW228^2)</f>
        <v>0.75692958012559108</v>
      </c>
      <c r="BY228" s="550">
        <f t="shared" si="206"/>
        <v>0.9345986165714808</v>
      </c>
      <c r="CA228" s="551">
        <f t="shared" si="207"/>
        <v>73272.531539204094</v>
      </c>
      <c r="CD228" s="547">
        <f>'Hilfstabellen_Mat&amp;Bem'!$J$59</f>
        <v>3.6</v>
      </c>
      <c r="CE228" s="546">
        <f t="shared" si="208"/>
        <v>280</v>
      </c>
      <c r="CF228" s="551">
        <f t="shared" si="209"/>
        <v>44.538449337485417</v>
      </c>
      <c r="CG228" s="553">
        <f>CF228/PI()*SQRT('Hilfstabellen_Mat&amp;Bem'!f.Rd.3/'Hilfstabellen_Mat&amp;Bem'!$BD$30)</f>
        <v>0.7088514369708756</v>
      </c>
      <c r="CH228" s="553">
        <f>0.5*(1+'Hilfstabellen_Mat&amp;Bem'!$BD$31*(CG228-0.3)+CG228^2)</f>
        <v>0.77167775169638142</v>
      </c>
      <c r="CI228" s="550">
        <f t="shared" si="210"/>
        <v>0.92879546249622047</v>
      </c>
      <c r="CK228" s="551">
        <f t="shared" si="211"/>
        <v>72817.564259703679</v>
      </c>
      <c r="CN228" s="547">
        <f>'Hilfstabellen_Mat&amp;Bem'!$J$60</f>
        <v>3.7</v>
      </c>
      <c r="CO228" s="546">
        <f t="shared" si="212"/>
        <v>280</v>
      </c>
      <c r="CP228" s="551">
        <f t="shared" si="213"/>
        <v>45.775628485748896</v>
      </c>
      <c r="CQ228" s="553">
        <f>CP228/PI()*SQRT('Hilfstabellen_Mat&amp;Bem'!f.Rd.3/'Hilfstabellen_Mat&amp;Bem'!$BD$30)</f>
        <v>0.72854175466451088</v>
      </c>
      <c r="CR228" s="553">
        <f>0.5*(1+'Hilfstabellen_Mat&amp;Bem'!$BD$31*(CQ228-0.3)+CQ228^2)</f>
        <v>0.78681363187804765</v>
      </c>
      <c r="CS228" s="550">
        <f t="shared" si="214"/>
        <v>0.92253375994836706</v>
      </c>
      <c r="CU228" s="551">
        <f t="shared" si="215"/>
        <v>72326.646779951974</v>
      </c>
      <c r="CX228" s="547">
        <f>'Hilfstabellen_Mat&amp;Bem'!$J$61</f>
        <v>3.8</v>
      </c>
      <c r="CY228" s="546">
        <f t="shared" si="216"/>
        <v>280</v>
      </c>
      <c r="CZ228" s="551">
        <f t="shared" si="217"/>
        <v>47.012807634012383</v>
      </c>
      <c r="DA228" s="553">
        <f>CZ228/PI()*SQRT('Hilfstabellen_Mat&amp;Bem'!f.Rd.3/'Hilfstabellen_Mat&amp;Bem'!$BD$30)</f>
        <v>0.74823207235814637</v>
      </c>
      <c r="DB228" s="553">
        <f>0.5*(1+'Hilfstabellen_Mat&amp;Bem'!$BD$31*(DA228-0.3)+DA228^2)</f>
        <v>0.80233722067059055</v>
      </c>
      <c r="DC228" s="550">
        <f t="shared" si="218"/>
        <v>0.91576646916782445</v>
      </c>
      <c r="DE228" s="551">
        <f t="shared" si="219"/>
        <v>71796.091182757431</v>
      </c>
      <c r="DH228" s="547">
        <f>'Hilfstabellen_Mat&amp;Bem'!$J$62</f>
        <v>3.9</v>
      </c>
      <c r="DI228" s="546">
        <f t="shared" si="220"/>
        <v>280</v>
      </c>
      <c r="DJ228" s="551">
        <f t="shared" si="221"/>
        <v>48.249986782275869</v>
      </c>
      <c r="DK228" s="553">
        <f>DJ228/PI()*SQRT('Hilfstabellen_Mat&amp;Bem'!f.Rd.3/'Hilfstabellen_Mat&amp;Bem'!$BD$30)</f>
        <v>0.76792239005178187</v>
      </c>
      <c r="DL228" s="553">
        <f>0.5*(1+'Hilfstabellen_Mat&amp;Bem'!$BD$31*(DK228-0.3)+DK228^2)</f>
        <v>0.81824851807400956</v>
      </c>
      <c r="DM228" s="550">
        <f t="shared" si="222"/>
        <v>0.90844410610010762</v>
      </c>
      <c r="DO228" s="551">
        <f t="shared" si="223"/>
        <v>71222.017918248443</v>
      </c>
      <c r="DR228" s="547">
        <f>'Hilfstabellen_Mat&amp;Bem'!$J$63</f>
        <v>4</v>
      </c>
      <c r="DS228" s="546">
        <f t="shared" si="224"/>
        <v>280</v>
      </c>
      <c r="DT228" s="551">
        <f t="shared" si="225"/>
        <v>49.487165930539348</v>
      </c>
      <c r="DU228" s="553">
        <f>DT228/PI()*SQRT('Hilfstabellen_Mat&amp;Bem'!f.Rd.3/'Hilfstabellen_Mat&amp;Bem'!$BD$30)</f>
        <v>0.78761270774541725</v>
      </c>
      <c r="DV228" s="553">
        <f>0.5*(1+'Hilfstabellen_Mat&amp;Bem'!$BD$31*(DU228-0.3)+DU228^2)</f>
        <v>0.8345475240883049</v>
      </c>
      <c r="DW228" s="550">
        <f t="shared" si="226"/>
        <v>0.90051580877540705</v>
      </c>
      <c r="DY228" s="551">
        <f t="shared" si="227"/>
        <v>70600.439407991915</v>
      </c>
      <c r="EB228" s="547">
        <f>'Hilfstabellen_Mat&amp;Bem'!$J$64</f>
        <v>4.0999999999999996</v>
      </c>
      <c r="EC228" s="546">
        <f t="shared" si="228"/>
        <v>280</v>
      </c>
      <c r="ED228" s="551">
        <f t="shared" si="229"/>
        <v>50.724345078802827</v>
      </c>
      <c r="EE228" s="553">
        <f>ED228/PI()*SQRT('Hilfstabellen_Mat&amp;Bem'!f.Rd.3/'Hilfstabellen_Mat&amp;Bem'!$BD$30)</f>
        <v>0.80730302543905264</v>
      </c>
      <c r="EF228" s="553">
        <f>0.5*(1+'Hilfstabellen_Mat&amp;Bem'!$BD$31*(EE228-0.3)+EE228^2)</f>
        <v>0.85123423871347637</v>
      </c>
      <c r="EG228" s="550">
        <f t="shared" si="230"/>
        <v>0.89193094143046803</v>
      </c>
      <c r="EI228" s="551">
        <f t="shared" si="231"/>
        <v>69927.385808148698</v>
      </c>
      <c r="EL228" s="547">
        <f>'Hilfstabellen_Mat&amp;Bem'!$J$65</f>
        <v>4.2</v>
      </c>
      <c r="EM228" s="546">
        <f t="shared" si="232"/>
        <v>280</v>
      </c>
      <c r="EN228" s="551">
        <f t="shared" si="233"/>
        <v>51.961524227066313</v>
      </c>
      <c r="EO228" s="553">
        <f>EN228/PI()*SQRT('Hilfstabellen_Mat&amp;Bem'!f.Rd.3/'Hilfstabellen_Mat&amp;Bem'!$BD$30)</f>
        <v>0.82699334313268802</v>
      </c>
      <c r="EP228" s="553">
        <f>0.5*(1+'Hilfstabellen_Mat&amp;Bem'!$BD$31*(EO228-0.3)+EO228^2)</f>
        <v>0.86830866194952439</v>
      </c>
      <c r="EQ228" s="550">
        <f t="shared" si="234"/>
        <v>0.88264132162822806</v>
      </c>
      <c r="ES228" s="551">
        <f t="shared" si="235"/>
        <v>69199.079615653085</v>
      </c>
    </row>
    <row r="229" spans="3:149">
      <c r="C229" s="546">
        <v>281</v>
      </c>
      <c r="D229" s="551">
        <f t="shared" si="190"/>
        <v>34.517738513828156</v>
      </c>
      <c r="E229" s="553">
        <f>$D229/PI()*SQRT('Hilfstabellen_Mat&amp;Bem'!f.Rd.3/'Hilfstabellen_Mat&amp;Bem'!$BD$30)</f>
        <v>0.54936687088292446</v>
      </c>
      <c r="F229" s="553">
        <f>0.5*(1+'Hilfstabellen_Mat&amp;Bem'!$BD$31*($E229-0.3)+$E229^2)</f>
        <v>0.66337032295599418</v>
      </c>
      <c r="G229" s="550">
        <f t="shared" si="191"/>
        <v>0.96599826673753231</v>
      </c>
      <c r="I229" s="551">
        <f t="shared" si="236"/>
        <v>76276.189139862283</v>
      </c>
      <c r="M229" s="546">
        <f t="shared" si="192"/>
        <v>281</v>
      </c>
      <c r="N229" s="551">
        <f t="shared" si="182"/>
        <v>35.750514889322019</v>
      </c>
      <c r="O229" s="553">
        <f>$N229/PI()*SQRT('Hilfstabellen_Mat&amp;Bem'!f.Rd.3/'Hilfstabellen_Mat&amp;Bem'!$BD$30)</f>
        <v>0.56898711627160037</v>
      </c>
      <c r="P229" s="553">
        <f>0.5*(1+'Hilfstabellen_Mat&amp;Bem'!$BD$31*($O229-0.3)+$O229^2)</f>
        <v>0.67532252505511581</v>
      </c>
      <c r="Q229" s="550">
        <f t="shared" si="183"/>
        <v>0.96239658724925148</v>
      </c>
      <c r="S229" s="551">
        <f t="shared" si="237"/>
        <v>75991.796925788149</v>
      </c>
      <c r="W229" s="546">
        <f t="shared" si="193"/>
        <v>281</v>
      </c>
      <c r="X229" s="551">
        <f t="shared" si="184"/>
        <v>36.983291264815882</v>
      </c>
      <c r="Y229" s="553">
        <f>$X229/PI()*SQRT('Hilfstabellen_Mat&amp;Bem'!f.Rd.3/'Hilfstabellen_Mat&amp;Bem'!$BD$30)</f>
        <v>0.58860736166027627</v>
      </c>
      <c r="Z229" s="553">
        <f>0.5*(1+'Hilfstabellen_Mat&amp;Bem'!$BD$31*($Y229-0.3)+$Y229^2)</f>
        <v>0.68765968118334941</v>
      </c>
      <c r="AA229" s="550">
        <f t="shared" si="185"/>
        <v>0.95857824122579671</v>
      </c>
      <c r="AC229" s="551">
        <f t="shared" si="238"/>
        <v>75690.296505430131</v>
      </c>
      <c r="AG229" s="546">
        <f t="shared" si="194"/>
        <v>281</v>
      </c>
      <c r="AH229" s="551">
        <f t="shared" si="186"/>
        <v>38.216067640309745</v>
      </c>
      <c r="AI229" s="553">
        <f>$AH229/PI()*SQRT('Hilfstabellen_Mat&amp;Bem'!f.Rd.3/'Hilfstabellen_Mat&amp;Bem'!$BD$30)</f>
        <v>0.60822760704895207</v>
      </c>
      <c r="AJ229" s="553">
        <f>0.5*(1+'Hilfstabellen_Mat&amp;Bem'!$BD$31*($AI229-0.3)+$AI229^2)</f>
        <v>0.70038179134069489</v>
      </c>
      <c r="AK229" s="550">
        <f t="shared" si="187"/>
        <v>0.95451905938235704</v>
      </c>
      <c r="AM229" s="551">
        <f t="shared" si="239"/>
        <v>75369.779447890294</v>
      </c>
      <c r="AQ229" s="546">
        <f t="shared" si="195"/>
        <v>281</v>
      </c>
      <c r="AR229" s="551">
        <f t="shared" si="188"/>
        <v>39.448844015803608</v>
      </c>
      <c r="AS229" s="553">
        <f>$AR229/PI()*SQRT('Hilfstabellen_Mat&amp;Bem'!f.Rd.3/'Hilfstabellen_Mat&amp;Bem'!$BD$30)</f>
        <v>0.62784785243762797</v>
      </c>
      <c r="AT229" s="553">
        <f>0.5*(1+'Hilfstabellen_Mat&amp;Bem'!$BD$31*($AS229-0.3)+$AS229^2)</f>
        <v>0.71348885552715213</v>
      </c>
      <c r="AU229" s="550">
        <f t="shared" si="189"/>
        <v>0.95019218651759996</v>
      </c>
      <c r="AW229" s="551">
        <f t="shared" si="240"/>
        <v>75028.125239616216</v>
      </c>
      <c r="AZ229" s="547">
        <f>'Hilfstabellen_Mat&amp;Bem'!$J$56</f>
        <v>3.3</v>
      </c>
      <c r="BA229" s="546">
        <f t="shared" si="196"/>
        <v>281</v>
      </c>
      <c r="BB229" s="551">
        <f t="shared" si="197"/>
        <v>40.681620391297471</v>
      </c>
      <c r="BC229" s="553">
        <f>BB229/PI()*SQRT('Hilfstabellen_Mat&amp;Bem'!f.Rd.3/'Hilfstabellen_Mat&amp;Bem'!$BD$30)</f>
        <v>0.64746809782630388</v>
      </c>
      <c r="BD229" s="553">
        <f>0.5*(1+'Hilfstabellen_Mat&amp;Bem'!$BD$31*(BC229-0.3)+BC229^2)</f>
        <v>0.72698087374272136</v>
      </c>
      <c r="BE229" s="550">
        <f t="shared" si="198"/>
        <v>0.94556783206188055</v>
      </c>
      <c r="BG229" s="551">
        <f t="shared" si="199"/>
        <v>74662.981587438146</v>
      </c>
      <c r="BJ229" s="547">
        <f>'Hilfstabellen_Mat&amp;Bem'!$J$57</f>
        <v>3.4</v>
      </c>
      <c r="BK229" s="546">
        <f t="shared" si="200"/>
        <v>281</v>
      </c>
      <c r="BL229" s="551">
        <f t="shared" si="201"/>
        <v>41.914396766791334</v>
      </c>
      <c r="BM229" s="553">
        <f>BL229/PI()*SQRT('Hilfstabellen_Mat&amp;Bem'!f.Rd.3/'Hilfstabellen_Mat&amp;Bem'!$BD$30)</f>
        <v>0.66708834321497967</v>
      </c>
      <c r="BN229" s="553">
        <f>0.5*(1+'Hilfstabellen_Mat&amp;Bem'!$BD$31*(BM229-0.3)+BM229^2)</f>
        <v>0.74085784598740223</v>
      </c>
      <c r="BO229" s="550">
        <f t="shared" si="202"/>
        <v>0.94061304370408194</v>
      </c>
      <c r="BQ229" s="551">
        <f t="shared" si="203"/>
        <v>74271.746543918009</v>
      </c>
      <c r="BT229" s="547">
        <f>'Hilfstabellen_Mat&amp;Bem'!$J$58</f>
        <v>3.5</v>
      </c>
      <c r="BU229" s="546">
        <f t="shared" si="204"/>
        <v>281</v>
      </c>
      <c r="BV229" s="551">
        <f t="shared" si="205"/>
        <v>43.147173142285197</v>
      </c>
      <c r="BW229" s="553">
        <f>BV229/PI()*SQRT('Hilfstabellen_Mat&amp;Bem'!f.Rd.3/'Hilfstabellen_Mat&amp;Bem'!$BD$30)</f>
        <v>0.68670858860365558</v>
      </c>
      <c r="BX229" s="553">
        <f>0.5*(1+'Hilfstabellen_Mat&amp;Bem'!$BD$31*(BW229-0.3)+BW229^2)</f>
        <v>0.75511977226119509</v>
      </c>
      <c r="BY229" s="550">
        <f t="shared" si="206"/>
        <v>0.93529153149958422</v>
      </c>
      <c r="CA229" s="551">
        <f t="shared" si="207"/>
        <v>73851.554618738664</v>
      </c>
      <c r="CD229" s="547">
        <f>'Hilfstabellen_Mat&amp;Bem'!$J$59</f>
        <v>3.6</v>
      </c>
      <c r="CE229" s="546">
        <f t="shared" si="208"/>
        <v>281</v>
      </c>
      <c r="CF229" s="551">
        <f t="shared" si="209"/>
        <v>44.37994951777906</v>
      </c>
      <c r="CG229" s="553">
        <f>CF229/PI()*SQRT('Hilfstabellen_Mat&amp;Bem'!f.Rd.3/'Hilfstabellen_Mat&amp;Bem'!$BD$30)</f>
        <v>0.70632883399233148</v>
      </c>
      <c r="CH229" s="553">
        <f>0.5*(1+'Hilfstabellen_Mat&amp;Bem'!$BD$31*(CG229-0.3)+CG229^2)</f>
        <v>0.76976665256409982</v>
      </c>
      <c r="CI229" s="550">
        <f t="shared" si="210"/>
        <v>0.92956358180379328</v>
      </c>
      <c r="CK229" s="551">
        <f t="shared" si="211"/>
        <v>73399.269982809317</v>
      </c>
      <c r="CN229" s="547">
        <f>'Hilfstabellen_Mat&amp;Bem'!$J$60</f>
        <v>3.7</v>
      </c>
      <c r="CO229" s="546">
        <f t="shared" si="212"/>
        <v>281</v>
      </c>
      <c r="CP229" s="551">
        <f t="shared" si="213"/>
        <v>45.612725893272923</v>
      </c>
      <c r="CQ229" s="553">
        <f>CP229/PI()*SQRT('Hilfstabellen_Mat&amp;Bem'!f.Rd.3/'Hilfstabellen_Mat&amp;Bem'!$BD$30)</f>
        <v>0.72594907938100739</v>
      </c>
      <c r="CR229" s="553">
        <f>0.5*(1+'Hilfstabellen_Mat&amp;Bem'!$BD$31*(CQ229-0.3)+CQ229^2)</f>
        <v>0.78479848689611642</v>
      </c>
      <c r="CS229" s="550">
        <f t="shared" si="214"/>
        <v>0.92338611524243963</v>
      </c>
      <c r="CU229" s="551">
        <f t="shared" si="215"/>
        <v>72911.491045658273</v>
      </c>
      <c r="CX229" s="547">
        <f>'Hilfstabellen_Mat&amp;Bem'!$J$61</f>
        <v>3.8</v>
      </c>
      <c r="CY229" s="546">
        <f t="shared" si="216"/>
        <v>281</v>
      </c>
      <c r="CZ229" s="551">
        <f t="shared" si="217"/>
        <v>46.845502268766786</v>
      </c>
      <c r="DA229" s="553">
        <f>CZ229/PI()*SQRT('Hilfstabellen_Mat&amp;Bem'!f.Rd.3/'Hilfstabellen_Mat&amp;Bem'!$BD$30)</f>
        <v>0.74556932476968329</v>
      </c>
      <c r="DB229" s="553">
        <f>0.5*(1+'Hilfstabellen_Mat&amp;Bem'!$BD$31*(DA229-0.3)+DA229^2)</f>
        <v>0.8002152752572449</v>
      </c>
      <c r="DC229" s="550">
        <f t="shared" si="218"/>
        <v>0.91671296009663561</v>
      </c>
      <c r="DE229" s="551">
        <f t="shared" si="219"/>
        <v>72384.572042190441</v>
      </c>
      <c r="DH229" s="547">
        <f>'Hilfstabellen_Mat&amp;Bem'!$J$62</f>
        <v>3.9</v>
      </c>
      <c r="DI229" s="546">
        <f t="shared" si="220"/>
        <v>281</v>
      </c>
      <c r="DJ229" s="551">
        <f t="shared" si="221"/>
        <v>48.078278644260642</v>
      </c>
      <c r="DK229" s="553">
        <f>DJ229/PI()*SQRT('Hilfstabellen_Mat&amp;Bem'!f.Rd.3/'Hilfstabellen_Mat&amp;Bem'!$BD$30)</f>
        <v>0.76518957015835909</v>
      </c>
      <c r="DL229" s="553">
        <f>0.5*(1+'Hilfstabellen_Mat&amp;Bem'!$BD$31*(DK229-0.3)+DK229^2)</f>
        <v>0.81601701764748513</v>
      </c>
      <c r="DM229" s="550">
        <f t="shared" si="222"/>
        <v>0.90949543000030464</v>
      </c>
      <c r="DO229" s="551">
        <f t="shared" si="223"/>
        <v>71814.668648254054</v>
      </c>
      <c r="DR229" s="547">
        <f>'Hilfstabellen_Mat&amp;Bem'!$J$63</f>
        <v>4</v>
      </c>
      <c r="DS229" s="546">
        <f t="shared" si="224"/>
        <v>281</v>
      </c>
      <c r="DT229" s="551">
        <f t="shared" si="225"/>
        <v>49.311055019754512</v>
      </c>
      <c r="DU229" s="553">
        <f>DT229/PI()*SQRT('Hilfstabellen_Mat&amp;Bem'!f.Rd.3/'Hilfstabellen_Mat&amp;Bem'!$BD$30)</f>
        <v>0.78480981554703499</v>
      </c>
      <c r="DV229" s="553">
        <f>0.5*(1+'Hilfstabellen_Mat&amp;Bem'!$BD$31*(DU229-0.3)+DU229^2)</f>
        <v>0.83220371406683735</v>
      </c>
      <c r="DW229" s="550">
        <f t="shared" si="226"/>
        <v>0.90168330865021529</v>
      </c>
      <c r="DY229" s="551">
        <f t="shared" si="227"/>
        <v>71197.815734329648</v>
      </c>
      <c r="EB229" s="547">
        <f>'Hilfstabellen_Mat&amp;Bem'!$J$64</f>
        <v>4.0999999999999996</v>
      </c>
      <c r="EC229" s="546">
        <f t="shared" si="228"/>
        <v>281</v>
      </c>
      <c r="ED229" s="551">
        <f t="shared" si="229"/>
        <v>50.543831395248375</v>
      </c>
      <c r="EE229" s="553">
        <f>ED229/PI()*SQRT('Hilfstabellen_Mat&amp;Bem'!f.Rd.3/'Hilfstabellen_Mat&amp;Bem'!$BD$30)</f>
        <v>0.8044300609357109</v>
      </c>
      <c r="EF229" s="553">
        <f>0.5*(1+'Hilfstabellen_Mat&amp;Bem'!$BD$31*(EE229-0.3)+EE229^2)</f>
        <v>0.84877536451530133</v>
      </c>
      <c r="EG229" s="550">
        <f t="shared" si="230"/>
        <v>0.89322634732345352</v>
      </c>
      <c r="EI229" s="551">
        <f t="shared" si="231"/>
        <v>70530.045611007212</v>
      </c>
      <c r="EL229" s="547">
        <f>'Hilfstabellen_Mat&amp;Bem'!$J$65</f>
        <v>4.2</v>
      </c>
      <c r="EM229" s="546">
        <f t="shared" si="232"/>
        <v>281</v>
      </c>
      <c r="EN229" s="551">
        <f t="shared" si="233"/>
        <v>51.776607770742238</v>
      </c>
      <c r="EO229" s="553">
        <f>EN229/PI()*SQRT('Hilfstabellen_Mat&amp;Bem'!f.Rd.3/'Hilfstabellen_Mat&amp;Bem'!$BD$30)</f>
        <v>0.82405030632438681</v>
      </c>
      <c r="EP229" s="553">
        <f>0.5*(1+'Hilfstabellen_Mat&amp;Bem'!$BD$31*(EO229-0.3)+EO229^2)</f>
        <v>0.86573196899287719</v>
      </c>
      <c r="EQ229" s="550">
        <f t="shared" si="234"/>
        <v>0.88407636318990013</v>
      </c>
      <c r="ES229" s="551">
        <f t="shared" si="235"/>
        <v>69807.553713837697</v>
      </c>
    </row>
    <row r="230" spans="3:149">
      <c r="C230" s="546">
        <v>282</v>
      </c>
      <c r="D230" s="551">
        <f t="shared" si="190"/>
        <v>34.395335185764935</v>
      </c>
      <c r="E230" s="553">
        <f>$D230/PI()*SQRT('Hilfstabellen_Mat&amp;Bem'!f.Rd.3/'Hilfstabellen_Mat&amp;Bem'!$BD$30)</f>
        <v>0.54741876141170842</v>
      </c>
      <c r="F230" s="553">
        <f>0.5*(1+'Hilfstabellen_Mat&amp;Bem'!$BD$31*($E230-0.3)+$E230^2)</f>
        <v>0.66220458824334993</v>
      </c>
      <c r="G230" s="550">
        <f t="shared" si="191"/>
        <v>0.96634490550689367</v>
      </c>
      <c r="I230" s="551">
        <f t="shared" si="236"/>
        <v>76847.612265530217</v>
      </c>
      <c r="M230" s="546">
        <f t="shared" si="192"/>
        <v>282</v>
      </c>
      <c r="N230" s="551">
        <f t="shared" si="182"/>
        <v>35.62374001382797</v>
      </c>
      <c r="O230" s="553">
        <f>$N230/PI()*SQRT('Hilfstabellen_Mat&amp;Bem'!f.Rd.3/'Hilfstabellen_Mat&amp;Bem'!$BD$30)</f>
        <v>0.56696943146212664</v>
      </c>
      <c r="P230" s="553">
        <f>0.5*(1+'Hilfstabellen_Mat&amp;Bem'!$BD$31*($O230-0.3)+$O230^2)</f>
        <v>0.67407563967934991</v>
      </c>
      <c r="Q230" s="550">
        <f t="shared" si="183"/>
        <v>0.96277658037848635</v>
      </c>
      <c r="S230" s="551">
        <f t="shared" si="237"/>
        <v>76563.844778018742</v>
      </c>
      <c r="W230" s="546">
        <f t="shared" si="193"/>
        <v>282</v>
      </c>
      <c r="X230" s="551">
        <f t="shared" si="184"/>
        <v>36.852144841891004</v>
      </c>
      <c r="Y230" s="553">
        <f>$X230/PI()*SQRT('Hilfstabellen_Mat&amp;Bem'!f.Rd.3/'Hilfstabellen_Mat&amp;Bem'!$BD$30)</f>
        <v>0.58652010151254474</v>
      </c>
      <c r="Z230" s="553">
        <f>0.5*(1+'Hilfstabellen_Mat&amp;Bem'!$BD$31*($Y230-0.3)+$Y230^2)</f>
        <v>0.68632891981477007</v>
      </c>
      <c r="AA230" s="550">
        <f t="shared" si="185"/>
        <v>0.95899545077365933</v>
      </c>
      <c r="AC230" s="551">
        <f t="shared" si="238"/>
        <v>76263.154227324485</v>
      </c>
      <c r="AG230" s="546">
        <f t="shared" si="194"/>
        <v>282</v>
      </c>
      <c r="AH230" s="551">
        <f t="shared" si="186"/>
        <v>38.080549669954038</v>
      </c>
      <c r="AI230" s="553">
        <f>$AH230/PI()*SQRT('Hilfstabellen_Mat&amp;Bem'!f.Rd.3/'Hilfstabellen_Mat&amp;Bem'!$BD$30)</f>
        <v>0.60607077156296296</v>
      </c>
      <c r="AJ230" s="553">
        <f>0.5*(1+'Hilfstabellen_Mat&amp;Bem'!$BD$31*($AI230-0.3)+$AI230^2)</f>
        <v>0.69896442864961073</v>
      </c>
      <c r="AK230" s="550">
        <f t="shared" si="187"/>
        <v>0.95497786726061185</v>
      </c>
      <c r="AM230" s="551">
        <f t="shared" si="239"/>
        <v>75943.659916032891</v>
      </c>
      <c r="AQ230" s="546">
        <f t="shared" si="195"/>
        <v>282</v>
      </c>
      <c r="AR230" s="551">
        <f t="shared" si="188"/>
        <v>39.308954498017073</v>
      </c>
      <c r="AS230" s="553">
        <f>$AR230/PI()*SQRT('Hilfstabellen_Mat&amp;Bem'!f.Rd.3/'Hilfstabellen_Mat&amp;Bem'!$BD$30)</f>
        <v>0.62562144161338118</v>
      </c>
      <c r="AT230" s="553">
        <f>0.5*(1+'Hilfstabellen_Mat&amp;Bem'!$BD$31*($AS230-0.3)+$AS230^2)</f>
        <v>0.71198216618387178</v>
      </c>
      <c r="AU230" s="550">
        <f t="shared" si="189"/>
        <v>0.95069755907228304</v>
      </c>
      <c r="AW230" s="551">
        <f t="shared" si="240"/>
        <v>75603.272687664241</v>
      </c>
      <c r="AZ230" s="547">
        <f>'Hilfstabellen_Mat&amp;Bem'!$J$56</f>
        <v>3.3</v>
      </c>
      <c r="BA230" s="546">
        <f t="shared" si="196"/>
        <v>282</v>
      </c>
      <c r="BB230" s="551">
        <f t="shared" si="197"/>
        <v>40.537359326080107</v>
      </c>
      <c r="BC230" s="553">
        <f>BB230/PI()*SQRT('Hilfstabellen_Mat&amp;Bem'!f.Rd.3/'Hilfstabellen_Mat&amp;Bem'!$BD$30)</f>
        <v>0.64517211166379929</v>
      </c>
      <c r="BD230" s="553">
        <f>0.5*(1+'Hilfstabellen_Mat&amp;Bem'!$BD$31*(BC230-0.3)+BC230^2)</f>
        <v>0.72538213241755289</v>
      </c>
      <c r="BE230" s="550">
        <f t="shared" si="198"/>
        <v>0.94612538778154942</v>
      </c>
      <c r="BG230" s="551">
        <f t="shared" si="199"/>
        <v>75239.675337939931</v>
      </c>
      <c r="BJ230" s="547">
        <f>'Hilfstabellen_Mat&amp;Bem'!$J$57</f>
        <v>3.4</v>
      </c>
      <c r="BK230" s="546">
        <f t="shared" si="200"/>
        <v>282</v>
      </c>
      <c r="BL230" s="551">
        <f t="shared" si="201"/>
        <v>41.765764154143135</v>
      </c>
      <c r="BM230" s="553">
        <f>BL230/PI()*SQRT('Hilfstabellen_Mat&amp;Bem'!f.Rd.3/'Hilfstabellen_Mat&amp;Bem'!$BD$30)</f>
        <v>0.66472278171421728</v>
      </c>
      <c r="BN230" s="553">
        <f>0.5*(1+'Hilfstabellen_Mat&amp;Bem'!$BD$31*(BM230-0.3)+BM230^2)</f>
        <v>0.73916432735065429</v>
      </c>
      <c r="BO230" s="550">
        <f t="shared" si="202"/>
        <v>0.94122912119515967</v>
      </c>
      <c r="BQ230" s="551">
        <f t="shared" si="203"/>
        <v>74850.304633923879</v>
      </c>
      <c r="BT230" s="547">
        <f>'Hilfstabellen_Mat&amp;Bem'!$J$58</f>
        <v>3.5</v>
      </c>
      <c r="BU230" s="546">
        <f t="shared" si="204"/>
        <v>282</v>
      </c>
      <c r="BV230" s="551">
        <f t="shared" si="205"/>
        <v>42.994168982206169</v>
      </c>
      <c r="BW230" s="553">
        <f>BV230/PI()*SQRT('Hilfstabellen_Mat&amp;Bem'!f.Rd.3/'Hilfstabellen_Mat&amp;Bem'!$BD$30)</f>
        <v>0.6842734517646355</v>
      </c>
      <c r="BX230" s="553">
        <f>0.5*(1+'Hilfstabellen_Mat&amp;Bem'!$BD$31*(BW230-0.3)+BW230^2)</f>
        <v>0.75332875098317631</v>
      </c>
      <c r="BY230" s="550">
        <f t="shared" si="206"/>
        <v>0.93597325306651635</v>
      </c>
      <c r="CA230" s="551">
        <f t="shared" si="207"/>
        <v>74432.336976861639</v>
      </c>
      <c r="CD230" s="547">
        <f>'Hilfstabellen_Mat&amp;Bem'!$J$59</f>
        <v>3.6</v>
      </c>
      <c r="CE230" s="546">
        <f t="shared" si="208"/>
        <v>282</v>
      </c>
      <c r="CF230" s="551">
        <f t="shared" si="209"/>
        <v>44.222573810269203</v>
      </c>
      <c r="CG230" s="553">
        <f>CF230/PI()*SQRT('Hilfstabellen_Mat&amp;Bem'!f.Rd.3/'Hilfstabellen_Mat&amp;Bem'!$BD$30)</f>
        <v>0.7038241218150536</v>
      </c>
      <c r="CH230" s="553">
        <f>0.5*(1+'Hilfstabellen_Mat&amp;Bem'!$BD$31*(CG230-0.3)+CG230^2)</f>
        <v>0.76787540331511839</v>
      </c>
      <c r="CI230" s="550">
        <f t="shared" si="210"/>
        <v>0.93031890550863872</v>
      </c>
      <c r="CK230" s="551">
        <f t="shared" si="211"/>
        <v>73982.68064166898</v>
      </c>
      <c r="CN230" s="547">
        <f>'Hilfstabellen_Mat&amp;Bem'!$J$60</f>
        <v>3.7</v>
      </c>
      <c r="CO230" s="546">
        <f t="shared" si="212"/>
        <v>282</v>
      </c>
      <c r="CP230" s="551">
        <f t="shared" si="213"/>
        <v>45.450978638332238</v>
      </c>
      <c r="CQ230" s="553">
        <f>CP230/PI()*SQRT('Hilfstabellen_Mat&amp;Bem'!f.Rd.3/'Hilfstabellen_Mat&amp;Bem'!$BD$30)</f>
        <v>0.72337479186547182</v>
      </c>
      <c r="CR230" s="553">
        <f>0.5*(1+'Hilfstabellen_Mat&amp;Bem'!$BD$31*(CQ230-0.3)+CQ230^2)</f>
        <v>0.78280428434648086</v>
      </c>
      <c r="CS230" s="550">
        <f t="shared" si="214"/>
        <v>0.92422386512080468</v>
      </c>
      <c r="CU230" s="551">
        <f t="shared" si="215"/>
        <v>73497.978649866869</v>
      </c>
      <c r="CX230" s="547">
        <f>'Hilfstabellen_Mat&amp;Bem'!$J$61</f>
        <v>3.8</v>
      </c>
      <c r="CY230" s="546">
        <f t="shared" si="216"/>
        <v>282</v>
      </c>
      <c r="CZ230" s="551">
        <f t="shared" si="217"/>
        <v>46.679383466395272</v>
      </c>
      <c r="DA230" s="553">
        <f>CZ230/PI()*SQRT('Hilfstabellen_Mat&amp;Bem'!f.Rd.3/'Hilfstabellen_Mat&amp;Bem'!$BD$30)</f>
        <v>0.74292546191589004</v>
      </c>
      <c r="DB230" s="553">
        <f>0.5*(1+'Hilfstabellen_Mat&amp;Bem'!$BD$31*(DA230-0.3)+DA230^2)</f>
        <v>0.79811539407726384</v>
      </c>
      <c r="DC230" s="550">
        <f t="shared" si="218"/>
        <v>0.91764282033062217</v>
      </c>
      <c r="DE230" s="551">
        <f t="shared" si="219"/>
        <v>72974.627643972402</v>
      </c>
      <c r="DH230" s="547">
        <f>'Hilfstabellen_Mat&amp;Bem'!$J$62</f>
        <v>3.9</v>
      </c>
      <c r="DI230" s="546">
        <f t="shared" si="220"/>
        <v>282</v>
      </c>
      <c r="DJ230" s="551">
        <f t="shared" si="221"/>
        <v>47.907788294458307</v>
      </c>
      <c r="DK230" s="553">
        <f>DJ230/PI()*SQRT('Hilfstabellen_Mat&amp;Bem'!f.Rd.3/'Hilfstabellen_Mat&amp;Bem'!$BD$30)</f>
        <v>0.76247613196630815</v>
      </c>
      <c r="DL230" s="553">
        <f>0.5*(1+'Hilfstabellen_Mat&amp;Bem'!$BD$31*(DK230-0.3)+DK230^2)</f>
        <v>0.81380873250746677</v>
      </c>
      <c r="DM230" s="550">
        <f t="shared" si="222"/>
        <v>0.91052788461283884</v>
      </c>
      <c r="DO230" s="551">
        <f t="shared" si="223"/>
        <v>72408.819495951393</v>
      </c>
      <c r="DR230" s="547">
        <f>'Hilfstabellen_Mat&amp;Bem'!$J$63</f>
        <v>4</v>
      </c>
      <c r="DS230" s="546">
        <f t="shared" si="224"/>
        <v>282</v>
      </c>
      <c r="DT230" s="551">
        <f t="shared" si="225"/>
        <v>49.136193122521334</v>
      </c>
      <c r="DU230" s="553">
        <f>DT230/PI()*SQRT('Hilfstabellen_Mat&amp;Bem'!f.Rd.3/'Hilfstabellen_Mat&amp;Bem'!$BD$30)</f>
        <v>0.78202680201672625</v>
      </c>
      <c r="DV230" s="553">
        <f>0.5*(1+'Hilfstabellen_Mat&amp;Bem'!$BD$31*(DU230-0.3)+DU230^2)</f>
        <v>0.82988429963709032</v>
      </c>
      <c r="DW230" s="550">
        <f t="shared" si="226"/>
        <v>0.90282950445096311</v>
      </c>
      <c r="DY230" s="551">
        <f t="shared" si="227"/>
        <v>71796.613511958392</v>
      </c>
      <c r="EB230" s="547">
        <f>'Hilfstabellen_Mat&amp;Bem'!$J$64</f>
        <v>4.0999999999999996</v>
      </c>
      <c r="EC230" s="546">
        <f t="shared" si="228"/>
        <v>282</v>
      </c>
      <c r="ED230" s="551">
        <f t="shared" si="229"/>
        <v>50.364597950584368</v>
      </c>
      <c r="EE230" s="553">
        <f>ED230/PI()*SQRT('Hilfstabellen_Mat&amp;Bem'!f.Rd.3/'Hilfstabellen_Mat&amp;Bem'!$BD$30)</f>
        <v>0.80157747206714447</v>
      </c>
      <c r="EF230" s="553">
        <f>0.5*(1+'Hilfstabellen_Mat&amp;Bem'!$BD$31*(EE230-0.3)+EE230^2)</f>
        <v>0.84634209546613415</v>
      </c>
      <c r="EG230" s="550">
        <f t="shared" si="230"/>
        <v>0.89449785580481689</v>
      </c>
      <c r="EI230" s="551">
        <f t="shared" si="231"/>
        <v>71134.047485022253</v>
      </c>
      <c r="EL230" s="547">
        <f>'Hilfstabellen_Mat&amp;Bem'!$J$65</f>
        <v>4.2</v>
      </c>
      <c r="EM230" s="546">
        <f t="shared" si="232"/>
        <v>282</v>
      </c>
      <c r="EN230" s="551">
        <f t="shared" si="233"/>
        <v>51.593002778647403</v>
      </c>
      <c r="EO230" s="553">
        <f>EN230/PI()*SQRT('Hilfstabellen_Mat&amp;Bem'!f.Rd.3/'Hilfstabellen_Mat&amp;Bem'!$BD$30)</f>
        <v>0.82112814211756258</v>
      </c>
      <c r="EP230" s="553">
        <f>0.5*(1+'Hilfstabellen_Mat&amp;Bem'!$BD$31*(EO230-0.3)+EO230^2)</f>
        <v>0.86318211999459815</v>
      </c>
      <c r="EQ230" s="550">
        <f t="shared" si="234"/>
        <v>0.8854848189785719</v>
      </c>
      <c r="ES230" s="551">
        <f t="shared" si="235"/>
        <v>70417.294744451952</v>
      </c>
    </row>
    <row r="231" spans="3:149">
      <c r="C231" s="546">
        <v>283</v>
      </c>
      <c r="D231" s="551">
        <f t="shared" si="190"/>
        <v>34.273796898889437</v>
      </c>
      <c r="E231" s="553">
        <f>$D231/PI()*SQRT('Hilfstabellen_Mat&amp;Bem'!f.Rd.3/'Hilfstabellen_Mat&amp;Bem'!$BD$30)</f>
        <v>0.54548441949859272</v>
      </c>
      <c r="F231" s="553">
        <f>0.5*(1+'Hilfstabellen_Mat&amp;Bem'!$BD$31*($E231-0.3)+$E231^2)</f>
        <v>0.66105084693278793</v>
      </c>
      <c r="G231" s="550">
        <f t="shared" si="191"/>
        <v>0.96668721466106489</v>
      </c>
      <c r="I231" s="551">
        <f t="shared" si="236"/>
        <v>77421.012334990024</v>
      </c>
      <c r="M231" s="546">
        <f t="shared" si="192"/>
        <v>283</v>
      </c>
      <c r="N231" s="551">
        <f t="shared" si="182"/>
        <v>35.497861073849776</v>
      </c>
      <c r="O231" s="553">
        <f>$N231/PI()*SQRT('Hilfstabellen_Mat&amp;Bem'!f.Rd.3/'Hilfstabellen_Mat&amp;Bem'!$BD$30)</f>
        <v>0.56496600590925683</v>
      </c>
      <c r="P231" s="553">
        <f>0.5*(1+'Hilfstabellen_Mat&amp;Bem'!$BD$31*($O231-0.3)+$O231^2)</f>
        <v>0.67284159421199208</v>
      </c>
      <c r="Q231" s="550">
        <f t="shared" si="183"/>
        <v>0.96315164747299509</v>
      </c>
      <c r="S231" s="551">
        <f t="shared" si="237"/>
        <v>77137.852294464697</v>
      </c>
      <c r="W231" s="546">
        <f t="shared" si="193"/>
        <v>283</v>
      </c>
      <c r="X231" s="551">
        <f t="shared" si="184"/>
        <v>36.721925248810116</v>
      </c>
      <c r="Y231" s="553">
        <f>$X231/PI()*SQRT('Hilfstabellen_Mat&amp;Bem'!f.Rd.3/'Hilfstabellen_Mat&amp;Bem'!$BD$30)</f>
        <v>0.58444759231992094</v>
      </c>
      <c r="Z231" s="553">
        <f>0.5*(1+'Hilfstabellen_Mat&amp;Bem'!$BD$31*($Y231-0.3)+$Y231^2)</f>
        <v>0.68501187370027228</v>
      </c>
      <c r="AA231" s="550">
        <f t="shared" si="185"/>
        <v>0.95940704760299211</v>
      </c>
      <c r="AC231" s="551">
        <f t="shared" si="238"/>
        <v>76837.951035476042</v>
      </c>
      <c r="AG231" s="546">
        <f t="shared" si="194"/>
        <v>283</v>
      </c>
      <c r="AH231" s="551">
        <f t="shared" si="186"/>
        <v>37.945989423770456</v>
      </c>
      <c r="AI231" s="553">
        <f>$AH231/PI()*SQRT('Hilfstabellen_Mat&amp;Bem'!f.Rd.3/'Hilfstabellen_Mat&amp;Bem'!$BD$30)</f>
        <v>0.60392917873058494</v>
      </c>
      <c r="AJ231" s="553">
        <f>0.5*(1+'Hilfstabellen_Mat&amp;Bem'!$BD$31*($AI231-0.3)+$AI231^2)</f>
        <v>0.69756168539762864</v>
      </c>
      <c r="AK231" s="550">
        <f t="shared" si="187"/>
        <v>0.95543027174741868</v>
      </c>
      <c r="AM231" s="551">
        <f t="shared" si="239"/>
        <v>76519.455033979015</v>
      </c>
      <c r="AQ231" s="546">
        <f t="shared" si="195"/>
        <v>283</v>
      </c>
      <c r="AR231" s="551">
        <f t="shared" si="188"/>
        <v>39.170053598730796</v>
      </c>
      <c r="AS231" s="553">
        <f>$AR231/PI()*SQRT('Hilfstabellen_Mat&amp;Bem'!f.Rd.3/'Hilfstabellen_Mat&amp;Bem'!$BD$30)</f>
        <v>0.62341076514124905</v>
      </c>
      <c r="AT231" s="553">
        <f>0.5*(1+'Hilfstabellen_Mat&amp;Bem'!$BD$31*($AS231-0.3)+$AS231^2)</f>
        <v>0.71049102930406127</v>
      </c>
      <c r="AU231" s="550">
        <f t="shared" si="189"/>
        <v>0.95119561827943178</v>
      </c>
      <c r="AW231" s="551">
        <f t="shared" si="240"/>
        <v>76180.305872381417</v>
      </c>
      <c r="AZ231" s="547">
        <f>'Hilfstabellen_Mat&amp;Bem'!$J$56</f>
        <v>3.3</v>
      </c>
      <c r="BA231" s="546">
        <f t="shared" si="196"/>
        <v>283</v>
      </c>
      <c r="BB231" s="551">
        <f t="shared" si="197"/>
        <v>40.394117773691129</v>
      </c>
      <c r="BC231" s="553">
        <f>BB231/PI()*SQRT('Hilfstabellen_Mat&amp;Bem'!f.Rd.3/'Hilfstabellen_Mat&amp;Bem'!$BD$30)</f>
        <v>0.64289235155191304</v>
      </c>
      <c r="BD231" s="553">
        <f>0.5*(1+'Hilfstabellen_Mat&amp;Bem'!$BD$31*(BC231-0.3)+BC231^2)</f>
        <v>0.72379990541956996</v>
      </c>
      <c r="BE231" s="550">
        <f t="shared" si="198"/>
        <v>0.94667458420715</v>
      </c>
      <c r="BG231" s="551">
        <f t="shared" si="199"/>
        <v>75818.220774566435</v>
      </c>
      <c r="BJ231" s="547">
        <f>'Hilfstabellen_Mat&amp;Bem'!$J$57</f>
        <v>3.4</v>
      </c>
      <c r="BK231" s="546">
        <f t="shared" si="200"/>
        <v>283</v>
      </c>
      <c r="BL231" s="551">
        <f t="shared" si="201"/>
        <v>41.618181948651468</v>
      </c>
      <c r="BM231" s="553">
        <f>BL231/PI()*SQRT('Hilfstabellen_Mat&amp;Bem'!f.Rd.3/'Hilfstabellen_Mat&amp;Bem'!$BD$30)</f>
        <v>0.66237393796257704</v>
      </c>
      <c r="BN231" s="553">
        <f>0.5*(1+'Hilfstabellen_Mat&amp;Bem'!$BD$31*(BM231-0.3)+BM231^2)</f>
        <v>0.7374883137441548</v>
      </c>
      <c r="BO231" s="550">
        <f t="shared" si="202"/>
        <v>0.94183563972036533</v>
      </c>
      <c r="BQ231" s="551">
        <f t="shared" si="203"/>
        <v>75430.674549564341</v>
      </c>
      <c r="BT231" s="547">
        <f>'Hilfstabellen_Mat&amp;Bem'!$J$58</f>
        <v>3.5</v>
      </c>
      <c r="BU231" s="546">
        <f t="shared" si="204"/>
        <v>283</v>
      </c>
      <c r="BV231" s="551">
        <f t="shared" si="205"/>
        <v>42.842246123611808</v>
      </c>
      <c r="BW231" s="553">
        <f>BV231/PI()*SQRT('Hilfstabellen_Mat&amp;Bem'!f.Rd.3/'Hilfstabellen_Mat&amp;Bem'!$BD$30)</f>
        <v>0.68185552437324115</v>
      </c>
      <c r="BX231" s="553">
        <f>0.5*(1+'Hilfstabellen_Mat&amp;Bem'!$BD$31*(BW231-0.3)+BW231^2)</f>
        <v>0.75155625427781581</v>
      </c>
      <c r="BY231" s="550">
        <f t="shared" si="206"/>
        <v>0.93664404423874259</v>
      </c>
      <c r="CA231" s="551">
        <f t="shared" si="207"/>
        <v>75014.884859036654</v>
      </c>
      <c r="CD231" s="547">
        <f>'Hilfstabellen_Mat&amp;Bem'!$J$59</f>
        <v>3.6</v>
      </c>
      <c r="CE231" s="546">
        <f t="shared" si="208"/>
        <v>283</v>
      </c>
      <c r="CF231" s="551">
        <f t="shared" si="209"/>
        <v>44.066310298572141</v>
      </c>
      <c r="CG231" s="553">
        <f>CF231/PI()*SQRT('Hilfstabellen_Mat&amp;Bem'!f.Rd.3/'Hilfstabellen_Mat&amp;Bem'!$BD$30)</f>
        <v>0.70133711078390515</v>
      </c>
      <c r="CH231" s="553">
        <f>0.5*(1+'Hilfstabellen_Mat&amp;Bem'!$BD$31*(CG231-0.3)+CG231^2)</f>
        <v>0.76600372702055308</v>
      </c>
      <c r="CI231" s="550">
        <f t="shared" si="210"/>
        <v>0.93106173852782892</v>
      </c>
      <c r="CK231" s="551">
        <f t="shared" si="211"/>
        <v>74567.803576955295</v>
      </c>
      <c r="CN231" s="547">
        <f>'Hilfstabellen_Mat&amp;Bem'!$J$60</f>
        <v>3.7</v>
      </c>
      <c r="CO231" s="546">
        <f t="shared" si="212"/>
        <v>283</v>
      </c>
      <c r="CP231" s="551">
        <f t="shared" si="213"/>
        <v>45.290374473532481</v>
      </c>
      <c r="CQ231" s="553">
        <f>CP231/PI()*SQRT('Hilfstabellen_Mat&amp;Bem'!f.Rd.3/'Hilfstabellen_Mat&amp;Bem'!$BD$30)</f>
        <v>0.72081869719456915</v>
      </c>
      <c r="CR231" s="553">
        <f>0.5*(1+'Hilfstabellen_Mat&amp;Bem'!$BD$31*(CQ231-0.3)+CQ231^2)</f>
        <v>0.78083073197236641</v>
      </c>
      <c r="CS231" s="550">
        <f t="shared" si="214"/>
        <v>0.92504736087329975</v>
      </c>
      <c r="CU231" s="551">
        <f t="shared" si="215"/>
        <v>74086.118084981703</v>
      </c>
      <c r="CX231" s="547">
        <f>'Hilfstabellen_Mat&amp;Bem'!$J$61</f>
        <v>3.8</v>
      </c>
      <c r="CY231" s="546">
        <f t="shared" si="216"/>
        <v>283</v>
      </c>
      <c r="CZ231" s="551">
        <f t="shared" si="217"/>
        <v>46.514438648492813</v>
      </c>
      <c r="DA231" s="553">
        <f>CZ231/PI()*SQRT('Hilfstabellen_Mat&amp;Bem'!f.Rd.3/'Hilfstabellen_Mat&amp;Bem'!$BD$30)</f>
        <v>0.74030028360523314</v>
      </c>
      <c r="DB231" s="553">
        <f>0.5*(1+'Hilfstabellen_Mat&amp;Bem'!$BD$31*(DA231-0.3)+DA231^2)</f>
        <v>0.79603726913325601</v>
      </c>
      <c r="DC231" s="550">
        <f t="shared" si="218"/>
        <v>0.91855645111742112</v>
      </c>
      <c r="DE231" s="551">
        <f t="shared" si="219"/>
        <v>73566.267613543139</v>
      </c>
      <c r="DH231" s="547">
        <f>'Hilfstabellen_Mat&amp;Bem'!$J$62</f>
        <v>3.9</v>
      </c>
      <c r="DI231" s="546">
        <f t="shared" si="220"/>
        <v>283</v>
      </c>
      <c r="DJ231" s="551">
        <f t="shared" si="221"/>
        <v>47.738502823453153</v>
      </c>
      <c r="DK231" s="553">
        <f>DJ231/PI()*SQRT('Hilfstabellen_Mat&amp;Bem'!f.Rd.3/'Hilfstabellen_Mat&amp;Bem'!$BD$30)</f>
        <v>0.75978187001589725</v>
      </c>
      <c r="DL231" s="553">
        <f>0.5*(1+'Hilfstabellen_Mat&amp;Bem'!$BD$31*(DK231-0.3)+DK231^2)</f>
        <v>0.81162333850322166</v>
      </c>
      <c r="DM231" s="550">
        <f t="shared" si="222"/>
        <v>0.91154192311394422</v>
      </c>
      <c r="DO231" s="551">
        <f t="shared" si="223"/>
        <v>73004.481080272672</v>
      </c>
      <c r="DR231" s="547">
        <f>'Hilfstabellen_Mat&amp;Bem'!$J$63</f>
        <v>4</v>
      </c>
      <c r="DS231" s="546">
        <f t="shared" si="224"/>
        <v>283</v>
      </c>
      <c r="DT231" s="551">
        <f t="shared" si="225"/>
        <v>48.962566998413486</v>
      </c>
      <c r="DU231" s="553">
        <f>DT231/PI()*SQRT('Hilfstabellen_Mat&amp;Bem'!f.Rd.3/'Hilfstabellen_Mat&amp;Bem'!$BD$30)</f>
        <v>0.77926345642656125</v>
      </c>
      <c r="DV231" s="553">
        <f>0.5*(1+'Hilfstabellen_Mat&amp;Bem'!$BD$31*(DU231-0.3)+DU231^2)</f>
        <v>0.82758894008226358</v>
      </c>
      <c r="DW231" s="550">
        <f t="shared" si="226"/>
        <v>0.90395490062570283</v>
      </c>
      <c r="DY231" s="551">
        <f t="shared" si="227"/>
        <v>72396.844036211914</v>
      </c>
      <c r="EB231" s="547">
        <f>'Hilfstabellen_Mat&amp;Bem'!$J$64</f>
        <v>4.0999999999999996</v>
      </c>
      <c r="EC231" s="546">
        <f t="shared" si="228"/>
        <v>283</v>
      </c>
      <c r="ED231" s="551">
        <f t="shared" si="229"/>
        <v>50.186631173373826</v>
      </c>
      <c r="EE231" s="553">
        <f>ED231/PI()*SQRT('Hilfstabellen_Mat&amp;Bem'!f.Rd.3/'Hilfstabellen_Mat&amp;Bem'!$BD$30)</f>
        <v>0.79874504283722525</v>
      </c>
      <c r="EF231" s="553">
        <f>0.5*(1+'Hilfstabellen_Mat&amp;Bem'!$BD$31*(EE231-0.3)+EE231^2)</f>
        <v>0.84393407387038166</v>
      </c>
      <c r="EG231" s="550">
        <f t="shared" si="230"/>
        <v>0.89574601811224919</v>
      </c>
      <c r="EI231" s="551">
        <f t="shared" si="231"/>
        <v>71739.402844591925</v>
      </c>
      <c r="EL231" s="547">
        <f>'Hilfstabellen_Mat&amp;Bem'!$J$65</f>
        <v>4.2</v>
      </c>
      <c r="EM231" s="546">
        <f t="shared" si="232"/>
        <v>283</v>
      </c>
      <c r="EN231" s="551">
        <f t="shared" si="233"/>
        <v>51.410695348334166</v>
      </c>
      <c r="EO231" s="553">
        <f>EN231/PI()*SQRT('Hilfstabellen_Mat&amp;Bem'!f.Rd.3/'Hilfstabellen_Mat&amp;Bem'!$BD$30)</f>
        <v>0.81822662924788936</v>
      </c>
      <c r="EP231" s="553">
        <f>0.5*(1+'Hilfstabellen_Mat&amp;Bem'!$BD$31*(EO231-0.3)+EO231^2)</f>
        <v>0.86065873986757591</v>
      </c>
      <c r="EQ231" s="550">
        <f t="shared" si="234"/>
        <v>0.88686727748259975</v>
      </c>
      <c r="ES231" s="551">
        <f t="shared" si="235"/>
        <v>71028.313386303926</v>
      </c>
    </row>
    <row r="232" spans="3:149">
      <c r="C232" s="546">
        <v>284</v>
      </c>
      <c r="D232" s="551">
        <f t="shared" si="190"/>
        <v>34.153114515442645</v>
      </c>
      <c r="E232" s="553">
        <f>$D232/PI()*SQRT('Hilfstabellen_Mat&amp;Bem'!f.Rd.3/'Hilfstabellen_Mat&amp;Bem'!$BD$30)</f>
        <v>0.54356369971162588</v>
      </c>
      <c r="F232" s="553">
        <f>0.5*(1+'Hilfstabellen_Mat&amp;Bem'!$BD$31*($E232-0.3)+$E232^2)</f>
        <v>0.6599089328076766</v>
      </c>
      <c r="G232" s="550">
        <f t="shared" si="191"/>
        <v>0.96702527893795687</v>
      </c>
      <c r="I232" s="551">
        <f t="shared" si="236"/>
        <v>77996.390898019847</v>
      </c>
      <c r="M232" s="546">
        <f t="shared" si="192"/>
        <v>284</v>
      </c>
      <c r="N232" s="551">
        <f t="shared" si="182"/>
        <v>35.372868605279884</v>
      </c>
      <c r="O232" s="553">
        <f>$N232/PI()*SQRT('Hilfstabellen_Mat&amp;Bem'!f.Rd.3/'Hilfstabellen_Mat&amp;Bem'!$BD$30)</f>
        <v>0.56297668898704112</v>
      </c>
      <c r="P232" s="553">
        <f>0.5*(1+'Hilfstabellen_Mat&amp;Bem'!$BD$31*($O232-0.3)+$O232^2)</f>
        <v>0.67162021062075794</v>
      </c>
      <c r="Q232" s="550">
        <f t="shared" si="183"/>
        <v>0.96352188787724824</v>
      </c>
      <c r="S232" s="551">
        <f t="shared" si="237"/>
        <v>77713.82138862733</v>
      </c>
      <c r="W232" s="546">
        <f t="shared" si="193"/>
        <v>284</v>
      </c>
      <c r="X232" s="551">
        <f t="shared" si="184"/>
        <v>36.592622695117122</v>
      </c>
      <c r="Y232" s="553">
        <f>$X232/PI()*SQRT('Hilfstabellen_Mat&amp;Bem'!f.Rd.3/'Hilfstabellen_Mat&amp;Bem'!$BD$30)</f>
        <v>0.58238967826245636</v>
      </c>
      <c r="Z232" s="553">
        <f>0.5*(1+'Hilfstabellen_Mat&amp;Bem'!$BD$31*($Y232-0.3)+$Y232^2)</f>
        <v>0.68370835258644647</v>
      </c>
      <c r="AA232" s="550">
        <f t="shared" si="185"/>
        <v>0.95981314823279518</v>
      </c>
      <c r="AC232" s="551">
        <f t="shared" si="238"/>
        <v>77414.689283864325</v>
      </c>
      <c r="AG232" s="546">
        <f t="shared" si="194"/>
        <v>284</v>
      </c>
      <c r="AH232" s="551">
        <f t="shared" si="186"/>
        <v>37.81237678495436</v>
      </c>
      <c r="AI232" s="553">
        <f>$AH232/PI()*SQRT('Hilfstabellen_Mat&amp;Bem'!f.Rd.3/'Hilfstabellen_Mat&amp;Bem'!$BD$30)</f>
        <v>0.60180266753787159</v>
      </c>
      <c r="AJ232" s="553">
        <f>0.5*(1+'Hilfstabellen_Mat&amp;Bem'!$BD$31*($AI232-0.3)+$AI232^2)</f>
        <v>0.69617335870474262</v>
      </c>
      <c r="AK232" s="550">
        <f t="shared" si="187"/>
        <v>0.95587640950824015</v>
      </c>
      <c r="AM232" s="551">
        <f t="shared" si="239"/>
        <v>77097.167685296619</v>
      </c>
      <c r="AQ232" s="546">
        <f t="shared" si="195"/>
        <v>284</v>
      </c>
      <c r="AR232" s="551">
        <f t="shared" si="188"/>
        <v>39.032130874791598</v>
      </c>
      <c r="AS232" s="553">
        <f>$AR232/PI()*SQRT('Hilfstabellen_Mat&amp;Bem'!f.Rd.3/'Hilfstabellen_Mat&amp;Bem'!$BD$30)</f>
        <v>0.62121565681328683</v>
      </c>
      <c r="AT232" s="553">
        <f>0.5*(1+'Hilfstabellen_Mat&amp;Bem'!$BD$31*($AS232-0.3)+$AS232^2)</f>
        <v>0.70901522897564606</v>
      </c>
      <c r="AU232" s="550">
        <f t="shared" si="189"/>
        <v>0.95168652435302326</v>
      </c>
      <c r="AW232" s="551">
        <f t="shared" si="240"/>
        <v>76759.22830821744</v>
      </c>
      <c r="AZ232" s="547">
        <f>'Hilfstabellen_Mat&amp;Bem'!$J$56</f>
        <v>3.3</v>
      </c>
      <c r="BA232" s="546">
        <f t="shared" si="196"/>
        <v>284</v>
      </c>
      <c r="BB232" s="551">
        <f t="shared" si="197"/>
        <v>40.251884964628836</v>
      </c>
      <c r="BC232" s="553">
        <f>BB232/PI()*SQRT('Hilfstabellen_Mat&amp;Bem'!f.Rd.3/'Hilfstabellen_Mat&amp;Bem'!$BD$30)</f>
        <v>0.64062864608870207</v>
      </c>
      <c r="BD232" s="553">
        <f>0.5*(1+'Hilfstabellen_Mat&amp;Bem'!$BD$31*(BC232-0.3)+BC232^2)</f>
        <v>0.72223396339915691</v>
      </c>
      <c r="BE232" s="550">
        <f t="shared" si="198"/>
        <v>0.94721560893683643</v>
      </c>
      <c r="BG232" s="551">
        <f t="shared" si="199"/>
        <v>76398.622154409473</v>
      </c>
      <c r="BJ232" s="547">
        <f>'Hilfstabellen_Mat&amp;Bem'!$J$57</f>
        <v>3.4</v>
      </c>
      <c r="BK232" s="546">
        <f t="shared" si="200"/>
        <v>284</v>
      </c>
      <c r="BL232" s="551">
        <f t="shared" si="201"/>
        <v>41.471639054466074</v>
      </c>
      <c r="BM232" s="553">
        <f>BL232/PI()*SQRT('Hilfstabellen_Mat&amp;Bem'!f.Rd.3/'Hilfstabellen_Mat&amp;Bem'!$BD$30)</f>
        <v>0.66004163536411731</v>
      </c>
      <c r="BN232" s="553">
        <f>0.5*(1+'Hilfstabellen_Mat&amp;Bem'!$BD$31*(BM232-0.3)+BM232^2)</f>
        <v>0.73582956197527505</v>
      </c>
      <c r="BO232" s="550">
        <f t="shared" si="202"/>
        <v>0.94243281849526661</v>
      </c>
      <c r="BQ232" s="551">
        <f t="shared" si="203"/>
        <v>76012.861408554221</v>
      </c>
      <c r="BT232" s="547">
        <f>'Hilfstabellen_Mat&amp;Bem'!$J$58</f>
        <v>3.5</v>
      </c>
      <c r="BU232" s="546">
        <f t="shared" si="204"/>
        <v>284</v>
      </c>
      <c r="BV232" s="551">
        <f t="shared" si="205"/>
        <v>42.691393144303305</v>
      </c>
      <c r="BW232" s="553">
        <f>BV232/PI()*SQRT('Hilfstabellen_Mat&amp;Bem'!f.Rd.3/'Hilfstabellen_Mat&amp;Bem'!$BD$30)</f>
        <v>0.67945462463953232</v>
      </c>
      <c r="BX232" s="553">
        <f>0.5*(1+'Hilfstabellen_Mat&amp;Bem'!$BD$31*(BW232-0.3)+BW232^2)</f>
        <v>0.74980202470400048</v>
      </c>
      <c r="BY232" s="550">
        <f t="shared" si="206"/>
        <v>0.93730416038054809</v>
      </c>
      <c r="CA232" s="551">
        <f t="shared" si="207"/>
        <v>75599.204359653493</v>
      </c>
      <c r="CD232" s="547">
        <f>'Hilfstabellen_Mat&amp;Bem'!$J$59</f>
        <v>3.6</v>
      </c>
      <c r="CE232" s="546">
        <f t="shared" si="208"/>
        <v>284</v>
      </c>
      <c r="CF232" s="551">
        <f t="shared" si="209"/>
        <v>43.91114723414055</v>
      </c>
      <c r="CG232" s="553">
        <f>CF232/PI()*SQRT('Hilfstabellen_Mat&amp;Bem'!f.Rd.3/'Hilfstabellen_Mat&amp;Bem'!$BD$30)</f>
        <v>0.69886761391494767</v>
      </c>
      <c r="CH232" s="553">
        <f>0.5*(1+'Hilfstabellen_Mat&amp;Bem'!$BD$31*(CG232-0.3)+CG232^2)</f>
        <v>0.76415135158533354</v>
      </c>
      <c r="CI232" s="550">
        <f t="shared" si="210"/>
        <v>0.93179237700858564</v>
      </c>
      <c r="CK232" s="551">
        <f t="shared" si="211"/>
        <v>75154.645960004476</v>
      </c>
      <c r="CN232" s="547">
        <f>'Hilfstabellen_Mat&amp;Bem'!$J$60</f>
        <v>3.7</v>
      </c>
      <c r="CO232" s="546">
        <f t="shared" si="212"/>
        <v>284</v>
      </c>
      <c r="CP232" s="551">
        <f t="shared" si="213"/>
        <v>45.130901323977788</v>
      </c>
      <c r="CQ232" s="553">
        <f>CP232/PI()*SQRT('Hilfstabellen_Mat&amp;Bem'!f.Rd.3/'Hilfstabellen_Mat&amp;Bem'!$BD$30)</f>
        <v>0.71828060319036302</v>
      </c>
      <c r="CR232" s="553">
        <f>0.5*(1+'Hilfstabellen_Mat&amp;Bem'!$BD$31*(CQ232-0.3)+CQ232^2)</f>
        <v>0.778877542619274</v>
      </c>
      <c r="CS232" s="550">
        <f t="shared" si="214"/>
        <v>0.92585694383652695</v>
      </c>
      <c r="CU232" s="551">
        <f t="shared" si="215"/>
        <v>74675.917662078922</v>
      </c>
      <c r="CX232" s="547">
        <f>'Hilfstabellen_Mat&amp;Bem'!$J$61</f>
        <v>3.8</v>
      </c>
      <c r="CY232" s="546">
        <f t="shared" si="216"/>
        <v>284</v>
      </c>
      <c r="CZ232" s="551">
        <f t="shared" si="217"/>
        <v>46.350655413815026</v>
      </c>
      <c r="DA232" s="553">
        <f>CZ232/PI()*SQRT('Hilfstabellen_Mat&amp;Bem'!f.Rd.3/'Hilfstabellen_Mat&amp;Bem'!$BD$30)</f>
        <v>0.73769359246577815</v>
      </c>
      <c r="DB232" s="553">
        <f>0.5*(1+'Hilfstabellen_Mat&amp;Bem'!$BD$31*(DA232-0.3)+DA232^2)</f>
        <v>0.79398059780582164</v>
      </c>
      <c r="DC232" s="550">
        <f t="shared" si="218"/>
        <v>0.9194542426515957</v>
      </c>
      <c r="DE232" s="551">
        <f t="shared" si="219"/>
        <v>74159.501395307103</v>
      </c>
      <c r="DH232" s="547">
        <f>'Hilfstabellen_Mat&amp;Bem'!$J$62</f>
        <v>3.9</v>
      </c>
      <c r="DI232" s="546">
        <f t="shared" si="220"/>
        <v>284</v>
      </c>
      <c r="DJ232" s="551">
        <f t="shared" si="221"/>
        <v>47.570409503652265</v>
      </c>
      <c r="DK232" s="553">
        <f>DJ232/PI()*SQRT('Hilfstabellen_Mat&amp;Bem'!f.Rd.3/'Hilfstabellen_Mat&amp;Bem'!$BD$30)</f>
        <v>0.75710658174119339</v>
      </c>
      <c r="DL232" s="553">
        <f>0.5*(1+'Hilfstabellen_Mat&amp;Bem'!$BD$31*(DK232-0.3)+DK232^2)</f>
        <v>0.80946051714497691</v>
      </c>
      <c r="DM232" s="550">
        <f t="shared" si="222"/>
        <v>0.9125379867592478</v>
      </c>
      <c r="DO232" s="551">
        <f t="shared" si="223"/>
        <v>73601.663860053886</v>
      </c>
      <c r="DR232" s="547">
        <f>'Hilfstabellen_Mat&amp;Bem'!$J$63</f>
        <v>4</v>
      </c>
      <c r="DS232" s="546">
        <f t="shared" si="224"/>
        <v>284</v>
      </c>
      <c r="DT232" s="551">
        <f t="shared" si="225"/>
        <v>48.790163593489503</v>
      </c>
      <c r="DU232" s="553">
        <f>DT232/PI()*SQRT('Hilfstabellen_Mat&amp;Bem'!f.Rd.3/'Hilfstabellen_Mat&amp;Bem'!$BD$30)</f>
        <v>0.77651957101660862</v>
      </c>
      <c r="DV232" s="553">
        <f>0.5*(1+'Hilfstabellen_Mat&amp;Bem'!$BD$31*(DU232-0.3)+DU232^2)</f>
        <v>0.82531730063673936</v>
      </c>
      <c r="DW232" s="550">
        <f t="shared" si="226"/>
        <v>0.90505998926994491</v>
      </c>
      <c r="DY232" s="551">
        <f t="shared" si="227"/>
        <v>72998.518494556673</v>
      </c>
      <c r="EB232" s="547">
        <f>'Hilfstabellen_Mat&amp;Bem'!$J$64</f>
        <v>4.0999999999999996</v>
      </c>
      <c r="EC232" s="546">
        <f t="shared" si="228"/>
        <v>284</v>
      </c>
      <c r="ED232" s="551">
        <f t="shared" si="229"/>
        <v>50.009917683326741</v>
      </c>
      <c r="EE232" s="553">
        <f>ED232/PI()*SQRT('Hilfstabellen_Mat&amp;Bem'!f.Rd.3/'Hilfstabellen_Mat&amp;Bem'!$BD$30)</f>
        <v>0.79593256029202386</v>
      </c>
      <c r="EF232" s="553">
        <f>0.5*(1+'Hilfstabellen_Mat&amp;Bem'!$BD$31*(EE232-0.3)+EE232^2)</f>
        <v>0.84155094828110932</v>
      </c>
      <c r="EG232" s="550">
        <f t="shared" si="230"/>
        <v>0.89697137338573607</v>
      </c>
      <c r="EI232" s="551">
        <f t="shared" si="231"/>
        <v>72346.123091799935</v>
      </c>
      <c r="EL232" s="547">
        <f>'Hilfstabellen_Mat&amp;Bem'!$J$65</f>
        <v>4.2</v>
      </c>
      <c r="EM232" s="546">
        <f t="shared" si="232"/>
        <v>284</v>
      </c>
      <c r="EN232" s="551">
        <f t="shared" si="233"/>
        <v>51.229671773163979</v>
      </c>
      <c r="EO232" s="553">
        <f>EN232/PI()*SQRT('Hilfstabellen_Mat&amp;Bem'!f.Rd.3/'Hilfstabellen_Mat&amp;Bem'!$BD$30)</f>
        <v>0.81534554956743899</v>
      </c>
      <c r="EP232" s="553">
        <f>0.5*(1+'Hilfstabellen_Mat&amp;Bem'!$BD$31*(EO232-0.3)+EO232^2)</f>
        <v>0.85816146007808647</v>
      </c>
      <c r="EQ232" s="550">
        <f t="shared" si="234"/>
        <v>0.88822431630641718</v>
      </c>
      <c r="ES232" s="551">
        <f t="shared" si="235"/>
        <v>71640.62045601038</v>
      </c>
    </row>
    <row r="233" spans="3:149">
      <c r="C233" s="546">
        <v>285</v>
      </c>
      <c r="D233" s="551">
        <f t="shared" si="190"/>
        <v>34.03327902591478</v>
      </c>
      <c r="E233" s="553">
        <f>$D233/PI()*SQRT('Hilfstabellen_Mat&amp;Bem'!f.Rd.3/'Hilfstabellen_Mat&amp;Bem'!$BD$30)</f>
        <v>0.54165645866000622</v>
      </c>
      <c r="F233" s="553">
        <f>0.5*(1+'Hilfstabellen_Mat&amp;Bem'!$BD$31*($E233-0.3)+$E233^2)</f>
        <v>0.65877868253704985</v>
      </c>
      <c r="G233" s="550">
        <f t="shared" si="191"/>
        <v>0.96735918087822925</v>
      </c>
      <c r="I233" s="551">
        <f t="shared" si="236"/>
        <v>78573.749466834168</v>
      </c>
      <c r="M233" s="546">
        <f t="shared" si="192"/>
        <v>285</v>
      </c>
      <c r="N233" s="551">
        <f t="shared" si="182"/>
        <v>35.248753276840304</v>
      </c>
      <c r="O233" s="553">
        <f>$N233/PI()*SQRT('Hilfstabellen_Mat&amp;Bem'!f.Rd.3/'Hilfstabellen_Mat&amp;Bem'!$BD$30)</f>
        <v>0.56100133218357784</v>
      </c>
      <c r="P233" s="553">
        <f>0.5*(1+'Hilfstabellen_Mat&amp;Bem'!$BD$31*($O233-0.3)+$O233^2)</f>
        <v>0.67041131396505338</v>
      </c>
      <c r="Q233" s="550">
        <f t="shared" si="183"/>
        <v>0.9638873982994649</v>
      </c>
      <c r="S233" s="551">
        <f t="shared" si="237"/>
        <v>78291.753926874037</v>
      </c>
      <c r="W233" s="546">
        <f t="shared" si="193"/>
        <v>285</v>
      </c>
      <c r="X233" s="551">
        <f t="shared" si="184"/>
        <v>36.464227527765836</v>
      </c>
      <c r="Y233" s="553">
        <f>$X233/PI()*SQRT('Hilfstabellen_Mat&amp;Bem'!f.Rd.3/'Hilfstabellen_Mat&amp;Bem'!$BD$30)</f>
        <v>0.58034620570714945</v>
      </c>
      <c r="Z233" s="553">
        <f>0.5*(1+'Hilfstabellen_Mat&amp;Bem'!$BD$31*($Y233-0.3)+$Y233^2)</f>
        <v>0.68241816952470002</v>
      </c>
      <c r="AA233" s="550">
        <f t="shared" si="185"/>
        <v>0.96021386602318637</v>
      </c>
      <c r="AC233" s="551">
        <f t="shared" si="238"/>
        <v>77993.37126773331</v>
      </c>
      <c r="AG233" s="546">
        <f t="shared" si="194"/>
        <v>285</v>
      </c>
      <c r="AH233" s="551">
        <f t="shared" si="186"/>
        <v>37.679701778691367</v>
      </c>
      <c r="AI233" s="553">
        <f>$AH233/PI()*SQRT('Hilfstabellen_Mat&amp;Bem'!f.Rd.3/'Hilfstabellen_Mat&amp;Bem'!$BD$30)</f>
        <v>0.59969107923072129</v>
      </c>
      <c r="AJ233" s="553">
        <f>0.5*(1+'Hilfstabellen_Mat&amp;Bem'!$BD$31*($AI233-0.3)+$AI233^2)</f>
        <v>0.69479924921598968</v>
      </c>
      <c r="AK233" s="550">
        <f t="shared" si="187"/>
        <v>0.95631641343147433</v>
      </c>
      <c r="AM233" s="551">
        <f t="shared" si="239"/>
        <v>77676.800680971501</v>
      </c>
      <c r="AQ233" s="546">
        <f t="shared" si="195"/>
        <v>285</v>
      </c>
      <c r="AR233" s="551">
        <f t="shared" si="188"/>
        <v>38.895176029616891</v>
      </c>
      <c r="AS233" s="553">
        <f>$AR233/PI()*SQRT('Hilfstabellen_Mat&amp;Bem'!f.Rd.3/'Hilfstabellen_Mat&amp;Bem'!$BD$30)</f>
        <v>0.61903595275429291</v>
      </c>
      <c r="AT233" s="553">
        <f>0.5*(1+'Hilfstabellen_Mat&amp;Bem'!$BD$31*($AS233-0.3)+$AS233^2)</f>
        <v>0.70755455303892223</v>
      </c>
      <c r="AU233" s="550">
        <f t="shared" si="189"/>
        <v>0.95217043300530646</v>
      </c>
      <c r="AW233" s="551">
        <f t="shared" si="240"/>
        <v>77340.043420856018</v>
      </c>
      <c r="AZ233" s="547">
        <f>'Hilfstabellen_Mat&amp;Bem'!$J$56</f>
        <v>3.3</v>
      </c>
      <c r="BA233" s="546">
        <f t="shared" si="196"/>
        <v>285</v>
      </c>
      <c r="BB233" s="551">
        <f t="shared" si="197"/>
        <v>40.110650280542423</v>
      </c>
      <c r="BC233" s="553">
        <f>BB233/PI()*SQRT('Hilfstabellen_Mat&amp;Bem'!f.Rd.3/'Hilfstabellen_Mat&amp;Bem'!$BD$30)</f>
        <v>0.63838082627786452</v>
      </c>
      <c r="BD233" s="553">
        <f>0.5*(1+'Hilfstabellen_Mat&amp;Bem'!$BD$31*(BC233-0.3)+BC233^2)</f>
        <v>0.72068408099349779</v>
      </c>
      <c r="BE233" s="550">
        <f t="shared" si="198"/>
        <v>0.94774864422799698</v>
      </c>
      <c r="BG233" s="551">
        <f t="shared" si="199"/>
        <v>76980.883627419054</v>
      </c>
      <c r="BJ233" s="547">
        <f>'Hilfstabellen_Mat&amp;Bem'!$J$57</f>
        <v>3.4</v>
      </c>
      <c r="BK233" s="546">
        <f t="shared" si="200"/>
        <v>285</v>
      </c>
      <c r="BL233" s="551">
        <f t="shared" si="201"/>
        <v>41.326124531467947</v>
      </c>
      <c r="BM233" s="553">
        <f>BL233/PI()*SQRT('Hilfstabellen_Mat&amp;Bem'!f.Rd.3/'Hilfstabellen_Mat&amp;Bem'!$BD$30)</f>
        <v>0.65772569980143614</v>
      </c>
      <c r="BN233" s="553">
        <f>0.5*(1+'Hilfstabellen_Mat&amp;Bem'!$BD$31*(BM233-0.3)+BM233^2)</f>
        <v>0.73418783307971625</v>
      </c>
      <c r="BO233" s="550">
        <f t="shared" si="202"/>
        <v>0.94302087043965721</v>
      </c>
      <c r="BQ233" s="551">
        <f t="shared" si="203"/>
        <v>76596.870201461163</v>
      </c>
      <c r="BT233" s="547">
        <f>'Hilfstabellen_Mat&amp;Bem'!$J$58</f>
        <v>3.5</v>
      </c>
      <c r="BU233" s="546">
        <f t="shared" si="204"/>
        <v>285</v>
      </c>
      <c r="BV233" s="551">
        <f t="shared" si="205"/>
        <v>42.541598782393478</v>
      </c>
      <c r="BW233" s="553">
        <f>BV233/PI()*SQRT('Hilfstabellen_Mat&amp;Bem'!f.Rd.3/'Hilfstabellen_Mat&amp;Bem'!$BD$30)</f>
        <v>0.67707057332500786</v>
      </c>
      <c r="BX233" s="553">
        <f>0.5*(1+'Hilfstabellen_Mat&amp;Bem'!$BD$31*(BW233-0.3)+BW233^2)</f>
        <v>0.74806580929757782</v>
      </c>
      <c r="BY233" s="550">
        <f t="shared" si="206"/>
        <v>0.9379538494989923</v>
      </c>
      <c r="CA233" s="551">
        <f t="shared" si="207"/>
        <v>76185.301425555648</v>
      </c>
      <c r="CD233" s="547">
        <f>'Hilfstabellen_Mat&amp;Bem'!$J$59</f>
        <v>3.6</v>
      </c>
      <c r="CE233" s="546">
        <f t="shared" si="208"/>
        <v>285</v>
      </c>
      <c r="CF233" s="551">
        <f t="shared" si="209"/>
        <v>43.757073033319003</v>
      </c>
      <c r="CG233" s="553">
        <f>CF233/PI()*SQRT('Hilfstabellen_Mat&amp;Bem'!f.Rd.3/'Hilfstabellen_Mat&amp;Bem'!$BD$30)</f>
        <v>0.69641544684857948</v>
      </c>
      <c r="CH233" s="553">
        <f>0.5*(1+'Hilfstabellen_Mat&amp;Bem'!$BD$31*(CG233-0.3)+CG233^2)</f>
        <v>0.7623180096470823</v>
      </c>
      <c r="CI233" s="550">
        <f t="shared" si="210"/>
        <v>0.93251110860046404</v>
      </c>
      <c r="CK233" s="551">
        <f t="shared" si="211"/>
        <v>75743.214796072687</v>
      </c>
      <c r="CN233" s="547">
        <f>'Hilfstabellen_Mat&amp;Bem'!$J$60</f>
        <v>3.7</v>
      </c>
      <c r="CO233" s="546">
        <f t="shared" si="212"/>
        <v>285</v>
      </c>
      <c r="CP233" s="551">
        <f t="shared" si="213"/>
        <v>44.972547284244527</v>
      </c>
      <c r="CQ233" s="553">
        <f>CP233/PI()*SQRT('Hilfstabellen_Mat&amp;Bem'!f.Rd.3/'Hilfstabellen_Mat&amp;Bem'!$BD$30)</f>
        <v>0.71576032037215098</v>
      </c>
      <c r="CR233" s="553">
        <f>0.5*(1+'Hilfstabellen_Mat&amp;Bem'!$BD$31*(CQ233-0.3)+CQ233^2)</f>
        <v>0.77694443412822967</v>
      </c>
      <c r="CS233" s="550">
        <f t="shared" si="214"/>
        <v>0.92665294568420897</v>
      </c>
      <c r="CU233" s="551">
        <f t="shared" si="215"/>
        <v>75267.385513199872</v>
      </c>
      <c r="CX233" s="547">
        <f>'Hilfstabellen_Mat&amp;Bem'!$J$61</f>
        <v>3.8</v>
      </c>
      <c r="CY233" s="546">
        <f t="shared" si="216"/>
        <v>285</v>
      </c>
      <c r="CZ233" s="551">
        <f t="shared" si="217"/>
        <v>46.188021535170058</v>
      </c>
      <c r="DA233" s="553">
        <f>CZ233/PI()*SQRT('Hilfstabellen_Mat&amp;Bem'!f.Rd.3/'Hilfstabellen_Mat&amp;Bem'!$BD$30)</f>
        <v>0.73510519389572282</v>
      </c>
      <c r="DB233" s="553">
        <f>0.5*(1+'Hilfstabellen_Mat&amp;Bem'!$BD$31*(DA233-0.3)+DA233^2)</f>
        <v>0.79194508274102016</v>
      </c>
      <c r="DC233" s="550">
        <f t="shared" si="218"/>
        <v>0.92033657436610028</v>
      </c>
      <c r="DE233" s="551">
        <f t="shared" si="219"/>
        <v>74754.338252886489</v>
      </c>
      <c r="DH233" s="547">
        <f>'Hilfstabellen_Mat&amp;Bem'!$J$62</f>
        <v>3.9</v>
      </c>
      <c r="DI233" s="546">
        <f t="shared" si="220"/>
        <v>285</v>
      </c>
      <c r="DJ233" s="551">
        <f t="shared" si="221"/>
        <v>47.403495786095583</v>
      </c>
      <c r="DK233" s="553">
        <f>DJ233/PI()*SQRT('Hilfstabellen_Mat&amp;Bem'!f.Rd.3/'Hilfstabellen_Mat&amp;Bem'!$BD$30)</f>
        <v>0.75445006741929443</v>
      </c>
      <c r="DL233" s="553">
        <f>0.5*(1+'Hilfstabellen_Mat&amp;Bem'!$BD$31*(DK233-0.3)+DK233^2)</f>
        <v>0.80731995548545366</v>
      </c>
      <c r="DM233" s="550">
        <f t="shared" si="222"/>
        <v>0.91351650514880023</v>
      </c>
      <c r="DO233" s="551">
        <f t="shared" si="223"/>
        <v>74200.378130711295</v>
      </c>
      <c r="DR233" s="547">
        <f>'Hilfstabellen_Mat&amp;Bem'!$J$63</f>
        <v>4</v>
      </c>
      <c r="DS233" s="546">
        <f t="shared" si="224"/>
        <v>285</v>
      </c>
      <c r="DT233" s="551">
        <f t="shared" si="225"/>
        <v>48.618970037021114</v>
      </c>
      <c r="DU233" s="553">
        <f>DT233/PI()*SQRT('Hilfstabellen_Mat&amp;Bem'!f.Rd.3/'Hilfstabellen_Mat&amp;Bem'!$BD$30)</f>
        <v>0.77379494094286605</v>
      </c>
      <c r="DV233" s="553">
        <f>0.5*(1+'Hilfstabellen_Mat&amp;Bem'!$BD$31*(DU233-0.3)+DU233^2)</f>
        <v>0.82306905236153005</v>
      </c>
      <c r="DW233" s="550">
        <f t="shared" si="226"/>
        <v>0.90614525032553728</v>
      </c>
      <c r="DY233" s="551">
        <f t="shared" si="227"/>
        <v>73601.647957691763</v>
      </c>
      <c r="EB233" s="547">
        <f>'Hilfstabellen_Mat&amp;Bem'!$J$64</f>
        <v>4.0999999999999996</v>
      </c>
      <c r="EC233" s="546">
        <f t="shared" si="228"/>
        <v>285</v>
      </c>
      <c r="ED233" s="551">
        <f t="shared" si="229"/>
        <v>49.834444287946646</v>
      </c>
      <c r="EE233" s="553">
        <f>ED233/PI()*SQRT('Hilfstabellen_Mat&amp;Bem'!f.Rd.3/'Hilfstabellen_Mat&amp;Bem'!$BD$30)</f>
        <v>0.79313981446643778</v>
      </c>
      <c r="EF233" s="553">
        <f>0.5*(1+'Hilfstabellen_Mat&amp;Bem'!$BD$31*(EE233-0.3)+EE233^2)</f>
        <v>0.83919237336924946</v>
      </c>
      <c r="EG233" s="550">
        <f t="shared" si="230"/>
        <v>0.89817444874896246</v>
      </c>
      <c r="EI233" s="551">
        <f t="shared" si="231"/>
        <v>72954.219599634482</v>
      </c>
      <c r="EL233" s="547">
        <f>'Hilfstabellen_Mat&amp;Bem'!$J$65</f>
        <v>4.2</v>
      </c>
      <c r="EM233" s="546">
        <f t="shared" si="232"/>
        <v>285</v>
      </c>
      <c r="EN233" s="551">
        <f t="shared" si="233"/>
        <v>51.04991853887217</v>
      </c>
      <c r="EO233" s="553">
        <f>EN233/PI()*SQRT('Hilfstabellen_Mat&amp;Bem'!f.Rd.3/'Hilfstabellen_Mat&amp;Bem'!$BD$30)</f>
        <v>0.81248468799000939</v>
      </c>
      <c r="EP233" s="553">
        <f>0.5*(1+'Hilfstabellen_Mat&amp;Bem'!$BD$31*(EO233-0.3)+EO233^2)</f>
        <v>0.85568991850861198</v>
      </c>
      <c r="EQ233" s="550">
        <f t="shared" si="234"/>
        <v>0.88955650207615644</v>
      </c>
      <c r="ES233" s="551">
        <f t="shared" si="235"/>
        <v>72254.226881135808</v>
      </c>
    </row>
    <row r="234" spans="3:149">
      <c r="C234" s="546">
        <v>286</v>
      </c>
      <c r="D234" s="551">
        <f t="shared" si="190"/>
        <v>33.914281546803188</v>
      </c>
      <c r="E234" s="553">
        <f>$D234/PI()*SQRT('Hilfstabellen_Mat&amp;Bem'!f.Rd.3/'Hilfstabellen_Mat&amp;Bem'!$BD$30)</f>
        <v>0.53976255495839787</v>
      </c>
      <c r="F234" s="553">
        <f>0.5*(1+'Hilfstabellen_Mat&amp;Bem'!$BD$31*($E234-0.3)+$E234^2)</f>
        <v>0.6576599356155286</v>
      </c>
      <c r="G234" s="550">
        <f t="shared" si="191"/>
        <v>0.96768900089472787</v>
      </c>
      <c r="I234" s="551">
        <f t="shared" si="236"/>
        <v>79153.089517185159</v>
      </c>
      <c r="M234" s="546">
        <f t="shared" si="192"/>
        <v>286</v>
      </c>
      <c r="N234" s="551">
        <f t="shared" si="182"/>
        <v>35.125505887760447</v>
      </c>
      <c r="O234" s="553">
        <f>$N234/PI()*SQRT('Hilfstabellen_Mat&amp;Bem'!f.Rd.3/'Hilfstabellen_Mat&amp;Bem'!$BD$30)</f>
        <v>0.55903978906405483</v>
      </c>
      <c r="P234" s="553">
        <f>0.5*(1+'Hilfstabellen_Mat&amp;Bem'!$BD$31*($O234-0.3)+$O234^2)</f>
        <v>0.66921473233159423</v>
      </c>
      <c r="Q234" s="550">
        <f t="shared" si="183"/>
        <v>0.96424827289632875</v>
      </c>
      <c r="S234" s="551">
        <f t="shared" si="237"/>
        <v>78871.651729828111</v>
      </c>
      <c r="W234" s="546">
        <f t="shared" si="193"/>
        <v>286</v>
      </c>
      <c r="X234" s="551">
        <f t="shared" si="184"/>
        <v>36.336730228717705</v>
      </c>
      <c r="Y234" s="553">
        <f>$X234/PI()*SQRT('Hilfstabellen_Mat&amp;Bem'!f.Rd.3/'Hilfstabellen_Mat&amp;Bem'!$BD$30)</f>
        <v>0.57831702316971201</v>
      </c>
      <c r="Z234" s="553">
        <f>0.5*(1+'Hilfstabellen_Mat&amp;Bem'!$BD$31*($Y234-0.3)+$Y234^2)</f>
        <v>0.68114114080242416</v>
      </c>
      <c r="AA234" s="550">
        <f t="shared" si="185"/>
        <v>0.96060931127834448</v>
      </c>
      <c r="AC234" s="551">
        <f t="shared" si="238"/>
        <v>78573.999225323467</v>
      </c>
      <c r="AG234" s="546">
        <f t="shared" si="194"/>
        <v>286</v>
      </c>
      <c r="AH234" s="551">
        <f t="shared" si="186"/>
        <v>37.547954569674957</v>
      </c>
      <c r="AI234" s="553">
        <f>$AH234/PI()*SQRT('Hilfstabellen_Mat&amp;Bem'!f.Rd.3/'Hilfstabellen_Mat&amp;Bem'!$BD$30)</f>
        <v>0.59759425727536897</v>
      </c>
      <c r="AJ234" s="553">
        <f>0.5*(1+'Hilfstabellen_Mat&amp;Bem'!$BD$31*($AI234-0.3)+$AI234^2)</f>
        <v>0.69343916102801839</v>
      </c>
      <c r="AK234" s="550">
        <f t="shared" si="187"/>
        <v>0.95675041275283701</v>
      </c>
      <c r="AM234" s="551">
        <f t="shared" si="239"/>
        <v>78258.35676153106</v>
      </c>
      <c r="AQ234" s="546">
        <f t="shared" si="195"/>
        <v>286</v>
      </c>
      <c r="AR234" s="551">
        <f t="shared" si="188"/>
        <v>38.759178910632215</v>
      </c>
      <c r="AS234" s="553">
        <f>$AR234/PI()*SQRT('Hilfstabellen_Mat&amp;Bem'!f.Rd.3/'Hilfstabellen_Mat&amp;Bem'!$BD$30)</f>
        <v>0.61687149138102604</v>
      </c>
      <c r="AT234" s="553">
        <f>0.5*(1+'Hilfstabellen_Mat&amp;Bem'!$BD$31*($AS234-0.3)+$AS234^2)</f>
        <v>0.70610879300837692</v>
      </c>
      <c r="AU234" s="550">
        <f t="shared" si="189"/>
        <v>0.95264749559592032</v>
      </c>
      <c r="AW234" s="551">
        <f t="shared" si="240"/>
        <v>77922.754549763893</v>
      </c>
      <c r="AZ234" s="547">
        <f>'Hilfstabellen_Mat&amp;Bem'!$J$56</f>
        <v>3.3</v>
      </c>
      <c r="BA234" s="546">
        <f t="shared" si="196"/>
        <v>286</v>
      </c>
      <c r="BB234" s="551">
        <f t="shared" si="197"/>
        <v>39.970403251589474</v>
      </c>
      <c r="BC234" s="553">
        <f>BB234/PI()*SQRT('Hilfstabellen_Mat&amp;Bem'!f.Rd.3/'Hilfstabellen_Mat&amp;Bem'!$BD$30)</f>
        <v>0.63614872548668311</v>
      </c>
      <c r="BD234" s="553">
        <f>0.5*(1+'Hilfstabellen_Mat&amp;Bem'!$BD$31*(BC234-0.3)+BC234^2)</f>
        <v>0.71915003674349975</v>
      </c>
      <c r="BE234" s="550">
        <f t="shared" si="198"/>
        <v>0.94827386717413598</v>
      </c>
      <c r="BG234" s="551">
        <f t="shared" si="199"/>
        <v>77565.00923937562</v>
      </c>
      <c r="BJ234" s="547">
        <f>'Hilfstabellen_Mat&amp;Bem'!$J$57</f>
        <v>3.4</v>
      </c>
      <c r="BK234" s="546">
        <f t="shared" si="200"/>
        <v>286</v>
      </c>
      <c r="BL234" s="551">
        <f t="shared" si="201"/>
        <v>41.181627592546732</v>
      </c>
      <c r="BM234" s="553">
        <f>BL234/PI()*SQRT('Hilfstabellen_Mat&amp;Bem'!f.Rd.3/'Hilfstabellen_Mat&amp;Bem'!$BD$30)</f>
        <v>0.65542595959234029</v>
      </c>
      <c r="BN234" s="553">
        <f>0.5*(1+'Hilfstabellen_Mat&amp;Bem'!$BD$31*(BM234-0.3)+BM234^2)</f>
        <v>0.732562892233387</v>
      </c>
      <c r="BO234" s="550">
        <f t="shared" si="202"/>
        <v>0.94360000238434816</v>
      </c>
      <c r="BQ234" s="551">
        <f t="shared" si="203"/>
        <v>77182.705795030139</v>
      </c>
      <c r="BT234" s="547">
        <f>'Hilfstabellen_Mat&amp;Bem'!$J$58</f>
        <v>3.5</v>
      </c>
      <c r="BU234" s="546">
        <f t="shared" si="204"/>
        <v>286</v>
      </c>
      <c r="BV234" s="551">
        <f t="shared" si="205"/>
        <v>42.392851933503991</v>
      </c>
      <c r="BW234" s="553">
        <f>BV234/PI()*SQRT('Hilfstabellen_Mat&amp;Bem'!f.Rd.3/'Hilfstabellen_Mat&amp;Bem'!$BD$30)</f>
        <v>0.67470319369799736</v>
      </c>
      <c r="BX234" s="553">
        <f>0.5*(1+'Hilfstabellen_Mat&amp;Bem'!$BD$31*(BW234-0.3)+BW234^2)</f>
        <v>0.74634735947803854</v>
      </c>
      <c r="BY234" s="550">
        <f t="shared" si="206"/>
        <v>0.93859335248093867</v>
      </c>
      <c r="CA234" s="551">
        <f t="shared" si="207"/>
        <v>76773.181859530858</v>
      </c>
      <c r="CD234" s="547">
        <f>'Hilfstabellen_Mat&amp;Bem'!$J$59</f>
        <v>3.6</v>
      </c>
      <c r="CE234" s="546">
        <f t="shared" si="208"/>
        <v>286</v>
      </c>
      <c r="CF234" s="551">
        <f t="shared" si="209"/>
        <v>43.604076274461242</v>
      </c>
      <c r="CG234" s="553">
        <f>CF234/PI()*SQRT('Hilfstabellen_Mat&amp;Bem'!f.Rd.3/'Hilfstabellen_Mat&amp;Bem'!$BD$30)</f>
        <v>0.69398042780365432</v>
      </c>
      <c r="CH234" s="553">
        <f>0.5*(1+'Hilfstabellen_Mat&amp;Bem'!$BD$31*(CG234-0.3)+CG234^2)</f>
        <v>0.76050343847745427</v>
      </c>
      <c r="CI234" s="550">
        <f t="shared" si="210"/>
        <v>0.93321821271972938</v>
      </c>
      <c r="CK234" s="551">
        <f t="shared" si="211"/>
        <v>76333.516927622986</v>
      </c>
      <c r="CN234" s="547">
        <f>'Hilfstabellen_Mat&amp;Bem'!$J$60</f>
        <v>3.7</v>
      </c>
      <c r="CO234" s="546">
        <f t="shared" si="212"/>
        <v>286</v>
      </c>
      <c r="CP234" s="551">
        <f t="shared" si="213"/>
        <v>44.815300615418501</v>
      </c>
      <c r="CQ234" s="553">
        <f>CP234/PI()*SQRT('Hilfstabellen_Mat&amp;Bem'!f.Rd.3/'Hilfstabellen_Mat&amp;Bem'!$BD$30)</f>
        <v>0.71325766190931139</v>
      </c>
      <c r="CR234" s="553">
        <f>0.5*(1+'Hilfstabellen_Mat&amp;Bem'!$BD$31*(CQ234-0.3)+CQ234^2)</f>
        <v>0.77503112923163431</v>
      </c>
      <c r="CS234" s="550">
        <f t="shared" si="214"/>
        <v>0.927435688710885</v>
      </c>
      <c r="CU234" s="551">
        <f t="shared" si="215"/>
        <v>75860.529593795553</v>
      </c>
      <c r="CX234" s="547">
        <f>'Hilfstabellen_Mat&amp;Bem'!$J$61</f>
        <v>3.8</v>
      </c>
      <c r="CY234" s="546">
        <f t="shared" si="216"/>
        <v>286</v>
      </c>
      <c r="CZ234" s="551">
        <f t="shared" si="217"/>
        <v>46.026524956375759</v>
      </c>
      <c r="DA234" s="553">
        <f>CZ234/PI()*SQRT('Hilfstabellen_Mat&amp;Bem'!f.Rd.3/'Hilfstabellen_Mat&amp;Bem'!$BD$30)</f>
        <v>0.73253489601496857</v>
      </c>
      <c r="DB234" s="553">
        <f>0.5*(1+'Hilfstabellen_Mat&amp;Bem'!$BD$31*(DA234-0.3)+DA234^2)</f>
        <v>0.78993043174057886</v>
      </c>
      <c r="DC234" s="550">
        <f t="shared" si="218"/>
        <v>0.92120381521982264</v>
      </c>
      <c r="DE234" s="551">
        <f t="shared" si="219"/>
        <v>75350.787269720618</v>
      </c>
      <c r="DH234" s="547">
        <f>'Hilfstabellen_Mat&amp;Bem'!$J$62</f>
        <v>3.9</v>
      </c>
      <c r="DI234" s="546">
        <f t="shared" si="220"/>
        <v>286</v>
      </c>
      <c r="DJ234" s="551">
        <f t="shared" si="221"/>
        <v>47.237749297333018</v>
      </c>
      <c r="DK234" s="553">
        <f>DJ234/PI()*SQRT('Hilfstabellen_Mat&amp;Bem'!f.Rd.3/'Hilfstabellen_Mat&amp;Bem'!$BD$30)</f>
        <v>0.75181213012062553</v>
      </c>
      <c r="DL234" s="553">
        <f>0.5*(1+'Hilfstabellen_Mat&amp;Bem'!$BD$31*(DK234-0.3)+DK234^2)</f>
        <v>0.8052013460042875</v>
      </c>
      <c r="DM234" s="550">
        <f t="shared" si="222"/>
        <v>0.91447789649307298</v>
      </c>
      <c r="DO234" s="551">
        <f t="shared" si="223"/>
        <v>74800.634021547405</v>
      </c>
      <c r="DR234" s="547">
        <f>'Hilfstabellen_Mat&amp;Bem'!$J$63</f>
        <v>4</v>
      </c>
      <c r="DS234" s="546">
        <f t="shared" si="224"/>
        <v>286</v>
      </c>
      <c r="DT234" s="551">
        <f t="shared" si="225"/>
        <v>48.448973638290276</v>
      </c>
      <c r="DU234" s="553">
        <f>DT234/PI()*SQRT('Hilfstabellen_Mat&amp;Bem'!f.Rd.3/'Hilfstabellen_Mat&amp;Bem'!$BD$30)</f>
        <v>0.77108936422628271</v>
      </c>
      <c r="DV234" s="553">
        <f>0.5*(1+'Hilfstabellen_Mat&amp;Bem'!$BD$31*(DU234-0.3)+DU234^2)</f>
        <v>0.82084387202276055</v>
      </c>
      <c r="DW234" s="550">
        <f t="shared" si="226"/>
        <v>0.90721115178805189</v>
      </c>
      <c r="DY234" s="551">
        <f t="shared" si="227"/>
        <v>74206.243371655495</v>
      </c>
      <c r="EB234" s="547">
        <f>'Hilfstabellen_Mat&amp;Bem'!$J$64</f>
        <v>4.0999999999999996</v>
      </c>
      <c r="EC234" s="546">
        <f t="shared" si="228"/>
        <v>286</v>
      </c>
      <c r="ED234" s="551">
        <f t="shared" si="229"/>
        <v>49.660197979247528</v>
      </c>
      <c r="EE234" s="553">
        <f>ED234/PI()*SQRT('Hilfstabellen_Mat&amp;Bem'!f.Rd.3/'Hilfstabellen_Mat&amp;Bem'!$BD$30)</f>
        <v>0.79036659833193967</v>
      </c>
      <c r="EF234" s="553">
        <f>0.5*(1+'Hilfstabellen_Mat&amp;Bem'!$BD$31*(EE234-0.3)+EE234^2)</f>
        <v>0.83685800979599778</v>
      </c>
      <c r="EG234" s="550">
        <f t="shared" si="230"/>
        <v>0.89935575940944201</v>
      </c>
      <c r="EI234" s="551">
        <f t="shared" si="231"/>
        <v>73563.703696654717</v>
      </c>
      <c r="EL234" s="547">
        <f>'Hilfstabellen_Mat&amp;Bem'!$J$65</f>
        <v>4.2</v>
      </c>
      <c r="EM234" s="546">
        <f t="shared" si="232"/>
        <v>286</v>
      </c>
      <c r="EN234" s="551">
        <f t="shared" si="233"/>
        <v>50.871422320204786</v>
      </c>
      <c r="EO234" s="553">
        <f>EN234/PI()*SQRT('Hilfstabellen_Mat&amp;Bem'!f.Rd.3/'Hilfstabellen_Mat&amp;Bem'!$BD$30)</f>
        <v>0.80964383243759674</v>
      </c>
      <c r="EP234" s="553">
        <f>0.5*(1+'Hilfstabellen_Mat&amp;Bem'!$BD$31*(EO234-0.3)+EO234^2)</f>
        <v>0.85324375932399943</v>
      </c>
      <c r="EQ234" s="550">
        <f t="shared" si="234"/>
        <v>0.89086439037614829</v>
      </c>
      <c r="ES234" s="551">
        <f t="shared" si="235"/>
        <v>72869.143675207422</v>
      </c>
    </row>
    <row r="235" spans="3:149">
      <c r="C235" s="546">
        <v>287</v>
      </c>
      <c r="D235" s="551">
        <f t="shared" si="190"/>
        <v>33.796113318417113</v>
      </c>
      <c r="E235" s="553">
        <f>$D235/PI()*SQRT('Hilfstabellen_Mat&amp;Bem'!f.Rd.3/'Hilfstabellen_Mat&amp;Bem'!$BD$30)</f>
        <v>0.53788184919199222</v>
      </c>
      <c r="F235" s="553">
        <f>0.5*(1+'Hilfstabellen_Mat&amp;Bem'!$BD$31*($E235-0.3)+$E235^2)</f>
        <v>0.65655253430469818</v>
      </c>
      <c r="G235" s="550">
        <f t="shared" si="191"/>
        <v>0.96801481733937977</v>
      </c>
      <c r="I235" s="551">
        <f t="shared" si="236"/>
        <v>79734.41248942737</v>
      </c>
      <c r="M235" s="546">
        <f t="shared" si="192"/>
        <v>287</v>
      </c>
      <c r="N235" s="551">
        <f t="shared" si="182"/>
        <v>35.003117365503442</v>
      </c>
      <c r="O235" s="553">
        <f>$N235/PI()*SQRT('Hilfstabellen_Mat&amp;Bem'!f.Rd.3/'Hilfstabellen_Mat&amp;Bem'!$BD$30)</f>
        <v>0.55709191523456336</v>
      </c>
      <c r="P235" s="553">
        <f>0.5*(1+'Hilfstabellen_Mat&amp;Bem'!$BD$31*($O235-0.3)+$O235^2)</f>
        <v>0.66803029677158521</v>
      </c>
      <c r="Q235" s="550">
        <f t="shared" si="183"/>
        <v>0.96460460335457532</v>
      </c>
      <c r="S235" s="551">
        <f t="shared" si="237"/>
        <v>79453.516573713016</v>
      </c>
      <c r="W235" s="546">
        <f t="shared" si="193"/>
        <v>287</v>
      </c>
      <c r="X235" s="551">
        <f t="shared" si="184"/>
        <v>36.210121412589764</v>
      </c>
      <c r="Y235" s="553">
        <f>$X235/PI()*SQRT('Hilfstabellen_Mat&amp;Bem'!f.Rd.3/'Hilfstabellen_Mat&amp;Bem'!$BD$30)</f>
        <v>0.5763019812771345</v>
      </c>
      <c r="Z235" s="553">
        <f>0.5*(1+'Hilfstabellen_Mat&amp;Bem'!$BD$31*($Y235-0.3)+$Y235^2)</f>
        <v>0.67987708587583207</v>
      </c>
      <c r="AA235" s="550">
        <f t="shared" si="185"/>
        <v>0.96099959134562174</v>
      </c>
      <c r="AC235" s="551">
        <f t="shared" si="238"/>
        <v>79156.575339547519</v>
      </c>
      <c r="AG235" s="546">
        <f t="shared" si="194"/>
        <v>287</v>
      </c>
      <c r="AH235" s="551">
        <f t="shared" si="186"/>
        <v>37.417125459676093</v>
      </c>
      <c r="AI235" s="553">
        <f>$AH235/PI()*SQRT('Hilfstabellen_Mat&amp;Bem'!f.Rd.3/'Hilfstabellen_Mat&amp;Bem'!$BD$30)</f>
        <v>0.59551204731970564</v>
      </c>
      <c r="AJ235" s="553">
        <f>0.5*(1+'Hilfstabellen_Mat&amp;Bem'!$BD$31*($AI235-0.3)+$AI235^2)</f>
        <v>0.69209290161743897</v>
      </c>
      <c r="AK235" s="550">
        <f t="shared" si="187"/>
        <v>0.95717853317512136</v>
      </c>
      <c r="AM235" s="551">
        <f t="shared" si="239"/>
        <v>78841.838599101568</v>
      </c>
      <c r="AQ235" s="546">
        <f t="shared" si="195"/>
        <v>287</v>
      </c>
      <c r="AR235" s="551">
        <f t="shared" si="188"/>
        <v>38.624129506762422</v>
      </c>
      <c r="AS235" s="553">
        <f>$AR235/PI()*SQRT('Hilfstabellen_Mat&amp;Bem'!f.Rd.3/'Hilfstabellen_Mat&amp;Bem'!$BD$30)</f>
        <v>0.61472211336227689</v>
      </c>
      <c r="AT235" s="553">
        <f>0.5*(1+'Hilfstabellen_Mat&amp;Bem'!$BD$31*($AS235-0.3)+$AS235^2)</f>
        <v>0.70467774399640593</v>
      </c>
      <c r="AU235" s="550">
        <f t="shared" si="189"/>
        <v>0.95311785927551762</v>
      </c>
      <c r="AW235" s="551">
        <f t="shared" si="240"/>
        <v>78507.364950665113</v>
      </c>
      <c r="AZ235" s="547">
        <f>'Hilfstabellen_Mat&amp;Bem'!$J$56</f>
        <v>3.3</v>
      </c>
      <c r="BA235" s="546">
        <f t="shared" si="196"/>
        <v>287</v>
      </c>
      <c r="BB235" s="551">
        <f t="shared" si="197"/>
        <v>39.831133553848744</v>
      </c>
      <c r="BC235" s="553">
        <f>BB235/PI()*SQRT('Hilfstabellen_Mat&amp;Bem'!f.Rd.3/'Hilfstabellen_Mat&amp;Bem'!$BD$30)</f>
        <v>0.63393217940484803</v>
      </c>
      <c r="BD235" s="553">
        <f>0.5*(1+'Hilfstabellen_Mat&amp;Bem'!$BD$31*(BC235-0.3)+BC235^2)</f>
        <v>0.71763161301273259</v>
      </c>
      <c r="BE235" s="550">
        <f t="shared" si="198"/>
        <v>0.94879144987536868</v>
      </c>
      <c r="BG235" s="551">
        <f t="shared" si="199"/>
        <v>78151.002934784236</v>
      </c>
      <c r="BJ235" s="547">
        <f>'Hilfstabellen_Mat&amp;Bem'!$J$57</f>
        <v>3.4</v>
      </c>
      <c r="BK235" s="546">
        <f t="shared" si="200"/>
        <v>287</v>
      </c>
      <c r="BL235" s="551">
        <f t="shared" si="201"/>
        <v>41.038137600935073</v>
      </c>
      <c r="BM235" s="553">
        <f>BL235/PI()*SQRT('Hilfstabellen_Mat&amp;Bem'!f.Rd.3/'Hilfstabellen_Mat&amp;Bem'!$BD$30)</f>
        <v>0.65314224544741917</v>
      </c>
      <c r="BN235" s="553">
        <f>0.5*(1+'Hilfstabellen_Mat&amp;Bem'!$BD$31*(BM235-0.3)+BM235^2)</f>
        <v>0.73095450866641931</v>
      </c>
      <c r="BO235" s="550">
        <f t="shared" si="202"/>
        <v>0.94417041527077794</v>
      </c>
      <c r="BQ235" s="551">
        <f t="shared" si="203"/>
        <v>77770.372935438703</v>
      </c>
      <c r="BT235" s="547">
        <f>'Hilfstabellen_Mat&amp;Bem'!$J$58</f>
        <v>3.5</v>
      </c>
      <c r="BU235" s="546">
        <f t="shared" si="204"/>
        <v>287</v>
      </c>
      <c r="BV235" s="551">
        <f t="shared" si="205"/>
        <v>42.245141648021395</v>
      </c>
      <c r="BW235" s="553">
        <f>BV235/PI()*SQRT('Hilfstabellen_Mat&amp;Bem'!f.Rd.3/'Hilfstabellen_Mat&amp;Bem'!$BD$30)</f>
        <v>0.67235231148999031</v>
      </c>
      <c r="BX235" s="553">
        <f>0.5*(1+'Hilfstabellen_Mat&amp;Bem'!$BD$31*(BW235-0.3)+BW235^2)</f>
        <v>0.74464643095746597</v>
      </c>
      <c r="BY235" s="550">
        <f t="shared" si="206"/>
        <v>0.93922290332237113</v>
      </c>
      <c r="CA235" s="551">
        <f t="shared" si="207"/>
        <v>77362.851323760391</v>
      </c>
      <c r="CD235" s="547">
        <f>'Hilfstabellen_Mat&amp;Bem'!$J$59</f>
        <v>3.6</v>
      </c>
      <c r="CE235" s="546">
        <f t="shared" si="208"/>
        <v>287</v>
      </c>
      <c r="CF235" s="551">
        <f t="shared" si="209"/>
        <v>43.452145695107717</v>
      </c>
      <c r="CG235" s="553">
        <f>CF235/PI()*SQRT('Hilfstabellen_Mat&amp;Bem'!f.Rd.3/'Hilfstabellen_Mat&amp;Bem'!$BD$30)</f>
        <v>0.69156237753256145</v>
      </c>
      <c r="CH235" s="553">
        <f>0.5*(1+'Hilfstabellen_Mat&amp;Bem'!$BD$31*(CG235-0.3)+CG235^2)</f>
        <v>0.75870737988587256</v>
      </c>
      <c r="CI235" s="550">
        <f t="shared" si="210"/>
        <v>0.93391396080602929</v>
      </c>
      <c r="CK235" s="551">
        <f t="shared" si="211"/>
        <v>76925.559037631829</v>
      </c>
      <c r="CN235" s="547">
        <f>'Hilfstabellen_Mat&amp;Bem'!$J$60</f>
        <v>3.7</v>
      </c>
      <c r="CO235" s="546">
        <f t="shared" si="212"/>
        <v>287</v>
      </c>
      <c r="CP235" s="551">
        <f t="shared" si="213"/>
        <v>44.659149742194046</v>
      </c>
      <c r="CQ235" s="553">
        <f>CP235/PI()*SQRT('Hilfstabellen_Mat&amp;Bem'!f.Rd.3/'Hilfstabellen_Mat&amp;Bem'!$BD$30)</f>
        <v>0.71077244357513258</v>
      </c>
      <c r="CR235" s="553">
        <f>0.5*(1+'Hilfstabellen_Mat&amp;Bem'!$BD$31*(CQ235-0.3)+CQ235^2)</f>
        <v>0.7731373554516392</v>
      </c>
      <c r="CS235" s="550">
        <f t="shared" si="214"/>
        <v>0.92820548610887021</v>
      </c>
      <c r="CU235" s="551">
        <f t="shared" si="215"/>
        <v>76455.357685301526</v>
      </c>
      <c r="CX235" s="547">
        <f>'Hilfstabellen_Mat&amp;Bem'!$J$61</f>
        <v>3.8</v>
      </c>
      <c r="CY235" s="546">
        <f t="shared" si="216"/>
        <v>287</v>
      </c>
      <c r="CZ235" s="551">
        <f t="shared" si="217"/>
        <v>45.866153789280368</v>
      </c>
      <c r="DA235" s="553">
        <f>CZ235/PI()*SQRT('Hilfstabellen_Mat&amp;Bem'!f.Rd.3/'Hilfstabellen_Mat&amp;Bem'!$BD$30)</f>
        <v>0.72998250961770372</v>
      </c>
      <c r="DB235" s="553">
        <f>0.5*(1+'Hilfstabellen_Mat&amp;Bem'!$BD$31*(DA235-0.3)+DA235^2)</f>
        <v>0.78793635765476555</v>
      </c>
      <c r="DC235" s="550">
        <f t="shared" si="218"/>
        <v>0.92205632398081028</v>
      </c>
      <c r="DE235" s="551">
        <f t="shared" si="219"/>
        <v>75948.857349975355</v>
      </c>
      <c r="DH235" s="547">
        <f>'Hilfstabellen_Mat&amp;Bem'!$J$62</f>
        <v>3.9</v>
      </c>
      <c r="DI235" s="546">
        <f t="shared" si="220"/>
        <v>287</v>
      </c>
      <c r="DJ235" s="551">
        <f t="shared" si="221"/>
        <v>47.073157836366697</v>
      </c>
      <c r="DK235" s="553">
        <f>DJ235/PI()*SQRT('Hilfstabellen_Mat&amp;Bem'!f.Rd.3/'Hilfstabellen_Mat&amp;Bem'!$BD$30)</f>
        <v>0.74919257566027486</v>
      </c>
      <c r="DL235" s="553">
        <f>0.5*(1+'Hilfstabellen_Mat&amp;Bem'!$BD$31*(DK235-0.3)+DK235^2)</f>
        <v>0.80310438649525207</v>
      </c>
      <c r="DM235" s="550">
        <f t="shared" si="222"/>
        <v>0.91542256787911258</v>
      </c>
      <c r="DO235" s="551">
        <f t="shared" si="223"/>
        <v>75402.441493634629</v>
      </c>
      <c r="DR235" s="547">
        <f>'Hilfstabellen_Mat&amp;Bem'!$J$63</f>
        <v>4</v>
      </c>
      <c r="DS235" s="546">
        <f t="shared" si="224"/>
        <v>287</v>
      </c>
      <c r="DT235" s="551">
        <f t="shared" si="225"/>
        <v>48.280161883453019</v>
      </c>
      <c r="DU235" s="553">
        <f>DT235/PI()*SQRT('Hilfstabellen_Mat&amp;Bem'!f.Rd.3/'Hilfstabellen_Mat&amp;Bem'!$BD$30)</f>
        <v>0.768402641702846</v>
      </c>
      <c r="DV235" s="553">
        <f>0.5*(1+'Hilfstabellen_Mat&amp;Bem'!$BD$31*(DU235-0.3)+DU235^2)</f>
        <v>0.8186414419730984</v>
      </c>
      <c r="DW235" s="550">
        <f t="shared" si="226"/>
        <v>0.90825814992129827</v>
      </c>
      <c r="DY235" s="551">
        <f t="shared" si="227"/>
        <v>74812.315550867424</v>
      </c>
      <c r="EB235" s="547">
        <f>'Hilfstabellen_Mat&amp;Bem'!$J$64</f>
        <v>4.0999999999999996</v>
      </c>
      <c r="EC235" s="546">
        <f t="shared" si="228"/>
        <v>287</v>
      </c>
      <c r="ED235" s="551">
        <f t="shared" si="229"/>
        <v>49.487165930539348</v>
      </c>
      <c r="EE235" s="553">
        <f>ED235/PI()*SQRT('Hilfstabellen_Mat&amp;Bem'!f.Rd.3/'Hilfstabellen_Mat&amp;Bem'!$BD$30)</f>
        <v>0.78761270774541725</v>
      </c>
      <c r="EF235" s="553">
        <f>0.5*(1+'Hilfstabellen_Mat&amp;Bem'!$BD$31*(EE235-0.3)+EE235^2)</f>
        <v>0.8345475240883049</v>
      </c>
      <c r="EG235" s="550">
        <f t="shared" si="230"/>
        <v>0.90051580877540705</v>
      </c>
      <c r="EI235" s="551">
        <f t="shared" si="231"/>
        <v>74174.586653021499</v>
      </c>
      <c r="EL235" s="547">
        <f>'Hilfstabellen_Mat&amp;Bem'!$J$65</f>
        <v>4.2</v>
      </c>
      <c r="EM235" s="546">
        <f t="shared" si="232"/>
        <v>287</v>
      </c>
      <c r="EN235" s="551">
        <f t="shared" si="233"/>
        <v>50.694169977625677</v>
      </c>
      <c r="EO235" s="553">
        <f>EN235/PI()*SQRT('Hilfstabellen_Mat&amp;Bem'!f.Rd.3/'Hilfstabellen_Mat&amp;Bem'!$BD$30)</f>
        <v>0.80682277378798839</v>
      </c>
      <c r="EP235" s="553">
        <f>0.5*(1+'Hilfstabellen_Mat&amp;Bem'!$BD$31*(EO235-0.3)+EO235^2)</f>
        <v>0.85082263284087123</v>
      </c>
      <c r="EQ235" s="550">
        <f t="shared" si="234"/>
        <v>0.89214852571383851</v>
      </c>
      <c r="ES235" s="551">
        <f t="shared" si="235"/>
        <v>73485.381914523168</v>
      </c>
    </row>
    <row r="236" spans="3:149">
      <c r="C236" s="546">
        <v>288</v>
      </c>
      <c r="D236" s="551">
        <f t="shared" si="190"/>
        <v>33.678765702728164</v>
      </c>
      <c r="E236" s="553">
        <f>$D236/PI()*SQRT('Hilfstabellen_Mat&amp;Bem'!f.Rd.3/'Hilfstabellen_Mat&amp;Bem'!$BD$30)</f>
        <v>0.53601420388229781</v>
      </c>
      <c r="F236" s="553">
        <f>0.5*(1+'Hilfstabellen_Mat&amp;Bem'!$BD$31*($E236-0.3)+$E236^2)</f>
        <v>0.65545632357590167</v>
      </c>
      <c r="G236" s="550">
        <f t="shared" si="191"/>
        <v>0.9683367065676467</v>
      </c>
      <c r="I236" s="551">
        <f t="shared" si="236"/>
        <v>80317.719789546885</v>
      </c>
      <c r="M236" s="546">
        <f t="shared" si="192"/>
        <v>288</v>
      </c>
      <c r="N236" s="551">
        <f t="shared" si="182"/>
        <v>34.881578763539892</v>
      </c>
      <c r="O236" s="553">
        <f>$N236/PI()*SQRT('Hilfstabellen_Mat&amp;Bem'!f.Rd.3/'Hilfstabellen_Mat&amp;Bem'!$BD$30)</f>
        <v>0.55515756830666563</v>
      </c>
      <c r="P236" s="553">
        <f>0.5*(1+'Hilfstabellen_Mat&amp;Bem'!$BD$31*($O236-0.3)+$O236^2)</f>
        <v>0.66685784123941838</v>
      </c>
      <c r="Q236" s="550">
        <f t="shared" si="183"/>
        <v>0.96495647896956449</v>
      </c>
      <c r="S236" s="551">
        <f t="shared" si="237"/>
        <v>80037.350191651552</v>
      </c>
      <c r="W236" s="546">
        <f t="shared" si="193"/>
        <v>288</v>
      </c>
      <c r="X236" s="551">
        <f t="shared" si="184"/>
        <v>36.084391824351606</v>
      </c>
      <c r="Y236" s="553">
        <f>$X236/PI()*SQRT('Hilfstabellen_Mat&amp;Bem'!f.Rd.3/'Hilfstabellen_Mat&amp;Bem'!$BD$30)</f>
        <v>0.57430093273103333</v>
      </c>
      <c r="Z236" s="553">
        <f>0.5*(1+'Hilfstabellen_Mat&amp;Bem'!$BD$31*($Y236-0.3)+$Y236^2)</f>
        <v>0.67862582730441912</v>
      </c>
      <c r="AA236" s="550">
        <f t="shared" si="185"/>
        <v>0.96138481071098469</v>
      </c>
      <c r="AC236" s="551">
        <f t="shared" si="238"/>
        <v>79741.101739611913</v>
      </c>
      <c r="AG236" s="546">
        <f t="shared" si="194"/>
        <v>288</v>
      </c>
      <c r="AH236" s="551">
        <f t="shared" si="186"/>
        <v>37.287204885163327</v>
      </c>
      <c r="AI236" s="553">
        <f>$AH236/PI()*SQRT('Hilfstabellen_Mat&amp;Bem'!f.Rd.3/'Hilfstabellen_Mat&amp;Bem'!$BD$30)</f>
        <v>0.59344429715540115</v>
      </c>
      <c r="AJ236" s="553">
        <f>0.5*(1+'Hilfstabellen_Mat&amp;Bem'!$BD$31*($AI236-0.3)+$AI236^2)</f>
        <v>0.69076028177090409</v>
      </c>
      <c r="AK236" s="550">
        <f t="shared" si="187"/>
        <v>0.95760089698351636</v>
      </c>
      <c r="AM236" s="551">
        <f t="shared" si="239"/>
        <v>79427.248799400782</v>
      </c>
      <c r="AQ236" s="546">
        <f t="shared" si="195"/>
        <v>288</v>
      </c>
      <c r="AR236" s="551">
        <f t="shared" si="188"/>
        <v>38.490017945975048</v>
      </c>
      <c r="AS236" s="553">
        <f>$AR236/PI()*SQRT('Hilfstabellen_Mat&amp;Bem'!f.Rd.3/'Hilfstabellen_Mat&amp;Bem'!$BD$30)</f>
        <v>0.61258766157976896</v>
      </c>
      <c r="AT236" s="553">
        <f>0.5*(1+'Hilfstabellen_Mat&amp;Bem'!$BD$31*($AS236-0.3)+$AS236^2)</f>
        <v>0.70326120463887321</v>
      </c>
      <c r="AU236" s="550">
        <f t="shared" si="189"/>
        <v>0.95358166712411119</v>
      </c>
      <c r="AW236" s="551">
        <f t="shared" si="240"/>
        <v>79093.877797942274</v>
      </c>
      <c r="AZ236" s="547">
        <f>'Hilfstabellen_Mat&amp;Bem'!$J$56</f>
        <v>3.3</v>
      </c>
      <c r="BA236" s="546">
        <f t="shared" si="196"/>
        <v>288</v>
      </c>
      <c r="BB236" s="551">
        <f t="shared" si="197"/>
        <v>39.692831006786768</v>
      </c>
      <c r="BC236" s="553">
        <f>BB236/PI()*SQRT('Hilfstabellen_Mat&amp;Bem'!f.Rd.3/'Hilfstabellen_Mat&amp;Bem'!$BD$30)</f>
        <v>0.63173102600413678</v>
      </c>
      <c r="BD236" s="553">
        <f>0.5*(1+'Hilfstabellen_Mat&amp;Bem'!$BD$31*(BC236-0.3)+BC236^2)</f>
        <v>0.71612859590832645</v>
      </c>
      <c r="BE236" s="550">
        <f t="shared" si="198"/>
        <v>0.94930155960276952</v>
      </c>
      <c r="BG236" s="551">
        <f t="shared" si="199"/>
        <v>78738.868559692113</v>
      </c>
      <c r="BJ236" s="547">
        <f>'Hilfstabellen_Mat&amp;Bem'!$J$57</f>
        <v>3.4</v>
      </c>
      <c r="BK236" s="546">
        <f t="shared" si="200"/>
        <v>288</v>
      </c>
      <c r="BL236" s="551">
        <f t="shared" si="201"/>
        <v>40.895644067598489</v>
      </c>
      <c r="BM236" s="553">
        <f>BL236/PI()*SQRT('Hilfstabellen_Mat&amp;Bem'!f.Rd.3/'Hilfstabellen_Mat&amp;Bem'!$BD$30)</f>
        <v>0.65087439042850459</v>
      </c>
      <c r="BN236" s="553">
        <f>0.5*(1+'Hilfstabellen_Mat&amp;Bem'!$BD$31*(BM236-0.3)+BM236^2)</f>
        <v>0.72936245557926394</v>
      </c>
      <c r="BO236" s="550">
        <f t="shared" si="202"/>
        <v>0.94473230434366862</v>
      </c>
      <c r="BQ236" s="551">
        <f t="shared" si="203"/>
        <v>78359.876251481255</v>
      </c>
      <c r="BT236" s="547">
        <f>'Hilfstabellen_Mat&amp;Bem'!$J$58</f>
        <v>3.5</v>
      </c>
      <c r="BU236" s="546">
        <f t="shared" si="204"/>
        <v>288</v>
      </c>
      <c r="BV236" s="551">
        <f t="shared" si="205"/>
        <v>42.09845712841021</v>
      </c>
      <c r="BW236" s="553">
        <f>BV236/PI()*SQRT('Hilfstabellen_Mat&amp;Bem'!f.Rd.3/'Hilfstabellen_Mat&amp;Bem'!$BD$30)</f>
        <v>0.67001775485287229</v>
      </c>
      <c r="BX236" s="553">
        <f>0.5*(1+'Hilfstabellen_Mat&amp;Bem'!$BD$31*(BW236-0.3)+BW236^2)</f>
        <v>0.74296278365168544</v>
      </c>
      <c r="BY236" s="550">
        <f t="shared" si="206"/>
        <v>0.93984272935019275</v>
      </c>
      <c r="CA236" s="551">
        <f t="shared" si="207"/>
        <v>77954.315343222392</v>
      </c>
      <c r="CD236" s="547">
        <f>'Hilfstabellen_Mat&amp;Bem'!$J$59</f>
        <v>3.6</v>
      </c>
      <c r="CE236" s="546">
        <f t="shared" si="208"/>
        <v>288</v>
      </c>
      <c r="CF236" s="551">
        <f t="shared" si="209"/>
        <v>43.301270189221931</v>
      </c>
      <c r="CG236" s="553">
        <f>CF236/PI()*SQRT('Hilfstabellen_Mat&amp;Bem'!f.Rd.3/'Hilfstabellen_Mat&amp;Bem'!$BD$30)</f>
        <v>0.68916111927724011</v>
      </c>
      <c r="CH236" s="553">
        <f>0.5*(1+'Hilfstabellen_Mat&amp;Bem'!$BD$31*(CG236-0.3)+CG236^2)</f>
        <v>0.75692958012559108</v>
      </c>
      <c r="CI236" s="550">
        <f t="shared" si="210"/>
        <v>0.9345986165714808</v>
      </c>
      <c r="CK236" s="551">
        <f t="shared" si="211"/>
        <v>77519.347652904908</v>
      </c>
      <c r="CN236" s="547">
        <f>'Hilfstabellen_Mat&amp;Bem'!$J$60</f>
        <v>3.7</v>
      </c>
      <c r="CO236" s="546">
        <f t="shared" si="212"/>
        <v>288</v>
      </c>
      <c r="CP236" s="551">
        <f t="shared" si="213"/>
        <v>44.504083250033645</v>
      </c>
      <c r="CQ236" s="553">
        <f>CP236/PI()*SQRT('Hilfstabellen_Mat&amp;Bem'!f.Rd.3/'Hilfstabellen_Mat&amp;Bem'!$BD$30)</f>
        <v>0.70830448370160781</v>
      </c>
      <c r="CR236" s="553">
        <f>0.5*(1+'Hilfstabellen_Mat&amp;Bem'!$BD$31*(CQ236-0.3)+CQ236^2)</f>
        <v>0.77126284500098097</v>
      </c>
      <c r="CS236" s="550">
        <f t="shared" si="214"/>
        <v>0.92896264223842362</v>
      </c>
      <c r="CU236" s="551">
        <f t="shared" si="215"/>
        <v>77051.877397823802</v>
      </c>
      <c r="CX236" s="547">
        <f>'Hilfstabellen_Mat&amp;Bem'!$J$61</f>
        <v>3.8</v>
      </c>
      <c r="CY236" s="546">
        <f t="shared" si="216"/>
        <v>288</v>
      </c>
      <c r="CZ236" s="551">
        <f t="shared" si="217"/>
        <v>45.706896310845373</v>
      </c>
      <c r="DA236" s="553">
        <f>CZ236/PI()*SQRT('Hilfstabellen_Mat&amp;Bem'!f.Rd.3/'Hilfstabellen_Mat&amp;Bem'!$BD$30)</f>
        <v>0.72744784812597574</v>
      </c>
      <c r="DB236" s="553">
        <f>0.5*(1+'Hilfstabellen_Mat&amp;Bem'!$BD$31*(DA236-0.3)+DA236^2)</f>
        <v>0.78596257827785498</v>
      </c>
      <c r="DC236" s="550">
        <f t="shared" si="218"/>
        <v>0.92289444950484711</v>
      </c>
      <c r="DE236" s="551">
        <f t="shared" si="219"/>
        <v>76548.557219730035</v>
      </c>
      <c r="DH236" s="547">
        <f>'Hilfstabellen_Mat&amp;Bem'!$J$62</f>
        <v>3.9</v>
      </c>
      <c r="DI236" s="546">
        <f t="shared" si="220"/>
        <v>288</v>
      </c>
      <c r="DJ236" s="551">
        <f t="shared" si="221"/>
        <v>46.909709371657087</v>
      </c>
      <c r="DK236" s="553">
        <f>DJ236/PI()*SQRT('Hilfstabellen_Mat&amp;Bem'!f.Rd.3/'Hilfstabellen_Mat&amp;Bem'!$BD$30)</f>
        <v>0.74659121255034333</v>
      </c>
      <c r="DL236" s="553">
        <f>0.5*(1+'Hilfstabellen_Mat&amp;Bem'!$BD$31*(DK236-0.3)+DK236^2)</f>
        <v>0.80102877995621302</v>
      </c>
      <c r="DM236" s="550">
        <f t="shared" si="222"/>
        <v>0.91635091553609316</v>
      </c>
      <c r="DO236" s="551">
        <f t="shared" si="223"/>
        <v>76005.81033822571</v>
      </c>
      <c r="DR236" s="547">
        <f>'Hilfstabellen_Mat&amp;Bem'!$J$63</f>
        <v>4</v>
      </c>
      <c r="DS236" s="546">
        <f t="shared" si="224"/>
        <v>288</v>
      </c>
      <c r="DT236" s="551">
        <f t="shared" si="225"/>
        <v>48.112522432468815</v>
      </c>
      <c r="DU236" s="553">
        <f>DT236/PI()*SQRT('Hilfstabellen_Mat&amp;Bem'!f.Rd.3/'Hilfstabellen_Mat&amp;Bem'!$BD$30)</f>
        <v>0.76573457697471126</v>
      </c>
      <c r="DV236" s="553">
        <f>0.5*(1+'Hilfstabellen_Mat&amp;Bem'!$BD$31*(DU236-0.3)+DU236^2)</f>
        <v>0.81646145003605564</v>
      </c>
      <c r="DW236" s="550">
        <f t="shared" si="226"/>
        <v>0.90928668947769287</v>
      </c>
      <c r="DY236" s="551">
        <f t="shared" si="227"/>
        <v>75419.875172037762</v>
      </c>
      <c r="EB236" s="547">
        <f>'Hilfstabellen_Mat&amp;Bem'!$J$64</f>
        <v>4.0999999999999996</v>
      </c>
      <c r="EC236" s="546">
        <f t="shared" si="228"/>
        <v>288</v>
      </c>
      <c r="ED236" s="551">
        <f t="shared" si="229"/>
        <v>49.315335493280529</v>
      </c>
      <c r="EE236" s="553">
        <f>ED236/PI()*SQRT('Hilfstabellen_Mat&amp;Bem'!f.Rd.3/'Hilfstabellen_Mat&amp;Bem'!$BD$30)</f>
        <v>0.78487794139907896</v>
      </c>
      <c r="EF236" s="553">
        <f>0.5*(1+'Hilfstabellen_Mat&amp;Bem'!$BD$31*(EE236-0.3)+EE236^2)</f>
        <v>0.83226058851738194</v>
      </c>
      <c r="EG236" s="550">
        <f t="shared" si="230"/>
        <v>0.90165508858758681</v>
      </c>
      <c r="EI236" s="551">
        <f t="shared" si="231"/>
        <v>74786.879667808797</v>
      </c>
      <c r="EL236" s="547">
        <f>'Hilfstabellen_Mat&amp;Bem'!$J$65</f>
        <v>4.2</v>
      </c>
      <c r="EM236" s="546">
        <f t="shared" si="232"/>
        <v>288</v>
      </c>
      <c r="EN236" s="551">
        <f t="shared" si="233"/>
        <v>50.518148554092257</v>
      </c>
      <c r="EO236" s="553">
        <f>EN236/PI()*SQRT('Hilfstabellen_Mat&amp;Bem'!f.Rd.3/'Hilfstabellen_Mat&amp;Bem'!$BD$30)</f>
        <v>0.80402130582344677</v>
      </c>
      <c r="EP236" s="553">
        <f>0.5*(1+'Hilfstabellen_Mat&amp;Bem'!$BD$31*(EO236-0.3)+EO236^2)</f>
        <v>0.8484261954001926</v>
      </c>
      <c r="EQ236" s="550">
        <f t="shared" si="234"/>
        <v>0.89340944151077073</v>
      </c>
      <c r="ES236" s="551">
        <f t="shared" si="235"/>
        <v>74102.952716669373</v>
      </c>
    </row>
    <row r="237" spans="3:149">
      <c r="C237" s="546">
        <v>289</v>
      </c>
      <c r="D237" s="551">
        <f t="shared" si="190"/>
        <v>33.562230181265434</v>
      </c>
      <c r="E237" s="553">
        <f>$D237/PI()*SQRT('Hilfstabellen_Mat&amp;Bem'!f.Rd.3/'Hilfstabellen_Mat&amp;Bem'!$BD$30)</f>
        <v>0.53415948345363928</v>
      </c>
      <c r="F237" s="553">
        <f>0.5*(1+'Hilfstabellen_Mat&amp;Bem'!$BD$31*($E237-0.3)+$E237^2)</f>
        <v>0.65437115105441135</v>
      </c>
      <c r="G237" s="550">
        <f t="shared" si="191"/>
        <v>0.96865474300063548</v>
      </c>
      <c r="I237" s="551">
        <f t="shared" si="236"/>
        <v>80903.012790156077</v>
      </c>
      <c r="M237" s="546">
        <f t="shared" si="192"/>
        <v>289</v>
      </c>
      <c r="N237" s="551">
        <f t="shared" si="182"/>
        <v>34.760881259167775</v>
      </c>
      <c r="O237" s="553">
        <f>$N237/PI()*SQRT('Hilfstabellen_Mat&amp;Bem'!f.Rd.3/'Hilfstabellen_Mat&amp;Bem'!$BD$30)</f>
        <v>0.5532366078626979</v>
      </c>
      <c r="P237" s="553">
        <f>0.5*(1+'Hilfstabellen_Mat&amp;Bem'!$BD$31*($O237-0.3)+$O237^2)</f>
        <v>0.66569720253284714</v>
      </c>
      <c r="Q237" s="550">
        <f t="shared" si="183"/>
        <v>0.96530398672097317</v>
      </c>
      <c r="S237" s="551">
        <f t="shared" si="237"/>
        <v>80623.154274922403</v>
      </c>
      <c r="W237" s="546">
        <f t="shared" si="193"/>
        <v>289</v>
      </c>
      <c r="X237" s="551">
        <f t="shared" si="184"/>
        <v>35.959532337070115</v>
      </c>
      <c r="Y237" s="553">
        <f>$X237/PI()*SQRT('Hilfstabellen_Mat&amp;Bem'!f.Rd.3/'Hilfstabellen_Mat&amp;Bem'!$BD$30)</f>
        <v>0.57231373227175641</v>
      </c>
      <c r="Z237" s="553">
        <f>0.5*(1+'Hilfstabellen_Mat&amp;Bem'!$BD$31*($Y237-0.3)+$Y237^2)</f>
        <v>0.67738719068700171</v>
      </c>
      <c r="AA237" s="550">
        <f t="shared" si="185"/>
        <v>0.96176507109092846</v>
      </c>
      <c r="AC237" s="551">
        <f t="shared" si="238"/>
        <v>80327.580502585435</v>
      </c>
      <c r="AG237" s="546">
        <f t="shared" si="194"/>
        <v>289</v>
      </c>
      <c r="AH237" s="551">
        <f t="shared" si="186"/>
        <v>37.158183414972449</v>
      </c>
      <c r="AI237" s="553">
        <f>$AH237/PI()*SQRT('Hilfstabellen_Mat&amp;Bem'!f.Rd.3/'Hilfstabellen_Mat&amp;Bem'!$BD$30)</f>
        <v>0.59139085668081492</v>
      </c>
      <c r="AJ237" s="553">
        <f>0.5*(1+'Hilfstabellen_Mat&amp;Bem'!$BD$31*($AI237-0.3)+$AI237^2)</f>
        <v>0.68944111551687493</v>
      </c>
      <c r="AK237" s="550">
        <f t="shared" si="187"/>
        <v>0.95801762315666561</v>
      </c>
      <c r="AM237" s="551">
        <f t="shared" si="239"/>
        <v>80014.589903667875</v>
      </c>
      <c r="AQ237" s="546">
        <f t="shared" si="195"/>
        <v>289</v>
      </c>
      <c r="AR237" s="551">
        <f t="shared" si="188"/>
        <v>38.356834492874789</v>
      </c>
      <c r="AS237" s="553">
        <f>$AR237/PI()*SQRT('Hilfstabellen_Mat&amp;Bem'!f.Rd.3/'Hilfstabellen_Mat&amp;Bem'!$BD$30)</f>
        <v>0.61046798108987366</v>
      </c>
      <c r="AT237" s="553">
        <f>0.5*(1+'Hilfstabellen_Mat&amp;Bem'!$BD$31*($AS237-0.3)+$AS237^2)</f>
        <v>0.70185897702246691</v>
      </c>
      <c r="AU237" s="550">
        <f t="shared" si="189"/>
        <v>0.95403905828433577</v>
      </c>
      <c r="AW237" s="551">
        <f t="shared" si="240"/>
        <v>79682.296186966007</v>
      </c>
      <c r="AZ237" s="547">
        <f>'Hilfstabellen_Mat&amp;Bem'!$J$56</f>
        <v>3.3</v>
      </c>
      <c r="BA237" s="546">
        <f t="shared" si="196"/>
        <v>289</v>
      </c>
      <c r="BB237" s="551">
        <f t="shared" si="197"/>
        <v>39.55548557077713</v>
      </c>
      <c r="BC237" s="553">
        <f>BB237/PI()*SQRT('Hilfstabellen_Mat&amp;Bem'!f.Rd.3/'Hilfstabellen_Mat&amp;Bem'!$BD$30)</f>
        <v>0.62954510549893217</v>
      </c>
      <c r="BD237" s="553">
        <f>0.5*(1+'Hilfstabellen_Mat&amp;Bem'!$BD$31*(BC237-0.3)+BC237^2)</f>
        <v>0.71464077520377745</v>
      </c>
      <c r="BE237" s="550">
        <f t="shared" si="198"/>
        <v>0.94980435895679138</v>
      </c>
      <c r="BG237" s="551">
        <f t="shared" si="199"/>
        <v>79328.609864430167</v>
      </c>
      <c r="BJ237" s="547">
        <f>'Hilfstabellen_Mat&amp;Bem'!$J$57</f>
        <v>3.4</v>
      </c>
      <c r="BK237" s="546">
        <f t="shared" si="200"/>
        <v>289</v>
      </c>
      <c r="BL237" s="551">
        <f t="shared" si="201"/>
        <v>40.754136648679463</v>
      </c>
      <c r="BM237" s="553">
        <f>BL237/PI()*SQRT('Hilfstabellen_Mat&amp;Bem'!f.Rd.3/'Hilfstabellen_Mat&amp;Bem'!$BD$30)</f>
        <v>0.64862222990799068</v>
      </c>
      <c r="BN237" s="553">
        <f>0.5*(1+'Hilfstabellen_Mat&amp;Bem'!$BD$31*(BM237-0.3)+BM237^2)</f>
        <v>0.72778651006080675</v>
      </c>
      <c r="BO237" s="550">
        <f t="shared" si="202"/>
        <v>0.94528585933696407</v>
      </c>
      <c r="BQ237" s="551">
        <f t="shared" si="203"/>
        <v>78951.22025768258</v>
      </c>
      <c r="BT237" s="547">
        <f>'Hilfstabellen_Mat&amp;Bem'!$J$58</f>
        <v>3.5</v>
      </c>
      <c r="BU237" s="546">
        <f t="shared" si="204"/>
        <v>289</v>
      </c>
      <c r="BV237" s="551">
        <f t="shared" si="205"/>
        <v>41.952787726581803</v>
      </c>
      <c r="BW237" s="553">
        <f>BV237/PI()*SQRT('Hilfstabellen_Mat&amp;Bem'!f.Rd.3/'Hilfstabellen_Mat&amp;Bem'!$BD$30)</f>
        <v>0.6676993543170493</v>
      </c>
      <c r="BX237" s="553">
        <f>0.5*(1+'Hilfstabellen_Mat&amp;Bem'!$BD$31*(BW237-0.3)+BW237^2)</f>
        <v>0.74129618159355481</v>
      </c>
      <c r="BY237" s="550">
        <f t="shared" si="206"/>
        <v>0.94045305143671276</v>
      </c>
      <c r="CA237" s="551">
        <f t="shared" si="207"/>
        <v>78547.579309045686</v>
      </c>
      <c r="CD237" s="547">
        <f>'Hilfstabellen_Mat&amp;Bem'!$J$59</f>
        <v>3.6</v>
      </c>
      <c r="CE237" s="546">
        <f t="shared" si="208"/>
        <v>289</v>
      </c>
      <c r="CF237" s="551">
        <f t="shared" si="209"/>
        <v>43.151438804484144</v>
      </c>
      <c r="CG237" s="553">
        <f>CF237/PI()*SQRT('Hilfstabellen_Mat&amp;Bem'!f.Rd.3/'Hilfstabellen_Mat&amp;Bem'!$BD$30)</f>
        <v>0.68677647872610781</v>
      </c>
      <c r="CH237" s="553">
        <f>0.5*(1+'Hilfstabellen_Mat&amp;Bem'!$BD$31*(CG237-0.3)+CG237^2)</f>
        <v>0.75516978980202132</v>
      </c>
      <c r="CI237" s="550">
        <f t="shared" si="210"/>
        <v>0.93527243624229772</v>
      </c>
      <c r="CK237" s="551">
        <f t="shared" si="211"/>
        <v>78114.889147392954</v>
      </c>
      <c r="CN237" s="547">
        <f>'Hilfstabellen_Mat&amp;Bem'!$J$60</f>
        <v>3.7</v>
      </c>
      <c r="CO237" s="546">
        <f t="shared" si="212"/>
        <v>289</v>
      </c>
      <c r="CP237" s="551">
        <f t="shared" si="213"/>
        <v>44.350089882386477</v>
      </c>
      <c r="CQ237" s="553">
        <f>CP237/PI()*SQRT('Hilfstabellen_Mat&amp;Bem'!f.Rd.3/'Hilfstabellen_Mat&amp;Bem'!$BD$30)</f>
        <v>0.70585360313516632</v>
      </c>
      <c r="CR237" s="553">
        <f>0.5*(1+'Hilfstabellen_Mat&amp;Bem'!$BD$31*(CQ237-0.3)+CQ237^2)</f>
        <v>0.76940733468620681</v>
      </c>
      <c r="CS237" s="550">
        <f t="shared" si="214"/>
        <v>0.9297074528910968</v>
      </c>
      <c r="CU237" s="551">
        <f t="shared" si="215"/>
        <v>77650.0961729173</v>
      </c>
      <c r="CX237" s="547">
        <f>'Hilfstabellen_Mat&amp;Bem'!$J$61</f>
        <v>3.8</v>
      </c>
      <c r="CY237" s="546">
        <f t="shared" si="216"/>
        <v>289</v>
      </c>
      <c r="CZ237" s="551">
        <f t="shared" si="217"/>
        <v>45.548740960288818</v>
      </c>
      <c r="DA237" s="553">
        <f>CZ237/PI()*SQRT('Hilfstabellen_Mat&amp;Bem'!f.Rd.3/'Hilfstabellen_Mat&amp;Bem'!$BD$30)</f>
        <v>0.72493072754422494</v>
      </c>
      <c r="DB237" s="553">
        <f>0.5*(1+'Hilfstabellen_Mat&amp;Bem'!$BD$31*(DA237-0.3)+DA237^2)</f>
        <v>0.78400881624611096</v>
      </c>
      <c r="DC237" s="550">
        <f t="shared" si="218"/>
        <v>0.92371853100911672</v>
      </c>
      <c r="DE237" s="551">
        <f t="shared" si="219"/>
        <v>77149.895428412434</v>
      </c>
      <c r="DH237" s="547">
        <f>'Hilfstabellen_Mat&amp;Bem'!$J$62</f>
        <v>3.9</v>
      </c>
      <c r="DI237" s="546">
        <f t="shared" si="220"/>
        <v>289</v>
      </c>
      <c r="DJ237" s="551">
        <f t="shared" si="221"/>
        <v>46.747392038191151</v>
      </c>
      <c r="DK237" s="553">
        <f>DJ237/PI()*SQRT('Hilfstabellen_Mat&amp;Bem'!f.Rd.3/'Hilfstabellen_Mat&amp;Bem'!$BD$30)</f>
        <v>0.74400785195328345</v>
      </c>
      <c r="DL237" s="553">
        <f>0.5*(1+'Hilfstabellen_Mat&amp;Bem'!$BD$31*(DK237-0.3)+DK237^2)</f>
        <v>0.79897423448173366</v>
      </c>
      <c r="DM237" s="550">
        <f t="shared" si="222"/>
        <v>0.91726332509962283</v>
      </c>
      <c r="DO237" s="551">
        <f t="shared" si="223"/>
        <v>76610.750175645604</v>
      </c>
      <c r="DR237" s="547">
        <f>'Hilfstabellen_Mat&amp;Bem'!$J$63</f>
        <v>4</v>
      </c>
      <c r="DS237" s="546">
        <f t="shared" si="224"/>
        <v>289</v>
      </c>
      <c r="DT237" s="551">
        <f t="shared" si="225"/>
        <v>47.946043116093492</v>
      </c>
      <c r="DU237" s="553">
        <f>DT237/PI()*SQRT('Hilfstabellen_Mat&amp;Bem'!f.Rd.3/'Hilfstabellen_Mat&amp;Bem'!$BD$30)</f>
        <v>0.76308497636234207</v>
      </c>
      <c r="DV237" s="553">
        <f>0.5*(1+'Hilfstabellen_Mat&amp;Bem'!$BD$31*(DU237-0.3)+DU237^2)</f>
        <v>0.81430358939307523</v>
      </c>
      <c r="DW237" s="550">
        <f t="shared" si="226"/>
        <v>0.91029720392333358</v>
      </c>
      <c r="DY237" s="551">
        <f t="shared" si="227"/>
        <v>76028.932768880739</v>
      </c>
      <c r="EB237" s="547">
        <f>'Hilfstabellen_Mat&amp;Bem'!$J$64</f>
        <v>4.0999999999999996</v>
      </c>
      <c r="EC237" s="546">
        <f t="shared" si="228"/>
        <v>289</v>
      </c>
      <c r="ED237" s="551">
        <f t="shared" si="229"/>
        <v>49.144694193995825</v>
      </c>
      <c r="EE237" s="553">
        <f>ED237/PI()*SQRT('Hilfstabellen_Mat&amp;Bem'!f.Rd.3/'Hilfstabellen_Mat&amp;Bem'!$BD$30)</f>
        <v>0.78216210077140058</v>
      </c>
      <c r="EF237" s="553">
        <f>0.5*(1+'Hilfstabellen_Mat&amp;Bem'!$BD$31*(EE237-0.3)+EE237^2)</f>
        <v>0.82999688098013535</v>
      </c>
      <c r="EG237" s="550">
        <f t="shared" si="230"/>
        <v>0.90277407906416229</v>
      </c>
      <c r="EI237" s="551">
        <f t="shared" si="231"/>
        <v>75400.593857517903</v>
      </c>
      <c r="EL237" s="547">
        <f>'Hilfstabellen_Mat&amp;Bem'!$J$65</f>
        <v>4.2</v>
      </c>
      <c r="EM237" s="546">
        <f t="shared" si="232"/>
        <v>289</v>
      </c>
      <c r="EN237" s="551">
        <f t="shared" si="233"/>
        <v>50.343345271898166</v>
      </c>
      <c r="EO237" s="553">
        <f>EN237/PI()*SQRT('Hilfstabellen_Mat&amp;Bem'!f.Rd.3/'Hilfstabellen_Mat&amp;Bem'!$BD$30)</f>
        <v>0.8012392251804592</v>
      </c>
      <c r="EP237" s="553">
        <f>0.5*(1+'Hilfstabellen_Mat&amp;Bem'!$BD$31*(EO237-0.3)+EO237^2)</f>
        <v>0.84605410924291424</v>
      </c>
      <c r="EQ237" s="550">
        <f t="shared" si="234"/>
        <v>0.89464766011739549</v>
      </c>
      <c r="ES237" s="551">
        <f t="shared" si="235"/>
        <v>74721.867220664994</v>
      </c>
    </row>
    <row r="238" spans="3:149">
      <c r="C238" s="546">
        <v>290</v>
      </c>
      <c r="D238" s="551">
        <f t="shared" si="190"/>
        <v>33.446498353054182</v>
      </c>
      <c r="E238" s="553">
        <f>$D238/PI()*SQRT('Hilfstabellen_Mat&amp;Bem'!f.Rd.3/'Hilfstabellen_Mat&amp;Bem'!$BD$30)</f>
        <v>0.53231755420035098</v>
      </c>
      <c r="F238" s="553">
        <f>0.5*(1+'Hilfstabellen_Mat&amp;Bem'!$BD$31*($E238-0.3)+$E238^2)</f>
        <v>0.65329686696493938</v>
      </c>
      <c r="G238" s="550">
        <f t="shared" si="191"/>
        <v>0.96896899918496437</v>
      </c>
      <c r="I238" s="551">
        <f t="shared" si="236"/>
        <v>81490.292831455503</v>
      </c>
      <c r="M238" s="546">
        <f t="shared" si="192"/>
        <v>290</v>
      </c>
      <c r="N238" s="551">
        <f t="shared" si="182"/>
        <v>34.641016151377542</v>
      </c>
      <c r="O238" s="553">
        <f>$N238/PI()*SQRT('Hilfstabellen_Mat&amp;Bem'!f.Rd.3/'Hilfstabellen_Mat&amp;Bem'!$BD$30)</f>
        <v>0.55132889542179198</v>
      </c>
      <c r="P238" s="553">
        <f>0.5*(1+'Hilfstabellen_Mat&amp;Bem'!$BD$31*($O238-0.3)+$O238^2)</f>
        <v>0.66454822023459625</v>
      </c>
      <c r="Q238" s="550">
        <f t="shared" si="183"/>
        <v>0.96564721134572118</v>
      </c>
      <c r="S238" s="551">
        <f t="shared" si="237"/>
        <v>81210.930474175155</v>
      </c>
      <c r="W238" s="546">
        <f t="shared" si="193"/>
        <v>290</v>
      </c>
      <c r="X238" s="551">
        <f t="shared" si="184"/>
        <v>35.83553394970091</v>
      </c>
      <c r="Y238" s="553">
        <f>$X238/PI()*SQRT('Hilfstabellen_Mat&amp;Bem'!f.Rd.3/'Hilfstabellen_Mat&amp;Bem'!$BD$30)</f>
        <v>0.57034023664323319</v>
      </c>
      <c r="Z238" s="553">
        <f>0.5*(1+'Hilfstabellen_Mat&amp;Bem'!$BD$31*($Y238-0.3)+$Y238^2)</f>
        <v>0.67616100459929129</v>
      </c>
      <c r="AA238" s="550">
        <f t="shared" si="185"/>
        <v>0.96214047152100968</v>
      </c>
      <c r="AC238" s="551">
        <f t="shared" si="238"/>
        <v>80916.013654916911</v>
      </c>
      <c r="AG238" s="546">
        <f t="shared" si="194"/>
        <v>290</v>
      </c>
      <c r="AH238" s="551">
        <f t="shared" si="186"/>
        <v>37.03005174802427</v>
      </c>
      <c r="AI238" s="553">
        <f>$AH238/PI()*SQRT('Hilfstabellen_Mat&amp;Bem'!f.Rd.3/'Hilfstabellen_Mat&amp;Bem'!$BD$30)</f>
        <v>0.58935157786467429</v>
      </c>
      <c r="AJ238" s="553">
        <f>0.5*(1+'Hilfstabellen_Mat&amp;Bem'!$BD$31*($AI238-0.3)+$AI238^2)</f>
        <v>0.68813522005902428</v>
      </c>
      <c r="AK238" s="550">
        <f t="shared" si="187"/>
        <v>0.95842882747363589</v>
      </c>
      <c r="AM238" s="551">
        <f t="shared" si="239"/>
        <v>80603.864390532777</v>
      </c>
      <c r="AQ238" s="546">
        <f t="shared" si="195"/>
        <v>290</v>
      </c>
      <c r="AR238" s="551">
        <f t="shared" si="188"/>
        <v>38.224569546347638</v>
      </c>
      <c r="AS238" s="553">
        <f>$AR238/PI()*SQRT('Hilfstabellen_Mat&amp;Bem'!f.Rd.3/'Hilfstabellen_Mat&amp;Bem'!$BD$30)</f>
        <v>0.60836291908611539</v>
      </c>
      <c r="AT238" s="553">
        <f>0.5*(1+'Hilfstabellen_Mat&amp;Bem'!$BD$31*($AS238-0.3)+$AS238^2)</f>
        <v>0.70047086661379554</v>
      </c>
      <c r="AU238" s="550">
        <f t="shared" si="189"/>
        <v>0.95449016808984111</v>
      </c>
      <c r="AW238" s="551">
        <f t="shared" si="240"/>
        <v>80272.623136355644</v>
      </c>
      <c r="AZ238" s="547">
        <f>'Hilfstabellen_Mat&amp;Bem'!$J$56</f>
        <v>3.3</v>
      </c>
      <c r="BA238" s="546">
        <f t="shared" si="196"/>
        <v>290</v>
      </c>
      <c r="BB238" s="551">
        <f t="shared" si="197"/>
        <v>39.419087344670999</v>
      </c>
      <c r="BC238" s="553">
        <f>BB238/PI()*SQRT('Hilfstabellen_Mat&amp;Bem'!f.Rd.3/'Hilfstabellen_Mat&amp;Bem'!$BD$30)</f>
        <v>0.6273742603075565</v>
      </c>
      <c r="BD238" s="553">
        <f>0.5*(1+'Hilfstabellen_Mat&amp;Bem'!$BD$31*(BC238-0.3)+BC238^2)</f>
        <v>0.71316794426360464</v>
      </c>
      <c r="BE238" s="550">
        <f t="shared" si="198"/>
        <v>0.9503000060199791</v>
      </c>
      <c r="BG238" s="551">
        <f t="shared" si="199"/>
        <v>79920.230506280248</v>
      </c>
      <c r="BJ238" s="547">
        <f>'Hilfstabellen_Mat&amp;Bem'!$J$57</f>
        <v>3.4</v>
      </c>
      <c r="BK238" s="546">
        <f t="shared" si="200"/>
        <v>290</v>
      </c>
      <c r="BL238" s="551">
        <f t="shared" si="201"/>
        <v>40.613605142994359</v>
      </c>
      <c r="BM238" s="553">
        <f>BL238/PI()*SQRT('Hilfstabellen_Mat&amp;Bem'!f.Rd.3/'Hilfstabellen_Mat&amp;Bem'!$BD$30)</f>
        <v>0.6463856015289976</v>
      </c>
      <c r="BN238" s="553">
        <f>0.5*(1+'Hilfstabellen_Mat&amp;Bem'!$BD$31*(BM238-0.3)+BM238^2)</f>
        <v>0.7262264530084519</v>
      </c>
      <c r="BO238" s="550">
        <f t="shared" si="202"/>
        <v>0.9458312646532695</v>
      </c>
      <c r="BQ238" s="551">
        <f t="shared" si="203"/>
        <v>79544.409357339959</v>
      </c>
      <c r="BT238" s="547">
        <f>'Hilfstabellen_Mat&amp;Bem'!$J$58</f>
        <v>3.5</v>
      </c>
      <c r="BU238" s="546">
        <f t="shared" si="204"/>
        <v>290</v>
      </c>
      <c r="BV238" s="551">
        <f t="shared" si="205"/>
        <v>41.808122941317727</v>
      </c>
      <c r="BW238" s="553">
        <f>BV238/PI()*SQRT('Hilfstabellen_Mat&amp;Bem'!f.Rd.3/'Hilfstabellen_Mat&amp;Bem'!$BD$30)</f>
        <v>0.6653969427504387</v>
      </c>
      <c r="BX238" s="553">
        <f>0.5*(1+'Hilfstabellen_Mat&amp;Bem'!$BD$31*(BW238-0.3)+BW238^2)</f>
        <v>0.73964639284833722</v>
      </c>
      <c r="BY238" s="550">
        <f t="shared" si="206"/>
        <v>0.94105408420703018</v>
      </c>
      <c r="CA238" s="551">
        <f t="shared" si="207"/>
        <v>79142.648481811237</v>
      </c>
      <c r="CD238" s="547">
        <f>'Hilfstabellen_Mat&amp;Bem'!$J$59</f>
        <v>3.6</v>
      </c>
      <c r="CE238" s="546">
        <f t="shared" si="208"/>
        <v>290</v>
      </c>
      <c r="CF238" s="551">
        <f t="shared" si="209"/>
        <v>43.002640739641087</v>
      </c>
      <c r="CG238" s="553">
        <f>CF238/PI()*SQRT('Hilfstabellen_Mat&amp;Bem'!f.Rd.3/'Hilfstabellen_Mat&amp;Bem'!$BD$30)</f>
        <v>0.68440828397187981</v>
      </c>
      <c r="CH238" s="553">
        <f>0.5*(1+'Hilfstabellen_Mat&amp;Bem'!$BD$31*(CG238-0.3)+CG238^2)</f>
        <v>0.7534277637832606</v>
      </c>
      <c r="CI238" s="550">
        <f t="shared" si="210"/>
        <v>0.93593566879310153</v>
      </c>
      <c r="CK238" s="551">
        <f t="shared" si="211"/>
        <v>78712.18974549984</v>
      </c>
      <c r="CN238" s="547">
        <f>'Hilfstabellen_Mat&amp;Bem'!$J$60</f>
        <v>3.7</v>
      </c>
      <c r="CO238" s="546">
        <f t="shared" si="212"/>
        <v>290</v>
      </c>
      <c r="CP238" s="551">
        <f t="shared" si="213"/>
        <v>44.197158537964455</v>
      </c>
      <c r="CQ238" s="553">
        <f>CP238/PI()*SQRT('Hilfstabellen_Mat&amp;Bem'!f.Rd.3/'Hilfstabellen_Mat&amp;Bem'!$BD$30)</f>
        <v>0.70341962519332091</v>
      </c>
      <c r="CR238" s="553">
        <f>0.5*(1+'Hilfstabellen_Mat&amp;Bem'!$BD$31*(CQ238-0.3)+CQ238^2)</f>
        <v>0.76757056581322214</v>
      </c>
      <c r="CS238" s="550">
        <f t="shared" si="214"/>
        <v>0.93044020554627915</v>
      </c>
      <c r="CU238" s="551">
        <f t="shared" si="215"/>
        <v>78250.021286442076</v>
      </c>
      <c r="CX238" s="547">
        <f>'Hilfstabellen_Mat&amp;Bem'!$J$61</f>
        <v>3.8</v>
      </c>
      <c r="CY238" s="546">
        <f t="shared" si="216"/>
        <v>290</v>
      </c>
      <c r="CZ238" s="551">
        <f t="shared" si="217"/>
        <v>45.391676336287816</v>
      </c>
      <c r="DA238" s="553">
        <f>CZ238/PI()*SQRT('Hilfstabellen_Mat&amp;Bem'!f.Rd.3/'Hilfstabellen_Mat&amp;Bem'!$BD$30)</f>
        <v>0.72243096641476201</v>
      </c>
      <c r="DB238" s="553">
        <f>0.5*(1+'Hilfstabellen_Mat&amp;Bem'!$BD$31*(DA238-0.3)+DA238^2)</f>
        <v>0.78207479893822152</v>
      </c>
      <c r="DC238" s="550">
        <f t="shared" si="218"/>
        <v>0.92452889834070651</v>
      </c>
      <c r="DE238" s="551">
        <f t="shared" si="219"/>
        <v>77752.880350453415</v>
      </c>
      <c r="DH238" s="547">
        <f>'Hilfstabellen_Mat&amp;Bem'!$J$62</f>
        <v>3.9</v>
      </c>
      <c r="DI238" s="546">
        <f t="shared" si="220"/>
        <v>290</v>
      </c>
      <c r="DJ238" s="551">
        <f t="shared" si="221"/>
        <v>46.586194134611183</v>
      </c>
      <c r="DK238" s="553">
        <f>DJ238/PI()*SQRT('Hilfstabellen_Mat&amp;Bem'!f.Rd.3/'Hilfstabellen_Mat&amp;Bem'!$BD$30)</f>
        <v>0.74144230763620322</v>
      </c>
      <c r="DL238" s="553">
        <f>0.5*(1+'Hilfstabellen_Mat&amp;Bem'!$BD$31*(DK238-0.3)+DK238^2)</f>
        <v>0.79694046315825928</v>
      </c>
      <c r="DM238" s="550">
        <f t="shared" si="222"/>
        <v>0.9181601718742205</v>
      </c>
      <c r="DO238" s="551">
        <f t="shared" si="223"/>
        <v>77217.270454621947</v>
      </c>
      <c r="DR238" s="547">
        <f>'Hilfstabellen_Mat&amp;Bem'!$J$63</f>
        <v>4</v>
      </c>
      <c r="DS238" s="546">
        <f t="shared" si="224"/>
        <v>290</v>
      </c>
      <c r="DT238" s="551">
        <f t="shared" si="225"/>
        <v>47.780711932934537</v>
      </c>
      <c r="DU238" s="553">
        <f>DT238/PI()*SQRT('Hilfstabellen_Mat&amp;Bem'!f.Rd.3/'Hilfstabellen_Mat&amp;Bem'!$BD$30)</f>
        <v>0.7604536488576441</v>
      </c>
      <c r="DV238" s="553">
        <f>0.5*(1+'Hilfstabellen_Mat&amp;Bem'!$BD$31*(DU238-0.3)+DU238^2)</f>
        <v>0.81216755847333477</v>
      </c>
      <c r="DW238" s="550">
        <f t="shared" si="226"/>
        <v>0.9112901156667117</v>
      </c>
      <c r="DY238" s="551">
        <f t="shared" si="227"/>
        <v>76639.498727570448</v>
      </c>
      <c r="EB238" s="547">
        <f>'Hilfstabellen_Mat&amp;Bem'!$J$64</f>
        <v>4.0999999999999996</v>
      </c>
      <c r="EC238" s="546">
        <f t="shared" si="228"/>
        <v>290</v>
      </c>
      <c r="ED238" s="551">
        <f t="shared" si="229"/>
        <v>48.975229731257905</v>
      </c>
      <c r="EE238" s="553">
        <f>ED238/PI()*SQRT('Hilfstabellen_Mat&amp;Bem'!f.Rd.3/'Hilfstabellen_Mat&amp;Bem'!$BD$30)</f>
        <v>0.77946499007908532</v>
      </c>
      <c r="EF238" s="553">
        <f>0.5*(1+'Hilfstabellen_Mat&amp;Bem'!$BD$31*(EE238-0.3)+EE238^2)</f>
        <v>0.82775608488344865</v>
      </c>
      <c r="EG238" s="550">
        <f t="shared" si="230"/>
        <v>0.90387324905728472</v>
      </c>
      <c r="EI238" s="551">
        <f t="shared" si="231"/>
        <v>76015.74024571765</v>
      </c>
      <c r="EL238" s="547">
        <f>'Hilfstabellen_Mat&amp;Bem'!$J$65</f>
        <v>4.2</v>
      </c>
      <c r="EM238" s="546">
        <f t="shared" si="232"/>
        <v>290</v>
      </c>
      <c r="EN238" s="551">
        <f t="shared" si="233"/>
        <v>50.169747529581272</v>
      </c>
      <c r="EO238" s="553">
        <f>EN238/PI()*SQRT('Hilfstabellen_Mat&amp;Bem'!f.Rd.3/'Hilfstabellen_Mat&amp;Bem'!$BD$30)</f>
        <v>0.79847633130052653</v>
      </c>
      <c r="EP238" s="553">
        <f>0.5*(1+'Hilfstabellen_Mat&amp;Bem'!$BD$31*(EO238-0.3)+EO238^2)</f>
        <v>0.84370604238860047</v>
      </c>
      <c r="EQ238" s="550">
        <f t="shared" si="234"/>
        <v>0.89586369284959455</v>
      </c>
      <c r="ES238" s="551">
        <f t="shared" si="235"/>
        <v>75342.136568650909</v>
      </c>
    </row>
    <row r="239" spans="3:149">
      <c r="C239" s="546">
        <v>291</v>
      </c>
      <c r="D239" s="551">
        <f t="shared" si="190"/>
        <v>33.331561932596948</v>
      </c>
      <c r="E239" s="553">
        <f>$D239/PI()*SQRT('Hilfstabellen_Mat&amp;Bem'!f.Rd.3/'Hilfstabellen_Mat&amp;Bem'!$BD$30)</f>
        <v>0.53048828425464523</v>
      </c>
      <c r="F239" s="553">
        <f>0.5*(1+'Hilfstabellen_Mat&amp;Bem'!$BD$31*($E239-0.3)+$E239^2)</f>
        <v>0.65223332407845092</v>
      </c>
      <c r="G239" s="550">
        <f t="shared" si="191"/>
        <v>0.96927954585047393</v>
      </c>
      <c r="I239" s="551">
        <f t="shared" si="236"/>
        <v>82079.561222163989</v>
      </c>
      <c r="M239" s="546">
        <f t="shared" si="192"/>
        <v>291</v>
      </c>
      <c r="N239" s="551">
        <f t="shared" si="182"/>
        <v>34.521974858761126</v>
      </c>
      <c r="O239" s="553">
        <f>$N239/PI()*SQRT('Hilfstabellen_Mat&amp;Bem'!f.Rd.3/'Hilfstabellen_Mat&amp;Bem'!$BD$30)</f>
        <v>0.54943429440659697</v>
      </c>
      <c r="P239" s="553">
        <f>0.5*(1+'Hilfstabellen_Mat&amp;Bem'!$BD$31*($O239-0.3)+$O239^2)</f>
        <v>0.66341073665536732</v>
      </c>
      <c r="Q239" s="550">
        <f t="shared" si="183"/>
        <v>0.9659862354082448</v>
      </c>
      <c r="S239" s="551">
        <f t="shared" si="237"/>
        <v>81800.680400605575</v>
      </c>
      <c r="W239" s="546">
        <f t="shared" si="193"/>
        <v>291</v>
      </c>
      <c r="X239" s="551">
        <f t="shared" si="184"/>
        <v>35.712387784925305</v>
      </c>
      <c r="Y239" s="553">
        <f>$X239/PI()*SQRT('Hilfstabellen_Mat&amp;Bem'!f.Rd.3/'Hilfstabellen_Mat&amp;Bem'!$BD$30)</f>
        <v>0.56838030455854849</v>
      </c>
      <c r="Z239" s="553">
        <f>0.5*(1+'Hilfstabellen_Mat&amp;Bem'!$BD$31*($Y239-0.3)+$Y239^2)</f>
        <v>0.67494710053296159</v>
      </c>
      <c r="AA239" s="550">
        <f t="shared" si="185"/>
        <v>0.96251110844113619</v>
      </c>
      <c r="AC239" s="551">
        <f t="shared" si="238"/>
        <v>81506.403173903847</v>
      </c>
      <c r="AG239" s="546">
        <f t="shared" si="194"/>
        <v>291</v>
      </c>
      <c r="AH239" s="551">
        <f t="shared" si="186"/>
        <v>36.902800711089476</v>
      </c>
      <c r="AI239" s="553">
        <f>$AH239/PI()*SQRT('Hilfstabellen_Mat&amp;Bem'!f.Rd.3/'Hilfstabellen_Mat&amp;Bem'!$BD$30)</f>
        <v>0.58732631471050012</v>
      </c>
      <c r="AJ239" s="553">
        <f>0.5*(1+'Hilfstabellen_Mat&amp;Bem'!$BD$31*($AI239-0.3)+$AI239^2)</f>
        <v>0.68684241571123372</v>
      </c>
      <c r="AK239" s="550">
        <f t="shared" si="187"/>
        <v>0.95883462261695451</v>
      </c>
      <c r="AM239" s="551">
        <f t="shared" si="239"/>
        <v>81195.074677826327</v>
      </c>
      <c r="AQ239" s="546">
        <f t="shared" si="195"/>
        <v>291</v>
      </c>
      <c r="AR239" s="551">
        <f t="shared" si="188"/>
        <v>38.093213637253655</v>
      </c>
      <c r="AS239" s="553">
        <f>$AR239/PI()*SQRT('Hilfstabellen_Mat&amp;Bem'!f.Rd.3/'Hilfstabellen_Mat&amp;Bem'!$BD$30)</f>
        <v>0.60627232486245175</v>
      </c>
      <c r="AT239" s="553">
        <f>0.5*(1+'Hilfstabellen_Mat&amp;Bem'!$BD$31*($AS239-0.3)+$AS239^2)</f>
        <v>0.69909668219018362</v>
      </c>
      <c r="AU239" s="550">
        <f t="shared" si="189"/>
        <v>0.95493512818898596</v>
      </c>
      <c r="AW239" s="551">
        <f t="shared" si="240"/>
        <v>80864.861590171524</v>
      </c>
      <c r="AZ239" s="547">
        <f>'Hilfstabellen_Mat&amp;Bem'!$J$56</f>
        <v>3.3</v>
      </c>
      <c r="BA239" s="546">
        <f t="shared" si="196"/>
        <v>291</v>
      </c>
      <c r="BB239" s="551">
        <f t="shared" si="197"/>
        <v>39.283626563417833</v>
      </c>
      <c r="BC239" s="553">
        <f>BB239/PI()*SQRT('Hilfstabellen_Mat&amp;Bem'!f.Rd.3/'Hilfstabellen_Mat&amp;Bem'!$BD$30)</f>
        <v>0.62521833501440338</v>
      </c>
      <c r="BD239" s="553">
        <f>0.5*(1+'Hilfstabellen_Mat&amp;Bem'!$BD$31*(BC239-0.3)+BC239^2)</f>
        <v>0.71170989996981149</v>
      </c>
      <c r="BE239" s="550">
        <f t="shared" si="198"/>
        <v>0.95078865450418548</v>
      </c>
      <c r="BG239" s="551">
        <f t="shared" si="199"/>
        <v>80513.734052068932</v>
      </c>
      <c r="BJ239" s="547">
        <f>'Hilfstabellen_Mat&amp;Bem'!$J$57</f>
        <v>3.4</v>
      </c>
      <c r="BK239" s="546">
        <f t="shared" si="200"/>
        <v>291</v>
      </c>
      <c r="BL239" s="551">
        <f t="shared" si="201"/>
        <v>40.474039489582005</v>
      </c>
      <c r="BM239" s="553">
        <f>BL239/PI()*SQRT('Hilfstabellen_Mat&amp;Bem'!f.Rd.3/'Hilfstabellen_Mat&amp;Bem'!$BD$30)</f>
        <v>0.6441643451663549</v>
      </c>
      <c r="BN239" s="553">
        <f>0.5*(1+'Hilfstabellen_Mat&amp;Bem'!$BD$31*(BM239-0.3)+BM239^2)</f>
        <v>0.72468206905011723</v>
      </c>
      <c r="BO239" s="550">
        <f t="shared" si="202"/>
        <v>0.94636869953701364</v>
      </c>
      <c r="BQ239" s="551">
        <f t="shared" si="203"/>
        <v>80139.447845493851</v>
      </c>
      <c r="BT239" s="547">
        <f>'Hilfstabellen_Mat&amp;Bem'!$J$58</f>
        <v>3.5</v>
      </c>
      <c r="BU239" s="546">
        <f t="shared" si="204"/>
        <v>291</v>
      </c>
      <c r="BV239" s="551">
        <f t="shared" si="205"/>
        <v>41.664452415746183</v>
      </c>
      <c r="BW239" s="553">
        <f>BV239/PI()*SQRT('Hilfstabellen_Mat&amp;Bem'!f.Rd.3/'Hilfstabellen_Mat&amp;Bem'!$BD$30)</f>
        <v>0.66311035531830653</v>
      </c>
      <c r="BX239" s="553">
        <f>0.5*(1+'Hilfstabellen_Mat&amp;Bem'!$BD$31*(BW239-0.3)+BW239^2)</f>
        <v>0.73801318943110061</v>
      </c>
      <c r="BY239" s="550">
        <f t="shared" si="206"/>
        <v>0.9416460362395076</v>
      </c>
      <c r="CA239" s="551">
        <f t="shared" si="207"/>
        <v>79739.52799479774</v>
      </c>
      <c r="CD239" s="547">
        <f>'Hilfstabellen_Mat&amp;Bem'!$J$59</f>
        <v>3.6</v>
      </c>
      <c r="CE239" s="546">
        <f t="shared" si="208"/>
        <v>291</v>
      </c>
      <c r="CF239" s="551">
        <f t="shared" si="209"/>
        <v>42.854865341910369</v>
      </c>
      <c r="CG239" s="553">
        <f>CF239/PI()*SQRT('Hilfstabellen_Mat&amp;Bem'!f.Rd.3/'Hilfstabellen_Mat&amp;Bem'!$BD$30)</f>
        <v>0.68205636547025827</v>
      </c>
      <c r="CH239" s="553">
        <f>0.5*(1+'Hilfstabellen_Mat&amp;Bem'!$BD$31*(CG239-0.3)+CG239^2)</f>
        <v>0.7517032611127622</v>
      </c>
      <c r="CI239" s="550">
        <f t="shared" si="210"/>
        <v>0.93658855617405579</v>
      </c>
      <c r="CK239" s="551">
        <f t="shared" si="211"/>
        <v>79311.255525375222</v>
      </c>
      <c r="CN239" s="547">
        <f>'Hilfstabellen_Mat&amp;Bem'!$J$60</f>
        <v>3.7</v>
      </c>
      <c r="CO239" s="546">
        <f t="shared" si="212"/>
        <v>291</v>
      </c>
      <c r="CP239" s="551">
        <f t="shared" si="213"/>
        <v>44.04527826807454</v>
      </c>
      <c r="CQ239" s="553">
        <f>CP239/PI()*SQRT('Hilfstabellen_Mat&amp;Bem'!f.Rd.3/'Hilfstabellen_Mat&amp;Bem'!$BD$30)</f>
        <v>0.70100237562220979</v>
      </c>
      <c r="CR239" s="553">
        <f>0.5*(1+'Hilfstabellen_Mat&amp;Bem'!$BD$31*(CQ239-0.3)+CQ239^2)</f>
        <v>0.76575228409510143</v>
      </c>
      <c r="CS239" s="550">
        <f t="shared" si="214"/>
        <v>0.93116117962094569</v>
      </c>
      <c r="CU239" s="551">
        <f t="shared" si="215"/>
        <v>78851.659851481309</v>
      </c>
      <c r="CX239" s="547">
        <f>'Hilfstabellen_Mat&amp;Bem'!$J$61</f>
        <v>3.8</v>
      </c>
      <c r="CY239" s="546">
        <f t="shared" si="216"/>
        <v>291</v>
      </c>
      <c r="CZ239" s="551">
        <f t="shared" si="217"/>
        <v>45.235691194238719</v>
      </c>
      <c r="DA239" s="553">
        <f>CZ239/PI()*SQRT('Hilfstabellen_Mat&amp;Bem'!f.Rd.3/'Hilfstabellen_Mat&amp;Bem'!$BD$30)</f>
        <v>0.71994838577416154</v>
      </c>
      <c r="DB239" s="553">
        <f>0.5*(1+'Hilfstabellen_Mat&amp;Bem'!$BD$31*(DA239-0.3)+DA239^2)</f>
        <v>0.78016025837811864</v>
      </c>
      <c r="DC239" s="550">
        <f t="shared" si="218"/>
        <v>0.92532587223976448</v>
      </c>
      <c r="DE239" s="551">
        <f t="shared" si="219"/>
        <v>78357.520187135495</v>
      </c>
      <c r="DH239" s="547">
        <f>'Hilfstabellen_Mat&amp;Bem'!$J$62</f>
        <v>3.9</v>
      </c>
      <c r="DI239" s="546">
        <f t="shared" si="220"/>
        <v>291</v>
      </c>
      <c r="DJ239" s="551">
        <f t="shared" si="221"/>
        <v>46.426104120402897</v>
      </c>
      <c r="DK239" s="553">
        <f>DJ239/PI()*SQRT('Hilfstabellen_Mat&amp;Bem'!f.Rd.3/'Hilfstabellen_Mat&amp;Bem'!$BD$30)</f>
        <v>0.73889439592611317</v>
      </c>
      <c r="DL239" s="553">
        <f>0.5*(1+'Hilfstabellen_Mat&amp;Bem'!$BD$31*(DK239-0.3)+DK239^2)</f>
        <v>0.7949271839618135</v>
      </c>
      <c r="DM239" s="550">
        <f t="shared" si="222"/>
        <v>0.9190418210934318</v>
      </c>
      <c r="DO239" s="551">
        <f t="shared" si="223"/>
        <v>77825.380452012905</v>
      </c>
      <c r="DR239" s="547">
        <f>'Hilfstabellen_Mat&amp;Bem'!$J$63</f>
        <v>4</v>
      </c>
      <c r="DS239" s="546">
        <f t="shared" si="224"/>
        <v>291</v>
      </c>
      <c r="DT239" s="551">
        <f t="shared" si="225"/>
        <v>47.616517046567068</v>
      </c>
      <c r="DU239" s="553">
        <f>DT239/PI()*SQRT('Hilfstabellen_Mat&amp;Bem'!f.Rd.3/'Hilfstabellen_Mat&amp;Bem'!$BD$30)</f>
        <v>0.75784040607806469</v>
      </c>
      <c r="DV239" s="553">
        <f>0.5*(1+'Hilfstabellen_Mat&amp;Bem'!$BD$31*(DU239-0.3)+DU239^2)</f>
        <v>0.81005306084618622</v>
      </c>
      <c r="DW239" s="550">
        <f t="shared" si="226"/>
        <v>0.91226583629010771</v>
      </c>
      <c r="DY239" s="551">
        <f t="shared" si="227"/>
        <v>77251.58328288261</v>
      </c>
      <c r="EB239" s="547">
        <f>'Hilfstabellen_Mat&amp;Bem'!$J$64</f>
        <v>4.0999999999999996</v>
      </c>
      <c r="EC239" s="546">
        <f t="shared" si="228"/>
        <v>291</v>
      </c>
      <c r="ED239" s="551">
        <f t="shared" si="229"/>
        <v>48.806929972731247</v>
      </c>
      <c r="EE239" s="553">
        <f>ED239/PI()*SQRT('Hilfstabellen_Mat&amp;Bem'!f.Rd.3/'Hilfstabellen_Mat&amp;Bem'!$BD$30)</f>
        <v>0.77678641623001632</v>
      </c>
      <c r="EF239" s="553">
        <f>0.5*(1+'Hilfstabellen_Mat&amp;Bem'!$BD$31*(EE239-0.3)+EE239^2)</f>
        <v>0.82553788903123693</v>
      </c>
      <c r="EG239" s="550">
        <f t="shared" si="230"/>
        <v>0.90495305621966993</v>
      </c>
      <c r="EI239" s="551">
        <f t="shared" si="231"/>
        <v>76632.329753737868</v>
      </c>
      <c r="EL239" s="547">
        <f>'Hilfstabellen_Mat&amp;Bem'!$J$65</f>
        <v>4.2</v>
      </c>
      <c r="EM239" s="546">
        <f t="shared" si="232"/>
        <v>291</v>
      </c>
      <c r="EN239" s="551">
        <f t="shared" si="233"/>
        <v>49.997342898895425</v>
      </c>
      <c r="EO239" s="553">
        <f>EN239/PI()*SQRT('Hilfstabellen_Mat&amp;Bem'!f.Rd.3/'Hilfstabellen_Mat&amp;Bem'!$BD$30)</f>
        <v>0.79573242638196795</v>
      </c>
      <c r="EP239" s="553">
        <f>0.5*(1+'Hilfstabellen_Mat&amp;Bem'!$BD$31*(EO239-0.3)+EO239^2)</f>
        <v>0.84138166851696539</v>
      </c>
      <c r="EQ239" s="550">
        <f t="shared" si="234"/>
        <v>0.89705804004490841</v>
      </c>
      <c r="ES239" s="551">
        <f t="shared" si="235"/>
        <v>75963.771889042895</v>
      </c>
    </row>
    <row r="240" spans="3:149">
      <c r="C240" s="546">
        <v>292</v>
      </c>
      <c r="D240" s="551">
        <f t="shared" si="190"/>
        <v>33.217412747896269</v>
      </c>
      <c r="E240" s="553">
        <f>$D240/PI()*SQRT('Hilfstabellen_Mat&amp;Bem'!f.Rd.3/'Hilfstabellen_Mat&amp;Bem'!$BD$30)</f>
        <v>0.52867154355514301</v>
      </c>
      <c r="F240" s="553">
        <f>0.5*(1+'Hilfstabellen_Mat&amp;Bem'!$BD$31*($E240-0.3)+$E240^2)</f>
        <v>0.65118037766024595</v>
      </c>
      <c r="G240" s="550">
        <f t="shared" si="191"/>
        <v>0.96958645196587145</v>
      </c>
      <c r="I240" s="551">
        <f t="shared" si="236"/>
        <v>82670.819240418059</v>
      </c>
      <c r="M240" s="546">
        <f t="shared" si="192"/>
        <v>292</v>
      </c>
      <c r="N240" s="551">
        <f t="shared" si="182"/>
        <v>34.403748917464</v>
      </c>
      <c r="O240" s="553">
        <f>$N240/PI()*SQRT('Hilfstabellen_Mat&amp;Bem'!f.Rd.3/'Hilfstabellen_Mat&amp;Bem'!$BD$30)</f>
        <v>0.54755267011068387</v>
      </c>
      <c r="P240" s="553">
        <f>0.5*(1+'Hilfstabellen_Mat&amp;Bem'!$BD$31*($O240-0.3)+$O240^2)</f>
        <v>0.66228459677820395</v>
      </c>
      <c r="Q240" s="550">
        <f t="shared" si="183"/>
        <v>0.96632113936822062</v>
      </c>
      <c r="S240" s="551">
        <f t="shared" si="237"/>
        <v>82392.405627091968</v>
      </c>
      <c r="W240" s="546">
        <f t="shared" si="193"/>
        <v>292</v>
      </c>
      <c r="X240" s="551">
        <f t="shared" si="184"/>
        <v>35.590085087031724</v>
      </c>
      <c r="Y240" s="553">
        <f>$X240/PI()*SQRT('Hilfstabellen_Mat&amp;Bem'!f.Rd.3/'Hilfstabellen_Mat&amp;Bem'!$BD$30)</f>
        <v>0.56643379666622473</v>
      </c>
      <c r="Z240" s="553">
        <f>0.5*(1+'Hilfstabellen_Mat&amp;Bem'!$BD$31*($Y240-0.3)+$Y240^2)</f>
        <v>0.67374531283616834</v>
      </c>
      <c r="AA240" s="550">
        <f t="shared" si="185"/>
        <v>0.96287707577774162</v>
      </c>
      <c r="AC240" s="551">
        <f t="shared" si="238"/>
        <v>82098.750989113367</v>
      </c>
      <c r="AG240" s="546">
        <f t="shared" si="194"/>
        <v>292</v>
      </c>
      <c r="AH240" s="551">
        <f t="shared" si="186"/>
        <v>36.776421256599448</v>
      </c>
      <c r="AI240" s="553">
        <f>$AH240/PI()*SQRT('Hilfstabellen_Mat&amp;Bem'!f.Rd.3/'Hilfstabellen_Mat&amp;Bem'!$BD$30)</f>
        <v>0.58531492322176548</v>
      </c>
      <c r="AJ240" s="553">
        <f>0.5*(1+'Hilfstabellen_Mat&amp;Bem'!$BD$31*($AI240-0.3)+$AI240^2)</f>
        <v>0.68556252583413879</v>
      </c>
      <c r="AK240" s="550">
        <f t="shared" si="187"/>
        <v>0.95923511827188235</v>
      </c>
      <c r="AM240" s="551">
        <f t="shared" si="239"/>
        <v>81788.223124333774</v>
      </c>
      <c r="AQ240" s="546">
        <f t="shared" si="195"/>
        <v>292</v>
      </c>
      <c r="AR240" s="551">
        <f t="shared" si="188"/>
        <v>37.962757426167173</v>
      </c>
      <c r="AS240" s="553">
        <f>$AR240/PI()*SQRT('Hilfstabellen_Mat&amp;Bem'!f.Rd.3/'Hilfstabellen_Mat&amp;Bem'!$BD$30)</f>
        <v>0.60419604977730634</v>
      </c>
      <c r="AT240" s="553">
        <f>0.5*(1+'Hilfstabellen_Mat&amp;Bem'!$BD$31*($AS240-0.3)+$AS240^2)</f>
        <v>0.69773623577211596</v>
      </c>
      <c r="AU240" s="550">
        <f t="shared" si="189"/>
        <v>0.95537406666402747</v>
      </c>
      <c r="AW240" s="551">
        <f t="shared" si="240"/>
        <v>81459.01442004164</v>
      </c>
      <c r="AZ240" s="547">
        <f>'Hilfstabellen_Mat&amp;Bem'!$J$56</f>
        <v>3.3</v>
      </c>
      <c r="BA240" s="546">
        <f t="shared" si="196"/>
        <v>292</v>
      </c>
      <c r="BB240" s="551">
        <f t="shared" si="197"/>
        <v>39.149093595734897</v>
      </c>
      <c r="BC240" s="553">
        <f>BB240/PI()*SQRT('Hilfstabellen_Mat&amp;Bem'!f.Rd.3/'Hilfstabellen_Mat&amp;Bem'!$BD$30)</f>
        <v>0.62307717633284732</v>
      </c>
      <c r="BD240" s="553">
        <f>0.5*(1+'Hilfstabellen_Mat&amp;Bem'!$BD$31*(BC240-0.3)+BC240^2)</f>
        <v>0.71026644265009942</v>
      </c>
      <c r="BE240" s="550">
        <f t="shared" si="198"/>
        <v>0.95127045389249221</v>
      </c>
      <c r="BG240" s="551">
        <f t="shared" si="199"/>
        <v>81109.123980689459</v>
      </c>
      <c r="BJ240" s="547">
        <f>'Hilfstabellen_Mat&amp;Bem'!$J$57</f>
        <v>3.4</v>
      </c>
      <c r="BK240" s="546">
        <f t="shared" si="200"/>
        <v>292</v>
      </c>
      <c r="BL240" s="551">
        <f t="shared" si="201"/>
        <v>40.335429765302621</v>
      </c>
      <c r="BM240" s="553">
        <f>BL240/PI()*SQRT('Hilfstabellen_Mat&amp;Bem'!f.Rd.3/'Hilfstabellen_Mat&amp;Bem'!$BD$30)</f>
        <v>0.64195830288838807</v>
      </c>
      <c r="BN240" s="553">
        <f>0.5*(1+'Hilfstabellen_Mat&amp;Bem'!$BD$31*(BM240-0.3)+BM240^2)</f>
        <v>0.72315314646808915</v>
      </c>
      <c r="BO240" s="550">
        <f t="shared" si="202"/>
        <v>0.94689833824155345</v>
      </c>
      <c r="BQ240" s="551">
        <f t="shared" si="203"/>
        <v>80736.339911827818</v>
      </c>
      <c r="BT240" s="547">
        <f>'Hilfstabellen_Mat&amp;Bem'!$J$58</f>
        <v>3.5</v>
      </c>
      <c r="BU240" s="546">
        <f t="shared" si="204"/>
        <v>292</v>
      </c>
      <c r="BV240" s="551">
        <f t="shared" si="205"/>
        <v>41.521765934870345</v>
      </c>
      <c r="BW240" s="553">
        <f>BV240/PI()*SQRT('Hilfstabellen_Mat&amp;Bem'!f.Rd.3/'Hilfstabellen_Mat&amp;Bem'!$BD$30)</f>
        <v>0.66083942944392893</v>
      </c>
      <c r="BX240" s="553">
        <f>0.5*(1+'Hilfstabellen_Mat&amp;Bem'!$BD$31*(BW240-0.3)+BW240^2)</f>
        <v>0.73639634722608516</v>
      </c>
      <c r="BY240" s="550">
        <f t="shared" si="206"/>
        <v>0.94222911025955047</v>
      </c>
      <c r="CA240" s="551">
        <f t="shared" si="207"/>
        <v>80338.222857170316</v>
      </c>
      <c r="CD240" s="547">
        <f>'Hilfstabellen_Mat&amp;Bem'!$J$59</f>
        <v>3.6</v>
      </c>
      <c r="CE240" s="546">
        <f t="shared" si="208"/>
        <v>292</v>
      </c>
      <c r="CF240" s="551">
        <f t="shared" si="209"/>
        <v>42.708102104438069</v>
      </c>
      <c r="CG240" s="553">
        <f>CF240/PI()*SQRT('Hilfstabellen_Mat&amp;Bem'!f.Rd.3/'Hilfstabellen_Mat&amp;Bem'!$BD$30)</f>
        <v>0.67972055599946968</v>
      </c>
      <c r="CH240" s="553">
        <f>0.5*(1+'Hilfstabellen_Mat&amp;Bem'!$BD$31*(CG240-0.3)+CG240^2)</f>
        <v>0.74999604492408756</v>
      </c>
      <c r="CI240" s="550">
        <f t="shared" si="210"/>
        <v>0.93723133353097965</v>
      </c>
      <c r="CK240" s="551">
        <f t="shared" si="211"/>
        <v>79912.092422185451</v>
      </c>
      <c r="CN240" s="547">
        <f>'Hilfstabellen_Mat&amp;Bem'!$J$60</f>
        <v>3.7</v>
      </c>
      <c r="CO240" s="546">
        <f t="shared" si="212"/>
        <v>292</v>
      </c>
      <c r="CP240" s="551">
        <f t="shared" si="213"/>
        <v>43.894438274005793</v>
      </c>
      <c r="CQ240" s="553">
        <f>CP240/PI()*SQRT('Hilfstabellen_Mat&amp;Bem'!f.Rd.3/'Hilfstabellen_Mat&amp;Bem'!$BD$30)</f>
        <v>0.69860168255501054</v>
      </c>
      <c r="CR240" s="553">
        <f>0.5*(1+'Hilfstabellen_Mat&amp;Bem'!$BD$31*(CQ240-0.3)+CQ240^2)</f>
        <v>0.76395223956209635</v>
      </c>
      <c r="CS240" s="550">
        <f t="shared" si="214"/>
        <v>0.93187064671266295</v>
      </c>
      <c r="CU240" s="551">
        <f t="shared" si="215"/>
        <v>79455.018821308491</v>
      </c>
      <c r="CX240" s="547">
        <f>'Hilfstabellen_Mat&amp;Bem'!$J$61</f>
        <v>3.8</v>
      </c>
      <c r="CY240" s="546">
        <f t="shared" si="216"/>
        <v>292</v>
      </c>
      <c r="CZ240" s="551">
        <f t="shared" si="217"/>
        <v>45.080774443573517</v>
      </c>
      <c r="DA240" s="553">
        <f>CZ240/PI()*SQRT('Hilfstabellen_Mat&amp;Bem'!f.Rd.3/'Hilfstabellen_Mat&amp;Bem'!$BD$30)</f>
        <v>0.7174828091105514</v>
      </c>
      <c r="DB240" s="553">
        <f>0.5*(1+'Hilfstabellen_Mat&amp;Bem'!$BD$31*(DA240-0.3)+DA240^2)</f>
        <v>0.77826493114011153</v>
      </c>
      <c r="DC240" s="550">
        <f t="shared" si="218"/>
        <v>0.9261097645971702</v>
      </c>
      <c r="DE240" s="551">
        <f t="shared" si="219"/>
        <v>78963.822968613124</v>
      </c>
      <c r="DH240" s="547">
        <f>'Hilfstabellen_Mat&amp;Bem'!$J$62</f>
        <v>3.9</v>
      </c>
      <c r="DI240" s="546">
        <f t="shared" si="220"/>
        <v>292</v>
      </c>
      <c r="DJ240" s="551">
        <f t="shared" si="221"/>
        <v>46.267110613141242</v>
      </c>
      <c r="DK240" s="553">
        <f>DJ240/PI()*SQRT('Hilfstabellen_Mat&amp;Bem'!f.Rd.3/'Hilfstabellen_Mat&amp;Bem'!$BD$30)</f>
        <v>0.73636393566609215</v>
      </c>
      <c r="DL240" s="553">
        <f>0.5*(1+'Hilfstabellen_Mat&amp;Bem'!$BD$31*(DK240-0.3)+DK240^2)</f>
        <v>0.79293411965813299</v>
      </c>
      <c r="DM240" s="550">
        <f t="shared" si="222"/>
        <v>0.9199086281771488</v>
      </c>
      <c r="DO240" s="551">
        <f t="shared" si="223"/>
        <v>78435.08927289641</v>
      </c>
      <c r="DR240" s="547">
        <f>'Hilfstabellen_Mat&amp;Bem'!$J$63</f>
        <v>4</v>
      </c>
      <c r="DS240" s="546">
        <f t="shared" si="224"/>
        <v>292</v>
      </c>
      <c r="DT240" s="551">
        <f t="shared" si="225"/>
        <v>47.453446782708966</v>
      </c>
      <c r="DU240" s="553">
        <f>DT240/PI()*SQRT('Hilfstabellen_Mat&amp;Bem'!f.Rd.3/'Hilfstabellen_Mat&amp;Bem'!$BD$30)</f>
        <v>0.75524506222163301</v>
      </c>
      <c r="DV240" s="553">
        <f>0.5*(1+'Hilfstabellen_Mat&amp;Bem'!$BD$31*(DU240-0.3)+DU240^2)</f>
        <v>0.80795980511616072</v>
      </c>
      <c r="DW240" s="550">
        <f t="shared" si="226"/>
        <v>0.91322476678279985</v>
      </c>
      <c r="DY240" s="551">
        <f t="shared" si="227"/>
        <v>77865.196514968644</v>
      </c>
      <c r="EB240" s="547">
        <f>'Hilfstabellen_Mat&amp;Bem'!$J$64</f>
        <v>4.0999999999999996</v>
      </c>
      <c r="EC240" s="546">
        <f t="shared" si="228"/>
        <v>292</v>
      </c>
      <c r="ED240" s="551">
        <f t="shared" si="229"/>
        <v>48.63978295227669</v>
      </c>
      <c r="EE240" s="553">
        <f>ED240/PI()*SQRT('Hilfstabellen_Mat&amp;Bem'!f.Rd.3/'Hilfstabellen_Mat&amp;Bem'!$BD$30)</f>
        <v>0.77412618877717376</v>
      </c>
      <c r="EF240" s="553">
        <f>0.5*(1+'Hilfstabellen_Mat&amp;Bem'!$BD$31*(EE240-0.3)+EE240^2)</f>
        <v>0.82334198751419496</v>
      </c>
      <c r="EG240" s="550">
        <f t="shared" si="230"/>
        <v>0.90601394717989137</v>
      </c>
      <c r="EI240" s="551">
        <f t="shared" si="231"/>
        <v>77250.373192346262</v>
      </c>
      <c r="EL240" s="547">
        <f>'Hilfstabellen_Mat&amp;Bem'!$J$65</f>
        <v>4.2</v>
      </c>
      <c r="EM240" s="546">
        <f t="shared" si="232"/>
        <v>292</v>
      </c>
      <c r="EN240" s="551">
        <f t="shared" si="233"/>
        <v>49.826119121844414</v>
      </c>
      <c r="EO240" s="553">
        <f>EN240/PI()*SQRT('Hilfstabellen_Mat&amp;Bem'!f.Rd.3/'Hilfstabellen_Mat&amp;Bem'!$BD$30)</f>
        <v>0.79300731533271462</v>
      </c>
      <c r="EP240" s="553">
        <f>0.5*(1+'Hilfstabellen_Mat&amp;Bem'!$BD$31*(EO240-0.3)+EO240^2)</f>
        <v>0.83908066685223548</v>
      </c>
      <c r="EQ240" s="550">
        <f t="shared" si="234"/>
        <v>0.89823119113658056</v>
      </c>
      <c r="ES240" s="551">
        <f t="shared" si="235"/>
        <v>76586.784281069398</v>
      </c>
    </row>
    <row r="241" spans="3:149">
      <c r="C241" s="546">
        <v>293</v>
      </c>
      <c r="D241" s="551">
        <f t="shared" si="190"/>
        <v>33.104042738517791</v>
      </c>
      <c r="E241" s="553">
        <f>$D241/PI()*SQRT('Hilfstabellen_Mat&amp;Bem'!f.Rd.3/'Hilfstabellen_Mat&amp;Bem'!$BD$30)</f>
        <v>0.52686720381604701</v>
      </c>
      <c r="F241" s="553">
        <f>0.5*(1+'Hilfstabellen_Mat&amp;Bem'!$BD$31*($E241-0.3)+$E241^2)</f>
        <v>0.65013788541927242</v>
      </c>
      <c r="G241" s="550">
        <f t="shared" si="191"/>
        <v>0.96988978479238919</v>
      </c>
      <c r="I241" s="551">
        <f t="shared" si="236"/>
        <v>83264.068134641813</v>
      </c>
      <c r="M241" s="546">
        <f t="shared" si="192"/>
        <v>293</v>
      </c>
      <c r="N241" s="551">
        <f t="shared" si="182"/>
        <v>34.286329979179143</v>
      </c>
      <c r="O241" s="553">
        <f>$N241/PI()*SQRT('Hilfstabellen_Mat&amp;Bem'!f.Rd.3/'Hilfstabellen_Mat&amp;Bem'!$BD$30)</f>
        <v>0.54568388966662018</v>
      </c>
      <c r="P241" s="553">
        <f>0.5*(1+'Hilfstabellen_Mat&amp;Bem'!$BD$31*($O241-0.3)+$O241^2)</f>
        <v>0.66116964820417701</v>
      </c>
      <c r="Q241" s="550">
        <f t="shared" si="183"/>
        <v>0.96665200164585063</v>
      </c>
      <c r="S241" s="551">
        <f t="shared" si="237"/>
        <v>82986.107689294629</v>
      </c>
      <c r="W241" s="546">
        <f t="shared" si="193"/>
        <v>293</v>
      </c>
      <c r="X241" s="551">
        <f t="shared" si="184"/>
        <v>35.468617219840489</v>
      </c>
      <c r="Y241" s="553">
        <f>$X241/PI()*SQRT('Hilfstabellen_Mat&amp;Bem'!f.Rd.3/'Hilfstabellen_Mat&amp;Bem'!$BD$30)</f>
        <v>0.56450057551719324</v>
      </c>
      <c r="Z241" s="553">
        <f>0.5*(1+'Hilfstabellen_Mat&amp;Bem'!$BD$31*($Y241-0.3)+$Y241^2)</f>
        <v>0.67255547865548082</v>
      </c>
      <c r="AA241" s="550">
        <f t="shared" si="185"/>
        <v>0.96323846502297661</v>
      </c>
      <c r="AC241" s="551">
        <f t="shared" si="238"/>
        <v>82693.058983757524</v>
      </c>
      <c r="AG241" s="546">
        <f t="shared" si="194"/>
        <v>293</v>
      </c>
      <c r="AH241" s="551">
        <f t="shared" si="186"/>
        <v>36.650904460501842</v>
      </c>
      <c r="AI241" s="553">
        <f>$AH241/PI()*SQRT('Hilfstabellen_Mat&amp;Bem'!f.Rd.3/'Hilfstabellen_Mat&amp;Bem'!$BD$30)</f>
        <v>0.5833172613677664</v>
      </c>
      <c r="AJ241" s="553">
        <f>0.5*(1+'Hilfstabellen_Mat&amp;Bem'!$BD$31*($AI241-0.3)+$AI241^2)</f>
        <v>0.68429537677318386</v>
      </c>
      <c r="AK241" s="550">
        <f t="shared" si="187"/>
        <v>0.95963042122205888</v>
      </c>
      <c r="AM241" s="551">
        <f t="shared" si="239"/>
        <v>82383.312031492533</v>
      </c>
      <c r="AQ241" s="546">
        <f t="shared" si="195"/>
        <v>293</v>
      </c>
      <c r="AR241" s="551">
        <f t="shared" si="188"/>
        <v>37.833191701163187</v>
      </c>
      <c r="AS241" s="553">
        <f>$AR241/PI()*SQRT('Hilfstabellen_Mat&amp;Bem'!f.Rd.3/'Hilfstabellen_Mat&amp;Bem'!$BD$30)</f>
        <v>0.60213394721833946</v>
      </c>
      <c r="AT241" s="553">
        <f>0.5*(1+'Hilfstabellen_Mat&amp;Bem'!$BD$31*($AS241-0.3)+$AS241^2)</f>
        <v>0.69638934255728602</v>
      </c>
      <c r="AU241" s="550">
        <f t="shared" si="189"/>
        <v>0.95580710814598158</v>
      </c>
      <c r="AW241" s="551">
        <f t="shared" si="240"/>
        <v>82055.08442722437</v>
      </c>
      <c r="AZ241" s="547">
        <f>'Hilfstabellen_Mat&amp;Bem'!$J$56</f>
        <v>3.3</v>
      </c>
      <c r="BA241" s="546">
        <f t="shared" si="196"/>
        <v>293</v>
      </c>
      <c r="BB241" s="551">
        <f t="shared" si="197"/>
        <v>39.015478941824533</v>
      </c>
      <c r="BC241" s="553">
        <f>BB241/PI()*SQRT('Hilfstabellen_Mat&amp;Bem'!f.Rd.3/'Hilfstabellen_Mat&amp;Bem'!$BD$30)</f>
        <v>0.62095063306891252</v>
      </c>
      <c r="BD241" s="553">
        <f>0.5*(1+'Hilfstabellen_Mat&amp;Bem'!$BD$31*(BC241-0.3)+BC241^2)</f>
        <v>0.70883737600778729</v>
      </c>
      <c r="BE241" s="550">
        <f t="shared" si="198"/>
        <v>0.95174554957603963</v>
      </c>
      <c r="BG241" s="551">
        <f t="shared" si="199"/>
        <v>81706.403685553421</v>
      </c>
      <c r="BJ241" s="547">
        <f>'Hilfstabellen_Mat&amp;Bem'!$J$57</f>
        <v>3.4</v>
      </c>
      <c r="BK241" s="546">
        <f t="shared" si="200"/>
        <v>293</v>
      </c>
      <c r="BL241" s="551">
        <f t="shared" si="201"/>
        <v>40.197766182485886</v>
      </c>
      <c r="BM241" s="553">
        <f>BL241/PI()*SQRT('Hilfstabellen_Mat&amp;Bem'!f.Rd.3/'Hilfstabellen_Mat&amp;Bem'!$BD$30)</f>
        <v>0.63976731891948568</v>
      </c>
      <c r="BN241" s="553">
        <f>0.5*(1+'Hilfstabellen_Mat&amp;Bem'!$BD$31*(BM241-0.3)+BM241^2)</f>
        <v>0.72163947712468779</v>
      </c>
      <c r="BO241" s="550">
        <f t="shared" si="202"/>
        <v>0.94742035019041815</v>
      </c>
      <c r="BQ241" s="551">
        <f t="shared" si="203"/>
        <v>81335.089643497209</v>
      </c>
      <c r="BT241" s="547">
        <f>'Hilfstabellen_Mat&amp;Bem'!$J$58</f>
        <v>3.5</v>
      </c>
      <c r="BU241" s="546">
        <f t="shared" si="204"/>
        <v>293</v>
      </c>
      <c r="BV241" s="551">
        <f t="shared" si="205"/>
        <v>41.380053423147231</v>
      </c>
      <c r="BW241" s="553">
        <f>BV241/PI()*SQRT('Hilfstabellen_Mat&amp;Bem'!f.Rd.3/'Hilfstabellen_Mat&amp;Bem'!$BD$30)</f>
        <v>0.65858400477005874</v>
      </c>
      <c r="BX241" s="553">
        <f>0.5*(1+'Hilfstabellen_Mat&amp;Bem'!$BD$31*(BW241-0.3)+BW241^2)</f>
        <v>0.7347956459079874</v>
      </c>
      <c r="BY241" s="550">
        <f t="shared" si="206"/>
        <v>0.94280350332688601</v>
      </c>
      <c r="CA241" s="551">
        <f t="shared" si="207"/>
        <v>80938.737957109843</v>
      </c>
      <c r="CD241" s="547">
        <f>'Hilfstabellen_Mat&amp;Bem'!$J$59</f>
        <v>3.6</v>
      </c>
      <c r="CE241" s="546">
        <f t="shared" si="208"/>
        <v>293</v>
      </c>
      <c r="CF241" s="551">
        <f t="shared" si="209"/>
        <v>42.562340663808584</v>
      </c>
      <c r="CG241" s="553">
        <f>CF241/PI()*SQRT('Hilfstabellen_Mat&amp;Bem'!f.Rd.3/'Hilfstabellen_Mat&amp;Bem'!$BD$30)</f>
        <v>0.6774006906206318</v>
      </c>
      <c r="CH241" s="553">
        <f>0.5*(1+'Hilfstabellen_Mat&amp;Bem'!$BD$31*(CG241-0.3)+CG241^2)</f>
        <v>0.74830588235768614</v>
      </c>
      <c r="CI241" s="550">
        <f t="shared" si="210"/>
        <v>0.93786422941859926</v>
      </c>
      <c r="CK241" s="551">
        <f t="shared" si="211"/>
        <v>80514.706231357326</v>
      </c>
      <c r="CN241" s="547">
        <f>'Hilfstabellen_Mat&amp;Bem'!$J$60</f>
        <v>3.7</v>
      </c>
      <c r="CO241" s="546">
        <f t="shared" si="212"/>
        <v>293</v>
      </c>
      <c r="CP241" s="551">
        <f t="shared" si="213"/>
        <v>43.744627904469937</v>
      </c>
      <c r="CQ241" s="553">
        <f>CP241/PI()*SQRT('Hilfstabellen_Mat&amp;Bem'!f.Rd.3/'Hilfstabellen_Mat&amp;Bem'!$BD$30)</f>
        <v>0.69621737647120507</v>
      </c>
      <c r="CR241" s="553">
        <f>0.5*(1+'Hilfstabellen_Mat&amp;Bem'!$BD$31*(CQ241-0.3)+CQ241^2)</f>
        <v>0.76217018647378421</v>
      </c>
      <c r="CS241" s="550">
        <f t="shared" si="214"/>
        <v>0.93256887083590678</v>
      </c>
      <c r="CU241" s="551">
        <f t="shared" si="215"/>
        <v>80060.10499239176</v>
      </c>
      <c r="CX241" s="547">
        <f>'Hilfstabellen_Mat&amp;Bem'!$J$61</f>
        <v>3.8</v>
      </c>
      <c r="CY241" s="546">
        <f t="shared" si="216"/>
        <v>293</v>
      </c>
      <c r="CZ241" s="551">
        <f t="shared" si="217"/>
        <v>44.926915145131282</v>
      </c>
      <c r="DA241" s="553">
        <f>CZ241/PI()*SQRT('Hilfstabellen_Mat&amp;Bem'!f.Rd.3/'Hilfstabellen_Mat&amp;Bem'!$BD$30)</f>
        <v>0.71503406232177813</v>
      </c>
      <c r="DB241" s="553">
        <f>0.5*(1+'Hilfstabellen_Mat&amp;Bem'!$BD$31*(DA241-0.3)+DA241^2)</f>
        <v>0.77638855825628106</v>
      </c>
      <c r="DC241" s="550">
        <f t="shared" si="218"/>
        <v>0.92688087870657865</v>
      </c>
      <c r="DE241" s="551">
        <f t="shared" si="219"/>
        <v>79571.79655608107</v>
      </c>
      <c r="DH241" s="547">
        <f>'Hilfstabellen_Mat&amp;Bem'!$J$62</f>
        <v>3.9</v>
      </c>
      <c r="DI241" s="546">
        <f t="shared" si="220"/>
        <v>293</v>
      </c>
      <c r="DJ241" s="551">
        <f t="shared" si="221"/>
        <v>46.109202385792635</v>
      </c>
      <c r="DK241" s="553">
        <f>DJ241/PI()*SQRT('Hilfstabellen_Mat&amp;Bem'!f.Rd.3/'Hilfstabellen_Mat&amp;Bem'!$BD$30)</f>
        <v>0.73385074817235119</v>
      </c>
      <c r="DL241" s="553">
        <f>0.5*(1+'Hilfstabellen_Mat&amp;Bem'!$BD$31*(DK241-0.3)+DK241^2)</f>
        <v>0.79096099770517736</v>
      </c>
      <c r="DM241" s="550">
        <f t="shared" si="222"/>
        <v>0.92076093898572509</v>
      </c>
      <c r="DO241" s="551">
        <f t="shared" si="223"/>
        <v>79046.405850985509</v>
      </c>
      <c r="DR241" s="547">
        <f>'Hilfstabellen_Mat&amp;Bem'!$J$63</f>
        <v>4</v>
      </c>
      <c r="DS241" s="546">
        <f t="shared" si="224"/>
        <v>293</v>
      </c>
      <c r="DT241" s="551">
        <f t="shared" si="225"/>
        <v>47.291489626453988</v>
      </c>
      <c r="DU241" s="553">
        <f>DT241/PI()*SQRT('Hilfstabellen_Mat&amp;Bem'!f.Rd.3/'Hilfstabellen_Mat&amp;Bem'!$BD$30)</f>
        <v>0.75266743402292446</v>
      </c>
      <c r="DV241" s="553">
        <f>0.5*(1+'Hilfstabellen_Mat&amp;Bem'!$BD$31*(DU241-0.3)+DU241^2)</f>
        <v>0.80588750482047289</v>
      </c>
      <c r="DW241" s="550">
        <f t="shared" si="226"/>
        <v>0.91416729777529326</v>
      </c>
      <c r="DY241" s="551">
        <f t="shared" si="227"/>
        <v>78480.348346711151</v>
      </c>
      <c r="EB241" s="547">
        <f>'Hilfstabellen_Mat&amp;Bem'!$J$64</f>
        <v>4.0999999999999996</v>
      </c>
      <c r="EC241" s="546">
        <f t="shared" si="228"/>
        <v>293</v>
      </c>
      <c r="ED241" s="551">
        <f t="shared" si="229"/>
        <v>48.473776867115333</v>
      </c>
      <c r="EE241" s="553">
        <f>ED241/PI()*SQRT('Hilfstabellen_Mat&amp;Bem'!f.Rd.3/'Hilfstabellen_Mat&amp;Bem'!$BD$30)</f>
        <v>0.77148411987349741</v>
      </c>
      <c r="EF241" s="553">
        <f>0.5*(1+'Hilfstabellen_Mat&amp;Bem'!$BD$31*(EE241-0.3)+EE241^2)</f>
        <v>0.82116807960216742</v>
      </c>
      <c r="EG241" s="550">
        <f t="shared" si="230"/>
        <v>0.90705635772509974</v>
      </c>
      <c r="EI241" s="551">
        <f t="shared" si="231"/>
        <v>77869.881254342094</v>
      </c>
      <c r="EL241" s="547">
        <f>'Hilfstabellen_Mat&amp;Bem'!$J$65</f>
        <v>4.2</v>
      </c>
      <c r="EM241" s="546">
        <f t="shared" si="232"/>
        <v>293</v>
      </c>
      <c r="EN241" s="551">
        <f t="shared" si="233"/>
        <v>49.656064107776686</v>
      </c>
      <c r="EO241" s="553">
        <f>EN241/PI()*SQRT('Hilfstabellen_Mat&amp;Bem'!f.Rd.3/'Hilfstabellen_Mat&amp;Bem'!$BD$30)</f>
        <v>0.79030080572407058</v>
      </c>
      <c r="EP241" s="553">
        <f>0.5*(1+'Hilfstabellen_Mat&amp;Bem'!$BD$31*(EO241-0.3)+EO241^2)</f>
        <v>0.83680272205026118</v>
      </c>
      <c r="EQ241" s="550">
        <f t="shared" si="234"/>
        <v>0.89938362474364897</v>
      </c>
      <c r="ES241" s="551">
        <f t="shared" si="235"/>
        <v>77211.184800617513</v>
      </c>
    </row>
    <row r="242" spans="3:149">
      <c r="C242" s="546">
        <v>294</v>
      </c>
      <c r="D242" s="551">
        <f t="shared" si="190"/>
        <v>32.991443953692901</v>
      </c>
      <c r="E242" s="553">
        <f>$D242/PI()*SQRT('Hilfstabellen_Mat&amp;Bem'!f.Rd.3/'Hilfstabellen_Mat&amp;Bem'!$BD$30)</f>
        <v>0.52507513849694487</v>
      </c>
      <c r="F242" s="553">
        <f>0.5*(1+'Hilfstabellen_Mat&amp;Bem'!$BD$31*($E242-0.3)+$E242^2)</f>
        <v>0.64910570745864016</v>
      </c>
      <c r="G242" s="550">
        <f t="shared" si="191"/>
        <v>0.97018960993554149</v>
      </c>
      <c r="I242" s="551">
        <f t="shared" si="236"/>
        <v>83859.30912438847</v>
      </c>
      <c r="M242" s="546">
        <f t="shared" si="192"/>
        <v>294</v>
      </c>
      <c r="N242" s="551">
        <f t="shared" si="182"/>
        <v>34.169709809181931</v>
      </c>
      <c r="O242" s="553">
        <f>$N242/PI()*SQRT('Hilfstabellen_Mat&amp;Bem'!f.Rd.3/'Hilfstabellen_Mat&amp;Bem'!$BD$30)</f>
        <v>0.54382782201469293</v>
      </c>
      <c r="P242" s="553">
        <f>0.5*(1+'Hilfstabellen_Mat&amp;Bem'!$BD$31*($O242-0.3)+$O242^2)</f>
        <v>0.6600657410993569</v>
      </c>
      <c r="Q242" s="550">
        <f t="shared" si="183"/>
        <v>0.96697889868479914</v>
      </c>
      <c r="S242" s="551">
        <f t="shared" si="237"/>
        <v>83581.788086719302</v>
      </c>
      <c r="W242" s="546">
        <f t="shared" si="193"/>
        <v>294</v>
      </c>
      <c r="X242" s="551">
        <f t="shared" si="184"/>
        <v>35.347975664670962</v>
      </c>
      <c r="Y242" s="553">
        <f>$X242/PI()*SQRT('Hilfstabellen_Mat&amp;Bem'!f.Rd.3/'Hilfstabellen_Mat&amp;Bem'!$BD$30)</f>
        <v>0.56258050553244088</v>
      </c>
      <c r="Z242" s="553">
        <f>0.5*(1+'Hilfstabellen_Mat&amp;Bem'!$BD$31*($Y242-0.3)+$Y242^2)</f>
        <v>0.67137743787919046</v>
      </c>
      <c r="AA242" s="550">
        <f t="shared" si="185"/>
        <v>0.96359536531102441</v>
      </c>
      <c r="AC242" s="551">
        <f t="shared" si="238"/>
        <v>83289.328996023702</v>
      </c>
      <c r="AG242" s="546">
        <f t="shared" si="194"/>
        <v>294</v>
      </c>
      <c r="AH242" s="551">
        <f t="shared" si="186"/>
        <v>36.526241520159999</v>
      </c>
      <c r="AI242" s="553">
        <f>$AH242/PI()*SQRT('Hilfstabellen_Mat&amp;Bem'!f.Rd.3/'Hilfstabellen_Mat&amp;Bem'!$BD$30)</f>
        <v>0.58133318905018905</v>
      </c>
      <c r="AJ242" s="553">
        <f>0.5*(1+'Hilfstabellen_Mat&amp;Bem'!$BD$31*($AI242-0.3)+$AI242^2)</f>
        <v>0.68304079779814075</v>
      </c>
      <c r="AK242" s="550">
        <f t="shared" si="187"/>
        <v>0.9600206354416797</v>
      </c>
      <c r="AM242" s="551">
        <f t="shared" si="239"/>
        <v>82980.343645037021</v>
      </c>
      <c r="AQ242" s="546">
        <f t="shared" si="195"/>
        <v>294</v>
      </c>
      <c r="AR242" s="551">
        <f t="shared" si="188"/>
        <v>37.70450737564903</v>
      </c>
      <c r="AS242" s="553">
        <f>$AR242/PI()*SQRT('Hilfstabellen_Mat&amp;Bem'!f.Rd.3/'Hilfstabellen_Mat&amp;Bem'!$BD$30)</f>
        <v>0.600085872567937</v>
      </c>
      <c r="AT242" s="553">
        <f>0.5*(1+'Hilfstabellen_Mat&amp;Bem'!$BD$31*($AS242-0.3)+$AS242^2)</f>
        <v>0.69505582085620798</v>
      </c>
      <c r="AU242" s="550">
        <f t="shared" si="189"/>
        <v>0.95623437392531341</v>
      </c>
      <c r="AW242" s="551">
        <f t="shared" si="240"/>
        <v>82653.074344608394</v>
      </c>
      <c r="AZ242" s="547">
        <f>'Hilfstabellen_Mat&amp;Bem'!$J$56</f>
        <v>3.3</v>
      </c>
      <c r="BA242" s="546">
        <f t="shared" si="196"/>
        <v>294</v>
      </c>
      <c r="BB242" s="551">
        <f t="shared" si="197"/>
        <v>38.88277323113806</v>
      </c>
      <c r="BC242" s="553">
        <f>BB242/PI()*SQRT('Hilfstabellen_Mat&amp;Bem'!f.Rd.3/'Hilfstabellen_Mat&amp;Bem'!$BD$30)</f>
        <v>0.61883855608568494</v>
      </c>
      <c r="BD242" s="553">
        <f>0.5*(1+'Hilfstabellen_Mat&amp;Bem'!$BD$31*(BC242-0.3)+BC242^2)</f>
        <v>0.70742250705339194</v>
      </c>
      <c r="BE242" s="550">
        <f t="shared" si="198"/>
        <v>0.95221408298594412</v>
      </c>
      <c r="BG242" s="551">
        <f t="shared" si="199"/>
        <v>82305.576476973059</v>
      </c>
      <c r="BJ242" s="547">
        <f>'Hilfstabellen_Mat&amp;Bem'!$J$57</f>
        <v>3.4</v>
      </c>
      <c r="BK242" s="546">
        <f t="shared" si="200"/>
        <v>294</v>
      </c>
      <c r="BL242" s="551">
        <f t="shared" si="201"/>
        <v>40.06103908662709</v>
      </c>
      <c r="BM242" s="553">
        <f>BL242/PI()*SQRT('Hilfstabellen_Mat&amp;Bem'!f.Rd.3/'Hilfstabellen_Mat&amp;Bem'!$BD$30)</f>
        <v>0.637591239603433</v>
      </c>
      <c r="BN242" s="553">
        <f>0.5*(1+'Hilfstabellen_Mat&amp;Bem'!$BD$31*(BM242-0.3)+BM242^2)</f>
        <v>0.72014085638969272</v>
      </c>
      <c r="BO242" s="550">
        <f t="shared" si="202"/>
        <v>0.94793490013290804</v>
      </c>
      <c r="BQ242" s="551">
        <f t="shared" si="203"/>
        <v>81935.701027888033</v>
      </c>
      <c r="BT242" s="547">
        <f>'Hilfstabellen_Mat&amp;Bem'!$J$58</f>
        <v>3.5</v>
      </c>
      <c r="BU242" s="546">
        <f t="shared" si="204"/>
        <v>294</v>
      </c>
      <c r="BV242" s="551">
        <f t="shared" si="205"/>
        <v>41.239304942116128</v>
      </c>
      <c r="BW242" s="553">
        <f>BV242/PI()*SQRT('Hilfstabellen_Mat&amp;Bem'!f.Rd.3/'Hilfstabellen_Mat&amp;Bem'!$BD$30)</f>
        <v>0.65634392312118106</v>
      </c>
      <c r="BX242" s="553">
        <f>0.5*(1+'Hilfstabellen_Mat&amp;Bem'!$BD$31*(BW242-0.3)+BW242^2)</f>
        <v>0.73321086886511044</v>
      </c>
      <c r="BY242" s="550">
        <f t="shared" si="206"/>
        <v>0.9433694070165376</v>
      </c>
      <c r="CA242" s="551">
        <f t="shared" si="207"/>
        <v>81541.07806488144</v>
      </c>
      <c r="CD242" s="547">
        <f>'Hilfstabellen_Mat&amp;Bem'!$J$59</f>
        <v>3.6</v>
      </c>
      <c r="CE242" s="546">
        <f t="shared" si="208"/>
        <v>294</v>
      </c>
      <c r="CF242" s="551">
        <f t="shared" si="209"/>
        <v>42.417570797605151</v>
      </c>
      <c r="CG242" s="553">
        <f>CF242/PI()*SQRT('Hilfstabellen_Mat&amp;Bem'!f.Rd.3/'Hilfstabellen_Mat&amp;Bem'!$BD$30)</f>
        <v>0.67509660663892901</v>
      </c>
      <c r="CH242" s="553">
        <f>0.5*(1+'Hilfstabellen_Mat&amp;Bem'!$BD$31*(CG242-0.3)+CG242^2)</f>
        <v>0.74663254447964489</v>
      </c>
      <c r="CI242" s="550">
        <f t="shared" si="210"/>
        <v>0.93848746600709954</v>
      </c>
      <c r="CK242" s="551">
        <f t="shared" si="211"/>
        <v>81119.102611789654</v>
      </c>
      <c r="CN242" s="547">
        <f>'Hilfstabellen_Mat&amp;Bem'!$J$60</f>
        <v>3.7</v>
      </c>
      <c r="CO242" s="546">
        <f t="shared" si="212"/>
        <v>294</v>
      </c>
      <c r="CP242" s="551">
        <f t="shared" si="213"/>
        <v>43.595836653094189</v>
      </c>
      <c r="CQ242" s="553">
        <f>CP242/PI()*SQRT('Hilfstabellen_Mat&amp;Bem'!f.Rd.3/'Hilfstabellen_Mat&amp;Bem'!$BD$30)</f>
        <v>0.69384929015667707</v>
      </c>
      <c r="CR242" s="553">
        <f>0.5*(1+'Hilfstabellen_Mat&amp;Bem'!$BD$31*(CQ242-0.3)+CQ242^2)</f>
        <v>0.76040588323329628</v>
      </c>
      <c r="CS242" s="550">
        <f t="shared" si="214"/>
        <v>0.93325610865177189</v>
      </c>
      <c r="CU242" s="551">
        <f t="shared" si="215"/>
        <v>80666.92500742455</v>
      </c>
      <c r="CX242" s="547">
        <f>'Hilfstabellen_Mat&amp;Bem'!$J$61</f>
        <v>3.8</v>
      </c>
      <c r="CY242" s="546">
        <f t="shared" si="216"/>
        <v>294</v>
      </c>
      <c r="CZ242" s="551">
        <f t="shared" si="217"/>
        <v>44.774102508583219</v>
      </c>
      <c r="DA242" s="553">
        <f>CZ242/PI()*SQRT('Hilfstabellen_Mat&amp;Bem'!f.Rd.3/'Hilfstabellen_Mat&amp;Bem'!$BD$30)</f>
        <v>0.71260197367442513</v>
      </c>
      <c r="DB242" s="553">
        <f>0.5*(1+'Hilfstabellen_Mat&amp;Bem'!$BD$31*(DA242-0.3)+DA242^2)</f>
        <v>0.77453088512606427</v>
      </c>
      <c r="DC242" s="550">
        <f t="shared" si="218"/>
        <v>0.92763950951077456</v>
      </c>
      <c r="DE242" s="551">
        <f t="shared" si="219"/>
        <v>80181.448644073316</v>
      </c>
      <c r="DH242" s="547">
        <f>'Hilfstabellen_Mat&amp;Bem'!$J$62</f>
        <v>3.9</v>
      </c>
      <c r="DI242" s="546">
        <f t="shared" si="220"/>
        <v>294</v>
      </c>
      <c r="DJ242" s="551">
        <f t="shared" si="221"/>
        <v>45.95236836407225</v>
      </c>
      <c r="DK242" s="553">
        <f>DJ242/PI()*SQRT('Hilfstabellen_Mat&amp;Bem'!f.Rd.3/'Hilfstabellen_Mat&amp;Bem'!$BD$30)</f>
        <v>0.73135465719217319</v>
      </c>
      <c r="DL242" s="553">
        <f>0.5*(1+'Hilfstabellen_Mat&amp;Bem'!$BD$31*(DK242-0.3)+DK242^2)</f>
        <v>0.78900755015794921</v>
      </c>
      <c r="DM242" s="550">
        <f t="shared" si="222"/>
        <v>0.92159909007054375</v>
      </c>
      <c r="DO242" s="551">
        <f t="shared" si="223"/>
        <v>79659.338949337514</v>
      </c>
      <c r="DR242" s="547">
        <f>'Hilfstabellen_Mat&amp;Bem'!$J$63</f>
        <v>4</v>
      </c>
      <c r="DS242" s="546">
        <f t="shared" si="224"/>
        <v>294</v>
      </c>
      <c r="DT242" s="551">
        <f t="shared" si="225"/>
        <v>47.13063421956128</v>
      </c>
      <c r="DU242" s="553">
        <f>DT242/PI()*SQRT('Hilfstabellen_Mat&amp;Bem'!f.Rd.3/'Hilfstabellen_Mat&amp;Bem'!$BD$30)</f>
        <v>0.75010734070992113</v>
      </c>
      <c r="DV242" s="553">
        <f>0.5*(1+'Hilfstabellen_Mat&amp;Bem'!$BD$31*(DU242-0.3)+DU242^2)</f>
        <v>0.80383587832895098</v>
      </c>
      <c r="DW242" s="550">
        <f t="shared" si="226"/>
        <v>0.91509380977386245</v>
      </c>
      <c r="DY242" s="551">
        <f t="shared" si="227"/>
        <v>79097.048541613578</v>
      </c>
      <c r="EB242" s="547">
        <f>'Hilfstabellen_Mat&amp;Bem'!$J$64</f>
        <v>4.0999999999999996</v>
      </c>
      <c r="EC242" s="546">
        <f t="shared" si="228"/>
        <v>294</v>
      </c>
      <c r="ED242" s="551">
        <f t="shared" si="229"/>
        <v>48.308900075050317</v>
      </c>
      <c r="EE242" s="553">
        <f>ED242/PI()*SQRT('Hilfstabellen_Mat&amp;Bem'!f.Rd.3/'Hilfstabellen_Mat&amp;Bem'!$BD$30)</f>
        <v>0.7688600242276693</v>
      </c>
      <c r="EF242" s="553">
        <f>0.5*(1+'Hilfstabellen_Mat&amp;Bem'!$BD$31*(EE242-0.3)+EE242^2)</f>
        <v>0.81901586963906947</v>
      </c>
      <c r="EG242" s="550">
        <f t="shared" si="230"/>
        <v>0.90808071298999993</v>
      </c>
      <c r="EI242" s="551">
        <f t="shared" si="231"/>
        <v>78490.864508003637</v>
      </c>
      <c r="EL242" s="547">
        <f>'Hilfstabellen_Mat&amp;Bem'!$J$65</f>
        <v>4.2</v>
      </c>
      <c r="EM242" s="546">
        <f t="shared" si="232"/>
        <v>294</v>
      </c>
      <c r="EN242" s="551">
        <f t="shared" si="233"/>
        <v>49.487165930539348</v>
      </c>
      <c r="EO242" s="553">
        <f>EN242/PI()*SQRT('Hilfstabellen_Mat&amp;Bem'!f.Rd.3/'Hilfstabellen_Mat&amp;Bem'!$BD$30)</f>
        <v>0.78761270774541725</v>
      </c>
      <c r="EP242" s="553">
        <f>0.5*(1+'Hilfstabellen_Mat&amp;Bem'!$BD$31*(EO242-0.3)+EO242^2)</f>
        <v>0.8345475240883049</v>
      </c>
      <c r="EQ242" s="550">
        <f t="shared" si="234"/>
        <v>0.90051580877540705</v>
      </c>
      <c r="ES242" s="551">
        <f t="shared" si="235"/>
        <v>77836.984447311086</v>
      </c>
    </row>
    <row r="243" spans="3:149">
      <c r="C243" s="546">
        <v>295</v>
      </c>
      <c r="D243" s="551">
        <f t="shared" si="190"/>
        <v>32.879608550460041</v>
      </c>
      <c r="E243" s="553">
        <f>$D243/PI()*SQRT('Hilfstabellen_Mat&amp;Bem'!f.Rd.3/'Hilfstabellen_Mat&amp;Bem'!$BD$30)</f>
        <v>0.52329522277322638</v>
      </c>
      <c r="F243" s="553">
        <f>0.5*(1+'Hilfstabellen_Mat&amp;Bem'!$BD$31*($E243-0.3)+$E243^2)</f>
        <v>0.6480837062273016</v>
      </c>
      <c r="G243" s="550">
        <f t="shared" si="191"/>
        <v>0.97048599139504843</v>
      </c>
      <c r="I243" s="551">
        <f t="shared" si="236"/>
        <v>84456.543401154093</v>
      </c>
      <c r="M243" s="546">
        <f t="shared" si="192"/>
        <v>295</v>
      </c>
      <c r="N243" s="551">
        <f t="shared" si="182"/>
        <v>34.053880284405047</v>
      </c>
      <c r="O243" s="553">
        <f>$N243/PI()*SQRT('Hilfstabellen_Mat&amp;Bem'!f.Rd.3/'Hilfstabellen_Mat&amp;Bem'!$BD$30)</f>
        <v>0.54198433787227029</v>
      </c>
      <c r="P243" s="553">
        <f>0.5*(1+'Hilfstabellen_Mat&amp;Bem'!$BD$31*($O243-0.3)+$O243^2)</f>
        <v>0.65897272814303509</v>
      </c>
      <c r="Q243" s="550">
        <f t="shared" si="183"/>
        <v>0.9673019050128836</v>
      </c>
      <c r="S243" s="551">
        <f t="shared" si="237"/>
        <v>84179.448283746198</v>
      </c>
      <c r="W243" s="546">
        <f t="shared" si="193"/>
        <v>295</v>
      </c>
      <c r="X243" s="551">
        <f t="shared" si="184"/>
        <v>35.228152018350045</v>
      </c>
      <c r="Y243" s="553">
        <f>$X243/PI()*SQRT('Hilfstabellen_Mat&amp;Bem'!f.Rd.3/'Hilfstabellen_Mat&amp;Bem'!$BD$30)</f>
        <v>0.56067345297131399</v>
      </c>
      <c r="Z243" s="553">
        <f>0.5*(1+'Hilfstabellen_Mat&amp;Bem'!$BD$31*($Y243-0.3)+$Y243^2)</f>
        <v>0.67021103308195384</v>
      </c>
      <c r="AA243" s="550">
        <f t="shared" si="185"/>
        <v>0.96394786349167327</v>
      </c>
      <c r="AC243" s="551">
        <f t="shared" si="238"/>
        <v>83887.562820362873</v>
      </c>
      <c r="AG243" s="546">
        <f t="shared" si="194"/>
        <v>295</v>
      </c>
      <c r="AH243" s="551">
        <f t="shared" si="186"/>
        <v>36.40242375229505</v>
      </c>
      <c r="AI243" s="553">
        <f>$AH243/PI()*SQRT('Hilfstabellen_Mat&amp;Bem'!f.Rd.3/'Hilfstabellen_Mat&amp;Bem'!$BD$30)</f>
        <v>0.57936256807035791</v>
      </c>
      <c r="AJ243" s="553">
        <f>0.5*(1+'Hilfstabellen_Mat&amp;Bem'!$BD$31*($AI243-0.3)+$AI243^2)</f>
        <v>0.68179862104405797</v>
      </c>
      <c r="AK243" s="550">
        <f t="shared" si="187"/>
        <v>0.96040586218432511</v>
      </c>
      <c r="AM243" s="551">
        <f t="shared" si="239"/>
        <v>83579.320156590897</v>
      </c>
      <c r="AQ243" s="546">
        <f t="shared" si="195"/>
        <v>295</v>
      </c>
      <c r="AR243" s="551">
        <f t="shared" si="188"/>
        <v>37.576695486240048</v>
      </c>
      <c r="AS243" s="553">
        <f>$AR243/PI()*SQRT('Hilfstabellen_Mat&amp;Bem'!f.Rd.3/'Hilfstabellen_Mat&amp;Bem'!$BD$30)</f>
        <v>0.5980516831694016</v>
      </c>
      <c r="AT243" s="553">
        <f>0.5*(1+'Hilfstabellen_Mat&amp;Bem'!$BD$31*($AS243-0.3)+$AS243^2)</f>
        <v>0.69373549202934726</v>
      </c>
      <c r="AU243" s="550">
        <f t="shared" si="189"/>
        <v>0.95665598205862867</v>
      </c>
      <c r="AW243" s="551">
        <f t="shared" si="240"/>
        <v>83252.986838652156</v>
      </c>
      <c r="AZ243" s="547">
        <f>'Hilfstabellen_Mat&amp;Bem'!$J$56</f>
        <v>3.3</v>
      </c>
      <c r="BA243" s="546">
        <f t="shared" si="196"/>
        <v>295</v>
      </c>
      <c r="BB243" s="551">
        <f t="shared" si="197"/>
        <v>38.750967220185053</v>
      </c>
      <c r="BC243" s="553">
        <f>BB243/PI()*SQRT('Hilfstabellen_Mat&amp;Bem'!f.Rd.3/'Hilfstabellen_Mat&amp;Bem'!$BD$30)</f>
        <v>0.61674079826844541</v>
      </c>
      <c r="BD243" s="553">
        <f>0.5*(1+'Hilfstabellen_Mat&amp;Bem'!$BD$31*(BC243-0.3)+BC243^2)</f>
        <v>0.70602164603782191</v>
      </c>
      <c r="BE243" s="550">
        <f t="shared" si="198"/>
        <v>0.95267619172049567</v>
      </c>
      <c r="BG243" s="551">
        <f t="shared" si="199"/>
        <v>82906.645584476137</v>
      </c>
      <c r="BJ243" s="547">
        <f>'Hilfstabellen_Mat&amp;Bem'!$J$57</f>
        <v>3.4</v>
      </c>
      <c r="BK243" s="546">
        <f t="shared" si="200"/>
        <v>295</v>
      </c>
      <c r="BL243" s="551">
        <f t="shared" si="201"/>
        <v>39.925238954130052</v>
      </c>
      <c r="BM243" s="553">
        <f>BL243/PI()*SQRT('Hilfstabellen_Mat&amp;Bem'!f.Rd.3/'Hilfstabellen_Mat&amp;Bem'!$BD$30)</f>
        <v>0.63542991336748922</v>
      </c>
      <c r="BN243" s="553">
        <f>0.5*(1+'Hilfstabellen_Mat&amp;Bem'!$BD$31*(BM243-0.3)+BM243^2)</f>
        <v>0.71865708306948184</v>
      </c>
      <c r="BO243" s="550">
        <f t="shared" si="202"/>
        <v>0.9484421482942369</v>
      </c>
      <c r="BQ243" s="551">
        <f t="shared" si="203"/>
        <v>82538.17795530596</v>
      </c>
      <c r="BT243" s="547">
        <f>'Hilfstabellen_Mat&amp;Bem'!$J$58</f>
        <v>3.5</v>
      </c>
      <c r="BU243" s="546">
        <f t="shared" si="204"/>
        <v>295</v>
      </c>
      <c r="BV243" s="551">
        <f t="shared" si="205"/>
        <v>41.09951068807505</v>
      </c>
      <c r="BW243" s="553">
        <f>BV243/PI()*SQRT('Hilfstabellen_Mat&amp;Bem'!f.Rd.3/'Hilfstabellen_Mat&amp;Bem'!$BD$30)</f>
        <v>0.65411902846653291</v>
      </c>
      <c r="BX243" s="553">
        <f>0.5*(1+'Hilfstabellen_Mat&amp;Bem'!$BD$31*(BW243-0.3)+BW243^2)</f>
        <v>0.73164180312432714</v>
      </c>
      <c r="BY243" s="550">
        <f t="shared" si="206"/>
        <v>0.94392700759369352</v>
      </c>
      <c r="CA243" s="551">
        <f t="shared" si="207"/>
        <v>82145.247835841175</v>
      </c>
      <c r="CD243" s="547">
        <f>'Hilfstabellen_Mat&amp;Bem'!$J$59</f>
        <v>3.6</v>
      </c>
      <c r="CE243" s="546">
        <f t="shared" si="208"/>
        <v>295</v>
      </c>
      <c r="CF243" s="551">
        <f t="shared" si="209"/>
        <v>42.273782422020055</v>
      </c>
      <c r="CG243" s="553">
        <f>CF243/PI()*SQRT('Hilfstabellen_Mat&amp;Bem'!f.Rd.3/'Hilfstabellen_Mat&amp;Bem'!$BD$30)</f>
        <v>0.67280814356557683</v>
      </c>
      <c r="CH243" s="553">
        <f>0.5*(1+'Hilfstabellen_Mat&amp;Bem'!$BD$31*(CG243-0.3)+CG243^2)</f>
        <v>0.74497580620235782</v>
      </c>
      <c r="CI243" s="550">
        <f t="shared" si="210"/>
        <v>0.93910125928213295</v>
      </c>
      <c r="CK243" s="551">
        <f t="shared" si="211"/>
        <v>81725.287089027624</v>
      </c>
      <c r="CN243" s="547">
        <f>'Hilfstabellen_Mat&amp;Bem'!$J$60</f>
        <v>3.7</v>
      </c>
      <c r="CO243" s="546">
        <f t="shared" si="212"/>
        <v>295</v>
      </c>
      <c r="CP243" s="551">
        <f t="shared" si="213"/>
        <v>43.448054155965053</v>
      </c>
      <c r="CQ243" s="553">
        <f>CP243/PI()*SQRT('Hilfstabellen_Mat&amp;Bem'!f.Rd.3/'Hilfstabellen_Mat&amp;Bem'!$BD$30)</f>
        <v>0.69149725866462053</v>
      </c>
      <c r="CR243" s="553">
        <f>0.5*(1+'Hilfstabellen_Mat&amp;Bem'!$BD$31*(CQ243-0.3)+CQ243^2)</f>
        <v>0.75865909230357365</v>
      </c>
      <c r="CS243" s="550">
        <f t="shared" si="214"/>
        <v>0.93393260969114933</v>
      </c>
      <c r="CU243" s="551">
        <f t="shared" si="215"/>
        <v>81275.485358372272</v>
      </c>
      <c r="CX243" s="547">
        <f>'Hilfstabellen_Mat&amp;Bem'!$J$61</f>
        <v>3.8</v>
      </c>
      <c r="CY243" s="546">
        <f t="shared" si="216"/>
        <v>295</v>
      </c>
      <c r="CZ243" s="551">
        <f t="shared" si="217"/>
        <v>44.622325889910051</v>
      </c>
      <c r="DA243" s="553">
        <f>CZ243/PI()*SQRT('Hilfstabellen_Mat&amp;Bem'!f.Rd.3/'Hilfstabellen_Mat&amp;Bem'!$BD$30)</f>
        <v>0.71018637376366422</v>
      </c>
      <c r="DB243" s="553">
        <f>0.5*(1+'Hilfstabellen_Mat&amp;Bem'!$BD$31*(DA243-0.3)+DA243^2)</f>
        <v>0.77269166142797463</v>
      </c>
      <c r="DC243" s="550">
        <f t="shared" si="218"/>
        <v>0.9283859438422617</v>
      </c>
      <c r="DE243" s="551">
        <f t="shared" si="219"/>
        <v>80792.786762872827</v>
      </c>
      <c r="DH243" s="547">
        <f>'Hilfstabellen_Mat&amp;Bem'!$J$62</f>
        <v>3.9</v>
      </c>
      <c r="DI243" s="546">
        <f t="shared" si="220"/>
        <v>295</v>
      </c>
      <c r="DJ243" s="551">
        <f t="shared" si="221"/>
        <v>45.796597623855057</v>
      </c>
      <c r="DK243" s="553">
        <f>DJ243/PI()*SQRT('Hilfstabellen_Mat&amp;Bem'!f.Rd.3/'Hilfstabellen_Mat&amp;Bem'!$BD$30)</f>
        <v>0.72887548886270814</v>
      </c>
      <c r="DL243" s="553">
        <f>0.5*(1+'Hilfstabellen_Mat&amp;Bem'!$BD$31*(DK243-0.3)+DK243^2)</f>
        <v>0.78707351357556132</v>
      </c>
      <c r="DM243" s="550">
        <f t="shared" si="222"/>
        <v>0.92242340892074337</v>
      </c>
      <c r="DO243" s="551">
        <f t="shared" si="223"/>
        <v>80273.897161327695</v>
      </c>
      <c r="DR243" s="547">
        <f>'Hilfstabellen_Mat&amp;Bem'!$J$63</f>
        <v>4</v>
      </c>
      <c r="DS243" s="546">
        <f t="shared" si="224"/>
        <v>295</v>
      </c>
      <c r="DT243" s="551">
        <f t="shared" si="225"/>
        <v>46.970869357800055</v>
      </c>
      <c r="DU243" s="553">
        <f>DT243/PI()*SQRT('Hilfstabellen_Mat&amp;Bem'!f.Rd.3/'Hilfstabellen_Mat&amp;Bem'!$BD$30)</f>
        <v>0.74756460396175184</v>
      </c>
      <c r="DV243" s="553">
        <f>0.5*(1+'Hilfstabellen_Mat&amp;Bem'!$BD$31*(DU243-0.3)+DU243^2)</f>
        <v>0.80180464874633306</v>
      </c>
      <c r="DW243" s="550">
        <f t="shared" si="226"/>
        <v>0.91600467339476555</v>
      </c>
      <c r="DY243" s="551">
        <f t="shared" si="227"/>
        <v>79715.30670217947</v>
      </c>
      <c r="EB243" s="547">
        <f>'Hilfstabellen_Mat&amp;Bem'!$J$64</f>
        <v>4.0999999999999996</v>
      </c>
      <c r="EC243" s="546">
        <f t="shared" si="228"/>
        <v>295</v>
      </c>
      <c r="ED243" s="551">
        <f t="shared" si="229"/>
        <v>48.14514109174506</v>
      </c>
      <c r="EE243" s="553">
        <f>ED243/PI()*SQRT('Hilfstabellen_Mat&amp;Bem'!f.Rd.3/'Hilfstabellen_Mat&amp;Bem'!$BD$30)</f>
        <v>0.76625371906079576</v>
      </c>
      <c r="EF243" s="553">
        <f>0.5*(1+'Hilfstabellen_Mat&amp;Bem'!$BD$31*(EE243-0.3)+EE243^2)</f>
        <v>0.81688506694029028</v>
      </c>
      <c r="EG243" s="550">
        <f t="shared" si="230"/>
        <v>0.90908742765099937</v>
      </c>
      <c r="EI243" s="551">
        <f t="shared" si="231"/>
        <v>79113.333391328226</v>
      </c>
      <c r="EL243" s="547">
        <f>'Hilfstabellen_Mat&amp;Bem'!$J$65</f>
        <v>4.2</v>
      </c>
      <c r="EM243" s="546">
        <f t="shared" si="232"/>
        <v>295</v>
      </c>
      <c r="EN243" s="551">
        <f t="shared" si="233"/>
        <v>49.319412825690058</v>
      </c>
      <c r="EO243" s="553">
        <f>EN243/PI()*SQRT('Hilfstabellen_Mat&amp;Bem'!f.Rd.3/'Hilfstabellen_Mat&amp;Bem'!$BD$30)</f>
        <v>0.78494283415983945</v>
      </c>
      <c r="EP243" s="553">
        <f>0.5*(1+'Hilfstabellen_Mat&amp;Bem'!$BD$31*(EO243-0.3)+EO243^2)</f>
        <v>0.83231476815743266</v>
      </c>
      <c r="EQ243" s="550">
        <f t="shared" si="234"/>
        <v>0.90162820054868553</v>
      </c>
      <c r="ES243" s="551">
        <f t="shared" si="235"/>
        <v>78464.194152749362</v>
      </c>
    </row>
    <row r="244" spans="3:149">
      <c r="C244" s="546">
        <v>296</v>
      </c>
      <c r="D244" s="551">
        <f t="shared" si="190"/>
        <v>32.768528791843622</v>
      </c>
      <c r="E244" s="553">
        <f>$D244/PI()*SQRT('Hilfstabellen_Mat&amp;Bem'!f.Rd.3/'Hilfstabellen_Mat&amp;Bem'!$BD$30)</f>
        <v>0.52152733350710057</v>
      </c>
      <c r="F244" s="553">
        <f>0.5*(1+'Hilfstabellen_Mat&amp;Bem'!$BD$31*($E244-0.3)+$E244^2)</f>
        <v>0.64707174647286836</v>
      </c>
      <c r="G244" s="550">
        <f t="shared" si="191"/>
        <v>0.97077899161300896</v>
      </c>
      <c r="I244" s="551">
        <f t="shared" si="236"/>
        <v>85055.772129165387</v>
      </c>
      <c r="M244" s="546">
        <f t="shared" si="192"/>
        <v>296</v>
      </c>
      <c r="N244" s="551">
        <f t="shared" si="182"/>
        <v>33.938833391552322</v>
      </c>
      <c r="O244" s="553">
        <f>$N244/PI()*SQRT('Hilfstabellen_Mat&amp;Bem'!f.Rd.3/'Hilfstabellen_Mat&amp;Bem'!$BD$30)</f>
        <v>0.54015330970378272</v>
      </c>
      <c r="P244" s="553">
        <f>0.5*(1+'Hilfstabellen_Mat&amp;Bem'!$BD$31*($O244-0.3)+$O244^2)</f>
        <v>0.65789046447716448</v>
      </c>
      <c r="Q244" s="550">
        <f t="shared" si="183"/>
        <v>0.96762109330059842</v>
      </c>
      <c r="S244" s="551">
        <f t="shared" si="237"/>
        <v>84779.089710625238</v>
      </c>
      <c r="W244" s="546">
        <f t="shared" si="193"/>
        <v>296</v>
      </c>
      <c r="X244" s="551">
        <f t="shared" si="184"/>
        <v>35.109137991261022</v>
      </c>
      <c r="Y244" s="553">
        <f>$X244/PI()*SQRT('Hilfstabellen_Mat&amp;Bem'!f.Rd.3/'Hilfstabellen_Mat&amp;Bem'!$BD$30)</f>
        <v>0.55877928590046488</v>
      </c>
      <c r="Z244" s="553">
        <f>0.5*(1+'Hilfstabellen_Mat&amp;Bem'!$BD$31*($Y244-0.3)+$Y244^2)</f>
        <v>0.66905610947074001</v>
      </c>
      <c r="AA244" s="550">
        <f t="shared" si="185"/>
        <v>0.96429604420123838</v>
      </c>
      <c r="AC244" s="551">
        <f t="shared" si="238"/>
        <v>84487.762208735701</v>
      </c>
      <c r="AG244" s="546">
        <f t="shared" si="194"/>
        <v>296</v>
      </c>
      <c r="AH244" s="551">
        <f t="shared" si="186"/>
        <v>36.27944259096973</v>
      </c>
      <c r="AI244" s="553">
        <f>$AH244/PI()*SQRT('Hilfstabellen_Mat&amp;Bem'!f.Rd.3/'Hilfstabellen_Mat&amp;Bem'!$BD$30)</f>
        <v>0.57740526209714715</v>
      </c>
      <c r="AJ244" s="553">
        <f>0.5*(1+'Hilfstabellen_Mat&amp;Bem'!$BD$31*($AI244-0.3)+$AI244^2)</f>
        <v>0.68056868145359495</v>
      </c>
      <c r="AK244" s="550">
        <f t="shared" si="187"/>
        <v>0.96078620006859328</v>
      </c>
      <c r="AM244" s="551">
        <f t="shared" si="239"/>
        <v>84180.243705209868</v>
      </c>
      <c r="AQ244" s="546">
        <f t="shared" si="195"/>
        <v>296</v>
      </c>
      <c r="AR244" s="551">
        <f t="shared" si="188"/>
        <v>37.449747190678423</v>
      </c>
      <c r="AS244" s="553">
        <f>$AR244/PI()*SQRT('Hilfstabellen_Mat&amp;Bem'!f.Rd.3/'Hilfstabellen_Mat&amp;Bem'!$BD$30)</f>
        <v>0.5960312382938292</v>
      </c>
      <c r="AT244" s="553">
        <f>0.5*(1+'Hilfstabellen_Mat&amp;Bem'!$BD$31*($AS244-0.3)+$AS244^2)</f>
        <v>0.69242818042572918</v>
      </c>
      <c r="AU244" s="550">
        <f t="shared" si="189"/>
        <v>0.95707204747151975</v>
      </c>
      <c r="AW244" s="551">
        <f t="shared" si="240"/>
        <v>83854.824511264669</v>
      </c>
      <c r="AZ244" s="547">
        <f>'Hilfstabellen_Mat&amp;Bem'!$J$56</f>
        <v>3.3</v>
      </c>
      <c r="BA244" s="546">
        <f t="shared" si="196"/>
        <v>296</v>
      </c>
      <c r="BB244" s="551">
        <f t="shared" si="197"/>
        <v>38.62005179038713</v>
      </c>
      <c r="BC244" s="553">
        <f>BB244/PI()*SQRT('Hilfstabellen_Mat&amp;Bem'!f.Rd.3/'Hilfstabellen_Mat&amp;Bem'!$BD$30)</f>
        <v>0.61465721449051147</v>
      </c>
      <c r="BD244" s="553">
        <f>0.5*(1+'Hilfstabellen_Mat&amp;Bem'!$BD$31*(BC244-0.3)+BC244^2)</f>
        <v>0.70463460638714293</v>
      </c>
      <c r="BE244" s="550">
        <f t="shared" si="198"/>
        <v>0.95313200966781142</v>
      </c>
      <c r="BG244" s="551">
        <f t="shared" si="199"/>
        <v>83509.614159054967</v>
      </c>
      <c r="BJ244" s="547">
        <f>'Hilfstabellen_Mat&amp;Bem'!$J$57</f>
        <v>3.4</v>
      </c>
      <c r="BK244" s="546">
        <f t="shared" si="200"/>
        <v>296</v>
      </c>
      <c r="BL244" s="551">
        <f t="shared" si="201"/>
        <v>39.790356390095823</v>
      </c>
      <c r="BM244" s="553">
        <f>BL244/PI()*SQRT('Hilfstabellen_Mat&amp;Bem'!f.Rd.3/'Hilfstabellen_Mat&amp;Bem'!$BD$30)</f>
        <v>0.63328319068719352</v>
      </c>
      <c r="BN244" s="553">
        <f>0.5*(1+'Hilfstabellen_Mat&amp;Bem'!$BD$31*(BM244-0.3)+BM244^2)</f>
        <v>0.71718795933783575</v>
      </c>
      <c r="BO244" s="550">
        <f t="shared" si="202"/>
        <v>0.94894225052041625</v>
      </c>
      <c r="BQ244" s="551">
        <f t="shared" si="203"/>
        <v>83142.524221596788</v>
      </c>
      <c r="BT244" s="547">
        <f>'Hilfstabellen_Mat&amp;Bem'!$J$58</f>
        <v>3.5</v>
      </c>
      <c r="BU244" s="546">
        <f t="shared" si="204"/>
        <v>296</v>
      </c>
      <c r="BV244" s="551">
        <f t="shared" si="205"/>
        <v>40.960660989804531</v>
      </c>
      <c r="BW244" s="553">
        <f>BV244/PI()*SQRT('Hilfstabellen_Mat&amp;Bem'!f.Rd.3/'Hilfstabellen_Mat&amp;Bem'!$BD$30)</f>
        <v>0.65190916688387579</v>
      </c>
      <c r="BX244" s="553">
        <f>0.5*(1+'Hilfstabellen_Mat&amp;Bem'!$BD$31*(BW244-0.3)+BW244^2)</f>
        <v>0.7300882392778083</v>
      </c>
      <c r="BY244" s="550">
        <f t="shared" si="206"/>
        <v>0.94447648618266711</v>
      </c>
      <c r="CA244" s="551">
        <f t="shared" si="207"/>
        <v>82751.251813380557</v>
      </c>
      <c r="CD244" s="547">
        <f>'Hilfstabellen_Mat&amp;Bem'!$J$59</f>
        <v>3.6</v>
      </c>
      <c r="CE244" s="546">
        <f t="shared" si="208"/>
        <v>296</v>
      </c>
      <c r="CF244" s="551">
        <f t="shared" si="209"/>
        <v>42.130965589513224</v>
      </c>
      <c r="CG244" s="553">
        <f>CF244/PI()*SQRT('Hilfstabellen_Mat&amp;Bem'!f.Rd.3/'Hilfstabellen_Mat&amp;Bem'!$BD$30)</f>
        <v>0.67053514308055784</v>
      </c>
      <c r="CH244" s="553">
        <f>0.5*(1+'Hilfstabellen_Mat&amp;Bem'!$BD$31*(CG244-0.3)+CG244^2)</f>
        <v>0.74333544620705994</v>
      </c>
      <c r="CI244" s="550">
        <f t="shared" si="210"/>
        <v>0.93970581923846619</v>
      </c>
      <c r="CK244" s="551">
        <f t="shared" si="211"/>
        <v>82333.265058397446</v>
      </c>
      <c r="CN244" s="547">
        <f>'Hilfstabellen_Mat&amp;Bem'!$J$60</f>
        <v>3.7</v>
      </c>
      <c r="CO244" s="546">
        <f t="shared" si="212"/>
        <v>296</v>
      </c>
      <c r="CP244" s="551">
        <f t="shared" si="213"/>
        <v>43.301270189221931</v>
      </c>
      <c r="CQ244" s="553">
        <f>CP244/PI()*SQRT('Hilfstabellen_Mat&amp;Bem'!f.Rd.3/'Hilfstabellen_Mat&amp;Bem'!$BD$30)</f>
        <v>0.68916111927724011</v>
      </c>
      <c r="CR244" s="553">
        <f>0.5*(1+'Hilfstabellen_Mat&amp;Bem'!$BD$31*(CQ244-0.3)+CQ244^2)</f>
        <v>0.75692958012559108</v>
      </c>
      <c r="CS244" s="550">
        <f t="shared" si="214"/>
        <v>0.9345986165714808</v>
      </c>
      <c r="CU244" s="551">
        <f t="shared" si="215"/>
        <v>81885.792389526861</v>
      </c>
      <c r="CX244" s="547">
        <f>'Hilfstabellen_Mat&amp;Bem'!$J$61</f>
        <v>3.8</v>
      </c>
      <c r="CY244" s="546">
        <f t="shared" si="216"/>
        <v>296</v>
      </c>
      <c r="CZ244" s="551">
        <f t="shared" si="217"/>
        <v>44.471574788930631</v>
      </c>
      <c r="DA244" s="553">
        <f>CZ244/PI()*SQRT('Hilfstabellen_Mat&amp;Bem'!f.Rd.3/'Hilfstabellen_Mat&amp;Bem'!$BD$30)</f>
        <v>0.70778709547392227</v>
      </c>
      <c r="DB244" s="553">
        <f>0.5*(1+'Hilfstabellen_Mat&amp;Bem'!$BD$31*(DA244-0.3)+DA244^2)</f>
        <v>0.77087064103340164</v>
      </c>
      <c r="DC244" s="550">
        <f t="shared" si="218"/>
        <v>0.92912046065805443</v>
      </c>
      <c r="DE244" s="551">
        <f t="shared" si="219"/>
        <v>81405.818281016094</v>
      </c>
      <c r="DH244" s="547">
        <f>'Hilfstabellen_Mat&amp;Bem'!$J$62</f>
        <v>3.9</v>
      </c>
      <c r="DI244" s="546">
        <f t="shared" si="220"/>
        <v>296</v>
      </c>
      <c r="DJ244" s="551">
        <f t="shared" si="221"/>
        <v>45.641879388639332</v>
      </c>
      <c r="DK244" s="553">
        <f>DJ244/PI()*SQRT('Hilfstabellen_Mat&amp;Bem'!f.Rd.3/'Hilfstabellen_Mat&amp;Bem'!$BD$30)</f>
        <v>0.72641307167060443</v>
      </c>
      <c r="DL244" s="553">
        <f>0.5*(1+'Hilfstabellen_Mat&amp;Bem'!$BD$31*(DK244-0.3)+DK244^2)</f>
        <v>0.78515862893049149</v>
      </c>
      <c r="DM244" s="550">
        <f t="shared" si="222"/>
        <v>0.92323421420585083</v>
      </c>
      <c r="DO244" s="551">
        <f t="shared" si="223"/>
        <v>80890.088911859828</v>
      </c>
      <c r="DR244" s="547">
        <f>'Hilfstabellen_Mat&amp;Bem'!$J$63</f>
        <v>4</v>
      </c>
      <c r="DS244" s="546">
        <f t="shared" si="224"/>
        <v>296</v>
      </c>
      <c r="DT244" s="551">
        <f t="shared" si="225"/>
        <v>46.812183988348032</v>
      </c>
      <c r="DU244" s="553">
        <f>DT244/PI()*SQRT('Hilfstabellen_Mat&amp;Bem'!f.Rd.3/'Hilfstabellen_Mat&amp;Bem'!$BD$30)</f>
        <v>0.74503904786728659</v>
      </c>
      <c r="DV244" s="553">
        <f>0.5*(1+'Hilfstabellen_Mat&amp;Bem'!$BD$31*(DU244-0.3)+DU244^2)</f>
        <v>0.79979354381686085</v>
      </c>
      <c r="DW244" s="550">
        <f t="shared" si="226"/>
        <v>0.91690024959756122</v>
      </c>
      <c r="DY244" s="551">
        <f t="shared" si="227"/>
        <v>80335.132268739922</v>
      </c>
      <c r="EB244" s="547">
        <f>'Hilfstabellen_Mat&amp;Bem'!$J$64</f>
        <v>4.0999999999999996</v>
      </c>
      <c r="EC244" s="546">
        <f t="shared" si="228"/>
        <v>296</v>
      </c>
      <c r="ED244" s="551">
        <f t="shared" si="229"/>
        <v>47.982488588056732</v>
      </c>
      <c r="EE244" s="553">
        <f>ED244/PI()*SQRT('Hilfstabellen_Mat&amp;Bem'!f.Rd.3/'Hilfstabellen_Mat&amp;Bem'!$BD$30)</f>
        <v>0.76366502406396874</v>
      </c>
      <c r="EF244" s="553">
        <f>0.5*(1+'Hilfstabellen_Mat&amp;Bem'!$BD$31*(EE244-0.3)+EE244^2)</f>
        <v>0.8147753856925094</v>
      </c>
      <c r="EG244" s="550">
        <f t="shared" si="230"/>
        <v>0.91007690612455949</v>
      </c>
      <c r="EI244" s="551">
        <f t="shared" si="231"/>
        <v>79737.2982070094</v>
      </c>
      <c r="EL244" s="547">
        <f>'Hilfstabellen_Mat&amp;Bem'!$J$65</f>
        <v>4.2</v>
      </c>
      <c r="EM244" s="546">
        <f t="shared" si="232"/>
        <v>296</v>
      </c>
      <c r="EN244" s="551">
        <f t="shared" si="233"/>
        <v>49.152793187765432</v>
      </c>
      <c r="EO244" s="553">
        <f>EN244/PI()*SQRT('Hilfstabellen_Mat&amp;Bem'!f.Rd.3/'Hilfstabellen_Mat&amp;Bem'!$BD$30)</f>
        <v>0.7822910002606509</v>
      </c>
      <c r="EP244" s="553">
        <f>0.5*(1+'Hilfstabellen_Mat&amp;Bem'!$BD$31*(EO244-0.3)+EO244^2)</f>
        <v>0.83010415455743747</v>
      </c>
      <c r="EQ244" s="550">
        <f t="shared" si="234"/>
        <v>0.90272124691649669</v>
      </c>
      <c r="ES244" s="551">
        <f t="shared" si="235"/>
        <v>79092.824769835774</v>
      </c>
    </row>
    <row r="245" spans="3:149">
      <c r="C245" s="546">
        <v>297</v>
      </c>
      <c r="D245" s="551">
        <f t="shared" si="190"/>
        <v>32.658197045069734</v>
      </c>
      <c r="E245" s="553">
        <f>$D245/PI()*SQRT('Hilfstabellen_Mat&amp;Bem'!f.Rd.3/'Hilfstabellen_Mat&amp;Bem'!$BD$30)</f>
        <v>0.51977134921919788</v>
      </c>
      <c r="F245" s="553">
        <f>0.5*(1+'Hilfstabellen_Mat&amp;Bem'!$BD$31*($E245-0.3)+$E245^2)</f>
        <v>0.64606969519553259</v>
      </c>
      <c r="G245" s="550">
        <f t="shared" si="191"/>
        <v>0.97106867152038623</v>
      </c>
      <c r="I245" s="551">
        <f t="shared" si="236"/>
        <v>85656.996446141755</v>
      </c>
      <c r="M245" s="546">
        <f t="shared" si="192"/>
        <v>297</v>
      </c>
      <c r="N245" s="551">
        <f t="shared" si="182"/>
        <v>33.824561225250804</v>
      </c>
      <c r="O245" s="553">
        <f>$N245/PI()*SQRT('Hilfstabellen_Mat&amp;Bem'!f.Rd.3/'Hilfstabellen_Mat&amp;Bem'!$BD$30)</f>
        <v>0.53833461169131214</v>
      </c>
      <c r="P245" s="553">
        <f>0.5*(1+'Hilfstabellen_Mat&amp;Bem'!$BD$31*($O245-0.3)+$O245^2)</f>
        <v>0.65681880765698364</v>
      </c>
      <c r="Q245" s="550">
        <f t="shared" si="183"/>
        <v>0.96793653441757199</v>
      </c>
      <c r="S245" s="551">
        <f t="shared" si="237"/>
        <v>85380.713764439613</v>
      </c>
      <c r="W245" s="546">
        <f t="shared" si="193"/>
        <v>297</v>
      </c>
      <c r="X245" s="551">
        <f t="shared" si="184"/>
        <v>34.990925405431859</v>
      </c>
      <c r="Y245" s="553">
        <f>$X245/PI()*SQRT('Hilfstabellen_Mat&amp;Bem'!f.Rd.3/'Hilfstabellen_Mat&amp;Bem'!$BD$30)</f>
        <v>0.55689787416342629</v>
      </c>
      <c r="Z245" s="553">
        <f>0.5*(1+'Hilfstabellen_Mat&amp;Bem'!$BD$31*($Y245-0.3)+$Y245^2)</f>
        <v>0.66791251483204306</v>
      </c>
      <c r="AA245" s="550">
        <f t="shared" si="185"/>
        <v>0.96463998993095157</v>
      </c>
      <c r="AC245" s="551">
        <f t="shared" si="238"/>
        <v>85089.928871819313</v>
      </c>
      <c r="AG245" s="546">
        <f t="shared" si="194"/>
        <v>297</v>
      </c>
      <c r="AH245" s="551">
        <f t="shared" si="186"/>
        <v>36.157289585612922</v>
      </c>
      <c r="AI245" s="553">
        <f>$AH245/PI()*SQRT('Hilfstabellen_Mat&amp;Bem'!f.Rd.3/'Hilfstabellen_Mat&amp;Bem'!$BD$30)</f>
        <v>0.57546113663554044</v>
      </c>
      <c r="AJ245" s="553">
        <f>0.5*(1+'Hilfstabellen_Mat&amp;Bem'!$BD$31*($AI245-0.3)+$AI245^2)</f>
        <v>0.67935081672071107</v>
      </c>
      <c r="AK245" s="550">
        <f t="shared" si="187"/>
        <v>0.96116174516064523</v>
      </c>
      <c r="AM245" s="551">
        <f t="shared" si="239"/>
        <v>84783.116378875362</v>
      </c>
      <c r="AQ245" s="546">
        <f t="shared" si="195"/>
        <v>297</v>
      </c>
      <c r="AR245" s="551">
        <f t="shared" si="188"/>
        <v>37.323653765793992</v>
      </c>
      <c r="AS245" s="553">
        <f>$AR245/PI()*SQRT('Hilfstabellen_Mat&amp;Bem'!f.Rd.3/'Hilfstabellen_Mat&amp;Bem'!$BD$30)</f>
        <v>0.59402439910765481</v>
      </c>
      <c r="AT245" s="553">
        <f>0.5*(1+'Hilfstabellen_Mat&amp;Bem'!$BD$31*($AS245-0.3)+$AS245^2)</f>
        <v>0.69113371332298801</v>
      </c>
      <c r="AU245" s="550">
        <f t="shared" si="189"/>
        <v>0.95748268205771103</v>
      </c>
      <c r="AW245" s="551">
        <f t="shared" si="240"/>
        <v>84458.589901628628</v>
      </c>
      <c r="AZ245" s="547">
        <f>'Hilfstabellen_Mat&amp;Bem'!$J$56</f>
        <v>3.3</v>
      </c>
      <c r="BA245" s="546">
        <f t="shared" si="196"/>
        <v>297</v>
      </c>
      <c r="BB245" s="551">
        <f t="shared" si="197"/>
        <v>38.490017945975048</v>
      </c>
      <c r="BC245" s="553">
        <f>BB245/PI()*SQRT('Hilfstabellen_Mat&amp;Bem'!f.Rd.3/'Hilfstabellen_Mat&amp;Bem'!$BD$30)</f>
        <v>0.61258766157976896</v>
      </c>
      <c r="BD245" s="553">
        <f>0.5*(1+'Hilfstabellen_Mat&amp;Bem'!$BD$31*(BC245-0.3)+BC245^2)</f>
        <v>0.70326120463887321</v>
      </c>
      <c r="BE245" s="550">
        <f t="shared" si="198"/>
        <v>0.95358166712411119</v>
      </c>
      <c r="BG245" s="551">
        <f t="shared" si="199"/>
        <v>84114.485275350729</v>
      </c>
      <c r="BJ245" s="547">
        <f>'Hilfstabellen_Mat&amp;Bem'!$J$57</f>
        <v>3.4</v>
      </c>
      <c r="BK245" s="546">
        <f t="shared" si="200"/>
        <v>297</v>
      </c>
      <c r="BL245" s="551">
        <f t="shared" si="201"/>
        <v>39.65638212615611</v>
      </c>
      <c r="BM245" s="553">
        <f>BL245/PI()*SQRT('Hilfstabellen_Mat&amp;Bem'!f.Rd.3/'Hilfstabellen_Mat&amp;Bem'!$BD$30)</f>
        <v>0.63115092405188322</v>
      </c>
      <c r="BN245" s="553">
        <f>0.5*(1+'Hilfstabellen_Mat&amp;Bem'!$BD$31*(BM245-0.3)+BM245^2)</f>
        <v>0.71573329066836722</v>
      </c>
      <c r="BO245" s="550">
        <f t="shared" si="202"/>
        <v>0.94943535841806248</v>
      </c>
      <c r="BQ245" s="551">
        <f t="shared" si="203"/>
        <v>83748.743530698877</v>
      </c>
      <c r="BT245" s="547">
        <f>'Hilfstabellen_Mat&amp;Bem'!$J$58</f>
        <v>3.5</v>
      </c>
      <c r="BU245" s="546">
        <f t="shared" si="204"/>
        <v>297</v>
      </c>
      <c r="BV245" s="551">
        <f t="shared" si="205"/>
        <v>40.822746306337173</v>
      </c>
      <c r="BW245" s="553">
        <f>BV245/PI()*SQRT('Hilfstabellen_Mat&amp;Bem'!f.Rd.3/'Hilfstabellen_Mat&amp;Bem'!$BD$30)</f>
        <v>0.64971418652399748</v>
      </c>
      <c r="BX245" s="553">
        <f>0.5*(1+'Hilfstabellen_Mat&amp;Bem'!$BD$31*(BW245-0.3)+BW245^2)</f>
        <v>0.72854997141146982</v>
      </c>
      <c r="BY245" s="550">
        <f t="shared" si="206"/>
        <v>0.94501801893012605</v>
      </c>
      <c r="CA245" s="551">
        <f t="shared" si="207"/>
        <v>83359.094431807491</v>
      </c>
      <c r="CD245" s="547">
        <f>'Hilfstabellen_Mat&amp;Bem'!$J$59</f>
        <v>3.6</v>
      </c>
      <c r="CE245" s="546">
        <f t="shared" si="208"/>
        <v>297</v>
      </c>
      <c r="CF245" s="551">
        <f t="shared" si="209"/>
        <v>41.989110486518236</v>
      </c>
      <c r="CG245" s="553">
        <f>CF245/PI()*SQRT('Hilfstabellen_Mat&amp;Bem'!f.Rd.3/'Hilfstabellen_Mat&amp;Bem'!$BD$30)</f>
        <v>0.66827744899611163</v>
      </c>
      <c r="CH245" s="553">
        <f>0.5*(1+'Hilfstabellen_Mat&amp;Bem'!$BD$31*(CG245-0.3)+CG245^2)</f>
        <v>0.74171124686818091</v>
      </c>
      <c r="CI245" s="550">
        <f t="shared" si="210"/>
        <v>0.94030135006741433</v>
      </c>
      <c r="CK245" s="551">
        <f t="shared" si="211"/>
        <v>82943.041788096554</v>
      </c>
      <c r="CN245" s="547">
        <f>'Hilfstabellen_Mat&amp;Bem'!$J$60</f>
        <v>3.7</v>
      </c>
      <c r="CO245" s="546">
        <f t="shared" si="212"/>
        <v>297</v>
      </c>
      <c r="CP245" s="551">
        <f t="shared" si="213"/>
        <v>43.155474666699298</v>
      </c>
      <c r="CQ245" s="553">
        <f>CP245/PI()*SQRT('Hilfstabellen_Mat&amp;Bem'!f.Rd.3/'Hilfstabellen_Mat&amp;Bem'!$BD$30)</f>
        <v>0.68684071146822578</v>
      </c>
      <c r="CR245" s="553">
        <f>0.5*(1+'Hilfstabellen_Mat&amp;Bem'!$BD$31*(CQ245-0.3)+CQ245^2)</f>
        <v>0.75521711703850058</v>
      </c>
      <c r="CS245" s="550">
        <f t="shared" si="214"/>
        <v>0.93525436520718841</v>
      </c>
      <c r="CU245" s="551">
        <f t="shared" si="215"/>
        <v>82497.852300560888</v>
      </c>
      <c r="CX245" s="547">
        <f>'Hilfstabellen_Mat&amp;Bem'!$J$61</f>
        <v>3.8</v>
      </c>
      <c r="CY245" s="546">
        <f t="shared" si="216"/>
        <v>297</v>
      </c>
      <c r="CZ245" s="551">
        <f t="shared" si="217"/>
        <v>44.321838846880354</v>
      </c>
      <c r="DA245" s="553">
        <f>CZ245/PI()*SQRT('Hilfstabellen_Mat&amp;Bem'!f.Rd.3/'Hilfstabellen_Mat&amp;Bem'!$BD$30)</f>
        <v>0.70540397394033993</v>
      </c>
      <c r="DB245" s="553">
        <f>0.5*(1+'Hilfstabellen_Mat&amp;Bem'!$BD$31*(DA245-0.3)+DA245^2)</f>
        <v>0.76906758192242886</v>
      </c>
      <c r="DC245" s="550">
        <f t="shared" si="218"/>
        <v>0.92984333126866758</v>
      </c>
      <c r="DE245" s="551">
        <f t="shared" si="219"/>
        <v>82020.550407877905</v>
      </c>
      <c r="DH245" s="547">
        <f>'Hilfstabellen_Mat&amp;Bem'!$J$62</f>
        <v>3.9</v>
      </c>
      <c r="DI245" s="546">
        <f t="shared" si="220"/>
        <v>297</v>
      </c>
      <c r="DJ245" s="551">
        <f t="shared" si="221"/>
        <v>45.488203027061424</v>
      </c>
      <c r="DK245" s="553">
        <f>DJ245/PI()*SQRT('Hilfstabellen_Mat&amp;Bem'!f.Rd.3/'Hilfstabellen_Mat&amp;Bem'!$BD$30)</f>
        <v>0.72396723641245431</v>
      </c>
      <c r="DL245" s="553">
        <f>0.5*(1+'Hilfstabellen_Mat&amp;Bem'!$BD$31*(DK245-0.3)+DK245^2)</f>
        <v>0.78326264151996594</v>
      </c>
      <c r="DM245" s="550">
        <f t="shared" si="222"/>
        <v>0.92403181601409978</v>
      </c>
      <c r="DO245" s="551">
        <f t="shared" si="223"/>
        <v>81507.922458787725</v>
      </c>
      <c r="DR245" s="547">
        <f>'Hilfstabellen_Mat&amp;Bem'!$J$63</f>
        <v>4</v>
      </c>
      <c r="DS245" s="546">
        <f t="shared" si="224"/>
        <v>297</v>
      </c>
      <c r="DT245" s="551">
        <f t="shared" si="225"/>
        <v>46.654567207242486</v>
      </c>
      <c r="DU245" s="553">
        <f>DT245/PI()*SQRT('Hilfstabellen_Mat&amp;Bem'!f.Rd.3/'Hilfstabellen_Mat&amp;Bem'!$BD$30)</f>
        <v>0.74253049888456846</v>
      </c>
      <c r="DV245" s="553">
        <f>0.5*(1+'Hilfstabellen_Mat&amp;Bem'!$BD$31*(DU245-0.3)+DU245^2)</f>
        <v>0.79780229583111151</v>
      </c>
      <c r="DW245" s="550">
        <f t="shared" si="226"/>
        <v>0.91778088991702012</v>
      </c>
      <c r="DY245" s="551">
        <f t="shared" si="227"/>
        <v>80956.534518690431</v>
      </c>
      <c r="EB245" s="547">
        <f>'Hilfstabellen_Mat&amp;Bem'!$J$64</f>
        <v>4.0999999999999996</v>
      </c>
      <c r="EC245" s="546">
        <f t="shared" si="228"/>
        <v>297</v>
      </c>
      <c r="ED245" s="551">
        <f t="shared" si="229"/>
        <v>47.820931387423542</v>
      </c>
      <c r="EE245" s="553">
        <f>ED245/PI()*SQRT('Hilfstabellen_Mat&amp;Bem'!f.Rd.3/'Hilfstabellen_Mat&amp;Bem'!$BD$30)</f>
        <v>0.76109376135668261</v>
      </c>
      <c r="EF245" s="553">
        <f>0.5*(1+'Hilfstabellen_Mat&amp;Bem'!$BD$31*(EE245-0.3)+EE245^2)</f>
        <v>0.81268654485586567</v>
      </c>
      <c r="EG245" s="550">
        <f t="shared" si="230"/>
        <v>0.91104954276882755</v>
      </c>
      <c r="EI245" s="551">
        <f t="shared" si="231"/>
        <v>80362.769118095515</v>
      </c>
      <c r="EL245" s="547">
        <f>'Hilfstabellen_Mat&amp;Bem'!$J$65</f>
        <v>4.2</v>
      </c>
      <c r="EM245" s="546">
        <f t="shared" si="232"/>
        <v>297</v>
      </c>
      <c r="EN245" s="551">
        <f t="shared" si="233"/>
        <v>48.987295567604612</v>
      </c>
      <c r="EO245" s="553">
        <f>EN245/PI()*SQRT('Hilfstabellen_Mat&amp;Bem'!f.Rd.3/'Hilfstabellen_Mat&amp;Bem'!$BD$30)</f>
        <v>0.77965702382879698</v>
      </c>
      <c r="EP245" s="553">
        <f>0.5*(1+'Hilfstabellen_Mat&amp;Bem'!$BD$31*(EO245-0.3)+EO245^2)</f>
        <v>0.82791538859422853</v>
      </c>
      <c r="EQ245" s="550">
        <f t="shared" si="234"/>
        <v>0.90379538440668372</v>
      </c>
      <c r="ES245" s="551">
        <f t="shared" si="235"/>
        <v>79722.887063129165</v>
      </c>
    </row>
    <row r="246" spans="3:149">
      <c r="C246" s="546">
        <v>298</v>
      </c>
      <c r="D246" s="551">
        <f t="shared" si="190"/>
        <v>32.548605779817827</v>
      </c>
      <c r="E246" s="553">
        <f>$D246/PI()*SQRT('Hilfstabellen_Mat&amp;Bem'!f.Rd.3/'Hilfstabellen_Mat&amp;Bem'!$BD$30)</f>
        <v>0.51802715006074418</v>
      </c>
      <c r="F246" s="553">
        <f>0.5*(1+'Hilfstabellen_Mat&amp;Bem'!$BD$31*($E246-0.3)+$E246^2)</f>
        <v>0.64507742160306558</v>
      </c>
      <c r="G246" s="550">
        <f t="shared" si="191"/>
        <v>0.97135509058187086</v>
      </c>
      <c r="I246" s="551">
        <f t="shared" si="236"/>
        <v>86260.217464032467</v>
      </c>
      <c r="M246" s="546">
        <f t="shared" si="192"/>
        <v>298</v>
      </c>
      <c r="N246" s="551">
        <f t="shared" si="182"/>
        <v>33.711055986239892</v>
      </c>
      <c r="O246" s="553">
        <f>$N246/PI()*SQRT('Hilfstabellen_Mat&amp;Bem'!f.Rd.3/'Hilfstabellen_Mat&amp;Bem'!$BD$30)</f>
        <v>0.53652811970577075</v>
      </c>
      <c r="P246" s="553">
        <f>0.5*(1+'Hilfstabellen_Mat&amp;Bem'!$BD$31*($O246-0.3)+$O246^2)</f>
        <v>0.6557576176027935</v>
      </c>
      <c r="Q246" s="550">
        <f t="shared" si="183"/>
        <v>0.96824829748702712</v>
      </c>
      <c r="S246" s="551">
        <f t="shared" si="237"/>
        <v>85984.32181003796</v>
      </c>
      <c r="W246" s="546">
        <f t="shared" si="193"/>
        <v>298</v>
      </c>
      <c r="X246" s="551">
        <f t="shared" si="184"/>
        <v>34.873506192661957</v>
      </c>
      <c r="Y246" s="553">
        <f>$X246/PI()*SQRT('Hilfstabellen_Mat&amp;Bem'!f.Rd.3/'Hilfstabellen_Mat&amp;Bem'!$BD$30)</f>
        <v>0.55502908935079742</v>
      </c>
      <c r="Z246" s="553">
        <f>0.5*(1+'Hilfstabellen_Mat&amp;Bem'!$BD$31*($Y246-0.3)+$Y246^2)</f>
        <v>0.66678009948032768</v>
      </c>
      <c r="AA246" s="550">
        <f t="shared" si="185"/>
        <v>0.96497978109291105</v>
      </c>
      <c r="AC246" s="551">
        <f t="shared" si="238"/>
        <v>85694.064480174871</v>
      </c>
      <c r="AG246" s="546">
        <f t="shared" si="194"/>
        <v>298</v>
      </c>
      <c r="AH246" s="551">
        <f t="shared" si="186"/>
        <v>36.035956399084021</v>
      </c>
      <c r="AI246" s="553">
        <f>$AH246/PI()*SQRT('Hilfstabellen_Mat&amp;Bem'!f.Rd.3/'Hilfstabellen_Mat&amp;Bem'!$BD$30)</f>
        <v>0.57353005899582399</v>
      </c>
      <c r="AJ246" s="553">
        <f>0.5*(1+'Hilfstabellen_Mat&amp;Bem'!$BD$31*($AI246-0.3)+$AI246^2)</f>
        <v>0.6781448672356678</v>
      </c>
      <c r="AK246" s="550">
        <f t="shared" si="187"/>
        <v>0.9615325910537984</v>
      </c>
      <c r="AM246" s="551">
        <f t="shared" si="239"/>
        <v>85387.940215941519</v>
      </c>
      <c r="AQ246" s="546">
        <f t="shared" si="195"/>
        <v>298</v>
      </c>
      <c r="AR246" s="551">
        <f t="shared" si="188"/>
        <v>37.198406605506086</v>
      </c>
      <c r="AS246" s="553">
        <f>$AR246/PI()*SQRT('Hilfstabellen_Mat&amp;Bem'!f.Rd.3/'Hilfstabellen_Mat&amp;Bem'!$BD$30)</f>
        <v>0.59203102864085044</v>
      </c>
      <c r="AT246" s="553">
        <f>0.5*(1+'Hilfstabellen_Mat&amp;Bem'!$BD$31*($AS246-0.3)+$AS246^2)</f>
        <v>0.68985192086881431</v>
      </c>
      <c r="AU246" s="550">
        <f t="shared" si="189"/>
        <v>0.95788799477465403</v>
      </c>
      <c r="AW246" s="551">
        <f t="shared" si="240"/>
        <v>85064.285487968373</v>
      </c>
      <c r="AZ246" s="547">
        <f>'Hilfstabellen_Mat&amp;Bem'!$J$56</f>
        <v>3.3</v>
      </c>
      <c r="BA246" s="546">
        <f t="shared" si="196"/>
        <v>298</v>
      </c>
      <c r="BB246" s="551">
        <f t="shared" si="197"/>
        <v>38.360856811928151</v>
      </c>
      <c r="BC246" s="553">
        <f>BB246/PI()*SQRT('Hilfstabellen_Mat&amp;Bem'!f.Rd.3/'Hilfstabellen_Mat&amp;Bem'!$BD$30)</f>
        <v>0.61053199828587712</v>
      </c>
      <c r="BD246" s="553">
        <f>0.5*(1+'Hilfstabellen_Mat&amp;Bem'!$BD$31*(BC246-0.3)+BC246^2)</f>
        <v>0.70190126037976697</v>
      </c>
      <c r="BE246" s="550">
        <f t="shared" si="198"/>
        <v>0.95402529090778365</v>
      </c>
      <c r="BG246" s="551">
        <f t="shared" si="199"/>
        <v>84721.261933774818</v>
      </c>
      <c r="BJ246" s="547">
        <f>'Hilfstabellen_Mat&amp;Bem'!$J$57</f>
        <v>3.4</v>
      </c>
      <c r="BK246" s="546">
        <f t="shared" si="200"/>
        <v>298</v>
      </c>
      <c r="BL246" s="551">
        <f t="shared" si="201"/>
        <v>39.523307018350216</v>
      </c>
      <c r="BM246" s="553">
        <f>BL246/PI()*SQRT('Hilfstabellen_Mat&amp;Bem'!f.Rd.3/'Hilfstabellen_Mat&amp;Bem'!$BD$30)</f>
        <v>0.62903296793090369</v>
      </c>
      <c r="BN246" s="553">
        <f>0.5*(1+'Hilfstabellen_Mat&amp;Bem'!$BD$31*(BM246-0.3)+BM246^2)</f>
        <v>0.7142928857685259</v>
      </c>
      <c r="BO246" s="550">
        <f t="shared" si="202"/>
        <v>0.94992161948931242</v>
      </c>
      <c r="BQ246" s="551">
        <f t="shared" si="203"/>
        <v>84356.839497128894</v>
      </c>
      <c r="BT246" s="547">
        <f>'Hilfstabellen_Mat&amp;Bem'!$J$58</f>
        <v>3.5</v>
      </c>
      <c r="BU246" s="546">
        <f t="shared" si="204"/>
        <v>298</v>
      </c>
      <c r="BV246" s="551">
        <f t="shared" si="205"/>
        <v>40.685757224772281</v>
      </c>
      <c r="BW246" s="553">
        <f>BV246/PI()*SQRT('Hilfstabellen_Mat&amp;Bem'!f.Rd.3/'Hilfstabellen_Mat&amp;Bem'!$BD$30)</f>
        <v>0.64753393757593025</v>
      </c>
      <c r="BX246" s="553">
        <f>0.5*(1+'Hilfstabellen_Mat&amp;Bem'!$BD$31*(BW246-0.3)+BW246^2)</f>
        <v>0.72702679703509088</v>
      </c>
      <c r="BY246" s="550">
        <f t="shared" si="206"/>
        <v>0.94555177716278593</v>
      </c>
      <c r="CA246" s="551">
        <f t="shared" si="207"/>
        <v>83968.780019164042</v>
      </c>
      <c r="CD246" s="547">
        <f>'Hilfstabellen_Mat&amp;Bem'!$J$59</f>
        <v>3.6</v>
      </c>
      <c r="CE246" s="546">
        <f t="shared" si="208"/>
        <v>298</v>
      </c>
      <c r="CF246" s="551">
        <f t="shared" si="209"/>
        <v>41.848207431194346</v>
      </c>
      <c r="CG246" s="553">
        <f>CF246/PI()*SQRT('Hilfstabellen_Mat&amp;Bem'!f.Rd.3/'Hilfstabellen_Mat&amp;Bem'!$BD$30)</f>
        <v>0.66603490722095682</v>
      </c>
      <c r="CH246" s="553">
        <f>0.5*(1+'Hilfstabellen_Mat&amp;Bem'!$BD$31*(CG246-0.3)+CG246^2)</f>
        <v>0.74010299417946213</v>
      </c>
      <c r="CI246" s="550">
        <f t="shared" si="210"/>
        <v>0.94088805033824907</v>
      </c>
      <c r="CK246" s="551">
        <f t="shared" si="211"/>
        <v>83554.622422237866</v>
      </c>
      <c r="CN246" s="547">
        <f>'Hilfstabellen_Mat&amp;Bem'!$J$60</f>
        <v>3.7</v>
      </c>
      <c r="CO246" s="546">
        <f t="shared" si="212"/>
        <v>298</v>
      </c>
      <c r="CP246" s="551">
        <f t="shared" si="213"/>
        <v>43.010657637616411</v>
      </c>
      <c r="CQ246" s="553">
        <f>CP246/PI()*SQRT('Hilfstabellen_Mat&amp;Bem'!f.Rd.3/'Hilfstabellen_Mat&amp;Bem'!$BD$30)</f>
        <v>0.68453587686598338</v>
      </c>
      <c r="CR246" s="553">
        <f>0.5*(1+'Hilfstabellen_Mat&amp;Bem'!$BD$31*(CQ246-0.3)+CQ246^2)</f>
        <v>0.75352147720163953</v>
      </c>
      <c r="CS246" s="550">
        <f t="shared" si="214"/>
        <v>0.93590008501390443</v>
      </c>
      <c r="CU246" s="551">
        <f t="shared" si="215"/>
        <v>83111.671149574773</v>
      </c>
      <c r="CX246" s="547">
        <f>'Hilfstabellen_Mat&amp;Bem'!$J$61</f>
        <v>3.8</v>
      </c>
      <c r="CY246" s="546">
        <f t="shared" si="216"/>
        <v>298</v>
      </c>
      <c r="CZ246" s="551">
        <f t="shared" si="217"/>
        <v>44.173107844038483</v>
      </c>
      <c r="DA246" s="553">
        <f>CZ246/PI()*SQRT('Hilfstabellen_Mat&amp;Bem'!f.Rd.3/'Hilfstabellen_Mat&amp;Bem'!$BD$30)</f>
        <v>0.70303684651101017</v>
      </c>
      <c r="DB246" s="553">
        <f>0.5*(1+'Hilfstabellen_Mat&amp;Bem'!$BD$31*(DA246-0.3)+DA246^2)</f>
        <v>0.76728224610162343</v>
      </c>
      <c r="DC246" s="550">
        <f t="shared" si="218"/>
        <v>0.93055481956129604</v>
      </c>
      <c r="DE246" s="551">
        <f t="shared" si="219"/>
        <v>82636.990196321334</v>
      </c>
      <c r="DH246" s="547">
        <f>'Hilfstabellen_Mat&amp;Bem'!$J$62</f>
        <v>3.9</v>
      </c>
      <c r="DI246" s="546">
        <f t="shared" si="220"/>
        <v>298</v>
      </c>
      <c r="DJ246" s="551">
        <f t="shared" si="221"/>
        <v>45.335558050460548</v>
      </c>
      <c r="DK246" s="553">
        <f>DJ246/PI()*SQRT('Hilfstabellen_Mat&amp;Bem'!f.Rd.3/'Hilfstabellen_Mat&amp;Bem'!$BD$30)</f>
        <v>0.72153781615603663</v>
      </c>
      <c r="DL246" s="553">
        <f>0.5*(1+'Hilfstabellen_Mat&amp;Bem'!$BD$31*(DK246-0.3)+DK246^2)</f>
        <v>0.78138530087941316</v>
      </c>
      <c r="DM246" s="550">
        <f t="shared" si="222"/>
        <v>0.92481651608626936</v>
      </c>
      <c r="DO246" s="551">
        <f t="shared" si="223"/>
        <v>82127.405894525058</v>
      </c>
      <c r="DR246" s="547">
        <f>'Hilfstabellen_Mat&amp;Bem'!$J$63</f>
        <v>4</v>
      </c>
      <c r="DS246" s="546">
        <f t="shared" si="224"/>
        <v>298</v>
      </c>
      <c r="DT246" s="551">
        <f t="shared" si="225"/>
        <v>46.498008256882606</v>
      </c>
      <c r="DU246" s="553">
        <f>DT246/PI()*SQRT('Hilfstabellen_Mat&amp;Bem'!f.Rd.3/'Hilfstabellen_Mat&amp;Bem'!$BD$30)</f>
        <v>0.74003878580106308</v>
      </c>
      <c r="DV246" s="553">
        <f>0.5*(1+'Hilfstabellen_Mat&amp;Bem'!$BD$31*(DU246-0.3)+DU246^2)</f>
        <v>0.79583064153500893</v>
      </c>
      <c r="DW246" s="550">
        <f t="shared" si="226"/>
        <v>0.91864693669317243</v>
      </c>
      <c r="DY246" s="551">
        <f t="shared" si="227"/>
        <v>81579.522566100481</v>
      </c>
      <c r="EB246" s="547">
        <f>'Hilfstabellen_Mat&amp;Bem'!$J$64</f>
        <v>4.0999999999999996</v>
      </c>
      <c r="EC246" s="546">
        <f t="shared" si="228"/>
        <v>298</v>
      </c>
      <c r="ED246" s="551">
        <f t="shared" si="229"/>
        <v>47.660458463304671</v>
      </c>
      <c r="EE246" s="553">
        <f>ED246/PI()*SQRT('Hilfstabellen_Mat&amp;Bem'!f.Rd.3/'Hilfstabellen_Mat&amp;Bem'!$BD$30)</f>
        <v>0.75853975544608965</v>
      </c>
      <c r="EF246" s="553">
        <f>0.5*(1+'Hilfstabellen_Mat&amp;Bem'!$BD$31*(EE246-0.3)+EE246^2)</f>
        <v>0.81061826806841131</v>
      </c>
      <c r="EG246" s="550">
        <f t="shared" si="230"/>
        <v>0.91200572208774067</v>
      </c>
      <c r="EI246" s="551">
        <f t="shared" si="231"/>
        <v>80989.756144279716</v>
      </c>
      <c r="EL246" s="547">
        <f>'Hilfstabellen_Mat&amp;Bem'!$J$65</f>
        <v>4.2</v>
      </c>
      <c r="EM246" s="546">
        <f t="shared" si="232"/>
        <v>298</v>
      </c>
      <c r="EN246" s="551">
        <f t="shared" si="233"/>
        <v>48.822908669726736</v>
      </c>
      <c r="EO246" s="553">
        <f>EN246/PI()*SQRT('Hilfstabellen_Mat&amp;Bem'!f.Rd.3/'Hilfstabellen_Mat&amp;Bem'!$BD$30)</f>
        <v>0.77704072509111632</v>
      </c>
      <c r="EP246" s="553">
        <f>0.5*(1+'Hilfstabellen_Mat&amp;Bem'!$BD$31*(EO246-0.3)+EO246^2)</f>
        <v>0.82574818047961962</v>
      </c>
      <c r="EQ246" s="550">
        <f t="shared" si="234"/>
        <v>0.90485103936932088</v>
      </c>
      <c r="ES246" s="551">
        <f t="shared" si="235"/>
        <v>80354.391700153166</v>
      </c>
    </row>
    <row r="247" spans="3:149">
      <c r="C247" s="546">
        <v>299</v>
      </c>
      <c r="D247" s="551">
        <f t="shared" si="190"/>
        <v>32.4397475665074</v>
      </c>
      <c r="E247" s="553">
        <f>$D247/PI()*SQRT('Hilfstabellen_Mat&amp;Bem'!f.Rd.3/'Hilfstabellen_Mat&amp;Bem'!$BD$30)</f>
        <v>0.5162946177862936</v>
      </c>
      <c r="F247" s="553">
        <f>0.5*(1+'Hilfstabellen_Mat&amp;Bem'!$BD$31*($E247-0.3)+$E247^2)</f>
        <v>0.64409479706686223</v>
      </c>
      <c r="G247" s="550">
        <f t="shared" si="191"/>
        <v>0.9716383068391925</v>
      </c>
      <c r="I247" s="551">
        <f t="shared" si="236"/>
        <v>86865.43626973065</v>
      </c>
      <c r="M247" s="546">
        <f t="shared" si="192"/>
        <v>299</v>
      </c>
      <c r="N247" s="551">
        <f t="shared" si="182"/>
        <v>33.598309979596948</v>
      </c>
      <c r="O247" s="553">
        <f>$N247/PI()*SQRT('Hilfstabellen_Mat&amp;Bem'!f.Rd.3/'Hilfstabellen_Mat&amp;Bem'!$BD$30)</f>
        <v>0.53473371127866121</v>
      </c>
      <c r="P247" s="553">
        <f>0.5*(1+'Hilfstabellen_Mat&amp;Bem'!$BD$31*($O247-0.3)+$O247^2)</f>
        <v>0.65470675655285837</v>
      </c>
      <c r="Q247" s="550">
        <f t="shared" si="183"/>
        <v>0.96855644993832701</v>
      </c>
      <c r="S247" s="551">
        <f t="shared" si="237"/>
        <v>86589.915180936368</v>
      </c>
      <c r="W247" s="546">
        <f t="shared" si="193"/>
        <v>299</v>
      </c>
      <c r="X247" s="551">
        <f t="shared" si="184"/>
        <v>34.756872392686503</v>
      </c>
      <c r="Y247" s="553">
        <f>$X247/PI()*SQRT('Hilfstabellen_Mat&amp;Bem'!f.Rd.3/'Hilfstabellen_Mat&amp;Bem'!$BD$30)</f>
        <v>0.55317280477102881</v>
      </c>
      <c r="Z247" s="553">
        <f>0.5*(1+'Hilfstabellen_Mat&amp;Bem'!$BD$31*($Y247-0.3)+$Y247^2)</f>
        <v>0.66565871620767481</v>
      </c>
      <c r="AA247" s="550">
        <f t="shared" si="185"/>
        <v>0.96531549608369493</v>
      </c>
      <c r="AC247" s="551">
        <f t="shared" si="238"/>
        <v>86300.170665378406</v>
      </c>
      <c r="AG247" s="546">
        <f t="shared" si="194"/>
        <v>299</v>
      </c>
      <c r="AH247" s="551">
        <f t="shared" si="186"/>
        <v>35.915434805776044</v>
      </c>
      <c r="AI247" s="553">
        <f>$AH247/PI()*SQRT('Hilfstabellen_Mat&amp;Bem'!f.Rd.3/'Hilfstabellen_Mat&amp;Bem'!$BD$30)</f>
        <v>0.57161189826339631</v>
      </c>
      <c r="AJ247" s="553">
        <f>0.5*(1+'Hilfstabellen_Mat&amp;Bem'!$BD$31*($AI247-0.3)+$AI247^2)</f>
        <v>0.67695067603131143</v>
      </c>
      <c r="AK247" s="550">
        <f t="shared" si="187"/>
        <v>0.96189882894527479</v>
      </c>
      <c r="AM247" s="551">
        <f t="shared" si="239"/>
        <v>85994.717206536516</v>
      </c>
      <c r="AQ247" s="546">
        <f t="shared" si="195"/>
        <v>299</v>
      </c>
      <c r="AR247" s="551">
        <f t="shared" si="188"/>
        <v>37.0739972188656</v>
      </c>
      <c r="AS247" s="553">
        <f>$AR247/PI()*SQRT('Hilfstabellen_Mat&amp;Bem'!f.Rd.3/'Hilfstabellen_Mat&amp;Bem'!$BD$30)</f>
        <v>0.59005099175576414</v>
      </c>
      <c r="AT247" s="553">
        <f>0.5*(1+'Hilfstabellen_Mat&amp;Bem'!$BD$31*($AS247-0.3)+$AS247^2)</f>
        <v>0.68858263602376857</v>
      </c>
      <c r="AU247" s="550">
        <f t="shared" si="189"/>
        <v>0.95828809173570417</v>
      </c>
      <c r="AW247" s="551">
        <f t="shared" si="240"/>
        <v>85671.913689263689</v>
      </c>
      <c r="AZ247" s="547">
        <f>'Hilfstabellen_Mat&amp;Bem'!$J$56</f>
        <v>3.3</v>
      </c>
      <c r="BA247" s="546">
        <f t="shared" si="196"/>
        <v>299</v>
      </c>
      <c r="BB247" s="551">
        <f t="shared" si="197"/>
        <v>38.232559631955148</v>
      </c>
      <c r="BC247" s="553">
        <f>BB247/PI()*SQRT('Hilfstabellen_Mat&amp;Bem'!f.Rd.3/'Hilfstabellen_Mat&amp;Bem'!$BD$30)</f>
        <v>0.60849008524813175</v>
      </c>
      <c r="BD247" s="553">
        <f>0.5*(1+'Hilfstabellen_Mat&amp;Bem'!$BD$31*(BC247-0.3)+BC247^2)</f>
        <v>0.7005545961850459</v>
      </c>
      <c r="BE247" s="550">
        <f t="shared" si="198"/>
        <v>0.95446300446940147</v>
      </c>
      <c r="BG247" s="551">
        <f t="shared" si="199"/>
        <v>85329.947062568957</v>
      </c>
      <c r="BJ247" s="547">
        <f>'Hilfstabellen_Mat&amp;Bem'!$J$57</f>
        <v>3.4</v>
      </c>
      <c r="BK247" s="546">
        <f t="shared" si="200"/>
        <v>299</v>
      </c>
      <c r="BL247" s="551">
        <f t="shared" si="201"/>
        <v>39.391122045044696</v>
      </c>
      <c r="BM247" s="553">
        <f>BL247/PI()*SQRT('Hilfstabellen_Mat&amp;Bem'!f.Rd.3/'Hilfstabellen_Mat&amp;Bem'!$BD$30)</f>
        <v>0.62692917874049936</v>
      </c>
      <c r="BN247" s="553">
        <f>0.5*(1+'Hilfstabellen_Mat&amp;Bem'!$BD$31*(BM247-0.3)+BM247^2)</f>
        <v>0.71286655651514352</v>
      </c>
      <c r="BO247" s="550">
        <f t="shared" si="202"/>
        <v>0.95040117726201556</v>
      </c>
      <c r="BQ247" s="551">
        <f t="shared" si="203"/>
        <v>84966.815648401447</v>
      </c>
      <c r="BT247" s="547">
        <f>'Hilfstabellen_Mat&amp;Bem'!$J$58</f>
        <v>3.5</v>
      </c>
      <c r="BU247" s="546">
        <f t="shared" si="204"/>
        <v>299</v>
      </c>
      <c r="BV247" s="551">
        <f t="shared" si="205"/>
        <v>40.549684458134251</v>
      </c>
      <c r="BW247" s="553">
        <f>BV247/PI()*SQRT('Hilfstabellen_Mat&amp;Bem'!f.Rd.3/'Hilfstabellen_Mat&amp;Bem'!$BD$30)</f>
        <v>0.64536827223286697</v>
      </c>
      <c r="BX247" s="553">
        <f>0.5*(1+'Hilfstabellen_Mat&amp;Bem'!$BD$31*(BW247-0.3)+BW247^2)</f>
        <v>0.72551851701406123</v>
      </c>
      <c r="BY247" s="550">
        <f t="shared" si="206"/>
        <v>0.94607792753974373</v>
      </c>
      <c r="CA247" s="551">
        <f t="shared" si="207"/>
        <v>84580.312799980631</v>
      </c>
      <c r="CD247" s="547">
        <f>'Hilfstabellen_Mat&amp;Bem'!$J$59</f>
        <v>3.6</v>
      </c>
      <c r="CE247" s="546">
        <f t="shared" si="208"/>
        <v>299</v>
      </c>
      <c r="CF247" s="551">
        <f t="shared" si="209"/>
        <v>41.7082468712238</v>
      </c>
      <c r="CG247" s="553">
        <f>CF247/PI()*SQRT('Hilfstabellen_Mat&amp;Bem'!f.Rd.3/'Hilfstabellen_Mat&amp;Bem'!$BD$30)</f>
        <v>0.66380736572523469</v>
      </c>
      <c r="CH247" s="553">
        <f>0.5*(1+'Hilfstabellen_Mat&amp;Bem'!$BD$31*(CG247-0.3)+CG247^2)</f>
        <v>0.73851047768179945</v>
      </c>
      <c r="CI247" s="550">
        <f t="shared" si="210"/>
        <v>0.94146611317373186</v>
      </c>
      <c r="CK247" s="551">
        <f t="shared" si="211"/>
        <v>84168.011983844801</v>
      </c>
      <c r="CN247" s="547">
        <f>'Hilfstabellen_Mat&amp;Bem'!$J$60</f>
        <v>3.7</v>
      </c>
      <c r="CO247" s="546">
        <f t="shared" si="212"/>
        <v>299</v>
      </c>
      <c r="CP247" s="551">
        <f t="shared" si="213"/>
        <v>42.866809284313348</v>
      </c>
      <c r="CQ247" s="553">
        <f>CP247/PI()*SQRT('Hilfstabellen_Mat&amp;Bem'!f.Rd.3/'Hilfstabellen_Mat&amp;Bem'!$BD$30)</f>
        <v>0.6822464592176023</v>
      </c>
      <c r="CR247" s="553">
        <f>0.5*(1+'Hilfstabellen_Mat&amp;Bem'!$BD$31*(CQ247-0.3)+CQ247^2)</f>
        <v>0.75184243851835797</v>
      </c>
      <c r="CS247" s="550">
        <f t="shared" si="214"/>
        <v>0.93653599910660235</v>
      </c>
      <c r="CU247" s="551">
        <f t="shared" si="215"/>
        <v>83727.254856129352</v>
      </c>
      <c r="CX247" s="547">
        <f>'Hilfstabellen_Mat&amp;Bem'!$J$61</f>
        <v>3.8</v>
      </c>
      <c r="CY247" s="546">
        <f t="shared" si="216"/>
        <v>299</v>
      </c>
      <c r="CZ247" s="551">
        <f t="shared" si="217"/>
        <v>44.025371697402903</v>
      </c>
      <c r="DA247" s="553">
        <f>CZ247/PI()*SQRT('Hilfstabellen_Mat&amp;Bem'!f.Rd.3/'Hilfstabellen_Mat&amp;Bem'!$BD$30)</f>
        <v>0.70068555270996991</v>
      </c>
      <c r="DB247" s="553">
        <f>0.5*(1+'Hilfstabellen_Mat&amp;Bem'!$BD$31*(DA247-0.3)+DA247^2)</f>
        <v>0.76551439952373646</v>
      </c>
      <c r="DC247" s="550">
        <f t="shared" si="218"/>
        <v>0.93125518221722314</v>
      </c>
      <c r="DE247" s="551">
        <f t="shared" si="219"/>
        <v>83255.14454540197</v>
      </c>
      <c r="DH247" s="547">
        <f>'Hilfstabellen_Mat&amp;Bem'!$J$62</f>
        <v>3.9</v>
      </c>
      <c r="DI247" s="546">
        <f t="shared" si="220"/>
        <v>299</v>
      </c>
      <c r="DJ247" s="551">
        <f t="shared" si="221"/>
        <v>45.183934110492444</v>
      </c>
      <c r="DK247" s="553">
        <f>DJ247/PI()*SQRT('Hilfstabellen_Mat&amp;Bem'!f.Rd.3/'Hilfstabellen_Mat&amp;Bem'!$BD$30)</f>
        <v>0.7191246462023374</v>
      </c>
      <c r="DL247" s="553">
        <f>0.5*(1+'Hilfstabellen_Mat&amp;Bem'!$BD$31*(DK247-0.3)+DK247^2)</f>
        <v>0.77952636069793535</v>
      </c>
      <c r="DM247" s="550">
        <f t="shared" si="222"/>
        <v>0.92558860804488929</v>
      </c>
      <c r="DO247" s="551">
        <f t="shared" si="223"/>
        <v>82748.547147821155</v>
      </c>
      <c r="DR247" s="547">
        <f>'Hilfstabellen_Mat&amp;Bem'!$J$63</f>
        <v>4</v>
      </c>
      <c r="DS247" s="546">
        <f t="shared" si="224"/>
        <v>299</v>
      </c>
      <c r="DT247" s="551">
        <f t="shared" si="225"/>
        <v>46.342496523582</v>
      </c>
      <c r="DU247" s="553">
        <f>DT247/PI()*SQRT('Hilfstabellen_Mat&amp;Bem'!f.Rd.3/'Hilfstabellen_Mat&amp;Bem'!$BD$30)</f>
        <v>0.73756373969470512</v>
      </c>
      <c r="DV247" s="553">
        <f>0.5*(1+'Hilfstabellen_Mat&amp;Bem'!$BD$31*(DU247-0.3)+DU247^2)</f>
        <v>0.79387832204095465</v>
      </c>
      <c r="DW247" s="550">
        <f t="shared" si="226"/>
        <v>0.91949872329909677</v>
      </c>
      <c r="DY247" s="551">
        <f t="shared" si="227"/>
        <v>82204.105361662543</v>
      </c>
      <c r="EB247" s="547">
        <f>'Hilfstabellen_Mat&amp;Bem'!$J$64</f>
        <v>4.0999999999999996</v>
      </c>
      <c r="EC247" s="546">
        <f t="shared" si="228"/>
        <v>299</v>
      </c>
      <c r="ED247" s="551">
        <f t="shared" si="229"/>
        <v>47.501058936671548</v>
      </c>
      <c r="EE247" s="553">
        <f>ED247/PI()*SQRT('Hilfstabellen_Mat&amp;Bem'!f.Rd.3/'Hilfstabellen_Mat&amp;Bem'!$BD$30)</f>
        <v>0.75600283318707273</v>
      </c>
      <c r="EF247" s="553">
        <f>0.5*(1+'Hilfstabellen_Mat&amp;Bem'!$BD$31*(EE247-0.3)+EE247^2)</f>
        <v>0.80857028355279414</v>
      </c>
      <c r="EG247" s="550">
        <f t="shared" si="230"/>
        <v>0.91294581893684801</v>
      </c>
      <c r="EI247" s="551">
        <f t="shared" si="231"/>
        <v>81618.269158773153</v>
      </c>
      <c r="EL247" s="547">
        <f>'Hilfstabellen_Mat&amp;Bem'!$J$65</f>
        <v>4.2</v>
      </c>
      <c r="EM247" s="546">
        <f t="shared" si="232"/>
        <v>299</v>
      </c>
      <c r="EN247" s="551">
        <f t="shared" si="233"/>
        <v>48.659621349761096</v>
      </c>
      <c r="EO247" s="553">
        <f>EN247/PI()*SQRT('Hilfstabellen_Mat&amp;Bem'!f.Rd.3/'Hilfstabellen_Mat&amp;Bem'!$BD$30)</f>
        <v>0.77444192667944034</v>
      </c>
      <c r="EP247" s="553">
        <f>0.5*(1+'Hilfstabellen_Mat&amp;Bem'!$BD$31*(EO247-0.3)+EO247^2)</f>
        <v>0.82360224523345393</v>
      </c>
      <c r="EQ247" s="550">
        <f t="shared" si="234"/>
        <v>0.90588862813169024</v>
      </c>
      <c r="ES247" s="551">
        <f t="shared" si="235"/>
        <v>80987.349243601246</v>
      </c>
    </row>
    <row r="248" spans="3:149">
      <c r="C248" s="546">
        <v>300</v>
      </c>
      <c r="D248" s="551">
        <f t="shared" si="190"/>
        <v>32.331615074619044</v>
      </c>
      <c r="E248" s="553">
        <f>$D248/PI()*SQRT('Hilfstabellen_Mat&amp;Bem'!f.Rd.3/'Hilfstabellen_Mat&amp;Bem'!$BD$30)</f>
        <v>0.51457363572700598</v>
      </c>
      <c r="F248" s="553">
        <f>0.5*(1+'Hilfstabellen_Mat&amp;Bem'!$BD$31*($E248-0.3)+$E248^2)</f>
        <v>0.64312169507900507</v>
      </c>
      <c r="G248" s="550">
        <f t="shared" si="191"/>
        <v>0.97191837695293481</v>
      </c>
      <c r="I248" s="551">
        <f t="shared" si="236"/>
        <v>87472.653925764127</v>
      </c>
      <c r="M248" s="546">
        <f t="shared" si="192"/>
        <v>300</v>
      </c>
      <c r="N248" s="551">
        <f t="shared" si="182"/>
        <v>33.48631561299829</v>
      </c>
      <c r="O248" s="553">
        <f>$N248/PI()*SQRT('Hilfstabellen_Mat&amp;Bem'!f.Rd.3/'Hilfstabellen_Mat&amp;Bem'!$BD$30)</f>
        <v>0.53295126557439898</v>
      </c>
      <c r="P248" s="553">
        <f>0.5*(1+'Hilfstabellen_Mat&amp;Bem'!$BD$31*($O248-0.3)+$O248^2)</f>
        <v>0.65366608901739676</v>
      </c>
      <c r="Q248" s="550">
        <f t="shared" si="183"/>
        <v>0.96886105755768848</v>
      </c>
      <c r="S248" s="551">
        <f t="shared" si="237"/>
        <v>87197.495180191967</v>
      </c>
      <c r="W248" s="546">
        <f t="shared" si="193"/>
        <v>300</v>
      </c>
      <c r="X248" s="551">
        <f t="shared" si="184"/>
        <v>34.641016151377542</v>
      </c>
      <c r="Y248" s="553">
        <f>$X248/PI()*SQRT('Hilfstabellen_Mat&amp;Bem'!f.Rd.3/'Hilfstabellen_Mat&amp;Bem'!$BD$30)</f>
        <v>0.55132889542179198</v>
      </c>
      <c r="Z248" s="553">
        <f>0.5*(1+'Hilfstabellen_Mat&amp;Bem'!$BD$31*($Y248-0.3)+$Y248^2)</f>
        <v>0.66454822023459625</v>
      </c>
      <c r="AA248" s="550">
        <f t="shared" si="185"/>
        <v>0.96564721134572118</v>
      </c>
      <c r="AC248" s="551">
        <f t="shared" si="238"/>
        <v>86908.249021114912</v>
      </c>
      <c r="AG248" s="546">
        <f t="shared" si="194"/>
        <v>300</v>
      </c>
      <c r="AH248" s="551">
        <f t="shared" si="186"/>
        <v>35.795716689756794</v>
      </c>
      <c r="AI248" s="553">
        <f>$AH248/PI()*SQRT('Hilfstabellen_Mat&amp;Bem'!f.Rd.3/'Hilfstabellen_Mat&amp;Bem'!$BD$30)</f>
        <v>0.56970652526918508</v>
      </c>
      <c r="AJ248" s="553">
        <f>0.5*(1+'Hilfstabellen_Mat&amp;Bem'!$BD$31*($AI248-0.3)+$AI248^2)</f>
        <v>0.67576808873060357</v>
      </c>
      <c r="AK248" s="550">
        <f t="shared" si="187"/>
        <v>0.96226054771022274</v>
      </c>
      <c r="AM248" s="551">
        <f t="shared" si="239"/>
        <v>86603.449293920043</v>
      </c>
      <c r="AQ248" s="546">
        <f t="shared" si="195"/>
        <v>300</v>
      </c>
      <c r="AR248" s="551">
        <f t="shared" si="188"/>
        <v>36.950417228136047</v>
      </c>
      <c r="AS248" s="553">
        <f>$AR248/PI()*SQRT('Hilfstabellen_Mat&amp;Bem'!f.Rd.3/'Hilfstabellen_Mat&amp;Bem'!$BD$30)</f>
        <v>0.58808415511657819</v>
      </c>
      <c r="AT248" s="553">
        <f>0.5*(1+'Hilfstabellen_Mat&amp;Bem'!$BD$31*($AS248-0.3)+$AS248^2)</f>
        <v>0.68732569450541869</v>
      </c>
      <c r="AU248" s="550">
        <f t="shared" si="189"/>
        <v>0.95868307629901528</v>
      </c>
      <c r="AW248" s="551">
        <f t="shared" si="240"/>
        <v>86281.476866911369</v>
      </c>
      <c r="AZ248" s="547">
        <f>'Hilfstabellen_Mat&amp;Bem'!$J$56</f>
        <v>3.3</v>
      </c>
      <c r="BA248" s="546">
        <f t="shared" si="196"/>
        <v>300</v>
      </c>
      <c r="BB248" s="551">
        <f t="shared" si="197"/>
        <v>38.105117766515299</v>
      </c>
      <c r="BC248" s="553">
        <f>BB248/PI()*SQRT('Hilfstabellen_Mat&amp;Bem'!f.Rd.3/'Hilfstabellen_Mat&amp;Bem'!$BD$30)</f>
        <v>0.6064617849639713</v>
      </c>
      <c r="BD248" s="553">
        <f>0.5*(1+'Hilfstabellen_Mat&amp;Bem'!$BD$31*(BC248-0.3)+BC248^2)</f>
        <v>0.69922103755904164</v>
      </c>
      <c r="BE248" s="550">
        <f t="shared" si="198"/>
        <v>0.95489492799783648</v>
      </c>
      <c r="BG248" s="551">
        <f t="shared" si="199"/>
        <v>85940.543519805287</v>
      </c>
      <c r="BJ248" s="547">
        <f>'Hilfstabellen_Mat&amp;Bem'!$J$57</f>
        <v>3.4</v>
      </c>
      <c r="BK248" s="546">
        <f t="shared" si="200"/>
        <v>300</v>
      </c>
      <c r="BL248" s="551">
        <f t="shared" si="201"/>
        <v>39.259818304894551</v>
      </c>
      <c r="BM248" s="553">
        <f>BL248/PI()*SQRT('Hilfstabellen_Mat&amp;Bem'!f.Rd.3/'Hilfstabellen_Mat&amp;Bem'!$BD$30)</f>
        <v>0.6248394148113644</v>
      </c>
      <c r="BN248" s="553">
        <f>0.5*(1+'Hilfstabellen_Mat&amp;Bem'!$BD$31*(BM248-0.3)+BM248^2)</f>
        <v>0.71145411789147239</v>
      </c>
      <c r="BO248" s="550">
        <f t="shared" si="202"/>
        <v>0.95087417141538089</v>
      </c>
      <c r="BQ248" s="551">
        <f t="shared" si="203"/>
        <v>85578.675427384282</v>
      </c>
      <c r="BT248" s="547">
        <f>'Hilfstabellen_Mat&amp;Bem'!$J$58</f>
        <v>3.5</v>
      </c>
      <c r="BU248" s="546">
        <f t="shared" si="204"/>
        <v>300</v>
      </c>
      <c r="BV248" s="551">
        <f t="shared" si="205"/>
        <v>40.414518843273797</v>
      </c>
      <c r="BW248" s="553">
        <f>BV248/PI()*SQRT('Hilfstabellen_Mat&amp;Bem'!f.Rd.3/'Hilfstabellen_Mat&amp;Bem'!$BD$30)</f>
        <v>0.6432170446587574</v>
      </c>
      <c r="BX248" s="553">
        <f>0.5*(1+'Hilfstabellen_Mat&amp;Bem'!$BD$31*(BW248-0.3)+BW248^2)</f>
        <v>0.72402493550271085</v>
      </c>
      <c r="BY248" s="550">
        <f t="shared" si="206"/>
        <v>0.94659663219963075</v>
      </c>
      <c r="CA248" s="551">
        <f t="shared" si="207"/>
        <v>85193.696897966773</v>
      </c>
      <c r="CD248" s="547">
        <f>'Hilfstabellen_Mat&amp;Bem'!$J$59</f>
        <v>3.6</v>
      </c>
      <c r="CE248" s="546">
        <f t="shared" si="208"/>
        <v>300</v>
      </c>
      <c r="CF248" s="551">
        <f t="shared" si="209"/>
        <v>41.569219381653056</v>
      </c>
      <c r="CG248" s="553">
        <f>CF248/PI()*SQRT('Hilfstabellen_Mat&amp;Bem'!f.Rd.3/'Hilfstabellen_Mat&amp;Bem'!$BD$30)</f>
        <v>0.6615946745061505</v>
      </c>
      <c r="CH248" s="553">
        <f>0.5*(1+'Hilfstabellen_Mat&amp;Bem'!$BD$31*(CG248-0.3)+CG248^2)</f>
        <v>0.73693349039275713</v>
      </c>
      <c r="CI248" s="550">
        <f t="shared" si="210"/>
        <v>0.94203572641994926</v>
      </c>
      <c r="CK248" s="551">
        <f t="shared" si="211"/>
        <v>84783.215377795437</v>
      </c>
      <c r="CN248" s="547">
        <f>'Hilfstabellen_Mat&amp;Bem'!$J$60</f>
        <v>3.7</v>
      </c>
      <c r="CO248" s="546">
        <f t="shared" si="212"/>
        <v>300</v>
      </c>
      <c r="CP248" s="551">
        <f t="shared" si="213"/>
        <v>42.723919920032309</v>
      </c>
      <c r="CQ248" s="553">
        <f>CP248/PI()*SQRT('Hilfstabellen_Mat&amp;Bem'!f.Rd.3/'Hilfstabellen_Mat&amp;Bem'!$BD$30)</f>
        <v>0.67997230435354361</v>
      </c>
      <c r="CR248" s="553">
        <f>0.5*(1+'Hilfstabellen_Mat&amp;Bem'!$BD$31*(CQ248-0.3)+CQ248^2)</f>
        <v>0.75017978256161122</v>
      </c>
      <c r="CS248" s="550">
        <f t="shared" si="214"/>
        <v>0.93716232449178205</v>
      </c>
      <c r="CU248" s="551">
        <f t="shared" si="215"/>
        <v>84344.609204260385</v>
      </c>
      <c r="CX248" s="547">
        <f>'Hilfstabellen_Mat&amp;Bem'!$J$61</f>
        <v>3.8</v>
      </c>
      <c r="CY248" s="546">
        <f t="shared" si="216"/>
        <v>300</v>
      </c>
      <c r="CZ248" s="551">
        <f t="shared" si="217"/>
        <v>43.878620458411554</v>
      </c>
      <c r="DA248" s="553">
        <f>CZ248/PI()*SQRT('Hilfstabellen_Mat&amp;Bem'!f.Rd.3/'Hilfstabellen_Mat&amp;Bem'!$BD$30)</f>
        <v>0.69834993420093661</v>
      </c>
      <c r="DB248" s="553">
        <f>0.5*(1+'Hilfstabellen_Mat&amp;Bem'!$BD$31*(DA248-0.3)+DA248^2)</f>
        <v>0.76376381200927312</v>
      </c>
      <c r="DC248" s="550">
        <f t="shared" si="218"/>
        <v>0.93194466892348093</v>
      </c>
      <c r="DE248" s="551">
        <f t="shared" si="219"/>
        <v>83875.020203113279</v>
      </c>
      <c r="DH248" s="547">
        <f>'Hilfstabellen_Mat&amp;Bem'!$J$62</f>
        <v>3.9</v>
      </c>
      <c r="DI248" s="546">
        <f t="shared" si="220"/>
        <v>300</v>
      </c>
      <c r="DJ248" s="551">
        <f t="shared" si="221"/>
        <v>45.033320996790806</v>
      </c>
      <c r="DK248" s="553">
        <f>DJ248/PI()*SQRT('Hilfstabellen_Mat&amp;Bem'!f.Rd.3/'Hilfstabellen_Mat&amp;Bem'!$BD$30)</f>
        <v>0.71672756404832971</v>
      </c>
      <c r="DL248" s="553">
        <f>0.5*(1+'Hilfstabellen_Mat&amp;Bem'!$BD$31*(DK248-0.3)+DK248^2)</f>
        <v>0.77768557873574273</v>
      </c>
      <c r="DM248" s="550">
        <f t="shared" si="222"/>
        <v>0.92634837761869893</v>
      </c>
      <c r="DO248" s="551">
        <f t="shared" si="223"/>
        <v>83371.353985682901</v>
      </c>
      <c r="DR248" s="547">
        <f>'Hilfstabellen_Mat&amp;Bem'!$J$63</f>
        <v>4</v>
      </c>
      <c r="DS248" s="546">
        <f t="shared" si="224"/>
        <v>300</v>
      </c>
      <c r="DT248" s="551">
        <f t="shared" si="225"/>
        <v>46.188021535170058</v>
      </c>
      <c r="DU248" s="553">
        <f>DT248/PI()*SQRT('Hilfstabellen_Mat&amp;Bem'!f.Rd.3/'Hilfstabellen_Mat&amp;Bem'!$BD$30)</f>
        <v>0.73510519389572282</v>
      </c>
      <c r="DV248" s="553">
        <f>0.5*(1+'Hilfstabellen_Mat&amp;Bem'!$BD$31*(DU248-0.3)+DU248^2)</f>
        <v>0.79194508274102016</v>
      </c>
      <c r="DW248" s="550">
        <f t="shared" si="226"/>
        <v>0.92033657436610028</v>
      </c>
      <c r="DY248" s="551">
        <f t="shared" si="227"/>
        <v>82830.291692949031</v>
      </c>
      <c r="EB248" s="547">
        <f>'Hilfstabellen_Mat&amp;Bem'!$J$64</f>
        <v>4.0999999999999996</v>
      </c>
      <c r="EC248" s="546">
        <f t="shared" si="228"/>
        <v>300</v>
      </c>
      <c r="ED248" s="551">
        <f t="shared" si="229"/>
        <v>47.342722073549311</v>
      </c>
      <c r="EE248" s="553">
        <f>ED248/PI()*SQRT('Hilfstabellen_Mat&amp;Bem'!f.Rd.3/'Hilfstabellen_Mat&amp;Bem'!$BD$30)</f>
        <v>0.75348282374311593</v>
      </c>
      <c r="EF248" s="553">
        <f>0.5*(1+'Hilfstabellen_Mat&amp;Bem'!$BD$31*(EE248-0.3)+EE248^2)</f>
        <v>0.80654232402510551</v>
      </c>
      <c r="EG248" s="550">
        <f t="shared" si="230"/>
        <v>0.91387019873017272</v>
      </c>
      <c r="EI248" s="551">
        <f t="shared" si="231"/>
        <v>82248.317885715544</v>
      </c>
      <c r="EL248" s="547">
        <f>'Hilfstabellen_Mat&amp;Bem'!$J$65</f>
        <v>4.2</v>
      </c>
      <c r="EM248" s="546">
        <f t="shared" si="232"/>
        <v>300</v>
      </c>
      <c r="EN248" s="551">
        <f t="shared" si="233"/>
        <v>48.497422611928563</v>
      </c>
      <c r="EO248" s="553">
        <f>EN248/PI()*SQRT('Hilfstabellen_Mat&amp;Bem'!f.Rd.3/'Hilfstabellen_Mat&amp;Bem'!$BD$30)</f>
        <v>0.77186045359050892</v>
      </c>
      <c r="EP248" s="553">
        <f>0.5*(1+'Hilfstabellen_Mat&amp;Bem'!$BD$31*(EO248-0.3)+EO248^2)</f>
        <v>0.82147730258799856</v>
      </c>
      <c r="EQ248" s="550">
        <f t="shared" si="234"/>
        <v>0.90690855715976848</v>
      </c>
      <c r="ES248" s="551">
        <f t="shared" si="235"/>
        <v>81621.770144379159</v>
      </c>
    </row>
    <row r="249" spans="3:149">
      <c r="C249" s="546">
        <v>301</v>
      </c>
      <c r="D249" s="551">
        <f t="shared" si="190"/>
        <v>32.224201071048881</v>
      </c>
      <c r="E249" s="553">
        <f>$D249/PI()*SQRT('Hilfstabellen_Mat&amp;Bem'!f.Rd.3/'Hilfstabellen_Mat&amp;Bem'!$BD$30)</f>
        <v>0.51286408876445777</v>
      </c>
      <c r="F249" s="553">
        <f>0.5*(1+'Hilfstabellen_Mat&amp;Bem'!$BD$31*($E249-0.3)+$E249^2)</f>
        <v>0.64215799121032169</v>
      </c>
      <c r="G249" s="550">
        <f t="shared" si="191"/>
        <v>0.97219535624291342</v>
      </c>
      <c r="I249" s="551">
        <f t="shared" si="236"/>
        <v>88081.871470964194</v>
      </c>
      <c r="M249" s="546">
        <f t="shared" si="192"/>
        <v>301</v>
      </c>
      <c r="N249" s="551">
        <f t="shared" si="182"/>
        <v>33.375065395014907</v>
      </c>
      <c r="O249" s="553">
        <f>$N249/PI()*SQRT('Hilfstabellen_Mat&amp;Bem'!f.Rd.3/'Hilfstabellen_Mat&amp;Bem'!$BD$30)</f>
        <v>0.53118066336318825</v>
      </c>
      <c r="P249" s="553">
        <f>0.5*(1+'Hilfstabellen_Mat&amp;Bem'!$BD$31*($O249-0.3)+$O249^2)</f>
        <v>0.65263548173363772</v>
      </c>
      <c r="Q249" s="550">
        <f t="shared" si="183"/>
        <v>0.96916218453712766</v>
      </c>
      <c r="S249" s="551">
        <f t="shared" si="237"/>
        <v>87807.0630812483</v>
      </c>
      <c r="W249" s="546">
        <f t="shared" si="193"/>
        <v>301</v>
      </c>
      <c r="X249" s="551">
        <f t="shared" si="184"/>
        <v>34.52592971898094</v>
      </c>
      <c r="Y249" s="553">
        <f>$X249/PI()*SQRT('Hilfstabellen_Mat&amp;Bem'!f.Rd.3/'Hilfstabellen_Mat&amp;Bem'!$BD$30)</f>
        <v>0.54949723796191907</v>
      </c>
      <c r="Z249" s="553">
        <f>0.5*(1+'Hilfstabellen_Mat&amp;Bem'!$BD$31*($Y249-0.3)+$Y249^2)</f>
        <v>0.66344846916198497</v>
      </c>
      <c r="AA249" s="550">
        <f t="shared" si="185"/>
        <v>0.9659750014264562</v>
      </c>
      <c r="AC249" s="551">
        <f t="shared" si="238"/>
        <v>87518.301104238359</v>
      </c>
      <c r="AG249" s="546">
        <f t="shared" si="194"/>
        <v>301</v>
      </c>
      <c r="AH249" s="551">
        <f t="shared" si="186"/>
        <v>35.676794042946973</v>
      </c>
      <c r="AI249" s="553">
        <f>$AH249/PI()*SQRT('Hilfstabellen_Mat&amp;Bem'!f.Rd.3/'Hilfstabellen_Mat&amp;Bem'!$BD$30)</f>
        <v>0.56781381256064967</v>
      </c>
      <c r="AJ249" s="553">
        <f>0.5*(1+'Hilfstabellen_Mat&amp;Bem'!$BD$31*($AI249-0.3)+$AI249^2)</f>
        <v>0.67459695349536275</v>
      </c>
      <c r="AK249" s="550">
        <f t="shared" si="187"/>
        <v>0.96261783397311351</v>
      </c>
      <c r="AM249" s="551">
        <f t="shared" si="239"/>
        <v>87214.138375798051</v>
      </c>
      <c r="AQ249" s="546">
        <f t="shared" si="195"/>
        <v>301</v>
      </c>
      <c r="AR249" s="551">
        <f t="shared" si="188"/>
        <v>36.827658366913006</v>
      </c>
      <c r="AS249" s="553">
        <f>$AR249/PI()*SQRT('Hilfstabellen_Mat&amp;Bem'!f.Rd.3/'Hilfstabellen_Mat&amp;Bem'!$BD$30)</f>
        <v>0.58613038715938026</v>
      </c>
      <c r="AT249" s="553">
        <f>0.5*(1+'Hilfstabellen_Mat&amp;Bem'!$BD$31*($AS249-0.3)+$AS249^2)</f>
        <v>0.68608093473377152</v>
      </c>
      <c r="AU249" s="550">
        <f t="shared" si="189"/>
        <v>0.95907304915327818</v>
      </c>
      <c r="AW249" s="551">
        <f t="shared" si="240"/>
        <v>86892.977326336157</v>
      </c>
      <c r="AZ249" s="547">
        <f>'Hilfstabellen_Mat&amp;Bem'!$J$56</f>
        <v>3.3</v>
      </c>
      <c r="BA249" s="546">
        <f t="shared" si="196"/>
        <v>301</v>
      </c>
      <c r="BB249" s="551">
        <f t="shared" si="197"/>
        <v>37.978522690879032</v>
      </c>
      <c r="BC249" s="553">
        <f>BB249/PI()*SQRT('Hilfstabellen_Mat&amp;Bem'!f.Rd.3/'Hilfstabellen_Mat&amp;Bem'!$BD$30)</f>
        <v>0.60444696175811086</v>
      </c>
      <c r="BD249" s="553">
        <f>0.5*(1+'Hilfstabellen_Mat&amp;Bem'!$BD$31*(BC249-0.3)+BC249^2)</f>
        <v>0.69790041287721116</v>
      </c>
      <c r="BE249" s="550">
        <f t="shared" si="198"/>
        <v>0.95532117852262211</v>
      </c>
      <c r="BG249" s="551">
        <f t="shared" si="199"/>
        <v>86553.054095328087</v>
      </c>
      <c r="BJ249" s="547">
        <f>'Hilfstabellen_Mat&amp;Bem'!$J$57</f>
        <v>3.4</v>
      </c>
      <c r="BK249" s="546">
        <f t="shared" si="200"/>
        <v>301</v>
      </c>
      <c r="BL249" s="551">
        <f t="shared" si="201"/>
        <v>39.129387014845065</v>
      </c>
      <c r="BM249" s="553">
        <f>BL249/PI()*SQRT('Hilfstabellen_Mat&amp;Bem'!f.Rd.3/'Hilfstabellen_Mat&amp;Bem'!$BD$30)</f>
        <v>0.62276353635684156</v>
      </c>
      <c r="BN249" s="553">
        <f>0.5*(1+'Hilfstabellen_Mat&amp;Bem'!$BD$31*(BM249-0.3)+BM249^2)</f>
        <v>0.71005538792568168</v>
      </c>
      <c r="BO249" s="550">
        <f t="shared" si="202"/>
        <v>0.95134073790123497</v>
      </c>
      <c r="BQ249" s="551">
        <f t="shared" si="203"/>
        <v>86192.422194589788</v>
      </c>
      <c r="BT249" s="547">
        <f>'Hilfstabellen_Mat&amp;Bem'!$J$58</f>
        <v>3.5</v>
      </c>
      <c r="BU249" s="546">
        <f t="shared" si="204"/>
        <v>301</v>
      </c>
      <c r="BV249" s="551">
        <f t="shared" si="205"/>
        <v>40.280251338811098</v>
      </c>
      <c r="BW249" s="553">
        <f>BV249/PI()*SQRT('Hilfstabellen_Mat&amp;Bem'!f.Rd.3/'Hilfstabellen_Mat&amp;Bem'!$BD$30)</f>
        <v>0.64108011095557216</v>
      </c>
      <c r="BX249" s="553">
        <f>0.5*(1+'Hilfstabellen_Mat&amp;Bem'!$BD$31*(BW249-0.3)+BW249^2)</f>
        <v>0.72254585987918296</v>
      </c>
      <c r="BY249" s="550">
        <f t="shared" si="206"/>
        <v>0.94710804890275635</v>
      </c>
      <c r="CA249" s="551">
        <f t="shared" si="207"/>
        <v>85808.936338638625</v>
      </c>
      <c r="CD249" s="547">
        <f>'Hilfstabellen_Mat&amp;Bem'!$J$59</f>
        <v>3.6</v>
      </c>
      <c r="CE249" s="546">
        <f t="shared" si="208"/>
        <v>301</v>
      </c>
      <c r="CF249" s="551">
        <f t="shared" si="209"/>
        <v>41.431115662777131</v>
      </c>
      <c r="CG249" s="553">
        <f>CF249/PI()*SQRT('Hilfstabellen_Mat&amp;Bem'!f.Rd.3/'Hilfstabellen_Mat&amp;Bem'!$BD$30)</f>
        <v>0.65939668555430286</v>
      </c>
      <c r="CH249" s="553">
        <f>0.5*(1+'Hilfstabellen_Mat&amp;Bem'!$BD$31*(CG249-0.3)+CG249^2)</f>
        <v>0.73537182873771523</v>
      </c>
      <c r="CI249" s="550">
        <f t="shared" si="210"/>
        <v>0.94259707281061367</v>
      </c>
      <c r="CK249" s="551">
        <f t="shared" si="211"/>
        <v>85400.237393714415</v>
      </c>
      <c r="CN249" s="547">
        <f>'Hilfstabellen_Mat&amp;Bem'!$J$60</f>
        <v>3.7</v>
      </c>
      <c r="CO249" s="546">
        <f t="shared" si="212"/>
        <v>301</v>
      </c>
      <c r="CP249" s="551">
        <f t="shared" si="213"/>
        <v>42.581979986743157</v>
      </c>
      <c r="CQ249" s="553">
        <f>CP249/PI()*SQRT('Hilfstabellen_Mat&amp;Bem'!f.Rd.3/'Hilfstabellen_Mat&amp;Bem'!$BD$30)</f>
        <v>0.67771326015303346</v>
      </c>
      <c r="CR249" s="553">
        <f>0.5*(1+'Hilfstabellen_Mat&amp;Bem'!$BD$31*(CQ249-0.3)+CQ249^2)</f>
        <v>0.74853329450127837</v>
      </c>
      <c r="CS249" s="550">
        <f t="shared" si="214"/>
        <v>0.93777927225381141</v>
      </c>
      <c r="CU249" s="551">
        <f t="shared" si="215"/>
        <v>84963.739845467571</v>
      </c>
      <c r="CX249" s="547">
        <f>'Hilfstabellen_Mat&amp;Bem'!$J$61</f>
        <v>3.8</v>
      </c>
      <c r="CY249" s="546">
        <f t="shared" si="216"/>
        <v>301</v>
      </c>
      <c r="CZ249" s="551">
        <f t="shared" si="217"/>
        <v>43.73284431070919</v>
      </c>
      <c r="DA249" s="553">
        <f>CZ249/PI()*SQRT('Hilfstabellen_Mat&amp;Bem'!f.Rd.3/'Hilfstabellen_Mat&amp;Bem'!$BD$30)</f>
        <v>0.69602983475176405</v>
      </c>
      <c r="DB249" s="553">
        <f>0.5*(1+'Hilfstabellen_Mat&amp;Bem'!$BD$31*(DA249-0.3)+DA249^2)</f>
        <v>0.76203025716987216</v>
      </c>
      <c r="DC249" s="550">
        <f t="shared" si="218"/>
        <v>0.93262352257882986</v>
      </c>
      <c r="DE249" s="551">
        <f t="shared" si="219"/>
        <v>84496.623769164566</v>
      </c>
      <c r="DH249" s="547">
        <f>'Hilfstabellen_Mat&amp;Bem'!$J$62</f>
        <v>3.9</v>
      </c>
      <c r="DI249" s="546">
        <f t="shared" si="220"/>
        <v>301</v>
      </c>
      <c r="DJ249" s="551">
        <f t="shared" si="221"/>
        <v>44.883708634675223</v>
      </c>
      <c r="DK249" s="553">
        <f>DJ249/PI()*SQRT('Hilfstabellen_Mat&amp;Bem'!f.Rd.3/'Hilfstabellen_Mat&amp;Bem'!$BD$30)</f>
        <v>0.71434640935049476</v>
      </c>
      <c r="DL249" s="553">
        <f>0.5*(1+'Hilfstabellen_Mat&amp;Bem'!$BD$31*(DK249-0.3)+DK249^2)</f>
        <v>0.77586271674349705</v>
      </c>
      <c r="DM249" s="550">
        <f t="shared" si="222"/>
        <v>0.92709610286227506</v>
      </c>
      <c r="DO249" s="551">
        <f t="shared" si="223"/>
        <v>83995.834015424989</v>
      </c>
      <c r="DR249" s="547">
        <f>'Hilfstabellen_Mat&amp;Bem'!$J$63</f>
        <v>4</v>
      </c>
      <c r="DS249" s="546">
        <f t="shared" si="224"/>
        <v>301</v>
      </c>
      <c r="DT249" s="551">
        <f t="shared" si="225"/>
        <v>46.034572958641256</v>
      </c>
      <c r="DU249" s="553">
        <f>DT249/PI()*SQRT('Hilfstabellen_Mat&amp;Bem'!f.Rd.3/'Hilfstabellen_Mat&amp;Bem'!$BD$30)</f>
        <v>0.73266298394922535</v>
      </c>
      <c r="DV249" s="553">
        <f>0.5*(1+'Hilfstabellen_Mat&amp;Bem'!$BD$31*(DU249-0.3)+DU249^2)</f>
        <v>0.7900306732221527</v>
      </c>
      <c r="DW249" s="550">
        <f t="shared" si="226"/>
        <v>0.92116080600597172</v>
      </c>
      <c r="DY249" s="551">
        <f t="shared" si="227"/>
        <v>83458.090184947039</v>
      </c>
      <c r="EB249" s="547">
        <f>'Hilfstabellen_Mat&amp;Bem'!$J$64</f>
        <v>4.0999999999999996</v>
      </c>
      <c r="EC249" s="546">
        <f t="shared" si="228"/>
        <v>301</v>
      </c>
      <c r="ED249" s="551">
        <f t="shared" si="229"/>
        <v>47.185437282607289</v>
      </c>
      <c r="EE249" s="553">
        <f>ED249/PI()*SQRT('Hilfstabellen_Mat&amp;Bem'!f.Rd.3/'Hilfstabellen_Mat&amp;Bem'!$BD$30)</f>
        <v>0.75097955854795595</v>
      </c>
      <c r="EF249" s="553">
        <f>0.5*(1+'Hilfstabellen_Mat&amp;Bem'!$BD$31*(EE249-0.3)+EE249^2)</f>
        <v>0.80453412660583923</v>
      </c>
      <c r="EG249" s="550">
        <f t="shared" si="230"/>
        <v>0.91477921764750125</v>
      </c>
      <c r="EI249" s="551">
        <f t="shared" si="231"/>
        <v>82879.911898081264</v>
      </c>
      <c r="EL249" s="547">
        <f>'Hilfstabellen_Mat&amp;Bem'!$J$65</f>
        <v>4.2</v>
      </c>
      <c r="EM249" s="546">
        <f t="shared" si="232"/>
        <v>301</v>
      </c>
      <c r="EN249" s="551">
        <f t="shared" si="233"/>
        <v>48.336301606573315</v>
      </c>
      <c r="EO249" s="553">
        <f>EN249/PI()*SQRT('Hilfstabellen_Mat&amp;Bem'!f.Rd.3/'Hilfstabellen_Mat&amp;Bem'!$BD$30)</f>
        <v>0.76929613314668654</v>
      </c>
      <c r="EP249" s="553">
        <f>0.5*(1+'Hilfstabellen_Mat&amp;Bem'!$BD$31*(EO249-0.3)+EO249^2)</f>
        <v>0.81937307689455652</v>
      </c>
      <c r="EQ249" s="550">
        <f t="shared" si="234"/>
        <v>0.90791122322520768</v>
      </c>
      <c r="ES249" s="551">
        <f t="shared" si="235"/>
        <v>82257.664735427039</v>
      </c>
    </row>
    <row r="250" spans="3:149">
      <c r="C250" s="546">
        <v>302</v>
      </c>
      <c r="D250" s="551">
        <f t="shared" si="190"/>
        <v>32.117498418495735</v>
      </c>
      <c r="E250" s="553">
        <f>$D250/PI()*SQRT('Hilfstabellen_Mat&amp;Bem'!f.Rd.3/'Hilfstabellen_Mat&amp;Bem'!$BD$30)</f>
        <v>0.51116586330497282</v>
      </c>
      <c r="F250" s="553">
        <f>0.5*(1+'Hilfstabellen_Mat&amp;Bem'!$BD$31*($E250-0.3)+$E250^2)</f>
        <v>0.64120356306940773</v>
      </c>
      <c r="G250" s="550">
        <f t="shared" si="191"/>
        <v>0.97246929872717358</v>
      </c>
      <c r="I250" s="551">
        <f t="shared" si="236"/>
        <v>88693.089921113133</v>
      </c>
      <c r="M250" s="546">
        <f t="shared" si="192"/>
        <v>302</v>
      </c>
      <c r="N250" s="551">
        <f t="shared" si="182"/>
        <v>33.264551933442014</v>
      </c>
      <c r="O250" s="553">
        <f>$N250/PI()*SQRT('Hilfstabellen_Mat&amp;Bem'!f.Rd.3/'Hilfstabellen_Mat&amp;Bem'!$BD$30)</f>
        <v>0.52942178699443609</v>
      </c>
      <c r="P250" s="553">
        <f>0.5*(1+'Hilfstabellen_Mat&amp;Bem'!$BD$31*($O250-0.3)+$O250^2)</f>
        <v>0.65161480362191293</v>
      </c>
      <c r="Q250" s="550">
        <f t="shared" si="183"/>
        <v>0.96945989352170392</v>
      </c>
      <c r="S250" s="551">
        <f t="shared" si="237"/>
        <v>88418.620128753479</v>
      </c>
      <c r="W250" s="546">
        <f t="shared" si="193"/>
        <v>302</v>
      </c>
      <c r="X250" s="551">
        <f t="shared" si="184"/>
        <v>34.411605448388286</v>
      </c>
      <c r="Y250" s="553">
        <f>$X250/PI()*SQRT('Hilfstabellen_Mat&amp;Bem'!f.Rd.3/'Hilfstabellen_Mat&amp;Bem'!$BD$30)</f>
        <v>0.54767771068389937</v>
      </c>
      <c r="Z250" s="553">
        <f>0.5*(1+'Hilfstabellen_Mat&amp;Bem'!$BD$31*($Y250-0.3)+$Y250^2)</f>
        <v>0.66235932292417354</v>
      </c>
      <c r="AA250" s="550">
        <f t="shared" si="185"/>
        <v>0.96629893903554276</v>
      </c>
      <c r="AC250" s="551">
        <f t="shared" si="238"/>
        <v>88130.328435797637</v>
      </c>
      <c r="AG250" s="546">
        <f t="shared" si="194"/>
        <v>302</v>
      </c>
      <c r="AH250" s="551">
        <f t="shared" si="186"/>
        <v>35.558658963334565</v>
      </c>
      <c r="AI250" s="553">
        <f>$AH250/PI()*SQRT('Hilfstabellen_Mat&amp;Bem'!f.Rd.3/'Hilfstabellen_Mat&amp;Bem'!$BD$30)</f>
        <v>0.56593363437336275</v>
      </c>
      <c r="AJ250" s="553">
        <f>0.5*(1+'Hilfstabellen_Mat&amp;Bem'!$BD$31*($AI250-0.3)+$AI250^2)</f>
        <v>0.67343712097618968</v>
      </c>
      <c r="AK250" s="550">
        <f t="shared" si="187"/>
        <v>0.96297077217661908</v>
      </c>
      <c r="AM250" s="551">
        <f t="shared" si="239"/>
        <v>87826.786305596368</v>
      </c>
      <c r="AQ250" s="546">
        <f t="shared" si="195"/>
        <v>302</v>
      </c>
      <c r="AR250" s="551">
        <f t="shared" si="188"/>
        <v>36.705712478280844</v>
      </c>
      <c r="AS250" s="553">
        <f>$AR250/PI()*SQRT('Hilfstabellen_Mat&amp;Bem'!f.Rd.3/'Hilfstabellen_Mat&amp;Bem'!$BD$30)</f>
        <v>0.58418955806282602</v>
      </c>
      <c r="AT250" s="553">
        <f>0.5*(1+'Hilfstabellen_Mat&amp;Bem'!$BD$31*($AS250-0.3)+$AS250^2)</f>
        <v>0.68484819777796124</v>
      </c>
      <c r="AU250" s="550">
        <f t="shared" si="189"/>
        <v>0.959458108400423</v>
      </c>
      <c r="AW250" s="551">
        <f t="shared" si="240"/>
        <v>87506.417318552179</v>
      </c>
      <c r="AZ250" s="547">
        <f>'Hilfstabellen_Mat&amp;Bem'!$J$56</f>
        <v>3.3</v>
      </c>
      <c r="BA250" s="546">
        <f t="shared" si="196"/>
        <v>302</v>
      </c>
      <c r="BB250" s="551">
        <f t="shared" si="197"/>
        <v>37.852765993227116</v>
      </c>
      <c r="BC250" s="553">
        <f>BB250/PI()*SQRT('Hilfstabellen_Mat&amp;Bem'!f.Rd.3/'Hilfstabellen_Mat&amp;Bem'!$BD$30)</f>
        <v>0.6024454817522894</v>
      </c>
      <c r="BD250" s="553">
        <f>0.5*(1+'Hilfstabellen_Mat&amp;Bem'!$BD$31*(BC250-0.3)+BC250^2)</f>
        <v>0.69659255332948855</v>
      </c>
      <c r="BE250" s="550">
        <f t="shared" si="198"/>
        <v>0.95574187001270616</v>
      </c>
      <c r="BG250" s="551">
        <f t="shared" si="199"/>
        <v>87167.481512638857</v>
      </c>
      <c r="BJ250" s="547">
        <f>'Hilfstabellen_Mat&amp;Bem'!$J$57</f>
        <v>3.4</v>
      </c>
      <c r="BK250" s="546">
        <f t="shared" si="200"/>
        <v>302</v>
      </c>
      <c r="BL250" s="551">
        <f t="shared" si="201"/>
        <v>38.999819508173395</v>
      </c>
      <c r="BM250" s="553">
        <f>BL250/PI()*SQRT('Hilfstabellen_Mat&amp;Bem'!f.Rd.3/'Hilfstabellen_Mat&amp;Bem'!$BD$30)</f>
        <v>0.62070140544175267</v>
      </c>
      <c r="BN250" s="553">
        <f>0.5*(1+'Hilfstabellen_Mat&amp;Bem'!$BD$31*(BM250-0.3)+BM250^2)</f>
        <v>0.70867018763077116</v>
      </c>
      <c r="BO250" s="550">
        <f t="shared" si="202"/>
        <v>0.95180100906105491</v>
      </c>
      <c r="BQ250" s="551">
        <f t="shared" si="203"/>
        <v>86808.059230404455</v>
      </c>
      <c r="BT250" s="547">
        <f>'Hilfstabellen_Mat&amp;Bem'!$J$58</f>
        <v>3.5</v>
      </c>
      <c r="BU250" s="546">
        <f t="shared" si="204"/>
        <v>302</v>
      </c>
      <c r="BV250" s="551">
        <f t="shared" si="205"/>
        <v>40.146873023119667</v>
      </c>
      <c r="BW250" s="553">
        <f>BV250/PI()*SQRT('Hilfstabellen_Mat&amp;Bem'!f.Rd.3/'Hilfstabellen_Mat&amp;Bem'!$BD$30)</f>
        <v>0.63895732913121595</v>
      </c>
      <c r="BX250" s="553">
        <f>0.5*(1+'Hilfstabellen_Mat&amp;Bem'!$BD$31*(BW250-0.3)+BW250^2)</f>
        <v>0.72108110068180931</v>
      </c>
      <c r="BY250" s="550">
        <f t="shared" si="206"/>
        <v>0.94761233116841015</v>
      </c>
      <c r="CA250" s="551">
        <f t="shared" si="207"/>
        <v>86426.035051883679</v>
      </c>
      <c r="CD250" s="547">
        <f>'Hilfstabellen_Mat&amp;Bem'!$J$59</f>
        <v>3.6</v>
      </c>
      <c r="CE250" s="546">
        <f t="shared" si="208"/>
        <v>302</v>
      </c>
      <c r="CF250" s="551">
        <f t="shared" si="209"/>
        <v>41.293926538065946</v>
      </c>
      <c r="CG250" s="553">
        <f>CF250/PI()*SQRT('Hilfstabellen_Mat&amp;Bem'!f.Rd.3/'Hilfstabellen_Mat&amp;Bem'!$BD$30)</f>
        <v>0.65721325282067933</v>
      </c>
      <c r="CH250" s="553">
        <f>0.5*(1+'Hilfstabellen_Mat&amp;Bem'!$BD$31*(CG250-0.3)+CG250^2)</f>
        <v>0.73382529248260298</v>
      </c>
      <c r="CI250" s="550">
        <f t="shared" si="210"/>
        <v>0.94315033012598715</v>
      </c>
      <c r="CK250" s="551">
        <f t="shared" si="211"/>
        <v>86019.082708810529</v>
      </c>
      <c r="CN250" s="547">
        <f>'Hilfstabellen_Mat&amp;Bem'!$J$60</f>
        <v>3.7</v>
      </c>
      <c r="CO250" s="546">
        <f t="shared" si="212"/>
        <v>302</v>
      </c>
      <c r="CP250" s="551">
        <f t="shared" si="213"/>
        <v>42.440980053012225</v>
      </c>
      <c r="CQ250" s="553">
        <f>CP250/PI()*SQRT('Hilfstabellen_Mat&amp;Bem'!f.Rd.3/'Hilfstabellen_Mat&amp;Bem'!$BD$30)</f>
        <v>0.6754691765101426</v>
      </c>
      <c r="CR250" s="553">
        <f>0.5*(1+'Hilfstabellen_Mat&amp;Bem'!$BD$31*(CQ250-0.3)+CQ250^2)</f>
        <v>0.74690276303315228</v>
      </c>
      <c r="CS250" s="550">
        <f t="shared" si="214"/>
        <v>0.93838704773558335</v>
      </c>
      <c r="CU250" s="551">
        <f t="shared" si="215"/>
        <v>85584.652301676149</v>
      </c>
      <c r="CX250" s="547">
        <f>'Hilfstabellen_Mat&amp;Bem'!$J$61</f>
        <v>3.8</v>
      </c>
      <c r="CY250" s="546">
        <f t="shared" si="216"/>
        <v>302</v>
      </c>
      <c r="CZ250" s="551">
        <f t="shared" si="217"/>
        <v>43.588033567958497</v>
      </c>
      <c r="DA250" s="553">
        <f>CZ250/PI()*SQRT('Hilfstabellen_Mat&amp;Bem'!f.Rd.3/'Hilfstabellen_Mat&amp;Bem'!$BD$30)</f>
        <v>0.69372510019960587</v>
      </c>
      <c r="DB250" s="553">
        <f>0.5*(1+'Hilfstabellen_Mat&amp;Bem'!$BD$31*(DA250-0.3)+DA250^2)</f>
        <v>0.7603135123334569</v>
      </c>
      <c r="DC250" s="550">
        <f t="shared" si="218"/>
        <v>0.93329197949410536</v>
      </c>
      <c r="DE250" s="551">
        <f t="shared" si="219"/>
        <v>85119.961697780382</v>
      </c>
      <c r="DH250" s="547">
        <f>'Hilfstabellen_Mat&amp;Bem'!$J$62</f>
        <v>3.9</v>
      </c>
      <c r="DI250" s="546">
        <f t="shared" si="220"/>
        <v>302</v>
      </c>
      <c r="DJ250" s="551">
        <f t="shared" si="221"/>
        <v>44.735087082904776</v>
      </c>
      <c r="DK250" s="553">
        <f>DJ250/PI()*SQRT('Hilfstabellen_Mat&amp;Bem'!f.Rd.3/'Hilfstabellen_Mat&amp;Bem'!$BD$30)</f>
        <v>0.71198102388906925</v>
      </c>
      <c r="DL250" s="553">
        <f>0.5*(1+'Hilfstabellen_Mat&amp;Bem'!$BD$31*(DK250-0.3)+DK250^2)</f>
        <v>0.77405754038351726</v>
      </c>
      <c r="DM250" s="550">
        <f t="shared" si="222"/>
        <v>0.92783205437076077</v>
      </c>
      <c r="DO250" s="551">
        <f t="shared" si="223"/>
        <v>84621.994686830862</v>
      </c>
      <c r="DR250" s="547">
        <f>'Hilfstabellen_Mat&amp;Bem'!$J$63</f>
        <v>4</v>
      </c>
      <c r="DS250" s="546">
        <f t="shared" si="224"/>
        <v>302</v>
      </c>
      <c r="DT250" s="551">
        <f t="shared" si="225"/>
        <v>45.882140597851055</v>
      </c>
      <c r="DU250" s="553">
        <f>DT250/PI()*SQRT('Hilfstabellen_Mat&amp;Bem'!f.Rd.3/'Hilfstabellen_Mat&amp;Bem'!$BD$30)</f>
        <v>0.73023694757853264</v>
      </c>
      <c r="DV250" s="553">
        <f>0.5*(1+'Hilfstabellen_Mat&amp;Bem'!$BD$31*(DU250-0.3)+DU250^2)</f>
        <v>0.78813484718333293</v>
      </c>
      <c r="DW250" s="550">
        <f t="shared" si="226"/>
        <v>0.92197172603005895</v>
      </c>
      <c r="DY250" s="551">
        <f t="shared" si="227"/>
        <v>84087.509300845501</v>
      </c>
      <c r="EB250" s="547">
        <f>'Hilfstabellen_Mat&amp;Bem'!$J$64</f>
        <v>4.0999999999999996</v>
      </c>
      <c r="EC250" s="546">
        <f t="shared" si="228"/>
        <v>302</v>
      </c>
      <c r="ED250" s="551">
        <f t="shared" si="229"/>
        <v>47.029194112797327</v>
      </c>
      <c r="EE250" s="553">
        <f>ED250/PI()*SQRT('Hilfstabellen_Mat&amp;Bem'!f.Rd.3/'Hilfstabellen_Mat&amp;Bem'!$BD$30)</f>
        <v>0.7484928712679958</v>
      </c>
      <c r="EF250" s="553">
        <f>0.5*(1+'Hilfstabellen_Mat&amp;Bem'!$BD$31*(EE250-0.3)+EE250^2)</f>
        <v>0.80254543273290402</v>
      </c>
      <c r="EG250" s="550">
        <f t="shared" si="230"/>
        <v>0.91567322284154484</v>
      </c>
      <c r="EI250" s="551">
        <f t="shared" si="231"/>
        <v>83513.060616040253</v>
      </c>
      <c r="EL250" s="547">
        <f>'Hilfstabellen_Mat&amp;Bem'!$J$65</f>
        <v>4.2</v>
      </c>
      <c r="EM250" s="546">
        <f t="shared" si="232"/>
        <v>302</v>
      </c>
      <c r="EN250" s="551">
        <f t="shared" si="233"/>
        <v>48.176247627743606</v>
      </c>
      <c r="EO250" s="553">
        <f>EN250/PI()*SQRT('Hilfstabellen_Mat&amp;Bem'!f.Rd.3/'Hilfstabellen_Mat&amp;Bem'!$BD$30)</f>
        <v>0.76674879495745918</v>
      </c>
      <c r="EP250" s="553">
        <f>0.5*(1+'Hilfstabellen_Mat&amp;Bem'!$BD$31*(EO250-0.3)+EO250^2)</f>
        <v>0.81728929703223085</v>
      </c>
      <c r="EQ250" s="550">
        <f t="shared" si="234"/>
        <v>0.90889701357691166</v>
      </c>
      <c r="ES250" s="551">
        <f t="shared" si="235"/>
        <v>82895.043226268652</v>
      </c>
    </row>
    <row r="251" spans="3:149">
      <c r="C251" s="546">
        <v>303</v>
      </c>
      <c r="D251" s="551">
        <f t="shared" si="190"/>
        <v>32.011500073880235</v>
      </c>
      <c r="E251" s="553">
        <f>$D251/PI()*SQRT('Hilfstabellen_Mat&amp;Bem'!f.Rd.3/'Hilfstabellen_Mat&amp;Bem'!$BD$30)</f>
        <v>0.50947884725446124</v>
      </c>
      <c r="F251" s="553">
        <f>0.5*(1+'Hilfstabellen_Mat&amp;Bem'!$BD$31*($E251-0.3)+$E251^2)</f>
        <v>0.6402582902625904</v>
      </c>
      <c r="G251" s="550">
        <f t="shared" si="191"/>
        <v>0.97274025715966095</v>
      </c>
      <c r="I251" s="551">
        <f t="shared" si="236"/>
        <v>89306.310269571317</v>
      </c>
      <c r="M251" s="546">
        <f t="shared" si="192"/>
        <v>303</v>
      </c>
      <c r="N251" s="551">
        <f t="shared" si="182"/>
        <v>33.154767933661681</v>
      </c>
      <c r="O251" s="553">
        <f>$N251/PI()*SQRT('Hilfstabellen_Mat&amp;Bem'!f.Rd.3/'Hilfstabellen_Mat&amp;Bem'!$BD$30)</f>
        <v>0.52767452037069218</v>
      </c>
      <c r="P251" s="553">
        <f>0.5*(1+'Hilfstabellen_Mat&amp;Bem'!$BD$31*($O251-0.3)+$O251^2)</f>
        <v>0.65060392574275472</v>
      </c>
      <c r="Q251" s="550">
        <f t="shared" si="183"/>
        <v>0.96975424565514468</v>
      </c>
      <c r="S251" s="551">
        <f t="shared" si="237"/>
        <v>89032.167539353177</v>
      </c>
      <c r="W251" s="546">
        <f t="shared" si="193"/>
        <v>303</v>
      </c>
      <c r="X251" s="551">
        <f t="shared" si="184"/>
        <v>34.298035793443113</v>
      </c>
      <c r="Y251" s="553">
        <f>$X251/PI()*SQRT('Hilfstabellen_Mat&amp;Bem'!f.Rd.3/'Hilfstabellen_Mat&amp;Bem'!$BD$30)</f>
        <v>0.54587019348692278</v>
      </c>
      <c r="Z251" s="553">
        <f>0.5*(1+'Hilfstabellen_Mat&amp;Bem'!$BD$31*($Y251-0.3)+$Y251^2)</f>
        <v>0.66128064374307138</v>
      </c>
      <c r="AA251" s="550">
        <f t="shared" si="185"/>
        <v>0.96661909509993693</v>
      </c>
      <c r="AC251" s="551">
        <f t="shared" si="238"/>
        <v>88744.332502030113</v>
      </c>
      <c r="AG251" s="546">
        <f t="shared" si="194"/>
        <v>303</v>
      </c>
      <c r="AH251" s="551">
        <f t="shared" si="186"/>
        <v>35.441303653224551</v>
      </c>
      <c r="AI251" s="553">
        <f>$AH251/PI()*SQRT('Hilfstabellen_Mat&amp;Bem'!f.Rd.3/'Hilfstabellen_Mat&amp;Bem'!$BD$30)</f>
        <v>0.56406586660315361</v>
      </c>
      <c r="AJ251" s="553">
        <f>0.5*(1+'Hilfstabellen_Mat&amp;Bem'!$BD$31*($AI251-0.3)+$AI251^2)</f>
        <v>0.67228844426354106</v>
      </c>
      <c r="AK251" s="550">
        <f t="shared" si="187"/>
        <v>0.96331944464806807</v>
      </c>
      <c r="AM251" s="551">
        <f t="shared" si="239"/>
        <v>88441.39489369448</v>
      </c>
      <c r="AQ251" s="546">
        <f t="shared" si="195"/>
        <v>303</v>
      </c>
      <c r="AR251" s="551">
        <f t="shared" si="188"/>
        <v>36.58457151300599</v>
      </c>
      <c r="AS251" s="553">
        <f>$AR251/PI()*SQRT('Hilfstabellen_Mat&amp;Bem'!f.Rd.3/'Hilfstabellen_Mat&amp;Bem'!$BD$30)</f>
        <v>0.58226153971938444</v>
      </c>
      <c r="AT251" s="553">
        <f>0.5*(1+'Hilfstabellen_Mat&amp;Bem'!$BD$31*($AS251-0.3)+$AS251^2)</f>
        <v>0.68362732730416331</v>
      </c>
      <c r="AU251" s="550">
        <f t="shared" si="189"/>
        <v>0.95983834963540515</v>
      </c>
      <c r="AW251" s="551">
        <f t="shared" si="240"/>
        <v>88121.799041676917</v>
      </c>
      <c r="AZ251" s="547">
        <f>'Hilfstabellen_Mat&amp;Bem'!$J$56</f>
        <v>3.3</v>
      </c>
      <c r="BA251" s="546">
        <f t="shared" si="196"/>
        <v>303</v>
      </c>
      <c r="BB251" s="551">
        <f t="shared" si="197"/>
        <v>37.727839372787429</v>
      </c>
      <c r="BC251" s="553">
        <f>BB251/PI()*SQRT('Hilfstabellen_Mat&amp;Bem'!f.Rd.3/'Hilfstabellen_Mat&amp;Bem'!$BD$30)</f>
        <v>0.60045721283561526</v>
      </c>
      <c r="BD251" s="553">
        <f>0.5*(1+'Hilfstabellen_Mat&amp;Bem'!$BD$31*(BC251-0.3)+BC251^2)</f>
        <v>0.69529729286493835</v>
      </c>
      <c r="BE251" s="550">
        <f t="shared" si="198"/>
        <v>0.95615711347172883</v>
      </c>
      <c r="BG251" s="551">
        <f t="shared" si="199"/>
        <v>87783.828430725946</v>
      </c>
      <c r="BJ251" s="547">
        <f>'Hilfstabellen_Mat&amp;Bem'!$J$57</f>
        <v>3.4</v>
      </c>
      <c r="BK251" s="546">
        <f t="shared" si="200"/>
        <v>303</v>
      </c>
      <c r="BL251" s="551">
        <f t="shared" si="201"/>
        <v>38.87110723256886</v>
      </c>
      <c r="BM251" s="553">
        <f>BL251/PI()*SQRT('Hilfstabellen_Mat&amp;Bem'!f.Rd.3/'Hilfstabellen_Mat&amp;Bem'!$BD$30)</f>
        <v>0.61865288595184587</v>
      </c>
      <c r="BN251" s="553">
        <f>0.5*(1+'Hilfstabellen_Mat&amp;Bem'!$BD$31*(BM251-0.3)+BM251^2)</f>
        <v>0.70729834094586619</v>
      </c>
      <c r="BO251" s="550">
        <f t="shared" si="202"/>
        <v>0.95225511373892435</v>
      </c>
      <c r="BQ251" s="551">
        <f t="shared" si="203"/>
        <v>87425.589737256902</v>
      </c>
      <c r="BT251" s="547">
        <f>'Hilfstabellen_Mat&amp;Bem'!$J$58</f>
        <v>3.5</v>
      </c>
      <c r="BU251" s="546">
        <f t="shared" si="204"/>
        <v>303</v>
      </c>
      <c r="BV251" s="551">
        <f t="shared" si="205"/>
        <v>40.014375092350299</v>
      </c>
      <c r="BW251" s="553">
        <f>BV251/PI()*SQRT('Hilfstabellen_Mat&amp;Bem'!f.Rd.3/'Hilfstabellen_Mat&amp;Bem'!$BD$30)</f>
        <v>0.63684855906807669</v>
      </c>
      <c r="BX251" s="553">
        <f>0.5*(1+'Hilfstabellen_Mat&amp;Bem'!$BD$31*(BW251-0.3)+BW251^2)</f>
        <v>0.71963047154694659</v>
      </c>
      <c r="BY251" s="550">
        <f t="shared" si="206"/>
        <v>0.94810962840748936</v>
      </c>
      <c r="CA251" s="551">
        <f t="shared" si="207"/>
        <v>87044.996874463191</v>
      </c>
      <c r="CD251" s="547">
        <f>'Hilfstabellen_Mat&amp;Bem'!$J$59</f>
        <v>3.6</v>
      </c>
      <c r="CE251" s="546">
        <f t="shared" si="208"/>
        <v>303</v>
      </c>
      <c r="CF251" s="551">
        <f t="shared" si="209"/>
        <v>41.157642952131738</v>
      </c>
      <c r="CG251" s="553">
        <f>CF251/PI()*SQRT('Hilfstabellen_Mat&amp;Bem'!f.Rd.3/'Hilfstabellen_Mat&amp;Bem'!$BD$30)</f>
        <v>0.65504423218430752</v>
      </c>
      <c r="CH251" s="553">
        <f>0.5*(1+'Hilfstabellen_Mat&amp;Bem'!$BD$31*(CG251-0.3)+CG251^2)</f>
        <v>0.73229368466817979</v>
      </c>
      <c r="CI251" s="550">
        <f t="shared" si="210"/>
        <v>0.9436956713465986</v>
      </c>
      <c r="CK251" s="551">
        <f t="shared" si="211"/>
        <v>86639.755890659872</v>
      </c>
      <c r="CN251" s="547">
        <f>'Hilfstabellen_Mat&amp;Bem'!$J$60</f>
        <v>3.7</v>
      </c>
      <c r="CO251" s="546">
        <f t="shared" si="212"/>
        <v>303</v>
      </c>
      <c r="CP251" s="551">
        <f t="shared" si="213"/>
        <v>42.300910811913177</v>
      </c>
      <c r="CQ251" s="553">
        <f>CP251/PI()*SQRT('Hilfstabellen_Mat&amp;Bem'!f.Rd.3/'Hilfstabellen_Mat&amp;Bem'!$BD$30)</f>
        <v>0.67323990530053823</v>
      </c>
      <c r="CR251" s="553">
        <f>0.5*(1+'Hilfstabellen_Mat&amp;Bem'!$BD$31*(CQ251-0.3)+CQ251^2)</f>
        <v>0.74528798030956578</v>
      </c>
      <c r="CS251" s="550">
        <f t="shared" si="214"/>
        <v>0.93898585071360152</v>
      </c>
      <c r="CU251" s="551">
        <f t="shared" si="215"/>
        <v>86207.351968165036</v>
      </c>
      <c r="CX251" s="547">
        <f>'Hilfstabellen_Mat&amp;Bem'!$J$61</f>
        <v>3.8</v>
      </c>
      <c r="CY251" s="546">
        <f t="shared" si="216"/>
        <v>303</v>
      </c>
      <c r="CZ251" s="551">
        <f t="shared" si="217"/>
        <v>43.444178671694608</v>
      </c>
      <c r="DA251" s="553">
        <f>CZ251/PI()*SQRT('Hilfstabellen_Mat&amp;Bem'!f.Rd.3/'Hilfstabellen_Mat&amp;Bem'!$BD$30)</f>
        <v>0.69143557841676895</v>
      </c>
      <c r="DB251" s="553">
        <f>0.5*(1+'Hilfstabellen_Mat&amp;Bem'!$BD$31*(DA251-0.3)+DA251^2)</f>
        <v>0.75861335847110445</v>
      </c>
      <c r="DC251" s="550">
        <f t="shared" si="218"/>
        <v>0.93395026958701832</v>
      </c>
      <c r="DE251" s="551">
        <f t="shared" si="219"/>
        <v>85745.040300514564</v>
      </c>
      <c r="DH251" s="547">
        <f>'Hilfstabellen_Mat&amp;Bem'!$J$62</f>
        <v>3.9</v>
      </c>
      <c r="DI251" s="546">
        <f t="shared" si="220"/>
        <v>303</v>
      </c>
      <c r="DJ251" s="551">
        <f t="shared" si="221"/>
        <v>44.587446531476047</v>
      </c>
      <c r="DK251" s="553">
        <f>DJ251/PI()*SQRT('Hilfstabellen_Mat&amp;Bem'!f.Rd.3/'Hilfstabellen_Mat&amp;Bem'!$BD$30)</f>
        <v>0.70963125153299966</v>
      </c>
      <c r="DL251" s="553">
        <f>0.5*(1+'Hilfstabellen_Mat&amp;Bem'!$BD$31*(DK251-0.3)+DK251^2)</f>
        <v>0.77226981915279569</v>
      </c>
      <c r="DM251" s="550">
        <f t="shared" si="222"/>
        <v>0.92855649548965469</v>
      </c>
      <c r="DO251" s="551">
        <f t="shared" si="223"/>
        <v>85249.8432944097</v>
      </c>
      <c r="DR251" s="547">
        <f>'Hilfstabellen_Mat&amp;Bem'!$J$63</f>
        <v>4</v>
      </c>
      <c r="DS251" s="546">
        <f t="shared" si="224"/>
        <v>303</v>
      </c>
      <c r="DT251" s="551">
        <f t="shared" si="225"/>
        <v>45.730714391257486</v>
      </c>
      <c r="DU251" s="553">
        <f>DT251/PI()*SQRT('Hilfstabellen_Mat&amp;Bem'!f.Rd.3/'Hilfstabellen_Mat&amp;Bem'!$BD$30)</f>
        <v>0.72782692464923049</v>
      </c>
      <c r="DV251" s="553">
        <f>0.5*(1+'Hilfstabellen_Mat&amp;Bem'!$BD$31*(DU251-0.3)+DU251^2)</f>
        <v>0.78625736235463983</v>
      </c>
      <c r="DW251" s="550">
        <f t="shared" si="226"/>
        <v>0.92276963416492441</v>
      </c>
      <c r="DY251" s="551">
        <f t="shared" si="227"/>
        <v>84718.557343047549</v>
      </c>
      <c r="EB251" s="547">
        <f>'Hilfstabellen_Mat&amp;Bem'!$J$64</f>
        <v>4.0999999999999996</v>
      </c>
      <c r="EC251" s="546">
        <f t="shared" si="228"/>
        <v>303</v>
      </c>
      <c r="ED251" s="551">
        <f t="shared" si="229"/>
        <v>46.873982251038925</v>
      </c>
      <c r="EE251" s="553">
        <f>ED251/PI()*SQRT('Hilfstabellen_Mat&amp;Bem'!f.Rd.3/'Hilfstabellen_Mat&amp;Bem'!$BD$30)</f>
        <v>0.74602259776546131</v>
      </c>
      <c r="EF251" s="553">
        <f>0.5*(1+'Hilfstabellen_Mat&amp;Bem'!$BD$31*(EE251-0.3)+EE251^2)</f>
        <v>0.80057598807663666</v>
      </c>
      <c r="EG251" s="550">
        <f t="shared" si="230"/>
        <v>0.9165525526444751</v>
      </c>
      <c r="EI251" s="551">
        <f t="shared" si="231"/>
        <v>84147.773305736613</v>
      </c>
      <c r="EL251" s="547">
        <f>'Hilfstabellen_Mat&amp;Bem'!$J$65</f>
        <v>4.2</v>
      </c>
      <c r="EM251" s="546">
        <f t="shared" si="232"/>
        <v>303</v>
      </c>
      <c r="EN251" s="551">
        <f t="shared" si="233"/>
        <v>48.017250110820356</v>
      </c>
      <c r="EO251" s="553">
        <f>EN251/PI()*SQRT('Hilfstabellen_Mat&amp;Bem'!f.Rd.3/'Hilfstabellen_Mat&amp;Bem'!$BD$30)</f>
        <v>0.76421827088169192</v>
      </c>
      <c r="EP251" s="553">
        <f>0.5*(1+'Hilfstabellen_Mat&amp;Bem'!$BD$31*(EO251-0.3)+EO251^2)</f>
        <v>0.81522569631878605</v>
      </c>
      <c r="EQ251" s="550">
        <f t="shared" si="234"/>
        <v>0.90986630611635411</v>
      </c>
      <c r="ES251" s="551">
        <f t="shared" si="235"/>
        <v>83533.915698236349</v>
      </c>
    </row>
    <row r="252" spans="3:149">
      <c r="C252" s="546">
        <v>304</v>
      </c>
      <c r="D252" s="551">
        <f t="shared" si="190"/>
        <v>31.906199086795109</v>
      </c>
      <c r="E252" s="553">
        <f>$D252/PI()*SQRT('Hilfstabellen_Mat&amp;Bem'!f.Rd.3/'Hilfstabellen_Mat&amp;Bem'!$BD$30)</f>
        <v>0.50780292999375587</v>
      </c>
      <c r="F252" s="553">
        <f>0.5*(1+'Hilfstabellen_Mat&amp;Bem'!$BD$31*($E252-0.3)+$E252^2)</f>
        <v>0.63932205435480949</v>
      </c>
      <c r="G252" s="550">
        <f t="shared" si="191"/>
        <v>0.97300828306661702</v>
      </c>
      <c r="I252" s="551">
        <f t="shared" si="236"/>
        <v>89921.533487884473</v>
      </c>
      <c r="M252" s="546">
        <f t="shared" si="192"/>
        <v>304</v>
      </c>
      <c r="N252" s="551">
        <f t="shared" si="182"/>
        <v>33.045706197037788</v>
      </c>
      <c r="O252" s="553">
        <f>$N252/PI()*SQRT('Hilfstabellen_Mat&amp;Bem'!f.Rd.3/'Hilfstabellen_Mat&amp;Bem'!$BD$30)</f>
        <v>0.52593874892210424</v>
      </c>
      <c r="P252" s="553">
        <f>0.5*(1+'Hilfstabellen_Mat&amp;Bem'!$BD$31*($O252-0.3)+$O252^2)</f>
        <v>0.64960272125497931</v>
      </c>
      <c r="Q252" s="550">
        <f t="shared" si="183"/>
        <v>0.97004530062389149</v>
      </c>
      <c r="S252" s="551">
        <f t="shared" si="237"/>
        <v>89647.706502457557</v>
      </c>
      <c r="W252" s="546">
        <f t="shared" si="193"/>
        <v>304</v>
      </c>
      <c r="X252" s="551">
        <f t="shared" si="184"/>
        <v>34.18521330728047</v>
      </c>
      <c r="Y252" s="553">
        <f>$X252/PI()*SQRT('Hilfstabellen_Mat&amp;Bem'!f.Rd.3/'Hilfstabellen_Mat&amp;Bem'!$BD$30)</f>
        <v>0.54407456785045272</v>
      </c>
      <c r="Z252" s="553">
        <f>0.5*(1+'Hilfstabellen_Mat&amp;Bem'!$BD$31*($Y252-0.3)+$Y252^2)</f>
        <v>0.66021229608335097</v>
      </c>
      <c r="AA252" s="550">
        <f t="shared" si="185"/>
        <v>0.96693553881712935</v>
      </c>
      <c r="AC252" s="551">
        <f t="shared" si="238"/>
        <v>89360.314755323823</v>
      </c>
      <c r="AG252" s="546">
        <f t="shared" si="194"/>
        <v>304</v>
      </c>
      <c r="AH252" s="551">
        <f t="shared" si="186"/>
        <v>35.324720417523153</v>
      </c>
      <c r="AI252" s="553">
        <f>$AH252/PI()*SQRT('Hilfstabellen_Mat&amp;Bem'!f.Rd.3/'Hilfstabellen_Mat&amp;Bem'!$BD$30)</f>
        <v>0.5622103867788012</v>
      </c>
      <c r="AJ252" s="553">
        <f>0.5*(1+'Hilfstabellen_Mat&amp;Bem'!$BD$31*($AI252-0.3)+$AI252^2)</f>
        <v>0.67115077883992469</v>
      </c>
      <c r="AK252" s="550">
        <f t="shared" si="187"/>
        <v>0.96366393166357456</v>
      </c>
      <c r="AM252" s="551">
        <f t="shared" si="239"/>
        <v>89057.965908620899</v>
      </c>
      <c r="AQ252" s="546">
        <f t="shared" si="195"/>
        <v>304</v>
      </c>
      <c r="AR252" s="551">
        <f t="shared" si="188"/>
        <v>36.464227527765836</v>
      </c>
      <c r="AS252" s="553">
        <f>$AR252/PI()*SQRT('Hilfstabellen_Mat&amp;Bem'!f.Rd.3/'Hilfstabellen_Mat&amp;Bem'!$BD$30)</f>
        <v>0.58034620570714945</v>
      </c>
      <c r="AT252" s="553">
        <f>0.5*(1+'Hilfstabellen_Mat&amp;Bem'!$BD$31*($AS252-0.3)+$AS252^2)</f>
        <v>0.68241816952470002</v>
      </c>
      <c r="AU252" s="550">
        <f t="shared" si="189"/>
        <v>0.96021386602318637</v>
      </c>
      <c r="AW252" s="551">
        <f t="shared" si="240"/>
        <v>88739.12464239879</v>
      </c>
      <c r="AZ252" s="547">
        <f>'Hilfstabellen_Mat&amp;Bem'!$J$56</f>
        <v>3.3</v>
      </c>
      <c r="BA252" s="546">
        <f t="shared" si="196"/>
        <v>304</v>
      </c>
      <c r="BB252" s="551">
        <f t="shared" si="197"/>
        <v>37.603734638008518</v>
      </c>
      <c r="BC252" s="553">
        <f>BB252/PI()*SQRT('Hilfstabellen_Mat&amp;Bem'!f.Rd.3/'Hilfstabellen_Mat&amp;Bem'!$BD$30)</f>
        <v>0.59848202463549793</v>
      </c>
      <c r="BD252" s="553">
        <f>0.5*(1+'Hilfstabellen_Mat&amp;Bem'!$BD$31*(BC252-0.3)+BC252^2)</f>
        <v>0.69401446813767731</v>
      </c>
      <c r="BE252" s="550">
        <f t="shared" si="198"/>
        <v>0.95656701702995584</v>
      </c>
      <c r="BG252" s="551">
        <f t="shared" si="199"/>
        <v>88402.097445840394</v>
      </c>
      <c r="BJ252" s="547">
        <f>'Hilfstabellen_Mat&amp;Bem'!$J$57</f>
        <v>3.4</v>
      </c>
      <c r="BK252" s="546">
        <f t="shared" si="200"/>
        <v>304</v>
      </c>
      <c r="BL252" s="551">
        <f t="shared" si="201"/>
        <v>38.743241748251201</v>
      </c>
      <c r="BM252" s="553">
        <f>BL252/PI()*SQRT('Hilfstabellen_Mat&amp;Bem'!f.Rd.3/'Hilfstabellen_Mat&amp;Bem'!$BD$30)</f>
        <v>0.61661784356384641</v>
      </c>
      <c r="BN252" s="553">
        <f>0.5*(1+'Hilfstabellen_Mat&amp;Bem'!$BD$31*(BM252-0.3)+BM252^2)</f>
        <v>0.70593967467885643</v>
      </c>
      <c r="BO252" s="550">
        <f t="shared" si="202"/>
        <v>0.95270317739056731</v>
      </c>
      <c r="BQ252" s="551">
        <f t="shared" si="203"/>
        <v>88045.016841726669</v>
      </c>
      <c r="BT252" s="547">
        <f>'Hilfstabellen_Mat&amp;Bem'!$J$58</f>
        <v>3.5</v>
      </c>
      <c r="BU252" s="546">
        <f t="shared" si="204"/>
        <v>304</v>
      </c>
      <c r="BV252" s="551">
        <f t="shared" si="205"/>
        <v>39.882748858493883</v>
      </c>
      <c r="BW252" s="553">
        <f>BV252/PI()*SQRT('Hilfstabellen_Mat&amp;Bem'!f.Rd.3/'Hilfstabellen_Mat&amp;Bem'!$BD$30)</f>
        <v>0.63475366249219478</v>
      </c>
      <c r="BX252" s="553">
        <f>0.5*(1+'Hilfstabellen_Mat&amp;Bem'!$BD$31*(BW252-0.3)+BW252^2)</f>
        <v>0.71819378914823728</v>
      </c>
      <c r="BY252" s="550">
        <f t="shared" si="206"/>
        <v>0.94860008605060731</v>
      </c>
      <c r="CA252" s="551">
        <f t="shared" si="207"/>
        <v>87665.825552452923</v>
      </c>
      <c r="CD252" s="547">
        <f>'Hilfstabellen_Mat&amp;Bem'!$J$59</f>
        <v>3.6</v>
      </c>
      <c r="CE252" s="546">
        <f t="shared" si="208"/>
        <v>304</v>
      </c>
      <c r="CF252" s="551">
        <f t="shared" si="209"/>
        <v>41.022255968736566</v>
      </c>
      <c r="CG252" s="553">
        <f>CF252/PI()*SQRT('Hilfstabellen_Mat&amp;Bem'!f.Rd.3/'Hilfstabellen_Mat&amp;Bem'!$BD$30)</f>
        <v>0.65288948142054326</v>
      </c>
      <c r="CH252" s="553">
        <f>0.5*(1+'Hilfstabellen_Mat&amp;Bem'!$BD$31*(CG252-0.3)+CG252^2)</f>
        <v>0.73077681154582019</v>
      </c>
      <c r="CI252" s="550">
        <f t="shared" si="210"/>
        <v>0.94423326480190717</v>
      </c>
      <c r="CK252" s="551">
        <f t="shared" si="211"/>
        <v>87262.26139993305</v>
      </c>
      <c r="CN252" s="547">
        <f>'Hilfstabellen_Mat&amp;Bem'!$J$60</f>
        <v>3.7</v>
      </c>
      <c r="CO252" s="546">
        <f t="shared" si="212"/>
        <v>304</v>
      </c>
      <c r="CP252" s="551">
        <f t="shared" si="213"/>
        <v>42.161763078979249</v>
      </c>
      <c r="CQ252" s="553">
        <f>CP252/PI()*SQRT('Hilfstabellen_Mat&amp;Bem'!f.Rd.3/'Hilfstabellen_Mat&amp;Bem'!$BD$30)</f>
        <v>0.67102530034889174</v>
      </c>
      <c r="CR252" s="553">
        <f>0.5*(1+'Hilfstabellen_Mat&amp;Bem'!$BD$31*(CQ252-0.3)+CQ252^2)</f>
        <v>0.74368874187160483</v>
      </c>
      <c r="CS252" s="550">
        <f t="shared" si="214"/>
        <v>0.93957587556764732</v>
      </c>
      <c r="CU252" s="551">
        <f t="shared" si="215"/>
        <v>86831.844116459688</v>
      </c>
      <c r="CX252" s="547">
        <f>'Hilfstabellen_Mat&amp;Bem'!$J$61</f>
        <v>3.8</v>
      </c>
      <c r="CY252" s="546">
        <f t="shared" si="216"/>
        <v>304</v>
      </c>
      <c r="CZ252" s="551">
        <f t="shared" si="217"/>
        <v>43.301270189221931</v>
      </c>
      <c r="DA252" s="553">
        <f>CZ252/PI()*SQRT('Hilfstabellen_Mat&amp;Bem'!f.Rd.3/'Hilfstabellen_Mat&amp;Bem'!$BD$30)</f>
        <v>0.68916111927724011</v>
      </c>
      <c r="DB252" s="553">
        <f>0.5*(1+'Hilfstabellen_Mat&amp;Bem'!$BD$31*(DA252-0.3)+DA252^2)</f>
        <v>0.75692958012559108</v>
      </c>
      <c r="DC252" s="550">
        <f t="shared" si="218"/>
        <v>0.9345986165714808</v>
      </c>
      <c r="DE252" s="551">
        <f t="shared" si="219"/>
        <v>86371.86574906997</v>
      </c>
      <c r="DH252" s="547">
        <f>'Hilfstabellen_Mat&amp;Bem'!$J$62</f>
        <v>3.9</v>
      </c>
      <c r="DI252" s="546">
        <f t="shared" si="220"/>
        <v>304</v>
      </c>
      <c r="DJ252" s="551">
        <f t="shared" si="221"/>
        <v>44.440777299464614</v>
      </c>
      <c r="DK252" s="553">
        <f>DJ252/PI()*SQRT('Hilfstabellen_Mat&amp;Bem'!f.Rd.3/'Hilfstabellen_Mat&amp;Bem'!$BD$30)</f>
        <v>0.70729693820558859</v>
      </c>
      <c r="DL252" s="553">
        <f>0.5*(1+'Hilfstabellen_Mat&amp;Bem'!$BD$31*(DK252-0.3)+DK252^2)</f>
        <v>0.77049932630777951</v>
      </c>
      <c r="DM252" s="550">
        <f t="shared" si="222"/>
        <v>0.92926968251963293</v>
      </c>
      <c r="DO252" s="551">
        <f t="shared" si="223"/>
        <v>85879.386979734394</v>
      </c>
      <c r="DR252" s="547">
        <f>'Hilfstabellen_Mat&amp;Bem'!$J$63</f>
        <v>4</v>
      </c>
      <c r="DS252" s="546">
        <f t="shared" si="224"/>
        <v>304</v>
      </c>
      <c r="DT252" s="551">
        <f t="shared" si="225"/>
        <v>45.580284409707289</v>
      </c>
      <c r="DU252" s="553">
        <f>DT252/PI()*SQRT('Hilfstabellen_Mat&amp;Bem'!f.Rd.3/'Hilfstabellen_Mat&amp;Bem'!$BD$30)</f>
        <v>0.72543275713393685</v>
      </c>
      <c r="DV252" s="553">
        <f>0.5*(1+'Hilfstabellen_Mat&amp;Bem'!$BD$31*(DU252-0.3)+DU252^2)</f>
        <v>0.78439798041816955</v>
      </c>
      <c r="DW252" s="550">
        <f t="shared" si="226"/>
        <v>0.92355482226439289</v>
      </c>
      <c r="DY252" s="551">
        <f t="shared" si="227"/>
        <v>85351.242454386127</v>
      </c>
      <c r="EB252" s="547">
        <f>'Hilfstabellen_Mat&amp;Bem'!$J$64</f>
        <v>4.0999999999999996</v>
      </c>
      <c r="EC252" s="546">
        <f t="shared" si="228"/>
        <v>304</v>
      </c>
      <c r="ED252" s="551">
        <f t="shared" si="229"/>
        <v>46.719791519949979</v>
      </c>
      <c r="EE252" s="553">
        <f>ED252/PI()*SQRT('Hilfstabellen_Mat&amp;Bem'!f.Rd.3/'Hilfstabellen_Mat&amp;Bem'!$BD$30)</f>
        <v>0.74356857606228544</v>
      </c>
      <c r="EF252" s="553">
        <f>0.5*(1+'Hilfstabellen_Mat&amp;Bem'!$BD$31*(EE252-0.3)+EE252^2)</f>
        <v>0.79862554245676165</v>
      </c>
      <c r="EG252" s="550">
        <f t="shared" si="230"/>
        <v>0.91741753677339299</v>
      </c>
      <c r="EI252" s="551">
        <f t="shared" si="231"/>
        <v>84784.059078449893</v>
      </c>
      <c r="EL252" s="547">
        <f>'Hilfstabellen_Mat&amp;Bem'!$J$65</f>
        <v>4.2</v>
      </c>
      <c r="EM252" s="546">
        <f t="shared" si="232"/>
        <v>304</v>
      </c>
      <c r="EN252" s="551">
        <f t="shared" si="233"/>
        <v>47.859298630192662</v>
      </c>
      <c r="EO252" s="553">
        <f>EN252/PI()*SQRT('Hilfstabellen_Mat&amp;Bem'!f.Rd.3/'Hilfstabellen_Mat&amp;Bem'!$BD$30)</f>
        <v>0.7617043949906338</v>
      </c>
      <c r="EP252" s="553">
        <f>0.5*(1+'Hilfstabellen_Mat&amp;Bem'!$BD$31*(EO252-0.3)+EO252^2)</f>
        <v>0.81318201242355537</v>
      </c>
      <c r="EQ252" s="550">
        <f t="shared" si="234"/>
        <v>0.9108194695758659</v>
      </c>
      <c r="ES252" s="551">
        <f t="shared" si="235"/>
        <v>84174.292100323219</v>
      </c>
    </row>
    <row r="253" spans="3:149">
      <c r="C253" s="546">
        <v>305</v>
      </c>
      <c r="D253" s="551">
        <f t="shared" si="190"/>
        <v>31.801588597985941</v>
      </c>
      <c r="E253" s="553">
        <f>$D253/PI()*SQRT('Hilfstabellen_Mat&amp;Bem'!f.Rd.3/'Hilfstabellen_Mat&amp;Bem'!$BD$30)</f>
        <v>0.50613800235443207</v>
      </c>
      <c r="F253" s="553">
        <f>0.5*(1+'Hilfstabellen_Mat&amp;Bem'!$BD$31*($E253-0.3)+$E253^2)</f>
        <v>0.6383947388313892</v>
      </c>
      <c r="G253" s="550">
        <f t="shared" si="191"/>
        <v>0.97327342678174478</v>
      </c>
      <c r="I253" s="551">
        <f t="shared" si="236"/>
        <v>90538.760526371814</v>
      </c>
      <c r="M253" s="546">
        <f t="shared" si="192"/>
        <v>305</v>
      </c>
      <c r="N253" s="551">
        <f t="shared" si="182"/>
        <v>32.937359619342587</v>
      </c>
      <c r="O253" s="553">
        <f>$N253/PI()*SQRT('Hilfstabellen_Mat&amp;Bem'!f.Rd.3/'Hilfstabellen_Mat&amp;Bem'!$BD$30)</f>
        <v>0.52421435958137619</v>
      </c>
      <c r="P253" s="553">
        <f>0.5*(1+'Hilfstabellen_Mat&amp;Bem'!$BD$31*($O253-0.3)+$O253^2)</f>
        <v>0.64861106537472502</v>
      </c>
      <c r="Q253" s="550">
        <f t="shared" si="183"/>
        <v>0.9703331166996465</v>
      </c>
      <c r="S253" s="551">
        <f t="shared" si="237"/>
        <v>90265.238180984612</v>
      </c>
      <c r="W253" s="546">
        <f t="shared" si="193"/>
        <v>305</v>
      </c>
      <c r="X253" s="551">
        <f t="shared" si="184"/>
        <v>34.073130640699226</v>
      </c>
      <c r="Y253" s="553">
        <f>$X253/PI()*SQRT('Hilfstabellen_Mat&amp;Bem'!f.Rd.3/'Hilfstabellen_Mat&amp;Bem'!$BD$30)</f>
        <v>0.54229071680832008</v>
      </c>
      <c r="Z253" s="553">
        <f>0.5*(1+'Hilfstabellen_Mat&amp;Bem'!$BD$31*($Y253-0.3)+$Y253^2)</f>
        <v>0.65915414660865679</v>
      </c>
      <c r="AA253" s="550">
        <f t="shared" si="185"/>
        <v>0.96724833770652496</v>
      </c>
      <c r="AC253" s="551">
        <f t="shared" si="238"/>
        <v>89978.276615149487</v>
      </c>
      <c r="AG253" s="546">
        <f t="shared" si="194"/>
        <v>305</v>
      </c>
      <c r="AH253" s="551">
        <f t="shared" si="186"/>
        <v>35.208901662055865</v>
      </c>
      <c r="AI253" s="553">
        <f>$AH253/PI()*SQRT('Hilfstabellen_Mat&amp;Bem'!f.Rd.3/'Hilfstabellen_Mat&amp;Bem'!$BD$30)</f>
        <v>0.56036707403526409</v>
      </c>
      <c r="AJ253" s="553">
        <f>0.5*(1+'Hilfstabellen_Mat&amp;Bem'!$BD$31*($AI253-0.3)+$AI253^2)</f>
        <v>0.67002398253318474</v>
      </c>
      <c r="AK253" s="550">
        <f t="shared" si="187"/>
        <v>0.96400431150992794</v>
      </c>
      <c r="AM253" s="551">
        <f t="shared" si="239"/>
        <v>89676.501078211048</v>
      </c>
      <c r="AQ253" s="546">
        <f t="shared" si="195"/>
        <v>305</v>
      </c>
      <c r="AR253" s="551">
        <f t="shared" si="188"/>
        <v>36.344672683412504</v>
      </c>
      <c r="AS253" s="553">
        <f>$AR253/PI()*SQRT('Hilfstabellen_Mat&amp;Bem'!f.Rd.3/'Hilfstabellen_Mat&amp;Bem'!$BD$30)</f>
        <v>0.5784434312622081</v>
      </c>
      <c r="AT253" s="553">
        <f>0.5*(1+'Hilfstabellen_Mat&amp;Bem'!$BD$31*($AS253-0.3)+$AS253^2)</f>
        <v>0.68122057314830875</v>
      </c>
      <c r="AU253" s="550">
        <f t="shared" si="189"/>
        <v>0.96058474837301944</v>
      </c>
      <c r="AW253" s="551">
        <f t="shared" si="240"/>
        <v>89358.396217400135</v>
      </c>
      <c r="AZ253" s="547">
        <f>'Hilfstabellen_Mat&amp;Bem'!$J$56</f>
        <v>3.3</v>
      </c>
      <c r="BA253" s="546">
        <f t="shared" si="196"/>
        <v>305</v>
      </c>
      <c r="BB253" s="551">
        <f t="shared" si="197"/>
        <v>37.480443704769151</v>
      </c>
      <c r="BC253" s="553">
        <f>BB253/PI()*SQRT('Hilfstabellen_Mat&amp;Bem'!f.Rd.3/'Hilfstabellen_Mat&amp;Bem'!$BD$30)</f>
        <v>0.5965197884891521</v>
      </c>
      <c r="BD253" s="553">
        <f>0.5*(1+'Hilfstabellen_Mat&amp;Bem'!$BD$31*(BC253-0.3)+BC253^2)</f>
        <v>0.69274391845402894</v>
      </c>
      <c r="BE253" s="550">
        <f t="shared" si="198"/>
        <v>0.95697168603299865</v>
      </c>
      <c r="BG253" s="551">
        <f t="shared" si="199"/>
        <v>89022.291093219697</v>
      </c>
      <c r="BJ253" s="547">
        <f>'Hilfstabellen_Mat&amp;Bem'!$J$57</f>
        <v>3.4</v>
      </c>
      <c r="BK253" s="546">
        <f t="shared" si="200"/>
        <v>305</v>
      </c>
      <c r="BL253" s="551">
        <f t="shared" si="201"/>
        <v>38.616214726125783</v>
      </c>
      <c r="BM253" s="553">
        <f>BL253/PI()*SQRT('Hilfstabellen_Mat&amp;Bem'!f.Rd.3/'Hilfstabellen_Mat&amp;Bem'!$BD$30)</f>
        <v>0.614596145716096</v>
      </c>
      <c r="BN253" s="553">
        <f>0.5*(1+'Hilfstabellen_Mat&amp;Bem'!$BD$31*(BM253-0.3)+BM253^2)</f>
        <v>0.70459401845034508</v>
      </c>
      <c r="BO253" s="550">
        <f t="shared" si="202"/>
        <v>0.95314532218859571</v>
      </c>
      <c r="BQ253" s="551">
        <f t="shared" si="203"/>
        <v>88666.343596594117</v>
      </c>
      <c r="BT253" s="547">
        <f>'Hilfstabellen_Mat&amp;Bem'!$J$58</f>
        <v>3.5</v>
      </c>
      <c r="BU253" s="546">
        <f t="shared" si="204"/>
        <v>305</v>
      </c>
      <c r="BV253" s="551">
        <f t="shared" si="205"/>
        <v>39.751985747482422</v>
      </c>
      <c r="BW253" s="553">
        <f>BV253/PI()*SQRT('Hilfstabellen_Mat&amp;Bem'!f.Rd.3/'Hilfstabellen_Mat&amp;Bem'!$BD$30)</f>
        <v>0.63267250294304</v>
      </c>
      <c r="BX253" s="553">
        <f>0.5*(1+'Hilfstabellen_Mat&amp;Bem'!$BD$31*(BW253-0.3)+BW253^2)</f>
        <v>0.71677087313725751</v>
      </c>
      <c r="BY253" s="550">
        <f t="shared" si="206"/>
        <v>0.9490838456718409</v>
      </c>
      <c r="CA253" s="551">
        <f t="shared" si="207"/>
        <v>88288.524743622998</v>
      </c>
      <c r="CD253" s="547">
        <f>'Hilfstabellen_Mat&amp;Bem'!$J$59</f>
        <v>3.6</v>
      </c>
      <c r="CE253" s="546">
        <f t="shared" si="208"/>
        <v>305</v>
      </c>
      <c r="CF253" s="551">
        <f t="shared" si="209"/>
        <v>40.887756768839068</v>
      </c>
      <c r="CG253" s="553">
        <f>CF253/PI()*SQRT('Hilfstabellen_Mat&amp;Bem'!f.Rd.3/'Hilfstabellen_Mat&amp;Bem'!$BD$30)</f>
        <v>0.65074886016998412</v>
      </c>
      <c r="CH253" s="553">
        <f>0.5*(1+'Hilfstabellen_Mat&amp;Bem'!$BD$31*(CG253-0.3)+CG253^2)</f>
        <v>0.72927448251476601</v>
      </c>
      <c r="CI253" s="550">
        <f t="shared" si="210"/>
        <v>0.94476327431406959</v>
      </c>
      <c r="CK253" s="551">
        <f t="shared" si="211"/>
        <v>87886.60359306632</v>
      </c>
      <c r="CN253" s="547">
        <f>'Hilfstabellen_Mat&amp;Bem'!$J$60</f>
        <v>3.7</v>
      </c>
      <c r="CO253" s="546">
        <f t="shared" si="212"/>
        <v>305</v>
      </c>
      <c r="CP253" s="551">
        <f t="shared" si="213"/>
        <v>42.023527790195708</v>
      </c>
      <c r="CQ253" s="553">
        <f>CP253/PI()*SQRT('Hilfstabellen_Mat&amp;Bem'!f.Rd.3/'Hilfstabellen_Mat&amp;Bem'!$BD$30)</f>
        <v>0.66882521739692802</v>
      </c>
      <c r="CR253" s="553">
        <f>0.5*(1+'Hilfstabellen_Mat&amp;Bem'!$BD$31*(CQ253-0.3)+CQ253^2)</f>
        <v>0.74210484658287046</v>
      </c>
      <c r="CS253" s="550">
        <f t="shared" si="214"/>
        <v>0.94015731144516146</v>
      </c>
      <c r="CU253" s="551">
        <f t="shared" si="215"/>
        <v>87458.133897186141</v>
      </c>
      <c r="CX253" s="547">
        <f>'Hilfstabellen_Mat&amp;Bem'!$J$61</f>
        <v>3.8</v>
      </c>
      <c r="CY253" s="546">
        <f t="shared" si="216"/>
        <v>305</v>
      </c>
      <c r="CZ253" s="551">
        <f t="shared" si="217"/>
        <v>43.159298811552347</v>
      </c>
      <c r="DA253" s="553">
        <f>CZ253/PI()*SQRT('Hilfstabellen_Mat&amp;Bem'!f.Rd.3/'Hilfstabellen_Mat&amp;Bem'!$BD$30)</f>
        <v>0.68690157462387202</v>
      </c>
      <c r="DB253" s="553">
        <f>0.5*(1+'Hilfstabellen_Mat&amp;Bem'!$BD$31*(DA253-0.3)+DA253^2)</f>
        <v>0.75526196534157108</v>
      </c>
      <c r="DC253" s="550">
        <f t="shared" si="218"/>
        <v>0.93523723814154847</v>
      </c>
      <c r="DE253" s="551">
        <f t="shared" si="219"/>
        <v>87000.444078117551</v>
      </c>
      <c r="DH253" s="547">
        <f>'Hilfstabellen_Mat&amp;Bem'!$J$62</f>
        <v>3.9</v>
      </c>
      <c r="DI253" s="546">
        <f t="shared" si="220"/>
        <v>305</v>
      </c>
      <c r="DJ253" s="551">
        <f t="shared" si="221"/>
        <v>44.295069832908993</v>
      </c>
      <c r="DK253" s="553">
        <f>DJ253/PI()*SQRT('Hilfstabellen_Mat&amp;Bem'!f.Rd.3/'Hilfstabellen_Mat&amp;Bem'!$BD$30)</f>
        <v>0.70497793185081614</v>
      </c>
      <c r="DL253" s="553">
        <f>0.5*(1+'Hilfstabellen_Mat&amp;Bem'!$BD$31*(DK253-0.3)+DK253^2)</f>
        <v>0.76874583879086777</v>
      </c>
      <c r="DM253" s="550">
        <f t="shared" si="222"/>
        <v>0.92997186491640416</v>
      </c>
      <c r="DO253" s="551">
        <f t="shared" si="223"/>
        <v>86510.632733848499</v>
      </c>
      <c r="DR253" s="547">
        <f>'Hilfstabellen_Mat&amp;Bem'!$J$63</f>
        <v>4</v>
      </c>
      <c r="DS253" s="546">
        <f t="shared" si="224"/>
        <v>305</v>
      </c>
      <c r="DT253" s="551">
        <f t="shared" si="225"/>
        <v>45.430840854265632</v>
      </c>
      <c r="DU253" s="553">
        <f>DT253/PI()*SQRT('Hilfstabellen_Mat&amp;Bem'!f.Rd.3/'Hilfstabellen_Mat&amp;Bem'!$BD$30)</f>
        <v>0.72305428907776015</v>
      </c>
      <c r="DV253" s="553">
        <f>0.5*(1+'Hilfstabellen_Mat&amp;Bem'!$BD$31*(DU253-0.3)+DU253^2)</f>
        <v>0.78255646693076053</v>
      </c>
      <c r="DW253" s="550">
        <f t="shared" si="226"/>
        <v>0.92432757451782643</v>
      </c>
      <c r="DY253" s="551">
        <f t="shared" si="227"/>
        <v>85985.572619520797</v>
      </c>
      <c r="EB253" s="547">
        <f>'Hilfstabellen_Mat&amp;Bem'!$J$64</f>
        <v>4.0999999999999996</v>
      </c>
      <c r="EC253" s="546">
        <f t="shared" si="228"/>
        <v>305</v>
      </c>
      <c r="ED253" s="551">
        <f t="shared" si="229"/>
        <v>46.566611875622272</v>
      </c>
      <c r="EE253" s="553">
        <f>ED253/PI()*SQRT('Hilfstabellen_Mat&amp;Bem'!f.Rd.3/'Hilfstabellen_Mat&amp;Bem'!$BD$30)</f>
        <v>0.74113064630470404</v>
      </c>
      <c r="EF253" s="553">
        <f>0.5*(1+'Hilfstabellen_Mat&amp;Bem'!$BD$31*(EE253-0.3)+EE253^2)</f>
        <v>0.79669384976124935</v>
      </c>
      <c r="EG253" s="550">
        <f t="shared" si="230"/>
        <v>0.91826849653432685</v>
      </c>
      <c r="EI253" s="551">
        <f t="shared" si="231"/>
        <v>85421.926890105751</v>
      </c>
      <c r="EL253" s="547">
        <f>'Hilfstabellen_Mat&amp;Bem'!$J$65</f>
        <v>4.2</v>
      </c>
      <c r="EM253" s="546">
        <f t="shared" si="232"/>
        <v>305</v>
      </c>
      <c r="EN253" s="551">
        <f t="shared" si="233"/>
        <v>47.702382896978911</v>
      </c>
      <c r="EO253" s="553">
        <f>EN253/PI()*SQRT('Hilfstabellen_Mat&amp;Bem'!f.Rd.3/'Hilfstabellen_Mat&amp;Bem'!$BD$30)</f>
        <v>0.75920700353164805</v>
      </c>
      <c r="EP253" s="553">
        <f>0.5*(1+'Hilfstabellen_Mat&amp;Bem'!$BD$31*(EO253-0.3)+EO253^2)</f>
        <v>0.81115798728233424</v>
      </c>
      <c r="EQ253" s="550">
        <f t="shared" si="234"/>
        <v>0.91175686369919229</v>
      </c>
      <c r="ES253" s="551">
        <f t="shared" si="235"/>
        <v>84816.182245617369</v>
      </c>
    </row>
    <row r="254" spans="3:149">
      <c r="C254" s="546">
        <v>306</v>
      </c>
      <c r="D254" s="551">
        <f t="shared" si="190"/>
        <v>31.697661837861801</v>
      </c>
      <c r="E254" s="553">
        <f>$D254/PI()*SQRT('Hilfstabellen_Mat&amp;Bem'!f.Rd.3/'Hilfstabellen_Mat&amp;Bem'!$BD$30)</f>
        <v>0.50448395659510381</v>
      </c>
      <c r="F254" s="553">
        <f>0.5*(1+'Hilfstabellen_Mat&amp;Bem'!$BD$31*($E254-0.3)+$E254^2)</f>
        <v>0.63747622906068047</v>
      </c>
      <c r="G254" s="550">
        <f t="shared" si="191"/>
        <v>0.97353573748019684</v>
      </c>
      <c r="I254" s="551">
        <f t="shared" si="236"/>
        <v>91157.992314695715</v>
      </c>
      <c r="M254" s="546">
        <f t="shared" si="192"/>
        <v>306</v>
      </c>
      <c r="N254" s="551">
        <f t="shared" si="182"/>
        <v>32.829721189214013</v>
      </c>
      <c r="O254" s="553">
        <f>$N254/PI()*SQRT('Hilfstabellen_Mat&amp;Bem'!f.Rd.3/'Hilfstabellen_Mat&amp;Bem'!$BD$30)</f>
        <v>0.52250124075921478</v>
      </c>
      <c r="P254" s="553">
        <f>0.5*(1+'Hilfstabellen_Mat&amp;Bem'!$BD$31*($O254-0.3)+$O254^2)</f>
        <v>0.64762883533542015</v>
      </c>
      <c r="Q254" s="550">
        <f t="shared" si="183"/>
        <v>0.97061775078047008</v>
      </c>
      <c r="S254" s="551">
        <f t="shared" si="237"/>
        <v>90884.763712080094</v>
      </c>
      <c r="W254" s="546">
        <f t="shared" si="193"/>
        <v>306</v>
      </c>
      <c r="X254" s="551">
        <f t="shared" si="184"/>
        <v>33.961780540566224</v>
      </c>
      <c r="Y254" s="553">
        <f>$X254/PI()*SQRT('Hilfstabellen_Mat&amp;Bem'!f.Rd.3/'Hilfstabellen_Mat&amp;Bem'!$BD$30)</f>
        <v>0.54051852492332564</v>
      </c>
      <c r="Z254" s="553">
        <f>0.5*(1+'Hilfstabellen_Mat&amp;Bem'!$BD$31*($Y254-0.3)+$Y254^2)</f>
        <v>0.65810606413881012</v>
      </c>
      <c r="AA254" s="550">
        <f t="shared" si="185"/>
        <v>0.96755755765905538</v>
      </c>
      <c r="AC254" s="551">
        <f t="shared" si="238"/>
        <v>90598.219468963303</v>
      </c>
      <c r="AG254" s="546">
        <f t="shared" si="194"/>
        <v>306</v>
      </c>
      <c r="AH254" s="551">
        <f t="shared" si="186"/>
        <v>35.093839891918428</v>
      </c>
      <c r="AI254" s="553">
        <f>$AH254/PI()*SQRT('Hilfstabellen_Mat&amp;Bem'!f.Rd.3/'Hilfstabellen_Mat&amp;Bem'!$BD$30)</f>
        <v>0.5585358090874365</v>
      </c>
      <c r="AJ254" s="553">
        <f>0.5*(1+'Hilfstabellen_Mat&amp;Bem'!$BD$31*($AI254-0.3)+$AI254^2)</f>
        <v>0.66890791547085049</v>
      </c>
      <c r="AK254" s="550">
        <f t="shared" si="187"/>
        <v>0.96434066054433243</v>
      </c>
      <c r="AM254" s="551">
        <f t="shared" si="239"/>
        <v>90297.002090729118</v>
      </c>
      <c r="AQ254" s="546">
        <f t="shared" si="195"/>
        <v>306</v>
      </c>
      <c r="AR254" s="551">
        <f t="shared" si="188"/>
        <v>36.225899243270632</v>
      </c>
      <c r="AS254" s="553">
        <f>$AR254/PI()*SQRT('Hilfstabellen_Mat&amp;Bem'!f.Rd.3/'Hilfstabellen_Mat&amp;Bem'!$BD$30)</f>
        <v>0.57655309325154724</v>
      </c>
      <c r="AT254" s="553">
        <f>0.5*(1+'Hilfstabellen_Mat&amp;Bem'!$BD$31*($AS254-0.3)+$AS254^2)</f>
        <v>0.68003438933154103</v>
      </c>
      <c r="AU254" s="550">
        <f t="shared" si="189"/>
        <v>0.96095108521013484</v>
      </c>
      <c r="AW254" s="551">
        <f t="shared" si="240"/>
        <v>89979.615814736186</v>
      </c>
      <c r="AZ254" s="547">
        <f>'Hilfstabellen_Mat&amp;Bem'!$J$56</f>
        <v>3.3</v>
      </c>
      <c r="BA254" s="546">
        <f t="shared" si="196"/>
        <v>306</v>
      </c>
      <c r="BB254" s="551">
        <f t="shared" si="197"/>
        <v>37.357958594622843</v>
      </c>
      <c r="BC254" s="553">
        <f>BB254/PI()*SQRT('Hilfstabellen_Mat&amp;Bem'!f.Rd.3/'Hilfstabellen_Mat&amp;Bem'!$BD$30)</f>
        <v>0.59457037741565821</v>
      </c>
      <c r="BD254" s="553">
        <f>0.5*(1+'Hilfstabellen_Mat&amp;Bem'!$BD$31*(BC254-0.3)+BC254^2)</f>
        <v>0.69148548572088198</v>
      </c>
      <c r="BE254" s="550">
        <f t="shared" si="198"/>
        <v>0.95737122312743239</v>
      </c>
      <c r="BG254" s="551">
        <f t="shared" si="199"/>
        <v>89644.411848760254</v>
      </c>
      <c r="BJ254" s="547">
        <f>'Hilfstabellen_Mat&amp;Bem'!$J$57</f>
        <v>3.4</v>
      </c>
      <c r="BK254" s="546">
        <f t="shared" si="200"/>
        <v>306</v>
      </c>
      <c r="BL254" s="551">
        <f t="shared" si="201"/>
        <v>38.490017945975048</v>
      </c>
      <c r="BM254" s="553">
        <f>BL254/PI()*SQRT('Hilfstabellen_Mat&amp;Bem'!f.Rd.3/'Hilfstabellen_Mat&amp;Bem'!$BD$30)</f>
        <v>0.61258766157976896</v>
      </c>
      <c r="BN254" s="553">
        <f>0.5*(1+'Hilfstabellen_Mat&amp;Bem'!$BD$31*(BM254-0.3)+BM254^2)</f>
        <v>0.70326120463887321</v>
      </c>
      <c r="BO254" s="550">
        <f t="shared" si="202"/>
        <v>0.95358166712411119</v>
      </c>
      <c r="BQ254" s="551">
        <f t="shared" si="203"/>
        <v>89289.57298283327</v>
      </c>
      <c r="BT254" s="547">
        <f>'Hilfstabellen_Mat&amp;Bem'!$J$58</f>
        <v>3.5</v>
      </c>
      <c r="BU254" s="546">
        <f t="shared" si="204"/>
        <v>306</v>
      </c>
      <c r="BV254" s="551">
        <f t="shared" si="205"/>
        <v>39.622077297327259</v>
      </c>
      <c r="BW254" s="553">
        <f>BV254/PI()*SQRT('Hilfstabellen_Mat&amp;Bem'!f.Rd.3/'Hilfstabellen_Mat&amp;Bem'!$BD$30)</f>
        <v>0.63060494574387993</v>
      </c>
      <c r="BX254" s="553">
        <f>0.5*(1+'Hilfstabellen_Mat&amp;Bem'!$BD$31*(BW254-0.3)+BW254^2)</f>
        <v>0.71536154608551483</v>
      </c>
      <c r="BY254" s="550">
        <f t="shared" si="206"/>
        <v>0.94956104510826478</v>
      </c>
      <c r="CA254" s="551">
        <f t="shared" si="207"/>
        <v>88913.098019757483</v>
      </c>
      <c r="CD254" s="547">
        <f>'Hilfstabellen_Mat&amp;Bem'!$J$59</f>
        <v>3.6</v>
      </c>
      <c r="CE254" s="546">
        <f t="shared" si="208"/>
        <v>306</v>
      </c>
      <c r="CF254" s="551">
        <f t="shared" si="209"/>
        <v>40.754136648679463</v>
      </c>
      <c r="CG254" s="553">
        <f>CF254/PI()*SQRT('Hilfstabellen_Mat&amp;Bem'!f.Rd.3/'Hilfstabellen_Mat&amp;Bem'!$BD$30)</f>
        <v>0.64862222990799068</v>
      </c>
      <c r="CH254" s="553">
        <f>0.5*(1+'Hilfstabellen_Mat&amp;Bem'!$BD$31*(CG254-0.3)+CG254^2)</f>
        <v>0.72778651006080675</v>
      </c>
      <c r="CI254" s="550">
        <f t="shared" si="210"/>
        <v>0.94528585933696407</v>
      </c>
      <c r="CK254" s="551">
        <f t="shared" si="211"/>
        <v>88512.786724875972</v>
      </c>
      <c r="CN254" s="547">
        <f>'Hilfstabellen_Mat&amp;Bem'!$J$60</f>
        <v>3.7</v>
      </c>
      <c r="CO254" s="546">
        <f t="shared" si="212"/>
        <v>306</v>
      </c>
      <c r="CP254" s="551">
        <f t="shared" si="213"/>
        <v>41.886196000031667</v>
      </c>
      <c r="CQ254" s="553">
        <f>CP254/PI()*SQRT('Hilfstabellen_Mat&amp;Bem'!f.Rd.3/'Hilfstabellen_Mat&amp;Bem'!$BD$30)</f>
        <v>0.66663951407210142</v>
      </c>
      <c r="CR254" s="553">
        <f>0.5*(1+'Hilfstabellen_Mat&amp;Bem'!$BD$31*(CQ254-0.3)+CQ254^2)</f>
        <v>0.74053609656474884</v>
      </c>
      <c r="CS254" s="550">
        <f t="shared" si="214"/>
        <v>0.94073034242047537</v>
      </c>
      <c r="CU254" s="551">
        <f t="shared" si="215"/>
        <v>88086.22634288363</v>
      </c>
      <c r="CX254" s="547">
        <f>'Hilfstabellen_Mat&amp;Bem'!$J$61</f>
        <v>3.8</v>
      </c>
      <c r="CY254" s="546">
        <f t="shared" si="216"/>
        <v>306</v>
      </c>
      <c r="CZ254" s="551">
        <f t="shared" si="217"/>
        <v>43.018255351383878</v>
      </c>
      <c r="DA254" s="553">
        <f>CZ254/PI()*SQRT('Hilfstabellen_Mat&amp;Bem'!f.Rd.3/'Hilfstabellen_Mat&amp;Bem'!$BD$30)</f>
        <v>0.68465679823621239</v>
      </c>
      <c r="DB254" s="553">
        <f>0.5*(1+'Hilfstabellen_Mat&amp;Bem'!$BD$31*(DA254-0.3)+DA254^2)</f>
        <v>0.75361030559734143</v>
      </c>
      <c r="DC254" s="550">
        <f t="shared" si="218"/>
        <v>0.9358663461500859</v>
      </c>
      <c r="DE254" s="551">
        <f t="shared" si="219"/>
        <v>87630.781188109439</v>
      </c>
      <c r="DH254" s="547">
        <f>'Hilfstabellen_Mat&amp;Bem'!$J$62</f>
        <v>3.9</v>
      </c>
      <c r="DI254" s="546">
        <f t="shared" si="220"/>
        <v>306</v>
      </c>
      <c r="DJ254" s="551">
        <f t="shared" si="221"/>
        <v>44.150314702736082</v>
      </c>
      <c r="DK254" s="553">
        <f>DJ254/PI()*SQRT('Hilfstabellen_Mat&amp;Bem'!f.Rd.3/'Hilfstabellen_Mat&amp;Bem'!$BD$30)</f>
        <v>0.70267408240032314</v>
      </c>
      <c r="DL254" s="553">
        <f>0.5*(1+'Hilfstabellen_Mat&amp;Bem'!$BD$31*(DK254-0.3)+DK254^2)</f>
        <v>0.76700913715858421</v>
      </c>
      <c r="DM254" s="550">
        <f t="shared" si="222"/>
        <v>0.93066328548560251</v>
      </c>
      <c r="DO254" s="551">
        <f t="shared" si="223"/>
        <v>87143.587399729877</v>
      </c>
      <c r="DR254" s="547">
        <f>'Hilfstabellen_Mat&amp;Bem'!$J$63</f>
        <v>4</v>
      </c>
      <c r="DS254" s="546">
        <f t="shared" si="224"/>
        <v>306</v>
      </c>
      <c r="DT254" s="551">
        <f t="shared" si="225"/>
        <v>45.282374054088294</v>
      </c>
      <c r="DU254" s="553">
        <f>DT254/PI()*SQRT('Hilfstabellen_Mat&amp;Bem'!f.Rd.3/'Hilfstabellen_Mat&amp;Bem'!$BD$30)</f>
        <v>0.72069136656443411</v>
      </c>
      <c r="DV254" s="553">
        <f>0.5*(1+'Hilfstabellen_Mat&amp;Bem'!$BD$31*(DU254-0.3)+DU254^2)</f>
        <v>0.78073259124847749</v>
      </c>
      <c r="DW254" s="550">
        <f t="shared" si="226"/>
        <v>0.92508816765448754</v>
      </c>
      <c r="DY254" s="551">
        <f t="shared" si="227"/>
        <v>86621.555666495595</v>
      </c>
      <c r="EB254" s="547">
        <f>'Hilfstabellen_Mat&amp;Bem'!$J$64</f>
        <v>4.0999999999999996</v>
      </c>
      <c r="EC254" s="546">
        <f t="shared" si="228"/>
        <v>306</v>
      </c>
      <c r="ED254" s="551">
        <f t="shared" si="229"/>
        <v>46.414433405440498</v>
      </c>
      <c r="EE254" s="553">
        <f>ED254/PI()*SQRT('Hilfstabellen_Mat&amp;Bem'!f.Rd.3/'Hilfstabellen_Mat&amp;Bem'!$BD$30)</f>
        <v>0.73870865072854486</v>
      </c>
      <c r="EF254" s="553">
        <f>0.5*(1+'Hilfstabellen_Mat&amp;Bem'!$BD$31*(EE254-0.3)+EE254^2)</f>
        <v>0.79478066786702084</v>
      </c>
      <c r="EG254" s="550">
        <f t="shared" si="230"/>
        <v>0.91910574502441122</v>
      </c>
      <c r="EI254" s="551">
        <f t="shared" si="231"/>
        <v>86061.385541105774</v>
      </c>
      <c r="EL254" s="547">
        <f>'Hilfstabellen_Mat&amp;Bem'!$J$65</f>
        <v>4.2</v>
      </c>
      <c r="EM254" s="546">
        <f t="shared" si="232"/>
        <v>306</v>
      </c>
      <c r="EN254" s="551">
        <f t="shared" si="233"/>
        <v>47.546492756792702</v>
      </c>
      <c r="EO254" s="553">
        <f>EN254/PI()*SQRT('Hilfstabellen_Mat&amp;Bem'!f.Rd.3/'Hilfstabellen_Mat&amp;Bem'!$BD$30)</f>
        <v>0.75672593489265572</v>
      </c>
      <c r="EP254" s="553">
        <f>0.5*(1+'Hilfstabellen_Mat&amp;Bem'!$BD$31*(EO254-0.3)+EO254^2)</f>
        <v>0.80915336701421481</v>
      </c>
      <c r="EQ254" s="550">
        <f t="shared" si="234"/>
        <v>0.9126788394236639</v>
      </c>
      <c r="ES254" s="551">
        <f t="shared" si="235"/>
        <v>85459.5958082742</v>
      </c>
    </row>
    <row r="255" spans="3:149">
      <c r="C255" s="546">
        <v>307</v>
      </c>
      <c r="D255" s="551">
        <f t="shared" si="190"/>
        <v>31.594412125034896</v>
      </c>
      <c r="E255" s="553">
        <f>$D255/PI()*SQRT('Hilfstabellen_Mat&amp;Bem'!f.Rd.3/'Hilfstabellen_Mat&amp;Bem'!$BD$30)</f>
        <v>0.50284068637818169</v>
      </c>
      <c r="F255" s="553">
        <f>0.5*(1+'Hilfstabellen_Mat&amp;Bem'!$BD$31*($E255-0.3)+$E255^2)</f>
        <v>0.63656641225754951</v>
      </c>
      <c r="G255" s="550">
        <f t="shared" si="191"/>
        <v>0.97379526321142573</v>
      </c>
      <c r="I255" s="551">
        <f t="shared" si="236"/>
        <v>91779.22976241367</v>
      </c>
      <c r="M255" s="546">
        <f t="shared" si="192"/>
        <v>307</v>
      </c>
      <c r="N255" s="551">
        <f t="shared" si="182"/>
        <v>32.722783986643286</v>
      </c>
      <c r="O255" s="553">
        <f>$N255/PI()*SQRT('Hilfstabellen_Mat&amp;Bem'!f.Rd.3/'Hilfstabellen_Mat&amp;Bem'!$BD$30)</f>
        <v>0.52079928232025974</v>
      </c>
      <c r="P255" s="553">
        <f>0.5*(1+'Hilfstabellen_Mat&amp;Bem'!$BD$31*($O255-0.3)+$O255^2)</f>
        <v>0.64665591034866177</v>
      </c>
      <c r="Q255" s="550">
        <f t="shared" si="183"/>
        <v>0.97089925843048275</v>
      </c>
      <c r="S255" s="551">
        <f t="shared" si="237"/>
        <v>91506.284207814562</v>
      </c>
      <c r="W255" s="546">
        <f t="shared" si="193"/>
        <v>307</v>
      </c>
      <c r="X255" s="551">
        <f t="shared" si="184"/>
        <v>33.851155848251672</v>
      </c>
      <c r="Y255" s="553">
        <f>$X255/PI()*SQRT('Hilfstabellen_Mat&amp;Bem'!f.Rd.3/'Hilfstabellen_Mat&amp;Bem'!$BD$30)</f>
        <v>0.53875787826233756</v>
      </c>
      <c r="Z255" s="553">
        <f>0.5*(1+'Hilfstabellen_Mat&amp;Bem'!$BD$31*($Y255-0.3)+$Y255^2)</f>
        <v>0.65706791960798472</v>
      </c>
      <c r="AA255" s="550">
        <f t="shared" si="185"/>
        <v>0.96786326298508274</v>
      </c>
      <c r="AC255" s="551">
        <f t="shared" si="238"/>
        <v>91220.144673081057</v>
      </c>
      <c r="AG255" s="546">
        <f t="shared" si="194"/>
        <v>307</v>
      </c>
      <c r="AH255" s="551">
        <f t="shared" si="186"/>
        <v>34.979527709860058</v>
      </c>
      <c r="AI255" s="553">
        <f>$AH255/PI()*SQRT('Hilfstabellen_Mat&amp;Bem'!f.Rd.3/'Hilfstabellen_Mat&amp;Bem'!$BD$30)</f>
        <v>0.55671647420441539</v>
      </c>
      <c r="AJ255" s="553">
        <f>0.5*(1+'Hilfstabellen_Mat&amp;Bem'!$BD$31*($AI255-0.3)+$AI255^2)</f>
        <v>0.66780244003551847</v>
      </c>
      <c r="AK255" s="550">
        <f t="shared" si="187"/>
        <v>0.96467305325208308</v>
      </c>
      <c r="AM255" s="551">
        <f t="shared" si="239"/>
        <v>90919.470595955572</v>
      </c>
      <c r="AQ255" s="546">
        <f t="shared" si="195"/>
        <v>307</v>
      </c>
      <c r="AR255" s="551">
        <f t="shared" si="188"/>
        <v>36.107899571468444</v>
      </c>
      <c r="AS255" s="553">
        <f>$AR255/PI()*SQRT('Hilfstabellen_Mat&amp;Bem'!f.Rd.3/'Hilfstabellen_Mat&amp;Bem'!$BD$30)</f>
        <v>0.57467507014649333</v>
      </c>
      <c r="AT255" s="553">
        <f>0.5*(1+'Hilfstabellen_Mat&amp;Bem'!$BD$31*($AS255-0.3)+$AS255^2)</f>
        <v>0.67885947163126314</v>
      </c>
      <c r="AU255" s="550">
        <f t="shared" si="189"/>
        <v>0.96131296284494039</v>
      </c>
      <c r="AW255" s="551">
        <f t="shared" si="240"/>
        <v>90602.785435172787</v>
      </c>
      <c r="AZ255" s="547">
        <f>'Hilfstabellen_Mat&amp;Bem'!$J$56</f>
        <v>3.3</v>
      </c>
      <c r="BA255" s="546">
        <f t="shared" si="196"/>
        <v>307</v>
      </c>
      <c r="BB255" s="551">
        <f t="shared" si="197"/>
        <v>37.236271433076837</v>
      </c>
      <c r="BC255" s="553">
        <f>BB255/PI()*SQRT('Hilfstabellen_Mat&amp;Bem'!f.Rd.3/'Hilfstabellen_Mat&amp;Bem'!$BD$30)</f>
        <v>0.59263366608857126</v>
      </c>
      <c r="BD255" s="553">
        <f>0.5*(1+'Hilfstabellen_Mat&amp;Bem'!$BD$31*(BC255-0.3)+BC255^2)</f>
        <v>0.69023901439521862</v>
      </c>
      <c r="BE255" s="550">
        <f t="shared" si="198"/>
        <v>0.9577657283434392</v>
      </c>
      <c r="BG255" s="551">
        <f t="shared" si="199"/>
        <v>90268.462130640808</v>
      </c>
      <c r="BJ255" s="547">
        <f>'Hilfstabellen_Mat&amp;Bem'!$J$57</f>
        <v>3.4</v>
      </c>
      <c r="BK255" s="546">
        <f t="shared" si="200"/>
        <v>307</v>
      </c>
      <c r="BL255" s="551">
        <f t="shared" si="201"/>
        <v>38.364643294685223</v>
      </c>
      <c r="BM255" s="553">
        <f>BL255/PI()*SQRT('Hilfstabellen_Mat&amp;Bem'!f.Rd.3/'Hilfstabellen_Mat&amp;Bem'!$BD$30)</f>
        <v>0.6105922620306492</v>
      </c>
      <c r="BN255" s="553">
        <f>0.5*(1+'Hilfstabellen_Mat&amp;Bem'!$BD$31*(BM255-0.3)+BM255^2)</f>
        <v>0.7019410683273849</v>
      </c>
      <c r="BO255" s="550">
        <f t="shared" si="202"/>
        <v>0.95401232810480041</v>
      </c>
      <c r="BQ255" s="551">
        <f t="shared" si="203"/>
        <v>89914.70791154934</v>
      </c>
      <c r="BT255" s="547">
        <f>'Hilfstabellen_Mat&amp;Bem'!$J$58</f>
        <v>3.5</v>
      </c>
      <c r="BU255" s="546">
        <f t="shared" si="204"/>
        <v>307</v>
      </c>
      <c r="BV255" s="551">
        <f t="shared" si="205"/>
        <v>39.493015156293616</v>
      </c>
      <c r="BW255" s="553">
        <f>BV255/PI()*SQRT('Hilfstabellen_Mat&amp;Bem'!f.Rd.3/'Hilfstabellen_Mat&amp;Bem'!$BD$30)</f>
        <v>0.62855085797272714</v>
      </c>
      <c r="BX255" s="553">
        <f>0.5*(1+'Hilfstabellen_Mat&amp;Bem'!$BD$31*(BW255-0.3)+BW255^2)</f>
        <v>0.71396563342776209</v>
      </c>
      <c r="BY255" s="550">
        <f t="shared" si="206"/>
        <v>0.95003181857541952</v>
      </c>
      <c r="CA255" s="551">
        <f t="shared" si="207"/>
        <v>89539.548868914717</v>
      </c>
      <c r="CD255" s="547">
        <f>'Hilfstabellen_Mat&amp;Bem'!$J$59</f>
        <v>3.6</v>
      </c>
      <c r="CE255" s="546">
        <f t="shared" si="208"/>
        <v>307</v>
      </c>
      <c r="CF255" s="551">
        <f t="shared" si="209"/>
        <v>40.621387017902002</v>
      </c>
      <c r="CG255" s="553">
        <f>CF255/PI()*SQRT('Hilfstabellen_Mat&amp;Bem'!f.Rd.3/'Hilfstabellen_Mat&amp;Bem'!$BD$30)</f>
        <v>0.64650945391480497</v>
      </c>
      <c r="CH255" s="553">
        <f>0.5*(1+'Hilfstabellen_Mat&amp;Bem'!$BD$31*(CG255-0.3)+CG255^2)</f>
        <v>0.72631270969634998</v>
      </c>
      <c r="CI255" s="550">
        <f t="shared" si="210"/>
        <v>0.94580117509062289</v>
      </c>
      <c r="CK255" s="551">
        <f t="shared" si="211"/>
        <v>89140.814951116117</v>
      </c>
      <c r="CN255" s="547">
        <f>'Hilfstabellen_Mat&amp;Bem'!$J$60</f>
        <v>3.7</v>
      </c>
      <c r="CO255" s="546">
        <f t="shared" si="212"/>
        <v>307</v>
      </c>
      <c r="CP255" s="551">
        <f t="shared" si="213"/>
        <v>41.749758879510395</v>
      </c>
      <c r="CQ255" s="553">
        <f>CP255/PI()*SQRT('Hilfstabellen_Mat&amp;Bem'!f.Rd.3/'Hilfstabellen_Mat&amp;Bem'!$BD$30)</f>
        <v>0.6644680498568829</v>
      </c>
      <c r="CR255" s="553">
        <f>0.5*(1+'Hilfstabellen_Mat&amp;Bem'!$BD$31*(CQ255-0.3)+CQ255^2)</f>
        <v>0.73898229713314867</v>
      </c>
      <c r="CS255" s="550">
        <f t="shared" si="214"/>
        <v>0.94129514764903444</v>
      </c>
      <c r="CU255" s="551">
        <f t="shared" si="215"/>
        <v>88716.12637077384</v>
      </c>
      <c r="CX255" s="547">
        <f>'Hilfstabellen_Mat&amp;Bem'!$J$61</f>
        <v>3.8</v>
      </c>
      <c r="CY255" s="546">
        <f t="shared" si="216"/>
        <v>307</v>
      </c>
      <c r="CZ255" s="551">
        <f t="shared" si="217"/>
        <v>42.878130741118781</v>
      </c>
      <c r="DA255" s="553">
        <f>CZ255/PI()*SQRT('Hilfstabellen_Mat&amp;Bem'!f.Rd.3/'Hilfstabellen_Mat&amp;Bem'!$BD$30)</f>
        <v>0.68242664579896084</v>
      </c>
      <c r="DB255" s="553">
        <f>0.5*(1+'Hilfstabellen_Mat&amp;Bem'!$BD$31*(DA255-0.3)+DA255^2)</f>
        <v>0.75197439573815827</v>
      </c>
      <c r="DC255" s="550">
        <f t="shared" si="218"/>
        <v>0.9364861467822313</v>
      </c>
      <c r="DE255" s="551">
        <f t="shared" si="219"/>
        <v>88262.882848078516</v>
      </c>
      <c r="DH255" s="547">
        <f>'Hilfstabellen_Mat&amp;Bem'!$J$62</f>
        <v>3.9</v>
      </c>
      <c r="DI255" s="546">
        <f t="shared" si="220"/>
        <v>307</v>
      </c>
      <c r="DJ255" s="551">
        <f t="shared" si="221"/>
        <v>44.006502602727174</v>
      </c>
      <c r="DK255" s="553">
        <f>DJ255/PI()*SQRT('Hilfstabellen_Mat&amp;Bem'!f.Rd.3/'Hilfstabellen_Mat&amp;Bem'!$BD$30)</f>
        <v>0.70038524174103878</v>
      </c>
      <c r="DL255" s="553">
        <f>0.5*(1+'Hilfstabellen_Mat&amp;Bem'!$BD$31*(DK255-0.3)+DK255^2)</f>
        <v>0.76528900551137857</v>
      </c>
      <c r="DM255" s="550">
        <f t="shared" si="222"/>
        <v>0.9313441805727376</v>
      </c>
      <c r="DO255" s="551">
        <f t="shared" si="223"/>
        <v>87778.257674799941</v>
      </c>
      <c r="DR255" s="547">
        <f>'Hilfstabellen_Mat&amp;Bem'!$J$63</f>
        <v>4</v>
      </c>
      <c r="DS255" s="546">
        <f t="shared" si="224"/>
        <v>307</v>
      </c>
      <c r="DT255" s="551">
        <f t="shared" si="225"/>
        <v>45.13487446433556</v>
      </c>
      <c r="DU255" s="553">
        <f>DT255/PI()*SQRT('Hilfstabellen_Mat&amp;Bem'!f.Rd.3/'Hilfstabellen_Mat&amp;Bem'!$BD$30)</f>
        <v>0.7183438376831166</v>
      </c>
      <c r="DV255" s="553">
        <f>0.5*(1+'Hilfstabellen_Mat&amp;Bem'!$BD$31*(DU255-0.3)+DU255^2)</f>
        <v>0.77892612645280979</v>
      </c>
      <c r="DW255" s="550">
        <f t="shared" si="226"/>
        <v>0.92583687114388469</v>
      </c>
      <c r="DY255" s="551">
        <f t="shared" si="227"/>
        <v>87259.199268439988</v>
      </c>
      <c r="EB255" s="547">
        <f>'Hilfstabellen_Mat&amp;Bem'!$J$64</f>
        <v>4.0999999999999996</v>
      </c>
      <c r="EC255" s="546">
        <f t="shared" si="228"/>
        <v>307</v>
      </c>
      <c r="ED255" s="551">
        <f t="shared" si="229"/>
        <v>46.263246325943953</v>
      </c>
      <c r="EE255" s="553">
        <f>ED255/PI()*SQRT('Hilfstabellen_Mat&amp;Bem'!f.Rd.3/'Hilfstabellen_Mat&amp;Bem'!$BD$30)</f>
        <v>0.73630243362519465</v>
      </c>
      <c r="EF255" s="553">
        <f>0.5*(1+'Hilfstabellen_Mat&amp;Bem'!$BD$31*(EE255-0.3)+EE255^2)</f>
        <v>0.7928857585624518</v>
      </c>
      <c r="EG255" s="550">
        <f t="shared" si="230"/>
        <v>0.91992958733193497</v>
      </c>
      <c r="EI255" s="551">
        <f t="shared" si="231"/>
        <v>86702.443676447539</v>
      </c>
      <c r="EL255" s="547">
        <f>'Hilfstabellen_Mat&amp;Bem'!$J$65</f>
        <v>4.2</v>
      </c>
      <c r="EM255" s="546">
        <f t="shared" si="232"/>
        <v>307</v>
      </c>
      <c r="EN255" s="551">
        <f t="shared" si="233"/>
        <v>47.391618187552339</v>
      </c>
      <c r="EO255" s="553">
        <f>EN255/PI()*SQRT('Hilfstabellen_Mat&amp;Bem'!f.Rd.3/'Hilfstabellen_Mat&amp;Bem'!$BD$30)</f>
        <v>0.75426102956727259</v>
      </c>
      <c r="EP255" s="553">
        <f>0.5*(1+'Hilfstabellen_Mat&amp;Bem'!$BD$31*(EO255-0.3)+EO255^2)</f>
        <v>0.80716790184030462</v>
      </c>
      <c r="EQ255" s="550">
        <f t="shared" si="234"/>
        <v>0.91358573906341212</v>
      </c>
      <c r="ES255" s="551">
        <f t="shared" si="235"/>
        <v>86104.54232098753</v>
      </c>
    </row>
    <row r="256" spans="3:149">
      <c r="C256" s="546">
        <v>308</v>
      </c>
      <c r="D256" s="551">
        <f t="shared" si="190"/>
        <v>31.491832864888679</v>
      </c>
      <c r="E256" s="553">
        <f>$D256/PI()*SQRT('Hilfstabellen_Mat&amp;Bem'!f.Rd.3/'Hilfstabellen_Mat&amp;Bem'!$BD$30)</f>
        <v>0.50120808674708373</v>
      </c>
      <c r="F256" s="553">
        <f>0.5*(1+'Hilfstabellen_Mat&amp;Bem'!$BD$31*($E256-0.3)+$E256^2)</f>
        <v>0.63566517744769035</v>
      </c>
      <c r="G256" s="550">
        <f t="shared" si="191"/>
        <v>0.97405205093094493</v>
      </c>
      <c r="I256" s="551">
        <f t="shared" si="236"/>
        <v>92402.473759513159</v>
      </c>
      <c r="M256" s="546">
        <f t="shared" si="192"/>
        <v>308</v>
      </c>
      <c r="N256" s="551">
        <f t="shared" si="182"/>
        <v>32.616541181491847</v>
      </c>
      <c r="O256" s="553">
        <f>$N256/PI()*SQRT('Hilfstabellen_Mat&amp;Bem'!f.Rd.3/'Hilfstabellen_Mat&amp;Bem'!$BD$30)</f>
        <v>0.51910837555947953</v>
      </c>
      <c r="P256" s="553">
        <f>0.5*(1+'Hilfstabellen_Mat&amp;Bem'!$BD$31*($O256-0.3)+$O256^2)</f>
        <v>0.6456921715659748</v>
      </c>
      <c r="Q256" s="550">
        <f t="shared" si="183"/>
        <v>0.97117769391823083</v>
      </c>
      <c r="S256" s="551">
        <f t="shared" si="237"/>
        <v>92129.800755859047</v>
      </c>
      <c r="W256" s="546">
        <f t="shared" si="193"/>
        <v>308</v>
      </c>
      <c r="X256" s="551">
        <f t="shared" si="184"/>
        <v>33.741249498095009</v>
      </c>
      <c r="Y256" s="553">
        <f>$X256/PI()*SQRT('Hilfstabellen_Mat&amp;Bem'!f.Rd.3/'Hilfstabellen_Mat&amp;Bem'!$BD$30)</f>
        <v>0.53700866437187533</v>
      </c>
      <c r="Z256" s="553">
        <f>0.5*(1+'Hilfstabellen_Mat&amp;Bem'!$BD$31*($Y256-0.3)+$Y256^2)</f>
        <v>0.6560395860238265</v>
      </c>
      <c r="AA256" s="550">
        <f t="shared" si="185"/>
        <v>0.96816551646067583</v>
      </c>
      <c r="AC256" s="551">
        <f t="shared" si="238"/>
        <v>91844.053553525548</v>
      </c>
      <c r="AG256" s="546">
        <f t="shared" si="194"/>
        <v>308</v>
      </c>
      <c r="AH256" s="551">
        <f t="shared" si="186"/>
        <v>34.865957814698177</v>
      </c>
      <c r="AI256" s="553">
        <f>$AH256/PI()*SQRT('Hilfstabellen_Mat&amp;Bem'!f.Rd.3/'Hilfstabellen_Mat&amp;Bem'!$BD$30)</f>
        <v>0.55490895318427125</v>
      </c>
      <c r="AJ256" s="553">
        <f>0.5*(1+'Hilfstabellen_Mat&amp;Bem'!$BD$31*($AI256-0.3)+$AI256^2)</f>
        <v>0.66670742082124546</v>
      </c>
      <c r="AK256" s="550">
        <f t="shared" si="187"/>
        <v>0.96500156230224454</v>
      </c>
      <c r="AM256" s="551">
        <f t="shared" si="239"/>
        <v>91543.908206240128</v>
      </c>
      <c r="AQ256" s="546">
        <f t="shared" si="195"/>
        <v>308</v>
      </c>
      <c r="AR256" s="551">
        <f t="shared" si="188"/>
        <v>35.990666131301346</v>
      </c>
      <c r="AS256" s="553">
        <f>$AR256/PI()*SQRT('Hilfstabellen_Mat&amp;Bem'!f.Rd.3/'Hilfstabellen_Mat&amp;Bem'!$BD$30)</f>
        <v>0.57280924199666705</v>
      </c>
      <c r="AT256" s="553">
        <f>0.5*(1+'Hilfstabellen_Mat&amp;Bem'!$BD$31*($AS256-0.3)+$AS256^2)</f>
        <v>0.67769567595823155</v>
      </c>
      <c r="AU256" s="550">
        <f t="shared" si="189"/>
        <v>0.96167046543981471</v>
      </c>
      <c r="AW256" s="551">
        <f t="shared" si="240"/>
        <v>91227.907033482581</v>
      </c>
      <c r="AZ256" s="547">
        <f>'Hilfstabellen_Mat&amp;Bem'!$J$56</f>
        <v>3.3</v>
      </c>
      <c r="BA256" s="546">
        <f t="shared" si="196"/>
        <v>308</v>
      </c>
      <c r="BB256" s="551">
        <f t="shared" si="197"/>
        <v>37.115374447904507</v>
      </c>
      <c r="BC256" s="553">
        <f>BB256/PI()*SQRT('Hilfstabellen_Mat&amp;Bem'!f.Rd.3/'Hilfstabellen_Mat&amp;Bem'!$BD$30)</f>
        <v>0.59070953080906285</v>
      </c>
      <c r="BD256" s="553">
        <f>0.5*(1+'Hilfstabellen_Mat&amp;Bem'!$BD$31*(BC256-0.3)+BC256^2)</f>
        <v>0.68900435143478478</v>
      </c>
      <c r="BE256" s="550">
        <f t="shared" si="198"/>
        <v>0.95815529917458298</v>
      </c>
      <c r="BG256" s="551">
        <f t="shared" si="199"/>
        <v>90894.444300897638</v>
      </c>
      <c r="BJ256" s="547">
        <f>'Hilfstabellen_Mat&amp;Bem'!$J$57</f>
        <v>3.4</v>
      </c>
      <c r="BK256" s="546">
        <f t="shared" si="200"/>
        <v>308</v>
      </c>
      <c r="BL256" s="551">
        <f t="shared" si="201"/>
        <v>38.240082764507676</v>
      </c>
      <c r="BM256" s="553">
        <f>BL256/PI()*SQRT('Hilfstabellen_Mat&amp;Bem'!f.Rd.3/'Hilfstabellen_Mat&amp;Bem'!$BD$30)</f>
        <v>0.60860981962145877</v>
      </c>
      <c r="BN256" s="553">
        <f>0.5*(1+'Hilfstabellen_Mat&amp;Bem'!$BD$31*(BM256-0.3)+BM256^2)</f>
        <v>0.70063344725090526</v>
      </c>
      <c r="BO256" s="550">
        <f t="shared" si="202"/>
        <v>0.95443741804964</v>
      </c>
      <c r="BQ256" s="551">
        <f t="shared" si="203"/>
        <v>90541.751225861051</v>
      </c>
      <c r="BT256" s="547">
        <f>'Hilfstabellen_Mat&amp;Bem'!$J$58</f>
        <v>3.5</v>
      </c>
      <c r="BU256" s="546">
        <f t="shared" si="204"/>
        <v>308</v>
      </c>
      <c r="BV256" s="551">
        <f t="shared" si="205"/>
        <v>39.364791081110845</v>
      </c>
      <c r="BW256" s="553">
        <f>BV256/PI()*SQRT('Hilfstabellen_Mat&amp;Bem'!f.Rd.3/'Hilfstabellen_Mat&amp;Bem'!$BD$30)</f>
        <v>0.62651010843385457</v>
      </c>
      <c r="BX256" s="553">
        <f>0.5*(1+'Hilfstabellen_Mat&amp;Bem'!$BD$31*(BW256-0.3)+BW256^2)</f>
        <v>0.71258296340659288</v>
      </c>
      <c r="BY256" s="550">
        <f t="shared" si="206"/>
        <v>0.95049629677885661</v>
      </c>
      <c r="CA256" s="551">
        <f t="shared" si="207"/>
        <v>90167.880697629458</v>
      </c>
      <c r="CD256" s="547">
        <f>'Hilfstabellen_Mat&amp;Bem'!$J$59</f>
        <v>3.6</v>
      </c>
      <c r="CE256" s="546">
        <f t="shared" si="208"/>
        <v>308</v>
      </c>
      <c r="CF256" s="551">
        <f t="shared" si="209"/>
        <v>40.489499397714013</v>
      </c>
      <c r="CG256" s="553">
        <f>CF256/PI()*SQRT('Hilfstabellen_Mat&amp;Bem'!f.Rd.3/'Hilfstabellen_Mat&amp;Bem'!$BD$30)</f>
        <v>0.64441039724625049</v>
      </c>
      <c r="CH256" s="553">
        <f>0.5*(1+'Hilfstabellen_Mat&amp;Bem'!$BD$31*(CG256-0.3)+CG256^2)</f>
        <v>0.72485289990184776</v>
      </c>
      <c r="CI256" s="550">
        <f t="shared" si="210"/>
        <v>0.94630937269121784</v>
      </c>
      <c r="CK256" s="551">
        <f t="shared" si="211"/>
        <v>89770.692330979684</v>
      </c>
      <c r="CN256" s="547">
        <f>'Hilfstabellen_Mat&amp;Bem'!$J$60</f>
        <v>3.7</v>
      </c>
      <c r="CO256" s="546">
        <f t="shared" si="212"/>
        <v>308</v>
      </c>
      <c r="CP256" s="551">
        <f t="shared" si="213"/>
        <v>41.614207714317182</v>
      </c>
      <c r="CQ256" s="553">
        <f>CP256/PI()*SQRT('Hilfstabellen_Mat&amp;Bem'!f.Rd.3/'Hilfstabellen_Mat&amp;Bem'!$BD$30)</f>
        <v>0.6623106860586464</v>
      </c>
      <c r="CR256" s="553">
        <f>0.5*(1+'Hilfstabellen_Mat&amp;Bem'!$BD$31*(CQ256-0.3)+CQ256^2)</f>
        <v>0.73744325673666977</v>
      </c>
      <c r="CS256" s="550">
        <f t="shared" si="214"/>
        <v>0.94185190151675247</v>
      </c>
      <c r="CU256" s="551">
        <f t="shared" si="215"/>
        <v>89347.838785485204</v>
      </c>
      <c r="CX256" s="547">
        <f>'Hilfstabellen_Mat&amp;Bem'!$J$61</f>
        <v>3.8</v>
      </c>
      <c r="CY256" s="546">
        <f t="shared" si="216"/>
        <v>308</v>
      </c>
      <c r="CZ256" s="551">
        <f t="shared" si="217"/>
        <v>42.738916030920343</v>
      </c>
      <c r="DA256" s="553">
        <f>CZ256/PI()*SQRT('Hilfstabellen_Mat&amp;Bem'!f.Rd.3/'Hilfstabellen_Mat&amp;Bem'!$BD$30)</f>
        <v>0.6802109748710421</v>
      </c>
      <c r="DB256" s="553">
        <f>0.5*(1+'Hilfstabellen_Mat&amp;Bem'!$BD$31*(DA256-0.3)+DA256^2)</f>
        <v>0.75035403391105882</v>
      </c>
      <c r="DC256" s="550">
        <f t="shared" si="218"/>
        <v>0.93709684072379207</v>
      </c>
      <c r="DE256" s="551">
        <f t="shared" si="219"/>
        <v>88896.754698421806</v>
      </c>
      <c r="DH256" s="547">
        <f>'Hilfstabellen_Mat&amp;Bem'!$J$62</f>
        <v>3.9</v>
      </c>
      <c r="DI256" s="546">
        <f t="shared" si="220"/>
        <v>308</v>
      </c>
      <c r="DJ256" s="551">
        <f t="shared" si="221"/>
        <v>43.863624347523512</v>
      </c>
      <c r="DK256" s="553">
        <f>DJ256/PI()*SQRT('Hilfstabellen_Mat&amp;Bem'!f.Rd.3/'Hilfstabellen_Mat&amp;Bem'!$BD$30)</f>
        <v>0.69811126368343801</v>
      </c>
      <c r="DL256" s="553">
        <f>0.5*(1+'Hilfstabellen_Mat&amp;Bem'!$BD$31*(DK256-0.3)+DK256^2)</f>
        <v>0.76358523142501533</v>
      </c>
      <c r="DM256" s="550">
        <f t="shared" si="222"/>
        <v>0.93201478024824447</v>
      </c>
      <c r="DO256" s="551">
        <f t="shared" si="223"/>
        <v>88414.65011346947</v>
      </c>
      <c r="DR256" s="547">
        <f>'Hilfstabellen_Mat&amp;Bem'!$J$63</f>
        <v>4</v>
      </c>
      <c r="DS256" s="546">
        <f t="shared" si="224"/>
        <v>308</v>
      </c>
      <c r="DT256" s="551">
        <f t="shared" si="225"/>
        <v>44.988332664126681</v>
      </c>
      <c r="DU256" s="553">
        <f>DT256/PI()*SQRT('Hilfstabellen_Mat&amp;Bem'!f.Rd.3/'Hilfstabellen_Mat&amp;Bem'!$BD$30)</f>
        <v>0.71601155249583393</v>
      </c>
      <c r="DV256" s="553">
        <f>0.5*(1+'Hilfstabellen_Mat&amp;Bem'!$BD$31*(DU256-0.3)+DU256^2)</f>
        <v>0.77713684927853888</v>
      </c>
      <c r="DW256" s="550">
        <f t="shared" si="226"/>
        <v>0.92657394739200638</v>
      </c>
      <c r="DY256" s="551">
        <f t="shared" si="227"/>
        <v>87898.51094539529</v>
      </c>
      <c r="EB256" s="547">
        <f>'Hilfstabellen_Mat&amp;Bem'!$J$64</f>
        <v>4.0999999999999996</v>
      </c>
      <c r="EC256" s="546">
        <f t="shared" si="228"/>
        <v>308</v>
      </c>
      <c r="ED256" s="551">
        <f t="shared" si="229"/>
        <v>46.113040980729842</v>
      </c>
      <c r="EE256" s="553">
        <f>ED256/PI()*SQRT('Hilfstabellen_Mat&amp;Bem'!f.Rd.3/'Hilfstabellen_Mat&amp;Bem'!$BD$30)</f>
        <v>0.73391184130822962</v>
      </c>
      <c r="EF256" s="553">
        <f>0.5*(1+'Hilfstabellen_Mat&amp;Bem'!$BD$31*(EE256-0.3)+EE256^2)</f>
        <v>0.79100888747162945</v>
      </c>
      <c r="EG256" s="550">
        <f t="shared" si="230"/>
        <v>0.92074032073398349</v>
      </c>
      <c r="EI256" s="551">
        <f t="shared" si="231"/>
        <v>87345.109786108616</v>
      </c>
      <c r="EL256" s="547">
        <f>'Hilfstabellen_Mat&amp;Bem'!$J$65</f>
        <v>4.2</v>
      </c>
      <c r="EM256" s="546">
        <f t="shared" si="232"/>
        <v>308</v>
      </c>
      <c r="EN256" s="551">
        <f t="shared" si="233"/>
        <v>47.237749297333018</v>
      </c>
      <c r="EO256" s="553">
        <f>EN256/PI()*SQRT('Hilfstabellen_Mat&amp;Bem'!f.Rd.3/'Hilfstabellen_Mat&amp;Bem'!$BD$30)</f>
        <v>0.75181213012062553</v>
      </c>
      <c r="EP256" s="553">
        <f>0.5*(1+'Hilfstabellen_Mat&amp;Bem'!$BD$31*(EO256-0.3)+EO256^2)</f>
        <v>0.8052013460042875</v>
      </c>
      <c r="EQ256" s="550">
        <f t="shared" si="234"/>
        <v>0.91447789649307298</v>
      </c>
      <c r="ES256" s="551">
        <f t="shared" si="235"/>
        <v>86751.031172918869</v>
      </c>
    </row>
    <row r="257" spans="3:149">
      <c r="C257" s="546">
        <v>309</v>
      </c>
      <c r="D257" s="551">
        <f t="shared" si="190"/>
        <v>31.38991754817383</v>
      </c>
      <c r="E257" s="553">
        <f>$D257/PI()*SQRT('Hilfstabellen_Mat&amp;Bem'!f.Rd.3/'Hilfstabellen_Mat&amp;Bem'!$BD$30)</f>
        <v>0.49958605410388934</v>
      </c>
      <c r="F257" s="553">
        <f>0.5*(1+'Hilfstabellen_Mat&amp;Bem'!$BD$31*($E257-0.3)+$E257^2)</f>
        <v>0.63477241543274154</v>
      </c>
      <c r="G257" s="550">
        <f t="shared" si="191"/>
        <v>0.97430614653103664</v>
      </c>
      <c r="I257" s="551">
        <f t="shared" si="236"/>
        <v>93027.725176929904</v>
      </c>
      <c r="M257" s="546">
        <f t="shared" si="192"/>
        <v>309</v>
      </c>
      <c r="N257" s="551">
        <f t="shared" si="182"/>
        <v>32.510986032037174</v>
      </c>
      <c r="O257" s="553">
        <f>$N257/PI()*SQRT('Hilfstabellen_Mat&amp;Bem'!f.Rd.3/'Hilfstabellen_Mat&amp;Bem'!$BD$30)</f>
        <v>0.5174284131790281</v>
      </c>
      <c r="P257" s="553">
        <f>0.5*(1+'Hilfstabellen_Mat&amp;Bem'!$BD$31*($O257-0.3)+$O257^2)</f>
        <v>0.64473750204143498</v>
      </c>
      <c r="Q257" s="550">
        <f t="shared" si="183"/>
        <v>0.97145311025376113</v>
      </c>
      <c r="S257" s="551">
        <f t="shared" si="237"/>
        <v>92755.314420139373</v>
      </c>
      <c r="W257" s="546">
        <f t="shared" si="193"/>
        <v>309</v>
      </c>
      <c r="X257" s="551">
        <f t="shared" si="184"/>
        <v>33.632054515900528</v>
      </c>
      <c r="Y257" s="553">
        <f>$X257/PI()*SQRT('Hilfstabellen_Mat&amp;Bem'!f.Rd.3/'Hilfstabellen_Mat&amp;Bem'!$BD$30)</f>
        <v>0.53527077225416708</v>
      </c>
      <c r="Z257" s="553">
        <f>0.5*(1+'Hilfstabellen_Mat&amp;Bem'!$BD$31*($Y257-0.3)+$Y257^2)</f>
        <v>0.65502093842749454</v>
      </c>
      <c r="AA257" s="550">
        <f t="shared" si="185"/>
        <v>0.96846437937230689</v>
      </c>
      <c r="AC257" s="551">
        <f t="shared" si="238"/>
        <v>92469.947406847234</v>
      </c>
      <c r="AG257" s="546">
        <f t="shared" si="194"/>
        <v>309</v>
      </c>
      <c r="AH257" s="551">
        <f t="shared" si="186"/>
        <v>34.753122999763882</v>
      </c>
      <c r="AI257" s="553">
        <f>$AH257/PI()*SQRT('Hilfstabellen_Mat&amp;Bem'!f.Rd.3/'Hilfstabellen_Mat&amp;Bem'!$BD$30)</f>
        <v>0.55311313132930595</v>
      </c>
      <c r="AJ257" s="553">
        <f>0.5*(1+'Hilfstabellen_Mat&amp;Bem'!$BD$31*($AI257-0.3)+$AI257^2)</f>
        <v>0.66562272459092031</v>
      </c>
      <c r="AK257" s="550">
        <f t="shared" si="187"/>
        <v>0.96532625860142818</v>
      </c>
      <c r="AM257" s="551">
        <f t="shared" si="239"/>
        <v>92170.316497522959</v>
      </c>
      <c r="AQ257" s="546">
        <f t="shared" si="195"/>
        <v>309</v>
      </c>
      <c r="AR257" s="551">
        <f t="shared" si="188"/>
        <v>35.874191483627229</v>
      </c>
      <c r="AS257" s="553">
        <f>$AR257/PI()*SQRT('Hilfstabellen_Mat&amp;Bem'!f.Rd.3/'Hilfstabellen_Mat&amp;Bem'!$BD$30)</f>
        <v>0.57095549040444482</v>
      </c>
      <c r="AT257" s="553">
        <f>0.5*(1+'Hilfstabellen_Mat&amp;Bem'!$BD$31*($AS257-0.3)+$AS257^2)</f>
        <v>0.67654286053171231</v>
      </c>
      <c r="AU257" s="550">
        <f t="shared" si="189"/>
        <v>0.96202367507359809</v>
      </c>
      <c r="AW257" s="551">
        <f t="shared" si="240"/>
        <v>91854.982519702215</v>
      </c>
      <c r="AZ257" s="547">
        <f>'Hilfstabellen_Mat&amp;Bem'!$J$56</f>
        <v>3.3</v>
      </c>
      <c r="BA257" s="546">
        <f t="shared" si="196"/>
        <v>309</v>
      </c>
      <c r="BB257" s="551">
        <f t="shared" si="197"/>
        <v>36.995259967490583</v>
      </c>
      <c r="BC257" s="553">
        <f>BB257/PI()*SQRT('Hilfstabellen_Mat&amp;Bem'!f.Rd.3/'Hilfstabellen_Mat&amp;Bem'!$BD$30)</f>
        <v>0.5887978494795838</v>
      </c>
      <c r="BD257" s="553">
        <f>0.5*(1+'Hilfstabellen_Mat&amp;Bem'!$BD$31*(BC257-0.3)+BC257^2)</f>
        <v>0.68778134624987042</v>
      </c>
      <c r="BE257" s="550">
        <f t="shared" si="198"/>
        <v>0.95854003065482463</v>
      </c>
      <c r="BG257" s="551">
        <f t="shared" si="199"/>
        <v>91522.360666953304</v>
      </c>
      <c r="BJ257" s="547">
        <f>'Hilfstabellen_Mat&amp;Bem'!$J$57</f>
        <v>3.4</v>
      </c>
      <c r="BK257" s="546">
        <f t="shared" si="200"/>
        <v>309</v>
      </c>
      <c r="BL257" s="551">
        <f t="shared" si="201"/>
        <v>38.11632845135393</v>
      </c>
      <c r="BM257" s="553">
        <f>BL257/PI()*SQRT('Hilfstabellen_Mat&amp;Bem'!f.Rd.3/'Hilfstabellen_Mat&amp;Bem'!$BD$30)</f>
        <v>0.60664020855472267</v>
      </c>
      <c r="BN257" s="553">
        <f>0.5*(1+'Hilfstabellen_Mat&amp;Bem'!$BD$31*(BM257-0.3)+BM257^2)</f>
        <v>0.69933818174539486</v>
      </c>
      <c r="BO257" s="550">
        <f t="shared" si="202"/>
        <v>0.95485704698034679</v>
      </c>
      <c r="BQ257" s="551">
        <f t="shared" si="203"/>
        <v>91170.705702730498</v>
      </c>
      <c r="BT257" s="547">
        <f>'Hilfstabellen_Mat&amp;Bem'!$J$58</f>
        <v>3.5</v>
      </c>
      <c r="BU257" s="546">
        <f t="shared" si="204"/>
        <v>309</v>
      </c>
      <c r="BV257" s="551">
        <f t="shared" si="205"/>
        <v>39.237396935217276</v>
      </c>
      <c r="BW257" s="553">
        <f>BV257/PI()*SQRT('Hilfstabellen_Mat&amp;Bem'!f.Rd.3/'Hilfstabellen_Mat&amp;Bem'!$BD$30)</f>
        <v>0.62448256762986143</v>
      </c>
      <c r="BX257" s="553">
        <f>0.5*(1+'Hilfstabellen_Mat&amp;Bem'!$BD$31*(BW257-0.3)+BW257^2)</f>
        <v>0.71121336701828541</v>
      </c>
      <c r="BY257" s="550">
        <f t="shared" si="206"/>
        <v>0.95095460702189516</v>
      </c>
      <c r="CA257" s="551">
        <f t="shared" si="207"/>
        <v>90798.096833057571</v>
      </c>
      <c r="CD257" s="547">
        <f>'Hilfstabellen_Mat&amp;Bem'!$J$59</f>
        <v>3.6</v>
      </c>
      <c r="CE257" s="546">
        <f t="shared" si="208"/>
        <v>309</v>
      </c>
      <c r="CF257" s="551">
        <f t="shared" si="209"/>
        <v>40.358465419080638</v>
      </c>
      <c r="CG257" s="553">
        <f>CF257/PI()*SQRT('Hilfstabellen_Mat&amp;Bem'!f.Rd.3/'Hilfstabellen_Mat&amp;Bem'!$BD$30)</f>
        <v>0.64232492670500052</v>
      </c>
      <c r="CH257" s="553">
        <f>0.5*(1+'Hilfstabellen_Mat&amp;Bem'!$BD$31*(CG257-0.3)+CG257^2)</f>
        <v>0.72340690206854208</v>
      </c>
      <c r="CI257" s="550">
        <f t="shared" si="210"/>
        <v>0.94681059927674516</v>
      </c>
      <c r="CK257" s="551">
        <f t="shared" si="211"/>
        <v>90402.422829542906</v>
      </c>
      <c r="CN257" s="547">
        <f>'Hilfstabellen_Mat&amp;Bem'!$J$60</f>
        <v>3.7</v>
      </c>
      <c r="CO257" s="546">
        <f t="shared" si="212"/>
        <v>309</v>
      </c>
      <c r="CP257" s="551">
        <f t="shared" si="213"/>
        <v>41.479533902943984</v>
      </c>
      <c r="CQ257" s="553">
        <f>CP257/PI()*SQRT('Hilfstabellen_Mat&amp;Bem'!f.Rd.3/'Hilfstabellen_Mat&amp;Bem'!$BD$30)</f>
        <v>0.66016728578013939</v>
      </c>
      <c r="CR257" s="553">
        <f>0.5*(1+'Hilfstabellen_Mat&amp;Bem'!$BD$31*(CQ257-0.3)+CQ257^2)</f>
        <v>0.73591878689616508</v>
      </c>
      <c r="CS257" s="550">
        <f t="shared" si="214"/>
        <v>0.94240077378462883</v>
      </c>
      <c r="CU257" s="551">
        <f t="shared" si="215"/>
        <v>89981.368281730145</v>
      </c>
      <c r="CX257" s="547">
        <f>'Hilfstabellen_Mat&amp;Bem'!$J$61</f>
        <v>3.8</v>
      </c>
      <c r="CY257" s="546">
        <f t="shared" si="216"/>
        <v>309</v>
      </c>
      <c r="CZ257" s="551">
        <f t="shared" si="217"/>
        <v>42.600602386807338</v>
      </c>
      <c r="DA257" s="553">
        <f>CZ257/PI()*SQRT('Hilfstabellen_Mat&amp;Bem'!f.Rd.3/'Hilfstabellen_Mat&amp;Bem'!$BD$30)</f>
        <v>0.67800964485527837</v>
      </c>
      <c r="DB257" s="553">
        <f>0.5*(1+'Hilfstabellen_Mat&amp;Bem'!$BD$31*(DA257-0.3)+DA257^2)</f>
        <v>0.7487490215011543</v>
      </c>
      <c r="DC257" s="550">
        <f t="shared" si="218"/>
        <v>0.93769862332465836</v>
      </c>
      <c r="DE257" s="551">
        <f t="shared" si="219"/>
        <v>89532.402253661712</v>
      </c>
      <c r="DH257" s="547">
        <f>'Hilfstabellen_Mat&amp;Bem'!$J$62</f>
        <v>3.9</v>
      </c>
      <c r="DI257" s="546">
        <f t="shared" si="220"/>
        <v>309</v>
      </c>
      <c r="DJ257" s="551">
        <f t="shared" si="221"/>
        <v>43.721670870670685</v>
      </c>
      <c r="DK257" s="553">
        <f>DJ257/PI()*SQRT('Hilfstabellen_Mat&amp;Bem'!f.Rd.3/'Hilfstabellen_Mat&amp;Bem'!$BD$30)</f>
        <v>0.69585200393041724</v>
      </c>
      <c r="DL257" s="553">
        <f>0.5*(1+'Hilfstabellen_Mat&amp;Bem'!$BD$31*(DK257-0.3)+DK257^2)</f>
        <v>0.76189760588350952</v>
      </c>
      <c r="DM257" s="550">
        <f t="shared" si="222"/>
        <v>0.93267530848767088</v>
      </c>
      <c r="DO257" s="551">
        <f t="shared" si="223"/>
        <v>89052.771129711298</v>
      </c>
      <c r="DR257" s="547">
        <f>'Hilfstabellen_Mat&amp;Bem'!$J$63</f>
        <v>4</v>
      </c>
      <c r="DS257" s="546">
        <f t="shared" si="224"/>
        <v>309</v>
      </c>
      <c r="DT257" s="551">
        <f t="shared" si="225"/>
        <v>44.842739354534039</v>
      </c>
      <c r="DU257" s="553">
        <f>DT257/PI()*SQRT('Hilfstabellen_Mat&amp;Bem'!f.Rd.3/'Hilfstabellen_Mat&amp;Bem'!$BD$30)</f>
        <v>0.71369436300555611</v>
      </c>
      <c r="DV257" s="553">
        <f>0.5*(1+'Hilfstabellen_Mat&amp;Bem'!$BD$31*(DU257-0.3)+DU257^2)</f>
        <v>0.77536454004323108</v>
      </c>
      <c r="DW257" s="550">
        <f t="shared" si="226"/>
        <v>0.92729965193338171</v>
      </c>
      <c r="DY257" s="551">
        <f t="shared" si="227"/>
        <v>88539.498066251224</v>
      </c>
      <c r="EB257" s="547">
        <f>'Hilfstabellen_Mat&amp;Bem'!$J$64</f>
        <v>4.0999999999999996</v>
      </c>
      <c r="EC257" s="546">
        <f t="shared" si="228"/>
        <v>309</v>
      </c>
      <c r="ED257" s="551">
        <f t="shared" si="229"/>
        <v>45.963807838397386</v>
      </c>
      <c r="EE257" s="553">
        <f>ED257/PI()*SQRT('Hilfstabellen_Mat&amp;Bem'!f.Rd.3/'Hilfstabellen_Mat&amp;Bem'!$BD$30)</f>
        <v>0.73153672208069498</v>
      </c>
      <c r="EF257" s="553">
        <f>0.5*(1+'Hilfstabellen_Mat&amp;Bem'!$BD$31*(EE257-0.3)+EE257^2)</f>
        <v>0.78914982398031874</v>
      </c>
      <c r="EG257" s="550">
        <f t="shared" si="230"/>
        <v>0.92153823489143394</v>
      </c>
      <c r="EI257" s="551">
        <f t="shared" si="231"/>
        <v>87989.392205669006</v>
      </c>
      <c r="EL257" s="547">
        <f>'Hilfstabellen_Mat&amp;Bem'!$J$65</f>
        <v>4.2</v>
      </c>
      <c r="EM257" s="546">
        <f t="shared" si="232"/>
        <v>309</v>
      </c>
      <c r="EN257" s="551">
        <f t="shared" si="233"/>
        <v>47.08487632226074</v>
      </c>
      <c r="EO257" s="553">
        <f>EN257/PI()*SQRT('Hilfstabellen_Mat&amp;Bem'!f.Rd.3/'Hilfstabellen_Mat&amp;Bem'!$BD$30)</f>
        <v>0.74937908115583385</v>
      </c>
      <c r="EP257" s="553">
        <f>0.5*(1+'Hilfstabellen_Mat&amp;Bem'!$BD$31*(EO257-0.3)+EO257^2)</f>
        <v>0.80325345769477263</v>
      </c>
      <c r="EQ257" s="550">
        <f t="shared" si="234"/>
        <v>0.91535563733152547</v>
      </c>
      <c r="ES257" s="551">
        <f t="shared" si="235"/>
        <v>87399.071608051381</v>
      </c>
    </row>
    <row r="258" spans="3:149">
      <c r="C258" s="546">
        <v>310</v>
      </c>
      <c r="D258" s="551">
        <f t="shared" si="190"/>
        <v>31.288659749631332</v>
      </c>
      <c r="E258" s="553">
        <f>$D258/PI()*SQRT('Hilfstabellen_Mat&amp;Bem'!f.Rd.3/'Hilfstabellen_Mat&amp;Bem'!$BD$30)</f>
        <v>0.49797448618742512</v>
      </c>
      <c r="F258" s="553">
        <f>0.5*(1+'Hilfstabellen_Mat&amp;Bem'!$BD$31*($E258-0.3)+$E258^2)</f>
        <v>0.63388801875618628</v>
      </c>
      <c r="G258" s="550">
        <f t="shared" si="191"/>
        <v>0.97455759487044535</v>
      </c>
      <c r="I258" s="551">
        <f t="shared" si="236"/>
        <v>93654.984867049803</v>
      </c>
      <c r="M258" s="546">
        <f t="shared" si="192"/>
        <v>310</v>
      </c>
      <c r="N258" s="551">
        <f t="shared" si="182"/>
        <v>32.406111883546735</v>
      </c>
      <c r="O258" s="553">
        <f>$N258/PI()*SQRT('Hilfstabellen_Mat&amp;Bem'!f.Rd.3/'Hilfstabellen_Mat&amp;Bem'!$BD$30)</f>
        <v>0.51575928926554748</v>
      </c>
      <c r="P258" s="553">
        <f>0.5*(1+'Hilfstabellen_Mat&amp;Bem'!$BD$31*($O258-0.3)+$O258^2)</f>
        <v>0.64379178669512871</v>
      </c>
      <c r="Q258" s="550">
        <f t="shared" si="183"/>
        <v>0.9717255592244578</v>
      </c>
      <c r="S258" s="551">
        <f t="shared" si="237"/>
        <v>93382.826241470393</v>
      </c>
      <c r="W258" s="546">
        <f t="shared" si="193"/>
        <v>310</v>
      </c>
      <c r="X258" s="551">
        <f t="shared" si="184"/>
        <v>33.523564017462142</v>
      </c>
      <c r="Y258" s="553">
        <f>$X258/PI()*SQRT('Hilfstabellen_Mat&amp;Bem'!f.Rd.3/'Hilfstabellen_Mat&amp;Bem'!$BD$30)</f>
        <v>0.53354409234366984</v>
      </c>
      <c r="Z258" s="553">
        <f>0.5*(1+'Hilfstabellen_Mat&amp;Bem'!$BD$31*($Y258-0.3)+$Y258^2)</f>
        <v>0.6540118538545987</v>
      </c>
      <c r="AA258" s="550">
        <f t="shared" si="185"/>
        <v>0.96875991156003649</v>
      </c>
      <c r="AC258" s="551">
        <f t="shared" si="238"/>
        <v>93097.827500919506</v>
      </c>
      <c r="AG258" s="546">
        <f t="shared" si="194"/>
        <v>310</v>
      </c>
      <c r="AH258" s="551">
        <f t="shared" si="186"/>
        <v>34.641016151377542</v>
      </c>
      <c r="AI258" s="553">
        <f>$AH258/PI()*SQRT('Hilfstabellen_Mat&amp;Bem'!f.Rd.3/'Hilfstabellen_Mat&amp;Bem'!$BD$30)</f>
        <v>0.55132889542179198</v>
      </c>
      <c r="AJ258" s="553">
        <f>0.5*(1+'Hilfstabellen_Mat&amp;Bem'!$BD$31*($AI258-0.3)+$AI258^2)</f>
        <v>0.66454822023459625</v>
      </c>
      <c r="AK258" s="550">
        <f t="shared" si="187"/>
        <v>0.96564721134572118</v>
      </c>
      <c r="AM258" s="551">
        <f t="shared" si="239"/>
        <v>92798.697010323798</v>
      </c>
      <c r="AQ258" s="546">
        <f t="shared" si="195"/>
        <v>310</v>
      </c>
      <c r="AR258" s="551">
        <f t="shared" si="188"/>
        <v>35.758468285292949</v>
      </c>
      <c r="AS258" s="553">
        <f>$AR258/PI()*SQRT('Hilfstabellen_Mat&amp;Bem'!f.Rd.3/'Hilfstabellen_Mat&amp;Bem'!$BD$30)</f>
        <v>0.56911369849991444</v>
      </c>
      <c r="AT258" s="553">
        <f>0.5*(1+'Hilfstabellen_Mat&amp;Bem'!$BD$31*($AS258-0.3)+$AS258^2)</f>
        <v>0.67540088583512148</v>
      </c>
      <c r="AU258" s="550">
        <f t="shared" si="189"/>
        <v>0.96237267180386055</v>
      </c>
      <c r="AW258" s="551">
        <f t="shared" si="240"/>
        <v>92484.013760350994</v>
      </c>
      <c r="AZ258" s="547">
        <f>'Hilfstabellen_Mat&amp;Bem'!$J$56</f>
        <v>3.3</v>
      </c>
      <c r="BA258" s="546">
        <f t="shared" si="196"/>
        <v>310</v>
      </c>
      <c r="BB258" s="551">
        <f t="shared" si="197"/>
        <v>36.875920419208349</v>
      </c>
      <c r="BC258" s="553">
        <f>BB258/PI()*SQRT('Hilfstabellen_Mat&amp;Bem'!f.Rd.3/'Hilfstabellen_Mat&amp;Bem'!$BD$30)</f>
        <v>0.58689850157803658</v>
      </c>
      <c r="BD258" s="553">
        <f>0.5*(1+'Hilfstabellen_Mat&amp;Bem'!$BD$31*(BC258-0.3)+BC258^2)</f>
        <v>0.68656985065617415</v>
      </c>
      <c r="BE258" s="550">
        <f t="shared" si="198"/>
        <v>0.95892001543287919</v>
      </c>
      <c r="BG258" s="551">
        <f t="shared" si="199"/>
        <v>92152.213483099695</v>
      </c>
      <c r="BJ258" s="547">
        <f>'Hilfstabellen_Mat&amp;Bem'!$J$57</f>
        <v>3.4</v>
      </c>
      <c r="BK258" s="546">
        <f t="shared" si="200"/>
        <v>310</v>
      </c>
      <c r="BL258" s="551">
        <f t="shared" si="201"/>
        <v>37.993372553123756</v>
      </c>
      <c r="BM258" s="553">
        <f>BL258/PI()*SQRT('Hilfstabellen_Mat&amp;Bem'!f.Rd.3/'Hilfstabellen_Mat&amp;Bem'!$BD$30)</f>
        <v>0.60468330465615905</v>
      </c>
      <c r="BN258" s="553">
        <f>0.5*(1+'Hilfstabellen_Mat&amp;Bem'!$BD$31*(BM258-0.3)+BM258^2)</f>
        <v>0.69805511469775461</v>
      </c>
      <c r="BO258" s="550">
        <f t="shared" si="202"/>
        <v>0.95527132210968346</v>
      </c>
      <c r="BQ258" s="551">
        <f t="shared" si="203"/>
        <v>91801.574054740588</v>
      </c>
      <c r="BT258" s="547">
        <f>'Hilfstabellen_Mat&amp;Bem'!$J$58</f>
        <v>3.5</v>
      </c>
      <c r="BU258" s="546">
        <f t="shared" si="204"/>
        <v>310</v>
      </c>
      <c r="BV258" s="551">
        <f t="shared" si="205"/>
        <v>39.110824687039162</v>
      </c>
      <c r="BW258" s="553">
        <f>BV258/PI()*SQRT('Hilfstabellen_Mat&amp;Bem'!f.Rd.3/'Hilfstabellen_Mat&amp;Bem'!$BD$30)</f>
        <v>0.62246810773428141</v>
      </c>
      <c r="BX258" s="553">
        <f>0.5*(1+'Hilfstabellen_Mat&amp;Bem'!$BD$31*(BW258-0.3)+BW258^2)</f>
        <v>0.70985667795986251</v>
      </c>
      <c r="BY258" s="550">
        <f t="shared" si="206"/>
        <v>0.95140687330972329</v>
      </c>
      <c r="CA258" s="551">
        <f t="shared" si="207"/>
        <v>91430.200525064414</v>
      </c>
      <c r="CD258" s="547">
        <f>'Hilfstabellen_Mat&amp;Bem'!$J$59</f>
        <v>3.6</v>
      </c>
      <c r="CE258" s="546">
        <f t="shared" si="208"/>
        <v>310</v>
      </c>
      <c r="CF258" s="551">
        <f t="shared" si="209"/>
        <v>40.228276820954569</v>
      </c>
      <c r="CG258" s="553">
        <f>CF258/PI()*SQRT('Hilfstabellen_Mat&amp;Bem'!f.Rd.3/'Hilfstabellen_Mat&amp;Bem'!$BD$30)</f>
        <v>0.64025291081240376</v>
      </c>
      <c r="CH258" s="553">
        <f>0.5*(1+'Hilfstabellen_Mat&amp;Bem'!$BD$31*(CG258-0.3)+CG258^2)</f>
        <v>0.72197454044249809</v>
      </c>
      <c r="CI258" s="550">
        <f t="shared" si="210"/>
        <v>0.94730499812854463</v>
      </c>
      <c r="CK258" s="551">
        <f t="shared" si="211"/>
        <v>91036.010320153146</v>
      </c>
      <c r="CN258" s="547">
        <f>'Hilfstabellen_Mat&amp;Bem'!$J$60</f>
        <v>3.7</v>
      </c>
      <c r="CO258" s="546">
        <f t="shared" si="212"/>
        <v>310</v>
      </c>
      <c r="CP258" s="551">
        <f t="shared" si="213"/>
        <v>41.345728954869969</v>
      </c>
      <c r="CQ258" s="553">
        <f>CP258/PI()*SQRT('Hilfstabellen_Mat&amp;Bem'!f.Rd.3/'Hilfstabellen_Mat&amp;Bem'!$BD$30)</f>
        <v>0.65803771389052601</v>
      </c>
      <c r="CR258" s="553">
        <f>0.5*(1+'Hilfstabellen_Mat&amp;Bem'!$BD$31*(CQ258-0.3)+CQ258^2)</f>
        <v>0.73440870214566123</v>
      </c>
      <c r="CS258" s="550">
        <f t="shared" si="214"/>
        <v>0.94294192972876723</v>
      </c>
      <c r="CU258" s="551">
        <f t="shared" si="215"/>
        <v>90616.719446934527</v>
      </c>
      <c r="CX258" s="547">
        <f>'Hilfstabellen_Mat&amp;Bem'!$J$61</f>
        <v>3.8</v>
      </c>
      <c r="CY258" s="546">
        <f t="shared" si="216"/>
        <v>310</v>
      </c>
      <c r="CZ258" s="551">
        <f t="shared" si="217"/>
        <v>42.463181088785376</v>
      </c>
      <c r="DA258" s="553">
        <f>CZ258/PI()*SQRT('Hilfstabellen_Mat&amp;Bem'!f.Rd.3/'Hilfstabellen_Mat&amp;Bem'!$BD$30)</f>
        <v>0.67582251696864837</v>
      </c>
      <c r="DB258" s="553">
        <f>0.5*(1+'Hilfstabellen_Mat&amp;Bem'!$BD$31*(DA258-0.3)+DA258^2)</f>
        <v>0.74715916306935193</v>
      </c>
      <c r="DC258" s="550">
        <f t="shared" si="218"/>
        <v>0.93829168475735847</v>
      </c>
      <c r="DE258" s="551">
        <f t="shared" si="219"/>
        <v>90169.830905182142</v>
      </c>
      <c r="DH258" s="547">
        <f>'Hilfstabellen_Mat&amp;Bem'!$J$62</f>
        <v>3.9</v>
      </c>
      <c r="DI258" s="546">
        <f t="shared" si="220"/>
        <v>310</v>
      </c>
      <c r="DJ258" s="551">
        <f t="shared" si="221"/>
        <v>43.580633222700776</v>
      </c>
      <c r="DK258" s="553">
        <f>DJ258/PI()*SQRT('Hilfstabellen_Mat&amp;Bem'!f.Rd.3/'Hilfstabellen_Mat&amp;Bem'!$BD$30)</f>
        <v>0.6936073200467705</v>
      </c>
      <c r="DL258" s="553">
        <f>0.5*(1+'Hilfstabellen_Mat&amp;Bem'!$BD$31*(DK258-0.3)+DK258^2)</f>
        <v>0.76022592321357019</v>
      </c>
      <c r="DM258" s="550">
        <f t="shared" si="222"/>
        <v>0.93332598334705597</v>
      </c>
      <c r="DO258" s="551">
        <f t="shared" si="223"/>
        <v>89692.626999652071</v>
      </c>
      <c r="DR258" s="547">
        <f>'Hilfstabellen_Mat&amp;Bem'!$J$63</f>
        <v>4</v>
      </c>
      <c r="DS258" s="546">
        <f t="shared" si="224"/>
        <v>310</v>
      </c>
      <c r="DT258" s="551">
        <f t="shared" si="225"/>
        <v>44.698085356616183</v>
      </c>
      <c r="DU258" s="553">
        <f>DT258/PI()*SQRT('Hilfstabellen_Mat&amp;Bem'!f.Rd.3/'Hilfstabellen_Mat&amp;Bem'!$BD$30)</f>
        <v>0.71139212312489297</v>
      </c>
      <c r="DV258" s="553">
        <f>0.5*(1+'Hilfstabellen_Mat&amp;Bem'!$BD$31*(DU258-0.3)+DU258^2)</f>
        <v>0.77360898257831612</v>
      </c>
      <c r="DW258" s="550">
        <f t="shared" si="226"/>
        <v>0.92801423361892288</v>
      </c>
      <c r="DY258" s="551">
        <f t="shared" si="227"/>
        <v>89182.167850778482</v>
      </c>
      <c r="EB258" s="547">
        <f>'Hilfstabellen_Mat&amp;Bem'!$J$64</f>
        <v>4.0999999999999996</v>
      </c>
      <c r="EC258" s="546">
        <f t="shared" si="228"/>
        <v>310</v>
      </c>
      <c r="ED258" s="551">
        <f t="shared" si="229"/>
        <v>45.81553749053159</v>
      </c>
      <c r="EE258" s="553">
        <f>ED258/PI()*SQRT('Hilfstabellen_Mat&amp;Bem'!f.Rd.3/'Hilfstabellen_Mat&amp;Bem'!$BD$30)</f>
        <v>0.72917692620301533</v>
      </c>
      <c r="EF258" s="553">
        <f>0.5*(1+'Hilfstabellen_Mat&amp;Bem'!$BD$31*(EE258-0.3)+EE258^2)</f>
        <v>0.78730834116358972</v>
      </c>
      <c r="EG258" s="550">
        <f t="shared" si="230"/>
        <v>0.92232361204110125</v>
      </c>
      <c r="EI258" s="551">
        <f t="shared" si="231"/>
        <v>88635.299117149829</v>
      </c>
      <c r="EL258" s="547">
        <f>'Hilfstabellen_Mat&amp;Bem'!$J$65</f>
        <v>4.2</v>
      </c>
      <c r="EM258" s="546">
        <f t="shared" si="232"/>
        <v>310</v>
      </c>
      <c r="EN258" s="551">
        <f t="shared" si="233"/>
        <v>46.932989624446996</v>
      </c>
      <c r="EO258" s="553">
        <f>EN258/PI()*SQRT('Hilfstabellen_Mat&amp;Bem'!f.Rd.3/'Hilfstabellen_Mat&amp;Bem'!$BD$30)</f>
        <v>0.74696172928113769</v>
      </c>
      <c r="EP258" s="553">
        <f>0.5*(1+'Hilfstabellen_Mat&amp;Bem'!$BD$31*(EO258-0.3)+EO258^2)</f>
        <v>0.80132399896939066</v>
      </c>
      <c r="EQ258" s="550">
        <f t="shared" si="234"/>
        <v>0.91621927912520795</v>
      </c>
      <c r="ES258" s="551">
        <f t="shared" si="235"/>
        <v>88048.672723932483</v>
      </c>
    </row>
    <row r="259" spans="3:149">
      <c r="C259" s="546">
        <v>311</v>
      </c>
      <c r="D259" s="551">
        <f t="shared" si="190"/>
        <v>31.188053126642163</v>
      </c>
      <c r="E259" s="553">
        <f>$D259/PI()*SQRT('Hilfstabellen_Mat&amp;Bem'!f.Rd.3/'Hilfstabellen_Mat&amp;Bem'!$BD$30)</f>
        <v>0.49637328205177422</v>
      </c>
      <c r="F259" s="553">
        <f>0.5*(1+'Hilfstabellen_Mat&amp;Bem'!$BD$31*($E259-0.3)+$E259^2)</f>
        <v>0.63301188167001377</v>
      </c>
      <c r="G259" s="550">
        <f t="shared" si="191"/>
        <v>0.97480643980310522</v>
      </c>
      <c r="I259" s="551">
        <f t="shared" si="236"/>
        <v>94284.253664196134</v>
      </c>
      <c r="M259" s="546">
        <f t="shared" si="192"/>
        <v>311</v>
      </c>
      <c r="N259" s="551">
        <f t="shared" si="182"/>
        <v>32.301912166879383</v>
      </c>
      <c r="O259" s="553">
        <f>$N259/PI()*SQRT('Hilfstabellen_Mat&amp;Bem'!f.Rd.3/'Hilfstabellen_Mat&amp;Bem'!$BD$30)</f>
        <v>0.51410089926790903</v>
      </c>
      <c r="P259" s="553">
        <f>0.5*(1+'Hilfstabellen_Mat&amp;Bem'!$BD$31*($O259-0.3)+$O259^2)</f>
        <v>0.64285491227743186</v>
      </c>
      <c r="Q259" s="550">
        <f t="shared" si="183"/>
        <v>0.97199509142968432</v>
      </c>
      <c r="S259" s="551">
        <f t="shared" si="237"/>
        <v>94012.337238170498</v>
      </c>
      <c r="W259" s="546">
        <f t="shared" si="193"/>
        <v>311</v>
      </c>
      <c r="X259" s="551">
        <f t="shared" si="184"/>
        <v>33.415771207116599</v>
      </c>
      <c r="Y259" s="553">
        <f>$X259/PI()*SQRT('Hilfstabellen_Mat&amp;Bem'!f.Rd.3/'Hilfstabellen_Mat&amp;Bem'!$BD$30)</f>
        <v>0.53182851648404372</v>
      </c>
      <c r="Z259" s="553">
        <f>0.5*(1+'Hilfstabellen_Mat&amp;Bem'!$BD$31*($Y259-0.3)+$Y259^2)</f>
        <v>0.65301221129701159</v>
      </c>
      <c r="AA259" s="550">
        <f t="shared" si="185"/>
        <v>0.9690521714592425</v>
      </c>
      <c r="AC259" s="551">
        <f t="shared" si="238"/>
        <v>93727.695075709387</v>
      </c>
      <c r="AG259" s="546">
        <f t="shared" si="194"/>
        <v>311</v>
      </c>
      <c r="AH259" s="551">
        <f t="shared" si="186"/>
        <v>34.529630247353822</v>
      </c>
      <c r="AI259" s="553">
        <f>$AH259/PI()*SQRT('Hilfstabellen_Mat&amp;Bem'!f.Rd.3/'Hilfstabellen_Mat&amp;Bem'!$BD$30)</f>
        <v>0.54955613370017864</v>
      </c>
      <c r="AJ259" s="553">
        <f>0.5*(1+'Hilfstabellen_Mat&amp;Bem'!$BD$31*($AI259-0.3)+$AI259^2)</f>
        <v>0.6634837787287533</v>
      </c>
      <c r="AK259" s="550">
        <f t="shared" si="187"/>
        <v>0.965964488070853</v>
      </c>
      <c r="AM259" s="551">
        <f t="shared" si="239"/>
        <v>93429.05125070097</v>
      </c>
      <c r="AQ259" s="546">
        <f t="shared" si="195"/>
        <v>311</v>
      </c>
      <c r="AR259" s="551">
        <f t="shared" si="188"/>
        <v>35.643489287591045</v>
      </c>
      <c r="AS259" s="553">
        <f>$AR259/PI()*SQRT('Hilfstabellen_Mat&amp;Bem'!f.Rd.3/'Hilfstabellen_Mat&amp;Bem'!$BD$30)</f>
        <v>0.56728375091631345</v>
      </c>
      <c r="AT259" s="553">
        <f>0.5*(1+'Hilfstabellen_Mat&amp;Bem'!$BD$31*($AS259-0.3)+$AS259^2)</f>
        <v>0.67426961457265666</v>
      </c>
      <c r="AU259" s="550">
        <f t="shared" si="189"/>
        <v>0.96271753372703683</v>
      </c>
      <c r="AW259" s="551">
        <f t="shared" si="240"/>
        <v>93115.00257961273</v>
      </c>
      <c r="AZ259" s="547">
        <f>'Hilfstabellen_Mat&amp;Bem'!$J$56</f>
        <v>3.3</v>
      </c>
      <c r="BA259" s="546">
        <f t="shared" si="196"/>
        <v>311</v>
      </c>
      <c r="BB259" s="551">
        <f t="shared" si="197"/>
        <v>36.757348327828261</v>
      </c>
      <c r="BC259" s="553">
        <f>BB259/PI()*SQRT('Hilfstabellen_Mat&amp;Bem'!f.Rd.3/'Hilfstabellen_Mat&amp;Bem'!$BD$30)</f>
        <v>0.58501136813244814</v>
      </c>
      <c r="BD259" s="553">
        <f>0.5*(1+'Hilfstabellen_Mat&amp;Bem'!$BD$31*(BC259-0.3)+BC259^2)</f>
        <v>0.68536971882872177</v>
      </c>
      <c r="BE259" s="550">
        <f t="shared" si="198"/>
        <v>0.95929534384402249</v>
      </c>
      <c r="BG259" s="551">
        <f t="shared" si="199"/>
        <v>92784.004951937692</v>
      </c>
      <c r="BJ259" s="547">
        <f>'Hilfstabellen_Mat&amp;Bem'!$J$57</f>
        <v>3.4</v>
      </c>
      <c r="BK259" s="546">
        <f t="shared" si="200"/>
        <v>311</v>
      </c>
      <c r="BL259" s="551">
        <f t="shared" si="201"/>
        <v>37.871207368065477</v>
      </c>
      <c r="BM259" s="553">
        <f>BL259/PI()*SQRT('Hilfstabellen_Mat&amp;Bem'!f.Rd.3/'Hilfstabellen_Mat&amp;Bem'!$BD$30)</f>
        <v>0.60273898534858283</v>
      </c>
      <c r="BN259" s="553">
        <f>0.5*(1+'Hilfstabellen_Mat&amp;Bem'!$BD$31*(BM259-0.3)+BM259^2)</f>
        <v>0.69678409149694875</v>
      </c>
      <c r="BO259" s="550">
        <f t="shared" si="202"/>
        <v>0.95568034792674439</v>
      </c>
      <c r="BQ259" s="551">
        <f t="shared" si="203"/>
        <v>92434.358931822644</v>
      </c>
      <c r="BT259" s="547">
        <f>'Hilfstabellen_Mat&amp;Bem'!$J$58</f>
        <v>3.5</v>
      </c>
      <c r="BU259" s="546">
        <f t="shared" si="204"/>
        <v>311</v>
      </c>
      <c r="BV259" s="551">
        <f t="shared" si="205"/>
        <v>38.9850664083027</v>
      </c>
      <c r="BW259" s="553">
        <f>BV259/PI()*SQRT('Hilfstabellen_Mat&amp;Bem'!f.Rd.3/'Hilfstabellen_Mat&amp;Bem'!$BD$30)</f>
        <v>0.62046660256471775</v>
      </c>
      <c r="BX259" s="553">
        <f>0.5*(1+'Hilfstabellen_Mat&amp;Bem'!$BD$31*(BW259-0.3)+BW259^2)</f>
        <v>0.7085127325773376</v>
      </c>
      <c r="BY259" s="550">
        <f t="shared" si="206"/>
        <v>0.95185321644997156</v>
      </c>
      <c r="CA259" s="551">
        <f t="shared" si="207"/>
        <v>92064.194948257704</v>
      </c>
      <c r="CD259" s="547">
        <f>'Hilfstabellen_Mat&amp;Bem'!$J$59</f>
        <v>3.6</v>
      </c>
      <c r="CE259" s="546">
        <f t="shared" si="208"/>
        <v>311</v>
      </c>
      <c r="CF259" s="551">
        <f t="shared" si="209"/>
        <v>40.098925448539923</v>
      </c>
      <c r="CG259" s="553">
        <f>CF259/PI()*SQRT('Hilfstabellen_Mat&amp;Bem'!f.Rd.3/'Hilfstabellen_Mat&amp;Bem'!$BD$30)</f>
        <v>0.63819421978085256</v>
      </c>
      <c r="CH259" s="553">
        <f>0.5*(1+'Hilfstabellen_Mat&amp;Bem'!$BD$31*(CG259-0.3)+CG259^2)</f>
        <v>0.7205556420698882</v>
      </c>
      <c r="CI259" s="550">
        <f t="shared" si="210"/>
        <v>0.94779270878879962</v>
      </c>
      <c r="CK259" s="551">
        <f t="shared" si="211"/>
        <v>91671.458586761495</v>
      </c>
      <c r="CN259" s="547">
        <f>'Hilfstabellen_Mat&amp;Bem'!$J$60</f>
        <v>3.7</v>
      </c>
      <c r="CO259" s="546">
        <f t="shared" si="212"/>
        <v>311</v>
      </c>
      <c r="CP259" s="551">
        <f t="shared" si="213"/>
        <v>41.212784488777139</v>
      </c>
      <c r="CQ259" s="553">
        <f>CP259/PI()*SQRT('Hilfstabellen_Mat&amp;Bem'!f.Rd.3/'Hilfstabellen_Mat&amp;Bem'!$BD$30)</f>
        <v>0.65592183699698736</v>
      </c>
      <c r="CR259" s="553">
        <f>0.5*(1+'Hilfstabellen_Mat&amp;Bem'!$BD$31*(CQ259-0.3)+CQ259^2)</f>
        <v>0.73291281997460056</v>
      </c>
      <c r="CS259" s="550">
        <f t="shared" si="214"/>
        <v>0.94347553027593178</v>
      </c>
      <c r="CU259" s="551">
        <f t="shared" si="215"/>
        <v>91253.896763818397</v>
      </c>
      <c r="CX259" s="547">
        <f>'Hilfstabellen_Mat&amp;Bem'!$J$61</f>
        <v>3.8</v>
      </c>
      <c r="CY259" s="546">
        <f t="shared" si="216"/>
        <v>311</v>
      </c>
      <c r="CZ259" s="551">
        <f t="shared" si="217"/>
        <v>42.326643529014362</v>
      </c>
      <c r="DA259" s="553">
        <f>CZ259/PI()*SQRT('Hilfstabellen_Mat&amp;Bem'!f.Rd.3/'Hilfstabellen_Mat&amp;Bem'!$BD$30)</f>
        <v>0.67364945421312217</v>
      </c>
      <c r="DB259" s="553">
        <f>0.5*(1+'Hilfstabellen_Mat&amp;Bem'!$BD$31*(DA259-0.3)+DA259^2)</f>
        <v>0.7455842662914749</v>
      </c>
      <c r="DC259" s="550">
        <f t="shared" si="218"/>
        <v>0.93887621017085643</v>
      </c>
      <c r="DE259" s="551">
        <f t="shared" si="219"/>
        <v>90809.04592393541</v>
      </c>
      <c r="DH259" s="547">
        <f>'Hilfstabellen_Mat&amp;Bem'!$J$62</f>
        <v>3.9</v>
      </c>
      <c r="DI259" s="546">
        <f t="shared" si="220"/>
        <v>311</v>
      </c>
      <c r="DJ259" s="551">
        <f t="shared" si="221"/>
        <v>43.440502569251585</v>
      </c>
      <c r="DK259" s="553">
        <f>DJ259/PI()*SQRT('Hilfstabellen_Mat&amp;Bem'!f.Rd.3/'Hilfstabellen_Mat&amp;Bem'!$BD$30)</f>
        <v>0.69137707142925697</v>
      </c>
      <c r="DL259" s="553">
        <f>0.5*(1+'Hilfstabellen_Mat&amp;Bem'!$BD$31*(DK259-0.3)+DK259^2)</f>
        <v>0.75856998102051088</v>
      </c>
      <c r="DM259" s="550">
        <f t="shared" si="222"/>
        <v>0.93396701713357178</v>
      </c>
      <c r="DO259" s="551">
        <f t="shared" si="223"/>
        <v>90334.223864176194</v>
      </c>
      <c r="DR259" s="547">
        <f>'Hilfstabellen_Mat&amp;Bem'!$J$63</f>
        <v>4</v>
      </c>
      <c r="DS259" s="546">
        <f t="shared" si="224"/>
        <v>311</v>
      </c>
      <c r="DT259" s="551">
        <f t="shared" si="225"/>
        <v>44.554361609488801</v>
      </c>
      <c r="DU259" s="553">
        <f>DT259/PI()*SQRT('Hilfstabellen_Mat&amp;Bem'!f.Rd.3/'Hilfstabellen_Mat&amp;Bem'!$BD$30)</f>
        <v>0.70910468864539178</v>
      </c>
      <c r="DV259" s="553">
        <f>0.5*(1+'Hilfstabellen_Mat&amp;Bem'!$BD$31*(DU259-0.3)+DU259^2)</f>
        <v>0.77186996416170861</v>
      </c>
      <c r="DW259" s="550">
        <f t="shared" si="226"/>
        <v>0.92871793479951215</v>
      </c>
      <c r="DY259" s="551">
        <f t="shared" si="227"/>
        <v>89826.527371743621</v>
      </c>
      <c r="EB259" s="547">
        <f>'Hilfstabellen_Mat&amp;Bem'!$J$64</f>
        <v>4.0999999999999996</v>
      </c>
      <c r="EC259" s="546">
        <f t="shared" si="228"/>
        <v>311</v>
      </c>
      <c r="ED259" s="551">
        <f t="shared" si="229"/>
        <v>45.668220649726024</v>
      </c>
      <c r="EE259" s="553">
        <f>ED259/PI()*SQRT('Hilfstabellen_Mat&amp;Bem'!f.Rd.3/'Hilfstabellen_Mat&amp;Bem'!$BD$30)</f>
        <v>0.72683230586152658</v>
      </c>
      <c r="EF259" s="553">
        <f>0.5*(1+'Hilfstabellen_Mat&amp;Bem'!$BD$31*(EE259-0.3)+EE259^2)</f>
        <v>0.78548421571506821</v>
      </c>
      <c r="EG259" s="550">
        <f t="shared" si="230"/>
        <v>0.92309672718485192</v>
      </c>
      <c r="EI259" s="551">
        <f t="shared" si="231"/>
        <v>89282.838550046057</v>
      </c>
      <c r="EL259" s="547">
        <f>'Hilfstabellen_Mat&amp;Bem'!$J$65</f>
        <v>4.2</v>
      </c>
      <c r="EM259" s="546">
        <f t="shared" si="232"/>
        <v>311</v>
      </c>
      <c r="EN259" s="551">
        <f t="shared" si="233"/>
        <v>46.78207968996324</v>
      </c>
      <c r="EO259" s="553">
        <f>EN259/PI()*SQRT('Hilfstabellen_Mat&amp;Bem'!f.Rd.3/'Hilfstabellen_Mat&amp;Bem'!$BD$30)</f>
        <v>0.74455992307766128</v>
      </c>
      <c r="EP259" s="553">
        <f>0.5*(1+'Hilfstabellen_Mat&amp;Bem'!$BD$31*(EO259-0.3)+EO259^2)</f>
        <v>0.79941273568058946</v>
      </c>
      <c r="EQ259" s="550">
        <f t="shared" si="234"/>
        <v>0.91706913153063652</v>
      </c>
      <c r="ES259" s="551">
        <f t="shared" si="235"/>
        <v>88699.843470774693</v>
      </c>
    </row>
    <row r="260" spans="3:149">
      <c r="C260" s="546">
        <v>312</v>
      </c>
      <c r="D260" s="551">
        <f t="shared" si="190"/>
        <v>31.088091417902923</v>
      </c>
      <c r="E260" s="553">
        <f>$D260/PI()*SQRT('Hilfstabellen_Mat&amp;Bem'!f.Rd.3/'Hilfstabellen_Mat&amp;Bem'!$BD$30)</f>
        <v>0.494782342045198</v>
      </c>
      <c r="F260" s="553">
        <f>0.5*(1+'Hilfstabellen_Mat&amp;Bem'!$BD$31*($E260-0.3)+$E260^2)</f>
        <v>0.63214390010212562</v>
      </c>
      <c r="G260" s="550">
        <f t="shared" si="191"/>
        <v>0.97505272420592104</v>
      </c>
      <c r="I260" s="551">
        <f t="shared" si="236"/>
        <v>94915.532385101178</v>
      </c>
      <c r="M260" s="546">
        <f t="shared" si="192"/>
        <v>312</v>
      </c>
      <c r="N260" s="551">
        <f t="shared" si="182"/>
        <v>32.198380397113745</v>
      </c>
      <c r="O260" s="553">
        <f>$N260/PI()*SQRT('Hilfstabellen_Mat&amp;Bem'!f.Rd.3/'Hilfstabellen_Mat&amp;Bem'!$BD$30)</f>
        <v>0.51245313997538366</v>
      </c>
      <c r="P260" s="553">
        <f>0.5*(1+'Hilfstabellen_Mat&amp;Bem'!$BD$31*($O260-0.3)+$O260^2)</f>
        <v>0.64192676733408427</v>
      </c>
      <c r="Q260" s="550">
        <f t="shared" si="183"/>
        <v>0.97226175631428013</v>
      </c>
      <c r="S260" s="551">
        <f t="shared" si="237"/>
        <v>94643.848406657286</v>
      </c>
      <c r="W260" s="546">
        <f t="shared" si="193"/>
        <v>312</v>
      </c>
      <c r="X260" s="551">
        <f t="shared" si="184"/>
        <v>33.308669376324559</v>
      </c>
      <c r="Y260" s="553">
        <f>$X260/PI()*SQRT('Hilfstabellen_Mat&amp;Bem'!f.Rd.3/'Hilfstabellen_Mat&amp;Bem'!$BD$30)</f>
        <v>0.53012393790556922</v>
      </c>
      <c r="Z260" s="553">
        <f>0.5*(1+'Hilfstabellen_Mat&amp;Bem'!$BD$31*($Y260-0.3)+$Y260^2)</f>
        <v>0.65202189166553237</v>
      </c>
      <c r="AA260" s="550">
        <f t="shared" si="185"/>
        <v>0.96934121614094892</v>
      </c>
      <c r="AC260" s="551">
        <f t="shared" si="238"/>
        <v>94359.551344024527</v>
      </c>
      <c r="AG260" s="546">
        <f t="shared" si="194"/>
        <v>312</v>
      </c>
      <c r="AH260" s="551">
        <f t="shared" si="186"/>
        <v>34.418958355535381</v>
      </c>
      <c r="AI260" s="553">
        <f>$AH260/PI()*SQRT('Hilfstabellen_Mat&amp;Bem'!f.Rd.3/'Hilfstabellen_Mat&amp;Bem'!$BD$30)</f>
        <v>0.547794735835755</v>
      </c>
      <c r="AJ260" s="553">
        <f>0.5*(1+'Hilfstabellen_Mat&amp;Bem'!$BD$31*($AI260-0.3)+$AI260^2)</f>
        <v>0.66242927309647004</v>
      </c>
      <c r="AK260" s="550">
        <f t="shared" si="187"/>
        <v>0.9662781547006577</v>
      </c>
      <c r="AM260" s="551">
        <f t="shared" si="239"/>
        <v>94061.380691180821</v>
      </c>
      <c r="AQ260" s="546">
        <f t="shared" si="195"/>
        <v>312</v>
      </c>
      <c r="AR260" s="551">
        <f t="shared" si="188"/>
        <v>35.529247334746202</v>
      </c>
      <c r="AS260" s="553">
        <f>$AR260/PI()*SQRT('Hilfstabellen_Mat&amp;Bem'!f.Rd.3/'Hilfstabellen_Mat&amp;Bem'!$BD$30)</f>
        <v>0.56546553376594066</v>
      </c>
      <c r="AT260" s="553">
        <f>0.5*(1+'Hilfstabellen_Mat&amp;Bem'!$BD$31*($AS260-0.3)+$AS260^2)</f>
        <v>0.67314891162689716</v>
      </c>
      <c r="AU260" s="550">
        <f t="shared" si="189"/>
        <v>0.96305833703650445</v>
      </c>
      <c r="AW260" s="551">
        <f t="shared" si="240"/>
        <v>93747.950760481486</v>
      </c>
      <c r="AZ260" s="547">
        <f>'Hilfstabellen_Mat&amp;Bem'!$J$56</f>
        <v>3.3</v>
      </c>
      <c r="BA260" s="546">
        <f t="shared" si="196"/>
        <v>312</v>
      </c>
      <c r="BB260" s="551">
        <f t="shared" si="197"/>
        <v>36.639536313957016</v>
      </c>
      <c r="BC260" s="553">
        <f>BB260/PI()*SQRT('Hilfstabellen_Mat&amp;Bem'!f.Rd.3/'Hilfstabellen_Mat&amp;Bem'!$BD$30)</f>
        <v>0.58313633169612622</v>
      </c>
      <c r="BD260" s="553">
        <f>0.5*(1+'Hilfstabellen_Mat&amp;Bem'!$BD$31*(BC260-0.3)+BC260^2)</f>
        <v>0.68418080725681352</v>
      </c>
      <c r="BE260" s="550">
        <f t="shared" si="198"/>
        <v>0.95966610397943064</v>
      </c>
      <c r="BG260" s="551">
        <f t="shared" si="199"/>
        <v>93417.737225773701</v>
      </c>
      <c r="BJ260" s="547">
        <f>'Hilfstabellen_Mat&amp;Bem'!$J$57</f>
        <v>3.4</v>
      </c>
      <c r="BK260" s="546">
        <f t="shared" si="200"/>
        <v>312</v>
      </c>
      <c r="BL260" s="551">
        <f t="shared" si="201"/>
        <v>37.749825293167838</v>
      </c>
      <c r="BM260" s="553">
        <f>BL260/PI()*SQRT('Hilfstabellen_Mat&amp;Bem'!f.Rd.3/'Hilfstabellen_Mat&amp;Bem'!$BD$30)</f>
        <v>0.600807129626312</v>
      </c>
      <c r="BN260" s="553">
        <f>0.5*(1+'Hilfstabellen_Mat&amp;Bem'!$BD$31*(BM260-0.3)+BM260^2)</f>
        <v>0.69552495998621966</v>
      </c>
      <c r="BO260" s="550">
        <f t="shared" si="202"/>
        <v>0.95608422627932044</v>
      </c>
      <c r="BQ260" s="551">
        <f t="shared" si="203"/>
        <v>93069.062922934172</v>
      </c>
      <c r="BT260" s="547">
        <f>'Hilfstabellen_Mat&amp;Bem'!$J$58</f>
        <v>3.5</v>
      </c>
      <c r="BU260" s="546">
        <f t="shared" si="204"/>
        <v>312</v>
      </c>
      <c r="BV260" s="551">
        <f t="shared" si="205"/>
        <v>38.860114272378652</v>
      </c>
      <c r="BW260" s="553">
        <f>BV260/PI()*SQRT('Hilfstabellen_Mat&amp;Bem'!f.Rd.3/'Hilfstabellen_Mat&amp;Bem'!$BD$30)</f>
        <v>0.61847792755649744</v>
      </c>
      <c r="BX260" s="553">
        <f>0.5*(1+'Hilfstabellen_Mat&amp;Bem'!$BD$31*(BW260-0.3)+BW260^2)</f>
        <v>0.70718136981511492</v>
      </c>
      <c r="BY260" s="550">
        <f t="shared" si="206"/>
        <v>0.95229375414989015</v>
      </c>
      <c r="CA260" s="551">
        <f t="shared" si="207"/>
        <v>92700.083203966904</v>
      </c>
      <c r="CD260" s="547">
        <f>'Hilfstabellen_Mat&amp;Bem'!$J$59</f>
        <v>3.6</v>
      </c>
      <c r="CE260" s="546">
        <f t="shared" si="208"/>
        <v>312</v>
      </c>
      <c r="CF260" s="551">
        <f t="shared" si="209"/>
        <v>39.970403251589474</v>
      </c>
      <c r="CG260" s="553">
        <f>CF260/PI()*SQRT('Hilfstabellen_Mat&amp;Bem'!f.Rd.3/'Hilfstabellen_Mat&amp;Bem'!$BD$30)</f>
        <v>0.63614872548668311</v>
      </c>
      <c r="CH260" s="553">
        <f>0.5*(1+'Hilfstabellen_Mat&amp;Bem'!$BD$31*(CG260-0.3)+CG260^2)</f>
        <v>0.71915003674349975</v>
      </c>
      <c r="CI260" s="550">
        <f t="shared" si="210"/>
        <v>0.94827386717413598</v>
      </c>
      <c r="CK260" s="551">
        <f t="shared" si="211"/>
        <v>92308.771326199087</v>
      </c>
      <c r="CN260" s="547">
        <f>'Hilfstabellen_Mat&amp;Bem'!$J$60</f>
        <v>3.7</v>
      </c>
      <c r="CO260" s="546">
        <f t="shared" si="212"/>
        <v>312</v>
      </c>
      <c r="CP260" s="551">
        <f t="shared" si="213"/>
        <v>41.080692230800295</v>
      </c>
      <c r="CQ260" s="553">
        <f>CP260/PI()*SQRT('Hilfstabellen_Mat&amp;Bem'!f.Rd.3/'Hilfstabellen_Mat&amp;Bem'!$BD$30)</f>
        <v>0.65381952341686889</v>
      </c>
      <c r="CR260" s="553">
        <f>0.5*(1+'Hilfstabellen_Mat&amp;Bem'!$BD$31*(CQ260-0.3)+CQ260^2)</f>
        <v>0.73143096077137426</v>
      </c>
      <c r="CS260" s="550">
        <f t="shared" si="214"/>
        <v>0.94400173213476479</v>
      </c>
      <c r="CU260" s="551">
        <f t="shared" si="215"/>
        <v>91892.904612926548</v>
      </c>
      <c r="CX260" s="547">
        <f>'Hilfstabellen_Mat&amp;Bem'!$J$61</f>
        <v>3.8</v>
      </c>
      <c r="CY260" s="546">
        <f t="shared" si="216"/>
        <v>312</v>
      </c>
      <c r="CZ260" s="551">
        <f t="shared" si="217"/>
        <v>42.19098121001111</v>
      </c>
      <c r="DA260" s="553">
        <f>CZ260/PI()*SQRT('Hilfstabellen_Mat&amp;Bem'!f.Rd.3/'Hilfstabellen_Mat&amp;Bem'!$BD$30)</f>
        <v>0.67149032134705444</v>
      </c>
      <c r="DB260" s="553">
        <f>0.5*(1+'Hilfstabellen_Mat&amp;Bem'!$BD$31*(DA260-0.3)+DA260^2)</f>
        <v>0.74402414189873789</v>
      </c>
      <c r="DC260" s="550">
        <f t="shared" si="218"/>
        <v>0.9394523798397223</v>
      </c>
      <c r="DE260" s="551">
        <f t="shared" si="219"/>
        <v>91450.052463117929</v>
      </c>
      <c r="DH260" s="547">
        <f>'Hilfstabellen_Mat&amp;Bem'!$J$62</f>
        <v>3.9</v>
      </c>
      <c r="DI260" s="546">
        <f t="shared" si="220"/>
        <v>312</v>
      </c>
      <c r="DJ260" s="551">
        <f t="shared" si="221"/>
        <v>43.301270189221931</v>
      </c>
      <c r="DK260" s="553">
        <f>DJ260/PI()*SQRT('Hilfstabellen_Mat&amp;Bem'!f.Rd.3/'Hilfstabellen_Mat&amp;Bem'!$BD$30)</f>
        <v>0.68916111927724011</v>
      </c>
      <c r="DL260" s="553">
        <f>0.5*(1+'Hilfstabellen_Mat&amp;Bem'!$BD$31*(DK260-0.3)+DK260^2)</f>
        <v>0.75692958012559108</v>
      </c>
      <c r="DM260" s="550">
        <f t="shared" si="222"/>
        <v>0.9345986165714808</v>
      </c>
      <c r="DO260" s="551">
        <f t="shared" si="223"/>
        <v>90977.567731534233</v>
      </c>
      <c r="DR260" s="547">
        <f>'Hilfstabellen_Mat&amp;Bem'!$J$63</f>
        <v>4</v>
      </c>
      <c r="DS260" s="546">
        <f t="shared" si="224"/>
        <v>312</v>
      </c>
      <c r="DT260" s="551">
        <f t="shared" si="225"/>
        <v>44.411559168432753</v>
      </c>
      <c r="DU260" s="553">
        <f>DT260/PI()*SQRT('Hilfstabellen_Mat&amp;Bem'!f.Rd.3/'Hilfstabellen_Mat&amp;Bem'!$BD$30)</f>
        <v>0.70683191720742578</v>
      </c>
      <c r="DV260" s="553">
        <f>0.5*(1+'Hilfstabellen_Mat&amp;Bem'!$BD$31*(DU260-0.3)+DU260^2)</f>
        <v>0.77014727545193395</v>
      </c>
      <c r="DW260" s="550">
        <f t="shared" si="226"/>
        <v>0.92941099150532003</v>
      </c>
      <c r="DY260" s="551">
        <f t="shared" si="227"/>
        <v>90472.58355709388</v>
      </c>
      <c r="EB260" s="547">
        <f>'Hilfstabellen_Mat&amp;Bem'!$J$64</f>
        <v>4.0999999999999996</v>
      </c>
      <c r="EC260" s="546">
        <f t="shared" si="228"/>
        <v>312</v>
      </c>
      <c r="ED260" s="551">
        <f t="shared" si="229"/>
        <v>45.521848147643567</v>
      </c>
      <c r="EE260" s="553">
        <f>ED260/PI()*SQRT('Hilfstabellen_Mat&amp;Bem'!f.Rd.3/'Hilfstabellen_Mat&amp;Bem'!$BD$30)</f>
        <v>0.72450271513761133</v>
      </c>
      <c r="EF260" s="553">
        <f>0.5*(1+'Hilfstabellen_Mat&amp;Bem'!$BD$31*(EE260-0.3)+EE260^2)</f>
        <v>0.78367722787776595</v>
      </c>
      <c r="EG260" s="550">
        <f t="shared" si="230"/>
        <v>0.92385784827553463</v>
      </c>
      <c r="EI260" s="551">
        <f t="shared" si="231"/>
        <v>89932.018382533643</v>
      </c>
      <c r="EL260" s="547">
        <f>'Hilfstabellen_Mat&amp;Bem'!$J$65</f>
        <v>4.2</v>
      </c>
      <c r="EM260" s="546">
        <f t="shared" si="232"/>
        <v>312</v>
      </c>
      <c r="EN260" s="551">
        <f t="shared" si="233"/>
        <v>46.632137126854388</v>
      </c>
      <c r="EO260" s="553">
        <f>EN260/PI()*SQRT('Hilfstabellen_Mat&amp;Bem'!f.Rd.3/'Hilfstabellen_Mat&amp;Bem'!$BD$30)</f>
        <v>0.742173513067797</v>
      </c>
      <c r="EP260" s="553">
        <f>0.5*(1+'Hilfstabellen_Mat&amp;Bem'!$BD$31*(EO260-0.3)+EO260^2)</f>
        <v>0.79751943740308751</v>
      </c>
      <c r="EQ260" s="550">
        <f t="shared" si="234"/>
        <v>0.91790549649576936</v>
      </c>
      <c r="ES260" s="551">
        <f t="shared" si="235"/>
        <v>89352.592650884166</v>
      </c>
    </row>
    <row r="261" spans="3:149">
      <c r="C261" s="546">
        <v>313</v>
      </c>
      <c r="D261" s="551">
        <f t="shared" si="190"/>
        <v>30.988768442126879</v>
      </c>
      <c r="E261" s="553">
        <f>$D261/PI()*SQRT('Hilfstabellen_Mat&amp;Bem'!f.Rd.3/'Hilfstabellen_Mat&amp;Bem'!$BD$30)</f>
        <v>0.49320156778946256</v>
      </c>
      <c r="F261" s="553">
        <f>0.5*(1+'Hilfstabellen_Mat&amp;Bem'!$BD$31*($E261-0.3)+$E261^2)</f>
        <v>0.63128397162446503</v>
      </c>
      <c r="G261" s="550">
        <f t="shared" si="191"/>
        <v>0.97529649000565399</v>
      </c>
      <c r="I261" s="551">
        <f t="shared" si="236"/>
        <v>95548.821829363922</v>
      </c>
      <c r="M261" s="546">
        <f t="shared" si="192"/>
        <v>313</v>
      </c>
      <c r="N261" s="551">
        <f t="shared" si="182"/>
        <v>32.095510172202836</v>
      </c>
      <c r="O261" s="553">
        <f>$N261/PI()*SQRT('Hilfstabellen_Mat&amp;Bem'!f.Rd.3/'Hilfstabellen_Mat&amp;Bem'!$BD$30)</f>
        <v>0.51081590949622901</v>
      </c>
      <c r="P261" s="553">
        <f>0.5*(1+'Hilfstabellen_Mat&amp;Bem'!$BD$31*($O261-0.3)+$O261^2)</f>
        <v>0.6410072421720413</v>
      </c>
      <c r="Q261" s="550">
        <f t="shared" si="183"/>
        <v>0.97252560220095108</v>
      </c>
      <c r="S261" s="551">
        <f t="shared" si="237"/>
        <v>95277.360722024983</v>
      </c>
      <c r="W261" s="546">
        <f t="shared" si="193"/>
        <v>313</v>
      </c>
      <c r="X261" s="551">
        <f t="shared" si="184"/>
        <v>33.202251902278796</v>
      </c>
      <c r="Y261" s="553">
        <f>$X261/PI()*SQRT('Hilfstabellen_Mat&amp;Bem'!f.Rd.3/'Hilfstabellen_Mat&amp;Bem'!$BD$30)</f>
        <v>0.52843025120299558</v>
      </c>
      <c r="Z261" s="553">
        <f>0.5*(1+'Hilfstabellen_Mat&amp;Bem'!$BD$31*($Y261-0.3)+$Y261^2)</f>
        <v>0.65104077775338032</v>
      </c>
      <c r="AA261" s="550">
        <f t="shared" si="185"/>
        <v>0.96962710135080477</v>
      </c>
      <c r="AC261" s="551">
        <f t="shared" si="238"/>
        <v>94993.397492236996</v>
      </c>
      <c r="AG261" s="546">
        <f t="shared" si="194"/>
        <v>313</v>
      </c>
      <c r="AH261" s="551">
        <f t="shared" si="186"/>
        <v>34.308993632354756</v>
      </c>
      <c r="AI261" s="553">
        <f>$AH261/PI()*SQRT('Hilfstabellen_Mat&amp;Bem'!f.Rd.3/'Hilfstabellen_Mat&amp;Bem'!$BD$30)</f>
        <v>0.54604459290976215</v>
      </c>
      <c r="AJ261" s="553">
        <f>0.5*(1+'Hilfstabellen_Mat&amp;Bem'!$BD$31*($AI261-0.3)+$AI261^2)</f>
        <v>0.66138457836848208</v>
      </c>
      <c r="AK261" s="550">
        <f t="shared" si="187"/>
        <v>0.9665882755938966</v>
      </c>
      <c r="AM261" s="551">
        <f t="shared" si="239"/>
        <v>94695.686771658453</v>
      </c>
      <c r="AQ261" s="546">
        <f t="shared" si="195"/>
        <v>313</v>
      </c>
      <c r="AR261" s="551">
        <f t="shared" si="188"/>
        <v>35.415735362430716</v>
      </c>
      <c r="AS261" s="553">
        <f>$AR261/PI()*SQRT('Hilfstabellen_Mat&amp;Bem'!f.Rd.3/'Hilfstabellen_Mat&amp;Bem'!$BD$30)</f>
        <v>0.56365893461652872</v>
      </c>
      <c r="AT261" s="553">
        <f>0.5*(1+'Hilfstabellen_Mat&amp;Bem'!$BD$31*($AS261-0.3)+$AS261^2)</f>
        <v>0.67203864401734648</v>
      </c>
      <c r="AU261" s="550">
        <f t="shared" si="189"/>
        <v>0.96339515607868775</v>
      </c>
      <c r="AW261" s="551">
        <f t="shared" si="240"/>
        <v>94382.860045872963</v>
      </c>
      <c r="AZ261" s="547">
        <f>'Hilfstabellen_Mat&amp;Bem'!$J$56</f>
        <v>3.3</v>
      </c>
      <c r="BA261" s="546">
        <f t="shared" si="196"/>
        <v>313</v>
      </c>
      <c r="BB261" s="551">
        <f t="shared" si="197"/>
        <v>36.522477092506676</v>
      </c>
      <c r="BC261" s="553">
        <f>BB261/PI()*SQRT('Hilfstabellen_Mat&amp;Bem'!f.Rd.3/'Hilfstabellen_Mat&amp;Bem'!$BD$30)</f>
        <v>0.58127327632329517</v>
      </c>
      <c r="BD261" s="553">
        <f>0.5*(1+'Hilfstabellen_Mat&amp;Bem'!$BD$31*(BC261-0.3)+BC261^2)</f>
        <v>0.68300297469997373</v>
      </c>
      <c r="BE261" s="550">
        <f t="shared" si="198"/>
        <v>0.96003238175315508</v>
      </c>
      <c r="BG261" s="551">
        <f t="shared" si="199"/>
        <v>94053.412407974844</v>
      </c>
      <c r="BJ261" s="547">
        <f>'Hilfstabellen_Mat&amp;Bem'!$J$57</f>
        <v>3.4</v>
      </c>
      <c r="BK261" s="546">
        <f t="shared" si="200"/>
        <v>313</v>
      </c>
      <c r="BL261" s="551">
        <f t="shared" si="201"/>
        <v>37.629218822582637</v>
      </c>
      <c r="BM261" s="553">
        <f>BL261/PI()*SQRT('Hilfstabellen_Mat&amp;Bem'!f.Rd.3/'Hilfstabellen_Mat&amp;Bem'!$BD$30)</f>
        <v>0.59888761803006163</v>
      </c>
      <c r="BN261" s="553">
        <f>0.5*(1+'Hilfstabellen_Mat&amp;Bem'!$BD$31*(BM261-0.3)+BM261^2)</f>
        <v>0.69427757041636351</v>
      </c>
      <c r="BO261" s="550">
        <f t="shared" si="202"/>
        <v>0.95648305645346243</v>
      </c>
      <c r="BQ261" s="551">
        <f t="shared" si="203"/>
        <v>93705.688557689267</v>
      </c>
      <c r="BT261" s="547">
        <f>'Hilfstabellen_Mat&amp;Bem'!$J$58</f>
        <v>3.5</v>
      </c>
      <c r="BU261" s="546">
        <f t="shared" si="204"/>
        <v>313</v>
      </c>
      <c r="BV261" s="551">
        <f t="shared" si="205"/>
        <v>38.735960552658597</v>
      </c>
      <c r="BW261" s="553">
        <f>BV261/PI()*SQRT('Hilfstabellen_Mat&amp;Bem'!f.Rd.3/'Hilfstabellen_Mat&amp;Bem'!$BD$30)</f>
        <v>0.6165019597368282</v>
      </c>
      <c r="BX261" s="553">
        <f>0.5*(1+'Hilfstabellen_Mat&amp;Bem'!$BD$31*(BW261-0.3)+BW261^2)</f>
        <v>0.70586243116651626</v>
      </c>
      <c r="BY261" s="550">
        <f t="shared" si="206"/>
        <v>0.9527286011102386</v>
      </c>
      <c r="CA261" s="551">
        <f t="shared" si="207"/>
        <v>93337.868322168972</v>
      </c>
      <c r="CD261" s="547">
        <f>'Hilfstabellen_Mat&amp;Bem'!$J$59</f>
        <v>3.6</v>
      </c>
      <c r="CE261" s="546">
        <f t="shared" si="208"/>
        <v>313</v>
      </c>
      <c r="CF261" s="551">
        <f t="shared" si="209"/>
        <v>39.842702282734557</v>
      </c>
      <c r="CG261" s="553">
        <f>CF261/PI()*SQRT('Hilfstabellen_Mat&amp;Bem'!f.Rd.3/'Hilfstabellen_Mat&amp;Bem'!$BD$30)</f>
        <v>0.63411630144359477</v>
      </c>
      <c r="CH261" s="553">
        <f>0.5*(1+'Hilfstabellen_Mat&amp;Bem'!$BD$31*(CG261-0.3)+CG261^2)</f>
        <v>0.71775755695043175</v>
      </c>
      <c r="CI261" s="550">
        <f t="shared" si="210"/>
        <v>0.94874860568546282</v>
      </c>
      <c r="CK261" s="551">
        <f t="shared" si="211"/>
        <v>92947.952150399113</v>
      </c>
      <c r="CN261" s="547">
        <f>'Hilfstabellen_Mat&amp;Bem'!$J$60</f>
        <v>3.7</v>
      </c>
      <c r="CO261" s="546">
        <f t="shared" si="212"/>
        <v>313</v>
      </c>
      <c r="CP261" s="551">
        <f t="shared" si="213"/>
        <v>40.949444012810517</v>
      </c>
      <c r="CQ261" s="553">
        <f>CP261/PI()*SQRT('Hilfstabellen_Mat&amp;Bem'!f.Rd.3/'Hilfstabellen_Mat&amp;Bem'!$BD$30)</f>
        <v>0.65173064315036122</v>
      </c>
      <c r="CR261" s="553">
        <f>0.5*(1+'Hilfstabellen_Mat&amp;Bem'!$BD$31*(CQ261-0.3)+CQ261^2)</f>
        <v>0.72996294776810977</v>
      </c>
      <c r="CS261" s="550">
        <f t="shared" si="214"/>
        <v>0.94452068792280652</v>
      </c>
      <c r="CU261" s="551">
        <f t="shared" si="215"/>
        <v>92533.747275109432</v>
      </c>
      <c r="CX261" s="547">
        <f>'Hilfstabellen_Mat&amp;Bem'!$J$61</f>
        <v>3.8</v>
      </c>
      <c r="CY261" s="546">
        <f t="shared" si="216"/>
        <v>313</v>
      </c>
      <c r="CZ261" s="551">
        <f t="shared" si="217"/>
        <v>42.056185742886477</v>
      </c>
      <c r="DA261" s="553">
        <f>CZ261/PI()*SQRT('Hilfstabellen_Mat&amp;Bem'!f.Rd.3/'Hilfstabellen_Mat&amp;Bem'!$BD$30)</f>
        <v>0.66934498485712779</v>
      </c>
      <c r="DB261" s="553">
        <f>0.5*(1+'Hilfstabellen_Mat&amp;Bem'!$BD$31*(DA261-0.3)+DA261^2)</f>
        <v>0.74247860361955065</v>
      </c>
      <c r="DC261" s="550">
        <f t="shared" si="218"/>
        <v>0.94002036930876576</v>
      </c>
      <c r="DE261" s="551">
        <f t="shared" si="219"/>
        <v>92092.855560810465</v>
      </c>
      <c r="DH261" s="547">
        <f>'Hilfstabellen_Mat&amp;Bem'!$J$62</f>
        <v>3.9</v>
      </c>
      <c r="DI261" s="546">
        <f t="shared" si="220"/>
        <v>313</v>
      </c>
      <c r="DJ261" s="551">
        <f t="shared" si="221"/>
        <v>43.162927472962437</v>
      </c>
      <c r="DK261" s="553">
        <f>DJ261/PI()*SQRT('Hilfstabellen_Mat&amp;Bem'!f.Rd.3/'Hilfstabellen_Mat&amp;Bem'!$BD$30)</f>
        <v>0.68695932656389436</v>
      </c>
      <c r="DL261" s="553">
        <f>0.5*(1+'Hilfstabellen_Mat&amp;Bem'!$BD$31*(DK261-0.3)+DK261^2)</f>
        <v>0.75530452450475427</v>
      </c>
      <c r="DM261" s="550">
        <f t="shared" si="222"/>
        <v>0.93522098296349554</v>
      </c>
      <c r="DO261" s="551">
        <f t="shared" si="223"/>
        <v>91622.66447995069</v>
      </c>
      <c r="DR261" s="547">
        <f>'Hilfstabellen_Mat&amp;Bem'!$J$63</f>
        <v>4</v>
      </c>
      <c r="DS261" s="546">
        <f t="shared" si="224"/>
        <v>313</v>
      </c>
      <c r="DT261" s="551">
        <f t="shared" si="225"/>
        <v>44.269669203038397</v>
      </c>
      <c r="DU261" s="553">
        <f>DT261/PI()*SQRT('Hilfstabellen_Mat&amp;Bem'!f.Rd.3/'Hilfstabellen_Mat&amp;Bem'!$BD$30)</f>
        <v>0.70457366827066092</v>
      </c>
      <c r="DV261" s="553">
        <f>0.5*(1+'Hilfstabellen_Mat&amp;Bem'!$BD$31*(DU261-0.3)+DU261^2)</f>
        <v>0.76844071042372075</v>
      </c>
      <c r="DW261" s="550">
        <f t="shared" si="226"/>
        <v>0.93009363362085895</v>
      </c>
      <c r="DY261" s="551">
        <f t="shared" si="227"/>
        <v>91120.343192201937</v>
      </c>
      <c r="EB261" s="547">
        <f>'Hilfstabellen_Mat&amp;Bem'!$J$64</f>
        <v>4.0999999999999996</v>
      </c>
      <c r="EC261" s="546">
        <f t="shared" si="228"/>
        <v>313</v>
      </c>
      <c r="ED261" s="551">
        <f t="shared" si="229"/>
        <v>45.37641093311435</v>
      </c>
      <c r="EE261" s="553">
        <f>ED261/PI()*SQRT('Hilfstabellen_Mat&amp;Bem'!f.Rd.3/'Hilfstabellen_Mat&amp;Bem'!$BD$30)</f>
        <v>0.72218800997742727</v>
      </c>
      <c r="EF261" s="553">
        <f>0.5*(1+'Hilfstabellen_Mat&amp;Bem'!$BD$31*(EE261-0.3)+EE261^2)</f>
        <v>0.78188716137644965</v>
      </c>
      <c r="EG261" s="550">
        <f t="shared" si="230"/>
        <v>0.92460723639960507</v>
      </c>
      <c r="EI261" s="551">
        <f t="shared" si="231"/>
        <v>90582.846342832912</v>
      </c>
      <c r="EL261" s="547">
        <f>'Hilfstabellen_Mat&amp;Bem'!$J$65</f>
        <v>4.2</v>
      </c>
      <c r="EM261" s="546">
        <f t="shared" si="232"/>
        <v>313</v>
      </c>
      <c r="EN261" s="551">
        <f t="shared" si="233"/>
        <v>46.48315266319031</v>
      </c>
      <c r="EO261" s="553">
        <f>EN261/PI()*SQRT('Hilfstabellen_Mat&amp;Bem'!f.Rd.3/'Hilfstabellen_Mat&amp;Bem'!$BD$30)</f>
        <v>0.73980235168419384</v>
      </c>
      <c r="EP261" s="553">
        <f>0.5*(1+'Hilfstabellen_Mat&amp;Bem'!$BD$31*(EO261-0.3)+EO261^2)</f>
        <v>0.79564387736294151</v>
      </c>
      <c r="EQ261" s="550">
        <f t="shared" si="234"/>
        <v>0.9187286684399073</v>
      </c>
      <c r="ES261" s="551">
        <f t="shared" si="235"/>
        <v>90006.928918389283</v>
      </c>
    </row>
    <row r="262" spans="3:149">
      <c r="C262" s="546">
        <v>314</v>
      </c>
      <c r="D262" s="551">
        <f t="shared" si="190"/>
        <v>30.890078096769784</v>
      </c>
      <c r="E262" s="553">
        <f>$D262/PI()*SQRT('Hilfstabellen_Mat&amp;Bem'!f.Rd.3/'Hilfstabellen_Mat&amp;Bem'!$BD$30)</f>
        <v>0.49163086215955981</v>
      </c>
      <c r="F262" s="553">
        <f>0.5*(1+'Hilfstabellen_Mat&amp;Bem'!$BD$31*($E262-0.3)+$E262^2)</f>
        <v>0.63043199542185402</v>
      </c>
      <c r="G262" s="550">
        <f t="shared" si="191"/>
        <v>0.97553777820493148</v>
      </c>
      <c r="I262" s="551">
        <f t="shared" si="236"/>
        <v>96184.122779893427</v>
      </c>
      <c r="M262" s="546">
        <f t="shared" si="192"/>
        <v>314</v>
      </c>
      <c r="N262" s="551">
        <f t="shared" si="182"/>
        <v>31.99329517165442</v>
      </c>
      <c r="O262" s="553">
        <f>$N262/PI()*SQRT('Hilfstabellen_Mat&amp;Bem'!f.Rd.3/'Hilfstabellen_Mat&amp;Bem'!$BD$30)</f>
        <v>0.50918910723668698</v>
      </c>
      <c r="P262" s="553">
        <f>0.5*(1+'Hilfstabellen_Mat&amp;Bem'!$BD$31*($O262-0.3)+$O262^2)</f>
        <v>0.64009622882608153</v>
      </c>
      <c r="Q262" s="550">
        <f t="shared" si="183"/>
        <v>0.97278667632159521</v>
      </c>
      <c r="S262" s="551">
        <f t="shared" si="237"/>
        <v>95912.875138603995</v>
      </c>
      <c r="W262" s="546">
        <f t="shared" si="193"/>
        <v>314</v>
      </c>
      <c r="X262" s="551">
        <f t="shared" si="184"/>
        <v>33.096512246539056</v>
      </c>
      <c r="Y262" s="553">
        <f>$X262/PI()*SQRT('Hilfstabellen_Mat&amp;Bem'!f.Rd.3/'Hilfstabellen_Mat&amp;Bem'!$BD$30)</f>
        <v>0.52674735231381409</v>
      </c>
      <c r="Z262" s="553">
        <f>0.5*(1+'Hilfstabellen_Mat&amp;Bem'!$BD$31*($Y262-0.3)+$Y262^2)</f>
        <v>0.65006875420049737</v>
      </c>
      <c r="AA262" s="550">
        <f t="shared" si="185"/>
        <v>0.96990988154676872</v>
      </c>
      <c r="AC262" s="551">
        <f t="shared" si="238"/>
        <v>95629.234680985202</v>
      </c>
      <c r="AG262" s="546">
        <f t="shared" si="194"/>
        <v>314</v>
      </c>
      <c r="AH262" s="551">
        <f t="shared" si="186"/>
        <v>34.199729321423689</v>
      </c>
      <c r="AI262" s="553">
        <f>$AH262/PI()*SQRT('Hilfstabellen_Mat&amp;Bem'!f.Rd.3/'Hilfstabellen_Mat&amp;Bem'!$BD$30)</f>
        <v>0.5443055973909412</v>
      </c>
      <c r="AJ262" s="553">
        <f>0.5*(1+'Hilfstabellen_Mat&amp;Bem'!$BD$31*($AI262-0.3)+$AI262^2)</f>
        <v>0.66034957154510177</v>
      </c>
      <c r="AK262" s="550">
        <f t="shared" si="187"/>
        <v>0.96689491358951241</v>
      </c>
      <c r="AM262" s="551">
        <f t="shared" si="239"/>
        <v>95331.970900271568</v>
      </c>
      <c r="AQ262" s="546">
        <f t="shared" si="195"/>
        <v>314</v>
      </c>
      <c r="AR262" s="551">
        <f t="shared" si="188"/>
        <v>35.302946396308322</v>
      </c>
      <c r="AS262" s="553">
        <f>$AR262/PI()*SQRT('Hilfstabellen_Mat&amp;Bem'!f.Rd.3/'Hilfstabellen_Mat&amp;Bem'!$BD$30)</f>
        <v>0.56186384246806831</v>
      </c>
      <c r="AT262" s="553">
        <f>0.5*(1+'Hilfstabellen_Mat&amp;Bem'!$BD$31*($AS262-0.3)+$AS262^2)</f>
        <v>0.67093868085989461</v>
      </c>
      <c r="AU262" s="550">
        <f t="shared" si="189"/>
        <v>0.9637280634072547</v>
      </c>
      <c r="AW262" s="551">
        <f t="shared" si="240"/>
        <v>95019.732139701679</v>
      </c>
      <c r="AZ262" s="547">
        <f>'Hilfstabellen_Mat&amp;Bem'!$J$56</f>
        <v>3.3</v>
      </c>
      <c r="BA262" s="546">
        <f t="shared" si="196"/>
        <v>314</v>
      </c>
      <c r="BB262" s="551">
        <f t="shared" si="197"/>
        <v>36.406163471192961</v>
      </c>
      <c r="BC262" s="553">
        <f>BB262/PI()*SQRT('Hilfstabellen_Mat&amp;Bem'!f.Rd.3/'Hilfstabellen_Mat&amp;Bem'!$BD$30)</f>
        <v>0.57942208754519553</v>
      </c>
      <c r="BD262" s="553">
        <f>0.5*(1+'Hilfstabellen_Mat&amp;Bem'!$BD$31*(BC262-0.3)+BC262^2)</f>
        <v>0.6818360821448759</v>
      </c>
      <c r="BE262" s="550">
        <f t="shared" si="198"/>
        <v>0.96039426096681857</v>
      </c>
      <c r="BG262" s="551">
        <f t="shared" si="199"/>
        <v>94691.032554284437</v>
      </c>
      <c r="BJ262" s="547">
        <f>'Hilfstabellen_Mat&amp;Bem'!$J$57</f>
        <v>3.4</v>
      </c>
      <c r="BK262" s="546">
        <f t="shared" si="200"/>
        <v>314</v>
      </c>
      <c r="BL262" s="551">
        <f t="shared" si="201"/>
        <v>37.509380546077594</v>
      </c>
      <c r="BM262" s="553">
        <f>BL262/PI()*SQRT('Hilfstabellen_Mat&amp;Bem'!f.Rd.3/'Hilfstabellen_Mat&amp;Bem'!$BD$30)</f>
        <v>0.59698033262232264</v>
      </c>
      <c r="BN262" s="553">
        <f>0.5*(1+'Hilfstabellen_Mat&amp;Bem'!$BD$31*(BM262-0.3)+BM262^2)</f>
        <v>0.69304177540004563</v>
      </c>
      <c r="BO262" s="550">
        <f t="shared" si="202"/>
        <v>0.95687693525033335</v>
      </c>
      <c r="BQ262" s="551">
        <f t="shared" si="203"/>
        <v>94344.238307941865</v>
      </c>
      <c r="BT262" s="547">
        <f>'Hilfstabellen_Mat&amp;Bem'!$J$58</f>
        <v>3.5</v>
      </c>
      <c r="BU262" s="546">
        <f t="shared" si="204"/>
        <v>314</v>
      </c>
      <c r="BV262" s="551">
        <f t="shared" si="205"/>
        <v>38.612597620962234</v>
      </c>
      <c r="BW262" s="553">
        <f>BV262/PI()*SQRT('Hilfstabellen_Mat&amp;Bem'!f.Rd.3/'Hilfstabellen_Mat&amp;Bem'!$BD$30)</f>
        <v>0.61453857769944986</v>
      </c>
      <c r="BX262" s="553">
        <f>0.5*(1+'Hilfstabellen_Mat&amp;Bem'!$BD$31*(BW262-0.3)+BW262^2)</f>
        <v>0.70455576062540393</v>
      </c>
      <c r="BY262" s="550">
        <f t="shared" si="206"/>
        <v>0.95315786911601108</v>
      </c>
      <c r="CA262" s="551">
        <f t="shared" si="207"/>
        <v>93977.553263362235</v>
      </c>
      <c r="CD262" s="547">
        <f>'Hilfstabellen_Mat&amp;Bem'!$J$59</f>
        <v>3.6</v>
      </c>
      <c r="CE262" s="546">
        <f t="shared" si="208"/>
        <v>314</v>
      </c>
      <c r="CF262" s="551">
        <f t="shared" si="209"/>
        <v>39.715814695846866</v>
      </c>
      <c r="CG262" s="553">
        <f>CF262/PI()*SQRT('Hilfstabellen_Mat&amp;Bem'!f.Rd.3/'Hilfstabellen_Mat&amp;Bem'!$BD$30)</f>
        <v>0.63209682277657686</v>
      </c>
      <c r="CH262" s="553">
        <f>0.5*(1+'Hilfstabellen_Mat&amp;Bem'!$BD$31*(CG262-0.3)+CG262^2)</f>
        <v>0.71637803782095044</v>
      </c>
      <c r="CI262" s="550">
        <f t="shared" si="210"/>
        <v>0.94921705331417638</v>
      </c>
      <c r="CK262" s="551">
        <f t="shared" si="211"/>
        <v>93589.004588564538</v>
      </c>
      <c r="CN262" s="547">
        <f>'Hilfstabellen_Mat&amp;Bem'!$J$60</f>
        <v>3.7</v>
      </c>
      <c r="CO262" s="546">
        <f t="shared" si="212"/>
        <v>314</v>
      </c>
      <c r="CP262" s="551">
        <f t="shared" si="213"/>
        <v>40.819031770731499</v>
      </c>
      <c r="CQ262" s="553">
        <f>CP262/PI()*SQRT('Hilfstabellen_Mat&amp;Bem'!f.Rd.3/'Hilfstabellen_Mat&amp;Bem'!$BD$30)</f>
        <v>0.64965506785370408</v>
      </c>
      <c r="CR262" s="553">
        <f>0.5*(1+'Hilfstabellen_Mat&amp;Bem'!$BD$31*(CQ262-0.3)+CQ262^2)</f>
        <v>0.72850860698668563</v>
      </c>
      <c r="CS262" s="550">
        <f t="shared" si="214"/>
        <v>0.94503254628943345</v>
      </c>
      <c r="CU262" s="551">
        <f t="shared" si="215"/>
        <v>93176.428933952979</v>
      </c>
      <c r="CX262" s="547">
        <f>'Hilfstabellen_Mat&amp;Bem'!$J$61</f>
        <v>3.8</v>
      </c>
      <c r="CY262" s="546">
        <f t="shared" si="216"/>
        <v>314</v>
      </c>
      <c r="CZ262" s="551">
        <f t="shared" si="217"/>
        <v>41.922248845616139</v>
      </c>
      <c r="DA262" s="553">
        <f>CZ262/PI()*SQRT('Hilfstabellen_Mat&amp;Bem'!f.Rd.3/'Hilfstabellen_Mat&amp;Bem'!$BD$30)</f>
        <v>0.6672133129308313</v>
      </c>
      <c r="DB262" s="553">
        <f>0.5*(1+'Hilfstabellen_Mat&amp;Bem'!$BD$31*(DA262-0.3)+DA262^2)</f>
        <v>0.74094746812260937</v>
      </c>
      <c r="DC262" s="550">
        <f t="shared" si="218"/>
        <v>0.94058034953327618</v>
      </c>
      <c r="DE262" s="551">
        <f t="shared" si="219"/>
        <v>92737.460142582902</v>
      </c>
      <c r="DH262" s="547">
        <f>'Hilfstabellen_Mat&amp;Bem'!$J$62</f>
        <v>3.9</v>
      </c>
      <c r="DI262" s="546">
        <f t="shared" si="220"/>
        <v>314</v>
      </c>
      <c r="DJ262" s="551">
        <f t="shared" si="221"/>
        <v>43.025465920500771</v>
      </c>
      <c r="DK262" s="553">
        <f>DJ262/PI()*SQRT('Hilfstabellen_Mat&amp;Bem'!f.Rd.3/'Hilfstabellen_Mat&amp;Bem'!$BD$30)</f>
        <v>0.6847715580079583</v>
      </c>
      <c r="DL262" s="553">
        <f>0.5*(1+'Hilfstabellen_Mat&amp;Bem'!$BD$31*(DK262-0.3)+DK262^2)</f>
        <v>0.75369462122872122</v>
      </c>
      <c r="DM262" s="550">
        <f t="shared" si="222"/>
        <v>0.93583431234762082</v>
      </c>
      <c r="DO262" s="551">
        <f t="shared" si="223"/>
        <v>92269.519860226021</v>
      </c>
      <c r="DR262" s="547">
        <f>'Hilfstabellen_Mat&amp;Bem'!$J$63</f>
        <v>4</v>
      </c>
      <c r="DS262" s="546">
        <f t="shared" si="224"/>
        <v>314</v>
      </c>
      <c r="DT262" s="551">
        <f t="shared" si="225"/>
        <v>44.128682995385411</v>
      </c>
      <c r="DU262" s="553">
        <f>DT262/PI()*SQRT('Hilfstabellen_Mat&amp;Bem'!f.Rd.3/'Hilfstabellen_Mat&amp;Bem'!$BD$30)</f>
        <v>0.70232980308508552</v>
      </c>
      <c r="DV262" s="553">
        <f>0.5*(1+'Hilfstabellen_Mat&amp;Bem'!$BD$31*(DU262-0.3)+DU262^2)</f>
        <v>0.76675006630502185</v>
      </c>
      <c r="DW262" s="550">
        <f t="shared" si="226"/>
        <v>0.93076608505577141</v>
      </c>
      <c r="DY262" s="551">
        <f t="shared" si="227"/>
        <v>91769.812922158831</v>
      </c>
      <c r="EB262" s="547">
        <f>'Hilfstabellen_Mat&amp;Bem'!$J$64</f>
        <v>4.0999999999999996</v>
      </c>
      <c r="EC262" s="546">
        <f t="shared" si="228"/>
        <v>314</v>
      </c>
      <c r="ED262" s="551">
        <f t="shared" si="229"/>
        <v>45.231900070270036</v>
      </c>
      <c r="EE262" s="553">
        <f>ED262/PI()*SQRT('Hilfstabellen_Mat&amp;Bem'!f.Rd.3/'Hilfstabellen_Mat&amp;Bem'!$BD$30)</f>
        <v>0.71988804816221252</v>
      </c>
      <c r="EF262" s="553">
        <f>0.5*(1+'Hilfstabellen_Mat&amp;Bem'!$BD$31*(EE262-0.3)+EE262^2)</f>
        <v>0.7801138033515107</v>
      </c>
      <c r="EG262" s="550">
        <f t="shared" si="230"/>
        <v>0.9253451459563351</v>
      </c>
      <c r="EI262" s="551">
        <f t="shared" si="231"/>
        <v>91235.330010710823</v>
      </c>
      <c r="EL262" s="547">
        <f>'Hilfstabellen_Mat&amp;Bem'!$J$65</f>
        <v>4.2</v>
      </c>
      <c r="EM262" s="546">
        <f t="shared" si="232"/>
        <v>314</v>
      </c>
      <c r="EN262" s="551">
        <f t="shared" si="233"/>
        <v>46.335117145154676</v>
      </c>
      <c r="EO262" s="553">
        <f>EN262/PI()*SQRT('Hilfstabellen_Mat&amp;Bem'!f.Rd.3/'Hilfstabellen_Mat&amp;Bem'!$BD$30)</f>
        <v>0.73744629323933975</v>
      </c>
      <c r="EP262" s="553">
        <f>0.5*(1+'Hilfstabellen_Mat&amp;Bem'!$BD$31*(EO262-0.3)+EO262^2)</f>
        <v>0.79378583236818812</v>
      </c>
      <c r="EQ262" s="550">
        <f t="shared" si="234"/>
        <v>0.91953893443185575</v>
      </c>
      <c r="ES262" s="551">
        <f t="shared" si="235"/>
        <v>90662.860779243245</v>
      </c>
    </row>
    <row r="263" spans="3:149">
      <c r="C263" s="546">
        <v>315</v>
      </c>
      <c r="D263" s="551">
        <f t="shared" si="190"/>
        <v>30.79201435678004</v>
      </c>
      <c r="E263" s="553">
        <f>$D263/PI()*SQRT('Hilfstabellen_Mat&amp;Bem'!f.Rd.3/'Hilfstabellen_Mat&amp;Bem'!$BD$30)</f>
        <v>0.49007012926381521</v>
      </c>
      <c r="F263" s="553">
        <f>0.5*(1+'Hilfstabellen_Mat&amp;Bem'!$BD$31*($E263-0.3)+$E263^2)</f>
        <v>0.62958787226151702</v>
      </c>
      <c r="G263" s="550">
        <f t="shared" si="191"/>
        <v>0.97577662890742511</v>
      </c>
      <c r="I263" s="551">
        <f t="shared" si="236"/>
        <v>96821.436003339259</v>
      </c>
      <c r="M263" s="546">
        <f t="shared" si="192"/>
        <v>315</v>
      </c>
      <c r="N263" s="551">
        <f t="shared" si="182"/>
        <v>31.891729155236465</v>
      </c>
      <c r="O263" s="553">
        <f>$N263/PI()*SQRT('Hilfstabellen_Mat&amp;Bem'!f.Rd.3/'Hilfstabellen_Mat&amp;Bem'!$BD$30)</f>
        <v>0.50757263388037988</v>
      </c>
      <c r="P263" s="553">
        <f>0.5*(1+'Hilfstabellen_Mat&amp;Bem'!$BD$31*($O263-0.3)+$O263^2)</f>
        <v>0.63919362102615207</v>
      </c>
      <c r="Q263" s="550">
        <f t="shared" si="183"/>
        <v>0.9730450248476058</v>
      </c>
      <c r="S263" s="551">
        <f t="shared" si="237"/>
        <v>96550.392590503689</v>
      </c>
      <c r="W263" s="546">
        <f t="shared" si="193"/>
        <v>315</v>
      </c>
      <c r="X263" s="551">
        <f t="shared" si="184"/>
        <v>32.991443953692901</v>
      </c>
      <c r="Y263" s="553">
        <f>$X263/PI()*SQRT('Hilfstabellen_Mat&amp;Bem'!f.Rd.3/'Hilfstabellen_Mat&amp;Bem'!$BD$30)</f>
        <v>0.52507513849694487</v>
      </c>
      <c r="Z263" s="553">
        <f>0.5*(1+'Hilfstabellen_Mat&amp;Bem'!$BD$31*($Y263-0.3)+$Y263^2)</f>
        <v>0.64910570745864016</v>
      </c>
      <c r="AA263" s="550">
        <f t="shared" si="185"/>
        <v>0.97018960993554149</v>
      </c>
      <c r="AC263" s="551">
        <f t="shared" si="238"/>
        <v>96267.064045854102</v>
      </c>
      <c r="AG263" s="546">
        <f t="shared" si="194"/>
        <v>315</v>
      </c>
      <c r="AH263" s="551">
        <f t="shared" si="186"/>
        <v>34.091158752149333</v>
      </c>
      <c r="AI263" s="553">
        <f>$AH263/PI()*SQRT('Hilfstabellen_Mat&amp;Bem'!f.Rd.3/'Hilfstabellen_Mat&amp;Bem'!$BD$30)</f>
        <v>0.54257764311350976</v>
      </c>
      <c r="AJ263" s="553">
        <f>0.5*(1+'Hilfstabellen_Mat&amp;Bem'!$BD$31*($AI263-0.3)+$AI263^2)</f>
        <v>0.65932413155898106</v>
      </c>
      <c r="AK263" s="550">
        <f t="shared" si="187"/>
        <v>0.96719813005035893</v>
      </c>
      <c r="AM263" s="551">
        <f t="shared" si="239"/>
        <v>95970.234454246864</v>
      </c>
      <c r="AQ263" s="546">
        <f t="shared" si="195"/>
        <v>315</v>
      </c>
      <c r="AR263" s="551">
        <f t="shared" si="188"/>
        <v>35.190873550605758</v>
      </c>
      <c r="AS263" s="553">
        <f>$AR263/PI()*SQRT('Hilfstabellen_Mat&amp;Bem'!f.Rd.3/'Hilfstabellen_Mat&amp;Bem'!$BD$30)</f>
        <v>0.56008014773007442</v>
      </c>
      <c r="AT263" s="553">
        <f>0.5*(1+'Hilfstabellen_Mat&amp;Bem'!$BD$31*($AS263-0.3)+$AS263^2)</f>
        <v>0.66984889332717479</v>
      </c>
      <c r="AU263" s="550">
        <f t="shared" si="189"/>
        <v>0.9640571298354893</v>
      </c>
      <c r="AW263" s="551">
        <f t="shared" si="240"/>
        <v>95658.568707926432</v>
      </c>
      <c r="AZ263" s="547">
        <f>'Hilfstabellen_Mat&amp;Bem'!$J$56</f>
        <v>3.3</v>
      </c>
      <c r="BA263" s="546">
        <f t="shared" si="196"/>
        <v>315</v>
      </c>
      <c r="BB263" s="551">
        <f t="shared" si="197"/>
        <v>36.29058834906219</v>
      </c>
      <c r="BC263" s="553">
        <f>BB263/PI()*SQRT('Hilfstabellen_Mat&amp;Bem'!f.Rd.3/'Hilfstabellen_Mat&amp;Bem'!$BD$30)</f>
        <v>0.5775826523466393</v>
      </c>
      <c r="BD263" s="553">
        <f>0.5*(1+'Hilfstabellen_Mat&amp;Bem'!$BD$31*(BC263-0.3)+BC263^2)</f>
        <v>0.68067999276322144</v>
      </c>
      <c r="BE263" s="550">
        <f t="shared" si="198"/>
        <v>0.96075182337211085</v>
      </c>
      <c r="BG263" s="551">
        <f t="shared" si="199"/>
        <v>95330.599674097699</v>
      </c>
      <c r="BJ263" s="547">
        <f>'Hilfstabellen_Mat&amp;Bem'!$J$57</f>
        <v>3.4</v>
      </c>
      <c r="BK263" s="546">
        <f t="shared" si="200"/>
        <v>315</v>
      </c>
      <c r="BL263" s="551">
        <f t="shared" si="201"/>
        <v>37.390303147518622</v>
      </c>
      <c r="BM263" s="553">
        <f>BL263/PI()*SQRT('Hilfstabellen_Mat&amp;Bem'!f.Rd.3/'Hilfstabellen_Mat&amp;Bem'!$BD$30)</f>
        <v>0.59508515696320419</v>
      </c>
      <c r="BN263" s="553">
        <f>0.5*(1+'Hilfstabellen_Mat&amp;Bem'!$BD$31*(BM263-0.3)+BM263^2)</f>
        <v>0.69181742986712091</v>
      </c>
      <c r="BO263" s="550">
        <f t="shared" si="202"/>
        <v>0.95726595706046258</v>
      </c>
      <c r="BQ263" s="551">
        <f t="shared" si="203"/>
        <v>94984.714589324401</v>
      </c>
      <c r="BT263" s="547">
        <f>'Hilfstabellen_Mat&amp;Bem'!$J$58</f>
        <v>3.5</v>
      </c>
      <c r="BU263" s="546">
        <f t="shared" si="204"/>
        <v>315</v>
      </c>
      <c r="BV263" s="551">
        <f t="shared" si="205"/>
        <v>38.490017945975048</v>
      </c>
      <c r="BW263" s="553">
        <f>BV263/PI()*SQRT('Hilfstabellen_Mat&amp;Bem'!f.Rd.3/'Hilfstabellen_Mat&amp;Bem'!$BD$30)</f>
        <v>0.61258766157976896</v>
      </c>
      <c r="BX263" s="553">
        <f>0.5*(1+'Hilfstabellen_Mat&amp;Bem'!$BD$31*(BW263-0.3)+BW263^2)</f>
        <v>0.70326120463887321</v>
      </c>
      <c r="BY263" s="550">
        <f t="shared" si="206"/>
        <v>0.95358166712411119</v>
      </c>
      <c r="CA263" s="551">
        <f t="shared" si="207"/>
        <v>94619.140920389938</v>
      </c>
      <c r="CD263" s="547">
        <f>'Hilfstabellen_Mat&amp;Bem'!$J$59</f>
        <v>3.6</v>
      </c>
      <c r="CE263" s="546">
        <f t="shared" si="208"/>
        <v>315</v>
      </c>
      <c r="CF263" s="551">
        <f t="shared" si="209"/>
        <v>39.58973274443148</v>
      </c>
      <c r="CG263" s="553">
        <f>CF263/PI()*SQRT('Hilfstabellen_Mat&amp;Bem'!f.Rd.3/'Hilfstabellen_Mat&amp;Bem'!$BD$30)</f>
        <v>0.63009016619633385</v>
      </c>
      <c r="CH263" s="553">
        <f>0.5*(1+'Hilfstabellen_Mat&amp;Bem'!$BD$31*(CG263-0.3)+CG263^2)</f>
        <v>0.71501131707847843</v>
      </c>
      <c r="CI263" s="550">
        <f t="shared" si="210"/>
        <v>0.94967933574484364</v>
      </c>
      <c r="CK263" s="551">
        <f t="shared" si="211"/>
        <v>94231.932089282112</v>
      </c>
      <c r="CN263" s="547">
        <f>'Hilfstabellen_Mat&amp;Bem'!$J$60</f>
        <v>3.7</v>
      </c>
      <c r="CO263" s="546">
        <f t="shared" si="212"/>
        <v>315</v>
      </c>
      <c r="CP263" s="551">
        <f t="shared" si="213"/>
        <v>40.689447542887905</v>
      </c>
      <c r="CQ263" s="553">
        <f>CP263/PI()*SQRT('Hilfstabellen_Mat&amp;Bem'!f.Rd.3/'Hilfstabellen_Mat&amp;Bem'!$BD$30)</f>
        <v>0.64759267081289851</v>
      </c>
      <c r="CR263" s="553">
        <f>0.5*(1+'Hilfstabellen_Mat&amp;Bem'!$BD$31*(CQ263-0.3)+CQ263^2)</f>
        <v>0.72706776718593658</v>
      </c>
      <c r="CS263" s="550">
        <f t="shared" si="214"/>
        <v>0.9455374520348504</v>
      </c>
      <c r="CU263" s="551">
        <f t="shared" si="215"/>
        <v>93820.953678158025</v>
      </c>
      <c r="CX263" s="547">
        <f>'Hilfstabellen_Mat&amp;Bem'!$J$61</f>
        <v>3.8</v>
      </c>
      <c r="CY263" s="546">
        <f t="shared" si="216"/>
        <v>315</v>
      </c>
      <c r="CZ263" s="551">
        <f t="shared" si="217"/>
        <v>41.789162341344337</v>
      </c>
      <c r="DA263" s="553">
        <f>CZ263/PI()*SQRT('Hilfstabellen_Mat&amp;Bem'!f.Rd.3/'Hilfstabellen_Mat&amp;Bem'!$BD$30)</f>
        <v>0.66509517542946339</v>
      </c>
      <c r="DB263" s="553">
        <f>0.5*(1+'Hilfstabellen_Mat&amp;Bem'!$BD$31*(DA263-0.3)+DA263^2)</f>
        <v>0.73943055496124754</v>
      </c>
      <c r="DC263" s="550">
        <f t="shared" si="218"/>
        <v>0.94113248701496022</v>
      </c>
      <c r="DE263" s="551">
        <f t="shared" si="219"/>
        <v>93383.871024059423</v>
      </c>
      <c r="DH263" s="547">
        <f>'Hilfstabellen_Mat&amp;Bem'!$J$62</f>
        <v>3.9</v>
      </c>
      <c r="DI263" s="546">
        <f t="shared" si="220"/>
        <v>315</v>
      </c>
      <c r="DJ263" s="551">
        <f t="shared" si="221"/>
        <v>42.888877139800769</v>
      </c>
      <c r="DK263" s="553">
        <f>DJ263/PI()*SQRT('Hilfstabellen_Mat&amp;Bem'!f.Rd.3/'Hilfstabellen_Mat&amp;Bem'!$BD$30)</f>
        <v>0.68259768004602828</v>
      </c>
      <c r="DL263" s="553">
        <f>0.5*(1+'Hilfstabellen_Mat&amp;Bem'!$BD$31*(DK263-0.3)+DK263^2)</f>
        <v>0.75209968040441144</v>
      </c>
      <c r="DM263" s="550">
        <f t="shared" si="222"/>
        <v>0.9364387956495529</v>
      </c>
      <c r="DO263" s="551">
        <f t="shared" si="223"/>
        <v>92918.139498326884</v>
      </c>
      <c r="DR263" s="547">
        <f>'Hilfstabellen_Mat&amp;Bem'!$J$63</f>
        <v>4</v>
      </c>
      <c r="DS263" s="546">
        <f t="shared" si="224"/>
        <v>315</v>
      </c>
      <c r="DT263" s="551">
        <f t="shared" si="225"/>
        <v>43.988591938257194</v>
      </c>
      <c r="DU263" s="553">
        <f>DT263/PI()*SQRT('Hilfstabellen_Mat&amp;Bem'!f.Rd.3/'Hilfstabellen_Mat&amp;Bem'!$BD$30)</f>
        <v>0.70010018466259305</v>
      </c>
      <c r="DV263" s="553">
        <f>0.5*(1+'Hilfstabellen_Mat&amp;Bem'!$BD$31*(DU263-0.3)+DU263^2)</f>
        <v>0.76507514351542816</v>
      </c>
      <c r="DW263" s="550">
        <f t="shared" si="226"/>
        <v>0.93142856391138606</v>
      </c>
      <c r="DY263" s="551">
        <f t="shared" si="227"/>
        <v>92420.999254107286</v>
      </c>
      <c r="EB263" s="547">
        <f>'Hilfstabellen_Mat&amp;Bem'!$J$64</f>
        <v>4.0999999999999996</v>
      </c>
      <c r="EC263" s="546">
        <f t="shared" si="228"/>
        <v>315</v>
      </c>
      <c r="ED263" s="551">
        <f t="shared" si="229"/>
        <v>45.088306736713626</v>
      </c>
      <c r="EE263" s="553">
        <f>ED263/PI()*SQRT('Hilfstabellen_Mat&amp;Bem'!f.Rd.3/'Hilfstabellen_Mat&amp;Bem'!$BD$30)</f>
        <v>0.71760268927915793</v>
      </c>
      <c r="EF263" s="553">
        <f>0.5*(1+'Hilfstabellen_Mat&amp;Bem'!$BD$31*(EE263-0.3)+EE263^2)</f>
        <v>0.77835694429429769</v>
      </c>
      <c r="EG263" s="550">
        <f t="shared" si="230"/>
        <v>0.92607182483352424</v>
      </c>
      <c r="EI263" s="551">
        <f t="shared" si="231"/>
        <v>91889.476819106436</v>
      </c>
      <c r="EL263" s="547">
        <f>'Hilfstabellen_Mat&amp;Bem'!$J$65</f>
        <v>4.2</v>
      </c>
      <c r="EM263" s="546">
        <f t="shared" si="232"/>
        <v>315</v>
      </c>
      <c r="EN263" s="551">
        <f t="shared" si="233"/>
        <v>46.188021535170058</v>
      </c>
      <c r="EO263" s="553">
        <f>EN263/PI()*SQRT('Hilfstabellen_Mat&amp;Bem'!f.Rd.3/'Hilfstabellen_Mat&amp;Bem'!$BD$30)</f>
        <v>0.73510519389572282</v>
      </c>
      <c r="EP263" s="553">
        <f>0.5*(1+'Hilfstabellen_Mat&amp;Bem'!$BD$31*(EO263-0.3)+EO263^2)</f>
        <v>0.79194508274102016</v>
      </c>
      <c r="EQ263" s="550">
        <f t="shared" si="234"/>
        <v>0.92033657436610028</v>
      </c>
      <c r="ES263" s="551">
        <f t="shared" si="235"/>
        <v>91320.396591476296</v>
      </c>
    </row>
    <row r="264" spans="3:149">
      <c r="C264" s="546">
        <v>316</v>
      </c>
      <c r="D264" s="551">
        <f t="shared" si="190"/>
        <v>30.694571273372503</v>
      </c>
      <c r="E264" s="553">
        <f>$D264/PI()*SQRT('Hilfstabellen_Mat&amp;Bem'!f.Rd.3/'Hilfstabellen_Mat&amp;Bem'!$BD$30)</f>
        <v>0.48851927442437265</v>
      </c>
      <c r="F264" s="553">
        <f>0.5*(1+'Hilfstabellen_Mat&amp;Bem'!$BD$31*($E264-0.3)+$E264^2)</f>
        <v>0.62875150446327632</v>
      </c>
      <c r="G264" s="550">
        <f t="shared" si="191"/>
        <v>0.97601308134221865</v>
      </c>
      <c r="I264" s="551">
        <f t="shared" si="236"/>
        <v>97460.762250508589</v>
      </c>
      <c r="M264" s="546">
        <f t="shared" si="192"/>
        <v>316</v>
      </c>
      <c r="N264" s="551">
        <f>$L$8*10^3/$M264*SQRT(12)</f>
        <v>31.790805961707235</v>
      </c>
      <c r="O264" s="553">
        <f>$N264/PI()*SQRT('Hilfstabellen_Mat&amp;Bem'!f.Rd.3/'Hilfstabellen_Mat&amp;Bem'!$BD$30)</f>
        <v>0.50596639136810029</v>
      </c>
      <c r="P264" s="553">
        <f>0.5*(1+'Hilfstabellen_Mat&amp;Bem'!$BD$31*($O264-0.3)+$O264^2)</f>
        <v>0.63829931416543384</v>
      </c>
      <c r="Q264" s="550">
        <f>MIN(1/($P264+SQRT($P264^2-$O264^2)),1)</f>
        <v>0.97330069291918908</v>
      </c>
      <c r="S264" s="551">
        <f t="shared" si="237"/>
        <v>97189.91399213855</v>
      </c>
      <c r="W264" s="546">
        <f t="shared" si="193"/>
        <v>316</v>
      </c>
      <c r="X264" s="551">
        <f>$V$8*10^3/$W264*SQRT(12)</f>
        <v>32.887040650041975</v>
      </c>
      <c r="Y264" s="553">
        <f>$X264/PI()*SQRT('Hilfstabellen_Mat&amp;Bem'!f.Rd.3/'Hilfstabellen_Mat&amp;Bem'!$BD$30)</f>
        <v>0.52341350831182798</v>
      </c>
      <c r="Z264" s="553">
        <f>0.5*(1+'Hilfstabellen_Mat&amp;Bem'!$BD$31*($Y264-0.3)+$Y264^2)</f>
        <v>0.64815152575723933</v>
      </c>
      <c r="AA264" s="550">
        <f>MIN(1/($Z264+SQRT($Z264^2-$Y264^2)),1)</f>
        <v>0.97046633850780006</v>
      </c>
      <c r="AC264" s="551">
        <f t="shared" si="238"/>
        <v>96906.886698034883</v>
      </c>
      <c r="AG264" s="546">
        <f t="shared" si="194"/>
        <v>316</v>
      </c>
      <c r="AH264" s="551">
        <f>$AF$8*10^3/$AG264*SQRT(12)</f>
        <v>33.983275338376707</v>
      </c>
      <c r="AI264" s="553">
        <f>$AH264/PI()*SQRT('Hilfstabellen_Mat&amp;Bem'!f.Rd.3/'Hilfstabellen_Mat&amp;Bem'!$BD$30)</f>
        <v>0.54086062525555556</v>
      </c>
      <c r="AJ264" s="553">
        <f>0.5*(1+'Hilfstabellen_Mat&amp;Bem'!$BD$31*($AI264-0.3)+$AI264^2)</f>
        <v>0.65830813923869291</v>
      </c>
      <c r="AK264" s="550">
        <f>MIN(1/($AJ264+SQRT($AJ264^2-$AI264^2)),1)</f>
        <v>0.96749798490547667</v>
      </c>
      <c r="AM264" s="551">
        <f t="shared" si="239"/>
        <v>96610.478780721285</v>
      </c>
      <c r="AQ264" s="546">
        <f t="shared" si="195"/>
        <v>316</v>
      </c>
      <c r="AR264" s="551">
        <f>$AP$8*10^3/$AQ264*SQRT(12)</f>
        <v>35.079510026711439</v>
      </c>
      <c r="AS264" s="553">
        <f>$AR264/PI()*SQRT('Hilfstabellen_Mat&amp;Bem'!f.Rd.3/'Hilfstabellen_Mat&amp;Bem'!$BD$30)</f>
        <v>0.55830774219928314</v>
      </c>
      <c r="AT264" s="553">
        <f>0.5*(1+'Hilfstabellen_Mat&amp;Bem'!$BD$31*($AS264-0.3)+$AS264^2)</f>
        <v>0.6687691546097948</v>
      </c>
      <c r="AU264" s="550">
        <f>MIN(1/($AT264+SQRT($AT264^2-$AS264^2)),1)</f>
        <v>0.96438242448689526</v>
      </c>
      <c r="AW264" s="551">
        <f t="shared" si="240"/>
        <v>96299.37137956341</v>
      </c>
      <c r="AZ264" s="547">
        <f>'Hilfstabellen_Mat&amp;Bem'!$J$56</f>
        <v>3.3</v>
      </c>
      <c r="BA264" s="546">
        <f t="shared" si="196"/>
        <v>316</v>
      </c>
      <c r="BB264" s="551">
        <f t="shared" si="197"/>
        <v>36.175744715046172</v>
      </c>
      <c r="BC264" s="553">
        <f>BB264/PI()*SQRT('Hilfstabellen_Mat&amp;Bem'!f.Rd.3/'Hilfstabellen_Mat&amp;Bem'!$BD$30)</f>
        <v>0.57575485914301072</v>
      </c>
      <c r="BD264" s="553">
        <f>0.5*(1+'Hilfstabellen_Mat&amp;Bem'!$BD$31*(BC264-0.3)+BC264^2)</f>
        <v>0.67953457187054467</v>
      </c>
      <c r="BE264" s="550">
        <f t="shared" si="198"/>
        <v>0.96110514873117725</v>
      </c>
      <c r="BG264" s="551">
        <f t="shared" si="199"/>
        <v>95972.11573170044</v>
      </c>
      <c r="BJ264" s="547">
        <f>'Hilfstabellen_Mat&amp;Bem'!$J$57</f>
        <v>3.4</v>
      </c>
      <c r="BK264" s="546">
        <f t="shared" si="200"/>
        <v>316</v>
      </c>
      <c r="BL264" s="551">
        <f t="shared" si="201"/>
        <v>37.271979403380904</v>
      </c>
      <c r="BM264" s="553">
        <f>BL264/PI()*SQRT('Hilfstabellen_Mat&amp;Bem'!f.Rd.3/'Hilfstabellen_Mat&amp;Bem'!$BD$30)</f>
        <v>0.5932019760867383</v>
      </c>
      <c r="BN264" s="553">
        <f>0.5*(1+'Hilfstabellen_Mat&amp;Bem'!$BD$31*(BM264-0.3)+BM264^2)</f>
        <v>0.69060439102094251</v>
      </c>
      <c r="BO264" s="550">
        <f t="shared" si="202"/>
        <v>0.95765021393548111</v>
      </c>
      <c r="BQ264" s="551">
        <f t="shared" si="203"/>
        <v>95627.119762741408</v>
      </c>
      <c r="BT264" s="547">
        <f>'Hilfstabellen_Mat&amp;Bem'!$J$58</f>
        <v>3.5</v>
      </c>
      <c r="BU264" s="546">
        <f t="shared" si="204"/>
        <v>316</v>
      </c>
      <c r="BV264" s="551">
        <f t="shared" si="205"/>
        <v>38.368214091715636</v>
      </c>
      <c r="BW264" s="553">
        <f>BV264/PI()*SQRT('Hilfstabellen_Mat&amp;Bem'!f.Rd.3/'Hilfstabellen_Mat&amp;Bem'!$BD$30)</f>
        <v>0.61064909303046599</v>
      </c>
      <c r="BX264" s="553">
        <f>0.5*(1+'Hilfstabellen_Mat&amp;Bem'!$BD$31*(BW264-0.3)+BW264^2)</f>
        <v>0.70197861206098866</v>
      </c>
      <c r="BY264" s="550">
        <f t="shared" si="206"/>
        <v>0.95400010134807711</v>
      </c>
      <c r="CA264" s="551">
        <f t="shared" si="207"/>
        <v>95262.634120213581</v>
      </c>
      <c r="CD264" s="547">
        <f>'Hilfstabellen_Mat&amp;Bem'!$J$59</f>
        <v>3.6</v>
      </c>
      <c r="CE264" s="546">
        <f t="shared" si="208"/>
        <v>316</v>
      </c>
      <c r="CF264" s="551">
        <f t="shared" si="209"/>
        <v>39.464448780050368</v>
      </c>
      <c r="CG264" s="553">
        <f>CF264/PI()*SQRT('Hilfstabellen_Mat&amp;Bem'!f.Rd.3/'Hilfstabellen_Mat&amp;Bem'!$BD$30)</f>
        <v>0.62809620997419358</v>
      </c>
      <c r="CH264" s="553">
        <f>0.5*(1+'Hilfstabellen_Mat&amp;Bem'!$BD$31*(CG264-0.3)+CG264^2)</f>
        <v>0.71365723499068279</v>
      </c>
      <c r="CI264" s="550">
        <f t="shared" si="210"/>
        <v>0.95013557545449323</v>
      </c>
      <c r="CK264" s="551">
        <f t="shared" si="211"/>
        <v>94876.738022583871</v>
      </c>
      <c r="CN264" s="547">
        <f>'Hilfstabellen_Mat&amp;Bem'!$J$60</f>
        <v>3.7</v>
      </c>
      <c r="CO264" s="546">
        <f t="shared" si="212"/>
        <v>316</v>
      </c>
      <c r="CP264" s="551">
        <f t="shared" si="213"/>
        <v>40.560683468385101</v>
      </c>
      <c r="CQ264" s="553">
        <f>CP264/PI()*SQRT('Hilfstabellen_Mat&amp;Bem'!f.Rd.3/'Hilfstabellen_Mat&amp;Bem'!$BD$30)</f>
        <v>0.64554332691792116</v>
      </c>
      <c r="CR264" s="553">
        <f>0.5*(1+'Hilfstabellen_Mat&amp;Bem'!$BD$31*(CQ264-0.3)+CQ264^2)</f>
        <v>0.72564025981002511</v>
      </c>
      <c r="CS264" s="550">
        <f t="shared" si="214"/>
        <v>0.9460355462252501</v>
      </c>
      <c r="CU264" s="551">
        <f t="shared" si="215"/>
        <v>94467.325503868575</v>
      </c>
      <c r="CX264" s="547">
        <f>'Hilfstabellen_Mat&amp;Bem'!$J$61</f>
        <v>3.8</v>
      </c>
      <c r="CY264" s="546">
        <f t="shared" si="216"/>
        <v>316</v>
      </c>
      <c r="CZ264" s="551">
        <f t="shared" si="217"/>
        <v>41.656918156719833</v>
      </c>
      <c r="DA264" s="553">
        <f>CZ264/PI()*SQRT('Hilfstabellen_Mat&amp;Bem'!f.Rd.3/'Hilfstabellen_Mat&amp;Bem'!$BD$30)</f>
        <v>0.66299044386164874</v>
      </c>
      <c r="DB264" s="553">
        <f>0.5*(1+'Hilfstabellen_Mat&amp;Bem'!$BD$31*(DA264-0.3)+DA264^2)</f>
        <v>0.73792768651901541</v>
      </c>
      <c r="DC264" s="550">
        <f t="shared" si="218"/>
        <v>0.94167694393370294</v>
      </c>
      <c r="DE264" s="551">
        <f t="shared" si="219"/>
        <v>94032.092913443834</v>
      </c>
      <c r="DH264" s="547">
        <f>'Hilfstabellen_Mat&amp;Bem'!$J$62</f>
        <v>3.9</v>
      </c>
      <c r="DI264" s="546">
        <f t="shared" si="220"/>
        <v>316</v>
      </c>
      <c r="DJ264" s="551">
        <f t="shared" si="221"/>
        <v>42.753152845054565</v>
      </c>
      <c r="DK264" s="553">
        <f>DJ264/PI()*SQRT('Hilfstabellen_Mat&amp;Bem'!f.Rd.3/'Hilfstabellen_Mat&amp;Bem'!$BD$30)</f>
        <v>0.68043756080537632</v>
      </c>
      <c r="DL264" s="553">
        <f>0.5*(1+'Hilfstabellen_Mat&amp;Bem'!$BD$31*(DK264-0.3)+DK264^2)</f>
        <v>0.75051951511765391</v>
      </c>
      <c r="DM264" s="550">
        <f t="shared" si="222"/>
        <v>0.93703461883072758</v>
      </c>
      <c r="DO264" s="551">
        <f t="shared" si="223"/>
        <v>93568.528897961136</v>
      </c>
      <c r="DR264" s="547">
        <f>'Hilfstabellen_Mat&amp;Bem'!$J$63</f>
        <v>4</v>
      </c>
      <c r="DS264" s="546">
        <f t="shared" si="224"/>
        <v>316</v>
      </c>
      <c r="DT264" s="551">
        <f t="shared" si="225"/>
        <v>43.849387533389297</v>
      </c>
      <c r="DU264" s="553">
        <f>DT264/PI()*SQRT('Hilfstabellen_Mat&amp;Bem'!f.Rd.3/'Hilfstabellen_Mat&amp;Bem'!$BD$30)</f>
        <v>0.6978846777491039</v>
      </c>
      <c r="DV264" s="553">
        <f>0.5*(1+'Hilfstabellen_Mat&amp;Bem'!$BD$31*(DU264-0.3)+DU264^2)</f>
        <v>0.7634157456059405</v>
      </c>
      <c r="DW264" s="550">
        <f t="shared" si="226"/>
        <v>0.93208128264306123</v>
      </c>
      <c r="DY264" s="551">
        <f t="shared" si="227"/>
        <v>93073.908559605523</v>
      </c>
      <c r="EB264" s="547">
        <f>'Hilfstabellen_Mat&amp;Bem'!$J$64</f>
        <v>4.0999999999999996</v>
      </c>
      <c r="EC264" s="546">
        <f t="shared" si="228"/>
        <v>316</v>
      </c>
      <c r="ED264" s="551">
        <f t="shared" si="229"/>
        <v>44.94562222172403</v>
      </c>
      <c r="EE264" s="553">
        <f>ED264/PI()*SQRT('Hilfstabellen_Mat&amp;Bem'!f.Rd.3/'Hilfstabellen_Mat&amp;Bem'!$BD$30)</f>
        <v>0.71533179469283148</v>
      </c>
      <c r="EF264" s="553">
        <f>0.5*(1+'Hilfstabellen_Mat&amp;Bem'!$BD$31*(EE264-0.3)+EE264^2)</f>
        <v>0.77661637798387528</v>
      </c>
      <c r="EG264" s="550">
        <f t="shared" si="230"/>
        <v>0.92678751457964192</v>
      </c>
      <c r="EI264" s="551">
        <f t="shared" si="231"/>
        <v>92545.294055864724</v>
      </c>
      <c r="EL264" s="547">
        <f>'Hilfstabellen_Mat&amp;Bem'!$J$65</f>
        <v>4.2</v>
      </c>
      <c r="EM264" s="546">
        <f t="shared" si="232"/>
        <v>316</v>
      </c>
      <c r="EN264" s="551">
        <f t="shared" si="233"/>
        <v>46.041856910058762</v>
      </c>
      <c r="EO264" s="553">
        <f>EN264/PI()*SQRT('Hilfstabellen_Mat&amp;Bem'!f.Rd.3/'Hilfstabellen_Mat&amp;Bem'!$BD$30)</f>
        <v>0.73277891163655906</v>
      </c>
      <c r="EP264" s="553">
        <f>0.5*(1+'Hilfstabellen_Mat&amp;Bem'!$BD$31*(EO264-0.3)+EO264^2)</f>
        <v>0.79012141225145793</v>
      </c>
      <c r="EQ264" s="550">
        <f t="shared" si="234"/>
        <v>0.92112186113678307</v>
      </c>
      <c r="ES264" s="551">
        <f t="shared" si="235"/>
        <v>91979.544565674616</v>
      </c>
    </row>
    <row r="265" spans="3:149">
      <c r="C265" s="546">
        <v>317</v>
      </c>
      <c r="D265" s="551">
        <f>$B$8*10^3/$C265*SQRT(12)</f>
        <v>30.597742972825593</v>
      </c>
      <c r="E265" s="553">
        <f>$D265/PI()*SQRT('Hilfstabellen_Mat&amp;Bem'!f.Rd.3/'Hilfstabellen_Mat&amp;Bem'!$BD$30)</f>
        <v>0.48697820415804982</v>
      </c>
      <c r="F265" s="553">
        <f>0.5*(1+'Hilfstabellen_Mat&amp;Bem'!$BD$31*($E265-0.3)+$E265^2)</f>
        <v>0.62792279587040212</v>
      </c>
      <c r="G265" s="550">
        <f>MIN(1/($F265+SQRT($F265^2-$E265^2)),1)</f>
        <v>0.97624717388739923</v>
      </c>
      <c r="I265" s="551">
        <f t="shared" si="236"/>
        <v>98102.102256770857</v>
      </c>
      <c r="M265" s="546">
        <f>$C265</f>
        <v>317</v>
      </c>
      <c r="N265" s="551">
        <f>$L$8*10^3/$M265*SQRT(12)</f>
        <v>31.690519507569363</v>
      </c>
      <c r="O265" s="553">
        <f>$N265/PI()*SQRT('Hilfstabellen_Mat&amp;Bem'!f.Rd.3/'Hilfstabellen_Mat&amp;Bem'!$BD$30)</f>
        <v>0.50437028287798014</v>
      </c>
      <c r="P265" s="553">
        <f>0.5*(1+'Hilfstabellen_Mat&amp;Bem'!$BD$31*($O265-0.3)+$O265^2)</f>
        <v>0.63741320526910583</v>
      </c>
      <c r="Q265" s="550">
        <f>MIN(1/($P265+SQRT($P265^2-$O265^2)),1)</f>
        <v>0.97355372467372958</v>
      </c>
      <c r="S265" s="551">
        <f t="shared" si="237"/>
        <v>97831.440238738418</v>
      </c>
      <c r="W265" s="546">
        <f>$C265</f>
        <v>317</v>
      </c>
      <c r="X265" s="551">
        <f>$V$8*10^3/$W265*SQRT(12)</f>
        <v>32.783296042313133</v>
      </c>
      <c r="Y265" s="553">
        <f>$X265/PI()*SQRT('Hilfstabellen_Mat&amp;Bem'!f.Rd.3/'Hilfstabellen_Mat&amp;Bem'!$BD$30)</f>
        <v>0.52176236159791045</v>
      </c>
      <c r="Z265" s="553">
        <f>0.5*(1+'Hilfstabellen_Mat&amp;Bem'!$BD$31*($Y265-0.3)+$Y265^2)</f>
        <v>0.64720609907000981</v>
      </c>
      <c r="AA265" s="550">
        <f>MIN(1/($Z265+SQRT($Z265^2-$Y265^2)),1)</f>
        <v>0.9707401180722709</v>
      </c>
      <c r="AC265" s="551">
        <f t="shared" si="238"/>
        <v>97548.703724964435</v>
      </c>
      <c r="AG265" s="546">
        <f>$C265</f>
        <v>317</v>
      </c>
      <c r="AH265" s="551">
        <f>$AF$8*10^3/$AG265*SQRT(12)</f>
        <v>33.876072577056902</v>
      </c>
      <c r="AI265" s="553">
        <f>$AH265/PI()*SQRT('Hilfstabellen_Mat&amp;Bem'!f.Rd.3/'Hilfstabellen_Mat&amp;Bem'!$BD$30)</f>
        <v>0.53915444031784077</v>
      </c>
      <c r="AJ265" s="553">
        <f>0.5*(1+'Hilfstabellen_Mat&amp;Bem'!$BD$31*($AI265-0.3)+$AI265^2)</f>
        <v>0.65730147727311417</v>
      </c>
      <c r="AK265" s="550">
        <f>MIN(1/($AJ265+SQRT($AJ265^2-$AI265^2)),1)</f>
        <v>0.96779453669096172</v>
      </c>
      <c r="AM265" s="551">
        <f t="shared" si="239"/>
        <v>97252.705197538045</v>
      </c>
      <c r="AQ265" s="546">
        <f>$C265</f>
        <v>317</v>
      </c>
      <c r="AR265" s="551">
        <f>$AP$8*10^3/$AQ265*SQRT(12)</f>
        <v>34.968849111800672</v>
      </c>
      <c r="AS265" s="553">
        <f>$AR265/PI()*SQRT('Hilfstabellen_Mat&amp;Bem'!f.Rd.3/'Hilfstabellen_Mat&amp;Bem'!$BD$30)</f>
        <v>0.55654651903777108</v>
      </c>
      <c r="AT265" s="553">
        <f>0.5*(1+'Hilfstabellen_Mat&amp;Bem'!$BD$31*($AS265-0.3)+$AS265^2)</f>
        <v>0.66769933987841856</v>
      </c>
      <c r="AU265" s="550">
        <f>MIN(1/($AT265+SQRT($AT265^2-$AS265^2)),1)</f>
        <v>0.96470401484410706</v>
      </c>
      <c r="AW265" s="551">
        <f t="shared" si="240"/>
        <v>96942.141747669477</v>
      </c>
      <c r="AZ265" s="547">
        <f>'Hilfstabellen_Mat&amp;Bem'!$J$56</f>
        <v>3.3</v>
      </c>
      <c r="BA265" s="546">
        <f>$C265</f>
        <v>317</v>
      </c>
      <c r="BB265" s="551">
        <f>AZ$8*10^3/BA265*SQRT(12)</f>
        <v>36.061625646544442</v>
      </c>
      <c r="BC265" s="553">
        <f>BB265/PI()*SQRT('Hilfstabellen_Mat&amp;Bem'!f.Rd.3/'Hilfstabellen_Mat&amp;Bem'!$BD$30)</f>
        <v>0.57393859775770151</v>
      </c>
      <c r="BD265" s="553">
        <f>0.5*(1+'Hilfstabellen_Mat&amp;Bem'!$BD$31*(BC265-0.3)+BC265^2)</f>
        <v>0.67839968688592345</v>
      </c>
      <c r="BE265" s="550">
        <f>MIN(1/(BD265+SQRT(BD265^2-BC265^2)),1)</f>
        <v>0.96145431487496802</v>
      </c>
      <c r="BG265" s="551">
        <f>BA265^2*BE265</f>
        <v>96615.582647470656</v>
      </c>
      <c r="BJ265" s="547">
        <f>'Hilfstabellen_Mat&amp;Bem'!$J$57</f>
        <v>3.4</v>
      </c>
      <c r="BK265" s="546">
        <f>$C265</f>
        <v>317</v>
      </c>
      <c r="BL265" s="551">
        <f>BJ$8*10^3/BK265*SQRT(12)</f>
        <v>37.154402181288219</v>
      </c>
      <c r="BM265" s="553">
        <f>BL265/PI()*SQRT('Hilfstabellen_Mat&amp;Bem'!f.Rd.3/'Hilfstabellen_Mat&amp;Bem'!$BD$30)</f>
        <v>0.59133067647763193</v>
      </c>
      <c r="BN265" s="553">
        <f>0.5*(1+'Hilfstabellen_Mat&amp;Bem'!$BD$31*(BM265-0.3)+BM265^2)</f>
        <v>0.68940251829562849</v>
      </c>
      <c r="BO265" s="550">
        <f>MIN(1/(BN265+SQRT(BN265^2-BM265^2)),1)</f>
        <v>0.95802979565744384</v>
      </c>
      <c r="BQ265" s="551">
        <f>BK265^2*BO265</f>
        <v>96271.456135820874</v>
      </c>
      <c r="BT265" s="547">
        <f>'Hilfstabellen_Mat&amp;Bem'!$J$58</f>
        <v>3.5</v>
      </c>
      <c r="BU265" s="546">
        <f>$C265</f>
        <v>317</v>
      </c>
      <c r="BV265" s="551">
        <f>BT$8*10^3/BU265*SQRT(12)</f>
        <v>38.247178716031989</v>
      </c>
      <c r="BW265" s="553">
        <f>BV265/PI()*SQRT('Hilfstabellen_Mat&amp;Bem'!f.Rd.3/'Hilfstabellen_Mat&amp;Bem'!$BD$30)</f>
        <v>0.60872275519756225</v>
      </c>
      <c r="BX265" s="553">
        <f>0.5*(1+'Hilfstabellen_Mat&amp;Bem'!$BD$31*(BW265-0.3)+BW265^2)</f>
        <v>0.70070783410753368</v>
      </c>
      <c r="BY265" s="550">
        <f>MIN(1/(BX265+SQRT(BX265^2-BW265^2)),1)</f>
        <v>0.95441327533997156</v>
      </c>
      <c r="CA265" s="551">
        <f>BU265^2*BY265</f>
        <v>95908.035625638397</v>
      </c>
      <c r="CD265" s="547">
        <f>'Hilfstabellen_Mat&amp;Bem'!$J$59</f>
        <v>3.6</v>
      </c>
      <c r="CE265" s="546">
        <f>$C265</f>
        <v>317</v>
      </c>
      <c r="CF265" s="551">
        <f>CD$8*10^3/CE265*SQRT(12)</f>
        <v>39.339955250775759</v>
      </c>
      <c r="CG265" s="553">
        <f>CF265/PI()*SQRT('Hilfstabellen_Mat&amp;Bem'!f.Rd.3/'Hilfstabellen_Mat&amp;Bem'!$BD$30)</f>
        <v>0.62611483391749256</v>
      </c>
      <c r="CH265" s="553">
        <f>0.5*(1+'Hilfstabellen_Mat&amp;Bem'!$BD$31*(CG265-0.3)+CG265^2)</f>
        <v>0.71231563432163925</v>
      </c>
      <c r="CI265" s="550">
        <f>MIN(1/(CH265+SQRT(CH265^2-CG265^2)),1)</f>
        <v>0.95058589180862474</v>
      </c>
      <c r="CK265" s="551">
        <f>CE265^2*CI265</f>
        <v>95523.425681956898</v>
      </c>
      <c r="CN265" s="547">
        <f>'Hilfstabellen_Mat&amp;Bem'!$J$60</f>
        <v>3.7</v>
      </c>
      <c r="CO265" s="546">
        <f>$C265</f>
        <v>317</v>
      </c>
      <c r="CP265" s="551">
        <f>CN$8*10^3/CO265*SQRT(12)</f>
        <v>40.432731785519529</v>
      </c>
      <c r="CQ265" s="553">
        <f>CP265/PI()*SQRT('Hilfstabellen_Mat&amp;Bem'!f.Rd.3/'Hilfstabellen_Mat&amp;Bem'!$BD$30)</f>
        <v>0.64350691263742288</v>
      </c>
      <c r="CR265" s="553">
        <f>0.5*(1+'Hilfstabellen_Mat&amp;Bem'!$BD$31*(CQ265-0.3)+CQ265^2)</f>
        <v>0.72422591893794508</v>
      </c>
      <c r="CS265" s="550">
        <f>MIN(1/(CR265+SQRT(CR265^2-CQ265^2)),1)</f>
        <v>0.94652696630426469</v>
      </c>
      <c r="CU265" s="551">
        <f>CO265^2*CS265</f>
        <v>95115.548316949251</v>
      </c>
      <c r="CX265" s="547">
        <f>'Hilfstabellen_Mat&amp;Bem'!$J$61</f>
        <v>3.8</v>
      </c>
      <c r="CY265" s="546">
        <f>$C265</f>
        <v>317</v>
      </c>
      <c r="CZ265" s="551">
        <f>CX$8*10^3/CY265*SQRT(12)</f>
        <v>41.525508320263299</v>
      </c>
      <c r="DA265" s="553">
        <f>CZ265/PI()*SQRT('Hilfstabellen_Mat&amp;Bem'!f.Rd.3/'Hilfstabellen_Mat&amp;Bem'!$BD$30)</f>
        <v>0.66089899135735319</v>
      </c>
      <c r="DB265" s="553">
        <f>0.5*(1+'Hilfstabellen_Mat&amp;Bem'!$BD$31*(DA265-0.3)+DA265^2)</f>
        <v>0.73643868795645107</v>
      </c>
      <c r="DC265" s="550">
        <f>MIN(1/(DB265+SQRT(DB265^2-DA265^2)),1)</f>
        <v>0.94221387827526459</v>
      </c>
      <c r="DE265" s="551">
        <f>CY265^2*DC265</f>
        <v>94682.13041400307</v>
      </c>
      <c r="DH265" s="547">
        <f>'Hilfstabellen_Mat&amp;Bem'!$J$62</f>
        <v>3.9</v>
      </c>
      <c r="DI265" s="546">
        <f>$C265</f>
        <v>317</v>
      </c>
      <c r="DJ265" s="551">
        <f>DH$8*10^3/DI265*SQRT(12)</f>
        <v>42.618284855007076</v>
      </c>
      <c r="DK265" s="553">
        <f>DJ265/PI()*SQRT('Hilfstabellen_Mat&amp;Bem'!f.Rd.3/'Hilfstabellen_Mat&amp;Bem'!$BD$30)</f>
        <v>0.67829107007728373</v>
      </c>
      <c r="DL265" s="553">
        <f>0.5*(1+'Hilfstabellen_Mat&amp;Bem'!$BD$31*(DK265-0.3)+DK265^2)</f>
        <v>0.74895394137715754</v>
      </c>
      <c r="DM265" s="550">
        <f>MIN(1/(DL265+SQRT(DL265^2-DK265^2)),1)</f>
        <v>0.93762196303211076</v>
      </c>
      <c r="DO265" s="551">
        <f>DI265^2*DM265</f>
        <v>94220.693443133772</v>
      </c>
      <c r="DR265" s="547">
        <f>'Hilfstabellen_Mat&amp;Bem'!$J$63</f>
        <v>4</v>
      </c>
      <c r="DS265" s="546">
        <f>$C265</f>
        <v>317</v>
      </c>
      <c r="DT265" s="551">
        <f>DR$8*10^3/DS265*SQRT(12)</f>
        <v>43.711061389750846</v>
      </c>
      <c r="DU265" s="553">
        <f>DT265/PI()*SQRT('Hilfstabellen_Mat&amp;Bem'!f.Rd.3/'Hilfstabellen_Mat&amp;Bem'!$BD$30)</f>
        <v>0.69568314879721393</v>
      </c>
      <c r="DV265" s="553">
        <f>0.5*(1+'Hilfstabellen_Mat&amp;Bem'!$BD$31*(DU265-0.3)+DU265^2)</f>
        <v>0.76177167920006394</v>
      </c>
      <c r="DW265" s="550">
        <f>MIN(1/(DV265+SQRT(DV265^2-DU265^2)),1)</f>
        <v>0.9327244482183622</v>
      </c>
      <c r="DY265" s="551">
        <f>DS265^2*DW265</f>
        <v>93728.547077014999</v>
      </c>
      <c r="EB265" s="547">
        <f>'Hilfstabellen_Mat&amp;Bem'!$J$64</f>
        <v>4.0999999999999996</v>
      </c>
      <c r="EC265" s="546">
        <f>$C265</f>
        <v>317</v>
      </c>
      <c r="ED265" s="551">
        <f>EB$8*10^3/EC265*SQRT(12)</f>
        <v>44.803837924494616</v>
      </c>
      <c r="EE265" s="553">
        <f>ED265/PI()*SQRT('Hilfstabellen_Mat&amp;Bem'!f.Rd.3/'Hilfstabellen_Mat&amp;Bem'!$BD$30)</f>
        <v>0.71307522751714436</v>
      </c>
      <c r="EF265" s="553">
        <f>0.5*(1+'Hilfstabellen_Mat&amp;Bem'!$BD$31*(EE265-0.3)+EE265^2)</f>
        <v>0.77489190142517073</v>
      </c>
      <c r="EG265" s="550">
        <f>MIN(1/(EF265+SQRT(EF265^2-EE265^2)),1)</f>
        <v>0.92749245057236318</v>
      </c>
      <c r="EI265" s="551">
        <f>EC265^2*EG265</f>
        <v>93202.78886556621</v>
      </c>
      <c r="EL265" s="547">
        <f>'Hilfstabellen_Mat&amp;Bem'!$J$65</f>
        <v>4.2</v>
      </c>
      <c r="EM265" s="546">
        <f>$C265</f>
        <v>317</v>
      </c>
      <c r="EN265" s="551">
        <f>EL$8*10^3/EM265*SQRT(12)</f>
        <v>45.896614459238386</v>
      </c>
      <c r="EO265" s="553">
        <f>EN265/PI()*SQRT('Hilfstabellen_Mat&amp;Bem'!f.Rd.3/'Hilfstabellen_Mat&amp;Bem'!$BD$30)</f>
        <v>0.73046730623707468</v>
      </c>
      <c r="EP265" s="553">
        <f>0.5*(1+'Hilfstabellen_Mat&amp;Bem'!$BD$31*(EO265-0.3)+EO265^2)</f>
        <v>0.78831460805247788</v>
      </c>
      <c r="EQ265" s="550">
        <f>MIN(1/(EP265+SQRT(EP265^2-EO265^2)),1)</f>
        <v>0.92189506080929651</v>
      </c>
      <c r="ES265" s="551">
        <f>EM265^2*EQ265</f>
        <v>92640.312765665396</v>
      </c>
    </row>
    <row r="266" spans="3:149">
      <c r="C266" s="546">
        <v>318</v>
      </c>
      <c r="D266" s="551">
        <f>$B$8*10^3/$C266*SQRT(12)</f>
        <v>30.501523655300982</v>
      </c>
      <c r="E266" s="553">
        <f>$D266/PI()*SQRT('Hilfstabellen_Mat&amp;Bem'!f.Rd.3/'Hilfstabellen_Mat&amp;Bem'!$BD$30)</f>
        <v>0.48544682615755275</v>
      </c>
      <c r="F266" s="553">
        <f>0.5*(1+'Hilfstabellen_Mat&amp;Bem'!$BD$31*($E266-0.3)+$E266^2)</f>
        <v>0.62710165182109834</v>
      </c>
      <c r="G266" s="550">
        <f>MIN(1/($F266+SQRT($F266^2-$E266^2)),1)</f>
        <v>0.97647894409290137</v>
      </c>
      <c r="I266" s="551">
        <f t="shared" si="236"/>
        <v>98745.456742450551</v>
      </c>
      <c r="M266" s="546">
        <f>$C266</f>
        <v>318</v>
      </c>
      <c r="N266" s="551">
        <f>$L$8*10^3/$M266*SQRT(12)</f>
        <v>31.590863785847443</v>
      </c>
      <c r="O266" s="553">
        <f>$N266/PI()*SQRT('Hilfstabellen_Mat&amp;Bem'!f.Rd.3/'Hilfstabellen_Mat&amp;Bem'!$BD$30)</f>
        <v>0.5027842128060368</v>
      </c>
      <c r="P266" s="553">
        <f>0.5*(1+'Hilfstabellen_Mat&amp;Bem'!$BD$31*($O266-0.3)+$O266^2)</f>
        <v>0.6365351929637949</v>
      </c>
      <c r="Q266" s="550">
        <f>MIN(1/($P266+SQRT($P266^2-$O266^2)),1)</f>
        <v>0.97380416327324248</v>
      </c>
      <c r="S266" s="551">
        <f t="shared" si="237"/>
        <v>98474.972206843377</v>
      </c>
      <c r="W266" s="546">
        <f>$C266</f>
        <v>318</v>
      </c>
      <c r="X266" s="551">
        <f>$V$8*10^3/$W266*SQRT(12)</f>
        <v>32.680203916393914</v>
      </c>
      <c r="Y266" s="553">
        <f>$X266/PI()*SQRT('Hilfstabellen_Mat&amp;Bem'!f.Rd.3/'Hilfstabellen_Mat&amp;Bem'!$BD$30)</f>
        <v>0.52012159945452086</v>
      </c>
      <c r="Z266" s="553">
        <f>0.5*(1+'Hilfstabellen_Mat&amp;Bem'!$BD$31*($Y266-0.3)+$Y266^2)</f>
        <v>0.64626931908229057</v>
      </c>
      <c r="AA266" s="550">
        <f>MIN(1/($Z266+SQRT($Z266^2-$Y266^2)),1)</f>
        <v>0.97101099828869164</v>
      </c>
      <c r="AC266" s="551">
        <f t="shared" si="238"/>
        <v>98192.516190945651</v>
      </c>
      <c r="AG266" s="546">
        <f>$C266</f>
        <v>318</v>
      </c>
      <c r="AH266" s="551">
        <f>$AF$8*10^3/$AG266*SQRT(12)</f>
        <v>33.769544046940375</v>
      </c>
      <c r="AI266" s="553">
        <f>$AH266/PI()*SQRT('Hilfstabellen_Mat&amp;Bem'!f.Rd.3/'Hilfstabellen_Mat&amp;Bem'!$BD$30)</f>
        <v>0.53745898610300491</v>
      </c>
      <c r="AJ266" s="553">
        <f>0.5*(1+'Hilfstabellen_Mat&amp;Bem'!$BD$31*($AI266-0.3)+$AI266^2)</f>
        <v>0.65630403017658523</v>
      </c>
      <c r="AK266" s="550">
        <f>MIN(1/($AJ266+SQRT($AJ266^2-$AI266^2)),1)</f>
        <v>0.96808784258948433</v>
      </c>
      <c r="AM266" s="551">
        <f t="shared" si="239"/>
        <v>97896.914994019011</v>
      </c>
      <c r="AQ266" s="546">
        <f>$C266</f>
        <v>318</v>
      </c>
      <c r="AR266" s="551">
        <f>$AP$8*10^3/$AQ266*SQRT(12)</f>
        <v>34.858884177486836</v>
      </c>
      <c r="AS266" s="553">
        <f>$AR266/PI()*SQRT('Hilfstabellen_Mat&amp;Bem'!f.Rd.3/'Hilfstabellen_Mat&amp;Bem'!$BD$30)</f>
        <v>0.55479637275148885</v>
      </c>
      <c r="AT266" s="553">
        <f>0.5*(1+'Hilfstabellen_Mat&amp;Bem'!$BD$31*($AS266-0.3)+$AS266^2)</f>
        <v>0.66663932624667899</v>
      </c>
      <c r="AU266" s="550">
        <f>MIN(1/($AT266+SQRT($AT266^2-$AS266^2)),1)</f>
        <v>0.96502196679616425</v>
      </c>
      <c r="AW266" s="551">
        <f t="shared" si="240"/>
        <v>97586.881370295319</v>
      </c>
      <c r="AZ266" s="547">
        <f>'Hilfstabellen_Mat&amp;Bem'!$J$56</f>
        <v>3.3</v>
      </c>
      <c r="BA266" s="546">
        <f>$C266</f>
        <v>318</v>
      </c>
      <c r="BB266" s="551">
        <f>AZ$8*10^3/BA266*SQRT(12)</f>
        <v>35.948224308033303</v>
      </c>
      <c r="BC266" s="553">
        <f>BB266/PI()*SQRT('Hilfstabellen_Mat&amp;Bem'!f.Rd.3/'Hilfstabellen_Mat&amp;Bem'!$BD$30)</f>
        <v>0.57213375939997302</v>
      </c>
      <c r="BD266" s="553">
        <f>0.5*(1+'Hilfstabellen_Mat&amp;Bem'!$BD$31*(BC266-0.3)+BC266^2)</f>
        <v>0.67727520729257173</v>
      </c>
      <c r="BE266" s="550">
        <f>MIN(1/(BD266+SQRT(BD266^2-BC266^2)),1)</f>
        <v>0.96179939775962986</v>
      </c>
      <c r="BG266" s="551">
        <f>BA266^2*BE266</f>
        <v>97261.002299044805</v>
      </c>
      <c r="BJ266" s="547">
        <f>'Hilfstabellen_Mat&amp;Bem'!$J$57</f>
        <v>3.4</v>
      </c>
      <c r="BK266" s="546">
        <f>$C266</f>
        <v>318</v>
      </c>
      <c r="BL266" s="551">
        <f>BJ$8*10^3/BK266*SQRT(12)</f>
        <v>37.037564438579764</v>
      </c>
      <c r="BM266" s="553">
        <f>BL266/PI()*SQRT('Hilfstabellen_Mat&amp;Bem'!f.Rd.3/'Hilfstabellen_Mat&amp;Bem'!$BD$30)</f>
        <v>0.58947114604845685</v>
      </c>
      <c r="BN266" s="553">
        <f>0.5*(1+'Hilfstabellen_Mat&amp;Bem'!$BD$31*(BM266-0.3)+BM266^2)</f>
        <v>0.68821167331426336</v>
      </c>
      <c r="BO266" s="550">
        <f>MIN(1/(BN266+SQRT(BN266^2-BM266^2)),1)</f>
        <v>0.95840478980582</v>
      </c>
      <c r="BQ266" s="551">
        <f>BK266^2*BO266</f>
        <v>96917.725964323748</v>
      </c>
      <c r="BT266" s="547">
        <f>'Hilfstabellen_Mat&amp;Bem'!$J$58</f>
        <v>3.5</v>
      </c>
      <c r="BU266" s="546">
        <f>$C266</f>
        <v>318</v>
      </c>
      <c r="BV266" s="551">
        <f>BT$8*10^3/BU266*SQRT(12)</f>
        <v>38.126904569126225</v>
      </c>
      <c r="BW266" s="553">
        <f>BV266/PI()*SQRT('Hilfstabellen_Mat&amp;Bem'!f.Rd.3/'Hilfstabellen_Mat&amp;Bem'!$BD$30)</f>
        <v>0.60680853269694091</v>
      </c>
      <c r="BX266" s="553">
        <f>0.5*(1+'Hilfstabellen_Mat&amp;Bem'!$BD$31*(BW266-0.3)+BW266^2)</f>
        <v>0.6994487243117542</v>
      </c>
      <c r="BY266" s="550">
        <f>MIN(1/(BX266+SQRT(BX266^2-BW266^2)),1)</f>
        <v>0.95482129006952776</v>
      </c>
      <c r="CA266" s="551">
        <f>BU266^2*BY266</f>
        <v>96555.348136990928</v>
      </c>
      <c r="CD266" s="547">
        <f>'Hilfstabellen_Mat&amp;Bem'!$J$59</f>
        <v>3.6</v>
      </c>
      <c r="CE266" s="546">
        <f>$C266</f>
        <v>318</v>
      </c>
      <c r="CF266" s="551">
        <f>CD$8*10^3/CE266*SQRT(12)</f>
        <v>39.216244699672686</v>
      </c>
      <c r="CG266" s="553">
        <f>CF266/PI()*SQRT('Hilfstabellen_Mat&amp;Bem'!f.Rd.3/'Hilfstabellen_Mat&amp;Bem'!$BD$30)</f>
        <v>0.62414591934542496</v>
      </c>
      <c r="CH266" s="553">
        <f>0.5*(1+'Hilfstabellen_Mat&amp;Bem'!$BD$31*(CG266-0.3)+CG266^2)</f>
        <v>0.71098636028504414</v>
      </c>
      <c r="CI266" s="550">
        <f>MIN(1/(CH266+SQRT(CH266^2-CG266^2)),1)</f>
        <v>0.95103040115404447</v>
      </c>
      <c r="CK266" s="551">
        <f>CE266^2*CI266</f>
        <v>96171.99828630159</v>
      </c>
      <c r="CN266" s="547">
        <f>'Hilfstabellen_Mat&amp;Bem'!$J$60</f>
        <v>3.7</v>
      </c>
      <c r="CO266" s="546">
        <f>$C266</f>
        <v>318</v>
      </c>
      <c r="CP266" s="551">
        <f>CN$8*10^3/CO266*SQRT(12)</f>
        <v>40.305584830219154</v>
      </c>
      <c r="CQ266" s="553">
        <f>CP266/PI()*SQRT('Hilfstabellen_Mat&amp;Bem'!f.Rd.3/'Hilfstabellen_Mat&amp;Bem'!$BD$30)</f>
        <v>0.64148330599390901</v>
      </c>
      <c r="CR266" s="553">
        <f>0.5*(1+'Hilfstabellen_Mat&amp;Bem'!$BD$31*(CQ266-0.3)+CQ266^2)</f>
        <v>0.72282458123413296</v>
      </c>
      <c r="CS266" s="550">
        <f>MIN(1/(CR266+SQRT(CR266^2-CQ266^2)),1)</f>
        <v>0.94701184620082735</v>
      </c>
      <c r="CU266" s="551">
        <f>CO266^2*CS266</f>
        <v>95765.625935212462</v>
      </c>
      <c r="CX266" s="547">
        <f>'Hilfstabellen_Mat&amp;Bem'!$J$61</f>
        <v>3.8</v>
      </c>
      <c r="CY266" s="546">
        <f>$C266</f>
        <v>318</v>
      </c>
      <c r="CZ266" s="551">
        <f>CX$8*10^3/CY266*SQRT(12)</f>
        <v>41.394924960765621</v>
      </c>
      <c r="DA266" s="553">
        <f>CZ266/PI()*SQRT('Hilfstabellen_Mat&amp;Bem'!f.Rd.3/'Hilfstabellen_Mat&amp;Bem'!$BD$30)</f>
        <v>0.65882069264239318</v>
      </c>
      <c r="DB266" s="553">
        <f>0.5*(1+'Hilfstabellen_Mat&amp;Bem'!$BD$31*(DA266-0.3)+DA266^2)</f>
        <v>0.7349633871590211</v>
      </c>
      <c r="DC266" s="550">
        <f>MIN(1/(DB266+SQRT(DB266^2-DA266^2)),1)</f>
        <v>0.94274344395502629</v>
      </c>
      <c r="DE266" s="551">
        <f>CY266^2*DC266</f>
        <v>95333.988026508072</v>
      </c>
      <c r="DH266" s="547">
        <f>'Hilfstabellen_Mat&amp;Bem'!$J$62</f>
        <v>3.9</v>
      </c>
      <c r="DI266" s="546">
        <f>$C266</f>
        <v>318</v>
      </c>
      <c r="DJ266" s="551">
        <f>DH$8*10^3/DI266*SQRT(12)</f>
        <v>42.484265091312082</v>
      </c>
      <c r="DK266" s="553">
        <f>DJ266/PI()*SQRT('Hilfstabellen_Mat&amp;Bem'!f.Rd.3/'Hilfstabellen_Mat&amp;Bem'!$BD$30)</f>
        <v>0.67615807929087701</v>
      </c>
      <c r="DL266" s="553">
        <f>0.5*(1+'Hilfstabellen_Mat&amp;Bem'!$BD$31*(DK266-0.3)+DK266^2)</f>
        <v>0.7474027780597079</v>
      </c>
      <c r="DM266" s="550">
        <f>MIN(1/(DL266+SQRT(DL266^2-DK266^2)),1)</f>
        <v>0.93820100471381873</v>
      </c>
      <c r="DO266" s="551">
        <f>DI266^2*DM266</f>
        <v>94874.638400680211</v>
      </c>
      <c r="DR266" s="547">
        <f>'Hilfstabellen_Mat&amp;Bem'!$J$63</f>
        <v>4</v>
      </c>
      <c r="DS266" s="546">
        <f>$C266</f>
        <v>318</v>
      </c>
      <c r="DT266" s="551">
        <f>DR$8*10^3/DS266*SQRT(12)</f>
        <v>43.57360522185855</v>
      </c>
      <c r="DU266" s="553">
        <f>DT266/PI()*SQRT('Hilfstabellen_Mat&amp;Bem'!f.Rd.3/'Hilfstabellen_Mat&amp;Bem'!$BD$30)</f>
        <v>0.69349546593936118</v>
      </c>
      <c r="DV266" s="553">
        <f>0.5*(1+'Hilfstabellen_Mat&amp;Bem'!$BD$31*(DU266-0.3)+DU266^2)</f>
        <v>0.7601427539361939</v>
      </c>
      <c r="DW266" s="550">
        <f>MIN(1/(DV266+SQRT(DV266^2-DU266^2)),1)</f>
        <v>0.93335826227111518</v>
      </c>
      <c r="DY266" s="551">
        <f>DS266^2*DW266</f>
        <v>94384.92091390425</v>
      </c>
      <c r="EB266" s="547">
        <f>'Hilfstabellen_Mat&amp;Bem'!$J$64</f>
        <v>4.0999999999999996</v>
      </c>
      <c r="EC266" s="546">
        <f>$C266</f>
        <v>318</v>
      </c>
      <c r="ED266" s="551">
        <f>EB$8*10^3/EC266*SQRT(12)</f>
        <v>44.662945352405011</v>
      </c>
      <c r="EE266" s="553">
        <f>ED266/PI()*SQRT('Hilfstabellen_Mat&amp;Bem'!f.Rd.3/'Hilfstabellen_Mat&amp;Bem'!$BD$30)</f>
        <v>0.71083285258784512</v>
      </c>
      <c r="EF266" s="553">
        <f>0.5*(1+'Hilfstabellen_Mat&amp;Bem'!$BD$31*(EE266-0.3)+EE266^2)</f>
        <v>0.77318331478847879</v>
      </c>
      <c r="EG266" s="550">
        <f>MIN(1/(EF266+SQRT(EF266^2-EE266^2)),1)</f>
        <v>0.92818686218344026</v>
      </c>
      <c r="EI266" s="551">
        <f>EC266^2*EG266</f>
        <v>93861.968251438215</v>
      </c>
      <c r="EL266" s="547">
        <f>'Hilfstabellen_Mat&amp;Bem'!$J$65</f>
        <v>4.2</v>
      </c>
      <c r="EM266" s="546">
        <f>$C266</f>
        <v>318</v>
      </c>
      <c r="EN266" s="551">
        <f>EL$8*10^3/EM266*SQRT(12)</f>
        <v>45.752285482951471</v>
      </c>
      <c r="EO266" s="553">
        <f>EN266/PI()*SQRT('Hilfstabellen_Mat&amp;Bem'!f.Rd.3/'Hilfstabellen_Mat&amp;Bem'!$BD$30)</f>
        <v>0.72817023923632906</v>
      </c>
      <c r="EP266" s="553">
        <f>0.5*(1+'Hilfstabellen_Mat&amp;Bem'!$BD$31*(EO266-0.3)+EO266^2)</f>
        <v>0.78652446061656289</v>
      </c>
      <c r="EQ266" s="550">
        <f>MIN(1/(EP266+SQRT(EP266^2-EO266^2)),1)</f>
        <v>0.92265643278932352</v>
      </c>
      <c r="ES266" s="551">
        <f>EM266^2*EQ266</f>
        <v>93302.70910938755</v>
      </c>
    </row>
    <row r="267" spans="3:149">
      <c r="C267" s="546">
        <v>319</v>
      </c>
      <c r="D267" s="551">
        <f>$B$8*10^3/$C267*SQRT(12)</f>
        <v>30.405907593685615</v>
      </c>
      <c r="E267" s="553">
        <f>$D267/PI()*SQRT('Hilfstabellen_Mat&amp;Bem'!f.Rd.3/'Hilfstabellen_Mat&amp;Bem'!$BD$30)</f>
        <v>0.48392504927304625</v>
      </c>
      <c r="F267" s="553">
        <f>0.5*(1+'Hilfstabellen_Mat&amp;Bem'!$BD$31*($E267-0.3)+$E267^2)</f>
        <v>0.6262879791206124</v>
      </c>
      <c r="G267" s="550">
        <f>MIN(1/($F267+SQRT($F267^2-$E267^2)),1)</f>
        <v>0.97670842870262609</v>
      </c>
      <c r="I267" s="551">
        <f t="shared" si="236"/>
        <v>99390.826413207935</v>
      </c>
      <c r="M267" s="546">
        <f>$C267</f>
        <v>319</v>
      </c>
      <c r="N267" s="551">
        <f>$L$8*10^3/$M267*SQRT(12)</f>
        <v>31.491832864888679</v>
      </c>
      <c r="O267" s="553">
        <f>$N267/PI()*SQRT('Hilfstabellen_Mat&amp;Bem'!f.Rd.3/'Hilfstabellen_Mat&amp;Bem'!$BD$30)</f>
        <v>0.50120808674708373</v>
      </c>
      <c r="P267" s="553">
        <f>0.5*(1+'Hilfstabellen_Mat&amp;Bem'!$BD$31*($O267-0.3)+$O267^2)</f>
        <v>0.63566517744769035</v>
      </c>
      <c r="Q267" s="550">
        <f>MIN(1/($P267+SQRT($P267^2-$O267^2)),1)</f>
        <v>0.97405205093094493</v>
      </c>
      <c r="S267" s="551">
        <f t="shared" si="237"/>
        <v>99120.510754783885</v>
      </c>
      <c r="W267" s="546">
        <f>$C267</f>
        <v>319</v>
      </c>
      <c r="X267" s="551">
        <f>$V$8*10^3/$W267*SQRT(12)</f>
        <v>32.577758136091738</v>
      </c>
      <c r="Y267" s="553">
        <f>$X267/PI()*SQRT('Hilfstabellen_Mat&amp;Bem'!f.Rd.3/'Hilfstabellen_Mat&amp;Bem'!$BD$30)</f>
        <v>0.51849112422112109</v>
      </c>
      <c r="Z267" s="553">
        <f>0.5*(1+'Hilfstabellen_Mat&amp;Bem'!$BD$31*($Y267-0.3)+$Y267^2)</f>
        <v>0.645341079159097</v>
      </c>
      <c r="AA267" s="550">
        <f>MIN(1/($Z267+SQRT($Z267^2-$Y267^2)),1)</f>
        <v>0.97127902769969876</v>
      </c>
      <c r="AC267" s="551">
        <f t="shared" si="238"/>
        <v>98838.325137749052</v>
      </c>
      <c r="AG267" s="546">
        <f>$C267</f>
        <v>319</v>
      </c>
      <c r="AH267" s="551">
        <f>$AF$8*10^3/$AG267*SQRT(12)</f>
        <v>33.663683407294791</v>
      </c>
      <c r="AI267" s="553">
        <f>$AH267/PI()*SQRT('Hilfstabellen_Mat&amp;Bem'!f.Rd.3/'Hilfstabellen_Mat&amp;Bem'!$BD$30)</f>
        <v>0.53577416169515846</v>
      </c>
      <c r="AJ267" s="553">
        <f>0.5*(1+'Hilfstabellen_Mat&amp;Bem'!$BD$31*($AI267-0.3)+$AI267^2)</f>
        <v>0.65531568425483289</v>
      </c>
      <c r="AK267" s="550">
        <f>MIN(1/($AJ267+SQRT($AJ267^2-$AI267^2)),1)</f>
        <v>0.9683779584685005</v>
      </c>
      <c r="AM267" s="551">
        <f t="shared" si="239"/>
        <v>98543.109431713077</v>
      </c>
      <c r="AQ267" s="546">
        <f>$C267</f>
        <v>319</v>
      </c>
      <c r="AR267" s="551">
        <f>$AP$8*10^3/$AQ267*SQRT(12)</f>
        <v>34.74960867849785</v>
      </c>
      <c r="AS267" s="553">
        <f>$AR267/PI()*SQRT('Hilfstabellen_Mat&amp;Bem'!f.Rd.3/'Hilfstabellen_Mat&amp;Bem'!$BD$30)</f>
        <v>0.55305719916919582</v>
      </c>
      <c r="AT267" s="553">
        <f>0.5*(1+'Hilfstabellen_Mat&amp;Bem'!$BD$31*($AS267-0.3)+$AS267^2)</f>
        <v>0.66558899273489758</v>
      </c>
      <c r="AU267" s="550">
        <f>MIN(1/($AT267+SQRT($AT267^2-$AS267^2)),1)</f>
        <v>0.96533634468421892</v>
      </c>
      <c r="AW267" s="551">
        <f t="shared" si="240"/>
        <v>98233.591771410807</v>
      </c>
      <c r="AZ267" s="547">
        <f>'Hilfstabellen_Mat&amp;Bem'!$J$56</f>
        <v>3.3</v>
      </c>
      <c r="BA267" s="546">
        <f>$C267</f>
        <v>319</v>
      </c>
      <c r="BB267" s="551">
        <f>AZ$8*10^3/BA267*SQRT(12)</f>
        <v>35.83553394970091</v>
      </c>
      <c r="BC267" s="553">
        <f>BB267/PI()*SQRT('Hilfstabellen_Mat&amp;Bem'!f.Rd.3/'Hilfstabellen_Mat&amp;Bem'!$BD$30)</f>
        <v>0.57034023664323319</v>
      </c>
      <c r="BD267" s="553">
        <f>0.5*(1+'Hilfstabellen_Mat&amp;Bem'!$BD$31*(BC267-0.3)+BC267^2)</f>
        <v>0.67616100459929129</v>
      </c>
      <c r="BE267" s="550">
        <f>MIN(1/(BD267+SQRT(BD267^2-BC267^2)),1)</f>
        <v>0.96214047152100968</v>
      </c>
      <c r="BG267" s="551">
        <f>BA267^2*BE267</f>
        <v>97908.376522449471</v>
      </c>
      <c r="BJ267" s="547">
        <f>'Hilfstabellen_Mat&amp;Bem'!$J$57</f>
        <v>3.4</v>
      </c>
      <c r="BK267" s="546">
        <f>$C267</f>
        <v>319</v>
      </c>
      <c r="BL267" s="551">
        <f>BJ$8*10^3/BK267*SQRT(12)</f>
        <v>36.921459220903962</v>
      </c>
      <c r="BM267" s="553">
        <f>BL267/PI()*SQRT('Hilfstabellen_Mat&amp;Bem'!f.Rd.3/'Hilfstabellen_Mat&amp;Bem'!$BD$30)</f>
        <v>0.58762327411727044</v>
      </c>
      <c r="BN267" s="553">
        <f>0.5*(1+'Hilfstabellen_Mat&amp;Bem'!$BD$31*(BM267-0.3)+BM267^2)</f>
        <v>0.68703171984801392</v>
      </c>
      <c r="BO267" s="550">
        <f>MIN(1/(BN267+SQRT(BN267^2-BM267^2)),1)</f>
        <v>0.95877528182223648</v>
      </c>
      <c r="BQ267" s="551">
        <f>BK267^2*BO267</f>
        <v>97565.931453512603</v>
      </c>
      <c r="BT267" s="547">
        <f>'Hilfstabellen_Mat&amp;Bem'!$J$58</f>
        <v>3.5</v>
      </c>
      <c r="BU267" s="546">
        <f>$C267</f>
        <v>319</v>
      </c>
      <c r="BV267" s="551">
        <f>BT$8*10^3/BU267*SQRT(12)</f>
        <v>38.007384492107029</v>
      </c>
      <c r="BW267" s="553">
        <f>BV267/PI()*SQRT('Hilfstabellen_Mat&amp;Bem'!f.Rd.3/'Hilfstabellen_Mat&amp;Bem'!$BD$30)</f>
        <v>0.60490631159130803</v>
      </c>
      <c r="BX267" s="553">
        <f>0.5*(1+'Hilfstabellen_Mat&amp;Bem'!$BD$31*(BW267-0.3)+BW267^2)</f>
        <v>0.6982011384810658</v>
      </c>
      <c r="BY267" s="550">
        <f>MIN(1/(BX267+SQRT(BX267^2-BW267^2)),1)</f>
        <v>0.95522424400065642</v>
      </c>
      <c r="CA267" s="551">
        <f>BU267^2*BY267</f>
        <v>97204.574293750804</v>
      </c>
      <c r="CD267" s="547">
        <f>'Hilfstabellen_Mat&amp;Bem'!$J$59</f>
        <v>3.6</v>
      </c>
      <c r="CE267" s="546">
        <f>$C267</f>
        <v>319</v>
      </c>
      <c r="CF267" s="551">
        <f>CD$8*10^3/CE267*SQRT(12)</f>
        <v>39.093309763310081</v>
      </c>
      <c r="CG267" s="553">
        <f>CF267/PI()*SQRT('Hilfstabellen_Mat&amp;Bem'!f.Rd.3/'Hilfstabellen_Mat&amp;Bem'!$BD$30)</f>
        <v>0.62218934906534529</v>
      </c>
      <c r="CH267" s="553">
        <f>0.5*(1+'Hilfstabellen_Mat&amp;Bem'!$BD$31*(CG267-0.3)+CG267^2)</f>
        <v>0.70966926049844625</v>
      </c>
      <c r="CI267" s="550">
        <f>MIN(1/(CH267+SQRT(CH267^2-CG267^2)),1)</f>
        <v>0.95146921690864283</v>
      </c>
      <c r="CK267" s="551">
        <f>CE267^2*CI267</f>
        <v>96822.458981840406</v>
      </c>
      <c r="CN267" s="547">
        <f>'Hilfstabellen_Mat&amp;Bem'!$J$60</f>
        <v>3.7</v>
      </c>
      <c r="CO267" s="546">
        <f>$C267</f>
        <v>319</v>
      </c>
      <c r="CP267" s="551">
        <f>CN$8*10^3/CO267*SQRT(12)</f>
        <v>40.179235034513141</v>
      </c>
      <c r="CQ267" s="553">
        <f>CP267/PI()*SQRT('Hilfstabellen_Mat&amp;Bem'!f.Rd.3/'Hilfstabellen_Mat&amp;Bem'!$BD$30)</f>
        <v>0.63947238653938276</v>
      </c>
      <c r="CR267" s="553">
        <f>0.5*(1+'Hilfstabellen_Mat&amp;Bem'!$BD$31*(CQ267-0.3)+CQ267^2)</f>
        <v>0.72143608590015607</v>
      </c>
      <c r="CS267" s="550">
        <f>MIN(1/(CR267+SQRT(CR267^2-CQ267^2)),1)</f>
        <v>0.9474903164335533</v>
      </c>
      <c r="CU267" s="551">
        <f>CO267^2*CS267</f>
        <v>96417.562090594816</v>
      </c>
      <c r="CX267" s="547">
        <f>'Hilfstabellen_Mat&amp;Bem'!$J$61</f>
        <v>3.8</v>
      </c>
      <c r="CY267" s="546">
        <f>$C267</f>
        <v>319</v>
      </c>
      <c r="CZ267" s="551">
        <f>CX$8*10^3/CY267*SQRT(12)</f>
        <v>41.265160305716201</v>
      </c>
      <c r="DA267" s="553">
        <f>CZ267/PI()*SQRT('Hilfstabellen_Mat&amp;Bem'!f.Rd.3/'Hilfstabellen_Mat&amp;Bem'!$BD$30)</f>
        <v>0.65675542401342013</v>
      </c>
      <c r="DB267" s="553">
        <f>0.5*(1+'Hilfstabellen_Mat&amp;Bem'!$BD$31*(DA267-0.3)+DA267^2)</f>
        <v>0.73350161468619457</v>
      </c>
      <c r="DC267" s="550">
        <f>MIN(1/(DB267+SQRT(DB267^2-DA267^2)),1)</f>
        <v>0.94326579093789464</v>
      </c>
      <c r="DE267" s="551">
        <f>CY267^2*DC267</f>
        <v>95987.6701516311</v>
      </c>
      <c r="DH267" s="547">
        <f>'Hilfstabellen_Mat&amp;Bem'!$J$62</f>
        <v>3.9</v>
      </c>
      <c r="DI267" s="546">
        <f>$C267</f>
        <v>319</v>
      </c>
      <c r="DJ267" s="551">
        <f>DH$8*10^3/DI267*SQRT(12)</f>
        <v>42.351085576919253</v>
      </c>
      <c r="DK267" s="553">
        <f>DJ267/PI()*SQRT('Hilfstabellen_Mat&amp;Bem'!f.Rd.3/'Hilfstabellen_Mat&amp;Bem'!$BD$30)</f>
        <v>0.67403846148745739</v>
      </c>
      <c r="DL267" s="553">
        <f>0.5*(1+'Hilfstabellen_Mat&amp;Bem'!$BD$31*(DK267-0.3)+DK267^2)</f>
        <v>0.74586584685656221</v>
      </c>
      <c r="DM267" s="550">
        <f>MIN(1/(DL267+SQRT(DL267^2-DK267^2)),1)</f>
        <v>0.93877191579066122</v>
      </c>
      <c r="DO267" s="551">
        <f>DI267^2*DM267</f>
        <v>95530.368922773472</v>
      </c>
      <c r="DR267" s="547">
        <f>'Hilfstabellen_Mat&amp;Bem'!$J$63</f>
        <v>4</v>
      </c>
      <c r="DS267" s="546">
        <f>$C267</f>
        <v>319</v>
      </c>
      <c r="DT267" s="551">
        <f>DR$8*10^3/DS267*SQRT(12)</f>
        <v>43.437010848122313</v>
      </c>
      <c r="DU267" s="553">
        <f>DT267/PI()*SQRT('Hilfstabellen_Mat&amp;Bem'!f.Rd.3/'Hilfstabellen_Mat&amp;Bem'!$BD$30)</f>
        <v>0.69132149896149475</v>
      </c>
      <c r="DV267" s="553">
        <f>0.5*(1+'Hilfstabellen_Mat&amp;Bem'!$BD$31*(DU267-0.3)+DU267^2)</f>
        <v>0.75852878241125876</v>
      </c>
      <c r="DW267" s="550">
        <f>MIN(1/(DV267+SQRT(DV267^2-DU267^2)),1)</f>
        <v>0.93398292125139204</v>
      </c>
      <c r="DY267" s="551">
        <f>DS267^2*DW267</f>
        <v>95043.036049462899</v>
      </c>
      <c r="EB267" s="547">
        <f>'Hilfstabellen_Mat&amp;Bem'!$J$64</f>
        <v>4.0999999999999996</v>
      </c>
      <c r="EC267" s="546">
        <f>$C267</f>
        <v>319</v>
      </c>
      <c r="ED267" s="551">
        <f>EB$8*10^3/EC267*SQRT(12)</f>
        <v>44.522936119325365</v>
      </c>
      <c r="EE267" s="553">
        <f>ED267/PI()*SQRT('Hilfstabellen_Mat&amp;Bem'!f.Rd.3/'Hilfstabellen_Mat&amp;Bem'!$BD$30)</f>
        <v>0.70860453643553212</v>
      </c>
      <c r="EF267" s="553">
        <f>0.5*(1+'Hilfstabellen_Mat&amp;Bem'!$BD$31*(EE267-0.3)+EE267^2)</f>
        <v>0.77149042135028434</v>
      </c>
      <c r="EG267" s="550">
        <f>MIN(1/(EF267+SQRT(EF267^2-EE267^2)),1)</f>
        <v>0.92887097293991938</v>
      </c>
      <c r="EI267" s="551">
        <f>EC267^2*EG267</f>
        <v>94522.839077339129</v>
      </c>
      <c r="EL267" s="547">
        <f>'Hilfstabellen_Mat&amp;Bem'!$J$65</f>
        <v>4.2</v>
      </c>
      <c r="EM267" s="546">
        <f>$C267</f>
        <v>319</v>
      </c>
      <c r="EN267" s="551">
        <f>EL$8*10^3/EM267*SQRT(12)</f>
        <v>45.608861390528432</v>
      </c>
      <c r="EO267" s="553">
        <f>EN267/PI()*SQRT('Hilfstabellen_Mat&amp;Bem'!f.Rd.3/'Hilfstabellen_Mat&amp;Bem'!$BD$30)</f>
        <v>0.72588757390956959</v>
      </c>
      <c r="EP267" s="553">
        <f>0.5*(1+'Hilfstabellen_Mat&amp;Bem'!$BD$31*(EO267-0.3)+EO267^2)</f>
        <v>0.78475076367363883</v>
      </c>
      <c r="EQ267" s="550">
        <f>MIN(1/(EP267+SQRT(EP267^2-EO267^2)),1)</f>
        <v>0.92340622998919175</v>
      </c>
      <c r="ES267" s="551">
        <f>EM267^2*EQ267</f>
        <v>93966.74136993014</v>
      </c>
    </row>
    <row r="268" spans="3:149">
      <c r="C268" s="546">
        <v>320</v>
      </c>
      <c r="D268" s="551">
        <f>$B$8*10^3/$C268*SQRT(12)</f>
        <v>30.310889132455351</v>
      </c>
      <c r="E268" s="553">
        <f>$D268/PI()*SQRT('Hilfstabellen_Mat&amp;Bem'!f.Rd.3/'Hilfstabellen_Mat&amp;Bem'!$BD$30)</f>
        <v>0.48241278349406802</v>
      </c>
      <c r="F268" s="553">
        <f>0.5*(1+'Hilfstabellen_Mat&amp;Bem'!$BD$31*($E268-0.3)+$E268^2)</f>
        <v>0.62548168601395071</v>
      </c>
      <c r="G268" s="550">
        <f>MIN(1/($F268+SQRT($F268^2-$E268^2)),1)</f>
        <v>0.97693566367586526</v>
      </c>
      <c r="I268" s="551">
        <f t="shared" si="236"/>
        <v>100038.2119604086</v>
      </c>
      <c r="M268" s="546">
        <f>$C268</f>
        <v>320</v>
      </c>
      <c r="N268" s="551">
        <f>$L$8*10^3/$M268*SQRT(12)</f>
        <v>31.393420887185901</v>
      </c>
      <c r="O268" s="553">
        <f>$N268/PI()*SQRT('Hilfstabellen_Mat&amp;Bem'!f.Rd.3/'Hilfstabellen_Mat&amp;Bem'!$BD$30)</f>
        <v>0.49964181147599906</v>
      </c>
      <c r="P268" s="553">
        <f>0.5*(1+'Hilfstabellen_Mat&amp;Bem'!$BD$31*($O268-0.3)+$O268^2)</f>
        <v>0.63480306046130885</v>
      </c>
      <c r="Q268" s="550">
        <f>MIN(1/($P268+SQRT($P268^2-$O268^2)),1)</f>
        <v>0.97429742893697635</v>
      </c>
      <c r="S268" s="551">
        <f t="shared" si="237"/>
        <v>99768.056723146379</v>
      </c>
      <c r="W268" s="546">
        <f>$C268</f>
        <v>320</v>
      </c>
      <c r="X268" s="551">
        <f>$V$8*10^3/$W268*SQRT(12)</f>
        <v>32.47595264191645</v>
      </c>
      <c r="Y268" s="553">
        <f>$X268/PI()*SQRT('Hilfstabellen_Mat&amp;Bem'!f.Rd.3/'Hilfstabellen_Mat&amp;Bem'!$BD$30)</f>
        <v>0.51687083945793011</v>
      </c>
      <c r="Z268" s="553">
        <f>0.5*(1+'Hilfstabellen_Mat&amp;Bem'!$BD$31*($Y268-0.3)+$Y268^2)</f>
        <v>0.6444212743138692</v>
      </c>
      <c r="AA268" s="550">
        <f>MIN(1/($Z268+SQRT($Z268^2-$Y268^2)),1)</f>
        <v>0.97154425376167808</v>
      </c>
      <c r="AC268" s="551">
        <f t="shared" si="238"/>
        <v>99486.131585195835</v>
      </c>
      <c r="AG268" s="546">
        <f>$C268</f>
        <v>320</v>
      </c>
      <c r="AH268" s="551">
        <f>$AF$8*10^3/$AG268*SQRT(12)</f>
        <v>33.558484396646996</v>
      </c>
      <c r="AI268" s="553">
        <f>$AH268/PI()*SQRT('Hilfstabellen_Mat&amp;Bem'!f.Rd.3/'Hilfstabellen_Mat&amp;Bem'!$BD$30)</f>
        <v>0.53409986743986104</v>
      </c>
      <c r="AJ268" s="553">
        <f>0.5*(1+'Hilfstabellen_Mat&amp;Bem'!$BD$31*($AI268-0.3)+$AI268^2)</f>
        <v>0.65433632757163163</v>
      </c>
      <c r="AK268" s="550">
        <f>MIN(1/($AJ268+SQRT($AJ268^2-$AI268^2)),1)</f>
        <v>0.96866493891721461</v>
      </c>
      <c r="AM268" s="551">
        <f t="shared" si="239"/>
        <v>99191.289745122776</v>
      </c>
      <c r="AQ268" s="546">
        <f>$C268</f>
        <v>320</v>
      </c>
      <c r="AR268" s="551">
        <f>$AP$8*10^3/$AQ268*SQRT(12)</f>
        <v>34.641016151377542</v>
      </c>
      <c r="AS268" s="553">
        <f>$AR268/PI()*SQRT('Hilfstabellen_Mat&amp;Bem'!f.Rd.3/'Hilfstabellen_Mat&amp;Bem'!$BD$30)</f>
        <v>0.55132889542179198</v>
      </c>
      <c r="AT268" s="553">
        <f>0.5*(1+'Hilfstabellen_Mat&amp;Bem'!$BD$31*($AS268-0.3)+$AS268^2)</f>
        <v>0.66454822023459625</v>
      </c>
      <c r="AU268" s="550">
        <f>MIN(1/($AT268+SQRT($AT268^2-$AS268^2)),1)</f>
        <v>0.96564721134572118</v>
      </c>
      <c r="AW268" s="551">
        <f t="shared" si="240"/>
        <v>98882.274441801856</v>
      </c>
      <c r="AZ268" s="547">
        <f>'Hilfstabellen_Mat&amp;Bem'!$J$56</f>
        <v>3.3</v>
      </c>
      <c r="BA268" s="546">
        <f>$C268</f>
        <v>320</v>
      </c>
      <c r="BB268" s="551">
        <f>AZ$8*10^3/BA268*SQRT(12)</f>
        <v>35.723547906108095</v>
      </c>
      <c r="BC268" s="553">
        <f>BB268/PI()*SQRT('Hilfstabellen_Mat&amp;Bem'!f.Rd.3/'Hilfstabellen_Mat&amp;Bem'!$BD$30)</f>
        <v>0.56855792340372313</v>
      </c>
      <c r="BD268" s="553">
        <f>0.5*(1+'Hilfstabellen_Mat&amp;Bem'!$BD$31*(BC268-0.3)+BC268^2)</f>
        <v>0.67505695230276308</v>
      </c>
      <c r="BE268" s="550">
        <f>MIN(1/(BD268+SQRT(BD268^2-BC268^2)),1)</f>
        <v>0.96247760852734221</v>
      </c>
      <c r="BG268" s="551">
        <f>BA268^2*BE268</f>
        <v>98557.707113199838</v>
      </c>
      <c r="BJ268" s="547">
        <f>'Hilfstabellen_Mat&amp;Bem'!$J$57</f>
        <v>3.4</v>
      </c>
      <c r="BK268" s="546">
        <f>$C268</f>
        <v>320</v>
      </c>
      <c r="BL268" s="551">
        <f>BJ$8*10^3/BK268*SQRT(12)</f>
        <v>36.806079660838641</v>
      </c>
      <c r="BM268" s="553">
        <f>BL268/PI()*SQRT('Hilfstabellen_Mat&amp;Bem'!f.Rd.3/'Hilfstabellen_Mat&amp;Bem'!$BD$30)</f>
        <v>0.58578695138565406</v>
      </c>
      <c r="BN268" s="553">
        <f>0.5*(1+'Hilfstabellen_Mat&amp;Bem'!$BD$31*(BM268-0.3)+BM268^2)</f>
        <v>0.68586252377613199</v>
      </c>
      <c r="BO268" s="550">
        <f>MIN(1/(BN268+SQRT(BN268^2-BM268^2)),1)</f>
        <v>0.95914135507306086</v>
      </c>
      <c r="BQ268" s="551">
        <f>BK268^2*BO268</f>
        <v>98216.074759481431</v>
      </c>
      <c r="BT268" s="547">
        <f>'Hilfstabellen_Mat&amp;Bem'!$J$58</f>
        <v>3.5</v>
      </c>
      <c r="BU268" s="546">
        <f>$C268</f>
        <v>320</v>
      </c>
      <c r="BV268" s="551">
        <f>BT$8*10^3/BU268*SQRT(12)</f>
        <v>37.888611415569187</v>
      </c>
      <c r="BW268" s="553">
        <f>BV268/PI()*SQRT('Hilfstabellen_Mat&amp;Bem'!f.Rd.3/'Hilfstabellen_Mat&amp;Bem'!$BD$30)</f>
        <v>0.603015979367585</v>
      </c>
      <c r="BX268" s="553">
        <f>0.5*(1+'Hilfstabellen_Mat&amp;Bem'!$BD$31*(BW268-0.3)+BW268^2)</f>
        <v>0.69696493465470311</v>
      </c>
      <c r="BY268" s="550">
        <f>MIN(1/(BX268+SQRT(BX268^2-BW268^2)),1)</f>
        <v>0.95562223316540607</v>
      </c>
      <c r="CA268" s="551">
        <f>BU268^2*BY268</f>
        <v>97855.716676137585</v>
      </c>
      <c r="CD268" s="547">
        <f>'Hilfstabellen_Mat&amp;Bem'!$J$59</f>
        <v>3.6</v>
      </c>
      <c r="CE268" s="546">
        <f>$C268</f>
        <v>320</v>
      </c>
      <c r="CF268" s="551">
        <f>CD$8*10^3/CE268*SQRT(12)</f>
        <v>38.97114317029974</v>
      </c>
      <c r="CG268" s="553">
        <f>CF268/PI()*SQRT('Hilfstabellen_Mat&amp;Bem'!f.Rd.3/'Hilfstabellen_Mat&amp;Bem'!$BD$30)</f>
        <v>0.62024500734951615</v>
      </c>
      <c r="CH268" s="553">
        <f>0.5*(1+'Hilfstabellen_Mat&amp;Bem'!$BD$31*(CG268-0.3)+CG268^2)</f>
        <v>0.70836418493847642</v>
      </c>
      <c r="CI268" s="550">
        <f>MIN(1/(CH268+SQRT(CH268^2-CG268^2)),1)</f>
        <v>0.95190244964821191</v>
      </c>
      <c r="CK268" s="551">
        <f>CE268^2*CI268</f>
        <v>97474.810843976898</v>
      </c>
      <c r="CN268" s="547">
        <f>'Hilfstabellen_Mat&amp;Bem'!$J$60</f>
        <v>3.7</v>
      </c>
      <c r="CO268" s="546">
        <f>$C268</f>
        <v>320</v>
      </c>
      <c r="CP268" s="551">
        <f>CN$8*10^3/CO268*SQRT(12)</f>
        <v>40.053674925030286</v>
      </c>
      <c r="CQ268" s="553">
        <f>CP268/PI()*SQRT('Hilfstabellen_Mat&amp;Bem'!f.Rd.3/'Hilfstabellen_Mat&amp;Bem'!$BD$30)</f>
        <v>0.63747403533144709</v>
      </c>
      <c r="CR268" s="553">
        <f>0.5*(1+'Hilfstabellen_Mat&amp;Bem'!$BD$31*(CQ268-0.3)+CQ268^2)</f>
        <v>0.72006027462745181</v>
      </c>
      <c r="CS268" s="550">
        <f>MIN(1/(CR268+SQRT(CR268^2-CQ268^2)),1)</f>
        <v>0.94796250421175787</v>
      </c>
      <c r="CU268" s="551">
        <f>CO268^2*CS268</f>
        <v>97071.360431284003</v>
      </c>
      <c r="CX268" s="547">
        <f>'Hilfstabellen_Mat&amp;Bem'!$J$61</f>
        <v>3.8</v>
      </c>
      <c r="CY268" s="546">
        <f>$C268</f>
        <v>320</v>
      </c>
      <c r="CZ268" s="551">
        <f>CX$8*10^3/CY268*SQRT(12)</f>
        <v>41.136206679760832</v>
      </c>
      <c r="DA268" s="553">
        <f>CZ268/PI()*SQRT('Hilfstabellen_Mat&amp;Bem'!f.Rd.3/'Hilfstabellen_Mat&amp;Bem'!$BD$30)</f>
        <v>0.65470306331337813</v>
      </c>
      <c r="DB268" s="553">
        <f>0.5*(1+'Hilfstabellen_Mat&amp;Bem'!$BD$31*(DA268-0.3)+DA268^2)</f>
        <v>0.73205320372162941</v>
      </c>
      <c r="DC268" s="550">
        <f>MIN(1/(DB268+SQRT(DB268^2-DA268^2)),1)</f>
        <v>0.94378106535447004</v>
      </c>
      <c r="DE268" s="551">
        <f>CY268^2*DC268</f>
        <v>96643.181092297731</v>
      </c>
      <c r="DH268" s="547">
        <f>'Hilfstabellen_Mat&amp;Bem'!$J$62</f>
        <v>3.9</v>
      </c>
      <c r="DI268" s="546">
        <f>$C268</f>
        <v>320</v>
      </c>
      <c r="DJ268" s="551">
        <f>DH$8*10^3/DI268*SQRT(12)</f>
        <v>42.218738434491378</v>
      </c>
      <c r="DK268" s="553">
        <f>DJ268/PI()*SQRT('Hilfstabellen_Mat&amp;Bem'!f.Rd.3/'Hilfstabellen_Mat&amp;Bem'!$BD$30)</f>
        <v>0.67193209129530906</v>
      </c>
      <c r="DL268" s="553">
        <f>0.5*(1+'Hilfstabellen_Mat&amp;Bem'!$BD$31*(DK268-0.3)+DK268^2)</f>
        <v>0.7443429722210092</v>
      </c>
      <c r="DM268" s="550">
        <f>MIN(1/(DL268+SQRT(DL268^2-DK268^2)),1)</f>
        <v>0.93933486376370545</v>
      </c>
      <c r="DO268" s="551">
        <f>DI268^2*DM268</f>
        <v>96187.890049403431</v>
      </c>
      <c r="DR268" s="547">
        <f>'Hilfstabellen_Mat&amp;Bem'!$J$63</f>
        <v>4</v>
      </c>
      <c r="DS268" s="546">
        <f>$C268</f>
        <v>320</v>
      </c>
      <c r="DT268" s="551">
        <f>DR$8*10^3/DS268*SQRT(12)</f>
        <v>43.301270189221931</v>
      </c>
      <c r="DU268" s="553">
        <f>DT268/PI()*SQRT('Hilfstabellen_Mat&amp;Bem'!f.Rd.3/'Hilfstabellen_Mat&amp;Bem'!$BD$30)</f>
        <v>0.68916111927724011</v>
      </c>
      <c r="DV268" s="553">
        <f>0.5*(1+'Hilfstabellen_Mat&amp;Bem'!$BD$31*(DU268-0.3)+DU268^2)</f>
        <v>0.75692958012559108</v>
      </c>
      <c r="DW268" s="550">
        <f>MIN(1/(DV268+SQRT(DV268^2-DU268^2)),1)</f>
        <v>0.9345986165714808</v>
      </c>
      <c r="DY268" s="551">
        <f>DS268^2*DW268</f>
        <v>95702.898336919636</v>
      </c>
      <c r="EB268" s="547">
        <f>'Hilfstabellen_Mat&amp;Bem'!$J$64</f>
        <v>4.0999999999999996</v>
      </c>
      <c r="EC268" s="546">
        <f>$C268</f>
        <v>320</v>
      </c>
      <c r="ED268" s="551">
        <f>EB$8*10^3/EC268*SQRT(12)</f>
        <v>44.383801943952477</v>
      </c>
      <c r="EE268" s="553">
        <f>ED268/PI()*SQRT('Hilfstabellen_Mat&amp;Bem'!f.Rd.3/'Hilfstabellen_Mat&amp;Bem'!$BD$30)</f>
        <v>0.70639014725917104</v>
      </c>
      <c r="EF268" s="553">
        <f>0.5*(1+'Hilfstabellen_Mat&amp;Bem'!$BD$31*(EE268-0.3)+EE268^2)</f>
        <v>0.76981302743537516</v>
      </c>
      <c r="EG268" s="550">
        <f>MIN(1/(EF268+SQRT(EF268^2-EE268^2)),1)</f>
        <v>0.9295450006816609</v>
      </c>
      <c r="EI268" s="551">
        <f>EC268^2*EG268</f>
        <v>95185.40806980207</v>
      </c>
      <c r="EL268" s="547">
        <f>'Hilfstabellen_Mat&amp;Bem'!$J$65</f>
        <v>4.2</v>
      </c>
      <c r="EM268" s="546">
        <f>$C268</f>
        <v>320</v>
      </c>
      <c r="EN268" s="551">
        <f>EL$8*10^3/EM268*SQRT(12)</f>
        <v>45.466333698683023</v>
      </c>
      <c r="EO268" s="553">
        <f>EN268/PI()*SQRT('Hilfstabellen_Mat&amp;Bem'!f.Rd.3/'Hilfstabellen_Mat&amp;Bem'!$BD$30)</f>
        <v>0.72361917524110209</v>
      </c>
      <c r="EP268" s="553">
        <f>0.5*(1+'Hilfstabellen_Mat&amp;Bem'!$BD$31*(EO268-0.3)+EO268^2)</f>
        <v>0.78299331415036144</v>
      </c>
      <c r="EQ268" s="550">
        <f>MIN(1/(EP268+SQRT(EP268^2-EO268^2)),1)</f>
        <v>0.92414469899142115</v>
      </c>
      <c r="ES268" s="551">
        <f>EM268^2*EQ268</f>
        <v>94632.41717672153</v>
      </c>
    </row>
    <row r="269" spans="3:149">
      <c r="AZ269" s="547"/>
      <c r="BA269" s="546"/>
      <c r="BB269" s="551"/>
      <c r="BC269" s="553"/>
      <c r="BD269" s="553"/>
      <c r="BE269" s="550"/>
      <c r="BG269" s="551"/>
      <c r="BJ269" s="547"/>
      <c r="BK269" s="546"/>
      <c r="BL269" s="551"/>
      <c r="BM269" s="553"/>
      <c r="BN269" s="553"/>
      <c r="BO269" s="550"/>
      <c r="BQ269" s="551"/>
      <c r="BT269" s="547"/>
      <c r="BU269" s="546"/>
      <c r="BV269" s="551"/>
      <c r="BW269" s="553"/>
      <c r="BX269" s="553"/>
      <c r="BY269" s="550"/>
      <c r="CA269" s="551"/>
      <c r="CD269" s="547"/>
      <c r="CE269" s="546"/>
      <c r="CF269" s="551"/>
      <c r="CG269" s="553"/>
      <c r="CH269" s="553"/>
      <c r="CI269" s="550"/>
      <c r="CK269" s="551"/>
      <c r="CN269" s="547"/>
      <c r="CO269" s="546"/>
      <c r="CP269" s="551"/>
      <c r="CQ269" s="553"/>
      <c r="CR269" s="553"/>
      <c r="CS269" s="550"/>
      <c r="CU269" s="551"/>
      <c r="CX269" s="547"/>
      <c r="CY269" s="546"/>
      <c r="CZ269" s="551"/>
      <c r="DA269" s="553"/>
      <c r="DB269" s="553"/>
      <c r="DC269" s="550"/>
      <c r="DE269" s="551"/>
      <c r="DH269" s="547"/>
      <c r="DI269" s="546"/>
      <c r="DJ269" s="551"/>
      <c r="DK269" s="553"/>
      <c r="DL269" s="553"/>
      <c r="DM269" s="550"/>
      <c r="DO269" s="551"/>
      <c r="DR269" s="547"/>
      <c r="DS269" s="546"/>
      <c r="DT269" s="551"/>
      <c r="DU269" s="553"/>
      <c r="DV269" s="553"/>
      <c r="DW269" s="550"/>
      <c r="DY269" s="551"/>
      <c r="EB269" s="547"/>
      <c r="EC269" s="546"/>
      <c r="ED269" s="551"/>
      <c r="EE269" s="553"/>
      <c r="EF269" s="553"/>
      <c r="EG269" s="550"/>
      <c r="EI269" s="551"/>
      <c r="EL269" s="547"/>
      <c r="EM269" s="546"/>
      <c r="EN269" s="551"/>
      <c r="EO269" s="553"/>
      <c r="EP269" s="553"/>
      <c r="EQ269" s="550"/>
      <c r="ES269" s="551"/>
    </row>
    <row r="270" spans="3:149">
      <c r="AZ270" s="547"/>
      <c r="BA270" s="546"/>
      <c r="BB270" s="551"/>
      <c r="BC270" s="553"/>
      <c r="BD270" s="553"/>
      <c r="BE270" s="550"/>
      <c r="BG270" s="551"/>
      <c r="BJ270" s="547"/>
      <c r="BK270" s="546"/>
      <c r="BL270" s="551"/>
      <c r="BM270" s="553"/>
      <c r="BN270" s="553"/>
      <c r="BO270" s="550"/>
      <c r="BQ270" s="551"/>
      <c r="BT270" s="547"/>
      <c r="BU270" s="546"/>
      <c r="BV270" s="551"/>
      <c r="BW270" s="553"/>
      <c r="BX270" s="553"/>
      <c r="BY270" s="550"/>
      <c r="CA270" s="551"/>
      <c r="CD270" s="547"/>
      <c r="CE270" s="546"/>
      <c r="CF270" s="551"/>
      <c r="CG270" s="553"/>
      <c r="CH270" s="553"/>
      <c r="CI270" s="550"/>
      <c r="CK270" s="551"/>
      <c r="CN270" s="547"/>
      <c r="CO270" s="546"/>
      <c r="CP270" s="551"/>
      <c r="CQ270" s="553"/>
      <c r="CR270" s="553"/>
      <c r="CS270" s="550"/>
      <c r="CU270" s="551"/>
      <c r="CX270" s="547"/>
      <c r="CY270" s="546"/>
      <c r="CZ270" s="551"/>
      <c r="DA270" s="553"/>
      <c r="DB270" s="553"/>
      <c r="DC270" s="550"/>
      <c r="DE270" s="551"/>
      <c r="DH270" s="547"/>
      <c r="DI270" s="546"/>
      <c r="DJ270" s="551"/>
      <c r="DK270" s="553"/>
      <c r="DL270" s="553"/>
      <c r="DM270" s="550"/>
      <c r="DO270" s="551"/>
      <c r="DR270" s="547"/>
      <c r="DS270" s="546"/>
      <c r="DT270" s="551"/>
      <c r="DU270" s="553"/>
      <c r="DV270" s="553"/>
      <c r="DW270" s="550"/>
      <c r="DY270" s="551"/>
      <c r="EB270" s="547"/>
      <c r="EC270" s="546"/>
      <c r="ED270" s="551"/>
      <c r="EE270" s="553"/>
      <c r="EF270" s="553"/>
      <c r="EG270" s="550"/>
      <c r="EI270" s="551"/>
      <c r="EL270" s="547"/>
      <c r="EM270" s="546"/>
      <c r="EN270" s="551"/>
      <c r="EO270" s="553"/>
      <c r="EP270" s="553"/>
      <c r="EQ270" s="550"/>
      <c r="ES270" s="551"/>
    </row>
    <row r="271" spans="3:149">
      <c r="AZ271" s="547"/>
      <c r="BA271" s="546"/>
      <c r="BB271" s="551"/>
      <c r="BC271" s="553"/>
      <c r="BD271" s="553"/>
      <c r="BE271" s="550"/>
      <c r="BG271" s="551"/>
      <c r="BJ271" s="547"/>
      <c r="BK271" s="546"/>
      <c r="BL271" s="551"/>
      <c r="BM271" s="553"/>
      <c r="BN271" s="553"/>
      <c r="BO271" s="550"/>
      <c r="BQ271" s="551"/>
      <c r="BT271" s="547"/>
      <c r="BU271" s="546"/>
      <c r="BV271" s="551"/>
      <c r="BW271" s="553"/>
      <c r="BX271" s="553"/>
      <c r="BY271" s="550"/>
      <c r="CA271" s="551"/>
      <c r="CD271" s="547"/>
      <c r="CE271" s="546"/>
      <c r="CF271" s="551"/>
      <c r="CG271" s="553"/>
      <c r="CH271" s="553"/>
      <c r="CI271" s="550"/>
      <c r="CK271" s="551"/>
      <c r="CN271" s="547"/>
      <c r="CO271" s="546"/>
      <c r="CP271" s="551"/>
      <c r="CQ271" s="553"/>
      <c r="CR271" s="553"/>
      <c r="CS271" s="550"/>
      <c r="CU271" s="551"/>
      <c r="CX271" s="547"/>
      <c r="CY271" s="546"/>
      <c r="CZ271" s="551"/>
      <c r="DA271" s="553"/>
      <c r="DB271" s="553"/>
      <c r="DC271" s="550"/>
      <c r="DE271" s="551"/>
      <c r="DH271" s="547"/>
      <c r="DI271" s="546"/>
      <c r="DJ271" s="551"/>
      <c r="DK271" s="553"/>
      <c r="DL271" s="553"/>
      <c r="DM271" s="550"/>
      <c r="DO271" s="551"/>
      <c r="DR271" s="547"/>
      <c r="DS271" s="546"/>
      <c r="DT271" s="551"/>
      <c r="DU271" s="553"/>
      <c r="DV271" s="553"/>
      <c r="DW271" s="550"/>
      <c r="DY271" s="551"/>
      <c r="EB271" s="547"/>
      <c r="EC271" s="546"/>
      <c r="ED271" s="551"/>
      <c r="EE271" s="553"/>
      <c r="EF271" s="553"/>
      <c r="EG271" s="550"/>
      <c r="EI271" s="551"/>
      <c r="EL271" s="547"/>
      <c r="EM271" s="546"/>
      <c r="EN271" s="551"/>
      <c r="EO271" s="553"/>
      <c r="EP271" s="553"/>
      <c r="EQ271" s="550"/>
      <c r="ES271" s="551"/>
    </row>
    <row r="272" spans="3:149">
      <c r="AZ272" s="547"/>
      <c r="BA272" s="546"/>
      <c r="BB272" s="551"/>
      <c r="BC272" s="553"/>
      <c r="BD272" s="553"/>
      <c r="BE272" s="550"/>
      <c r="BG272" s="551"/>
      <c r="BJ272" s="547"/>
      <c r="BK272" s="546"/>
      <c r="BL272" s="551"/>
      <c r="BM272" s="553"/>
      <c r="BN272" s="553"/>
      <c r="BO272" s="550"/>
      <c r="BQ272" s="551"/>
      <c r="BT272" s="547"/>
      <c r="BU272" s="546"/>
      <c r="BV272" s="551"/>
      <c r="BW272" s="553"/>
      <c r="BX272" s="553"/>
      <c r="BY272" s="550"/>
      <c r="CA272" s="551"/>
      <c r="CD272" s="547"/>
      <c r="CE272" s="546"/>
      <c r="CF272" s="551"/>
      <c r="CG272" s="553"/>
      <c r="CH272" s="553"/>
      <c r="CI272" s="550"/>
      <c r="CK272" s="551"/>
      <c r="CN272" s="547"/>
      <c r="CO272" s="546"/>
      <c r="CP272" s="551"/>
      <c r="CQ272" s="553"/>
      <c r="CR272" s="553"/>
      <c r="CS272" s="550"/>
      <c r="CU272" s="551"/>
      <c r="CX272" s="547"/>
      <c r="CY272" s="546"/>
      <c r="CZ272" s="551"/>
      <c r="DA272" s="553"/>
      <c r="DB272" s="553"/>
      <c r="DC272" s="550"/>
      <c r="DE272" s="551"/>
      <c r="DH272" s="547"/>
      <c r="DI272" s="546"/>
      <c r="DJ272" s="551"/>
      <c r="DK272" s="553"/>
      <c r="DL272" s="553"/>
      <c r="DM272" s="550"/>
      <c r="DO272" s="551"/>
      <c r="DR272" s="547"/>
      <c r="DS272" s="546"/>
      <c r="DT272" s="551"/>
      <c r="DU272" s="553"/>
      <c r="DV272" s="553"/>
      <c r="DW272" s="550"/>
      <c r="DY272" s="551"/>
      <c r="EB272" s="547"/>
      <c r="EC272" s="546"/>
      <c r="ED272" s="551"/>
      <c r="EE272" s="553"/>
      <c r="EF272" s="553"/>
      <c r="EG272" s="550"/>
      <c r="EI272" s="551"/>
      <c r="EL272" s="547"/>
      <c r="EM272" s="546"/>
      <c r="EN272" s="551"/>
      <c r="EO272" s="553"/>
      <c r="EP272" s="553"/>
      <c r="EQ272" s="550"/>
      <c r="ES272" s="551"/>
    </row>
    <row r="273" spans="52:149">
      <c r="AZ273" s="547"/>
      <c r="BA273" s="546"/>
      <c r="BB273" s="551"/>
      <c r="BC273" s="553"/>
      <c r="BD273" s="553"/>
      <c r="BE273" s="550"/>
      <c r="BG273" s="551"/>
      <c r="BJ273" s="547"/>
      <c r="BK273" s="546"/>
      <c r="BL273" s="551"/>
      <c r="BM273" s="553"/>
      <c r="BN273" s="553"/>
      <c r="BO273" s="550"/>
      <c r="BQ273" s="551"/>
      <c r="BT273" s="547"/>
      <c r="BU273" s="546"/>
      <c r="BV273" s="551"/>
      <c r="BW273" s="553"/>
      <c r="BX273" s="553"/>
      <c r="BY273" s="550"/>
      <c r="CA273" s="551"/>
      <c r="CD273" s="547"/>
      <c r="CE273" s="546"/>
      <c r="CF273" s="551"/>
      <c r="CG273" s="553"/>
      <c r="CH273" s="553"/>
      <c r="CI273" s="550"/>
      <c r="CK273" s="551"/>
      <c r="CN273" s="547"/>
      <c r="CO273" s="546"/>
      <c r="CP273" s="551"/>
      <c r="CQ273" s="553"/>
      <c r="CR273" s="553"/>
      <c r="CS273" s="550"/>
      <c r="CU273" s="551"/>
      <c r="CX273" s="547"/>
      <c r="CY273" s="546"/>
      <c r="CZ273" s="551"/>
      <c r="DA273" s="553"/>
      <c r="DB273" s="553"/>
      <c r="DC273" s="550"/>
      <c r="DE273" s="551"/>
      <c r="DH273" s="547"/>
      <c r="DI273" s="546"/>
      <c r="DJ273" s="551"/>
      <c r="DK273" s="553"/>
      <c r="DL273" s="553"/>
      <c r="DM273" s="550"/>
      <c r="DO273" s="551"/>
      <c r="DR273" s="547"/>
      <c r="DS273" s="546"/>
      <c r="DT273" s="551"/>
      <c r="DU273" s="553"/>
      <c r="DV273" s="553"/>
      <c r="DW273" s="550"/>
      <c r="DY273" s="551"/>
      <c r="EB273" s="547"/>
      <c r="EC273" s="546"/>
      <c r="ED273" s="551"/>
      <c r="EE273" s="553"/>
      <c r="EF273" s="553"/>
      <c r="EG273" s="550"/>
      <c r="EI273" s="551"/>
      <c r="EL273" s="547"/>
      <c r="EM273" s="546"/>
      <c r="EN273" s="551"/>
      <c r="EO273" s="553"/>
      <c r="EP273" s="553"/>
      <c r="EQ273" s="550"/>
      <c r="ES273" s="551"/>
    </row>
    <row r="274" spans="52:149">
      <c r="AZ274" s="547"/>
      <c r="BA274" s="546"/>
      <c r="BB274" s="551"/>
      <c r="BC274" s="553"/>
      <c r="BD274" s="553"/>
      <c r="BE274" s="550"/>
      <c r="BG274" s="551"/>
      <c r="BJ274" s="547"/>
      <c r="BK274" s="546"/>
      <c r="BL274" s="551"/>
      <c r="BM274" s="553"/>
      <c r="BN274" s="553"/>
      <c r="BO274" s="550"/>
      <c r="BQ274" s="551"/>
      <c r="BT274" s="547"/>
      <c r="BU274" s="546"/>
      <c r="BV274" s="551"/>
      <c r="BW274" s="553"/>
      <c r="BX274" s="553"/>
      <c r="BY274" s="550"/>
      <c r="CA274" s="551"/>
      <c r="CD274" s="547"/>
      <c r="CE274" s="546"/>
      <c r="CF274" s="551"/>
      <c r="CG274" s="553"/>
      <c r="CH274" s="553"/>
      <c r="CI274" s="550"/>
      <c r="CK274" s="551"/>
      <c r="CN274" s="547"/>
      <c r="CO274" s="546"/>
      <c r="CP274" s="551"/>
      <c r="CQ274" s="553"/>
      <c r="CR274" s="553"/>
      <c r="CS274" s="550"/>
      <c r="CU274" s="551"/>
      <c r="CX274" s="547"/>
      <c r="CY274" s="546"/>
      <c r="CZ274" s="551"/>
      <c r="DA274" s="553"/>
      <c r="DB274" s="553"/>
      <c r="DC274" s="550"/>
      <c r="DE274" s="551"/>
      <c r="DH274" s="547"/>
      <c r="DI274" s="546"/>
      <c r="DJ274" s="551"/>
      <c r="DK274" s="553"/>
      <c r="DL274" s="553"/>
      <c r="DM274" s="550"/>
      <c r="DO274" s="551"/>
      <c r="DR274" s="547"/>
      <c r="DS274" s="546"/>
      <c r="DT274" s="551"/>
      <c r="DU274" s="553"/>
      <c r="DV274" s="553"/>
      <c r="DW274" s="550"/>
      <c r="DY274" s="551"/>
      <c r="EB274" s="547"/>
      <c r="EC274" s="546"/>
      <c r="ED274" s="551"/>
      <c r="EE274" s="553"/>
      <c r="EF274" s="553"/>
      <c r="EG274" s="550"/>
      <c r="EI274" s="551"/>
      <c r="EL274" s="547"/>
      <c r="EM274" s="546"/>
      <c r="EN274" s="551"/>
      <c r="EO274" s="553"/>
      <c r="EP274" s="553"/>
      <c r="EQ274" s="550"/>
      <c r="ES274" s="551"/>
    </row>
    <row r="275" spans="52:149">
      <c r="AZ275" s="547"/>
      <c r="BA275" s="546"/>
      <c r="BB275" s="551"/>
      <c r="BC275" s="553"/>
      <c r="BD275" s="553"/>
      <c r="BE275" s="550"/>
      <c r="BG275" s="551"/>
      <c r="BJ275" s="547"/>
      <c r="BK275" s="546"/>
      <c r="BL275" s="551"/>
      <c r="BM275" s="553"/>
      <c r="BN275" s="553"/>
      <c r="BO275" s="550"/>
      <c r="BQ275" s="551"/>
      <c r="BT275" s="547"/>
      <c r="BU275" s="546"/>
      <c r="BV275" s="551"/>
      <c r="BW275" s="553"/>
      <c r="BX275" s="553"/>
      <c r="BY275" s="550"/>
      <c r="CA275" s="551"/>
      <c r="CD275" s="547"/>
      <c r="CE275" s="546"/>
      <c r="CF275" s="551"/>
      <c r="CG275" s="553"/>
      <c r="CH275" s="553"/>
      <c r="CI275" s="550"/>
      <c r="CK275" s="551"/>
      <c r="CN275" s="547"/>
      <c r="CO275" s="546"/>
      <c r="CP275" s="551"/>
      <c r="CQ275" s="553"/>
      <c r="CR275" s="553"/>
      <c r="CS275" s="550"/>
      <c r="CU275" s="551"/>
      <c r="CX275" s="547"/>
      <c r="CY275" s="546"/>
      <c r="CZ275" s="551"/>
      <c r="DA275" s="553"/>
      <c r="DB275" s="553"/>
      <c r="DC275" s="550"/>
      <c r="DE275" s="551"/>
      <c r="DH275" s="547"/>
      <c r="DI275" s="546"/>
      <c r="DJ275" s="551"/>
      <c r="DK275" s="553"/>
      <c r="DL275" s="553"/>
      <c r="DM275" s="550"/>
      <c r="DO275" s="551"/>
      <c r="DR275" s="547"/>
      <c r="DS275" s="546"/>
      <c r="DT275" s="551"/>
      <c r="DU275" s="553"/>
      <c r="DV275" s="553"/>
      <c r="DW275" s="550"/>
      <c r="DY275" s="551"/>
      <c r="EB275" s="547"/>
      <c r="EC275" s="546"/>
      <c r="ED275" s="551"/>
      <c r="EE275" s="553"/>
      <c r="EF275" s="553"/>
      <c r="EG275" s="550"/>
      <c r="EI275" s="551"/>
      <c r="EL275" s="547"/>
      <c r="EM275" s="546"/>
      <c r="EN275" s="551"/>
      <c r="EO275" s="553"/>
      <c r="EP275" s="553"/>
      <c r="EQ275" s="550"/>
      <c r="ES275" s="551"/>
    </row>
    <row r="276" spans="52:149">
      <c r="AZ276" s="547"/>
      <c r="BA276" s="546"/>
      <c r="BB276" s="551"/>
      <c r="BC276" s="553"/>
      <c r="BD276" s="553"/>
      <c r="BE276" s="550"/>
      <c r="BG276" s="551"/>
      <c r="BJ276" s="547"/>
      <c r="BK276" s="546"/>
      <c r="BL276" s="551"/>
      <c r="BM276" s="553"/>
      <c r="BN276" s="553"/>
      <c r="BO276" s="550"/>
      <c r="BQ276" s="551"/>
      <c r="BT276" s="547"/>
      <c r="BU276" s="546"/>
      <c r="BV276" s="551"/>
      <c r="BW276" s="553"/>
      <c r="BX276" s="553"/>
      <c r="BY276" s="550"/>
      <c r="CA276" s="551"/>
      <c r="CD276" s="547"/>
      <c r="CE276" s="546"/>
      <c r="CF276" s="551"/>
      <c r="CG276" s="553"/>
      <c r="CH276" s="553"/>
      <c r="CI276" s="550"/>
      <c r="CK276" s="551"/>
      <c r="CN276" s="547"/>
      <c r="CO276" s="546"/>
      <c r="CP276" s="551"/>
      <c r="CQ276" s="553"/>
      <c r="CR276" s="553"/>
      <c r="CS276" s="550"/>
      <c r="CU276" s="551"/>
      <c r="CX276" s="547"/>
      <c r="CY276" s="546"/>
      <c r="CZ276" s="551"/>
      <c r="DA276" s="553"/>
      <c r="DB276" s="553"/>
      <c r="DC276" s="550"/>
      <c r="DE276" s="551"/>
      <c r="DH276" s="547"/>
      <c r="DI276" s="546"/>
      <c r="DJ276" s="551"/>
      <c r="DK276" s="553"/>
      <c r="DL276" s="553"/>
      <c r="DM276" s="550"/>
      <c r="DO276" s="551"/>
      <c r="DR276" s="547"/>
      <c r="DS276" s="546"/>
      <c r="DT276" s="551"/>
      <c r="DU276" s="553"/>
      <c r="DV276" s="553"/>
      <c r="DW276" s="550"/>
      <c r="DY276" s="551"/>
      <c r="EB276" s="547"/>
      <c r="EC276" s="546"/>
      <c r="ED276" s="551"/>
      <c r="EE276" s="553"/>
      <c r="EF276" s="553"/>
      <c r="EG276" s="550"/>
      <c r="EI276" s="551"/>
      <c r="EL276" s="547"/>
      <c r="EM276" s="546"/>
      <c r="EN276" s="551"/>
      <c r="EO276" s="553"/>
      <c r="EP276" s="553"/>
      <c r="EQ276" s="550"/>
      <c r="ES276" s="551"/>
    </row>
    <row r="277" spans="52:149">
      <c r="AZ277" s="547"/>
      <c r="BA277" s="546"/>
      <c r="BB277" s="551"/>
      <c r="BC277" s="553"/>
      <c r="BD277" s="553"/>
      <c r="BE277" s="550"/>
      <c r="BG277" s="551"/>
      <c r="BJ277" s="547"/>
      <c r="BK277" s="546"/>
      <c r="BL277" s="551"/>
      <c r="BM277" s="553"/>
      <c r="BN277" s="553"/>
      <c r="BO277" s="550"/>
      <c r="BQ277" s="551"/>
      <c r="BT277" s="547"/>
      <c r="BU277" s="546"/>
      <c r="BV277" s="551"/>
      <c r="BW277" s="553"/>
      <c r="BX277" s="553"/>
      <c r="BY277" s="550"/>
      <c r="CA277" s="551"/>
      <c r="CD277" s="547"/>
      <c r="CE277" s="546"/>
      <c r="CF277" s="551"/>
      <c r="CG277" s="553"/>
      <c r="CH277" s="553"/>
      <c r="CI277" s="550"/>
      <c r="CK277" s="551"/>
      <c r="CN277" s="547"/>
      <c r="CO277" s="546"/>
      <c r="CP277" s="551"/>
      <c r="CQ277" s="553"/>
      <c r="CR277" s="553"/>
      <c r="CS277" s="550"/>
      <c r="CU277" s="551"/>
      <c r="CX277" s="547"/>
      <c r="CY277" s="546"/>
      <c r="CZ277" s="551"/>
      <c r="DA277" s="553"/>
      <c r="DB277" s="553"/>
      <c r="DC277" s="550"/>
      <c r="DE277" s="551"/>
      <c r="DH277" s="547"/>
      <c r="DI277" s="546"/>
      <c r="DJ277" s="551"/>
      <c r="DK277" s="553"/>
      <c r="DL277" s="553"/>
      <c r="DM277" s="550"/>
      <c r="DO277" s="551"/>
      <c r="DR277" s="547"/>
      <c r="DS277" s="546"/>
      <c r="DT277" s="551"/>
      <c r="DU277" s="553"/>
      <c r="DV277" s="553"/>
      <c r="DW277" s="550"/>
      <c r="DY277" s="551"/>
      <c r="EB277" s="547"/>
      <c r="EC277" s="546"/>
      <c r="ED277" s="551"/>
      <c r="EE277" s="553"/>
      <c r="EF277" s="553"/>
      <c r="EG277" s="550"/>
      <c r="EI277" s="551"/>
      <c r="EL277" s="547"/>
      <c r="EM277" s="546"/>
      <c r="EN277" s="551"/>
      <c r="EO277" s="553"/>
      <c r="EP277" s="553"/>
      <c r="EQ277" s="550"/>
      <c r="ES277" s="551"/>
    </row>
    <row r="278" spans="52:149">
      <c r="AZ278" s="547"/>
      <c r="BA278" s="546"/>
      <c r="BB278" s="551"/>
      <c r="BC278" s="553"/>
      <c r="BD278" s="553"/>
      <c r="BE278" s="550"/>
      <c r="BG278" s="551"/>
      <c r="BJ278" s="547"/>
      <c r="BK278" s="546"/>
      <c r="BL278" s="551"/>
      <c r="BM278" s="553"/>
      <c r="BN278" s="553"/>
      <c r="BO278" s="550"/>
      <c r="BQ278" s="551"/>
      <c r="BT278" s="547"/>
      <c r="BU278" s="546"/>
      <c r="BV278" s="551"/>
      <c r="BW278" s="553"/>
      <c r="BX278" s="553"/>
      <c r="BY278" s="550"/>
      <c r="CA278" s="551"/>
      <c r="CD278" s="547"/>
      <c r="CE278" s="546"/>
      <c r="CF278" s="551"/>
      <c r="CG278" s="553"/>
      <c r="CH278" s="553"/>
      <c r="CI278" s="550"/>
      <c r="CK278" s="551"/>
      <c r="CN278" s="547"/>
      <c r="CO278" s="546"/>
      <c r="CP278" s="551"/>
      <c r="CQ278" s="553"/>
      <c r="CR278" s="553"/>
      <c r="CS278" s="550"/>
      <c r="CU278" s="551"/>
      <c r="CX278" s="547"/>
      <c r="CY278" s="546"/>
      <c r="CZ278" s="551"/>
      <c r="DA278" s="553"/>
      <c r="DB278" s="553"/>
      <c r="DC278" s="550"/>
      <c r="DE278" s="551"/>
      <c r="DH278" s="547"/>
      <c r="DI278" s="546"/>
      <c r="DJ278" s="551"/>
      <c r="DK278" s="553"/>
      <c r="DL278" s="553"/>
      <c r="DM278" s="550"/>
      <c r="DO278" s="551"/>
      <c r="DR278" s="547"/>
      <c r="DS278" s="546"/>
      <c r="DT278" s="551"/>
      <c r="DU278" s="553"/>
      <c r="DV278" s="553"/>
      <c r="DW278" s="550"/>
      <c r="DY278" s="551"/>
      <c r="EB278" s="547"/>
      <c r="EC278" s="546"/>
      <c r="ED278" s="551"/>
      <c r="EE278" s="553"/>
      <c r="EF278" s="553"/>
      <c r="EG278" s="550"/>
      <c r="EI278" s="551"/>
      <c r="EL278" s="547"/>
      <c r="EM278" s="546"/>
      <c r="EN278" s="551"/>
      <c r="EO278" s="553"/>
      <c r="EP278" s="553"/>
      <c r="EQ278" s="550"/>
      <c r="ES278" s="551"/>
    </row>
    <row r="279" spans="52:149">
      <c r="AZ279" s="547"/>
      <c r="BA279" s="546"/>
      <c r="BB279" s="551"/>
      <c r="BC279" s="553"/>
      <c r="BD279" s="553"/>
      <c r="BE279" s="550"/>
      <c r="BG279" s="551"/>
      <c r="BJ279" s="547"/>
      <c r="BK279" s="546"/>
      <c r="BL279" s="551"/>
      <c r="BM279" s="553"/>
      <c r="BN279" s="553"/>
      <c r="BO279" s="550"/>
      <c r="BQ279" s="551"/>
      <c r="BT279" s="547"/>
      <c r="BU279" s="546"/>
      <c r="BV279" s="551"/>
      <c r="BW279" s="553"/>
      <c r="BX279" s="553"/>
      <c r="BY279" s="550"/>
      <c r="CA279" s="551"/>
      <c r="CD279" s="547"/>
      <c r="CE279" s="546"/>
      <c r="CF279" s="551"/>
      <c r="CG279" s="553"/>
      <c r="CH279" s="553"/>
      <c r="CI279" s="550"/>
      <c r="CK279" s="551"/>
      <c r="CN279" s="547"/>
      <c r="CO279" s="546"/>
      <c r="CP279" s="551"/>
      <c r="CQ279" s="553"/>
      <c r="CR279" s="553"/>
      <c r="CS279" s="550"/>
      <c r="CU279" s="551"/>
      <c r="CX279" s="547"/>
      <c r="CY279" s="546"/>
      <c r="CZ279" s="551"/>
      <c r="DA279" s="553"/>
      <c r="DB279" s="553"/>
      <c r="DC279" s="550"/>
      <c r="DE279" s="551"/>
      <c r="DH279" s="547"/>
      <c r="DI279" s="546"/>
      <c r="DJ279" s="551"/>
      <c r="DK279" s="553"/>
      <c r="DL279" s="553"/>
      <c r="DM279" s="550"/>
      <c r="DO279" s="551"/>
      <c r="DR279" s="547"/>
      <c r="DS279" s="546"/>
      <c r="DT279" s="551"/>
      <c r="DU279" s="553"/>
      <c r="DV279" s="553"/>
      <c r="DW279" s="550"/>
      <c r="DY279" s="551"/>
      <c r="EB279" s="547"/>
      <c r="EC279" s="546"/>
      <c r="ED279" s="551"/>
      <c r="EE279" s="553"/>
      <c r="EF279" s="553"/>
      <c r="EG279" s="550"/>
      <c r="EI279" s="551"/>
      <c r="EL279" s="547"/>
      <c r="EM279" s="546"/>
      <c r="EN279" s="551"/>
      <c r="EO279" s="553"/>
      <c r="EP279" s="553"/>
      <c r="EQ279" s="550"/>
      <c r="ES279" s="551"/>
    </row>
    <row r="280" spans="52:149">
      <c r="AZ280" s="547"/>
      <c r="BA280" s="546"/>
      <c r="BB280" s="551"/>
      <c r="BC280" s="553"/>
      <c r="BD280" s="553"/>
      <c r="BE280" s="550"/>
      <c r="BG280" s="551"/>
      <c r="BJ280" s="547"/>
      <c r="BK280" s="546"/>
      <c r="BL280" s="551"/>
      <c r="BM280" s="553"/>
      <c r="BN280" s="553"/>
      <c r="BO280" s="550"/>
      <c r="BQ280" s="551"/>
      <c r="BT280" s="547"/>
      <c r="BU280" s="546"/>
      <c r="BV280" s="551"/>
      <c r="BW280" s="553"/>
      <c r="BX280" s="553"/>
      <c r="BY280" s="550"/>
      <c r="CA280" s="551"/>
      <c r="CD280" s="547"/>
      <c r="CE280" s="546"/>
      <c r="CF280" s="551"/>
      <c r="CG280" s="553"/>
      <c r="CH280" s="553"/>
      <c r="CI280" s="550"/>
      <c r="CK280" s="551"/>
      <c r="CN280" s="547"/>
      <c r="CO280" s="546"/>
      <c r="CP280" s="551"/>
      <c r="CQ280" s="553"/>
      <c r="CR280" s="553"/>
      <c r="CS280" s="550"/>
      <c r="CU280" s="551"/>
      <c r="CX280" s="547"/>
      <c r="CY280" s="546"/>
      <c r="CZ280" s="551"/>
      <c r="DA280" s="553"/>
      <c r="DB280" s="553"/>
      <c r="DC280" s="550"/>
      <c r="DE280" s="551"/>
      <c r="DH280" s="547"/>
      <c r="DI280" s="546"/>
      <c r="DJ280" s="551"/>
      <c r="DK280" s="553"/>
      <c r="DL280" s="553"/>
      <c r="DM280" s="550"/>
      <c r="DO280" s="551"/>
      <c r="DR280" s="547"/>
      <c r="DS280" s="546"/>
      <c r="DT280" s="551"/>
      <c r="DU280" s="553"/>
      <c r="DV280" s="553"/>
      <c r="DW280" s="550"/>
      <c r="DY280" s="551"/>
      <c r="EB280" s="547"/>
      <c r="EC280" s="546"/>
      <c r="ED280" s="551"/>
      <c r="EE280" s="553"/>
      <c r="EF280" s="553"/>
      <c r="EG280" s="550"/>
      <c r="EI280" s="551"/>
      <c r="EL280" s="547"/>
      <c r="EM280" s="546"/>
      <c r="EN280" s="551"/>
      <c r="EO280" s="553"/>
      <c r="EP280" s="553"/>
      <c r="EQ280" s="550"/>
      <c r="ES280" s="551"/>
    </row>
    <row r="281" spans="52:149">
      <c r="AZ281" s="547"/>
      <c r="BA281" s="546"/>
      <c r="BB281" s="551"/>
      <c r="BC281" s="553"/>
      <c r="BD281" s="553"/>
      <c r="BE281" s="550"/>
      <c r="BG281" s="551"/>
      <c r="BJ281" s="547"/>
      <c r="BK281" s="546"/>
      <c r="BL281" s="551"/>
      <c r="BM281" s="553"/>
      <c r="BN281" s="553"/>
      <c r="BO281" s="550"/>
      <c r="BQ281" s="551"/>
      <c r="BT281" s="547"/>
      <c r="BU281" s="546"/>
      <c r="BV281" s="551"/>
      <c r="BW281" s="553"/>
      <c r="BX281" s="553"/>
      <c r="BY281" s="550"/>
      <c r="CA281" s="551"/>
      <c r="CD281" s="547"/>
      <c r="CE281" s="546"/>
      <c r="CF281" s="551"/>
      <c r="CG281" s="553"/>
      <c r="CH281" s="553"/>
      <c r="CI281" s="550"/>
      <c r="CK281" s="551"/>
      <c r="CN281" s="547"/>
      <c r="CO281" s="546"/>
      <c r="CP281" s="551"/>
      <c r="CQ281" s="553"/>
      <c r="CR281" s="553"/>
      <c r="CS281" s="550"/>
      <c r="CU281" s="551"/>
      <c r="CX281" s="547"/>
      <c r="CY281" s="546"/>
      <c r="CZ281" s="551"/>
      <c r="DA281" s="553"/>
      <c r="DB281" s="553"/>
      <c r="DC281" s="550"/>
      <c r="DE281" s="551"/>
      <c r="DH281" s="547"/>
      <c r="DI281" s="546"/>
      <c r="DJ281" s="551"/>
      <c r="DK281" s="553"/>
      <c r="DL281" s="553"/>
      <c r="DM281" s="550"/>
      <c r="DO281" s="551"/>
      <c r="DR281" s="547"/>
      <c r="DS281" s="546"/>
      <c r="DT281" s="551"/>
      <c r="DU281" s="553"/>
      <c r="DV281" s="553"/>
      <c r="DW281" s="550"/>
      <c r="DY281" s="551"/>
      <c r="EB281" s="547"/>
      <c r="EC281" s="546"/>
      <c r="ED281" s="551"/>
      <c r="EE281" s="553"/>
      <c r="EF281" s="553"/>
      <c r="EG281" s="550"/>
      <c r="EI281" s="551"/>
      <c r="EL281" s="547"/>
      <c r="EM281" s="546"/>
      <c r="EN281" s="551"/>
      <c r="EO281" s="553"/>
      <c r="EP281" s="553"/>
      <c r="EQ281" s="550"/>
      <c r="ES281" s="551"/>
    </row>
    <row r="282" spans="52:149">
      <c r="AZ282" s="547"/>
      <c r="BA282" s="546"/>
      <c r="BB282" s="551"/>
      <c r="BC282" s="553"/>
      <c r="BD282" s="553"/>
      <c r="BE282" s="550"/>
      <c r="BG282" s="551"/>
      <c r="BJ282" s="547"/>
      <c r="BK282" s="546"/>
      <c r="BL282" s="551"/>
      <c r="BM282" s="553"/>
      <c r="BN282" s="553"/>
      <c r="BO282" s="550"/>
      <c r="BQ282" s="551"/>
      <c r="BT282" s="547"/>
      <c r="BU282" s="546"/>
      <c r="BV282" s="551"/>
      <c r="BW282" s="553"/>
      <c r="BX282" s="553"/>
      <c r="BY282" s="550"/>
      <c r="CA282" s="551"/>
      <c r="CD282" s="547"/>
      <c r="CE282" s="546"/>
      <c r="CF282" s="551"/>
      <c r="CG282" s="553"/>
      <c r="CH282" s="553"/>
      <c r="CI282" s="550"/>
      <c r="CK282" s="551"/>
      <c r="CN282" s="547"/>
      <c r="CO282" s="546"/>
      <c r="CP282" s="551"/>
      <c r="CQ282" s="553"/>
      <c r="CR282" s="553"/>
      <c r="CS282" s="550"/>
      <c r="CU282" s="551"/>
      <c r="CX282" s="547"/>
      <c r="CY282" s="546"/>
      <c r="CZ282" s="551"/>
      <c r="DA282" s="553"/>
      <c r="DB282" s="553"/>
      <c r="DC282" s="550"/>
      <c r="DE282" s="551"/>
      <c r="DH282" s="547"/>
      <c r="DI282" s="546"/>
      <c r="DJ282" s="551"/>
      <c r="DK282" s="553"/>
      <c r="DL282" s="553"/>
      <c r="DM282" s="550"/>
      <c r="DO282" s="551"/>
      <c r="DR282" s="547"/>
      <c r="DS282" s="546"/>
      <c r="DT282" s="551"/>
      <c r="DU282" s="553"/>
      <c r="DV282" s="553"/>
      <c r="DW282" s="550"/>
      <c r="DY282" s="551"/>
      <c r="EB282" s="547"/>
      <c r="EC282" s="546"/>
      <c r="ED282" s="551"/>
      <c r="EE282" s="553"/>
      <c r="EF282" s="553"/>
      <c r="EG282" s="550"/>
      <c r="EI282" s="551"/>
      <c r="EL282" s="547"/>
      <c r="EM282" s="546"/>
      <c r="EN282" s="551"/>
      <c r="EO282" s="553"/>
      <c r="EP282" s="553"/>
      <c r="EQ282" s="550"/>
      <c r="ES282" s="551"/>
    </row>
    <row r="283" spans="52:149">
      <c r="AZ283" s="547"/>
      <c r="BA283" s="546"/>
      <c r="BB283" s="551"/>
      <c r="BC283" s="553"/>
      <c r="BD283" s="553"/>
      <c r="BE283" s="550"/>
      <c r="BG283" s="551"/>
      <c r="BJ283" s="547"/>
      <c r="BK283" s="546"/>
      <c r="BL283" s="551"/>
      <c r="BM283" s="553"/>
      <c r="BN283" s="553"/>
      <c r="BO283" s="550"/>
      <c r="BQ283" s="551"/>
      <c r="BT283" s="547"/>
      <c r="BU283" s="546"/>
      <c r="BV283" s="551"/>
      <c r="BW283" s="553"/>
      <c r="BX283" s="553"/>
      <c r="BY283" s="550"/>
      <c r="CA283" s="551"/>
      <c r="CD283" s="547"/>
      <c r="CE283" s="546"/>
      <c r="CF283" s="551"/>
      <c r="CG283" s="553"/>
      <c r="CH283" s="553"/>
      <c r="CI283" s="550"/>
      <c r="CK283" s="551"/>
      <c r="CN283" s="547"/>
      <c r="CO283" s="546"/>
      <c r="CP283" s="551"/>
      <c r="CQ283" s="553"/>
      <c r="CR283" s="553"/>
      <c r="CS283" s="550"/>
      <c r="CU283" s="551"/>
      <c r="CX283" s="547"/>
      <c r="CY283" s="546"/>
      <c r="CZ283" s="551"/>
      <c r="DA283" s="553"/>
      <c r="DB283" s="553"/>
      <c r="DC283" s="550"/>
      <c r="DE283" s="551"/>
      <c r="DH283" s="547"/>
      <c r="DI283" s="546"/>
      <c r="DJ283" s="551"/>
      <c r="DK283" s="553"/>
      <c r="DL283" s="553"/>
      <c r="DM283" s="550"/>
      <c r="DO283" s="551"/>
      <c r="DR283" s="547"/>
      <c r="DS283" s="546"/>
      <c r="DT283" s="551"/>
      <c r="DU283" s="553"/>
      <c r="DV283" s="553"/>
      <c r="DW283" s="550"/>
      <c r="DY283" s="551"/>
      <c r="EB283" s="547"/>
      <c r="EC283" s="546"/>
      <c r="ED283" s="551"/>
      <c r="EE283" s="553"/>
      <c r="EF283" s="553"/>
      <c r="EG283" s="550"/>
      <c r="EI283" s="551"/>
      <c r="EL283" s="547"/>
      <c r="EM283" s="546"/>
      <c r="EN283" s="551"/>
      <c r="EO283" s="553"/>
      <c r="EP283" s="553"/>
      <c r="EQ283" s="550"/>
      <c r="ES283" s="551"/>
    </row>
    <row r="284" spans="52:149">
      <c r="AZ284" s="547"/>
      <c r="BA284" s="546"/>
      <c r="BB284" s="551"/>
      <c r="BC284" s="553"/>
      <c r="BD284" s="553"/>
      <c r="BE284" s="550"/>
      <c r="BG284" s="551"/>
      <c r="BJ284" s="547"/>
      <c r="BK284" s="546"/>
      <c r="BL284" s="551"/>
      <c r="BM284" s="553"/>
      <c r="BN284" s="553"/>
      <c r="BO284" s="550"/>
      <c r="BQ284" s="551"/>
      <c r="BT284" s="547"/>
      <c r="BU284" s="546"/>
      <c r="BV284" s="551"/>
      <c r="BW284" s="553"/>
      <c r="BX284" s="553"/>
      <c r="BY284" s="550"/>
      <c r="CA284" s="551"/>
      <c r="CD284" s="547"/>
      <c r="CE284" s="546"/>
      <c r="CF284" s="551"/>
      <c r="CG284" s="553"/>
      <c r="CH284" s="553"/>
      <c r="CI284" s="550"/>
      <c r="CK284" s="551"/>
      <c r="CN284" s="547"/>
      <c r="CO284" s="546"/>
      <c r="CP284" s="551"/>
      <c r="CQ284" s="553"/>
      <c r="CR284" s="553"/>
      <c r="CS284" s="550"/>
      <c r="CU284" s="551"/>
      <c r="CX284" s="547"/>
      <c r="CY284" s="546"/>
      <c r="CZ284" s="551"/>
      <c r="DA284" s="553"/>
      <c r="DB284" s="553"/>
      <c r="DC284" s="550"/>
      <c r="DE284" s="551"/>
      <c r="DH284" s="547"/>
      <c r="DI284" s="546"/>
      <c r="DJ284" s="551"/>
      <c r="DK284" s="553"/>
      <c r="DL284" s="553"/>
      <c r="DM284" s="550"/>
      <c r="DO284" s="551"/>
      <c r="DR284" s="547"/>
      <c r="DS284" s="546"/>
      <c r="DT284" s="551"/>
      <c r="DU284" s="553"/>
      <c r="DV284" s="553"/>
      <c r="DW284" s="550"/>
      <c r="DY284" s="551"/>
      <c r="EB284" s="547"/>
      <c r="EC284" s="546"/>
      <c r="ED284" s="551"/>
      <c r="EE284" s="553"/>
      <c r="EF284" s="553"/>
      <c r="EG284" s="550"/>
      <c r="EI284" s="551"/>
      <c r="EL284" s="547"/>
      <c r="EM284" s="546"/>
      <c r="EN284" s="551"/>
      <c r="EO284" s="553"/>
      <c r="EP284" s="553"/>
      <c r="EQ284" s="550"/>
      <c r="ES284" s="551"/>
    </row>
    <row r="285" spans="52:149">
      <c r="AZ285" s="547"/>
      <c r="BA285" s="546"/>
      <c r="BB285" s="551"/>
      <c r="BC285" s="553"/>
      <c r="BD285" s="553"/>
      <c r="BE285" s="550"/>
      <c r="BG285" s="551"/>
      <c r="BJ285" s="547"/>
      <c r="BK285" s="546"/>
      <c r="BL285" s="551"/>
      <c r="BM285" s="553"/>
      <c r="BN285" s="553"/>
      <c r="BO285" s="550"/>
      <c r="BQ285" s="551"/>
      <c r="BT285" s="547"/>
      <c r="BU285" s="546"/>
      <c r="BV285" s="551"/>
      <c r="BW285" s="553"/>
      <c r="BX285" s="553"/>
      <c r="BY285" s="550"/>
      <c r="CA285" s="551"/>
      <c r="CD285" s="547"/>
      <c r="CE285" s="546"/>
      <c r="CF285" s="551"/>
      <c r="CG285" s="553"/>
      <c r="CH285" s="553"/>
      <c r="CI285" s="550"/>
      <c r="CK285" s="551"/>
      <c r="CN285" s="547"/>
      <c r="CO285" s="546"/>
      <c r="CP285" s="551"/>
      <c r="CQ285" s="553"/>
      <c r="CR285" s="553"/>
      <c r="CS285" s="550"/>
      <c r="CU285" s="551"/>
      <c r="CX285" s="547"/>
      <c r="CY285" s="546"/>
      <c r="CZ285" s="551"/>
      <c r="DA285" s="553"/>
      <c r="DB285" s="553"/>
      <c r="DC285" s="550"/>
      <c r="DE285" s="551"/>
      <c r="DH285" s="547"/>
      <c r="DI285" s="546"/>
      <c r="DJ285" s="551"/>
      <c r="DK285" s="553"/>
      <c r="DL285" s="553"/>
      <c r="DM285" s="550"/>
      <c r="DO285" s="551"/>
      <c r="DR285" s="547"/>
      <c r="DS285" s="546"/>
      <c r="DT285" s="551"/>
      <c r="DU285" s="553"/>
      <c r="DV285" s="553"/>
      <c r="DW285" s="550"/>
      <c r="DY285" s="551"/>
      <c r="EB285" s="547"/>
      <c r="EC285" s="546"/>
      <c r="ED285" s="551"/>
      <c r="EE285" s="553"/>
      <c r="EF285" s="553"/>
      <c r="EG285" s="550"/>
      <c r="EI285" s="551"/>
      <c r="EL285" s="547"/>
      <c r="EM285" s="546"/>
      <c r="EN285" s="551"/>
      <c r="EO285" s="553"/>
      <c r="EP285" s="553"/>
      <c r="EQ285" s="550"/>
      <c r="ES285" s="551"/>
    </row>
    <row r="286" spans="52:149">
      <c r="AZ286" s="547"/>
      <c r="BA286" s="546"/>
      <c r="BB286" s="551"/>
      <c r="BC286" s="553"/>
      <c r="BD286" s="553"/>
      <c r="BE286" s="550"/>
      <c r="BG286" s="551"/>
      <c r="BJ286" s="547"/>
      <c r="BK286" s="546"/>
      <c r="BL286" s="551"/>
      <c r="BM286" s="553"/>
      <c r="BN286" s="553"/>
      <c r="BO286" s="550"/>
      <c r="BQ286" s="551"/>
      <c r="BT286" s="547"/>
      <c r="BU286" s="546"/>
      <c r="BV286" s="551"/>
      <c r="BW286" s="553"/>
      <c r="BX286" s="553"/>
      <c r="BY286" s="550"/>
      <c r="CA286" s="551"/>
      <c r="CD286" s="547"/>
      <c r="CE286" s="546"/>
      <c r="CF286" s="551"/>
      <c r="CG286" s="553"/>
      <c r="CH286" s="553"/>
      <c r="CI286" s="550"/>
      <c r="CK286" s="551"/>
      <c r="CN286" s="547"/>
      <c r="CO286" s="546"/>
      <c r="CP286" s="551"/>
      <c r="CQ286" s="553"/>
      <c r="CR286" s="553"/>
      <c r="CS286" s="550"/>
      <c r="CU286" s="551"/>
      <c r="CX286" s="547"/>
      <c r="CY286" s="546"/>
      <c r="CZ286" s="551"/>
      <c r="DA286" s="553"/>
      <c r="DB286" s="553"/>
      <c r="DC286" s="550"/>
      <c r="DE286" s="551"/>
      <c r="DH286" s="547"/>
      <c r="DI286" s="546"/>
      <c r="DJ286" s="551"/>
      <c r="DK286" s="553"/>
      <c r="DL286" s="553"/>
      <c r="DM286" s="550"/>
      <c r="DO286" s="551"/>
      <c r="DR286" s="547"/>
      <c r="DS286" s="546"/>
      <c r="DT286" s="551"/>
      <c r="DU286" s="553"/>
      <c r="DV286" s="553"/>
      <c r="DW286" s="550"/>
      <c r="DY286" s="551"/>
      <c r="EB286" s="547"/>
      <c r="EC286" s="546"/>
      <c r="ED286" s="551"/>
      <c r="EE286" s="553"/>
      <c r="EF286" s="553"/>
      <c r="EG286" s="550"/>
      <c r="EI286" s="551"/>
      <c r="EL286" s="547"/>
      <c r="EM286" s="546"/>
      <c r="EN286" s="551"/>
      <c r="EO286" s="553"/>
      <c r="EP286" s="553"/>
      <c r="EQ286" s="550"/>
      <c r="ES286" s="551"/>
    </row>
    <row r="287" spans="52:149">
      <c r="AZ287" s="547"/>
      <c r="BA287" s="546"/>
      <c r="BB287" s="551"/>
      <c r="BC287" s="553"/>
      <c r="BD287" s="553"/>
      <c r="BE287" s="550"/>
      <c r="BG287" s="551"/>
      <c r="BJ287" s="547"/>
      <c r="BK287" s="546"/>
      <c r="BL287" s="551"/>
      <c r="BM287" s="553"/>
      <c r="BN287" s="553"/>
      <c r="BO287" s="550"/>
      <c r="BQ287" s="551"/>
      <c r="BT287" s="547"/>
      <c r="BU287" s="546"/>
      <c r="BV287" s="551"/>
      <c r="BW287" s="553"/>
      <c r="BX287" s="553"/>
      <c r="BY287" s="550"/>
      <c r="CA287" s="551"/>
      <c r="CD287" s="547"/>
      <c r="CE287" s="546"/>
      <c r="CF287" s="551"/>
      <c r="CG287" s="553"/>
      <c r="CH287" s="553"/>
      <c r="CI287" s="550"/>
      <c r="CK287" s="551"/>
      <c r="CN287" s="547"/>
      <c r="CO287" s="546"/>
      <c r="CP287" s="551"/>
      <c r="CQ287" s="553"/>
      <c r="CR287" s="553"/>
      <c r="CS287" s="550"/>
      <c r="CU287" s="551"/>
      <c r="CX287" s="547"/>
      <c r="CY287" s="546"/>
      <c r="CZ287" s="551"/>
      <c r="DA287" s="553"/>
      <c r="DB287" s="553"/>
      <c r="DC287" s="550"/>
      <c r="DE287" s="551"/>
      <c r="DH287" s="547"/>
      <c r="DI287" s="546"/>
      <c r="DJ287" s="551"/>
      <c r="DK287" s="553"/>
      <c r="DL287" s="553"/>
      <c r="DM287" s="550"/>
      <c r="DO287" s="551"/>
      <c r="DR287" s="547"/>
      <c r="DS287" s="546"/>
      <c r="DT287" s="551"/>
      <c r="DU287" s="553"/>
      <c r="DV287" s="553"/>
      <c r="DW287" s="550"/>
      <c r="DY287" s="551"/>
      <c r="EB287" s="547"/>
      <c r="EC287" s="546"/>
      <c r="ED287" s="551"/>
      <c r="EE287" s="553"/>
      <c r="EF287" s="553"/>
      <c r="EG287" s="550"/>
      <c r="EI287" s="551"/>
      <c r="EL287" s="547"/>
      <c r="EM287" s="546"/>
      <c r="EN287" s="551"/>
      <c r="EO287" s="553"/>
      <c r="EP287" s="553"/>
      <c r="EQ287" s="550"/>
      <c r="ES287" s="551"/>
    </row>
    <row r="288" spans="52:149">
      <c r="AZ288" s="547"/>
      <c r="BA288" s="546"/>
      <c r="BB288" s="551"/>
      <c r="BC288" s="553"/>
      <c r="BD288" s="553"/>
      <c r="BE288" s="550"/>
      <c r="BG288" s="551"/>
      <c r="BJ288" s="547"/>
      <c r="BK288" s="546"/>
      <c r="BL288" s="551"/>
      <c r="BM288" s="553"/>
      <c r="BN288" s="553"/>
      <c r="BO288" s="550"/>
      <c r="BQ288" s="551"/>
      <c r="BT288" s="547"/>
      <c r="BU288" s="546"/>
      <c r="BV288" s="551"/>
      <c r="BW288" s="553"/>
      <c r="BX288" s="553"/>
      <c r="BY288" s="550"/>
      <c r="CA288" s="551"/>
      <c r="CD288" s="547"/>
      <c r="CE288" s="546"/>
      <c r="CF288" s="551"/>
      <c r="CG288" s="553"/>
      <c r="CH288" s="553"/>
      <c r="CI288" s="550"/>
      <c r="CK288" s="551"/>
      <c r="CN288" s="547"/>
      <c r="CO288" s="546"/>
      <c r="CP288" s="551"/>
      <c r="CQ288" s="553"/>
      <c r="CR288" s="553"/>
      <c r="CS288" s="550"/>
      <c r="CU288" s="551"/>
      <c r="CX288" s="547"/>
      <c r="CY288" s="546"/>
      <c r="CZ288" s="551"/>
      <c r="DA288" s="553"/>
      <c r="DB288" s="553"/>
      <c r="DC288" s="550"/>
      <c r="DE288" s="551"/>
      <c r="DH288" s="547"/>
      <c r="DI288" s="546"/>
      <c r="DJ288" s="551"/>
      <c r="DK288" s="553"/>
      <c r="DL288" s="553"/>
      <c r="DM288" s="550"/>
      <c r="DO288" s="551"/>
      <c r="DR288" s="547"/>
      <c r="DS288" s="546"/>
      <c r="DT288" s="551"/>
      <c r="DU288" s="553"/>
      <c r="DV288" s="553"/>
      <c r="DW288" s="550"/>
      <c r="DY288" s="551"/>
      <c r="EB288" s="547"/>
      <c r="EC288" s="546"/>
      <c r="ED288" s="551"/>
      <c r="EE288" s="553"/>
      <c r="EF288" s="553"/>
      <c r="EG288" s="550"/>
      <c r="EI288" s="551"/>
      <c r="EL288" s="547"/>
      <c r="EM288" s="546"/>
      <c r="EN288" s="551"/>
      <c r="EO288" s="553"/>
      <c r="EP288" s="553"/>
      <c r="EQ288" s="550"/>
      <c r="ES288" s="551"/>
    </row>
    <row r="289" spans="52:149">
      <c r="AZ289" s="547"/>
      <c r="BA289" s="546"/>
      <c r="BB289" s="551"/>
      <c r="BC289" s="553"/>
      <c r="BD289" s="553"/>
      <c r="BE289" s="550"/>
      <c r="BG289" s="551"/>
      <c r="BJ289" s="547"/>
      <c r="BK289" s="546"/>
      <c r="BL289" s="551"/>
      <c r="BM289" s="553"/>
      <c r="BN289" s="553"/>
      <c r="BO289" s="550"/>
      <c r="BQ289" s="551"/>
      <c r="BT289" s="547"/>
      <c r="BU289" s="546"/>
      <c r="BV289" s="551"/>
      <c r="BW289" s="553"/>
      <c r="BX289" s="553"/>
      <c r="BY289" s="550"/>
      <c r="CA289" s="551"/>
      <c r="CD289" s="547"/>
      <c r="CE289" s="546"/>
      <c r="CF289" s="551"/>
      <c r="CG289" s="553"/>
      <c r="CH289" s="553"/>
      <c r="CI289" s="550"/>
      <c r="CK289" s="551"/>
      <c r="CN289" s="547"/>
      <c r="CO289" s="546"/>
      <c r="CP289" s="551"/>
      <c r="CQ289" s="553"/>
      <c r="CR289" s="553"/>
      <c r="CS289" s="550"/>
      <c r="CU289" s="551"/>
      <c r="CX289" s="547"/>
      <c r="CY289" s="546"/>
      <c r="CZ289" s="551"/>
      <c r="DA289" s="553"/>
      <c r="DB289" s="553"/>
      <c r="DC289" s="550"/>
      <c r="DE289" s="551"/>
      <c r="DH289" s="547"/>
      <c r="DI289" s="546"/>
      <c r="DJ289" s="551"/>
      <c r="DK289" s="553"/>
      <c r="DL289" s="553"/>
      <c r="DM289" s="550"/>
      <c r="DO289" s="551"/>
      <c r="DR289" s="547"/>
      <c r="DS289" s="546"/>
      <c r="DT289" s="551"/>
      <c r="DU289" s="553"/>
      <c r="DV289" s="553"/>
      <c r="DW289" s="550"/>
      <c r="DY289" s="551"/>
      <c r="EB289" s="547"/>
      <c r="EC289" s="546"/>
      <c r="ED289" s="551"/>
      <c r="EE289" s="553"/>
      <c r="EF289" s="553"/>
      <c r="EG289" s="550"/>
      <c r="EI289" s="551"/>
      <c r="EL289" s="547"/>
      <c r="EM289" s="546"/>
      <c r="EN289" s="551"/>
      <c r="EO289" s="553"/>
      <c r="EP289" s="553"/>
      <c r="EQ289" s="550"/>
      <c r="ES289" s="551"/>
    </row>
    <row r="290" spans="52:149">
      <c r="AZ290" s="547"/>
      <c r="BA290" s="546"/>
      <c r="BB290" s="551"/>
      <c r="BC290" s="553"/>
      <c r="BD290" s="553"/>
      <c r="BE290" s="550"/>
      <c r="BG290" s="551"/>
      <c r="BJ290" s="547"/>
      <c r="BK290" s="546"/>
      <c r="BL290" s="551"/>
      <c r="BM290" s="553"/>
      <c r="BN290" s="553"/>
      <c r="BO290" s="550"/>
      <c r="BQ290" s="551"/>
      <c r="BT290" s="547"/>
      <c r="BU290" s="546"/>
      <c r="BV290" s="551"/>
      <c r="BW290" s="553"/>
      <c r="BX290" s="553"/>
      <c r="BY290" s="550"/>
      <c r="CA290" s="551"/>
      <c r="CD290" s="547"/>
      <c r="CE290" s="546"/>
      <c r="CF290" s="551"/>
      <c r="CG290" s="553"/>
      <c r="CH290" s="553"/>
      <c r="CI290" s="550"/>
      <c r="CK290" s="551"/>
      <c r="CN290" s="547"/>
      <c r="CO290" s="546"/>
      <c r="CP290" s="551"/>
      <c r="CQ290" s="553"/>
      <c r="CR290" s="553"/>
      <c r="CS290" s="550"/>
      <c r="CU290" s="551"/>
      <c r="CX290" s="547"/>
      <c r="CY290" s="546"/>
      <c r="CZ290" s="551"/>
      <c r="DA290" s="553"/>
      <c r="DB290" s="553"/>
      <c r="DC290" s="550"/>
      <c r="DE290" s="551"/>
      <c r="DH290" s="547"/>
      <c r="DI290" s="546"/>
      <c r="DJ290" s="551"/>
      <c r="DK290" s="553"/>
      <c r="DL290" s="553"/>
      <c r="DM290" s="550"/>
      <c r="DO290" s="551"/>
      <c r="DR290" s="547"/>
      <c r="DS290" s="546"/>
      <c r="DT290" s="551"/>
      <c r="DU290" s="553"/>
      <c r="DV290" s="553"/>
      <c r="DW290" s="550"/>
      <c r="DY290" s="551"/>
      <c r="EB290" s="547"/>
      <c r="EC290" s="546"/>
      <c r="ED290" s="551"/>
      <c r="EE290" s="553"/>
      <c r="EF290" s="553"/>
      <c r="EG290" s="550"/>
      <c r="EI290" s="551"/>
      <c r="EL290" s="547"/>
      <c r="EM290" s="546"/>
      <c r="EN290" s="551"/>
      <c r="EO290" s="553"/>
      <c r="EP290" s="553"/>
      <c r="EQ290" s="550"/>
      <c r="ES290" s="551"/>
    </row>
    <row r="291" spans="52:149">
      <c r="AZ291" s="547"/>
      <c r="BA291" s="546"/>
      <c r="BB291" s="551"/>
      <c r="BC291" s="553"/>
      <c r="BD291" s="553"/>
      <c r="BE291" s="550"/>
      <c r="BG291" s="551"/>
      <c r="BJ291" s="547"/>
      <c r="BK291" s="546"/>
      <c r="BL291" s="551"/>
      <c r="BM291" s="553"/>
      <c r="BN291" s="553"/>
      <c r="BO291" s="550"/>
      <c r="BQ291" s="551"/>
      <c r="BT291" s="547"/>
      <c r="BU291" s="546"/>
      <c r="BV291" s="551"/>
      <c r="BW291" s="553"/>
      <c r="BX291" s="553"/>
      <c r="BY291" s="550"/>
      <c r="CA291" s="551"/>
      <c r="CD291" s="547"/>
      <c r="CE291" s="546"/>
      <c r="CF291" s="551"/>
      <c r="CG291" s="553"/>
      <c r="CH291" s="553"/>
      <c r="CI291" s="550"/>
      <c r="CK291" s="551"/>
      <c r="CN291" s="547"/>
      <c r="CO291" s="546"/>
      <c r="CP291" s="551"/>
      <c r="CQ291" s="553"/>
      <c r="CR291" s="553"/>
      <c r="CS291" s="550"/>
      <c r="CU291" s="551"/>
      <c r="CX291" s="547"/>
      <c r="CY291" s="546"/>
      <c r="CZ291" s="551"/>
      <c r="DA291" s="553"/>
      <c r="DB291" s="553"/>
      <c r="DC291" s="550"/>
      <c r="DE291" s="551"/>
      <c r="DH291" s="547"/>
      <c r="DI291" s="546"/>
      <c r="DJ291" s="551"/>
      <c r="DK291" s="553"/>
      <c r="DL291" s="553"/>
      <c r="DM291" s="550"/>
      <c r="DO291" s="551"/>
      <c r="DR291" s="547"/>
      <c r="DS291" s="546"/>
      <c r="DT291" s="551"/>
      <c r="DU291" s="553"/>
      <c r="DV291" s="553"/>
      <c r="DW291" s="550"/>
      <c r="DY291" s="551"/>
      <c r="EB291" s="547"/>
      <c r="EC291" s="546"/>
      <c r="ED291" s="551"/>
      <c r="EE291" s="553"/>
      <c r="EF291" s="553"/>
      <c r="EG291" s="550"/>
      <c r="EI291" s="551"/>
      <c r="EL291" s="547"/>
      <c r="EM291" s="546"/>
      <c r="EN291" s="551"/>
      <c r="EO291" s="553"/>
      <c r="EP291" s="553"/>
      <c r="EQ291" s="550"/>
      <c r="ES291" s="551"/>
    </row>
    <row r="292" spans="52:149">
      <c r="AZ292" s="547"/>
      <c r="BA292" s="546"/>
      <c r="BB292" s="551"/>
      <c r="BC292" s="553"/>
      <c r="BD292" s="553"/>
      <c r="BE292" s="550"/>
      <c r="BG292" s="551"/>
      <c r="BJ292" s="547"/>
      <c r="BK292" s="546"/>
      <c r="BL292" s="551"/>
      <c r="BM292" s="553"/>
      <c r="BN292" s="553"/>
      <c r="BO292" s="550"/>
      <c r="BQ292" s="551"/>
      <c r="BT292" s="547"/>
      <c r="BU292" s="546"/>
      <c r="BV292" s="551"/>
      <c r="BW292" s="553"/>
      <c r="BX292" s="553"/>
      <c r="BY292" s="550"/>
      <c r="CA292" s="551"/>
      <c r="CD292" s="547"/>
      <c r="CE292" s="546"/>
      <c r="CF292" s="551"/>
      <c r="CG292" s="553"/>
      <c r="CH292" s="553"/>
      <c r="CI292" s="550"/>
      <c r="CK292" s="551"/>
      <c r="CN292" s="547"/>
      <c r="CO292" s="546"/>
      <c r="CP292" s="551"/>
      <c r="CQ292" s="553"/>
      <c r="CR292" s="553"/>
      <c r="CS292" s="550"/>
      <c r="CU292" s="551"/>
      <c r="CX292" s="547"/>
      <c r="CY292" s="546"/>
      <c r="CZ292" s="551"/>
      <c r="DA292" s="553"/>
      <c r="DB292" s="553"/>
      <c r="DC292" s="550"/>
      <c r="DE292" s="551"/>
      <c r="DH292" s="547"/>
      <c r="DI292" s="546"/>
      <c r="DJ292" s="551"/>
      <c r="DK292" s="553"/>
      <c r="DL292" s="553"/>
      <c r="DM292" s="550"/>
      <c r="DO292" s="551"/>
      <c r="DR292" s="547"/>
      <c r="DS292" s="546"/>
      <c r="DT292" s="551"/>
      <c r="DU292" s="553"/>
      <c r="DV292" s="553"/>
      <c r="DW292" s="550"/>
      <c r="DY292" s="551"/>
      <c r="EB292" s="547"/>
      <c r="EC292" s="546"/>
      <c r="ED292" s="551"/>
      <c r="EE292" s="553"/>
      <c r="EF292" s="553"/>
      <c r="EG292" s="550"/>
      <c r="EI292" s="551"/>
      <c r="EL292" s="547"/>
      <c r="EM292" s="546"/>
      <c r="EN292" s="551"/>
      <c r="EO292" s="553"/>
      <c r="EP292" s="553"/>
      <c r="EQ292" s="550"/>
      <c r="ES292" s="551"/>
    </row>
    <row r="293" spans="52:149">
      <c r="AZ293" s="547"/>
      <c r="BA293" s="546"/>
      <c r="BB293" s="551"/>
      <c r="BC293" s="553"/>
      <c r="BD293" s="553"/>
      <c r="BE293" s="550"/>
      <c r="BG293" s="551"/>
      <c r="BJ293" s="547"/>
      <c r="BK293" s="546"/>
      <c r="BL293" s="551"/>
      <c r="BM293" s="553"/>
      <c r="BN293" s="553"/>
      <c r="BO293" s="550"/>
      <c r="BQ293" s="551"/>
      <c r="BT293" s="547"/>
      <c r="BU293" s="546"/>
      <c r="BV293" s="551"/>
      <c r="BW293" s="553"/>
      <c r="BX293" s="553"/>
      <c r="BY293" s="550"/>
      <c r="CA293" s="551"/>
      <c r="CD293" s="547"/>
      <c r="CE293" s="546"/>
      <c r="CF293" s="551"/>
      <c r="CG293" s="553"/>
      <c r="CH293" s="553"/>
      <c r="CI293" s="550"/>
      <c r="CK293" s="551"/>
      <c r="CN293" s="547"/>
      <c r="CO293" s="546"/>
      <c r="CP293" s="551"/>
      <c r="CQ293" s="553"/>
      <c r="CR293" s="553"/>
      <c r="CS293" s="550"/>
      <c r="CU293" s="551"/>
      <c r="CX293" s="547"/>
      <c r="CY293" s="546"/>
      <c r="CZ293" s="551"/>
      <c r="DA293" s="553"/>
      <c r="DB293" s="553"/>
      <c r="DC293" s="550"/>
      <c r="DE293" s="551"/>
      <c r="DH293" s="547"/>
      <c r="DI293" s="546"/>
      <c r="DJ293" s="551"/>
      <c r="DK293" s="553"/>
      <c r="DL293" s="553"/>
      <c r="DM293" s="550"/>
      <c r="DO293" s="551"/>
      <c r="DR293" s="547"/>
      <c r="DS293" s="546"/>
      <c r="DT293" s="551"/>
      <c r="DU293" s="553"/>
      <c r="DV293" s="553"/>
      <c r="DW293" s="550"/>
      <c r="DY293" s="551"/>
      <c r="EB293" s="547"/>
      <c r="EC293" s="546"/>
      <c r="ED293" s="551"/>
      <c r="EE293" s="553"/>
      <c r="EF293" s="553"/>
      <c r="EG293" s="550"/>
      <c r="EI293" s="551"/>
      <c r="EL293" s="547"/>
      <c r="EM293" s="546"/>
      <c r="EN293" s="551"/>
      <c r="EO293" s="553"/>
      <c r="EP293" s="553"/>
      <c r="EQ293" s="550"/>
      <c r="ES293" s="551"/>
    </row>
    <row r="294" spans="52:149">
      <c r="AZ294" s="547"/>
      <c r="BA294" s="546"/>
      <c r="BB294" s="551"/>
      <c r="BC294" s="553"/>
      <c r="BD294" s="553"/>
      <c r="BE294" s="550"/>
      <c r="BG294" s="551"/>
      <c r="BJ294" s="547"/>
      <c r="BK294" s="546"/>
      <c r="BL294" s="551"/>
      <c r="BM294" s="553"/>
      <c r="BN294" s="553"/>
      <c r="BO294" s="550"/>
      <c r="BQ294" s="551"/>
      <c r="BT294" s="547"/>
      <c r="BU294" s="546"/>
      <c r="BV294" s="551"/>
      <c r="BW294" s="553"/>
      <c r="BX294" s="553"/>
      <c r="BY294" s="550"/>
      <c r="CA294" s="551"/>
      <c r="CD294" s="547"/>
      <c r="CE294" s="546"/>
      <c r="CF294" s="551"/>
      <c r="CG294" s="553"/>
      <c r="CH294" s="553"/>
      <c r="CI294" s="550"/>
      <c r="CK294" s="551"/>
      <c r="CN294" s="547"/>
      <c r="CO294" s="546"/>
      <c r="CP294" s="551"/>
      <c r="CQ294" s="553"/>
      <c r="CR294" s="553"/>
      <c r="CS294" s="550"/>
      <c r="CU294" s="551"/>
      <c r="CX294" s="547"/>
      <c r="CY294" s="546"/>
      <c r="CZ294" s="551"/>
      <c r="DA294" s="553"/>
      <c r="DB294" s="553"/>
      <c r="DC294" s="550"/>
      <c r="DE294" s="551"/>
      <c r="DH294" s="547"/>
      <c r="DI294" s="546"/>
      <c r="DJ294" s="551"/>
      <c r="DK294" s="553"/>
      <c r="DL294" s="553"/>
      <c r="DM294" s="550"/>
      <c r="DO294" s="551"/>
      <c r="DR294" s="547"/>
      <c r="DS294" s="546"/>
      <c r="DT294" s="551"/>
      <c r="DU294" s="553"/>
      <c r="DV294" s="553"/>
      <c r="DW294" s="550"/>
      <c r="DY294" s="551"/>
      <c r="EB294" s="547"/>
      <c r="EC294" s="546"/>
      <c r="ED294" s="551"/>
      <c r="EE294" s="553"/>
      <c r="EF294" s="553"/>
      <c r="EG294" s="550"/>
      <c r="EI294" s="551"/>
      <c r="EL294" s="547"/>
      <c r="EM294" s="546"/>
      <c r="EN294" s="551"/>
      <c r="EO294" s="553"/>
      <c r="EP294" s="553"/>
      <c r="EQ294" s="550"/>
      <c r="ES294" s="551"/>
    </row>
    <row r="295" spans="52:149">
      <c r="AZ295" s="547"/>
      <c r="BA295" s="546"/>
      <c r="BB295" s="551"/>
      <c r="BC295" s="553"/>
      <c r="BD295" s="553"/>
      <c r="BE295" s="550"/>
      <c r="BG295" s="551"/>
      <c r="BJ295" s="547"/>
      <c r="BK295" s="546"/>
      <c r="BL295" s="551"/>
      <c r="BM295" s="553"/>
      <c r="BN295" s="553"/>
      <c r="BO295" s="550"/>
      <c r="BQ295" s="551"/>
      <c r="BT295" s="547"/>
      <c r="BU295" s="546"/>
      <c r="BV295" s="551"/>
      <c r="BW295" s="553"/>
      <c r="BX295" s="553"/>
      <c r="BY295" s="550"/>
      <c r="CA295" s="551"/>
      <c r="CD295" s="547"/>
      <c r="CE295" s="546"/>
      <c r="CF295" s="551"/>
      <c r="CG295" s="553"/>
      <c r="CH295" s="553"/>
      <c r="CI295" s="550"/>
      <c r="CK295" s="551"/>
      <c r="CN295" s="547"/>
      <c r="CO295" s="546"/>
      <c r="CP295" s="551"/>
      <c r="CQ295" s="553"/>
      <c r="CR295" s="553"/>
      <c r="CS295" s="550"/>
      <c r="CU295" s="551"/>
      <c r="CX295" s="547"/>
      <c r="CY295" s="546"/>
      <c r="CZ295" s="551"/>
      <c r="DA295" s="553"/>
      <c r="DB295" s="553"/>
      <c r="DC295" s="550"/>
      <c r="DE295" s="551"/>
      <c r="DH295" s="547"/>
      <c r="DI295" s="546"/>
      <c r="DJ295" s="551"/>
      <c r="DK295" s="553"/>
      <c r="DL295" s="553"/>
      <c r="DM295" s="550"/>
      <c r="DO295" s="551"/>
      <c r="DR295" s="547"/>
      <c r="DS295" s="546"/>
      <c r="DT295" s="551"/>
      <c r="DU295" s="553"/>
      <c r="DV295" s="553"/>
      <c r="DW295" s="550"/>
      <c r="DY295" s="551"/>
      <c r="EB295" s="547"/>
      <c r="EC295" s="546"/>
      <c r="ED295" s="551"/>
      <c r="EE295" s="553"/>
      <c r="EF295" s="553"/>
      <c r="EG295" s="550"/>
      <c r="EI295" s="551"/>
      <c r="EL295" s="547"/>
      <c r="EM295" s="546"/>
      <c r="EN295" s="551"/>
      <c r="EO295" s="553"/>
      <c r="EP295" s="553"/>
      <c r="EQ295" s="550"/>
      <c r="ES295" s="551"/>
    </row>
    <row r="296" spans="52:149">
      <c r="AZ296" s="547"/>
      <c r="BA296" s="546"/>
      <c r="BB296" s="551"/>
      <c r="BC296" s="553"/>
      <c r="BD296" s="553"/>
      <c r="BE296" s="550"/>
      <c r="BG296" s="551"/>
      <c r="BJ296" s="547"/>
      <c r="BK296" s="546"/>
      <c r="BL296" s="551"/>
      <c r="BM296" s="553"/>
      <c r="BN296" s="553"/>
      <c r="BO296" s="550"/>
      <c r="BQ296" s="551"/>
      <c r="BT296" s="547"/>
      <c r="BU296" s="546"/>
      <c r="BV296" s="551"/>
      <c r="BW296" s="553"/>
      <c r="BX296" s="553"/>
      <c r="BY296" s="550"/>
      <c r="CA296" s="551"/>
      <c r="CD296" s="547"/>
      <c r="CE296" s="546"/>
      <c r="CF296" s="551"/>
      <c r="CG296" s="553"/>
      <c r="CH296" s="553"/>
      <c r="CI296" s="550"/>
      <c r="CK296" s="551"/>
      <c r="CN296" s="547"/>
      <c r="CO296" s="546"/>
      <c r="CP296" s="551"/>
      <c r="CQ296" s="553"/>
      <c r="CR296" s="553"/>
      <c r="CS296" s="550"/>
      <c r="CU296" s="551"/>
      <c r="CX296" s="547"/>
      <c r="CY296" s="546"/>
      <c r="CZ296" s="551"/>
      <c r="DA296" s="553"/>
      <c r="DB296" s="553"/>
      <c r="DC296" s="550"/>
      <c r="DE296" s="551"/>
      <c r="DH296" s="547"/>
      <c r="DI296" s="546"/>
      <c r="DJ296" s="551"/>
      <c r="DK296" s="553"/>
      <c r="DL296" s="553"/>
      <c r="DM296" s="550"/>
      <c r="DO296" s="551"/>
      <c r="DR296" s="547"/>
      <c r="DS296" s="546"/>
      <c r="DT296" s="551"/>
      <c r="DU296" s="553"/>
      <c r="DV296" s="553"/>
      <c r="DW296" s="550"/>
      <c r="DY296" s="551"/>
      <c r="EB296" s="547"/>
      <c r="EC296" s="546"/>
      <c r="ED296" s="551"/>
      <c r="EE296" s="553"/>
      <c r="EF296" s="553"/>
      <c r="EG296" s="550"/>
      <c r="EI296" s="551"/>
      <c r="EL296" s="547"/>
      <c r="EM296" s="546"/>
      <c r="EN296" s="551"/>
      <c r="EO296" s="553"/>
      <c r="EP296" s="553"/>
      <c r="EQ296" s="550"/>
      <c r="ES296" s="551"/>
    </row>
    <row r="297" spans="52:149">
      <c r="AZ297" s="547"/>
      <c r="BA297" s="546"/>
      <c r="BB297" s="551"/>
      <c r="BC297" s="553"/>
      <c r="BD297" s="553"/>
      <c r="BE297" s="550"/>
      <c r="BG297" s="551"/>
      <c r="BJ297" s="547"/>
      <c r="BK297" s="546"/>
      <c r="BL297" s="551"/>
      <c r="BM297" s="553"/>
      <c r="BN297" s="553"/>
      <c r="BO297" s="550"/>
      <c r="BQ297" s="551"/>
      <c r="BT297" s="547"/>
      <c r="BU297" s="546"/>
      <c r="BV297" s="551"/>
      <c r="BW297" s="553"/>
      <c r="BX297" s="553"/>
      <c r="BY297" s="550"/>
      <c r="CA297" s="551"/>
      <c r="CD297" s="547"/>
      <c r="CE297" s="546"/>
      <c r="CF297" s="551"/>
      <c r="CG297" s="553"/>
      <c r="CH297" s="553"/>
      <c r="CI297" s="550"/>
      <c r="CK297" s="551"/>
      <c r="CN297" s="547"/>
      <c r="CO297" s="546"/>
      <c r="CP297" s="551"/>
      <c r="CQ297" s="553"/>
      <c r="CR297" s="553"/>
      <c r="CS297" s="550"/>
      <c r="CU297" s="551"/>
      <c r="CX297" s="547"/>
      <c r="CY297" s="546"/>
      <c r="CZ297" s="551"/>
      <c r="DA297" s="553"/>
      <c r="DB297" s="553"/>
      <c r="DC297" s="550"/>
      <c r="DE297" s="551"/>
      <c r="DH297" s="547"/>
      <c r="DI297" s="546"/>
      <c r="DJ297" s="551"/>
      <c r="DK297" s="553"/>
      <c r="DL297" s="553"/>
      <c r="DM297" s="550"/>
      <c r="DO297" s="551"/>
      <c r="DR297" s="547"/>
      <c r="DS297" s="546"/>
      <c r="DT297" s="551"/>
      <c r="DU297" s="553"/>
      <c r="DV297" s="553"/>
      <c r="DW297" s="550"/>
      <c r="DY297" s="551"/>
      <c r="EB297" s="547"/>
      <c r="EC297" s="546"/>
      <c r="ED297" s="551"/>
      <c r="EE297" s="553"/>
      <c r="EF297" s="553"/>
      <c r="EG297" s="550"/>
      <c r="EI297" s="551"/>
      <c r="EL297" s="547"/>
      <c r="EM297" s="546"/>
      <c r="EN297" s="551"/>
      <c r="EO297" s="553"/>
      <c r="EP297" s="553"/>
      <c r="EQ297" s="550"/>
      <c r="ES297" s="551"/>
    </row>
    <row r="298" spans="52:149">
      <c r="AZ298" s="547"/>
      <c r="BA298" s="546"/>
      <c r="BB298" s="551"/>
      <c r="BC298" s="553"/>
      <c r="BD298" s="553"/>
      <c r="BE298" s="550"/>
      <c r="BG298" s="551"/>
      <c r="BJ298" s="547"/>
      <c r="BK298" s="546"/>
      <c r="BL298" s="551"/>
      <c r="BM298" s="553"/>
      <c r="BN298" s="553"/>
      <c r="BO298" s="550"/>
      <c r="BQ298" s="551"/>
      <c r="BT298" s="547"/>
      <c r="BU298" s="546"/>
      <c r="BV298" s="551"/>
      <c r="BW298" s="553"/>
      <c r="BX298" s="553"/>
      <c r="BY298" s="550"/>
      <c r="CA298" s="551"/>
      <c r="CD298" s="547"/>
      <c r="CE298" s="546"/>
      <c r="CF298" s="551"/>
      <c r="CG298" s="553"/>
      <c r="CH298" s="553"/>
      <c r="CI298" s="550"/>
      <c r="CK298" s="551"/>
      <c r="CN298" s="547"/>
      <c r="CO298" s="546"/>
      <c r="CP298" s="551"/>
      <c r="CQ298" s="553"/>
      <c r="CR298" s="553"/>
      <c r="CS298" s="550"/>
      <c r="CU298" s="551"/>
      <c r="CX298" s="547"/>
      <c r="CY298" s="546"/>
      <c r="CZ298" s="551"/>
      <c r="DA298" s="553"/>
      <c r="DB298" s="553"/>
      <c r="DC298" s="550"/>
      <c r="DE298" s="551"/>
      <c r="DH298" s="547"/>
      <c r="DI298" s="546"/>
      <c r="DJ298" s="551"/>
      <c r="DK298" s="553"/>
      <c r="DL298" s="553"/>
      <c r="DM298" s="550"/>
      <c r="DO298" s="551"/>
      <c r="DR298" s="547"/>
      <c r="DS298" s="546"/>
      <c r="DT298" s="551"/>
      <c r="DU298" s="553"/>
      <c r="DV298" s="553"/>
      <c r="DW298" s="550"/>
      <c r="DY298" s="551"/>
      <c r="EB298" s="547"/>
      <c r="EC298" s="546"/>
      <c r="ED298" s="551"/>
      <c r="EE298" s="553"/>
      <c r="EF298" s="553"/>
      <c r="EG298" s="550"/>
      <c r="EI298" s="551"/>
      <c r="EL298" s="547"/>
      <c r="EM298" s="546"/>
      <c r="EN298" s="551"/>
      <c r="EO298" s="553"/>
      <c r="EP298" s="553"/>
      <c r="EQ298" s="550"/>
      <c r="ES298" s="551"/>
    </row>
    <row r="299" spans="52:149">
      <c r="AZ299" s="547"/>
      <c r="BA299" s="546"/>
      <c r="BB299" s="551"/>
      <c r="BC299" s="553"/>
      <c r="BD299" s="553"/>
      <c r="BE299" s="550"/>
      <c r="BG299" s="551"/>
      <c r="BJ299" s="547"/>
      <c r="BK299" s="546"/>
      <c r="BL299" s="551"/>
      <c r="BM299" s="553"/>
      <c r="BN299" s="553"/>
      <c r="BO299" s="550"/>
      <c r="BQ299" s="551"/>
      <c r="BT299" s="547"/>
      <c r="BU299" s="546"/>
      <c r="BV299" s="551"/>
      <c r="BW299" s="553"/>
      <c r="BX299" s="553"/>
      <c r="BY299" s="550"/>
      <c r="CA299" s="551"/>
      <c r="CD299" s="547"/>
      <c r="CE299" s="546"/>
      <c r="CF299" s="551"/>
      <c r="CG299" s="553"/>
      <c r="CH299" s="553"/>
      <c r="CI299" s="550"/>
      <c r="CK299" s="551"/>
      <c r="CN299" s="547"/>
      <c r="CO299" s="546"/>
      <c r="CP299" s="551"/>
      <c r="CQ299" s="553"/>
      <c r="CR299" s="553"/>
      <c r="CS299" s="550"/>
      <c r="CU299" s="551"/>
      <c r="CX299" s="547"/>
      <c r="CY299" s="546"/>
      <c r="CZ299" s="551"/>
      <c r="DA299" s="553"/>
      <c r="DB299" s="553"/>
      <c r="DC299" s="550"/>
      <c r="DE299" s="551"/>
      <c r="DH299" s="547"/>
      <c r="DI299" s="546"/>
      <c r="DJ299" s="551"/>
      <c r="DK299" s="553"/>
      <c r="DL299" s="553"/>
      <c r="DM299" s="550"/>
      <c r="DO299" s="551"/>
      <c r="DR299" s="547"/>
      <c r="DS299" s="546"/>
      <c r="DT299" s="551"/>
      <c r="DU299" s="553"/>
      <c r="DV299" s="553"/>
      <c r="DW299" s="550"/>
      <c r="DY299" s="551"/>
      <c r="EB299" s="547"/>
      <c r="EC299" s="546"/>
      <c r="ED299" s="551"/>
      <c r="EE299" s="553"/>
      <c r="EF299" s="553"/>
      <c r="EG299" s="550"/>
      <c r="EI299" s="551"/>
      <c r="EL299" s="547"/>
      <c r="EM299" s="546"/>
      <c r="EN299" s="551"/>
      <c r="EO299" s="553"/>
      <c r="EP299" s="553"/>
      <c r="EQ299" s="550"/>
      <c r="ES299" s="551"/>
    </row>
    <row r="300" spans="52:149">
      <c r="AZ300" s="547"/>
      <c r="BA300" s="546"/>
      <c r="BB300" s="551"/>
      <c r="BC300" s="553"/>
      <c r="BD300" s="553"/>
      <c r="BE300" s="550"/>
      <c r="BG300" s="551"/>
      <c r="BJ300" s="547"/>
      <c r="BK300" s="546"/>
      <c r="BL300" s="551"/>
      <c r="BM300" s="553"/>
      <c r="BN300" s="553"/>
      <c r="BO300" s="550"/>
      <c r="BQ300" s="551"/>
      <c r="BT300" s="547"/>
      <c r="BU300" s="546"/>
      <c r="BV300" s="551"/>
      <c r="BW300" s="553"/>
      <c r="BX300" s="553"/>
      <c r="BY300" s="550"/>
      <c r="CA300" s="551"/>
      <c r="CD300" s="547"/>
      <c r="CE300" s="546"/>
      <c r="CF300" s="551"/>
      <c r="CG300" s="553"/>
      <c r="CH300" s="553"/>
      <c r="CI300" s="550"/>
      <c r="CK300" s="551"/>
      <c r="CN300" s="547"/>
      <c r="CO300" s="546"/>
      <c r="CP300" s="551"/>
      <c r="CQ300" s="553"/>
      <c r="CR300" s="553"/>
      <c r="CS300" s="550"/>
      <c r="CU300" s="551"/>
      <c r="CX300" s="547"/>
      <c r="CY300" s="546"/>
      <c r="CZ300" s="551"/>
      <c r="DA300" s="553"/>
      <c r="DB300" s="553"/>
      <c r="DC300" s="550"/>
      <c r="DE300" s="551"/>
      <c r="DH300" s="547"/>
      <c r="DI300" s="546"/>
      <c r="DJ300" s="551"/>
      <c r="DK300" s="553"/>
      <c r="DL300" s="553"/>
      <c r="DM300" s="550"/>
      <c r="DO300" s="551"/>
      <c r="DR300" s="547"/>
      <c r="DS300" s="546"/>
      <c r="DT300" s="551"/>
      <c r="DU300" s="553"/>
      <c r="DV300" s="553"/>
      <c r="DW300" s="550"/>
      <c r="DY300" s="551"/>
      <c r="EB300" s="547"/>
      <c r="EC300" s="546"/>
      <c r="ED300" s="551"/>
      <c r="EE300" s="553"/>
      <c r="EF300" s="553"/>
      <c r="EG300" s="550"/>
      <c r="EI300" s="551"/>
      <c r="EL300" s="547"/>
      <c r="EM300" s="546"/>
      <c r="EN300" s="551"/>
      <c r="EO300" s="553"/>
      <c r="EP300" s="553"/>
      <c r="EQ300" s="550"/>
      <c r="ES300" s="551"/>
    </row>
    <row r="301" spans="52:149">
      <c r="AZ301" s="547"/>
      <c r="BA301" s="546"/>
      <c r="BB301" s="551"/>
      <c r="BC301" s="553"/>
      <c r="BD301" s="553"/>
      <c r="BE301" s="550"/>
      <c r="BG301" s="551"/>
      <c r="BJ301" s="547"/>
      <c r="BK301" s="546"/>
      <c r="BL301" s="551"/>
      <c r="BM301" s="553"/>
      <c r="BN301" s="553"/>
      <c r="BO301" s="550"/>
      <c r="BQ301" s="551"/>
      <c r="BT301" s="547"/>
      <c r="BU301" s="546"/>
      <c r="BV301" s="551"/>
      <c r="BW301" s="553"/>
      <c r="BX301" s="553"/>
      <c r="BY301" s="550"/>
      <c r="CA301" s="551"/>
      <c r="CD301" s="547"/>
      <c r="CE301" s="546"/>
      <c r="CF301" s="551"/>
      <c r="CG301" s="553"/>
      <c r="CH301" s="553"/>
      <c r="CI301" s="550"/>
      <c r="CK301" s="551"/>
      <c r="CN301" s="547"/>
      <c r="CO301" s="546"/>
      <c r="CP301" s="551"/>
      <c r="CQ301" s="553"/>
      <c r="CR301" s="553"/>
      <c r="CS301" s="550"/>
      <c r="CU301" s="551"/>
      <c r="CX301" s="547"/>
      <c r="CY301" s="546"/>
      <c r="CZ301" s="551"/>
      <c r="DA301" s="553"/>
      <c r="DB301" s="553"/>
      <c r="DC301" s="550"/>
      <c r="DE301" s="551"/>
      <c r="DH301" s="547"/>
      <c r="DI301" s="546"/>
      <c r="DJ301" s="551"/>
      <c r="DK301" s="553"/>
      <c r="DL301" s="553"/>
      <c r="DM301" s="550"/>
      <c r="DO301" s="551"/>
      <c r="DR301" s="547"/>
      <c r="DS301" s="546"/>
      <c r="DT301" s="551"/>
      <c r="DU301" s="553"/>
      <c r="DV301" s="553"/>
      <c r="DW301" s="550"/>
      <c r="DY301" s="551"/>
      <c r="EB301" s="547"/>
      <c r="EC301" s="546"/>
      <c r="ED301" s="551"/>
      <c r="EE301" s="553"/>
      <c r="EF301" s="553"/>
      <c r="EG301" s="550"/>
      <c r="EI301" s="551"/>
      <c r="EL301" s="547"/>
      <c r="EM301" s="546"/>
      <c r="EN301" s="551"/>
      <c r="EO301" s="553"/>
      <c r="EP301" s="553"/>
      <c r="EQ301" s="550"/>
      <c r="ES301" s="551"/>
    </row>
    <row r="302" spans="52:149">
      <c r="AZ302" s="547"/>
      <c r="BA302" s="546"/>
      <c r="BB302" s="551"/>
      <c r="BC302" s="553"/>
      <c r="BD302" s="553"/>
      <c r="BE302" s="550"/>
      <c r="BG302" s="551"/>
      <c r="BJ302" s="547"/>
      <c r="BK302" s="546"/>
      <c r="BL302" s="551"/>
      <c r="BM302" s="553"/>
      <c r="BN302" s="553"/>
      <c r="BO302" s="550"/>
      <c r="BQ302" s="551"/>
      <c r="BT302" s="547"/>
      <c r="BU302" s="546"/>
      <c r="BV302" s="551"/>
      <c r="BW302" s="553"/>
      <c r="BX302" s="553"/>
      <c r="BY302" s="550"/>
      <c r="CA302" s="551"/>
      <c r="CD302" s="547"/>
      <c r="CE302" s="546"/>
      <c r="CF302" s="551"/>
      <c r="CG302" s="553"/>
      <c r="CH302" s="553"/>
      <c r="CI302" s="550"/>
      <c r="CK302" s="551"/>
      <c r="CN302" s="547"/>
      <c r="CO302" s="546"/>
      <c r="CP302" s="551"/>
      <c r="CQ302" s="553"/>
      <c r="CR302" s="553"/>
      <c r="CS302" s="550"/>
      <c r="CU302" s="551"/>
      <c r="CX302" s="547"/>
      <c r="CY302" s="546"/>
      <c r="CZ302" s="551"/>
      <c r="DA302" s="553"/>
      <c r="DB302" s="553"/>
      <c r="DC302" s="550"/>
      <c r="DE302" s="551"/>
      <c r="DH302" s="547"/>
      <c r="DI302" s="546"/>
      <c r="DJ302" s="551"/>
      <c r="DK302" s="553"/>
      <c r="DL302" s="553"/>
      <c r="DM302" s="550"/>
      <c r="DO302" s="551"/>
      <c r="DR302" s="547"/>
      <c r="DS302" s="546"/>
      <c r="DT302" s="551"/>
      <c r="DU302" s="553"/>
      <c r="DV302" s="553"/>
      <c r="DW302" s="550"/>
      <c r="DY302" s="551"/>
      <c r="EB302" s="547"/>
      <c r="EC302" s="546"/>
      <c r="ED302" s="551"/>
      <c r="EE302" s="553"/>
      <c r="EF302" s="553"/>
      <c r="EG302" s="550"/>
      <c r="EI302" s="551"/>
      <c r="EL302" s="547"/>
      <c r="EM302" s="546"/>
      <c r="EN302" s="551"/>
      <c r="EO302" s="553"/>
      <c r="EP302" s="553"/>
      <c r="EQ302" s="550"/>
      <c r="ES302" s="551"/>
    </row>
    <row r="303" spans="52:149">
      <c r="AZ303" s="547"/>
      <c r="BA303" s="546"/>
      <c r="BB303" s="551"/>
      <c r="BC303" s="553"/>
      <c r="BD303" s="553"/>
      <c r="BE303" s="550"/>
      <c r="BG303" s="551"/>
      <c r="BJ303" s="547"/>
      <c r="BK303" s="546"/>
      <c r="BL303" s="551"/>
      <c r="BM303" s="553"/>
      <c r="BN303" s="553"/>
      <c r="BO303" s="550"/>
      <c r="BQ303" s="551"/>
      <c r="BT303" s="547"/>
      <c r="BU303" s="546"/>
      <c r="BV303" s="551"/>
      <c r="BW303" s="553"/>
      <c r="BX303" s="553"/>
      <c r="BY303" s="550"/>
      <c r="CA303" s="551"/>
      <c r="CD303" s="547"/>
      <c r="CE303" s="546"/>
      <c r="CF303" s="551"/>
      <c r="CG303" s="553"/>
      <c r="CH303" s="553"/>
      <c r="CI303" s="550"/>
      <c r="CK303" s="551"/>
      <c r="CN303" s="547"/>
      <c r="CO303" s="546"/>
      <c r="CP303" s="551"/>
      <c r="CQ303" s="553"/>
      <c r="CR303" s="553"/>
      <c r="CS303" s="550"/>
      <c r="CU303" s="551"/>
      <c r="CX303" s="547"/>
      <c r="CY303" s="546"/>
      <c r="CZ303" s="551"/>
      <c r="DA303" s="553"/>
      <c r="DB303" s="553"/>
      <c r="DC303" s="550"/>
      <c r="DE303" s="551"/>
      <c r="DH303" s="547"/>
      <c r="DI303" s="546"/>
      <c r="DJ303" s="551"/>
      <c r="DK303" s="553"/>
      <c r="DL303" s="553"/>
      <c r="DM303" s="550"/>
      <c r="DO303" s="551"/>
      <c r="DR303" s="547"/>
      <c r="DS303" s="546"/>
      <c r="DT303" s="551"/>
      <c r="DU303" s="553"/>
      <c r="DV303" s="553"/>
      <c r="DW303" s="550"/>
      <c r="DY303" s="551"/>
      <c r="EB303" s="547"/>
      <c r="EC303" s="546"/>
      <c r="ED303" s="551"/>
      <c r="EE303" s="553"/>
      <c r="EF303" s="553"/>
      <c r="EG303" s="550"/>
      <c r="EI303" s="551"/>
      <c r="EL303" s="547"/>
      <c r="EM303" s="546"/>
      <c r="EN303" s="551"/>
      <c r="EO303" s="553"/>
      <c r="EP303" s="553"/>
      <c r="EQ303" s="550"/>
      <c r="ES303" s="551"/>
    </row>
    <row r="304" spans="52:149">
      <c r="AZ304" s="547"/>
      <c r="BA304" s="546"/>
      <c r="BB304" s="551"/>
      <c r="BC304" s="553"/>
      <c r="BD304" s="553"/>
      <c r="BE304" s="550"/>
      <c r="BG304" s="551"/>
      <c r="BJ304" s="547"/>
      <c r="BK304" s="546"/>
      <c r="BL304" s="551"/>
      <c r="BM304" s="553"/>
      <c r="BN304" s="553"/>
      <c r="BO304" s="550"/>
      <c r="BQ304" s="551"/>
      <c r="BT304" s="547"/>
      <c r="BU304" s="546"/>
      <c r="BV304" s="551"/>
      <c r="BW304" s="553"/>
      <c r="BX304" s="553"/>
      <c r="BY304" s="550"/>
      <c r="CA304" s="551"/>
      <c r="CD304" s="547"/>
      <c r="CE304" s="546"/>
      <c r="CF304" s="551"/>
      <c r="CG304" s="553"/>
      <c r="CH304" s="553"/>
      <c r="CI304" s="550"/>
      <c r="CK304" s="551"/>
      <c r="CN304" s="547"/>
      <c r="CO304" s="546"/>
      <c r="CP304" s="551"/>
      <c r="CQ304" s="553"/>
      <c r="CR304" s="553"/>
      <c r="CS304" s="550"/>
      <c r="CU304" s="551"/>
      <c r="CX304" s="547"/>
      <c r="CY304" s="546"/>
      <c r="CZ304" s="551"/>
      <c r="DA304" s="553"/>
      <c r="DB304" s="553"/>
      <c r="DC304" s="550"/>
      <c r="DE304" s="551"/>
      <c r="DH304" s="547"/>
      <c r="DI304" s="546"/>
      <c r="DJ304" s="551"/>
      <c r="DK304" s="553"/>
      <c r="DL304" s="553"/>
      <c r="DM304" s="550"/>
      <c r="DO304" s="551"/>
      <c r="DR304" s="547"/>
      <c r="DS304" s="546"/>
      <c r="DT304" s="551"/>
      <c r="DU304" s="553"/>
      <c r="DV304" s="553"/>
      <c r="DW304" s="550"/>
      <c r="DY304" s="551"/>
      <c r="EB304" s="547"/>
      <c r="EC304" s="546"/>
      <c r="ED304" s="551"/>
      <c r="EE304" s="553"/>
      <c r="EF304" s="553"/>
      <c r="EG304" s="550"/>
      <c r="EI304" s="551"/>
      <c r="EL304" s="547"/>
      <c r="EM304" s="546"/>
      <c r="EN304" s="551"/>
      <c r="EO304" s="553"/>
      <c r="EP304" s="553"/>
      <c r="EQ304" s="550"/>
      <c r="ES304" s="551"/>
    </row>
    <row r="305" spans="52:149">
      <c r="AZ305" s="547"/>
      <c r="BA305" s="546"/>
      <c r="BB305" s="551"/>
      <c r="BC305" s="553"/>
      <c r="BD305" s="553"/>
      <c r="BE305" s="550"/>
      <c r="BG305" s="551"/>
      <c r="BJ305" s="547"/>
      <c r="BK305" s="546"/>
      <c r="BL305" s="551"/>
      <c r="BM305" s="553"/>
      <c r="BN305" s="553"/>
      <c r="BO305" s="550"/>
      <c r="BQ305" s="551"/>
      <c r="BT305" s="547"/>
      <c r="BU305" s="546"/>
      <c r="BV305" s="551"/>
      <c r="BW305" s="553"/>
      <c r="BX305" s="553"/>
      <c r="BY305" s="550"/>
      <c r="CA305" s="551"/>
      <c r="CD305" s="547"/>
      <c r="CE305" s="546"/>
      <c r="CF305" s="551"/>
      <c r="CG305" s="553"/>
      <c r="CH305" s="553"/>
      <c r="CI305" s="550"/>
      <c r="CK305" s="551"/>
      <c r="CN305" s="547"/>
      <c r="CO305" s="546"/>
      <c r="CP305" s="551"/>
      <c r="CQ305" s="553"/>
      <c r="CR305" s="553"/>
      <c r="CS305" s="550"/>
      <c r="CU305" s="551"/>
      <c r="CX305" s="547"/>
      <c r="CY305" s="546"/>
      <c r="CZ305" s="551"/>
      <c r="DA305" s="553"/>
      <c r="DB305" s="553"/>
      <c r="DC305" s="550"/>
      <c r="DE305" s="551"/>
      <c r="DH305" s="547"/>
      <c r="DI305" s="546"/>
      <c r="DJ305" s="551"/>
      <c r="DK305" s="553"/>
      <c r="DL305" s="553"/>
      <c r="DM305" s="550"/>
      <c r="DO305" s="551"/>
      <c r="DR305" s="547"/>
      <c r="DS305" s="546"/>
      <c r="DT305" s="551"/>
      <c r="DU305" s="553"/>
      <c r="DV305" s="553"/>
      <c r="DW305" s="550"/>
      <c r="DY305" s="551"/>
      <c r="EB305" s="547"/>
      <c r="EC305" s="546"/>
      <c r="ED305" s="551"/>
      <c r="EE305" s="553"/>
      <c r="EF305" s="553"/>
      <c r="EG305" s="550"/>
      <c r="EI305" s="551"/>
      <c r="EL305" s="547"/>
      <c r="EM305" s="546"/>
      <c r="EN305" s="551"/>
      <c r="EO305" s="553"/>
      <c r="EP305" s="553"/>
      <c r="EQ305" s="550"/>
      <c r="ES305" s="551"/>
    </row>
    <row r="306" spans="52:149">
      <c r="AZ306" s="547"/>
      <c r="BA306" s="546"/>
      <c r="BB306" s="551"/>
      <c r="BC306" s="553"/>
      <c r="BD306" s="553"/>
      <c r="BE306" s="550"/>
      <c r="BG306" s="551"/>
      <c r="BJ306" s="547"/>
      <c r="BK306" s="546"/>
      <c r="BL306" s="551"/>
      <c r="BM306" s="553"/>
      <c r="BN306" s="553"/>
      <c r="BO306" s="550"/>
      <c r="BQ306" s="551"/>
      <c r="BT306" s="547"/>
      <c r="BU306" s="546"/>
      <c r="BV306" s="551"/>
      <c r="BW306" s="553"/>
      <c r="BX306" s="553"/>
      <c r="BY306" s="550"/>
      <c r="CA306" s="551"/>
      <c r="CD306" s="547"/>
      <c r="CE306" s="546"/>
      <c r="CF306" s="551"/>
      <c r="CG306" s="553"/>
      <c r="CH306" s="553"/>
      <c r="CI306" s="550"/>
      <c r="CK306" s="551"/>
      <c r="CN306" s="547"/>
      <c r="CO306" s="546"/>
      <c r="CP306" s="551"/>
      <c r="CQ306" s="553"/>
      <c r="CR306" s="553"/>
      <c r="CS306" s="550"/>
      <c r="CU306" s="551"/>
      <c r="CX306" s="547"/>
      <c r="CY306" s="546"/>
      <c r="CZ306" s="551"/>
      <c r="DA306" s="553"/>
      <c r="DB306" s="553"/>
      <c r="DC306" s="550"/>
      <c r="DE306" s="551"/>
      <c r="DH306" s="547"/>
      <c r="DI306" s="546"/>
      <c r="DJ306" s="551"/>
      <c r="DK306" s="553"/>
      <c r="DL306" s="553"/>
      <c r="DM306" s="550"/>
      <c r="DO306" s="551"/>
      <c r="DR306" s="547"/>
      <c r="DS306" s="546"/>
      <c r="DT306" s="551"/>
      <c r="DU306" s="553"/>
      <c r="DV306" s="553"/>
      <c r="DW306" s="550"/>
      <c r="DY306" s="551"/>
      <c r="EB306" s="547"/>
      <c r="EC306" s="546"/>
      <c r="ED306" s="551"/>
      <c r="EE306" s="553"/>
      <c r="EF306" s="553"/>
      <c r="EG306" s="550"/>
      <c r="EI306" s="551"/>
      <c r="EL306" s="547"/>
      <c r="EM306" s="546"/>
      <c r="EN306" s="551"/>
      <c r="EO306" s="553"/>
      <c r="EP306" s="553"/>
      <c r="EQ306" s="550"/>
      <c r="ES306" s="551"/>
    </row>
    <row r="307" spans="52:149">
      <c r="AZ307" s="547"/>
      <c r="BA307" s="546"/>
      <c r="BB307" s="551"/>
      <c r="BC307" s="553"/>
      <c r="BD307" s="553"/>
      <c r="BE307" s="550"/>
      <c r="BG307" s="551"/>
      <c r="BJ307" s="547"/>
      <c r="BK307" s="546"/>
      <c r="BL307" s="551"/>
      <c r="BM307" s="553"/>
      <c r="BN307" s="553"/>
      <c r="BO307" s="550"/>
      <c r="BQ307" s="551"/>
      <c r="BT307" s="547"/>
      <c r="BU307" s="546"/>
      <c r="BV307" s="551"/>
      <c r="BW307" s="553"/>
      <c r="BX307" s="553"/>
      <c r="BY307" s="550"/>
      <c r="CA307" s="551"/>
      <c r="CD307" s="547"/>
      <c r="CE307" s="546"/>
      <c r="CF307" s="551"/>
      <c r="CG307" s="553"/>
      <c r="CH307" s="553"/>
      <c r="CI307" s="550"/>
      <c r="CK307" s="551"/>
      <c r="CN307" s="547"/>
      <c r="CO307" s="546"/>
      <c r="CP307" s="551"/>
      <c r="CQ307" s="553"/>
      <c r="CR307" s="553"/>
      <c r="CS307" s="550"/>
      <c r="CU307" s="551"/>
      <c r="CX307" s="547"/>
      <c r="CY307" s="546"/>
      <c r="CZ307" s="551"/>
      <c r="DA307" s="553"/>
      <c r="DB307" s="553"/>
      <c r="DC307" s="550"/>
      <c r="DE307" s="551"/>
      <c r="DH307" s="547"/>
      <c r="DI307" s="546"/>
      <c r="DJ307" s="551"/>
      <c r="DK307" s="553"/>
      <c r="DL307" s="553"/>
      <c r="DM307" s="550"/>
      <c r="DO307" s="551"/>
      <c r="DR307" s="547"/>
      <c r="DS307" s="546"/>
      <c r="DT307" s="551"/>
      <c r="DU307" s="553"/>
      <c r="DV307" s="553"/>
      <c r="DW307" s="550"/>
      <c r="DY307" s="551"/>
      <c r="EB307" s="547"/>
      <c r="EC307" s="546"/>
      <c r="ED307" s="551"/>
      <c r="EE307" s="553"/>
      <c r="EF307" s="553"/>
      <c r="EG307" s="550"/>
      <c r="EI307" s="551"/>
      <c r="EL307" s="547"/>
      <c r="EM307" s="546"/>
      <c r="EN307" s="551"/>
      <c r="EO307" s="553"/>
      <c r="EP307" s="553"/>
      <c r="EQ307" s="550"/>
      <c r="ES307" s="551"/>
    </row>
    <row r="308" spans="52:149">
      <c r="AZ308" s="547"/>
      <c r="BA308" s="546"/>
      <c r="BB308" s="551"/>
      <c r="BC308" s="553"/>
      <c r="BD308" s="553"/>
      <c r="BE308" s="550"/>
      <c r="BG308" s="551"/>
      <c r="BJ308" s="547"/>
      <c r="BK308" s="546"/>
      <c r="BL308" s="551"/>
      <c r="BM308" s="553"/>
      <c r="BN308" s="553"/>
      <c r="BO308" s="550"/>
      <c r="BQ308" s="551"/>
      <c r="BT308" s="547"/>
      <c r="BU308" s="546"/>
      <c r="BV308" s="551"/>
      <c r="BW308" s="553"/>
      <c r="BX308" s="553"/>
      <c r="BY308" s="550"/>
      <c r="CA308" s="551"/>
      <c r="CD308" s="547"/>
      <c r="CE308" s="546"/>
      <c r="CF308" s="551"/>
      <c r="CG308" s="553"/>
      <c r="CH308" s="553"/>
      <c r="CI308" s="550"/>
      <c r="CK308" s="551"/>
      <c r="CN308" s="547"/>
      <c r="CO308" s="546"/>
      <c r="CP308" s="551"/>
      <c r="CQ308" s="553"/>
      <c r="CR308" s="553"/>
      <c r="CS308" s="550"/>
      <c r="CU308" s="551"/>
      <c r="CX308" s="547"/>
      <c r="CY308" s="546"/>
      <c r="CZ308" s="551"/>
      <c r="DA308" s="553"/>
      <c r="DB308" s="553"/>
      <c r="DC308" s="550"/>
      <c r="DE308" s="551"/>
      <c r="DH308" s="547"/>
      <c r="DI308" s="546"/>
      <c r="DJ308" s="551"/>
      <c r="DK308" s="553"/>
      <c r="DL308" s="553"/>
      <c r="DM308" s="550"/>
      <c r="DO308" s="551"/>
      <c r="DR308" s="547"/>
      <c r="DS308" s="546"/>
      <c r="DT308" s="551"/>
      <c r="DU308" s="553"/>
      <c r="DV308" s="553"/>
      <c r="DW308" s="550"/>
      <c r="DY308" s="551"/>
      <c r="EB308" s="547"/>
      <c r="EC308" s="546"/>
      <c r="ED308" s="551"/>
      <c r="EE308" s="553"/>
      <c r="EF308" s="553"/>
      <c r="EG308" s="550"/>
      <c r="EI308" s="551"/>
      <c r="EL308" s="547"/>
      <c r="EM308" s="546"/>
      <c r="EN308" s="551"/>
      <c r="EO308" s="553"/>
      <c r="EP308" s="553"/>
      <c r="EQ308" s="550"/>
      <c r="ES308" s="551"/>
    </row>
    <row r="309" spans="52:149">
      <c r="AZ309" s="547"/>
      <c r="BA309" s="546"/>
      <c r="BB309" s="551"/>
      <c r="BC309" s="553"/>
      <c r="BD309" s="553"/>
      <c r="BE309" s="550"/>
      <c r="BG309" s="551"/>
      <c r="BJ309" s="547"/>
      <c r="BK309" s="546"/>
      <c r="BL309" s="551"/>
      <c r="BM309" s="553"/>
      <c r="BN309" s="553"/>
      <c r="BO309" s="550"/>
      <c r="BQ309" s="551"/>
      <c r="BT309" s="547"/>
      <c r="BU309" s="546"/>
      <c r="BV309" s="551"/>
      <c r="BW309" s="553"/>
      <c r="BX309" s="553"/>
      <c r="BY309" s="550"/>
      <c r="CA309" s="551"/>
      <c r="CD309" s="547"/>
      <c r="CE309" s="546"/>
      <c r="CF309" s="551"/>
      <c r="CG309" s="553"/>
      <c r="CH309" s="553"/>
      <c r="CI309" s="550"/>
      <c r="CK309" s="551"/>
      <c r="CN309" s="547"/>
      <c r="CO309" s="546"/>
      <c r="CP309" s="551"/>
      <c r="CQ309" s="553"/>
      <c r="CR309" s="553"/>
      <c r="CS309" s="550"/>
      <c r="CU309" s="551"/>
      <c r="CX309" s="547"/>
      <c r="CY309" s="546"/>
      <c r="CZ309" s="551"/>
      <c r="DA309" s="553"/>
      <c r="DB309" s="553"/>
      <c r="DC309" s="550"/>
      <c r="DE309" s="551"/>
      <c r="DH309" s="547"/>
      <c r="DI309" s="546"/>
      <c r="DJ309" s="551"/>
      <c r="DK309" s="553"/>
      <c r="DL309" s="553"/>
      <c r="DM309" s="550"/>
      <c r="DO309" s="551"/>
      <c r="DR309" s="547"/>
      <c r="DS309" s="546"/>
      <c r="DT309" s="551"/>
      <c r="DU309" s="553"/>
      <c r="DV309" s="553"/>
      <c r="DW309" s="550"/>
      <c r="DY309" s="551"/>
      <c r="EB309" s="547"/>
      <c r="EC309" s="546"/>
      <c r="ED309" s="551"/>
      <c r="EE309" s="553"/>
      <c r="EF309" s="553"/>
      <c r="EG309" s="550"/>
      <c r="EI309" s="551"/>
      <c r="EL309" s="547"/>
      <c r="EM309" s="546"/>
      <c r="EN309" s="551"/>
      <c r="EO309" s="553"/>
      <c r="EP309" s="553"/>
      <c r="EQ309" s="550"/>
      <c r="ES309" s="551"/>
    </row>
    <row r="310" spans="52:149">
      <c r="AZ310" s="547"/>
      <c r="BA310" s="546"/>
      <c r="BB310" s="551"/>
      <c r="BC310" s="553"/>
      <c r="BD310" s="553"/>
      <c r="BE310" s="550"/>
      <c r="BG310" s="551"/>
      <c r="BJ310" s="547"/>
      <c r="BK310" s="546"/>
      <c r="BL310" s="551"/>
      <c r="BM310" s="553"/>
      <c r="BN310" s="553"/>
      <c r="BO310" s="550"/>
      <c r="BQ310" s="551"/>
      <c r="BT310" s="547"/>
      <c r="BU310" s="546"/>
      <c r="BV310" s="551"/>
      <c r="BW310" s="553"/>
      <c r="BX310" s="553"/>
      <c r="BY310" s="550"/>
      <c r="CA310" s="551"/>
      <c r="CD310" s="547"/>
      <c r="CE310" s="546"/>
      <c r="CF310" s="551"/>
      <c r="CG310" s="553"/>
      <c r="CH310" s="553"/>
      <c r="CI310" s="550"/>
      <c r="CK310" s="551"/>
      <c r="CN310" s="547"/>
      <c r="CO310" s="546"/>
      <c r="CP310" s="551"/>
      <c r="CQ310" s="553"/>
      <c r="CR310" s="553"/>
      <c r="CS310" s="550"/>
      <c r="CU310" s="551"/>
      <c r="CX310" s="547"/>
      <c r="CY310" s="546"/>
      <c r="CZ310" s="551"/>
      <c r="DA310" s="553"/>
      <c r="DB310" s="553"/>
      <c r="DC310" s="550"/>
      <c r="DE310" s="551"/>
      <c r="DH310" s="547"/>
      <c r="DI310" s="546"/>
      <c r="DJ310" s="551"/>
      <c r="DK310" s="553"/>
      <c r="DL310" s="553"/>
      <c r="DM310" s="550"/>
      <c r="DO310" s="551"/>
      <c r="DR310" s="547"/>
      <c r="DS310" s="546"/>
      <c r="DT310" s="551"/>
      <c r="DU310" s="553"/>
      <c r="DV310" s="553"/>
      <c r="DW310" s="550"/>
      <c r="DY310" s="551"/>
      <c r="EB310" s="547"/>
      <c r="EC310" s="546"/>
      <c r="ED310" s="551"/>
      <c r="EE310" s="553"/>
      <c r="EF310" s="553"/>
      <c r="EG310" s="550"/>
      <c r="EI310" s="551"/>
      <c r="EL310" s="547"/>
      <c r="EM310" s="546"/>
      <c r="EN310" s="551"/>
      <c r="EO310" s="553"/>
      <c r="EP310" s="553"/>
      <c r="EQ310" s="550"/>
      <c r="ES310" s="551"/>
    </row>
    <row r="311" spans="52:149">
      <c r="AZ311" s="547"/>
      <c r="BA311" s="546"/>
      <c r="BB311" s="551"/>
      <c r="BC311" s="553"/>
      <c r="BD311" s="553"/>
      <c r="BE311" s="550"/>
      <c r="BG311" s="551"/>
      <c r="BJ311" s="547"/>
      <c r="BK311" s="546"/>
      <c r="BL311" s="551"/>
      <c r="BM311" s="553"/>
      <c r="BN311" s="553"/>
      <c r="BO311" s="550"/>
      <c r="BQ311" s="551"/>
      <c r="BT311" s="547"/>
      <c r="BU311" s="546"/>
      <c r="BV311" s="551"/>
      <c r="BW311" s="553"/>
      <c r="BX311" s="553"/>
      <c r="BY311" s="550"/>
      <c r="CA311" s="551"/>
      <c r="CD311" s="547"/>
      <c r="CE311" s="546"/>
      <c r="CF311" s="551"/>
      <c r="CG311" s="553"/>
      <c r="CH311" s="553"/>
      <c r="CI311" s="550"/>
      <c r="CK311" s="551"/>
      <c r="CN311" s="547"/>
      <c r="CO311" s="546"/>
      <c r="CP311" s="551"/>
      <c r="CQ311" s="553"/>
      <c r="CR311" s="553"/>
      <c r="CS311" s="550"/>
      <c r="CU311" s="551"/>
      <c r="CX311" s="547"/>
      <c r="CY311" s="546"/>
      <c r="CZ311" s="551"/>
      <c r="DA311" s="553"/>
      <c r="DB311" s="553"/>
      <c r="DC311" s="550"/>
      <c r="DE311" s="551"/>
      <c r="DH311" s="547"/>
      <c r="DI311" s="546"/>
      <c r="DJ311" s="551"/>
      <c r="DK311" s="553"/>
      <c r="DL311" s="553"/>
      <c r="DM311" s="550"/>
      <c r="DO311" s="551"/>
      <c r="DR311" s="547"/>
      <c r="DS311" s="546"/>
      <c r="DT311" s="551"/>
      <c r="DU311" s="553"/>
      <c r="DV311" s="553"/>
      <c r="DW311" s="550"/>
      <c r="DY311" s="551"/>
      <c r="EB311" s="547"/>
      <c r="EC311" s="546"/>
      <c r="ED311" s="551"/>
      <c r="EE311" s="553"/>
      <c r="EF311" s="553"/>
      <c r="EG311" s="550"/>
      <c r="EI311" s="551"/>
      <c r="EL311" s="547"/>
      <c r="EM311" s="546"/>
      <c r="EN311" s="551"/>
      <c r="EO311" s="553"/>
      <c r="EP311" s="553"/>
      <c r="EQ311" s="550"/>
      <c r="ES311" s="551"/>
    </row>
    <row r="312" spans="52:149">
      <c r="AZ312" s="547"/>
      <c r="BA312" s="546"/>
      <c r="BB312" s="551"/>
      <c r="BC312" s="553"/>
      <c r="BD312" s="553"/>
      <c r="BE312" s="550"/>
      <c r="BG312" s="551"/>
      <c r="BJ312" s="547"/>
      <c r="BK312" s="546"/>
      <c r="BL312" s="551"/>
      <c r="BM312" s="553"/>
      <c r="BN312" s="553"/>
      <c r="BO312" s="550"/>
      <c r="BQ312" s="551"/>
      <c r="BT312" s="547"/>
      <c r="BU312" s="546"/>
      <c r="BV312" s="551"/>
      <c r="BW312" s="553"/>
      <c r="BX312" s="553"/>
      <c r="BY312" s="550"/>
      <c r="CA312" s="551"/>
      <c r="CD312" s="547"/>
      <c r="CE312" s="546"/>
      <c r="CF312" s="551"/>
      <c r="CG312" s="553"/>
      <c r="CH312" s="553"/>
      <c r="CI312" s="550"/>
      <c r="CK312" s="551"/>
      <c r="CN312" s="547"/>
      <c r="CO312" s="546"/>
      <c r="CP312" s="551"/>
      <c r="CQ312" s="553"/>
      <c r="CR312" s="553"/>
      <c r="CS312" s="550"/>
      <c r="CU312" s="551"/>
      <c r="CX312" s="547"/>
      <c r="CY312" s="546"/>
      <c r="CZ312" s="551"/>
      <c r="DA312" s="553"/>
      <c r="DB312" s="553"/>
      <c r="DC312" s="550"/>
      <c r="DE312" s="551"/>
      <c r="DH312" s="547"/>
      <c r="DI312" s="546"/>
      <c r="DJ312" s="551"/>
      <c r="DK312" s="553"/>
      <c r="DL312" s="553"/>
      <c r="DM312" s="550"/>
      <c r="DO312" s="551"/>
      <c r="DR312" s="547"/>
      <c r="DS312" s="546"/>
      <c r="DT312" s="551"/>
      <c r="DU312" s="553"/>
      <c r="DV312" s="553"/>
      <c r="DW312" s="550"/>
      <c r="DY312" s="551"/>
      <c r="EB312" s="547"/>
      <c r="EC312" s="546"/>
      <c r="ED312" s="551"/>
      <c r="EE312" s="553"/>
      <c r="EF312" s="553"/>
      <c r="EG312" s="550"/>
      <c r="EI312" s="551"/>
      <c r="EL312" s="547"/>
      <c r="EM312" s="546"/>
      <c r="EN312" s="551"/>
      <c r="EO312" s="553"/>
      <c r="EP312" s="553"/>
      <c r="EQ312" s="550"/>
      <c r="ES312" s="551"/>
    </row>
    <row r="313" spans="52:149">
      <c r="AZ313" s="547"/>
      <c r="BA313" s="546"/>
      <c r="BB313" s="551"/>
      <c r="BC313" s="553"/>
      <c r="BD313" s="553"/>
      <c r="BE313" s="550"/>
      <c r="BG313" s="551"/>
      <c r="BJ313" s="547"/>
      <c r="BK313" s="546"/>
      <c r="BL313" s="551"/>
      <c r="BM313" s="553"/>
      <c r="BN313" s="553"/>
      <c r="BO313" s="550"/>
      <c r="BQ313" s="551"/>
      <c r="BT313" s="547"/>
      <c r="BU313" s="546"/>
      <c r="BV313" s="551"/>
      <c r="BW313" s="553"/>
      <c r="BX313" s="553"/>
      <c r="BY313" s="550"/>
      <c r="CA313" s="551"/>
      <c r="CD313" s="547"/>
      <c r="CE313" s="546"/>
      <c r="CF313" s="551"/>
      <c r="CG313" s="553"/>
      <c r="CH313" s="553"/>
      <c r="CI313" s="550"/>
      <c r="CK313" s="551"/>
      <c r="CN313" s="547"/>
      <c r="CO313" s="546"/>
      <c r="CP313" s="551"/>
      <c r="CQ313" s="553"/>
      <c r="CR313" s="553"/>
      <c r="CS313" s="550"/>
      <c r="CU313" s="551"/>
      <c r="CX313" s="547"/>
      <c r="CY313" s="546"/>
      <c r="CZ313" s="551"/>
      <c r="DA313" s="553"/>
      <c r="DB313" s="553"/>
      <c r="DC313" s="550"/>
      <c r="DE313" s="551"/>
      <c r="DH313" s="547"/>
      <c r="DI313" s="546"/>
      <c r="DJ313" s="551"/>
      <c r="DK313" s="553"/>
      <c r="DL313" s="553"/>
      <c r="DM313" s="550"/>
      <c r="DO313" s="551"/>
      <c r="DR313" s="547"/>
      <c r="DS313" s="546"/>
      <c r="DT313" s="551"/>
      <c r="DU313" s="553"/>
      <c r="DV313" s="553"/>
      <c r="DW313" s="550"/>
      <c r="DY313" s="551"/>
      <c r="EB313" s="547"/>
      <c r="EC313" s="546"/>
      <c r="ED313" s="551"/>
      <c r="EE313" s="553"/>
      <c r="EF313" s="553"/>
      <c r="EG313" s="550"/>
      <c r="EI313" s="551"/>
      <c r="EL313" s="547"/>
      <c r="EM313" s="546"/>
      <c r="EN313" s="551"/>
      <c r="EO313" s="553"/>
      <c r="EP313" s="553"/>
      <c r="EQ313" s="550"/>
      <c r="ES313" s="551"/>
    </row>
    <row r="314" spans="52:149">
      <c r="AZ314" s="547"/>
      <c r="BA314" s="546"/>
      <c r="BB314" s="551"/>
      <c r="BC314" s="553"/>
      <c r="BD314" s="553"/>
      <c r="BE314" s="550"/>
      <c r="BG314" s="551"/>
      <c r="BJ314" s="547"/>
      <c r="BK314" s="546"/>
      <c r="BL314" s="551"/>
      <c r="BM314" s="553"/>
      <c r="BN314" s="553"/>
      <c r="BO314" s="550"/>
      <c r="BQ314" s="551"/>
      <c r="BT314" s="547"/>
      <c r="BU314" s="546"/>
      <c r="BV314" s="551"/>
      <c r="BW314" s="553"/>
      <c r="BX314" s="553"/>
      <c r="BY314" s="550"/>
      <c r="CA314" s="551"/>
      <c r="CD314" s="547"/>
      <c r="CE314" s="546"/>
      <c r="CF314" s="551"/>
      <c r="CG314" s="553"/>
      <c r="CH314" s="553"/>
      <c r="CI314" s="550"/>
      <c r="CK314" s="551"/>
      <c r="CN314" s="547"/>
      <c r="CO314" s="546"/>
      <c r="CP314" s="551"/>
      <c r="CQ314" s="553"/>
      <c r="CR314" s="553"/>
      <c r="CS314" s="550"/>
      <c r="CU314" s="551"/>
      <c r="CX314" s="547"/>
      <c r="CY314" s="546"/>
      <c r="CZ314" s="551"/>
      <c r="DA314" s="553"/>
      <c r="DB314" s="553"/>
      <c r="DC314" s="550"/>
      <c r="DE314" s="551"/>
      <c r="DH314" s="547"/>
      <c r="DI314" s="546"/>
      <c r="DJ314" s="551"/>
      <c r="DK314" s="553"/>
      <c r="DL314" s="553"/>
      <c r="DM314" s="550"/>
      <c r="DO314" s="551"/>
      <c r="DR314" s="547"/>
      <c r="DS314" s="546"/>
      <c r="DT314" s="551"/>
      <c r="DU314" s="553"/>
      <c r="DV314" s="553"/>
      <c r="DW314" s="550"/>
      <c r="DY314" s="551"/>
      <c r="EB314" s="547"/>
      <c r="EC314" s="546"/>
      <c r="ED314" s="551"/>
      <c r="EE314" s="553"/>
      <c r="EF314" s="553"/>
      <c r="EG314" s="550"/>
      <c r="EI314" s="551"/>
      <c r="EL314" s="547"/>
      <c r="EM314" s="546"/>
      <c r="EN314" s="551"/>
      <c r="EO314" s="553"/>
      <c r="EP314" s="553"/>
      <c r="EQ314" s="550"/>
      <c r="ES314" s="551"/>
    </row>
    <row r="315" spans="52:149">
      <c r="AZ315" s="547"/>
      <c r="BA315" s="546"/>
      <c r="BB315" s="551"/>
      <c r="BC315" s="553"/>
      <c r="BD315" s="553"/>
      <c r="BE315" s="550"/>
      <c r="BG315" s="551"/>
      <c r="BJ315" s="547"/>
      <c r="BK315" s="546"/>
      <c r="BL315" s="551"/>
      <c r="BM315" s="553"/>
      <c r="BN315" s="553"/>
      <c r="BO315" s="550"/>
      <c r="BQ315" s="551"/>
      <c r="BT315" s="547"/>
      <c r="BU315" s="546"/>
      <c r="BV315" s="551"/>
      <c r="BW315" s="553"/>
      <c r="BX315" s="553"/>
      <c r="BY315" s="550"/>
      <c r="CA315" s="551"/>
      <c r="CD315" s="547"/>
      <c r="CE315" s="546"/>
      <c r="CF315" s="551"/>
      <c r="CG315" s="553"/>
      <c r="CH315" s="553"/>
      <c r="CI315" s="550"/>
      <c r="CK315" s="551"/>
      <c r="CN315" s="547"/>
      <c r="CO315" s="546"/>
      <c r="CP315" s="551"/>
      <c r="CQ315" s="553"/>
      <c r="CR315" s="553"/>
      <c r="CS315" s="550"/>
      <c r="CU315" s="551"/>
      <c r="CX315" s="547"/>
      <c r="CY315" s="546"/>
      <c r="CZ315" s="551"/>
      <c r="DA315" s="553"/>
      <c r="DB315" s="553"/>
      <c r="DC315" s="550"/>
      <c r="DE315" s="551"/>
      <c r="DH315" s="547"/>
      <c r="DI315" s="546"/>
      <c r="DJ315" s="551"/>
      <c r="DK315" s="553"/>
      <c r="DL315" s="553"/>
      <c r="DM315" s="550"/>
      <c r="DO315" s="551"/>
      <c r="DR315" s="547"/>
      <c r="DS315" s="546"/>
      <c r="DT315" s="551"/>
      <c r="DU315" s="553"/>
      <c r="DV315" s="553"/>
      <c r="DW315" s="550"/>
      <c r="DY315" s="551"/>
      <c r="EB315" s="547"/>
      <c r="EC315" s="546"/>
      <c r="ED315" s="551"/>
      <c r="EE315" s="553"/>
      <c r="EF315" s="553"/>
      <c r="EG315" s="550"/>
      <c r="EI315" s="551"/>
      <c r="EL315" s="547"/>
      <c r="EM315" s="546"/>
      <c r="EN315" s="551"/>
      <c r="EO315" s="553"/>
      <c r="EP315" s="553"/>
      <c r="EQ315" s="550"/>
      <c r="ES315" s="551"/>
    </row>
    <row r="316" spans="52:149">
      <c r="AZ316" s="547"/>
      <c r="BA316" s="546"/>
      <c r="BB316" s="551"/>
      <c r="BC316" s="553"/>
      <c r="BD316" s="553"/>
      <c r="BE316" s="550"/>
      <c r="BG316" s="551"/>
      <c r="BJ316" s="547"/>
      <c r="BK316" s="546"/>
      <c r="BL316" s="551"/>
      <c r="BM316" s="553"/>
      <c r="BN316" s="553"/>
      <c r="BO316" s="550"/>
      <c r="BQ316" s="551"/>
      <c r="BT316" s="547"/>
      <c r="BU316" s="546"/>
      <c r="BV316" s="551"/>
      <c r="BW316" s="553"/>
      <c r="BX316" s="553"/>
      <c r="BY316" s="550"/>
      <c r="CA316" s="551"/>
      <c r="CD316" s="547"/>
      <c r="CE316" s="546"/>
      <c r="CF316" s="551"/>
      <c r="CG316" s="553"/>
      <c r="CH316" s="553"/>
      <c r="CI316" s="550"/>
      <c r="CK316" s="551"/>
      <c r="CN316" s="547"/>
      <c r="CO316" s="546"/>
      <c r="CP316" s="551"/>
      <c r="CQ316" s="553"/>
      <c r="CR316" s="553"/>
      <c r="CS316" s="550"/>
      <c r="CU316" s="551"/>
      <c r="CX316" s="547"/>
      <c r="CY316" s="546"/>
      <c r="CZ316" s="551"/>
      <c r="DA316" s="553"/>
      <c r="DB316" s="553"/>
      <c r="DC316" s="550"/>
      <c r="DE316" s="551"/>
      <c r="DH316" s="547"/>
      <c r="DI316" s="546"/>
      <c r="DJ316" s="551"/>
      <c r="DK316" s="553"/>
      <c r="DL316" s="553"/>
      <c r="DM316" s="550"/>
      <c r="DO316" s="551"/>
      <c r="DR316" s="547"/>
      <c r="DS316" s="546"/>
      <c r="DT316" s="551"/>
      <c r="DU316" s="553"/>
      <c r="DV316" s="553"/>
      <c r="DW316" s="550"/>
      <c r="DY316" s="551"/>
      <c r="EB316" s="547"/>
      <c r="EC316" s="546"/>
      <c r="ED316" s="551"/>
      <c r="EE316" s="553"/>
      <c r="EF316" s="553"/>
      <c r="EG316" s="550"/>
      <c r="EI316" s="551"/>
      <c r="EL316" s="547"/>
      <c r="EM316" s="546"/>
      <c r="EN316" s="551"/>
      <c r="EO316" s="553"/>
      <c r="EP316" s="553"/>
      <c r="EQ316" s="550"/>
      <c r="ES316" s="551"/>
    </row>
    <row r="317" spans="52:149">
      <c r="AZ317" s="547"/>
      <c r="BA317" s="546"/>
      <c r="BB317" s="551"/>
      <c r="BC317" s="553"/>
      <c r="BD317" s="553"/>
      <c r="BE317" s="550"/>
      <c r="BG317" s="551"/>
      <c r="BJ317" s="547"/>
      <c r="BK317" s="546"/>
      <c r="BL317" s="551"/>
      <c r="BM317" s="553"/>
      <c r="BN317" s="553"/>
      <c r="BO317" s="550"/>
      <c r="BQ317" s="551"/>
      <c r="BT317" s="547"/>
      <c r="BU317" s="546"/>
      <c r="BV317" s="551"/>
      <c r="BW317" s="553"/>
      <c r="BX317" s="553"/>
      <c r="BY317" s="550"/>
      <c r="CA317" s="551"/>
      <c r="CD317" s="547"/>
      <c r="CE317" s="546"/>
      <c r="CF317" s="551"/>
      <c r="CG317" s="553"/>
      <c r="CH317" s="553"/>
      <c r="CI317" s="550"/>
      <c r="CK317" s="551"/>
      <c r="CN317" s="547"/>
      <c r="CO317" s="546"/>
      <c r="CP317" s="551"/>
      <c r="CQ317" s="553"/>
      <c r="CR317" s="553"/>
      <c r="CS317" s="550"/>
      <c r="CU317" s="551"/>
      <c r="CX317" s="547"/>
      <c r="CY317" s="546"/>
      <c r="CZ317" s="551"/>
      <c r="DA317" s="553"/>
      <c r="DB317" s="553"/>
      <c r="DC317" s="550"/>
      <c r="DE317" s="551"/>
      <c r="DH317" s="547"/>
      <c r="DI317" s="546"/>
      <c r="DJ317" s="551"/>
      <c r="DK317" s="553"/>
      <c r="DL317" s="553"/>
      <c r="DM317" s="550"/>
      <c r="DO317" s="551"/>
      <c r="DR317" s="547"/>
      <c r="DS317" s="546"/>
      <c r="DT317" s="551"/>
      <c r="DU317" s="553"/>
      <c r="DV317" s="553"/>
      <c r="DW317" s="550"/>
      <c r="DY317" s="551"/>
      <c r="EB317" s="547"/>
      <c r="EC317" s="546"/>
      <c r="ED317" s="551"/>
      <c r="EE317" s="553"/>
      <c r="EF317" s="553"/>
      <c r="EG317" s="550"/>
      <c r="EI317" s="551"/>
      <c r="EL317" s="547"/>
      <c r="EM317" s="546"/>
      <c r="EN317" s="551"/>
      <c r="EO317" s="553"/>
      <c r="EP317" s="553"/>
      <c r="EQ317" s="550"/>
      <c r="ES317" s="551"/>
    </row>
    <row r="318" spans="52:149">
      <c r="AZ318" s="547"/>
      <c r="BA318" s="546"/>
      <c r="BB318" s="551"/>
      <c r="BC318" s="553"/>
      <c r="BD318" s="553"/>
      <c r="BE318" s="550"/>
      <c r="BG318" s="551"/>
      <c r="BJ318" s="547"/>
      <c r="BK318" s="546"/>
      <c r="BL318" s="551"/>
      <c r="BM318" s="553"/>
      <c r="BN318" s="553"/>
      <c r="BO318" s="550"/>
      <c r="BQ318" s="551"/>
      <c r="BT318" s="547"/>
      <c r="BU318" s="546"/>
      <c r="BV318" s="551"/>
      <c r="BW318" s="553"/>
      <c r="BX318" s="553"/>
      <c r="BY318" s="550"/>
      <c r="CA318" s="551"/>
      <c r="CD318" s="547"/>
      <c r="CE318" s="546"/>
      <c r="CF318" s="551"/>
      <c r="CG318" s="553"/>
      <c r="CH318" s="553"/>
      <c r="CI318" s="550"/>
      <c r="CK318" s="551"/>
      <c r="CN318" s="547"/>
      <c r="CO318" s="546"/>
      <c r="CP318" s="551"/>
      <c r="CQ318" s="553"/>
      <c r="CR318" s="553"/>
      <c r="CS318" s="550"/>
      <c r="CU318" s="551"/>
      <c r="CX318" s="547"/>
      <c r="CY318" s="546"/>
      <c r="CZ318" s="551"/>
      <c r="DA318" s="553"/>
      <c r="DB318" s="553"/>
      <c r="DC318" s="550"/>
      <c r="DE318" s="551"/>
      <c r="DH318" s="547"/>
      <c r="DI318" s="546"/>
      <c r="DJ318" s="551"/>
      <c r="DK318" s="553"/>
      <c r="DL318" s="553"/>
      <c r="DM318" s="550"/>
      <c r="DO318" s="551"/>
      <c r="DR318" s="547"/>
      <c r="DS318" s="546"/>
      <c r="DT318" s="551"/>
      <c r="DU318" s="553"/>
      <c r="DV318" s="553"/>
      <c r="DW318" s="550"/>
      <c r="DY318" s="551"/>
      <c r="EB318" s="547"/>
      <c r="EC318" s="546"/>
      <c r="ED318" s="551"/>
      <c r="EE318" s="553"/>
      <c r="EF318" s="553"/>
      <c r="EG318" s="550"/>
      <c r="EI318" s="551"/>
      <c r="EL318" s="547"/>
      <c r="EM318" s="546"/>
      <c r="EN318" s="551"/>
      <c r="EO318" s="553"/>
      <c r="EP318" s="553"/>
      <c r="EQ318" s="550"/>
      <c r="ES318" s="551"/>
    </row>
    <row r="319" spans="52:149">
      <c r="AZ319" s="547"/>
      <c r="BA319" s="546"/>
      <c r="BB319" s="551"/>
      <c r="BC319" s="553"/>
      <c r="BD319" s="553"/>
      <c r="BE319" s="550"/>
      <c r="BG319" s="551"/>
      <c r="BJ319" s="547"/>
      <c r="BK319" s="546"/>
      <c r="BL319" s="551"/>
      <c r="BM319" s="553"/>
      <c r="BN319" s="553"/>
      <c r="BO319" s="550"/>
      <c r="BQ319" s="551"/>
      <c r="BT319" s="547"/>
      <c r="BU319" s="546"/>
      <c r="BV319" s="551"/>
      <c r="BW319" s="553"/>
      <c r="BX319" s="553"/>
      <c r="BY319" s="550"/>
      <c r="CA319" s="551"/>
      <c r="CD319" s="547"/>
      <c r="CE319" s="546"/>
      <c r="CF319" s="551"/>
      <c r="CG319" s="553"/>
      <c r="CH319" s="553"/>
      <c r="CI319" s="550"/>
      <c r="CK319" s="551"/>
      <c r="CN319" s="547"/>
      <c r="CO319" s="546"/>
      <c r="CP319" s="551"/>
      <c r="CQ319" s="553"/>
      <c r="CR319" s="553"/>
      <c r="CS319" s="550"/>
      <c r="CU319" s="551"/>
      <c r="CX319" s="547"/>
      <c r="CY319" s="546"/>
      <c r="CZ319" s="551"/>
      <c r="DA319" s="553"/>
      <c r="DB319" s="553"/>
      <c r="DC319" s="550"/>
      <c r="DE319" s="551"/>
      <c r="DH319" s="547"/>
      <c r="DI319" s="546"/>
      <c r="DJ319" s="551"/>
      <c r="DK319" s="553"/>
      <c r="DL319" s="553"/>
      <c r="DM319" s="550"/>
      <c r="DO319" s="551"/>
      <c r="DR319" s="547"/>
      <c r="DS319" s="546"/>
      <c r="DT319" s="551"/>
      <c r="DU319" s="553"/>
      <c r="DV319" s="553"/>
      <c r="DW319" s="550"/>
      <c r="DY319" s="551"/>
      <c r="EB319" s="547"/>
      <c r="EC319" s="546"/>
      <c r="ED319" s="551"/>
      <c r="EE319" s="553"/>
      <c r="EF319" s="553"/>
      <c r="EG319" s="550"/>
      <c r="EI319" s="551"/>
      <c r="EL319" s="547"/>
      <c r="EM319" s="546"/>
      <c r="EN319" s="551"/>
      <c r="EO319" s="553"/>
      <c r="EP319" s="553"/>
      <c r="EQ319" s="550"/>
      <c r="ES319" s="551"/>
    </row>
    <row r="320" spans="52:149">
      <c r="AZ320" s="547"/>
      <c r="BA320" s="546"/>
      <c r="BB320" s="551"/>
      <c r="BC320" s="553"/>
      <c r="BD320" s="553"/>
      <c r="BE320" s="550"/>
      <c r="BG320" s="551"/>
      <c r="BJ320" s="547"/>
      <c r="BK320" s="546"/>
      <c r="BL320" s="551"/>
      <c r="BM320" s="553"/>
      <c r="BN320" s="553"/>
      <c r="BO320" s="550"/>
      <c r="BQ320" s="551"/>
      <c r="BT320" s="547"/>
      <c r="BU320" s="546"/>
      <c r="BV320" s="551"/>
      <c r="BW320" s="553"/>
      <c r="BX320" s="553"/>
      <c r="BY320" s="550"/>
      <c r="CA320" s="551"/>
      <c r="CD320" s="547"/>
      <c r="CE320" s="546"/>
      <c r="CF320" s="551"/>
      <c r="CG320" s="553"/>
      <c r="CH320" s="553"/>
      <c r="CI320" s="550"/>
      <c r="CK320" s="551"/>
      <c r="CN320" s="547"/>
      <c r="CO320" s="546"/>
      <c r="CP320" s="551"/>
      <c r="CQ320" s="553"/>
      <c r="CR320" s="553"/>
      <c r="CS320" s="550"/>
      <c r="CU320" s="551"/>
      <c r="CX320" s="547"/>
      <c r="CY320" s="546"/>
      <c r="CZ320" s="551"/>
      <c r="DA320" s="553"/>
      <c r="DB320" s="553"/>
      <c r="DC320" s="550"/>
      <c r="DE320" s="551"/>
      <c r="DH320" s="547"/>
      <c r="DI320" s="546"/>
      <c r="DJ320" s="551"/>
      <c r="DK320" s="553"/>
      <c r="DL320" s="553"/>
      <c r="DM320" s="550"/>
      <c r="DO320" s="551"/>
      <c r="DR320" s="547"/>
      <c r="DS320" s="546"/>
      <c r="DT320" s="551"/>
      <c r="DU320" s="553"/>
      <c r="DV320" s="553"/>
      <c r="DW320" s="550"/>
      <c r="DY320" s="551"/>
      <c r="EB320" s="547"/>
      <c r="EC320" s="546"/>
      <c r="ED320" s="551"/>
      <c r="EE320" s="553"/>
      <c r="EF320" s="553"/>
      <c r="EG320" s="550"/>
      <c r="EI320" s="551"/>
      <c r="EL320" s="547"/>
      <c r="EM320" s="546"/>
      <c r="EN320" s="551"/>
      <c r="EO320" s="553"/>
      <c r="EP320" s="553"/>
      <c r="EQ320" s="550"/>
      <c r="ES320" s="551"/>
    </row>
    <row r="321" spans="52:149">
      <c r="AZ321" s="547"/>
      <c r="BA321" s="546"/>
      <c r="BB321" s="551"/>
      <c r="BC321" s="553"/>
      <c r="BD321" s="553"/>
      <c r="BE321" s="550"/>
      <c r="BG321" s="551"/>
      <c r="BJ321" s="547"/>
      <c r="BK321" s="546"/>
      <c r="BL321" s="551"/>
      <c r="BM321" s="553"/>
      <c r="BN321" s="553"/>
      <c r="BO321" s="550"/>
      <c r="BQ321" s="551"/>
      <c r="BT321" s="547"/>
      <c r="BU321" s="546"/>
      <c r="BV321" s="551"/>
      <c r="BW321" s="553"/>
      <c r="BX321" s="553"/>
      <c r="BY321" s="550"/>
      <c r="CA321" s="551"/>
      <c r="CD321" s="547"/>
      <c r="CE321" s="546"/>
      <c r="CF321" s="551"/>
      <c r="CG321" s="553"/>
      <c r="CH321" s="553"/>
      <c r="CI321" s="550"/>
      <c r="CK321" s="551"/>
      <c r="CN321" s="547"/>
      <c r="CO321" s="546"/>
      <c r="CP321" s="551"/>
      <c r="CQ321" s="553"/>
      <c r="CR321" s="553"/>
      <c r="CS321" s="550"/>
      <c r="CU321" s="551"/>
      <c r="CX321" s="547"/>
      <c r="CY321" s="546"/>
      <c r="CZ321" s="551"/>
      <c r="DA321" s="553"/>
      <c r="DB321" s="553"/>
      <c r="DC321" s="550"/>
      <c r="DE321" s="551"/>
      <c r="DH321" s="547"/>
      <c r="DI321" s="546"/>
      <c r="DJ321" s="551"/>
      <c r="DK321" s="553"/>
      <c r="DL321" s="553"/>
      <c r="DM321" s="550"/>
      <c r="DO321" s="551"/>
      <c r="DR321" s="547"/>
      <c r="DS321" s="546"/>
      <c r="DT321" s="551"/>
      <c r="DU321" s="553"/>
      <c r="DV321" s="553"/>
      <c r="DW321" s="550"/>
      <c r="DY321" s="551"/>
      <c r="EB321" s="547"/>
      <c r="EC321" s="546"/>
      <c r="ED321" s="551"/>
      <c r="EE321" s="553"/>
      <c r="EF321" s="553"/>
      <c r="EG321" s="550"/>
      <c r="EI321" s="551"/>
      <c r="EL321" s="547"/>
      <c r="EM321" s="546"/>
      <c r="EN321" s="551"/>
      <c r="EO321" s="553"/>
      <c r="EP321" s="553"/>
      <c r="EQ321" s="550"/>
      <c r="ES321" s="551"/>
    </row>
    <row r="322" spans="52:149">
      <c r="AZ322" s="547"/>
      <c r="BA322" s="546"/>
      <c r="BB322" s="551"/>
      <c r="BC322" s="553"/>
      <c r="BD322" s="553"/>
      <c r="BE322" s="550"/>
      <c r="BG322" s="551"/>
      <c r="BJ322" s="547"/>
      <c r="BK322" s="546"/>
      <c r="BL322" s="551"/>
      <c r="BM322" s="553"/>
      <c r="BN322" s="553"/>
      <c r="BO322" s="550"/>
      <c r="BQ322" s="551"/>
      <c r="BT322" s="547"/>
      <c r="BU322" s="546"/>
      <c r="BV322" s="551"/>
      <c r="BW322" s="553"/>
      <c r="BX322" s="553"/>
      <c r="BY322" s="550"/>
      <c r="CA322" s="551"/>
      <c r="CD322" s="547"/>
      <c r="CE322" s="546"/>
      <c r="CF322" s="551"/>
      <c r="CG322" s="553"/>
      <c r="CH322" s="553"/>
      <c r="CI322" s="550"/>
      <c r="CK322" s="551"/>
      <c r="CN322" s="547"/>
      <c r="CO322" s="546"/>
      <c r="CP322" s="551"/>
      <c r="CQ322" s="553"/>
      <c r="CR322" s="553"/>
      <c r="CS322" s="550"/>
      <c r="CU322" s="551"/>
      <c r="CX322" s="547"/>
      <c r="CY322" s="546"/>
      <c r="CZ322" s="551"/>
      <c r="DA322" s="553"/>
      <c r="DB322" s="553"/>
      <c r="DC322" s="550"/>
      <c r="DE322" s="551"/>
      <c r="DH322" s="547"/>
      <c r="DI322" s="546"/>
      <c r="DJ322" s="551"/>
      <c r="DK322" s="553"/>
      <c r="DL322" s="553"/>
      <c r="DM322" s="550"/>
      <c r="DO322" s="551"/>
      <c r="DR322" s="547"/>
      <c r="DS322" s="546"/>
      <c r="DT322" s="551"/>
      <c r="DU322" s="553"/>
      <c r="DV322" s="553"/>
      <c r="DW322" s="550"/>
      <c r="DY322" s="551"/>
      <c r="EB322" s="547"/>
      <c r="EC322" s="546"/>
      <c r="ED322" s="551"/>
      <c r="EE322" s="553"/>
      <c r="EF322" s="553"/>
      <c r="EG322" s="550"/>
      <c r="EI322" s="551"/>
      <c r="EL322" s="547"/>
      <c r="EM322" s="546"/>
      <c r="EN322" s="551"/>
      <c r="EO322" s="553"/>
      <c r="EP322" s="553"/>
      <c r="EQ322" s="550"/>
      <c r="ES322" s="551"/>
    </row>
    <row r="323" spans="52:149">
      <c r="AZ323" s="547"/>
      <c r="BA323" s="546"/>
      <c r="BB323" s="551"/>
      <c r="BC323" s="553"/>
      <c r="BD323" s="553"/>
      <c r="BE323" s="550"/>
      <c r="BG323" s="551"/>
      <c r="BJ323" s="547"/>
      <c r="BK323" s="546"/>
      <c r="BL323" s="551"/>
      <c r="BM323" s="553"/>
      <c r="BN323" s="553"/>
      <c r="BO323" s="550"/>
      <c r="BQ323" s="551"/>
      <c r="BT323" s="547"/>
      <c r="BU323" s="546"/>
      <c r="BV323" s="551"/>
      <c r="BW323" s="553"/>
      <c r="BX323" s="553"/>
      <c r="BY323" s="550"/>
      <c r="CA323" s="551"/>
      <c r="CD323" s="547"/>
      <c r="CE323" s="546"/>
      <c r="CF323" s="551"/>
      <c r="CG323" s="553"/>
      <c r="CH323" s="553"/>
      <c r="CI323" s="550"/>
      <c r="CK323" s="551"/>
      <c r="CN323" s="547"/>
      <c r="CO323" s="546"/>
      <c r="CP323" s="551"/>
      <c r="CQ323" s="553"/>
      <c r="CR323" s="553"/>
      <c r="CS323" s="550"/>
      <c r="CU323" s="551"/>
      <c r="CX323" s="547"/>
      <c r="CY323" s="546"/>
      <c r="CZ323" s="551"/>
      <c r="DA323" s="553"/>
      <c r="DB323" s="553"/>
      <c r="DC323" s="550"/>
      <c r="DE323" s="551"/>
      <c r="DH323" s="547"/>
      <c r="DI323" s="546"/>
      <c r="DJ323" s="551"/>
      <c r="DK323" s="553"/>
      <c r="DL323" s="553"/>
      <c r="DM323" s="550"/>
      <c r="DO323" s="551"/>
      <c r="DR323" s="547"/>
      <c r="DS323" s="546"/>
      <c r="DT323" s="551"/>
      <c r="DU323" s="553"/>
      <c r="DV323" s="553"/>
      <c r="DW323" s="550"/>
      <c r="DY323" s="551"/>
      <c r="EB323" s="547"/>
      <c r="EC323" s="546"/>
      <c r="ED323" s="551"/>
      <c r="EE323" s="553"/>
      <c r="EF323" s="553"/>
      <c r="EG323" s="550"/>
      <c r="EI323" s="551"/>
      <c r="EL323" s="547"/>
      <c r="EM323" s="546"/>
      <c r="EN323" s="551"/>
      <c r="EO323" s="553"/>
      <c r="EP323" s="553"/>
      <c r="EQ323" s="550"/>
      <c r="ES323" s="551"/>
    </row>
    <row r="324" spans="52:149">
      <c r="AZ324" s="547"/>
      <c r="BA324" s="546"/>
      <c r="BB324" s="551"/>
      <c r="BC324" s="553"/>
      <c r="BD324" s="553"/>
      <c r="BE324" s="550"/>
      <c r="BG324" s="551"/>
      <c r="BJ324" s="547"/>
      <c r="BK324" s="546"/>
      <c r="BL324" s="551"/>
      <c r="BM324" s="553"/>
      <c r="BN324" s="553"/>
      <c r="BO324" s="550"/>
      <c r="BQ324" s="551"/>
      <c r="BT324" s="547"/>
      <c r="BU324" s="546"/>
      <c r="BV324" s="551"/>
      <c r="BW324" s="553"/>
      <c r="BX324" s="553"/>
      <c r="BY324" s="550"/>
      <c r="CA324" s="551"/>
      <c r="CD324" s="547"/>
      <c r="CE324" s="546"/>
      <c r="CF324" s="551"/>
      <c r="CG324" s="553"/>
      <c r="CH324" s="553"/>
      <c r="CI324" s="550"/>
      <c r="CK324" s="551"/>
      <c r="CN324" s="547"/>
      <c r="CO324" s="546"/>
      <c r="CP324" s="551"/>
      <c r="CQ324" s="553"/>
      <c r="CR324" s="553"/>
      <c r="CS324" s="550"/>
      <c r="CU324" s="551"/>
      <c r="CX324" s="547"/>
      <c r="CY324" s="546"/>
      <c r="CZ324" s="551"/>
      <c r="DA324" s="553"/>
      <c r="DB324" s="553"/>
      <c r="DC324" s="550"/>
      <c r="DE324" s="551"/>
      <c r="DH324" s="547"/>
      <c r="DI324" s="546"/>
      <c r="DJ324" s="551"/>
      <c r="DK324" s="553"/>
      <c r="DL324" s="553"/>
      <c r="DM324" s="550"/>
      <c r="DO324" s="551"/>
      <c r="DR324" s="547"/>
      <c r="DS324" s="546"/>
      <c r="DT324" s="551"/>
      <c r="DU324" s="553"/>
      <c r="DV324" s="553"/>
      <c r="DW324" s="550"/>
      <c r="DY324" s="551"/>
      <c r="EB324" s="547"/>
      <c r="EC324" s="546"/>
      <c r="ED324" s="551"/>
      <c r="EE324" s="553"/>
      <c r="EF324" s="553"/>
      <c r="EG324" s="550"/>
      <c r="EI324" s="551"/>
      <c r="EL324" s="547"/>
      <c r="EM324" s="546"/>
      <c r="EN324" s="551"/>
      <c r="EO324" s="553"/>
      <c r="EP324" s="553"/>
      <c r="EQ324" s="550"/>
      <c r="ES324" s="551"/>
    </row>
    <row r="325" spans="52:149">
      <c r="AZ325" s="547"/>
      <c r="BA325" s="546"/>
      <c r="BB325" s="551"/>
      <c r="BC325" s="553"/>
      <c r="BD325" s="553"/>
      <c r="BE325" s="550"/>
      <c r="BG325" s="551"/>
      <c r="BJ325" s="547"/>
      <c r="BK325" s="546"/>
      <c r="BL325" s="551"/>
      <c r="BM325" s="553"/>
      <c r="BN325" s="553"/>
      <c r="BO325" s="550"/>
      <c r="BQ325" s="551"/>
      <c r="BT325" s="547"/>
      <c r="BU325" s="546"/>
      <c r="BV325" s="551"/>
      <c r="BW325" s="553"/>
      <c r="BX325" s="553"/>
      <c r="BY325" s="550"/>
      <c r="CA325" s="551"/>
      <c r="CD325" s="547"/>
      <c r="CE325" s="546"/>
      <c r="CF325" s="551"/>
      <c r="CG325" s="553"/>
      <c r="CH325" s="553"/>
      <c r="CI325" s="550"/>
      <c r="CK325" s="551"/>
      <c r="CN325" s="547"/>
      <c r="CO325" s="546"/>
      <c r="CP325" s="551"/>
      <c r="CQ325" s="553"/>
      <c r="CR325" s="553"/>
      <c r="CS325" s="550"/>
      <c r="CU325" s="551"/>
      <c r="CX325" s="547"/>
      <c r="CY325" s="546"/>
      <c r="CZ325" s="551"/>
      <c r="DA325" s="553"/>
      <c r="DB325" s="553"/>
      <c r="DC325" s="550"/>
      <c r="DE325" s="551"/>
      <c r="DH325" s="547"/>
      <c r="DI325" s="546"/>
      <c r="DJ325" s="551"/>
      <c r="DK325" s="553"/>
      <c r="DL325" s="553"/>
      <c r="DM325" s="550"/>
      <c r="DO325" s="551"/>
      <c r="DR325" s="547"/>
      <c r="DS325" s="546"/>
      <c r="DT325" s="551"/>
      <c r="DU325" s="553"/>
      <c r="DV325" s="553"/>
      <c r="DW325" s="550"/>
      <c r="DY325" s="551"/>
      <c r="EB325" s="547"/>
      <c r="EC325" s="546"/>
      <c r="ED325" s="551"/>
      <c r="EE325" s="553"/>
      <c r="EF325" s="553"/>
      <c r="EG325" s="550"/>
      <c r="EI325" s="551"/>
      <c r="EL325" s="547"/>
      <c r="EM325" s="546"/>
      <c r="EN325" s="551"/>
      <c r="EO325" s="553"/>
      <c r="EP325" s="553"/>
      <c r="EQ325" s="550"/>
      <c r="ES325" s="551"/>
    </row>
    <row r="326" spans="52:149">
      <c r="AZ326" s="547"/>
      <c r="BA326" s="546"/>
      <c r="BB326" s="551"/>
      <c r="BC326" s="553"/>
      <c r="BD326" s="553"/>
      <c r="BE326" s="550"/>
      <c r="BG326" s="551"/>
      <c r="BJ326" s="547"/>
      <c r="BK326" s="546"/>
      <c r="BL326" s="551"/>
      <c r="BM326" s="553"/>
      <c r="BN326" s="553"/>
      <c r="BO326" s="550"/>
      <c r="BQ326" s="551"/>
      <c r="BT326" s="547"/>
      <c r="BU326" s="546"/>
      <c r="BV326" s="551"/>
      <c r="BW326" s="553"/>
      <c r="BX326" s="553"/>
      <c r="BY326" s="550"/>
      <c r="CA326" s="551"/>
      <c r="CD326" s="547"/>
      <c r="CE326" s="546"/>
      <c r="CF326" s="551"/>
      <c r="CG326" s="553"/>
      <c r="CH326" s="553"/>
      <c r="CI326" s="550"/>
      <c r="CK326" s="551"/>
      <c r="CN326" s="547"/>
      <c r="CO326" s="546"/>
      <c r="CP326" s="551"/>
      <c r="CQ326" s="553"/>
      <c r="CR326" s="553"/>
      <c r="CS326" s="550"/>
      <c r="CU326" s="551"/>
      <c r="CX326" s="547"/>
      <c r="CY326" s="546"/>
      <c r="CZ326" s="551"/>
      <c r="DA326" s="553"/>
      <c r="DB326" s="553"/>
      <c r="DC326" s="550"/>
      <c r="DE326" s="551"/>
      <c r="DH326" s="547"/>
      <c r="DI326" s="546"/>
      <c r="DJ326" s="551"/>
      <c r="DK326" s="553"/>
      <c r="DL326" s="553"/>
      <c r="DM326" s="550"/>
      <c r="DO326" s="551"/>
      <c r="DR326" s="547"/>
      <c r="DS326" s="546"/>
      <c r="DT326" s="551"/>
      <c r="DU326" s="553"/>
      <c r="DV326" s="553"/>
      <c r="DW326" s="550"/>
      <c r="DY326" s="551"/>
      <c r="EB326" s="547"/>
      <c r="EC326" s="546"/>
      <c r="ED326" s="551"/>
      <c r="EE326" s="553"/>
      <c r="EF326" s="553"/>
      <c r="EG326" s="550"/>
      <c r="EI326" s="551"/>
      <c r="EL326" s="547"/>
      <c r="EM326" s="546"/>
      <c r="EN326" s="551"/>
      <c r="EO326" s="553"/>
      <c r="EP326" s="553"/>
      <c r="EQ326" s="550"/>
      <c r="ES326" s="551"/>
    </row>
    <row r="327" spans="52:149">
      <c r="AZ327" s="547"/>
      <c r="BA327" s="546"/>
      <c r="BB327" s="551"/>
      <c r="BC327" s="553"/>
      <c r="BD327" s="553"/>
      <c r="BE327" s="550"/>
      <c r="BG327" s="551"/>
      <c r="BJ327" s="547"/>
      <c r="BK327" s="546"/>
      <c r="BL327" s="551"/>
      <c r="BM327" s="553"/>
      <c r="BN327" s="553"/>
      <c r="BO327" s="550"/>
      <c r="BQ327" s="551"/>
      <c r="BT327" s="547"/>
      <c r="BU327" s="546"/>
      <c r="BV327" s="551"/>
      <c r="BW327" s="553"/>
      <c r="BX327" s="553"/>
      <c r="BY327" s="550"/>
      <c r="CA327" s="551"/>
      <c r="CD327" s="547"/>
      <c r="CE327" s="546"/>
      <c r="CF327" s="551"/>
      <c r="CG327" s="553"/>
      <c r="CH327" s="553"/>
      <c r="CI327" s="550"/>
      <c r="CK327" s="551"/>
      <c r="CN327" s="547"/>
      <c r="CO327" s="546"/>
      <c r="CP327" s="551"/>
      <c r="CQ327" s="553"/>
      <c r="CR327" s="553"/>
      <c r="CS327" s="550"/>
      <c r="CU327" s="551"/>
      <c r="CX327" s="547"/>
      <c r="CY327" s="546"/>
      <c r="CZ327" s="551"/>
      <c r="DA327" s="553"/>
      <c r="DB327" s="553"/>
      <c r="DC327" s="550"/>
      <c r="DE327" s="551"/>
      <c r="DH327" s="547"/>
      <c r="DI327" s="546"/>
      <c r="DJ327" s="551"/>
      <c r="DK327" s="553"/>
      <c r="DL327" s="553"/>
      <c r="DM327" s="550"/>
      <c r="DO327" s="551"/>
      <c r="DR327" s="547"/>
      <c r="DS327" s="546"/>
      <c r="DT327" s="551"/>
      <c r="DU327" s="553"/>
      <c r="DV327" s="553"/>
      <c r="DW327" s="550"/>
      <c r="DY327" s="551"/>
      <c r="EB327" s="547"/>
      <c r="EC327" s="546"/>
      <c r="ED327" s="551"/>
      <c r="EE327" s="553"/>
      <c r="EF327" s="553"/>
      <c r="EG327" s="550"/>
      <c r="EI327" s="551"/>
      <c r="EL327" s="547"/>
      <c r="EM327" s="546"/>
      <c r="EN327" s="551"/>
      <c r="EO327" s="553"/>
      <c r="EP327" s="553"/>
      <c r="EQ327" s="550"/>
      <c r="ES327" s="551"/>
    </row>
    <row r="328" spans="52:149">
      <c r="AZ328" s="547"/>
      <c r="BA328" s="546"/>
      <c r="BB328" s="551"/>
      <c r="BC328" s="553"/>
      <c r="BD328" s="553"/>
      <c r="BE328" s="550"/>
      <c r="BG328" s="551"/>
      <c r="BJ328" s="547"/>
      <c r="BK328" s="546"/>
      <c r="BL328" s="551"/>
      <c r="BM328" s="553"/>
      <c r="BN328" s="553"/>
      <c r="BO328" s="550"/>
      <c r="BQ328" s="551"/>
      <c r="BT328" s="547"/>
      <c r="BU328" s="546"/>
      <c r="BV328" s="551"/>
      <c r="BW328" s="553"/>
      <c r="BX328" s="553"/>
      <c r="BY328" s="550"/>
      <c r="CA328" s="551"/>
      <c r="CD328" s="547"/>
      <c r="CE328" s="546"/>
      <c r="CF328" s="551"/>
      <c r="CG328" s="553"/>
      <c r="CH328" s="553"/>
      <c r="CI328" s="550"/>
      <c r="CK328" s="551"/>
      <c r="CN328" s="547"/>
      <c r="CO328" s="546"/>
      <c r="CP328" s="551"/>
      <c r="CQ328" s="553"/>
      <c r="CR328" s="553"/>
      <c r="CS328" s="550"/>
      <c r="CU328" s="551"/>
      <c r="CX328" s="547"/>
      <c r="CY328" s="546"/>
      <c r="CZ328" s="551"/>
      <c r="DA328" s="553"/>
      <c r="DB328" s="553"/>
      <c r="DC328" s="550"/>
      <c r="DE328" s="551"/>
      <c r="DH328" s="547"/>
      <c r="DI328" s="546"/>
      <c r="DJ328" s="551"/>
      <c r="DK328" s="553"/>
      <c r="DL328" s="553"/>
      <c r="DM328" s="550"/>
      <c r="DO328" s="551"/>
      <c r="DR328" s="547"/>
      <c r="DS328" s="546"/>
      <c r="DT328" s="551"/>
      <c r="DU328" s="553"/>
      <c r="DV328" s="553"/>
      <c r="DW328" s="550"/>
      <c r="DY328" s="551"/>
      <c r="EB328" s="547"/>
      <c r="EC328" s="546"/>
      <c r="ED328" s="551"/>
      <c r="EE328" s="553"/>
      <c r="EF328" s="553"/>
      <c r="EG328" s="550"/>
      <c r="EI328" s="551"/>
      <c r="EL328" s="547"/>
      <c r="EM328" s="546"/>
      <c r="EN328" s="551"/>
      <c r="EO328" s="553"/>
      <c r="EP328" s="553"/>
      <c r="EQ328" s="550"/>
      <c r="ES328" s="551"/>
    </row>
    <row r="329" spans="52:149">
      <c r="AZ329" s="547"/>
      <c r="BA329" s="546"/>
      <c r="BB329" s="551"/>
      <c r="BC329" s="553"/>
      <c r="BD329" s="553"/>
      <c r="BE329" s="550"/>
      <c r="BG329" s="551"/>
      <c r="BJ329" s="547"/>
      <c r="BK329" s="546"/>
      <c r="BL329" s="551"/>
      <c r="BM329" s="553"/>
      <c r="BN329" s="553"/>
      <c r="BO329" s="550"/>
      <c r="BQ329" s="551"/>
      <c r="BT329" s="547"/>
      <c r="BU329" s="546"/>
      <c r="BV329" s="551"/>
      <c r="BW329" s="553"/>
      <c r="BX329" s="553"/>
      <c r="BY329" s="550"/>
      <c r="CA329" s="551"/>
      <c r="CD329" s="547"/>
      <c r="CE329" s="546"/>
      <c r="CF329" s="551"/>
      <c r="CG329" s="553"/>
      <c r="CH329" s="553"/>
      <c r="CI329" s="550"/>
      <c r="CK329" s="551"/>
      <c r="CN329" s="547"/>
      <c r="CO329" s="546"/>
      <c r="CP329" s="551"/>
      <c r="CQ329" s="553"/>
      <c r="CR329" s="553"/>
      <c r="CS329" s="550"/>
      <c r="CU329" s="551"/>
      <c r="CX329" s="547"/>
      <c r="CY329" s="546"/>
      <c r="CZ329" s="551"/>
      <c r="DA329" s="553"/>
      <c r="DB329" s="553"/>
      <c r="DC329" s="550"/>
      <c r="DE329" s="551"/>
      <c r="DH329" s="547"/>
      <c r="DI329" s="546"/>
      <c r="DJ329" s="551"/>
      <c r="DK329" s="553"/>
      <c r="DL329" s="553"/>
      <c r="DM329" s="550"/>
      <c r="DO329" s="551"/>
      <c r="DR329" s="547"/>
      <c r="DS329" s="546"/>
      <c r="DT329" s="551"/>
      <c r="DU329" s="553"/>
      <c r="DV329" s="553"/>
      <c r="DW329" s="550"/>
      <c r="DY329" s="551"/>
      <c r="EB329" s="547"/>
      <c r="EC329" s="546"/>
      <c r="ED329" s="551"/>
      <c r="EE329" s="553"/>
      <c r="EF329" s="553"/>
      <c r="EG329" s="550"/>
      <c r="EI329" s="551"/>
      <c r="EL329" s="547"/>
      <c r="EM329" s="546"/>
      <c r="EN329" s="551"/>
      <c r="EO329" s="553"/>
      <c r="EP329" s="553"/>
      <c r="EQ329" s="550"/>
      <c r="ES329" s="551"/>
    </row>
    <row r="330" spans="52:149">
      <c r="AZ330" s="547"/>
      <c r="BA330" s="546"/>
      <c r="BB330" s="551"/>
      <c r="BC330" s="553"/>
      <c r="BD330" s="553"/>
      <c r="BE330" s="550"/>
      <c r="BG330" s="551"/>
      <c r="BJ330" s="547"/>
      <c r="BK330" s="546"/>
      <c r="BL330" s="551"/>
      <c r="BM330" s="553"/>
      <c r="BN330" s="553"/>
      <c r="BO330" s="550"/>
      <c r="BQ330" s="551"/>
      <c r="BT330" s="547"/>
      <c r="BU330" s="546"/>
      <c r="BV330" s="551"/>
      <c r="BW330" s="553"/>
      <c r="BX330" s="553"/>
      <c r="BY330" s="550"/>
      <c r="CA330" s="551"/>
      <c r="CD330" s="547"/>
      <c r="CE330" s="546"/>
      <c r="CF330" s="551"/>
      <c r="CG330" s="553"/>
      <c r="CH330" s="553"/>
      <c r="CI330" s="550"/>
      <c r="CK330" s="551"/>
      <c r="CN330" s="547"/>
      <c r="CO330" s="546"/>
      <c r="CP330" s="551"/>
      <c r="CQ330" s="553"/>
      <c r="CR330" s="553"/>
      <c r="CS330" s="550"/>
      <c r="CU330" s="551"/>
      <c r="CX330" s="547"/>
      <c r="CY330" s="546"/>
      <c r="CZ330" s="551"/>
      <c r="DA330" s="553"/>
      <c r="DB330" s="553"/>
      <c r="DC330" s="550"/>
      <c r="DE330" s="551"/>
      <c r="DH330" s="547"/>
      <c r="DI330" s="546"/>
      <c r="DJ330" s="551"/>
      <c r="DK330" s="553"/>
      <c r="DL330" s="553"/>
      <c r="DM330" s="550"/>
      <c r="DO330" s="551"/>
      <c r="DR330" s="547"/>
      <c r="DS330" s="546"/>
      <c r="DT330" s="551"/>
      <c r="DU330" s="553"/>
      <c r="DV330" s="553"/>
      <c r="DW330" s="550"/>
      <c r="DY330" s="551"/>
      <c r="EB330" s="547"/>
      <c r="EC330" s="546"/>
      <c r="ED330" s="551"/>
      <c r="EE330" s="553"/>
      <c r="EF330" s="553"/>
      <c r="EG330" s="550"/>
      <c r="EI330" s="551"/>
      <c r="EL330" s="547"/>
      <c r="EM330" s="546"/>
      <c r="EN330" s="551"/>
      <c r="EO330" s="553"/>
      <c r="EP330" s="553"/>
      <c r="EQ330" s="550"/>
      <c r="ES330" s="551"/>
    </row>
    <row r="331" spans="52:149">
      <c r="AZ331" s="547"/>
      <c r="BA331" s="546"/>
      <c r="BB331" s="551"/>
      <c r="BC331" s="553"/>
      <c r="BD331" s="553"/>
      <c r="BE331" s="550"/>
      <c r="BG331" s="551"/>
      <c r="BJ331" s="547"/>
      <c r="BK331" s="546"/>
      <c r="BL331" s="551"/>
      <c r="BM331" s="553"/>
      <c r="BN331" s="553"/>
      <c r="BO331" s="550"/>
      <c r="BQ331" s="551"/>
      <c r="BT331" s="547"/>
      <c r="BU331" s="546"/>
      <c r="BV331" s="551"/>
      <c r="BW331" s="553"/>
      <c r="BX331" s="553"/>
      <c r="BY331" s="550"/>
      <c r="CA331" s="551"/>
      <c r="CD331" s="547"/>
      <c r="CE331" s="546"/>
      <c r="CF331" s="551"/>
      <c r="CG331" s="553"/>
      <c r="CH331" s="553"/>
      <c r="CI331" s="550"/>
      <c r="CK331" s="551"/>
      <c r="CN331" s="547"/>
      <c r="CO331" s="546"/>
      <c r="CP331" s="551"/>
      <c r="CQ331" s="553"/>
      <c r="CR331" s="553"/>
      <c r="CS331" s="550"/>
      <c r="CU331" s="551"/>
      <c r="CX331" s="547"/>
      <c r="CY331" s="546"/>
      <c r="CZ331" s="551"/>
      <c r="DA331" s="553"/>
      <c r="DB331" s="553"/>
      <c r="DC331" s="550"/>
      <c r="DE331" s="551"/>
      <c r="DH331" s="547"/>
      <c r="DI331" s="546"/>
      <c r="DJ331" s="551"/>
      <c r="DK331" s="553"/>
      <c r="DL331" s="553"/>
      <c r="DM331" s="550"/>
      <c r="DO331" s="551"/>
      <c r="DR331" s="547"/>
      <c r="DS331" s="546"/>
      <c r="DT331" s="551"/>
      <c r="DU331" s="553"/>
      <c r="DV331" s="553"/>
      <c r="DW331" s="550"/>
      <c r="DY331" s="551"/>
      <c r="EB331" s="547"/>
      <c r="EC331" s="546"/>
      <c r="ED331" s="551"/>
      <c r="EE331" s="553"/>
      <c r="EF331" s="553"/>
      <c r="EG331" s="550"/>
      <c r="EI331" s="551"/>
      <c r="EL331" s="547"/>
      <c r="EM331" s="546"/>
      <c r="EN331" s="551"/>
      <c r="EO331" s="553"/>
      <c r="EP331" s="553"/>
      <c r="EQ331" s="550"/>
      <c r="ES331" s="551"/>
    </row>
    <row r="332" spans="52:149">
      <c r="AZ332" s="547"/>
      <c r="BA332" s="546"/>
      <c r="BB332" s="551"/>
      <c r="BC332" s="553"/>
      <c r="BD332" s="553"/>
      <c r="BE332" s="550"/>
      <c r="BG332" s="551"/>
      <c r="BJ332" s="547"/>
      <c r="BK332" s="546"/>
      <c r="BL332" s="551"/>
      <c r="BM332" s="553"/>
      <c r="BN332" s="553"/>
      <c r="BO332" s="550"/>
      <c r="BQ332" s="551"/>
      <c r="BT332" s="547"/>
      <c r="BU332" s="546"/>
      <c r="BV332" s="551"/>
      <c r="BW332" s="553"/>
      <c r="BX332" s="553"/>
      <c r="BY332" s="550"/>
      <c r="CA332" s="551"/>
      <c r="CD332" s="547"/>
      <c r="CE332" s="546"/>
      <c r="CF332" s="551"/>
      <c r="CG332" s="553"/>
      <c r="CH332" s="553"/>
      <c r="CI332" s="550"/>
      <c r="CK332" s="551"/>
      <c r="CN332" s="547"/>
      <c r="CO332" s="546"/>
      <c r="CP332" s="551"/>
      <c r="CQ332" s="553"/>
      <c r="CR332" s="553"/>
      <c r="CS332" s="550"/>
      <c r="CU332" s="551"/>
      <c r="CX332" s="547"/>
      <c r="CY332" s="546"/>
      <c r="CZ332" s="551"/>
      <c r="DA332" s="553"/>
      <c r="DB332" s="553"/>
      <c r="DC332" s="550"/>
      <c r="DE332" s="551"/>
      <c r="DH332" s="547"/>
      <c r="DI332" s="546"/>
      <c r="DJ332" s="551"/>
      <c r="DK332" s="553"/>
      <c r="DL332" s="553"/>
      <c r="DM332" s="550"/>
      <c r="DO332" s="551"/>
      <c r="DR332" s="547"/>
      <c r="DS332" s="546"/>
      <c r="DT332" s="551"/>
      <c r="DU332" s="553"/>
      <c r="DV332" s="553"/>
      <c r="DW332" s="550"/>
      <c r="DY332" s="551"/>
      <c r="EB332" s="547"/>
      <c r="EC332" s="546"/>
      <c r="ED332" s="551"/>
      <c r="EE332" s="553"/>
      <c r="EF332" s="553"/>
      <c r="EG332" s="550"/>
      <c r="EI332" s="551"/>
      <c r="EL332" s="547"/>
      <c r="EM332" s="546"/>
      <c r="EN332" s="551"/>
      <c r="EO332" s="553"/>
      <c r="EP332" s="553"/>
      <c r="EQ332" s="550"/>
      <c r="ES332" s="551"/>
    </row>
    <row r="333" spans="52:149">
      <c r="AZ333" s="547"/>
      <c r="BA333" s="546"/>
      <c r="BB333" s="551"/>
      <c r="BC333" s="553"/>
      <c r="BD333" s="553"/>
      <c r="BE333" s="550"/>
      <c r="BG333" s="551"/>
      <c r="BJ333" s="547"/>
      <c r="BK333" s="546"/>
      <c r="BL333" s="551"/>
      <c r="BM333" s="553"/>
      <c r="BN333" s="553"/>
      <c r="BO333" s="550"/>
      <c r="BQ333" s="551"/>
      <c r="BT333" s="547"/>
      <c r="BU333" s="546"/>
      <c r="BV333" s="551"/>
      <c r="BW333" s="553"/>
      <c r="BX333" s="553"/>
      <c r="BY333" s="550"/>
      <c r="CA333" s="551"/>
      <c r="CD333" s="547"/>
      <c r="CE333" s="546"/>
      <c r="CF333" s="551"/>
      <c r="CG333" s="553"/>
      <c r="CH333" s="553"/>
      <c r="CI333" s="550"/>
      <c r="CK333" s="551"/>
      <c r="CN333" s="547"/>
      <c r="CO333" s="546"/>
      <c r="CP333" s="551"/>
      <c r="CQ333" s="553"/>
      <c r="CR333" s="553"/>
      <c r="CS333" s="550"/>
      <c r="CU333" s="551"/>
      <c r="CX333" s="547"/>
      <c r="CY333" s="546"/>
      <c r="CZ333" s="551"/>
      <c r="DA333" s="553"/>
      <c r="DB333" s="553"/>
      <c r="DC333" s="550"/>
      <c r="DE333" s="551"/>
      <c r="DH333" s="547"/>
      <c r="DI333" s="546"/>
      <c r="DJ333" s="551"/>
      <c r="DK333" s="553"/>
      <c r="DL333" s="553"/>
      <c r="DM333" s="550"/>
      <c r="DO333" s="551"/>
      <c r="DR333" s="547"/>
      <c r="DS333" s="546"/>
      <c r="DT333" s="551"/>
      <c r="DU333" s="553"/>
      <c r="DV333" s="553"/>
      <c r="DW333" s="550"/>
      <c r="DY333" s="551"/>
      <c r="EB333" s="547"/>
      <c r="EC333" s="546"/>
      <c r="ED333" s="551"/>
      <c r="EE333" s="553"/>
      <c r="EF333" s="553"/>
      <c r="EG333" s="550"/>
      <c r="EI333" s="551"/>
      <c r="EL333" s="547"/>
      <c r="EM333" s="546"/>
      <c r="EN333" s="551"/>
      <c r="EO333" s="553"/>
      <c r="EP333" s="553"/>
      <c r="EQ333" s="550"/>
      <c r="ES333" s="551"/>
    </row>
    <row r="334" spans="52:149">
      <c r="AZ334" s="547"/>
      <c r="BA334" s="546"/>
      <c r="BB334" s="551"/>
      <c r="BC334" s="553"/>
      <c r="BD334" s="553"/>
      <c r="BE334" s="550"/>
      <c r="BG334" s="551"/>
      <c r="BJ334" s="547"/>
      <c r="BK334" s="546"/>
      <c r="BL334" s="551"/>
      <c r="BM334" s="553"/>
      <c r="BN334" s="553"/>
      <c r="BO334" s="550"/>
      <c r="BQ334" s="551"/>
      <c r="BT334" s="547"/>
      <c r="BU334" s="546"/>
      <c r="BV334" s="551"/>
      <c r="BW334" s="553"/>
      <c r="BX334" s="553"/>
      <c r="BY334" s="550"/>
      <c r="CA334" s="551"/>
      <c r="CD334" s="547"/>
      <c r="CE334" s="546"/>
      <c r="CF334" s="551"/>
      <c r="CG334" s="553"/>
      <c r="CH334" s="553"/>
      <c r="CI334" s="550"/>
      <c r="CK334" s="551"/>
      <c r="CN334" s="547"/>
      <c r="CO334" s="546"/>
      <c r="CP334" s="551"/>
      <c r="CQ334" s="553"/>
      <c r="CR334" s="553"/>
      <c r="CS334" s="550"/>
      <c r="CU334" s="551"/>
      <c r="CX334" s="547"/>
      <c r="CY334" s="546"/>
      <c r="CZ334" s="551"/>
      <c r="DA334" s="553"/>
      <c r="DB334" s="553"/>
      <c r="DC334" s="550"/>
      <c r="DE334" s="551"/>
      <c r="DH334" s="547"/>
      <c r="DI334" s="546"/>
      <c r="DJ334" s="551"/>
      <c r="DK334" s="553"/>
      <c r="DL334" s="553"/>
      <c r="DM334" s="550"/>
      <c r="DO334" s="551"/>
      <c r="DR334" s="547"/>
      <c r="DS334" s="546"/>
      <c r="DT334" s="551"/>
      <c r="DU334" s="553"/>
      <c r="DV334" s="553"/>
      <c r="DW334" s="550"/>
      <c r="DY334" s="551"/>
      <c r="EB334" s="547"/>
      <c r="EC334" s="546"/>
      <c r="ED334" s="551"/>
      <c r="EE334" s="553"/>
      <c r="EF334" s="553"/>
      <c r="EG334" s="550"/>
      <c r="EI334" s="551"/>
      <c r="EL334" s="547"/>
      <c r="EM334" s="546"/>
      <c r="EN334" s="551"/>
      <c r="EO334" s="553"/>
      <c r="EP334" s="553"/>
      <c r="EQ334" s="550"/>
      <c r="ES334" s="551"/>
    </row>
    <row r="335" spans="52:149">
      <c r="AZ335" s="547"/>
      <c r="BA335" s="546"/>
      <c r="BB335" s="551"/>
      <c r="BC335" s="553"/>
      <c r="BD335" s="553"/>
      <c r="BE335" s="550"/>
      <c r="BG335" s="551"/>
      <c r="BJ335" s="547"/>
      <c r="BK335" s="546"/>
      <c r="BL335" s="551"/>
      <c r="BM335" s="553"/>
      <c r="BN335" s="553"/>
      <c r="BO335" s="550"/>
      <c r="BQ335" s="551"/>
      <c r="BT335" s="547"/>
      <c r="BU335" s="546"/>
      <c r="BV335" s="551"/>
      <c r="BW335" s="553"/>
      <c r="BX335" s="553"/>
      <c r="BY335" s="550"/>
      <c r="CA335" s="551"/>
      <c r="CD335" s="547"/>
      <c r="CE335" s="546"/>
      <c r="CF335" s="551"/>
      <c r="CG335" s="553"/>
      <c r="CH335" s="553"/>
      <c r="CI335" s="550"/>
      <c r="CK335" s="551"/>
      <c r="CN335" s="547"/>
      <c r="CO335" s="546"/>
      <c r="CP335" s="551"/>
      <c r="CQ335" s="553"/>
      <c r="CR335" s="553"/>
      <c r="CS335" s="550"/>
      <c r="CU335" s="551"/>
      <c r="CX335" s="547"/>
      <c r="CY335" s="546"/>
      <c r="CZ335" s="551"/>
      <c r="DA335" s="553"/>
      <c r="DB335" s="553"/>
      <c r="DC335" s="550"/>
      <c r="DE335" s="551"/>
      <c r="DH335" s="547"/>
      <c r="DI335" s="546"/>
      <c r="DJ335" s="551"/>
      <c r="DK335" s="553"/>
      <c r="DL335" s="553"/>
      <c r="DM335" s="550"/>
      <c r="DO335" s="551"/>
      <c r="DR335" s="547"/>
      <c r="DS335" s="546"/>
      <c r="DT335" s="551"/>
      <c r="DU335" s="553"/>
      <c r="DV335" s="553"/>
      <c r="DW335" s="550"/>
      <c r="DY335" s="551"/>
      <c r="EB335" s="547"/>
      <c r="EC335" s="546"/>
      <c r="ED335" s="551"/>
      <c r="EE335" s="553"/>
      <c r="EF335" s="553"/>
      <c r="EG335" s="550"/>
      <c r="EI335" s="551"/>
      <c r="EL335" s="547"/>
      <c r="EM335" s="546"/>
      <c r="EN335" s="551"/>
      <c r="EO335" s="553"/>
      <c r="EP335" s="553"/>
      <c r="EQ335" s="550"/>
      <c r="ES335" s="551"/>
    </row>
    <row r="336" spans="52:149">
      <c r="AZ336" s="547"/>
      <c r="BA336" s="546"/>
      <c r="BB336" s="551"/>
      <c r="BC336" s="553"/>
      <c r="BD336" s="553"/>
      <c r="BE336" s="550"/>
      <c r="BG336" s="551"/>
      <c r="BJ336" s="547"/>
      <c r="BK336" s="546"/>
      <c r="BL336" s="551"/>
      <c r="BM336" s="553"/>
      <c r="BN336" s="553"/>
      <c r="BO336" s="550"/>
      <c r="BQ336" s="551"/>
      <c r="BT336" s="547"/>
      <c r="BU336" s="546"/>
      <c r="BV336" s="551"/>
      <c r="BW336" s="553"/>
      <c r="BX336" s="553"/>
      <c r="BY336" s="550"/>
      <c r="CA336" s="551"/>
      <c r="CD336" s="547"/>
      <c r="CE336" s="546"/>
      <c r="CF336" s="551"/>
      <c r="CG336" s="553"/>
      <c r="CH336" s="553"/>
      <c r="CI336" s="550"/>
      <c r="CK336" s="551"/>
      <c r="CN336" s="547"/>
      <c r="CO336" s="546"/>
      <c r="CP336" s="551"/>
      <c r="CQ336" s="553"/>
      <c r="CR336" s="553"/>
      <c r="CS336" s="550"/>
      <c r="CU336" s="551"/>
      <c r="CX336" s="547"/>
      <c r="CY336" s="546"/>
      <c r="CZ336" s="551"/>
      <c r="DA336" s="553"/>
      <c r="DB336" s="553"/>
      <c r="DC336" s="550"/>
      <c r="DE336" s="551"/>
      <c r="DH336" s="547"/>
      <c r="DI336" s="546"/>
      <c r="DJ336" s="551"/>
      <c r="DK336" s="553"/>
      <c r="DL336" s="553"/>
      <c r="DM336" s="550"/>
      <c r="DO336" s="551"/>
      <c r="DR336" s="547"/>
      <c r="DS336" s="546"/>
      <c r="DT336" s="551"/>
      <c r="DU336" s="553"/>
      <c r="DV336" s="553"/>
      <c r="DW336" s="550"/>
      <c r="DY336" s="551"/>
      <c r="EB336" s="547"/>
      <c r="EC336" s="546"/>
      <c r="ED336" s="551"/>
      <c r="EE336" s="553"/>
      <c r="EF336" s="553"/>
      <c r="EG336" s="550"/>
      <c r="EI336" s="551"/>
      <c r="EL336" s="547"/>
      <c r="EM336" s="546"/>
      <c r="EN336" s="551"/>
      <c r="EO336" s="553"/>
      <c r="EP336" s="553"/>
      <c r="EQ336" s="550"/>
      <c r="ES336" s="551"/>
    </row>
    <row r="337" spans="52:149">
      <c r="AZ337" s="547"/>
      <c r="BA337" s="546"/>
      <c r="BB337" s="551"/>
      <c r="BC337" s="553"/>
      <c r="BD337" s="553"/>
      <c r="BE337" s="550"/>
      <c r="BG337" s="551"/>
      <c r="BJ337" s="547"/>
      <c r="BK337" s="546"/>
      <c r="BL337" s="551"/>
      <c r="BM337" s="553"/>
      <c r="BN337" s="553"/>
      <c r="BO337" s="550"/>
      <c r="BQ337" s="551"/>
      <c r="BT337" s="547"/>
      <c r="BU337" s="546"/>
      <c r="BV337" s="551"/>
      <c r="BW337" s="553"/>
      <c r="BX337" s="553"/>
      <c r="BY337" s="550"/>
      <c r="CA337" s="551"/>
      <c r="CD337" s="547"/>
      <c r="CE337" s="546"/>
      <c r="CF337" s="551"/>
      <c r="CG337" s="553"/>
      <c r="CH337" s="553"/>
      <c r="CI337" s="550"/>
      <c r="CK337" s="551"/>
      <c r="CN337" s="547"/>
      <c r="CO337" s="546"/>
      <c r="CP337" s="551"/>
      <c r="CQ337" s="553"/>
      <c r="CR337" s="553"/>
      <c r="CS337" s="550"/>
      <c r="CU337" s="551"/>
      <c r="CX337" s="547"/>
      <c r="CY337" s="546"/>
      <c r="CZ337" s="551"/>
      <c r="DA337" s="553"/>
      <c r="DB337" s="553"/>
      <c r="DC337" s="550"/>
      <c r="DE337" s="551"/>
      <c r="DH337" s="547"/>
      <c r="DI337" s="546"/>
      <c r="DJ337" s="551"/>
      <c r="DK337" s="553"/>
      <c r="DL337" s="553"/>
      <c r="DM337" s="550"/>
      <c r="DO337" s="551"/>
      <c r="DR337" s="547"/>
      <c r="DS337" s="546"/>
      <c r="DT337" s="551"/>
      <c r="DU337" s="553"/>
      <c r="DV337" s="553"/>
      <c r="DW337" s="550"/>
      <c r="DY337" s="551"/>
      <c r="EB337" s="547"/>
      <c r="EC337" s="546"/>
      <c r="ED337" s="551"/>
      <c r="EE337" s="553"/>
      <c r="EF337" s="553"/>
      <c r="EG337" s="550"/>
      <c r="EI337" s="551"/>
      <c r="EL337" s="547"/>
      <c r="EM337" s="546"/>
      <c r="EN337" s="551"/>
      <c r="EO337" s="553"/>
      <c r="EP337" s="553"/>
      <c r="EQ337" s="550"/>
      <c r="ES337" s="551"/>
    </row>
    <row r="338" spans="52:149">
      <c r="AZ338" s="547"/>
      <c r="BA338" s="546"/>
      <c r="BB338" s="551"/>
      <c r="BC338" s="553"/>
      <c r="BD338" s="553"/>
      <c r="BE338" s="550"/>
      <c r="BG338" s="551"/>
      <c r="BJ338" s="547"/>
      <c r="BK338" s="546"/>
      <c r="BL338" s="551"/>
      <c r="BM338" s="553"/>
      <c r="BN338" s="553"/>
      <c r="BO338" s="550"/>
      <c r="BQ338" s="551"/>
      <c r="BT338" s="547"/>
      <c r="BU338" s="546"/>
      <c r="BV338" s="551"/>
      <c r="BW338" s="553"/>
      <c r="BX338" s="553"/>
      <c r="BY338" s="550"/>
      <c r="CA338" s="551"/>
      <c r="CD338" s="547"/>
      <c r="CE338" s="546"/>
      <c r="CF338" s="551"/>
      <c r="CG338" s="553"/>
      <c r="CH338" s="553"/>
      <c r="CI338" s="550"/>
      <c r="CK338" s="551"/>
      <c r="CN338" s="547"/>
      <c r="CO338" s="546"/>
      <c r="CP338" s="551"/>
      <c r="CQ338" s="553"/>
      <c r="CR338" s="553"/>
      <c r="CS338" s="550"/>
      <c r="CU338" s="551"/>
      <c r="CX338" s="547"/>
      <c r="CY338" s="546"/>
      <c r="CZ338" s="551"/>
      <c r="DA338" s="553"/>
      <c r="DB338" s="553"/>
      <c r="DC338" s="550"/>
      <c r="DE338" s="551"/>
      <c r="DH338" s="547"/>
      <c r="DI338" s="546"/>
      <c r="DJ338" s="551"/>
      <c r="DK338" s="553"/>
      <c r="DL338" s="553"/>
      <c r="DM338" s="550"/>
      <c r="DO338" s="551"/>
      <c r="DR338" s="547"/>
      <c r="DS338" s="546"/>
      <c r="DT338" s="551"/>
      <c r="DU338" s="553"/>
      <c r="DV338" s="553"/>
      <c r="DW338" s="550"/>
      <c r="DY338" s="551"/>
      <c r="EB338" s="547"/>
      <c r="EC338" s="546"/>
      <c r="ED338" s="551"/>
      <c r="EE338" s="553"/>
      <c r="EF338" s="553"/>
      <c r="EG338" s="550"/>
      <c r="EI338" s="551"/>
      <c r="EL338" s="547"/>
      <c r="EM338" s="546"/>
      <c r="EN338" s="551"/>
      <c r="EO338" s="553"/>
      <c r="EP338" s="553"/>
      <c r="EQ338" s="550"/>
      <c r="ES338" s="551"/>
    </row>
    <row r="339" spans="52:149">
      <c r="AZ339" s="547"/>
      <c r="BA339" s="546"/>
      <c r="BB339" s="551"/>
      <c r="BC339" s="553"/>
      <c r="BD339" s="553"/>
      <c r="BE339" s="550"/>
      <c r="BG339" s="551"/>
      <c r="BJ339" s="547"/>
      <c r="BK339" s="546"/>
      <c r="BL339" s="551"/>
      <c r="BM339" s="553"/>
      <c r="BN339" s="553"/>
      <c r="BO339" s="550"/>
      <c r="BQ339" s="551"/>
      <c r="BT339" s="547"/>
      <c r="BU339" s="546"/>
      <c r="BV339" s="551"/>
      <c r="BW339" s="553"/>
      <c r="BX339" s="553"/>
      <c r="BY339" s="550"/>
      <c r="CA339" s="551"/>
      <c r="CD339" s="547"/>
      <c r="CE339" s="546"/>
      <c r="CF339" s="551"/>
      <c r="CG339" s="553"/>
      <c r="CH339" s="553"/>
      <c r="CI339" s="550"/>
      <c r="CK339" s="551"/>
      <c r="CN339" s="547"/>
      <c r="CO339" s="546"/>
      <c r="CP339" s="551"/>
      <c r="CQ339" s="553"/>
      <c r="CR339" s="553"/>
      <c r="CS339" s="550"/>
      <c r="CU339" s="551"/>
      <c r="CX339" s="547"/>
      <c r="CY339" s="546"/>
      <c r="CZ339" s="551"/>
      <c r="DA339" s="553"/>
      <c r="DB339" s="553"/>
      <c r="DC339" s="550"/>
      <c r="DE339" s="551"/>
      <c r="DH339" s="547"/>
      <c r="DI339" s="546"/>
      <c r="DJ339" s="551"/>
      <c r="DK339" s="553"/>
      <c r="DL339" s="553"/>
      <c r="DM339" s="550"/>
      <c r="DO339" s="551"/>
      <c r="DR339" s="547"/>
      <c r="DS339" s="546"/>
      <c r="DT339" s="551"/>
      <c r="DU339" s="553"/>
      <c r="DV339" s="553"/>
      <c r="DW339" s="550"/>
      <c r="DY339" s="551"/>
      <c r="EB339" s="547"/>
      <c r="EC339" s="546"/>
      <c r="ED339" s="551"/>
      <c r="EE339" s="553"/>
      <c r="EF339" s="553"/>
      <c r="EG339" s="550"/>
      <c r="EI339" s="551"/>
      <c r="EL339" s="547"/>
      <c r="EM339" s="546"/>
      <c r="EN339" s="551"/>
      <c r="EO339" s="553"/>
      <c r="EP339" s="553"/>
      <c r="EQ339" s="550"/>
      <c r="ES339" s="551"/>
    </row>
    <row r="340" spans="52:149">
      <c r="AZ340" s="547"/>
      <c r="BA340" s="546"/>
      <c r="BB340" s="551"/>
      <c r="BC340" s="553"/>
      <c r="BD340" s="553"/>
      <c r="BE340" s="550"/>
      <c r="BG340" s="551"/>
      <c r="BJ340" s="547"/>
      <c r="BK340" s="546"/>
      <c r="BL340" s="551"/>
      <c r="BM340" s="553"/>
      <c r="BN340" s="553"/>
      <c r="BO340" s="550"/>
      <c r="BQ340" s="551"/>
      <c r="BT340" s="547"/>
      <c r="BU340" s="546"/>
      <c r="BV340" s="551"/>
      <c r="BW340" s="553"/>
      <c r="BX340" s="553"/>
      <c r="BY340" s="550"/>
      <c r="CA340" s="551"/>
      <c r="CD340" s="547"/>
      <c r="CE340" s="546"/>
      <c r="CF340" s="551"/>
      <c r="CG340" s="553"/>
      <c r="CH340" s="553"/>
      <c r="CI340" s="550"/>
      <c r="CK340" s="551"/>
      <c r="CN340" s="547"/>
      <c r="CO340" s="546"/>
      <c r="CP340" s="551"/>
      <c r="CQ340" s="553"/>
      <c r="CR340" s="553"/>
      <c r="CS340" s="550"/>
      <c r="CU340" s="551"/>
      <c r="CX340" s="547"/>
      <c r="CY340" s="546"/>
      <c r="CZ340" s="551"/>
      <c r="DA340" s="553"/>
      <c r="DB340" s="553"/>
      <c r="DC340" s="550"/>
      <c r="DE340" s="551"/>
      <c r="DH340" s="547"/>
      <c r="DI340" s="546"/>
      <c r="DJ340" s="551"/>
      <c r="DK340" s="553"/>
      <c r="DL340" s="553"/>
      <c r="DM340" s="550"/>
      <c r="DO340" s="551"/>
      <c r="DR340" s="547"/>
      <c r="DS340" s="546"/>
      <c r="DT340" s="551"/>
      <c r="DU340" s="553"/>
      <c r="DV340" s="553"/>
      <c r="DW340" s="550"/>
      <c r="DY340" s="551"/>
      <c r="EB340" s="547"/>
      <c r="EC340" s="546"/>
      <c r="ED340" s="551"/>
      <c r="EE340" s="553"/>
      <c r="EF340" s="553"/>
      <c r="EG340" s="550"/>
      <c r="EI340" s="551"/>
      <c r="EL340" s="547"/>
      <c r="EM340" s="546"/>
      <c r="EN340" s="551"/>
      <c r="EO340" s="553"/>
      <c r="EP340" s="553"/>
      <c r="EQ340" s="550"/>
      <c r="ES340" s="551"/>
    </row>
    <row r="341" spans="52:149">
      <c r="AZ341" s="547"/>
      <c r="BA341" s="546"/>
      <c r="BB341" s="551"/>
      <c r="BC341" s="553"/>
      <c r="BD341" s="553"/>
      <c r="BE341" s="550"/>
      <c r="BG341" s="551"/>
      <c r="BJ341" s="547"/>
      <c r="BK341" s="546"/>
      <c r="BL341" s="551"/>
      <c r="BM341" s="553"/>
      <c r="BN341" s="553"/>
      <c r="BO341" s="550"/>
      <c r="BQ341" s="551"/>
      <c r="BT341" s="547"/>
      <c r="BU341" s="546"/>
      <c r="BV341" s="551"/>
      <c r="BW341" s="553"/>
      <c r="BX341" s="553"/>
      <c r="BY341" s="550"/>
      <c r="CA341" s="551"/>
      <c r="CD341" s="547"/>
      <c r="CE341" s="546"/>
      <c r="CF341" s="551"/>
      <c r="CG341" s="553"/>
      <c r="CH341" s="553"/>
      <c r="CI341" s="550"/>
      <c r="CK341" s="551"/>
      <c r="CN341" s="547"/>
      <c r="CO341" s="546"/>
      <c r="CP341" s="551"/>
      <c r="CQ341" s="553"/>
      <c r="CR341" s="553"/>
      <c r="CS341" s="550"/>
      <c r="CU341" s="551"/>
      <c r="CX341" s="547"/>
      <c r="CY341" s="546"/>
      <c r="CZ341" s="551"/>
      <c r="DA341" s="553"/>
      <c r="DB341" s="553"/>
      <c r="DC341" s="550"/>
      <c r="DE341" s="551"/>
      <c r="DH341" s="547"/>
      <c r="DI341" s="546"/>
      <c r="DJ341" s="551"/>
      <c r="DK341" s="553"/>
      <c r="DL341" s="553"/>
      <c r="DM341" s="550"/>
      <c r="DO341" s="551"/>
      <c r="DR341" s="547"/>
      <c r="DS341" s="546"/>
      <c r="DT341" s="551"/>
      <c r="DU341" s="553"/>
      <c r="DV341" s="553"/>
      <c r="DW341" s="550"/>
      <c r="DY341" s="551"/>
      <c r="EB341" s="547"/>
      <c r="EC341" s="546"/>
      <c r="ED341" s="551"/>
      <c r="EE341" s="553"/>
      <c r="EF341" s="553"/>
      <c r="EG341" s="550"/>
      <c r="EI341" s="551"/>
      <c r="EL341" s="547"/>
      <c r="EM341" s="546"/>
      <c r="EN341" s="551"/>
      <c r="EO341" s="553"/>
      <c r="EP341" s="553"/>
      <c r="EQ341" s="550"/>
      <c r="ES341" s="551"/>
    </row>
    <row r="342" spans="52:149">
      <c r="AZ342" s="547"/>
      <c r="BA342" s="546"/>
      <c r="BB342" s="551"/>
      <c r="BC342" s="553"/>
      <c r="BD342" s="553"/>
      <c r="BE342" s="550"/>
      <c r="BG342" s="551"/>
      <c r="BJ342" s="547"/>
      <c r="BK342" s="546"/>
      <c r="BL342" s="551"/>
      <c r="BM342" s="553"/>
      <c r="BN342" s="553"/>
      <c r="BO342" s="550"/>
      <c r="BQ342" s="551"/>
      <c r="BT342" s="547"/>
      <c r="BU342" s="546"/>
      <c r="BV342" s="551"/>
      <c r="BW342" s="553"/>
      <c r="BX342" s="553"/>
      <c r="BY342" s="550"/>
      <c r="CA342" s="551"/>
      <c r="CD342" s="547"/>
      <c r="CE342" s="546"/>
      <c r="CF342" s="551"/>
      <c r="CG342" s="553"/>
      <c r="CH342" s="553"/>
      <c r="CI342" s="550"/>
      <c r="CK342" s="551"/>
      <c r="CN342" s="547"/>
      <c r="CO342" s="546"/>
      <c r="CP342" s="551"/>
      <c r="CQ342" s="553"/>
      <c r="CR342" s="553"/>
      <c r="CS342" s="550"/>
      <c r="CU342" s="551"/>
      <c r="CX342" s="547"/>
      <c r="CY342" s="546"/>
      <c r="CZ342" s="551"/>
      <c r="DA342" s="553"/>
      <c r="DB342" s="553"/>
      <c r="DC342" s="550"/>
      <c r="DE342" s="551"/>
      <c r="DH342" s="547"/>
      <c r="DI342" s="546"/>
      <c r="DJ342" s="551"/>
      <c r="DK342" s="553"/>
      <c r="DL342" s="553"/>
      <c r="DM342" s="550"/>
      <c r="DO342" s="551"/>
      <c r="DR342" s="547"/>
      <c r="DS342" s="546"/>
      <c r="DT342" s="551"/>
      <c r="DU342" s="553"/>
      <c r="DV342" s="553"/>
      <c r="DW342" s="550"/>
      <c r="DY342" s="551"/>
      <c r="EB342" s="547"/>
      <c r="EC342" s="546"/>
      <c r="ED342" s="551"/>
      <c r="EE342" s="553"/>
      <c r="EF342" s="553"/>
      <c r="EG342" s="550"/>
      <c r="EI342" s="551"/>
      <c r="EL342" s="547"/>
      <c r="EM342" s="546"/>
      <c r="EN342" s="551"/>
      <c r="EO342" s="553"/>
      <c r="EP342" s="553"/>
      <c r="EQ342" s="550"/>
      <c r="ES342" s="551"/>
    </row>
    <row r="343" spans="52:149">
      <c r="AZ343" s="547"/>
      <c r="BA343" s="546"/>
      <c r="BB343" s="551"/>
      <c r="BC343" s="553"/>
      <c r="BD343" s="553"/>
      <c r="BE343" s="550"/>
      <c r="BG343" s="551"/>
      <c r="BJ343" s="547"/>
      <c r="BK343" s="546"/>
      <c r="BL343" s="551"/>
      <c r="BM343" s="553"/>
      <c r="BN343" s="553"/>
      <c r="BO343" s="550"/>
      <c r="BQ343" s="551"/>
      <c r="BT343" s="547"/>
      <c r="BU343" s="546"/>
      <c r="BV343" s="551"/>
      <c r="BW343" s="553"/>
      <c r="BX343" s="553"/>
      <c r="BY343" s="550"/>
      <c r="CA343" s="551"/>
      <c r="CD343" s="547"/>
      <c r="CE343" s="546"/>
      <c r="CF343" s="551"/>
      <c r="CG343" s="553"/>
      <c r="CH343" s="553"/>
      <c r="CI343" s="550"/>
      <c r="CK343" s="551"/>
      <c r="CN343" s="547"/>
      <c r="CO343" s="546"/>
      <c r="CP343" s="551"/>
      <c r="CQ343" s="553"/>
      <c r="CR343" s="553"/>
      <c r="CS343" s="550"/>
      <c r="CU343" s="551"/>
      <c r="CX343" s="547"/>
      <c r="CY343" s="546"/>
      <c r="CZ343" s="551"/>
      <c r="DA343" s="553"/>
      <c r="DB343" s="553"/>
      <c r="DC343" s="550"/>
      <c r="DE343" s="551"/>
      <c r="DH343" s="547"/>
      <c r="DI343" s="546"/>
      <c r="DJ343" s="551"/>
      <c r="DK343" s="553"/>
      <c r="DL343" s="553"/>
      <c r="DM343" s="550"/>
      <c r="DO343" s="551"/>
      <c r="DR343" s="547"/>
      <c r="DS343" s="546"/>
      <c r="DT343" s="551"/>
      <c r="DU343" s="553"/>
      <c r="DV343" s="553"/>
      <c r="DW343" s="550"/>
      <c r="DY343" s="551"/>
      <c r="EB343" s="547"/>
      <c r="EC343" s="546"/>
      <c r="ED343" s="551"/>
      <c r="EE343" s="553"/>
      <c r="EF343" s="553"/>
      <c r="EG343" s="550"/>
      <c r="EI343" s="551"/>
      <c r="EL343" s="547"/>
      <c r="EM343" s="546"/>
      <c r="EN343" s="551"/>
      <c r="EO343" s="553"/>
      <c r="EP343" s="553"/>
      <c r="EQ343" s="550"/>
      <c r="ES343" s="551"/>
    </row>
    <row r="344" spans="52:149">
      <c r="AZ344" s="547"/>
      <c r="BA344" s="546"/>
      <c r="BB344" s="551"/>
      <c r="BC344" s="553"/>
      <c r="BD344" s="553"/>
      <c r="BE344" s="550"/>
      <c r="BG344" s="551"/>
      <c r="BJ344" s="547"/>
      <c r="BK344" s="546"/>
      <c r="BL344" s="551"/>
      <c r="BM344" s="553"/>
      <c r="BN344" s="553"/>
      <c r="BO344" s="550"/>
      <c r="BQ344" s="551"/>
      <c r="BT344" s="547"/>
      <c r="BU344" s="546"/>
      <c r="BV344" s="551"/>
      <c r="BW344" s="553"/>
      <c r="BX344" s="553"/>
      <c r="BY344" s="550"/>
      <c r="CA344" s="551"/>
      <c r="CD344" s="547"/>
      <c r="CE344" s="546"/>
      <c r="CF344" s="551"/>
      <c r="CG344" s="553"/>
      <c r="CH344" s="553"/>
      <c r="CI344" s="550"/>
      <c r="CK344" s="551"/>
      <c r="CN344" s="547"/>
      <c r="CO344" s="546"/>
      <c r="CP344" s="551"/>
      <c r="CQ344" s="553"/>
      <c r="CR344" s="553"/>
      <c r="CS344" s="550"/>
      <c r="CU344" s="551"/>
      <c r="CX344" s="547"/>
      <c r="CY344" s="546"/>
      <c r="CZ344" s="551"/>
      <c r="DA344" s="553"/>
      <c r="DB344" s="553"/>
      <c r="DC344" s="550"/>
      <c r="DE344" s="551"/>
      <c r="DH344" s="547"/>
      <c r="DI344" s="546"/>
      <c r="DJ344" s="551"/>
      <c r="DK344" s="553"/>
      <c r="DL344" s="553"/>
      <c r="DM344" s="550"/>
      <c r="DO344" s="551"/>
      <c r="DR344" s="547"/>
      <c r="DS344" s="546"/>
      <c r="DT344" s="551"/>
      <c r="DU344" s="553"/>
      <c r="DV344" s="553"/>
      <c r="DW344" s="550"/>
      <c r="DY344" s="551"/>
      <c r="EB344" s="547"/>
      <c r="EC344" s="546"/>
      <c r="ED344" s="551"/>
      <c r="EE344" s="553"/>
      <c r="EF344" s="553"/>
      <c r="EG344" s="550"/>
      <c r="EI344" s="551"/>
      <c r="EL344" s="547"/>
      <c r="EM344" s="546"/>
      <c r="EN344" s="551"/>
      <c r="EO344" s="553"/>
      <c r="EP344" s="553"/>
      <c r="EQ344" s="550"/>
      <c r="ES344" s="551"/>
    </row>
    <row r="345" spans="52:149">
      <c r="AZ345" s="547"/>
      <c r="BA345" s="546"/>
      <c r="BB345" s="551"/>
      <c r="BC345" s="553"/>
      <c r="BD345" s="553"/>
      <c r="BE345" s="550"/>
      <c r="BG345" s="551"/>
      <c r="BJ345" s="547"/>
      <c r="BK345" s="546"/>
      <c r="BL345" s="551"/>
      <c r="BM345" s="553"/>
      <c r="BN345" s="553"/>
      <c r="BO345" s="550"/>
      <c r="BQ345" s="551"/>
      <c r="BT345" s="547"/>
      <c r="BU345" s="546"/>
      <c r="BV345" s="551"/>
      <c r="BW345" s="553"/>
      <c r="BX345" s="553"/>
      <c r="BY345" s="550"/>
      <c r="CA345" s="551"/>
      <c r="CD345" s="547"/>
      <c r="CE345" s="546"/>
      <c r="CF345" s="551"/>
      <c r="CG345" s="553"/>
      <c r="CH345" s="553"/>
      <c r="CI345" s="550"/>
      <c r="CK345" s="551"/>
      <c r="CN345" s="547"/>
      <c r="CO345" s="546"/>
      <c r="CP345" s="551"/>
      <c r="CQ345" s="553"/>
      <c r="CR345" s="553"/>
      <c r="CS345" s="550"/>
      <c r="CU345" s="551"/>
      <c r="CX345" s="547"/>
      <c r="CY345" s="546"/>
      <c r="CZ345" s="551"/>
      <c r="DA345" s="553"/>
      <c r="DB345" s="553"/>
      <c r="DC345" s="550"/>
      <c r="DE345" s="551"/>
      <c r="DH345" s="547"/>
      <c r="DI345" s="546"/>
      <c r="DJ345" s="551"/>
      <c r="DK345" s="553"/>
      <c r="DL345" s="553"/>
      <c r="DM345" s="550"/>
      <c r="DO345" s="551"/>
      <c r="DR345" s="547"/>
      <c r="DS345" s="546"/>
      <c r="DT345" s="551"/>
      <c r="DU345" s="553"/>
      <c r="DV345" s="553"/>
      <c r="DW345" s="550"/>
      <c r="DY345" s="551"/>
      <c r="EB345" s="547"/>
      <c r="EC345" s="546"/>
      <c r="ED345" s="551"/>
      <c r="EE345" s="553"/>
      <c r="EF345" s="553"/>
      <c r="EG345" s="550"/>
      <c r="EI345" s="551"/>
      <c r="EL345" s="547"/>
      <c r="EM345" s="546"/>
      <c r="EN345" s="551"/>
      <c r="EO345" s="553"/>
      <c r="EP345" s="553"/>
      <c r="EQ345" s="550"/>
      <c r="ES345" s="551"/>
    </row>
    <row r="346" spans="52:149">
      <c r="AZ346" s="547"/>
      <c r="BA346" s="546"/>
      <c r="BB346" s="551"/>
      <c r="BC346" s="553"/>
      <c r="BD346" s="553"/>
      <c r="BE346" s="550"/>
      <c r="BG346" s="551"/>
      <c r="BJ346" s="547"/>
      <c r="BK346" s="546"/>
      <c r="BL346" s="551"/>
      <c r="BM346" s="553"/>
      <c r="BN346" s="553"/>
      <c r="BO346" s="550"/>
      <c r="BQ346" s="551"/>
      <c r="BT346" s="547"/>
      <c r="BU346" s="546"/>
      <c r="BV346" s="551"/>
      <c r="BW346" s="553"/>
      <c r="BX346" s="553"/>
      <c r="BY346" s="550"/>
      <c r="CA346" s="551"/>
      <c r="CD346" s="547"/>
      <c r="CE346" s="546"/>
      <c r="CF346" s="551"/>
      <c r="CG346" s="553"/>
      <c r="CH346" s="553"/>
      <c r="CI346" s="550"/>
      <c r="CK346" s="551"/>
      <c r="CN346" s="547"/>
      <c r="CO346" s="546"/>
      <c r="CP346" s="551"/>
      <c r="CQ346" s="553"/>
      <c r="CR346" s="553"/>
      <c r="CS346" s="550"/>
      <c r="CU346" s="551"/>
      <c r="CX346" s="547"/>
      <c r="CY346" s="546"/>
      <c r="CZ346" s="551"/>
      <c r="DA346" s="553"/>
      <c r="DB346" s="553"/>
      <c r="DC346" s="550"/>
      <c r="DE346" s="551"/>
      <c r="DH346" s="547"/>
      <c r="DI346" s="546"/>
      <c r="DJ346" s="551"/>
      <c r="DK346" s="553"/>
      <c r="DL346" s="553"/>
      <c r="DM346" s="550"/>
      <c r="DO346" s="551"/>
      <c r="DR346" s="547"/>
      <c r="DS346" s="546"/>
      <c r="DT346" s="551"/>
      <c r="DU346" s="553"/>
      <c r="DV346" s="553"/>
      <c r="DW346" s="550"/>
      <c r="DY346" s="551"/>
      <c r="EB346" s="547"/>
      <c r="EC346" s="546"/>
      <c r="ED346" s="551"/>
      <c r="EE346" s="553"/>
      <c r="EF346" s="553"/>
      <c r="EG346" s="550"/>
      <c r="EI346" s="551"/>
      <c r="EL346" s="547"/>
      <c r="EM346" s="546"/>
      <c r="EN346" s="551"/>
      <c r="EO346" s="553"/>
      <c r="EP346" s="553"/>
      <c r="EQ346" s="550"/>
      <c r="ES346" s="551"/>
    </row>
    <row r="347" spans="52:149">
      <c r="AZ347" s="547"/>
      <c r="BA347" s="546"/>
      <c r="BB347" s="551"/>
      <c r="BC347" s="553"/>
      <c r="BD347" s="553"/>
      <c r="BE347" s="550"/>
      <c r="BG347" s="551"/>
      <c r="BJ347" s="547"/>
      <c r="BK347" s="546"/>
      <c r="BL347" s="551"/>
      <c r="BM347" s="553"/>
      <c r="BN347" s="553"/>
      <c r="BO347" s="550"/>
      <c r="BQ347" s="551"/>
      <c r="BT347" s="547"/>
      <c r="BU347" s="546"/>
      <c r="BV347" s="551"/>
      <c r="BW347" s="553"/>
      <c r="BX347" s="553"/>
      <c r="BY347" s="550"/>
      <c r="CA347" s="551"/>
      <c r="CD347" s="547"/>
      <c r="CE347" s="546"/>
      <c r="CF347" s="551"/>
      <c r="CG347" s="553"/>
      <c r="CH347" s="553"/>
      <c r="CI347" s="550"/>
      <c r="CK347" s="551"/>
      <c r="CN347" s="547"/>
      <c r="CO347" s="546"/>
      <c r="CP347" s="551"/>
      <c r="CQ347" s="553"/>
      <c r="CR347" s="553"/>
      <c r="CS347" s="550"/>
      <c r="CU347" s="551"/>
      <c r="CX347" s="547"/>
      <c r="CY347" s="546"/>
      <c r="CZ347" s="551"/>
      <c r="DA347" s="553"/>
      <c r="DB347" s="553"/>
      <c r="DC347" s="550"/>
      <c r="DE347" s="551"/>
      <c r="DH347" s="547"/>
      <c r="DI347" s="546"/>
      <c r="DJ347" s="551"/>
      <c r="DK347" s="553"/>
      <c r="DL347" s="553"/>
      <c r="DM347" s="550"/>
      <c r="DO347" s="551"/>
      <c r="DR347" s="547"/>
      <c r="DS347" s="546"/>
      <c r="DT347" s="551"/>
      <c r="DU347" s="553"/>
      <c r="DV347" s="553"/>
      <c r="DW347" s="550"/>
      <c r="DY347" s="551"/>
      <c r="EB347" s="547"/>
      <c r="EC347" s="546"/>
      <c r="ED347" s="551"/>
      <c r="EE347" s="553"/>
      <c r="EF347" s="553"/>
      <c r="EG347" s="550"/>
      <c r="EI347" s="551"/>
      <c r="EL347" s="547"/>
      <c r="EM347" s="546"/>
      <c r="EN347" s="551"/>
      <c r="EO347" s="553"/>
      <c r="EP347" s="553"/>
      <c r="EQ347" s="550"/>
      <c r="ES347" s="551"/>
    </row>
    <row r="348" spans="52:149">
      <c r="AZ348" s="547"/>
      <c r="BA348" s="546"/>
      <c r="BB348" s="551"/>
      <c r="BC348" s="553"/>
      <c r="BD348" s="553"/>
      <c r="BE348" s="550"/>
      <c r="BG348" s="551"/>
      <c r="BJ348" s="547"/>
      <c r="BK348" s="546"/>
      <c r="BL348" s="551"/>
      <c r="BM348" s="553"/>
      <c r="BN348" s="553"/>
      <c r="BO348" s="550"/>
      <c r="BQ348" s="551"/>
      <c r="BT348" s="547"/>
      <c r="BU348" s="546"/>
      <c r="BV348" s="551"/>
      <c r="BW348" s="553"/>
      <c r="BX348" s="553"/>
      <c r="BY348" s="550"/>
      <c r="CA348" s="551"/>
      <c r="CD348" s="547"/>
      <c r="CE348" s="546"/>
      <c r="CF348" s="551"/>
      <c r="CG348" s="553"/>
      <c r="CH348" s="553"/>
      <c r="CI348" s="550"/>
      <c r="CK348" s="551"/>
      <c r="CN348" s="547"/>
      <c r="CO348" s="546"/>
      <c r="CP348" s="551"/>
      <c r="CQ348" s="553"/>
      <c r="CR348" s="553"/>
      <c r="CS348" s="550"/>
      <c r="CU348" s="551"/>
      <c r="CX348" s="547"/>
      <c r="CY348" s="546"/>
      <c r="CZ348" s="551"/>
      <c r="DA348" s="553"/>
      <c r="DB348" s="553"/>
      <c r="DC348" s="550"/>
      <c r="DE348" s="551"/>
      <c r="DH348" s="547"/>
      <c r="DI348" s="546"/>
      <c r="DJ348" s="551"/>
      <c r="DK348" s="553"/>
      <c r="DL348" s="553"/>
      <c r="DM348" s="550"/>
      <c r="DO348" s="551"/>
      <c r="DR348" s="547"/>
      <c r="DS348" s="546"/>
      <c r="DT348" s="551"/>
      <c r="DU348" s="553"/>
      <c r="DV348" s="553"/>
      <c r="DW348" s="550"/>
      <c r="DY348" s="551"/>
      <c r="EB348" s="547"/>
      <c r="EC348" s="546"/>
      <c r="ED348" s="551"/>
      <c r="EE348" s="553"/>
      <c r="EF348" s="553"/>
      <c r="EG348" s="550"/>
      <c r="EI348" s="551"/>
      <c r="EL348" s="547"/>
      <c r="EM348" s="546"/>
      <c r="EN348" s="551"/>
      <c r="EO348" s="553"/>
      <c r="EP348" s="553"/>
      <c r="EQ348" s="550"/>
      <c r="ES348" s="551"/>
    </row>
    <row r="349" spans="52:149">
      <c r="AZ349" s="547"/>
      <c r="BA349" s="546"/>
      <c r="BB349" s="551"/>
      <c r="BC349" s="553"/>
      <c r="BD349" s="553"/>
      <c r="BE349" s="550"/>
      <c r="BG349" s="551"/>
      <c r="BJ349" s="547"/>
      <c r="BK349" s="546"/>
      <c r="BL349" s="551"/>
      <c r="BM349" s="553"/>
      <c r="BN349" s="553"/>
      <c r="BO349" s="550"/>
      <c r="BQ349" s="551"/>
      <c r="BT349" s="547"/>
      <c r="BU349" s="546"/>
      <c r="BV349" s="551"/>
      <c r="BW349" s="553"/>
      <c r="BX349" s="553"/>
      <c r="BY349" s="550"/>
      <c r="CA349" s="551"/>
      <c r="CD349" s="547"/>
      <c r="CE349" s="546"/>
      <c r="CF349" s="551"/>
      <c r="CG349" s="553"/>
      <c r="CH349" s="553"/>
      <c r="CI349" s="550"/>
      <c r="CK349" s="551"/>
      <c r="CN349" s="547"/>
      <c r="CO349" s="546"/>
      <c r="CP349" s="551"/>
      <c r="CQ349" s="553"/>
      <c r="CR349" s="553"/>
      <c r="CS349" s="550"/>
      <c r="CU349" s="551"/>
      <c r="CX349" s="547"/>
      <c r="CY349" s="546"/>
      <c r="CZ349" s="551"/>
      <c r="DA349" s="553"/>
      <c r="DB349" s="553"/>
      <c r="DC349" s="550"/>
      <c r="DE349" s="551"/>
      <c r="DH349" s="547"/>
      <c r="DI349" s="546"/>
      <c r="DJ349" s="551"/>
      <c r="DK349" s="553"/>
      <c r="DL349" s="553"/>
      <c r="DM349" s="550"/>
      <c r="DO349" s="551"/>
      <c r="DR349" s="547"/>
      <c r="DS349" s="546"/>
      <c r="DT349" s="551"/>
      <c r="DU349" s="553"/>
      <c r="DV349" s="553"/>
      <c r="DW349" s="550"/>
      <c r="DY349" s="551"/>
      <c r="EB349" s="547"/>
      <c r="EC349" s="546"/>
      <c r="ED349" s="551"/>
      <c r="EE349" s="553"/>
      <c r="EF349" s="553"/>
      <c r="EG349" s="550"/>
      <c r="EI349" s="551"/>
      <c r="EL349" s="547"/>
      <c r="EM349" s="546"/>
      <c r="EN349" s="551"/>
      <c r="EO349" s="553"/>
      <c r="EP349" s="553"/>
      <c r="EQ349" s="550"/>
      <c r="ES349" s="551"/>
    </row>
    <row r="350" spans="52:149">
      <c r="AZ350" s="547"/>
      <c r="BA350" s="546"/>
      <c r="BB350" s="551"/>
      <c r="BC350" s="553"/>
      <c r="BD350" s="553"/>
      <c r="BE350" s="550"/>
      <c r="BG350" s="551"/>
      <c r="BJ350" s="547"/>
      <c r="BK350" s="546"/>
      <c r="BL350" s="551"/>
      <c r="BM350" s="553"/>
      <c r="BN350" s="553"/>
      <c r="BO350" s="550"/>
      <c r="BQ350" s="551"/>
      <c r="BT350" s="547"/>
      <c r="BU350" s="546"/>
      <c r="BV350" s="551"/>
      <c r="BW350" s="553"/>
      <c r="BX350" s="553"/>
      <c r="BY350" s="550"/>
      <c r="CA350" s="551"/>
      <c r="CD350" s="547"/>
      <c r="CE350" s="546"/>
      <c r="CF350" s="551"/>
      <c r="CG350" s="553"/>
      <c r="CH350" s="553"/>
      <c r="CI350" s="550"/>
      <c r="CK350" s="551"/>
      <c r="CN350" s="547"/>
      <c r="CO350" s="546"/>
      <c r="CP350" s="551"/>
      <c r="CQ350" s="553"/>
      <c r="CR350" s="553"/>
      <c r="CS350" s="550"/>
      <c r="CU350" s="551"/>
      <c r="CX350" s="547"/>
      <c r="CY350" s="546"/>
      <c r="CZ350" s="551"/>
      <c r="DA350" s="553"/>
      <c r="DB350" s="553"/>
      <c r="DC350" s="550"/>
      <c r="DE350" s="551"/>
      <c r="DH350" s="547"/>
      <c r="DI350" s="546"/>
      <c r="DJ350" s="551"/>
      <c r="DK350" s="553"/>
      <c r="DL350" s="553"/>
      <c r="DM350" s="550"/>
      <c r="DO350" s="551"/>
      <c r="DR350" s="547"/>
      <c r="DS350" s="546"/>
      <c r="DT350" s="551"/>
      <c r="DU350" s="553"/>
      <c r="DV350" s="553"/>
      <c r="DW350" s="550"/>
      <c r="DY350" s="551"/>
      <c r="EB350" s="547"/>
      <c r="EC350" s="546"/>
      <c r="ED350" s="551"/>
      <c r="EE350" s="553"/>
      <c r="EF350" s="553"/>
      <c r="EG350" s="550"/>
      <c r="EI350" s="551"/>
      <c r="EL350" s="547"/>
      <c r="EM350" s="546"/>
      <c r="EN350" s="551"/>
      <c r="EO350" s="553"/>
      <c r="EP350" s="553"/>
      <c r="EQ350" s="550"/>
      <c r="ES350" s="551"/>
    </row>
    <row r="351" spans="52:149">
      <c r="AZ351" s="547"/>
      <c r="BA351" s="546"/>
      <c r="BB351" s="551"/>
      <c r="BC351" s="553"/>
      <c r="BD351" s="553"/>
      <c r="BE351" s="550"/>
      <c r="BG351" s="551"/>
      <c r="BJ351" s="547"/>
      <c r="BK351" s="546"/>
      <c r="BL351" s="551"/>
      <c r="BM351" s="553"/>
      <c r="BN351" s="553"/>
      <c r="BO351" s="550"/>
      <c r="BQ351" s="551"/>
      <c r="BT351" s="547"/>
      <c r="BU351" s="546"/>
      <c r="BV351" s="551"/>
      <c r="BW351" s="553"/>
      <c r="BX351" s="553"/>
      <c r="BY351" s="550"/>
      <c r="CA351" s="551"/>
      <c r="CD351" s="547"/>
      <c r="CE351" s="546"/>
      <c r="CF351" s="551"/>
      <c r="CG351" s="553"/>
      <c r="CH351" s="553"/>
      <c r="CI351" s="550"/>
      <c r="CK351" s="551"/>
      <c r="CN351" s="547"/>
      <c r="CO351" s="546"/>
      <c r="CP351" s="551"/>
      <c r="CQ351" s="553"/>
      <c r="CR351" s="553"/>
      <c r="CS351" s="550"/>
      <c r="CU351" s="551"/>
      <c r="CX351" s="547"/>
      <c r="CY351" s="546"/>
      <c r="CZ351" s="551"/>
      <c r="DA351" s="553"/>
      <c r="DB351" s="553"/>
      <c r="DC351" s="550"/>
      <c r="DE351" s="551"/>
      <c r="DH351" s="547"/>
      <c r="DI351" s="546"/>
      <c r="DJ351" s="551"/>
      <c r="DK351" s="553"/>
      <c r="DL351" s="553"/>
      <c r="DM351" s="550"/>
      <c r="DO351" s="551"/>
      <c r="DR351" s="547"/>
      <c r="DS351" s="546"/>
      <c r="DT351" s="551"/>
      <c r="DU351" s="553"/>
      <c r="DV351" s="553"/>
      <c r="DW351" s="550"/>
      <c r="DY351" s="551"/>
      <c r="EB351" s="547"/>
      <c r="EC351" s="546"/>
      <c r="ED351" s="551"/>
      <c r="EE351" s="553"/>
      <c r="EF351" s="553"/>
      <c r="EG351" s="550"/>
      <c r="EI351" s="551"/>
      <c r="EL351" s="547"/>
      <c r="EM351" s="546"/>
      <c r="EN351" s="551"/>
      <c r="EO351" s="553"/>
      <c r="EP351" s="553"/>
      <c r="EQ351" s="550"/>
      <c r="ES351" s="551"/>
    </row>
    <row r="352" spans="52:149">
      <c r="AZ352" s="547"/>
      <c r="BA352" s="546"/>
      <c r="BB352" s="551"/>
      <c r="BC352" s="553"/>
      <c r="BD352" s="553"/>
      <c r="BE352" s="550"/>
      <c r="BG352" s="551"/>
      <c r="BJ352" s="547"/>
      <c r="BK352" s="546"/>
      <c r="BL352" s="551"/>
      <c r="BM352" s="553"/>
      <c r="BN352" s="553"/>
      <c r="BO352" s="550"/>
      <c r="BQ352" s="551"/>
      <c r="BT352" s="547"/>
      <c r="BU352" s="546"/>
      <c r="BV352" s="551"/>
      <c r="BW352" s="553"/>
      <c r="BX352" s="553"/>
      <c r="BY352" s="550"/>
      <c r="CA352" s="551"/>
      <c r="CD352" s="547"/>
      <c r="CE352" s="546"/>
      <c r="CF352" s="551"/>
      <c r="CG352" s="553"/>
      <c r="CH352" s="553"/>
      <c r="CI352" s="550"/>
      <c r="CK352" s="551"/>
      <c r="CN352" s="547"/>
      <c r="CO352" s="546"/>
      <c r="CP352" s="551"/>
      <c r="CQ352" s="553"/>
      <c r="CR352" s="553"/>
      <c r="CS352" s="550"/>
      <c r="CU352" s="551"/>
      <c r="CX352" s="547"/>
      <c r="CY352" s="546"/>
      <c r="CZ352" s="551"/>
      <c r="DA352" s="553"/>
      <c r="DB352" s="553"/>
      <c r="DC352" s="550"/>
      <c r="DE352" s="551"/>
      <c r="DH352" s="547"/>
      <c r="DI352" s="546"/>
      <c r="DJ352" s="551"/>
      <c r="DK352" s="553"/>
      <c r="DL352" s="553"/>
      <c r="DM352" s="550"/>
      <c r="DO352" s="551"/>
      <c r="DR352" s="547"/>
      <c r="DS352" s="546"/>
      <c r="DT352" s="551"/>
      <c r="DU352" s="553"/>
      <c r="DV352" s="553"/>
      <c r="DW352" s="550"/>
      <c r="DY352" s="551"/>
      <c r="EB352" s="547"/>
      <c r="EC352" s="546"/>
      <c r="ED352" s="551"/>
      <c r="EE352" s="553"/>
      <c r="EF352" s="553"/>
      <c r="EG352" s="550"/>
      <c r="EI352" s="551"/>
      <c r="EL352" s="547"/>
      <c r="EM352" s="546"/>
      <c r="EN352" s="551"/>
      <c r="EO352" s="553"/>
      <c r="EP352" s="553"/>
      <c r="EQ352" s="550"/>
      <c r="ES352" s="551"/>
    </row>
    <row r="353" spans="52:149">
      <c r="AZ353" s="547"/>
      <c r="BA353" s="546"/>
      <c r="BB353" s="551"/>
      <c r="BC353" s="553"/>
      <c r="BD353" s="553"/>
      <c r="BE353" s="550"/>
      <c r="BG353" s="551"/>
      <c r="BJ353" s="547"/>
      <c r="BK353" s="546"/>
      <c r="BL353" s="551"/>
      <c r="BM353" s="553"/>
      <c r="BN353" s="553"/>
      <c r="BO353" s="550"/>
      <c r="BQ353" s="551"/>
      <c r="BT353" s="547"/>
      <c r="BU353" s="546"/>
      <c r="BV353" s="551"/>
      <c r="BW353" s="553"/>
      <c r="BX353" s="553"/>
      <c r="BY353" s="550"/>
      <c r="CA353" s="551"/>
      <c r="CD353" s="547"/>
      <c r="CE353" s="546"/>
      <c r="CF353" s="551"/>
      <c r="CG353" s="553"/>
      <c r="CH353" s="553"/>
      <c r="CI353" s="550"/>
      <c r="CK353" s="551"/>
      <c r="CN353" s="547"/>
      <c r="CO353" s="546"/>
      <c r="CP353" s="551"/>
      <c r="CQ353" s="553"/>
      <c r="CR353" s="553"/>
      <c r="CS353" s="550"/>
      <c r="CU353" s="551"/>
      <c r="CX353" s="547"/>
      <c r="CY353" s="546"/>
      <c r="CZ353" s="551"/>
      <c r="DA353" s="553"/>
      <c r="DB353" s="553"/>
      <c r="DC353" s="550"/>
      <c r="DE353" s="551"/>
      <c r="DH353" s="547"/>
      <c r="DI353" s="546"/>
      <c r="DJ353" s="551"/>
      <c r="DK353" s="553"/>
      <c r="DL353" s="553"/>
      <c r="DM353" s="550"/>
      <c r="DO353" s="551"/>
      <c r="DR353" s="547"/>
      <c r="DS353" s="546"/>
      <c r="DT353" s="551"/>
      <c r="DU353" s="553"/>
      <c r="DV353" s="553"/>
      <c r="DW353" s="550"/>
      <c r="DY353" s="551"/>
      <c r="EB353" s="547"/>
      <c r="EC353" s="546"/>
      <c r="ED353" s="551"/>
      <c r="EE353" s="553"/>
      <c r="EF353" s="553"/>
      <c r="EG353" s="550"/>
      <c r="EI353" s="551"/>
      <c r="EL353" s="547"/>
      <c r="EM353" s="546"/>
      <c r="EN353" s="551"/>
      <c r="EO353" s="553"/>
      <c r="EP353" s="553"/>
      <c r="EQ353" s="550"/>
      <c r="ES353" s="551"/>
    </row>
    <row r="354" spans="52:149">
      <c r="AZ354" s="547"/>
      <c r="BA354" s="546"/>
      <c r="BB354" s="551"/>
      <c r="BC354" s="553"/>
      <c r="BD354" s="553"/>
      <c r="BE354" s="550"/>
      <c r="BG354" s="551"/>
      <c r="BJ354" s="547"/>
      <c r="BK354" s="546"/>
      <c r="BL354" s="551"/>
      <c r="BM354" s="553"/>
      <c r="BN354" s="553"/>
      <c r="BO354" s="550"/>
      <c r="BQ354" s="551"/>
      <c r="BT354" s="547"/>
      <c r="BU354" s="546"/>
      <c r="BV354" s="551"/>
      <c r="BW354" s="553"/>
      <c r="BX354" s="553"/>
      <c r="BY354" s="550"/>
      <c r="CA354" s="551"/>
      <c r="CD354" s="547"/>
      <c r="CE354" s="546"/>
      <c r="CF354" s="551"/>
      <c r="CG354" s="553"/>
      <c r="CH354" s="553"/>
      <c r="CI354" s="550"/>
      <c r="CK354" s="551"/>
      <c r="CN354" s="547"/>
      <c r="CO354" s="546"/>
      <c r="CP354" s="551"/>
      <c r="CQ354" s="553"/>
      <c r="CR354" s="553"/>
      <c r="CS354" s="550"/>
      <c r="CU354" s="551"/>
      <c r="CX354" s="547"/>
      <c r="CY354" s="546"/>
      <c r="CZ354" s="551"/>
      <c r="DA354" s="553"/>
      <c r="DB354" s="553"/>
      <c r="DC354" s="550"/>
      <c r="DE354" s="551"/>
      <c r="DH354" s="547"/>
      <c r="DI354" s="546"/>
      <c r="DJ354" s="551"/>
      <c r="DK354" s="553"/>
      <c r="DL354" s="553"/>
      <c r="DM354" s="550"/>
      <c r="DO354" s="551"/>
      <c r="DR354" s="547"/>
      <c r="DS354" s="546"/>
      <c r="DT354" s="551"/>
      <c r="DU354" s="553"/>
      <c r="DV354" s="553"/>
      <c r="DW354" s="550"/>
      <c r="DY354" s="551"/>
      <c r="EB354" s="547"/>
      <c r="EC354" s="546"/>
      <c r="ED354" s="551"/>
      <c r="EE354" s="553"/>
      <c r="EF354" s="553"/>
      <c r="EG354" s="550"/>
      <c r="EI354" s="551"/>
      <c r="EL354" s="547"/>
      <c r="EM354" s="546"/>
      <c r="EN354" s="551"/>
      <c r="EO354" s="553"/>
      <c r="EP354" s="553"/>
      <c r="EQ354" s="550"/>
      <c r="ES354" s="551"/>
    </row>
    <row r="355" spans="52:149">
      <c r="AZ355" s="547"/>
      <c r="BA355" s="546"/>
      <c r="BB355" s="551"/>
      <c r="BC355" s="553"/>
      <c r="BD355" s="553"/>
      <c r="BE355" s="550"/>
      <c r="BG355" s="551"/>
      <c r="BJ355" s="547"/>
      <c r="BK355" s="546"/>
      <c r="BL355" s="551"/>
      <c r="BM355" s="553"/>
      <c r="BN355" s="553"/>
      <c r="BO355" s="550"/>
      <c r="BQ355" s="551"/>
      <c r="BT355" s="547"/>
      <c r="BU355" s="546"/>
      <c r="BV355" s="551"/>
      <c r="BW355" s="553"/>
      <c r="BX355" s="553"/>
      <c r="BY355" s="550"/>
      <c r="CA355" s="551"/>
      <c r="CD355" s="547"/>
      <c r="CE355" s="546"/>
      <c r="CF355" s="551"/>
      <c r="CG355" s="553"/>
      <c r="CH355" s="553"/>
      <c r="CI355" s="550"/>
      <c r="CK355" s="551"/>
      <c r="CN355" s="547"/>
      <c r="CO355" s="546"/>
      <c r="CP355" s="551"/>
      <c r="CQ355" s="553"/>
      <c r="CR355" s="553"/>
      <c r="CS355" s="550"/>
      <c r="CU355" s="551"/>
      <c r="CX355" s="547"/>
      <c r="CY355" s="546"/>
      <c r="CZ355" s="551"/>
      <c r="DA355" s="553"/>
      <c r="DB355" s="553"/>
      <c r="DC355" s="550"/>
      <c r="DE355" s="551"/>
      <c r="DH355" s="547"/>
      <c r="DI355" s="546"/>
      <c r="DJ355" s="551"/>
      <c r="DK355" s="553"/>
      <c r="DL355" s="553"/>
      <c r="DM355" s="550"/>
      <c r="DO355" s="551"/>
      <c r="DR355" s="547"/>
      <c r="DS355" s="546"/>
      <c r="DT355" s="551"/>
      <c r="DU355" s="553"/>
      <c r="DV355" s="553"/>
      <c r="DW355" s="550"/>
      <c r="DY355" s="551"/>
      <c r="EB355" s="547"/>
      <c r="EC355" s="546"/>
      <c r="ED355" s="551"/>
      <c r="EE355" s="553"/>
      <c r="EF355" s="553"/>
      <c r="EG355" s="550"/>
      <c r="EI355" s="551"/>
      <c r="EL355" s="547"/>
      <c r="EM355" s="546"/>
      <c r="EN355" s="551"/>
      <c r="EO355" s="553"/>
      <c r="EP355" s="553"/>
      <c r="EQ355" s="550"/>
      <c r="ES355" s="551"/>
    </row>
    <row r="356" spans="52:149">
      <c r="AZ356" s="547"/>
      <c r="BA356" s="546"/>
      <c r="BB356" s="551"/>
      <c r="BC356" s="553"/>
      <c r="BD356" s="553"/>
      <c r="BE356" s="550"/>
      <c r="BG356" s="551"/>
      <c r="BJ356" s="547"/>
      <c r="BK356" s="546"/>
      <c r="BL356" s="551"/>
      <c r="BM356" s="553"/>
      <c r="BN356" s="553"/>
      <c r="BO356" s="550"/>
      <c r="BQ356" s="551"/>
      <c r="BT356" s="547"/>
      <c r="BU356" s="546"/>
      <c r="BV356" s="551"/>
      <c r="BW356" s="553"/>
      <c r="BX356" s="553"/>
      <c r="BY356" s="550"/>
      <c r="CA356" s="551"/>
      <c r="CD356" s="547"/>
      <c r="CE356" s="546"/>
      <c r="CF356" s="551"/>
      <c r="CG356" s="553"/>
      <c r="CH356" s="553"/>
      <c r="CI356" s="550"/>
      <c r="CK356" s="551"/>
      <c r="CN356" s="547"/>
      <c r="CO356" s="546"/>
      <c r="CP356" s="551"/>
      <c r="CQ356" s="553"/>
      <c r="CR356" s="553"/>
      <c r="CS356" s="550"/>
      <c r="CU356" s="551"/>
      <c r="CX356" s="547"/>
      <c r="CY356" s="546"/>
      <c r="CZ356" s="551"/>
      <c r="DA356" s="553"/>
      <c r="DB356" s="553"/>
      <c r="DC356" s="550"/>
      <c r="DE356" s="551"/>
      <c r="DH356" s="547"/>
      <c r="DI356" s="546"/>
      <c r="DJ356" s="551"/>
      <c r="DK356" s="553"/>
      <c r="DL356" s="553"/>
      <c r="DM356" s="550"/>
      <c r="DO356" s="551"/>
      <c r="DR356" s="547"/>
      <c r="DS356" s="546"/>
      <c r="DT356" s="551"/>
      <c r="DU356" s="553"/>
      <c r="DV356" s="553"/>
      <c r="DW356" s="550"/>
      <c r="DY356" s="551"/>
      <c r="EB356" s="547"/>
      <c r="EC356" s="546"/>
      <c r="ED356" s="551"/>
      <c r="EE356" s="553"/>
      <c r="EF356" s="553"/>
      <c r="EG356" s="550"/>
      <c r="EI356" s="551"/>
      <c r="EL356" s="547"/>
      <c r="EM356" s="546"/>
      <c r="EN356" s="551"/>
      <c r="EO356" s="553"/>
      <c r="EP356" s="553"/>
      <c r="EQ356" s="550"/>
      <c r="ES356" s="551"/>
    </row>
    <row r="357" spans="52:149">
      <c r="AZ357" s="547"/>
      <c r="BA357" s="546"/>
      <c r="BB357" s="551"/>
      <c r="BC357" s="553"/>
      <c r="BD357" s="553"/>
      <c r="BE357" s="550"/>
      <c r="BG357" s="551"/>
      <c r="BJ357" s="547"/>
      <c r="BK357" s="546"/>
      <c r="BL357" s="551"/>
      <c r="BM357" s="553"/>
      <c r="BN357" s="553"/>
      <c r="BO357" s="550"/>
      <c r="BQ357" s="551"/>
      <c r="BT357" s="547"/>
      <c r="BU357" s="546"/>
      <c r="BV357" s="551"/>
      <c r="BW357" s="553"/>
      <c r="BX357" s="553"/>
      <c r="BY357" s="550"/>
      <c r="CA357" s="551"/>
      <c r="CD357" s="547"/>
      <c r="CE357" s="546"/>
      <c r="CF357" s="551"/>
      <c r="CG357" s="553"/>
      <c r="CH357" s="553"/>
      <c r="CI357" s="550"/>
      <c r="CK357" s="551"/>
      <c r="CN357" s="547"/>
      <c r="CO357" s="546"/>
      <c r="CP357" s="551"/>
      <c r="CQ357" s="553"/>
      <c r="CR357" s="553"/>
      <c r="CS357" s="550"/>
      <c r="CU357" s="551"/>
      <c r="CX357" s="547"/>
      <c r="CY357" s="546"/>
      <c r="CZ357" s="551"/>
      <c r="DA357" s="553"/>
      <c r="DB357" s="553"/>
      <c r="DC357" s="550"/>
      <c r="DE357" s="551"/>
      <c r="DH357" s="547"/>
      <c r="DI357" s="546"/>
      <c r="DJ357" s="551"/>
      <c r="DK357" s="553"/>
      <c r="DL357" s="553"/>
      <c r="DM357" s="550"/>
      <c r="DO357" s="551"/>
      <c r="DR357" s="547"/>
      <c r="DS357" s="546"/>
      <c r="DT357" s="551"/>
      <c r="DU357" s="553"/>
      <c r="DV357" s="553"/>
      <c r="DW357" s="550"/>
      <c r="DY357" s="551"/>
      <c r="EB357" s="547"/>
      <c r="EC357" s="546"/>
      <c r="ED357" s="551"/>
      <c r="EE357" s="553"/>
      <c r="EF357" s="553"/>
      <c r="EG357" s="550"/>
      <c r="EI357" s="551"/>
      <c r="EL357" s="547"/>
      <c r="EM357" s="546"/>
      <c r="EN357" s="551"/>
      <c r="EO357" s="553"/>
      <c r="EP357" s="553"/>
      <c r="EQ357" s="550"/>
      <c r="ES357" s="551"/>
    </row>
    <row r="358" spans="52:149">
      <c r="AZ358" s="547"/>
      <c r="BA358" s="546"/>
      <c r="BB358" s="551"/>
      <c r="BC358" s="553"/>
      <c r="BD358" s="553"/>
      <c r="BE358" s="550"/>
      <c r="BG358" s="551"/>
      <c r="BJ358" s="547"/>
      <c r="BK358" s="546"/>
      <c r="BL358" s="551"/>
      <c r="BM358" s="553"/>
      <c r="BN358" s="553"/>
      <c r="BO358" s="550"/>
      <c r="BQ358" s="551"/>
      <c r="BT358" s="547"/>
      <c r="BU358" s="546"/>
      <c r="BV358" s="551"/>
      <c r="BW358" s="553"/>
      <c r="BX358" s="553"/>
      <c r="BY358" s="550"/>
      <c r="CA358" s="551"/>
      <c r="CD358" s="547"/>
      <c r="CE358" s="546"/>
      <c r="CF358" s="551"/>
      <c r="CG358" s="553"/>
      <c r="CH358" s="553"/>
      <c r="CI358" s="550"/>
      <c r="CK358" s="551"/>
      <c r="CN358" s="547"/>
      <c r="CO358" s="546"/>
      <c r="CP358" s="551"/>
      <c r="CQ358" s="553"/>
      <c r="CR358" s="553"/>
      <c r="CS358" s="550"/>
      <c r="CU358" s="551"/>
      <c r="CX358" s="547"/>
      <c r="CY358" s="546"/>
      <c r="CZ358" s="551"/>
      <c r="DA358" s="553"/>
      <c r="DB358" s="553"/>
      <c r="DC358" s="550"/>
      <c r="DE358" s="551"/>
      <c r="DH358" s="547"/>
      <c r="DI358" s="546"/>
      <c r="DJ358" s="551"/>
      <c r="DK358" s="553"/>
      <c r="DL358" s="553"/>
      <c r="DM358" s="550"/>
      <c r="DO358" s="551"/>
      <c r="DR358" s="547"/>
      <c r="DS358" s="546"/>
      <c r="DT358" s="551"/>
      <c r="DU358" s="553"/>
      <c r="DV358" s="553"/>
      <c r="DW358" s="550"/>
      <c r="DY358" s="551"/>
      <c r="EB358" s="547"/>
      <c r="EC358" s="546"/>
      <c r="ED358" s="551"/>
      <c r="EE358" s="553"/>
      <c r="EF358" s="553"/>
      <c r="EG358" s="550"/>
      <c r="EI358" s="551"/>
      <c r="EL358" s="547"/>
      <c r="EM358" s="546"/>
      <c r="EN358" s="551"/>
      <c r="EO358" s="553"/>
      <c r="EP358" s="553"/>
      <c r="EQ358" s="550"/>
      <c r="ES358" s="551"/>
    </row>
    <row r="359" spans="52:149">
      <c r="AZ359" s="547"/>
      <c r="BA359" s="546"/>
      <c r="BB359" s="551"/>
      <c r="BC359" s="553"/>
      <c r="BD359" s="553"/>
      <c r="BE359" s="550"/>
      <c r="BG359" s="551"/>
      <c r="BJ359" s="547"/>
      <c r="BK359" s="546"/>
      <c r="BL359" s="551"/>
      <c r="BM359" s="553"/>
      <c r="BN359" s="553"/>
      <c r="BO359" s="550"/>
      <c r="BQ359" s="551"/>
      <c r="BT359" s="547"/>
      <c r="BU359" s="546"/>
      <c r="BV359" s="551"/>
      <c r="BW359" s="553"/>
      <c r="BX359" s="553"/>
      <c r="BY359" s="550"/>
      <c r="CA359" s="551"/>
      <c r="CD359" s="547"/>
      <c r="CE359" s="546"/>
      <c r="CF359" s="551"/>
      <c r="CG359" s="553"/>
      <c r="CH359" s="553"/>
      <c r="CI359" s="550"/>
      <c r="CK359" s="551"/>
      <c r="CN359" s="547"/>
      <c r="CO359" s="546"/>
      <c r="CP359" s="551"/>
      <c r="CQ359" s="553"/>
      <c r="CR359" s="553"/>
      <c r="CS359" s="550"/>
      <c r="CU359" s="551"/>
      <c r="CX359" s="547"/>
      <c r="CY359" s="546"/>
      <c r="CZ359" s="551"/>
      <c r="DA359" s="553"/>
      <c r="DB359" s="553"/>
      <c r="DC359" s="550"/>
      <c r="DE359" s="551"/>
      <c r="DH359" s="547"/>
      <c r="DI359" s="546"/>
      <c r="DJ359" s="551"/>
      <c r="DK359" s="553"/>
      <c r="DL359" s="553"/>
      <c r="DM359" s="550"/>
      <c r="DO359" s="551"/>
      <c r="DR359" s="547"/>
      <c r="DS359" s="546"/>
      <c r="DT359" s="551"/>
      <c r="DU359" s="553"/>
      <c r="DV359" s="553"/>
      <c r="DW359" s="550"/>
      <c r="DY359" s="551"/>
      <c r="EB359" s="547"/>
      <c r="EC359" s="546"/>
      <c r="ED359" s="551"/>
      <c r="EE359" s="553"/>
      <c r="EF359" s="553"/>
      <c r="EG359" s="550"/>
      <c r="EI359" s="551"/>
      <c r="EL359" s="547"/>
      <c r="EM359" s="546"/>
      <c r="EN359" s="551"/>
      <c r="EO359" s="553"/>
      <c r="EP359" s="553"/>
      <c r="EQ359" s="550"/>
      <c r="ES359" s="551"/>
    </row>
    <row r="360" spans="52:149">
      <c r="AZ360" s="547"/>
      <c r="BA360" s="546"/>
      <c r="BB360" s="551"/>
      <c r="BC360" s="553"/>
      <c r="BD360" s="553"/>
      <c r="BE360" s="550"/>
      <c r="BG360" s="551"/>
      <c r="BJ360" s="547"/>
      <c r="BK360" s="546"/>
      <c r="BL360" s="551"/>
      <c r="BM360" s="553"/>
      <c r="BN360" s="553"/>
      <c r="BO360" s="550"/>
      <c r="BQ360" s="551"/>
      <c r="BT360" s="547"/>
      <c r="BU360" s="546"/>
      <c r="BV360" s="551"/>
      <c r="BW360" s="553"/>
      <c r="BX360" s="553"/>
      <c r="BY360" s="550"/>
      <c r="CA360" s="551"/>
      <c r="CD360" s="547"/>
      <c r="CE360" s="546"/>
      <c r="CF360" s="551"/>
      <c r="CG360" s="553"/>
      <c r="CH360" s="553"/>
      <c r="CI360" s="550"/>
      <c r="CK360" s="551"/>
      <c r="CN360" s="547"/>
      <c r="CO360" s="546"/>
      <c r="CP360" s="551"/>
      <c r="CQ360" s="553"/>
      <c r="CR360" s="553"/>
      <c r="CS360" s="550"/>
      <c r="CU360" s="551"/>
      <c r="CX360" s="547"/>
      <c r="CY360" s="546"/>
      <c r="CZ360" s="551"/>
      <c r="DA360" s="553"/>
      <c r="DB360" s="553"/>
      <c r="DC360" s="550"/>
      <c r="DE360" s="551"/>
      <c r="DH360" s="547"/>
      <c r="DI360" s="546"/>
      <c r="DJ360" s="551"/>
      <c r="DK360" s="553"/>
      <c r="DL360" s="553"/>
      <c r="DM360" s="550"/>
      <c r="DO360" s="551"/>
      <c r="DR360" s="547"/>
      <c r="DS360" s="546"/>
      <c r="DT360" s="551"/>
      <c r="DU360" s="553"/>
      <c r="DV360" s="553"/>
      <c r="DW360" s="550"/>
      <c r="DY360" s="551"/>
      <c r="EB360" s="547"/>
      <c r="EC360" s="546"/>
      <c r="ED360" s="551"/>
      <c r="EE360" s="553"/>
      <c r="EF360" s="553"/>
      <c r="EG360" s="550"/>
      <c r="EI360" s="551"/>
      <c r="EL360" s="547"/>
      <c r="EM360" s="546"/>
      <c r="EN360" s="551"/>
      <c r="EO360" s="553"/>
      <c r="EP360" s="553"/>
      <c r="EQ360" s="550"/>
      <c r="ES360" s="551"/>
    </row>
    <row r="361" spans="52:149">
      <c r="AZ361" s="547"/>
      <c r="BA361" s="546"/>
      <c r="BB361" s="551"/>
      <c r="BC361" s="553"/>
      <c r="BD361" s="553"/>
      <c r="BE361" s="550"/>
      <c r="BG361" s="551"/>
      <c r="BJ361" s="547"/>
      <c r="BK361" s="546"/>
      <c r="BL361" s="551"/>
      <c r="BM361" s="553"/>
      <c r="BN361" s="553"/>
      <c r="BO361" s="550"/>
      <c r="BQ361" s="551"/>
      <c r="BT361" s="547"/>
      <c r="BU361" s="546"/>
      <c r="BV361" s="551"/>
      <c r="BW361" s="553"/>
      <c r="BX361" s="553"/>
      <c r="BY361" s="550"/>
      <c r="CA361" s="551"/>
      <c r="CD361" s="547"/>
      <c r="CE361" s="546"/>
      <c r="CF361" s="551"/>
      <c r="CG361" s="553"/>
      <c r="CH361" s="553"/>
      <c r="CI361" s="550"/>
      <c r="CK361" s="551"/>
      <c r="CN361" s="547"/>
      <c r="CO361" s="546"/>
      <c r="CP361" s="551"/>
      <c r="CQ361" s="553"/>
      <c r="CR361" s="553"/>
      <c r="CS361" s="550"/>
      <c r="CU361" s="551"/>
      <c r="CX361" s="547"/>
      <c r="CY361" s="546"/>
      <c r="CZ361" s="551"/>
      <c r="DA361" s="553"/>
      <c r="DB361" s="553"/>
      <c r="DC361" s="550"/>
      <c r="DE361" s="551"/>
      <c r="DH361" s="547"/>
      <c r="DI361" s="546"/>
      <c r="DJ361" s="551"/>
      <c r="DK361" s="553"/>
      <c r="DL361" s="553"/>
      <c r="DM361" s="550"/>
      <c r="DO361" s="551"/>
      <c r="DR361" s="547"/>
      <c r="DS361" s="546"/>
      <c r="DT361" s="551"/>
      <c r="DU361" s="553"/>
      <c r="DV361" s="553"/>
      <c r="DW361" s="550"/>
      <c r="DY361" s="551"/>
      <c r="EB361" s="547"/>
      <c r="EC361" s="546"/>
      <c r="ED361" s="551"/>
      <c r="EE361" s="553"/>
      <c r="EF361" s="553"/>
      <c r="EG361" s="550"/>
      <c r="EI361" s="551"/>
      <c r="EL361" s="547"/>
      <c r="EM361" s="546"/>
      <c r="EN361" s="551"/>
      <c r="EO361" s="553"/>
      <c r="EP361" s="553"/>
      <c r="EQ361" s="550"/>
      <c r="ES361" s="551"/>
    </row>
    <row r="362" spans="52:149">
      <c r="AZ362" s="547"/>
      <c r="BA362" s="546"/>
      <c r="BB362" s="551"/>
      <c r="BC362" s="553"/>
      <c r="BD362" s="553"/>
      <c r="BE362" s="550"/>
      <c r="BG362" s="551"/>
      <c r="BJ362" s="547"/>
      <c r="BK362" s="546"/>
      <c r="BL362" s="551"/>
      <c r="BM362" s="553"/>
      <c r="BN362" s="553"/>
      <c r="BO362" s="550"/>
      <c r="BQ362" s="551"/>
      <c r="BT362" s="547"/>
      <c r="BU362" s="546"/>
      <c r="BV362" s="551"/>
      <c r="BW362" s="553"/>
      <c r="BX362" s="553"/>
      <c r="BY362" s="550"/>
      <c r="CA362" s="551"/>
      <c r="CD362" s="547"/>
      <c r="CE362" s="546"/>
      <c r="CF362" s="551"/>
      <c r="CG362" s="553"/>
      <c r="CH362" s="553"/>
      <c r="CI362" s="550"/>
      <c r="CK362" s="551"/>
      <c r="CN362" s="547"/>
      <c r="CO362" s="546"/>
      <c r="CP362" s="551"/>
      <c r="CQ362" s="553"/>
      <c r="CR362" s="553"/>
      <c r="CS362" s="550"/>
      <c r="CU362" s="551"/>
      <c r="CX362" s="547"/>
      <c r="CY362" s="546"/>
      <c r="CZ362" s="551"/>
      <c r="DA362" s="553"/>
      <c r="DB362" s="553"/>
      <c r="DC362" s="550"/>
      <c r="DE362" s="551"/>
      <c r="DH362" s="547"/>
      <c r="DI362" s="546"/>
      <c r="DJ362" s="551"/>
      <c r="DK362" s="553"/>
      <c r="DL362" s="553"/>
      <c r="DM362" s="550"/>
      <c r="DO362" s="551"/>
      <c r="DR362" s="547"/>
      <c r="DS362" s="546"/>
      <c r="DT362" s="551"/>
      <c r="DU362" s="553"/>
      <c r="DV362" s="553"/>
      <c r="DW362" s="550"/>
      <c r="DY362" s="551"/>
      <c r="EB362" s="547"/>
      <c r="EC362" s="546"/>
      <c r="ED362" s="551"/>
      <c r="EE362" s="553"/>
      <c r="EF362" s="553"/>
      <c r="EG362" s="550"/>
      <c r="EI362" s="551"/>
      <c r="EL362" s="547"/>
      <c r="EM362" s="546"/>
      <c r="EN362" s="551"/>
      <c r="EO362" s="553"/>
      <c r="EP362" s="553"/>
      <c r="EQ362" s="550"/>
      <c r="ES362" s="551"/>
    </row>
    <row r="363" spans="52:149">
      <c r="AZ363" s="547"/>
      <c r="BA363" s="546"/>
      <c r="BB363" s="551"/>
      <c r="BC363" s="553"/>
      <c r="BD363" s="553"/>
      <c r="BE363" s="550"/>
      <c r="BG363" s="551"/>
      <c r="BJ363" s="547"/>
      <c r="BK363" s="546"/>
      <c r="BL363" s="551"/>
      <c r="BM363" s="553"/>
      <c r="BN363" s="553"/>
      <c r="BO363" s="550"/>
      <c r="BQ363" s="551"/>
      <c r="BT363" s="547"/>
      <c r="BU363" s="546"/>
      <c r="BV363" s="551"/>
      <c r="BW363" s="553"/>
      <c r="BX363" s="553"/>
      <c r="BY363" s="550"/>
      <c r="CA363" s="551"/>
      <c r="CD363" s="547"/>
      <c r="CE363" s="546"/>
      <c r="CF363" s="551"/>
      <c r="CG363" s="553"/>
      <c r="CH363" s="553"/>
      <c r="CI363" s="550"/>
      <c r="CK363" s="551"/>
      <c r="CN363" s="547"/>
      <c r="CO363" s="546"/>
      <c r="CP363" s="551"/>
      <c r="CQ363" s="553"/>
      <c r="CR363" s="553"/>
      <c r="CS363" s="550"/>
      <c r="CU363" s="551"/>
      <c r="CX363" s="547"/>
      <c r="CY363" s="546"/>
      <c r="CZ363" s="551"/>
      <c r="DA363" s="553"/>
      <c r="DB363" s="553"/>
      <c r="DC363" s="550"/>
      <c r="DE363" s="551"/>
      <c r="DH363" s="547"/>
      <c r="DI363" s="546"/>
      <c r="DJ363" s="551"/>
      <c r="DK363" s="553"/>
      <c r="DL363" s="553"/>
      <c r="DM363" s="550"/>
      <c r="DO363" s="551"/>
      <c r="DR363" s="547"/>
      <c r="DS363" s="546"/>
      <c r="DT363" s="551"/>
      <c r="DU363" s="553"/>
      <c r="DV363" s="553"/>
      <c r="DW363" s="550"/>
      <c r="DY363" s="551"/>
      <c r="EB363" s="547"/>
      <c r="EC363" s="546"/>
      <c r="ED363" s="551"/>
      <c r="EE363" s="553"/>
      <c r="EF363" s="553"/>
      <c r="EG363" s="550"/>
      <c r="EI363" s="551"/>
      <c r="EL363" s="547"/>
      <c r="EM363" s="546"/>
      <c r="EN363" s="551"/>
      <c r="EO363" s="553"/>
      <c r="EP363" s="553"/>
      <c r="EQ363" s="550"/>
      <c r="ES363" s="551"/>
    </row>
    <row r="364" spans="52:149">
      <c r="AZ364" s="547"/>
      <c r="BA364" s="546"/>
      <c r="BB364" s="551"/>
      <c r="BC364" s="553"/>
      <c r="BD364" s="553"/>
      <c r="BE364" s="550"/>
      <c r="BG364" s="551"/>
      <c r="BJ364" s="547"/>
      <c r="BK364" s="546"/>
      <c r="BL364" s="551"/>
      <c r="BM364" s="553"/>
      <c r="BN364" s="553"/>
      <c r="BO364" s="550"/>
      <c r="BQ364" s="551"/>
      <c r="BT364" s="547"/>
      <c r="BU364" s="546"/>
      <c r="BV364" s="551"/>
      <c r="BW364" s="553"/>
      <c r="BX364" s="553"/>
      <c r="BY364" s="550"/>
      <c r="CA364" s="551"/>
      <c r="CD364" s="547"/>
      <c r="CE364" s="546"/>
      <c r="CF364" s="551"/>
      <c r="CG364" s="553"/>
      <c r="CH364" s="553"/>
      <c r="CI364" s="550"/>
      <c r="CK364" s="551"/>
      <c r="CN364" s="547"/>
      <c r="CO364" s="546"/>
      <c r="CP364" s="551"/>
      <c r="CQ364" s="553"/>
      <c r="CR364" s="553"/>
      <c r="CS364" s="550"/>
      <c r="CU364" s="551"/>
      <c r="CX364" s="547"/>
      <c r="CY364" s="546"/>
      <c r="CZ364" s="551"/>
      <c r="DA364" s="553"/>
      <c r="DB364" s="553"/>
      <c r="DC364" s="550"/>
      <c r="DE364" s="551"/>
      <c r="DH364" s="547"/>
      <c r="DI364" s="546"/>
      <c r="DJ364" s="551"/>
      <c r="DK364" s="553"/>
      <c r="DL364" s="553"/>
      <c r="DM364" s="550"/>
      <c r="DO364" s="551"/>
      <c r="DR364" s="547"/>
      <c r="DS364" s="546"/>
      <c r="DT364" s="551"/>
      <c r="DU364" s="553"/>
      <c r="DV364" s="553"/>
      <c r="DW364" s="550"/>
      <c r="DY364" s="551"/>
      <c r="EB364" s="547"/>
      <c r="EC364" s="546"/>
      <c r="ED364" s="551"/>
      <c r="EE364" s="553"/>
      <c r="EF364" s="553"/>
      <c r="EG364" s="550"/>
      <c r="EI364" s="551"/>
      <c r="EL364" s="547"/>
      <c r="EM364" s="546"/>
      <c r="EN364" s="551"/>
      <c r="EO364" s="553"/>
      <c r="EP364" s="553"/>
      <c r="EQ364" s="550"/>
      <c r="ES364" s="551"/>
    </row>
    <row r="365" spans="52:149">
      <c r="AZ365" s="547"/>
      <c r="BA365" s="546"/>
      <c r="BB365" s="551"/>
      <c r="BC365" s="553"/>
      <c r="BD365" s="553"/>
      <c r="BE365" s="550"/>
      <c r="BG365" s="551"/>
      <c r="BJ365" s="547"/>
      <c r="BK365" s="546"/>
      <c r="BL365" s="551"/>
      <c r="BM365" s="553"/>
      <c r="BN365" s="553"/>
      <c r="BO365" s="550"/>
      <c r="BQ365" s="551"/>
      <c r="BT365" s="547"/>
      <c r="BU365" s="546"/>
      <c r="BV365" s="551"/>
      <c r="BW365" s="553"/>
      <c r="BX365" s="553"/>
      <c r="BY365" s="550"/>
      <c r="CA365" s="551"/>
      <c r="CD365" s="547"/>
      <c r="CE365" s="546"/>
      <c r="CF365" s="551"/>
      <c r="CG365" s="553"/>
      <c r="CH365" s="553"/>
      <c r="CI365" s="550"/>
      <c r="CK365" s="551"/>
      <c r="CN365" s="547"/>
      <c r="CO365" s="546"/>
      <c r="CP365" s="551"/>
      <c r="CQ365" s="553"/>
      <c r="CR365" s="553"/>
      <c r="CS365" s="550"/>
      <c r="CU365" s="551"/>
      <c r="CX365" s="547"/>
      <c r="CY365" s="546"/>
      <c r="CZ365" s="551"/>
      <c r="DA365" s="553"/>
      <c r="DB365" s="553"/>
      <c r="DC365" s="550"/>
      <c r="DE365" s="551"/>
      <c r="DH365" s="547"/>
      <c r="DI365" s="546"/>
      <c r="DJ365" s="551"/>
      <c r="DK365" s="553"/>
      <c r="DL365" s="553"/>
      <c r="DM365" s="550"/>
      <c r="DO365" s="551"/>
      <c r="DR365" s="547"/>
      <c r="DS365" s="546"/>
      <c r="DT365" s="551"/>
      <c r="DU365" s="553"/>
      <c r="DV365" s="553"/>
      <c r="DW365" s="550"/>
      <c r="DY365" s="551"/>
      <c r="EB365" s="547"/>
      <c r="EC365" s="546"/>
      <c r="ED365" s="551"/>
      <c r="EE365" s="553"/>
      <c r="EF365" s="553"/>
      <c r="EG365" s="550"/>
      <c r="EI365" s="551"/>
      <c r="EL365" s="547"/>
      <c r="EM365" s="546"/>
      <c r="EN365" s="551"/>
      <c r="EO365" s="553"/>
      <c r="EP365" s="553"/>
      <c r="EQ365" s="550"/>
      <c r="ES365" s="551"/>
    </row>
    <row r="366" spans="52:149">
      <c r="AZ366" s="547"/>
      <c r="BA366" s="546"/>
      <c r="BB366" s="551"/>
      <c r="BC366" s="553"/>
      <c r="BD366" s="553"/>
      <c r="BE366" s="550"/>
      <c r="BG366" s="551"/>
      <c r="BJ366" s="547"/>
      <c r="BK366" s="546"/>
      <c r="BL366" s="551"/>
      <c r="BM366" s="553"/>
      <c r="BN366" s="553"/>
      <c r="BO366" s="550"/>
      <c r="BQ366" s="551"/>
      <c r="BT366" s="547"/>
      <c r="BU366" s="546"/>
      <c r="BV366" s="551"/>
      <c r="BW366" s="553"/>
      <c r="BX366" s="553"/>
      <c r="BY366" s="550"/>
      <c r="CA366" s="551"/>
      <c r="CD366" s="547"/>
      <c r="CE366" s="546"/>
      <c r="CF366" s="551"/>
      <c r="CG366" s="553"/>
      <c r="CH366" s="553"/>
      <c r="CI366" s="550"/>
      <c r="CK366" s="551"/>
      <c r="CN366" s="547"/>
      <c r="CO366" s="546"/>
      <c r="CP366" s="551"/>
      <c r="CQ366" s="553"/>
      <c r="CR366" s="553"/>
      <c r="CS366" s="550"/>
      <c r="CU366" s="551"/>
      <c r="CX366" s="547"/>
      <c r="CY366" s="546"/>
      <c r="CZ366" s="551"/>
      <c r="DA366" s="553"/>
      <c r="DB366" s="553"/>
      <c r="DC366" s="550"/>
      <c r="DE366" s="551"/>
      <c r="DH366" s="547"/>
      <c r="DI366" s="546"/>
      <c r="DJ366" s="551"/>
      <c r="DK366" s="553"/>
      <c r="DL366" s="553"/>
      <c r="DM366" s="550"/>
      <c r="DO366" s="551"/>
      <c r="DR366" s="547"/>
      <c r="DS366" s="546"/>
      <c r="DT366" s="551"/>
      <c r="DU366" s="553"/>
      <c r="DV366" s="553"/>
      <c r="DW366" s="550"/>
      <c r="DY366" s="551"/>
      <c r="EB366" s="547"/>
      <c r="EC366" s="546"/>
      <c r="ED366" s="551"/>
      <c r="EE366" s="553"/>
      <c r="EF366" s="553"/>
      <c r="EG366" s="550"/>
      <c r="EI366" s="551"/>
      <c r="EL366" s="547"/>
      <c r="EM366" s="546"/>
      <c r="EN366" s="551"/>
      <c r="EO366" s="553"/>
      <c r="EP366" s="553"/>
      <c r="EQ366" s="550"/>
      <c r="ES366" s="551"/>
    </row>
    <row r="367" spans="52:149">
      <c r="AZ367" s="547"/>
      <c r="BA367" s="546"/>
      <c r="BB367" s="551"/>
      <c r="BC367" s="553"/>
      <c r="BD367" s="553"/>
      <c r="BE367" s="550"/>
      <c r="BG367" s="551"/>
      <c r="BJ367" s="547"/>
      <c r="BK367" s="546"/>
      <c r="BL367" s="551"/>
      <c r="BM367" s="553"/>
      <c r="BN367" s="553"/>
      <c r="BO367" s="550"/>
      <c r="BQ367" s="551"/>
      <c r="BT367" s="547"/>
      <c r="BU367" s="546"/>
      <c r="BV367" s="551"/>
      <c r="BW367" s="553"/>
      <c r="BX367" s="553"/>
      <c r="BY367" s="550"/>
      <c r="CA367" s="551"/>
      <c r="CD367" s="547"/>
      <c r="CE367" s="546"/>
      <c r="CF367" s="551"/>
      <c r="CG367" s="553"/>
      <c r="CH367" s="553"/>
      <c r="CI367" s="550"/>
      <c r="CK367" s="551"/>
      <c r="CN367" s="547"/>
      <c r="CO367" s="546"/>
      <c r="CP367" s="551"/>
      <c r="CQ367" s="553"/>
      <c r="CR367" s="553"/>
      <c r="CS367" s="550"/>
      <c r="CU367" s="551"/>
      <c r="CX367" s="547"/>
      <c r="CY367" s="546"/>
      <c r="CZ367" s="551"/>
      <c r="DA367" s="553"/>
      <c r="DB367" s="553"/>
      <c r="DC367" s="550"/>
      <c r="DE367" s="551"/>
      <c r="DH367" s="547"/>
      <c r="DI367" s="546"/>
      <c r="DJ367" s="551"/>
      <c r="DK367" s="553"/>
      <c r="DL367" s="553"/>
      <c r="DM367" s="550"/>
      <c r="DO367" s="551"/>
      <c r="DR367" s="547"/>
      <c r="DS367" s="546"/>
      <c r="DT367" s="551"/>
      <c r="DU367" s="553"/>
      <c r="DV367" s="553"/>
      <c r="DW367" s="550"/>
      <c r="DY367" s="551"/>
      <c r="EB367" s="547"/>
      <c r="EC367" s="546"/>
      <c r="ED367" s="551"/>
      <c r="EE367" s="553"/>
      <c r="EF367" s="553"/>
      <c r="EG367" s="550"/>
      <c r="EI367" s="551"/>
      <c r="EL367" s="547"/>
      <c r="EM367" s="546"/>
      <c r="EN367" s="551"/>
      <c r="EO367" s="553"/>
      <c r="EP367" s="553"/>
      <c r="EQ367" s="550"/>
      <c r="ES367" s="551"/>
    </row>
    <row r="368" spans="52:149">
      <c r="AZ368" s="547"/>
      <c r="BA368" s="546"/>
      <c r="BB368" s="551"/>
      <c r="BC368" s="553"/>
      <c r="BD368" s="553"/>
      <c r="BE368" s="550"/>
      <c r="BG368" s="551"/>
      <c r="BJ368" s="547"/>
      <c r="BK368" s="546"/>
      <c r="BL368" s="551"/>
      <c r="BM368" s="553"/>
      <c r="BN368" s="553"/>
      <c r="BO368" s="550"/>
      <c r="BQ368" s="551"/>
      <c r="BT368" s="547"/>
      <c r="BU368" s="546"/>
      <c r="BV368" s="551"/>
      <c r="BW368" s="553"/>
      <c r="BX368" s="553"/>
      <c r="BY368" s="550"/>
      <c r="CA368" s="551"/>
      <c r="CD368" s="547"/>
      <c r="CE368" s="546"/>
      <c r="CF368" s="551"/>
      <c r="CG368" s="553"/>
      <c r="CH368" s="553"/>
      <c r="CI368" s="550"/>
      <c r="CK368" s="551"/>
      <c r="CN368" s="547"/>
      <c r="CO368" s="546"/>
      <c r="CP368" s="551"/>
      <c r="CQ368" s="553"/>
      <c r="CR368" s="553"/>
      <c r="CS368" s="550"/>
      <c r="CU368" s="551"/>
      <c r="CX368" s="547"/>
      <c r="CY368" s="546"/>
      <c r="CZ368" s="551"/>
      <c r="DA368" s="553"/>
      <c r="DB368" s="553"/>
      <c r="DC368" s="550"/>
      <c r="DE368" s="551"/>
      <c r="DH368" s="547"/>
      <c r="DI368" s="546"/>
      <c r="DJ368" s="551"/>
      <c r="DK368" s="553"/>
      <c r="DL368" s="553"/>
      <c r="DM368" s="550"/>
      <c r="DO368" s="551"/>
      <c r="DR368" s="547"/>
      <c r="DS368" s="546"/>
      <c r="DT368" s="551"/>
      <c r="DU368" s="553"/>
      <c r="DV368" s="553"/>
      <c r="DW368" s="550"/>
      <c r="DY368" s="551"/>
      <c r="EB368" s="547"/>
      <c r="EC368" s="546"/>
      <c r="ED368" s="551"/>
      <c r="EE368" s="553"/>
      <c r="EF368" s="553"/>
      <c r="EG368" s="550"/>
      <c r="EI368" s="551"/>
      <c r="EL368" s="547"/>
      <c r="EM368" s="546"/>
      <c r="EN368" s="551"/>
      <c r="EO368" s="553"/>
      <c r="EP368" s="553"/>
      <c r="EQ368" s="550"/>
      <c r="ES368" s="551"/>
    </row>
    <row r="369" spans="52:149">
      <c r="AZ369" s="547"/>
      <c r="BA369" s="546"/>
      <c r="BB369" s="551"/>
      <c r="BC369" s="553"/>
      <c r="BD369" s="553"/>
      <c r="BE369" s="550"/>
      <c r="BG369" s="551"/>
      <c r="BJ369" s="547"/>
      <c r="BK369" s="546"/>
      <c r="BL369" s="551"/>
      <c r="BM369" s="553"/>
      <c r="BN369" s="553"/>
      <c r="BO369" s="550"/>
      <c r="BQ369" s="551"/>
      <c r="BT369" s="547"/>
      <c r="BU369" s="546"/>
      <c r="BV369" s="551"/>
      <c r="BW369" s="553"/>
      <c r="BX369" s="553"/>
      <c r="BY369" s="550"/>
      <c r="CA369" s="551"/>
      <c r="CD369" s="547"/>
      <c r="CE369" s="546"/>
      <c r="CF369" s="551"/>
      <c r="CG369" s="553"/>
      <c r="CH369" s="553"/>
      <c r="CI369" s="550"/>
      <c r="CK369" s="551"/>
      <c r="CN369" s="547"/>
      <c r="CO369" s="546"/>
      <c r="CP369" s="551"/>
      <c r="CQ369" s="553"/>
      <c r="CR369" s="553"/>
      <c r="CS369" s="550"/>
      <c r="CU369" s="551"/>
      <c r="CX369" s="547"/>
      <c r="CY369" s="546"/>
      <c r="CZ369" s="551"/>
      <c r="DA369" s="553"/>
      <c r="DB369" s="553"/>
      <c r="DC369" s="550"/>
      <c r="DE369" s="551"/>
      <c r="DH369" s="547"/>
      <c r="DI369" s="546"/>
      <c r="DJ369" s="551"/>
      <c r="DK369" s="553"/>
      <c r="DL369" s="553"/>
      <c r="DM369" s="550"/>
      <c r="DO369" s="551"/>
      <c r="DR369" s="547"/>
      <c r="DS369" s="546"/>
      <c r="DT369" s="551"/>
      <c r="DU369" s="553"/>
      <c r="DV369" s="553"/>
      <c r="DW369" s="550"/>
      <c r="DY369" s="551"/>
      <c r="EB369" s="547"/>
      <c r="EC369" s="546"/>
      <c r="ED369" s="551"/>
      <c r="EE369" s="553"/>
      <c r="EF369" s="553"/>
      <c r="EG369" s="550"/>
      <c r="EI369" s="551"/>
      <c r="EL369" s="547"/>
      <c r="EM369" s="546"/>
      <c r="EN369" s="551"/>
      <c r="EO369" s="553"/>
      <c r="EP369" s="553"/>
      <c r="EQ369" s="550"/>
      <c r="ES369" s="551"/>
    </row>
    <row r="370" spans="52:149">
      <c r="AZ370" s="547"/>
      <c r="BA370" s="546"/>
      <c r="BB370" s="551"/>
      <c r="BC370" s="553"/>
      <c r="BD370" s="553"/>
      <c r="BE370" s="550"/>
      <c r="BG370" s="551"/>
      <c r="BJ370" s="547"/>
      <c r="BK370" s="546"/>
      <c r="BL370" s="551"/>
      <c r="BM370" s="553"/>
      <c r="BN370" s="553"/>
      <c r="BO370" s="550"/>
      <c r="BQ370" s="551"/>
      <c r="BT370" s="547"/>
      <c r="BU370" s="546"/>
      <c r="BV370" s="551"/>
      <c r="BW370" s="553"/>
      <c r="BX370" s="553"/>
      <c r="BY370" s="550"/>
      <c r="CA370" s="551"/>
      <c r="CD370" s="547"/>
      <c r="CE370" s="546"/>
      <c r="CF370" s="551"/>
      <c r="CG370" s="553"/>
      <c r="CH370" s="553"/>
      <c r="CI370" s="550"/>
      <c r="CK370" s="551"/>
      <c r="CN370" s="547"/>
      <c r="CO370" s="546"/>
      <c r="CP370" s="551"/>
      <c r="CQ370" s="553"/>
      <c r="CR370" s="553"/>
      <c r="CS370" s="550"/>
      <c r="CU370" s="551"/>
      <c r="CX370" s="547"/>
      <c r="CY370" s="546"/>
      <c r="CZ370" s="551"/>
      <c r="DA370" s="553"/>
      <c r="DB370" s="553"/>
      <c r="DC370" s="550"/>
      <c r="DE370" s="551"/>
      <c r="DH370" s="547"/>
      <c r="DI370" s="546"/>
      <c r="DJ370" s="551"/>
      <c r="DK370" s="553"/>
      <c r="DL370" s="553"/>
      <c r="DM370" s="550"/>
      <c r="DO370" s="551"/>
      <c r="DR370" s="547"/>
      <c r="DS370" s="546"/>
      <c r="DT370" s="551"/>
      <c r="DU370" s="553"/>
      <c r="DV370" s="553"/>
      <c r="DW370" s="550"/>
      <c r="DY370" s="551"/>
      <c r="EB370" s="547"/>
      <c r="EC370" s="546"/>
      <c r="ED370" s="551"/>
      <c r="EE370" s="553"/>
      <c r="EF370" s="553"/>
      <c r="EG370" s="550"/>
      <c r="EI370" s="551"/>
      <c r="EL370" s="547"/>
      <c r="EM370" s="546"/>
      <c r="EN370" s="551"/>
      <c r="EO370" s="553"/>
      <c r="EP370" s="553"/>
      <c r="EQ370" s="550"/>
      <c r="ES370" s="551"/>
    </row>
    <row r="371" spans="52:149">
      <c r="AZ371" s="547"/>
      <c r="BA371" s="546"/>
      <c r="BB371" s="551"/>
      <c r="BC371" s="553"/>
      <c r="BD371" s="553"/>
      <c r="BE371" s="550"/>
      <c r="BG371" s="551"/>
      <c r="BJ371" s="547"/>
      <c r="BK371" s="546"/>
      <c r="BL371" s="551"/>
      <c r="BM371" s="553"/>
      <c r="BN371" s="553"/>
      <c r="BO371" s="550"/>
      <c r="BQ371" s="551"/>
      <c r="BT371" s="547"/>
      <c r="BU371" s="546"/>
      <c r="BV371" s="551"/>
      <c r="BW371" s="553"/>
      <c r="BX371" s="553"/>
      <c r="BY371" s="550"/>
      <c r="CA371" s="551"/>
      <c r="CD371" s="547"/>
      <c r="CE371" s="546"/>
      <c r="CF371" s="551"/>
      <c r="CG371" s="553"/>
      <c r="CH371" s="553"/>
      <c r="CI371" s="550"/>
      <c r="CK371" s="551"/>
      <c r="CN371" s="547"/>
      <c r="CO371" s="546"/>
      <c r="CP371" s="551"/>
      <c r="CQ371" s="553"/>
      <c r="CR371" s="553"/>
      <c r="CS371" s="550"/>
      <c r="CU371" s="551"/>
      <c r="CX371" s="547"/>
      <c r="CY371" s="546"/>
      <c r="CZ371" s="551"/>
      <c r="DA371" s="553"/>
      <c r="DB371" s="553"/>
      <c r="DC371" s="550"/>
      <c r="DE371" s="551"/>
      <c r="DH371" s="547"/>
      <c r="DI371" s="546"/>
      <c r="DJ371" s="551"/>
      <c r="DK371" s="553"/>
      <c r="DL371" s="553"/>
      <c r="DM371" s="550"/>
      <c r="DO371" s="551"/>
      <c r="DR371" s="547"/>
      <c r="DS371" s="546"/>
      <c r="DT371" s="551"/>
      <c r="DU371" s="553"/>
      <c r="DV371" s="553"/>
      <c r="DW371" s="550"/>
      <c r="DY371" s="551"/>
      <c r="EB371" s="547"/>
      <c r="EC371" s="546"/>
      <c r="ED371" s="551"/>
      <c r="EE371" s="553"/>
      <c r="EF371" s="553"/>
      <c r="EG371" s="550"/>
      <c r="EI371" s="551"/>
      <c r="EL371" s="547"/>
      <c r="EM371" s="546"/>
      <c r="EN371" s="551"/>
      <c r="EO371" s="553"/>
      <c r="EP371" s="553"/>
      <c r="EQ371" s="550"/>
      <c r="ES371" s="551"/>
    </row>
    <row r="372" spans="52:149">
      <c r="AZ372" s="547"/>
      <c r="BA372" s="546"/>
      <c r="BB372" s="551"/>
      <c r="BC372" s="553"/>
      <c r="BD372" s="553"/>
      <c r="BE372" s="550"/>
      <c r="BG372" s="551"/>
      <c r="BJ372" s="547"/>
      <c r="BK372" s="546"/>
      <c r="BL372" s="551"/>
      <c r="BM372" s="553"/>
      <c r="BN372" s="553"/>
      <c r="BO372" s="550"/>
      <c r="BQ372" s="551"/>
      <c r="BT372" s="547"/>
      <c r="BU372" s="546"/>
      <c r="BV372" s="551"/>
      <c r="BW372" s="553"/>
      <c r="BX372" s="553"/>
      <c r="BY372" s="550"/>
      <c r="CA372" s="551"/>
      <c r="CD372" s="547"/>
      <c r="CE372" s="546"/>
      <c r="CF372" s="551"/>
      <c r="CG372" s="553"/>
      <c r="CH372" s="553"/>
      <c r="CI372" s="550"/>
      <c r="CK372" s="551"/>
      <c r="CN372" s="547"/>
      <c r="CO372" s="546"/>
      <c r="CP372" s="551"/>
      <c r="CQ372" s="553"/>
      <c r="CR372" s="553"/>
      <c r="CS372" s="550"/>
      <c r="CU372" s="551"/>
      <c r="CX372" s="547"/>
      <c r="CY372" s="546"/>
      <c r="CZ372" s="551"/>
      <c r="DA372" s="553"/>
      <c r="DB372" s="553"/>
      <c r="DC372" s="550"/>
      <c r="DE372" s="551"/>
      <c r="DH372" s="547"/>
      <c r="DI372" s="546"/>
      <c r="DJ372" s="551"/>
      <c r="DK372" s="553"/>
      <c r="DL372" s="553"/>
      <c r="DM372" s="550"/>
      <c r="DO372" s="551"/>
      <c r="DR372" s="547"/>
      <c r="DS372" s="546"/>
      <c r="DT372" s="551"/>
      <c r="DU372" s="553"/>
      <c r="DV372" s="553"/>
      <c r="DW372" s="550"/>
      <c r="DY372" s="551"/>
      <c r="EB372" s="547"/>
      <c r="EC372" s="546"/>
      <c r="ED372" s="551"/>
      <c r="EE372" s="553"/>
      <c r="EF372" s="553"/>
      <c r="EG372" s="550"/>
      <c r="EI372" s="551"/>
      <c r="EL372" s="547"/>
      <c r="EM372" s="546"/>
      <c r="EN372" s="551"/>
      <c r="EO372" s="553"/>
      <c r="EP372" s="553"/>
      <c r="EQ372" s="550"/>
      <c r="ES372" s="551"/>
    </row>
    <row r="373" spans="52:149">
      <c r="AZ373" s="547"/>
      <c r="BA373" s="546"/>
      <c r="BB373" s="551"/>
      <c r="BC373" s="553"/>
      <c r="BD373" s="553"/>
      <c r="BE373" s="550"/>
      <c r="BG373" s="551"/>
      <c r="BJ373" s="547"/>
      <c r="BK373" s="546"/>
      <c r="BL373" s="551"/>
      <c r="BM373" s="553"/>
      <c r="BN373" s="553"/>
      <c r="BO373" s="550"/>
      <c r="BQ373" s="551"/>
      <c r="BT373" s="547"/>
      <c r="BU373" s="546"/>
      <c r="BV373" s="551"/>
      <c r="BW373" s="553"/>
      <c r="BX373" s="553"/>
      <c r="BY373" s="550"/>
      <c r="CA373" s="551"/>
      <c r="CD373" s="547"/>
      <c r="CE373" s="546"/>
      <c r="CF373" s="551"/>
      <c r="CG373" s="553"/>
      <c r="CH373" s="553"/>
      <c r="CI373" s="550"/>
      <c r="CK373" s="551"/>
      <c r="CN373" s="547"/>
      <c r="CO373" s="546"/>
      <c r="CP373" s="551"/>
      <c r="CQ373" s="553"/>
      <c r="CR373" s="553"/>
      <c r="CS373" s="550"/>
      <c r="CU373" s="551"/>
      <c r="CX373" s="547"/>
      <c r="CY373" s="546"/>
      <c r="CZ373" s="551"/>
      <c r="DA373" s="553"/>
      <c r="DB373" s="553"/>
      <c r="DC373" s="550"/>
      <c r="DE373" s="551"/>
      <c r="DH373" s="547"/>
      <c r="DI373" s="546"/>
      <c r="DJ373" s="551"/>
      <c r="DK373" s="553"/>
      <c r="DL373" s="553"/>
      <c r="DM373" s="550"/>
      <c r="DO373" s="551"/>
      <c r="DR373" s="547"/>
      <c r="DS373" s="546"/>
      <c r="DT373" s="551"/>
      <c r="DU373" s="553"/>
      <c r="DV373" s="553"/>
      <c r="DW373" s="550"/>
      <c r="DY373" s="551"/>
      <c r="EB373" s="547"/>
      <c r="EC373" s="546"/>
      <c r="ED373" s="551"/>
      <c r="EE373" s="553"/>
      <c r="EF373" s="553"/>
      <c r="EG373" s="550"/>
      <c r="EI373" s="551"/>
      <c r="EL373" s="547"/>
      <c r="EM373" s="546"/>
      <c r="EN373" s="551"/>
      <c r="EO373" s="553"/>
      <c r="EP373" s="553"/>
      <c r="EQ373" s="550"/>
      <c r="ES373" s="551"/>
    </row>
    <row r="374" spans="52:149">
      <c r="AZ374" s="547"/>
      <c r="BA374" s="546"/>
      <c r="BB374" s="551"/>
      <c r="BC374" s="553"/>
      <c r="BD374" s="553"/>
      <c r="BE374" s="550"/>
      <c r="BG374" s="551"/>
      <c r="BJ374" s="547"/>
      <c r="BK374" s="546"/>
      <c r="BL374" s="551"/>
      <c r="BM374" s="553"/>
      <c r="BN374" s="553"/>
      <c r="BO374" s="550"/>
      <c r="BQ374" s="551"/>
      <c r="BT374" s="547"/>
      <c r="BU374" s="546"/>
      <c r="BV374" s="551"/>
      <c r="BW374" s="553"/>
      <c r="BX374" s="553"/>
      <c r="BY374" s="550"/>
      <c r="CA374" s="551"/>
      <c r="CD374" s="547"/>
      <c r="CE374" s="546"/>
      <c r="CF374" s="551"/>
      <c r="CG374" s="553"/>
      <c r="CH374" s="553"/>
      <c r="CI374" s="550"/>
      <c r="CK374" s="551"/>
      <c r="CN374" s="547"/>
      <c r="CO374" s="546"/>
      <c r="CP374" s="551"/>
      <c r="CQ374" s="553"/>
      <c r="CR374" s="553"/>
      <c r="CS374" s="550"/>
      <c r="CU374" s="551"/>
      <c r="CX374" s="547"/>
      <c r="CY374" s="546"/>
      <c r="CZ374" s="551"/>
      <c r="DA374" s="553"/>
      <c r="DB374" s="553"/>
      <c r="DC374" s="550"/>
      <c r="DE374" s="551"/>
      <c r="DH374" s="547"/>
      <c r="DI374" s="546"/>
      <c r="DJ374" s="551"/>
      <c r="DK374" s="553"/>
      <c r="DL374" s="553"/>
      <c r="DM374" s="550"/>
      <c r="DO374" s="551"/>
      <c r="DR374" s="547"/>
      <c r="DS374" s="546"/>
      <c r="DT374" s="551"/>
      <c r="DU374" s="553"/>
      <c r="DV374" s="553"/>
      <c r="DW374" s="550"/>
      <c r="DY374" s="551"/>
      <c r="EB374" s="547"/>
      <c r="EC374" s="546"/>
      <c r="ED374" s="551"/>
      <c r="EE374" s="553"/>
      <c r="EF374" s="553"/>
      <c r="EG374" s="550"/>
      <c r="EI374" s="551"/>
      <c r="EL374" s="547"/>
      <c r="EM374" s="546"/>
      <c r="EN374" s="551"/>
      <c r="EO374" s="553"/>
      <c r="EP374" s="553"/>
      <c r="EQ374" s="550"/>
      <c r="ES374" s="551"/>
    </row>
    <row r="375" spans="52:149">
      <c r="AZ375" s="547"/>
      <c r="BA375" s="546"/>
      <c r="BB375" s="551"/>
      <c r="BC375" s="553"/>
      <c r="BD375" s="553"/>
      <c r="BE375" s="550"/>
      <c r="BG375" s="551"/>
      <c r="BJ375" s="547"/>
      <c r="BK375" s="546"/>
      <c r="BL375" s="551"/>
      <c r="BM375" s="553"/>
      <c r="BN375" s="553"/>
      <c r="BO375" s="550"/>
      <c r="BQ375" s="551"/>
      <c r="BT375" s="547"/>
      <c r="BU375" s="546"/>
      <c r="BV375" s="551"/>
      <c r="BW375" s="553"/>
      <c r="BX375" s="553"/>
      <c r="BY375" s="550"/>
      <c r="CA375" s="551"/>
      <c r="CD375" s="547"/>
      <c r="CE375" s="546"/>
      <c r="CF375" s="551"/>
      <c r="CG375" s="553"/>
      <c r="CH375" s="553"/>
      <c r="CI375" s="550"/>
      <c r="CK375" s="551"/>
      <c r="CN375" s="547"/>
      <c r="CO375" s="546"/>
      <c r="CP375" s="551"/>
      <c r="CQ375" s="553"/>
      <c r="CR375" s="553"/>
      <c r="CS375" s="550"/>
      <c r="CU375" s="551"/>
      <c r="CX375" s="547"/>
      <c r="CY375" s="546"/>
      <c r="CZ375" s="551"/>
      <c r="DA375" s="553"/>
      <c r="DB375" s="553"/>
      <c r="DC375" s="550"/>
      <c r="DE375" s="551"/>
      <c r="DH375" s="547"/>
      <c r="DI375" s="546"/>
      <c r="DJ375" s="551"/>
      <c r="DK375" s="553"/>
      <c r="DL375" s="553"/>
      <c r="DM375" s="550"/>
      <c r="DO375" s="551"/>
      <c r="DR375" s="547"/>
      <c r="DS375" s="546"/>
      <c r="DT375" s="551"/>
      <c r="DU375" s="553"/>
      <c r="DV375" s="553"/>
      <c r="DW375" s="550"/>
      <c r="DY375" s="551"/>
      <c r="EB375" s="547"/>
      <c r="EC375" s="546"/>
      <c r="ED375" s="551"/>
      <c r="EE375" s="553"/>
      <c r="EF375" s="553"/>
      <c r="EG375" s="550"/>
      <c r="EI375" s="551"/>
      <c r="EL375" s="547"/>
      <c r="EM375" s="546"/>
      <c r="EN375" s="551"/>
      <c r="EO375" s="553"/>
      <c r="EP375" s="553"/>
      <c r="EQ375" s="550"/>
      <c r="ES375" s="551"/>
    </row>
    <row r="376" spans="52:149">
      <c r="AZ376" s="547"/>
      <c r="BA376" s="546"/>
      <c r="BB376" s="551"/>
      <c r="BC376" s="553"/>
      <c r="BD376" s="553"/>
      <c r="BE376" s="550"/>
      <c r="BG376" s="551"/>
      <c r="BJ376" s="547"/>
      <c r="BK376" s="546"/>
      <c r="BL376" s="551"/>
      <c r="BM376" s="553"/>
      <c r="BN376" s="553"/>
      <c r="BO376" s="550"/>
      <c r="BQ376" s="551"/>
      <c r="BT376" s="547"/>
      <c r="BU376" s="546"/>
      <c r="BV376" s="551"/>
      <c r="BW376" s="553"/>
      <c r="BX376" s="553"/>
      <c r="BY376" s="550"/>
      <c r="CA376" s="551"/>
      <c r="CD376" s="547"/>
      <c r="CE376" s="546"/>
      <c r="CF376" s="551"/>
      <c r="CG376" s="553"/>
      <c r="CH376" s="553"/>
      <c r="CI376" s="550"/>
      <c r="CK376" s="551"/>
      <c r="CN376" s="547"/>
      <c r="CO376" s="546"/>
      <c r="CP376" s="551"/>
      <c r="CQ376" s="553"/>
      <c r="CR376" s="553"/>
      <c r="CS376" s="550"/>
      <c r="CU376" s="551"/>
      <c r="CX376" s="547"/>
      <c r="CY376" s="546"/>
      <c r="CZ376" s="551"/>
      <c r="DA376" s="553"/>
      <c r="DB376" s="553"/>
      <c r="DC376" s="550"/>
      <c r="DE376" s="551"/>
      <c r="DH376" s="547"/>
      <c r="DI376" s="546"/>
      <c r="DJ376" s="551"/>
      <c r="DK376" s="553"/>
      <c r="DL376" s="553"/>
      <c r="DM376" s="550"/>
      <c r="DO376" s="551"/>
      <c r="DR376" s="547"/>
      <c r="DS376" s="546"/>
      <c r="DT376" s="551"/>
      <c r="DU376" s="553"/>
      <c r="DV376" s="553"/>
      <c r="DW376" s="550"/>
      <c r="DY376" s="551"/>
      <c r="EB376" s="547"/>
      <c r="EC376" s="546"/>
      <c r="ED376" s="551"/>
      <c r="EE376" s="553"/>
      <c r="EF376" s="553"/>
      <c r="EG376" s="550"/>
      <c r="EI376" s="551"/>
      <c r="EL376" s="547"/>
      <c r="EM376" s="546"/>
      <c r="EN376" s="551"/>
      <c r="EO376" s="553"/>
      <c r="EP376" s="553"/>
      <c r="EQ376" s="550"/>
      <c r="ES376" s="551"/>
    </row>
    <row r="377" spans="52:149">
      <c r="AZ377" s="547"/>
      <c r="BA377" s="546"/>
      <c r="BB377" s="551"/>
      <c r="BC377" s="553"/>
      <c r="BD377" s="553"/>
      <c r="BE377" s="550"/>
      <c r="BG377" s="551"/>
      <c r="BJ377" s="547"/>
      <c r="BK377" s="546"/>
      <c r="BL377" s="551"/>
      <c r="BM377" s="553"/>
      <c r="BN377" s="553"/>
      <c r="BO377" s="550"/>
      <c r="BQ377" s="551"/>
      <c r="BT377" s="547"/>
      <c r="BU377" s="546"/>
      <c r="BV377" s="551"/>
      <c r="BW377" s="553"/>
      <c r="BX377" s="553"/>
      <c r="BY377" s="550"/>
      <c r="CA377" s="551"/>
      <c r="CD377" s="547"/>
      <c r="CE377" s="546"/>
      <c r="CF377" s="551"/>
      <c r="CG377" s="553"/>
      <c r="CH377" s="553"/>
      <c r="CI377" s="550"/>
      <c r="CK377" s="551"/>
      <c r="CN377" s="547"/>
      <c r="CO377" s="546"/>
      <c r="CP377" s="551"/>
      <c r="CQ377" s="553"/>
      <c r="CR377" s="553"/>
      <c r="CS377" s="550"/>
      <c r="CU377" s="551"/>
      <c r="CX377" s="547"/>
      <c r="CY377" s="546"/>
      <c r="CZ377" s="551"/>
      <c r="DA377" s="553"/>
      <c r="DB377" s="553"/>
      <c r="DC377" s="550"/>
      <c r="DE377" s="551"/>
      <c r="DH377" s="547"/>
      <c r="DI377" s="546"/>
      <c r="DJ377" s="551"/>
      <c r="DK377" s="553"/>
      <c r="DL377" s="553"/>
      <c r="DM377" s="550"/>
      <c r="DO377" s="551"/>
      <c r="DR377" s="547"/>
      <c r="DS377" s="546"/>
      <c r="DT377" s="551"/>
      <c r="DU377" s="553"/>
      <c r="DV377" s="553"/>
      <c r="DW377" s="550"/>
      <c r="DY377" s="551"/>
      <c r="EB377" s="547"/>
      <c r="EC377" s="546"/>
      <c r="ED377" s="551"/>
      <c r="EE377" s="553"/>
      <c r="EF377" s="553"/>
      <c r="EG377" s="550"/>
      <c r="EI377" s="551"/>
      <c r="EL377" s="547"/>
      <c r="EM377" s="546"/>
      <c r="EN377" s="551"/>
      <c r="EO377" s="553"/>
      <c r="EP377" s="553"/>
      <c r="EQ377" s="550"/>
      <c r="ES377" s="551"/>
    </row>
    <row r="378" spans="52:149">
      <c r="AZ378" s="547"/>
      <c r="BA378" s="546"/>
      <c r="BB378" s="551"/>
      <c r="BC378" s="553"/>
      <c r="BD378" s="553"/>
      <c r="BE378" s="550"/>
      <c r="BG378" s="551"/>
      <c r="BJ378" s="547"/>
      <c r="BK378" s="546"/>
      <c r="BL378" s="551"/>
      <c r="BM378" s="553"/>
      <c r="BN378" s="553"/>
      <c r="BO378" s="550"/>
      <c r="BQ378" s="551"/>
      <c r="BT378" s="547"/>
      <c r="BU378" s="546"/>
      <c r="BV378" s="551"/>
      <c r="BW378" s="553"/>
      <c r="BX378" s="553"/>
      <c r="BY378" s="550"/>
      <c r="CA378" s="551"/>
      <c r="CD378" s="547"/>
      <c r="CE378" s="546"/>
      <c r="CF378" s="551"/>
      <c r="CG378" s="553"/>
      <c r="CH378" s="553"/>
      <c r="CI378" s="550"/>
      <c r="CK378" s="551"/>
      <c r="CN378" s="547"/>
      <c r="CO378" s="546"/>
      <c r="CP378" s="551"/>
      <c r="CQ378" s="553"/>
      <c r="CR378" s="553"/>
      <c r="CS378" s="550"/>
      <c r="CU378" s="551"/>
      <c r="CX378" s="547"/>
      <c r="CY378" s="546"/>
      <c r="CZ378" s="551"/>
      <c r="DA378" s="553"/>
      <c r="DB378" s="553"/>
      <c r="DC378" s="550"/>
      <c r="DE378" s="551"/>
      <c r="DH378" s="547"/>
      <c r="DI378" s="546"/>
      <c r="DJ378" s="551"/>
      <c r="DK378" s="553"/>
      <c r="DL378" s="553"/>
      <c r="DM378" s="550"/>
      <c r="DO378" s="551"/>
      <c r="DR378" s="547"/>
      <c r="DS378" s="546"/>
      <c r="DT378" s="551"/>
      <c r="DU378" s="553"/>
      <c r="DV378" s="553"/>
      <c r="DW378" s="550"/>
      <c r="DY378" s="551"/>
      <c r="EB378" s="547"/>
      <c r="EC378" s="546"/>
      <c r="ED378" s="551"/>
      <c r="EE378" s="553"/>
      <c r="EF378" s="553"/>
      <c r="EG378" s="550"/>
      <c r="EI378" s="551"/>
      <c r="EL378" s="547"/>
      <c r="EM378" s="546"/>
      <c r="EN378" s="551"/>
      <c r="EO378" s="553"/>
      <c r="EP378" s="553"/>
      <c r="EQ378" s="550"/>
      <c r="ES378" s="551"/>
    </row>
    <row r="379" spans="52:149">
      <c r="AZ379" s="547"/>
      <c r="BA379" s="546"/>
      <c r="BB379" s="551"/>
      <c r="BC379" s="553"/>
      <c r="BD379" s="553"/>
      <c r="BE379" s="550"/>
      <c r="BG379" s="551"/>
      <c r="BJ379" s="547"/>
      <c r="BK379" s="546"/>
      <c r="BL379" s="551"/>
      <c r="BM379" s="553"/>
      <c r="BN379" s="553"/>
      <c r="BO379" s="550"/>
      <c r="BQ379" s="551"/>
      <c r="BT379" s="547"/>
      <c r="BU379" s="546"/>
      <c r="BV379" s="551"/>
      <c r="BW379" s="553"/>
      <c r="BX379" s="553"/>
      <c r="BY379" s="550"/>
      <c r="CA379" s="551"/>
      <c r="CD379" s="547"/>
      <c r="CE379" s="546"/>
      <c r="CF379" s="551"/>
      <c r="CG379" s="553"/>
      <c r="CH379" s="553"/>
      <c r="CI379" s="550"/>
      <c r="CK379" s="551"/>
      <c r="CN379" s="547"/>
      <c r="CO379" s="546"/>
      <c r="CP379" s="551"/>
      <c r="CQ379" s="553"/>
      <c r="CR379" s="553"/>
      <c r="CS379" s="550"/>
      <c r="CU379" s="551"/>
      <c r="CX379" s="547"/>
      <c r="CY379" s="546"/>
      <c r="CZ379" s="551"/>
      <c r="DA379" s="553"/>
      <c r="DB379" s="553"/>
      <c r="DC379" s="550"/>
      <c r="DE379" s="551"/>
      <c r="DH379" s="547"/>
      <c r="DI379" s="546"/>
      <c r="DJ379" s="551"/>
      <c r="DK379" s="553"/>
      <c r="DL379" s="553"/>
      <c r="DM379" s="550"/>
      <c r="DO379" s="551"/>
      <c r="DR379" s="547"/>
      <c r="DS379" s="546"/>
      <c r="DT379" s="551"/>
      <c r="DU379" s="553"/>
      <c r="DV379" s="553"/>
      <c r="DW379" s="550"/>
      <c r="DY379" s="551"/>
      <c r="EB379" s="547"/>
      <c r="EC379" s="546"/>
      <c r="ED379" s="551"/>
      <c r="EE379" s="553"/>
      <c r="EF379" s="553"/>
      <c r="EG379" s="550"/>
      <c r="EI379" s="551"/>
      <c r="EL379" s="547"/>
      <c r="EM379" s="546"/>
      <c r="EN379" s="551"/>
      <c r="EO379" s="553"/>
      <c r="EP379" s="553"/>
      <c r="EQ379" s="550"/>
      <c r="ES379" s="551"/>
    </row>
    <row r="380" spans="52:149">
      <c r="AZ380" s="547"/>
      <c r="BA380" s="546"/>
      <c r="BB380" s="551"/>
      <c r="BC380" s="553"/>
      <c r="BD380" s="553"/>
      <c r="BE380" s="550"/>
      <c r="BG380" s="551"/>
      <c r="BJ380" s="547"/>
      <c r="BK380" s="546"/>
      <c r="BL380" s="551"/>
      <c r="BM380" s="553"/>
      <c r="BN380" s="553"/>
      <c r="BO380" s="550"/>
      <c r="BQ380" s="551"/>
      <c r="BT380" s="547"/>
      <c r="BU380" s="546"/>
      <c r="BV380" s="551"/>
      <c r="BW380" s="553"/>
      <c r="BX380" s="553"/>
      <c r="BY380" s="550"/>
      <c r="CA380" s="551"/>
      <c r="CD380" s="547"/>
      <c r="CE380" s="546"/>
      <c r="CF380" s="551"/>
      <c r="CG380" s="553"/>
      <c r="CH380" s="553"/>
      <c r="CI380" s="550"/>
      <c r="CK380" s="551"/>
      <c r="CN380" s="547"/>
      <c r="CO380" s="546"/>
      <c r="CP380" s="551"/>
      <c r="CQ380" s="553"/>
      <c r="CR380" s="553"/>
      <c r="CS380" s="550"/>
      <c r="CU380" s="551"/>
      <c r="CX380" s="547"/>
      <c r="CY380" s="546"/>
      <c r="CZ380" s="551"/>
      <c r="DA380" s="553"/>
      <c r="DB380" s="553"/>
      <c r="DC380" s="550"/>
      <c r="DE380" s="551"/>
      <c r="DH380" s="547"/>
      <c r="DI380" s="546"/>
      <c r="DJ380" s="551"/>
      <c r="DK380" s="553"/>
      <c r="DL380" s="553"/>
      <c r="DM380" s="550"/>
      <c r="DO380" s="551"/>
      <c r="DR380" s="547"/>
      <c r="DS380" s="546"/>
      <c r="DT380" s="551"/>
      <c r="DU380" s="553"/>
      <c r="DV380" s="553"/>
      <c r="DW380" s="550"/>
      <c r="DY380" s="551"/>
      <c r="EB380" s="547"/>
      <c r="EC380" s="546"/>
      <c r="ED380" s="551"/>
      <c r="EE380" s="553"/>
      <c r="EF380" s="553"/>
      <c r="EG380" s="550"/>
      <c r="EI380" s="551"/>
      <c r="EL380" s="547"/>
      <c r="EM380" s="546"/>
      <c r="EN380" s="551"/>
      <c r="EO380" s="553"/>
      <c r="EP380" s="553"/>
      <c r="EQ380" s="550"/>
      <c r="ES380" s="551"/>
    </row>
    <row r="381" spans="52:149">
      <c r="AZ381" s="547"/>
      <c r="BA381" s="546"/>
      <c r="BB381" s="551"/>
      <c r="BC381" s="553"/>
      <c r="BD381" s="553"/>
      <c r="BE381" s="550"/>
      <c r="BG381" s="551"/>
      <c r="BJ381" s="547"/>
      <c r="BK381" s="546"/>
      <c r="BL381" s="551"/>
      <c r="BM381" s="553"/>
      <c r="BN381" s="553"/>
      <c r="BO381" s="550"/>
      <c r="BQ381" s="551"/>
      <c r="BT381" s="547"/>
      <c r="BU381" s="546"/>
      <c r="BV381" s="551"/>
      <c r="BW381" s="553"/>
      <c r="BX381" s="553"/>
      <c r="BY381" s="550"/>
      <c r="CA381" s="551"/>
      <c r="CD381" s="547"/>
      <c r="CE381" s="546"/>
      <c r="CF381" s="551"/>
      <c r="CG381" s="553"/>
      <c r="CH381" s="553"/>
      <c r="CI381" s="550"/>
      <c r="CK381" s="551"/>
      <c r="CN381" s="547"/>
      <c r="CO381" s="546"/>
      <c r="CP381" s="551"/>
      <c r="CQ381" s="553"/>
      <c r="CR381" s="553"/>
      <c r="CS381" s="550"/>
      <c r="CU381" s="551"/>
      <c r="CX381" s="547"/>
      <c r="CY381" s="546"/>
      <c r="CZ381" s="551"/>
      <c r="DA381" s="553"/>
      <c r="DB381" s="553"/>
      <c r="DC381" s="550"/>
      <c r="DE381" s="551"/>
      <c r="DH381" s="547"/>
      <c r="DI381" s="546"/>
      <c r="DJ381" s="551"/>
      <c r="DK381" s="553"/>
      <c r="DL381" s="553"/>
      <c r="DM381" s="550"/>
      <c r="DO381" s="551"/>
      <c r="DR381" s="547"/>
      <c r="DS381" s="546"/>
      <c r="DT381" s="551"/>
      <c r="DU381" s="553"/>
      <c r="DV381" s="553"/>
      <c r="DW381" s="550"/>
      <c r="DY381" s="551"/>
      <c r="EB381" s="547"/>
      <c r="EC381" s="546"/>
      <c r="ED381" s="551"/>
      <c r="EE381" s="553"/>
      <c r="EF381" s="553"/>
      <c r="EG381" s="550"/>
      <c r="EI381" s="551"/>
      <c r="EL381" s="547"/>
      <c r="EM381" s="546"/>
      <c r="EN381" s="551"/>
      <c r="EO381" s="553"/>
      <c r="EP381" s="553"/>
      <c r="EQ381" s="550"/>
      <c r="ES381" s="551"/>
    </row>
    <row r="382" spans="52:149">
      <c r="AZ382" s="547"/>
      <c r="BA382" s="546"/>
      <c r="BB382" s="551"/>
      <c r="BC382" s="553"/>
      <c r="BD382" s="553"/>
      <c r="BE382" s="550"/>
      <c r="BG382" s="551"/>
      <c r="BJ382" s="547"/>
      <c r="BK382" s="546"/>
      <c r="BL382" s="551"/>
      <c r="BM382" s="553"/>
      <c r="BN382" s="553"/>
      <c r="BO382" s="550"/>
      <c r="BQ382" s="551"/>
      <c r="BT382" s="547"/>
      <c r="BU382" s="546"/>
      <c r="BV382" s="551"/>
      <c r="BW382" s="553"/>
      <c r="BX382" s="553"/>
      <c r="BY382" s="550"/>
      <c r="CA382" s="551"/>
      <c r="CD382" s="547"/>
      <c r="CE382" s="546"/>
      <c r="CF382" s="551"/>
      <c r="CG382" s="553"/>
      <c r="CH382" s="553"/>
      <c r="CI382" s="550"/>
      <c r="CK382" s="551"/>
      <c r="CN382" s="547"/>
      <c r="CO382" s="546"/>
      <c r="CP382" s="551"/>
      <c r="CQ382" s="553"/>
      <c r="CR382" s="553"/>
      <c r="CS382" s="550"/>
      <c r="CU382" s="551"/>
      <c r="CX382" s="547"/>
      <c r="CY382" s="546"/>
      <c r="CZ382" s="551"/>
      <c r="DA382" s="553"/>
      <c r="DB382" s="553"/>
      <c r="DC382" s="550"/>
      <c r="DE382" s="551"/>
      <c r="DH382" s="547"/>
      <c r="DI382" s="546"/>
      <c r="DJ382" s="551"/>
      <c r="DK382" s="553"/>
      <c r="DL382" s="553"/>
      <c r="DM382" s="550"/>
      <c r="DO382" s="551"/>
      <c r="DR382" s="547"/>
      <c r="DS382" s="546"/>
      <c r="DT382" s="551"/>
      <c r="DU382" s="553"/>
      <c r="DV382" s="553"/>
      <c r="DW382" s="550"/>
      <c r="DY382" s="551"/>
      <c r="EB382" s="547"/>
      <c r="EC382" s="546"/>
      <c r="ED382" s="551"/>
      <c r="EE382" s="553"/>
      <c r="EF382" s="553"/>
      <c r="EG382" s="550"/>
      <c r="EI382" s="551"/>
      <c r="EL382" s="547"/>
      <c r="EM382" s="546"/>
      <c r="EN382" s="551"/>
      <c r="EO382" s="553"/>
      <c r="EP382" s="553"/>
      <c r="EQ382" s="550"/>
      <c r="ES382" s="551"/>
    </row>
    <row r="383" spans="52:149">
      <c r="AZ383" s="547"/>
      <c r="BA383" s="546"/>
      <c r="BB383" s="551"/>
      <c r="BC383" s="553"/>
      <c r="BD383" s="553"/>
      <c r="BE383" s="550"/>
      <c r="BG383" s="551"/>
      <c r="BJ383" s="547"/>
      <c r="BK383" s="546"/>
      <c r="BL383" s="551"/>
      <c r="BM383" s="553"/>
      <c r="BN383" s="553"/>
      <c r="BO383" s="550"/>
      <c r="BQ383" s="551"/>
      <c r="BT383" s="547"/>
      <c r="BU383" s="546"/>
      <c r="BV383" s="551"/>
      <c r="BW383" s="553"/>
      <c r="BX383" s="553"/>
      <c r="BY383" s="550"/>
      <c r="CA383" s="551"/>
      <c r="CD383" s="547"/>
      <c r="CE383" s="546"/>
      <c r="CF383" s="551"/>
      <c r="CG383" s="553"/>
      <c r="CH383" s="553"/>
      <c r="CI383" s="550"/>
      <c r="CK383" s="551"/>
      <c r="CN383" s="547"/>
      <c r="CO383" s="546"/>
      <c r="CP383" s="551"/>
      <c r="CQ383" s="553"/>
      <c r="CR383" s="553"/>
      <c r="CS383" s="550"/>
      <c r="CU383" s="551"/>
      <c r="CX383" s="547"/>
      <c r="CY383" s="546"/>
      <c r="CZ383" s="551"/>
      <c r="DA383" s="553"/>
      <c r="DB383" s="553"/>
      <c r="DC383" s="550"/>
      <c r="DE383" s="551"/>
      <c r="DH383" s="547"/>
      <c r="DI383" s="546"/>
      <c r="DJ383" s="551"/>
      <c r="DK383" s="553"/>
      <c r="DL383" s="553"/>
      <c r="DM383" s="550"/>
      <c r="DO383" s="551"/>
      <c r="DR383" s="547"/>
      <c r="DS383" s="546"/>
      <c r="DT383" s="551"/>
      <c r="DU383" s="553"/>
      <c r="DV383" s="553"/>
      <c r="DW383" s="550"/>
      <c r="DY383" s="551"/>
      <c r="EB383" s="547"/>
      <c r="EC383" s="546"/>
      <c r="ED383" s="551"/>
      <c r="EE383" s="553"/>
      <c r="EF383" s="553"/>
      <c r="EG383" s="550"/>
      <c r="EI383" s="551"/>
      <c r="EL383" s="547"/>
      <c r="EM383" s="546"/>
      <c r="EN383" s="551"/>
      <c r="EO383" s="553"/>
      <c r="EP383" s="553"/>
      <c r="EQ383" s="550"/>
      <c r="ES383" s="551"/>
    </row>
    <row r="384" spans="52:149">
      <c r="AZ384" s="547"/>
      <c r="BA384" s="546"/>
      <c r="BB384" s="551"/>
      <c r="BC384" s="553"/>
      <c r="BD384" s="553"/>
      <c r="BE384" s="550"/>
      <c r="BG384" s="551"/>
      <c r="BJ384" s="547"/>
      <c r="BK384" s="546"/>
      <c r="BL384" s="551"/>
      <c r="BM384" s="553"/>
      <c r="BN384" s="553"/>
      <c r="BO384" s="550"/>
      <c r="BQ384" s="551"/>
      <c r="BT384" s="547"/>
      <c r="BU384" s="546"/>
      <c r="BV384" s="551"/>
      <c r="BW384" s="553"/>
      <c r="BX384" s="553"/>
      <c r="BY384" s="550"/>
      <c r="CA384" s="551"/>
      <c r="CD384" s="547"/>
      <c r="CE384" s="546"/>
      <c r="CF384" s="551"/>
      <c r="CG384" s="553"/>
      <c r="CH384" s="553"/>
      <c r="CI384" s="550"/>
      <c r="CK384" s="551"/>
      <c r="CN384" s="547"/>
      <c r="CO384" s="546"/>
      <c r="CP384" s="551"/>
      <c r="CQ384" s="553"/>
      <c r="CR384" s="553"/>
      <c r="CS384" s="550"/>
      <c r="CU384" s="551"/>
      <c r="CX384" s="547"/>
      <c r="CY384" s="546"/>
      <c r="CZ384" s="551"/>
      <c r="DA384" s="553"/>
      <c r="DB384" s="553"/>
      <c r="DC384" s="550"/>
      <c r="DE384" s="551"/>
      <c r="DH384" s="547"/>
      <c r="DI384" s="546"/>
      <c r="DJ384" s="551"/>
      <c r="DK384" s="553"/>
      <c r="DL384" s="553"/>
      <c r="DM384" s="550"/>
      <c r="DO384" s="551"/>
      <c r="DR384" s="547"/>
      <c r="DS384" s="546"/>
      <c r="DT384" s="551"/>
      <c r="DU384" s="553"/>
      <c r="DV384" s="553"/>
      <c r="DW384" s="550"/>
      <c r="DY384" s="551"/>
      <c r="EB384" s="547"/>
      <c r="EC384" s="546"/>
      <c r="ED384" s="551"/>
      <c r="EE384" s="553"/>
      <c r="EF384" s="553"/>
      <c r="EG384" s="550"/>
      <c r="EI384" s="551"/>
      <c r="EL384" s="547"/>
      <c r="EM384" s="546"/>
      <c r="EN384" s="551"/>
      <c r="EO384" s="553"/>
      <c r="EP384" s="553"/>
      <c r="EQ384" s="550"/>
      <c r="ES384" s="551"/>
    </row>
    <row r="385" spans="52:149">
      <c r="AZ385" s="547"/>
      <c r="BA385" s="546"/>
      <c r="BB385" s="551"/>
      <c r="BC385" s="553"/>
      <c r="BD385" s="553"/>
      <c r="BE385" s="550"/>
      <c r="BG385" s="551"/>
      <c r="BJ385" s="547"/>
      <c r="BK385" s="546"/>
      <c r="BL385" s="551"/>
      <c r="BM385" s="553"/>
      <c r="BN385" s="553"/>
      <c r="BO385" s="550"/>
      <c r="BQ385" s="551"/>
      <c r="BT385" s="547"/>
      <c r="BU385" s="546"/>
      <c r="BV385" s="551"/>
      <c r="BW385" s="553"/>
      <c r="BX385" s="553"/>
      <c r="BY385" s="550"/>
      <c r="CA385" s="551"/>
      <c r="CD385" s="547"/>
      <c r="CE385" s="546"/>
      <c r="CF385" s="551"/>
      <c r="CG385" s="553"/>
      <c r="CH385" s="553"/>
      <c r="CI385" s="550"/>
      <c r="CK385" s="551"/>
      <c r="CN385" s="547"/>
      <c r="CO385" s="546"/>
      <c r="CP385" s="551"/>
      <c r="CQ385" s="553"/>
      <c r="CR385" s="553"/>
      <c r="CS385" s="550"/>
      <c r="CU385" s="551"/>
      <c r="CX385" s="547"/>
      <c r="CY385" s="546"/>
      <c r="CZ385" s="551"/>
      <c r="DA385" s="553"/>
      <c r="DB385" s="553"/>
      <c r="DC385" s="550"/>
      <c r="DE385" s="551"/>
      <c r="DH385" s="547"/>
      <c r="DI385" s="546"/>
      <c r="DJ385" s="551"/>
      <c r="DK385" s="553"/>
      <c r="DL385" s="553"/>
      <c r="DM385" s="550"/>
      <c r="DO385" s="551"/>
      <c r="DR385" s="547"/>
      <c r="DS385" s="546"/>
      <c r="DT385" s="551"/>
      <c r="DU385" s="553"/>
      <c r="DV385" s="553"/>
      <c r="DW385" s="550"/>
      <c r="DY385" s="551"/>
      <c r="EB385" s="547"/>
      <c r="EC385" s="546"/>
      <c r="ED385" s="551"/>
      <c r="EE385" s="553"/>
      <c r="EF385" s="553"/>
      <c r="EG385" s="550"/>
      <c r="EI385" s="551"/>
      <c r="EL385" s="547"/>
      <c r="EM385" s="546"/>
      <c r="EN385" s="551"/>
      <c r="EO385" s="553"/>
      <c r="EP385" s="553"/>
      <c r="EQ385" s="550"/>
      <c r="ES385" s="551"/>
    </row>
    <row r="386" spans="52:149">
      <c r="AZ386" s="547"/>
      <c r="BA386" s="546"/>
      <c r="BB386" s="551"/>
      <c r="BC386" s="553"/>
      <c r="BD386" s="553"/>
      <c r="BE386" s="550"/>
      <c r="BG386" s="551"/>
      <c r="BJ386" s="547"/>
      <c r="BK386" s="546"/>
      <c r="BL386" s="551"/>
      <c r="BM386" s="553"/>
      <c r="BN386" s="553"/>
      <c r="BO386" s="550"/>
      <c r="BQ386" s="551"/>
      <c r="BT386" s="547"/>
      <c r="BU386" s="546"/>
      <c r="BV386" s="551"/>
      <c r="BW386" s="553"/>
      <c r="BX386" s="553"/>
      <c r="BY386" s="550"/>
      <c r="CA386" s="551"/>
      <c r="CD386" s="547"/>
      <c r="CE386" s="546"/>
      <c r="CF386" s="551"/>
      <c r="CG386" s="553"/>
      <c r="CH386" s="553"/>
      <c r="CI386" s="550"/>
      <c r="CK386" s="551"/>
      <c r="CN386" s="547"/>
      <c r="CO386" s="546"/>
      <c r="CP386" s="551"/>
      <c r="CQ386" s="553"/>
      <c r="CR386" s="553"/>
      <c r="CS386" s="550"/>
      <c r="CU386" s="551"/>
      <c r="CX386" s="547"/>
      <c r="CY386" s="546"/>
      <c r="CZ386" s="551"/>
      <c r="DA386" s="553"/>
      <c r="DB386" s="553"/>
      <c r="DC386" s="550"/>
      <c r="DE386" s="551"/>
      <c r="DH386" s="547"/>
      <c r="DI386" s="546"/>
      <c r="DJ386" s="551"/>
      <c r="DK386" s="553"/>
      <c r="DL386" s="553"/>
      <c r="DM386" s="550"/>
      <c r="DO386" s="551"/>
      <c r="DR386" s="547"/>
      <c r="DS386" s="546"/>
      <c r="DT386" s="551"/>
      <c r="DU386" s="553"/>
      <c r="DV386" s="553"/>
      <c r="DW386" s="550"/>
      <c r="DY386" s="551"/>
      <c r="EB386" s="547"/>
      <c r="EC386" s="546"/>
      <c r="ED386" s="551"/>
      <c r="EE386" s="553"/>
      <c r="EF386" s="553"/>
      <c r="EG386" s="550"/>
      <c r="EI386" s="551"/>
      <c r="EL386" s="547"/>
      <c r="EM386" s="546"/>
      <c r="EN386" s="551"/>
      <c r="EO386" s="553"/>
      <c r="EP386" s="553"/>
      <c r="EQ386" s="550"/>
      <c r="ES386" s="551"/>
    </row>
    <row r="387" spans="52:149">
      <c r="AZ387" s="547"/>
      <c r="BA387" s="546"/>
      <c r="BB387" s="551"/>
      <c r="BC387" s="553"/>
      <c r="BD387" s="553"/>
      <c r="BE387" s="550"/>
      <c r="BG387" s="551"/>
      <c r="BJ387" s="547"/>
      <c r="BK387" s="546"/>
      <c r="BL387" s="551"/>
      <c r="BM387" s="553"/>
      <c r="BN387" s="553"/>
      <c r="BO387" s="550"/>
      <c r="BQ387" s="551"/>
      <c r="BT387" s="547"/>
      <c r="BU387" s="546"/>
      <c r="BV387" s="551"/>
      <c r="BW387" s="553"/>
      <c r="BX387" s="553"/>
      <c r="BY387" s="550"/>
      <c r="CA387" s="551"/>
      <c r="CD387" s="547"/>
      <c r="CE387" s="546"/>
      <c r="CF387" s="551"/>
      <c r="CG387" s="553"/>
      <c r="CH387" s="553"/>
      <c r="CI387" s="550"/>
      <c r="CK387" s="551"/>
      <c r="CN387" s="547"/>
      <c r="CO387" s="546"/>
      <c r="CP387" s="551"/>
      <c r="CQ387" s="553"/>
      <c r="CR387" s="553"/>
      <c r="CS387" s="550"/>
      <c r="CU387" s="551"/>
      <c r="CX387" s="547"/>
      <c r="CY387" s="546"/>
      <c r="CZ387" s="551"/>
      <c r="DA387" s="553"/>
      <c r="DB387" s="553"/>
      <c r="DC387" s="550"/>
      <c r="DE387" s="551"/>
      <c r="DH387" s="547"/>
      <c r="DI387" s="546"/>
      <c r="DJ387" s="551"/>
      <c r="DK387" s="553"/>
      <c r="DL387" s="553"/>
      <c r="DM387" s="550"/>
      <c r="DO387" s="551"/>
      <c r="DR387" s="547"/>
      <c r="DS387" s="546"/>
      <c r="DT387" s="551"/>
      <c r="DU387" s="553"/>
      <c r="DV387" s="553"/>
      <c r="DW387" s="550"/>
      <c r="DY387" s="551"/>
      <c r="EB387" s="547"/>
      <c r="EC387" s="546"/>
      <c r="ED387" s="551"/>
      <c r="EE387" s="553"/>
      <c r="EF387" s="553"/>
      <c r="EG387" s="550"/>
      <c r="EI387" s="551"/>
      <c r="EL387" s="547"/>
      <c r="EM387" s="546"/>
      <c r="EN387" s="551"/>
      <c r="EO387" s="553"/>
      <c r="EP387" s="553"/>
      <c r="EQ387" s="550"/>
      <c r="ES387" s="551"/>
    </row>
    <row r="388" spans="52:149">
      <c r="AZ388" s="547"/>
      <c r="BA388" s="546"/>
      <c r="BB388" s="551"/>
      <c r="BC388" s="553"/>
      <c r="BD388" s="553"/>
      <c r="BE388" s="550"/>
      <c r="BG388" s="551"/>
      <c r="BJ388" s="547"/>
      <c r="BK388" s="546"/>
      <c r="BL388" s="551"/>
      <c r="BM388" s="553"/>
      <c r="BN388" s="553"/>
      <c r="BO388" s="550"/>
      <c r="BQ388" s="551"/>
      <c r="BT388" s="547"/>
      <c r="BU388" s="546"/>
      <c r="BV388" s="551"/>
      <c r="BW388" s="553"/>
      <c r="BX388" s="553"/>
      <c r="BY388" s="550"/>
      <c r="CA388" s="551"/>
      <c r="CD388" s="547"/>
      <c r="CE388" s="546"/>
      <c r="CF388" s="551"/>
      <c r="CG388" s="553"/>
      <c r="CH388" s="553"/>
      <c r="CI388" s="550"/>
      <c r="CK388" s="551"/>
      <c r="CN388" s="547"/>
      <c r="CO388" s="546"/>
      <c r="CP388" s="551"/>
      <c r="CQ388" s="553"/>
      <c r="CR388" s="553"/>
      <c r="CS388" s="550"/>
      <c r="CU388" s="551"/>
      <c r="CX388" s="547"/>
      <c r="CY388" s="546"/>
      <c r="CZ388" s="551"/>
      <c r="DA388" s="553"/>
      <c r="DB388" s="553"/>
      <c r="DC388" s="550"/>
      <c r="DE388" s="551"/>
      <c r="DH388" s="547"/>
      <c r="DI388" s="546"/>
      <c r="DJ388" s="551"/>
      <c r="DK388" s="553"/>
      <c r="DL388" s="553"/>
      <c r="DM388" s="550"/>
      <c r="DO388" s="551"/>
      <c r="DR388" s="547"/>
      <c r="DS388" s="546"/>
      <c r="DT388" s="551"/>
      <c r="DU388" s="553"/>
      <c r="DV388" s="553"/>
      <c r="DW388" s="550"/>
      <c r="DY388" s="551"/>
      <c r="EB388" s="547"/>
      <c r="EC388" s="546"/>
      <c r="ED388" s="551"/>
      <c r="EE388" s="553"/>
      <c r="EF388" s="553"/>
      <c r="EG388" s="550"/>
      <c r="EI388" s="551"/>
      <c r="EL388" s="547"/>
      <c r="EM388" s="546"/>
      <c r="EN388" s="551"/>
      <c r="EO388" s="553"/>
      <c r="EP388" s="553"/>
      <c r="EQ388" s="550"/>
      <c r="ES388" s="551"/>
    </row>
    <row r="389" spans="52:149">
      <c r="AZ389" s="547"/>
      <c r="BA389" s="546"/>
      <c r="BB389" s="551"/>
      <c r="BC389" s="553"/>
      <c r="BD389" s="553"/>
      <c r="BE389" s="550"/>
      <c r="BG389" s="551"/>
      <c r="BJ389" s="547"/>
      <c r="BK389" s="546"/>
      <c r="BL389" s="551"/>
      <c r="BM389" s="553"/>
      <c r="BN389" s="553"/>
      <c r="BO389" s="550"/>
      <c r="BQ389" s="551"/>
      <c r="BT389" s="547"/>
      <c r="BU389" s="546"/>
      <c r="BV389" s="551"/>
      <c r="BW389" s="553"/>
      <c r="BX389" s="553"/>
      <c r="BY389" s="550"/>
      <c r="CA389" s="551"/>
      <c r="CD389" s="547"/>
      <c r="CE389" s="546"/>
      <c r="CF389" s="551"/>
      <c r="CG389" s="553"/>
      <c r="CH389" s="553"/>
      <c r="CI389" s="550"/>
      <c r="CK389" s="551"/>
      <c r="CN389" s="547"/>
      <c r="CO389" s="546"/>
      <c r="CP389" s="551"/>
      <c r="CQ389" s="553"/>
      <c r="CR389" s="553"/>
      <c r="CS389" s="550"/>
      <c r="CU389" s="551"/>
      <c r="CX389" s="547"/>
      <c r="CY389" s="546"/>
      <c r="CZ389" s="551"/>
      <c r="DA389" s="553"/>
      <c r="DB389" s="553"/>
      <c r="DC389" s="550"/>
      <c r="DE389" s="551"/>
      <c r="DH389" s="547"/>
      <c r="DI389" s="546"/>
      <c r="DJ389" s="551"/>
      <c r="DK389" s="553"/>
      <c r="DL389" s="553"/>
      <c r="DM389" s="550"/>
      <c r="DO389" s="551"/>
      <c r="DR389" s="547"/>
      <c r="DS389" s="546"/>
      <c r="DT389" s="551"/>
      <c r="DU389" s="553"/>
      <c r="DV389" s="553"/>
      <c r="DW389" s="550"/>
      <c r="DY389" s="551"/>
      <c r="EB389" s="547"/>
      <c r="EC389" s="546"/>
      <c r="ED389" s="551"/>
      <c r="EE389" s="553"/>
      <c r="EF389" s="553"/>
      <c r="EG389" s="550"/>
      <c r="EI389" s="551"/>
      <c r="EL389" s="547"/>
      <c r="EM389" s="546"/>
      <c r="EN389" s="551"/>
      <c r="EO389" s="553"/>
      <c r="EP389" s="553"/>
      <c r="EQ389" s="550"/>
      <c r="ES389" s="551"/>
    </row>
    <row r="390" spans="52:149">
      <c r="AZ390" s="547"/>
      <c r="BA390" s="546"/>
      <c r="BB390" s="551"/>
      <c r="BC390" s="553"/>
      <c r="BD390" s="553"/>
      <c r="BE390" s="550"/>
      <c r="BG390" s="551"/>
      <c r="BJ390" s="547"/>
      <c r="BK390" s="546"/>
      <c r="BL390" s="551"/>
      <c r="BM390" s="553"/>
      <c r="BN390" s="553"/>
      <c r="BO390" s="550"/>
      <c r="BQ390" s="551"/>
      <c r="BT390" s="547"/>
      <c r="BU390" s="546"/>
      <c r="BV390" s="551"/>
      <c r="BW390" s="553"/>
      <c r="BX390" s="553"/>
      <c r="BY390" s="550"/>
      <c r="CA390" s="551"/>
      <c r="CD390" s="547"/>
      <c r="CE390" s="546"/>
      <c r="CF390" s="551"/>
      <c r="CG390" s="553"/>
      <c r="CH390" s="553"/>
      <c r="CI390" s="550"/>
      <c r="CK390" s="551"/>
      <c r="CN390" s="547"/>
      <c r="CO390" s="546"/>
      <c r="CP390" s="551"/>
      <c r="CQ390" s="553"/>
      <c r="CR390" s="553"/>
      <c r="CS390" s="550"/>
      <c r="CU390" s="551"/>
      <c r="CX390" s="547"/>
      <c r="CY390" s="546"/>
      <c r="CZ390" s="551"/>
      <c r="DA390" s="553"/>
      <c r="DB390" s="553"/>
      <c r="DC390" s="550"/>
      <c r="DE390" s="551"/>
      <c r="DH390" s="547"/>
      <c r="DI390" s="546"/>
      <c r="DJ390" s="551"/>
      <c r="DK390" s="553"/>
      <c r="DL390" s="553"/>
      <c r="DM390" s="550"/>
      <c r="DO390" s="551"/>
      <c r="DR390" s="547"/>
      <c r="DS390" s="546"/>
      <c r="DT390" s="551"/>
      <c r="DU390" s="553"/>
      <c r="DV390" s="553"/>
      <c r="DW390" s="550"/>
      <c r="DY390" s="551"/>
      <c r="EB390" s="547"/>
      <c r="EC390" s="546"/>
      <c r="ED390" s="551"/>
      <c r="EE390" s="553"/>
      <c r="EF390" s="553"/>
      <c r="EG390" s="550"/>
      <c r="EI390" s="551"/>
      <c r="EL390" s="547"/>
      <c r="EM390" s="546"/>
      <c r="EN390" s="551"/>
      <c r="EO390" s="553"/>
      <c r="EP390" s="553"/>
      <c r="EQ390" s="550"/>
      <c r="ES390" s="551"/>
    </row>
    <row r="391" spans="52:149">
      <c r="AZ391" s="547"/>
      <c r="BA391" s="546"/>
      <c r="BB391" s="551"/>
      <c r="BC391" s="553"/>
      <c r="BD391" s="553"/>
      <c r="BE391" s="550"/>
      <c r="BG391" s="551"/>
      <c r="BJ391" s="547"/>
      <c r="BK391" s="546"/>
      <c r="BL391" s="551"/>
      <c r="BM391" s="553"/>
      <c r="BN391" s="553"/>
      <c r="BO391" s="550"/>
      <c r="BQ391" s="551"/>
      <c r="BT391" s="547"/>
      <c r="BU391" s="546"/>
      <c r="BV391" s="551"/>
      <c r="BW391" s="553"/>
      <c r="BX391" s="553"/>
      <c r="BY391" s="550"/>
      <c r="CA391" s="551"/>
      <c r="CD391" s="547"/>
      <c r="CE391" s="546"/>
      <c r="CF391" s="551"/>
      <c r="CG391" s="553"/>
      <c r="CH391" s="553"/>
      <c r="CI391" s="550"/>
      <c r="CK391" s="551"/>
      <c r="CN391" s="547"/>
      <c r="CO391" s="546"/>
      <c r="CP391" s="551"/>
      <c r="CQ391" s="553"/>
      <c r="CR391" s="553"/>
      <c r="CS391" s="550"/>
      <c r="CU391" s="551"/>
      <c r="CX391" s="547"/>
      <c r="CY391" s="546"/>
      <c r="CZ391" s="551"/>
      <c r="DA391" s="553"/>
      <c r="DB391" s="553"/>
      <c r="DC391" s="550"/>
      <c r="DE391" s="551"/>
      <c r="DH391" s="547"/>
      <c r="DI391" s="546"/>
      <c r="DJ391" s="551"/>
      <c r="DK391" s="553"/>
      <c r="DL391" s="553"/>
      <c r="DM391" s="550"/>
      <c r="DO391" s="551"/>
      <c r="DR391" s="547"/>
      <c r="DS391" s="546"/>
      <c r="DT391" s="551"/>
      <c r="DU391" s="553"/>
      <c r="DV391" s="553"/>
      <c r="DW391" s="550"/>
      <c r="DY391" s="551"/>
      <c r="EB391" s="547"/>
      <c r="EC391" s="546"/>
      <c r="ED391" s="551"/>
      <c r="EE391" s="553"/>
      <c r="EF391" s="553"/>
      <c r="EG391" s="550"/>
      <c r="EI391" s="551"/>
      <c r="EL391" s="547"/>
      <c r="EM391" s="546"/>
      <c r="EN391" s="551"/>
      <c r="EO391" s="553"/>
      <c r="EP391" s="553"/>
      <c r="EQ391" s="550"/>
      <c r="ES391" s="551"/>
    </row>
  </sheetData>
  <sheetProtection algorithmName="SHA-512" hashValue="5bGx9yPFIeOnYuLbGV0UhbgtUMEB8Wl4DTNxdyBNu9Mj7HIUEu1q3GUUhBcS/kmMpExpedszvbjH0ZlLgmn1vw==" saltValue="POyF9AmJX1RLxO/6IG0fcQ==" spinCount="100000" sheet="1" objects="1" scenarios="1"/>
  <pageMargins left="0.7" right="0.7" top="0.78740157499999996" bottom="0.78740157499999996"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Tabelle29">
    <tabColor rgb="FFFF9999"/>
  </sheetPr>
  <dimension ref="A1:AOT2307"/>
  <sheetViews>
    <sheetView topLeftCell="R1" zoomScaleNormal="100" workbookViewId="0">
      <selection activeCell="D1" sqref="D1:E2"/>
    </sheetView>
  </sheetViews>
  <sheetFormatPr baseColWidth="10" defaultColWidth="11.5" defaultRowHeight="12" customHeight="1"/>
  <cols>
    <col min="1" max="1" width="8.6640625" style="4" customWidth="1"/>
    <col min="2" max="2" width="36.83203125" style="4" customWidth="1"/>
    <col min="3" max="5" width="24.6640625" style="4" customWidth="1"/>
    <col min="6" max="6" width="8.6640625" style="4" customWidth="1"/>
    <col min="7" max="7" width="16.6640625" style="4" customWidth="1"/>
    <col min="8" max="8" width="14.6640625" style="4" customWidth="1"/>
    <col min="9" max="10" width="19.5" style="4" customWidth="1"/>
    <col min="11" max="11" width="14.6640625" style="4" customWidth="1"/>
    <col min="12" max="12" width="16.6640625" style="4" customWidth="1"/>
    <col min="13" max="17" width="14.6640625" style="4" customWidth="1"/>
    <col min="18" max="18" width="4.6640625" style="4" customWidth="1"/>
    <col min="19" max="19" width="14.6640625" style="4" customWidth="1"/>
    <col min="20" max="20" width="4.6640625" style="4" customWidth="1"/>
    <col min="21" max="21" width="14.6640625" style="4" customWidth="1"/>
    <col min="22" max="22" width="8.6640625" style="4" customWidth="1"/>
    <col min="23" max="23" width="8.6640625" style="91" customWidth="1"/>
    <col min="24" max="24" width="8.6640625" style="3" customWidth="1"/>
    <col min="25" max="27" width="24.6640625" style="4" customWidth="1"/>
    <col min="28" max="28" width="6.6640625" style="4" customWidth="1"/>
    <col min="29" max="30" width="24.6640625" style="4" customWidth="1"/>
    <col min="31" max="31" width="27.1640625" style="4" customWidth="1"/>
    <col min="32" max="32" width="8.6640625" style="4" customWidth="1"/>
    <col min="33" max="33" width="8.6640625" style="91" customWidth="1"/>
    <col min="34" max="34" width="8.6640625" style="3" customWidth="1"/>
    <col min="35" max="35" width="36.6640625" style="4" customWidth="1"/>
    <col min="36" max="36" width="14.6640625" style="4" customWidth="1"/>
    <col min="37" max="37" width="10.6640625" style="4" customWidth="1"/>
    <col min="38" max="94" width="24.6640625" style="4" customWidth="1"/>
    <col min="95" max="95" width="27.5" style="4" customWidth="1"/>
    <col min="96" max="110" width="24.6640625" style="4" customWidth="1"/>
    <col min="111" max="111" width="34.5" style="4" bestFit="1" customWidth="1"/>
    <col min="112" max="129" width="1.6640625" style="4" customWidth="1"/>
    <col min="130" max="130" width="8.6640625" style="91" customWidth="1"/>
    <col min="131" max="131" width="8.6640625" style="3" customWidth="1"/>
    <col min="132" max="132" width="30.6640625" style="4" customWidth="1"/>
    <col min="133" max="143" width="12.6640625" style="4" customWidth="1"/>
    <col min="144" max="144" width="8.6640625" style="4" customWidth="1"/>
    <col min="145" max="146" width="24.6640625" style="4" customWidth="1"/>
    <col min="147" max="147" width="8.6640625" style="4" customWidth="1"/>
    <col min="148" max="148" width="26.6640625" style="4" customWidth="1"/>
    <col min="149" max="149" width="12.6640625" style="4" customWidth="1"/>
    <col min="150" max="152" width="24.6640625" style="4" customWidth="1"/>
    <col min="153" max="153" width="8.6640625" style="4" customWidth="1"/>
    <col min="154" max="154" width="26.6640625" style="4" customWidth="1"/>
    <col min="155" max="155" width="12.6640625" style="4" customWidth="1"/>
    <col min="156" max="167" width="24.6640625" style="4" customWidth="1"/>
    <col min="168" max="168" width="8.6640625" style="4" customWidth="1"/>
    <col min="169" max="169" width="26.6640625" style="4" customWidth="1"/>
    <col min="170" max="170" width="12.6640625" style="4" customWidth="1"/>
    <col min="171" max="177" width="24.6640625" style="4" customWidth="1"/>
    <col min="178" max="178" width="8.6640625" style="4" customWidth="1"/>
    <col min="179" max="179" width="8.6640625" style="91" customWidth="1"/>
    <col min="180" max="180" width="8.6640625" style="3" customWidth="1"/>
    <col min="181" max="190" width="12.6640625" style="4" customWidth="1"/>
    <col min="191" max="191" width="30.6640625" style="4" customWidth="1"/>
    <col min="192" max="192" width="8.6640625" style="4" customWidth="1"/>
    <col min="193" max="202" width="12.6640625" style="4" customWidth="1"/>
    <col min="203" max="203" width="8.6640625" style="4" customWidth="1"/>
    <col min="204" max="204" width="30.6640625" style="4" customWidth="1"/>
    <col min="205" max="205" width="12.6640625" style="4" customWidth="1"/>
    <col min="206" max="217" width="26.6640625" style="4" customWidth="1"/>
    <col min="218" max="218" width="8.6640625" style="4" customWidth="1"/>
    <col min="219" max="219" width="8.6640625" style="91" customWidth="1"/>
    <col min="220" max="220" width="8.6640625" style="3" customWidth="1"/>
    <col min="221" max="224" width="20.6640625" style="4" customWidth="1"/>
    <col min="225" max="232" width="8.6640625" style="4" customWidth="1"/>
    <col min="233" max="233" width="8.6640625" style="91" customWidth="1"/>
    <col min="234" max="234" width="8.6640625" style="3" customWidth="1"/>
    <col min="235" max="235" width="24.6640625" style="4" customWidth="1"/>
    <col min="236" max="236" width="60.6640625" style="4" customWidth="1"/>
    <col min="237" max="237" width="12.6640625" style="4" customWidth="1"/>
    <col min="238" max="238" width="24.6640625" style="4" customWidth="1"/>
    <col min="239" max="250" width="12.6640625" style="4" customWidth="1"/>
    <col min="251" max="251" width="16.6640625" style="4" customWidth="1"/>
    <col min="252" max="252" width="12.6640625" style="4" customWidth="1"/>
    <col min="253" max="253" width="8.6640625" style="4" customWidth="1"/>
    <col min="254" max="254" width="8.6640625" style="91" customWidth="1"/>
    <col min="255" max="255" width="8.6640625" style="3" customWidth="1"/>
    <col min="256" max="256" width="30.6640625" style="4" customWidth="1"/>
    <col min="257" max="261" width="12.6640625" style="4" customWidth="1"/>
    <col min="262" max="262" width="8.6640625" style="4" customWidth="1"/>
    <col min="263" max="263" width="30.6640625" style="4" customWidth="1"/>
    <col min="264" max="264" width="12.6640625" style="4" customWidth="1"/>
    <col min="265" max="265" width="8.6640625" style="4" customWidth="1"/>
    <col min="266" max="266" width="12.6640625" style="4" customWidth="1"/>
    <col min="267" max="267" width="8.6640625" style="4" customWidth="1"/>
    <col min="268" max="268" width="16.6640625" style="4" customWidth="1"/>
    <col min="269" max="271" width="8.6640625" style="4" customWidth="1"/>
    <col min="272" max="272" width="8.6640625" style="91" customWidth="1"/>
    <col min="273" max="273" width="8.6640625" style="3" customWidth="1"/>
    <col min="274" max="276" width="8.6640625" style="4" customWidth="1"/>
    <col min="277" max="277" width="12.6640625" style="4" customWidth="1"/>
    <col min="278" max="16384" width="11.5" style="4"/>
  </cols>
  <sheetData>
    <row r="1" spans="1:273" s="307" customFormat="1" ht="30" customHeight="1">
      <c r="A1" s="412"/>
      <c r="B1" s="413" t="s">
        <v>818</v>
      </c>
      <c r="C1" s="413"/>
      <c r="D1" s="412"/>
      <c r="E1" s="412"/>
      <c r="F1" s="412"/>
      <c r="G1" s="412"/>
      <c r="H1" s="412"/>
      <c r="I1" s="412"/>
      <c r="J1" s="412"/>
      <c r="K1" s="412"/>
      <c r="L1" s="412"/>
      <c r="M1" s="412"/>
      <c r="N1" s="412"/>
      <c r="O1" s="412"/>
      <c r="P1" s="412"/>
      <c r="Q1" s="412"/>
      <c r="R1" s="412"/>
      <c r="S1" s="412"/>
      <c r="T1" s="412"/>
      <c r="U1" s="412"/>
      <c r="V1" s="412"/>
      <c r="W1" s="308"/>
      <c r="X1" s="309"/>
      <c r="AG1" s="308"/>
      <c r="AH1" s="309"/>
      <c r="DZ1" s="308"/>
      <c r="EA1" s="309"/>
      <c r="FW1" s="308"/>
      <c r="FX1" s="309"/>
      <c r="HK1" s="308"/>
      <c r="HL1" s="309"/>
      <c r="HM1" s="310"/>
      <c r="HN1" s="310"/>
      <c r="HO1" s="310"/>
      <c r="HP1" s="310"/>
      <c r="HQ1" s="310"/>
      <c r="HR1" s="310"/>
      <c r="HS1" s="310"/>
      <c r="HT1" s="310"/>
      <c r="HU1" s="310"/>
      <c r="HV1" s="310"/>
      <c r="HW1" s="310"/>
      <c r="HY1" s="308"/>
      <c r="HZ1" s="309"/>
      <c r="IA1" s="310"/>
      <c r="IB1" s="310"/>
      <c r="IC1" s="310"/>
      <c r="IT1" s="308"/>
      <c r="IU1" s="309"/>
      <c r="JL1" s="308"/>
      <c r="JM1" s="309"/>
    </row>
    <row r="2" spans="1:273" s="91" customFormat="1" ht="30" customHeight="1">
      <c r="X2" s="92"/>
      <c r="AH2" s="92"/>
      <c r="EA2" s="92"/>
      <c r="FX2" s="92"/>
      <c r="HL2" s="92"/>
      <c r="HZ2" s="92"/>
      <c r="IU2" s="92"/>
      <c r="JM2" s="92"/>
    </row>
    <row r="3" spans="1:273" s="170" customFormat="1" ht="30" customHeight="1">
      <c r="B3" s="170" t="s">
        <v>250</v>
      </c>
      <c r="W3" s="174"/>
      <c r="X3" s="175"/>
      <c r="AG3" s="174"/>
      <c r="AH3" s="175"/>
      <c r="AI3" s="172"/>
      <c r="DZ3" s="174"/>
      <c r="EA3" s="175"/>
      <c r="FW3" s="174"/>
      <c r="FX3" s="175"/>
      <c r="HK3" s="174"/>
      <c r="HL3" s="175"/>
      <c r="HM3" s="4"/>
      <c r="HN3" s="4"/>
      <c r="HO3" s="4"/>
      <c r="HP3" s="4"/>
      <c r="HQ3" s="4"/>
      <c r="HR3" s="4"/>
      <c r="HS3" s="4"/>
      <c r="HT3" s="4"/>
      <c r="HU3" s="4"/>
      <c r="HV3" s="4"/>
      <c r="HW3" s="4"/>
      <c r="HY3" s="174"/>
      <c r="HZ3" s="175"/>
      <c r="IA3" s="4"/>
      <c r="IB3" s="4"/>
      <c r="IC3" s="4"/>
      <c r="IT3" s="174"/>
      <c r="IU3" s="175"/>
      <c r="JL3" s="174"/>
      <c r="JM3" s="175"/>
    </row>
    <row r="4" spans="1:273" s="171" customFormat="1" ht="18">
      <c r="B4" s="171" t="s">
        <v>431</v>
      </c>
      <c r="G4" s="171" t="s">
        <v>681</v>
      </c>
      <c r="W4" s="176"/>
      <c r="X4" s="177"/>
      <c r="Y4" s="171" t="s">
        <v>261</v>
      </c>
      <c r="AG4" s="176"/>
      <c r="AH4" s="177"/>
      <c r="AI4" s="173"/>
      <c r="DZ4" s="176"/>
      <c r="EA4" s="177"/>
      <c r="FW4" s="176"/>
      <c r="FX4" s="177"/>
      <c r="HK4" s="176"/>
      <c r="HL4" s="177"/>
      <c r="HM4" s="4"/>
      <c r="HN4" s="4"/>
      <c r="HO4" s="4"/>
      <c r="HP4" s="4"/>
      <c r="HQ4" s="4"/>
      <c r="HR4" s="4"/>
      <c r="HS4" s="4"/>
      <c r="HT4" s="4"/>
      <c r="HU4" s="4"/>
      <c r="HV4" s="4"/>
      <c r="HW4" s="4"/>
      <c r="HY4" s="176"/>
      <c r="HZ4" s="177"/>
      <c r="IA4" s="4"/>
      <c r="IB4" s="4"/>
      <c r="IC4" s="4"/>
      <c r="IT4" s="176"/>
      <c r="IU4" s="177"/>
      <c r="JL4" s="176"/>
      <c r="JM4" s="177"/>
    </row>
    <row r="5" spans="1:273" ht="12" customHeight="1">
      <c r="B5" s="1656" t="s">
        <v>432</v>
      </c>
      <c r="C5" s="1656" t="s">
        <v>341</v>
      </c>
      <c r="D5" s="1478" t="s">
        <v>470</v>
      </c>
      <c r="E5" s="1630" t="s">
        <v>111</v>
      </c>
      <c r="G5" s="1478" t="s">
        <v>470</v>
      </c>
      <c r="H5" s="1659" t="s">
        <v>433</v>
      </c>
      <c r="I5" s="1660"/>
      <c r="J5" s="1664" t="s">
        <v>48</v>
      </c>
      <c r="K5" s="1630" t="s">
        <v>668</v>
      </c>
      <c r="L5" s="1478" t="s">
        <v>471</v>
      </c>
      <c r="M5" s="1666" t="s">
        <v>50</v>
      </c>
      <c r="N5" s="1667"/>
      <c r="O5" s="1667"/>
      <c r="P5" s="1667"/>
      <c r="Q5" s="1668"/>
      <c r="R5" s="5"/>
      <c r="S5" s="1477" t="s">
        <v>680</v>
      </c>
      <c r="T5" s="5"/>
      <c r="U5" s="1477" t="s">
        <v>112</v>
      </c>
      <c r="Y5" s="330" t="str">
        <f>Z5</f>
        <v>a</v>
      </c>
      <c r="Z5" s="401" t="s">
        <v>62</v>
      </c>
      <c r="AA5" s="330" t="str">
        <f t="shared" ref="AA5:AA30" si="0">UPPER(Z5)</f>
        <v>A</v>
      </c>
      <c r="AB5" s="401" t="str">
        <f>AA5</f>
        <v>A</v>
      </c>
      <c r="AC5" s="249"/>
    </row>
    <row r="6" spans="1:273" ht="12" customHeight="1">
      <c r="B6" s="1657"/>
      <c r="C6" s="1657"/>
      <c r="D6" s="1658"/>
      <c r="E6" s="1634"/>
      <c r="G6" s="1658"/>
      <c r="H6" s="1661"/>
      <c r="I6" s="1662"/>
      <c r="J6" s="1665"/>
      <c r="K6" s="1634"/>
      <c r="L6" s="1658"/>
      <c r="M6" s="421" t="s">
        <v>51</v>
      </c>
      <c r="N6" s="6" t="s">
        <v>52</v>
      </c>
      <c r="O6" s="6" t="s">
        <v>53</v>
      </c>
      <c r="P6" s="6" t="s">
        <v>54</v>
      </c>
      <c r="Q6" s="7" t="s">
        <v>117</v>
      </c>
      <c r="R6" s="8"/>
      <c r="S6" s="1634"/>
      <c r="T6" s="8"/>
      <c r="U6" s="1655"/>
      <c r="Y6" s="330" t="str">
        <f t="shared" ref="Y6:Y30" si="1">Z6</f>
        <v>b</v>
      </c>
      <c r="Z6" s="401" t="s">
        <v>64</v>
      </c>
      <c r="AA6" s="330" t="str">
        <f t="shared" si="0"/>
        <v>B</v>
      </c>
      <c r="AB6" s="401" t="str">
        <f t="shared" ref="AB6:AB29" si="2">AA6</f>
        <v>B</v>
      </c>
      <c r="AC6" s="249"/>
    </row>
    <row r="7" spans="1:273" ht="12" customHeight="1">
      <c r="B7" s="98" t="s">
        <v>118</v>
      </c>
      <c r="C7" s="152" t="s">
        <v>343</v>
      </c>
      <c r="D7" s="9">
        <v>11</v>
      </c>
      <c r="E7" s="146">
        <v>1.3</v>
      </c>
      <c r="F7" s="422"/>
      <c r="G7" s="9">
        <v>11</v>
      </c>
      <c r="H7" s="1654" t="s">
        <v>119</v>
      </c>
      <c r="I7" s="1654"/>
      <c r="J7" s="1651" t="s">
        <v>682</v>
      </c>
      <c r="K7" s="10">
        <v>1</v>
      </c>
      <c r="L7" s="9">
        <f t="shared" ref="L7:L38" si="3">VALUE(G7&amp;K7)</f>
        <v>111</v>
      </c>
      <c r="M7" s="429">
        <v>0.6</v>
      </c>
      <c r="N7" s="429">
        <v>0.7</v>
      </c>
      <c r="O7" s="429">
        <v>0.8</v>
      </c>
      <c r="P7" s="429">
        <v>0.9</v>
      </c>
      <c r="Q7" s="429">
        <v>1.1000000000000001</v>
      </c>
      <c r="R7" s="8"/>
      <c r="S7" s="430">
        <v>0.6</v>
      </c>
      <c r="T7" s="8"/>
      <c r="U7" s="430">
        <v>1</v>
      </c>
      <c r="Y7" s="330" t="str">
        <f t="shared" si="1"/>
        <v>c</v>
      </c>
      <c r="Z7" s="401" t="s">
        <v>66</v>
      </c>
      <c r="AA7" s="330" t="str">
        <f t="shared" si="0"/>
        <v>C</v>
      </c>
      <c r="AB7" s="401" t="str">
        <f t="shared" si="2"/>
        <v>C</v>
      </c>
      <c r="AC7" s="249"/>
    </row>
    <row r="8" spans="1:273" ht="12" customHeight="1">
      <c r="B8" s="98" t="s">
        <v>120</v>
      </c>
      <c r="C8" s="152" t="s">
        <v>343</v>
      </c>
      <c r="D8" s="9">
        <v>11</v>
      </c>
      <c r="E8" s="146">
        <v>1.3</v>
      </c>
      <c r="F8" s="422"/>
      <c r="G8" s="9">
        <v>11</v>
      </c>
      <c r="H8" s="1654"/>
      <c r="I8" s="1654"/>
      <c r="J8" s="1649"/>
      <c r="K8" s="13">
        <v>2</v>
      </c>
      <c r="L8" s="9">
        <f t="shared" si="3"/>
        <v>112</v>
      </c>
      <c r="M8" s="431">
        <v>0.6</v>
      </c>
      <c r="N8" s="431">
        <v>0.7</v>
      </c>
      <c r="O8" s="431">
        <v>0.8</v>
      </c>
      <c r="P8" s="431">
        <v>0.9</v>
      </c>
      <c r="Q8" s="431">
        <v>1.1000000000000001</v>
      </c>
      <c r="R8" s="8"/>
      <c r="S8" s="432">
        <v>0.8</v>
      </c>
      <c r="T8" s="8"/>
      <c r="U8" s="432">
        <v>0.9</v>
      </c>
      <c r="Y8" s="330" t="str">
        <f t="shared" si="1"/>
        <v>d</v>
      </c>
      <c r="Z8" s="401" t="s">
        <v>68</v>
      </c>
      <c r="AA8" s="330" t="str">
        <f t="shared" si="0"/>
        <v>D</v>
      </c>
      <c r="AB8" s="401" t="str">
        <f t="shared" si="2"/>
        <v>D</v>
      </c>
      <c r="AC8" s="249"/>
    </row>
    <row r="9" spans="1:273" ht="12" customHeight="1">
      <c r="B9" s="98" t="s">
        <v>434</v>
      </c>
      <c r="C9" s="152" t="s">
        <v>343</v>
      </c>
      <c r="D9" s="9">
        <v>12</v>
      </c>
      <c r="E9" s="146">
        <v>1.3</v>
      </c>
      <c r="F9" s="422"/>
      <c r="G9" s="9">
        <v>11</v>
      </c>
      <c r="H9" s="1654"/>
      <c r="I9" s="1654"/>
      <c r="J9" s="1650"/>
      <c r="K9" s="16">
        <v>3</v>
      </c>
      <c r="L9" s="9">
        <f t="shared" si="3"/>
        <v>113</v>
      </c>
      <c r="M9" s="433">
        <v>0.5</v>
      </c>
      <c r="N9" s="433">
        <v>0.55000000000000004</v>
      </c>
      <c r="O9" s="433">
        <v>0.65</v>
      </c>
      <c r="P9" s="433">
        <v>0.7</v>
      </c>
      <c r="Q9" s="433">
        <v>0.9</v>
      </c>
      <c r="R9" s="8"/>
      <c r="S9" s="434">
        <v>2</v>
      </c>
      <c r="T9" s="8"/>
      <c r="U9" s="434">
        <v>0.75</v>
      </c>
      <c r="Y9" s="330" t="str">
        <f t="shared" si="1"/>
        <v>e</v>
      </c>
      <c r="Z9" s="401" t="s">
        <v>70</v>
      </c>
      <c r="AA9" s="330" t="str">
        <f t="shared" si="0"/>
        <v>E</v>
      </c>
      <c r="AB9" s="401" t="str">
        <f t="shared" si="2"/>
        <v>E</v>
      </c>
      <c r="AC9" s="249"/>
    </row>
    <row r="10" spans="1:273" ht="12" customHeight="1">
      <c r="B10" s="98" t="s">
        <v>121</v>
      </c>
      <c r="C10" s="152" t="s">
        <v>343</v>
      </c>
      <c r="D10" s="9">
        <v>12</v>
      </c>
      <c r="E10" s="146">
        <v>1.3</v>
      </c>
      <c r="F10" s="422"/>
      <c r="G10" s="9">
        <v>12</v>
      </c>
      <c r="H10" s="1654" t="s">
        <v>122</v>
      </c>
      <c r="I10" s="1654"/>
      <c r="J10" s="1648" t="s">
        <v>726</v>
      </c>
      <c r="K10" s="420">
        <v>1</v>
      </c>
      <c r="L10" s="9">
        <f t="shared" si="3"/>
        <v>121</v>
      </c>
      <c r="M10" s="429">
        <v>0.6</v>
      </c>
      <c r="N10" s="429">
        <v>0.7</v>
      </c>
      <c r="O10" s="429">
        <v>0.8</v>
      </c>
      <c r="P10" s="429">
        <v>0.9</v>
      </c>
      <c r="Q10" s="429">
        <v>1.1000000000000001</v>
      </c>
      <c r="R10" s="8"/>
      <c r="S10" s="430">
        <v>0.6</v>
      </c>
      <c r="T10" s="8"/>
      <c r="U10" s="430">
        <v>1</v>
      </c>
      <c r="Y10" s="330" t="str">
        <f t="shared" si="1"/>
        <v>f</v>
      </c>
      <c r="Z10" s="401" t="s">
        <v>44</v>
      </c>
      <c r="AA10" s="330" t="str">
        <f t="shared" si="0"/>
        <v>F</v>
      </c>
      <c r="AB10" s="401" t="str">
        <f t="shared" si="2"/>
        <v>F</v>
      </c>
      <c r="AC10" s="249"/>
    </row>
    <row r="11" spans="1:273" ht="12" customHeight="1">
      <c r="B11" s="98" t="s">
        <v>731</v>
      </c>
      <c r="C11" s="152" t="s">
        <v>343</v>
      </c>
      <c r="D11" s="9">
        <v>13</v>
      </c>
      <c r="E11" s="146">
        <v>1.3</v>
      </c>
      <c r="G11" s="9">
        <v>12</v>
      </c>
      <c r="H11" s="1654"/>
      <c r="I11" s="1654"/>
      <c r="J11" s="1649"/>
      <c r="K11" s="200">
        <v>2</v>
      </c>
      <c r="L11" s="9">
        <f t="shared" si="3"/>
        <v>122</v>
      </c>
      <c r="M11" s="431">
        <v>0.6</v>
      </c>
      <c r="N11" s="431">
        <v>0.7</v>
      </c>
      <c r="O11" s="431">
        <v>0.8</v>
      </c>
      <c r="P11" s="431">
        <v>0.9</v>
      </c>
      <c r="Q11" s="431">
        <v>1.1000000000000001</v>
      </c>
      <c r="R11" s="8"/>
      <c r="S11" s="432">
        <v>0.8</v>
      </c>
      <c r="T11" s="8"/>
      <c r="U11" s="432">
        <v>0.9</v>
      </c>
      <c r="Y11" s="330" t="str">
        <f t="shared" si="1"/>
        <v>g</v>
      </c>
      <c r="Z11" s="401" t="s">
        <v>73</v>
      </c>
      <c r="AA11" s="330" t="str">
        <f t="shared" si="0"/>
        <v>G</v>
      </c>
      <c r="AB11" s="401" t="str">
        <f t="shared" si="2"/>
        <v>G</v>
      </c>
      <c r="AC11" s="249"/>
    </row>
    <row r="12" spans="1:273" ht="12" customHeight="1">
      <c r="B12" s="98" t="s">
        <v>123</v>
      </c>
      <c r="C12" s="152" t="s">
        <v>180</v>
      </c>
      <c r="D12" s="9">
        <v>21</v>
      </c>
      <c r="E12" s="146">
        <v>1.3</v>
      </c>
      <c r="G12" s="9">
        <v>12</v>
      </c>
      <c r="H12" s="1654"/>
      <c r="I12" s="1654"/>
      <c r="J12" s="1650"/>
      <c r="K12" s="168">
        <v>3</v>
      </c>
      <c r="L12" s="9">
        <f t="shared" si="3"/>
        <v>123</v>
      </c>
      <c r="M12" s="433">
        <v>0.5</v>
      </c>
      <c r="N12" s="433">
        <v>0.55000000000000004</v>
      </c>
      <c r="O12" s="433">
        <v>0.65</v>
      </c>
      <c r="P12" s="433">
        <v>0.7</v>
      </c>
      <c r="Q12" s="433">
        <v>0.9</v>
      </c>
      <c r="R12" s="8"/>
      <c r="S12" s="434">
        <v>2</v>
      </c>
      <c r="T12" s="8"/>
      <c r="U12" s="434">
        <v>0.75</v>
      </c>
      <c r="Y12" s="330" t="str">
        <f t="shared" si="1"/>
        <v>h</v>
      </c>
      <c r="Z12" s="401" t="s">
        <v>75</v>
      </c>
      <c r="AA12" s="330" t="str">
        <f t="shared" si="0"/>
        <v>H</v>
      </c>
      <c r="AB12" s="401" t="str">
        <f t="shared" si="2"/>
        <v>H</v>
      </c>
      <c r="AC12" s="249"/>
    </row>
    <row r="13" spans="1:273" ht="12" customHeight="1">
      <c r="B13" s="98" t="s">
        <v>320</v>
      </c>
      <c r="C13" s="152" t="s">
        <v>180</v>
      </c>
      <c r="D13" s="9">
        <v>21</v>
      </c>
      <c r="E13" s="146">
        <v>1.3</v>
      </c>
      <c r="G13" s="9">
        <v>13</v>
      </c>
      <c r="H13" s="1654" t="s">
        <v>731</v>
      </c>
      <c r="I13" s="1654"/>
      <c r="J13" s="1648" t="s">
        <v>727</v>
      </c>
      <c r="K13" s="420">
        <v>1</v>
      </c>
      <c r="L13" s="9">
        <f t="shared" si="3"/>
        <v>131</v>
      </c>
      <c r="M13" s="429">
        <v>0.6</v>
      </c>
      <c r="N13" s="429">
        <v>0.7</v>
      </c>
      <c r="O13" s="429">
        <v>0.8</v>
      </c>
      <c r="P13" s="429">
        <v>0.9</v>
      </c>
      <c r="Q13" s="429">
        <v>1.1000000000000001</v>
      </c>
      <c r="R13" s="8"/>
      <c r="S13" s="430">
        <v>0.6</v>
      </c>
      <c r="T13" s="8"/>
      <c r="U13" s="430">
        <v>1</v>
      </c>
      <c r="Y13" s="330" t="str">
        <f t="shared" si="1"/>
        <v>i</v>
      </c>
      <c r="Z13" s="401" t="s">
        <v>77</v>
      </c>
      <c r="AA13" s="330" t="str">
        <f t="shared" si="0"/>
        <v>I</v>
      </c>
      <c r="AB13" s="401" t="str">
        <f t="shared" si="2"/>
        <v>I</v>
      </c>
      <c r="AC13" s="249"/>
    </row>
    <row r="14" spans="1:273" ht="12" customHeight="1">
      <c r="B14" s="98" t="s">
        <v>123</v>
      </c>
      <c r="C14" s="152" t="s">
        <v>342</v>
      </c>
      <c r="D14" s="9">
        <v>22</v>
      </c>
      <c r="E14" s="146">
        <v>1.3</v>
      </c>
      <c r="G14" s="9">
        <v>13</v>
      </c>
      <c r="H14" s="1654"/>
      <c r="I14" s="1654"/>
      <c r="J14" s="1649"/>
      <c r="K14" s="200">
        <v>2</v>
      </c>
      <c r="L14" s="9">
        <f t="shared" si="3"/>
        <v>132</v>
      </c>
      <c r="M14" s="431">
        <v>0.6</v>
      </c>
      <c r="N14" s="431">
        <v>0.7</v>
      </c>
      <c r="O14" s="431">
        <v>0.8</v>
      </c>
      <c r="P14" s="431">
        <v>0.9</v>
      </c>
      <c r="Q14" s="431">
        <v>1.1000000000000001</v>
      </c>
      <c r="R14" s="8"/>
      <c r="S14" s="432">
        <v>0.8</v>
      </c>
      <c r="T14" s="8"/>
      <c r="U14" s="432">
        <v>0.9</v>
      </c>
      <c r="Y14" s="330" t="str">
        <f t="shared" si="1"/>
        <v>j</v>
      </c>
      <c r="Z14" s="401" t="s">
        <v>21</v>
      </c>
      <c r="AA14" s="330" t="str">
        <f t="shared" si="0"/>
        <v>J</v>
      </c>
      <c r="AB14" s="401" t="str">
        <f t="shared" si="2"/>
        <v>J</v>
      </c>
      <c r="AC14" s="249"/>
    </row>
    <row r="15" spans="1:273" ht="12" customHeight="1">
      <c r="B15" s="98" t="s">
        <v>320</v>
      </c>
      <c r="C15" s="152" t="s">
        <v>342</v>
      </c>
      <c r="D15" s="9">
        <v>22</v>
      </c>
      <c r="E15" s="146">
        <v>1.3</v>
      </c>
      <c r="G15" s="9">
        <v>13</v>
      </c>
      <c r="H15" s="1654"/>
      <c r="I15" s="1654"/>
      <c r="J15" s="1650"/>
      <c r="K15" s="168">
        <v>3</v>
      </c>
      <c r="L15" s="9">
        <f t="shared" si="3"/>
        <v>133</v>
      </c>
      <c r="M15" s="448"/>
      <c r="N15" s="448"/>
      <c r="O15" s="448"/>
      <c r="P15" s="448"/>
      <c r="Q15" s="448"/>
      <c r="R15" s="8"/>
      <c r="S15" s="449"/>
      <c r="T15" s="8"/>
      <c r="U15" s="434">
        <v>0.75</v>
      </c>
      <c r="Y15" s="330" t="str">
        <f t="shared" si="1"/>
        <v>k</v>
      </c>
      <c r="Z15" s="401" t="s">
        <v>80</v>
      </c>
      <c r="AA15" s="330" t="str">
        <f t="shared" si="0"/>
        <v>K</v>
      </c>
      <c r="AB15" s="401" t="str">
        <f t="shared" si="2"/>
        <v>K</v>
      </c>
      <c r="AC15" s="249"/>
    </row>
    <row r="16" spans="1:273" ht="12" customHeight="1">
      <c r="B16" s="98" t="s">
        <v>124</v>
      </c>
      <c r="C16" s="152" t="s">
        <v>343</v>
      </c>
      <c r="D16" s="9">
        <v>23</v>
      </c>
      <c r="E16" s="146">
        <v>1.3</v>
      </c>
      <c r="G16" s="9">
        <v>21</v>
      </c>
      <c r="H16" s="1654" t="s">
        <v>317</v>
      </c>
      <c r="I16" s="1654"/>
      <c r="J16" s="1651" t="s">
        <v>674</v>
      </c>
      <c r="K16" s="420">
        <v>1</v>
      </c>
      <c r="L16" s="9">
        <f t="shared" si="3"/>
        <v>211</v>
      </c>
      <c r="M16" s="429">
        <v>0.6</v>
      </c>
      <c r="N16" s="429">
        <v>0.7</v>
      </c>
      <c r="O16" s="429">
        <v>0.8</v>
      </c>
      <c r="P16" s="429">
        <v>0.9</v>
      </c>
      <c r="Q16" s="429">
        <v>1.1000000000000001</v>
      </c>
      <c r="R16" s="1663"/>
      <c r="S16" s="430">
        <v>0.6</v>
      </c>
      <c r="T16" s="8"/>
      <c r="U16" s="430">
        <v>1</v>
      </c>
      <c r="Y16" s="330" t="str">
        <f t="shared" si="1"/>
        <v>l</v>
      </c>
      <c r="Z16" s="401" t="s">
        <v>82</v>
      </c>
      <c r="AA16" s="330" t="str">
        <f t="shared" si="0"/>
        <v>L</v>
      </c>
      <c r="AB16" s="401" t="str">
        <f t="shared" si="2"/>
        <v>L</v>
      </c>
      <c r="AC16" s="249"/>
    </row>
    <row r="17" spans="2:29" ht="12" customHeight="1">
      <c r="B17" s="98" t="s">
        <v>125</v>
      </c>
      <c r="C17" s="152" t="s">
        <v>343</v>
      </c>
      <c r="D17" s="9">
        <v>23</v>
      </c>
      <c r="E17" s="146">
        <v>1.3</v>
      </c>
      <c r="G17" s="9">
        <v>21</v>
      </c>
      <c r="H17" s="1654"/>
      <c r="I17" s="1654"/>
      <c r="J17" s="1649"/>
      <c r="K17" s="200">
        <v>2</v>
      </c>
      <c r="L17" s="9">
        <f t="shared" si="3"/>
        <v>212</v>
      </c>
      <c r="M17" s="431">
        <v>0.6</v>
      </c>
      <c r="N17" s="431">
        <v>0.7</v>
      </c>
      <c r="O17" s="431">
        <v>0.8</v>
      </c>
      <c r="P17" s="431">
        <v>0.9</v>
      </c>
      <c r="Q17" s="431">
        <v>1.1000000000000001</v>
      </c>
      <c r="R17" s="1663"/>
      <c r="S17" s="432">
        <v>0.8</v>
      </c>
      <c r="T17" s="8"/>
      <c r="U17" s="432">
        <v>0.9</v>
      </c>
      <c r="Y17" s="330" t="str">
        <f t="shared" si="1"/>
        <v>m</v>
      </c>
      <c r="Z17" s="401" t="s">
        <v>84</v>
      </c>
      <c r="AA17" s="330" t="str">
        <f t="shared" si="0"/>
        <v>M</v>
      </c>
      <c r="AB17" s="401" t="str">
        <f t="shared" si="2"/>
        <v>M</v>
      </c>
      <c r="AC17" s="249"/>
    </row>
    <row r="18" spans="2:29" ht="12" customHeight="1">
      <c r="B18" s="98" t="s">
        <v>127</v>
      </c>
      <c r="C18" s="152" t="s">
        <v>343</v>
      </c>
      <c r="D18" s="9">
        <v>31</v>
      </c>
      <c r="E18" s="146">
        <v>1.3</v>
      </c>
      <c r="G18" s="9">
        <v>21</v>
      </c>
      <c r="H18" s="1654"/>
      <c r="I18" s="1654"/>
      <c r="J18" s="1650"/>
      <c r="K18" s="168">
        <v>3</v>
      </c>
      <c r="L18" s="9">
        <f t="shared" si="3"/>
        <v>213</v>
      </c>
      <c r="M18" s="433">
        <v>0.5</v>
      </c>
      <c r="N18" s="433">
        <v>0.55000000000000004</v>
      </c>
      <c r="O18" s="433">
        <v>0.65</v>
      </c>
      <c r="P18" s="433">
        <v>0.7</v>
      </c>
      <c r="Q18" s="433">
        <v>0.9</v>
      </c>
      <c r="R18" s="1663"/>
      <c r="S18" s="434">
        <v>2</v>
      </c>
      <c r="T18" s="8"/>
      <c r="U18" s="434">
        <v>0.75</v>
      </c>
      <c r="Y18" s="330" t="str">
        <f t="shared" si="1"/>
        <v>n</v>
      </c>
      <c r="Z18" s="401" t="s">
        <v>86</v>
      </c>
      <c r="AA18" s="330" t="str">
        <f t="shared" si="0"/>
        <v>N</v>
      </c>
      <c r="AB18" s="401" t="str">
        <f t="shared" si="2"/>
        <v>N</v>
      </c>
      <c r="AC18" s="249"/>
    </row>
    <row r="19" spans="2:29" ht="12" customHeight="1">
      <c r="B19" s="98" t="s">
        <v>129</v>
      </c>
      <c r="C19" s="152" t="s">
        <v>343</v>
      </c>
      <c r="D19" s="9">
        <v>32</v>
      </c>
      <c r="E19" s="146">
        <v>1.3</v>
      </c>
      <c r="G19" s="9">
        <v>22</v>
      </c>
      <c r="H19" s="1654" t="s">
        <v>318</v>
      </c>
      <c r="I19" s="1654"/>
      <c r="J19" s="1651" t="s">
        <v>674</v>
      </c>
      <c r="K19" s="420">
        <v>1</v>
      </c>
      <c r="L19" s="9">
        <f t="shared" si="3"/>
        <v>221</v>
      </c>
      <c r="M19" s="429">
        <v>0.6</v>
      </c>
      <c r="N19" s="429">
        <v>0.7</v>
      </c>
      <c r="O19" s="429">
        <v>0.8</v>
      </c>
      <c r="P19" s="429">
        <v>0.9</v>
      </c>
      <c r="Q19" s="429">
        <v>1.1000000000000001</v>
      </c>
      <c r="R19" s="1663"/>
      <c r="S19" s="430">
        <v>0.6</v>
      </c>
      <c r="T19" s="8"/>
      <c r="U19" s="430">
        <v>1</v>
      </c>
      <c r="Y19" s="330" t="str">
        <f t="shared" si="1"/>
        <v>o</v>
      </c>
      <c r="Z19" s="401" t="s">
        <v>88</v>
      </c>
      <c r="AA19" s="330" t="str">
        <f t="shared" si="0"/>
        <v>O</v>
      </c>
      <c r="AB19" s="401" t="str">
        <f t="shared" si="2"/>
        <v>O</v>
      </c>
      <c r="AC19" s="249"/>
    </row>
    <row r="20" spans="2:29" ht="12" customHeight="1">
      <c r="B20" s="98" t="s">
        <v>130</v>
      </c>
      <c r="C20" s="152" t="s">
        <v>343</v>
      </c>
      <c r="D20" s="9">
        <v>33</v>
      </c>
      <c r="E20" s="146">
        <v>1.3</v>
      </c>
      <c r="G20" s="9">
        <v>22</v>
      </c>
      <c r="H20" s="1654"/>
      <c r="I20" s="1654"/>
      <c r="J20" s="1649"/>
      <c r="K20" s="200">
        <v>2</v>
      </c>
      <c r="L20" s="9">
        <f t="shared" si="3"/>
        <v>222</v>
      </c>
      <c r="M20" s="431">
        <v>0.6</v>
      </c>
      <c r="N20" s="431">
        <v>0.7</v>
      </c>
      <c r="O20" s="431">
        <v>0.8</v>
      </c>
      <c r="P20" s="431">
        <v>0.9</v>
      </c>
      <c r="Q20" s="431">
        <v>1.1000000000000001</v>
      </c>
      <c r="R20" s="1663"/>
      <c r="S20" s="432">
        <v>0.8</v>
      </c>
      <c r="T20" s="8"/>
      <c r="U20" s="432">
        <v>0.9</v>
      </c>
      <c r="Y20" s="330" t="str">
        <f t="shared" si="1"/>
        <v>p</v>
      </c>
      <c r="Z20" s="401" t="s">
        <v>90</v>
      </c>
      <c r="AA20" s="330" t="str">
        <f t="shared" si="0"/>
        <v>P</v>
      </c>
      <c r="AB20" s="401" t="str">
        <f t="shared" si="2"/>
        <v>P</v>
      </c>
      <c r="AC20" s="249"/>
    </row>
    <row r="21" spans="2:29" ht="12" customHeight="1">
      <c r="B21" s="98" t="s">
        <v>131</v>
      </c>
      <c r="C21" s="152" t="s">
        <v>343</v>
      </c>
      <c r="D21" s="9">
        <v>34</v>
      </c>
      <c r="E21" s="146">
        <v>1.3</v>
      </c>
      <c r="G21" s="9">
        <v>22</v>
      </c>
      <c r="H21" s="1654"/>
      <c r="I21" s="1654"/>
      <c r="J21" s="1650"/>
      <c r="K21" s="168">
        <v>3</v>
      </c>
      <c r="L21" s="9">
        <f t="shared" si="3"/>
        <v>223</v>
      </c>
      <c r="M21" s="433">
        <v>0.5</v>
      </c>
      <c r="N21" s="433">
        <v>0.55000000000000004</v>
      </c>
      <c r="O21" s="433">
        <v>0.65</v>
      </c>
      <c r="P21" s="433">
        <v>0.7</v>
      </c>
      <c r="Q21" s="433">
        <v>0.9</v>
      </c>
      <c r="R21" s="1663"/>
      <c r="S21" s="434">
        <v>2</v>
      </c>
      <c r="T21" s="8"/>
      <c r="U21" s="434">
        <v>0.75</v>
      </c>
      <c r="Y21" s="330" t="str">
        <f t="shared" si="1"/>
        <v>q</v>
      </c>
      <c r="Z21" s="401" t="s">
        <v>92</v>
      </c>
      <c r="AA21" s="330" t="str">
        <f t="shared" si="0"/>
        <v>Q</v>
      </c>
      <c r="AB21" s="401" t="str">
        <f t="shared" si="2"/>
        <v>Q</v>
      </c>
      <c r="AC21" s="249"/>
    </row>
    <row r="22" spans="2:29" ht="12" customHeight="1">
      <c r="B22" s="98" t="s">
        <v>435</v>
      </c>
      <c r="C22" s="152" t="s">
        <v>343</v>
      </c>
      <c r="D22" s="9">
        <v>41</v>
      </c>
      <c r="E22" s="146">
        <v>1.3</v>
      </c>
      <c r="G22" s="9">
        <v>23</v>
      </c>
      <c r="H22" s="1654" t="s">
        <v>55</v>
      </c>
      <c r="I22" s="1654"/>
      <c r="J22" s="1651" t="s">
        <v>730</v>
      </c>
      <c r="K22" s="420">
        <v>1</v>
      </c>
      <c r="L22" s="9">
        <f t="shared" si="3"/>
        <v>231</v>
      </c>
      <c r="M22" s="429">
        <v>0.6</v>
      </c>
      <c r="N22" s="429">
        <v>0.7</v>
      </c>
      <c r="O22" s="429">
        <v>0.8</v>
      </c>
      <c r="P22" s="429">
        <v>0.9</v>
      </c>
      <c r="Q22" s="429">
        <v>1.1000000000000001</v>
      </c>
      <c r="R22" s="8"/>
      <c r="S22" s="430">
        <v>0.8</v>
      </c>
      <c r="T22" s="8"/>
      <c r="U22" s="430">
        <v>1</v>
      </c>
      <c r="Y22" s="330" t="str">
        <f t="shared" si="1"/>
        <v>r</v>
      </c>
      <c r="Z22" s="401" t="s">
        <v>94</v>
      </c>
      <c r="AA22" s="330" t="str">
        <f t="shared" si="0"/>
        <v>R</v>
      </c>
      <c r="AB22" s="401" t="str">
        <f t="shared" si="2"/>
        <v>R</v>
      </c>
      <c r="AC22" s="249"/>
    </row>
    <row r="23" spans="2:29" ht="12" customHeight="1">
      <c r="B23" s="98" t="s">
        <v>132</v>
      </c>
      <c r="C23" s="152" t="s">
        <v>343</v>
      </c>
      <c r="D23" s="9">
        <v>51</v>
      </c>
      <c r="E23" s="146">
        <v>1.3</v>
      </c>
      <c r="G23" s="9">
        <v>23</v>
      </c>
      <c r="H23" s="1654"/>
      <c r="I23" s="1654"/>
      <c r="J23" s="1649"/>
      <c r="K23" s="200">
        <v>2</v>
      </c>
      <c r="L23" s="9">
        <f t="shared" si="3"/>
        <v>232</v>
      </c>
      <c r="M23" s="431">
        <v>0.6</v>
      </c>
      <c r="N23" s="431">
        <v>0.7</v>
      </c>
      <c r="O23" s="431">
        <v>0.8</v>
      </c>
      <c r="P23" s="431">
        <v>0.9</v>
      </c>
      <c r="Q23" s="431">
        <v>1.1000000000000001</v>
      </c>
      <c r="R23" s="8"/>
      <c r="S23" s="432">
        <v>1</v>
      </c>
      <c r="T23" s="8"/>
      <c r="U23" s="432">
        <v>0.9</v>
      </c>
      <c r="Y23" s="330" t="str">
        <f t="shared" si="1"/>
        <v>s</v>
      </c>
      <c r="Z23" s="401" t="s">
        <v>96</v>
      </c>
      <c r="AA23" s="330" t="str">
        <f t="shared" si="0"/>
        <v>S</v>
      </c>
      <c r="AB23" s="401" t="str">
        <f t="shared" si="2"/>
        <v>S</v>
      </c>
      <c r="AC23" s="249"/>
    </row>
    <row r="24" spans="2:29" ht="12" customHeight="1">
      <c r="B24" s="98" t="s">
        <v>126</v>
      </c>
      <c r="C24" s="152" t="s">
        <v>343</v>
      </c>
      <c r="D24" s="9">
        <v>52</v>
      </c>
      <c r="E24" s="146">
        <v>1.3</v>
      </c>
      <c r="G24" s="9">
        <v>23</v>
      </c>
      <c r="H24" s="1654"/>
      <c r="I24" s="1654"/>
      <c r="J24" s="1650"/>
      <c r="K24" s="168">
        <v>3</v>
      </c>
      <c r="L24" s="9">
        <f t="shared" si="3"/>
        <v>233</v>
      </c>
      <c r="M24" s="433">
        <v>0.5</v>
      </c>
      <c r="N24" s="433">
        <v>0.55000000000000004</v>
      </c>
      <c r="O24" s="433">
        <v>0.65</v>
      </c>
      <c r="P24" s="433">
        <v>0.7</v>
      </c>
      <c r="Q24" s="433">
        <v>0.9</v>
      </c>
      <c r="R24" s="8"/>
      <c r="S24" s="434">
        <v>2.5</v>
      </c>
      <c r="T24" s="8"/>
      <c r="U24" s="434">
        <v>0.75</v>
      </c>
      <c r="Y24" s="330" t="str">
        <f t="shared" si="1"/>
        <v>t</v>
      </c>
      <c r="Z24" s="401" t="s">
        <v>98</v>
      </c>
      <c r="AA24" s="330" t="str">
        <f t="shared" si="0"/>
        <v>T</v>
      </c>
      <c r="AB24" s="401" t="str">
        <f t="shared" si="2"/>
        <v>T</v>
      </c>
      <c r="AC24" s="249"/>
    </row>
    <row r="25" spans="2:29" ht="12" customHeight="1">
      <c r="B25" s="98" t="s">
        <v>128</v>
      </c>
      <c r="C25" s="152" t="s">
        <v>343</v>
      </c>
      <c r="D25" s="9">
        <v>53</v>
      </c>
      <c r="E25" s="146">
        <v>1.3</v>
      </c>
      <c r="G25" s="9">
        <v>31</v>
      </c>
      <c r="H25" s="1654" t="s">
        <v>127</v>
      </c>
      <c r="I25" s="1654" t="s">
        <v>56</v>
      </c>
      <c r="J25" s="1648" t="s">
        <v>675</v>
      </c>
      <c r="K25" s="420">
        <v>1</v>
      </c>
      <c r="L25" s="9">
        <f t="shared" si="3"/>
        <v>311</v>
      </c>
      <c r="M25" s="429">
        <v>0.3</v>
      </c>
      <c r="N25" s="429">
        <v>0.45</v>
      </c>
      <c r="O25" s="429">
        <v>0.65</v>
      </c>
      <c r="P25" s="429">
        <v>0.85</v>
      </c>
      <c r="Q25" s="429">
        <v>1.1000000000000001</v>
      </c>
      <c r="R25" s="8"/>
      <c r="S25" s="430">
        <v>2.25</v>
      </c>
      <c r="T25" s="8"/>
      <c r="U25" s="430">
        <v>1</v>
      </c>
      <c r="Y25" s="330" t="str">
        <f t="shared" si="1"/>
        <v>u</v>
      </c>
      <c r="Z25" s="401" t="s">
        <v>100</v>
      </c>
      <c r="AA25" s="330" t="str">
        <f t="shared" si="0"/>
        <v>U</v>
      </c>
      <c r="AB25" s="401" t="str">
        <f t="shared" si="2"/>
        <v>U</v>
      </c>
      <c r="AC25" s="249"/>
    </row>
    <row r="26" spans="2:29" ht="12" customHeight="1">
      <c r="B26" s="98" t="s">
        <v>57</v>
      </c>
      <c r="C26" s="152" t="s">
        <v>343</v>
      </c>
      <c r="D26" s="9">
        <v>61</v>
      </c>
      <c r="E26" s="146">
        <v>1.3</v>
      </c>
      <c r="G26" s="9">
        <v>31</v>
      </c>
      <c r="H26" s="1654"/>
      <c r="I26" s="1654"/>
      <c r="J26" s="1649"/>
      <c r="K26" s="200">
        <v>2</v>
      </c>
      <c r="L26" s="9">
        <f t="shared" si="3"/>
        <v>312</v>
      </c>
      <c r="M26" s="431"/>
      <c r="N26" s="431"/>
      <c r="O26" s="431"/>
      <c r="P26" s="431"/>
      <c r="Q26" s="431"/>
      <c r="R26" s="8"/>
      <c r="S26" s="432"/>
      <c r="T26" s="8"/>
      <c r="U26" s="432">
        <v>0.9</v>
      </c>
      <c r="Y26" s="330" t="str">
        <f t="shared" si="1"/>
        <v>v</v>
      </c>
      <c r="Z26" s="401" t="s">
        <v>102</v>
      </c>
      <c r="AA26" s="330" t="str">
        <f t="shared" si="0"/>
        <v>V</v>
      </c>
      <c r="AB26" s="401" t="str">
        <f t="shared" si="2"/>
        <v>V</v>
      </c>
      <c r="AC26" s="249"/>
    </row>
    <row r="27" spans="2:29" ht="12" customHeight="1">
      <c r="B27" s="98" t="s">
        <v>58</v>
      </c>
      <c r="C27" s="152" t="s">
        <v>343</v>
      </c>
      <c r="D27" s="9">
        <v>62</v>
      </c>
      <c r="E27" s="146">
        <v>1.3</v>
      </c>
      <c r="G27" s="9">
        <v>31</v>
      </c>
      <c r="H27" s="1654"/>
      <c r="I27" s="1654"/>
      <c r="J27" s="1650"/>
      <c r="K27" s="168">
        <v>3</v>
      </c>
      <c r="L27" s="9">
        <f t="shared" si="3"/>
        <v>313</v>
      </c>
      <c r="M27" s="433"/>
      <c r="N27" s="433"/>
      <c r="O27" s="433"/>
      <c r="P27" s="433"/>
      <c r="Q27" s="433"/>
      <c r="R27" s="8"/>
      <c r="S27" s="434"/>
      <c r="T27" s="8"/>
      <c r="U27" s="434">
        <v>0.75</v>
      </c>
      <c r="Y27" s="330" t="str">
        <f t="shared" si="1"/>
        <v>w</v>
      </c>
      <c r="Z27" s="401" t="s">
        <v>104</v>
      </c>
      <c r="AA27" s="330" t="str">
        <f t="shared" si="0"/>
        <v>W</v>
      </c>
      <c r="AB27" s="401" t="str">
        <f t="shared" si="2"/>
        <v>W</v>
      </c>
      <c r="AC27" s="249"/>
    </row>
    <row r="28" spans="2:29" ht="12" customHeight="1">
      <c r="B28" s="98" t="s">
        <v>135</v>
      </c>
      <c r="C28" s="152" t="s">
        <v>343</v>
      </c>
      <c r="D28" s="9">
        <v>63</v>
      </c>
      <c r="E28" s="146">
        <v>1.3</v>
      </c>
      <c r="G28" s="9">
        <v>32</v>
      </c>
      <c r="H28" s="1654" t="s">
        <v>129</v>
      </c>
      <c r="I28" s="1654" t="s">
        <v>56</v>
      </c>
      <c r="J28" s="1648" t="s">
        <v>675</v>
      </c>
      <c r="K28" s="420">
        <v>1</v>
      </c>
      <c r="L28" s="9">
        <f t="shared" si="3"/>
        <v>321</v>
      </c>
      <c r="M28" s="429">
        <v>0.3</v>
      </c>
      <c r="N28" s="429">
        <v>0.45</v>
      </c>
      <c r="O28" s="429">
        <v>0.65</v>
      </c>
      <c r="P28" s="429">
        <v>0.85</v>
      </c>
      <c r="Q28" s="429">
        <v>1.1000000000000001</v>
      </c>
      <c r="R28" s="8"/>
      <c r="S28" s="430">
        <v>2.25</v>
      </c>
      <c r="T28" s="8"/>
      <c r="U28" s="430">
        <v>1</v>
      </c>
      <c r="Y28" s="330" t="str">
        <f t="shared" si="1"/>
        <v>x</v>
      </c>
      <c r="Z28" s="401" t="s">
        <v>35</v>
      </c>
      <c r="AA28" s="330" t="str">
        <f t="shared" si="0"/>
        <v>X</v>
      </c>
      <c r="AB28" s="401" t="str">
        <f t="shared" si="2"/>
        <v>X</v>
      </c>
      <c r="AC28" s="249"/>
    </row>
    <row r="29" spans="2:29" ht="12" customHeight="1">
      <c r="B29" s="98" t="s">
        <v>136</v>
      </c>
      <c r="C29" s="152" t="s">
        <v>343</v>
      </c>
      <c r="D29" s="9">
        <v>71</v>
      </c>
      <c r="E29" s="146">
        <v>1.3</v>
      </c>
      <c r="G29" s="9">
        <v>32</v>
      </c>
      <c r="H29" s="1654"/>
      <c r="I29" s="1654"/>
      <c r="J29" s="1649"/>
      <c r="K29" s="200">
        <v>2</v>
      </c>
      <c r="L29" s="9">
        <f t="shared" si="3"/>
        <v>322</v>
      </c>
      <c r="M29" s="431">
        <v>0.2</v>
      </c>
      <c r="N29" s="431">
        <v>0.3</v>
      </c>
      <c r="O29" s="431">
        <v>0.45</v>
      </c>
      <c r="P29" s="431">
        <v>0.6</v>
      </c>
      <c r="Q29" s="431">
        <v>0.8</v>
      </c>
      <c r="R29" s="8"/>
      <c r="S29" s="432">
        <v>3</v>
      </c>
      <c r="T29" s="8"/>
      <c r="U29" s="432">
        <v>0.9</v>
      </c>
      <c r="Y29" s="330" t="str">
        <f t="shared" si="1"/>
        <v>y</v>
      </c>
      <c r="Z29" s="401" t="s">
        <v>43</v>
      </c>
      <c r="AA29" s="330" t="str">
        <f t="shared" si="0"/>
        <v>Y</v>
      </c>
      <c r="AB29" s="401" t="str">
        <f t="shared" si="2"/>
        <v>Y</v>
      </c>
      <c r="AC29" s="249"/>
    </row>
    <row r="30" spans="2:29" ht="12" customHeight="1">
      <c r="B30" s="98" t="s">
        <v>349</v>
      </c>
      <c r="C30" s="152" t="s">
        <v>343</v>
      </c>
      <c r="D30" s="9">
        <v>91</v>
      </c>
      <c r="E30" s="146">
        <v>1</v>
      </c>
      <c r="G30" s="9">
        <v>32</v>
      </c>
      <c r="H30" s="1654"/>
      <c r="I30" s="1654"/>
      <c r="J30" s="1650"/>
      <c r="K30" s="168">
        <v>3</v>
      </c>
      <c r="L30" s="9">
        <f t="shared" si="3"/>
        <v>323</v>
      </c>
      <c r="M30" s="433"/>
      <c r="N30" s="433"/>
      <c r="O30" s="433"/>
      <c r="P30" s="433"/>
      <c r="Q30" s="433"/>
      <c r="R30" s="8"/>
      <c r="S30" s="434"/>
      <c r="T30" s="8"/>
      <c r="U30" s="434">
        <v>0.75</v>
      </c>
      <c r="Y30" s="330" t="str">
        <f t="shared" si="1"/>
        <v>z</v>
      </c>
      <c r="Z30" s="401" t="s">
        <v>108</v>
      </c>
      <c r="AA30" s="330" t="str">
        <f t="shared" si="0"/>
        <v>Z</v>
      </c>
      <c r="AB30" s="401" t="s">
        <v>109</v>
      </c>
      <c r="AC30" s="249"/>
    </row>
    <row r="31" spans="2:29" ht="12" customHeight="1">
      <c r="G31" s="9">
        <v>33</v>
      </c>
      <c r="H31" s="1654" t="s">
        <v>130</v>
      </c>
      <c r="I31" s="1654"/>
      <c r="J31" s="1648" t="s">
        <v>675</v>
      </c>
      <c r="K31" s="420">
        <v>1</v>
      </c>
      <c r="L31" s="9">
        <f t="shared" si="3"/>
        <v>331</v>
      </c>
      <c r="M31" s="429">
        <v>0.4</v>
      </c>
      <c r="N31" s="429">
        <v>0.5</v>
      </c>
      <c r="O31" s="429">
        <v>0.7</v>
      </c>
      <c r="P31" s="429">
        <v>0.9</v>
      </c>
      <c r="Q31" s="429">
        <v>1.1000000000000001</v>
      </c>
      <c r="R31" s="8"/>
      <c r="S31" s="430">
        <v>1.5</v>
      </c>
      <c r="T31" s="8"/>
      <c r="U31" s="430">
        <v>1</v>
      </c>
      <c r="Y31" s="330" t="s">
        <v>110</v>
      </c>
      <c r="Z31" s="401" t="s">
        <v>110</v>
      </c>
      <c r="AA31" s="330"/>
      <c r="AB31" s="401"/>
    </row>
    <row r="32" spans="2:29" ht="12" customHeight="1">
      <c r="G32" s="9">
        <v>33</v>
      </c>
      <c r="H32" s="1654"/>
      <c r="I32" s="1654"/>
      <c r="J32" s="1649"/>
      <c r="K32" s="200">
        <v>2</v>
      </c>
      <c r="L32" s="9">
        <f t="shared" si="3"/>
        <v>332</v>
      </c>
      <c r="M32" s="431"/>
      <c r="N32" s="431"/>
      <c r="O32" s="431"/>
      <c r="P32" s="431"/>
      <c r="Q32" s="431"/>
      <c r="R32" s="8"/>
      <c r="S32" s="432"/>
      <c r="T32" s="8"/>
      <c r="U32" s="432">
        <v>0.9</v>
      </c>
    </row>
    <row r="33" spans="7:21" ht="12" customHeight="1">
      <c r="G33" s="9">
        <v>33</v>
      </c>
      <c r="H33" s="1654"/>
      <c r="I33" s="1654"/>
      <c r="J33" s="1650"/>
      <c r="K33" s="168">
        <v>3</v>
      </c>
      <c r="L33" s="9">
        <f t="shared" si="3"/>
        <v>333</v>
      </c>
      <c r="M33" s="433"/>
      <c r="N33" s="433"/>
      <c r="O33" s="433"/>
      <c r="P33" s="433"/>
      <c r="Q33" s="433"/>
      <c r="R33" s="8"/>
      <c r="S33" s="434"/>
      <c r="T33" s="8"/>
      <c r="U33" s="434">
        <v>0.75</v>
      </c>
    </row>
    <row r="34" spans="7:21" ht="12" customHeight="1">
      <c r="G34" s="9">
        <v>34</v>
      </c>
      <c r="H34" s="1654" t="s">
        <v>131</v>
      </c>
      <c r="I34" s="1654"/>
      <c r="J34" s="1648" t="s">
        <v>675</v>
      </c>
      <c r="K34" s="420">
        <v>1</v>
      </c>
      <c r="L34" s="9">
        <f t="shared" si="3"/>
        <v>341</v>
      </c>
      <c r="M34" s="429">
        <v>0.4</v>
      </c>
      <c r="N34" s="429">
        <v>0.5</v>
      </c>
      <c r="O34" s="429">
        <v>0.7</v>
      </c>
      <c r="P34" s="429">
        <v>0.9</v>
      </c>
      <c r="Q34" s="429">
        <v>1.1000000000000001</v>
      </c>
      <c r="R34" s="8"/>
      <c r="S34" s="430">
        <v>1.5</v>
      </c>
      <c r="T34" s="8"/>
      <c r="U34" s="430">
        <v>1</v>
      </c>
    </row>
    <row r="35" spans="7:21" ht="12" customHeight="1">
      <c r="G35" s="9">
        <v>34</v>
      </c>
      <c r="H35" s="1654"/>
      <c r="I35" s="1654"/>
      <c r="J35" s="1649"/>
      <c r="K35" s="200">
        <v>2</v>
      </c>
      <c r="L35" s="9">
        <f t="shared" si="3"/>
        <v>342</v>
      </c>
      <c r="M35" s="431">
        <v>0.3</v>
      </c>
      <c r="N35" s="431">
        <v>0.4</v>
      </c>
      <c r="O35" s="431">
        <v>0.55000000000000004</v>
      </c>
      <c r="P35" s="431">
        <v>0.7</v>
      </c>
      <c r="Q35" s="431">
        <v>0.9</v>
      </c>
      <c r="R35" s="8"/>
      <c r="S35" s="432">
        <v>2.25</v>
      </c>
      <c r="T35" s="8"/>
      <c r="U35" s="432">
        <v>0.9</v>
      </c>
    </row>
    <row r="36" spans="7:21" ht="12" customHeight="1">
      <c r="G36" s="9">
        <v>34</v>
      </c>
      <c r="H36" s="1654"/>
      <c r="I36" s="1654"/>
      <c r="J36" s="1650"/>
      <c r="K36" s="168">
        <v>3</v>
      </c>
      <c r="L36" s="9">
        <f t="shared" si="3"/>
        <v>343</v>
      </c>
      <c r="M36" s="433"/>
      <c r="N36" s="433"/>
      <c r="O36" s="433"/>
      <c r="P36" s="433"/>
      <c r="Q36" s="433"/>
      <c r="R36" s="8"/>
      <c r="S36" s="434"/>
      <c r="T36" s="8"/>
      <c r="U36" s="434">
        <v>0.75</v>
      </c>
    </row>
    <row r="37" spans="7:21" ht="12" customHeight="1">
      <c r="G37" s="9">
        <v>41</v>
      </c>
      <c r="H37" s="1654" t="s">
        <v>436</v>
      </c>
      <c r="I37" s="1654"/>
      <c r="J37" s="1651" t="s">
        <v>728</v>
      </c>
      <c r="K37" s="420">
        <v>1</v>
      </c>
      <c r="L37" s="9">
        <f t="shared" si="3"/>
        <v>411</v>
      </c>
      <c r="M37" s="429">
        <v>0.3</v>
      </c>
      <c r="N37" s="429">
        <v>0.45</v>
      </c>
      <c r="O37" s="429">
        <v>0.65</v>
      </c>
      <c r="P37" s="429">
        <v>0.85</v>
      </c>
      <c r="Q37" s="429">
        <v>1.1000000000000001</v>
      </c>
      <c r="R37" s="8"/>
      <c r="S37" s="430">
        <v>2.25</v>
      </c>
      <c r="T37" s="8"/>
      <c r="U37" s="430">
        <v>1</v>
      </c>
    </row>
    <row r="38" spans="7:21" ht="12" customHeight="1">
      <c r="G38" s="9">
        <v>41</v>
      </c>
      <c r="H38" s="1654"/>
      <c r="I38" s="1654"/>
      <c r="J38" s="1649"/>
      <c r="K38" s="200">
        <v>2</v>
      </c>
      <c r="L38" s="9">
        <f t="shared" si="3"/>
        <v>412</v>
      </c>
      <c r="M38" s="431">
        <v>0.2</v>
      </c>
      <c r="N38" s="431">
        <v>0.3</v>
      </c>
      <c r="O38" s="431">
        <v>0.45</v>
      </c>
      <c r="P38" s="431">
        <v>0.6</v>
      </c>
      <c r="Q38" s="431">
        <v>0.8</v>
      </c>
      <c r="R38" s="8"/>
      <c r="S38" s="432">
        <v>3</v>
      </c>
      <c r="T38" s="8"/>
      <c r="U38" s="432">
        <v>0.9</v>
      </c>
    </row>
    <row r="39" spans="7:21" ht="12" customHeight="1">
      <c r="G39" s="9">
        <v>41</v>
      </c>
      <c r="H39" s="1654"/>
      <c r="I39" s="1654"/>
      <c r="J39" s="1650"/>
      <c r="K39" s="168">
        <v>3</v>
      </c>
      <c r="L39" s="9">
        <f t="shared" ref="L39:L63" si="4">VALUE(G39&amp;K39)</f>
        <v>413</v>
      </c>
      <c r="M39" s="447"/>
      <c r="N39" s="447"/>
      <c r="O39" s="447"/>
      <c r="P39" s="447"/>
      <c r="Q39" s="447"/>
      <c r="R39" s="8"/>
      <c r="S39" s="449"/>
      <c r="T39" s="8"/>
      <c r="U39" s="434">
        <v>0.75</v>
      </c>
    </row>
    <row r="40" spans="7:21" ht="12" customHeight="1">
      <c r="G40" s="9">
        <v>51</v>
      </c>
      <c r="H40" s="1654" t="s">
        <v>132</v>
      </c>
      <c r="I40" s="1654"/>
      <c r="J40" s="1648" t="s">
        <v>676</v>
      </c>
      <c r="K40" s="420">
        <v>1</v>
      </c>
      <c r="L40" s="9">
        <f t="shared" si="4"/>
        <v>511</v>
      </c>
      <c r="M40" s="429">
        <v>0.3</v>
      </c>
      <c r="N40" s="429">
        <v>0.45</v>
      </c>
      <c r="O40" s="429">
        <v>0.65</v>
      </c>
      <c r="P40" s="429">
        <v>0.85</v>
      </c>
      <c r="Q40" s="429">
        <v>1.1000000000000001</v>
      </c>
      <c r="R40" s="8"/>
      <c r="S40" s="430">
        <v>2.25</v>
      </c>
      <c r="T40" s="8"/>
      <c r="U40" s="430">
        <v>1</v>
      </c>
    </row>
    <row r="41" spans="7:21" ht="12" customHeight="1">
      <c r="G41" s="9">
        <v>51</v>
      </c>
      <c r="H41" s="1654"/>
      <c r="I41" s="1654"/>
      <c r="J41" s="1649"/>
      <c r="K41" s="200">
        <v>2</v>
      </c>
      <c r="L41" s="9">
        <f t="shared" si="4"/>
        <v>512</v>
      </c>
      <c r="M41" s="431"/>
      <c r="N41" s="431"/>
      <c r="O41" s="431"/>
      <c r="P41" s="431"/>
      <c r="Q41" s="431"/>
      <c r="R41" s="8"/>
      <c r="S41" s="432"/>
      <c r="T41" s="8"/>
      <c r="U41" s="432">
        <v>0.9</v>
      </c>
    </row>
    <row r="42" spans="7:21" ht="12" customHeight="1">
      <c r="G42" s="9">
        <v>51</v>
      </c>
      <c r="H42" s="1654"/>
      <c r="I42" s="1654"/>
      <c r="J42" s="1650"/>
      <c r="K42" s="168">
        <v>3</v>
      </c>
      <c r="L42" s="9">
        <f t="shared" si="4"/>
        <v>513</v>
      </c>
      <c r="M42" s="431"/>
      <c r="N42" s="431"/>
      <c r="O42" s="431"/>
      <c r="P42" s="431"/>
      <c r="Q42" s="431"/>
      <c r="R42" s="8"/>
      <c r="S42" s="434"/>
      <c r="T42" s="8"/>
      <c r="U42" s="434">
        <v>0.75</v>
      </c>
    </row>
    <row r="43" spans="7:21" ht="12" customHeight="1">
      <c r="G43" s="9">
        <v>52</v>
      </c>
      <c r="H43" s="1654" t="s">
        <v>126</v>
      </c>
      <c r="I43" s="1654"/>
      <c r="J43" s="1648" t="s">
        <v>676</v>
      </c>
      <c r="K43" s="420">
        <v>1</v>
      </c>
      <c r="L43" s="9">
        <f t="shared" si="4"/>
        <v>521</v>
      </c>
      <c r="M43" s="429">
        <v>0.4</v>
      </c>
      <c r="N43" s="429">
        <v>0.5</v>
      </c>
      <c r="O43" s="429">
        <v>0.7</v>
      </c>
      <c r="P43" s="429">
        <v>0.9</v>
      </c>
      <c r="Q43" s="429">
        <v>1.1000000000000001</v>
      </c>
      <c r="R43" s="8"/>
      <c r="S43" s="430">
        <v>1.5</v>
      </c>
      <c r="T43" s="8"/>
      <c r="U43" s="430">
        <v>1</v>
      </c>
    </row>
    <row r="44" spans="7:21" ht="12" customHeight="1">
      <c r="G44" s="9">
        <v>52</v>
      </c>
      <c r="H44" s="1654"/>
      <c r="I44" s="1654"/>
      <c r="J44" s="1649"/>
      <c r="K44" s="200">
        <v>2</v>
      </c>
      <c r="L44" s="9">
        <f t="shared" si="4"/>
        <v>522</v>
      </c>
      <c r="M44" s="431">
        <v>0.3</v>
      </c>
      <c r="N44" s="431">
        <v>0.4</v>
      </c>
      <c r="O44" s="431">
        <v>0.55000000000000004</v>
      </c>
      <c r="P44" s="431">
        <v>0.7</v>
      </c>
      <c r="Q44" s="431">
        <v>0.9</v>
      </c>
      <c r="R44" s="8"/>
      <c r="S44" s="432">
        <v>2.25</v>
      </c>
      <c r="T44" s="8"/>
      <c r="U44" s="432">
        <v>0.9</v>
      </c>
    </row>
    <row r="45" spans="7:21" ht="12" customHeight="1">
      <c r="G45" s="9">
        <v>52</v>
      </c>
      <c r="H45" s="1654"/>
      <c r="I45" s="1654"/>
      <c r="J45" s="1650"/>
      <c r="K45" s="168">
        <v>3</v>
      </c>
      <c r="L45" s="9">
        <f t="shared" si="4"/>
        <v>523</v>
      </c>
      <c r="M45" s="431"/>
      <c r="N45" s="431"/>
      <c r="O45" s="431"/>
      <c r="P45" s="431"/>
      <c r="Q45" s="431"/>
      <c r="R45" s="8"/>
      <c r="S45" s="434"/>
      <c r="T45" s="8"/>
      <c r="U45" s="434">
        <v>0.75</v>
      </c>
    </row>
    <row r="46" spans="7:21" ht="12" customHeight="1">
      <c r="G46" s="9">
        <v>53</v>
      </c>
      <c r="H46" s="1654" t="s">
        <v>128</v>
      </c>
      <c r="I46" s="1654"/>
      <c r="J46" s="1648" t="s">
        <v>676</v>
      </c>
      <c r="K46" s="420">
        <v>1</v>
      </c>
      <c r="L46" s="9">
        <f t="shared" si="4"/>
        <v>531</v>
      </c>
      <c r="M46" s="429">
        <v>0.4</v>
      </c>
      <c r="N46" s="429">
        <v>0.5</v>
      </c>
      <c r="O46" s="429">
        <v>0.7</v>
      </c>
      <c r="P46" s="429">
        <v>0.9</v>
      </c>
      <c r="Q46" s="429">
        <v>1.1000000000000001</v>
      </c>
      <c r="R46" s="8"/>
      <c r="S46" s="430">
        <v>1.5</v>
      </c>
      <c r="T46" s="8"/>
      <c r="U46" s="430">
        <v>1</v>
      </c>
    </row>
    <row r="47" spans="7:21" ht="12" customHeight="1">
      <c r="G47" s="9">
        <v>53</v>
      </c>
      <c r="H47" s="1654"/>
      <c r="I47" s="1654"/>
      <c r="J47" s="1649"/>
      <c r="K47" s="200">
        <v>2</v>
      </c>
      <c r="L47" s="9">
        <f t="shared" si="4"/>
        <v>532</v>
      </c>
      <c r="M47" s="431">
        <v>0.3</v>
      </c>
      <c r="N47" s="431">
        <v>0.4</v>
      </c>
      <c r="O47" s="431">
        <v>0.55000000000000004</v>
      </c>
      <c r="P47" s="431">
        <v>0.7</v>
      </c>
      <c r="Q47" s="431">
        <v>0.9</v>
      </c>
      <c r="R47" s="8"/>
      <c r="S47" s="432">
        <v>2.25</v>
      </c>
      <c r="T47" s="8"/>
      <c r="U47" s="432">
        <v>0.9</v>
      </c>
    </row>
    <row r="48" spans="7:21" ht="12" customHeight="1">
      <c r="G48" s="9">
        <v>53</v>
      </c>
      <c r="H48" s="1654"/>
      <c r="I48" s="1654"/>
      <c r="J48" s="1650"/>
      <c r="K48" s="168">
        <v>3</v>
      </c>
      <c r="L48" s="9">
        <f t="shared" si="4"/>
        <v>533</v>
      </c>
      <c r="M48" s="431"/>
      <c r="N48" s="431"/>
      <c r="O48" s="431"/>
      <c r="P48" s="431"/>
      <c r="Q48" s="431"/>
      <c r="R48" s="8"/>
      <c r="S48" s="434"/>
      <c r="T48" s="8"/>
      <c r="U48" s="434">
        <v>0.75</v>
      </c>
    </row>
    <row r="49" spans="7:44" ht="12" customHeight="1">
      <c r="G49" s="9">
        <v>61</v>
      </c>
      <c r="H49" s="1642" t="s">
        <v>57</v>
      </c>
      <c r="I49" s="1643"/>
      <c r="J49" s="1648" t="s">
        <v>677</v>
      </c>
      <c r="K49" s="420">
        <v>1</v>
      </c>
      <c r="L49" s="9">
        <f t="shared" si="4"/>
        <v>611</v>
      </c>
      <c r="M49" s="429">
        <v>0.3</v>
      </c>
      <c r="N49" s="429">
        <v>0.45</v>
      </c>
      <c r="O49" s="429">
        <v>0.65</v>
      </c>
      <c r="P49" s="429">
        <v>0.85</v>
      </c>
      <c r="Q49" s="429">
        <v>1.1000000000000001</v>
      </c>
      <c r="R49" s="8"/>
      <c r="S49" s="430">
        <v>2.25</v>
      </c>
      <c r="T49" s="8"/>
      <c r="U49" s="430">
        <v>1</v>
      </c>
    </row>
    <row r="50" spans="7:44" ht="12" customHeight="1">
      <c r="G50" s="9">
        <v>61</v>
      </c>
      <c r="H50" s="1644"/>
      <c r="I50" s="1645"/>
      <c r="J50" s="1649"/>
      <c r="K50" s="200">
        <v>2</v>
      </c>
      <c r="L50" s="9">
        <f t="shared" si="4"/>
        <v>612</v>
      </c>
      <c r="M50" s="431">
        <v>0.2</v>
      </c>
      <c r="N50" s="431">
        <v>0.3</v>
      </c>
      <c r="O50" s="431">
        <v>0.45</v>
      </c>
      <c r="P50" s="431">
        <v>0.6</v>
      </c>
      <c r="Q50" s="431">
        <v>0.8</v>
      </c>
      <c r="R50" s="8"/>
      <c r="S50" s="432">
        <v>3</v>
      </c>
      <c r="T50" s="8"/>
      <c r="U50" s="432">
        <v>0.9</v>
      </c>
    </row>
    <row r="51" spans="7:44" ht="12" customHeight="1">
      <c r="G51" s="9">
        <v>61</v>
      </c>
      <c r="H51" s="1646"/>
      <c r="I51" s="1647"/>
      <c r="J51" s="1650"/>
      <c r="K51" s="168">
        <v>3</v>
      </c>
      <c r="L51" s="9">
        <f t="shared" si="4"/>
        <v>613</v>
      </c>
      <c r="M51" s="431"/>
      <c r="N51" s="431"/>
      <c r="O51" s="431"/>
      <c r="P51" s="431"/>
      <c r="Q51" s="431"/>
      <c r="R51" s="8"/>
      <c r="S51" s="434"/>
      <c r="T51" s="8"/>
      <c r="U51" s="434">
        <v>0.75</v>
      </c>
    </row>
    <row r="52" spans="7:44" ht="12" customHeight="1">
      <c r="G52" s="9">
        <v>62</v>
      </c>
      <c r="H52" s="1642" t="s">
        <v>58</v>
      </c>
      <c r="I52" s="1643"/>
      <c r="J52" s="1648" t="s">
        <v>678</v>
      </c>
      <c r="K52" s="420">
        <v>1</v>
      </c>
      <c r="L52" s="9">
        <f t="shared" si="4"/>
        <v>621</v>
      </c>
      <c r="M52" s="429">
        <v>0.2</v>
      </c>
      <c r="N52" s="429">
        <v>0.4</v>
      </c>
      <c r="O52" s="429">
        <v>0.6</v>
      </c>
      <c r="P52" s="429">
        <v>0.8</v>
      </c>
      <c r="Q52" s="429">
        <v>1.1000000000000001</v>
      </c>
      <c r="R52" s="8"/>
      <c r="S52" s="430">
        <v>3</v>
      </c>
      <c r="T52" s="8"/>
      <c r="U52" s="430">
        <v>1</v>
      </c>
    </row>
    <row r="53" spans="7:44" ht="12" customHeight="1">
      <c r="G53" s="9">
        <v>62</v>
      </c>
      <c r="H53" s="1644"/>
      <c r="I53" s="1645"/>
      <c r="J53" s="1649"/>
      <c r="K53" s="200">
        <v>2</v>
      </c>
      <c r="L53" s="9">
        <f t="shared" si="4"/>
        <v>622</v>
      </c>
      <c r="M53" s="431"/>
      <c r="N53" s="431"/>
      <c r="O53" s="431"/>
      <c r="P53" s="431">
        <v>0.45</v>
      </c>
      <c r="Q53" s="431">
        <v>0.8</v>
      </c>
      <c r="R53" s="8"/>
      <c r="S53" s="432">
        <v>4</v>
      </c>
      <c r="T53" s="8"/>
      <c r="U53" s="432">
        <v>0.9</v>
      </c>
    </row>
    <row r="54" spans="7:44" ht="12" customHeight="1">
      <c r="G54" s="9">
        <v>62</v>
      </c>
      <c r="H54" s="1646"/>
      <c r="I54" s="1647"/>
      <c r="J54" s="1650"/>
      <c r="K54" s="168">
        <v>3</v>
      </c>
      <c r="L54" s="9">
        <f t="shared" si="4"/>
        <v>623</v>
      </c>
      <c r="M54" s="431"/>
      <c r="N54" s="431"/>
      <c r="O54" s="431"/>
      <c r="P54" s="431"/>
      <c r="Q54" s="431"/>
      <c r="R54" s="8"/>
      <c r="S54" s="434"/>
      <c r="T54" s="8"/>
      <c r="U54" s="434">
        <v>0.75</v>
      </c>
    </row>
    <row r="55" spans="7:44" ht="12" customHeight="1">
      <c r="G55" s="9">
        <v>63</v>
      </c>
      <c r="H55" s="1642" t="s">
        <v>135</v>
      </c>
      <c r="I55" s="1643"/>
      <c r="J55" s="1648" t="s">
        <v>679</v>
      </c>
      <c r="K55" s="420">
        <v>1</v>
      </c>
      <c r="L55" s="9">
        <f t="shared" si="4"/>
        <v>631</v>
      </c>
      <c r="M55" s="429">
        <v>0.2</v>
      </c>
      <c r="N55" s="429">
        <v>0.4</v>
      </c>
      <c r="O55" s="429">
        <v>0.6</v>
      </c>
      <c r="P55" s="429">
        <v>0.8</v>
      </c>
      <c r="Q55" s="429">
        <v>1.1000000000000001</v>
      </c>
      <c r="R55" s="8"/>
      <c r="S55" s="430">
        <v>2.25</v>
      </c>
      <c r="T55" s="8"/>
      <c r="U55" s="430">
        <v>1</v>
      </c>
    </row>
    <row r="56" spans="7:44" ht="12" customHeight="1">
      <c r="G56" s="9">
        <v>63</v>
      </c>
      <c r="H56" s="1644"/>
      <c r="I56" s="1645"/>
      <c r="J56" s="1649"/>
      <c r="K56" s="200">
        <v>2</v>
      </c>
      <c r="L56" s="9">
        <f t="shared" si="4"/>
        <v>632</v>
      </c>
      <c r="M56" s="431"/>
      <c r="N56" s="431"/>
      <c r="O56" s="431"/>
      <c r="P56" s="431">
        <v>0.45</v>
      </c>
      <c r="Q56" s="431">
        <v>0.8</v>
      </c>
      <c r="R56" s="8"/>
      <c r="S56" s="432">
        <v>3</v>
      </c>
      <c r="T56" s="8"/>
      <c r="U56" s="432">
        <v>0.9</v>
      </c>
      <c r="AQ56" s="1"/>
      <c r="AR56" s="1"/>
    </row>
    <row r="57" spans="7:44" ht="12" customHeight="1">
      <c r="G57" s="9">
        <v>63</v>
      </c>
      <c r="H57" s="1646"/>
      <c r="I57" s="1647"/>
      <c r="J57" s="1650"/>
      <c r="K57" s="168">
        <v>3</v>
      </c>
      <c r="L57" s="9">
        <f t="shared" si="4"/>
        <v>633</v>
      </c>
      <c r="M57" s="431"/>
      <c r="N57" s="431"/>
      <c r="O57" s="431"/>
      <c r="P57" s="431"/>
      <c r="Q57" s="431"/>
      <c r="R57" s="8"/>
      <c r="S57" s="434"/>
      <c r="T57" s="8"/>
      <c r="U57" s="434">
        <v>0.75</v>
      </c>
    </row>
    <row r="58" spans="7:44" ht="12" customHeight="1">
      <c r="G58" s="9">
        <v>71</v>
      </c>
      <c r="H58" s="1642" t="s">
        <v>683</v>
      </c>
      <c r="I58" s="1643"/>
      <c r="J58" s="1651" t="s">
        <v>729</v>
      </c>
      <c r="K58" s="420">
        <v>1</v>
      </c>
      <c r="L58" s="9">
        <f t="shared" si="4"/>
        <v>711</v>
      </c>
      <c r="M58" s="429">
        <v>0.2</v>
      </c>
      <c r="N58" s="429">
        <v>0.4</v>
      </c>
      <c r="O58" s="429">
        <v>0.6</v>
      </c>
      <c r="P58" s="429">
        <v>0.8</v>
      </c>
      <c r="Q58" s="429">
        <v>1.1000000000000001</v>
      </c>
      <c r="R58" s="8"/>
      <c r="S58" s="430">
        <v>3</v>
      </c>
      <c r="T58" s="8"/>
      <c r="U58" s="430">
        <v>1</v>
      </c>
      <c r="AQ58" s="32"/>
    </row>
    <row r="59" spans="7:44" ht="12" customHeight="1">
      <c r="G59" s="9">
        <v>71</v>
      </c>
      <c r="H59" s="1644"/>
      <c r="I59" s="1645"/>
      <c r="J59" s="1652"/>
      <c r="K59" s="200">
        <v>2</v>
      </c>
      <c r="L59" s="9">
        <f t="shared" si="4"/>
        <v>712</v>
      </c>
      <c r="M59" s="431">
        <v>0.15</v>
      </c>
      <c r="N59" s="431">
        <v>0.3</v>
      </c>
      <c r="O59" s="431">
        <v>0.45</v>
      </c>
      <c r="P59" s="431">
        <v>0.6</v>
      </c>
      <c r="Q59" s="431">
        <v>0.8</v>
      </c>
      <c r="R59" s="8"/>
      <c r="S59" s="432">
        <v>4</v>
      </c>
      <c r="T59" s="8"/>
      <c r="U59" s="432">
        <v>0.8</v>
      </c>
    </row>
    <row r="60" spans="7:44" ht="12" customHeight="1">
      <c r="G60" s="27">
        <v>71</v>
      </c>
      <c r="H60" s="1646"/>
      <c r="I60" s="1647"/>
      <c r="J60" s="1653"/>
      <c r="K60" s="200">
        <v>3</v>
      </c>
      <c r="L60" s="9">
        <f t="shared" si="4"/>
        <v>713</v>
      </c>
      <c r="M60" s="431"/>
      <c r="N60" s="431"/>
      <c r="O60" s="431"/>
      <c r="P60" s="431"/>
      <c r="Q60" s="431"/>
      <c r="R60" s="28"/>
      <c r="S60" s="432"/>
      <c r="T60" s="28"/>
      <c r="U60" s="432" t="s">
        <v>723</v>
      </c>
    </row>
    <row r="61" spans="7:44" ht="12" customHeight="1">
      <c r="G61" s="9">
        <v>91</v>
      </c>
      <c r="H61" s="1642" t="s">
        <v>22</v>
      </c>
      <c r="I61" s="1643"/>
      <c r="J61" s="1651" t="s">
        <v>167</v>
      </c>
      <c r="K61" s="420">
        <v>1</v>
      </c>
      <c r="L61" s="9">
        <f t="shared" si="4"/>
        <v>911</v>
      </c>
      <c r="M61" s="429">
        <v>1</v>
      </c>
      <c r="N61" s="429">
        <v>1</v>
      </c>
      <c r="O61" s="429">
        <v>1</v>
      </c>
      <c r="P61" s="429">
        <v>1</v>
      </c>
      <c r="Q61" s="429">
        <v>1</v>
      </c>
      <c r="R61" s="8"/>
      <c r="S61" s="430">
        <v>0</v>
      </c>
      <c r="T61" s="8"/>
      <c r="U61" s="430">
        <v>1</v>
      </c>
    </row>
    <row r="62" spans="7:44" ht="12" customHeight="1">
      <c r="G62" s="9">
        <v>91</v>
      </c>
      <c r="H62" s="1644"/>
      <c r="I62" s="1645"/>
      <c r="J62" s="1652"/>
      <c r="K62" s="200">
        <v>2</v>
      </c>
      <c r="L62" s="9">
        <f t="shared" si="4"/>
        <v>912</v>
      </c>
      <c r="M62" s="431">
        <v>1</v>
      </c>
      <c r="N62" s="431">
        <v>1</v>
      </c>
      <c r="O62" s="431">
        <v>1</v>
      </c>
      <c r="P62" s="431">
        <v>1</v>
      </c>
      <c r="Q62" s="431">
        <v>1</v>
      </c>
      <c r="R62" s="8"/>
      <c r="S62" s="432">
        <v>0</v>
      </c>
      <c r="T62" s="8"/>
      <c r="U62" s="432">
        <v>1</v>
      </c>
    </row>
    <row r="63" spans="7:44" ht="12" customHeight="1">
      <c r="G63" s="9">
        <v>91</v>
      </c>
      <c r="H63" s="1646"/>
      <c r="I63" s="1647"/>
      <c r="J63" s="1653"/>
      <c r="K63" s="200">
        <v>3</v>
      </c>
      <c r="L63" s="9">
        <f t="shared" si="4"/>
        <v>913</v>
      </c>
      <c r="M63" s="431">
        <v>1</v>
      </c>
      <c r="N63" s="431">
        <v>1</v>
      </c>
      <c r="O63" s="431">
        <v>1</v>
      </c>
      <c r="P63" s="431">
        <v>1</v>
      </c>
      <c r="Q63" s="431">
        <v>1</v>
      </c>
      <c r="R63" s="28"/>
      <c r="S63" s="432">
        <v>0</v>
      </c>
      <c r="T63" s="28"/>
      <c r="U63" s="432">
        <v>1</v>
      </c>
    </row>
    <row r="64" spans="7:44" ht="12" customHeight="1">
      <c r="G64" s="29" t="s">
        <v>59</v>
      </c>
      <c r="H64" s="30"/>
      <c r="I64" s="30"/>
      <c r="J64" s="30"/>
      <c r="K64" s="30"/>
      <c r="L64" s="30"/>
      <c r="M64" s="30"/>
      <c r="N64" s="30"/>
      <c r="O64" s="30"/>
      <c r="P64" s="30"/>
      <c r="Q64" s="30"/>
      <c r="R64" s="30"/>
      <c r="S64" s="30"/>
      <c r="T64" s="30"/>
      <c r="U64" s="31"/>
    </row>
    <row r="65" spans="7:21" ht="12" customHeight="1">
      <c r="G65" s="18" t="s">
        <v>60</v>
      </c>
      <c r="U65" s="33"/>
    </row>
    <row r="66" spans="7:21" ht="12" customHeight="1">
      <c r="G66" s="34" t="s">
        <v>61</v>
      </c>
      <c r="H66" s="2"/>
      <c r="I66" s="2"/>
      <c r="J66" s="2"/>
      <c r="K66" s="2"/>
      <c r="L66" s="2"/>
      <c r="M66" s="2"/>
      <c r="N66" s="2"/>
      <c r="O66" s="2"/>
      <c r="P66" s="2"/>
      <c r="Q66" s="2"/>
      <c r="R66" s="2"/>
      <c r="S66" s="2"/>
      <c r="T66" s="2"/>
      <c r="U66" s="35"/>
    </row>
    <row r="69" spans="7:21" ht="12" customHeight="1">
      <c r="M69" s="423"/>
    </row>
    <row r="85" ht="20.25" customHeight="1"/>
    <row r="109" spans="23:273" s="91" customFormat="1" ht="30" customHeight="1">
      <c r="X109" s="92"/>
      <c r="AH109" s="92"/>
      <c r="EA109" s="92"/>
      <c r="FX109" s="92"/>
      <c r="HL109" s="92"/>
      <c r="HZ109" s="92"/>
      <c r="IU109" s="92"/>
      <c r="JM109" s="92"/>
    </row>
    <row r="110" spans="23:273" s="170" customFormat="1" ht="30" customHeight="1">
      <c r="W110" s="174"/>
      <c r="X110" s="175"/>
      <c r="Y110" s="170" t="s">
        <v>251</v>
      </c>
      <c r="AG110" s="174"/>
      <c r="AH110" s="175"/>
      <c r="AI110" s="172"/>
      <c r="DZ110" s="174"/>
      <c r="EA110" s="175"/>
      <c r="FW110" s="174"/>
      <c r="FX110" s="175"/>
      <c r="HK110" s="174"/>
      <c r="HL110" s="175"/>
      <c r="HM110" s="4"/>
      <c r="HN110" s="4"/>
      <c r="HO110" s="4"/>
      <c r="HP110" s="4"/>
      <c r="HQ110" s="4"/>
      <c r="HR110" s="4"/>
      <c r="HS110" s="4"/>
      <c r="HT110" s="4"/>
      <c r="HU110" s="4"/>
      <c r="HV110" s="4"/>
      <c r="HW110" s="4"/>
      <c r="HY110" s="174"/>
      <c r="HZ110" s="175"/>
      <c r="IA110" s="4"/>
      <c r="IB110" s="4"/>
      <c r="IC110" s="4"/>
      <c r="IT110" s="174"/>
      <c r="IU110" s="175"/>
      <c r="JL110" s="174"/>
      <c r="JM110" s="175"/>
    </row>
    <row r="111" spans="23:273" s="171" customFormat="1" ht="30" customHeight="1">
      <c r="W111" s="176"/>
      <c r="X111" s="177"/>
      <c r="Y111" s="171" t="s">
        <v>355</v>
      </c>
      <c r="AG111" s="176"/>
      <c r="AH111" s="4"/>
      <c r="AI111" s="4"/>
      <c r="AJ111" s="4"/>
      <c r="AK111" s="4"/>
      <c r="AL111" s="4"/>
      <c r="DZ111" s="176"/>
      <c r="EA111" s="177"/>
      <c r="FW111" s="176"/>
      <c r="FX111" s="177"/>
      <c r="HK111" s="176"/>
      <c r="HL111" s="177"/>
      <c r="HM111" s="4"/>
      <c r="HN111" s="4"/>
      <c r="HO111" s="4"/>
      <c r="HP111" s="4"/>
      <c r="HQ111" s="4"/>
      <c r="HR111" s="4"/>
      <c r="HS111" s="4"/>
      <c r="HT111" s="4"/>
      <c r="HU111" s="4"/>
      <c r="HV111" s="4"/>
      <c r="HW111" s="4"/>
      <c r="HY111" s="176"/>
      <c r="HZ111" s="177"/>
      <c r="IA111" s="4"/>
      <c r="IB111" s="4"/>
      <c r="IC111" s="4"/>
      <c r="IT111" s="176"/>
      <c r="IU111" s="177"/>
      <c r="JL111" s="176"/>
      <c r="JM111" s="177"/>
    </row>
    <row r="112" spans="23:273" ht="12" customHeight="1">
      <c r="W112" s="92"/>
      <c r="X112" s="147"/>
      <c r="Y112" s="1630" t="s">
        <v>113</v>
      </c>
      <c r="Z112" s="1632" t="s">
        <v>472</v>
      </c>
      <c r="AA112" s="1630" t="s">
        <v>115</v>
      </c>
      <c r="AC112" s="1476" t="s">
        <v>353</v>
      </c>
      <c r="AG112" s="92"/>
      <c r="AH112" s="4"/>
      <c r="DZ112" s="92"/>
      <c r="EA112" s="147"/>
      <c r="FW112" s="92"/>
      <c r="FX112" s="147"/>
      <c r="HK112" s="92"/>
      <c r="HL112" s="147"/>
      <c r="HY112" s="92"/>
      <c r="HZ112" s="147"/>
      <c r="IT112" s="92"/>
      <c r="IU112" s="147"/>
      <c r="JL112" s="92"/>
      <c r="JM112" s="147"/>
    </row>
    <row r="113" spans="23:273" ht="12" customHeight="1">
      <c r="W113" s="92"/>
      <c r="X113" s="147"/>
      <c r="Y113" s="1631"/>
      <c r="Z113" s="1633"/>
      <c r="AA113" s="1634"/>
      <c r="AC113" s="1477"/>
      <c r="AG113" s="92"/>
      <c r="AH113" s="4"/>
      <c r="DZ113" s="92"/>
      <c r="EA113" s="147"/>
      <c r="FW113" s="92"/>
      <c r="FX113" s="147"/>
      <c r="HK113" s="92"/>
      <c r="HL113" s="147"/>
      <c r="HY113" s="92"/>
      <c r="HZ113" s="147"/>
      <c r="IT113" s="92"/>
      <c r="IU113" s="147"/>
      <c r="JL113" s="92"/>
      <c r="JM113" s="147"/>
    </row>
    <row r="114" spans="23:273" ht="12" customHeight="1">
      <c r="W114" s="92"/>
      <c r="X114" s="3" t="s">
        <v>749</v>
      </c>
      <c r="Y114" s="18" t="s">
        <v>602</v>
      </c>
      <c r="Z114" s="27">
        <f>ROW()</f>
        <v>114</v>
      </c>
      <c r="AA114" s="33" t="s">
        <v>118</v>
      </c>
      <c r="AC114" s="153">
        <f>SUM(IF(AA114:AA192&lt;&gt;"",COUNTIF(AA114:AA192,AA114:AA192)))</f>
        <v>12</v>
      </c>
      <c r="AG114" s="92"/>
      <c r="AH114" s="4"/>
      <c r="DZ114" s="92"/>
      <c r="FW114" s="92"/>
      <c r="HK114" s="92"/>
      <c r="HY114" s="92"/>
      <c r="IT114" s="92"/>
      <c r="JL114" s="92"/>
    </row>
    <row r="115" spans="23:273" ht="12" customHeight="1">
      <c r="W115" s="92"/>
      <c r="X115" s="3" t="s">
        <v>750</v>
      </c>
      <c r="Y115" s="18" t="s">
        <v>45</v>
      </c>
      <c r="Z115" s="320">
        <f>ROW()</f>
        <v>115</v>
      </c>
      <c r="AA115" s="33" t="s">
        <v>118</v>
      </c>
      <c r="AG115" s="92"/>
      <c r="AH115" s="4"/>
      <c r="DZ115" s="92"/>
      <c r="FW115" s="92"/>
      <c r="HK115" s="92"/>
      <c r="HY115" s="92"/>
      <c r="IT115" s="92"/>
      <c r="JL115" s="92"/>
    </row>
    <row r="116" spans="23:273" ht="12" customHeight="1">
      <c r="W116" s="92"/>
      <c r="X116" s="3" t="s">
        <v>751</v>
      </c>
      <c r="Y116" s="18" t="s">
        <v>603</v>
      </c>
      <c r="Z116" s="320">
        <f>ROW()</f>
        <v>116</v>
      </c>
      <c r="AA116" s="33" t="s">
        <v>118</v>
      </c>
      <c r="AG116" s="92"/>
      <c r="AH116" s="4"/>
      <c r="DZ116" s="92"/>
      <c r="FW116" s="92"/>
      <c r="HK116" s="92"/>
      <c r="HY116" s="92"/>
      <c r="IT116" s="92"/>
      <c r="JL116" s="92"/>
    </row>
    <row r="117" spans="23:273" ht="12" customHeight="1">
      <c r="W117" s="92"/>
      <c r="X117" s="3" t="s">
        <v>752</v>
      </c>
      <c r="Y117" s="18" t="s">
        <v>604</v>
      </c>
      <c r="Z117" s="320">
        <f>ROW()</f>
        <v>117</v>
      </c>
      <c r="AA117" s="33" t="s">
        <v>118</v>
      </c>
      <c r="AG117" s="92"/>
      <c r="AH117" s="4"/>
      <c r="DZ117" s="92"/>
      <c r="FW117" s="92"/>
      <c r="HK117" s="92"/>
      <c r="HY117" s="92"/>
      <c r="IT117" s="92"/>
      <c r="JL117" s="92"/>
    </row>
    <row r="118" spans="23:273" ht="12" customHeight="1">
      <c r="W118" s="92"/>
      <c r="X118" s="3" t="s">
        <v>753</v>
      </c>
      <c r="Y118" s="18" t="s">
        <v>605</v>
      </c>
      <c r="Z118" s="320">
        <f>ROW()</f>
        <v>118</v>
      </c>
      <c r="AA118" s="33" t="s">
        <v>118</v>
      </c>
      <c r="AG118" s="92"/>
      <c r="AH118" s="4"/>
      <c r="DZ118" s="92"/>
      <c r="FW118" s="92"/>
      <c r="HK118" s="92"/>
      <c r="HY118" s="92"/>
      <c r="IT118" s="92"/>
      <c r="JL118" s="92"/>
    </row>
    <row r="119" spans="23:273" ht="12" customHeight="1">
      <c r="W119" s="92"/>
      <c r="X119" s="3" t="s">
        <v>754</v>
      </c>
      <c r="Y119" s="18" t="s">
        <v>3</v>
      </c>
      <c r="Z119" s="320">
        <f>ROW()</f>
        <v>119</v>
      </c>
      <c r="AA119" s="33" t="s">
        <v>118</v>
      </c>
      <c r="AG119" s="92"/>
      <c r="AH119" s="4"/>
      <c r="DZ119" s="92"/>
      <c r="FW119" s="92"/>
      <c r="HK119" s="92"/>
      <c r="HY119" s="92"/>
      <c r="IT119" s="92"/>
      <c r="JL119" s="92"/>
    </row>
    <row r="120" spans="23:273" ht="12" customHeight="1">
      <c r="W120" s="92"/>
      <c r="X120" s="3" t="s">
        <v>755</v>
      </c>
      <c r="Y120" s="18" t="s">
        <v>606</v>
      </c>
      <c r="Z120" s="320">
        <f>ROW()</f>
        <v>120</v>
      </c>
      <c r="AA120" s="33" t="s">
        <v>118</v>
      </c>
      <c r="AG120" s="92"/>
      <c r="AH120" s="4"/>
      <c r="DZ120" s="92"/>
      <c r="FW120" s="92"/>
      <c r="HK120" s="92"/>
      <c r="HY120" s="92"/>
      <c r="IT120" s="92"/>
      <c r="JL120" s="92"/>
    </row>
    <row r="121" spans="23:273" ht="12" customHeight="1">
      <c r="W121" s="92"/>
      <c r="X121" s="3" t="s">
        <v>756</v>
      </c>
      <c r="Y121" s="18" t="s">
        <v>46</v>
      </c>
      <c r="Z121" s="320">
        <f>ROW()</f>
        <v>121</v>
      </c>
      <c r="AA121" s="33" t="s">
        <v>118</v>
      </c>
      <c r="AG121" s="92"/>
      <c r="AH121" s="4"/>
      <c r="DZ121" s="92"/>
      <c r="FW121" s="92"/>
      <c r="HK121" s="92"/>
      <c r="HY121" s="92"/>
      <c r="IT121" s="92"/>
      <c r="JL121" s="92"/>
    </row>
    <row r="122" spans="23:273" ht="12" customHeight="1">
      <c r="W122" s="92"/>
      <c r="X122" s="3" t="s">
        <v>757</v>
      </c>
      <c r="Y122" s="18" t="s">
        <v>607</v>
      </c>
      <c r="Z122" s="320">
        <f>ROW()</f>
        <v>122</v>
      </c>
      <c r="AA122" s="33" t="s">
        <v>118</v>
      </c>
      <c r="AG122" s="92"/>
      <c r="AH122" s="4"/>
      <c r="DZ122" s="92"/>
      <c r="FW122" s="92"/>
      <c r="HK122" s="92"/>
      <c r="HY122" s="92"/>
      <c r="IT122" s="92"/>
      <c r="JL122" s="92"/>
    </row>
    <row r="123" spans="23:273" ht="12" customHeight="1">
      <c r="W123" s="92"/>
      <c r="X123" s="3" t="s">
        <v>758</v>
      </c>
      <c r="Y123" s="18" t="s">
        <v>608</v>
      </c>
      <c r="Z123" s="320">
        <f>ROW()</f>
        <v>123</v>
      </c>
      <c r="AA123" s="33" t="s">
        <v>118</v>
      </c>
      <c r="AG123" s="92"/>
      <c r="AH123" s="4"/>
      <c r="DZ123" s="92"/>
      <c r="FW123" s="92"/>
      <c r="HK123" s="92"/>
      <c r="HY123" s="92"/>
      <c r="IT123" s="92"/>
      <c r="JL123" s="92"/>
    </row>
    <row r="124" spans="23:273" ht="12" customHeight="1">
      <c r="W124" s="92"/>
      <c r="X124" s="3" t="s">
        <v>759</v>
      </c>
      <c r="Y124" s="18" t="s">
        <v>609</v>
      </c>
      <c r="Z124" s="320">
        <f>ROW()</f>
        <v>124</v>
      </c>
      <c r="AA124" s="33" t="s">
        <v>118</v>
      </c>
      <c r="AG124" s="92"/>
      <c r="AH124" s="4"/>
      <c r="DZ124" s="92"/>
      <c r="FW124" s="92"/>
      <c r="HK124" s="92"/>
      <c r="HY124" s="92"/>
      <c r="IT124" s="92"/>
      <c r="JL124" s="92"/>
    </row>
    <row r="125" spans="23:273" ht="12" customHeight="1">
      <c r="W125" s="92"/>
      <c r="X125" s="3" t="s">
        <v>760</v>
      </c>
      <c r="Y125" s="18" t="s">
        <v>610</v>
      </c>
      <c r="Z125" s="320">
        <f>ROW()</f>
        <v>125</v>
      </c>
      <c r="AA125" s="33" t="s">
        <v>118</v>
      </c>
      <c r="AG125" s="92"/>
      <c r="AH125" s="4"/>
      <c r="DZ125" s="92"/>
      <c r="FW125" s="92"/>
      <c r="HK125" s="92"/>
      <c r="HY125" s="92"/>
      <c r="IT125" s="92"/>
      <c r="JL125" s="92"/>
    </row>
    <row r="126" spans="23:273" ht="12" customHeight="1">
      <c r="W126" s="92"/>
      <c r="X126" s="3" t="s">
        <v>761</v>
      </c>
      <c r="Y126" s="18" t="s">
        <v>611</v>
      </c>
      <c r="Z126" s="320">
        <f>ROW()</f>
        <v>126</v>
      </c>
      <c r="AA126" s="33" t="s">
        <v>120</v>
      </c>
      <c r="AG126" s="92"/>
      <c r="AH126" s="4"/>
      <c r="DZ126" s="92"/>
      <c r="FW126" s="92"/>
      <c r="HK126" s="92"/>
      <c r="HY126" s="92"/>
      <c r="IT126" s="92"/>
      <c r="JL126" s="92"/>
    </row>
    <row r="127" spans="23:273" ht="12" customHeight="1">
      <c r="W127" s="92"/>
      <c r="X127" s="3" t="s">
        <v>762</v>
      </c>
      <c r="Y127" s="18" t="s">
        <v>612</v>
      </c>
      <c r="Z127" s="320">
        <f>ROW()</f>
        <v>127</v>
      </c>
      <c r="AA127" s="33" t="s">
        <v>120</v>
      </c>
      <c r="AG127" s="92"/>
      <c r="AH127" s="4"/>
      <c r="DZ127" s="92"/>
      <c r="FW127" s="92"/>
      <c r="HK127" s="92"/>
      <c r="HY127" s="92"/>
      <c r="IT127" s="92"/>
      <c r="JL127" s="92"/>
    </row>
    <row r="128" spans="23:273" ht="12" customHeight="1">
      <c r="W128" s="92"/>
      <c r="X128" s="3" t="s">
        <v>763</v>
      </c>
      <c r="Y128" s="18" t="s">
        <v>719</v>
      </c>
      <c r="Z128" s="320">
        <f>ROW()</f>
        <v>128</v>
      </c>
      <c r="AA128" s="33" t="s">
        <v>120</v>
      </c>
      <c r="AC128" s="4" t="s">
        <v>722</v>
      </c>
      <c r="AG128" s="92"/>
      <c r="AH128" s="4"/>
      <c r="DZ128" s="92"/>
      <c r="FW128" s="92"/>
      <c r="HK128" s="92"/>
      <c r="HY128" s="92"/>
      <c r="IT128" s="92"/>
      <c r="JL128" s="92"/>
    </row>
    <row r="129" spans="23:272" ht="12" customHeight="1">
      <c r="W129" s="92"/>
      <c r="X129" s="3" t="s">
        <v>764</v>
      </c>
      <c r="Y129" s="18" t="s">
        <v>720</v>
      </c>
      <c r="Z129" s="320">
        <f>ROW()</f>
        <v>129</v>
      </c>
      <c r="AA129" s="33" t="s">
        <v>120</v>
      </c>
      <c r="AC129" s="4" t="s">
        <v>722</v>
      </c>
      <c r="AG129" s="92"/>
      <c r="AH129" s="4"/>
      <c r="DZ129" s="92"/>
      <c r="FW129" s="92"/>
      <c r="HK129" s="92"/>
      <c r="HY129" s="92"/>
      <c r="IT129" s="92"/>
      <c r="JL129" s="92"/>
    </row>
    <row r="130" spans="23:272" ht="12" customHeight="1">
      <c r="W130" s="92"/>
      <c r="X130" s="3" t="s">
        <v>765</v>
      </c>
      <c r="Y130" s="18" t="s">
        <v>721</v>
      </c>
      <c r="Z130" s="320">
        <f>ROW()</f>
        <v>130</v>
      </c>
      <c r="AA130" s="33" t="s">
        <v>120</v>
      </c>
      <c r="AC130" s="4" t="s">
        <v>722</v>
      </c>
      <c r="AG130" s="92"/>
      <c r="AH130" s="4"/>
      <c r="DZ130" s="92"/>
      <c r="FW130" s="92"/>
      <c r="HK130" s="92"/>
      <c r="HY130" s="92"/>
      <c r="IT130" s="92"/>
      <c r="JL130" s="92"/>
    </row>
    <row r="131" spans="23:272" ht="12" customHeight="1">
      <c r="W131" s="92"/>
      <c r="X131" s="3" t="s">
        <v>766</v>
      </c>
      <c r="Y131" s="18" t="s">
        <v>613</v>
      </c>
      <c r="Z131" s="320">
        <f>ROW()</f>
        <v>131</v>
      </c>
      <c r="AA131" s="33" t="s">
        <v>120</v>
      </c>
      <c r="AG131" s="92"/>
      <c r="AH131" s="4"/>
      <c r="DZ131" s="92"/>
      <c r="FW131" s="92"/>
      <c r="HK131" s="92"/>
      <c r="HY131" s="92"/>
      <c r="IT131" s="92"/>
      <c r="JL131" s="92"/>
    </row>
    <row r="132" spans="23:272" ht="12" customHeight="1">
      <c r="W132" s="92"/>
      <c r="X132" s="3" t="s">
        <v>767</v>
      </c>
      <c r="Y132" s="18" t="s">
        <v>614</v>
      </c>
      <c r="Z132" s="320">
        <f>ROW()</f>
        <v>132</v>
      </c>
      <c r="AA132" s="33" t="s">
        <v>120</v>
      </c>
      <c r="AG132" s="92"/>
      <c r="AH132" s="4"/>
      <c r="DZ132" s="92"/>
      <c r="FW132" s="92"/>
      <c r="HK132" s="92"/>
      <c r="HY132" s="92"/>
      <c r="IT132" s="92"/>
      <c r="JL132" s="92"/>
    </row>
    <row r="133" spans="23:272" ht="9.75" customHeight="1">
      <c r="W133" s="92"/>
      <c r="X133" s="3" t="s">
        <v>768</v>
      </c>
      <c r="Y133" s="18" t="s">
        <v>615</v>
      </c>
      <c r="Z133" s="320">
        <f>ROW()</f>
        <v>133</v>
      </c>
      <c r="AA133" s="33" t="s">
        <v>120</v>
      </c>
      <c r="AG133" s="92"/>
      <c r="AH133" s="4"/>
      <c r="DZ133" s="92"/>
      <c r="FW133" s="92"/>
      <c r="HK133" s="92"/>
      <c r="HY133" s="92"/>
      <c r="IT133" s="92"/>
      <c r="JL133" s="92"/>
    </row>
    <row r="134" spans="23:272" ht="12" customHeight="1">
      <c r="W134" s="92"/>
      <c r="X134" s="3" t="s">
        <v>769</v>
      </c>
      <c r="Y134" s="18" t="s">
        <v>684</v>
      </c>
      <c r="Z134" s="320">
        <f>ROW()</f>
        <v>134</v>
      </c>
      <c r="AA134" s="33" t="s">
        <v>434</v>
      </c>
      <c r="AG134" s="92"/>
      <c r="AH134" s="4"/>
      <c r="DZ134" s="92"/>
      <c r="FW134" s="92"/>
      <c r="HK134" s="92"/>
      <c r="HY134" s="92"/>
      <c r="IT134" s="92"/>
      <c r="JL134" s="92"/>
    </row>
    <row r="135" spans="23:272" ht="12" customHeight="1">
      <c r="W135" s="92"/>
      <c r="X135" s="3" t="s">
        <v>770</v>
      </c>
      <c r="Y135" s="18" t="s">
        <v>685</v>
      </c>
      <c r="Z135" s="320">
        <f>ROW()</f>
        <v>135</v>
      </c>
      <c r="AA135" s="33" t="s">
        <v>434</v>
      </c>
      <c r="AG135" s="92"/>
      <c r="AH135" s="4"/>
      <c r="DZ135" s="92"/>
      <c r="FW135" s="92"/>
      <c r="HK135" s="92"/>
      <c r="HY135" s="92"/>
      <c r="IT135" s="92"/>
      <c r="JL135" s="92"/>
    </row>
    <row r="136" spans="23:272" ht="12" customHeight="1">
      <c r="W136" s="92"/>
      <c r="X136" s="3" t="s">
        <v>771</v>
      </c>
      <c r="Y136" s="18" t="s">
        <v>686</v>
      </c>
      <c r="Z136" s="320">
        <f>ROW()</f>
        <v>136</v>
      </c>
      <c r="AA136" s="33" t="s">
        <v>434</v>
      </c>
      <c r="AG136" s="92"/>
      <c r="AH136" s="4"/>
      <c r="DZ136" s="92"/>
      <c r="FW136" s="92"/>
      <c r="HK136" s="92"/>
      <c r="HY136" s="92"/>
      <c r="IT136" s="92"/>
      <c r="JL136" s="92"/>
    </row>
    <row r="137" spans="23:272" ht="12" customHeight="1">
      <c r="W137" s="92"/>
      <c r="X137" s="3" t="s">
        <v>772</v>
      </c>
      <c r="Y137" s="18" t="s">
        <v>687</v>
      </c>
      <c r="Z137" s="320">
        <f>ROW()</f>
        <v>137</v>
      </c>
      <c r="AA137" s="33" t="s">
        <v>434</v>
      </c>
      <c r="AG137" s="92"/>
      <c r="AH137" s="4"/>
      <c r="DZ137" s="92"/>
      <c r="FW137" s="92"/>
      <c r="HK137" s="92"/>
      <c r="HY137" s="92"/>
      <c r="IT137" s="92"/>
      <c r="JL137" s="92"/>
    </row>
    <row r="138" spans="23:272" ht="12" customHeight="1">
      <c r="W138" s="92"/>
      <c r="X138" s="3" t="s">
        <v>773</v>
      </c>
      <c r="Y138" s="18" t="s">
        <v>616</v>
      </c>
      <c r="Z138" s="320">
        <f>ROW()</f>
        <v>138</v>
      </c>
      <c r="AA138" s="33" t="s">
        <v>434</v>
      </c>
      <c r="AG138" s="92"/>
      <c r="AH138" s="4"/>
      <c r="DZ138" s="92"/>
      <c r="FW138" s="92"/>
      <c r="HK138" s="92"/>
      <c r="HY138" s="92"/>
      <c r="IT138" s="92"/>
      <c r="JL138" s="92"/>
    </row>
    <row r="139" spans="23:272" ht="12" customHeight="1">
      <c r="W139" s="92"/>
      <c r="X139" s="3" t="s">
        <v>774</v>
      </c>
      <c r="Y139" s="18" t="s">
        <v>4</v>
      </c>
      <c r="Z139" s="320">
        <f>ROW()</f>
        <v>139</v>
      </c>
      <c r="AA139" s="33" t="s">
        <v>434</v>
      </c>
      <c r="AG139" s="92"/>
      <c r="AH139" s="4"/>
      <c r="DZ139" s="92"/>
      <c r="FW139" s="92"/>
      <c r="HK139" s="92"/>
      <c r="HY139" s="92"/>
      <c r="IT139" s="92"/>
      <c r="JL139" s="92"/>
    </row>
    <row r="140" spans="23:272" ht="12" customHeight="1">
      <c r="W140" s="92"/>
      <c r="X140" s="3" t="s">
        <v>775</v>
      </c>
      <c r="Y140" s="18" t="s">
        <v>695</v>
      </c>
      <c r="Z140" s="320">
        <f>ROW()</f>
        <v>140</v>
      </c>
      <c r="AA140" s="33" t="s">
        <v>434</v>
      </c>
      <c r="AG140" s="92"/>
      <c r="AH140" s="4"/>
      <c r="DZ140" s="92"/>
      <c r="FW140" s="92"/>
      <c r="HK140" s="92"/>
      <c r="HY140" s="92"/>
      <c r="IT140" s="92"/>
      <c r="JL140" s="92"/>
    </row>
    <row r="141" spans="23:272" ht="12" customHeight="1">
      <c r="W141" s="92"/>
      <c r="X141" s="3" t="s">
        <v>776</v>
      </c>
      <c r="Y141" s="18" t="s">
        <v>696</v>
      </c>
      <c r="Z141" s="320">
        <f>ROW()</f>
        <v>141</v>
      </c>
      <c r="AA141" s="33" t="s">
        <v>434</v>
      </c>
      <c r="AG141" s="92"/>
      <c r="AH141" s="4"/>
      <c r="DZ141" s="92"/>
      <c r="FW141" s="92"/>
      <c r="HK141" s="92"/>
      <c r="HY141" s="92"/>
      <c r="IT141" s="92"/>
      <c r="JL141" s="92"/>
    </row>
    <row r="142" spans="23:272" ht="12" customHeight="1">
      <c r="W142" s="92"/>
      <c r="X142" s="3" t="s">
        <v>777</v>
      </c>
      <c r="Y142" s="18" t="s">
        <v>688</v>
      </c>
      <c r="Z142" s="320">
        <f>ROW()</f>
        <v>142</v>
      </c>
      <c r="AA142" s="33" t="s">
        <v>434</v>
      </c>
      <c r="AG142" s="92"/>
      <c r="AH142" s="4"/>
      <c r="DZ142" s="92"/>
      <c r="FW142" s="92"/>
      <c r="HK142" s="92"/>
      <c r="HY142" s="92"/>
      <c r="IT142" s="92"/>
      <c r="JL142" s="92"/>
    </row>
    <row r="143" spans="23:272" ht="12" customHeight="1">
      <c r="W143" s="92"/>
      <c r="X143" s="3" t="s">
        <v>778</v>
      </c>
      <c r="Y143" s="18" t="s">
        <v>5</v>
      </c>
      <c r="Z143" s="320">
        <f>ROW()</f>
        <v>143</v>
      </c>
      <c r="AA143" s="33" t="s">
        <v>434</v>
      </c>
      <c r="AG143" s="92"/>
      <c r="AH143" s="4"/>
      <c r="DZ143" s="92"/>
      <c r="FW143" s="92"/>
      <c r="HK143" s="92"/>
      <c r="HY143" s="92"/>
      <c r="IT143" s="92"/>
      <c r="JL143" s="92"/>
    </row>
    <row r="144" spans="23:272" ht="12" customHeight="1">
      <c r="W144" s="92"/>
      <c r="X144" s="3" t="s">
        <v>779</v>
      </c>
      <c r="Y144" s="18" t="s">
        <v>693</v>
      </c>
      <c r="Z144" s="320">
        <f>ROW()</f>
        <v>144</v>
      </c>
      <c r="AA144" s="33" t="s">
        <v>434</v>
      </c>
      <c r="AG144" s="92"/>
      <c r="AH144" s="4"/>
      <c r="DZ144" s="92"/>
      <c r="FW144" s="92"/>
      <c r="HK144" s="92"/>
      <c r="HY144" s="92"/>
      <c r="IT144" s="92"/>
      <c r="JL144" s="92"/>
    </row>
    <row r="145" spans="23:272" ht="12" customHeight="1">
      <c r="W145" s="92"/>
      <c r="X145" s="3" t="s">
        <v>780</v>
      </c>
      <c r="Y145" s="18" t="s">
        <v>694</v>
      </c>
      <c r="Z145" s="320">
        <f>ROW()</f>
        <v>145</v>
      </c>
      <c r="AA145" s="33" t="s">
        <v>434</v>
      </c>
      <c r="AG145" s="92"/>
      <c r="AH145" s="4"/>
      <c r="DZ145" s="92"/>
      <c r="FW145" s="92"/>
      <c r="HK145" s="92"/>
      <c r="HY145" s="92"/>
      <c r="IT145" s="92"/>
      <c r="JL145" s="92"/>
    </row>
    <row r="146" spans="23:272" ht="12" customHeight="1">
      <c r="W146" s="92"/>
      <c r="X146" s="3" t="s">
        <v>781</v>
      </c>
      <c r="Y146" s="18" t="s">
        <v>689</v>
      </c>
      <c r="Z146" s="320">
        <f>ROW()</f>
        <v>146</v>
      </c>
      <c r="AA146" s="33" t="s">
        <v>434</v>
      </c>
      <c r="AG146" s="92"/>
      <c r="AH146" s="4"/>
      <c r="DZ146" s="92"/>
      <c r="FW146" s="92"/>
      <c r="HK146" s="92"/>
      <c r="HY146" s="92"/>
      <c r="IT146" s="92"/>
      <c r="JL146" s="92"/>
    </row>
    <row r="147" spans="23:272" ht="12" customHeight="1">
      <c r="W147" s="92"/>
      <c r="X147" s="3" t="s">
        <v>782</v>
      </c>
      <c r="Y147" s="18" t="s">
        <v>6</v>
      </c>
      <c r="Z147" s="320">
        <f>ROW()</f>
        <v>147</v>
      </c>
      <c r="AA147" s="33" t="s">
        <v>434</v>
      </c>
      <c r="AG147" s="92"/>
      <c r="AH147" s="4"/>
      <c r="DZ147" s="92"/>
      <c r="FW147" s="92"/>
      <c r="HK147" s="92"/>
      <c r="HY147" s="92"/>
      <c r="IT147" s="92"/>
      <c r="JL147" s="92"/>
    </row>
    <row r="148" spans="23:272" ht="12" customHeight="1">
      <c r="W148" s="92"/>
      <c r="X148" s="3" t="s">
        <v>783</v>
      </c>
      <c r="Y148" s="18" t="s">
        <v>724</v>
      </c>
      <c r="Z148" s="320">
        <f>ROW()</f>
        <v>148</v>
      </c>
      <c r="AA148" s="33" t="s">
        <v>434</v>
      </c>
      <c r="AG148" s="92"/>
      <c r="AH148" s="4"/>
      <c r="DZ148" s="92"/>
      <c r="FW148" s="92"/>
      <c r="HK148" s="92"/>
      <c r="HY148" s="92"/>
      <c r="IT148" s="92"/>
      <c r="JL148" s="92"/>
    </row>
    <row r="149" spans="23:272" ht="12" customHeight="1">
      <c r="W149" s="92"/>
      <c r="X149" s="3" t="s">
        <v>784</v>
      </c>
      <c r="Y149" s="18" t="s">
        <v>725</v>
      </c>
      <c r="Z149" s="320">
        <f>ROW()</f>
        <v>149</v>
      </c>
      <c r="AA149" s="33" t="s">
        <v>434</v>
      </c>
      <c r="AG149" s="92"/>
      <c r="AH149" s="4"/>
      <c r="DZ149" s="92"/>
      <c r="FW149" s="92"/>
      <c r="HK149" s="92"/>
      <c r="HY149" s="92"/>
      <c r="IT149" s="92"/>
      <c r="JL149" s="92"/>
    </row>
    <row r="150" spans="23:272" ht="12" customHeight="1">
      <c r="W150" s="92"/>
      <c r="X150" s="3" t="s">
        <v>785</v>
      </c>
      <c r="Y150" s="18" t="s">
        <v>690</v>
      </c>
      <c r="Z150" s="320">
        <f>ROW()</f>
        <v>150</v>
      </c>
      <c r="AA150" s="33" t="s">
        <v>434</v>
      </c>
      <c r="AG150" s="92"/>
      <c r="AH150" s="4"/>
      <c r="DZ150" s="92"/>
      <c r="FW150" s="92"/>
      <c r="HK150" s="92"/>
      <c r="HY150" s="92"/>
      <c r="IT150" s="92"/>
      <c r="JL150" s="92"/>
    </row>
    <row r="151" spans="23:272" ht="12" customHeight="1">
      <c r="W151" s="92"/>
      <c r="X151" s="3" t="s">
        <v>786</v>
      </c>
      <c r="Y151" s="18" t="s">
        <v>7</v>
      </c>
      <c r="Z151" s="320">
        <f>ROW()</f>
        <v>151</v>
      </c>
      <c r="AA151" s="33" t="s">
        <v>434</v>
      </c>
      <c r="AG151" s="92"/>
      <c r="AH151" s="4"/>
      <c r="DZ151" s="92"/>
      <c r="FW151" s="92"/>
      <c r="HK151" s="92"/>
      <c r="HY151" s="92"/>
      <c r="IT151" s="92"/>
      <c r="JL151" s="92"/>
    </row>
    <row r="152" spans="23:272" ht="12" customHeight="1">
      <c r="W152" s="92"/>
      <c r="X152" s="3" t="s">
        <v>787</v>
      </c>
      <c r="Y152" s="18" t="s">
        <v>691</v>
      </c>
      <c r="Z152" s="320">
        <f>ROW()</f>
        <v>152</v>
      </c>
      <c r="AA152" s="33" t="s">
        <v>121</v>
      </c>
      <c r="AG152" s="92"/>
      <c r="AH152" s="4"/>
      <c r="DZ152" s="92"/>
      <c r="FW152" s="92"/>
      <c r="HK152" s="92"/>
      <c r="HY152" s="92"/>
      <c r="IT152" s="92"/>
      <c r="JL152" s="92"/>
    </row>
    <row r="153" spans="23:272" ht="12" customHeight="1">
      <c r="X153" s="3" t="s">
        <v>788</v>
      </c>
      <c r="Y153" s="18" t="s">
        <v>8</v>
      </c>
      <c r="Z153" s="320">
        <f>ROW()</f>
        <v>153</v>
      </c>
      <c r="AA153" s="33" t="s">
        <v>121</v>
      </c>
      <c r="AH153" s="4"/>
    </row>
    <row r="154" spans="23:272" ht="12" customHeight="1">
      <c r="X154" s="3" t="s">
        <v>789</v>
      </c>
      <c r="Y154" s="18" t="s">
        <v>692</v>
      </c>
      <c r="Z154" s="320">
        <f>ROW()</f>
        <v>154</v>
      </c>
      <c r="AA154" s="33" t="s">
        <v>121</v>
      </c>
      <c r="AH154" s="4"/>
    </row>
    <row r="155" spans="23:272" ht="12" customHeight="1">
      <c r="X155" s="3" t="s">
        <v>790</v>
      </c>
      <c r="Y155" s="18" t="s">
        <v>9</v>
      </c>
      <c r="Z155" s="320">
        <f>ROW()</f>
        <v>155</v>
      </c>
      <c r="AA155" s="33" t="s">
        <v>121</v>
      </c>
      <c r="AH155" s="4"/>
    </row>
    <row r="156" spans="23:272" ht="12" customHeight="1">
      <c r="X156" s="3" t="s">
        <v>791</v>
      </c>
      <c r="Y156" s="18" t="s">
        <v>22</v>
      </c>
      <c r="Z156" s="320">
        <f>ROW()</f>
        <v>156</v>
      </c>
      <c r="AA156" s="33" t="s">
        <v>349</v>
      </c>
      <c r="AH156" s="4"/>
    </row>
    <row r="157" spans="23:272" ht="12" customHeight="1">
      <c r="X157" s="3" t="s">
        <v>792</v>
      </c>
      <c r="Y157" s="18" t="s">
        <v>133</v>
      </c>
      <c r="Z157" s="320">
        <f>ROW()</f>
        <v>157</v>
      </c>
      <c r="AA157" s="33" t="s">
        <v>731</v>
      </c>
      <c r="AH157" s="4"/>
    </row>
    <row r="158" spans="23:272" ht="12" customHeight="1">
      <c r="X158" s="3" t="s">
        <v>793</v>
      </c>
      <c r="Y158" s="18" t="s">
        <v>134</v>
      </c>
      <c r="Z158" s="320">
        <f>ROW()</f>
        <v>158</v>
      </c>
      <c r="AA158" s="33" t="s">
        <v>123</v>
      </c>
      <c r="AH158" s="4"/>
    </row>
    <row r="159" spans="23:272" ht="12" customHeight="1">
      <c r="X159" s="3" t="s">
        <v>794</v>
      </c>
      <c r="Y159" s="18" t="s">
        <v>23</v>
      </c>
      <c r="Z159" s="320">
        <f>ROW()</f>
        <v>159</v>
      </c>
      <c r="AA159" s="33" t="s">
        <v>123</v>
      </c>
      <c r="AH159" s="4"/>
    </row>
    <row r="160" spans="23:272" ht="12" customHeight="1">
      <c r="X160" s="3" t="s">
        <v>795</v>
      </c>
      <c r="Y160" s="18" t="s">
        <v>715</v>
      </c>
      <c r="Z160" s="320">
        <f>ROW()</f>
        <v>160</v>
      </c>
      <c r="AA160" s="33" t="s">
        <v>123</v>
      </c>
      <c r="AH160" s="4"/>
    </row>
    <row r="161" spans="24:34" ht="12" customHeight="1">
      <c r="X161" s="3" t="s">
        <v>796</v>
      </c>
      <c r="Y161" s="18" t="s">
        <v>706</v>
      </c>
      <c r="Z161" s="320">
        <f>ROW()</f>
        <v>161</v>
      </c>
      <c r="AA161" s="33" t="s">
        <v>123</v>
      </c>
      <c r="AH161" s="4"/>
    </row>
    <row r="162" spans="24:34" ht="12" customHeight="1">
      <c r="X162" s="3" t="s">
        <v>797</v>
      </c>
      <c r="Y162" s="18" t="s">
        <v>707</v>
      </c>
      <c r="Z162" s="320">
        <f>ROW()</f>
        <v>162</v>
      </c>
      <c r="AA162" s="33" t="s">
        <v>123</v>
      </c>
      <c r="AH162" s="4"/>
    </row>
    <row r="163" spans="24:34" ht="12" customHeight="1">
      <c r="X163" s="3" t="s">
        <v>798</v>
      </c>
      <c r="Y163" s="18" t="s">
        <v>708</v>
      </c>
      <c r="Z163" s="320">
        <f>ROW()</f>
        <v>163</v>
      </c>
      <c r="AA163" s="33" t="s">
        <v>123</v>
      </c>
      <c r="AH163" s="4"/>
    </row>
    <row r="164" spans="24:34" ht="12" customHeight="1">
      <c r="X164" s="3" t="s">
        <v>799</v>
      </c>
      <c r="Y164" s="18" t="s">
        <v>713</v>
      </c>
      <c r="Z164" s="320">
        <f>ROW()</f>
        <v>164</v>
      </c>
      <c r="AA164" s="33" t="s">
        <v>320</v>
      </c>
      <c r="AH164" s="4"/>
    </row>
    <row r="165" spans="24:34" ht="12" customHeight="1">
      <c r="X165" s="3" t="s">
        <v>800</v>
      </c>
      <c r="Y165" s="18" t="s">
        <v>714</v>
      </c>
      <c r="Z165" s="320">
        <f>ROW()</f>
        <v>165</v>
      </c>
      <c r="AA165" s="33" t="s">
        <v>320</v>
      </c>
      <c r="AH165" s="4"/>
    </row>
    <row r="166" spans="24:34" ht="12" customHeight="1">
      <c r="X166" s="3" t="s">
        <v>801</v>
      </c>
      <c r="Y166" s="18" t="s">
        <v>714</v>
      </c>
      <c r="Z166" s="320">
        <f>ROW()</f>
        <v>166</v>
      </c>
      <c r="AA166" s="33" t="s">
        <v>320</v>
      </c>
      <c r="AH166" s="4"/>
    </row>
    <row r="167" spans="24:34" ht="12" customHeight="1">
      <c r="X167" s="3" t="s">
        <v>802</v>
      </c>
      <c r="Y167" s="18" t="s">
        <v>744</v>
      </c>
      <c r="Z167" s="320">
        <f>ROW()</f>
        <v>167</v>
      </c>
      <c r="AA167" s="33" t="s">
        <v>320</v>
      </c>
      <c r="AH167" s="4"/>
    </row>
    <row r="168" spans="24:34" ht="12" customHeight="1">
      <c r="X168" s="3" t="s">
        <v>803</v>
      </c>
      <c r="Y168" s="18" t="s">
        <v>745</v>
      </c>
      <c r="Z168" s="320">
        <f>ROW()</f>
        <v>168</v>
      </c>
      <c r="AA168" s="33" t="s">
        <v>320</v>
      </c>
      <c r="AH168" s="4"/>
    </row>
    <row r="169" spans="24:34" ht="12" customHeight="1">
      <c r="X169" s="3" t="s">
        <v>804</v>
      </c>
      <c r="Y169" s="18" t="s">
        <v>137</v>
      </c>
      <c r="Z169" s="320">
        <f>ROW()</f>
        <v>169</v>
      </c>
      <c r="AA169" s="33" t="s">
        <v>124</v>
      </c>
      <c r="AH169" s="4"/>
    </row>
    <row r="170" spans="24:34" ht="12" customHeight="1">
      <c r="X170" s="3" t="s">
        <v>805</v>
      </c>
      <c r="Y170" s="18" t="s">
        <v>746</v>
      </c>
      <c r="Z170" s="320">
        <v>170</v>
      </c>
      <c r="AA170" s="33" t="s">
        <v>124</v>
      </c>
      <c r="AH170" s="4"/>
    </row>
    <row r="171" spans="24:34" ht="12" customHeight="1">
      <c r="X171" s="3" t="s">
        <v>806</v>
      </c>
      <c r="Y171" s="18" t="s">
        <v>746</v>
      </c>
      <c r="Z171" s="320">
        <v>171</v>
      </c>
      <c r="AA171" s="33" t="s">
        <v>124</v>
      </c>
      <c r="AH171" s="4"/>
    </row>
    <row r="172" spans="24:34" ht="12" customHeight="1">
      <c r="X172" s="3" t="s">
        <v>807</v>
      </c>
      <c r="Y172" s="18" t="s">
        <v>746</v>
      </c>
      <c r="Z172" s="320">
        <v>172</v>
      </c>
      <c r="AA172" s="33" t="s">
        <v>124</v>
      </c>
      <c r="AH172" s="4"/>
    </row>
    <row r="173" spans="24:34" ht="12" customHeight="1">
      <c r="X173" s="3" t="s">
        <v>808</v>
      </c>
      <c r="Y173" s="18" t="s">
        <v>138</v>
      </c>
      <c r="Z173" s="320">
        <f>ROW()</f>
        <v>173</v>
      </c>
      <c r="AA173" s="33" t="s">
        <v>125</v>
      </c>
      <c r="AH173" s="4"/>
    </row>
    <row r="174" spans="24:34" ht="12" customHeight="1">
      <c r="X174" s="3" t="s">
        <v>809</v>
      </c>
      <c r="Y174" s="18" t="s">
        <v>746</v>
      </c>
      <c r="Z174" s="320">
        <v>174</v>
      </c>
      <c r="AA174" s="33" t="s">
        <v>125</v>
      </c>
      <c r="AH174" s="4"/>
    </row>
    <row r="175" spans="24:34" ht="12" customHeight="1">
      <c r="X175" s="3" t="s">
        <v>810</v>
      </c>
      <c r="Y175" s="18" t="s">
        <v>746</v>
      </c>
      <c r="Z175" s="320">
        <v>175</v>
      </c>
      <c r="AA175" s="33" t="s">
        <v>125</v>
      </c>
    </row>
    <row r="176" spans="24:34" ht="12" customHeight="1">
      <c r="X176" s="3" t="s">
        <v>811</v>
      </c>
      <c r="Y176" s="18" t="s">
        <v>746</v>
      </c>
      <c r="Z176" s="320">
        <v>176</v>
      </c>
      <c r="AA176" s="33" t="s">
        <v>125</v>
      </c>
    </row>
    <row r="177" spans="24:31" ht="12" customHeight="1">
      <c r="X177" s="3" t="s">
        <v>812</v>
      </c>
      <c r="Y177" s="18" t="s">
        <v>746</v>
      </c>
      <c r="Z177" s="320">
        <v>177</v>
      </c>
      <c r="AA177" s="33" t="s">
        <v>125</v>
      </c>
    </row>
    <row r="178" spans="24:31" ht="12" customHeight="1">
      <c r="X178" s="3" t="s">
        <v>813</v>
      </c>
      <c r="Y178" s="18" t="s">
        <v>746</v>
      </c>
      <c r="Z178" s="320">
        <v>178</v>
      </c>
      <c r="AA178" s="33" t="s">
        <v>125</v>
      </c>
      <c r="AB178" s="148"/>
      <c r="AC178" s="148"/>
    </row>
    <row r="179" spans="24:31" ht="12" customHeight="1">
      <c r="X179" s="3" t="s">
        <v>814</v>
      </c>
      <c r="Y179" s="18" t="s">
        <v>126</v>
      </c>
      <c r="Z179" s="320">
        <f>ROW()</f>
        <v>179</v>
      </c>
      <c r="AA179" s="33" t="s">
        <v>126</v>
      </c>
    </row>
    <row r="180" spans="24:31" ht="12" customHeight="1">
      <c r="X180" s="3" t="s">
        <v>815</v>
      </c>
      <c r="Y180" s="18" t="s">
        <v>128</v>
      </c>
      <c r="Z180" s="320">
        <f>ROW()</f>
        <v>180</v>
      </c>
      <c r="AA180" s="33" t="s">
        <v>128</v>
      </c>
    </row>
    <row r="181" spans="24:31" ht="12" customHeight="1">
      <c r="X181" s="3" t="s">
        <v>816</v>
      </c>
      <c r="Y181" s="18" t="s">
        <v>514</v>
      </c>
      <c r="Z181" s="320">
        <f>ROW()</f>
        <v>181</v>
      </c>
      <c r="AA181" s="33" t="s">
        <v>136</v>
      </c>
    </row>
    <row r="182" spans="24:31" ht="12" customHeight="1">
      <c r="X182" s="3" t="s">
        <v>817</v>
      </c>
      <c r="Y182" s="18" t="s">
        <v>515</v>
      </c>
      <c r="Z182" s="320">
        <f>ROW()</f>
        <v>182</v>
      </c>
      <c r="AA182" s="33" t="s">
        <v>136</v>
      </c>
    </row>
    <row r="183" spans="24:31" ht="12" customHeight="1">
      <c r="Y183" s="18"/>
      <c r="Z183" s="320"/>
      <c r="AA183" s="33"/>
    </row>
    <row r="184" spans="24:31" ht="12" customHeight="1">
      <c r="Y184" s="18"/>
      <c r="Z184" s="320"/>
      <c r="AA184" s="33"/>
      <c r="AC184" s="19" t="s">
        <v>437</v>
      </c>
      <c r="AD184" s="20"/>
      <c r="AE184" s="21"/>
    </row>
    <row r="185" spans="24:31" ht="12" customHeight="1">
      <c r="Y185" s="18"/>
      <c r="Z185" s="320"/>
      <c r="AA185" s="33"/>
      <c r="AC185" s="98"/>
      <c r="AD185" s="158"/>
      <c r="AE185" s="159"/>
    </row>
    <row r="186" spans="24:31" ht="12" customHeight="1">
      <c r="Y186" s="18"/>
      <c r="Z186" s="320"/>
      <c r="AA186" s="33"/>
      <c r="AC186" s="18"/>
      <c r="AE186" s="33"/>
    </row>
    <row r="187" spans="24:31" ht="12" customHeight="1">
      <c r="Y187" s="18"/>
      <c r="Z187" s="320"/>
      <c r="AA187" s="33"/>
      <c r="AC187" s="18"/>
      <c r="AE187" s="33"/>
    </row>
    <row r="188" spans="24:31" ht="12" customHeight="1">
      <c r="Y188" s="18"/>
      <c r="Z188" s="320"/>
      <c r="AA188" s="33"/>
      <c r="AC188" s="256" t="s">
        <v>691</v>
      </c>
      <c r="AD188" s="22" t="s">
        <v>152</v>
      </c>
      <c r="AE188" s="23" t="s">
        <v>153</v>
      </c>
    </row>
    <row r="189" spans="24:31" ht="12" customHeight="1">
      <c r="Y189" s="18"/>
      <c r="Z189" s="320"/>
      <c r="AA189" s="33"/>
      <c r="AC189" s="256" t="s">
        <v>11</v>
      </c>
      <c r="AD189" s="22">
        <f>HLOOKUP(AC188,AI199:DG250,39,FALSE)</f>
        <v>0</v>
      </c>
      <c r="AE189" s="23">
        <f>INDEX(239:239,MATCH(AC188,199:199,0))</f>
        <v>0</v>
      </c>
    </row>
    <row r="190" spans="24:31" ht="12" customHeight="1">
      <c r="Y190" s="18"/>
      <c r="Z190" s="320"/>
      <c r="AA190" s="33"/>
      <c r="AC190" s="98"/>
      <c r="AD190" s="158"/>
      <c r="AE190" s="159"/>
    </row>
    <row r="191" spans="24:31" ht="12" customHeight="1">
      <c r="Y191" s="18"/>
      <c r="Z191" s="320"/>
      <c r="AA191" s="33"/>
      <c r="AC191" s="256" t="s">
        <v>149</v>
      </c>
      <c r="AD191" s="22" t="s">
        <v>155</v>
      </c>
      <c r="AE191" s="23" t="s">
        <v>156</v>
      </c>
    </row>
    <row r="192" spans="24:31" ht="12" customHeight="1">
      <c r="Y192" s="34"/>
      <c r="Z192" s="414"/>
      <c r="AA192" s="35"/>
      <c r="AC192" s="24" t="s">
        <v>347</v>
      </c>
      <c r="AD192" s="25">
        <f>VLOOKUP(AC191,FY326:GB330,2,FALSE)</f>
        <v>355</v>
      </c>
      <c r="AE192" s="26">
        <f>INDEX(FZ:FZ,MATCH(AC191,FY:FY,0))</f>
        <v>355</v>
      </c>
    </row>
    <row r="194" spans="23:273" s="91" customFormat="1" ht="30" customHeight="1">
      <c r="X194" s="92"/>
      <c r="AH194" s="92"/>
      <c r="EA194" s="92"/>
      <c r="FX194" s="92"/>
      <c r="HL194" s="92"/>
      <c r="HZ194" s="92"/>
      <c r="IU194" s="92"/>
      <c r="JM194" s="92"/>
    </row>
    <row r="195" spans="23:273" s="170" customFormat="1" ht="30" customHeight="1">
      <c r="W195" s="174"/>
      <c r="X195" s="175"/>
      <c r="AG195" s="174"/>
      <c r="AH195" s="175"/>
      <c r="AI195" s="172" t="s">
        <v>251</v>
      </c>
      <c r="AL195" s="3"/>
      <c r="AM195" s="3"/>
      <c r="AN195" s="3"/>
      <c r="AO195" s="3"/>
      <c r="AP195" s="3"/>
      <c r="AQ195" s="3"/>
      <c r="AR195" s="3"/>
      <c r="AS195" s="3"/>
      <c r="AT195" s="3"/>
      <c r="AU195" s="3"/>
      <c r="AV195" s="3"/>
      <c r="AW195" s="3"/>
      <c r="AX195" s="3"/>
      <c r="AY195" s="3"/>
      <c r="AZ195" s="3"/>
      <c r="BA195" s="3"/>
      <c r="BB195" s="3"/>
      <c r="BC195" s="3"/>
      <c r="BD195" s="3"/>
      <c r="BE195" s="3"/>
      <c r="BF195" s="3"/>
      <c r="BG195" s="3"/>
      <c r="BH195" s="3"/>
      <c r="BI195" s="3"/>
      <c r="BJ195" s="3"/>
      <c r="BK195" s="3"/>
      <c r="BL195" s="3"/>
      <c r="BM195" s="3"/>
      <c r="BN195" s="3"/>
      <c r="BO195" s="3"/>
      <c r="BP195" s="3"/>
      <c r="BQ195" s="3"/>
      <c r="BR195" s="3"/>
      <c r="BS195" s="3"/>
      <c r="BT195" s="3"/>
      <c r="BU195" s="3"/>
      <c r="BV195" s="3"/>
      <c r="BW195" s="3"/>
      <c r="BX195" s="3"/>
      <c r="BY195" s="3"/>
      <c r="BZ195" s="3"/>
      <c r="CA195" s="3"/>
      <c r="CB195" s="3"/>
      <c r="CC195" s="3"/>
      <c r="CD195" s="3"/>
      <c r="CE195" s="3"/>
      <c r="CG195" s="3"/>
      <c r="CI195" s="3"/>
      <c r="CJ195" s="3"/>
      <c r="CK195" s="3"/>
      <c r="CM195" s="3"/>
      <c r="CN195" s="3"/>
      <c r="CO195" s="3"/>
      <c r="CP195" s="3"/>
      <c r="CQ195" s="3"/>
      <c r="CR195" s="3"/>
      <c r="CS195" s="3"/>
      <c r="CT195" s="3"/>
      <c r="CU195" s="3"/>
      <c r="CV195" s="3"/>
      <c r="CW195" s="3"/>
      <c r="CX195" s="3"/>
      <c r="CY195" s="3"/>
      <c r="CZ195" s="3"/>
      <c r="DA195" s="3"/>
      <c r="DB195" s="3"/>
      <c r="DC195" s="3"/>
      <c r="DF195" s="3"/>
      <c r="DG195" s="3"/>
      <c r="DZ195" s="174"/>
      <c r="EA195" s="175"/>
      <c r="FW195" s="174"/>
      <c r="FX195" s="175"/>
      <c r="HK195" s="174"/>
      <c r="HL195" s="175"/>
      <c r="HM195" s="4"/>
      <c r="HN195" s="4"/>
      <c r="HO195" s="4"/>
      <c r="HP195" s="4"/>
      <c r="HQ195" s="4"/>
      <c r="HR195" s="4"/>
      <c r="HS195" s="4"/>
      <c r="HT195" s="4"/>
      <c r="HU195" s="4"/>
      <c r="HV195" s="4"/>
      <c r="HW195" s="4"/>
      <c r="HY195" s="174"/>
      <c r="HZ195" s="175"/>
      <c r="IA195" s="4"/>
      <c r="IB195" s="4"/>
      <c r="IC195" s="4"/>
      <c r="IT195" s="174"/>
      <c r="IU195" s="175"/>
      <c r="JL195" s="174"/>
      <c r="JM195" s="175"/>
    </row>
    <row r="196" spans="23:273" s="171" customFormat="1" ht="30" customHeight="1">
      <c r="W196" s="176"/>
      <c r="X196" s="177"/>
      <c r="AG196" s="176"/>
      <c r="AI196" s="171" t="s">
        <v>252</v>
      </c>
      <c r="AL196" s="461">
        <v>1</v>
      </c>
      <c r="AM196" s="461">
        <v>2</v>
      </c>
      <c r="AN196" s="461">
        <v>3</v>
      </c>
      <c r="AO196" s="461">
        <v>4</v>
      </c>
      <c r="AP196" s="461">
        <v>5</v>
      </c>
      <c r="AQ196" s="461">
        <v>6</v>
      </c>
      <c r="AR196" s="461">
        <v>7</v>
      </c>
      <c r="AS196" s="461">
        <v>8</v>
      </c>
      <c r="AT196" s="461">
        <v>9</v>
      </c>
      <c r="AU196" s="461">
        <v>10</v>
      </c>
      <c r="AV196" s="461">
        <v>11</v>
      </c>
      <c r="AW196" s="461">
        <v>12</v>
      </c>
      <c r="AX196" s="461">
        <v>13</v>
      </c>
      <c r="AY196" s="461">
        <v>14</v>
      </c>
      <c r="AZ196" s="461">
        <v>15</v>
      </c>
      <c r="BA196" s="461">
        <v>16</v>
      </c>
      <c r="BB196" s="461">
        <v>17</v>
      </c>
      <c r="BC196" s="461">
        <v>18</v>
      </c>
      <c r="BD196" s="461">
        <v>19</v>
      </c>
      <c r="BE196" s="461">
        <v>20</v>
      </c>
      <c r="BF196" s="461">
        <v>21</v>
      </c>
      <c r="BG196" s="461">
        <v>22</v>
      </c>
      <c r="BH196" s="461">
        <v>23</v>
      </c>
      <c r="BI196" s="461">
        <v>24</v>
      </c>
      <c r="BJ196" s="461">
        <v>25</v>
      </c>
      <c r="BK196" s="461">
        <v>26</v>
      </c>
      <c r="BL196" s="461">
        <v>27</v>
      </c>
      <c r="BM196" s="461">
        <v>28</v>
      </c>
      <c r="BN196" s="461">
        <v>29</v>
      </c>
      <c r="BO196" s="461">
        <v>30</v>
      </c>
      <c r="BP196" s="461">
        <v>31</v>
      </c>
      <c r="BQ196" s="461">
        <v>32</v>
      </c>
      <c r="BR196" s="461">
        <v>33</v>
      </c>
      <c r="BS196" s="461">
        <v>34</v>
      </c>
      <c r="BT196" s="461">
        <v>35</v>
      </c>
      <c r="BU196" s="461">
        <v>36</v>
      </c>
      <c r="BV196" s="461">
        <v>37</v>
      </c>
      <c r="BW196" s="461">
        <v>38</v>
      </c>
      <c r="BX196" s="461">
        <v>39</v>
      </c>
      <c r="BY196" s="461">
        <v>40</v>
      </c>
      <c r="BZ196" s="461">
        <v>41</v>
      </c>
      <c r="CA196" s="461">
        <v>42</v>
      </c>
      <c r="CB196" s="461">
        <v>43</v>
      </c>
      <c r="CC196" s="461">
        <v>44</v>
      </c>
      <c r="CD196" s="461">
        <v>45</v>
      </c>
      <c r="CE196" s="461">
        <v>46</v>
      </c>
      <c r="CF196" s="461">
        <v>47</v>
      </c>
      <c r="CG196" s="461">
        <v>48</v>
      </c>
      <c r="CH196" s="461">
        <v>49</v>
      </c>
      <c r="CI196" s="461">
        <v>50</v>
      </c>
      <c r="CJ196" s="461">
        <v>51</v>
      </c>
      <c r="CK196" s="461">
        <v>52</v>
      </c>
      <c r="CL196" s="461">
        <v>53</v>
      </c>
      <c r="CM196" s="461">
        <v>54</v>
      </c>
      <c r="CN196" s="461">
        <v>55</v>
      </c>
      <c r="CO196" s="461">
        <v>56</v>
      </c>
      <c r="CP196" s="461">
        <v>57</v>
      </c>
      <c r="CQ196" s="461">
        <v>58</v>
      </c>
      <c r="CR196" s="461">
        <v>59</v>
      </c>
      <c r="CS196" s="461">
        <v>60</v>
      </c>
      <c r="CT196" s="461">
        <v>61</v>
      </c>
      <c r="CU196" s="461">
        <v>62</v>
      </c>
      <c r="CV196" s="461">
        <v>63</v>
      </c>
      <c r="CW196" s="461">
        <v>64</v>
      </c>
      <c r="CX196" s="461">
        <v>65</v>
      </c>
      <c r="CY196" s="461">
        <v>66</v>
      </c>
      <c r="CZ196" s="461">
        <v>67</v>
      </c>
      <c r="DA196" s="461">
        <v>68</v>
      </c>
      <c r="DB196" s="461">
        <v>69</v>
      </c>
      <c r="DC196" s="461">
        <v>70</v>
      </c>
      <c r="DD196" s="461">
        <v>71</v>
      </c>
      <c r="DE196" s="461">
        <v>72</v>
      </c>
      <c r="DF196" s="461">
        <v>73</v>
      </c>
      <c r="DG196" s="461">
        <v>74</v>
      </c>
      <c r="DZ196" s="176"/>
      <c r="EA196" s="177"/>
      <c r="FW196" s="176"/>
      <c r="FX196" s="177"/>
      <c r="HK196" s="176"/>
      <c r="HL196" s="177"/>
      <c r="HY196" s="176"/>
      <c r="HZ196" s="177"/>
      <c r="IT196" s="176"/>
      <c r="IU196" s="177"/>
      <c r="JL196" s="176"/>
      <c r="JM196" s="177"/>
    </row>
    <row r="197" spans="23:273" ht="12" customHeight="1">
      <c r="AI197" s="437" t="s">
        <v>319</v>
      </c>
      <c r="AJ197" s="437"/>
      <c r="AK197" s="437"/>
      <c r="AL197" s="1640" t="s">
        <v>0</v>
      </c>
      <c r="AM197" s="1640"/>
      <c r="AN197" s="1640"/>
      <c r="AO197" s="1640"/>
      <c r="AP197" s="1640"/>
      <c r="AQ197" s="1640"/>
      <c r="AR197" s="1640"/>
      <c r="AS197" s="1640"/>
      <c r="AT197" s="1640"/>
      <c r="AU197" s="1640"/>
      <c r="AV197" s="1640"/>
      <c r="AW197" s="1640"/>
      <c r="AX197" s="1638" t="s">
        <v>438</v>
      </c>
      <c r="AY197" s="1638"/>
      <c r="AZ197" s="1638"/>
      <c r="BA197" s="1638"/>
      <c r="BB197" s="1638"/>
      <c r="BC197" s="1638"/>
      <c r="BD197" s="1638"/>
      <c r="BE197" s="1638"/>
      <c r="BF197" s="1641" t="s">
        <v>1</v>
      </c>
      <c r="BG197" s="1641"/>
      <c r="BH197" s="1641"/>
      <c r="BI197" s="1641"/>
      <c r="BJ197" s="1641"/>
      <c r="BK197" s="1641"/>
      <c r="BL197" s="1641"/>
      <c r="BM197" s="1641"/>
      <c r="BN197" s="1641"/>
      <c r="BO197" s="1641"/>
      <c r="BP197" s="1641"/>
      <c r="BQ197" s="1641"/>
      <c r="BR197" s="1641"/>
      <c r="BS197" s="1641"/>
      <c r="BT197" s="1641"/>
      <c r="BU197" s="1641"/>
      <c r="BV197" s="1641"/>
      <c r="BW197" s="1641"/>
      <c r="BX197" s="1639" t="s">
        <v>2</v>
      </c>
      <c r="BY197" s="1639"/>
      <c r="BZ197" s="1639"/>
      <c r="CA197" s="1639"/>
      <c r="CB197" s="438" t="s">
        <v>167</v>
      </c>
      <c r="CC197" s="439" t="s">
        <v>735</v>
      </c>
      <c r="CD197" s="1635" t="s">
        <v>168</v>
      </c>
      <c r="CE197" s="1635"/>
      <c r="CF197" s="1635"/>
      <c r="CG197" s="1635"/>
      <c r="CH197" s="1635"/>
      <c r="CI197" s="1635" t="s">
        <v>168</v>
      </c>
      <c r="CJ197" s="1635"/>
      <c r="CK197" s="1635"/>
      <c r="CL197" s="1635"/>
      <c r="CM197" s="1636" t="s">
        <v>340</v>
      </c>
      <c r="CN197" s="1636"/>
      <c r="CO197" s="1636"/>
      <c r="CP197" s="1636"/>
      <c r="CQ197" s="1636"/>
      <c r="CR197" s="1628" t="s">
        <v>747</v>
      </c>
      <c r="CS197" s="1628"/>
      <c r="CT197" s="1628"/>
      <c r="CU197" s="1628"/>
      <c r="CV197" s="1629" t="s">
        <v>748</v>
      </c>
      <c r="CW197" s="1629"/>
      <c r="CX197" s="1629"/>
      <c r="CY197" s="1629"/>
      <c r="CZ197" s="1629"/>
      <c r="DA197" s="1629"/>
      <c r="DB197" s="1637" t="s">
        <v>169</v>
      </c>
      <c r="DC197" s="1637"/>
      <c r="DD197" s="1637"/>
      <c r="DE197" s="1637"/>
      <c r="DF197" s="1619" t="s">
        <v>546</v>
      </c>
      <c r="DG197" s="1619"/>
    </row>
    <row r="198" spans="23:273" s="1" customFormat="1" ht="12" customHeight="1">
      <c r="W198" s="365"/>
      <c r="X198" s="148"/>
      <c r="AG198" s="365"/>
      <c r="AI198" s="435" t="s">
        <v>351</v>
      </c>
      <c r="AJ198" s="435"/>
      <c r="AK198" s="444"/>
      <c r="AL198" s="424" t="s">
        <v>736</v>
      </c>
      <c r="AM198" s="424" t="s">
        <v>736</v>
      </c>
      <c r="AN198" s="424" t="s">
        <v>736</v>
      </c>
      <c r="AO198" s="424" t="s">
        <v>736</v>
      </c>
      <c r="AP198" s="424" t="s">
        <v>736</v>
      </c>
      <c r="AQ198" s="424" t="s">
        <v>736</v>
      </c>
      <c r="AR198" s="424" t="s">
        <v>736</v>
      </c>
      <c r="AS198" s="424" t="s">
        <v>736</v>
      </c>
      <c r="AT198" s="424" t="s">
        <v>736</v>
      </c>
      <c r="AU198" s="424" t="s">
        <v>736</v>
      </c>
      <c r="AV198" s="424" t="s">
        <v>736</v>
      </c>
      <c r="AW198" s="424" t="s">
        <v>736</v>
      </c>
      <c r="AX198" s="424" t="s">
        <v>736</v>
      </c>
      <c r="AY198" s="424" t="s">
        <v>736</v>
      </c>
      <c r="AZ198" s="424" t="s">
        <v>736</v>
      </c>
      <c r="BA198" s="424" t="s">
        <v>736</v>
      </c>
      <c r="BB198" s="424" t="s">
        <v>736</v>
      </c>
      <c r="BC198" s="424" t="s">
        <v>736</v>
      </c>
      <c r="BD198" s="424" t="s">
        <v>736</v>
      </c>
      <c r="BE198" s="424" t="s">
        <v>736</v>
      </c>
      <c r="BF198" s="424" t="s">
        <v>737</v>
      </c>
      <c r="BG198" s="424" t="s">
        <v>737</v>
      </c>
      <c r="BH198" s="424" t="s">
        <v>737</v>
      </c>
      <c r="BI198" s="424" t="s">
        <v>737</v>
      </c>
      <c r="BJ198" s="424" t="s">
        <v>737</v>
      </c>
      <c r="BK198" s="424" t="s">
        <v>737</v>
      </c>
      <c r="BL198" s="424" t="s">
        <v>737</v>
      </c>
      <c r="BM198" s="424" t="s">
        <v>737</v>
      </c>
      <c r="BN198" s="424" t="s">
        <v>737</v>
      </c>
      <c r="BO198" s="424" t="s">
        <v>737</v>
      </c>
      <c r="BP198" s="424" t="s">
        <v>737</v>
      </c>
      <c r="BQ198" s="424" t="s">
        <v>737</v>
      </c>
      <c r="BR198" s="424" t="s">
        <v>737</v>
      </c>
      <c r="BS198" s="424" t="s">
        <v>737</v>
      </c>
      <c r="BT198" s="424" t="s">
        <v>733</v>
      </c>
      <c r="BU198" s="424" t="s">
        <v>732</v>
      </c>
      <c r="BV198" s="424" t="s">
        <v>743</v>
      </c>
      <c r="BW198" s="424" t="s">
        <v>743</v>
      </c>
      <c r="BX198" s="424" t="s">
        <v>732</v>
      </c>
      <c r="BY198" s="424" t="s">
        <v>732</v>
      </c>
      <c r="BZ198" s="424" t="s">
        <v>732</v>
      </c>
      <c r="CA198" s="424" t="s">
        <v>732</v>
      </c>
      <c r="CB198" s="424" t="s">
        <v>734</v>
      </c>
      <c r="CC198" s="424" t="s">
        <v>734</v>
      </c>
      <c r="CD198" s="1624" t="s">
        <v>704</v>
      </c>
      <c r="CE198" s="1624"/>
      <c r="CF198" s="1624"/>
      <c r="CG198" s="1624"/>
      <c r="CH198" s="1624"/>
      <c r="CI198" s="1624" t="s">
        <v>709</v>
      </c>
      <c r="CJ198" s="1624"/>
      <c r="CK198" s="1624"/>
      <c r="CL198" s="1624"/>
      <c r="CM198" s="1625" t="s">
        <v>703</v>
      </c>
      <c r="CN198" s="1625"/>
      <c r="CO198" s="1625"/>
      <c r="CP198" s="1625" t="s">
        <v>710</v>
      </c>
      <c r="CQ198" s="1625"/>
      <c r="CR198" s="450" t="s">
        <v>350</v>
      </c>
      <c r="CS198" s="450" t="s">
        <v>348</v>
      </c>
      <c r="CT198" s="450"/>
      <c r="CU198" s="450"/>
      <c r="CV198" s="450"/>
      <c r="CW198" s="450"/>
      <c r="CX198" s="450"/>
      <c r="CY198" s="450"/>
      <c r="CZ198" s="450"/>
      <c r="DA198" s="450"/>
      <c r="DB198" s="1624" t="s">
        <v>711</v>
      </c>
      <c r="DC198" s="1624"/>
      <c r="DD198" s="1624"/>
      <c r="DE198" s="1624"/>
      <c r="DF198" s="425" t="s">
        <v>516</v>
      </c>
      <c r="DG198" s="425" t="s">
        <v>712</v>
      </c>
      <c r="DZ198" s="365"/>
      <c r="EA198" s="148"/>
      <c r="FW198" s="365"/>
      <c r="FX198" s="148"/>
      <c r="HK198" s="365"/>
      <c r="HL198" s="148"/>
      <c r="HY198" s="365"/>
      <c r="HZ198" s="148"/>
      <c r="IT198" s="365"/>
      <c r="IU198" s="148"/>
      <c r="JL198" s="365"/>
      <c r="JM198" s="148"/>
    </row>
    <row r="199" spans="23:273" s="1" customFormat="1" ht="12" customHeight="1">
      <c r="W199" s="365"/>
      <c r="X199" s="148"/>
      <c r="AG199" s="365"/>
      <c r="AI199" s="437" t="s">
        <v>113</v>
      </c>
      <c r="AJ199" s="437"/>
      <c r="AK199" s="440">
        <f>ROW()</f>
        <v>199</v>
      </c>
      <c r="AL199" s="440" t="str">
        <f>Y114</f>
        <v>C14</v>
      </c>
      <c r="AM199" s="440" t="str">
        <f>Y115</f>
        <v>C16</v>
      </c>
      <c r="AN199" s="440" t="str">
        <f>Y116</f>
        <v>C18</v>
      </c>
      <c r="AO199" s="440" t="str">
        <f>Y117</f>
        <v>C20</v>
      </c>
      <c r="AP199" s="440" t="str">
        <f>Y118</f>
        <v>C22</v>
      </c>
      <c r="AQ199" s="440" t="str">
        <f>Y119</f>
        <v>C24</v>
      </c>
      <c r="AR199" s="440" t="str">
        <f>Y120</f>
        <v>C27</v>
      </c>
      <c r="AS199" s="440" t="str">
        <f>Y121</f>
        <v>C30</v>
      </c>
      <c r="AT199" s="440" t="str">
        <f>Y122</f>
        <v>C35</v>
      </c>
      <c r="AU199" s="440" t="str">
        <f>Y123</f>
        <v>C40</v>
      </c>
      <c r="AV199" s="440" t="str">
        <f>Y124</f>
        <v>C45</v>
      </c>
      <c r="AW199" s="440" t="str">
        <f>Y125</f>
        <v>C50</v>
      </c>
      <c r="AX199" s="440" t="str">
        <f>Y126</f>
        <v>D18</v>
      </c>
      <c r="AY199" s="440" t="str">
        <f>Y127</f>
        <v>D24</v>
      </c>
      <c r="AZ199" s="440" t="str">
        <f>Y128</f>
        <v>D30 Eiche/Ahorn</v>
      </c>
      <c r="BA199" s="440" t="str">
        <f>Y129</f>
        <v>D35 Buche</v>
      </c>
      <c r="BB199" s="440" t="str">
        <f>Y130</f>
        <v>D40 Buche/Esche</v>
      </c>
      <c r="BC199" s="440" t="str">
        <f>Y131</f>
        <v>D50</v>
      </c>
      <c r="BD199" s="440" t="str">
        <f>Y132</f>
        <v>D60</v>
      </c>
      <c r="BE199" s="440" t="str">
        <f>Y133</f>
        <v>D70</v>
      </c>
      <c r="BF199" s="440" t="str">
        <f>Y134</f>
        <v>GL20c</v>
      </c>
      <c r="BG199" s="440" t="str">
        <f>Y135</f>
        <v>GL20h</v>
      </c>
      <c r="BH199" s="440" t="str">
        <f>Y136</f>
        <v>GL22c</v>
      </c>
      <c r="BI199" s="440" t="str">
        <f>Y137</f>
        <v>GL22h</v>
      </c>
      <c r="BJ199" s="440" t="str">
        <f>Y138</f>
        <v>GL24c</v>
      </c>
      <c r="BK199" s="440" t="str">
        <f>Y139</f>
        <v>GL24h</v>
      </c>
      <c r="BL199" s="440" t="str">
        <f>Y140</f>
        <v>GL26c</v>
      </c>
      <c r="BM199" s="440" t="str">
        <f>Y141</f>
        <v>GL26h</v>
      </c>
      <c r="BN199" s="440" t="str">
        <f>Y142</f>
        <v>GL28c</v>
      </c>
      <c r="BO199" s="440" t="str">
        <f>Y143</f>
        <v>GL28h</v>
      </c>
      <c r="BP199" s="440" t="str">
        <f>Y144</f>
        <v>GL30c</v>
      </c>
      <c r="BQ199" s="440" t="str">
        <f>Y145</f>
        <v>GL30h</v>
      </c>
      <c r="BR199" s="440" t="str">
        <f>Y146</f>
        <v>GL32c</v>
      </c>
      <c r="BS199" s="440" t="str">
        <f>Y147</f>
        <v>GL32h</v>
      </c>
      <c r="BT199" s="440" t="s">
        <v>724</v>
      </c>
      <c r="BU199" s="440" t="s">
        <v>725</v>
      </c>
      <c r="BV199" s="440" t="str">
        <f>Y150</f>
        <v>GL36c</v>
      </c>
      <c r="BW199" s="440" t="str">
        <f>Y151</f>
        <v>GL36h</v>
      </c>
      <c r="BX199" s="440" t="str">
        <f>Y152</f>
        <v>GL40c</v>
      </c>
      <c r="BY199" s="440" t="str">
        <f>Y153</f>
        <v>GL40h</v>
      </c>
      <c r="BZ199" s="440" t="str">
        <f>Y154</f>
        <v>GL48c</v>
      </c>
      <c r="CA199" s="440" t="str">
        <f>Y155</f>
        <v>GL48h</v>
      </c>
      <c r="CB199" s="440" t="str">
        <f>Y156</f>
        <v>nicht wirksam</v>
      </c>
      <c r="CC199" s="440" t="str">
        <f>Y157</f>
        <v>DSP</v>
      </c>
      <c r="CD199" s="440" t="str">
        <f>Y158</f>
        <v>Kerto S</v>
      </c>
      <c r="CE199" s="440" t="str">
        <f>Y159</f>
        <v>Kerto Q</v>
      </c>
      <c r="CF199" s="440" t="str">
        <f>Y159</f>
        <v>Kerto Q</v>
      </c>
      <c r="CG199" s="440" t="str">
        <f>Y160</f>
        <v>Kerto QP</v>
      </c>
      <c r="CH199" s="440" t="str">
        <f>Y160</f>
        <v>Kerto QP</v>
      </c>
      <c r="CI199" s="440" t="str">
        <f>Y161</f>
        <v>Ultralam-R / Steico-LVL R</v>
      </c>
      <c r="CJ199" s="440" t="str">
        <f>Y162</f>
        <v>Ultralam-R-S / Steico-LVL RS</v>
      </c>
      <c r="CK199" s="440" t="str">
        <f>Y163</f>
        <v>Ultralam-X / Steico-LVL X</v>
      </c>
      <c r="CL199" s="440" t="str">
        <f>Y163</f>
        <v>Ultralam-X / Steico-LVL X</v>
      </c>
      <c r="CM199" s="440" t="str">
        <f>Y164</f>
        <v>BauBuche S-Platte</v>
      </c>
      <c r="CN199" s="440" t="str">
        <f>Y165</f>
        <v>BauBuche Q-Platte</v>
      </c>
      <c r="CO199" s="440" t="str">
        <f>Y166</f>
        <v>BauBuche Q-Platte</v>
      </c>
      <c r="CP199" s="440" t="str">
        <f>Y167</f>
        <v>BauBuche GL70 - NKL1</v>
      </c>
      <c r="CQ199" s="440" t="str">
        <f>Y168</f>
        <v>BauBuche GL70 - NKL2</v>
      </c>
      <c r="CR199" s="440" t="s">
        <v>137</v>
      </c>
      <c r="CS199" s="440" t="s">
        <v>746</v>
      </c>
      <c r="CT199" s="440" t="s">
        <v>746</v>
      </c>
      <c r="CU199" s="440" t="s">
        <v>746</v>
      </c>
      <c r="CV199" s="440" t="s">
        <v>138</v>
      </c>
      <c r="CW199" s="440" t="s">
        <v>746</v>
      </c>
      <c r="CX199" s="440" t="s">
        <v>746</v>
      </c>
      <c r="CY199" s="440" t="s">
        <v>746</v>
      </c>
      <c r="CZ199" s="440" t="s">
        <v>746</v>
      </c>
      <c r="DA199" s="440" t="s">
        <v>746</v>
      </c>
      <c r="DB199" s="440" t="str">
        <f>Y179</f>
        <v>OSB/3</v>
      </c>
      <c r="DC199" s="440" t="str">
        <f>Y179</f>
        <v>OSB/3</v>
      </c>
      <c r="DD199" s="440" t="str">
        <f>Y180</f>
        <v>OSB/4</v>
      </c>
      <c r="DE199" s="440" t="str">
        <f>Y180</f>
        <v>OSB/4</v>
      </c>
      <c r="DF199" s="440" t="s">
        <v>514</v>
      </c>
      <c r="DG199" s="440" t="s">
        <v>515</v>
      </c>
      <c r="DH199" s="148"/>
      <c r="DI199" s="148"/>
      <c r="DJ199" s="148"/>
      <c r="DK199" s="148"/>
      <c r="DL199" s="148"/>
      <c r="DM199" s="148"/>
      <c r="DN199" s="148"/>
      <c r="DO199" s="148"/>
      <c r="DP199" s="148"/>
      <c r="DQ199" s="148"/>
      <c r="DR199" s="148"/>
      <c r="DS199" s="148"/>
      <c r="DT199" s="148"/>
      <c r="DU199" s="148"/>
      <c r="DV199" s="148"/>
      <c r="DW199" s="148"/>
      <c r="DX199" s="148"/>
      <c r="DY199" s="148"/>
      <c r="DZ199" s="365"/>
      <c r="EA199" s="148"/>
      <c r="FW199" s="365"/>
      <c r="FX199" s="148"/>
      <c r="HK199" s="365"/>
      <c r="HL199" s="148"/>
      <c r="HY199" s="365"/>
      <c r="HZ199" s="148"/>
      <c r="IT199" s="365"/>
      <c r="IU199" s="148"/>
      <c r="JL199" s="365"/>
      <c r="JM199" s="148"/>
    </row>
    <row r="200" spans="23:273" ht="12" customHeight="1">
      <c r="AH200" s="4"/>
      <c r="AI200" s="283" t="s">
        <v>115</v>
      </c>
      <c r="AJ200" s="283"/>
      <c r="AK200" s="286">
        <f>ROW()</f>
        <v>200</v>
      </c>
      <c r="AL200" s="286" t="str">
        <f>AA114</f>
        <v>Nadel - Schnittholz</v>
      </c>
      <c r="AM200" s="286" t="str">
        <f>AA115</f>
        <v>Nadel - Schnittholz</v>
      </c>
      <c r="AN200" s="286" t="str">
        <f>AA116</f>
        <v>Nadel - Schnittholz</v>
      </c>
      <c r="AO200" s="286" t="str">
        <f>AA117</f>
        <v>Nadel - Schnittholz</v>
      </c>
      <c r="AP200" s="286" t="str">
        <f>AA118</f>
        <v>Nadel - Schnittholz</v>
      </c>
      <c r="AQ200" s="286" t="str">
        <f>AA119</f>
        <v>Nadel - Schnittholz</v>
      </c>
      <c r="AR200" s="286" t="str">
        <f>AA120</f>
        <v>Nadel - Schnittholz</v>
      </c>
      <c r="AS200" s="286" t="str">
        <f>AA121</f>
        <v>Nadel - Schnittholz</v>
      </c>
      <c r="AT200" s="286" t="str">
        <f>AA122</f>
        <v>Nadel - Schnittholz</v>
      </c>
      <c r="AU200" s="286" t="str">
        <f>AA123</f>
        <v>Nadel - Schnittholz</v>
      </c>
      <c r="AV200" s="286" t="str">
        <f>AA124</f>
        <v>Nadel - Schnittholz</v>
      </c>
      <c r="AW200" s="286" t="str">
        <f>AA125</f>
        <v>Nadel - Schnittholz</v>
      </c>
      <c r="AX200" s="286" t="str">
        <f>AA126</f>
        <v>Laub - Schnittholz</v>
      </c>
      <c r="AY200" s="286" t="str">
        <f>AA127</f>
        <v>Laub - Schnittholz</v>
      </c>
      <c r="AZ200" s="286" t="str">
        <f>AA128</f>
        <v>Laub - Schnittholz</v>
      </c>
      <c r="BA200" s="286" t="str">
        <f>AA129</f>
        <v>Laub - Schnittholz</v>
      </c>
      <c r="BB200" s="286" t="str">
        <f>AA130</f>
        <v>Laub - Schnittholz</v>
      </c>
      <c r="BC200" s="286" t="str">
        <f>AA131</f>
        <v>Laub - Schnittholz</v>
      </c>
      <c r="BD200" s="286" t="str">
        <f>AA132</f>
        <v>Laub - Schnittholz</v>
      </c>
      <c r="BE200" s="286" t="str">
        <f>AA133</f>
        <v>Laub - Schnittholz</v>
      </c>
      <c r="BF200" s="286" t="str">
        <f>AA134</f>
        <v>Nadel - Brettschichtholz</v>
      </c>
      <c r="BG200" s="286" t="str">
        <f>AA135</f>
        <v>Nadel - Brettschichtholz</v>
      </c>
      <c r="BH200" s="286" t="str">
        <f>AA136</f>
        <v>Nadel - Brettschichtholz</v>
      </c>
      <c r="BI200" s="286" t="str">
        <f>AA137</f>
        <v>Nadel - Brettschichtholz</v>
      </c>
      <c r="BJ200" s="286" t="str">
        <f>AA138</f>
        <v>Nadel - Brettschichtholz</v>
      </c>
      <c r="BK200" s="286" t="str">
        <f>AA139</f>
        <v>Nadel - Brettschichtholz</v>
      </c>
      <c r="BL200" s="286" t="str">
        <f>AA140</f>
        <v>Nadel - Brettschichtholz</v>
      </c>
      <c r="BM200" s="286" t="str">
        <f>AA141</f>
        <v>Nadel - Brettschichtholz</v>
      </c>
      <c r="BN200" s="286" t="str">
        <f>AA142</f>
        <v>Nadel - Brettschichtholz</v>
      </c>
      <c r="BO200" s="286" t="str">
        <f>AA143</f>
        <v>Nadel - Brettschichtholz</v>
      </c>
      <c r="BP200" s="286" t="str">
        <f>AA144</f>
        <v>Nadel - Brettschichtholz</v>
      </c>
      <c r="BQ200" s="286" t="str">
        <f>AA145</f>
        <v>Nadel - Brettschichtholz</v>
      </c>
      <c r="BR200" s="286" t="str">
        <f>AA146</f>
        <v>Nadel - Brettschichtholz</v>
      </c>
      <c r="BS200" s="286" t="str">
        <f>AA147</f>
        <v>Nadel - Brettschichtholz</v>
      </c>
      <c r="BT200" s="286"/>
      <c r="BU200" s="286"/>
      <c r="BV200" s="286" t="str">
        <f>AA150</f>
        <v>Nadel - Brettschichtholz</v>
      </c>
      <c r="BW200" s="286" t="str">
        <f>AA151</f>
        <v>Nadel - Brettschichtholz</v>
      </c>
      <c r="BX200" s="286" t="str">
        <f>AA152</f>
        <v>Laub - Brettschichtholz</v>
      </c>
      <c r="BY200" s="286" t="str">
        <f>AA153</f>
        <v>Laub - Brettschichtholz</v>
      </c>
      <c r="BZ200" s="286" t="str">
        <f>AA154</f>
        <v>Laub - Brettschichtholz</v>
      </c>
      <c r="CA200" s="286" t="str">
        <f>AA155</f>
        <v>Laub - Brettschichtholz</v>
      </c>
      <c r="CB200" s="286" t="str">
        <f>AA156</f>
        <v>nicht tragend</v>
      </c>
      <c r="CC200" s="286" t="str">
        <f>AA157</f>
        <v>Brettsperrholz</v>
      </c>
      <c r="CD200" s="286" t="str">
        <f>AA158</f>
        <v>Nadel - Furnierschichtholz</v>
      </c>
      <c r="CE200" s="286" t="str">
        <f>AA159</f>
        <v>Nadel - Furnierschichtholz</v>
      </c>
      <c r="CF200" s="286" t="str">
        <f>AA159</f>
        <v>Nadel - Furnierschichtholz</v>
      </c>
      <c r="CG200" s="286" t="str">
        <f>AA160</f>
        <v>Nadel - Furnierschichtholz</v>
      </c>
      <c r="CH200" s="286" t="str">
        <f>AA160</f>
        <v>Nadel - Furnierschichtholz</v>
      </c>
      <c r="CI200" s="286" t="str">
        <f>AA161</f>
        <v>Nadel - Furnierschichtholz</v>
      </c>
      <c r="CJ200" s="286" t="str">
        <f>AA162</f>
        <v>Nadel - Furnierschichtholz</v>
      </c>
      <c r="CK200" s="286" t="str">
        <f>AA163</f>
        <v>Nadel - Furnierschichtholz</v>
      </c>
      <c r="CL200" s="286" t="str">
        <f>AA163</f>
        <v>Nadel - Furnierschichtholz</v>
      </c>
      <c r="CM200" s="286" t="str">
        <f>AA164</f>
        <v>Laub - Furnierschichtholz</v>
      </c>
      <c r="CN200" s="286" t="str">
        <f>AA165</f>
        <v>Laub - Furnierschichtholz</v>
      </c>
      <c r="CO200" s="286" t="str">
        <f>AA166</f>
        <v>Laub - Furnierschichtholz</v>
      </c>
      <c r="CP200" s="286" t="str">
        <f>AA167</f>
        <v>Laub - Furnierschichtholz</v>
      </c>
      <c r="CQ200" s="286" t="str">
        <f>AA168</f>
        <v>Laub - Furnierschichtholz</v>
      </c>
      <c r="CR200" s="286" t="s">
        <v>124</v>
      </c>
      <c r="CS200" s="286" t="s">
        <v>124</v>
      </c>
      <c r="CT200" s="286" t="s">
        <v>124</v>
      </c>
      <c r="CU200" s="286" t="s">
        <v>124</v>
      </c>
      <c r="CV200" s="286" t="s">
        <v>125</v>
      </c>
      <c r="CW200" s="286" t="s">
        <v>125</v>
      </c>
      <c r="CX200" s="286" t="s">
        <v>125</v>
      </c>
      <c r="CY200" s="286" t="s">
        <v>125</v>
      </c>
      <c r="CZ200" s="286" t="s">
        <v>125</v>
      </c>
      <c r="DA200" s="286" t="s">
        <v>125</v>
      </c>
      <c r="DB200" s="286" t="str">
        <f>AA179</f>
        <v>OSB/3</v>
      </c>
      <c r="DC200" s="286" t="str">
        <f>AA179</f>
        <v>OSB/3</v>
      </c>
      <c r="DD200" s="286" t="str">
        <f>AA180</f>
        <v>OSB/4</v>
      </c>
      <c r="DE200" s="286" t="str">
        <f>AA180</f>
        <v>OSB/4</v>
      </c>
      <c r="DF200" s="286" t="str">
        <f>AA181</f>
        <v>Gipsfaserplatten</v>
      </c>
      <c r="DG200" s="286" t="str">
        <f>AA182</f>
        <v>Gipsfaserplatten</v>
      </c>
      <c r="DH200" s="3"/>
      <c r="DI200" s="3"/>
      <c r="DJ200" s="3"/>
      <c r="DK200" s="3"/>
      <c r="DL200" s="3"/>
      <c r="DM200" s="3"/>
      <c r="DN200" s="3"/>
      <c r="DO200" s="3"/>
      <c r="DP200" s="3"/>
      <c r="DQ200" s="3"/>
      <c r="DR200" s="3"/>
      <c r="DS200" s="3"/>
      <c r="DT200" s="3"/>
      <c r="DU200" s="3"/>
      <c r="DV200" s="3"/>
      <c r="DW200" s="3"/>
      <c r="DX200" s="3"/>
      <c r="DY200" s="3"/>
    </row>
    <row r="201" spans="23:273" ht="12" customHeight="1">
      <c r="AH201" s="4"/>
      <c r="AI201" s="283" t="s">
        <v>354</v>
      </c>
      <c r="AJ201" s="283"/>
      <c r="AK201" s="286">
        <f>ROW()</f>
        <v>201</v>
      </c>
      <c r="AL201" s="441" t="s">
        <v>352</v>
      </c>
      <c r="AM201" s="441" t="s">
        <v>352</v>
      </c>
      <c r="AN201" s="441" t="s">
        <v>352</v>
      </c>
      <c r="AO201" s="441" t="s">
        <v>352</v>
      </c>
      <c r="AP201" s="441" t="s">
        <v>352</v>
      </c>
      <c r="AQ201" s="441" t="s">
        <v>352</v>
      </c>
      <c r="AR201" s="441" t="s">
        <v>352</v>
      </c>
      <c r="AS201" s="441" t="s">
        <v>352</v>
      </c>
      <c r="AT201" s="441" t="s">
        <v>352</v>
      </c>
      <c r="AU201" s="441" t="s">
        <v>352</v>
      </c>
      <c r="AV201" s="441" t="s">
        <v>352</v>
      </c>
      <c r="AW201" s="441" t="s">
        <v>352</v>
      </c>
      <c r="AX201" s="441" t="s">
        <v>352</v>
      </c>
      <c r="AY201" s="441" t="s">
        <v>352</v>
      </c>
      <c r="AZ201" s="441" t="s">
        <v>352</v>
      </c>
      <c r="BA201" s="441" t="s">
        <v>352</v>
      </c>
      <c r="BB201" s="441" t="s">
        <v>352</v>
      </c>
      <c r="BC201" s="441" t="s">
        <v>352</v>
      </c>
      <c r="BD201" s="441" t="s">
        <v>352</v>
      </c>
      <c r="BE201" s="441" t="s">
        <v>352</v>
      </c>
      <c r="BF201" s="441" t="s">
        <v>352</v>
      </c>
      <c r="BG201" s="441" t="s">
        <v>352</v>
      </c>
      <c r="BH201" s="441" t="s">
        <v>352</v>
      </c>
      <c r="BI201" s="441" t="s">
        <v>352</v>
      </c>
      <c r="BJ201" s="441" t="s">
        <v>352</v>
      </c>
      <c r="BK201" s="441" t="s">
        <v>352</v>
      </c>
      <c r="BL201" s="441" t="s">
        <v>352</v>
      </c>
      <c r="BM201" s="441" t="s">
        <v>352</v>
      </c>
      <c r="BN201" s="441" t="s">
        <v>352</v>
      </c>
      <c r="BO201" s="441" t="s">
        <v>352</v>
      </c>
      <c r="BP201" s="441" t="s">
        <v>352</v>
      </c>
      <c r="BQ201" s="441" t="s">
        <v>352</v>
      </c>
      <c r="BR201" s="441" t="s">
        <v>352</v>
      </c>
      <c r="BS201" s="441" t="s">
        <v>352</v>
      </c>
      <c r="BT201" s="441"/>
      <c r="BU201" s="441"/>
      <c r="BV201" s="441" t="s">
        <v>352</v>
      </c>
      <c r="BW201" s="441" t="s">
        <v>352</v>
      </c>
      <c r="BX201" s="441" t="s">
        <v>352</v>
      </c>
      <c r="BY201" s="441" t="s">
        <v>352</v>
      </c>
      <c r="BZ201" s="441" t="s">
        <v>352</v>
      </c>
      <c r="CA201" s="441" t="s">
        <v>352</v>
      </c>
      <c r="CB201" s="441" t="s">
        <v>352</v>
      </c>
      <c r="CC201" s="441" t="s">
        <v>352</v>
      </c>
      <c r="CD201" s="441" t="s">
        <v>352</v>
      </c>
      <c r="CE201" s="441" t="s">
        <v>321</v>
      </c>
      <c r="CF201" s="441" t="s">
        <v>705</v>
      </c>
      <c r="CG201" s="441" t="s">
        <v>716</v>
      </c>
      <c r="CH201" s="441" t="s">
        <v>717</v>
      </c>
      <c r="CI201" s="441" t="s">
        <v>741</v>
      </c>
      <c r="CJ201" s="441" t="s">
        <v>741</v>
      </c>
      <c r="CK201" s="441" t="s">
        <v>322</v>
      </c>
      <c r="CL201" s="441" t="s">
        <v>323</v>
      </c>
      <c r="CM201" s="441" t="s">
        <v>701</v>
      </c>
      <c r="CN201" s="441">
        <v>20</v>
      </c>
      <c r="CO201" s="441" t="s">
        <v>702</v>
      </c>
      <c r="CP201" s="441" t="s">
        <v>352</v>
      </c>
      <c r="CQ201" s="441" t="s">
        <v>352</v>
      </c>
      <c r="CR201" s="441" t="s">
        <v>352</v>
      </c>
      <c r="CS201" s="441" t="s">
        <v>352</v>
      </c>
      <c r="CT201" s="441" t="s">
        <v>352</v>
      </c>
      <c r="CU201" s="441" t="s">
        <v>352</v>
      </c>
      <c r="CV201" s="441" t="s">
        <v>352</v>
      </c>
      <c r="CW201" s="441" t="s">
        <v>352</v>
      </c>
      <c r="CX201" s="441" t="s">
        <v>352</v>
      </c>
      <c r="CY201" s="441" t="s">
        <v>352</v>
      </c>
      <c r="CZ201" s="441" t="s">
        <v>352</v>
      </c>
      <c r="DA201" s="441" t="s">
        <v>352</v>
      </c>
      <c r="DB201" s="441" t="s">
        <v>324</v>
      </c>
      <c r="DC201" s="441" t="s">
        <v>325</v>
      </c>
      <c r="DD201" s="441" t="s">
        <v>324</v>
      </c>
      <c r="DE201" s="441" t="s">
        <v>325</v>
      </c>
      <c r="DF201" s="441" t="s">
        <v>352</v>
      </c>
      <c r="DG201" s="441" t="s">
        <v>352</v>
      </c>
      <c r="DH201" s="3"/>
      <c r="DI201" s="3"/>
      <c r="DJ201" s="3"/>
      <c r="DK201" s="3"/>
      <c r="DL201" s="3"/>
      <c r="DM201" s="3"/>
      <c r="DN201" s="3"/>
      <c r="DO201" s="3"/>
      <c r="DP201" s="3"/>
      <c r="DQ201" s="3"/>
      <c r="DR201" s="3"/>
      <c r="DS201" s="3"/>
      <c r="DT201" s="3"/>
      <c r="DU201" s="3"/>
      <c r="DV201" s="3"/>
      <c r="DW201" s="3"/>
      <c r="DX201" s="3"/>
      <c r="DY201" s="3"/>
    </row>
    <row r="202" spans="23:273" ht="12" customHeight="1">
      <c r="AH202" s="4"/>
      <c r="AI202" s="283" t="s">
        <v>356</v>
      </c>
      <c r="AJ202" s="283"/>
      <c r="AK202" s="286">
        <f>ROW()</f>
        <v>202</v>
      </c>
      <c r="AL202" s="286">
        <f>VALUE(Z114&amp;1)</f>
        <v>1141</v>
      </c>
      <c r="AM202" s="286">
        <f>VALUE(Z115&amp;1)</f>
        <v>1151</v>
      </c>
      <c r="AN202" s="286">
        <f>VALUE(Z116&amp;1)</f>
        <v>1161</v>
      </c>
      <c r="AO202" s="286">
        <f>VALUE(Z117&amp;1)</f>
        <v>1171</v>
      </c>
      <c r="AP202" s="286">
        <f>VALUE(Z118&amp;1)</f>
        <v>1181</v>
      </c>
      <c r="AQ202" s="286">
        <f>VALUE(Z119&amp;1)</f>
        <v>1191</v>
      </c>
      <c r="AR202" s="286">
        <f>VALUE(Z120&amp;1)</f>
        <v>1201</v>
      </c>
      <c r="AS202" s="286">
        <f>VALUE(Z121&amp;1)</f>
        <v>1211</v>
      </c>
      <c r="AT202" s="286">
        <f>VALUE(Z122&amp;1)</f>
        <v>1221</v>
      </c>
      <c r="AU202" s="286">
        <f>VALUE(Z123&amp;1)</f>
        <v>1231</v>
      </c>
      <c r="AV202" s="286">
        <f>VALUE(Z124&amp;1)</f>
        <v>1241</v>
      </c>
      <c r="AW202" s="286">
        <f>VALUE(Z125&amp;1)</f>
        <v>1251</v>
      </c>
      <c r="AX202" s="286">
        <f>VALUE(Z126&amp;1)</f>
        <v>1261</v>
      </c>
      <c r="AY202" s="286">
        <f>VALUE(Z127&amp;1)</f>
        <v>1271</v>
      </c>
      <c r="AZ202" s="286">
        <f>VALUE(Z128&amp;1)</f>
        <v>1281</v>
      </c>
      <c r="BA202" s="286">
        <f>VALUE(Z129&amp;1)</f>
        <v>1291</v>
      </c>
      <c r="BB202" s="286">
        <f>VALUE(Z130&amp;1)</f>
        <v>1301</v>
      </c>
      <c r="BC202" s="286">
        <f>VALUE(Z131&amp;1)</f>
        <v>1311</v>
      </c>
      <c r="BD202" s="286">
        <f>VALUE(Z132&amp;1)</f>
        <v>1321</v>
      </c>
      <c r="BE202" s="286">
        <f>VALUE(Z133&amp;1)</f>
        <v>1331</v>
      </c>
      <c r="BF202" s="286">
        <f>VALUE(Z134&amp;1)</f>
        <v>1341</v>
      </c>
      <c r="BG202" s="286">
        <f>VALUE(Z135&amp;1)</f>
        <v>1351</v>
      </c>
      <c r="BH202" s="286">
        <f>VALUE(Z136&amp;1)</f>
        <v>1361</v>
      </c>
      <c r="BI202" s="286">
        <f>VALUE(Z137&amp;1)</f>
        <v>1371</v>
      </c>
      <c r="BJ202" s="286">
        <f>VALUE(Z138&amp;1)</f>
        <v>1381</v>
      </c>
      <c r="BK202" s="286">
        <f>VALUE(Z139&amp;1)</f>
        <v>1391</v>
      </c>
      <c r="BL202" s="286">
        <f>VALUE(Z140&amp;1)</f>
        <v>1401</v>
      </c>
      <c r="BM202" s="286">
        <f>VALUE(Z141&amp;1)</f>
        <v>1411</v>
      </c>
      <c r="BN202" s="286">
        <f>VALUE(Z142&amp;1)</f>
        <v>1421</v>
      </c>
      <c r="BO202" s="286">
        <f>VALUE(Z143&amp;1)</f>
        <v>1431</v>
      </c>
      <c r="BP202" s="286">
        <f>VALUE(Z144&amp;1)</f>
        <v>1441</v>
      </c>
      <c r="BQ202" s="286">
        <f>VALUE(Z145&amp;1)</f>
        <v>1451</v>
      </c>
      <c r="BR202" s="286">
        <f>VALUE(Z146&amp;1)</f>
        <v>1461</v>
      </c>
      <c r="BS202" s="286">
        <f>VALUE(Z147&amp;1)</f>
        <v>1471</v>
      </c>
      <c r="BT202" s="286"/>
      <c r="BU202" s="286"/>
      <c r="BV202" s="286">
        <f>VALUE(Z150&amp;1)</f>
        <v>1501</v>
      </c>
      <c r="BW202" s="286">
        <f>VALUE(Z151&amp;1)</f>
        <v>1511</v>
      </c>
      <c r="BX202" s="286">
        <f>VALUE(Z152&amp;1)</f>
        <v>1521</v>
      </c>
      <c r="BY202" s="286">
        <f>VALUE(Z153&amp;1)</f>
        <v>1531</v>
      </c>
      <c r="BZ202" s="286">
        <f>VALUE(Z154&amp;1)</f>
        <v>1541</v>
      </c>
      <c r="CA202" s="286">
        <f>VALUE(Z155&amp;1)</f>
        <v>1551</v>
      </c>
      <c r="CB202" s="286">
        <f>VALUE(Z156&amp;1)</f>
        <v>1561</v>
      </c>
      <c r="CC202" s="286">
        <f>VALUE(Z157&amp;1)</f>
        <v>1571</v>
      </c>
      <c r="CD202" s="286">
        <f>VALUE(Z158&amp;1)</f>
        <v>1581</v>
      </c>
      <c r="CE202" s="286">
        <f>VALUE(Z159&amp;1)</f>
        <v>1591</v>
      </c>
      <c r="CF202" s="286">
        <f>VALUE(Z159&amp;2)</f>
        <v>1592</v>
      </c>
      <c r="CG202" s="286">
        <f>VALUE(Z160&amp;1)</f>
        <v>1601</v>
      </c>
      <c r="CH202" s="286">
        <f>VALUE(Z160&amp;2)</f>
        <v>1602</v>
      </c>
      <c r="CI202" s="286">
        <f>VALUE(Z161&amp;1)</f>
        <v>1611</v>
      </c>
      <c r="CJ202" s="286">
        <f>VALUE(Z162&amp;1)</f>
        <v>1621</v>
      </c>
      <c r="CK202" s="286">
        <f>VALUE(Z163&amp;1)</f>
        <v>1631</v>
      </c>
      <c r="CL202" s="286">
        <f>VALUE(Z163&amp;2)</f>
        <v>1632</v>
      </c>
      <c r="CM202" s="286">
        <f>VALUE(Z164&amp;1)</f>
        <v>1641</v>
      </c>
      <c r="CN202" s="286">
        <f>VALUE(Z165&amp;1)</f>
        <v>1651</v>
      </c>
      <c r="CO202" s="286">
        <f>VALUE(Z166&amp;1)</f>
        <v>1661</v>
      </c>
      <c r="CP202" s="286">
        <f>VALUE(Z167&amp;1)</f>
        <v>1671</v>
      </c>
      <c r="CQ202" s="286">
        <f>VALUE(Z168&amp;1)</f>
        <v>1681</v>
      </c>
      <c r="CR202" s="286">
        <v>1691</v>
      </c>
      <c r="CS202" s="286">
        <v>1701</v>
      </c>
      <c r="CT202" s="286">
        <v>1711</v>
      </c>
      <c r="CU202" s="286">
        <v>1721</v>
      </c>
      <c r="CV202" s="286">
        <v>1731</v>
      </c>
      <c r="CW202" s="286">
        <v>1741</v>
      </c>
      <c r="CX202" s="286">
        <v>1751</v>
      </c>
      <c r="CY202" s="286">
        <v>1761</v>
      </c>
      <c r="CZ202" s="286">
        <v>1771</v>
      </c>
      <c r="DA202" s="286">
        <v>1781</v>
      </c>
      <c r="DB202" s="286">
        <f>VALUE(Z179&amp;2)</f>
        <v>1792</v>
      </c>
      <c r="DC202" s="286">
        <f>VALUE(Z179&amp;31)</f>
        <v>17931</v>
      </c>
      <c r="DD202" s="286">
        <f>VALUE(Z180&amp;2)</f>
        <v>1802</v>
      </c>
      <c r="DE202" s="286">
        <f>VALUE(Z180&amp;3)</f>
        <v>1803</v>
      </c>
      <c r="DF202" s="286">
        <f>VALUE(Z181&amp;1)</f>
        <v>1811</v>
      </c>
      <c r="DG202" s="286">
        <f>VALUE(Z182&amp;1)</f>
        <v>1821</v>
      </c>
      <c r="DH202" s="3"/>
      <c r="DI202" s="3"/>
      <c r="DJ202" s="3"/>
      <c r="DK202" s="3"/>
      <c r="DL202" s="3"/>
      <c r="DM202" s="3"/>
      <c r="DN202" s="3"/>
      <c r="DO202" s="3"/>
      <c r="DP202" s="3"/>
      <c r="DQ202" s="3"/>
      <c r="DR202" s="3"/>
      <c r="DS202" s="3"/>
      <c r="DT202" s="3"/>
      <c r="DU202" s="3"/>
      <c r="DV202" s="3"/>
      <c r="DW202" s="3"/>
      <c r="DX202" s="3"/>
      <c r="DY202" s="3"/>
    </row>
    <row r="203" spans="23:273" ht="12" customHeight="1">
      <c r="AH203" s="3">
        <v>1</v>
      </c>
      <c r="AI203" s="436" t="s">
        <v>648</v>
      </c>
      <c r="AJ203" s="436"/>
      <c r="AK203" s="444">
        <f>ROW()</f>
        <v>203</v>
      </c>
      <c r="AL203" s="445"/>
      <c r="AM203" s="445"/>
      <c r="AN203" s="445"/>
      <c r="AO203" s="445"/>
      <c r="AP203" s="445"/>
      <c r="AQ203" s="445"/>
      <c r="AR203" s="445"/>
      <c r="AS203" s="445"/>
      <c r="AT203" s="445"/>
      <c r="AU203" s="445"/>
      <c r="AV203" s="445"/>
      <c r="AW203" s="445"/>
      <c r="AX203" s="445"/>
      <c r="AY203" s="445"/>
      <c r="AZ203" s="445"/>
      <c r="BA203" s="445"/>
      <c r="BB203" s="445"/>
      <c r="BC203" s="445"/>
      <c r="BD203" s="445"/>
      <c r="BE203" s="445"/>
      <c r="BF203" s="445"/>
      <c r="BG203" s="445"/>
      <c r="BH203" s="445"/>
      <c r="BI203" s="445"/>
      <c r="BJ203" s="445"/>
      <c r="BK203" s="445"/>
      <c r="BL203" s="445"/>
      <c r="BM203" s="445"/>
      <c r="BN203" s="445"/>
      <c r="BO203" s="445"/>
      <c r="BP203" s="445"/>
      <c r="BQ203" s="445"/>
      <c r="BR203" s="445"/>
      <c r="BS203" s="445"/>
      <c r="BT203" s="445"/>
      <c r="BU203" s="445"/>
      <c r="BV203" s="445"/>
      <c r="BW203" s="445"/>
      <c r="BX203" s="445"/>
      <c r="BY203" s="445"/>
      <c r="BZ203" s="445"/>
      <c r="CA203" s="445"/>
      <c r="CB203" s="442"/>
      <c r="CC203" s="442"/>
      <c r="CD203" s="435"/>
      <c r="CE203" s="435"/>
      <c r="CF203" s="435"/>
      <c r="CG203" s="435"/>
      <c r="CH203" s="435"/>
      <c r="CI203" s="435"/>
      <c r="CJ203" s="435"/>
      <c r="CK203" s="435"/>
      <c r="CL203" s="435"/>
      <c r="CM203" s="435"/>
      <c r="CN203" s="435"/>
      <c r="CO203" s="435"/>
      <c r="CP203" s="435"/>
      <c r="CQ203" s="435"/>
      <c r="CR203" s="451"/>
      <c r="CS203" s="451"/>
      <c r="CT203" s="451"/>
      <c r="CU203" s="451"/>
      <c r="CV203" s="451"/>
      <c r="CW203" s="451"/>
      <c r="CX203" s="451"/>
      <c r="CY203" s="451"/>
      <c r="CZ203" s="451"/>
      <c r="DA203" s="451"/>
      <c r="DB203" s="435"/>
      <c r="DC203" s="435"/>
      <c r="DD203" s="435"/>
      <c r="DE203" s="435"/>
      <c r="DF203" s="435"/>
      <c r="DG203" s="435"/>
      <c r="DH203" s="3"/>
      <c r="DI203" s="3"/>
      <c r="DJ203" s="3"/>
      <c r="DK203" s="3"/>
      <c r="DL203" s="3"/>
      <c r="DM203" s="3"/>
      <c r="DN203" s="3"/>
      <c r="DO203" s="3"/>
      <c r="DP203" s="3"/>
      <c r="DQ203" s="3"/>
      <c r="DR203" s="3"/>
      <c r="DS203" s="3"/>
      <c r="DT203" s="3"/>
      <c r="DU203" s="3"/>
      <c r="DV203" s="3"/>
      <c r="DW203" s="3"/>
      <c r="DX203" s="3"/>
      <c r="DY203" s="3"/>
    </row>
    <row r="204" spans="23:273" ht="12" customHeight="1">
      <c r="AH204" s="3">
        <v>2</v>
      </c>
      <c r="AI204" s="4" t="s">
        <v>545</v>
      </c>
      <c r="AJ204" s="40" t="s">
        <v>593</v>
      </c>
      <c r="AK204" s="286">
        <f>ROW()</f>
        <v>204</v>
      </c>
      <c r="AL204" s="372">
        <v>14</v>
      </c>
      <c r="AM204" s="372">
        <v>16</v>
      </c>
      <c r="AN204" s="372">
        <v>18</v>
      </c>
      <c r="AO204" s="372">
        <v>20</v>
      </c>
      <c r="AP204" s="372">
        <v>22</v>
      </c>
      <c r="AQ204" s="372">
        <v>24</v>
      </c>
      <c r="AR204" s="372">
        <v>27</v>
      </c>
      <c r="AS204" s="372">
        <v>30</v>
      </c>
      <c r="AT204" s="372">
        <v>35</v>
      </c>
      <c r="AU204" s="372">
        <v>40</v>
      </c>
      <c r="AV204" s="372">
        <v>45</v>
      </c>
      <c r="AW204" s="372">
        <v>50</v>
      </c>
      <c r="AX204" s="372">
        <v>18</v>
      </c>
      <c r="AY204" s="372">
        <v>24</v>
      </c>
      <c r="AZ204" s="372">
        <v>30</v>
      </c>
      <c r="BA204" s="372">
        <v>35</v>
      </c>
      <c r="BB204" s="372">
        <v>40</v>
      </c>
      <c r="BC204" s="372">
        <v>50</v>
      </c>
      <c r="BD204" s="372">
        <v>60</v>
      </c>
      <c r="BE204" s="372">
        <v>70</v>
      </c>
      <c r="BF204" s="372">
        <v>20</v>
      </c>
      <c r="BG204" s="372">
        <v>20</v>
      </c>
      <c r="BH204" s="372">
        <v>22</v>
      </c>
      <c r="BI204" s="372">
        <v>22</v>
      </c>
      <c r="BJ204" s="372">
        <v>24</v>
      </c>
      <c r="BK204" s="372">
        <v>24</v>
      </c>
      <c r="BL204" s="372">
        <v>26</v>
      </c>
      <c r="BM204" s="372">
        <v>26</v>
      </c>
      <c r="BN204" s="372">
        <v>28</v>
      </c>
      <c r="BO204" s="372">
        <v>28</v>
      </c>
      <c r="BP204" s="372">
        <v>30</v>
      </c>
      <c r="BQ204" s="372">
        <v>30</v>
      </c>
      <c r="BR204" s="372">
        <v>32</v>
      </c>
      <c r="BS204" s="372">
        <v>32</v>
      </c>
      <c r="BT204" s="372"/>
      <c r="BU204" s="372"/>
      <c r="BV204" s="372">
        <v>36</v>
      </c>
      <c r="BW204" s="372">
        <v>36</v>
      </c>
      <c r="BX204" s="372"/>
      <c r="BY204" s="372"/>
      <c r="BZ204" s="372"/>
      <c r="CA204" s="372"/>
      <c r="CB204" s="372"/>
      <c r="CC204" s="372"/>
      <c r="CD204" s="372">
        <v>50</v>
      </c>
      <c r="CE204" s="372">
        <v>32</v>
      </c>
      <c r="CF204" s="372">
        <v>36</v>
      </c>
      <c r="CG204" s="372">
        <v>36</v>
      </c>
      <c r="CH204" s="372">
        <v>36</v>
      </c>
      <c r="CI204" s="372">
        <v>50</v>
      </c>
      <c r="CJ204" s="372">
        <v>52</v>
      </c>
      <c r="CK204" s="372">
        <v>34</v>
      </c>
      <c r="CL204" s="372">
        <v>38</v>
      </c>
      <c r="CM204" s="372">
        <v>80</v>
      </c>
      <c r="CN204" s="372">
        <v>70</v>
      </c>
      <c r="CO204" s="372">
        <v>75</v>
      </c>
      <c r="CP204" s="372">
        <v>70</v>
      </c>
      <c r="CQ204" s="372">
        <v>70</v>
      </c>
      <c r="CR204" s="452">
        <v>25</v>
      </c>
      <c r="CS204" s="452"/>
      <c r="CT204" s="452"/>
      <c r="CU204" s="452"/>
      <c r="CV204" s="452">
        <v>40</v>
      </c>
      <c r="CW204" s="452"/>
      <c r="CX204" s="452"/>
      <c r="CY204" s="452"/>
      <c r="CZ204" s="452"/>
      <c r="DA204" s="452"/>
      <c r="DB204" s="372">
        <v>16.399999999999999</v>
      </c>
      <c r="DC204" s="372">
        <v>14.8</v>
      </c>
      <c r="DD204" s="372">
        <v>23</v>
      </c>
      <c r="DE204" s="372">
        <v>21</v>
      </c>
      <c r="DF204" s="372">
        <v>3.6</v>
      </c>
      <c r="DG204" s="372">
        <v>4.5</v>
      </c>
      <c r="DH204" s="3"/>
      <c r="DI204" s="3"/>
      <c r="DJ204" s="3"/>
      <c r="DK204" s="3"/>
      <c r="DL204" s="3"/>
      <c r="DM204" s="3"/>
      <c r="DN204" s="3"/>
      <c r="DO204" s="3"/>
      <c r="DP204" s="3"/>
      <c r="DQ204" s="3"/>
      <c r="DR204" s="3"/>
      <c r="DS204" s="3"/>
      <c r="DT204" s="3"/>
      <c r="DU204" s="3"/>
      <c r="DV204" s="3"/>
      <c r="DW204" s="3"/>
      <c r="DX204" s="3"/>
      <c r="DY204" s="3"/>
    </row>
    <row r="205" spans="23:273" ht="12" customHeight="1">
      <c r="AH205" s="3">
        <v>3</v>
      </c>
      <c r="AI205" s="4" t="s">
        <v>649</v>
      </c>
      <c r="AJ205" s="40" t="s">
        <v>594</v>
      </c>
      <c r="AK205" s="286">
        <f>ROW()</f>
        <v>205</v>
      </c>
      <c r="AL205" s="372"/>
      <c r="AM205" s="372"/>
      <c r="AN205" s="372"/>
      <c r="AO205" s="372"/>
      <c r="AP205" s="372"/>
      <c r="AQ205" s="372"/>
      <c r="AR205" s="372"/>
      <c r="AS205" s="372"/>
      <c r="AT205" s="372"/>
      <c r="AU205" s="372"/>
      <c r="AV205" s="372"/>
      <c r="AW205" s="372"/>
      <c r="AX205" s="372"/>
      <c r="AY205" s="372"/>
      <c r="AZ205" s="372"/>
      <c r="BA205" s="372"/>
      <c r="BB205" s="372"/>
      <c r="BC205" s="372"/>
      <c r="BD205" s="372"/>
      <c r="BE205" s="372"/>
      <c r="BF205" s="372"/>
      <c r="BG205" s="372"/>
      <c r="BH205" s="372"/>
      <c r="BI205" s="372"/>
      <c r="BJ205" s="372"/>
      <c r="BK205" s="372"/>
      <c r="BL205" s="372"/>
      <c r="BM205" s="372"/>
      <c r="BN205" s="372"/>
      <c r="BO205" s="372"/>
      <c r="BP205" s="372"/>
      <c r="BQ205" s="372"/>
      <c r="BR205" s="372"/>
      <c r="BS205" s="372"/>
      <c r="BT205" s="372"/>
      <c r="BU205" s="372"/>
      <c r="BV205" s="372"/>
      <c r="BW205" s="372"/>
      <c r="BX205" s="372"/>
      <c r="BY205" s="372"/>
      <c r="BZ205" s="372"/>
      <c r="CA205" s="372"/>
      <c r="CB205" s="372"/>
      <c r="CC205" s="372"/>
      <c r="CD205" s="372"/>
      <c r="CE205" s="372">
        <v>8</v>
      </c>
      <c r="CF205" s="372">
        <v>8</v>
      </c>
      <c r="CG205" s="372"/>
      <c r="CH205" s="372"/>
      <c r="CI205" s="372"/>
      <c r="CJ205" s="372"/>
      <c r="CK205" s="372">
        <v>9</v>
      </c>
      <c r="CL205" s="372">
        <v>12</v>
      </c>
      <c r="CM205" s="372"/>
      <c r="CN205" s="372">
        <v>32</v>
      </c>
      <c r="CO205" s="372">
        <v>20</v>
      </c>
      <c r="CP205" s="372"/>
      <c r="CQ205" s="372"/>
      <c r="CR205" s="452">
        <v>10</v>
      </c>
      <c r="CS205" s="452"/>
      <c r="CT205" s="452"/>
      <c r="CU205" s="452"/>
      <c r="CV205" s="452">
        <v>40</v>
      </c>
      <c r="CW205" s="452"/>
      <c r="CX205" s="452"/>
      <c r="CY205" s="452"/>
      <c r="CZ205" s="452"/>
      <c r="DA205" s="452"/>
      <c r="DB205" s="372">
        <v>8.1999999999999993</v>
      </c>
      <c r="DC205" s="372">
        <v>7.4</v>
      </c>
      <c r="DD205" s="372">
        <v>12.2</v>
      </c>
      <c r="DE205" s="372">
        <v>11.4</v>
      </c>
      <c r="DF205" s="372"/>
      <c r="DG205" s="372"/>
      <c r="DH205" s="3"/>
      <c r="DI205" s="3"/>
      <c r="DJ205" s="3"/>
      <c r="DK205" s="3"/>
      <c r="DL205" s="3"/>
      <c r="DM205" s="3"/>
      <c r="DN205" s="3"/>
      <c r="DO205" s="3"/>
      <c r="DP205" s="3"/>
      <c r="DQ205" s="3"/>
      <c r="DR205" s="3"/>
      <c r="DS205" s="3"/>
      <c r="DT205" s="3"/>
      <c r="DU205" s="3"/>
      <c r="DV205" s="3"/>
      <c r="DW205" s="3"/>
      <c r="DX205" s="3"/>
      <c r="DY205" s="3"/>
    </row>
    <row r="206" spans="23:273" ht="12" customHeight="1">
      <c r="AH206" s="3">
        <v>4</v>
      </c>
      <c r="AI206" s="4" t="s">
        <v>14</v>
      </c>
      <c r="AJ206" s="40" t="s">
        <v>595</v>
      </c>
      <c r="AK206" s="286">
        <f>ROW()</f>
        <v>206</v>
      </c>
      <c r="AL206" s="372">
        <v>8</v>
      </c>
      <c r="AM206" s="372">
        <v>10</v>
      </c>
      <c r="AN206" s="372">
        <v>11</v>
      </c>
      <c r="AO206" s="372">
        <v>12</v>
      </c>
      <c r="AP206" s="372">
        <v>13</v>
      </c>
      <c r="AQ206" s="372">
        <v>14</v>
      </c>
      <c r="AR206" s="372">
        <v>16</v>
      </c>
      <c r="AS206" s="372">
        <v>18</v>
      </c>
      <c r="AT206" s="372">
        <v>21</v>
      </c>
      <c r="AU206" s="372">
        <v>24</v>
      </c>
      <c r="AV206" s="372">
        <v>27</v>
      </c>
      <c r="AW206" s="372">
        <v>30</v>
      </c>
      <c r="AX206" s="372">
        <v>11</v>
      </c>
      <c r="AY206" s="372">
        <v>14</v>
      </c>
      <c r="AZ206" s="372">
        <v>18</v>
      </c>
      <c r="BA206" s="372">
        <v>21</v>
      </c>
      <c r="BB206" s="372">
        <v>24</v>
      </c>
      <c r="BC206" s="372">
        <v>30</v>
      </c>
      <c r="BD206" s="372">
        <v>36</v>
      </c>
      <c r="BE206" s="372">
        <v>42</v>
      </c>
      <c r="BF206" s="372">
        <v>15</v>
      </c>
      <c r="BG206" s="372">
        <v>16</v>
      </c>
      <c r="BH206" s="372">
        <v>16</v>
      </c>
      <c r="BI206" s="372">
        <v>17.600000000000001</v>
      </c>
      <c r="BJ206" s="372">
        <v>17</v>
      </c>
      <c r="BK206" s="372">
        <v>19.2</v>
      </c>
      <c r="BL206" s="372">
        <v>19</v>
      </c>
      <c r="BM206" s="372">
        <v>20.8</v>
      </c>
      <c r="BN206" s="372">
        <v>19.5</v>
      </c>
      <c r="BO206" s="372">
        <v>22.3</v>
      </c>
      <c r="BP206" s="372">
        <v>19.5</v>
      </c>
      <c r="BQ206" s="372">
        <v>24</v>
      </c>
      <c r="BR206" s="372">
        <v>19.5</v>
      </c>
      <c r="BS206" s="372">
        <v>25.6</v>
      </c>
      <c r="BT206" s="372"/>
      <c r="BU206" s="372"/>
      <c r="BV206" s="372">
        <v>22.5</v>
      </c>
      <c r="BW206" s="372">
        <v>26</v>
      </c>
      <c r="BX206" s="372"/>
      <c r="BY206" s="372"/>
      <c r="BZ206" s="372"/>
      <c r="CA206" s="372"/>
      <c r="CB206" s="372"/>
      <c r="CC206" s="372"/>
      <c r="CD206" s="372">
        <v>35</v>
      </c>
      <c r="CE206" s="372">
        <v>19</v>
      </c>
      <c r="CF206" s="372">
        <v>26</v>
      </c>
      <c r="CG206" s="372">
        <v>28</v>
      </c>
      <c r="CH206" s="372">
        <v>30</v>
      </c>
      <c r="CI206" s="372">
        <v>36</v>
      </c>
      <c r="CJ206" s="372">
        <v>42</v>
      </c>
      <c r="CK206" s="372">
        <v>18</v>
      </c>
      <c r="CL206" s="372">
        <v>24</v>
      </c>
      <c r="CM206" s="372">
        <v>60</v>
      </c>
      <c r="CN206" s="372">
        <v>45</v>
      </c>
      <c r="CO206" s="372">
        <v>51</v>
      </c>
      <c r="CP206" s="372">
        <v>55</v>
      </c>
      <c r="CQ206" s="372">
        <v>55</v>
      </c>
      <c r="CR206" s="452"/>
      <c r="CS206" s="452"/>
      <c r="CT206" s="452"/>
      <c r="CU206" s="452"/>
      <c r="CV206" s="452"/>
      <c r="CW206" s="452"/>
      <c r="CX206" s="452"/>
      <c r="CY206" s="452"/>
      <c r="CZ206" s="452"/>
      <c r="DA206" s="452"/>
      <c r="DB206" s="372">
        <v>9.4</v>
      </c>
      <c r="DC206" s="372">
        <v>9</v>
      </c>
      <c r="DD206" s="372">
        <v>11.4</v>
      </c>
      <c r="DE206" s="372">
        <v>10.9</v>
      </c>
      <c r="DF206" s="372"/>
      <c r="DG206" s="372"/>
      <c r="DH206" s="3"/>
      <c r="DI206" s="3"/>
      <c r="DJ206" s="3"/>
      <c r="DK206" s="3"/>
      <c r="DL206" s="3"/>
      <c r="DM206" s="3"/>
      <c r="DN206" s="3"/>
      <c r="DO206" s="3"/>
      <c r="DP206" s="3"/>
      <c r="DQ206" s="3"/>
      <c r="DR206" s="3"/>
      <c r="DS206" s="3"/>
      <c r="DT206" s="3"/>
      <c r="DU206" s="3"/>
      <c r="DV206" s="3"/>
      <c r="DW206" s="3"/>
      <c r="DX206" s="3"/>
      <c r="DY206" s="3"/>
    </row>
    <row r="207" spans="23:273" ht="12" customHeight="1">
      <c r="AH207" s="3">
        <v>5</v>
      </c>
      <c r="AI207" s="4" t="s">
        <v>194</v>
      </c>
      <c r="AJ207" s="40" t="s">
        <v>596</v>
      </c>
      <c r="AK207" s="286">
        <f>ROW()</f>
        <v>207</v>
      </c>
      <c r="AL207" s="372">
        <v>0.4</v>
      </c>
      <c r="AM207" s="372">
        <v>0.4</v>
      </c>
      <c r="AN207" s="372">
        <v>0.4</v>
      </c>
      <c r="AO207" s="372">
        <v>0.4</v>
      </c>
      <c r="AP207" s="372">
        <v>0.4</v>
      </c>
      <c r="AQ207" s="372">
        <v>0.4</v>
      </c>
      <c r="AR207" s="372">
        <v>0.4</v>
      </c>
      <c r="AS207" s="372">
        <v>0.4</v>
      </c>
      <c r="AT207" s="372">
        <v>0.4</v>
      </c>
      <c r="AU207" s="372">
        <v>0.4</v>
      </c>
      <c r="AV207" s="372">
        <v>0.4</v>
      </c>
      <c r="AW207" s="372">
        <v>0.4</v>
      </c>
      <c r="AX207" s="372">
        <v>0.6</v>
      </c>
      <c r="AY207" s="372">
        <v>0.6</v>
      </c>
      <c r="AZ207" s="372">
        <v>0.6</v>
      </c>
      <c r="BA207" s="372">
        <v>0.6</v>
      </c>
      <c r="BB207" s="372">
        <v>0.6</v>
      </c>
      <c r="BC207" s="372">
        <v>0.6</v>
      </c>
      <c r="BD207" s="372">
        <v>0.6</v>
      </c>
      <c r="BE207" s="372">
        <v>0.6</v>
      </c>
      <c r="BF207" s="372">
        <v>0.5</v>
      </c>
      <c r="BG207" s="372">
        <v>0.5</v>
      </c>
      <c r="BH207" s="372">
        <v>0.5</v>
      </c>
      <c r="BI207" s="372">
        <v>0.5</v>
      </c>
      <c r="BJ207" s="372">
        <v>0.5</v>
      </c>
      <c r="BK207" s="372">
        <v>0.5</v>
      </c>
      <c r="BL207" s="372">
        <v>0.5</v>
      </c>
      <c r="BM207" s="372">
        <v>0.5</v>
      </c>
      <c r="BN207" s="372">
        <v>0.5</v>
      </c>
      <c r="BO207" s="372">
        <v>0.45</v>
      </c>
      <c r="BP207" s="372">
        <v>0.45</v>
      </c>
      <c r="BQ207" s="372">
        <v>0.45</v>
      </c>
      <c r="BR207" s="372">
        <v>0.45</v>
      </c>
      <c r="BS207" s="372">
        <v>0.45</v>
      </c>
      <c r="BT207" s="372"/>
      <c r="BU207" s="372"/>
      <c r="BV207" s="372">
        <v>0.5</v>
      </c>
      <c r="BW207" s="372">
        <v>0.6</v>
      </c>
      <c r="BX207" s="372"/>
      <c r="BY207" s="372"/>
      <c r="BZ207" s="372"/>
      <c r="CA207" s="372"/>
      <c r="CB207" s="372"/>
      <c r="CC207" s="372"/>
      <c r="CD207" s="372"/>
      <c r="CE207" s="372"/>
      <c r="CF207" s="372"/>
      <c r="CG207" s="372">
        <v>3</v>
      </c>
      <c r="CH207" s="372">
        <v>2.5</v>
      </c>
      <c r="CI207" s="372">
        <v>0.9</v>
      </c>
      <c r="CJ207" s="372">
        <v>0.9</v>
      </c>
      <c r="CK207" s="372">
        <v>5</v>
      </c>
      <c r="CL207" s="372">
        <v>5</v>
      </c>
      <c r="CM207" s="372">
        <v>1.5</v>
      </c>
      <c r="CN207" s="372">
        <v>16</v>
      </c>
      <c r="CO207" s="372">
        <v>8</v>
      </c>
      <c r="CP207" s="372">
        <v>0.6</v>
      </c>
      <c r="CQ207" s="372">
        <v>0.6</v>
      </c>
      <c r="CR207" s="452"/>
      <c r="CS207" s="452"/>
      <c r="CT207" s="452"/>
      <c r="CU207" s="452"/>
      <c r="CV207" s="452"/>
      <c r="CW207" s="452"/>
      <c r="CX207" s="452"/>
      <c r="CY207" s="452"/>
      <c r="CZ207" s="452"/>
      <c r="DA207" s="452"/>
      <c r="DB207" s="372">
        <v>7</v>
      </c>
      <c r="DC207" s="372">
        <v>6.8</v>
      </c>
      <c r="DD207" s="372">
        <v>8.1999999999999993</v>
      </c>
      <c r="DE207" s="372">
        <v>8</v>
      </c>
      <c r="DF207" s="372"/>
      <c r="DG207" s="372"/>
      <c r="DH207" s="3"/>
      <c r="DI207" s="3"/>
      <c r="DJ207" s="3"/>
      <c r="DK207" s="3"/>
      <c r="DL207" s="3"/>
      <c r="DM207" s="3"/>
      <c r="DN207" s="3"/>
      <c r="DO207" s="3"/>
      <c r="DP207" s="3"/>
      <c r="DQ207" s="3"/>
      <c r="DR207" s="3"/>
      <c r="DS207" s="3"/>
      <c r="DT207" s="3"/>
      <c r="DU207" s="3"/>
      <c r="DV207" s="3"/>
      <c r="DW207" s="3"/>
      <c r="DX207" s="3"/>
      <c r="DY207" s="3"/>
    </row>
    <row r="208" spans="23:273" ht="12" customHeight="1">
      <c r="AH208" s="3">
        <v>6</v>
      </c>
      <c r="AI208" s="4" t="s">
        <v>15</v>
      </c>
      <c r="AJ208" s="40" t="s">
        <v>597</v>
      </c>
      <c r="AK208" s="286">
        <f>ROW()</f>
        <v>208</v>
      </c>
      <c r="AL208" s="372">
        <v>16</v>
      </c>
      <c r="AM208" s="372">
        <v>17</v>
      </c>
      <c r="AN208" s="372">
        <v>18</v>
      </c>
      <c r="AO208" s="372">
        <v>19</v>
      </c>
      <c r="AP208" s="372">
        <v>20</v>
      </c>
      <c r="AQ208" s="372">
        <v>21</v>
      </c>
      <c r="AR208" s="372">
        <v>22</v>
      </c>
      <c r="AS208" s="372">
        <v>23</v>
      </c>
      <c r="AT208" s="372">
        <v>25</v>
      </c>
      <c r="AU208" s="372">
        <v>26</v>
      </c>
      <c r="AV208" s="372">
        <v>27</v>
      </c>
      <c r="AW208" s="372">
        <v>29</v>
      </c>
      <c r="AX208" s="372">
        <v>18</v>
      </c>
      <c r="AY208" s="372">
        <v>21</v>
      </c>
      <c r="AZ208" s="372">
        <v>23</v>
      </c>
      <c r="BA208" s="372">
        <v>25</v>
      </c>
      <c r="BB208" s="372">
        <v>26</v>
      </c>
      <c r="BC208" s="372">
        <v>29</v>
      </c>
      <c r="BD208" s="372">
        <v>32</v>
      </c>
      <c r="BE208" s="372">
        <v>34</v>
      </c>
      <c r="BF208" s="372">
        <v>18.5</v>
      </c>
      <c r="BG208" s="372">
        <v>20</v>
      </c>
      <c r="BH208" s="372">
        <v>20</v>
      </c>
      <c r="BI208" s="372">
        <v>22</v>
      </c>
      <c r="BJ208" s="372">
        <v>21.5</v>
      </c>
      <c r="BK208" s="372">
        <v>24</v>
      </c>
      <c r="BL208" s="372">
        <v>23.5</v>
      </c>
      <c r="BM208" s="372">
        <v>26</v>
      </c>
      <c r="BN208" s="372">
        <v>24</v>
      </c>
      <c r="BO208" s="372">
        <v>28</v>
      </c>
      <c r="BP208" s="372">
        <v>24.5</v>
      </c>
      <c r="BQ208" s="372">
        <v>30</v>
      </c>
      <c r="BR208" s="372">
        <v>24.5</v>
      </c>
      <c r="BS208" s="372">
        <v>32</v>
      </c>
      <c r="BT208" s="372"/>
      <c r="BU208" s="372"/>
      <c r="BV208" s="372">
        <v>29</v>
      </c>
      <c r="BW208" s="372">
        <v>31</v>
      </c>
      <c r="BX208" s="372"/>
      <c r="BY208" s="372"/>
      <c r="BZ208" s="372"/>
      <c r="CA208" s="372"/>
      <c r="CB208" s="372"/>
      <c r="CC208" s="372"/>
      <c r="CD208" s="372">
        <v>35</v>
      </c>
      <c r="CE208" s="372">
        <v>19</v>
      </c>
      <c r="CF208" s="372">
        <v>26</v>
      </c>
      <c r="CG208" s="372">
        <v>28</v>
      </c>
      <c r="CH208" s="372">
        <v>30</v>
      </c>
      <c r="CI208" s="372">
        <v>40</v>
      </c>
      <c r="CJ208" s="372">
        <v>56</v>
      </c>
      <c r="CK208" s="372">
        <v>26</v>
      </c>
      <c r="CL208" s="372">
        <v>34</v>
      </c>
      <c r="CM208" s="372">
        <v>57.5</v>
      </c>
      <c r="CN208" s="372">
        <v>45.6</v>
      </c>
      <c r="CO208" s="372">
        <v>53.3</v>
      </c>
      <c r="CP208" s="372">
        <v>59.4</v>
      </c>
      <c r="CQ208" s="372">
        <v>49.5</v>
      </c>
      <c r="CR208" s="452"/>
      <c r="CS208" s="452"/>
      <c r="CT208" s="452"/>
      <c r="CU208" s="452"/>
      <c r="CV208" s="452"/>
      <c r="CW208" s="452"/>
      <c r="CX208" s="452"/>
      <c r="CY208" s="452"/>
      <c r="CZ208" s="452"/>
      <c r="DA208" s="452"/>
      <c r="DB208" s="372">
        <v>15.4</v>
      </c>
      <c r="DC208" s="372">
        <v>14.8</v>
      </c>
      <c r="DD208" s="372">
        <v>17.600000000000001</v>
      </c>
      <c r="DE208" s="372">
        <v>17</v>
      </c>
      <c r="DF208" s="372"/>
      <c r="DG208" s="372"/>
      <c r="DH208" s="3"/>
      <c r="DI208" s="3"/>
      <c r="DJ208" s="3"/>
      <c r="DK208" s="3"/>
      <c r="DL208" s="3"/>
      <c r="DM208" s="3"/>
      <c r="DN208" s="3"/>
      <c r="DO208" s="3"/>
      <c r="DP208" s="3"/>
      <c r="DQ208" s="3"/>
      <c r="DR208" s="3"/>
      <c r="DS208" s="3"/>
      <c r="DT208" s="3"/>
      <c r="DU208" s="3"/>
      <c r="DV208" s="3"/>
      <c r="DW208" s="3"/>
      <c r="DX208" s="3"/>
      <c r="DY208" s="3"/>
    </row>
    <row r="209" spans="23:273" ht="12" customHeight="1">
      <c r="AH209" s="3">
        <v>7</v>
      </c>
      <c r="AI209" s="4" t="s">
        <v>185</v>
      </c>
      <c r="AJ209" s="40" t="s">
        <v>598</v>
      </c>
      <c r="AK209" s="286">
        <f>ROW()</f>
        <v>209</v>
      </c>
      <c r="AL209" s="372">
        <v>2</v>
      </c>
      <c r="AM209" s="372">
        <v>2.2000000000000002</v>
      </c>
      <c r="AN209" s="372">
        <v>2.2000000000000002</v>
      </c>
      <c r="AO209" s="372">
        <v>2.2999999999999998</v>
      </c>
      <c r="AP209" s="372">
        <v>2.4</v>
      </c>
      <c r="AQ209" s="372">
        <v>2.5</v>
      </c>
      <c r="AR209" s="372">
        <v>2.6</v>
      </c>
      <c r="AS209" s="372">
        <v>2.7</v>
      </c>
      <c r="AT209" s="372">
        <v>2.8</v>
      </c>
      <c r="AU209" s="372">
        <v>2.9</v>
      </c>
      <c r="AV209" s="372">
        <v>3.1</v>
      </c>
      <c r="AW209" s="372">
        <v>3.2</v>
      </c>
      <c r="AX209" s="372">
        <v>7.5</v>
      </c>
      <c r="AY209" s="372">
        <v>7.8</v>
      </c>
      <c r="AZ209" s="372">
        <v>8</v>
      </c>
      <c r="BA209" s="372">
        <v>8.1</v>
      </c>
      <c r="BB209" s="372">
        <v>8.3000000000000007</v>
      </c>
      <c r="BC209" s="372">
        <v>9.3000000000000007</v>
      </c>
      <c r="BD209" s="372">
        <v>10.5</v>
      </c>
      <c r="BE209" s="372">
        <v>13.5</v>
      </c>
      <c r="BF209" s="372">
        <v>2.5</v>
      </c>
      <c r="BG209" s="372">
        <v>2.5</v>
      </c>
      <c r="BH209" s="372">
        <v>2.5</v>
      </c>
      <c r="BI209" s="372">
        <v>2.5</v>
      </c>
      <c r="BJ209" s="372">
        <v>2.5</v>
      </c>
      <c r="BK209" s="372">
        <v>2.5</v>
      </c>
      <c r="BL209" s="372">
        <v>2.5</v>
      </c>
      <c r="BM209" s="372">
        <v>2.5</v>
      </c>
      <c r="BN209" s="372">
        <v>2.5</v>
      </c>
      <c r="BO209" s="372">
        <v>2.5</v>
      </c>
      <c r="BP209" s="372">
        <v>2.5</v>
      </c>
      <c r="BQ209" s="372">
        <v>2.5</v>
      </c>
      <c r="BR209" s="372">
        <v>2.5</v>
      </c>
      <c r="BS209" s="372">
        <v>2.5</v>
      </c>
      <c r="BT209" s="372"/>
      <c r="BU209" s="372"/>
      <c r="BV209" s="372">
        <v>3.3</v>
      </c>
      <c r="BW209" s="372">
        <v>3.6</v>
      </c>
      <c r="BX209" s="372"/>
      <c r="BY209" s="372"/>
      <c r="BZ209" s="372"/>
      <c r="CA209" s="372"/>
      <c r="CB209" s="372"/>
      <c r="CC209" s="372"/>
      <c r="CD209" s="372">
        <v>1.8</v>
      </c>
      <c r="CE209" s="372">
        <v>2.2000000000000002</v>
      </c>
      <c r="CF209" s="372">
        <v>2.2000000000000002</v>
      </c>
      <c r="CG209" s="372">
        <v>1.8</v>
      </c>
      <c r="CH209" s="372">
        <v>1.8</v>
      </c>
      <c r="CI209" s="372">
        <v>3.8</v>
      </c>
      <c r="CJ209" s="372">
        <v>3.8</v>
      </c>
      <c r="CK209" s="372">
        <v>4.2</v>
      </c>
      <c r="CL209" s="372">
        <v>4.2</v>
      </c>
      <c r="CM209" s="372">
        <v>10</v>
      </c>
      <c r="CN209" s="372">
        <v>13</v>
      </c>
      <c r="CO209" s="372">
        <v>13</v>
      </c>
      <c r="CP209" s="372">
        <v>10.199999999999999</v>
      </c>
      <c r="CQ209" s="372">
        <v>8.5</v>
      </c>
      <c r="CR209" s="452"/>
      <c r="CS209" s="452"/>
      <c r="CT209" s="452"/>
      <c r="CU209" s="452"/>
      <c r="CV209" s="452"/>
      <c r="CW209" s="452"/>
      <c r="CX209" s="452"/>
      <c r="CY209" s="452"/>
      <c r="CZ209" s="452"/>
      <c r="DA209" s="452"/>
      <c r="DB209" s="372">
        <v>12.7</v>
      </c>
      <c r="DC209" s="372">
        <v>12.4</v>
      </c>
      <c r="DD209" s="372">
        <v>14</v>
      </c>
      <c r="DE209" s="372">
        <v>13.7</v>
      </c>
      <c r="DF209" s="372"/>
      <c r="DG209" s="372"/>
      <c r="DH209" s="3"/>
      <c r="DI209" s="3"/>
      <c r="DJ209" s="3"/>
      <c r="DK209" s="3"/>
      <c r="DL209" s="3"/>
      <c r="DM209" s="3"/>
      <c r="DN209" s="3"/>
      <c r="DO209" s="3"/>
      <c r="DP209" s="3"/>
      <c r="DQ209" s="3"/>
      <c r="DR209" s="3"/>
      <c r="DS209" s="3"/>
      <c r="DT209" s="3"/>
      <c r="DU209" s="3"/>
      <c r="DV209" s="3"/>
      <c r="DW209" s="3"/>
      <c r="DX209" s="3"/>
      <c r="DY209" s="3"/>
    </row>
    <row r="210" spans="23:273" ht="12" customHeight="1">
      <c r="AH210" s="3">
        <v>8</v>
      </c>
      <c r="AI210" s="4" t="s">
        <v>539</v>
      </c>
      <c r="AJ210" s="40" t="s">
        <v>598</v>
      </c>
      <c r="AK210" s="286">
        <f>ROW()</f>
        <v>210</v>
      </c>
      <c r="AL210" s="372"/>
      <c r="AM210" s="372"/>
      <c r="AN210" s="372"/>
      <c r="AO210" s="372"/>
      <c r="AP210" s="372"/>
      <c r="AQ210" s="372"/>
      <c r="AR210" s="372"/>
      <c r="AS210" s="372"/>
      <c r="AT210" s="372"/>
      <c r="AU210" s="372"/>
      <c r="AV210" s="372"/>
      <c r="AW210" s="372"/>
      <c r="AX210" s="372"/>
      <c r="AY210" s="372"/>
      <c r="AZ210" s="372"/>
      <c r="BA210" s="372"/>
      <c r="BB210" s="372"/>
      <c r="BC210" s="372"/>
      <c r="BD210" s="372"/>
      <c r="BE210" s="372"/>
      <c r="BF210" s="372"/>
      <c r="BG210" s="372"/>
      <c r="BH210" s="372"/>
      <c r="BI210" s="372"/>
      <c r="BJ210" s="372"/>
      <c r="BK210" s="372"/>
      <c r="BL210" s="372"/>
      <c r="BM210" s="372"/>
      <c r="BN210" s="372"/>
      <c r="BO210" s="372"/>
      <c r="BP210" s="372"/>
      <c r="BQ210" s="372"/>
      <c r="BR210" s="372"/>
      <c r="BS210" s="372"/>
      <c r="BT210" s="372"/>
      <c r="BU210" s="372"/>
      <c r="BV210" s="372"/>
      <c r="BW210" s="372"/>
      <c r="BX210" s="372"/>
      <c r="BY210" s="372"/>
      <c r="BZ210" s="372"/>
      <c r="CA210" s="372"/>
      <c r="CB210" s="372"/>
      <c r="CC210" s="372"/>
      <c r="CD210" s="372"/>
      <c r="CE210" s="372"/>
      <c r="CF210" s="372"/>
      <c r="CG210" s="372"/>
      <c r="CH210" s="372"/>
      <c r="CI210" s="372"/>
      <c r="CJ210" s="372"/>
      <c r="CK210" s="372"/>
      <c r="CL210" s="372"/>
      <c r="CM210" s="372"/>
      <c r="CN210" s="372"/>
      <c r="CO210" s="372"/>
      <c r="CP210" s="372"/>
      <c r="CQ210" s="372"/>
      <c r="CR210" s="452">
        <v>6.5</v>
      </c>
      <c r="CS210" s="452"/>
      <c r="CT210" s="452"/>
      <c r="CU210" s="452"/>
      <c r="CV210" s="452">
        <v>10</v>
      </c>
      <c r="CW210" s="452"/>
      <c r="CX210" s="452"/>
      <c r="CY210" s="452"/>
      <c r="CZ210" s="452"/>
      <c r="DA210" s="452"/>
      <c r="DB210" s="372">
        <v>10</v>
      </c>
      <c r="DC210" s="372">
        <v>10</v>
      </c>
      <c r="DD210" s="372">
        <v>10</v>
      </c>
      <c r="DE210" s="372">
        <v>10</v>
      </c>
      <c r="DF210" s="372"/>
      <c r="DG210" s="372"/>
      <c r="DH210" s="3"/>
      <c r="DI210" s="3"/>
      <c r="DJ210" s="3"/>
      <c r="DK210" s="3"/>
      <c r="DL210" s="3"/>
      <c r="DM210" s="3"/>
      <c r="DN210" s="3"/>
      <c r="DO210" s="3"/>
      <c r="DP210" s="3"/>
      <c r="DQ210" s="3"/>
      <c r="DR210" s="3"/>
      <c r="DS210" s="3"/>
      <c r="DT210" s="3"/>
      <c r="DU210" s="3"/>
      <c r="DV210" s="3"/>
      <c r="DW210" s="3"/>
      <c r="DX210" s="3"/>
      <c r="DY210" s="3"/>
    </row>
    <row r="211" spans="23:273" ht="12" customHeight="1">
      <c r="AH211" s="3">
        <v>9</v>
      </c>
      <c r="AI211" s="4" t="s">
        <v>540</v>
      </c>
      <c r="AJ211" s="40" t="s">
        <v>598</v>
      </c>
      <c r="AK211" s="286">
        <f>ROW()</f>
        <v>211</v>
      </c>
      <c r="AL211" s="372"/>
      <c r="AM211" s="372"/>
      <c r="AN211" s="372"/>
      <c r="AO211" s="372"/>
      <c r="AP211" s="372"/>
      <c r="AQ211" s="372"/>
      <c r="AR211" s="372"/>
      <c r="AS211" s="372"/>
      <c r="AT211" s="372"/>
      <c r="AU211" s="372"/>
      <c r="AV211" s="372"/>
      <c r="AW211" s="372"/>
      <c r="AX211" s="372"/>
      <c r="AY211" s="372"/>
      <c r="AZ211" s="372"/>
      <c r="BA211" s="372"/>
      <c r="BB211" s="372"/>
      <c r="BC211" s="372"/>
      <c r="BD211" s="372"/>
      <c r="BE211" s="372"/>
      <c r="BF211" s="372"/>
      <c r="BG211" s="372"/>
      <c r="BH211" s="372"/>
      <c r="BI211" s="372"/>
      <c r="BJ211" s="372"/>
      <c r="BK211" s="372"/>
      <c r="BL211" s="372"/>
      <c r="BM211" s="372"/>
      <c r="BN211" s="372"/>
      <c r="BO211" s="372"/>
      <c r="BP211" s="372"/>
      <c r="BQ211" s="372"/>
      <c r="BR211" s="372"/>
      <c r="BS211" s="372"/>
      <c r="BT211" s="372"/>
      <c r="BU211" s="372"/>
      <c r="BV211" s="372"/>
      <c r="BW211" s="372"/>
      <c r="BX211" s="372"/>
      <c r="BY211" s="372"/>
      <c r="BZ211" s="372"/>
      <c r="CA211" s="372"/>
      <c r="CB211" s="372"/>
      <c r="CC211" s="372"/>
      <c r="CD211" s="372"/>
      <c r="CE211" s="372"/>
      <c r="CF211" s="372"/>
      <c r="CG211" s="372"/>
      <c r="CH211" s="372"/>
      <c r="CI211" s="372"/>
      <c r="CJ211" s="372"/>
      <c r="CK211" s="372"/>
      <c r="CL211" s="372"/>
      <c r="CM211" s="372"/>
      <c r="CN211" s="372"/>
      <c r="CO211" s="372"/>
      <c r="CP211" s="372"/>
      <c r="CQ211" s="372"/>
      <c r="CR211" s="452"/>
      <c r="CS211" s="452"/>
      <c r="CT211" s="452"/>
      <c r="CU211" s="452"/>
      <c r="CV211" s="452"/>
      <c r="CW211" s="452"/>
      <c r="CX211" s="452"/>
      <c r="CY211" s="452"/>
      <c r="CZ211" s="452"/>
      <c r="DA211" s="452"/>
      <c r="DB211" s="372"/>
      <c r="DC211" s="372"/>
      <c r="DD211" s="372"/>
      <c r="DE211" s="372"/>
      <c r="DF211" s="372"/>
      <c r="DG211" s="372"/>
      <c r="DH211" s="3"/>
      <c r="DI211" s="3"/>
      <c r="DJ211" s="3"/>
      <c r="DK211" s="3"/>
      <c r="DL211" s="3"/>
      <c r="DM211" s="3"/>
      <c r="DN211" s="3"/>
      <c r="DO211" s="3"/>
      <c r="DP211" s="3"/>
      <c r="DQ211" s="3"/>
      <c r="DR211" s="3"/>
      <c r="DS211" s="3"/>
      <c r="DT211" s="3"/>
      <c r="DU211" s="3"/>
      <c r="DV211" s="3"/>
      <c r="DW211" s="3"/>
      <c r="DX211" s="3"/>
      <c r="DY211" s="3"/>
    </row>
    <row r="212" spans="23:273" ht="12" customHeight="1">
      <c r="AH212" s="3">
        <v>10</v>
      </c>
      <c r="AI212" s="4" t="s">
        <v>541</v>
      </c>
      <c r="AJ212" s="40" t="s">
        <v>598</v>
      </c>
      <c r="AK212" s="286">
        <f>ROW()</f>
        <v>212</v>
      </c>
      <c r="AL212" s="372"/>
      <c r="AM212" s="372"/>
      <c r="AN212" s="372"/>
      <c r="AO212" s="372"/>
      <c r="AP212" s="372"/>
      <c r="AQ212" s="372"/>
      <c r="AR212" s="372"/>
      <c r="AS212" s="372"/>
      <c r="AT212" s="372"/>
      <c r="AU212" s="372"/>
      <c r="AV212" s="372"/>
      <c r="AW212" s="372"/>
      <c r="AX212" s="372"/>
      <c r="AY212" s="372"/>
      <c r="AZ212" s="372"/>
      <c r="BA212" s="372"/>
      <c r="BB212" s="372"/>
      <c r="BC212" s="372"/>
      <c r="BD212" s="372"/>
      <c r="BE212" s="372"/>
      <c r="BF212" s="372"/>
      <c r="BG212" s="372"/>
      <c r="BH212" s="372"/>
      <c r="BI212" s="372"/>
      <c r="BJ212" s="372"/>
      <c r="BK212" s="372"/>
      <c r="BL212" s="372"/>
      <c r="BM212" s="372"/>
      <c r="BN212" s="372"/>
      <c r="BO212" s="372"/>
      <c r="BP212" s="372"/>
      <c r="BQ212" s="372"/>
      <c r="BR212" s="372"/>
      <c r="BS212" s="372"/>
      <c r="BT212" s="372"/>
      <c r="BU212" s="372"/>
      <c r="BV212" s="372"/>
      <c r="BW212" s="372"/>
      <c r="BX212" s="372"/>
      <c r="BY212" s="372"/>
      <c r="BZ212" s="372"/>
      <c r="CA212" s="372"/>
      <c r="CB212" s="372"/>
      <c r="CC212" s="372"/>
      <c r="CD212" s="372"/>
      <c r="CE212" s="372"/>
      <c r="CF212" s="372"/>
      <c r="CG212" s="372"/>
      <c r="CH212" s="372"/>
      <c r="CI212" s="372"/>
      <c r="CJ212" s="372"/>
      <c r="CK212" s="372"/>
      <c r="CL212" s="372"/>
      <c r="CM212" s="372"/>
      <c r="CN212" s="372"/>
      <c r="CO212" s="372"/>
      <c r="CP212" s="372"/>
      <c r="CQ212" s="372"/>
      <c r="CR212" s="452"/>
      <c r="CS212" s="452"/>
      <c r="CT212" s="452"/>
      <c r="CU212" s="452"/>
      <c r="CV212" s="452"/>
      <c r="CW212" s="452"/>
      <c r="CX212" s="452"/>
      <c r="CY212" s="452"/>
      <c r="CZ212" s="452"/>
      <c r="DA212" s="452"/>
      <c r="DB212" s="372"/>
      <c r="DC212" s="372"/>
      <c r="DD212" s="372"/>
      <c r="DE212" s="372"/>
      <c r="DF212" s="372"/>
      <c r="DG212" s="372"/>
      <c r="DH212" s="3"/>
      <c r="DI212" s="3"/>
      <c r="DJ212" s="3"/>
      <c r="DK212" s="3"/>
      <c r="DL212" s="3"/>
      <c r="DM212" s="3"/>
      <c r="DN212" s="3"/>
      <c r="DO212" s="3"/>
      <c r="DP212" s="3"/>
      <c r="DQ212" s="3"/>
      <c r="DR212" s="3"/>
      <c r="DS212" s="3"/>
      <c r="DT212" s="3"/>
      <c r="DU212" s="3"/>
      <c r="DV212" s="3"/>
      <c r="DW212" s="3"/>
      <c r="DX212" s="3"/>
      <c r="DY212" s="3"/>
    </row>
    <row r="213" spans="23:273" ht="12" customHeight="1">
      <c r="AH213" s="3">
        <v>11</v>
      </c>
      <c r="AI213" s="4" t="s">
        <v>16</v>
      </c>
      <c r="AJ213" s="40" t="s">
        <v>599</v>
      </c>
      <c r="AK213" s="286">
        <f>ROW()</f>
        <v>213</v>
      </c>
      <c r="AL213" s="372">
        <v>3</v>
      </c>
      <c r="AM213" s="372">
        <v>3.2</v>
      </c>
      <c r="AN213" s="372">
        <v>3.4</v>
      </c>
      <c r="AO213" s="372">
        <v>3.6</v>
      </c>
      <c r="AP213" s="372">
        <v>3.8</v>
      </c>
      <c r="AQ213" s="372">
        <v>4</v>
      </c>
      <c r="AR213" s="372">
        <v>4</v>
      </c>
      <c r="AS213" s="372">
        <v>4</v>
      </c>
      <c r="AT213" s="372">
        <v>4</v>
      </c>
      <c r="AU213" s="372">
        <v>4</v>
      </c>
      <c r="AV213" s="372">
        <v>4</v>
      </c>
      <c r="AW213" s="372">
        <v>4</v>
      </c>
      <c r="AX213" s="372">
        <v>3.4</v>
      </c>
      <c r="AY213" s="372">
        <v>4</v>
      </c>
      <c r="AZ213" s="372">
        <v>4</v>
      </c>
      <c r="BA213" s="372">
        <v>4</v>
      </c>
      <c r="BB213" s="372">
        <v>4</v>
      </c>
      <c r="BC213" s="372">
        <v>4</v>
      </c>
      <c r="BD213" s="372">
        <v>4.5</v>
      </c>
      <c r="BE213" s="372">
        <v>5</v>
      </c>
      <c r="BF213" s="372">
        <v>3.5</v>
      </c>
      <c r="BG213" s="372">
        <v>3.5</v>
      </c>
      <c r="BH213" s="372">
        <v>3.5</v>
      </c>
      <c r="BI213" s="372">
        <v>3.5</v>
      </c>
      <c r="BJ213" s="372">
        <v>3.5</v>
      </c>
      <c r="BK213" s="372">
        <v>3.5</v>
      </c>
      <c r="BL213" s="372">
        <v>3.5</v>
      </c>
      <c r="BM213" s="372">
        <v>3.5</v>
      </c>
      <c r="BN213" s="372">
        <v>3.5</v>
      </c>
      <c r="BO213" s="372">
        <v>3.5</v>
      </c>
      <c r="BP213" s="372">
        <v>3.5</v>
      </c>
      <c r="BQ213" s="372">
        <v>3.5</v>
      </c>
      <c r="BR213" s="372">
        <v>3.5</v>
      </c>
      <c r="BS213" s="372">
        <v>3.5</v>
      </c>
      <c r="BT213" s="372"/>
      <c r="BU213" s="372"/>
      <c r="BV213" s="372">
        <v>3.8</v>
      </c>
      <c r="BW213" s="372">
        <v>4.3</v>
      </c>
      <c r="BX213" s="372"/>
      <c r="BY213" s="372"/>
      <c r="BZ213" s="372"/>
      <c r="CA213" s="372"/>
      <c r="CB213" s="372"/>
      <c r="CC213" s="372"/>
      <c r="CD213" s="372">
        <v>2.2999999999999998</v>
      </c>
      <c r="CE213" s="372">
        <v>1.3</v>
      </c>
      <c r="CF213" s="372">
        <v>1.3</v>
      </c>
      <c r="CG213" s="372">
        <v>1.3</v>
      </c>
      <c r="CH213" s="372">
        <v>1.3</v>
      </c>
      <c r="CI213" s="372">
        <v>3.2</v>
      </c>
      <c r="CJ213" s="372">
        <v>3.2</v>
      </c>
      <c r="CK213" s="372">
        <v>2.7</v>
      </c>
      <c r="CL213" s="372">
        <v>2.7</v>
      </c>
      <c r="CM213" s="372">
        <v>8</v>
      </c>
      <c r="CN213" s="372">
        <v>3.8</v>
      </c>
      <c r="CO213" s="372">
        <v>3.8</v>
      </c>
      <c r="CP213" s="372">
        <v>4</v>
      </c>
      <c r="CQ213" s="372">
        <v>4</v>
      </c>
      <c r="CR213" s="452">
        <v>1.1000000000000001</v>
      </c>
      <c r="CS213" s="452"/>
      <c r="CT213" s="452"/>
      <c r="CU213" s="452"/>
      <c r="CV213" s="452">
        <v>2.5</v>
      </c>
      <c r="CW213" s="452"/>
      <c r="CX213" s="452"/>
      <c r="CY213" s="452"/>
      <c r="CZ213" s="452"/>
      <c r="DA213" s="452"/>
      <c r="DB213" s="372">
        <v>1</v>
      </c>
      <c r="DC213" s="372">
        <v>1</v>
      </c>
      <c r="DD213" s="372">
        <v>1.1000000000000001</v>
      </c>
      <c r="DE213" s="372">
        <v>1.1000000000000001</v>
      </c>
      <c r="DF213" s="372">
        <v>1.6</v>
      </c>
      <c r="DG213" s="372">
        <v>1.4</v>
      </c>
      <c r="DH213" s="3"/>
      <c r="DI213" s="3"/>
      <c r="DJ213" s="3"/>
      <c r="DK213" s="3"/>
      <c r="DL213" s="3"/>
      <c r="DM213" s="3"/>
      <c r="DN213" s="3"/>
      <c r="DO213" s="3"/>
      <c r="DP213" s="3"/>
      <c r="DQ213" s="3"/>
      <c r="DR213" s="3"/>
      <c r="DS213" s="3"/>
      <c r="DT213" s="3"/>
      <c r="DU213" s="3"/>
      <c r="DV213" s="3"/>
      <c r="DW213" s="3"/>
      <c r="DX213" s="3"/>
      <c r="DY213" s="3"/>
    </row>
    <row r="214" spans="23:273" ht="12" customHeight="1">
      <c r="AH214" s="3">
        <v>12</v>
      </c>
      <c r="AI214" s="4" t="s">
        <v>307</v>
      </c>
      <c r="AJ214" s="40" t="s">
        <v>547</v>
      </c>
      <c r="AK214" s="286">
        <f>ROW()</f>
        <v>214</v>
      </c>
      <c r="AL214" s="372"/>
      <c r="AM214" s="372"/>
      <c r="AN214" s="372"/>
      <c r="AO214" s="372"/>
      <c r="AP214" s="372"/>
      <c r="AQ214" s="372"/>
      <c r="AR214" s="372"/>
      <c r="AS214" s="372"/>
      <c r="AT214" s="372"/>
      <c r="AU214" s="372"/>
      <c r="AV214" s="372"/>
      <c r="AW214" s="372"/>
      <c r="AX214" s="372"/>
      <c r="AY214" s="372"/>
      <c r="AZ214" s="372"/>
      <c r="BA214" s="372"/>
      <c r="BB214" s="372"/>
      <c r="BC214" s="372"/>
      <c r="BD214" s="372"/>
      <c r="BE214" s="372"/>
      <c r="BF214" s="372"/>
      <c r="BG214" s="372"/>
      <c r="BH214" s="372"/>
      <c r="BI214" s="372"/>
      <c r="BJ214" s="372"/>
      <c r="BK214" s="372"/>
      <c r="BL214" s="372"/>
      <c r="BM214" s="372"/>
      <c r="BN214" s="372"/>
      <c r="BO214" s="372"/>
      <c r="BP214" s="372"/>
      <c r="BQ214" s="372"/>
      <c r="BR214" s="372"/>
      <c r="BS214" s="372"/>
      <c r="BT214" s="372"/>
      <c r="BU214" s="372"/>
      <c r="BV214" s="372"/>
      <c r="BW214" s="372"/>
      <c r="BX214" s="372"/>
      <c r="BY214" s="372"/>
      <c r="BZ214" s="372"/>
      <c r="CA214" s="372"/>
      <c r="CB214" s="372"/>
      <c r="CC214" s="372"/>
      <c r="CD214" s="372"/>
      <c r="CE214" s="372"/>
      <c r="CF214" s="372"/>
      <c r="CG214" s="372"/>
      <c r="CH214" s="372"/>
      <c r="CI214" s="372"/>
      <c r="CJ214" s="372"/>
      <c r="CK214" s="372"/>
      <c r="CL214" s="372"/>
      <c r="CM214" s="372"/>
      <c r="CN214" s="372"/>
      <c r="CO214" s="372"/>
      <c r="CP214" s="372"/>
      <c r="CQ214" s="372"/>
      <c r="CR214" s="452"/>
      <c r="CS214" s="452"/>
      <c r="CT214" s="452"/>
      <c r="CU214" s="452"/>
      <c r="CV214" s="452"/>
      <c r="CW214" s="452"/>
      <c r="CX214" s="452"/>
      <c r="CY214" s="452"/>
      <c r="CZ214" s="452"/>
      <c r="DA214" s="452"/>
      <c r="DB214" s="372"/>
      <c r="DC214" s="372"/>
      <c r="DD214" s="372"/>
      <c r="DE214" s="372"/>
      <c r="DF214" s="372">
        <v>1.6</v>
      </c>
      <c r="DG214" s="372">
        <v>1.4</v>
      </c>
      <c r="DH214" s="3"/>
      <c r="DI214" s="3"/>
      <c r="DJ214" s="3"/>
      <c r="DK214" s="3"/>
      <c r="DL214" s="3"/>
      <c r="DM214" s="3"/>
      <c r="DN214" s="3"/>
      <c r="DO214" s="3"/>
      <c r="DP214" s="3"/>
      <c r="DQ214" s="3"/>
      <c r="DR214" s="3"/>
      <c r="DS214" s="3"/>
      <c r="DT214" s="3"/>
      <c r="DU214" s="3"/>
      <c r="DV214" s="3"/>
      <c r="DW214" s="3"/>
      <c r="DX214" s="3"/>
      <c r="DY214" s="3"/>
    </row>
    <row r="215" spans="23:273" ht="12" customHeight="1">
      <c r="AH215" s="3">
        <v>13</v>
      </c>
      <c r="AI215" s="4" t="s">
        <v>17</v>
      </c>
      <c r="AJ215" s="40" t="s">
        <v>600</v>
      </c>
      <c r="AK215" s="286">
        <f>ROW()</f>
        <v>215</v>
      </c>
      <c r="AL215" s="372">
        <v>1</v>
      </c>
      <c r="AM215" s="372">
        <v>1</v>
      </c>
      <c r="AN215" s="372">
        <v>1</v>
      </c>
      <c r="AO215" s="372">
        <v>1</v>
      </c>
      <c r="AP215" s="372">
        <v>1</v>
      </c>
      <c r="AQ215" s="372">
        <v>1</v>
      </c>
      <c r="AR215" s="372">
        <v>1</v>
      </c>
      <c r="AS215" s="372">
        <v>1</v>
      </c>
      <c r="AT215" s="372">
        <v>1</v>
      </c>
      <c r="AU215" s="372">
        <v>1</v>
      </c>
      <c r="AV215" s="372">
        <v>1</v>
      </c>
      <c r="AW215" s="372">
        <v>1</v>
      </c>
      <c r="AX215" s="372">
        <v>1</v>
      </c>
      <c r="AY215" s="372">
        <v>1</v>
      </c>
      <c r="AZ215" s="372">
        <v>1</v>
      </c>
      <c r="BA215" s="372">
        <v>1</v>
      </c>
      <c r="BB215" s="372">
        <v>1</v>
      </c>
      <c r="BC215" s="372">
        <v>1</v>
      </c>
      <c r="BD215" s="372">
        <v>1</v>
      </c>
      <c r="BE215" s="372">
        <v>1</v>
      </c>
      <c r="BF215" s="372">
        <v>1.2</v>
      </c>
      <c r="BG215" s="372">
        <v>1.2</v>
      </c>
      <c r="BH215" s="372">
        <v>1.2</v>
      </c>
      <c r="BI215" s="372">
        <v>1.2</v>
      </c>
      <c r="BJ215" s="372">
        <v>1.2</v>
      </c>
      <c r="BK215" s="372">
        <v>1.2</v>
      </c>
      <c r="BL215" s="372">
        <v>1.2</v>
      </c>
      <c r="BM215" s="372">
        <v>1.2</v>
      </c>
      <c r="BN215" s="372">
        <v>1.2</v>
      </c>
      <c r="BO215" s="372">
        <v>1.2</v>
      </c>
      <c r="BP215" s="372">
        <v>1.2</v>
      </c>
      <c r="BQ215" s="372">
        <v>1.2</v>
      </c>
      <c r="BR215" s="372">
        <v>1.2</v>
      </c>
      <c r="BS215" s="372">
        <v>1.2</v>
      </c>
      <c r="BT215" s="372"/>
      <c r="BU215" s="372"/>
      <c r="BV215" s="372">
        <v>1.2</v>
      </c>
      <c r="BW215" s="372">
        <v>1.2</v>
      </c>
      <c r="BX215" s="372"/>
      <c r="BY215" s="372"/>
      <c r="BZ215" s="372"/>
      <c r="CA215" s="372"/>
      <c r="CB215" s="372"/>
      <c r="CC215" s="372"/>
      <c r="CD215" s="372">
        <v>2.2999999999999998</v>
      </c>
      <c r="CE215" s="372">
        <v>0.6</v>
      </c>
      <c r="CF215" s="372">
        <v>0.6</v>
      </c>
      <c r="CG215" s="372">
        <v>0.6</v>
      </c>
      <c r="CH215" s="372">
        <v>0.6</v>
      </c>
      <c r="CI215" s="372">
        <v>3.2</v>
      </c>
      <c r="CJ215" s="372">
        <v>3.2</v>
      </c>
      <c r="CK215" s="372">
        <v>2.7</v>
      </c>
      <c r="CL215" s="372">
        <v>2.7</v>
      </c>
      <c r="CM215" s="372"/>
      <c r="CN215" s="372"/>
      <c r="CO215" s="372"/>
      <c r="CP215" s="372"/>
      <c r="CQ215" s="372"/>
      <c r="CR215" s="452">
        <v>1.1000000000000001</v>
      </c>
      <c r="CS215" s="452"/>
      <c r="CT215" s="452"/>
      <c r="CU215" s="452"/>
      <c r="CV215" s="452">
        <v>2.5</v>
      </c>
      <c r="CW215" s="452"/>
      <c r="CX215" s="452"/>
      <c r="CY215" s="452"/>
      <c r="CZ215" s="452"/>
      <c r="DA215" s="452"/>
      <c r="DB215" s="372">
        <v>1</v>
      </c>
      <c r="DC215" s="372">
        <v>1</v>
      </c>
      <c r="DD215" s="372">
        <v>1.1000000000000001</v>
      </c>
      <c r="DE215" s="372">
        <v>1.1000000000000001</v>
      </c>
      <c r="DF215" s="372">
        <v>1.6</v>
      </c>
      <c r="DG215" s="372">
        <v>1.4</v>
      </c>
      <c r="DH215" s="3"/>
      <c r="DI215" s="3"/>
      <c r="DJ215" s="3"/>
      <c r="DK215" s="3"/>
      <c r="DL215" s="3"/>
      <c r="DM215" s="3"/>
      <c r="DN215" s="3"/>
      <c r="DO215" s="3"/>
      <c r="DP215" s="3"/>
      <c r="DQ215" s="3"/>
      <c r="DR215" s="3"/>
      <c r="DS215" s="3"/>
      <c r="DT215" s="3"/>
      <c r="DU215" s="3"/>
      <c r="DV215" s="3"/>
      <c r="DW215" s="3"/>
      <c r="DX215" s="3"/>
      <c r="DY215" s="3"/>
    </row>
    <row r="216" spans="23:273" ht="12" customHeight="1">
      <c r="AH216" s="3">
        <v>14</v>
      </c>
      <c r="AI216" s="4" t="s">
        <v>551</v>
      </c>
      <c r="AJ216" s="40" t="s">
        <v>617</v>
      </c>
      <c r="AK216" s="286">
        <f>ROW()</f>
        <v>216</v>
      </c>
      <c r="AL216" s="193">
        <f>MIN(1,ROUND(2/AL213,2))</f>
        <v>0.67</v>
      </c>
      <c r="AM216" s="193">
        <f t="shared" ref="AM216:AW216" si="5">MIN(1,ROUND(2/AM213,2))</f>
        <v>0.63</v>
      </c>
      <c r="AN216" s="193">
        <f t="shared" si="5"/>
        <v>0.59</v>
      </c>
      <c r="AO216" s="193">
        <f t="shared" si="5"/>
        <v>0.56000000000000005</v>
      </c>
      <c r="AP216" s="193">
        <f t="shared" si="5"/>
        <v>0.53</v>
      </c>
      <c r="AQ216" s="193">
        <f t="shared" si="5"/>
        <v>0.5</v>
      </c>
      <c r="AR216" s="193">
        <f t="shared" si="5"/>
        <v>0.5</v>
      </c>
      <c r="AS216" s="193">
        <f t="shared" si="5"/>
        <v>0.5</v>
      </c>
      <c r="AT216" s="193">
        <f t="shared" si="5"/>
        <v>0.5</v>
      </c>
      <c r="AU216" s="193">
        <f t="shared" si="5"/>
        <v>0.5</v>
      </c>
      <c r="AV216" s="193">
        <f t="shared" si="5"/>
        <v>0.5</v>
      </c>
      <c r="AW216" s="193">
        <f t="shared" si="5"/>
        <v>0.5</v>
      </c>
      <c r="AX216" s="193">
        <f>2/3</f>
        <v>0.66666666666666663</v>
      </c>
      <c r="AY216" s="193">
        <f t="shared" ref="AY216:BE216" si="6">2/3</f>
        <v>0.66666666666666663</v>
      </c>
      <c r="AZ216" s="193">
        <f t="shared" si="6"/>
        <v>0.66666666666666663</v>
      </c>
      <c r="BA216" s="193">
        <f t="shared" si="6"/>
        <v>0.66666666666666663</v>
      </c>
      <c r="BB216" s="193">
        <f t="shared" si="6"/>
        <v>0.66666666666666663</v>
      </c>
      <c r="BC216" s="193">
        <f t="shared" si="6"/>
        <v>0.66666666666666663</v>
      </c>
      <c r="BD216" s="193">
        <f t="shared" si="6"/>
        <v>0.66666666666666663</v>
      </c>
      <c r="BE216" s="193">
        <f t="shared" si="6"/>
        <v>0.66666666666666663</v>
      </c>
      <c r="BF216" s="193">
        <f>MIN(1,ROUND(2.5/BF213,2))</f>
        <v>0.71</v>
      </c>
      <c r="BG216" s="193">
        <f t="shared" ref="BG216:BW216" si="7">MIN(1,ROUND(2.5/BG213,2))</f>
        <v>0.71</v>
      </c>
      <c r="BH216" s="193">
        <f t="shared" si="7"/>
        <v>0.71</v>
      </c>
      <c r="BI216" s="193">
        <f t="shared" si="7"/>
        <v>0.71</v>
      </c>
      <c r="BJ216" s="193">
        <f t="shared" si="7"/>
        <v>0.71</v>
      </c>
      <c r="BK216" s="193">
        <f t="shared" si="7"/>
        <v>0.71</v>
      </c>
      <c r="BL216" s="193">
        <f t="shared" si="7"/>
        <v>0.71</v>
      </c>
      <c r="BM216" s="193">
        <f t="shared" si="7"/>
        <v>0.71</v>
      </c>
      <c r="BN216" s="193">
        <f t="shared" si="7"/>
        <v>0.71</v>
      </c>
      <c r="BO216" s="193">
        <f t="shared" si="7"/>
        <v>0.71</v>
      </c>
      <c r="BP216" s="193">
        <f t="shared" si="7"/>
        <v>0.71</v>
      </c>
      <c r="BQ216" s="193">
        <f t="shared" si="7"/>
        <v>0.71</v>
      </c>
      <c r="BR216" s="193">
        <f t="shared" si="7"/>
        <v>0.71</v>
      </c>
      <c r="BS216" s="193">
        <f t="shared" si="7"/>
        <v>0.71</v>
      </c>
      <c r="BT216" s="193"/>
      <c r="BU216" s="193"/>
      <c r="BV216" s="193">
        <f t="shared" si="7"/>
        <v>0.66</v>
      </c>
      <c r="BW216" s="193">
        <f t="shared" si="7"/>
        <v>0.57999999999999996</v>
      </c>
      <c r="BX216" s="193"/>
      <c r="BY216" s="193"/>
      <c r="BZ216" s="193"/>
      <c r="CA216" s="193"/>
      <c r="CB216" s="193"/>
      <c r="CC216" s="193"/>
      <c r="CD216" s="193">
        <v>1</v>
      </c>
      <c r="CE216" s="193">
        <v>1</v>
      </c>
      <c r="CF216" s="193">
        <v>1</v>
      </c>
      <c r="CG216" s="193">
        <v>1</v>
      </c>
      <c r="CH216" s="193">
        <v>1</v>
      </c>
      <c r="CI216" s="193">
        <v>1</v>
      </c>
      <c r="CJ216" s="193">
        <v>1</v>
      </c>
      <c r="CK216" s="193">
        <v>1</v>
      </c>
      <c r="CL216" s="193">
        <v>1</v>
      </c>
      <c r="CM216" s="193">
        <v>1</v>
      </c>
      <c r="CN216" s="193">
        <v>1</v>
      </c>
      <c r="CO216" s="193">
        <v>1</v>
      </c>
      <c r="CP216" s="193">
        <v>1</v>
      </c>
      <c r="CQ216" s="193">
        <v>1</v>
      </c>
      <c r="CR216" s="453">
        <v>1</v>
      </c>
      <c r="CS216" s="453"/>
      <c r="CT216" s="453"/>
      <c r="CU216" s="453"/>
      <c r="CV216" s="453">
        <v>1</v>
      </c>
      <c r="CW216" s="453"/>
      <c r="CX216" s="453"/>
      <c r="CY216" s="453"/>
      <c r="CZ216" s="453"/>
      <c r="DA216" s="453"/>
      <c r="DB216" s="193">
        <v>1</v>
      </c>
      <c r="DC216" s="193">
        <v>1</v>
      </c>
      <c r="DD216" s="193">
        <v>1</v>
      </c>
      <c r="DE216" s="193">
        <v>1</v>
      </c>
      <c r="DF216" s="193">
        <v>1</v>
      </c>
      <c r="DG216" s="193">
        <v>1</v>
      </c>
      <c r="DH216" s="3"/>
      <c r="DI216" s="3"/>
      <c r="DJ216" s="3"/>
      <c r="DK216" s="3"/>
      <c r="DL216" s="3"/>
      <c r="DM216" s="3"/>
      <c r="DN216" s="3"/>
      <c r="DO216" s="3"/>
      <c r="DP216" s="3"/>
      <c r="DQ216" s="3"/>
      <c r="DR216" s="3"/>
      <c r="DS216" s="3"/>
      <c r="DT216" s="3"/>
      <c r="DU216" s="3"/>
      <c r="DV216" s="3"/>
      <c r="DW216" s="3"/>
      <c r="DX216" s="3"/>
      <c r="DY216" s="3"/>
    </row>
    <row r="217" spans="23:273" s="1" customFormat="1" ht="12" customHeight="1">
      <c r="W217" s="365"/>
      <c r="X217" s="148"/>
      <c r="AG217" s="91"/>
      <c r="AH217" s="3">
        <v>15</v>
      </c>
      <c r="AI217" s="437" t="s">
        <v>18</v>
      </c>
      <c r="AJ217" s="437"/>
      <c r="AK217" s="286">
        <f>ROW()</f>
        <v>217</v>
      </c>
      <c r="AL217" s="426"/>
      <c r="AM217" s="426"/>
      <c r="AN217" s="426"/>
      <c r="AO217" s="426"/>
      <c r="AP217" s="426"/>
      <c r="AQ217" s="426"/>
      <c r="AR217" s="426"/>
      <c r="AS217" s="426"/>
      <c r="AT217" s="426"/>
      <c r="AU217" s="426"/>
      <c r="AV217" s="426"/>
      <c r="AW217" s="426"/>
      <c r="AX217" s="426"/>
      <c r="AY217" s="426"/>
      <c r="AZ217" s="426"/>
      <c r="BA217" s="426"/>
      <c r="BB217" s="426"/>
      <c r="BC217" s="426"/>
      <c r="BD217" s="426"/>
      <c r="BE217" s="426"/>
      <c r="BF217" s="426"/>
      <c r="BG217" s="426"/>
      <c r="BH217" s="426"/>
      <c r="BI217" s="426"/>
      <c r="BJ217" s="426"/>
      <c r="BK217" s="426"/>
      <c r="BL217" s="426"/>
      <c r="BM217" s="426"/>
      <c r="BN217" s="426"/>
      <c r="BO217" s="426"/>
      <c r="BP217" s="426"/>
      <c r="BQ217" s="426"/>
      <c r="BR217" s="426"/>
      <c r="BS217" s="426"/>
      <c r="BT217" s="426"/>
      <c r="BU217" s="426"/>
      <c r="BV217" s="426"/>
      <c r="BW217" s="426"/>
      <c r="BX217" s="426"/>
      <c r="BY217" s="426"/>
      <c r="BZ217" s="426"/>
      <c r="CA217" s="426"/>
      <c r="CB217" s="426"/>
      <c r="CC217" s="426"/>
      <c r="CD217" s="426"/>
      <c r="CE217" s="426"/>
      <c r="CF217" s="426"/>
      <c r="CG217" s="426"/>
      <c r="CH217" s="426"/>
      <c r="CI217" s="426"/>
      <c r="CJ217" s="426"/>
      <c r="CK217" s="426"/>
      <c r="CL217" s="426"/>
      <c r="CM217" s="426"/>
      <c r="CN217" s="426"/>
      <c r="CO217" s="426"/>
      <c r="CP217" s="426"/>
      <c r="CQ217" s="426"/>
      <c r="CR217" s="454"/>
      <c r="CS217" s="454"/>
      <c r="CT217" s="454"/>
      <c r="CU217" s="454"/>
      <c r="CV217" s="454"/>
      <c r="CW217" s="454"/>
      <c r="CX217" s="454"/>
      <c r="CY217" s="454"/>
      <c r="CZ217" s="454"/>
      <c r="DA217" s="454"/>
      <c r="DB217" s="426"/>
      <c r="DC217" s="426"/>
      <c r="DD217" s="426"/>
      <c r="DE217" s="426"/>
      <c r="DF217" s="426"/>
      <c r="DG217" s="426"/>
      <c r="DH217" s="148"/>
      <c r="DI217" s="148"/>
      <c r="DJ217" s="148"/>
      <c r="DK217" s="148"/>
      <c r="DL217" s="148"/>
      <c r="DM217" s="148"/>
      <c r="DN217" s="148"/>
      <c r="DO217" s="148"/>
      <c r="DP217" s="148"/>
      <c r="DQ217" s="148"/>
      <c r="DR217" s="148"/>
      <c r="DS217" s="148"/>
      <c r="DT217" s="148"/>
      <c r="DU217" s="148"/>
      <c r="DV217" s="148"/>
      <c r="DW217" s="148"/>
      <c r="DX217" s="148"/>
      <c r="DY217" s="148"/>
      <c r="DZ217" s="365"/>
      <c r="EA217" s="148"/>
      <c r="FW217" s="365"/>
      <c r="FX217" s="148"/>
      <c r="HK217" s="365"/>
      <c r="HL217" s="148"/>
      <c r="HY217" s="365"/>
      <c r="HZ217" s="148"/>
      <c r="IT217" s="365"/>
      <c r="IU217" s="148"/>
      <c r="JL217" s="365"/>
      <c r="JM217" s="148"/>
    </row>
    <row r="218" spans="23:273" ht="12" customHeight="1">
      <c r="AH218" s="3">
        <v>16</v>
      </c>
      <c r="AI218" s="4" t="s">
        <v>542</v>
      </c>
      <c r="AJ218" s="40" t="s">
        <v>326</v>
      </c>
      <c r="AK218" s="286">
        <f>ROW()</f>
        <v>218</v>
      </c>
      <c r="AL218" s="371">
        <v>7000</v>
      </c>
      <c r="AM218" s="371">
        <v>8000</v>
      </c>
      <c r="AN218" s="371">
        <v>9000</v>
      </c>
      <c r="AO218" s="371">
        <v>9500</v>
      </c>
      <c r="AP218" s="371">
        <v>10000</v>
      </c>
      <c r="AQ218" s="371">
        <v>11000</v>
      </c>
      <c r="AR218" s="371">
        <v>11500</v>
      </c>
      <c r="AS218" s="371">
        <v>12000</v>
      </c>
      <c r="AT218" s="371">
        <v>13000</v>
      </c>
      <c r="AU218" s="371">
        <v>14000</v>
      </c>
      <c r="AV218" s="371">
        <v>15000</v>
      </c>
      <c r="AW218" s="371">
        <v>16000</v>
      </c>
      <c r="AX218" s="371">
        <v>9500</v>
      </c>
      <c r="AY218" s="371">
        <v>10000</v>
      </c>
      <c r="AZ218" s="371">
        <v>11000</v>
      </c>
      <c r="BA218" s="371">
        <v>12000</v>
      </c>
      <c r="BB218" s="371">
        <v>13000</v>
      </c>
      <c r="BC218" s="371">
        <v>14000</v>
      </c>
      <c r="BD218" s="371">
        <v>17000</v>
      </c>
      <c r="BE218" s="371">
        <v>20000</v>
      </c>
      <c r="BF218" s="371">
        <v>10400</v>
      </c>
      <c r="BG218" s="371">
        <v>8400</v>
      </c>
      <c r="BH218" s="371">
        <v>10400</v>
      </c>
      <c r="BI218" s="371">
        <v>10500</v>
      </c>
      <c r="BJ218" s="371">
        <v>11000</v>
      </c>
      <c r="BK218" s="371">
        <v>11500</v>
      </c>
      <c r="BL218" s="371">
        <v>12000</v>
      </c>
      <c r="BM218" s="371">
        <v>12100</v>
      </c>
      <c r="BN218" s="371">
        <v>12500</v>
      </c>
      <c r="BO218" s="371">
        <v>12600</v>
      </c>
      <c r="BP218" s="371">
        <v>13000</v>
      </c>
      <c r="BQ218" s="371">
        <v>13600</v>
      </c>
      <c r="BR218" s="371">
        <v>13500</v>
      </c>
      <c r="BS218" s="371">
        <v>14200</v>
      </c>
      <c r="BT218" s="371"/>
      <c r="BU218" s="371"/>
      <c r="BV218" s="371">
        <v>14700</v>
      </c>
      <c r="BW218" s="371">
        <v>14700</v>
      </c>
      <c r="BX218" s="371"/>
      <c r="BY218" s="371"/>
      <c r="BZ218" s="371"/>
      <c r="CA218" s="371"/>
      <c r="CB218" s="371"/>
      <c r="CC218" s="371"/>
      <c r="CD218" s="371">
        <v>13800</v>
      </c>
      <c r="CE218" s="371">
        <v>10000</v>
      </c>
      <c r="CF218" s="371">
        <v>10500</v>
      </c>
      <c r="CG218" s="371">
        <v>11300</v>
      </c>
      <c r="CH218" s="371">
        <v>11400</v>
      </c>
      <c r="CI218" s="371">
        <v>14000</v>
      </c>
      <c r="CJ218" s="371">
        <v>15600</v>
      </c>
      <c r="CK218" s="371">
        <v>10000</v>
      </c>
      <c r="CL218" s="371">
        <v>10600</v>
      </c>
      <c r="CM218" s="371">
        <v>16800</v>
      </c>
      <c r="CN218" s="371">
        <v>11800</v>
      </c>
      <c r="CO218" s="371">
        <v>13200</v>
      </c>
      <c r="CP218" s="371">
        <v>16700</v>
      </c>
      <c r="CQ218" s="371">
        <v>16700</v>
      </c>
      <c r="CR218" s="455">
        <v>5500</v>
      </c>
      <c r="CS218" s="455"/>
      <c r="CT218" s="455"/>
      <c r="CU218" s="455"/>
      <c r="CV218" s="455">
        <v>6000</v>
      </c>
      <c r="CW218" s="455"/>
      <c r="CX218" s="455"/>
      <c r="CY218" s="455"/>
      <c r="CZ218" s="455"/>
      <c r="DA218" s="455"/>
      <c r="DB218" s="371">
        <v>4930</v>
      </c>
      <c r="DC218" s="371">
        <v>4930</v>
      </c>
      <c r="DD218" s="371">
        <v>6780</v>
      </c>
      <c r="DE218" s="371">
        <v>6780</v>
      </c>
      <c r="DF218" s="371">
        <v>3800</v>
      </c>
      <c r="DG218" s="371">
        <v>3900</v>
      </c>
      <c r="DH218" s="3"/>
      <c r="DI218" s="3"/>
      <c r="DJ218" s="3"/>
      <c r="DK218" s="3"/>
      <c r="DL218" s="3"/>
      <c r="DM218" s="3"/>
      <c r="DN218" s="3"/>
      <c r="DO218" s="3"/>
      <c r="DP218" s="3"/>
      <c r="DQ218" s="3"/>
      <c r="DR218" s="3"/>
      <c r="DS218" s="3"/>
      <c r="DT218" s="3"/>
      <c r="DU218" s="3"/>
      <c r="DV218" s="3"/>
      <c r="DW218" s="3"/>
      <c r="DX218" s="3"/>
      <c r="DY218" s="3"/>
    </row>
    <row r="219" spans="23:273" ht="12" customHeight="1">
      <c r="AH219" s="3">
        <v>17</v>
      </c>
      <c r="AI219" s="4" t="s">
        <v>544</v>
      </c>
      <c r="AJ219" s="40" t="s">
        <v>328</v>
      </c>
      <c r="AK219" s="286">
        <f>ROW()</f>
        <v>219</v>
      </c>
      <c r="AL219" s="371">
        <v>230</v>
      </c>
      <c r="AM219" s="371">
        <v>270</v>
      </c>
      <c r="AN219" s="371">
        <v>300</v>
      </c>
      <c r="AO219" s="371">
        <v>320</v>
      </c>
      <c r="AP219" s="371">
        <v>330</v>
      </c>
      <c r="AQ219" s="371">
        <v>370</v>
      </c>
      <c r="AR219" s="371">
        <v>380</v>
      </c>
      <c r="AS219" s="371">
        <v>400</v>
      </c>
      <c r="AT219" s="371">
        <v>430</v>
      </c>
      <c r="AU219" s="371">
        <v>470</v>
      </c>
      <c r="AV219" s="371">
        <v>500</v>
      </c>
      <c r="AW219" s="371">
        <v>530</v>
      </c>
      <c r="AX219" s="371">
        <v>630</v>
      </c>
      <c r="AY219" s="371">
        <v>670</v>
      </c>
      <c r="AZ219" s="371">
        <v>730</v>
      </c>
      <c r="BA219" s="371">
        <v>800</v>
      </c>
      <c r="BB219" s="371">
        <v>860</v>
      </c>
      <c r="BC219" s="371">
        <v>930</v>
      </c>
      <c r="BD219" s="371">
        <v>1130</v>
      </c>
      <c r="BE219" s="371">
        <v>1330</v>
      </c>
      <c r="BF219" s="371">
        <v>300</v>
      </c>
      <c r="BG219" s="371">
        <v>300</v>
      </c>
      <c r="BH219" s="371">
        <v>300</v>
      </c>
      <c r="BI219" s="371">
        <v>300</v>
      </c>
      <c r="BJ219" s="371">
        <v>300</v>
      </c>
      <c r="BK219" s="371">
        <v>300</v>
      </c>
      <c r="BL219" s="371">
        <v>300</v>
      </c>
      <c r="BM219" s="371">
        <v>300</v>
      </c>
      <c r="BN219" s="371">
        <v>300</v>
      </c>
      <c r="BO219" s="371">
        <v>300</v>
      </c>
      <c r="BP219" s="371">
        <v>300</v>
      </c>
      <c r="BQ219" s="371">
        <v>300</v>
      </c>
      <c r="BR219" s="371">
        <v>300</v>
      </c>
      <c r="BS219" s="371">
        <v>300</v>
      </c>
      <c r="BT219" s="371"/>
      <c r="BU219" s="371"/>
      <c r="BV219" s="371">
        <v>460</v>
      </c>
      <c r="BW219" s="371">
        <v>490</v>
      </c>
      <c r="BX219" s="371"/>
      <c r="BY219" s="371"/>
      <c r="BZ219" s="371"/>
      <c r="CA219" s="371"/>
      <c r="CB219" s="371"/>
      <c r="CC219" s="371"/>
      <c r="CD219" s="371"/>
      <c r="CE219" s="371">
        <v>1200</v>
      </c>
      <c r="CF219" s="371">
        <v>2000</v>
      </c>
      <c r="CG219" s="371"/>
      <c r="CH219" s="371"/>
      <c r="CI219" s="371"/>
      <c r="CJ219" s="371"/>
      <c r="CK219" s="371">
        <v>2300</v>
      </c>
      <c r="CL219" s="371">
        <v>3000</v>
      </c>
      <c r="CM219" s="371">
        <v>470</v>
      </c>
      <c r="CN219" s="371">
        <v>3900</v>
      </c>
      <c r="CO219" s="371">
        <v>2200</v>
      </c>
      <c r="CP219" s="371">
        <v>470</v>
      </c>
      <c r="CQ219" s="371">
        <v>470</v>
      </c>
      <c r="CR219" s="455">
        <v>1500</v>
      </c>
      <c r="CS219" s="455"/>
      <c r="CT219" s="455"/>
      <c r="CU219" s="455"/>
      <c r="CV219" s="455">
        <v>4000</v>
      </c>
      <c r="CW219" s="455"/>
      <c r="CX219" s="455"/>
      <c r="CY219" s="455"/>
      <c r="CZ219" s="455"/>
      <c r="DA219" s="455"/>
      <c r="DB219" s="371">
        <v>1980</v>
      </c>
      <c r="DC219" s="371">
        <v>1980</v>
      </c>
      <c r="DD219" s="371">
        <v>2680</v>
      </c>
      <c r="DE219" s="371">
        <v>2680</v>
      </c>
      <c r="DF219" s="371">
        <v>800</v>
      </c>
      <c r="DG219" s="371"/>
      <c r="DH219" s="3"/>
      <c r="DI219" s="3"/>
      <c r="DJ219" s="3"/>
      <c r="DK219" s="3"/>
      <c r="DL219" s="3"/>
      <c r="DM219" s="3"/>
      <c r="DN219" s="3"/>
      <c r="DO219" s="3"/>
      <c r="DP219" s="3"/>
      <c r="DQ219" s="3"/>
      <c r="DR219" s="3"/>
      <c r="DS219" s="3"/>
      <c r="DT219" s="3"/>
      <c r="DU219" s="3"/>
      <c r="DV219" s="3"/>
      <c r="DW219" s="3"/>
      <c r="DX219" s="3"/>
      <c r="DY219" s="3"/>
    </row>
    <row r="220" spans="23:273" ht="12" customHeight="1">
      <c r="AH220" s="3">
        <v>18</v>
      </c>
      <c r="AI220" s="4" t="s">
        <v>543</v>
      </c>
      <c r="AJ220" s="40" t="s">
        <v>327</v>
      </c>
      <c r="AK220" s="286">
        <f>ROW()</f>
        <v>220</v>
      </c>
      <c r="AL220" s="371">
        <v>4700</v>
      </c>
      <c r="AM220" s="371">
        <v>5400</v>
      </c>
      <c r="AN220" s="371">
        <v>6000</v>
      </c>
      <c r="AO220" s="371">
        <v>6400</v>
      </c>
      <c r="AP220" s="371">
        <v>6700</v>
      </c>
      <c r="AQ220" s="371">
        <v>7400</v>
      </c>
      <c r="AR220" s="371">
        <v>7700</v>
      </c>
      <c r="AS220" s="371">
        <v>8000</v>
      </c>
      <c r="AT220" s="371">
        <v>8700</v>
      </c>
      <c r="AU220" s="371">
        <v>9400</v>
      </c>
      <c r="AV220" s="371">
        <v>10000</v>
      </c>
      <c r="AW220" s="371">
        <v>10700</v>
      </c>
      <c r="AX220" s="371">
        <v>8000</v>
      </c>
      <c r="AY220" s="371">
        <v>8500</v>
      </c>
      <c r="AZ220" s="371">
        <v>9200</v>
      </c>
      <c r="BA220" s="371">
        <v>10100</v>
      </c>
      <c r="BB220" s="371">
        <v>10900</v>
      </c>
      <c r="BC220" s="371">
        <v>11800</v>
      </c>
      <c r="BD220" s="371">
        <v>14300</v>
      </c>
      <c r="BE220" s="371">
        <v>16800</v>
      </c>
      <c r="BF220" s="371">
        <v>8600</v>
      </c>
      <c r="BG220" s="371">
        <v>7000</v>
      </c>
      <c r="BH220" s="371">
        <v>8600</v>
      </c>
      <c r="BI220" s="371">
        <v>8800</v>
      </c>
      <c r="BJ220" s="371">
        <v>9100</v>
      </c>
      <c r="BK220" s="371">
        <v>9600</v>
      </c>
      <c r="BL220" s="371">
        <v>10000</v>
      </c>
      <c r="BM220" s="371">
        <v>10100</v>
      </c>
      <c r="BN220" s="371">
        <v>10400</v>
      </c>
      <c r="BO220" s="371">
        <v>10500</v>
      </c>
      <c r="BP220" s="371">
        <v>10800</v>
      </c>
      <c r="BQ220" s="371">
        <v>11300</v>
      </c>
      <c r="BR220" s="371">
        <v>11200</v>
      </c>
      <c r="BS220" s="371">
        <v>11800</v>
      </c>
      <c r="BT220" s="371"/>
      <c r="BU220" s="371"/>
      <c r="BV220" s="371">
        <v>11900</v>
      </c>
      <c r="BW220" s="371">
        <v>11900</v>
      </c>
      <c r="BX220" s="371"/>
      <c r="BY220" s="371"/>
      <c r="BZ220" s="371"/>
      <c r="CA220" s="371"/>
      <c r="CB220" s="371"/>
      <c r="CC220" s="371"/>
      <c r="CD220" s="371">
        <v>11600</v>
      </c>
      <c r="CE220" s="371">
        <v>8300</v>
      </c>
      <c r="CF220" s="371">
        <v>8800</v>
      </c>
      <c r="CG220" s="371">
        <v>9500</v>
      </c>
      <c r="CH220" s="371">
        <v>9600</v>
      </c>
      <c r="CI220" s="371">
        <v>12000</v>
      </c>
      <c r="CJ220" s="371">
        <v>14000</v>
      </c>
      <c r="CK220" s="371">
        <v>9000</v>
      </c>
      <c r="CL220" s="371">
        <v>9000</v>
      </c>
      <c r="CM220" s="371">
        <v>14900</v>
      </c>
      <c r="CN220" s="371">
        <v>10900</v>
      </c>
      <c r="CO220" s="371">
        <v>12200</v>
      </c>
      <c r="CP220" s="371">
        <v>15300</v>
      </c>
      <c r="CQ220" s="371">
        <v>15300</v>
      </c>
      <c r="CR220" s="455">
        <v>4400</v>
      </c>
      <c r="CS220" s="455"/>
      <c r="CT220" s="455"/>
      <c r="CU220" s="455"/>
      <c r="CV220" s="455">
        <v>4800</v>
      </c>
      <c r="CW220" s="455"/>
      <c r="CX220" s="455"/>
      <c r="CY220" s="455"/>
      <c r="CZ220" s="455"/>
      <c r="DA220" s="455"/>
      <c r="DB220" s="371">
        <f>ROUND(DB218*0.85/100,0)*100</f>
        <v>4200</v>
      </c>
      <c r="DC220" s="371">
        <f>ROUND(DC218*0.85/100,0)*100</f>
        <v>4200</v>
      </c>
      <c r="DD220" s="371">
        <f>ROUND(DD218*0.85/100,0)*100</f>
        <v>5800</v>
      </c>
      <c r="DE220" s="371">
        <f>ROUND(DE218*0.85/100,0)*100</f>
        <v>5800</v>
      </c>
      <c r="DF220" s="371"/>
      <c r="DG220" s="371"/>
      <c r="DH220" s="3"/>
      <c r="DI220" s="3"/>
      <c r="DJ220" s="3"/>
      <c r="DK220" s="3"/>
      <c r="DL220" s="3"/>
      <c r="DM220" s="3"/>
      <c r="DN220" s="3"/>
      <c r="DO220" s="3"/>
      <c r="DP220" s="3"/>
      <c r="DQ220" s="3"/>
      <c r="DR220" s="3"/>
      <c r="DS220" s="3"/>
      <c r="DT220" s="3"/>
      <c r="DU220" s="3"/>
      <c r="DV220" s="3"/>
      <c r="DW220" s="3"/>
      <c r="DX220" s="3"/>
      <c r="DY220" s="3"/>
    </row>
    <row r="221" spans="23:273" ht="12" customHeight="1">
      <c r="AH221" s="3">
        <v>19</v>
      </c>
      <c r="AI221" s="4" t="s">
        <v>699</v>
      </c>
      <c r="AJ221" s="40" t="s">
        <v>700</v>
      </c>
      <c r="AK221" s="286">
        <f>ROW()</f>
        <v>221</v>
      </c>
      <c r="AL221" s="371"/>
      <c r="AM221" s="371"/>
      <c r="AN221" s="371"/>
      <c r="AO221" s="371"/>
      <c r="AP221" s="371"/>
      <c r="AQ221" s="371"/>
      <c r="AR221" s="371"/>
      <c r="AS221" s="371"/>
      <c r="AT221" s="371"/>
      <c r="AU221" s="371"/>
      <c r="AV221" s="371"/>
      <c r="AW221" s="371"/>
      <c r="AX221" s="371"/>
      <c r="AY221" s="371"/>
      <c r="AZ221" s="371"/>
      <c r="BA221" s="371"/>
      <c r="BB221" s="371"/>
      <c r="BC221" s="371"/>
      <c r="BD221" s="371"/>
      <c r="BE221" s="371"/>
      <c r="BF221" s="371">
        <v>250</v>
      </c>
      <c r="BG221" s="371">
        <v>250</v>
      </c>
      <c r="BH221" s="371">
        <v>250</v>
      </c>
      <c r="BI221" s="371">
        <v>250</v>
      </c>
      <c r="BJ221" s="371">
        <v>250</v>
      </c>
      <c r="BK221" s="371">
        <v>250</v>
      </c>
      <c r="BL221" s="371">
        <v>250</v>
      </c>
      <c r="BM221" s="371">
        <v>250</v>
      </c>
      <c r="BN221" s="371">
        <v>250</v>
      </c>
      <c r="BO221" s="371">
        <v>250</v>
      </c>
      <c r="BP221" s="371">
        <v>250</v>
      </c>
      <c r="BQ221" s="371">
        <v>250</v>
      </c>
      <c r="BR221" s="371">
        <v>250</v>
      </c>
      <c r="BS221" s="371">
        <v>250</v>
      </c>
      <c r="BT221" s="371"/>
      <c r="BU221" s="371"/>
      <c r="BV221" s="371">
        <f>ROUND(0.85*BV219/10,0)*10</f>
        <v>390</v>
      </c>
      <c r="BW221" s="371">
        <f>ROUND(0.85*BW219/10,0)*10</f>
        <v>420</v>
      </c>
      <c r="BX221" s="371"/>
      <c r="BY221" s="371"/>
      <c r="BZ221" s="371"/>
      <c r="CA221" s="371"/>
      <c r="CB221" s="371"/>
      <c r="CC221" s="371"/>
      <c r="CD221" s="371"/>
      <c r="CE221" s="371"/>
      <c r="CF221" s="371"/>
      <c r="CG221" s="371"/>
      <c r="CH221" s="371"/>
      <c r="CI221" s="371"/>
      <c r="CJ221" s="371"/>
      <c r="CK221" s="371"/>
      <c r="CL221" s="371"/>
      <c r="CM221" s="371">
        <v>400</v>
      </c>
      <c r="CN221" s="371"/>
      <c r="CO221" s="371"/>
      <c r="CP221" s="371">
        <v>400</v>
      </c>
      <c r="CQ221" s="371">
        <v>400</v>
      </c>
      <c r="CR221" s="455"/>
      <c r="CS221" s="455"/>
      <c r="CT221" s="455"/>
      <c r="CU221" s="455"/>
      <c r="CV221" s="455"/>
      <c r="CW221" s="455"/>
      <c r="CX221" s="455"/>
      <c r="CY221" s="455"/>
      <c r="CZ221" s="455"/>
      <c r="DA221" s="455"/>
      <c r="DB221" s="371">
        <v>1700</v>
      </c>
      <c r="DC221" s="371">
        <v>1700</v>
      </c>
      <c r="DD221" s="371">
        <v>2300</v>
      </c>
      <c r="DE221" s="371">
        <v>2300</v>
      </c>
      <c r="DF221" s="371"/>
      <c r="DG221" s="371"/>
      <c r="DH221" s="3"/>
      <c r="DI221" s="3"/>
      <c r="DJ221" s="3"/>
      <c r="DK221" s="3"/>
      <c r="DL221" s="3"/>
      <c r="DM221" s="3"/>
      <c r="DN221" s="3"/>
      <c r="DO221" s="3"/>
      <c r="DP221" s="3"/>
      <c r="DQ221" s="3"/>
      <c r="DR221" s="3"/>
      <c r="DS221" s="3"/>
      <c r="DT221" s="3"/>
      <c r="DU221" s="3"/>
      <c r="DV221" s="3"/>
      <c r="DW221" s="3"/>
      <c r="DX221" s="3"/>
      <c r="DY221" s="3"/>
    </row>
    <row r="222" spans="23:273" ht="12" customHeight="1">
      <c r="AH222" s="3">
        <v>20</v>
      </c>
      <c r="AI222" s="4" t="s">
        <v>19</v>
      </c>
      <c r="AJ222" s="40" t="s">
        <v>195</v>
      </c>
      <c r="AK222" s="286">
        <f>ROW()</f>
        <v>222</v>
      </c>
      <c r="AL222" s="371">
        <v>440</v>
      </c>
      <c r="AM222" s="371">
        <v>500</v>
      </c>
      <c r="AN222" s="371">
        <v>560</v>
      </c>
      <c r="AO222" s="371">
        <v>590</v>
      </c>
      <c r="AP222" s="371">
        <v>630</v>
      </c>
      <c r="AQ222" s="371">
        <v>690</v>
      </c>
      <c r="AR222" s="371">
        <v>720</v>
      </c>
      <c r="AS222" s="371">
        <v>750</v>
      </c>
      <c r="AT222" s="371">
        <v>810</v>
      </c>
      <c r="AU222" s="371">
        <v>880</v>
      </c>
      <c r="AV222" s="371">
        <v>940</v>
      </c>
      <c r="AW222" s="371">
        <v>1000</v>
      </c>
      <c r="AX222" s="371">
        <v>590</v>
      </c>
      <c r="AY222" s="371">
        <v>620</v>
      </c>
      <c r="AZ222" s="371">
        <v>690</v>
      </c>
      <c r="BA222" s="371">
        <v>750</v>
      </c>
      <c r="BB222" s="371">
        <v>810</v>
      </c>
      <c r="BC222" s="371">
        <v>880</v>
      </c>
      <c r="BD222" s="371">
        <v>1060</v>
      </c>
      <c r="BE222" s="371">
        <v>1250</v>
      </c>
      <c r="BF222" s="371">
        <v>650</v>
      </c>
      <c r="BG222" s="371">
        <v>650</v>
      </c>
      <c r="BH222" s="371">
        <v>650</v>
      </c>
      <c r="BI222" s="371">
        <v>650</v>
      </c>
      <c r="BJ222" s="371">
        <v>650</v>
      </c>
      <c r="BK222" s="371">
        <v>650</v>
      </c>
      <c r="BL222" s="371">
        <v>650</v>
      </c>
      <c r="BM222" s="371">
        <v>650</v>
      </c>
      <c r="BN222" s="371">
        <v>650</v>
      </c>
      <c r="BO222" s="371">
        <v>650</v>
      </c>
      <c r="BP222" s="371">
        <v>650</v>
      </c>
      <c r="BQ222" s="371">
        <v>650</v>
      </c>
      <c r="BR222" s="371">
        <v>650</v>
      </c>
      <c r="BS222" s="371">
        <v>650</v>
      </c>
      <c r="BT222" s="371"/>
      <c r="BU222" s="371"/>
      <c r="BV222" s="371">
        <v>850</v>
      </c>
      <c r="BW222" s="371">
        <v>910</v>
      </c>
      <c r="BX222" s="371"/>
      <c r="BY222" s="371"/>
      <c r="BZ222" s="371"/>
      <c r="CA222" s="371"/>
      <c r="CB222" s="371"/>
      <c r="CC222" s="371"/>
      <c r="CD222" s="371">
        <v>600</v>
      </c>
      <c r="CE222" s="371">
        <v>60</v>
      </c>
      <c r="CF222" s="371">
        <v>120</v>
      </c>
      <c r="CG222" s="371">
        <v>120</v>
      </c>
      <c r="CH222" s="371">
        <v>120</v>
      </c>
      <c r="CI222" s="371">
        <v>500</v>
      </c>
      <c r="CJ222" s="371">
        <v>500</v>
      </c>
      <c r="CK222" s="371">
        <v>550</v>
      </c>
      <c r="CL222" s="371">
        <v>550</v>
      </c>
      <c r="CM222" s="371">
        <v>850</v>
      </c>
      <c r="CN222" s="371">
        <v>430</v>
      </c>
      <c r="CO222" s="371">
        <v>430</v>
      </c>
      <c r="CP222" s="371">
        <v>850</v>
      </c>
      <c r="CQ222" s="371">
        <v>850</v>
      </c>
      <c r="CR222" s="455">
        <v>250</v>
      </c>
      <c r="CS222" s="455"/>
      <c r="CT222" s="455"/>
      <c r="CU222" s="455"/>
      <c r="CV222" s="455">
        <v>200</v>
      </c>
      <c r="CW222" s="455"/>
      <c r="CX222" s="455"/>
      <c r="CY222" s="455"/>
      <c r="CZ222" s="455"/>
      <c r="DA222" s="455"/>
      <c r="DB222" s="371">
        <v>50</v>
      </c>
      <c r="DC222" s="371">
        <v>50</v>
      </c>
      <c r="DD222" s="371">
        <v>60</v>
      </c>
      <c r="DE222" s="371">
        <v>60</v>
      </c>
      <c r="DF222" s="371">
        <v>1600</v>
      </c>
      <c r="DG222" s="371">
        <v>1300</v>
      </c>
      <c r="DH222" s="3"/>
      <c r="DI222" s="3"/>
      <c r="DJ222" s="3"/>
      <c r="DK222" s="3"/>
      <c r="DL222" s="3"/>
      <c r="DM222" s="3"/>
      <c r="DN222" s="3"/>
      <c r="DO222" s="3"/>
      <c r="DP222" s="3"/>
      <c r="DQ222" s="3"/>
      <c r="DR222" s="3"/>
      <c r="DS222" s="3"/>
      <c r="DT222" s="3"/>
      <c r="DU222" s="3"/>
      <c r="DV222" s="3"/>
      <c r="DW222" s="3"/>
      <c r="DX222" s="3"/>
      <c r="DY222" s="3"/>
    </row>
    <row r="223" spans="23:273" ht="12" customHeight="1">
      <c r="AH223" s="3">
        <v>21</v>
      </c>
      <c r="AI223" s="4" t="s">
        <v>662</v>
      </c>
      <c r="AJ223" s="40" t="s">
        <v>663</v>
      </c>
      <c r="AK223" s="286">
        <f>ROW()</f>
        <v>223</v>
      </c>
      <c r="AL223" s="371"/>
      <c r="AM223" s="371"/>
      <c r="AN223" s="371"/>
      <c r="AO223" s="371"/>
      <c r="AP223" s="371"/>
      <c r="AQ223" s="371"/>
      <c r="AR223" s="371"/>
      <c r="AS223" s="371"/>
      <c r="AT223" s="371"/>
      <c r="AU223" s="371"/>
      <c r="AV223" s="371"/>
      <c r="AW223" s="371"/>
      <c r="AX223" s="371"/>
      <c r="AY223" s="371"/>
      <c r="AZ223" s="371"/>
      <c r="BA223" s="371"/>
      <c r="BB223" s="371"/>
      <c r="BC223" s="371"/>
      <c r="BD223" s="371"/>
      <c r="BE223" s="371"/>
      <c r="BF223" s="371">
        <v>540</v>
      </c>
      <c r="BG223" s="371">
        <v>540</v>
      </c>
      <c r="BH223" s="371">
        <v>540</v>
      </c>
      <c r="BI223" s="371">
        <v>540</v>
      </c>
      <c r="BJ223" s="371">
        <v>540</v>
      </c>
      <c r="BK223" s="371">
        <v>540</v>
      </c>
      <c r="BL223" s="371">
        <v>540</v>
      </c>
      <c r="BM223" s="371">
        <v>540</v>
      </c>
      <c r="BN223" s="371">
        <v>540</v>
      </c>
      <c r="BO223" s="371">
        <v>540</v>
      </c>
      <c r="BP223" s="371">
        <v>540</v>
      </c>
      <c r="BQ223" s="371">
        <v>540</v>
      </c>
      <c r="BR223" s="371">
        <v>540</v>
      </c>
      <c r="BS223" s="371">
        <v>540</v>
      </c>
      <c r="BT223" s="371"/>
      <c r="BU223" s="371"/>
      <c r="BV223" s="371">
        <f>ROUND(0.85*BV222/10,0)*10</f>
        <v>720</v>
      </c>
      <c r="BW223" s="371">
        <f>ROUND(0.85*BW222/10,0)*10</f>
        <v>770</v>
      </c>
      <c r="BX223" s="371"/>
      <c r="BY223" s="371"/>
      <c r="BZ223" s="371"/>
      <c r="CA223" s="371"/>
      <c r="CB223" s="371"/>
      <c r="CC223" s="371"/>
      <c r="CD223" s="371">
        <v>400</v>
      </c>
      <c r="CE223" s="371">
        <v>400</v>
      </c>
      <c r="CF223" s="371">
        <v>400</v>
      </c>
      <c r="CG223" s="371">
        <v>100</v>
      </c>
      <c r="CH223" s="371">
        <v>100</v>
      </c>
      <c r="CI223" s="371"/>
      <c r="CJ223" s="371"/>
      <c r="CK223" s="371"/>
      <c r="CL223" s="371"/>
      <c r="CM223" s="371"/>
      <c r="CN223" s="371"/>
      <c r="CO223" s="371"/>
      <c r="CP223" s="371">
        <v>760</v>
      </c>
      <c r="CQ223" s="371">
        <v>760</v>
      </c>
      <c r="CR223" s="455"/>
      <c r="CS223" s="455"/>
      <c r="CT223" s="455"/>
      <c r="CU223" s="455"/>
      <c r="CV223" s="455"/>
      <c r="CW223" s="455"/>
      <c r="CX223" s="455"/>
      <c r="CY223" s="455"/>
      <c r="CZ223" s="455"/>
      <c r="DA223" s="455"/>
      <c r="DB223" s="371">
        <v>42</v>
      </c>
      <c r="DC223" s="371">
        <v>42</v>
      </c>
      <c r="DD223" s="371">
        <v>51</v>
      </c>
      <c r="DE223" s="371">
        <v>51</v>
      </c>
      <c r="DF223" s="371"/>
      <c r="DG223" s="371"/>
      <c r="DH223" s="3"/>
      <c r="DI223" s="3"/>
      <c r="DJ223" s="3"/>
      <c r="DK223" s="3"/>
      <c r="DL223" s="3"/>
      <c r="DM223" s="3"/>
      <c r="DN223" s="3"/>
      <c r="DO223" s="3"/>
      <c r="DP223" s="3"/>
      <c r="DQ223" s="3"/>
      <c r="DR223" s="3"/>
      <c r="DS223" s="3"/>
      <c r="DT223" s="3"/>
      <c r="DU223" s="3"/>
      <c r="DV223" s="3"/>
      <c r="DW223" s="3"/>
      <c r="DX223" s="3"/>
      <c r="DY223" s="3"/>
    </row>
    <row r="224" spans="23:273" ht="12" customHeight="1">
      <c r="AH224" s="3">
        <v>22</v>
      </c>
      <c r="AI224" s="4" t="s">
        <v>190</v>
      </c>
      <c r="AJ224" s="40" t="s">
        <v>191</v>
      </c>
      <c r="AK224" s="286">
        <f>ROW()</f>
        <v>224</v>
      </c>
      <c r="AL224" s="371"/>
      <c r="AM224" s="371"/>
      <c r="AN224" s="371"/>
      <c r="AO224" s="371"/>
      <c r="AP224" s="371"/>
      <c r="AQ224" s="371"/>
      <c r="AR224" s="371"/>
      <c r="AS224" s="371"/>
      <c r="AT224" s="371"/>
      <c r="AU224" s="371"/>
      <c r="AV224" s="371"/>
      <c r="AW224" s="371"/>
      <c r="AX224" s="371"/>
      <c r="AY224" s="371"/>
      <c r="AZ224" s="371"/>
      <c r="BA224" s="371"/>
      <c r="BB224" s="371"/>
      <c r="BC224" s="371"/>
      <c r="BD224" s="371"/>
      <c r="BE224" s="371"/>
      <c r="BF224" s="371">
        <v>65</v>
      </c>
      <c r="BG224" s="371">
        <v>65</v>
      </c>
      <c r="BH224" s="371">
        <v>65</v>
      </c>
      <c r="BI224" s="371">
        <v>65</v>
      </c>
      <c r="BJ224" s="371">
        <v>65</v>
      </c>
      <c r="BK224" s="371">
        <v>65</v>
      </c>
      <c r="BL224" s="371">
        <v>65</v>
      </c>
      <c r="BM224" s="371">
        <v>65</v>
      </c>
      <c r="BN224" s="371">
        <v>65</v>
      </c>
      <c r="BO224" s="371">
        <v>65</v>
      </c>
      <c r="BP224" s="371">
        <v>65</v>
      </c>
      <c r="BQ224" s="371">
        <v>65</v>
      </c>
      <c r="BR224" s="371">
        <v>65</v>
      </c>
      <c r="BS224" s="371">
        <v>65</v>
      </c>
      <c r="BT224" s="371"/>
      <c r="BU224" s="371"/>
      <c r="BV224" s="371"/>
      <c r="BW224" s="371"/>
      <c r="BX224" s="371"/>
      <c r="BY224" s="371"/>
      <c r="BZ224" s="371"/>
      <c r="CA224" s="371"/>
      <c r="CB224" s="371"/>
      <c r="CC224" s="371"/>
      <c r="CD224" s="371"/>
      <c r="CE224" s="371"/>
      <c r="CF224" s="371"/>
      <c r="CG224" s="371"/>
      <c r="CH224" s="371"/>
      <c r="CI224" s="371"/>
      <c r="CJ224" s="371"/>
      <c r="CK224" s="371"/>
      <c r="CL224" s="371"/>
      <c r="CM224" s="371"/>
      <c r="CN224" s="371"/>
      <c r="CO224" s="371"/>
      <c r="CP224" s="371"/>
      <c r="CQ224" s="371"/>
      <c r="CR224" s="455">
        <v>250</v>
      </c>
      <c r="CS224" s="455"/>
      <c r="CT224" s="455"/>
      <c r="CU224" s="455"/>
      <c r="CV224" s="455">
        <v>200</v>
      </c>
      <c r="CW224" s="455"/>
      <c r="CX224" s="455"/>
      <c r="CY224" s="455"/>
      <c r="CZ224" s="455"/>
      <c r="DA224" s="455"/>
      <c r="DB224" s="371">
        <v>50</v>
      </c>
      <c r="DC224" s="371">
        <v>50</v>
      </c>
      <c r="DD224" s="371">
        <v>60</v>
      </c>
      <c r="DE224" s="371">
        <v>60</v>
      </c>
      <c r="DF224" s="371"/>
      <c r="DG224" s="371"/>
      <c r="DH224" s="3"/>
      <c r="DI224" s="3"/>
      <c r="DJ224" s="3"/>
      <c r="DK224" s="3"/>
      <c r="DL224" s="3"/>
      <c r="DM224" s="3"/>
      <c r="DN224" s="3"/>
      <c r="DO224" s="3"/>
      <c r="DP224" s="3"/>
      <c r="DQ224" s="3"/>
      <c r="DR224" s="3"/>
      <c r="DS224" s="3"/>
      <c r="DT224" s="3"/>
      <c r="DU224" s="3"/>
      <c r="DV224" s="3"/>
      <c r="DW224" s="3"/>
      <c r="DX224" s="3"/>
      <c r="DY224" s="3"/>
    </row>
    <row r="225" spans="23:273" ht="12" customHeight="1">
      <c r="AH225" s="3">
        <v>23</v>
      </c>
      <c r="AI225" s="4" t="s">
        <v>697</v>
      </c>
      <c r="AJ225" s="40" t="s">
        <v>698</v>
      </c>
      <c r="AK225" s="286">
        <f>ROW()</f>
        <v>225</v>
      </c>
      <c r="AL225" s="371"/>
      <c r="AM225" s="371"/>
      <c r="AN225" s="371"/>
      <c r="AO225" s="371"/>
      <c r="AP225" s="371"/>
      <c r="AQ225" s="371"/>
      <c r="AR225" s="371"/>
      <c r="AS225" s="371"/>
      <c r="AT225" s="371"/>
      <c r="AU225" s="371"/>
      <c r="AV225" s="371"/>
      <c r="AW225" s="371"/>
      <c r="AX225" s="371"/>
      <c r="AY225" s="371"/>
      <c r="AZ225" s="371"/>
      <c r="BA225" s="371"/>
      <c r="BB225" s="371"/>
      <c r="BC225" s="371"/>
      <c r="BD225" s="371"/>
      <c r="BE225" s="371"/>
      <c r="BF225" s="371">
        <v>54</v>
      </c>
      <c r="BG225" s="371">
        <v>54</v>
      </c>
      <c r="BH225" s="371">
        <v>54</v>
      </c>
      <c r="BI225" s="371">
        <v>54</v>
      </c>
      <c r="BJ225" s="371">
        <v>54</v>
      </c>
      <c r="BK225" s="371">
        <v>54</v>
      </c>
      <c r="BL225" s="371">
        <v>54</v>
      </c>
      <c r="BM225" s="371">
        <v>54</v>
      </c>
      <c r="BN225" s="371">
        <v>54</v>
      </c>
      <c r="BO225" s="371">
        <v>54</v>
      </c>
      <c r="BP225" s="371">
        <v>54</v>
      </c>
      <c r="BQ225" s="371">
        <v>54</v>
      </c>
      <c r="BR225" s="371">
        <v>54</v>
      </c>
      <c r="BS225" s="371">
        <v>54</v>
      </c>
      <c r="BT225" s="371"/>
      <c r="BU225" s="371"/>
      <c r="BV225" s="371"/>
      <c r="BW225" s="371"/>
      <c r="BX225" s="371"/>
      <c r="BY225" s="371"/>
      <c r="BZ225" s="371"/>
      <c r="CA225" s="371"/>
      <c r="CB225" s="371"/>
      <c r="CC225" s="371"/>
      <c r="CD225" s="371"/>
      <c r="CE225" s="371"/>
      <c r="CF225" s="371"/>
      <c r="CG225" s="371"/>
      <c r="CH225" s="371"/>
      <c r="CI225" s="371"/>
      <c r="CJ225" s="371"/>
      <c r="CK225" s="371"/>
      <c r="CL225" s="371"/>
      <c r="CM225" s="371"/>
      <c r="CN225" s="371"/>
      <c r="CO225" s="371"/>
      <c r="CP225" s="371"/>
      <c r="CQ225" s="371"/>
      <c r="CR225" s="455"/>
      <c r="CS225" s="455"/>
      <c r="CT225" s="455"/>
      <c r="CU225" s="455"/>
      <c r="CV225" s="455"/>
      <c r="CW225" s="455"/>
      <c r="CX225" s="455"/>
      <c r="CY225" s="455"/>
      <c r="CZ225" s="455"/>
      <c r="DA225" s="455"/>
      <c r="DB225" s="371">
        <v>42</v>
      </c>
      <c r="DC225" s="371">
        <v>42</v>
      </c>
      <c r="DD225" s="371">
        <v>51</v>
      </c>
      <c r="DE225" s="371">
        <v>51</v>
      </c>
      <c r="DF225" s="371"/>
      <c r="DG225" s="371"/>
      <c r="DH225" s="3"/>
      <c r="DI225" s="3"/>
      <c r="DJ225" s="3"/>
      <c r="DK225" s="3"/>
      <c r="DL225" s="3"/>
      <c r="DM225" s="3"/>
      <c r="DN225" s="3"/>
      <c r="DO225" s="3"/>
      <c r="DP225" s="3"/>
      <c r="DQ225" s="3"/>
      <c r="DR225" s="3"/>
      <c r="DS225" s="3"/>
      <c r="DT225" s="3"/>
      <c r="DU225" s="3"/>
      <c r="DV225" s="3"/>
      <c r="DW225" s="3"/>
      <c r="DX225" s="3"/>
      <c r="DY225" s="3"/>
    </row>
    <row r="226" spans="23:273" ht="12" customHeight="1">
      <c r="AH226" s="3">
        <v>24</v>
      </c>
      <c r="AI226" s="436" t="s">
        <v>650</v>
      </c>
      <c r="AJ226" s="436"/>
      <c r="AK226" s="444">
        <f>ROW()</f>
        <v>226</v>
      </c>
      <c r="AL226" s="400"/>
      <c r="AM226" s="400"/>
      <c r="AN226" s="400"/>
      <c r="AO226" s="400"/>
      <c r="AP226" s="400"/>
      <c r="AQ226" s="400"/>
      <c r="AR226" s="400"/>
      <c r="AS226" s="400"/>
      <c r="AT226" s="400"/>
      <c r="AU226" s="400"/>
      <c r="AV226" s="400"/>
      <c r="AW226" s="400"/>
      <c r="AX226" s="400"/>
      <c r="AY226" s="400"/>
      <c r="AZ226" s="400"/>
      <c r="BA226" s="400"/>
      <c r="BB226" s="400"/>
      <c r="BC226" s="400"/>
      <c r="BD226" s="400"/>
      <c r="BE226" s="400"/>
      <c r="BF226" s="400"/>
      <c r="BG226" s="400"/>
      <c r="BH226" s="400"/>
      <c r="BI226" s="400"/>
      <c r="BJ226" s="400"/>
      <c r="BK226" s="400"/>
      <c r="BL226" s="400"/>
      <c r="BM226" s="400"/>
      <c r="BN226" s="400"/>
      <c r="BO226" s="400"/>
      <c r="BP226" s="400"/>
      <c r="BQ226" s="400"/>
      <c r="BR226" s="400"/>
      <c r="BS226" s="400"/>
      <c r="BT226" s="400"/>
      <c r="BU226" s="400"/>
      <c r="BV226" s="400"/>
      <c r="BW226" s="400"/>
      <c r="BX226" s="400"/>
      <c r="BY226" s="400"/>
      <c r="BZ226" s="400"/>
      <c r="CA226" s="400"/>
      <c r="CB226" s="400"/>
      <c r="CC226" s="400"/>
      <c r="CD226" s="400"/>
      <c r="CE226" s="400"/>
      <c r="CF226" s="400"/>
      <c r="CG226" s="400"/>
      <c r="CH226" s="400"/>
      <c r="CI226" s="400"/>
      <c r="CJ226" s="400"/>
      <c r="CK226" s="400"/>
      <c r="CL226" s="400"/>
      <c r="CM226" s="400"/>
      <c r="CN226" s="400"/>
      <c r="CO226" s="400"/>
      <c r="CP226" s="400"/>
      <c r="CQ226" s="400"/>
      <c r="CR226" s="456"/>
      <c r="CS226" s="456"/>
      <c r="CT226" s="456"/>
      <c r="CU226" s="456"/>
      <c r="CV226" s="456"/>
      <c r="CW226" s="456"/>
      <c r="CX226" s="456"/>
      <c r="CY226" s="456"/>
      <c r="CZ226" s="456"/>
      <c r="DA226" s="456"/>
      <c r="DB226" s="400"/>
      <c r="DC226" s="400"/>
      <c r="DD226" s="400"/>
      <c r="DE226" s="400"/>
      <c r="DF226" s="400"/>
      <c r="DG226" s="400"/>
      <c r="DH226" s="3"/>
      <c r="DI226" s="3"/>
      <c r="DJ226" s="3"/>
      <c r="DK226" s="3"/>
      <c r="DL226" s="3"/>
      <c r="DM226" s="3"/>
      <c r="DN226" s="3"/>
      <c r="DO226" s="3"/>
      <c r="DP226" s="3"/>
      <c r="DQ226" s="3"/>
      <c r="DR226" s="3"/>
      <c r="DS226" s="3"/>
      <c r="DT226" s="3"/>
      <c r="DU226" s="3"/>
      <c r="DV226" s="3"/>
      <c r="DW226" s="3"/>
      <c r="DX226" s="3"/>
      <c r="DY226" s="3"/>
    </row>
    <row r="227" spans="23:273" ht="12" customHeight="1">
      <c r="AH227" s="3">
        <v>25</v>
      </c>
      <c r="AI227" s="4" t="s">
        <v>13</v>
      </c>
      <c r="AJ227" s="40" t="s">
        <v>601</v>
      </c>
      <c r="AK227" s="286">
        <f>ROW()</f>
        <v>227</v>
      </c>
      <c r="AL227" s="372">
        <f t="shared" ref="AL227:BJ227" si="8">AL204</f>
        <v>14</v>
      </c>
      <c r="AM227" s="372">
        <f t="shared" si="8"/>
        <v>16</v>
      </c>
      <c r="AN227" s="372">
        <f t="shared" si="8"/>
        <v>18</v>
      </c>
      <c r="AO227" s="372">
        <f t="shared" si="8"/>
        <v>20</v>
      </c>
      <c r="AP227" s="372">
        <f t="shared" si="8"/>
        <v>22</v>
      </c>
      <c r="AQ227" s="372">
        <f t="shared" si="8"/>
        <v>24</v>
      </c>
      <c r="AR227" s="372">
        <f t="shared" si="8"/>
        <v>27</v>
      </c>
      <c r="AS227" s="372">
        <f t="shared" si="8"/>
        <v>30</v>
      </c>
      <c r="AT227" s="372">
        <f t="shared" si="8"/>
        <v>35</v>
      </c>
      <c r="AU227" s="372">
        <f t="shared" si="8"/>
        <v>40</v>
      </c>
      <c r="AV227" s="372">
        <f t="shared" si="8"/>
        <v>45</v>
      </c>
      <c r="AW227" s="372">
        <f t="shared" si="8"/>
        <v>50</v>
      </c>
      <c r="AX227" s="372">
        <f t="shared" si="8"/>
        <v>18</v>
      </c>
      <c r="AY227" s="372">
        <f t="shared" si="8"/>
        <v>24</v>
      </c>
      <c r="AZ227" s="372">
        <f t="shared" si="8"/>
        <v>30</v>
      </c>
      <c r="BA227" s="372">
        <f t="shared" si="8"/>
        <v>35</v>
      </c>
      <c r="BB227" s="372">
        <f t="shared" si="8"/>
        <v>40</v>
      </c>
      <c r="BC227" s="372">
        <f t="shared" si="8"/>
        <v>50</v>
      </c>
      <c r="BD227" s="372">
        <f t="shared" si="8"/>
        <v>60</v>
      </c>
      <c r="BE227" s="372">
        <f t="shared" si="8"/>
        <v>70</v>
      </c>
      <c r="BF227" s="372">
        <f t="shared" si="8"/>
        <v>20</v>
      </c>
      <c r="BG227" s="372">
        <f t="shared" si="8"/>
        <v>20</v>
      </c>
      <c r="BH227" s="372">
        <f t="shared" si="8"/>
        <v>22</v>
      </c>
      <c r="BI227" s="372">
        <f t="shared" si="8"/>
        <v>22</v>
      </c>
      <c r="BJ227" s="372">
        <f t="shared" si="8"/>
        <v>24</v>
      </c>
      <c r="BK227" s="372">
        <f t="shared" ref="BK227:BS227" si="9">BK204</f>
        <v>24</v>
      </c>
      <c r="BL227" s="372">
        <f t="shared" si="9"/>
        <v>26</v>
      </c>
      <c r="BM227" s="372">
        <f t="shared" si="9"/>
        <v>26</v>
      </c>
      <c r="BN227" s="372">
        <f t="shared" si="9"/>
        <v>28</v>
      </c>
      <c r="BO227" s="372">
        <f t="shared" si="9"/>
        <v>28</v>
      </c>
      <c r="BP227" s="372">
        <f t="shared" si="9"/>
        <v>30</v>
      </c>
      <c r="BQ227" s="372">
        <f t="shared" si="9"/>
        <v>30</v>
      </c>
      <c r="BR227" s="372">
        <f t="shared" si="9"/>
        <v>32</v>
      </c>
      <c r="BS227" s="372">
        <f t="shared" si="9"/>
        <v>32</v>
      </c>
      <c r="BT227" s="372"/>
      <c r="BU227" s="372"/>
      <c r="BV227" s="372">
        <f>BV204</f>
        <v>36</v>
      </c>
      <c r="BW227" s="372">
        <f>BW204</f>
        <v>36</v>
      </c>
      <c r="BX227" s="372"/>
      <c r="BY227" s="372"/>
      <c r="BZ227" s="372"/>
      <c r="CA227" s="372"/>
      <c r="CB227" s="372"/>
      <c r="CC227" s="372"/>
      <c r="CD227" s="372">
        <v>44</v>
      </c>
      <c r="CE227" s="372">
        <v>28</v>
      </c>
      <c r="CF227" s="372">
        <v>32</v>
      </c>
      <c r="CG227" s="372">
        <v>36</v>
      </c>
      <c r="CH227" s="372">
        <v>38</v>
      </c>
      <c r="CI227" s="372">
        <v>48</v>
      </c>
      <c r="CJ227" s="372">
        <v>55</v>
      </c>
      <c r="CK227" s="372">
        <v>30</v>
      </c>
      <c r="CL227" s="372">
        <v>34</v>
      </c>
      <c r="CM227" s="372">
        <v>75</v>
      </c>
      <c r="CN227" s="372">
        <v>54</v>
      </c>
      <c r="CO227" s="372">
        <v>60</v>
      </c>
      <c r="CP227" s="372">
        <v>70</v>
      </c>
      <c r="CQ227" s="372">
        <v>70</v>
      </c>
      <c r="CR227" s="452">
        <v>22</v>
      </c>
      <c r="CS227" s="452"/>
      <c r="CT227" s="452"/>
      <c r="CU227" s="452"/>
      <c r="CV227" s="452">
        <v>29</v>
      </c>
      <c r="CW227" s="452"/>
      <c r="CX227" s="452"/>
      <c r="CY227" s="452"/>
      <c r="CZ227" s="452"/>
      <c r="DA227" s="452"/>
      <c r="DB227" s="372">
        <v>9.4</v>
      </c>
      <c r="DC227" s="372">
        <v>9</v>
      </c>
      <c r="DD227" s="372">
        <v>11.4</v>
      </c>
      <c r="DE227" s="372">
        <v>10.9</v>
      </c>
      <c r="DF227" s="372">
        <v>4</v>
      </c>
      <c r="DG227" s="372">
        <v>4.5</v>
      </c>
      <c r="DH227" s="3"/>
      <c r="DI227" s="3"/>
      <c r="DJ227" s="3"/>
      <c r="DK227" s="3"/>
      <c r="DL227" s="3"/>
      <c r="DM227" s="3"/>
      <c r="DN227" s="3"/>
      <c r="DO227" s="3"/>
      <c r="DP227" s="3"/>
      <c r="DQ227" s="3"/>
      <c r="DR227" s="3"/>
      <c r="DS227" s="3"/>
      <c r="DT227" s="3"/>
      <c r="DU227" s="3"/>
      <c r="DV227" s="3"/>
      <c r="DW227" s="3"/>
      <c r="DX227" s="3"/>
      <c r="DY227" s="3"/>
    </row>
    <row r="228" spans="23:273" ht="12" customHeight="1">
      <c r="AH228" s="3">
        <v>26</v>
      </c>
      <c r="AI228" s="4" t="s">
        <v>14</v>
      </c>
      <c r="AJ228" s="40" t="s">
        <v>595</v>
      </c>
      <c r="AK228" s="286">
        <f>ROW()</f>
        <v>228</v>
      </c>
      <c r="AL228" s="372">
        <f t="shared" ref="AL228:BJ231" si="10">AL206</f>
        <v>8</v>
      </c>
      <c r="AM228" s="372">
        <f t="shared" si="10"/>
        <v>10</v>
      </c>
      <c r="AN228" s="372">
        <f t="shared" si="10"/>
        <v>11</v>
      </c>
      <c r="AO228" s="372">
        <f t="shared" si="10"/>
        <v>12</v>
      </c>
      <c r="AP228" s="372">
        <f t="shared" si="10"/>
        <v>13</v>
      </c>
      <c r="AQ228" s="372">
        <f t="shared" si="10"/>
        <v>14</v>
      </c>
      <c r="AR228" s="372">
        <f t="shared" si="10"/>
        <v>16</v>
      </c>
      <c r="AS228" s="372">
        <f t="shared" si="10"/>
        <v>18</v>
      </c>
      <c r="AT228" s="372">
        <f t="shared" si="10"/>
        <v>21</v>
      </c>
      <c r="AU228" s="372">
        <f t="shared" si="10"/>
        <v>24</v>
      </c>
      <c r="AV228" s="372">
        <f t="shared" si="10"/>
        <v>27</v>
      </c>
      <c r="AW228" s="372">
        <f t="shared" si="10"/>
        <v>30</v>
      </c>
      <c r="AX228" s="372">
        <f t="shared" si="10"/>
        <v>11</v>
      </c>
      <c r="AY228" s="372">
        <f t="shared" si="10"/>
        <v>14</v>
      </c>
      <c r="AZ228" s="372">
        <f t="shared" si="10"/>
        <v>18</v>
      </c>
      <c r="BA228" s="372">
        <f t="shared" si="10"/>
        <v>21</v>
      </c>
      <c r="BB228" s="372">
        <f t="shared" si="10"/>
        <v>24</v>
      </c>
      <c r="BC228" s="372">
        <f t="shared" si="10"/>
        <v>30</v>
      </c>
      <c r="BD228" s="372">
        <f t="shared" si="10"/>
        <v>36</v>
      </c>
      <c r="BE228" s="372">
        <f t="shared" si="10"/>
        <v>42</v>
      </c>
      <c r="BF228" s="372">
        <f t="shared" si="10"/>
        <v>15</v>
      </c>
      <c r="BG228" s="372">
        <f t="shared" si="10"/>
        <v>16</v>
      </c>
      <c r="BH228" s="372">
        <f t="shared" si="10"/>
        <v>16</v>
      </c>
      <c r="BI228" s="372">
        <f t="shared" si="10"/>
        <v>17.600000000000001</v>
      </c>
      <c r="BJ228" s="372">
        <f t="shared" si="10"/>
        <v>17</v>
      </c>
      <c r="BK228" s="372">
        <f>BK206</f>
        <v>19.2</v>
      </c>
      <c r="BL228" s="372">
        <f t="shared" ref="BL228:BS231" si="11">BL206</f>
        <v>19</v>
      </c>
      <c r="BM228" s="372">
        <f t="shared" si="11"/>
        <v>20.8</v>
      </c>
      <c r="BN228" s="372">
        <f t="shared" si="11"/>
        <v>19.5</v>
      </c>
      <c r="BO228" s="372">
        <f t="shared" si="11"/>
        <v>22.3</v>
      </c>
      <c r="BP228" s="372">
        <f t="shared" si="11"/>
        <v>19.5</v>
      </c>
      <c r="BQ228" s="372">
        <f t="shared" si="11"/>
        <v>24</v>
      </c>
      <c r="BR228" s="372">
        <f t="shared" si="11"/>
        <v>19.5</v>
      </c>
      <c r="BS228" s="372">
        <f t="shared" si="11"/>
        <v>25.6</v>
      </c>
      <c r="BT228" s="372"/>
      <c r="BU228" s="372"/>
      <c r="BV228" s="372">
        <f t="shared" ref="BV228:BW231" si="12">BV206</f>
        <v>22.5</v>
      </c>
      <c r="BW228" s="372">
        <f t="shared" si="12"/>
        <v>26</v>
      </c>
      <c r="BX228" s="372"/>
      <c r="BY228" s="372"/>
      <c r="BZ228" s="372"/>
      <c r="CA228" s="372"/>
      <c r="CB228" s="372"/>
      <c r="CC228" s="372"/>
      <c r="CD228" s="372">
        <v>35</v>
      </c>
      <c r="CE228" s="372">
        <v>19</v>
      </c>
      <c r="CF228" s="372">
        <v>26</v>
      </c>
      <c r="CG228" s="372">
        <v>28</v>
      </c>
      <c r="CH228" s="372">
        <v>30</v>
      </c>
      <c r="CI228" s="372">
        <v>36</v>
      </c>
      <c r="CJ228" s="372">
        <v>42</v>
      </c>
      <c r="CK228" s="372">
        <v>18</v>
      </c>
      <c r="CL228" s="372">
        <v>24</v>
      </c>
      <c r="CM228" s="372">
        <v>60</v>
      </c>
      <c r="CN228" s="372">
        <v>45</v>
      </c>
      <c r="CO228" s="372">
        <v>51</v>
      </c>
      <c r="CP228" s="372">
        <v>55</v>
      </c>
      <c r="CQ228" s="372">
        <v>55</v>
      </c>
      <c r="CR228" s="452">
        <v>18</v>
      </c>
      <c r="CS228" s="452"/>
      <c r="CT228" s="452"/>
      <c r="CU228" s="452"/>
      <c r="CV228" s="452">
        <v>29</v>
      </c>
      <c r="CW228" s="452"/>
      <c r="CX228" s="452"/>
      <c r="CY228" s="452"/>
      <c r="CZ228" s="452"/>
      <c r="DA228" s="452"/>
      <c r="DB228" s="372">
        <v>9.4</v>
      </c>
      <c r="DC228" s="372">
        <v>9</v>
      </c>
      <c r="DD228" s="372">
        <v>11.4</v>
      </c>
      <c r="DE228" s="372">
        <v>10.9</v>
      </c>
      <c r="DF228" s="372">
        <v>2.2999999999999998</v>
      </c>
      <c r="DG228" s="372">
        <v>2.2999999999999998</v>
      </c>
      <c r="DH228" s="3"/>
      <c r="DI228" s="3"/>
      <c r="DJ228" s="3"/>
      <c r="DK228" s="3"/>
      <c r="DL228" s="3"/>
      <c r="DM228" s="3"/>
      <c r="DN228" s="3"/>
      <c r="DO228" s="3"/>
      <c r="DP228" s="3"/>
      <c r="DQ228" s="3"/>
      <c r="DR228" s="3"/>
      <c r="DS228" s="3"/>
      <c r="DT228" s="3"/>
      <c r="DU228" s="3"/>
      <c r="DV228" s="3"/>
      <c r="DW228" s="3"/>
      <c r="DX228" s="3"/>
      <c r="DY228" s="3"/>
    </row>
    <row r="229" spans="23:273" ht="12" customHeight="1">
      <c r="AH229" s="3">
        <v>27</v>
      </c>
      <c r="AI229" s="4" t="s">
        <v>194</v>
      </c>
      <c r="AJ229" s="40" t="s">
        <v>596</v>
      </c>
      <c r="AK229" s="286">
        <f>ROW()</f>
        <v>229</v>
      </c>
      <c r="AL229" s="372">
        <f t="shared" si="10"/>
        <v>0.4</v>
      </c>
      <c r="AM229" s="372">
        <f t="shared" si="10"/>
        <v>0.4</v>
      </c>
      <c r="AN229" s="372">
        <f t="shared" si="10"/>
        <v>0.4</v>
      </c>
      <c r="AO229" s="372">
        <f t="shared" si="10"/>
        <v>0.4</v>
      </c>
      <c r="AP229" s="372">
        <f t="shared" si="10"/>
        <v>0.4</v>
      </c>
      <c r="AQ229" s="372">
        <f t="shared" si="10"/>
        <v>0.4</v>
      </c>
      <c r="AR229" s="372">
        <f t="shared" si="10"/>
        <v>0.4</v>
      </c>
      <c r="AS229" s="372">
        <f t="shared" si="10"/>
        <v>0.4</v>
      </c>
      <c r="AT229" s="372">
        <f t="shared" si="10"/>
        <v>0.4</v>
      </c>
      <c r="AU229" s="372">
        <f t="shared" si="10"/>
        <v>0.4</v>
      </c>
      <c r="AV229" s="372">
        <f t="shared" si="10"/>
        <v>0.4</v>
      </c>
      <c r="AW229" s="372">
        <f t="shared" si="10"/>
        <v>0.4</v>
      </c>
      <c r="AX229" s="372">
        <f t="shared" si="10"/>
        <v>0.6</v>
      </c>
      <c r="AY229" s="372">
        <f t="shared" si="10"/>
        <v>0.6</v>
      </c>
      <c r="AZ229" s="372">
        <f t="shared" si="10"/>
        <v>0.6</v>
      </c>
      <c r="BA229" s="372">
        <f t="shared" si="10"/>
        <v>0.6</v>
      </c>
      <c r="BB229" s="372">
        <f t="shared" si="10"/>
        <v>0.6</v>
      </c>
      <c r="BC229" s="372">
        <f t="shared" si="10"/>
        <v>0.6</v>
      </c>
      <c r="BD229" s="372">
        <f t="shared" si="10"/>
        <v>0.6</v>
      </c>
      <c r="BE229" s="372">
        <f t="shared" si="10"/>
        <v>0.6</v>
      </c>
      <c r="BF229" s="372">
        <f t="shared" si="10"/>
        <v>0.5</v>
      </c>
      <c r="BG229" s="372">
        <f t="shared" si="10"/>
        <v>0.5</v>
      </c>
      <c r="BH229" s="372">
        <f t="shared" si="10"/>
        <v>0.5</v>
      </c>
      <c r="BI229" s="372">
        <f t="shared" si="10"/>
        <v>0.5</v>
      </c>
      <c r="BJ229" s="372">
        <f t="shared" si="10"/>
        <v>0.5</v>
      </c>
      <c r="BK229" s="372">
        <f>BK207</f>
        <v>0.5</v>
      </c>
      <c r="BL229" s="372">
        <f t="shared" si="11"/>
        <v>0.5</v>
      </c>
      <c r="BM229" s="372">
        <f t="shared" si="11"/>
        <v>0.5</v>
      </c>
      <c r="BN229" s="372">
        <f t="shared" si="11"/>
        <v>0.5</v>
      </c>
      <c r="BO229" s="372">
        <f t="shared" si="11"/>
        <v>0.45</v>
      </c>
      <c r="BP229" s="372">
        <f t="shared" si="11"/>
        <v>0.45</v>
      </c>
      <c r="BQ229" s="372">
        <f t="shared" si="11"/>
        <v>0.45</v>
      </c>
      <c r="BR229" s="372">
        <f t="shared" si="11"/>
        <v>0.45</v>
      </c>
      <c r="BS229" s="372">
        <f t="shared" si="11"/>
        <v>0.45</v>
      </c>
      <c r="BT229" s="372"/>
      <c r="BU229" s="372"/>
      <c r="BV229" s="372">
        <f t="shared" si="12"/>
        <v>0.5</v>
      </c>
      <c r="BW229" s="372">
        <f t="shared" si="12"/>
        <v>0.6</v>
      </c>
      <c r="BX229" s="372"/>
      <c r="BY229" s="372"/>
      <c r="BZ229" s="372"/>
      <c r="CA229" s="372"/>
      <c r="CB229" s="372"/>
      <c r="CC229" s="372"/>
      <c r="CD229" s="372">
        <v>0.8</v>
      </c>
      <c r="CE229" s="372">
        <v>6</v>
      </c>
      <c r="CF229" s="372">
        <v>6</v>
      </c>
      <c r="CG229" s="372">
        <v>3</v>
      </c>
      <c r="CH229" s="372">
        <v>2.5</v>
      </c>
      <c r="CI229" s="372">
        <v>0.9</v>
      </c>
      <c r="CJ229" s="372">
        <v>0.9</v>
      </c>
      <c r="CK229" s="372">
        <v>5</v>
      </c>
      <c r="CL229" s="372">
        <v>5</v>
      </c>
      <c r="CM229" s="372">
        <v>1.5</v>
      </c>
      <c r="CN229" s="372">
        <v>16</v>
      </c>
      <c r="CO229" s="372">
        <v>8</v>
      </c>
      <c r="CP229" s="372">
        <v>0.6</v>
      </c>
      <c r="CQ229" s="372">
        <v>0.6</v>
      </c>
      <c r="CR229" s="452">
        <v>9</v>
      </c>
      <c r="CS229" s="452"/>
      <c r="CT229" s="452"/>
      <c r="CU229" s="452"/>
      <c r="CV229" s="452">
        <v>31</v>
      </c>
      <c r="CW229" s="452"/>
      <c r="CX229" s="452"/>
      <c r="CY229" s="452"/>
      <c r="CZ229" s="452"/>
      <c r="DA229" s="452"/>
      <c r="DB229" s="372">
        <v>7</v>
      </c>
      <c r="DC229" s="372">
        <v>6.8</v>
      </c>
      <c r="DD229" s="372">
        <v>8.1999999999999993</v>
      </c>
      <c r="DE229" s="372">
        <v>8</v>
      </c>
      <c r="DF229" s="372"/>
      <c r="DG229" s="372"/>
      <c r="DH229" s="3"/>
      <c r="DI229" s="3"/>
      <c r="DJ229" s="3"/>
      <c r="DK229" s="3"/>
      <c r="DL229" s="3"/>
      <c r="DM229" s="3"/>
      <c r="DN229" s="3"/>
      <c r="DO229" s="3"/>
      <c r="DP229" s="3"/>
      <c r="DQ229" s="3"/>
      <c r="DR229" s="3"/>
      <c r="DS229" s="3"/>
      <c r="DT229" s="3"/>
      <c r="DU229" s="3"/>
      <c r="DV229" s="3"/>
      <c r="DW229" s="3"/>
      <c r="DX229" s="3"/>
      <c r="DY229" s="3"/>
    </row>
    <row r="230" spans="23:273" ht="12" customHeight="1">
      <c r="AH230" s="3">
        <v>28</v>
      </c>
      <c r="AI230" s="4" t="s">
        <v>15</v>
      </c>
      <c r="AJ230" s="40" t="s">
        <v>597</v>
      </c>
      <c r="AK230" s="286">
        <f>ROW()</f>
        <v>230</v>
      </c>
      <c r="AL230" s="372">
        <f t="shared" si="10"/>
        <v>16</v>
      </c>
      <c r="AM230" s="372">
        <f t="shared" si="10"/>
        <v>17</v>
      </c>
      <c r="AN230" s="372">
        <f t="shared" si="10"/>
        <v>18</v>
      </c>
      <c r="AO230" s="372">
        <f t="shared" si="10"/>
        <v>19</v>
      </c>
      <c r="AP230" s="372">
        <f t="shared" si="10"/>
        <v>20</v>
      </c>
      <c r="AQ230" s="372">
        <f t="shared" si="10"/>
        <v>21</v>
      </c>
      <c r="AR230" s="372">
        <f t="shared" si="10"/>
        <v>22</v>
      </c>
      <c r="AS230" s="372">
        <f t="shared" si="10"/>
        <v>23</v>
      </c>
      <c r="AT230" s="372">
        <f t="shared" si="10"/>
        <v>25</v>
      </c>
      <c r="AU230" s="372">
        <f t="shared" si="10"/>
        <v>26</v>
      </c>
      <c r="AV230" s="372">
        <f t="shared" si="10"/>
        <v>27</v>
      </c>
      <c r="AW230" s="372">
        <f t="shared" si="10"/>
        <v>29</v>
      </c>
      <c r="AX230" s="372">
        <f t="shared" si="10"/>
        <v>18</v>
      </c>
      <c r="AY230" s="372">
        <f t="shared" si="10"/>
        <v>21</v>
      </c>
      <c r="AZ230" s="372">
        <f t="shared" si="10"/>
        <v>23</v>
      </c>
      <c r="BA230" s="372">
        <f t="shared" si="10"/>
        <v>25</v>
      </c>
      <c r="BB230" s="372">
        <f t="shared" si="10"/>
        <v>26</v>
      </c>
      <c r="BC230" s="372">
        <f t="shared" si="10"/>
        <v>29</v>
      </c>
      <c r="BD230" s="372">
        <f t="shared" si="10"/>
        <v>32</v>
      </c>
      <c r="BE230" s="372">
        <f t="shared" si="10"/>
        <v>34</v>
      </c>
      <c r="BF230" s="372">
        <f t="shared" si="10"/>
        <v>18.5</v>
      </c>
      <c r="BG230" s="372">
        <f t="shared" si="10"/>
        <v>20</v>
      </c>
      <c r="BH230" s="372">
        <f t="shared" si="10"/>
        <v>20</v>
      </c>
      <c r="BI230" s="372">
        <f t="shared" si="10"/>
        <v>22</v>
      </c>
      <c r="BJ230" s="372">
        <f t="shared" si="10"/>
        <v>21.5</v>
      </c>
      <c r="BK230" s="372">
        <f>BK208</f>
        <v>24</v>
      </c>
      <c r="BL230" s="372">
        <f t="shared" si="11"/>
        <v>23.5</v>
      </c>
      <c r="BM230" s="372">
        <f t="shared" si="11"/>
        <v>26</v>
      </c>
      <c r="BN230" s="372">
        <f t="shared" si="11"/>
        <v>24</v>
      </c>
      <c r="BO230" s="372">
        <f t="shared" si="11"/>
        <v>28</v>
      </c>
      <c r="BP230" s="372">
        <f t="shared" si="11"/>
        <v>24.5</v>
      </c>
      <c r="BQ230" s="372">
        <f t="shared" si="11"/>
        <v>30</v>
      </c>
      <c r="BR230" s="372">
        <f t="shared" si="11"/>
        <v>24.5</v>
      </c>
      <c r="BS230" s="372">
        <f t="shared" si="11"/>
        <v>32</v>
      </c>
      <c r="BT230" s="372"/>
      <c r="BU230" s="372"/>
      <c r="BV230" s="372">
        <f t="shared" si="12"/>
        <v>29</v>
      </c>
      <c r="BW230" s="372">
        <f t="shared" si="12"/>
        <v>31</v>
      </c>
      <c r="BX230" s="372"/>
      <c r="BY230" s="372"/>
      <c r="BZ230" s="372"/>
      <c r="CA230" s="372"/>
      <c r="CB230" s="372"/>
      <c r="CC230" s="372"/>
      <c r="CD230" s="372">
        <v>35</v>
      </c>
      <c r="CE230" s="372">
        <v>19</v>
      </c>
      <c r="CF230" s="372">
        <v>26</v>
      </c>
      <c r="CG230" s="372">
        <v>28</v>
      </c>
      <c r="CH230" s="372">
        <v>30</v>
      </c>
      <c r="CI230" s="372">
        <v>40</v>
      </c>
      <c r="CJ230" s="372">
        <v>56</v>
      </c>
      <c r="CK230" s="372">
        <v>26</v>
      </c>
      <c r="CL230" s="372">
        <v>34</v>
      </c>
      <c r="CM230" s="372">
        <v>57.5</v>
      </c>
      <c r="CN230" s="372">
        <v>45.6</v>
      </c>
      <c r="CO230" s="372">
        <v>53.3</v>
      </c>
      <c r="CP230" s="372">
        <v>59.4</v>
      </c>
      <c r="CQ230" s="372">
        <v>49.5</v>
      </c>
      <c r="CR230" s="452">
        <v>18</v>
      </c>
      <c r="CS230" s="452"/>
      <c r="CT230" s="452"/>
      <c r="CU230" s="452"/>
      <c r="CV230" s="452">
        <v>21</v>
      </c>
      <c r="CW230" s="452"/>
      <c r="CX230" s="452"/>
      <c r="CY230" s="452"/>
      <c r="CZ230" s="452"/>
      <c r="DA230" s="452"/>
      <c r="DB230" s="372">
        <v>15.4</v>
      </c>
      <c r="DC230" s="372">
        <v>14.8</v>
      </c>
      <c r="DD230" s="372">
        <v>17.600000000000001</v>
      </c>
      <c r="DE230" s="372">
        <v>17</v>
      </c>
      <c r="DF230" s="372">
        <v>8.5</v>
      </c>
      <c r="DG230" s="372">
        <v>7.5</v>
      </c>
      <c r="DH230" s="3"/>
      <c r="DI230" s="3"/>
      <c r="DJ230" s="3"/>
      <c r="DK230" s="3"/>
      <c r="DL230" s="3"/>
      <c r="DM230" s="3"/>
      <c r="DN230" s="3"/>
      <c r="DO230" s="3"/>
      <c r="DP230" s="3"/>
      <c r="DQ230" s="3"/>
      <c r="DR230" s="3"/>
      <c r="DS230" s="3"/>
      <c r="DT230" s="3"/>
      <c r="DU230" s="3"/>
      <c r="DV230" s="3"/>
      <c r="DW230" s="3"/>
      <c r="DX230" s="3"/>
      <c r="DY230" s="3"/>
    </row>
    <row r="231" spans="23:273" ht="12" customHeight="1">
      <c r="AH231" s="3">
        <v>29</v>
      </c>
      <c r="AI231" s="4" t="s">
        <v>185</v>
      </c>
      <c r="AJ231" s="40" t="s">
        <v>598</v>
      </c>
      <c r="AK231" s="286">
        <f>ROW()</f>
        <v>231</v>
      </c>
      <c r="AL231" s="372">
        <f t="shared" si="10"/>
        <v>2</v>
      </c>
      <c r="AM231" s="372">
        <f t="shared" si="10"/>
        <v>2.2000000000000002</v>
      </c>
      <c r="AN231" s="372">
        <f t="shared" si="10"/>
        <v>2.2000000000000002</v>
      </c>
      <c r="AO231" s="372">
        <f t="shared" si="10"/>
        <v>2.2999999999999998</v>
      </c>
      <c r="AP231" s="372">
        <f t="shared" si="10"/>
        <v>2.4</v>
      </c>
      <c r="AQ231" s="372">
        <f t="shared" si="10"/>
        <v>2.5</v>
      </c>
      <c r="AR231" s="372">
        <f t="shared" si="10"/>
        <v>2.6</v>
      </c>
      <c r="AS231" s="372">
        <f t="shared" si="10"/>
        <v>2.7</v>
      </c>
      <c r="AT231" s="372">
        <f t="shared" si="10"/>
        <v>2.8</v>
      </c>
      <c r="AU231" s="372">
        <f t="shared" si="10"/>
        <v>2.9</v>
      </c>
      <c r="AV231" s="372">
        <f t="shared" si="10"/>
        <v>3.1</v>
      </c>
      <c r="AW231" s="372">
        <f t="shared" si="10"/>
        <v>3.2</v>
      </c>
      <c r="AX231" s="372">
        <f t="shared" si="10"/>
        <v>7.5</v>
      </c>
      <c r="AY231" s="372">
        <f t="shared" si="10"/>
        <v>7.8</v>
      </c>
      <c r="AZ231" s="372">
        <f t="shared" si="10"/>
        <v>8</v>
      </c>
      <c r="BA231" s="372">
        <f t="shared" si="10"/>
        <v>8.1</v>
      </c>
      <c r="BB231" s="372">
        <f t="shared" si="10"/>
        <v>8.3000000000000007</v>
      </c>
      <c r="BC231" s="372">
        <f t="shared" si="10"/>
        <v>9.3000000000000007</v>
      </c>
      <c r="BD231" s="372">
        <f t="shared" si="10"/>
        <v>10.5</v>
      </c>
      <c r="BE231" s="372">
        <f t="shared" si="10"/>
        <v>13.5</v>
      </c>
      <c r="BF231" s="372">
        <f t="shared" si="10"/>
        <v>2.5</v>
      </c>
      <c r="BG231" s="372">
        <f t="shared" si="10"/>
        <v>2.5</v>
      </c>
      <c r="BH231" s="372">
        <f t="shared" si="10"/>
        <v>2.5</v>
      </c>
      <c r="BI231" s="372">
        <f t="shared" si="10"/>
        <v>2.5</v>
      </c>
      <c r="BJ231" s="372">
        <f t="shared" si="10"/>
        <v>2.5</v>
      </c>
      <c r="BK231" s="372">
        <f>BK209</f>
        <v>2.5</v>
      </c>
      <c r="BL231" s="372">
        <f t="shared" si="11"/>
        <v>2.5</v>
      </c>
      <c r="BM231" s="372">
        <f t="shared" si="11"/>
        <v>2.5</v>
      </c>
      <c r="BN231" s="372">
        <f t="shared" si="11"/>
        <v>2.5</v>
      </c>
      <c r="BO231" s="372">
        <f t="shared" si="11"/>
        <v>2.5</v>
      </c>
      <c r="BP231" s="372">
        <f t="shared" si="11"/>
        <v>2.5</v>
      </c>
      <c r="BQ231" s="372">
        <f t="shared" si="11"/>
        <v>2.5</v>
      </c>
      <c r="BR231" s="372">
        <f t="shared" si="11"/>
        <v>2.5</v>
      </c>
      <c r="BS231" s="372">
        <f t="shared" si="11"/>
        <v>2.5</v>
      </c>
      <c r="BT231" s="372"/>
      <c r="BU231" s="372"/>
      <c r="BV231" s="372">
        <f t="shared" si="12"/>
        <v>3.3</v>
      </c>
      <c r="BW231" s="372">
        <f t="shared" si="12"/>
        <v>3.6</v>
      </c>
      <c r="BX231" s="372"/>
      <c r="BY231" s="372"/>
      <c r="BZ231" s="372"/>
      <c r="CA231" s="372"/>
      <c r="CB231" s="372"/>
      <c r="CC231" s="372"/>
      <c r="CD231" s="372">
        <v>6</v>
      </c>
      <c r="CE231" s="372">
        <v>9</v>
      </c>
      <c r="CF231" s="372">
        <v>9</v>
      </c>
      <c r="CG231" s="372">
        <v>6</v>
      </c>
      <c r="CH231" s="372">
        <v>6</v>
      </c>
      <c r="CI231" s="372">
        <v>7.5</v>
      </c>
      <c r="CJ231" s="372">
        <v>8.6</v>
      </c>
      <c r="CK231" s="372">
        <v>9</v>
      </c>
      <c r="CL231" s="372">
        <v>9</v>
      </c>
      <c r="CM231" s="372">
        <v>14</v>
      </c>
      <c r="CN231" s="372">
        <v>37</v>
      </c>
      <c r="CO231" s="372">
        <v>19</v>
      </c>
      <c r="CP231" s="372">
        <v>10.199999999999999</v>
      </c>
      <c r="CQ231" s="372">
        <v>8.5</v>
      </c>
      <c r="CR231" s="452">
        <v>9</v>
      </c>
      <c r="CS231" s="452"/>
      <c r="CT231" s="452"/>
      <c r="CU231" s="452"/>
      <c r="CV231" s="452">
        <v>22</v>
      </c>
      <c r="CW231" s="452"/>
      <c r="CX231" s="452"/>
      <c r="CY231" s="452"/>
      <c r="CZ231" s="452"/>
      <c r="DA231" s="452"/>
      <c r="DB231" s="372">
        <v>12.7</v>
      </c>
      <c r="DC231" s="372">
        <v>12.4</v>
      </c>
      <c r="DD231" s="372">
        <v>14</v>
      </c>
      <c r="DE231" s="372">
        <v>13.7</v>
      </c>
      <c r="DF231" s="372">
        <v>7.3</v>
      </c>
      <c r="DG231" s="372">
        <v>6.4</v>
      </c>
      <c r="DH231" s="3"/>
      <c r="DI231" s="3"/>
      <c r="DJ231" s="3"/>
      <c r="DK231" s="3"/>
      <c r="DL231" s="3"/>
      <c r="DM231" s="3"/>
      <c r="DN231" s="3"/>
      <c r="DO231" s="3"/>
      <c r="DP231" s="3"/>
      <c r="DQ231" s="3"/>
      <c r="DR231" s="3"/>
      <c r="DS231" s="3"/>
      <c r="DT231" s="3"/>
      <c r="DU231" s="3"/>
      <c r="DV231" s="3"/>
      <c r="DW231" s="3"/>
      <c r="DX231" s="3"/>
      <c r="DY231" s="3"/>
    </row>
    <row r="232" spans="23:273" ht="12" customHeight="1">
      <c r="AH232" s="3">
        <v>30</v>
      </c>
      <c r="AI232" s="4" t="s">
        <v>16</v>
      </c>
      <c r="AJ232" s="40" t="s">
        <v>599</v>
      </c>
      <c r="AK232" s="286">
        <f>ROW()</f>
        <v>232</v>
      </c>
      <c r="AL232" s="372">
        <f t="shared" ref="AL232:BJ232" si="13">AL213</f>
        <v>3</v>
      </c>
      <c r="AM232" s="372">
        <f t="shared" si="13"/>
        <v>3.2</v>
      </c>
      <c r="AN232" s="372">
        <f t="shared" si="13"/>
        <v>3.4</v>
      </c>
      <c r="AO232" s="372">
        <f t="shared" si="13"/>
        <v>3.6</v>
      </c>
      <c r="AP232" s="372">
        <f t="shared" si="13"/>
        <v>3.8</v>
      </c>
      <c r="AQ232" s="372">
        <f t="shared" si="13"/>
        <v>4</v>
      </c>
      <c r="AR232" s="372">
        <f t="shared" si="13"/>
        <v>4</v>
      </c>
      <c r="AS232" s="372">
        <f t="shared" si="13"/>
        <v>4</v>
      </c>
      <c r="AT232" s="372">
        <f t="shared" si="13"/>
        <v>4</v>
      </c>
      <c r="AU232" s="372">
        <f t="shared" si="13"/>
        <v>4</v>
      </c>
      <c r="AV232" s="372">
        <f t="shared" si="13"/>
        <v>4</v>
      </c>
      <c r="AW232" s="372">
        <f t="shared" si="13"/>
        <v>4</v>
      </c>
      <c r="AX232" s="372">
        <f t="shared" si="13"/>
        <v>3.4</v>
      </c>
      <c r="AY232" s="372">
        <f t="shared" si="13"/>
        <v>4</v>
      </c>
      <c r="AZ232" s="372">
        <f t="shared" si="13"/>
        <v>4</v>
      </c>
      <c r="BA232" s="372">
        <f t="shared" si="13"/>
        <v>4</v>
      </c>
      <c r="BB232" s="372">
        <f t="shared" si="13"/>
        <v>4</v>
      </c>
      <c r="BC232" s="372">
        <f t="shared" si="13"/>
        <v>4</v>
      </c>
      <c r="BD232" s="372">
        <f t="shared" si="13"/>
        <v>4.5</v>
      </c>
      <c r="BE232" s="372">
        <f t="shared" si="13"/>
        <v>5</v>
      </c>
      <c r="BF232" s="372">
        <f t="shared" si="13"/>
        <v>3.5</v>
      </c>
      <c r="BG232" s="372">
        <f t="shared" si="13"/>
        <v>3.5</v>
      </c>
      <c r="BH232" s="372">
        <f t="shared" si="13"/>
        <v>3.5</v>
      </c>
      <c r="BI232" s="372">
        <f t="shared" si="13"/>
        <v>3.5</v>
      </c>
      <c r="BJ232" s="372">
        <f t="shared" si="13"/>
        <v>3.5</v>
      </c>
      <c r="BK232" s="372">
        <f t="shared" ref="BK232:BS232" si="14">BK213</f>
        <v>3.5</v>
      </c>
      <c r="BL232" s="372">
        <f t="shared" si="14"/>
        <v>3.5</v>
      </c>
      <c r="BM232" s="372">
        <f t="shared" si="14"/>
        <v>3.5</v>
      </c>
      <c r="BN232" s="372">
        <f t="shared" si="14"/>
        <v>3.5</v>
      </c>
      <c r="BO232" s="372">
        <f t="shared" si="14"/>
        <v>3.5</v>
      </c>
      <c r="BP232" s="372">
        <f t="shared" si="14"/>
        <v>3.5</v>
      </c>
      <c r="BQ232" s="372">
        <f t="shared" si="14"/>
        <v>3.5</v>
      </c>
      <c r="BR232" s="372">
        <f t="shared" si="14"/>
        <v>3.5</v>
      </c>
      <c r="BS232" s="372">
        <f t="shared" si="14"/>
        <v>3.5</v>
      </c>
      <c r="BT232" s="372"/>
      <c r="BU232" s="372"/>
      <c r="BV232" s="372">
        <f>BV213</f>
        <v>3.8</v>
      </c>
      <c r="BW232" s="372">
        <f>BW213</f>
        <v>4.3</v>
      </c>
      <c r="BX232" s="372"/>
      <c r="BY232" s="372"/>
      <c r="BZ232" s="372"/>
      <c r="CA232" s="372"/>
      <c r="CB232" s="372"/>
      <c r="CC232" s="372"/>
      <c r="CD232" s="372">
        <v>4.0999999999999996</v>
      </c>
      <c r="CE232" s="372">
        <v>4.5</v>
      </c>
      <c r="CF232" s="372">
        <v>4.5</v>
      </c>
      <c r="CG232" s="372">
        <v>4.0999999999999996</v>
      </c>
      <c r="CH232" s="372">
        <v>4.0999999999999996</v>
      </c>
      <c r="CI232" s="372">
        <v>4.5999999999999996</v>
      </c>
      <c r="CJ232" s="372">
        <v>5.2</v>
      </c>
      <c r="CK232" s="372">
        <v>4.5999999999999996</v>
      </c>
      <c r="CL232" s="372">
        <v>4.5999999999999996</v>
      </c>
      <c r="CM232" s="372">
        <v>8</v>
      </c>
      <c r="CN232" s="372">
        <v>7.8</v>
      </c>
      <c r="CO232" s="372">
        <v>7.8</v>
      </c>
      <c r="CP232" s="372">
        <v>4</v>
      </c>
      <c r="CQ232" s="372">
        <v>4</v>
      </c>
      <c r="CR232" s="452">
        <v>8</v>
      </c>
      <c r="CS232" s="452"/>
      <c r="CT232" s="452"/>
      <c r="CU232" s="452"/>
      <c r="CV232" s="452">
        <v>8</v>
      </c>
      <c r="CW232" s="452"/>
      <c r="CX232" s="452"/>
      <c r="CY232" s="452"/>
      <c r="CZ232" s="452"/>
      <c r="DA232" s="452"/>
      <c r="DB232" s="372">
        <v>6.8</v>
      </c>
      <c r="DC232" s="372">
        <v>6.8</v>
      </c>
      <c r="DD232" s="372">
        <v>6.9</v>
      </c>
      <c r="DE232" s="372">
        <v>6.9</v>
      </c>
      <c r="DF232" s="372">
        <v>3.4</v>
      </c>
      <c r="DG232" s="372">
        <v>3.5</v>
      </c>
      <c r="DH232" s="3"/>
      <c r="DI232" s="3"/>
      <c r="DJ232" s="3"/>
      <c r="DK232" s="3"/>
      <c r="DL232" s="3"/>
      <c r="DM232" s="3"/>
      <c r="DN232" s="3"/>
      <c r="DO232" s="3"/>
      <c r="DP232" s="3"/>
      <c r="DQ232" s="3"/>
      <c r="DR232" s="3"/>
      <c r="DS232" s="3"/>
      <c r="DT232" s="3"/>
      <c r="DU232" s="3"/>
      <c r="DV232" s="3"/>
      <c r="DW232" s="3"/>
      <c r="DX232" s="3"/>
      <c r="DY232" s="3"/>
    </row>
    <row r="233" spans="23:273" s="1" customFormat="1" ht="12" customHeight="1">
      <c r="W233" s="365"/>
      <c r="X233" s="148"/>
      <c r="AG233" s="91"/>
      <c r="AH233" s="3">
        <v>31</v>
      </c>
      <c r="AI233" s="437" t="s">
        <v>18</v>
      </c>
      <c r="AJ233" s="437"/>
      <c r="AK233" s="286">
        <f>ROW()</f>
        <v>233</v>
      </c>
      <c r="AL233" s="426"/>
      <c r="AM233" s="426"/>
      <c r="AN233" s="426"/>
      <c r="AO233" s="426"/>
      <c r="AP233" s="426"/>
      <c r="AQ233" s="426"/>
      <c r="AR233" s="426"/>
      <c r="AS233" s="426"/>
      <c r="AT233" s="426"/>
      <c r="AU233" s="426"/>
      <c r="AV233" s="426"/>
      <c r="AW233" s="426"/>
      <c r="AX233" s="426"/>
      <c r="AY233" s="426"/>
      <c r="AZ233" s="426"/>
      <c r="BA233" s="426"/>
      <c r="BB233" s="426"/>
      <c r="BC233" s="426"/>
      <c r="BD233" s="426"/>
      <c r="BE233" s="426"/>
      <c r="BF233" s="426"/>
      <c r="BG233" s="426"/>
      <c r="BH233" s="426"/>
      <c r="BI233" s="426"/>
      <c r="BJ233" s="426"/>
      <c r="BK233" s="426"/>
      <c r="BL233" s="426"/>
      <c r="BM233" s="426"/>
      <c r="BN233" s="426"/>
      <c r="BO233" s="426"/>
      <c r="BP233" s="426"/>
      <c r="BQ233" s="426"/>
      <c r="BR233" s="426"/>
      <c r="BS233" s="426"/>
      <c r="BT233" s="426"/>
      <c r="BU233" s="426"/>
      <c r="BV233" s="426"/>
      <c r="BW233" s="426"/>
      <c r="BX233" s="426"/>
      <c r="BY233" s="426"/>
      <c r="BZ233" s="426"/>
      <c r="CA233" s="426"/>
      <c r="CB233" s="426"/>
      <c r="CC233" s="426"/>
      <c r="CD233" s="426"/>
      <c r="CE233" s="426"/>
      <c r="CF233" s="426"/>
      <c r="CG233" s="426"/>
      <c r="CH233" s="426"/>
      <c r="CI233" s="426"/>
      <c r="CJ233" s="426"/>
      <c r="CK233" s="426"/>
      <c r="CL233" s="426"/>
      <c r="CM233" s="426"/>
      <c r="CN233" s="426"/>
      <c r="CO233" s="426"/>
      <c r="CP233" s="426"/>
      <c r="CQ233" s="426"/>
      <c r="CR233" s="454"/>
      <c r="CS233" s="454"/>
      <c r="CT233" s="454"/>
      <c r="CU233" s="454"/>
      <c r="CV233" s="454"/>
      <c r="CW233" s="454"/>
      <c r="CX233" s="454"/>
      <c r="CY233" s="454"/>
      <c r="CZ233" s="454"/>
      <c r="DA233" s="454"/>
      <c r="DB233" s="426"/>
      <c r="DC233" s="426"/>
      <c r="DD233" s="426"/>
      <c r="DE233" s="426"/>
      <c r="DF233" s="426"/>
      <c r="DG233" s="426"/>
      <c r="DH233" s="148"/>
      <c r="DI233" s="148"/>
      <c r="DJ233" s="148"/>
      <c r="DK233" s="148"/>
      <c r="DL233" s="148"/>
      <c r="DM233" s="148"/>
      <c r="DN233" s="148"/>
      <c r="DO233" s="148"/>
      <c r="DP233" s="148"/>
      <c r="DQ233" s="148"/>
      <c r="DR233" s="148"/>
      <c r="DS233" s="148"/>
      <c r="DT233" s="148"/>
      <c r="DU233" s="148"/>
      <c r="DV233" s="148"/>
      <c r="DW233" s="148"/>
      <c r="DX233" s="148"/>
      <c r="DY233" s="148"/>
      <c r="DZ233" s="365"/>
      <c r="EA233" s="148"/>
      <c r="FW233" s="365"/>
      <c r="FX233" s="148"/>
      <c r="HK233" s="365"/>
      <c r="HL233" s="148"/>
      <c r="HY233" s="365"/>
      <c r="HZ233" s="148"/>
      <c r="IT233" s="365"/>
      <c r="IU233" s="148"/>
      <c r="JL233" s="365"/>
      <c r="JM233" s="148"/>
    </row>
    <row r="234" spans="23:273" ht="12" customHeight="1">
      <c r="AH234" s="3">
        <v>32</v>
      </c>
      <c r="AI234" s="4" t="s">
        <v>542</v>
      </c>
      <c r="AJ234" s="40" t="s">
        <v>326</v>
      </c>
      <c r="AK234" s="286">
        <f>ROW()</f>
        <v>234</v>
      </c>
      <c r="AL234" s="371">
        <f t="shared" ref="AL234:BJ236" si="15">AL218</f>
        <v>7000</v>
      </c>
      <c r="AM234" s="371">
        <f t="shared" si="15"/>
        <v>8000</v>
      </c>
      <c r="AN234" s="371">
        <f t="shared" si="15"/>
        <v>9000</v>
      </c>
      <c r="AO234" s="371">
        <f t="shared" si="15"/>
        <v>9500</v>
      </c>
      <c r="AP234" s="371">
        <f t="shared" si="15"/>
        <v>10000</v>
      </c>
      <c r="AQ234" s="371">
        <f t="shared" si="15"/>
        <v>11000</v>
      </c>
      <c r="AR234" s="371">
        <f t="shared" si="15"/>
        <v>11500</v>
      </c>
      <c r="AS234" s="371">
        <f t="shared" si="15"/>
        <v>12000</v>
      </c>
      <c r="AT234" s="371">
        <f t="shared" si="15"/>
        <v>13000</v>
      </c>
      <c r="AU234" s="371">
        <f t="shared" si="15"/>
        <v>14000</v>
      </c>
      <c r="AV234" s="371">
        <f t="shared" si="15"/>
        <v>15000</v>
      </c>
      <c r="AW234" s="371">
        <f t="shared" si="15"/>
        <v>16000</v>
      </c>
      <c r="AX234" s="371">
        <f t="shared" si="15"/>
        <v>9500</v>
      </c>
      <c r="AY234" s="371">
        <f t="shared" si="15"/>
        <v>10000</v>
      </c>
      <c r="AZ234" s="371">
        <f t="shared" si="15"/>
        <v>11000</v>
      </c>
      <c r="BA234" s="371">
        <f t="shared" si="15"/>
        <v>12000</v>
      </c>
      <c r="BB234" s="371">
        <f t="shared" si="15"/>
        <v>13000</v>
      </c>
      <c r="BC234" s="371">
        <f t="shared" si="15"/>
        <v>14000</v>
      </c>
      <c r="BD234" s="371">
        <f t="shared" si="15"/>
        <v>17000</v>
      </c>
      <c r="BE234" s="371">
        <f t="shared" si="15"/>
        <v>20000</v>
      </c>
      <c r="BF234" s="371">
        <f t="shared" si="15"/>
        <v>10400</v>
      </c>
      <c r="BG234" s="371">
        <f t="shared" si="15"/>
        <v>8400</v>
      </c>
      <c r="BH234" s="371">
        <f t="shared" si="15"/>
        <v>10400</v>
      </c>
      <c r="BI234" s="371">
        <f t="shared" si="15"/>
        <v>10500</v>
      </c>
      <c r="BJ234" s="371">
        <f t="shared" si="15"/>
        <v>11000</v>
      </c>
      <c r="BK234" s="371">
        <f>BK218</f>
        <v>11500</v>
      </c>
      <c r="BL234" s="371">
        <f t="shared" ref="BL234:BS236" si="16">BL218</f>
        <v>12000</v>
      </c>
      <c r="BM234" s="371">
        <f t="shared" si="16"/>
        <v>12100</v>
      </c>
      <c r="BN234" s="371">
        <f t="shared" si="16"/>
        <v>12500</v>
      </c>
      <c r="BO234" s="371">
        <f t="shared" si="16"/>
        <v>12600</v>
      </c>
      <c r="BP234" s="371">
        <f t="shared" si="16"/>
        <v>13000</v>
      </c>
      <c r="BQ234" s="371">
        <f t="shared" si="16"/>
        <v>13600</v>
      </c>
      <c r="BR234" s="371">
        <f t="shared" si="16"/>
        <v>13500</v>
      </c>
      <c r="BS234" s="371">
        <f t="shared" si="16"/>
        <v>14200</v>
      </c>
      <c r="BT234" s="371"/>
      <c r="BU234" s="371"/>
      <c r="BV234" s="371">
        <f t="shared" ref="BV234:BW236" si="17">BV218</f>
        <v>14700</v>
      </c>
      <c r="BW234" s="371">
        <f t="shared" si="17"/>
        <v>14700</v>
      </c>
      <c r="BX234" s="371"/>
      <c r="BY234" s="371"/>
      <c r="BZ234" s="371"/>
      <c r="CA234" s="371"/>
      <c r="CB234" s="371"/>
      <c r="CC234" s="371"/>
      <c r="CD234" s="371">
        <v>13800</v>
      </c>
      <c r="CE234" s="371">
        <v>10000</v>
      </c>
      <c r="CF234" s="371">
        <v>10500</v>
      </c>
      <c r="CG234" s="371">
        <v>11700</v>
      </c>
      <c r="CH234" s="371">
        <v>12300</v>
      </c>
      <c r="CI234" s="371">
        <v>14000</v>
      </c>
      <c r="CJ234" s="371">
        <v>15600</v>
      </c>
      <c r="CK234" s="371">
        <v>10000</v>
      </c>
      <c r="CL234" s="371">
        <v>10600</v>
      </c>
      <c r="CM234" s="371">
        <v>16800</v>
      </c>
      <c r="CN234" s="371">
        <v>11800</v>
      </c>
      <c r="CO234" s="371">
        <v>13200</v>
      </c>
      <c r="CP234" s="371">
        <v>16700</v>
      </c>
      <c r="CQ234" s="371">
        <v>16700</v>
      </c>
      <c r="CR234" s="455">
        <v>4500</v>
      </c>
      <c r="CS234" s="455"/>
      <c r="CT234" s="455"/>
      <c r="CU234" s="455"/>
      <c r="CV234" s="455">
        <v>4400</v>
      </c>
      <c r="CW234" s="455"/>
      <c r="CX234" s="455"/>
      <c r="CY234" s="455"/>
      <c r="CZ234" s="455"/>
      <c r="DA234" s="455"/>
      <c r="DB234" s="371">
        <v>3800</v>
      </c>
      <c r="DC234" s="371">
        <v>3800</v>
      </c>
      <c r="DD234" s="371">
        <v>4300</v>
      </c>
      <c r="DE234" s="371">
        <v>4300</v>
      </c>
      <c r="DF234" s="371">
        <v>3800</v>
      </c>
      <c r="DG234" s="371">
        <v>3900</v>
      </c>
      <c r="DH234" s="3"/>
      <c r="DI234" s="3"/>
      <c r="DJ234" s="3"/>
      <c r="DK234" s="3"/>
      <c r="DL234" s="3"/>
      <c r="DM234" s="3"/>
      <c r="DN234" s="3"/>
      <c r="DO234" s="3"/>
      <c r="DP234" s="3"/>
      <c r="DQ234" s="3"/>
      <c r="DR234" s="3"/>
      <c r="DS234" s="3"/>
      <c r="DT234" s="3"/>
      <c r="DU234" s="3"/>
      <c r="DV234" s="3"/>
      <c r="DW234" s="3"/>
      <c r="DX234" s="3"/>
      <c r="DY234" s="3"/>
    </row>
    <row r="235" spans="23:273" ht="12" customHeight="1">
      <c r="AH235" s="3">
        <v>33</v>
      </c>
      <c r="AI235" s="4" t="s">
        <v>544</v>
      </c>
      <c r="AJ235" s="40" t="s">
        <v>328</v>
      </c>
      <c r="AK235" s="286">
        <f>ROW()</f>
        <v>235</v>
      </c>
      <c r="AL235" s="371">
        <f t="shared" si="15"/>
        <v>230</v>
      </c>
      <c r="AM235" s="371">
        <f t="shared" si="15"/>
        <v>270</v>
      </c>
      <c r="AN235" s="371">
        <f t="shared" si="15"/>
        <v>300</v>
      </c>
      <c r="AO235" s="371">
        <f t="shared" si="15"/>
        <v>320</v>
      </c>
      <c r="AP235" s="371">
        <f t="shared" si="15"/>
        <v>330</v>
      </c>
      <c r="AQ235" s="371">
        <f t="shared" si="15"/>
        <v>370</v>
      </c>
      <c r="AR235" s="371">
        <f t="shared" si="15"/>
        <v>380</v>
      </c>
      <c r="AS235" s="371">
        <f t="shared" si="15"/>
        <v>400</v>
      </c>
      <c r="AT235" s="371">
        <f t="shared" si="15"/>
        <v>430</v>
      </c>
      <c r="AU235" s="371">
        <f t="shared" si="15"/>
        <v>470</v>
      </c>
      <c r="AV235" s="371">
        <f t="shared" si="15"/>
        <v>500</v>
      </c>
      <c r="AW235" s="371">
        <f t="shared" si="15"/>
        <v>530</v>
      </c>
      <c r="AX235" s="371">
        <f t="shared" si="15"/>
        <v>630</v>
      </c>
      <c r="AY235" s="371">
        <f t="shared" si="15"/>
        <v>670</v>
      </c>
      <c r="AZ235" s="371">
        <f t="shared" si="15"/>
        <v>730</v>
      </c>
      <c r="BA235" s="371">
        <f t="shared" si="15"/>
        <v>800</v>
      </c>
      <c r="BB235" s="371">
        <f t="shared" si="15"/>
        <v>860</v>
      </c>
      <c r="BC235" s="371">
        <f t="shared" si="15"/>
        <v>930</v>
      </c>
      <c r="BD235" s="371">
        <f t="shared" si="15"/>
        <v>1130</v>
      </c>
      <c r="BE235" s="371">
        <f t="shared" si="15"/>
        <v>1330</v>
      </c>
      <c r="BF235" s="371">
        <f t="shared" si="15"/>
        <v>300</v>
      </c>
      <c r="BG235" s="371">
        <f t="shared" si="15"/>
        <v>300</v>
      </c>
      <c r="BH235" s="371">
        <f t="shared" si="15"/>
        <v>300</v>
      </c>
      <c r="BI235" s="371">
        <f t="shared" si="15"/>
        <v>300</v>
      </c>
      <c r="BJ235" s="371">
        <f t="shared" si="15"/>
        <v>300</v>
      </c>
      <c r="BK235" s="371">
        <f>BK219</f>
        <v>300</v>
      </c>
      <c r="BL235" s="371">
        <f t="shared" si="16"/>
        <v>300</v>
      </c>
      <c r="BM235" s="371">
        <f t="shared" si="16"/>
        <v>300</v>
      </c>
      <c r="BN235" s="371">
        <f t="shared" si="16"/>
        <v>300</v>
      </c>
      <c r="BO235" s="371">
        <f t="shared" si="16"/>
        <v>300</v>
      </c>
      <c r="BP235" s="371">
        <f t="shared" si="16"/>
        <v>300</v>
      </c>
      <c r="BQ235" s="371">
        <f t="shared" si="16"/>
        <v>300</v>
      </c>
      <c r="BR235" s="371">
        <f t="shared" si="16"/>
        <v>300</v>
      </c>
      <c r="BS235" s="371">
        <f t="shared" si="16"/>
        <v>300</v>
      </c>
      <c r="BT235" s="371"/>
      <c r="BU235" s="371"/>
      <c r="BV235" s="371">
        <f t="shared" si="17"/>
        <v>460</v>
      </c>
      <c r="BW235" s="371">
        <f t="shared" si="17"/>
        <v>490</v>
      </c>
      <c r="BX235" s="371"/>
      <c r="BY235" s="371"/>
      <c r="BZ235" s="371"/>
      <c r="CA235" s="371"/>
      <c r="CB235" s="371"/>
      <c r="CC235" s="371"/>
      <c r="CD235" s="371"/>
      <c r="CE235" s="371">
        <v>2400</v>
      </c>
      <c r="CF235" s="371">
        <v>2400</v>
      </c>
      <c r="CG235" s="371"/>
      <c r="CH235" s="371"/>
      <c r="CI235" s="371"/>
      <c r="CJ235" s="371"/>
      <c r="CK235" s="371">
        <v>2300</v>
      </c>
      <c r="CL235" s="371">
        <v>3000</v>
      </c>
      <c r="CM235" s="371">
        <v>470</v>
      </c>
      <c r="CN235" s="371">
        <v>3900</v>
      </c>
      <c r="CO235" s="371">
        <v>2200</v>
      </c>
      <c r="CP235" s="371">
        <v>470</v>
      </c>
      <c r="CQ235" s="371">
        <v>470</v>
      </c>
      <c r="CR235" s="455">
        <v>2500</v>
      </c>
      <c r="CS235" s="455"/>
      <c r="CT235" s="455"/>
      <c r="CU235" s="455"/>
      <c r="CV235" s="455">
        <v>4700</v>
      </c>
      <c r="CW235" s="455"/>
      <c r="CX235" s="455"/>
      <c r="CY235" s="455"/>
      <c r="CZ235" s="455"/>
      <c r="DA235" s="455"/>
      <c r="DB235" s="371">
        <v>3000</v>
      </c>
      <c r="DC235" s="371">
        <v>3000</v>
      </c>
      <c r="DD235" s="371">
        <v>3200</v>
      </c>
      <c r="DE235" s="371">
        <v>3200</v>
      </c>
      <c r="DF235" s="371"/>
      <c r="DG235" s="371"/>
      <c r="DH235" s="3"/>
      <c r="DI235" s="3"/>
      <c r="DJ235" s="3"/>
      <c r="DK235" s="3"/>
      <c r="DL235" s="3"/>
      <c r="DM235" s="3"/>
      <c r="DN235" s="3"/>
      <c r="DO235" s="3"/>
      <c r="DP235" s="3"/>
      <c r="DQ235" s="3"/>
      <c r="DR235" s="3"/>
      <c r="DS235" s="3"/>
      <c r="DT235" s="3"/>
      <c r="DU235" s="3"/>
      <c r="DV235" s="3"/>
      <c r="DW235" s="3"/>
      <c r="DX235" s="3"/>
      <c r="DY235" s="3"/>
    </row>
    <row r="236" spans="23:273" ht="12" customHeight="1">
      <c r="AH236" s="3">
        <v>34</v>
      </c>
      <c r="AI236" s="4" t="s">
        <v>543</v>
      </c>
      <c r="AJ236" s="40" t="s">
        <v>327</v>
      </c>
      <c r="AK236" s="286">
        <f>ROW()</f>
        <v>236</v>
      </c>
      <c r="AL236" s="371">
        <f t="shared" si="15"/>
        <v>4700</v>
      </c>
      <c r="AM236" s="371">
        <f t="shared" si="15"/>
        <v>5400</v>
      </c>
      <c r="AN236" s="371">
        <f t="shared" si="15"/>
        <v>6000</v>
      </c>
      <c r="AO236" s="371">
        <f t="shared" si="15"/>
        <v>6400</v>
      </c>
      <c r="AP236" s="371">
        <f t="shared" si="15"/>
        <v>6700</v>
      </c>
      <c r="AQ236" s="371">
        <f t="shared" si="15"/>
        <v>7400</v>
      </c>
      <c r="AR236" s="371">
        <f t="shared" si="15"/>
        <v>7700</v>
      </c>
      <c r="AS236" s="371">
        <f t="shared" si="15"/>
        <v>8000</v>
      </c>
      <c r="AT236" s="371">
        <f t="shared" si="15"/>
        <v>8700</v>
      </c>
      <c r="AU236" s="371">
        <f t="shared" si="15"/>
        <v>9400</v>
      </c>
      <c r="AV236" s="371">
        <f t="shared" si="15"/>
        <v>10000</v>
      </c>
      <c r="AW236" s="371">
        <f t="shared" si="15"/>
        <v>10700</v>
      </c>
      <c r="AX236" s="371">
        <f t="shared" si="15"/>
        <v>8000</v>
      </c>
      <c r="AY236" s="371">
        <f t="shared" si="15"/>
        <v>8500</v>
      </c>
      <c r="AZ236" s="371">
        <f t="shared" si="15"/>
        <v>9200</v>
      </c>
      <c r="BA236" s="371">
        <f t="shared" si="15"/>
        <v>10100</v>
      </c>
      <c r="BB236" s="371">
        <f t="shared" si="15"/>
        <v>10900</v>
      </c>
      <c r="BC236" s="371">
        <f t="shared" si="15"/>
        <v>11800</v>
      </c>
      <c r="BD236" s="371">
        <f t="shared" si="15"/>
        <v>14300</v>
      </c>
      <c r="BE236" s="371">
        <f t="shared" si="15"/>
        <v>16800</v>
      </c>
      <c r="BF236" s="371">
        <f t="shared" si="15"/>
        <v>8600</v>
      </c>
      <c r="BG236" s="371">
        <f t="shared" si="15"/>
        <v>7000</v>
      </c>
      <c r="BH236" s="371">
        <f t="shared" si="15"/>
        <v>8600</v>
      </c>
      <c r="BI236" s="371">
        <f t="shared" si="15"/>
        <v>8800</v>
      </c>
      <c r="BJ236" s="371">
        <f t="shared" si="15"/>
        <v>9100</v>
      </c>
      <c r="BK236" s="371">
        <f>BK220</f>
        <v>9600</v>
      </c>
      <c r="BL236" s="371">
        <f t="shared" si="16"/>
        <v>10000</v>
      </c>
      <c r="BM236" s="371">
        <f t="shared" si="16"/>
        <v>10100</v>
      </c>
      <c r="BN236" s="371">
        <f t="shared" si="16"/>
        <v>10400</v>
      </c>
      <c r="BO236" s="371">
        <f t="shared" si="16"/>
        <v>10500</v>
      </c>
      <c r="BP236" s="371">
        <f t="shared" si="16"/>
        <v>10800</v>
      </c>
      <c r="BQ236" s="371">
        <f t="shared" si="16"/>
        <v>11300</v>
      </c>
      <c r="BR236" s="371">
        <f t="shared" si="16"/>
        <v>11200</v>
      </c>
      <c r="BS236" s="371">
        <f t="shared" si="16"/>
        <v>11800</v>
      </c>
      <c r="BT236" s="371"/>
      <c r="BU236" s="371"/>
      <c r="BV236" s="371">
        <f t="shared" si="17"/>
        <v>11900</v>
      </c>
      <c r="BW236" s="371">
        <f t="shared" si="17"/>
        <v>11900</v>
      </c>
      <c r="BX236" s="371"/>
      <c r="BY236" s="371"/>
      <c r="BZ236" s="371"/>
      <c r="CA236" s="371"/>
      <c r="CB236" s="371"/>
      <c r="CC236" s="371"/>
      <c r="CD236" s="371">
        <v>11600</v>
      </c>
      <c r="CE236" s="371">
        <v>8300</v>
      </c>
      <c r="CF236" s="371">
        <v>8800</v>
      </c>
      <c r="CG236" s="371">
        <v>9800</v>
      </c>
      <c r="CH236" s="371">
        <v>10300</v>
      </c>
      <c r="CI236" s="371">
        <v>12000</v>
      </c>
      <c r="CJ236" s="371">
        <v>14000</v>
      </c>
      <c r="CK236" s="371">
        <v>9000</v>
      </c>
      <c r="CL236" s="371">
        <v>9000</v>
      </c>
      <c r="CM236" s="371">
        <v>14900</v>
      </c>
      <c r="CN236" s="371">
        <v>10900</v>
      </c>
      <c r="CO236" s="371">
        <v>12200</v>
      </c>
      <c r="CP236" s="371">
        <v>15300</v>
      </c>
      <c r="CQ236" s="371">
        <v>15300</v>
      </c>
      <c r="CR236" s="455">
        <v>3600</v>
      </c>
      <c r="CS236" s="455"/>
      <c r="CT236" s="455"/>
      <c r="CU236" s="455"/>
      <c r="CV236" s="455">
        <v>3500</v>
      </c>
      <c r="CW236" s="455"/>
      <c r="CX236" s="455"/>
      <c r="CY236" s="455"/>
      <c r="CZ236" s="455"/>
      <c r="DA236" s="455"/>
      <c r="DB236" s="371">
        <f>ROUND(DB234*0.85/100,0)*100</f>
        <v>3200</v>
      </c>
      <c r="DC236" s="371">
        <f>ROUND(DC234*0.85/100,0)*100</f>
        <v>3200</v>
      </c>
      <c r="DD236" s="371">
        <f>ROUND(DD234*0.85/100,0)*100</f>
        <v>3700</v>
      </c>
      <c r="DE236" s="371">
        <f>ROUND(DE234*0.85/100,0)*100</f>
        <v>3700</v>
      </c>
      <c r="DF236" s="371"/>
      <c r="DG236" s="371"/>
      <c r="DH236" s="3"/>
      <c r="DI236" s="3"/>
      <c r="DJ236" s="3"/>
      <c r="DK236" s="3"/>
      <c r="DL236" s="3"/>
      <c r="DM236" s="3"/>
      <c r="DN236" s="3"/>
      <c r="DO236" s="3"/>
      <c r="DP236" s="3"/>
      <c r="DQ236" s="3"/>
      <c r="DR236" s="3"/>
      <c r="DS236" s="3"/>
      <c r="DT236" s="3"/>
      <c r="DU236" s="3"/>
      <c r="DV236" s="3"/>
      <c r="DW236" s="3"/>
      <c r="DX236" s="3"/>
      <c r="DY236" s="3"/>
    </row>
    <row r="237" spans="23:273" ht="12" customHeight="1">
      <c r="AH237" s="3">
        <v>35</v>
      </c>
      <c r="AI237" s="4" t="s">
        <v>19</v>
      </c>
      <c r="AJ237" s="40" t="s">
        <v>195</v>
      </c>
      <c r="AK237" s="286">
        <f>ROW()</f>
        <v>237</v>
      </c>
      <c r="AL237" s="371">
        <f t="shared" ref="AL237:BJ237" si="18">AL222</f>
        <v>440</v>
      </c>
      <c r="AM237" s="371">
        <f t="shared" si="18"/>
        <v>500</v>
      </c>
      <c r="AN237" s="371">
        <f t="shared" si="18"/>
        <v>560</v>
      </c>
      <c r="AO237" s="371">
        <f t="shared" si="18"/>
        <v>590</v>
      </c>
      <c r="AP237" s="371">
        <f t="shared" si="18"/>
        <v>630</v>
      </c>
      <c r="AQ237" s="371">
        <f t="shared" si="18"/>
        <v>690</v>
      </c>
      <c r="AR237" s="371">
        <f t="shared" si="18"/>
        <v>720</v>
      </c>
      <c r="AS237" s="371">
        <f t="shared" si="18"/>
        <v>750</v>
      </c>
      <c r="AT237" s="371">
        <f t="shared" si="18"/>
        <v>810</v>
      </c>
      <c r="AU237" s="371">
        <f t="shared" si="18"/>
        <v>880</v>
      </c>
      <c r="AV237" s="371">
        <f t="shared" si="18"/>
        <v>940</v>
      </c>
      <c r="AW237" s="371">
        <f t="shared" si="18"/>
        <v>1000</v>
      </c>
      <c r="AX237" s="371">
        <f t="shared" si="18"/>
        <v>590</v>
      </c>
      <c r="AY237" s="371">
        <f t="shared" si="18"/>
        <v>620</v>
      </c>
      <c r="AZ237" s="371">
        <f t="shared" si="18"/>
        <v>690</v>
      </c>
      <c r="BA237" s="371">
        <f t="shared" si="18"/>
        <v>750</v>
      </c>
      <c r="BB237" s="371">
        <f t="shared" si="18"/>
        <v>810</v>
      </c>
      <c r="BC237" s="371">
        <f t="shared" si="18"/>
        <v>880</v>
      </c>
      <c r="BD237" s="371">
        <f t="shared" si="18"/>
        <v>1060</v>
      </c>
      <c r="BE237" s="371">
        <f t="shared" si="18"/>
        <v>1250</v>
      </c>
      <c r="BF237" s="371">
        <f t="shared" si="18"/>
        <v>650</v>
      </c>
      <c r="BG237" s="371">
        <f t="shared" si="18"/>
        <v>650</v>
      </c>
      <c r="BH237" s="371">
        <f t="shared" si="18"/>
        <v>650</v>
      </c>
      <c r="BI237" s="371">
        <f t="shared" si="18"/>
        <v>650</v>
      </c>
      <c r="BJ237" s="371">
        <f t="shared" si="18"/>
        <v>650</v>
      </c>
      <c r="BK237" s="371">
        <f t="shared" ref="BK237:BS237" si="19">BK222</f>
        <v>650</v>
      </c>
      <c r="BL237" s="371">
        <f t="shared" si="19"/>
        <v>650</v>
      </c>
      <c r="BM237" s="371">
        <f t="shared" si="19"/>
        <v>650</v>
      </c>
      <c r="BN237" s="371">
        <f t="shared" si="19"/>
        <v>650</v>
      </c>
      <c r="BO237" s="371">
        <f t="shared" si="19"/>
        <v>650</v>
      </c>
      <c r="BP237" s="371">
        <f t="shared" si="19"/>
        <v>650</v>
      </c>
      <c r="BQ237" s="371">
        <f t="shared" si="19"/>
        <v>650</v>
      </c>
      <c r="BR237" s="371">
        <f t="shared" si="19"/>
        <v>650</v>
      </c>
      <c r="BS237" s="371">
        <f t="shared" si="19"/>
        <v>650</v>
      </c>
      <c r="BT237" s="371"/>
      <c r="BU237" s="371"/>
      <c r="BV237" s="371">
        <f>BV222</f>
        <v>850</v>
      </c>
      <c r="BW237" s="371">
        <f>BW222</f>
        <v>910</v>
      </c>
      <c r="BX237" s="371"/>
      <c r="BY237" s="371"/>
      <c r="BZ237" s="371"/>
      <c r="CA237" s="371"/>
      <c r="CB237" s="371"/>
      <c r="CC237" s="371"/>
      <c r="CD237" s="371">
        <v>600</v>
      </c>
      <c r="CE237" s="371">
        <v>600</v>
      </c>
      <c r="CF237" s="371">
        <v>600</v>
      </c>
      <c r="CG237" s="371">
        <v>600</v>
      </c>
      <c r="CH237" s="371">
        <v>600</v>
      </c>
      <c r="CI237" s="371">
        <v>500</v>
      </c>
      <c r="CJ237" s="371">
        <v>500</v>
      </c>
      <c r="CK237" s="371">
        <v>550</v>
      </c>
      <c r="CL237" s="371">
        <v>550</v>
      </c>
      <c r="CM237" s="371">
        <v>760</v>
      </c>
      <c r="CN237" s="371">
        <v>820</v>
      </c>
      <c r="CO237" s="371">
        <v>820</v>
      </c>
      <c r="CP237" s="371">
        <v>850</v>
      </c>
      <c r="CQ237" s="371">
        <v>760</v>
      </c>
      <c r="CR237" s="455">
        <v>500</v>
      </c>
      <c r="CS237" s="455"/>
      <c r="CT237" s="455"/>
      <c r="CU237" s="455"/>
      <c r="CV237" s="455">
        <v>700</v>
      </c>
      <c r="CW237" s="455"/>
      <c r="CX237" s="455"/>
      <c r="CY237" s="455"/>
      <c r="CZ237" s="455"/>
      <c r="DA237" s="455"/>
      <c r="DB237" s="371">
        <v>1080</v>
      </c>
      <c r="DC237" s="371">
        <v>1080</v>
      </c>
      <c r="DD237" s="371">
        <v>1090</v>
      </c>
      <c r="DE237" s="371">
        <v>1090</v>
      </c>
      <c r="DF237" s="371">
        <v>1600</v>
      </c>
      <c r="DG237" s="371">
        <v>1750</v>
      </c>
      <c r="DH237" s="3"/>
      <c r="DI237" s="3"/>
      <c r="DJ237" s="3"/>
      <c r="DK237" s="3"/>
      <c r="DL237" s="3"/>
      <c r="DM237" s="3"/>
      <c r="DN237" s="3"/>
      <c r="DO237" s="3"/>
      <c r="DP237" s="3"/>
      <c r="DQ237" s="3"/>
      <c r="DR237" s="3"/>
      <c r="DS237" s="3"/>
      <c r="DT237" s="3"/>
      <c r="DU237" s="3"/>
      <c r="DV237" s="3"/>
      <c r="DW237" s="3"/>
      <c r="DX237" s="3"/>
      <c r="DY237" s="3"/>
    </row>
    <row r="238" spans="23:273" ht="12" customHeight="1">
      <c r="AH238" s="3">
        <v>36</v>
      </c>
      <c r="AI238" s="436" t="s">
        <v>339</v>
      </c>
      <c r="AJ238" s="436"/>
      <c r="AK238" s="444">
        <f>ROW()</f>
        <v>238</v>
      </c>
      <c r="AL238" s="400"/>
      <c r="AM238" s="400"/>
      <c r="AN238" s="400"/>
      <c r="AO238" s="400"/>
      <c r="AP238" s="400"/>
      <c r="AQ238" s="400"/>
      <c r="AR238" s="400"/>
      <c r="AS238" s="400"/>
      <c r="AT238" s="400"/>
      <c r="AU238" s="400"/>
      <c r="AV238" s="400"/>
      <c r="AW238" s="400"/>
      <c r="AX238" s="400"/>
      <c r="AY238" s="400"/>
      <c r="AZ238" s="400"/>
      <c r="BA238" s="400"/>
      <c r="BB238" s="400"/>
      <c r="BC238" s="400"/>
      <c r="BD238" s="400"/>
      <c r="BE238" s="400"/>
      <c r="BF238" s="400"/>
      <c r="BG238" s="400"/>
      <c r="BH238" s="400"/>
      <c r="BI238" s="400"/>
      <c r="BJ238" s="400"/>
      <c r="BK238" s="400"/>
      <c r="BL238" s="400"/>
      <c r="BM238" s="400"/>
      <c r="BN238" s="400"/>
      <c r="BO238" s="400"/>
      <c r="BP238" s="400"/>
      <c r="BQ238" s="400"/>
      <c r="BR238" s="400"/>
      <c r="BS238" s="400"/>
      <c r="BT238" s="400"/>
      <c r="BU238" s="400"/>
      <c r="BV238" s="400"/>
      <c r="BW238" s="400"/>
      <c r="BX238" s="400"/>
      <c r="BY238" s="400"/>
      <c r="BZ238" s="400"/>
      <c r="CA238" s="400"/>
      <c r="CB238" s="400"/>
      <c r="CC238" s="400"/>
      <c r="CD238" s="400"/>
      <c r="CE238" s="400"/>
      <c r="CF238" s="400"/>
      <c r="CG238" s="400"/>
      <c r="CH238" s="400"/>
      <c r="CI238" s="400"/>
      <c r="CJ238" s="400"/>
      <c r="CK238" s="400"/>
      <c r="CL238" s="400"/>
      <c r="CM238" s="400"/>
      <c r="CN238" s="400"/>
      <c r="CO238" s="400"/>
      <c r="CP238" s="400"/>
      <c r="CQ238" s="400"/>
      <c r="CR238" s="456"/>
      <c r="CS238" s="456"/>
      <c r="CT238" s="456"/>
      <c r="CU238" s="456"/>
      <c r="CV238" s="456"/>
      <c r="CW238" s="456"/>
      <c r="CX238" s="456"/>
      <c r="CY238" s="456"/>
      <c r="CZ238" s="456"/>
      <c r="DA238" s="456"/>
      <c r="DB238" s="400"/>
      <c r="DC238" s="400"/>
      <c r="DD238" s="400"/>
      <c r="DE238" s="400"/>
      <c r="DF238" s="400"/>
      <c r="DG238" s="400"/>
      <c r="DH238" s="3"/>
      <c r="DI238" s="3"/>
      <c r="DJ238" s="3"/>
      <c r="DK238" s="3"/>
      <c r="DL238" s="3"/>
      <c r="DM238" s="3"/>
      <c r="DN238" s="3"/>
      <c r="DO238" s="3"/>
      <c r="DP238" s="3"/>
      <c r="DQ238" s="3"/>
      <c r="DR238" s="3"/>
      <c r="DS238" s="3"/>
      <c r="DT238" s="3"/>
      <c r="DU238" s="3"/>
      <c r="DV238" s="3"/>
      <c r="DW238" s="3"/>
      <c r="DX238" s="3"/>
      <c r="DY238" s="3"/>
    </row>
    <row r="239" spans="23:273" ht="12" customHeight="1">
      <c r="AH239" s="3">
        <v>37</v>
      </c>
      <c r="AI239" s="4" t="s">
        <v>739</v>
      </c>
      <c r="AJ239" s="40" t="s">
        <v>738</v>
      </c>
      <c r="AK239" s="286">
        <f>ROW()</f>
        <v>239</v>
      </c>
      <c r="AL239" s="75">
        <v>290</v>
      </c>
      <c r="AM239" s="75">
        <v>310</v>
      </c>
      <c r="AN239" s="75">
        <v>320</v>
      </c>
      <c r="AO239" s="75">
        <v>330</v>
      </c>
      <c r="AP239" s="75">
        <v>340</v>
      </c>
      <c r="AQ239" s="75">
        <v>350</v>
      </c>
      <c r="AR239" s="75">
        <v>370</v>
      </c>
      <c r="AS239" s="75">
        <v>380</v>
      </c>
      <c r="AT239" s="75">
        <v>400</v>
      </c>
      <c r="AU239" s="75">
        <v>420</v>
      </c>
      <c r="AV239" s="75">
        <v>440</v>
      </c>
      <c r="AW239" s="75">
        <v>460</v>
      </c>
      <c r="AX239" s="75">
        <v>475</v>
      </c>
      <c r="AY239" s="75">
        <v>485</v>
      </c>
      <c r="AZ239" s="75">
        <v>530</v>
      </c>
      <c r="BA239" s="75">
        <v>540</v>
      </c>
      <c r="BB239" s="75">
        <v>550</v>
      </c>
      <c r="BC239" s="75">
        <v>620</v>
      </c>
      <c r="BD239" s="75">
        <v>700</v>
      </c>
      <c r="BE239" s="75">
        <v>900</v>
      </c>
      <c r="BF239" s="75">
        <v>355</v>
      </c>
      <c r="BG239" s="75">
        <v>340</v>
      </c>
      <c r="BH239" s="75">
        <v>355</v>
      </c>
      <c r="BI239" s="75">
        <v>370</v>
      </c>
      <c r="BJ239" s="75">
        <v>365</v>
      </c>
      <c r="BK239" s="75">
        <v>385</v>
      </c>
      <c r="BL239" s="75">
        <v>385</v>
      </c>
      <c r="BM239" s="75">
        <v>405</v>
      </c>
      <c r="BN239" s="75">
        <v>390</v>
      </c>
      <c r="BO239" s="75">
        <v>425</v>
      </c>
      <c r="BP239" s="75">
        <v>390</v>
      </c>
      <c r="BQ239" s="75">
        <v>430</v>
      </c>
      <c r="BR239" s="75">
        <v>400</v>
      </c>
      <c r="BS239" s="75">
        <v>440</v>
      </c>
      <c r="BT239" s="75"/>
      <c r="BU239" s="75"/>
      <c r="BV239" s="75">
        <v>430</v>
      </c>
      <c r="BW239" s="75">
        <v>450</v>
      </c>
      <c r="BX239" s="75"/>
      <c r="BY239" s="75"/>
      <c r="BZ239" s="75"/>
      <c r="CA239" s="75"/>
      <c r="CB239" s="75"/>
      <c r="CC239" s="75"/>
      <c r="CD239" s="75">
        <v>480</v>
      </c>
      <c r="CE239" s="75">
        <v>480</v>
      </c>
      <c r="CF239" s="75">
        <v>480</v>
      </c>
      <c r="CG239" s="75">
        <v>480</v>
      </c>
      <c r="CH239" s="75">
        <v>480</v>
      </c>
      <c r="CI239" s="75">
        <v>480</v>
      </c>
      <c r="CJ239" s="75">
        <v>550</v>
      </c>
      <c r="CK239" s="75">
        <v>480</v>
      </c>
      <c r="CL239" s="75">
        <v>480</v>
      </c>
      <c r="CM239" s="75">
        <v>730</v>
      </c>
      <c r="CN239" s="75">
        <v>730</v>
      </c>
      <c r="CO239" s="75">
        <v>730</v>
      </c>
      <c r="CP239" s="75">
        <v>680</v>
      </c>
      <c r="CQ239" s="75">
        <v>680</v>
      </c>
      <c r="CR239" s="457">
        <v>400</v>
      </c>
      <c r="CS239" s="457"/>
      <c r="CT239" s="457"/>
      <c r="CU239" s="457"/>
      <c r="CV239" s="457">
        <v>600</v>
      </c>
      <c r="CW239" s="457"/>
      <c r="CX239" s="457"/>
      <c r="CY239" s="457"/>
      <c r="CZ239" s="457"/>
      <c r="DA239" s="457"/>
      <c r="DB239" s="75">
        <v>550</v>
      </c>
      <c r="DC239" s="75">
        <v>550</v>
      </c>
      <c r="DD239" s="75">
        <v>550</v>
      </c>
      <c r="DE239" s="75">
        <v>550</v>
      </c>
      <c r="DF239" s="75">
        <v>1150</v>
      </c>
      <c r="DG239" s="75">
        <v>1050</v>
      </c>
      <c r="DH239" s="3"/>
      <c r="DI239" s="3"/>
      <c r="DJ239" s="3"/>
      <c r="DK239" s="3"/>
      <c r="DL239" s="3"/>
      <c r="DM239" s="3"/>
      <c r="DN239" s="3"/>
      <c r="DO239" s="3"/>
      <c r="DP239" s="3"/>
      <c r="DQ239" s="3"/>
      <c r="DR239" s="3"/>
      <c r="DS239" s="3"/>
      <c r="DT239" s="3"/>
      <c r="DU239" s="3"/>
      <c r="DV239" s="3"/>
      <c r="DW239" s="3"/>
      <c r="DX239" s="3"/>
      <c r="DY239" s="3"/>
    </row>
    <row r="240" spans="23:273" ht="12" customHeight="1">
      <c r="AH240" s="3">
        <v>38</v>
      </c>
      <c r="AI240" s="4" t="s">
        <v>11</v>
      </c>
      <c r="AJ240" s="40" t="s">
        <v>740</v>
      </c>
      <c r="AK240" s="286">
        <f>ROW()</f>
        <v>240</v>
      </c>
      <c r="AL240" s="75">
        <v>350</v>
      </c>
      <c r="AM240" s="75">
        <v>370</v>
      </c>
      <c r="AN240" s="75">
        <v>380</v>
      </c>
      <c r="AO240" s="75">
        <v>390</v>
      </c>
      <c r="AP240" s="75">
        <v>410</v>
      </c>
      <c r="AQ240" s="75">
        <v>420</v>
      </c>
      <c r="AR240" s="75">
        <v>450</v>
      </c>
      <c r="AS240" s="75">
        <v>460</v>
      </c>
      <c r="AT240" s="75">
        <v>480</v>
      </c>
      <c r="AU240" s="75">
        <v>500</v>
      </c>
      <c r="AV240" s="75">
        <v>520</v>
      </c>
      <c r="AW240" s="75">
        <v>550</v>
      </c>
      <c r="AX240" s="75">
        <v>570</v>
      </c>
      <c r="AY240" s="75">
        <v>580</v>
      </c>
      <c r="AZ240" s="75">
        <v>640</v>
      </c>
      <c r="BA240" s="75">
        <v>650</v>
      </c>
      <c r="BB240" s="75">
        <v>660</v>
      </c>
      <c r="BC240" s="75">
        <v>750</v>
      </c>
      <c r="BD240" s="75">
        <v>840</v>
      </c>
      <c r="BE240" s="75">
        <v>1080</v>
      </c>
      <c r="BF240" s="75">
        <v>390</v>
      </c>
      <c r="BG240" s="75">
        <v>370</v>
      </c>
      <c r="BH240" s="75">
        <v>390</v>
      </c>
      <c r="BI240" s="75">
        <v>410</v>
      </c>
      <c r="BJ240" s="75">
        <v>400</v>
      </c>
      <c r="BK240" s="75">
        <v>420</v>
      </c>
      <c r="BL240" s="75">
        <v>420</v>
      </c>
      <c r="BM240" s="75">
        <v>445</v>
      </c>
      <c r="BN240" s="75">
        <v>420</v>
      </c>
      <c r="BO240" s="75">
        <v>460</v>
      </c>
      <c r="BP240" s="75">
        <v>430</v>
      </c>
      <c r="BQ240" s="75">
        <v>480</v>
      </c>
      <c r="BR240" s="75">
        <v>440</v>
      </c>
      <c r="BS240" s="75">
        <v>490</v>
      </c>
      <c r="BT240" s="75"/>
      <c r="BU240" s="75"/>
      <c r="BV240" s="75"/>
      <c r="BW240" s="75"/>
      <c r="BX240" s="75"/>
      <c r="BY240" s="75"/>
      <c r="BZ240" s="75"/>
      <c r="CA240" s="75"/>
      <c r="CB240" s="75"/>
      <c r="CC240" s="75"/>
      <c r="CD240" s="75">
        <v>510</v>
      </c>
      <c r="CE240" s="75">
        <v>510</v>
      </c>
      <c r="CF240" s="75">
        <v>510</v>
      </c>
      <c r="CG240" s="75">
        <v>510</v>
      </c>
      <c r="CH240" s="75">
        <v>510</v>
      </c>
      <c r="CI240" s="75"/>
      <c r="CJ240" s="75"/>
      <c r="CK240" s="75"/>
      <c r="CL240" s="75"/>
      <c r="CM240" s="75">
        <v>800</v>
      </c>
      <c r="CN240" s="75">
        <v>800</v>
      </c>
      <c r="CO240" s="75">
        <v>800</v>
      </c>
      <c r="CP240" s="75">
        <v>740</v>
      </c>
      <c r="CQ240" s="75">
        <v>740</v>
      </c>
      <c r="CR240" s="457">
        <v>750</v>
      </c>
      <c r="CS240" s="457"/>
      <c r="CT240" s="457"/>
      <c r="CU240" s="457"/>
      <c r="CV240" s="457">
        <v>750</v>
      </c>
      <c r="CW240" s="457"/>
      <c r="CX240" s="457"/>
      <c r="CY240" s="457"/>
      <c r="CZ240" s="457"/>
      <c r="DA240" s="457"/>
      <c r="DB240" s="75">
        <v>600</v>
      </c>
      <c r="DC240" s="75">
        <v>600</v>
      </c>
      <c r="DD240" s="75">
        <v>600</v>
      </c>
      <c r="DE240" s="75">
        <v>600</v>
      </c>
      <c r="DF240" s="75">
        <v>1200</v>
      </c>
      <c r="DG240" s="75">
        <v>1200</v>
      </c>
      <c r="DH240" s="3"/>
      <c r="DI240" s="3"/>
      <c r="DJ240" s="3"/>
      <c r="DK240" s="3"/>
      <c r="DL240" s="3"/>
      <c r="DM240" s="3"/>
      <c r="DN240" s="3"/>
      <c r="DO240" s="3"/>
      <c r="DP240" s="3"/>
      <c r="DQ240" s="3"/>
      <c r="DR240" s="3"/>
      <c r="DS240" s="3"/>
      <c r="DT240" s="3"/>
      <c r="DU240" s="3"/>
      <c r="DV240" s="3"/>
      <c r="DW240" s="3"/>
      <c r="DX240" s="3"/>
      <c r="DY240" s="3"/>
    </row>
    <row r="241" spans="34:129" ht="12" customHeight="1">
      <c r="AH241" s="3">
        <v>39</v>
      </c>
      <c r="AI241" s="4" t="s">
        <v>439</v>
      </c>
      <c r="AJ241" s="40" t="s">
        <v>338</v>
      </c>
      <c r="AK241" s="286">
        <f>ROW()</f>
        <v>241</v>
      </c>
      <c r="AL241" s="75">
        <v>7</v>
      </c>
      <c r="AM241" s="75">
        <v>7</v>
      </c>
      <c r="AN241" s="75">
        <v>7</v>
      </c>
      <c r="AO241" s="75">
        <v>7</v>
      </c>
      <c r="AP241" s="75">
        <v>7</v>
      </c>
      <c r="AQ241" s="75">
        <v>7</v>
      </c>
      <c r="AR241" s="75">
        <v>7</v>
      </c>
      <c r="AS241" s="75">
        <v>7</v>
      </c>
      <c r="AT241" s="75">
        <v>7</v>
      </c>
      <c r="AU241" s="75">
        <v>7</v>
      </c>
      <c r="AV241" s="75">
        <v>7</v>
      </c>
      <c r="AW241" s="75">
        <v>7</v>
      </c>
      <c r="AX241" s="75">
        <v>7</v>
      </c>
      <c r="AY241" s="75">
        <v>7</v>
      </c>
      <c r="AZ241" s="75">
        <v>7</v>
      </c>
      <c r="BA241" s="75">
        <v>7</v>
      </c>
      <c r="BB241" s="75">
        <v>7</v>
      </c>
      <c r="BC241" s="75">
        <v>7</v>
      </c>
      <c r="BD241" s="75">
        <v>7</v>
      </c>
      <c r="BE241" s="75">
        <v>7</v>
      </c>
      <c r="BF241" s="75">
        <v>7</v>
      </c>
      <c r="BG241" s="75">
        <v>7</v>
      </c>
      <c r="BH241" s="75">
        <v>7</v>
      </c>
      <c r="BI241" s="75">
        <v>7</v>
      </c>
      <c r="BJ241" s="75">
        <v>7</v>
      </c>
      <c r="BK241" s="75">
        <v>7</v>
      </c>
      <c r="BL241" s="75">
        <v>7</v>
      </c>
      <c r="BM241" s="75">
        <v>7</v>
      </c>
      <c r="BN241" s="75">
        <v>7</v>
      </c>
      <c r="BO241" s="75">
        <v>7</v>
      </c>
      <c r="BP241" s="75">
        <v>7</v>
      </c>
      <c r="BQ241" s="75">
        <v>7</v>
      </c>
      <c r="BR241" s="75">
        <v>7</v>
      </c>
      <c r="BS241" s="75">
        <v>7</v>
      </c>
      <c r="BT241" s="75"/>
      <c r="BU241" s="75"/>
      <c r="BV241" s="75">
        <v>7</v>
      </c>
      <c r="BW241" s="75">
        <v>7</v>
      </c>
      <c r="BX241" s="75"/>
      <c r="BY241" s="75"/>
      <c r="BZ241" s="75"/>
      <c r="CA241" s="75"/>
      <c r="CB241" s="75"/>
      <c r="CC241" s="75"/>
      <c r="CD241" s="75"/>
      <c r="CE241" s="75"/>
      <c r="CF241" s="75"/>
      <c r="CG241" s="75"/>
      <c r="CH241" s="75"/>
      <c r="CI241" s="75"/>
      <c r="CJ241" s="75"/>
      <c r="CK241" s="75"/>
      <c r="CL241" s="75"/>
      <c r="CM241" s="75"/>
      <c r="CN241" s="75"/>
      <c r="CO241" s="75"/>
      <c r="CP241" s="75"/>
      <c r="CQ241" s="75"/>
      <c r="CR241" s="457"/>
      <c r="CS241" s="457"/>
      <c r="CT241" s="457"/>
      <c r="CU241" s="457"/>
      <c r="CV241" s="457"/>
      <c r="CW241" s="457"/>
      <c r="CX241" s="457"/>
      <c r="CY241" s="457"/>
      <c r="CZ241" s="457"/>
      <c r="DA241" s="457"/>
      <c r="DB241" s="75"/>
      <c r="DC241" s="75"/>
      <c r="DD241" s="75"/>
      <c r="DE241" s="75"/>
      <c r="DF241" s="75"/>
      <c r="DG241" s="75"/>
      <c r="DH241" s="3"/>
      <c r="DI241" s="3"/>
      <c r="DJ241" s="3"/>
      <c r="DK241" s="3"/>
      <c r="DL241" s="3"/>
      <c r="DM241" s="3"/>
      <c r="DN241" s="3"/>
      <c r="DO241" s="3"/>
      <c r="DP241" s="3"/>
      <c r="DQ241" s="3"/>
      <c r="DR241" s="3"/>
      <c r="DS241" s="3"/>
      <c r="DT241" s="3"/>
      <c r="DU241" s="3"/>
      <c r="DV241" s="3"/>
      <c r="DW241" s="3"/>
      <c r="DX241" s="3"/>
      <c r="DY241" s="3"/>
    </row>
    <row r="242" spans="34:129" ht="12" customHeight="1">
      <c r="AH242" s="3">
        <v>40</v>
      </c>
      <c r="AI242" s="4" t="s">
        <v>336</v>
      </c>
      <c r="AJ242" s="40" t="s">
        <v>337</v>
      </c>
      <c r="AK242" s="286">
        <f>ROW()</f>
        <v>242</v>
      </c>
      <c r="AL242" s="135">
        <v>0.8</v>
      </c>
      <c r="AM242" s="135">
        <v>0.8</v>
      </c>
      <c r="AN242" s="135">
        <v>0.8</v>
      </c>
      <c r="AO242" s="135">
        <v>0.8</v>
      </c>
      <c r="AP242" s="135">
        <v>0.8</v>
      </c>
      <c r="AQ242" s="135">
        <v>0.8</v>
      </c>
      <c r="AR242" s="135">
        <v>0.8</v>
      </c>
      <c r="AS242" s="135">
        <v>0.8</v>
      </c>
      <c r="AT242" s="135">
        <v>0.8</v>
      </c>
      <c r="AU242" s="135">
        <v>0.8</v>
      </c>
      <c r="AV242" s="135">
        <v>0.8</v>
      </c>
      <c r="AW242" s="135">
        <v>0.8</v>
      </c>
      <c r="AX242" s="135"/>
      <c r="AY242" s="135"/>
      <c r="AZ242" s="135"/>
      <c r="BA242" s="135"/>
      <c r="BB242" s="135"/>
      <c r="BC242" s="135"/>
      <c r="BD242" s="135"/>
      <c r="BE242" s="135"/>
      <c r="BF242" s="135">
        <v>0.7</v>
      </c>
      <c r="BG242" s="135">
        <v>0.7</v>
      </c>
      <c r="BH242" s="135">
        <v>0.7</v>
      </c>
      <c r="BI242" s="135">
        <v>0.7</v>
      </c>
      <c r="BJ242" s="135">
        <v>0.7</v>
      </c>
      <c r="BK242" s="135">
        <v>0.7</v>
      </c>
      <c r="BL242" s="135">
        <v>0.7</v>
      </c>
      <c r="BM242" s="135">
        <v>0.7</v>
      </c>
      <c r="BN242" s="135">
        <v>0.7</v>
      </c>
      <c r="BO242" s="135">
        <v>0.7</v>
      </c>
      <c r="BP242" s="135">
        <v>0.7</v>
      </c>
      <c r="BQ242" s="135">
        <v>0.7</v>
      </c>
      <c r="BR242" s="135">
        <v>0.7</v>
      </c>
      <c r="BS242" s="135">
        <v>0.7</v>
      </c>
      <c r="BT242" s="135"/>
      <c r="BU242" s="135"/>
      <c r="BV242" s="135">
        <v>0.7</v>
      </c>
      <c r="BW242" s="135">
        <v>0.7</v>
      </c>
      <c r="BX242" s="135"/>
      <c r="BY242" s="135"/>
      <c r="BZ242" s="135"/>
      <c r="CA242" s="135"/>
      <c r="CB242" s="135"/>
      <c r="CC242" s="135"/>
      <c r="CD242" s="135"/>
      <c r="CE242" s="135"/>
      <c r="CF242" s="135"/>
      <c r="CG242" s="135"/>
      <c r="CH242" s="135"/>
      <c r="CI242" s="135"/>
      <c r="CJ242" s="135"/>
      <c r="CK242" s="135"/>
      <c r="CL242" s="135"/>
      <c r="CM242" s="135">
        <v>0.7</v>
      </c>
      <c r="CN242" s="135">
        <v>0.7</v>
      </c>
      <c r="CO242" s="135">
        <v>0.7</v>
      </c>
      <c r="CP242" s="135">
        <v>0.7</v>
      </c>
      <c r="CQ242" s="135">
        <v>0.7</v>
      </c>
      <c r="CR242" s="458"/>
      <c r="CS242" s="458"/>
      <c r="CT242" s="458"/>
      <c r="CU242" s="458"/>
      <c r="CV242" s="458"/>
      <c r="CW242" s="458"/>
      <c r="CX242" s="458"/>
      <c r="CY242" s="458"/>
      <c r="CZ242" s="458"/>
      <c r="DA242" s="458"/>
      <c r="DB242" s="135"/>
      <c r="DC242" s="135"/>
      <c r="DD242" s="135"/>
      <c r="DE242" s="135"/>
      <c r="DF242" s="135"/>
      <c r="DG242" s="135"/>
      <c r="DH242" s="3"/>
      <c r="DI242" s="3"/>
      <c r="DJ242" s="3"/>
      <c r="DK242" s="3"/>
      <c r="DL242" s="3"/>
      <c r="DM242" s="3"/>
      <c r="DN242" s="3"/>
      <c r="DO242" s="3"/>
      <c r="DP242" s="3"/>
      <c r="DQ242" s="3"/>
      <c r="DR242" s="3"/>
      <c r="DS242" s="3"/>
      <c r="DT242" s="3"/>
      <c r="DU242" s="3"/>
      <c r="DV242" s="3"/>
      <c r="DW242" s="3"/>
      <c r="DX242" s="3"/>
      <c r="DY242" s="3"/>
    </row>
    <row r="243" spans="34:129" ht="12" customHeight="1">
      <c r="AH243" s="3">
        <v>41</v>
      </c>
      <c r="AI243" s="4" t="s">
        <v>673</v>
      </c>
      <c r="AJ243" s="40" t="s">
        <v>742</v>
      </c>
      <c r="AK243" s="286">
        <f>ROW()</f>
        <v>243</v>
      </c>
      <c r="AL243" s="135">
        <v>0.65</v>
      </c>
      <c r="AM243" s="135">
        <v>0.65</v>
      </c>
      <c r="AN243" s="135">
        <v>0.65</v>
      </c>
      <c r="AO243" s="135">
        <v>0.65</v>
      </c>
      <c r="AP243" s="135">
        <v>0.65</v>
      </c>
      <c r="AQ243" s="135">
        <v>0.65</v>
      </c>
      <c r="AR243" s="135">
        <v>0.65</v>
      </c>
      <c r="AS243" s="135">
        <v>0.65</v>
      </c>
      <c r="AT243" s="135">
        <v>0.65</v>
      </c>
      <c r="AU243" s="135">
        <v>0.65</v>
      </c>
      <c r="AV243" s="135">
        <v>0.65</v>
      </c>
      <c r="AW243" s="135">
        <v>0.65</v>
      </c>
      <c r="AX243" s="135">
        <v>0.5</v>
      </c>
      <c r="AY243" s="135">
        <v>0.5</v>
      </c>
      <c r="AZ243" s="135">
        <v>0.5</v>
      </c>
      <c r="BA243" s="135">
        <v>0.5</v>
      </c>
      <c r="BB243" s="135">
        <v>0.5</v>
      </c>
      <c r="BC243" s="135">
        <v>0.5</v>
      </c>
      <c r="BD243" s="135">
        <v>0.5</v>
      </c>
      <c r="BE243" s="135">
        <v>0.5</v>
      </c>
      <c r="BF243" s="135">
        <v>0.65</v>
      </c>
      <c r="BG243" s="135">
        <v>0.65</v>
      </c>
      <c r="BH243" s="135">
        <v>0.65</v>
      </c>
      <c r="BI243" s="135">
        <v>0.65</v>
      </c>
      <c r="BJ243" s="135">
        <v>0.65</v>
      </c>
      <c r="BK243" s="135">
        <v>0.65</v>
      </c>
      <c r="BL243" s="135">
        <v>0.65</v>
      </c>
      <c r="BM243" s="135">
        <v>0.65</v>
      </c>
      <c r="BN243" s="135">
        <v>0.65</v>
      </c>
      <c r="BO243" s="135">
        <v>0.65</v>
      </c>
      <c r="BP243" s="135">
        <v>0.65</v>
      </c>
      <c r="BQ243" s="135">
        <v>0.65</v>
      </c>
      <c r="BR243" s="135">
        <v>0.65</v>
      </c>
      <c r="BS243" s="135">
        <v>0.65</v>
      </c>
      <c r="BT243" s="135"/>
      <c r="BU243" s="135"/>
      <c r="BV243" s="135">
        <v>0.65</v>
      </c>
      <c r="BW243" s="135">
        <v>0.65</v>
      </c>
      <c r="BX243" s="135"/>
      <c r="BY243" s="135"/>
      <c r="BZ243" s="135"/>
      <c r="CA243" s="135"/>
      <c r="CB243" s="135"/>
      <c r="CC243" s="135"/>
      <c r="CD243" s="135"/>
      <c r="CE243" s="135"/>
      <c r="CF243" s="135"/>
      <c r="CG243" s="135"/>
      <c r="CH243" s="135"/>
      <c r="CI243" s="135"/>
      <c r="CJ243" s="135"/>
      <c r="CK243" s="135"/>
      <c r="CL243" s="135"/>
      <c r="CM243" s="135">
        <v>0.65</v>
      </c>
      <c r="CN243" s="135">
        <v>0.65</v>
      </c>
      <c r="CO243" s="135">
        <v>0.65</v>
      </c>
      <c r="CP243" s="135">
        <v>0.65</v>
      </c>
      <c r="CQ243" s="135">
        <v>0.65</v>
      </c>
      <c r="CR243" s="458"/>
      <c r="CS243" s="458"/>
      <c r="CT243" s="458"/>
      <c r="CU243" s="458"/>
      <c r="CV243" s="458"/>
      <c r="CW243" s="458"/>
      <c r="CX243" s="458"/>
      <c r="CY243" s="458"/>
      <c r="CZ243" s="458"/>
      <c r="DA243" s="458"/>
      <c r="DB243" s="135"/>
      <c r="DC243" s="135"/>
      <c r="DD243" s="135"/>
      <c r="DE243" s="135"/>
      <c r="DF243" s="135"/>
      <c r="DG243" s="135"/>
      <c r="DH243" s="3"/>
      <c r="DI243" s="3"/>
      <c r="DJ243" s="3"/>
      <c r="DK243" s="3"/>
      <c r="DL243" s="3"/>
      <c r="DM243" s="3"/>
      <c r="DN243" s="3"/>
      <c r="DO243" s="3"/>
      <c r="DP243" s="3"/>
      <c r="DQ243" s="3"/>
      <c r="DR243" s="3"/>
      <c r="DS243" s="3"/>
      <c r="DT243" s="3"/>
      <c r="DU243" s="3"/>
      <c r="DV243" s="3"/>
      <c r="DW243" s="3"/>
      <c r="DX243" s="3"/>
      <c r="DY243" s="3"/>
    </row>
    <row r="244" spans="34:129" ht="12" customHeight="1">
      <c r="AH244" s="3">
        <v>42</v>
      </c>
      <c r="AI244" s="4" t="s">
        <v>670</v>
      </c>
      <c r="AJ244" s="40" t="s">
        <v>669</v>
      </c>
      <c r="AK244" s="286">
        <f>ROW()</f>
        <v>244</v>
      </c>
      <c r="AL244" s="443">
        <v>1.25</v>
      </c>
      <c r="AM244" s="443">
        <v>1.25</v>
      </c>
      <c r="AN244" s="443">
        <v>1.25</v>
      </c>
      <c r="AO244" s="443">
        <v>1.25</v>
      </c>
      <c r="AP244" s="443">
        <v>1.25</v>
      </c>
      <c r="AQ244" s="443">
        <v>1.25</v>
      </c>
      <c r="AR244" s="443">
        <v>1.25</v>
      </c>
      <c r="AS244" s="443">
        <v>1.25</v>
      </c>
      <c r="AT244" s="443">
        <v>1.25</v>
      </c>
      <c r="AU244" s="443">
        <v>1.25</v>
      </c>
      <c r="AV244" s="443">
        <v>1.25</v>
      </c>
      <c r="AW244" s="443">
        <v>1.25</v>
      </c>
      <c r="AX244" s="443">
        <v>1.25</v>
      </c>
      <c r="AY244" s="443">
        <v>1.25</v>
      </c>
      <c r="AZ244" s="443">
        <v>1.25</v>
      </c>
      <c r="BA244" s="443">
        <v>1.25</v>
      </c>
      <c r="BB244" s="443">
        <v>1.25</v>
      </c>
      <c r="BC244" s="443">
        <v>1.25</v>
      </c>
      <c r="BD244" s="443">
        <v>1.25</v>
      </c>
      <c r="BE244" s="443">
        <v>1.25</v>
      </c>
      <c r="BF244" s="443">
        <v>1.1499999999999999</v>
      </c>
      <c r="BG244" s="443">
        <v>1.1499999999999999</v>
      </c>
      <c r="BH244" s="443">
        <v>1.1499999999999999</v>
      </c>
      <c r="BI244" s="443">
        <v>1.1499999999999999</v>
      </c>
      <c r="BJ244" s="443">
        <v>1.1499999999999999</v>
      </c>
      <c r="BK244" s="443">
        <v>1.1499999999999999</v>
      </c>
      <c r="BL244" s="443">
        <v>1.1499999999999999</v>
      </c>
      <c r="BM244" s="443">
        <v>1.1499999999999999</v>
      </c>
      <c r="BN244" s="443">
        <v>1.1499999999999999</v>
      </c>
      <c r="BO244" s="443">
        <v>1.1499999999999999</v>
      </c>
      <c r="BP244" s="443">
        <v>1.1499999999999999</v>
      </c>
      <c r="BQ244" s="443">
        <v>1.1499999999999999</v>
      </c>
      <c r="BR244" s="443">
        <v>1.1499999999999999</v>
      </c>
      <c r="BS244" s="443">
        <v>1.1499999999999999</v>
      </c>
      <c r="BT244" s="443"/>
      <c r="BU244" s="443"/>
      <c r="BV244" s="443">
        <v>1.1499999999999999</v>
      </c>
      <c r="BW244" s="443">
        <v>1.1499999999999999</v>
      </c>
      <c r="BX244" s="443"/>
      <c r="BY244" s="443"/>
      <c r="BZ244" s="443"/>
      <c r="CA244" s="443"/>
      <c r="CB244" s="443"/>
      <c r="CC244" s="443"/>
      <c r="CD244" s="443"/>
      <c r="CE244" s="443"/>
      <c r="CF244" s="443"/>
      <c r="CG244" s="443"/>
      <c r="CH244" s="443"/>
      <c r="CI244" s="443"/>
      <c r="CJ244" s="443"/>
      <c r="CK244" s="443"/>
      <c r="CL244" s="443"/>
      <c r="CM244" s="443"/>
      <c r="CN244" s="443"/>
      <c r="CO244" s="443"/>
      <c r="CP244" s="443"/>
      <c r="CQ244" s="443"/>
      <c r="CR244" s="459"/>
      <c r="CS244" s="459"/>
      <c r="CT244" s="459"/>
      <c r="CU244" s="459"/>
      <c r="CV244" s="459"/>
      <c r="CW244" s="459"/>
      <c r="CX244" s="459"/>
      <c r="CY244" s="459"/>
      <c r="CZ244" s="459"/>
      <c r="DA244" s="459"/>
      <c r="DB244" s="443"/>
      <c r="DC244" s="443"/>
      <c r="DD244" s="443"/>
      <c r="DE244" s="443"/>
      <c r="DF244" s="443"/>
      <c r="DG244" s="443"/>
      <c r="DH244" s="3"/>
      <c r="DI244" s="3"/>
      <c r="DJ244" s="3"/>
      <c r="DK244" s="3"/>
      <c r="DL244" s="3"/>
      <c r="DM244" s="3"/>
      <c r="DN244" s="3"/>
      <c r="DO244" s="3"/>
      <c r="DP244" s="3"/>
      <c r="DQ244" s="3"/>
      <c r="DR244" s="3"/>
      <c r="DS244" s="3"/>
      <c r="DT244" s="3"/>
      <c r="DU244" s="3"/>
      <c r="DV244" s="3"/>
      <c r="DW244" s="3"/>
      <c r="DX244" s="3"/>
      <c r="DY244" s="3"/>
    </row>
    <row r="245" spans="34:129" ht="12" customHeight="1">
      <c r="AH245" s="3">
        <v>43</v>
      </c>
      <c r="AI245" s="4" t="s">
        <v>335</v>
      </c>
      <c r="AJ245" s="40" t="s">
        <v>334</v>
      </c>
      <c r="AK245" s="286">
        <f>ROW()</f>
        <v>245</v>
      </c>
      <c r="AL245" s="443">
        <v>0.12</v>
      </c>
      <c r="AM245" s="443">
        <v>0.12</v>
      </c>
      <c r="AN245" s="443">
        <v>0.12</v>
      </c>
      <c r="AO245" s="443">
        <v>0.12</v>
      </c>
      <c r="AP245" s="443">
        <v>0.12</v>
      </c>
      <c r="AQ245" s="443">
        <v>0.12</v>
      </c>
      <c r="AR245" s="443">
        <v>0.12</v>
      </c>
      <c r="AS245" s="443">
        <v>0.12</v>
      </c>
      <c r="AT245" s="443">
        <v>0.12</v>
      </c>
      <c r="AU245" s="443">
        <v>0.12</v>
      </c>
      <c r="AV245" s="443">
        <v>0.12</v>
      </c>
      <c r="AW245" s="443">
        <v>0.12</v>
      </c>
      <c r="AX245" s="443"/>
      <c r="AY245" s="443"/>
      <c r="AZ245" s="443"/>
      <c r="BA245" s="443"/>
      <c r="BB245" s="443"/>
      <c r="BC245" s="443"/>
      <c r="BD245" s="443"/>
      <c r="BE245" s="443"/>
      <c r="BF245" s="443">
        <v>0.12</v>
      </c>
      <c r="BG245" s="443">
        <v>0.12</v>
      </c>
      <c r="BH245" s="443">
        <v>0.12</v>
      </c>
      <c r="BI245" s="443">
        <v>0.12</v>
      </c>
      <c r="BJ245" s="443">
        <v>0.12</v>
      </c>
      <c r="BK245" s="443">
        <v>0.12</v>
      </c>
      <c r="BL245" s="443">
        <v>0.12</v>
      </c>
      <c r="BM245" s="443">
        <v>0.12</v>
      </c>
      <c r="BN245" s="443">
        <v>0.12</v>
      </c>
      <c r="BO245" s="443">
        <v>0.12</v>
      </c>
      <c r="BP245" s="443">
        <v>0.12</v>
      </c>
      <c r="BQ245" s="443">
        <v>0.12</v>
      </c>
      <c r="BR245" s="443">
        <v>0.12</v>
      </c>
      <c r="BS245" s="443">
        <v>0.12</v>
      </c>
      <c r="BT245" s="443"/>
      <c r="BU245" s="443"/>
      <c r="BV245" s="443">
        <v>0.12</v>
      </c>
      <c r="BW245" s="443">
        <v>0.12</v>
      </c>
      <c r="BX245" s="443"/>
      <c r="BY245" s="443"/>
      <c r="BZ245" s="443"/>
      <c r="CA245" s="443"/>
      <c r="CB245" s="443"/>
      <c r="CC245" s="443"/>
      <c r="CD245" s="443"/>
      <c r="CE245" s="443"/>
      <c r="CF245" s="443"/>
      <c r="CG245" s="443"/>
      <c r="CH245" s="443"/>
      <c r="CI245" s="443"/>
      <c r="CJ245" s="443"/>
      <c r="CK245" s="443"/>
      <c r="CL245" s="443"/>
      <c r="CM245" s="443"/>
      <c r="CN245" s="443"/>
      <c r="CO245" s="443"/>
      <c r="CP245" s="443"/>
      <c r="CQ245" s="443"/>
      <c r="CR245" s="459"/>
      <c r="CS245" s="459"/>
      <c r="CT245" s="459"/>
      <c r="CU245" s="459"/>
      <c r="CV245" s="459"/>
      <c r="CW245" s="459"/>
      <c r="CX245" s="459"/>
      <c r="CY245" s="459"/>
      <c r="CZ245" s="459"/>
      <c r="DA245" s="459"/>
      <c r="DB245" s="443"/>
      <c r="DC245" s="443"/>
      <c r="DD245" s="443"/>
      <c r="DE245" s="443"/>
      <c r="DF245" s="443"/>
      <c r="DG245" s="443"/>
    </row>
    <row r="246" spans="34:129" ht="12" customHeight="1">
      <c r="AH246" s="3">
        <v>44</v>
      </c>
      <c r="AI246" s="4" t="s">
        <v>440</v>
      </c>
      <c r="AJ246" s="40" t="s">
        <v>196</v>
      </c>
      <c r="AK246" s="286">
        <f>ROW()</f>
        <v>246</v>
      </c>
      <c r="AL246" s="443">
        <v>0.01</v>
      </c>
      <c r="AM246" s="443">
        <v>0.01</v>
      </c>
      <c r="AN246" s="443">
        <v>0.01</v>
      </c>
      <c r="AO246" s="443">
        <v>0.01</v>
      </c>
      <c r="AP246" s="443">
        <v>0.01</v>
      </c>
      <c r="AQ246" s="443">
        <v>0.01</v>
      </c>
      <c r="AR246" s="443">
        <v>0.01</v>
      </c>
      <c r="AS246" s="443">
        <v>0.01</v>
      </c>
      <c r="AT246" s="443">
        <v>0.01</v>
      </c>
      <c r="AU246" s="443">
        <v>0.01</v>
      </c>
      <c r="AV246" s="443">
        <v>0.01</v>
      </c>
      <c r="AW246" s="443">
        <v>0.01</v>
      </c>
      <c r="AX246" s="443"/>
      <c r="AY246" s="443"/>
      <c r="AZ246" s="443"/>
      <c r="BA246" s="443"/>
      <c r="BB246" s="443"/>
      <c r="BC246" s="443"/>
      <c r="BD246" s="443"/>
      <c r="BE246" s="443"/>
      <c r="BF246" s="443">
        <v>0.01</v>
      </c>
      <c r="BG246" s="443">
        <v>0.01</v>
      </c>
      <c r="BH246" s="443">
        <v>0.01</v>
      </c>
      <c r="BI246" s="443">
        <v>0.01</v>
      </c>
      <c r="BJ246" s="443">
        <v>0.01</v>
      </c>
      <c r="BK246" s="443">
        <v>0.01</v>
      </c>
      <c r="BL246" s="443">
        <v>0.01</v>
      </c>
      <c r="BM246" s="443">
        <v>0.01</v>
      </c>
      <c r="BN246" s="443">
        <v>0.01</v>
      </c>
      <c r="BO246" s="443">
        <v>0.01</v>
      </c>
      <c r="BP246" s="443">
        <v>0.01</v>
      </c>
      <c r="BQ246" s="443">
        <v>0.01</v>
      </c>
      <c r="BR246" s="443">
        <v>0.01</v>
      </c>
      <c r="BS246" s="443">
        <v>0.01</v>
      </c>
      <c r="BT246" s="443"/>
      <c r="BU246" s="443"/>
      <c r="BV246" s="443">
        <v>0.01</v>
      </c>
      <c r="BW246" s="443">
        <v>0.01</v>
      </c>
      <c r="BX246" s="443"/>
      <c r="BY246" s="443"/>
      <c r="BZ246" s="443"/>
      <c r="CA246" s="443"/>
      <c r="CB246" s="443"/>
      <c r="CC246" s="443"/>
      <c r="CD246" s="443"/>
      <c r="CE246" s="443"/>
      <c r="CF246" s="443"/>
      <c r="CG246" s="443"/>
      <c r="CH246" s="443"/>
      <c r="CI246" s="443"/>
      <c r="CJ246" s="443"/>
      <c r="CK246" s="443"/>
      <c r="CL246" s="443"/>
      <c r="CM246" s="443"/>
      <c r="CN246" s="443"/>
      <c r="CO246" s="443"/>
      <c r="CP246" s="443"/>
      <c r="CQ246" s="443"/>
      <c r="CR246" s="459"/>
      <c r="CS246" s="459"/>
      <c r="CT246" s="459"/>
      <c r="CU246" s="459"/>
      <c r="CV246" s="459"/>
      <c r="CW246" s="459"/>
      <c r="CX246" s="459"/>
      <c r="CY246" s="459"/>
      <c r="CZ246" s="459"/>
      <c r="DA246" s="459"/>
      <c r="DB246" s="443"/>
      <c r="DC246" s="443"/>
      <c r="DD246" s="443"/>
      <c r="DE246" s="443"/>
      <c r="DF246" s="443"/>
      <c r="DG246" s="443"/>
      <c r="DH246" s="3"/>
      <c r="DI246" s="3"/>
      <c r="DJ246" s="3"/>
      <c r="DK246" s="3"/>
      <c r="DL246" s="3"/>
      <c r="DM246" s="3"/>
      <c r="DN246" s="3"/>
      <c r="DO246" s="3"/>
      <c r="DP246" s="3"/>
      <c r="DQ246" s="3"/>
      <c r="DR246" s="3"/>
      <c r="DS246" s="3"/>
      <c r="DT246" s="3"/>
      <c r="DU246" s="3"/>
      <c r="DV246" s="3"/>
      <c r="DW246" s="3"/>
      <c r="DX246" s="3"/>
      <c r="DY246" s="3"/>
    </row>
    <row r="247" spans="34:129" ht="12" customHeight="1">
      <c r="AH247" s="3">
        <v>45</v>
      </c>
      <c r="AI247" s="4" t="s">
        <v>441</v>
      </c>
      <c r="AJ247" s="427" t="s">
        <v>197</v>
      </c>
      <c r="AK247" s="286">
        <f>ROW()</f>
        <v>247</v>
      </c>
      <c r="AL247" s="443">
        <v>0.25</v>
      </c>
      <c r="AM247" s="443">
        <v>0.25</v>
      </c>
      <c r="AN247" s="443">
        <v>0.25</v>
      </c>
      <c r="AO247" s="443">
        <v>0.25</v>
      </c>
      <c r="AP247" s="443">
        <v>0.25</v>
      </c>
      <c r="AQ247" s="443">
        <v>0.25</v>
      </c>
      <c r="AR247" s="443">
        <v>0.25</v>
      </c>
      <c r="AS247" s="443">
        <v>0.25</v>
      </c>
      <c r="AT247" s="443">
        <v>0.25</v>
      </c>
      <c r="AU247" s="443">
        <v>0.25</v>
      </c>
      <c r="AV247" s="443">
        <v>0.25</v>
      </c>
      <c r="AW247" s="443">
        <v>0.25</v>
      </c>
      <c r="AX247" s="443"/>
      <c r="AY247" s="443"/>
      <c r="AZ247" s="443"/>
      <c r="BA247" s="443"/>
      <c r="BB247" s="443"/>
      <c r="BC247" s="443"/>
      <c r="BD247" s="443"/>
      <c r="BE247" s="443"/>
      <c r="BF247" s="443">
        <v>0.25</v>
      </c>
      <c r="BG247" s="443">
        <v>0.25</v>
      </c>
      <c r="BH247" s="443">
        <v>0.25</v>
      </c>
      <c r="BI247" s="443">
        <v>0.25</v>
      </c>
      <c r="BJ247" s="443">
        <v>0.25</v>
      </c>
      <c r="BK247" s="443">
        <v>0.25</v>
      </c>
      <c r="BL247" s="443">
        <v>0.25</v>
      </c>
      <c r="BM247" s="443">
        <v>0.25</v>
      </c>
      <c r="BN247" s="443">
        <v>0.25</v>
      </c>
      <c r="BO247" s="443">
        <v>0.25</v>
      </c>
      <c r="BP247" s="443">
        <v>0.25</v>
      </c>
      <c r="BQ247" s="443">
        <v>0.25</v>
      </c>
      <c r="BR247" s="443">
        <v>0.25</v>
      </c>
      <c r="BS247" s="443">
        <v>0.25</v>
      </c>
      <c r="BT247" s="443"/>
      <c r="BU247" s="443"/>
      <c r="BV247" s="443">
        <v>0.25</v>
      </c>
      <c r="BW247" s="443">
        <v>0.25</v>
      </c>
      <c r="BX247" s="443"/>
      <c r="BY247" s="443"/>
      <c r="BZ247" s="443"/>
      <c r="CA247" s="443"/>
      <c r="CB247" s="443"/>
      <c r="CC247" s="443"/>
      <c r="CD247" s="443"/>
      <c r="CE247" s="443"/>
      <c r="CF247" s="443"/>
      <c r="CG247" s="443"/>
      <c r="CH247" s="443"/>
      <c r="CI247" s="443"/>
      <c r="CJ247" s="443"/>
      <c r="CK247" s="443"/>
      <c r="CL247" s="443"/>
      <c r="CM247" s="443"/>
      <c r="CN247" s="443"/>
      <c r="CO247" s="443"/>
      <c r="CP247" s="443"/>
      <c r="CQ247" s="443"/>
      <c r="CR247" s="459"/>
      <c r="CS247" s="459"/>
      <c r="CT247" s="459"/>
      <c r="CU247" s="459"/>
      <c r="CV247" s="459"/>
      <c r="CW247" s="459"/>
      <c r="CX247" s="459"/>
      <c r="CY247" s="459"/>
      <c r="CZ247" s="459"/>
      <c r="DA247" s="459"/>
      <c r="DB247" s="443"/>
      <c r="DC247" s="443"/>
      <c r="DD247" s="443"/>
      <c r="DE247" s="443"/>
      <c r="DF247" s="443"/>
      <c r="DG247" s="443"/>
      <c r="DH247" s="3"/>
      <c r="DI247" s="3"/>
      <c r="DJ247" s="3"/>
      <c r="DK247" s="3"/>
      <c r="DL247" s="3"/>
      <c r="DM247" s="3"/>
      <c r="DN247" s="3"/>
      <c r="DO247" s="3"/>
      <c r="DP247" s="3"/>
      <c r="DQ247" s="3"/>
      <c r="DR247" s="3"/>
      <c r="DS247" s="3"/>
      <c r="DT247" s="3"/>
      <c r="DU247" s="3"/>
      <c r="DV247" s="3"/>
      <c r="DW247" s="3"/>
      <c r="DX247" s="3"/>
      <c r="DY247" s="3"/>
    </row>
    <row r="248" spans="34:129" ht="12" customHeight="1">
      <c r="AH248" s="3">
        <v>46</v>
      </c>
      <c r="AI248" s="4" t="s">
        <v>651</v>
      </c>
      <c r="AJ248" s="40" t="s">
        <v>329</v>
      </c>
      <c r="AK248" s="286">
        <f>ROW()</f>
        <v>248</v>
      </c>
      <c r="AL248" s="186">
        <f>(25+60)/2*10^-6</f>
        <v>4.2499999999999996E-5</v>
      </c>
      <c r="AM248" s="186">
        <f t="shared" ref="AM248:AW248" si="20">(25+60)/2*10^-6</f>
        <v>4.2499999999999996E-5</v>
      </c>
      <c r="AN248" s="186">
        <f t="shared" si="20"/>
        <v>4.2499999999999996E-5</v>
      </c>
      <c r="AO248" s="186">
        <f t="shared" si="20"/>
        <v>4.2499999999999996E-5</v>
      </c>
      <c r="AP248" s="186">
        <f t="shared" si="20"/>
        <v>4.2499999999999996E-5</v>
      </c>
      <c r="AQ248" s="186">
        <f t="shared" si="20"/>
        <v>4.2499999999999996E-5</v>
      </c>
      <c r="AR248" s="186">
        <f t="shared" si="20"/>
        <v>4.2499999999999996E-5</v>
      </c>
      <c r="AS248" s="186">
        <f t="shared" si="20"/>
        <v>4.2499999999999996E-5</v>
      </c>
      <c r="AT248" s="186">
        <f t="shared" si="20"/>
        <v>4.2499999999999996E-5</v>
      </c>
      <c r="AU248" s="186">
        <f t="shared" si="20"/>
        <v>4.2499999999999996E-5</v>
      </c>
      <c r="AV248" s="186">
        <f t="shared" si="20"/>
        <v>4.2499999999999996E-5</v>
      </c>
      <c r="AW248" s="186">
        <f t="shared" si="20"/>
        <v>4.2499999999999996E-5</v>
      </c>
      <c r="AX248" s="186"/>
      <c r="AY248" s="186"/>
      <c r="AZ248" s="186"/>
      <c r="BA248" s="186"/>
      <c r="BB248" s="186"/>
      <c r="BC248" s="186"/>
      <c r="BD248" s="186"/>
      <c r="BE248" s="186"/>
      <c r="BF248" s="186">
        <f>(25+60)/2*10^-6</f>
        <v>4.2499999999999996E-5</v>
      </c>
      <c r="BG248" s="186">
        <f t="shared" ref="BG248:BS248" si="21">(25+60)/2*10^-6</f>
        <v>4.2499999999999996E-5</v>
      </c>
      <c r="BH248" s="186">
        <f t="shared" si="21"/>
        <v>4.2499999999999996E-5</v>
      </c>
      <c r="BI248" s="186">
        <f t="shared" si="21"/>
        <v>4.2499999999999996E-5</v>
      </c>
      <c r="BJ248" s="186">
        <f t="shared" si="21"/>
        <v>4.2499999999999996E-5</v>
      </c>
      <c r="BK248" s="186">
        <f t="shared" si="21"/>
        <v>4.2499999999999996E-5</v>
      </c>
      <c r="BL248" s="186">
        <f t="shared" si="21"/>
        <v>4.2499999999999996E-5</v>
      </c>
      <c r="BM248" s="186">
        <f t="shared" si="21"/>
        <v>4.2499999999999996E-5</v>
      </c>
      <c r="BN248" s="186">
        <f t="shared" si="21"/>
        <v>4.2499999999999996E-5</v>
      </c>
      <c r="BO248" s="186">
        <f t="shared" si="21"/>
        <v>4.2499999999999996E-5</v>
      </c>
      <c r="BP248" s="186">
        <f t="shared" si="21"/>
        <v>4.2499999999999996E-5</v>
      </c>
      <c r="BQ248" s="186">
        <f t="shared" si="21"/>
        <v>4.2499999999999996E-5</v>
      </c>
      <c r="BR248" s="186">
        <f t="shared" si="21"/>
        <v>4.2499999999999996E-5</v>
      </c>
      <c r="BS248" s="186">
        <f t="shared" si="21"/>
        <v>4.2499999999999996E-5</v>
      </c>
      <c r="BT248" s="186"/>
      <c r="BU248" s="186"/>
      <c r="BV248" s="186">
        <f>(25+60)/2*10^-6</f>
        <v>4.2499999999999996E-5</v>
      </c>
      <c r="BW248" s="186">
        <f>(25+60)/2*10^-6</f>
        <v>4.2499999999999996E-5</v>
      </c>
      <c r="BX248" s="186"/>
      <c r="BY248" s="186"/>
      <c r="BZ248" s="186"/>
      <c r="CA248" s="186"/>
      <c r="CB248" s="186"/>
      <c r="CC248" s="186"/>
      <c r="CD248" s="186"/>
      <c r="CE248" s="186"/>
      <c r="CF248" s="186"/>
      <c r="CG248" s="186"/>
      <c r="CH248" s="186"/>
      <c r="CI248" s="186"/>
      <c r="CJ248" s="186"/>
      <c r="CK248" s="186"/>
      <c r="CL248" s="186"/>
      <c r="CM248" s="186"/>
      <c r="CN248" s="186"/>
      <c r="CO248" s="186"/>
      <c r="CP248" s="186"/>
      <c r="CQ248" s="186"/>
      <c r="CR248" s="460"/>
      <c r="CS248" s="460"/>
      <c r="CT248" s="460"/>
      <c r="CU248" s="460"/>
      <c r="CV248" s="460"/>
      <c r="CW248" s="460"/>
      <c r="CX248" s="460"/>
      <c r="CY248" s="460"/>
      <c r="CZ248" s="460"/>
      <c r="DA248" s="460"/>
      <c r="DB248" s="186"/>
      <c r="DC248" s="186"/>
      <c r="DD248" s="186"/>
      <c r="DE248" s="186"/>
      <c r="DF248" s="186"/>
      <c r="DG248" s="186"/>
    </row>
    <row r="249" spans="34:129" ht="12" customHeight="1">
      <c r="AH249" s="3">
        <v>47</v>
      </c>
      <c r="AI249" s="4" t="s">
        <v>332</v>
      </c>
      <c r="AJ249" s="40" t="s">
        <v>330</v>
      </c>
      <c r="AK249" s="286">
        <f>ROW()</f>
        <v>249</v>
      </c>
      <c r="AL249" s="186">
        <f>(15+45)/2*10^-6</f>
        <v>2.9999999999999997E-5</v>
      </c>
      <c r="AM249" s="186">
        <f t="shared" ref="AM249:AW249" si="22">(15+45)/2*10^-6</f>
        <v>2.9999999999999997E-5</v>
      </c>
      <c r="AN249" s="186">
        <f t="shared" si="22"/>
        <v>2.9999999999999997E-5</v>
      </c>
      <c r="AO249" s="186">
        <f t="shared" si="22"/>
        <v>2.9999999999999997E-5</v>
      </c>
      <c r="AP249" s="186">
        <f t="shared" si="22"/>
        <v>2.9999999999999997E-5</v>
      </c>
      <c r="AQ249" s="186">
        <f t="shared" si="22"/>
        <v>2.9999999999999997E-5</v>
      </c>
      <c r="AR249" s="186">
        <f t="shared" si="22"/>
        <v>2.9999999999999997E-5</v>
      </c>
      <c r="AS249" s="186">
        <f t="shared" si="22"/>
        <v>2.9999999999999997E-5</v>
      </c>
      <c r="AT249" s="186">
        <f t="shared" si="22"/>
        <v>2.9999999999999997E-5</v>
      </c>
      <c r="AU249" s="186">
        <f t="shared" si="22"/>
        <v>2.9999999999999997E-5</v>
      </c>
      <c r="AV249" s="186">
        <f t="shared" si="22"/>
        <v>2.9999999999999997E-5</v>
      </c>
      <c r="AW249" s="186">
        <f t="shared" si="22"/>
        <v>2.9999999999999997E-5</v>
      </c>
      <c r="AX249" s="186"/>
      <c r="AY249" s="186"/>
      <c r="AZ249" s="186"/>
      <c r="BA249" s="186"/>
      <c r="BB249" s="186"/>
      <c r="BC249" s="186"/>
      <c r="BD249" s="186"/>
      <c r="BE249" s="186"/>
      <c r="BF249" s="186">
        <f>(15+45)/2*10^-6</f>
        <v>2.9999999999999997E-5</v>
      </c>
      <c r="BG249" s="186">
        <f t="shared" ref="BG249:BS249" si="23">(15+45)/2*10^-6</f>
        <v>2.9999999999999997E-5</v>
      </c>
      <c r="BH249" s="186">
        <f t="shared" si="23"/>
        <v>2.9999999999999997E-5</v>
      </c>
      <c r="BI249" s="186">
        <f t="shared" si="23"/>
        <v>2.9999999999999997E-5</v>
      </c>
      <c r="BJ249" s="186">
        <f t="shared" si="23"/>
        <v>2.9999999999999997E-5</v>
      </c>
      <c r="BK249" s="186">
        <f t="shared" si="23"/>
        <v>2.9999999999999997E-5</v>
      </c>
      <c r="BL249" s="186">
        <f t="shared" si="23"/>
        <v>2.9999999999999997E-5</v>
      </c>
      <c r="BM249" s="186">
        <f t="shared" si="23"/>
        <v>2.9999999999999997E-5</v>
      </c>
      <c r="BN249" s="186">
        <f t="shared" si="23"/>
        <v>2.9999999999999997E-5</v>
      </c>
      <c r="BO249" s="186">
        <f t="shared" si="23"/>
        <v>2.9999999999999997E-5</v>
      </c>
      <c r="BP249" s="186">
        <f t="shared" si="23"/>
        <v>2.9999999999999997E-5</v>
      </c>
      <c r="BQ249" s="186">
        <f t="shared" si="23"/>
        <v>2.9999999999999997E-5</v>
      </c>
      <c r="BR249" s="186">
        <f t="shared" si="23"/>
        <v>2.9999999999999997E-5</v>
      </c>
      <c r="BS249" s="186">
        <f t="shared" si="23"/>
        <v>2.9999999999999997E-5</v>
      </c>
      <c r="BT249" s="186"/>
      <c r="BU249" s="186"/>
      <c r="BV249" s="186">
        <f>(15+45)/2*10^-6</f>
        <v>2.9999999999999997E-5</v>
      </c>
      <c r="BW249" s="186">
        <f>(15+45)/2*10^-6</f>
        <v>2.9999999999999997E-5</v>
      </c>
      <c r="BX249" s="186"/>
      <c r="BY249" s="186"/>
      <c r="BZ249" s="186"/>
      <c r="CA249" s="186"/>
      <c r="CB249" s="186"/>
      <c r="CC249" s="186"/>
      <c r="CD249" s="186"/>
      <c r="CE249" s="186"/>
      <c r="CF249" s="186"/>
      <c r="CG249" s="186"/>
      <c r="CH249" s="186"/>
      <c r="CI249" s="186"/>
      <c r="CJ249" s="186"/>
      <c r="CK249" s="186"/>
      <c r="CL249" s="186"/>
      <c r="CM249" s="186"/>
      <c r="CN249" s="186"/>
      <c r="CO249" s="186"/>
      <c r="CP249" s="186"/>
      <c r="CQ249" s="186"/>
      <c r="CR249" s="460"/>
      <c r="CS249" s="460"/>
      <c r="CT249" s="460"/>
      <c r="CU249" s="460"/>
      <c r="CV249" s="460"/>
      <c r="CW249" s="460"/>
      <c r="CX249" s="460"/>
      <c r="CY249" s="460"/>
      <c r="CZ249" s="460"/>
      <c r="DA249" s="460"/>
      <c r="DB249" s="186"/>
      <c r="DC249" s="186"/>
      <c r="DD249" s="186"/>
      <c r="DE249" s="186"/>
      <c r="DF249" s="186"/>
      <c r="DG249" s="186"/>
    </row>
    <row r="250" spans="34:129" ht="12" customHeight="1">
      <c r="AH250" s="3">
        <v>48</v>
      </c>
      <c r="AI250" s="4" t="s">
        <v>333</v>
      </c>
      <c r="AJ250" s="40" t="s">
        <v>331</v>
      </c>
      <c r="AK250" s="286">
        <f>ROW()</f>
        <v>250</v>
      </c>
      <c r="AL250" s="186">
        <f>(3+6)/2*10^-6</f>
        <v>4.5000000000000001E-6</v>
      </c>
      <c r="AM250" s="186">
        <f t="shared" ref="AM250:AW250" si="24">(3+6)/2*10^-6</f>
        <v>4.5000000000000001E-6</v>
      </c>
      <c r="AN250" s="186">
        <f t="shared" si="24"/>
        <v>4.5000000000000001E-6</v>
      </c>
      <c r="AO250" s="186">
        <f t="shared" si="24"/>
        <v>4.5000000000000001E-6</v>
      </c>
      <c r="AP250" s="186">
        <f t="shared" si="24"/>
        <v>4.5000000000000001E-6</v>
      </c>
      <c r="AQ250" s="186">
        <f t="shared" si="24"/>
        <v>4.5000000000000001E-6</v>
      </c>
      <c r="AR250" s="186">
        <f t="shared" si="24"/>
        <v>4.5000000000000001E-6</v>
      </c>
      <c r="AS250" s="186">
        <f t="shared" si="24"/>
        <v>4.5000000000000001E-6</v>
      </c>
      <c r="AT250" s="186">
        <f t="shared" si="24"/>
        <v>4.5000000000000001E-6</v>
      </c>
      <c r="AU250" s="186">
        <f t="shared" si="24"/>
        <v>4.5000000000000001E-6</v>
      </c>
      <c r="AV250" s="186">
        <f t="shared" si="24"/>
        <v>4.5000000000000001E-6</v>
      </c>
      <c r="AW250" s="186">
        <f t="shared" si="24"/>
        <v>4.5000000000000001E-6</v>
      </c>
      <c r="AX250" s="186"/>
      <c r="AY250" s="186"/>
      <c r="AZ250" s="186"/>
      <c r="BA250" s="186"/>
      <c r="BB250" s="186"/>
      <c r="BC250" s="186"/>
      <c r="BD250" s="186"/>
      <c r="BE250" s="186"/>
      <c r="BF250" s="186">
        <f>(3+6)/2*10^-6</f>
        <v>4.5000000000000001E-6</v>
      </c>
      <c r="BG250" s="186">
        <f t="shared" ref="BG250:BS250" si="25">(3+6)/2*10^-6</f>
        <v>4.5000000000000001E-6</v>
      </c>
      <c r="BH250" s="186">
        <f t="shared" si="25"/>
        <v>4.5000000000000001E-6</v>
      </c>
      <c r="BI250" s="186">
        <f t="shared" si="25"/>
        <v>4.5000000000000001E-6</v>
      </c>
      <c r="BJ250" s="186">
        <f t="shared" si="25"/>
        <v>4.5000000000000001E-6</v>
      </c>
      <c r="BK250" s="186">
        <f t="shared" si="25"/>
        <v>4.5000000000000001E-6</v>
      </c>
      <c r="BL250" s="186">
        <f t="shared" si="25"/>
        <v>4.5000000000000001E-6</v>
      </c>
      <c r="BM250" s="186">
        <f t="shared" si="25"/>
        <v>4.5000000000000001E-6</v>
      </c>
      <c r="BN250" s="186">
        <f t="shared" si="25"/>
        <v>4.5000000000000001E-6</v>
      </c>
      <c r="BO250" s="186">
        <f t="shared" si="25"/>
        <v>4.5000000000000001E-6</v>
      </c>
      <c r="BP250" s="186">
        <f t="shared" si="25"/>
        <v>4.5000000000000001E-6</v>
      </c>
      <c r="BQ250" s="186">
        <f t="shared" si="25"/>
        <v>4.5000000000000001E-6</v>
      </c>
      <c r="BR250" s="186">
        <f t="shared" si="25"/>
        <v>4.5000000000000001E-6</v>
      </c>
      <c r="BS250" s="186">
        <f t="shared" si="25"/>
        <v>4.5000000000000001E-6</v>
      </c>
      <c r="BT250" s="186"/>
      <c r="BU250" s="186"/>
      <c r="BV250" s="186">
        <f>(3+6)/2*10^-6</f>
        <v>4.5000000000000001E-6</v>
      </c>
      <c r="BW250" s="186">
        <f>(3+6)/2*10^-6</f>
        <v>4.5000000000000001E-6</v>
      </c>
      <c r="BX250" s="186"/>
      <c r="BY250" s="186"/>
      <c r="BZ250" s="186"/>
      <c r="CA250" s="186"/>
      <c r="CB250" s="186"/>
      <c r="CC250" s="186"/>
      <c r="CD250" s="186"/>
      <c r="CE250" s="186"/>
      <c r="CF250" s="186"/>
      <c r="CG250" s="186"/>
      <c r="CH250" s="186"/>
      <c r="CI250" s="186"/>
      <c r="CJ250" s="186"/>
      <c r="CK250" s="186"/>
      <c r="CL250" s="186"/>
      <c r="CM250" s="186"/>
      <c r="CN250" s="186"/>
      <c r="CO250" s="186"/>
      <c r="CP250" s="186"/>
      <c r="CQ250" s="186"/>
      <c r="CR250" s="460"/>
      <c r="CS250" s="460"/>
      <c r="CT250" s="460"/>
      <c r="CU250" s="460"/>
      <c r="CV250" s="460"/>
      <c r="CW250" s="460"/>
      <c r="CX250" s="460"/>
      <c r="CY250" s="460"/>
      <c r="CZ250" s="460"/>
      <c r="DA250" s="460"/>
      <c r="DB250" s="186"/>
      <c r="DC250" s="186"/>
      <c r="DD250" s="186"/>
      <c r="DE250" s="186"/>
      <c r="DF250" s="186"/>
      <c r="DG250" s="186"/>
    </row>
    <row r="251" spans="34:129" ht="12" customHeight="1">
      <c r="AH251" s="3">
        <v>49</v>
      </c>
      <c r="AI251" s="4" t="s">
        <v>672</v>
      </c>
      <c r="AJ251" s="40" t="s">
        <v>671</v>
      </c>
      <c r="AK251" s="286">
        <f>ROW()</f>
        <v>251</v>
      </c>
      <c r="AL251" s="75">
        <v>5</v>
      </c>
      <c r="AM251" s="75">
        <v>5</v>
      </c>
      <c r="AN251" s="75">
        <v>5</v>
      </c>
      <c r="AO251" s="75">
        <v>5</v>
      </c>
      <c r="AP251" s="75">
        <v>5</v>
      </c>
      <c r="AQ251" s="75">
        <v>5</v>
      </c>
      <c r="AR251" s="75">
        <v>5</v>
      </c>
      <c r="AS251" s="75">
        <v>5</v>
      </c>
      <c r="AT251" s="75">
        <v>5</v>
      </c>
      <c r="AU251" s="75">
        <v>5</v>
      </c>
      <c r="AV251" s="75">
        <v>5</v>
      </c>
      <c r="AW251" s="75">
        <v>5</v>
      </c>
      <c r="AX251" s="75">
        <v>5</v>
      </c>
      <c r="AY251" s="75">
        <v>5</v>
      </c>
      <c r="AZ251" s="75">
        <v>5</v>
      </c>
      <c r="BA251" s="75">
        <v>5</v>
      </c>
      <c r="BB251" s="75">
        <v>5</v>
      </c>
      <c r="BC251" s="75">
        <v>5</v>
      </c>
      <c r="BD251" s="75">
        <v>5</v>
      </c>
      <c r="BE251" s="75">
        <v>5</v>
      </c>
      <c r="BF251" s="74">
        <v>6.5</v>
      </c>
      <c r="BG251" s="74">
        <v>6.5</v>
      </c>
      <c r="BH251" s="74">
        <v>6.5</v>
      </c>
      <c r="BI251" s="74">
        <v>6.5</v>
      </c>
      <c r="BJ251" s="74">
        <v>6.5</v>
      </c>
      <c r="BK251" s="74">
        <v>6.5</v>
      </c>
      <c r="BL251" s="74">
        <v>6.5</v>
      </c>
      <c r="BM251" s="74">
        <v>6.5</v>
      </c>
      <c r="BN251" s="74">
        <v>6.5</v>
      </c>
      <c r="BO251" s="74">
        <v>6.5</v>
      </c>
      <c r="BP251" s="74">
        <v>6.5</v>
      </c>
      <c r="BQ251" s="74">
        <v>6.5</v>
      </c>
      <c r="BR251" s="74">
        <v>6.5</v>
      </c>
      <c r="BS251" s="74">
        <v>6.5</v>
      </c>
      <c r="BT251" s="74"/>
      <c r="BU251" s="74"/>
      <c r="BV251" s="74">
        <v>6.5</v>
      </c>
      <c r="BW251" s="74">
        <v>6.5</v>
      </c>
      <c r="BX251" s="75"/>
      <c r="BY251" s="75"/>
      <c r="BZ251" s="75"/>
      <c r="CA251" s="75"/>
      <c r="CB251" s="372"/>
      <c r="CC251" s="372"/>
      <c r="CD251" s="74">
        <v>4.5</v>
      </c>
      <c r="CE251" s="74">
        <v>4.5</v>
      </c>
      <c r="CF251" s="74">
        <v>4.5</v>
      </c>
      <c r="CG251" s="74">
        <v>4.5</v>
      </c>
      <c r="CH251" s="74">
        <v>4.5</v>
      </c>
      <c r="CI251" s="74">
        <v>4.5</v>
      </c>
      <c r="CJ251" s="74">
        <v>4.5</v>
      </c>
      <c r="CK251" s="74">
        <v>4.5</v>
      </c>
      <c r="CL251" s="74">
        <v>4.5</v>
      </c>
      <c r="CM251" s="74">
        <v>4.5</v>
      </c>
      <c r="CN251" s="74">
        <v>4.5</v>
      </c>
      <c r="CO251" s="74">
        <v>4.5</v>
      </c>
      <c r="CP251" s="74">
        <v>4.5</v>
      </c>
      <c r="CQ251" s="74">
        <v>4.5</v>
      </c>
      <c r="CR251" s="457"/>
      <c r="CS251" s="457"/>
      <c r="CT251" s="457"/>
      <c r="CU251" s="457"/>
      <c r="CV251" s="457"/>
      <c r="CW251" s="457"/>
      <c r="CX251" s="457"/>
      <c r="CY251" s="457"/>
      <c r="CZ251" s="457"/>
      <c r="DA251" s="457"/>
      <c r="DB251" s="74"/>
      <c r="DC251" s="74"/>
      <c r="DD251" s="74"/>
      <c r="DE251" s="74"/>
      <c r="DF251" s="74"/>
      <c r="DG251" s="74"/>
      <c r="DH251"/>
      <c r="DI251"/>
      <c r="DJ251"/>
    </row>
    <row r="252" spans="34:129" ht="12" customHeight="1">
      <c r="AI252" s="423"/>
      <c r="AJ252" s="40" t="s">
        <v>975</v>
      </c>
      <c r="AK252" s="286">
        <f>ROW()</f>
        <v>252</v>
      </c>
      <c r="AL252" s="423">
        <v>0.2</v>
      </c>
      <c r="AM252" s="423">
        <v>0.2</v>
      </c>
      <c r="AN252" s="423">
        <v>0.2</v>
      </c>
      <c r="AO252" s="423">
        <v>0.2</v>
      </c>
      <c r="AP252" s="423">
        <v>0.2</v>
      </c>
      <c r="AQ252" s="423">
        <v>0.2</v>
      </c>
      <c r="AR252" s="423">
        <v>0.2</v>
      </c>
      <c r="AS252" s="423">
        <v>0.2</v>
      </c>
      <c r="AT252" s="423">
        <v>0.2</v>
      </c>
      <c r="AU252" s="423">
        <v>0.2</v>
      </c>
      <c r="AV252" s="423">
        <v>0.2</v>
      </c>
      <c r="AW252" s="423">
        <v>0.2</v>
      </c>
      <c r="AX252" s="423">
        <v>0.2</v>
      </c>
      <c r="AY252" s="423">
        <v>0.2</v>
      </c>
      <c r="AZ252" s="423">
        <v>0.2</v>
      </c>
      <c r="BA252" s="423">
        <v>0.2</v>
      </c>
      <c r="BB252" s="423">
        <v>0.2</v>
      </c>
      <c r="BC252" s="423">
        <v>0.2</v>
      </c>
      <c r="BD252" s="423">
        <v>0.2</v>
      </c>
      <c r="BE252" s="423">
        <v>0.2</v>
      </c>
      <c r="BF252" s="423">
        <v>0.1</v>
      </c>
      <c r="BG252" s="423">
        <v>0.1</v>
      </c>
      <c r="BH252" s="423">
        <v>0.1</v>
      </c>
      <c r="BI252" s="423">
        <v>0.1</v>
      </c>
      <c r="BJ252" s="423">
        <v>0.1</v>
      </c>
      <c r="BK252" s="423">
        <v>0.1</v>
      </c>
      <c r="BL252" s="423">
        <v>0.1</v>
      </c>
      <c r="BM252" s="423">
        <v>0.1</v>
      </c>
      <c r="BN252" s="423">
        <v>0.1</v>
      </c>
      <c r="BO252" s="423">
        <v>0.1</v>
      </c>
      <c r="BP252" s="423">
        <v>0.1</v>
      </c>
      <c r="BQ252" s="423">
        <v>0.1</v>
      </c>
      <c r="BR252" s="423">
        <v>0.1</v>
      </c>
      <c r="BS252" s="423">
        <v>0.1</v>
      </c>
      <c r="BT252" s="423">
        <v>0.1</v>
      </c>
      <c r="BU252" s="423">
        <v>0.1</v>
      </c>
      <c r="BV252" s="423">
        <v>0.1</v>
      </c>
      <c r="BW252" s="423">
        <v>0.1</v>
      </c>
      <c r="BX252" s="423">
        <v>0.1</v>
      </c>
      <c r="BY252" s="423">
        <v>0.1</v>
      </c>
      <c r="BZ252" s="423">
        <v>0.1</v>
      </c>
      <c r="CA252" s="423">
        <v>0.1</v>
      </c>
      <c r="CB252" s="423"/>
      <c r="CC252" s="423">
        <v>0.1</v>
      </c>
      <c r="CD252" s="423">
        <v>0.1</v>
      </c>
      <c r="CE252" s="423">
        <v>0.1</v>
      </c>
      <c r="CF252" s="423">
        <v>0.1</v>
      </c>
      <c r="CG252" s="423">
        <v>0.1</v>
      </c>
      <c r="CH252" s="423">
        <v>0.1</v>
      </c>
      <c r="CI252" s="423">
        <v>0.1</v>
      </c>
      <c r="CJ252" s="423">
        <v>0.1</v>
      </c>
      <c r="CK252" s="423">
        <v>0.1</v>
      </c>
      <c r="CL252" s="423">
        <v>0.1</v>
      </c>
      <c r="CM252" s="423">
        <v>0.1</v>
      </c>
      <c r="CN252" s="423">
        <v>0.1</v>
      </c>
      <c r="CO252" s="423">
        <v>0.1</v>
      </c>
      <c r="CP252" s="423">
        <v>0.1</v>
      </c>
      <c r="CQ252" s="423">
        <v>0.1</v>
      </c>
      <c r="CR252" s="423"/>
      <c r="CS252" s="423"/>
      <c r="CT252" s="423"/>
      <c r="CU252" s="423"/>
      <c r="CV252" s="423">
        <v>63</v>
      </c>
      <c r="CW252" s="423"/>
      <c r="CX252" s="423"/>
      <c r="CY252" s="423"/>
      <c r="CZ252" s="423"/>
      <c r="DA252" s="423"/>
      <c r="DB252" s="423">
        <v>64</v>
      </c>
      <c r="DC252" s="423">
        <v>65</v>
      </c>
      <c r="DD252" s="423">
        <v>66</v>
      </c>
      <c r="DE252" s="423">
        <v>67</v>
      </c>
      <c r="DF252" s="423">
        <v>68</v>
      </c>
      <c r="DG252" s="423">
        <v>69</v>
      </c>
      <c r="DH252" s="3"/>
      <c r="DI252" s="3"/>
      <c r="DJ252" s="3"/>
    </row>
    <row r="253" spans="34:129" ht="12" customHeight="1">
      <c r="AI253" s="84"/>
      <c r="AJ253" s="40"/>
      <c r="AK253" s="3"/>
      <c r="AL253" s="428"/>
      <c r="AM253" s="428"/>
      <c r="AN253" s="428"/>
      <c r="AO253" s="428"/>
      <c r="AP253" s="428"/>
      <c r="AQ253" s="428"/>
      <c r="AR253" s="428"/>
      <c r="AS253" s="428"/>
      <c r="AT253" s="428"/>
      <c r="AU253" s="428"/>
      <c r="AV253" s="428"/>
      <c r="AW253" s="428"/>
      <c r="AX253" s="428"/>
      <c r="AY253" s="428"/>
      <c r="AZ253" s="428"/>
      <c r="BA253" s="428"/>
      <c r="BB253" s="428"/>
      <c r="BC253" s="428"/>
      <c r="BD253" s="428"/>
      <c r="BE253" s="428"/>
      <c r="BF253" s="428"/>
      <c r="BG253" s="428"/>
      <c r="BH253" s="428"/>
      <c r="BI253" s="428"/>
      <c r="BJ253" s="428"/>
      <c r="BK253" s="428"/>
      <c r="BL253" s="428"/>
      <c r="BM253" s="428"/>
      <c r="BN253" s="428"/>
      <c r="BO253" s="428"/>
      <c r="BP253" s="428"/>
      <c r="BQ253" s="428"/>
      <c r="BR253" s="428"/>
      <c r="BS253" s="428"/>
      <c r="BT253" s="428"/>
      <c r="BU253" s="428"/>
      <c r="BV253" s="428"/>
      <c r="BW253" s="428"/>
      <c r="BX253" s="428"/>
      <c r="BY253" s="428"/>
      <c r="BZ253" s="428"/>
      <c r="CA253" s="428"/>
      <c r="CB253" s="372"/>
      <c r="CC253" s="372"/>
    </row>
    <row r="254" spans="34:129" ht="12" customHeight="1">
      <c r="AK254" s="3"/>
      <c r="AL254" s="428"/>
      <c r="AM254" s="428"/>
      <c r="AN254" s="428"/>
      <c r="AO254" s="428"/>
      <c r="AP254" s="428"/>
      <c r="AQ254" s="428"/>
      <c r="AR254" s="428"/>
      <c r="AS254" s="428"/>
      <c r="AT254" s="428"/>
      <c r="AU254" s="428"/>
      <c r="AV254" s="428"/>
      <c r="AW254" s="428"/>
      <c r="AX254" s="428"/>
      <c r="AY254" s="428"/>
      <c r="AZ254" s="428"/>
      <c r="BA254" s="428"/>
      <c r="BB254" s="428"/>
      <c r="BC254" s="428"/>
      <c r="BD254" s="428"/>
      <c r="BE254" s="428"/>
      <c r="BF254" s="428"/>
      <c r="BG254" s="428"/>
      <c r="BH254" s="428"/>
      <c r="BI254" s="428"/>
      <c r="BJ254" s="428"/>
      <c r="BK254" s="428"/>
      <c r="BL254" s="428"/>
      <c r="BM254" s="428"/>
      <c r="BN254" s="428"/>
      <c r="BO254" s="428"/>
      <c r="BP254" s="428"/>
      <c r="BQ254" s="428"/>
      <c r="BR254" s="428"/>
      <c r="BS254" s="428"/>
      <c r="BT254" s="428"/>
      <c r="BU254" s="428"/>
      <c r="BV254" s="428"/>
      <c r="BW254" s="428"/>
      <c r="BX254" s="428"/>
      <c r="BY254" s="428"/>
      <c r="BZ254" s="428"/>
      <c r="CA254" s="428"/>
      <c r="CB254" s="372"/>
      <c r="CC254" s="372"/>
    </row>
    <row r="255" spans="34:129" ht="12" customHeight="1">
      <c r="AI255" s="84"/>
      <c r="AJ255" s="40"/>
      <c r="AK255" s="3"/>
      <c r="AL255" s="428"/>
      <c r="AM255" s="428"/>
      <c r="AN255" s="428"/>
      <c r="AO255" s="428"/>
      <c r="AP255" s="428"/>
      <c r="AQ255" s="428"/>
      <c r="AR255" s="428"/>
      <c r="AS255" s="428"/>
      <c r="AT255" s="428"/>
      <c r="AU255" s="428"/>
      <c r="AV255" s="428"/>
      <c r="AW255" s="428"/>
      <c r="AX255" s="428"/>
      <c r="AY255" s="428"/>
      <c r="AZ255" s="428"/>
      <c r="BA255" s="428"/>
      <c r="BB255" s="428"/>
      <c r="BC255" s="428"/>
      <c r="BD255" s="428"/>
      <c r="BE255" s="428"/>
      <c r="BF255" s="428"/>
      <c r="BG255" s="428"/>
      <c r="BH255" s="428"/>
      <c r="BI255" s="428"/>
      <c r="BJ255" s="428"/>
      <c r="BK255" s="428"/>
      <c r="BL255" s="428"/>
      <c r="BM255" s="428"/>
      <c r="BN255" s="428"/>
      <c r="BO255" s="428"/>
      <c r="BP255" s="428"/>
      <c r="BQ255" s="428"/>
      <c r="BR255" s="428"/>
      <c r="BS255" s="428"/>
      <c r="BT255" s="428"/>
      <c r="BU255" s="428"/>
      <c r="BV255" s="428"/>
      <c r="BW255" s="428"/>
      <c r="BX255" s="428"/>
      <c r="BY255" s="428"/>
      <c r="BZ255" s="428"/>
      <c r="CA255" s="428"/>
      <c r="CB255" s="372"/>
      <c r="CC255" s="372"/>
    </row>
    <row r="256" spans="34:129" ht="12" customHeight="1">
      <c r="AI256" s="84"/>
      <c r="AJ256" s="40"/>
      <c r="AK256" s="3"/>
      <c r="AL256" s="428"/>
      <c r="AM256" s="428"/>
      <c r="AN256" s="428"/>
      <c r="AO256" s="428"/>
      <c r="AP256" s="428"/>
      <c r="AQ256" s="428"/>
      <c r="AR256" s="428"/>
      <c r="AS256" s="428"/>
      <c r="AT256" s="428"/>
      <c r="AU256" s="428"/>
      <c r="AV256" s="428"/>
      <c r="AW256" s="428"/>
      <c r="AX256" s="428"/>
      <c r="AY256" s="428"/>
      <c r="AZ256" s="428"/>
      <c r="BA256" s="428"/>
      <c r="BB256" s="428"/>
      <c r="BC256" s="428"/>
      <c r="BD256" s="428"/>
      <c r="BE256" s="428"/>
      <c r="BF256" s="428"/>
      <c r="BG256" s="428"/>
      <c r="BH256" s="428"/>
      <c r="BI256" s="428"/>
      <c r="BJ256" s="428"/>
      <c r="BK256" s="428"/>
      <c r="BL256" s="428"/>
      <c r="BM256" s="428"/>
      <c r="BN256" s="428"/>
      <c r="BO256" s="428"/>
      <c r="BP256" s="428"/>
      <c r="BQ256" s="428"/>
      <c r="BR256" s="428"/>
      <c r="BS256" s="428"/>
      <c r="BT256" s="428"/>
      <c r="BU256" s="428"/>
      <c r="BV256" s="428"/>
      <c r="BW256" s="428"/>
      <c r="BX256" s="428"/>
      <c r="BY256" s="428"/>
      <c r="BZ256" s="428"/>
      <c r="CA256" s="428"/>
      <c r="CB256" s="372"/>
      <c r="CC256" s="372"/>
    </row>
    <row r="257" spans="23:273" ht="12" customHeight="1">
      <c r="AI257" s="84"/>
      <c r="AJ257" s="40"/>
      <c r="AK257" s="3"/>
      <c r="AL257" s="428"/>
      <c r="AM257" s="428"/>
      <c r="AN257" s="428"/>
      <c r="AO257" s="428"/>
      <c r="AP257" s="428"/>
      <c r="AQ257" s="428"/>
      <c r="AR257" s="428"/>
      <c r="AS257" s="428"/>
      <c r="AT257" s="428"/>
      <c r="AU257" s="428"/>
      <c r="AV257" s="428"/>
      <c r="AW257" s="428"/>
      <c r="AX257" s="428"/>
      <c r="AY257" s="428"/>
      <c r="AZ257" s="428"/>
      <c r="BA257" s="428"/>
      <c r="BB257" s="428"/>
      <c r="BC257" s="428"/>
      <c r="BD257" s="428"/>
      <c r="BE257" s="428"/>
      <c r="BF257" s="428"/>
      <c r="BG257" s="428"/>
      <c r="BH257" s="428"/>
      <c r="BI257" s="428"/>
      <c r="BJ257" s="428"/>
      <c r="BK257" s="428"/>
      <c r="BL257" s="428"/>
      <c r="BM257" s="428"/>
      <c r="BN257" s="428"/>
      <c r="BO257" s="428"/>
      <c r="BP257" s="428"/>
      <c r="BQ257" s="428"/>
      <c r="BR257" s="428"/>
      <c r="BS257" s="428"/>
      <c r="BT257" s="428"/>
      <c r="BU257" s="428"/>
      <c r="BV257" s="428"/>
      <c r="BW257" s="428"/>
      <c r="BX257" s="428"/>
      <c r="BY257" s="428"/>
      <c r="BZ257" s="428"/>
      <c r="CA257" s="428"/>
      <c r="CB257" s="372"/>
      <c r="CC257" s="372"/>
    </row>
    <row r="258" spans="23:273" ht="12" customHeight="1">
      <c r="AI258" s="84"/>
      <c r="AJ258" s="40"/>
      <c r="AK258" s="3"/>
      <c r="AL258" s="428"/>
      <c r="AM258" s="428"/>
      <c r="AN258" s="428"/>
      <c r="AO258" s="428"/>
      <c r="AP258" s="428"/>
      <c r="AQ258" s="428"/>
      <c r="AR258" s="428"/>
      <c r="AS258" s="428"/>
      <c r="AT258" s="428"/>
      <c r="AU258" s="428"/>
      <c r="AV258" s="428"/>
      <c r="AW258" s="428"/>
      <c r="AX258" s="428"/>
      <c r="AY258" s="428"/>
      <c r="AZ258" s="428"/>
      <c r="BA258" s="428"/>
      <c r="BB258" s="428"/>
      <c r="BC258" s="428"/>
      <c r="BD258" s="428"/>
      <c r="BE258" s="428"/>
      <c r="BF258" s="428"/>
      <c r="BG258" s="428"/>
      <c r="BH258" s="428"/>
      <c r="BI258" s="428"/>
      <c r="BJ258" s="428"/>
      <c r="BK258" s="428"/>
      <c r="BL258" s="428"/>
      <c r="BM258" s="428"/>
      <c r="BN258" s="428"/>
      <c r="BO258" s="428"/>
      <c r="BP258" s="428"/>
      <c r="BQ258" s="428"/>
      <c r="BR258" s="428"/>
      <c r="BS258" s="428"/>
      <c r="BT258" s="428"/>
      <c r="BU258" s="428"/>
      <c r="BV258" s="428"/>
      <c r="BW258" s="428"/>
      <c r="BX258" s="428"/>
      <c r="BY258" s="428"/>
      <c r="BZ258" s="428"/>
      <c r="CA258" s="428"/>
      <c r="CB258" s="372"/>
      <c r="CC258" s="372"/>
    </row>
    <row r="259" spans="23:273" ht="12" customHeight="1">
      <c r="AI259" s="84"/>
      <c r="AJ259" s="315"/>
      <c r="AK259" s="3"/>
      <c r="AL259" s="428"/>
      <c r="AM259" s="428"/>
      <c r="AN259" s="428"/>
      <c r="AO259" s="428"/>
      <c r="AP259" s="428"/>
      <c r="AQ259" s="428"/>
      <c r="AR259" s="428"/>
      <c r="AS259" s="428"/>
      <c r="AT259" s="428"/>
      <c r="AU259" s="428"/>
      <c r="AV259" s="428"/>
      <c r="AW259" s="428"/>
      <c r="AX259" s="428"/>
      <c r="AY259" s="428"/>
      <c r="AZ259" s="428"/>
      <c r="BA259" s="428"/>
      <c r="BB259" s="428"/>
      <c r="BC259" s="428"/>
      <c r="BD259" s="428"/>
      <c r="BE259" s="428"/>
      <c r="BF259" s="428"/>
      <c r="BG259" s="428"/>
      <c r="BH259" s="428"/>
      <c r="BI259" s="428"/>
      <c r="BJ259" s="428"/>
      <c r="BK259" s="428"/>
      <c r="BL259" s="428"/>
      <c r="BM259" s="428"/>
      <c r="BN259" s="428"/>
      <c r="BO259" s="428"/>
      <c r="BP259" s="428"/>
      <c r="BQ259" s="428"/>
      <c r="BR259" s="428"/>
      <c r="BS259" s="428"/>
      <c r="BT259" s="428"/>
      <c r="BU259" s="428"/>
      <c r="BV259" s="428"/>
      <c r="BW259" s="428"/>
      <c r="BX259" s="428"/>
      <c r="BY259" s="428"/>
      <c r="BZ259" s="428"/>
      <c r="CA259" s="428"/>
      <c r="CB259" s="372"/>
      <c r="CC259" s="372"/>
    </row>
    <row r="260" spans="23:273" ht="12" customHeight="1">
      <c r="AI260" s="84"/>
      <c r="AJ260" s="315"/>
      <c r="AK260" s="3"/>
      <c r="AL260" s="428"/>
      <c r="AM260" s="428"/>
      <c r="AN260" s="428"/>
      <c r="AO260" s="428"/>
      <c r="AP260" s="428"/>
      <c r="AQ260" s="428"/>
      <c r="AR260" s="428"/>
      <c r="AS260" s="428"/>
      <c r="AT260" s="428"/>
      <c r="AU260" s="428"/>
      <c r="AV260" s="428"/>
      <c r="AW260" s="428"/>
      <c r="AX260" s="428"/>
      <c r="AY260" s="428"/>
      <c r="AZ260" s="428"/>
      <c r="BA260" s="428"/>
      <c r="BB260" s="428"/>
      <c r="BC260" s="428"/>
      <c r="BD260" s="428"/>
      <c r="BE260" s="428"/>
      <c r="BF260" s="428"/>
      <c r="BG260" s="428"/>
      <c r="BH260" s="428"/>
      <c r="BI260" s="428"/>
      <c r="BJ260" s="428"/>
      <c r="BK260" s="428"/>
      <c r="BL260" s="428"/>
      <c r="BM260" s="428"/>
      <c r="BN260" s="428"/>
      <c r="BO260" s="428"/>
      <c r="BP260" s="428"/>
      <c r="BQ260" s="428"/>
      <c r="BR260" s="428"/>
      <c r="BS260" s="428"/>
      <c r="BT260" s="428"/>
      <c r="BU260" s="428"/>
      <c r="BV260" s="428"/>
      <c r="BW260" s="428"/>
      <c r="BX260" s="428"/>
      <c r="BY260" s="428"/>
      <c r="BZ260" s="428"/>
      <c r="CA260" s="428"/>
      <c r="CB260" s="372"/>
      <c r="CC260" s="372"/>
    </row>
    <row r="261" spans="23:273" ht="12" customHeight="1">
      <c r="AI261" s="84"/>
      <c r="AJ261" s="315"/>
      <c r="AK261" s="3"/>
      <c r="AL261" s="428"/>
      <c r="AM261" s="428"/>
      <c r="AN261" s="428"/>
      <c r="AO261" s="428"/>
      <c r="AP261" s="428"/>
      <c r="AQ261" s="428"/>
      <c r="AR261" s="428"/>
      <c r="AS261" s="428"/>
      <c r="AT261" s="428"/>
      <c r="AU261" s="428"/>
      <c r="AV261" s="428"/>
      <c r="AW261" s="428"/>
      <c r="AX261" s="428"/>
      <c r="AY261" s="428"/>
      <c r="AZ261" s="428"/>
      <c r="BA261" s="428"/>
      <c r="BB261" s="428"/>
      <c r="BC261" s="428"/>
      <c r="BD261" s="428"/>
      <c r="BE261" s="428"/>
      <c r="BF261" s="428"/>
      <c r="BG261" s="428"/>
      <c r="BH261" s="428"/>
      <c r="BI261" s="428"/>
      <c r="BJ261" s="428"/>
      <c r="BK261" s="428"/>
      <c r="BL261" s="428"/>
      <c r="BM261" s="428"/>
      <c r="BN261" s="428"/>
      <c r="BO261" s="428"/>
      <c r="BP261" s="428"/>
      <c r="BQ261" s="428"/>
      <c r="BR261" s="428"/>
      <c r="BS261" s="428"/>
      <c r="BT261" s="428"/>
      <c r="BU261" s="428"/>
      <c r="BV261" s="428"/>
      <c r="BW261" s="428"/>
      <c r="BX261" s="428"/>
      <c r="BY261" s="428"/>
      <c r="BZ261" s="428"/>
      <c r="CA261" s="428"/>
      <c r="CB261" s="372"/>
      <c r="CC261" s="372"/>
    </row>
    <row r="262" spans="23:273" ht="12" customHeight="1">
      <c r="AI262" s="84"/>
      <c r="AJ262" s="315"/>
      <c r="AK262" s="3"/>
      <c r="AL262" s="428"/>
      <c r="AM262" s="428"/>
      <c r="AN262" s="428"/>
      <c r="AO262" s="428"/>
      <c r="AP262" s="428"/>
      <c r="AQ262" s="428"/>
      <c r="AR262" s="428"/>
      <c r="AS262" s="428"/>
      <c r="AT262" s="428"/>
      <c r="AU262" s="428"/>
      <c r="AV262" s="428"/>
      <c r="AW262" s="428"/>
      <c r="AX262" s="428"/>
      <c r="AY262" s="428"/>
      <c r="AZ262" s="428"/>
      <c r="BA262" s="428"/>
      <c r="BB262" s="428"/>
      <c r="BC262" s="428"/>
      <c r="BD262" s="428"/>
      <c r="BE262" s="428"/>
      <c r="BF262" s="428"/>
      <c r="BG262" s="428"/>
      <c r="BH262" s="428"/>
      <c r="BI262" s="428"/>
      <c r="BJ262" s="428"/>
      <c r="BK262" s="428"/>
      <c r="BL262" s="428"/>
      <c r="BM262" s="428"/>
      <c r="BN262" s="428"/>
      <c r="BO262" s="428"/>
      <c r="BP262" s="428"/>
      <c r="BQ262" s="428"/>
      <c r="BR262" s="428"/>
      <c r="BS262" s="428"/>
      <c r="BT262" s="428"/>
      <c r="BU262" s="428"/>
      <c r="BV262" s="428"/>
      <c r="BW262" s="428"/>
      <c r="BX262" s="428"/>
      <c r="BY262" s="428"/>
      <c r="BZ262" s="428"/>
      <c r="CA262" s="428"/>
      <c r="CB262" s="372"/>
      <c r="CC262" s="372"/>
    </row>
    <row r="263" spans="23:273" ht="12" customHeight="1">
      <c r="AI263" s="84"/>
      <c r="AJ263" s="315"/>
      <c r="AK263" s="3"/>
      <c r="AL263" s="428"/>
      <c r="AM263" s="428"/>
      <c r="AN263" s="428"/>
      <c r="AO263" s="428"/>
      <c r="AP263" s="428"/>
      <c r="AQ263" s="428"/>
      <c r="AR263" s="428"/>
      <c r="AS263" s="428"/>
      <c r="AT263" s="428"/>
      <c r="AU263" s="428"/>
      <c r="AV263" s="428"/>
      <c r="AW263" s="428"/>
      <c r="AX263" s="428"/>
      <c r="AY263" s="428"/>
      <c r="AZ263" s="428"/>
      <c r="BA263" s="428"/>
      <c r="BB263" s="428"/>
      <c r="BC263" s="428"/>
      <c r="BD263" s="428"/>
      <c r="BE263" s="428"/>
      <c r="BF263" s="428"/>
      <c r="BG263" s="428"/>
      <c r="BH263" s="428"/>
      <c r="BI263" s="428"/>
      <c r="BJ263" s="428"/>
      <c r="BK263" s="428"/>
      <c r="BL263" s="428"/>
      <c r="BM263" s="428"/>
      <c r="BN263" s="428"/>
      <c r="BO263" s="428"/>
      <c r="BP263" s="428"/>
      <c r="BQ263" s="428"/>
      <c r="BR263" s="428"/>
      <c r="BS263" s="428"/>
      <c r="BT263" s="428"/>
      <c r="BU263" s="428"/>
      <c r="BV263" s="428"/>
      <c r="BW263" s="428"/>
      <c r="BX263" s="428"/>
      <c r="BY263" s="428"/>
      <c r="BZ263" s="428"/>
      <c r="CA263" s="428"/>
      <c r="CB263" s="372"/>
      <c r="CC263" s="372"/>
    </row>
    <row r="264" spans="23:273" s="3" customFormat="1" ht="12" customHeight="1">
      <c r="W264" s="92"/>
      <c r="AG264" s="92"/>
      <c r="DZ264" s="92"/>
      <c r="FW264" s="92"/>
      <c r="HK264" s="92"/>
      <c r="HY264" s="92"/>
      <c r="IT264" s="92"/>
      <c r="JL264" s="92"/>
    </row>
    <row r="265" spans="23:273" s="3" customFormat="1" ht="12" customHeight="1">
      <c r="W265" s="92"/>
      <c r="AG265" s="92"/>
      <c r="AI265" s="423"/>
      <c r="AJ265" s="423"/>
      <c r="AK265" s="423"/>
      <c r="AL265" s="423"/>
      <c r="AM265" s="423"/>
      <c r="AN265" s="423"/>
      <c r="AO265" s="423"/>
      <c r="AP265" s="423"/>
      <c r="AQ265" s="423"/>
      <c r="AR265" s="423"/>
      <c r="AS265" s="423"/>
      <c r="AT265" s="423"/>
      <c r="AU265" s="423"/>
      <c r="AV265" s="423"/>
      <c r="AW265" s="423"/>
      <c r="AX265" s="423"/>
      <c r="AY265" s="423"/>
      <c r="AZ265" s="423"/>
      <c r="BA265" s="423"/>
      <c r="BB265" s="423"/>
      <c r="BC265" s="423"/>
      <c r="BD265" s="423"/>
      <c r="BE265" s="423"/>
      <c r="BF265" s="423"/>
      <c r="BG265" s="423"/>
      <c r="BH265" s="423"/>
      <c r="BI265" s="423"/>
      <c r="BJ265" s="423"/>
      <c r="BK265" s="423"/>
      <c r="BL265" s="423"/>
      <c r="BM265" s="423"/>
      <c r="BN265" s="423"/>
      <c r="BO265" s="423"/>
      <c r="BP265" s="423"/>
      <c r="BQ265" s="423"/>
      <c r="BR265" s="423"/>
      <c r="BS265" s="423"/>
      <c r="BT265" s="423"/>
      <c r="BU265" s="423"/>
      <c r="BV265" s="423"/>
      <c r="BW265" s="423"/>
      <c r="BX265" s="423"/>
      <c r="BY265" s="423"/>
      <c r="BZ265" s="423"/>
      <c r="CA265" s="423"/>
      <c r="DZ265" s="92"/>
      <c r="FW265" s="92"/>
      <c r="HK265" s="92"/>
      <c r="HY265" s="92"/>
      <c r="IT265" s="92"/>
      <c r="JL265" s="92"/>
    </row>
    <row r="266" spans="23:273" s="3" customFormat="1" ht="12" customHeight="1">
      <c r="W266" s="92"/>
      <c r="AG266" s="92"/>
      <c r="AI266" s="4"/>
      <c r="AJ266" s="4"/>
      <c r="AK266" s="423"/>
      <c r="AL266" s="423"/>
      <c r="AM266" s="423"/>
      <c r="AN266" s="423"/>
      <c r="AO266" s="423"/>
      <c r="AP266" s="423"/>
      <c r="AQ266" s="423"/>
      <c r="AR266" s="423"/>
      <c r="AS266" s="423"/>
      <c r="AT266" s="423"/>
      <c r="AU266" s="423"/>
      <c r="AV266" s="423"/>
      <c r="AW266" s="423"/>
      <c r="AX266" s="423"/>
      <c r="AY266" s="423"/>
      <c r="AZ266" s="423"/>
      <c r="BA266" s="423"/>
      <c r="BB266" s="423"/>
      <c r="BC266" s="423"/>
      <c r="BD266" s="423"/>
      <c r="BE266" s="423"/>
      <c r="BF266" s="423"/>
      <c r="BG266" s="423"/>
      <c r="BH266" s="423"/>
      <c r="BI266" s="423"/>
      <c r="BJ266" s="423"/>
      <c r="BK266" s="423"/>
      <c r="BL266" s="423"/>
      <c r="BM266" s="423"/>
      <c r="BN266" s="423"/>
      <c r="BO266" s="423"/>
      <c r="BP266" s="423"/>
      <c r="BQ266" s="423"/>
      <c r="BR266" s="423"/>
      <c r="BS266" s="423"/>
      <c r="BT266" s="423"/>
      <c r="BU266" s="423"/>
      <c r="BV266" s="423"/>
      <c r="BW266" s="423"/>
      <c r="BX266" s="423"/>
      <c r="BY266" s="423"/>
      <c r="BZ266" s="423"/>
      <c r="CA266" s="423"/>
      <c r="DZ266" s="92"/>
      <c r="FW266" s="92"/>
      <c r="HK266" s="92"/>
      <c r="HY266" s="92"/>
      <c r="IT266" s="92"/>
      <c r="JL266" s="92"/>
    </row>
    <row r="267" spans="23:273" s="3" customFormat="1" ht="12" customHeight="1">
      <c r="W267" s="92"/>
      <c r="AG267" s="92"/>
      <c r="AI267" s="423"/>
      <c r="AJ267" s="4"/>
      <c r="AK267" s="423"/>
      <c r="AL267" s="423"/>
      <c r="AM267" s="423"/>
      <c r="AN267" s="423"/>
      <c r="AO267" s="423"/>
      <c r="AP267" s="423"/>
      <c r="AQ267" s="423"/>
      <c r="AR267" s="423"/>
      <c r="AS267" s="423"/>
      <c r="AT267" s="423"/>
      <c r="AU267" s="423"/>
      <c r="AV267" s="423"/>
      <c r="AW267" s="423"/>
      <c r="AX267" s="423"/>
      <c r="AY267" s="423"/>
      <c r="AZ267" s="423"/>
      <c r="BA267" s="423"/>
      <c r="BB267" s="423"/>
      <c r="BC267" s="423"/>
      <c r="BD267" s="423"/>
      <c r="BE267" s="423"/>
      <c r="BF267" s="423"/>
      <c r="BG267" s="423"/>
      <c r="BH267" s="423"/>
      <c r="BI267" s="423"/>
      <c r="BJ267" s="423"/>
      <c r="BK267" s="423"/>
      <c r="BL267" s="423"/>
      <c r="BM267" s="423"/>
      <c r="BN267" s="423"/>
      <c r="BO267" s="423"/>
      <c r="BP267" s="423"/>
      <c r="BQ267" s="423"/>
      <c r="BR267" s="423"/>
      <c r="BS267" s="423"/>
      <c r="BT267" s="423"/>
      <c r="BU267" s="423"/>
      <c r="BV267" s="423"/>
      <c r="BW267" s="423"/>
      <c r="BX267" s="423"/>
      <c r="BY267" s="423"/>
      <c r="BZ267" s="423"/>
      <c r="CA267" s="423"/>
      <c r="DZ267" s="92"/>
      <c r="FW267" s="92"/>
      <c r="HK267" s="92"/>
      <c r="HY267" s="92"/>
      <c r="IT267" s="92"/>
      <c r="JL267" s="92"/>
    </row>
    <row r="270" spans="23:273" s="91" customFormat="1" ht="12" customHeight="1">
      <c r="X270" s="92"/>
      <c r="AH270" s="92"/>
      <c r="EA270" s="92"/>
      <c r="FX270" s="92"/>
      <c r="HL270" s="92"/>
      <c r="HZ270" s="92"/>
      <c r="IU270" s="92"/>
      <c r="JM270" s="92"/>
    </row>
    <row r="271" spans="23:273" s="170" customFormat="1" ht="25">
      <c r="W271" s="174"/>
      <c r="X271" s="175"/>
      <c r="AG271" s="174"/>
      <c r="AH271" s="175"/>
      <c r="AI271" s="172"/>
      <c r="DZ271" s="174"/>
      <c r="EA271" s="175"/>
      <c r="EB271" s="170" t="s">
        <v>374</v>
      </c>
      <c r="FW271" s="174"/>
      <c r="FX271" s="175"/>
      <c r="HK271" s="174"/>
      <c r="HL271" s="175"/>
      <c r="HM271" s="4"/>
      <c r="HN271" s="4"/>
      <c r="HO271" s="4"/>
      <c r="HP271" s="4"/>
      <c r="HQ271" s="4"/>
      <c r="HR271" s="4"/>
      <c r="HS271" s="4"/>
      <c r="HT271" s="4"/>
      <c r="HU271" s="4"/>
      <c r="HV271" s="4"/>
      <c r="HW271" s="4"/>
      <c r="HY271" s="174"/>
      <c r="HZ271" s="175"/>
      <c r="IA271" s="4"/>
      <c r="IB271" s="4"/>
      <c r="IC271" s="4"/>
      <c r="IT271" s="174"/>
      <c r="IU271" s="175"/>
      <c r="JL271" s="174"/>
      <c r="JM271" s="175"/>
    </row>
    <row r="272" spans="23:273" s="171" customFormat="1" ht="30" customHeight="1">
      <c r="W272" s="176"/>
      <c r="X272" s="177"/>
      <c r="AG272" s="176"/>
      <c r="AH272" s="177"/>
      <c r="AI272" s="173"/>
      <c r="DZ272" s="176"/>
      <c r="EA272" s="177"/>
      <c r="EB272" s="171" t="s">
        <v>373</v>
      </c>
      <c r="EO272" s="171" t="s">
        <v>500</v>
      </c>
      <c r="ER272" s="171" t="s">
        <v>375</v>
      </c>
      <c r="EX272" s="171" t="s">
        <v>395</v>
      </c>
      <c r="FW272" s="176"/>
      <c r="FX272" s="177"/>
      <c r="HK272" s="176"/>
      <c r="HL272" s="177"/>
      <c r="HM272" s="4"/>
      <c r="HN272" s="4"/>
      <c r="HO272" s="4"/>
      <c r="HP272" s="4"/>
      <c r="HQ272" s="4"/>
      <c r="HR272" s="4"/>
      <c r="HS272" s="4"/>
      <c r="HT272" s="4"/>
      <c r="HU272" s="4"/>
      <c r="HV272" s="4"/>
      <c r="HW272" s="4"/>
      <c r="HY272" s="176"/>
      <c r="HZ272" s="177"/>
      <c r="IA272" s="4"/>
      <c r="IB272" s="4"/>
      <c r="IC272" s="4"/>
      <c r="IT272" s="176"/>
      <c r="IU272" s="177"/>
      <c r="JL272" s="176"/>
      <c r="JM272" s="177"/>
    </row>
    <row r="273" spans="132:177" ht="30" customHeight="1">
      <c r="EB273" s="29" t="s">
        <v>305</v>
      </c>
      <c r="EC273" s="30"/>
      <c r="ED273" s="71" t="s">
        <v>262</v>
      </c>
      <c r="EE273" s="71" t="s">
        <v>263</v>
      </c>
      <c r="EF273" s="71" t="s">
        <v>264</v>
      </c>
      <c r="EG273" s="298" t="s">
        <v>265</v>
      </c>
      <c r="EH273" s="298" t="s">
        <v>266</v>
      </c>
      <c r="EI273" s="298" t="s">
        <v>296</v>
      </c>
      <c r="EJ273" s="71" t="s">
        <v>267</v>
      </c>
      <c r="EK273" s="71" t="s">
        <v>270</v>
      </c>
      <c r="EL273" s="71" t="s">
        <v>268</v>
      </c>
      <c r="EM273" s="72" t="s">
        <v>269</v>
      </c>
      <c r="EO273" s="299" t="s">
        <v>498</v>
      </c>
      <c r="EP273" s="300" t="s">
        <v>499</v>
      </c>
      <c r="ER273" s="29" t="s">
        <v>384</v>
      </c>
      <c r="ES273" s="31"/>
      <c r="ET273" s="152" t="s">
        <v>357</v>
      </c>
      <c r="EU273" s="184" t="s">
        <v>358</v>
      </c>
      <c r="EV273" s="185" t="s">
        <v>359</v>
      </c>
      <c r="EX273" s="29" t="s">
        <v>396</v>
      </c>
      <c r="EY273" s="31"/>
      <c r="EZ273" s="210">
        <v>1.4003000000000001</v>
      </c>
      <c r="FA273" s="151">
        <v>1.4300999999999999</v>
      </c>
      <c r="FB273" s="153">
        <v>1.4311</v>
      </c>
      <c r="FC273" s="151">
        <v>1.4400999999999999</v>
      </c>
      <c r="FD273" s="153">
        <v>1.4403999999999999</v>
      </c>
      <c r="FE273" s="151">
        <v>1.4361999999999999</v>
      </c>
      <c r="FF273" s="153">
        <v>1.4571000000000001</v>
      </c>
      <c r="FG273" s="153">
        <v>1.4406000000000001</v>
      </c>
      <c r="FH273" s="153">
        <v>1.4436</v>
      </c>
      <c r="FI273" s="153">
        <v>1.4429000000000001</v>
      </c>
      <c r="FJ273" s="151">
        <v>1.4461999999999999</v>
      </c>
      <c r="FK273" s="153">
        <v>1.4529000000000001</v>
      </c>
      <c r="FM273" s="171" t="s">
        <v>376</v>
      </c>
      <c r="FN273" s="171"/>
      <c r="FO273" s="171"/>
      <c r="FP273" s="171"/>
      <c r="FQ273" s="171"/>
      <c r="FR273" s="171"/>
      <c r="FS273" s="171"/>
      <c r="FT273" s="171"/>
      <c r="FU273" s="171"/>
    </row>
    <row r="274" spans="132:177" ht="30" customHeight="1">
      <c r="EB274" s="160" t="s">
        <v>12</v>
      </c>
      <c r="EC274" s="180"/>
      <c r="ED274" s="180"/>
      <c r="EE274" s="180"/>
      <c r="EF274" s="180"/>
      <c r="EG274" s="180"/>
      <c r="EH274" s="180"/>
      <c r="EI274" s="180"/>
      <c r="EJ274" s="180"/>
      <c r="EK274" s="180"/>
      <c r="EL274" s="180"/>
      <c r="EM274" s="181"/>
      <c r="EO274" s="160"/>
      <c r="EP274" s="181"/>
      <c r="ER274" s="29" t="s">
        <v>443</v>
      </c>
      <c r="ES274" s="191" t="s">
        <v>422</v>
      </c>
      <c r="ET274" s="420"/>
      <c r="EU274" s="420"/>
      <c r="EV274" s="420"/>
      <c r="EX274" s="29" t="s">
        <v>443</v>
      </c>
      <c r="EY274" s="191" t="s">
        <v>422</v>
      </c>
      <c r="EZ274" s="420">
        <v>1</v>
      </c>
      <c r="FA274" s="420">
        <v>2</v>
      </c>
      <c r="FB274" s="420">
        <v>2</v>
      </c>
      <c r="FC274" s="420">
        <v>3</v>
      </c>
      <c r="FD274" s="420">
        <v>3</v>
      </c>
      <c r="FE274" s="420">
        <v>3</v>
      </c>
      <c r="FF274" s="420">
        <v>3</v>
      </c>
      <c r="FG274" s="420">
        <v>3</v>
      </c>
      <c r="FH274" s="420">
        <v>3</v>
      </c>
      <c r="FI274" s="420">
        <v>3</v>
      </c>
      <c r="FJ274" s="420">
        <v>4</v>
      </c>
      <c r="FK274" s="420">
        <v>4</v>
      </c>
      <c r="FM274" s="98" t="s">
        <v>384</v>
      </c>
      <c r="FN274" s="159"/>
      <c r="FO274" s="152" t="s">
        <v>377</v>
      </c>
      <c r="FP274" s="184" t="s">
        <v>378</v>
      </c>
      <c r="FQ274" s="184" t="s">
        <v>379</v>
      </c>
      <c r="FR274" s="184" t="s">
        <v>380</v>
      </c>
      <c r="FS274" s="184" t="s">
        <v>381</v>
      </c>
      <c r="FT274" s="184" t="s">
        <v>382</v>
      </c>
      <c r="FU274" s="185" t="s">
        <v>383</v>
      </c>
    </row>
    <row r="275" spans="132:177" ht="12" customHeight="1">
      <c r="EB275" s="18" t="s">
        <v>10</v>
      </c>
      <c r="EC275" s="40" t="s">
        <v>286</v>
      </c>
      <c r="ED275" s="74">
        <v>8</v>
      </c>
      <c r="EE275" s="74">
        <v>10.5</v>
      </c>
      <c r="EF275" s="74">
        <v>13.5</v>
      </c>
      <c r="EG275" s="74">
        <v>16.5</v>
      </c>
      <c r="EH275" s="74">
        <v>20</v>
      </c>
      <c r="EI275" s="74">
        <v>20</v>
      </c>
      <c r="EJ275" s="74">
        <v>22</v>
      </c>
      <c r="EK275" s="74">
        <v>24</v>
      </c>
      <c r="EL275" s="74">
        <v>26</v>
      </c>
      <c r="EM275" s="137">
        <v>28</v>
      </c>
      <c r="EO275" s="150">
        <v>16.5</v>
      </c>
      <c r="EP275" s="137">
        <v>20</v>
      </c>
      <c r="ER275" s="18" t="s">
        <v>397</v>
      </c>
      <c r="ES275" s="164" t="s">
        <v>423</v>
      </c>
      <c r="ET275" s="200"/>
      <c r="EU275" s="200"/>
      <c r="EV275" s="200"/>
      <c r="EX275" s="18" t="s">
        <v>397</v>
      </c>
      <c r="EY275" s="164" t="s">
        <v>423</v>
      </c>
      <c r="EZ275" s="200" t="s">
        <v>398</v>
      </c>
      <c r="FA275" s="200" t="s">
        <v>399</v>
      </c>
      <c r="FB275" s="200" t="s">
        <v>400</v>
      </c>
      <c r="FC275" s="200" t="s">
        <v>401</v>
      </c>
      <c r="FD275" s="200" t="s">
        <v>402</v>
      </c>
      <c r="FE275" s="200" t="s">
        <v>403</v>
      </c>
      <c r="FF275" s="200" t="s">
        <v>404</v>
      </c>
      <c r="FG275" s="200" t="s">
        <v>405</v>
      </c>
      <c r="FH275" s="200" t="s">
        <v>406</v>
      </c>
      <c r="FI275" s="200" t="s">
        <v>407</v>
      </c>
      <c r="FJ275" s="200" t="s">
        <v>408</v>
      </c>
      <c r="FK275" s="200" t="s">
        <v>409</v>
      </c>
      <c r="FM275" s="160" t="s">
        <v>368</v>
      </c>
      <c r="FN275" s="180"/>
      <c r="FO275" s="180"/>
      <c r="FP275" s="180"/>
      <c r="FQ275" s="180"/>
      <c r="FR275" s="180"/>
      <c r="FS275" s="180"/>
      <c r="FT275" s="180"/>
      <c r="FU275" s="181"/>
    </row>
    <row r="276" spans="132:177" ht="12" customHeight="1">
      <c r="EB276" s="18" t="s">
        <v>16</v>
      </c>
      <c r="EC276" s="40" t="s">
        <v>288</v>
      </c>
      <c r="ED276" s="135">
        <v>0.7</v>
      </c>
      <c r="EE276" s="135">
        <v>0.8</v>
      </c>
      <c r="EF276" s="135">
        <v>0.9</v>
      </c>
      <c r="EG276" s="135">
        <v>1</v>
      </c>
      <c r="EH276" s="135">
        <v>1.1000000000000001</v>
      </c>
      <c r="EI276" s="135">
        <v>1.1000000000000001</v>
      </c>
      <c r="EJ276" s="135">
        <v>1.2</v>
      </c>
      <c r="EK276" s="135">
        <v>1.25</v>
      </c>
      <c r="EL276" s="135">
        <v>1.35</v>
      </c>
      <c r="EM276" s="138">
        <v>1.4</v>
      </c>
      <c r="EO276" s="291">
        <v>1</v>
      </c>
      <c r="EP276" s="138">
        <v>1.1000000000000001</v>
      </c>
      <c r="ER276" s="208" t="s">
        <v>445</v>
      </c>
      <c r="ES276" s="209"/>
      <c r="ET276" s="200"/>
      <c r="EU276" s="200"/>
      <c r="EV276" s="200"/>
      <c r="EX276" s="208" t="s">
        <v>445</v>
      </c>
      <c r="EY276" s="209"/>
      <c r="EZ276" s="200" t="s">
        <v>426</v>
      </c>
      <c r="FA276" s="200"/>
      <c r="FB276" s="200"/>
      <c r="FC276" s="200"/>
      <c r="FD276" s="200"/>
      <c r="FE276" s="200" t="s">
        <v>427</v>
      </c>
      <c r="FF276" s="200"/>
      <c r="FG276" s="200"/>
      <c r="FH276" s="200"/>
      <c r="FI276" s="200"/>
      <c r="FJ276" s="200" t="s">
        <v>497</v>
      </c>
      <c r="FK276" s="200"/>
      <c r="FM276" s="29" t="s">
        <v>362</v>
      </c>
      <c r="FN276" s="161" t="s">
        <v>385</v>
      </c>
      <c r="FO276" s="29">
        <v>1390</v>
      </c>
      <c r="FP276" s="30">
        <v>1320</v>
      </c>
      <c r="FQ276" s="30">
        <v>1250</v>
      </c>
      <c r="FR276" s="30">
        <v>1130</v>
      </c>
      <c r="FS276" s="30">
        <v>940</v>
      </c>
      <c r="FT276" s="30">
        <v>780</v>
      </c>
      <c r="FU276" s="31">
        <v>720</v>
      </c>
    </row>
    <row r="277" spans="132:177" ht="12" customHeight="1">
      <c r="EB277" s="18" t="s">
        <v>297</v>
      </c>
      <c r="EC277" s="40" t="s">
        <v>289</v>
      </c>
      <c r="ED277" s="136">
        <v>2E-3</v>
      </c>
      <c r="EE277" s="136">
        <v>2E-3</v>
      </c>
      <c r="EF277" s="136">
        <v>2E-3</v>
      </c>
      <c r="EG277" s="136">
        <v>2E-3</v>
      </c>
      <c r="EH277" s="136">
        <v>2E-3</v>
      </c>
      <c r="EI277" s="136">
        <v>2E-3</v>
      </c>
      <c r="EJ277" s="136">
        <v>2E-3</v>
      </c>
      <c r="EK277" s="136">
        <v>2E-3</v>
      </c>
      <c r="EL277" s="136">
        <v>2E-3</v>
      </c>
      <c r="EM277" s="139">
        <v>2E-3</v>
      </c>
      <c r="EO277" s="182">
        <v>2E-3</v>
      </c>
      <c r="EP277" s="139">
        <v>2E-3</v>
      </c>
      <c r="ER277" s="201" t="s">
        <v>442</v>
      </c>
      <c r="ES277" s="156"/>
      <c r="ET277" s="156"/>
      <c r="EU277" s="156"/>
      <c r="EV277" s="156"/>
      <c r="EX277" s="201" t="s">
        <v>442</v>
      </c>
      <c r="EY277" s="156"/>
      <c r="EZ277" s="156"/>
      <c r="FA277" s="156"/>
      <c r="FB277" s="156"/>
      <c r="FC277" s="156"/>
      <c r="FD277" s="156"/>
      <c r="FE277" s="156"/>
      <c r="FF277" s="156"/>
      <c r="FG277" s="156"/>
      <c r="FH277" s="156"/>
      <c r="FI277" s="156"/>
      <c r="FJ277" s="156"/>
      <c r="FK277" s="157"/>
      <c r="FM277" s="18" t="s">
        <v>372</v>
      </c>
      <c r="FN277" s="162" t="s">
        <v>365</v>
      </c>
      <c r="FO277" s="182">
        <v>0.02</v>
      </c>
      <c r="FP277" s="136">
        <v>0.02</v>
      </c>
      <c r="FQ277" s="136">
        <v>0.02</v>
      </c>
      <c r="FR277" s="136">
        <v>0.02</v>
      </c>
      <c r="FS277" s="136">
        <v>0.02</v>
      </c>
      <c r="FT277" s="136">
        <v>0.02</v>
      </c>
      <c r="FU277" s="139">
        <v>0.02</v>
      </c>
    </row>
    <row r="278" spans="132:177" ht="12" customHeight="1">
      <c r="EB278" s="34" t="s">
        <v>298</v>
      </c>
      <c r="EC278" s="178" t="s">
        <v>290</v>
      </c>
      <c r="ED278" s="143">
        <v>3.0000000000000001E-3</v>
      </c>
      <c r="EE278" s="143">
        <v>3.0000000000000001E-3</v>
      </c>
      <c r="EF278" s="143">
        <v>3.0000000000000001E-3</v>
      </c>
      <c r="EG278" s="143">
        <v>3.0000000000000001E-3</v>
      </c>
      <c r="EH278" s="143">
        <v>3.0000000000000001E-3</v>
      </c>
      <c r="EI278" s="143">
        <v>3.0000000000000001E-3</v>
      </c>
      <c r="EJ278" s="143">
        <v>3.0000000000000001E-3</v>
      </c>
      <c r="EK278" s="143">
        <v>3.0000000000000001E-3</v>
      </c>
      <c r="EL278" s="143">
        <v>3.0000000000000001E-3</v>
      </c>
      <c r="EM278" s="144">
        <v>3.0000000000000001E-3</v>
      </c>
      <c r="EO278" s="182">
        <v>3.0000000000000001E-3</v>
      </c>
      <c r="EP278" s="139">
        <v>3.0000000000000001E-3</v>
      </c>
      <c r="ER278" s="18" t="s">
        <v>360</v>
      </c>
      <c r="ES278" s="162" t="s">
        <v>363</v>
      </c>
      <c r="ET278" s="12">
        <v>500</v>
      </c>
      <c r="EU278" s="12">
        <v>500</v>
      </c>
      <c r="EV278" s="12">
        <v>500</v>
      </c>
      <c r="EX278" s="18" t="s">
        <v>360</v>
      </c>
      <c r="EY278" s="162" t="s">
        <v>363</v>
      </c>
      <c r="EZ278" s="12">
        <v>500</v>
      </c>
      <c r="FA278" s="12"/>
      <c r="FB278" s="12"/>
      <c r="FC278" s="12"/>
      <c r="FD278" s="12"/>
      <c r="FE278" s="12">
        <f>FE282*1.15</f>
        <v>552</v>
      </c>
      <c r="FF278" s="12"/>
      <c r="FG278" s="12"/>
      <c r="FH278" s="12"/>
      <c r="FI278" s="12"/>
      <c r="FJ278" s="12">
        <v>700</v>
      </c>
      <c r="FK278" s="12"/>
      <c r="FM278" s="18" t="s">
        <v>387</v>
      </c>
      <c r="FN278" s="162" t="s">
        <v>386</v>
      </c>
      <c r="FO278" s="37">
        <v>205000</v>
      </c>
      <c r="FP278" s="75">
        <v>205000</v>
      </c>
      <c r="FQ278" s="75">
        <v>205000</v>
      </c>
      <c r="FR278" s="75">
        <v>205000</v>
      </c>
      <c r="FS278" s="75">
        <v>205000</v>
      </c>
      <c r="FT278" s="75">
        <v>205000</v>
      </c>
      <c r="FU278" s="38">
        <v>205000</v>
      </c>
    </row>
    <row r="279" spans="132:177" ht="12" customHeight="1">
      <c r="EB279" s="160" t="s">
        <v>303</v>
      </c>
      <c r="EC279" s="180"/>
      <c r="ED279" s="180"/>
      <c r="EE279" s="180"/>
      <c r="EF279" s="180"/>
      <c r="EG279" s="180"/>
      <c r="EH279" s="180"/>
      <c r="EI279" s="180"/>
      <c r="EJ279" s="180"/>
      <c r="EK279" s="180"/>
      <c r="EL279" s="180"/>
      <c r="EM279" s="181"/>
      <c r="EO279" s="160"/>
      <c r="EP279" s="181"/>
      <c r="ER279" s="18" t="s">
        <v>444</v>
      </c>
      <c r="ES279" s="164" t="s">
        <v>367</v>
      </c>
      <c r="ET279" s="14">
        <v>1.05</v>
      </c>
      <c r="EU279" s="14">
        <v>1.08</v>
      </c>
      <c r="EV279" s="14">
        <v>1.25</v>
      </c>
      <c r="EX279" s="18" t="s">
        <v>444</v>
      </c>
      <c r="EY279" s="164" t="s">
        <v>367</v>
      </c>
      <c r="EZ279" s="14">
        <v>1.08</v>
      </c>
      <c r="FA279" s="14"/>
      <c r="FB279" s="14"/>
      <c r="FC279" s="14"/>
      <c r="FD279" s="14"/>
      <c r="FE279" s="14">
        <v>1.08</v>
      </c>
      <c r="FF279" s="14"/>
      <c r="FG279" s="14"/>
      <c r="FH279" s="14"/>
      <c r="FI279" s="14"/>
      <c r="FJ279" s="290">
        <f>850/FJ278</f>
        <v>1.2142857142857142</v>
      </c>
      <c r="FK279" s="14"/>
      <c r="FM279" s="18" t="s">
        <v>388</v>
      </c>
      <c r="FN279" s="162" t="s">
        <v>386</v>
      </c>
      <c r="FO279" s="37">
        <v>195000</v>
      </c>
      <c r="FP279" s="75">
        <v>195000</v>
      </c>
      <c r="FQ279" s="75">
        <v>195000</v>
      </c>
      <c r="FR279" s="75">
        <v>195000</v>
      </c>
      <c r="FS279" s="75">
        <v>195000</v>
      </c>
      <c r="FT279" s="75">
        <v>195000</v>
      </c>
      <c r="FU279" s="38">
        <v>195000</v>
      </c>
    </row>
    <row r="280" spans="132:177" ht="12" customHeight="1">
      <c r="EB280" s="18" t="s">
        <v>157</v>
      </c>
      <c r="EC280" s="40" t="s">
        <v>287</v>
      </c>
      <c r="ED280" s="73">
        <v>1.6</v>
      </c>
      <c r="EE280" s="73">
        <v>1.9</v>
      </c>
      <c r="EF280" s="73">
        <v>2.2000000000000002</v>
      </c>
      <c r="EG280" s="73">
        <v>2.6</v>
      </c>
      <c r="EH280" s="73">
        <v>2.9</v>
      </c>
      <c r="EI280" s="73">
        <v>2.9</v>
      </c>
      <c r="EJ280" s="4">
        <v>3.2</v>
      </c>
      <c r="EK280" s="4">
        <v>3.5</v>
      </c>
      <c r="EL280" s="4">
        <v>3.8</v>
      </c>
      <c r="EM280" s="33">
        <v>4.0999999999999996</v>
      </c>
      <c r="EO280" s="18">
        <v>2.6</v>
      </c>
      <c r="EP280" s="33">
        <v>2.9</v>
      </c>
      <c r="ER280" s="34" t="s">
        <v>370</v>
      </c>
      <c r="ES280" s="163" t="s">
        <v>369</v>
      </c>
      <c r="ET280" s="203">
        <v>2.5</v>
      </c>
      <c r="EU280" s="203">
        <v>5</v>
      </c>
      <c r="EV280" s="203">
        <v>7.5</v>
      </c>
      <c r="EX280" s="34" t="s">
        <v>370</v>
      </c>
      <c r="EY280" s="163" t="s">
        <v>369</v>
      </c>
      <c r="EZ280" s="203">
        <v>5</v>
      </c>
      <c r="FA280" s="203"/>
      <c r="FB280" s="203"/>
      <c r="FC280" s="203"/>
      <c r="FD280" s="203"/>
      <c r="FE280" s="203"/>
      <c r="FF280" s="203"/>
      <c r="FG280" s="203"/>
      <c r="FH280" s="203"/>
      <c r="FI280" s="203"/>
      <c r="FJ280" s="203">
        <v>22.5</v>
      </c>
      <c r="FK280" s="203"/>
      <c r="FM280" s="140" t="s">
        <v>259</v>
      </c>
      <c r="FN280" s="187" t="s">
        <v>304</v>
      </c>
      <c r="FO280" s="188">
        <f>10*10^-6</f>
        <v>9.9999999999999991E-6</v>
      </c>
      <c r="FP280" s="189">
        <f t="shared" ref="FP280:FU280" si="26">10*10^-6</f>
        <v>9.9999999999999991E-6</v>
      </c>
      <c r="FQ280" s="189">
        <f t="shared" si="26"/>
        <v>9.9999999999999991E-6</v>
      </c>
      <c r="FR280" s="189">
        <f t="shared" si="26"/>
        <v>9.9999999999999991E-6</v>
      </c>
      <c r="FS280" s="189">
        <f t="shared" si="26"/>
        <v>9.9999999999999991E-6</v>
      </c>
      <c r="FT280" s="189">
        <f t="shared" si="26"/>
        <v>9.9999999999999991E-6</v>
      </c>
      <c r="FU280" s="190">
        <f t="shared" si="26"/>
        <v>9.9999999999999991E-6</v>
      </c>
    </row>
    <row r="281" spans="132:177" ht="12" customHeight="1">
      <c r="EB281" s="18" t="s">
        <v>258</v>
      </c>
      <c r="EC281" s="40" t="s">
        <v>301</v>
      </c>
      <c r="ED281" s="75">
        <v>27100</v>
      </c>
      <c r="EE281" s="75">
        <v>28800</v>
      </c>
      <c r="EF281" s="75">
        <v>30400</v>
      </c>
      <c r="EG281" s="179">
        <v>32000</v>
      </c>
      <c r="EH281" s="179">
        <v>33600</v>
      </c>
      <c r="EI281" s="179">
        <v>35000</v>
      </c>
      <c r="EJ281" s="75">
        <v>35000</v>
      </c>
      <c r="EK281" s="75">
        <v>36300</v>
      </c>
      <c r="EL281" s="75">
        <v>37600</v>
      </c>
      <c r="EM281" s="38">
        <v>38700</v>
      </c>
      <c r="EO281" s="301">
        <v>26600</v>
      </c>
      <c r="EP281" s="302">
        <v>27900</v>
      </c>
      <c r="ER281" s="160" t="s">
        <v>368</v>
      </c>
      <c r="ES281" s="180"/>
      <c r="ET281" s="156"/>
      <c r="EU281" s="156"/>
      <c r="EV281" s="156"/>
      <c r="EX281" s="201" t="s">
        <v>368</v>
      </c>
      <c r="EY281" s="156"/>
      <c r="EZ281" s="156"/>
      <c r="FA281" s="156"/>
      <c r="FB281" s="156"/>
      <c r="FC281" s="156"/>
      <c r="FD281" s="156"/>
      <c r="FE281" s="156"/>
      <c r="FF281" s="156"/>
      <c r="FG281" s="156"/>
      <c r="FH281" s="156"/>
      <c r="FI281" s="156"/>
      <c r="FJ281" s="156"/>
      <c r="FK281" s="157"/>
    </row>
    <row r="282" spans="132:177" ht="12" customHeight="1">
      <c r="EB282" s="18" t="s">
        <v>19</v>
      </c>
      <c r="EC282" s="40" t="s">
        <v>302</v>
      </c>
      <c r="ED282" s="75">
        <v>11300</v>
      </c>
      <c r="EE282" s="75">
        <v>12000</v>
      </c>
      <c r="EF282" s="75">
        <v>12600</v>
      </c>
      <c r="EG282" s="179">
        <v>14000</v>
      </c>
      <c r="EH282" s="179">
        <v>14000</v>
      </c>
      <c r="EI282" s="179">
        <v>14000</v>
      </c>
      <c r="EJ282" s="75">
        <v>14600</v>
      </c>
      <c r="EK282" s="75">
        <v>15100</v>
      </c>
      <c r="EL282" s="75">
        <v>15600</v>
      </c>
      <c r="EM282" s="38">
        <v>16100</v>
      </c>
      <c r="EO282" s="292">
        <f>0.8*EG282</f>
        <v>11200</v>
      </c>
      <c r="EP282" s="183">
        <f>0.8*EH282</f>
        <v>11200</v>
      </c>
      <c r="ER282" s="29" t="s">
        <v>362</v>
      </c>
      <c r="ES282" s="161" t="s">
        <v>361</v>
      </c>
      <c r="ET282" s="12">
        <v>435</v>
      </c>
      <c r="EU282" s="12">
        <v>435</v>
      </c>
      <c r="EV282" s="12">
        <v>390</v>
      </c>
      <c r="EX282" s="29" t="s">
        <v>362</v>
      </c>
      <c r="EY282" s="161" t="s">
        <v>361</v>
      </c>
      <c r="EZ282" s="12">
        <v>435</v>
      </c>
      <c r="FA282" s="12"/>
      <c r="FB282" s="12"/>
      <c r="FC282" s="12"/>
      <c r="FD282" s="12"/>
      <c r="FE282" s="12">
        <v>480</v>
      </c>
      <c r="FF282" s="12"/>
      <c r="FG282" s="12"/>
      <c r="FH282" s="12"/>
      <c r="FI282" s="12"/>
      <c r="FJ282" s="12"/>
      <c r="FK282" s="12"/>
    </row>
    <row r="283" spans="132:177" ht="12" customHeight="1">
      <c r="EB283" s="160" t="s">
        <v>20</v>
      </c>
      <c r="EC283" s="180"/>
      <c r="ED283" s="180"/>
      <c r="EE283" s="180"/>
      <c r="EF283" s="180"/>
      <c r="EG283" s="180"/>
      <c r="EH283" s="180"/>
      <c r="EI283" s="180"/>
      <c r="EJ283" s="180"/>
      <c r="EK283" s="180"/>
      <c r="EL283" s="180"/>
      <c r="EM283" s="181"/>
      <c r="EO283" s="160"/>
      <c r="EP283" s="181"/>
      <c r="ER283" s="18" t="s">
        <v>371</v>
      </c>
      <c r="ES283" s="162" t="s">
        <v>364</v>
      </c>
      <c r="ET283" s="14">
        <v>1.05</v>
      </c>
      <c r="EU283" s="14">
        <v>1.08</v>
      </c>
      <c r="EV283" s="14">
        <v>1.1499999999999999</v>
      </c>
      <c r="EW283" s="186"/>
      <c r="EX283" s="18" t="s">
        <v>371</v>
      </c>
      <c r="EY283" s="162" t="s">
        <v>364</v>
      </c>
      <c r="EZ283" s="14"/>
      <c r="FA283" s="14"/>
      <c r="FB283" s="14"/>
      <c r="FC283" s="14"/>
      <c r="FD283" s="14"/>
      <c r="FE283" s="14"/>
      <c r="FF283" s="14"/>
      <c r="FG283" s="14"/>
      <c r="FH283" s="14"/>
      <c r="FI283" s="14"/>
      <c r="FJ283" s="14"/>
      <c r="FK283" s="14"/>
    </row>
    <row r="284" spans="132:177" ht="12" customHeight="1">
      <c r="EB284" s="18" t="s">
        <v>11</v>
      </c>
      <c r="EC284" s="36" t="s">
        <v>177</v>
      </c>
      <c r="ED284" s="371">
        <v>2500</v>
      </c>
      <c r="EE284" s="371">
        <v>2500</v>
      </c>
      <c r="EF284" s="371">
        <v>2500</v>
      </c>
      <c r="EG284" s="371">
        <v>2500</v>
      </c>
      <c r="EH284" s="371">
        <v>2500</v>
      </c>
      <c r="EI284" s="371">
        <v>2500</v>
      </c>
      <c r="EJ284" s="371">
        <v>2500</v>
      </c>
      <c r="EK284" s="371">
        <v>2500</v>
      </c>
      <c r="EL284" s="371">
        <v>2500</v>
      </c>
      <c r="EM284" s="43">
        <v>2500</v>
      </c>
      <c r="EO284" s="42">
        <v>2400</v>
      </c>
      <c r="EP284" s="43">
        <v>2400</v>
      </c>
      <c r="ER284" s="18" t="s">
        <v>372</v>
      </c>
      <c r="ES284" s="162" t="s">
        <v>365</v>
      </c>
      <c r="ET284" s="206">
        <v>0.02</v>
      </c>
      <c r="EU284" s="206">
        <v>4.4999999999999998E-2</v>
      </c>
      <c r="EV284" s="206">
        <v>6.5000000000000002E-2</v>
      </c>
      <c r="EX284" s="18" t="s">
        <v>372</v>
      </c>
      <c r="EY284" s="162" t="s">
        <v>365</v>
      </c>
      <c r="EZ284" s="206"/>
      <c r="FA284" s="206"/>
      <c r="FB284" s="206"/>
      <c r="FC284" s="206"/>
      <c r="FD284" s="206"/>
      <c r="FE284" s="206"/>
      <c r="FF284" s="206"/>
      <c r="FG284" s="206"/>
      <c r="FH284" s="206"/>
      <c r="FI284" s="206"/>
      <c r="FJ284" s="206"/>
      <c r="FK284" s="206"/>
    </row>
    <row r="285" spans="132:177" ht="12" customHeight="1">
      <c r="EB285" s="18" t="s">
        <v>249</v>
      </c>
      <c r="EC285" s="134" t="s">
        <v>21</v>
      </c>
      <c r="ED285" s="372"/>
      <c r="EE285" s="372"/>
      <c r="EF285" s="372"/>
      <c r="EG285" s="194">
        <v>2.8</v>
      </c>
      <c r="EH285" s="194">
        <v>2.5</v>
      </c>
      <c r="EI285" s="194">
        <v>2.2999999999999998</v>
      </c>
      <c r="EJ285" s="372"/>
      <c r="EK285" s="372"/>
      <c r="EL285" s="372"/>
      <c r="EM285" s="41"/>
      <c r="EO285" s="303">
        <f>1.25*EG285</f>
        <v>3.5</v>
      </c>
      <c r="EP285" s="304">
        <v>3.2</v>
      </c>
      <c r="ER285" s="18" t="s">
        <v>258</v>
      </c>
      <c r="ES285" s="162" t="s">
        <v>366</v>
      </c>
      <c r="ET285" s="39">
        <v>205000</v>
      </c>
      <c r="EU285" s="39">
        <v>205000</v>
      </c>
      <c r="EV285" s="39">
        <v>205000</v>
      </c>
      <c r="EX285" s="18" t="s">
        <v>258</v>
      </c>
      <c r="EY285" s="162" t="s">
        <v>366</v>
      </c>
      <c r="EZ285" s="39">
        <v>205000</v>
      </c>
      <c r="FA285" s="39"/>
      <c r="FB285" s="39"/>
      <c r="FC285" s="39"/>
      <c r="FD285" s="39"/>
      <c r="FE285" s="39">
        <v>170000</v>
      </c>
      <c r="FF285" s="39"/>
      <c r="FG285" s="39"/>
      <c r="FH285" s="39"/>
      <c r="FI285" s="39"/>
      <c r="FJ285" s="39"/>
      <c r="FK285" s="39"/>
    </row>
    <row r="286" spans="132:177" ht="12" customHeight="1">
      <c r="EB286" s="18" t="s">
        <v>299</v>
      </c>
      <c r="EC286" s="40" t="s">
        <v>300</v>
      </c>
      <c r="ED286" s="193"/>
      <c r="EE286" s="193"/>
      <c r="EF286" s="193"/>
      <c r="EG286" s="195">
        <v>0.39</v>
      </c>
      <c r="EH286" s="195">
        <v>0.35</v>
      </c>
      <c r="EI286" s="195">
        <v>0.3</v>
      </c>
      <c r="EJ286" s="193"/>
      <c r="EK286" s="193"/>
      <c r="EL286" s="193"/>
      <c r="EM286" s="196"/>
      <c r="EO286" s="305">
        <v>0.49</v>
      </c>
      <c r="EP286" s="306">
        <v>0.44</v>
      </c>
      <c r="ER286" s="140" t="s">
        <v>259</v>
      </c>
      <c r="ES286" s="187" t="s">
        <v>304</v>
      </c>
      <c r="ET286" s="207">
        <f>10*10^-6</f>
        <v>9.9999999999999991E-6</v>
      </c>
      <c r="EU286" s="207">
        <f>10*10^-6</f>
        <v>9.9999999999999991E-6</v>
      </c>
      <c r="EV286" s="207">
        <f>10*10^-6</f>
        <v>9.9999999999999991E-6</v>
      </c>
      <c r="EX286" s="165" t="s">
        <v>259</v>
      </c>
      <c r="EY286" s="166" t="s">
        <v>304</v>
      </c>
      <c r="EZ286" s="207">
        <f>10.4*10^-6</f>
        <v>1.04E-5</v>
      </c>
      <c r="FA286" s="207">
        <f>16*10^-6</f>
        <v>1.5999999999999999E-5</v>
      </c>
      <c r="FB286" s="207">
        <f>13*10^-6</f>
        <v>1.2999999999999999E-5</v>
      </c>
      <c r="FC286" s="207">
        <f>13*10^-6</f>
        <v>1.2999999999999999E-5</v>
      </c>
      <c r="FD286" s="207">
        <f>16*10^-6</f>
        <v>1.5999999999999999E-5</v>
      </c>
      <c r="FE286" s="207">
        <f>16*10^-6</f>
        <v>1.5999999999999999E-5</v>
      </c>
      <c r="FF286" s="207">
        <f>16*10^-6</f>
        <v>1.5999999999999999E-5</v>
      </c>
      <c r="FG286" s="207">
        <f>16*10^-6</f>
        <v>1.5999999999999999E-5</v>
      </c>
      <c r="FH286" s="207">
        <f>16*10^-6</f>
        <v>1.5999999999999999E-5</v>
      </c>
      <c r="FI286" s="207">
        <f>13*10^-6</f>
        <v>1.2999999999999999E-5</v>
      </c>
      <c r="FJ286" s="207">
        <f>15.8*10^-6</f>
        <v>1.5800000000000001E-5</v>
      </c>
      <c r="FK286" s="207">
        <f>16.5*10^-6</f>
        <v>1.6499999999999998E-5</v>
      </c>
    </row>
    <row r="287" spans="132:177" ht="12" customHeight="1">
      <c r="EB287" s="140" t="s">
        <v>259</v>
      </c>
      <c r="EC287" s="149" t="s">
        <v>304</v>
      </c>
      <c r="ED287" s="141">
        <f>10*10^-6</f>
        <v>9.9999999999999991E-6</v>
      </c>
      <c r="EE287" s="141">
        <f t="shared" ref="EE287:EM287" si="27">10*10^-6</f>
        <v>9.9999999999999991E-6</v>
      </c>
      <c r="EF287" s="141">
        <f t="shared" si="27"/>
        <v>9.9999999999999991E-6</v>
      </c>
      <c r="EG287" s="141">
        <f t="shared" si="27"/>
        <v>9.9999999999999991E-6</v>
      </c>
      <c r="EH287" s="141">
        <f t="shared" si="27"/>
        <v>9.9999999999999991E-6</v>
      </c>
      <c r="EI287" s="141">
        <f t="shared" si="27"/>
        <v>9.9999999999999991E-6</v>
      </c>
      <c r="EJ287" s="141">
        <f t="shared" si="27"/>
        <v>9.9999999999999991E-6</v>
      </c>
      <c r="EK287" s="141">
        <f t="shared" si="27"/>
        <v>9.9999999999999991E-6</v>
      </c>
      <c r="EL287" s="141">
        <f t="shared" si="27"/>
        <v>9.9999999999999991E-6</v>
      </c>
      <c r="EM287" s="142">
        <f t="shared" si="27"/>
        <v>9.9999999999999991E-6</v>
      </c>
      <c r="EO287" s="167">
        <f>10*10^-6</f>
        <v>9.9999999999999991E-6</v>
      </c>
      <c r="EP287" s="142">
        <f>10*10^-6</f>
        <v>9.9999999999999991E-6</v>
      </c>
      <c r="ER287" s="165" t="s">
        <v>424</v>
      </c>
      <c r="ES287" s="166" t="s">
        <v>334</v>
      </c>
      <c r="ET287" s="39"/>
      <c r="EU287" s="39"/>
      <c r="EV287" s="39"/>
      <c r="EX287" s="165" t="s">
        <v>424</v>
      </c>
      <c r="EY287" s="166" t="s">
        <v>334</v>
      </c>
      <c r="EZ287" s="39">
        <v>25</v>
      </c>
      <c r="FA287" s="39">
        <v>15</v>
      </c>
      <c r="FB287" s="39">
        <v>15</v>
      </c>
      <c r="FC287" s="39">
        <v>15</v>
      </c>
      <c r="FD287" s="39">
        <v>15</v>
      </c>
      <c r="FE287" s="39">
        <v>15</v>
      </c>
      <c r="FF287" s="39">
        <v>15</v>
      </c>
      <c r="FG287" s="39">
        <v>15</v>
      </c>
      <c r="FH287" s="39">
        <v>15</v>
      </c>
      <c r="FI287" s="39">
        <v>15</v>
      </c>
      <c r="FJ287" s="39">
        <v>12</v>
      </c>
      <c r="FK287" s="39">
        <v>15</v>
      </c>
    </row>
    <row r="288" spans="132:177" ht="12" customHeight="1">
      <c r="ER288" s="1620" t="s">
        <v>410</v>
      </c>
      <c r="ES288" s="1622"/>
      <c r="ET288" s="1626"/>
      <c r="EU288" s="1626"/>
      <c r="EV288" s="1626"/>
      <c r="EX288" s="1620" t="s">
        <v>410</v>
      </c>
      <c r="EY288" s="1622"/>
      <c r="EZ288" s="1626" t="s">
        <v>420</v>
      </c>
      <c r="FA288" s="1626" t="s">
        <v>419</v>
      </c>
      <c r="FB288" s="1626" t="s">
        <v>418</v>
      </c>
      <c r="FC288" s="1626" t="s">
        <v>417</v>
      </c>
      <c r="FD288" s="1626" t="s">
        <v>416</v>
      </c>
      <c r="FE288" s="1626" t="s">
        <v>411</v>
      </c>
      <c r="FF288" s="1626" t="s">
        <v>415</v>
      </c>
      <c r="FG288" s="1626" t="s">
        <v>414</v>
      </c>
      <c r="FH288" s="1626" t="s">
        <v>413</v>
      </c>
      <c r="FI288" s="1626" t="s">
        <v>412</v>
      </c>
      <c r="FJ288" s="1626" t="s">
        <v>411</v>
      </c>
      <c r="FK288" s="1626" t="s">
        <v>421</v>
      </c>
    </row>
    <row r="289" spans="23:276" ht="12" customHeight="1">
      <c r="EF289" s="102" t="s">
        <v>659</v>
      </c>
      <c r="EO289" s="98" t="s">
        <v>501</v>
      </c>
      <c r="EP289" s="159">
        <v>0.8</v>
      </c>
      <c r="ER289" s="1620"/>
      <c r="ES289" s="1622"/>
      <c r="ET289" s="1626"/>
      <c r="EU289" s="1626"/>
      <c r="EV289" s="1626"/>
      <c r="EX289" s="1620"/>
      <c r="EY289" s="1622"/>
      <c r="EZ289" s="1626"/>
      <c r="FA289" s="1626"/>
      <c r="FB289" s="1626"/>
      <c r="FC289" s="1626"/>
      <c r="FD289" s="1626"/>
      <c r="FE289" s="1626"/>
      <c r="FF289" s="1626"/>
      <c r="FG289" s="1626"/>
      <c r="FH289" s="1626"/>
      <c r="FI289" s="1626"/>
      <c r="FJ289" s="1626"/>
      <c r="FK289" s="1626"/>
    </row>
    <row r="290" spans="23:276" ht="12" customHeight="1">
      <c r="ER290" s="1621"/>
      <c r="ES290" s="1623"/>
      <c r="ET290" s="1627"/>
      <c r="EU290" s="1627"/>
      <c r="EV290" s="1627"/>
      <c r="EX290" s="1621"/>
      <c r="EY290" s="1623"/>
      <c r="EZ290" s="1627"/>
      <c r="FA290" s="1627"/>
      <c r="FB290" s="1627"/>
      <c r="FC290" s="1627"/>
      <c r="FD290" s="1627"/>
      <c r="FE290" s="1627"/>
      <c r="FF290" s="1627"/>
      <c r="FG290" s="1627"/>
      <c r="FH290" s="1627"/>
      <c r="FI290" s="1627"/>
      <c r="FJ290" s="1627"/>
      <c r="FK290" s="1627"/>
    </row>
    <row r="292" spans="23:276" ht="12" customHeight="1">
      <c r="EA292" s="4"/>
      <c r="EX292" s="171" t="s">
        <v>425</v>
      </c>
    </row>
    <row r="293" spans="23:276" ht="12" customHeight="1">
      <c r="EA293" s="4"/>
      <c r="EX293" s="29" t="s">
        <v>223</v>
      </c>
      <c r="EY293" s="191" t="s">
        <v>198</v>
      </c>
      <c r="EZ293" s="30">
        <v>6</v>
      </c>
      <c r="FA293" s="30">
        <v>8</v>
      </c>
      <c r="FB293" s="30">
        <v>10</v>
      </c>
      <c r="FC293" s="30">
        <v>12</v>
      </c>
      <c r="FD293" s="30">
        <v>14</v>
      </c>
      <c r="FE293" s="30">
        <v>16</v>
      </c>
      <c r="FF293" s="30">
        <v>20</v>
      </c>
      <c r="FG293" s="30">
        <v>22</v>
      </c>
      <c r="FH293" s="30">
        <v>26</v>
      </c>
      <c r="FI293" s="30">
        <v>30</v>
      </c>
      <c r="FJ293" s="30">
        <v>34</v>
      </c>
      <c r="FK293" s="31">
        <v>40</v>
      </c>
    </row>
    <row r="294" spans="23:276" ht="12" customHeight="1">
      <c r="EA294" s="4"/>
      <c r="EX294" s="34" t="s">
        <v>389</v>
      </c>
      <c r="EY294" s="192" t="s">
        <v>390</v>
      </c>
      <c r="EZ294" s="79">
        <f t="shared" ref="EZ294:FK294" si="28">EZ293^2*PI()/4</f>
        <v>28.274333882308138</v>
      </c>
      <c r="FA294" s="79">
        <f t="shared" si="28"/>
        <v>50.26548245743669</v>
      </c>
      <c r="FB294" s="79">
        <f t="shared" si="28"/>
        <v>78.539816339744831</v>
      </c>
      <c r="FC294" s="80">
        <f t="shared" si="28"/>
        <v>113.09733552923255</v>
      </c>
      <c r="FD294" s="80">
        <f t="shared" si="28"/>
        <v>153.93804002589985</v>
      </c>
      <c r="FE294" s="80">
        <f t="shared" si="28"/>
        <v>201.06192982974676</v>
      </c>
      <c r="FF294" s="80">
        <f t="shared" si="28"/>
        <v>314.15926535897933</v>
      </c>
      <c r="FG294" s="80">
        <f t="shared" si="28"/>
        <v>380.13271108436498</v>
      </c>
      <c r="FH294" s="80">
        <f t="shared" si="28"/>
        <v>530.92915845667505</v>
      </c>
      <c r="FI294" s="80">
        <f t="shared" si="28"/>
        <v>706.85834705770344</v>
      </c>
      <c r="FJ294" s="80">
        <f t="shared" si="28"/>
        <v>907.9202768874502</v>
      </c>
      <c r="FK294" s="183">
        <f t="shared" si="28"/>
        <v>1256.6370614359173</v>
      </c>
    </row>
    <row r="295" spans="23:276" ht="12" customHeight="1">
      <c r="EA295" s="4"/>
    </row>
    <row r="296" spans="23:276" ht="12" customHeight="1">
      <c r="EA296" s="4"/>
    </row>
    <row r="297" spans="23:276" ht="12" customHeight="1">
      <c r="EA297" s="4"/>
    </row>
    <row r="298" spans="23:276" ht="12" customHeight="1">
      <c r="EA298" s="4"/>
    </row>
    <row r="299" spans="23:276" ht="12" customHeight="1">
      <c r="EA299" s="4"/>
    </row>
    <row r="300" spans="23:276" ht="12" customHeight="1">
      <c r="EA300" s="4"/>
    </row>
    <row r="301" spans="23:276" s="171" customFormat="1" ht="12" customHeight="1">
      <c r="W301" s="176"/>
      <c r="X301" s="177"/>
      <c r="AG301" s="176"/>
      <c r="AH301" s="177"/>
      <c r="AI301" s="173"/>
      <c r="DF301" s="4"/>
      <c r="DG301" s="4"/>
      <c r="DH301" s="4"/>
      <c r="DI301" s="4"/>
      <c r="DJ301" s="4"/>
      <c r="DK301" s="4"/>
      <c r="DL301" s="4"/>
      <c r="DM301" s="4"/>
      <c r="DN301" s="4"/>
      <c r="DO301" s="4"/>
      <c r="DP301" s="4"/>
      <c r="DQ301" s="4"/>
      <c r="DR301" s="4"/>
      <c r="DS301" s="4"/>
      <c r="DT301" s="4"/>
      <c r="DU301" s="4"/>
      <c r="DV301" s="4"/>
      <c r="DW301" s="4"/>
      <c r="DX301" s="4"/>
      <c r="DY301" s="4"/>
      <c r="DZ301" s="176"/>
      <c r="EA301" s="4"/>
      <c r="EB301" s="4"/>
      <c r="EC301" s="4"/>
      <c r="ED301" s="4"/>
      <c r="EN301" s="4"/>
      <c r="EQ301" s="4"/>
      <c r="FL301" s="4"/>
      <c r="FM301" s="4"/>
      <c r="FN301" s="4"/>
      <c r="FO301" s="4"/>
      <c r="FP301" s="4"/>
      <c r="FQ301" s="4"/>
      <c r="FR301" s="4"/>
      <c r="FS301" s="4"/>
      <c r="FT301" s="4"/>
      <c r="FU301" s="4"/>
      <c r="FW301" s="176"/>
      <c r="FX301" s="177"/>
      <c r="GU301" s="4"/>
      <c r="GV301" s="4"/>
      <c r="GW301" s="4"/>
      <c r="GX301" s="4"/>
      <c r="GY301" s="4"/>
      <c r="GZ301" s="4"/>
      <c r="HA301" s="4"/>
      <c r="HB301" s="4"/>
      <c r="HC301" s="4"/>
      <c r="HD301" s="4"/>
      <c r="HE301" s="4"/>
      <c r="HF301" s="4"/>
      <c r="HG301" s="4"/>
      <c r="HH301" s="4"/>
      <c r="HI301" s="4"/>
      <c r="HK301" s="176"/>
      <c r="HL301" s="177"/>
      <c r="HM301" s="4"/>
      <c r="HN301" s="4"/>
      <c r="HO301" s="4"/>
      <c r="HP301" s="4"/>
      <c r="HQ301" s="4"/>
      <c r="HR301" s="4"/>
      <c r="HS301" s="4"/>
      <c r="HT301" s="4"/>
      <c r="HU301" s="4"/>
      <c r="HV301" s="4"/>
      <c r="HW301" s="4"/>
      <c r="HY301" s="176"/>
      <c r="HZ301" s="177"/>
      <c r="IA301" s="4"/>
      <c r="IB301" s="4"/>
      <c r="IC301" s="4"/>
      <c r="IE301" s="4"/>
      <c r="IG301" s="4"/>
      <c r="II301" s="4"/>
      <c r="IK301" s="4"/>
      <c r="IM301" s="4"/>
      <c r="IO301" s="4"/>
      <c r="IQ301" s="4"/>
      <c r="IT301" s="176"/>
      <c r="IU301" s="177"/>
      <c r="IW301" s="4"/>
      <c r="IY301" s="4"/>
      <c r="JA301" s="4"/>
      <c r="JC301" s="4"/>
      <c r="JE301" s="4"/>
      <c r="JG301" s="4"/>
      <c r="JI301" s="4"/>
      <c r="JJ301" s="4"/>
      <c r="JL301" s="176"/>
      <c r="JM301" s="177"/>
      <c r="JN301" s="4"/>
      <c r="JP301" s="4"/>
    </row>
    <row r="302" spans="23:276" ht="12" customHeight="1">
      <c r="EA302" s="4"/>
    </row>
    <row r="303" spans="23:276" ht="12" customHeight="1">
      <c r="EA303" s="4"/>
    </row>
    <row r="304" spans="23:276" ht="12" customHeight="1">
      <c r="EA304" s="4"/>
    </row>
    <row r="305" spans="24:273" ht="12" customHeight="1">
      <c r="EA305" s="4"/>
    </row>
    <row r="306" spans="24:273" ht="12" customHeight="1">
      <c r="EA306" s="4"/>
    </row>
    <row r="307" spans="24:273" ht="12" customHeight="1">
      <c r="DE307" s="145"/>
      <c r="EA307" s="4"/>
      <c r="EE307" s="3"/>
      <c r="EF307" s="169"/>
    </row>
    <row r="308" spans="24:273" ht="12" customHeight="1">
      <c r="DE308" s="145"/>
      <c r="EA308" s="4"/>
      <c r="EE308" s="3"/>
      <c r="EF308" s="169"/>
    </row>
    <row r="309" spans="24:273" ht="12" customHeight="1">
      <c r="DE309" s="145"/>
      <c r="ED309" s="3"/>
      <c r="EE309" s="3"/>
      <c r="EF309" s="169"/>
    </row>
    <row r="310" spans="24:273" ht="12" customHeight="1">
      <c r="DE310" s="145"/>
      <c r="ED310" s="3"/>
      <c r="EE310" s="3"/>
      <c r="EF310" s="169"/>
    </row>
    <row r="311" spans="24:273" ht="12" customHeight="1">
      <c r="DE311" s="145"/>
      <c r="ED311" s="3"/>
      <c r="EE311" s="3"/>
      <c r="EF311" s="169"/>
    </row>
    <row r="312" spans="24:273" ht="12" customHeight="1">
      <c r="DE312" s="145"/>
      <c r="ED312" s="3"/>
      <c r="EE312" s="3"/>
      <c r="EF312" s="169"/>
    </row>
    <row r="313" spans="24:273" ht="12" customHeight="1">
      <c r="DE313" s="145"/>
      <c r="ED313" s="3"/>
      <c r="EE313" s="3"/>
      <c r="EF313" s="169"/>
    </row>
    <row r="314" spans="24:273" ht="12" customHeight="1">
      <c r="DE314" s="145"/>
      <c r="ED314" s="3"/>
      <c r="EE314" s="3"/>
      <c r="EF314" s="169"/>
    </row>
    <row r="315" spans="24:273" ht="12" customHeight="1">
      <c r="DE315" s="145"/>
    </row>
    <row r="316" spans="24:273" ht="12" customHeight="1">
      <c r="DE316" s="145"/>
    </row>
    <row r="317" spans="24:273" ht="12" customHeight="1">
      <c r="DE317" s="145"/>
      <c r="HM317" s="1"/>
      <c r="HN317" s="1"/>
      <c r="HO317" s="1"/>
      <c r="HP317" s="1"/>
      <c r="HQ317" s="1"/>
      <c r="HR317" s="1"/>
      <c r="HS317" s="1"/>
      <c r="HT317" s="1"/>
      <c r="HU317" s="1"/>
      <c r="HV317" s="1"/>
      <c r="HW317" s="1"/>
      <c r="IA317" s="1"/>
      <c r="IB317" s="1"/>
      <c r="IC317" s="1"/>
    </row>
    <row r="318" spans="24:273" ht="12" customHeight="1">
      <c r="DE318" s="145"/>
    </row>
    <row r="319" spans="24:273" ht="12" customHeight="1">
      <c r="DE319" s="145"/>
    </row>
    <row r="320" spans="24:273" s="91" customFormat="1" ht="12" customHeight="1">
      <c r="X320" s="92"/>
      <c r="AH320" s="92"/>
      <c r="EA320" s="92"/>
      <c r="FX320" s="92"/>
      <c r="HL320" s="92"/>
      <c r="HZ320" s="92"/>
      <c r="IU320" s="92"/>
      <c r="JM320" s="92"/>
    </row>
    <row r="321" spans="23:273" s="170" customFormat="1" ht="12" customHeight="1">
      <c r="W321" s="174"/>
      <c r="X321" s="175"/>
      <c r="AG321" s="174"/>
      <c r="AH321" s="175"/>
      <c r="AI321" s="172"/>
      <c r="DZ321" s="174"/>
      <c r="EA321" s="175"/>
      <c r="FW321" s="174"/>
      <c r="FX321" s="175"/>
      <c r="FY321" s="170" t="s">
        <v>391</v>
      </c>
      <c r="HK321" s="174"/>
      <c r="HL321" s="175"/>
      <c r="HM321" s="4"/>
      <c r="HN321" s="4"/>
      <c r="HO321" s="4"/>
      <c r="HP321" s="4"/>
      <c r="HQ321" s="4"/>
      <c r="HR321" s="4"/>
      <c r="HS321" s="4"/>
      <c r="HT321" s="4"/>
      <c r="HU321" s="4"/>
      <c r="HV321" s="4"/>
      <c r="HW321" s="4"/>
      <c r="HY321" s="174"/>
      <c r="HZ321" s="175"/>
      <c r="IA321" s="4"/>
      <c r="IB321" s="4"/>
      <c r="IC321" s="4"/>
      <c r="IT321" s="174"/>
      <c r="IU321" s="175"/>
      <c r="JL321" s="174"/>
      <c r="JM321" s="175"/>
    </row>
    <row r="322" spans="23:273" s="171" customFormat="1" ht="30" customHeight="1">
      <c r="W322" s="176"/>
      <c r="X322" s="177"/>
      <c r="AG322" s="176"/>
      <c r="AH322" s="177"/>
      <c r="AI322" s="173"/>
      <c r="DZ322" s="176"/>
      <c r="EA322" s="177"/>
      <c r="FW322" s="176"/>
      <c r="FX322" s="177"/>
      <c r="FY322" s="171" t="s">
        <v>446</v>
      </c>
      <c r="GI322" s="171" t="s">
        <v>447</v>
      </c>
      <c r="GV322" s="171" t="s">
        <v>428</v>
      </c>
      <c r="HK322" s="176"/>
      <c r="HL322" s="177"/>
      <c r="HM322" s="4"/>
      <c r="HN322" s="4"/>
      <c r="HO322" s="4"/>
      <c r="HP322" s="4"/>
      <c r="HQ322" s="4"/>
      <c r="HR322" s="4"/>
      <c r="HS322" s="4"/>
      <c r="HT322" s="4"/>
      <c r="HU322" s="4"/>
      <c r="HV322" s="4"/>
      <c r="HW322" s="4"/>
      <c r="HY322" s="176"/>
      <c r="HZ322" s="177"/>
      <c r="IA322" s="4"/>
      <c r="IB322" s="4"/>
      <c r="IC322" s="4"/>
      <c r="IT322" s="176"/>
      <c r="IU322" s="177"/>
      <c r="JL322" s="176"/>
      <c r="JM322" s="177"/>
    </row>
    <row r="323" spans="23:273" ht="30" customHeight="1">
      <c r="DE323" s="145"/>
      <c r="FY323" s="1670" t="s">
        <v>143</v>
      </c>
      <c r="FZ323" s="1673" t="s">
        <v>255</v>
      </c>
      <c r="GA323" s="1674"/>
      <c r="GB323" s="1674"/>
      <c r="GC323" s="1674"/>
      <c r="GD323" s="1674"/>
      <c r="GE323" s="1674"/>
      <c r="GF323" s="1674"/>
      <c r="GG323" s="1674"/>
      <c r="GI323" s="201" t="s">
        <v>392</v>
      </c>
      <c r="GJ323" s="157"/>
      <c r="GK323" s="198" t="s">
        <v>144</v>
      </c>
      <c r="GL323" s="198" t="s">
        <v>145</v>
      </c>
      <c r="GM323" s="198" t="s">
        <v>146</v>
      </c>
      <c r="GN323" s="198" t="s">
        <v>393</v>
      </c>
      <c r="GV323" s="160" t="s">
        <v>396</v>
      </c>
      <c r="GW323" s="181"/>
      <c r="GX323" s="252">
        <v>1.4003000000000001</v>
      </c>
      <c r="GY323" s="154">
        <v>1.4300999999999999</v>
      </c>
      <c r="GZ323" s="154">
        <v>1.4311</v>
      </c>
      <c r="HA323" s="154">
        <v>1.4400999999999999</v>
      </c>
      <c r="HB323" s="154">
        <v>1.4403999999999999</v>
      </c>
      <c r="HC323" s="154">
        <v>1.4361999999999999</v>
      </c>
      <c r="HD323" s="154">
        <v>1.4571000000000001</v>
      </c>
      <c r="HE323" s="154">
        <v>1.4406000000000001</v>
      </c>
      <c r="HF323" s="154">
        <v>1.4436</v>
      </c>
      <c r="HG323" s="154">
        <v>1.4429000000000001</v>
      </c>
      <c r="HH323" s="154">
        <v>1.4461999999999999</v>
      </c>
      <c r="HI323" s="154">
        <v>1.4529000000000001</v>
      </c>
    </row>
    <row r="324" spans="23:273" ht="30" customHeight="1">
      <c r="DE324" s="145"/>
      <c r="FY324" s="1671"/>
      <c r="FZ324" s="1675" t="s">
        <v>253</v>
      </c>
      <c r="GA324" s="1676"/>
      <c r="GB324" s="1676"/>
      <c r="GC324" s="1676"/>
      <c r="GD324" s="1676" t="s">
        <v>254</v>
      </c>
      <c r="GE324" s="1676"/>
      <c r="GF324" s="1676"/>
      <c r="GG324" s="1676"/>
      <c r="GI324" s="29" t="s">
        <v>219</v>
      </c>
      <c r="GJ324" s="72">
        <v>4.5999999999999996</v>
      </c>
      <c r="GK324" s="18">
        <v>240</v>
      </c>
      <c r="GL324" s="39">
        <f>GK324/SQRT(3)</f>
        <v>138.5640646055102</v>
      </c>
      <c r="GM324" s="14">
        <v>400</v>
      </c>
      <c r="GN324" s="200">
        <v>22</v>
      </c>
      <c r="GV324" s="29" t="s">
        <v>443</v>
      </c>
      <c r="GW324" s="191" t="s">
        <v>422</v>
      </c>
      <c r="GX324" s="420">
        <v>1</v>
      </c>
      <c r="GY324" s="420">
        <v>2</v>
      </c>
      <c r="GZ324" s="420">
        <v>2</v>
      </c>
      <c r="HA324" s="420">
        <v>3</v>
      </c>
      <c r="HB324" s="420">
        <v>3</v>
      </c>
      <c r="HC324" s="420">
        <v>3</v>
      </c>
      <c r="HD324" s="420">
        <v>3</v>
      </c>
      <c r="HE324" s="420">
        <v>3</v>
      </c>
      <c r="HF324" s="420">
        <v>3</v>
      </c>
      <c r="HG324" s="420">
        <v>3</v>
      </c>
      <c r="HH324" s="420">
        <v>4</v>
      </c>
      <c r="HI324" s="420">
        <v>4</v>
      </c>
    </row>
    <row r="325" spans="23:273" ht="12" customHeight="1">
      <c r="DE325" s="145"/>
      <c r="FY325" s="1672"/>
      <c r="FZ325" s="197" t="s">
        <v>144</v>
      </c>
      <c r="GA325" s="198" t="s">
        <v>145</v>
      </c>
      <c r="GB325" s="198" t="s">
        <v>146</v>
      </c>
      <c r="GC325" s="198" t="s">
        <v>147</v>
      </c>
      <c r="GD325" s="198" t="s">
        <v>144</v>
      </c>
      <c r="GE325" s="198" t="s">
        <v>145</v>
      </c>
      <c r="GF325" s="198" t="s">
        <v>146</v>
      </c>
      <c r="GG325" s="198" t="s">
        <v>147</v>
      </c>
      <c r="GI325" s="18" t="s">
        <v>548</v>
      </c>
      <c r="GJ325" s="76">
        <v>5.6</v>
      </c>
      <c r="GK325" s="18">
        <v>300</v>
      </c>
      <c r="GL325" s="39">
        <f>GK325/SQRT(3)</f>
        <v>173.20508075688775</v>
      </c>
      <c r="GM325" s="14">
        <v>500</v>
      </c>
      <c r="GN325" s="200">
        <v>20</v>
      </c>
      <c r="GV325" s="18" t="s">
        <v>397</v>
      </c>
      <c r="GW325" s="164" t="s">
        <v>423</v>
      </c>
      <c r="GX325" s="200" t="s">
        <v>398</v>
      </c>
      <c r="GY325" s="200" t="s">
        <v>399</v>
      </c>
      <c r="GZ325" s="200" t="s">
        <v>400</v>
      </c>
      <c r="HA325" s="200" t="s">
        <v>401</v>
      </c>
      <c r="HB325" s="200" t="s">
        <v>402</v>
      </c>
      <c r="HC325" s="200" t="s">
        <v>403</v>
      </c>
      <c r="HD325" s="200" t="s">
        <v>404</v>
      </c>
      <c r="HE325" s="200" t="s">
        <v>405</v>
      </c>
      <c r="HF325" s="200" t="s">
        <v>406</v>
      </c>
      <c r="HG325" s="200" t="s">
        <v>407</v>
      </c>
      <c r="HH325" s="200" t="s">
        <v>408</v>
      </c>
      <c r="HI325" s="200" t="s">
        <v>409</v>
      </c>
    </row>
    <row r="326" spans="23:273" ht="12" customHeight="1">
      <c r="DE326" s="145"/>
      <c r="FY326" s="12" t="s">
        <v>148</v>
      </c>
      <c r="FZ326" s="12">
        <v>235</v>
      </c>
      <c r="GA326" s="12">
        <v>135</v>
      </c>
      <c r="GB326" s="12">
        <v>360</v>
      </c>
      <c r="GC326" s="94">
        <f>FZ326/GB326</f>
        <v>0.65277777777777779</v>
      </c>
      <c r="GD326" s="12">
        <v>215</v>
      </c>
      <c r="GE326" s="12">
        <v>124</v>
      </c>
      <c r="GF326" s="12">
        <v>340</v>
      </c>
      <c r="GG326" s="94">
        <f>GD326/GF326</f>
        <v>0.63235294117647056</v>
      </c>
      <c r="GI326" s="18" t="s">
        <v>220</v>
      </c>
      <c r="GJ326" s="76">
        <v>8.8000000000000007</v>
      </c>
      <c r="GK326" s="18">
        <v>640</v>
      </c>
      <c r="GL326" s="39">
        <f>GK326/SQRT(3)</f>
        <v>369.50417228136052</v>
      </c>
      <c r="GM326" s="14">
        <v>800</v>
      </c>
      <c r="GN326" s="200">
        <v>12</v>
      </c>
      <c r="GV326" s="208" t="s">
        <v>445</v>
      </c>
      <c r="GW326" s="209"/>
      <c r="GX326" s="200"/>
      <c r="GY326" s="200"/>
      <c r="GZ326" s="200"/>
      <c r="HA326" s="200"/>
      <c r="HB326" s="200"/>
      <c r="HC326" s="200"/>
      <c r="HD326" s="200"/>
      <c r="HE326" s="200"/>
      <c r="HF326" s="200"/>
      <c r="HG326" s="200"/>
      <c r="HH326" s="200"/>
      <c r="HI326" s="200"/>
    </row>
    <row r="327" spans="23:273" ht="12" customHeight="1">
      <c r="DE327" s="145"/>
      <c r="FY327" s="8" t="s">
        <v>154</v>
      </c>
      <c r="FZ327" s="8">
        <v>275</v>
      </c>
      <c r="GA327" s="8">
        <v>160</v>
      </c>
      <c r="GB327" s="8">
        <v>430</v>
      </c>
      <c r="GC327" s="96">
        <f>FZ327/GB327</f>
        <v>0.63953488372093026</v>
      </c>
      <c r="GD327" s="8">
        <v>255</v>
      </c>
      <c r="GE327" s="8">
        <v>147</v>
      </c>
      <c r="GF327" s="8">
        <v>410</v>
      </c>
      <c r="GG327" s="96"/>
      <c r="GI327" s="18" t="s">
        <v>221</v>
      </c>
      <c r="GJ327" s="76">
        <v>10.9</v>
      </c>
      <c r="GK327" s="18">
        <v>900</v>
      </c>
      <c r="GL327" s="39">
        <f>GK327/SQRT(3)</f>
        <v>519.6152422706632</v>
      </c>
      <c r="GM327" s="14">
        <v>1000</v>
      </c>
      <c r="GN327" s="200">
        <v>9</v>
      </c>
      <c r="GV327" s="201" t="s">
        <v>442</v>
      </c>
      <c r="GW327" s="156"/>
      <c r="GX327" s="156"/>
      <c r="GY327" s="156"/>
      <c r="GZ327" s="156"/>
      <c r="HA327" s="156"/>
      <c r="HB327" s="156"/>
      <c r="HC327" s="156"/>
      <c r="HD327" s="156"/>
      <c r="HE327" s="156"/>
      <c r="HF327" s="156"/>
      <c r="HG327" s="156"/>
      <c r="HH327" s="156"/>
      <c r="HI327" s="157"/>
    </row>
    <row r="328" spans="23:273" ht="12" customHeight="1">
      <c r="DE328" s="145"/>
      <c r="EB328" s="250"/>
      <c r="EC328" s="250"/>
      <c r="ED328" s="250"/>
      <c r="FY328" s="14" t="s">
        <v>149</v>
      </c>
      <c r="FZ328" s="14">
        <v>355</v>
      </c>
      <c r="GA328" s="14">
        <v>205</v>
      </c>
      <c r="GB328" s="14">
        <v>510</v>
      </c>
      <c r="GC328" s="95">
        <f>FZ328/GB328</f>
        <v>0.69607843137254899</v>
      </c>
      <c r="GD328" s="14">
        <v>335</v>
      </c>
      <c r="GE328" s="14">
        <v>193</v>
      </c>
      <c r="GF328" s="14">
        <v>490</v>
      </c>
      <c r="GG328" s="95">
        <f>GD328/GF328</f>
        <v>0.68367346938775508</v>
      </c>
      <c r="GI328" s="34" t="s">
        <v>222</v>
      </c>
      <c r="GJ328" s="82" t="s">
        <v>358</v>
      </c>
      <c r="GK328" s="34">
        <v>435</v>
      </c>
      <c r="GL328" s="199">
        <f>GK328/SQRT(3)</f>
        <v>251.14736709748723</v>
      </c>
      <c r="GM328" s="199">
        <f>GK328*1.08</f>
        <v>469.8</v>
      </c>
      <c r="GN328" s="168">
        <v>5</v>
      </c>
      <c r="GV328" s="18" t="s">
        <v>360</v>
      </c>
      <c r="GW328" s="162" t="s">
        <v>363</v>
      </c>
      <c r="GX328" s="12"/>
      <c r="GY328" s="12"/>
      <c r="GZ328" s="12"/>
      <c r="HA328" s="12"/>
      <c r="HB328" s="12"/>
      <c r="HC328" s="12"/>
      <c r="HD328" s="12"/>
      <c r="HE328" s="12"/>
      <c r="HF328" s="12"/>
      <c r="HG328" s="12"/>
      <c r="HH328" s="12"/>
      <c r="HI328" s="12"/>
      <c r="HM328" s="1"/>
      <c r="HN328" s="1"/>
      <c r="HO328" s="1"/>
      <c r="HP328" s="1"/>
      <c r="HQ328" s="1"/>
      <c r="HR328" s="1"/>
      <c r="HS328" s="1"/>
      <c r="HT328" s="1"/>
      <c r="HU328" s="1"/>
      <c r="HV328" s="1"/>
      <c r="HW328" s="1"/>
      <c r="IA328" s="1"/>
      <c r="IB328" s="1"/>
      <c r="IC328" s="1"/>
    </row>
    <row r="329" spans="23:273" ht="12" customHeight="1">
      <c r="DE329" s="145"/>
      <c r="EB329" s="250"/>
      <c r="EC329" s="250"/>
      <c r="ED329" s="250"/>
      <c r="FY329" s="28" t="s">
        <v>150</v>
      </c>
      <c r="FZ329" s="28">
        <v>460</v>
      </c>
      <c r="GA329" s="28">
        <v>265</v>
      </c>
      <c r="GB329" s="28">
        <v>550</v>
      </c>
      <c r="GC329" s="212">
        <f>FZ329/GB329</f>
        <v>0.83636363636363631</v>
      </c>
      <c r="GD329" s="28">
        <v>430</v>
      </c>
      <c r="GE329" s="28">
        <v>248</v>
      </c>
      <c r="GF329" s="28">
        <v>530</v>
      </c>
      <c r="GG329" s="212">
        <f>GD329/GF329</f>
        <v>0.81132075471698117</v>
      </c>
      <c r="GV329" s="18" t="s">
        <v>444</v>
      </c>
      <c r="GW329" s="164" t="s">
        <v>367</v>
      </c>
      <c r="GX329" s="14"/>
      <c r="GY329" s="14"/>
      <c r="GZ329" s="14"/>
      <c r="HA329" s="14"/>
      <c r="HB329" s="14"/>
      <c r="HC329" s="14"/>
      <c r="HD329" s="14"/>
      <c r="HE329" s="14"/>
      <c r="HF329" s="14"/>
      <c r="HG329" s="14"/>
      <c r="HH329" s="14"/>
      <c r="HI329" s="14"/>
    </row>
    <row r="330" spans="23:273" ht="12" customHeight="1">
      <c r="EB330" s="250"/>
      <c r="EC330" s="250"/>
      <c r="ED330" s="250"/>
      <c r="GV330" s="34" t="s">
        <v>370</v>
      </c>
      <c r="GW330" s="163" t="s">
        <v>369</v>
      </c>
      <c r="GX330" s="203"/>
      <c r="GY330" s="203"/>
      <c r="GZ330" s="203"/>
      <c r="HA330" s="203"/>
      <c r="HB330" s="203"/>
      <c r="HC330" s="203"/>
      <c r="HD330" s="203"/>
      <c r="HE330" s="203"/>
      <c r="HF330" s="203"/>
      <c r="HG330" s="203"/>
      <c r="HH330" s="203"/>
      <c r="HI330" s="203"/>
    </row>
    <row r="331" spans="23:273" ht="12" customHeight="1">
      <c r="EB331" s="250"/>
      <c r="EC331" s="250"/>
      <c r="ED331" s="250"/>
      <c r="FY331" s="171" t="s">
        <v>260</v>
      </c>
      <c r="FZ331" s="171"/>
      <c r="GA331" s="171"/>
      <c r="GB331" s="171"/>
      <c r="GI331" s="160" t="s">
        <v>223</v>
      </c>
      <c r="GJ331" s="202" t="s">
        <v>198</v>
      </c>
      <c r="GK331" s="154">
        <v>5</v>
      </c>
      <c r="GL331" s="154">
        <v>6</v>
      </c>
      <c r="GM331" s="154">
        <v>8</v>
      </c>
      <c r="GN331" s="154">
        <v>10</v>
      </c>
      <c r="GO331" s="154">
        <v>12</v>
      </c>
      <c r="GP331" s="154">
        <v>16</v>
      </c>
      <c r="GQ331" s="154">
        <v>20</v>
      </c>
      <c r="GR331" s="154">
        <v>24</v>
      </c>
      <c r="GS331" s="154">
        <v>26</v>
      </c>
      <c r="GT331" s="154">
        <v>30</v>
      </c>
      <c r="GV331" s="201" t="s">
        <v>368</v>
      </c>
      <c r="GW331" s="156"/>
      <c r="GX331" s="156"/>
      <c r="GY331" s="156"/>
      <c r="GZ331" s="156"/>
      <c r="HA331" s="156"/>
      <c r="HB331" s="156"/>
      <c r="HC331" s="156"/>
      <c r="HD331" s="156"/>
      <c r="HE331" s="156"/>
      <c r="HF331" s="156"/>
      <c r="HG331" s="156"/>
      <c r="HH331" s="156"/>
      <c r="HI331" s="157"/>
    </row>
    <row r="332" spans="23:273" ht="12" customHeight="1">
      <c r="EB332" s="250"/>
      <c r="EC332" s="250"/>
      <c r="ED332" s="250"/>
      <c r="EE332" s="250"/>
      <c r="FY332" s="126" t="s">
        <v>256</v>
      </c>
      <c r="FZ332" s="127"/>
      <c r="GA332" s="97" t="s">
        <v>257</v>
      </c>
      <c r="GB332" s="128">
        <v>7850</v>
      </c>
      <c r="GI332" s="18" t="s">
        <v>394</v>
      </c>
      <c r="GJ332" s="164" t="s">
        <v>390</v>
      </c>
      <c r="GK332" s="204">
        <v>14.2</v>
      </c>
      <c r="GL332" s="204">
        <v>20.100000000000001</v>
      </c>
      <c r="GM332" s="204">
        <v>36.6</v>
      </c>
      <c r="GN332" s="204">
        <v>58</v>
      </c>
      <c r="GO332" s="204">
        <v>84</v>
      </c>
      <c r="GP332" s="204">
        <v>157</v>
      </c>
      <c r="GQ332" s="204">
        <v>245</v>
      </c>
      <c r="GR332" s="204">
        <v>353</v>
      </c>
      <c r="GS332" s="204">
        <v>459</v>
      </c>
      <c r="GT332" s="204">
        <v>561</v>
      </c>
      <c r="GV332" s="29" t="s">
        <v>362</v>
      </c>
      <c r="GW332" s="161" t="s">
        <v>361</v>
      </c>
      <c r="GX332" s="12"/>
      <c r="GY332" s="12"/>
      <c r="GZ332" s="12"/>
      <c r="HA332" s="12"/>
      <c r="HB332" s="12"/>
      <c r="HC332" s="12"/>
      <c r="HD332" s="12"/>
      <c r="HE332" s="12"/>
      <c r="HF332" s="12"/>
      <c r="HG332" s="12"/>
      <c r="HH332" s="12"/>
      <c r="HI332" s="12"/>
    </row>
    <row r="333" spans="23:273" ht="12" customHeight="1">
      <c r="EB333" s="250"/>
      <c r="EC333" s="250"/>
      <c r="ED333" s="250"/>
      <c r="EE333" s="250"/>
      <c r="FY333" s="100" t="s">
        <v>258</v>
      </c>
      <c r="FZ333" s="129"/>
      <c r="GA333" s="101" t="s">
        <v>279</v>
      </c>
      <c r="GB333" s="50">
        <v>210000</v>
      </c>
      <c r="GI333" s="34" t="s">
        <v>389</v>
      </c>
      <c r="GJ333" s="192" t="s">
        <v>390</v>
      </c>
      <c r="GK333" s="205">
        <f t="shared" ref="GK333:GT333" si="29">GK331^2*PI()/4</f>
        <v>19.634954084936208</v>
      </c>
      <c r="GL333" s="205">
        <f t="shared" si="29"/>
        <v>28.274333882308138</v>
      </c>
      <c r="GM333" s="205">
        <f t="shared" si="29"/>
        <v>50.26548245743669</v>
      </c>
      <c r="GN333" s="205">
        <f t="shared" si="29"/>
        <v>78.539816339744831</v>
      </c>
      <c r="GO333" s="205">
        <f t="shared" si="29"/>
        <v>113.09733552923255</v>
      </c>
      <c r="GP333" s="205">
        <f t="shared" si="29"/>
        <v>201.06192982974676</v>
      </c>
      <c r="GQ333" s="205">
        <f t="shared" si="29"/>
        <v>314.15926535897933</v>
      </c>
      <c r="GR333" s="205">
        <f t="shared" si="29"/>
        <v>452.38934211693021</v>
      </c>
      <c r="GS333" s="205">
        <f t="shared" si="29"/>
        <v>530.92915845667505</v>
      </c>
      <c r="GT333" s="205">
        <f t="shared" si="29"/>
        <v>706.85834705770344</v>
      </c>
      <c r="GV333" s="18" t="s">
        <v>371</v>
      </c>
      <c r="GW333" s="162" t="s">
        <v>364</v>
      </c>
      <c r="GX333" s="14"/>
      <c r="GY333" s="14"/>
      <c r="GZ333" s="14"/>
      <c r="HA333" s="14"/>
      <c r="HB333" s="14"/>
      <c r="HC333" s="14"/>
      <c r="HD333" s="14"/>
      <c r="HE333" s="14"/>
      <c r="HF333" s="14"/>
      <c r="HG333" s="14"/>
      <c r="HH333" s="14"/>
      <c r="HI333" s="14"/>
    </row>
    <row r="334" spans="23:273" ht="12" customHeight="1">
      <c r="EB334" s="250"/>
      <c r="EC334" s="250"/>
      <c r="ED334" s="250"/>
      <c r="EE334" s="250"/>
      <c r="FY334" s="98" t="s">
        <v>19</v>
      </c>
      <c r="FZ334" s="127"/>
      <c r="GA334" s="99" t="s">
        <v>280</v>
      </c>
      <c r="GB334" s="128">
        <v>81000</v>
      </c>
      <c r="GV334" s="18" t="s">
        <v>372</v>
      </c>
      <c r="GW334" s="162" t="s">
        <v>365</v>
      </c>
      <c r="GX334" s="206"/>
      <c r="GY334" s="206"/>
      <c r="GZ334" s="206"/>
      <c r="HA334" s="206"/>
      <c r="HB334" s="206"/>
      <c r="HC334" s="206"/>
      <c r="HD334" s="206"/>
      <c r="HE334" s="206"/>
      <c r="HF334" s="206"/>
      <c r="HG334" s="206"/>
      <c r="HH334" s="206"/>
      <c r="HI334" s="206"/>
    </row>
    <row r="335" spans="23:273" ht="12" customHeight="1">
      <c r="EB335" s="250"/>
      <c r="EC335" s="250"/>
      <c r="ED335" s="250"/>
      <c r="EE335" s="250"/>
      <c r="FY335" s="130" t="s">
        <v>448</v>
      </c>
      <c r="FZ335" s="129"/>
      <c r="GA335" s="131" t="s">
        <v>281</v>
      </c>
      <c r="GB335" s="132">
        <v>0.3</v>
      </c>
      <c r="GV335" s="18" t="s">
        <v>258</v>
      </c>
      <c r="GW335" s="162" t="s">
        <v>366</v>
      </c>
      <c r="GX335" s="39"/>
      <c r="GY335" s="39"/>
      <c r="GZ335" s="39"/>
      <c r="HA335" s="39"/>
      <c r="HB335" s="39"/>
      <c r="HC335" s="39"/>
      <c r="HD335" s="39"/>
      <c r="HE335" s="39"/>
      <c r="HF335" s="39"/>
      <c r="HG335" s="39"/>
      <c r="HH335" s="39"/>
      <c r="HI335" s="39"/>
    </row>
    <row r="336" spans="23:273" ht="12" customHeight="1">
      <c r="EB336" s="250"/>
      <c r="EC336" s="250"/>
      <c r="ED336" s="250"/>
      <c r="EE336" s="250"/>
      <c r="FY336" s="126" t="s">
        <v>259</v>
      </c>
      <c r="FZ336" s="127"/>
      <c r="GA336" s="251" t="s">
        <v>282</v>
      </c>
      <c r="GB336" s="133">
        <f>10*10^-6</f>
        <v>9.9999999999999991E-6</v>
      </c>
      <c r="GV336" s="165" t="s">
        <v>259</v>
      </c>
      <c r="GW336" s="166" t="s">
        <v>304</v>
      </c>
      <c r="GX336" s="207">
        <f>10.4*10^-6</f>
        <v>1.04E-5</v>
      </c>
      <c r="GY336" s="207">
        <f>16*10^-6</f>
        <v>1.5999999999999999E-5</v>
      </c>
      <c r="GZ336" s="207">
        <f>13*10^-6</f>
        <v>1.2999999999999999E-5</v>
      </c>
      <c r="HA336" s="207">
        <f>13*10^-6</f>
        <v>1.2999999999999999E-5</v>
      </c>
      <c r="HB336" s="207">
        <f>16*10^-6</f>
        <v>1.5999999999999999E-5</v>
      </c>
      <c r="HC336" s="207">
        <f>16*10^-6</f>
        <v>1.5999999999999999E-5</v>
      </c>
      <c r="HD336" s="207">
        <f>16*10^-6</f>
        <v>1.5999999999999999E-5</v>
      </c>
      <c r="HE336" s="207">
        <f>16*10^-6</f>
        <v>1.5999999999999999E-5</v>
      </c>
      <c r="HF336" s="207">
        <f>16*10^-6</f>
        <v>1.5999999999999999E-5</v>
      </c>
      <c r="HG336" s="207">
        <f>13*10^-6</f>
        <v>1.2999999999999999E-5</v>
      </c>
      <c r="HH336" s="207">
        <f>15.8*10^-6</f>
        <v>1.5800000000000001E-5</v>
      </c>
      <c r="HI336" s="207">
        <f>16.5*10^-6</f>
        <v>1.6499999999999998E-5</v>
      </c>
    </row>
    <row r="337" spans="38:239" ht="12" customHeight="1">
      <c r="EB337" s="250"/>
      <c r="EC337" s="250"/>
      <c r="ED337" s="250"/>
      <c r="EE337" s="250"/>
      <c r="GV337" s="165" t="s">
        <v>424</v>
      </c>
      <c r="GW337" s="166" t="s">
        <v>334</v>
      </c>
      <c r="GX337" s="39">
        <v>25</v>
      </c>
      <c r="GY337" s="39">
        <v>15</v>
      </c>
      <c r="GZ337" s="39">
        <v>15</v>
      </c>
      <c r="HA337" s="39">
        <v>15</v>
      </c>
      <c r="HB337" s="39">
        <v>15</v>
      </c>
      <c r="HC337" s="39">
        <v>15</v>
      </c>
      <c r="HD337" s="39">
        <v>15</v>
      </c>
      <c r="HE337" s="39">
        <v>15</v>
      </c>
      <c r="HF337" s="39">
        <v>15</v>
      </c>
      <c r="HG337" s="39">
        <v>15</v>
      </c>
      <c r="HH337" s="39">
        <v>12</v>
      </c>
      <c r="HI337" s="39">
        <v>15</v>
      </c>
    </row>
    <row r="338" spans="38:239" ht="12" customHeight="1">
      <c r="AM338" s="84"/>
      <c r="AN338" s="84"/>
      <c r="AO338" s="84"/>
      <c r="AP338" s="84"/>
      <c r="AQ338" s="84"/>
      <c r="AR338" s="84"/>
      <c r="AS338" s="84"/>
      <c r="AT338" s="84"/>
      <c r="AU338" s="84"/>
      <c r="AV338" s="84"/>
      <c r="AW338" s="84"/>
      <c r="AX338" s="84"/>
      <c r="AY338" s="84"/>
      <c r="AZ338" s="84"/>
      <c r="BA338" s="84"/>
      <c r="BB338" s="84"/>
      <c r="BC338" s="84"/>
      <c r="BD338" s="84"/>
      <c r="BE338" s="84"/>
      <c r="BF338" s="84"/>
      <c r="BG338" s="84"/>
      <c r="BH338" s="84"/>
      <c r="BI338" s="84"/>
      <c r="BJ338" s="84"/>
      <c r="BK338" s="84"/>
      <c r="BL338" s="84"/>
      <c r="BM338" s="84"/>
      <c r="BN338" s="84"/>
      <c r="BO338" s="84"/>
      <c r="BP338" s="84"/>
      <c r="BQ338" s="84"/>
      <c r="BR338" s="84"/>
      <c r="BS338" s="84"/>
      <c r="BT338" s="84"/>
      <c r="BU338" s="84"/>
      <c r="BV338" s="84"/>
      <c r="BW338" s="84"/>
      <c r="BX338" s="84"/>
      <c r="BY338" s="84"/>
      <c r="BZ338" s="84"/>
      <c r="CA338" s="84"/>
      <c r="CB338" s="84"/>
      <c r="CC338" s="84"/>
      <c r="CD338" s="84"/>
      <c r="CE338" s="84"/>
      <c r="CF338" s="84"/>
      <c r="CG338" s="84"/>
      <c r="CH338" s="84"/>
      <c r="CI338" s="84"/>
      <c r="CJ338" s="84"/>
      <c r="CK338" s="84"/>
      <c r="CL338" s="84"/>
      <c r="CM338" s="84"/>
      <c r="CN338" s="84"/>
      <c r="CO338" s="84"/>
      <c r="CP338" s="84"/>
      <c r="CQ338" s="84"/>
      <c r="CR338" s="84"/>
      <c r="CS338" s="84"/>
      <c r="CT338" s="84"/>
      <c r="CU338" s="84"/>
      <c r="CV338" s="84"/>
      <c r="CW338" s="84"/>
      <c r="CX338" s="84"/>
      <c r="CY338" s="84"/>
      <c r="CZ338" s="84"/>
      <c r="DA338" s="84"/>
      <c r="DB338" s="84"/>
      <c r="DC338" s="84"/>
      <c r="EB338" s="250"/>
      <c r="EC338" s="250"/>
      <c r="ED338" s="250"/>
      <c r="EE338" s="250"/>
      <c r="GV338" s="1620" t="s">
        <v>410</v>
      </c>
      <c r="GW338" s="1622"/>
      <c r="GX338" s="1626" t="s">
        <v>420</v>
      </c>
      <c r="GY338" s="1626" t="s">
        <v>419</v>
      </c>
      <c r="GZ338" s="1626" t="s">
        <v>418</v>
      </c>
      <c r="HA338" s="1626" t="s">
        <v>417</v>
      </c>
      <c r="HB338" s="1626" t="s">
        <v>416</v>
      </c>
      <c r="HC338" s="1626" t="s">
        <v>411</v>
      </c>
      <c r="HD338" s="1626" t="s">
        <v>415</v>
      </c>
      <c r="HE338" s="1626" t="s">
        <v>414</v>
      </c>
      <c r="HF338" s="1626" t="s">
        <v>413</v>
      </c>
      <c r="HG338" s="1626" t="s">
        <v>412</v>
      </c>
      <c r="HH338" s="1626" t="s">
        <v>411</v>
      </c>
      <c r="HI338" s="1626" t="s">
        <v>421</v>
      </c>
    </row>
    <row r="339" spans="38:239" ht="12" customHeight="1">
      <c r="AM339" s="112"/>
      <c r="AN339" s="112"/>
      <c r="AO339" s="112"/>
      <c r="AP339" s="112"/>
      <c r="AQ339" s="112"/>
      <c r="AR339" s="112"/>
      <c r="AS339" s="112"/>
      <c r="AT339" s="112"/>
      <c r="AU339" s="112"/>
      <c r="AV339" s="112"/>
      <c r="AW339" s="112"/>
      <c r="AX339" s="112"/>
      <c r="AY339" s="112"/>
      <c r="AZ339" s="112"/>
      <c r="BA339" s="112"/>
      <c r="BB339" s="112"/>
      <c r="BC339" s="112"/>
      <c r="BD339" s="112"/>
      <c r="BE339" s="112"/>
      <c r="BF339" s="112"/>
      <c r="BG339" s="112"/>
      <c r="BH339" s="112"/>
      <c r="BI339" s="112"/>
      <c r="BJ339" s="112"/>
      <c r="BK339" s="112"/>
      <c r="BL339" s="112"/>
      <c r="BM339" s="112"/>
      <c r="BN339" s="112"/>
      <c r="BO339" s="112"/>
      <c r="BP339" s="112"/>
      <c r="BQ339" s="112"/>
      <c r="BR339" s="112"/>
      <c r="BS339" s="112"/>
      <c r="BT339" s="112"/>
      <c r="BU339" s="112"/>
      <c r="BV339" s="112"/>
      <c r="BW339" s="112"/>
      <c r="BX339" s="112"/>
      <c r="BY339" s="112"/>
      <c r="BZ339" s="112"/>
      <c r="CA339" s="112"/>
      <c r="CB339" s="112"/>
      <c r="CC339" s="112"/>
      <c r="CD339" s="112"/>
      <c r="CE339" s="112"/>
      <c r="CF339" s="112"/>
      <c r="CG339" s="112"/>
      <c r="CH339" s="112"/>
      <c r="CI339" s="112"/>
      <c r="CJ339" s="112"/>
      <c r="CK339" s="112"/>
      <c r="CL339" s="112"/>
      <c r="CM339" s="112"/>
      <c r="CN339" s="112"/>
      <c r="CO339" s="112"/>
      <c r="CP339" s="112"/>
      <c r="CQ339" s="112"/>
      <c r="CR339" s="112"/>
      <c r="CS339" s="112"/>
      <c r="CT339" s="112"/>
      <c r="CU339" s="112"/>
      <c r="CV339" s="112"/>
      <c r="CW339" s="112"/>
      <c r="CX339" s="112"/>
      <c r="CY339" s="112"/>
      <c r="CZ339" s="112"/>
      <c r="DA339" s="112"/>
      <c r="DB339" s="112"/>
      <c r="DC339" s="112"/>
      <c r="EB339" s="250"/>
      <c r="EC339" s="250"/>
      <c r="ED339" s="250"/>
      <c r="EE339" s="250"/>
      <c r="GV339" s="1620"/>
      <c r="GW339" s="1622"/>
      <c r="GX339" s="1626"/>
      <c r="GY339" s="1626"/>
      <c r="GZ339" s="1626"/>
      <c r="HA339" s="1626"/>
      <c r="HB339" s="1626"/>
      <c r="HC339" s="1626"/>
      <c r="HD339" s="1626"/>
      <c r="HE339" s="1626"/>
      <c r="HF339" s="1626"/>
      <c r="HG339" s="1626"/>
      <c r="HH339" s="1626"/>
      <c r="HI339" s="1626"/>
    </row>
    <row r="340" spans="38:239" ht="12" customHeight="1">
      <c r="AM340" s="112"/>
      <c r="AN340" s="112"/>
      <c r="AO340" s="112"/>
      <c r="AP340" s="112"/>
      <c r="AQ340" s="112"/>
      <c r="AR340" s="112"/>
      <c r="AS340" s="112"/>
      <c r="AT340" s="112"/>
      <c r="AU340" s="112"/>
      <c r="AV340" s="112"/>
      <c r="AW340" s="112"/>
      <c r="AX340" s="112"/>
      <c r="AY340" s="112"/>
      <c r="AZ340" s="112"/>
      <c r="BA340" s="112"/>
      <c r="BB340" s="112"/>
      <c r="BC340" s="112"/>
      <c r="BD340" s="112"/>
      <c r="BE340" s="112"/>
      <c r="BF340" s="112"/>
      <c r="BG340" s="112"/>
      <c r="BH340" s="112"/>
      <c r="BI340" s="112"/>
      <c r="BJ340" s="112"/>
      <c r="BK340" s="112"/>
      <c r="BL340" s="112"/>
      <c r="BM340" s="112"/>
      <c r="BN340" s="112"/>
      <c r="BO340" s="112"/>
      <c r="BP340" s="112"/>
      <c r="BQ340" s="112"/>
      <c r="BR340" s="112"/>
      <c r="BS340" s="112"/>
      <c r="BT340" s="112"/>
      <c r="BU340" s="112"/>
      <c r="BV340" s="112"/>
      <c r="BW340" s="112"/>
      <c r="BX340" s="112"/>
      <c r="BY340" s="112"/>
      <c r="BZ340" s="112"/>
      <c r="CA340" s="112"/>
      <c r="CB340" s="112"/>
      <c r="CC340" s="112"/>
      <c r="CD340" s="112"/>
      <c r="CE340" s="112"/>
      <c r="CF340" s="112"/>
      <c r="CG340" s="112"/>
      <c r="CH340" s="112"/>
      <c r="CI340" s="112"/>
      <c r="CJ340" s="112"/>
      <c r="CK340" s="112"/>
      <c r="CL340" s="112"/>
      <c r="CM340" s="112"/>
      <c r="CN340" s="112"/>
      <c r="CO340" s="112"/>
      <c r="CP340" s="112"/>
      <c r="CQ340" s="112"/>
      <c r="CR340" s="112"/>
      <c r="CS340" s="112"/>
      <c r="CT340" s="112"/>
      <c r="CU340" s="112"/>
      <c r="CV340" s="112"/>
      <c r="CW340" s="112"/>
      <c r="CX340" s="112"/>
      <c r="CY340" s="112"/>
      <c r="CZ340" s="112"/>
      <c r="DA340" s="112"/>
      <c r="DB340" s="112"/>
      <c r="DC340" s="112"/>
      <c r="DE340" s="145"/>
      <c r="EB340" s="250"/>
      <c r="EC340" s="250"/>
      <c r="ED340" s="250"/>
      <c r="EE340" s="250"/>
      <c r="GV340" s="1621"/>
      <c r="GW340" s="1623"/>
      <c r="GX340" s="1627"/>
      <c r="GY340" s="1627"/>
      <c r="GZ340" s="1627"/>
      <c r="HA340" s="1627"/>
      <c r="HB340" s="1627"/>
      <c r="HC340" s="1627"/>
      <c r="HD340" s="1627"/>
      <c r="HE340" s="1627"/>
      <c r="HF340" s="1627"/>
      <c r="HG340" s="1627"/>
      <c r="HH340" s="1627"/>
      <c r="HI340" s="1627"/>
    </row>
    <row r="341" spans="38:239" ht="12" customHeight="1">
      <c r="AM341" s="112"/>
      <c r="AN341" s="112"/>
      <c r="AO341" s="112"/>
      <c r="AP341" s="112"/>
      <c r="AQ341" s="112"/>
      <c r="AR341" s="112"/>
      <c r="AS341" s="112"/>
      <c r="AT341" s="112"/>
      <c r="AU341" s="112"/>
      <c r="AV341" s="112"/>
      <c r="AW341" s="112"/>
      <c r="AX341" s="112"/>
      <c r="AY341" s="112"/>
      <c r="AZ341" s="112"/>
      <c r="BA341" s="112"/>
      <c r="BB341" s="112"/>
      <c r="BC341" s="112"/>
      <c r="BD341" s="112"/>
      <c r="BE341" s="112"/>
      <c r="BF341" s="112"/>
      <c r="BG341" s="112"/>
      <c r="BH341" s="112"/>
      <c r="BI341" s="112"/>
      <c r="BJ341" s="112"/>
      <c r="BK341" s="112"/>
      <c r="BL341" s="112"/>
      <c r="BM341" s="112"/>
      <c r="BN341" s="112"/>
      <c r="BO341" s="112"/>
      <c r="BP341" s="112"/>
      <c r="BQ341" s="112"/>
      <c r="BR341" s="112"/>
      <c r="BS341" s="112"/>
      <c r="BT341" s="112"/>
      <c r="BU341" s="112"/>
      <c r="BV341" s="112"/>
      <c r="BW341" s="112"/>
      <c r="BX341" s="112"/>
      <c r="BY341" s="112"/>
      <c r="BZ341" s="112"/>
      <c r="CA341" s="112"/>
      <c r="CB341" s="112"/>
      <c r="CC341" s="112"/>
      <c r="CD341" s="112"/>
      <c r="CE341" s="112"/>
      <c r="CF341" s="112"/>
      <c r="CG341" s="112"/>
      <c r="CH341" s="112"/>
      <c r="CI341" s="112"/>
      <c r="CJ341" s="112"/>
      <c r="CK341" s="112"/>
      <c r="CL341" s="112"/>
      <c r="CM341" s="112"/>
      <c r="CN341" s="112"/>
      <c r="CO341" s="112"/>
      <c r="CP341" s="112"/>
      <c r="CQ341" s="112"/>
      <c r="CR341" s="112"/>
      <c r="CS341" s="112"/>
      <c r="CT341" s="112"/>
      <c r="CU341" s="112"/>
      <c r="CV341" s="112"/>
      <c r="CW341" s="112"/>
      <c r="CX341" s="112"/>
      <c r="CY341" s="112"/>
      <c r="CZ341" s="112"/>
      <c r="DA341" s="112"/>
      <c r="DB341" s="112"/>
      <c r="DC341" s="112"/>
      <c r="DE341" s="145"/>
      <c r="EB341" s="250"/>
      <c r="EC341" s="250"/>
      <c r="ED341" s="250"/>
      <c r="EE341" s="250"/>
    </row>
    <row r="342" spans="38:239" ht="12" customHeight="1">
      <c r="AM342" s="112"/>
      <c r="AN342" s="112"/>
      <c r="AO342" s="112"/>
      <c r="AP342" s="112"/>
      <c r="AQ342" s="112"/>
      <c r="AR342" s="112"/>
      <c r="AS342" s="112"/>
      <c r="AT342" s="112"/>
      <c r="AU342" s="112"/>
      <c r="AV342" s="112"/>
      <c r="AW342" s="112"/>
      <c r="AX342" s="112"/>
      <c r="AY342" s="112"/>
      <c r="AZ342" s="112"/>
      <c r="BA342" s="112"/>
      <c r="BB342" s="112"/>
      <c r="BC342" s="112"/>
      <c r="BD342" s="112"/>
      <c r="BE342" s="112"/>
      <c r="BF342" s="112"/>
      <c r="BG342" s="112"/>
      <c r="BH342" s="112"/>
      <c r="BI342" s="112"/>
      <c r="BJ342" s="112"/>
      <c r="BK342" s="112"/>
      <c r="BL342" s="112"/>
      <c r="BM342" s="112"/>
      <c r="BN342" s="112"/>
      <c r="BO342" s="112"/>
      <c r="BP342" s="112"/>
      <c r="BQ342" s="112"/>
      <c r="BR342" s="112"/>
      <c r="BS342" s="112"/>
      <c r="BT342" s="112"/>
      <c r="BU342" s="112"/>
      <c r="BV342" s="112"/>
      <c r="BW342" s="112"/>
      <c r="BX342" s="112"/>
      <c r="BY342" s="112"/>
      <c r="BZ342" s="112"/>
      <c r="CA342" s="112"/>
      <c r="CB342" s="112"/>
      <c r="CC342" s="112"/>
      <c r="CD342" s="112"/>
      <c r="CE342" s="112"/>
      <c r="CF342" s="112"/>
      <c r="CG342" s="112"/>
      <c r="CH342" s="112"/>
      <c r="CI342" s="112"/>
      <c r="CJ342" s="112"/>
      <c r="CK342" s="112"/>
      <c r="CL342" s="112"/>
      <c r="CM342" s="112"/>
      <c r="CN342" s="112"/>
      <c r="CO342" s="112"/>
      <c r="CP342" s="112"/>
      <c r="CQ342" s="112"/>
      <c r="CR342" s="112"/>
      <c r="CS342" s="112"/>
      <c r="CT342" s="112"/>
      <c r="CU342" s="112"/>
      <c r="CV342" s="112"/>
      <c r="CW342" s="112"/>
      <c r="CX342" s="112"/>
      <c r="CY342" s="112"/>
      <c r="CZ342" s="112"/>
      <c r="DA342" s="112"/>
      <c r="DB342" s="112"/>
      <c r="DC342" s="112"/>
      <c r="DE342" s="145"/>
      <c r="EB342" s="250"/>
      <c r="EC342" s="250"/>
      <c r="ED342" s="250"/>
      <c r="EE342" s="250"/>
    </row>
    <row r="343" spans="38:239" ht="12" customHeight="1">
      <c r="AM343" s="112"/>
      <c r="AN343" s="112"/>
      <c r="AO343" s="112"/>
      <c r="AP343" s="112"/>
      <c r="AQ343" s="112"/>
      <c r="AR343" s="112"/>
      <c r="AS343" s="112"/>
      <c r="AT343" s="112"/>
      <c r="AU343" s="112"/>
      <c r="AV343" s="112"/>
      <c r="AW343" s="112"/>
      <c r="AX343" s="112"/>
      <c r="AY343" s="112"/>
      <c r="AZ343" s="112"/>
      <c r="BA343" s="112"/>
      <c r="BB343" s="112"/>
      <c r="BC343" s="112"/>
      <c r="BD343" s="112"/>
      <c r="BE343" s="112"/>
      <c r="BF343" s="112"/>
      <c r="BG343" s="112"/>
      <c r="BH343" s="112"/>
      <c r="BI343" s="112"/>
      <c r="BJ343" s="112"/>
      <c r="BK343" s="112"/>
      <c r="BL343" s="112"/>
      <c r="BM343" s="112"/>
      <c r="BN343" s="112"/>
      <c r="BO343" s="112"/>
      <c r="BP343" s="112"/>
      <c r="BQ343" s="112"/>
      <c r="BR343" s="112"/>
      <c r="BS343" s="112"/>
      <c r="BT343" s="112"/>
      <c r="BU343" s="112"/>
      <c r="BV343" s="112"/>
      <c r="BW343" s="112"/>
      <c r="BX343" s="112"/>
      <c r="BY343" s="112"/>
      <c r="BZ343" s="112"/>
      <c r="CA343" s="112"/>
      <c r="CB343" s="112"/>
      <c r="CC343" s="112"/>
      <c r="CD343" s="112"/>
      <c r="CE343" s="112"/>
      <c r="CF343" s="112"/>
      <c r="CG343" s="112"/>
      <c r="CH343" s="112"/>
      <c r="CI343" s="112"/>
      <c r="CJ343" s="112"/>
      <c r="CK343" s="112"/>
      <c r="CL343" s="112"/>
      <c r="CM343" s="112"/>
      <c r="CN343" s="112"/>
      <c r="CO343" s="112"/>
      <c r="CP343" s="112"/>
      <c r="CQ343" s="112"/>
      <c r="CR343" s="112"/>
      <c r="CS343" s="112"/>
      <c r="CT343" s="112"/>
      <c r="CU343" s="112"/>
      <c r="CV343" s="112"/>
      <c r="CW343" s="112"/>
      <c r="CX343" s="112"/>
      <c r="CY343" s="112"/>
      <c r="CZ343" s="112"/>
      <c r="DA343" s="112"/>
      <c r="DB343" s="112"/>
      <c r="DC343" s="112"/>
      <c r="DE343" s="145"/>
      <c r="EB343" s="250"/>
      <c r="EC343" s="250"/>
      <c r="ED343" s="250"/>
      <c r="EE343" s="250"/>
      <c r="GX343" s="44" t="s">
        <v>192</v>
      </c>
      <c r="GY343" s="45" t="s">
        <v>163</v>
      </c>
      <c r="GZ343" s="45" t="s">
        <v>151</v>
      </c>
      <c r="HA343" s="46" t="s">
        <v>193</v>
      </c>
      <c r="HB343" s="46" t="s">
        <v>147</v>
      </c>
    </row>
    <row r="344" spans="38:239" ht="12" customHeight="1">
      <c r="AM344" s="112"/>
      <c r="AN344" s="112"/>
      <c r="AO344" s="112"/>
      <c r="AP344" s="112"/>
      <c r="AQ344" s="112"/>
      <c r="AR344" s="112"/>
      <c r="AS344" s="112"/>
      <c r="AT344" s="112"/>
      <c r="AU344" s="112"/>
      <c r="AV344" s="112"/>
      <c r="AW344" s="112"/>
      <c r="AX344" s="112"/>
      <c r="AY344" s="112"/>
      <c r="AZ344" s="112"/>
      <c r="BA344" s="112"/>
      <c r="BB344" s="112"/>
      <c r="BC344" s="112"/>
      <c r="BD344" s="112"/>
      <c r="BE344" s="112"/>
      <c r="BF344" s="112"/>
      <c r="BG344" s="112"/>
      <c r="BH344" s="112"/>
      <c r="BI344" s="112"/>
      <c r="BJ344" s="112"/>
      <c r="BK344" s="112"/>
      <c r="BL344" s="112"/>
      <c r="BM344" s="112"/>
      <c r="BN344" s="112"/>
      <c r="BO344" s="112"/>
      <c r="BP344" s="112"/>
      <c r="BQ344" s="112"/>
      <c r="BR344" s="112"/>
      <c r="BS344" s="112"/>
      <c r="BT344" s="112"/>
      <c r="BU344" s="112"/>
      <c r="BV344" s="112"/>
      <c r="BW344" s="112"/>
      <c r="BX344" s="112"/>
      <c r="BY344" s="112"/>
      <c r="BZ344" s="112"/>
      <c r="CA344" s="112"/>
      <c r="CB344" s="112"/>
      <c r="CC344" s="112"/>
      <c r="CD344" s="112"/>
      <c r="CE344" s="112"/>
      <c r="CF344" s="112"/>
      <c r="CG344" s="112"/>
      <c r="CH344" s="112"/>
      <c r="CI344" s="112"/>
      <c r="CJ344" s="112"/>
      <c r="CK344" s="112"/>
      <c r="CL344" s="112"/>
      <c r="CM344" s="112"/>
      <c r="CN344" s="112"/>
      <c r="CO344" s="112"/>
      <c r="CP344" s="112"/>
      <c r="CQ344" s="112"/>
      <c r="CR344" s="112"/>
      <c r="CS344" s="112"/>
      <c r="CT344" s="112"/>
      <c r="CU344" s="112"/>
      <c r="CV344" s="112"/>
      <c r="CW344" s="112"/>
      <c r="CX344" s="112"/>
      <c r="CY344" s="112"/>
      <c r="CZ344" s="112"/>
      <c r="DA344" s="112"/>
      <c r="DB344" s="112"/>
      <c r="DC344" s="112"/>
      <c r="DE344" s="145"/>
      <c r="EB344" s="250"/>
      <c r="EC344" s="250"/>
      <c r="ED344" s="250"/>
      <c r="EE344" s="250"/>
      <c r="GX344" s="47">
        <v>1.4016</v>
      </c>
      <c r="GY344" s="47">
        <v>300</v>
      </c>
      <c r="GZ344" s="47">
        <v>480</v>
      </c>
      <c r="HA344" s="47">
        <v>28</v>
      </c>
      <c r="HB344" s="48">
        <f t="shared" ref="HB344:HB349" si="30">GY344/GZ344</f>
        <v>0.625</v>
      </c>
    </row>
    <row r="345" spans="38:239" ht="12" customHeight="1">
      <c r="AM345" s="84"/>
      <c r="AN345" s="84"/>
      <c r="AO345" s="84"/>
      <c r="AP345" s="84"/>
      <c r="AQ345" s="84"/>
      <c r="AR345" s="84"/>
      <c r="AS345" s="84"/>
      <c r="AT345" s="84"/>
      <c r="AU345" s="84"/>
      <c r="AV345" s="84"/>
      <c r="AW345" s="84"/>
      <c r="AX345" s="84"/>
      <c r="AY345" s="84"/>
      <c r="AZ345" s="84"/>
      <c r="BA345" s="84"/>
      <c r="BB345" s="84"/>
      <c r="BC345" s="84"/>
      <c r="BD345" s="84"/>
      <c r="BE345" s="84"/>
      <c r="BF345" s="84"/>
      <c r="BG345" s="84"/>
      <c r="BH345" s="84"/>
      <c r="BI345" s="84"/>
      <c r="BJ345" s="84"/>
      <c r="BK345" s="84"/>
      <c r="BL345" s="84"/>
      <c r="BM345" s="84"/>
      <c r="BN345" s="84"/>
      <c r="BO345" s="84"/>
      <c r="BP345" s="84"/>
      <c r="BQ345" s="84"/>
      <c r="BR345" s="84"/>
      <c r="BS345" s="84"/>
      <c r="BT345" s="84"/>
      <c r="BU345" s="84"/>
      <c r="BV345" s="84"/>
      <c r="BW345" s="84"/>
      <c r="BX345" s="84"/>
      <c r="BY345" s="84"/>
      <c r="BZ345" s="84"/>
      <c r="CA345" s="84"/>
      <c r="CB345" s="84"/>
      <c r="CC345" s="84"/>
      <c r="CD345" s="84"/>
      <c r="CE345" s="84"/>
      <c r="CF345" s="84"/>
      <c r="CG345" s="84"/>
      <c r="CH345" s="84"/>
      <c r="CI345" s="84"/>
      <c r="CJ345" s="84"/>
      <c r="CK345" s="84"/>
      <c r="CL345" s="84"/>
      <c r="CM345" s="84"/>
      <c r="CN345" s="84"/>
      <c r="CO345" s="84"/>
      <c r="CP345" s="84"/>
      <c r="CQ345" s="84"/>
      <c r="CR345" s="84"/>
      <c r="CS345" s="84"/>
      <c r="CT345" s="84"/>
      <c r="CU345" s="84"/>
      <c r="CV345" s="84"/>
      <c r="CW345" s="84"/>
      <c r="CX345" s="84"/>
      <c r="CY345" s="84"/>
      <c r="CZ345" s="84"/>
      <c r="DA345" s="84"/>
      <c r="DB345" s="84"/>
      <c r="DC345" s="84"/>
      <c r="DE345" s="145"/>
      <c r="EB345" s="250"/>
      <c r="EC345" s="250"/>
      <c r="ED345" s="250"/>
      <c r="EE345" s="250"/>
      <c r="GX345" s="49">
        <v>1.4400999999999999</v>
      </c>
      <c r="GY345" s="50">
        <v>370</v>
      </c>
      <c r="GZ345" s="50">
        <v>670</v>
      </c>
      <c r="HA345" s="49">
        <v>46</v>
      </c>
      <c r="HB345" s="51">
        <f t="shared" si="30"/>
        <v>0.55223880597014929</v>
      </c>
    </row>
    <row r="346" spans="38:239" ht="12" customHeight="1">
      <c r="AM346" s="84"/>
      <c r="AN346" s="84"/>
      <c r="AO346" s="84"/>
      <c r="AP346" s="84"/>
      <c r="AQ346" s="84"/>
      <c r="AR346" s="84"/>
      <c r="AS346" s="84"/>
      <c r="AT346" s="84"/>
      <c r="AU346" s="84"/>
      <c r="AV346" s="84"/>
      <c r="AW346" s="84"/>
      <c r="AX346" s="84"/>
      <c r="AY346" s="84"/>
      <c r="AZ346" s="84"/>
      <c r="BA346" s="84"/>
      <c r="BB346" s="84"/>
      <c r="BC346" s="84"/>
      <c r="BD346" s="84"/>
      <c r="BE346" s="84"/>
      <c r="BF346" s="84"/>
      <c r="BG346" s="84"/>
      <c r="BH346" s="84"/>
      <c r="BI346" s="84"/>
      <c r="BJ346" s="84"/>
      <c r="BK346" s="84"/>
      <c r="BL346" s="84"/>
      <c r="BM346" s="84"/>
      <c r="BN346" s="84"/>
      <c r="BO346" s="84"/>
      <c r="BP346" s="84"/>
      <c r="BQ346" s="84"/>
      <c r="BR346" s="84"/>
      <c r="BS346" s="84"/>
      <c r="BT346" s="84"/>
      <c r="BU346" s="84"/>
      <c r="BV346" s="84"/>
      <c r="BW346" s="84"/>
      <c r="BX346" s="84"/>
      <c r="BY346" s="84"/>
      <c r="BZ346" s="84"/>
      <c r="CA346" s="84"/>
      <c r="CB346" s="84"/>
      <c r="CC346" s="84"/>
      <c r="CD346" s="84"/>
      <c r="CE346" s="84"/>
      <c r="CF346" s="84"/>
      <c r="CG346" s="84"/>
      <c r="CH346" s="84"/>
      <c r="CI346" s="84"/>
      <c r="CJ346" s="84"/>
      <c r="CK346" s="84"/>
      <c r="CL346" s="84"/>
      <c r="CM346" s="84"/>
      <c r="CN346" s="84"/>
      <c r="CO346" s="84"/>
      <c r="CP346" s="84"/>
      <c r="CQ346" s="84"/>
      <c r="CR346" s="84"/>
      <c r="CS346" s="84"/>
      <c r="CT346" s="84"/>
      <c r="CU346" s="84"/>
      <c r="CV346" s="84"/>
      <c r="CW346" s="84"/>
      <c r="CX346" s="84"/>
      <c r="CY346" s="84"/>
      <c r="CZ346" s="84"/>
      <c r="DA346" s="84"/>
      <c r="DB346" s="84"/>
      <c r="DC346" s="84"/>
      <c r="DE346" s="145"/>
      <c r="EB346" s="250"/>
      <c r="EC346" s="250"/>
      <c r="ED346" s="250"/>
      <c r="EE346" s="250"/>
      <c r="GX346" s="47">
        <v>1.4567000000000001</v>
      </c>
      <c r="GY346" s="47">
        <v>340</v>
      </c>
      <c r="GZ346" s="47">
        <v>630</v>
      </c>
      <c r="HA346" s="47">
        <v>51</v>
      </c>
      <c r="HB346" s="48">
        <f t="shared" si="30"/>
        <v>0.53968253968253965</v>
      </c>
    </row>
    <row r="347" spans="38:239" ht="12" customHeight="1">
      <c r="AM347" s="84"/>
      <c r="AN347" s="84"/>
      <c r="AO347" s="84"/>
      <c r="AP347" s="84"/>
      <c r="AQ347" s="84"/>
      <c r="AR347" s="84"/>
      <c r="AS347" s="84"/>
      <c r="AT347" s="84"/>
      <c r="AU347" s="84"/>
      <c r="AV347" s="84"/>
      <c r="AW347" s="84"/>
      <c r="AX347" s="84"/>
      <c r="AY347" s="84"/>
      <c r="AZ347" s="84"/>
      <c r="BA347" s="84"/>
      <c r="BB347" s="84"/>
      <c r="BC347" s="84"/>
      <c r="BD347" s="84"/>
      <c r="BE347" s="84"/>
      <c r="BF347" s="84"/>
      <c r="BG347" s="84"/>
      <c r="BH347" s="84"/>
      <c r="BI347" s="84"/>
      <c r="BJ347" s="84"/>
      <c r="BK347" s="84"/>
      <c r="BL347" s="84"/>
      <c r="BM347" s="84"/>
      <c r="BN347" s="84"/>
      <c r="BO347" s="84"/>
      <c r="BP347" s="84"/>
      <c r="BQ347" s="84"/>
      <c r="BR347" s="84"/>
      <c r="BS347" s="84"/>
      <c r="BT347" s="84"/>
      <c r="BU347" s="84"/>
      <c r="BV347" s="84"/>
      <c r="BW347" s="84"/>
      <c r="BX347" s="84"/>
      <c r="BY347" s="84"/>
      <c r="BZ347" s="84"/>
      <c r="CA347" s="84"/>
      <c r="CB347" s="84"/>
      <c r="CC347" s="84"/>
      <c r="CD347" s="84"/>
      <c r="CE347" s="84"/>
      <c r="CF347" s="84"/>
      <c r="CG347" s="84"/>
      <c r="CH347" s="84"/>
      <c r="CI347" s="84"/>
      <c r="CJ347" s="84"/>
      <c r="CK347" s="84"/>
      <c r="CL347" s="84"/>
      <c r="CM347" s="84"/>
      <c r="CN347" s="84"/>
      <c r="CO347" s="84"/>
      <c r="CP347" s="84"/>
      <c r="CQ347" s="84"/>
      <c r="CR347" s="84"/>
      <c r="CS347" s="84"/>
      <c r="CT347" s="84"/>
      <c r="CU347" s="84"/>
      <c r="CV347" s="84"/>
      <c r="CW347" s="84"/>
      <c r="CX347" s="84"/>
      <c r="CY347" s="84"/>
      <c r="CZ347" s="84"/>
      <c r="DA347" s="84"/>
      <c r="DB347" s="84"/>
      <c r="DC347" s="84"/>
      <c r="DE347" s="145"/>
      <c r="EB347" s="250"/>
      <c r="EC347" s="250"/>
      <c r="ED347" s="250"/>
      <c r="EE347" s="250"/>
      <c r="GX347" s="49">
        <v>1.4578</v>
      </c>
      <c r="GY347" s="50">
        <v>340</v>
      </c>
      <c r="GZ347" s="50">
        <v>630</v>
      </c>
      <c r="HA347" s="49">
        <v>51</v>
      </c>
      <c r="HB347" s="51">
        <f t="shared" si="30"/>
        <v>0.53968253968253965</v>
      </c>
    </row>
    <row r="348" spans="38:239" ht="12" customHeight="1">
      <c r="AM348" s="84"/>
      <c r="AN348" s="84"/>
      <c r="AO348" s="84"/>
      <c r="AP348" s="84"/>
      <c r="AQ348" s="84"/>
      <c r="AR348" s="84"/>
      <c r="AS348" s="84"/>
      <c r="AT348" s="84"/>
      <c r="AU348" s="84"/>
      <c r="AV348" s="84"/>
      <c r="AW348" s="84"/>
      <c r="AX348" s="84"/>
      <c r="AY348" s="84"/>
      <c r="AZ348" s="84"/>
      <c r="BA348" s="84"/>
      <c r="BB348" s="84"/>
      <c r="BC348" s="84"/>
      <c r="BD348" s="84"/>
      <c r="BE348" s="84"/>
      <c r="BF348" s="84"/>
      <c r="BG348" s="84"/>
      <c r="BH348" s="84"/>
      <c r="BI348" s="84"/>
      <c r="BJ348" s="84"/>
      <c r="BK348" s="84"/>
      <c r="BL348" s="84"/>
      <c r="BM348" s="84"/>
      <c r="BN348" s="84"/>
      <c r="BO348" s="84"/>
      <c r="BP348" s="84"/>
      <c r="BQ348" s="84"/>
      <c r="BR348" s="84"/>
      <c r="BS348" s="84"/>
      <c r="BT348" s="84"/>
      <c r="BU348" s="84"/>
      <c r="BV348" s="84"/>
      <c r="BW348" s="84"/>
      <c r="BX348" s="84"/>
      <c r="BY348" s="84"/>
      <c r="BZ348" s="84"/>
      <c r="CA348" s="84"/>
      <c r="CB348" s="84"/>
      <c r="CC348" s="84"/>
      <c r="CD348" s="84"/>
      <c r="CE348" s="84"/>
      <c r="CF348" s="84"/>
      <c r="CG348" s="84"/>
      <c r="CH348" s="84"/>
      <c r="CI348" s="84"/>
      <c r="CJ348" s="84"/>
      <c r="CK348" s="84"/>
      <c r="CL348" s="84"/>
      <c r="CM348" s="84"/>
      <c r="CN348" s="84"/>
      <c r="CO348" s="84"/>
      <c r="CP348" s="84"/>
      <c r="CQ348" s="84"/>
      <c r="CR348" s="84"/>
      <c r="CS348" s="84"/>
      <c r="CT348" s="84"/>
      <c r="CU348" s="84"/>
      <c r="CV348" s="84"/>
      <c r="CW348" s="84"/>
      <c r="CX348" s="84"/>
      <c r="CY348" s="84"/>
      <c r="CZ348" s="84"/>
      <c r="DA348" s="84"/>
      <c r="DB348" s="84"/>
      <c r="DC348" s="84"/>
      <c r="DE348" s="145"/>
      <c r="GX348" s="47">
        <v>1.4529000000000001</v>
      </c>
      <c r="GY348" s="47">
        <v>470</v>
      </c>
      <c r="GZ348" s="47">
        <v>800</v>
      </c>
      <c r="HA348" s="47">
        <v>44</v>
      </c>
      <c r="HB348" s="48">
        <f t="shared" si="30"/>
        <v>0.58750000000000002</v>
      </c>
      <c r="HM348" s="112"/>
      <c r="HN348" s="112"/>
      <c r="HO348" s="112"/>
      <c r="HP348" s="112"/>
      <c r="HQ348" s="112"/>
      <c r="HR348" s="112"/>
      <c r="HS348" s="112"/>
      <c r="HT348" s="112"/>
      <c r="HU348" s="112"/>
      <c r="HV348" s="112"/>
      <c r="HW348" s="112"/>
      <c r="IA348" s="112"/>
      <c r="IB348" s="112"/>
      <c r="IC348" s="112"/>
      <c r="ID348" s="112"/>
      <c r="IE348" s="112"/>
    </row>
    <row r="349" spans="38:239" ht="12" customHeight="1">
      <c r="AM349" s="84"/>
      <c r="AN349" s="84"/>
      <c r="AO349" s="84"/>
      <c r="AP349" s="84"/>
      <c r="AQ349" s="84"/>
      <c r="AR349" s="84"/>
      <c r="AS349" s="84"/>
      <c r="AT349" s="84"/>
      <c r="AU349" s="84"/>
      <c r="AV349" s="84"/>
      <c r="AW349" s="84"/>
      <c r="AX349" s="84"/>
      <c r="AY349" s="84"/>
      <c r="AZ349" s="84"/>
      <c r="BA349" s="84"/>
      <c r="BB349" s="84"/>
      <c r="BC349" s="84"/>
      <c r="BD349" s="84"/>
      <c r="BE349" s="84"/>
      <c r="BF349" s="84"/>
      <c r="BG349" s="84"/>
      <c r="BH349" s="84"/>
      <c r="BI349" s="84"/>
      <c r="BJ349" s="84"/>
      <c r="BK349" s="84"/>
      <c r="BL349" s="84"/>
      <c r="BM349" s="84"/>
      <c r="BN349" s="84"/>
      <c r="BO349" s="84"/>
      <c r="BP349" s="84"/>
      <c r="BQ349" s="84"/>
      <c r="BR349" s="84"/>
      <c r="BS349" s="84"/>
      <c r="BT349" s="84"/>
      <c r="BU349" s="84"/>
      <c r="BV349" s="84"/>
      <c r="BW349" s="84"/>
      <c r="BX349" s="84"/>
      <c r="BY349" s="84"/>
      <c r="BZ349" s="84"/>
      <c r="CA349" s="84"/>
      <c r="CB349" s="84"/>
      <c r="CC349" s="84"/>
      <c r="CD349" s="84"/>
      <c r="CE349" s="84"/>
      <c r="CF349" s="84"/>
      <c r="CG349" s="84"/>
      <c r="CH349" s="84"/>
      <c r="CI349" s="84"/>
      <c r="CJ349" s="84"/>
      <c r="CK349" s="84"/>
      <c r="CL349" s="84"/>
      <c r="CM349" s="84"/>
      <c r="CN349" s="84"/>
      <c r="CO349" s="84"/>
      <c r="CP349" s="84"/>
      <c r="CQ349" s="84"/>
      <c r="CR349" s="84"/>
      <c r="CS349" s="84"/>
      <c r="CT349" s="84"/>
      <c r="CU349" s="84"/>
      <c r="CV349" s="84"/>
      <c r="CW349" s="84"/>
      <c r="CX349" s="84"/>
      <c r="CY349" s="84"/>
      <c r="CZ349" s="84"/>
      <c r="DA349" s="84"/>
      <c r="DB349" s="84"/>
      <c r="DC349" s="84"/>
      <c r="DE349" s="145"/>
      <c r="GX349" s="49">
        <v>1.4539</v>
      </c>
      <c r="GY349" s="50">
        <v>230</v>
      </c>
      <c r="GZ349" s="50">
        <v>630</v>
      </c>
      <c r="HA349" s="49">
        <v>35</v>
      </c>
      <c r="HB349" s="51">
        <f t="shared" si="30"/>
        <v>0.36507936507936506</v>
      </c>
      <c r="HM349" s="112"/>
      <c r="HN349" s="112"/>
      <c r="HO349" s="112"/>
      <c r="HP349" s="112"/>
      <c r="HQ349" s="112"/>
      <c r="HR349" s="112"/>
      <c r="HS349" s="112"/>
      <c r="HT349" s="112"/>
      <c r="HU349" s="112"/>
      <c r="HV349" s="112"/>
      <c r="HW349" s="112"/>
      <c r="IA349" s="112"/>
      <c r="IB349" s="112"/>
      <c r="IC349" s="112"/>
      <c r="ID349" s="112"/>
      <c r="IE349" s="112"/>
    </row>
    <row r="350" spans="38:239" ht="12" customHeight="1">
      <c r="AM350" s="84"/>
      <c r="AN350" s="84"/>
      <c r="AO350" s="84"/>
      <c r="AP350" s="84"/>
      <c r="AQ350" s="84"/>
      <c r="AR350" s="84"/>
      <c r="AS350" s="84"/>
      <c r="AT350" s="84"/>
      <c r="AU350" s="84"/>
      <c r="AV350" s="84"/>
      <c r="AW350" s="84"/>
      <c r="AX350" s="84"/>
      <c r="AY350" s="84"/>
      <c r="AZ350" s="84"/>
      <c r="BA350" s="84"/>
      <c r="BB350" s="84"/>
      <c r="BC350" s="84"/>
      <c r="BD350" s="84"/>
      <c r="BE350" s="84"/>
      <c r="BF350" s="84"/>
      <c r="BG350" s="84"/>
      <c r="BH350" s="84"/>
      <c r="BI350" s="84"/>
      <c r="BJ350" s="84"/>
      <c r="BK350" s="84"/>
      <c r="BL350" s="84"/>
      <c r="BM350" s="84"/>
      <c r="BN350" s="84"/>
      <c r="BO350" s="84"/>
      <c r="BP350" s="84"/>
      <c r="BQ350" s="84"/>
      <c r="BR350" s="84"/>
      <c r="BS350" s="84"/>
      <c r="BT350" s="84"/>
      <c r="BU350" s="84"/>
      <c r="BV350" s="84"/>
      <c r="BW350" s="84"/>
      <c r="BX350" s="84"/>
      <c r="BY350" s="84"/>
      <c r="BZ350" s="84"/>
      <c r="CA350" s="84"/>
      <c r="CB350" s="84"/>
      <c r="CC350" s="84"/>
      <c r="CD350" s="84"/>
      <c r="CE350" s="84"/>
      <c r="CF350" s="84"/>
      <c r="CG350" s="84"/>
      <c r="CH350" s="84"/>
      <c r="CI350" s="84"/>
      <c r="CJ350" s="84"/>
      <c r="CK350" s="84"/>
      <c r="CL350" s="84"/>
      <c r="CM350" s="84"/>
      <c r="CN350" s="84"/>
      <c r="CO350" s="84"/>
      <c r="CP350" s="84"/>
      <c r="CQ350" s="84"/>
      <c r="CR350" s="84"/>
      <c r="CS350" s="84"/>
      <c r="CT350" s="84"/>
      <c r="CU350" s="84"/>
      <c r="CV350" s="84"/>
      <c r="CW350" s="84"/>
      <c r="CX350" s="84"/>
      <c r="CY350" s="84"/>
      <c r="CZ350" s="84"/>
      <c r="DA350" s="84"/>
      <c r="DB350" s="84"/>
      <c r="DC350" s="84"/>
      <c r="DE350" s="145"/>
      <c r="HM350" s="112"/>
      <c r="HN350" s="112"/>
      <c r="HO350" s="112"/>
      <c r="HP350" s="112"/>
      <c r="HQ350" s="112"/>
      <c r="HR350" s="112"/>
      <c r="HS350" s="112"/>
      <c r="HT350" s="112"/>
      <c r="HU350" s="112"/>
      <c r="HV350" s="112"/>
      <c r="HW350" s="112"/>
      <c r="IA350" s="112"/>
      <c r="IB350" s="112"/>
      <c r="IC350" s="112"/>
      <c r="ID350" s="112"/>
      <c r="IE350" s="112"/>
    </row>
    <row r="351" spans="38:239" ht="12" customHeight="1">
      <c r="AL351" s="84"/>
      <c r="AM351" s="84"/>
      <c r="AN351" s="84"/>
      <c r="AO351" s="84"/>
      <c r="AP351" s="84"/>
      <c r="AQ351" s="84"/>
      <c r="AR351" s="84"/>
      <c r="AS351" s="84"/>
      <c r="AT351" s="84"/>
      <c r="AU351" s="84"/>
      <c r="AV351" s="84"/>
      <c r="AW351" s="84"/>
      <c r="AX351" s="84"/>
      <c r="AY351" s="84"/>
      <c r="AZ351" s="84"/>
      <c r="BA351" s="84"/>
      <c r="BB351" s="84"/>
      <c r="BC351" s="84"/>
      <c r="BD351" s="84"/>
      <c r="BE351" s="84"/>
      <c r="BF351" s="84"/>
      <c r="BG351" s="84"/>
      <c r="BH351" s="84"/>
      <c r="BI351" s="84"/>
      <c r="BJ351" s="84"/>
      <c r="BK351" s="84"/>
      <c r="BL351" s="84"/>
      <c r="BM351" s="84"/>
      <c r="BN351" s="84"/>
      <c r="BO351" s="84"/>
      <c r="BP351" s="84"/>
      <c r="BQ351" s="84"/>
      <c r="BR351" s="84"/>
      <c r="BS351" s="84"/>
      <c r="BT351" s="84"/>
      <c r="BU351" s="84"/>
      <c r="BV351" s="84"/>
      <c r="BW351" s="84"/>
      <c r="BX351" s="84"/>
      <c r="BY351" s="84"/>
      <c r="BZ351" s="84"/>
      <c r="CA351" s="84"/>
      <c r="CB351" s="84"/>
      <c r="CC351" s="84"/>
      <c r="CD351" s="84"/>
      <c r="CE351" s="84"/>
      <c r="CF351" s="84"/>
      <c r="CG351" s="84"/>
      <c r="CH351" s="84"/>
      <c r="CI351" s="84"/>
      <c r="CJ351" s="84"/>
      <c r="CK351" s="84"/>
      <c r="CL351" s="84"/>
      <c r="CM351" s="84"/>
      <c r="CN351" s="84"/>
      <c r="CO351" s="84"/>
      <c r="CP351" s="84"/>
      <c r="CQ351" s="84"/>
      <c r="CR351" s="84"/>
      <c r="CS351" s="84"/>
      <c r="CT351" s="84"/>
      <c r="CU351" s="84"/>
      <c r="CV351" s="84"/>
      <c r="CW351" s="84"/>
      <c r="CX351" s="84"/>
      <c r="CY351" s="84"/>
      <c r="CZ351" s="84"/>
      <c r="DA351" s="84"/>
      <c r="DB351" s="84"/>
      <c r="DC351" s="84"/>
      <c r="DE351" s="145"/>
      <c r="HM351" s="112"/>
      <c r="HN351" s="112"/>
      <c r="HO351" s="112"/>
      <c r="HP351" s="112"/>
      <c r="HQ351" s="112"/>
      <c r="HR351" s="112"/>
      <c r="HS351" s="112"/>
      <c r="HT351" s="112"/>
      <c r="HU351" s="112"/>
      <c r="HV351" s="112"/>
      <c r="HW351" s="112"/>
      <c r="IA351" s="112"/>
      <c r="IB351" s="112"/>
      <c r="IC351" s="112"/>
      <c r="ID351" s="112"/>
      <c r="IE351" s="112"/>
    </row>
    <row r="352" spans="38:239" ht="12" customHeight="1">
      <c r="AL352" s="84"/>
      <c r="AM352" s="84"/>
      <c r="AN352" s="84"/>
      <c r="AO352" s="84"/>
      <c r="AP352" s="84"/>
      <c r="AQ352" s="84"/>
      <c r="AR352" s="84"/>
      <c r="AS352" s="84"/>
      <c r="AT352" s="84"/>
      <c r="AU352" s="84"/>
      <c r="AV352" s="84"/>
      <c r="AW352" s="84"/>
      <c r="AX352" s="84"/>
      <c r="AY352" s="84"/>
      <c r="AZ352" s="84"/>
      <c r="BA352" s="84"/>
      <c r="BB352" s="84"/>
      <c r="BC352" s="84"/>
      <c r="BD352" s="84"/>
      <c r="BE352" s="84"/>
      <c r="BF352" s="84"/>
      <c r="BG352" s="84"/>
      <c r="BH352" s="84"/>
      <c r="BI352" s="84"/>
      <c r="BJ352" s="84"/>
      <c r="BK352" s="84"/>
      <c r="BL352" s="84"/>
      <c r="BM352" s="84"/>
      <c r="BN352" s="84"/>
      <c r="BO352" s="84"/>
      <c r="BP352" s="84"/>
      <c r="BQ352" s="84"/>
      <c r="BR352" s="84"/>
      <c r="BS352" s="84"/>
      <c r="BT352" s="84"/>
      <c r="BU352" s="84"/>
      <c r="BV352" s="84"/>
      <c r="BW352" s="84"/>
      <c r="BX352" s="84"/>
      <c r="BY352" s="84"/>
      <c r="BZ352" s="84"/>
      <c r="CA352" s="84"/>
      <c r="CB352" s="84"/>
      <c r="CC352" s="84"/>
      <c r="CD352" s="84"/>
      <c r="CE352" s="84"/>
      <c r="CF352" s="84"/>
      <c r="CG352" s="84"/>
      <c r="CH352" s="84"/>
      <c r="CI352" s="84"/>
      <c r="CJ352" s="84"/>
      <c r="CK352" s="84"/>
      <c r="CL352" s="84"/>
      <c r="CM352" s="84"/>
      <c r="CN352" s="84"/>
      <c r="CO352" s="84"/>
      <c r="CP352" s="84"/>
      <c r="CQ352" s="84"/>
      <c r="CR352" s="84"/>
      <c r="CS352" s="84"/>
      <c r="CT352" s="84"/>
      <c r="CU352" s="84"/>
      <c r="CV352" s="84"/>
      <c r="CW352" s="84"/>
      <c r="CX352" s="84"/>
      <c r="CY352" s="84"/>
      <c r="CZ352" s="84"/>
      <c r="DA352" s="84"/>
      <c r="DB352" s="84"/>
      <c r="DC352" s="84"/>
      <c r="DE352" s="145"/>
      <c r="HM352" s="112"/>
      <c r="HN352" s="112"/>
      <c r="HO352" s="112"/>
      <c r="HP352" s="112"/>
      <c r="HQ352" s="112"/>
      <c r="HR352" s="112"/>
      <c r="HS352" s="112"/>
      <c r="HT352" s="112"/>
      <c r="HU352" s="112"/>
      <c r="HV352" s="112"/>
      <c r="HW352" s="112"/>
      <c r="IA352" s="112"/>
      <c r="IB352" s="112"/>
      <c r="IC352" s="112"/>
      <c r="ID352" s="112"/>
      <c r="IE352" s="112"/>
    </row>
    <row r="353" spans="23:273" ht="12" customHeight="1">
      <c r="AL353" s="84"/>
      <c r="AM353" s="84"/>
      <c r="AN353" s="84"/>
      <c r="AO353" s="84"/>
      <c r="AP353" s="84"/>
      <c r="AQ353" s="84"/>
      <c r="AR353" s="84"/>
      <c r="AS353" s="84"/>
      <c r="AT353" s="84"/>
      <c r="AU353" s="84"/>
      <c r="AV353" s="84"/>
      <c r="AW353" s="84"/>
      <c r="AX353" s="84"/>
      <c r="AY353" s="84"/>
      <c r="AZ353" s="84"/>
      <c r="BA353" s="84"/>
      <c r="BB353" s="84"/>
      <c r="BC353" s="84"/>
      <c r="BD353" s="84"/>
      <c r="BE353" s="84"/>
      <c r="BF353" s="84"/>
      <c r="BG353" s="84"/>
      <c r="BH353" s="84"/>
      <c r="BI353" s="84"/>
      <c r="BJ353" s="84"/>
      <c r="BK353" s="84"/>
      <c r="BL353" s="84"/>
      <c r="BM353" s="84"/>
      <c r="BN353" s="84"/>
      <c r="BO353" s="84"/>
      <c r="BP353" s="84"/>
      <c r="BQ353" s="84"/>
      <c r="BR353" s="84"/>
      <c r="BS353" s="84"/>
      <c r="BT353" s="84"/>
      <c r="BU353" s="84"/>
      <c r="BV353" s="84"/>
      <c r="BW353" s="84"/>
      <c r="BX353" s="84"/>
      <c r="BY353" s="84"/>
      <c r="BZ353" s="84"/>
      <c r="CA353" s="84"/>
      <c r="CB353" s="84"/>
      <c r="CC353" s="84"/>
      <c r="CD353" s="84"/>
      <c r="CE353" s="84"/>
      <c r="CF353" s="84"/>
      <c r="CG353" s="84"/>
      <c r="CH353" s="84"/>
      <c r="CI353" s="84"/>
      <c r="CJ353" s="84"/>
      <c r="CK353" s="84"/>
      <c r="CL353" s="84"/>
      <c r="CM353" s="84"/>
      <c r="CN353" s="84"/>
      <c r="CO353" s="84"/>
      <c r="CP353" s="84"/>
      <c r="CQ353" s="84"/>
      <c r="CR353" s="84"/>
      <c r="CS353" s="84"/>
      <c r="CT353" s="84"/>
      <c r="CU353" s="84"/>
      <c r="CV353" s="84"/>
      <c r="CW353" s="84"/>
      <c r="CX353" s="84"/>
      <c r="CY353" s="84"/>
      <c r="CZ353" s="84"/>
      <c r="DA353" s="84"/>
      <c r="DB353" s="84"/>
      <c r="DC353" s="84"/>
      <c r="DE353" s="145"/>
      <c r="HM353" s="112"/>
      <c r="HN353" s="112"/>
      <c r="HO353" s="112"/>
      <c r="HP353" s="112"/>
      <c r="HQ353" s="112"/>
      <c r="HR353" s="112"/>
      <c r="HS353" s="112"/>
      <c r="HT353" s="112"/>
      <c r="HU353" s="112"/>
      <c r="HV353" s="112"/>
      <c r="HW353" s="112"/>
      <c r="IA353" s="112"/>
      <c r="IB353" s="112"/>
      <c r="IC353" s="112"/>
      <c r="ID353" s="112"/>
      <c r="IE353" s="112"/>
    </row>
    <row r="354" spans="23:273" ht="12" customHeight="1">
      <c r="AL354" s="84"/>
      <c r="AM354" s="84"/>
      <c r="AN354" s="84"/>
      <c r="AO354" s="84"/>
      <c r="AP354" s="84"/>
      <c r="AQ354" s="84"/>
      <c r="AR354" s="84"/>
      <c r="AS354" s="84"/>
      <c r="AT354" s="84"/>
      <c r="AU354" s="84"/>
      <c r="AV354" s="84"/>
      <c r="AW354" s="84"/>
      <c r="AX354" s="84"/>
      <c r="AY354" s="84"/>
      <c r="AZ354" s="84"/>
      <c r="BA354" s="84"/>
      <c r="BB354" s="84"/>
      <c r="BC354" s="84"/>
      <c r="BD354" s="84"/>
      <c r="BE354" s="84"/>
      <c r="BF354" s="84"/>
      <c r="BG354" s="84"/>
      <c r="BH354" s="84"/>
      <c r="BI354" s="84"/>
      <c r="BJ354" s="84"/>
      <c r="BK354" s="84"/>
      <c r="BL354" s="84"/>
      <c r="BM354" s="84"/>
      <c r="BN354" s="84"/>
      <c r="BO354" s="84"/>
      <c r="BP354" s="84"/>
      <c r="BQ354" s="84"/>
      <c r="BR354" s="84"/>
      <c r="BS354" s="84"/>
      <c r="BT354" s="84"/>
      <c r="BU354" s="84"/>
      <c r="BV354" s="84"/>
      <c r="BW354" s="84"/>
      <c r="BX354" s="84"/>
      <c r="BY354" s="84"/>
      <c r="BZ354" s="84"/>
      <c r="CA354" s="84"/>
      <c r="CB354" s="84"/>
      <c r="CC354" s="84"/>
      <c r="CD354" s="84"/>
      <c r="CE354" s="84"/>
      <c r="CF354" s="84"/>
      <c r="CG354" s="84"/>
      <c r="CH354" s="84"/>
      <c r="CI354" s="84"/>
      <c r="CJ354" s="84"/>
      <c r="CK354" s="84"/>
      <c r="CL354" s="84"/>
      <c r="CM354" s="84"/>
      <c r="CN354" s="84"/>
      <c r="CO354" s="84"/>
      <c r="CP354" s="84"/>
      <c r="CQ354" s="84"/>
      <c r="CR354" s="84"/>
      <c r="CS354" s="84"/>
      <c r="CT354" s="84"/>
      <c r="CU354" s="84"/>
      <c r="CV354" s="84"/>
      <c r="CW354" s="84"/>
      <c r="CX354" s="84"/>
      <c r="CY354" s="84"/>
      <c r="CZ354" s="84"/>
      <c r="DA354" s="84"/>
      <c r="DB354" s="84"/>
      <c r="DC354" s="84"/>
      <c r="DE354" s="145"/>
      <c r="HM354" s="112"/>
      <c r="HN354" s="112"/>
      <c r="HO354" s="112"/>
      <c r="HP354" s="112"/>
      <c r="HQ354" s="112"/>
      <c r="HR354" s="112"/>
      <c r="HS354" s="112"/>
      <c r="HT354" s="112"/>
      <c r="HU354" s="112"/>
      <c r="HV354" s="112"/>
      <c r="HW354" s="112"/>
      <c r="IA354" s="112"/>
      <c r="IB354" s="112"/>
      <c r="IC354" s="112"/>
      <c r="ID354" s="112"/>
      <c r="IE354" s="112"/>
    </row>
    <row r="355" spans="23:273" ht="12" customHeight="1">
      <c r="AL355" s="84"/>
      <c r="AM355" s="84"/>
      <c r="AN355" s="84"/>
      <c r="AO355" s="84"/>
      <c r="AP355" s="84"/>
      <c r="AQ355" s="84"/>
      <c r="AR355" s="84"/>
      <c r="AS355" s="84"/>
      <c r="AT355" s="84"/>
      <c r="AU355" s="84"/>
      <c r="AV355" s="84"/>
      <c r="AW355" s="84"/>
      <c r="AX355" s="84"/>
      <c r="AY355" s="84"/>
      <c r="AZ355" s="84"/>
      <c r="BA355" s="84"/>
      <c r="BB355" s="84"/>
      <c r="BC355" s="84"/>
      <c r="BD355" s="84"/>
      <c r="BE355" s="84"/>
      <c r="BF355" s="84"/>
      <c r="BG355" s="84"/>
      <c r="BH355" s="84"/>
      <c r="BI355" s="84"/>
      <c r="BJ355" s="84"/>
      <c r="BK355" s="84"/>
      <c r="BL355" s="84"/>
      <c r="BM355" s="84"/>
      <c r="BN355" s="84"/>
      <c r="BO355" s="84"/>
      <c r="BP355" s="84"/>
      <c r="BQ355" s="84"/>
      <c r="BR355" s="84"/>
      <c r="BS355" s="84"/>
      <c r="BT355" s="84"/>
      <c r="BU355" s="84"/>
      <c r="BV355" s="84"/>
      <c r="BW355" s="84"/>
      <c r="BX355" s="84"/>
      <c r="BY355" s="84"/>
      <c r="BZ355" s="84"/>
      <c r="CA355" s="84"/>
      <c r="CB355" s="84"/>
      <c r="CC355" s="84"/>
      <c r="CD355" s="84"/>
      <c r="CE355" s="84"/>
      <c r="CF355" s="84"/>
      <c r="CG355" s="84"/>
      <c r="CH355" s="84"/>
      <c r="CI355" s="84"/>
      <c r="CJ355" s="84"/>
      <c r="CK355" s="84"/>
      <c r="CL355" s="84"/>
      <c r="CM355" s="84"/>
      <c r="CN355" s="84"/>
      <c r="CO355" s="84"/>
      <c r="CP355" s="84"/>
      <c r="CQ355" s="84"/>
      <c r="CR355" s="84"/>
      <c r="CS355" s="84"/>
      <c r="CT355" s="84"/>
      <c r="CU355" s="84"/>
      <c r="CV355" s="84"/>
      <c r="CW355" s="84"/>
      <c r="CX355" s="84"/>
      <c r="CY355" s="84"/>
      <c r="CZ355" s="84"/>
      <c r="DA355" s="84"/>
      <c r="DB355" s="84"/>
      <c r="DC355" s="84"/>
      <c r="DE355" s="145"/>
      <c r="HM355" s="112"/>
      <c r="HN355" s="112"/>
      <c r="HO355" s="112"/>
      <c r="HP355" s="112"/>
      <c r="HQ355" s="112"/>
      <c r="HR355" s="112"/>
      <c r="HS355" s="112"/>
      <c r="HT355" s="112"/>
      <c r="HU355" s="112"/>
      <c r="HV355" s="112"/>
      <c r="HW355" s="112"/>
      <c r="IA355" s="112"/>
      <c r="IB355" s="112"/>
      <c r="IC355" s="112"/>
      <c r="ID355" s="112"/>
      <c r="IE355" s="112"/>
    </row>
    <row r="356" spans="23:273" ht="12" customHeight="1">
      <c r="AL356" s="84"/>
      <c r="AM356" s="84"/>
      <c r="AN356" s="84"/>
      <c r="AO356" s="84"/>
      <c r="AP356" s="84"/>
      <c r="AQ356" s="84"/>
      <c r="AR356" s="84"/>
      <c r="AS356" s="84"/>
      <c r="AT356" s="84"/>
      <c r="AU356" s="84"/>
      <c r="AV356" s="84"/>
      <c r="AW356" s="84"/>
      <c r="AX356" s="84"/>
      <c r="AY356" s="84"/>
      <c r="AZ356" s="84"/>
      <c r="BA356" s="84"/>
      <c r="BB356" s="84"/>
      <c r="BC356" s="84"/>
      <c r="BD356" s="84"/>
      <c r="BE356" s="84"/>
      <c r="BF356" s="84"/>
      <c r="BG356" s="84"/>
      <c r="BH356" s="84"/>
      <c r="BI356" s="84"/>
      <c r="BJ356" s="84"/>
      <c r="BK356" s="84"/>
      <c r="BL356" s="84"/>
      <c r="BM356" s="84"/>
      <c r="BN356" s="84"/>
      <c r="BO356" s="84"/>
      <c r="BP356" s="84"/>
      <c r="BQ356" s="84"/>
      <c r="BR356" s="84"/>
      <c r="BS356" s="84"/>
      <c r="BT356" s="84"/>
      <c r="BU356" s="84"/>
      <c r="BV356" s="84"/>
      <c r="BW356" s="84"/>
      <c r="BX356" s="84"/>
      <c r="BY356" s="84"/>
      <c r="BZ356" s="84"/>
      <c r="CA356" s="84"/>
      <c r="CB356" s="84"/>
      <c r="CC356" s="84"/>
      <c r="CD356" s="84"/>
      <c r="CE356" s="84"/>
      <c r="CF356" s="84"/>
      <c r="CG356" s="84"/>
      <c r="CH356" s="84"/>
      <c r="CI356" s="84"/>
      <c r="CJ356" s="84"/>
      <c r="CK356" s="84"/>
      <c r="CL356" s="84"/>
      <c r="CM356" s="84"/>
      <c r="CN356" s="84"/>
      <c r="CO356" s="84"/>
      <c r="CP356" s="84"/>
      <c r="CQ356" s="84"/>
      <c r="CR356" s="84"/>
      <c r="CS356" s="84"/>
      <c r="CT356" s="84"/>
      <c r="CU356" s="84"/>
      <c r="CV356" s="84"/>
      <c r="CW356" s="84"/>
      <c r="CX356" s="84"/>
      <c r="CY356" s="84"/>
      <c r="CZ356" s="84"/>
      <c r="DA356" s="84"/>
      <c r="DB356" s="84"/>
      <c r="DC356" s="84"/>
      <c r="DE356" s="145"/>
      <c r="HM356" s="112"/>
      <c r="HN356" s="112"/>
      <c r="HO356" s="112"/>
      <c r="HP356" s="112"/>
      <c r="HQ356" s="112"/>
      <c r="HR356" s="112"/>
      <c r="HS356" s="112"/>
      <c r="HT356" s="112"/>
      <c r="HU356" s="112"/>
      <c r="HV356" s="112"/>
      <c r="HW356" s="112"/>
      <c r="IA356" s="112"/>
      <c r="IB356" s="112"/>
      <c r="IC356" s="112"/>
      <c r="ID356" s="112"/>
      <c r="IE356" s="112"/>
    </row>
    <row r="357" spans="23:273" s="91" customFormat="1" ht="12" customHeight="1">
      <c r="X357" s="92"/>
      <c r="AH357" s="92"/>
      <c r="EA357" s="92"/>
      <c r="FX357" s="92"/>
      <c r="HL357" s="92"/>
      <c r="HZ357" s="92"/>
      <c r="IU357" s="92"/>
      <c r="JM357" s="92"/>
    </row>
    <row r="358" spans="23:273" s="170" customFormat="1" ht="12" customHeight="1">
      <c r="W358" s="174"/>
      <c r="X358" s="175"/>
      <c r="AG358" s="174"/>
      <c r="AH358" s="175"/>
      <c r="AI358" s="172"/>
      <c r="DZ358" s="174"/>
      <c r="EA358" s="175"/>
      <c r="FW358" s="174"/>
      <c r="FX358" s="175"/>
      <c r="HK358" s="174"/>
      <c r="HL358" s="175"/>
      <c r="HM358" s="4" t="s">
        <v>141</v>
      </c>
      <c r="HN358" s="4"/>
      <c r="HO358" s="4"/>
      <c r="HP358" s="4"/>
      <c r="HQ358" s="4"/>
      <c r="HR358" s="4"/>
      <c r="HS358" s="4"/>
      <c r="HT358" s="4"/>
      <c r="HU358" s="4"/>
      <c r="HV358" s="4"/>
      <c r="HW358" s="4"/>
      <c r="HY358" s="174"/>
      <c r="HZ358" s="175"/>
      <c r="IA358" s="4"/>
      <c r="IB358" s="4"/>
      <c r="IC358" s="4"/>
      <c r="IT358" s="174"/>
      <c r="IU358" s="175"/>
      <c r="JL358" s="174"/>
      <c r="JM358" s="175"/>
    </row>
    <row r="359" spans="23:273" s="171" customFormat="1" ht="30" customHeight="1">
      <c r="W359" s="176"/>
      <c r="X359" s="177"/>
      <c r="AG359" s="176"/>
      <c r="AH359" s="177"/>
      <c r="AI359" s="173"/>
      <c r="DZ359" s="176"/>
      <c r="EA359" s="177"/>
      <c r="FW359" s="176"/>
      <c r="FX359" s="177"/>
      <c r="HK359" s="176"/>
      <c r="HL359" s="177"/>
      <c r="HM359" s="4" t="s">
        <v>549</v>
      </c>
      <c r="HN359" s="4"/>
      <c r="HO359" s="4"/>
      <c r="HP359" s="4"/>
      <c r="HQ359" s="4"/>
      <c r="HR359" s="4"/>
      <c r="HS359" s="4"/>
      <c r="HT359" s="4"/>
      <c r="HU359" s="4"/>
      <c r="HV359" s="4"/>
      <c r="HW359" s="4"/>
      <c r="HY359" s="176"/>
      <c r="HZ359" s="177"/>
      <c r="IA359" s="4"/>
      <c r="IB359" s="4"/>
      <c r="IC359" s="4"/>
      <c r="IT359" s="176"/>
      <c r="IU359" s="177"/>
      <c r="JL359" s="176"/>
      <c r="JM359" s="177"/>
    </row>
    <row r="360" spans="23:273" ht="30" customHeight="1">
      <c r="AL360" s="84"/>
      <c r="AM360" s="84"/>
      <c r="AN360" s="84"/>
      <c r="AO360" s="84"/>
      <c r="AP360" s="84"/>
      <c r="AQ360" s="84"/>
      <c r="AR360" s="84"/>
      <c r="AS360" s="84"/>
      <c r="AT360" s="84"/>
      <c r="AU360" s="84"/>
      <c r="AV360" s="84"/>
      <c r="AW360" s="84"/>
      <c r="AX360" s="84"/>
      <c r="AY360" s="84"/>
      <c r="AZ360" s="84"/>
      <c r="BA360" s="84"/>
      <c r="BB360" s="84"/>
      <c r="BC360" s="84"/>
      <c r="BD360" s="84"/>
      <c r="BE360" s="84"/>
      <c r="BF360" s="84"/>
      <c r="BG360" s="84"/>
      <c r="BH360" s="84"/>
      <c r="BI360" s="84"/>
      <c r="BJ360" s="84"/>
      <c r="BK360" s="84"/>
      <c r="BL360" s="84"/>
      <c r="BM360" s="84"/>
      <c r="BN360" s="84"/>
      <c r="BO360" s="84"/>
      <c r="BP360" s="84"/>
      <c r="BQ360" s="84"/>
      <c r="BR360" s="84"/>
      <c r="BS360" s="84"/>
      <c r="BT360" s="84"/>
      <c r="BU360" s="84"/>
      <c r="BV360" s="84"/>
      <c r="BW360" s="84"/>
      <c r="BX360" s="84"/>
      <c r="BY360" s="84"/>
      <c r="BZ360" s="84"/>
      <c r="CA360" s="84"/>
      <c r="CB360" s="84"/>
      <c r="CC360" s="84"/>
      <c r="CD360" s="84"/>
      <c r="CE360" s="84"/>
      <c r="CF360" s="84"/>
      <c r="CG360" s="84"/>
      <c r="CH360" s="84"/>
      <c r="CI360" s="84"/>
      <c r="CJ360" s="84"/>
      <c r="CK360" s="84"/>
      <c r="CL360" s="84"/>
      <c r="CM360" s="84"/>
      <c r="CN360" s="84"/>
      <c r="CO360" s="84"/>
      <c r="CP360" s="84"/>
      <c r="CQ360" s="84"/>
      <c r="CR360" s="84"/>
      <c r="CS360" s="84"/>
      <c r="CT360" s="84"/>
      <c r="CU360" s="84"/>
      <c r="CV360" s="84"/>
      <c r="CW360" s="84"/>
      <c r="CX360" s="84"/>
      <c r="CY360" s="84"/>
      <c r="CZ360" s="84"/>
      <c r="DA360" s="84"/>
      <c r="DB360" s="84"/>
      <c r="DC360" s="84"/>
      <c r="DE360" s="145"/>
      <c r="HM360" s="103" t="s">
        <v>158</v>
      </c>
    </row>
    <row r="361" spans="23:273" ht="30" customHeight="1">
      <c r="X361" s="4"/>
      <c r="AH361" s="4"/>
      <c r="EA361" s="4"/>
      <c r="FX361" s="4"/>
      <c r="HL361" s="4"/>
      <c r="HM361" s="104" t="s">
        <v>159</v>
      </c>
      <c r="HZ361" s="4"/>
      <c r="IU361" s="4"/>
      <c r="JM361" s="4"/>
    </row>
    <row r="362" spans="23:273" ht="12" customHeight="1">
      <c r="X362" s="4"/>
      <c r="AH362" s="4"/>
      <c r="EA362" s="4"/>
      <c r="FX362" s="4"/>
      <c r="HL362" s="4"/>
      <c r="HM362" s="103" t="s">
        <v>160</v>
      </c>
      <c r="HN362" s="84"/>
      <c r="HO362" s="84"/>
      <c r="HP362" s="84"/>
      <c r="HQ362" s="84"/>
      <c r="HR362" s="84"/>
      <c r="HS362" s="84"/>
      <c r="HT362" s="84"/>
      <c r="HU362" s="84"/>
      <c r="HV362" s="84"/>
      <c r="HW362" s="84"/>
      <c r="HZ362" s="4"/>
      <c r="IU362" s="4"/>
      <c r="JM362" s="4"/>
    </row>
    <row r="363" spans="23:273" ht="12" customHeight="1">
      <c r="X363" s="4"/>
      <c r="AH363" s="4"/>
      <c r="EA363" s="4"/>
      <c r="FX363" s="4"/>
      <c r="HL363" s="4"/>
      <c r="HM363" s="104" t="s">
        <v>161</v>
      </c>
      <c r="HN363" s="84"/>
      <c r="HO363" s="84"/>
      <c r="HP363" s="84"/>
      <c r="HQ363" s="84"/>
      <c r="HR363" s="84"/>
      <c r="HS363" s="84"/>
      <c r="HT363" s="84"/>
      <c r="HU363" s="84"/>
      <c r="HV363" s="84"/>
      <c r="HW363" s="84"/>
      <c r="HZ363" s="4"/>
      <c r="IU363" s="4"/>
      <c r="JM363" s="4"/>
    </row>
    <row r="364" spans="23:273" ht="12" customHeight="1">
      <c r="X364" s="4"/>
      <c r="AH364" s="4"/>
      <c r="EA364" s="4"/>
      <c r="FX364" s="4"/>
      <c r="HL364" s="4"/>
      <c r="HM364" s="84"/>
      <c r="HN364" s="84"/>
      <c r="HO364" s="84"/>
      <c r="HP364" s="84"/>
      <c r="HQ364" s="84"/>
      <c r="HR364" s="84"/>
      <c r="HS364" s="84"/>
      <c r="HU364" s="84"/>
      <c r="HV364" s="84"/>
      <c r="HW364" s="84"/>
      <c r="HZ364" s="4"/>
      <c r="IU364" s="4"/>
      <c r="JM364" s="4"/>
    </row>
    <row r="365" spans="23:273" ht="12" customHeight="1">
      <c r="X365" s="4"/>
      <c r="AH365" s="4"/>
      <c r="EA365" s="4"/>
      <c r="FX365" s="4"/>
      <c r="HL365" s="4"/>
      <c r="HM365" s="105" t="s">
        <v>638</v>
      </c>
      <c r="HN365" s="84"/>
      <c r="HO365" s="84"/>
      <c r="HP365" s="84"/>
      <c r="HQ365" s="84"/>
      <c r="HR365" s="84"/>
      <c r="HS365" s="84"/>
      <c r="HU365" s="84"/>
      <c r="HV365" s="84"/>
      <c r="HW365" s="84"/>
      <c r="HZ365" s="4"/>
      <c r="IU365" s="4"/>
      <c r="JM365" s="4"/>
    </row>
    <row r="366" spans="23:273" ht="12" customHeight="1">
      <c r="X366" s="4"/>
      <c r="AH366" s="4"/>
      <c r="EA366" s="4"/>
      <c r="FX366" s="4"/>
      <c r="HL366" s="4"/>
      <c r="HM366" s="106" t="s">
        <v>224</v>
      </c>
      <c r="HN366" s="107" t="s">
        <v>271</v>
      </c>
      <c r="HO366" s="84"/>
      <c r="HP366" s="84"/>
      <c r="HQ366" s="84"/>
      <c r="HR366" s="84"/>
      <c r="HS366" s="84"/>
      <c r="HT366" s="84"/>
      <c r="HU366" s="84"/>
      <c r="HV366" s="84"/>
      <c r="HW366" s="84"/>
      <c r="HZ366" s="4"/>
      <c r="IU366" s="4"/>
      <c r="JM366" s="4"/>
    </row>
    <row r="367" spans="23:273" ht="12" customHeight="1">
      <c r="X367" s="4"/>
      <c r="AH367" s="4"/>
      <c r="EA367" s="4"/>
      <c r="FX367" s="4"/>
      <c r="HL367" s="4"/>
      <c r="HM367" s="108" t="s">
        <v>225</v>
      </c>
      <c r="HN367" s="103">
        <v>0.6</v>
      </c>
      <c r="HO367" s="84"/>
      <c r="HP367" s="84"/>
      <c r="HQ367" s="84"/>
      <c r="HR367" s="84"/>
      <c r="HS367" s="84"/>
      <c r="HT367" s="84"/>
      <c r="HU367" s="84"/>
      <c r="HV367" s="84"/>
      <c r="HW367" s="84"/>
      <c r="HZ367" s="4"/>
      <c r="IU367" s="4"/>
      <c r="JM367" s="4"/>
    </row>
    <row r="368" spans="23:273" ht="12" customHeight="1">
      <c r="X368" s="4"/>
      <c r="AH368" s="4"/>
      <c r="EA368" s="4"/>
      <c r="FX368" s="4"/>
      <c r="HL368" s="4"/>
      <c r="HM368" s="109" t="s">
        <v>226</v>
      </c>
      <c r="HN368" s="104">
        <v>1</v>
      </c>
      <c r="HO368" s="84"/>
      <c r="HP368" s="84"/>
      <c r="HQ368" s="84"/>
      <c r="HR368" s="84"/>
      <c r="HS368" s="84"/>
      <c r="HT368" s="84"/>
      <c r="HU368" s="84"/>
      <c r="HV368" s="84"/>
      <c r="HW368" s="84"/>
      <c r="HZ368" s="4"/>
      <c r="IU368" s="4"/>
      <c r="JM368" s="4"/>
    </row>
    <row r="369" spans="2:278" ht="12" customHeight="1">
      <c r="X369" s="4"/>
      <c r="AH369" s="4"/>
      <c r="EA369" s="4"/>
      <c r="FX369" s="4"/>
      <c r="HL369" s="4"/>
      <c r="HM369" s="108" t="s">
        <v>227</v>
      </c>
      <c r="HN369" s="103">
        <v>1.3</v>
      </c>
      <c r="HO369" s="84"/>
      <c r="HP369" s="84"/>
      <c r="HQ369" s="84"/>
      <c r="HR369" s="84"/>
      <c r="HS369" s="84"/>
      <c r="HT369" s="84"/>
      <c r="HU369" s="84"/>
      <c r="HV369" s="84"/>
      <c r="HW369" s="84"/>
      <c r="HZ369" s="4"/>
      <c r="IU369" s="4"/>
      <c r="JM369" s="4"/>
    </row>
    <row r="370" spans="2:278" ht="12" customHeight="1">
      <c r="X370" s="4"/>
      <c r="AH370" s="4"/>
      <c r="EA370" s="4"/>
      <c r="FX370" s="4"/>
      <c r="HL370" s="4"/>
      <c r="HM370" s="109" t="s">
        <v>228</v>
      </c>
      <c r="HN370" s="104">
        <v>1.6</v>
      </c>
      <c r="HO370" s="84"/>
      <c r="HP370" s="84"/>
      <c r="HQ370" s="84"/>
      <c r="HR370" s="84"/>
      <c r="HS370" s="84"/>
      <c r="HT370" s="84"/>
      <c r="HU370" s="84"/>
      <c r="HV370" s="84"/>
      <c r="HW370" s="84"/>
      <c r="HZ370" s="4"/>
      <c r="IU370" s="4"/>
      <c r="JM370" s="4"/>
    </row>
    <row r="371" spans="2:278" ht="12" customHeight="1">
      <c r="X371" s="4"/>
      <c r="AH371" s="4"/>
      <c r="EA371" s="4"/>
      <c r="FX371" s="4"/>
      <c r="HL371" s="4"/>
      <c r="HM371" s="84"/>
      <c r="HN371" s="84"/>
      <c r="HO371" s="84"/>
      <c r="HP371" s="84"/>
      <c r="HQ371" s="84"/>
      <c r="HR371" s="84"/>
      <c r="HS371" s="84"/>
      <c r="HT371" s="84"/>
      <c r="HU371" s="84"/>
      <c r="HV371" s="84"/>
      <c r="HW371" s="84"/>
      <c r="HZ371" s="4"/>
      <c r="IU371" s="4"/>
      <c r="JM371" s="4"/>
    </row>
    <row r="372" spans="2:278" ht="12" customHeight="1">
      <c r="X372" s="4"/>
      <c r="AH372" s="4"/>
      <c r="EA372" s="4"/>
      <c r="FX372" s="4"/>
      <c r="HL372" s="4"/>
      <c r="HM372" s="105" t="s">
        <v>639</v>
      </c>
      <c r="HN372" s="84"/>
      <c r="HO372" s="84"/>
      <c r="HP372" s="84"/>
      <c r="HQ372" s="84"/>
      <c r="HR372" s="84"/>
      <c r="HS372" s="84"/>
      <c r="HT372" s="84"/>
      <c r="HU372" s="84"/>
      <c r="HV372" s="84"/>
      <c r="HW372" s="84"/>
      <c r="HZ372" s="4"/>
      <c r="IU372" s="4"/>
      <c r="JM372" s="4"/>
    </row>
    <row r="373" spans="2:278" ht="12" customHeight="1">
      <c r="X373" s="4"/>
      <c r="AH373" s="4"/>
      <c r="EA373" s="4"/>
      <c r="FX373" s="4"/>
      <c r="HL373" s="4"/>
      <c r="HM373" s="107" t="s">
        <v>229</v>
      </c>
      <c r="HN373" s="107" t="s">
        <v>272</v>
      </c>
      <c r="HO373" s="84"/>
      <c r="HP373" s="84"/>
      <c r="HQ373" s="84"/>
      <c r="HR373" s="84"/>
      <c r="HS373" s="84"/>
      <c r="HT373" s="84"/>
      <c r="HU373" s="84"/>
      <c r="HV373" s="84"/>
      <c r="HW373" s="84"/>
      <c r="HZ373" s="4"/>
      <c r="IU373" s="4"/>
      <c r="JM373" s="4"/>
    </row>
    <row r="374" spans="2:278" ht="12" customHeight="1">
      <c r="X374" s="4"/>
      <c r="AH374" s="4"/>
      <c r="EA374" s="4"/>
      <c r="FX374" s="4"/>
      <c r="HL374" s="4"/>
      <c r="HM374" s="108" t="s">
        <v>78</v>
      </c>
      <c r="HN374" s="103">
        <v>1</v>
      </c>
      <c r="HO374" s="84"/>
      <c r="HP374" s="84"/>
      <c r="HQ374" s="84"/>
      <c r="HR374" s="84"/>
      <c r="HS374" s="84"/>
      <c r="HT374" s="84"/>
      <c r="HU374" s="84"/>
      <c r="HV374" s="84"/>
      <c r="HW374" s="84"/>
      <c r="HZ374" s="4"/>
      <c r="IU374" s="4"/>
      <c r="JM374" s="4"/>
    </row>
    <row r="375" spans="2:278" ht="12" customHeight="1">
      <c r="X375" s="4"/>
      <c r="AH375" s="4"/>
      <c r="EA375" s="4"/>
      <c r="FX375" s="4"/>
      <c r="HL375" s="4"/>
      <c r="HM375" s="109" t="s">
        <v>230</v>
      </c>
      <c r="HN375" s="104">
        <v>1.2</v>
      </c>
      <c r="HO375" s="84"/>
      <c r="HP375" s="84"/>
      <c r="HQ375" s="84"/>
      <c r="HR375" s="84"/>
      <c r="HS375" s="84"/>
      <c r="HT375" s="84"/>
      <c r="HU375" s="84"/>
      <c r="HV375" s="84"/>
      <c r="HW375" s="84"/>
      <c r="HZ375" s="4"/>
      <c r="IU375" s="4"/>
      <c r="JM375" s="4"/>
    </row>
    <row r="376" spans="2:278" ht="12" customHeight="1">
      <c r="X376" s="4"/>
      <c r="AH376" s="4"/>
      <c r="EA376" s="4"/>
      <c r="FX376" s="4"/>
      <c r="HL376" s="4"/>
      <c r="HM376" s="108" t="s">
        <v>231</v>
      </c>
      <c r="HN376" s="103">
        <v>1.4</v>
      </c>
      <c r="HO376" s="84"/>
      <c r="HP376" s="84"/>
      <c r="HQ376" s="84"/>
      <c r="HR376" s="84"/>
      <c r="HS376" s="84"/>
      <c r="HT376" s="84"/>
      <c r="HU376" s="84"/>
      <c r="HV376" s="84"/>
      <c r="HW376" s="84"/>
      <c r="HZ376" s="4"/>
      <c r="IU376" s="4"/>
      <c r="JM376" s="4"/>
    </row>
    <row r="377" spans="2:278" ht="12" customHeight="1">
      <c r="X377" s="4"/>
      <c r="AH377" s="4"/>
      <c r="EA377" s="4"/>
      <c r="FX377" s="4"/>
      <c r="HL377" s="4"/>
      <c r="HM377" s="84"/>
      <c r="HN377" s="84"/>
      <c r="HO377" s="84"/>
      <c r="HP377" s="84"/>
      <c r="HQ377" s="84"/>
      <c r="HR377" s="84"/>
      <c r="HS377" s="84"/>
      <c r="HT377" s="84"/>
      <c r="HU377" s="84"/>
      <c r="HV377" s="84"/>
      <c r="HW377" s="84"/>
      <c r="HZ377" s="4"/>
      <c r="IU377" s="4"/>
      <c r="JM377" s="4"/>
    </row>
    <row r="378" spans="2:278" ht="12" customHeight="1">
      <c r="X378" s="4"/>
      <c r="AH378" s="4"/>
      <c r="EA378" s="4"/>
      <c r="FX378" s="4"/>
      <c r="HL378" s="4"/>
      <c r="HM378" s="105" t="s">
        <v>640</v>
      </c>
      <c r="HN378" s="84"/>
      <c r="HO378" s="84"/>
      <c r="HP378" s="84"/>
      <c r="HQ378" s="84"/>
      <c r="HR378" s="84"/>
      <c r="HS378" s="84"/>
      <c r="HT378" s="84"/>
      <c r="HU378" s="84"/>
      <c r="HV378" s="84"/>
      <c r="HW378" s="84"/>
      <c r="HZ378" s="4"/>
      <c r="IU378" s="4"/>
      <c r="JM378" s="4"/>
    </row>
    <row r="379" spans="2:278" s="84" customFormat="1" ht="12" customHeight="1">
      <c r="B379" s="4"/>
      <c r="C379" s="4"/>
      <c r="D379" s="4"/>
      <c r="E379" s="4"/>
      <c r="F379" s="4"/>
      <c r="G379" s="4"/>
      <c r="H379" s="4"/>
      <c r="I379" s="4"/>
      <c r="J379" s="4"/>
      <c r="K379" s="4"/>
      <c r="L379" s="4"/>
      <c r="M379" s="4"/>
      <c r="N379" s="4"/>
      <c r="O379" s="4"/>
      <c r="P379" s="4"/>
      <c r="Q379" s="4"/>
      <c r="R379" s="4"/>
      <c r="S379" s="4"/>
      <c r="T379" s="4"/>
      <c r="U379" s="4"/>
      <c r="V379" s="4"/>
      <c r="W379" s="91"/>
      <c r="X379" s="4"/>
      <c r="Y379" s="4"/>
      <c r="Z379" s="4"/>
      <c r="AA379" s="4"/>
      <c r="AB379" s="4"/>
      <c r="AC379" s="4"/>
      <c r="AD379" s="4"/>
      <c r="AE379" s="4"/>
      <c r="AF379" s="4"/>
      <c r="AG379" s="91"/>
      <c r="AH379" s="4"/>
      <c r="AI379" s="4"/>
      <c r="AJ379" s="4"/>
      <c r="AK379" s="4"/>
      <c r="AL379" s="4"/>
      <c r="AM379" s="4"/>
      <c r="AN379" s="4"/>
      <c r="AO379" s="4"/>
      <c r="AP379" s="4"/>
      <c r="AQ379" s="4"/>
      <c r="AR379" s="4"/>
      <c r="AS379" s="4"/>
      <c r="AT379" s="4"/>
      <c r="AU379" s="4"/>
      <c r="AV379" s="4"/>
      <c r="AW379" s="4"/>
      <c r="AX379" s="4"/>
      <c r="AY379" s="4"/>
      <c r="AZ379" s="4"/>
      <c r="BA379" s="4"/>
      <c r="BB379" s="4"/>
      <c r="BC379" s="4"/>
      <c r="BD379" s="4"/>
      <c r="BE379" s="4"/>
      <c r="BF379" s="4"/>
      <c r="BG379" s="4"/>
      <c r="BH379" s="4"/>
      <c r="BI379" s="4"/>
      <c r="BJ379" s="4"/>
      <c r="BK379" s="4"/>
      <c r="BL379" s="4"/>
      <c r="BM379" s="4"/>
      <c r="BN379" s="4"/>
      <c r="BO379" s="4"/>
      <c r="BP379" s="4"/>
      <c r="BQ379" s="4"/>
      <c r="BR379" s="4"/>
      <c r="BS379" s="4"/>
      <c r="BT379" s="4"/>
      <c r="BU379" s="4"/>
      <c r="BV379" s="4"/>
      <c r="BW379" s="4"/>
      <c r="BX379" s="4"/>
      <c r="BY379" s="4"/>
      <c r="BZ379" s="4"/>
      <c r="CA379" s="4"/>
      <c r="CB379" s="4"/>
      <c r="CC379" s="4"/>
      <c r="CD379" s="4"/>
      <c r="CE379" s="4"/>
      <c r="CF379" s="4"/>
      <c r="CG379" s="4"/>
      <c r="CH379" s="4"/>
      <c r="CI379" s="4"/>
      <c r="CJ379" s="4"/>
      <c r="CK379" s="4"/>
      <c r="CL379" s="4"/>
      <c r="CM379" s="4"/>
      <c r="CN379" s="4"/>
      <c r="CO379" s="4"/>
      <c r="CP379" s="4"/>
      <c r="CQ379" s="4"/>
      <c r="CR379" s="4"/>
      <c r="CS379" s="4"/>
      <c r="CT379" s="4"/>
      <c r="CU379" s="4"/>
      <c r="CV379" s="4"/>
      <c r="CW379" s="4"/>
      <c r="CX379" s="4"/>
      <c r="CY379" s="4"/>
      <c r="CZ379" s="4"/>
      <c r="DA379" s="4"/>
      <c r="DB379" s="4"/>
      <c r="DC379" s="4"/>
      <c r="DD379" s="4"/>
      <c r="DE379" s="4"/>
      <c r="DF379" s="4"/>
      <c r="DG379" s="4"/>
      <c r="DH379" s="4"/>
      <c r="DI379" s="4"/>
      <c r="DJ379" s="4"/>
      <c r="DK379" s="4"/>
      <c r="DL379" s="4"/>
      <c r="DM379" s="4"/>
      <c r="DN379" s="4"/>
      <c r="DO379" s="4"/>
      <c r="DP379" s="4"/>
      <c r="DQ379" s="4"/>
      <c r="DR379" s="4"/>
      <c r="DS379" s="4"/>
      <c r="DT379" s="4"/>
      <c r="DU379" s="4"/>
      <c r="DV379" s="4"/>
      <c r="DW379" s="4"/>
      <c r="DX379" s="4"/>
      <c r="DY379" s="4"/>
      <c r="DZ379" s="91"/>
      <c r="EA379" s="4"/>
      <c r="EB379" s="4"/>
      <c r="EC379" s="4"/>
      <c r="ED379" s="4"/>
      <c r="EE379" s="4"/>
      <c r="EF379" s="4"/>
      <c r="EG379" s="4"/>
      <c r="EH379" s="4"/>
      <c r="EI379" s="4"/>
      <c r="EJ379" s="4"/>
      <c r="EK379" s="4"/>
      <c r="EL379" s="4"/>
      <c r="EM379" s="4"/>
      <c r="EN379" s="4"/>
      <c r="EO379" s="4"/>
      <c r="EP379" s="4"/>
      <c r="EQ379" s="4"/>
      <c r="ER379" s="4"/>
      <c r="ES379" s="4"/>
      <c r="ET379" s="4"/>
      <c r="EU379" s="4"/>
      <c r="EV379" s="4"/>
      <c r="EW379" s="4"/>
      <c r="EX379" s="4"/>
      <c r="EY379" s="4"/>
      <c r="EZ379" s="4"/>
      <c r="FA379" s="4"/>
      <c r="FB379" s="4"/>
      <c r="FC379" s="4"/>
      <c r="FD379" s="4"/>
      <c r="FE379" s="4"/>
      <c r="FF379" s="4"/>
      <c r="FG379" s="4"/>
      <c r="FH379" s="4"/>
      <c r="FI379" s="4"/>
      <c r="FJ379" s="4"/>
      <c r="FK379" s="4"/>
      <c r="FL379" s="4"/>
      <c r="FM379" s="4"/>
      <c r="FN379" s="4"/>
      <c r="FO379" s="4"/>
      <c r="FP379" s="4"/>
      <c r="FQ379" s="4"/>
      <c r="FR379" s="4"/>
      <c r="FS379" s="4"/>
      <c r="FT379" s="4"/>
      <c r="FU379" s="4"/>
      <c r="FV379" s="4"/>
      <c r="FW379" s="91"/>
      <c r="FX379" s="4"/>
      <c r="FY379" s="4"/>
      <c r="FZ379" s="4"/>
      <c r="GA379" s="4"/>
      <c r="GB379" s="4"/>
      <c r="GC379" s="4"/>
      <c r="GD379" s="4"/>
      <c r="GE379" s="4"/>
      <c r="GF379" s="4"/>
      <c r="GG379" s="4"/>
      <c r="GH379" s="4"/>
      <c r="GI379" s="4"/>
      <c r="GJ379" s="4"/>
      <c r="GK379" s="4"/>
      <c r="GL379" s="4"/>
      <c r="GM379" s="4"/>
      <c r="GN379" s="4"/>
      <c r="GO379" s="4"/>
      <c r="GP379" s="4"/>
      <c r="GQ379" s="4"/>
      <c r="GR379" s="4"/>
      <c r="GS379" s="4"/>
      <c r="GT379" s="4"/>
      <c r="GU379" s="4"/>
      <c r="GV379" s="4"/>
      <c r="GW379" s="4"/>
      <c r="GX379" s="4"/>
      <c r="GY379" s="4"/>
      <c r="GZ379" s="4"/>
      <c r="HA379" s="4"/>
      <c r="HB379" s="4"/>
      <c r="HC379" s="4"/>
      <c r="HD379" s="4"/>
      <c r="HE379" s="4"/>
      <c r="HF379" s="4"/>
      <c r="HG379" s="4"/>
      <c r="HH379" s="4"/>
      <c r="HI379" s="4"/>
      <c r="HJ379" s="4"/>
      <c r="HK379" s="91"/>
      <c r="HL379" s="4"/>
      <c r="HM379" s="110" t="s">
        <v>232</v>
      </c>
      <c r="HN379" s="1678" t="s">
        <v>233</v>
      </c>
      <c r="HO379" s="1679"/>
      <c r="HP379" s="1680"/>
      <c r="HQ379" s="111" t="s">
        <v>273</v>
      </c>
      <c r="HR379" s="111" t="s">
        <v>274</v>
      </c>
      <c r="HS379" s="111" t="s">
        <v>275</v>
      </c>
      <c r="HT379" s="111" t="s">
        <v>97</v>
      </c>
      <c r="HU379" s="111" t="s">
        <v>276</v>
      </c>
      <c r="HV379" s="111" t="s">
        <v>277</v>
      </c>
      <c r="HW379" s="111" t="s">
        <v>278</v>
      </c>
      <c r="HX379" s="4"/>
      <c r="HY379" s="91"/>
      <c r="HZ379" s="4"/>
      <c r="IA379" s="4"/>
      <c r="IB379" s="4"/>
      <c r="IC379" s="4"/>
      <c r="ID379" s="4"/>
      <c r="IE379" s="4"/>
      <c r="IF379" s="4"/>
      <c r="IG379" s="4"/>
      <c r="IH379" s="4"/>
      <c r="II379" s="4"/>
      <c r="IJ379" s="4"/>
      <c r="IK379" s="4"/>
      <c r="IL379" s="4"/>
      <c r="IM379" s="4"/>
      <c r="IN379" s="4"/>
      <c r="IO379" s="4"/>
      <c r="IP379" s="4"/>
      <c r="IQ379" s="4"/>
      <c r="IR379" s="4"/>
      <c r="IS379" s="4"/>
      <c r="IT379" s="91"/>
      <c r="IU379" s="4"/>
      <c r="IV379" s="4"/>
      <c r="IW379" s="4"/>
      <c r="IX379" s="4"/>
      <c r="IY379" s="4"/>
      <c r="IZ379" s="4"/>
      <c r="JA379" s="4"/>
      <c r="JB379" s="4"/>
      <c r="JC379" s="4"/>
      <c r="JD379" s="4"/>
      <c r="JE379" s="4"/>
      <c r="JF379" s="4"/>
      <c r="JG379" s="4"/>
      <c r="JH379" s="4"/>
      <c r="JI379" s="4"/>
      <c r="JJ379" s="4"/>
      <c r="JK379" s="4"/>
      <c r="JL379" s="91"/>
      <c r="JM379" s="4"/>
      <c r="JN379" s="4"/>
      <c r="JO379" s="4"/>
      <c r="JP379" s="4"/>
      <c r="JQ379" s="4"/>
      <c r="JR379" s="4"/>
    </row>
    <row r="380" spans="2:278" s="112" customFormat="1" ht="12" customHeight="1">
      <c r="B380" s="4"/>
      <c r="C380" s="4"/>
      <c r="D380" s="4"/>
      <c r="E380" s="4"/>
      <c r="F380" s="4"/>
      <c r="G380" s="4"/>
      <c r="H380" s="4"/>
      <c r="I380" s="4"/>
      <c r="J380" s="4"/>
      <c r="K380" s="4"/>
      <c r="L380" s="4"/>
      <c r="M380" s="4"/>
      <c r="N380" s="4"/>
      <c r="O380" s="4"/>
      <c r="P380" s="4"/>
      <c r="Q380" s="4"/>
      <c r="R380" s="4"/>
      <c r="S380" s="4"/>
      <c r="T380" s="4"/>
      <c r="U380" s="4"/>
      <c r="V380" s="4"/>
      <c r="W380" s="91"/>
      <c r="X380" s="4"/>
      <c r="Y380" s="4"/>
      <c r="Z380" s="4"/>
      <c r="AA380" s="4"/>
      <c r="AB380" s="4"/>
      <c r="AC380" s="4"/>
      <c r="AD380" s="4"/>
      <c r="AE380" s="4"/>
      <c r="AF380" s="4"/>
      <c r="AG380" s="91"/>
      <c r="AH380" s="4"/>
      <c r="AI380" s="4"/>
      <c r="AJ380" s="4"/>
      <c r="AK380" s="4"/>
      <c r="AL380" s="4"/>
      <c r="AM380" s="4"/>
      <c r="AN380" s="4"/>
      <c r="AO380" s="4"/>
      <c r="AP380" s="4"/>
      <c r="AQ380" s="4"/>
      <c r="AR380" s="4"/>
      <c r="AS380" s="4"/>
      <c r="AT380" s="4"/>
      <c r="AU380" s="4"/>
      <c r="AV380" s="4"/>
      <c r="AW380" s="4"/>
      <c r="AX380" s="4"/>
      <c r="AY380" s="4"/>
      <c r="AZ380" s="4"/>
      <c r="BA380" s="4"/>
      <c r="BB380" s="4"/>
      <c r="BC380" s="4"/>
      <c r="BD380" s="4"/>
      <c r="BE380" s="4"/>
      <c r="BF380" s="4"/>
      <c r="BG380" s="4"/>
      <c r="BH380" s="4"/>
      <c r="BI380" s="4"/>
      <c r="BJ380" s="4"/>
      <c r="BK380" s="4"/>
      <c r="BL380" s="4"/>
      <c r="BM380" s="4"/>
      <c r="BN380" s="4"/>
      <c r="BO380" s="4"/>
      <c r="BP380" s="4"/>
      <c r="BQ380" s="4"/>
      <c r="BR380" s="4"/>
      <c r="BS380" s="4"/>
      <c r="BT380" s="4"/>
      <c r="BU380" s="4"/>
      <c r="BV380" s="4"/>
      <c r="BW380" s="4"/>
      <c r="BX380" s="4"/>
      <c r="BY380" s="4"/>
      <c r="BZ380" s="4"/>
      <c r="CA380" s="4"/>
      <c r="CB380" s="4"/>
      <c r="CC380" s="4"/>
      <c r="CD380" s="4"/>
      <c r="CE380" s="4"/>
      <c r="CF380" s="4"/>
      <c r="CG380" s="4"/>
      <c r="CH380" s="4"/>
      <c r="CI380" s="4"/>
      <c r="CJ380" s="4"/>
      <c r="CK380" s="4"/>
      <c r="CL380" s="4"/>
      <c r="CM380" s="4"/>
      <c r="CN380" s="4"/>
      <c r="CO380" s="4"/>
      <c r="CP380" s="4"/>
      <c r="CQ380" s="4"/>
      <c r="CR380" s="4"/>
      <c r="CS380" s="4"/>
      <c r="CT380" s="4"/>
      <c r="CU380" s="4"/>
      <c r="CV380" s="4"/>
      <c r="CW380" s="4"/>
      <c r="CX380" s="4"/>
      <c r="CY380" s="4"/>
      <c r="CZ380" s="4"/>
      <c r="DA380" s="4"/>
      <c r="DB380" s="4"/>
      <c r="DC380" s="4"/>
      <c r="DD380" s="4"/>
      <c r="DE380" s="4"/>
      <c r="DF380" s="4"/>
      <c r="DG380" s="4"/>
      <c r="DH380" s="4"/>
      <c r="DI380" s="4"/>
      <c r="DJ380" s="4"/>
      <c r="DK380" s="4"/>
      <c r="DL380" s="4"/>
      <c r="DM380" s="4"/>
      <c r="DN380" s="4"/>
      <c r="DO380" s="4"/>
      <c r="DP380" s="4"/>
      <c r="DQ380" s="4"/>
      <c r="DR380" s="4"/>
      <c r="DS380" s="4"/>
      <c r="DT380" s="4"/>
      <c r="DU380" s="4"/>
      <c r="DV380" s="4"/>
      <c r="DW380" s="4"/>
      <c r="DX380" s="4"/>
      <c r="DY380" s="4"/>
      <c r="DZ380" s="91"/>
      <c r="EA380" s="4"/>
      <c r="EB380" s="4"/>
      <c r="EC380" s="4"/>
      <c r="ED380" s="4"/>
      <c r="EE380" s="4"/>
      <c r="EF380" s="4"/>
      <c r="EG380" s="4"/>
      <c r="EH380" s="4"/>
      <c r="EI380" s="4"/>
      <c r="EJ380" s="4"/>
      <c r="EK380" s="4"/>
      <c r="EL380" s="4"/>
      <c r="EM380" s="4"/>
      <c r="EN380" s="4"/>
      <c r="EO380" s="4"/>
      <c r="EP380" s="4"/>
      <c r="EQ380" s="4"/>
      <c r="ER380" s="4"/>
      <c r="ES380" s="4"/>
      <c r="ET380" s="4"/>
      <c r="EU380" s="4"/>
      <c r="EV380" s="4"/>
      <c r="EW380" s="4"/>
      <c r="EX380" s="4"/>
      <c r="EY380" s="4"/>
      <c r="EZ380" s="4"/>
      <c r="FA380" s="4"/>
      <c r="FB380" s="4"/>
      <c r="FC380" s="4"/>
      <c r="FD380" s="4"/>
      <c r="FE380" s="4"/>
      <c r="FF380" s="4"/>
      <c r="FG380" s="4"/>
      <c r="FH380" s="4"/>
      <c r="FI380" s="4"/>
      <c r="FJ380" s="4"/>
      <c r="FK380" s="4"/>
      <c r="FL380" s="4"/>
      <c r="FM380" s="4"/>
      <c r="FN380" s="4"/>
      <c r="FO380" s="4"/>
      <c r="FP380" s="4"/>
      <c r="FQ380" s="4"/>
      <c r="FR380" s="4"/>
      <c r="FS380" s="4"/>
      <c r="FT380" s="4"/>
      <c r="FU380" s="4"/>
      <c r="FV380" s="4"/>
      <c r="FW380" s="91"/>
      <c r="FX380" s="4"/>
      <c r="FY380" s="4"/>
      <c r="FZ380" s="4"/>
      <c r="GA380" s="4"/>
      <c r="GB380" s="4"/>
      <c r="GC380" s="4"/>
      <c r="GD380" s="4"/>
      <c r="GE380" s="4"/>
      <c r="GF380" s="4"/>
      <c r="GG380" s="4"/>
      <c r="GH380" s="4"/>
      <c r="GI380" s="4"/>
      <c r="GJ380" s="4"/>
      <c r="GK380" s="4"/>
      <c r="GL380" s="4"/>
      <c r="GM380" s="4"/>
      <c r="GN380" s="4"/>
      <c r="GO380" s="4"/>
      <c r="GP380" s="4"/>
      <c r="GQ380" s="4"/>
      <c r="GR380" s="4"/>
      <c r="GS380" s="4"/>
      <c r="GT380" s="4"/>
      <c r="GU380" s="4"/>
      <c r="GV380" s="4"/>
      <c r="GW380" s="4"/>
      <c r="GX380" s="4"/>
      <c r="GY380" s="4"/>
      <c r="GZ380" s="4"/>
      <c r="HA380" s="4"/>
      <c r="HB380" s="4"/>
      <c r="HC380" s="4"/>
      <c r="HD380" s="4"/>
      <c r="HE380" s="4"/>
      <c r="HF380" s="4"/>
      <c r="HG380" s="4"/>
      <c r="HH380" s="4"/>
      <c r="HI380" s="4"/>
      <c r="HJ380" s="4"/>
      <c r="HK380" s="91"/>
      <c r="HL380" s="4"/>
      <c r="HM380" s="113" t="s">
        <v>63</v>
      </c>
      <c r="HN380" s="1681" t="s">
        <v>642</v>
      </c>
      <c r="HO380" s="1681"/>
      <c r="HP380" s="1681"/>
      <c r="HQ380" s="114" t="s">
        <v>234</v>
      </c>
      <c r="HR380" s="114" t="s">
        <v>235</v>
      </c>
      <c r="HS380" s="114" t="s">
        <v>235</v>
      </c>
      <c r="HT380" s="114">
        <v>1</v>
      </c>
      <c r="HU380" s="114">
        <v>0.15</v>
      </c>
      <c r="HV380" s="114">
        <v>0.4</v>
      </c>
      <c r="HW380" s="114">
        <v>2</v>
      </c>
      <c r="HX380" s="4"/>
      <c r="HY380" s="91"/>
      <c r="HZ380" s="4"/>
      <c r="IA380" s="4"/>
      <c r="IB380" s="4"/>
      <c r="IC380" s="4"/>
      <c r="ID380" s="4"/>
      <c r="IE380" s="4"/>
      <c r="IF380" s="4"/>
      <c r="IG380" s="4"/>
      <c r="IH380" s="4"/>
      <c r="II380" s="4"/>
      <c r="IJ380" s="4"/>
      <c r="IK380" s="4"/>
      <c r="IL380" s="4"/>
      <c r="IM380" s="4"/>
      <c r="IN380" s="4"/>
      <c r="IO380" s="4"/>
      <c r="IP380" s="4"/>
      <c r="IQ380" s="4"/>
      <c r="IR380" s="4"/>
      <c r="IS380" s="4"/>
      <c r="IT380" s="91"/>
      <c r="IU380" s="4"/>
      <c r="IV380" s="4"/>
      <c r="IW380" s="4"/>
      <c r="IX380" s="4"/>
      <c r="IY380" s="4"/>
      <c r="IZ380" s="4"/>
      <c r="JA380" s="4"/>
      <c r="JB380" s="4"/>
      <c r="JC380" s="4"/>
      <c r="JD380" s="4"/>
      <c r="JE380" s="4"/>
      <c r="JF380" s="4"/>
      <c r="JG380" s="4"/>
      <c r="JH380" s="4"/>
      <c r="JI380" s="4"/>
      <c r="JJ380" s="4"/>
      <c r="JK380" s="4"/>
      <c r="JL380" s="91"/>
      <c r="JM380" s="4"/>
      <c r="JN380" s="4"/>
      <c r="JO380" s="4"/>
      <c r="JP380" s="4"/>
      <c r="JQ380" s="4"/>
      <c r="JR380" s="4"/>
    </row>
    <row r="381" spans="2:278" s="112" customFormat="1" ht="12" customHeight="1">
      <c r="B381" s="4"/>
      <c r="C381" s="4"/>
      <c r="D381" s="4"/>
      <c r="E381" s="4"/>
      <c r="F381" s="4"/>
      <c r="G381" s="4"/>
      <c r="H381" s="4"/>
      <c r="I381" s="4"/>
      <c r="J381" s="4"/>
      <c r="K381" s="4"/>
      <c r="L381" s="4"/>
      <c r="M381" s="4"/>
      <c r="N381" s="4"/>
      <c r="O381" s="4"/>
      <c r="P381" s="4"/>
      <c r="Q381" s="4"/>
      <c r="R381" s="4"/>
      <c r="S381" s="4"/>
      <c r="T381" s="4"/>
      <c r="U381" s="4"/>
      <c r="V381" s="4"/>
      <c r="W381" s="91"/>
      <c r="X381" s="4"/>
      <c r="Y381" s="4"/>
      <c r="Z381" s="4"/>
      <c r="AA381" s="4"/>
      <c r="AB381" s="4"/>
      <c r="AC381" s="4"/>
      <c r="AD381" s="4"/>
      <c r="AE381" s="4"/>
      <c r="AF381" s="4"/>
      <c r="AG381" s="91"/>
      <c r="AH381" s="4"/>
      <c r="AI381" s="4"/>
      <c r="AJ381" s="4"/>
      <c r="AK381" s="4"/>
      <c r="AL381" s="4"/>
      <c r="AM381" s="4"/>
      <c r="AN381" s="4"/>
      <c r="AO381" s="4"/>
      <c r="AP381" s="4"/>
      <c r="AQ381" s="4"/>
      <c r="AR381" s="4"/>
      <c r="AS381" s="4"/>
      <c r="AT381" s="4"/>
      <c r="AU381" s="4"/>
      <c r="AV381" s="4"/>
      <c r="AW381" s="4"/>
      <c r="AX381" s="4"/>
      <c r="AY381" s="4"/>
      <c r="AZ381" s="4"/>
      <c r="BA381" s="4"/>
      <c r="BB381" s="4"/>
      <c r="BC381" s="4"/>
      <c r="BD381" s="4"/>
      <c r="BE381" s="4"/>
      <c r="BF381" s="4"/>
      <c r="BG381" s="4"/>
      <c r="BH381" s="4"/>
      <c r="BI381" s="4"/>
      <c r="BJ381" s="4"/>
      <c r="BK381" s="4"/>
      <c r="BL381" s="4"/>
      <c r="BM381" s="4"/>
      <c r="BN381" s="4"/>
      <c r="BO381" s="4"/>
      <c r="BP381" s="4"/>
      <c r="BQ381" s="4"/>
      <c r="BR381" s="4"/>
      <c r="BS381" s="4"/>
      <c r="BT381" s="4"/>
      <c r="BU381" s="4"/>
      <c r="BV381" s="4"/>
      <c r="BW381" s="4"/>
      <c r="BX381" s="4"/>
      <c r="BY381" s="4"/>
      <c r="BZ381" s="4"/>
      <c r="CA381" s="4"/>
      <c r="CB381" s="4"/>
      <c r="CC381" s="4"/>
      <c r="CD381" s="4"/>
      <c r="CE381" s="4"/>
      <c r="CF381" s="4"/>
      <c r="CG381" s="4"/>
      <c r="CH381" s="4"/>
      <c r="CI381" s="4"/>
      <c r="CJ381" s="4"/>
      <c r="CK381" s="4"/>
      <c r="CL381" s="4"/>
      <c r="CM381" s="4"/>
      <c r="CN381" s="4"/>
      <c r="CO381" s="4"/>
      <c r="CP381" s="4"/>
      <c r="CQ381" s="4"/>
      <c r="CR381" s="4"/>
      <c r="CS381" s="4"/>
      <c r="CT381" s="4"/>
      <c r="CU381" s="4"/>
      <c r="CV381" s="4"/>
      <c r="CW381" s="4"/>
      <c r="CX381" s="4"/>
      <c r="CY381" s="4"/>
      <c r="CZ381" s="4"/>
      <c r="DA381" s="4"/>
      <c r="DB381" s="4"/>
      <c r="DC381" s="4"/>
      <c r="DD381" s="4"/>
      <c r="DE381" s="4"/>
      <c r="DF381" s="4"/>
      <c r="DG381" s="4"/>
      <c r="DH381" s="4"/>
      <c r="DI381" s="4"/>
      <c r="DJ381" s="4"/>
      <c r="DK381" s="4"/>
      <c r="DL381" s="4"/>
      <c r="DM381" s="4"/>
      <c r="DN381" s="4"/>
      <c r="DO381" s="4"/>
      <c r="DP381" s="4"/>
      <c r="DQ381" s="4"/>
      <c r="DR381" s="4"/>
      <c r="DS381" s="4"/>
      <c r="DT381" s="4"/>
      <c r="DU381" s="4"/>
      <c r="DV381" s="4"/>
      <c r="DW381" s="4"/>
      <c r="DX381" s="4"/>
      <c r="DY381" s="4"/>
      <c r="DZ381" s="91"/>
      <c r="EA381" s="4"/>
      <c r="EB381" s="4"/>
      <c r="EC381" s="4"/>
      <c r="ED381" s="4"/>
      <c r="EE381" s="4"/>
      <c r="EF381" s="4"/>
      <c r="EG381" s="4"/>
      <c r="EH381" s="4"/>
      <c r="EI381" s="4"/>
      <c r="EJ381" s="4"/>
      <c r="EK381" s="4"/>
      <c r="EL381" s="4"/>
      <c r="EM381" s="4"/>
      <c r="EN381" s="4"/>
      <c r="EO381" s="4"/>
      <c r="EP381" s="4"/>
      <c r="EQ381" s="4"/>
      <c r="ER381" s="4"/>
      <c r="ES381" s="4"/>
      <c r="ET381" s="4"/>
      <c r="EU381" s="4"/>
      <c r="EV381" s="4"/>
      <c r="EW381" s="4"/>
      <c r="EX381" s="4"/>
      <c r="EY381" s="4"/>
      <c r="EZ381" s="4"/>
      <c r="FA381" s="4"/>
      <c r="FB381" s="4"/>
      <c r="FC381" s="4"/>
      <c r="FD381" s="4"/>
      <c r="FE381" s="4"/>
      <c r="FF381" s="4"/>
      <c r="FG381" s="4"/>
      <c r="FH381" s="4"/>
      <c r="FI381" s="4"/>
      <c r="FJ381" s="4"/>
      <c r="FK381" s="4"/>
      <c r="FL381" s="4"/>
      <c r="FM381" s="4"/>
      <c r="FN381" s="4"/>
      <c r="FO381" s="4"/>
      <c r="FP381" s="4"/>
      <c r="FQ381" s="4"/>
      <c r="FR381" s="4"/>
      <c r="FS381" s="4"/>
      <c r="FT381" s="4"/>
      <c r="FU381" s="4"/>
      <c r="FV381" s="4"/>
      <c r="FW381" s="91"/>
      <c r="FX381" s="4"/>
      <c r="FY381" s="4"/>
      <c r="FZ381" s="4"/>
      <c r="GA381" s="4"/>
      <c r="GB381" s="4"/>
      <c r="GC381" s="4"/>
      <c r="GD381" s="4"/>
      <c r="GE381" s="4"/>
      <c r="GF381" s="4"/>
      <c r="GG381" s="4"/>
      <c r="GH381" s="4"/>
      <c r="GI381" s="4"/>
      <c r="GJ381" s="4"/>
      <c r="GK381" s="4"/>
      <c r="GL381" s="4"/>
      <c r="GM381" s="4"/>
      <c r="GN381" s="4"/>
      <c r="GO381" s="4"/>
      <c r="GP381" s="4"/>
      <c r="GQ381" s="4"/>
      <c r="GR381" s="4"/>
      <c r="GS381" s="4"/>
      <c r="GT381" s="4"/>
      <c r="GU381" s="4"/>
      <c r="GV381" s="4"/>
      <c r="GW381" s="4"/>
      <c r="GX381" s="4"/>
      <c r="GY381" s="4"/>
      <c r="GZ381" s="4"/>
      <c r="HA381" s="4"/>
      <c r="HB381" s="4"/>
      <c r="HC381" s="4"/>
      <c r="HD381" s="4"/>
      <c r="HE381" s="4"/>
      <c r="HF381" s="4"/>
      <c r="HG381" s="4"/>
      <c r="HH381" s="4"/>
      <c r="HI381" s="4"/>
      <c r="HJ381" s="4"/>
      <c r="HK381" s="91"/>
      <c r="HL381" s="4"/>
      <c r="HM381" s="115" t="s">
        <v>65</v>
      </c>
      <c r="HN381" s="1669" t="s">
        <v>643</v>
      </c>
      <c r="HO381" s="1669"/>
      <c r="HP381" s="1669"/>
      <c r="HQ381" s="116" t="s">
        <v>236</v>
      </c>
      <c r="HR381" s="116" t="s">
        <v>237</v>
      </c>
      <c r="HS381" s="116" t="s">
        <v>238</v>
      </c>
      <c r="HT381" s="116">
        <v>1.2</v>
      </c>
      <c r="HU381" s="116">
        <v>0.15</v>
      </c>
      <c r="HV381" s="116">
        <v>0.5</v>
      </c>
      <c r="HW381" s="116">
        <v>2</v>
      </c>
      <c r="HX381" s="4"/>
      <c r="HY381" s="91"/>
      <c r="HZ381" s="4"/>
      <c r="IA381" s="4"/>
      <c r="IB381" s="4"/>
      <c r="IC381" s="4"/>
      <c r="ID381" s="4"/>
      <c r="IE381" s="4"/>
      <c r="IF381" s="4"/>
      <c r="IG381" s="4"/>
      <c r="IH381" s="4"/>
      <c r="II381" s="4"/>
      <c r="IJ381" s="4"/>
      <c r="IK381" s="4"/>
      <c r="IL381" s="4"/>
      <c r="IM381" s="4"/>
      <c r="IN381" s="4"/>
      <c r="IO381" s="4"/>
      <c r="IP381" s="4"/>
      <c r="IQ381" s="4"/>
      <c r="IR381" s="4"/>
      <c r="IS381" s="4"/>
      <c r="IT381" s="91"/>
      <c r="IU381" s="4"/>
      <c r="IV381" s="4"/>
      <c r="IW381" s="4"/>
      <c r="IX381" s="4"/>
      <c r="IY381" s="4"/>
      <c r="IZ381" s="4"/>
      <c r="JA381" s="4"/>
      <c r="JB381" s="4"/>
      <c r="JC381" s="4"/>
      <c r="JD381" s="4"/>
      <c r="JE381" s="4"/>
      <c r="JF381" s="4"/>
      <c r="JG381" s="4"/>
      <c r="JH381" s="4"/>
      <c r="JI381" s="4"/>
      <c r="JJ381" s="4"/>
      <c r="JK381" s="4"/>
      <c r="JL381" s="91"/>
      <c r="JM381" s="4"/>
      <c r="JN381" s="4"/>
      <c r="JO381" s="4"/>
      <c r="JP381" s="4"/>
      <c r="JQ381" s="4"/>
      <c r="JR381" s="4"/>
    </row>
    <row r="382" spans="2:278" s="112" customFormat="1" ht="12" customHeight="1">
      <c r="B382" s="4"/>
      <c r="C382" s="4"/>
      <c r="D382" s="4"/>
      <c r="E382" s="4"/>
      <c r="F382" s="4"/>
      <c r="G382" s="4"/>
      <c r="H382" s="4"/>
      <c r="I382" s="4"/>
      <c r="J382" s="4"/>
      <c r="K382" s="4"/>
      <c r="L382" s="4"/>
      <c r="M382" s="4"/>
      <c r="N382" s="4"/>
      <c r="O382" s="4"/>
      <c r="P382" s="4"/>
      <c r="Q382" s="4"/>
      <c r="R382" s="4"/>
      <c r="S382" s="4"/>
      <c r="T382" s="4"/>
      <c r="U382" s="4"/>
      <c r="V382" s="4"/>
      <c r="W382" s="91"/>
      <c r="X382" s="4"/>
      <c r="Y382" s="4"/>
      <c r="Z382" s="4"/>
      <c r="AA382" s="4"/>
      <c r="AB382" s="4"/>
      <c r="AC382" s="4"/>
      <c r="AD382" s="4"/>
      <c r="AE382" s="4"/>
      <c r="AF382" s="4"/>
      <c r="AG382" s="91"/>
      <c r="AH382" s="4"/>
      <c r="AI382" s="4"/>
      <c r="AJ382" s="4"/>
      <c r="AK382" s="4"/>
      <c r="AL382" s="4"/>
      <c r="AM382" s="4"/>
      <c r="AN382" s="4"/>
      <c r="AO382" s="4"/>
      <c r="AP382" s="4"/>
      <c r="AQ382" s="4"/>
      <c r="AR382" s="4"/>
      <c r="AS382" s="4"/>
      <c r="AT382" s="4"/>
      <c r="AU382" s="4"/>
      <c r="AV382" s="4"/>
      <c r="AW382" s="4"/>
      <c r="AX382" s="4"/>
      <c r="AY382" s="4"/>
      <c r="AZ382" s="4"/>
      <c r="BA382" s="4"/>
      <c r="BB382" s="4"/>
      <c r="BC382" s="4"/>
      <c r="BD382" s="4"/>
      <c r="BE382" s="4"/>
      <c r="BF382" s="4"/>
      <c r="BG382" s="4"/>
      <c r="BH382" s="4"/>
      <c r="BI382" s="4"/>
      <c r="BJ382" s="4"/>
      <c r="BK382" s="4"/>
      <c r="BL382" s="4"/>
      <c r="BM382" s="4"/>
      <c r="BN382" s="4"/>
      <c r="BO382" s="4"/>
      <c r="BP382" s="4"/>
      <c r="BQ382" s="4"/>
      <c r="BR382" s="4"/>
      <c r="BS382" s="4"/>
      <c r="BT382" s="4"/>
      <c r="BU382" s="4"/>
      <c r="BV382" s="4"/>
      <c r="BW382" s="4"/>
      <c r="BX382" s="4"/>
      <c r="BY382" s="4"/>
      <c r="BZ382" s="4"/>
      <c r="CA382" s="4"/>
      <c r="CB382" s="4"/>
      <c r="CC382" s="4"/>
      <c r="CD382" s="4"/>
      <c r="CE382" s="4"/>
      <c r="CF382" s="4"/>
      <c r="CG382" s="4"/>
      <c r="CH382" s="4"/>
      <c r="CI382" s="4"/>
      <c r="CJ382" s="4"/>
      <c r="CK382" s="4"/>
      <c r="CL382" s="4"/>
      <c r="CM382" s="4"/>
      <c r="CN382" s="4"/>
      <c r="CO382" s="4"/>
      <c r="CP382" s="4"/>
      <c r="CQ382" s="4"/>
      <c r="CR382" s="4"/>
      <c r="CS382" s="4"/>
      <c r="CT382" s="4"/>
      <c r="CU382" s="4"/>
      <c r="CV382" s="4"/>
      <c r="CW382" s="4"/>
      <c r="CX382" s="4"/>
      <c r="CY382" s="4"/>
      <c r="CZ382" s="4"/>
      <c r="DA382" s="4"/>
      <c r="DB382" s="4"/>
      <c r="DC382" s="4"/>
      <c r="DD382" s="4"/>
      <c r="DE382" s="4"/>
      <c r="DF382" s="4"/>
      <c r="DG382" s="4"/>
      <c r="DH382" s="4"/>
      <c r="DI382" s="4"/>
      <c r="DJ382" s="4"/>
      <c r="DK382" s="4"/>
      <c r="DL382" s="4"/>
      <c r="DM382" s="4"/>
      <c r="DN382" s="4"/>
      <c r="DO382" s="4"/>
      <c r="DP382" s="4"/>
      <c r="DQ382" s="4"/>
      <c r="DR382" s="4"/>
      <c r="DS382" s="4"/>
      <c r="DT382" s="4"/>
      <c r="DU382" s="4"/>
      <c r="DV382" s="4"/>
      <c r="DW382" s="4"/>
      <c r="DX382" s="4"/>
      <c r="DY382" s="4"/>
      <c r="DZ382" s="91"/>
      <c r="EA382" s="4"/>
      <c r="EB382" s="4"/>
      <c r="EC382" s="4"/>
      <c r="ED382" s="4"/>
      <c r="EE382" s="4"/>
      <c r="EF382" s="4"/>
      <c r="EG382" s="4"/>
      <c r="EH382" s="4"/>
      <c r="EI382" s="4"/>
      <c r="EJ382" s="4"/>
      <c r="EK382" s="4"/>
      <c r="EL382" s="4"/>
      <c r="EM382" s="4"/>
      <c r="EN382" s="4"/>
      <c r="EO382" s="4"/>
      <c r="EP382" s="4"/>
      <c r="EQ382" s="4"/>
      <c r="ER382" s="4"/>
      <c r="ES382" s="4"/>
      <c r="ET382" s="4"/>
      <c r="EU382" s="4"/>
      <c r="EV382" s="4"/>
      <c r="EW382" s="4"/>
      <c r="EX382" s="4"/>
      <c r="EY382" s="4"/>
      <c r="EZ382" s="4"/>
      <c r="FA382" s="4"/>
      <c r="FB382" s="4"/>
      <c r="FC382" s="4"/>
      <c r="FD382" s="4"/>
      <c r="FE382" s="4"/>
      <c r="FF382" s="4"/>
      <c r="FG382" s="4"/>
      <c r="FH382" s="4"/>
      <c r="FI382" s="4"/>
      <c r="FJ382" s="4"/>
      <c r="FK382" s="4"/>
      <c r="FL382" s="4"/>
      <c r="FM382" s="4"/>
      <c r="FN382" s="4"/>
      <c r="FO382" s="4"/>
      <c r="FP382" s="4"/>
      <c r="FQ382" s="4"/>
      <c r="FR382" s="4"/>
      <c r="FS382" s="4"/>
      <c r="FT382" s="4"/>
      <c r="FU382" s="4"/>
      <c r="FV382" s="4"/>
      <c r="FW382" s="91"/>
      <c r="FX382" s="4"/>
      <c r="FY382" s="4"/>
      <c r="FZ382" s="4"/>
      <c r="GA382" s="4"/>
      <c r="GB382" s="4"/>
      <c r="GC382" s="4"/>
      <c r="GD382" s="4"/>
      <c r="GE382" s="4"/>
      <c r="GF382" s="4"/>
      <c r="GG382" s="4"/>
      <c r="GH382" s="4"/>
      <c r="GI382" s="4"/>
      <c r="GJ382" s="4"/>
      <c r="GK382" s="4"/>
      <c r="GL382" s="4"/>
      <c r="GM382" s="4"/>
      <c r="GN382" s="4"/>
      <c r="GO382" s="4"/>
      <c r="GP382" s="4"/>
      <c r="GQ382" s="4"/>
      <c r="GR382" s="4"/>
      <c r="GS382" s="4"/>
      <c r="GT382" s="4"/>
      <c r="GU382" s="4"/>
      <c r="GV382" s="4"/>
      <c r="GW382" s="4"/>
      <c r="GX382" s="4"/>
      <c r="GY382" s="4"/>
      <c r="GZ382" s="4"/>
      <c r="HA382" s="4"/>
      <c r="HB382" s="4"/>
      <c r="HC382" s="4"/>
      <c r="HD382" s="4"/>
      <c r="HE382" s="4"/>
      <c r="HF382" s="4"/>
      <c r="HG382" s="4"/>
      <c r="HH382" s="4"/>
      <c r="HI382" s="4"/>
      <c r="HJ382" s="4"/>
      <c r="HK382" s="91"/>
      <c r="HL382" s="4"/>
      <c r="HM382" s="113" t="s">
        <v>67</v>
      </c>
      <c r="HN382" s="1681" t="s">
        <v>644</v>
      </c>
      <c r="HO382" s="1681"/>
      <c r="HP382" s="1681"/>
      <c r="HQ382" s="114" t="s">
        <v>239</v>
      </c>
      <c r="HR382" s="114" t="s">
        <v>240</v>
      </c>
      <c r="HS382" s="114" t="s">
        <v>241</v>
      </c>
      <c r="HT382" s="114">
        <v>1.1499999999999999</v>
      </c>
      <c r="HU382" s="114">
        <v>0.2</v>
      </c>
      <c r="HV382" s="114">
        <v>0.6</v>
      </c>
      <c r="HW382" s="114">
        <v>2</v>
      </c>
      <c r="HX382" s="4"/>
      <c r="HY382" s="91"/>
      <c r="HZ382" s="4"/>
      <c r="IA382" s="4"/>
      <c r="IB382" s="4"/>
      <c r="IC382" s="4"/>
      <c r="ID382" s="4"/>
      <c r="IE382" s="4"/>
      <c r="IF382" s="4"/>
      <c r="IG382" s="4"/>
      <c r="IH382" s="4"/>
      <c r="II382" s="4"/>
      <c r="IJ382" s="4"/>
      <c r="IK382" s="4"/>
      <c r="IL382" s="4"/>
      <c r="IM382" s="4"/>
      <c r="IN382" s="4"/>
      <c r="IO382" s="4"/>
      <c r="IP382" s="4"/>
      <c r="IQ382" s="4"/>
      <c r="IR382" s="4"/>
      <c r="IS382" s="4"/>
      <c r="IT382" s="91"/>
      <c r="IU382" s="4"/>
      <c r="IV382" s="4"/>
      <c r="IW382" s="4"/>
      <c r="IX382" s="4"/>
      <c r="IY382" s="4"/>
      <c r="IZ382" s="4"/>
      <c r="JA382" s="4"/>
      <c r="JB382" s="4"/>
      <c r="JC382" s="4"/>
      <c r="JD382" s="4"/>
      <c r="JE382" s="4"/>
      <c r="JF382" s="4"/>
      <c r="JG382" s="4"/>
      <c r="JH382" s="4"/>
      <c r="JI382" s="4"/>
      <c r="JJ382" s="4"/>
      <c r="JK382" s="4"/>
      <c r="JL382" s="91"/>
      <c r="JM382" s="4"/>
      <c r="JN382" s="4"/>
      <c r="JO382" s="4"/>
      <c r="JP382" s="4"/>
      <c r="JQ382" s="4"/>
      <c r="JR382" s="4"/>
    </row>
    <row r="383" spans="2:278" s="112" customFormat="1" ht="12" customHeight="1">
      <c r="B383" s="4"/>
      <c r="C383" s="4"/>
      <c r="D383" s="4"/>
      <c r="E383" s="4"/>
      <c r="F383" s="4"/>
      <c r="G383" s="4"/>
      <c r="H383" s="4"/>
      <c r="I383" s="4"/>
      <c r="J383" s="4"/>
      <c r="K383" s="4"/>
      <c r="L383" s="4"/>
      <c r="M383" s="4"/>
      <c r="N383" s="4"/>
      <c r="O383" s="4"/>
      <c r="P383" s="4"/>
      <c r="Q383" s="4"/>
      <c r="R383" s="4"/>
      <c r="S383" s="4"/>
      <c r="T383" s="4"/>
      <c r="U383" s="4"/>
      <c r="V383" s="4"/>
      <c r="W383" s="91"/>
      <c r="X383" s="4"/>
      <c r="Y383" s="4"/>
      <c r="Z383" s="4"/>
      <c r="AA383" s="4"/>
      <c r="AB383" s="4"/>
      <c r="AC383" s="4"/>
      <c r="AD383" s="4"/>
      <c r="AE383" s="4"/>
      <c r="AF383" s="4"/>
      <c r="AG383" s="91"/>
      <c r="AH383" s="4"/>
      <c r="AI383" s="4"/>
      <c r="AJ383" s="4"/>
      <c r="AK383" s="4"/>
      <c r="AL383" s="4"/>
      <c r="AM383" s="4"/>
      <c r="AN383" s="4"/>
      <c r="AO383" s="4"/>
      <c r="AP383" s="4"/>
      <c r="AQ383" s="4"/>
      <c r="AR383" s="4"/>
      <c r="AS383" s="4"/>
      <c r="AT383" s="4"/>
      <c r="AU383" s="4"/>
      <c r="AV383" s="4"/>
      <c r="AW383" s="4"/>
      <c r="AX383" s="4"/>
      <c r="AY383" s="4"/>
      <c r="AZ383" s="4"/>
      <c r="BA383" s="4"/>
      <c r="BB383" s="4"/>
      <c r="BC383" s="4"/>
      <c r="BD383" s="4"/>
      <c r="BE383" s="4"/>
      <c r="BF383" s="4"/>
      <c r="BG383" s="4"/>
      <c r="BH383" s="4"/>
      <c r="BI383" s="4"/>
      <c r="BJ383" s="4"/>
      <c r="BK383" s="4"/>
      <c r="BL383" s="4"/>
      <c r="BM383" s="4"/>
      <c r="BN383" s="4"/>
      <c r="BO383" s="4"/>
      <c r="BP383" s="4"/>
      <c r="BQ383" s="4"/>
      <c r="BR383" s="4"/>
      <c r="BS383" s="4"/>
      <c r="BT383" s="4"/>
      <c r="BU383" s="4"/>
      <c r="BV383" s="4"/>
      <c r="BW383" s="4"/>
      <c r="BX383" s="4"/>
      <c r="BY383" s="4"/>
      <c r="BZ383" s="4"/>
      <c r="CA383" s="4"/>
      <c r="CB383" s="4"/>
      <c r="CC383" s="4"/>
      <c r="CD383" s="4"/>
      <c r="CE383" s="4"/>
      <c r="CF383" s="4"/>
      <c r="CG383" s="4"/>
      <c r="CH383" s="4"/>
      <c r="CI383" s="4"/>
      <c r="CJ383" s="4"/>
      <c r="CK383" s="4"/>
      <c r="CL383" s="4"/>
      <c r="CM383" s="4"/>
      <c r="CN383" s="4"/>
      <c r="CO383" s="4"/>
      <c r="CP383" s="4"/>
      <c r="CQ383" s="4"/>
      <c r="CR383" s="4"/>
      <c r="CS383" s="4"/>
      <c r="CT383" s="4"/>
      <c r="CU383" s="4"/>
      <c r="CV383" s="4"/>
      <c r="CW383" s="4"/>
      <c r="CX383" s="4"/>
      <c r="CY383" s="4"/>
      <c r="CZ383" s="4"/>
      <c r="DA383" s="4"/>
      <c r="DB383" s="4"/>
      <c r="DC383" s="4"/>
      <c r="DD383" s="4"/>
      <c r="DE383" s="4"/>
      <c r="DF383" s="4"/>
      <c r="DG383" s="4"/>
      <c r="DH383" s="4"/>
      <c r="DI383" s="4"/>
      <c r="DJ383" s="4"/>
      <c r="DK383" s="4"/>
      <c r="DL383" s="4"/>
      <c r="DM383" s="4"/>
      <c r="DN383" s="4"/>
      <c r="DO383" s="4"/>
      <c r="DP383" s="4"/>
      <c r="DQ383" s="4"/>
      <c r="DR383" s="4"/>
      <c r="DS383" s="4"/>
      <c r="DT383" s="4"/>
      <c r="DU383" s="4"/>
      <c r="DV383" s="4"/>
      <c r="DW383" s="4"/>
      <c r="DX383" s="4"/>
      <c r="DY383" s="4"/>
      <c r="DZ383" s="91"/>
      <c r="EA383" s="4"/>
      <c r="EB383" s="4"/>
      <c r="EC383" s="4"/>
      <c r="ED383" s="4"/>
      <c r="EE383" s="4"/>
      <c r="EF383" s="4"/>
      <c r="EG383" s="4"/>
      <c r="EH383" s="4"/>
      <c r="EI383" s="4"/>
      <c r="EJ383" s="4"/>
      <c r="EK383" s="4"/>
      <c r="EL383" s="4"/>
      <c r="EM383" s="4"/>
      <c r="EN383" s="4"/>
      <c r="EO383" s="4"/>
      <c r="EP383" s="4"/>
      <c r="EQ383" s="4"/>
      <c r="ER383" s="4"/>
      <c r="ES383" s="4"/>
      <c r="ET383" s="4"/>
      <c r="EU383" s="4"/>
      <c r="EV383" s="4"/>
      <c r="EW383" s="4"/>
      <c r="EX383" s="4"/>
      <c r="EY383" s="4"/>
      <c r="EZ383" s="4"/>
      <c r="FA383" s="4"/>
      <c r="FB383" s="4"/>
      <c r="FC383" s="4"/>
      <c r="FD383" s="4"/>
      <c r="FE383" s="4"/>
      <c r="FF383" s="4"/>
      <c r="FG383" s="4"/>
      <c r="FH383" s="4"/>
      <c r="FI383" s="4"/>
      <c r="FJ383" s="4"/>
      <c r="FK383" s="4"/>
      <c r="FL383" s="4"/>
      <c r="FM383" s="4"/>
      <c r="FN383" s="4"/>
      <c r="FO383" s="4"/>
      <c r="FP383" s="4"/>
      <c r="FQ383" s="4"/>
      <c r="FR383" s="4"/>
      <c r="FS383" s="4"/>
      <c r="FT383" s="4"/>
      <c r="FU383" s="4"/>
      <c r="FV383" s="4"/>
      <c r="FW383" s="91"/>
      <c r="FX383" s="4"/>
      <c r="FY383" s="4"/>
      <c r="FZ383" s="4"/>
      <c r="GA383" s="4"/>
      <c r="GB383" s="4"/>
      <c r="GC383" s="4"/>
      <c r="GD383" s="4"/>
      <c r="GE383" s="4"/>
      <c r="GF383" s="4"/>
      <c r="GG383" s="4"/>
      <c r="GH383" s="4"/>
      <c r="GI383" s="4"/>
      <c r="GJ383" s="4"/>
      <c r="GK383" s="4"/>
      <c r="GL383" s="4"/>
      <c r="GM383" s="4"/>
      <c r="GN383" s="4"/>
      <c r="GO383" s="4"/>
      <c r="GP383" s="4"/>
      <c r="GQ383" s="4"/>
      <c r="GR383" s="4"/>
      <c r="GS383" s="4"/>
      <c r="GT383" s="4"/>
      <c r="GU383" s="4"/>
      <c r="GV383" s="4"/>
      <c r="GW383" s="4"/>
      <c r="GX383" s="4"/>
      <c r="GY383" s="4"/>
      <c r="GZ383" s="4"/>
      <c r="HA383" s="4"/>
      <c r="HB383" s="4"/>
      <c r="HC383" s="4"/>
      <c r="HD383" s="4"/>
      <c r="HE383" s="4"/>
      <c r="HF383" s="4"/>
      <c r="HG383" s="4"/>
      <c r="HH383" s="4"/>
      <c r="HI383" s="4"/>
      <c r="HJ383" s="4"/>
      <c r="HK383" s="91"/>
      <c r="HL383" s="4"/>
      <c r="HM383" s="115" t="s">
        <v>69</v>
      </c>
      <c r="HN383" s="1669" t="s">
        <v>645</v>
      </c>
      <c r="HO383" s="1669"/>
      <c r="HP383" s="1669"/>
      <c r="HQ383" s="116" t="s">
        <v>242</v>
      </c>
      <c r="HR383" s="116" t="s">
        <v>243</v>
      </c>
      <c r="HS383" s="116" t="s">
        <v>244</v>
      </c>
      <c r="HT383" s="116">
        <v>1.35</v>
      </c>
      <c r="HU383" s="116">
        <v>0.2</v>
      </c>
      <c r="HV383" s="116">
        <v>0.8</v>
      </c>
      <c r="HW383" s="116">
        <v>2</v>
      </c>
      <c r="HX383" s="4"/>
      <c r="HY383" s="91"/>
      <c r="HZ383" s="4"/>
      <c r="IA383" s="4"/>
      <c r="IB383" s="4"/>
      <c r="IC383" s="4"/>
      <c r="ID383" s="4"/>
      <c r="IE383" s="4"/>
      <c r="IF383" s="4"/>
      <c r="IG383" s="4"/>
      <c r="IH383" s="4"/>
      <c r="II383" s="4"/>
      <c r="IJ383" s="4"/>
      <c r="IK383" s="4"/>
      <c r="IL383" s="4"/>
      <c r="IM383" s="4"/>
      <c r="IN383" s="4"/>
      <c r="IO383" s="4"/>
      <c r="IP383" s="4"/>
      <c r="IQ383" s="4"/>
      <c r="IR383" s="4"/>
      <c r="IS383" s="4"/>
      <c r="IT383" s="91"/>
      <c r="IU383" s="4"/>
      <c r="IV383" s="4"/>
      <c r="IW383" s="4"/>
      <c r="IX383" s="4"/>
      <c r="IY383" s="4"/>
      <c r="IZ383" s="4"/>
      <c r="JA383" s="4"/>
      <c r="JB383" s="4"/>
      <c r="JC383" s="4"/>
      <c r="JD383" s="4"/>
      <c r="JE383" s="4"/>
      <c r="JF383" s="4"/>
      <c r="JG383" s="4"/>
      <c r="JH383" s="4"/>
      <c r="JI383" s="4"/>
      <c r="JJ383" s="4"/>
      <c r="JK383" s="4"/>
      <c r="JL383" s="91"/>
      <c r="JM383" s="4"/>
      <c r="JN383" s="4"/>
      <c r="JO383" s="4"/>
      <c r="JP383" s="4"/>
      <c r="JQ383" s="4"/>
      <c r="JR383" s="4"/>
    </row>
    <row r="384" spans="2:278" s="112" customFormat="1" ht="12" customHeight="1">
      <c r="B384" s="4"/>
      <c r="C384" s="4"/>
      <c r="D384" s="4"/>
      <c r="E384" s="4"/>
      <c r="F384" s="4"/>
      <c r="G384" s="4"/>
      <c r="H384" s="4"/>
      <c r="I384" s="4"/>
      <c r="J384" s="4"/>
      <c r="K384" s="4"/>
      <c r="L384" s="4"/>
      <c r="M384" s="4"/>
      <c r="N384" s="4"/>
      <c r="O384" s="4"/>
      <c r="P384" s="4"/>
      <c r="Q384" s="4"/>
      <c r="R384" s="4"/>
      <c r="S384" s="4"/>
      <c r="T384" s="4"/>
      <c r="U384" s="4"/>
      <c r="V384" s="4"/>
      <c r="W384" s="91"/>
      <c r="X384" s="4"/>
      <c r="Y384" s="4"/>
      <c r="Z384" s="4"/>
      <c r="AA384" s="4"/>
      <c r="AB384" s="4"/>
      <c r="AC384" s="4"/>
      <c r="AD384" s="4"/>
      <c r="AE384" s="4"/>
      <c r="AF384" s="4"/>
      <c r="AG384" s="91"/>
      <c r="AH384" s="4"/>
      <c r="AI384" s="4"/>
      <c r="AJ384" s="4"/>
      <c r="AK384" s="4"/>
      <c r="AL384" s="4"/>
      <c r="AM384" s="4"/>
      <c r="AN384" s="4"/>
      <c r="AO384" s="4"/>
      <c r="AP384" s="4"/>
      <c r="AQ384" s="4"/>
      <c r="AR384" s="4"/>
      <c r="AS384" s="4"/>
      <c r="AT384" s="4"/>
      <c r="AU384" s="4"/>
      <c r="AV384" s="4"/>
      <c r="AW384" s="4"/>
      <c r="AX384" s="4"/>
      <c r="AY384" s="4"/>
      <c r="AZ384" s="4"/>
      <c r="BA384" s="4"/>
      <c r="BB384" s="4"/>
      <c r="BC384" s="4"/>
      <c r="BD384" s="4"/>
      <c r="BE384" s="4"/>
      <c r="BF384" s="4"/>
      <c r="BG384" s="4"/>
      <c r="BH384" s="4"/>
      <c r="BI384" s="4"/>
      <c r="BJ384" s="4"/>
      <c r="BK384" s="4"/>
      <c r="BL384" s="4"/>
      <c r="BM384" s="4"/>
      <c r="BN384" s="4"/>
      <c r="BO384" s="4"/>
      <c r="BP384" s="4"/>
      <c r="BQ384" s="4"/>
      <c r="BR384" s="4"/>
      <c r="BS384" s="4"/>
      <c r="BT384" s="4"/>
      <c r="BU384" s="4"/>
      <c r="BV384" s="4"/>
      <c r="BW384" s="4"/>
      <c r="BX384" s="4"/>
      <c r="BY384" s="4"/>
      <c r="BZ384" s="4"/>
      <c r="CA384" s="4"/>
      <c r="CB384" s="4"/>
      <c r="CC384" s="4"/>
      <c r="CD384" s="4"/>
      <c r="CE384" s="4"/>
      <c r="CF384" s="4"/>
      <c r="CG384" s="4"/>
      <c r="CH384" s="4"/>
      <c r="CI384" s="4"/>
      <c r="CJ384" s="4"/>
      <c r="CK384" s="4"/>
      <c r="CL384" s="4"/>
      <c r="CM384" s="4"/>
      <c r="CN384" s="4"/>
      <c r="CO384" s="4"/>
      <c r="CP384" s="4"/>
      <c r="CQ384" s="4"/>
      <c r="CR384" s="4"/>
      <c r="CS384" s="4"/>
      <c r="CT384" s="4"/>
      <c r="CU384" s="4"/>
      <c r="CV384" s="4"/>
      <c r="CW384" s="4"/>
      <c r="CX384" s="4"/>
      <c r="CY384" s="4"/>
      <c r="CZ384" s="4"/>
      <c r="DA384" s="4"/>
      <c r="DB384" s="4"/>
      <c r="DC384" s="4"/>
      <c r="DD384" s="4"/>
      <c r="DE384" s="4"/>
      <c r="DF384" s="4"/>
      <c r="DG384" s="4"/>
      <c r="DH384" s="4"/>
      <c r="DI384" s="4"/>
      <c r="DJ384" s="4"/>
      <c r="DK384" s="4"/>
      <c r="DL384" s="4"/>
      <c r="DM384" s="4"/>
      <c r="DN384" s="4"/>
      <c r="DO384" s="4"/>
      <c r="DP384" s="4"/>
      <c r="DQ384" s="4"/>
      <c r="DR384" s="4"/>
      <c r="DS384" s="4"/>
      <c r="DT384" s="4"/>
      <c r="DU384" s="4"/>
      <c r="DV384" s="4"/>
      <c r="DW384" s="4"/>
      <c r="DX384" s="4"/>
      <c r="DY384" s="4"/>
      <c r="DZ384" s="91"/>
      <c r="EA384" s="4"/>
      <c r="EB384" s="4"/>
      <c r="EC384" s="4"/>
      <c r="ED384" s="4"/>
      <c r="EE384" s="4"/>
      <c r="EF384" s="4"/>
      <c r="EG384" s="4"/>
      <c r="EH384" s="4"/>
      <c r="EI384" s="4"/>
      <c r="EJ384" s="4"/>
      <c r="EK384" s="4"/>
      <c r="EL384" s="4"/>
      <c r="EM384" s="4"/>
      <c r="EN384" s="4"/>
      <c r="EO384" s="4"/>
      <c r="EP384" s="4"/>
      <c r="EQ384" s="4"/>
      <c r="ER384" s="4"/>
      <c r="ES384" s="4"/>
      <c r="ET384" s="4"/>
      <c r="EU384" s="4"/>
      <c r="EV384" s="4"/>
      <c r="EW384" s="4"/>
      <c r="EX384" s="4"/>
      <c r="EY384" s="4"/>
      <c r="EZ384" s="4"/>
      <c r="FA384" s="4"/>
      <c r="FB384" s="4"/>
      <c r="FC384" s="4"/>
      <c r="FD384" s="4"/>
      <c r="FE384" s="4"/>
      <c r="FF384" s="4"/>
      <c r="FG384" s="4"/>
      <c r="FH384" s="4"/>
      <c r="FI384" s="4"/>
      <c r="FJ384" s="4"/>
      <c r="FK384" s="4"/>
      <c r="FL384" s="4"/>
      <c r="FM384" s="4"/>
      <c r="FN384" s="4"/>
      <c r="FO384" s="4"/>
      <c r="FP384" s="4"/>
      <c r="FQ384" s="4"/>
      <c r="FR384" s="4"/>
      <c r="FS384" s="4"/>
      <c r="FT384" s="4"/>
      <c r="FU384" s="4"/>
      <c r="FV384" s="4"/>
      <c r="FW384" s="91"/>
      <c r="FX384" s="4"/>
      <c r="FY384" s="4"/>
      <c r="FZ384" s="4"/>
      <c r="GA384" s="4"/>
      <c r="GB384" s="4"/>
      <c r="GC384" s="4"/>
      <c r="GD384" s="4"/>
      <c r="GE384" s="4"/>
      <c r="GF384" s="4"/>
      <c r="GG384" s="4"/>
      <c r="GH384" s="4"/>
      <c r="GI384" s="4"/>
      <c r="GJ384" s="4"/>
      <c r="GK384" s="4"/>
      <c r="GL384" s="4"/>
      <c r="GM384" s="4"/>
      <c r="GN384" s="4"/>
      <c r="GO384" s="4"/>
      <c r="GP384" s="4"/>
      <c r="GQ384" s="4"/>
      <c r="GR384" s="4"/>
      <c r="GS384" s="4"/>
      <c r="GT384" s="4"/>
      <c r="GU384" s="4"/>
      <c r="GV384" s="4"/>
      <c r="GW384" s="4"/>
      <c r="GX384" s="4"/>
      <c r="GY384" s="4"/>
      <c r="GZ384" s="4"/>
      <c r="HA384" s="4"/>
      <c r="HB384" s="4"/>
      <c r="HC384" s="4"/>
      <c r="HD384" s="4"/>
      <c r="HE384" s="4"/>
      <c r="HF384" s="4"/>
      <c r="HG384" s="4"/>
      <c r="HH384" s="4"/>
      <c r="HI384" s="4"/>
      <c r="HJ384" s="4"/>
      <c r="HK384" s="91"/>
      <c r="HL384" s="4"/>
      <c r="HM384" s="113" t="s">
        <v>71</v>
      </c>
      <c r="HN384" s="1681" t="s">
        <v>646</v>
      </c>
      <c r="HO384" s="1681"/>
      <c r="HP384" s="1681"/>
      <c r="HQ384" s="114" t="s">
        <v>235</v>
      </c>
      <c r="HR384" s="114" t="s">
        <v>235</v>
      </c>
      <c r="HS384" s="114" t="s">
        <v>235</v>
      </c>
      <c r="HT384" s="114">
        <v>1.4</v>
      </c>
      <c r="HU384" s="114">
        <v>0.15</v>
      </c>
      <c r="HV384" s="114">
        <v>0.5</v>
      </c>
      <c r="HW384" s="114">
        <v>2</v>
      </c>
      <c r="HX384" s="4"/>
      <c r="HY384" s="91"/>
      <c r="HZ384" s="4"/>
      <c r="IA384" s="4"/>
      <c r="IB384" s="4"/>
      <c r="IC384" s="4"/>
      <c r="ID384" s="4"/>
      <c r="IE384" s="4"/>
      <c r="IF384" s="4"/>
      <c r="IG384" s="4"/>
      <c r="IH384" s="4"/>
      <c r="II384" s="4"/>
      <c r="IJ384" s="4"/>
      <c r="IK384" s="4"/>
      <c r="IL384" s="4"/>
      <c r="IM384" s="4"/>
      <c r="IN384" s="4"/>
      <c r="IO384" s="4"/>
      <c r="IP384" s="4"/>
      <c r="IQ384" s="4"/>
      <c r="IR384" s="4"/>
      <c r="IS384" s="4"/>
      <c r="IT384" s="91"/>
      <c r="IU384" s="4"/>
      <c r="IV384" s="4"/>
      <c r="IW384" s="4"/>
      <c r="IX384" s="4"/>
      <c r="IY384" s="4"/>
      <c r="IZ384" s="4"/>
      <c r="JA384" s="4"/>
      <c r="JB384" s="4"/>
      <c r="JC384" s="4"/>
      <c r="JD384" s="4"/>
      <c r="JE384" s="4"/>
      <c r="JF384" s="4"/>
      <c r="JG384" s="4"/>
      <c r="JH384" s="4"/>
      <c r="JI384" s="4"/>
      <c r="JJ384" s="4"/>
      <c r="JK384" s="4"/>
      <c r="JL384" s="91"/>
      <c r="JM384" s="4"/>
      <c r="JN384" s="4"/>
      <c r="JO384" s="4"/>
      <c r="JP384" s="4"/>
      <c r="JQ384" s="4"/>
      <c r="JR384" s="4"/>
    </row>
    <row r="385" spans="2:278" s="112" customFormat="1" ht="12" customHeight="1">
      <c r="B385" s="4"/>
      <c r="C385" s="4"/>
      <c r="D385" s="4"/>
      <c r="E385" s="4"/>
      <c r="F385" s="4"/>
      <c r="G385" s="4"/>
      <c r="H385" s="4"/>
      <c r="I385" s="4"/>
      <c r="J385" s="4"/>
      <c r="K385" s="4"/>
      <c r="L385" s="4"/>
      <c r="M385" s="4"/>
      <c r="N385" s="4"/>
      <c r="O385" s="4"/>
      <c r="P385" s="4"/>
      <c r="Q385" s="4"/>
      <c r="R385" s="4"/>
      <c r="S385" s="4"/>
      <c r="T385" s="4"/>
      <c r="U385" s="4"/>
      <c r="V385" s="4"/>
      <c r="W385" s="91"/>
      <c r="X385" s="4"/>
      <c r="Y385" s="4"/>
      <c r="Z385" s="4"/>
      <c r="AA385" s="4"/>
      <c r="AB385" s="4"/>
      <c r="AC385" s="4"/>
      <c r="AD385" s="4"/>
      <c r="AE385" s="4"/>
      <c r="AF385" s="4"/>
      <c r="AG385" s="91"/>
      <c r="AH385" s="4"/>
      <c r="AI385" s="4"/>
      <c r="AJ385" s="4"/>
      <c r="AK385" s="4"/>
      <c r="AL385" s="4"/>
      <c r="AM385" s="4"/>
      <c r="AN385" s="4"/>
      <c r="AO385" s="4"/>
      <c r="AP385" s="4"/>
      <c r="AQ385" s="4"/>
      <c r="AR385" s="4"/>
      <c r="AS385" s="4"/>
      <c r="AT385" s="4"/>
      <c r="AU385" s="4"/>
      <c r="AV385" s="4"/>
      <c r="AW385" s="4"/>
      <c r="AX385" s="4"/>
      <c r="AY385" s="4"/>
      <c r="AZ385" s="4"/>
      <c r="BA385" s="4"/>
      <c r="BB385" s="4"/>
      <c r="BC385" s="4"/>
      <c r="BD385" s="4"/>
      <c r="BE385" s="4"/>
      <c r="BF385" s="4"/>
      <c r="BG385" s="4"/>
      <c r="BH385" s="4"/>
      <c r="BI385" s="4"/>
      <c r="BJ385" s="4"/>
      <c r="BK385" s="4"/>
      <c r="BL385" s="4"/>
      <c r="BM385" s="4"/>
      <c r="BN385" s="4"/>
      <c r="BO385" s="4"/>
      <c r="BP385" s="4"/>
      <c r="BQ385" s="4"/>
      <c r="BR385" s="4"/>
      <c r="BS385" s="4"/>
      <c r="BT385" s="4"/>
      <c r="BU385" s="4"/>
      <c r="BV385" s="4"/>
      <c r="BW385" s="4"/>
      <c r="BX385" s="4"/>
      <c r="BY385" s="4"/>
      <c r="BZ385" s="4"/>
      <c r="CA385" s="4"/>
      <c r="CB385" s="4"/>
      <c r="CC385" s="4"/>
      <c r="CD385" s="4"/>
      <c r="CE385" s="4"/>
      <c r="CF385" s="4"/>
      <c r="CG385" s="4"/>
      <c r="CH385" s="4"/>
      <c r="CI385" s="4"/>
      <c r="CJ385" s="4"/>
      <c r="CK385" s="4"/>
      <c r="CL385" s="4"/>
      <c r="CM385" s="4"/>
      <c r="CN385" s="4"/>
      <c r="CO385" s="4"/>
      <c r="CP385" s="4"/>
      <c r="CQ385" s="4"/>
      <c r="CR385" s="4"/>
      <c r="CS385" s="4"/>
      <c r="CT385" s="4"/>
      <c r="CU385" s="4"/>
      <c r="CV385" s="4"/>
      <c r="CW385" s="4"/>
      <c r="CX385" s="4"/>
      <c r="CY385" s="4"/>
      <c r="CZ385" s="4"/>
      <c r="DA385" s="4"/>
      <c r="DB385" s="4"/>
      <c r="DC385" s="4"/>
      <c r="DD385" s="4"/>
      <c r="DE385" s="4"/>
      <c r="DF385" s="4"/>
      <c r="DG385" s="4"/>
      <c r="DH385" s="4"/>
      <c r="DI385" s="4"/>
      <c r="DJ385" s="4"/>
      <c r="DK385" s="4"/>
      <c r="DL385" s="4"/>
      <c r="DM385" s="4"/>
      <c r="DN385" s="4"/>
      <c r="DO385" s="4"/>
      <c r="DP385" s="4"/>
      <c r="DQ385" s="4"/>
      <c r="DR385" s="4"/>
      <c r="DS385" s="4"/>
      <c r="DT385" s="4"/>
      <c r="DU385" s="4"/>
      <c r="DV385" s="4"/>
      <c r="DW385" s="4"/>
      <c r="DX385" s="4"/>
      <c r="DY385" s="4"/>
      <c r="DZ385" s="91"/>
      <c r="EA385" s="4"/>
      <c r="EB385" s="4"/>
      <c r="EC385" s="4"/>
      <c r="ED385" s="4"/>
      <c r="EE385" s="4"/>
      <c r="EF385" s="4"/>
      <c r="EG385" s="4"/>
      <c r="EH385" s="4"/>
      <c r="EI385" s="4"/>
      <c r="EJ385" s="4"/>
      <c r="EK385" s="4"/>
      <c r="EL385" s="4"/>
      <c r="EM385" s="4"/>
      <c r="EN385" s="4"/>
      <c r="EO385" s="4"/>
      <c r="EP385" s="4"/>
      <c r="EQ385" s="4"/>
      <c r="ER385" s="4"/>
      <c r="ES385" s="4"/>
      <c r="ET385" s="4"/>
      <c r="EU385" s="4"/>
      <c r="EV385" s="4"/>
      <c r="EW385" s="4"/>
      <c r="EX385" s="4"/>
      <c r="EY385" s="4"/>
      <c r="EZ385" s="4"/>
      <c r="FA385" s="4"/>
      <c r="FB385" s="4"/>
      <c r="FC385" s="4"/>
      <c r="FD385" s="4"/>
      <c r="FE385" s="4"/>
      <c r="FF385" s="4"/>
      <c r="FG385" s="4"/>
      <c r="FH385" s="4"/>
      <c r="FI385" s="4"/>
      <c r="FJ385" s="4"/>
      <c r="FK385" s="4"/>
      <c r="FL385" s="4"/>
      <c r="FM385" s="4"/>
      <c r="FN385" s="4"/>
      <c r="FO385" s="4"/>
      <c r="FP385" s="4"/>
      <c r="FQ385" s="4"/>
      <c r="FR385" s="4"/>
      <c r="FS385" s="4"/>
      <c r="FT385" s="4"/>
      <c r="FU385" s="4"/>
      <c r="FV385" s="4"/>
      <c r="FW385" s="91"/>
      <c r="FX385" s="4"/>
      <c r="FY385" s="4"/>
      <c r="FZ385" s="4"/>
      <c r="GA385" s="4"/>
      <c r="GB385" s="4"/>
      <c r="GC385" s="4"/>
      <c r="GD385" s="4"/>
      <c r="GE385" s="4"/>
      <c r="GF385" s="4"/>
      <c r="GG385" s="4"/>
      <c r="GH385" s="4"/>
      <c r="GI385" s="4"/>
      <c r="GJ385" s="4"/>
      <c r="GK385" s="4"/>
      <c r="GL385" s="4"/>
      <c r="GM385" s="4"/>
      <c r="GN385" s="4"/>
      <c r="GO385" s="4"/>
      <c r="GP385" s="4"/>
      <c r="GQ385" s="4"/>
      <c r="GR385" s="4"/>
      <c r="GS385" s="4"/>
      <c r="GT385" s="4"/>
      <c r="GU385" s="4"/>
      <c r="GV385" s="4"/>
      <c r="GW385" s="4"/>
      <c r="GX385" s="4"/>
      <c r="GY385" s="4"/>
      <c r="GZ385" s="4"/>
      <c r="HA385" s="4"/>
      <c r="HB385" s="4"/>
      <c r="HC385" s="4"/>
      <c r="HD385" s="4"/>
      <c r="HE385" s="4"/>
      <c r="HF385" s="4"/>
      <c r="HG385" s="4"/>
      <c r="HH385" s="4"/>
      <c r="HI385" s="4"/>
      <c r="HJ385" s="4"/>
      <c r="HK385" s="91"/>
      <c r="HL385" s="4"/>
      <c r="HM385" s="115" t="s">
        <v>72</v>
      </c>
      <c r="HN385" s="1669" t="s">
        <v>647</v>
      </c>
      <c r="HO385" s="1669"/>
      <c r="HP385" s="1669"/>
      <c r="HQ385" s="116" t="s">
        <v>235</v>
      </c>
      <c r="HR385" s="116" t="s">
        <v>235</v>
      </c>
      <c r="HS385" s="116" t="s">
        <v>235</v>
      </c>
      <c r="HT385" s="116" t="s">
        <v>235</v>
      </c>
      <c r="HU385" s="116" t="s">
        <v>235</v>
      </c>
      <c r="HV385" s="116" t="s">
        <v>235</v>
      </c>
      <c r="HW385" s="116" t="s">
        <v>235</v>
      </c>
      <c r="HX385" s="4"/>
      <c r="HY385" s="91"/>
      <c r="HZ385" s="4"/>
      <c r="IA385" s="4"/>
      <c r="IB385" s="4"/>
      <c r="IC385" s="4"/>
      <c r="ID385" s="4"/>
      <c r="IE385" s="4"/>
      <c r="IF385" s="4"/>
      <c r="IG385" s="4"/>
      <c r="IH385" s="4"/>
      <c r="II385" s="4"/>
      <c r="IJ385" s="4"/>
      <c r="IK385" s="4"/>
      <c r="IL385" s="4"/>
      <c r="IM385" s="4"/>
      <c r="IN385" s="4"/>
      <c r="IO385" s="4"/>
      <c r="IP385" s="4"/>
      <c r="IQ385" s="4"/>
      <c r="IR385" s="4"/>
      <c r="IS385" s="4"/>
      <c r="IT385" s="91"/>
      <c r="IU385" s="4"/>
      <c r="IV385" s="4"/>
      <c r="IW385" s="4"/>
      <c r="IX385" s="4"/>
      <c r="IY385" s="4"/>
      <c r="IZ385" s="4"/>
      <c r="JA385" s="4"/>
      <c r="JB385" s="4"/>
      <c r="JC385" s="4"/>
      <c r="JD385" s="4"/>
      <c r="JE385" s="4"/>
      <c r="JF385" s="4"/>
      <c r="JG385" s="4"/>
      <c r="JH385" s="4"/>
      <c r="JI385" s="4"/>
      <c r="JJ385" s="4"/>
      <c r="JK385" s="4"/>
      <c r="JL385" s="91"/>
      <c r="JM385" s="4"/>
      <c r="JN385" s="4"/>
      <c r="JO385" s="4"/>
      <c r="JP385" s="4"/>
      <c r="JQ385" s="4"/>
      <c r="JR385" s="4"/>
    </row>
    <row r="386" spans="2:278" s="84" customFormat="1" ht="12" customHeight="1">
      <c r="B386" s="4"/>
      <c r="C386" s="4"/>
      <c r="D386" s="4"/>
      <c r="E386" s="4"/>
      <c r="F386" s="4"/>
      <c r="G386" s="4"/>
      <c r="H386" s="4"/>
      <c r="I386" s="4"/>
      <c r="J386" s="4"/>
      <c r="K386" s="4"/>
      <c r="L386" s="4"/>
      <c r="M386" s="4"/>
      <c r="N386" s="4"/>
      <c r="O386" s="4"/>
      <c r="P386" s="4"/>
      <c r="Q386" s="4"/>
      <c r="R386" s="4"/>
      <c r="S386" s="4"/>
      <c r="T386" s="4"/>
      <c r="U386" s="4"/>
      <c r="V386" s="4"/>
      <c r="W386" s="91"/>
      <c r="X386" s="4"/>
      <c r="Y386" s="4"/>
      <c r="Z386" s="4"/>
      <c r="AA386" s="4"/>
      <c r="AB386" s="4"/>
      <c r="AC386" s="4"/>
      <c r="AD386" s="4"/>
      <c r="AE386" s="4"/>
      <c r="AF386" s="4"/>
      <c r="AG386" s="91"/>
      <c r="AH386" s="4"/>
      <c r="AI386" s="4"/>
      <c r="AJ386" s="4"/>
      <c r="AK386" s="4"/>
      <c r="AL386" s="4"/>
      <c r="AM386" s="4"/>
      <c r="AN386" s="4"/>
      <c r="AO386" s="4"/>
      <c r="AP386" s="4"/>
      <c r="AQ386" s="4"/>
      <c r="AR386" s="4"/>
      <c r="AS386" s="4"/>
      <c r="AT386" s="4"/>
      <c r="AU386" s="4"/>
      <c r="AV386" s="4"/>
      <c r="AW386" s="4"/>
      <c r="AX386" s="4"/>
      <c r="AY386" s="4"/>
      <c r="AZ386" s="4"/>
      <c r="BA386" s="4"/>
      <c r="BB386" s="4"/>
      <c r="BC386" s="4"/>
      <c r="BD386" s="4"/>
      <c r="BE386" s="4"/>
      <c r="BF386" s="4"/>
      <c r="BG386" s="4"/>
      <c r="BH386" s="4"/>
      <c r="BI386" s="4"/>
      <c r="BJ386" s="4"/>
      <c r="BK386" s="4"/>
      <c r="BL386" s="4"/>
      <c r="BM386" s="4"/>
      <c r="BN386" s="4"/>
      <c r="BO386" s="4"/>
      <c r="BP386" s="4"/>
      <c r="BQ386" s="4"/>
      <c r="BR386" s="4"/>
      <c r="BS386" s="4"/>
      <c r="BT386" s="4"/>
      <c r="BU386" s="4"/>
      <c r="BV386" s="4"/>
      <c r="BW386" s="4"/>
      <c r="BX386" s="4"/>
      <c r="BY386" s="4"/>
      <c r="BZ386" s="4"/>
      <c r="CA386" s="4"/>
      <c r="CB386" s="4"/>
      <c r="CC386" s="4"/>
      <c r="CD386" s="4"/>
      <c r="CE386" s="4"/>
      <c r="CF386" s="4"/>
      <c r="CG386" s="4"/>
      <c r="CH386" s="4"/>
      <c r="CI386" s="4"/>
      <c r="CJ386" s="4"/>
      <c r="CK386" s="4"/>
      <c r="CL386" s="4"/>
      <c r="CM386" s="4"/>
      <c r="CN386" s="4"/>
      <c r="CO386" s="4"/>
      <c r="CP386" s="4"/>
      <c r="CQ386" s="4"/>
      <c r="CR386" s="4"/>
      <c r="CS386" s="4"/>
      <c r="CT386" s="4"/>
      <c r="CU386" s="4"/>
      <c r="CV386" s="4"/>
      <c r="CW386" s="4"/>
      <c r="CX386" s="4"/>
      <c r="CY386" s="4"/>
      <c r="CZ386" s="4"/>
      <c r="DA386" s="4"/>
      <c r="DB386" s="4"/>
      <c r="DC386" s="4"/>
      <c r="DD386" s="4"/>
      <c r="DE386" s="4"/>
      <c r="DF386" s="4"/>
      <c r="DG386" s="4"/>
      <c r="DH386" s="4"/>
      <c r="DI386" s="4"/>
      <c r="DJ386" s="4"/>
      <c r="DK386" s="4"/>
      <c r="DL386" s="4"/>
      <c r="DM386" s="4"/>
      <c r="DN386" s="4"/>
      <c r="DO386" s="4"/>
      <c r="DP386" s="4"/>
      <c r="DQ386" s="4"/>
      <c r="DR386" s="4"/>
      <c r="DS386" s="4"/>
      <c r="DT386" s="4"/>
      <c r="DU386" s="4"/>
      <c r="DV386" s="4"/>
      <c r="DW386" s="4"/>
      <c r="DX386" s="4"/>
      <c r="DY386" s="4"/>
      <c r="DZ386" s="91"/>
      <c r="EA386" s="4"/>
      <c r="EB386" s="4"/>
      <c r="EC386" s="4"/>
      <c r="ED386" s="4"/>
      <c r="EE386" s="4"/>
      <c r="EF386" s="4"/>
      <c r="EG386" s="4"/>
      <c r="EH386" s="4"/>
      <c r="EI386" s="4"/>
      <c r="EJ386" s="4"/>
      <c r="EK386" s="4"/>
      <c r="EL386" s="4"/>
      <c r="EM386" s="4"/>
      <c r="EN386" s="4"/>
      <c r="EO386" s="4"/>
      <c r="EP386" s="4"/>
      <c r="EQ386" s="4"/>
      <c r="ER386" s="4"/>
      <c r="ES386" s="4"/>
      <c r="ET386" s="4"/>
      <c r="EU386" s="4"/>
      <c r="EV386" s="4"/>
      <c r="EW386" s="4"/>
      <c r="EX386" s="4"/>
      <c r="EY386" s="4"/>
      <c r="EZ386" s="4"/>
      <c r="FA386" s="4"/>
      <c r="FB386" s="4"/>
      <c r="FC386" s="4"/>
      <c r="FD386" s="4"/>
      <c r="FE386" s="4"/>
      <c r="FF386" s="4"/>
      <c r="FG386" s="4"/>
      <c r="FH386" s="4"/>
      <c r="FI386" s="4"/>
      <c r="FJ386" s="4"/>
      <c r="FK386" s="4"/>
      <c r="FL386" s="4"/>
      <c r="FM386" s="4"/>
      <c r="FN386" s="4"/>
      <c r="FO386" s="4"/>
      <c r="FP386" s="4"/>
      <c r="FQ386" s="4"/>
      <c r="FR386" s="4"/>
      <c r="FS386" s="4"/>
      <c r="FT386" s="4"/>
      <c r="FU386" s="4"/>
      <c r="FV386" s="4"/>
      <c r="FW386" s="91"/>
      <c r="FX386" s="4"/>
      <c r="FY386" s="4"/>
      <c r="FZ386" s="4"/>
      <c r="GA386" s="4"/>
      <c r="GB386" s="4"/>
      <c r="GC386" s="4"/>
      <c r="GD386" s="4"/>
      <c r="GE386" s="4"/>
      <c r="GF386" s="4"/>
      <c r="GG386" s="4"/>
      <c r="GH386" s="4"/>
      <c r="GI386" s="4"/>
      <c r="GJ386" s="4"/>
      <c r="GK386" s="4"/>
      <c r="GL386" s="4"/>
      <c r="GM386" s="4"/>
      <c r="GN386" s="4"/>
      <c r="GO386" s="4"/>
      <c r="GP386" s="4"/>
      <c r="GQ386" s="4"/>
      <c r="GR386" s="4"/>
      <c r="GS386" s="4"/>
      <c r="GT386" s="4"/>
      <c r="GU386" s="4"/>
      <c r="GV386" s="4"/>
      <c r="GW386" s="4"/>
      <c r="GX386" s="4"/>
      <c r="GY386" s="4"/>
      <c r="GZ386" s="4"/>
      <c r="HA386" s="4"/>
      <c r="HB386" s="4"/>
      <c r="HC386" s="4"/>
      <c r="HD386" s="4"/>
      <c r="HE386" s="4"/>
      <c r="HF386" s="4"/>
      <c r="HG386" s="4"/>
      <c r="HH386" s="4"/>
      <c r="HI386" s="4"/>
      <c r="HJ386" s="4"/>
      <c r="HK386" s="91"/>
      <c r="HL386" s="4"/>
      <c r="HX386" s="4"/>
      <c r="HY386" s="91"/>
      <c r="HZ386" s="4"/>
      <c r="IA386" s="4"/>
      <c r="IB386" s="4"/>
      <c r="IC386" s="4"/>
      <c r="ID386" s="4"/>
      <c r="IE386" s="4"/>
      <c r="IF386" s="4"/>
      <c r="IG386" s="4"/>
      <c r="IH386" s="4"/>
      <c r="II386" s="4"/>
      <c r="IJ386" s="4"/>
      <c r="IK386" s="4"/>
      <c r="IL386" s="4"/>
      <c r="IM386" s="4"/>
      <c r="IN386" s="4"/>
      <c r="IO386" s="4"/>
      <c r="IP386" s="4"/>
      <c r="IQ386" s="4"/>
      <c r="IR386" s="4"/>
      <c r="IS386" s="4"/>
      <c r="IT386" s="91"/>
      <c r="IU386" s="4"/>
      <c r="IV386" s="4"/>
      <c r="IW386" s="4"/>
      <c r="IX386" s="4"/>
      <c r="IY386" s="4"/>
      <c r="IZ386" s="4"/>
      <c r="JA386" s="4"/>
      <c r="JB386" s="4"/>
      <c r="JC386" s="4"/>
      <c r="JD386" s="4"/>
      <c r="JE386" s="4"/>
      <c r="JF386" s="4"/>
      <c r="JG386" s="4"/>
      <c r="JH386" s="4"/>
      <c r="JI386" s="4"/>
      <c r="JJ386" s="4"/>
      <c r="JK386" s="4"/>
      <c r="JL386" s="91"/>
      <c r="JM386" s="4"/>
      <c r="JN386" s="4"/>
      <c r="JO386" s="4"/>
      <c r="JP386" s="4"/>
      <c r="JQ386" s="4"/>
      <c r="JR386" s="4"/>
    </row>
    <row r="387" spans="2:278" s="84" customFormat="1" ht="12" customHeight="1">
      <c r="B387" s="4"/>
      <c r="C387" s="4"/>
      <c r="D387" s="4"/>
      <c r="E387" s="4"/>
      <c r="F387" s="4"/>
      <c r="G387" s="4"/>
      <c r="H387" s="4"/>
      <c r="I387" s="4"/>
      <c r="J387" s="4"/>
      <c r="K387" s="4"/>
      <c r="L387" s="4"/>
      <c r="M387" s="4"/>
      <c r="N387" s="4"/>
      <c r="O387" s="4"/>
      <c r="P387" s="4"/>
      <c r="Q387" s="4"/>
      <c r="R387" s="4"/>
      <c r="S387" s="4"/>
      <c r="T387" s="4"/>
      <c r="U387" s="4"/>
      <c r="V387" s="4"/>
      <c r="W387" s="91"/>
      <c r="X387" s="4"/>
      <c r="Y387" s="4"/>
      <c r="Z387" s="4"/>
      <c r="AA387" s="4"/>
      <c r="AB387" s="4"/>
      <c r="AC387" s="4"/>
      <c r="AD387" s="4"/>
      <c r="AE387" s="4"/>
      <c r="AF387" s="4"/>
      <c r="AG387" s="91"/>
      <c r="AH387" s="4"/>
      <c r="AI387" s="4"/>
      <c r="AJ387" s="4"/>
      <c r="AK387" s="4"/>
      <c r="AL387" s="4"/>
      <c r="AM387" s="4"/>
      <c r="AN387" s="4"/>
      <c r="AO387" s="4"/>
      <c r="AP387" s="4"/>
      <c r="AQ387" s="4"/>
      <c r="AR387" s="4"/>
      <c r="AS387" s="4"/>
      <c r="AT387" s="4"/>
      <c r="AU387" s="4"/>
      <c r="AV387" s="4"/>
      <c r="AW387" s="4"/>
      <c r="AX387" s="4"/>
      <c r="AY387" s="4"/>
      <c r="AZ387" s="4"/>
      <c r="BA387" s="4"/>
      <c r="BB387" s="4"/>
      <c r="BC387" s="4"/>
      <c r="BD387" s="4"/>
      <c r="BE387" s="4"/>
      <c r="BF387" s="4"/>
      <c r="BG387" s="4"/>
      <c r="BH387" s="4"/>
      <c r="BI387" s="4"/>
      <c r="BJ387" s="4"/>
      <c r="BK387" s="4"/>
      <c r="BL387" s="4"/>
      <c r="BM387" s="4"/>
      <c r="BN387" s="4"/>
      <c r="BO387" s="4"/>
      <c r="BP387" s="4"/>
      <c r="BQ387" s="4"/>
      <c r="BR387" s="4"/>
      <c r="BS387" s="4"/>
      <c r="BT387" s="4"/>
      <c r="BU387" s="4"/>
      <c r="BV387" s="4"/>
      <c r="BW387" s="4"/>
      <c r="BX387" s="4"/>
      <c r="BY387" s="4"/>
      <c r="BZ387" s="4"/>
      <c r="CA387" s="4"/>
      <c r="CB387" s="4"/>
      <c r="CC387" s="4"/>
      <c r="CD387" s="4"/>
      <c r="CE387" s="4"/>
      <c r="CF387" s="4"/>
      <c r="CG387" s="4"/>
      <c r="CH387" s="4"/>
      <c r="CI387" s="4"/>
      <c r="CJ387" s="4"/>
      <c r="CK387" s="4"/>
      <c r="CL387" s="4"/>
      <c r="CM387" s="4"/>
      <c r="CN387" s="4"/>
      <c r="CO387" s="4"/>
      <c r="CP387" s="4"/>
      <c r="CQ387" s="4"/>
      <c r="CR387" s="4"/>
      <c r="CS387" s="4"/>
      <c r="CT387" s="4"/>
      <c r="CU387" s="4"/>
      <c r="CV387" s="4"/>
      <c r="CW387" s="4"/>
      <c r="CX387" s="4"/>
      <c r="CY387" s="4"/>
      <c r="CZ387" s="4"/>
      <c r="DA387" s="4"/>
      <c r="DB387" s="4"/>
      <c r="DC387" s="4"/>
      <c r="DD387" s="4"/>
      <c r="DE387" s="4"/>
      <c r="DF387" s="4"/>
      <c r="DG387" s="4"/>
      <c r="DH387" s="4"/>
      <c r="DI387" s="4"/>
      <c r="DJ387" s="4"/>
      <c r="DK387" s="4"/>
      <c r="DL387" s="4"/>
      <c r="DM387" s="4"/>
      <c r="DN387" s="4"/>
      <c r="DO387" s="4"/>
      <c r="DP387" s="4"/>
      <c r="DQ387" s="4"/>
      <c r="DR387" s="4"/>
      <c r="DS387" s="4"/>
      <c r="DT387" s="4"/>
      <c r="DU387" s="4"/>
      <c r="DV387" s="4"/>
      <c r="DW387" s="4"/>
      <c r="DX387" s="4"/>
      <c r="DY387" s="4"/>
      <c r="DZ387" s="91"/>
      <c r="EA387" s="4"/>
      <c r="EB387" s="4"/>
      <c r="EC387" s="4"/>
      <c r="ED387" s="4"/>
      <c r="EE387" s="4"/>
      <c r="EF387" s="4"/>
      <c r="EG387" s="4"/>
      <c r="EH387" s="4"/>
      <c r="EI387" s="4"/>
      <c r="EJ387" s="4"/>
      <c r="EK387" s="4"/>
      <c r="EL387" s="4"/>
      <c r="EM387" s="4"/>
      <c r="EN387" s="4"/>
      <c r="EO387" s="4"/>
      <c r="EP387" s="4"/>
      <c r="EQ387" s="4"/>
      <c r="ER387" s="4"/>
      <c r="ES387" s="4"/>
      <c r="ET387" s="4"/>
      <c r="EU387" s="4"/>
      <c r="EV387" s="4"/>
      <c r="EW387" s="4"/>
      <c r="EX387" s="4"/>
      <c r="EY387" s="4"/>
      <c r="EZ387" s="4"/>
      <c r="FA387" s="4"/>
      <c r="FB387" s="4"/>
      <c r="FC387" s="4"/>
      <c r="FD387" s="4"/>
      <c r="FE387" s="4"/>
      <c r="FF387" s="4"/>
      <c r="FG387" s="4"/>
      <c r="FH387" s="4"/>
      <c r="FI387" s="4"/>
      <c r="FJ387" s="4"/>
      <c r="FK387" s="4"/>
      <c r="FL387" s="4"/>
      <c r="FM387" s="4"/>
      <c r="FN387" s="4"/>
      <c r="FO387" s="4"/>
      <c r="FP387" s="4"/>
      <c r="FQ387" s="4"/>
      <c r="FR387" s="4"/>
      <c r="FS387" s="4"/>
      <c r="FT387" s="4"/>
      <c r="FU387" s="4"/>
      <c r="FV387" s="4"/>
      <c r="FW387" s="91"/>
      <c r="FX387" s="4"/>
      <c r="FY387" s="4"/>
      <c r="FZ387" s="4"/>
      <c r="GA387" s="4"/>
      <c r="GB387" s="4"/>
      <c r="GC387" s="4"/>
      <c r="GD387" s="4"/>
      <c r="GE387" s="4"/>
      <c r="GF387" s="4"/>
      <c r="GG387" s="4"/>
      <c r="GH387" s="4"/>
      <c r="GI387" s="4"/>
      <c r="GJ387" s="4"/>
      <c r="GK387" s="4"/>
      <c r="GL387" s="4"/>
      <c r="GM387" s="4"/>
      <c r="GN387" s="4"/>
      <c r="GO387" s="4"/>
      <c r="GP387" s="4"/>
      <c r="GQ387" s="4"/>
      <c r="GR387" s="4"/>
      <c r="GS387" s="4"/>
      <c r="GT387" s="4"/>
      <c r="GU387" s="4"/>
      <c r="GV387" s="4"/>
      <c r="GW387" s="4"/>
      <c r="GX387" s="4"/>
      <c r="GY387" s="4"/>
      <c r="GZ387" s="4"/>
      <c r="HA387" s="4"/>
      <c r="HB387" s="4"/>
      <c r="HC387" s="4"/>
      <c r="HD387" s="4"/>
      <c r="HE387" s="4"/>
      <c r="HF387" s="4"/>
      <c r="HG387" s="4"/>
      <c r="HH387" s="4"/>
      <c r="HI387" s="4"/>
      <c r="HJ387" s="4"/>
      <c r="HK387" s="91"/>
      <c r="HL387" s="4"/>
      <c r="HX387" s="4"/>
      <c r="HY387" s="91"/>
      <c r="HZ387" s="4"/>
      <c r="IA387" s="4"/>
      <c r="IB387" s="4"/>
      <c r="IC387" s="4"/>
      <c r="ID387" s="4"/>
      <c r="IE387" s="4"/>
      <c r="IF387" s="4"/>
      <c r="IG387" s="4"/>
      <c r="IH387" s="4"/>
      <c r="II387" s="4"/>
      <c r="IJ387" s="4"/>
      <c r="IK387" s="4"/>
      <c r="IL387" s="4"/>
      <c r="IM387" s="4"/>
      <c r="IN387" s="4"/>
      <c r="IO387" s="4"/>
      <c r="IP387" s="4"/>
      <c r="IQ387" s="4"/>
      <c r="IR387" s="4"/>
      <c r="IS387" s="4"/>
      <c r="IT387" s="91"/>
      <c r="IU387" s="4"/>
      <c r="IV387" s="4"/>
      <c r="IW387" s="4"/>
      <c r="IX387" s="4"/>
      <c r="IY387" s="4"/>
      <c r="IZ387" s="4"/>
      <c r="JA387" s="4"/>
      <c r="JB387" s="4"/>
      <c r="JC387" s="4"/>
      <c r="JD387" s="4"/>
      <c r="JE387" s="4"/>
      <c r="JF387" s="4"/>
      <c r="JG387" s="4"/>
      <c r="JH387" s="4"/>
      <c r="JI387" s="4"/>
      <c r="JJ387" s="4"/>
      <c r="JK387" s="4"/>
      <c r="JL387" s="91"/>
      <c r="JM387" s="4"/>
      <c r="JN387" s="4"/>
      <c r="JO387" s="4"/>
      <c r="JP387" s="4"/>
      <c r="JQ387" s="4"/>
      <c r="JR387" s="4"/>
    </row>
    <row r="388" spans="2:278" s="84" customFormat="1" ht="12" customHeight="1">
      <c r="B388" s="4"/>
      <c r="C388" s="4"/>
      <c r="D388" s="4"/>
      <c r="E388" s="4"/>
      <c r="F388" s="4"/>
      <c r="G388" s="4"/>
      <c r="H388" s="4"/>
      <c r="I388" s="4"/>
      <c r="J388" s="4"/>
      <c r="K388" s="4"/>
      <c r="L388" s="4"/>
      <c r="M388" s="4"/>
      <c r="N388" s="4"/>
      <c r="O388" s="4"/>
      <c r="P388" s="4"/>
      <c r="Q388" s="4"/>
      <c r="R388" s="4"/>
      <c r="S388" s="4"/>
      <c r="T388" s="4"/>
      <c r="U388" s="4"/>
      <c r="V388" s="4"/>
      <c r="W388" s="91"/>
      <c r="X388" s="4"/>
      <c r="Y388" s="4"/>
      <c r="Z388" s="4"/>
      <c r="AA388" s="4"/>
      <c r="AB388" s="4"/>
      <c r="AC388" s="4"/>
      <c r="AD388" s="4"/>
      <c r="AE388" s="4"/>
      <c r="AF388" s="4"/>
      <c r="AG388" s="91"/>
      <c r="AH388" s="4"/>
      <c r="AI388" s="4"/>
      <c r="AJ388" s="4"/>
      <c r="AK388" s="4"/>
      <c r="AL388" s="4"/>
      <c r="AM388" s="4"/>
      <c r="AN388" s="4"/>
      <c r="AO388" s="4"/>
      <c r="AP388" s="4"/>
      <c r="AQ388" s="4"/>
      <c r="AR388" s="4"/>
      <c r="AS388" s="4"/>
      <c r="AT388" s="4"/>
      <c r="AU388" s="4"/>
      <c r="AV388" s="4"/>
      <c r="AW388" s="4"/>
      <c r="AX388" s="4"/>
      <c r="AY388" s="4"/>
      <c r="AZ388" s="4"/>
      <c r="BA388" s="4"/>
      <c r="BB388" s="4"/>
      <c r="BC388" s="4"/>
      <c r="BD388" s="4"/>
      <c r="BE388" s="4"/>
      <c r="BF388" s="4"/>
      <c r="BG388" s="4"/>
      <c r="BH388" s="4"/>
      <c r="BI388" s="4"/>
      <c r="BJ388" s="4"/>
      <c r="BK388" s="4"/>
      <c r="BL388" s="4"/>
      <c r="BM388" s="4"/>
      <c r="BN388" s="4"/>
      <c r="BO388" s="4"/>
      <c r="BP388" s="4"/>
      <c r="BQ388" s="4"/>
      <c r="BR388" s="4"/>
      <c r="BS388" s="4"/>
      <c r="BT388" s="4"/>
      <c r="BU388" s="4"/>
      <c r="BV388" s="4"/>
      <c r="BW388" s="4"/>
      <c r="BX388" s="4"/>
      <c r="BY388" s="4"/>
      <c r="BZ388" s="4"/>
      <c r="CA388" s="4"/>
      <c r="CB388" s="4"/>
      <c r="CC388" s="4"/>
      <c r="CD388" s="4"/>
      <c r="CE388" s="4"/>
      <c r="CF388" s="4"/>
      <c r="CG388" s="4"/>
      <c r="CH388" s="4"/>
      <c r="CI388" s="4"/>
      <c r="CJ388" s="4"/>
      <c r="CK388" s="4"/>
      <c r="CL388" s="4"/>
      <c r="CM388" s="4"/>
      <c r="CN388" s="4"/>
      <c r="CO388" s="4"/>
      <c r="CP388" s="4"/>
      <c r="CQ388" s="4"/>
      <c r="CR388" s="4"/>
      <c r="CS388" s="4"/>
      <c r="CT388" s="4"/>
      <c r="CU388" s="4"/>
      <c r="CV388" s="4"/>
      <c r="CW388" s="4"/>
      <c r="CX388" s="4"/>
      <c r="CY388" s="4"/>
      <c r="CZ388" s="4"/>
      <c r="DA388" s="4"/>
      <c r="DB388" s="4"/>
      <c r="DC388" s="4"/>
      <c r="DD388" s="4"/>
      <c r="DE388" s="4"/>
      <c r="DF388" s="4"/>
      <c r="DG388" s="4"/>
      <c r="DH388" s="4"/>
      <c r="DI388" s="4"/>
      <c r="DJ388" s="4"/>
      <c r="DK388" s="4"/>
      <c r="DL388" s="4"/>
      <c r="DM388" s="4"/>
      <c r="DN388" s="4"/>
      <c r="DO388" s="4"/>
      <c r="DP388" s="4"/>
      <c r="DQ388" s="4"/>
      <c r="DR388" s="4"/>
      <c r="DS388" s="4"/>
      <c r="DT388" s="4"/>
      <c r="DU388" s="4"/>
      <c r="DV388" s="4"/>
      <c r="DW388" s="4"/>
      <c r="DX388" s="4"/>
      <c r="DY388" s="4"/>
      <c r="DZ388" s="91"/>
      <c r="EA388" s="4"/>
      <c r="EB388" s="4"/>
      <c r="EC388" s="4"/>
      <c r="ED388" s="4"/>
      <c r="EE388" s="4"/>
      <c r="EF388" s="4"/>
      <c r="EG388" s="4"/>
      <c r="EH388" s="4"/>
      <c r="EI388" s="4"/>
      <c r="EJ388" s="4"/>
      <c r="EK388" s="4"/>
      <c r="EL388" s="4"/>
      <c r="EM388" s="4"/>
      <c r="EN388" s="4"/>
      <c r="EO388" s="4"/>
      <c r="EP388" s="4"/>
      <c r="EQ388" s="4"/>
      <c r="ER388" s="4"/>
      <c r="ES388" s="4"/>
      <c r="ET388" s="4"/>
      <c r="EU388" s="4"/>
      <c r="EV388" s="4"/>
      <c r="EW388" s="4"/>
      <c r="EX388" s="4"/>
      <c r="EY388" s="4"/>
      <c r="EZ388" s="4"/>
      <c r="FA388" s="4"/>
      <c r="FB388" s="4"/>
      <c r="FC388" s="4"/>
      <c r="FD388" s="4"/>
      <c r="FE388" s="4"/>
      <c r="FF388" s="4"/>
      <c r="FG388" s="4"/>
      <c r="FH388" s="4"/>
      <c r="FI388" s="4"/>
      <c r="FJ388" s="4"/>
      <c r="FK388" s="4"/>
      <c r="FL388" s="4"/>
      <c r="FM388" s="4"/>
      <c r="FN388" s="4"/>
      <c r="FO388" s="4"/>
      <c r="FP388" s="4"/>
      <c r="FQ388" s="4"/>
      <c r="FR388" s="4"/>
      <c r="FS388" s="4"/>
      <c r="FT388" s="4"/>
      <c r="FU388" s="4"/>
      <c r="FV388" s="4"/>
      <c r="FW388" s="91"/>
      <c r="FX388" s="4"/>
      <c r="FY388" s="4"/>
      <c r="FZ388" s="4"/>
      <c r="GA388" s="4"/>
      <c r="GB388" s="4"/>
      <c r="GC388" s="4"/>
      <c r="GD388" s="4"/>
      <c r="GE388" s="4"/>
      <c r="GF388" s="4"/>
      <c r="GG388" s="4"/>
      <c r="GH388" s="4"/>
      <c r="GI388" s="4"/>
      <c r="GJ388" s="4"/>
      <c r="GK388" s="4"/>
      <c r="GL388" s="4"/>
      <c r="GM388" s="4"/>
      <c r="GN388" s="4"/>
      <c r="GO388" s="4"/>
      <c r="GP388" s="4"/>
      <c r="GQ388" s="4"/>
      <c r="GR388" s="4"/>
      <c r="GS388" s="4"/>
      <c r="GT388" s="4"/>
      <c r="GU388" s="4"/>
      <c r="GV388" s="4"/>
      <c r="GW388" s="4"/>
      <c r="GX388" s="4"/>
      <c r="GY388" s="4"/>
      <c r="GZ388" s="4"/>
      <c r="HA388" s="4"/>
      <c r="HB388" s="4"/>
      <c r="HC388" s="4"/>
      <c r="HD388" s="4"/>
      <c r="HE388" s="4"/>
      <c r="HF388" s="4"/>
      <c r="HG388" s="4"/>
      <c r="HH388" s="4"/>
      <c r="HI388" s="4"/>
      <c r="HJ388" s="4"/>
      <c r="HK388" s="91"/>
      <c r="HL388" s="4"/>
      <c r="HM388" s="1677" t="s">
        <v>245</v>
      </c>
      <c r="HN388" s="1677"/>
      <c r="HO388" s="1677"/>
      <c r="HP388" s="107" t="s">
        <v>449</v>
      </c>
      <c r="HX388" s="4"/>
      <c r="HY388" s="91"/>
      <c r="HZ388" s="4"/>
      <c r="IA388" s="4"/>
      <c r="IB388" s="4"/>
      <c r="IC388" s="4"/>
      <c r="ID388" s="4"/>
      <c r="IE388" s="4"/>
      <c r="IF388" s="4"/>
      <c r="IG388" s="4"/>
      <c r="IH388" s="4"/>
      <c r="II388" s="4"/>
      <c r="IJ388" s="4"/>
      <c r="IK388" s="4"/>
      <c r="IL388" s="4"/>
      <c r="IM388" s="4"/>
      <c r="IN388" s="4"/>
      <c r="IO388" s="4"/>
      <c r="IP388" s="4"/>
      <c r="IQ388" s="4"/>
      <c r="IR388" s="4"/>
      <c r="IS388" s="4"/>
      <c r="IT388" s="91"/>
      <c r="IU388" s="4"/>
      <c r="IV388" s="4"/>
      <c r="IW388" s="4"/>
      <c r="IX388" s="4"/>
      <c r="IY388" s="4"/>
      <c r="IZ388" s="4"/>
      <c r="JA388" s="4"/>
      <c r="JB388" s="4"/>
      <c r="JC388" s="4"/>
      <c r="JD388" s="4"/>
      <c r="JE388" s="4"/>
      <c r="JF388" s="4"/>
      <c r="JG388" s="4"/>
      <c r="JH388" s="4"/>
      <c r="JI388" s="4"/>
      <c r="JJ388" s="4"/>
      <c r="JK388" s="4"/>
      <c r="JL388" s="91"/>
      <c r="JM388" s="4"/>
      <c r="JN388" s="4"/>
      <c r="JO388" s="4"/>
      <c r="JP388" s="4"/>
      <c r="JQ388" s="4"/>
      <c r="JR388" s="4"/>
    </row>
    <row r="389" spans="2:278" s="84" customFormat="1" ht="12" customHeight="1">
      <c r="B389" s="4"/>
      <c r="C389" s="4"/>
      <c r="D389" s="4"/>
      <c r="E389" s="4"/>
      <c r="F389" s="4"/>
      <c r="G389" s="4"/>
      <c r="H389" s="4"/>
      <c r="I389" s="4"/>
      <c r="J389" s="4"/>
      <c r="K389" s="4"/>
      <c r="L389" s="4"/>
      <c r="M389" s="4"/>
      <c r="N389" s="4"/>
      <c r="O389" s="4"/>
      <c r="P389" s="4"/>
      <c r="Q389" s="4"/>
      <c r="R389" s="4"/>
      <c r="S389" s="4"/>
      <c r="T389" s="4"/>
      <c r="U389" s="4"/>
      <c r="V389" s="4"/>
      <c r="W389" s="91"/>
      <c r="X389" s="4"/>
      <c r="Y389" s="4"/>
      <c r="Z389" s="4"/>
      <c r="AA389" s="4"/>
      <c r="AB389" s="4"/>
      <c r="AC389" s="4"/>
      <c r="AD389" s="4"/>
      <c r="AE389" s="4"/>
      <c r="AF389" s="4"/>
      <c r="AG389" s="91"/>
      <c r="AH389" s="4"/>
      <c r="AI389" s="4"/>
      <c r="AJ389" s="4"/>
      <c r="AK389" s="4"/>
      <c r="AL389" s="4"/>
      <c r="AM389" s="4"/>
      <c r="AN389" s="4"/>
      <c r="AO389" s="4"/>
      <c r="AP389" s="4"/>
      <c r="AQ389" s="4"/>
      <c r="AR389" s="4"/>
      <c r="AS389" s="4"/>
      <c r="AT389" s="4"/>
      <c r="AU389" s="4"/>
      <c r="AV389" s="4"/>
      <c r="AW389" s="4"/>
      <c r="AX389" s="4"/>
      <c r="AY389" s="4"/>
      <c r="AZ389" s="4"/>
      <c r="BA389" s="4"/>
      <c r="BB389" s="4"/>
      <c r="BC389" s="4"/>
      <c r="BD389" s="4"/>
      <c r="BE389" s="4"/>
      <c r="BF389" s="4"/>
      <c r="BG389" s="4"/>
      <c r="BH389" s="4"/>
      <c r="BI389" s="4"/>
      <c r="BJ389" s="4"/>
      <c r="BK389" s="4"/>
      <c r="BL389" s="4"/>
      <c r="BM389" s="4"/>
      <c r="BN389" s="4"/>
      <c r="BO389" s="4"/>
      <c r="BP389" s="4"/>
      <c r="BQ389" s="4"/>
      <c r="BR389" s="4"/>
      <c r="BS389" s="4"/>
      <c r="BT389" s="4"/>
      <c r="BU389" s="4"/>
      <c r="BV389" s="4"/>
      <c r="BW389" s="4"/>
      <c r="BX389" s="4"/>
      <c r="BY389" s="4"/>
      <c r="BZ389" s="4"/>
      <c r="CA389" s="4"/>
      <c r="CB389" s="4"/>
      <c r="CC389" s="4"/>
      <c r="CD389" s="4"/>
      <c r="CE389" s="4"/>
      <c r="CF389" s="4"/>
      <c r="CG389" s="4"/>
      <c r="CH389" s="4"/>
      <c r="CI389" s="4"/>
      <c r="CJ389" s="4"/>
      <c r="CK389" s="4"/>
      <c r="CL389" s="4"/>
      <c r="CM389" s="4"/>
      <c r="CN389" s="4"/>
      <c r="CO389" s="4"/>
      <c r="CP389" s="4"/>
      <c r="CQ389" s="4"/>
      <c r="CR389" s="4"/>
      <c r="CS389" s="4"/>
      <c r="CT389" s="4"/>
      <c r="CU389" s="4"/>
      <c r="CV389" s="4"/>
      <c r="CW389" s="4"/>
      <c r="CX389" s="4"/>
      <c r="CY389" s="4"/>
      <c r="CZ389" s="4"/>
      <c r="DA389" s="4"/>
      <c r="DB389" s="4"/>
      <c r="DC389" s="4"/>
      <c r="DD389" s="4"/>
      <c r="DE389" s="4"/>
      <c r="DF389" s="4"/>
      <c r="DG389" s="4"/>
      <c r="DH389" s="4"/>
      <c r="DI389" s="4"/>
      <c r="DJ389" s="4"/>
      <c r="DK389" s="4"/>
      <c r="DL389" s="4"/>
      <c r="DM389" s="4"/>
      <c r="DN389" s="4"/>
      <c r="DO389" s="4"/>
      <c r="DP389" s="4"/>
      <c r="DQ389" s="4"/>
      <c r="DR389" s="4"/>
      <c r="DS389" s="4"/>
      <c r="DT389" s="4"/>
      <c r="DU389" s="4"/>
      <c r="DV389" s="4"/>
      <c r="DW389" s="4"/>
      <c r="DX389" s="4"/>
      <c r="DY389" s="4"/>
      <c r="DZ389" s="91"/>
      <c r="EA389" s="4"/>
      <c r="EB389" s="4"/>
      <c r="EC389" s="4"/>
      <c r="ED389" s="4"/>
      <c r="EE389" s="4"/>
      <c r="EF389" s="4"/>
      <c r="EG389" s="4"/>
      <c r="EH389" s="4"/>
      <c r="EI389" s="4"/>
      <c r="EJ389" s="4"/>
      <c r="EK389" s="4"/>
      <c r="EL389" s="4"/>
      <c r="EM389" s="4"/>
      <c r="EN389" s="4"/>
      <c r="EO389" s="4"/>
      <c r="EP389" s="4"/>
      <c r="EQ389" s="4"/>
      <c r="ER389" s="4"/>
      <c r="ES389" s="4"/>
      <c r="ET389" s="4"/>
      <c r="EU389" s="4"/>
      <c r="EV389" s="4"/>
      <c r="EW389" s="4"/>
      <c r="EX389" s="4"/>
      <c r="EY389" s="4"/>
      <c r="EZ389" s="4"/>
      <c r="FA389" s="4"/>
      <c r="FB389" s="4"/>
      <c r="FC389" s="4"/>
      <c r="FD389" s="4"/>
      <c r="FE389" s="4"/>
      <c r="FF389" s="4"/>
      <c r="FG389" s="4"/>
      <c r="FH389" s="4"/>
      <c r="FI389" s="4"/>
      <c r="FJ389" s="4"/>
      <c r="FK389" s="4"/>
      <c r="FL389" s="4"/>
      <c r="FM389" s="4"/>
      <c r="FN389" s="4"/>
      <c r="FO389" s="4"/>
      <c r="FP389" s="4"/>
      <c r="FQ389" s="4"/>
      <c r="FR389" s="4"/>
      <c r="FS389" s="4"/>
      <c r="FT389" s="4"/>
      <c r="FU389" s="4"/>
      <c r="FV389" s="4"/>
      <c r="FW389" s="91"/>
      <c r="FX389" s="4"/>
      <c r="FY389" s="4"/>
      <c r="FZ389" s="4"/>
      <c r="GA389" s="4"/>
      <c r="GB389" s="4"/>
      <c r="GC389" s="4"/>
      <c r="GD389" s="4"/>
      <c r="GE389" s="4"/>
      <c r="GF389" s="4"/>
      <c r="GG389" s="4"/>
      <c r="GH389" s="4"/>
      <c r="GI389" s="4"/>
      <c r="GJ389" s="4"/>
      <c r="GK389" s="4"/>
      <c r="GL389" s="4"/>
      <c r="GM389" s="4"/>
      <c r="GN389" s="4"/>
      <c r="GO389" s="4"/>
      <c r="GP389" s="4"/>
      <c r="GQ389" s="4"/>
      <c r="GR389" s="4"/>
      <c r="GS389" s="4"/>
      <c r="GT389" s="4"/>
      <c r="GU389" s="4"/>
      <c r="GV389" s="4"/>
      <c r="GW389" s="4"/>
      <c r="GX389" s="4"/>
      <c r="GY389" s="4"/>
      <c r="GZ389" s="4"/>
      <c r="HA389" s="4"/>
      <c r="HB389" s="4"/>
      <c r="HC389" s="4"/>
      <c r="HD389" s="4"/>
      <c r="HE389" s="4"/>
      <c r="HF389" s="4"/>
      <c r="HG389" s="4"/>
      <c r="HH389" s="4"/>
      <c r="HI389" s="4"/>
      <c r="HJ389" s="4"/>
      <c r="HK389" s="91"/>
      <c r="HL389" s="4"/>
      <c r="HM389" s="117" t="s">
        <v>246</v>
      </c>
      <c r="HN389" s="118" t="s">
        <v>247</v>
      </c>
      <c r="HO389" s="119" t="s">
        <v>248</v>
      </c>
      <c r="HP389" s="103">
        <v>1.5</v>
      </c>
      <c r="HX389" s="4"/>
      <c r="HY389" s="91"/>
      <c r="HZ389" s="4"/>
      <c r="IA389" s="4"/>
      <c r="IB389" s="4"/>
      <c r="IC389" s="4"/>
      <c r="ID389" s="4"/>
      <c r="IE389" s="4"/>
      <c r="IF389" s="4"/>
      <c r="IG389" s="4"/>
      <c r="IH389" s="4"/>
      <c r="II389" s="4"/>
      <c r="IJ389" s="4"/>
      <c r="IK389" s="4"/>
      <c r="IL389" s="4"/>
      <c r="IM389" s="4"/>
      <c r="IN389" s="4"/>
      <c r="IO389" s="4"/>
      <c r="IP389" s="4"/>
      <c r="IQ389" s="4"/>
      <c r="IR389" s="4"/>
      <c r="IS389" s="4"/>
      <c r="IT389" s="91"/>
      <c r="IU389" s="4"/>
      <c r="IV389" s="4"/>
      <c r="IW389" s="4"/>
      <c r="IX389" s="4"/>
      <c r="IY389" s="4"/>
      <c r="IZ389" s="4"/>
      <c r="JA389" s="4"/>
      <c r="JB389" s="4"/>
      <c r="JC389" s="4"/>
      <c r="JD389" s="4"/>
      <c r="JE389" s="4"/>
      <c r="JF389" s="4"/>
      <c r="JG389" s="4"/>
      <c r="JH389" s="4"/>
      <c r="JI389" s="4"/>
      <c r="JJ389" s="4"/>
      <c r="JK389" s="4"/>
      <c r="JL389" s="91"/>
      <c r="JM389" s="4"/>
      <c r="JN389" s="4"/>
      <c r="JO389" s="4"/>
      <c r="JP389" s="4"/>
      <c r="JQ389" s="4"/>
      <c r="JR389" s="4"/>
    </row>
    <row r="390" spans="2:278" s="84" customFormat="1" ht="12" customHeight="1">
      <c r="B390" s="4"/>
      <c r="C390" s="4"/>
      <c r="D390" s="4"/>
      <c r="E390" s="4"/>
      <c r="F390" s="4"/>
      <c r="G390" s="4"/>
      <c r="H390" s="4"/>
      <c r="I390" s="4"/>
      <c r="J390" s="4"/>
      <c r="K390" s="4"/>
      <c r="L390" s="4"/>
      <c r="M390" s="4"/>
      <c r="N390" s="4"/>
      <c r="O390" s="4"/>
      <c r="P390" s="4"/>
      <c r="Q390" s="4"/>
      <c r="R390" s="4"/>
      <c r="S390" s="4"/>
      <c r="T390" s="4"/>
      <c r="U390" s="4"/>
      <c r="V390" s="4"/>
      <c r="W390" s="91"/>
      <c r="X390" s="4"/>
      <c r="Y390" s="4"/>
      <c r="Z390" s="4"/>
      <c r="AA390" s="4"/>
      <c r="AB390" s="4"/>
      <c r="AC390" s="4"/>
      <c r="AD390" s="4"/>
      <c r="AE390" s="4"/>
      <c r="AF390" s="4"/>
      <c r="AG390" s="91"/>
      <c r="AH390" s="4"/>
      <c r="AI390" s="4"/>
      <c r="AJ390" s="4"/>
      <c r="AK390" s="4"/>
      <c r="AL390" s="4"/>
      <c r="AM390" s="4"/>
      <c r="AN390" s="4"/>
      <c r="AO390" s="4"/>
      <c r="AP390" s="4"/>
      <c r="AQ390" s="4"/>
      <c r="AR390" s="4"/>
      <c r="AS390" s="4"/>
      <c r="AT390" s="4"/>
      <c r="AU390" s="4"/>
      <c r="AV390" s="4"/>
      <c r="AW390" s="4"/>
      <c r="AX390" s="4"/>
      <c r="AY390" s="4"/>
      <c r="AZ390" s="4"/>
      <c r="BA390" s="4"/>
      <c r="BB390" s="4"/>
      <c r="BC390" s="4"/>
      <c r="BD390" s="4"/>
      <c r="BE390" s="4"/>
      <c r="BF390" s="4"/>
      <c r="BG390" s="4"/>
      <c r="BH390" s="4"/>
      <c r="BI390" s="4"/>
      <c r="BJ390" s="4"/>
      <c r="BK390" s="4"/>
      <c r="BL390" s="4"/>
      <c r="BM390" s="4"/>
      <c r="BN390" s="4"/>
      <c r="BO390" s="4"/>
      <c r="BP390" s="4"/>
      <c r="BQ390" s="4"/>
      <c r="BR390" s="4"/>
      <c r="BS390" s="4"/>
      <c r="BT390" s="4"/>
      <c r="BU390" s="4"/>
      <c r="BV390" s="4"/>
      <c r="BW390" s="4"/>
      <c r="BX390" s="4"/>
      <c r="BY390" s="4"/>
      <c r="BZ390" s="4"/>
      <c r="CA390" s="4"/>
      <c r="CB390" s="4"/>
      <c r="CC390" s="4"/>
      <c r="CD390" s="4"/>
      <c r="CE390" s="4"/>
      <c r="CF390" s="4"/>
      <c r="CG390" s="4"/>
      <c r="CH390" s="4"/>
      <c r="CI390" s="4"/>
      <c r="CJ390" s="4"/>
      <c r="CK390" s="4"/>
      <c r="CL390" s="4"/>
      <c r="CM390" s="4"/>
      <c r="CN390" s="4"/>
      <c r="CO390" s="4"/>
      <c r="CP390" s="4"/>
      <c r="CQ390" s="4"/>
      <c r="CR390" s="4"/>
      <c r="CS390" s="4"/>
      <c r="CT390" s="4"/>
      <c r="CU390" s="4"/>
      <c r="CV390" s="4"/>
      <c r="CW390" s="4"/>
      <c r="CX390" s="4"/>
      <c r="CY390" s="4"/>
      <c r="CZ390" s="4"/>
      <c r="DA390" s="4"/>
      <c r="DB390" s="4"/>
      <c r="DC390" s="4"/>
      <c r="DD390" s="4"/>
      <c r="DE390" s="4"/>
      <c r="DF390" s="4"/>
      <c r="DG390" s="4"/>
      <c r="DH390" s="4"/>
      <c r="DI390" s="4"/>
      <c r="DJ390" s="4"/>
      <c r="DK390" s="4"/>
      <c r="DL390" s="4"/>
      <c r="DM390" s="4"/>
      <c r="DN390" s="4"/>
      <c r="DO390" s="4"/>
      <c r="DP390" s="4"/>
      <c r="DQ390" s="4"/>
      <c r="DR390" s="4"/>
      <c r="DS390" s="4"/>
      <c r="DT390" s="4"/>
      <c r="DU390" s="4"/>
      <c r="DV390" s="4"/>
      <c r="DW390" s="4"/>
      <c r="DX390" s="4"/>
      <c r="DY390" s="4"/>
      <c r="DZ390" s="91"/>
      <c r="EA390" s="4"/>
      <c r="EB390" s="4"/>
      <c r="EC390" s="4"/>
      <c r="ED390" s="4"/>
      <c r="EE390" s="4"/>
      <c r="EF390" s="4"/>
      <c r="EG390" s="4"/>
      <c r="EH390" s="4"/>
      <c r="EI390" s="4"/>
      <c r="EJ390" s="4"/>
      <c r="EK390" s="4"/>
      <c r="EL390" s="4"/>
      <c r="EM390" s="4"/>
      <c r="EN390" s="4"/>
      <c r="EO390" s="4"/>
      <c r="EP390" s="4"/>
      <c r="EQ390" s="4"/>
      <c r="ER390" s="4"/>
      <c r="ES390" s="4"/>
      <c r="ET390" s="4"/>
      <c r="EU390" s="4"/>
      <c r="EV390" s="4"/>
      <c r="EW390" s="4"/>
      <c r="EX390" s="4"/>
      <c r="EY390" s="4"/>
      <c r="EZ390" s="4"/>
      <c r="FA390" s="4"/>
      <c r="FB390" s="4"/>
      <c r="FC390" s="4"/>
      <c r="FD390" s="4"/>
      <c r="FE390" s="4"/>
      <c r="FF390" s="4"/>
      <c r="FG390" s="4"/>
      <c r="FH390" s="4"/>
      <c r="FI390" s="4"/>
      <c r="FJ390" s="4"/>
      <c r="FK390" s="4"/>
      <c r="FL390" s="4"/>
      <c r="FM390" s="4"/>
      <c r="FN390" s="4"/>
      <c r="FO390" s="4"/>
      <c r="FP390" s="4"/>
      <c r="FQ390" s="4"/>
      <c r="FR390" s="4"/>
      <c r="FS390" s="4"/>
      <c r="FT390" s="4"/>
      <c r="FU390" s="4"/>
      <c r="FV390" s="4"/>
      <c r="FW390" s="91"/>
      <c r="FX390" s="4"/>
      <c r="FY390" s="4"/>
      <c r="FZ390" s="4"/>
      <c r="GA390" s="4"/>
      <c r="GB390" s="4"/>
      <c r="GC390" s="4"/>
      <c r="GD390" s="4"/>
      <c r="GE390" s="4"/>
      <c r="GF390" s="4"/>
      <c r="GG390" s="4"/>
      <c r="GH390" s="4"/>
      <c r="GI390" s="4"/>
      <c r="GJ390" s="4"/>
      <c r="GK390" s="4"/>
      <c r="GL390" s="4"/>
      <c r="GM390" s="4"/>
      <c r="GN390" s="4"/>
      <c r="GO390" s="4"/>
      <c r="GP390" s="4"/>
      <c r="GQ390" s="4"/>
      <c r="GR390" s="4"/>
      <c r="GS390" s="4"/>
      <c r="GT390" s="4"/>
      <c r="GU390" s="4"/>
      <c r="GV390" s="4"/>
      <c r="GW390" s="4"/>
      <c r="GX390" s="4"/>
      <c r="GY390" s="4"/>
      <c r="GZ390" s="4"/>
      <c r="HA390" s="4"/>
      <c r="HB390" s="4"/>
      <c r="HC390" s="4"/>
      <c r="HD390" s="4"/>
      <c r="HE390" s="4"/>
      <c r="HF390" s="4"/>
      <c r="HG390" s="4"/>
      <c r="HH390" s="4"/>
      <c r="HI390" s="4"/>
      <c r="HJ390" s="4"/>
      <c r="HK390" s="91"/>
      <c r="HL390" s="4"/>
      <c r="HM390" s="120" t="s">
        <v>246</v>
      </c>
      <c r="HN390" s="121" t="s">
        <v>247</v>
      </c>
      <c r="HO390" s="122"/>
      <c r="HP390" s="104">
        <v>2</v>
      </c>
      <c r="HX390" s="4"/>
      <c r="HY390" s="91"/>
      <c r="HZ390" s="4"/>
      <c r="IA390" s="4"/>
      <c r="IB390" s="4"/>
      <c r="IC390" s="4"/>
      <c r="ID390" s="4"/>
      <c r="IE390" s="4"/>
      <c r="IF390" s="4"/>
      <c r="IG390" s="4"/>
      <c r="IH390" s="4"/>
      <c r="II390" s="4"/>
      <c r="IJ390" s="4"/>
      <c r="IK390" s="4"/>
      <c r="IL390" s="4"/>
      <c r="IM390" s="4"/>
      <c r="IN390" s="4"/>
      <c r="IO390" s="4"/>
      <c r="IP390" s="4"/>
      <c r="IQ390" s="4"/>
      <c r="IR390" s="4"/>
      <c r="IS390" s="4"/>
      <c r="IT390" s="91"/>
      <c r="IU390" s="4"/>
      <c r="IV390" s="4"/>
      <c r="IW390" s="4"/>
      <c r="IX390" s="4"/>
      <c r="IY390" s="4"/>
      <c r="IZ390" s="4"/>
      <c r="JA390" s="4"/>
      <c r="JB390" s="4"/>
      <c r="JC390" s="4"/>
      <c r="JD390" s="4"/>
      <c r="JE390" s="4"/>
      <c r="JF390" s="4"/>
      <c r="JG390" s="4"/>
      <c r="JH390" s="4"/>
      <c r="JI390" s="4"/>
      <c r="JJ390" s="4"/>
      <c r="JK390" s="4"/>
      <c r="JL390" s="91"/>
      <c r="JM390" s="4"/>
      <c r="JN390" s="4"/>
      <c r="JO390" s="4"/>
      <c r="JP390" s="4"/>
      <c r="JQ390" s="4"/>
      <c r="JR390" s="4"/>
    </row>
    <row r="391" spans="2:278" s="84" customFormat="1" ht="12" customHeight="1">
      <c r="B391" s="4"/>
      <c r="C391" s="4"/>
      <c r="D391" s="4"/>
      <c r="E391" s="4"/>
      <c r="F391" s="4"/>
      <c r="G391" s="4"/>
      <c r="H391" s="4"/>
      <c r="I391" s="4"/>
      <c r="J391" s="4"/>
      <c r="K391" s="4"/>
      <c r="L391" s="4"/>
      <c r="M391" s="4"/>
      <c r="N391" s="4"/>
      <c r="O391" s="4"/>
      <c r="P391" s="4"/>
      <c r="Q391" s="4"/>
      <c r="R391" s="4"/>
      <c r="S391" s="4"/>
      <c r="T391" s="4"/>
      <c r="U391" s="4"/>
      <c r="V391" s="4"/>
      <c r="W391" s="91"/>
      <c r="X391" s="4"/>
      <c r="Y391" s="4"/>
      <c r="Z391" s="4"/>
      <c r="AA391" s="4"/>
      <c r="AB391" s="4"/>
      <c r="AC391" s="4"/>
      <c r="AD391" s="4"/>
      <c r="AE391" s="4"/>
      <c r="AF391" s="4"/>
      <c r="AG391" s="91"/>
      <c r="AH391" s="4"/>
      <c r="AI391" s="4"/>
      <c r="AJ391" s="4"/>
      <c r="AK391" s="4"/>
      <c r="AL391" s="4"/>
      <c r="AM391" s="4"/>
      <c r="AN391" s="4"/>
      <c r="AO391" s="4"/>
      <c r="AP391" s="4"/>
      <c r="AQ391" s="4"/>
      <c r="AR391" s="4"/>
      <c r="AS391" s="4"/>
      <c r="AT391" s="4"/>
      <c r="AU391" s="4"/>
      <c r="AV391" s="4"/>
      <c r="AW391" s="4"/>
      <c r="AX391" s="4"/>
      <c r="AY391" s="4"/>
      <c r="AZ391" s="4"/>
      <c r="BA391" s="4"/>
      <c r="BB391" s="4"/>
      <c r="BC391" s="4"/>
      <c r="BD391" s="4"/>
      <c r="BE391" s="4"/>
      <c r="BF391" s="4"/>
      <c r="BG391" s="4"/>
      <c r="BH391" s="4"/>
      <c r="BI391" s="4"/>
      <c r="BJ391" s="4"/>
      <c r="BK391" s="4"/>
      <c r="BL391" s="4"/>
      <c r="BM391" s="4"/>
      <c r="BN391" s="4"/>
      <c r="BO391" s="4"/>
      <c r="BP391" s="4"/>
      <c r="BQ391" s="4"/>
      <c r="BR391" s="4"/>
      <c r="BS391" s="4"/>
      <c r="BT391" s="4"/>
      <c r="BU391" s="4"/>
      <c r="BV391" s="4"/>
      <c r="BW391" s="4"/>
      <c r="BX391" s="4"/>
      <c r="BY391" s="4"/>
      <c r="BZ391" s="4"/>
      <c r="CA391" s="4"/>
      <c r="CB391" s="4"/>
      <c r="CC391" s="4"/>
      <c r="CD391" s="4"/>
      <c r="CE391" s="4"/>
      <c r="CF391" s="4"/>
      <c r="CG391" s="4"/>
      <c r="CH391" s="4"/>
      <c r="CI391" s="4"/>
      <c r="CJ391" s="4"/>
      <c r="CK391" s="4"/>
      <c r="CL391" s="4"/>
      <c r="CM391" s="4"/>
      <c r="CN391" s="4"/>
      <c r="CO391" s="4"/>
      <c r="CP391" s="4"/>
      <c r="CQ391" s="4"/>
      <c r="CR391" s="4"/>
      <c r="CS391" s="4"/>
      <c r="CT391" s="4"/>
      <c r="CU391" s="4"/>
      <c r="CV391" s="4"/>
      <c r="CW391" s="4"/>
      <c r="CX391" s="4"/>
      <c r="CY391" s="4"/>
      <c r="CZ391" s="4"/>
      <c r="DA391" s="4"/>
      <c r="DB391" s="4"/>
      <c r="DC391" s="4"/>
      <c r="DD391" s="4"/>
      <c r="DE391" s="4"/>
      <c r="DF391" s="4"/>
      <c r="DG391" s="4"/>
      <c r="DH391" s="4"/>
      <c r="DI391" s="4"/>
      <c r="DJ391" s="4"/>
      <c r="DK391" s="4"/>
      <c r="DL391" s="4"/>
      <c r="DM391" s="4"/>
      <c r="DN391" s="4"/>
      <c r="DO391" s="4"/>
      <c r="DP391" s="4"/>
      <c r="DQ391" s="4"/>
      <c r="DR391" s="4"/>
      <c r="DS391" s="4"/>
      <c r="DT391" s="4"/>
      <c r="DU391" s="4"/>
      <c r="DV391" s="4"/>
      <c r="DW391" s="4"/>
      <c r="DX391" s="4"/>
      <c r="DY391" s="4"/>
      <c r="DZ391" s="91"/>
      <c r="EA391" s="4"/>
      <c r="EB391" s="4"/>
      <c r="EC391" s="4"/>
      <c r="ED391" s="4"/>
      <c r="EE391" s="4"/>
      <c r="EF391" s="4"/>
      <c r="EG391" s="4"/>
      <c r="EH391" s="4"/>
      <c r="EI391" s="4"/>
      <c r="EJ391" s="4"/>
      <c r="EK391" s="4"/>
      <c r="EL391" s="4"/>
      <c r="EM391" s="4"/>
      <c r="EN391" s="4"/>
      <c r="EO391" s="4"/>
      <c r="EP391" s="4"/>
      <c r="EQ391" s="4"/>
      <c r="ER391" s="4"/>
      <c r="ES391" s="4"/>
      <c r="ET391" s="4"/>
      <c r="EU391" s="4"/>
      <c r="EV391" s="4"/>
      <c r="EW391" s="4"/>
      <c r="EX391" s="4"/>
      <c r="EY391" s="4"/>
      <c r="EZ391" s="4"/>
      <c r="FA391" s="4"/>
      <c r="FB391" s="4"/>
      <c r="FC391" s="4"/>
      <c r="FD391" s="4"/>
      <c r="FE391" s="4"/>
      <c r="FF391" s="4"/>
      <c r="FG391" s="4"/>
      <c r="FH391" s="4"/>
      <c r="FI391" s="4"/>
      <c r="FJ391" s="4"/>
      <c r="FK391" s="4"/>
      <c r="FL391" s="4"/>
      <c r="FM391" s="4"/>
      <c r="FN391" s="4"/>
      <c r="FO391" s="4"/>
      <c r="FP391" s="4"/>
      <c r="FQ391" s="4"/>
      <c r="FR391" s="4"/>
      <c r="FS391" s="4"/>
      <c r="FT391" s="4"/>
      <c r="FU391" s="4"/>
      <c r="FV391" s="4"/>
      <c r="FW391" s="91"/>
      <c r="FX391" s="4"/>
      <c r="FY391" s="4"/>
      <c r="FZ391" s="4"/>
      <c r="GA391" s="4"/>
      <c r="GB391" s="4"/>
      <c r="GC391" s="4"/>
      <c r="GD391" s="4"/>
      <c r="GE391" s="4"/>
      <c r="GF391" s="4"/>
      <c r="GG391" s="4"/>
      <c r="GH391" s="4"/>
      <c r="GI391" s="4"/>
      <c r="GJ391" s="4"/>
      <c r="GK391" s="4"/>
      <c r="GL391" s="4"/>
      <c r="GM391" s="4"/>
      <c r="GN391" s="4"/>
      <c r="GO391" s="4"/>
      <c r="GP391" s="4"/>
      <c r="GQ391" s="4"/>
      <c r="GR391" s="4"/>
      <c r="GS391" s="4"/>
      <c r="GT391" s="4"/>
      <c r="GU391" s="4"/>
      <c r="GV391" s="4"/>
      <c r="GW391" s="4"/>
      <c r="GX391" s="4"/>
      <c r="GY391" s="4"/>
      <c r="GZ391" s="4"/>
      <c r="HA391" s="4"/>
      <c r="HB391" s="4"/>
      <c r="HC391" s="4"/>
      <c r="HD391" s="4"/>
      <c r="HE391" s="4"/>
      <c r="HF391" s="4"/>
      <c r="HG391" s="4"/>
      <c r="HH391" s="4"/>
      <c r="HI391" s="4"/>
      <c r="HJ391" s="4"/>
      <c r="HK391" s="91"/>
      <c r="HL391" s="4"/>
      <c r="HM391" s="120" t="s">
        <v>246</v>
      </c>
      <c r="HN391" s="122"/>
      <c r="HO391" s="122"/>
      <c r="HP391" s="103">
        <v>2.5</v>
      </c>
      <c r="HX391" s="4"/>
      <c r="HY391" s="91"/>
      <c r="HZ391" s="4"/>
      <c r="IA391" s="4"/>
      <c r="IB391" s="4"/>
      <c r="IC391" s="4"/>
      <c r="ID391" s="4"/>
      <c r="IE391" s="4"/>
      <c r="IF391" s="4"/>
      <c r="IG391" s="4"/>
      <c r="IH391" s="4"/>
      <c r="II391" s="4"/>
      <c r="IJ391" s="4"/>
      <c r="IK391" s="4"/>
      <c r="IL391" s="4"/>
      <c r="IM391" s="4"/>
      <c r="IN391" s="4"/>
      <c r="IO391" s="4"/>
      <c r="IP391" s="4"/>
      <c r="IQ391" s="4"/>
      <c r="IR391" s="4"/>
      <c r="IS391" s="4"/>
      <c r="IT391" s="91"/>
      <c r="IU391" s="4"/>
      <c r="IV391" s="4"/>
      <c r="IW391" s="4"/>
      <c r="IX391" s="4"/>
      <c r="IY391" s="4"/>
      <c r="IZ391" s="4"/>
      <c r="JA391" s="4"/>
      <c r="JB391" s="4"/>
      <c r="JC391" s="4"/>
      <c r="JD391" s="4"/>
      <c r="JE391" s="4"/>
      <c r="JF391" s="4"/>
      <c r="JG391" s="4"/>
      <c r="JH391" s="4"/>
      <c r="JI391" s="4"/>
      <c r="JJ391" s="4"/>
      <c r="JK391" s="4"/>
      <c r="JL391" s="91"/>
      <c r="JM391" s="4"/>
      <c r="JN391" s="4"/>
      <c r="JO391" s="4"/>
      <c r="JP391" s="4"/>
      <c r="JQ391" s="4"/>
      <c r="JR391" s="4"/>
    </row>
    <row r="392" spans="2:278" s="84" customFormat="1" ht="12" customHeight="1">
      <c r="B392" s="4"/>
      <c r="C392" s="4"/>
      <c r="D392" s="4"/>
      <c r="E392" s="4"/>
      <c r="F392" s="4"/>
      <c r="G392" s="4"/>
      <c r="H392" s="4"/>
      <c r="I392" s="4"/>
      <c r="J392" s="4"/>
      <c r="K392" s="4"/>
      <c r="L392" s="4"/>
      <c r="M392" s="4"/>
      <c r="N392" s="4"/>
      <c r="O392" s="4"/>
      <c r="P392" s="4"/>
      <c r="Q392" s="4"/>
      <c r="R392" s="4"/>
      <c r="S392" s="4"/>
      <c r="T392" s="4"/>
      <c r="U392" s="4"/>
      <c r="V392" s="4"/>
      <c r="W392" s="91"/>
      <c r="X392" s="4"/>
      <c r="Y392" s="4"/>
      <c r="Z392" s="4"/>
      <c r="AA392" s="4"/>
      <c r="AB392" s="4"/>
      <c r="AC392" s="4"/>
      <c r="AD392" s="4"/>
      <c r="AE392" s="4"/>
      <c r="AF392" s="4"/>
      <c r="AG392" s="91"/>
      <c r="AH392" s="4"/>
      <c r="AI392" s="4"/>
      <c r="AJ392" s="4"/>
      <c r="AK392" s="4"/>
      <c r="AL392" s="4"/>
      <c r="AM392" s="4"/>
      <c r="AN392" s="4"/>
      <c r="AO392" s="4"/>
      <c r="AP392" s="4"/>
      <c r="AQ392" s="4"/>
      <c r="AR392" s="4"/>
      <c r="AS392" s="4"/>
      <c r="AT392" s="4"/>
      <c r="AU392" s="4"/>
      <c r="AV392" s="4"/>
      <c r="AW392" s="4"/>
      <c r="AX392" s="4"/>
      <c r="AY392" s="4"/>
      <c r="AZ392" s="4"/>
      <c r="BA392" s="4"/>
      <c r="BB392" s="4"/>
      <c r="BC392" s="4"/>
      <c r="BD392" s="4"/>
      <c r="BE392" s="4"/>
      <c r="BF392" s="4"/>
      <c r="BG392" s="4"/>
      <c r="BH392" s="4"/>
      <c r="BI392" s="4"/>
      <c r="BJ392" s="4"/>
      <c r="BK392" s="4"/>
      <c r="BL392" s="4"/>
      <c r="BM392" s="4"/>
      <c r="BN392" s="4"/>
      <c r="BO392" s="4"/>
      <c r="BP392" s="4"/>
      <c r="BQ392" s="4"/>
      <c r="BR392" s="4"/>
      <c r="BS392" s="4"/>
      <c r="BT392" s="4"/>
      <c r="BU392" s="4"/>
      <c r="BV392" s="4"/>
      <c r="BW392" s="4"/>
      <c r="BX392" s="4"/>
      <c r="BY392" s="4"/>
      <c r="BZ392" s="4"/>
      <c r="CA392" s="4"/>
      <c r="CB392" s="4"/>
      <c r="CC392" s="4"/>
      <c r="CD392" s="4"/>
      <c r="CE392" s="4"/>
      <c r="CF392" s="4"/>
      <c r="CG392" s="4"/>
      <c r="CH392" s="4"/>
      <c r="CI392" s="4"/>
      <c r="CJ392" s="4"/>
      <c r="CK392" s="4"/>
      <c r="CL392" s="4"/>
      <c r="CM392" s="4"/>
      <c r="CN392" s="4"/>
      <c r="CO392" s="4"/>
      <c r="CP392" s="4"/>
      <c r="CQ392" s="4"/>
      <c r="CR392" s="4"/>
      <c r="CS392" s="4"/>
      <c r="CT392" s="4"/>
      <c r="CU392" s="4"/>
      <c r="CV392" s="4"/>
      <c r="CW392" s="4"/>
      <c r="CX392" s="4"/>
      <c r="CY392" s="4"/>
      <c r="CZ392" s="4"/>
      <c r="DA392" s="4"/>
      <c r="DB392" s="4"/>
      <c r="DC392" s="4"/>
      <c r="DD392" s="4"/>
      <c r="DE392" s="4"/>
      <c r="DF392" s="4"/>
      <c r="DG392" s="4"/>
      <c r="DH392" s="4"/>
      <c r="DI392" s="4"/>
      <c r="DJ392" s="4"/>
      <c r="DK392" s="4"/>
      <c r="DL392" s="4"/>
      <c r="DM392" s="4"/>
      <c r="DN392" s="4"/>
      <c r="DO392" s="4"/>
      <c r="DP392" s="4"/>
      <c r="DQ392" s="4"/>
      <c r="DR392" s="4"/>
      <c r="DS392" s="4"/>
      <c r="DT392" s="4"/>
      <c r="DU392" s="4"/>
      <c r="DV392" s="4"/>
      <c r="DW392" s="4"/>
      <c r="DX392" s="4"/>
      <c r="DY392" s="4"/>
      <c r="DZ392" s="91"/>
      <c r="EA392" s="4"/>
      <c r="EB392" s="4"/>
      <c r="EC392" s="4"/>
      <c r="ED392" s="4"/>
      <c r="EE392" s="4"/>
      <c r="EF392" s="4"/>
      <c r="EG392" s="4"/>
      <c r="EH392" s="4"/>
      <c r="EI392" s="4"/>
      <c r="EJ392" s="4"/>
      <c r="EK392" s="4"/>
      <c r="EL392" s="4"/>
      <c r="EM392" s="4"/>
      <c r="EN392" s="4"/>
      <c r="EO392" s="4"/>
      <c r="EP392" s="4"/>
      <c r="EQ392" s="4"/>
      <c r="ER392" s="4"/>
      <c r="ES392" s="4"/>
      <c r="ET392" s="4"/>
      <c r="EU392" s="4"/>
      <c r="EV392" s="4"/>
      <c r="EW392" s="4"/>
      <c r="EX392" s="4"/>
      <c r="EY392" s="4"/>
      <c r="EZ392" s="4"/>
      <c r="FA392" s="4"/>
      <c r="FB392" s="4"/>
      <c r="FC392" s="4"/>
      <c r="FD392" s="4"/>
      <c r="FE392" s="4"/>
      <c r="FF392" s="4"/>
      <c r="FG392" s="4"/>
      <c r="FH392" s="4"/>
      <c r="FI392" s="4"/>
      <c r="FJ392" s="4"/>
      <c r="FK392" s="4"/>
      <c r="FL392" s="4"/>
      <c r="FM392" s="4"/>
      <c r="FN392" s="4"/>
      <c r="FO392" s="4"/>
      <c r="FP392" s="4"/>
      <c r="FQ392" s="4"/>
      <c r="FR392" s="4"/>
      <c r="FS392" s="4"/>
      <c r="FT392" s="4"/>
      <c r="FU392" s="4"/>
      <c r="FV392" s="4"/>
      <c r="FW392" s="91"/>
      <c r="FX392" s="4"/>
      <c r="FY392" s="4"/>
      <c r="FZ392" s="4"/>
      <c r="GA392" s="4"/>
      <c r="GB392" s="4"/>
      <c r="GC392" s="4"/>
      <c r="GD392" s="4"/>
      <c r="GE392" s="4"/>
      <c r="GF392" s="4"/>
      <c r="GG392" s="4"/>
      <c r="GH392" s="4"/>
      <c r="GI392" s="4"/>
      <c r="GJ392" s="4"/>
      <c r="GK392" s="4"/>
      <c r="GL392" s="4"/>
      <c r="GM392" s="4"/>
      <c r="GN392" s="4"/>
      <c r="GO392" s="4"/>
      <c r="GP392" s="4"/>
      <c r="GQ392" s="4"/>
      <c r="GR392" s="4"/>
      <c r="GS392" s="4"/>
      <c r="GT392" s="4"/>
      <c r="GU392" s="4"/>
      <c r="GV392" s="4"/>
      <c r="GW392" s="4"/>
      <c r="GX392" s="4"/>
      <c r="GY392" s="4"/>
      <c r="GZ392" s="4"/>
      <c r="HA392" s="4"/>
      <c r="HB392" s="4"/>
      <c r="HC392" s="4"/>
      <c r="HD392" s="4"/>
      <c r="HE392" s="4"/>
      <c r="HF392" s="4"/>
      <c r="HG392" s="4"/>
      <c r="HH392" s="4"/>
      <c r="HI392" s="4"/>
      <c r="HJ392" s="4"/>
      <c r="HK392" s="91"/>
      <c r="HL392" s="4"/>
      <c r="HM392" s="120" t="s">
        <v>246</v>
      </c>
      <c r="HN392" s="121" t="s">
        <v>247</v>
      </c>
      <c r="HO392" s="123" t="s">
        <v>248</v>
      </c>
      <c r="HP392" s="104">
        <v>3</v>
      </c>
      <c r="HX392" s="4"/>
      <c r="HY392" s="91"/>
      <c r="HZ392" s="4"/>
      <c r="IA392" s="4"/>
      <c r="IB392" s="4"/>
      <c r="IC392" s="4"/>
      <c r="ID392" s="4"/>
      <c r="IE392" s="4"/>
      <c r="IF392" s="4"/>
      <c r="IG392" s="4"/>
      <c r="IH392" s="4"/>
      <c r="II392" s="4"/>
      <c r="IJ392" s="4"/>
      <c r="IK392" s="4"/>
      <c r="IL392" s="4"/>
      <c r="IM392" s="4"/>
      <c r="IN392" s="4"/>
      <c r="IO392" s="4"/>
      <c r="IP392" s="4"/>
      <c r="IQ392" s="4"/>
      <c r="IR392" s="4"/>
      <c r="IS392" s="4"/>
      <c r="IT392" s="91"/>
      <c r="IU392" s="4"/>
      <c r="IV392" s="4"/>
      <c r="IW392" s="4"/>
      <c r="IX392" s="4"/>
      <c r="IY392" s="4"/>
      <c r="IZ392" s="4"/>
      <c r="JA392" s="4"/>
      <c r="JB392" s="4"/>
      <c r="JC392" s="4"/>
      <c r="JD392" s="4"/>
      <c r="JE392" s="4"/>
      <c r="JF392" s="4"/>
      <c r="JG392" s="4"/>
      <c r="JH392" s="4"/>
      <c r="JI392" s="4"/>
      <c r="JJ392" s="4"/>
      <c r="JK392" s="4"/>
      <c r="JL392" s="91"/>
      <c r="JM392" s="4"/>
      <c r="JN392" s="4"/>
      <c r="JO392" s="4"/>
      <c r="JP392" s="4"/>
      <c r="JQ392" s="4"/>
      <c r="JR392" s="4"/>
    </row>
    <row r="393" spans="2:278" s="84" customFormat="1" ht="12" customHeight="1">
      <c r="B393" s="4"/>
      <c r="C393" s="4"/>
      <c r="D393" s="4"/>
      <c r="E393" s="4"/>
      <c r="F393" s="4"/>
      <c r="G393" s="4"/>
      <c r="H393" s="4"/>
      <c r="I393" s="4"/>
      <c r="J393" s="4"/>
      <c r="K393" s="4"/>
      <c r="L393" s="4"/>
      <c r="M393" s="4"/>
      <c r="N393" s="4"/>
      <c r="O393" s="4"/>
      <c r="P393" s="4"/>
      <c r="Q393" s="4"/>
      <c r="R393" s="4"/>
      <c r="S393" s="4"/>
      <c r="T393" s="4"/>
      <c r="U393" s="4"/>
      <c r="V393" s="4"/>
      <c r="W393" s="91"/>
      <c r="X393" s="4"/>
      <c r="Y393" s="4"/>
      <c r="Z393" s="4"/>
      <c r="AA393" s="4"/>
      <c r="AB393" s="4"/>
      <c r="AC393" s="4"/>
      <c r="AD393" s="4"/>
      <c r="AE393" s="4"/>
      <c r="AF393" s="4"/>
      <c r="AG393" s="91"/>
      <c r="AH393" s="4"/>
      <c r="AI393" s="4"/>
      <c r="AJ393" s="4"/>
      <c r="AK393" s="4"/>
      <c r="AL393" s="4"/>
      <c r="AM393" s="4"/>
      <c r="AN393" s="4"/>
      <c r="AO393" s="4"/>
      <c r="AP393" s="4"/>
      <c r="AQ393" s="4"/>
      <c r="AR393" s="4"/>
      <c r="AS393" s="4"/>
      <c r="AT393" s="4"/>
      <c r="AU393" s="4"/>
      <c r="AV393" s="4"/>
      <c r="AW393" s="4"/>
      <c r="AX393" s="4"/>
      <c r="AY393" s="4"/>
      <c r="AZ393" s="4"/>
      <c r="BA393" s="4"/>
      <c r="BB393" s="4"/>
      <c r="BC393" s="4"/>
      <c r="BD393" s="4"/>
      <c r="BE393" s="4"/>
      <c r="BF393" s="4"/>
      <c r="BG393" s="4"/>
      <c r="BH393" s="4"/>
      <c r="BI393" s="4"/>
      <c r="BJ393" s="4"/>
      <c r="BK393" s="4"/>
      <c r="BL393" s="4"/>
      <c r="BM393" s="4"/>
      <c r="BN393" s="4"/>
      <c r="BO393" s="4"/>
      <c r="BP393" s="4"/>
      <c r="BQ393" s="4"/>
      <c r="BR393" s="4"/>
      <c r="BS393" s="4"/>
      <c r="BT393" s="4"/>
      <c r="BU393" s="4"/>
      <c r="BV393" s="4"/>
      <c r="BW393" s="4"/>
      <c r="BX393" s="4"/>
      <c r="BY393" s="4"/>
      <c r="BZ393" s="4"/>
      <c r="CA393" s="4"/>
      <c r="CB393" s="4"/>
      <c r="CC393" s="4"/>
      <c r="CD393" s="4"/>
      <c r="CE393" s="4"/>
      <c r="CF393" s="4"/>
      <c r="CG393" s="4"/>
      <c r="CH393" s="4"/>
      <c r="CI393" s="4"/>
      <c r="CJ393" s="4"/>
      <c r="CK393" s="4"/>
      <c r="CL393" s="4"/>
      <c r="CM393" s="4"/>
      <c r="CN393" s="4"/>
      <c r="CO393" s="4"/>
      <c r="CP393" s="4"/>
      <c r="CQ393" s="4"/>
      <c r="CR393" s="4"/>
      <c r="CS393" s="4"/>
      <c r="CT393" s="4"/>
      <c r="CU393" s="4"/>
      <c r="CV393" s="4"/>
      <c r="CW393" s="4"/>
      <c r="CX393" s="4"/>
      <c r="CY393" s="4"/>
      <c r="CZ393" s="4"/>
      <c r="DA393" s="4"/>
      <c r="DB393" s="4"/>
      <c r="DC393" s="4"/>
      <c r="DD393" s="4"/>
      <c r="DE393" s="4"/>
      <c r="DF393" s="4"/>
      <c r="DG393" s="4"/>
      <c r="DH393" s="4"/>
      <c r="DI393" s="4"/>
      <c r="DJ393" s="4"/>
      <c r="DK393" s="4"/>
      <c r="DL393" s="4"/>
      <c r="DM393" s="4"/>
      <c r="DN393" s="4"/>
      <c r="DO393" s="4"/>
      <c r="DP393" s="4"/>
      <c r="DQ393" s="4"/>
      <c r="DR393" s="4"/>
      <c r="DS393" s="4"/>
      <c r="DT393" s="4"/>
      <c r="DU393" s="4"/>
      <c r="DV393" s="4"/>
      <c r="DW393" s="4"/>
      <c r="DX393" s="4"/>
      <c r="DY393" s="4"/>
      <c r="DZ393" s="91"/>
      <c r="EA393" s="4"/>
      <c r="EB393" s="4"/>
      <c r="EC393" s="4"/>
      <c r="ED393" s="4"/>
      <c r="EE393" s="4"/>
      <c r="EF393" s="4"/>
      <c r="EG393" s="4"/>
      <c r="EH393" s="4"/>
      <c r="EI393" s="4"/>
      <c r="EJ393" s="4"/>
      <c r="EK393" s="4"/>
      <c r="EL393" s="4"/>
      <c r="EM393" s="4"/>
      <c r="EN393" s="4"/>
      <c r="EO393" s="4"/>
      <c r="EP393" s="4"/>
      <c r="EQ393" s="4"/>
      <c r="ER393" s="4"/>
      <c r="ES393" s="4"/>
      <c r="ET393" s="4"/>
      <c r="EU393" s="4"/>
      <c r="EV393" s="4"/>
      <c r="EW393" s="4"/>
      <c r="EX393" s="4"/>
      <c r="EY393" s="4"/>
      <c r="EZ393" s="4"/>
      <c r="FA393" s="4"/>
      <c r="FB393" s="4"/>
      <c r="FC393" s="4"/>
      <c r="FD393" s="4"/>
      <c r="FE393" s="4"/>
      <c r="FF393" s="4"/>
      <c r="FG393" s="4"/>
      <c r="FH393" s="4"/>
      <c r="FI393" s="4"/>
      <c r="FJ393" s="4"/>
      <c r="FK393" s="4"/>
      <c r="FL393" s="4"/>
      <c r="FM393" s="4"/>
      <c r="FN393" s="4"/>
      <c r="FO393" s="4"/>
      <c r="FP393" s="4"/>
      <c r="FQ393" s="4"/>
      <c r="FR393" s="4"/>
      <c r="FS393" s="4"/>
      <c r="FT393" s="4"/>
      <c r="FU393" s="4"/>
      <c r="FV393" s="4"/>
      <c r="FW393" s="91"/>
      <c r="FX393" s="4"/>
      <c r="FY393" s="4"/>
      <c r="FZ393" s="4"/>
      <c r="GA393" s="4"/>
      <c r="GB393" s="4"/>
      <c r="GC393" s="4"/>
      <c r="GD393" s="4"/>
      <c r="GE393" s="4"/>
      <c r="GF393" s="4"/>
      <c r="GG393" s="4"/>
      <c r="GH393" s="4"/>
      <c r="GI393" s="4"/>
      <c r="GJ393" s="4"/>
      <c r="GK393" s="4"/>
      <c r="GL393" s="4"/>
      <c r="GM393" s="4"/>
      <c r="GN393" s="4"/>
      <c r="GO393" s="4"/>
      <c r="GP393" s="4"/>
      <c r="GQ393" s="4"/>
      <c r="GR393" s="4"/>
      <c r="GS393" s="4"/>
      <c r="GT393" s="4"/>
      <c r="GU393" s="4"/>
      <c r="GV393" s="4"/>
      <c r="GW393" s="4"/>
      <c r="GX393" s="4"/>
      <c r="GY393" s="4"/>
      <c r="GZ393" s="4"/>
      <c r="HA393" s="4"/>
      <c r="HB393" s="4"/>
      <c r="HC393" s="4"/>
      <c r="HD393" s="4"/>
      <c r="HE393" s="4"/>
      <c r="HF393" s="4"/>
      <c r="HG393" s="4"/>
      <c r="HH393" s="4"/>
      <c r="HI393" s="4"/>
      <c r="HJ393" s="4"/>
      <c r="HK393" s="91"/>
      <c r="HL393" s="4"/>
      <c r="HM393" s="122"/>
      <c r="HN393" s="121" t="s">
        <v>247</v>
      </c>
      <c r="HO393" s="123" t="s">
        <v>248</v>
      </c>
      <c r="HP393" s="103">
        <v>4</v>
      </c>
      <c r="HX393" s="4"/>
      <c r="HY393" s="91"/>
      <c r="HZ393" s="4"/>
      <c r="IA393" s="4"/>
      <c r="IB393" s="4"/>
      <c r="IC393" s="4"/>
      <c r="ID393" s="4"/>
      <c r="IE393" s="4"/>
      <c r="IF393" s="4"/>
      <c r="IG393" s="4"/>
      <c r="IH393" s="4"/>
      <c r="II393" s="4"/>
      <c r="IJ393" s="4"/>
      <c r="IK393" s="4"/>
      <c r="IL393" s="4"/>
      <c r="IM393" s="4"/>
      <c r="IN393" s="4"/>
      <c r="IO393" s="4"/>
      <c r="IP393" s="4"/>
      <c r="IQ393" s="4"/>
      <c r="IR393" s="4"/>
      <c r="IS393" s="4"/>
      <c r="IT393" s="91"/>
      <c r="IU393" s="4"/>
      <c r="IV393" s="4"/>
      <c r="IW393" s="4"/>
      <c r="IX393" s="4"/>
      <c r="IY393" s="4"/>
      <c r="IZ393" s="4"/>
      <c r="JA393" s="4"/>
      <c r="JB393" s="4"/>
      <c r="JC393" s="4"/>
      <c r="JD393" s="4"/>
      <c r="JE393" s="4"/>
      <c r="JF393" s="4"/>
      <c r="JG393" s="4"/>
      <c r="JH393" s="4"/>
      <c r="JI393" s="4"/>
      <c r="JJ393" s="4"/>
      <c r="JK393" s="4"/>
      <c r="JL393" s="91"/>
      <c r="JM393" s="4"/>
      <c r="JN393" s="4"/>
      <c r="JO393" s="4"/>
      <c r="JP393" s="4"/>
      <c r="JQ393" s="4"/>
      <c r="JR393" s="4"/>
    </row>
    <row r="394" spans="2:278" s="84" customFormat="1" ht="12" customHeight="1">
      <c r="B394" s="4"/>
      <c r="C394" s="4"/>
      <c r="D394" s="4"/>
      <c r="E394" s="4"/>
      <c r="F394" s="4"/>
      <c r="G394" s="4"/>
      <c r="H394" s="4"/>
      <c r="I394" s="4"/>
      <c r="J394" s="4"/>
      <c r="K394" s="4"/>
      <c r="L394" s="4"/>
      <c r="M394" s="4"/>
      <c r="N394" s="4"/>
      <c r="O394" s="4"/>
      <c r="P394" s="4"/>
      <c r="Q394" s="4"/>
      <c r="R394" s="4"/>
      <c r="S394" s="4"/>
      <c r="T394" s="4"/>
      <c r="U394" s="4"/>
      <c r="V394" s="4"/>
      <c r="W394" s="91"/>
      <c r="X394" s="4"/>
      <c r="Y394" s="4"/>
      <c r="Z394" s="4"/>
      <c r="AA394" s="4"/>
      <c r="AB394" s="4"/>
      <c r="AC394" s="4"/>
      <c r="AD394" s="4"/>
      <c r="AE394" s="4"/>
      <c r="AF394" s="4"/>
      <c r="AG394" s="91"/>
      <c r="AH394" s="4"/>
      <c r="AI394" s="4"/>
      <c r="AJ394" s="4"/>
      <c r="AK394" s="4"/>
      <c r="AL394" s="4"/>
      <c r="AM394" s="4"/>
      <c r="AN394" s="4"/>
      <c r="AO394" s="4"/>
      <c r="AP394" s="4"/>
      <c r="AQ394" s="4"/>
      <c r="AR394" s="4"/>
      <c r="AS394" s="4"/>
      <c r="AT394" s="4"/>
      <c r="AU394" s="4"/>
      <c r="AV394" s="4"/>
      <c r="AW394" s="4"/>
      <c r="AX394" s="4"/>
      <c r="AY394" s="4"/>
      <c r="AZ394" s="4"/>
      <c r="BA394" s="4"/>
      <c r="BB394" s="4"/>
      <c r="BC394" s="4"/>
      <c r="BD394" s="4"/>
      <c r="BE394" s="4"/>
      <c r="BF394" s="4"/>
      <c r="BG394" s="4"/>
      <c r="BH394" s="4"/>
      <c r="BI394" s="4"/>
      <c r="BJ394" s="4"/>
      <c r="BK394" s="4"/>
      <c r="BL394" s="4"/>
      <c r="BM394" s="4"/>
      <c r="BN394" s="4"/>
      <c r="BO394" s="4"/>
      <c r="BP394" s="4"/>
      <c r="BQ394" s="4"/>
      <c r="BR394" s="4"/>
      <c r="BS394" s="4"/>
      <c r="BT394" s="4"/>
      <c r="BU394" s="4"/>
      <c r="BV394" s="4"/>
      <c r="BW394" s="4"/>
      <c r="BX394" s="4"/>
      <c r="BY394" s="4"/>
      <c r="BZ394" s="4"/>
      <c r="CA394" s="4"/>
      <c r="CB394" s="4"/>
      <c r="CC394" s="4"/>
      <c r="CD394" s="4"/>
      <c r="CE394" s="4"/>
      <c r="CF394" s="4"/>
      <c r="CG394" s="4"/>
      <c r="CH394" s="4"/>
      <c r="CI394" s="4"/>
      <c r="CJ394" s="4"/>
      <c r="CK394" s="4"/>
      <c r="CL394" s="4"/>
      <c r="CM394" s="4"/>
      <c r="CN394" s="4"/>
      <c r="CO394" s="4"/>
      <c r="CP394" s="4"/>
      <c r="CQ394" s="4"/>
      <c r="CR394" s="4"/>
      <c r="CS394" s="4"/>
      <c r="CT394" s="4"/>
      <c r="CU394" s="4"/>
      <c r="CV394" s="4"/>
      <c r="CW394" s="4"/>
      <c r="CX394" s="4"/>
      <c r="CY394" s="4"/>
      <c r="CZ394" s="4"/>
      <c r="DA394" s="4"/>
      <c r="DB394" s="4"/>
      <c r="DC394" s="4"/>
      <c r="DD394" s="4"/>
      <c r="DE394" s="4"/>
      <c r="DF394" s="4"/>
      <c r="DG394" s="4"/>
      <c r="DH394" s="4"/>
      <c r="DI394" s="4"/>
      <c r="DJ394" s="4"/>
      <c r="DK394" s="4"/>
      <c r="DL394" s="4"/>
      <c r="DM394" s="4"/>
      <c r="DN394" s="4"/>
      <c r="DO394" s="4"/>
      <c r="DP394" s="4"/>
      <c r="DQ394" s="4"/>
      <c r="DR394" s="4"/>
      <c r="DS394" s="4"/>
      <c r="DT394" s="4"/>
      <c r="DU394" s="4"/>
      <c r="DV394" s="4"/>
      <c r="DW394" s="4"/>
      <c r="DX394" s="4"/>
      <c r="DY394" s="4"/>
      <c r="DZ394" s="91"/>
      <c r="EA394" s="4"/>
      <c r="EB394" s="4"/>
      <c r="EC394" s="4"/>
      <c r="ED394" s="4"/>
      <c r="EE394" s="4"/>
      <c r="EF394" s="4"/>
      <c r="EG394" s="4"/>
      <c r="EH394" s="4"/>
      <c r="EI394" s="4"/>
      <c r="EJ394" s="4"/>
      <c r="EK394" s="4"/>
      <c r="EL394" s="4"/>
      <c r="EM394" s="4"/>
      <c r="EN394" s="4"/>
      <c r="EO394" s="4"/>
      <c r="EP394" s="4"/>
      <c r="EQ394" s="4"/>
      <c r="ER394" s="4"/>
      <c r="ES394" s="4"/>
      <c r="ET394" s="4"/>
      <c r="EU394" s="4"/>
      <c r="EV394" s="4"/>
      <c r="EW394" s="4"/>
      <c r="EX394" s="4"/>
      <c r="EY394" s="4"/>
      <c r="EZ394" s="4"/>
      <c r="FA394" s="4"/>
      <c r="FB394" s="4"/>
      <c r="FC394" s="4"/>
      <c r="FD394" s="4"/>
      <c r="FE394" s="4"/>
      <c r="FF394" s="4"/>
      <c r="FG394" s="4"/>
      <c r="FH394" s="4"/>
      <c r="FI394" s="4"/>
      <c r="FJ394" s="4"/>
      <c r="FK394" s="4"/>
      <c r="FL394" s="4"/>
      <c r="FM394" s="4"/>
      <c r="FN394" s="4"/>
      <c r="FO394" s="4"/>
      <c r="FP394" s="4"/>
      <c r="FQ394" s="4"/>
      <c r="FR394" s="4"/>
      <c r="FS394" s="4"/>
      <c r="FT394" s="4"/>
      <c r="FU394" s="4"/>
      <c r="FV394" s="4"/>
      <c r="FW394" s="91"/>
      <c r="FX394" s="4"/>
      <c r="FY394" s="4"/>
      <c r="FZ394" s="4"/>
      <c r="GA394" s="4"/>
      <c r="GB394" s="4"/>
      <c r="GC394" s="4"/>
      <c r="GD394" s="4"/>
      <c r="GE394" s="4"/>
      <c r="GF394" s="4"/>
      <c r="GG394" s="4"/>
      <c r="GH394" s="4"/>
      <c r="GI394" s="4"/>
      <c r="GJ394" s="4"/>
      <c r="GK394" s="4"/>
      <c r="GL394" s="4"/>
      <c r="GM394" s="4"/>
      <c r="GN394" s="4"/>
      <c r="GO394" s="4"/>
      <c r="GP394" s="4"/>
      <c r="GQ394" s="4"/>
      <c r="GR394" s="4"/>
      <c r="GS394" s="4"/>
      <c r="GT394" s="4"/>
      <c r="GU394" s="4"/>
      <c r="GV394" s="4"/>
      <c r="GW394" s="4"/>
      <c r="GX394" s="4"/>
      <c r="GY394" s="4"/>
      <c r="GZ394" s="4"/>
      <c r="HA394" s="4"/>
      <c r="HB394" s="4"/>
      <c r="HC394" s="4"/>
      <c r="HD394" s="4"/>
      <c r="HE394" s="4"/>
      <c r="HF394" s="4"/>
      <c r="HG394" s="4"/>
      <c r="HH394" s="4"/>
      <c r="HI394" s="4"/>
      <c r="HJ394" s="4"/>
      <c r="HK394" s="91"/>
      <c r="HL394" s="4"/>
      <c r="HM394" s="124"/>
      <c r="HN394" s="124"/>
      <c r="HO394" s="125" t="s">
        <v>248</v>
      </c>
      <c r="HP394" s="104">
        <v>5</v>
      </c>
      <c r="HX394" s="4"/>
      <c r="HY394" s="91"/>
      <c r="HZ394" s="4"/>
      <c r="IA394" s="4"/>
      <c r="IB394" s="4"/>
      <c r="IC394" s="4"/>
      <c r="ID394" s="4"/>
      <c r="IE394" s="4"/>
      <c r="IF394" s="4"/>
      <c r="IG394" s="4"/>
      <c r="IH394" s="4"/>
      <c r="II394" s="4"/>
      <c r="IJ394" s="4"/>
      <c r="IK394" s="4"/>
      <c r="IL394" s="4"/>
      <c r="IM394" s="4"/>
      <c r="IN394" s="4"/>
      <c r="IO394" s="4"/>
      <c r="IP394" s="4"/>
      <c r="IQ394" s="4"/>
      <c r="IR394" s="4"/>
      <c r="IS394" s="4"/>
      <c r="IT394" s="91"/>
      <c r="IU394" s="4"/>
      <c r="IV394" s="4"/>
      <c r="IW394" s="4"/>
      <c r="IX394" s="4"/>
      <c r="IY394" s="4"/>
      <c r="IZ394" s="4"/>
      <c r="JA394" s="4"/>
      <c r="JB394" s="4"/>
      <c r="JC394" s="4"/>
      <c r="JD394" s="4"/>
      <c r="JE394" s="4"/>
      <c r="JF394" s="4"/>
      <c r="JG394" s="4"/>
      <c r="JH394" s="4"/>
      <c r="JI394" s="4"/>
      <c r="JJ394" s="4"/>
      <c r="JK394" s="4"/>
      <c r="JL394" s="91"/>
      <c r="JM394" s="4"/>
      <c r="JN394" s="4"/>
      <c r="JO394" s="4"/>
      <c r="JP394" s="4"/>
      <c r="JQ394" s="4"/>
      <c r="JR394" s="4"/>
    </row>
    <row r="395" spans="2:278" s="84" customFormat="1" ht="12" customHeight="1">
      <c r="B395" s="4"/>
      <c r="C395" s="4"/>
      <c r="D395" s="4"/>
      <c r="E395" s="4"/>
      <c r="F395" s="4"/>
      <c r="G395" s="4"/>
      <c r="H395" s="4"/>
      <c r="I395" s="4"/>
      <c r="J395" s="4"/>
      <c r="K395" s="4"/>
      <c r="L395" s="4"/>
      <c r="M395" s="4"/>
      <c r="N395" s="4"/>
      <c r="O395" s="4"/>
      <c r="P395" s="4"/>
      <c r="Q395" s="4"/>
      <c r="R395" s="4"/>
      <c r="S395" s="4"/>
      <c r="T395" s="4"/>
      <c r="U395" s="4"/>
      <c r="V395" s="4"/>
      <c r="W395" s="91"/>
      <c r="X395" s="4"/>
      <c r="Y395" s="4"/>
      <c r="Z395" s="4"/>
      <c r="AA395" s="4"/>
      <c r="AB395" s="4"/>
      <c r="AC395" s="4"/>
      <c r="AD395" s="4"/>
      <c r="AE395" s="4"/>
      <c r="AF395" s="4"/>
      <c r="AG395" s="91"/>
      <c r="AH395" s="4"/>
      <c r="AI395" s="4"/>
      <c r="AJ395" s="4"/>
      <c r="AK395" s="4"/>
      <c r="AL395" s="4"/>
      <c r="AM395" s="4"/>
      <c r="AN395" s="4"/>
      <c r="AO395" s="4"/>
      <c r="AP395" s="4"/>
      <c r="AQ395" s="4"/>
      <c r="AR395" s="4"/>
      <c r="AS395" s="4"/>
      <c r="AT395" s="4"/>
      <c r="AU395" s="4"/>
      <c r="AV395" s="4"/>
      <c r="AW395" s="4"/>
      <c r="AX395" s="4"/>
      <c r="AY395" s="4"/>
      <c r="AZ395" s="4"/>
      <c r="BA395" s="4"/>
      <c r="BB395" s="4"/>
      <c r="BC395" s="4"/>
      <c r="BD395" s="4"/>
      <c r="BE395" s="4"/>
      <c r="BF395" s="4"/>
      <c r="BG395" s="4"/>
      <c r="BH395" s="4"/>
      <c r="BI395" s="4"/>
      <c r="BJ395" s="4"/>
      <c r="BK395" s="4"/>
      <c r="BL395" s="4"/>
      <c r="BM395" s="4"/>
      <c r="BN395" s="4"/>
      <c r="BO395" s="4"/>
      <c r="BP395" s="4"/>
      <c r="BQ395" s="4"/>
      <c r="BR395" s="4"/>
      <c r="BS395" s="4"/>
      <c r="BT395" s="4"/>
      <c r="BU395" s="4"/>
      <c r="BV395" s="4"/>
      <c r="BW395" s="4"/>
      <c r="BX395" s="4"/>
      <c r="BY395" s="4"/>
      <c r="BZ395" s="4"/>
      <c r="CA395" s="4"/>
      <c r="CB395" s="4"/>
      <c r="CC395" s="4"/>
      <c r="CD395" s="4"/>
      <c r="CE395" s="4"/>
      <c r="CF395" s="4"/>
      <c r="CG395" s="4"/>
      <c r="CH395" s="4"/>
      <c r="CI395" s="4"/>
      <c r="CJ395" s="4"/>
      <c r="CK395" s="4"/>
      <c r="CL395" s="4"/>
      <c r="CM395" s="4"/>
      <c r="CN395" s="4"/>
      <c r="CO395" s="4"/>
      <c r="CP395" s="4"/>
      <c r="CQ395" s="4"/>
      <c r="CR395" s="4"/>
      <c r="CS395" s="4"/>
      <c r="CT395" s="4"/>
      <c r="CU395" s="4"/>
      <c r="CV395" s="4"/>
      <c r="CW395" s="4"/>
      <c r="CX395" s="4"/>
      <c r="CY395" s="4"/>
      <c r="CZ395" s="4"/>
      <c r="DA395" s="4"/>
      <c r="DB395" s="4"/>
      <c r="DC395" s="4"/>
      <c r="DD395" s="4"/>
      <c r="DE395" s="4"/>
      <c r="DF395" s="4"/>
      <c r="DG395" s="4"/>
      <c r="DH395" s="4"/>
      <c r="DI395" s="4"/>
      <c r="DJ395" s="4"/>
      <c r="DK395" s="4"/>
      <c r="DL395" s="4"/>
      <c r="DM395" s="4"/>
      <c r="DN395" s="4"/>
      <c r="DO395" s="4"/>
      <c r="DP395" s="4"/>
      <c r="DQ395" s="4"/>
      <c r="DR395" s="4"/>
      <c r="DS395" s="4"/>
      <c r="DT395" s="4"/>
      <c r="DU395" s="4"/>
      <c r="DV395" s="4"/>
      <c r="DW395" s="4"/>
      <c r="DX395" s="4"/>
      <c r="DY395" s="4"/>
      <c r="DZ395" s="91"/>
      <c r="EA395" s="4"/>
      <c r="EB395" s="4"/>
      <c r="EC395" s="4"/>
      <c r="ED395" s="4"/>
      <c r="EE395" s="4"/>
      <c r="EF395" s="4"/>
      <c r="EG395" s="4"/>
      <c r="EH395" s="4"/>
      <c r="EI395" s="4"/>
      <c r="EJ395" s="4"/>
      <c r="EK395" s="4"/>
      <c r="EL395" s="4"/>
      <c r="EM395" s="4"/>
      <c r="EN395" s="4"/>
      <c r="EO395" s="4"/>
      <c r="EP395" s="4"/>
      <c r="EQ395" s="4"/>
      <c r="ER395" s="4"/>
      <c r="ES395" s="4"/>
      <c r="ET395" s="4"/>
      <c r="EU395" s="4"/>
      <c r="EV395" s="4"/>
      <c r="EW395" s="4"/>
      <c r="EX395" s="4"/>
      <c r="EY395" s="4"/>
      <c r="EZ395" s="4"/>
      <c r="FA395" s="4"/>
      <c r="FB395" s="4"/>
      <c r="FC395" s="4"/>
      <c r="FD395" s="4"/>
      <c r="FE395" s="4"/>
      <c r="FF395" s="4"/>
      <c r="FG395" s="4"/>
      <c r="FH395" s="4"/>
      <c r="FI395" s="4"/>
      <c r="FJ395" s="4"/>
      <c r="FK395" s="4"/>
      <c r="FL395" s="4"/>
      <c r="FM395" s="4"/>
      <c r="FN395" s="4"/>
      <c r="FO395" s="4"/>
      <c r="FP395" s="4"/>
      <c r="FQ395" s="4"/>
      <c r="FR395" s="4"/>
      <c r="FS395" s="4"/>
      <c r="FT395" s="4"/>
      <c r="FU395" s="4"/>
      <c r="FV395" s="4"/>
      <c r="FW395" s="91"/>
      <c r="FX395" s="4"/>
      <c r="FY395" s="4"/>
      <c r="FZ395" s="4"/>
      <c r="GA395" s="4"/>
      <c r="GB395" s="4"/>
      <c r="GC395" s="4"/>
      <c r="GD395" s="4"/>
      <c r="GE395" s="4"/>
      <c r="GF395" s="4"/>
      <c r="GG395" s="4"/>
      <c r="GH395" s="4"/>
      <c r="GI395" s="4"/>
      <c r="GJ395" s="4"/>
      <c r="GK395" s="4"/>
      <c r="GL395" s="4"/>
      <c r="GM395" s="4"/>
      <c r="GN395" s="4"/>
      <c r="GO395" s="4"/>
      <c r="GP395" s="4"/>
      <c r="GQ395" s="4"/>
      <c r="GR395" s="4"/>
      <c r="GS395" s="4"/>
      <c r="GT395" s="4"/>
      <c r="GU395" s="4"/>
      <c r="GV395" s="4"/>
      <c r="GW395" s="4"/>
      <c r="GX395" s="4"/>
      <c r="GY395" s="4"/>
      <c r="GZ395" s="4"/>
      <c r="HA395" s="4"/>
      <c r="HB395" s="4"/>
      <c r="HC395" s="4"/>
      <c r="HD395" s="4"/>
      <c r="HE395" s="4"/>
      <c r="HF395" s="4"/>
      <c r="HG395" s="4"/>
      <c r="HH395" s="4"/>
      <c r="HI395" s="4"/>
      <c r="HJ395" s="4"/>
      <c r="HK395" s="91"/>
      <c r="HL395" s="4"/>
      <c r="HX395" s="4"/>
      <c r="HY395" s="91"/>
      <c r="HZ395" s="4"/>
      <c r="IA395" s="4"/>
      <c r="IB395" s="4"/>
      <c r="IC395" s="4"/>
      <c r="ID395" s="4"/>
      <c r="IE395" s="4"/>
      <c r="IF395" s="4"/>
      <c r="IG395" s="4"/>
      <c r="IH395" s="4"/>
      <c r="II395" s="4"/>
      <c r="IJ395" s="4"/>
      <c r="IK395" s="4"/>
      <c r="IL395" s="4"/>
      <c r="IM395" s="4"/>
      <c r="IN395" s="4"/>
      <c r="IO395" s="4"/>
      <c r="IP395" s="4"/>
      <c r="IQ395" s="4"/>
      <c r="IR395" s="4"/>
      <c r="IS395" s="4"/>
      <c r="IT395" s="91"/>
      <c r="IU395" s="4"/>
      <c r="IV395" s="4"/>
      <c r="IW395" s="4"/>
      <c r="IX395" s="4"/>
      <c r="IY395" s="4"/>
      <c r="IZ395" s="4"/>
      <c r="JA395" s="4"/>
      <c r="JB395" s="4"/>
      <c r="JC395" s="4"/>
      <c r="JD395" s="4"/>
      <c r="JE395" s="4"/>
      <c r="JF395" s="4"/>
      <c r="JG395" s="4"/>
      <c r="JH395" s="4"/>
      <c r="JI395" s="4"/>
      <c r="JJ395" s="4"/>
      <c r="JK395" s="4"/>
      <c r="JL395" s="91"/>
      <c r="JM395" s="4"/>
      <c r="JN395" s="4"/>
      <c r="JO395" s="4"/>
      <c r="JP395" s="4"/>
      <c r="JQ395" s="4"/>
      <c r="JR395" s="4"/>
    </row>
    <row r="396" spans="2:278" s="84" customFormat="1" ht="12" customHeight="1">
      <c r="B396" s="4"/>
      <c r="C396" s="4"/>
      <c r="D396" s="4"/>
      <c r="E396" s="4"/>
      <c r="F396" s="4"/>
      <c r="G396" s="4"/>
      <c r="H396" s="4"/>
      <c r="I396" s="4"/>
      <c r="J396" s="4"/>
      <c r="K396" s="4"/>
      <c r="L396" s="4"/>
      <c r="M396" s="4"/>
      <c r="N396" s="4"/>
      <c r="O396" s="4"/>
      <c r="P396" s="4"/>
      <c r="Q396" s="4"/>
      <c r="R396" s="4"/>
      <c r="S396" s="4"/>
      <c r="T396" s="4"/>
      <c r="U396" s="4"/>
      <c r="V396" s="4"/>
      <c r="W396" s="91"/>
      <c r="X396" s="4"/>
      <c r="Y396" s="4"/>
      <c r="Z396" s="4"/>
      <c r="AA396" s="4"/>
      <c r="AB396" s="4"/>
      <c r="AC396" s="4"/>
      <c r="AD396" s="4"/>
      <c r="AE396" s="4"/>
      <c r="AF396" s="4"/>
      <c r="AG396" s="91"/>
      <c r="AH396" s="4"/>
      <c r="AI396" s="4"/>
      <c r="AJ396" s="4"/>
      <c r="AK396" s="4"/>
      <c r="AL396" s="4"/>
      <c r="AM396" s="4"/>
      <c r="AN396" s="4"/>
      <c r="AO396" s="4"/>
      <c r="AP396" s="4"/>
      <c r="AQ396" s="4"/>
      <c r="AR396" s="4"/>
      <c r="AS396" s="4"/>
      <c r="AT396" s="4"/>
      <c r="AU396" s="4"/>
      <c r="AV396" s="4"/>
      <c r="AW396" s="4"/>
      <c r="AX396" s="4"/>
      <c r="AY396" s="4"/>
      <c r="AZ396" s="4"/>
      <c r="BA396" s="4"/>
      <c r="BB396" s="4"/>
      <c r="BC396" s="4"/>
      <c r="BD396" s="4"/>
      <c r="BE396" s="4"/>
      <c r="BF396" s="4"/>
      <c r="BG396" s="4"/>
      <c r="BH396" s="4"/>
      <c r="BI396" s="4"/>
      <c r="BJ396" s="4"/>
      <c r="BK396" s="4"/>
      <c r="BL396" s="4"/>
      <c r="BM396" s="4"/>
      <c r="BN396" s="4"/>
      <c r="BO396" s="4"/>
      <c r="BP396" s="4"/>
      <c r="BQ396" s="4"/>
      <c r="BR396" s="4"/>
      <c r="BS396" s="4"/>
      <c r="BT396" s="4"/>
      <c r="BU396" s="4"/>
      <c r="BV396" s="4"/>
      <c r="BW396" s="4"/>
      <c r="BX396" s="4"/>
      <c r="BY396" s="4"/>
      <c r="BZ396" s="4"/>
      <c r="CA396" s="4"/>
      <c r="CB396" s="4"/>
      <c r="CC396" s="4"/>
      <c r="CD396" s="4"/>
      <c r="CE396" s="4"/>
      <c r="CF396" s="4"/>
      <c r="CG396" s="4"/>
      <c r="CH396" s="4"/>
      <c r="CI396" s="4"/>
      <c r="CJ396" s="4"/>
      <c r="CK396" s="4"/>
      <c r="CL396" s="4"/>
      <c r="CM396" s="4"/>
      <c r="CN396" s="4"/>
      <c r="CO396" s="4"/>
      <c r="CP396" s="4"/>
      <c r="CQ396" s="4"/>
      <c r="CR396" s="4"/>
      <c r="CS396" s="4"/>
      <c r="CT396" s="4"/>
      <c r="CU396" s="4"/>
      <c r="CV396" s="4"/>
      <c r="CW396" s="4"/>
      <c r="CX396" s="4"/>
      <c r="CY396" s="4"/>
      <c r="CZ396" s="4"/>
      <c r="DA396" s="4"/>
      <c r="DB396" s="4"/>
      <c r="DC396" s="4"/>
      <c r="DD396" s="4"/>
      <c r="DE396" s="4"/>
      <c r="DF396" s="4"/>
      <c r="DG396" s="4"/>
      <c r="DH396" s="4"/>
      <c r="DI396" s="4"/>
      <c r="DJ396" s="4"/>
      <c r="DK396" s="4"/>
      <c r="DL396" s="4"/>
      <c r="DM396" s="4"/>
      <c r="DN396" s="4"/>
      <c r="DO396" s="4"/>
      <c r="DP396" s="4"/>
      <c r="DQ396" s="4"/>
      <c r="DR396" s="4"/>
      <c r="DS396" s="4"/>
      <c r="DT396" s="4"/>
      <c r="DU396" s="4"/>
      <c r="DV396" s="4"/>
      <c r="DW396" s="4"/>
      <c r="DX396" s="4"/>
      <c r="DY396" s="4"/>
      <c r="DZ396" s="91"/>
      <c r="EA396" s="4"/>
      <c r="EB396" s="4"/>
      <c r="EC396" s="4"/>
      <c r="ED396" s="4"/>
      <c r="EE396" s="4"/>
      <c r="EF396" s="4"/>
      <c r="EG396" s="4"/>
      <c r="EH396" s="4"/>
      <c r="EI396" s="4"/>
      <c r="EJ396" s="4"/>
      <c r="EK396" s="4"/>
      <c r="EL396" s="4"/>
      <c r="EM396" s="4"/>
      <c r="EN396" s="4"/>
      <c r="EO396" s="4"/>
      <c r="EP396" s="4"/>
      <c r="EQ396" s="4"/>
      <c r="ER396" s="4"/>
      <c r="ES396" s="4"/>
      <c r="ET396" s="4"/>
      <c r="EU396" s="4"/>
      <c r="EV396" s="4"/>
      <c r="EW396" s="4"/>
      <c r="EX396" s="4"/>
      <c r="EY396" s="4"/>
      <c r="EZ396" s="4"/>
      <c r="FA396" s="4"/>
      <c r="FB396" s="4"/>
      <c r="FC396" s="4"/>
      <c r="FD396" s="4"/>
      <c r="FE396" s="4"/>
      <c r="FF396" s="4"/>
      <c r="FG396" s="4"/>
      <c r="FH396" s="4"/>
      <c r="FI396" s="4"/>
      <c r="FJ396" s="4"/>
      <c r="FK396" s="4"/>
      <c r="FL396" s="4"/>
      <c r="FM396" s="4"/>
      <c r="FN396" s="4"/>
      <c r="FO396" s="4"/>
      <c r="FP396" s="4"/>
      <c r="FQ396" s="4"/>
      <c r="FR396" s="4"/>
      <c r="FS396" s="4"/>
      <c r="FT396" s="4"/>
      <c r="FU396" s="4"/>
      <c r="FV396" s="4"/>
      <c r="FW396" s="91"/>
      <c r="FX396" s="4"/>
      <c r="FY396" s="4"/>
      <c r="FZ396" s="4"/>
      <c r="GA396" s="4"/>
      <c r="GB396" s="4"/>
      <c r="GC396" s="4"/>
      <c r="GD396" s="4"/>
      <c r="GE396" s="4"/>
      <c r="GF396" s="4"/>
      <c r="GG396" s="4"/>
      <c r="GH396" s="4"/>
      <c r="GI396" s="4"/>
      <c r="GJ396" s="4"/>
      <c r="GK396" s="4"/>
      <c r="GL396" s="4"/>
      <c r="GM396" s="4"/>
      <c r="GN396" s="4"/>
      <c r="GO396" s="4"/>
      <c r="GP396" s="4"/>
      <c r="GQ396" s="4"/>
      <c r="GR396" s="4"/>
      <c r="GS396" s="4"/>
      <c r="GT396" s="4"/>
      <c r="GU396" s="4"/>
      <c r="GV396" s="4"/>
      <c r="GW396" s="4"/>
      <c r="GX396" s="4"/>
      <c r="GY396" s="4"/>
      <c r="GZ396" s="4"/>
      <c r="HA396" s="4"/>
      <c r="HB396" s="4"/>
      <c r="HC396" s="4"/>
      <c r="HD396" s="4"/>
      <c r="HE396" s="4"/>
      <c r="HF396" s="4"/>
      <c r="HG396" s="4"/>
      <c r="HH396" s="4"/>
      <c r="HI396" s="4"/>
      <c r="HJ396" s="4"/>
      <c r="HK396" s="91"/>
      <c r="HL396" s="4"/>
      <c r="HM396" s="105" t="s">
        <v>641</v>
      </c>
      <c r="HX396" s="4"/>
      <c r="HY396" s="91"/>
      <c r="HZ396" s="4"/>
      <c r="IA396" s="4"/>
      <c r="IB396" s="4"/>
      <c r="IC396" s="4"/>
      <c r="ID396" s="4"/>
      <c r="IE396" s="4"/>
      <c r="IF396" s="4"/>
      <c r="IG396" s="4"/>
      <c r="IH396" s="4"/>
      <c r="II396" s="4"/>
      <c r="IJ396" s="4"/>
      <c r="IK396" s="4"/>
      <c r="IL396" s="4"/>
      <c r="IM396" s="4"/>
      <c r="IN396" s="4"/>
      <c r="IO396" s="4"/>
      <c r="IP396" s="4"/>
      <c r="IQ396" s="4"/>
      <c r="IR396" s="4"/>
      <c r="IS396" s="4"/>
      <c r="IT396" s="91"/>
      <c r="IU396" s="4"/>
      <c r="IV396" s="4"/>
      <c r="IW396" s="4"/>
      <c r="IX396" s="4"/>
      <c r="IY396" s="4"/>
      <c r="IZ396" s="4"/>
      <c r="JA396" s="4"/>
      <c r="JB396" s="4"/>
      <c r="JC396" s="4"/>
      <c r="JD396" s="4"/>
      <c r="JE396" s="4"/>
      <c r="JF396" s="4"/>
      <c r="JG396" s="4"/>
      <c r="JH396" s="4"/>
      <c r="JI396" s="4"/>
      <c r="JJ396" s="4"/>
      <c r="JK396" s="4"/>
      <c r="JL396" s="91"/>
      <c r="JM396" s="4"/>
      <c r="JN396" s="4"/>
      <c r="JO396" s="4"/>
      <c r="JP396" s="4"/>
      <c r="JQ396" s="4"/>
      <c r="JR396" s="4"/>
    </row>
    <row r="397" spans="2:278" s="84" customFormat="1" ht="12" customHeight="1">
      <c r="B397" s="4"/>
      <c r="C397" s="4"/>
      <c r="D397" s="4"/>
      <c r="E397" s="4"/>
      <c r="F397" s="4"/>
      <c r="G397" s="4"/>
      <c r="H397" s="4"/>
      <c r="I397" s="4"/>
      <c r="J397" s="4"/>
      <c r="K397" s="4"/>
      <c r="L397" s="4"/>
      <c r="M397" s="4"/>
      <c r="N397" s="4"/>
      <c r="O397" s="4"/>
      <c r="P397" s="4"/>
      <c r="Q397" s="4"/>
      <c r="R397" s="4"/>
      <c r="S397" s="4"/>
      <c r="T397" s="4"/>
      <c r="U397" s="4"/>
      <c r="V397" s="4"/>
      <c r="W397" s="91"/>
      <c r="X397" s="4"/>
      <c r="Y397" s="4"/>
      <c r="Z397" s="4"/>
      <c r="AA397" s="4"/>
      <c r="AB397" s="4"/>
      <c r="AC397" s="4"/>
      <c r="AD397" s="4"/>
      <c r="AE397" s="4"/>
      <c r="AF397" s="4"/>
      <c r="AG397" s="91"/>
      <c r="AH397" s="4"/>
      <c r="AI397" s="4"/>
      <c r="AJ397" s="4"/>
      <c r="AK397" s="4"/>
      <c r="AL397" s="4"/>
      <c r="AM397" s="4"/>
      <c r="AN397" s="4"/>
      <c r="AO397" s="4"/>
      <c r="AP397" s="4"/>
      <c r="AQ397" s="4"/>
      <c r="AR397" s="4"/>
      <c r="AS397" s="4"/>
      <c r="AT397" s="4"/>
      <c r="AU397" s="4"/>
      <c r="AV397" s="4"/>
      <c r="AW397" s="4"/>
      <c r="AX397" s="4"/>
      <c r="AY397" s="4"/>
      <c r="AZ397" s="4"/>
      <c r="BA397" s="4"/>
      <c r="BB397" s="4"/>
      <c r="BC397" s="4"/>
      <c r="BD397" s="4"/>
      <c r="BE397" s="4"/>
      <c r="BF397" s="4"/>
      <c r="BG397" s="4"/>
      <c r="BH397" s="4"/>
      <c r="BI397" s="4"/>
      <c r="BJ397" s="4"/>
      <c r="BK397" s="4"/>
      <c r="BL397" s="4"/>
      <c r="BM397" s="4"/>
      <c r="BN397" s="4"/>
      <c r="BO397" s="4"/>
      <c r="BP397" s="4"/>
      <c r="BQ397" s="4"/>
      <c r="BR397" s="4"/>
      <c r="BS397" s="4"/>
      <c r="BT397" s="4"/>
      <c r="BU397" s="4"/>
      <c r="BV397" s="4"/>
      <c r="BW397" s="4"/>
      <c r="BX397" s="4"/>
      <c r="BY397" s="4"/>
      <c r="BZ397" s="4"/>
      <c r="CA397" s="4"/>
      <c r="CB397" s="4"/>
      <c r="CC397" s="4"/>
      <c r="CD397" s="4"/>
      <c r="CE397" s="4"/>
      <c r="CF397" s="4"/>
      <c r="CG397" s="4"/>
      <c r="CH397" s="4"/>
      <c r="CI397" s="4"/>
      <c r="CJ397" s="4"/>
      <c r="CK397" s="4"/>
      <c r="CL397" s="4"/>
      <c r="CM397" s="4"/>
      <c r="CN397" s="4"/>
      <c r="CO397" s="4"/>
      <c r="CP397" s="4"/>
      <c r="CQ397" s="4"/>
      <c r="CR397" s="4"/>
      <c r="CS397" s="4"/>
      <c r="CT397" s="4"/>
      <c r="CU397" s="4"/>
      <c r="CV397" s="4"/>
      <c r="CW397" s="4"/>
      <c r="CX397" s="4"/>
      <c r="CY397" s="4"/>
      <c r="CZ397" s="4"/>
      <c r="DA397" s="4"/>
      <c r="DB397" s="4"/>
      <c r="DC397" s="4"/>
      <c r="DD397" s="4"/>
      <c r="DE397" s="4"/>
      <c r="DF397" s="4"/>
      <c r="DG397" s="4"/>
      <c r="DH397" s="4"/>
      <c r="DI397" s="4"/>
      <c r="DJ397" s="4"/>
      <c r="DK397" s="4"/>
      <c r="DL397" s="4"/>
      <c r="DM397" s="4"/>
      <c r="DN397" s="4"/>
      <c r="DO397" s="4"/>
      <c r="DP397" s="4"/>
      <c r="DQ397" s="4"/>
      <c r="DR397" s="4"/>
      <c r="DS397" s="4"/>
      <c r="DT397" s="4"/>
      <c r="DU397" s="4"/>
      <c r="DV397" s="4"/>
      <c r="DW397" s="4"/>
      <c r="DX397" s="4"/>
      <c r="DY397" s="4"/>
      <c r="DZ397" s="91"/>
      <c r="EA397" s="4"/>
      <c r="EB397" s="4"/>
      <c r="EC397" s="4"/>
      <c r="ED397" s="4"/>
      <c r="EE397" s="4"/>
      <c r="EF397" s="4"/>
      <c r="EG397" s="4"/>
      <c r="EH397" s="4"/>
      <c r="EI397" s="4"/>
      <c r="EJ397" s="4"/>
      <c r="EK397" s="4"/>
      <c r="EL397" s="4"/>
      <c r="EM397" s="4"/>
      <c r="EN397" s="4"/>
      <c r="EO397" s="4"/>
      <c r="EP397" s="4"/>
      <c r="EQ397" s="4"/>
      <c r="ER397" s="4"/>
      <c r="ES397" s="4"/>
      <c r="ET397" s="4"/>
      <c r="EU397" s="4"/>
      <c r="EV397" s="4"/>
      <c r="EW397" s="4"/>
      <c r="EX397" s="4"/>
      <c r="EY397" s="4"/>
      <c r="EZ397" s="4"/>
      <c r="FA397" s="4"/>
      <c r="FB397" s="4"/>
      <c r="FC397" s="4"/>
      <c r="FD397" s="4"/>
      <c r="FE397" s="4"/>
      <c r="FF397" s="4"/>
      <c r="FG397" s="4"/>
      <c r="FH397" s="4"/>
      <c r="FI397" s="4"/>
      <c r="FJ397" s="4"/>
      <c r="FK397" s="4"/>
      <c r="FL397" s="4"/>
      <c r="FM397" s="4"/>
      <c r="FN397" s="4"/>
      <c r="FO397" s="4"/>
      <c r="FP397" s="4"/>
      <c r="FQ397" s="4"/>
      <c r="FR397" s="4"/>
      <c r="FS397" s="4"/>
      <c r="FT397" s="4"/>
      <c r="FU397" s="4"/>
      <c r="FV397" s="4"/>
      <c r="FW397" s="91"/>
      <c r="FX397" s="4"/>
      <c r="FY397" s="4"/>
      <c r="FZ397" s="4"/>
      <c r="GA397" s="4"/>
      <c r="GB397" s="4"/>
      <c r="GC397" s="4"/>
      <c r="GD397" s="4"/>
      <c r="GE397" s="4"/>
      <c r="GF397" s="4"/>
      <c r="GG397" s="4"/>
      <c r="GH397" s="4"/>
      <c r="GI397" s="4"/>
      <c r="GJ397" s="4"/>
      <c r="GK397" s="4"/>
      <c r="GL397" s="4"/>
      <c r="GM397" s="4"/>
      <c r="GN397" s="4"/>
      <c r="GO397" s="4"/>
      <c r="GP397" s="4"/>
      <c r="GQ397" s="4"/>
      <c r="GR397" s="4"/>
      <c r="GS397" s="4"/>
      <c r="GT397" s="4"/>
      <c r="GU397" s="4"/>
      <c r="GV397" s="4"/>
      <c r="GW397" s="4"/>
      <c r="GX397" s="4"/>
      <c r="GY397" s="4"/>
      <c r="GZ397" s="4"/>
      <c r="HA397" s="4"/>
      <c r="HB397" s="4"/>
      <c r="HC397" s="4"/>
      <c r="HD397" s="4"/>
      <c r="HE397" s="4"/>
      <c r="HF397" s="4"/>
      <c r="HG397" s="4"/>
      <c r="HH397" s="4"/>
      <c r="HI397" s="4"/>
      <c r="HJ397" s="4"/>
      <c r="HK397" s="91"/>
      <c r="HL397" s="4"/>
      <c r="HM397" s="107" t="s">
        <v>450</v>
      </c>
      <c r="HX397" s="4"/>
      <c r="HY397" s="91"/>
      <c r="HZ397" s="4"/>
      <c r="IA397" s="4"/>
      <c r="IB397" s="4"/>
      <c r="IC397" s="4"/>
      <c r="ID397" s="4"/>
      <c r="IE397" s="4"/>
      <c r="IF397" s="4"/>
      <c r="IG397" s="4"/>
      <c r="IH397" s="4"/>
      <c r="II397" s="4"/>
      <c r="IJ397" s="4"/>
      <c r="IK397" s="4"/>
      <c r="IL397" s="4"/>
      <c r="IM397" s="4"/>
      <c r="IN397" s="4"/>
      <c r="IO397" s="4"/>
      <c r="IP397" s="4"/>
      <c r="IQ397" s="4"/>
      <c r="IR397" s="4"/>
      <c r="IS397" s="4"/>
      <c r="IT397" s="91"/>
      <c r="IU397" s="4"/>
      <c r="IV397" s="4"/>
      <c r="IW397" s="4"/>
      <c r="IX397" s="4"/>
      <c r="IY397" s="4"/>
      <c r="IZ397" s="4"/>
      <c r="JA397" s="4"/>
      <c r="JB397" s="4"/>
      <c r="JC397" s="4"/>
      <c r="JD397" s="4"/>
      <c r="JE397" s="4"/>
      <c r="JF397" s="4"/>
      <c r="JG397" s="4"/>
      <c r="JH397" s="4"/>
      <c r="JI397" s="4"/>
      <c r="JJ397" s="4"/>
      <c r="JK397" s="4"/>
      <c r="JL397" s="91"/>
      <c r="JM397" s="4"/>
      <c r="JN397" s="4"/>
      <c r="JO397" s="4"/>
      <c r="JP397" s="4"/>
      <c r="JQ397" s="4"/>
      <c r="JR397" s="4"/>
    </row>
    <row r="398" spans="2:278" s="84" customFormat="1" ht="12" customHeight="1">
      <c r="B398" s="4"/>
      <c r="C398" s="4"/>
      <c r="D398" s="4"/>
      <c r="E398" s="4"/>
      <c r="F398" s="4"/>
      <c r="G398" s="4"/>
      <c r="H398" s="4"/>
      <c r="I398" s="4"/>
      <c r="J398" s="4"/>
      <c r="K398" s="4"/>
      <c r="L398" s="4"/>
      <c r="M398" s="4"/>
      <c r="N398" s="4"/>
      <c r="O398" s="4"/>
      <c r="P398" s="4"/>
      <c r="Q398" s="4"/>
      <c r="R398" s="4"/>
      <c r="S398" s="4"/>
      <c r="T398" s="4"/>
      <c r="U398" s="4"/>
      <c r="V398" s="4"/>
      <c r="W398" s="91"/>
      <c r="X398" s="4"/>
      <c r="Y398" s="4"/>
      <c r="Z398" s="4"/>
      <c r="AA398" s="4"/>
      <c r="AB398" s="4"/>
      <c r="AC398" s="4"/>
      <c r="AD398" s="4"/>
      <c r="AE398" s="4"/>
      <c r="AF398" s="4"/>
      <c r="AG398" s="91"/>
      <c r="AH398" s="4"/>
      <c r="AI398" s="4"/>
      <c r="AJ398" s="4"/>
      <c r="AK398" s="4"/>
      <c r="AL398" s="4"/>
      <c r="AM398" s="4"/>
      <c r="AN398" s="4"/>
      <c r="AO398" s="4"/>
      <c r="AP398" s="4"/>
      <c r="AQ398" s="4"/>
      <c r="AR398" s="4"/>
      <c r="AS398" s="4"/>
      <c r="AT398" s="4"/>
      <c r="AU398" s="4"/>
      <c r="AV398" s="4"/>
      <c r="AW398" s="4"/>
      <c r="AX398" s="4"/>
      <c r="AY398" s="4"/>
      <c r="AZ398" s="4"/>
      <c r="BA398" s="4"/>
      <c r="BB398" s="4"/>
      <c r="BC398" s="4"/>
      <c r="BD398" s="4"/>
      <c r="BE398" s="4"/>
      <c r="BF398" s="4"/>
      <c r="BG398" s="4"/>
      <c r="BH398" s="4"/>
      <c r="BI398" s="4"/>
      <c r="BJ398" s="4"/>
      <c r="BK398" s="4"/>
      <c r="BL398" s="4"/>
      <c r="BM398" s="4"/>
      <c r="BN398" s="4"/>
      <c r="BO398" s="4"/>
      <c r="BP398" s="4"/>
      <c r="BQ398" s="4"/>
      <c r="BR398" s="4"/>
      <c r="BS398" s="4"/>
      <c r="BT398" s="4"/>
      <c r="BU398" s="4"/>
      <c r="BV398" s="4"/>
      <c r="BW398" s="4"/>
      <c r="BX398" s="4"/>
      <c r="BY398" s="4"/>
      <c r="BZ398" s="4"/>
      <c r="CA398" s="4"/>
      <c r="CB398" s="4"/>
      <c r="CC398" s="4"/>
      <c r="CD398" s="4"/>
      <c r="CE398" s="4"/>
      <c r="CF398" s="4"/>
      <c r="CG398" s="4"/>
      <c r="CH398" s="4"/>
      <c r="CI398" s="4"/>
      <c r="CJ398" s="4"/>
      <c r="CK398" s="4"/>
      <c r="CL398" s="4"/>
      <c r="CM398" s="4"/>
      <c r="CN398" s="4"/>
      <c r="CO398" s="4"/>
      <c r="CP398" s="4"/>
      <c r="CQ398" s="4"/>
      <c r="CR398" s="4"/>
      <c r="CS398" s="4"/>
      <c r="CT398" s="4"/>
      <c r="CU398" s="4"/>
      <c r="CV398" s="4"/>
      <c r="CW398" s="4"/>
      <c r="CX398" s="4"/>
      <c r="CY398" s="4"/>
      <c r="CZ398" s="4"/>
      <c r="DA398" s="4"/>
      <c r="DB398" s="4"/>
      <c r="DC398" s="4"/>
      <c r="DD398" s="4"/>
      <c r="DE398" s="4"/>
      <c r="DF398" s="4"/>
      <c r="DG398" s="4"/>
      <c r="DH398" s="4"/>
      <c r="DI398" s="4"/>
      <c r="DJ398" s="4"/>
      <c r="DK398" s="4"/>
      <c r="DL398" s="4"/>
      <c r="DM398" s="4"/>
      <c r="DN398" s="4"/>
      <c r="DO398" s="4"/>
      <c r="DP398" s="4"/>
      <c r="DQ398" s="4"/>
      <c r="DR398" s="4"/>
      <c r="DS398" s="4"/>
      <c r="DT398" s="4"/>
      <c r="DU398" s="4"/>
      <c r="DV398" s="4"/>
      <c r="DW398" s="4"/>
      <c r="DX398" s="4"/>
      <c r="DY398" s="4"/>
      <c r="DZ398" s="91"/>
      <c r="EA398" s="4"/>
      <c r="EB398" s="4"/>
      <c r="EC398" s="4"/>
      <c r="ED398" s="4"/>
      <c r="EE398" s="4"/>
      <c r="EF398" s="4"/>
      <c r="EG398" s="4"/>
      <c r="EH398" s="4"/>
      <c r="EI398" s="4"/>
      <c r="EJ398" s="4"/>
      <c r="EK398" s="4"/>
      <c r="EL398" s="4"/>
      <c r="EM398" s="4"/>
      <c r="EN398" s="4"/>
      <c r="EO398" s="4"/>
      <c r="EP398" s="4"/>
      <c r="EQ398" s="4"/>
      <c r="ER398" s="4"/>
      <c r="ES398" s="4"/>
      <c r="ET398" s="4"/>
      <c r="EU398" s="4"/>
      <c r="EV398" s="4"/>
      <c r="EW398" s="4"/>
      <c r="EX398" s="4"/>
      <c r="EY398" s="4"/>
      <c r="EZ398" s="4"/>
      <c r="FA398" s="4"/>
      <c r="FB398" s="4"/>
      <c r="FC398" s="4"/>
      <c r="FD398" s="4"/>
      <c r="FE398" s="4"/>
      <c r="FF398" s="4"/>
      <c r="FG398" s="4"/>
      <c r="FH398" s="4"/>
      <c r="FI398" s="4"/>
      <c r="FJ398" s="4"/>
      <c r="FK398" s="4"/>
      <c r="FL398" s="4"/>
      <c r="FM398" s="4"/>
      <c r="FN398" s="4"/>
      <c r="FO398" s="4"/>
      <c r="FP398" s="4"/>
      <c r="FQ398" s="4"/>
      <c r="FR398" s="4"/>
      <c r="FS398" s="4"/>
      <c r="FT398" s="4"/>
      <c r="FU398" s="4"/>
      <c r="FV398" s="4"/>
      <c r="FW398" s="91"/>
      <c r="FX398" s="4"/>
      <c r="FY398" s="4"/>
      <c r="FZ398" s="4"/>
      <c r="GA398" s="4"/>
      <c r="GB398" s="4"/>
      <c r="GC398" s="4"/>
      <c r="GD398" s="4"/>
      <c r="GE398" s="4"/>
      <c r="GF398" s="4"/>
      <c r="GG398" s="4"/>
      <c r="GH398" s="4"/>
      <c r="GI398" s="4"/>
      <c r="GJ398" s="4"/>
      <c r="GK398" s="4"/>
      <c r="GL398" s="4"/>
      <c r="GM398" s="4"/>
      <c r="GN398" s="4"/>
      <c r="GO398" s="4"/>
      <c r="GP398" s="4"/>
      <c r="GQ398" s="4"/>
      <c r="GR398" s="4"/>
      <c r="GS398" s="4"/>
      <c r="GT398" s="4"/>
      <c r="GU398" s="4"/>
      <c r="GV398" s="4"/>
      <c r="GW398" s="4"/>
      <c r="GX398" s="4"/>
      <c r="GY398" s="4"/>
      <c r="GZ398" s="4"/>
      <c r="HA398" s="4"/>
      <c r="HB398" s="4"/>
      <c r="HC398" s="4"/>
      <c r="HD398" s="4"/>
      <c r="HE398" s="4"/>
      <c r="HF398" s="4"/>
      <c r="HG398" s="4"/>
      <c r="HH398" s="4"/>
      <c r="HI398" s="4"/>
      <c r="HJ398" s="4"/>
      <c r="HK398" s="91"/>
      <c r="HL398" s="4"/>
      <c r="HM398" s="103">
        <v>2</v>
      </c>
      <c r="HX398" s="4"/>
      <c r="HY398" s="91"/>
      <c r="HZ398" s="4"/>
      <c r="IA398" s="4"/>
      <c r="IB398" s="4"/>
      <c r="IC398" s="4"/>
      <c r="ID398" s="4"/>
      <c r="IE398" s="4"/>
      <c r="IF398" s="4"/>
      <c r="IG398" s="4"/>
      <c r="IH398" s="4"/>
      <c r="II398" s="4"/>
      <c r="IJ398" s="4"/>
      <c r="IK398" s="4"/>
      <c r="IL398" s="4"/>
      <c r="IM398" s="4"/>
      <c r="IN398" s="4"/>
      <c r="IO398" s="4"/>
      <c r="IP398" s="4"/>
      <c r="IQ398" s="4"/>
      <c r="IR398" s="4"/>
      <c r="IS398" s="4"/>
      <c r="IT398" s="91"/>
      <c r="IU398" s="4"/>
      <c r="IV398" s="4"/>
      <c r="IW398" s="4"/>
      <c r="IX398" s="4"/>
      <c r="IY398" s="4"/>
      <c r="IZ398" s="4"/>
      <c r="JA398" s="4"/>
      <c r="JB398" s="4"/>
      <c r="JC398" s="4"/>
      <c r="JD398" s="4"/>
      <c r="JE398" s="4"/>
      <c r="JF398" s="4"/>
      <c r="JG398" s="4"/>
      <c r="JH398" s="4"/>
      <c r="JI398" s="4"/>
      <c r="JJ398" s="4"/>
      <c r="JK398" s="4"/>
      <c r="JL398" s="91"/>
      <c r="JM398" s="4"/>
      <c r="JN398" s="4"/>
      <c r="JO398" s="4"/>
      <c r="JP398" s="4"/>
      <c r="JQ398" s="4"/>
      <c r="JR398" s="4"/>
    </row>
    <row r="399" spans="2:278" s="84" customFormat="1" ht="12" customHeight="1">
      <c r="B399" s="4"/>
      <c r="C399" s="4"/>
      <c r="D399" s="4"/>
      <c r="E399" s="4"/>
      <c r="F399" s="4"/>
      <c r="G399" s="4"/>
      <c r="H399" s="4"/>
      <c r="I399" s="4"/>
      <c r="J399" s="4"/>
      <c r="K399" s="4"/>
      <c r="L399" s="4"/>
      <c r="M399" s="4"/>
      <c r="N399" s="4"/>
      <c r="O399" s="4"/>
      <c r="P399" s="4"/>
      <c r="Q399" s="4"/>
      <c r="R399" s="4"/>
      <c r="S399" s="4"/>
      <c r="T399" s="4"/>
      <c r="U399" s="4"/>
      <c r="V399" s="4"/>
      <c r="W399" s="91"/>
      <c r="X399" s="4"/>
      <c r="Y399" s="4"/>
      <c r="Z399" s="4"/>
      <c r="AA399" s="4"/>
      <c r="AB399" s="4"/>
      <c r="AC399" s="4"/>
      <c r="AD399" s="4"/>
      <c r="AE399" s="4"/>
      <c r="AF399" s="4"/>
      <c r="AG399" s="91"/>
      <c r="AH399" s="4"/>
      <c r="AI399" s="4"/>
      <c r="AJ399" s="4"/>
      <c r="AK399" s="4"/>
      <c r="AL399" s="4"/>
      <c r="AM399" s="4"/>
      <c r="AN399" s="4"/>
      <c r="AO399" s="4"/>
      <c r="AP399" s="4"/>
      <c r="AQ399" s="4"/>
      <c r="AR399" s="4"/>
      <c r="AS399" s="4"/>
      <c r="AT399" s="4"/>
      <c r="AU399" s="4"/>
      <c r="AV399" s="4"/>
      <c r="AW399" s="4"/>
      <c r="AX399" s="4"/>
      <c r="AY399" s="4"/>
      <c r="AZ399" s="4"/>
      <c r="BA399" s="4"/>
      <c r="BB399" s="4"/>
      <c r="BC399" s="4"/>
      <c r="BD399" s="4"/>
      <c r="BE399" s="4"/>
      <c r="BF399" s="4"/>
      <c r="BG399" s="4"/>
      <c r="BH399" s="4"/>
      <c r="BI399" s="4"/>
      <c r="BJ399" s="4"/>
      <c r="BK399" s="4"/>
      <c r="BL399" s="4"/>
      <c r="BM399" s="4"/>
      <c r="BN399" s="4"/>
      <c r="BO399" s="4"/>
      <c r="BP399" s="4"/>
      <c r="BQ399" s="4"/>
      <c r="BR399" s="4"/>
      <c r="BS399" s="4"/>
      <c r="BT399" s="4"/>
      <c r="BU399" s="4"/>
      <c r="BV399" s="4"/>
      <c r="BW399" s="4"/>
      <c r="BX399" s="4"/>
      <c r="BY399" s="4"/>
      <c r="BZ399" s="4"/>
      <c r="CA399" s="4"/>
      <c r="CB399" s="4"/>
      <c r="CC399" s="4"/>
      <c r="CD399" s="4"/>
      <c r="CE399" s="4"/>
      <c r="CF399" s="4"/>
      <c r="CG399" s="4"/>
      <c r="CH399" s="4"/>
      <c r="CI399" s="4"/>
      <c r="CJ399" s="4"/>
      <c r="CK399" s="4"/>
      <c r="CL399" s="4"/>
      <c r="CM399" s="4"/>
      <c r="CN399" s="4"/>
      <c r="CO399" s="4"/>
      <c r="CP399" s="4"/>
      <c r="CQ399" s="4"/>
      <c r="CR399" s="4"/>
      <c r="CS399" s="4"/>
      <c r="CT399" s="4"/>
      <c r="CU399" s="4"/>
      <c r="CV399" s="4"/>
      <c r="CW399" s="4"/>
      <c r="CX399" s="4"/>
      <c r="CY399" s="4"/>
      <c r="CZ399" s="4"/>
      <c r="DA399" s="4"/>
      <c r="DB399" s="4"/>
      <c r="DC399" s="4"/>
      <c r="DD399" s="4"/>
      <c r="DE399" s="4"/>
      <c r="DF399" s="4"/>
      <c r="DG399" s="4"/>
      <c r="DH399" s="4"/>
      <c r="DI399" s="4"/>
      <c r="DJ399" s="4"/>
      <c r="DK399" s="4"/>
      <c r="DL399" s="4"/>
      <c r="DM399" s="4"/>
      <c r="DN399" s="4"/>
      <c r="DO399" s="4"/>
      <c r="DP399" s="4"/>
      <c r="DQ399" s="4"/>
      <c r="DR399" s="4"/>
      <c r="DS399" s="4"/>
      <c r="DT399" s="4"/>
      <c r="DU399" s="4"/>
      <c r="DV399" s="4"/>
      <c r="DW399" s="4"/>
      <c r="DX399" s="4"/>
      <c r="DY399" s="4"/>
      <c r="DZ399" s="91"/>
      <c r="EA399" s="4"/>
      <c r="EB399" s="4"/>
      <c r="EC399" s="4"/>
      <c r="ED399" s="4"/>
      <c r="EE399" s="4"/>
      <c r="EF399" s="4"/>
      <c r="EG399" s="4"/>
      <c r="EH399" s="4"/>
      <c r="EI399" s="4"/>
      <c r="EJ399" s="4"/>
      <c r="EK399" s="4"/>
      <c r="EL399" s="4"/>
      <c r="EM399" s="4"/>
      <c r="EN399" s="4"/>
      <c r="EO399" s="4"/>
      <c r="EP399" s="4"/>
      <c r="EQ399" s="4"/>
      <c r="ER399" s="4"/>
      <c r="ES399" s="4"/>
      <c r="ET399" s="4"/>
      <c r="EU399" s="4"/>
      <c r="EV399" s="4"/>
      <c r="EW399" s="4"/>
      <c r="EX399" s="4"/>
      <c r="EY399" s="4"/>
      <c r="EZ399" s="4"/>
      <c r="FA399" s="4"/>
      <c r="FB399" s="4"/>
      <c r="FC399" s="4"/>
      <c r="FD399" s="4"/>
      <c r="FE399" s="4"/>
      <c r="FF399" s="4"/>
      <c r="FG399" s="4"/>
      <c r="FH399" s="4"/>
      <c r="FI399" s="4"/>
      <c r="FJ399" s="4"/>
      <c r="FK399" s="4"/>
      <c r="FL399" s="4"/>
      <c r="FM399" s="4"/>
      <c r="FN399" s="4"/>
      <c r="FO399" s="4"/>
      <c r="FP399" s="4"/>
      <c r="FQ399" s="4"/>
      <c r="FR399" s="4"/>
      <c r="FS399" s="4"/>
      <c r="FT399" s="4"/>
      <c r="FU399" s="4"/>
      <c r="FV399" s="4"/>
      <c r="FW399" s="91"/>
      <c r="FX399" s="4"/>
      <c r="FY399" s="4"/>
      <c r="FZ399" s="4"/>
      <c r="GA399" s="4"/>
      <c r="GB399" s="4"/>
      <c r="GC399" s="4"/>
      <c r="GD399" s="4"/>
      <c r="GE399" s="4"/>
      <c r="GF399" s="4"/>
      <c r="GG399" s="4"/>
      <c r="GH399" s="4"/>
      <c r="GI399" s="4"/>
      <c r="GJ399" s="4"/>
      <c r="GK399" s="4"/>
      <c r="GL399" s="4"/>
      <c r="GM399" s="4"/>
      <c r="GN399" s="4"/>
      <c r="GO399" s="4"/>
      <c r="GP399" s="4"/>
      <c r="GQ399" s="4"/>
      <c r="GR399" s="4"/>
      <c r="GS399" s="4"/>
      <c r="GT399" s="4"/>
      <c r="GU399" s="4"/>
      <c r="GV399" s="4"/>
      <c r="GW399" s="4"/>
      <c r="GX399" s="4"/>
      <c r="GY399" s="4"/>
      <c r="GZ399" s="4"/>
      <c r="HA399" s="4"/>
      <c r="HB399" s="4"/>
      <c r="HC399" s="4"/>
      <c r="HD399" s="4"/>
      <c r="HE399" s="4"/>
      <c r="HF399" s="4"/>
      <c r="HG399" s="4"/>
      <c r="HH399" s="4"/>
      <c r="HI399" s="4"/>
      <c r="HJ399" s="4"/>
      <c r="HK399" s="91"/>
      <c r="HL399" s="4"/>
      <c r="HM399" s="104">
        <v>1.5</v>
      </c>
      <c r="HX399" s="4"/>
      <c r="HY399" s="91"/>
      <c r="HZ399" s="4"/>
      <c r="IA399" s="4"/>
      <c r="IB399" s="4"/>
      <c r="IC399" s="4"/>
      <c r="ID399" s="4"/>
      <c r="IE399" s="4"/>
      <c r="IF399" s="4"/>
      <c r="IG399" s="4"/>
      <c r="IH399" s="4"/>
      <c r="II399" s="4"/>
      <c r="IJ399" s="4"/>
      <c r="IK399" s="4"/>
      <c r="IL399" s="4"/>
      <c r="IM399" s="4"/>
      <c r="IN399" s="4"/>
      <c r="IO399" s="4"/>
      <c r="IP399" s="4"/>
      <c r="IQ399" s="4"/>
      <c r="IR399" s="4"/>
      <c r="IS399" s="4"/>
      <c r="IT399" s="91"/>
      <c r="IU399" s="4"/>
      <c r="IV399" s="4"/>
      <c r="IW399" s="4"/>
      <c r="IX399" s="4"/>
      <c r="IY399" s="4"/>
      <c r="IZ399" s="4"/>
      <c r="JA399" s="4"/>
      <c r="JB399" s="4"/>
      <c r="JC399" s="4"/>
      <c r="JD399" s="4"/>
      <c r="JE399" s="4"/>
      <c r="JF399" s="4"/>
      <c r="JG399" s="4"/>
      <c r="JH399" s="4"/>
      <c r="JI399" s="4"/>
      <c r="JJ399" s="4"/>
      <c r="JK399" s="4"/>
      <c r="JL399" s="91"/>
      <c r="JM399" s="4"/>
      <c r="JN399" s="4"/>
      <c r="JO399" s="4"/>
      <c r="JP399" s="4"/>
      <c r="JQ399" s="4"/>
      <c r="JR399" s="4"/>
    </row>
    <row r="400" spans="2:278" s="84" customFormat="1" ht="12" customHeight="1">
      <c r="B400" s="4"/>
      <c r="C400" s="4"/>
      <c r="D400" s="4"/>
      <c r="E400" s="4"/>
      <c r="F400" s="4"/>
      <c r="G400" s="4"/>
      <c r="H400" s="4"/>
      <c r="I400" s="4"/>
      <c r="J400" s="4"/>
      <c r="K400" s="4"/>
      <c r="L400" s="4"/>
      <c r="M400" s="4"/>
      <c r="N400" s="4"/>
      <c r="O400" s="4"/>
      <c r="P400" s="4"/>
      <c r="Q400" s="4"/>
      <c r="R400" s="4"/>
      <c r="S400" s="4"/>
      <c r="T400" s="4"/>
      <c r="U400" s="4"/>
      <c r="V400" s="4"/>
      <c r="W400" s="91"/>
      <c r="X400" s="4"/>
      <c r="Y400" s="4"/>
      <c r="Z400" s="4"/>
      <c r="AA400" s="4"/>
      <c r="AB400" s="4"/>
      <c r="AC400" s="4"/>
      <c r="AD400" s="4"/>
      <c r="AE400" s="4"/>
      <c r="AF400" s="4"/>
      <c r="AG400" s="91"/>
      <c r="AH400" s="4"/>
      <c r="AI400" s="4"/>
      <c r="AJ400" s="4"/>
      <c r="AK400" s="4"/>
      <c r="AL400" s="4"/>
      <c r="AM400" s="4"/>
      <c r="AN400" s="4"/>
      <c r="AO400" s="4"/>
      <c r="AP400" s="4"/>
      <c r="AQ400" s="4"/>
      <c r="AR400" s="4"/>
      <c r="AS400" s="4"/>
      <c r="AT400" s="4"/>
      <c r="AU400" s="4"/>
      <c r="AV400" s="4"/>
      <c r="AW400" s="4"/>
      <c r="AX400" s="4"/>
      <c r="AY400" s="4"/>
      <c r="AZ400" s="4"/>
      <c r="BA400" s="4"/>
      <c r="BB400" s="4"/>
      <c r="BC400" s="4"/>
      <c r="BD400" s="4"/>
      <c r="BE400" s="4"/>
      <c r="BF400" s="4"/>
      <c r="BG400" s="4"/>
      <c r="BH400" s="4"/>
      <c r="BI400" s="4"/>
      <c r="BJ400" s="4"/>
      <c r="BK400" s="4"/>
      <c r="BL400" s="4"/>
      <c r="BM400" s="4"/>
      <c r="BN400" s="4"/>
      <c r="BO400" s="4"/>
      <c r="BP400" s="4"/>
      <c r="BQ400" s="4"/>
      <c r="BR400" s="4"/>
      <c r="BS400" s="4"/>
      <c r="BT400" s="4"/>
      <c r="BU400" s="4"/>
      <c r="BV400" s="4"/>
      <c r="BW400" s="4"/>
      <c r="BX400" s="4"/>
      <c r="BY400" s="4"/>
      <c r="BZ400" s="4"/>
      <c r="CA400" s="4"/>
      <c r="CB400" s="4"/>
      <c r="CC400" s="4"/>
      <c r="CD400" s="4"/>
      <c r="CE400" s="4"/>
      <c r="CF400" s="4"/>
      <c r="CG400" s="4"/>
      <c r="CH400" s="4"/>
      <c r="CI400" s="4"/>
      <c r="CJ400" s="4"/>
      <c r="CK400" s="4"/>
      <c r="CL400" s="4"/>
      <c r="CM400" s="4"/>
      <c r="CN400" s="4"/>
      <c r="CO400" s="4"/>
      <c r="CP400" s="4"/>
      <c r="CQ400" s="4"/>
      <c r="CR400" s="4"/>
      <c r="CS400" s="4"/>
      <c r="CT400" s="4"/>
      <c r="CU400" s="4"/>
      <c r="CV400" s="4"/>
      <c r="CW400" s="4"/>
      <c r="CX400" s="4"/>
      <c r="CY400" s="4"/>
      <c r="CZ400" s="4"/>
      <c r="DA400" s="4"/>
      <c r="DB400" s="4"/>
      <c r="DC400" s="4"/>
      <c r="DD400" s="4"/>
      <c r="DE400" s="4"/>
      <c r="DF400" s="4"/>
      <c r="DG400" s="4"/>
      <c r="DH400" s="4"/>
      <c r="DI400" s="4"/>
      <c r="DJ400" s="4"/>
      <c r="DK400" s="4"/>
      <c r="DL400" s="4"/>
      <c r="DM400" s="4"/>
      <c r="DN400" s="4"/>
      <c r="DO400" s="4"/>
      <c r="DP400" s="4"/>
      <c r="DQ400" s="4"/>
      <c r="DR400" s="4"/>
      <c r="DS400" s="4"/>
      <c r="DT400" s="4"/>
      <c r="DU400" s="4"/>
      <c r="DV400" s="4"/>
      <c r="DW400" s="4"/>
      <c r="DX400" s="4"/>
      <c r="DY400" s="4"/>
      <c r="DZ400" s="91"/>
      <c r="EA400" s="4"/>
      <c r="EB400" s="4"/>
      <c r="EC400" s="4"/>
      <c r="ED400" s="4"/>
      <c r="EE400" s="4"/>
      <c r="EF400" s="4"/>
      <c r="EG400" s="4"/>
      <c r="EH400" s="4"/>
      <c r="EI400" s="4"/>
      <c r="EJ400" s="4"/>
      <c r="EK400" s="4"/>
      <c r="EL400" s="4"/>
      <c r="EM400" s="4"/>
      <c r="EN400" s="4"/>
      <c r="EO400" s="4"/>
      <c r="EP400" s="4"/>
      <c r="EQ400" s="4"/>
      <c r="ER400" s="4"/>
      <c r="ES400" s="4"/>
      <c r="ET400" s="4"/>
      <c r="EU400" s="4"/>
      <c r="EV400" s="4"/>
      <c r="EW400" s="4"/>
      <c r="EX400" s="4"/>
      <c r="EY400" s="4"/>
      <c r="EZ400" s="4"/>
      <c r="FA400" s="4"/>
      <c r="FB400" s="4"/>
      <c r="FC400" s="4"/>
      <c r="FD400" s="4"/>
      <c r="FE400" s="4"/>
      <c r="FF400" s="4"/>
      <c r="FG400" s="4"/>
      <c r="FH400" s="4"/>
      <c r="FI400" s="4"/>
      <c r="FJ400" s="4"/>
      <c r="FK400" s="4"/>
      <c r="FL400" s="4"/>
      <c r="FM400" s="4"/>
      <c r="FN400" s="4"/>
      <c r="FO400" s="4"/>
      <c r="FP400" s="4"/>
      <c r="FQ400" s="4"/>
      <c r="FR400" s="4"/>
      <c r="FS400" s="4"/>
      <c r="FT400" s="4"/>
      <c r="FU400" s="4"/>
      <c r="FV400" s="4"/>
      <c r="FW400" s="91"/>
      <c r="FX400" s="4"/>
      <c r="FY400" s="4"/>
      <c r="FZ400" s="4"/>
      <c r="GA400" s="4"/>
      <c r="GB400" s="4"/>
      <c r="GC400" s="4"/>
      <c r="GD400" s="4"/>
      <c r="GE400" s="4"/>
      <c r="GF400" s="4"/>
      <c r="GG400" s="4"/>
      <c r="GH400" s="4"/>
      <c r="GI400" s="4"/>
      <c r="GJ400" s="4"/>
      <c r="GK400" s="4"/>
      <c r="GL400" s="4"/>
      <c r="GM400" s="4"/>
      <c r="GN400" s="4"/>
      <c r="GO400" s="4"/>
      <c r="GP400" s="4"/>
      <c r="GQ400" s="4"/>
      <c r="GR400" s="4"/>
      <c r="GS400" s="4"/>
      <c r="GT400" s="4"/>
      <c r="GU400" s="4"/>
      <c r="GV400" s="4"/>
      <c r="GW400" s="4"/>
      <c r="GX400" s="4"/>
      <c r="GY400" s="4"/>
      <c r="GZ400" s="4"/>
      <c r="HA400" s="4"/>
      <c r="HB400" s="4"/>
      <c r="HC400" s="4"/>
      <c r="HD400" s="4"/>
      <c r="HE400" s="4"/>
      <c r="HF400" s="4"/>
      <c r="HG400" s="4"/>
      <c r="HH400" s="4"/>
      <c r="HI400" s="4"/>
      <c r="HJ400" s="4"/>
      <c r="HK400" s="91"/>
      <c r="HL400" s="4"/>
      <c r="HM400" s="211"/>
      <c r="HX400" s="4"/>
      <c r="HY400" s="91"/>
      <c r="HZ400" s="4"/>
      <c r="IA400" s="4"/>
      <c r="IB400" s="4"/>
      <c r="IC400" s="4"/>
      <c r="ID400" s="4"/>
      <c r="IE400" s="4"/>
      <c r="IF400" s="4"/>
      <c r="IG400" s="4"/>
      <c r="IH400" s="4"/>
      <c r="II400" s="4"/>
      <c r="IJ400" s="4"/>
      <c r="IK400" s="4"/>
      <c r="IL400" s="4"/>
      <c r="IM400" s="4"/>
      <c r="IN400" s="4"/>
      <c r="IO400" s="4"/>
      <c r="IP400" s="4"/>
      <c r="IQ400" s="4"/>
      <c r="IR400" s="4"/>
      <c r="IS400" s="4"/>
      <c r="IT400" s="91"/>
      <c r="IU400" s="4"/>
      <c r="IV400" s="4"/>
      <c r="IW400" s="4"/>
      <c r="IX400" s="4"/>
      <c r="IY400" s="4"/>
      <c r="IZ400" s="4"/>
      <c r="JA400" s="4"/>
      <c r="JB400" s="4"/>
      <c r="JC400" s="4"/>
      <c r="JD400" s="4"/>
      <c r="JE400" s="4"/>
      <c r="JF400" s="4"/>
      <c r="JG400" s="4"/>
      <c r="JH400" s="4"/>
      <c r="JI400" s="4"/>
      <c r="JJ400" s="4"/>
      <c r="JK400" s="4"/>
      <c r="JL400" s="91"/>
      <c r="JM400" s="4"/>
      <c r="JN400" s="4"/>
      <c r="JO400" s="4"/>
      <c r="JP400" s="4"/>
      <c r="JQ400" s="4"/>
      <c r="JR400" s="4"/>
    </row>
    <row r="401" spans="2:278" s="84" customFormat="1" ht="12" customHeight="1">
      <c r="B401" s="4"/>
      <c r="C401" s="4"/>
      <c r="D401" s="4"/>
      <c r="E401" s="4"/>
      <c r="F401" s="4"/>
      <c r="G401" s="4"/>
      <c r="H401" s="4"/>
      <c r="I401" s="4"/>
      <c r="J401" s="4"/>
      <c r="K401" s="4"/>
      <c r="L401" s="4"/>
      <c r="M401" s="4"/>
      <c r="N401" s="4"/>
      <c r="O401" s="4"/>
      <c r="P401" s="4"/>
      <c r="Q401" s="4"/>
      <c r="R401" s="4"/>
      <c r="S401" s="4"/>
      <c r="T401" s="4"/>
      <c r="U401" s="4"/>
      <c r="V401" s="4"/>
      <c r="W401" s="91"/>
      <c r="X401" s="4"/>
      <c r="Y401" s="4"/>
      <c r="Z401" s="4"/>
      <c r="AA401" s="4"/>
      <c r="AB401" s="4"/>
      <c r="AC401" s="4"/>
      <c r="AD401" s="4"/>
      <c r="AE401" s="4"/>
      <c r="AF401" s="4"/>
      <c r="AG401" s="91"/>
      <c r="AH401" s="4"/>
      <c r="AI401" s="4"/>
      <c r="AJ401" s="4"/>
      <c r="AK401" s="4"/>
      <c r="AL401" s="4"/>
      <c r="AM401" s="4"/>
      <c r="AN401" s="4"/>
      <c r="AO401" s="4"/>
      <c r="AP401" s="4"/>
      <c r="AQ401" s="4"/>
      <c r="AR401" s="4"/>
      <c r="AS401" s="4"/>
      <c r="AT401" s="4"/>
      <c r="AU401" s="4"/>
      <c r="AV401" s="4"/>
      <c r="AW401" s="4"/>
      <c r="AX401" s="4"/>
      <c r="AY401" s="4"/>
      <c r="AZ401" s="4"/>
      <c r="BA401" s="4"/>
      <c r="BB401" s="4"/>
      <c r="BC401" s="4"/>
      <c r="BD401" s="4"/>
      <c r="BE401" s="4"/>
      <c r="BF401" s="4"/>
      <c r="BG401" s="4"/>
      <c r="BH401" s="4"/>
      <c r="BI401" s="4"/>
      <c r="BJ401" s="4"/>
      <c r="BK401" s="4"/>
      <c r="BL401" s="4"/>
      <c r="BM401" s="4"/>
      <c r="BN401" s="4"/>
      <c r="BO401" s="4"/>
      <c r="BP401" s="4"/>
      <c r="BQ401" s="4"/>
      <c r="BR401" s="4"/>
      <c r="BS401" s="4"/>
      <c r="BT401" s="4"/>
      <c r="BU401" s="4"/>
      <c r="BV401" s="4"/>
      <c r="BW401" s="4"/>
      <c r="BX401" s="4"/>
      <c r="BY401" s="4"/>
      <c r="BZ401" s="4"/>
      <c r="CA401" s="4"/>
      <c r="CB401" s="4"/>
      <c r="CC401" s="4"/>
      <c r="CD401" s="4"/>
      <c r="CE401" s="4"/>
      <c r="CF401" s="4"/>
      <c r="CG401" s="4"/>
      <c r="CH401" s="4"/>
      <c r="CI401" s="4"/>
      <c r="CJ401" s="4"/>
      <c r="CK401" s="4"/>
      <c r="CL401" s="4"/>
      <c r="CM401" s="4"/>
      <c r="CN401" s="4"/>
      <c r="CO401" s="4"/>
      <c r="CP401" s="4"/>
      <c r="CQ401" s="4"/>
      <c r="CR401" s="4"/>
      <c r="CS401" s="4"/>
      <c r="CT401" s="4"/>
      <c r="CU401" s="4"/>
      <c r="CV401" s="4"/>
      <c r="CW401" s="4"/>
      <c r="CX401" s="4"/>
      <c r="CY401" s="4"/>
      <c r="CZ401" s="4"/>
      <c r="DA401" s="4"/>
      <c r="DB401" s="4"/>
      <c r="DC401" s="4"/>
      <c r="DD401" s="4"/>
      <c r="DE401" s="4"/>
      <c r="DF401" s="4"/>
      <c r="DG401" s="4"/>
      <c r="DH401" s="4"/>
      <c r="DI401" s="4"/>
      <c r="DJ401" s="4"/>
      <c r="DK401" s="4"/>
      <c r="DL401" s="4"/>
      <c r="DM401" s="4"/>
      <c r="DN401" s="4"/>
      <c r="DO401" s="4"/>
      <c r="DP401" s="4"/>
      <c r="DQ401" s="4"/>
      <c r="DR401" s="4"/>
      <c r="DS401" s="4"/>
      <c r="DT401" s="4"/>
      <c r="DU401" s="4"/>
      <c r="DV401" s="4"/>
      <c r="DW401" s="4"/>
      <c r="DX401" s="4"/>
      <c r="DY401" s="4"/>
      <c r="DZ401" s="91"/>
      <c r="EA401" s="4"/>
      <c r="EB401" s="4"/>
      <c r="EC401" s="4"/>
      <c r="ED401" s="4"/>
      <c r="EE401" s="4"/>
      <c r="EF401" s="4"/>
      <c r="EG401" s="4"/>
      <c r="EH401" s="4"/>
      <c r="EI401" s="4"/>
      <c r="EJ401" s="4"/>
      <c r="EK401" s="4"/>
      <c r="EL401" s="4"/>
      <c r="EM401" s="4"/>
      <c r="EN401" s="4"/>
      <c r="EO401" s="4"/>
      <c r="EP401" s="4"/>
      <c r="EQ401" s="4"/>
      <c r="ER401" s="4"/>
      <c r="ES401" s="4"/>
      <c r="ET401" s="4"/>
      <c r="EU401" s="4"/>
      <c r="EV401" s="4"/>
      <c r="EW401" s="4"/>
      <c r="EX401" s="4"/>
      <c r="EY401" s="4"/>
      <c r="EZ401" s="4"/>
      <c r="FA401" s="4"/>
      <c r="FB401" s="4"/>
      <c r="FC401" s="4"/>
      <c r="FD401" s="4"/>
      <c r="FE401" s="4"/>
      <c r="FF401" s="4"/>
      <c r="FG401" s="4"/>
      <c r="FH401" s="4"/>
      <c r="FI401" s="4"/>
      <c r="FJ401" s="4"/>
      <c r="FK401" s="4"/>
      <c r="FL401" s="4"/>
      <c r="FM401" s="4"/>
      <c r="FN401" s="4"/>
      <c r="FO401" s="4"/>
      <c r="FP401" s="4"/>
      <c r="FQ401" s="4"/>
      <c r="FR401" s="4"/>
      <c r="FS401" s="4"/>
      <c r="FT401" s="4"/>
      <c r="FU401" s="4"/>
      <c r="FV401" s="4"/>
      <c r="FW401" s="91"/>
      <c r="FX401" s="4"/>
      <c r="FY401" s="4"/>
      <c r="FZ401" s="4"/>
      <c r="GA401" s="4"/>
      <c r="GB401" s="4"/>
      <c r="GC401" s="4"/>
      <c r="GD401" s="4"/>
      <c r="GE401" s="4"/>
      <c r="GF401" s="4"/>
      <c r="GG401" s="4"/>
      <c r="GH401" s="4"/>
      <c r="GI401" s="4"/>
      <c r="GJ401" s="4"/>
      <c r="GK401" s="4"/>
      <c r="GL401" s="4"/>
      <c r="GM401" s="4"/>
      <c r="GN401" s="4"/>
      <c r="GO401" s="4"/>
      <c r="GP401" s="4"/>
      <c r="GQ401" s="4"/>
      <c r="GR401" s="4"/>
      <c r="GS401" s="4"/>
      <c r="GT401" s="4"/>
      <c r="GU401" s="4"/>
      <c r="GV401" s="4"/>
      <c r="GW401" s="4"/>
      <c r="GX401" s="4"/>
      <c r="GY401" s="4"/>
      <c r="GZ401" s="4"/>
      <c r="HA401" s="4"/>
      <c r="HB401" s="4"/>
      <c r="HC401" s="4"/>
      <c r="HD401" s="4"/>
      <c r="HE401" s="4"/>
      <c r="HF401" s="4"/>
      <c r="HG401" s="4"/>
      <c r="HH401" s="4"/>
      <c r="HI401" s="4"/>
      <c r="HJ401" s="4"/>
      <c r="HK401" s="91"/>
      <c r="HL401" s="4"/>
      <c r="HM401" s="211"/>
      <c r="HX401" s="4"/>
      <c r="HY401" s="91"/>
      <c r="HZ401" s="4"/>
      <c r="IA401" s="4"/>
      <c r="IB401" s="4"/>
      <c r="IC401" s="4"/>
      <c r="ID401" s="4"/>
      <c r="IE401" s="4"/>
      <c r="IF401" s="4"/>
      <c r="IG401" s="4"/>
      <c r="IH401" s="4"/>
      <c r="II401" s="4"/>
      <c r="IJ401" s="4"/>
      <c r="IK401" s="4"/>
      <c r="IL401" s="4"/>
      <c r="IM401" s="4"/>
      <c r="IN401" s="4"/>
      <c r="IO401" s="4"/>
      <c r="IP401" s="4"/>
      <c r="IQ401" s="4"/>
      <c r="IR401" s="4"/>
      <c r="IS401" s="4"/>
      <c r="IT401" s="91"/>
      <c r="IU401" s="4"/>
      <c r="IV401" s="4"/>
      <c r="IW401" s="4"/>
      <c r="IX401" s="4"/>
      <c r="IY401" s="4"/>
      <c r="IZ401" s="4"/>
      <c r="JA401" s="4"/>
      <c r="JB401" s="4"/>
      <c r="JC401" s="4"/>
      <c r="JD401" s="4"/>
      <c r="JE401" s="4"/>
      <c r="JF401" s="4"/>
      <c r="JG401" s="4"/>
      <c r="JH401" s="4"/>
      <c r="JI401" s="4"/>
      <c r="JJ401" s="4"/>
      <c r="JK401" s="4"/>
      <c r="JL401" s="91"/>
      <c r="JM401" s="4"/>
      <c r="JN401" s="4"/>
      <c r="JO401" s="4"/>
      <c r="JP401" s="4"/>
      <c r="JQ401" s="4"/>
      <c r="JR401" s="4"/>
    </row>
    <row r="402" spans="2:278" s="84" customFormat="1" ht="12" customHeight="1">
      <c r="B402" s="4"/>
      <c r="C402" s="4"/>
      <c r="D402" s="4"/>
      <c r="E402" s="4"/>
      <c r="F402" s="4"/>
      <c r="G402" s="4"/>
      <c r="H402" s="4"/>
      <c r="I402" s="4"/>
      <c r="J402" s="4"/>
      <c r="K402" s="4"/>
      <c r="L402" s="4"/>
      <c r="M402" s="4"/>
      <c r="N402" s="4"/>
      <c r="O402" s="4"/>
      <c r="P402" s="4"/>
      <c r="Q402" s="4"/>
      <c r="R402" s="4"/>
      <c r="S402" s="4"/>
      <c r="T402" s="4"/>
      <c r="U402" s="4"/>
      <c r="V402" s="4"/>
      <c r="W402" s="91"/>
      <c r="X402" s="4"/>
      <c r="Y402" s="4"/>
      <c r="Z402" s="4"/>
      <c r="AA402" s="4"/>
      <c r="AB402" s="4"/>
      <c r="AC402" s="4"/>
      <c r="AD402" s="4"/>
      <c r="AE402" s="4"/>
      <c r="AF402" s="4"/>
      <c r="AG402" s="91"/>
      <c r="AH402" s="4"/>
      <c r="AI402" s="4"/>
      <c r="AJ402" s="4"/>
      <c r="AK402" s="4"/>
      <c r="AL402" s="4"/>
      <c r="AM402" s="4"/>
      <c r="AN402" s="4"/>
      <c r="AO402" s="4"/>
      <c r="AP402" s="4"/>
      <c r="AQ402" s="4"/>
      <c r="AR402" s="4"/>
      <c r="AS402" s="4"/>
      <c r="AT402" s="4"/>
      <c r="AU402" s="4"/>
      <c r="AV402" s="4"/>
      <c r="AW402" s="4"/>
      <c r="AX402" s="4"/>
      <c r="AY402" s="4"/>
      <c r="AZ402" s="4"/>
      <c r="BA402" s="4"/>
      <c r="BB402" s="4"/>
      <c r="BC402" s="4"/>
      <c r="BD402" s="4"/>
      <c r="BE402" s="4"/>
      <c r="BF402" s="4"/>
      <c r="BG402" s="4"/>
      <c r="BH402" s="4"/>
      <c r="BI402" s="4"/>
      <c r="BJ402" s="4"/>
      <c r="BK402" s="4"/>
      <c r="BL402" s="4"/>
      <c r="BM402" s="4"/>
      <c r="BN402" s="4"/>
      <c r="BO402" s="4"/>
      <c r="BP402" s="4"/>
      <c r="BQ402" s="4"/>
      <c r="BR402" s="4"/>
      <c r="BS402" s="4"/>
      <c r="BT402" s="4"/>
      <c r="BU402" s="4"/>
      <c r="BV402" s="4"/>
      <c r="BW402" s="4"/>
      <c r="BX402" s="4"/>
      <c r="BY402" s="4"/>
      <c r="BZ402" s="4"/>
      <c r="CA402" s="4"/>
      <c r="CB402" s="4"/>
      <c r="CC402" s="4"/>
      <c r="CD402" s="4"/>
      <c r="CE402" s="4"/>
      <c r="CF402" s="4"/>
      <c r="CG402" s="4"/>
      <c r="CH402" s="4"/>
      <c r="CI402" s="4"/>
      <c r="CJ402" s="4"/>
      <c r="CK402" s="4"/>
      <c r="CL402" s="4"/>
      <c r="CM402" s="4"/>
      <c r="CN402" s="4"/>
      <c r="CO402" s="4"/>
      <c r="CP402" s="4"/>
      <c r="CQ402" s="4"/>
      <c r="CR402" s="4"/>
      <c r="CS402" s="4"/>
      <c r="CT402" s="4"/>
      <c r="CU402" s="4"/>
      <c r="CV402" s="4"/>
      <c r="CW402" s="4"/>
      <c r="CX402" s="4"/>
      <c r="CY402" s="4"/>
      <c r="CZ402" s="4"/>
      <c r="DA402" s="4"/>
      <c r="DB402" s="4"/>
      <c r="DC402" s="4"/>
      <c r="DD402" s="4"/>
      <c r="DE402" s="4"/>
      <c r="DF402" s="4"/>
      <c r="DG402" s="4"/>
      <c r="DH402" s="4"/>
      <c r="DI402" s="4"/>
      <c r="DJ402" s="4"/>
      <c r="DK402" s="4"/>
      <c r="DL402" s="4"/>
      <c r="DM402" s="4"/>
      <c r="DN402" s="4"/>
      <c r="DO402" s="4"/>
      <c r="DP402" s="4"/>
      <c r="DQ402" s="4"/>
      <c r="DR402" s="4"/>
      <c r="DS402" s="4"/>
      <c r="DT402" s="4"/>
      <c r="DU402" s="4"/>
      <c r="DV402" s="4"/>
      <c r="DW402" s="4"/>
      <c r="DX402" s="4"/>
      <c r="DY402" s="4"/>
      <c r="DZ402" s="91"/>
      <c r="EA402" s="4"/>
      <c r="EB402" s="4"/>
      <c r="EC402" s="4"/>
      <c r="ED402" s="4"/>
      <c r="EE402" s="4"/>
      <c r="EF402" s="4"/>
      <c r="EG402" s="4"/>
      <c r="EH402" s="4"/>
      <c r="EI402" s="4"/>
      <c r="EJ402" s="4"/>
      <c r="EK402" s="4"/>
      <c r="EL402" s="4"/>
      <c r="EM402" s="4"/>
      <c r="EN402" s="4"/>
      <c r="EO402" s="4"/>
      <c r="EP402" s="4"/>
      <c r="EQ402" s="4"/>
      <c r="ER402" s="4"/>
      <c r="ES402" s="4"/>
      <c r="ET402" s="4"/>
      <c r="EU402" s="4"/>
      <c r="EV402" s="4"/>
      <c r="EW402" s="4"/>
      <c r="EX402" s="4"/>
      <c r="EY402" s="4"/>
      <c r="EZ402" s="4"/>
      <c r="FA402" s="4"/>
      <c r="FB402" s="4"/>
      <c r="FC402" s="4"/>
      <c r="FD402" s="4"/>
      <c r="FE402" s="4"/>
      <c r="FF402" s="4"/>
      <c r="FG402" s="4"/>
      <c r="FH402" s="4"/>
      <c r="FI402" s="4"/>
      <c r="FJ402" s="4"/>
      <c r="FK402" s="4"/>
      <c r="FL402" s="4"/>
      <c r="FM402" s="4"/>
      <c r="FN402" s="4"/>
      <c r="FO402" s="4"/>
      <c r="FP402" s="4"/>
      <c r="FQ402" s="4"/>
      <c r="FR402" s="4"/>
      <c r="FS402" s="4"/>
      <c r="FT402" s="4"/>
      <c r="FU402" s="4"/>
      <c r="FV402" s="4"/>
      <c r="FW402" s="91"/>
      <c r="FX402" s="4"/>
      <c r="FY402" s="4"/>
      <c r="FZ402" s="4"/>
      <c r="GA402" s="4"/>
      <c r="GB402" s="4"/>
      <c r="GC402" s="4"/>
      <c r="GD402" s="4"/>
      <c r="GE402" s="4"/>
      <c r="GF402" s="4"/>
      <c r="GG402" s="4"/>
      <c r="GH402" s="4"/>
      <c r="GI402" s="4"/>
      <c r="GJ402" s="4"/>
      <c r="GK402" s="4"/>
      <c r="GL402" s="4"/>
      <c r="GM402" s="4"/>
      <c r="GN402" s="4"/>
      <c r="GO402" s="4"/>
      <c r="GP402" s="4"/>
      <c r="GQ402" s="4"/>
      <c r="GR402" s="4"/>
      <c r="GS402" s="4"/>
      <c r="GT402" s="4"/>
      <c r="GU402" s="4"/>
      <c r="GV402" s="4"/>
      <c r="GW402" s="4"/>
      <c r="GX402" s="4"/>
      <c r="GY402" s="4"/>
      <c r="GZ402" s="4"/>
      <c r="HA402" s="4"/>
      <c r="HB402" s="4"/>
      <c r="HC402" s="4"/>
      <c r="HD402" s="4"/>
      <c r="HE402" s="4"/>
      <c r="HF402" s="4"/>
      <c r="HG402" s="4"/>
      <c r="HH402" s="4"/>
      <c r="HI402" s="4"/>
      <c r="HJ402" s="4"/>
      <c r="HK402" s="91"/>
      <c r="HL402" s="4"/>
      <c r="HM402" s="211"/>
      <c r="HX402" s="4"/>
      <c r="HY402" s="91"/>
      <c r="HZ402" s="4"/>
      <c r="IA402" s="4"/>
      <c r="IB402" s="4"/>
      <c r="IC402" s="4"/>
      <c r="ID402" s="4"/>
      <c r="IE402" s="4"/>
      <c r="IF402" s="4"/>
      <c r="IG402" s="4"/>
      <c r="IH402" s="4"/>
      <c r="II402" s="4"/>
      <c r="IJ402" s="4"/>
      <c r="IK402" s="4"/>
      <c r="IL402" s="4"/>
      <c r="IM402" s="4"/>
      <c r="IN402" s="4"/>
      <c r="IO402" s="4"/>
      <c r="IP402" s="4"/>
      <c r="IQ402" s="4"/>
      <c r="IR402" s="4"/>
      <c r="IS402" s="4"/>
      <c r="IT402" s="91"/>
      <c r="IU402" s="4"/>
      <c r="IV402" s="4"/>
      <c r="IW402" s="4"/>
      <c r="IX402" s="4"/>
      <c r="IY402" s="4"/>
      <c r="IZ402" s="4"/>
      <c r="JA402" s="4"/>
      <c r="JB402" s="4"/>
      <c r="JC402" s="4"/>
      <c r="JD402" s="4"/>
      <c r="JE402" s="4"/>
      <c r="JF402" s="4"/>
      <c r="JG402" s="4"/>
      <c r="JH402" s="4"/>
      <c r="JI402" s="4"/>
      <c r="JJ402" s="4"/>
      <c r="JK402" s="4"/>
      <c r="JL402" s="91"/>
      <c r="JM402" s="4"/>
      <c r="JN402" s="4"/>
      <c r="JO402" s="4"/>
      <c r="JP402" s="4"/>
      <c r="JQ402" s="4"/>
      <c r="JR402" s="4"/>
    </row>
    <row r="403" spans="2:278" s="84" customFormat="1" ht="12" customHeight="1">
      <c r="B403" s="4"/>
      <c r="C403" s="4"/>
      <c r="D403" s="4"/>
      <c r="E403" s="4"/>
      <c r="F403" s="4"/>
      <c r="G403" s="4"/>
      <c r="H403" s="4"/>
      <c r="I403" s="4"/>
      <c r="J403" s="4"/>
      <c r="K403" s="4"/>
      <c r="L403" s="4"/>
      <c r="M403" s="4"/>
      <c r="N403" s="4"/>
      <c r="O403" s="4"/>
      <c r="P403" s="4"/>
      <c r="Q403" s="4"/>
      <c r="R403" s="4"/>
      <c r="S403" s="4"/>
      <c r="T403" s="4"/>
      <c r="U403" s="4"/>
      <c r="V403" s="4"/>
      <c r="W403" s="91"/>
      <c r="X403" s="4"/>
      <c r="Y403" s="4"/>
      <c r="Z403" s="4"/>
      <c r="AA403" s="4"/>
      <c r="AB403" s="4"/>
      <c r="AC403" s="4"/>
      <c r="AD403" s="4"/>
      <c r="AE403" s="4"/>
      <c r="AF403" s="4"/>
      <c r="AG403" s="91"/>
      <c r="AH403" s="4"/>
      <c r="AI403" s="4"/>
      <c r="AJ403" s="4"/>
      <c r="AK403" s="4"/>
      <c r="AL403" s="4"/>
      <c r="AM403" s="4"/>
      <c r="AN403" s="4"/>
      <c r="AO403" s="4"/>
      <c r="AP403" s="4"/>
      <c r="AQ403" s="4"/>
      <c r="AR403" s="4"/>
      <c r="AS403" s="4"/>
      <c r="AT403" s="4"/>
      <c r="AU403" s="4"/>
      <c r="AV403" s="4"/>
      <c r="AW403" s="4"/>
      <c r="AX403" s="4"/>
      <c r="AY403" s="4"/>
      <c r="AZ403" s="4"/>
      <c r="BA403" s="4"/>
      <c r="BB403" s="4"/>
      <c r="BC403" s="4"/>
      <c r="BD403" s="4"/>
      <c r="BE403" s="4"/>
      <c r="BF403" s="4"/>
      <c r="BG403" s="4"/>
      <c r="BH403" s="4"/>
      <c r="BI403" s="4"/>
      <c r="BJ403" s="4"/>
      <c r="BK403" s="4"/>
      <c r="BL403" s="4"/>
      <c r="BM403" s="4"/>
      <c r="BN403" s="4"/>
      <c r="BO403" s="4"/>
      <c r="BP403" s="4"/>
      <c r="BQ403" s="4"/>
      <c r="BR403" s="4"/>
      <c r="BS403" s="4"/>
      <c r="BT403" s="4"/>
      <c r="BU403" s="4"/>
      <c r="BV403" s="4"/>
      <c r="BW403" s="4"/>
      <c r="BX403" s="4"/>
      <c r="BY403" s="4"/>
      <c r="BZ403" s="4"/>
      <c r="CA403" s="4"/>
      <c r="CB403" s="4"/>
      <c r="CC403" s="4"/>
      <c r="CD403" s="4"/>
      <c r="CE403" s="4"/>
      <c r="CF403" s="4"/>
      <c r="CG403" s="4"/>
      <c r="CH403" s="4"/>
      <c r="CI403" s="4"/>
      <c r="CJ403" s="4"/>
      <c r="CK403" s="4"/>
      <c r="CL403" s="4"/>
      <c r="CM403" s="4"/>
      <c r="CN403" s="4"/>
      <c r="CO403" s="4"/>
      <c r="CP403" s="4"/>
      <c r="CQ403" s="4"/>
      <c r="CR403" s="4"/>
      <c r="CS403" s="4"/>
      <c r="CT403" s="4"/>
      <c r="CU403" s="4"/>
      <c r="CV403" s="4"/>
      <c r="CW403" s="4"/>
      <c r="CX403" s="4"/>
      <c r="CY403" s="4"/>
      <c r="CZ403" s="4"/>
      <c r="DA403" s="4"/>
      <c r="DB403" s="4"/>
      <c r="DC403" s="4"/>
      <c r="DD403" s="4"/>
      <c r="DE403" s="4"/>
      <c r="DF403" s="4"/>
      <c r="DG403" s="4"/>
      <c r="DH403" s="4"/>
      <c r="DI403" s="4"/>
      <c r="DJ403" s="4"/>
      <c r="DK403" s="4"/>
      <c r="DL403" s="4"/>
      <c r="DM403" s="4"/>
      <c r="DN403" s="4"/>
      <c r="DO403" s="4"/>
      <c r="DP403" s="4"/>
      <c r="DQ403" s="4"/>
      <c r="DR403" s="4"/>
      <c r="DS403" s="4"/>
      <c r="DT403" s="4"/>
      <c r="DU403" s="4"/>
      <c r="DV403" s="4"/>
      <c r="DW403" s="4"/>
      <c r="DX403" s="4"/>
      <c r="DY403" s="4"/>
      <c r="DZ403" s="91"/>
      <c r="EA403" s="4"/>
      <c r="EB403" s="4"/>
      <c r="EC403" s="4"/>
      <c r="ED403" s="4"/>
      <c r="EE403" s="4"/>
      <c r="EF403" s="4"/>
      <c r="EG403" s="4"/>
      <c r="EH403" s="4"/>
      <c r="EI403" s="4"/>
      <c r="EJ403" s="4"/>
      <c r="EK403" s="4"/>
      <c r="EL403" s="4"/>
      <c r="EM403" s="4"/>
      <c r="EN403" s="4"/>
      <c r="EO403" s="4"/>
      <c r="EP403" s="4"/>
      <c r="EQ403" s="4"/>
      <c r="ER403" s="4"/>
      <c r="ES403" s="4"/>
      <c r="ET403" s="4"/>
      <c r="EU403" s="4"/>
      <c r="EV403" s="4"/>
      <c r="EW403" s="4"/>
      <c r="EX403" s="4"/>
      <c r="EY403" s="4"/>
      <c r="EZ403" s="4"/>
      <c r="FA403" s="4"/>
      <c r="FB403" s="4"/>
      <c r="FC403" s="4"/>
      <c r="FD403" s="4"/>
      <c r="FE403" s="4"/>
      <c r="FF403" s="4"/>
      <c r="FG403" s="4"/>
      <c r="FH403" s="4"/>
      <c r="FI403" s="4"/>
      <c r="FJ403" s="4"/>
      <c r="FK403" s="4"/>
      <c r="FL403" s="4"/>
      <c r="FM403" s="4"/>
      <c r="FN403" s="4"/>
      <c r="FO403" s="4"/>
      <c r="FP403" s="4"/>
      <c r="FQ403" s="4"/>
      <c r="FR403" s="4"/>
      <c r="FS403" s="4"/>
      <c r="FT403" s="4"/>
      <c r="FU403" s="4"/>
      <c r="FV403" s="4"/>
      <c r="FW403" s="91"/>
      <c r="FX403" s="4"/>
      <c r="FY403" s="4"/>
      <c r="FZ403" s="4"/>
      <c r="GA403" s="4"/>
      <c r="GB403" s="4"/>
      <c r="GC403" s="4"/>
      <c r="GD403" s="4"/>
      <c r="GE403" s="4"/>
      <c r="GF403" s="4"/>
      <c r="GG403" s="4"/>
      <c r="GH403" s="4"/>
      <c r="GI403" s="4"/>
      <c r="GJ403" s="4"/>
      <c r="GK403" s="4"/>
      <c r="GL403" s="4"/>
      <c r="GM403" s="4"/>
      <c r="GN403" s="4"/>
      <c r="GO403" s="4"/>
      <c r="GP403" s="4"/>
      <c r="GQ403" s="4"/>
      <c r="GR403" s="4"/>
      <c r="GS403" s="4"/>
      <c r="GT403" s="4"/>
      <c r="GU403" s="4"/>
      <c r="GV403" s="4"/>
      <c r="GW403" s="4"/>
      <c r="GX403" s="4"/>
      <c r="GY403" s="4"/>
      <c r="GZ403" s="4"/>
      <c r="HA403" s="4"/>
      <c r="HB403" s="4"/>
      <c r="HC403" s="4"/>
      <c r="HD403" s="4"/>
      <c r="HE403" s="4"/>
      <c r="HF403" s="4"/>
      <c r="HG403" s="4"/>
      <c r="HH403" s="4"/>
      <c r="HI403" s="4"/>
      <c r="HJ403" s="4"/>
      <c r="HK403" s="91"/>
      <c r="HL403" s="4"/>
      <c r="HM403" s="211"/>
      <c r="HX403" s="4"/>
      <c r="HY403" s="91"/>
      <c r="HZ403" s="4"/>
      <c r="IA403" s="4"/>
      <c r="IB403" s="4"/>
      <c r="IC403" s="4"/>
      <c r="ID403" s="4"/>
      <c r="IE403" s="4"/>
      <c r="IF403" s="4"/>
      <c r="IG403" s="4"/>
      <c r="IH403" s="4"/>
      <c r="II403" s="4"/>
      <c r="IJ403" s="4"/>
      <c r="IK403" s="4"/>
      <c r="IL403" s="4"/>
      <c r="IM403" s="4"/>
      <c r="IN403" s="4"/>
      <c r="IO403" s="4"/>
      <c r="IP403" s="4"/>
      <c r="IQ403" s="4"/>
      <c r="IR403" s="4"/>
      <c r="IS403" s="4"/>
      <c r="IT403" s="91"/>
      <c r="IU403" s="4"/>
      <c r="IV403" s="4"/>
      <c r="IW403" s="4"/>
      <c r="IX403" s="4"/>
      <c r="IY403" s="4"/>
      <c r="IZ403" s="4"/>
      <c r="JA403" s="4"/>
      <c r="JB403" s="4"/>
      <c r="JC403" s="4"/>
      <c r="JD403" s="4"/>
      <c r="JE403" s="4"/>
      <c r="JF403" s="4"/>
      <c r="JG403" s="4"/>
      <c r="JH403" s="4"/>
      <c r="JI403" s="4"/>
      <c r="JJ403" s="4"/>
      <c r="JK403" s="4"/>
      <c r="JL403" s="91"/>
      <c r="JM403" s="4"/>
      <c r="JN403" s="4"/>
      <c r="JO403" s="4"/>
      <c r="JP403" s="4"/>
      <c r="JQ403" s="4"/>
      <c r="JR403" s="4"/>
    </row>
    <row r="404" spans="2:278" s="84" customFormat="1" ht="12" customHeight="1">
      <c r="B404" s="4"/>
      <c r="C404" s="4"/>
      <c r="D404" s="4"/>
      <c r="E404" s="4"/>
      <c r="F404" s="4"/>
      <c r="G404" s="4"/>
      <c r="H404" s="4"/>
      <c r="I404" s="4"/>
      <c r="J404" s="4"/>
      <c r="K404" s="4"/>
      <c r="L404" s="4"/>
      <c r="M404" s="4"/>
      <c r="N404" s="4"/>
      <c r="O404" s="4"/>
      <c r="P404" s="4"/>
      <c r="Q404" s="4"/>
      <c r="R404" s="4"/>
      <c r="S404" s="4"/>
      <c r="T404" s="4"/>
      <c r="U404" s="4"/>
      <c r="V404" s="4"/>
      <c r="W404" s="91"/>
      <c r="X404" s="4"/>
      <c r="Y404" s="4"/>
      <c r="Z404" s="4"/>
      <c r="AA404" s="4"/>
      <c r="AB404" s="4"/>
      <c r="AC404" s="4"/>
      <c r="AD404" s="4"/>
      <c r="AE404" s="4"/>
      <c r="AF404" s="4"/>
      <c r="AG404" s="91"/>
      <c r="AH404" s="4"/>
      <c r="AI404" s="4"/>
      <c r="AJ404" s="4"/>
      <c r="AK404" s="4"/>
      <c r="AL404" s="4"/>
      <c r="AM404" s="4"/>
      <c r="AN404" s="4"/>
      <c r="AO404" s="4"/>
      <c r="AP404" s="4"/>
      <c r="AQ404" s="4"/>
      <c r="AR404" s="4"/>
      <c r="AS404" s="4"/>
      <c r="AT404" s="4"/>
      <c r="AU404" s="4"/>
      <c r="AV404" s="4"/>
      <c r="AW404" s="4"/>
      <c r="AX404" s="4"/>
      <c r="AY404" s="4"/>
      <c r="AZ404" s="4"/>
      <c r="BA404" s="4"/>
      <c r="BB404" s="4"/>
      <c r="BC404" s="4"/>
      <c r="BD404" s="4"/>
      <c r="BE404" s="4"/>
      <c r="BF404" s="4"/>
      <c r="BG404" s="4"/>
      <c r="BH404" s="4"/>
      <c r="BI404" s="4"/>
      <c r="BJ404" s="4"/>
      <c r="BK404" s="4"/>
      <c r="BL404" s="4"/>
      <c r="BM404" s="4"/>
      <c r="BN404" s="4"/>
      <c r="BO404" s="4"/>
      <c r="BP404" s="4"/>
      <c r="BQ404" s="4"/>
      <c r="BR404" s="4"/>
      <c r="BS404" s="4"/>
      <c r="BT404" s="4"/>
      <c r="BU404" s="4"/>
      <c r="BV404" s="4"/>
      <c r="BW404" s="4"/>
      <c r="BX404" s="4"/>
      <c r="BY404" s="4"/>
      <c r="BZ404" s="4"/>
      <c r="CA404" s="4"/>
      <c r="CB404" s="4"/>
      <c r="CC404" s="4"/>
      <c r="CD404" s="4"/>
      <c r="CE404" s="4"/>
      <c r="CF404" s="4"/>
      <c r="CG404" s="4"/>
      <c r="CH404" s="4"/>
      <c r="CI404" s="4"/>
      <c r="CJ404" s="4"/>
      <c r="CK404" s="4"/>
      <c r="CL404" s="4"/>
      <c r="CM404" s="4"/>
      <c r="CN404" s="4"/>
      <c r="CO404" s="4"/>
      <c r="CP404" s="4"/>
      <c r="CQ404" s="4"/>
      <c r="CR404" s="4"/>
      <c r="CS404" s="4"/>
      <c r="CT404" s="4"/>
      <c r="CU404" s="4"/>
      <c r="CV404" s="4"/>
      <c r="CW404" s="4"/>
      <c r="CX404" s="4"/>
      <c r="CY404" s="4"/>
      <c r="CZ404" s="4"/>
      <c r="DA404" s="4"/>
      <c r="DB404" s="4"/>
      <c r="DC404" s="4"/>
      <c r="DD404" s="4"/>
      <c r="DE404" s="4"/>
      <c r="DF404" s="4"/>
      <c r="DG404" s="4"/>
      <c r="DH404" s="4"/>
      <c r="DI404" s="4"/>
      <c r="DJ404" s="4"/>
      <c r="DK404" s="4"/>
      <c r="DL404" s="4"/>
      <c r="DM404" s="4"/>
      <c r="DN404" s="4"/>
      <c r="DO404" s="4"/>
      <c r="DP404" s="4"/>
      <c r="DQ404" s="4"/>
      <c r="DR404" s="4"/>
      <c r="DS404" s="4"/>
      <c r="DT404" s="4"/>
      <c r="DU404" s="4"/>
      <c r="DV404" s="4"/>
      <c r="DW404" s="4"/>
      <c r="DX404" s="4"/>
      <c r="DY404" s="4"/>
      <c r="DZ404" s="91"/>
      <c r="EA404" s="4"/>
      <c r="EB404" s="4"/>
      <c r="EC404" s="4"/>
      <c r="ED404" s="4"/>
      <c r="EE404" s="4"/>
      <c r="EF404" s="4"/>
      <c r="EG404" s="4"/>
      <c r="EH404" s="4"/>
      <c r="EI404" s="4"/>
      <c r="EJ404" s="4"/>
      <c r="EK404" s="4"/>
      <c r="EL404" s="4"/>
      <c r="EM404" s="4"/>
      <c r="EN404" s="4"/>
      <c r="EO404" s="4"/>
      <c r="EP404" s="4"/>
      <c r="EQ404" s="4"/>
      <c r="ER404" s="4"/>
      <c r="ES404" s="4"/>
      <c r="ET404" s="4"/>
      <c r="EU404" s="4"/>
      <c r="EV404" s="4"/>
      <c r="EW404" s="4"/>
      <c r="EX404" s="4"/>
      <c r="EY404" s="4"/>
      <c r="EZ404" s="4"/>
      <c r="FA404" s="4"/>
      <c r="FB404" s="4"/>
      <c r="FC404" s="4"/>
      <c r="FD404" s="4"/>
      <c r="FE404" s="4"/>
      <c r="FF404" s="4"/>
      <c r="FG404" s="4"/>
      <c r="FH404" s="4"/>
      <c r="FI404" s="4"/>
      <c r="FJ404" s="4"/>
      <c r="FK404" s="4"/>
      <c r="FL404" s="4"/>
      <c r="FM404" s="4"/>
      <c r="FN404" s="4"/>
      <c r="FO404" s="4"/>
      <c r="FP404" s="4"/>
      <c r="FQ404" s="4"/>
      <c r="FR404" s="4"/>
      <c r="FS404" s="4"/>
      <c r="FT404" s="4"/>
      <c r="FU404" s="4"/>
      <c r="FV404" s="4"/>
      <c r="FW404" s="91"/>
      <c r="FX404" s="4"/>
      <c r="FY404" s="4"/>
      <c r="FZ404" s="4"/>
      <c r="GA404" s="4"/>
      <c r="GB404" s="4"/>
      <c r="GC404" s="4"/>
      <c r="GD404" s="4"/>
      <c r="GE404" s="4"/>
      <c r="GF404" s="4"/>
      <c r="GG404" s="4"/>
      <c r="GH404" s="4"/>
      <c r="GI404" s="4"/>
      <c r="GJ404" s="4"/>
      <c r="GK404" s="4"/>
      <c r="GL404" s="4"/>
      <c r="GM404" s="4"/>
      <c r="GN404" s="4"/>
      <c r="GO404" s="4"/>
      <c r="GP404" s="4"/>
      <c r="GQ404" s="4"/>
      <c r="GR404" s="4"/>
      <c r="GS404" s="4"/>
      <c r="GT404" s="4"/>
      <c r="GU404" s="4"/>
      <c r="GV404" s="4"/>
      <c r="GW404" s="4"/>
      <c r="GX404" s="4"/>
      <c r="GY404" s="4"/>
      <c r="GZ404" s="4"/>
      <c r="HA404" s="4"/>
      <c r="HB404" s="4"/>
      <c r="HC404" s="4"/>
      <c r="HD404" s="4"/>
      <c r="HE404" s="4"/>
      <c r="HF404" s="4"/>
      <c r="HG404" s="4"/>
      <c r="HH404" s="4"/>
      <c r="HI404" s="4"/>
      <c r="HJ404" s="4"/>
      <c r="HK404" s="91"/>
      <c r="HL404" s="4"/>
      <c r="HM404" s="4"/>
      <c r="HN404" s="4"/>
      <c r="HO404" s="4"/>
      <c r="HP404" s="4"/>
      <c r="HQ404" s="4"/>
      <c r="HR404" s="4"/>
      <c r="HS404" s="4"/>
      <c r="HT404" s="4"/>
      <c r="HU404" s="4"/>
      <c r="HV404" s="4"/>
      <c r="HW404" s="4"/>
      <c r="HX404" s="4"/>
      <c r="HY404" s="91"/>
      <c r="HZ404" s="4"/>
      <c r="IA404" s="4"/>
      <c r="IB404" s="4"/>
      <c r="IC404" s="4"/>
      <c r="ID404" s="4"/>
      <c r="IE404" s="4"/>
      <c r="IF404" s="4"/>
      <c r="IG404" s="4"/>
      <c r="IH404" s="4"/>
      <c r="II404" s="4"/>
      <c r="IJ404" s="4"/>
      <c r="IK404" s="4"/>
      <c r="IL404" s="4"/>
      <c r="IM404" s="4"/>
      <c r="IN404" s="4"/>
      <c r="IO404" s="4"/>
      <c r="IP404" s="4"/>
      <c r="IQ404" s="4"/>
      <c r="IR404" s="4"/>
      <c r="IS404" s="4"/>
      <c r="IT404" s="91"/>
      <c r="IU404" s="4"/>
      <c r="IV404" s="4"/>
      <c r="IW404" s="4"/>
      <c r="IX404" s="4"/>
      <c r="IY404" s="4"/>
      <c r="IZ404" s="4"/>
      <c r="JA404" s="4"/>
      <c r="JB404" s="4"/>
      <c r="JC404" s="4"/>
      <c r="JD404" s="4"/>
      <c r="JE404" s="4"/>
      <c r="JF404" s="4"/>
      <c r="JG404" s="4"/>
      <c r="JH404" s="4"/>
      <c r="JI404" s="4"/>
      <c r="JJ404" s="4"/>
      <c r="JK404" s="4"/>
      <c r="JL404" s="91"/>
      <c r="JM404" s="4"/>
      <c r="JN404" s="4"/>
      <c r="JO404" s="4"/>
      <c r="JP404" s="4"/>
      <c r="JQ404" s="4"/>
      <c r="JR404" s="4"/>
    </row>
    <row r="405" spans="2:278" s="84" customFormat="1" ht="12" customHeight="1">
      <c r="B405" s="4"/>
      <c r="C405" s="4"/>
      <c r="D405" s="4"/>
      <c r="E405" s="4"/>
      <c r="F405" s="4"/>
      <c r="G405" s="4"/>
      <c r="H405" s="4"/>
      <c r="I405" s="4"/>
      <c r="J405" s="4"/>
      <c r="K405" s="4"/>
      <c r="L405" s="4"/>
      <c r="M405" s="4"/>
      <c r="N405" s="4"/>
      <c r="O405" s="4"/>
      <c r="P405" s="4"/>
      <c r="Q405" s="4"/>
      <c r="R405" s="4"/>
      <c r="S405" s="4"/>
      <c r="T405" s="4"/>
      <c r="U405" s="4"/>
      <c r="V405" s="4"/>
      <c r="W405" s="91"/>
      <c r="X405" s="4"/>
      <c r="Y405" s="4"/>
      <c r="Z405" s="4"/>
      <c r="AA405" s="4"/>
      <c r="AB405" s="4"/>
      <c r="AC405" s="4"/>
      <c r="AD405" s="4"/>
      <c r="AE405" s="4"/>
      <c r="AF405" s="4"/>
      <c r="AG405" s="91"/>
      <c r="AH405" s="4"/>
      <c r="AI405" s="4"/>
      <c r="AJ405" s="4"/>
      <c r="AK405" s="4"/>
      <c r="AL405" s="4"/>
      <c r="AM405" s="4"/>
      <c r="AN405" s="4"/>
      <c r="AO405" s="4"/>
      <c r="AP405" s="4"/>
      <c r="AQ405" s="4"/>
      <c r="AR405" s="4"/>
      <c r="AS405" s="4"/>
      <c r="AT405" s="4"/>
      <c r="AU405" s="4"/>
      <c r="AV405" s="4"/>
      <c r="AW405" s="4"/>
      <c r="AX405" s="4"/>
      <c r="AY405" s="4"/>
      <c r="AZ405" s="4"/>
      <c r="BA405" s="4"/>
      <c r="BB405" s="4"/>
      <c r="BC405" s="4"/>
      <c r="BD405" s="4"/>
      <c r="BE405" s="4"/>
      <c r="BF405" s="4"/>
      <c r="BG405" s="4"/>
      <c r="BH405" s="4"/>
      <c r="BI405" s="4"/>
      <c r="BJ405" s="4"/>
      <c r="BK405" s="4"/>
      <c r="BL405" s="4"/>
      <c r="BM405" s="4"/>
      <c r="BN405" s="4"/>
      <c r="BO405" s="4"/>
      <c r="BP405" s="4"/>
      <c r="BQ405" s="4"/>
      <c r="BR405" s="4"/>
      <c r="BS405" s="4"/>
      <c r="BT405" s="4"/>
      <c r="BU405" s="4"/>
      <c r="BV405" s="4"/>
      <c r="BW405" s="4"/>
      <c r="BX405" s="4"/>
      <c r="BY405" s="4"/>
      <c r="BZ405" s="4"/>
      <c r="CA405" s="4"/>
      <c r="CB405" s="4"/>
      <c r="CC405" s="4"/>
      <c r="CD405" s="4"/>
      <c r="CE405" s="4"/>
      <c r="CF405" s="4"/>
      <c r="CG405" s="4"/>
      <c r="CH405" s="4"/>
      <c r="CI405" s="4"/>
      <c r="CJ405" s="4"/>
      <c r="CK405" s="4"/>
      <c r="CL405" s="4"/>
      <c r="CM405" s="4"/>
      <c r="CN405" s="4"/>
      <c r="CO405" s="4"/>
      <c r="CP405" s="4"/>
      <c r="CQ405" s="4"/>
      <c r="CR405" s="4"/>
      <c r="CS405" s="4"/>
      <c r="CT405" s="4"/>
      <c r="CU405" s="4"/>
      <c r="CV405" s="4"/>
      <c r="CW405" s="4"/>
      <c r="CX405" s="4"/>
      <c r="CY405" s="4"/>
      <c r="CZ405" s="4"/>
      <c r="DA405" s="4"/>
      <c r="DB405" s="4"/>
      <c r="DC405" s="4"/>
      <c r="DD405" s="4"/>
      <c r="DE405" s="4"/>
      <c r="DF405" s="4"/>
      <c r="DG405" s="4"/>
      <c r="DH405" s="4"/>
      <c r="DI405" s="4"/>
      <c r="DJ405" s="4"/>
      <c r="DK405" s="4"/>
      <c r="DL405" s="4"/>
      <c r="DM405" s="4"/>
      <c r="DN405" s="4"/>
      <c r="DO405" s="4"/>
      <c r="DP405" s="4"/>
      <c r="DQ405" s="4"/>
      <c r="DR405" s="4"/>
      <c r="DS405" s="4"/>
      <c r="DT405" s="4"/>
      <c r="DU405" s="4"/>
      <c r="DV405" s="4"/>
      <c r="DW405" s="4"/>
      <c r="DX405" s="4"/>
      <c r="DY405" s="4"/>
      <c r="DZ405" s="91"/>
      <c r="EA405" s="4"/>
      <c r="EB405" s="4"/>
      <c r="EC405" s="4"/>
      <c r="ED405" s="4"/>
      <c r="EE405" s="4"/>
      <c r="EF405" s="4"/>
      <c r="EG405" s="4"/>
      <c r="EH405" s="4"/>
      <c r="EI405" s="4"/>
      <c r="EJ405" s="4"/>
      <c r="EK405" s="4"/>
      <c r="EL405" s="4"/>
      <c r="EM405" s="4"/>
      <c r="EN405" s="4"/>
      <c r="EO405" s="4"/>
      <c r="EP405" s="4"/>
      <c r="EQ405" s="4"/>
      <c r="ER405" s="4"/>
      <c r="ES405" s="4"/>
      <c r="ET405" s="4"/>
      <c r="EU405" s="4"/>
      <c r="EV405" s="4"/>
      <c r="EW405" s="4"/>
      <c r="EX405" s="4"/>
      <c r="EY405" s="4"/>
      <c r="EZ405" s="4"/>
      <c r="FA405" s="4"/>
      <c r="FB405" s="4"/>
      <c r="FC405" s="4"/>
      <c r="FD405" s="4"/>
      <c r="FE405" s="4"/>
      <c r="FF405" s="4"/>
      <c r="FG405" s="4"/>
      <c r="FH405" s="4"/>
      <c r="FI405" s="4"/>
      <c r="FJ405" s="4"/>
      <c r="FK405" s="4"/>
      <c r="FL405" s="4"/>
      <c r="FM405" s="4"/>
      <c r="FN405" s="4"/>
      <c r="FO405" s="4"/>
      <c r="FP405" s="4"/>
      <c r="FQ405" s="4"/>
      <c r="FR405" s="4"/>
      <c r="FS405" s="4"/>
      <c r="FT405" s="4"/>
      <c r="FU405" s="4"/>
      <c r="FV405" s="4"/>
      <c r="FW405" s="91"/>
      <c r="FX405" s="4"/>
      <c r="FY405" s="4"/>
      <c r="FZ405" s="4"/>
      <c r="GA405" s="4"/>
      <c r="GB405" s="4"/>
      <c r="GC405" s="4"/>
      <c r="GD405" s="4"/>
      <c r="GE405" s="4"/>
      <c r="GF405" s="4"/>
      <c r="GG405" s="4"/>
      <c r="GH405" s="4"/>
      <c r="GI405" s="4"/>
      <c r="GJ405" s="4"/>
      <c r="GK405" s="4"/>
      <c r="GL405" s="4"/>
      <c r="GM405" s="4"/>
      <c r="GN405" s="4"/>
      <c r="GO405" s="4"/>
      <c r="GP405" s="4"/>
      <c r="GQ405" s="4"/>
      <c r="GR405" s="4"/>
      <c r="GS405" s="4"/>
      <c r="GT405" s="4"/>
      <c r="GU405" s="4"/>
      <c r="GV405" s="4"/>
      <c r="GW405" s="4"/>
      <c r="GX405" s="4"/>
      <c r="GY405" s="4"/>
      <c r="GZ405" s="4"/>
      <c r="HA405" s="4"/>
      <c r="HB405" s="4"/>
      <c r="HC405" s="4"/>
      <c r="HD405" s="4"/>
      <c r="HE405" s="4"/>
      <c r="HF405" s="4"/>
      <c r="HG405" s="4"/>
      <c r="HH405" s="4"/>
      <c r="HI405" s="4"/>
      <c r="HJ405" s="4"/>
      <c r="HK405" s="91"/>
      <c r="HL405" s="4"/>
      <c r="HM405" s="4"/>
      <c r="HN405" s="4"/>
      <c r="HO405" s="4"/>
      <c r="HP405" s="4"/>
      <c r="HQ405" s="4"/>
      <c r="HR405" s="4"/>
      <c r="HS405" s="4"/>
      <c r="HT405" s="4"/>
      <c r="HU405" s="4"/>
      <c r="HV405" s="4"/>
      <c r="HW405" s="4"/>
      <c r="HX405" s="4"/>
      <c r="HY405" s="91"/>
      <c r="HZ405" s="4"/>
      <c r="IA405" s="4"/>
      <c r="IB405" s="4"/>
      <c r="IC405" s="4"/>
      <c r="ID405" s="4"/>
      <c r="IE405" s="4"/>
      <c r="IF405" s="4"/>
      <c r="IG405" s="4"/>
      <c r="IH405" s="4"/>
      <c r="II405" s="4"/>
      <c r="IJ405" s="4"/>
      <c r="IK405" s="4"/>
      <c r="IL405" s="4"/>
      <c r="IM405" s="4"/>
      <c r="IN405" s="4"/>
      <c r="IO405" s="4"/>
      <c r="IP405" s="4"/>
      <c r="IQ405" s="4"/>
      <c r="IR405" s="4"/>
      <c r="IS405" s="4"/>
      <c r="IT405" s="91"/>
      <c r="IU405" s="4"/>
      <c r="IV405" s="4"/>
      <c r="IW405" s="4"/>
      <c r="IX405" s="4"/>
      <c r="IY405" s="4"/>
      <c r="IZ405" s="4"/>
      <c r="JA405" s="4"/>
      <c r="JB405" s="4"/>
      <c r="JC405" s="4"/>
      <c r="JD405" s="4"/>
      <c r="JE405" s="4"/>
      <c r="JF405" s="4"/>
      <c r="JG405" s="4"/>
      <c r="JH405" s="4"/>
      <c r="JI405" s="4"/>
      <c r="JJ405" s="4"/>
      <c r="JK405" s="4"/>
      <c r="JL405" s="91"/>
      <c r="JM405" s="4"/>
      <c r="JN405" s="4"/>
      <c r="JO405" s="4"/>
      <c r="JP405" s="4"/>
      <c r="JQ405" s="4"/>
      <c r="JR405" s="4"/>
    </row>
    <row r="406" spans="2:278" s="84" customFormat="1" ht="12" customHeight="1">
      <c r="B406" s="4"/>
      <c r="C406" s="4"/>
      <c r="D406" s="4"/>
      <c r="E406" s="4"/>
      <c r="F406" s="4"/>
      <c r="G406" s="4"/>
      <c r="H406" s="4"/>
      <c r="I406" s="4"/>
      <c r="J406" s="4"/>
      <c r="K406" s="4"/>
      <c r="L406" s="4"/>
      <c r="M406" s="4"/>
      <c r="N406" s="4"/>
      <c r="O406" s="4"/>
      <c r="P406" s="4"/>
      <c r="Q406" s="4"/>
      <c r="R406" s="4"/>
      <c r="S406" s="4"/>
      <c r="T406" s="4"/>
      <c r="U406" s="4"/>
      <c r="V406" s="4"/>
      <c r="W406" s="91"/>
      <c r="X406" s="4"/>
      <c r="Y406" s="4"/>
      <c r="Z406" s="4"/>
      <c r="AA406" s="4"/>
      <c r="AB406" s="4"/>
      <c r="AC406" s="4"/>
      <c r="AD406" s="4"/>
      <c r="AE406" s="4"/>
      <c r="AF406" s="4"/>
      <c r="AG406" s="91"/>
      <c r="AH406" s="4"/>
      <c r="AI406" s="4"/>
      <c r="AJ406" s="4"/>
      <c r="AK406" s="4"/>
      <c r="AL406" s="4"/>
      <c r="AM406" s="4"/>
      <c r="AN406" s="4"/>
      <c r="AO406" s="4"/>
      <c r="AP406" s="4"/>
      <c r="AQ406" s="4"/>
      <c r="AR406" s="4"/>
      <c r="AS406" s="4"/>
      <c r="AT406" s="4"/>
      <c r="AU406" s="4"/>
      <c r="AV406" s="4"/>
      <c r="AW406" s="4"/>
      <c r="AX406" s="4"/>
      <c r="AY406" s="4"/>
      <c r="AZ406" s="4"/>
      <c r="BA406" s="4"/>
      <c r="BB406" s="4"/>
      <c r="BC406" s="4"/>
      <c r="BD406" s="4"/>
      <c r="BE406" s="4"/>
      <c r="BF406" s="4"/>
      <c r="BG406" s="4"/>
      <c r="BH406" s="4"/>
      <c r="BI406" s="4"/>
      <c r="BJ406" s="4"/>
      <c r="BK406" s="4"/>
      <c r="BL406" s="4"/>
      <c r="BM406" s="4"/>
      <c r="BN406" s="4"/>
      <c r="BO406" s="4"/>
      <c r="BP406" s="4"/>
      <c r="BQ406" s="4"/>
      <c r="BR406" s="4"/>
      <c r="BS406" s="4"/>
      <c r="BT406" s="4"/>
      <c r="BU406" s="4"/>
      <c r="BV406" s="4"/>
      <c r="BW406" s="4"/>
      <c r="BX406" s="4"/>
      <c r="BY406" s="4"/>
      <c r="BZ406" s="4"/>
      <c r="CA406" s="4"/>
      <c r="CB406" s="4"/>
      <c r="CC406" s="4"/>
      <c r="CD406" s="4"/>
      <c r="CE406" s="4"/>
      <c r="CF406" s="4"/>
      <c r="CG406" s="4"/>
      <c r="CH406" s="4"/>
      <c r="CI406" s="4"/>
      <c r="CJ406" s="4"/>
      <c r="CK406" s="4"/>
      <c r="CL406" s="4"/>
      <c r="CM406" s="4"/>
      <c r="CN406" s="4"/>
      <c r="CO406" s="4"/>
      <c r="CP406" s="4"/>
      <c r="CQ406" s="4"/>
      <c r="CR406" s="4"/>
      <c r="CS406" s="4"/>
      <c r="CT406" s="4"/>
      <c r="CU406" s="4"/>
      <c r="CV406" s="4"/>
      <c r="CW406" s="4"/>
      <c r="CX406" s="4"/>
      <c r="CY406" s="4"/>
      <c r="CZ406" s="4"/>
      <c r="DA406" s="4"/>
      <c r="DB406" s="4"/>
      <c r="DC406" s="4"/>
      <c r="DD406" s="4"/>
      <c r="DE406" s="4"/>
      <c r="DF406" s="4"/>
      <c r="DG406" s="4"/>
      <c r="DH406" s="4"/>
      <c r="DI406" s="4"/>
      <c r="DJ406" s="4"/>
      <c r="DK406" s="4"/>
      <c r="DL406" s="4"/>
      <c r="DM406" s="4"/>
      <c r="DN406" s="4"/>
      <c r="DO406" s="4"/>
      <c r="DP406" s="4"/>
      <c r="DQ406" s="4"/>
      <c r="DR406" s="4"/>
      <c r="DS406" s="4"/>
      <c r="DT406" s="4"/>
      <c r="DU406" s="4"/>
      <c r="DV406" s="4"/>
      <c r="DW406" s="4"/>
      <c r="DX406" s="4"/>
      <c r="DY406" s="4"/>
      <c r="DZ406" s="91"/>
      <c r="EA406" s="4"/>
      <c r="EB406" s="4"/>
      <c r="EC406" s="4"/>
      <c r="ED406" s="4"/>
      <c r="EE406" s="4"/>
      <c r="EF406" s="4"/>
      <c r="EG406" s="4"/>
      <c r="EH406" s="4"/>
      <c r="EI406" s="4"/>
      <c r="EJ406" s="4"/>
      <c r="EK406" s="4"/>
      <c r="EL406" s="4"/>
      <c r="EM406" s="4"/>
      <c r="EN406" s="4"/>
      <c r="EO406" s="4"/>
      <c r="EP406" s="4"/>
      <c r="EQ406" s="4"/>
      <c r="ER406" s="4"/>
      <c r="ES406" s="4"/>
      <c r="ET406" s="4"/>
      <c r="EU406" s="4"/>
      <c r="EV406" s="4"/>
      <c r="EW406" s="4"/>
      <c r="EX406" s="4"/>
      <c r="EY406" s="4"/>
      <c r="EZ406" s="4"/>
      <c r="FA406" s="4"/>
      <c r="FB406" s="4"/>
      <c r="FC406" s="4"/>
      <c r="FD406" s="4"/>
      <c r="FE406" s="4"/>
      <c r="FF406" s="4"/>
      <c r="FG406" s="4"/>
      <c r="FH406" s="4"/>
      <c r="FI406" s="4"/>
      <c r="FJ406" s="4"/>
      <c r="FK406" s="4"/>
      <c r="FL406" s="4"/>
      <c r="FM406" s="4"/>
      <c r="FN406" s="4"/>
      <c r="FO406" s="4"/>
      <c r="FP406" s="4"/>
      <c r="FQ406" s="4"/>
      <c r="FR406" s="4"/>
      <c r="FS406" s="4"/>
      <c r="FT406" s="4"/>
      <c r="FU406" s="4"/>
      <c r="FV406" s="4"/>
      <c r="FW406" s="91"/>
      <c r="FX406" s="4"/>
      <c r="FY406" s="4"/>
      <c r="FZ406" s="4"/>
      <c r="GA406" s="4"/>
      <c r="GB406" s="4"/>
      <c r="GC406" s="4"/>
      <c r="GD406" s="4"/>
      <c r="GE406" s="4"/>
      <c r="GF406" s="4"/>
      <c r="GG406" s="4"/>
      <c r="GH406" s="4"/>
      <c r="GI406" s="4"/>
      <c r="GJ406" s="4"/>
      <c r="GK406" s="4"/>
      <c r="GL406" s="4"/>
      <c r="GM406" s="4"/>
      <c r="GN406" s="4"/>
      <c r="GO406" s="4"/>
      <c r="GP406" s="4"/>
      <c r="GQ406" s="4"/>
      <c r="GR406" s="4"/>
      <c r="GS406" s="4"/>
      <c r="GT406" s="4"/>
      <c r="GU406" s="4"/>
      <c r="GV406" s="4"/>
      <c r="GW406" s="4"/>
      <c r="GX406" s="4"/>
      <c r="GY406" s="4"/>
      <c r="GZ406" s="4"/>
      <c r="HA406" s="4"/>
      <c r="HB406" s="4"/>
      <c r="HC406" s="4"/>
      <c r="HD406" s="4"/>
      <c r="HE406" s="4"/>
      <c r="HF406" s="4"/>
      <c r="HG406" s="4"/>
      <c r="HH406" s="4"/>
      <c r="HI406" s="4"/>
      <c r="HJ406" s="4"/>
      <c r="HK406" s="91"/>
      <c r="HL406" s="4"/>
      <c r="HX406" s="4"/>
      <c r="HY406" s="91"/>
      <c r="HZ406" s="4"/>
      <c r="IA406" s="4"/>
      <c r="IB406" s="4"/>
      <c r="IC406" s="4"/>
      <c r="ID406" s="4"/>
      <c r="IE406" s="4"/>
      <c r="IF406" s="4"/>
      <c r="IG406" s="4"/>
      <c r="IH406" s="4"/>
      <c r="II406" s="4"/>
      <c r="IJ406" s="4"/>
      <c r="IK406" s="4"/>
      <c r="IL406" s="4"/>
      <c r="IM406" s="4"/>
      <c r="IN406" s="4"/>
      <c r="IO406" s="4"/>
      <c r="IP406" s="4"/>
      <c r="IQ406" s="4"/>
      <c r="IR406" s="4"/>
      <c r="IS406" s="4"/>
      <c r="IT406" s="91"/>
      <c r="IU406" s="4"/>
      <c r="IV406" s="4"/>
      <c r="IW406" s="4"/>
      <c r="IX406" s="4"/>
      <c r="IY406" s="4"/>
      <c r="IZ406" s="4"/>
      <c r="JA406" s="4"/>
      <c r="JB406" s="4"/>
      <c r="JC406" s="4"/>
      <c r="JD406" s="4"/>
      <c r="JE406" s="4"/>
      <c r="JF406" s="4"/>
      <c r="JG406" s="4"/>
      <c r="JH406" s="4"/>
      <c r="JI406" s="4"/>
      <c r="JJ406" s="4"/>
      <c r="JK406" s="4"/>
      <c r="JL406" s="91"/>
      <c r="JM406" s="4"/>
      <c r="JN406" s="4"/>
      <c r="JO406" s="4"/>
      <c r="JP406" s="4"/>
      <c r="JQ406" s="4"/>
      <c r="JR406" s="4"/>
    </row>
    <row r="407" spans="2:278" s="91" customFormat="1" ht="12" customHeight="1">
      <c r="X407" s="92"/>
      <c r="AH407" s="92"/>
      <c r="EA407" s="92"/>
      <c r="FX407" s="92"/>
      <c r="HL407" s="92"/>
      <c r="HZ407" s="92"/>
      <c r="IU407" s="92"/>
      <c r="JM407" s="92"/>
    </row>
    <row r="408" spans="2:278" s="170" customFormat="1" ht="12" customHeight="1">
      <c r="W408" s="174"/>
      <c r="X408" s="175"/>
      <c r="AG408" s="174"/>
      <c r="AH408" s="175"/>
      <c r="AI408" s="172"/>
      <c r="DZ408" s="174"/>
      <c r="EA408" s="175"/>
      <c r="FW408" s="174"/>
      <c r="FX408" s="175"/>
      <c r="HK408" s="174"/>
      <c r="HL408" s="175"/>
      <c r="HM408" s="4"/>
      <c r="HN408" s="4"/>
      <c r="HO408" s="4"/>
      <c r="HP408" s="4"/>
      <c r="HQ408" s="4"/>
      <c r="HR408" s="4"/>
      <c r="HS408" s="4"/>
      <c r="HT408" s="4"/>
      <c r="HU408" s="4"/>
      <c r="HV408" s="4"/>
      <c r="HW408" s="4"/>
      <c r="HY408" s="174"/>
      <c r="HZ408" s="175"/>
      <c r="IA408" s="4" t="s">
        <v>429</v>
      </c>
      <c r="IB408" s="4"/>
      <c r="IC408" s="4"/>
      <c r="IT408" s="174"/>
      <c r="IU408" s="175"/>
      <c r="JL408" s="174"/>
      <c r="JM408" s="175"/>
    </row>
    <row r="409" spans="2:278" s="171" customFormat="1" ht="30" customHeight="1">
      <c r="W409" s="176"/>
      <c r="X409" s="177"/>
      <c r="AG409" s="176"/>
      <c r="AH409" s="177"/>
      <c r="AI409" s="173"/>
      <c r="DZ409" s="176"/>
      <c r="EA409" s="177"/>
      <c r="FW409" s="176"/>
      <c r="FX409" s="177"/>
      <c r="HK409" s="176"/>
      <c r="HL409" s="177"/>
      <c r="HM409" s="4"/>
      <c r="HN409" s="4"/>
      <c r="HO409" s="4"/>
      <c r="HP409" s="4"/>
      <c r="HQ409" s="4"/>
      <c r="HR409" s="4"/>
      <c r="HS409" s="4"/>
      <c r="HT409" s="4"/>
      <c r="HU409" s="4"/>
      <c r="HV409" s="4"/>
      <c r="HW409" s="4"/>
      <c r="HY409" s="176"/>
      <c r="HZ409" s="177"/>
      <c r="IA409" s="4" t="s">
        <v>430</v>
      </c>
      <c r="IB409" s="4"/>
      <c r="IC409" s="4"/>
      <c r="IT409" s="176"/>
      <c r="IU409" s="177"/>
      <c r="JL409" s="176"/>
      <c r="JM409" s="177"/>
    </row>
    <row r="410" spans="2:278" ht="30" customHeight="1">
      <c r="X410" s="4"/>
      <c r="AH410" s="4"/>
      <c r="EA410" s="4"/>
      <c r="FX410" s="4"/>
      <c r="HL410" s="4"/>
      <c r="HZ410" s="4"/>
      <c r="IA410" s="201" t="s">
        <v>454</v>
      </c>
      <c r="IB410" s="246">
        <f t="array" ref="IB410">SUM(IF(ID414:ID479&lt;&gt;"",1/COUNTIF(ID414:ID479,ID414:ID479)))</f>
        <v>12.999999999999998</v>
      </c>
      <c r="IO410" s="145"/>
      <c r="IP410" s="145"/>
      <c r="IQ410" s="145"/>
      <c r="IR410" s="145"/>
      <c r="IU410" s="4"/>
      <c r="JM410" s="4"/>
    </row>
    <row r="411" spans="2:278" ht="30" customHeight="1">
      <c r="X411" s="4"/>
      <c r="AH411" s="4"/>
      <c r="EA411" s="4"/>
      <c r="FX411" s="4"/>
      <c r="HL411" s="4"/>
      <c r="HZ411" s="4"/>
      <c r="ID411" s="145"/>
      <c r="IE411" s="145"/>
      <c r="IF411" s="145"/>
      <c r="II411" s="84"/>
      <c r="IJ411" s="84"/>
      <c r="IK411" s="84"/>
      <c r="IL411" s="84"/>
      <c r="IM411" s="84"/>
      <c r="IO411" s="84"/>
      <c r="IP411" s="84"/>
      <c r="IQ411" s="84"/>
      <c r="IR411" s="84"/>
      <c r="IU411" s="4"/>
      <c r="JM411" s="4"/>
    </row>
    <row r="412" spans="2:278" ht="12" customHeight="1">
      <c r="X412" s="4"/>
      <c r="AH412" s="4"/>
      <c r="EA412" s="4"/>
      <c r="FX412" s="4"/>
      <c r="HL412" s="4"/>
      <c r="HZ412" s="4"/>
      <c r="IA412" s="160" t="s">
        <v>162</v>
      </c>
      <c r="IB412" s="242" t="s">
        <v>660</v>
      </c>
      <c r="ID412" s="241" t="s">
        <v>162</v>
      </c>
      <c r="IE412" s="243" t="s">
        <v>198</v>
      </c>
      <c r="IF412" s="243" t="s">
        <v>199</v>
      </c>
      <c r="IG412" s="155" t="s">
        <v>453</v>
      </c>
      <c r="IH412" s="243" t="s">
        <v>200</v>
      </c>
      <c r="II412" s="243" t="s">
        <v>201</v>
      </c>
      <c r="IJ412" s="244" t="s">
        <v>202</v>
      </c>
      <c r="IK412" s="244" t="s">
        <v>203</v>
      </c>
      <c r="IL412" s="244" t="s">
        <v>204</v>
      </c>
      <c r="IM412" s="244" t="s">
        <v>151</v>
      </c>
      <c r="IN412" s="244" t="s">
        <v>163</v>
      </c>
      <c r="IO412" s="243" t="s">
        <v>205</v>
      </c>
      <c r="IP412" s="243" t="s">
        <v>206</v>
      </c>
      <c r="IQ412" s="155" t="s">
        <v>207</v>
      </c>
      <c r="IR412" s="245" t="s">
        <v>208</v>
      </c>
      <c r="IU412" s="4"/>
      <c r="JM412" s="4"/>
    </row>
    <row r="413" spans="2:278" ht="12" customHeight="1">
      <c r="X413" s="4"/>
      <c r="AH413" s="4"/>
      <c r="EA413" s="4"/>
      <c r="FX413" s="4"/>
      <c r="HL413" s="4"/>
      <c r="HZ413" s="4"/>
      <c r="IA413" s="29" t="s">
        <v>452</v>
      </c>
      <c r="IB413" s="12"/>
      <c r="ID413" s="98" t="s">
        <v>452</v>
      </c>
      <c r="IE413" s="158"/>
      <c r="IF413" s="158"/>
      <c r="IG413" s="237">
        <v>0.6</v>
      </c>
      <c r="IH413" s="158"/>
      <c r="II413" s="158"/>
      <c r="IJ413" s="158"/>
      <c r="IK413" s="158"/>
      <c r="IL413" s="158"/>
      <c r="IM413" s="158">
        <v>800</v>
      </c>
      <c r="IN413" s="158">
        <v>720</v>
      </c>
      <c r="IO413" s="158"/>
      <c r="IP413" s="158"/>
      <c r="IQ413" s="184" t="s">
        <v>352</v>
      </c>
      <c r="IR413" s="185" t="s">
        <v>352</v>
      </c>
      <c r="IU413" s="4"/>
      <c r="JM413" s="4"/>
    </row>
    <row r="414" spans="2:278" ht="12" customHeight="1">
      <c r="X414" s="4"/>
      <c r="AH414" s="4"/>
      <c r="EA414" s="4"/>
      <c r="FX414" s="4"/>
      <c r="HL414" s="4"/>
      <c r="HZ414" s="4"/>
      <c r="IA414" s="18" t="s">
        <v>164</v>
      </c>
      <c r="IB414" s="238" t="s">
        <v>165</v>
      </c>
      <c r="ID414" s="256" t="s">
        <v>164</v>
      </c>
      <c r="IE414" s="58">
        <v>2.5</v>
      </c>
      <c r="IF414" s="58">
        <v>1.7</v>
      </c>
      <c r="IG414" s="59">
        <f>(IF414-0.25)/IE414</f>
        <v>0.57999999999999996</v>
      </c>
      <c r="IH414" s="60">
        <f t="shared" ref="IH414:IH435" si="31">1.1*0.6*IE414</f>
        <v>1.6500000000000001</v>
      </c>
      <c r="II414" s="58">
        <v>5.0999999999999996</v>
      </c>
      <c r="IJ414" s="58">
        <v>2</v>
      </c>
      <c r="IK414" s="61">
        <f>0.15*600*IH414^2.6</f>
        <v>330.9030456093999</v>
      </c>
      <c r="IL414" s="58">
        <v>0.7</v>
      </c>
      <c r="IM414" s="61">
        <f t="shared" ref="IM414:IM436" si="32">ROUND((IJ414*10^3/(IF414^2*PI()/4))/10,0)*10</f>
        <v>880</v>
      </c>
      <c r="IN414" s="61">
        <v>1000</v>
      </c>
      <c r="IO414" s="22">
        <v>780</v>
      </c>
      <c r="IP414" s="61">
        <f t="shared" ref="IP414:IP477" si="33">IO414*IE414^0.2</f>
        <v>936.8770585055164</v>
      </c>
      <c r="IQ414" s="62" t="s">
        <v>209</v>
      </c>
      <c r="IR414" s="15">
        <v>2017</v>
      </c>
      <c r="IU414" s="4"/>
      <c r="JM414" s="4"/>
    </row>
    <row r="415" spans="2:278" ht="12" customHeight="1">
      <c r="X415" s="4"/>
      <c r="AH415" s="4"/>
      <c r="EA415" s="4"/>
      <c r="FX415" s="4"/>
      <c r="HL415" s="4"/>
      <c r="HZ415" s="4"/>
      <c r="IA415" s="213" t="s">
        <v>166</v>
      </c>
      <c r="IB415" s="240" t="s">
        <v>165</v>
      </c>
      <c r="ID415" s="256" t="s">
        <v>164</v>
      </c>
      <c r="IE415" s="58">
        <v>3</v>
      </c>
      <c r="IF415" s="58">
        <v>2</v>
      </c>
      <c r="IG415" s="59">
        <f>(IF415-0.25)/IE415</f>
        <v>0.58333333333333337</v>
      </c>
      <c r="IH415" s="60">
        <f t="shared" si="31"/>
        <v>1.98</v>
      </c>
      <c r="II415" s="58">
        <v>6</v>
      </c>
      <c r="IJ415" s="58">
        <v>2.8</v>
      </c>
      <c r="IK415" s="61">
        <f t="shared" ref="IK415:IK424" si="34">0.15*600*IH415^2.6</f>
        <v>531.58412651636138</v>
      </c>
      <c r="IL415" s="58">
        <v>1.4</v>
      </c>
      <c r="IM415" s="61">
        <f t="shared" si="32"/>
        <v>890</v>
      </c>
      <c r="IN415" s="61">
        <v>1000</v>
      </c>
      <c r="IO415" s="22">
        <v>780</v>
      </c>
      <c r="IP415" s="61">
        <f t="shared" si="33"/>
        <v>971.67013290010357</v>
      </c>
      <c r="IQ415" s="62" t="s">
        <v>209</v>
      </c>
      <c r="IR415" s="15">
        <v>2017</v>
      </c>
      <c r="IU415" s="4"/>
      <c r="JM415" s="4"/>
    </row>
    <row r="416" spans="2:278" ht="12" customHeight="1">
      <c r="X416" s="4"/>
      <c r="AH416" s="4"/>
      <c r="EA416" s="4"/>
      <c r="FX416" s="4"/>
      <c r="HL416" s="4"/>
      <c r="HZ416" s="4"/>
      <c r="IA416" s="18" t="s">
        <v>170</v>
      </c>
      <c r="IB416" s="238" t="s">
        <v>171</v>
      </c>
      <c r="ID416" s="256" t="s">
        <v>164</v>
      </c>
      <c r="IE416" s="58">
        <v>3.5</v>
      </c>
      <c r="IF416" s="58">
        <v>2.2000000000000002</v>
      </c>
      <c r="IG416" s="59">
        <f>(IF416-0.25)/IE416</f>
        <v>0.55714285714285716</v>
      </c>
      <c r="IH416" s="60">
        <f t="shared" si="31"/>
        <v>2.31</v>
      </c>
      <c r="II416" s="58">
        <v>7</v>
      </c>
      <c r="IJ416" s="58">
        <v>3.8</v>
      </c>
      <c r="IK416" s="61">
        <f t="shared" si="34"/>
        <v>793.65847313170957</v>
      </c>
      <c r="IL416" s="58">
        <v>2</v>
      </c>
      <c r="IM416" s="61">
        <f t="shared" si="32"/>
        <v>1000</v>
      </c>
      <c r="IN416" s="61">
        <v>1000</v>
      </c>
      <c r="IO416" s="22">
        <v>780</v>
      </c>
      <c r="IP416" s="61">
        <f t="shared" si="33"/>
        <v>1002.0934225562827</v>
      </c>
      <c r="IQ416" s="62" t="s">
        <v>209</v>
      </c>
      <c r="IR416" s="15">
        <v>2017</v>
      </c>
      <c r="IU416" s="4"/>
      <c r="JM416" s="4"/>
    </row>
    <row r="417" spans="1:1086" ht="12" customHeight="1">
      <c r="X417" s="4"/>
      <c r="AH417" s="4"/>
      <c r="EA417" s="4"/>
      <c r="FX417" s="4"/>
      <c r="HL417" s="4"/>
      <c r="HZ417" s="4"/>
      <c r="IA417" s="18" t="s">
        <v>216</v>
      </c>
      <c r="IB417" s="238" t="s">
        <v>217</v>
      </c>
      <c r="ID417" s="256" t="s">
        <v>164</v>
      </c>
      <c r="IE417" s="58">
        <v>4</v>
      </c>
      <c r="IF417" s="58">
        <v>2.5</v>
      </c>
      <c r="IG417" s="59">
        <f>(IF417-0.25)/IE417</f>
        <v>0.5625</v>
      </c>
      <c r="IH417" s="60">
        <f t="shared" si="31"/>
        <v>2.64</v>
      </c>
      <c r="II417" s="58">
        <v>8</v>
      </c>
      <c r="IJ417" s="58">
        <v>5</v>
      </c>
      <c r="IK417" s="61">
        <f t="shared" si="34"/>
        <v>1123.0852391629951</v>
      </c>
      <c r="IL417" s="58">
        <v>3</v>
      </c>
      <c r="IM417" s="61">
        <f t="shared" si="32"/>
        <v>1020</v>
      </c>
      <c r="IN417" s="61">
        <v>1000</v>
      </c>
      <c r="IO417" s="22">
        <v>780</v>
      </c>
      <c r="IP417" s="61">
        <f t="shared" si="33"/>
        <v>1029.2161704028574</v>
      </c>
      <c r="IQ417" s="62" t="s">
        <v>209</v>
      </c>
      <c r="IR417" s="15">
        <v>2017</v>
      </c>
      <c r="IU417" s="4"/>
      <c r="JM417" s="4"/>
    </row>
    <row r="418" spans="1:1086" ht="12" customHeight="1">
      <c r="X418" s="4"/>
      <c r="AH418" s="4"/>
      <c r="EA418" s="4"/>
      <c r="FX418" s="4"/>
      <c r="HL418" s="4"/>
      <c r="HZ418" s="4"/>
      <c r="IA418" s="18" t="s">
        <v>172</v>
      </c>
      <c r="IB418" s="238" t="s">
        <v>173</v>
      </c>
      <c r="ID418" s="256" t="s">
        <v>164</v>
      </c>
      <c r="IE418" s="58">
        <v>4.5</v>
      </c>
      <c r="IF418" s="58">
        <v>2.8</v>
      </c>
      <c r="IG418" s="59">
        <f>(IF418-0.25)/IE418</f>
        <v>0.56666666666666665</v>
      </c>
      <c r="IH418" s="60">
        <f t="shared" si="31"/>
        <v>2.97</v>
      </c>
      <c r="II418" s="58">
        <v>8.8000000000000007</v>
      </c>
      <c r="IJ418" s="58">
        <v>6.4</v>
      </c>
      <c r="IK418" s="61">
        <f t="shared" si="34"/>
        <v>1525.4896929811368</v>
      </c>
      <c r="IL418" s="58">
        <v>4</v>
      </c>
      <c r="IM418" s="61">
        <f t="shared" si="32"/>
        <v>1040</v>
      </c>
      <c r="IN418" s="61">
        <v>1000</v>
      </c>
      <c r="IO418" s="22">
        <v>780</v>
      </c>
      <c r="IP418" s="61">
        <f t="shared" si="33"/>
        <v>1053.7488300460786</v>
      </c>
      <c r="IQ418" s="62" t="s">
        <v>209</v>
      </c>
      <c r="IR418" s="15">
        <v>2017</v>
      </c>
      <c r="IU418" s="4"/>
      <c r="JM418" s="4"/>
    </row>
    <row r="419" spans="1:1086" ht="12" customHeight="1">
      <c r="X419" s="4"/>
      <c r="AH419" s="4"/>
      <c r="EA419" s="4"/>
      <c r="FX419" s="4"/>
      <c r="HL419" s="4"/>
      <c r="HZ419" s="4"/>
      <c r="IA419" s="18" t="s">
        <v>174</v>
      </c>
      <c r="IB419" s="238" t="s">
        <v>175</v>
      </c>
      <c r="ID419" s="256" t="s">
        <v>164</v>
      </c>
      <c r="IE419" s="58">
        <v>5</v>
      </c>
      <c r="IF419" s="58">
        <v>3.1</v>
      </c>
      <c r="IG419" s="59">
        <f t="shared" ref="IG419:IG424" si="35">(IF419-0.23)/IE419</f>
        <v>0.57400000000000007</v>
      </c>
      <c r="IH419" s="60">
        <f t="shared" si="31"/>
        <v>3.3000000000000003</v>
      </c>
      <c r="II419" s="58">
        <v>9.6999999999999993</v>
      </c>
      <c r="IJ419" s="58">
        <v>7.9</v>
      </c>
      <c r="IK419" s="61">
        <f t="shared" si="34"/>
        <v>2006.2209125556526</v>
      </c>
      <c r="IL419" s="58">
        <v>6</v>
      </c>
      <c r="IM419" s="61">
        <f t="shared" si="32"/>
        <v>1050</v>
      </c>
      <c r="IN419" s="61">
        <v>1000</v>
      </c>
      <c r="IO419" s="22">
        <v>780</v>
      </c>
      <c r="IP419" s="61">
        <f t="shared" si="33"/>
        <v>1076.1891359397475</v>
      </c>
      <c r="IQ419" s="62" t="s">
        <v>209</v>
      </c>
      <c r="IR419" s="15">
        <v>2017</v>
      </c>
      <c r="IU419" s="4"/>
      <c r="JM419" s="4"/>
    </row>
    <row r="420" spans="1:1086" ht="12" customHeight="1">
      <c r="X420" s="4"/>
      <c r="AH420" s="4"/>
      <c r="EA420" s="4"/>
      <c r="FX420" s="4"/>
      <c r="HL420" s="4"/>
      <c r="HZ420" s="4"/>
      <c r="IA420" s="213" t="s">
        <v>176</v>
      </c>
      <c r="IB420" s="240" t="s">
        <v>175</v>
      </c>
      <c r="ID420" s="256" t="s">
        <v>164</v>
      </c>
      <c r="IE420" s="58">
        <v>6</v>
      </c>
      <c r="IF420" s="58">
        <v>3.8</v>
      </c>
      <c r="IG420" s="59">
        <f t="shared" si="35"/>
        <v>0.59499999999999997</v>
      </c>
      <c r="IH420" s="60">
        <f t="shared" si="31"/>
        <v>3.96</v>
      </c>
      <c r="II420" s="58">
        <v>11.6</v>
      </c>
      <c r="IJ420" s="58">
        <v>11</v>
      </c>
      <c r="IK420" s="61">
        <f t="shared" si="34"/>
        <v>3222.9234682192346</v>
      </c>
      <c r="IL420" s="58">
        <v>10.5</v>
      </c>
      <c r="IM420" s="61">
        <f t="shared" si="32"/>
        <v>970</v>
      </c>
      <c r="IN420" s="61">
        <v>1000</v>
      </c>
      <c r="IO420" s="22">
        <v>780</v>
      </c>
      <c r="IP420" s="61">
        <f t="shared" si="33"/>
        <v>1116.1558832620992</v>
      </c>
      <c r="IQ420" s="62" t="s">
        <v>209</v>
      </c>
      <c r="IR420" s="15">
        <v>2017</v>
      </c>
      <c r="IU420" s="4"/>
      <c r="JM420" s="4"/>
    </row>
    <row r="421" spans="1:1086" s="84" customFormat="1" ht="12" customHeight="1">
      <c r="A421" s="4"/>
      <c r="B421" s="4"/>
      <c r="C421" s="4"/>
      <c r="D421" s="4"/>
      <c r="E421" s="4"/>
      <c r="F421" s="4"/>
      <c r="G421" s="4"/>
      <c r="H421" s="4"/>
      <c r="I421" s="4"/>
      <c r="J421" s="4"/>
      <c r="K421" s="4"/>
      <c r="L421" s="4"/>
      <c r="M421" s="4"/>
      <c r="N421" s="4"/>
      <c r="O421" s="4"/>
      <c r="P421" s="4"/>
      <c r="Q421" s="4"/>
      <c r="R421" s="4"/>
      <c r="S421" s="4"/>
      <c r="T421" s="4"/>
      <c r="U421" s="4"/>
      <c r="V421" s="4"/>
      <c r="W421" s="91"/>
      <c r="X421" s="4"/>
      <c r="Y421" s="4"/>
      <c r="Z421" s="4"/>
      <c r="AA421" s="4"/>
      <c r="AB421" s="4"/>
      <c r="AC421" s="4"/>
      <c r="AD421" s="4"/>
      <c r="AE421" s="4"/>
      <c r="AF421" s="4"/>
      <c r="AG421" s="91"/>
      <c r="AH421" s="4"/>
      <c r="AI421" s="4"/>
      <c r="AJ421" s="4"/>
      <c r="AK421" s="4"/>
      <c r="AL421" s="4"/>
      <c r="AM421" s="4"/>
      <c r="AN421" s="4"/>
      <c r="AO421" s="4"/>
      <c r="AP421" s="4"/>
      <c r="AQ421" s="4"/>
      <c r="AR421" s="4"/>
      <c r="AS421" s="4"/>
      <c r="AT421" s="4"/>
      <c r="AU421" s="4"/>
      <c r="AV421" s="4"/>
      <c r="AW421" s="4"/>
      <c r="AX421" s="4"/>
      <c r="AY421" s="4"/>
      <c r="AZ421" s="4"/>
      <c r="BA421" s="4"/>
      <c r="BB421" s="4"/>
      <c r="BC421" s="4"/>
      <c r="BD421" s="4"/>
      <c r="BE421" s="4"/>
      <c r="BF421" s="4"/>
      <c r="BG421" s="4"/>
      <c r="BH421" s="4"/>
      <c r="BI421" s="4"/>
      <c r="BJ421" s="4"/>
      <c r="BK421" s="4"/>
      <c r="BL421" s="4"/>
      <c r="BM421" s="4"/>
      <c r="BN421" s="4"/>
      <c r="BO421" s="4"/>
      <c r="BP421" s="4"/>
      <c r="BQ421" s="4"/>
      <c r="BR421" s="4"/>
      <c r="BS421" s="4"/>
      <c r="BT421" s="4"/>
      <c r="BU421" s="4"/>
      <c r="BV421" s="4"/>
      <c r="BW421" s="4"/>
      <c r="BX421" s="4"/>
      <c r="BY421" s="4"/>
      <c r="BZ421" s="4"/>
      <c r="CA421" s="4"/>
      <c r="CB421" s="4"/>
      <c r="CC421" s="4"/>
      <c r="CD421" s="4"/>
      <c r="CE421" s="4"/>
      <c r="CF421" s="4"/>
      <c r="CG421" s="4"/>
      <c r="CH421" s="4"/>
      <c r="CI421" s="4"/>
      <c r="CJ421" s="4"/>
      <c r="CK421" s="4"/>
      <c r="CL421" s="4"/>
      <c r="CM421" s="4"/>
      <c r="CN421" s="4"/>
      <c r="CO421" s="4"/>
      <c r="CP421" s="4"/>
      <c r="CQ421" s="4"/>
      <c r="CR421" s="4"/>
      <c r="CS421" s="4"/>
      <c r="CT421" s="4"/>
      <c r="CU421" s="4"/>
      <c r="CV421" s="4"/>
      <c r="CW421" s="4"/>
      <c r="CX421" s="4"/>
      <c r="CY421" s="4"/>
      <c r="CZ421" s="4"/>
      <c r="DA421" s="4"/>
      <c r="DB421" s="4"/>
      <c r="DC421" s="4"/>
      <c r="DD421" s="4"/>
      <c r="DE421" s="4"/>
      <c r="DF421" s="4"/>
      <c r="DG421" s="4"/>
      <c r="DH421" s="4"/>
      <c r="DI421" s="4"/>
      <c r="DJ421" s="4"/>
      <c r="DK421" s="4"/>
      <c r="DL421" s="4"/>
      <c r="DM421" s="4"/>
      <c r="DN421" s="4"/>
      <c r="DO421" s="4"/>
      <c r="DP421" s="4"/>
      <c r="DQ421" s="4"/>
      <c r="DR421" s="4"/>
      <c r="DS421" s="4"/>
      <c r="DT421" s="4"/>
      <c r="DU421" s="4"/>
      <c r="DV421" s="4"/>
      <c r="DW421" s="4"/>
      <c r="DX421" s="4"/>
      <c r="DY421" s="4"/>
      <c r="DZ421" s="91"/>
      <c r="EA421" s="4"/>
      <c r="EB421" s="4"/>
      <c r="EC421" s="4"/>
      <c r="ED421" s="4"/>
      <c r="EE421" s="4"/>
      <c r="EF421" s="4"/>
      <c r="EG421" s="4"/>
      <c r="EH421" s="4"/>
      <c r="EI421" s="4"/>
      <c r="EJ421" s="4"/>
      <c r="EK421" s="4"/>
      <c r="EL421" s="4"/>
      <c r="EM421" s="4"/>
      <c r="EN421" s="4"/>
      <c r="EO421" s="4"/>
      <c r="EP421" s="4"/>
      <c r="EQ421" s="4"/>
      <c r="ER421" s="4"/>
      <c r="ES421" s="4"/>
      <c r="ET421" s="4"/>
      <c r="EU421" s="4"/>
      <c r="EV421" s="4"/>
      <c r="EW421" s="4"/>
      <c r="EX421" s="4"/>
      <c r="EY421" s="4"/>
      <c r="EZ421" s="4"/>
      <c r="FA421" s="4"/>
      <c r="FB421" s="4"/>
      <c r="FC421" s="4"/>
      <c r="FD421" s="4"/>
      <c r="FE421" s="4"/>
      <c r="FF421" s="4"/>
      <c r="FG421" s="4"/>
      <c r="FH421" s="4"/>
      <c r="FI421" s="4"/>
      <c r="FJ421" s="4"/>
      <c r="FK421" s="4"/>
      <c r="FL421" s="4"/>
      <c r="FM421" s="4"/>
      <c r="FN421" s="4"/>
      <c r="FO421" s="4"/>
      <c r="FP421" s="4"/>
      <c r="FQ421" s="4"/>
      <c r="FR421" s="4"/>
      <c r="FS421" s="4"/>
      <c r="FT421" s="4"/>
      <c r="FU421" s="4"/>
      <c r="FV421" s="4"/>
      <c r="FW421" s="91"/>
      <c r="FX421" s="4"/>
      <c r="FY421" s="4"/>
      <c r="FZ421" s="4"/>
      <c r="GA421" s="4"/>
      <c r="GB421" s="4"/>
      <c r="GC421" s="4"/>
      <c r="GD421" s="4"/>
      <c r="GE421" s="4"/>
      <c r="GF421" s="4"/>
      <c r="GG421" s="4"/>
      <c r="GH421" s="4"/>
      <c r="GI421" s="4"/>
      <c r="GJ421" s="4"/>
      <c r="GK421" s="4"/>
      <c r="GL421" s="4"/>
      <c r="GM421" s="4"/>
      <c r="GN421" s="4"/>
      <c r="GO421" s="4"/>
      <c r="GP421" s="4"/>
      <c r="GQ421" s="4"/>
      <c r="GR421" s="4"/>
      <c r="GS421" s="4"/>
      <c r="GT421" s="4"/>
      <c r="GU421" s="4"/>
      <c r="GV421" s="4"/>
      <c r="GW421" s="4"/>
      <c r="GX421" s="4"/>
      <c r="GY421" s="4"/>
      <c r="GZ421" s="4"/>
      <c r="HA421" s="4"/>
      <c r="HB421" s="4"/>
      <c r="HC421" s="4"/>
      <c r="HD421" s="4"/>
      <c r="HE421" s="4"/>
      <c r="HF421" s="4"/>
      <c r="HG421" s="4"/>
      <c r="HH421" s="4"/>
      <c r="HI421" s="4"/>
      <c r="HJ421" s="4"/>
      <c r="HK421" s="91"/>
      <c r="HL421" s="4"/>
      <c r="HM421" s="4"/>
      <c r="HN421" s="4"/>
      <c r="HO421" s="4"/>
      <c r="HP421" s="4"/>
      <c r="HQ421" s="4"/>
      <c r="HR421" s="4"/>
      <c r="HS421" s="4"/>
      <c r="HT421" s="4"/>
      <c r="HU421" s="4"/>
      <c r="HV421" s="4"/>
      <c r="HW421" s="4"/>
      <c r="HX421" s="4"/>
      <c r="HY421" s="91"/>
      <c r="HZ421" s="4"/>
      <c r="IA421" s="18" t="s">
        <v>178</v>
      </c>
      <c r="IB421" s="238" t="s">
        <v>179</v>
      </c>
      <c r="IC421" s="4"/>
      <c r="ID421" s="256" t="s">
        <v>164</v>
      </c>
      <c r="IE421" s="58">
        <v>7</v>
      </c>
      <c r="IF421" s="58">
        <v>4.5</v>
      </c>
      <c r="IG421" s="59">
        <f t="shared" si="35"/>
        <v>0.61</v>
      </c>
      <c r="IH421" s="60">
        <f t="shared" si="31"/>
        <v>4.62</v>
      </c>
      <c r="II421" s="58">
        <v>13.1</v>
      </c>
      <c r="IJ421" s="58">
        <v>13</v>
      </c>
      <c r="IK421" s="61">
        <f t="shared" si="34"/>
        <v>4811.8451835083206</v>
      </c>
      <c r="IL421" s="58">
        <v>14.2</v>
      </c>
      <c r="IM421" s="61">
        <f t="shared" si="32"/>
        <v>820</v>
      </c>
      <c r="IN421" s="61">
        <v>1000</v>
      </c>
      <c r="IO421" s="22">
        <v>780</v>
      </c>
      <c r="IP421" s="61">
        <f t="shared" si="33"/>
        <v>1151.1030660437505</v>
      </c>
      <c r="IQ421" s="62" t="s">
        <v>209</v>
      </c>
      <c r="IR421" s="15">
        <v>2017</v>
      </c>
      <c r="IS421" s="4"/>
      <c r="IT421" s="91"/>
      <c r="IU421" s="4"/>
      <c r="IV421" s="4"/>
      <c r="IW421" s="4"/>
      <c r="IX421" s="4"/>
      <c r="IY421" s="4"/>
      <c r="IZ421" s="4"/>
      <c r="JA421" s="4"/>
      <c r="JB421" s="4"/>
      <c r="JC421" s="4"/>
      <c r="JD421" s="4"/>
      <c r="JE421" s="4"/>
      <c r="JF421" s="4"/>
      <c r="JG421" s="4"/>
      <c r="JH421" s="4"/>
      <c r="JI421" s="4"/>
      <c r="JJ421" s="4"/>
      <c r="JK421" s="4"/>
      <c r="JL421" s="91"/>
      <c r="JM421" s="4"/>
      <c r="JN421" s="4"/>
      <c r="JO421" s="4"/>
      <c r="JP421" s="4"/>
      <c r="JQ421" s="4"/>
      <c r="JR421" s="4"/>
      <c r="JS421" s="4"/>
      <c r="JT421" s="4"/>
      <c r="JU421" s="4"/>
      <c r="JV421" s="4"/>
      <c r="JW421" s="4"/>
      <c r="JX421" s="4"/>
      <c r="JY421" s="4"/>
      <c r="JZ421" s="4"/>
      <c r="KA421" s="4"/>
      <c r="KB421" s="4"/>
      <c r="KC421" s="4"/>
      <c r="KD421" s="4"/>
      <c r="KE421" s="4"/>
      <c r="KF421" s="4"/>
      <c r="KG421" s="4"/>
      <c r="KH421" s="4"/>
      <c r="KI421" s="4"/>
      <c r="KJ421" s="4"/>
      <c r="KK421" s="4"/>
      <c r="KL421" s="4"/>
      <c r="KM421" s="4"/>
      <c r="KN421" s="4"/>
      <c r="KO421" s="4"/>
      <c r="KP421" s="4"/>
      <c r="KQ421" s="4"/>
      <c r="KR421" s="4"/>
      <c r="KS421" s="4"/>
      <c r="KT421" s="4"/>
      <c r="KU421" s="4"/>
      <c r="KV421" s="4"/>
      <c r="KW421" s="4"/>
      <c r="KX421" s="4"/>
      <c r="KY421" s="4"/>
      <c r="KZ421" s="4"/>
      <c r="LA421" s="4"/>
      <c r="LB421" s="4"/>
      <c r="LC421" s="4"/>
      <c r="LD421" s="4"/>
      <c r="LE421" s="4"/>
      <c r="LF421" s="4"/>
      <c r="LG421" s="4"/>
      <c r="LH421" s="4"/>
      <c r="LI421" s="4"/>
      <c r="LJ421" s="4"/>
      <c r="LK421" s="4"/>
      <c r="LL421" s="4"/>
      <c r="LM421" s="4"/>
      <c r="LN421" s="4"/>
      <c r="LO421" s="4"/>
      <c r="LP421" s="4"/>
      <c r="LQ421" s="4"/>
      <c r="LR421" s="4"/>
      <c r="LS421" s="4"/>
      <c r="LT421" s="4"/>
      <c r="LU421" s="4"/>
      <c r="LV421" s="4"/>
      <c r="LW421" s="4"/>
      <c r="LX421" s="4"/>
      <c r="LY421" s="4"/>
      <c r="LZ421" s="4"/>
      <c r="MA421" s="4"/>
      <c r="MB421" s="4"/>
      <c r="MC421" s="4"/>
      <c r="MD421" s="4"/>
      <c r="ME421" s="4"/>
      <c r="MF421" s="4"/>
      <c r="MG421" s="4"/>
      <c r="MH421" s="4"/>
      <c r="MI421" s="4"/>
      <c r="MJ421" s="4"/>
      <c r="MK421" s="4"/>
      <c r="ML421" s="4"/>
      <c r="MM421" s="4"/>
      <c r="MN421" s="4"/>
      <c r="MO421" s="4"/>
      <c r="MP421" s="4"/>
      <c r="MQ421" s="4"/>
      <c r="MR421" s="4"/>
      <c r="MS421" s="4"/>
      <c r="MT421" s="4"/>
      <c r="MU421" s="4"/>
      <c r="MV421" s="4"/>
      <c r="MW421" s="4"/>
      <c r="MX421" s="4"/>
      <c r="MY421" s="4"/>
      <c r="MZ421" s="4"/>
      <c r="NA421" s="4"/>
      <c r="NB421" s="4"/>
      <c r="NC421" s="4"/>
      <c r="ND421" s="4"/>
      <c r="NE421" s="4"/>
      <c r="NF421" s="4"/>
      <c r="NG421" s="4"/>
      <c r="NH421" s="4"/>
      <c r="NI421" s="4"/>
      <c r="NJ421" s="4"/>
      <c r="NK421" s="4"/>
      <c r="NL421" s="4"/>
      <c r="NM421" s="4"/>
      <c r="NN421" s="4"/>
      <c r="NO421" s="4"/>
      <c r="NP421" s="4"/>
      <c r="NQ421" s="4"/>
      <c r="NR421" s="4"/>
      <c r="NS421" s="4"/>
      <c r="NT421" s="4"/>
      <c r="NU421" s="4"/>
      <c r="NV421" s="4"/>
      <c r="NW421" s="4"/>
      <c r="NX421" s="4"/>
      <c r="NY421" s="4"/>
      <c r="NZ421" s="4"/>
      <c r="OA421" s="4"/>
      <c r="OB421" s="4"/>
      <c r="OC421" s="4"/>
      <c r="OD421" s="4"/>
      <c r="OE421" s="4"/>
      <c r="OF421" s="4"/>
      <c r="OG421" s="4"/>
      <c r="OH421" s="4"/>
      <c r="OI421" s="4"/>
      <c r="OJ421" s="4"/>
      <c r="OK421" s="4"/>
      <c r="OL421" s="4"/>
      <c r="OM421" s="4"/>
      <c r="ON421" s="4"/>
      <c r="OO421" s="4"/>
      <c r="OP421" s="4"/>
      <c r="OQ421" s="4"/>
      <c r="OR421" s="4"/>
      <c r="OS421" s="4"/>
      <c r="OT421" s="4"/>
      <c r="OU421" s="4"/>
      <c r="OV421" s="4"/>
      <c r="OW421" s="4"/>
      <c r="OX421" s="4"/>
      <c r="OY421" s="4"/>
      <c r="OZ421" s="4"/>
      <c r="PA421" s="4"/>
      <c r="PB421" s="4"/>
      <c r="PC421" s="4"/>
      <c r="PD421" s="4"/>
      <c r="PE421" s="4"/>
      <c r="PF421" s="4"/>
      <c r="PG421" s="4"/>
      <c r="PH421" s="4"/>
      <c r="PI421" s="4"/>
      <c r="PJ421" s="4"/>
      <c r="PK421" s="4"/>
      <c r="PL421" s="4"/>
      <c r="PM421" s="4"/>
      <c r="PN421" s="4"/>
      <c r="PO421" s="4"/>
      <c r="PP421" s="4"/>
      <c r="PQ421" s="4"/>
      <c r="PR421" s="4"/>
      <c r="PS421" s="4"/>
      <c r="PT421" s="4"/>
      <c r="PU421" s="4"/>
      <c r="PV421" s="4"/>
      <c r="PW421" s="4"/>
      <c r="PX421" s="4"/>
      <c r="PY421" s="4"/>
      <c r="PZ421" s="4"/>
      <c r="QA421" s="4"/>
      <c r="QB421" s="4"/>
      <c r="QC421" s="4"/>
      <c r="QD421" s="4"/>
      <c r="QE421" s="4"/>
      <c r="QF421" s="4"/>
      <c r="QG421" s="4"/>
      <c r="QH421" s="4"/>
      <c r="QI421" s="4"/>
      <c r="QJ421" s="4"/>
      <c r="QK421" s="4"/>
      <c r="QL421" s="4"/>
      <c r="QM421" s="4"/>
      <c r="QN421" s="4"/>
      <c r="QO421" s="4"/>
      <c r="QP421" s="4"/>
      <c r="QQ421" s="4"/>
      <c r="QR421" s="4"/>
      <c r="QS421" s="4"/>
      <c r="QT421" s="4"/>
      <c r="QU421" s="4"/>
      <c r="QV421" s="4"/>
      <c r="QW421" s="4"/>
      <c r="QX421" s="4"/>
      <c r="QY421" s="4"/>
      <c r="QZ421" s="4"/>
      <c r="RA421" s="4"/>
      <c r="RB421" s="4"/>
      <c r="RC421" s="4"/>
      <c r="RD421" s="4"/>
      <c r="RE421" s="4"/>
      <c r="RF421" s="4"/>
      <c r="RG421" s="4"/>
      <c r="RH421" s="4"/>
      <c r="RI421" s="4"/>
      <c r="RJ421" s="4"/>
      <c r="RK421" s="4"/>
      <c r="RL421" s="4"/>
      <c r="RM421" s="4"/>
      <c r="RN421" s="4"/>
      <c r="RO421" s="4"/>
      <c r="RP421" s="4"/>
      <c r="RQ421" s="4"/>
      <c r="RR421" s="4"/>
      <c r="RS421" s="4"/>
      <c r="RT421" s="4"/>
      <c r="RU421" s="4"/>
      <c r="RV421" s="4"/>
      <c r="RW421" s="4"/>
      <c r="RX421" s="4"/>
      <c r="RY421" s="4"/>
      <c r="RZ421" s="4"/>
      <c r="SA421" s="4"/>
      <c r="SB421" s="4"/>
      <c r="SC421" s="4"/>
      <c r="SD421" s="4"/>
      <c r="SE421" s="4"/>
      <c r="SF421" s="4"/>
      <c r="SG421" s="4"/>
      <c r="SH421" s="4"/>
      <c r="SI421" s="4"/>
      <c r="SJ421" s="4"/>
      <c r="SK421" s="4"/>
      <c r="SL421" s="4"/>
      <c r="SM421" s="4"/>
      <c r="SN421" s="4"/>
      <c r="SO421" s="4"/>
      <c r="SP421" s="4"/>
      <c r="SQ421" s="4"/>
      <c r="SR421" s="4"/>
      <c r="SS421" s="4"/>
      <c r="ST421" s="4"/>
      <c r="SU421" s="4"/>
      <c r="SV421" s="4"/>
      <c r="SW421" s="4"/>
      <c r="SX421" s="4"/>
      <c r="SY421" s="4"/>
      <c r="SZ421" s="4"/>
      <c r="TA421" s="4"/>
      <c r="TB421" s="4"/>
      <c r="TC421" s="4"/>
      <c r="TD421" s="4"/>
      <c r="TE421" s="4"/>
      <c r="TF421" s="4"/>
      <c r="TG421" s="4"/>
      <c r="TH421" s="4"/>
      <c r="TI421" s="4"/>
      <c r="TJ421" s="4"/>
      <c r="TK421" s="4"/>
      <c r="TL421" s="4"/>
      <c r="TM421" s="4"/>
      <c r="TN421" s="4"/>
      <c r="TO421" s="4"/>
      <c r="TP421" s="4"/>
      <c r="TQ421" s="4"/>
      <c r="TR421" s="4"/>
      <c r="TS421" s="4"/>
      <c r="TT421" s="4"/>
      <c r="TU421" s="4"/>
      <c r="TV421" s="4"/>
      <c r="TW421" s="4"/>
      <c r="TX421" s="4"/>
      <c r="TY421" s="4"/>
      <c r="TZ421" s="4"/>
      <c r="UA421" s="4"/>
      <c r="UB421" s="4"/>
      <c r="UC421" s="4"/>
      <c r="UD421" s="4"/>
      <c r="UE421" s="4"/>
      <c r="UF421" s="4"/>
      <c r="UG421" s="4"/>
      <c r="UH421" s="4"/>
      <c r="UI421" s="4"/>
      <c r="UJ421" s="4"/>
      <c r="UK421" s="4"/>
      <c r="UL421" s="4"/>
      <c r="UM421" s="4"/>
      <c r="UN421" s="4"/>
      <c r="UO421" s="4"/>
      <c r="UP421" s="4"/>
      <c r="UQ421" s="4"/>
      <c r="UR421" s="4"/>
      <c r="US421" s="4"/>
      <c r="UT421" s="4"/>
      <c r="UU421" s="4"/>
      <c r="UV421" s="4"/>
      <c r="UW421" s="4"/>
      <c r="UX421" s="4"/>
      <c r="UY421" s="4"/>
      <c r="UZ421" s="4"/>
      <c r="VA421" s="4"/>
      <c r="VB421" s="4"/>
      <c r="VC421" s="4"/>
      <c r="VD421" s="4"/>
      <c r="VE421" s="4"/>
      <c r="VF421" s="4"/>
      <c r="VG421" s="4"/>
      <c r="VH421" s="4"/>
      <c r="VI421" s="4"/>
      <c r="VJ421" s="4"/>
      <c r="VK421" s="4"/>
      <c r="VL421" s="4"/>
      <c r="VM421" s="4"/>
      <c r="VN421" s="4"/>
      <c r="VO421" s="4"/>
      <c r="VP421" s="4"/>
      <c r="VQ421" s="4"/>
      <c r="VR421" s="4"/>
      <c r="VS421" s="4"/>
      <c r="VT421" s="4"/>
      <c r="VU421" s="4"/>
      <c r="VV421" s="4"/>
      <c r="VW421" s="4"/>
      <c r="VX421" s="4"/>
      <c r="VY421" s="4"/>
      <c r="VZ421" s="4"/>
      <c r="WA421" s="4"/>
      <c r="WB421" s="4"/>
      <c r="WC421" s="4"/>
      <c r="WD421" s="4"/>
      <c r="WE421" s="4"/>
      <c r="WF421" s="4"/>
      <c r="WG421" s="4"/>
      <c r="WH421" s="4"/>
      <c r="WI421" s="4"/>
      <c r="WJ421" s="4"/>
      <c r="WK421" s="4"/>
      <c r="WL421" s="4"/>
      <c r="WM421" s="4"/>
      <c r="WN421" s="4"/>
      <c r="WO421" s="4"/>
      <c r="WP421" s="4"/>
      <c r="WQ421" s="4"/>
      <c r="WR421" s="4"/>
      <c r="WS421" s="4"/>
      <c r="WT421" s="4"/>
      <c r="WU421" s="4"/>
      <c r="WV421" s="4"/>
      <c r="WW421" s="4"/>
      <c r="WX421" s="4"/>
      <c r="WY421" s="4"/>
      <c r="WZ421" s="4"/>
      <c r="XA421" s="4"/>
      <c r="XB421" s="4"/>
      <c r="XC421" s="4"/>
      <c r="XD421" s="4"/>
      <c r="XE421" s="4"/>
      <c r="XF421" s="4"/>
      <c r="XG421" s="4"/>
      <c r="XH421" s="4"/>
      <c r="XI421" s="4"/>
      <c r="XJ421" s="4"/>
      <c r="XK421" s="4"/>
      <c r="XL421" s="4"/>
      <c r="XM421" s="4"/>
      <c r="XN421" s="4"/>
      <c r="XO421" s="4"/>
      <c r="XP421" s="4"/>
      <c r="XQ421" s="4"/>
      <c r="XR421" s="4"/>
      <c r="XS421" s="4"/>
      <c r="XT421" s="4"/>
      <c r="XU421" s="4"/>
      <c r="XV421" s="4"/>
      <c r="XW421" s="4"/>
      <c r="XX421" s="4"/>
      <c r="XY421" s="4"/>
      <c r="XZ421" s="4"/>
      <c r="YA421" s="4"/>
      <c r="YB421" s="4"/>
      <c r="YC421" s="4"/>
      <c r="YD421" s="4"/>
      <c r="YE421" s="4"/>
      <c r="YF421" s="4"/>
      <c r="YG421" s="4"/>
      <c r="YH421" s="4"/>
      <c r="YI421" s="4"/>
      <c r="YJ421" s="4"/>
      <c r="YK421" s="4"/>
      <c r="YL421" s="4"/>
      <c r="YM421" s="4"/>
      <c r="YN421" s="4"/>
      <c r="YO421" s="4"/>
      <c r="YP421" s="4"/>
      <c r="YQ421" s="4"/>
      <c r="YR421" s="4"/>
      <c r="YS421" s="4"/>
      <c r="YT421" s="4"/>
      <c r="YU421" s="4"/>
      <c r="YV421" s="4"/>
      <c r="YW421" s="4"/>
      <c r="YX421" s="4"/>
      <c r="YY421" s="4"/>
      <c r="YZ421" s="4"/>
      <c r="ZA421" s="4"/>
      <c r="ZB421" s="4"/>
      <c r="ZC421" s="4"/>
      <c r="ZD421" s="4"/>
      <c r="ZE421" s="4"/>
      <c r="ZF421" s="4"/>
      <c r="ZG421" s="4"/>
      <c r="ZH421" s="4"/>
      <c r="ZI421" s="4"/>
      <c r="ZJ421" s="4"/>
      <c r="ZK421" s="4"/>
      <c r="ZL421" s="4"/>
      <c r="ZM421" s="4"/>
      <c r="ZN421" s="4"/>
      <c r="ZO421" s="4"/>
      <c r="ZP421" s="4"/>
      <c r="ZQ421" s="4"/>
      <c r="ZR421" s="4"/>
      <c r="ZS421" s="4"/>
      <c r="ZT421" s="4"/>
      <c r="ZU421" s="4"/>
      <c r="ZV421" s="4"/>
      <c r="ZW421" s="4"/>
      <c r="ZX421" s="4"/>
      <c r="ZY421" s="4"/>
      <c r="ZZ421" s="4"/>
      <c r="AAA421" s="4"/>
      <c r="AAB421" s="4"/>
      <c r="AAC421" s="4"/>
      <c r="AAD421" s="4"/>
      <c r="AAE421" s="4"/>
      <c r="AAF421" s="4"/>
      <c r="AAG421" s="4"/>
      <c r="AAH421" s="4"/>
      <c r="AAI421" s="4"/>
      <c r="AAJ421" s="4"/>
      <c r="AAK421" s="4"/>
      <c r="AAL421" s="4"/>
      <c r="AAM421" s="4"/>
      <c r="AAN421" s="4"/>
      <c r="AAO421" s="4"/>
      <c r="AAP421" s="4"/>
      <c r="AAQ421" s="4"/>
      <c r="AAR421" s="4"/>
      <c r="AAS421" s="4"/>
      <c r="AAT421" s="4"/>
      <c r="AAU421" s="4"/>
      <c r="AAV421" s="4"/>
      <c r="AAW421" s="4"/>
      <c r="AAX421" s="4"/>
      <c r="AAY421" s="4"/>
      <c r="AAZ421" s="4"/>
      <c r="ABA421" s="4"/>
      <c r="ABB421" s="4"/>
      <c r="ABC421" s="4"/>
      <c r="ABD421" s="4"/>
      <c r="ABE421" s="4"/>
      <c r="ABF421" s="4"/>
      <c r="ABG421" s="4"/>
      <c r="ABH421" s="4"/>
      <c r="ABI421" s="4"/>
      <c r="ABJ421" s="4"/>
      <c r="ABK421" s="4"/>
      <c r="ABL421" s="4"/>
      <c r="ABM421" s="4"/>
      <c r="ABN421" s="4"/>
      <c r="ABO421" s="4"/>
      <c r="ABP421" s="4"/>
      <c r="ABQ421" s="4"/>
      <c r="ABR421" s="4"/>
      <c r="ABS421" s="4"/>
      <c r="ABT421" s="4"/>
      <c r="ABU421" s="4"/>
      <c r="ABV421" s="4"/>
      <c r="ABW421" s="4"/>
      <c r="ABX421" s="4"/>
      <c r="ABY421" s="4"/>
      <c r="ABZ421" s="4"/>
      <c r="ACA421" s="4"/>
      <c r="ACB421" s="4"/>
      <c r="ACC421" s="4"/>
      <c r="ACD421" s="4"/>
      <c r="ACE421" s="4"/>
      <c r="ACF421" s="4"/>
      <c r="ACG421" s="4"/>
      <c r="ACH421" s="4"/>
      <c r="ACI421" s="4"/>
      <c r="ACJ421" s="4"/>
      <c r="ACK421" s="4"/>
      <c r="ACL421" s="4"/>
      <c r="ACM421" s="4"/>
      <c r="ACN421" s="4"/>
      <c r="ACO421" s="4"/>
      <c r="ACP421" s="4"/>
      <c r="ACQ421" s="4"/>
      <c r="ACR421" s="4"/>
      <c r="ACS421" s="4"/>
      <c r="ACT421" s="4"/>
      <c r="ACU421" s="4"/>
      <c r="ACV421" s="4"/>
      <c r="ACW421" s="4"/>
      <c r="ACX421" s="4"/>
      <c r="ACY421" s="4"/>
      <c r="ACZ421" s="4"/>
      <c r="ADA421" s="4"/>
      <c r="ADB421" s="4"/>
      <c r="ADC421" s="4"/>
      <c r="ADD421" s="4"/>
      <c r="ADE421" s="4"/>
      <c r="ADF421" s="4"/>
      <c r="ADG421" s="4"/>
      <c r="ADH421" s="4"/>
      <c r="ADI421" s="4"/>
      <c r="ADJ421" s="4"/>
      <c r="ADK421" s="4"/>
      <c r="ADL421" s="4"/>
      <c r="ADM421" s="4"/>
      <c r="ADN421" s="4"/>
      <c r="ADO421" s="4"/>
      <c r="ADP421" s="4"/>
      <c r="ADQ421" s="4"/>
      <c r="ADR421" s="4"/>
      <c r="ADS421" s="4"/>
      <c r="ADT421" s="4"/>
      <c r="ADU421" s="4"/>
      <c r="ADV421" s="4"/>
      <c r="ADW421" s="4"/>
      <c r="ADX421" s="4"/>
      <c r="ADY421" s="4"/>
      <c r="ADZ421" s="4"/>
      <c r="AEA421" s="4"/>
      <c r="AEB421" s="4"/>
      <c r="AEC421" s="4"/>
      <c r="AED421" s="4"/>
      <c r="AEE421" s="4"/>
      <c r="AEF421" s="4"/>
      <c r="AEG421" s="4"/>
      <c r="AEH421" s="4"/>
      <c r="AEI421" s="4"/>
      <c r="AEJ421" s="4"/>
      <c r="AEK421" s="4"/>
      <c r="AEL421" s="4"/>
      <c r="AEM421" s="4"/>
      <c r="AEN421" s="4"/>
      <c r="AEO421" s="4"/>
      <c r="AEP421" s="4"/>
      <c r="AEQ421" s="4"/>
      <c r="AER421" s="4"/>
      <c r="AES421" s="4"/>
      <c r="AET421" s="4"/>
      <c r="AEU421" s="4"/>
      <c r="AEV421" s="4"/>
      <c r="AEW421" s="4"/>
      <c r="AEX421" s="4"/>
      <c r="AEY421" s="4"/>
      <c r="AEZ421" s="4"/>
      <c r="AFA421" s="4"/>
      <c r="AFB421" s="4"/>
      <c r="AFC421" s="4"/>
      <c r="AFD421" s="4"/>
      <c r="AFE421" s="4"/>
      <c r="AFF421" s="4"/>
      <c r="AFG421" s="4"/>
      <c r="AFH421" s="4"/>
      <c r="AFI421" s="4"/>
      <c r="AFJ421" s="4"/>
      <c r="AFK421" s="4"/>
      <c r="AFL421" s="4"/>
      <c r="AFM421" s="4"/>
      <c r="AFN421" s="4"/>
      <c r="AFO421" s="4"/>
      <c r="AFP421" s="4"/>
      <c r="AFQ421" s="4"/>
      <c r="AFR421" s="4"/>
      <c r="AFS421" s="4"/>
      <c r="AFT421" s="4"/>
      <c r="AFU421" s="4"/>
      <c r="AFV421" s="4"/>
      <c r="AFW421" s="4"/>
      <c r="AFX421" s="4"/>
      <c r="AFY421" s="4"/>
      <c r="AFZ421" s="4"/>
      <c r="AGA421" s="4"/>
      <c r="AGB421" s="4"/>
      <c r="AGC421" s="4"/>
      <c r="AGD421" s="4"/>
      <c r="AGE421" s="4"/>
      <c r="AGF421" s="4"/>
      <c r="AGG421" s="4"/>
      <c r="AGH421" s="4"/>
      <c r="AGI421" s="4"/>
      <c r="AGJ421" s="4"/>
      <c r="AGK421" s="4"/>
      <c r="AGL421" s="4"/>
      <c r="AGM421" s="4"/>
      <c r="AGN421" s="4"/>
      <c r="AGO421" s="4"/>
      <c r="AGP421" s="4"/>
      <c r="AGQ421" s="4"/>
      <c r="AGR421" s="4"/>
      <c r="AGS421" s="4"/>
      <c r="AGT421" s="4"/>
      <c r="AGU421" s="4"/>
      <c r="AGV421" s="4"/>
      <c r="AGW421" s="4"/>
      <c r="AGX421" s="4"/>
      <c r="AGY421" s="4"/>
      <c r="AGZ421" s="4"/>
      <c r="AHA421" s="4"/>
      <c r="AHB421" s="4"/>
      <c r="AHC421" s="4"/>
      <c r="AHD421" s="4"/>
      <c r="AHE421" s="4"/>
      <c r="AHF421" s="4"/>
      <c r="AHG421" s="4"/>
      <c r="AHH421" s="4"/>
      <c r="AHI421" s="4"/>
      <c r="AHJ421" s="4"/>
      <c r="AHK421" s="4"/>
      <c r="AHL421" s="4"/>
      <c r="AHM421" s="4"/>
      <c r="AHN421" s="4"/>
      <c r="AHO421" s="4"/>
      <c r="AHP421" s="4"/>
      <c r="AHQ421" s="4"/>
      <c r="AHR421" s="4"/>
      <c r="AHS421" s="4"/>
      <c r="AHT421" s="4"/>
      <c r="AHU421" s="4"/>
      <c r="AHV421" s="4"/>
      <c r="AHW421" s="4"/>
      <c r="AHX421" s="4"/>
      <c r="AHY421" s="4"/>
      <c r="AHZ421" s="4"/>
      <c r="AIA421" s="4"/>
      <c r="AIB421" s="4"/>
      <c r="AIC421" s="4"/>
      <c r="AID421" s="4"/>
      <c r="AIE421" s="4"/>
      <c r="AIF421" s="4"/>
      <c r="AIG421" s="4"/>
      <c r="AIH421" s="4"/>
      <c r="AII421" s="4"/>
      <c r="AIJ421" s="4"/>
      <c r="AIK421" s="4"/>
      <c r="AIL421" s="4"/>
      <c r="AIM421" s="4"/>
      <c r="AIN421" s="4"/>
      <c r="AIO421" s="4"/>
      <c r="AIP421" s="4"/>
      <c r="AIQ421" s="4"/>
      <c r="AIR421" s="4"/>
      <c r="AIS421" s="4"/>
      <c r="AIT421" s="4"/>
      <c r="AIU421" s="4"/>
      <c r="AIV421" s="4"/>
      <c r="AIW421" s="4"/>
      <c r="AIX421" s="4"/>
      <c r="AIY421" s="4"/>
      <c r="AIZ421" s="4"/>
      <c r="AJA421" s="4"/>
      <c r="AJB421" s="4"/>
      <c r="AJC421" s="4"/>
      <c r="AJD421" s="4"/>
      <c r="AJE421" s="4"/>
      <c r="AJF421" s="4"/>
      <c r="AJG421" s="4"/>
      <c r="AJH421" s="4"/>
      <c r="AJI421" s="4"/>
      <c r="AJJ421" s="4"/>
      <c r="AJK421" s="4"/>
      <c r="AJL421" s="4"/>
      <c r="AJM421" s="4"/>
      <c r="AJN421" s="4"/>
      <c r="AJO421" s="4"/>
      <c r="AJP421" s="4"/>
      <c r="AJQ421" s="4"/>
      <c r="AJR421" s="4"/>
      <c r="AJS421" s="4"/>
      <c r="AJT421" s="4"/>
      <c r="AJU421" s="4"/>
      <c r="AJV421" s="4"/>
      <c r="AJW421" s="4"/>
      <c r="AJX421" s="4"/>
      <c r="AJY421" s="4"/>
      <c r="AJZ421" s="4"/>
      <c r="AKA421" s="4"/>
      <c r="AKB421" s="4"/>
      <c r="AKC421" s="4"/>
      <c r="AKD421" s="4"/>
      <c r="AKE421" s="4"/>
      <c r="AKF421" s="4"/>
      <c r="AKG421" s="4"/>
      <c r="AKH421" s="4"/>
      <c r="AKI421" s="4"/>
      <c r="AKJ421" s="4"/>
      <c r="AKK421" s="4"/>
      <c r="AKL421" s="4"/>
      <c r="AKM421" s="4"/>
      <c r="AKN421" s="4"/>
      <c r="AKO421" s="4"/>
      <c r="AKP421" s="4"/>
      <c r="AKQ421" s="4"/>
      <c r="AKR421" s="4"/>
      <c r="AKS421" s="4"/>
      <c r="AKT421" s="4"/>
      <c r="AKU421" s="4"/>
      <c r="AKV421" s="4"/>
      <c r="AKW421" s="4"/>
      <c r="AKX421" s="4"/>
      <c r="AKY421" s="4"/>
      <c r="AKZ421" s="4"/>
      <c r="ALA421" s="4"/>
      <c r="ALB421" s="4"/>
      <c r="ALC421" s="4"/>
      <c r="ALD421" s="4"/>
      <c r="ALE421" s="4"/>
      <c r="ALF421" s="4"/>
      <c r="ALG421" s="4"/>
      <c r="ALH421" s="4"/>
      <c r="ALI421" s="4"/>
      <c r="ALJ421" s="4"/>
      <c r="ALK421" s="4"/>
      <c r="ALL421" s="4"/>
      <c r="ALM421" s="4"/>
      <c r="ALN421" s="4"/>
      <c r="ALO421" s="4"/>
      <c r="ALP421" s="4"/>
      <c r="ALQ421" s="4"/>
      <c r="ALR421" s="4"/>
      <c r="ALS421" s="4"/>
      <c r="ALT421" s="4"/>
      <c r="ALU421" s="4"/>
      <c r="ALV421" s="4"/>
      <c r="ALW421" s="4"/>
      <c r="ALX421" s="4"/>
      <c r="ALY421" s="4"/>
      <c r="ALZ421" s="4"/>
      <c r="AMA421" s="4"/>
      <c r="AMB421" s="4"/>
      <c r="AMC421" s="4"/>
      <c r="AMD421" s="4"/>
      <c r="AME421" s="4"/>
      <c r="AMF421" s="4"/>
      <c r="AMG421" s="4"/>
      <c r="AMH421" s="4"/>
      <c r="AMI421" s="4"/>
      <c r="AMJ421" s="4"/>
      <c r="AMK421" s="4"/>
      <c r="AML421" s="4"/>
      <c r="AMM421" s="4"/>
      <c r="AMN421" s="4"/>
      <c r="AMO421" s="4"/>
      <c r="AMP421" s="4"/>
      <c r="AMQ421" s="4"/>
      <c r="AMR421" s="4"/>
      <c r="AMS421" s="4"/>
      <c r="AMT421" s="4"/>
      <c r="AMU421" s="4"/>
      <c r="AMV421" s="4"/>
      <c r="AMW421" s="4"/>
      <c r="AMX421" s="4"/>
      <c r="AMY421" s="4"/>
      <c r="AMZ421" s="4"/>
      <c r="ANA421" s="4"/>
      <c r="ANB421" s="4"/>
      <c r="ANC421" s="4"/>
      <c r="AND421" s="4"/>
      <c r="ANE421" s="4"/>
      <c r="ANF421" s="4"/>
      <c r="ANG421" s="4"/>
      <c r="ANH421" s="4"/>
      <c r="ANI421" s="4"/>
      <c r="ANJ421" s="4"/>
      <c r="ANK421" s="4"/>
      <c r="ANL421" s="4"/>
      <c r="ANM421" s="4"/>
      <c r="ANN421" s="4"/>
      <c r="ANO421" s="4"/>
      <c r="ANP421" s="4"/>
      <c r="ANQ421" s="4"/>
      <c r="ANR421" s="4"/>
      <c r="ANS421" s="4"/>
      <c r="ANT421" s="4"/>
      <c r="ANU421" s="4"/>
      <c r="ANV421" s="4"/>
      <c r="ANW421" s="4"/>
      <c r="ANX421" s="4"/>
      <c r="ANY421" s="4"/>
      <c r="ANZ421" s="4"/>
      <c r="AOA421" s="4"/>
      <c r="AOB421" s="4"/>
      <c r="AOC421" s="4"/>
      <c r="AOD421" s="4"/>
      <c r="AOE421" s="4"/>
      <c r="AOF421" s="4"/>
      <c r="AOG421" s="4"/>
      <c r="AOH421" s="4"/>
      <c r="AOI421" s="4"/>
      <c r="AOJ421" s="4"/>
      <c r="AOK421" s="4"/>
      <c r="AOL421" s="4"/>
      <c r="AOM421" s="4"/>
      <c r="AON421" s="4"/>
      <c r="AOO421" s="4"/>
      <c r="AOP421" s="4"/>
      <c r="AOQ421" s="4"/>
      <c r="AOR421" s="4"/>
      <c r="AOS421" s="4"/>
      <c r="AOT421" s="4"/>
    </row>
    <row r="422" spans="1:1086" s="84" customFormat="1" ht="12" customHeight="1">
      <c r="A422" s="4"/>
      <c r="B422" s="4"/>
      <c r="C422" s="4"/>
      <c r="D422" s="4"/>
      <c r="E422" s="4"/>
      <c r="F422" s="4"/>
      <c r="G422" s="4"/>
      <c r="H422" s="4"/>
      <c r="I422" s="4"/>
      <c r="J422" s="4"/>
      <c r="K422" s="4"/>
      <c r="L422" s="4"/>
      <c r="M422" s="4"/>
      <c r="N422" s="4"/>
      <c r="O422" s="4"/>
      <c r="P422" s="4"/>
      <c r="Q422" s="4"/>
      <c r="R422" s="4"/>
      <c r="S422" s="4"/>
      <c r="T422" s="4"/>
      <c r="U422" s="4"/>
      <c r="V422" s="4"/>
      <c r="W422" s="91"/>
      <c r="X422" s="4"/>
      <c r="Y422" s="4"/>
      <c r="Z422" s="4"/>
      <c r="AA422" s="4"/>
      <c r="AB422" s="4"/>
      <c r="AC422" s="4"/>
      <c r="AD422" s="4"/>
      <c r="AE422" s="4"/>
      <c r="AF422" s="4"/>
      <c r="AG422" s="91"/>
      <c r="AH422" s="4"/>
      <c r="AI422" s="4"/>
      <c r="AJ422" s="4"/>
      <c r="AK422" s="4"/>
      <c r="AL422" s="4"/>
      <c r="AM422" s="4"/>
      <c r="AN422" s="4"/>
      <c r="AO422" s="4"/>
      <c r="AP422" s="4"/>
      <c r="AQ422" s="4"/>
      <c r="AR422" s="4"/>
      <c r="AS422" s="4"/>
      <c r="AT422" s="4"/>
      <c r="AU422" s="4"/>
      <c r="AV422" s="4"/>
      <c r="AW422" s="4"/>
      <c r="AX422" s="4"/>
      <c r="AY422" s="4"/>
      <c r="AZ422" s="4"/>
      <c r="BA422" s="4"/>
      <c r="BB422" s="4"/>
      <c r="BC422" s="4"/>
      <c r="BD422" s="4"/>
      <c r="BE422" s="4"/>
      <c r="BF422" s="4"/>
      <c r="BG422" s="4"/>
      <c r="BH422" s="4"/>
      <c r="BI422" s="4"/>
      <c r="BJ422" s="4"/>
      <c r="BK422" s="4"/>
      <c r="BL422" s="4"/>
      <c r="BM422" s="4"/>
      <c r="BN422" s="4"/>
      <c r="BO422" s="4"/>
      <c r="BP422" s="4"/>
      <c r="BQ422" s="4"/>
      <c r="BR422" s="4"/>
      <c r="BS422" s="4"/>
      <c r="BT422" s="4"/>
      <c r="BU422" s="4"/>
      <c r="BV422" s="4"/>
      <c r="BW422" s="4"/>
      <c r="BX422" s="4"/>
      <c r="BY422" s="4"/>
      <c r="BZ422" s="4"/>
      <c r="CA422" s="4"/>
      <c r="CB422" s="4"/>
      <c r="CC422" s="4"/>
      <c r="CD422" s="4"/>
      <c r="CE422" s="4"/>
      <c r="CF422" s="4"/>
      <c r="CG422" s="4"/>
      <c r="CH422" s="4"/>
      <c r="CI422" s="4"/>
      <c r="CJ422" s="4"/>
      <c r="CK422" s="4"/>
      <c r="CL422" s="4"/>
      <c r="CM422" s="4"/>
      <c r="CN422" s="4"/>
      <c r="CO422" s="4"/>
      <c r="CP422" s="4"/>
      <c r="CQ422" s="4"/>
      <c r="CR422" s="4"/>
      <c r="CS422" s="4"/>
      <c r="CT422" s="4"/>
      <c r="CU422" s="4"/>
      <c r="CV422" s="4"/>
      <c r="CW422" s="4"/>
      <c r="CX422" s="4"/>
      <c r="CY422" s="4"/>
      <c r="CZ422" s="4"/>
      <c r="DA422" s="4"/>
      <c r="DB422" s="4"/>
      <c r="DC422" s="4"/>
      <c r="DD422" s="4"/>
      <c r="DE422" s="4"/>
      <c r="DF422" s="4"/>
      <c r="DG422" s="4"/>
      <c r="DH422" s="4"/>
      <c r="DI422" s="4"/>
      <c r="DJ422" s="4"/>
      <c r="DK422" s="4"/>
      <c r="DL422" s="4"/>
      <c r="DM422" s="4"/>
      <c r="DN422" s="4"/>
      <c r="DO422" s="4"/>
      <c r="DP422" s="4"/>
      <c r="DQ422" s="4"/>
      <c r="DR422" s="4"/>
      <c r="DS422" s="4"/>
      <c r="DT422" s="4"/>
      <c r="DU422" s="4"/>
      <c r="DV422" s="4"/>
      <c r="DW422" s="4"/>
      <c r="DX422" s="4"/>
      <c r="DY422" s="4"/>
      <c r="DZ422" s="91"/>
      <c r="EA422" s="4"/>
      <c r="EB422" s="4"/>
      <c r="EC422" s="4"/>
      <c r="ED422" s="4"/>
      <c r="EE422" s="4"/>
      <c r="EF422" s="4"/>
      <c r="EG422" s="4"/>
      <c r="EH422" s="4"/>
      <c r="EI422" s="4"/>
      <c r="EJ422" s="4"/>
      <c r="EK422" s="4"/>
      <c r="EL422" s="4"/>
      <c r="EM422" s="4"/>
      <c r="EN422" s="4"/>
      <c r="EO422" s="4"/>
      <c r="EP422" s="4"/>
      <c r="EQ422" s="4"/>
      <c r="ER422" s="4"/>
      <c r="ES422" s="4"/>
      <c r="ET422" s="4"/>
      <c r="EU422" s="4"/>
      <c r="EV422" s="4"/>
      <c r="EW422" s="4"/>
      <c r="EX422" s="4"/>
      <c r="EY422" s="4"/>
      <c r="EZ422" s="4"/>
      <c r="FA422" s="4"/>
      <c r="FB422" s="4"/>
      <c r="FC422" s="4"/>
      <c r="FD422" s="4"/>
      <c r="FE422" s="4"/>
      <c r="FF422" s="4"/>
      <c r="FG422" s="4"/>
      <c r="FH422" s="4"/>
      <c r="FI422" s="4"/>
      <c r="FJ422" s="4"/>
      <c r="FK422" s="4"/>
      <c r="FL422" s="4"/>
      <c r="FM422" s="4"/>
      <c r="FN422" s="4"/>
      <c r="FO422" s="4"/>
      <c r="FP422" s="4"/>
      <c r="FQ422" s="4"/>
      <c r="FR422" s="4"/>
      <c r="FS422" s="4"/>
      <c r="FT422" s="4"/>
      <c r="FU422" s="4"/>
      <c r="FV422" s="4"/>
      <c r="FW422" s="91"/>
      <c r="FX422" s="4"/>
      <c r="FY422" s="4"/>
      <c r="FZ422" s="4"/>
      <c r="GA422" s="4"/>
      <c r="GB422" s="4"/>
      <c r="GC422" s="4"/>
      <c r="GD422" s="4"/>
      <c r="GE422" s="4"/>
      <c r="GF422" s="4"/>
      <c r="GG422" s="4"/>
      <c r="GH422" s="4"/>
      <c r="GI422" s="4"/>
      <c r="GJ422" s="4"/>
      <c r="GK422" s="4"/>
      <c r="GL422" s="4"/>
      <c r="GM422" s="4"/>
      <c r="GN422" s="4"/>
      <c r="GO422" s="4"/>
      <c r="GP422" s="4"/>
      <c r="GQ422" s="4"/>
      <c r="GR422" s="4"/>
      <c r="GS422" s="4"/>
      <c r="GT422" s="4"/>
      <c r="GU422" s="4"/>
      <c r="GV422" s="4"/>
      <c r="GW422" s="4"/>
      <c r="GX422" s="4"/>
      <c r="GY422" s="4"/>
      <c r="GZ422" s="4"/>
      <c r="HA422" s="4"/>
      <c r="HB422" s="4"/>
      <c r="HC422" s="4"/>
      <c r="HD422" s="4"/>
      <c r="HE422" s="4"/>
      <c r="HF422" s="4"/>
      <c r="HG422" s="4"/>
      <c r="HH422" s="4"/>
      <c r="HI422" s="4"/>
      <c r="HJ422" s="4"/>
      <c r="HK422" s="91"/>
      <c r="HL422" s="4"/>
      <c r="HM422" s="4"/>
      <c r="HN422" s="4"/>
      <c r="HO422" s="4"/>
      <c r="HP422" s="4"/>
      <c r="HQ422" s="4"/>
      <c r="HR422" s="4"/>
      <c r="HS422" s="4"/>
      <c r="HT422" s="4"/>
      <c r="HU422" s="4"/>
      <c r="HV422" s="4"/>
      <c r="HW422" s="4"/>
      <c r="HX422" s="4"/>
      <c r="HY422" s="91"/>
      <c r="HZ422" s="4"/>
      <c r="IA422" s="213" t="s">
        <v>181</v>
      </c>
      <c r="IB422" s="240" t="s">
        <v>179</v>
      </c>
      <c r="IC422" s="4"/>
      <c r="ID422" s="256" t="s">
        <v>164</v>
      </c>
      <c r="IE422" s="58">
        <v>8</v>
      </c>
      <c r="IF422" s="58">
        <v>5.3</v>
      </c>
      <c r="IG422" s="59">
        <f t="shared" si="35"/>
        <v>0.63374999999999992</v>
      </c>
      <c r="IH422" s="60">
        <f t="shared" si="31"/>
        <v>5.28</v>
      </c>
      <c r="II422" s="58">
        <v>15.1</v>
      </c>
      <c r="IJ422" s="58">
        <v>17</v>
      </c>
      <c r="IK422" s="61">
        <f t="shared" si="34"/>
        <v>6809.1156104105785</v>
      </c>
      <c r="IL422" s="58">
        <v>21</v>
      </c>
      <c r="IM422" s="61">
        <f t="shared" si="32"/>
        <v>770</v>
      </c>
      <c r="IN422" s="61">
        <v>1000</v>
      </c>
      <c r="IO422" s="22">
        <v>780</v>
      </c>
      <c r="IP422" s="61">
        <f t="shared" si="33"/>
        <v>1182.2589218781104</v>
      </c>
      <c r="IQ422" s="62" t="s">
        <v>209</v>
      </c>
      <c r="IR422" s="15">
        <v>2017</v>
      </c>
      <c r="IS422" s="4"/>
      <c r="IT422" s="91"/>
      <c r="IU422" s="4"/>
      <c r="IV422" s="4"/>
      <c r="IW422" s="4"/>
      <c r="IX422" s="4"/>
      <c r="IY422" s="4"/>
      <c r="IZ422" s="4"/>
      <c r="JA422" s="4"/>
      <c r="JB422" s="4"/>
      <c r="JC422" s="4"/>
      <c r="JD422" s="4"/>
      <c r="JE422" s="4"/>
      <c r="JF422" s="4"/>
      <c r="JG422" s="4"/>
      <c r="JH422" s="4"/>
      <c r="JI422" s="4"/>
      <c r="JJ422" s="4"/>
      <c r="JK422" s="4"/>
      <c r="JL422" s="91"/>
      <c r="JM422" s="4"/>
      <c r="JN422" s="4"/>
      <c r="JO422" s="4"/>
      <c r="JP422" s="4"/>
      <c r="JQ422" s="4"/>
      <c r="JR422" s="4"/>
      <c r="JS422" s="4"/>
      <c r="JT422" s="4"/>
      <c r="JU422" s="4"/>
      <c r="JV422" s="4"/>
      <c r="JW422" s="4"/>
      <c r="JX422" s="4"/>
      <c r="JY422" s="4"/>
      <c r="JZ422" s="4"/>
      <c r="KA422" s="4"/>
      <c r="KB422" s="4"/>
      <c r="KC422" s="4"/>
      <c r="KD422" s="4"/>
      <c r="KE422" s="4"/>
      <c r="KF422" s="4"/>
      <c r="KG422" s="4"/>
      <c r="KH422" s="4"/>
      <c r="KI422" s="4"/>
      <c r="KJ422" s="4"/>
      <c r="KK422" s="4"/>
      <c r="KL422" s="4"/>
      <c r="KM422" s="4"/>
      <c r="KN422" s="4"/>
      <c r="KO422" s="4"/>
      <c r="KP422" s="4"/>
      <c r="KQ422" s="4"/>
      <c r="KR422" s="4"/>
      <c r="KS422" s="4"/>
      <c r="KT422" s="4"/>
      <c r="KU422" s="4"/>
      <c r="KV422" s="4"/>
      <c r="KW422" s="4"/>
      <c r="KX422" s="4"/>
      <c r="KY422" s="4"/>
      <c r="KZ422" s="4"/>
      <c r="LA422" s="4"/>
      <c r="LB422" s="4"/>
      <c r="LC422" s="4"/>
      <c r="LD422" s="4"/>
      <c r="LE422" s="4"/>
      <c r="LF422" s="4"/>
      <c r="LG422" s="4"/>
      <c r="LH422" s="4"/>
      <c r="LI422" s="4"/>
      <c r="LJ422" s="4"/>
      <c r="LK422" s="4"/>
      <c r="LL422" s="4"/>
      <c r="LM422" s="4"/>
      <c r="LN422" s="4"/>
      <c r="LO422" s="4"/>
      <c r="LP422" s="4"/>
      <c r="LQ422" s="4"/>
      <c r="LR422" s="4"/>
      <c r="LS422" s="4"/>
      <c r="LT422" s="4"/>
      <c r="LU422" s="4"/>
      <c r="LV422" s="4"/>
      <c r="LW422" s="4"/>
      <c r="LX422" s="4"/>
      <c r="LY422" s="4"/>
      <c r="LZ422" s="4"/>
      <c r="MA422" s="4"/>
      <c r="MB422" s="4"/>
      <c r="MC422" s="4"/>
      <c r="MD422" s="4"/>
      <c r="ME422" s="4"/>
      <c r="MF422" s="4"/>
      <c r="MG422" s="4"/>
      <c r="MH422" s="4"/>
      <c r="MI422" s="4"/>
      <c r="MJ422" s="4"/>
      <c r="MK422" s="4"/>
      <c r="ML422" s="4"/>
      <c r="MM422" s="4"/>
      <c r="MN422" s="4"/>
      <c r="MO422" s="4"/>
      <c r="MP422" s="4"/>
      <c r="MQ422" s="4"/>
      <c r="MR422" s="4"/>
      <c r="MS422" s="4"/>
      <c r="MT422" s="4"/>
      <c r="MU422" s="4"/>
      <c r="MV422" s="4"/>
      <c r="MW422" s="4"/>
      <c r="MX422" s="4"/>
      <c r="MY422" s="4"/>
      <c r="MZ422" s="4"/>
      <c r="NA422" s="4"/>
      <c r="NB422" s="4"/>
      <c r="NC422" s="4"/>
      <c r="ND422" s="4"/>
      <c r="NE422" s="4"/>
      <c r="NF422" s="4"/>
      <c r="NG422" s="4"/>
      <c r="NH422" s="4"/>
      <c r="NI422" s="4"/>
      <c r="NJ422" s="4"/>
      <c r="NK422" s="4"/>
      <c r="NL422" s="4"/>
      <c r="NM422" s="4"/>
      <c r="NN422" s="4"/>
      <c r="NO422" s="4"/>
      <c r="NP422" s="4"/>
      <c r="NQ422" s="4"/>
      <c r="NR422" s="4"/>
      <c r="NS422" s="4"/>
      <c r="NT422" s="4"/>
      <c r="NU422" s="4"/>
      <c r="NV422" s="4"/>
      <c r="NW422" s="4"/>
      <c r="NX422" s="4"/>
      <c r="NY422" s="4"/>
      <c r="NZ422" s="4"/>
      <c r="OA422" s="4"/>
      <c r="OB422" s="4"/>
      <c r="OC422" s="4"/>
      <c r="OD422" s="4"/>
      <c r="OE422" s="4"/>
      <c r="OF422" s="4"/>
      <c r="OG422" s="4"/>
      <c r="OH422" s="4"/>
      <c r="OI422" s="4"/>
      <c r="OJ422" s="4"/>
      <c r="OK422" s="4"/>
      <c r="OL422" s="4"/>
      <c r="OM422" s="4"/>
      <c r="ON422" s="4"/>
      <c r="OO422" s="4"/>
      <c r="OP422" s="4"/>
      <c r="OQ422" s="4"/>
      <c r="OR422" s="4"/>
      <c r="OS422" s="4"/>
      <c r="OT422" s="4"/>
      <c r="OU422" s="4"/>
      <c r="OV422" s="4"/>
      <c r="OW422" s="4"/>
      <c r="OX422" s="4"/>
      <c r="OY422" s="4"/>
      <c r="OZ422" s="4"/>
      <c r="PA422" s="4"/>
      <c r="PB422" s="4"/>
      <c r="PC422" s="4"/>
      <c r="PD422" s="4"/>
      <c r="PE422" s="4"/>
      <c r="PF422" s="4"/>
      <c r="PG422" s="4"/>
      <c r="PH422" s="4"/>
      <c r="PI422" s="4"/>
      <c r="PJ422" s="4"/>
      <c r="PK422" s="4"/>
      <c r="PL422" s="4"/>
      <c r="PM422" s="4"/>
      <c r="PN422" s="4"/>
      <c r="PO422" s="4"/>
      <c r="PP422" s="4"/>
      <c r="PQ422" s="4"/>
      <c r="PR422" s="4"/>
      <c r="PS422" s="4"/>
      <c r="PT422" s="4"/>
      <c r="PU422" s="4"/>
      <c r="PV422" s="4"/>
      <c r="PW422" s="4"/>
      <c r="PX422" s="4"/>
      <c r="PY422" s="4"/>
      <c r="PZ422" s="4"/>
      <c r="QA422" s="4"/>
      <c r="QB422" s="4"/>
      <c r="QC422" s="4"/>
      <c r="QD422" s="4"/>
      <c r="QE422" s="4"/>
      <c r="QF422" s="4"/>
      <c r="QG422" s="4"/>
      <c r="QH422" s="4"/>
      <c r="QI422" s="4"/>
      <c r="QJ422" s="4"/>
      <c r="QK422" s="4"/>
      <c r="QL422" s="4"/>
      <c r="QM422" s="4"/>
      <c r="QN422" s="4"/>
      <c r="QO422" s="4"/>
      <c r="QP422" s="4"/>
      <c r="QQ422" s="4"/>
      <c r="QR422" s="4"/>
      <c r="QS422" s="4"/>
      <c r="QT422" s="4"/>
      <c r="QU422" s="4"/>
      <c r="QV422" s="4"/>
      <c r="QW422" s="4"/>
      <c r="QX422" s="4"/>
      <c r="QY422" s="4"/>
      <c r="QZ422" s="4"/>
      <c r="RA422" s="4"/>
      <c r="RB422" s="4"/>
      <c r="RC422" s="4"/>
      <c r="RD422" s="4"/>
      <c r="RE422" s="4"/>
      <c r="RF422" s="4"/>
      <c r="RG422" s="4"/>
      <c r="RH422" s="4"/>
      <c r="RI422" s="4"/>
      <c r="RJ422" s="4"/>
      <c r="RK422" s="4"/>
      <c r="RL422" s="4"/>
      <c r="RM422" s="4"/>
      <c r="RN422" s="4"/>
      <c r="RO422" s="4"/>
      <c r="RP422" s="4"/>
      <c r="RQ422" s="4"/>
      <c r="RR422" s="4"/>
      <c r="RS422" s="4"/>
      <c r="RT422" s="4"/>
      <c r="RU422" s="4"/>
      <c r="RV422" s="4"/>
      <c r="RW422" s="4"/>
      <c r="RX422" s="4"/>
      <c r="RY422" s="4"/>
      <c r="RZ422" s="4"/>
      <c r="SA422" s="4"/>
      <c r="SB422" s="4"/>
      <c r="SC422" s="4"/>
      <c r="SD422" s="4"/>
      <c r="SE422" s="4"/>
      <c r="SF422" s="4"/>
      <c r="SG422" s="4"/>
      <c r="SH422" s="4"/>
      <c r="SI422" s="4"/>
      <c r="SJ422" s="4"/>
      <c r="SK422" s="4"/>
      <c r="SL422" s="4"/>
      <c r="SM422" s="4"/>
      <c r="SN422" s="4"/>
      <c r="SO422" s="4"/>
      <c r="SP422" s="4"/>
      <c r="SQ422" s="4"/>
      <c r="SR422" s="4"/>
      <c r="SS422" s="4"/>
      <c r="ST422" s="4"/>
      <c r="SU422" s="4"/>
      <c r="SV422" s="4"/>
      <c r="SW422" s="4"/>
      <c r="SX422" s="4"/>
      <c r="SY422" s="4"/>
      <c r="SZ422" s="4"/>
      <c r="TA422" s="4"/>
      <c r="TB422" s="4"/>
      <c r="TC422" s="4"/>
      <c r="TD422" s="4"/>
      <c r="TE422" s="4"/>
      <c r="TF422" s="4"/>
      <c r="TG422" s="4"/>
      <c r="TH422" s="4"/>
      <c r="TI422" s="4"/>
      <c r="TJ422" s="4"/>
      <c r="TK422" s="4"/>
      <c r="TL422" s="4"/>
      <c r="TM422" s="4"/>
      <c r="TN422" s="4"/>
      <c r="TO422" s="4"/>
      <c r="TP422" s="4"/>
      <c r="TQ422" s="4"/>
      <c r="TR422" s="4"/>
      <c r="TS422" s="4"/>
      <c r="TT422" s="4"/>
      <c r="TU422" s="4"/>
      <c r="TV422" s="4"/>
      <c r="TW422" s="4"/>
      <c r="TX422" s="4"/>
      <c r="TY422" s="4"/>
      <c r="TZ422" s="4"/>
      <c r="UA422" s="4"/>
      <c r="UB422" s="4"/>
      <c r="UC422" s="4"/>
      <c r="UD422" s="4"/>
      <c r="UE422" s="4"/>
      <c r="UF422" s="4"/>
      <c r="UG422" s="4"/>
      <c r="UH422" s="4"/>
      <c r="UI422" s="4"/>
      <c r="UJ422" s="4"/>
      <c r="UK422" s="4"/>
      <c r="UL422" s="4"/>
      <c r="UM422" s="4"/>
      <c r="UN422" s="4"/>
      <c r="UO422" s="4"/>
      <c r="UP422" s="4"/>
      <c r="UQ422" s="4"/>
      <c r="UR422" s="4"/>
      <c r="US422" s="4"/>
      <c r="UT422" s="4"/>
      <c r="UU422" s="4"/>
      <c r="UV422" s="4"/>
      <c r="UW422" s="4"/>
      <c r="UX422" s="4"/>
      <c r="UY422" s="4"/>
      <c r="UZ422" s="4"/>
      <c r="VA422" s="4"/>
      <c r="VB422" s="4"/>
      <c r="VC422" s="4"/>
      <c r="VD422" s="4"/>
      <c r="VE422" s="4"/>
      <c r="VF422" s="4"/>
      <c r="VG422" s="4"/>
      <c r="VH422" s="4"/>
      <c r="VI422" s="4"/>
      <c r="VJ422" s="4"/>
      <c r="VK422" s="4"/>
      <c r="VL422" s="4"/>
      <c r="VM422" s="4"/>
      <c r="VN422" s="4"/>
      <c r="VO422" s="4"/>
      <c r="VP422" s="4"/>
      <c r="VQ422" s="4"/>
      <c r="VR422" s="4"/>
      <c r="VS422" s="4"/>
      <c r="VT422" s="4"/>
      <c r="VU422" s="4"/>
      <c r="VV422" s="4"/>
      <c r="VW422" s="4"/>
      <c r="VX422" s="4"/>
      <c r="VY422" s="4"/>
      <c r="VZ422" s="4"/>
      <c r="WA422" s="4"/>
      <c r="WB422" s="4"/>
      <c r="WC422" s="4"/>
      <c r="WD422" s="4"/>
      <c r="WE422" s="4"/>
      <c r="WF422" s="4"/>
      <c r="WG422" s="4"/>
      <c r="WH422" s="4"/>
      <c r="WI422" s="4"/>
      <c r="WJ422" s="4"/>
      <c r="WK422" s="4"/>
      <c r="WL422" s="4"/>
      <c r="WM422" s="4"/>
      <c r="WN422" s="4"/>
      <c r="WO422" s="4"/>
      <c r="WP422" s="4"/>
      <c r="WQ422" s="4"/>
      <c r="WR422" s="4"/>
      <c r="WS422" s="4"/>
      <c r="WT422" s="4"/>
      <c r="WU422" s="4"/>
      <c r="WV422" s="4"/>
      <c r="WW422" s="4"/>
      <c r="WX422" s="4"/>
      <c r="WY422" s="4"/>
      <c r="WZ422" s="4"/>
      <c r="XA422" s="4"/>
      <c r="XB422" s="4"/>
      <c r="XC422" s="4"/>
      <c r="XD422" s="4"/>
      <c r="XE422" s="4"/>
      <c r="XF422" s="4"/>
      <c r="XG422" s="4"/>
      <c r="XH422" s="4"/>
      <c r="XI422" s="4"/>
      <c r="XJ422" s="4"/>
      <c r="XK422" s="4"/>
      <c r="XL422" s="4"/>
      <c r="XM422" s="4"/>
      <c r="XN422" s="4"/>
      <c r="XO422" s="4"/>
      <c r="XP422" s="4"/>
      <c r="XQ422" s="4"/>
      <c r="XR422" s="4"/>
      <c r="XS422" s="4"/>
      <c r="XT422" s="4"/>
      <c r="XU422" s="4"/>
      <c r="XV422" s="4"/>
      <c r="XW422" s="4"/>
      <c r="XX422" s="4"/>
      <c r="XY422" s="4"/>
      <c r="XZ422" s="4"/>
      <c r="YA422" s="4"/>
      <c r="YB422" s="4"/>
      <c r="YC422" s="4"/>
      <c r="YD422" s="4"/>
      <c r="YE422" s="4"/>
      <c r="YF422" s="4"/>
      <c r="YG422" s="4"/>
      <c r="YH422" s="4"/>
      <c r="YI422" s="4"/>
      <c r="YJ422" s="4"/>
      <c r="YK422" s="4"/>
      <c r="YL422" s="4"/>
      <c r="YM422" s="4"/>
      <c r="YN422" s="4"/>
      <c r="YO422" s="4"/>
      <c r="YP422" s="4"/>
      <c r="YQ422" s="4"/>
      <c r="YR422" s="4"/>
      <c r="YS422" s="4"/>
      <c r="YT422" s="4"/>
      <c r="YU422" s="4"/>
      <c r="YV422" s="4"/>
      <c r="YW422" s="4"/>
      <c r="YX422" s="4"/>
      <c r="YY422" s="4"/>
      <c r="YZ422" s="4"/>
      <c r="ZA422" s="4"/>
      <c r="ZB422" s="4"/>
      <c r="ZC422" s="4"/>
      <c r="ZD422" s="4"/>
      <c r="ZE422" s="4"/>
      <c r="ZF422" s="4"/>
      <c r="ZG422" s="4"/>
      <c r="ZH422" s="4"/>
      <c r="ZI422" s="4"/>
      <c r="ZJ422" s="4"/>
      <c r="ZK422" s="4"/>
      <c r="ZL422" s="4"/>
      <c r="ZM422" s="4"/>
      <c r="ZN422" s="4"/>
      <c r="ZO422" s="4"/>
      <c r="ZP422" s="4"/>
      <c r="ZQ422" s="4"/>
      <c r="ZR422" s="4"/>
      <c r="ZS422" s="4"/>
      <c r="ZT422" s="4"/>
      <c r="ZU422" s="4"/>
      <c r="ZV422" s="4"/>
      <c r="ZW422" s="4"/>
      <c r="ZX422" s="4"/>
      <c r="ZY422" s="4"/>
      <c r="ZZ422" s="4"/>
      <c r="AAA422" s="4"/>
      <c r="AAB422" s="4"/>
      <c r="AAC422" s="4"/>
      <c r="AAD422" s="4"/>
      <c r="AAE422" s="4"/>
      <c r="AAF422" s="4"/>
      <c r="AAG422" s="4"/>
      <c r="AAH422" s="4"/>
      <c r="AAI422" s="4"/>
      <c r="AAJ422" s="4"/>
      <c r="AAK422" s="4"/>
      <c r="AAL422" s="4"/>
      <c r="AAM422" s="4"/>
      <c r="AAN422" s="4"/>
      <c r="AAO422" s="4"/>
      <c r="AAP422" s="4"/>
      <c r="AAQ422" s="4"/>
      <c r="AAR422" s="4"/>
      <c r="AAS422" s="4"/>
      <c r="AAT422" s="4"/>
      <c r="AAU422" s="4"/>
      <c r="AAV422" s="4"/>
      <c r="AAW422" s="4"/>
      <c r="AAX422" s="4"/>
      <c r="AAY422" s="4"/>
      <c r="AAZ422" s="4"/>
      <c r="ABA422" s="4"/>
      <c r="ABB422" s="4"/>
      <c r="ABC422" s="4"/>
      <c r="ABD422" s="4"/>
      <c r="ABE422" s="4"/>
      <c r="ABF422" s="4"/>
      <c r="ABG422" s="4"/>
      <c r="ABH422" s="4"/>
      <c r="ABI422" s="4"/>
      <c r="ABJ422" s="4"/>
      <c r="ABK422" s="4"/>
      <c r="ABL422" s="4"/>
      <c r="ABM422" s="4"/>
      <c r="ABN422" s="4"/>
      <c r="ABO422" s="4"/>
      <c r="ABP422" s="4"/>
      <c r="ABQ422" s="4"/>
      <c r="ABR422" s="4"/>
      <c r="ABS422" s="4"/>
      <c r="ABT422" s="4"/>
      <c r="ABU422" s="4"/>
      <c r="ABV422" s="4"/>
      <c r="ABW422" s="4"/>
      <c r="ABX422" s="4"/>
      <c r="ABY422" s="4"/>
      <c r="ABZ422" s="4"/>
      <c r="ACA422" s="4"/>
      <c r="ACB422" s="4"/>
      <c r="ACC422" s="4"/>
      <c r="ACD422" s="4"/>
      <c r="ACE422" s="4"/>
      <c r="ACF422" s="4"/>
      <c r="ACG422" s="4"/>
      <c r="ACH422" s="4"/>
      <c r="ACI422" s="4"/>
      <c r="ACJ422" s="4"/>
      <c r="ACK422" s="4"/>
      <c r="ACL422" s="4"/>
      <c r="ACM422" s="4"/>
      <c r="ACN422" s="4"/>
      <c r="ACO422" s="4"/>
      <c r="ACP422" s="4"/>
      <c r="ACQ422" s="4"/>
      <c r="ACR422" s="4"/>
      <c r="ACS422" s="4"/>
      <c r="ACT422" s="4"/>
      <c r="ACU422" s="4"/>
      <c r="ACV422" s="4"/>
      <c r="ACW422" s="4"/>
      <c r="ACX422" s="4"/>
      <c r="ACY422" s="4"/>
      <c r="ACZ422" s="4"/>
      <c r="ADA422" s="4"/>
      <c r="ADB422" s="4"/>
      <c r="ADC422" s="4"/>
      <c r="ADD422" s="4"/>
      <c r="ADE422" s="4"/>
      <c r="ADF422" s="4"/>
      <c r="ADG422" s="4"/>
      <c r="ADH422" s="4"/>
      <c r="ADI422" s="4"/>
      <c r="ADJ422" s="4"/>
      <c r="ADK422" s="4"/>
      <c r="ADL422" s="4"/>
      <c r="ADM422" s="4"/>
      <c r="ADN422" s="4"/>
      <c r="ADO422" s="4"/>
      <c r="ADP422" s="4"/>
      <c r="ADQ422" s="4"/>
      <c r="ADR422" s="4"/>
      <c r="ADS422" s="4"/>
      <c r="ADT422" s="4"/>
      <c r="ADU422" s="4"/>
      <c r="ADV422" s="4"/>
      <c r="ADW422" s="4"/>
      <c r="ADX422" s="4"/>
      <c r="ADY422" s="4"/>
      <c r="ADZ422" s="4"/>
      <c r="AEA422" s="4"/>
      <c r="AEB422" s="4"/>
      <c r="AEC422" s="4"/>
      <c r="AED422" s="4"/>
      <c r="AEE422" s="4"/>
      <c r="AEF422" s="4"/>
      <c r="AEG422" s="4"/>
      <c r="AEH422" s="4"/>
      <c r="AEI422" s="4"/>
      <c r="AEJ422" s="4"/>
      <c r="AEK422" s="4"/>
      <c r="AEL422" s="4"/>
      <c r="AEM422" s="4"/>
      <c r="AEN422" s="4"/>
      <c r="AEO422" s="4"/>
      <c r="AEP422" s="4"/>
      <c r="AEQ422" s="4"/>
      <c r="AER422" s="4"/>
      <c r="AES422" s="4"/>
      <c r="AET422" s="4"/>
      <c r="AEU422" s="4"/>
      <c r="AEV422" s="4"/>
      <c r="AEW422" s="4"/>
      <c r="AEX422" s="4"/>
      <c r="AEY422" s="4"/>
      <c r="AEZ422" s="4"/>
      <c r="AFA422" s="4"/>
      <c r="AFB422" s="4"/>
      <c r="AFC422" s="4"/>
      <c r="AFD422" s="4"/>
      <c r="AFE422" s="4"/>
      <c r="AFF422" s="4"/>
      <c r="AFG422" s="4"/>
      <c r="AFH422" s="4"/>
      <c r="AFI422" s="4"/>
      <c r="AFJ422" s="4"/>
      <c r="AFK422" s="4"/>
      <c r="AFL422" s="4"/>
      <c r="AFM422" s="4"/>
      <c r="AFN422" s="4"/>
      <c r="AFO422" s="4"/>
      <c r="AFP422" s="4"/>
      <c r="AFQ422" s="4"/>
      <c r="AFR422" s="4"/>
      <c r="AFS422" s="4"/>
      <c r="AFT422" s="4"/>
      <c r="AFU422" s="4"/>
      <c r="AFV422" s="4"/>
      <c r="AFW422" s="4"/>
      <c r="AFX422" s="4"/>
      <c r="AFY422" s="4"/>
      <c r="AFZ422" s="4"/>
      <c r="AGA422" s="4"/>
      <c r="AGB422" s="4"/>
      <c r="AGC422" s="4"/>
      <c r="AGD422" s="4"/>
      <c r="AGE422" s="4"/>
      <c r="AGF422" s="4"/>
      <c r="AGG422" s="4"/>
      <c r="AGH422" s="4"/>
      <c r="AGI422" s="4"/>
      <c r="AGJ422" s="4"/>
      <c r="AGK422" s="4"/>
      <c r="AGL422" s="4"/>
      <c r="AGM422" s="4"/>
      <c r="AGN422" s="4"/>
      <c r="AGO422" s="4"/>
      <c r="AGP422" s="4"/>
      <c r="AGQ422" s="4"/>
      <c r="AGR422" s="4"/>
      <c r="AGS422" s="4"/>
      <c r="AGT422" s="4"/>
      <c r="AGU422" s="4"/>
      <c r="AGV422" s="4"/>
      <c r="AGW422" s="4"/>
      <c r="AGX422" s="4"/>
      <c r="AGY422" s="4"/>
      <c r="AGZ422" s="4"/>
      <c r="AHA422" s="4"/>
      <c r="AHB422" s="4"/>
      <c r="AHC422" s="4"/>
      <c r="AHD422" s="4"/>
      <c r="AHE422" s="4"/>
      <c r="AHF422" s="4"/>
      <c r="AHG422" s="4"/>
      <c r="AHH422" s="4"/>
      <c r="AHI422" s="4"/>
      <c r="AHJ422" s="4"/>
      <c r="AHK422" s="4"/>
      <c r="AHL422" s="4"/>
      <c r="AHM422" s="4"/>
      <c r="AHN422" s="4"/>
      <c r="AHO422" s="4"/>
      <c r="AHP422" s="4"/>
      <c r="AHQ422" s="4"/>
      <c r="AHR422" s="4"/>
      <c r="AHS422" s="4"/>
      <c r="AHT422" s="4"/>
      <c r="AHU422" s="4"/>
      <c r="AHV422" s="4"/>
      <c r="AHW422" s="4"/>
      <c r="AHX422" s="4"/>
      <c r="AHY422" s="4"/>
      <c r="AHZ422" s="4"/>
      <c r="AIA422" s="4"/>
      <c r="AIB422" s="4"/>
      <c r="AIC422" s="4"/>
      <c r="AID422" s="4"/>
      <c r="AIE422" s="4"/>
      <c r="AIF422" s="4"/>
      <c r="AIG422" s="4"/>
      <c r="AIH422" s="4"/>
      <c r="AII422" s="4"/>
      <c r="AIJ422" s="4"/>
      <c r="AIK422" s="4"/>
      <c r="AIL422" s="4"/>
      <c r="AIM422" s="4"/>
      <c r="AIN422" s="4"/>
      <c r="AIO422" s="4"/>
      <c r="AIP422" s="4"/>
      <c r="AIQ422" s="4"/>
      <c r="AIR422" s="4"/>
      <c r="AIS422" s="4"/>
      <c r="AIT422" s="4"/>
      <c r="AIU422" s="4"/>
      <c r="AIV422" s="4"/>
      <c r="AIW422" s="4"/>
      <c r="AIX422" s="4"/>
      <c r="AIY422" s="4"/>
      <c r="AIZ422" s="4"/>
      <c r="AJA422" s="4"/>
      <c r="AJB422" s="4"/>
      <c r="AJC422" s="4"/>
      <c r="AJD422" s="4"/>
      <c r="AJE422" s="4"/>
      <c r="AJF422" s="4"/>
      <c r="AJG422" s="4"/>
      <c r="AJH422" s="4"/>
      <c r="AJI422" s="4"/>
      <c r="AJJ422" s="4"/>
      <c r="AJK422" s="4"/>
      <c r="AJL422" s="4"/>
      <c r="AJM422" s="4"/>
      <c r="AJN422" s="4"/>
      <c r="AJO422" s="4"/>
      <c r="AJP422" s="4"/>
      <c r="AJQ422" s="4"/>
      <c r="AJR422" s="4"/>
      <c r="AJS422" s="4"/>
      <c r="AJT422" s="4"/>
      <c r="AJU422" s="4"/>
      <c r="AJV422" s="4"/>
      <c r="AJW422" s="4"/>
      <c r="AJX422" s="4"/>
      <c r="AJY422" s="4"/>
      <c r="AJZ422" s="4"/>
      <c r="AKA422" s="4"/>
      <c r="AKB422" s="4"/>
      <c r="AKC422" s="4"/>
      <c r="AKD422" s="4"/>
      <c r="AKE422" s="4"/>
      <c r="AKF422" s="4"/>
      <c r="AKG422" s="4"/>
      <c r="AKH422" s="4"/>
      <c r="AKI422" s="4"/>
      <c r="AKJ422" s="4"/>
      <c r="AKK422" s="4"/>
      <c r="AKL422" s="4"/>
      <c r="AKM422" s="4"/>
      <c r="AKN422" s="4"/>
      <c r="AKO422" s="4"/>
      <c r="AKP422" s="4"/>
      <c r="AKQ422" s="4"/>
      <c r="AKR422" s="4"/>
      <c r="AKS422" s="4"/>
      <c r="AKT422" s="4"/>
      <c r="AKU422" s="4"/>
      <c r="AKV422" s="4"/>
      <c r="AKW422" s="4"/>
      <c r="AKX422" s="4"/>
      <c r="AKY422" s="4"/>
      <c r="AKZ422" s="4"/>
      <c r="ALA422" s="4"/>
      <c r="ALB422" s="4"/>
      <c r="ALC422" s="4"/>
      <c r="ALD422" s="4"/>
      <c r="ALE422" s="4"/>
      <c r="ALF422" s="4"/>
      <c r="ALG422" s="4"/>
      <c r="ALH422" s="4"/>
      <c r="ALI422" s="4"/>
      <c r="ALJ422" s="4"/>
      <c r="ALK422" s="4"/>
      <c r="ALL422" s="4"/>
      <c r="ALM422" s="4"/>
      <c r="ALN422" s="4"/>
      <c r="ALO422" s="4"/>
      <c r="ALP422" s="4"/>
      <c r="ALQ422" s="4"/>
      <c r="ALR422" s="4"/>
      <c r="ALS422" s="4"/>
      <c r="ALT422" s="4"/>
      <c r="ALU422" s="4"/>
      <c r="ALV422" s="4"/>
      <c r="ALW422" s="4"/>
      <c r="ALX422" s="4"/>
      <c r="ALY422" s="4"/>
      <c r="ALZ422" s="4"/>
      <c r="AMA422" s="4"/>
      <c r="AMB422" s="4"/>
      <c r="AMC422" s="4"/>
      <c r="AMD422" s="4"/>
      <c r="AME422" s="4"/>
      <c r="AMF422" s="4"/>
      <c r="AMG422" s="4"/>
      <c r="AMH422" s="4"/>
      <c r="AMI422" s="4"/>
      <c r="AMJ422" s="4"/>
      <c r="AMK422" s="4"/>
      <c r="AML422" s="4"/>
      <c r="AMM422" s="4"/>
      <c r="AMN422" s="4"/>
      <c r="AMO422" s="4"/>
      <c r="AMP422" s="4"/>
      <c r="AMQ422" s="4"/>
      <c r="AMR422" s="4"/>
      <c r="AMS422" s="4"/>
      <c r="AMT422" s="4"/>
      <c r="AMU422" s="4"/>
      <c r="AMV422" s="4"/>
      <c r="AMW422" s="4"/>
      <c r="AMX422" s="4"/>
      <c r="AMY422" s="4"/>
      <c r="AMZ422" s="4"/>
      <c r="ANA422" s="4"/>
      <c r="ANB422" s="4"/>
      <c r="ANC422" s="4"/>
      <c r="AND422" s="4"/>
      <c r="ANE422" s="4"/>
      <c r="ANF422" s="4"/>
      <c r="ANG422" s="4"/>
      <c r="ANH422" s="4"/>
      <c r="ANI422" s="4"/>
      <c r="ANJ422" s="4"/>
      <c r="ANK422" s="4"/>
      <c r="ANL422" s="4"/>
      <c r="ANM422" s="4"/>
      <c r="ANN422" s="4"/>
      <c r="ANO422" s="4"/>
      <c r="ANP422" s="4"/>
      <c r="ANQ422" s="4"/>
      <c r="ANR422" s="4"/>
      <c r="ANS422" s="4"/>
      <c r="ANT422" s="4"/>
      <c r="ANU422" s="4"/>
      <c r="ANV422" s="4"/>
      <c r="ANW422" s="4"/>
      <c r="ANX422" s="4"/>
      <c r="ANY422" s="4"/>
      <c r="ANZ422" s="4"/>
      <c r="AOA422" s="4"/>
      <c r="AOB422" s="4"/>
      <c r="AOC422" s="4"/>
      <c r="AOD422" s="4"/>
      <c r="AOE422" s="4"/>
      <c r="AOF422" s="4"/>
      <c r="AOG422" s="4"/>
      <c r="AOH422" s="4"/>
      <c r="AOI422" s="4"/>
      <c r="AOJ422" s="4"/>
      <c r="AOK422" s="4"/>
      <c r="AOL422" s="4"/>
      <c r="AOM422" s="4"/>
      <c r="AON422" s="4"/>
      <c r="AOO422" s="4"/>
      <c r="AOP422" s="4"/>
      <c r="AOQ422" s="4"/>
      <c r="AOR422" s="4"/>
      <c r="AOS422" s="4"/>
      <c r="AOT422" s="4"/>
    </row>
    <row r="423" spans="1:1086" ht="12" customHeight="1">
      <c r="X423" s="4"/>
      <c r="AH423" s="4"/>
      <c r="EA423" s="4"/>
      <c r="FX423" s="4"/>
      <c r="HL423" s="4"/>
      <c r="HZ423" s="4"/>
      <c r="IA423" s="18" t="s">
        <v>182</v>
      </c>
      <c r="IB423" s="238" t="s">
        <v>183</v>
      </c>
      <c r="ID423" s="256" t="s">
        <v>164</v>
      </c>
      <c r="IE423" s="58">
        <v>10</v>
      </c>
      <c r="IF423" s="58">
        <v>6.1</v>
      </c>
      <c r="IG423" s="59">
        <f t="shared" si="35"/>
        <v>0.58699999999999997</v>
      </c>
      <c r="IH423" s="60">
        <f t="shared" si="31"/>
        <v>6.6000000000000005</v>
      </c>
      <c r="II423" s="58">
        <v>18.600000000000001</v>
      </c>
      <c r="IJ423" s="58">
        <v>28</v>
      </c>
      <c r="IK423" s="61">
        <f t="shared" si="34"/>
        <v>12163.449092960853</v>
      </c>
      <c r="IL423" s="58">
        <v>40</v>
      </c>
      <c r="IM423" s="61">
        <f t="shared" si="32"/>
        <v>960</v>
      </c>
      <c r="IN423" s="61">
        <v>1000</v>
      </c>
      <c r="IO423" s="22">
        <v>780</v>
      </c>
      <c r="IP423" s="61">
        <f t="shared" si="33"/>
        <v>1236.2166901196686</v>
      </c>
      <c r="IQ423" s="62" t="s">
        <v>209</v>
      </c>
      <c r="IR423" s="15">
        <v>2017</v>
      </c>
      <c r="IU423" s="4"/>
      <c r="JM423" s="4"/>
    </row>
    <row r="424" spans="1:1086" ht="12" customHeight="1">
      <c r="X424" s="4"/>
      <c r="AH424" s="4"/>
      <c r="EA424" s="4"/>
      <c r="FX424" s="4"/>
      <c r="HL424" s="4"/>
      <c r="HZ424" s="4"/>
      <c r="IA424" s="213" t="s">
        <v>184</v>
      </c>
      <c r="IB424" s="240" t="s">
        <v>183</v>
      </c>
      <c r="ID424" s="256" t="s">
        <v>164</v>
      </c>
      <c r="IE424" s="58">
        <v>12</v>
      </c>
      <c r="IF424" s="58">
        <v>7.5</v>
      </c>
      <c r="IG424" s="59">
        <f t="shared" si="35"/>
        <v>0.60583333333333333</v>
      </c>
      <c r="IH424" s="60">
        <f t="shared" si="31"/>
        <v>7.92</v>
      </c>
      <c r="II424" s="58">
        <v>22.6</v>
      </c>
      <c r="IJ424" s="58">
        <v>38</v>
      </c>
      <c r="IK424" s="61">
        <f t="shared" si="34"/>
        <v>19540.153973500182</v>
      </c>
      <c r="IL424" s="58">
        <v>70</v>
      </c>
      <c r="IM424" s="61">
        <f t="shared" si="32"/>
        <v>860</v>
      </c>
      <c r="IN424" s="61">
        <v>1000</v>
      </c>
      <c r="IO424" s="22">
        <v>780</v>
      </c>
      <c r="IP424" s="61">
        <f t="shared" si="33"/>
        <v>1282.126427023436</v>
      </c>
      <c r="IQ424" s="62" t="s">
        <v>209</v>
      </c>
      <c r="IR424" s="15">
        <v>2017</v>
      </c>
      <c r="IU424" s="4"/>
      <c r="JM424" s="4"/>
    </row>
    <row r="425" spans="1:1086" ht="12" customHeight="1">
      <c r="X425" s="4"/>
      <c r="AH425" s="4"/>
      <c r="EA425" s="4"/>
      <c r="FX425" s="4"/>
      <c r="HL425" s="4"/>
      <c r="HZ425" s="4"/>
      <c r="IA425" s="18" t="s">
        <v>186</v>
      </c>
      <c r="IB425" s="238" t="s">
        <v>187</v>
      </c>
      <c r="ID425" s="229" t="s">
        <v>166</v>
      </c>
      <c r="IE425" s="231">
        <v>3</v>
      </c>
      <c r="IF425" s="231">
        <v>2</v>
      </c>
      <c r="IG425" s="232">
        <f>(IF425-0.25)/IE425</f>
        <v>0.58333333333333337</v>
      </c>
      <c r="IH425" s="233">
        <f t="shared" si="31"/>
        <v>1.98</v>
      </c>
      <c r="II425" s="231">
        <v>6</v>
      </c>
      <c r="IJ425" s="231">
        <v>2.1</v>
      </c>
      <c r="IK425" s="234">
        <f>0.15*400*IH425^2.6</f>
        <v>354.38941767757422</v>
      </c>
      <c r="IL425" s="231">
        <v>1</v>
      </c>
      <c r="IM425" s="234">
        <f t="shared" si="32"/>
        <v>670</v>
      </c>
      <c r="IN425" s="234">
        <v>500</v>
      </c>
      <c r="IO425" s="235">
        <v>780</v>
      </c>
      <c r="IP425" s="234">
        <f t="shared" si="33"/>
        <v>971.67013290010357</v>
      </c>
      <c r="IQ425" s="230" t="s">
        <v>209</v>
      </c>
      <c r="IR425" s="236">
        <v>2017</v>
      </c>
      <c r="IU425" s="4"/>
      <c r="JM425" s="4"/>
    </row>
    <row r="426" spans="1:1086" ht="12" customHeight="1">
      <c r="X426" s="4"/>
      <c r="AH426" s="4"/>
      <c r="EA426" s="4"/>
      <c r="FX426" s="4"/>
      <c r="HL426" s="4"/>
      <c r="HZ426" s="4"/>
      <c r="IA426" s="34" t="s">
        <v>188</v>
      </c>
      <c r="IB426" s="239" t="s">
        <v>189</v>
      </c>
      <c r="ID426" s="213" t="s">
        <v>166</v>
      </c>
      <c r="IE426" s="215">
        <v>3.5</v>
      </c>
      <c r="IF426" s="215">
        <v>2.2000000000000002</v>
      </c>
      <c r="IG426" s="216">
        <f>(IF426-0.25)/IE426</f>
        <v>0.55714285714285716</v>
      </c>
      <c r="IH426" s="217">
        <f t="shared" si="31"/>
        <v>2.31</v>
      </c>
      <c r="II426" s="215">
        <v>7</v>
      </c>
      <c r="IJ426" s="215">
        <v>2.9</v>
      </c>
      <c r="IK426" s="218">
        <f t="shared" ref="IK426:IK434" si="36">0.15*400*IH426^2.6</f>
        <v>529.10564875447301</v>
      </c>
      <c r="IL426" s="215">
        <v>1.7</v>
      </c>
      <c r="IM426" s="218">
        <f t="shared" si="32"/>
        <v>760</v>
      </c>
      <c r="IN426" s="218">
        <v>500</v>
      </c>
      <c r="IO426" s="219">
        <v>780</v>
      </c>
      <c r="IP426" s="218">
        <f t="shared" si="33"/>
        <v>1002.0934225562827</v>
      </c>
      <c r="IQ426" s="214" t="s">
        <v>209</v>
      </c>
      <c r="IR426" s="220">
        <v>2017</v>
      </c>
      <c r="IU426" s="4"/>
      <c r="JM426" s="4"/>
    </row>
    <row r="427" spans="1:1086" ht="12" customHeight="1">
      <c r="X427" s="4"/>
      <c r="AH427" s="4"/>
      <c r="EA427" s="4"/>
      <c r="FX427" s="4"/>
      <c r="HL427" s="4"/>
      <c r="HZ427" s="4"/>
      <c r="ID427" s="213" t="s">
        <v>166</v>
      </c>
      <c r="IE427" s="215">
        <v>4</v>
      </c>
      <c r="IF427" s="215">
        <v>2.5</v>
      </c>
      <c r="IG427" s="216">
        <f>(IF427-0.25)/IE427</f>
        <v>0.5625</v>
      </c>
      <c r="IH427" s="217">
        <f t="shared" si="31"/>
        <v>2.64</v>
      </c>
      <c r="II427" s="215">
        <v>8</v>
      </c>
      <c r="IJ427" s="215">
        <v>3.8</v>
      </c>
      <c r="IK427" s="218">
        <f t="shared" si="36"/>
        <v>748.7234927753301</v>
      </c>
      <c r="IL427" s="215">
        <v>2.4</v>
      </c>
      <c r="IM427" s="218">
        <f t="shared" si="32"/>
        <v>770</v>
      </c>
      <c r="IN427" s="218">
        <v>500</v>
      </c>
      <c r="IO427" s="219">
        <v>780</v>
      </c>
      <c r="IP427" s="218">
        <f t="shared" si="33"/>
        <v>1029.2161704028574</v>
      </c>
      <c r="IQ427" s="214" t="s">
        <v>209</v>
      </c>
      <c r="IR427" s="220">
        <v>2017</v>
      </c>
      <c r="IU427" s="4"/>
      <c r="JM427" s="4"/>
    </row>
    <row r="428" spans="1:1086" ht="12" customHeight="1">
      <c r="X428" s="4"/>
      <c r="AH428" s="4"/>
      <c r="EA428" s="4"/>
      <c r="FX428" s="4"/>
      <c r="HL428" s="4"/>
      <c r="HZ428" s="4"/>
      <c r="ID428" s="213" t="s">
        <v>166</v>
      </c>
      <c r="IE428" s="215">
        <v>4.5</v>
      </c>
      <c r="IF428" s="215">
        <v>2.8</v>
      </c>
      <c r="IG428" s="216">
        <f>(IF428-0.25)/IE428</f>
        <v>0.56666666666666665</v>
      </c>
      <c r="IH428" s="217">
        <f t="shared" si="31"/>
        <v>2.97</v>
      </c>
      <c r="II428" s="215">
        <v>8.8000000000000007</v>
      </c>
      <c r="IJ428" s="215">
        <v>4.2</v>
      </c>
      <c r="IK428" s="218">
        <f t="shared" si="36"/>
        <v>1016.9931286540913</v>
      </c>
      <c r="IL428" s="215">
        <v>3.2</v>
      </c>
      <c r="IM428" s="218">
        <f t="shared" si="32"/>
        <v>680</v>
      </c>
      <c r="IN428" s="218">
        <v>500</v>
      </c>
      <c r="IO428" s="219">
        <v>780</v>
      </c>
      <c r="IP428" s="218">
        <f t="shared" si="33"/>
        <v>1053.7488300460786</v>
      </c>
      <c r="IQ428" s="214" t="s">
        <v>209</v>
      </c>
      <c r="IR428" s="220">
        <v>2017</v>
      </c>
      <c r="IU428" s="4"/>
      <c r="JM428" s="4"/>
    </row>
    <row r="429" spans="1:1086" ht="12" customHeight="1">
      <c r="X429" s="4"/>
      <c r="AH429" s="4"/>
      <c r="EA429" s="4"/>
      <c r="FX429" s="4"/>
      <c r="HL429" s="4"/>
      <c r="HZ429" s="4"/>
      <c r="ID429" s="213" t="s">
        <v>166</v>
      </c>
      <c r="IE429" s="215">
        <v>5</v>
      </c>
      <c r="IF429" s="215">
        <v>3.1</v>
      </c>
      <c r="IG429" s="216">
        <f t="shared" ref="IG429:IG434" si="37">(IF429-0.23)/IE429</f>
        <v>0.57400000000000007</v>
      </c>
      <c r="IH429" s="217">
        <f t="shared" si="31"/>
        <v>3.3000000000000003</v>
      </c>
      <c r="II429" s="215">
        <v>9.6999999999999993</v>
      </c>
      <c r="IJ429" s="215">
        <v>4.9000000000000004</v>
      </c>
      <c r="IK429" s="218">
        <f t="shared" si="36"/>
        <v>1337.480608370435</v>
      </c>
      <c r="IL429" s="215">
        <v>4.5999999999999996</v>
      </c>
      <c r="IM429" s="218">
        <f t="shared" si="32"/>
        <v>650</v>
      </c>
      <c r="IN429" s="218">
        <v>500</v>
      </c>
      <c r="IO429" s="219">
        <v>780</v>
      </c>
      <c r="IP429" s="218">
        <f t="shared" si="33"/>
        <v>1076.1891359397475</v>
      </c>
      <c r="IQ429" s="214" t="s">
        <v>209</v>
      </c>
      <c r="IR429" s="220">
        <v>2017</v>
      </c>
      <c r="IU429" s="4"/>
      <c r="JM429" s="4"/>
    </row>
    <row r="430" spans="1:1086" ht="12" customHeight="1">
      <c r="X430" s="4"/>
      <c r="AH430" s="4"/>
      <c r="EA430" s="4"/>
      <c r="FX430" s="4"/>
      <c r="HL430" s="4"/>
      <c r="HZ430" s="4"/>
      <c r="IA430" s="284" t="s">
        <v>492</v>
      </c>
      <c r="ID430" s="213" t="s">
        <v>166</v>
      </c>
      <c r="IE430" s="215">
        <v>6</v>
      </c>
      <c r="IF430" s="215">
        <v>3.8</v>
      </c>
      <c r="IG430" s="216">
        <f t="shared" si="37"/>
        <v>0.59499999999999997</v>
      </c>
      <c r="IH430" s="217">
        <f t="shared" si="31"/>
        <v>3.96</v>
      </c>
      <c r="II430" s="215">
        <v>11.6</v>
      </c>
      <c r="IJ430" s="215">
        <v>7.1</v>
      </c>
      <c r="IK430" s="218">
        <f t="shared" si="36"/>
        <v>2148.6156454794896</v>
      </c>
      <c r="IL430" s="215">
        <v>7</v>
      </c>
      <c r="IM430" s="218">
        <f t="shared" si="32"/>
        <v>630</v>
      </c>
      <c r="IN430" s="218">
        <v>500</v>
      </c>
      <c r="IO430" s="219">
        <v>780</v>
      </c>
      <c r="IP430" s="218">
        <f t="shared" si="33"/>
        <v>1116.1558832620992</v>
      </c>
      <c r="IQ430" s="214" t="s">
        <v>209</v>
      </c>
      <c r="IR430" s="220">
        <v>2017</v>
      </c>
      <c r="IU430" s="4"/>
      <c r="JM430" s="4"/>
    </row>
    <row r="431" spans="1:1086" ht="12" customHeight="1">
      <c r="X431" s="4"/>
      <c r="AH431" s="4"/>
      <c r="EA431" s="4"/>
      <c r="FX431" s="4"/>
      <c r="HL431" s="4"/>
      <c r="HZ431" s="4"/>
      <c r="IA431" s="283" t="s">
        <v>493</v>
      </c>
      <c r="IB431" s="286" t="s">
        <v>170</v>
      </c>
      <c r="ID431" s="213" t="s">
        <v>166</v>
      </c>
      <c r="IE431" s="215">
        <v>7</v>
      </c>
      <c r="IF431" s="215">
        <v>4.5</v>
      </c>
      <c r="IG431" s="216">
        <f t="shared" si="37"/>
        <v>0.61</v>
      </c>
      <c r="IH431" s="217">
        <f t="shared" si="31"/>
        <v>4.62</v>
      </c>
      <c r="II431" s="215">
        <v>13.1</v>
      </c>
      <c r="IJ431" s="215">
        <v>10</v>
      </c>
      <c r="IK431" s="218">
        <f t="shared" si="36"/>
        <v>3207.8967890055469</v>
      </c>
      <c r="IL431" s="215">
        <v>8.6999999999999993</v>
      </c>
      <c r="IM431" s="218">
        <f t="shared" si="32"/>
        <v>630</v>
      </c>
      <c r="IN431" s="218">
        <v>500</v>
      </c>
      <c r="IO431" s="219">
        <v>780</v>
      </c>
      <c r="IP431" s="218">
        <f t="shared" si="33"/>
        <v>1151.1030660437505</v>
      </c>
      <c r="IQ431" s="214" t="s">
        <v>209</v>
      </c>
      <c r="IR431" s="220">
        <v>2017</v>
      </c>
      <c r="IU431" s="4"/>
      <c r="JM431" s="4"/>
    </row>
    <row r="432" spans="1:1086" ht="12" customHeight="1">
      <c r="X432" s="4"/>
      <c r="AH432" s="4"/>
      <c r="EA432" s="4"/>
      <c r="FX432" s="4"/>
      <c r="HL432" s="4"/>
      <c r="HZ432" s="4"/>
      <c r="IA432" s="283" t="s">
        <v>494</v>
      </c>
      <c r="IB432" s="285">
        <v>6.5</v>
      </c>
      <c r="ID432" s="213" t="s">
        <v>166</v>
      </c>
      <c r="IE432" s="215">
        <v>8</v>
      </c>
      <c r="IF432" s="215">
        <v>5.3</v>
      </c>
      <c r="IG432" s="216">
        <f t="shared" si="37"/>
        <v>0.63374999999999992</v>
      </c>
      <c r="IH432" s="217">
        <f t="shared" si="31"/>
        <v>5.28</v>
      </c>
      <c r="II432" s="215">
        <v>15.1</v>
      </c>
      <c r="IJ432" s="215">
        <v>13</v>
      </c>
      <c r="IK432" s="218">
        <f t="shared" si="36"/>
        <v>4539.4104069403857</v>
      </c>
      <c r="IL432" s="215">
        <v>17</v>
      </c>
      <c r="IM432" s="218">
        <f t="shared" si="32"/>
        <v>590</v>
      </c>
      <c r="IN432" s="218">
        <v>500</v>
      </c>
      <c r="IO432" s="219">
        <v>780</v>
      </c>
      <c r="IP432" s="218">
        <f t="shared" si="33"/>
        <v>1182.2589218781104</v>
      </c>
      <c r="IQ432" s="214" t="s">
        <v>209</v>
      </c>
      <c r="IR432" s="220">
        <v>2017</v>
      </c>
      <c r="IU432" s="4"/>
      <c r="JM432" s="4"/>
    </row>
    <row r="433" spans="1:1086" ht="12" customHeight="1">
      <c r="X433" s="4"/>
      <c r="AH433" s="4"/>
      <c r="EA433" s="4"/>
      <c r="FX433" s="4"/>
      <c r="HL433" s="4"/>
      <c r="HZ433" s="4"/>
      <c r="IA433" s="283" t="s">
        <v>495</v>
      </c>
      <c r="IB433" s="286">
        <f t="array" ref="IB433">INDEX(IM:IM,MATCH(IB431&amp;IB432,ID:ID&amp;IE:IE,0))</f>
        <v>1150</v>
      </c>
      <c r="ID433" s="213" t="s">
        <v>166</v>
      </c>
      <c r="IE433" s="215">
        <v>10</v>
      </c>
      <c r="IF433" s="215">
        <v>6.1</v>
      </c>
      <c r="IG433" s="216">
        <f t="shared" si="37"/>
        <v>0.58699999999999997</v>
      </c>
      <c r="IH433" s="217">
        <f t="shared" si="31"/>
        <v>6.6000000000000005</v>
      </c>
      <c r="II433" s="215">
        <v>18.600000000000001</v>
      </c>
      <c r="IJ433" s="215">
        <v>20</v>
      </c>
      <c r="IK433" s="218">
        <f t="shared" si="36"/>
        <v>8108.9660619739025</v>
      </c>
      <c r="IL433" s="215">
        <v>28</v>
      </c>
      <c r="IM433" s="218">
        <f t="shared" si="32"/>
        <v>680</v>
      </c>
      <c r="IN433" s="218">
        <v>500</v>
      </c>
      <c r="IO433" s="219">
        <v>780</v>
      </c>
      <c r="IP433" s="218">
        <f t="shared" si="33"/>
        <v>1236.2166901196686</v>
      </c>
      <c r="IQ433" s="214" t="s">
        <v>209</v>
      </c>
      <c r="IR433" s="220">
        <v>2017</v>
      </c>
      <c r="IU433" s="4"/>
      <c r="JM433" s="4"/>
    </row>
    <row r="434" spans="1:1086" ht="12" customHeight="1">
      <c r="X434" s="4"/>
      <c r="AH434" s="4"/>
      <c r="EA434" s="4"/>
      <c r="FX434" s="4"/>
      <c r="HL434" s="4"/>
      <c r="HZ434" s="4"/>
      <c r="IA434" s="283" t="s">
        <v>496</v>
      </c>
      <c r="IB434" s="286">
        <f t="array" ref="IB434">INDEX(IN:IN,MATCH(IB431&amp;IB432,ID:ID&amp;IE:IE,0))</f>
        <v>990</v>
      </c>
      <c r="ID434" s="221" t="s">
        <v>166</v>
      </c>
      <c r="IE434" s="222">
        <v>12</v>
      </c>
      <c r="IF434" s="222">
        <v>7.5</v>
      </c>
      <c r="IG434" s="223">
        <f t="shared" si="37"/>
        <v>0.60583333333333333</v>
      </c>
      <c r="IH434" s="224">
        <f t="shared" si="31"/>
        <v>7.92</v>
      </c>
      <c r="II434" s="222">
        <v>22.6</v>
      </c>
      <c r="IJ434" s="222">
        <v>28</v>
      </c>
      <c r="IK434" s="225">
        <f t="shared" si="36"/>
        <v>13026.769315666788</v>
      </c>
      <c r="IL434" s="222">
        <v>54</v>
      </c>
      <c r="IM434" s="225">
        <f t="shared" si="32"/>
        <v>630</v>
      </c>
      <c r="IN434" s="225">
        <v>500</v>
      </c>
      <c r="IO434" s="226">
        <v>780</v>
      </c>
      <c r="IP434" s="225">
        <f t="shared" si="33"/>
        <v>1282.126427023436</v>
      </c>
      <c r="IQ434" s="227" t="s">
        <v>209</v>
      </c>
      <c r="IR434" s="228">
        <v>2017</v>
      </c>
      <c r="IU434" s="4"/>
      <c r="JM434" s="4"/>
    </row>
    <row r="435" spans="1:1086" ht="12" customHeight="1">
      <c r="X435" s="4"/>
      <c r="AH435" s="4"/>
      <c r="EA435" s="4"/>
      <c r="FX435" s="4"/>
      <c r="HL435" s="4"/>
      <c r="HZ435" s="4"/>
      <c r="IA435" s="73"/>
      <c r="ID435" s="29" t="s">
        <v>170</v>
      </c>
      <c r="IE435" s="69">
        <v>6.5</v>
      </c>
      <c r="IF435" s="69">
        <v>4</v>
      </c>
      <c r="IG435" s="68">
        <f>IF435/IE435</f>
        <v>0.61538461538461542</v>
      </c>
      <c r="IH435" s="69">
        <f t="shared" si="31"/>
        <v>4.29</v>
      </c>
      <c r="II435" s="69">
        <v>8</v>
      </c>
      <c r="IJ435" s="69">
        <v>14.4</v>
      </c>
      <c r="IK435" s="70">
        <v>12700</v>
      </c>
      <c r="IL435" s="69">
        <v>12.7</v>
      </c>
      <c r="IM435" s="70">
        <f t="shared" si="32"/>
        <v>1150</v>
      </c>
      <c r="IN435" s="70">
        <v>990</v>
      </c>
      <c r="IO435" s="30">
        <v>25</v>
      </c>
      <c r="IP435" s="70">
        <f t="shared" si="33"/>
        <v>36.351528777524919</v>
      </c>
      <c r="IQ435" s="71" t="s">
        <v>210</v>
      </c>
      <c r="IR435" s="72">
        <v>2017</v>
      </c>
      <c r="IU435" s="4"/>
      <c r="JM435" s="4"/>
    </row>
    <row r="436" spans="1:1086" ht="12" customHeight="1">
      <c r="X436" s="4"/>
      <c r="AH436" s="4"/>
      <c r="EA436" s="4"/>
      <c r="FX436" s="4"/>
      <c r="HL436" s="4"/>
      <c r="HZ436" s="4"/>
      <c r="IA436" s="73"/>
      <c r="ID436" s="34" t="s">
        <v>170</v>
      </c>
      <c r="IE436" s="79">
        <v>8.1999999999999993</v>
      </c>
      <c r="IF436" s="79">
        <v>5.4</v>
      </c>
      <c r="IG436" s="78">
        <f>IF436/IE436</f>
        <v>0.6585365853658538</v>
      </c>
      <c r="IH436" s="79">
        <f>1.1*0.6*IE436</f>
        <v>5.4119999999999999</v>
      </c>
      <c r="II436" s="79">
        <v>10</v>
      </c>
      <c r="IJ436" s="79">
        <v>28.6</v>
      </c>
      <c r="IK436" s="80">
        <v>19500</v>
      </c>
      <c r="IL436" s="79">
        <v>25.9</v>
      </c>
      <c r="IM436" s="80">
        <f t="shared" si="32"/>
        <v>1250</v>
      </c>
      <c r="IN436" s="80">
        <v>870</v>
      </c>
      <c r="IO436" s="2">
        <v>25</v>
      </c>
      <c r="IP436" s="80">
        <f t="shared" si="33"/>
        <v>38.080512019471122</v>
      </c>
      <c r="IQ436" s="81" t="s">
        <v>210</v>
      </c>
      <c r="IR436" s="82">
        <v>2017</v>
      </c>
      <c r="IU436" s="4"/>
      <c r="JM436" s="4"/>
    </row>
    <row r="437" spans="1:1086" ht="12" customHeight="1">
      <c r="X437" s="4"/>
      <c r="AH437" s="4"/>
      <c r="EA437" s="4"/>
      <c r="FX437" s="4"/>
      <c r="HL437" s="4"/>
      <c r="HZ437" s="4"/>
      <c r="IA437" s="73"/>
      <c r="ID437" s="53" t="s">
        <v>216</v>
      </c>
      <c r="IE437" s="55">
        <v>16</v>
      </c>
      <c r="IF437" s="55">
        <v>12</v>
      </c>
      <c r="IG437" s="54">
        <f>IF437/IE437</f>
        <v>0.75</v>
      </c>
      <c r="IH437" s="55">
        <f t="shared" ref="IH437:IH479" si="38">1.1*0.6*IE437</f>
        <v>10.56</v>
      </c>
      <c r="II437" s="55">
        <v>16</v>
      </c>
      <c r="IJ437" s="55">
        <v>91.5</v>
      </c>
      <c r="IK437" s="85"/>
      <c r="IL437" s="86"/>
      <c r="IM437" s="56">
        <v>800</v>
      </c>
      <c r="IN437" s="56">
        <v>640</v>
      </c>
      <c r="IO437" s="87">
        <v>25</v>
      </c>
      <c r="IP437" s="85">
        <f t="shared" si="33"/>
        <v>43.527528164806206</v>
      </c>
      <c r="IQ437" s="57" t="s">
        <v>218</v>
      </c>
      <c r="IR437" s="11">
        <v>2015</v>
      </c>
      <c r="IU437" s="4"/>
      <c r="JM437" s="4"/>
    </row>
    <row r="438" spans="1:1086" ht="12" customHeight="1">
      <c r="X438" s="4"/>
      <c r="AH438" s="4"/>
      <c r="EA438" s="4"/>
      <c r="FX438" s="4"/>
      <c r="HL438" s="4"/>
      <c r="HZ438" s="4"/>
      <c r="IA438" s="73"/>
      <c r="ID438" s="24" t="s">
        <v>216</v>
      </c>
      <c r="IE438" s="64">
        <v>20</v>
      </c>
      <c r="IF438" s="64">
        <v>15</v>
      </c>
      <c r="IG438" s="63">
        <f>IF438/IE438</f>
        <v>0.75</v>
      </c>
      <c r="IH438" s="64">
        <f t="shared" si="38"/>
        <v>13.200000000000001</v>
      </c>
      <c r="II438" s="64">
        <v>20</v>
      </c>
      <c r="IJ438" s="64">
        <v>145</v>
      </c>
      <c r="IK438" s="88"/>
      <c r="IL438" s="89"/>
      <c r="IM438" s="65">
        <v>800</v>
      </c>
      <c r="IN438" s="65">
        <v>640</v>
      </c>
      <c r="IO438" s="90">
        <v>25</v>
      </c>
      <c r="IP438" s="88">
        <f t="shared" si="33"/>
        <v>45.514105075652004</v>
      </c>
      <c r="IQ438" s="66" t="s">
        <v>218</v>
      </c>
      <c r="IR438" s="17">
        <v>2015</v>
      </c>
      <c r="IU438" s="4"/>
      <c r="JM438" s="4"/>
    </row>
    <row r="439" spans="1:1086" ht="12" customHeight="1">
      <c r="X439" s="4"/>
      <c r="AH439" s="4"/>
      <c r="EA439" s="4"/>
      <c r="FX439" s="4"/>
      <c r="HL439" s="4"/>
      <c r="HZ439" s="4"/>
      <c r="IA439" s="73"/>
      <c r="ID439" s="29" t="s">
        <v>172</v>
      </c>
      <c r="IE439" s="67">
        <v>6</v>
      </c>
      <c r="IF439" s="67">
        <v>3.9</v>
      </c>
      <c r="IG439" s="68">
        <f>(IF439-0.23)/IE439</f>
        <v>0.61166666666666669</v>
      </c>
      <c r="IH439" s="69">
        <f t="shared" si="38"/>
        <v>3.96</v>
      </c>
      <c r="II439" s="67">
        <v>12</v>
      </c>
      <c r="IJ439" s="67">
        <v>11</v>
      </c>
      <c r="IK439" s="70">
        <v>9500</v>
      </c>
      <c r="IL439" s="30">
        <v>10</v>
      </c>
      <c r="IM439" s="70">
        <f t="shared" ref="IM439:IM479" si="39">ROUND((IJ439*10^3/(IF439^2*PI()/4))/10,0)*10</f>
        <v>920</v>
      </c>
      <c r="IN439" s="70">
        <v>1000</v>
      </c>
      <c r="IO439" s="30">
        <v>780</v>
      </c>
      <c r="IP439" s="70">
        <f t="shared" si="33"/>
        <v>1116.1558832620992</v>
      </c>
      <c r="IQ439" s="71" t="s">
        <v>211</v>
      </c>
      <c r="IR439" s="72">
        <v>2016</v>
      </c>
      <c r="IU439" s="4"/>
      <c r="JM439" s="4"/>
    </row>
    <row r="440" spans="1:1086" s="84" customFormat="1" ht="12" customHeight="1">
      <c r="A440" s="4"/>
      <c r="B440" s="4"/>
      <c r="C440" s="4"/>
      <c r="D440" s="4"/>
      <c r="E440" s="4"/>
      <c r="F440" s="4"/>
      <c r="G440" s="4"/>
      <c r="H440" s="4"/>
      <c r="I440" s="4"/>
      <c r="J440" s="4"/>
      <c r="K440" s="4"/>
      <c r="L440" s="4"/>
      <c r="M440" s="4"/>
      <c r="N440" s="4"/>
      <c r="O440" s="4"/>
      <c r="P440" s="4"/>
      <c r="Q440" s="4"/>
      <c r="R440" s="4"/>
      <c r="S440" s="4"/>
      <c r="T440" s="4"/>
      <c r="U440" s="4"/>
      <c r="V440" s="4"/>
      <c r="W440" s="91"/>
      <c r="X440" s="4"/>
      <c r="Y440" s="4"/>
      <c r="Z440" s="4"/>
      <c r="AA440" s="4"/>
      <c r="AB440" s="4"/>
      <c r="AC440" s="4"/>
      <c r="AD440" s="4"/>
      <c r="AE440" s="4"/>
      <c r="AF440" s="4"/>
      <c r="AG440" s="91"/>
      <c r="AH440" s="4"/>
      <c r="AI440" s="4"/>
      <c r="AJ440" s="4"/>
      <c r="AK440" s="4"/>
      <c r="AL440" s="4"/>
      <c r="AM440" s="4"/>
      <c r="AN440" s="4"/>
      <c r="AO440" s="4"/>
      <c r="AP440" s="4"/>
      <c r="AQ440" s="4"/>
      <c r="AR440" s="4"/>
      <c r="AS440" s="4"/>
      <c r="AT440" s="4"/>
      <c r="AU440" s="4"/>
      <c r="AV440" s="4"/>
      <c r="AW440" s="4"/>
      <c r="AX440" s="4"/>
      <c r="AY440" s="4"/>
      <c r="AZ440" s="4"/>
      <c r="BA440" s="4"/>
      <c r="BB440" s="4"/>
      <c r="BC440" s="4"/>
      <c r="BD440" s="4"/>
      <c r="BE440" s="4"/>
      <c r="BF440" s="4"/>
      <c r="BG440" s="4"/>
      <c r="BH440" s="4"/>
      <c r="BI440" s="4"/>
      <c r="BJ440" s="4"/>
      <c r="BK440" s="4"/>
      <c r="BL440" s="4"/>
      <c r="BM440" s="4"/>
      <c r="BN440" s="4"/>
      <c r="BO440" s="4"/>
      <c r="BP440" s="4"/>
      <c r="BQ440" s="4"/>
      <c r="BR440" s="4"/>
      <c r="BS440" s="4"/>
      <c r="BT440" s="4"/>
      <c r="BU440" s="4"/>
      <c r="BV440" s="4"/>
      <c r="BW440" s="4"/>
      <c r="BX440" s="4"/>
      <c r="BY440" s="4"/>
      <c r="BZ440" s="4"/>
      <c r="CA440" s="4"/>
      <c r="CB440" s="4"/>
      <c r="CC440" s="4"/>
      <c r="CD440" s="4"/>
      <c r="CE440" s="4"/>
      <c r="CF440" s="4"/>
      <c r="CG440" s="4"/>
      <c r="CH440" s="4"/>
      <c r="CI440" s="4"/>
      <c r="CJ440" s="4"/>
      <c r="CK440" s="4"/>
      <c r="CL440" s="4"/>
      <c r="CM440" s="4"/>
      <c r="CN440" s="4"/>
      <c r="CO440" s="4"/>
      <c r="CP440" s="4"/>
      <c r="CQ440" s="4"/>
      <c r="CR440" s="4"/>
      <c r="CS440" s="4"/>
      <c r="CT440" s="4"/>
      <c r="CU440" s="4"/>
      <c r="CV440" s="4"/>
      <c r="CW440" s="4"/>
      <c r="CX440" s="4"/>
      <c r="CY440" s="4"/>
      <c r="CZ440" s="4"/>
      <c r="DA440" s="4"/>
      <c r="DB440" s="4"/>
      <c r="DC440" s="4"/>
      <c r="DD440" s="4"/>
      <c r="DE440" s="4"/>
      <c r="DF440" s="4"/>
      <c r="DG440" s="4"/>
      <c r="DH440" s="4"/>
      <c r="DI440" s="4"/>
      <c r="DJ440" s="4"/>
      <c r="DK440" s="4"/>
      <c r="DL440" s="4"/>
      <c r="DM440" s="4"/>
      <c r="DN440" s="4"/>
      <c r="DO440" s="4"/>
      <c r="DP440" s="4"/>
      <c r="DQ440" s="4"/>
      <c r="DR440" s="4"/>
      <c r="DS440" s="4"/>
      <c r="DT440" s="4"/>
      <c r="DU440" s="4"/>
      <c r="DV440" s="4"/>
      <c r="DW440" s="4"/>
      <c r="DX440" s="4"/>
      <c r="DY440" s="4"/>
      <c r="DZ440" s="91"/>
      <c r="EA440" s="4"/>
      <c r="EB440" s="4"/>
      <c r="EC440" s="4"/>
      <c r="ED440" s="4"/>
      <c r="EE440" s="4"/>
      <c r="EF440" s="4"/>
      <c r="EG440" s="4"/>
      <c r="EH440" s="4"/>
      <c r="EI440" s="4"/>
      <c r="EJ440" s="4"/>
      <c r="EK440" s="4"/>
      <c r="EL440" s="4"/>
      <c r="EM440" s="4"/>
      <c r="EN440" s="4"/>
      <c r="EO440" s="4"/>
      <c r="EP440" s="4"/>
      <c r="EQ440" s="4"/>
      <c r="ER440" s="4"/>
      <c r="ES440" s="4"/>
      <c r="ET440" s="4"/>
      <c r="EU440" s="4"/>
      <c r="EV440" s="4"/>
      <c r="EW440" s="4"/>
      <c r="EX440" s="4"/>
      <c r="EY440" s="4"/>
      <c r="EZ440" s="4"/>
      <c r="FA440" s="4"/>
      <c r="FB440" s="4"/>
      <c r="FC440" s="4"/>
      <c r="FD440" s="4"/>
      <c r="FE440" s="4"/>
      <c r="FF440" s="4"/>
      <c r="FG440" s="4"/>
      <c r="FH440" s="4"/>
      <c r="FI440" s="4"/>
      <c r="FJ440" s="4"/>
      <c r="FK440" s="4"/>
      <c r="FL440" s="4"/>
      <c r="FM440" s="4"/>
      <c r="FN440" s="4"/>
      <c r="FO440" s="4"/>
      <c r="FP440" s="4"/>
      <c r="FQ440" s="4"/>
      <c r="FR440" s="4"/>
      <c r="FS440" s="4"/>
      <c r="FT440" s="4"/>
      <c r="FU440" s="4"/>
      <c r="FV440" s="4"/>
      <c r="FW440" s="91"/>
      <c r="FX440" s="4"/>
      <c r="FY440" s="4"/>
      <c r="FZ440" s="4"/>
      <c r="GA440" s="4"/>
      <c r="GB440" s="4"/>
      <c r="GC440" s="4"/>
      <c r="GD440" s="4"/>
      <c r="GE440" s="4"/>
      <c r="GF440" s="4"/>
      <c r="GG440" s="4"/>
      <c r="GH440" s="4"/>
      <c r="GI440" s="4"/>
      <c r="GJ440" s="4"/>
      <c r="GK440" s="4"/>
      <c r="GL440" s="4"/>
      <c r="GM440" s="4"/>
      <c r="GN440" s="4"/>
      <c r="GO440" s="4"/>
      <c r="GP440" s="4"/>
      <c r="GQ440" s="4"/>
      <c r="GR440" s="4"/>
      <c r="GS440" s="4"/>
      <c r="GT440" s="4"/>
      <c r="GU440" s="4"/>
      <c r="GV440" s="4"/>
      <c r="GW440" s="4"/>
      <c r="GX440" s="4"/>
      <c r="GY440" s="4"/>
      <c r="GZ440" s="4"/>
      <c r="HA440" s="4"/>
      <c r="HB440" s="4"/>
      <c r="HC440" s="4"/>
      <c r="HD440" s="4"/>
      <c r="HE440" s="4"/>
      <c r="HF440" s="4"/>
      <c r="HG440" s="4"/>
      <c r="HH440" s="4"/>
      <c r="HI440" s="4"/>
      <c r="HJ440" s="4"/>
      <c r="HK440" s="91"/>
      <c r="HL440" s="4"/>
      <c r="HM440" s="4"/>
      <c r="HN440" s="4"/>
      <c r="HO440" s="4"/>
      <c r="HP440" s="4"/>
      <c r="HQ440" s="4"/>
      <c r="HR440" s="4"/>
      <c r="HS440" s="4"/>
      <c r="HT440" s="4"/>
      <c r="HU440" s="4"/>
      <c r="HV440" s="4"/>
      <c r="HW440" s="4"/>
      <c r="HX440" s="4"/>
      <c r="HY440" s="91"/>
      <c r="IA440" s="73"/>
      <c r="IC440" s="4"/>
      <c r="ID440" s="18" t="s">
        <v>172</v>
      </c>
      <c r="IE440" s="73">
        <v>8</v>
      </c>
      <c r="IF440" s="73">
        <v>5.3</v>
      </c>
      <c r="IG440" s="52">
        <f t="shared" ref="IG440:IG460" si="40">(IF440-0.23)/IE440</f>
        <v>0.63374999999999992</v>
      </c>
      <c r="IH440" s="74">
        <f t="shared" si="38"/>
        <v>5.28</v>
      </c>
      <c r="II440" s="73">
        <v>15</v>
      </c>
      <c r="IJ440" s="73">
        <v>20</v>
      </c>
      <c r="IK440" s="75">
        <v>20000</v>
      </c>
      <c r="IL440" s="4">
        <v>23</v>
      </c>
      <c r="IM440" s="75">
        <f t="shared" si="39"/>
        <v>910</v>
      </c>
      <c r="IN440" s="75">
        <v>1000</v>
      </c>
      <c r="IO440" s="4">
        <v>780</v>
      </c>
      <c r="IP440" s="75">
        <f t="shared" si="33"/>
        <v>1182.2589218781104</v>
      </c>
      <c r="IQ440" s="3" t="s">
        <v>211</v>
      </c>
      <c r="IR440" s="76">
        <v>2016</v>
      </c>
      <c r="IS440" s="4"/>
      <c r="IT440" s="91"/>
      <c r="IU440" s="4"/>
      <c r="IV440" s="4"/>
      <c r="IW440" s="4"/>
      <c r="IX440" s="4"/>
      <c r="IY440" s="4"/>
      <c r="IZ440" s="4"/>
      <c r="JA440" s="4"/>
      <c r="JB440" s="4"/>
      <c r="JC440" s="4"/>
      <c r="JD440" s="4"/>
      <c r="JE440" s="4"/>
      <c r="JF440" s="4"/>
      <c r="JG440" s="4"/>
      <c r="JH440" s="4"/>
      <c r="JI440" s="4"/>
      <c r="JJ440" s="4"/>
      <c r="JK440" s="4"/>
      <c r="JL440" s="91"/>
      <c r="JM440" s="4"/>
      <c r="JN440" s="4"/>
      <c r="JO440" s="4"/>
      <c r="JP440" s="4"/>
      <c r="JQ440" s="4"/>
      <c r="JR440" s="4"/>
      <c r="JS440" s="4"/>
      <c r="JT440" s="4"/>
      <c r="JU440" s="4"/>
      <c r="JV440" s="4"/>
      <c r="JW440" s="4"/>
      <c r="JX440" s="4"/>
      <c r="JY440" s="4"/>
      <c r="JZ440" s="4"/>
      <c r="KA440" s="4"/>
      <c r="KB440" s="4"/>
      <c r="KC440" s="4"/>
      <c r="KD440" s="4"/>
      <c r="KE440" s="4"/>
      <c r="KF440" s="4"/>
      <c r="KG440" s="4"/>
      <c r="KH440" s="4"/>
      <c r="KI440" s="4"/>
      <c r="KJ440" s="4"/>
      <c r="KK440" s="4"/>
      <c r="KL440" s="4"/>
      <c r="KM440" s="4"/>
      <c r="KN440" s="4"/>
      <c r="KO440" s="4"/>
      <c r="KP440" s="4"/>
      <c r="KQ440" s="4"/>
      <c r="KR440" s="4"/>
      <c r="KS440" s="4"/>
      <c r="KT440" s="4"/>
      <c r="KU440" s="4"/>
      <c r="KV440" s="4"/>
      <c r="KW440" s="4"/>
      <c r="KX440" s="4"/>
      <c r="KY440" s="4"/>
      <c r="KZ440" s="4"/>
      <c r="LA440" s="4"/>
      <c r="LB440" s="4"/>
      <c r="LC440" s="4"/>
      <c r="LD440" s="4"/>
      <c r="LE440" s="4"/>
      <c r="LF440" s="4"/>
      <c r="LG440" s="4"/>
      <c r="LH440" s="4"/>
      <c r="LI440" s="4"/>
      <c r="LJ440" s="4"/>
      <c r="LK440" s="4"/>
      <c r="LL440" s="4"/>
      <c r="LM440" s="4"/>
      <c r="LN440" s="4"/>
      <c r="LO440" s="4"/>
      <c r="LP440" s="4"/>
      <c r="LQ440" s="4"/>
      <c r="LR440" s="4"/>
      <c r="LS440" s="4"/>
      <c r="LT440" s="4"/>
      <c r="LU440" s="4"/>
      <c r="LV440" s="4"/>
      <c r="LW440" s="4"/>
      <c r="LX440" s="4"/>
      <c r="LY440" s="4"/>
      <c r="LZ440" s="4"/>
      <c r="MA440" s="4"/>
      <c r="MB440" s="4"/>
      <c r="MC440" s="4"/>
      <c r="MD440" s="4"/>
      <c r="ME440" s="4"/>
      <c r="MF440" s="4"/>
      <c r="MG440" s="4"/>
      <c r="MH440" s="4"/>
      <c r="MI440" s="4"/>
      <c r="MJ440" s="4"/>
      <c r="MK440" s="4"/>
      <c r="ML440" s="4"/>
      <c r="MM440" s="4"/>
      <c r="MN440" s="4"/>
      <c r="MO440" s="4"/>
      <c r="MP440" s="4"/>
      <c r="MQ440" s="4"/>
      <c r="MR440" s="4"/>
      <c r="MS440" s="4"/>
      <c r="MT440" s="4"/>
      <c r="MU440" s="4"/>
      <c r="MV440" s="4"/>
      <c r="MW440" s="4"/>
      <c r="MX440" s="4"/>
      <c r="MY440" s="4"/>
      <c r="MZ440" s="4"/>
      <c r="NA440" s="4"/>
      <c r="NB440" s="4"/>
      <c r="NC440" s="4"/>
      <c r="ND440" s="4"/>
      <c r="NE440" s="4"/>
      <c r="NF440" s="4"/>
      <c r="NG440" s="4"/>
      <c r="NH440" s="4"/>
      <c r="NI440" s="4"/>
      <c r="NJ440" s="4"/>
      <c r="NK440" s="4"/>
      <c r="NL440" s="4"/>
      <c r="NM440" s="4"/>
      <c r="NN440" s="4"/>
      <c r="NO440" s="4"/>
      <c r="NP440" s="4"/>
      <c r="NQ440" s="4"/>
      <c r="NR440" s="4"/>
      <c r="NS440" s="4"/>
      <c r="NT440" s="4"/>
      <c r="NU440" s="4"/>
      <c r="NV440" s="4"/>
      <c r="NW440" s="4"/>
      <c r="NX440" s="4"/>
      <c r="NY440" s="4"/>
      <c r="NZ440" s="4"/>
      <c r="OA440" s="4"/>
      <c r="OB440" s="4"/>
      <c r="OC440" s="4"/>
      <c r="OD440" s="4"/>
      <c r="OE440" s="4"/>
      <c r="OF440" s="4"/>
      <c r="OG440" s="4"/>
      <c r="OH440" s="4"/>
      <c r="OI440" s="4"/>
      <c r="OJ440" s="4"/>
      <c r="OK440" s="4"/>
      <c r="OL440" s="4"/>
      <c r="OM440" s="4"/>
      <c r="ON440" s="4"/>
      <c r="OO440" s="4"/>
      <c r="OP440" s="4"/>
      <c r="OQ440" s="4"/>
      <c r="OR440" s="4"/>
      <c r="OS440" s="4"/>
      <c r="OT440" s="4"/>
      <c r="OU440" s="4"/>
      <c r="OV440" s="4"/>
      <c r="OW440" s="4"/>
      <c r="OX440" s="4"/>
      <c r="OY440" s="4"/>
      <c r="OZ440" s="4"/>
      <c r="PA440" s="4"/>
      <c r="PB440" s="4"/>
      <c r="PC440" s="4"/>
      <c r="PD440" s="4"/>
      <c r="PE440" s="4"/>
      <c r="PF440" s="4"/>
      <c r="PG440" s="4"/>
      <c r="PH440" s="4"/>
      <c r="PI440" s="4"/>
      <c r="PJ440" s="4"/>
      <c r="PK440" s="4"/>
      <c r="PL440" s="4"/>
      <c r="PM440" s="4"/>
      <c r="PN440" s="4"/>
      <c r="PO440" s="4"/>
      <c r="PP440" s="4"/>
      <c r="PQ440" s="4"/>
      <c r="PR440" s="4"/>
      <c r="PS440" s="4"/>
      <c r="PT440" s="4"/>
      <c r="PU440" s="4"/>
      <c r="PV440" s="4"/>
      <c r="PW440" s="4"/>
      <c r="PX440" s="4"/>
      <c r="PY440" s="4"/>
      <c r="PZ440" s="4"/>
      <c r="QA440" s="4"/>
      <c r="QB440" s="4"/>
      <c r="QC440" s="4"/>
      <c r="QD440" s="4"/>
      <c r="QE440" s="4"/>
      <c r="QF440" s="4"/>
      <c r="QG440" s="4"/>
      <c r="QH440" s="4"/>
      <c r="QI440" s="4"/>
      <c r="QJ440" s="4"/>
      <c r="QK440" s="4"/>
      <c r="QL440" s="4"/>
      <c r="QM440" s="4"/>
      <c r="QN440" s="4"/>
      <c r="QO440" s="4"/>
      <c r="QP440" s="4"/>
      <c r="QQ440" s="4"/>
      <c r="QR440" s="4"/>
      <c r="QS440" s="4"/>
      <c r="QT440" s="4"/>
      <c r="QU440" s="4"/>
      <c r="QV440" s="4"/>
      <c r="QW440" s="4"/>
      <c r="QX440" s="4"/>
      <c r="QY440" s="4"/>
      <c r="QZ440" s="4"/>
      <c r="RA440" s="4"/>
      <c r="RB440" s="4"/>
      <c r="RC440" s="4"/>
      <c r="RD440" s="4"/>
      <c r="RE440" s="4"/>
      <c r="RF440" s="4"/>
      <c r="RG440" s="4"/>
      <c r="RH440" s="4"/>
      <c r="RI440" s="4"/>
      <c r="RJ440" s="4"/>
      <c r="RK440" s="4"/>
      <c r="RL440" s="4"/>
      <c r="RM440" s="4"/>
      <c r="RN440" s="4"/>
      <c r="RO440" s="4"/>
      <c r="RP440" s="4"/>
      <c r="RQ440" s="4"/>
      <c r="RR440" s="4"/>
      <c r="RS440" s="4"/>
      <c r="RT440" s="4"/>
      <c r="RU440" s="4"/>
      <c r="RV440" s="4"/>
      <c r="RW440" s="4"/>
      <c r="RX440" s="4"/>
      <c r="RY440" s="4"/>
      <c r="RZ440" s="4"/>
      <c r="SA440" s="4"/>
      <c r="SB440" s="4"/>
      <c r="SC440" s="4"/>
      <c r="SD440" s="4"/>
      <c r="SE440" s="4"/>
      <c r="SF440" s="4"/>
      <c r="SG440" s="4"/>
      <c r="SH440" s="4"/>
      <c r="SI440" s="4"/>
      <c r="SJ440" s="4"/>
      <c r="SK440" s="4"/>
      <c r="SL440" s="4"/>
      <c r="SM440" s="4"/>
      <c r="SN440" s="4"/>
      <c r="SO440" s="4"/>
      <c r="SP440" s="4"/>
      <c r="SQ440" s="4"/>
      <c r="SR440" s="4"/>
      <c r="SS440" s="4"/>
      <c r="ST440" s="4"/>
      <c r="SU440" s="4"/>
      <c r="SV440" s="4"/>
      <c r="SW440" s="4"/>
      <c r="SX440" s="4"/>
      <c r="SY440" s="4"/>
      <c r="SZ440" s="4"/>
      <c r="TA440" s="4"/>
      <c r="TB440" s="4"/>
      <c r="TC440" s="4"/>
      <c r="TD440" s="4"/>
      <c r="TE440" s="4"/>
      <c r="TF440" s="4"/>
      <c r="TG440" s="4"/>
      <c r="TH440" s="4"/>
      <c r="TI440" s="4"/>
      <c r="TJ440" s="4"/>
      <c r="TK440" s="4"/>
      <c r="TL440" s="4"/>
      <c r="TM440" s="4"/>
      <c r="TN440" s="4"/>
      <c r="TO440" s="4"/>
      <c r="TP440" s="4"/>
      <c r="TQ440" s="4"/>
      <c r="TR440" s="4"/>
      <c r="TS440" s="4"/>
      <c r="TT440" s="4"/>
      <c r="TU440" s="4"/>
      <c r="TV440" s="4"/>
      <c r="TW440" s="4"/>
      <c r="TX440" s="4"/>
      <c r="TY440" s="4"/>
      <c r="TZ440" s="4"/>
      <c r="UA440" s="4"/>
      <c r="UB440" s="4"/>
      <c r="UC440" s="4"/>
      <c r="UD440" s="4"/>
      <c r="UE440" s="4"/>
      <c r="UF440" s="4"/>
      <c r="UG440" s="4"/>
      <c r="UH440" s="4"/>
      <c r="UI440" s="4"/>
      <c r="UJ440" s="4"/>
      <c r="UK440" s="4"/>
      <c r="UL440" s="4"/>
      <c r="UM440" s="4"/>
      <c r="UN440" s="4"/>
      <c r="UO440" s="4"/>
      <c r="UP440" s="4"/>
      <c r="UQ440" s="4"/>
      <c r="UR440" s="4"/>
      <c r="US440" s="4"/>
      <c r="UT440" s="4"/>
      <c r="UU440" s="4"/>
      <c r="UV440" s="4"/>
      <c r="UW440" s="4"/>
      <c r="UX440" s="4"/>
      <c r="UY440" s="4"/>
      <c r="UZ440" s="4"/>
      <c r="VA440" s="4"/>
      <c r="VB440" s="4"/>
      <c r="VC440" s="4"/>
      <c r="VD440" s="4"/>
      <c r="VE440" s="4"/>
      <c r="VF440" s="4"/>
      <c r="VG440" s="4"/>
      <c r="VH440" s="4"/>
      <c r="VI440" s="4"/>
      <c r="VJ440" s="4"/>
      <c r="VK440" s="4"/>
      <c r="VL440" s="4"/>
      <c r="VM440" s="4"/>
      <c r="VN440" s="4"/>
      <c r="VO440" s="4"/>
      <c r="VP440" s="4"/>
      <c r="VQ440" s="4"/>
      <c r="VR440" s="4"/>
      <c r="VS440" s="4"/>
      <c r="VT440" s="4"/>
      <c r="VU440" s="4"/>
      <c r="VV440" s="4"/>
      <c r="VW440" s="4"/>
      <c r="VX440" s="4"/>
      <c r="VY440" s="4"/>
      <c r="VZ440" s="4"/>
      <c r="WA440" s="4"/>
      <c r="WB440" s="4"/>
      <c r="WC440" s="4"/>
      <c r="WD440" s="4"/>
      <c r="WE440" s="4"/>
      <c r="WF440" s="4"/>
      <c r="WG440" s="4"/>
      <c r="WH440" s="4"/>
      <c r="WI440" s="4"/>
      <c r="WJ440" s="4"/>
      <c r="WK440" s="4"/>
      <c r="WL440" s="4"/>
      <c r="WM440" s="4"/>
      <c r="WN440" s="4"/>
      <c r="WO440" s="4"/>
      <c r="WP440" s="4"/>
      <c r="WQ440" s="4"/>
      <c r="WR440" s="4"/>
      <c r="WS440" s="4"/>
      <c r="WT440" s="4"/>
      <c r="WU440" s="4"/>
      <c r="WV440" s="4"/>
      <c r="WW440" s="4"/>
      <c r="WX440" s="4"/>
      <c r="WY440" s="4"/>
      <c r="WZ440" s="4"/>
      <c r="XA440" s="4"/>
      <c r="XB440" s="4"/>
      <c r="XC440" s="4"/>
      <c r="XD440" s="4"/>
      <c r="XE440" s="4"/>
      <c r="XF440" s="4"/>
      <c r="XG440" s="4"/>
      <c r="XH440" s="4"/>
      <c r="XI440" s="4"/>
      <c r="XJ440" s="4"/>
      <c r="XK440" s="4"/>
      <c r="XL440" s="4"/>
      <c r="XM440" s="4"/>
      <c r="XN440" s="4"/>
      <c r="XO440" s="4"/>
      <c r="XP440" s="4"/>
      <c r="XQ440" s="4"/>
      <c r="XR440" s="4"/>
      <c r="XS440" s="4"/>
      <c r="XT440" s="4"/>
      <c r="XU440" s="4"/>
      <c r="XV440" s="4"/>
      <c r="XW440" s="4"/>
      <c r="XX440" s="4"/>
      <c r="XY440" s="4"/>
      <c r="XZ440" s="4"/>
      <c r="YA440" s="4"/>
      <c r="YB440" s="4"/>
      <c r="YC440" s="4"/>
      <c r="YD440" s="4"/>
      <c r="YE440" s="4"/>
      <c r="YF440" s="4"/>
      <c r="YG440" s="4"/>
      <c r="YH440" s="4"/>
      <c r="YI440" s="4"/>
      <c r="YJ440" s="4"/>
      <c r="YK440" s="4"/>
      <c r="YL440" s="4"/>
      <c r="YM440" s="4"/>
      <c r="YN440" s="4"/>
      <c r="YO440" s="4"/>
      <c r="YP440" s="4"/>
      <c r="YQ440" s="4"/>
      <c r="YR440" s="4"/>
      <c r="YS440" s="4"/>
      <c r="YT440" s="4"/>
      <c r="YU440" s="4"/>
      <c r="YV440" s="4"/>
      <c r="YW440" s="4"/>
      <c r="YX440" s="4"/>
      <c r="YY440" s="4"/>
      <c r="YZ440" s="4"/>
      <c r="ZA440" s="4"/>
      <c r="ZB440" s="4"/>
      <c r="ZC440" s="4"/>
      <c r="ZD440" s="4"/>
      <c r="ZE440" s="4"/>
      <c r="ZF440" s="4"/>
      <c r="ZG440" s="4"/>
      <c r="ZH440" s="4"/>
      <c r="ZI440" s="4"/>
      <c r="ZJ440" s="4"/>
      <c r="ZK440" s="4"/>
      <c r="ZL440" s="4"/>
      <c r="ZM440" s="4"/>
      <c r="ZN440" s="4"/>
      <c r="ZO440" s="4"/>
      <c r="ZP440" s="4"/>
      <c r="ZQ440" s="4"/>
      <c r="ZR440" s="4"/>
      <c r="ZS440" s="4"/>
      <c r="ZT440" s="4"/>
      <c r="ZU440" s="4"/>
      <c r="ZV440" s="4"/>
      <c r="ZW440" s="4"/>
      <c r="ZX440" s="4"/>
      <c r="ZY440" s="4"/>
      <c r="ZZ440" s="4"/>
      <c r="AAA440" s="4"/>
      <c r="AAB440" s="4"/>
      <c r="AAC440" s="4"/>
      <c r="AAD440" s="4"/>
      <c r="AAE440" s="4"/>
      <c r="AAF440" s="4"/>
      <c r="AAG440" s="4"/>
      <c r="AAH440" s="4"/>
      <c r="AAI440" s="4"/>
      <c r="AAJ440" s="4"/>
      <c r="AAK440" s="4"/>
      <c r="AAL440" s="4"/>
      <c r="AAM440" s="4"/>
      <c r="AAN440" s="4"/>
      <c r="AAO440" s="4"/>
      <c r="AAP440" s="4"/>
      <c r="AAQ440" s="4"/>
      <c r="AAR440" s="4"/>
      <c r="AAS440" s="4"/>
      <c r="AAT440" s="4"/>
      <c r="AAU440" s="4"/>
      <c r="AAV440" s="4"/>
      <c r="AAW440" s="4"/>
      <c r="AAX440" s="4"/>
      <c r="AAY440" s="4"/>
      <c r="AAZ440" s="4"/>
      <c r="ABA440" s="4"/>
      <c r="ABB440" s="4"/>
      <c r="ABC440" s="4"/>
      <c r="ABD440" s="4"/>
      <c r="ABE440" s="4"/>
      <c r="ABF440" s="4"/>
      <c r="ABG440" s="4"/>
      <c r="ABH440" s="4"/>
      <c r="ABI440" s="4"/>
      <c r="ABJ440" s="4"/>
      <c r="ABK440" s="4"/>
      <c r="ABL440" s="4"/>
      <c r="ABM440" s="4"/>
      <c r="ABN440" s="4"/>
      <c r="ABO440" s="4"/>
      <c r="ABP440" s="4"/>
      <c r="ABQ440" s="4"/>
      <c r="ABR440" s="4"/>
      <c r="ABS440" s="4"/>
      <c r="ABT440" s="4"/>
      <c r="ABU440" s="4"/>
      <c r="ABV440" s="4"/>
      <c r="ABW440" s="4"/>
      <c r="ABX440" s="4"/>
      <c r="ABY440" s="4"/>
      <c r="ABZ440" s="4"/>
      <c r="ACA440" s="4"/>
      <c r="ACB440" s="4"/>
      <c r="ACC440" s="4"/>
      <c r="ACD440" s="4"/>
      <c r="ACE440" s="4"/>
      <c r="ACF440" s="4"/>
      <c r="ACG440" s="4"/>
      <c r="ACH440" s="4"/>
      <c r="ACI440" s="4"/>
      <c r="ACJ440" s="4"/>
      <c r="ACK440" s="4"/>
      <c r="ACL440" s="4"/>
      <c r="ACM440" s="4"/>
      <c r="ACN440" s="4"/>
      <c r="ACO440" s="4"/>
      <c r="ACP440" s="4"/>
      <c r="ACQ440" s="4"/>
      <c r="ACR440" s="4"/>
      <c r="ACS440" s="4"/>
      <c r="ACT440" s="4"/>
      <c r="ACU440" s="4"/>
      <c r="ACV440" s="4"/>
      <c r="ACW440" s="4"/>
      <c r="ACX440" s="4"/>
      <c r="ACY440" s="4"/>
      <c r="ACZ440" s="4"/>
      <c r="ADA440" s="4"/>
      <c r="ADB440" s="4"/>
      <c r="ADC440" s="4"/>
      <c r="ADD440" s="4"/>
      <c r="ADE440" s="4"/>
      <c r="ADF440" s="4"/>
      <c r="ADG440" s="4"/>
      <c r="ADH440" s="4"/>
      <c r="ADI440" s="4"/>
      <c r="ADJ440" s="4"/>
      <c r="ADK440" s="4"/>
      <c r="ADL440" s="4"/>
      <c r="ADM440" s="4"/>
      <c r="ADN440" s="4"/>
      <c r="ADO440" s="4"/>
      <c r="ADP440" s="4"/>
      <c r="ADQ440" s="4"/>
      <c r="ADR440" s="4"/>
      <c r="ADS440" s="4"/>
      <c r="ADT440" s="4"/>
      <c r="ADU440" s="4"/>
      <c r="ADV440" s="4"/>
      <c r="ADW440" s="4"/>
      <c r="ADX440" s="4"/>
      <c r="ADY440" s="4"/>
      <c r="ADZ440" s="4"/>
      <c r="AEA440" s="4"/>
      <c r="AEB440" s="4"/>
      <c r="AEC440" s="4"/>
      <c r="AED440" s="4"/>
      <c r="AEE440" s="4"/>
      <c r="AEF440" s="4"/>
      <c r="AEG440" s="4"/>
      <c r="AEH440" s="4"/>
      <c r="AEI440" s="4"/>
      <c r="AEJ440" s="4"/>
      <c r="AEK440" s="4"/>
      <c r="AEL440" s="4"/>
      <c r="AEM440" s="4"/>
      <c r="AEN440" s="4"/>
      <c r="AEO440" s="4"/>
      <c r="AEP440" s="4"/>
      <c r="AEQ440" s="4"/>
      <c r="AER440" s="4"/>
      <c r="AES440" s="4"/>
      <c r="AET440" s="4"/>
      <c r="AEU440" s="4"/>
      <c r="AEV440" s="4"/>
      <c r="AEW440" s="4"/>
      <c r="AEX440" s="4"/>
      <c r="AEY440" s="4"/>
      <c r="AEZ440" s="4"/>
      <c r="AFA440" s="4"/>
      <c r="AFB440" s="4"/>
      <c r="AFC440" s="4"/>
      <c r="AFD440" s="4"/>
      <c r="AFE440" s="4"/>
      <c r="AFF440" s="4"/>
      <c r="AFG440" s="4"/>
      <c r="AFH440" s="4"/>
      <c r="AFI440" s="4"/>
      <c r="AFJ440" s="4"/>
      <c r="AFK440" s="4"/>
      <c r="AFL440" s="4"/>
      <c r="AFM440" s="4"/>
      <c r="AFN440" s="4"/>
      <c r="AFO440" s="4"/>
      <c r="AFP440" s="4"/>
      <c r="AFQ440" s="4"/>
      <c r="AFR440" s="4"/>
      <c r="AFS440" s="4"/>
      <c r="AFT440" s="4"/>
      <c r="AFU440" s="4"/>
      <c r="AFV440" s="4"/>
      <c r="AFW440" s="4"/>
      <c r="AFX440" s="4"/>
      <c r="AFY440" s="4"/>
      <c r="AFZ440" s="4"/>
      <c r="AGA440" s="4"/>
      <c r="AGB440" s="4"/>
      <c r="AGC440" s="4"/>
      <c r="AGD440" s="4"/>
      <c r="AGE440" s="4"/>
      <c r="AGF440" s="4"/>
      <c r="AGG440" s="4"/>
      <c r="AGH440" s="4"/>
      <c r="AGI440" s="4"/>
      <c r="AGJ440" s="4"/>
      <c r="AGK440" s="4"/>
      <c r="AGL440" s="4"/>
      <c r="AGM440" s="4"/>
      <c r="AGN440" s="4"/>
      <c r="AGO440" s="4"/>
      <c r="AGP440" s="4"/>
      <c r="AGQ440" s="4"/>
      <c r="AGR440" s="4"/>
      <c r="AGS440" s="4"/>
      <c r="AGT440" s="4"/>
      <c r="AGU440" s="4"/>
      <c r="AGV440" s="4"/>
      <c r="AGW440" s="4"/>
      <c r="AGX440" s="4"/>
      <c r="AGY440" s="4"/>
      <c r="AGZ440" s="4"/>
      <c r="AHA440" s="4"/>
      <c r="AHB440" s="4"/>
      <c r="AHC440" s="4"/>
      <c r="AHD440" s="4"/>
      <c r="AHE440" s="4"/>
      <c r="AHF440" s="4"/>
      <c r="AHG440" s="4"/>
      <c r="AHH440" s="4"/>
      <c r="AHI440" s="4"/>
      <c r="AHJ440" s="4"/>
      <c r="AHK440" s="4"/>
      <c r="AHL440" s="4"/>
      <c r="AHM440" s="4"/>
      <c r="AHN440" s="4"/>
      <c r="AHO440" s="4"/>
      <c r="AHP440" s="4"/>
      <c r="AHQ440" s="4"/>
      <c r="AHR440" s="4"/>
      <c r="AHS440" s="4"/>
      <c r="AHT440" s="4"/>
      <c r="AHU440" s="4"/>
      <c r="AHV440" s="4"/>
      <c r="AHW440" s="4"/>
      <c r="AHX440" s="4"/>
      <c r="AHY440" s="4"/>
      <c r="AHZ440" s="4"/>
      <c r="AIA440" s="4"/>
      <c r="AIB440" s="4"/>
      <c r="AIC440" s="4"/>
      <c r="AID440" s="4"/>
      <c r="AIE440" s="4"/>
      <c r="AIF440" s="4"/>
      <c r="AIG440" s="4"/>
      <c r="AIH440" s="4"/>
      <c r="AII440" s="4"/>
      <c r="AIJ440" s="4"/>
      <c r="AIK440" s="4"/>
      <c r="AIL440" s="4"/>
      <c r="AIM440" s="4"/>
      <c r="AIN440" s="4"/>
      <c r="AIO440" s="4"/>
      <c r="AIP440" s="4"/>
      <c r="AIQ440" s="4"/>
      <c r="AIR440" s="4"/>
      <c r="AIS440" s="4"/>
      <c r="AIT440" s="4"/>
      <c r="AIU440" s="4"/>
      <c r="AIV440" s="4"/>
      <c r="AIW440" s="4"/>
      <c r="AIX440" s="4"/>
      <c r="AIY440" s="4"/>
      <c r="AIZ440" s="4"/>
      <c r="AJA440" s="4"/>
      <c r="AJB440" s="4"/>
      <c r="AJC440" s="4"/>
      <c r="AJD440" s="4"/>
      <c r="AJE440" s="4"/>
      <c r="AJF440" s="4"/>
      <c r="AJG440" s="4"/>
      <c r="AJH440" s="4"/>
      <c r="AJI440" s="4"/>
      <c r="AJJ440" s="4"/>
      <c r="AJK440" s="4"/>
      <c r="AJL440" s="4"/>
      <c r="AJM440" s="4"/>
      <c r="AJN440" s="4"/>
      <c r="AJO440" s="4"/>
      <c r="AJP440" s="4"/>
      <c r="AJQ440" s="4"/>
      <c r="AJR440" s="4"/>
      <c r="AJS440" s="4"/>
      <c r="AJT440" s="4"/>
      <c r="AJU440" s="4"/>
      <c r="AJV440" s="4"/>
      <c r="AJW440" s="4"/>
      <c r="AJX440" s="4"/>
      <c r="AJY440" s="4"/>
      <c r="AJZ440" s="4"/>
      <c r="AKA440" s="4"/>
      <c r="AKB440" s="4"/>
      <c r="AKC440" s="4"/>
      <c r="AKD440" s="4"/>
      <c r="AKE440" s="4"/>
      <c r="AKF440" s="4"/>
      <c r="AKG440" s="4"/>
      <c r="AKH440" s="4"/>
      <c r="AKI440" s="4"/>
      <c r="AKJ440" s="4"/>
      <c r="AKK440" s="4"/>
      <c r="AKL440" s="4"/>
      <c r="AKM440" s="4"/>
      <c r="AKN440" s="4"/>
      <c r="AKO440" s="4"/>
      <c r="AKP440" s="4"/>
      <c r="AKQ440" s="4"/>
      <c r="AKR440" s="4"/>
      <c r="AKS440" s="4"/>
      <c r="AKT440" s="4"/>
      <c r="AKU440" s="4"/>
      <c r="AKV440" s="4"/>
      <c r="AKW440" s="4"/>
      <c r="AKX440" s="4"/>
      <c r="AKY440" s="4"/>
      <c r="AKZ440" s="4"/>
      <c r="ALA440" s="4"/>
      <c r="ALB440" s="4"/>
      <c r="ALC440" s="4"/>
      <c r="ALD440" s="4"/>
      <c r="ALE440" s="4"/>
      <c r="ALF440" s="4"/>
      <c r="ALG440" s="4"/>
      <c r="ALH440" s="4"/>
      <c r="ALI440" s="4"/>
      <c r="ALJ440" s="4"/>
      <c r="ALK440" s="4"/>
      <c r="ALL440" s="4"/>
      <c r="ALM440" s="4"/>
      <c r="ALN440" s="4"/>
      <c r="ALO440" s="4"/>
      <c r="ALP440" s="4"/>
      <c r="ALQ440" s="4"/>
      <c r="ALR440" s="4"/>
      <c r="ALS440" s="4"/>
      <c r="ALT440" s="4"/>
      <c r="ALU440" s="4"/>
      <c r="ALV440" s="4"/>
      <c r="ALW440" s="4"/>
      <c r="ALX440" s="4"/>
      <c r="ALY440" s="4"/>
      <c r="ALZ440" s="4"/>
      <c r="AMA440" s="4"/>
      <c r="AMB440" s="4"/>
      <c r="AMC440" s="4"/>
      <c r="AMD440" s="4"/>
      <c r="AME440" s="4"/>
      <c r="AMF440" s="4"/>
      <c r="AMG440" s="4"/>
      <c r="AMH440" s="4"/>
      <c r="AMI440" s="4"/>
      <c r="AMJ440" s="4"/>
      <c r="AMK440" s="4"/>
      <c r="AML440" s="4"/>
      <c r="AMM440" s="4"/>
      <c r="AMN440" s="4"/>
      <c r="AMO440" s="4"/>
      <c r="AMP440" s="4"/>
      <c r="AMQ440" s="4"/>
      <c r="AMR440" s="4"/>
      <c r="AMS440" s="4"/>
      <c r="AMT440" s="4"/>
      <c r="AMU440" s="4"/>
      <c r="AMV440" s="4"/>
      <c r="AMW440" s="4"/>
      <c r="AMX440" s="4"/>
      <c r="AMY440" s="4"/>
      <c r="AMZ440" s="4"/>
      <c r="ANA440" s="4"/>
      <c r="ANB440" s="4"/>
      <c r="ANC440" s="4"/>
      <c r="AND440" s="4"/>
      <c r="ANE440" s="4"/>
      <c r="ANF440" s="4"/>
      <c r="ANG440" s="4"/>
      <c r="ANH440" s="4"/>
      <c r="ANI440" s="4"/>
      <c r="ANJ440" s="4"/>
      <c r="ANK440" s="4"/>
      <c r="ANL440" s="4"/>
      <c r="ANM440" s="4"/>
      <c r="ANN440" s="4"/>
      <c r="ANO440" s="4"/>
      <c r="ANP440" s="4"/>
      <c r="ANQ440" s="4"/>
      <c r="ANR440" s="4"/>
      <c r="ANS440" s="4"/>
      <c r="ANT440" s="4"/>
      <c r="ANU440" s="4"/>
      <c r="ANV440" s="4"/>
      <c r="ANW440" s="4"/>
      <c r="ANX440" s="4"/>
      <c r="ANY440" s="4"/>
      <c r="ANZ440" s="4"/>
      <c r="AOA440" s="4"/>
      <c r="AOB440" s="4"/>
      <c r="AOC440" s="4"/>
      <c r="AOD440" s="4"/>
      <c r="AOE440" s="4"/>
      <c r="AOF440" s="4"/>
      <c r="AOG440" s="4"/>
      <c r="AOH440" s="4"/>
      <c r="AOI440" s="4"/>
      <c r="AOJ440" s="4"/>
      <c r="AOK440" s="4"/>
      <c r="AOL440" s="4"/>
      <c r="AOM440" s="4"/>
      <c r="AON440" s="4"/>
      <c r="AOO440" s="4"/>
      <c r="AOP440" s="4"/>
      <c r="AOQ440" s="4"/>
      <c r="AOR440" s="4"/>
      <c r="AOS440" s="4"/>
      <c r="AOT440" s="4"/>
    </row>
    <row r="441" spans="1:1086" s="84" customFormat="1" ht="12" customHeight="1">
      <c r="A441" s="4"/>
      <c r="B441" s="4"/>
      <c r="C441" s="4"/>
      <c r="D441" s="4"/>
      <c r="E441" s="4"/>
      <c r="F441" s="4"/>
      <c r="G441" s="4"/>
      <c r="H441" s="4"/>
      <c r="I441" s="4"/>
      <c r="J441" s="4"/>
      <c r="K441" s="4"/>
      <c r="L441" s="4"/>
      <c r="M441" s="4"/>
      <c r="N441" s="4"/>
      <c r="O441" s="4"/>
      <c r="P441" s="4"/>
      <c r="Q441" s="4"/>
      <c r="R441" s="4"/>
      <c r="S441" s="4"/>
      <c r="T441" s="4"/>
      <c r="U441" s="4"/>
      <c r="V441" s="4"/>
      <c r="W441" s="91"/>
      <c r="X441" s="4"/>
      <c r="Y441" s="4"/>
      <c r="Z441" s="4"/>
      <c r="AA441" s="4"/>
      <c r="AB441" s="4"/>
      <c r="AC441" s="4"/>
      <c r="AD441" s="4"/>
      <c r="AE441" s="4"/>
      <c r="AF441" s="4"/>
      <c r="AG441" s="91"/>
      <c r="AH441" s="4"/>
      <c r="AI441" s="4"/>
      <c r="AJ441" s="4"/>
      <c r="AK441" s="4"/>
      <c r="AL441" s="4"/>
      <c r="AM441" s="4"/>
      <c r="AN441" s="4"/>
      <c r="AO441" s="4"/>
      <c r="AP441" s="4"/>
      <c r="AQ441" s="4"/>
      <c r="AR441" s="4"/>
      <c r="AS441" s="4"/>
      <c r="AT441" s="4"/>
      <c r="AU441" s="4"/>
      <c r="AV441" s="4"/>
      <c r="AW441" s="4"/>
      <c r="AX441" s="4"/>
      <c r="AY441" s="4"/>
      <c r="AZ441" s="4"/>
      <c r="BA441" s="4"/>
      <c r="BB441" s="4"/>
      <c r="BC441" s="4"/>
      <c r="BD441" s="4"/>
      <c r="BE441" s="4"/>
      <c r="BF441" s="4"/>
      <c r="BG441" s="4"/>
      <c r="BH441" s="4"/>
      <c r="BI441" s="4"/>
      <c r="BJ441" s="4"/>
      <c r="BK441" s="4"/>
      <c r="BL441" s="4"/>
      <c r="BM441" s="4"/>
      <c r="BN441" s="4"/>
      <c r="BO441" s="4"/>
      <c r="BP441" s="4"/>
      <c r="BQ441" s="4"/>
      <c r="BR441" s="4"/>
      <c r="BS441" s="4"/>
      <c r="BT441" s="4"/>
      <c r="BU441" s="4"/>
      <c r="BV441" s="4"/>
      <c r="BW441" s="4"/>
      <c r="BX441" s="4"/>
      <c r="BY441" s="4"/>
      <c r="BZ441" s="4"/>
      <c r="CA441" s="4"/>
      <c r="CB441" s="4"/>
      <c r="CC441" s="4"/>
      <c r="CD441" s="4"/>
      <c r="CE441" s="4"/>
      <c r="CF441" s="4"/>
      <c r="CG441" s="4"/>
      <c r="CH441" s="4"/>
      <c r="CI441" s="4"/>
      <c r="CJ441" s="4"/>
      <c r="CK441" s="4"/>
      <c r="CL441" s="4"/>
      <c r="CM441" s="4"/>
      <c r="CN441" s="4"/>
      <c r="CO441" s="4"/>
      <c r="CP441" s="4"/>
      <c r="CQ441" s="4"/>
      <c r="CR441" s="4"/>
      <c r="CS441" s="4"/>
      <c r="CT441" s="4"/>
      <c r="CU441" s="4"/>
      <c r="CV441" s="4"/>
      <c r="CW441" s="4"/>
      <c r="CX441" s="4"/>
      <c r="CY441" s="4"/>
      <c r="CZ441" s="4"/>
      <c r="DA441" s="4"/>
      <c r="DB441" s="4"/>
      <c r="DC441" s="4"/>
      <c r="DD441" s="4"/>
      <c r="DE441" s="4"/>
      <c r="DF441" s="4"/>
      <c r="DG441" s="4"/>
      <c r="DH441" s="4"/>
      <c r="DI441" s="4"/>
      <c r="DJ441" s="4"/>
      <c r="DK441" s="4"/>
      <c r="DL441" s="4"/>
      <c r="DM441" s="4"/>
      <c r="DN441" s="4"/>
      <c r="DO441" s="4"/>
      <c r="DP441" s="4"/>
      <c r="DQ441" s="4"/>
      <c r="DR441" s="4"/>
      <c r="DS441" s="4"/>
      <c r="DT441" s="4"/>
      <c r="DU441" s="4"/>
      <c r="DV441" s="4"/>
      <c r="DW441" s="4"/>
      <c r="DX441" s="4"/>
      <c r="DY441" s="4"/>
      <c r="DZ441" s="91"/>
      <c r="EA441" s="4"/>
      <c r="EB441" s="4"/>
      <c r="EC441" s="4"/>
      <c r="ED441" s="4"/>
      <c r="EE441" s="4"/>
      <c r="EF441" s="4"/>
      <c r="EG441" s="4"/>
      <c r="EH441" s="4"/>
      <c r="EI441" s="4"/>
      <c r="EJ441" s="4"/>
      <c r="EK441" s="4"/>
      <c r="EL441" s="4"/>
      <c r="EM441" s="4"/>
      <c r="EN441" s="4"/>
      <c r="EO441" s="4"/>
      <c r="EP441" s="4"/>
      <c r="EQ441" s="4"/>
      <c r="ER441" s="4"/>
      <c r="ES441" s="4"/>
      <c r="ET441" s="4"/>
      <c r="EU441" s="4"/>
      <c r="EV441" s="4"/>
      <c r="EW441" s="4"/>
      <c r="EX441" s="4"/>
      <c r="EY441" s="4"/>
      <c r="EZ441" s="4"/>
      <c r="FA441" s="4"/>
      <c r="FB441" s="4"/>
      <c r="FC441" s="4"/>
      <c r="FD441" s="4"/>
      <c r="FE441" s="4"/>
      <c r="FF441" s="4"/>
      <c r="FG441" s="4"/>
      <c r="FH441" s="4"/>
      <c r="FI441" s="4"/>
      <c r="FJ441" s="4"/>
      <c r="FK441" s="4"/>
      <c r="FL441" s="4"/>
      <c r="FM441" s="4"/>
      <c r="FN441" s="4"/>
      <c r="FO441" s="4"/>
      <c r="FP441" s="4"/>
      <c r="FQ441" s="4"/>
      <c r="FR441" s="4"/>
      <c r="FS441" s="4"/>
      <c r="FT441" s="4"/>
      <c r="FU441" s="4"/>
      <c r="FV441" s="4"/>
      <c r="FW441" s="91"/>
      <c r="FX441" s="4"/>
      <c r="FY441" s="4"/>
      <c r="FZ441" s="4"/>
      <c r="GA441" s="4"/>
      <c r="GB441" s="4"/>
      <c r="GC441" s="4"/>
      <c r="GD441" s="4"/>
      <c r="GE441" s="4"/>
      <c r="GF441" s="4"/>
      <c r="GG441" s="4"/>
      <c r="GH441" s="4"/>
      <c r="GI441" s="4"/>
      <c r="GJ441" s="4"/>
      <c r="GK441" s="4"/>
      <c r="GL441" s="4"/>
      <c r="GM441" s="4"/>
      <c r="GN441" s="4"/>
      <c r="GO441" s="4"/>
      <c r="GP441" s="4"/>
      <c r="GQ441" s="4"/>
      <c r="GR441" s="4"/>
      <c r="GS441" s="4"/>
      <c r="GT441" s="4"/>
      <c r="GU441" s="4"/>
      <c r="GV441" s="4"/>
      <c r="GW441" s="4"/>
      <c r="GX441" s="4"/>
      <c r="GY441" s="4"/>
      <c r="GZ441" s="4"/>
      <c r="HA441" s="4"/>
      <c r="HB441" s="4"/>
      <c r="HC441" s="4"/>
      <c r="HD441" s="4"/>
      <c r="HE441" s="4"/>
      <c r="HF441" s="4"/>
      <c r="HG441" s="4"/>
      <c r="HH441" s="4"/>
      <c r="HI441" s="4"/>
      <c r="HJ441" s="4"/>
      <c r="HK441" s="91"/>
      <c r="HL441" s="4"/>
      <c r="HM441" s="4"/>
      <c r="HN441" s="4"/>
      <c r="HO441" s="4"/>
      <c r="HP441" s="4"/>
      <c r="HQ441" s="4"/>
      <c r="HR441" s="4"/>
      <c r="HS441" s="4"/>
      <c r="HT441" s="4"/>
      <c r="HU441" s="4"/>
      <c r="HV441" s="4"/>
      <c r="HW441" s="4"/>
      <c r="HX441" s="4"/>
      <c r="HY441" s="91"/>
      <c r="IA441" s="73"/>
      <c r="IC441" s="4"/>
      <c r="ID441" s="18" t="s">
        <v>172</v>
      </c>
      <c r="IE441" s="73">
        <v>10</v>
      </c>
      <c r="IF441" s="73">
        <v>6.3</v>
      </c>
      <c r="IG441" s="52">
        <f t="shared" si="40"/>
        <v>0.60699999999999998</v>
      </c>
      <c r="IH441" s="74">
        <f t="shared" si="38"/>
        <v>6.6000000000000005</v>
      </c>
      <c r="II441" s="73">
        <v>18.5</v>
      </c>
      <c r="IJ441" s="73">
        <v>32</v>
      </c>
      <c r="IK441" s="75">
        <v>36000</v>
      </c>
      <c r="IL441" s="4">
        <v>45</v>
      </c>
      <c r="IM441" s="75">
        <f t="shared" si="39"/>
        <v>1030</v>
      </c>
      <c r="IN441" s="75">
        <v>1000</v>
      </c>
      <c r="IO441" s="4">
        <v>780</v>
      </c>
      <c r="IP441" s="75">
        <f t="shared" si="33"/>
        <v>1236.2166901196686</v>
      </c>
      <c r="IQ441" s="3" t="s">
        <v>211</v>
      </c>
      <c r="IR441" s="76">
        <v>2016</v>
      </c>
      <c r="IS441" s="4"/>
      <c r="IT441" s="91"/>
      <c r="IU441" s="4"/>
      <c r="IV441" s="4"/>
      <c r="IW441" s="4"/>
      <c r="IX441" s="4"/>
      <c r="IY441" s="4"/>
      <c r="IZ441" s="4"/>
      <c r="JA441" s="4"/>
      <c r="JB441" s="4"/>
      <c r="JC441" s="4"/>
      <c r="JD441" s="4"/>
      <c r="JE441" s="4"/>
      <c r="JF441" s="4"/>
      <c r="JG441" s="4"/>
      <c r="JH441" s="4"/>
      <c r="JI441" s="4"/>
      <c r="JJ441" s="4"/>
      <c r="JK441" s="4"/>
      <c r="JL441" s="91"/>
      <c r="JM441" s="4"/>
      <c r="JN441" s="4"/>
      <c r="JO441" s="4"/>
      <c r="JP441" s="4"/>
      <c r="JQ441" s="4"/>
      <c r="JR441" s="4"/>
      <c r="JS441" s="4"/>
      <c r="JT441" s="4"/>
      <c r="JU441" s="4"/>
      <c r="JV441" s="4"/>
      <c r="JW441" s="4"/>
      <c r="JX441" s="4"/>
      <c r="JY441" s="4"/>
      <c r="JZ441" s="4"/>
      <c r="KA441" s="4"/>
      <c r="KB441" s="4"/>
      <c r="KC441" s="4"/>
      <c r="KD441" s="4"/>
      <c r="KE441" s="4"/>
      <c r="KF441" s="4"/>
      <c r="KG441" s="4"/>
      <c r="KH441" s="4"/>
      <c r="KI441" s="4"/>
      <c r="KJ441" s="4"/>
      <c r="KK441" s="4"/>
      <c r="KL441" s="4"/>
      <c r="KM441" s="4"/>
      <c r="KN441" s="4"/>
      <c r="KO441" s="4"/>
      <c r="KP441" s="4"/>
      <c r="KQ441" s="4"/>
      <c r="KR441" s="4"/>
      <c r="KS441" s="4"/>
      <c r="KT441" s="4"/>
      <c r="KU441" s="4"/>
      <c r="KV441" s="4"/>
      <c r="KW441" s="4"/>
      <c r="KX441" s="4"/>
      <c r="KY441" s="4"/>
      <c r="KZ441" s="4"/>
      <c r="LA441" s="4"/>
      <c r="LB441" s="4"/>
      <c r="LC441" s="4"/>
      <c r="LD441" s="4"/>
      <c r="LE441" s="4"/>
      <c r="LF441" s="4"/>
      <c r="LG441" s="4"/>
      <c r="LH441" s="4"/>
      <c r="LI441" s="4"/>
      <c r="LJ441" s="4"/>
      <c r="LK441" s="4"/>
      <c r="LL441" s="4"/>
      <c r="LM441" s="4"/>
      <c r="LN441" s="4"/>
      <c r="LO441" s="4"/>
      <c r="LP441" s="4"/>
      <c r="LQ441" s="4"/>
      <c r="LR441" s="4"/>
      <c r="LS441" s="4"/>
      <c r="LT441" s="4"/>
      <c r="LU441" s="4"/>
      <c r="LV441" s="4"/>
      <c r="LW441" s="4"/>
      <c r="LX441" s="4"/>
      <c r="LY441" s="4"/>
      <c r="LZ441" s="4"/>
      <c r="MA441" s="4"/>
      <c r="MB441" s="4"/>
      <c r="MC441" s="4"/>
      <c r="MD441" s="4"/>
      <c r="ME441" s="4"/>
      <c r="MF441" s="4"/>
      <c r="MG441" s="4"/>
      <c r="MH441" s="4"/>
      <c r="MI441" s="4"/>
      <c r="MJ441" s="4"/>
      <c r="MK441" s="4"/>
      <c r="ML441" s="4"/>
      <c r="MM441" s="4"/>
      <c r="MN441" s="4"/>
      <c r="MO441" s="4"/>
      <c r="MP441" s="4"/>
      <c r="MQ441" s="4"/>
      <c r="MR441" s="4"/>
      <c r="MS441" s="4"/>
      <c r="MT441" s="4"/>
      <c r="MU441" s="4"/>
      <c r="MV441" s="4"/>
      <c r="MW441" s="4"/>
      <c r="MX441" s="4"/>
      <c r="MY441" s="4"/>
      <c r="MZ441" s="4"/>
      <c r="NA441" s="4"/>
      <c r="NB441" s="4"/>
      <c r="NC441" s="4"/>
      <c r="ND441" s="4"/>
      <c r="NE441" s="4"/>
      <c r="NF441" s="4"/>
      <c r="NG441" s="4"/>
      <c r="NH441" s="4"/>
      <c r="NI441" s="4"/>
      <c r="NJ441" s="4"/>
      <c r="NK441" s="4"/>
      <c r="NL441" s="4"/>
      <c r="NM441" s="4"/>
      <c r="NN441" s="4"/>
      <c r="NO441" s="4"/>
      <c r="NP441" s="4"/>
      <c r="NQ441" s="4"/>
      <c r="NR441" s="4"/>
      <c r="NS441" s="4"/>
      <c r="NT441" s="4"/>
      <c r="NU441" s="4"/>
      <c r="NV441" s="4"/>
      <c r="NW441" s="4"/>
      <c r="NX441" s="4"/>
      <c r="NY441" s="4"/>
      <c r="NZ441" s="4"/>
      <c r="OA441" s="4"/>
      <c r="OB441" s="4"/>
      <c r="OC441" s="4"/>
      <c r="OD441" s="4"/>
      <c r="OE441" s="4"/>
      <c r="OF441" s="4"/>
      <c r="OG441" s="4"/>
      <c r="OH441" s="4"/>
      <c r="OI441" s="4"/>
      <c r="OJ441" s="4"/>
      <c r="OK441" s="4"/>
      <c r="OL441" s="4"/>
      <c r="OM441" s="4"/>
      <c r="ON441" s="4"/>
      <c r="OO441" s="4"/>
      <c r="OP441" s="4"/>
      <c r="OQ441" s="4"/>
      <c r="OR441" s="4"/>
      <c r="OS441" s="4"/>
      <c r="OT441" s="4"/>
      <c r="OU441" s="4"/>
      <c r="OV441" s="4"/>
      <c r="OW441" s="4"/>
      <c r="OX441" s="4"/>
      <c r="OY441" s="4"/>
      <c r="OZ441" s="4"/>
      <c r="PA441" s="4"/>
      <c r="PB441" s="4"/>
      <c r="PC441" s="4"/>
      <c r="PD441" s="4"/>
      <c r="PE441" s="4"/>
      <c r="PF441" s="4"/>
      <c r="PG441" s="4"/>
      <c r="PH441" s="4"/>
      <c r="PI441" s="4"/>
      <c r="PJ441" s="4"/>
      <c r="PK441" s="4"/>
      <c r="PL441" s="4"/>
      <c r="PM441" s="4"/>
      <c r="PN441" s="4"/>
      <c r="PO441" s="4"/>
      <c r="PP441" s="4"/>
      <c r="PQ441" s="4"/>
      <c r="PR441" s="4"/>
      <c r="PS441" s="4"/>
      <c r="PT441" s="4"/>
      <c r="PU441" s="4"/>
      <c r="PV441" s="4"/>
      <c r="PW441" s="4"/>
      <c r="PX441" s="4"/>
      <c r="PY441" s="4"/>
      <c r="PZ441" s="4"/>
      <c r="QA441" s="4"/>
      <c r="QB441" s="4"/>
      <c r="QC441" s="4"/>
      <c r="QD441" s="4"/>
      <c r="QE441" s="4"/>
      <c r="QF441" s="4"/>
      <c r="QG441" s="4"/>
      <c r="QH441" s="4"/>
      <c r="QI441" s="4"/>
      <c r="QJ441" s="4"/>
      <c r="QK441" s="4"/>
      <c r="QL441" s="4"/>
      <c r="QM441" s="4"/>
      <c r="QN441" s="4"/>
      <c r="QO441" s="4"/>
      <c r="QP441" s="4"/>
      <c r="QQ441" s="4"/>
      <c r="QR441" s="4"/>
      <c r="QS441" s="4"/>
      <c r="QT441" s="4"/>
      <c r="QU441" s="4"/>
      <c r="QV441" s="4"/>
      <c r="QW441" s="4"/>
      <c r="QX441" s="4"/>
      <c r="QY441" s="4"/>
      <c r="QZ441" s="4"/>
      <c r="RA441" s="4"/>
      <c r="RB441" s="4"/>
      <c r="RC441" s="4"/>
      <c r="RD441" s="4"/>
      <c r="RE441" s="4"/>
      <c r="RF441" s="4"/>
      <c r="RG441" s="4"/>
      <c r="RH441" s="4"/>
      <c r="RI441" s="4"/>
      <c r="RJ441" s="4"/>
      <c r="RK441" s="4"/>
      <c r="RL441" s="4"/>
      <c r="RM441" s="4"/>
      <c r="RN441" s="4"/>
      <c r="RO441" s="4"/>
      <c r="RP441" s="4"/>
      <c r="RQ441" s="4"/>
      <c r="RR441" s="4"/>
      <c r="RS441" s="4"/>
      <c r="RT441" s="4"/>
      <c r="RU441" s="4"/>
      <c r="RV441" s="4"/>
      <c r="RW441" s="4"/>
      <c r="RX441" s="4"/>
      <c r="RY441" s="4"/>
      <c r="RZ441" s="4"/>
      <c r="SA441" s="4"/>
      <c r="SB441" s="4"/>
      <c r="SC441" s="4"/>
      <c r="SD441" s="4"/>
      <c r="SE441" s="4"/>
      <c r="SF441" s="4"/>
      <c r="SG441" s="4"/>
      <c r="SH441" s="4"/>
      <c r="SI441" s="4"/>
      <c r="SJ441" s="4"/>
      <c r="SK441" s="4"/>
      <c r="SL441" s="4"/>
      <c r="SM441" s="4"/>
      <c r="SN441" s="4"/>
      <c r="SO441" s="4"/>
      <c r="SP441" s="4"/>
      <c r="SQ441" s="4"/>
      <c r="SR441" s="4"/>
      <c r="SS441" s="4"/>
      <c r="ST441" s="4"/>
      <c r="SU441" s="4"/>
      <c r="SV441" s="4"/>
      <c r="SW441" s="4"/>
      <c r="SX441" s="4"/>
      <c r="SY441" s="4"/>
      <c r="SZ441" s="4"/>
      <c r="TA441" s="4"/>
      <c r="TB441" s="4"/>
      <c r="TC441" s="4"/>
      <c r="TD441" s="4"/>
      <c r="TE441" s="4"/>
      <c r="TF441" s="4"/>
      <c r="TG441" s="4"/>
      <c r="TH441" s="4"/>
      <c r="TI441" s="4"/>
      <c r="TJ441" s="4"/>
      <c r="TK441" s="4"/>
      <c r="TL441" s="4"/>
      <c r="TM441" s="4"/>
      <c r="TN441" s="4"/>
      <c r="TO441" s="4"/>
      <c r="TP441" s="4"/>
      <c r="TQ441" s="4"/>
      <c r="TR441" s="4"/>
      <c r="TS441" s="4"/>
      <c r="TT441" s="4"/>
      <c r="TU441" s="4"/>
      <c r="TV441" s="4"/>
      <c r="TW441" s="4"/>
      <c r="TX441" s="4"/>
      <c r="TY441" s="4"/>
      <c r="TZ441" s="4"/>
      <c r="UA441" s="4"/>
      <c r="UB441" s="4"/>
      <c r="UC441" s="4"/>
      <c r="UD441" s="4"/>
      <c r="UE441" s="4"/>
      <c r="UF441" s="4"/>
      <c r="UG441" s="4"/>
      <c r="UH441" s="4"/>
      <c r="UI441" s="4"/>
      <c r="UJ441" s="4"/>
      <c r="UK441" s="4"/>
      <c r="UL441" s="4"/>
      <c r="UM441" s="4"/>
      <c r="UN441" s="4"/>
      <c r="UO441" s="4"/>
      <c r="UP441" s="4"/>
      <c r="UQ441" s="4"/>
      <c r="UR441" s="4"/>
      <c r="US441" s="4"/>
      <c r="UT441" s="4"/>
      <c r="UU441" s="4"/>
      <c r="UV441" s="4"/>
      <c r="UW441" s="4"/>
      <c r="UX441" s="4"/>
      <c r="UY441" s="4"/>
      <c r="UZ441" s="4"/>
      <c r="VA441" s="4"/>
      <c r="VB441" s="4"/>
      <c r="VC441" s="4"/>
      <c r="VD441" s="4"/>
      <c r="VE441" s="4"/>
      <c r="VF441" s="4"/>
      <c r="VG441" s="4"/>
      <c r="VH441" s="4"/>
      <c r="VI441" s="4"/>
      <c r="VJ441" s="4"/>
      <c r="VK441" s="4"/>
      <c r="VL441" s="4"/>
      <c r="VM441" s="4"/>
      <c r="VN441" s="4"/>
      <c r="VO441" s="4"/>
      <c r="VP441" s="4"/>
      <c r="VQ441" s="4"/>
      <c r="VR441" s="4"/>
      <c r="VS441" s="4"/>
      <c r="VT441" s="4"/>
      <c r="VU441" s="4"/>
      <c r="VV441" s="4"/>
      <c r="VW441" s="4"/>
      <c r="VX441" s="4"/>
      <c r="VY441" s="4"/>
      <c r="VZ441" s="4"/>
      <c r="WA441" s="4"/>
      <c r="WB441" s="4"/>
      <c r="WC441" s="4"/>
      <c r="WD441" s="4"/>
      <c r="WE441" s="4"/>
      <c r="WF441" s="4"/>
      <c r="WG441" s="4"/>
      <c r="WH441" s="4"/>
      <c r="WI441" s="4"/>
      <c r="WJ441" s="4"/>
      <c r="WK441" s="4"/>
      <c r="WL441" s="4"/>
      <c r="WM441" s="4"/>
      <c r="WN441" s="4"/>
      <c r="WO441" s="4"/>
      <c r="WP441" s="4"/>
      <c r="WQ441" s="4"/>
      <c r="WR441" s="4"/>
      <c r="WS441" s="4"/>
      <c r="WT441" s="4"/>
      <c r="WU441" s="4"/>
      <c r="WV441" s="4"/>
      <c r="WW441" s="4"/>
      <c r="WX441" s="4"/>
      <c r="WY441" s="4"/>
      <c r="WZ441" s="4"/>
      <c r="XA441" s="4"/>
      <c r="XB441" s="4"/>
      <c r="XC441" s="4"/>
      <c r="XD441" s="4"/>
      <c r="XE441" s="4"/>
      <c r="XF441" s="4"/>
      <c r="XG441" s="4"/>
      <c r="XH441" s="4"/>
      <c r="XI441" s="4"/>
      <c r="XJ441" s="4"/>
      <c r="XK441" s="4"/>
      <c r="XL441" s="4"/>
      <c r="XM441" s="4"/>
      <c r="XN441" s="4"/>
      <c r="XO441" s="4"/>
      <c r="XP441" s="4"/>
      <c r="XQ441" s="4"/>
      <c r="XR441" s="4"/>
      <c r="XS441" s="4"/>
      <c r="XT441" s="4"/>
      <c r="XU441" s="4"/>
      <c r="XV441" s="4"/>
      <c r="XW441" s="4"/>
      <c r="XX441" s="4"/>
      <c r="XY441" s="4"/>
      <c r="XZ441" s="4"/>
      <c r="YA441" s="4"/>
      <c r="YB441" s="4"/>
      <c r="YC441" s="4"/>
      <c r="YD441" s="4"/>
      <c r="YE441" s="4"/>
      <c r="YF441" s="4"/>
      <c r="YG441" s="4"/>
      <c r="YH441" s="4"/>
      <c r="YI441" s="4"/>
      <c r="YJ441" s="4"/>
      <c r="YK441" s="4"/>
      <c r="YL441" s="4"/>
      <c r="YM441" s="4"/>
      <c r="YN441" s="4"/>
      <c r="YO441" s="4"/>
      <c r="YP441" s="4"/>
      <c r="YQ441" s="4"/>
      <c r="YR441" s="4"/>
      <c r="YS441" s="4"/>
      <c r="YT441" s="4"/>
      <c r="YU441" s="4"/>
      <c r="YV441" s="4"/>
      <c r="YW441" s="4"/>
      <c r="YX441" s="4"/>
      <c r="YY441" s="4"/>
      <c r="YZ441" s="4"/>
      <c r="ZA441" s="4"/>
      <c r="ZB441" s="4"/>
      <c r="ZC441" s="4"/>
      <c r="ZD441" s="4"/>
      <c r="ZE441" s="4"/>
      <c r="ZF441" s="4"/>
      <c r="ZG441" s="4"/>
      <c r="ZH441" s="4"/>
      <c r="ZI441" s="4"/>
      <c r="ZJ441" s="4"/>
      <c r="ZK441" s="4"/>
      <c r="ZL441" s="4"/>
      <c r="ZM441" s="4"/>
      <c r="ZN441" s="4"/>
      <c r="ZO441" s="4"/>
      <c r="ZP441" s="4"/>
      <c r="ZQ441" s="4"/>
      <c r="ZR441" s="4"/>
      <c r="ZS441" s="4"/>
      <c r="ZT441" s="4"/>
      <c r="ZU441" s="4"/>
      <c r="ZV441" s="4"/>
      <c r="ZW441" s="4"/>
      <c r="ZX441" s="4"/>
      <c r="ZY441" s="4"/>
      <c r="ZZ441" s="4"/>
      <c r="AAA441" s="4"/>
      <c r="AAB441" s="4"/>
      <c r="AAC441" s="4"/>
      <c r="AAD441" s="4"/>
      <c r="AAE441" s="4"/>
      <c r="AAF441" s="4"/>
      <c r="AAG441" s="4"/>
      <c r="AAH441" s="4"/>
      <c r="AAI441" s="4"/>
      <c r="AAJ441" s="4"/>
      <c r="AAK441" s="4"/>
      <c r="AAL441" s="4"/>
      <c r="AAM441" s="4"/>
      <c r="AAN441" s="4"/>
      <c r="AAO441" s="4"/>
      <c r="AAP441" s="4"/>
      <c r="AAQ441" s="4"/>
      <c r="AAR441" s="4"/>
      <c r="AAS441" s="4"/>
      <c r="AAT441" s="4"/>
      <c r="AAU441" s="4"/>
      <c r="AAV441" s="4"/>
      <c r="AAW441" s="4"/>
      <c r="AAX441" s="4"/>
      <c r="AAY441" s="4"/>
      <c r="AAZ441" s="4"/>
      <c r="ABA441" s="4"/>
      <c r="ABB441" s="4"/>
      <c r="ABC441" s="4"/>
      <c r="ABD441" s="4"/>
      <c r="ABE441" s="4"/>
      <c r="ABF441" s="4"/>
      <c r="ABG441" s="4"/>
      <c r="ABH441" s="4"/>
      <c r="ABI441" s="4"/>
      <c r="ABJ441" s="4"/>
      <c r="ABK441" s="4"/>
      <c r="ABL441" s="4"/>
      <c r="ABM441" s="4"/>
      <c r="ABN441" s="4"/>
      <c r="ABO441" s="4"/>
      <c r="ABP441" s="4"/>
      <c r="ABQ441" s="4"/>
      <c r="ABR441" s="4"/>
      <c r="ABS441" s="4"/>
      <c r="ABT441" s="4"/>
      <c r="ABU441" s="4"/>
      <c r="ABV441" s="4"/>
      <c r="ABW441" s="4"/>
      <c r="ABX441" s="4"/>
      <c r="ABY441" s="4"/>
      <c r="ABZ441" s="4"/>
      <c r="ACA441" s="4"/>
      <c r="ACB441" s="4"/>
      <c r="ACC441" s="4"/>
      <c r="ACD441" s="4"/>
      <c r="ACE441" s="4"/>
      <c r="ACF441" s="4"/>
      <c r="ACG441" s="4"/>
      <c r="ACH441" s="4"/>
      <c r="ACI441" s="4"/>
      <c r="ACJ441" s="4"/>
      <c r="ACK441" s="4"/>
      <c r="ACL441" s="4"/>
      <c r="ACM441" s="4"/>
      <c r="ACN441" s="4"/>
      <c r="ACO441" s="4"/>
      <c r="ACP441" s="4"/>
      <c r="ACQ441" s="4"/>
      <c r="ACR441" s="4"/>
      <c r="ACS441" s="4"/>
      <c r="ACT441" s="4"/>
      <c r="ACU441" s="4"/>
      <c r="ACV441" s="4"/>
      <c r="ACW441" s="4"/>
      <c r="ACX441" s="4"/>
      <c r="ACY441" s="4"/>
      <c r="ACZ441" s="4"/>
      <c r="ADA441" s="4"/>
      <c r="ADB441" s="4"/>
      <c r="ADC441" s="4"/>
      <c r="ADD441" s="4"/>
      <c r="ADE441" s="4"/>
      <c r="ADF441" s="4"/>
      <c r="ADG441" s="4"/>
      <c r="ADH441" s="4"/>
      <c r="ADI441" s="4"/>
      <c r="ADJ441" s="4"/>
      <c r="ADK441" s="4"/>
      <c r="ADL441" s="4"/>
      <c r="ADM441" s="4"/>
      <c r="ADN441" s="4"/>
      <c r="ADO441" s="4"/>
      <c r="ADP441" s="4"/>
      <c r="ADQ441" s="4"/>
      <c r="ADR441" s="4"/>
      <c r="ADS441" s="4"/>
      <c r="ADT441" s="4"/>
      <c r="ADU441" s="4"/>
      <c r="ADV441" s="4"/>
      <c r="ADW441" s="4"/>
      <c r="ADX441" s="4"/>
      <c r="ADY441" s="4"/>
      <c r="ADZ441" s="4"/>
      <c r="AEA441" s="4"/>
      <c r="AEB441" s="4"/>
      <c r="AEC441" s="4"/>
      <c r="AED441" s="4"/>
      <c r="AEE441" s="4"/>
      <c r="AEF441" s="4"/>
      <c r="AEG441" s="4"/>
      <c r="AEH441" s="4"/>
      <c r="AEI441" s="4"/>
      <c r="AEJ441" s="4"/>
      <c r="AEK441" s="4"/>
      <c r="AEL441" s="4"/>
      <c r="AEM441" s="4"/>
      <c r="AEN441" s="4"/>
      <c r="AEO441" s="4"/>
      <c r="AEP441" s="4"/>
      <c r="AEQ441" s="4"/>
      <c r="AER441" s="4"/>
      <c r="AES441" s="4"/>
      <c r="AET441" s="4"/>
      <c r="AEU441" s="4"/>
      <c r="AEV441" s="4"/>
      <c r="AEW441" s="4"/>
      <c r="AEX441" s="4"/>
      <c r="AEY441" s="4"/>
      <c r="AEZ441" s="4"/>
      <c r="AFA441" s="4"/>
      <c r="AFB441" s="4"/>
      <c r="AFC441" s="4"/>
      <c r="AFD441" s="4"/>
      <c r="AFE441" s="4"/>
      <c r="AFF441" s="4"/>
      <c r="AFG441" s="4"/>
      <c r="AFH441" s="4"/>
      <c r="AFI441" s="4"/>
      <c r="AFJ441" s="4"/>
      <c r="AFK441" s="4"/>
      <c r="AFL441" s="4"/>
      <c r="AFM441" s="4"/>
      <c r="AFN441" s="4"/>
      <c r="AFO441" s="4"/>
      <c r="AFP441" s="4"/>
      <c r="AFQ441" s="4"/>
      <c r="AFR441" s="4"/>
      <c r="AFS441" s="4"/>
      <c r="AFT441" s="4"/>
      <c r="AFU441" s="4"/>
      <c r="AFV441" s="4"/>
      <c r="AFW441" s="4"/>
      <c r="AFX441" s="4"/>
      <c r="AFY441" s="4"/>
      <c r="AFZ441" s="4"/>
      <c r="AGA441" s="4"/>
      <c r="AGB441" s="4"/>
      <c r="AGC441" s="4"/>
      <c r="AGD441" s="4"/>
      <c r="AGE441" s="4"/>
      <c r="AGF441" s="4"/>
      <c r="AGG441" s="4"/>
      <c r="AGH441" s="4"/>
      <c r="AGI441" s="4"/>
      <c r="AGJ441" s="4"/>
      <c r="AGK441" s="4"/>
      <c r="AGL441" s="4"/>
      <c r="AGM441" s="4"/>
      <c r="AGN441" s="4"/>
      <c r="AGO441" s="4"/>
      <c r="AGP441" s="4"/>
      <c r="AGQ441" s="4"/>
      <c r="AGR441" s="4"/>
      <c r="AGS441" s="4"/>
      <c r="AGT441" s="4"/>
      <c r="AGU441" s="4"/>
      <c r="AGV441" s="4"/>
      <c r="AGW441" s="4"/>
      <c r="AGX441" s="4"/>
      <c r="AGY441" s="4"/>
      <c r="AGZ441" s="4"/>
      <c r="AHA441" s="4"/>
      <c r="AHB441" s="4"/>
      <c r="AHC441" s="4"/>
      <c r="AHD441" s="4"/>
      <c r="AHE441" s="4"/>
      <c r="AHF441" s="4"/>
      <c r="AHG441" s="4"/>
      <c r="AHH441" s="4"/>
      <c r="AHI441" s="4"/>
      <c r="AHJ441" s="4"/>
      <c r="AHK441" s="4"/>
      <c r="AHL441" s="4"/>
      <c r="AHM441" s="4"/>
      <c r="AHN441" s="4"/>
      <c r="AHO441" s="4"/>
      <c r="AHP441" s="4"/>
      <c r="AHQ441" s="4"/>
      <c r="AHR441" s="4"/>
      <c r="AHS441" s="4"/>
      <c r="AHT441" s="4"/>
      <c r="AHU441" s="4"/>
      <c r="AHV441" s="4"/>
      <c r="AHW441" s="4"/>
      <c r="AHX441" s="4"/>
      <c r="AHY441" s="4"/>
      <c r="AHZ441" s="4"/>
      <c r="AIA441" s="4"/>
      <c r="AIB441" s="4"/>
      <c r="AIC441" s="4"/>
      <c r="AID441" s="4"/>
      <c r="AIE441" s="4"/>
      <c r="AIF441" s="4"/>
      <c r="AIG441" s="4"/>
      <c r="AIH441" s="4"/>
      <c r="AII441" s="4"/>
      <c r="AIJ441" s="4"/>
      <c r="AIK441" s="4"/>
      <c r="AIL441" s="4"/>
      <c r="AIM441" s="4"/>
      <c r="AIN441" s="4"/>
      <c r="AIO441" s="4"/>
      <c r="AIP441" s="4"/>
      <c r="AIQ441" s="4"/>
      <c r="AIR441" s="4"/>
      <c r="AIS441" s="4"/>
      <c r="AIT441" s="4"/>
      <c r="AIU441" s="4"/>
      <c r="AIV441" s="4"/>
      <c r="AIW441" s="4"/>
      <c r="AIX441" s="4"/>
      <c r="AIY441" s="4"/>
      <c r="AIZ441" s="4"/>
      <c r="AJA441" s="4"/>
      <c r="AJB441" s="4"/>
      <c r="AJC441" s="4"/>
      <c r="AJD441" s="4"/>
      <c r="AJE441" s="4"/>
      <c r="AJF441" s="4"/>
      <c r="AJG441" s="4"/>
      <c r="AJH441" s="4"/>
      <c r="AJI441" s="4"/>
      <c r="AJJ441" s="4"/>
      <c r="AJK441" s="4"/>
      <c r="AJL441" s="4"/>
      <c r="AJM441" s="4"/>
      <c r="AJN441" s="4"/>
      <c r="AJO441" s="4"/>
      <c r="AJP441" s="4"/>
      <c r="AJQ441" s="4"/>
      <c r="AJR441" s="4"/>
      <c r="AJS441" s="4"/>
      <c r="AJT441" s="4"/>
      <c r="AJU441" s="4"/>
      <c r="AJV441" s="4"/>
      <c r="AJW441" s="4"/>
      <c r="AJX441" s="4"/>
      <c r="AJY441" s="4"/>
      <c r="AJZ441" s="4"/>
      <c r="AKA441" s="4"/>
      <c r="AKB441" s="4"/>
      <c r="AKC441" s="4"/>
      <c r="AKD441" s="4"/>
      <c r="AKE441" s="4"/>
      <c r="AKF441" s="4"/>
      <c r="AKG441" s="4"/>
      <c r="AKH441" s="4"/>
      <c r="AKI441" s="4"/>
      <c r="AKJ441" s="4"/>
      <c r="AKK441" s="4"/>
      <c r="AKL441" s="4"/>
      <c r="AKM441" s="4"/>
      <c r="AKN441" s="4"/>
      <c r="AKO441" s="4"/>
      <c r="AKP441" s="4"/>
      <c r="AKQ441" s="4"/>
      <c r="AKR441" s="4"/>
      <c r="AKS441" s="4"/>
      <c r="AKT441" s="4"/>
      <c r="AKU441" s="4"/>
      <c r="AKV441" s="4"/>
      <c r="AKW441" s="4"/>
      <c r="AKX441" s="4"/>
      <c r="AKY441" s="4"/>
      <c r="AKZ441" s="4"/>
      <c r="ALA441" s="4"/>
      <c r="ALB441" s="4"/>
      <c r="ALC441" s="4"/>
      <c r="ALD441" s="4"/>
      <c r="ALE441" s="4"/>
      <c r="ALF441" s="4"/>
      <c r="ALG441" s="4"/>
      <c r="ALH441" s="4"/>
      <c r="ALI441" s="4"/>
      <c r="ALJ441" s="4"/>
      <c r="ALK441" s="4"/>
      <c r="ALL441" s="4"/>
      <c r="ALM441" s="4"/>
      <c r="ALN441" s="4"/>
      <c r="ALO441" s="4"/>
      <c r="ALP441" s="4"/>
      <c r="ALQ441" s="4"/>
      <c r="ALR441" s="4"/>
      <c r="ALS441" s="4"/>
      <c r="ALT441" s="4"/>
      <c r="ALU441" s="4"/>
      <c r="ALV441" s="4"/>
      <c r="ALW441" s="4"/>
      <c r="ALX441" s="4"/>
      <c r="ALY441" s="4"/>
      <c r="ALZ441" s="4"/>
      <c r="AMA441" s="4"/>
      <c r="AMB441" s="4"/>
      <c r="AMC441" s="4"/>
      <c r="AMD441" s="4"/>
      <c r="AME441" s="4"/>
      <c r="AMF441" s="4"/>
      <c r="AMG441" s="4"/>
      <c r="AMH441" s="4"/>
      <c r="AMI441" s="4"/>
      <c r="AMJ441" s="4"/>
      <c r="AMK441" s="4"/>
      <c r="AML441" s="4"/>
      <c r="AMM441" s="4"/>
      <c r="AMN441" s="4"/>
      <c r="AMO441" s="4"/>
      <c r="AMP441" s="4"/>
      <c r="AMQ441" s="4"/>
      <c r="AMR441" s="4"/>
      <c r="AMS441" s="4"/>
      <c r="AMT441" s="4"/>
      <c r="AMU441" s="4"/>
      <c r="AMV441" s="4"/>
      <c r="AMW441" s="4"/>
      <c r="AMX441" s="4"/>
      <c r="AMY441" s="4"/>
      <c r="AMZ441" s="4"/>
      <c r="ANA441" s="4"/>
      <c r="ANB441" s="4"/>
      <c r="ANC441" s="4"/>
      <c r="AND441" s="4"/>
      <c r="ANE441" s="4"/>
      <c r="ANF441" s="4"/>
      <c r="ANG441" s="4"/>
      <c r="ANH441" s="4"/>
      <c r="ANI441" s="4"/>
      <c r="ANJ441" s="4"/>
      <c r="ANK441" s="4"/>
      <c r="ANL441" s="4"/>
      <c r="ANM441" s="4"/>
      <c r="ANN441" s="4"/>
      <c r="ANO441" s="4"/>
      <c r="ANP441" s="4"/>
      <c r="ANQ441" s="4"/>
      <c r="ANR441" s="4"/>
      <c r="ANS441" s="4"/>
      <c r="ANT441" s="4"/>
      <c r="ANU441" s="4"/>
      <c r="ANV441" s="4"/>
      <c r="ANW441" s="4"/>
      <c r="ANX441" s="4"/>
      <c r="ANY441" s="4"/>
      <c r="ANZ441" s="4"/>
      <c r="AOA441" s="4"/>
      <c r="AOB441" s="4"/>
      <c r="AOC441" s="4"/>
      <c r="AOD441" s="4"/>
      <c r="AOE441" s="4"/>
      <c r="AOF441" s="4"/>
      <c r="AOG441" s="4"/>
      <c r="AOH441" s="4"/>
      <c r="AOI441" s="4"/>
      <c r="AOJ441" s="4"/>
      <c r="AOK441" s="4"/>
      <c r="AOL441" s="4"/>
      <c r="AOM441" s="4"/>
      <c r="AON441" s="4"/>
      <c r="AOO441" s="4"/>
      <c r="AOP441" s="4"/>
      <c r="AOQ441" s="4"/>
      <c r="AOR441" s="4"/>
      <c r="AOS441" s="4"/>
      <c r="AOT441" s="4"/>
    </row>
    <row r="442" spans="1:1086" ht="12" customHeight="1">
      <c r="X442" s="4"/>
      <c r="AH442" s="4"/>
      <c r="EA442" s="4"/>
      <c r="FX442" s="4"/>
      <c r="HL442" s="4"/>
      <c r="HZ442" s="4"/>
      <c r="IA442" s="73"/>
      <c r="ID442" s="18" t="s">
        <v>172</v>
      </c>
      <c r="IE442" s="73">
        <v>12</v>
      </c>
      <c r="IF442" s="73">
        <v>7.2</v>
      </c>
      <c r="IG442" s="52">
        <f t="shared" si="40"/>
        <v>0.58083333333333331</v>
      </c>
      <c r="IH442" s="74">
        <f t="shared" si="38"/>
        <v>7.92</v>
      </c>
      <c r="II442" s="73">
        <v>22.5</v>
      </c>
      <c r="IJ442" s="73">
        <v>45</v>
      </c>
      <c r="IK442" s="75">
        <v>58000</v>
      </c>
      <c r="IL442" s="4">
        <v>75</v>
      </c>
      <c r="IM442" s="75">
        <f t="shared" si="39"/>
        <v>1110</v>
      </c>
      <c r="IN442" s="75">
        <v>1000</v>
      </c>
      <c r="IO442" s="4">
        <v>780</v>
      </c>
      <c r="IP442" s="75">
        <f t="shared" si="33"/>
        <v>1282.126427023436</v>
      </c>
      <c r="IQ442" s="3" t="s">
        <v>211</v>
      </c>
      <c r="IR442" s="76">
        <v>2016</v>
      </c>
      <c r="IU442" s="4"/>
      <c r="JM442" s="4"/>
    </row>
    <row r="443" spans="1:1086" ht="12" customHeight="1">
      <c r="X443" s="4"/>
      <c r="AH443" s="4"/>
      <c r="EA443" s="4"/>
      <c r="FX443" s="4"/>
      <c r="HL443" s="4"/>
      <c r="HZ443" s="4"/>
      <c r="IA443" s="73"/>
      <c r="ID443" s="34" t="s">
        <v>172</v>
      </c>
      <c r="IE443" s="77">
        <v>14</v>
      </c>
      <c r="IF443" s="77">
        <v>8.5</v>
      </c>
      <c r="IG443" s="78">
        <f t="shared" si="40"/>
        <v>0.59071428571428564</v>
      </c>
      <c r="IH443" s="79">
        <f t="shared" si="38"/>
        <v>9.24</v>
      </c>
      <c r="II443" s="77">
        <v>22.5</v>
      </c>
      <c r="IJ443" s="77">
        <v>62</v>
      </c>
      <c r="IK443" s="80">
        <v>86000</v>
      </c>
      <c r="IL443" s="2">
        <v>115</v>
      </c>
      <c r="IM443" s="80">
        <f t="shared" si="39"/>
        <v>1090</v>
      </c>
      <c r="IN443" s="80">
        <v>1000</v>
      </c>
      <c r="IO443" s="2">
        <v>780</v>
      </c>
      <c r="IP443" s="80">
        <f t="shared" si="33"/>
        <v>1322.2701983964996</v>
      </c>
      <c r="IQ443" s="81" t="s">
        <v>211</v>
      </c>
      <c r="IR443" s="82">
        <v>2016</v>
      </c>
      <c r="IU443" s="4"/>
      <c r="JM443" s="4"/>
    </row>
    <row r="444" spans="1:1086" ht="12" customHeight="1">
      <c r="X444" s="4"/>
      <c r="AH444" s="4"/>
      <c r="EA444" s="4"/>
      <c r="FX444" s="4"/>
      <c r="HL444" s="4"/>
      <c r="HZ444" s="4"/>
      <c r="IA444" s="73"/>
      <c r="ID444" s="83" t="s">
        <v>174</v>
      </c>
      <c r="IE444" s="58">
        <v>4</v>
      </c>
      <c r="IF444" s="58">
        <v>2.5</v>
      </c>
      <c r="IG444" s="59">
        <f t="shared" si="40"/>
        <v>0.5675</v>
      </c>
      <c r="IH444" s="60">
        <f t="shared" si="38"/>
        <v>2.64</v>
      </c>
      <c r="II444" s="58">
        <v>8</v>
      </c>
      <c r="IJ444" s="58">
        <v>5</v>
      </c>
      <c r="IK444" s="61">
        <v>3300</v>
      </c>
      <c r="IL444" s="58">
        <v>3</v>
      </c>
      <c r="IM444" s="61">
        <f t="shared" si="39"/>
        <v>1020</v>
      </c>
      <c r="IN444" s="61">
        <v>1000</v>
      </c>
      <c r="IO444" s="22">
        <v>780</v>
      </c>
      <c r="IP444" s="61">
        <f t="shared" si="33"/>
        <v>1029.2161704028574</v>
      </c>
      <c r="IQ444" s="62" t="s">
        <v>211</v>
      </c>
      <c r="IR444" s="15">
        <v>2016</v>
      </c>
      <c r="IU444" s="4"/>
      <c r="JM444" s="4"/>
    </row>
    <row r="445" spans="1:1086" ht="12" customHeight="1">
      <c r="X445" s="4"/>
      <c r="AH445" s="4"/>
      <c r="EA445" s="4"/>
      <c r="FX445" s="4"/>
      <c r="HL445" s="4"/>
      <c r="HZ445" s="4"/>
      <c r="IA445" s="73"/>
      <c r="ID445" s="83" t="s">
        <v>174</v>
      </c>
      <c r="IE445" s="58">
        <v>4.5</v>
      </c>
      <c r="IF445" s="58">
        <v>2.7</v>
      </c>
      <c r="IG445" s="59">
        <f t="shared" si="40"/>
        <v>0.54888888888888898</v>
      </c>
      <c r="IH445" s="60">
        <f t="shared" si="38"/>
        <v>2.97</v>
      </c>
      <c r="II445" s="58">
        <v>8.9</v>
      </c>
      <c r="IJ445" s="58">
        <v>5.3</v>
      </c>
      <c r="IK445" s="61">
        <v>3700</v>
      </c>
      <c r="IL445" s="58">
        <v>4.3</v>
      </c>
      <c r="IM445" s="61">
        <f t="shared" si="39"/>
        <v>930</v>
      </c>
      <c r="IN445" s="61">
        <v>1000</v>
      </c>
      <c r="IO445" s="22">
        <v>780</v>
      </c>
      <c r="IP445" s="61">
        <f t="shared" si="33"/>
        <v>1053.7488300460786</v>
      </c>
      <c r="IQ445" s="62" t="s">
        <v>211</v>
      </c>
      <c r="IR445" s="15">
        <v>2016</v>
      </c>
      <c r="IU445" s="4"/>
      <c r="JM445" s="4"/>
    </row>
    <row r="446" spans="1:1086" ht="12" customHeight="1">
      <c r="X446" s="4"/>
      <c r="AH446" s="4"/>
      <c r="EA446" s="4"/>
      <c r="FX446" s="4"/>
      <c r="HL446" s="4"/>
      <c r="HZ446" s="4"/>
      <c r="IA446" s="73"/>
      <c r="ID446" s="83" t="s">
        <v>174</v>
      </c>
      <c r="IE446" s="58">
        <v>5</v>
      </c>
      <c r="IF446" s="58">
        <v>3.15</v>
      </c>
      <c r="IG446" s="59">
        <f t="shared" si="40"/>
        <v>0.58399999999999996</v>
      </c>
      <c r="IH446" s="60">
        <f t="shared" si="38"/>
        <v>3.3000000000000003</v>
      </c>
      <c r="II446" s="58">
        <v>9.6</v>
      </c>
      <c r="IJ446" s="58">
        <v>7.9</v>
      </c>
      <c r="IK446" s="61">
        <v>5900</v>
      </c>
      <c r="IL446" s="58">
        <v>6</v>
      </c>
      <c r="IM446" s="61">
        <f t="shared" si="39"/>
        <v>1010</v>
      </c>
      <c r="IN446" s="61">
        <v>1000</v>
      </c>
      <c r="IO446" s="22">
        <v>780</v>
      </c>
      <c r="IP446" s="61">
        <f t="shared" si="33"/>
        <v>1076.1891359397475</v>
      </c>
      <c r="IQ446" s="62" t="s">
        <v>211</v>
      </c>
      <c r="IR446" s="15">
        <v>2016</v>
      </c>
      <c r="IU446" s="4"/>
      <c r="JM446" s="4"/>
    </row>
    <row r="447" spans="1:1086" ht="12" customHeight="1">
      <c r="X447" s="4"/>
      <c r="AH447" s="4"/>
      <c r="EA447" s="4"/>
      <c r="FX447" s="4"/>
      <c r="HL447" s="4"/>
      <c r="HZ447" s="4"/>
      <c r="IA447" s="73"/>
      <c r="ID447" s="83" t="s">
        <v>174</v>
      </c>
      <c r="IE447" s="58">
        <v>6</v>
      </c>
      <c r="IF447" s="58">
        <v>3.9</v>
      </c>
      <c r="IG447" s="59">
        <f t="shared" si="40"/>
        <v>0.61166666666666669</v>
      </c>
      <c r="IH447" s="60">
        <f t="shared" si="38"/>
        <v>3.96</v>
      </c>
      <c r="II447" s="58">
        <v>12</v>
      </c>
      <c r="IJ447" s="58">
        <v>11</v>
      </c>
      <c r="IK447" s="61">
        <v>9500</v>
      </c>
      <c r="IL447" s="58">
        <v>10</v>
      </c>
      <c r="IM447" s="61">
        <f t="shared" si="39"/>
        <v>920</v>
      </c>
      <c r="IN447" s="61">
        <v>1000</v>
      </c>
      <c r="IO447" s="22">
        <v>780</v>
      </c>
      <c r="IP447" s="61">
        <f t="shared" si="33"/>
        <v>1116.1558832620992</v>
      </c>
      <c r="IQ447" s="62" t="s">
        <v>211</v>
      </c>
      <c r="IR447" s="15">
        <v>2016</v>
      </c>
      <c r="IU447" s="4"/>
      <c r="JM447" s="4"/>
    </row>
    <row r="448" spans="1:1086" ht="12" customHeight="1">
      <c r="X448" s="4"/>
      <c r="AH448" s="4"/>
      <c r="EA448" s="4"/>
      <c r="FX448" s="4"/>
      <c r="HL448" s="4"/>
      <c r="HZ448" s="4"/>
      <c r="IA448" s="73"/>
      <c r="ID448" s="83" t="s">
        <v>174</v>
      </c>
      <c r="IE448" s="58">
        <v>8</v>
      </c>
      <c r="IF448" s="58">
        <v>5.3</v>
      </c>
      <c r="IG448" s="59">
        <f t="shared" si="40"/>
        <v>0.63374999999999992</v>
      </c>
      <c r="IH448" s="60">
        <f t="shared" si="38"/>
        <v>5.28</v>
      </c>
      <c r="II448" s="58">
        <v>15</v>
      </c>
      <c r="IJ448" s="58">
        <v>20</v>
      </c>
      <c r="IK448" s="61">
        <v>20000</v>
      </c>
      <c r="IL448" s="22">
        <v>23</v>
      </c>
      <c r="IM448" s="61">
        <f t="shared" si="39"/>
        <v>910</v>
      </c>
      <c r="IN448" s="61">
        <v>1000</v>
      </c>
      <c r="IO448" s="22">
        <v>780</v>
      </c>
      <c r="IP448" s="61">
        <f t="shared" si="33"/>
        <v>1182.2589218781104</v>
      </c>
      <c r="IQ448" s="62" t="s">
        <v>211</v>
      </c>
      <c r="IR448" s="15">
        <v>2016</v>
      </c>
      <c r="IU448" s="4"/>
      <c r="JM448" s="4"/>
    </row>
    <row r="449" spans="23:272" s="4" customFormat="1" ht="12" customHeight="1">
      <c r="W449" s="91"/>
      <c r="AG449" s="91"/>
      <c r="DZ449" s="91"/>
      <c r="FW449" s="91"/>
      <c r="HK449" s="91"/>
      <c r="HY449" s="91"/>
      <c r="IA449" s="73"/>
      <c r="ID449" s="229" t="s">
        <v>176</v>
      </c>
      <c r="IE449" s="231">
        <v>4</v>
      </c>
      <c r="IF449" s="231">
        <v>2.5</v>
      </c>
      <c r="IG449" s="232">
        <f t="shared" si="40"/>
        <v>0.5675</v>
      </c>
      <c r="IH449" s="233">
        <f t="shared" si="38"/>
        <v>2.64</v>
      </c>
      <c r="II449" s="231">
        <v>8</v>
      </c>
      <c r="IJ449" s="231">
        <v>3.1</v>
      </c>
      <c r="IK449" s="234">
        <v>1900</v>
      </c>
      <c r="IL449" s="231">
        <v>2</v>
      </c>
      <c r="IM449" s="234">
        <f t="shared" si="39"/>
        <v>630</v>
      </c>
      <c r="IN449" s="234">
        <v>500</v>
      </c>
      <c r="IO449" s="235">
        <v>780</v>
      </c>
      <c r="IP449" s="234">
        <f t="shared" si="33"/>
        <v>1029.2161704028574</v>
      </c>
      <c r="IQ449" s="230" t="s">
        <v>211</v>
      </c>
      <c r="IR449" s="236">
        <v>2016</v>
      </c>
      <c r="IT449" s="91"/>
      <c r="JL449" s="91"/>
    </row>
    <row r="450" spans="23:272" s="4" customFormat="1" ht="12" customHeight="1">
      <c r="W450" s="91"/>
      <c r="AG450" s="91"/>
      <c r="DZ450" s="91"/>
      <c r="FW450" s="91"/>
      <c r="HK450" s="91"/>
      <c r="HY450" s="91"/>
      <c r="IA450" s="73"/>
      <c r="ID450" s="213" t="s">
        <v>176</v>
      </c>
      <c r="IE450" s="215">
        <v>4.5</v>
      </c>
      <c r="IF450" s="215">
        <v>2.7</v>
      </c>
      <c r="IG450" s="216">
        <f t="shared" si="40"/>
        <v>0.54888888888888898</v>
      </c>
      <c r="IH450" s="217">
        <f t="shared" si="38"/>
        <v>2.97</v>
      </c>
      <c r="II450" s="215">
        <v>8.9</v>
      </c>
      <c r="IJ450" s="215">
        <v>3.6</v>
      </c>
      <c r="IK450" s="218">
        <v>2300</v>
      </c>
      <c r="IL450" s="215">
        <v>2.6</v>
      </c>
      <c r="IM450" s="218">
        <f t="shared" si="39"/>
        <v>630</v>
      </c>
      <c r="IN450" s="218">
        <v>500</v>
      </c>
      <c r="IO450" s="219">
        <v>780</v>
      </c>
      <c r="IP450" s="218">
        <f t="shared" si="33"/>
        <v>1053.7488300460786</v>
      </c>
      <c r="IQ450" s="214" t="s">
        <v>211</v>
      </c>
      <c r="IR450" s="220">
        <v>2016</v>
      </c>
      <c r="IT450" s="91"/>
      <c r="JL450" s="91"/>
    </row>
    <row r="451" spans="23:272" s="4" customFormat="1" ht="12" customHeight="1">
      <c r="W451" s="91"/>
      <c r="AG451" s="91"/>
      <c r="DZ451" s="91"/>
      <c r="FW451" s="91"/>
      <c r="HK451" s="91"/>
      <c r="HY451" s="91"/>
      <c r="IA451" s="73"/>
      <c r="ID451" s="213" t="s">
        <v>176</v>
      </c>
      <c r="IE451" s="215">
        <v>5</v>
      </c>
      <c r="IF451" s="215">
        <v>3.15</v>
      </c>
      <c r="IG451" s="216">
        <f t="shared" si="40"/>
        <v>0.58399999999999996</v>
      </c>
      <c r="IH451" s="217">
        <f t="shared" si="38"/>
        <v>3.3000000000000003</v>
      </c>
      <c r="II451" s="215">
        <v>9.6</v>
      </c>
      <c r="IJ451" s="215">
        <v>4.2</v>
      </c>
      <c r="IK451" s="218">
        <v>2800</v>
      </c>
      <c r="IL451" s="215">
        <v>3.3</v>
      </c>
      <c r="IM451" s="218">
        <f t="shared" si="39"/>
        <v>540</v>
      </c>
      <c r="IN451" s="218">
        <v>500</v>
      </c>
      <c r="IO451" s="219">
        <v>780</v>
      </c>
      <c r="IP451" s="218">
        <f t="shared" si="33"/>
        <v>1076.1891359397475</v>
      </c>
      <c r="IQ451" s="214" t="s">
        <v>211</v>
      </c>
      <c r="IR451" s="220">
        <v>2016</v>
      </c>
      <c r="IT451" s="91"/>
      <c r="JL451" s="91"/>
    </row>
    <row r="452" spans="23:272" s="4" customFormat="1" ht="12" customHeight="1">
      <c r="W452" s="91"/>
      <c r="AG452" s="91"/>
      <c r="DZ452" s="91"/>
      <c r="FW452" s="91"/>
      <c r="HK452" s="91"/>
      <c r="HY452" s="91"/>
      <c r="IA452" s="73"/>
      <c r="ID452" s="213" t="s">
        <v>176</v>
      </c>
      <c r="IE452" s="215">
        <v>6</v>
      </c>
      <c r="IF452" s="215">
        <v>3.9</v>
      </c>
      <c r="IG452" s="216">
        <f t="shared" si="40"/>
        <v>0.61166666666666669</v>
      </c>
      <c r="IH452" s="217">
        <f t="shared" si="38"/>
        <v>3.96</v>
      </c>
      <c r="II452" s="215">
        <v>12</v>
      </c>
      <c r="IJ452" s="215">
        <v>5.9</v>
      </c>
      <c r="IK452" s="218">
        <v>5500</v>
      </c>
      <c r="IL452" s="215">
        <v>6.4</v>
      </c>
      <c r="IM452" s="218">
        <f t="shared" si="39"/>
        <v>490</v>
      </c>
      <c r="IN452" s="218">
        <v>500</v>
      </c>
      <c r="IO452" s="219">
        <v>780</v>
      </c>
      <c r="IP452" s="218">
        <f t="shared" si="33"/>
        <v>1116.1558832620992</v>
      </c>
      <c r="IQ452" s="214" t="s">
        <v>211</v>
      </c>
      <c r="IR452" s="220">
        <v>2016</v>
      </c>
      <c r="IT452" s="91"/>
      <c r="JL452" s="91"/>
    </row>
    <row r="453" spans="23:272" s="4" customFormat="1" ht="12" customHeight="1">
      <c r="W453" s="91"/>
      <c r="AG453" s="91"/>
      <c r="DZ453" s="91"/>
      <c r="FW453" s="91"/>
      <c r="HK453" s="91"/>
      <c r="HY453" s="91"/>
      <c r="IA453" s="73"/>
      <c r="ID453" s="221" t="s">
        <v>176</v>
      </c>
      <c r="IE453" s="222">
        <v>8</v>
      </c>
      <c r="IF453" s="222">
        <v>5.3</v>
      </c>
      <c r="IG453" s="223">
        <f t="shared" si="40"/>
        <v>0.63374999999999992</v>
      </c>
      <c r="IH453" s="224">
        <f t="shared" si="38"/>
        <v>5.28</v>
      </c>
      <c r="II453" s="222">
        <v>15</v>
      </c>
      <c r="IJ453" s="222">
        <v>12</v>
      </c>
      <c r="IK453" s="225">
        <v>6800</v>
      </c>
      <c r="IL453" s="222">
        <v>16</v>
      </c>
      <c r="IM453" s="225">
        <f t="shared" si="39"/>
        <v>540</v>
      </c>
      <c r="IN453" s="225">
        <v>500</v>
      </c>
      <c r="IO453" s="226">
        <v>780</v>
      </c>
      <c r="IP453" s="225">
        <f t="shared" si="33"/>
        <v>1182.2589218781104</v>
      </c>
      <c r="IQ453" s="227" t="s">
        <v>211</v>
      </c>
      <c r="IR453" s="228">
        <v>2016</v>
      </c>
      <c r="IT453" s="91"/>
      <c r="JL453" s="91"/>
    </row>
    <row r="454" spans="23:272" s="4" customFormat="1" ht="12" customHeight="1">
      <c r="W454" s="91"/>
      <c r="AG454" s="91"/>
      <c r="DZ454" s="91"/>
      <c r="FW454" s="91"/>
      <c r="HK454" s="91"/>
      <c r="HY454" s="91"/>
      <c r="IA454" s="73"/>
      <c r="ID454" s="29" t="s">
        <v>178</v>
      </c>
      <c r="IE454" s="67">
        <v>3.5</v>
      </c>
      <c r="IF454" s="67">
        <v>2.15</v>
      </c>
      <c r="IG454" s="68">
        <f t="shared" si="40"/>
        <v>0.5485714285714286</v>
      </c>
      <c r="IH454" s="69">
        <f t="shared" si="38"/>
        <v>2.31</v>
      </c>
      <c r="II454" s="67">
        <v>6.9</v>
      </c>
      <c r="IJ454" s="67">
        <v>3.4</v>
      </c>
      <c r="IK454" s="70">
        <v>2300</v>
      </c>
      <c r="IL454" s="67">
        <v>2.1</v>
      </c>
      <c r="IM454" s="70">
        <f t="shared" si="39"/>
        <v>940</v>
      </c>
      <c r="IN454" s="70">
        <v>1000</v>
      </c>
      <c r="IO454" s="30">
        <v>780</v>
      </c>
      <c r="IP454" s="70">
        <f t="shared" si="33"/>
        <v>1002.0934225562827</v>
      </c>
      <c r="IQ454" s="71" t="s">
        <v>212</v>
      </c>
      <c r="IR454" s="72">
        <v>2016</v>
      </c>
      <c r="IT454" s="91"/>
      <c r="JL454" s="91"/>
    </row>
    <row r="455" spans="23:272" s="4" customFormat="1" ht="12" customHeight="1">
      <c r="W455" s="91"/>
      <c r="AG455" s="91"/>
      <c r="DZ455" s="91"/>
      <c r="FW455" s="91"/>
      <c r="HK455" s="91"/>
      <c r="HY455" s="91"/>
      <c r="IA455" s="73"/>
      <c r="ID455" s="18" t="s">
        <v>178</v>
      </c>
      <c r="IE455" s="73">
        <v>4</v>
      </c>
      <c r="IF455" s="73">
        <v>2.4</v>
      </c>
      <c r="IG455" s="52">
        <f t="shared" si="40"/>
        <v>0.54249999999999998</v>
      </c>
      <c r="IH455" s="74">
        <f t="shared" si="38"/>
        <v>2.64</v>
      </c>
      <c r="II455" s="73">
        <v>7.9</v>
      </c>
      <c r="IJ455" s="73">
        <v>4.4000000000000004</v>
      </c>
      <c r="IK455" s="75">
        <v>2800</v>
      </c>
      <c r="IL455" s="73">
        <v>2.9</v>
      </c>
      <c r="IM455" s="75">
        <f t="shared" si="39"/>
        <v>970</v>
      </c>
      <c r="IN455" s="75">
        <v>1000</v>
      </c>
      <c r="IO455" s="4">
        <v>780</v>
      </c>
      <c r="IP455" s="75">
        <f t="shared" si="33"/>
        <v>1029.2161704028574</v>
      </c>
      <c r="IQ455" s="3" t="s">
        <v>212</v>
      </c>
      <c r="IR455" s="76">
        <v>2016</v>
      </c>
      <c r="IT455" s="91"/>
      <c r="JL455" s="91"/>
    </row>
    <row r="456" spans="23:272" s="4" customFormat="1" ht="12" customHeight="1">
      <c r="W456" s="91"/>
      <c r="AG456" s="91"/>
      <c r="DZ456" s="91"/>
      <c r="FW456" s="91"/>
      <c r="HK456" s="91"/>
      <c r="HY456" s="91"/>
      <c r="ID456" s="18" t="s">
        <v>178</v>
      </c>
      <c r="IE456" s="73">
        <v>4.5</v>
      </c>
      <c r="IF456" s="73">
        <v>2.7</v>
      </c>
      <c r="IG456" s="52">
        <f t="shared" si="40"/>
        <v>0.54888888888888898</v>
      </c>
      <c r="IH456" s="74">
        <f t="shared" si="38"/>
        <v>2.97</v>
      </c>
      <c r="II456" s="73">
        <v>8.9</v>
      </c>
      <c r="IJ456" s="73">
        <v>5.6</v>
      </c>
      <c r="IK456" s="75">
        <v>4500</v>
      </c>
      <c r="IL456" s="73">
        <v>4.5</v>
      </c>
      <c r="IM456" s="75">
        <f t="shared" si="39"/>
        <v>980</v>
      </c>
      <c r="IN456" s="75">
        <v>1000</v>
      </c>
      <c r="IO456" s="4">
        <v>780</v>
      </c>
      <c r="IP456" s="75">
        <f t="shared" si="33"/>
        <v>1053.7488300460786</v>
      </c>
      <c r="IQ456" s="3" t="s">
        <v>212</v>
      </c>
      <c r="IR456" s="76">
        <v>2016</v>
      </c>
      <c r="IT456" s="91"/>
      <c r="JL456" s="91"/>
    </row>
    <row r="457" spans="23:272" s="4" customFormat="1" ht="12" customHeight="1">
      <c r="W457" s="91"/>
      <c r="AG457" s="91"/>
      <c r="DZ457" s="91"/>
      <c r="FW457" s="91"/>
      <c r="HK457" s="91"/>
      <c r="HY457" s="91"/>
      <c r="ID457" s="18" t="s">
        <v>178</v>
      </c>
      <c r="IE457" s="73">
        <v>5</v>
      </c>
      <c r="IF457" s="73">
        <v>3</v>
      </c>
      <c r="IG457" s="52">
        <f t="shared" si="40"/>
        <v>0.55400000000000005</v>
      </c>
      <c r="IH457" s="74">
        <f t="shared" si="38"/>
        <v>3.3000000000000003</v>
      </c>
      <c r="II457" s="73">
        <v>9.6</v>
      </c>
      <c r="IJ457" s="73">
        <v>7.9</v>
      </c>
      <c r="IK457" s="75">
        <v>5900</v>
      </c>
      <c r="IL457" s="73">
        <v>6.2</v>
      </c>
      <c r="IM457" s="75">
        <f t="shared" si="39"/>
        <v>1120</v>
      </c>
      <c r="IN457" s="75">
        <v>1000</v>
      </c>
      <c r="IO457" s="4">
        <v>780</v>
      </c>
      <c r="IP457" s="75">
        <f t="shared" si="33"/>
        <v>1076.1891359397475</v>
      </c>
      <c r="IQ457" s="3" t="s">
        <v>212</v>
      </c>
      <c r="IR457" s="76">
        <v>2016</v>
      </c>
      <c r="IT457" s="91"/>
      <c r="JL457" s="91"/>
    </row>
    <row r="458" spans="23:272" s="4" customFormat="1" ht="12" customHeight="1">
      <c r="W458" s="91"/>
      <c r="AG458" s="91"/>
      <c r="DZ458" s="91"/>
      <c r="FW458" s="91"/>
      <c r="HK458" s="91"/>
      <c r="HY458" s="91"/>
      <c r="ID458" s="34" t="s">
        <v>178</v>
      </c>
      <c r="IE458" s="77">
        <v>6</v>
      </c>
      <c r="IF458" s="77">
        <v>3.8</v>
      </c>
      <c r="IG458" s="78">
        <f t="shared" si="40"/>
        <v>0.59499999999999997</v>
      </c>
      <c r="IH458" s="79">
        <f t="shared" si="38"/>
        <v>3.96</v>
      </c>
      <c r="II458" s="77">
        <v>11.7</v>
      </c>
      <c r="IJ458" s="77">
        <v>11.3</v>
      </c>
      <c r="IK458" s="80">
        <v>9500</v>
      </c>
      <c r="IL458" s="77">
        <v>11</v>
      </c>
      <c r="IM458" s="80">
        <f t="shared" si="39"/>
        <v>1000</v>
      </c>
      <c r="IN458" s="80">
        <v>1000</v>
      </c>
      <c r="IO458" s="2">
        <v>780</v>
      </c>
      <c r="IP458" s="80">
        <f t="shared" si="33"/>
        <v>1116.1558832620992</v>
      </c>
      <c r="IQ458" s="81" t="s">
        <v>212</v>
      </c>
      <c r="IR458" s="82">
        <v>2016</v>
      </c>
      <c r="IT458" s="91"/>
      <c r="JL458" s="91"/>
    </row>
    <row r="459" spans="23:272" s="4" customFormat="1" ht="12" customHeight="1">
      <c r="W459" s="91"/>
      <c r="AG459" s="91"/>
      <c r="DZ459" s="91"/>
      <c r="FW459" s="91"/>
      <c r="HK459" s="91"/>
      <c r="HY459" s="91"/>
      <c r="ID459" s="213" t="s">
        <v>181</v>
      </c>
      <c r="IE459" s="215">
        <v>4.5</v>
      </c>
      <c r="IF459" s="215">
        <v>2.7</v>
      </c>
      <c r="IG459" s="216">
        <f t="shared" si="40"/>
        <v>0.54888888888888898</v>
      </c>
      <c r="IH459" s="217">
        <f t="shared" si="38"/>
        <v>2.97</v>
      </c>
      <c r="II459" s="215"/>
      <c r="IJ459" s="215">
        <v>5.3</v>
      </c>
      <c r="IK459" s="218">
        <v>3700</v>
      </c>
      <c r="IL459" s="215">
        <v>4.0999999999999996</v>
      </c>
      <c r="IM459" s="218">
        <f t="shared" si="39"/>
        <v>930</v>
      </c>
      <c r="IN459" s="218">
        <v>500</v>
      </c>
      <c r="IO459" s="219">
        <v>780</v>
      </c>
      <c r="IP459" s="218">
        <f t="shared" si="33"/>
        <v>1053.7488300460786</v>
      </c>
      <c r="IQ459" s="214" t="s">
        <v>212</v>
      </c>
      <c r="IR459" s="220">
        <v>2016</v>
      </c>
      <c r="IT459" s="91"/>
      <c r="JL459" s="91"/>
    </row>
    <row r="460" spans="23:272" s="4" customFormat="1" ht="12" customHeight="1">
      <c r="W460" s="91"/>
      <c r="AG460" s="91"/>
      <c r="DZ460" s="91"/>
      <c r="FW460" s="91"/>
      <c r="HK460" s="91"/>
      <c r="HY460" s="91"/>
      <c r="ID460" s="221" t="s">
        <v>181</v>
      </c>
      <c r="IE460" s="222">
        <v>5</v>
      </c>
      <c r="IF460" s="222">
        <v>3</v>
      </c>
      <c r="IG460" s="223">
        <f t="shared" si="40"/>
        <v>0.55400000000000005</v>
      </c>
      <c r="IH460" s="224">
        <f t="shared" si="38"/>
        <v>3.3000000000000003</v>
      </c>
      <c r="II460" s="222"/>
      <c r="IJ460" s="222">
        <v>7.4</v>
      </c>
      <c r="IK460" s="225">
        <v>4900</v>
      </c>
      <c r="IL460" s="222">
        <v>6</v>
      </c>
      <c r="IM460" s="225">
        <f t="shared" si="39"/>
        <v>1050</v>
      </c>
      <c r="IN460" s="225">
        <v>500</v>
      </c>
      <c r="IO460" s="226">
        <v>780</v>
      </c>
      <c r="IP460" s="225">
        <f t="shared" si="33"/>
        <v>1076.1891359397475</v>
      </c>
      <c r="IQ460" s="227" t="s">
        <v>212</v>
      </c>
      <c r="IR460" s="228">
        <v>2016</v>
      </c>
      <c r="IT460" s="91"/>
      <c r="JL460" s="91"/>
    </row>
    <row r="461" spans="23:272" s="4" customFormat="1" ht="12" customHeight="1">
      <c r="W461" s="91"/>
      <c r="AG461" s="91"/>
      <c r="DZ461" s="91"/>
      <c r="FW461" s="91"/>
      <c r="HK461" s="91"/>
      <c r="HY461" s="91"/>
      <c r="ID461" s="29" t="s">
        <v>182</v>
      </c>
      <c r="IE461" s="67">
        <v>3.5</v>
      </c>
      <c r="IF461" s="67">
        <v>2.2000000000000002</v>
      </c>
      <c r="IG461" s="68">
        <f>IF461/IE461</f>
        <v>0.62857142857142867</v>
      </c>
      <c r="IH461" s="69">
        <f t="shared" si="38"/>
        <v>2.31</v>
      </c>
      <c r="II461" s="67">
        <v>6.8</v>
      </c>
      <c r="IJ461" s="67">
        <v>3.8</v>
      </c>
      <c r="IK461" s="70">
        <v>2300</v>
      </c>
      <c r="IL461" s="67">
        <v>2.2000000000000002</v>
      </c>
      <c r="IM461" s="70">
        <f t="shared" si="39"/>
        <v>1000</v>
      </c>
      <c r="IN461" s="70">
        <v>1000</v>
      </c>
      <c r="IO461" s="30">
        <v>780</v>
      </c>
      <c r="IP461" s="70">
        <f t="shared" si="33"/>
        <v>1002.0934225562827</v>
      </c>
      <c r="IQ461" s="71" t="s">
        <v>213</v>
      </c>
      <c r="IR461" s="72">
        <v>2016</v>
      </c>
      <c r="IT461" s="91"/>
      <c r="JL461" s="91"/>
    </row>
    <row r="462" spans="23:272" s="4" customFormat="1" ht="12" customHeight="1">
      <c r="W462" s="91"/>
      <c r="AG462" s="91"/>
      <c r="DZ462" s="91"/>
      <c r="FW462" s="91"/>
      <c r="HK462" s="91"/>
      <c r="HY462" s="91"/>
      <c r="ID462" s="18" t="s">
        <v>182</v>
      </c>
      <c r="IE462" s="73">
        <v>4</v>
      </c>
      <c r="IF462" s="73">
        <v>2.6</v>
      </c>
      <c r="IG462" s="52">
        <f t="shared" ref="IG462:IG474" si="41">IF462/IE462</f>
        <v>0.65</v>
      </c>
      <c r="IH462" s="74">
        <f t="shared" si="38"/>
        <v>2.64</v>
      </c>
      <c r="II462" s="73">
        <v>7.8</v>
      </c>
      <c r="IJ462" s="73">
        <v>4.7</v>
      </c>
      <c r="IK462" s="75">
        <v>2800</v>
      </c>
      <c r="IL462" s="73">
        <v>2.9</v>
      </c>
      <c r="IM462" s="75">
        <f t="shared" si="39"/>
        <v>890</v>
      </c>
      <c r="IN462" s="75">
        <v>1000</v>
      </c>
      <c r="IO462" s="4">
        <v>780</v>
      </c>
      <c r="IP462" s="75">
        <f t="shared" si="33"/>
        <v>1029.2161704028574</v>
      </c>
      <c r="IQ462" s="3" t="s">
        <v>213</v>
      </c>
      <c r="IR462" s="76">
        <v>2016</v>
      </c>
      <c r="IT462" s="91"/>
      <c r="JL462" s="91"/>
    </row>
    <row r="463" spans="23:272" s="4" customFormat="1" ht="12" customHeight="1">
      <c r="W463" s="91"/>
      <c r="AG463" s="91"/>
      <c r="DZ463" s="91"/>
      <c r="FW463" s="91"/>
      <c r="HK463" s="91"/>
      <c r="HY463" s="91"/>
      <c r="ID463" s="18" t="s">
        <v>182</v>
      </c>
      <c r="IE463" s="73">
        <v>4.5</v>
      </c>
      <c r="IF463" s="73">
        <v>2.85</v>
      </c>
      <c r="IG463" s="52">
        <f t="shared" si="41"/>
        <v>0.6333333333333333</v>
      </c>
      <c r="IH463" s="74">
        <f t="shared" si="38"/>
        <v>2.97</v>
      </c>
      <c r="II463" s="73">
        <v>8.6999999999999993</v>
      </c>
      <c r="IJ463" s="73">
        <v>6.4</v>
      </c>
      <c r="IK463" s="75">
        <v>4500</v>
      </c>
      <c r="IL463" s="73">
        <v>4.5</v>
      </c>
      <c r="IM463" s="75">
        <f t="shared" si="39"/>
        <v>1000</v>
      </c>
      <c r="IN463" s="75">
        <v>1000</v>
      </c>
      <c r="IO463" s="4">
        <v>780</v>
      </c>
      <c r="IP463" s="75">
        <f t="shared" si="33"/>
        <v>1053.7488300460786</v>
      </c>
      <c r="IQ463" s="3" t="s">
        <v>213</v>
      </c>
      <c r="IR463" s="76">
        <v>2016</v>
      </c>
      <c r="IT463" s="91"/>
      <c r="JL463" s="91"/>
    </row>
    <row r="464" spans="23:272" s="4" customFormat="1" ht="12" customHeight="1">
      <c r="W464" s="91"/>
      <c r="AG464" s="91"/>
      <c r="DZ464" s="91"/>
      <c r="FW464" s="91"/>
      <c r="HK464" s="91"/>
      <c r="HY464" s="91"/>
      <c r="ID464" s="18" t="s">
        <v>182</v>
      </c>
      <c r="IE464" s="73">
        <v>5</v>
      </c>
      <c r="IF464" s="73">
        <v>3.35</v>
      </c>
      <c r="IG464" s="52">
        <f t="shared" si="41"/>
        <v>0.67</v>
      </c>
      <c r="IH464" s="74">
        <f t="shared" si="38"/>
        <v>3.3000000000000003</v>
      </c>
      <c r="II464" s="73">
        <v>9.4</v>
      </c>
      <c r="IJ464" s="73">
        <v>7.9</v>
      </c>
      <c r="IK464" s="75">
        <v>5900</v>
      </c>
      <c r="IL464" s="73">
        <v>6.5</v>
      </c>
      <c r="IM464" s="75">
        <f t="shared" si="39"/>
        <v>900</v>
      </c>
      <c r="IN464" s="75">
        <v>1000</v>
      </c>
      <c r="IO464" s="4">
        <v>780</v>
      </c>
      <c r="IP464" s="75">
        <f t="shared" si="33"/>
        <v>1076.1891359397475</v>
      </c>
      <c r="IQ464" s="3" t="s">
        <v>213</v>
      </c>
      <c r="IR464" s="76">
        <v>2016</v>
      </c>
      <c r="IT464" s="91"/>
      <c r="JL464" s="91"/>
    </row>
    <row r="465" spans="24:273" ht="12" customHeight="1">
      <c r="X465" s="4"/>
      <c r="AH465" s="4"/>
      <c r="EA465" s="4"/>
      <c r="FX465" s="4"/>
      <c r="HL465" s="4"/>
      <c r="HZ465" s="4"/>
      <c r="ID465" s="18" t="s">
        <v>182</v>
      </c>
      <c r="IE465" s="73">
        <v>6</v>
      </c>
      <c r="IF465" s="73">
        <v>4.05</v>
      </c>
      <c r="IG465" s="52">
        <f t="shared" si="41"/>
        <v>0.67499999999999993</v>
      </c>
      <c r="IH465" s="74">
        <f t="shared" si="38"/>
        <v>3.96</v>
      </c>
      <c r="II465" s="73">
        <v>11.8</v>
      </c>
      <c r="IJ465" s="73">
        <v>11.3</v>
      </c>
      <c r="IK465" s="75">
        <v>9500</v>
      </c>
      <c r="IL465" s="73">
        <v>11</v>
      </c>
      <c r="IM465" s="75">
        <f t="shared" si="39"/>
        <v>880</v>
      </c>
      <c r="IN465" s="75">
        <v>1000</v>
      </c>
      <c r="IO465" s="4">
        <v>780</v>
      </c>
      <c r="IP465" s="75">
        <f t="shared" si="33"/>
        <v>1116.1558832620992</v>
      </c>
      <c r="IQ465" s="3" t="s">
        <v>213</v>
      </c>
      <c r="IR465" s="76">
        <v>2016</v>
      </c>
      <c r="IU465" s="4"/>
      <c r="JM465" s="4"/>
    </row>
    <row r="466" spans="24:273" ht="12" customHeight="1">
      <c r="X466" s="4"/>
      <c r="AH466" s="4"/>
      <c r="EA466" s="4"/>
      <c r="FX466" s="4"/>
      <c r="HL466" s="4"/>
      <c r="HZ466" s="4"/>
      <c r="ID466" s="18" t="s">
        <v>182</v>
      </c>
      <c r="IE466" s="73">
        <v>8</v>
      </c>
      <c r="IF466" s="73">
        <v>5.05</v>
      </c>
      <c r="IG466" s="52">
        <f t="shared" si="41"/>
        <v>0.63124999999999998</v>
      </c>
      <c r="IH466" s="74">
        <f t="shared" si="38"/>
        <v>5.28</v>
      </c>
      <c r="II466" s="73">
        <v>14.8</v>
      </c>
      <c r="IJ466" s="73">
        <v>20</v>
      </c>
      <c r="IK466" s="75">
        <v>20000</v>
      </c>
      <c r="IL466" s="73">
        <v>25</v>
      </c>
      <c r="IM466" s="75">
        <f t="shared" si="39"/>
        <v>1000</v>
      </c>
      <c r="IN466" s="75">
        <v>1000</v>
      </c>
      <c r="IO466" s="4">
        <v>780</v>
      </c>
      <c r="IP466" s="75">
        <f t="shared" si="33"/>
        <v>1182.2589218781104</v>
      </c>
      <c r="IQ466" s="3" t="s">
        <v>213</v>
      </c>
      <c r="IR466" s="76">
        <v>2016</v>
      </c>
      <c r="IU466" s="4"/>
      <c r="JM466" s="4"/>
    </row>
    <row r="467" spans="24:273" ht="12" customHeight="1">
      <c r="X467" s="4"/>
      <c r="AH467" s="4"/>
      <c r="EA467" s="4"/>
      <c r="FX467" s="4"/>
      <c r="HL467" s="4"/>
      <c r="HZ467" s="4"/>
      <c r="ID467" s="34" t="s">
        <v>182</v>
      </c>
      <c r="IE467" s="77">
        <v>10</v>
      </c>
      <c r="IF467" s="77">
        <v>6.2</v>
      </c>
      <c r="IG467" s="78">
        <f t="shared" si="41"/>
        <v>0.62</v>
      </c>
      <c r="IH467" s="79">
        <f t="shared" si="38"/>
        <v>6.6000000000000005</v>
      </c>
      <c r="II467" s="77">
        <v>18.5</v>
      </c>
      <c r="IJ467" s="77">
        <v>31</v>
      </c>
      <c r="IK467" s="80">
        <v>36000</v>
      </c>
      <c r="IL467" s="77">
        <v>42</v>
      </c>
      <c r="IM467" s="80">
        <f t="shared" si="39"/>
        <v>1030</v>
      </c>
      <c r="IN467" s="80">
        <v>1000</v>
      </c>
      <c r="IO467" s="2">
        <v>780</v>
      </c>
      <c r="IP467" s="80">
        <f t="shared" si="33"/>
        <v>1236.2166901196686</v>
      </c>
      <c r="IQ467" s="81" t="s">
        <v>213</v>
      </c>
      <c r="IR467" s="82">
        <v>2016</v>
      </c>
      <c r="IU467" s="4"/>
      <c r="JM467" s="4"/>
    </row>
    <row r="468" spans="24:273" ht="12" customHeight="1">
      <c r="X468" s="4"/>
      <c r="AH468" s="4"/>
      <c r="EA468" s="4"/>
      <c r="FX468" s="4"/>
      <c r="HL468" s="4"/>
      <c r="HZ468" s="4"/>
      <c r="ID468" s="213" t="s">
        <v>184</v>
      </c>
      <c r="IE468" s="215">
        <v>3.5</v>
      </c>
      <c r="IF468" s="215">
        <v>2.2000000000000002</v>
      </c>
      <c r="IG468" s="216">
        <f t="shared" si="41"/>
        <v>0.62857142857142867</v>
      </c>
      <c r="IH468" s="217">
        <f t="shared" si="38"/>
        <v>2.31</v>
      </c>
      <c r="II468" s="215">
        <v>6.8</v>
      </c>
      <c r="IJ468" s="215">
        <v>2.9</v>
      </c>
      <c r="IK468" s="218">
        <v>1900</v>
      </c>
      <c r="IL468" s="215">
        <v>2</v>
      </c>
      <c r="IM468" s="218">
        <f t="shared" si="39"/>
        <v>760</v>
      </c>
      <c r="IN468" s="218">
        <v>500</v>
      </c>
      <c r="IO468" s="219">
        <v>780</v>
      </c>
      <c r="IP468" s="218">
        <f t="shared" si="33"/>
        <v>1002.0934225562827</v>
      </c>
      <c r="IQ468" s="214" t="s">
        <v>213</v>
      </c>
      <c r="IR468" s="220">
        <v>2016</v>
      </c>
      <c r="IU468" s="4"/>
      <c r="JM468" s="4"/>
    </row>
    <row r="469" spans="24:273" ht="12" customHeight="1">
      <c r="X469" s="4"/>
      <c r="AH469" s="4"/>
      <c r="EA469" s="4"/>
      <c r="FX469" s="4"/>
      <c r="HL469" s="4"/>
      <c r="HZ469" s="4"/>
      <c r="ID469" s="213" t="s">
        <v>184</v>
      </c>
      <c r="IE469" s="215">
        <v>4</v>
      </c>
      <c r="IF469" s="215">
        <v>2.6</v>
      </c>
      <c r="IG469" s="216">
        <f t="shared" si="41"/>
        <v>0.65</v>
      </c>
      <c r="IH469" s="217">
        <f t="shared" si="38"/>
        <v>2.64</v>
      </c>
      <c r="II469" s="215">
        <v>7.8</v>
      </c>
      <c r="IJ469" s="215">
        <v>3.8</v>
      </c>
      <c r="IK469" s="218">
        <v>2800</v>
      </c>
      <c r="IL469" s="215">
        <v>2.9</v>
      </c>
      <c r="IM469" s="218">
        <f t="shared" si="39"/>
        <v>720</v>
      </c>
      <c r="IN469" s="218">
        <v>500</v>
      </c>
      <c r="IO469" s="219">
        <v>780</v>
      </c>
      <c r="IP469" s="218">
        <f t="shared" si="33"/>
        <v>1029.2161704028574</v>
      </c>
      <c r="IQ469" s="214" t="s">
        <v>213</v>
      </c>
      <c r="IR469" s="220">
        <v>2016</v>
      </c>
      <c r="IU469" s="4"/>
      <c r="JM469" s="4"/>
    </row>
    <row r="470" spans="24:273" ht="12" customHeight="1">
      <c r="X470" s="4"/>
      <c r="AH470" s="4"/>
      <c r="EA470" s="4"/>
      <c r="FX470" s="4"/>
      <c r="HL470" s="4"/>
      <c r="HZ470" s="4"/>
      <c r="ID470" s="213" t="s">
        <v>184</v>
      </c>
      <c r="IE470" s="215">
        <v>4.5</v>
      </c>
      <c r="IF470" s="215">
        <v>2.85</v>
      </c>
      <c r="IG470" s="216">
        <f t="shared" si="41"/>
        <v>0.6333333333333333</v>
      </c>
      <c r="IH470" s="217">
        <f t="shared" si="38"/>
        <v>2.97</v>
      </c>
      <c r="II470" s="215">
        <v>8.6999999999999993</v>
      </c>
      <c r="IJ470" s="215">
        <v>4.8</v>
      </c>
      <c r="IK470" s="218">
        <v>3700</v>
      </c>
      <c r="IL470" s="215">
        <v>4</v>
      </c>
      <c r="IM470" s="218">
        <f t="shared" si="39"/>
        <v>750</v>
      </c>
      <c r="IN470" s="218">
        <v>500</v>
      </c>
      <c r="IO470" s="219">
        <v>780</v>
      </c>
      <c r="IP470" s="218">
        <f t="shared" si="33"/>
        <v>1053.7488300460786</v>
      </c>
      <c r="IQ470" s="214" t="s">
        <v>213</v>
      </c>
      <c r="IR470" s="220">
        <v>2016</v>
      </c>
      <c r="IU470" s="4"/>
      <c r="JM470" s="4"/>
    </row>
    <row r="471" spans="24:273" ht="12" customHeight="1">
      <c r="X471" s="4"/>
      <c r="AH471" s="4"/>
      <c r="EA471" s="4"/>
      <c r="FX471" s="4"/>
      <c r="HL471" s="4"/>
      <c r="HZ471" s="4"/>
      <c r="ID471" s="213" t="s">
        <v>184</v>
      </c>
      <c r="IE471" s="215">
        <v>5</v>
      </c>
      <c r="IF471" s="215">
        <v>3.35</v>
      </c>
      <c r="IG471" s="216">
        <f t="shared" si="41"/>
        <v>0.67</v>
      </c>
      <c r="IH471" s="217">
        <f t="shared" si="38"/>
        <v>3.3000000000000003</v>
      </c>
      <c r="II471" s="215">
        <v>9.4</v>
      </c>
      <c r="IJ471" s="215">
        <v>5.9</v>
      </c>
      <c r="IK471" s="218">
        <v>4900</v>
      </c>
      <c r="IL471" s="215">
        <v>5.6</v>
      </c>
      <c r="IM471" s="218">
        <f t="shared" si="39"/>
        <v>670</v>
      </c>
      <c r="IN471" s="218">
        <v>500</v>
      </c>
      <c r="IO471" s="219">
        <v>780</v>
      </c>
      <c r="IP471" s="218">
        <f t="shared" si="33"/>
        <v>1076.1891359397475</v>
      </c>
      <c r="IQ471" s="214" t="s">
        <v>213</v>
      </c>
      <c r="IR471" s="220">
        <v>2016</v>
      </c>
      <c r="IU471" s="4"/>
      <c r="JM471" s="4"/>
    </row>
    <row r="472" spans="24:273" ht="12" customHeight="1">
      <c r="X472" s="4"/>
      <c r="AH472" s="4"/>
      <c r="EA472" s="4"/>
      <c r="FX472" s="4"/>
      <c r="HL472" s="4"/>
      <c r="HZ472" s="4"/>
      <c r="ID472" s="213" t="s">
        <v>184</v>
      </c>
      <c r="IE472" s="215">
        <v>6</v>
      </c>
      <c r="IF472" s="215">
        <v>4.05</v>
      </c>
      <c r="IG472" s="216">
        <f t="shared" si="41"/>
        <v>0.67499999999999993</v>
      </c>
      <c r="IH472" s="217">
        <f t="shared" si="38"/>
        <v>3.96</v>
      </c>
      <c r="II472" s="215">
        <v>11.8</v>
      </c>
      <c r="IJ472" s="215">
        <v>8.5</v>
      </c>
      <c r="IK472" s="218">
        <v>7900</v>
      </c>
      <c r="IL472" s="215">
        <v>10</v>
      </c>
      <c r="IM472" s="218">
        <f t="shared" si="39"/>
        <v>660</v>
      </c>
      <c r="IN472" s="218">
        <v>500</v>
      </c>
      <c r="IO472" s="219">
        <v>780</v>
      </c>
      <c r="IP472" s="218">
        <f t="shared" si="33"/>
        <v>1116.1558832620992</v>
      </c>
      <c r="IQ472" s="214" t="s">
        <v>213</v>
      </c>
      <c r="IR472" s="220">
        <v>2016</v>
      </c>
      <c r="IU472" s="4"/>
      <c r="JM472" s="4"/>
    </row>
    <row r="473" spans="24:273" ht="12" customHeight="1">
      <c r="X473" s="4"/>
      <c r="AH473" s="4"/>
      <c r="EA473" s="4"/>
      <c r="FX473" s="4"/>
      <c r="HL473" s="4"/>
      <c r="HZ473" s="4"/>
      <c r="ID473" s="213" t="s">
        <v>184</v>
      </c>
      <c r="IE473" s="215">
        <v>8</v>
      </c>
      <c r="IF473" s="215">
        <v>5.05</v>
      </c>
      <c r="IG473" s="216">
        <f t="shared" si="41"/>
        <v>0.63124999999999998</v>
      </c>
      <c r="IH473" s="217">
        <f t="shared" si="38"/>
        <v>5.28</v>
      </c>
      <c r="II473" s="215">
        <v>14.8</v>
      </c>
      <c r="IJ473" s="215">
        <v>15</v>
      </c>
      <c r="IK473" s="218">
        <v>17000</v>
      </c>
      <c r="IL473" s="215">
        <v>19</v>
      </c>
      <c r="IM473" s="218">
        <f t="shared" si="39"/>
        <v>750</v>
      </c>
      <c r="IN473" s="218">
        <v>500</v>
      </c>
      <c r="IO473" s="219">
        <v>780</v>
      </c>
      <c r="IP473" s="218">
        <f t="shared" si="33"/>
        <v>1182.2589218781104</v>
      </c>
      <c r="IQ473" s="214" t="s">
        <v>213</v>
      </c>
      <c r="IR473" s="220">
        <v>2016</v>
      </c>
      <c r="IU473" s="4"/>
      <c r="JM473" s="4"/>
    </row>
    <row r="474" spans="24:273" ht="12" customHeight="1">
      <c r="X474" s="4"/>
      <c r="AH474" s="4"/>
      <c r="EA474" s="4"/>
      <c r="FX474" s="4"/>
      <c r="HL474" s="4"/>
      <c r="HZ474" s="4"/>
      <c r="ID474" s="221" t="s">
        <v>184</v>
      </c>
      <c r="IE474" s="222">
        <v>10</v>
      </c>
      <c r="IF474" s="222">
        <v>6.2</v>
      </c>
      <c r="IG474" s="223">
        <f t="shared" si="41"/>
        <v>0.62</v>
      </c>
      <c r="IH474" s="224">
        <f t="shared" si="38"/>
        <v>6.6000000000000005</v>
      </c>
      <c r="II474" s="222">
        <v>18.5</v>
      </c>
      <c r="IJ474" s="222">
        <v>22</v>
      </c>
      <c r="IK474" s="225">
        <v>30000</v>
      </c>
      <c r="IL474" s="222">
        <v>35</v>
      </c>
      <c r="IM474" s="225">
        <f t="shared" si="39"/>
        <v>730</v>
      </c>
      <c r="IN474" s="225">
        <v>500</v>
      </c>
      <c r="IO474" s="226">
        <v>780</v>
      </c>
      <c r="IP474" s="225">
        <f t="shared" si="33"/>
        <v>1236.2166901196686</v>
      </c>
      <c r="IQ474" s="227" t="s">
        <v>213</v>
      </c>
      <c r="IR474" s="228">
        <v>2016</v>
      </c>
      <c r="IU474" s="4"/>
      <c r="JM474" s="4"/>
    </row>
    <row r="475" spans="24:273" ht="12" customHeight="1">
      <c r="X475" s="4"/>
      <c r="AH475" s="4"/>
      <c r="EA475" s="4"/>
      <c r="FX475" s="4"/>
      <c r="HL475" s="4"/>
      <c r="HZ475" s="4"/>
      <c r="ID475" s="29" t="s">
        <v>186</v>
      </c>
      <c r="IE475" s="67">
        <v>6</v>
      </c>
      <c r="IF475" s="67">
        <v>3.45</v>
      </c>
      <c r="IG475" s="68">
        <f>IF475/IE475</f>
        <v>0.57500000000000007</v>
      </c>
      <c r="IH475" s="69">
        <f t="shared" si="38"/>
        <v>3.96</v>
      </c>
      <c r="II475" s="67">
        <v>11.8</v>
      </c>
      <c r="IJ475" s="67">
        <v>10</v>
      </c>
      <c r="IK475" s="70">
        <v>9500</v>
      </c>
      <c r="IL475" s="67">
        <v>10</v>
      </c>
      <c r="IM475" s="70">
        <f t="shared" si="39"/>
        <v>1070</v>
      </c>
      <c r="IN475" s="70">
        <v>1000</v>
      </c>
      <c r="IO475" s="30">
        <v>780</v>
      </c>
      <c r="IP475" s="70">
        <f t="shared" si="33"/>
        <v>1116.1558832620992</v>
      </c>
      <c r="IQ475" s="71" t="s">
        <v>214</v>
      </c>
      <c r="IR475" s="72">
        <v>2017</v>
      </c>
      <c r="IU475" s="4"/>
      <c r="JM475" s="4"/>
    </row>
    <row r="476" spans="24:273" ht="12" customHeight="1">
      <c r="X476" s="4"/>
      <c r="AH476" s="4"/>
      <c r="EA476" s="4"/>
      <c r="FX476" s="4"/>
      <c r="HL476" s="4"/>
      <c r="HZ476" s="4"/>
      <c r="ID476" s="34" t="s">
        <v>186</v>
      </c>
      <c r="IE476" s="77">
        <v>8</v>
      </c>
      <c r="IF476" s="77">
        <v>4.8499999999999996</v>
      </c>
      <c r="IG476" s="78">
        <f>IF476/IE476</f>
        <v>0.60624999999999996</v>
      </c>
      <c r="IH476" s="79">
        <f t="shared" si="38"/>
        <v>5.28</v>
      </c>
      <c r="II476" s="77">
        <v>14.8</v>
      </c>
      <c r="IJ476" s="77">
        <v>18</v>
      </c>
      <c r="IK476" s="80">
        <v>20000</v>
      </c>
      <c r="IL476" s="77">
        <v>23</v>
      </c>
      <c r="IM476" s="80">
        <f t="shared" si="39"/>
        <v>970</v>
      </c>
      <c r="IN476" s="80">
        <v>1000</v>
      </c>
      <c r="IO476" s="2">
        <v>780</v>
      </c>
      <c r="IP476" s="80">
        <f t="shared" si="33"/>
        <v>1182.2589218781104</v>
      </c>
      <c r="IQ476" s="81" t="s">
        <v>214</v>
      </c>
      <c r="IR476" s="82">
        <v>2017</v>
      </c>
      <c r="IU476" s="4"/>
      <c r="JM476" s="4"/>
    </row>
    <row r="477" spans="24:273" ht="12" customHeight="1">
      <c r="X477" s="4"/>
      <c r="AH477" s="4"/>
      <c r="EA477" s="4"/>
      <c r="FX477" s="4"/>
      <c r="HL477" s="4"/>
      <c r="HZ477" s="4"/>
      <c r="ID477" s="53" t="s">
        <v>188</v>
      </c>
      <c r="IE477" s="55">
        <v>6.2</v>
      </c>
      <c r="IF477" s="55">
        <v>4</v>
      </c>
      <c r="IG477" s="54">
        <f>IF477/IE477</f>
        <v>0.64516129032258063</v>
      </c>
      <c r="IH477" s="55">
        <f t="shared" si="38"/>
        <v>4.0920000000000005</v>
      </c>
      <c r="II477" s="55">
        <v>12.1</v>
      </c>
      <c r="IJ477" s="55">
        <v>10.7</v>
      </c>
      <c r="IK477" s="56">
        <v>10100</v>
      </c>
      <c r="IL477" s="55">
        <v>9.5</v>
      </c>
      <c r="IM477" s="56">
        <f t="shared" si="39"/>
        <v>850</v>
      </c>
      <c r="IN477" s="56">
        <v>600</v>
      </c>
      <c r="IO477" s="20">
        <v>780</v>
      </c>
      <c r="IP477" s="56">
        <f t="shared" si="33"/>
        <v>1123.4996477473733</v>
      </c>
      <c r="IQ477" s="57" t="s">
        <v>215</v>
      </c>
      <c r="IR477" s="11">
        <v>2016</v>
      </c>
      <c r="IU477" s="4"/>
      <c r="JM477" s="4"/>
    </row>
    <row r="478" spans="24:273" ht="12" customHeight="1">
      <c r="X478" s="4"/>
      <c r="AH478" s="4"/>
      <c r="EA478" s="4"/>
      <c r="FX478" s="4"/>
      <c r="HL478" s="4"/>
      <c r="HZ478" s="4"/>
      <c r="ID478" s="256" t="s">
        <v>188</v>
      </c>
      <c r="IE478" s="60">
        <v>8.1999999999999993</v>
      </c>
      <c r="IF478" s="60">
        <v>5.4</v>
      </c>
      <c r="IG478" s="59">
        <f>IF478/IE478</f>
        <v>0.6585365853658538</v>
      </c>
      <c r="IH478" s="60">
        <f t="shared" si="38"/>
        <v>5.4119999999999999</v>
      </c>
      <c r="II478" s="60">
        <v>14.8</v>
      </c>
      <c r="IJ478" s="60">
        <v>19.100000000000001</v>
      </c>
      <c r="IK478" s="61">
        <v>21000</v>
      </c>
      <c r="IL478" s="60">
        <v>25</v>
      </c>
      <c r="IM478" s="61">
        <f t="shared" si="39"/>
        <v>830</v>
      </c>
      <c r="IN478" s="61">
        <v>600</v>
      </c>
      <c r="IO478" s="22">
        <v>780</v>
      </c>
      <c r="IP478" s="61">
        <f>IO478*IE478^0.2</f>
        <v>1188.111975007499</v>
      </c>
      <c r="IQ478" s="62" t="s">
        <v>215</v>
      </c>
      <c r="IR478" s="15">
        <v>2016</v>
      </c>
      <c r="IU478" s="4"/>
      <c r="JM478" s="4"/>
    </row>
    <row r="479" spans="24:273" ht="12" customHeight="1">
      <c r="X479" s="4"/>
      <c r="AH479" s="4"/>
      <c r="EA479" s="4"/>
      <c r="FX479" s="4"/>
      <c r="HL479" s="4"/>
      <c r="HZ479" s="4"/>
      <c r="ID479" s="24" t="s">
        <v>188</v>
      </c>
      <c r="IE479" s="64">
        <v>10.199999999999999</v>
      </c>
      <c r="IF479" s="64">
        <v>6.4</v>
      </c>
      <c r="IG479" s="63">
        <f>IF479/IE479</f>
        <v>0.62745098039215697</v>
      </c>
      <c r="IH479" s="64">
        <f t="shared" si="38"/>
        <v>6.7320000000000002</v>
      </c>
      <c r="II479" s="64">
        <v>18.600000000000001</v>
      </c>
      <c r="IJ479" s="64">
        <v>29.8</v>
      </c>
      <c r="IK479" s="65">
        <v>37200</v>
      </c>
      <c r="IL479" s="64">
        <v>40</v>
      </c>
      <c r="IM479" s="65">
        <f t="shared" si="39"/>
        <v>930</v>
      </c>
      <c r="IN479" s="65">
        <v>600</v>
      </c>
      <c r="IO479" s="25">
        <v>780</v>
      </c>
      <c r="IP479" s="65">
        <f>IO479*IE479^0.2</f>
        <v>1241.1224661067993</v>
      </c>
      <c r="IQ479" s="66" t="s">
        <v>215</v>
      </c>
      <c r="IR479" s="17">
        <v>2016</v>
      </c>
      <c r="IU479" s="4"/>
      <c r="JM479" s="4"/>
    </row>
    <row r="480" spans="24:273" ht="12" customHeight="1">
      <c r="X480" s="4"/>
      <c r="AH480" s="4"/>
      <c r="EA480" s="4"/>
      <c r="FX480" s="4"/>
      <c r="HL480" s="4"/>
      <c r="HZ480" s="4"/>
      <c r="IU480" s="4"/>
      <c r="JM480" s="4"/>
    </row>
    <row r="481" spans="24:277" ht="12" customHeight="1">
      <c r="X481" s="4"/>
      <c r="AH481" s="4"/>
      <c r="EA481" s="4"/>
      <c r="FX481" s="4"/>
      <c r="HL481" s="4"/>
      <c r="HZ481" s="4"/>
      <c r="IU481" s="4"/>
      <c r="JM481" s="4"/>
    </row>
    <row r="482" spans="24:277" ht="12" customHeight="1">
      <c r="X482" s="4"/>
      <c r="AH482" s="4"/>
      <c r="EA482" s="4"/>
      <c r="FX482" s="4"/>
      <c r="HL482" s="4"/>
      <c r="HZ482" s="4"/>
      <c r="IU482" s="4"/>
      <c r="JM482" s="4"/>
    </row>
    <row r="483" spans="24:277" ht="12" customHeight="1">
      <c r="X483" s="4"/>
      <c r="AH483" s="4"/>
      <c r="EA483" s="4"/>
      <c r="FX483" s="4"/>
      <c r="HL483" s="4"/>
      <c r="HZ483" s="4"/>
      <c r="IU483" s="4"/>
      <c r="JM483" s="4"/>
    </row>
    <row r="484" spans="24:277" ht="12" customHeight="1">
      <c r="X484" s="4"/>
      <c r="AH484" s="4"/>
      <c r="EA484" s="4"/>
      <c r="FX484" s="4"/>
      <c r="HL484" s="4"/>
      <c r="HZ484" s="4"/>
      <c r="IU484" s="4"/>
      <c r="JM484" s="4"/>
    </row>
    <row r="485" spans="24:277" ht="12" customHeight="1">
      <c r="X485" s="4"/>
      <c r="AH485" s="4"/>
      <c r="EA485" s="4"/>
      <c r="FX485" s="4"/>
      <c r="HL485" s="4"/>
      <c r="HZ485" s="4"/>
      <c r="IU485" s="4"/>
      <c r="JM485" s="4"/>
    </row>
    <row r="486" spans="24:277" ht="12" customHeight="1">
      <c r="X486" s="4"/>
      <c r="AH486" s="4"/>
      <c r="EA486" s="4"/>
      <c r="FX486" s="4"/>
      <c r="HL486" s="4"/>
      <c r="HZ486" s="4"/>
      <c r="IU486" s="4"/>
      <c r="JD486" s="93"/>
      <c r="JF486" s="93"/>
      <c r="JH486" s="93"/>
      <c r="JM486" s="4"/>
      <c r="JO486" s="93"/>
      <c r="JQ486" s="93"/>
    </row>
    <row r="487" spans="24:277" ht="12" customHeight="1">
      <c r="X487" s="4"/>
      <c r="AH487" s="4"/>
      <c r="EA487" s="4"/>
      <c r="FX487" s="4"/>
      <c r="HL487" s="4"/>
      <c r="HZ487" s="4"/>
      <c r="IU487" s="4"/>
      <c r="JD487" s="93"/>
      <c r="JF487" s="93"/>
      <c r="JH487" s="93"/>
      <c r="JM487" s="4"/>
      <c r="JO487" s="93"/>
      <c r="JQ487" s="93"/>
    </row>
    <row r="488" spans="24:277" ht="12" customHeight="1">
      <c r="X488" s="4"/>
      <c r="AH488" s="4"/>
      <c r="EA488" s="4"/>
      <c r="FX488" s="4"/>
      <c r="HL488" s="4"/>
      <c r="HZ488" s="4"/>
      <c r="IU488" s="4"/>
      <c r="JD488" s="93"/>
      <c r="JF488" s="93"/>
      <c r="JH488" s="93"/>
      <c r="JM488" s="4"/>
      <c r="JO488" s="93"/>
      <c r="JQ488" s="93"/>
    </row>
    <row r="489" spans="24:277" ht="12" customHeight="1">
      <c r="X489" s="4"/>
      <c r="AH489" s="4"/>
      <c r="EA489" s="4"/>
      <c r="FX489" s="4"/>
      <c r="HL489" s="4"/>
      <c r="HZ489" s="4"/>
      <c r="IU489" s="4"/>
      <c r="JD489" s="93"/>
      <c r="JF489" s="93"/>
      <c r="JH489" s="93"/>
      <c r="JM489" s="4"/>
      <c r="JO489" s="93"/>
      <c r="JQ489" s="93"/>
    </row>
    <row r="490" spans="24:277" ht="12" customHeight="1">
      <c r="X490" s="4"/>
      <c r="AH490" s="4"/>
      <c r="EA490" s="4"/>
      <c r="FX490" s="4"/>
      <c r="HL490" s="4"/>
      <c r="HZ490" s="4"/>
      <c r="IU490" s="4"/>
      <c r="JD490" s="93"/>
      <c r="JF490" s="93"/>
      <c r="JH490" s="93"/>
      <c r="JM490" s="4"/>
      <c r="JO490" s="93"/>
      <c r="JQ490" s="93"/>
    </row>
    <row r="491" spans="24:277" ht="12" customHeight="1">
      <c r="X491" s="4"/>
      <c r="AH491" s="4"/>
      <c r="EA491" s="4"/>
      <c r="FX491" s="4"/>
      <c r="HL491" s="4"/>
      <c r="HZ491" s="4"/>
      <c r="IU491" s="4"/>
      <c r="JD491" s="93"/>
      <c r="JF491" s="93"/>
      <c r="JH491" s="93"/>
      <c r="JM491" s="4"/>
      <c r="JO491" s="93"/>
      <c r="JQ491" s="93"/>
    </row>
    <row r="492" spans="24:277" ht="12" customHeight="1">
      <c r="X492" s="4"/>
      <c r="AH492" s="4"/>
      <c r="EA492" s="4"/>
      <c r="FX492" s="4"/>
      <c r="HL492" s="4"/>
      <c r="HZ492" s="4"/>
      <c r="IU492" s="4"/>
      <c r="JD492" s="93"/>
      <c r="JF492" s="93"/>
      <c r="JH492" s="93"/>
      <c r="JM492" s="4"/>
      <c r="JO492" s="93"/>
      <c r="JQ492" s="93"/>
    </row>
    <row r="493" spans="24:277" ht="12" customHeight="1">
      <c r="X493" s="4"/>
      <c r="AH493" s="4"/>
      <c r="EA493" s="4"/>
      <c r="FX493" s="4"/>
      <c r="HL493" s="4"/>
      <c r="HZ493" s="4"/>
      <c r="IU493" s="4"/>
      <c r="JD493" s="93"/>
      <c r="JF493" s="93"/>
      <c r="JH493" s="93"/>
      <c r="JM493" s="4"/>
      <c r="JO493" s="93"/>
      <c r="JQ493" s="93"/>
    </row>
    <row r="494" spans="24:277" ht="12" customHeight="1">
      <c r="X494" s="4"/>
      <c r="AH494" s="4"/>
      <c r="EA494" s="4"/>
      <c r="FX494" s="4"/>
      <c r="HL494" s="4"/>
      <c r="HZ494" s="4"/>
      <c r="IU494" s="4"/>
      <c r="JD494" s="93"/>
      <c r="JF494" s="93"/>
      <c r="JH494" s="93"/>
      <c r="JM494" s="4"/>
      <c r="JO494" s="93"/>
      <c r="JQ494" s="93"/>
    </row>
    <row r="495" spans="24:277" ht="12" customHeight="1">
      <c r="X495" s="4"/>
      <c r="AH495" s="4"/>
      <c r="EA495" s="4"/>
      <c r="FX495" s="4"/>
      <c r="HL495" s="4"/>
      <c r="HZ495" s="4"/>
      <c r="IU495" s="4"/>
      <c r="JD495" s="93"/>
      <c r="JF495" s="93"/>
      <c r="JH495" s="93"/>
      <c r="JM495" s="4"/>
      <c r="JO495" s="93"/>
      <c r="JQ495" s="93"/>
    </row>
    <row r="496" spans="24:277" ht="12" customHeight="1">
      <c r="X496" s="4"/>
      <c r="AH496" s="4"/>
      <c r="EA496" s="4"/>
      <c r="FX496" s="4"/>
      <c r="HL496" s="4"/>
      <c r="HZ496" s="4"/>
      <c r="IU496" s="4"/>
      <c r="JD496" s="93"/>
      <c r="JF496" s="93"/>
      <c r="JH496" s="93"/>
      <c r="JM496" s="4"/>
      <c r="JO496" s="93"/>
      <c r="JQ496" s="93"/>
    </row>
    <row r="497" spans="23:277" ht="12" customHeight="1">
      <c r="X497" s="4"/>
      <c r="AH497" s="4"/>
      <c r="EA497" s="4"/>
      <c r="FX497" s="4"/>
      <c r="HL497" s="4"/>
      <c r="HZ497" s="4"/>
      <c r="IU497" s="4"/>
      <c r="JD497" s="93"/>
      <c r="JF497" s="93"/>
      <c r="JH497" s="93"/>
      <c r="JM497" s="4"/>
      <c r="JO497" s="93"/>
      <c r="JQ497" s="93"/>
    </row>
    <row r="498" spans="23:277" ht="12" customHeight="1">
      <c r="X498" s="4"/>
      <c r="AH498" s="4"/>
      <c r="EA498" s="4"/>
      <c r="FX498" s="4"/>
      <c r="HL498" s="4"/>
      <c r="HZ498" s="4"/>
      <c r="IU498" s="4"/>
      <c r="JD498" s="93"/>
      <c r="JF498" s="93"/>
      <c r="JH498" s="93"/>
      <c r="JM498" s="4"/>
      <c r="JO498" s="93"/>
      <c r="JQ498" s="93"/>
    </row>
    <row r="499" spans="23:277" ht="12" customHeight="1">
      <c r="X499" s="4"/>
      <c r="AH499" s="4"/>
      <c r="EA499" s="4"/>
      <c r="FX499" s="4"/>
      <c r="HL499" s="4"/>
      <c r="HZ499" s="4"/>
      <c r="IU499" s="4"/>
      <c r="JD499" s="93"/>
      <c r="JF499" s="93"/>
      <c r="JH499" s="93"/>
      <c r="JM499" s="4"/>
      <c r="JO499" s="93"/>
      <c r="JQ499" s="93"/>
    </row>
    <row r="500" spans="23:277" ht="12" customHeight="1">
      <c r="X500" s="4"/>
      <c r="AH500" s="4"/>
      <c r="EA500" s="4"/>
      <c r="FX500" s="4"/>
      <c r="HL500" s="4"/>
      <c r="HZ500" s="4"/>
      <c r="IU500" s="4"/>
      <c r="JD500" s="93"/>
      <c r="JF500" s="93"/>
      <c r="JH500" s="93"/>
      <c r="JM500" s="4"/>
      <c r="JO500" s="93"/>
      <c r="JQ500" s="93"/>
    </row>
    <row r="501" spans="23:277" ht="12" customHeight="1">
      <c r="X501" s="4"/>
      <c r="AH501" s="4"/>
      <c r="EA501" s="4"/>
      <c r="FX501" s="4"/>
      <c r="HL501" s="4"/>
      <c r="HZ501" s="4"/>
      <c r="IU501" s="4"/>
      <c r="JD501" s="93"/>
      <c r="JF501" s="93"/>
      <c r="JH501" s="93"/>
      <c r="JM501" s="4"/>
      <c r="JO501" s="93"/>
      <c r="JQ501" s="93"/>
    </row>
    <row r="502" spans="23:277" ht="12" customHeight="1">
      <c r="X502" s="4"/>
      <c r="AH502" s="4"/>
      <c r="EA502" s="4"/>
      <c r="FX502" s="4"/>
      <c r="HL502" s="4"/>
      <c r="HZ502" s="4"/>
      <c r="IU502" s="4"/>
      <c r="JD502" s="93"/>
      <c r="JF502" s="93"/>
      <c r="JH502" s="93"/>
      <c r="JM502" s="4"/>
      <c r="JO502" s="93"/>
      <c r="JQ502" s="93"/>
    </row>
    <row r="503" spans="23:277" ht="12" customHeight="1">
      <c r="X503" s="4"/>
      <c r="AH503" s="4"/>
      <c r="EA503" s="4"/>
      <c r="FX503" s="4"/>
      <c r="HL503" s="4"/>
      <c r="HZ503" s="4"/>
      <c r="IU503" s="4"/>
      <c r="JD503" s="93"/>
      <c r="JF503" s="93"/>
      <c r="JH503" s="93"/>
      <c r="JM503" s="4"/>
      <c r="JO503" s="93"/>
      <c r="JQ503" s="93"/>
    </row>
    <row r="504" spans="23:277" ht="12" customHeight="1">
      <c r="X504" s="4"/>
      <c r="AH504" s="4"/>
      <c r="EA504" s="4"/>
      <c r="FX504" s="4"/>
      <c r="HL504" s="4"/>
      <c r="HZ504" s="4"/>
      <c r="IU504" s="4"/>
      <c r="JD504" s="93"/>
      <c r="JF504" s="93"/>
      <c r="JH504" s="93"/>
      <c r="JM504" s="4"/>
      <c r="JO504" s="93"/>
      <c r="JQ504" s="93"/>
    </row>
    <row r="505" spans="23:277" ht="12" customHeight="1">
      <c r="X505" s="4"/>
      <c r="AH505" s="4"/>
      <c r="EA505" s="4"/>
      <c r="FX505" s="4"/>
      <c r="HL505" s="4"/>
      <c r="HZ505" s="4"/>
      <c r="IU505" s="4"/>
      <c r="JD505" s="93"/>
      <c r="JF505" s="93"/>
      <c r="JH505" s="93"/>
      <c r="JM505" s="4"/>
      <c r="JO505" s="93"/>
      <c r="JQ505" s="93"/>
    </row>
    <row r="506" spans="23:277" ht="12" customHeight="1">
      <c r="X506" s="4"/>
      <c r="AH506" s="4"/>
      <c r="EA506" s="4"/>
      <c r="FX506" s="4"/>
      <c r="HL506" s="4"/>
      <c r="HZ506" s="4"/>
      <c r="IU506" s="4"/>
      <c r="JD506" s="93"/>
      <c r="JF506" s="93"/>
      <c r="JH506" s="93"/>
      <c r="JM506" s="4"/>
      <c r="JO506" s="93"/>
      <c r="JQ506" s="93"/>
    </row>
    <row r="507" spans="23:277" ht="12" customHeight="1">
      <c r="X507" s="4"/>
      <c r="AH507" s="4"/>
      <c r="EA507" s="4"/>
      <c r="FX507" s="4"/>
      <c r="HL507" s="4"/>
      <c r="HZ507" s="4"/>
      <c r="IU507" s="4"/>
      <c r="JD507" s="93"/>
      <c r="JF507" s="93"/>
      <c r="JH507" s="93"/>
      <c r="JM507" s="4"/>
      <c r="JO507" s="93"/>
      <c r="JQ507" s="93"/>
    </row>
    <row r="508" spans="23:277" s="91" customFormat="1" ht="12" customHeight="1">
      <c r="X508" s="92"/>
      <c r="AH508" s="92"/>
      <c r="EA508" s="92"/>
      <c r="FX508" s="92"/>
      <c r="HL508" s="92"/>
      <c r="HZ508" s="92"/>
      <c r="IU508" s="92"/>
      <c r="JM508" s="92"/>
    </row>
    <row r="509" spans="23:277" s="170" customFormat="1" ht="12" customHeight="1">
      <c r="W509" s="174"/>
      <c r="X509" s="175"/>
      <c r="AG509" s="174"/>
      <c r="AH509" s="175"/>
      <c r="AI509" s="172"/>
      <c r="DZ509" s="174"/>
      <c r="EA509" s="175"/>
      <c r="FW509" s="174"/>
      <c r="FX509" s="175"/>
      <c r="HK509" s="174"/>
      <c r="HL509" s="175"/>
      <c r="HM509" s="4"/>
      <c r="HN509" s="4"/>
      <c r="HO509" s="4"/>
      <c r="HP509" s="4"/>
      <c r="HQ509" s="4"/>
      <c r="HR509" s="4"/>
      <c r="HS509" s="4"/>
      <c r="HT509" s="4"/>
      <c r="HU509" s="4"/>
      <c r="HV509" s="4"/>
      <c r="HW509" s="4"/>
      <c r="HY509" s="174"/>
      <c r="HZ509" s="175"/>
      <c r="IA509" s="4"/>
      <c r="IB509" s="4"/>
      <c r="IC509" s="4"/>
      <c r="IT509" s="174"/>
      <c r="IU509" s="175"/>
      <c r="IV509" s="170" t="s">
        <v>306</v>
      </c>
      <c r="JL509" s="174"/>
      <c r="JM509" s="175"/>
    </row>
    <row r="510" spans="23:277" s="171" customFormat="1" ht="30" customHeight="1">
      <c r="W510" s="176"/>
      <c r="X510" s="177"/>
      <c r="AG510" s="176"/>
      <c r="AH510" s="177"/>
      <c r="AI510" s="173"/>
      <c r="DZ510" s="176"/>
      <c r="EA510" s="177"/>
      <c r="FW510" s="176"/>
      <c r="FX510" s="177"/>
      <c r="HK510" s="176"/>
      <c r="HL510" s="177"/>
      <c r="HM510" s="4"/>
      <c r="HN510" s="4"/>
      <c r="HO510" s="4"/>
      <c r="HP510" s="4"/>
      <c r="HQ510" s="4"/>
      <c r="HR510" s="4"/>
      <c r="HS510" s="4"/>
      <c r="HT510" s="4"/>
      <c r="HU510" s="4"/>
      <c r="HV510" s="4"/>
      <c r="HW510" s="4"/>
      <c r="HY510" s="176"/>
      <c r="HZ510" s="177"/>
      <c r="IA510" s="4"/>
      <c r="IB510" s="4"/>
      <c r="IC510" s="4"/>
      <c r="IT510" s="176"/>
      <c r="IU510" s="177"/>
      <c r="IV510" s="171" t="s">
        <v>455</v>
      </c>
      <c r="JC510" s="171" t="s">
        <v>465</v>
      </c>
      <c r="JH510" s="171" t="s">
        <v>464</v>
      </c>
      <c r="JL510" s="176"/>
      <c r="JM510" s="177"/>
    </row>
    <row r="511" spans="23:277" ht="30" customHeight="1">
      <c r="X511" s="4"/>
      <c r="AH511" s="4"/>
      <c r="EA511" s="4"/>
      <c r="FX511" s="4"/>
      <c r="HL511" s="4"/>
      <c r="HZ511" s="4"/>
      <c r="IU511" s="4"/>
      <c r="IV511" s="201" t="s">
        <v>458</v>
      </c>
      <c r="IW511" s="156" t="s">
        <v>29</v>
      </c>
      <c r="IX511" s="247" t="s">
        <v>291</v>
      </c>
      <c r="IY511" s="247" t="s">
        <v>292</v>
      </c>
      <c r="IZ511" s="247" t="s">
        <v>293</v>
      </c>
      <c r="JA511" s="248" t="s">
        <v>294</v>
      </c>
      <c r="JC511" s="265" t="s">
        <v>459</v>
      </c>
      <c r="JD511" s="266" t="s">
        <v>283</v>
      </c>
      <c r="JE511" s="266" t="s">
        <v>284</v>
      </c>
      <c r="JF511" s="267" t="s">
        <v>285</v>
      </c>
      <c r="JH511" s="160" t="s">
        <v>462</v>
      </c>
      <c r="JI511" s="278" t="s">
        <v>460</v>
      </c>
      <c r="JJ511" s="279" t="s">
        <v>469</v>
      </c>
      <c r="JM511" s="4"/>
      <c r="JO511" s="93"/>
      <c r="JQ511" s="93"/>
    </row>
    <row r="512" spans="23:277" ht="30" customHeight="1">
      <c r="X512" s="4"/>
      <c r="AH512" s="4"/>
      <c r="EA512" s="4"/>
      <c r="FX512" s="4"/>
      <c r="HL512" s="4"/>
      <c r="HZ512" s="4"/>
      <c r="IU512" s="4"/>
      <c r="IV512" s="18" t="s">
        <v>451</v>
      </c>
      <c r="IW512" s="262" t="s">
        <v>30</v>
      </c>
      <c r="IX512" s="93">
        <v>8</v>
      </c>
      <c r="IY512" s="93">
        <v>4.5</v>
      </c>
      <c r="IZ512" s="93">
        <v>0.5</v>
      </c>
      <c r="JA512" s="261">
        <v>0.05</v>
      </c>
      <c r="JC512" s="268" t="s">
        <v>37</v>
      </c>
      <c r="JD512" s="269">
        <v>0.7</v>
      </c>
      <c r="JE512" s="269">
        <v>0.5</v>
      </c>
      <c r="JF512" s="270">
        <v>0.3</v>
      </c>
      <c r="JH512" s="29" t="s">
        <v>24</v>
      </c>
      <c r="JI512" s="67">
        <v>1</v>
      </c>
      <c r="JJ512" s="280">
        <v>1</v>
      </c>
      <c r="JM512" s="4"/>
      <c r="JO512" s="93"/>
      <c r="JQ512" s="93"/>
    </row>
    <row r="513" spans="24:277" ht="12" customHeight="1">
      <c r="X513" s="4"/>
      <c r="AH513" s="4"/>
      <c r="EA513" s="4"/>
      <c r="FX513" s="4"/>
      <c r="HL513" s="4"/>
      <c r="HZ513" s="4"/>
      <c r="IU513" s="4"/>
      <c r="IV513" s="24" t="s">
        <v>31</v>
      </c>
      <c r="IW513" s="255" t="s">
        <v>32</v>
      </c>
      <c r="IX513" s="253">
        <v>6</v>
      </c>
      <c r="IY513" s="253">
        <v>4.5</v>
      </c>
      <c r="IZ513" s="253">
        <v>1</v>
      </c>
      <c r="JA513" s="254">
        <v>0.1</v>
      </c>
      <c r="JC513" s="271" t="s">
        <v>38</v>
      </c>
      <c r="JD513" s="264">
        <v>0.7</v>
      </c>
      <c r="JE513" s="264">
        <v>0.5</v>
      </c>
      <c r="JF513" s="272">
        <v>0.3</v>
      </c>
      <c r="JH513" s="256" t="s">
        <v>25</v>
      </c>
      <c r="JI513" s="58">
        <v>0.8</v>
      </c>
      <c r="JJ513" s="281">
        <v>2</v>
      </c>
      <c r="JM513" s="4"/>
      <c r="JO513" s="93"/>
      <c r="JQ513" s="93"/>
    </row>
    <row r="514" spans="24:277" ht="12" customHeight="1">
      <c r="X514" s="4"/>
      <c r="AH514" s="4"/>
      <c r="EA514" s="4"/>
      <c r="FX514" s="4"/>
      <c r="HL514" s="4"/>
      <c r="HZ514" s="4"/>
      <c r="IU514" s="4"/>
      <c r="JC514" s="273" t="s">
        <v>39</v>
      </c>
      <c r="JD514" s="263">
        <v>0.7</v>
      </c>
      <c r="JE514" s="263">
        <v>0.7</v>
      </c>
      <c r="JF514" s="274">
        <v>0.6</v>
      </c>
      <c r="JH514" s="34" t="s">
        <v>139</v>
      </c>
      <c r="JI514" s="77">
        <v>0.6</v>
      </c>
      <c r="JJ514" s="282">
        <v>3</v>
      </c>
      <c r="JM514" s="4"/>
      <c r="JO514" s="93"/>
      <c r="JQ514" s="93"/>
    </row>
    <row r="515" spans="24:277" ht="12" customHeight="1">
      <c r="X515" s="4"/>
      <c r="AH515" s="4"/>
      <c r="EA515" s="4"/>
      <c r="FX515" s="4"/>
      <c r="HL515" s="4"/>
      <c r="HZ515" s="4"/>
      <c r="IU515" s="4"/>
      <c r="IV515" s="293" t="s">
        <v>457</v>
      </c>
      <c r="IW515" s="294" t="s">
        <v>505</v>
      </c>
      <c r="IX515" s="294" t="s">
        <v>506</v>
      </c>
      <c r="JC515" s="271" t="s">
        <v>40</v>
      </c>
      <c r="JD515" s="264">
        <v>0.7</v>
      </c>
      <c r="JE515" s="264">
        <v>0.7</v>
      </c>
      <c r="JF515" s="272">
        <v>0.6</v>
      </c>
      <c r="JM515" s="4"/>
      <c r="JO515" s="93"/>
      <c r="JQ515" s="93"/>
    </row>
    <row r="516" spans="24:277" ht="12" customHeight="1">
      <c r="X516" s="4"/>
      <c r="AH516" s="4"/>
      <c r="EA516" s="4"/>
      <c r="FX516" s="4"/>
      <c r="HL516" s="4"/>
      <c r="HZ516" s="4"/>
      <c r="IU516" s="4"/>
      <c r="IV516" s="29" t="s">
        <v>33</v>
      </c>
      <c r="IW516" s="295">
        <v>0.03</v>
      </c>
      <c r="IX516" s="296">
        <v>3.5000000000000003E-2</v>
      </c>
      <c r="JC516" s="273" t="s">
        <v>41</v>
      </c>
      <c r="JD516" s="263">
        <v>1</v>
      </c>
      <c r="JE516" s="263">
        <v>0.9</v>
      </c>
      <c r="JF516" s="274">
        <v>0.8</v>
      </c>
      <c r="JH516" s="201" t="s">
        <v>463</v>
      </c>
      <c r="JI516" s="311" t="s">
        <v>461</v>
      </c>
      <c r="JM516" s="4"/>
      <c r="JO516" s="93"/>
      <c r="JQ516" s="93"/>
    </row>
    <row r="517" spans="24:277" ht="12" customHeight="1">
      <c r="X517" s="4"/>
      <c r="AH517" s="4"/>
      <c r="EA517" s="4"/>
      <c r="FX517" s="4"/>
      <c r="HL517" s="4"/>
      <c r="HZ517" s="4"/>
      <c r="IU517" s="4"/>
      <c r="IV517" s="24" t="s">
        <v>34</v>
      </c>
      <c r="IW517" s="297">
        <v>0.01</v>
      </c>
      <c r="IX517" s="254">
        <v>2.5000000000000001E-2</v>
      </c>
      <c r="JC517" s="271" t="s">
        <v>36</v>
      </c>
      <c r="JD517" s="264">
        <v>0.7</v>
      </c>
      <c r="JE517" s="264">
        <v>0.7</v>
      </c>
      <c r="JF517" s="272">
        <v>0.6</v>
      </c>
      <c r="JH517" s="29" t="s">
        <v>140</v>
      </c>
      <c r="JI517" s="312">
        <v>1</v>
      </c>
      <c r="JM517" s="4"/>
      <c r="JO517" s="93"/>
      <c r="JQ517" s="93"/>
    </row>
    <row r="518" spans="24:277" ht="12" customHeight="1">
      <c r="X518" s="4"/>
      <c r="AH518" s="4"/>
      <c r="EA518" s="4"/>
      <c r="FX518" s="4"/>
      <c r="HL518" s="4"/>
      <c r="HZ518" s="4"/>
      <c r="IU518" s="4"/>
      <c r="IX518" s="93"/>
      <c r="JC518" s="273" t="s">
        <v>718</v>
      </c>
      <c r="JD518" s="263">
        <v>0.7</v>
      </c>
      <c r="JE518" s="263">
        <v>0.5</v>
      </c>
      <c r="JF518" s="274">
        <v>0.3</v>
      </c>
      <c r="JH518" s="256" t="s">
        <v>141</v>
      </c>
      <c r="JI518" s="313">
        <v>1.4</v>
      </c>
      <c r="JM518" s="4"/>
      <c r="JO518" s="93"/>
      <c r="JQ518" s="93"/>
    </row>
    <row r="519" spans="24:277" ht="12" customHeight="1">
      <c r="X519" s="4"/>
      <c r="AH519" s="4"/>
      <c r="EA519" s="4"/>
      <c r="FX519" s="4"/>
      <c r="HL519" s="4"/>
      <c r="HZ519" s="4"/>
      <c r="IU519" s="4"/>
      <c r="IV519" s="201" t="s">
        <v>456</v>
      </c>
      <c r="IW519" s="156"/>
      <c r="IX519" s="157"/>
      <c r="JC519" s="275" t="s">
        <v>42</v>
      </c>
      <c r="JD519" s="276">
        <v>0</v>
      </c>
      <c r="JE519" s="276">
        <v>0</v>
      </c>
      <c r="JF519" s="277">
        <v>0</v>
      </c>
      <c r="JH519" s="34" t="s">
        <v>142</v>
      </c>
      <c r="JI519" s="314">
        <v>1.4</v>
      </c>
      <c r="JM519" s="4"/>
      <c r="JO519" s="93"/>
      <c r="JQ519" s="93"/>
    </row>
    <row r="520" spans="24:277" ht="12" customHeight="1">
      <c r="X520" s="4"/>
      <c r="AH520" s="4"/>
      <c r="EA520" s="4"/>
      <c r="FX520" s="4"/>
      <c r="HL520" s="4"/>
      <c r="HZ520" s="4"/>
      <c r="IU520" s="4"/>
      <c r="IV520" s="29" t="s">
        <v>22</v>
      </c>
      <c r="IW520" s="30"/>
      <c r="IX520" s="31"/>
      <c r="JM520" s="4"/>
    </row>
    <row r="521" spans="24:277" ht="12" customHeight="1">
      <c r="X521" s="4"/>
      <c r="AH521" s="4"/>
      <c r="EA521" s="4"/>
      <c r="FX521" s="4"/>
      <c r="HL521" s="4"/>
      <c r="HZ521" s="4"/>
      <c r="IU521" s="4"/>
      <c r="IV521" s="256" t="s">
        <v>26</v>
      </c>
      <c r="IW521" s="257" t="s">
        <v>295</v>
      </c>
      <c r="IX521" s="258">
        <v>25000</v>
      </c>
      <c r="JA521" s="102"/>
      <c r="JH521" s="201" t="s">
        <v>463</v>
      </c>
      <c r="JI521" s="311" t="s">
        <v>461</v>
      </c>
      <c r="JM521" s="4"/>
    </row>
    <row r="522" spans="24:277" ht="12" customHeight="1">
      <c r="X522" s="4"/>
      <c r="AH522" s="4"/>
      <c r="EA522" s="4"/>
      <c r="FX522" s="4"/>
      <c r="HL522" s="4"/>
      <c r="HZ522" s="4"/>
      <c r="IU522" s="4"/>
      <c r="IV522" s="18" t="s">
        <v>27</v>
      </c>
      <c r="IW522" s="40" t="s">
        <v>295</v>
      </c>
      <c r="IX522" s="43">
        <v>14000</v>
      </c>
      <c r="JA522" s="102"/>
      <c r="JB522" s="84"/>
      <c r="JH522" s="29" t="s">
        <v>507</v>
      </c>
      <c r="JI522" s="312">
        <v>1</v>
      </c>
      <c r="JM522" s="4"/>
    </row>
    <row r="523" spans="24:277" ht="12" customHeight="1">
      <c r="X523" s="4"/>
      <c r="AH523" s="4"/>
      <c r="EA523" s="4"/>
      <c r="FX523" s="4"/>
      <c r="HL523" s="4"/>
      <c r="HZ523" s="4"/>
      <c r="IU523" s="4"/>
      <c r="IV523" s="24" t="s">
        <v>28</v>
      </c>
      <c r="IW523" s="259" t="s">
        <v>295</v>
      </c>
      <c r="IX523" s="260">
        <v>3800</v>
      </c>
      <c r="JC523" s="84"/>
      <c r="JH523" s="256" t="s">
        <v>141</v>
      </c>
      <c r="JI523" s="313">
        <v>1.4</v>
      </c>
      <c r="JM523" s="4"/>
    </row>
    <row r="524" spans="24:277" ht="12" customHeight="1">
      <c r="X524" s="4"/>
      <c r="AH524" s="4"/>
      <c r="EA524" s="4"/>
      <c r="FX524" s="4"/>
      <c r="HL524" s="4"/>
      <c r="HZ524" s="4"/>
      <c r="IU524" s="4"/>
      <c r="JH524" s="34" t="s">
        <v>142</v>
      </c>
      <c r="JI524" s="314">
        <v>1.4</v>
      </c>
      <c r="JM524" s="4"/>
    </row>
    <row r="525" spans="24:277" ht="12" customHeight="1">
      <c r="X525" s="4"/>
      <c r="AH525" s="4"/>
      <c r="EA525" s="4"/>
      <c r="FX525" s="4"/>
      <c r="HL525" s="4"/>
      <c r="HZ525" s="4"/>
      <c r="IU525" s="4"/>
      <c r="JM525" s="4"/>
    </row>
    <row r="526" spans="24:277" ht="12" customHeight="1">
      <c r="X526" s="4"/>
      <c r="AH526" s="4"/>
      <c r="EA526" s="4"/>
      <c r="FX526" s="4"/>
      <c r="HL526" s="4"/>
      <c r="HZ526" s="4"/>
      <c r="IU526" s="4"/>
      <c r="JF526" s="84"/>
      <c r="JM526" s="4"/>
    </row>
    <row r="527" spans="24:277" ht="12" customHeight="1">
      <c r="X527" s="4"/>
      <c r="AH527" s="4"/>
      <c r="EA527" s="4"/>
      <c r="FX527" s="4"/>
      <c r="HL527" s="4"/>
      <c r="HZ527" s="4"/>
      <c r="IU527" s="4"/>
      <c r="JM527" s="4"/>
    </row>
    <row r="528" spans="24:277" s="91" customFormat="1" ht="12" customHeight="1">
      <c r="X528" s="92"/>
      <c r="AH528" s="92"/>
      <c r="EA528" s="92"/>
      <c r="FX528" s="92"/>
      <c r="HL528" s="92"/>
      <c r="HZ528" s="92"/>
      <c r="IU528" s="92"/>
      <c r="JM528" s="92"/>
    </row>
    <row r="529" spans="23:273" s="170" customFormat="1" ht="12" customHeight="1">
      <c r="W529" s="174"/>
      <c r="X529" s="175"/>
      <c r="AG529" s="174"/>
      <c r="AH529" s="175"/>
      <c r="AI529" s="172"/>
      <c r="DZ529" s="174"/>
      <c r="EA529" s="175"/>
      <c r="FW529" s="174"/>
      <c r="FX529" s="175"/>
      <c r="HK529" s="174"/>
      <c r="HL529" s="175"/>
      <c r="HM529" s="4"/>
      <c r="HN529" s="4"/>
      <c r="HO529" s="4"/>
      <c r="HP529" s="4"/>
      <c r="HQ529" s="4"/>
      <c r="HR529" s="4"/>
      <c r="HS529" s="4"/>
      <c r="HT529" s="4"/>
      <c r="HU529" s="4"/>
      <c r="HV529" s="4"/>
      <c r="HW529" s="4"/>
      <c r="HY529" s="174"/>
      <c r="HZ529" s="175"/>
      <c r="IA529" s="4"/>
      <c r="IB529" s="4"/>
      <c r="IC529" s="4"/>
      <c r="IT529" s="174"/>
      <c r="IU529" s="175"/>
      <c r="JL529" s="174"/>
      <c r="JM529" s="175"/>
    </row>
    <row r="530" spans="23:273" s="171" customFormat="1" ht="30" customHeight="1">
      <c r="W530" s="176"/>
      <c r="X530" s="177"/>
      <c r="AG530" s="176"/>
      <c r="AH530" s="177"/>
      <c r="AI530" s="173"/>
      <c r="DZ530" s="176"/>
      <c r="EA530" s="177"/>
      <c r="FW530" s="176"/>
      <c r="FX530" s="177"/>
      <c r="HK530" s="176"/>
      <c r="HL530" s="177"/>
      <c r="HM530" s="4"/>
      <c r="HN530" s="4"/>
      <c r="HO530" s="4"/>
      <c r="HP530" s="4"/>
      <c r="HQ530" s="4"/>
      <c r="HR530" s="4"/>
      <c r="HS530" s="4"/>
      <c r="HT530" s="4"/>
      <c r="HU530" s="4"/>
      <c r="HV530" s="4"/>
      <c r="HW530" s="4"/>
      <c r="HY530" s="176"/>
      <c r="HZ530" s="177"/>
      <c r="IA530" s="4"/>
      <c r="IB530" s="4"/>
      <c r="IC530" s="4"/>
      <c r="IT530" s="176"/>
      <c r="IU530" s="177"/>
      <c r="JL530" s="176"/>
      <c r="JM530" s="177"/>
    </row>
    <row r="531" spans="23:273" ht="30" customHeight="1">
      <c r="X531" s="4"/>
      <c r="AH531" s="4"/>
      <c r="EA531" s="4"/>
      <c r="FX531" s="4"/>
      <c r="HL531" s="4"/>
      <c r="HZ531" s="4"/>
      <c r="IU531" s="4"/>
      <c r="JM531" s="4"/>
    </row>
    <row r="532" spans="23:273" ht="30" customHeight="1">
      <c r="X532" s="4"/>
      <c r="AH532" s="4"/>
      <c r="EA532" s="4"/>
      <c r="FX532" s="4"/>
      <c r="HL532" s="4"/>
      <c r="HZ532" s="4"/>
      <c r="IU532" s="4"/>
      <c r="JM532" s="4"/>
    </row>
    <row r="533" spans="23:273" ht="12" customHeight="1">
      <c r="X533" s="4"/>
      <c r="AH533" s="4"/>
      <c r="EA533" s="4"/>
      <c r="FX533" s="4"/>
      <c r="HL533" s="4"/>
      <c r="HZ533" s="4"/>
      <c r="IU533" s="4"/>
      <c r="JM533" s="4"/>
    </row>
    <row r="534" spans="23:273" ht="12" customHeight="1">
      <c r="X534" s="4"/>
      <c r="AH534" s="4"/>
      <c r="EA534" s="4"/>
      <c r="FX534" s="4"/>
      <c r="HL534" s="4"/>
      <c r="HZ534" s="4"/>
      <c r="IU534" s="4"/>
      <c r="JM534" s="4"/>
    </row>
    <row r="535" spans="23:273" ht="12" customHeight="1">
      <c r="X535" s="4"/>
      <c r="AH535" s="4"/>
      <c r="EA535" s="4"/>
      <c r="FX535" s="4"/>
      <c r="HL535" s="4"/>
      <c r="HZ535" s="4"/>
      <c r="IU535" s="4"/>
      <c r="JM535" s="4"/>
    </row>
    <row r="536" spans="23:273" ht="12" customHeight="1">
      <c r="X536" s="4"/>
      <c r="AH536" s="4"/>
      <c r="EA536" s="4"/>
      <c r="FX536" s="4"/>
      <c r="HL536" s="4"/>
      <c r="HZ536" s="4"/>
      <c r="IU536" s="4"/>
      <c r="JM536" s="4"/>
    </row>
    <row r="537" spans="23:273" ht="12" customHeight="1">
      <c r="X537" s="4"/>
      <c r="AH537" s="4"/>
      <c r="EA537" s="4"/>
      <c r="FX537" s="4"/>
      <c r="HL537" s="4"/>
      <c r="HZ537" s="4"/>
      <c r="IU537" s="4"/>
      <c r="JM537" s="4"/>
    </row>
    <row r="538" spans="23:273" ht="12" customHeight="1">
      <c r="X538" s="4"/>
      <c r="AH538" s="4"/>
      <c r="EA538" s="4"/>
      <c r="FX538" s="4"/>
      <c r="HL538" s="4"/>
      <c r="HZ538" s="4"/>
      <c r="IU538" s="4"/>
      <c r="JM538" s="4"/>
    </row>
    <row r="539" spans="23:273" ht="12" customHeight="1">
      <c r="X539" s="4"/>
      <c r="AH539" s="4"/>
      <c r="EA539" s="4"/>
      <c r="FX539" s="4"/>
      <c r="HL539" s="4"/>
      <c r="HZ539" s="4"/>
      <c r="IU539" s="4"/>
      <c r="JM539" s="4"/>
    </row>
    <row r="540" spans="23:273" ht="12" customHeight="1">
      <c r="X540" s="4"/>
      <c r="AH540" s="4"/>
      <c r="EA540" s="4"/>
      <c r="FX540" s="4"/>
      <c r="HL540" s="4"/>
      <c r="HZ540" s="4"/>
      <c r="IU540" s="4"/>
      <c r="JM540" s="4"/>
    </row>
    <row r="541" spans="23:273" ht="12" customHeight="1">
      <c r="X541" s="4"/>
      <c r="AH541" s="4"/>
      <c r="EA541" s="4"/>
      <c r="FX541" s="4"/>
      <c r="HL541" s="4"/>
      <c r="HZ541" s="4"/>
      <c r="IU541" s="4"/>
      <c r="JM541" s="4"/>
    </row>
    <row r="542" spans="23:273" ht="12" customHeight="1">
      <c r="X542" s="4"/>
      <c r="AH542" s="4"/>
      <c r="EA542" s="4"/>
      <c r="FX542" s="4"/>
      <c r="HL542" s="4"/>
      <c r="HZ542" s="4"/>
      <c r="IU542" s="4"/>
      <c r="JM542" s="4"/>
    </row>
    <row r="543" spans="23:273" ht="12" customHeight="1">
      <c r="X543" s="4"/>
      <c r="AH543" s="4"/>
      <c r="EA543" s="4"/>
      <c r="FX543" s="4"/>
      <c r="HL543" s="4"/>
      <c r="HZ543" s="4"/>
      <c r="IU543" s="4"/>
      <c r="JM543" s="4"/>
    </row>
    <row r="544" spans="23:273" ht="12" customHeight="1">
      <c r="X544" s="4"/>
      <c r="AH544" s="4"/>
      <c r="EA544" s="4"/>
      <c r="FX544" s="4"/>
      <c r="HL544" s="4"/>
      <c r="HZ544" s="4"/>
      <c r="IU544" s="4"/>
      <c r="JM544" s="4"/>
    </row>
    <row r="545" spans="24:273" ht="12" customHeight="1">
      <c r="X545" s="4"/>
      <c r="AH545" s="4"/>
      <c r="EA545" s="4"/>
      <c r="FX545" s="4"/>
      <c r="HL545" s="4"/>
      <c r="HZ545" s="4"/>
      <c r="IU545" s="4"/>
      <c r="JB545" s="172"/>
      <c r="JM545" s="4"/>
    </row>
    <row r="546" spans="24:273" ht="12" customHeight="1">
      <c r="X546" s="4"/>
      <c r="AH546" s="4"/>
      <c r="EA546" s="4"/>
      <c r="FX546" s="4"/>
      <c r="HL546" s="4"/>
      <c r="HZ546" s="4"/>
      <c r="IU546" s="4"/>
      <c r="JB546" s="171"/>
      <c r="JM546" s="4"/>
    </row>
    <row r="547" spans="24:273" ht="12" customHeight="1">
      <c r="X547" s="4"/>
      <c r="AH547" s="4"/>
      <c r="EA547" s="4"/>
      <c r="FX547" s="4"/>
      <c r="HL547" s="4"/>
      <c r="HZ547" s="4"/>
      <c r="IU547" s="4"/>
      <c r="JM547" s="4"/>
    </row>
    <row r="548" spans="24:273" ht="12" customHeight="1">
      <c r="X548" s="4"/>
      <c r="AH548" s="4"/>
      <c r="EA548" s="4"/>
      <c r="FX548" s="4"/>
      <c r="HL548" s="4"/>
      <c r="HZ548" s="4"/>
      <c r="IU548" s="4"/>
      <c r="JM548" s="4"/>
    </row>
    <row r="549" spans="24:273" ht="12" customHeight="1">
      <c r="X549" s="4"/>
      <c r="AH549" s="4"/>
      <c r="EA549" s="4"/>
      <c r="FX549" s="4"/>
      <c r="HL549" s="4"/>
      <c r="HZ549" s="4"/>
      <c r="IU549" s="4"/>
      <c r="JM549" s="4"/>
    </row>
    <row r="550" spans="24:273" ht="12" customHeight="1">
      <c r="X550" s="4"/>
      <c r="AH550" s="4"/>
      <c r="EA550" s="4"/>
      <c r="FX550" s="4"/>
      <c r="HL550" s="4"/>
      <c r="HZ550" s="4"/>
      <c r="IU550" s="4"/>
      <c r="JM550" s="4"/>
    </row>
    <row r="551" spans="24:273" ht="12" customHeight="1">
      <c r="X551" s="4"/>
      <c r="AH551" s="4"/>
      <c r="EA551" s="4"/>
      <c r="FX551" s="4"/>
      <c r="HL551" s="4"/>
      <c r="HZ551" s="4"/>
      <c r="IU551" s="4"/>
      <c r="JM551" s="4"/>
    </row>
    <row r="552" spans="24:273" ht="12" customHeight="1">
      <c r="X552" s="4"/>
      <c r="AH552" s="4"/>
      <c r="EA552" s="4"/>
      <c r="FX552" s="4"/>
      <c r="HL552" s="4"/>
      <c r="HZ552" s="4"/>
      <c r="IU552" s="4"/>
      <c r="JM552" s="4"/>
    </row>
    <row r="553" spans="24:273" ht="12" customHeight="1">
      <c r="X553" s="4"/>
      <c r="AH553" s="4"/>
      <c r="EA553" s="4"/>
      <c r="FX553" s="4"/>
      <c r="HL553" s="4"/>
      <c r="HZ553" s="4"/>
      <c r="IU553" s="4"/>
      <c r="JM553" s="4"/>
    </row>
    <row r="554" spans="24:273" ht="12" customHeight="1">
      <c r="X554" s="4"/>
      <c r="AH554" s="4"/>
      <c r="EA554" s="4"/>
      <c r="FX554" s="4"/>
      <c r="HL554" s="4"/>
      <c r="HZ554" s="4"/>
      <c r="IU554" s="4"/>
      <c r="JM554" s="4"/>
    </row>
    <row r="555" spans="24:273" ht="12" customHeight="1">
      <c r="X555" s="4"/>
      <c r="AH555" s="4"/>
      <c r="EA555" s="4"/>
      <c r="FX555" s="4"/>
      <c r="HL555" s="4"/>
      <c r="HZ555" s="4"/>
      <c r="IU555" s="4"/>
      <c r="JM555" s="4"/>
    </row>
    <row r="556" spans="24:273" ht="12" customHeight="1">
      <c r="X556" s="4"/>
      <c r="AH556" s="4"/>
      <c r="EA556" s="4"/>
      <c r="FX556" s="4"/>
      <c r="HL556" s="4"/>
      <c r="HZ556" s="4"/>
      <c r="IU556" s="4"/>
      <c r="JM556" s="4"/>
    </row>
    <row r="557" spans="24:273" ht="12" customHeight="1">
      <c r="X557" s="4"/>
      <c r="AH557" s="4"/>
      <c r="EA557" s="4"/>
      <c r="FX557" s="4"/>
      <c r="HL557" s="4"/>
      <c r="HZ557" s="4"/>
      <c r="IU557" s="4"/>
      <c r="JM557" s="4"/>
    </row>
    <row r="558" spans="24:273" ht="12" customHeight="1">
      <c r="X558" s="4"/>
      <c r="AH558" s="4"/>
      <c r="EA558" s="4"/>
      <c r="FX558" s="4"/>
      <c r="HL558" s="4"/>
      <c r="HZ558" s="4"/>
      <c r="IU558" s="4"/>
      <c r="JM558" s="4"/>
    </row>
    <row r="559" spans="24:273" ht="12" customHeight="1">
      <c r="X559" s="4"/>
      <c r="AH559" s="4"/>
      <c r="EA559" s="4"/>
      <c r="FX559" s="4"/>
      <c r="HL559" s="4"/>
      <c r="HZ559" s="4"/>
      <c r="IU559" s="4"/>
      <c r="JM559" s="4"/>
    </row>
    <row r="560" spans="24:273" ht="12" customHeight="1">
      <c r="X560" s="4"/>
      <c r="AH560" s="4"/>
      <c r="EA560" s="4"/>
      <c r="FX560" s="4"/>
      <c r="HL560" s="4"/>
      <c r="HZ560" s="4"/>
      <c r="IU560" s="4"/>
      <c r="JM560" s="4"/>
    </row>
    <row r="561" spans="24:273" ht="12" customHeight="1">
      <c r="X561" s="4"/>
      <c r="AH561" s="4"/>
      <c r="EA561" s="4"/>
      <c r="FX561" s="4"/>
      <c r="HL561" s="4"/>
      <c r="HZ561" s="4"/>
      <c r="IU561" s="4"/>
      <c r="JM561" s="4"/>
    </row>
    <row r="562" spans="24:273" ht="12" customHeight="1">
      <c r="X562" s="4"/>
      <c r="AH562" s="4"/>
      <c r="EA562" s="4"/>
      <c r="FX562" s="4"/>
      <c r="HL562" s="4"/>
      <c r="HZ562" s="4"/>
      <c r="IU562" s="4"/>
      <c r="JM562" s="4"/>
    </row>
    <row r="563" spans="24:273" ht="12" customHeight="1">
      <c r="X563" s="4"/>
      <c r="AH563" s="4"/>
      <c r="EA563" s="4"/>
      <c r="FX563" s="4"/>
      <c r="HL563" s="4"/>
      <c r="HZ563" s="4"/>
      <c r="IU563" s="4"/>
      <c r="JM563" s="4"/>
    </row>
    <row r="564" spans="24:273" ht="12" customHeight="1">
      <c r="X564" s="4"/>
      <c r="AH564" s="4"/>
      <c r="EA564" s="4"/>
      <c r="FX564" s="4"/>
      <c r="HL564" s="4"/>
      <c r="HZ564" s="4"/>
      <c r="IU564" s="4"/>
      <c r="JM564" s="4"/>
    </row>
    <row r="565" spans="24:273" ht="12" customHeight="1">
      <c r="X565" s="4"/>
      <c r="AH565" s="4"/>
      <c r="EA565" s="4"/>
      <c r="FX565" s="4"/>
      <c r="HL565" s="4"/>
      <c r="HZ565" s="4"/>
      <c r="IU565" s="4"/>
      <c r="JM565" s="4"/>
    </row>
    <row r="566" spans="24:273" ht="12" customHeight="1">
      <c r="X566" s="4"/>
      <c r="AH566" s="4"/>
      <c r="EA566" s="4"/>
      <c r="FX566" s="4"/>
      <c r="HL566" s="4"/>
      <c r="HZ566" s="4"/>
      <c r="IU566" s="4"/>
      <c r="JM566" s="4"/>
    </row>
    <row r="567" spans="24:273" ht="12" customHeight="1">
      <c r="X567" s="4"/>
      <c r="AH567" s="4"/>
      <c r="EA567" s="4"/>
      <c r="FX567" s="4"/>
      <c r="HL567" s="4"/>
      <c r="HZ567" s="4"/>
      <c r="IU567" s="4"/>
      <c r="JM567" s="4"/>
    </row>
    <row r="568" spans="24:273" ht="12" customHeight="1">
      <c r="X568" s="4"/>
      <c r="AH568" s="4"/>
      <c r="EA568" s="4"/>
      <c r="FX568" s="4"/>
      <c r="HL568" s="4"/>
      <c r="HZ568" s="4"/>
      <c r="IU568" s="4"/>
      <c r="JM568" s="4"/>
    </row>
    <row r="569" spans="24:273" ht="12" customHeight="1">
      <c r="X569" s="4"/>
      <c r="AH569" s="4"/>
      <c r="EA569" s="4"/>
      <c r="FX569" s="4"/>
      <c r="HL569" s="4"/>
      <c r="HZ569" s="4"/>
      <c r="IU569" s="4"/>
      <c r="JM569" s="4"/>
    </row>
    <row r="570" spans="24:273" ht="12" customHeight="1">
      <c r="X570" s="4"/>
      <c r="AH570" s="4"/>
      <c r="EA570" s="4"/>
      <c r="FX570" s="4"/>
      <c r="HL570" s="4"/>
      <c r="HZ570" s="4"/>
      <c r="IU570" s="4"/>
      <c r="JM570" s="4"/>
    </row>
    <row r="571" spans="24:273" ht="12" customHeight="1">
      <c r="X571" s="4"/>
      <c r="AH571" s="4"/>
      <c r="EA571" s="4"/>
      <c r="FX571" s="4"/>
      <c r="HL571" s="4"/>
      <c r="HZ571" s="4"/>
      <c r="IU571" s="4"/>
      <c r="JM571" s="4"/>
    </row>
    <row r="572" spans="24:273" ht="12" customHeight="1">
      <c r="X572" s="4"/>
      <c r="AH572" s="4"/>
      <c r="EA572" s="4"/>
      <c r="FX572" s="4"/>
      <c r="HL572" s="4"/>
      <c r="HZ572" s="4"/>
      <c r="IU572" s="4"/>
      <c r="JM572" s="4"/>
    </row>
    <row r="573" spans="24:273" ht="12" customHeight="1">
      <c r="X573" s="4"/>
      <c r="AH573" s="4"/>
      <c r="EA573" s="4"/>
      <c r="FX573" s="4"/>
      <c r="HL573" s="4"/>
      <c r="HZ573" s="4"/>
      <c r="IU573" s="4"/>
      <c r="JM573" s="4"/>
    </row>
    <row r="574" spans="24:273" ht="12" customHeight="1">
      <c r="X574" s="4"/>
      <c r="AH574" s="4"/>
      <c r="EA574" s="4"/>
      <c r="FX574" s="4"/>
      <c r="HL574" s="4"/>
      <c r="HZ574" s="4"/>
      <c r="IU574" s="4"/>
      <c r="JM574" s="4"/>
    </row>
    <row r="575" spans="24:273" ht="12" customHeight="1">
      <c r="X575" s="4"/>
      <c r="AH575" s="4"/>
      <c r="EA575" s="4"/>
      <c r="FX575" s="4"/>
      <c r="HL575" s="4"/>
      <c r="HZ575" s="4"/>
      <c r="IU575" s="4"/>
      <c r="JM575" s="4"/>
    </row>
    <row r="576" spans="24:273" ht="12" customHeight="1">
      <c r="X576" s="4"/>
      <c r="AH576" s="4"/>
      <c r="EA576" s="4"/>
      <c r="FX576" s="4"/>
      <c r="HL576" s="4"/>
      <c r="HZ576" s="4"/>
      <c r="IU576" s="4"/>
      <c r="JM576" s="4"/>
    </row>
    <row r="577" spans="24:273" ht="12" customHeight="1">
      <c r="X577" s="4"/>
      <c r="AH577" s="4"/>
      <c r="EA577" s="4"/>
      <c r="FX577" s="4"/>
      <c r="HL577" s="4"/>
      <c r="HZ577" s="4"/>
      <c r="IU577" s="4"/>
      <c r="JM577" s="4"/>
    </row>
    <row r="578" spans="24:273" ht="12" customHeight="1">
      <c r="X578" s="4"/>
      <c r="AH578" s="4"/>
      <c r="EA578" s="4"/>
      <c r="FX578" s="4"/>
      <c r="HL578" s="4"/>
      <c r="HZ578" s="4"/>
      <c r="IU578" s="4"/>
      <c r="JM578" s="4"/>
    </row>
    <row r="579" spans="24:273" ht="12" customHeight="1">
      <c r="X579" s="4"/>
      <c r="AH579" s="4"/>
      <c r="EA579" s="4"/>
      <c r="FX579" s="4"/>
      <c r="HL579" s="4"/>
      <c r="HZ579" s="4"/>
      <c r="IU579" s="4"/>
      <c r="JM579" s="4"/>
    </row>
    <row r="580" spans="24:273" ht="12" customHeight="1">
      <c r="X580" s="4"/>
      <c r="AH580" s="4"/>
      <c r="EA580" s="4"/>
      <c r="FX580" s="4"/>
      <c r="HL580" s="4"/>
      <c r="HZ580" s="4"/>
      <c r="IU580" s="4"/>
      <c r="JM580" s="4"/>
    </row>
    <row r="581" spans="24:273" ht="12" customHeight="1">
      <c r="X581" s="4"/>
      <c r="AH581" s="4"/>
      <c r="EA581" s="4"/>
      <c r="FX581" s="4"/>
      <c r="HL581" s="4"/>
      <c r="HZ581" s="4"/>
      <c r="IU581" s="4"/>
      <c r="JM581" s="4"/>
    </row>
    <row r="582" spans="24:273" ht="12" customHeight="1">
      <c r="X582" s="4"/>
      <c r="AH582" s="4"/>
      <c r="EA582" s="4"/>
      <c r="FX582" s="4"/>
      <c r="HL582" s="4"/>
      <c r="HZ582" s="4"/>
      <c r="IU582" s="4"/>
      <c r="JM582" s="4"/>
    </row>
    <row r="583" spans="24:273" ht="12" customHeight="1">
      <c r="X583" s="4"/>
      <c r="AH583" s="4"/>
      <c r="EA583" s="4"/>
      <c r="FX583" s="4"/>
      <c r="HL583" s="4"/>
      <c r="HZ583" s="4"/>
      <c r="IU583" s="4"/>
      <c r="JM583" s="4"/>
    </row>
    <row r="584" spans="24:273" ht="12" customHeight="1">
      <c r="X584" s="4"/>
      <c r="AH584" s="4"/>
      <c r="EA584" s="4"/>
      <c r="FX584" s="4"/>
      <c r="HL584" s="4"/>
      <c r="HZ584" s="4"/>
      <c r="IU584" s="4"/>
      <c r="JM584" s="4"/>
    </row>
    <row r="585" spans="24:273" ht="12" customHeight="1">
      <c r="X585" s="4"/>
      <c r="AH585" s="4"/>
      <c r="EA585" s="4"/>
      <c r="FX585" s="4"/>
      <c r="HL585" s="4"/>
      <c r="HZ585" s="4"/>
      <c r="IU585" s="4"/>
      <c r="JM585" s="4"/>
    </row>
    <row r="586" spans="24:273" ht="12" customHeight="1">
      <c r="X586" s="4"/>
      <c r="AH586" s="4"/>
      <c r="EA586" s="4"/>
      <c r="FX586" s="4"/>
      <c r="HL586" s="4"/>
      <c r="HZ586" s="4"/>
      <c r="IU586" s="4"/>
      <c r="JM586" s="4"/>
    </row>
    <row r="587" spans="24:273" ht="12" customHeight="1">
      <c r="X587" s="4"/>
      <c r="AH587" s="4"/>
      <c r="EA587" s="4"/>
      <c r="FX587" s="4"/>
      <c r="HL587" s="4"/>
      <c r="HZ587" s="4"/>
      <c r="IU587" s="4"/>
      <c r="JM587" s="4"/>
    </row>
    <row r="588" spans="24:273" ht="12" customHeight="1">
      <c r="X588" s="4"/>
      <c r="AH588" s="4"/>
      <c r="EA588" s="4"/>
      <c r="FX588" s="4"/>
      <c r="HL588" s="4"/>
      <c r="HZ588" s="4"/>
      <c r="IU588" s="4"/>
      <c r="JM588" s="4"/>
    </row>
    <row r="589" spans="24:273" ht="12" customHeight="1">
      <c r="X589" s="4"/>
      <c r="AH589" s="4"/>
      <c r="EA589" s="4"/>
      <c r="FX589" s="4"/>
      <c r="HL589" s="4"/>
      <c r="HZ589" s="4"/>
      <c r="IU589" s="4"/>
      <c r="JM589" s="4"/>
    </row>
    <row r="590" spans="24:273" ht="12" customHeight="1">
      <c r="X590" s="4"/>
      <c r="AH590" s="4"/>
      <c r="EA590" s="4"/>
      <c r="FX590" s="4"/>
      <c r="HL590" s="4"/>
      <c r="HZ590" s="4"/>
      <c r="IU590" s="4"/>
      <c r="JM590" s="4"/>
    </row>
    <row r="591" spans="24:273" ht="12" customHeight="1">
      <c r="X591" s="4"/>
      <c r="AH591" s="4"/>
      <c r="EA591" s="4"/>
      <c r="FX591" s="4"/>
      <c r="HL591" s="4"/>
      <c r="HZ591" s="4"/>
      <c r="IU591" s="4"/>
      <c r="JM591" s="4"/>
    </row>
    <row r="592" spans="24:273" ht="12" customHeight="1">
      <c r="X592" s="4"/>
      <c r="AH592" s="4"/>
      <c r="EA592" s="4"/>
      <c r="FX592" s="4"/>
      <c r="HL592" s="4"/>
      <c r="HZ592" s="4"/>
      <c r="IU592" s="4"/>
      <c r="JM592" s="4"/>
    </row>
    <row r="593" spans="24:273" ht="12" customHeight="1">
      <c r="X593" s="4"/>
      <c r="AH593" s="4"/>
      <c r="EA593" s="4"/>
      <c r="FX593" s="4"/>
      <c r="HL593" s="4"/>
      <c r="HZ593" s="4"/>
      <c r="IU593" s="4"/>
      <c r="JM593" s="4"/>
    </row>
    <row r="594" spans="24:273" ht="12" customHeight="1">
      <c r="X594" s="4"/>
      <c r="AH594" s="4"/>
      <c r="EA594" s="4"/>
      <c r="FX594" s="4"/>
      <c r="HL594" s="4"/>
      <c r="HZ594" s="4"/>
      <c r="IU594" s="4"/>
      <c r="JM594" s="4"/>
    </row>
    <row r="595" spans="24:273" ht="12" customHeight="1">
      <c r="X595" s="4"/>
      <c r="AH595" s="4"/>
      <c r="EA595" s="4"/>
      <c r="FX595" s="4"/>
      <c r="HL595" s="4"/>
      <c r="HZ595" s="4"/>
      <c r="IU595" s="4"/>
      <c r="JM595" s="4"/>
    </row>
    <row r="596" spans="24:273" ht="12" customHeight="1">
      <c r="X596" s="4"/>
      <c r="AH596" s="4"/>
      <c r="EA596" s="4"/>
      <c r="FX596" s="4"/>
      <c r="HL596" s="4"/>
      <c r="HZ596" s="4"/>
      <c r="IU596" s="4"/>
      <c r="JM596" s="4"/>
    </row>
    <row r="597" spans="24:273" ht="12" customHeight="1">
      <c r="X597" s="4"/>
      <c r="AH597" s="4"/>
      <c r="EA597" s="4"/>
      <c r="FX597" s="4"/>
      <c r="HL597" s="4"/>
      <c r="HZ597" s="4"/>
      <c r="IU597" s="4"/>
      <c r="JM597" s="4"/>
    </row>
    <row r="598" spans="24:273" ht="12" customHeight="1">
      <c r="X598" s="4"/>
      <c r="AH598" s="4"/>
      <c r="EA598" s="4"/>
      <c r="FX598" s="4"/>
      <c r="HL598" s="4"/>
      <c r="HZ598" s="4"/>
      <c r="IU598" s="4"/>
      <c r="JM598" s="4"/>
    </row>
    <row r="599" spans="24:273" ht="12" customHeight="1">
      <c r="X599" s="4"/>
      <c r="AH599" s="4"/>
      <c r="EA599" s="4"/>
      <c r="FX599" s="4"/>
      <c r="HL599" s="4"/>
      <c r="HZ599" s="4"/>
      <c r="IU599" s="4"/>
      <c r="JM599" s="4"/>
    </row>
    <row r="600" spans="24:273" ht="12" customHeight="1">
      <c r="X600" s="4"/>
      <c r="AH600" s="4"/>
      <c r="EA600" s="4"/>
      <c r="FX600" s="4"/>
      <c r="HL600" s="4"/>
      <c r="HZ600" s="4"/>
      <c r="IU600" s="4"/>
      <c r="JM600" s="4"/>
    </row>
    <row r="601" spans="24:273" ht="12" customHeight="1">
      <c r="X601" s="4"/>
      <c r="AH601" s="4"/>
      <c r="EA601" s="4"/>
      <c r="FX601" s="4"/>
      <c r="HL601" s="4"/>
      <c r="HZ601" s="4"/>
      <c r="IU601" s="4"/>
      <c r="JM601" s="4"/>
    </row>
    <row r="602" spans="24:273" ht="12" customHeight="1">
      <c r="X602" s="4"/>
      <c r="AH602" s="4"/>
      <c r="EA602" s="4"/>
      <c r="FX602" s="4"/>
      <c r="HL602" s="4"/>
      <c r="HZ602" s="4"/>
      <c r="IU602" s="4"/>
      <c r="JM602" s="4"/>
    </row>
    <row r="603" spans="24:273" ht="12" customHeight="1">
      <c r="X603" s="4"/>
      <c r="AH603" s="4"/>
      <c r="EA603" s="4"/>
      <c r="FX603" s="4"/>
      <c r="HL603" s="4"/>
      <c r="HZ603" s="4"/>
      <c r="IU603" s="4"/>
      <c r="JM603" s="4"/>
    </row>
    <row r="604" spans="24:273" ht="12" customHeight="1">
      <c r="X604" s="4"/>
      <c r="AH604" s="4"/>
      <c r="EA604" s="4"/>
      <c r="FX604" s="4"/>
      <c r="HL604" s="4"/>
      <c r="HZ604" s="4"/>
      <c r="IU604" s="4"/>
      <c r="JM604" s="4"/>
    </row>
    <row r="605" spans="24:273" ht="12" customHeight="1">
      <c r="X605" s="4"/>
      <c r="AH605" s="4"/>
      <c r="EA605" s="4"/>
      <c r="FX605" s="4"/>
      <c r="HL605" s="4"/>
      <c r="HZ605" s="4"/>
      <c r="IU605" s="4"/>
      <c r="JM605" s="4"/>
    </row>
    <row r="606" spans="24:273" ht="12" customHeight="1">
      <c r="X606" s="4"/>
      <c r="AH606" s="4"/>
      <c r="EA606" s="4"/>
      <c r="FX606" s="4"/>
      <c r="HL606" s="4"/>
      <c r="HZ606" s="4"/>
      <c r="IU606" s="4"/>
      <c r="JM606" s="4"/>
    </row>
    <row r="607" spans="24:273" ht="12" customHeight="1">
      <c r="X607" s="4"/>
      <c r="AH607" s="4"/>
      <c r="EA607" s="4"/>
      <c r="FX607" s="4"/>
      <c r="HL607" s="4"/>
      <c r="HZ607" s="4"/>
      <c r="IU607" s="4"/>
      <c r="JM607" s="4"/>
    </row>
    <row r="608" spans="24:273" ht="12" customHeight="1">
      <c r="X608" s="4"/>
      <c r="AH608" s="4"/>
      <c r="EA608" s="4"/>
      <c r="FX608" s="4"/>
      <c r="HL608" s="4"/>
      <c r="HZ608" s="4"/>
      <c r="IU608" s="4"/>
      <c r="JM608" s="4"/>
    </row>
    <row r="609" spans="24:273" ht="12" customHeight="1">
      <c r="X609" s="4"/>
      <c r="AH609" s="4"/>
      <c r="EA609" s="4"/>
      <c r="FX609" s="4"/>
      <c r="HL609" s="4"/>
      <c r="HZ609" s="4"/>
      <c r="IU609" s="4"/>
      <c r="JM609" s="4"/>
    </row>
    <row r="610" spans="24:273" ht="12" customHeight="1">
      <c r="X610" s="4"/>
      <c r="AH610" s="4"/>
      <c r="EA610" s="4"/>
      <c r="FX610" s="4"/>
      <c r="HL610" s="4"/>
      <c r="HZ610" s="4"/>
      <c r="IU610" s="4"/>
      <c r="JM610" s="4"/>
    </row>
    <row r="611" spans="24:273" ht="12" customHeight="1">
      <c r="X611" s="4"/>
      <c r="AH611" s="4"/>
      <c r="EA611" s="4"/>
      <c r="FX611" s="4"/>
      <c r="HL611" s="4"/>
      <c r="HZ611" s="4"/>
      <c r="IU611" s="4"/>
      <c r="JM611" s="4"/>
    </row>
    <row r="612" spans="24:273" ht="12" customHeight="1">
      <c r="X612" s="4"/>
      <c r="AH612" s="4"/>
      <c r="EA612" s="4"/>
      <c r="FX612" s="4"/>
      <c r="HL612" s="4"/>
      <c r="HZ612" s="4"/>
      <c r="IU612" s="4"/>
      <c r="JM612" s="4"/>
    </row>
    <row r="613" spans="24:273" ht="12" customHeight="1">
      <c r="X613" s="4"/>
      <c r="AH613" s="4"/>
      <c r="EA613" s="4"/>
      <c r="FX613" s="4"/>
      <c r="HL613" s="4"/>
      <c r="HZ613" s="4"/>
      <c r="IU613" s="4"/>
      <c r="JM613" s="4"/>
    </row>
    <row r="614" spans="24:273" ht="12" customHeight="1">
      <c r="X614" s="4"/>
      <c r="AH614" s="4"/>
      <c r="EA614" s="4"/>
      <c r="FX614" s="4"/>
      <c r="HL614" s="4"/>
      <c r="HZ614" s="4"/>
      <c r="IU614" s="4"/>
      <c r="JM614" s="4"/>
    </row>
    <row r="615" spans="24:273" ht="12" customHeight="1">
      <c r="X615" s="4"/>
      <c r="AH615" s="4"/>
      <c r="EA615" s="4"/>
      <c r="FX615" s="4"/>
      <c r="HL615" s="4"/>
      <c r="HZ615" s="4"/>
      <c r="IU615" s="4"/>
      <c r="JM615" s="4"/>
    </row>
    <row r="616" spans="24:273" ht="12" customHeight="1">
      <c r="X616" s="4"/>
      <c r="AH616" s="4"/>
      <c r="EA616" s="4"/>
      <c r="FX616" s="4"/>
      <c r="HL616" s="4"/>
      <c r="HZ616" s="4"/>
      <c r="IU616" s="4"/>
      <c r="JM616" s="4"/>
    </row>
    <row r="617" spans="24:273" ht="12" customHeight="1">
      <c r="X617" s="4"/>
      <c r="AH617" s="4"/>
      <c r="EA617" s="4"/>
      <c r="FX617" s="4"/>
      <c r="HL617" s="4"/>
      <c r="HZ617" s="4"/>
      <c r="IU617" s="4"/>
      <c r="JM617" s="4"/>
    </row>
    <row r="618" spans="24:273" ht="12" customHeight="1">
      <c r="X618" s="4"/>
      <c r="AH618" s="4"/>
      <c r="EA618" s="4"/>
      <c r="FX618" s="4"/>
      <c r="HL618" s="4"/>
      <c r="HZ618" s="4"/>
      <c r="IU618" s="4"/>
      <c r="JM618" s="4"/>
    </row>
    <row r="619" spans="24:273" ht="12" customHeight="1">
      <c r="X619" s="4"/>
      <c r="AH619" s="4"/>
      <c r="EA619" s="4"/>
      <c r="FX619" s="4"/>
      <c r="HL619" s="4"/>
      <c r="HZ619" s="4"/>
      <c r="IU619" s="4"/>
      <c r="JM619" s="4"/>
    </row>
    <row r="620" spans="24:273" ht="12" customHeight="1">
      <c r="X620" s="4"/>
      <c r="AH620" s="4"/>
      <c r="EA620" s="4"/>
      <c r="FX620" s="4"/>
      <c r="HL620" s="4"/>
      <c r="HZ620" s="4"/>
      <c r="IU620" s="4"/>
      <c r="JM620" s="4"/>
    </row>
    <row r="621" spans="24:273" ht="12" customHeight="1">
      <c r="X621" s="4"/>
      <c r="AH621" s="4"/>
      <c r="EA621" s="4"/>
      <c r="FX621" s="4"/>
      <c r="HL621" s="4"/>
      <c r="HZ621" s="4"/>
      <c r="IU621" s="4"/>
      <c r="JM621" s="4"/>
    </row>
    <row r="622" spans="24:273" ht="12" customHeight="1">
      <c r="X622" s="4"/>
      <c r="AH622" s="4"/>
      <c r="EA622" s="4"/>
      <c r="FX622" s="4"/>
      <c r="HL622" s="4"/>
      <c r="HZ622" s="4"/>
      <c r="IU622" s="4"/>
      <c r="JM622" s="4"/>
    </row>
    <row r="623" spans="24:273" ht="12" customHeight="1">
      <c r="X623" s="4"/>
      <c r="AH623" s="4"/>
      <c r="EA623" s="4"/>
      <c r="FX623" s="4"/>
      <c r="HL623" s="4"/>
      <c r="HZ623" s="4"/>
      <c r="IU623" s="4"/>
      <c r="JM623" s="4"/>
    </row>
    <row r="624" spans="24:273" ht="12" customHeight="1">
      <c r="X624" s="4"/>
      <c r="AH624" s="4"/>
      <c r="EA624" s="4"/>
      <c r="FX624" s="4"/>
      <c r="HL624" s="4"/>
      <c r="HZ624" s="4"/>
      <c r="IU624" s="4"/>
      <c r="JM624" s="4"/>
    </row>
    <row r="625" spans="24:273" ht="12" customHeight="1">
      <c r="X625" s="4"/>
      <c r="AH625" s="4"/>
      <c r="EA625" s="4"/>
      <c r="FX625" s="4"/>
      <c r="HL625" s="4"/>
      <c r="HZ625" s="4"/>
      <c r="IU625" s="4"/>
      <c r="JM625" s="4"/>
    </row>
    <row r="626" spans="24:273" ht="12" customHeight="1">
      <c r="X626" s="4"/>
      <c r="AH626" s="4"/>
      <c r="EA626" s="4"/>
      <c r="FX626" s="4"/>
      <c r="HL626" s="4"/>
      <c r="HZ626" s="4"/>
      <c r="IU626" s="4"/>
      <c r="JM626" s="4"/>
    </row>
    <row r="627" spans="24:273" ht="12" customHeight="1">
      <c r="X627" s="4"/>
      <c r="AH627" s="4"/>
      <c r="EA627" s="4"/>
      <c r="FX627" s="4"/>
      <c r="HL627" s="4"/>
      <c r="HZ627" s="4"/>
      <c r="IU627" s="4"/>
      <c r="JM627" s="4"/>
    </row>
    <row r="628" spans="24:273" ht="12" customHeight="1">
      <c r="X628" s="4"/>
      <c r="AH628" s="4"/>
      <c r="EA628" s="4"/>
      <c r="FX628" s="4"/>
      <c r="HL628" s="4"/>
      <c r="HZ628" s="4"/>
      <c r="IU628" s="4"/>
      <c r="JM628" s="4"/>
    </row>
    <row r="629" spans="24:273" ht="12" customHeight="1">
      <c r="X629" s="4"/>
      <c r="AH629" s="4"/>
      <c r="EA629" s="4"/>
      <c r="FX629" s="4"/>
      <c r="HL629" s="4"/>
      <c r="HZ629" s="4"/>
      <c r="IU629" s="4"/>
      <c r="JM629" s="4"/>
    </row>
    <row r="630" spans="24:273" ht="12" customHeight="1">
      <c r="X630" s="4"/>
      <c r="AH630" s="4"/>
      <c r="EA630" s="4"/>
      <c r="FX630" s="4"/>
      <c r="HL630" s="4"/>
      <c r="HZ630" s="4"/>
      <c r="IU630" s="4"/>
      <c r="JM630" s="4"/>
    </row>
    <row r="631" spans="24:273" ht="12" customHeight="1">
      <c r="X631" s="4"/>
      <c r="AH631" s="4"/>
      <c r="EA631" s="4"/>
      <c r="FX631" s="4"/>
      <c r="HL631" s="4"/>
      <c r="HZ631" s="4"/>
      <c r="IU631" s="4"/>
      <c r="JM631" s="4"/>
    </row>
    <row r="632" spans="24:273" ht="12" customHeight="1">
      <c r="X632" s="4"/>
      <c r="AH632" s="4"/>
      <c r="EA632" s="4"/>
      <c r="FX632" s="4"/>
      <c r="HL632" s="4"/>
      <c r="HZ632" s="4"/>
      <c r="IU632" s="4"/>
      <c r="JM632" s="4"/>
    </row>
    <row r="633" spans="24:273" ht="12" customHeight="1">
      <c r="X633" s="4"/>
      <c r="AH633" s="4"/>
      <c r="EA633" s="4"/>
      <c r="FX633" s="4"/>
      <c r="HL633" s="4"/>
      <c r="HZ633" s="4"/>
      <c r="IU633" s="4"/>
      <c r="JM633" s="4"/>
    </row>
    <row r="634" spans="24:273" ht="12" customHeight="1">
      <c r="X634" s="4"/>
      <c r="AH634" s="4"/>
      <c r="EA634" s="4"/>
      <c r="FX634" s="4"/>
      <c r="HL634" s="4"/>
      <c r="HZ634" s="4"/>
      <c r="IU634" s="4"/>
      <c r="JM634" s="4"/>
    </row>
    <row r="635" spans="24:273" ht="12" customHeight="1">
      <c r="X635" s="4"/>
      <c r="AH635" s="4"/>
      <c r="EA635" s="4"/>
      <c r="FX635" s="4"/>
      <c r="HL635" s="4"/>
      <c r="HZ635" s="4"/>
      <c r="IU635" s="4"/>
      <c r="JM635" s="4"/>
    </row>
    <row r="636" spans="24:273" ht="12" customHeight="1">
      <c r="X636" s="4"/>
      <c r="AH636" s="4"/>
      <c r="EA636" s="4"/>
      <c r="FX636" s="4"/>
      <c r="HL636" s="4"/>
      <c r="HZ636" s="4"/>
      <c r="IU636" s="4"/>
      <c r="JM636" s="4"/>
    </row>
    <row r="637" spans="24:273" ht="12" customHeight="1">
      <c r="X637" s="4"/>
      <c r="AH637" s="4"/>
      <c r="EA637" s="4"/>
      <c r="FX637" s="4"/>
      <c r="HL637" s="4"/>
      <c r="HZ637" s="4"/>
      <c r="IU637" s="4"/>
      <c r="JM637" s="4"/>
    </row>
    <row r="638" spans="24:273" ht="12" customHeight="1">
      <c r="X638" s="4"/>
      <c r="AH638" s="4"/>
      <c r="EA638" s="4"/>
      <c r="FX638" s="4"/>
      <c r="HL638" s="4"/>
      <c r="HZ638" s="4"/>
      <c r="IU638" s="4"/>
      <c r="JM638" s="4"/>
    </row>
    <row r="639" spans="24:273" ht="12" customHeight="1">
      <c r="X639" s="4"/>
      <c r="AH639" s="4"/>
      <c r="EA639" s="4"/>
      <c r="FX639" s="4"/>
      <c r="HL639" s="4"/>
      <c r="HZ639" s="4"/>
      <c r="IU639" s="4"/>
      <c r="JM639" s="4"/>
    </row>
    <row r="640" spans="24:273" ht="12" customHeight="1">
      <c r="X640" s="4"/>
      <c r="AH640" s="4"/>
      <c r="EA640" s="4"/>
      <c r="FX640" s="4"/>
      <c r="HL640" s="4"/>
      <c r="HZ640" s="4"/>
      <c r="IU640" s="4"/>
      <c r="JM640" s="4"/>
    </row>
    <row r="641" spans="24:273" ht="12" customHeight="1">
      <c r="X641" s="4"/>
      <c r="AH641" s="4"/>
      <c r="EA641" s="4"/>
      <c r="FX641" s="4"/>
      <c r="HL641" s="4"/>
      <c r="HZ641" s="4"/>
      <c r="IU641" s="4"/>
      <c r="JM641" s="4"/>
    </row>
    <row r="642" spans="24:273" ht="12" customHeight="1">
      <c r="X642" s="4"/>
      <c r="AH642" s="4"/>
      <c r="EA642" s="4"/>
      <c r="FX642" s="4"/>
      <c r="HL642" s="4"/>
      <c r="HZ642" s="4"/>
      <c r="IU642" s="4"/>
      <c r="JM642" s="4"/>
    </row>
    <row r="643" spans="24:273" ht="12" customHeight="1">
      <c r="X643" s="4"/>
      <c r="AH643" s="4"/>
      <c r="EA643" s="4"/>
      <c r="FX643" s="4"/>
      <c r="HL643" s="4"/>
      <c r="HZ643" s="4"/>
      <c r="IU643" s="4"/>
      <c r="JM643" s="4"/>
    </row>
    <row r="644" spans="24:273" ht="12" customHeight="1">
      <c r="X644" s="4"/>
      <c r="AH644" s="4"/>
      <c r="EA644" s="4"/>
      <c r="FX644" s="4"/>
      <c r="HL644" s="4"/>
      <c r="HZ644" s="4"/>
      <c r="IU644" s="4"/>
      <c r="JM644" s="4"/>
    </row>
    <row r="645" spans="24:273" ht="12" customHeight="1">
      <c r="X645" s="4"/>
      <c r="AH645" s="4"/>
      <c r="EA645" s="4"/>
      <c r="FX645" s="4"/>
      <c r="HL645" s="4"/>
      <c r="HZ645" s="4"/>
      <c r="IU645" s="4"/>
      <c r="JM645" s="4"/>
    </row>
    <row r="646" spans="24:273" ht="12" customHeight="1">
      <c r="X646" s="4"/>
      <c r="AH646" s="4"/>
      <c r="EA646" s="4"/>
      <c r="FX646" s="4"/>
      <c r="HL646" s="4"/>
      <c r="HZ646" s="4"/>
      <c r="IU646" s="4"/>
      <c r="JM646" s="4"/>
    </row>
    <row r="647" spans="24:273" ht="12" customHeight="1">
      <c r="X647" s="4"/>
      <c r="AH647" s="4"/>
      <c r="EA647" s="4"/>
      <c r="FX647" s="4"/>
      <c r="HL647" s="4"/>
      <c r="HZ647" s="4"/>
      <c r="IU647" s="4"/>
      <c r="JM647" s="4"/>
    </row>
    <row r="648" spans="24:273" ht="12" customHeight="1">
      <c r="X648" s="4"/>
      <c r="AH648" s="4"/>
      <c r="EA648" s="4"/>
      <c r="FX648" s="4"/>
      <c r="HL648" s="4"/>
      <c r="HZ648" s="4"/>
      <c r="IU648" s="4"/>
      <c r="JM648" s="4"/>
    </row>
    <row r="649" spans="24:273" ht="12" customHeight="1">
      <c r="X649" s="4"/>
      <c r="AH649" s="4"/>
      <c r="EA649" s="4"/>
      <c r="FX649" s="4"/>
      <c r="HL649" s="4"/>
      <c r="HZ649" s="4"/>
      <c r="IU649" s="4"/>
      <c r="JM649" s="4"/>
    </row>
    <row r="650" spans="24:273" ht="12" customHeight="1">
      <c r="X650" s="4"/>
      <c r="AH650" s="4"/>
      <c r="EA650" s="4"/>
      <c r="FX650" s="4"/>
      <c r="HL650" s="4"/>
      <c r="HZ650" s="4"/>
      <c r="IU650" s="4"/>
      <c r="JM650" s="4"/>
    </row>
    <row r="651" spans="24:273" ht="12" customHeight="1">
      <c r="X651" s="4"/>
      <c r="AH651" s="4"/>
      <c r="EA651" s="4"/>
      <c r="FX651" s="4"/>
      <c r="HL651" s="4"/>
      <c r="HZ651" s="4"/>
      <c r="IU651" s="4"/>
      <c r="JM651" s="4"/>
    </row>
    <row r="652" spans="24:273" ht="12" customHeight="1">
      <c r="X652" s="4"/>
      <c r="AH652" s="4"/>
      <c r="EA652" s="4"/>
      <c r="FX652" s="4"/>
      <c r="HL652" s="4"/>
      <c r="HZ652" s="4"/>
      <c r="IU652" s="4"/>
      <c r="JM652" s="4"/>
    </row>
    <row r="653" spans="24:273" ht="12" customHeight="1">
      <c r="X653" s="4"/>
      <c r="AH653" s="4"/>
      <c r="EA653" s="4"/>
      <c r="FX653" s="4"/>
      <c r="HL653" s="4"/>
      <c r="HZ653" s="4"/>
      <c r="IU653" s="4"/>
      <c r="JM653" s="4"/>
    </row>
    <row r="654" spans="24:273" ht="12" customHeight="1">
      <c r="X654" s="4"/>
      <c r="AH654" s="4"/>
      <c r="EA654" s="4"/>
      <c r="FX654" s="4"/>
      <c r="HL654" s="4"/>
      <c r="HZ654" s="4"/>
      <c r="IU654" s="4"/>
      <c r="JM654" s="4"/>
    </row>
    <row r="655" spans="24:273" ht="12" customHeight="1">
      <c r="X655" s="4"/>
      <c r="AH655" s="4"/>
      <c r="EA655" s="4"/>
      <c r="FX655" s="4"/>
      <c r="HL655" s="4"/>
      <c r="HZ655" s="4"/>
      <c r="IU655" s="4"/>
      <c r="JM655" s="4"/>
    </row>
    <row r="656" spans="24:273" ht="12" customHeight="1">
      <c r="X656" s="4"/>
      <c r="AH656" s="4"/>
      <c r="EA656" s="4"/>
      <c r="FX656" s="4"/>
      <c r="HL656" s="4"/>
      <c r="HZ656" s="4"/>
      <c r="IU656" s="4"/>
      <c r="JM656" s="4"/>
    </row>
    <row r="657" spans="24:273" ht="12" customHeight="1">
      <c r="X657" s="4"/>
      <c r="AH657" s="4"/>
      <c r="EA657" s="4"/>
      <c r="FX657" s="4"/>
      <c r="HL657" s="4"/>
      <c r="HZ657" s="4"/>
      <c r="IU657" s="4"/>
      <c r="JM657" s="4"/>
    </row>
    <row r="658" spans="24:273" ht="12" customHeight="1">
      <c r="X658" s="4"/>
      <c r="AH658" s="4"/>
      <c r="EA658" s="4"/>
      <c r="FX658" s="4"/>
      <c r="HL658" s="4"/>
      <c r="HZ658" s="4"/>
      <c r="IU658" s="4"/>
      <c r="JM658" s="4"/>
    </row>
    <row r="659" spans="24:273" ht="12" customHeight="1">
      <c r="X659" s="4"/>
      <c r="AH659" s="4"/>
      <c r="EA659" s="4"/>
      <c r="FX659" s="4"/>
      <c r="HL659" s="4"/>
      <c r="HZ659" s="4"/>
      <c r="IU659" s="4"/>
      <c r="JM659" s="4"/>
    </row>
    <row r="660" spans="24:273" ht="12" customHeight="1">
      <c r="X660" s="4"/>
      <c r="AH660" s="4"/>
      <c r="EA660" s="4"/>
      <c r="FX660" s="4"/>
      <c r="HL660" s="4"/>
      <c r="HZ660" s="4"/>
      <c r="IU660" s="4"/>
      <c r="JM660" s="4"/>
    </row>
    <row r="661" spans="24:273" ht="12" customHeight="1">
      <c r="X661" s="4"/>
      <c r="AH661" s="4"/>
      <c r="EA661" s="4"/>
      <c r="FX661" s="4"/>
      <c r="HL661" s="4"/>
      <c r="HZ661" s="4"/>
      <c r="IU661" s="4"/>
      <c r="JM661" s="4"/>
    </row>
    <row r="662" spans="24:273" ht="12" customHeight="1">
      <c r="X662" s="4"/>
      <c r="AH662" s="4"/>
      <c r="EA662" s="4"/>
      <c r="FX662" s="4"/>
      <c r="HL662" s="4"/>
      <c r="HZ662" s="4"/>
      <c r="IU662" s="4"/>
      <c r="JM662" s="4"/>
    </row>
    <row r="663" spans="24:273" ht="12" customHeight="1">
      <c r="X663" s="4"/>
      <c r="AH663" s="4"/>
      <c r="EA663" s="4"/>
      <c r="FX663" s="4"/>
      <c r="HL663" s="4"/>
      <c r="HZ663" s="4"/>
      <c r="IU663" s="4"/>
      <c r="JM663" s="4"/>
    </row>
    <row r="664" spans="24:273" ht="12" customHeight="1">
      <c r="X664" s="4"/>
      <c r="AH664" s="4"/>
      <c r="EA664" s="4"/>
      <c r="FX664" s="4"/>
      <c r="HL664" s="4"/>
      <c r="HZ664" s="4"/>
      <c r="IU664" s="4"/>
      <c r="JM664" s="4"/>
    </row>
    <row r="665" spans="24:273" ht="12" customHeight="1">
      <c r="X665" s="4"/>
      <c r="AH665" s="4"/>
      <c r="EA665" s="4"/>
      <c r="FX665" s="4"/>
      <c r="HL665" s="4"/>
      <c r="HZ665" s="4"/>
      <c r="IU665" s="4"/>
      <c r="JM665" s="4"/>
    </row>
    <row r="666" spans="24:273" ht="12" customHeight="1">
      <c r="X666" s="4"/>
      <c r="AH666" s="4"/>
      <c r="EA666" s="4"/>
      <c r="FX666" s="4"/>
      <c r="HL666" s="4"/>
      <c r="HZ666" s="4"/>
      <c r="IU666" s="4"/>
      <c r="JM666" s="4"/>
    </row>
    <row r="667" spans="24:273" ht="12" customHeight="1">
      <c r="X667" s="4"/>
      <c r="AH667" s="4"/>
      <c r="EA667" s="4"/>
      <c r="FX667" s="4"/>
      <c r="HL667" s="4"/>
      <c r="HZ667" s="4"/>
      <c r="IU667" s="4"/>
      <c r="JM667" s="4"/>
    </row>
    <row r="668" spans="24:273" ht="12" customHeight="1">
      <c r="X668" s="4"/>
      <c r="AH668" s="4"/>
      <c r="EA668" s="4"/>
      <c r="FX668" s="4"/>
      <c r="HL668" s="4"/>
      <c r="HZ668" s="4"/>
      <c r="IU668" s="4"/>
      <c r="JM668" s="4"/>
    </row>
    <row r="669" spans="24:273" ht="12" customHeight="1">
      <c r="X669" s="4"/>
      <c r="AH669" s="4"/>
      <c r="EA669" s="4"/>
      <c r="FX669" s="4"/>
      <c r="HL669" s="4"/>
      <c r="HZ669" s="4"/>
      <c r="IU669" s="4"/>
      <c r="JM669" s="4"/>
    </row>
    <row r="670" spans="24:273" ht="12" customHeight="1">
      <c r="X670" s="4"/>
      <c r="AH670" s="4"/>
      <c r="EA670" s="4"/>
      <c r="FX670" s="4"/>
      <c r="HL670" s="4"/>
      <c r="HZ670" s="4"/>
      <c r="IU670" s="4"/>
      <c r="JM670" s="4"/>
    </row>
    <row r="671" spans="24:273" ht="12" customHeight="1">
      <c r="X671" s="4"/>
      <c r="AH671" s="4"/>
      <c r="EA671" s="4"/>
      <c r="FX671" s="4"/>
      <c r="HL671" s="4"/>
      <c r="HZ671" s="4"/>
      <c r="IU671" s="4"/>
      <c r="JM671" s="4"/>
    </row>
    <row r="672" spans="24:273" ht="12" customHeight="1">
      <c r="X672" s="4"/>
      <c r="AH672" s="4"/>
      <c r="EA672" s="4"/>
      <c r="FX672" s="4"/>
      <c r="HL672" s="4"/>
      <c r="HZ672" s="4"/>
      <c r="IU672" s="4"/>
      <c r="JM672" s="4"/>
    </row>
    <row r="673" spans="24:273" ht="12" customHeight="1">
      <c r="X673" s="4"/>
      <c r="AH673" s="4"/>
      <c r="EA673" s="4"/>
      <c r="FX673" s="4"/>
      <c r="HL673" s="4"/>
      <c r="HZ673" s="4"/>
      <c r="IU673" s="4"/>
      <c r="JM673" s="4"/>
    </row>
    <row r="674" spans="24:273" ht="12" customHeight="1">
      <c r="X674" s="4"/>
      <c r="AH674" s="4"/>
      <c r="EA674" s="4"/>
      <c r="FX674" s="4"/>
      <c r="HL674" s="4"/>
      <c r="HZ674" s="4"/>
      <c r="IU674" s="4"/>
      <c r="JM674" s="4"/>
    </row>
    <row r="675" spans="24:273" ht="12" customHeight="1">
      <c r="X675" s="4"/>
      <c r="AH675" s="4"/>
      <c r="EA675" s="4"/>
      <c r="FX675" s="4"/>
      <c r="HL675" s="4"/>
      <c r="HZ675" s="4"/>
      <c r="IU675" s="4"/>
      <c r="JM675" s="4"/>
    </row>
    <row r="676" spans="24:273" ht="12" customHeight="1">
      <c r="X676" s="4"/>
      <c r="AH676" s="4"/>
      <c r="EA676" s="4"/>
      <c r="FX676" s="4"/>
      <c r="HL676" s="4"/>
      <c r="HZ676" s="4"/>
      <c r="IU676" s="4"/>
      <c r="JM676" s="4"/>
    </row>
    <row r="677" spans="24:273" ht="12" customHeight="1">
      <c r="X677" s="4"/>
      <c r="AH677" s="4"/>
      <c r="EA677" s="4"/>
      <c r="FX677" s="4"/>
      <c r="HL677" s="4"/>
      <c r="HZ677" s="4"/>
      <c r="IU677" s="4"/>
      <c r="JM677" s="4"/>
    </row>
    <row r="678" spans="24:273" ht="12" customHeight="1">
      <c r="X678" s="4"/>
      <c r="AH678" s="4"/>
      <c r="EA678" s="4"/>
      <c r="FX678" s="4"/>
      <c r="HL678" s="4"/>
      <c r="HZ678" s="4"/>
      <c r="IU678" s="4"/>
      <c r="JM678" s="4"/>
    </row>
    <row r="679" spans="24:273" ht="12" customHeight="1">
      <c r="X679" s="4"/>
      <c r="AH679" s="4"/>
      <c r="EA679" s="4"/>
      <c r="FX679" s="4"/>
      <c r="HL679" s="4"/>
      <c r="HZ679" s="4"/>
      <c r="IU679" s="4"/>
      <c r="JM679" s="4"/>
    </row>
    <row r="680" spans="24:273" ht="12" customHeight="1">
      <c r="X680" s="4"/>
      <c r="AH680" s="4"/>
      <c r="EA680" s="4"/>
      <c r="FX680" s="4"/>
      <c r="HL680" s="4"/>
      <c r="HZ680" s="4"/>
      <c r="IU680" s="4"/>
      <c r="JM680" s="4"/>
    </row>
    <row r="681" spans="24:273" ht="12" customHeight="1">
      <c r="X681" s="4"/>
      <c r="AH681" s="4"/>
      <c r="EA681" s="4"/>
      <c r="FX681" s="4"/>
      <c r="HL681" s="4"/>
      <c r="HZ681" s="4"/>
      <c r="IU681" s="4"/>
      <c r="JM681" s="4"/>
    </row>
    <row r="682" spans="24:273" ht="12" customHeight="1">
      <c r="X682" s="4"/>
      <c r="AH682" s="4"/>
      <c r="EA682" s="4"/>
      <c r="FX682" s="4"/>
      <c r="HL682" s="4"/>
      <c r="HZ682" s="4"/>
      <c r="IU682" s="4"/>
      <c r="JM682" s="4"/>
    </row>
    <row r="683" spans="24:273" ht="12" customHeight="1">
      <c r="X683" s="4"/>
      <c r="AH683" s="4"/>
      <c r="EA683" s="4"/>
      <c r="FX683" s="4"/>
      <c r="HL683" s="4"/>
      <c r="HZ683" s="4"/>
      <c r="IU683" s="4"/>
      <c r="JM683" s="4"/>
    </row>
    <row r="684" spans="24:273" ht="12" customHeight="1">
      <c r="X684" s="4"/>
      <c r="AH684" s="4"/>
      <c r="EA684" s="4"/>
      <c r="FX684" s="4"/>
      <c r="HL684" s="4"/>
      <c r="HZ684" s="4"/>
      <c r="IU684" s="4"/>
      <c r="JM684" s="4"/>
    </row>
    <row r="685" spans="24:273" ht="12" customHeight="1">
      <c r="X685" s="4"/>
      <c r="AH685" s="4"/>
      <c r="EA685" s="4"/>
      <c r="FX685" s="4"/>
      <c r="HL685" s="4"/>
      <c r="HZ685" s="4"/>
      <c r="IU685" s="4"/>
      <c r="JM685" s="4"/>
    </row>
    <row r="686" spans="24:273" ht="12" customHeight="1">
      <c r="X686" s="4"/>
      <c r="AH686" s="4"/>
      <c r="EA686" s="4"/>
      <c r="FX686" s="4"/>
      <c r="HL686" s="4"/>
      <c r="HZ686" s="4"/>
      <c r="IU686" s="4"/>
      <c r="JM686" s="4"/>
    </row>
    <row r="687" spans="24:273" ht="12" customHeight="1">
      <c r="X687" s="4"/>
      <c r="AH687" s="4"/>
      <c r="EA687" s="4"/>
      <c r="FX687" s="4"/>
      <c r="HL687" s="4"/>
      <c r="HZ687" s="4"/>
      <c r="IU687" s="4"/>
      <c r="JM687" s="4"/>
    </row>
    <row r="688" spans="24:273" ht="12" customHeight="1">
      <c r="X688" s="4"/>
      <c r="AH688" s="4"/>
      <c r="EA688" s="4"/>
      <c r="FX688" s="4"/>
      <c r="HL688" s="4"/>
      <c r="HZ688" s="4"/>
      <c r="IU688" s="4"/>
      <c r="JM688" s="4"/>
    </row>
    <row r="689" spans="24:273" ht="12" customHeight="1">
      <c r="X689" s="4"/>
      <c r="AH689" s="4"/>
      <c r="EA689" s="4"/>
      <c r="FX689" s="4"/>
      <c r="HL689" s="4"/>
      <c r="HZ689" s="4"/>
      <c r="IU689" s="4"/>
      <c r="JM689" s="4"/>
    </row>
    <row r="690" spans="24:273" ht="12" customHeight="1">
      <c r="X690" s="4"/>
      <c r="AH690" s="4"/>
      <c r="EA690" s="4"/>
      <c r="FX690" s="4"/>
      <c r="HL690" s="4"/>
      <c r="HZ690" s="4"/>
      <c r="IU690" s="4"/>
      <c r="JM690" s="4"/>
    </row>
    <row r="691" spans="24:273" ht="12" customHeight="1">
      <c r="X691" s="4"/>
      <c r="AH691" s="4"/>
      <c r="EA691" s="4"/>
      <c r="FX691" s="4"/>
      <c r="HL691" s="4"/>
      <c r="HZ691" s="4"/>
      <c r="IU691" s="4"/>
      <c r="JM691" s="4"/>
    </row>
    <row r="692" spans="24:273" ht="12" customHeight="1">
      <c r="X692" s="4"/>
      <c r="AH692" s="4"/>
      <c r="EA692" s="4"/>
      <c r="FX692" s="4"/>
      <c r="HL692" s="4"/>
      <c r="HZ692" s="4"/>
      <c r="IU692" s="4"/>
      <c r="JM692" s="4"/>
    </row>
    <row r="693" spans="24:273" ht="12" customHeight="1">
      <c r="X693" s="4"/>
      <c r="AH693" s="4"/>
      <c r="EA693" s="4"/>
      <c r="FX693" s="4"/>
      <c r="HL693" s="4"/>
      <c r="HZ693" s="4"/>
      <c r="IU693" s="4"/>
      <c r="JM693" s="4"/>
    </row>
    <row r="694" spans="24:273" ht="12" customHeight="1">
      <c r="X694" s="4"/>
      <c r="AH694" s="4"/>
      <c r="EA694" s="4"/>
      <c r="FX694" s="4"/>
      <c r="HL694" s="4"/>
      <c r="HZ694" s="4"/>
      <c r="IU694" s="4"/>
      <c r="JM694" s="4"/>
    </row>
    <row r="695" spans="24:273" ht="12" customHeight="1">
      <c r="X695" s="4"/>
      <c r="AH695" s="4"/>
      <c r="EA695" s="4"/>
      <c r="FX695" s="4"/>
      <c r="HL695" s="4"/>
      <c r="HZ695" s="4"/>
      <c r="IU695" s="4"/>
      <c r="JM695" s="4"/>
    </row>
    <row r="696" spans="24:273" ht="12" customHeight="1">
      <c r="X696" s="4"/>
      <c r="AH696" s="4"/>
      <c r="EA696" s="4"/>
      <c r="FX696" s="4"/>
      <c r="HL696" s="4"/>
      <c r="HZ696" s="4"/>
      <c r="IU696" s="4"/>
      <c r="JM696" s="4"/>
    </row>
    <row r="697" spans="24:273" ht="12" customHeight="1">
      <c r="X697" s="4"/>
      <c r="AH697" s="4"/>
      <c r="EA697" s="4"/>
      <c r="FX697" s="4"/>
      <c r="HL697" s="4"/>
      <c r="HZ697" s="4"/>
      <c r="IU697" s="4"/>
      <c r="JM697" s="4"/>
    </row>
    <row r="698" spans="24:273" ht="12" customHeight="1">
      <c r="X698" s="4"/>
      <c r="AH698" s="4"/>
      <c r="EA698" s="4"/>
      <c r="FX698" s="4"/>
      <c r="HL698" s="4"/>
      <c r="HZ698" s="4"/>
      <c r="IU698" s="4"/>
      <c r="JM698" s="4"/>
    </row>
    <row r="699" spans="24:273" ht="12" customHeight="1">
      <c r="X699" s="4"/>
      <c r="AH699" s="4"/>
      <c r="EA699" s="4"/>
      <c r="FX699" s="4"/>
      <c r="HL699" s="4"/>
      <c r="HZ699" s="4"/>
      <c r="IU699" s="4"/>
      <c r="JM699" s="4"/>
    </row>
    <row r="700" spans="24:273" ht="12" customHeight="1">
      <c r="X700" s="4"/>
      <c r="AH700" s="4"/>
      <c r="EA700" s="4"/>
      <c r="FX700" s="4"/>
      <c r="HL700" s="4"/>
      <c r="HZ700" s="4"/>
      <c r="IU700" s="4"/>
      <c r="JM700" s="4"/>
    </row>
    <row r="701" spans="24:273" ht="12" customHeight="1">
      <c r="X701" s="4"/>
      <c r="AH701" s="4"/>
      <c r="EA701" s="4"/>
      <c r="FX701" s="4"/>
      <c r="HL701" s="4"/>
      <c r="HZ701" s="4"/>
      <c r="IU701" s="4"/>
      <c r="JM701" s="4"/>
    </row>
    <row r="702" spans="24:273" ht="12" customHeight="1">
      <c r="X702" s="4"/>
      <c r="AH702" s="4"/>
      <c r="EA702" s="4"/>
      <c r="FX702" s="4"/>
      <c r="HL702" s="4"/>
      <c r="HZ702" s="4"/>
      <c r="IU702" s="4"/>
      <c r="JM702" s="4"/>
    </row>
    <row r="703" spans="24:273" ht="12" customHeight="1">
      <c r="X703" s="4"/>
      <c r="AH703" s="4"/>
      <c r="EA703" s="4"/>
      <c r="FX703" s="4"/>
      <c r="HL703" s="4"/>
      <c r="HZ703" s="4"/>
      <c r="IU703" s="4"/>
      <c r="JM703" s="4"/>
    </row>
    <row r="704" spans="24:273" ht="12" customHeight="1">
      <c r="X704" s="4"/>
      <c r="AH704" s="4"/>
      <c r="EA704" s="4"/>
      <c r="FX704" s="4"/>
      <c r="HL704" s="4"/>
      <c r="HZ704" s="4"/>
      <c r="IU704" s="4"/>
      <c r="JM704" s="4"/>
    </row>
    <row r="705" spans="24:273" ht="12" customHeight="1">
      <c r="X705" s="4"/>
      <c r="AH705" s="4"/>
      <c r="EA705" s="4"/>
      <c r="FX705" s="4"/>
      <c r="HL705" s="4"/>
      <c r="HZ705" s="4"/>
      <c r="IU705" s="4"/>
      <c r="JM705" s="4"/>
    </row>
    <row r="706" spans="24:273" ht="12" customHeight="1">
      <c r="X706" s="4"/>
      <c r="AH706" s="4"/>
      <c r="EA706" s="4"/>
      <c r="FX706" s="4"/>
      <c r="HL706" s="4"/>
      <c r="HZ706" s="4"/>
      <c r="IU706" s="4"/>
      <c r="JM706" s="4"/>
    </row>
    <row r="707" spans="24:273" ht="12" customHeight="1">
      <c r="X707" s="4"/>
      <c r="AH707" s="4"/>
      <c r="EA707" s="4"/>
      <c r="FX707" s="4"/>
      <c r="HL707" s="4"/>
      <c r="HZ707" s="4"/>
      <c r="IU707" s="4"/>
      <c r="JM707" s="4"/>
    </row>
    <row r="708" spans="24:273" ht="12" customHeight="1">
      <c r="X708" s="4"/>
      <c r="AH708" s="4"/>
      <c r="EA708" s="4"/>
      <c r="FX708" s="4"/>
      <c r="HL708" s="4"/>
      <c r="HZ708" s="4"/>
      <c r="IU708" s="4"/>
      <c r="JM708" s="4"/>
    </row>
    <row r="709" spans="24:273" ht="12" customHeight="1">
      <c r="X709" s="4"/>
      <c r="AH709" s="4"/>
      <c r="EA709" s="4"/>
      <c r="FX709" s="4"/>
      <c r="HL709" s="4"/>
      <c r="HZ709" s="4"/>
      <c r="IU709" s="4"/>
      <c r="JM709" s="4"/>
    </row>
    <row r="710" spans="24:273" ht="12" customHeight="1">
      <c r="X710" s="4"/>
      <c r="AH710" s="4"/>
      <c r="EA710" s="4"/>
      <c r="FX710" s="4"/>
      <c r="HL710" s="4"/>
      <c r="HZ710" s="4"/>
      <c r="IU710" s="4"/>
      <c r="JM710" s="4"/>
    </row>
    <row r="711" spans="24:273" ht="12" customHeight="1">
      <c r="X711" s="4"/>
      <c r="AH711" s="4"/>
      <c r="EA711" s="4"/>
      <c r="FX711" s="4"/>
      <c r="HL711" s="4"/>
      <c r="HZ711" s="4"/>
      <c r="IU711" s="4"/>
      <c r="JM711" s="4"/>
    </row>
    <row r="712" spans="24:273" ht="12" customHeight="1">
      <c r="X712" s="4"/>
      <c r="AH712" s="4"/>
      <c r="EA712" s="4"/>
      <c r="FX712" s="4"/>
      <c r="HL712" s="4"/>
      <c r="HZ712" s="4"/>
      <c r="IU712" s="4"/>
      <c r="JM712" s="4"/>
    </row>
    <row r="713" spans="24:273" ht="12" customHeight="1">
      <c r="X713" s="4"/>
      <c r="AH713" s="4"/>
      <c r="EA713" s="4"/>
      <c r="FX713" s="4"/>
      <c r="HL713" s="4"/>
      <c r="HZ713" s="4"/>
      <c r="IU713" s="4"/>
      <c r="JM713" s="4"/>
    </row>
    <row r="714" spans="24:273" ht="12" customHeight="1">
      <c r="X714" s="4"/>
      <c r="AH714" s="4"/>
      <c r="EA714" s="4"/>
      <c r="FX714" s="4"/>
      <c r="HL714" s="4"/>
      <c r="HZ714" s="4"/>
      <c r="IU714" s="4"/>
      <c r="JM714" s="4"/>
    </row>
    <row r="715" spans="24:273" ht="12" customHeight="1">
      <c r="X715" s="4"/>
      <c r="AH715" s="4"/>
      <c r="EA715" s="4"/>
      <c r="FX715" s="4"/>
      <c r="HL715" s="4"/>
      <c r="HZ715" s="4"/>
      <c r="IU715" s="4"/>
      <c r="JM715" s="4"/>
    </row>
    <row r="716" spans="24:273" ht="12" customHeight="1">
      <c r="X716" s="4"/>
      <c r="AH716" s="4"/>
      <c r="EA716" s="4"/>
      <c r="FX716" s="4"/>
      <c r="HL716" s="4"/>
      <c r="HZ716" s="4"/>
      <c r="IU716" s="4"/>
      <c r="JM716" s="4"/>
    </row>
    <row r="717" spans="24:273" ht="12" customHeight="1">
      <c r="X717" s="4"/>
      <c r="AH717" s="4"/>
      <c r="EA717" s="4"/>
      <c r="FX717" s="4"/>
      <c r="HL717" s="4"/>
      <c r="HZ717" s="4"/>
      <c r="IU717" s="4"/>
      <c r="JM717" s="4"/>
    </row>
    <row r="718" spans="24:273" ht="12" customHeight="1">
      <c r="X718" s="4"/>
      <c r="AH718" s="4"/>
      <c r="EA718" s="4"/>
      <c r="FX718" s="4"/>
      <c r="HL718" s="4"/>
      <c r="HZ718" s="4"/>
      <c r="IU718" s="4"/>
      <c r="JM718" s="4"/>
    </row>
    <row r="719" spans="24:273" ht="12" customHeight="1">
      <c r="X719" s="4"/>
      <c r="AH719" s="4"/>
      <c r="EA719" s="4"/>
      <c r="FX719" s="4"/>
      <c r="HL719" s="4"/>
      <c r="HZ719" s="4"/>
      <c r="IU719" s="4"/>
      <c r="JM719" s="4"/>
    </row>
    <row r="720" spans="24:273" ht="12" customHeight="1">
      <c r="X720" s="4"/>
      <c r="AH720" s="4"/>
      <c r="EA720" s="4"/>
      <c r="FX720" s="4"/>
      <c r="HL720" s="4"/>
      <c r="HZ720" s="4"/>
      <c r="IU720" s="4"/>
      <c r="JM720" s="4"/>
    </row>
    <row r="721" spans="24:273" ht="12" customHeight="1">
      <c r="X721" s="4"/>
      <c r="AH721" s="4"/>
      <c r="EA721" s="4"/>
      <c r="FX721" s="4"/>
      <c r="HL721" s="4"/>
      <c r="HZ721" s="4"/>
      <c r="IU721" s="4"/>
      <c r="JM721" s="4"/>
    </row>
    <row r="722" spans="24:273" ht="12" customHeight="1">
      <c r="X722" s="4"/>
      <c r="AH722" s="4"/>
      <c r="EA722" s="4"/>
      <c r="FX722" s="4"/>
      <c r="HL722" s="4"/>
      <c r="HZ722" s="4"/>
      <c r="IU722" s="4"/>
      <c r="JM722" s="4"/>
    </row>
    <row r="723" spans="24:273" ht="12" customHeight="1">
      <c r="X723" s="4"/>
      <c r="AH723" s="4"/>
      <c r="EA723" s="4"/>
      <c r="FX723" s="4"/>
      <c r="HL723" s="4"/>
      <c r="HZ723" s="4"/>
      <c r="IU723" s="4"/>
      <c r="JM723" s="4"/>
    </row>
    <row r="724" spans="24:273" ht="12" customHeight="1">
      <c r="X724" s="4"/>
      <c r="AH724" s="4"/>
      <c r="EA724" s="4"/>
      <c r="FX724" s="4"/>
      <c r="HL724" s="4"/>
      <c r="HZ724" s="4"/>
      <c r="IU724" s="4"/>
      <c r="JM724" s="4"/>
    </row>
    <row r="725" spans="24:273" ht="12" customHeight="1">
      <c r="X725" s="4"/>
      <c r="AH725" s="4"/>
      <c r="EA725" s="4"/>
      <c r="FX725" s="4"/>
      <c r="HL725" s="4"/>
      <c r="HZ725" s="4"/>
      <c r="IU725" s="4"/>
      <c r="JM725" s="4"/>
    </row>
    <row r="726" spans="24:273" ht="12" customHeight="1">
      <c r="X726" s="4"/>
      <c r="AH726" s="4"/>
      <c r="EA726" s="4"/>
      <c r="FX726" s="4"/>
      <c r="HL726" s="4"/>
      <c r="HZ726" s="4"/>
      <c r="IU726" s="4"/>
      <c r="JM726" s="4"/>
    </row>
    <row r="727" spans="24:273" ht="12" customHeight="1">
      <c r="X727" s="4"/>
      <c r="AH727" s="4"/>
      <c r="EA727" s="4"/>
      <c r="FX727" s="4"/>
      <c r="HL727" s="4"/>
      <c r="HZ727" s="4"/>
      <c r="IU727" s="4"/>
      <c r="JM727" s="4"/>
    </row>
    <row r="728" spans="24:273" ht="12" customHeight="1">
      <c r="X728" s="4"/>
      <c r="AH728" s="4"/>
      <c r="EA728" s="4"/>
      <c r="FX728" s="4"/>
      <c r="HL728" s="4"/>
      <c r="HZ728" s="4"/>
      <c r="IU728" s="4"/>
      <c r="JM728" s="4"/>
    </row>
    <row r="729" spans="24:273" ht="12" customHeight="1">
      <c r="X729" s="4"/>
      <c r="AH729" s="4"/>
      <c r="EA729" s="4"/>
      <c r="FX729" s="4"/>
      <c r="HL729" s="4"/>
      <c r="HZ729" s="4"/>
      <c r="IU729" s="4"/>
      <c r="JM729" s="4"/>
    </row>
    <row r="730" spans="24:273" ht="12" customHeight="1">
      <c r="X730" s="4"/>
      <c r="AH730" s="4"/>
      <c r="EA730" s="4"/>
      <c r="FX730" s="4"/>
      <c r="HL730" s="4"/>
      <c r="HZ730" s="4"/>
      <c r="IU730" s="4"/>
      <c r="JM730" s="4"/>
    </row>
    <row r="731" spans="24:273" ht="12" customHeight="1">
      <c r="X731" s="4"/>
      <c r="AH731" s="4"/>
      <c r="EA731" s="4"/>
      <c r="FX731" s="4"/>
      <c r="HL731" s="4"/>
      <c r="HZ731" s="4"/>
      <c r="IU731" s="4"/>
      <c r="JM731" s="4"/>
    </row>
    <row r="732" spans="24:273" ht="12" customHeight="1">
      <c r="X732" s="4"/>
      <c r="AH732" s="4"/>
      <c r="EA732" s="4"/>
      <c r="FX732" s="4"/>
      <c r="HL732" s="4"/>
      <c r="HZ732" s="4"/>
      <c r="IU732" s="4"/>
      <c r="JM732" s="4"/>
    </row>
    <row r="733" spans="24:273" ht="12" customHeight="1">
      <c r="X733" s="4"/>
      <c r="AH733" s="4"/>
      <c r="EA733" s="4"/>
      <c r="FX733" s="4"/>
      <c r="HL733" s="4"/>
      <c r="HZ733" s="4"/>
      <c r="IU733" s="4"/>
      <c r="JM733" s="4"/>
    </row>
    <row r="734" spans="24:273" ht="12" customHeight="1">
      <c r="X734" s="4"/>
      <c r="AH734" s="4"/>
      <c r="EA734" s="4"/>
      <c r="FX734" s="4"/>
      <c r="HL734" s="4"/>
      <c r="HZ734" s="4"/>
      <c r="IU734" s="4"/>
      <c r="JM734" s="4"/>
    </row>
    <row r="735" spans="24:273" ht="12" customHeight="1">
      <c r="X735" s="4"/>
      <c r="AH735" s="4"/>
      <c r="EA735" s="4"/>
      <c r="FX735" s="4"/>
      <c r="HL735" s="4"/>
      <c r="HZ735" s="4"/>
      <c r="IU735" s="4"/>
      <c r="JM735" s="4"/>
    </row>
    <row r="736" spans="24:273" ht="12" customHeight="1">
      <c r="X736" s="4"/>
      <c r="AH736" s="4"/>
      <c r="EA736" s="4"/>
      <c r="FX736" s="4"/>
      <c r="HL736" s="4"/>
      <c r="HZ736" s="4"/>
      <c r="IU736" s="4"/>
      <c r="JM736" s="4"/>
    </row>
    <row r="737" spans="24:273" ht="12" customHeight="1">
      <c r="X737" s="4"/>
      <c r="AH737" s="4"/>
      <c r="EA737" s="4"/>
      <c r="FX737" s="4"/>
      <c r="HL737" s="4"/>
      <c r="HZ737" s="4"/>
      <c r="IU737" s="4"/>
      <c r="JM737" s="4"/>
    </row>
    <row r="738" spans="24:273" ht="12" customHeight="1">
      <c r="X738" s="4"/>
      <c r="AH738" s="4"/>
      <c r="EA738" s="4"/>
      <c r="FX738" s="4"/>
      <c r="HL738" s="4"/>
      <c r="HZ738" s="4"/>
      <c r="IU738" s="4"/>
      <c r="JM738" s="4"/>
    </row>
    <row r="739" spans="24:273" ht="12" customHeight="1">
      <c r="X739" s="4"/>
      <c r="AH739" s="4"/>
      <c r="EA739" s="4"/>
      <c r="FX739" s="4"/>
      <c r="HL739" s="4"/>
      <c r="HZ739" s="4"/>
      <c r="IU739" s="4"/>
      <c r="JM739" s="4"/>
    </row>
    <row r="740" spans="24:273" ht="12" customHeight="1">
      <c r="X740" s="4"/>
      <c r="AH740" s="4"/>
      <c r="EA740" s="4"/>
      <c r="FX740" s="4"/>
      <c r="HL740" s="4"/>
      <c r="HZ740" s="4"/>
      <c r="IU740" s="4"/>
      <c r="JM740" s="4"/>
    </row>
    <row r="741" spans="24:273" ht="12" customHeight="1">
      <c r="X741" s="4"/>
      <c r="AH741" s="4"/>
      <c r="EA741" s="4"/>
      <c r="FX741" s="4"/>
      <c r="HL741" s="4"/>
      <c r="HZ741" s="4"/>
      <c r="IU741" s="4"/>
      <c r="JM741" s="4"/>
    </row>
    <row r="742" spans="24:273" ht="12" customHeight="1">
      <c r="X742" s="4"/>
      <c r="AH742" s="4"/>
      <c r="EA742" s="4"/>
      <c r="FX742" s="4"/>
      <c r="HL742" s="4"/>
      <c r="HZ742" s="4"/>
      <c r="IU742" s="4"/>
      <c r="JM742" s="4"/>
    </row>
    <row r="743" spans="24:273" ht="12" customHeight="1">
      <c r="X743" s="4"/>
      <c r="AH743" s="4"/>
      <c r="EA743" s="4"/>
      <c r="FX743" s="4"/>
      <c r="HL743" s="4"/>
      <c r="HZ743" s="4"/>
      <c r="IU743" s="4"/>
      <c r="JM743" s="4"/>
    </row>
    <row r="744" spans="24:273" ht="12" customHeight="1">
      <c r="X744" s="4"/>
      <c r="AH744" s="4"/>
      <c r="EA744" s="4"/>
      <c r="FX744" s="4"/>
      <c r="HL744" s="4"/>
      <c r="HZ744" s="4"/>
      <c r="IU744" s="4"/>
      <c r="JM744" s="4"/>
    </row>
    <row r="745" spans="24:273" ht="12" customHeight="1">
      <c r="X745" s="4"/>
      <c r="AH745" s="4"/>
      <c r="EA745" s="4"/>
      <c r="FX745" s="4"/>
      <c r="HL745" s="4"/>
      <c r="HZ745" s="4"/>
      <c r="IU745" s="4"/>
      <c r="JM745" s="4"/>
    </row>
    <row r="746" spans="24:273" ht="12" customHeight="1">
      <c r="X746" s="4"/>
      <c r="AH746" s="4"/>
      <c r="EA746" s="4"/>
      <c r="FX746" s="4"/>
      <c r="HL746" s="4"/>
      <c r="HZ746" s="4"/>
      <c r="IU746" s="4"/>
      <c r="JM746" s="4"/>
    </row>
    <row r="747" spans="24:273" ht="12" customHeight="1">
      <c r="X747" s="4"/>
      <c r="AH747" s="4"/>
      <c r="EA747" s="4"/>
      <c r="FX747" s="4"/>
      <c r="HL747" s="4"/>
      <c r="HZ747" s="4"/>
      <c r="IU747" s="4"/>
      <c r="JM747" s="4"/>
    </row>
    <row r="748" spans="24:273" ht="12" customHeight="1">
      <c r="X748" s="4"/>
      <c r="AH748" s="4"/>
      <c r="EA748" s="4"/>
      <c r="FX748" s="4"/>
      <c r="HL748" s="4"/>
      <c r="HZ748" s="4"/>
      <c r="IU748" s="4"/>
      <c r="JM748" s="4"/>
    </row>
    <row r="749" spans="24:273" ht="12" customHeight="1">
      <c r="X749" s="4"/>
      <c r="AH749" s="4"/>
      <c r="EA749" s="4"/>
      <c r="FX749" s="4"/>
      <c r="HL749" s="4"/>
      <c r="HZ749" s="4"/>
      <c r="IU749" s="4"/>
      <c r="JM749" s="4"/>
    </row>
    <row r="750" spans="24:273" ht="12" customHeight="1">
      <c r="X750" s="4"/>
      <c r="AH750" s="4"/>
      <c r="EA750" s="4"/>
      <c r="FX750" s="4"/>
      <c r="HL750" s="4"/>
      <c r="HZ750" s="4"/>
      <c r="IU750" s="4"/>
      <c r="JM750" s="4"/>
    </row>
    <row r="751" spans="24:273" ht="12" customHeight="1">
      <c r="X751" s="4"/>
      <c r="AH751" s="4"/>
      <c r="EA751" s="4"/>
      <c r="FX751" s="4"/>
      <c r="HL751" s="4"/>
      <c r="HZ751" s="4"/>
      <c r="IU751" s="4"/>
      <c r="JM751" s="4"/>
    </row>
    <row r="752" spans="24:273" ht="12" customHeight="1">
      <c r="X752" s="4"/>
      <c r="AH752" s="4"/>
      <c r="EA752" s="4"/>
      <c r="FX752" s="4"/>
      <c r="HL752" s="4"/>
      <c r="HZ752" s="4"/>
      <c r="IU752" s="4"/>
      <c r="JM752" s="4"/>
    </row>
    <row r="753" spans="24:273" ht="12" customHeight="1">
      <c r="X753" s="4"/>
      <c r="AH753" s="4"/>
      <c r="EA753" s="4"/>
      <c r="FX753" s="4"/>
      <c r="HL753" s="4"/>
      <c r="HZ753" s="4"/>
      <c r="IU753" s="4"/>
      <c r="JM753" s="4"/>
    </row>
    <row r="754" spans="24:273" ht="12" customHeight="1">
      <c r="X754" s="4"/>
      <c r="AH754" s="4"/>
      <c r="EA754" s="4"/>
      <c r="FX754" s="4"/>
      <c r="HL754" s="4"/>
      <c r="HZ754" s="4"/>
      <c r="IU754" s="4"/>
      <c r="JM754" s="4"/>
    </row>
    <row r="755" spans="24:273" ht="12" customHeight="1">
      <c r="X755" s="4"/>
      <c r="AH755" s="4"/>
      <c r="EA755" s="4"/>
      <c r="FX755" s="4"/>
      <c r="HL755" s="4"/>
      <c r="HZ755" s="4"/>
      <c r="IU755" s="4"/>
      <c r="JM755" s="4"/>
    </row>
    <row r="756" spans="24:273" ht="12" customHeight="1">
      <c r="X756" s="4"/>
      <c r="AH756" s="4"/>
      <c r="EA756" s="4"/>
      <c r="FX756" s="4"/>
      <c r="HL756" s="4"/>
      <c r="HZ756" s="4"/>
      <c r="IU756" s="4"/>
      <c r="JM756" s="4"/>
    </row>
    <row r="757" spans="24:273" ht="12" customHeight="1">
      <c r="X757" s="4"/>
      <c r="AH757" s="4"/>
      <c r="EA757" s="4"/>
      <c r="FX757" s="4"/>
      <c r="HL757" s="4"/>
      <c r="HZ757" s="4"/>
      <c r="IU757" s="4"/>
      <c r="JM757" s="4"/>
    </row>
    <row r="758" spans="24:273" ht="12" customHeight="1">
      <c r="X758" s="4"/>
      <c r="AH758" s="4"/>
      <c r="EA758" s="4"/>
      <c r="FX758" s="4"/>
      <c r="HL758" s="4"/>
      <c r="HZ758" s="4"/>
      <c r="IU758" s="4"/>
      <c r="JM758" s="4"/>
    </row>
    <row r="759" spans="24:273" ht="12" customHeight="1">
      <c r="X759" s="4"/>
      <c r="AH759" s="4"/>
      <c r="EA759" s="4"/>
      <c r="FX759" s="4"/>
      <c r="HL759" s="4"/>
      <c r="HZ759" s="4"/>
      <c r="IU759" s="4"/>
      <c r="JM759" s="4"/>
    </row>
    <row r="760" spans="24:273" ht="12" customHeight="1">
      <c r="X760" s="4"/>
      <c r="AH760" s="4"/>
      <c r="EA760" s="4"/>
      <c r="FX760" s="4"/>
      <c r="HL760" s="4"/>
      <c r="HZ760" s="4"/>
      <c r="IU760" s="4"/>
      <c r="JM760" s="4"/>
    </row>
    <row r="761" spans="24:273" ht="12" customHeight="1">
      <c r="X761" s="4"/>
      <c r="AH761" s="4"/>
      <c r="EA761" s="4"/>
      <c r="FX761" s="4"/>
      <c r="HL761" s="4"/>
      <c r="HZ761" s="4"/>
      <c r="IU761" s="4"/>
      <c r="JM761" s="4"/>
    </row>
    <row r="762" spans="24:273" ht="12" customHeight="1">
      <c r="X762" s="4"/>
      <c r="AH762" s="4"/>
      <c r="EA762" s="4"/>
      <c r="FX762" s="4"/>
      <c r="HL762" s="4"/>
      <c r="HZ762" s="4"/>
      <c r="IU762" s="4"/>
      <c r="JM762" s="4"/>
    </row>
    <row r="763" spans="24:273" ht="12" customHeight="1">
      <c r="X763" s="4"/>
      <c r="AH763" s="4"/>
      <c r="EA763" s="4"/>
      <c r="FX763" s="4"/>
      <c r="HL763" s="4"/>
      <c r="HZ763" s="4"/>
      <c r="IU763" s="4"/>
      <c r="JM763" s="4"/>
    </row>
    <row r="764" spans="24:273" ht="12" customHeight="1">
      <c r="X764" s="4"/>
      <c r="AH764" s="4"/>
      <c r="EA764" s="4"/>
      <c r="FX764" s="4"/>
      <c r="HL764" s="4"/>
      <c r="HZ764" s="4"/>
      <c r="IU764" s="4"/>
      <c r="JM764" s="4"/>
    </row>
    <row r="765" spans="24:273" ht="12" customHeight="1">
      <c r="X765" s="4"/>
      <c r="AH765" s="4"/>
      <c r="EA765" s="4"/>
      <c r="FX765" s="4"/>
      <c r="HL765" s="4"/>
      <c r="HZ765" s="4"/>
      <c r="IU765" s="4"/>
      <c r="JM765" s="4"/>
    </row>
    <row r="766" spans="24:273" ht="12" customHeight="1">
      <c r="X766" s="4"/>
      <c r="AH766" s="4"/>
      <c r="EA766" s="4"/>
      <c r="FX766" s="4"/>
      <c r="HL766" s="4"/>
      <c r="HZ766" s="4"/>
      <c r="IU766" s="4"/>
      <c r="JM766" s="4"/>
    </row>
    <row r="767" spans="24:273" ht="12" customHeight="1">
      <c r="X767" s="4"/>
      <c r="AH767" s="4"/>
      <c r="EA767" s="4"/>
      <c r="FX767" s="4"/>
      <c r="HL767" s="4"/>
      <c r="HZ767" s="4"/>
      <c r="IU767" s="4"/>
      <c r="JM767" s="4"/>
    </row>
    <row r="768" spans="24:273" ht="12" customHeight="1">
      <c r="X768" s="4"/>
      <c r="AH768" s="4"/>
      <c r="EA768" s="4"/>
      <c r="FX768" s="4"/>
      <c r="HL768" s="4"/>
      <c r="HZ768" s="4"/>
      <c r="IU768" s="4"/>
      <c r="JM768" s="4"/>
    </row>
    <row r="769" spans="24:273" ht="12" customHeight="1">
      <c r="X769" s="4"/>
      <c r="AH769" s="4"/>
      <c r="EA769" s="4"/>
      <c r="FX769" s="4"/>
      <c r="HL769" s="4"/>
      <c r="HZ769" s="4"/>
      <c r="IU769" s="4"/>
      <c r="JM769" s="4"/>
    </row>
    <row r="770" spans="24:273" ht="12" customHeight="1">
      <c r="X770" s="4"/>
      <c r="AH770" s="4"/>
      <c r="EA770" s="4"/>
      <c r="FX770" s="4"/>
      <c r="HL770" s="4"/>
      <c r="HZ770" s="4"/>
      <c r="IU770" s="4"/>
      <c r="JM770" s="4"/>
    </row>
    <row r="771" spans="24:273" ht="12" customHeight="1">
      <c r="X771" s="4"/>
      <c r="AH771" s="4"/>
      <c r="EA771" s="4"/>
      <c r="FX771" s="4"/>
      <c r="HL771" s="4"/>
      <c r="HZ771" s="4"/>
      <c r="IU771" s="4"/>
      <c r="JM771" s="4"/>
    </row>
    <row r="772" spans="24:273" ht="12" customHeight="1">
      <c r="X772" s="4"/>
      <c r="AH772" s="4"/>
      <c r="EA772" s="4"/>
      <c r="FX772" s="4"/>
      <c r="HL772" s="4"/>
      <c r="HZ772" s="4"/>
      <c r="IU772" s="4"/>
      <c r="JM772" s="4"/>
    </row>
    <row r="773" spans="24:273" ht="12" customHeight="1">
      <c r="X773" s="4"/>
      <c r="AH773" s="4"/>
      <c r="EA773" s="4"/>
      <c r="FX773" s="4"/>
      <c r="HL773" s="4"/>
      <c r="HZ773" s="4"/>
      <c r="IU773" s="4"/>
      <c r="JM773" s="4"/>
    </row>
    <row r="774" spans="24:273" ht="12" customHeight="1">
      <c r="X774" s="4"/>
      <c r="AH774" s="4"/>
      <c r="EA774" s="4"/>
      <c r="FX774" s="4"/>
      <c r="HL774" s="4"/>
      <c r="HZ774" s="4"/>
      <c r="IU774" s="4"/>
      <c r="JM774" s="4"/>
    </row>
    <row r="775" spans="24:273" ht="12" customHeight="1">
      <c r="X775" s="4"/>
      <c r="AH775" s="4"/>
      <c r="EA775" s="4"/>
      <c r="FX775" s="4"/>
      <c r="HL775" s="4"/>
      <c r="HZ775" s="4"/>
      <c r="IU775" s="4"/>
      <c r="JM775" s="4"/>
    </row>
    <row r="776" spans="24:273" ht="12" customHeight="1">
      <c r="X776" s="4"/>
      <c r="AH776" s="4"/>
      <c r="EA776" s="4"/>
      <c r="FX776" s="4"/>
      <c r="HL776" s="4"/>
      <c r="HZ776" s="4"/>
      <c r="IU776" s="4"/>
      <c r="JM776" s="4"/>
    </row>
    <row r="777" spans="24:273" ht="12" customHeight="1">
      <c r="X777" s="4"/>
      <c r="AH777" s="4"/>
      <c r="EA777" s="4"/>
      <c r="FX777" s="4"/>
      <c r="HL777" s="4"/>
      <c r="HZ777" s="4"/>
      <c r="IU777" s="4"/>
      <c r="JM777" s="4"/>
    </row>
    <row r="778" spans="24:273" ht="12" customHeight="1">
      <c r="X778" s="4"/>
      <c r="AH778" s="4"/>
      <c r="EA778" s="4"/>
      <c r="FX778" s="4"/>
      <c r="HL778" s="4"/>
      <c r="HZ778" s="4"/>
      <c r="IU778" s="4"/>
      <c r="JM778" s="4"/>
    </row>
    <row r="779" spans="24:273" ht="12" customHeight="1">
      <c r="X779" s="4"/>
      <c r="AH779" s="4"/>
      <c r="EA779" s="4"/>
      <c r="FX779" s="4"/>
      <c r="HL779" s="4"/>
      <c r="HZ779" s="4"/>
      <c r="IU779" s="4"/>
      <c r="JM779" s="4"/>
    </row>
    <row r="780" spans="24:273" ht="12" customHeight="1">
      <c r="X780" s="4"/>
      <c r="AH780" s="4"/>
      <c r="EA780" s="4"/>
      <c r="FX780" s="4"/>
      <c r="HL780" s="4"/>
      <c r="HZ780" s="4"/>
      <c r="IU780" s="4"/>
      <c r="JM780" s="4"/>
    </row>
    <row r="781" spans="24:273" ht="12" customHeight="1">
      <c r="X781" s="4"/>
      <c r="AH781" s="4"/>
      <c r="EA781" s="4"/>
      <c r="FX781" s="4"/>
      <c r="HL781" s="4"/>
      <c r="HZ781" s="4"/>
      <c r="IU781" s="4"/>
      <c r="JM781" s="4"/>
    </row>
    <row r="782" spans="24:273" ht="12" customHeight="1">
      <c r="X782" s="4"/>
      <c r="AH782" s="4"/>
      <c r="EA782" s="4"/>
      <c r="FX782" s="4"/>
      <c r="HL782" s="4"/>
      <c r="HZ782" s="4"/>
      <c r="IU782" s="4"/>
      <c r="JM782" s="4"/>
    </row>
    <row r="783" spans="24:273" ht="12" customHeight="1">
      <c r="X783" s="4"/>
      <c r="AH783" s="4"/>
      <c r="EA783" s="4"/>
      <c r="FX783" s="4"/>
      <c r="HL783" s="4"/>
      <c r="HZ783" s="4"/>
      <c r="IU783" s="4"/>
      <c r="JM783" s="4"/>
    </row>
    <row r="784" spans="24:273" ht="12" customHeight="1">
      <c r="X784" s="4"/>
      <c r="AH784" s="4"/>
      <c r="EA784" s="4"/>
      <c r="FX784" s="4"/>
      <c r="HL784" s="4"/>
      <c r="HZ784" s="4"/>
      <c r="IU784" s="4"/>
      <c r="JM784" s="4"/>
    </row>
    <row r="785" spans="24:273" ht="12" customHeight="1">
      <c r="X785" s="4"/>
      <c r="AH785" s="4"/>
      <c r="EA785" s="4"/>
      <c r="FX785" s="4"/>
      <c r="HL785" s="4"/>
      <c r="HZ785" s="4"/>
      <c r="IU785" s="4"/>
      <c r="JM785" s="4"/>
    </row>
    <row r="786" spans="24:273" ht="12" customHeight="1">
      <c r="X786" s="4"/>
      <c r="AH786" s="4"/>
      <c r="EA786" s="4"/>
      <c r="FX786" s="4"/>
      <c r="HL786" s="4"/>
      <c r="HZ786" s="4"/>
      <c r="IU786" s="4"/>
      <c r="JM786" s="4"/>
    </row>
    <row r="787" spans="24:273" ht="12" customHeight="1">
      <c r="X787" s="4"/>
      <c r="AH787" s="4"/>
      <c r="EA787" s="4"/>
      <c r="FX787" s="4"/>
      <c r="HL787" s="4"/>
      <c r="HZ787" s="4"/>
      <c r="IU787" s="4"/>
      <c r="JM787" s="4"/>
    </row>
    <row r="788" spans="24:273" ht="12" customHeight="1">
      <c r="X788" s="4"/>
      <c r="AH788" s="4"/>
      <c r="EA788" s="4"/>
      <c r="FX788" s="4"/>
      <c r="HL788" s="4"/>
      <c r="HZ788" s="4"/>
      <c r="IU788" s="4"/>
      <c r="JM788" s="4"/>
    </row>
    <row r="789" spans="24:273" ht="12" customHeight="1">
      <c r="X789" s="4"/>
      <c r="AH789" s="4"/>
      <c r="EA789" s="4"/>
      <c r="FX789" s="4"/>
      <c r="HL789" s="4"/>
      <c r="HZ789" s="4"/>
      <c r="IU789" s="4"/>
      <c r="JM789" s="4"/>
    </row>
    <row r="790" spans="24:273" ht="12" customHeight="1">
      <c r="X790" s="4"/>
      <c r="AH790" s="4"/>
      <c r="EA790" s="4"/>
      <c r="FX790" s="4"/>
      <c r="HL790" s="4"/>
      <c r="HZ790" s="4"/>
      <c r="IU790" s="4"/>
      <c r="JM790" s="4"/>
    </row>
    <row r="791" spans="24:273" ht="12" customHeight="1">
      <c r="X791" s="4"/>
      <c r="AH791" s="4"/>
      <c r="EA791" s="4"/>
      <c r="FX791" s="4"/>
      <c r="HL791" s="4"/>
      <c r="HZ791" s="4"/>
      <c r="IU791" s="4"/>
      <c r="JM791" s="4"/>
    </row>
    <row r="792" spans="24:273" ht="12" customHeight="1">
      <c r="X792" s="4"/>
      <c r="AH792" s="4"/>
      <c r="EA792" s="4"/>
      <c r="FX792" s="4"/>
      <c r="HL792" s="4"/>
      <c r="HZ792" s="4"/>
      <c r="IU792" s="4"/>
      <c r="JM792" s="4"/>
    </row>
    <row r="793" spans="24:273" ht="12" customHeight="1">
      <c r="X793" s="4"/>
      <c r="AH793" s="4"/>
      <c r="EA793" s="4"/>
      <c r="FX793" s="4"/>
      <c r="HL793" s="4"/>
      <c r="HZ793" s="4"/>
      <c r="IU793" s="4"/>
      <c r="JM793" s="4"/>
    </row>
    <row r="794" spans="24:273" ht="12" customHeight="1">
      <c r="X794" s="4"/>
      <c r="AH794" s="4"/>
      <c r="EA794" s="4"/>
      <c r="FX794" s="4"/>
      <c r="HL794" s="4"/>
      <c r="HZ794" s="4"/>
      <c r="IU794" s="4"/>
      <c r="JM794" s="4"/>
    </row>
    <row r="795" spans="24:273" ht="12" customHeight="1">
      <c r="X795" s="4"/>
      <c r="AH795" s="4"/>
      <c r="EA795" s="4"/>
      <c r="FX795" s="4"/>
      <c r="HL795" s="4"/>
      <c r="HZ795" s="4"/>
      <c r="IU795" s="4"/>
      <c r="JM795" s="4"/>
    </row>
    <row r="796" spans="24:273" ht="12" customHeight="1">
      <c r="X796" s="4"/>
      <c r="AH796" s="4"/>
      <c r="EA796" s="4"/>
      <c r="FX796" s="4"/>
      <c r="HL796" s="4"/>
      <c r="HZ796" s="4"/>
      <c r="IU796" s="4"/>
      <c r="JM796" s="4"/>
    </row>
    <row r="797" spans="24:273" ht="12" customHeight="1">
      <c r="X797" s="4"/>
      <c r="AH797" s="4"/>
      <c r="EA797" s="4"/>
      <c r="FX797" s="4"/>
      <c r="HL797" s="4"/>
      <c r="HZ797" s="4"/>
      <c r="IU797" s="4"/>
      <c r="JM797" s="4"/>
    </row>
    <row r="798" spans="24:273" ht="12" customHeight="1">
      <c r="X798" s="4"/>
      <c r="AH798" s="4"/>
      <c r="EA798" s="4"/>
      <c r="FX798" s="4"/>
      <c r="HL798" s="4"/>
      <c r="HZ798" s="4"/>
      <c r="IU798" s="4"/>
      <c r="JM798" s="4"/>
    </row>
    <row r="799" spans="24:273" ht="12" customHeight="1">
      <c r="X799" s="4"/>
      <c r="AH799" s="4"/>
      <c r="EA799" s="4"/>
      <c r="FX799" s="4"/>
      <c r="HL799" s="4"/>
      <c r="HZ799" s="4"/>
      <c r="IU799" s="4"/>
      <c r="JM799" s="4"/>
    </row>
    <row r="800" spans="24:273" ht="12" customHeight="1">
      <c r="X800" s="4"/>
      <c r="AH800" s="4"/>
      <c r="EA800" s="4"/>
      <c r="FX800" s="4"/>
      <c r="HL800" s="4"/>
      <c r="HZ800" s="4"/>
      <c r="IU800" s="4"/>
      <c r="JM800" s="4"/>
    </row>
    <row r="801" spans="24:273" ht="12" customHeight="1">
      <c r="X801" s="4"/>
      <c r="AH801" s="4"/>
      <c r="EA801" s="4"/>
      <c r="FX801" s="4"/>
      <c r="HL801" s="4"/>
      <c r="HZ801" s="4"/>
      <c r="IU801" s="4"/>
      <c r="JM801" s="4"/>
    </row>
    <row r="802" spans="24:273" ht="12" customHeight="1">
      <c r="X802" s="4"/>
      <c r="AH802" s="4"/>
      <c r="EA802" s="4"/>
      <c r="FX802" s="4"/>
      <c r="HL802" s="4"/>
      <c r="HZ802" s="4"/>
      <c r="IU802" s="4"/>
      <c r="JM802" s="4"/>
    </row>
    <row r="803" spans="24:273" ht="12" customHeight="1">
      <c r="X803" s="4"/>
      <c r="AH803" s="4"/>
      <c r="EA803" s="4"/>
      <c r="FX803" s="4"/>
      <c r="HL803" s="4"/>
      <c r="HZ803" s="4"/>
      <c r="IU803" s="4"/>
      <c r="JM803" s="4"/>
    </row>
    <row r="804" spans="24:273" ht="12" customHeight="1">
      <c r="X804" s="4"/>
      <c r="AH804" s="4"/>
      <c r="EA804" s="4"/>
      <c r="FX804" s="4"/>
      <c r="HL804" s="4"/>
      <c r="HZ804" s="4"/>
      <c r="IU804" s="4"/>
      <c r="JM804" s="4"/>
    </row>
    <row r="805" spans="24:273" ht="12" customHeight="1">
      <c r="X805" s="4"/>
      <c r="AH805" s="4"/>
      <c r="EA805" s="4"/>
      <c r="FX805" s="4"/>
      <c r="HL805" s="4"/>
      <c r="HZ805" s="4"/>
      <c r="IU805" s="4"/>
      <c r="JM805" s="4"/>
    </row>
    <row r="806" spans="24:273" ht="12" customHeight="1">
      <c r="X806" s="4"/>
      <c r="AH806" s="4"/>
      <c r="EA806" s="4"/>
      <c r="FX806" s="4"/>
      <c r="HL806" s="4"/>
      <c r="HZ806" s="4"/>
      <c r="IU806" s="4"/>
      <c r="JM806" s="4"/>
    </row>
    <row r="807" spans="24:273" ht="12" customHeight="1">
      <c r="X807" s="4"/>
      <c r="AH807" s="4"/>
      <c r="EA807" s="4"/>
      <c r="FX807" s="4"/>
      <c r="HL807" s="4"/>
      <c r="HZ807" s="4"/>
      <c r="IU807" s="4"/>
      <c r="JM807" s="4"/>
    </row>
    <row r="808" spans="24:273" ht="12" customHeight="1">
      <c r="X808" s="4"/>
      <c r="AH808" s="4"/>
      <c r="EA808" s="4"/>
      <c r="FX808" s="4"/>
      <c r="HL808" s="4"/>
      <c r="HZ808" s="4"/>
      <c r="IU808" s="4"/>
      <c r="JM808" s="4"/>
    </row>
    <row r="809" spans="24:273" ht="12" customHeight="1">
      <c r="X809" s="4"/>
      <c r="AH809" s="4"/>
      <c r="EA809" s="4"/>
      <c r="FX809" s="4"/>
      <c r="HL809" s="4"/>
      <c r="HZ809" s="4"/>
      <c r="IU809" s="4"/>
      <c r="JM809" s="4"/>
    </row>
    <row r="810" spans="24:273" ht="12" customHeight="1">
      <c r="X810" s="4"/>
      <c r="AH810" s="4"/>
      <c r="EA810" s="4"/>
      <c r="FX810" s="4"/>
      <c r="HL810" s="4"/>
      <c r="HZ810" s="4"/>
      <c r="IU810" s="4"/>
      <c r="JM810" s="4"/>
    </row>
    <row r="811" spans="24:273" ht="12" customHeight="1">
      <c r="X811" s="4"/>
      <c r="AH811" s="4"/>
      <c r="EA811" s="4"/>
      <c r="FX811" s="4"/>
      <c r="HL811" s="4"/>
      <c r="HZ811" s="4"/>
      <c r="IU811" s="4"/>
      <c r="JM811" s="4"/>
    </row>
    <row r="812" spans="24:273" ht="12" customHeight="1">
      <c r="X812" s="4"/>
      <c r="AH812" s="4"/>
      <c r="EA812" s="4"/>
      <c r="FX812" s="4"/>
      <c r="HL812" s="4"/>
      <c r="HZ812" s="4"/>
      <c r="IU812" s="4"/>
      <c r="JM812" s="4"/>
    </row>
    <row r="813" spans="24:273" ht="12" customHeight="1">
      <c r="X813" s="4"/>
      <c r="AH813" s="4"/>
      <c r="EA813" s="4"/>
      <c r="FX813" s="4"/>
      <c r="HL813" s="4"/>
      <c r="HZ813" s="4"/>
      <c r="IU813" s="4"/>
      <c r="JM813" s="4"/>
    </row>
    <row r="814" spans="24:273" ht="12" customHeight="1">
      <c r="X814" s="4"/>
      <c r="AH814" s="4"/>
      <c r="EA814" s="4"/>
      <c r="FX814" s="4"/>
      <c r="HL814" s="4"/>
      <c r="HZ814" s="4"/>
      <c r="IU814" s="4"/>
      <c r="JM814" s="4"/>
    </row>
    <row r="815" spans="24:273" ht="12" customHeight="1">
      <c r="X815" s="4"/>
      <c r="AH815" s="4"/>
      <c r="EA815" s="4"/>
      <c r="FX815" s="4"/>
      <c r="HL815" s="4"/>
      <c r="HZ815" s="4"/>
      <c r="IU815" s="4"/>
      <c r="JM815" s="4"/>
    </row>
    <row r="816" spans="24:273" ht="12" customHeight="1">
      <c r="X816" s="4"/>
      <c r="AH816" s="4"/>
      <c r="EA816" s="4"/>
      <c r="FX816" s="4"/>
      <c r="HL816" s="4"/>
      <c r="HZ816" s="4"/>
      <c r="IU816" s="4"/>
      <c r="JM816" s="4"/>
    </row>
    <row r="817" spans="24:273" ht="12" customHeight="1">
      <c r="X817" s="4"/>
      <c r="AH817" s="4"/>
      <c r="EA817" s="4"/>
      <c r="FX817" s="4"/>
      <c r="HL817" s="4"/>
      <c r="HZ817" s="4"/>
      <c r="IU817" s="4"/>
      <c r="JM817" s="4"/>
    </row>
    <row r="818" spans="24:273" ht="12" customHeight="1">
      <c r="X818" s="4"/>
      <c r="AH818" s="4"/>
      <c r="EA818" s="4"/>
      <c r="FX818" s="4"/>
      <c r="HL818" s="4"/>
      <c r="HZ818" s="4"/>
      <c r="IU818" s="4"/>
      <c r="JM818" s="4"/>
    </row>
    <row r="819" spans="24:273" ht="12" customHeight="1">
      <c r="X819" s="4"/>
      <c r="AH819" s="4"/>
      <c r="EA819" s="4"/>
      <c r="FX819" s="4"/>
      <c r="HL819" s="4"/>
      <c r="HZ819" s="4"/>
      <c r="IU819" s="4"/>
      <c r="JM819" s="4"/>
    </row>
    <row r="820" spans="24:273" ht="12" customHeight="1">
      <c r="X820" s="4"/>
      <c r="AH820" s="4"/>
      <c r="EA820" s="4"/>
      <c r="FX820" s="4"/>
      <c r="HL820" s="4"/>
      <c r="HZ820" s="4"/>
      <c r="IU820" s="4"/>
      <c r="JM820" s="4"/>
    </row>
    <row r="821" spans="24:273" ht="12" customHeight="1">
      <c r="X821" s="4"/>
      <c r="AH821" s="4"/>
      <c r="EA821" s="4"/>
      <c r="FX821" s="4"/>
      <c r="HL821" s="4"/>
      <c r="HZ821" s="4"/>
      <c r="IU821" s="4"/>
      <c r="JM821" s="4"/>
    </row>
    <row r="822" spans="24:273" ht="12" customHeight="1">
      <c r="X822" s="4"/>
      <c r="AH822" s="4"/>
      <c r="EA822" s="4"/>
      <c r="FX822" s="4"/>
      <c r="HL822" s="4"/>
      <c r="HZ822" s="4"/>
      <c r="IU822" s="4"/>
      <c r="JM822" s="4"/>
    </row>
    <row r="823" spans="24:273" ht="12" customHeight="1">
      <c r="X823" s="4"/>
      <c r="AH823" s="4"/>
      <c r="EA823" s="4"/>
      <c r="FX823" s="4"/>
      <c r="HL823" s="4"/>
      <c r="HZ823" s="4"/>
      <c r="IU823" s="4"/>
      <c r="JM823" s="4"/>
    </row>
    <row r="824" spans="24:273" ht="12" customHeight="1">
      <c r="X824" s="4"/>
      <c r="AH824" s="4"/>
      <c r="EA824" s="4"/>
      <c r="FX824" s="4"/>
      <c r="HL824" s="4"/>
      <c r="HZ824" s="4"/>
      <c r="IU824" s="4"/>
      <c r="JM824" s="4"/>
    </row>
    <row r="825" spans="24:273" ht="12" customHeight="1">
      <c r="X825" s="4"/>
      <c r="AH825" s="4"/>
      <c r="EA825" s="4"/>
      <c r="FX825" s="4"/>
      <c r="HL825" s="4"/>
      <c r="HZ825" s="4"/>
      <c r="IU825" s="4"/>
      <c r="JM825" s="4"/>
    </row>
    <row r="826" spans="24:273" ht="12" customHeight="1">
      <c r="X826" s="4"/>
      <c r="AH826" s="4"/>
      <c r="EA826" s="4"/>
      <c r="FX826" s="4"/>
      <c r="HL826" s="4"/>
      <c r="HZ826" s="4"/>
      <c r="IU826" s="4"/>
      <c r="JM826" s="4"/>
    </row>
    <row r="827" spans="24:273" ht="12" customHeight="1">
      <c r="X827" s="4"/>
      <c r="AH827" s="4"/>
      <c r="EA827" s="4"/>
      <c r="FX827" s="4"/>
      <c r="HL827" s="4"/>
      <c r="HZ827" s="4"/>
      <c r="IU827" s="4"/>
      <c r="JM827" s="4"/>
    </row>
    <row r="828" spans="24:273" ht="12" customHeight="1">
      <c r="X828" s="4"/>
      <c r="AH828" s="4"/>
      <c r="EA828" s="4"/>
      <c r="FX828" s="4"/>
      <c r="HL828" s="4"/>
      <c r="HZ828" s="4"/>
      <c r="IU828" s="4"/>
      <c r="JM828" s="4"/>
    </row>
    <row r="829" spans="24:273" ht="12" customHeight="1">
      <c r="X829" s="4"/>
      <c r="AH829" s="4"/>
      <c r="EA829" s="4"/>
      <c r="FX829" s="4"/>
      <c r="HL829" s="4"/>
      <c r="HZ829" s="4"/>
      <c r="IU829" s="4"/>
      <c r="JM829" s="4"/>
    </row>
    <row r="830" spans="24:273" ht="12" customHeight="1">
      <c r="X830" s="4"/>
      <c r="AH830" s="4"/>
      <c r="EA830" s="4"/>
      <c r="FX830" s="4"/>
      <c r="HL830" s="4"/>
      <c r="HZ830" s="4"/>
      <c r="IU830" s="4"/>
      <c r="JM830" s="4"/>
    </row>
    <row r="831" spans="24:273" ht="12" customHeight="1">
      <c r="X831" s="4"/>
      <c r="AH831" s="4"/>
      <c r="EA831" s="4"/>
      <c r="FX831" s="4"/>
      <c r="HL831" s="4"/>
      <c r="HZ831" s="4"/>
      <c r="IU831" s="4"/>
      <c r="JM831" s="4"/>
    </row>
    <row r="832" spans="24:273" ht="12" customHeight="1">
      <c r="X832" s="4"/>
      <c r="AH832" s="4"/>
      <c r="EA832" s="4"/>
      <c r="FX832" s="4"/>
      <c r="HL832" s="4"/>
      <c r="HZ832" s="4"/>
      <c r="IU832" s="4"/>
      <c r="JM832" s="4"/>
    </row>
    <row r="833" spans="24:273" ht="12" customHeight="1">
      <c r="X833" s="4"/>
      <c r="AH833" s="4"/>
      <c r="EA833" s="4"/>
      <c r="FX833" s="4"/>
      <c r="HL833" s="4"/>
      <c r="HZ833" s="4"/>
      <c r="IU833" s="4"/>
      <c r="JM833" s="4"/>
    </row>
    <row r="834" spans="24:273" ht="12" customHeight="1">
      <c r="X834" s="4"/>
      <c r="AH834" s="4"/>
      <c r="EA834" s="4"/>
      <c r="FX834" s="4"/>
      <c r="HL834" s="4"/>
      <c r="HZ834" s="4"/>
      <c r="IU834" s="4"/>
      <c r="JM834" s="4"/>
    </row>
    <row r="835" spans="24:273" ht="12" customHeight="1">
      <c r="X835" s="4"/>
      <c r="AH835" s="4"/>
      <c r="EA835" s="4"/>
      <c r="FX835" s="4"/>
      <c r="HL835" s="4"/>
      <c r="HZ835" s="4"/>
      <c r="IU835" s="4"/>
      <c r="JM835" s="4"/>
    </row>
    <row r="836" spans="24:273" ht="12" customHeight="1">
      <c r="X836" s="4"/>
      <c r="AH836" s="4"/>
      <c r="EA836" s="4"/>
      <c r="FX836" s="4"/>
      <c r="HL836" s="4"/>
      <c r="HZ836" s="4"/>
      <c r="IU836" s="4"/>
      <c r="JM836" s="4"/>
    </row>
    <row r="837" spans="24:273" ht="12" customHeight="1">
      <c r="X837" s="4"/>
      <c r="AH837" s="4"/>
      <c r="EA837" s="4"/>
      <c r="FX837" s="4"/>
      <c r="HL837" s="4"/>
      <c r="HZ837" s="4"/>
      <c r="IU837" s="4"/>
      <c r="JM837" s="4"/>
    </row>
    <row r="838" spans="24:273" ht="12" customHeight="1">
      <c r="X838" s="4"/>
      <c r="AH838" s="4"/>
      <c r="EA838" s="4"/>
      <c r="FX838" s="4"/>
      <c r="HL838" s="4"/>
      <c r="HZ838" s="4"/>
      <c r="IU838" s="4"/>
      <c r="JM838" s="4"/>
    </row>
    <row r="839" spans="24:273" ht="12" customHeight="1">
      <c r="X839" s="4"/>
      <c r="AH839" s="4"/>
      <c r="EA839" s="4"/>
      <c r="FX839" s="4"/>
      <c r="HL839" s="4"/>
      <c r="HZ839" s="4"/>
      <c r="IU839" s="4"/>
      <c r="JM839" s="4"/>
    </row>
    <row r="840" spans="24:273" ht="12" customHeight="1">
      <c r="X840" s="4"/>
      <c r="AH840" s="4"/>
      <c r="EA840" s="4"/>
      <c r="FX840" s="4"/>
      <c r="HL840" s="4"/>
      <c r="HZ840" s="4"/>
      <c r="IU840" s="4"/>
      <c r="JM840" s="4"/>
    </row>
    <row r="841" spans="24:273" ht="12" customHeight="1">
      <c r="X841" s="4"/>
      <c r="AH841" s="4"/>
      <c r="EA841" s="4"/>
      <c r="FX841" s="4"/>
      <c r="HL841" s="4"/>
      <c r="HZ841" s="4"/>
      <c r="IU841" s="4"/>
      <c r="JM841" s="4"/>
    </row>
    <row r="842" spans="24:273" ht="12" customHeight="1">
      <c r="X842" s="4"/>
      <c r="AH842" s="4"/>
      <c r="EA842" s="4"/>
      <c r="FX842" s="4"/>
      <c r="HL842" s="4"/>
      <c r="HZ842" s="4"/>
      <c r="IU842" s="4"/>
      <c r="JM842" s="4"/>
    </row>
    <row r="843" spans="24:273" ht="12" customHeight="1">
      <c r="X843" s="4"/>
      <c r="AH843" s="4"/>
      <c r="EA843" s="4"/>
      <c r="FX843" s="4"/>
      <c r="HL843" s="4"/>
      <c r="HZ843" s="4"/>
      <c r="IU843" s="4"/>
      <c r="JM843" s="4"/>
    </row>
    <row r="844" spans="24:273" ht="12" customHeight="1">
      <c r="X844" s="4"/>
      <c r="AH844" s="4"/>
      <c r="EA844" s="4"/>
      <c r="FX844" s="4"/>
      <c r="HL844" s="4"/>
      <c r="HZ844" s="4"/>
      <c r="IU844" s="4"/>
      <c r="JM844" s="4"/>
    </row>
    <row r="845" spans="24:273" ht="12" customHeight="1">
      <c r="X845" s="4"/>
      <c r="AH845" s="4"/>
      <c r="EA845" s="4"/>
      <c r="FX845" s="4"/>
      <c r="HL845" s="4"/>
      <c r="HZ845" s="4"/>
      <c r="IU845" s="4"/>
      <c r="JM845" s="4"/>
    </row>
    <row r="846" spans="24:273" ht="12" customHeight="1">
      <c r="X846" s="4"/>
      <c r="AH846" s="4"/>
      <c r="EA846" s="4"/>
      <c r="FX846" s="4"/>
      <c r="HL846" s="4"/>
      <c r="HZ846" s="4"/>
      <c r="IU846" s="4"/>
      <c r="JM846" s="4"/>
    </row>
    <row r="847" spans="24:273" ht="12" customHeight="1">
      <c r="X847" s="4"/>
      <c r="AH847" s="4"/>
      <c r="EA847" s="4"/>
      <c r="FX847" s="4"/>
      <c r="HL847" s="4"/>
      <c r="HZ847" s="4"/>
      <c r="IU847" s="4"/>
      <c r="JM847" s="4"/>
    </row>
    <row r="848" spans="24:273" ht="12" customHeight="1">
      <c r="X848" s="4"/>
      <c r="AH848" s="4"/>
      <c r="EA848" s="4"/>
      <c r="FX848" s="4"/>
      <c r="HL848" s="4"/>
      <c r="HZ848" s="4"/>
      <c r="IU848" s="4"/>
      <c r="JM848" s="4"/>
    </row>
    <row r="849" spans="24:273" ht="12" customHeight="1">
      <c r="X849" s="4"/>
      <c r="AH849" s="4"/>
      <c r="EA849" s="4"/>
      <c r="FX849" s="4"/>
      <c r="HL849" s="4"/>
      <c r="HZ849" s="4"/>
      <c r="IU849" s="4"/>
      <c r="JM849" s="4"/>
    </row>
    <row r="850" spans="24:273" ht="12" customHeight="1">
      <c r="X850" s="4"/>
      <c r="AH850" s="4"/>
      <c r="EA850" s="4"/>
      <c r="FX850" s="4"/>
      <c r="HL850" s="4"/>
      <c r="HZ850" s="4"/>
      <c r="IU850" s="4"/>
      <c r="JM850" s="4"/>
    </row>
    <row r="851" spans="24:273" ht="12" customHeight="1">
      <c r="X851" s="4"/>
      <c r="AH851" s="4"/>
      <c r="EA851" s="4"/>
      <c r="FX851" s="4"/>
      <c r="HL851" s="4"/>
      <c r="HZ851" s="4"/>
      <c r="IU851" s="4"/>
      <c r="JM851" s="4"/>
    </row>
    <row r="852" spans="24:273" ht="12" customHeight="1">
      <c r="X852" s="4"/>
      <c r="AH852" s="4"/>
      <c r="EA852" s="4"/>
      <c r="FX852" s="4"/>
      <c r="HL852" s="4"/>
      <c r="HZ852" s="4"/>
      <c r="IU852" s="4"/>
      <c r="JM852" s="4"/>
    </row>
    <row r="853" spans="24:273" ht="12" customHeight="1">
      <c r="X853" s="4"/>
      <c r="AH853" s="4"/>
      <c r="EA853" s="4"/>
      <c r="FX853" s="4"/>
      <c r="HL853" s="4"/>
      <c r="HZ853" s="4"/>
      <c r="IU853" s="4"/>
      <c r="JM853" s="4"/>
    </row>
    <row r="854" spans="24:273" ht="12" customHeight="1">
      <c r="X854" s="4"/>
      <c r="AH854" s="4"/>
      <c r="EA854" s="4"/>
      <c r="FX854" s="4"/>
      <c r="HL854" s="4"/>
      <c r="HZ854" s="4"/>
      <c r="IU854" s="4"/>
      <c r="JM854" s="4"/>
    </row>
    <row r="855" spans="24:273" ht="12" customHeight="1">
      <c r="X855" s="4"/>
      <c r="AH855" s="4"/>
      <c r="EA855" s="4"/>
      <c r="FX855" s="4"/>
      <c r="HL855" s="4"/>
      <c r="HZ855" s="4"/>
      <c r="IU855" s="4"/>
      <c r="JM855" s="4"/>
    </row>
    <row r="856" spans="24:273" ht="12" customHeight="1">
      <c r="X856" s="4"/>
      <c r="AH856" s="4"/>
      <c r="EA856" s="4"/>
      <c r="FX856" s="4"/>
      <c r="HL856" s="4"/>
      <c r="HZ856" s="4"/>
      <c r="IU856" s="4"/>
      <c r="JM856" s="4"/>
    </row>
    <row r="857" spans="24:273" ht="12" customHeight="1">
      <c r="X857" s="4"/>
      <c r="AH857" s="4"/>
      <c r="EA857" s="4"/>
      <c r="FX857" s="4"/>
      <c r="HL857" s="4"/>
      <c r="HZ857" s="4"/>
      <c r="IU857" s="4"/>
      <c r="JM857" s="4"/>
    </row>
    <row r="858" spans="24:273" ht="12" customHeight="1">
      <c r="X858" s="4"/>
      <c r="AH858" s="4"/>
      <c r="EA858" s="4"/>
      <c r="FX858" s="4"/>
      <c r="HL858" s="4"/>
      <c r="HZ858" s="4"/>
      <c r="IU858" s="4"/>
      <c r="JM858" s="4"/>
    </row>
    <row r="859" spans="24:273" ht="12" customHeight="1">
      <c r="X859" s="4"/>
      <c r="AH859" s="4"/>
      <c r="EA859" s="4"/>
      <c r="FX859" s="4"/>
      <c r="HL859" s="4"/>
      <c r="HZ859" s="4"/>
      <c r="IU859" s="4"/>
      <c r="JM859" s="4"/>
    </row>
    <row r="860" spans="24:273" ht="12" customHeight="1">
      <c r="X860" s="4"/>
      <c r="AH860" s="4"/>
      <c r="EA860" s="4"/>
      <c r="FX860" s="4"/>
      <c r="HL860" s="4"/>
      <c r="HZ860" s="4"/>
      <c r="IU860" s="4"/>
      <c r="JM860" s="4"/>
    </row>
    <row r="861" spans="24:273" ht="12" customHeight="1">
      <c r="X861" s="4"/>
      <c r="AH861" s="4"/>
      <c r="EA861" s="4"/>
      <c r="FX861" s="4"/>
      <c r="HL861" s="4"/>
      <c r="HZ861" s="4"/>
      <c r="IU861" s="4"/>
      <c r="JM861" s="4"/>
    </row>
    <row r="862" spans="24:273" ht="12" customHeight="1">
      <c r="X862" s="4"/>
      <c r="AH862" s="4"/>
      <c r="EA862" s="4"/>
      <c r="FX862" s="4"/>
      <c r="HL862" s="4"/>
      <c r="HZ862" s="4"/>
      <c r="IU862" s="4"/>
      <c r="JM862" s="4"/>
    </row>
    <row r="863" spans="24:273" ht="12" customHeight="1">
      <c r="X863" s="4"/>
      <c r="AH863" s="4"/>
      <c r="EA863" s="4"/>
      <c r="FX863" s="4"/>
      <c r="HL863" s="4"/>
      <c r="HZ863" s="4"/>
      <c r="IU863" s="4"/>
      <c r="JM863" s="4"/>
    </row>
    <row r="864" spans="24:273" ht="12" customHeight="1">
      <c r="X864" s="4"/>
      <c r="AH864" s="4"/>
      <c r="EA864" s="4"/>
      <c r="FX864" s="4"/>
      <c r="HL864" s="4"/>
      <c r="HZ864" s="4"/>
      <c r="IU864" s="4"/>
      <c r="JM864" s="4"/>
    </row>
    <row r="865" spans="24:273" ht="12" customHeight="1">
      <c r="X865" s="4"/>
      <c r="AH865" s="4"/>
      <c r="EA865" s="4"/>
      <c r="FX865" s="4"/>
      <c r="HL865" s="4"/>
      <c r="HZ865" s="4"/>
      <c r="IU865" s="4"/>
      <c r="JM865" s="4"/>
    </row>
    <row r="866" spans="24:273" ht="12" customHeight="1">
      <c r="X866" s="4"/>
      <c r="AH866" s="4"/>
      <c r="EA866" s="4"/>
      <c r="FX866" s="4"/>
      <c r="HL866" s="4"/>
      <c r="HZ866" s="4"/>
      <c r="IU866" s="4"/>
      <c r="JM866" s="4"/>
    </row>
    <row r="867" spans="24:273" ht="12" customHeight="1">
      <c r="X867" s="4"/>
      <c r="AH867" s="4"/>
      <c r="EA867" s="4"/>
      <c r="FX867" s="4"/>
      <c r="HL867" s="4"/>
      <c r="HZ867" s="4"/>
      <c r="IU867" s="4"/>
      <c r="JM867" s="4"/>
    </row>
    <row r="868" spans="24:273" ht="12" customHeight="1">
      <c r="X868" s="4"/>
      <c r="AH868" s="4"/>
      <c r="EA868" s="4"/>
      <c r="FX868" s="4"/>
      <c r="HL868" s="4"/>
      <c r="HZ868" s="4"/>
      <c r="IU868" s="4"/>
      <c r="JM868" s="4"/>
    </row>
    <row r="869" spans="24:273" ht="12" customHeight="1">
      <c r="X869" s="4"/>
      <c r="AH869" s="4"/>
      <c r="EA869" s="4"/>
      <c r="FX869" s="4"/>
      <c r="HL869" s="4"/>
      <c r="HZ869" s="4"/>
      <c r="IU869" s="4"/>
      <c r="JM869" s="4"/>
    </row>
    <row r="870" spans="24:273" ht="12" customHeight="1">
      <c r="X870" s="4"/>
      <c r="AH870" s="4"/>
      <c r="EA870" s="4"/>
      <c r="FX870" s="4"/>
      <c r="HL870" s="4"/>
      <c r="HZ870" s="4"/>
      <c r="IU870" s="4"/>
      <c r="JM870" s="4"/>
    </row>
    <row r="871" spans="24:273" ht="12" customHeight="1">
      <c r="X871" s="4"/>
      <c r="AH871" s="4"/>
      <c r="EA871" s="4"/>
      <c r="FX871" s="4"/>
      <c r="HL871" s="4"/>
      <c r="HZ871" s="4"/>
      <c r="IU871" s="4"/>
      <c r="JM871" s="4"/>
    </row>
    <row r="872" spans="24:273" ht="12" customHeight="1">
      <c r="X872" s="4"/>
      <c r="AH872" s="4"/>
      <c r="EA872" s="4"/>
      <c r="FX872" s="4"/>
      <c r="HL872" s="4"/>
      <c r="HZ872" s="4"/>
      <c r="IU872" s="4"/>
      <c r="JM872" s="4"/>
    </row>
    <row r="873" spans="24:273" ht="12" customHeight="1">
      <c r="X873" s="4"/>
      <c r="AH873" s="4"/>
      <c r="EA873" s="4"/>
      <c r="FX873" s="4"/>
      <c r="HL873" s="4"/>
      <c r="HZ873" s="4"/>
      <c r="IU873" s="4"/>
      <c r="JM873" s="4"/>
    </row>
    <row r="874" spans="24:273" ht="12" customHeight="1">
      <c r="X874" s="4"/>
      <c r="AH874" s="4"/>
      <c r="EA874" s="4"/>
      <c r="FX874" s="4"/>
      <c r="HL874" s="4"/>
      <c r="HZ874" s="4"/>
      <c r="IU874" s="4"/>
      <c r="JM874" s="4"/>
    </row>
    <row r="875" spans="24:273" ht="12" customHeight="1">
      <c r="X875" s="4"/>
      <c r="AH875" s="4"/>
      <c r="EA875" s="4"/>
      <c r="FX875" s="4"/>
      <c r="HL875" s="4"/>
      <c r="HZ875" s="4"/>
      <c r="IU875" s="4"/>
      <c r="JM875" s="4"/>
    </row>
    <row r="876" spans="24:273" ht="12" customHeight="1">
      <c r="X876" s="4"/>
      <c r="AH876" s="4"/>
      <c r="EA876" s="4"/>
      <c r="FX876" s="4"/>
      <c r="HL876" s="4"/>
      <c r="HZ876" s="4"/>
      <c r="IU876" s="4"/>
      <c r="JM876" s="4"/>
    </row>
    <row r="877" spans="24:273" ht="12" customHeight="1">
      <c r="X877" s="4"/>
      <c r="AH877" s="4"/>
      <c r="EA877" s="4"/>
      <c r="FX877" s="4"/>
      <c r="HL877" s="4"/>
      <c r="HZ877" s="4"/>
      <c r="IU877" s="4"/>
      <c r="JM877" s="4"/>
    </row>
    <row r="878" spans="24:273" ht="12" customHeight="1">
      <c r="X878" s="4"/>
      <c r="AH878" s="4"/>
      <c r="EA878" s="4"/>
      <c r="FX878" s="4"/>
      <c r="HL878" s="4"/>
      <c r="HZ878" s="4"/>
      <c r="IU878" s="4"/>
      <c r="JM878" s="4"/>
    </row>
    <row r="879" spans="24:273" ht="12" customHeight="1">
      <c r="X879" s="4"/>
      <c r="AH879" s="4"/>
      <c r="EA879" s="4"/>
      <c r="FX879" s="4"/>
      <c r="HL879" s="4"/>
      <c r="HZ879" s="4"/>
      <c r="IU879" s="4"/>
      <c r="JM879" s="4"/>
    </row>
    <row r="880" spans="24:273" ht="12" customHeight="1">
      <c r="X880" s="4"/>
      <c r="AH880" s="4"/>
      <c r="EA880" s="4"/>
      <c r="FX880" s="4"/>
      <c r="HL880" s="4"/>
      <c r="HZ880" s="4"/>
      <c r="IU880" s="4"/>
      <c r="JM880" s="4"/>
    </row>
    <row r="881" spans="24:273" ht="12" customHeight="1">
      <c r="X881" s="4"/>
      <c r="AH881" s="4"/>
      <c r="EA881" s="4"/>
      <c r="FX881" s="4"/>
      <c r="HL881" s="4"/>
      <c r="HZ881" s="4"/>
      <c r="IU881" s="4"/>
      <c r="JM881" s="4"/>
    </row>
    <row r="882" spans="24:273" ht="12" customHeight="1">
      <c r="X882" s="4"/>
      <c r="AH882" s="4"/>
      <c r="EA882" s="4"/>
      <c r="FX882" s="4"/>
      <c r="HL882" s="4"/>
      <c r="HZ882" s="4"/>
      <c r="IU882" s="4"/>
      <c r="JM882" s="4"/>
    </row>
    <row r="883" spans="24:273" ht="12" customHeight="1">
      <c r="X883" s="4"/>
      <c r="AH883" s="4"/>
      <c r="EA883" s="4"/>
      <c r="FX883" s="4"/>
      <c r="HL883" s="4"/>
      <c r="HZ883" s="4"/>
      <c r="IU883" s="4"/>
      <c r="JM883" s="4"/>
    </row>
    <row r="884" spans="24:273" ht="12" customHeight="1">
      <c r="X884" s="4"/>
      <c r="AH884" s="4"/>
      <c r="EA884" s="4"/>
      <c r="FX884" s="4"/>
      <c r="HL884" s="4"/>
      <c r="HZ884" s="4"/>
      <c r="IU884" s="4"/>
      <c r="JM884" s="4"/>
    </row>
    <row r="885" spans="24:273" ht="12" customHeight="1">
      <c r="X885" s="4"/>
      <c r="AH885" s="4"/>
      <c r="EA885" s="4"/>
      <c r="FX885" s="4"/>
      <c r="HL885" s="4"/>
      <c r="HZ885" s="4"/>
      <c r="IU885" s="4"/>
      <c r="JM885" s="4"/>
    </row>
    <row r="886" spans="24:273" ht="12" customHeight="1">
      <c r="X886" s="4"/>
      <c r="AH886" s="4"/>
      <c r="EA886" s="4"/>
      <c r="FX886" s="4"/>
      <c r="HL886" s="4"/>
      <c r="HZ886" s="4"/>
      <c r="IU886" s="4"/>
      <c r="JM886" s="4"/>
    </row>
    <row r="887" spans="24:273" ht="12" customHeight="1">
      <c r="X887" s="4"/>
      <c r="AH887" s="4"/>
      <c r="EA887" s="4"/>
      <c r="FX887" s="4"/>
      <c r="HL887" s="4"/>
      <c r="HZ887" s="4"/>
      <c r="IU887" s="4"/>
      <c r="JM887" s="4"/>
    </row>
    <row r="888" spans="24:273" ht="12" customHeight="1">
      <c r="X888" s="4"/>
      <c r="AH888" s="4"/>
      <c r="EA888" s="4"/>
      <c r="FX888" s="4"/>
      <c r="HL888" s="4"/>
      <c r="HZ888" s="4"/>
      <c r="IU888" s="4"/>
      <c r="JM888" s="4"/>
    </row>
    <row r="889" spans="24:273" ht="12" customHeight="1">
      <c r="X889" s="4"/>
      <c r="AH889" s="4"/>
      <c r="EA889" s="4"/>
      <c r="FX889" s="4"/>
      <c r="HL889" s="4"/>
      <c r="HZ889" s="4"/>
      <c r="IU889" s="4"/>
      <c r="JM889" s="4"/>
    </row>
    <row r="890" spans="24:273" ht="12" customHeight="1">
      <c r="X890" s="4"/>
      <c r="AH890" s="4"/>
      <c r="EA890" s="4"/>
      <c r="FX890" s="4"/>
      <c r="HL890" s="4"/>
      <c r="HZ890" s="4"/>
      <c r="IU890" s="4"/>
      <c r="JM890" s="4"/>
    </row>
    <row r="891" spans="24:273" ht="12" customHeight="1">
      <c r="X891" s="4"/>
      <c r="AH891" s="4"/>
      <c r="EA891" s="4"/>
      <c r="FX891" s="4"/>
      <c r="HL891" s="4"/>
      <c r="HZ891" s="4"/>
      <c r="IU891" s="4"/>
      <c r="JM891" s="4"/>
    </row>
    <row r="892" spans="24:273" ht="12" customHeight="1">
      <c r="X892" s="4"/>
      <c r="AH892" s="4"/>
      <c r="EA892" s="4"/>
      <c r="FX892" s="4"/>
      <c r="HL892" s="4"/>
      <c r="HZ892" s="4"/>
      <c r="IU892" s="4"/>
      <c r="JM892" s="4"/>
    </row>
    <row r="893" spans="24:273" ht="12" customHeight="1">
      <c r="X893" s="4"/>
      <c r="AH893" s="4"/>
      <c r="EA893" s="4"/>
      <c r="FX893" s="4"/>
      <c r="HL893" s="4"/>
      <c r="HZ893" s="4"/>
      <c r="IU893" s="4"/>
      <c r="JM893" s="4"/>
    </row>
    <row r="894" spans="24:273" ht="12" customHeight="1">
      <c r="X894" s="4"/>
      <c r="AH894" s="4"/>
      <c r="EA894" s="4"/>
      <c r="FX894" s="4"/>
      <c r="HL894" s="4"/>
      <c r="HZ894" s="4"/>
      <c r="IU894" s="4"/>
      <c r="JM894" s="4"/>
    </row>
    <row r="895" spans="24:273" ht="12" customHeight="1">
      <c r="X895" s="4"/>
      <c r="AH895" s="4"/>
      <c r="EA895" s="4"/>
      <c r="FX895" s="4"/>
      <c r="HL895" s="4"/>
      <c r="HZ895" s="4"/>
      <c r="IU895" s="4"/>
      <c r="JM895" s="4"/>
    </row>
    <row r="896" spans="24:273" ht="12" customHeight="1">
      <c r="X896" s="4"/>
      <c r="AH896" s="4"/>
      <c r="EA896" s="4"/>
      <c r="FX896" s="4"/>
      <c r="HL896" s="4"/>
      <c r="HZ896" s="4"/>
      <c r="IU896" s="4"/>
      <c r="JM896" s="4"/>
    </row>
    <row r="897" spans="24:273" ht="12" customHeight="1">
      <c r="X897" s="4"/>
      <c r="AH897" s="4"/>
      <c r="EA897" s="4"/>
      <c r="FX897" s="4"/>
      <c r="HL897" s="4"/>
      <c r="HZ897" s="4"/>
      <c r="IU897" s="4"/>
      <c r="JM897" s="4"/>
    </row>
    <row r="898" spans="24:273" ht="12" customHeight="1">
      <c r="X898" s="4"/>
      <c r="AH898" s="4"/>
      <c r="EA898" s="4"/>
      <c r="FX898" s="4"/>
      <c r="HL898" s="4"/>
      <c r="HZ898" s="4"/>
      <c r="IU898" s="4"/>
      <c r="JM898" s="4"/>
    </row>
    <row r="899" spans="24:273" ht="12" customHeight="1">
      <c r="X899" s="4"/>
      <c r="AH899" s="4"/>
      <c r="EA899" s="4"/>
      <c r="FX899" s="4"/>
      <c r="HL899" s="4"/>
      <c r="HZ899" s="4"/>
      <c r="IU899" s="4"/>
      <c r="JM899" s="4"/>
    </row>
    <row r="900" spans="24:273" ht="12" customHeight="1">
      <c r="X900" s="4"/>
      <c r="AH900" s="4"/>
      <c r="EA900" s="4"/>
      <c r="FX900" s="4"/>
      <c r="HL900" s="4"/>
      <c r="HZ900" s="4"/>
      <c r="IU900" s="4"/>
      <c r="JM900" s="4"/>
    </row>
    <row r="901" spans="24:273" ht="12" customHeight="1">
      <c r="X901" s="4"/>
      <c r="AH901" s="4"/>
      <c r="EA901" s="4"/>
      <c r="FX901" s="4"/>
      <c r="HL901" s="4"/>
      <c r="HZ901" s="4"/>
      <c r="IU901" s="4"/>
      <c r="JM901" s="4"/>
    </row>
    <row r="902" spans="24:273" ht="12" customHeight="1">
      <c r="X902" s="4"/>
      <c r="AH902" s="4"/>
      <c r="EA902" s="4"/>
      <c r="FX902" s="4"/>
      <c r="HL902" s="4"/>
      <c r="HZ902" s="4"/>
      <c r="IU902" s="4"/>
      <c r="JM902" s="4"/>
    </row>
    <row r="903" spans="24:273" ht="12" customHeight="1">
      <c r="X903" s="4"/>
      <c r="AH903" s="4"/>
      <c r="EA903" s="4"/>
      <c r="FX903" s="4"/>
      <c r="HL903" s="4"/>
      <c r="HZ903" s="4"/>
      <c r="IU903" s="4"/>
      <c r="JM903" s="4"/>
    </row>
    <row r="904" spans="24:273" ht="12" customHeight="1">
      <c r="X904" s="4"/>
      <c r="AH904" s="4"/>
      <c r="EA904" s="4"/>
      <c r="FX904" s="4"/>
      <c r="HL904" s="4"/>
      <c r="HZ904" s="4"/>
      <c r="IU904" s="4"/>
      <c r="JM904" s="4"/>
    </row>
    <row r="905" spans="24:273" ht="12" customHeight="1">
      <c r="X905" s="4"/>
      <c r="AH905" s="4"/>
      <c r="EA905" s="4"/>
      <c r="FX905" s="4"/>
      <c r="HL905" s="4"/>
      <c r="HZ905" s="4"/>
      <c r="IU905" s="4"/>
      <c r="JM905" s="4"/>
    </row>
    <row r="906" spans="24:273" ht="12" customHeight="1">
      <c r="X906" s="4"/>
      <c r="AH906" s="4"/>
      <c r="EA906" s="4"/>
      <c r="FX906" s="4"/>
      <c r="HL906" s="4"/>
      <c r="HZ906" s="4"/>
      <c r="IU906" s="4"/>
      <c r="JM906" s="4"/>
    </row>
    <row r="907" spans="24:273" ht="12" customHeight="1">
      <c r="X907" s="4"/>
      <c r="AH907" s="4"/>
      <c r="EA907" s="4"/>
      <c r="FX907" s="4"/>
      <c r="HL907" s="4"/>
      <c r="HZ907" s="4"/>
      <c r="IU907" s="4"/>
      <c r="JM907" s="4"/>
    </row>
    <row r="908" spans="24:273" ht="12" customHeight="1">
      <c r="X908" s="4"/>
      <c r="AH908" s="4"/>
      <c r="EA908" s="4"/>
      <c r="FX908" s="4"/>
      <c r="HL908" s="4"/>
      <c r="HZ908" s="4"/>
      <c r="IU908" s="4"/>
      <c r="JM908" s="4"/>
    </row>
    <row r="909" spans="24:273" ht="12" customHeight="1">
      <c r="X909" s="4"/>
      <c r="AH909" s="4"/>
      <c r="EA909" s="4"/>
      <c r="FX909" s="4"/>
      <c r="HL909" s="4"/>
      <c r="HZ909" s="4"/>
      <c r="IU909" s="4"/>
      <c r="JM909" s="4"/>
    </row>
    <row r="910" spans="24:273" ht="12" customHeight="1">
      <c r="X910" s="4"/>
      <c r="AH910" s="4"/>
      <c r="EA910" s="4"/>
      <c r="FX910" s="4"/>
      <c r="HL910" s="4"/>
      <c r="HZ910" s="4"/>
      <c r="IU910" s="4"/>
      <c r="JM910" s="4"/>
    </row>
    <row r="911" spans="24:273" ht="12" customHeight="1">
      <c r="X911" s="4"/>
      <c r="AH911" s="4"/>
      <c r="EA911" s="4"/>
      <c r="FX911" s="4"/>
      <c r="HL911" s="4"/>
      <c r="HZ911" s="4"/>
      <c r="IU911" s="4"/>
      <c r="JM911" s="4"/>
    </row>
    <row r="912" spans="24:273" ht="12" customHeight="1">
      <c r="X912" s="4"/>
      <c r="AH912" s="4"/>
      <c r="EA912" s="4"/>
      <c r="FX912" s="4"/>
      <c r="HL912" s="4"/>
      <c r="HZ912" s="4"/>
      <c r="IU912" s="4"/>
      <c r="JM912" s="4"/>
    </row>
    <row r="913" spans="24:273" ht="12" customHeight="1">
      <c r="X913" s="4"/>
      <c r="AH913" s="4"/>
      <c r="EA913" s="4"/>
      <c r="FX913" s="4"/>
      <c r="HL913" s="4"/>
      <c r="HZ913" s="4"/>
      <c r="IU913" s="4"/>
      <c r="JM913" s="4"/>
    </row>
    <row r="914" spans="24:273" ht="12" customHeight="1">
      <c r="X914" s="4"/>
      <c r="AH914" s="4"/>
      <c r="EA914" s="4"/>
      <c r="FX914" s="4"/>
      <c r="HL914" s="4"/>
      <c r="HZ914" s="4"/>
      <c r="IU914" s="4"/>
      <c r="JM914" s="4"/>
    </row>
    <row r="915" spans="24:273" ht="12" customHeight="1">
      <c r="X915" s="4"/>
      <c r="AH915" s="4"/>
      <c r="EA915" s="4"/>
      <c r="FX915" s="4"/>
      <c r="HL915" s="4"/>
      <c r="HZ915" s="4"/>
      <c r="IU915" s="4"/>
      <c r="JM915" s="4"/>
    </row>
    <row r="916" spans="24:273" ht="12" customHeight="1">
      <c r="X916" s="4"/>
      <c r="AH916" s="4"/>
      <c r="EA916" s="4"/>
      <c r="FX916" s="4"/>
      <c r="HL916" s="4"/>
      <c r="HZ916" s="4"/>
      <c r="IU916" s="4"/>
      <c r="JM916" s="4"/>
    </row>
    <row r="917" spans="24:273" ht="12" customHeight="1">
      <c r="X917" s="4"/>
      <c r="AH917" s="4"/>
      <c r="EA917" s="4"/>
      <c r="FX917" s="4"/>
      <c r="HL917" s="4"/>
      <c r="HZ917" s="4"/>
      <c r="IU917" s="4"/>
      <c r="JM917" s="4"/>
    </row>
    <row r="918" spans="24:273" ht="12" customHeight="1">
      <c r="X918" s="4"/>
      <c r="AH918" s="4"/>
      <c r="EA918" s="4"/>
      <c r="FX918" s="4"/>
      <c r="HL918" s="4"/>
      <c r="HZ918" s="4"/>
      <c r="IU918" s="4"/>
      <c r="JM918" s="4"/>
    </row>
    <row r="919" spans="24:273" ht="12" customHeight="1">
      <c r="X919" s="4"/>
      <c r="AH919" s="4"/>
      <c r="EA919" s="4"/>
      <c r="FX919" s="4"/>
      <c r="HL919" s="4"/>
      <c r="HZ919" s="4"/>
      <c r="IU919" s="4"/>
      <c r="JM919" s="4"/>
    </row>
    <row r="920" spans="24:273" ht="12" customHeight="1">
      <c r="X920" s="4"/>
      <c r="AH920" s="4"/>
      <c r="EA920" s="4"/>
      <c r="FX920" s="4"/>
      <c r="HL920" s="4"/>
      <c r="HZ920" s="4"/>
      <c r="IU920" s="4"/>
      <c r="JM920" s="4"/>
    </row>
    <row r="921" spans="24:273" ht="12" customHeight="1">
      <c r="X921" s="4"/>
      <c r="AH921" s="4"/>
      <c r="EA921" s="4"/>
      <c r="FX921" s="4"/>
      <c r="HL921" s="4"/>
      <c r="HZ921" s="4"/>
      <c r="IU921" s="4"/>
      <c r="JM921" s="4"/>
    </row>
    <row r="922" spans="24:273" ht="12" customHeight="1">
      <c r="X922" s="4"/>
      <c r="AH922" s="4"/>
      <c r="EA922" s="4"/>
      <c r="FX922" s="4"/>
      <c r="HL922" s="4"/>
      <c r="HZ922" s="4"/>
      <c r="IU922" s="4"/>
      <c r="JM922" s="4"/>
    </row>
    <row r="923" spans="24:273" ht="12" customHeight="1">
      <c r="X923" s="4"/>
      <c r="AH923" s="4"/>
      <c r="EA923" s="4"/>
      <c r="FX923" s="4"/>
      <c r="HL923" s="4"/>
      <c r="HZ923" s="4"/>
      <c r="IU923" s="4"/>
      <c r="JM923" s="4"/>
    </row>
    <row r="924" spans="24:273" ht="12" customHeight="1">
      <c r="X924" s="4"/>
      <c r="AH924" s="4"/>
      <c r="EA924" s="4"/>
      <c r="FX924" s="4"/>
      <c r="HL924" s="4"/>
      <c r="HZ924" s="4"/>
      <c r="IU924" s="4"/>
      <c r="JM924" s="4"/>
    </row>
    <row r="925" spans="24:273" ht="12" customHeight="1">
      <c r="X925" s="4"/>
      <c r="AH925" s="4"/>
      <c r="EA925" s="4"/>
      <c r="FX925" s="4"/>
      <c r="HL925" s="4"/>
      <c r="HZ925" s="4"/>
      <c r="IU925" s="4"/>
      <c r="JM925" s="4"/>
    </row>
    <row r="926" spans="24:273" ht="12" customHeight="1">
      <c r="X926" s="4"/>
      <c r="AH926" s="4"/>
      <c r="EA926" s="4"/>
      <c r="FX926" s="4"/>
      <c r="HL926" s="4"/>
      <c r="HZ926" s="4"/>
      <c r="IU926" s="4"/>
      <c r="JM926" s="4"/>
    </row>
    <row r="927" spans="24:273" ht="12" customHeight="1">
      <c r="X927" s="4"/>
      <c r="AH927" s="4"/>
      <c r="EA927" s="4"/>
      <c r="FX927" s="4"/>
      <c r="HL927" s="4"/>
      <c r="HZ927" s="4"/>
      <c r="IU927" s="4"/>
      <c r="JM927" s="4"/>
    </row>
    <row r="928" spans="24:273" ht="12" customHeight="1">
      <c r="X928" s="4"/>
      <c r="AH928" s="4"/>
      <c r="EA928" s="4"/>
      <c r="FX928" s="4"/>
      <c r="HL928" s="4"/>
      <c r="HZ928" s="4"/>
      <c r="IU928" s="4"/>
      <c r="JM928" s="4"/>
    </row>
    <row r="929" spans="24:273" ht="12" customHeight="1">
      <c r="X929" s="4"/>
      <c r="AH929" s="4"/>
      <c r="EA929" s="4"/>
      <c r="FX929" s="4"/>
      <c r="HL929" s="4"/>
      <c r="HZ929" s="4"/>
      <c r="IU929" s="4"/>
      <c r="JM929" s="4"/>
    </row>
    <row r="930" spans="24:273" ht="12" customHeight="1">
      <c r="X930" s="4"/>
      <c r="AH930" s="4"/>
      <c r="EA930" s="4"/>
      <c r="FX930" s="4"/>
      <c r="HL930" s="4"/>
      <c r="HZ930" s="4"/>
      <c r="IU930" s="4"/>
      <c r="JM930" s="4"/>
    </row>
    <row r="931" spans="24:273" ht="12" customHeight="1">
      <c r="X931" s="4"/>
      <c r="AH931" s="4"/>
      <c r="EA931" s="4"/>
      <c r="FX931" s="4"/>
      <c r="HL931" s="4"/>
      <c r="HZ931" s="4"/>
      <c r="IU931" s="4"/>
      <c r="JM931" s="4"/>
    </row>
    <row r="932" spans="24:273" ht="12" customHeight="1">
      <c r="X932" s="4"/>
      <c r="AH932" s="4"/>
      <c r="EA932" s="4"/>
      <c r="FX932" s="4"/>
      <c r="HL932" s="4"/>
      <c r="HZ932" s="4"/>
      <c r="IU932" s="4"/>
      <c r="JM932" s="4"/>
    </row>
    <row r="933" spans="24:273" ht="12" customHeight="1">
      <c r="X933" s="4"/>
      <c r="AH933" s="4"/>
      <c r="EA933" s="4"/>
      <c r="FX933" s="4"/>
      <c r="HL933" s="4"/>
      <c r="HZ933" s="4"/>
      <c r="IU933" s="4"/>
      <c r="JM933" s="4"/>
    </row>
    <row r="934" spans="24:273" ht="12" customHeight="1">
      <c r="X934" s="4"/>
      <c r="AH934" s="4"/>
      <c r="EA934" s="4"/>
      <c r="FX934" s="4"/>
      <c r="HL934" s="4"/>
      <c r="HZ934" s="4"/>
      <c r="IU934" s="4"/>
      <c r="JM934" s="4"/>
    </row>
    <row r="935" spans="24:273" ht="12" customHeight="1">
      <c r="X935" s="4"/>
      <c r="AH935" s="4"/>
      <c r="EA935" s="4"/>
      <c r="FX935" s="4"/>
      <c r="HL935" s="4"/>
      <c r="HZ935" s="4"/>
      <c r="IU935" s="4"/>
      <c r="JM935" s="4"/>
    </row>
    <row r="936" spans="24:273" ht="12" customHeight="1">
      <c r="X936" s="4"/>
      <c r="AH936" s="4"/>
      <c r="EA936" s="4"/>
      <c r="FX936" s="4"/>
      <c r="HL936" s="4"/>
      <c r="HZ936" s="4"/>
      <c r="IU936" s="4"/>
      <c r="JM936" s="4"/>
    </row>
    <row r="937" spans="24:273" ht="12" customHeight="1">
      <c r="X937" s="4"/>
      <c r="AH937" s="4"/>
      <c r="EA937" s="4"/>
      <c r="FX937" s="4"/>
      <c r="HL937" s="4"/>
      <c r="HZ937" s="4"/>
      <c r="IU937" s="4"/>
      <c r="JM937" s="4"/>
    </row>
    <row r="938" spans="24:273" ht="12" customHeight="1">
      <c r="X938" s="4"/>
      <c r="AH938" s="4"/>
      <c r="EA938" s="4"/>
      <c r="FX938" s="4"/>
      <c r="HL938" s="4"/>
      <c r="HZ938" s="4"/>
      <c r="IU938" s="4"/>
      <c r="JM938" s="4"/>
    </row>
    <row r="939" spans="24:273" ht="12" customHeight="1">
      <c r="X939" s="4"/>
      <c r="AH939" s="4"/>
      <c r="EA939" s="4"/>
      <c r="FX939" s="4"/>
      <c r="HL939" s="4"/>
      <c r="HZ939" s="4"/>
      <c r="IU939" s="4"/>
      <c r="JM939" s="4"/>
    </row>
    <row r="940" spans="24:273" ht="12" customHeight="1">
      <c r="X940" s="4"/>
      <c r="AH940" s="4"/>
      <c r="EA940" s="4"/>
      <c r="FX940" s="4"/>
      <c r="HL940" s="4"/>
      <c r="HZ940" s="4"/>
      <c r="IU940" s="4"/>
      <c r="JM940" s="4"/>
    </row>
    <row r="941" spans="24:273" ht="12" customHeight="1">
      <c r="X941" s="4"/>
      <c r="AH941" s="4"/>
      <c r="EA941" s="4"/>
      <c r="FX941" s="4"/>
      <c r="HL941" s="4"/>
      <c r="HZ941" s="4"/>
      <c r="IU941" s="4"/>
      <c r="JM941" s="4"/>
    </row>
    <row r="942" spans="24:273" ht="12" customHeight="1">
      <c r="X942" s="4"/>
      <c r="AH942" s="4"/>
      <c r="EA942" s="4"/>
      <c r="FX942" s="4"/>
      <c r="HL942" s="4"/>
      <c r="HZ942" s="4"/>
      <c r="IU942" s="4"/>
      <c r="JM942" s="4"/>
    </row>
    <row r="943" spans="24:273" ht="12" customHeight="1">
      <c r="X943" s="4"/>
      <c r="AH943" s="4"/>
      <c r="EA943" s="4"/>
      <c r="FX943" s="4"/>
      <c r="HL943" s="4"/>
      <c r="HZ943" s="4"/>
      <c r="IU943" s="4"/>
      <c r="JM943" s="4"/>
    </row>
    <row r="944" spans="24:273" ht="12" customHeight="1">
      <c r="X944" s="4"/>
      <c r="AH944" s="4"/>
      <c r="EA944" s="4"/>
      <c r="FX944" s="4"/>
      <c r="HL944" s="4"/>
      <c r="HZ944" s="4"/>
      <c r="IU944" s="4"/>
      <c r="JM944" s="4"/>
    </row>
    <row r="945" spans="24:273" ht="12" customHeight="1">
      <c r="X945" s="4"/>
      <c r="AH945" s="4"/>
      <c r="EA945" s="4"/>
      <c r="FX945" s="4"/>
      <c r="HL945" s="4"/>
      <c r="HZ945" s="4"/>
      <c r="IU945" s="4"/>
      <c r="JM945" s="4"/>
    </row>
    <row r="946" spans="24:273" ht="12" customHeight="1">
      <c r="X946" s="4"/>
      <c r="AH946" s="4"/>
      <c r="EA946" s="4"/>
      <c r="FX946" s="4"/>
      <c r="HL946" s="4"/>
      <c r="HZ946" s="4"/>
      <c r="IU946" s="4"/>
      <c r="JM946" s="4"/>
    </row>
    <row r="947" spans="24:273" ht="12" customHeight="1">
      <c r="X947" s="4"/>
      <c r="AH947" s="4"/>
      <c r="EA947" s="4"/>
      <c r="FX947" s="4"/>
      <c r="HL947" s="4"/>
      <c r="HZ947" s="4"/>
      <c r="IU947" s="4"/>
      <c r="JM947" s="4"/>
    </row>
    <row r="948" spans="24:273" ht="12" customHeight="1">
      <c r="X948" s="4"/>
      <c r="AH948" s="4"/>
      <c r="EA948" s="4"/>
      <c r="FX948" s="4"/>
      <c r="HL948" s="4"/>
      <c r="HZ948" s="4"/>
      <c r="IU948" s="4"/>
      <c r="JM948" s="4"/>
    </row>
    <row r="949" spans="24:273" ht="12" customHeight="1">
      <c r="X949" s="4"/>
      <c r="AH949" s="4"/>
      <c r="EA949" s="4"/>
      <c r="FX949" s="4"/>
      <c r="HL949" s="4"/>
      <c r="HZ949" s="4"/>
      <c r="IU949" s="4"/>
      <c r="JM949" s="4"/>
    </row>
    <row r="950" spans="24:273" ht="12" customHeight="1">
      <c r="X950" s="4"/>
      <c r="AH950" s="4"/>
      <c r="EA950" s="4"/>
      <c r="FX950" s="4"/>
      <c r="HL950" s="4"/>
      <c r="HZ950" s="4"/>
      <c r="IU950" s="4"/>
      <c r="JM950" s="4"/>
    </row>
    <row r="951" spans="24:273" ht="12" customHeight="1">
      <c r="X951" s="4"/>
      <c r="AH951" s="4"/>
      <c r="EA951" s="4"/>
      <c r="FX951" s="4"/>
      <c r="HL951" s="4"/>
      <c r="HZ951" s="4"/>
      <c r="IU951" s="4"/>
      <c r="JM951" s="4"/>
    </row>
    <row r="952" spans="24:273" ht="12" customHeight="1">
      <c r="X952" s="4"/>
      <c r="AH952" s="4"/>
      <c r="EA952" s="4"/>
      <c r="FX952" s="4"/>
      <c r="HL952" s="4"/>
      <c r="HZ952" s="4"/>
      <c r="IU952" s="4"/>
      <c r="JM952" s="4"/>
    </row>
    <row r="953" spans="24:273" ht="12" customHeight="1">
      <c r="X953" s="4"/>
      <c r="AH953" s="4"/>
      <c r="EA953" s="4"/>
      <c r="FX953" s="4"/>
      <c r="HL953" s="4"/>
      <c r="HZ953" s="4"/>
      <c r="IU953" s="4"/>
      <c r="JM953" s="4"/>
    </row>
    <row r="954" spans="24:273" ht="12" customHeight="1">
      <c r="X954" s="4"/>
      <c r="AH954" s="4"/>
      <c r="EA954" s="4"/>
      <c r="FX954" s="4"/>
      <c r="HL954" s="4"/>
      <c r="HZ954" s="4"/>
      <c r="IU954" s="4"/>
      <c r="JM954" s="4"/>
    </row>
    <row r="955" spans="24:273" ht="12" customHeight="1">
      <c r="X955" s="4"/>
      <c r="AH955" s="4"/>
      <c r="EA955" s="4"/>
      <c r="FX955" s="4"/>
      <c r="HL955" s="4"/>
      <c r="HZ955" s="4"/>
      <c r="IU955" s="4"/>
      <c r="JM955" s="4"/>
    </row>
    <row r="956" spans="24:273" ht="12" customHeight="1">
      <c r="X956" s="4"/>
      <c r="AH956" s="4"/>
      <c r="EA956" s="4"/>
      <c r="FX956" s="4"/>
      <c r="HL956" s="4"/>
      <c r="HZ956" s="4"/>
      <c r="IU956" s="4"/>
      <c r="JM956" s="4"/>
    </row>
    <row r="957" spans="24:273" ht="12" customHeight="1">
      <c r="X957" s="4"/>
      <c r="AH957" s="4"/>
      <c r="EA957" s="4"/>
      <c r="FX957" s="4"/>
      <c r="HL957" s="4"/>
      <c r="HZ957" s="4"/>
      <c r="IU957" s="4"/>
      <c r="JM957" s="4"/>
    </row>
    <row r="958" spans="24:273" ht="12" customHeight="1">
      <c r="X958" s="4"/>
      <c r="AH958" s="4"/>
      <c r="EA958" s="4"/>
      <c r="FX958" s="4"/>
      <c r="HL958" s="4"/>
      <c r="HZ958" s="4"/>
      <c r="IU958" s="4"/>
      <c r="JM958" s="4"/>
    </row>
    <row r="959" spans="24:273" ht="12" customHeight="1">
      <c r="X959" s="4"/>
      <c r="AH959" s="4"/>
      <c r="EA959" s="4"/>
      <c r="FX959" s="4"/>
      <c r="HL959" s="4"/>
      <c r="HZ959" s="4"/>
      <c r="IU959" s="4"/>
      <c r="JM959" s="4"/>
    </row>
    <row r="960" spans="24:273" ht="12" customHeight="1">
      <c r="X960" s="4"/>
      <c r="AH960" s="4"/>
      <c r="EA960" s="4"/>
      <c r="FX960" s="4"/>
      <c r="HL960" s="4"/>
      <c r="HZ960" s="4"/>
      <c r="IU960" s="4"/>
      <c r="JM960" s="4"/>
    </row>
    <row r="961" spans="24:273" ht="12" customHeight="1">
      <c r="X961" s="4"/>
      <c r="AH961" s="4"/>
      <c r="EA961" s="4"/>
      <c r="FX961" s="4"/>
      <c r="HL961" s="4"/>
      <c r="HZ961" s="4"/>
      <c r="IU961" s="4"/>
      <c r="JM961" s="4"/>
    </row>
    <row r="962" spans="24:273" ht="12" customHeight="1">
      <c r="X962" s="4"/>
      <c r="AH962" s="4"/>
      <c r="EA962" s="4"/>
      <c r="FX962" s="4"/>
      <c r="HL962" s="4"/>
      <c r="HZ962" s="4"/>
      <c r="IU962" s="4"/>
      <c r="JM962" s="4"/>
    </row>
    <row r="963" spans="24:273" ht="12" customHeight="1">
      <c r="X963" s="4"/>
      <c r="AH963" s="4"/>
      <c r="EA963" s="4"/>
      <c r="FX963" s="4"/>
      <c r="HL963" s="4"/>
      <c r="HZ963" s="4"/>
      <c r="IU963" s="4"/>
      <c r="JM963" s="4"/>
    </row>
    <row r="964" spans="24:273" ht="12" customHeight="1">
      <c r="X964" s="4"/>
      <c r="AH964" s="4"/>
      <c r="EA964" s="4"/>
      <c r="FX964" s="4"/>
      <c r="HL964" s="4"/>
      <c r="HZ964" s="4"/>
      <c r="IU964" s="4"/>
      <c r="JM964" s="4"/>
    </row>
    <row r="965" spans="24:273" ht="12" customHeight="1">
      <c r="X965" s="4"/>
      <c r="AH965" s="4"/>
      <c r="EA965" s="4"/>
      <c r="FX965" s="4"/>
      <c r="HL965" s="4"/>
      <c r="HZ965" s="4"/>
      <c r="IU965" s="4"/>
      <c r="JM965" s="4"/>
    </row>
    <row r="966" spans="24:273" ht="12" customHeight="1">
      <c r="X966" s="4"/>
      <c r="AH966" s="4"/>
      <c r="EA966" s="4"/>
      <c r="FX966" s="4"/>
      <c r="HL966" s="4"/>
      <c r="HZ966" s="4"/>
      <c r="IU966" s="4"/>
      <c r="JM966" s="4"/>
    </row>
    <row r="967" spans="24:273" ht="12" customHeight="1">
      <c r="X967" s="4"/>
      <c r="AH967" s="4"/>
      <c r="EA967" s="4"/>
      <c r="FX967" s="4"/>
      <c r="HL967" s="4"/>
      <c r="HZ967" s="4"/>
      <c r="IU967" s="4"/>
      <c r="JM967" s="4"/>
    </row>
    <row r="968" spans="24:273" ht="12" customHeight="1">
      <c r="X968" s="4"/>
      <c r="AH968" s="4"/>
      <c r="EA968" s="4"/>
      <c r="FX968" s="4"/>
      <c r="HL968" s="4"/>
      <c r="HZ968" s="4"/>
      <c r="IU968" s="4"/>
      <c r="JM968" s="4"/>
    </row>
    <row r="969" spans="24:273" ht="12" customHeight="1">
      <c r="X969" s="4"/>
      <c r="AH969" s="4"/>
      <c r="EA969" s="4"/>
      <c r="FX969" s="4"/>
      <c r="HL969" s="4"/>
      <c r="HZ969" s="4"/>
      <c r="IU969" s="4"/>
      <c r="JM969" s="4"/>
    </row>
    <row r="970" spans="24:273" ht="12" customHeight="1">
      <c r="X970" s="4"/>
      <c r="AH970" s="4"/>
      <c r="EA970" s="4"/>
      <c r="FX970" s="4"/>
      <c r="HL970" s="4"/>
      <c r="HZ970" s="4"/>
      <c r="IU970" s="4"/>
      <c r="JM970" s="4"/>
    </row>
    <row r="971" spans="24:273" ht="12" customHeight="1">
      <c r="X971" s="4"/>
      <c r="AH971" s="4"/>
      <c r="EA971" s="4"/>
      <c r="FX971" s="4"/>
      <c r="HL971" s="4"/>
      <c r="HZ971" s="4"/>
      <c r="IU971" s="4"/>
      <c r="JM971" s="4"/>
    </row>
    <row r="972" spans="24:273" ht="12" customHeight="1">
      <c r="X972" s="4"/>
      <c r="AH972" s="4"/>
      <c r="EA972" s="4"/>
      <c r="FX972" s="4"/>
      <c r="HL972" s="4"/>
      <c r="HZ972" s="4"/>
      <c r="IU972" s="4"/>
      <c r="JM972" s="4"/>
    </row>
    <row r="973" spans="24:273" ht="12" customHeight="1">
      <c r="X973" s="4"/>
      <c r="AH973" s="4"/>
      <c r="EA973" s="4"/>
      <c r="FX973" s="4"/>
      <c r="HL973" s="4"/>
      <c r="HZ973" s="4"/>
      <c r="IU973" s="4"/>
      <c r="JM973" s="4"/>
    </row>
    <row r="974" spans="24:273" ht="12" customHeight="1">
      <c r="X974" s="4"/>
      <c r="AH974" s="4"/>
      <c r="EA974" s="4"/>
      <c r="FX974" s="4"/>
      <c r="HL974" s="4"/>
      <c r="HZ974" s="4"/>
      <c r="IU974" s="4"/>
      <c r="JM974" s="4"/>
    </row>
    <row r="975" spans="24:273" ht="12" customHeight="1">
      <c r="X975" s="4"/>
      <c r="AH975" s="4"/>
      <c r="EA975" s="4"/>
      <c r="FX975" s="4"/>
      <c r="HL975" s="4"/>
      <c r="HZ975" s="4"/>
      <c r="IU975" s="4"/>
      <c r="JM975" s="4"/>
    </row>
    <row r="976" spans="24:273" ht="12" customHeight="1">
      <c r="X976" s="4"/>
      <c r="AH976" s="4"/>
      <c r="EA976" s="4"/>
      <c r="FX976" s="4"/>
      <c r="HL976" s="4"/>
      <c r="HZ976" s="4"/>
      <c r="IU976" s="4"/>
      <c r="JM976" s="4"/>
    </row>
    <row r="977" spans="24:273" ht="12" customHeight="1">
      <c r="X977" s="4"/>
      <c r="AH977" s="4"/>
      <c r="EA977" s="4"/>
      <c r="FX977" s="4"/>
      <c r="HL977" s="4"/>
      <c r="HZ977" s="4"/>
      <c r="IU977" s="4"/>
      <c r="JM977" s="4"/>
    </row>
    <row r="978" spans="24:273" ht="12" customHeight="1">
      <c r="X978" s="4"/>
      <c r="AH978" s="4"/>
      <c r="EA978" s="4"/>
      <c r="FX978" s="4"/>
      <c r="HL978" s="4"/>
      <c r="HZ978" s="4"/>
      <c r="IU978" s="4"/>
      <c r="JM978" s="4"/>
    </row>
    <row r="979" spans="24:273" ht="12" customHeight="1">
      <c r="X979" s="4"/>
      <c r="AH979" s="4"/>
      <c r="EA979" s="4"/>
      <c r="FX979" s="4"/>
      <c r="HL979" s="4"/>
      <c r="HZ979" s="4"/>
      <c r="IU979" s="4"/>
      <c r="JM979" s="4"/>
    </row>
    <row r="980" spans="24:273" ht="12" customHeight="1">
      <c r="X980" s="4"/>
      <c r="AH980" s="4"/>
      <c r="EA980" s="4"/>
      <c r="FX980" s="4"/>
      <c r="HL980" s="4"/>
      <c r="HZ980" s="4"/>
      <c r="IU980" s="4"/>
      <c r="JM980" s="4"/>
    </row>
    <row r="981" spans="24:273" ht="12" customHeight="1">
      <c r="X981" s="4"/>
      <c r="AH981" s="4"/>
      <c r="EA981" s="4"/>
      <c r="FX981" s="4"/>
      <c r="HL981" s="4"/>
      <c r="HZ981" s="4"/>
      <c r="IU981" s="4"/>
      <c r="JM981" s="4"/>
    </row>
    <row r="982" spans="24:273" ht="12" customHeight="1">
      <c r="X982" s="4"/>
      <c r="AH982" s="4"/>
      <c r="EA982" s="4"/>
      <c r="FX982" s="4"/>
      <c r="HL982" s="4"/>
      <c r="HZ982" s="4"/>
      <c r="IU982" s="4"/>
      <c r="JM982" s="4"/>
    </row>
    <row r="983" spans="24:273" ht="12" customHeight="1">
      <c r="X983" s="4"/>
      <c r="AH983" s="4"/>
      <c r="EA983" s="4"/>
      <c r="FX983" s="4"/>
      <c r="HL983" s="4"/>
      <c r="HZ983" s="4"/>
      <c r="IU983" s="4"/>
      <c r="JM983" s="4"/>
    </row>
    <row r="984" spans="24:273" ht="12" customHeight="1">
      <c r="X984" s="4"/>
      <c r="AH984" s="4"/>
      <c r="EA984" s="4"/>
      <c r="FX984" s="4"/>
      <c r="HL984" s="4"/>
      <c r="HZ984" s="4"/>
      <c r="IU984" s="4"/>
      <c r="JM984" s="4"/>
    </row>
    <row r="985" spans="24:273" ht="12" customHeight="1">
      <c r="X985" s="4"/>
      <c r="AH985" s="4"/>
      <c r="EA985" s="4"/>
      <c r="FX985" s="4"/>
      <c r="HL985" s="4"/>
      <c r="HZ985" s="4"/>
      <c r="IU985" s="4"/>
      <c r="JM985" s="4"/>
    </row>
    <row r="986" spans="24:273" ht="12" customHeight="1">
      <c r="X986" s="4"/>
      <c r="AH986" s="4"/>
      <c r="EA986" s="4"/>
      <c r="FX986" s="4"/>
      <c r="HL986" s="4"/>
      <c r="HZ986" s="4"/>
      <c r="IU986" s="4"/>
      <c r="JM986" s="4"/>
    </row>
    <row r="987" spans="24:273" ht="12" customHeight="1">
      <c r="X987" s="4"/>
      <c r="AH987" s="4"/>
      <c r="EA987" s="4"/>
      <c r="FX987" s="4"/>
      <c r="HL987" s="4"/>
      <c r="HZ987" s="4"/>
      <c r="IU987" s="4"/>
      <c r="JM987" s="4"/>
    </row>
    <row r="988" spans="24:273" ht="12" customHeight="1">
      <c r="X988" s="4"/>
      <c r="AH988" s="4"/>
      <c r="EA988" s="4"/>
      <c r="FX988" s="4"/>
      <c r="HL988" s="4"/>
      <c r="HZ988" s="4"/>
      <c r="IU988" s="4"/>
      <c r="JM988" s="4"/>
    </row>
    <row r="989" spans="24:273" ht="12" customHeight="1">
      <c r="X989" s="4"/>
      <c r="AH989" s="4"/>
      <c r="EA989" s="4"/>
      <c r="FX989" s="4"/>
      <c r="HL989" s="4"/>
      <c r="HZ989" s="4"/>
      <c r="IU989" s="4"/>
      <c r="JM989" s="4"/>
    </row>
    <row r="990" spans="24:273" ht="12" customHeight="1">
      <c r="X990" s="4"/>
      <c r="AH990" s="4"/>
      <c r="EA990" s="4"/>
      <c r="FX990" s="4"/>
      <c r="HL990" s="4"/>
      <c r="HZ990" s="4"/>
      <c r="IU990" s="4"/>
      <c r="JM990" s="4"/>
    </row>
    <row r="991" spans="24:273" ht="12" customHeight="1">
      <c r="X991" s="4"/>
      <c r="AH991" s="4"/>
      <c r="EA991" s="4"/>
      <c r="FX991" s="4"/>
      <c r="HL991" s="4"/>
      <c r="HZ991" s="4"/>
      <c r="IU991" s="4"/>
      <c r="JM991" s="4"/>
    </row>
    <row r="992" spans="24:273" ht="12" customHeight="1">
      <c r="X992" s="4"/>
      <c r="AH992" s="4"/>
      <c r="EA992" s="4"/>
      <c r="FX992" s="4"/>
      <c r="HL992" s="4"/>
      <c r="HZ992" s="4"/>
      <c r="IU992" s="4"/>
      <c r="JM992" s="4"/>
    </row>
    <row r="993" spans="24:273" ht="12" customHeight="1">
      <c r="X993" s="4"/>
      <c r="AH993" s="4"/>
      <c r="EA993" s="4"/>
      <c r="FX993" s="4"/>
      <c r="HL993" s="4"/>
      <c r="HZ993" s="4"/>
      <c r="IU993" s="4"/>
      <c r="JM993" s="4"/>
    </row>
    <row r="994" spans="24:273" ht="12" customHeight="1">
      <c r="X994" s="4"/>
      <c r="AH994" s="4"/>
      <c r="EA994" s="4"/>
      <c r="FX994" s="4"/>
      <c r="HL994" s="4"/>
      <c r="HZ994" s="4"/>
      <c r="IU994" s="4"/>
      <c r="JM994" s="4"/>
    </row>
    <row r="995" spans="24:273" ht="12" customHeight="1">
      <c r="X995" s="4"/>
      <c r="AH995" s="4"/>
      <c r="EA995" s="4"/>
      <c r="FX995" s="4"/>
      <c r="HL995" s="4"/>
      <c r="HZ995" s="4"/>
      <c r="IU995" s="4"/>
      <c r="JM995" s="4"/>
    </row>
    <row r="996" spans="24:273" ht="12" customHeight="1">
      <c r="X996" s="4"/>
      <c r="AH996" s="4"/>
      <c r="EA996" s="4"/>
      <c r="FX996" s="4"/>
      <c r="HL996" s="4"/>
      <c r="HZ996" s="4"/>
      <c r="IU996" s="4"/>
      <c r="JM996" s="4"/>
    </row>
    <row r="997" spans="24:273" ht="12" customHeight="1">
      <c r="X997" s="4"/>
      <c r="AH997" s="4"/>
      <c r="EA997" s="4"/>
      <c r="FX997" s="4"/>
      <c r="HL997" s="4"/>
      <c r="HZ997" s="4"/>
      <c r="IU997" s="4"/>
      <c r="JM997" s="4"/>
    </row>
    <row r="998" spans="24:273" ht="12" customHeight="1">
      <c r="X998" s="4"/>
      <c r="AH998" s="4"/>
      <c r="EA998" s="4"/>
      <c r="FX998" s="4"/>
      <c r="HL998" s="4"/>
      <c r="HZ998" s="4"/>
      <c r="IU998" s="4"/>
      <c r="JM998" s="4"/>
    </row>
    <row r="999" spans="24:273" ht="12" customHeight="1">
      <c r="X999" s="4"/>
      <c r="AH999" s="4"/>
      <c r="EA999" s="4"/>
      <c r="FX999" s="4"/>
      <c r="HL999" s="4"/>
      <c r="HZ999" s="4"/>
      <c r="IU999" s="4"/>
      <c r="JM999" s="4"/>
    </row>
    <row r="1000" spans="24:273" ht="12" customHeight="1">
      <c r="X1000" s="4"/>
      <c r="AH1000" s="4"/>
      <c r="EA1000" s="4"/>
      <c r="FX1000" s="4"/>
      <c r="HL1000" s="4"/>
      <c r="HZ1000" s="4"/>
      <c r="IU1000" s="4"/>
      <c r="JM1000" s="4"/>
    </row>
    <row r="1001" spans="24:273" ht="12" customHeight="1">
      <c r="X1001" s="4"/>
      <c r="AH1001" s="4"/>
      <c r="EA1001" s="4"/>
      <c r="FX1001" s="4"/>
      <c r="HL1001" s="4"/>
      <c r="HZ1001" s="4"/>
      <c r="IU1001" s="4"/>
      <c r="JM1001" s="4"/>
    </row>
    <row r="1002" spans="24:273" ht="12" customHeight="1">
      <c r="X1002" s="4"/>
      <c r="AH1002" s="4"/>
      <c r="EA1002" s="4"/>
      <c r="FX1002" s="4"/>
      <c r="HL1002" s="4"/>
      <c r="HZ1002" s="4"/>
      <c r="IU1002" s="4"/>
      <c r="JM1002" s="4"/>
    </row>
    <row r="1003" spans="24:273" ht="12" customHeight="1">
      <c r="X1003" s="4"/>
      <c r="AH1003" s="4"/>
      <c r="EA1003" s="4"/>
      <c r="FX1003" s="4"/>
      <c r="HL1003" s="4"/>
      <c r="HZ1003" s="4"/>
      <c r="IU1003" s="4"/>
      <c r="JM1003" s="4"/>
    </row>
    <row r="1004" spans="24:273" ht="12" customHeight="1">
      <c r="X1004" s="4"/>
      <c r="AH1004" s="4"/>
      <c r="EA1004" s="4"/>
      <c r="FX1004" s="4"/>
      <c r="HL1004" s="4"/>
      <c r="HZ1004" s="4"/>
      <c r="IU1004" s="4"/>
      <c r="JM1004" s="4"/>
    </row>
    <row r="1005" spans="24:273" ht="12" customHeight="1">
      <c r="X1005" s="4"/>
      <c r="AH1005" s="4"/>
      <c r="EA1005" s="4"/>
      <c r="FX1005" s="4"/>
      <c r="HL1005" s="4"/>
      <c r="HZ1005" s="4"/>
      <c r="IU1005" s="4"/>
      <c r="JM1005" s="4"/>
    </row>
    <row r="1006" spans="24:273" ht="12" customHeight="1">
      <c r="X1006" s="4"/>
      <c r="AH1006" s="4"/>
      <c r="EA1006" s="4"/>
      <c r="FX1006" s="4"/>
      <c r="HL1006" s="4"/>
      <c r="HZ1006" s="4"/>
      <c r="IU1006" s="4"/>
      <c r="JM1006" s="4"/>
    </row>
    <row r="1007" spans="24:273" ht="12" customHeight="1">
      <c r="X1007" s="4"/>
      <c r="AH1007" s="4"/>
      <c r="EA1007" s="4"/>
      <c r="FX1007" s="4"/>
      <c r="HL1007" s="4"/>
      <c r="HZ1007" s="4"/>
      <c r="IU1007" s="4"/>
      <c r="JM1007" s="4"/>
    </row>
    <row r="1008" spans="24:273" ht="12" customHeight="1">
      <c r="X1008" s="4"/>
      <c r="AH1008" s="4"/>
      <c r="EA1008" s="4"/>
      <c r="FX1008" s="4"/>
      <c r="HL1008" s="4"/>
      <c r="HZ1008" s="4"/>
      <c r="IU1008" s="4"/>
      <c r="JM1008" s="4"/>
    </row>
    <row r="1009" spans="24:273" ht="12" customHeight="1">
      <c r="X1009" s="4"/>
      <c r="AH1009" s="4"/>
      <c r="EA1009" s="4"/>
      <c r="FX1009" s="4"/>
      <c r="HL1009" s="4"/>
      <c r="HZ1009" s="4"/>
      <c r="IU1009" s="4"/>
      <c r="JM1009" s="4"/>
    </row>
    <row r="1010" spans="24:273" ht="12" customHeight="1">
      <c r="X1010" s="4"/>
      <c r="AH1010" s="4"/>
      <c r="EA1010" s="4"/>
      <c r="FX1010" s="4"/>
      <c r="HL1010" s="4"/>
      <c r="HZ1010" s="4"/>
      <c r="IU1010" s="4"/>
      <c r="JM1010" s="4"/>
    </row>
    <row r="1011" spans="24:273" ht="12" customHeight="1">
      <c r="X1011" s="4"/>
      <c r="AH1011" s="4"/>
      <c r="EA1011" s="4"/>
      <c r="FX1011" s="4"/>
      <c r="HL1011" s="4"/>
      <c r="HZ1011" s="4"/>
      <c r="IU1011" s="4"/>
      <c r="JM1011" s="4"/>
    </row>
    <row r="1012" spans="24:273" ht="12" customHeight="1">
      <c r="X1012" s="4"/>
      <c r="AH1012" s="4"/>
      <c r="EA1012" s="4"/>
      <c r="FX1012" s="4"/>
      <c r="HL1012" s="4"/>
      <c r="HZ1012" s="4"/>
      <c r="IU1012" s="4"/>
      <c r="JM1012" s="4"/>
    </row>
    <row r="1013" spans="24:273" ht="12" customHeight="1">
      <c r="X1013" s="4"/>
      <c r="AH1013" s="4"/>
      <c r="EA1013" s="4"/>
      <c r="FX1013" s="4"/>
      <c r="HL1013" s="4"/>
      <c r="HZ1013" s="4"/>
      <c r="IU1013" s="4"/>
      <c r="JM1013" s="4"/>
    </row>
    <row r="1014" spans="24:273" ht="12" customHeight="1">
      <c r="X1014" s="4"/>
      <c r="AH1014" s="4"/>
      <c r="EA1014" s="4"/>
      <c r="FX1014" s="4"/>
      <c r="HL1014" s="4"/>
      <c r="HZ1014" s="4"/>
      <c r="IU1014" s="4"/>
      <c r="JM1014" s="4"/>
    </row>
    <row r="1015" spans="24:273" ht="12" customHeight="1">
      <c r="X1015" s="4"/>
      <c r="AH1015" s="4"/>
      <c r="EA1015" s="4"/>
      <c r="FX1015" s="4"/>
      <c r="HL1015" s="4"/>
      <c r="HZ1015" s="4"/>
      <c r="IU1015" s="4"/>
      <c r="JM1015" s="4"/>
    </row>
    <row r="1016" spans="24:273" ht="12" customHeight="1">
      <c r="X1016" s="4"/>
      <c r="AH1016" s="4"/>
      <c r="EA1016" s="4"/>
      <c r="FX1016" s="4"/>
      <c r="HL1016" s="4"/>
      <c r="HZ1016" s="4"/>
      <c r="IU1016" s="4"/>
      <c r="JM1016" s="4"/>
    </row>
    <row r="1017" spans="24:273" ht="12" customHeight="1">
      <c r="X1017" s="4"/>
      <c r="AH1017" s="4"/>
      <c r="EA1017" s="4"/>
      <c r="FX1017" s="4"/>
      <c r="HL1017" s="4"/>
      <c r="HZ1017" s="4"/>
      <c r="IU1017" s="4"/>
      <c r="JM1017" s="4"/>
    </row>
    <row r="1018" spans="24:273" ht="12" customHeight="1">
      <c r="X1018" s="4"/>
      <c r="AH1018" s="4"/>
      <c r="EA1018" s="4"/>
      <c r="FX1018" s="4"/>
      <c r="HL1018" s="4"/>
      <c r="HZ1018" s="4"/>
      <c r="IU1018" s="4"/>
      <c r="JM1018" s="4"/>
    </row>
    <row r="1019" spans="24:273" ht="12" customHeight="1">
      <c r="X1019" s="4"/>
      <c r="AH1019" s="4"/>
      <c r="EA1019" s="4"/>
      <c r="FX1019" s="4"/>
      <c r="HL1019" s="4"/>
      <c r="HZ1019" s="4"/>
      <c r="IU1019" s="4"/>
      <c r="JM1019" s="4"/>
    </row>
    <row r="1020" spans="24:273" ht="12" customHeight="1">
      <c r="X1020" s="4"/>
      <c r="AH1020" s="4"/>
      <c r="EA1020" s="4"/>
      <c r="FX1020" s="4"/>
      <c r="HL1020" s="4"/>
      <c r="HZ1020" s="4"/>
      <c r="IU1020" s="4"/>
      <c r="JM1020" s="4"/>
    </row>
    <row r="1021" spans="24:273" ht="12" customHeight="1">
      <c r="X1021" s="4"/>
      <c r="AH1021" s="4"/>
      <c r="EA1021" s="4"/>
      <c r="FX1021" s="4"/>
      <c r="HL1021" s="4"/>
      <c r="HZ1021" s="4"/>
      <c r="IU1021" s="4"/>
      <c r="JM1021" s="4"/>
    </row>
    <row r="1022" spans="24:273" ht="12" customHeight="1">
      <c r="X1022" s="4"/>
      <c r="AH1022" s="4"/>
      <c r="EA1022" s="4"/>
      <c r="FX1022" s="4"/>
      <c r="HL1022" s="4"/>
      <c r="HZ1022" s="4"/>
      <c r="IU1022" s="4"/>
      <c r="JM1022" s="4"/>
    </row>
    <row r="1023" spans="24:273" ht="12" customHeight="1">
      <c r="X1023" s="4"/>
      <c r="AH1023" s="4"/>
      <c r="EA1023" s="4"/>
      <c r="FX1023" s="4"/>
      <c r="HL1023" s="4"/>
      <c r="HZ1023" s="4"/>
      <c r="IU1023" s="4"/>
      <c r="JM1023" s="4"/>
    </row>
    <row r="1024" spans="24:273" ht="12" customHeight="1">
      <c r="X1024" s="4"/>
      <c r="AH1024" s="4"/>
      <c r="EA1024" s="4"/>
      <c r="FX1024" s="4"/>
      <c r="HL1024" s="4"/>
      <c r="HZ1024" s="4"/>
      <c r="IU1024" s="4"/>
      <c r="JM1024" s="4"/>
    </row>
    <row r="1025" spans="24:273" ht="12" customHeight="1">
      <c r="X1025" s="4"/>
      <c r="AH1025" s="4"/>
      <c r="EA1025" s="4"/>
      <c r="FX1025" s="4"/>
      <c r="HL1025" s="4"/>
      <c r="HZ1025" s="4"/>
      <c r="IU1025" s="4"/>
      <c r="JM1025" s="4"/>
    </row>
    <row r="1026" spans="24:273" ht="12" customHeight="1">
      <c r="X1026" s="4"/>
      <c r="AH1026" s="4"/>
      <c r="EA1026" s="4"/>
      <c r="FX1026" s="4"/>
      <c r="HL1026" s="4"/>
      <c r="HZ1026" s="4"/>
      <c r="IU1026" s="4"/>
      <c r="JM1026" s="4"/>
    </row>
    <row r="1027" spans="24:273" ht="12" customHeight="1">
      <c r="X1027" s="4"/>
      <c r="AH1027" s="4"/>
      <c r="EA1027" s="4"/>
      <c r="FX1027" s="4"/>
      <c r="HL1027" s="4"/>
      <c r="HZ1027" s="4"/>
      <c r="IU1027" s="4"/>
      <c r="JM1027" s="4"/>
    </row>
    <row r="1028" spans="24:273" ht="12" customHeight="1">
      <c r="X1028" s="4"/>
      <c r="AH1028" s="4"/>
      <c r="EA1028" s="4"/>
      <c r="FX1028" s="4"/>
      <c r="HL1028" s="4"/>
      <c r="HZ1028" s="4"/>
      <c r="IU1028" s="4"/>
      <c r="JM1028" s="4"/>
    </row>
    <row r="1029" spans="24:273" ht="12" customHeight="1">
      <c r="X1029" s="4"/>
      <c r="AH1029" s="4"/>
      <c r="EA1029" s="4"/>
      <c r="FX1029" s="4"/>
      <c r="HL1029" s="4"/>
      <c r="HZ1029" s="4"/>
      <c r="IU1029" s="4"/>
      <c r="JM1029" s="4"/>
    </row>
    <row r="1030" spans="24:273" ht="12" customHeight="1">
      <c r="X1030" s="4"/>
      <c r="AH1030" s="4"/>
      <c r="EA1030" s="4"/>
      <c r="FX1030" s="4"/>
      <c r="HL1030" s="4"/>
      <c r="HZ1030" s="4"/>
      <c r="IU1030" s="4"/>
      <c r="JM1030" s="4"/>
    </row>
    <row r="1031" spans="24:273" ht="12" customHeight="1">
      <c r="X1031" s="4"/>
      <c r="AH1031" s="4"/>
      <c r="EA1031" s="4"/>
      <c r="FX1031" s="4"/>
      <c r="HL1031" s="4"/>
      <c r="HZ1031" s="4"/>
      <c r="IU1031" s="4"/>
      <c r="JM1031" s="4"/>
    </row>
    <row r="1032" spans="24:273" ht="12" customHeight="1">
      <c r="X1032" s="4"/>
      <c r="AH1032" s="4"/>
      <c r="EA1032" s="4"/>
      <c r="FX1032" s="4"/>
      <c r="HL1032" s="4"/>
      <c r="HZ1032" s="4"/>
      <c r="IU1032" s="4"/>
      <c r="JM1032" s="4"/>
    </row>
    <row r="1033" spans="24:273" ht="12" customHeight="1">
      <c r="X1033" s="4"/>
      <c r="AH1033" s="4"/>
      <c r="EA1033" s="4"/>
      <c r="FX1033" s="4"/>
      <c r="HL1033" s="4"/>
      <c r="HZ1033" s="4"/>
      <c r="IU1033" s="4"/>
      <c r="JM1033" s="4"/>
    </row>
    <row r="1034" spans="24:273" ht="12" customHeight="1">
      <c r="X1034" s="4"/>
      <c r="AH1034" s="4"/>
      <c r="EA1034" s="4"/>
      <c r="FX1034" s="4"/>
      <c r="HL1034" s="4"/>
      <c r="HZ1034" s="4"/>
      <c r="IU1034" s="4"/>
      <c r="JM1034" s="4"/>
    </row>
    <row r="1035" spans="24:273" ht="12" customHeight="1">
      <c r="X1035" s="4"/>
      <c r="AH1035" s="4"/>
      <c r="EA1035" s="4"/>
      <c r="FX1035" s="4"/>
      <c r="HL1035" s="4"/>
      <c r="HZ1035" s="4"/>
      <c r="IU1035" s="4"/>
      <c r="JM1035" s="4"/>
    </row>
    <row r="1036" spans="24:273" ht="12" customHeight="1">
      <c r="X1036" s="4"/>
      <c r="AH1036" s="4"/>
      <c r="EA1036" s="4"/>
      <c r="FX1036" s="4"/>
      <c r="HL1036" s="4"/>
      <c r="HZ1036" s="4"/>
      <c r="IU1036" s="4"/>
      <c r="JM1036" s="4"/>
    </row>
    <row r="1037" spans="24:273" ht="12" customHeight="1">
      <c r="X1037" s="4"/>
      <c r="AH1037" s="4"/>
      <c r="EA1037" s="4"/>
      <c r="FX1037" s="4"/>
      <c r="HL1037" s="4"/>
      <c r="HZ1037" s="4"/>
      <c r="IU1037" s="4"/>
      <c r="JM1037" s="4"/>
    </row>
    <row r="1038" spans="24:273" ht="12" customHeight="1">
      <c r="X1038" s="4"/>
      <c r="AH1038" s="4"/>
      <c r="EA1038" s="4"/>
      <c r="FX1038" s="4"/>
      <c r="HL1038" s="4"/>
      <c r="HZ1038" s="4"/>
      <c r="IU1038" s="4"/>
      <c r="JM1038" s="4"/>
    </row>
    <row r="1039" spans="24:273" ht="12" customHeight="1">
      <c r="X1039" s="4"/>
      <c r="AH1039" s="4"/>
      <c r="EA1039" s="4"/>
      <c r="FX1039" s="4"/>
      <c r="HL1039" s="4"/>
      <c r="HZ1039" s="4"/>
      <c r="IU1039" s="4"/>
      <c r="JM1039" s="4"/>
    </row>
    <row r="1040" spans="24:273" ht="12" customHeight="1">
      <c r="X1040" s="4"/>
      <c r="AH1040" s="4"/>
      <c r="EA1040" s="4"/>
      <c r="FX1040" s="4"/>
      <c r="HL1040" s="4"/>
      <c r="HZ1040" s="4"/>
      <c r="IU1040" s="4"/>
      <c r="JM1040" s="4"/>
    </row>
    <row r="1041" spans="24:273" ht="12" customHeight="1">
      <c r="X1041" s="4"/>
      <c r="AH1041" s="4"/>
      <c r="EA1041" s="4"/>
      <c r="FX1041" s="4"/>
      <c r="HL1041" s="4"/>
      <c r="HZ1041" s="4"/>
      <c r="IU1041" s="4"/>
      <c r="JM1041" s="4"/>
    </row>
    <row r="1042" spans="24:273" ht="12" customHeight="1">
      <c r="X1042" s="4"/>
      <c r="AH1042" s="4"/>
      <c r="EA1042" s="4"/>
      <c r="FX1042" s="4"/>
      <c r="HL1042" s="4"/>
      <c r="HZ1042" s="4"/>
      <c r="IU1042" s="4"/>
      <c r="JM1042" s="4"/>
    </row>
    <row r="1043" spans="24:273" ht="12" customHeight="1">
      <c r="X1043" s="4"/>
      <c r="AH1043" s="4"/>
      <c r="EA1043" s="4"/>
      <c r="FX1043" s="4"/>
      <c r="HL1043" s="4"/>
      <c r="HZ1043" s="4"/>
      <c r="IU1043" s="4"/>
      <c r="JM1043" s="4"/>
    </row>
    <row r="1044" spans="24:273" ht="12" customHeight="1">
      <c r="X1044" s="4"/>
      <c r="AH1044" s="4"/>
      <c r="EA1044" s="4"/>
      <c r="FX1044" s="4"/>
      <c r="HL1044" s="4"/>
      <c r="HZ1044" s="4"/>
      <c r="IU1044" s="4"/>
      <c r="JM1044" s="4"/>
    </row>
    <row r="1045" spans="24:273" ht="12" customHeight="1">
      <c r="X1045" s="4"/>
      <c r="AH1045" s="4"/>
      <c r="EA1045" s="4"/>
      <c r="FX1045" s="4"/>
      <c r="HL1045" s="4"/>
      <c r="HZ1045" s="4"/>
      <c r="IU1045" s="4"/>
      <c r="JM1045" s="4"/>
    </row>
    <row r="1046" spans="24:273" ht="12" customHeight="1">
      <c r="X1046" s="4"/>
      <c r="AH1046" s="4"/>
      <c r="EA1046" s="4"/>
      <c r="FX1046" s="4"/>
      <c r="HL1046" s="4"/>
      <c r="HZ1046" s="4"/>
      <c r="IU1046" s="4"/>
      <c r="JM1046" s="4"/>
    </row>
    <row r="1047" spans="24:273" ht="12" customHeight="1">
      <c r="X1047" s="4"/>
      <c r="AH1047" s="4"/>
      <c r="EA1047" s="4"/>
      <c r="FX1047" s="4"/>
      <c r="HL1047" s="4"/>
      <c r="HZ1047" s="4"/>
      <c r="IU1047" s="4"/>
      <c r="JM1047" s="4"/>
    </row>
    <row r="1048" spans="24:273" ht="12" customHeight="1">
      <c r="X1048" s="4"/>
      <c r="AH1048" s="4"/>
      <c r="EA1048" s="4"/>
      <c r="FX1048" s="4"/>
      <c r="HL1048" s="4"/>
      <c r="HZ1048" s="4"/>
      <c r="IU1048" s="4"/>
      <c r="JM1048" s="4"/>
    </row>
    <row r="1049" spans="24:273" ht="12" customHeight="1">
      <c r="X1049" s="4"/>
      <c r="AH1049" s="4"/>
      <c r="EA1049" s="4"/>
      <c r="FX1049" s="4"/>
      <c r="HL1049" s="4"/>
      <c r="HZ1049" s="4"/>
      <c r="IU1049" s="4"/>
      <c r="JM1049" s="4"/>
    </row>
    <row r="1050" spans="24:273" ht="12" customHeight="1">
      <c r="X1050" s="4"/>
      <c r="AH1050" s="4"/>
      <c r="EA1050" s="4"/>
      <c r="FX1050" s="4"/>
      <c r="HL1050" s="4"/>
      <c r="HZ1050" s="4"/>
      <c r="IU1050" s="4"/>
      <c r="JM1050" s="4"/>
    </row>
    <row r="1051" spans="24:273" ht="12" customHeight="1">
      <c r="X1051" s="4"/>
      <c r="AH1051" s="4"/>
      <c r="EA1051" s="4"/>
      <c r="FX1051" s="4"/>
      <c r="HL1051" s="4"/>
      <c r="HZ1051" s="4"/>
      <c r="IU1051" s="4"/>
      <c r="JM1051" s="4"/>
    </row>
    <row r="1052" spans="24:273" ht="12" customHeight="1">
      <c r="X1052" s="4"/>
      <c r="AH1052" s="4"/>
      <c r="EA1052" s="4"/>
      <c r="FX1052" s="4"/>
      <c r="HL1052" s="4"/>
      <c r="HZ1052" s="4"/>
      <c r="IU1052" s="4"/>
      <c r="JM1052" s="4"/>
    </row>
    <row r="1053" spans="24:273" ht="12" customHeight="1">
      <c r="X1053" s="4"/>
      <c r="AH1053" s="4"/>
      <c r="EA1053" s="4"/>
      <c r="FX1053" s="4"/>
      <c r="HL1053" s="4"/>
      <c r="HZ1053" s="4"/>
      <c r="IU1053" s="4"/>
      <c r="JM1053" s="4"/>
    </row>
    <row r="1054" spans="24:273" ht="12" customHeight="1">
      <c r="X1054" s="4"/>
      <c r="AH1054" s="4"/>
      <c r="EA1054" s="4"/>
      <c r="FX1054" s="4"/>
      <c r="HL1054" s="4"/>
      <c r="HZ1054" s="4"/>
      <c r="IU1054" s="4"/>
      <c r="JM1054" s="4"/>
    </row>
    <row r="1055" spans="24:273" ht="12" customHeight="1">
      <c r="X1055" s="4"/>
      <c r="AH1055" s="4"/>
      <c r="EA1055" s="4"/>
      <c r="FX1055" s="4"/>
      <c r="HL1055" s="4"/>
      <c r="HZ1055" s="4"/>
      <c r="IU1055" s="4"/>
      <c r="JM1055" s="4"/>
    </row>
    <row r="1056" spans="24:273" ht="12" customHeight="1">
      <c r="X1056" s="4"/>
      <c r="AH1056" s="4"/>
      <c r="EA1056" s="4"/>
      <c r="FX1056" s="4"/>
      <c r="HL1056" s="4"/>
      <c r="HZ1056" s="4"/>
      <c r="IU1056" s="4"/>
      <c r="JM1056" s="4"/>
    </row>
    <row r="1057" spans="24:273" ht="12" customHeight="1">
      <c r="X1057" s="4"/>
      <c r="AH1057" s="4"/>
      <c r="EA1057" s="4"/>
      <c r="FX1057" s="4"/>
      <c r="HL1057" s="4"/>
      <c r="HZ1057" s="4"/>
      <c r="IU1057" s="4"/>
      <c r="JM1057" s="4"/>
    </row>
    <row r="1058" spans="24:273" ht="12" customHeight="1">
      <c r="X1058" s="4"/>
      <c r="AH1058" s="4"/>
      <c r="EA1058" s="4"/>
      <c r="FX1058" s="4"/>
      <c r="HL1058" s="4"/>
      <c r="HZ1058" s="4"/>
      <c r="IU1058" s="4"/>
      <c r="JM1058" s="4"/>
    </row>
    <row r="1059" spans="24:273" ht="12" customHeight="1">
      <c r="X1059" s="4"/>
      <c r="AH1059" s="4"/>
      <c r="EA1059" s="4"/>
      <c r="FX1059" s="4"/>
      <c r="HL1059" s="4"/>
      <c r="HZ1059" s="4"/>
      <c r="IU1059" s="4"/>
      <c r="JM1059" s="4"/>
    </row>
    <row r="1060" spans="24:273" ht="12" customHeight="1">
      <c r="X1060" s="4"/>
      <c r="AH1060" s="4"/>
      <c r="EA1060" s="4"/>
      <c r="FX1060" s="4"/>
      <c r="HL1060" s="4"/>
      <c r="HZ1060" s="4"/>
      <c r="IU1060" s="4"/>
      <c r="JM1060" s="4"/>
    </row>
    <row r="1061" spans="24:273" ht="12" customHeight="1">
      <c r="X1061" s="4"/>
      <c r="AH1061" s="4"/>
      <c r="EA1061" s="4"/>
      <c r="FX1061" s="4"/>
      <c r="HL1061" s="4"/>
      <c r="HZ1061" s="4"/>
      <c r="IU1061" s="4"/>
      <c r="JM1061" s="4"/>
    </row>
    <row r="1062" spans="24:273" ht="12" customHeight="1">
      <c r="X1062" s="4"/>
      <c r="AH1062" s="4"/>
      <c r="EA1062" s="4"/>
      <c r="FX1062" s="4"/>
      <c r="HL1062" s="4"/>
      <c r="HZ1062" s="4"/>
      <c r="IU1062" s="4"/>
      <c r="JM1062" s="4"/>
    </row>
    <row r="1063" spans="24:273" ht="12" customHeight="1">
      <c r="X1063" s="4"/>
      <c r="AH1063" s="4"/>
      <c r="EA1063" s="4"/>
      <c r="FX1063" s="4"/>
      <c r="HL1063" s="4"/>
      <c r="HZ1063" s="4"/>
      <c r="IU1063" s="4"/>
      <c r="JM1063" s="4"/>
    </row>
    <row r="1064" spans="24:273" ht="12" customHeight="1">
      <c r="X1064" s="4"/>
      <c r="AH1064" s="4"/>
      <c r="EA1064" s="4"/>
      <c r="FX1064" s="4"/>
      <c r="HL1064" s="4"/>
      <c r="HZ1064" s="4"/>
      <c r="IU1064" s="4"/>
      <c r="JM1064" s="4"/>
    </row>
    <row r="1065" spans="24:273" ht="12" customHeight="1">
      <c r="X1065" s="4"/>
      <c r="AH1065" s="4"/>
      <c r="EA1065" s="4"/>
      <c r="FX1065" s="4"/>
      <c r="HL1065" s="4"/>
      <c r="HZ1065" s="4"/>
      <c r="IU1065" s="4"/>
      <c r="JM1065" s="4"/>
    </row>
    <row r="1066" spans="24:273" ht="12" customHeight="1">
      <c r="X1066" s="4"/>
      <c r="AH1066" s="4"/>
      <c r="EA1066" s="4"/>
      <c r="FX1066" s="4"/>
      <c r="HL1066" s="4"/>
      <c r="HZ1066" s="4"/>
      <c r="IU1066" s="4"/>
      <c r="JM1066" s="4"/>
    </row>
    <row r="1067" spans="24:273" ht="12" customHeight="1">
      <c r="X1067" s="4"/>
      <c r="AH1067" s="4"/>
      <c r="EA1067" s="4"/>
      <c r="FX1067" s="4"/>
      <c r="HL1067" s="4"/>
      <c r="HZ1067" s="4"/>
      <c r="IU1067" s="4"/>
      <c r="JM1067" s="4"/>
    </row>
    <row r="1068" spans="24:273" ht="12" customHeight="1">
      <c r="X1068" s="4"/>
      <c r="AH1068" s="4"/>
      <c r="EA1068" s="4"/>
      <c r="FX1068" s="4"/>
      <c r="HL1068" s="4"/>
      <c r="HZ1068" s="4"/>
      <c r="IU1068" s="4"/>
      <c r="JM1068" s="4"/>
    </row>
    <row r="1069" spans="24:273" ht="12" customHeight="1">
      <c r="X1069" s="4"/>
      <c r="AH1069" s="4"/>
      <c r="EA1069" s="4"/>
      <c r="FX1069" s="4"/>
      <c r="HL1069" s="4"/>
      <c r="HZ1069" s="4"/>
      <c r="IU1069" s="4"/>
      <c r="JM1069" s="4"/>
    </row>
    <row r="1070" spans="24:273" ht="12" customHeight="1">
      <c r="X1070" s="4"/>
      <c r="AH1070" s="4"/>
      <c r="EA1070" s="4"/>
      <c r="FX1070" s="4"/>
      <c r="HL1070" s="4"/>
      <c r="HZ1070" s="4"/>
      <c r="IU1070" s="4"/>
      <c r="JM1070" s="4"/>
    </row>
    <row r="1071" spans="24:273" ht="12" customHeight="1">
      <c r="X1071" s="4"/>
      <c r="AH1071" s="4"/>
      <c r="EA1071" s="4"/>
      <c r="FX1071" s="4"/>
      <c r="HL1071" s="4"/>
      <c r="HZ1071" s="4"/>
      <c r="IU1071" s="4"/>
      <c r="JM1071" s="4"/>
    </row>
    <row r="1072" spans="24:273" ht="12" customHeight="1">
      <c r="X1072" s="4"/>
      <c r="AH1072" s="4"/>
      <c r="EA1072" s="4"/>
      <c r="FX1072" s="4"/>
      <c r="HL1072" s="4"/>
      <c r="HZ1072" s="4"/>
      <c r="IU1072" s="4"/>
      <c r="JM1072" s="4"/>
    </row>
    <row r="1073" spans="24:273" ht="12" customHeight="1">
      <c r="X1073" s="4"/>
      <c r="AH1073" s="4"/>
      <c r="EA1073" s="4"/>
      <c r="FX1073" s="4"/>
      <c r="HL1073" s="4"/>
      <c r="HZ1073" s="4"/>
      <c r="IU1073" s="4"/>
      <c r="JM1073" s="4"/>
    </row>
    <row r="1074" spans="24:273" ht="12" customHeight="1">
      <c r="X1074" s="4"/>
      <c r="AH1074" s="4"/>
      <c r="EA1074" s="4"/>
      <c r="FX1074" s="4"/>
      <c r="HL1074" s="4"/>
      <c r="HZ1074" s="4"/>
      <c r="IU1074" s="4"/>
      <c r="JM1074" s="4"/>
    </row>
    <row r="1075" spans="24:273" ht="12" customHeight="1">
      <c r="X1075" s="4"/>
      <c r="AH1075" s="4"/>
      <c r="EA1075" s="4"/>
      <c r="FX1075" s="4"/>
      <c r="HL1075" s="4"/>
      <c r="HZ1075" s="4"/>
      <c r="IU1075" s="4"/>
      <c r="JM1075" s="4"/>
    </row>
    <row r="1076" spans="24:273" ht="12" customHeight="1">
      <c r="X1076" s="4"/>
      <c r="AH1076" s="4"/>
      <c r="EA1076" s="4"/>
      <c r="FX1076" s="4"/>
      <c r="HL1076" s="4"/>
      <c r="HZ1076" s="4"/>
      <c r="IU1076" s="4"/>
      <c r="JM1076" s="4"/>
    </row>
    <row r="1077" spans="24:273" ht="12" customHeight="1">
      <c r="X1077" s="4"/>
      <c r="AH1077" s="4"/>
      <c r="EA1077" s="4"/>
      <c r="FX1077" s="4"/>
      <c r="HL1077" s="4"/>
      <c r="HZ1077" s="4"/>
      <c r="IU1077" s="4"/>
      <c r="JM1077" s="4"/>
    </row>
    <row r="1078" spans="24:273" ht="12" customHeight="1">
      <c r="X1078" s="4"/>
      <c r="AH1078" s="4"/>
      <c r="EA1078" s="4"/>
      <c r="FX1078" s="4"/>
      <c r="HL1078" s="4"/>
      <c r="HZ1078" s="4"/>
      <c r="IU1078" s="4"/>
      <c r="JM1078" s="4"/>
    </row>
    <row r="1079" spans="24:273" ht="12" customHeight="1">
      <c r="X1079" s="4"/>
      <c r="AH1079" s="4"/>
      <c r="EA1079" s="4"/>
      <c r="FX1079" s="4"/>
      <c r="HL1079" s="4"/>
      <c r="HZ1079" s="4"/>
      <c r="IU1079" s="4"/>
      <c r="JM1079" s="4"/>
    </row>
    <row r="1080" spans="24:273" ht="12" customHeight="1">
      <c r="X1080" s="4"/>
      <c r="AH1080" s="4"/>
      <c r="EA1080" s="4"/>
      <c r="FX1080" s="4"/>
      <c r="HL1080" s="4"/>
      <c r="HZ1080" s="4"/>
      <c r="IU1080" s="4"/>
      <c r="JM1080" s="4"/>
    </row>
    <row r="1081" spans="24:273" ht="12" customHeight="1">
      <c r="X1081" s="4"/>
      <c r="AH1081" s="4"/>
      <c r="EA1081" s="4"/>
      <c r="FX1081" s="4"/>
      <c r="HL1081" s="4"/>
      <c r="HZ1081" s="4"/>
      <c r="IU1081" s="4"/>
      <c r="JM1081" s="4"/>
    </row>
    <row r="1082" spans="24:273" ht="12" customHeight="1">
      <c r="X1082" s="4"/>
      <c r="AH1082" s="4"/>
      <c r="EA1082" s="4"/>
      <c r="FX1082" s="4"/>
      <c r="HL1082" s="4"/>
      <c r="HZ1082" s="4"/>
      <c r="IU1082" s="4"/>
      <c r="JM1082" s="4"/>
    </row>
    <row r="1083" spans="24:273" ht="12" customHeight="1">
      <c r="X1083" s="4"/>
      <c r="AH1083" s="4"/>
      <c r="EA1083" s="4"/>
      <c r="FX1083" s="4"/>
      <c r="HL1083" s="4"/>
      <c r="HZ1083" s="4"/>
      <c r="IU1083" s="4"/>
      <c r="JM1083" s="4"/>
    </row>
    <row r="1084" spans="24:273" ht="12" customHeight="1">
      <c r="X1084" s="4"/>
      <c r="AH1084" s="4"/>
      <c r="EA1084" s="4"/>
      <c r="FX1084" s="4"/>
      <c r="HL1084" s="4"/>
      <c r="HZ1084" s="4"/>
      <c r="IU1084" s="4"/>
      <c r="JM1084" s="4"/>
    </row>
    <row r="1085" spans="24:273" ht="12" customHeight="1">
      <c r="X1085" s="4"/>
      <c r="AH1085" s="4"/>
      <c r="EA1085" s="4"/>
      <c r="FX1085" s="4"/>
      <c r="HL1085" s="4"/>
      <c r="HZ1085" s="4"/>
      <c r="IU1085" s="4"/>
      <c r="JM1085" s="4"/>
    </row>
    <row r="1086" spans="24:273" ht="12" customHeight="1">
      <c r="X1086" s="4"/>
      <c r="AH1086" s="4"/>
      <c r="EA1086" s="4"/>
      <c r="FX1086" s="4"/>
      <c r="HL1086" s="4"/>
      <c r="HZ1086" s="4"/>
      <c r="IU1086" s="4"/>
      <c r="JM1086" s="4"/>
    </row>
    <row r="1087" spans="24:273" ht="12" customHeight="1">
      <c r="X1087" s="4"/>
      <c r="AH1087" s="4"/>
      <c r="EA1087" s="4"/>
      <c r="FX1087" s="4"/>
      <c r="HL1087" s="4"/>
      <c r="HZ1087" s="4"/>
      <c r="IU1087" s="4"/>
      <c r="JM1087" s="4"/>
    </row>
    <row r="1088" spans="24:273" ht="12" customHeight="1">
      <c r="X1088" s="4"/>
      <c r="AH1088" s="4"/>
      <c r="EA1088" s="4"/>
      <c r="FX1088" s="4"/>
      <c r="HL1088" s="4"/>
      <c r="HZ1088" s="4"/>
      <c r="IU1088" s="4"/>
      <c r="JM1088" s="4"/>
    </row>
    <row r="1089" spans="24:273" ht="12" customHeight="1">
      <c r="X1089" s="4"/>
      <c r="AH1089" s="4"/>
      <c r="EA1089" s="4"/>
      <c r="FX1089" s="4"/>
      <c r="HL1089" s="4"/>
      <c r="HZ1089" s="4"/>
      <c r="IU1089" s="4"/>
      <c r="JM1089" s="4"/>
    </row>
    <row r="1090" spans="24:273" ht="12" customHeight="1">
      <c r="X1090" s="4"/>
      <c r="AH1090" s="4"/>
      <c r="EA1090" s="4"/>
      <c r="FX1090" s="4"/>
      <c r="HL1090" s="4"/>
      <c r="HZ1090" s="4"/>
      <c r="IU1090" s="4"/>
      <c r="JM1090" s="4"/>
    </row>
    <row r="1091" spans="24:273" ht="12" customHeight="1">
      <c r="X1091" s="4"/>
      <c r="AH1091" s="4"/>
      <c r="EA1091" s="4"/>
      <c r="FX1091" s="4"/>
      <c r="HL1091" s="4"/>
      <c r="HZ1091" s="4"/>
      <c r="IU1091" s="4"/>
      <c r="JM1091" s="4"/>
    </row>
    <row r="1092" spans="24:273" ht="12" customHeight="1">
      <c r="X1092" s="4"/>
      <c r="AH1092" s="4"/>
      <c r="EA1092" s="4"/>
      <c r="FX1092" s="4"/>
      <c r="HL1092" s="4"/>
      <c r="HZ1092" s="4"/>
      <c r="IU1092" s="4"/>
      <c r="JM1092" s="4"/>
    </row>
    <row r="1093" spans="24:273" ht="12" customHeight="1">
      <c r="X1093" s="4"/>
      <c r="AH1093" s="4"/>
      <c r="EA1093" s="4"/>
      <c r="FX1093" s="4"/>
      <c r="HL1093" s="4"/>
      <c r="HZ1093" s="4"/>
      <c r="IU1093" s="4"/>
      <c r="JM1093" s="4"/>
    </row>
    <row r="1094" spans="24:273" ht="12" customHeight="1">
      <c r="X1094" s="4"/>
      <c r="AH1094" s="4"/>
      <c r="EA1094" s="4"/>
      <c r="FX1094" s="4"/>
      <c r="HL1094" s="4"/>
      <c r="HZ1094" s="4"/>
      <c r="IU1094" s="4"/>
      <c r="JM1094" s="4"/>
    </row>
    <row r="1095" spans="24:273" ht="12" customHeight="1">
      <c r="X1095" s="4"/>
      <c r="AH1095" s="4"/>
      <c r="EA1095" s="4"/>
      <c r="FX1095" s="4"/>
      <c r="HL1095" s="4"/>
      <c r="HZ1095" s="4"/>
      <c r="IU1095" s="4"/>
      <c r="JM1095" s="4"/>
    </row>
    <row r="1096" spans="24:273" ht="12" customHeight="1">
      <c r="X1096" s="4"/>
      <c r="AH1096" s="4"/>
      <c r="EA1096" s="4"/>
      <c r="FX1096" s="4"/>
      <c r="HL1096" s="4"/>
      <c r="HZ1096" s="4"/>
      <c r="IU1096" s="4"/>
      <c r="JM1096" s="4"/>
    </row>
    <row r="1097" spans="24:273" ht="12" customHeight="1">
      <c r="X1097" s="4"/>
      <c r="AH1097" s="4"/>
      <c r="EA1097" s="4"/>
      <c r="FX1097" s="4"/>
      <c r="HL1097" s="4"/>
      <c r="HZ1097" s="4"/>
      <c r="IU1097" s="4"/>
      <c r="JM1097" s="4"/>
    </row>
    <row r="1098" spans="24:273" ht="12" customHeight="1">
      <c r="X1098" s="4"/>
      <c r="AH1098" s="4"/>
      <c r="EA1098" s="4"/>
      <c r="FX1098" s="4"/>
      <c r="HL1098" s="4"/>
      <c r="HZ1098" s="4"/>
      <c r="IU1098" s="4"/>
      <c r="JM1098" s="4"/>
    </row>
    <row r="1099" spans="24:273" ht="12" customHeight="1">
      <c r="X1099" s="4"/>
      <c r="AH1099" s="4"/>
      <c r="EA1099" s="4"/>
      <c r="FX1099" s="4"/>
      <c r="HL1099" s="4"/>
      <c r="HZ1099" s="4"/>
      <c r="IU1099" s="4"/>
      <c r="JM1099" s="4"/>
    </row>
    <row r="1100" spans="24:273" ht="12" customHeight="1">
      <c r="X1100" s="4"/>
      <c r="AH1100" s="4"/>
      <c r="EA1100" s="4"/>
      <c r="FX1100" s="4"/>
      <c r="HL1100" s="4"/>
      <c r="HZ1100" s="4"/>
      <c r="IU1100" s="4"/>
      <c r="JM1100" s="4"/>
    </row>
    <row r="1101" spans="24:273" ht="12" customHeight="1">
      <c r="X1101" s="4"/>
      <c r="AH1101" s="4"/>
      <c r="EA1101" s="4"/>
      <c r="FX1101" s="4"/>
      <c r="HL1101" s="4"/>
      <c r="HZ1101" s="4"/>
      <c r="IU1101" s="4"/>
      <c r="JM1101" s="4"/>
    </row>
    <row r="1102" spans="24:273" ht="12" customHeight="1">
      <c r="X1102" s="4"/>
      <c r="AH1102" s="4"/>
      <c r="EA1102" s="4"/>
      <c r="FX1102" s="4"/>
      <c r="HL1102" s="4"/>
      <c r="HZ1102" s="4"/>
      <c r="IU1102" s="4"/>
      <c r="JM1102" s="4"/>
    </row>
    <row r="1103" spans="24:273" ht="12" customHeight="1">
      <c r="X1103" s="4"/>
      <c r="AH1103" s="4"/>
      <c r="EA1103" s="4"/>
      <c r="FX1103" s="4"/>
      <c r="HL1103" s="4"/>
      <c r="HZ1103" s="4"/>
      <c r="IU1103" s="4"/>
      <c r="JM1103" s="4"/>
    </row>
    <row r="1104" spans="24:273" ht="12" customHeight="1">
      <c r="X1104" s="4"/>
      <c r="AH1104" s="4"/>
      <c r="EA1104" s="4"/>
      <c r="FX1104" s="4"/>
      <c r="HL1104" s="4"/>
      <c r="HZ1104" s="4"/>
      <c r="IU1104" s="4"/>
      <c r="JM1104" s="4"/>
    </row>
    <row r="1105" spans="24:273" ht="12" customHeight="1">
      <c r="X1105" s="4"/>
      <c r="AH1105" s="4"/>
      <c r="EA1105" s="4"/>
      <c r="FX1105" s="4"/>
      <c r="HL1105" s="4"/>
      <c r="HZ1105" s="4"/>
      <c r="IU1105" s="4"/>
      <c r="JM1105" s="4"/>
    </row>
    <row r="1106" spans="24:273" ht="12" customHeight="1">
      <c r="X1106" s="4"/>
      <c r="AH1106" s="4"/>
      <c r="EA1106" s="4"/>
      <c r="FX1106" s="4"/>
      <c r="HL1106" s="4"/>
      <c r="HZ1106" s="4"/>
      <c r="IU1106" s="4"/>
      <c r="JM1106" s="4"/>
    </row>
    <row r="1107" spans="24:273" ht="12" customHeight="1">
      <c r="X1107" s="4"/>
      <c r="AH1107" s="4"/>
      <c r="EA1107" s="4"/>
      <c r="FX1107" s="4"/>
      <c r="HL1107" s="4"/>
      <c r="HZ1107" s="4"/>
      <c r="IU1107" s="4"/>
      <c r="JM1107" s="4"/>
    </row>
    <row r="1108" spans="24:273" ht="12" customHeight="1">
      <c r="X1108" s="4"/>
      <c r="AH1108" s="4"/>
      <c r="EA1108" s="4"/>
      <c r="FX1108" s="4"/>
      <c r="HL1108" s="4"/>
      <c r="HZ1108" s="4"/>
      <c r="IU1108" s="4"/>
      <c r="JM1108" s="4"/>
    </row>
    <row r="1109" spans="24:273" ht="12" customHeight="1">
      <c r="X1109" s="4"/>
      <c r="AH1109" s="4"/>
      <c r="EA1109" s="4"/>
      <c r="FX1109" s="4"/>
      <c r="HL1109" s="4"/>
      <c r="HZ1109" s="4"/>
      <c r="IU1109" s="4"/>
      <c r="JM1109" s="4"/>
    </row>
    <row r="1110" spans="24:273" ht="12" customHeight="1">
      <c r="X1110" s="4"/>
      <c r="AH1110" s="4"/>
      <c r="EA1110" s="4"/>
      <c r="FX1110" s="4"/>
      <c r="HL1110" s="4"/>
      <c r="HZ1110" s="4"/>
      <c r="IU1110" s="4"/>
      <c r="JM1110" s="4"/>
    </row>
    <row r="1111" spans="24:273" ht="12" customHeight="1">
      <c r="X1111" s="4"/>
      <c r="AH1111" s="4"/>
      <c r="EA1111" s="4"/>
      <c r="FX1111" s="4"/>
      <c r="HL1111" s="4"/>
      <c r="HZ1111" s="4"/>
      <c r="IU1111" s="4"/>
      <c r="JM1111" s="4"/>
    </row>
    <row r="1112" spans="24:273" ht="12" customHeight="1">
      <c r="X1112" s="4"/>
      <c r="AH1112" s="4"/>
      <c r="EA1112" s="4"/>
      <c r="FX1112" s="4"/>
      <c r="HL1112" s="4"/>
      <c r="HZ1112" s="4"/>
      <c r="IU1112" s="4"/>
      <c r="JM1112" s="4"/>
    </row>
    <row r="1113" spans="24:273" ht="12" customHeight="1">
      <c r="X1113" s="4"/>
      <c r="AH1113" s="4"/>
      <c r="EA1113" s="4"/>
      <c r="FX1113" s="4"/>
      <c r="HL1113" s="4"/>
      <c r="HZ1113" s="4"/>
      <c r="IU1113" s="4"/>
      <c r="JM1113" s="4"/>
    </row>
    <row r="1114" spans="24:273" ht="12" customHeight="1">
      <c r="X1114" s="4"/>
      <c r="AH1114" s="4"/>
      <c r="EA1114" s="4"/>
      <c r="FX1114" s="4"/>
      <c r="HL1114" s="4"/>
      <c r="HZ1114" s="4"/>
      <c r="IU1114" s="4"/>
      <c r="JM1114" s="4"/>
    </row>
    <row r="1115" spans="24:273" ht="12" customHeight="1">
      <c r="X1115" s="4"/>
      <c r="AH1115" s="4"/>
      <c r="EA1115" s="4"/>
      <c r="FX1115" s="4"/>
      <c r="HL1115" s="4"/>
      <c r="HZ1115" s="4"/>
      <c r="IU1115" s="4"/>
      <c r="JM1115" s="4"/>
    </row>
    <row r="1116" spans="24:273" ht="12" customHeight="1">
      <c r="X1116" s="4"/>
      <c r="AH1116" s="4"/>
      <c r="EA1116" s="4"/>
      <c r="FX1116" s="4"/>
      <c r="HL1116" s="4"/>
      <c r="HZ1116" s="4"/>
      <c r="IU1116" s="4"/>
      <c r="JM1116" s="4"/>
    </row>
    <row r="1117" spans="24:273" ht="12" customHeight="1">
      <c r="X1117" s="4"/>
      <c r="AH1117" s="4"/>
      <c r="EA1117" s="4"/>
      <c r="FX1117" s="4"/>
      <c r="HL1117" s="4"/>
      <c r="HZ1117" s="4"/>
      <c r="IU1117" s="4"/>
      <c r="JM1117" s="4"/>
    </row>
    <row r="1118" spans="24:273" ht="12" customHeight="1">
      <c r="X1118" s="4"/>
      <c r="AH1118" s="4"/>
      <c r="EA1118" s="4"/>
      <c r="FX1118" s="4"/>
      <c r="HL1118" s="4"/>
      <c r="HZ1118" s="4"/>
      <c r="IU1118" s="4"/>
      <c r="JM1118" s="4"/>
    </row>
    <row r="1119" spans="24:273" ht="12" customHeight="1">
      <c r="X1119" s="4"/>
      <c r="AH1119" s="4"/>
      <c r="EA1119" s="4"/>
      <c r="FX1119" s="4"/>
      <c r="HL1119" s="4"/>
      <c r="HZ1119" s="4"/>
      <c r="IU1119" s="4"/>
      <c r="JM1119" s="4"/>
    </row>
    <row r="1120" spans="24:273" ht="12" customHeight="1">
      <c r="X1120" s="4"/>
      <c r="AH1120" s="4"/>
      <c r="EA1120" s="4"/>
      <c r="FX1120" s="4"/>
      <c r="HL1120" s="4"/>
      <c r="HZ1120" s="4"/>
      <c r="IU1120" s="4"/>
      <c r="JM1120" s="4"/>
    </row>
    <row r="1121" spans="24:273" ht="12" customHeight="1">
      <c r="X1121" s="4"/>
      <c r="AH1121" s="4"/>
      <c r="EA1121" s="4"/>
      <c r="FX1121" s="4"/>
      <c r="HL1121" s="4"/>
      <c r="HZ1121" s="4"/>
      <c r="IU1121" s="4"/>
      <c r="JM1121" s="4"/>
    </row>
    <row r="1122" spans="24:273" ht="12" customHeight="1">
      <c r="X1122" s="4"/>
      <c r="AH1122" s="4"/>
      <c r="EA1122" s="4"/>
      <c r="FX1122" s="4"/>
      <c r="HL1122" s="4"/>
      <c r="HZ1122" s="4"/>
      <c r="IU1122" s="4"/>
      <c r="JM1122" s="4"/>
    </row>
    <row r="1123" spans="24:273" ht="12" customHeight="1">
      <c r="X1123" s="4"/>
      <c r="AH1123" s="4"/>
      <c r="EA1123" s="4"/>
      <c r="FX1123" s="4"/>
      <c r="HL1123" s="4"/>
      <c r="HZ1123" s="4"/>
      <c r="IU1123" s="4"/>
      <c r="JM1123" s="4"/>
    </row>
    <row r="1124" spans="24:273" ht="12" customHeight="1">
      <c r="X1124" s="4"/>
      <c r="AH1124" s="4"/>
      <c r="EA1124" s="4"/>
      <c r="FX1124" s="4"/>
      <c r="HL1124" s="4"/>
      <c r="HZ1124" s="4"/>
      <c r="IU1124" s="4"/>
      <c r="JM1124" s="4"/>
    </row>
    <row r="1125" spans="24:273" ht="12" customHeight="1">
      <c r="X1125" s="4"/>
      <c r="AH1125" s="4"/>
      <c r="EA1125" s="4"/>
      <c r="FX1125" s="4"/>
      <c r="HL1125" s="4"/>
      <c r="HZ1125" s="4"/>
      <c r="IU1125" s="4"/>
      <c r="JM1125" s="4"/>
    </row>
    <row r="1126" spans="24:273" ht="12" customHeight="1">
      <c r="X1126" s="4"/>
      <c r="AH1126" s="4"/>
      <c r="EA1126" s="4"/>
      <c r="FX1126" s="4"/>
      <c r="HL1126" s="4"/>
      <c r="HZ1126" s="4"/>
      <c r="IU1126" s="4"/>
      <c r="JM1126" s="4"/>
    </row>
    <row r="1127" spans="24:273" ht="12" customHeight="1">
      <c r="X1127" s="4"/>
      <c r="AH1127" s="4"/>
      <c r="EA1127" s="4"/>
      <c r="FX1127" s="4"/>
      <c r="HL1127" s="4"/>
      <c r="HZ1127" s="4"/>
      <c r="IU1127" s="4"/>
      <c r="JM1127" s="4"/>
    </row>
    <row r="1128" spans="24:273" ht="12" customHeight="1">
      <c r="X1128" s="4"/>
      <c r="AH1128" s="4"/>
      <c r="EA1128" s="4"/>
      <c r="FX1128" s="4"/>
      <c r="HL1128" s="4"/>
      <c r="HZ1128" s="4"/>
      <c r="IU1128" s="4"/>
      <c r="JM1128" s="4"/>
    </row>
    <row r="1129" spans="24:273" ht="12" customHeight="1">
      <c r="X1129" s="4"/>
      <c r="AH1129" s="4"/>
      <c r="EA1129" s="4"/>
      <c r="FX1129" s="4"/>
      <c r="HL1129" s="4"/>
      <c r="HZ1129" s="4"/>
      <c r="IU1129" s="4"/>
      <c r="JM1129" s="4"/>
    </row>
    <row r="1130" spans="24:273" ht="12" customHeight="1">
      <c r="X1130" s="4"/>
      <c r="AH1130" s="4"/>
      <c r="EA1130" s="4"/>
      <c r="FX1130" s="4"/>
      <c r="HL1130" s="4"/>
      <c r="HZ1130" s="4"/>
      <c r="IU1130" s="4"/>
      <c r="JM1130" s="4"/>
    </row>
    <row r="1131" spans="24:273" ht="12" customHeight="1">
      <c r="X1131" s="4"/>
      <c r="AH1131" s="4"/>
      <c r="EA1131" s="4"/>
      <c r="FX1131" s="4"/>
      <c r="HL1131" s="4"/>
      <c r="HZ1131" s="4"/>
      <c r="IU1131" s="4"/>
      <c r="JM1131" s="4"/>
    </row>
    <row r="1132" spans="24:273" ht="12" customHeight="1">
      <c r="X1132" s="4"/>
      <c r="AH1132" s="4"/>
      <c r="EA1132" s="4"/>
      <c r="FX1132" s="4"/>
      <c r="HL1132" s="4"/>
      <c r="HZ1132" s="4"/>
      <c r="IU1132" s="4"/>
      <c r="JM1132" s="4"/>
    </row>
    <row r="1133" spans="24:273" ht="12" customHeight="1">
      <c r="X1133" s="4"/>
      <c r="AH1133" s="4"/>
      <c r="EA1133" s="4"/>
      <c r="FX1133" s="4"/>
      <c r="HL1133" s="4"/>
      <c r="HZ1133" s="4"/>
      <c r="IU1133" s="4"/>
      <c r="JM1133" s="4"/>
    </row>
    <row r="1134" spans="24:273" ht="12" customHeight="1">
      <c r="X1134" s="4"/>
      <c r="AH1134" s="4"/>
      <c r="EA1134" s="4"/>
      <c r="FX1134" s="4"/>
      <c r="HL1134" s="4"/>
      <c r="HZ1134" s="4"/>
      <c r="IU1134" s="4"/>
      <c r="JM1134" s="4"/>
    </row>
    <row r="1135" spans="24:273" ht="12" customHeight="1">
      <c r="X1135" s="4"/>
      <c r="AH1135" s="4"/>
      <c r="EA1135" s="4"/>
      <c r="FX1135" s="4"/>
      <c r="HL1135" s="4"/>
      <c r="HZ1135" s="4"/>
      <c r="IU1135" s="4"/>
      <c r="JM1135" s="4"/>
    </row>
    <row r="1136" spans="24:273" ht="12" customHeight="1">
      <c r="X1136" s="4"/>
      <c r="AH1136" s="4"/>
      <c r="EA1136" s="4"/>
      <c r="FX1136" s="4"/>
      <c r="HL1136" s="4"/>
      <c r="HZ1136" s="4"/>
      <c r="IU1136" s="4"/>
      <c r="JM1136" s="4"/>
    </row>
    <row r="1137" spans="24:273" ht="12" customHeight="1">
      <c r="X1137" s="4"/>
      <c r="AH1137" s="4"/>
      <c r="EA1137" s="4"/>
      <c r="FX1137" s="4"/>
      <c r="HL1137" s="4"/>
      <c r="HZ1137" s="4"/>
      <c r="IU1137" s="4"/>
      <c r="JM1137" s="4"/>
    </row>
    <row r="1138" spans="24:273" ht="12" customHeight="1">
      <c r="X1138" s="4"/>
      <c r="AH1138" s="4"/>
      <c r="EA1138" s="4"/>
      <c r="FX1138" s="4"/>
      <c r="HL1138" s="4"/>
      <c r="HZ1138" s="4"/>
      <c r="IU1138" s="4"/>
      <c r="JM1138" s="4"/>
    </row>
    <row r="1139" spans="24:273" ht="12" customHeight="1">
      <c r="X1139" s="4"/>
      <c r="AH1139" s="4"/>
      <c r="EA1139" s="4"/>
      <c r="FX1139" s="4"/>
      <c r="HL1139" s="4"/>
      <c r="HZ1139" s="4"/>
      <c r="IU1139" s="4"/>
      <c r="JM1139" s="4"/>
    </row>
    <row r="1140" spans="24:273" ht="12" customHeight="1">
      <c r="X1140" s="4"/>
      <c r="AH1140" s="4"/>
      <c r="EA1140" s="4"/>
      <c r="FX1140" s="4"/>
      <c r="HL1140" s="4"/>
      <c r="HZ1140" s="4"/>
      <c r="IU1140" s="4"/>
      <c r="JM1140" s="4"/>
    </row>
    <row r="1141" spans="24:273" ht="12" customHeight="1">
      <c r="X1141" s="4"/>
      <c r="AH1141" s="4"/>
      <c r="EA1141" s="4"/>
      <c r="FX1141" s="4"/>
      <c r="HL1141" s="4"/>
      <c r="HZ1141" s="4"/>
      <c r="IU1141" s="4"/>
      <c r="JM1141" s="4"/>
    </row>
    <row r="1142" spans="24:273" ht="12" customHeight="1">
      <c r="X1142" s="4"/>
      <c r="AH1142" s="4"/>
      <c r="EA1142" s="4"/>
      <c r="FX1142" s="4"/>
      <c r="HL1142" s="4"/>
      <c r="HZ1142" s="4"/>
      <c r="IU1142" s="4"/>
      <c r="JM1142" s="4"/>
    </row>
    <row r="1143" spans="24:273" ht="12" customHeight="1">
      <c r="X1143" s="4"/>
      <c r="AH1143" s="4"/>
      <c r="EA1143" s="4"/>
      <c r="FX1143" s="4"/>
      <c r="HL1143" s="4"/>
      <c r="HZ1143" s="4"/>
      <c r="IU1143" s="4"/>
      <c r="JM1143" s="4"/>
    </row>
    <row r="1144" spans="24:273" ht="12" customHeight="1">
      <c r="X1144" s="4"/>
      <c r="AH1144" s="4"/>
      <c r="EA1144" s="4"/>
      <c r="FX1144" s="4"/>
      <c r="HL1144" s="4"/>
      <c r="HZ1144" s="4"/>
      <c r="IU1144" s="4"/>
      <c r="JM1144" s="4"/>
    </row>
    <row r="1145" spans="24:273" ht="12" customHeight="1">
      <c r="X1145" s="4"/>
      <c r="AH1145" s="4"/>
      <c r="EA1145" s="4"/>
      <c r="FX1145" s="4"/>
      <c r="HL1145" s="4"/>
      <c r="HZ1145" s="4"/>
      <c r="IU1145" s="4"/>
      <c r="JM1145" s="4"/>
    </row>
    <row r="1146" spans="24:273" ht="12" customHeight="1">
      <c r="X1146" s="4"/>
      <c r="AH1146" s="4"/>
      <c r="EA1146" s="4"/>
      <c r="FX1146" s="4"/>
      <c r="HL1146" s="4"/>
      <c r="HZ1146" s="4"/>
      <c r="IU1146" s="4"/>
      <c r="JM1146" s="4"/>
    </row>
    <row r="1147" spans="24:273" ht="12" customHeight="1">
      <c r="X1147" s="4"/>
      <c r="AH1147" s="4"/>
      <c r="EA1147" s="4"/>
      <c r="FX1147" s="4"/>
      <c r="HL1147" s="4"/>
      <c r="HZ1147" s="4"/>
      <c r="IU1147" s="4"/>
      <c r="JM1147" s="4"/>
    </row>
    <row r="1148" spans="24:273" ht="12" customHeight="1">
      <c r="X1148" s="4"/>
      <c r="AH1148" s="4"/>
      <c r="EA1148" s="4"/>
      <c r="FX1148" s="4"/>
      <c r="HL1148" s="4"/>
      <c r="HZ1148" s="4"/>
      <c r="IU1148" s="4"/>
      <c r="JM1148" s="4"/>
    </row>
    <row r="1149" spans="24:273" ht="12" customHeight="1">
      <c r="X1149" s="4"/>
      <c r="AH1149" s="4"/>
      <c r="EA1149" s="4"/>
      <c r="FX1149" s="4"/>
      <c r="HL1149" s="4"/>
      <c r="HZ1149" s="4"/>
      <c r="IU1149" s="4"/>
      <c r="JM1149" s="4"/>
    </row>
    <row r="1150" spans="24:273" ht="12" customHeight="1">
      <c r="X1150" s="4"/>
      <c r="AH1150" s="4"/>
      <c r="EA1150" s="4"/>
      <c r="FX1150" s="4"/>
      <c r="HL1150" s="4"/>
      <c r="HZ1150" s="4"/>
      <c r="IU1150" s="4"/>
      <c r="JM1150" s="4"/>
    </row>
    <row r="1151" spans="24:273" ht="12" customHeight="1">
      <c r="X1151" s="4"/>
      <c r="AH1151" s="4"/>
      <c r="EA1151" s="4"/>
      <c r="FX1151" s="4"/>
      <c r="HL1151" s="4"/>
      <c r="HZ1151" s="4"/>
      <c r="IU1151" s="4"/>
      <c r="JM1151" s="4"/>
    </row>
    <row r="1152" spans="24:273" ht="12" customHeight="1">
      <c r="X1152" s="4"/>
      <c r="AH1152" s="4"/>
      <c r="EA1152" s="4"/>
      <c r="FX1152" s="4"/>
      <c r="HL1152" s="4"/>
      <c r="HZ1152" s="4"/>
      <c r="IU1152" s="4"/>
      <c r="JM1152" s="4"/>
    </row>
    <row r="1153" spans="24:273" ht="12" customHeight="1">
      <c r="X1153" s="4"/>
      <c r="AH1153" s="4"/>
      <c r="EA1153" s="4"/>
      <c r="FX1153" s="4"/>
      <c r="HL1153" s="4"/>
      <c r="HZ1153" s="4"/>
      <c r="IU1153" s="4"/>
      <c r="JM1153" s="4"/>
    </row>
    <row r="1154" spans="24:273" ht="12" customHeight="1">
      <c r="X1154" s="4"/>
      <c r="AH1154" s="4"/>
      <c r="EA1154" s="4"/>
      <c r="FX1154" s="4"/>
      <c r="HL1154" s="4"/>
      <c r="HZ1154" s="4"/>
      <c r="IU1154" s="4"/>
      <c r="JM1154" s="4"/>
    </row>
    <row r="1155" spans="24:273" ht="12" customHeight="1">
      <c r="X1155" s="4"/>
      <c r="AH1155" s="4"/>
      <c r="EA1155" s="4"/>
      <c r="FX1155" s="4"/>
      <c r="HL1155" s="4"/>
      <c r="HZ1155" s="4"/>
      <c r="IU1155" s="4"/>
      <c r="JM1155" s="4"/>
    </row>
    <row r="1156" spans="24:273" ht="12" customHeight="1">
      <c r="X1156" s="4"/>
      <c r="AH1156" s="4"/>
      <c r="EA1156" s="4"/>
      <c r="FX1156" s="4"/>
      <c r="HL1156" s="4"/>
      <c r="HZ1156" s="4"/>
      <c r="IU1156" s="4"/>
      <c r="JM1156" s="4"/>
    </row>
    <row r="1157" spans="24:273" ht="12" customHeight="1">
      <c r="X1157" s="4"/>
      <c r="AH1157" s="4"/>
      <c r="EA1157" s="4"/>
      <c r="FX1157" s="4"/>
      <c r="HL1157" s="4"/>
      <c r="HZ1157" s="4"/>
      <c r="IU1157" s="4"/>
      <c r="JM1157" s="4"/>
    </row>
    <row r="1158" spans="24:273" ht="12" customHeight="1">
      <c r="X1158" s="4"/>
      <c r="AH1158" s="4"/>
      <c r="EA1158" s="4"/>
      <c r="FX1158" s="4"/>
      <c r="HL1158" s="4"/>
      <c r="HZ1158" s="4"/>
      <c r="IU1158" s="4"/>
      <c r="JM1158" s="4"/>
    </row>
    <row r="1159" spans="24:273" ht="12" customHeight="1">
      <c r="X1159" s="4"/>
      <c r="AH1159" s="4"/>
      <c r="EA1159" s="4"/>
      <c r="FX1159" s="4"/>
      <c r="HL1159" s="4"/>
      <c r="HZ1159" s="4"/>
      <c r="IU1159" s="4"/>
      <c r="JM1159" s="4"/>
    </row>
    <row r="1160" spans="24:273" ht="12" customHeight="1">
      <c r="X1160" s="4"/>
      <c r="AH1160" s="4"/>
      <c r="EA1160" s="4"/>
      <c r="FX1160" s="4"/>
      <c r="HL1160" s="4"/>
      <c r="HZ1160" s="4"/>
      <c r="IU1160" s="4"/>
      <c r="JM1160" s="4"/>
    </row>
    <row r="1161" spans="24:273" ht="12" customHeight="1">
      <c r="X1161" s="4"/>
      <c r="AH1161" s="4"/>
      <c r="EA1161" s="4"/>
      <c r="FX1161" s="4"/>
      <c r="HL1161" s="4"/>
      <c r="HZ1161" s="4"/>
      <c r="IU1161" s="4"/>
      <c r="JM1161" s="4"/>
    </row>
    <row r="1162" spans="24:273" ht="12" customHeight="1">
      <c r="X1162" s="4"/>
      <c r="AH1162" s="4"/>
      <c r="EA1162" s="4"/>
      <c r="FX1162" s="4"/>
      <c r="HL1162" s="4"/>
      <c r="HZ1162" s="4"/>
      <c r="IU1162" s="4"/>
      <c r="JM1162" s="4"/>
    </row>
    <row r="1163" spans="24:273" ht="12" customHeight="1">
      <c r="X1163" s="4"/>
      <c r="AH1163" s="4"/>
      <c r="EA1163" s="4"/>
      <c r="FX1163" s="4"/>
      <c r="HL1163" s="4"/>
      <c r="HZ1163" s="4"/>
      <c r="IU1163" s="4"/>
      <c r="JM1163" s="4"/>
    </row>
    <row r="1164" spans="24:273" ht="12" customHeight="1">
      <c r="X1164" s="4"/>
      <c r="AH1164" s="4"/>
      <c r="EA1164" s="4"/>
      <c r="FX1164" s="4"/>
      <c r="HL1164" s="4"/>
      <c r="HZ1164" s="4"/>
      <c r="IU1164" s="4"/>
      <c r="JM1164" s="4"/>
    </row>
    <row r="1165" spans="24:273" ht="12" customHeight="1">
      <c r="X1165" s="4"/>
      <c r="AH1165" s="4"/>
      <c r="EA1165" s="4"/>
      <c r="FX1165" s="4"/>
      <c r="HL1165" s="4"/>
      <c r="HZ1165" s="4"/>
      <c r="IU1165" s="4"/>
      <c r="JM1165" s="4"/>
    </row>
    <row r="1166" spans="24:273" ht="12" customHeight="1">
      <c r="X1166" s="4"/>
      <c r="AH1166" s="4"/>
      <c r="EA1166" s="4"/>
      <c r="FX1166" s="4"/>
      <c r="HL1166" s="4"/>
      <c r="HZ1166" s="4"/>
      <c r="IU1166" s="4"/>
      <c r="JM1166" s="4"/>
    </row>
    <row r="1167" spans="24:273" ht="12" customHeight="1">
      <c r="X1167" s="4"/>
      <c r="AH1167" s="4"/>
      <c r="EA1167" s="4"/>
      <c r="FX1167" s="4"/>
      <c r="HL1167" s="4"/>
      <c r="HZ1167" s="4"/>
      <c r="IU1167" s="4"/>
      <c r="JM1167" s="4"/>
    </row>
    <row r="1168" spans="24:273" ht="12" customHeight="1">
      <c r="X1168" s="4"/>
      <c r="AH1168" s="4"/>
      <c r="EA1168" s="4"/>
      <c r="FX1168" s="4"/>
      <c r="HL1168" s="4"/>
      <c r="HZ1168" s="4"/>
      <c r="IU1168" s="4"/>
      <c r="JM1168" s="4"/>
    </row>
    <row r="1169" spans="24:273" ht="12" customHeight="1">
      <c r="X1169" s="4"/>
      <c r="AH1169" s="4"/>
      <c r="EA1169" s="4"/>
      <c r="FX1169" s="4"/>
      <c r="HL1169" s="4"/>
      <c r="HZ1169" s="4"/>
      <c r="IU1169" s="4"/>
      <c r="JM1169" s="4"/>
    </row>
    <row r="1170" spans="24:273" ht="12" customHeight="1">
      <c r="X1170" s="4"/>
      <c r="AH1170" s="4"/>
      <c r="EA1170" s="4"/>
      <c r="FX1170" s="4"/>
      <c r="HL1170" s="4"/>
      <c r="HZ1170" s="4"/>
      <c r="IU1170" s="4"/>
      <c r="JM1170" s="4"/>
    </row>
    <row r="1171" spans="24:273" ht="12" customHeight="1">
      <c r="X1171" s="4"/>
      <c r="AH1171" s="4"/>
      <c r="EA1171" s="4"/>
      <c r="FX1171" s="4"/>
      <c r="HL1171" s="4"/>
      <c r="HZ1171" s="4"/>
      <c r="IU1171" s="4"/>
      <c r="JM1171" s="4"/>
    </row>
    <row r="1172" spans="24:273" ht="12" customHeight="1">
      <c r="X1172" s="4"/>
      <c r="AH1172" s="4"/>
      <c r="EA1172" s="4"/>
      <c r="FX1172" s="4"/>
      <c r="HL1172" s="4"/>
      <c r="HZ1172" s="4"/>
      <c r="IU1172" s="4"/>
      <c r="JM1172" s="4"/>
    </row>
    <row r="1173" spans="24:273" ht="12" customHeight="1">
      <c r="X1173" s="4"/>
      <c r="AH1173" s="4"/>
      <c r="EA1173" s="4"/>
      <c r="FX1173" s="4"/>
      <c r="HL1173" s="4"/>
      <c r="HZ1173" s="4"/>
      <c r="IU1173" s="4"/>
      <c r="JM1173" s="4"/>
    </row>
    <row r="1174" spans="24:273" ht="12" customHeight="1">
      <c r="X1174" s="4"/>
      <c r="AH1174" s="4"/>
      <c r="EA1174" s="4"/>
      <c r="FX1174" s="4"/>
      <c r="HL1174" s="4"/>
      <c r="HZ1174" s="4"/>
      <c r="IU1174" s="4"/>
      <c r="JM1174" s="4"/>
    </row>
    <row r="1175" spans="24:273" ht="12" customHeight="1">
      <c r="X1175" s="4"/>
      <c r="AH1175" s="4"/>
      <c r="EA1175" s="4"/>
      <c r="FX1175" s="4"/>
      <c r="HL1175" s="4"/>
      <c r="HZ1175" s="4"/>
      <c r="IU1175" s="4"/>
      <c r="JM1175" s="4"/>
    </row>
    <row r="1176" spans="24:273" ht="12" customHeight="1">
      <c r="X1176" s="4"/>
      <c r="AH1176" s="4"/>
      <c r="EA1176" s="4"/>
      <c r="FX1176" s="4"/>
      <c r="HL1176" s="4"/>
      <c r="HZ1176" s="4"/>
      <c r="IU1176" s="4"/>
      <c r="JM1176" s="4"/>
    </row>
    <row r="1177" spans="24:273" ht="12" customHeight="1">
      <c r="X1177" s="4"/>
      <c r="AH1177" s="4"/>
      <c r="EA1177" s="4"/>
      <c r="FX1177" s="4"/>
      <c r="HL1177" s="4"/>
      <c r="HZ1177" s="4"/>
      <c r="IU1177" s="4"/>
      <c r="JM1177" s="4"/>
    </row>
    <row r="1178" spans="24:273" ht="12" customHeight="1">
      <c r="X1178" s="4"/>
      <c r="AH1178" s="4"/>
      <c r="EA1178" s="4"/>
      <c r="FX1178" s="4"/>
      <c r="HL1178" s="4"/>
      <c r="HZ1178" s="4"/>
      <c r="IU1178" s="4"/>
      <c r="JM1178" s="4"/>
    </row>
    <row r="1179" spans="24:273" ht="12" customHeight="1">
      <c r="X1179" s="4"/>
      <c r="AH1179" s="4"/>
      <c r="EA1179" s="4"/>
      <c r="FX1179" s="4"/>
      <c r="HL1179" s="4"/>
      <c r="HZ1179" s="4"/>
      <c r="IU1179" s="4"/>
      <c r="JM1179" s="4"/>
    </row>
    <row r="1180" spans="24:273" ht="12" customHeight="1">
      <c r="X1180" s="4"/>
      <c r="AH1180" s="4"/>
      <c r="EA1180" s="4"/>
      <c r="FX1180" s="4"/>
      <c r="HL1180" s="4"/>
      <c r="HZ1180" s="4"/>
      <c r="IU1180" s="4"/>
      <c r="JM1180" s="4"/>
    </row>
    <row r="1181" spans="24:273" ht="12" customHeight="1">
      <c r="X1181" s="4"/>
      <c r="AH1181" s="4"/>
      <c r="EA1181" s="4"/>
      <c r="FX1181" s="4"/>
      <c r="HL1181" s="4"/>
      <c r="HZ1181" s="4"/>
      <c r="IU1181" s="4"/>
      <c r="JM1181" s="4"/>
    </row>
    <row r="1182" spans="24:273" ht="12" customHeight="1">
      <c r="X1182" s="4"/>
      <c r="AH1182" s="4"/>
      <c r="EA1182" s="4"/>
      <c r="FX1182" s="4"/>
      <c r="HL1182" s="4"/>
      <c r="HZ1182" s="4"/>
      <c r="IU1182" s="4"/>
      <c r="JM1182" s="4"/>
    </row>
    <row r="1183" spans="24:273" ht="12" customHeight="1">
      <c r="X1183" s="4"/>
      <c r="AH1183" s="4"/>
      <c r="EA1183" s="4"/>
      <c r="FX1183" s="4"/>
      <c r="HL1183" s="4"/>
      <c r="HZ1183" s="4"/>
      <c r="IU1183" s="4"/>
      <c r="JM1183" s="4"/>
    </row>
    <row r="1184" spans="24:273" ht="12" customHeight="1">
      <c r="X1184" s="4"/>
      <c r="AH1184" s="4"/>
      <c r="EA1184" s="4"/>
      <c r="FX1184" s="4"/>
      <c r="HL1184" s="4"/>
      <c r="HZ1184" s="4"/>
      <c r="IU1184" s="4"/>
      <c r="JM1184" s="4"/>
    </row>
    <row r="1185" spans="24:273" ht="12" customHeight="1">
      <c r="X1185" s="4"/>
      <c r="AH1185" s="4"/>
      <c r="EA1185" s="4"/>
      <c r="FX1185" s="4"/>
      <c r="HL1185" s="4"/>
      <c r="HZ1185" s="4"/>
      <c r="IU1185" s="4"/>
      <c r="JM1185" s="4"/>
    </row>
    <row r="1186" spans="24:273" ht="12" customHeight="1">
      <c r="X1186" s="4"/>
      <c r="AH1186" s="4"/>
      <c r="EA1186" s="4"/>
      <c r="FX1186" s="4"/>
      <c r="HL1186" s="4"/>
      <c r="HZ1186" s="4"/>
      <c r="IU1186" s="4"/>
      <c r="JM1186" s="4"/>
    </row>
    <row r="1187" spans="24:273" ht="12" customHeight="1">
      <c r="X1187" s="4"/>
      <c r="AH1187" s="4"/>
      <c r="EA1187" s="4"/>
      <c r="FX1187" s="4"/>
      <c r="HL1187" s="4"/>
      <c r="HZ1187" s="4"/>
      <c r="IU1187" s="4"/>
      <c r="JM1187" s="4"/>
    </row>
    <row r="1188" spans="24:273" ht="12" customHeight="1">
      <c r="X1188" s="4"/>
      <c r="AH1188" s="4"/>
      <c r="EA1188" s="4"/>
      <c r="FX1188" s="4"/>
      <c r="HL1188" s="4"/>
      <c r="HZ1188" s="4"/>
      <c r="IU1188" s="4"/>
      <c r="JM1188" s="4"/>
    </row>
    <row r="1189" spans="24:273" ht="12" customHeight="1">
      <c r="X1189" s="4"/>
      <c r="AH1189" s="4"/>
      <c r="EA1189" s="4"/>
      <c r="FX1189" s="4"/>
      <c r="HL1189" s="4"/>
      <c r="HZ1189" s="4"/>
      <c r="IU1189" s="4"/>
      <c r="JM1189" s="4"/>
    </row>
    <row r="1190" spans="24:273" ht="12" customHeight="1">
      <c r="X1190" s="4"/>
      <c r="AH1190" s="4"/>
      <c r="EA1190" s="4"/>
      <c r="FX1190" s="4"/>
      <c r="HL1190" s="4"/>
      <c r="HZ1190" s="4"/>
      <c r="IU1190" s="4"/>
      <c r="JM1190" s="4"/>
    </row>
    <row r="1191" spans="24:273" ht="12" customHeight="1">
      <c r="X1191" s="4"/>
      <c r="AH1191" s="4"/>
      <c r="EA1191" s="4"/>
      <c r="FX1191" s="4"/>
      <c r="HL1191" s="4"/>
      <c r="HZ1191" s="4"/>
      <c r="IU1191" s="4"/>
      <c r="JM1191" s="4"/>
    </row>
    <row r="1192" spans="24:273" ht="12" customHeight="1">
      <c r="X1192" s="4"/>
      <c r="AH1192" s="4"/>
      <c r="EA1192" s="4"/>
      <c r="FX1192" s="4"/>
      <c r="HL1192" s="4"/>
      <c r="HZ1192" s="4"/>
      <c r="IU1192" s="4"/>
      <c r="JM1192" s="4"/>
    </row>
    <row r="1193" spans="24:273" ht="12" customHeight="1">
      <c r="X1193" s="4"/>
      <c r="AH1193" s="4"/>
      <c r="EA1193" s="4"/>
      <c r="FX1193" s="4"/>
      <c r="HL1193" s="4"/>
      <c r="HZ1193" s="4"/>
      <c r="IU1193" s="4"/>
      <c r="JM1193" s="4"/>
    </row>
    <row r="1194" spans="24:273" ht="12" customHeight="1">
      <c r="X1194" s="4"/>
      <c r="AH1194" s="4"/>
      <c r="EA1194" s="4"/>
      <c r="FX1194" s="4"/>
      <c r="HL1194" s="4"/>
      <c r="HZ1194" s="4"/>
      <c r="IU1194" s="4"/>
      <c r="JM1194" s="4"/>
    </row>
    <row r="1195" spans="24:273" ht="12" customHeight="1">
      <c r="X1195" s="4"/>
      <c r="AH1195" s="4"/>
      <c r="EA1195" s="4"/>
      <c r="FX1195" s="4"/>
      <c r="HL1195" s="4"/>
      <c r="HZ1195" s="4"/>
      <c r="IU1195" s="4"/>
      <c r="JM1195" s="4"/>
    </row>
    <row r="1196" spans="24:273" ht="12" customHeight="1">
      <c r="X1196" s="4"/>
      <c r="AH1196" s="4"/>
      <c r="EA1196" s="4"/>
      <c r="FX1196" s="4"/>
      <c r="HL1196" s="4"/>
      <c r="HZ1196" s="4"/>
      <c r="IU1196" s="4"/>
      <c r="JM1196" s="4"/>
    </row>
    <row r="1197" spans="24:273" ht="12" customHeight="1">
      <c r="X1197" s="4"/>
      <c r="AH1197" s="4"/>
      <c r="EA1197" s="4"/>
      <c r="FX1197" s="4"/>
      <c r="HL1197" s="4"/>
      <c r="HZ1197" s="4"/>
      <c r="IU1197" s="4"/>
      <c r="JM1197" s="4"/>
    </row>
    <row r="1198" spans="24:273" ht="12" customHeight="1">
      <c r="X1198" s="4"/>
      <c r="AH1198" s="4"/>
      <c r="EA1198" s="4"/>
      <c r="FX1198" s="4"/>
      <c r="HL1198" s="4"/>
      <c r="HZ1198" s="4"/>
      <c r="IU1198" s="4"/>
      <c r="JM1198" s="4"/>
    </row>
    <row r="1199" spans="24:273" ht="12" customHeight="1">
      <c r="X1199" s="4"/>
      <c r="AH1199" s="4"/>
      <c r="EA1199" s="4"/>
      <c r="FX1199" s="4"/>
      <c r="HL1199" s="4"/>
      <c r="HZ1199" s="4"/>
      <c r="IU1199" s="4"/>
      <c r="JM1199" s="4"/>
    </row>
    <row r="1200" spans="24:273" ht="12" customHeight="1">
      <c r="X1200" s="4"/>
      <c r="AH1200" s="4"/>
      <c r="EA1200" s="4"/>
      <c r="FX1200" s="4"/>
      <c r="HL1200" s="4"/>
      <c r="HZ1200" s="4"/>
      <c r="IU1200" s="4"/>
      <c r="JM1200" s="4"/>
    </row>
    <row r="1201" spans="24:273" ht="12" customHeight="1">
      <c r="X1201" s="4"/>
      <c r="AH1201" s="4"/>
      <c r="EA1201" s="4"/>
      <c r="FX1201" s="4"/>
      <c r="HL1201" s="4"/>
      <c r="HZ1201" s="4"/>
      <c r="IU1201" s="4"/>
      <c r="JM1201" s="4"/>
    </row>
    <row r="1202" spans="24:273" ht="12" customHeight="1">
      <c r="X1202" s="4"/>
      <c r="AH1202" s="4"/>
      <c r="EA1202" s="4"/>
      <c r="FX1202" s="4"/>
      <c r="HL1202" s="4"/>
      <c r="HZ1202" s="4"/>
      <c r="IU1202" s="4"/>
      <c r="JM1202" s="4"/>
    </row>
    <row r="1203" spans="24:273" ht="12" customHeight="1">
      <c r="X1203" s="4"/>
      <c r="AH1203" s="4"/>
      <c r="EA1203" s="4"/>
      <c r="FX1203" s="4"/>
      <c r="HL1203" s="4"/>
      <c r="HZ1203" s="4"/>
      <c r="IU1203" s="4"/>
      <c r="JM1203" s="4"/>
    </row>
    <row r="1204" spans="24:273" ht="12" customHeight="1">
      <c r="X1204" s="4"/>
      <c r="AH1204" s="4"/>
      <c r="EA1204" s="4"/>
      <c r="FX1204" s="4"/>
      <c r="HL1204" s="4"/>
      <c r="HZ1204" s="4"/>
      <c r="IU1204" s="4"/>
      <c r="JM1204" s="4"/>
    </row>
    <row r="1205" spans="24:273" ht="12" customHeight="1">
      <c r="X1205" s="4"/>
      <c r="AH1205" s="4"/>
      <c r="EA1205" s="4"/>
      <c r="FX1205" s="4"/>
      <c r="HL1205" s="4"/>
      <c r="HZ1205" s="4"/>
      <c r="IU1205" s="4"/>
      <c r="JM1205" s="4"/>
    </row>
    <row r="1206" spans="24:273" ht="12" customHeight="1">
      <c r="X1206" s="4"/>
      <c r="AH1206" s="4"/>
      <c r="EA1206" s="4"/>
      <c r="FX1206" s="4"/>
      <c r="HL1206" s="4"/>
      <c r="HZ1206" s="4"/>
      <c r="IU1206" s="4"/>
      <c r="JM1206" s="4"/>
    </row>
    <row r="1207" spans="24:273" ht="12" customHeight="1">
      <c r="X1207" s="4"/>
      <c r="AH1207" s="4"/>
      <c r="EA1207" s="4"/>
      <c r="FX1207" s="4"/>
      <c r="HL1207" s="4"/>
      <c r="HZ1207" s="4"/>
      <c r="IU1207" s="4"/>
      <c r="JM1207" s="4"/>
    </row>
    <row r="1208" spans="24:273" ht="12" customHeight="1">
      <c r="X1208" s="4"/>
      <c r="AH1208" s="4"/>
      <c r="EA1208" s="4"/>
      <c r="FX1208" s="4"/>
      <c r="HL1208" s="4"/>
      <c r="HZ1208" s="4"/>
      <c r="IU1208" s="4"/>
      <c r="JM1208" s="4"/>
    </row>
    <row r="1209" spans="24:273" ht="12" customHeight="1">
      <c r="X1209" s="4"/>
      <c r="AH1209" s="4"/>
      <c r="EA1209" s="4"/>
      <c r="FX1209" s="4"/>
      <c r="HL1209" s="4"/>
      <c r="HZ1209" s="4"/>
      <c r="IU1209" s="4"/>
      <c r="JM1209" s="4"/>
    </row>
    <row r="1210" spans="24:273" ht="12" customHeight="1">
      <c r="X1210" s="4"/>
      <c r="AH1210" s="4"/>
      <c r="EA1210" s="4"/>
      <c r="FX1210" s="4"/>
      <c r="HL1210" s="4"/>
      <c r="HZ1210" s="4"/>
      <c r="IU1210" s="4"/>
      <c r="JM1210" s="4"/>
    </row>
    <row r="1211" spans="24:273" ht="12" customHeight="1">
      <c r="X1211" s="4"/>
      <c r="AH1211" s="4"/>
      <c r="EA1211" s="4"/>
      <c r="FX1211" s="4"/>
      <c r="HL1211" s="4"/>
      <c r="HZ1211" s="4"/>
      <c r="IU1211" s="4"/>
      <c r="JM1211" s="4"/>
    </row>
    <row r="1212" spans="24:273" ht="12" customHeight="1">
      <c r="X1212" s="4"/>
      <c r="AH1212" s="4"/>
      <c r="EA1212" s="4"/>
      <c r="FX1212" s="4"/>
      <c r="HL1212" s="4"/>
      <c r="HZ1212" s="4"/>
      <c r="IU1212" s="4"/>
      <c r="JM1212" s="4"/>
    </row>
    <row r="1213" spans="24:273" ht="12" customHeight="1">
      <c r="X1213" s="4"/>
      <c r="AH1213" s="4"/>
      <c r="EA1213" s="4"/>
      <c r="FX1213" s="4"/>
      <c r="HL1213" s="4"/>
      <c r="HZ1213" s="4"/>
      <c r="IU1213" s="4"/>
      <c r="JM1213" s="4"/>
    </row>
    <row r="1214" spans="24:273" ht="12" customHeight="1">
      <c r="X1214" s="4"/>
      <c r="AH1214" s="4"/>
      <c r="EA1214" s="4"/>
      <c r="FX1214" s="4"/>
      <c r="HL1214" s="4"/>
      <c r="HZ1214" s="4"/>
      <c r="IU1214" s="4"/>
      <c r="JM1214" s="4"/>
    </row>
    <row r="1215" spans="24:273" ht="12" customHeight="1">
      <c r="X1215" s="4"/>
      <c r="AH1215" s="4"/>
      <c r="EA1215" s="4"/>
      <c r="FX1215" s="4"/>
      <c r="HL1215" s="4"/>
      <c r="HZ1215" s="4"/>
      <c r="IU1215" s="4"/>
      <c r="JM1215" s="4"/>
    </row>
    <row r="1216" spans="24:273" ht="12" customHeight="1">
      <c r="X1216" s="4"/>
      <c r="AH1216" s="4"/>
      <c r="EA1216" s="4"/>
      <c r="FX1216" s="4"/>
      <c r="HL1216" s="4"/>
      <c r="HZ1216" s="4"/>
      <c r="IU1216" s="4"/>
      <c r="JM1216" s="4"/>
    </row>
    <row r="1217" spans="24:273" ht="12" customHeight="1">
      <c r="X1217" s="4"/>
      <c r="AH1217" s="4"/>
      <c r="EA1217" s="4"/>
      <c r="FX1217" s="4"/>
      <c r="HL1217" s="4"/>
      <c r="HZ1217" s="4"/>
      <c r="IU1217" s="4"/>
      <c r="JM1217" s="4"/>
    </row>
    <row r="1218" spans="24:273" ht="12" customHeight="1">
      <c r="X1218" s="4"/>
      <c r="AH1218" s="4"/>
      <c r="EA1218" s="4"/>
      <c r="FX1218" s="4"/>
      <c r="HL1218" s="4"/>
      <c r="HZ1218" s="4"/>
      <c r="IU1218" s="4"/>
      <c r="JM1218" s="4"/>
    </row>
    <row r="1219" spans="24:273" ht="12" customHeight="1">
      <c r="X1219" s="4"/>
      <c r="AH1219" s="4"/>
      <c r="EA1219" s="4"/>
      <c r="FX1219" s="4"/>
      <c r="HL1219" s="4"/>
      <c r="HZ1219" s="4"/>
      <c r="IU1219" s="4"/>
      <c r="JM1219" s="4"/>
    </row>
    <row r="1220" spans="24:273" ht="12" customHeight="1">
      <c r="X1220" s="4"/>
      <c r="AH1220" s="4"/>
      <c r="EA1220" s="4"/>
      <c r="FX1220" s="4"/>
      <c r="HL1220" s="4"/>
      <c r="HZ1220" s="4"/>
      <c r="IU1220" s="4"/>
      <c r="JM1220" s="4"/>
    </row>
    <row r="1221" spans="24:273" ht="12" customHeight="1">
      <c r="X1221" s="4"/>
      <c r="AH1221" s="4"/>
      <c r="EA1221" s="4"/>
      <c r="FX1221" s="4"/>
      <c r="HL1221" s="4"/>
      <c r="HZ1221" s="4"/>
      <c r="IU1221" s="4"/>
      <c r="JM1221" s="4"/>
    </row>
    <row r="1222" spans="24:273" ht="12" customHeight="1">
      <c r="X1222" s="4"/>
      <c r="AH1222" s="4"/>
      <c r="EA1222" s="4"/>
      <c r="FX1222" s="4"/>
      <c r="HL1222" s="4"/>
      <c r="HZ1222" s="4"/>
      <c r="IU1222" s="4"/>
      <c r="JM1222" s="4"/>
    </row>
    <row r="1223" spans="24:273" ht="12" customHeight="1">
      <c r="X1223" s="4"/>
      <c r="AH1223" s="4"/>
      <c r="EA1223" s="4"/>
      <c r="FX1223" s="4"/>
      <c r="HL1223" s="4"/>
      <c r="HZ1223" s="4"/>
      <c r="IU1223" s="4"/>
      <c r="JM1223" s="4"/>
    </row>
    <row r="1224" spans="24:273" ht="12" customHeight="1">
      <c r="X1224" s="4"/>
      <c r="AH1224" s="4"/>
      <c r="EA1224" s="4"/>
      <c r="FX1224" s="4"/>
      <c r="HL1224" s="4"/>
      <c r="HZ1224" s="4"/>
      <c r="IU1224" s="4"/>
      <c r="JM1224" s="4"/>
    </row>
    <row r="1225" spans="24:273" ht="12" customHeight="1">
      <c r="X1225" s="4"/>
      <c r="AH1225" s="4"/>
      <c r="EA1225" s="4"/>
      <c r="FX1225" s="4"/>
      <c r="HL1225" s="4"/>
      <c r="HZ1225" s="4"/>
      <c r="IU1225" s="4"/>
      <c r="JM1225" s="4"/>
    </row>
    <row r="1226" spans="24:273" ht="12" customHeight="1">
      <c r="X1226" s="4"/>
      <c r="AH1226" s="4"/>
      <c r="EA1226" s="4"/>
      <c r="FX1226" s="4"/>
      <c r="HL1226" s="4"/>
      <c r="HZ1226" s="4"/>
      <c r="IU1226" s="4"/>
      <c r="JM1226" s="4"/>
    </row>
    <row r="1227" spans="24:273" ht="12" customHeight="1">
      <c r="X1227" s="4"/>
      <c r="AH1227" s="4"/>
      <c r="EA1227" s="4"/>
      <c r="FX1227" s="4"/>
      <c r="HL1227" s="4"/>
      <c r="HZ1227" s="4"/>
      <c r="IU1227" s="4"/>
      <c r="JM1227" s="4"/>
    </row>
    <row r="1228" spans="24:273" ht="12" customHeight="1">
      <c r="X1228" s="4"/>
      <c r="AH1228" s="4"/>
      <c r="EA1228" s="4"/>
      <c r="FX1228" s="4"/>
      <c r="HL1228" s="4"/>
      <c r="HZ1228" s="4"/>
      <c r="IU1228" s="4"/>
      <c r="JM1228" s="4"/>
    </row>
    <row r="1229" spans="24:273" ht="12" customHeight="1">
      <c r="X1229" s="4"/>
      <c r="AH1229" s="4"/>
      <c r="EA1229" s="4"/>
      <c r="FX1229" s="4"/>
      <c r="HL1229" s="4"/>
      <c r="HZ1229" s="4"/>
      <c r="IU1229" s="4"/>
      <c r="JM1229" s="4"/>
    </row>
    <row r="1230" spans="24:273" ht="12" customHeight="1">
      <c r="X1230" s="4"/>
      <c r="AH1230" s="4"/>
      <c r="EA1230" s="4"/>
      <c r="FX1230" s="4"/>
      <c r="HL1230" s="4"/>
      <c r="HZ1230" s="4"/>
      <c r="IU1230" s="4"/>
      <c r="JM1230" s="4"/>
    </row>
    <row r="1231" spans="24:273" ht="12" customHeight="1">
      <c r="X1231" s="4"/>
      <c r="AH1231" s="4"/>
      <c r="EA1231" s="4"/>
      <c r="FX1231" s="4"/>
      <c r="HL1231" s="4"/>
      <c r="HZ1231" s="4"/>
      <c r="IU1231" s="4"/>
      <c r="JM1231" s="4"/>
    </row>
    <row r="1232" spans="24:273" ht="12" customHeight="1">
      <c r="X1232" s="4"/>
      <c r="AH1232" s="4"/>
      <c r="EA1232" s="4"/>
      <c r="FX1232" s="4"/>
      <c r="HL1232" s="4"/>
      <c r="HZ1232" s="4"/>
      <c r="IU1232" s="4"/>
      <c r="JM1232" s="4"/>
    </row>
    <row r="1233" spans="24:273" ht="12" customHeight="1">
      <c r="X1233" s="4"/>
      <c r="AH1233" s="4"/>
      <c r="EA1233" s="4"/>
      <c r="FX1233" s="4"/>
      <c r="HL1233" s="4"/>
      <c r="HZ1233" s="4"/>
      <c r="IU1233" s="4"/>
      <c r="JM1233" s="4"/>
    </row>
    <row r="1234" spans="24:273" ht="12" customHeight="1">
      <c r="X1234" s="4"/>
      <c r="AH1234" s="4"/>
      <c r="EA1234" s="4"/>
      <c r="FX1234" s="4"/>
      <c r="HL1234" s="4"/>
      <c r="HZ1234" s="4"/>
      <c r="IU1234" s="4"/>
      <c r="JM1234" s="4"/>
    </row>
    <row r="1235" spans="24:273" ht="12" customHeight="1">
      <c r="X1235" s="4"/>
      <c r="AH1235" s="4"/>
      <c r="EA1235" s="4"/>
      <c r="FX1235" s="4"/>
      <c r="HL1235" s="4"/>
      <c r="HZ1235" s="4"/>
      <c r="IU1235" s="4"/>
      <c r="JM1235" s="4"/>
    </row>
    <row r="1236" spans="24:273" ht="12" customHeight="1">
      <c r="X1236" s="4"/>
      <c r="AH1236" s="4"/>
      <c r="EA1236" s="4"/>
      <c r="FX1236" s="4"/>
      <c r="HL1236" s="4"/>
      <c r="HZ1236" s="4"/>
      <c r="IU1236" s="4"/>
      <c r="JM1236" s="4"/>
    </row>
    <row r="1237" spans="24:273" ht="12" customHeight="1">
      <c r="X1237" s="4"/>
      <c r="AH1237" s="4"/>
      <c r="EA1237" s="4"/>
      <c r="FX1237" s="4"/>
      <c r="HL1237" s="4"/>
      <c r="HZ1237" s="4"/>
      <c r="IU1237" s="4"/>
      <c r="JM1237" s="4"/>
    </row>
    <row r="1238" spans="24:273" ht="12" customHeight="1">
      <c r="X1238" s="4"/>
      <c r="AH1238" s="4"/>
      <c r="EA1238" s="4"/>
      <c r="FX1238" s="4"/>
      <c r="HL1238" s="4"/>
      <c r="HZ1238" s="4"/>
      <c r="IU1238" s="4"/>
      <c r="JM1238" s="4"/>
    </row>
    <row r="1239" spans="24:273" ht="12" customHeight="1">
      <c r="X1239" s="4"/>
      <c r="AH1239" s="4"/>
      <c r="EA1239" s="4"/>
      <c r="FX1239" s="4"/>
      <c r="HL1239" s="4"/>
      <c r="HZ1239" s="4"/>
      <c r="IU1239" s="4"/>
      <c r="JM1239" s="4"/>
    </row>
    <row r="1240" spans="24:273" ht="12" customHeight="1">
      <c r="X1240" s="4"/>
      <c r="AH1240" s="4"/>
      <c r="EA1240" s="4"/>
      <c r="FX1240" s="4"/>
      <c r="HL1240" s="4"/>
      <c r="HZ1240" s="4"/>
      <c r="IU1240" s="4"/>
      <c r="JM1240" s="4"/>
    </row>
    <row r="1241" spans="24:273" ht="12" customHeight="1">
      <c r="X1241" s="4"/>
      <c r="AH1241" s="4"/>
      <c r="EA1241" s="4"/>
      <c r="FX1241" s="4"/>
      <c r="HL1241" s="4"/>
      <c r="HZ1241" s="4"/>
      <c r="IU1241" s="4"/>
      <c r="JM1241" s="4"/>
    </row>
    <row r="1242" spans="24:273" ht="12" customHeight="1">
      <c r="X1242" s="4"/>
      <c r="AH1242" s="4"/>
      <c r="EA1242" s="4"/>
      <c r="FX1242" s="4"/>
      <c r="HL1242" s="4"/>
      <c r="HZ1242" s="4"/>
      <c r="IU1242" s="4"/>
      <c r="JM1242" s="4"/>
    </row>
    <row r="1243" spans="24:273" ht="12" customHeight="1">
      <c r="X1243" s="4"/>
      <c r="AH1243" s="4"/>
      <c r="EA1243" s="4"/>
      <c r="FX1243" s="4"/>
      <c r="HL1243" s="4"/>
      <c r="HZ1243" s="4"/>
      <c r="IU1243" s="4"/>
      <c r="JM1243" s="4"/>
    </row>
    <row r="1244" spans="24:273" ht="12" customHeight="1">
      <c r="X1244" s="4"/>
      <c r="AH1244" s="4"/>
      <c r="EA1244" s="4"/>
      <c r="FX1244" s="4"/>
      <c r="HL1244" s="4"/>
      <c r="HZ1244" s="4"/>
      <c r="IU1244" s="4"/>
      <c r="JM1244" s="4"/>
    </row>
    <row r="1245" spans="24:273" ht="12" customHeight="1">
      <c r="X1245" s="4"/>
      <c r="AH1245" s="4"/>
      <c r="EA1245" s="4"/>
      <c r="FX1245" s="4"/>
      <c r="HL1245" s="4"/>
      <c r="HZ1245" s="4"/>
      <c r="IU1245" s="4"/>
      <c r="JM1245" s="4"/>
    </row>
    <row r="1246" spans="24:273" ht="12" customHeight="1">
      <c r="X1246" s="4"/>
      <c r="AH1246" s="4"/>
      <c r="EA1246" s="4"/>
      <c r="FX1246" s="4"/>
      <c r="HL1246" s="4"/>
      <c r="HZ1246" s="4"/>
      <c r="IU1246" s="4"/>
      <c r="JM1246" s="4"/>
    </row>
    <row r="1247" spans="24:273" ht="12" customHeight="1">
      <c r="X1247" s="4"/>
      <c r="AH1247" s="4"/>
      <c r="EA1247" s="4"/>
      <c r="FX1247" s="4"/>
      <c r="HL1247" s="4"/>
      <c r="HZ1247" s="4"/>
      <c r="IU1247" s="4"/>
      <c r="JM1247" s="4"/>
    </row>
    <row r="1248" spans="24:273" ht="12" customHeight="1">
      <c r="X1248" s="4"/>
      <c r="AH1248" s="4"/>
      <c r="EA1248" s="4"/>
      <c r="FX1248" s="4"/>
      <c r="HL1248" s="4"/>
      <c r="HZ1248" s="4"/>
      <c r="IU1248" s="4"/>
      <c r="JM1248" s="4"/>
    </row>
    <row r="1249" spans="24:273" ht="12" customHeight="1">
      <c r="X1249" s="4"/>
      <c r="AH1249" s="4"/>
      <c r="EA1249" s="4"/>
      <c r="FX1249" s="4"/>
      <c r="HL1249" s="4"/>
      <c r="HZ1249" s="4"/>
      <c r="IU1249" s="4"/>
      <c r="JM1249" s="4"/>
    </row>
    <row r="1250" spans="24:273" ht="12" customHeight="1">
      <c r="X1250" s="4"/>
      <c r="AH1250" s="4"/>
      <c r="EA1250" s="4"/>
      <c r="FX1250" s="4"/>
      <c r="HL1250" s="4"/>
      <c r="HZ1250" s="4"/>
      <c r="IU1250" s="4"/>
      <c r="JM1250" s="4"/>
    </row>
    <row r="1251" spans="24:273" ht="12" customHeight="1">
      <c r="X1251" s="4"/>
      <c r="AH1251" s="4"/>
      <c r="EA1251" s="4"/>
      <c r="FX1251" s="4"/>
      <c r="HL1251" s="4"/>
      <c r="HZ1251" s="4"/>
      <c r="IU1251" s="4"/>
      <c r="JM1251" s="4"/>
    </row>
    <row r="1252" spans="24:273" ht="12" customHeight="1">
      <c r="X1252" s="4"/>
      <c r="AH1252" s="4"/>
      <c r="EA1252" s="4"/>
      <c r="FX1252" s="4"/>
      <c r="HL1252" s="4"/>
      <c r="HZ1252" s="4"/>
      <c r="IU1252" s="4"/>
      <c r="JM1252" s="4"/>
    </row>
    <row r="1253" spans="24:273" ht="12" customHeight="1">
      <c r="X1253" s="4"/>
      <c r="AH1253" s="4"/>
      <c r="EA1253" s="4"/>
      <c r="FX1253" s="4"/>
      <c r="HL1253" s="4"/>
      <c r="HZ1253" s="4"/>
      <c r="IU1253" s="4"/>
      <c r="JM1253" s="4"/>
    </row>
    <row r="1254" spans="24:273" ht="12" customHeight="1">
      <c r="X1254" s="4"/>
      <c r="AH1254" s="4"/>
      <c r="EA1254" s="4"/>
      <c r="FX1254" s="4"/>
      <c r="HL1254" s="4"/>
      <c r="HZ1254" s="4"/>
      <c r="IU1254" s="4"/>
      <c r="JM1254" s="4"/>
    </row>
    <row r="1255" spans="24:273" ht="12" customHeight="1">
      <c r="X1255" s="4"/>
      <c r="AH1255" s="4"/>
      <c r="EA1255" s="4"/>
      <c r="FX1255" s="4"/>
      <c r="HL1255" s="4"/>
      <c r="HZ1255" s="4"/>
      <c r="IU1255" s="4"/>
      <c r="JM1255" s="4"/>
    </row>
    <row r="1256" spans="24:273" ht="12" customHeight="1">
      <c r="X1256" s="4"/>
      <c r="AH1256" s="4"/>
      <c r="EA1256" s="4"/>
      <c r="FX1256" s="4"/>
      <c r="HL1256" s="4"/>
      <c r="HZ1256" s="4"/>
      <c r="IU1256" s="4"/>
      <c r="JM1256" s="4"/>
    </row>
    <row r="1257" spans="24:273" ht="12" customHeight="1">
      <c r="X1257" s="4"/>
      <c r="AH1257" s="4"/>
      <c r="EA1257" s="4"/>
      <c r="FX1257" s="4"/>
      <c r="HL1257" s="4"/>
      <c r="HZ1257" s="4"/>
      <c r="IU1257" s="4"/>
      <c r="JM1257" s="4"/>
    </row>
    <row r="1258" spans="24:273" ht="12" customHeight="1">
      <c r="X1258" s="4"/>
      <c r="AH1258" s="4"/>
      <c r="EA1258" s="4"/>
      <c r="FX1258" s="4"/>
      <c r="HL1258" s="4"/>
      <c r="HZ1258" s="4"/>
      <c r="IU1258" s="4"/>
      <c r="JM1258" s="4"/>
    </row>
    <row r="1259" spans="24:273" ht="12" customHeight="1">
      <c r="X1259" s="4"/>
      <c r="AH1259" s="4"/>
      <c r="EA1259" s="4"/>
      <c r="FX1259" s="4"/>
      <c r="HL1259" s="4"/>
      <c r="HZ1259" s="4"/>
      <c r="IU1259" s="4"/>
      <c r="JM1259" s="4"/>
    </row>
    <row r="1260" spans="24:273" ht="12" customHeight="1">
      <c r="X1260" s="4"/>
      <c r="AH1260" s="4"/>
      <c r="EA1260" s="4"/>
      <c r="FX1260" s="4"/>
      <c r="HL1260" s="4"/>
      <c r="HZ1260" s="4"/>
      <c r="IU1260" s="4"/>
      <c r="JM1260" s="4"/>
    </row>
    <row r="1261" spans="24:273" ht="12" customHeight="1">
      <c r="X1261" s="4"/>
      <c r="AH1261" s="4"/>
      <c r="EA1261" s="4"/>
      <c r="FX1261" s="4"/>
      <c r="HL1261" s="4"/>
      <c r="HZ1261" s="4"/>
      <c r="IU1261" s="4"/>
      <c r="JM1261" s="4"/>
    </row>
    <row r="1262" spans="24:273" ht="12" customHeight="1">
      <c r="X1262" s="4"/>
      <c r="AH1262" s="4"/>
      <c r="EA1262" s="4"/>
      <c r="FX1262" s="4"/>
      <c r="HL1262" s="4"/>
      <c r="HZ1262" s="4"/>
      <c r="IU1262" s="4"/>
      <c r="JM1262" s="4"/>
    </row>
    <row r="1263" spans="24:273" ht="12" customHeight="1">
      <c r="X1263" s="4"/>
      <c r="AH1263" s="4"/>
      <c r="EA1263" s="4"/>
      <c r="FX1263" s="4"/>
      <c r="HL1263" s="4"/>
      <c r="HZ1263" s="4"/>
      <c r="IU1263" s="4"/>
      <c r="JM1263" s="4"/>
    </row>
    <row r="1264" spans="24:273" ht="12" customHeight="1">
      <c r="X1264" s="4"/>
      <c r="AH1264" s="4"/>
      <c r="EA1264" s="4"/>
      <c r="FX1264" s="4"/>
      <c r="HL1264" s="4"/>
      <c r="HZ1264" s="4"/>
      <c r="IU1264" s="4"/>
      <c r="JM1264" s="4"/>
    </row>
    <row r="1265" spans="24:273" ht="12" customHeight="1">
      <c r="X1265" s="4"/>
      <c r="AH1265" s="4"/>
      <c r="EA1265" s="4"/>
      <c r="FX1265" s="4"/>
      <c r="HL1265" s="4"/>
      <c r="HZ1265" s="4"/>
      <c r="IU1265" s="4"/>
      <c r="JM1265" s="4"/>
    </row>
    <row r="1266" spans="24:273" ht="12" customHeight="1">
      <c r="X1266" s="4"/>
      <c r="AH1266" s="4"/>
      <c r="EA1266" s="4"/>
      <c r="FX1266" s="4"/>
      <c r="HL1266" s="4"/>
      <c r="HZ1266" s="4"/>
      <c r="IU1266" s="4"/>
      <c r="JM1266" s="4"/>
    </row>
    <row r="1267" spans="24:273" ht="12" customHeight="1">
      <c r="X1267" s="4"/>
      <c r="AH1267" s="4"/>
      <c r="EA1267" s="4"/>
      <c r="FX1267" s="4"/>
      <c r="HL1267" s="4"/>
      <c r="HZ1267" s="4"/>
      <c r="IU1267" s="4"/>
      <c r="JM1267" s="4"/>
    </row>
    <row r="1268" spans="24:273" ht="12" customHeight="1">
      <c r="X1268" s="4"/>
      <c r="AH1268" s="4"/>
      <c r="EA1268" s="4"/>
      <c r="FX1268" s="4"/>
      <c r="HL1268" s="4"/>
      <c r="HZ1268" s="4"/>
      <c r="IU1268" s="4"/>
      <c r="JM1268" s="4"/>
    </row>
    <row r="1269" spans="24:273" ht="12" customHeight="1">
      <c r="X1269" s="4"/>
      <c r="AH1269" s="4"/>
      <c r="EA1269" s="4"/>
      <c r="FX1269" s="4"/>
      <c r="HL1269" s="4"/>
      <c r="HZ1269" s="4"/>
      <c r="IU1269" s="4"/>
      <c r="JM1269" s="4"/>
    </row>
    <row r="1270" spans="24:273" ht="12" customHeight="1">
      <c r="X1270" s="4"/>
      <c r="AH1270" s="4"/>
      <c r="EA1270" s="4"/>
      <c r="FX1270" s="4"/>
      <c r="HL1270" s="4"/>
      <c r="HZ1270" s="4"/>
      <c r="IU1270" s="4"/>
      <c r="JM1270" s="4"/>
    </row>
    <row r="1271" spans="24:273" ht="12" customHeight="1">
      <c r="X1271" s="4"/>
      <c r="AH1271" s="4"/>
      <c r="EA1271" s="4"/>
      <c r="FX1271" s="4"/>
      <c r="HL1271" s="4"/>
      <c r="HZ1271" s="4"/>
      <c r="IU1271" s="4"/>
      <c r="JM1271" s="4"/>
    </row>
    <row r="1272" spans="24:273" ht="12" customHeight="1">
      <c r="X1272" s="4"/>
      <c r="AH1272" s="4"/>
      <c r="EA1272" s="4"/>
      <c r="FX1272" s="4"/>
      <c r="HL1272" s="4"/>
      <c r="HZ1272" s="4"/>
      <c r="IU1272" s="4"/>
      <c r="JM1272" s="4"/>
    </row>
    <row r="1273" spans="24:273" ht="12" customHeight="1">
      <c r="X1273" s="4"/>
      <c r="AH1273" s="4"/>
      <c r="EA1273" s="4"/>
      <c r="FX1273" s="4"/>
      <c r="HL1273" s="4"/>
      <c r="HZ1273" s="4"/>
      <c r="IU1273" s="4"/>
      <c r="JM1273" s="4"/>
    </row>
    <row r="1274" spans="24:273" ht="12" customHeight="1">
      <c r="X1274" s="4"/>
      <c r="AH1274" s="4"/>
      <c r="EA1274" s="4"/>
      <c r="FX1274" s="4"/>
      <c r="HL1274" s="4"/>
      <c r="HZ1274" s="4"/>
      <c r="IU1274" s="4"/>
      <c r="JM1274" s="4"/>
    </row>
    <row r="1275" spans="24:273" ht="12" customHeight="1">
      <c r="X1275" s="4"/>
      <c r="AH1275" s="4"/>
      <c r="EA1275" s="4"/>
      <c r="FX1275" s="4"/>
      <c r="HL1275" s="4"/>
      <c r="HZ1275" s="4"/>
      <c r="IU1275" s="4"/>
      <c r="JM1275" s="4"/>
    </row>
    <row r="1276" spans="24:273" ht="12" customHeight="1">
      <c r="X1276" s="4"/>
      <c r="AH1276" s="4"/>
      <c r="EA1276" s="4"/>
      <c r="FX1276" s="4"/>
      <c r="HL1276" s="4"/>
      <c r="HZ1276" s="4"/>
      <c r="IU1276" s="4"/>
      <c r="JM1276" s="4"/>
    </row>
    <row r="1277" spans="24:273" ht="12" customHeight="1">
      <c r="X1277" s="4"/>
      <c r="AH1277" s="4"/>
      <c r="EA1277" s="4"/>
      <c r="FX1277" s="4"/>
      <c r="HL1277" s="4"/>
      <c r="HZ1277" s="4"/>
      <c r="IU1277" s="4"/>
      <c r="JM1277" s="4"/>
    </row>
    <row r="1278" spans="24:273" ht="12" customHeight="1">
      <c r="X1278" s="4"/>
      <c r="AH1278" s="4"/>
      <c r="EA1278" s="4"/>
      <c r="FX1278" s="4"/>
      <c r="HL1278" s="4"/>
      <c r="HZ1278" s="4"/>
      <c r="IU1278" s="4"/>
      <c r="JM1278" s="4"/>
    </row>
    <row r="1279" spans="24:273" ht="12" customHeight="1">
      <c r="X1279" s="4"/>
      <c r="AH1279" s="4"/>
      <c r="EA1279" s="4"/>
      <c r="FX1279" s="4"/>
      <c r="HL1279" s="4"/>
      <c r="HZ1279" s="4"/>
      <c r="IU1279" s="4"/>
      <c r="JM1279" s="4"/>
    </row>
    <row r="1280" spans="24:273" ht="12" customHeight="1">
      <c r="X1280" s="4"/>
      <c r="AH1280" s="4"/>
      <c r="EA1280" s="4"/>
      <c r="FX1280" s="4"/>
      <c r="HL1280" s="4"/>
      <c r="HZ1280" s="4"/>
      <c r="IU1280" s="4"/>
      <c r="JM1280" s="4"/>
    </row>
    <row r="1281" spans="24:273" ht="12" customHeight="1">
      <c r="X1281" s="4"/>
      <c r="AH1281" s="4"/>
      <c r="EA1281" s="4"/>
      <c r="FX1281" s="4"/>
      <c r="HL1281" s="4"/>
      <c r="HZ1281" s="4"/>
      <c r="IU1281" s="4"/>
      <c r="JM1281" s="4"/>
    </row>
    <row r="1282" spans="24:273" ht="12" customHeight="1">
      <c r="X1282" s="4"/>
      <c r="AH1282" s="4"/>
      <c r="EA1282" s="4"/>
      <c r="FX1282" s="4"/>
      <c r="HL1282" s="4"/>
      <c r="HZ1282" s="4"/>
      <c r="IU1282" s="4"/>
      <c r="JM1282" s="4"/>
    </row>
    <row r="1283" spans="24:273" ht="12" customHeight="1">
      <c r="X1283" s="4"/>
      <c r="AH1283" s="4"/>
      <c r="EA1283" s="4"/>
      <c r="FX1283" s="4"/>
      <c r="HL1283" s="4"/>
      <c r="HZ1283" s="4"/>
      <c r="IU1283" s="4"/>
      <c r="JM1283" s="4"/>
    </row>
    <row r="1284" spans="24:273" ht="12" customHeight="1">
      <c r="X1284" s="4"/>
      <c r="AH1284" s="4"/>
      <c r="EA1284" s="4"/>
      <c r="FX1284" s="4"/>
      <c r="HL1284" s="4"/>
      <c r="HZ1284" s="4"/>
      <c r="IU1284" s="4"/>
      <c r="JM1284" s="4"/>
    </row>
    <row r="1285" spans="24:273" ht="12" customHeight="1">
      <c r="X1285" s="4"/>
      <c r="AH1285" s="4"/>
      <c r="EA1285" s="4"/>
      <c r="FX1285" s="4"/>
      <c r="HL1285" s="4"/>
      <c r="HZ1285" s="4"/>
      <c r="IU1285" s="4"/>
      <c r="JM1285" s="4"/>
    </row>
    <row r="1286" spans="24:273" ht="12" customHeight="1">
      <c r="X1286" s="4"/>
      <c r="AH1286" s="4"/>
      <c r="EA1286" s="4"/>
      <c r="FX1286" s="4"/>
      <c r="HL1286" s="4"/>
      <c r="HZ1286" s="4"/>
      <c r="IU1286" s="4"/>
      <c r="JM1286" s="4"/>
    </row>
    <row r="1287" spans="24:273" ht="12" customHeight="1">
      <c r="X1287" s="4"/>
      <c r="AH1287" s="4"/>
      <c r="EA1287" s="4"/>
      <c r="FX1287" s="4"/>
      <c r="HL1287" s="4"/>
      <c r="HZ1287" s="4"/>
      <c r="IU1287" s="4"/>
      <c r="JM1287" s="4"/>
    </row>
    <row r="1288" spans="24:273" ht="12" customHeight="1">
      <c r="X1288" s="4"/>
      <c r="AH1288" s="4"/>
      <c r="EA1288" s="4"/>
      <c r="FX1288" s="4"/>
      <c r="HL1288" s="4"/>
      <c r="HZ1288" s="4"/>
      <c r="IU1288" s="4"/>
      <c r="JM1288" s="4"/>
    </row>
    <row r="1289" spans="24:273" ht="12" customHeight="1">
      <c r="X1289" s="4"/>
      <c r="AH1289" s="4"/>
      <c r="EA1289" s="4"/>
      <c r="FX1289" s="4"/>
      <c r="HL1289" s="4"/>
      <c r="HZ1289" s="4"/>
      <c r="IU1289" s="4"/>
      <c r="JM1289" s="4"/>
    </row>
    <row r="1290" spans="24:273" ht="12" customHeight="1">
      <c r="X1290" s="4"/>
      <c r="AH1290" s="4"/>
      <c r="EA1290" s="4"/>
      <c r="FX1290" s="4"/>
      <c r="HL1290" s="4"/>
      <c r="HZ1290" s="4"/>
      <c r="IU1290" s="4"/>
      <c r="JM1290" s="4"/>
    </row>
    <row r="1291" spans="24:273" ht="12" customHeight="1">
      <c r="X1291" s="4"/>
      <c r="AH1291" s="4"/>
      <c r="EA1291" s="4"/>
      <c r="FX1291" s="4"/>
      <c r="HL1291" s="4"/>
      <c r="HZ1291" s="4"/>
      <c r="IU1291" s="4"/>
      <c r="JM1291" s="4"/>
    </row>
    <row r="1292" spans="24:273" ht="12" customHeight="1">
      <c r="X1292" s="4"/>
      <c r="AH1292" s="4"/>
      <c r="EA1292" s="4"/>
      <c r="FX1292" s="4"/>
      <c r="HL1292" s="4"/>
      <c r="HZ1292" s="4"/>
      <c r="IU1292" s="4"/>
      <c r="JM1292" s="4"/>
    </row>
    <row r="1293" spans="24:273" ht="12" customHeight="1">
      <c r="X1293" s="4"/>
      <c r="AH1293" s="4"/>
      <c r="EA1293" s="4"/>
      <c r="FX1293" s="4"/>
      <c r="HL1293" s="4"/>
      <c r="HZ1293" s="4"/>
      <c r="IU1293" s="4"/>
      <c r="JM1293" s="4"/>
    </row>
    <row r="1294" spans="24:273" ht="12" customHeight="1">
      <c r="X1294" s="4"/>
      <c r="AH1294" s="4"/>
      <c r="EA1294" s="4"/>
      <c r="FX1294" s="4"/>
      <c r="HL1294" s="4"/>
      <c r="HZ1294" s="4"/>
      <c r="IU1294" s="4"/>
      <c r="JM1294" s="4"/>
    </row>
    <row r="1295" spans="24:273" ht="12" customHeight="1">
      <c r="X1295" s="4"/>
      <c r="AH1295" s="4"/>
      <c r="EA1295" s="4"/>
      <c r="FX1295" s="4"/>
      <c r="HL1295" s="4"/>
      <c r="HZ1295" s="4"/>
      <c r="IU1295" s="4"/>
      <c r="JM1295" s="4"/>
    </row>
    <row r="1296" spans="24:273" ht="12" customHeight="1">
      <c r="X1296" s="4"/>
      <c r="AH1296" s="4"/>
      <c r="EA1296" s="4"/>
      <c r="FX1296" s="4"/>
      <c r="HL1296" s="4"/>
      <c r="HZ1296" s="4"/>
      <c r="IU1296" s="4"/>
      <c r="JM1296" s="4"/>
    </row>
    <row r="1297" spans="24:273" ht="12" customHeight="1">
      <c r="X1297" s="4"/>
      <c r="AH1297" s="4"/>
      <c r="EA1297" s="4"/>
      <c r="FX1297" s="4"/>
      <c r="HL1297" s="4"/>
      <c r="HZ1297" s="4"/>
      <c r="IU1297" s="4"/>
      <c r="JM1297" s="4"/>
    </row>
    <row r="1298" spans="24:273" ht="12" customHeight="1">
      <c r="X1298" s="4"/>
      <c r="AH1298" s="4"/>
      <c r="EA1298" s="4"/>
      <c r="FX1298" s="4"/>
      <c r="HL1298" s="4"/>
      <c r="HZ1298" s="4"/>
      <c r="IU1298" s="4"/>
      <c r="JM1298" s="4"/>
    </row>
    <row r="1299" spans="24:273" ht="12" customHeight="1">
      <c r="X1299" s="4"/>
      <c r="AH1299" s="4"/>
      <c r="EA1299" s="4"/>
      <c r="FX1299" s="4"/>
      <c r="HL1299" s="4"/>
      <c r="HZ1299" s="4"/>
      <c r="IU1299" s="4"/>
      <c r="JM1299" s="4"/>
    </row>
    <row r="1300" spans="24:273" ht="12" customHeight="1">
      <c r="X1300" s="4"/>
      <c r="AH1300" s="4"/>
      <c r="EA1300" s="4"/>
      <c r="FX1300" s="4"/>
      <c r="HL1300" s="4"/>
      <c r="HZ1300" s="4"/>
      <c r="IU1300" s="4"/>
      <c r="JM1300" s="4"/>
    </row>
    <row r="1301" spans="24:273" ht="12" customHeight="1">
      <c r="X1301" s="4"/>
      <c r="AH1301" s="4"/>
      <c r="EA1301" s="4"/>
      <c r="FX1301" s="4"/>
      <c r="HL1301" s="4"/>
      <c r="HZ1301" s="4"/>
      <c r="IU1301" s="4"/>
      <c r="JM1301" s="4"/>
    </row>
    <row r="1302" spans="24:273" ht="12" customHeight="1">
      <c r="X1302" s="4"/>
      <c r="AH1302" s="4"/>
      <c r="EA1302" s="4"/>
      <c r="FX1302" s="4"/>
      <c r="HL1302" s="4"/>
      <c r="HZ1302" s="4"/>
      <c r="IU1302" s="4"/>
      <c r="JM1302" s="4"/>
    </row>
    <row r="1303" spans="24:273" ht="12" customHeight="1">
      <c r="X1303" s="4"/>
      <c r="AH1303" s="4"/>
      <c r="EA1303" s="4"/>
      <c r="FX1303" s="4"/>
      <c r="HL1303" s="4"/>
      <c r="HZ1303" s="4"/>
      <c r="IU1303" s="4"/>
      <c r="JM1303" s="4"/>
    </row>
    <row r="1304" spans="24:273" ht="12" customHeight="1">
      <c r="X1304" s="4"/>
      <c r="AH1304" s="4"/>
      <c r="EA1304" s="4"/>
      <c r="FX1304" s="4"/>
      <c r="HL1304" s="4"/>
      <c r="HZ1304" s="4"/>
      <c r="IU1304" s="4"/>
      <c r="JM1304" s="4"/>
    </row>
    <row r="1305" spans="24:273" ht="12" customHeight="1">
      <c r="X1305" s="4"/>
      <c r="AH1305" s="4"/>
      <c r="EA1305" s="4"/>
      <c r="FX1305" s="4"/>
      <c r="HL1305" s="4"/>
      <c r="HZ1305" s="4"/>
      <c r="IU1305" s="4"/>
      <c r="JM1305" s="4"/>
    </row>
    <row r="1306" spans="24:273" ht="12" customHeight="1">
      <c r="X1306" s="4"/>
      <c r="AH1306" s="4"/>
      <c r="EA1306" s="4"/>
      <c r="FX1306" s="4"/>
      <c r="HL1306" s="4"/>
      <c r="HZ1306" s="4"/>
      <c r="IU1306" s="4"/>
      <c r="JM1306" s="4"/>
    </row>
    <row r="1307" spans="24:273" ht="12" customHeight="1">
      <c r="X1307" s="4"/>
      <c r="AH1307" s="4"/>
      <c r="EA1307" s="4"/>
      <c r="FX1307" s="4"/>
      <c r="HL1307" s="4"/>
      <c r="HZ1307" s="4"/>
      <c r="IU1307" s="4"/>
      <c r="JM1307" s="4"/>
    </row>
    <row r="1308" spans="24:273" ht="12" customHeight="1">
      <c r="X1308" s="4"/>
      <c r="AH1308" s="4"/>
      <c r="EA1308" s="4"/>
      <c r="FX1308" s="4"/>
      <c r="HL1308" s="4"/>
      <c r="HZ1308" s="4"/>
      <c r="IU1308" s="4"/>
      <c r="JM1308" s="4"/>
    </row>
    <row r="1309" spans="24:273" ht="12" customHeight="1">
      <c r="X1309" s="4"/>
      <c r="AH1309" s="4"/>
      <c r="EA1309" s="4"/>
      <c r="FX1309" s="4"/>
      <c r="HL1309" s="4"/>
      <c r="HZ1309" s="4"/>
      <c r="IU1309" s="4"/>
      <c r="JM1309" s="4"/>
    </row>
    <row r="1310" spans="24:273" ht="12" customHeight="1">
      <c r="X1310" s="4"/>
      <c r="AH1310" s="4"/>
      <c r="EA1310" s="4"/>
      <c r="FX1310" s="4"/>
      <c r="HL1310" s="4"/>
      <c r="HZ1310" s="4"/>
      <c r="IU1310" s="4"/>
      <c r="JM1310" s="4"/>
    </row>
    <row r="1311" spans="24:273" ht="12" customHeight="1">
      <c r="X1311" s="4"/>
      <c r="AH1311" s="4"/>
      <c r="EA1311" s="4"/>
      <c r="FX1311" s="4"/>
      <c r="HL1311" s="4"/>
      <c r="HZ1311" s="4"/>
      <c r="IU1311" s="4"/>
      <c r="JM1311" s="4"/>
    </row>
    <row r="1312" spans="24:273" ht="12" customHeight="1">
      <c r="X1312" s="4"/>
      <c r="AH1312" s="4"/>
      <c r="EA1312" s="4"/>
      <c r="FX1312" s="4"/>
      <c r="HL1312" s="4"/>
      <c r="HZ1312" s="4"/>
      <c r="IU1312" s="4"/>
      <c r="JM1312" s="4"/>
    </row>
    <row r="1313" spans="24:273" ht="12" customHeight="1">
      <c r="X1313" s="4"/>
      <c r="AH1313" s="4"/>
      <c r="EA1313" s="4"/>
      <c r="FX1313" s="4"/>
      <c r="HL1313" s="4"/>
      <c r="HZ1313" s="4"/>
      <c r="IU1313" s="4"/>
      <c r="JM1313" s="4"/>
    </row>
    <row r="1314" spans="24:273" ht="12" customHeight="1">
      <c r="X1314" s="4"/>
      <c r="AH1314" s="4"/>
      <c r="EA1314" s="4"/>
      <c r="FX1314" s="4"/>
      <c r="HL1314" s="4"/>
      <c r="HZ1314" s="4"/>
      <c r="IU1314" s="4"/>
      <c r="JM1314" s="4"/>
    </row>
    <row r="1315" spans="24:273" ht="12" customHeight="1">
      <c r="X1315" s="4"/>
      <c r="AH1315" s="4"/>
      <c r="EA1315" s="4"/>
      <c r="FX1315" s="4"/>
      <c r="HL1315" s="4"/>
      <c r="HZ1315" s="4"/>
      <c r="IU1315" s="4"/>
      <c r="JM1315" s="4"/>
    </row>
    <row r="1316" spans="24:273" ht="12" customHeight="1">
      <c r="X1316" s="4"/>
      <c r="AH1316" s="4"/>
      <c r="EA1316" s="4"/>
      <c r="FX1316" s="4"/>
      <c r="HL1316" s="4"/>
      <c r="HZ1316" s="4"/>
      <c r="IU1316" s="4"/>
      <c r="JM1316" s="4"/>
    </row>
    <row r="1317" spans="24:273" ht="12" customHeight="1">
      <c r="X1317" s="4"/>
      <c r="AH1317" s="4"/>
      <c r="EA1317" s="4"/>
      <c r="FX1317" s="4"/>
      <c r="HL1317" s="4"/>
      <c r="HZ1317" s="4"/>
      <c r="IU1317" s="4"/>
      <c r="JM1317" s="4"/>
    </row>
    <row r="1318" spans="24:273" ht="12" customHeight="1">
      <c r="X1318" s="4"/>
      <c r="AH1318" s="4"/>
      <c r="EA1318" s="4"/>
      <c r="FX1318" s="4"/>
      <c r="HL1318" s="4"/>
      <c r="HZ1318" s="4"/>
      <c r="IU1318" s="4"/>
      <c r="JM1318" s="4"/>
    </row>
    <row r="1319" spans="24:273" ht="12" customHeight="1">
      <c r="X1319" s="4"/>
      <c r="AH1319" s="4"/>
      <c r="EA1319" s="4"/>
      <c r="FX1319" s="4"/>
      <c r="HL1319" s="4"/>
      <c r="HZ1319" s="4"/>
      <c r="IU1319" s="4"/>
      <c r="JM1319" s="4"/>
    </row>
    <row r="1320" spans="24:273" ht="12" customHeight="1">
      <c r="X1320" s="4"/>
      <c r="AH1320" s="4"/>
      <c r="EA1320" s="4"/>
      <c r="FX1320" s="4"/>
      <c r="HL1320" s="4"/>
      <c r="HZ1320" s="4"/>
      <c r="IU1320" s="4"/>
      <c r="JM1320" s="4"/>
    </row>
    <row r="1321" spans="24:273" ht="12" customHeight="1">
      <c r="X1321" s="4"/>
      <c r="AH1321" s="4"/>
      <c r="EA1321" s="4"/>
      <c r="FX1321" s="4"/>
      <c r="HL1321" s="4"/>
      <c r="HZ1321" s="4"/>
      <c r="IU1321" s="4"/>
      <c r="JM1321" s="4"/>
    </row>
    <row r="1322" spans="24:273" ht="12" customHeight="1">
      <c r="X1322" s="4"/>
      <c r="AH1322" s="4"/>
      <c r="EA1322" s="4"/>
      <c r="FX1322" s="4"/>
      <c r="HL1322" s="4"/>
      <c r="HZ1322" s="4"/>
      <c r="IU1322" s="4"/>
      <c r="JM1322" s="4"/>
    </row>
    <row r="1323" spans="24:273" ht="12" customHeight="1">
      <c r="X1323" s="4"/>
      <c r="AH1323" s="4"/>
      <c r="EA1323" s="4"/>
      <c r="FX1323" s="4"/>
      <c r="HL1323" s="4"/>
      <c r="HZ1323" s="4"/>
      <c r="IU1323" s="4"/>
      <c r="JM1323" s="4"/>
    </row>
    <row r="1324" spans="24:273" ht="12" customHeight="1">
      <c r="X1324" s="4"/>
      <c r="AH1324" s="4"/>
      <c r="EA1324" s="4"/>
      <c r="FX1324" s="4"/>
      <c r="HL1324" s="4"/>
      <c r="HZ1324" s="4"/>
      <c r="IU1324" s="4"/>
      <c r="JM1324" s="4"/>
    </row>
    <row r="1325" spans="24:273" ht="12" customHeight="1">
      <c r="X1325" s="4"/>
      <c r="AH1325" s="4"/>
      <c r="EA1325" s="4"/>
      <c r="FX1325" s="4"/>
      <c r="HL1325" s="4"/>
      <c r="HZ1325" s="4"/>
      <c r="IU1325" s="4"/>
      <c r="JM1325" s="4"/>
    </row>
    <row r="1326" spans="24:273" ht="12" customHeight="1">
      <c r="X1326" s="4"/>
      <c r="AH1326" s="4"/>
      <c r="EA1326" s="4"/>
      <c r="FX1326" s="4"/>
      <c r="HL1326" s="4"/>
      <c r="HZ1326" s="4"/>
      <c r="IU1326" s="4"/>
      <c r="JM1326" s="4"/>
    </row>
    <row r="1327" spans="24:273" ht="12" customHeight="1">
      <c r="X1327" s="4"/>
      <c r="AH1327" s="4"/>
      <c r="EA1327" s="4"/>
      <c r="FX1327" s="4"/>
      <c r="HL1327" s="4"/>
      <c r="HZ1327" s="4"/>
      <c r="IU1327" s="4"/>
      <c r="JM1327" s="4"/>
    </row>
    <row r="1328" spans="24:273" ht="12" customHeight="1">
      <c r="X1328" s="4"/>
      <c r="AH1328" s="4"/>
      <c r="EA1328" s="4"/>
      <c r="FX1328" s="4"/>
      <c r="HL1328" s="4"/>
      <c r="HZ1328" s="4"/>
      <c r="IU1328" s="4"/>
      <c r="JM1328" s="4"/>
    </row>
    <row r="1329" spans="24:273" ht="12" customHeight="1">
      <c r="X1329" s="4"/>
      <c r="AH1329" s="4"/>
      <c r="EA1329" s="4"/>
      <c r="FX1329" s="4"/>
      <c r="HL1329" s="4"/>
      <c r="HZ1329" s="4"/>
      <c r="IU1329" s="4"/>
      <c r="JM1329" s="4"/>
    </row>
    <row r="1330" spans="24:273" ht="12" customHeight="1">
      <c r="X1330" s="4"/>
      <c r="AH1330" s="4"/>
      <c r="EA1330" s="4"/>
      <c r="FX1330" s="4"/>
      <c r="HL1330" s="4"/>
      <c r="HZ1330" s="4"/>
      <c r="IU1330" s="4"/>
      <c r="JM1330" s="4"/>
    </row>
    <row r="1331" spans="24:273" ht="12" customHeight="1">
      <c r="X1331" s="4"/>
      <c r="AH1331" s="4"/>
      <c r="EA1331" s="4"/>
      <c r="FX1331" s="4"/>
      <c r="HL1331" s="4"/>
      <c r="HZ1331" s="4"/>
      <c r="IU1331" s="4"/>
      <c r="JM1331" s="4"/>
    </row>
    <row r="1332" spans="24:273" ht="12" customHeight="1">
      <c r="X1332" s="4"/>
      <c r="AH1332" s="4"/>
      <c r="EA1332" s="4"/>
      <c r="FX1332" s="4"/>
      <c r="HL1332" s="4"/>
      <c r="HZ1332" s="4"/>
      <c r="IU1332" s="4"/>
      <c r="JM1332" s="4"/>
    </row>
    <row r="1333" spans="24:273" ht="12" customHeight="1">
      <c r="X1333" s="4"/>
      <c r="AH1333" s="4"/>
      <c r="EA1333" s="4"/>
      <c r="FX1333" s="4"/>
      <c r="HL1333" s="4"/>
      <c r="HZ1333" s="4"/>
      <c r="IU1333" s="4"/>
      <c r="JM1333" s="4"/>
    </row>
    <row r="1334" spans="24:273" ht="12" customHeight="1">
      <c r="X1334" s="4"/>
      <c r="AH1334" s="4"/>
      <c r="EA1334" s="4"/>
      <c r="FX1334" s="4"/>
      <c r="HL1334" s="4"/>
      <c r="HZ1334" s="4"/>
      <c r="IU1334" s="4"/>
      <c r="JM1334" s="4"/>
    </row>
    <row r="1335" spans="24:273" ht="12" customHeight="1">
      <c r="X1335" s="4"/>
      <c r="AH1335" s="4"/>
      <c r="EA1335" s="4"/>
      <c r="FX1335" s="4"/>
      <c r="HL1335" s="4"/>
      <c r="HZ1335" s="4"/>
      <c r="IU1335" s="4"/>
      <c r="JM1335" s="4"/>
    </row>
    <row r="1336" spans="24:273" ht="12" customHeight="1">
      <c r="X1336" s="4"/>
      <c r="AH1336" s="4"/>
      <c r="EA1336" s="4"/>
      <c r="FX1336" s="4"/>
      <c r="HL1336" s="4"/>
      <c r="HZ1336" s="4"/>
      <c r="IU1336" s="4"/>
      <c r="JM1336" s="4"/>
    </row>
    <row r="1337" spans="24:273" ht="12" customHeight="1">
      <c r="X1337" s="4"/>
      <c r="AH1337" s="4"/>
      <c r="EA1337" s="4"/>
      <c r="FX1337" s="4"/>
      <c r="HL1337" s="4"/>
      <c r="HZ1337" s="4"/>
      <c r="IU1337" s="4"/>
      <c r="JM1337" s="4"/>
    </row>
    <row r="1338" spans="24:273" ht="12" customHeight="1">
      <c r="X1338" s="4"/>
      <c r="AH1338" s="4"/>
      <c r="EA1338" s="4"/>
      <c r="FX1338" s="4"/>
      <c r="HL1338" s="4"/>
      <c r="HZ1338" s="4"/>
      <c r="IU1338" s="4"/>
      <c r="JM1338" s="4"/>
    </row>
    <row r="1339" spans="24:273" ht="12" customHeight="1">
      <c r="X1339" s="4"/>
      <c r="AH1339" s="4"/>
      <c r="EA1339" s="4"/>
      <c r="FX1339" s="4"/>
      <c r="HL1339" s="4"/>
      <c r="HZ1339" s="4"/>
      <c r="IU1339" s="4"/>
      <c r="JM1339" s="4"/>
    </row>
    <row r="1340" spans="24:273" ht="12" customHeight="1">
      <c r="X1340" s="4"/>
      <c r="AH1340" s="4"/>
      <c r="EA1340" s="4"/>
      <c r="FX1340" s="4"/>
      <c r="HL1340" s="4"/>
      <c r="HZ1340" s="4"/>
      <c r="IU1340" s="4"/>
      <c r="JM1340" s="4"/>
    </row>
    <row r="1341" spans="24:273" ht="12" customHeight="1">
      <c r="X1341" s="4"/>
      <c r="AH1341" s="4"/>
      <c r="EA1341" s="4"/>
      <c r="FX1341" s="4"/>
      <c r="HL1341" s="4"/>
      <c r="HZ1341" s="4"/>
      <c r="IU1341" s="4"/>
      <c r="JM1341" s="4"/>
    </row>
    <row r="1342" spans="24:273" ht="12" customHeight="1">
      <c r="X1342" s="4"/>
      <c r="AH1342" s="4"/>
      <c r="EA1342" s="4"/>
      <c r="FX1342" s="4"/>
      <c r="HL1342" s="4"/>
      <c r="HZ1342" s="4"/>
      <c r="IU1342" s="4"/>
      <c r="JM1342" s="4"/>
    </row>
    <row r="1343" spans="24:273" ht="12" customHeight="1">
      <c r="X1343" s="4"/>
      <c r="AH1343" s="4"/>
      <c r="EA1343" s="4"/>
      <c r="FX1343" s="4"/>
      <c r="HL1343" s="4"/>
      <c r="HZ1343" s="4"/>
      <c r="IU1343" s="4"/>
      <c r="JM1343" s="4"/>
    </row>
    <row r="1344" spans="24:273" ht="12" customHeight="1">
      <c r="X1344" s="4"/>
      <c r="AH1344" s="4"/>
      <c r="EA1344" s="4"/>
      <c r="FX1344" s="4"/>
      <c r="HL1344" s="4"/>
      <c r="HZ1344" s="4"/>
      <c r="IU1344" s="4"/>
      <c r="JM1344" s="4"/>
    </row>
    <row r="1345" spans="24:273" ht="12" customHeight="1">
      <c r="X1345" s="4"/>
      <c r="AH1345" s="4"/>
      <c r="EA1345" s="4"/>
      <c r="FX1345" s="4"/>
      <c r="HL1345" s="4"/>
      <c r="HZ1345" s="4"/>
      <c r="IU1345" s="4"/>
      <c r="JM1345" s="4"/>
    </row>
    <row r="1346" spans="24:273" ht="12" customHeight="1">
      <c r="X1346" s="4"/>
      <c r="AH1346" s="4"/>
      <c r="EA1346" s="4"/>
      <c r="FX1346" s="4"/>
      <c r="HL1346" s="4"/>
      <c r="HZ1346" s="4"/>
      <c r="IU1346" s="4"/>
      <c r="JM1346" s="4"/>
    </row>
    <row r="1347" spans="24:273" ht="12" customHeight="1">
      <c r="X1347" s="4"/>
      <c r="AH1347" s="4"/>
      <c r="EA1347" s="4"/>
      <c r="FX1347" s="4"/>
      <c r="HL1347" s="4"/>
      <c r="HZ1347" s="4"/>
      <c r="IU1347" s="4"/>
      <c r="JM1347" s="4"/>
    </row>
    <row r="1348" spans="24:273" ht="12" customHeight="1">
      <c r="X1348" s="4"/>
      <c r="AH1348" s="4"/>
      <c r="EA1348" s="4"/>
      <c r="FX1348" s="4"/>
      <c r="HL1348" s="4"/>
      <c r="HZ1348" s="4"/>
      <c r="IU1348" s="4"/>
      <c r="JM1348" s="4"/>
    </row>
    <row r="1349" spans="24:273" ht="12" customHeight="1">
      <c r="X1349" s="4"/>
      <c r="AH1349" s="4"/>
      <c r="EA1349" s="4"/>
      <c r="FX1349" s="4"/>
      <c r="HL1349" s="4"/>
      <c r="HZ1349" s="4"/>
      <c r="IU1349" s="4"/>
      <c r="JM1349" s="4"/>
    </row>
    <row r="1350" spans="24:273" ht="12" customHeight="1">
      <c r="X1350" s="4"/>
      <c r="AH1350" s="4"/>
      <c r="EA1350" s="4"/>
      <c r="FX1350" s="4"/>
      <c r="HL1350" s="4"/>
      <c r="HZ1350" s="4"/>
      <c r="IU1350" s="4"/>
      <c r="JM1350" s="4"/>
    </row>
    <row r="1351" spans="24:273" ht="12" customHeight="1">
      <c r="X1351" s="4"/>
      <c r="AH1351" s="4"/>
      <c r="EA1351" s="4"/>
      <c r="FX1351" s="4"/>
      <c r="HL1351" s="4"/>
      <c r="HZ1351" s="4"/>
      <c r="IU1351" s="4"/>
      <c r="JM1351" s="4"/>
    </row>
    <row r="1352" spans="24:273" ht="12" customHeight="1">
      <c r="X1352" s="4"/>
      <c r="AH1352" s="4"/>
      <c r="EA1352" s="4"/>
      <c r="FX1352" s="4"/>
      <c r="HL1352" s="4"/>
      <c r="HZ1352" s="4"/>
      <c r="IU1352" s="4"/>
      <c r="JM1352" s="4"/>
    </row>
    <row r="1353" spans="24:273" ht="12" customHeight="1">
      <c r="X1353" s="4"/>
      <c r="AH1353" s="4"/>
      <c r="EA1353" s="4"/>
      <c r="FX1353" s="4"/>
      <c r="HL1353" s="4"/>
      <c r="HZ1353" s="4"/>
      <c r="IU1353" s="4"/>
      <c r="JM1353" s="4"/>
    </row>
    <row r="1354" spans="24:273" ht="12" customHeight="1">
      <c r="X1354" s="4"/>
      <c r="AH1354" s="4"/>
      <c r="EA1354" s="4"/>
      <c r="FX1354" s="4"/>
      <c r="HL1354" s="4"/>
      <c r="HZ1354" s="4"/>
      <c r="IU1354" s="4"/>
      <c r="JM1354" s="4"/>
    </row>
    <row r="1355" spans="24:273" ht="12" customHeight="1">
      <c r="X1355" s="4"/>
      <c r="AH1355" s="4"/>
      <c r="EA1355" s="4"/>
      <c r="FX1355" s="4"/>
      <c r="HL1355" s="4"/>
      <c r="HZ1355" s="4"/>
      <c r="IU1355" s="4"/>
      <c r="JM1355" s="4"/>
    </row>
    <row r="1356" spans="24:273" ht="12" customHeight="1">
      <c r="X1356" s="4"/>
      <c r="AH1356" s="4"/>
      <c r="EA1356" s="4"/>
      <c r="FX1356" s="4"/>
      <c r="HL1356" s="4"/>
      <c r="HZ1356" s="4"/>
      <c r="IU1356" s="4"/>
      <c r="JM1356" s="4"/>
    </row>
    <row r="1357" spans="24:273" ht="12" customHeight="1">
      <c r="X1357" s="4"/>
      <c r="AH1357" s="4"/>
      <c r="EA1357" s="4"/>
      <c r="FX1357" s="4"/>
      <c r="HL1357" s="4"/>
      <c r="HZ1357" s="4"/>
      <c r="IU1357" s="4"/>
      <c r="JM1357" s="4"/>
    </row>
    <row r="1358" spans="24:273" ht="12" customHeight="1">
      <c r="X1358" s="4"/>
      <c r="AH1358" s="4"/>
      <c r="EA1358" s="4"/>
      <c r="FX1358" s="4"/>
      <c r="HL1358" s="4"/>
      <c r="HZ1358" s="4"/>
      <c r="IU1358" s="4"/>
      <c r="JM1358" s="4"/>
    </row>
    <row r="1359" spans="24:273" ht="12" customHeight="1">
      <c r="X1359" s="4"/>
      <c r="AH1359" s="4"/>
      <c r="EA1359" s="4"/>
      <c r="FX1359" s="4"/>
      <c r="HL1359" s="4"/>
      <c r="HZ1359" s="4"/>
      <c r="IU1359" s="4"/>
      <c r="JM1359" s="4"/>
    </row>
    <row r="1360" spans="24:273" ht="12" customHeight="1">
      <c r="X1360" s="4"/>
      <c r="AH1360" s="4"/>
      <c r="EA1360" s="4"/>
      <c r="FX1360" s="4"/>
      <c r="HL1360" s="4"/>
      <c r="HZ1360" s="4"/>
      <c r="IU1360" s="4"/>
      <c r="JM1360" s="4"/>
    </row>
    <row r="1361" spans="24:273" ht="12" customHeight="1">
      <c r="X1361" s="4"/>
      <c r="AH1361" s="4"/>
      <c r="EA1361" s="4"/>
      <c r="FX1361" s="4"/>
      <c r="HL1361" s="4"/>
      <c r="HZ1361" s="4"/>
      <c r="IU1361" s="4"/>
      <c r="JM1361" s="4"/>
    </row>
    <row r="1362" spans="24:273" ht="12" customHeight="1">
      <c r="X1362" s="4"/>
      <c r="AH1362" s="4"/>
      <c r="EA1362" s="4"/>
      <c r="FX1362" s="4"/>
      <c r="HL1362" s="4"/>
      <c r="HZ1362" s="4"/>
      <c r="IU1362" s="4"/>
      <c r="JM1362" s="4"/>
    </row>
    <row r="1363" spans="24:273" ht="12" customHeight="1">
      <c r="X1363" s="4"/>
      <c r="AH1363" s="4"/>
      <c r="EA1363" s="4"/>
      <c r="FX1363" s="4"/>
      <c r="HL1363" s="4"/>
      <c r="HZ1363" s="4"/>
      <c r="IU1363" s="4"/>
      <c r="JM1363" s="4"/>
    </row>
    <row r="1364" spans="24:273" ht="12" customHeight="1">
      <c r="X1364" s="4"/>
      <c r="AH1364" s="4"/>
      <c r="EA1364" s="4"/>
      <c r="FX1364" s="4"/>
      <c r="HL1364" s="4"/>
      <c r="HZ1364" s="4"/>
      <c r="IU1364" s="4"/>
      <c r="JM1364" s="4"/>
    </row>
    <row r="1365" spans="24:273" ht="12" customHeight="1">
      <c r="X1365" s="4"/>
      <c r="AH1365" s="4"/>
      <c r="EA1365" s="4"/>
      <c r="FX1365" s="4"/>
      <c r="HL1365" s="4"/>
      <c r="HZ1365" s="4"/>
      <c r="IU1365" s="4"/>
      <c r="JM1365" s="4"/>
    </row>
    <row r="1366" spans="24:273" ht="12" customHeight="1">
      <c r="X1366" s="4"/>
      <c r="AH1366" s="4"/>
      <c r="EA1366" s="4"/>
      <c r="FX1366" s="4"/>
      <c r="HL1366" s="4"/>
      <c r="HZ1366" s="4"/>
      <c r="IU1366" s="4"/>
      <c r="JM1366" s="4"/>
    </row>
    <row r="1367" spans="24:273" ht="12" customHeight="1">
      <c r="X1367" s="4"/>
      <c r="AH1367" s="4"/>
      <c r="EA1367" s="4"/>
      <c r="FX1367" s="4"/>
      <c r="HL1367" s="4"/>
      <c r="HZ1367" s="4"/>
      <c r="IU1367" s="4"/>
      <c r="JM1367" s="4"/>
    </row>
    <row r="1368" spans="24:273" ht="12" customHeight="1">
      <c r="X1368" s="4"/>
      <c r="AH1368" s="4"/>
      <c r="EA1368" s="4"/>
      <c r="FX1368" s="4"/>
      <c r="HL1368" s="4"/>
      <c r="HZ1368" s="4"/>
      <c r="IU1368" s="4"/>
      <c r="JM1368" s="4"/>
    </row>
    <row r="1369" spans="24:273" ht="12" customHeight="1">
      <c r="X1369" s="4"/>
      <c r="AH1369" s="4"/>
      <c r="EA1369" s="4"/>
      <c r="FX1369" s="4"/>
      <c r="HL1369" s="4"/>
      <c r="HZ1369" s="4"/>
      <c r="IU1369" s="4"/>
      <c r="JM1369" s="4"/>
    </row>
    <row r="1370" spans="24:273" ht="12" customHeight="1">
      <c r="X1370" s="4"/>
      <c r="AH1370" s="4"/>
      <c r="EA1370" s="4"/>
      <c r="FX1370" s="4"/>
      <c r="HL1370" s="4"/>
      <c r="HZ1370" s="4"/>
      <c r="IU1370" s="4"/>
      <c r="JM1370" s="4"/>
    </row>
    <row r="1371" spans="24:273" ht="12" customHeight="1">
      <c r="X1371" s="4"/>
      <c r="AH1371" s="4"/>
      <c r="EA1371" s="4"/>
      <c r="FX1371" s="4"/>
      <c r="HL1371" s="4"/>
      <c r="HZ1371" s="4"/>
      <c r="IU1371" s="4"/>
      <c r="JM1371" s="4"/>
    </row>
    <row r="1372" spans="24:273" ht="12" customHeight="1">
      <c r="X1372" s="4"/>
      <c r="AH1372" s="4"/>
      <c r="EA1372" s="4"/>
      <c r="FX1372" s="4"/>
      <c r="HL1372" s="4"/>
      <c r="HZ1372" s="4"/>
      <c r="IU1372" s="4"/>
      <c r="JM1372" s="4"/>
    </row>
    <row r="1373" spans="24:273" ht="12" customHeight="1">
      <c r="X1373" s="4"/>
      <c r="AH1373" s="4"/>
      <c r="EA1373" s="4"/>
      <c r="FX1373" s="4"/>
      <c r="HL1373" s="4"/>
      <c r="HZ1373" s="4"/>
      <c r="IU1373" s="4"/>
      <c r="JM1373" s="4"/>
    </row>
    <row r="1374" spans="24:273" ht="12" customHeight="1">
      <c r="X1374" s="4"/>
      <c r="AH1374" s="4"/>
      <c r="EA1374" s="4"/>
      <c r="FX1374" s="4"/>
      <c r="HL1374" s="4"/>
      <c r="HZ1374" s="4"/>
      <c r="IU1374" s="4"/>
      <c r="JM1374" s="4"/>
    </row>
    <row r="1375" spans="24:273" ht="12" customHeight="1">
      <c r="X1375" s="4"/>
      <c r="AH1375" s="4"/>
      <c r="EA1375" s="4"/>
      <c r="FX1375" s="4"/>
      <c r="HL1375" s="4"/>
      <c r="HZ1375" s="4"/>
      <c r="IU1375" s="4"/>
      <c r="JM1375" s="4"/>
    </row>
    <row r="1376" spans="24:273" ht="12" customHeight="1">
      <c r="X1376" s="4"/>
      <c r="AH1376" s="4"/>
      <c r="EA1376" s="4"/>
      <c r="FX1376" s="4"/>
      <c r="HL1376" s="4"/>
      <c r="HZ1376" s="4"/>
      <c r="IU1376" s="4"/>
      <c r="JM1376" s="4"/>
    </row>
    <row r="1377" spans="24:273" ht="12" customHeight="1">
      <c r="X1377" s="4"/>
      <c r="AH1377" s="4"/>
      <c r="EA1377" s="4"/>
      <c r="FX1377" s="4"/>
      <c r="HL1377" s="4"/>
      <c r="HZ1377" s="4"/>
      <c r="IU1377" s="4"/>
      <c r="JM1377" s="4"/>
    </row>
    <row r="1378" spans="24:273" ht="12" customHeight="1">
      <c r="X1378" s="4"/>
      <c r="AH1378" s="4"/>
      <c r="EA1378" s="4"/>
      <c r="FX1378" s="4"/>
      <c r="HL1378" s="4"/>
      <c r="HZ1378" s="4"/>
      <c r="IU1378" s="4"/>
      <c r="JM1378" s="4"/>
    </row>
    <row r="1379" spans="24:273" ht="12" customHeight="1">
      <c r="X1379" s="4"/>
      <c r="AH1379" s="4"/>
      <c r="EA1379" s="4"/>
      <c r="FX1379" s="4"/>
      <c r="HL1379" s="4"/>
      <c r="HZ1379" s="4"/>
      <c r="IU1379" s="4"/>
      <c r="JM1379" s="4"/>
    </row>
    <row r="1380" spans="24:273" ht="12" customHeight="1">
      <c r="X1380" s="4"/>
      <c r="AH1380" s="4"/>
      <c r="EA1380" s="4"/>
      <c r="FX1380" s="4"/>
      <c r="HL1380" s="4"/>
      <c r="HZ1380" s="4"/>
      <c r="IU1380" s="4"/>
      <c r="JM1380" s="4"/>
    </row>
    <row r="1381" spans="24:273" ht="12" customHeight="1">
      <c r="X1381" s="4"/>
      <c r="AH1381" s="4"/>
      <c r="EA1381" s="4"/>
      <c r="FX1381" s="4"/>
      <c r="HL1381" s="4"/>
      <c r="HZ1381" s="4"/>
      <c r="IU1381" s="4"/>
      <c r="JM1381" s="4"/>
    </row>
    <row r="1382" spans="24:273" ht="12" customHeight="1">
      <c r="X1382" s="4"/>
      <c r="AH1382" s="4"/>
      <c r="EA1382" s="4"/>
      <c r="FX1382" s="4"/>
      <c r="HL1382" s="4"/>
      <c r="HZ1382" s="4"/>
      <c r="IU1382" s="4"/>
      <c r="JM1382" s="4"/>
    </row>
    <row r="1383" spans="24:273" ht="12" customHeight="1">
      <c r="X1383" s="4"/>
      <c r="AH1383" s="4"/>
      <c r="EA1383" s="4"/>
      <c r="FX1383" s="4"/>
      <c r="HL1383" s="4"/>
      <c r="HZ1383" s="4"/>
      <c r="IU1383" s="4"/>
      <c r="JM1383" s="4"/>
    </row>
    <row r="1384" spans="24:273" ht="12" customHeight="1">
      <c r="X1384" s="4"/>
      <c r="AH1384" s="4"/>
      <c r="EA1384" s="4"/>
      <c r="FX1384" s="4"/>
      <c r="HL1384" s="4"/>
      <c r="HZ1384" s="4"/>
      <c r="IU1384" s="4"/>
      <c r="JM1384" s="4"/>
    </row>
    <row r="1385" spans="24:273" ht="12" customHeight="1">
      <c r="X1385" s="4"/>
      <c r="AH1385" s="4"/>
      <c r="EA1385" s="4"/>
      <c r="FX1385" s="4"/>
      <c r="HL1385" s="4"/>
      <c r="HZ1385" s="4"/>
      <c r="IU1385" s="4"/>
      <c r="JM1385" s="4"/>
    </row>
    <row r="1386" spans="24:273" ht="12" customHeight="1">
      <c r="X1386" s="4"/>
      <c r="AH1386" s="4"/>
      <c r="EA1386" s="4"/>
      <c r="FX1386" s="4"/>
      <c r="HL1386" s="4"/>
      <c r="HZ1386" s="4"/>
      <c r="IU1386" s="4"/>
      <c r="JM1386" s="4"/>
    </row>
    <row r="1387" spans="24:273" ht="12" customHeight="1">
      <c r="X1387" s="4"/>
      <c r="AH1387" s="4"/>
      <c r="EA1387" s="4"/>
      <c r="FX1387" s="4"/>
      <c r="HL1387" s="4"/>
      <c r="HZ1387" s="4"/>
      <c r="IU1387" s="4"/>
      <c r="JM1387" s="4"/>
    </row>
    <row r="1388" spans="24:273" ht="12" customHeight="1">
      <c r="X1388" s="4"/>
      <c r="AH1388" s="4"/>
      <c r="EA1388" s="4"/>
      <c r="FX1388" s="4"/>
      <c r="HL1388" s="4"/>
      <c r="HZ1388" s="4"/>
      <c r="IU1388" s="4"/>
      <c r="JM1388" s="4"/>
    </row>
    <row r="1389" spans="24:273" ht="12" customHeight="1">
      <c r="X1389" s="4"/>
      <c r="AH1389" s="4"/>
      <c r="EA1389" s="4"/>
      <c r="FX1389" s="4"/>
      <c r="HL1389" s="4"/>
      <c r="HZ1389" s="4"/>
      <c r="IU1389" s="4"/>
      <c r="JM1389" s="4"/>
    </row>
    <row r="1390" spans="24:273" ht="12" customHeight="1">
      <c r="X1390" s="4"/>
      <c r="AH1390" s="4"/>
      <c r="EA1390" s="4"/>
      <c r="FX1390" s="4"/>
      <c r="HL1390" s="4"/>
      <c r="HZ1390" s="4"/>
      <c r="IU1390" s="4"/>
      <c r="JM1390" s="4"/>
    </row>
    <row r="1391" spans="24:273" ht="12" customHeight="1">
      <c r="X1391" s="4"/>
      <c r="AH1391" s="4"/>
      <c r="EA1391" s="4"/>
      <c r="FX1391" s="4"/>
      <c r="HL1391" s="4"/>
      <c r="HZ1391" s="4"/>
      <c r="IU1391" s="4"/>
      <c r="JM1391" s="4"/>
    </row>
    <row r="1392" spans="24:273" ht="12" customHeight="1">
      <c r="X1392" s="4"/>
      <c r="AH1392" s="4"/>
      <c r="EA1392" s="4"/>
      <c r="FX1392" s="4"/>
      <c r="HL1392" s="4"/>
      <c r="HZ1392" s="4"/>
      <c r="IU1392" s="4"/>
      <c r="JM1392" s="4"/>
    </row>
    <row r="1393" spans="24:273" ht="12" customHeight="1">
      <c r="X1393" s="4"/>
      <c r="AH1393" s="4"/>
      <c r="EA1393" s="4"/>
      <c r="FX1393" s="4"/>
      <c r="HL1393" s="4"/>
      <c r="HZ1393" s="4"/>
      <c r="IU1393" s="4"/>
      <c r="JM1393" s="4"/>
    </row>
    <row r="1394" spans="24:273" ht="12" customHeight="1">
      <c r="X1394" s="4"/>
      <c r="AH1394" s="4"/>
      <c r="EA1394" s="4"/>
      <c r="FX1394" s="4"/>
      <c r="HL1394" s="4"/>
      <c r="HZ1394" s="4"/>
      <c r="IU1394" s="4"/>
      <c r="JM1394" s="4"/>
    </row>
    <row r="1395" spans="24:273" ht="12" customHeight="1">
      <c r="X1395" s="4"/>
      <c r="AH1395" s="4"/>
      <c r="EA1395" s="4"/>
      <c r="FX1395" s="4"/>
      <c r="HL1395" s="4"/>
      <c r="HZ1395" s="4"/>
      <c r="IU1395" s="4"/>
      <c r="JM1395" s="4"/>
    </row>
    <row r="1396" spans="24:273" ht="12" customHeight="1">
      <c r="X1396" s="4"/>
      <c r="AH1396" s="4"/>
      <c r="EA1396" s="4"/>
      <c r="FX1396" s="4"/>
      <c r="HL1396" s="4"/>
      <c r="HZ1396" s="4"/>
      <c r="IU1396" s="4"/>
      <c r="JM1396" s="4"/>
    </row>
    <row r="1397" spans="24:273" ht="12" customHeight="1">
      <c r="X1397" s="4"/>
      <c r="AH1397" s="4"/>
      <c r="EA1397" s="4"/>
      <c r="FX1397" s="4"/>
      <c r="HL1397" s="4"/>
      <c r="HZ1397" s="4"/>
      <c r="IU1397" s="4"/>
      <c r="JM1397" s="4"/>
    </row>
    <row r="1398" spans="24:273" ht="12" customHeight="1">
      <c r="X1398" s="4"/>
      <c r="AH1398" s="4"/>
      <c r="EA1398" s="4"/>
      <c r="FX1398" s="4"/>
      <c r="HL1398" s="4"/>
      <c r="HZ1398" s="4"/>
      <c r="IU1398" s="4"/>
      <c r="JM1398" s="4"/>
    </row>
    <row r="1399" spans="24:273" ht="12" customHeight="1">
      <c r="X1399" s="4"/>
      <c r="AH1399" s="4"/>
      <c r="EA1399" s="4"/>
      <c r="FX1399" s="4"/>
      <c r="HL1399" s="4"/>
      <c r="HZ1399" s="4"/>
      <c r="IU1399" s="4"/>
      <c r="JM1399" s="4"/>
    </row>
    <row r="1400" spans="24:273" ht="12" customHeight="1">
      <c r="X1400" s="4"/>
      <c r="AH1400" s="4"/>
      <c r="EA1400" s="4"/>
      <c r="FX1400" s="4"/>
      <c r="HL1400" s="4"/>
      <c r="HZ1400" s="4"/>
      <c r="IU1400" s="4"/>
      <c r="JM1400" s="4"/>
    </row>
    <row r="1401" spans="24:273" ht="12" customHeight="1">
      <c r="X1401" s="4"/>
      <c r="AH1401" s="4"/>
      <c r="EA1401" s="4"/>
      <c r="FX1401" s="4"/>
      <c r="HL1401" s="4"/>
      <c r="HZ1401" s="4"/>
      <c r="IU1401" s="4"/>
      <c r="JM1401" s="4"/>
    </row>
    <row r="1402" spans="24:273" ht="12" customHeight="1">
      <c r="X1402" s="4"/>
      <c r="AH1402" s="4"/>
      <c r="EA1402" s="4"/>
      <c r="FX1402" s="4"/>
      <c r="HL1402" s="4"/>
      <c r="HZ1402" s="4"/>
      <c r="IU1402" s="4"/>
      <c r="JM1402" s="4"/>
    </row>
    <row r="1403" spans="24:273" ht="12" customHeight="1">
      <c r="X1403" s="4"/>
      <c r="AH1403" s="4"/>
      <c r="EA1403" s="4"/>
      <c r="FX1403" s="4"/>
      <c r="HL1403" s="4"/>
      <c r="HZ1403" s="4"/>
      <c r="IU1403" s="4"/>
      <c r="JM1403" s="4"/>
    </row>
    <row r="1404" spans="24:273" ht="12" customHeight="1">
      <c r="X1404" s="4"/>
      <c r="AH1404" s="4"/>
      <c r="EA1404" s="4"/>
      <c r="FX1404" s="4"/>
      <c r="HL1404" s="4"/>
      <c r="HZ1404" s="4"/>
      <c r="IU1404" s="4"/>
      <c r="JM1404" s="4"/>
    </row>
    <row r="1405" spans="24:273" ht="12" customHeight="1">
      <c r="X1405" s="4"/>
      <c r="AH1405" s="4"/>
      <c r="EA1405" s="4"/>
      <c r="FX1405" s="4"/>
      <c r="HL1405" s="4"/>
      <c r="HZ1405" s="4"/>
      <c r="IU1405" s="4"/>
      <c r="JM1405" s="4"/>
    </row>
    <row r="1406" spans="24:273" ht="12" customHeight="1">
      <c r="X1406" s="4"/>
      <c r="AH1406" s="4"/>
      <c r="EA1406" s="4"/>
      <c r="FX1406" s="4"/>
      <c r="HL1406" s="4"/>
      <c r="HZ1406" s="4"/>
      <c r="IU1406" s="4"/>
      <c r="JM1406" s="4"/>
    </row>
    <row r="1407" spans="24:273" ht="12" customHeight="1">
      <c r="X1407" s="4"/>
      <c r="AH1407" s="4"/>
      <c r="EA1407" s="4"/>
      <c r="FX1407" s="4"/>
      <c r="HL1407" s="4"/>
      <c r="HZ1407" s="4"/>
      <c r="IU1407" s="4"/>
      <c r="JM1407" s="4"/>
    </row>
    <row r="1408" spans="24:273" ht="12" customHeight="1">
      <c r="X1408" s="4"/>
      <c r="AH1408" s="4"/>
      <c r="EA1408" s="4"/>
      <c r="FX1408" s="4"/>
      <c r="HL1408" s="4"/>
      <c r="HZ1408" s="4"/>
      <c r="IU1408" s="4"/>
      <c r="JM1408" s="4"/>
    </row>
    <row r="1409" spans="24:273" ht="12" customHeight="1">
      <c r="X1409" s="4"/>
      <c r="AH1409" s="4"/>
      <c r="EA1409" s="4"/>
      <c r="FX1409" s="4"/>
      <c r="HL1409" s="4"/>
      <c r="HZ1409" s="4"/>
      <c r="IU1409" s="4"/>
      <c r="JM1409" s="4"/>
    </row>
    <row r="1410" spans="24:273" ht="12" customHeight="1">
      <c r="X1410" s="4"/>
      <c r="AH1410" s="4"/>
      <c r="EA1410" s="4"/>
      <c r="FX1410" s="4"/>
      <c r="HL1410" s="4"/>
      <c r="HZ1410" s="4"/>
      <c r="IU1410" s="4"/>
      <c r="JM1410" s="4"/>
    </row>
    <row r="1411" spans="24:273" ht="12" customHeight="1">
      <c r="X1411" s="4"/>
      <c r="AH1411" s="4"/>
      <c r="EA1411" s="4"/>
      <c r="FX1411" s="4"/>
      <c r="HL1411" s="4"/>
      <c r="HZ1411" s="4"/>
      <c r="IU1411" s="4"/>
      <c r="JM1411" s="4"/>
    </row>
    <row r="1412" spans="24:273" ht="12" customHeight="1">
      <c r="X1412" s="4"/>
      <c r="AH1412" s="4"/>
      <c r="EA1412" s="4"/>
      <c r="FX1412" s="4"/>
      <c r="HL1412" s="4"/>
      <c r="HZ1412" s="4"/>
      <c r="IU1412" s="4"/>
      <c r="JM1412" s="4"/>
    </row>
    <row r="1413" spans="24:273" ht="12" customHeight="1">
      <c r="X1413" s="4"/>
      <c r="AH1413" s="4"/>
      <c r="EA1413" s="4"/>
      <c r="FX1413" s="4"/>
      <c r="HL1413" s="4"/>
      <c r="HZ1413" s="4"/>
      <c r="IU1413" s="4"/>
      <c r="JM1413" s="4"/>
    </row>
    <row r="1414" spans="24:273" ht="12" customHeight="1">
      <c r="X1414" s="4"/>
      <c r="AH1414" s="4"/>
      <c r="EA1414" s="4"/>
      <c r="FX1414" s="4"/>
      <c r="HL1414" s="4"/>
      <c r="HZ1414" s="4"/>
      <c r="IU1414" s="4"/>
      <c r="JM1414" s="4"/>
    </row>
    <row r="1415" spans="24:273" ht="12" customHeight="1">
      <c r="X1415" s="4"/>
      <c r="AH1415" s="4"/>
      <c r="EA1415" s="4"/>
      <c r="FX1415" s="4"/>
      <c r="HL1415" s="4"/>
      <c r="HZ1415" s="4"/>
      <c r="IU1415" s="4"/>
      <c r="JM1415" s="4"/>
    </row>
    <row r="1416" spans="24:273" ht="12" customHeight="1">
      <c r="X1416" s="4"/>
      <c r="AH1416" s="4"/>
      <c r="EA1416" s="4"/>
      <c r="FX1416" s="4"/>
      <c r="HL1416" s="4"/>
      <c r="HZ1416" s="4"/>
      <c r="IU1416" s="4"/>
      <c r="JM1416" s="4"/>
    </row>
    <row r="1417" spans="24:273" ht="12" customHeight="1">
      <c r="X1417" s="4"/>
      <c r="AH1417" s="4"/>
      <c r="EA1417" s="4"/>
      <c r="FX1417" s="4"/>
      <c r="HL1417" s="4"/>
      <c r="HZ1417" s="4"/>
      <c r="IU1417" s="4"/>
      <c r="JM1417" s="4"/>
    </row>
    <row r="1418" spans="24:273" ht="12" customHeight="1">
      <c r="X1418" s="4"/>
      <c r="AH1418" s="4"/>
      <c r="EA1418" s="4"/>
      <c r="FX1418" s="4"/>
      <c r="HL1418" s="4"/>
      <c r="HZ1418" s="4"/>
      <c r="IU1418" s="4"/>
      <c r="JM1418" s="4"/>
    </row>
    <row r="1419" spans="24:273" ht="12" customHeight="1">
      <c r="X1419" s="4"/>
      <c r="AH1419" s="4"/>
      <c r="EA1419" s="4"/>
      <c r="FX1419" s="4"/>
      <c r="HL1419" s="4"/>
      <c r="HZ1419" s="4"/>
      <c r="IU1419" s="4"/>
      <c r="JM1419" s="4"/>
    </row>
    <row r="1420" spans="24:273" ht="12" customHeight="1">
      <c r="X1420" s="4"/>
      <c r="AH1420" s="4"/>
      <c r="EA1420" s="4"/>
      <c r="FX1420" s="4"/>
      <c r="HL1420" s="4"/>
      <c r="HZ1420" s="4"/>
      <c r="IU1420" s="4"/>
      <c r="JM1420" s="4"/>
    </row>
    <row r="1421" spans="24:273" ht="12" customHeight="1">
      <c r="X1421" s="4"/>
      <c r="AH1421" s="4"/>
      <c r="EA1421" s="4"/>
      <c r="FX1421" s="4"/>
      <c r="HL1421" s="4"/>
      <c r="HZ1421" s="4"/>
      <c r="IU1421" s="4"/>
      <c r="JM1421" s="4"/>
    </row>
    <row r="1422" spans="24:273" ht="12" customHeight="1">
      <c r="X1422" s="4"/>
      <c r="AH1422" s="4"/>
      <c r="EA1422" s="4"/>
      <c r="FX1422" s="4"/>
      <c r="HL1422" s="4"/>
      <c r="HZ1422" s="4"/>
      <c r="IU1422" s="4"/>
      <c r="JM1422" s="4"/>
    </row>
    <row r="1423" spans="24:273" ht="12" customHeight="1">
      <c r="X1423" s="4"/>
      <c r="AH1423" s="4"/>
      <c r="EA1423" s="4"/>
      <c r="FX1423" s="4"/>
      <c r="HL1423" s="4"/>
      <c r="HZ1423" s="4"/>
      <c r="IU1423" s="4"/>
      <c r="JM1423" s="4"/>
    </row>
    <row r="1424" spans="24:273" ht="12" customHeight="1">
      <c r="X1424" s="4"/>
      <c r="AH1424" s="4"/>
      <c r="EA1424" s="4"/>
      <c r="FX1424" s="4"/>
      <c r="HL1424" s="4"/>
      <c r="HZ1424" s="4"/>
      <c r="IU1424" s="4"/>
      <c r="JM1424" s="4"/>
    </row>
    <row r="1425" spans="24:273" ht="12" customHeight="1">
      <c r="X1425" s="4"/>
      <c r="AH1425" s="4"/>
      <c r="EA1425" s="4"/>
      <c r="FX1425" s="4"/>
      <c r="HL1425" s="4"/>
      <c r="HZ1425" s="4"/>
      <c r="IU1425" s="4"/>
      <c r="JM1425" s="4"/>
    </row>
    <row r="1426" spans="24:273" ht="12" customHeight="1">
      <c r="X1426" s="4"/>
      <c r="AH1426" s="4"/>
      <c r="EA1426" s="4"/>
      <c r="FX1426" s="4"/>
      <c r="HL1426" s="4"/>
      <c r="HZ1426" s="4"/>
      <c r="IU1426" s="4"/>
      <c r="JM1426" s="4"/>
    </row>
    <row r="1427" spans="24:273" ht="12" customHeight="1">
      <c r="X1427" s="4"/>
      <c r="AH1427" s="4"/>
      <c r="EA1427" s="4"/>
      <c r="FX1427" s="4"/>
      <c r="HL1427" s="4"/>
      <c r="HZ1427" s="4"/>
      <c r="IU1427" s="4"/>
      <c r="JM1427" s="4"/>
    </row>
    <row r="1428" spans="24:273" ht="12" customHeight="1">
      <c r="X1428" s="4"/>
      <c r="AH1428" s="4"/>
      <c r="EA1428" s="4"/>
      <c r="FX1428" s="4"/>
      <c r="HL1428" s="4"/>
      <c r="HZ1428" s="4"/>
      <c r="IU1428" s="4"/>
      <c r="JM1428" s="4"/>
    </row>
    <row r="1429" spans="24:273" ht="12" customHeight="1">
      <c r="X1429" s="4"/>
      <c r="AH1429" s="4"/>
      <c r="EA1429" s="4"/>
      <c r="FX1429" s="4"/>
      <c r="HL1429" s="4"/>
      <c r="HZ1429" s="4"/>
      <c r="IU1429" s="4"/>
      <c r="JM1429" s="4"/>
    </row>
    <row r="1430" spans="24:273" ht="12" customHeight="1">
      <c r="X1430" s="4"/>
      <c r="AH1430" s="4"/>
      <c r="EA1430" s="4"/>
      <c r="FX1430" s="4"/>
      <c r="HL1430" s="4"/>
      <c r="HZ1430" s="4"/>
      <c r="IU1430" s="4"/>
      <c r="JM1430" s="4"/>
    </row>
    <row r="1431" spans="24:273" ht="12" customHeight="1">
      <c r="X1431" s="4"/>
      <c r="AH1431" s="4"/>
      <c r="EA1431" s="4"/>
      <c r="FX1431" s="4"/>
      <c r="HL1431" s="4"/>
      <c r="HZ1431" s="4"/>
      <c r="IU1431" s="4"/>
      <c r="JM1431" s="4"/>
    </row>
    <row r="1432" spans="24:273" ht="12" customHeight="1">
      <c r="X1432" s="4"/>
      <c r="AH1432" s="4"/>
      <c r="EA1432" s="4"/>
      <c r="FX1432" s="4"/>
      <c r="HL1432" s="4"/>
      <c r="HZ1432" s="4"/>
      <c r="IU1432" s="4"/>
      <c r="JM1432" s="4"/>
    </row>
    <row r="1433" spans="24:273" ht="12" customHeight="1">
      <c r="X1433" s="4"/>
      <c r="AH1433" s="4"/>
      <c r="EA1433" s="4"/>
      <c r="FX1433" s="4"/>
      <c r="HL1433" s="4"/>
      <c r="HZ1433" s="4"/>
      <c r="IU1433" s="4"/>
      <c r="JM1433" s="4"/>
    </row>
    <row r="1434" spans="24:273" ht="12" customHeight="1">
      <c r="X1434" s="4"/>
      <c r="AH1434" s="4"/>
      <c r="EA1434" s="4"/>
      <c r="FX1434" s="4"/>
      <c r="HL1434" s="4"/>
      <c r="HZ1434" s="4"/>
      <c r="IU1434" s="4"/>
      <c r="JM1434" s="4"/>
    </row>
    <row r="1435" spans="24:273" ht="12" customHeight="1">
      <c r="X1435" s="4"/>
      <c r="AH1435" s="4"/>
      <c r="EA1435" s="4"/>
      <c r="FX1435" s="4"/>
      <c r="HL1435" s="4"/>
      <c r="HZ1435" s="4"/>
      <c r="IU1435" s="4"/>
      <c r="JM1435" s="4"/>
    </row>
    <row r="1436" spans="24:273" ht="12" customHeight="1">
      <c r="X1436" s="4"/>
      <c r="AH1436" s="4"/>
      <c r="EA1436" s="4"/>
      <c r="FX1436" s="4"/>
      <c r="HL1436" s="4"/>
      <c r="HZ1436" s="4"/>
      <c r="IU1436" s="4"/>
      <c r="JM1436" s="4"/>
    </row>
    <row r="1437" spans="24:273" ht="12" customHeight="1">
      <c r="X1437" s="4"/>
      <c r="AH1437" s="4"/>
      <c r="EA1437" s="4"/>
      <c r="FX1437" s="4"/>
      <c r="HL1437" s="4"/>
      <c r="HZ1437" s="4"/>
      <c r="IU1437" s="4"/>
      <c r="JM1437" s="4"/>
    </row>
    <row r="1438" spans="24:273" ht="12" customHeight="1">
      <c r="X1438" s="4"/>
      <c r="AH1438" s="4"/>
      <c r="EA1438" s="4"/>
      <c r="FX1438" s="4"/>
      <c r="HL1438" s="4"/>
      <c r="HZ1438" s="4"/>
      <c r="IU1438" s="4"/>
      <c r="JM1438" s="4"/>
    </row>
    <row r="1439" spans="24:273" ht="12" customHeight="1">
      <c r="X1439" s="4"/>
      <c r="AH1439" s="4"/>
      <c r="EA1439" s="4"/>
      <c r="FX1439" s="4"/>
      <c r="HL1439" s="4"/>
      <c r="HZ1439" s="4"/>
      <c r="IU1439" s="4"/>
      <c r="JM1439" s="4"/>
    </row>
    <row r="1440" spans="24:273" ht="12" customHeight="1">
      <c r="X1440" s="4"/>
      <c r="AH1440" s="4"/>
      <c r="EA1440" s="4"/>
      <c r="FX1440" s="4"/>
      <c r="HL1440" s="4"/>
      <c r="HZ1440" s="4"/>
      <c r="IU1440" s="4"/>
      <c r="JM1440" s="4"/>
    </row>
    <row r="1441" spans="24:273" ht="12" customHeight="1">
      <c r="X1441" s="4"/>
      <c r="AH1441" s="4"/>
      <c r="EA1441" s="4"/>
      <c r="FX1441" s="4"/>
      <c r="HL1441" s="4"/>
      <c r="HZ1441" s="4"/>
      <c r="IU1441" s="4"/>
      <c r="JM1441" s="4"/>
    </row>
    <row r="1442" spans="24:273" ht="12" customHeight="1">
      <c r="X1442" s="4"/>
      <c r="AH1442" s="4"/>
      <c r="EA1442" s="4"/>
      <c r="FX1442" s="4"/>
      <c r="HL1442" s="4"/>
      <c r="HZ1442" s="4"/>
      <c r="IU1442" s="4"/>
      <c r="JM1442" s="4"/>
    </row>
    <row r="1443" spans="24:273" ht="12" customHeight="1">
      <c r="X1443" s="4"/>
      <c r="AH1443" s="4"/>
      <c r="EA1443" s="4"/>
      <c r="FX1443" s="4"/>
      <c r="HL1443" s="4"/>
      <c r="HZ1443" s="4"/>
      <c r="IU1443" s="4"/>
      <c r="JM1443" s="4"/>
    </row>
    <row r="1444" spans="24:273" ht="12" customHeight="1">
      <c r="X1444" s="4"/>
      <c r="AH1444" s="4"/>
      <c r="EA1444" s="4"/>
      <c r="FX1444" s="4"/>
      <c r="HL1444" s="4"/>
      <c r="HZ1444" s="4"/>
      <c r="IU1444" s="4"/>
      <c r="JM1444" s="4"/>
    </row>
    <row r="1445" spans="24:273" ht="12" customHeight="1">
      <c r="X1445" s="4"/>
      <c r="AH1445" s="4"/>
      <c r="EA1445" s="4"/>
      <c r="FX1445" s="4"/>
      <c r="HL1445" s="4"/>
      <c r="HZ1445" s="4"/>
      <c r="IU1445" s="4"/>
      <c r="JM1445" s="4"/>
    </row>
    <row r="1446" spans="24:273" ht="12" customHeight="1">
      <c r="X1446" s="4"/>
      <c r="AH1446" s="4"/>
      <c r="EA1446" s="4"/>
      <c r="FX1446" s="4"/>
      <c r="HL1446" s="4"/>
      <c r="HZ1446" s="4"/>
      <c r="IU1446" s="4"/>
      <c r="JM1446" s="4"/>
    </row>
    <row r="1447" spans="24:273" ht="12" customHeight="1">
      <c r="X1447" s="4"/>
      <c r="AH1447" s="4"/>
      <c r="EA1447" s="4"/>
      <c r="FX1447" s="4"/>
      <c r="HL1447" s="4"/>
      <c r="HZ1447" s="4"/>
      <c r="IU1447" s="4"/>
      <c r="JM1447" s="4"/>
    </row>
    <row r="1448" spans="24:273" ht="12" customHeight="1">
      <c r="X1448" s="4"/>
      <c r="AH1448" s="4"/>
      <c r="EA1448" s="4"/>
      <c r="FX1448" s="4"/>
      <c r="HL1448" s="4"/>
      <c r="HZ1448" s="4"/>
      <c r="IU1448" s="4"/>
      <c r="JM1448" s="4"/>
    </row>
    <row r="1449" spans="24:273" ht="12" customHeight="1">
      <c r="X1449" s="4"/>
      <c r="AH1449" s="4"/>
      <c r="EA1449" s="4"/>
      <c r="FX1449" s="4"/>
      <c r="HL1449" s="4"/>
      <c r="HZ1449" s="4"/>
      <c r="IU1449" s="4"/>
      <c r="JM1449" s="4"/>
    </row>
    <row r="1450" spans="24:273" ht="12" customHeight="1">
      <c r="X1450" s="4"/>
      <c r="AH1450" s="4"/>
      <c r="EA1450" s="4"/>
      <c r="FX1450" s="4"/>
      <c r="HL1450" s="4"/>
      <c r="HZ1450" s="4"/>
      <c r="IU1450" s="4"/>
      <c r="JM1450" s="4"/>
    </row>
    <row r="1451" spans="24:273" ht="12" customHeight="1">
      <c r="X1451" s="4"/>
      <c r="AH1451" s="4"/>
      <c r="EA1451" s="4"/>
      <c r="FX1451" s="4"/>
      <c r="HL1451" s="4"/>
      <c r="HZ1451" s="4"/>
      <c r="IU1451" s="4"/>
      <c r="JM1451" s="4"/>
    </row>
    <row r="1452" spans="24:273" ht="12" customHeight="1">
      <c r="X1452" s="4"/>
      <c r="AH1452" s="4"/>
      <c r="EA1452" s="4"/>
      <c r="FX1452" s="4"/>
      <c r="HL1452" s="4"/>
      <c r="HZ1452" s="4"/>
      <c r="IU1452" s="4"/>
      <c r="JM1452" s="4"/>
    </row>
    <row r="1453" spans="24:273" ht="12" customHeight="1">
      <c r="X1453" s="4"/>
      <c r="AH1453" s="4"/>
      <c r="EA1453" s="4"/>
      <c r="FX1453" s="4"/>
      <c r="HL1453" s="4"/>
      <c r="HZ1453" s="4"/>
      <c r="IU1453" s="4"/>
      <c r="JM1453" s="4"/>
    </row>
    <row r="1454" spans="24:273" ht="12" customHeight="1">
      <c r="X1454" s="4"/>
      <c r="AH1454" s="4"/>
      <c r="EA1454" s="4"/>
      <c r="FX1454" s="4"/>
      <c r="HL1454" s="4"/>
      <c r="HZ1454" s="4"/>
      <c r="IU1454" s="4"/>
      <c r="JM1454" s="4"/>
    </row>
    <row r="1455" spans="24:273" ht="12" customHeight="1">
      <c r="X1455" s="4"/>
      <c r="AH1455" s="4"/>
      <c r="EA1455" s="4"/>
      <c r="FX1455" s="4"/>
      <c r="HL1455" s="4"/>
      <c r="HZ1455" s="4"/>
      <c r="IU1455" s="4"/>
      <c r="JM1455" s="4"/>
    </row>
    <row r="1456" spans="24:273" ht="12" customHeight="1">
      <c r="X1456" s="4"/>
      <c r="AH1456" s="4"/>
      <c r="EA1456" s="4"/>
      <c r="FX1456" s="4"/>
      <c r="HL1456" s="4"/>
      <c r="HZ1456" s="4"/>
      <c r="IU1456" s="4"/>
      <c r="JM1456" s="4"/>
    </row>
    <row r="1457" spans="24:273" ht="12" customHeight="1">
      <c r="X1457" s="4"/>
      <c r="AH1457" s="4"/>
      <c r="EA1457" s="4"/>
      <c r="FX1457" s="4"/>
      <c r="HL1457" s="4"/>
      <c r="HZ1457" s="4"/>
      <c r="IU1457" s="4"/>
      <c r="JM1457" s="4"/>
    </row>
    <row r="1458" spans="24:273" ht="12" customHeight="1">
      <c r="X1458" s="4"/>
      <c r="AH1458" s="4"/>
      <c r="EA1458" s="4"/>
      <c r="FX1458" s="4"/>
      <c r="HL1458" s="4"/>
      <c r="HZ1458" s="4"/>
      <c r="IU1458" s="4"/>
      <c r="JM1458" s="4"/>
    </row>
    <row r="1459" spans="24:273" ht="12" customHeight="1">
      <c r="X1459" s="4"/>
      <c r="AH1459" s="4"/>
      <c r="EA1459" s="4"/>
      <c r="FX1459" s="4"/>
      <c r="HL1459" s="4"/>
      <c r="HZ1459" s="4"/>
      <c r="IU1459" s="4"/>
      <c r="JM1459" s="4"/>
    </row>
    <row r="1460" spans="24:273" ht="12" customHeight="1">
      <c r="X1460" s="4"/>
      <c r="AH1460" s="4"/>
      <c r="EA1460" s="4"/>
      <c r="FX1460" s="4"/>
      <c r="HL1460" s="4"/>
      <c r="HZ1460" s="4"/>
      <c r="IU1460" s="4"/>
      <c r="JM1460" s="4"/>
    </row>
    <row r="1461" spans="24:273" ht="12" customHeight="1">
      <c r="X1461" s="4"/>
      <c r="AH1461" s="4"/>
      <c r="EA1461" s="4"/>
      <c r="FX1461" s="4"/>
      <c r="HL1461" s="4"/>
      <c r="HZ1461" s="4"/>
      <c r="IU1461" s="4"/>
      <c r="JM1461" s="4"/>
    </row>
    <row r="1462" spans="24:273" ht="12" customHeight="1">
      <c r="X1462" s="4"/>
      <c r="AH1462" s="4"/>
      <c r="EA1462" s="4"/>
      <c r="FX1462" s="4"/>
      <c r="HL1462" s="4"/>
      <c r="HZ1462" s="4"/>
      <c r="IU1462" s="4"/>
      <c r="JM1462" s="4"/>
    </row>
    <row r="1463" spans="24:273" ht="12" customHeight="1">
      <c r="X1463" s="4"/>
      <c r="AH1463" s="4"/>
      <c r="EA1463" s="4"/>
      <c r="FX1463" s="4"/>
      <c r="HL1463" s="4"/>
      <c r="HZ1463" s="4"/>
      <c r="IU1463" s="4"/>
      <c r="JM1463" s="4"/>
    </row>
    <row r="1464" spans="24:273" ht="12" customHeight="1">
      <c r="X1464" s="4"/>
      <c r="AH1464" s="4"/>
      <c r="EA1464" s="4"/>
      <c r="FX1464" s="4"/>
      <c r="HL1464" s="4"/>
      <c r="HZ1464" s="4"/>
      <c r="IU1464" s="4"/>
      <c r="JM1464" s="4"/>
    </row>
    <row r="1465" spans="24:273" ht="12" customHeight="1">
      <c r="X1465" s="4"/>
      <c r="AH1465" s="4"/>
      <c r="EA1465" s="4"/>
      <c r="FX1465" s="4"/>
      <c r="HL1465" s="4"/>
      <c r="HZ1465" s="4"/>
      <c r="IU1465" s="4"/>
      <c r="JM1465" s="4"/>
    </row>
    <row r="1466" spans="24:273" ht="12" customHeight="1">
      <c r="X1466" s="4"/>
      <c r="AH1466" s="4"/>
      <c r="EA1466" s="4"/>
      <c r="FX1466" s="4"/>
      <c r="HL1466" s="4"/>
      <c r="HZ1466" s="4"/>
      <c r="IU1466" s="4"/>
      <c r="JM1466" s="4"/>
    </row>
    <row r="1467" spans="24:273" ht="12" customHeight="1">
      <c r="X1467" s="4"/>
      <c r="AH1467" s="4"/>
      <c r="EA1467" s="4"/>
      <c r="FX1467" s="4"/>
      <c r="HL1467" s="4"/>
      <c r="HZ1467" s="4"/>
      <c r="IU1467" s="4"/>
      <c r="JM1467" s="4"/>
    </row>
    <row r="1468" spans="24:273" ht="12" customHeight="1">
      <c r="X1468" s="4"/>
      <c r="AH1468" s="4"/>
      <c r="EA1468" s="4"/>
      <c r="FX1468" s="4"/>
      <c r="HL1468" s="4"/>
      <c r="HZ1468" s="4"/>
      <c r="IU1468" s="4"/>
      <c r="JM1468" s="4"/>
    </row>
    <row r="1469" spans="24:273" ht="12" customHeight="1">
      <c r="X1469" s="4"/>
      <c r="AH1469" s="4"/>
      <c r="EA1469" s="4"/>
      <c r="FX1469" s="4"/>
      <c r="HL1469" s="4"/>
      <c r="HZ1469" s="4"/>
      <c r="IU1469" s="4"/>
      <c r="JM1469" s="4"/>
    </row>
    <row r="1470" spans="24:273" ht="12" customHeight="1">
      <c r="X1470" s="4"/>
      <c r="AH1470" s="4"/>
      <c r="EA1470" s="4"/>
      <c r="FX1470" s="4"/>
      <c r="HL1470" s="4"/>
      <c r="HZ1470" s="4"/>
      <c r="IU1470" s="4"/>
      <c r="JM1470" s="4"/>
    </row>
    <row r="1471" spans="24:273" ht="12" customHeight="1">
      <c r="X1471" s="4"/>
      <c r="AH1471" s="4"/>
      <c r="EA1471" s="4"/>
      <c r="FX1471" s="4"/>
      <c r="HL1471" s="4"/>
      <c r="HZ1471" s="4"/>
      <c r="IU1471" s="4"/>
      <c r="JM1471" s="4"/>
    </row>
    <row r="1472" spans="24:273" ht="12" customHeight="1">
      <c r="X1472" s="4"/>
      <c r="AH1472" s="4"/>
      <c r="EA1472" s="4"/>
      <c r="FX1472" s="4"/>
      <c r="HL1472" s="4"/>
      <c r="HZ1472" s="4"/>
      <c r="IU1472" s="4"/>
      <c r="JM1472" s="4"/>
    </row>
    <row r="1473" spans="24:273" ht="12" customHeight="1">
      <c r="X1473" s="4"/>
      <c r="AH1473" s="4"/>
      <c r="EA1473" s="4"/>
      <c r="FX1473" s="4"/>
      <c r="HL1473" s="4"/>
      <c r="HZ1473" s="4"/>
      <c r="IU1473" s="4"/>
      <c r="JM1473" s="4"/>
    </row>
    <row r="1474" spans="24:273" ht="12" customHeight="1">
      <c r="X1474" s="4"/>
      <c r="AH1474" s="4"/>
      <c r="EA1474" s="4"/>
      <c r="FX1474" s="4"/>
      <c r="HL1474" s="4"/>
      <c r="HZ1474" s="4"/>
      <c r="IU1474" s="4"/>
      <c r="JM1474" s="4"/>
    </row>
    <row r="1475" spans="24:273" ht="12" customHeight="1">
      <c r="X1475" s="4"/>
      <c r="AH1475" s="4"/>
      <c r="EA1475" s="4"/>
      <c r="FX1475" s="4"/>
      <c r="HL1475" s="4"/>
      <c r="HZ1475" s="4"/>
      <c r="IU1475" s="4"/>
      <c r="JM1475" s="4"/>
    </row>
    <row r="1476" spans="24:273" ht="12" customHeight="1">
      <c r="X1476" s="4"/>
      <c r="AH1476" s="4"/>
      <c r="EA1476" s="4"/>
      <c r="FX1476" s="4"/>
      <c r="HL1476" s="4"/>
      <c r="HZ1476" s="4"/>
      <c r="IU1476" s="4"/>
      <c r="JM1476" s="4"/>
    </row>
    <row r="1477" spans="24:273" ht="12" customHeight="1">
      <c r="X1477" s="4"/>
      <c r="AH1477" s="4"/>
      <c r="EA1477" s="4"/>
      <c r="FX1477" s="4"/>
      <c r="HL1477" s="4"/>
      <c r="HZ1477" s="4"/>
      <c r="IU1477" s="4"/>
      <c r="JM1477" s="4"/>
    </row>
    <row r="1478" spans="24:273" ht="12" customHeight="1">
      <c r="X1478" s="4"/>
      <c r="AH1478" s="4"/>
      <c r="EA1478" s="4"/>
      <c r="FX1478" s="4"/>
      <c r="HL1478" s="4"/>
      <c r="HZ1478" s="4"/>
      <c r="IU1478" s="4"/>
      <c r="JM1478" s="4"/>
    </row>
    <row r="1479" spans="24:273" ht="12" customHeight="1">
      <c r="X1479" s="4"/>
      <c r="AH1479" s="4"/>
      <c r="EA1479" s="4"/>
      <c r="FX1479" s="4"/>
      <c r="HL1479" s="4"/>
      <c r="HZ1479" s="4"/>
      <c r="IU1479" s="4"/>
      <c r="JM1479" s="4"/>
    </row>
    <row r="1480" spans="24:273" ht="12" customHeight="1">
      <c r="X1480" s="4"/>
      <c r="AH1480" s="4"/>
      <c r="EA1480" s="4"/>
      <c r="FX1480" s="4"/>
      <c r="HL1480" s="4"/>
      <c r="HZ1480" s="4"/>
      <c r="IU1480" s="4"/>
      <c r="JM1480" s="4"/>
    </row>
    <row r="1481" spans="24:273" ht="12" customHeight="1">
      <c r="X1481" s="4"/>
      <c r="AH1481" s="4"/>
      <c r="EA1481" s="4"/>
      <c r="FX1481" s="4"/>
      <c r="HL1481" s="4"/>
      <c r="HZ1481" s="4"/>
      <c r="IU1481" s="4"/>
      <c r="JM1481" s="4"/>
    </row>
    <row r="1482" spans="24:273" ht="12" customHeight="1">
      <c r="X1482" s="4"/>
      <c r="AH1482" s="4"/>
      <c r="EA1482" s="4"/>
      <c r="FX1482" s="4"/>
      <c r="HL1482" s="4"/>
      <c r="HZ1482" s="4"/>
      <c r="IU1482" s="4"/>
      <c r="JM1482" s="4"/>
    </row>
    <row r="1483" spans="24:273" ht="12" customHeight="1">
      <c r="X1483" s="4"/>
      <c r="AH1483" s="4"/>
      <c r="EA1483" s="4"/>
      <c r="FX1483" s="4"/>
      <c r="HL1483" s="4"/>
      <c r="HZ1483" s="4"/>
      <c r="IU1483" s="4"/>
      <c r="JM1483" s="4"/>
    </row>
    <row r="1484" spans="24:273" ht="12" customHeight="1">
      <c r="X1484" s="4"/>
      <c r="AH1484" s="4"/>
      <c r="EA1484" s="4"/>
      <c r="FX1484" s="4"/>
      <c r="HL1484" s="4"/>
      <c r="HZ1484" s="4"/>
      <c r="IU1484" s="4"/>
      <c r="JM1484" s="4"/>
    </row>
    <row r="1485" spans="24:273" ht="12" customHeight="1">
      <c r="X1485" s="4"/>
      <c r="AH1485" s="4"/>
      <c r="EA1485" s="4"/>
      <c r="FX1485" s="4"/>
      <c r="HL1485" s="4"/>
      <c r="HZ1485" s="4"/>
      <c r="IU1485" s="4"/>
      <c r="JM1485" s="4"/>
    </row>
    <row r="1486" spans="24:273" ht="12" customHeight="1">
      <c r="X1486" s="4"/>
      <c r="AH1486" s="4"/>
      <c r="EA1486" s="4"/>
      <c r="FX1486" s="4"/>
      <c r="HL1486" s="4"/>
      <c r="HZ1486" s="4"/>
      <c r="IU1486" s="4"/>
      <c r="JM1486" s="4"/>
    </row>
    <row r="1487" spans="24:273" ht="12" customHeight="1">
      <c r="X1487" s="4"/>
      <c r="AH1487" s="4"/>
      <c r="EA1487" s="4"/>
      <c r="FX1487" s="4"/>
      <c r="HL1487" s="4"/>
      <c r="HZ1487" s="4"/>
      <c r="IU1487" s="4"/>
      <c r="JM1487" s="4"/>
    </row>
    <row r="1488" spans="24:273" ht="12" customHeight="1">
      <c r="X1488" s="4"/>
      <c r="AH1488" s="4"/>
      <c r="EA1488" s="4"/>
      <c r="FX1488" s="4"/>
      <c r="HL1488" s="4"/>
      <c r="HZ1488" s="4"/>
      <c r="IU1488" s="4"/>
      <c r="JM1488" s="4"/>
    </row>
    <row r="1489" spans="24:273" ht="12" customHeight="1">
      <c r="X1489" s="4"/>
      <c r="AH1489" s="4"/>
      <c r="EA1489" s="4"/>
      <c r="FX1489" s="4"/>
      <c r="HL1489" s="4"/>
      <c r="HZ1489" s="4"/>
      <c r="IU1489" s="4"/>
      <c r="JM1489" s="4"/>
    </row>
    <row r="1490" spans="24:273" ht="12" customHeight="1">
      <c r="X1490" s="4"/>
      <c r="AH1490" s="4"/>
      <c r="EA1490" s="4"/>
      <c r="FX1490" s="4"/>
      <c r="HL1490" s="4"/>
      <c r="HZ1490" s="4"/>
      <c r="IU1490" s="4"/>
      <c r="JM1490" s="4"/>
    </row>
    <row r="1491" spans="24:273" ht="12" customHeight="1">
      <c r="X1491" s="4"/>
      <c r="AH1491" s="4"/>
      <c r="EA1491" s="4"/>
      <c r="FX1491" s="4"/>
      <c r="HL1491" s="4"/>
      <c r="HZ1491" s="4"/>
      <c r="IU1491" s="4"/>
      <c r="JM1491" s="4"/>
    </row>
    <row r="1492" spans="24:273" ht="12" customHeight="1">
      <c r="X1492" s="4"/>
      <c r="AH1492" s="4"/>
      <c r="EA1492" s="4"/>
      <c r="FX1492" s="4"/>
      <c r="HL1492" s="4"/>
      <c r="HZ1492" s="4"/>
      <c r="IU1492" s="4"/>
      <c r="JM1492" s="4"/>
    </row>
    <row r="1493" spans="24:273" ht="12" customHeight="1">
      <c r="X1493" s="4"/>
      <c r="AH1493" s="4"/>
      <c r="EA1493" s="4"/>
      <c r="FX1493" s="4"/>
      <c r="HL1493" s="4"/>
      <c r="HZ1493" s="4"/>
      <c r="IU1493" s="4"/>
      <c r="JM1493" s="4"/>
    </row>
    <row r="1494" spans="24:273" ht="12" customHeight="1">
      <c r="X1494" s="4"/>
      <c r="AH1494" s="4"/>
      <c r="EA1494" s="4"/>
      <c r="FX1494" s="4"/>
      <c r="HL1494" s="4"/>
      <c r="HZ1494" s="4"/>
      <c r="IU1494" s="4"/>
      <c r="JM1494" s="4"/>
    </row>
    <row r="1495" spans="24:273" ht="12" customHeight="1">
      <c r="X1495" s="4"/>
      <c r="AH1495" s="4"/>
      <c r="EA1495" s="4"/>
      <c r="FX1495" s="4"/>
      <c r="HL1495" s="4"/>
      <c r="HZ1495" s="4"/>
      <c r="IU1495" s="4"/>
      <c r="JM1495" s="4"/>
    </row>
    <row r="1496" spans="24:273" ht="12" customHeight="1">
      <c r="X1496" s="4"/>
      <c r="AH1496" s="4"/>
      <c r="EA1496" s="4"/>
      <c r="FX1496" s="4"/>
      <c r="HL1496" s="4"/>
      <c r="HZ1496" s="4"/>
      <c r="IU1496" s="4"/>
      <c r="JM1496" s="4"/>
    </row>
    <row r="1497" spans="24:273" ht="12" customHeight="1">
      <c r="X1497" s="4"/>
      <c r="AH1497" s="4"/>
      <c r="EA1497" s="4"/>
      <c r="FX1497" s="4"/>
      <c r="HL1497" s="4"/>
      <c r="HZ1497" s="4"/>
      <c r="IU1497" s="4"/>
      <c r="JM1497" s="4"/>
    </row>
    <row r="1498" spans="24:273" ht="12" customHeight="1">
      <c r="X1498" s="4"/>
      <c r="AH1498" s="4"/>
      <c r="EA1498" s="4"/>
      <c r="FX1498" s="4"/>
      <c r="HL1498" s="4"/>
      <c r="HZ1498" s="4"/>
      <c r="IU1498" s="4"/>
      <c r="JM1498" s="4"/>
    </row>
    <row r="1499" spans="24:273" ht="12" customHeight="1">
      <c r="X1499" s="4"/>
      <c r="AH1499" s="4"/>
      <c r="EA1499" s="4"/>
      <c r="FX1499" s="4"/>
      <c r="HL1499" s="4"/>
      <c r="HZ1499" s="4"/>
      <c r="IU1499" s="4"/>
      <c r="JM1499" s="4"/>
    </row>
    <row r="1500" spans="24:273" ht="12" customHeight="1">
      <c r="X1500" s="4"/>
      <c r="AH1500" s="4"/>
      <c r="EA1500" s="4"/>
      <c r="FX1500" s="4"/>
      <c r="HL1500" s="4"/>
      <c r="HZ1500" s="4"/>
      <c r="IU1500" s="4"/>
      <c r="JM1500" s="4"/>
    </row>
    <row r="1501" spans="24:273" ht="12" customHeight="1">
      <c r="X1501" s="4"/>
      <c r="AH1501" s="4"/>
      <c r="EA1501" s="4"/>
      <c r="FX1501" s="4"/>
      <c r="HL1501" s="4"/>
      <c r="HZ1501" s="4"/>
      <c r="IU1501" s="4"/>
      <c r="JM1501" s="4"/>
    </row>
    <row r="1502" spans="24:273" ht="12" customHeight="1">
      <c r="X1502" s="4"/>
      <c r="AH1502" s="4"/>
      <c r="EA1502" s="4"/>
      <c r="FX1502" s="4"/>
      <c r="HL1502" s="4"/>
      <c r="HZ1502" s="4"/>
      <c r="IU1502" s="4"/>
      <c r="JM1502" s="4"/>
    </row>
    <row r="1503" spans="24:273" ht="12" customHeight="1">
      <c r="X1503" s="4"/>
      <c r="AH1503" s="4"/>
      <c r="EA1503" s="4"/>
      <c r="FX1503" s="4"/>
      <c r="HL1503" s="4"/>
      <c r="HZ1503" s="4"/>
      <c r="IU1503" s="4"/>
      <c r="JM1503" s="4"/>
    </row>
    <row r="1504" spans="24:273" ht="12" customHeight="1">
      <c r="X1504" s="4"/>
      <c r="AH1504" s="4"/>
      <c r="EA1504" s="4"/>
      <c r="FX1504" s="4"/>
      <c r="HL1504" s="4"/>
      <c r="HZ1504" s="4"/>
      <c r="IU1504" s="4"/>
      <c r="JM1504" s="4"/>
    </row>
    <row r="1505" spans="24:273" ht="12" customHeight="1">
      <c r="X1505" s="4"/>
      <c r="AH1505" s="4"/>
      <c r="EA1505" s="4"/>
      <c r="FX1505" s="4"/>
      <c r="HL1505" s="4"/>
      <c r="HZ1505" s="4"/>
      <c r="IU1505" s="4"/>
      <c r="JM1505" s="4"/>
    </row>
    <row r="1506" spans="24:273" ht="12" customHeight="1">
      <c r="X1506" s="4"/>
      <c r="AH1506" s="4"/>
      <c r="EA1506" s="4"/>
      <c r="FX1506" s="4"/>
      <c r="HL1506" s="4"/>
      <c r="HZ1506" s="4"/>
      <c r="IU1506" s="4"/>
      <c r="JM1506" s="4"/>
    </row>
    <row r="1507" spans="24:273" ht="12" customHeight="1">
      <c r="X1507" s="4"/>
      <c r="AH1507" s="4"/>
      <c r="EA1507" s="4"/>
      <c r="FX1507" s="4"/>
      <c r="HL1507" s="4"/>
      <c r="HZ1507" s="4"/>
      <c r="IU1507" s="4"/>
      <c r="JM1507" s="4"/>
    </row>
    <row r="1508" spans="24:273" ht="12" customHeight="1">
      <c r="X1508" s="4"/>
      <c r="AH1508" s="4"/>
      <c r="EA1508" s="4"/>
      <c r="FX1508" s="4"/>
      <c r="HL1508" s="4"/>
      <c r="HZ1508" s="4"/>
      <c r="IU1508" s="4"/>
      <c r="JM1508" s="4"/>
    </row>
    <row r="1509" spans="24:273" ht="12" customHeight="1">
      <c r="X1509" s="4"/>
      <c r="AH1509" s="4"/>
      <c r="EA1509" s="4"/>
      <c r="FX1509" s="4"/>
      <c r="HL1509" s="4"/>
      <c r="HZ1509" s="4"/>
      <c r="IU1509" s="4"/>
      <c r="JM1509" s="4"/>
    </row>
    <row r="1510" spans="24:273" ht="12" customHeight="1">
      <c r="X1510" s="4"/>
      <c r="AH1510" s="4"/>
      <c r="EA1510" s="4"/>
      <c r="FX1510" s="4"/>
      <c r="HL1510" s="4"/>
      <c r="HZ1510" s="4"/>
      <c r="IU1510" s="4"/>
      <c r="JM1510" s="4"/>
    </row>
    <row r="1511" spans="24:273" ht="12" customHeight="1">
      <c r="X1511" s="4"/>
      <c r="AH1511" s="4"/>
      <c r="EA1511" s="4"/>
      <c r="FX1511" s="4"/>
      <c r="HL1511" s="4"/>
      <c r="HZ1511" s="4"/>
      <c r="IU1511" s="4"/>
      <c r="JM1511" s="4"/>
    </row>
    <row r="1512" spans="24:273" ht="12" customHeight="1">
      <c r="X1512" s="4"/>
      <c r="AH1512" s="4"/>
      <c r="EA1512" s="4"/>
      <c r="FX1512" s="4"/>
      <c r="HL1512" s="4"/>
      <c r="HZ1512" s="4"/>
      <c r="IU1512" s="4"/>
      <c r="JM1512" s="4"/>
    </row>
    <row r="1513" spans="24:273" ht="12" customHeight="1">
      <c r="X1513" s="4"/>
      <c r="AH1513" s="4"/>
      <c r="EA1513" s="4"/>
      <c r="FX1513" s="4"/>
      <c r="HL1513" s="4"/>
      <c r="HZ1513" s="4"/>
      <c r="IU1513" s="4"/>
      <c r="JM1513" s="4"/>
    </row>
    <row r="1514" spans="24:273" ht="12" customHeight="1">
      <c r="X1514" s="4"/>
      <c r="AH1514" s="4"/>
      <c r="EA1514" s="4"/>
      <c r="FX1514" s="4"/>
      <c r="HL1514" s="4"/>
      <c r="HZ1514" s="4"/>
      <c r="IU1514" s="4"/>
      <c r="JM1514" s="4"/>
    </row>
    <row r="1515" spans="24:273" ht="12" customHeight="1">
      <c r="X1515" s="4"/>
      <c r="AH1515" s="4"/>
      <c r="EA1515" s="4"/>
      <c r="FX1515" s="4"/>
      <c r="HL1515" s="4"/>
      <c r="HZ1515" s="4"/>
      <c r="IU1515" s="4"/>
      <c r="JM1515" s="4"/>
    </row>
    <row r="1516" spans="24:273" ht="12" customHeight="1">
      <c r="X1516" s="4"/>
      <c r="AH1516" s="4"/>
      <c r="EA1516" s="4"/>
      <c r="FX1516" s="4"/>
      <c r="HL1516" s="4"/>
      <c r="HZ1516" s="4"/>
      <c r="IU1516" s="4"/>
      <c r="JM1516" s="4"/>
    </row>
    <row r="1517" spans="24:273" ht="12" customHeight="1">
      <c r="X1517" s="4"/>
      <c r="AH1517" s="4"/>
      <c r="EA1517" s="4"/>
      <c r="FX1517" s="4"/>
      <c r="HL1517" s="4"/>
      <c r="HZ1517" s="4"/>
      <c r="IU1517" s="4"/>
      <c r="JM1517" s="4"/>
    </row>
    <row r="1518" spans="24:273" ht="12" customHeight="1">
      <c r="X1518" s="4"/>
      <c r="AH1518" s="4"/>
      <c r="EA1518" s="4"/>
      <c r="FX1518" s="4"/>
      <c r="HL1518" s="4"/>
      <c r="HZ1518" s="4"/>
      <c r="IU1518" s="4"/>
      <c r="JM1518" s="4"/>
    </row>
    <row r="1519" spans="24:273" ht="12" customHeight="1">
      <c r="X1519" s="4"/>
      <c r="AH1519" s="4"/>
      <c r="EA1519" s="4"/>
      <c r="FX1519" s="4"/>
      <c r="HL1519" s="4"/>
      <c r="HZ1519" s="4"/>
      <c r="IU1519" s="4"/>
      <c r="JM1519" s="4"/>
    </row>
    <row r="1520" spans="24:273" ht="12" customHeight="1">
      <c r="X1520" s="4"/>
      <c r="AH1520" s="4"/>
      <c r="EA1520" s="4"/>
      <c r="FX1520" s="4"/>
      <c r="HL1520" s="4"/>
      <c r="HZ1520" s="4"/>
      <c r="IU1520" s="4"/>
      <c r="JM1520" s="4"/>
    </row>
    <row r="1521" spans="24:273" ht="12" customHeight="1">
      <c r="X1521" s="4"/>
      <c r="AH1521" s="4"/>
      <c r="EA1521" s="4"/>
      <c r="FX1521" s="4"/>
      <c r="HL1521" s="4"/>
      <c r="HZ1521" s="4"/>
      <c r="IU1521" s="4"/>
      <c r="JM1521" s="4"/>
    </row>
    <row r="1522" spans="24:273" ht="12" customHeight="1">
      <c r="X1522" s="4"/>
      <c r="AH1522" s="4"/>
      <c r="EA1522" s="4"/>
      <c r="FX1522" s="4"/>
      <c r="HL1522" s="4"/>
      <c r="HZ1522" s="4"/>
      <c r="IU1522" s="4"/>
      <c r="JM1522" s="4"/>
    </row>
    <row r="1523" spans="24:273" ht="12" customHeight="1">
      <c r="X1523" s="4"/>
      <c r="AH1523" s="4"/>
      <c r="EA1523" s="4"/>
      <c r="FX1523" s="4"/>
      <c r="HL1523" s="4"/>
      <c r="HZ1523" s="4"/>
      <c r="IU1523" s="4"/>
      <c r="JM1523" s="4"/>
    </row>
    <row r="1524" spans="24:273" ht="12" customHeight="1">
      <c r="X1524" s="4"/>
      <c r="AH1524" s="4"/>
      <c r="EA1524" s="4"/>
      <c r="FX1524" s="4"/>
      <c r="HL1524" s="4"/>
      <c r="HZ1524" s="4"/>
      <c r="IU1524" s="4"/>
      <c r="JM1524" s="4"/>
    </row>
    <row r="1525" spans="24:273" ht="12" customHeight="1">
      <c r="X1525" s="4"/>
      <c r="AH1525" s="4"/>
      <c r="EA1525" s="4"/>
      <c r="FX1525" s="4"/>
      <c r="HL1525" s="4"/>
      <c r="HZ1525" s="4"/>
      <c r="IU1525" s="4"/>
      <c r="JM1525" s="4"/>
    </row>
    <row r="1526" spans="24:273" ht="12" customHeight="1">
      <c r="X1526" s="4"/>
      <c r="AH1526" s="4"/>
      <c r="EA1526" s="4"/>
      <c r="FX1526" s="4"/>
      <c r="HL1526" s="4"/>
      <c r="HZ1526" s="4"/>
      <c r="IU1526" s="4"/>
      <c r="JM1526" s="4"/>
    </row>
    <row r="1527" spans="24:273" ht="12" customHeight="1">
      <c r="X1527" s="4"/>
      <c r="AH1527" s="4"/>
      <c r="EA1527" s="4"/>
      <c r="FX1527" s="4"/>
      <c r="HL1527" s="4"/>
      <c r="HZ1527" s="4"/>
      <c r="IU1527" s="4"/>
      <c r="JM1527" s="4"/>
    </row>
    <row r="1528" spans="24:273" ht="12" customHeight="1">
      <c r="X1528" s="4"/>
      <c r="AH1528" s="4"/>
      <c r="EA1528" s="4"/>
      <c r="FX1528" s="4"/>
      <c r="HL1528" s="4"/>
      <c r="HZ1528" s="4"/>
      <c r="IU1528" s="4"/>
      <c r="JM1528" s="4"/>
    </row>
    <row r="1529" spans="24:273" ht="12" customHeight="1">
      <c r="X1529" s="4"/>
      <c r="AH1529" s="4"/>
      <c r="EA1529" s="4"/>
      <c r="FX1529" s="4"/>
      <c r="HL1529" s="4"/>
      <c r="HZ1529" s="4"/>
      <c r="IU1529" s="4"/>
      <c r="JM1529" s="4"/>
    </row>
    <row r="1530" spans="24:273" ht="12" customHeight="1">
      <c r="X1530" s="4"/>
      <c r="AH1530" s="4"/>
      <c r="EA1530" s="4"/>
      <c r="FX1530" s="4"/>
      <c r="HL1530" s="4"/>
      <c r="HZ1530" s="4"/>
      <c r="IU1530" s="4"/>
      <c r="JM1530" s="4"/>
    </row>
    <row r="1531" spans="24:273" ht="12" customHeight="1">
      <c r="X1531" s="4"/>
      <c r="AH1531" s="4"/>
      <c r="EA1531" s="4"/>
      <c r="FX1531" s="4"/>
      <c r="HL1531" s="4"/>
      <c r="HZ1531" s="4"/>
      <c r="IU1531" s="4"/>
      <c r="JM1531" s="4"/>
    </row>
    <row r="1532" spans="24:273" ht="12" customHeight="1">
      <c r="X1532" s="4"/>
      <c r="AH1532" s="4"/>
      <c r="EA1532" s="4"/>
      <c r="FX1532" s="4"/>
      <c r="HL1532" s="4"/>
      <c r="HZ1532" s="4"/>
      <c r="IU1532" s="4"/>
      <c r="JM1532" s="4"/>
    </row>
    <row r="1533" spans="24:273" ht="12" customHeight="1">
      <c r="X1533" s="4"/>
      <c r="AH1533" s="4"/>
      <c r="EA1533" s="4"/>
      <c r="FX1533" s="4"/>
      <c r="HL1533" s="4"/>
      <c r="HZ1533" s="4"/>
      <c r="IU1533" s="4"/>
      <c r="JM1533" s="4"/>
    </row>
    <row r="1534" spans="24:273" ht="12" customHeight="1">
      <c r="X1534" s="4"/>
      <c r="AH1534" s="4"/>
      <c r="EA1534" s="4"/>
      <c r="FX1534" s="4"/>
      <c r="HL1534" s="4"/>
      <c r="HZ1534" s="4"/>
      <c r="IU1534" s="4"/>
      <c r="JM1534" s="4"/>
    </row>
    <row r="1535" spans="24:273" ht="12" customHeight="1">
      <c r="X1535" s="4"/>
      <c r="AH1535" s="4"/>
      <c r="EA1535" s="4"/>
      <c r="FX1535" s="4"/>
      <c r="HL1535" s="4"/>
      <c r="HZ1535" s="4"/>
      <c r="IU1535" s="4"/>
      <c r="JM1535" s="4"/>
    </row>
    <row r="1536" spans="24:273" ht="12" customHeight="1">
      <c r="X1536" s="4"/>
      <c r="AH1536" s="4"/>
      <c r="EA1536" s="4"/>
      <c r="FX1536" s="4"/>
      <c r="HL1536" s="4"/>
      <c r="HZ1536" s="4"/>
      <c r="IU1536" s="4"/>
      <c r="JM1536" s="4"/>
    </row>
    <row r="1537" spans="24:273" ht="12" customHeight="1">
      <c r="X1537" s="4"/>
      <c r="AH1537" s="4"/>
      <c r="EA1537" s="4"/>
      <c r="FX1537" s="4"/>
      <c r="HL1537" s="4"/>
      <c r="HZ1537" s="4"/>
      <c r="IU1537" s="4"/>
      <c r="JM1537" s="4"/>
    </row>
    <row r="1538" spans="24:273" ht="12" customHeight="1">
      <c r="X1538" s="4"/>
      <c r="AH1538" s="4"/>
      <c r="EA1538" s="4"/>
      <c r="FX1538" s="4"/>
      <c r="HL1538" s="4"/>
      <c r="HZ1538" s="4"/>
      <c r="IU1538" s="4"/>
      <c r="JM1538" s="4"/>
    </row>
    <row r="1539" spans="24:273" ht="12" customHeight="1">
      <c r="X1539" s="4"/>
      <c r="AH1539" s="4"/>
      <c r="EA1539" s="4"/>
      <c r="FX1539" s="4"/>
      <c r="HL1539" s="4"/>
      <c r="HZ1539" s="4"/>
      <c r="IU1539" s="4"/>
      <c r="JM1539" s="4"/>
    </row>
    <row r="1540" spans="24:273" ht="12" customHeight="1">
      <c r="X1540" s="4"/>
      <c r="AH1540" s="4"/>
      <c r="EA1540" s="4"/>
      <c r="FX1540" s="4"/>
      <c r="HL1540" s="4"/>
      <c r="HZ1540" s="4"/>
      <c r="IU1540" s="4"/>
      <c r="JM1540" s="4"/>
    </row>
    <row r="1541" spans="24:273" ht="12" customHeight="1">
      <c r="X1541" s="4"/>
      <c r="AH1541" s="4"/>
      <c r="EA1541" s="4"/>
      <c r="FX1541" s="4"/>
      <c r="HL1541" s="4"/>
      <c r="HZ1541" s="4"/>
      <c r="IU1541" s="4"/>
      <c r="JM1541" s="4"/>
    </row>
    <row r="1542" spans="24:273" ht="12" customHeight="1">
      <c r="X1542" s="4"/>
      <c r="AH1542" s="4"/>
      <c r="EA1542" s="4"/>
      <c r="FX1542" s="4"/>
      <c r="HL1542" s="4"/>
      <c r="HZ1542" s="4"/>
      <c r="IU1542" s="4"/>
      <c r="JM1542" s="4"/>
    </row>
    <row r="1543" spans="24:273" ht="12" customHeight="1">
      <c r="X1543" s="4"/>
      <c r="AH1543" s="4"/>
      <c r="EA1543" s="4"/>
      <c r="FX1543" s="4"/>
      <c r="HL1543" s="4"/>
      <c r="HZ1543" s="4"/>
      <c r="IU1543" s="4"/>
      <c r="JM1543" s="4"/>
    </row>
    <row r="1544" spans="24:273" ht="12" customHeight="1">
      <c r="X1544" s="4"/>
      <c r="AH1544" s="4"/>
      <c r="EA1544" s="4"/>
      <c r="FX1544" s="4"/>
      <c r="HL1544" s="4"/>
      <c r="HZ1544" s="4"/>
      <c r="IU1544" s="4"/>
      <c r="JM1544" s="4"/>
    </row>
    <row r="1545" spans="24:273" ht="12" customHeight="1">
      <c r="X1545" s="4"/>
      <c r="AH1545" s="4"/>
      <c r="EA1545" s="4"/>
      <c r="FX1545" s="4"/>
      <c r="HL1545" s="4"/>
      <c r="HZ1545" s="4"/>
      <c r="IU1545" s="4"/>
      <c r="JM1545" s="4"/>
    </row>
    <row r="1546" spans="24:273" ht="12" customHeight="1">
      <c r="X1546" s="4"/>
      <c r="AH1546" s="4"/>
      <c r="EA1546" s="4"/>
      <c r="FX1546" s="4"/>
      <c r="HL1546" s="4"/>
      <c r="HZ1546" s="4"/>
      <c r="IU1546" s="4"/>
      <c r="JM1546" s="4"/>
    </row>
    <row r="1547" spans="24:273" ht="12" customHeight="1">
      <c r="X1547" s="4"/>
      <c r="AH1547" s="4"/>
      <c r="EA1547" s="4"/>
      <c r="FX1547" s="4"/>
      <c r="HL1547" s="4"/>
      <c r="HZ1547" s="4"/>
      <c r="IU1547" s="4"/>
      <c r="JM1547" s="4"/>
    </row>
    <row r="1548" spans="24:273" ht="12" customHeight="1">
      <c r="X1548" s="4"/>
      <c r="AH1548" s="4"/>
      <c r="EA1548" s="4"/>
      <c r="FX1548" s="4"/>
      <c r="HL1548" s="4"/>
      <c r="HZ1548" s="4"/>
      <c r="IU1548" s="4"/>
      <c r="JM1548" s="4"/>
    </row>
    <row r="1549" spans="24:273" ht="12" customHeight="1">
      <c r="X1549" s="4"/>
      <c r="AH1549" s="4"/>
      <c r="EA1549" s="4"/>
      <c r="FX1549" s="4"/>
      <c r="HL1549" s="4"/>
      <c r="HZ1549" s="4"/>
      <c r="IU1549" s="4"/>
      <c r="JM1549" s="4"/>
    </row>
    <row r="1550" spans="24:273" ht="12" customHeight="1">
      <c r="X1550" s="4"/>
      <c r="AH1550" s="4"/>
      <c r="EA1550" s="4"/>
      <c r="FX1550" s="4"/>
      <c r="HL1550" s="4"/>
      <c r="HZ1550" s="4"/>
      <c r="IU1550" s="4"/>
      <c r="JM1550" s="4"/>
    </row>
    <row r="1551" spans="24:273" ht="12" customHeight="1">
      <c r="X1551" s="4"/>
      <c r="AH1551" s="4"/>
      <c r="EA1551" s="4"/>
      <c r="FX1551" s="4"/>
      <c r="HL1551" s="4"/>
      <c r="HZ1551" s="4"/>
      <c r="IU1551" s="4"/>
      <c r="JM1551" s="4"/>
    </row>
    <row r="1552" spans="24:273" ht="12" customHeight="1">
      <c r="X1552" s="4"/>
      <c r="AH1552" s="4"/>
      <c r="EA1552" s="4"/>
      <c r="FX1552" s="4"/>
      <c r="HL1552" s="4"/>
      <c r="HZ1552" s="4"/>
      <c r="IU1552" s="4"/>
      <c r="JM1552" s="4"/>
    </row>
    <row r="1553" spans="24:273" ht="12" customHeight="1">
      <c r="X1553" s="4"/>
      <c r="AH1553" s="4"/>
      <c r="EA1553" s="4"/>
      <c r="FX1553" s="4"/>
      <c r="HL1553" s="4"/>
      <c r="HZ1553" s="4"/>
      <c r="IU1553" s="4"/>
      <c r="JM1553" s="4"/>
    </row>
    <row r="1554" spans="24:273" ht="12" customHeight="1">
      <c r="X1554" s="4"/>
      <c r="AH1554" s="4"/>
      <c r="EA1554" s="4"/>
      <c r="FX1554" s="4"/>
      <c r="HL1554" s="4"/>
      <c r="HZ1554" s="4"/>
      <c r="IU1554" s="4"/>
      <c r="JM1554" s="4"/>
    </row>
    <row r="1555" spans="24:273" ht="12" customHeight="1">
      <c r="X1555" s="4"/>
      <c r="AH1555" s="4"/>
      <c r="EA1555" s="4"/>
      <c r="FX1555" s="4"/>
      <c r="HL1555" s="4"/>
      <c r="HZ1555" s="4"/>
      <c r="IU1555" s="4"/>
      <c r="JM1555" s="4"/>
    </row>
    <row r="1556" spans="24:273" ht="12" customHeight="1">
      <c r="X1556" s="4"/>
      <c r="AH1556" s="4"/>
      <c r="EA1556" s="4"/>
      <c r="FX1556" s="4"/>
      <c r="HL1556" s="4"/>
      <c r="HZ1556" s="4"/>
      <c r="IU1556" s="4"/>
      <c r="JM1556" s="4"/>
    </row>
    <row r="1557" spans="24:273" ht="12" customHeight="1">
      <c r="X1557" s="4"/>
      <c r="AH1557" s="4"/>
      <c r="EA1557" s="4"/>
      <c r="FX1557" s="4"/>
      <c r="HL1557" s="4"/>
      <c r="HZ1557" s="4"/>
      <c r="IU1557" s="4"/>
      <c r="JM1557" s="4"/>
    </row>
    <row r="1558" spans="24:273" ht="12" customHeight="1">
      <c r="X1558" s="4"/>
      <c r="AH1558" s="4"/>
      <c r="EA1558" s="4"/>
      <c r="FX1558" s="4"/>
      <c r="HL1558" s="4"/>
      <c r="HZ1558" s="4"/>
      <c r="IU1558" s="4"/>
      <c r="JM1558" s="4"/>
    </row>
    <row r="1559" spans="24:273" ht="12" customHeight="1">
      <c r="X1559" s="4"/>
      <c r="AH1559" s="4"/>
      <c r="EA1559" s="4"/>
      <c r="FX1559" s="4"/>
      <c r="HL1559" s="4"/>
      <c r="HZ1559" s="4"/>
      <c r="IU1559" s="4"/>
      <c r="JM1559" s="4"/>
    </row>
    <row r="1560" spans="24:273" ht="12" customHeight="1">
      <c r="X1560" s="4"/>
      <c r="AH1560" s="4"/>
      <c r="EA1560" s="4"/>
      <c r="FX1560" s="4"/>
      <c r="HL1560" s="4"/>
      <c r="HZ1560" s="4"/>
      <c r="IU1560" s="4"/>
      <c r="JM1560" s="4"/>
    </row>
    <row r="1561" spans="24:273" ht="12" customHeight="1">
      <c r="X1561" s="4"/>
      <c r="AH1561" s="4"/>
      <c r="EA1561" s="4"/>
      <c r="FX1561" s="4"/>
      <c r="HL1561" s="4"/>
      <c r="HZ1561" s="4"/>
      <c r="IU1561" s="4"/>
      <c r="JM1561" s="4"/>
    </row>
    <row r="1562" spans="24:273" ht="12" customHeight="1">
      <c r="X1562" s="4"/>
      <c r="AH1562" s="4"/>
      <c r="EA1562" s="4"/>
      <c r="FX1562" s="4"/>
      <c r="HL1562" s="4"/>
      <c r="HZ1562" s="4"/>
      <c r="IU1562" s="4"/>
      <c r="JM1562" s="4"/>
    </row>
    <row r="1563" spans="24:273" ht="12" customHeight="1">
      <c r="X1563" s="4"/>
      <c r="AH1563" s="4"/>
      <c r="EA1563" s="4"/>
      <c r="FX1563" s="4"/>
      <c r="HL1563" s="4"/>
      <c r="HZ1563" s="4"/>
      <c r="IU1563" s="4"/>
      <c r="JM1563" s="4"/>
    </row>
    <row r="1564" spans="24:273" ht="12" customHeight="1">
      <c r="X1564" s="4"/>
      <c r="AH1564" s="4"/>
      <c r="EA1564" s="4"/>
      <c r="FX1564" s="4"/>
      <c r="HL1564" s="4"/>
      <c r="HZ1564" s="4"/>
      <c r="IU1564" s="4"/>
      <c r="JM1564" s="4"/>
    </row>
    <row r="1565" spans="24:273" ht="12" customHeight="1">
      <c r="X1565" s="4"/>
      <c r="AH1565" s="4"/>
      <c r="EA1565" s="4"/>
      <c r="FX1565" s="4"/>
      <c r="HL1565" s="4"/>
      <c r="HZ1565" s="4"/>
      <c r="IU1565" s="4"/>
      <c r="JM1565" s="4"/>
    </row>
    <row r="1566" spans="24:273" ht="12" customHeight="1">
      <c r="X1566" s="4"/>
      <c r="AH1566" s="4"/>
      <c r="EA1566" s="4"/>
      <c r="FX1566" s="4"/>
      <c r="HL1566" s="4"/>
      <c r="HZ1566" s="4"/>
      <c r="IU1566" s="4"/>
      <c r="JM1566" s="4"/>
    </row>
    <row r="1567" spans="24:273" ht="12" customHeight="1">
      <c r="X1567" s="4"/>
      <c r="AH1567" s="4"/>
      <c r="EA1567" s="4"/>
      <c r="FX1567" s="4"/>
      <c r="HL1567" s="4"/>
      <c r="HZ1567" s="4"/>
      <c r="IU1567" s="4"/>
      <c r="JM1567" s="4"/>
    </row>
    <row r="1568" spans="24:273" ht="12" customHeight="1">
      <c r="X1568" s="4"/>
      <c r="AH1568" s="4"/>
      <c r="EA1568" s="4"/>
      <c r="FX1568" s="4"/>
      <c r="HL1568" s="4"/>
      <c r="HZ1568" s="4"/>
      <c r="IU1568" s="4"/>
      <c r="JM1568" s="4"/>
    </row>
    <row r="1569" spans="24:273" ht="12" customHeight="1">
      <c r="X1569" s="4"/>
      <c r="AH1569" s="4"/>
      <c r="EA1569" s="4"/>
      <c r="FX1569" s="4"/>
      <c r="HL1569" s="4"/>
      <c r="HZ1569" s="4"/>
      <c r="IU1569" s="4"/>
      <c r="JM1569" s="4"/>
    </row>
    <row r="1570" spans="24:273" ht="12" customHeight="1">
      <c r="X1570" s="4"/>
      <c r="AH1570" s="4"/>
      <c r="EA1570" s="4"/>
      <c r="FX1570" s="4"/>
      <c r="HL1570" s="4"/>
      <c r="HZ1570" s="4"/>
      <c r="IU1570" s="4"/>
      <c r="JM1570" s="4"/>
    </row>
    <row r="1571" spans="24:273" ht="12" customHeight="1">
      <c r="X1571" s="4"/>
      <c r="AH1571" s="4"/>
      <c r="EA1571" s="4"/>
      <c r="FX1571" s="4"/>
      <c r="HL1571" s="4"/>
      <c r="HZ1571" s="4"/>
      <c r="IU1571" s="4"/>
      <c r="JM1571" s="4"/>
    </row>
    <row r="1572" spans="24:273" ht="12" customHeight="1">
      <c r="X1572" s="4"/>
      <c r="AH1572" s="4"/>
      <c r="EA1572" s="4"/>
      <c r="FX1572" s="4"/>
      <c r="HL1572" s="4"/>
      <c r="HZ1572" s="4"/>
      <c r="IU1572" s="4"/>
      <c r="JM1572" s="4"/>
    </row>
    <row r="1573" spans="24:273" ht="12" customHeight="1">
      <c r="X1573" s="4"/>
      <c r="AH1573" s="4"/>
      <c r="EA1573" s="4"/>
      <c r="FX1573" s="4"/>
      <c r="HL1573" s="4"/>
      <c r="HZ1573" s="4"/>
      <c r="IU1573" s="4"/>
      <c r="JM1573" s="4"/>
    </row>
    <row r="1574" spans="24:273" ht="12" customHeight="1">
      <c r="X1574" s="4"/>
      <c r="AH1574" s="4"/>
      <c r="EA1574" s="4"/>
      <c r="FX1574" s="4"/>
      <c r="HL1574" s="4"/>
      <c r="HZ1574" s="4"/>
      <c r="IU1574" s="4"/>
      <c r="JM1574" s="4"/>
    </row>
    <row r="1575" spans="24:273" ht="12" customHeight="1">
      <c r="X1575" s="4"/>
      <c r="AH1575" s="4"/>
      <c r="EA1575" s="4"/>
      <c r="FX1575" s="4"/>
      <c r="HL1575" s="4"/>
      <c r="HZ1575" s="4"/>
      <c r="IU1575" s="4"/>
      <c r="JM1575" s="4"/>
    </row>
    <row r="1576" spans="24:273" ht="12" customHeight="1">
      <c r="X1576" s="4"/>
      <c r="AH1576" s="4"/>
      <c r="EA1576" s="4"/>
      <c r="FX1576" s="4"/>
      <c r="HL1576" s="4"/>
      <c r="HZ1576" s="4"/>
      <c r="IU1576" s="4"/>
      <c r="JM1576" s="4"/>
    </row>
    <row r="1577" spans="24:273" ht="12" customHeight="1">
      <c r="X1577" s="4"/>
      <c r="AH1577" s="4"/>
      <c r="EA1577" s="4"/>
      <c r="FX1577" s="4"/>
      <c r="HL1577" s="4"/>
      <c r="HZ1577" s="4"/>
      <c r="IU1577" s="4"/>
      <c r="JM1577" s="4"/>
    </row>
    <row r="1578" spans="24:273" ht="12" customHeight="1">
      <c r="X1578" s="4"/>
      <c r="AH1578" s="4"/>
      <c r="EA1578" s="4"/>
      <c r="FX1578" s="4"/>
      <c r="HL1578" s="4"/>
      <c r="HZ1578" s="4"/>
      <c r="IU1578" s="4"/>
      <c r="JM1578" s="4"/>
    </row>
    <row r="1579" spans="24:273" ht="12" customHeight="1">
      <c r="X1579" s="4"/>
      <c r="AH1579" s="4"/>
      <c r="EA1579" s="4"/>
      <c r="FX1579" s="4"/>
      <c r="HL1579" s="4"/>
      <c r="HZ1579" s="4"/>
      <c r="IU1579" s="4"/>
      <c r="JM1579" s="4"/>
    </row>
    <row r="1580" spans="24:273" ht="12" customHeight="1">
      <c r="X1580" s="4"/>
      <c r="AH1580" s="4"/>
      <c r="EA1580" s="4"/>
      <c r="FX1580" s="4"/>
      <c r="HL1580" s="4"/>
      <c r="HZ1580" s="4"/>
      <c r="IU1580" s="4"/>
      <c r="JM1580" s="4"/>
    </row>
    <row r="1581" spans="24:273" ht="12" customHeight="1">
      <c r="X1581" s="4"/>
      <c r="AH1581" s="4"/>
      <c r="EA1581" s="4"/>
      <c r="FX1581" s="4"/>
      <c r="HL1581" s="4"/>
      <c r="HZ1581" s="4"/>
      <c r="IU1581" s="4"/>
      <c r="JM1581" s="4"/>
    </row>
    <row r="1582" spans="24:273" ht="12" customHeight="1">
      <c r="X1582" s="4"/>
      <c r="AH1582" s="4"/>
      <c r="EA1582" s="4"/>
      <c r="FX1582" s="4"/>
      <c r="HL1582" s="4"/>
      <c r="HZ1582" s="4"/>
      <c r="IU1582" s="4"/>
      <c r="JM1582" s="4"/>
    </row>
    <row r="1583" spans="24:273" ht="12" customHeight="1">
      <c r="X1583" s="4"/>
      <c r="AH1583" s="4"/>
      <c r="EA1583" s="4"/>
      <c r="FX1583" s="4"/>
      <c r="HL1583" s="4"/>
      <c r="HZ1583" s="4"/>
      <c r="IU1583" s="4"/>
      <c r="JM1583" s="4"/>
    </row>
    <row r="1584" spans="24:273" ht="12" customHeight="1">
      <c r="X1584" s="4"/>
      <c r="AH1584" s="4"/>
      <c r="EA1584" s="4"/>
      <c r="FX1584" s="4"/>
      <c r="HL1584" s="4"/>
      <c r="HZ1584" s="4"/>
      <c r="IU1584" s="4"/>
      <c r="JM1584" s="4"/>
    </row>
    <row r="1585" spans="24:273" ht="12" customHeight="1">
      <c r="X1585" s="4"/>
      <c r="AH1585" s="4"/>
      <c r="EA1585" s="4"/>
      <c r="FX1585" s="4"/>
      <c r="HL1585" s="4"/>
      <c r="HZ1585" s="4"/>
      <c r="IU1585" s="4"/>
      <c r="JM1585" s="4"/>
    </row>
    <row r="1586" spans="24:273" ht="12" customHeight="1">
      <c r="X1586" s="4"/>
      <c r="AH1586" s="4"/>
      <c r="EA1586" s="4"/>
      <c r="FX1586" s="4"/>
      <c r="HL1586" s="4"/>
      <c r="HZ1586" s="4"/>
      <c r="IU1586" s="4"/>
      <c r="JM1586" s="4"/>
    </row>
    <row r="1587" spans="24:273" ht="12" customHeight="1">
      <c r="X1587" s="4"/>
      <c r="AH1587" s="4"/>
      <c r="EA1587" s="4"/>
      <c r="FX1587" s="4"/>
      <c r="HL1587" s="4"/>
      <c r="HZ1587" s="4"/>
      <c r="IU1587" s="4"/>
      <c r="JM1587" s="4"/>
    </row>
    <row r="1588" spans="24:273" ht="12" customHeight="1">
      <c r="X1588" s="4"/>
      <c r="AH1588" s="4"/>
      <c r="EA1588" s="4"/>
      <c r="FX1588" s="4"/>
      <c r="HL1588" s="4"/>
      <c r="HZ1588" s="4"/>
      <c r="IU1588" s="4"/>
      <c r="JM1588" s="4"/>
    </row>
    <row r="1589" spans="24:273" ht="12" customHeight="1">
      <c r="X1589" s="4"/>
      <c r="AH1589" s="4"/>
      <c r="EA1589" s="4"/>
      <c r="FX1589" s="4"/>
      <c r="HL1589" s="4"/>
      <c r="HZ1589" s="4"/>
      <c r="IU1589" s="4"/>
      <c r="JM1589" s="4"/>
    </row>
    <row r="1590" spans="24:273" ht="12" customHeight="1">
      <c r="X1590" s="4"/>
      <c r="AH1590" s="4"/>
      <c r="EA1590" s="4"/>
      <c r="FX1590" s="4"/>
      <c r="HL1590" s="4"/>
      <c r="HZ1590" s="4"/>
      <c r="IU1590" s="4"/>
      <c r="JM1590" s="4"/>
    </row>
    <row r="1591" spans="24:273" ht="12" customHeight="1">
      <c r="X1591" s="4"/>
      <c r="AH1591" s="4"/>
      <c r="EA1591" s="4"/>
      <c r="FX1591" s="4"/>
      <c r="HL1591" s="4"/>
      <c r="HZ1591" s="4"/>
      <c r="IU1591" s="4"/>
      <c r="JM1591" s="4"/>
    </row>
    <row r="1592" spans="24:273" ht="12" customHeight="1">
      <c r="X1592" s="4"/>
      <c r="AH1592" s="4"/>
      <c r="EA1592" s="4"/>
      <c r="FX1592" s="4"/>
      <c r="HL1592" s="4"/>
      <c r="HZ1592" s="4"/>
      <c r="IU1592" s="4"/>
      <c r="JM1592" s="4"/>
    </row>
    <row r="1593" spans="24:273" ht="12" customHeight="1">
      <c r="X1593" s="4"/>
      <c r="AH1593" s="4"/>
      <c r="EA1593" s="4"/>
      <c r="FX1593" s="4"/>
      <c r="HL1593" s="4"/>
      <c r="HZ1593" s="4"/>
      <c r="IU1593" s="4"/>
      <c r="JM1593" s="4"/>
    </row>
    <row r="1594" spans="24:273" ht="12" customHeight="1">
      <c r="X1594" s="4"/>
      <c r="AH1594" s="4"/>
      <c r="EA1594" s="4"/>
      <c r="FX1594" s="4"/>
      <c r="HL1594" s="4"/>
      <c r="HZ1594" s="4"/>
      <c r="IU1594" s="4"/>
      <c r="JM1594" s="4"/>
    </row>
    <row r="1595" spans="24:273" ht="12" customHeight="1">
      <c r="X1595" s="4"/>
      <c r="AH1595" s="4"/>
      <c r="EA1595" s="4"/>
      <c r="FX1595" s="4"/>
      <c r="HL1595" s="4"/>
      <c r="HZ1595" s="4"/>
      <c r="IU1595" s="4"/>
      <c r="JM1595" s="4"/>
    </row>
    <row r="1596" spans="24:273" ht="12" customHeight="1">
      <c r="X1596" s="4"/>
      <c r="AH1596" s="4"/>
      <c r="EA1596" s="4"/>
      <c r="FX1596" s="4"/>
      <c r="HL1596" s="4"/>
      <c r="HZ1596" s="4"/>
      <c r="IU1596" s="4"/>
      <c r="JM1596" s="4"/>
    </row>
    <row r="1597" spans="24:273" ht="12" customHeight="1">
      <c r="X1597" s="4"/>
      <c r="AH1597" s="4"/>
      <c r="EA1597" s="4"/>
      <c r="FX1597" s="4"/>
      <c r="HL1597" s="4"/>
      <c r="HZ1597" s="4"/>
      <c r="IU1597" s="4"/>
      <c r="JM1597" s="4"/>
    </row>
    <row r="1598" spans="24:273" ht="12" customHeight="1">
      <c r="X1598" s="4"/>
      <c r="AH1598" s="4"/>
      <c r="EA1598" s="4"/>
      <c r="FX1598" s="4"/>
      <c r="HL1598" s="4"/>
      <c r="HZ1598" s="4"/>
      <c r="IU1598" s="4"/>
      <c r="JM1598" s="4"/>
    </row>
    <row r="1599" spans="24:273" ht="12" customHeight="1">
      <c r="X1599" s="4"/>
      <c r="AH1599" s="4"/>
      <c r="EA1599" s="4"/>
      <c r="FX1599" s="4"/>
      <c r="HL1599" s="4"/>
      <c r="HZ1599" s="4"/>
      <c r="IU1599" s="4"/>
      <c r="JM1599" s="4"/>
    </row>
    <row r="1600" spans="24:273" ht="12" customHeight="1">
      <c r="X1600" s="4"/>
      <c r="AH1600" s="4"/>
      <c r="EA1600" s="4"/>
      <c r="FX1600" s="4"/>
      <c r="HL1600" s="4"/>
      <c r="HZ1600" s="4"/>
      <c r="IU1600" s="4"/>
      <c r="JM1600" s="4"/>
    </row>
    <row r="1601" spans="24:273" ht="12" customHeight="1">
      <c r="X1601" s="4"/>
      <c r="AH1601" s="4"/>
      <c r="EA1601" s="4"/>
      <c r="FX1601" s="4"/>
      <c r="HL1601" s="4"/>
      <c r="HZ1601" s="4"/>
      <c r="IU1601" s="4"/>
      <c r="JM1601" s="4"/>
    </row>
    <row r="1602" spans="24:273" ht="12" customHeight="1">
      <c r="X1602" s="4"/>
      <c r="AH1602" s="4"/>
      <c r="EA1602" s="4"/>
      <c r="FX1602" s="4"/>
      <c r="HL1602" s="4"/>
      <c r="HZ1602" s="4"/>
      <c r="IU1602" s="4"/>
      <c r="JM1602" s="4"/>
    </row>
    <row r="1603" spans="24:273" ht="12" customHeight="1">
      <c r="X1603" s="4"/>
      <c r="AH1603" s="4"/>
      <c r="EA1603" s="4"/>
      <c r="FX1603" s="4"/>
      <c r="HL1603" s="4"/>
      <c r="HZ1603" s="4"/>
      <c r="IU1603" s="4"/>
      <c r="JM1603" s="4"/>
    </row>
    <row r="1604" spans="24:273" ht="12" customHeight="1">
      <c r="X1604" s="4"/>
      <c r="AH1604" s="4"/>
      <c r="EA1604" s="4"/>
      <c r="FX1604" s="4"/>
      <c r="HL1604" s="4"/>
      <c r="HZ1604" s="4"/>
      <c r="IU1604" s="4"/>
      <c r="JM1604" s="4"/>
    </row>
    <row r="1605" spans="24:273" ht="12" customHeight="1">
      <c r="X1605" s="4"/>
      <c r="AH1605" s="4"/>
      <c r="EA1605" s="4"/>
      <c r="FX1605" s="4"/>
      <c r="HL1605" s="4"/>
      <c r="HZ1605" s="4"/>
      <c r="IU1605" s="4"/>
      <c r="JM1605" s="4"/>
    </row>
    <row r="1606" spans="24:273" ht="12" customHeight="1">
      <c r="X1606" s="4"/>
      <c r="AH1606" s="4"/>
      <c r="EA1606" s="4"/>
      <c r="FX1606" s="4"/>
      <c r="HL1606" s="4"/>
      <c r="HZ1606" s="4"/>
      <c r="IU1606" s="4"/>
      <c r="JM1606" s="4"/>
    </row>
    <row r="1607" spans="24:273" ht="12" customHeight="1">
      <c r="X1607" s="4"/>
      <c r="AH1607" s="4"/>
      <c r="EA1607" s="4"/>
      <c r="FX1607" s="4"/>
      <c r="HL1607" s="4"/>
      <c r="HZ1607" s="4"/>
      <c r="IU1607" s="4"/>
      <c r="JM1607" s="4"/>
    </row>
    <row r="1608" spans="24:273" ht="12" customHeight="1">
      <c r="X1608" s="4"/>
      <c r="AH1608" s="4"/>
      <c r="EA1608" s="4"/>
      <c r="FX1608" s="4"/>
      <c r="HL1608" s="4"/>
      <c r="HZ1608" s="4"/>
      <c r="IU1608" s="4"/>
      <c r="JM1608" s="4"/>
    </row>
    <row r="1609" spans="24:273" ht="12" customHeight="1">
      <c r="X1609" s="4"/>
      <c r="AH1609" s="4"/>
      <c r="EA1609" s="4"/>
      <c r="FX1609" s="4"/>
      <c r="HL1609" s="4"/>
      <c r="HZ1609" s="4"/>
      <c r="IU1609" s="4"/>
      <c r="JM1609" s="4"/>
    </row>
    <row r="1610" spans="24:273" ht="12" customHeight="1">
      <c r="X1610" s="4"/>
      <c r="AH1610" s="4"/>
      <c r="EA1610" s="4"/>
      <c r="FX1610" s="4"/>
      <c r="HL1610" s="4"/>
      <c r="HZ1610" s="4"/>
      <c r="IU1610" s="4"/>
      <c r="JM1610" s="4"/>
    </row>
    <row r="1611" spans="24:273" ht="12" customHeight="1">
      <c r="X1611" s="4"/>
      <c r="AH1611" s="4"/>
      <c r="EA1611" s="4"/>
      <c r="FX1611" s="4"/>
      <c r="HL1611" s="4"/>
      <c r="HZ1611" s="4"/>
      <c r="IU1611" s="4"/>
      <c r="JM1611" s="4"/>
    </row>
    <row r="1612" spans="24:273" ht="12" customHeight="1">
      <c r="X1612" s="4"/>
      <c r="AH1612" s="4"/>
      <c r="EA1612" s="4"/>
      <c r="FX1612" s="4"/>
      <c r="HL1612" s="4"/>
      <c r="HZ1612" s="4"/>
      <c r="IU1612" s="4"/>
      <c r="JM1612" s="4"/>
    </row>
    <row r="1613" spans="24:273" ht="12" customHeight="1">
      <c r="X1613" s="4"/>
      <c r="AH1613" s="4"/>
      <c r="EA1613" s="4"/>
      <c r="FX1613" s="4"/>
      <c r="HL1613" s="4"/>
      <c r="HZ1613" s="4"/>
      <c r="IU1613" s="4"/>
      <c r="JM1613" s="4"/>
    </row>
    <row r="1614" spans="24:273" ht="12" customHeight="1">
      <c r="X1614" s="4"/>
      <c r="AH1614" s="4"/>
      <c r="EA1614" s="4"/>
      <c r="FX1614" s="4"/>
      <c r="HL1614" s="4"/>
      <c r="HZ1614" s="4"/>
      <c r="IU1614" s="4"/>
      <c r="JM1614" s="4"/>
    </row>
    <row r="1615" spans="24:273" ht="12" customHeight="1">
      <c r="X1615" s="4"/>
      <c r="AH1615" s="4"/>
      <c r="EA1615" s="4"/>
      <c r="FX1615" s="4"/>
      <c r="HL1615" s="4"/>
      <c r="HZ1615" s="4"/>
      <c r="IU1615" s="4"/>
      <c r="JM1615" s="4"/>
    </row>
    <row r="1616" spans="24:273" ht="12" customHeight="1">
      <c r="X1616" s="4"/>
      <c r="AH1616" s="4"/>
      <c r="EA1616" s="4"/>
      <c r="FX1616" s="4"/>
      <c r="HL1616" s="4"/>
      <c r="HZ1616" s="4"/>
      <c r="IU1616" s="4"/>
      <c r="JM1616" s="4"/>
    </row>
    <row r="1617" spans="24:273" ht="12" customHeight="1">
      <c r="X1617" s="4"/>
      <c r="AH1617" s="4"/>
      <c r="EA1617" s="4"/>
      <c r="FX1617" s="4"/>
      <c r="HL1617" s="4"/>
      <c r="HZ1617" s="4"/>
      <c r="IU1617" s="4"/>
      <c r="JM1617" s="4"/>
    </row>
    <row r="1618" spans="24:273" ht="12" customHeight="1">
      <c r="X1618" s="4"/>
      <c r="AH1618" s="4"/>
      <c r="EA1618" s="4"/>
      <c r="FX1618" s="4"/>
      <c r="HL1618" s="4"/>
      <c r="HZ1618" s="4"/>
      <c r="IU1618" s="4"/>
      <c r="JM1618" s="4"/>
    </row>
    <row r="1619" spans="24:273" ht="12" customHeight="1">
      <c r="X1619" s="4"/>
      <c r="AH1619" s="4"/>
      <c r="EA1619" s="4"/>
      <c r="FX1619" s="4"/>
      <c r="HL1619" s="4"/>
      <c r="HZ1619" s="4"/>
      <c r="IU1619" s="4"/>
      <c r="JM1619" s="4"/>
    </row>
    <row r="1620" spans="24:273" ht="12" customHeight="1">
      <c r="X1620" s="4"/>
      <c r="AH1620" s="4"/>
      <c r="EA1620" s="4"/>
      <c r="FX1620" s="4"/>
      <c r="HL1620" s="4"/>
      <c r="HZ1620" s="4"/>
      <c r="IU1620" s="4"/>
      <c r="JM1620" s="4"/>
    </row>
    <row r="1621" spans="24:273" ht="12" customHeight="1">
      <c r="X1621" s="4"/>
      <c r="AH1621" s="4"/>
      <c r="EA1621" s="4"/>
      <c r="FX1621" s="4"/>
      <c r="HL1621" s="4"/>
      <c r="HZ1621" s="4"/>
      <c r="IU1621" s="4"/>
      <c r="JM1621" s="4"/>
    </row>
    <row r="1622" spans="24:273" ht="12" customHeight="1">
      <c r="X1622" s="4"/>
      <c r="AH1622" s="4"/>
      <c r="EA1622" s="4"/>
      <c r="FX1622" s="4"/>
      <c r="HL1622" s="4"/>
      <c r="HZ1622" s="4"/>
      <c r="IU1622" s="4"/>
      <c r="JM1622" s="4"/>
    </row>
    <row r="1623" spans="24:273" ht="12" customHeight="1">
      <c r="X1623" s="4"/>
      <c r="AH1623" s="4"/>
      <c r="EA1623" s="4"/>
      <c r="FX1623" s="4"/>
      <c r="HL1623" s="4"/>
      <c r="HZ1623" s="4"/>
      <c r="IU1623" s="4"/>
      <c r="JM1623" s="4"/>
    </row>
    <row r="1624" spans="24:273" ht="12" customHeight="1">
      <c r="X1624" s="4"/>
      <c r="AH1624" s="4"/>
      <c r="EA1624" s="4"/>
      <c r="FX1624" s="4"/>
      <c r="HL1624" s="4"/>
      <c r="HZ1624" s="4"/>
      <c r="IU1624" s="4"/>
      <c r="JM1624" s="4"/>
    </row>
    <row r="1625" spans="24:273" ht="12" customHeight="1">
      <c r="X1625" s="4"/>
      <c r="AH1625" s="4"/>
      <c r="EA1625" s="4"/>
      <c r="FX1625" s="4"/>
      <c r="HL1625" s="4"/>
      <c r="HZ1625" s="4"/>
      <c r="IU1625" s="4"/>
      <c r="JM1625" s="4"/>
    </row>
    <row r="1626" spans="24:273" ht="12" customHeight="1">
      <c r="X1626" s="4"/>
      <c r="AH1626" s="4"/>
      <c r="EA1626" s="4"/>
      <c r="FX1626" s="4"/>
      <c r="HL1626" s="4"/>
      <c r="HZ1626" s="4"/>
      <c r="IU1626" s="4"/>
      <c r="JM1626" s="4"/>
    </row>
    <row r="1627" spans="24:273" ht="12" customHeight="1">
      <c r="X1627" s="4"/>
      <c r="AH1627" s="4"/>
      <c r="EA1627" s="4"/>
      <c r="FX1627" s="4"/>
      <c r="HL1627" s="4"/>
      <c r="HZ1627" s="4"/>
      <c r="IU1627" s="4"/>
      <c r="JM1627" s="4"/>
    </row>
    <row r="1628" spans="24:273" ht="12" customHeight="1">
      <c r="X1628" s="4"/>
      <c r="AH1628" s="4"/>
      <c r="EA1628" s="4"/>
      <c r="FX1628" s="4"/>
      <c r="HL1628" s="4"/>
      <c r="HZ1628" s="4"/>
      <c r="IU1628" s="4"/>
      <c r="JM1628" s="4"/>
    </row>
    <row r="1629" spans="24:273" ht="12" customHeight="1">
      <c r="X1629" s="4"/>
      <c r="AH1629" s="4"/>
      <c r="EA1629" s="4"/>
      <c r="FX1629" s="4"/>
      <c r="HL1629" s="4"/>
      <c r="HZ1629" s="4"/>
      <c r="IU1629" s="4"/>
      <c r="JM1629" s="4"/>
    </row>
    <row r="1630" spans="24:273" ht="12" customHeight="1">
      <c r="X1630" s="4"/>
      <c r="AH1630" s="4"/>
      <c r="EA1630" s="4"/>
      <c r="FX1630" s="4"/>
      <c r="HL1630" s="4"/>
      <c r="HZ1630" s="4"/>
      <c r="IU1630" s="4"/>
      <c r="JM1630" s="4"/>
    </row>
    <row r="1631" spans="24:273" ht="12" customHeight="1">
      <c r="X1631" s="4"/>
      <c r="AH1631" s="4"/>
      <c r="EA1631" s="4"/>
      <c r="FX1631" s="4"/>
      <c r="HL1631" s="4"/>
      <c r="HZ1631" s="4"/>
      <c r="IU1631" s="4"/>
      <c r="JM1631" s="4"/>
    </row>
    <row r="1632" spans="24:273" ht="12" customHeight="1">
      <c r="X1632" s="4"/>
      <c r="AH1632" s="4"/>
      <c r="EA1632" s="4"/>
      <c r="FX1632" s="4"/>
      <c r="HL1632" s="4"/>
      <c r="HZ1632" s="4"/>
      <c r="IU1632" s="4"/>
      <c r="JM1632" s="4"/>
    </row>
    <row r="1633" spans="24:273" ht="12" customHeight="1">
      <c r="X1633" s="4"/>
      <c r="AH1633" s="4"/>
      <c r="EA1633" s="4"/>
      <c r="FX1633" s="4"/>
      <c r="HL1633" s="4"/>
      <c r="HZ1633" s="4"/>
      <c r="IU1633" s="4"/>
      <c r="JM1633" s="4"/>
    </row>
    <row r="1634" spans="24:273" ht="12" customHeight="1">
      <c r="X1634" s="4"/>
      <c r="AH1634" s="4"/>
      <c r="EA1634" s="4"/>
      <c r="FX1634" s="4"/>
      <c r="HL1634" s="4"/>
      <c r="HZ1634" s="4"/>
      <c r="IU1634" s="4"/>
      <c r="JM1634" s="4"/>
    </row>
    <row r="1635" spans="24:273" ht="12" customHeight="1">
      <c r="X1635" s="4"/>
      <c r="AH1635" s="4"/>
      <c r="EA1635" s="4"/>
      <c r="FX1635" s="4"/>
      <c r="HL1635" s="4"/>
      <c r="HZ1635" s="4"/>
      <c r="IU1635" s="4"/>
      <c r="JM1635" s="4"/>
    </row>
    <row r="1636" spans="24:273" ht="12" customHeight="1">
      <c r="X1636" s="4"/>
      <c r="AH1636" s="4"/>
      <c r="EA1636" s="4"/>
      <c r="FX1636" s="4"/>
      <c r="HL1636" s="4"/>
      <c r="HZ1636" s="4"/>
      <c r="IU1636" s="4"/>
      <c r="JM1636" s="4"/>
    </row>
    <row r="1637" spans="24:273" ht="12" customHeight="1">
      <c r="X1637" s="4"/>
      <c r="AH1637" s="4"/>
      <c r="EA1637" s="4"/>
      <c r="FX1637" s="4"/>
      <c r="HL1637" s="4"/>
      <c r="HZ1637" s="4"/>
      <c r="IU1637" s="4"/>
      <c r="JM1637" s="4"/>
    </row>
    <row r="1638" spans="24:273" ht="12" customHeight="1">
      <c r="X1638" s="4"/>
      <c r="AH1638" s="4"/>
      <c r="EA1638" s="4"/>
      <c r="FX1638" s="4"/>
      <c r="HL1638" s="4"/>
      <c r="HZ1638" s="4"/>
      <c r="IU1638" s="4"/>
      <c r="JM1638" s="4"/>
    </row>
    <row r="1639" spans="24:273" ht="12" customHeight="1">
      <c r="X1639" s="4"/>
      <c r="AH1639" s="4"/>
      <c r="EA1639" s="4"/>
      <c r="FX1639" s="4"/>
      <c r="HL1639" s="4"/>
      <c r="HZ1639" s="4"/>
      <c r="IU1639" s="4"/>
      <c r="JM1639" s="4"/>
    </row>
    <row r="1640" spans="24:273" ht="12" customHeight="1">
      <c r="X1640" s="4"/>
      <c r="AH1640" s="4"/>
      <c r="EA1640" s="4"/>
      <c r="FX1640" s="4"/>
      <c r="HL1640" s="4"/>
      <c r="HZ1640" s="4"/>
      <c r="IU1640" s="4"/>
      <c r="JM1640" s="4"/>
    </row>
    <row r="1641" spans="24:273" ht="12" customHeight="1">
      <c r="X1641" s="4"/>
      <c r="AH1641" s="4"/>
      <c r="EA1641" s="4"/>
      <c r="FX1641" s="4"/>
      <c r="HL1641" s="4"/>
      <c r="HZ1641" s="4"/>
      <c r="IU1641" s="4"/>
      <c r="JM1641" s="4"/>
    </row>
    <row r="1642" spans="24:273" ht="12" customHeight="1">
      <c r="X1642" s="4"/>
      <c r="AH1642" s="4"/>
      <c r="EA1642" s="4"/>
      <c r="FX1642" s="4"/>
      <c r="HL1642" s="4"/>
      <c r="HZ1642" s="4"/>
      <c r="IU1642" s="4"/>
      <c r="JM1642" s="4"/>
    </row>
    <row r="1643" spans="24:273" ht="12" customHeight="1">
      <c r="X1643" s="4"/>
      <c r="AH1643" s="4"/>
      <c r="EA1643" s="4"/>
      <c r="FX1643" s="4"/>
      <c r="HL1643" s="4"/>
      <c r="HZ1643" s="4"/>
      <c r="IU1643" s="4"/>
      <c r="JM1643" s="4"/>
    </row>
    <row r="1644" spans="24:273" ht="12" customHeight="1">
      <c r="X1644" s="4"/>
      <c r="AH1644" s="4"/>
      <c r="EA1644" s="4"/>
      <c r="FX1644" s="4"/>
      <c r="HL1644" s="4"/>
      <c r="HZ1644" s="4"/>
      <c r="IU1644" s="4"/>
      <c r="JM1644" s="4"/>
    </row>
    <row r="1645" spans="24:273" ht="12" customHeight="1">
      <c r="X1645" s="4"/>
      <c r="AH1645" s="4"/>
      <c r="EA1645" s="4"/>
      <c r="FX1645" s="4"/>
      <c r="HL1645" s="4"/>
      <c r="HZ1645" s="4"/>
      <c r="IU1645" s="4"/>
      <c r="JM1645" s="4"/>
    </row>
    <row r="1646" spans="24:273" ht="12" customHeight="1">
      <c r="X1646" s="4"/>
      <c r="AH1646" s="4"/>
      <c r="EA1646" s="4"/>
      <c r="FX1646" s="4"/>
      <c r="HL1646" s="4"/>
      <c r="HZ1646" s="4"/>
      <c r="IU1646" s="4"/>
      <c r="JM1646" s="4"/>
    </row>
    <row r="1647" spans="24:273" ht="12" customHeight="1">
      <c r="X1647" s="4"/>
      <c r="AH1647" s="4"/>
      <c r="EA1647" s="4"/>
      <c r="FX1647" s="4"/>
      <c r="HL1647" s="4"/>
      <c r="HZ1647" s="4"/>
      <c r="IU1647" s="4"/>
      <c r="JM1647" s="4"/>
    </row>
    <row r="1648" spans="24:273" ht="12" customHeight="1">
      <c r="X1648" s="4"/>
      <c r="AH1648" s="4"/>
      <c r="EA1648" s="4"/>
      <c r="FX1648" s="4"/>
      <c r="HL1648" s="4"/>
      <c r="HZ1648" s="4"/>
      <c r="IU1648" s="4"/>
      <c r="JM1648" s="4"/>
    </row>
    <row r="1649" spans="24:273" ht="12" customHeight="1">
      <c r="X1649" s="4"/>
      <c r="AH1649" s="4"/>
      <c r="EA1649" s="4"/>
      <c r="FX1649" s="4"/>
      <c r="HL1649" s="4"/>
      <c r="HZ1649" s="4"/>
      <c r="IU1649" s="4"/>
      <c r="JM1649" s="4"/>
    </row>
    <row r="1650" spans="24:273" ht="12" customHeight="1">
      <c r="X1650" s="4"/>
      <c r="AH1650" s="4"/>
      <c r="EA1650" s="4"/>
      <c r="FX1650" s="4"/>
      <c r="HL1650" s="4"/>
      <c r="HZ1650" s="4"/>
      <c r="IU1650" s="4"/>
      <c r="JM1650" s="4"/>
    </row>
    <row r="1651" spans="24:273" ht="12" customHeight="1">
      <c r="X1651" s="4"/>
      <c r="AH1651" s="4"/>
      <c r="EA1651" s="4"/>
      <c r="FX1651" s="4"/>
      <c r="HL1651" s="4"/>
      <c r="HZ1651" s="4"/>
      <c r="IU1651" s="4"/>
      <c r="JM1651" s="4"/>
    </row>
    <row r="1652" spans="24:273" ht="12" customHeight="1">
      <c r="X1652" s="4"/>
      <c r="AH1652" s="4"/>
      <c r="EA1652" s="4"/>
      <c r="FX1652" s="4"/>
      <c r="HL1652" s="4"/>
      <c r="HZ1652" s="4"/>
      <c r="IU1652" s="4"/>
      <c r="JM1652" s="4"/>
    </row>
    <row r="1653" spans="24:273" ht="12" customHeight="1">
      <c r="X1653" s="4"/>
      <c r="AH1653" s="4"/>
      <c r="EA1653" s="4"/>
      <c r="FX1653" s="4"/>
      <c r="HL1653" s="4"/>
      <c r="HZ1653" s="4"/>
      <c r="IU1653" s="4"/>
      <c r="JM1653" s="4"/>
    </row>
    <row r="1654" spans="24:273" ht="12" customHeight="1">
      <c r="X1654" s="4"/>
      <c r="AH1654" s="4"/>
      <c r="EA1654" s="4"/>
      <c r="FX1654" s="4"/>
      <c r="HL1654" s="4"/>
      <c r="HZ1654" s="4"/>
      <c r="IU1654" s="4"/>
      <c r="JM1654" s="4"/>
    </row>
    <row r="1655" spans="24:273" ht="12" customHeight="1">
      <c r="X1655" s="4"/>
      <c r="AH1655" s="4"/>
      <c r="EA1655" s="4"/>
      <c r="FX1655" s="4"/>
      <c r="HL1655" s="4"/>
      <c r="HZ1655" s="4"/>
      <c r="IU1655" s="4"/>
      <c r="JM1655" s="4"/>
    </row>
    <row r="1656" spans="24:273" ht="12" customHeight="1">
      <c r="X1656" s="4"/>
      <c r="AH1656" s="4"/>
      <c r="EA1656" s="4"/>
      <c r="FX1656" s="4"/>
      <c r="HL1656" s="4"/>
      <c r="HZ1656" s="4"/>
      <c r="IU1656" s="4"/>
      <c r="JM1656" s="4"/>
    </row>
    <row r="1657" spans="24:273" ht="12" customHeight="1">
      <c r="X1657" s="4"/>
      <c r="AH1657" s="4"/>
      <c r="EA1657" s="4"/>
      <c r="FX1657" s="4"/>
      <c r="HL1657" s="4"/>
      <c r="HZ1657" s="4"/>
      <c r="IU1657" s="4"/>
      <c r="JM1657" s="4"/>
    </row>
    <row r="1658" spans="24:273" ht="12" customHeight="1">
      <c r="X1658" s="4"/>
      <c r="AH1658" s="4"/>
      <c r="EA1658" s="4"/>
      <c r="FX1658" s="4"/>
      <c r="HL1658" s="4"/>
      <c r="HZ1658" s="4"/>
      <c r="IU1658" s="4"/>
      <c r="JM1658" s="4"/>
    </row>
    <row r="1659" spans="24:273" ht="12" customHeight="1">
      <c r="X1659" s="4"/>
      <c r="AH1659" s="4"/>
      <c r="EA1659" s="4"/>
      <c r="FX1659" s="4"/>
      <c r="HL1659" s="4"/>
      <c r="HZ1659" s="4"/>
      <c r="IU1659" s="4"/>
      <c r="JM1659" s="4"/>
    </row>
    <row r="1660" spans="24:273" ht="12" customHeight="1">
      <c r="X1660" s="4"/>
      <c r="AH1660" s="4"/>
      <c r="EA1660" s="4"/>
      <c r="FX1660" s="4"/>
      <c r="HL1660" s="4"/>
      <c r="HZ1660" s="4"/>
      <c r="IU1660" s="4"/>
      <c r="JM1660" s="4"/>
    </row>
    <row r="1661" spans="24:273" ht="12" customHeight="1">
      <c r="X1661" s="4"/>
      <c r="AH1661" s="4"/>
      <c r="EA1661" s="4"/>
      <c r="FX1661" s="4"/>
      <c r="HL1661" s="4"/>
      <c r="HZ1661" s="4"/>
      <c r="IU1661" s="4"/>
      <c r="JM1661" s="4"/>
    </row>
    <row r="1662" spans="24:273" ht="12" customHeight="1">
      <c r="X1662" s="4"/>
      <c r="AH1662" s="4"/>
      <c r="EA1662" s="4"/>
      <c r="FX1662" s="4"/>
      <c r="HL1662" s="4"/>
      <c r="HZ1662" s="4"/>
      <c r="IU1662" s="4"/>
      <c r="JM1662" s="4"/>
    </row>
    <row r="1663" spans="24:273" ht="12" customHeight="1">
      <c r="X1663" s="4"/>
      <c r="AH1663" s="4"/>
      <c r="EA1663" s="4"/>
      <c r="FX1663" s="4"/>
      <c r="HL1663" s="4"/>
      <c r="HZ1663" s="4"/>
      <c r="IU1663" s="4"/>
      <c r="JM1663" s="4"/>
    </row>
    <row r="1664" spans="24:273" ht="12" customHeight="1">
      <c r="X1664" s="4"/>
      <c r="AH1664" s="4"/>
      <c r="EA1664" s="4"/>
      <c r="FX1664" s="4"/>
      <c r="HL1664" s="4"/>
      <c r="HZ1664" s="4"/>
      <c r="IU1664" s="4"/>
      <c r="JM1664" s="4"/>
    </row>
    <row r="1665" spans="24:273" ht="12" customHeight="1">
      <c r="X1665" s="4"/>
      <c r="AH1665" s="4"/>
      <c r="EA1665" s="4"/>
      <c r="FX1665" s="4"/>
      <c r="HL1665" s="4"/>
      <c r="HZ1665" s="4"/>
      <c r="IU1665" s="4"/>
      <c r="JM1665" s="4"/>
    </row>
    <row r="1666" spans="24:273" ht="12" customHeight="1">
      <c r="X1666" s="4"/>
      <c r="AH1666" s="4"/>
      <c r="EA1666" s="4"/>
      <c r="FX1666" s="4"/>
      <c r="HL1666" s="4"/>
      <c r="HZ1666" s="4"/>
      <c r="IU1666" s="4"/>
      <c r="JM1666" s="4"/>
    </row>
    <row r="1667" spans="24:273" ht="12" customHeight="1">
      <c r="X1667" s="4"/>
      <c r="AH1667" s="4"/>
      <c r="EA1667" s="4"/>
      <c r="FX1667" s="4"/>
      <c r="HL1667" s="4"/>
      <c r="HZ1667" s="4"/>
      <c r="IU1667" s="4"/>
      <c r="JM1667" s="4"/>
    </row>
    <row r="1668" spans="24:273" ht="12" customHeight="1">
      <c r="X1668" s="4"/>
      <c r="AH1668" s="4"/>
      <c r="EA1668" s="4"/>
      <c r="FX1668" s="4"/>
      <c r="HL1668" s="4"/>
      <c r="HZ1668" s="4"/>
      <c r="IU1668" s="4"/>
      <c r="JM1668" s="4"/>
    </row>
    <row r="1669" spans="24:273" ht="12" customHeight="1">
      <c r="X1669" s="4"/>
      <c r="AH1669" s="4"/>
      <c r="EA1669" s="4"/>
      <c r="FX1669" s="4"/>
      <c r="HL1669" s="4"/>
      <c r="HZ1669" s="4"/>
      <c r="IU1669" s="4"/>
      <c r="JM1669" s="4"/>
    </row>
    <row r="1670" spans="24:273" ht="12" customHeight="1">
      <c r="X1670" s="4"/>
      <c r="AH1670" s="4"/>
      <c r="EA1670" s="4"/>
      <c r="FX1670" s="4"/>
      <c r="HL1670" s="4"/>
      <c r="HZ1670" s="4"/>
      <c r="IU1670" s="4"/>
      <c r="JM1670" s="4"/>
    </row>
    <row r="1671" spans="24:273" ht="12" customHeight="1">
      <c r="X1671" s="4"/>
      <c r="AH1671" s="4"/>
      <c r="EA1671" s="4"/>
      <c r="FX1671" s="4"/>
      <c r="HL1671" s="4"/>
      <c r="HZ1671" s="4"/>
      <c r="IU1671" s="4"/>
      <c r="JM1671" s="4"/>
    </row>
    <row r="1672" spans="24:273" ht="12" customHeight="1">
      <c r="X1672" s="4"/>
      <c r="AH1672" s="4"/>
      <c r="EA1672" s="4"/>
      <c r="FX1672" s="4"/>
      <c r="HL1672" s="4"/>
      <c r="HZ1672" s="4"/>
      <c r="IU1672" s="4"/>
      <c r="JM1672" s="4"/>
    </row>
    <row r="1673" spans="24:273" ht="12" customHeight="1">
      <c r="X1673" s="4"/>
      <c r="AH1673" s="4"/>
      <c r="EA1673" s="4"/>
      <c r="FX1673" s="4"/>
      <c r="HL1673" s="4"/>
      <c r="HZ1673" s="4"/>
      <c r="IU1673" s="4"/>
      <c r="JM1673" s="4"/>
    </row>
    <row r="1674" spans="24:273" ht="12" customHeight="1">
      <c r="X1674" s="4"/>
      <c r="AH1674" s="4"/>
      <c r="EA1674" s="4"/>
      <c r="FX1674" s="4"/>
      <c r="HL1674" s="4"/>
      <c r="HZ1674" s="4"/>
      <c r="IU1674" s="4"/>
      <c r="JM1674" s="4"/>
    </row>
    <row r="1675" spans="24:273" ht="12" customHeight="1">
      <c r="X1675" s="4"/>
      <c r="AH1675" s="4"/>
      <c r="EA1675" s="4"/>
      <c r="FX1675" s="4"/>
      <c r="HL1675" s="4"/>
      <c r="HZ1675" s="4"/>
      <c r="IU1675" s="4"/>
      <c r="JM1675" s="4"/>
    </row>
    <row r="1676" spans="24:273" ht="12" customHeight="1">
      <c r="X1676" s="4"/>
      <c r="AH1676" s="4"/>
      <c r="EA1676" s="4"/>
      <c r="FX1676" s="4"/>
      <c r="HL1676" s="4"/>
      <c r="HZ1676" s="4"/>
      <c r="IU1676" s="4"/>
      <c r="JM1676" s="4"/>
    </row>
    <row r="1677" spans="24:273" ht="12" customHeight="1">
      <c r="X1677" s="4"/>
      <c r="AH1677" s="4"/>
      <c r="EA1677" s="4"/>
      <c r="FX1677" s="4"/>
      <c r="HL1677" s="4"/>
      <c r="HZ1677" s="4"/>
      <c r="IU1677" s="4"/>
      <c r="JM1677" s="4"/>
    </row>
    <row r="1678" spans="24:273" ht="12" customHeight="1">
      <c r="X1678" s="4"/>
      <c r="AH1678" s="4"/>
      <c r="EA1678" s="4"/>
      <c r="FX1678" s="4"/>
      <c r="HL1678" s="4"/>
      <c r="HZ1678" s="4"/>
      <c r="IU1678" s="4"/>
      <c r="JM1678" s="4"/>
    </row>
    <row r="1679" spans="24:273" ht="12" customHeight="1">
      <c r="X1679" s="4"/>
      <c r="AH1679" s="4"/>
      <c r="EA1679" s="4"/>
      <c r="FX1679" s="4"/>
      <c r="HL1679" s="4"/>
      <c r="HZ1679" s="4"/>
      <c r="IU1679" s="4"/>
      <c r="JM1679" s="4"/>
    </row>
    <row r="1680" spans="24:273" ht="12" customHeight="1">
      <c r="X1680" s="4"/>
      <c r="AH1680" s="4"/>
      <c r="EA1680" s="4"/>
      <c r="FX1680" s="4"/>
      <c r="HL1680" s="4"/>
      <c r="HZ1680" s="4"/>
      <c r="IU1680" s="4"/>
      <c r="JM1680" s="4"/>
    </row>
    <row r="1681" spans="24:273" ht="12" customHeight="1">
      <c r="X1681" s="4"/>
      <c r="AH1681" s="4"/>
      <c r="EA1681" s="4"/>
      <c r="FX1681" s="4"/>
      <c r="HL1681" s="4"/>
      <c r="HZ1681" s="4"/>
      <c r="IU1681" s="4"/>
      <c r="JM1681" s="4"/>
    </row>
    <row r="1682" spans="24:273" ht="12" customHeight="1">
      <c r="X1682" s="4"/>
      <c r="AH1682" s="4"/>
      <c r="EA1682" s="4"/>
      <c r="FX1682" s="4"/>
      <c r="HL1682" s="4"/>
      <c r="HZ1682" s="4"/>
      <c r="IU1682" s="4"/>
      <c r="JM1682" s="4"/>
    </row>
    <row r="1683" spans="24:273" ht="12" customHeight="1">
      <c r="X1683" s="4"/>
      <c r="AH1683" s="4"/>
      <c r="EA1683" s="4"/>
      <c r="FX1683" s="4"/>
      <c r="HL1683" s="4"/>
      <c r="HZ1683" s="4"/>
      <c r="IU1683" s="4"/>
      <c r="JM1683" s="4"/>
    </row>
    <row r="1684" spans="24:273" ht="12" customHeight="1">
      <c r="X1684" s="4"/>
      <c r="AH1684" s="4"/>
      <c r="EA1684" s="4"/>
      <c r="FX1684" s="4"/>
      <c r="HL1684" s="4"/>
      <c r="HZ1684" s="4"/>
      <c r="IU1684" s="4"/>
      <c r="JM1684" s="4"/>
    </row>
    <row r="1685" spans="24:273" ht="12" customHeight="1">
      <c r="X1685" s="4"/>
      <c r="AH1685" s="4"/>
      <c r="EA1685" s="4"/>
      <c r="FX1685" s="4"/>
      <c r="HL1685" s="4"/>
      <c r="HZ1685" s="4"/>
      <c r="IU1685" s="4"/>
      <c r="JM1685" s="4"/>
    </row>
    <row r="1686" spans="24:273" ht="12" customHeight="1">
      <c r="X1686" s="4"/>
      <c r="AH1686" s="4"/>
      <c r="EA1686" s="4"/>
      <c r="FX1686" s="4"/>
      <c r="HL1686" s="4"/>
      <c r="HZ1686" s="4"/>
      <c r="IU1686" s="4"/>
      <c r="JM1686" s="4"/>
    </row>
    <row r="1687" spans="24:273" ht="12" customHeight="1">
      <c r="X1687" s="4"/>
      <c r="AH1687" s="4"/>
      <c r="EA1687" s="4"/>
      <c r="FX1687" s="4"/>
      <c r="HL1687" s="4"/>
      <c r="HZ1687" s="4"/>
      <c r="IU1687" s="4"/>
      <c r="JM1687" s="4"/>
    </row>
    <row r="1688" spans="24:273" ht="12" customHeight="1">
      <c r="X1688" s="4"/>
      <c r="AH1688" s="4"/>
      <c r="EA1688" s="4"/>
      <c r="FX1688" s="4"/>
      <c r="HL1688" s="4"/>
      <c r="HZ1688" s="4"/>
      <c r="IU1688" s="4"/>
      <c r="JM1688" s="4"/>
    </row>
    <row r="1689" spans="24:273" ht="12" customHeight="1">
      <c r="X1689" s="4"/>
      <c r="AH1689" s="4"/>
      <c r="EA1689" s="4"/>
      <c r="FX1689" s="4"/>
      <c r="HL1689" s="4"/>
      <c r="HZ1689" s="4"/>
      <c r="IU1689" s="4"/>
      <c r="JM1689" s="4"/>
    </row>
    <row r="1690" spans="24:273" ht="12" customHeight="1">
      <c r="X1690" s="4"/>
      <c r="AH1690" s="4"/>
      <c r="EA1690" s="4"/>
      <c r="FX1690" s="4"/>
      <c r="HL1690" s="4"/>
      <c r="HZ1690" s="4"/>
      <c r="IU1690" s="4"/>
      <c r="JM1690" s="4"/>
    </row>
    <row r="1691" spans="24:273" ht="12" customHeight="1">
      <c r="X1691" s="4"/>
      <c r="AH1691" s="4"/>
      <c r="EA1691" s="4"/>
      <c r="FX1691" s="4"/>
      <c r="HL1691" s="4"/>
      <c r="HZ1691" s="4"/>
      <c r="IU1691" s="4"/>
      <c r="JM1691" s="4"/>
    </row>
    <row r="1692" spans="24:273" ht="12" customHeight="1">
      <c r="X1692" s="4"/>
      <c r="AH1692" s="4"/>
      <c r="EA1692" s="4"/>
      <c r="FX1692" s="4"/>
      <c r="HL1692" s="4"/>
      <c r="HZ1692" s="4"/>
      <c r="IU1692" s="4"/>
      <c r="JM1692" s="4"/>
    </row>
    <row r="1693" spans="24:273" ht="12" customHeight="1">
      <c r="X1693" s="4"/>
      <c r="AH1693" s="4"/>
      <c r="EA1693" s="4"/>
      <c r="FX1693" s="4"/>
      <c r="HL1693" s="4"/>
      <c r="HZ1693" s="4"/>
      <c r="IU1693" s="4"/>
      <c r="JM1693" s="4"/>
    </row>
    <row r="1694" spans="24:273" ht="12" customHeight="1">
      <c r="X1694" s="4"/>
      <c r="AH1694" s="4"/>
      <c r="EA1694" s="4"/>
      <c r="FX1694" s="4"/>
      <c r="HL1694" s="4"/>
      <c r="HZ1694" s="4"/>
      <c r="IU1694" s="4"/>
      <c r="JM1694" s="4"/>
    </row>
    <row r="1695" spans="24:273" ht="12" customHeight="1">
      <c r="X1695" s="4"/>
      <c r="AH1695" s="4"/>
      <c r="EA1695" s="4"/>
      <c r="FX1695" s="4"/>
      <c r="HL1695" s="4"/>
      <c r="HZ1695" s="4"/>
      <c r="IU1695" s="4"/>
      <c r="JM1695" s="4"/>
    </row>
    <row r="1696" spans="24:273" ht="12" customHeight="1">
      <c r="X1696" s="4"/>
      <c r="AH1696" s="4"/>
      <c r="EA1696" s="4"/>
      <c r="FX1696" s="4"/>
      <c r="HL1696" s="4"/>
      <c r="HZ1696" s="4"/>
      <c r="IU1696" s="4"/>
      <c r="JM1696" s="4"/>
    </row>
    <row r="1697" spans="24:273" ht="12" customHeight="1">
      <c r="X1697" s="4"/>
      <c r="AH1697" s="4"/>
      <c r="EA1697" s="4"/>
      <c r="FX1697" s="4"/>
      <c r="HL1697" s="4"/>
      <c r="HZ1697" s="4"/>
      <c r="IU1697" s="4"/>
      <c r="JM1697" s="4"/>
    </row>
    <row r="1698" spans="24:273" ht="12" customHeight="1">
      <c r="X1698" s="4"/>
      <c r="AH1698" s="4"/>
      <c r="EA1698" s="4"/>
      <c r="FX1698" s="4"/>
      <c r="HL1698" s="4"/>
      <c r="HZ1698" s="4"/>
      <c r="IU1698" s="4"/>
      <c r="JM1698" s="4"/>
    </row>
    <row r="1699" spans="24:273" ht="12" customHeight="1">
      <c r="X1699" s="4"/>
      <c r="AH1699" s="4"/>
      <c r="EA1699" s="4"/>
      <c r="FX1699" s="4"/>
      <c r="HL1699" s="4"/>
      <c r="HZ1699" s="4"/>
      <c r="IU1699" s="4"/>
      <c r="JM1699" s="4"/>
    </row>
    <row r="1700" spans="24:273" ht="12" customHeight="1">
      <c r="X1700" s="4"/>
      <c r="AH1700" s="4"/>
      <c r="EA1700" s="4"/>
      <c r="FX1700" s="4"/>
      <c r="HL1700" s="4"/>
      <c r="HZ1700" s="4"/>
      <c r="IU1700" s="4"/>
      <c r="JM1700" s="4"/>
    </row>
    <row r="1701" spans="24:273" ht="12" customHeight="1">
      <c r="X1701" s="4"/>
      <c r="AH1701" s="4"/>
      <c r="EA1701" s="4"/>
      <c r="FX1701" s="4"/>
      <c r="HL1701" s="4"/>
      <c r="HZ1701" s="4"/>
      <c r="IU1701" s="4"/>
      <c r="JM1701" s="4"/>
    </row>
    <row r="1702" spans="24:273" ht="12" customHeight="1">
      <c r="X1702" s="4"/>
      <c r="AH1702" s="4"/>
      <c r="EA1702" s="4"/>
      <c r="FX1702" s="4"/>
      <c r="HL1702" s="4"/>
      <c r="HZ1702" s="4"/>
      <c r="IU1702" s="4"/>
      <c r="JM1702" s="4"/>
    </row>
    <row r="1703" spans="24:273" ht="12" customHeight="1">
      <c r="X1703" s="4"/>
      <c r="AH1703" s="4"/>
      <c r="EA1703" s="4"/>
      <c r="FX1703" s="4"/>
      <c r="HL1703" s="4"/>
      <c r="HZ1703" s="4"/>
      <c r="IU1703" s="4"/>
      <c r="JM1703" s="4"/>
    </row>
    <row r="1704" spans="24:273" ht="12" customHeight="1">
      <c r="X1704" s="4"/>
      <c r="AH1704" s="4"/>
      <c r="EA1704" s="4"/>
      <c r="FX1704" s="4"/>
      <c r="HL1704" s="4"/>
      <c r="HZ1704" s="4"/>
      <c r="IU1704" s="4"/>
      <c r="JM1704" s="4"/>
    </row>
    <row r="1705" spans="24:273" ht="12" customHeight="1">
      <c r="X1705" s="4"/>
      <c r="AH1705" s="4"/>
      <c r="EA1705" s="4"/>
      <c r="FX1705" s="4"/>
      <c r="HL1705" s="4"/>
      <c r="HZ1705" s="4"/>
      <c r="IU1705" s="4"/>
      <c r="JM1705" s="4"/>
    </row>
    <row r="1706" spans="24:273" ht="12" customHeight="1">
      <c r="X1706" s="4"/>
      <c r="AH1706" s="4"/>
      <c r="EA1706" s="4"/>
      <c r="FX1706" s="4"/>
      <c r="HL1706" s="4"/>
      <c r="HZ1706" s="4"/>
      <c r="IU1706" s="4"/>
      <c r="JM1706" s="4"/>
    </row>
    <row r="1707" spans="24:273" ht="12" customHeight="1">
      <c r="X1707" s="4"/>
      <c r="AH1707" s="4"/>
      <c r="EA1707" s="4"/>
      <c r="FX1707" s="4"/>
      <c r="HL1707" s="4"/>
      <c r="HZ1707" s="4"/>
      <c r="IU1707" s="4"/>
      <c r="JM1707" s="4"/>
    </row>
    <row r="1708" spans="24:273" ht="12" customHeight="1">
      <c r="X1708" s="4"/>
      <c r="AH1708" s="4"/>
      <c r="EA1708" s="4"/>
      <c r="FX1708" s="4"/>
      <c r="HL1708" s="4"/>
      <c r="HZ1708" s="4"/>
      <c r="IU1708" s="4"/>
      <c r="JM1708" s="4"/>
    </row>
    <row r="1709" spans="24:273" ht="12" customHeight="1">
      <c r="X1709" s="4"/>
      <c r="AH1709" s="4"/>
      <c r="EA1709" s="4"/>
      <c r="FX1709" s="4"/>
      <c r="HL1709" s="4"/>
      <c r="HZ1709" s="4"/>
      <c r="IU1709" s="4"/>
      <c r="JM1709" s="4"/>
    </row>
    <row r="1710" spans="24:273" ht="12" customHeight="1">
      <c r="X1710" s="4"/>
      <c r="AH1710" s="4"/>
      <c r="EA1710" s="4"/>
      <c r="FX1710" s="4"/>
      <c r="HL1710" s="4"/>
      <c r="HZ1710" s="4"/>
      <c r="IU1710" s="4"/>
      <c r="JM1710" s="4"/>
    </row>
    <row r="1711" spans="24:273" ht="12" customHeight="1">
      <c r="X1711" s="4"/>
      <c r="AH1711" s="4"/>
      <c r="EA1711" s="4"/>
      <c r="FX1711" s="4"/>
      <c r="HL1711" s="4"/>
      <c r="HZ1711" s="4"/>
      <c r="IU1711" s="4"/>
      <c r="JM1711" s="4"/>
    </row>
    <row r="1712" spans="24:273" ht="12" customHeight="1">
      <c r="X1712" s="4"/>
      <c r="AH1712" s="4"/>
      <c r="EA1712" s="4"/>
      <c r="FX1712" s="4"/>
      <c r="HL1712" s="4"/>
      <c r="HZ1712" s="4"/>
      <c r="IU1712" s="4"/>
      <c r="JM1712" s="4"/>
    </row>
    <row r="1713" spans="24:273" ht="12" customHeight="1">
      <c r="X1713" s="4"/>
      <c r="AH1713" s="4"/>
      <c r="EA1713" s="4"/>
      <c r="FX1713" s="4"/>
      <c r="HL1713" s="4"/>
      <c r="HZ1713" s="4"/>
      <c r="IU1713" s="4"/>
      <c r="JM1713" s="4"/>
    </row>
    <row r="1714" spans="24:273" ht="12" customHeight="1">
      <c r="X1714" s="4"/>
      <c r="AH1714" s="4"/>
      <c r="EA1714" s="4"/>
      <c r="FX1714" s="4"/>
      <c r="HL1714" s="4"/>
      <c r="HZ1714" s="4"/>
      <c r="IU1714" s="4"/>
      <c r="JM1714" s="4"/>
    </row>
    <row r="1715" spans="24:273" ht="12" customHeight="1">
      <c r="X1715" s="4"/>
      <c r="AH1715" s="4"/>
      <c r="EA1715" s="4"/>
      <c r="FX1715" s="4"/>
      <c r="HL1715" s="4"/>
      <c r="HZ1715" s="4"/>
      <c r="IU1715" s="4"/>
      <c r="JM1715" s="4"/>
    </row>
    <row r="1716" spans="24:273" ht="12" customHeight="1">
      <c r="X1716" s="4"/>
      <c r="AH1716" s="4"/>
      <c r="EA1716" s="4"/>
      <c r="FX1716" s="4"/>
      <c r="HL1716" s="4"/>
      <c r="HZ1716" s="4"/>
      <c r="IU1716" s="4"/>
      <c r="JM1716" s="4"/>
    </row>
    <row r="1717" spans="24:273" ht="12" customHeight="1">
      <c r="X1717" s="4"/>
      <c r="AH1717" s="4"/>
      <c r="EA1717" s="4"/>
      <c r="FX1717" s="4"/>
      <c r="HL1717" s="4"/>
      <c r="HZ1717" s="4"/>
      <c r="IU1717" s="4"/>
      <c r="JM1717" s="4"/>
    </row>
    <row r="1718" spans="24:273" ht="12" customHeight="1">
      <c r="X1718" s="4"/>
      <c r="AH1718" s="4"/>
      <c r="EA1718" s="4"/>
      <c r="FX1718" s="4"/>
      <c r="HL1718" s="4"/>
      <c r="HZ1718" s="4"/>
      <c r="IU1718" s="4"/>
      <c r="JM1718" s="4"/>
    </row>
    <row r="1719" spans="24:273" ht="12" customHeight="1">
      <c r="X1719" s="4"/>
      <c r="AH1719" s="4"/>
      <c r="EA1719" s="4"/>
      <c r="FX1719" s="4"/>
      <c r="HL1719" s="4"/>
      <c r="HZ1719" s="4"/>
      <c r="IU1719" s="4"/>
      <c r="JM1719" s="4"/>
    </row>
    <row r="1720" spans="24:273" ht="12" customHeight="1">
      <c r="X1720" s="4"/>
      <c r="AH1720" s="4"/>
      <c r="EA1720" s="4"/>
      <c r="FX1720" s="4"/>
      <c r="HL1720" s="4"/>
      <c r="HZ1720" s="4"/>
      <c r="IU1720" s="4"/>
      <c r="JM1720" s="4"/>
    </row>
    <row r="1721" spans="24:273" ht="12" customHeight="1">
      <c r="X1721" s="4"/>
      <c r="AH1721" s="4"/>
      <c r="EA1721" s="4"/>
      <c r="FX1721" s="4"/>
      <c r="HL1721" s="4"/>
      <c r="HZ1721" s="4"/>
      <c r="IU1721" s="4"/>
      <c r="JM1721" s="4"/>
    </row>
    <row r="1722" spans="24:273" ht="12" customHeight="1">
      <c r="X1722" s="4"/>
      <c r="AH1722" s="4"/>
      <c r="EA1722" s="4"/>
      <c r="FX1722" s="4"/>
      <c r="HL1722" s="4"/>
      <c r="HZ1722" s="4"/>
      <c r="IU1722" s="4"/>
      <c r="JM1722" s="4"/>
    </row>
    <row r="1723" spans="24:273" ht="12" customHeight="1">
      <c r="X1723" s="4"/>
      <c r="AH1723" s="4"/>
      <c r="EA1723" s="4"/>
      <c r="FX1723" s="4"/>
      <c r="HL1723" s="4"/>
      <c r="HZ1723" s="4"/>
      <c r="IU1723" s="4"/>
      <c r="JM1723" s="4"/>
    </row>
    <row r="1724" spans="24:273" ht="12" customHeight="1">
      <c r="X1724" s="4"/>
      <c r="AH1724" s="4"/>
      <c r="EA1724" s="4"/>
      <c r="FX1724" s="4"/>
      <c r="HL1724" s="4"/>
      <c r="HZ1724" s="4"/>
      <c r="IU1724" s="4"/>
      <c r="JM1724" s="4"/>
    </row>
    <row r="1725" spans="24:273" ht="12" customHeight="1">
      <c r="X1725" s="4"/>
      <c r="AH1725" s="4"/>
      <c r="EA1725" s="4"/>
      <c r="FX1725" s="4"/>
      <c r="HL1725" s="4"/>
      <c r="HZ1725" s="4"/>
      <c r="IU1725" s="4"/>
      <c r="JM1725" s="4"/>
    </row>
    <row r="1726" spans="24:273" ht="12" customHeight="1">
      <c r="X1726" s="4"/>
      <c r="AH1726" s="4"/>
      <c r="EA1726" s="4"/>
      <c r="FX1726" s="4"/>
      <c r="HL1726" s="4"/>
      <c r="HZ1726" s="4"/>
      <c r="IU1726" s="4"/>
      <c r="JM1726" s="4"/>
    </row>
    <row r="1727" spans="24:273" ht="12" customHeight="1">
      <c r="X1727" s="4"/>
      <c r="AH1727" s="4"/>
      <c r="EA1727" s="4"/>
      <c r="FX1727" s="4"/>
      <c r="HL1727" s="4"/>
      <c r="HZ1727" s="4"/>
      <c r="IU1727" s="4"/>
      <c r="JM1727" s="4"/>
    </row>
    <row r="1728" spans="24:273" ht="12" customHeight="1">
      <c r="X1728" s="4"/>
      <c r="AH1728" s="4"/>
      <c r="EA1728" s="4"/>
      <c r="FX1728" s="4"/>
      <c r="HL1728" s="4"/>
      <c r="HZ1728" s="4"/>
      <c r="IU1728" s="4"/>
      <c r="JM1728" s="4"/>
    </row>
    <row r="1729" spans="24:273" ht="12" customHeight="1">
      <c r="X1729" s="4"/>
      <c r="AH1729" s="4"/>
      <c r="EA1729" s="4"/>
      <c r="FX1729" s="4"/>
      <c r="HL1729" s="4"/>
      <c r="HZ1729" s="4"/>
      <c r="IU1729" s="4"/>
      <c r="JM1729" s="4"/>
    </row>
    <row r="1730" spans="24:273" ht="12" customHeight="1">
      <c r="X1730" s="4"/>
      <c r="AH1730" s="4"/>
      <c r="EA1730" s="4"/>
      <c r="FX1730" s="4"/>
      <c r="HL1730" s="4"/>
      <c r="HZ1730" s="4"/>
      <c r="IU1730" s="4"/>
      <c r="JM1730" s="4"/>
    </row>
    <row r="1731" spans="24:273" ht="12" customHeight="1">
      <c r="X1731" s="4"/>
      <c r="AH1731" s="4"/>
      <c r="EA1731" s="4"/>
      <c r="FX1731" s="4"/>
      <c r="HL1731" s="4"/>
      <c r="HZ1731" s="4"/>
      <c r="IU1731" s="4"/>
      <c r="JM1731" s="4"/>
    </row>
    <row r="1732" spans="24:273" ht="12" customHeight="1">
      <c r="X1732" s="4"/>
      <c r="AH1732" s="4"/>
      <c r="EA1732" s="4"/>
      <c r="FX1732" s="4"/>
      <c r="HL1732" s="4"/>
      <c r="HZ1732" s="4"/>
      <c r="IU1732" s="4"/>
      <c r="JM1732" s="4"/>
    </row>
    <row r="1733" spans="24:273" ht="12" customHeight="1">
      <c r="X1733" s="4"/>
      <c r="AH1733" s="4"/>
      <c r="EA1733" s="4"/>
      <c r="FX1733" s="4"/>
      <c r="HL1733" s="4"/>
      <c r="HZ1733" s="4"/>
      <c r="IU1733" s="4"/>
      <c r="JM1733" s="4"/>
    </row>
    <row r="1734" spans="24:273" ht="12" customHeight="1">
      <c r="X1734" s="4"/>
      <c r="AH1734" s="4"/>
      <c r="EA1734" s="4"/>
      <c r="FX1734" s="4"/>
      <c r="HL1734" s="4"/>
      <c r="HZ1734" s="4"/>
      <c r="IU1734" s="4"/>
      <c r="JM1734" s="4"/>
    </row>
    <row r="1735" spans="24:273" ht="12" customHeight="1">
      <c r="X1735" s="4"/>
      <c r="AH1735" s="4"/>
      <c r="EA1735" s="4"/>
      <c r="FX1735" s="4"/>
      <c r="HL1735" s="4"/>
      <c r="HZ1735" s="4"/>
      <c r="IU1735" s="4"/>
      <c r="JM1735" s="4"/>
    </row>
    <row r="1736" spans="24:273" ht="12" customHeight="1">
      <c r="X1736" s="4"/>
      <c r="AH1736" s="4"/>
      <c r="EA1736" s="4"/>
      <c r="FX1736" s="4"/>
      <c r="HL1736" s="4"/>
      <c r="HZ1736" s="4"/>
      <c r="IU1736" s="4"/>
      <c r="JM1736" s="4"/>
    </row>
    <row r="1737" spans="24:273" ht="12" customHeight="1">
      <c r="X1737" s="4"/>
      <c r="AH1737" s="4"/>
      <c r="EA1737" s="4"/>
      <c r="FX1737" s="4"/>
      <c r="HL1737" s="4"/>
      <c r="HZ1737" s="4"/>
      <c r="IU1737" s="4"/>
      <c r="JM1737" s="4"/>
    </row>
    <row r="1738" spans="24:273" ht="12" customHeight="1">
      <c r="X1738" s="4"/>
      <c r="AH1738" s="4"/>
      <c r="EA1738" s="4"/>
      <c r="FX1738" s="4"/>
      <c r="HL1738" s="4"/>
      <c r="HZ1738" s="4"/>
      <c r="IU1738" s="4"/>
      <c r="JM1738" s="4"/>
    </row>
    <row r="1739" spans="24:273" ht="12" customHeight="1">
      <c r="X1739" s="4"/>
      <c r="AH1739" s="4"/>
      <c r="EA1739" s="4"/>
      <c r="FX1739" s="4"/>
      <c r="HL1739" s="4"/>
      <c r="HZ1739" s="4"/>
      <c r="IU1739" s="4"/>
      <c r="JM1739" s="4"/>
    </row>
    <row r="1740" spans="24:273" ht="12" customHeight="1">
      <c r="X1740" s="4"/>
      <c r="AH1740" s="4"/>
      <c r="EA1740" s="4"/>
      <c r="FX1740" s="4"/>
      <c r="HL1740" s="4"/>
      <c r="HZ1740" s="4"/>
      <c r="IU1740" s="4"/>
      <c r="JM1740" s="4"/>
    </row>
    <row r="1741" spans="24:273" ht="12" customHeight="1">
      <c r="X1741" s="4"/>
      <c r="AH1741" s="4"/>
      <c r="EA1741" s="4"/>
      <c r="FX1741" s="4"/>
      <c r="HL1741" s="4"/>
      <c r="HZ1741" s="4"/>
      <c r="IU1741" s="4"/>
      <c r="JM1741" s="4"/>
    </row>
    <row r="1742" spans="24:273" ht="12" customHeight="1">
      <c r="X1742" s="4"/>
      <c r="AH1742" s="4"/>
      <c r="EA1742" s="4"/>
      <c r="FX1742" s="4"/>
      <c r="HL1742" s="4"/>
      <c r="HZ1742" s="4"/>
      <c r="IU1742" s="4"/>
      <c r="JM1742" s="4"/>
    </row>
    <row r="1743" spans="24:273" ht="12" customHeight="1">
      <c r="X1743" s="4"/>
      <c r="AH1743" s="4"/>
      <c r="EA1743" s="4"/>
      <c r="FX1743" s="4"/>
      <c r="HL1743" s="4"/>
      <c r="HZ1743" s="4"/>
      <c r="IU1743" s="4"/>
      <c r="JM1743" s="4"/>
    </row>
    <row r="1744" spans="24:273" ht="12" customHeight="1">
      <c r="X1744" s="4"/>
      <c r="AH1744" s="4"/>
      <c r="EA1744" s="4"/>
      <c r="FX1744" s="4"/>
      <c r="HL1744" s="4"/>
      <c r="HZ1744" s="4"/>
      <c r="IU1744" s="4"/>
      <c r="JM1744" s="4"/>
    </row>
    <row r="1745" spans="24:273" ht="12" customHeight="1">
      <c r="X1745" s="4"/>
      <c r="AH1745" s="4"/>
      <c r="EA1745" s="4"/>
      <c r="FX1745" s="4"/>
      <c r="HL1745" s="4"/>
      <c r="HZ1745" s="4"/>
      <c r="IU1745" s="4"/>
      <c r="JM1745" s="4"/>
    </row>
    <row r="1746" spans="24:273" ht="12" customHeight="1">
      <c r="X1746" s="4"/>
      <c r="AH1746" s="4"/>
      <c r="EA1746" s="4"/>
      <c r="FX1746" s="4"/>
      <c r="HL1746" s="4"/>
      <c r="HZ1746" s="4"/>
      <c r="IU1746" s="4"/>
      <c r="JM1746" s="4"/>
    </row>
    <row r="1747" spans="24:273" ht="12" customHeight="1">
      <c r="X1747" s="4"/>
      <c r="AH1747" s="4"/>
      <c r="EA1747" s="4"/>
      <c r="FX1747" s="4"/>
      <c r="HL1747" s="4"/>
      <c r="HZ1747" s="4"/>
      <c r="IU1747" s="4"/>
      <c r="JM1747" s="4"/>
    </row>
    <row r="1748" spans="24:273" ht="12" customHeight="1">
      <c r="X1748" s="4"/>
      <c r="AH1748" s="4"/>
      <c r="EA1748" s="4"/>
      <c r="FX1748" s="4"/>
      <c r="HL1748" s="4"/>
      <c r="HZ1748" s="4"/>
      <c r="IU1748" s="4"/>
      <c r="JM1748" s="4"/>
    </row>
    <row r="1749" spans="24:273" ht="12" customHeight="1">
      <c r="X1749" s="4"/>
      <c r="AH1749" s="4"/>
      <c r="EA1749" s="4"/>
      <c r="FX1749" s="4"/>
      <c r="HL1749" s="4"/>
      <c r="HZ1749" s="4"/>
      <c r="IU1749" s="4"/>
      <c r="JM1749" s="4"/>
    </row>
    <row r="1750" spans="24:273" ht="12" customHeight="1">
      <c r="X1750" s="4"/>
      <c r="AH1750" s="4"/>
      <c r="EA1750" s="4"/>
      <c r="FX1750" s="4"/>
      <c r="HL1750" s="4"/>
      <c r="HZ1750" s="4"/>
      <c r="IU1750" s="4"/>
      <c r="JM1750" s="4"/>
    </row>
    <row r="1751" spans="24:273" ht="12" customHeight="1">
      <c r="X1751" s="4"/>
      <c r="AH1751" s="4"/>
      <c r="EA1751" s="4"/>
      <c r="FX1751" s="4"/>
      <c r="HL1751" s="4"/>
      <c r="HZ1751" s="4"/>
      <c r="IU1751" s="4"/>
      <c r="JM1751" s="4"/>
    </row>
    <row r="1752" spans="24:273" ht="12" customHeight="1">
      <c r="X1752" s="4"/>
      <c r="AH1752" s="4"/>
      <c r="EA1752" s="4"/>
      <c r="FX1752" s="4"/>
      <c r="HL1752" s="4"/>
      <c r="HZ1752" s="4"/>
      <c r="IU1752" s="4"/>
      <c r="JM1752" s="4"/>
    </row>
    <row r="1753" spans="24:273" ht="12" customHeight="1">
      <c r="X1753" s="4"/>
      <c r="AH1753" s="4"/>
      <c r="EA1753" s="4"/>
      <c r="FX1753" s="4"/>
      <c r="HL1753" s="4"/>
      <c r="HZ1753" s="4"/>
      <c r="IU1753" s="4"/>
      <c r="JM1753" s="4"/>
    </row>
    <row r="1754" spans="24:273" ht="12" customHeight="1">
      <c r="X1754" s="4"/>
      <c r="AH1754" s="4"/>
      <c r="EA1754" s="4"/>
      <c r="FX1754" s="4"/>
      <c r="HL1754" s="4"/>
      <c r="HZ1754" s="4"/>
      <c r="IU1754" s="4"/>
      <c r="JM1754" s="4"/>
    </row>
    <row r="1755" spans="24:273" ht="12" customHeight="1">
      <c r="X1755" s="4"/>
      <c r="AH1755" s="4"/>
      <c r="EA1755" s="4"/>
      <c r="FX1755" s="4"/>
      <c r="HL1755" s="4"/>
      <c r="HZ1755" s="4"/>
      <c r="IU1755" s="4"/>
      <c r="JM1755" s="4"/>
    </row>
    <row r="1756" spans="24:273" ht="12" customHeight="1">
      <c r="X1756" s="4"/>
      <c r="AH1756" s="4"/>
      <c r="EA1756" s="4"/>
      <c r="FX1756" s="4"/>
      <c r="HL1756" s="4"/>
      <c r="HZ1756" s="4"/>
      <c r="IU1756" s="4"/>
      <c r="JM1756" s="4"/>
    </row>
    <row r="1757" spans="24:273" ht="12" customHeight="1">
      <c r="X1757" s="4"/>
      <c r="AH1757" s="4"/>
      <c r="EA1757" s="4"/>
      <c r="FX1757" s="4"/>
      <c r="HL1757" s="4"/>
      <c r="HZ1757" s="4"/>
      <c r="IU1757" s="4"/>
      <c r="JM1757" s="4"/>
    </row>
    <row r="1758" spans="24:273" ht="12" customHeight="1">
      <c r="X1758" s="4"/>
      <c r="AH1758" s="4"/>
      <c r="EA1758" s="4"/>
      <c r="FX1758" s="4"/>
      <c r="HL1758" s="4"/>
      <c r="HZ1758" s="4"/>
      <c r="IU1758" s="4"/>
      <c r="JM1758" s="4"/>
    </row>
    <row r="1759" spans="24:273" ht="12" customHeight="1">
      <c r="X1759" s="4"/>
      <c r="AH1759" s="4"/>
      <c r="EA1759" s="4"/>
      <c r="FX1759" s="4"/>
      <c r="HL1759" s="4"/>
      <c r="HZ1759" s="4"/>
      <c r="IU1759" s="4"/>
      <c r="JM1759" s="4"/>
    </row>
    <row r="1760" spans="24:273" ht="12" customHeight="1">
      <c r="X1760" s="4"/>
      <c r="AH1760" s="4"/>
      <c r="EA1760" s="4"/>
      <c r="FX1760" s="4"/>
      <c r="HL1760" s="4"/>
      <c r="HZ1760" s="4"/>
      <c r="IU1760" s="4"/>
      <c r="JM1760" s="4"/>
    </row>
    <row r="1761" spans="24:273" ht="12" customHeight="1">
      <c r="X1761" s="4"/>
      <c r="AH1761" s="4"/>
      <c r="EA1761" s="4"/>
      <c r="FX1761" s="4"/>
      <c r="HL1761" s="4"/>
      <c r="HZ1761" s="4"/>
      <c r="IU1761" s="4"/>
      <c r="JM1761" s="4"/>
    </row>
    <row r="1762" spans="24:273" ht="12" customHeight="1">
      <c r="X1762" s="4"/>
      <c r="AH1762" s="4"/>
      <c r="EA1762" s="4"/>
      <c r="FX1762" s="4"/>
      <c r="HL1762" s="4"/>
      <c r="HZ1762" s="4"/>
      <c r="IU1762" s="4"/>
      <c r="JM1762" s="4"/>
    </row>
    <row r="1763" spans="24:273" ht="12" customHeight="1">
      <c r="X1763" s="4"/>
      <c r="AH1763" s="4"/>
      <c r="EA1763" s="4"/>
      <c r="FX1763" s="4"/>
      <c r="HL1763" s="4"/>
      <c r="HZ1763" s="4"/>
      <c r="IU1763" s="4"/>
      <c r="JM1763" s="4"/>
    </row>
    <row r="1764" spans="24:273" ht="12" customHeight="1">
      <c r="X1764" s="4"/>
      <c r="AH1764" s="4"/>
      <c r="EA1764" s="4"/>
      <c r="FX1764" s="4"/>
      <c r="HL1764" s="4"/>
      <c r="HZ1764" s="4"/>
      <c r="IU1764" s="4"/>
      <c r="JM1764" s="4"/>
    </row>
    <row r="1765" spans="24:273" ht="12" customHeight="1">
      <c r="X1765" s="4"/>
      <c r="AH1765" s="4"/>
      <c r="EA1765" s="4"/>
      <c r="FX1765" s="4"/>
      <c r="HL1765" s="4"/>
      <c r="HZ1765" s="4"/>
      <c r="IU1765" s="4"/>
      <c r="JM1765" s="4"/>
    </row>
    <row r="1766" spans="24:273" ht="12" customHeight="1">
      <c r="X1766" s="4"/>
      <c r="AH1766" s="4"/>
      <c r="EA1766" s="4"/>
      <c r="FX1766" s="4"/>
      <c r="HL1766" s="4"/>
      <c r="HZ1766" s="4"/>
      <c r="IU1766" s="4"/>
      <c r="JM1766" s="4"/>
    </row>
    <row r="1767" spans="24:273" ht="12" customHeight="1">
      <c r="X1767" s="4"/>
      <c r="AH1767" s="4"/>
      <c r="EA1767" s="4"/>
      <c r="FX1767" s="4"/>
      <c r="HL1767" s="4"/>
      <c r="HZ1767" s="4"/>
      <c r="IU1767" s="4"/>
      <c r="JM1767" s="4"/>
    </row>
    <row r="1768" spans="24:273" ht="12" customHeight="1">
      <c r="X1768" s="4"/>
      <c r="AH1768" s="4"/>
      <c r="EA1768" s="4"/>
      <c r="FX1768" s="4"/>
      <c r="HL1768" s="4"/>
      <c r="HZ1768" s="4"/>
      <c r="IU1768" s="4"/>
      <c r="JM1768" s="4"/>
    </row>
    <row r="1769" spans="24:273" ht="12" customHeight="1">
      <c r="X1769" s="4"/>
      <c r="AH1769" s="4"/>
      <c r="EA1769" s="4"/>
      <c r="FX1769" s="4"/>
      <c r="HL1769" s="4"/>
      <c r="HZ1769" s="4"/>
      <c r="IU1769" s="4"/>
      <c r="JM1769" s="4"/>
    </row>
    <row r="1770" spans="24:273" ht="12" customHeight="1">
      <c r="X1770" s="4"/>
      <c r="AH1770" s="4"/>
      <c r="EA1770" s="4"/>
      <c r="FX1770" s="4"/>
      <c r="HL1770" s="4"/>
      <c r="HZ1770" s="4"/>
      <c r="IU1770" s="4"/>
      <c r="JM1770" s="4"/>
    </row>
    <row r="1771" spans="24:273" ht="12" customHeight="1">
      <c r="X1771" s="4"/>
      <c r="AH1771" s="4"/>
      <c r="EA1771" s="4"/>
      <c r="FX1771" s="4"/>
      <c r="HL1771" s="4"/>
      <c r="HZ1771" s="4"/>
      <c r="IU1771" s="4"/>
      <c r="JM1771" s="4"/>
    </row>
    <row r="1772" spans="24:273" ht="12" customHeight="1">
      <c r="X1772" s="4"/>
      <c r="AH1772" s="4"/>
      <c r="EA1772" s="4"/>
      <c r="FX1772" s="4"/>
      <c r="HL1772" s="4"/>
      <c r="HZ1772" s="4"/>
      <c r="IU1772" s="4"/>
      <c r="JM1772" s="4"/>
    </row>
    <row r="1773" spans="24:273" ht="12" customHeight="1">
      <c r="X1773" s="4"/>
      <c r="AH1773" s="4"/>
      <c r="EA1773" s="4"/>
      <c r="FX1773" s="4"/>
      <c r="HL1773" s="4"/>
      <c r="HZ1773" s="4"/>
      <c r="IU1773" s="4"/>
      <c r="JM1773" s="4"/>
    </row>
    <row r="1774" spans="24:273" ht="12" customHeight="1">
      <c r="X1774" s="4"/>
      <c r="AH1774" s="4"/>
      <c r="EA1774" s="4"/>
      <c r="FX1774" s="4"/>
      <c r="HL1774" s="4"/>
      <c r="HZ1774" s="4"/>
      <c r="IU1774" s="4"/>
      <c r="JM1774" s="4"/>
    </row>
    <row r="1775" spans="24:273" ht="12" customHeight="1">
      <c r="X1775" s="4"/>
      <c r="AH1775" s="4"/>
      <c r="EA1775" s="4"/>
      <c r="FX1775" s="4"/>
      <c r="HL1775" s="4"/>
      <c r="HZ1775" s="4"/>
      <c r="IU1775" s="4"/>
      <c r="JM1775" s="4"/>
    </row>
    <row r="1776" spans="24:273" ht="12" customHeight="1">
      <c r="X1776" s="4"/>
      <c r="AH1776" s="4"/>
      <c r="EA1776" s="4"/>
      <c r="FX1776" s="4"/>
      <c r="HL1776" s="4"/>
      <c r="HZ1776" s="4"/>
      <c r="IU1776" s="4"/>
      <c r="JM1776" s="4"/>
    </row>
    <row r="1777" spans="24:273" ht="12" customHeight="1">
      <c r="X1777" s="4"/>
      <c r="AH1777" s="4"/>
      <c r="EA1777" s="4"/>
      <c r="FX1777" s="4"/>
      <c r="HL1777" s="4"/>
      <c r="HZ1777" s="4"/>
      <c r="IU1777" s="4"/>
      <c r="JM1777" s="4"/>
    </row>
    <row r="1778" spans="24:273" ht="12" customHeight="1">
      <c r="X1778" s="4"/>
      <c r="AH1778" s="4"/>
      <c r="EA1778" s="4"/>
      <c r="FX1778" s="4"/>
      <c r="HL1778" s="4"/>
      <c r="HZ1778" s="4"/>
      <c r="IU1778" s="4"/>
      <c r="JM1778" s="4"/>
    </row>
    <row r="1779" spans="24:273" ht="12" customHeight="1">
      <c r="X1779" s="4"/>
      <c r="AH1779" s="4"/>
      <c r="EA1779" s="4"/>
      <c r="FX1779" s="4"/>
      <c r="HL1779" s="4"/>
      <c r="HZ1779" s="4"/>
      <c r="IU1779" s="4"/>
      <c r="JM1779" s="4"/>
    </row>
    <row r="1780" spans="24:273" ht="12" customHeight="1">
      <c r="X1780" s="4"/>
      <c r="AH1780" s="4"/>
      <c r="EA1780" s="4"/>
      <c r="FX1780" s="4"/>
      <c r="HL1780" s="4"/>
      <c r="HZ1780" s="4"/>
      <c r="IU1780" s="4"/>
      <c r="JM1780" s="4"/>
    </row>
    <row r="1781" spans="24:273" ht="12" customHeight="1">
      <c r="X1781" s="4"/>
      <c r="AH1781" s="4"/>
      <c r="EA1781" s="4"/>
      <c r="FX1781" s="4"/>
      <c r="HL1781" s="4"/>
      <c r="HZ1781" s="4"/>
      <c r="IU1781" s="4"/>
      <c r="JM1781" s="4"/>
    </row>
    <row r="1782" spans="24:273" ht="12" customHeight="1">
      <c r="X1782" s="4"/>
      <c r="AH1782" s="4"/>
      <c r="EA1782" s="4"/>
      <c r="FX1782" s="4"/>
      <c r="HL1782" s="4"/>
      <c r="HZ1782" s="4"/>
      <c r="IU1782" s="4"/>
      <c r="JM1782" s="4"/>
    </row>
    <row r="1783" spans="24:273" ht="12" customHeight="1">
      <c r="X1783" s="4"/>
      <c r="AH1783" s="4"/>
      <c r="EA1783" s="4"/>
      <c r="FX1783" s="4"/>
      <c r="HL1783" s="4"/>
      <c r="HZ1783" s="4"/>
      <c r="IU1783" s="4"/>
      <c r="JM1783" s="4"/>
    </row>
    <row r="1784" spans="24:273" ht="12" customHeight="1">
      <c r="X1784" s="4"/>
      <c r="AH1784" s="4"/>
      <c r="EA1784" s="4"/>
      <c r="FX1784" s="4"/>
      <c r="HL1784" s="4"/>
      <c r="HZ1784" s="4"/>
      <c r="IU1784" s="4"/>
      <c r="JM1784" s="4"/>
    </row>
    <row r="1785" spans="24:273" ht="12" customHeight="1">
      <c r="X1785" s="4"/>
      <c r="AH1785" s="4"/>
      <c r="EA1785" s="4"/>
      <c r="FX1785" s="4"/>
      <c r="HL1785" s="4"/>
      <c r="HZ1785" s="4"/>
      <c r="IU1785" s="4"/>
      <c r="JM1785" s="4"/>
    </row>
    <row r="1786" spans="24:273" ht="12" customHeight="1">
      <c r="X1786" s="4"/>
      <c r="AH1786" s="4"/>
      <c r="EA1786" s="4"/>
      <c r="FX1786" s="4"/>
      <c r="HL1786" s="4"/>
      <c r="HZ1786" s="4"/>
      <c r="IU1786" s="4"/>
      <c r="JM1786" s="4"/>
    </row>
    <row r="1787" spans="24:273" ht="12" customHeight="1">
      <c r="X1787" s="4"/>
      <c r="AH1787" s="4"/>
      <c r="EA1787" s="4"/>
      <c r="FX1787" s="4"/>
      <c r="HL1787" s="4"/>
      <c r="HZ1787" s="4"/>
      <c r="IU1787" s="4"/>
      <c r="JM1787" s="4"/>
    </row>
    <row r="1788" spans="24:273" ht="12" customHeight="1">
      <c r="X1788" s="4"/>
      <c r="AH1788" s="4"/>
      <c r="EA1788" s="4"/>
      <c r="FX1788" s="4"/>
      <c r="HL1788" s="4"/>
      <c r="HZ1788" s="4"/>
      <c r="IU1788" s="4"/>
      <c r="JM1788" s="4"/>
    </row>
    <row r="1789" spans="24:273" ht="12" customHeight="1">
      <c r="X1789" s="4"/>
      <c r="AH1789" s="4"/>
      <c r="EA1789" s="4"/>
      <c r="FX1789" s="4"/>
      <c r="HL1789" s="4"/>
      <c r="HZ1789" s="4"/>
      <c r="IU1789" s="4"/>
      <c r="JM1789" s="4"/>
    </row>
    <row r="1790" spans="24:273" ht="12" customHeight="1">
      <c r="X1790" s="4"/>
      <c r="AH1790" s="4"/>
      <c r="EA1790" s="4"/>
      <c r="FX1790" s="4"/>
      <c r="HL1790" s="4"/>
      <c r="HZ1790" s="4"/>
      <c r="IU1790" s="4"/>
      <c r="JM1790" s="4"/>
    </row>
    <row r="1791" spans="24:273" ht="12" customHeight="1">
      <c r="X1791" s="4"/>
      <c r="AH1791" s="4"/>
      <c r="EA1791" s="4"/>
      <c r="FX1791" s="4"/>
      <c r="HL1791" s="4"/>
      <c r="HZ1791" s="4"/>
      <c r="IU1791" s="4"/>
      <c r="JM1791" s="4"/>
    </row>
    <row r="1792" spans="24:273" ht="12" customHeight="1">
      <c r="X1792" s="4"/>
      <c r="AH1792" s="4"/>
      <c r="EA1792" s="4"/>
      <c r="FX1792" s="4"/>
      <c r="HL1792" s="4"/>
      <c r="HZ1792" s="4"/>
      <c r="IU1792" s="4"/>
      <c r="JM1792" s="4"/>
    </row>
    <row r="1793" spans="24:273" ht="12" customHeight="1">
      <c r="X1793" s="4"/>
      <c r="AH1793" s="4"/>
      <c r="EA1793" s="4"/>
      <c r="FX1793" s="4"/>
      <c r="HL1793" s="4"/>
      <c r="HZ1793" s="4"/>
      <c r="IU1793" s="4"/>
      <c r="JM1793" s="4"/>
    </row>
    <row r="1794" spans="24:273" ht="12" customHeight="1">
      <c r="X1794" s="4"/>
      <c r="AH1794" s="4"/>
      <c r="EA1794" s="4"/>
      <c r="FX1794" s="4"/>
      <c r="HL1794" s="4"/>
      <c r="HZ1794" s="4"/>
      <c r="IU1794" s="4"/>
      <c r="JM1794" s="4"/>
    </row>
    <row r="1795" spans="24:273" ht="12" customHeight="1">
      <c r="X1795" s="4"/>
      <c r="AH1795" s="4"/>
      <c r="EA1795" s="4"/>
      <c r="FX1795" s="4"/>
      <c r="HL1795" s="4"/>
      <c r="HZ1795" s="4"/>
      <c r="IU1795" s="4"/>
      <c r="JM1795" s="4"/>
    </row>
    <row r="1796" spans="24:273" ht="12" customHeight="1">
      <c r="X1796" s="4"/>
      <c r="AH1796" s="4"/>
      <c r="EA1796" s="4"/>
      <c r="FX1796" s="4"/>
      <c r="HL1796" s="4"/>
      <c r="HZ1796" s="4"/>
      <c r="IU1796" s="4"/>
      <c r="JM1796" s="4"/>
    </row>
    <row r="1797" spans="24:273" ht="12" customHeight="1">
      <c r="X1797" s="4"/>
      <c r="AH1797" s="4"/>
      <c r="EA1797" s="4"/>
      <c r="FX1797" s="4"/>
      <c r="HL1797" s="4"/>
      <c r="HZ1797" s="4"/>
      <c r="IU1797" s="4"/>
      <c r="JM1797" s="4"/>
    </row>
    <row r="1798" spans="24:273" ht="12" customHeight="1">
      <c r="X1798" s="4"/>
      <c r="AH1798" s="4"/>
      <c r="EA1798" s="4"/>
      <c r="FX1798" s="4"/>
      <c r="HL1798" s="4"/>
      <c r="HZ1798" s="4"/>
      <c r="IU1798" s="4"/>
      <c r="JM1798" s="4"/>
    </row>
    <row r="1799" spans="24:273" ht="12" customHeight="1">
      <c r="X1799" s="4"/>
      <c r="AH1799" s="4"/>
      <c r="EA1799" s="4"/>
      <c r="FX1799" s="4"/>
      <c r="HL1799" s="4"/>
      <c r="HZ1799" s="4"/>
      <c r="IU1799" s="4"/>
      <c r="JM1799" s="4"/>
    </row>
    <row r="1800" spans="24:273" ht="12" customHeight="1">
      <c r="X1800" s="4"/>
      <c r="AH1800" s="4"/>
      <c r="EA1800" s="4"/>
      <c r="FX1800" s="4"/>
      <c r="HL1800" s="4"/>
      <c r="HZ1800" s="4"/>
      <c r="IU1800" s="4"/>
      <c r="JM1800" s="4"/>
    </row>
    <row r="1801" spans="24:273" ht="12" customHeight="1">
      <c r="X1801" s="4"/>
      <c r="AH1801" s="4"/>
      <c r="EA1801" s="4"/>
      <c r="FX1801" s="4"/>
      <c r="HL1801" s="4"/>
      <c r="HZ1801" s="4"/>
      <c r="IU1801" s="4"/>
      <c r="JM1801" s="4"/>
    </row>
    <row r="1802" spans="24:273" ht="12" customHeight="1">
      <c r="X1802" s="4"/>
      <c r="AH1802" s="4"/>
      <c r="EA1802" s="4"/>
      <c r="FX1802" s="4"/>
      <c r="HL1802" s="4"/>
      <c r="HZ1802" s="4"/>
      <c r="IU1802" s="4"/>
      <c r="JM1802" s="4"/>
    </row>
    <row r="1803" spans="24:273" ht="12" customHeight="1">
      <c r="X1803" s="4"/>
      <c r="AH1803" s="4"/>
      <c r="EA1803" s="4"/>
      <c r="FX1803" s="4"/>
      <c r="HL1803" s="4"/>
      <c r="HZ1803" s="4"/>
      <c r="IU1803" s="4"/>
      <c r="JM1803" s="4"/>
    </row>
    <row r="1804" spans="24:273" ht="12" customHeight="1">
      <c r="X1804" s="4"/>
      <c r="AH1804" s="4"/>
      <c r="EA1804" s="4"/>
      <c r="FX1804" s="4"/>
      <c r="HL1804" s="4"/>
      <c r="HZ1804" s="4"/>
      <c r="IU1804" s="4"/>
      <c r="JM1804" s="4"/>
    </row>
    <row r="1805" spans="24:273" ht="12" customHeight="1">
      <c r="X1805" s="4"/>
      <c r="AH1805" s="4"/>
      <c r="EA1805" s="4"/>
      <c r="FX1805" s="4"/>
      <c r="HL1805" s="4"/>
      <c r="HZ1805" s="4"/>
      <c r="IU1805" s="4"/>
      <c r="JM1805" s="4"/>
    </row>
    <row r="1806" spans="24:273" ht="12" customHeight="1">
      <c r="X1806" s="4"/>
      <c r="AH1806" s="4"/>
      <c r="EA1806" s="4"/>
      <c r="FX1806" s="4"/>
      <c r="HL1806" s="4"/>
      <c r="HZ1806" s="4"/>
      <c r="IU1806" s="4"/>
      <c r="JM1806" s="4"/>
    </row>
    <row r="1807" spans="24:273" ht="12" customHeight="1">
      <c r="X1807" s="4"/>
      <c r="AH1807" s="4"/>
      <c r="EA1807" s="4"/>
      <c r="FX1807" s="4"/>
      <c r="HL1807" s="4"/>
      <c r="HZ1807" s="4"/>
      <c r="IU1807" s="4"/>
      <c r="JM1807" s="4"/>
    </row>
    <row r="1808" spans="24:273" ht="12" customHeight="1">
      <c r="X1808" s="4"/>
      <c r="AH1808" s="4"/>
      <c r="EA1808" s="4"/>
      <c r="FX1808" s="4"/>
      <c r="HL1808" s="4"/>
      <c r="HZ1808" s="4"/>
      <c r="IU1808" s="4"/>
      <c r="JM1808" s="4"/>
    </row>
    <row r="1809" spans="24:273" ht="12" customHeight="1">
      <c r="X1809" s="4"/>
      <c r="AH1809" s="4"/>
      <c r="EA1809" s="4"/>
      <c r="FX1809" s="4"/>
      <c r="HL1809" s="4"/>
      <c r="HZ1809" s="4"/>
      <c r="IU1809" s="4"/>
      <c r="JM1809" s="4"/>
    </row>
    <row r="1810" spans="24:273" ht="12" customHeight="1">
      <c r="X1810" s="4"/>
      <c r="AH1810" s="4"/>
      <c r="EA1810" s="4"/>
      <c r="FX1810" s="4"/>
      <c r="HL1810" s="4"/>
      <c r="HZ1810" s="4"/>
      <c r="IU1810" s="4"/>
      <c r="JM1810" s="4"/>
    </row>
    <row r="1811" spans="24:273" ht="12" customHeight="1">
      <c r="X1811" s="4"/>
      <c r="AH1811" s="4"/>
      <c r="EA1811" s="4"/>
      <c r="FX1811" s="4"/>
      <c r="HL1811" s="4"/>
      <c r="HZ1811" s="4"/>
      <c r="IU1811" s="4"/>
      <c r="JM1811" s="4"/>
    </row>
    <row r="1812" spans="24:273" ht="12" customHeight="1">
      <c r="X1812" s="4"/>
      <c r="AH1812" s="4"/>
      <c r="EA1812" s="4"/>
      <c r="FX1812" s="4"/>
      <c r="HL1812" s="4"/>
      <c r="HZ1812" s="4"/>
      <c r="IU1812" s="4"/>
      <c r="JM1812" s="4"/>
    </row>
    <row r="1813" spans="24:273" ht="12" customHeight="1">
      <c r="X1813" s="4"/>
      <c r="AH1813" s="4"/>
      <c r="EA1813" s="4"/>
      <c r="FX1813" s="4"/>
      <c r="HL1813" s="4"/>
      <c r="HZ1813" s="4"/>
      <c r="IU1813" s="4"/>
      <c r="JM1813" s="4"/>
    </row>
    <row r="1814" spans="24:273" ht="12" customHeight="1">
      <c r="X1814" s="4"/>
      <c r="AH1814" s="4"/>
      <c r="EA1814" s="4"/>
      <c r="FX1814" s="4"/>
      <c r="HL1814" s="4"/>
      <c r="HZ1814" s="4"/>
      <c r="IU1814" s="4"/>
      <c r="JM1814" s="4"/>
    </row>
    <row r="1815" spans="24:273" ht="12" customHeight="1">
      <c r="X1815" s="4"/>
      <c r="AH1815" s="4"/>
      <c r="EA1815" s="4"/>
      <c r="FX1815" s="4"/>
      <c r="HL1815" s="4"/>
      <c r="HZ1815" s="4"/>
      <c r="IU1815" s="4"/>
      <c r="JM1815" s="4"/>
    </row>
    <row r="1816" spans="24:273" ht="12" customHeight="1">
      <c r="X1816" s="4"/>
      <c r="AH1816" s="4"/>
      <c r="EA1816" s="4"/>
      <c r="FX1816" s="4"/>
      <c r="HL1816" s="4"/>
      <c r="HZ1816" s="4"/>
      <c r="IU1816" s="4"/>
      <c r="JM1816" s="4"/>
    </row>
    <row r="1817" spans="24:273" ht="12" customHeight="1">
      <c r="X1817" s="4"/>
      <c r="AH1817" s="4"/>
      <c r="EA1817" s="4"/>
      <c r="FX1817" s="4"/>
      <c r="HL1817" s="4"/>
      <c r="HZ1817" s="4"/>
      <c r="IU1817" s="4"/>
      <c r="JM1817" s="4"/>
    </row>
    <row r="1818" spans="24:273" ht="12" customHeight="1">
      <c r="X1818" s="4"/>
      <c r="AH1818" s="4"/>
      <c r="EA1818" s="4"/>
      <c r="FX1818" s="4"/>
      <c r="HL1818" s="4"/>
      <c r="HZ1818" s="4"/>
      <c r="IU1818" s="4"/>
      <c r="JM1818" s="4"/>
    </row>
    <row r="1819" spans="24:273" ht="12" customHeight="1">
      <c r="X1819" s="4"/>
      <c r="AH1819" s="4"/>
      <c r="EA1819" s="4"/>
      <c r="FX1819" s="4"/>
      <c r="HL1819" s="4"/>
      <c r="HZ1819" s="4"/>
      <c r="IU1819" s="4"/>
      <c r="JM1819" s="4"/>
    </row>
    <row r="1820" spans="24:273" ht="12" customHeight="1">
      <c r="X1820" s="4"/>
      <c r="AH1820" s="4"/>
      <c r="EA1820" s="4"/>
      <c r="FX1820" s="4"/>
      <c r="HL1820" s="4"/>
      <c r="HZ1820" s="4"/>
      <c r="IU1820" s="4"/>
      <c r="JM1820" s="4"/>
    </row>
    <row r="1821" spans="24:273" ht="12" customHeight="1">
      <c r="X1821" s="4"/>
      <c r="AH1821" s="4"/>
      <c r="EA1821" s="4"/>
      <c r="FX1821" s="4"/>
      <c r="HL1821" s="4"/>
      <c r="HZ1821" s="4"/>
      <c r="IU1821" s="4"/>
      <c r="JM1821" s="4"/>
    </row>
    <row r="1822" spans="24:273" ht="12" customHeight="1">
      <c r="X1822" s="4"/>
      <c r="AH1822" s="4"/>
      <c r="EA1822" s="4"/>
      <c r="FX1822" s="4"/>
      <c r="HL1822" s="4"/>
      <c r="HZ1822" s="4"/>
      <c r="IU1822" s="4"/>
      <c r="JM1822" s="4"/>
    </row>
    <row r="1823" spans="24:273" ht="12" customHeight="1">
      <c r="X1823" s="4"/>
      <c r="AH1823" s="4"/>
      <c r="EA1823" s="4"/>
      <c r="FX1823" s="4"/>
      <c r="HL1823" s="4"/>
      <c r="HZ1823" s="4"/>
      <c r="IU1823" s="4"/>
      <c r="JM1823" s="4"/>
    </row>
    <row r="1824" spans="24:273" ht="12" customHeight="1">
      <c r="X1824" s="4"/>
      <c r="AH1824" s="4"/>
      <c r="EA1824" s="4"/>
      <c r="FX1824" s="4"/>
      <c r="HL1824" s="4"/>
      <c r="HZ1824" s="4"/>
      <c r="IU1824" s="4"/>
      <c r="JM1824" s="4"/>
    </row>
    <row r="1825" spans="24:273" ht="12" customHeight="1">
      <c r="X1825" s="4"/>
      <c r="AH1825" s="4"/>
      <c r="EA1825" s="4"/>
      <c r="FX1825" s="4"/>
      <c r="HL1825" s="4"/>
      <c r="HZ1825" s="4"/>
      <c r="IU1825" s="4"/>
      <c r="JM1825" s="4"/>
    </row>
    <row r="1826" spans="24:273" ht="12" customHeight="1">
      <c r="X1826" s="4"/>
      <c r="AH1826" s="4"/>
      <c r="EA1826" s="4"/>
      <c r="FX1826" s="4"/>
      <c r="HL1826" s="4"/>
      <c r="HZ1826" s="4"/>
      <c r="IU1826" s="4"/>
      <c r="JM1826" s="4"/>
    </row>
    <row r="1827" spans="24:273" ht="12" customHeight="1">
      <c r="X1827" s="4"/>
      <c r="AH1827" s="4"/>
      <c r="EA1827" s="4"/>
      <c r="FX1827" s="4"/>
      <c r="HL1827" s="4"/>
      <c r="HZ1827" s="4"/>
      <c r="IU1827" s="4"/>
      <c r="JM1827" s="4"/>
    </row>
    <row r="1828" spans="24:273" ht="12" customHeight="1">
      <c r="X1828" s="4"/>
      <c r="AH1828" s="4"/>
      <c r="EA1828" s="4"/>
      <c r="FX1828" s="4"/>
      <c r="HL1828" s="4"/>
      <c r="HZ1828" s="4"/>
      <c r="IU1828" s="4"/>
      <c r="JM1828" s="4"/>
    </row>
    <row r="1829" spans="24:273" ht="12" customHeight="1">
      <c r="X1829" s="4"/>
      <c r="AH1829" s="4"/>
      <c r="EA1829" s="4"/>
      <c r="FX1829" s="4"/>
      <c r="HL1829" s="4"/>
      <c r="HZ1829" s="4"/>
      <c r="IU1829" s="4"/>
      <c r="JM1829" s="4"/>
    </row>
    <row r="1830" spans="24:273" ht="12" customHeight="1">
      <c r="X1830" s="4"/>
      <c r="AH1830" s="4"/>
      <c r="EA1830" s="4"/>
      <c r="FX1830" s="4"/>
      <c r="HL1830" s="4"/>
      <c r="HZ1830" s="4"/>
      <c r="IU1830" s="4"/>
      <c r="JM1830" s="4"/>
    </row>
    <row r="1831" spans="24:273" ht="12" customHeight="1">
      <c r="X1831" s="4"/>
      <c r="AH1831" s="4"/>
      <c r="EA1831" s="4"/>
      <c r="FX1831" s="4"/>
      <c r="HL1831" s="4"/>
      <c r="HZ1831" s="4"/>
      <c r="IU1831" s="4"/>
      <c r="JM1831" s="4"/>
    </row>
    <row r="1832" spans="24:273" ht="12" customHeight="1">
      <c r="X1832" s="4"/>
      <c r="AH1832" s="4"/>
      <c r="EA1832" s="4"/>
      <c r="FX1832" s="4"/>
      <c r="HL1832" s="4"/>
      <c r="HZ1832" s="4"/>
      <c r="IU1832" s="4"/>
      <c r="JM1832" s="4"/>
    </row>
    <row r="1833" spans="24:273" ht="12" customHeight="1">
      <c r="X1833" s="4"/>
      <c r="AH1833" s="4"/>
      <c r="EA1833" s="4"/>
      <c r="FX1833" s="4"/>
      <c r="HL1833" s="4"/>
      <c r="HZ1833" s="4"/>
      <c r="IU1833" s="4"/>
      <c r="JM1833" s="4"/>
    </row>
    <row r="1834" spans="24:273" ht="12" customHeight="1">
      <c r="X1834" s="4"/>
      <c r="AH1834" s="4"/>
      <c r="EA1834" s="4"/>
      <c r="FX1834" s="4"/>
      <c r="HL1834" s="4"/>
      <c r="HZ1834" s="4"/>
      <c r="IU1834" s="4"/>
      <c r="JM1834" s="4"/>
    </row>
    <row r="1835" spans="24:273" ht="12" customHeight="1">
      <c r="X1835" s="4"/>
      <c r="AH1835" s="4"/>
      <c r="EA1835" s="4"/>
      <c r="FX1835" s="4"/>
      <c r="HL1835" s="4"/>
      <c r="HZ1835" s="4"/>
      <c r="IU1835" s="4"/>
      <c r="JM1835" s="4"/>
    </row>
    <row r="1836" spans="24:273" ht="12" customHeight="1">
      <c r="X1836" s="4"/>
      <c r="AH1836" s="4"/>
      <c r="EA1836" s="4"/>
      <c r="FX1836" s="4"/>
      <c r="HL1836" s="4"/>
      <c r="HZ1836" s="4"/>
      <c r="IU1836" s="4"/>
      <c r="JM1836" s="4"/>
    </row>
    <row r="1837" spans="24:273" ht="12" customHeight="1">
      <c r="X1837" s="4"/>
      <c r="AH1837" s="4"/>
      <c r="EA1837" s="4"/>
      <c r="FX1837" s="4"/>
      <c r="HL1837" s="4"/>
      <c r="HZ1837" s="4"/>
      <c r="IU1837" s="4"/>
      <c r="JM1837" s="4"/>
    </row>
    <row r="1838" spans="24:273" ht="12" customHeight="1">
      <c r="X1838" s="4"/>
      <c r="AH1838" s="4"/>
      <c r="EA1838" s="4"/>
      <c r="FX1838" s="4"/>
      <c r="HL1838" s="4"/>
      <c r="HZ1838" s="4"/>
      <c r="IU1838" s="4"/>
      <c r="JM1838" s="4"/>
    </row>
    <row r="1839" spans="24:273" ht="12" customHeight="1">
      <c r="X1839" s="4"/>
      <c r="AH1839" s="4"/>
      <c r="EA1839" s="4"/>
      <c r="FX1839" s="4"/>
      <c r="HL1839" s="4"/>
      <c r="HZ1839" s="4"/>
      <c r="IU1839" s="4"/>
      <c r="JM1839" s="4"/>
    </row>
    <row r="1840" spans="24:273" ht="12" customHeight="1">
      <c r="X1840" s="4"/>
      <c r="AH1840" s="4"/>
      <c r="EA1840" s="4"/>
      <c r="FX1840" s="4"/>
      <c r="HL1840" s="4"/>
      <c r="HZ1840" s="4"/>
      <c r="IU1840" s="4"/>
      <c r="JM1840" s="4"/>
    </row>
    <row r="1841" spans="24:273" ht="12" customHeight="1">
      <c r="X1841" s="4"/>
      <c r="AH1841" s="4"/>
      <c r="EA1841" s="4"/>
      <c r="FX1841" s="4"/>
      <c r="HL1841" s="4"/>
      <c r="HZ1841" s="4"/>
      <c r="IU1841" s="4"/>
      <c r="JM1841" s="4"/>
    </row>
    <row r="1842" spans="24:273" ht="12" customHeight="1">
      <c r="X1842" s="4"/>
      <c r="AH1842" s="4"/>
      <c r="EA1842" s="4"/>
      <c r="FX1842" s="4"/>
      <c r="HL1842" s="4"/>
      <c r="HZ1842" s="4"/>
      <c r="IU1842" s="4"/>
      <c r="JM1842" s="4"/>
    </row>
    <row r="1843" spans="24:273" ht="12" customHeight="1">
      <c r="X1843" s="4"/>
      <c r="AH1843" s="4"/>
      <c r="EA1843" s="4"/>
      <c r="FX1843" s="4"/>
      <c r="HL1843" s="4"/>
      <c r="HZ1843" s="4"/>
      <c r="IU1843" s="4"/>
      <c r="JM1843" s="4"/>
    </row>
    <row r="1844" spans="24:273" ht="12" customHeight="1">
      <c r="X1844" s="4"/>
      <c r="AH1844" s="4"/>
      <c r="EA1844" s="4"/>
      <c r="FX1844" s="4"/>
      <c r="HL1844" s="4"/>
      <c r="HZ1844" s="4"/>
      <c r="IU1844" s="4"/>
      <c r="JM1844" s="4"/>
    </row>
    <row r="1845" spans="24:273" ht="12" customHeight="1">
      <c r="X1845" s="4"/>
      <c r="AH1845" s="4"/>
      <c r="EA1845" s="4"/>
      <c r="FX1845" s="4"/>
      <c r="HL1845" s="4"/>
      <c r="HZ1845" s="4"/>
      <c r="IU1845" s="4"/>
      <c r="JM1845" s="4"/>
    </row>
    <row r="1846" spans="24:273" ht="12" customHeight="1">
      <c r="X1846" s="4"/>
      <c r="AH1846" s="4"/>
      <c r="EA1846" s="4"/>
      <c r="FX1846" s="4"/>
      <c r="HL1846" s="4"/>
      <c r="HZ1846" s="4"/>
      <c r="IU1846" s="4"/>
      <c r="JM1846" s="4"/>
    </row>
    <row r="1847" spans="24:273" ht="12" customHeight="1">
      <c r="X1847" s="4"/>
      <c r="AH1847" s="4"/>
      <c r="EA1847" s="4"/>
      <c r="FX1847" s="4"/>
      <c r="HL1847" s="4"/>
      <c r="HZ1847" s="4"/>
      <c r="IU1847" s="4"/>
      <c r="JM1847" s="4"/>
    </row>
    <row r="1848" spans="24:273" ht="12" customHeight="1">
      <c r="X1848" s="4"/>
      <c r="AH1848" s="4"/>
      <c r="EA1848" s="4"/>
      <c r="FX1848" s="4"/>
      <c r="HL1848" s="4"/>
      <c r="HZ1848" s="4"/>
      <c r="IU1848" s="4"/>
      <c r="JM1848" s="4"/>
    </row>
    <row r="1849" spans="24:273" ht="12" customHeight="1">
      <c r="X1849" s="4"/>
      <c r="AH1849" s="4"/>
      <c r="EA1849" s="4"/>
      <c r="FX1849" s="4"/>
      <c r="HL1849" s="4"/>
      <c r="HZ1849" s="4"/>
      <c r="IU1849" s="4"/>
      <c r="JM1849" s="4"/>
    </row>
    <row r="1850" spans="24:273" ht="12" customHeight="1">
      <c r="X1850" s="4"/>
      <c r="AH1850" s="4"/>
      <c r="EA1850" s="4"/>
      <c r="FX1850" s="4"/>
      <c r="HL1850" s="4"/>
      <c r="HZ1850" s="4"/>
      <c r="IU1850" s="4"/>
      <c r="JM1850" s="4"/>
    </row>
    <row r="1851" spans="24:273" ht="12" customHeight="1">
      <c r="X1851" s="4"/>
      <c r="AH1851" s="4"/>
      <c r="EA1851" s="4"/>
      <c r="FX1851" s="4"/>
      <c r="HL1851" s="4"/>
      <c r="HZ1851" s="4"/>
      <c r="IU1851" s="4"/>
      <c r="JM1851" s="4"/>
    </row>
    <row r="1852" spans="24:273" ht="12" customHeight="1">
      <c r="X1852" s="4"/>
      <c r="AH1852" s="4"/>
      <c r="EA1852" s="4"/>
      <c r="FX1852" s="4"/>
      <c r="HL1852" s="4"/>
      <c r="HZ1852" s="4"/>
      <c r="IU1852" s="4"/>
      <c r="JM1852" s="4"/>
    </row>
    <row r="1853" spans="24:273" ht="12" customHeight="1">
      <c r="X1853" s="4"/>
      <c r="AH1853" s="4"/>
      <c r="EA1853" s="4"/>
      <c r="FX1853" s="4"/>
      <c r="HL1853" s="4"/>
      <c r="HZ1853" s="4"/>
      <c r="IU1853" s="4"/>
      <c r="JM1853" s="4"/>
    </row>
    <row r="1854" spans="24:273" ht="12" customHeight="1">
      <c r="X1854" s="4"/>
      <c r="AH1854" s="4"/>
      <c r="EA1854" s="4"/>
      <c r="FX1854" s="4"/>
      <c r="HL1854" s="4"/>
      <c r="HZ1854" s="4"/>
      <c r="IU1854" s="4"/>
      <c r="JM1854" s="4"/>
    </row>
    <row r="1855" spans="24:273" ht="12" customHeight="1">
      <c r="X1855" s="4"/>
      <c r="AH1855" s="4"/>
      <c r="EA1855" s="4"/>
      <c r="FX1855" s="4"/>
      <c r="HL1855" s="4"/>
      <c r="HZ1855" s="4"/>
      <c r="IU1855" s="4"/>
      <c r="JM1855" s="4"/>
    </row>
    <row r="1856" spans="24:273" ht="12" customHeight="1">
      <c r="X1856" s="4"/>
      <c r="AH1856" s="4"/>
      <c r="EA1856" s="4"/>
      <c r="FX1856" s="4"/>
      <c r="HL1856" s="4"/>
      <c r="HZ1856" s="4"/>
      <c r="IU1856" s="4"/>
      <c r="JM1856" s="4"/>
    </row>
    <row r="1857" spans="24:273" ht="12" customHeight="1">
      <c r="X1857" s="4"/>
      <c r="AH1857" s="4"/>
      <c r="EA1857" s="4"/>
      <c r="FX1857" s="4"/>
      <c r="HL1857" s="4"/>
      <c r="HZ1857" s="4"/>
      <c r="IU1857" s="4"/>
      <c r="JM1857" s="4"/>
    </row>
    <row r="1858" spans="24:273" ht="12" customHeight="1">
      <c r="X1858" s="4"/>
      <c r="AH1858" s="4"/>
      <c r="EA1858" s="4"/>
      <c r="FX1858" s="4"/>
      <c r="HL1858" s="4"/>
      <c r="HZ1858" s="4"/>
      <c r="IU1858" s="4"/>
      <c r="JM1858" s="4"/>
    </row>
    <row r="1859" spans="24:273" ht="12" customHeight="1">
      <c r="X1859" s="4"/>
      <c r="AH1859" s="4"/>
      <c r="EA1859" s="4"/>
      <c r="FX1859" s="4"/>
      <c r="HL1859" s="4"/>
      <c r="HZ1859" s="4"/>
      <c r="IU1859" s="4"/>
      <c r="JM1859" s="4"/>
    </row>
    <row r="1860" spans="24:273" ht="12" customHeight="1">
      <c r="X1860" s="4"/>
      <c r="AH1860" s="4"/>
      <c r="EA1860" s="4"/>
      <c r="FX1860" s="4"/>
      <c r="HL1860" s="4"/>
      <c r="HZ1860" s="4"/>
      <c r="IU1860" s="4"/>
      <c r="JM1860" s="4"/>
    </row>
    <row r="1861" spans="24:273" ht="12" customHeight="1">
      <c r="X1861" s="4"/>
      <c r="AH1861" s="4"/>
      <c r="EA1861" s="4"/>
      <c r="FX1861" s="4"/>
      <c r="HL1861" s="4"/>
      <c r="HZ1861" s="4"/>
      <c r="IU1861" s="4"/>
      <c r="JM1861" s="4"/>
    </row>
    <row r="1862" spans="24:273" ht="12" customHeight="1">
      <c r="X1862" s="4"/>
      <c r="AH1862" s="4"/>
      <c r="EA1862" s="4"/>
      <c r="FX1862" s="4"/>
      <c r="HL1862" s="4"/>
      <c r="HZ1862" s="4"/>
      <c r="IU1862" s="4"/>
      <c r="JM1862" s="4"/>
    </row>
    <row r="1863" spans="24:273" ht="12" customHeight="1">
      <c r="X1863" s="4"/>
      <c r="AH1863" s="4"/>
      <c r="EA1863" s="4"/>
      <c r="FX1863" s="4"/>
      <c r="HL1863" s="4"/>
      <c r="HZ1863" s="4"/>
      <c r="IU1863" s="4"/>
      <c r="JM1863" s="4"/>
    </row>
    <row r="1864" spans="24:273" ht="12" customHeight="1">
      <c r="X1864" s="4"/>
      <c r="AH1864" s="4"/>
      <c r="EA1864" s="4"/>
      <c r="FX1864" s="4"/>
      <c r="HL1864" s="4"/>
      <c r="HZ1864" s="4"/>
      <c r="IU1864" s="4"/>
      <c r="JM1864" s="4"/>
    </row>
    <row r="1865" spans="24:273" ht="12" customHeight="1">
      <c r="X1865" s="4"/>
      <c r="AH1865" s="4"/>
      <c r="EA1865" s="4"/>
      <c r="FX1865" s="4"/>
      <c r="HL1865" s="4"/>
      <c r="HZ1865" s="4"/>
      <c r="IU1865" s="4"/>
      <c r="JM1865" s="4"/>
    </row>
    <row r="1866" spans="24:273" ht="12" customHeight="1">
      <c r="X1866" s="4"/>
      <c r="AH1866" s="4"/>
      <c r="EA1866" s="4"/>
      <c r="FX1866" s="4"/>
      <c r="HL1866" s="4"/>
      <c r="HZ1866" s="4"/>
      <c r="IU1866" s="4"/>
      <c r="JM1866" s="4"/>
    </row>
    <row r="1867" spans="24:273" ht="12" customHeight="1">
      <c r="X1867" s="4"/>
      <c r="AH1867" s="4"/>
      <c r="EA1867" s="4"/>
      <c r="FX1867" s="4"/>
      <c r="HL1867" s="4"/>
      <c r="HZ1867" s="4"/>
      <c r="IU1867" s="4"/>
      <c r="JM1867" s="4"/>
    </row>
    <row r="1868" spans="24:273" ht="12" customHeight="1">
      <c r="X1868" s="4"/>
      <c r="AH1868" s="4"/>
      <c r="EA1868" s="4"/>
      <c r="FX1868" s="4"/>
      <c r="HL1868" s="4"/>
      <c r="HZ1868" s="4"/>
      <c r="IU1868" s="4"/>
      <c r="JM1868" s="4"/>
    </row>
    <row r="1869" spans="24:273" ht="12" customHeight="1">
      <c r="X1869" s="4"/>
      <c r="AH1869" s="4"/>
      <c r="EA1869" s="4"/>
      <c r="FX1869" s="4"/>
      <c r="HL1869" s="4"/>
      <c r="HZ1869" s="4"/>
      <c r="IU1869" s="4"/>
      <c r="JM1869" s="4"/>
    </row>
    <row r="1870" spans="24:273" ht="12" customHeight="1">
      <c r="X1870" s="4"/>
      <c r="AH1870" s="4"/>
      <c r="EA1870" s="4"/>
      <c r="FX1870" s="4"/>
      <c r="HL1870" s="4"/>
      <c r="HZ1870" s="4"/>
      <c r="IU1870" s="4"/>
      <c r="JM1870" s="4"/>
    </row>
    <row r="1871" spans="24:273" ht="12" customHeight="1">
      <c r="X1871" s="4"/>
      <c r="AH1871" s="4"/>
      <c r="EA1871" s="4"/>
      <c r="FX1871" s="4"/>
      <c r="HL1871" s="4"/>
      <c r="HZ1871" s="4"/>
      <c r="IU1871" s="4"/>
      <c r="JM1871" s="4"/>
    </row>
    <row r="1872" spans="24:273" ht="12" customHeight="1">
      <c r="X1872" s="4"/>
      <c r="AH1872" s="4"/>
      <c r="EA1872" s="4"/>
      <c r="FX1872" s="4"/>
      <c r="HL1872" s="4"/>
      <c r="HZ1872" s="4"/>
      <c r="IU1872" s="4"/>
      <c r="JM1872" s="4"/>
    </row>
    <row r="1873" spans="24:273" ht="12" customHeight="1">
      <c r="X1873" s="4"/>
      <c r="AH1873" s="4"/>
      <c r="EA1873" s="4"/>
      <c r="FX1873" s="4"/>
      <c r="HL1873" s="4"/>
      <c r="HZ1873" s="4"/>
      <c r="IU1873" s="4"/>
      <c r="JM1873" s="4"/>
    </row>
    <row r="1874" spans="24:273" ht="12" customHeight="1">
      <c r="X1874" s="4"/>
      <c r="AH1874" s="4"/>
      <c r="EA1874" s="4"/>
      <c r="FX1874" s="4"/>
      <c r="HL1874" s="4"/>
      <c r="HZ1874" s="4"/>
      <c r="IU1874" s="4"/>
      <c r="JM1874" s="4"/>
    </row>
    <row r="1875" spans="24:273" ht="12" customHeight="1">
      <c r="X1875" s="4"/>
      <c r="AH1875" s="4"/>
      <c r="EA1875" s="4"/>
      <c r="FX1875" s="4"/>
      <c r="HL1875" s="4"/>
      <c r="HZ1875" s="4"/>
      <c r="IU1875" s="4"/>
      <c r="JM1875" s="4"/>
    </row>
    <row r="1876" spans="24:273" ht="12" customHeight="1">
      <c r="X1876" s="4"/>
      <c r="AH1876" s="4"/>
      <c r="EA1876" s="4"/>
      <c r="FX1876" s="4"/>
      <c r="HL1876" s="4"/>
      <c r="HZ1876" s="4"/>
      <c r="IU1876" s="4"/>
      <c r="JM1876" s="4"/>
    </row>
    <row r="1877" spans="24:273" ht="12" customHeight="1">
      <c r="X1877" s="4"/>
      <c r="AH1877" s="4"/>
      <c r="EA1877" s="4"/>
      <c r="FX1877" s="4"/>
      <c r="HL1877" s="4"/>
      <c r="HZ1877" s="4"/>
      <c r="IU1877" s="4"/>
      <c r="JM1877" s="4"/>
    </row>
    <row r="1878" spans="24:273" ht="12" customHeight="1">
      <c r="X1878" s="4"/>
      <c r="AH1878" s="4"/>
      <c r="EA1878" s="4"/>
      <c r="FX1878" s="4"/>
      <c r="HL1878" s="4"/>
      <c r="HZ1878" s="4"/>
      <c r="IU1878" s="4"/>
      <c r="JM1878" s="4"/>
    </row>
    <row r="1879" spans="24:273" ht="12" customHeight="1">
      <c r="X1879" s="4"/>
      <c r="AH1879" s="4"/>
      <c r="EA1879" s="4"/>
      <c r="FX1879" s="4"/>
      <c r="HL1879" s="4"/>
      <c r="HZ1879" s="4"/>
      <c r="IU1879" s="4"/>
      <c r="JM1879" s="4"/>
    </row>
    <row r="1880" spans="24:273" ht="12" customHeight="1">
      <c r="X1880" s="4"/>
      <c r="AH1880" s="4"/>
      <c r="EA1880" s="4"/>
      <c r="FX1880" s="4"/>
      <c r="HL1880" s="4"/>
      <c r="HZ1880" s="4"/>
      <c r="IU1880" s="4"/>
      <c r="JM1880" s="4"/>
    </row>
    <row r="1881" spans="24:273" ht="12" customHeight="1">
      <c r="X1881" s="4"/>
      <c r="AH1881" s="4"/>
      <c r="EA1881" s="4"/>
      <c r="FX1881" s="4"/>
      <c r="HL1881" s="4"/>
      <c r="HZ1881" s="4"/>
      <c r="IU1881" s="4"/>
      <c r="JM1881" s="4"/>
    </row>
    <row r="1882" spans="24:273" ht="12" customHeight="1">
      <c r="X1882" s="4"/>
      <c r="AH1882" s="4"/>
      <c r="EA1882" s="4"/>
      <c r="FX1882" s="4"/>
      <c r="HL1882" s="4"/>
      <c r="HZ1882" s="4"/>
      <c r="IU1882" s="4"/>
      <c r="JM1882" s="4"/>
    </row>
    <row r="1883" spans="24:273" ht="12" customHeight="1">
      <c r="X1883" s="4"/>
      <c r="AH1883" s="4"/>
      <c r="EA1883" s="4"/>
      <c r="FX1883" s="4"/>
      <c r="HL1883" s="4"/>
      <c r="HZ1883" s="4"/>
      <c r="IU1883" s="4"/>
      <c r="JM1883" s="4"/>
    </row>
    <row r="1884" spans="24:273" ht="12" customHeight="1">
      <c r="X1884" s="4"/>
      <c r="AH1884" s="4"/>
      <c r="EA1884" s="4"/>
      <c r="FX1884" s="4"/>
      <c r="HL1884" s="4"/>
      <c r="HZ1884" s="4"/>
      <c r="IU1884" s="4"/>
      <c r="JM1884" s="4"/>
    </row>
    <row r="1885" spans="24:273" ht="12" customHeight="1">
      <c r="X1885" s="4"/>
      <c r="AH1885" s="4"/>
      <c r="EA1885" s="4"/>
      <c r="FX1885" s="4"/>
      <c r="HL1885" s="4"/>
      <c r="HZ1885" s="4"/>
      <c r="IU1885" s="4"/>
      <c r="JM1885" s="4"/>
    </row>
    <row r="1886" spans="24:273" ht="12" customHeight="1">
      <c r="X1886" s="4"/>
      <c r="AH1886" s="4"/>
      <c r="EA1886" s="4"/>
      <c r="FX1886" s="4"/>
      <c r="HL1886" s="4"/>
      <c r="HZ1886" s="4"/>
      <c r="IU1886" s="4"/>
      <c r="JM1886" s="4"/>
    </row>
    <row r="1887" spans="24:273" ht="12" customHeight="1">
      <c r="X1887" s="4"/>
      <c r="AH1887" s="4"/>
      <c r="EA1887" s="4"/>
      <c r="FX1887" s="4"/>
      <c r="HL1887" s="4"/>
      <c r="HZ1887" s="4"/>
      <c r="IU1887" s="4"/>
      <c r="JM1887" s="4"/>
    </row>
    <row r="1888" spans="24:273" ht="12" customHeight="1">
      <c r="X1888" s="4"/>
      <c r="AH1888" s="4"/>
      <c r="EA1888" s="4"/>
      <c r="FX1888" s="4"/>
      <c r="HL1888" s="4"/>
      <c r="HZ1888" s="4"/>
      <c r="IU1888" s="4"/>
      <c r="JM1888" s="4"/>
    </row>
    <row r="1889" spans="24:273" ht="12" customHeight="1">
      <c r="X1889" s="4"/>
      <c r="AH1889" s="4"/>
      <c r="EA1889" s="4"/>
      <c r="FX1889" s="4"/>
      <c r="HL1889" s="4"/>
      <c r="HZ1889" s="4"/>
      <c r="IU1889" s="4"/>
      <c r="JM1889" s="4"/>
    </row>
    <row r="1890" spans="24:273" ht="12" customHeight="1">
      <c r="X1890" s="4"/>
      <c r="AH1890" s="4"/>
      <c r="EA1890" s="4"/>
      <c r="FX1890" s="4"/>
      <c r="HL1890" s="4"/>
      <c r="HZ1890" s="4"/>
      <c r="IU1890" s="4"/>
      <c r="JM1890" s="4"/>
    </row>
    <row r="1891" spans="24:273" ht="12" customHeight="1">
      <c r="X1891" s="4"/>
      <c r="AH1891" s="4"/>
      <c r="EA1891" s="4"/>
      <c r="FX1891" s="4"/>
      <c r="HL1891" s="4"/>
      <c r="HZ1891" s="4"/>
      <c r="IU1891" s="4"/>
      <c r="JM1891" s="4"/>
    </row>
    <row r="1892" spans="24:273" ht="12" customHeight="1">
      <c r="X1892" s="4"/>
      <c r="AH1892" s="4"/>
      <c r="EA1892" s="4"/>
      <c r="FX1892" s="4"/>
      <c r="HL1892" s="4"/>
      <c r="HZ1892" s="4"/>
      <c r="IU1892" s="4"/>
      <c r="JM1892" s="4"/>
    </row>
    <row r="1893" spans="24:273" ht="12" customHeight="1">
      <c r="X1893" s="4"/>
      <c r="AH1893" s="4"/>
      <c r="EA1893" s="4"/>
      <c r="FX1893" s="4"/>
      <c r="HL1893" s="4"/>
      <c r="HZ1893" s="4"/>
      <c r="IU1893" s="4"/>
      <c r="JM1893" s="4"/>
    </row>
    <row r="1894" spans="24:273" ht="12" customHeight="1">
      <c r="X1894" s="4"/>
      <c r="AH1894" s="4"/>
      <c r="EA1894" s="4"/>
      <c r="FX1894" s="4"/>
      <c r="HL1894" s="4"/>
      <c r="HZ1894" s="4"/>
      <c r="IU1894" s="4"/>
      <c r="JM1894" s="4"/>
    </row>
    <row r="1895" spans="24:273" ht="12" customHeight="1">
      <c r="X1895" s="4"/>
      <c r="AH1895" s="4"/>
      <c r="EA1895" s="4"/>
      <c r="FX1895" s="4"/>
      <c r="HL1895" s="4"/>
      <c r="HZ1895" s="4"/>
      <c r="IU1895" s="4"/>
      <c r="JM1895" s="4"/>
    </row>
    <row r="1896" spans="24:273" ht="12" customHeight="1">
      <c r="X1896" s="4"/>
      <c r="AH1896" s="4"/>
      <c r="EA1896" s="4"/>
      <c r="FX1896" s="4"/>
      <c r="HL1896" s="4"/>
      <c r="HZ1896" s="4"/>
      <c r="IU1896" s="4"/>
      <c r="JM1896" s="4"/>
    </row>
    <row r="1897" spans="24:273" ht="12" customHeight="1">
      <c r="X1897" s="4"/>
      <c r="AH1897" s="4"/>
      <c r="EA1897" s="4"/>
      <c r="FX1897" s="4"/>
      <c r="HL1897" s="4"/>
      <c r="HZ1897" s="4"/>
      <c r="IU1897" s="4"/>
      <c r="JM1897" s="4"/>
    </row>
    <row r="1898" spans="24:273" ht="12" customHeight="1">
      <c r="X1898" s="4"/>
      <c r="AH1898" s="4"/>
      <c r="EA1898" s="4"/>
      <c r="FX1898" s="4"/>
      <c r="HL1898" s="4"/>
      <c r="HZ1898" s="4"/>
      <c r="IU1898" s="4"/>
      <c r="JM1898" s="4"/>
    </row>
    <row r="1899" spans="24:273" ht="12" customHeight="1">
      <c r="X1899" s="4"/>
      <c r="AH1899" s="4"/>
      <c r="EA1899" s="4"/>
      <c r="FX1899" s="4"/>
      <c r="HL1899" s="4"/>
      <c r="HZ1899" s="4"/>
      <c r="IU1899" s="4"/>
      <c r="JM1899" s="4"/>
    </row>
    <row r="1900" spans="24:273" ht="12" customHeight="1">
      <c r="X1900" s="4"/>
      <c r="AH1900" s="4"/>
      <c r="EA1900" s="4"/>
      <c r="FX1900" s="4"/>
      <c r="HL1900" s="4"/>
      <c r="HZ1900" s="4"/>
      <c r="IU1900" s="4"/>
      <c r="JM1900" s="4"/>
    </row>
    <row r="1901" spans="24:273" ht="12" customHeight="1">
      <c r="X1901" s="4"/>
      <c r="AH1901" s="4"/>
      <c r="EA1901" s="4"/>
      <c r="FX1901" s="4"/>
      <c r="HL1901" s="4"/>
      <c r="HZ1901" s="4"/>
      <c r="IU1901" s="4"/>
      <c r="JM1901" s="4"/>
    </row>
    <row r="1902" spans="24:273" ht="12" customHeight="1">
      <c r="X1902" s="4"/>
      <c r="AH1902" s="4"/>
      <c r="EA1902" s="4"/>
      <c r="FX1902" s="4"/>
      <c r="HL1902" s="4"/>
      <c r="HZ1902" s="4"/>
      <c r="IU1902" s="4"/>
      <c r="JM1902" s="4"/>
    </row>
    <row r="1903" spans="24:273" ht="12" customHeight="1">
      <c r="X1903" s="4"/>
      <c r="AH1903" s="4"/>
      <c r="EA1903" s="4"/>
      <c r="FX1903" s="4"/>
      <c r="HL1903" s="4"/>
      <c r="HZ1903" s="4"/>
      <c r="IU1903" s="4"/>
      <c r="JM1903" s="4"/>
    </row>
    <row r="1904" spans="24:273" ht="12" customHeight="1">
      <c r="X1904" s="4"/>
      <c r="AH1904" s="4"/>
      <c r="EA1904" s="4"/>
      <c r="FX1904" s="4"/>
      <c r="HL1904" s="4"/>
      <c r="HZ1904" s="4"/>
      <c r="IU1904" s="4"/>
      <c r="JM1904" s="4"/>
    </row>
    <row r="1905" spans="24:273" ht="12" customHeight="1">
      <c r="X1905" s="4"/>
      <c r="AH1905" s="4"/>
      <c r="EA1905" s="4"/>
      <c r="FX1905" s="4"/>
      <c r="HL1905" s="4"/>
      <c r="HZ1905" s="4"/>
      <c r="IU1905" s="4"/>
      <c r="JM1905" s="4"/>
    </row>
    <row r="1906" spans="24:273" ht="12" customHeight="1">
      <c r="X1906" s="4"/>
      <c r="AH1906" s="4"/>
      <c r="EA1906" s="4"/>
      <c r="FX1906" s="4"/>
      <c r="HL1906" s="4"/>
      <c r="HZ1906" s="4"/>
      <c r="IU1906" s="4"/>
      <c r="JM1906" s="4"/>
    </row>
    <row r="1907" spans="24:273" ht="12" customHeight="1">
      <c r="X1907" s="4"/>
      <c r="AH1907" s="4"/>
      <c r="EA1907" s="4"/>
      <c r="FX1907" s="4"/>
      <c r="HL1907" s="4"/>
      <c r="HZ1907" s="4"/>
      <c r="IU1907" s="4"/>
      <c r="JM1907" s="4"/>
    </row>
    <row r="1908" spans="24:273" ht="12" customHeight="1">
      <c r="X1908" s="4"/>
      <c r="AH1908" s="4"/>
      <c r="EA1908" s="4"/>
      <c r="FX1908" s="4"/>
      <c r="HL1908" s="4"/>
      <c r="HZ1908" s="4"/>
      <c r="IU1908" s="4"/>
      <c r="JM1908" s="4"/>
    </row>
    <row r="1909" spans="24:273" ht="12" customHeight="1">
      <c r="X1909" s="4"/>
      <c r="AH1909" s="4"/>
      <c r="EA1909" s="4"/>
      <c r="FX1909" s="4"/>
      <c r="HL1909" s="4"/>
      <c r="HZ1909" s="4"/>
      <c r="IU1909" s="4"/>
      <c r="JM1909" s="4"/>
    </row>
    <row r="1910" spans="24:273" ht="12" customHeight="1">
      <c r="X1910" s="4"/>
      <c r="AH1910" s="4"/>
      <c r="EA1910" s="4"/>
      <c r="FX1910" s="4"/>
      <c r="HL1910" s="4"/>
      <c r="HZ1910" s="4"/>
      <c r="IU1910" s="4"/>
      <c r="JM1910" s="4"/>
    </row>
    <row r="1911" spans="24:273" ht="12" customHeight="1">
      <c r="X1911" s="4"/>
      <c r="AH1911" s="4"/>
      <c r="EA1911" s="4"/>
      <c r="FX1911" s="4"/>
      <c r="HL1911" s="4"/>
      <c r="HZ1911" s="4"/>
      <c r="IU1911" s="4"/>
      <c r="JM1911" s="4"/>
    </row>
    <row r="1912" spans="24:273" ht="12" customHeight="1">
      <c r="X1912" s="4"/>
      <c r="AH1912" s="4"/>
      <c r="EA1912" s="4"/>
      <c r="FX1912" s="4"/>
      <c r="HL1912" s="4"/>
      <c r="HZ1912" s="4"/>
      <c r="IU1912" s="4"/>
      <c r="JM1912" s="4"/>
    </row>
    <row r="1913" spans="24:273" ht="12" customHeight="1">
      <c r="X1913" s="4"/>
      <c r="AH1913" s="4"/>
      <c r="EA1913" s="4"/>
      <c r="FX1913" s="4"/>
      <c r="HL1913" s="4"/>
      <c r="HZ1913" s="4"/>
      <c r="IU1913" s="4"/>
      <c r="JM1913" s="4"/>
    </row>
    <row r="1914" spans="24:273" ht="12" customHeight="1">
      <c r="X1914" s="4"/>
      <c r="AH1914" s="4"/>
      <c r="EA1914" s="4"/>
      <c r="FX1914" s="4"/>
      <c r="HL1914" s="4"/>
      <c r="HZ1914" s="4"/>
      <c r="IU1914" s="4"/>
      <c r="JM1914" s="4"/>
    </row>
    <row r="1915" spans="24:273" ht="12" customHeight="1">
      <c r="X1915" s="4"/>
      <c r="AH1915" s="4"/>
      <c r="EA1915" s="4"/>
      <c r="FX1915" s="4"/>
      <c r="HL1915" s="4"/>
      <c r="HZ1915" s="4"/>
      <c r="IU1915" s="4"/>
      <c r="JM1915" s="4"/>
    </row>
    <row r="1916" spans="24:273" ht="12" customHeight="1">
      <c r="X1916" s="4"/>
      <c r="AH1916" s="4"/>
      <c r="EA1916" s="4"/>
      <c r="FX1916" s="4"/>
      <c r="HL1916" s="4"/>
      <c r="HZ1916" s="4"/>
      <c r="IU1916" s="4"/>
      <c r="JM1916" s="4"/>
    </row>
    <row r="1917" spans="24:273" ht="12" customHeight="1">
      <c r="X1917" s="4"/>
      <c r="AH1917" s="4"/>
      <c r="EA1917" s="4"/>
      <c r="FX1917" s="4"/>
      <c r="HL1917" s="4"/>
      <c r="HZ1917" s="4"/>
      <c r="IU1917" s="4"/>
      <c r="JM1917" s="4"/>
    </row>
    <row r="1918" spans="24:273" ht="12" customHeight="1">
      <c r="X1918" s="4"/>
      <c r="AH1918" s="4"/>
      <c r="EA1918" s="4"/>
      <c r="FX1918" s="4"/>
      <c r="HL1918" s="4"/>
      <c r="HZ1918" s="4"/>
      <c r="IU1918" s="4"/>
      <c r="JM1918" s="4"/>
    </row>
    <row r="1919" spans="24:273" ht="12" customHeight="1">
      <c r="X1919" s="4"/>
      <c r="AH1919" s="4"/>
      <c r="EA1919" s="4"/>
      <c r="FX1919" s="4"/>
      <c r="HL1919" s="4"/>
      <c r="HZ1919" s="4"/>
      <c r="IU1919" s="4"/>
      <c r="JM1919" s="4"/>
    </row>
    <row r="1920" spans="24:273" ht="12" customHeight="1">
      <c r="X1920" s="4"/>
      <c r="AH1920" s="4"/>
      <c r="EA1920" s="4"/>
      <c r="FX1920" s="4"/>
      <c r="HL1920" s="4"/>
      <c r="HZ1920" s="4"/>
      <c r="IU1920" s="4"/>
      <c r="JM1920" s="4"/>
    </row>
    <row r="1921" spans="24:273" ht="12" customHeight="1">
      <c r="X1921" s="4"/>
      <c r="AH1921" s="4"/>
      <c r="EA1921" s="4"/>
      <c r="FX1921" s="4"/>
      <c r="HL1921" s="4"/>
      <c r="HZ1921" s="4"/>
      <c r="IU1921" s="4"/>
      <c r="JM1921" s="4"/>
    </row>
    <row r="1922" spans="24:273" ht="12" customHeight="1">
      <c r="X1922" s="4"/>
      <c r="AH1922" s="4"/>
      <c r="EA1922" s="4"/>
      <c r="FX1922" s="4"/>
      <c r="HL1922" s="4"/>
      <c r="HZ1922" s="4"/>
      <c r="IU1922" s="4"/>
      <c r="JM1922" s="4"/>
    </row>
    <row r="1923" spans="24:273" ht="12" customHeight="1">
      <c r="X1923" s="4"/>
      <c r="AH1923" s="4"/>
      <c r="EA1923" s="4"/>
      <c r="FX1923" s="4"/>
      <c r="HL1923" s="4"/>
      <c r="HZ1923" s="4"/>
      <c r="IU1923" s="4"/>
      <c r="JM1923" s="4"/>
    </row>
    <row r="1924" spans="24:273" ht="12" customHeight="1">
      <c r="X1924" s="4"/>
      <c r="AH1924" s="4"/>
      <c r="EA1924" s="4"/>
      <c r="FX1924" s="4"/>
      <c r="HL1924" s="4"/>
      <c r="HZ1924" s="4"/>
      <c r="IU1924" s="4"/>
      <c r="JM1924" s="4"/>
    </row>
    <row r="1925" spans="24:273" ht="12" customHeight="1">
      <c r="X1925" s="4"/>
      <c r="AH1925" s="4"/>
      <c r="EA1925" s="4"/>
      <c r="FX1925" s="4"/>
      <c r="HL1925" s="4"/>
      <c r="HZ1925" s="4"/>
      <c r="IU1925" s="4"/>
      <c r="JM1925" s="4"/>
    </row>
    <row r="1926" spans="24:273" ht="12" customHeight="1">
      <c r="X1926" s="4"/>
      <c r="AH1926" s="4"/>
      <c r="EA1926" s="4"/>
      <c r="FX1926" s="4"/>
      <c r="HL1926" s="4"/>
      <c r="HZ1926" s="4"/>
      <c r="IU1926" s="4"/>
      <c r="JM1926" s="4"/>
    </row>
    <row r="1927" spans="24:273" ht="12" customHeight="1">
      <c r="X1927" s="4"/>
      <c r="AH1927" s="4"/>
      <c r="EA1927" s="4"/>
      <c r="FX1927" s="4"/>
      <c r="HL1927" s="4"/>
      <c r="HZ1927" s="4"/>
      <c r="IU1927" s="4"/>
      <c r="JM1927" s="4"/>
    </row>
    <row r="1928" spans="24:273" ht="12" customHeight="1">
      <c r="X1928" s="4"/>
      <c r="AH1928" s="4"/>
      <c r="EA1928" s="4"/>
      <c r="FX1928" s="4"/>
      <c r="HL1928" s="4"/>
      <c r="HZ1928" s="4"/>
      <c r="IU1928" s="4"/>
      <c r="JM1928" s="4"/>
    </row>
    <row r="1929" spans="24:273" ht="12" customHeight="1">
      <c r="X1929" s="4"/>
      <c r="AH1929" s="4"/>
      <c r="EA1929" s="4"/>
      <c r="FX1929" s="4"/>
      <c r="HL1929" s="4"/>
      <c r="HZ1929" s="4"/>
      <c r="IU1929" s="4"/>
      <c r="JM1929" s="4"/>
    </row>
    <row r="1930" spans="24:273" ht="12" customHeight="1">
      <c r="X1930" s="4"/>
      <c r="AH1930" s="4"/>
      <c r="EA1930" s="4"/>
      <c r="FX1930" s="4"/>
      <c r="HL1930" s="4"/>
      <c r="HZ1930" s="4"/>
      <c r="IU1930" s="4"/>
      <c r="JM1930" s="4"/>
    </row>
    <row r="1931" spans="24:273" ht="12" customHeight="1">
      <c r="X1931" s="4"/>
      <c r="AH1931" s="4"/>
      <c r="EA1931" s="4"/>
      <c r="FX1931" s="4"/>
      <c r="HL1931" s="4"/>
      <c r="HZ1931" s="4"/>
      <c r="IU1931" s="4"/>
      <c r="JM1931" s="4"/>
    </row>
    <row r="1932" spans="24:273" ht="12" customHeight="1">
      <c r="X1932" s="4"/>
      <c r="AH1932" s="4"/>
      <c r="EA1932" s="4"/>
      <c r="FX1932" s="4"/>
      <c r="HL1932" s="4"/>
      <c r="HZ1932" s="4"/>
      <c r="IU1932" s="4"/>
      <c r="JM1932" s="4"/>
    </row>
    <row r="1933" spans="24:273" ht="12" customHeight="1">
      <c r="X1933" s="4"/>
      <c r="AH1933" s="4"/>
      <c r="EA1933" s="4"/>
      <c r="FX1933" s="4"/>
      <c r="HL1933" s="4"/>
      <c r="HZ1933" s="4"/>
      <c r="IU1933" s="4"/>
      <c r="JM1933" s="4"/>
    </row>
    <row r="1934" spans="24:273" ht="12" customHeight="1">
      <c r="X1934" s="4"/>
      <c r="AH1934" s="4"/>
      <c r="EA1934" s="4"/>
      <c r="FX1934" s="4"/>
      <c r="HL1934" s="4"/>
      <c r="HZ1934" s="4"/>
      <c r="IU1934" s="4"/>
      <c r="JM1934" s="4"/>
    </row>
    <row r="1935" spans="24:273" ht="12" customHeight="1">
      <c r="X1935" s="4"/>
      <c r="AH1935" s="4"/>
      <c r="EA1935" s="4"/>
      <c r="FX1935" s="4"/>
      <c r="HL1935" s="4"/>
      <c r="HZ1935" s="4"/>
      <c r="IU1935" s="4"/>
      <c r="JM1935" s="4"/>
    </row>
    <row r="1936" spans="24:273" ht="12" customHeight="1">
      <c r="X1936" s="4"/>
      <c r="AH1936" s="4"/>
      <c r="EA1936" s="4"/>
      <c r="FX1936" s="4"/>
      <c r="HL1936" s="4"/>
      <c r="HZ1936" s="4"/>
      <c r="IU1936" s="4"/>
      <c r="JM1936" s="4"/>
    </row>
    <row r="1937" spans="24:273" ht="12" customHeight="1">
      <c r="X1937" s="4"/>
      <c r="AH1937" s="4"/>
      <c r="EA1937" s="4"/>
      <c r="FX1937" s="4"/>
      <c r="HL1937" s="4"/>
      <c r="HZ1937" s="4"/>
      <c r="IU1937" s="4"/>
      <c r="JM1937" s="4"/>
    </row>
    <row r="1938" spans="24:273" ht="12" customHeight="1">
      <c r="X1938" s="4"/>
      <c r="AH1938" s="4"/>
      <c r="EA1938" s="4"/>
      <c r="FX1938" s="4"/>
      <c r="HL1938" s="4"/>
      <c r="HZ1938" s="4"/>
      <c r="IU1938" s="4"/>
      <c r="JM1938" s="4"/>
    </row>
    <row r="1939" spans="24:273" ht="12" customHeight="1">
      <c r="X1939" s="4"/>
      <c r="AH1939" s="4"/>
      <c r="EA1939" s="4"/>
      <c r="FX1939" s="4"/>
      <c r="HL1939" s="4"/>
      <c r="HZ1939" s="4"/>
      <c r="IU1939" s="4"/>
      <c r="JM1939" s="4"/>
    </row>
    <row r="1940" spans="24:273" ht="12" customHeight="1">
      <c r="X1940" s="4"/>
      <c r="AH1940" s="4"/>
      <c r="EA1940" s="4"/>
      <c r="FX1940" s="4"/>
      <c r="HL1940" s="4"/>
      <c r="HZ1940" s="4"/>
      <c r="IU1940" s="4"/>
      <c r="JM1940" s="4"/>
    </row>
    <row r="1941" spans="24:273" ht="12" customHeight="1">
      <c r="X1941" s="4"/>
      <c r="AH1941" s="4"/>
      <c r="EA1941" s="4"/>
      <c r="FX1941" s="4"/>
      <c r="HL1941" s="4"/>
      <c r="HZ1941" s="4"/>
      <c r="IU1941" s="4"/>
      <c r="JM1941" s="4"/>
    </row>
    <row r="1942" spans="24:273" ht="12" customHeight="1">
      <c r="X1942" s="4"/>
      <c r="AH1942" s="4"/>
      <c r="EA1942" s="4"/>
      <c r="FX1942" s="4"/>
      <c r="HL1942" s="4"/>
      <c r="HZ1942" s="4"/>
      <c r="IU1942" s="4"/>
      <c r="JM1942" s="4"/>
    </row>
    <row r="1943" spans="24:273" ht="12" customHeight="1">
      <c r="X1943" s="4"/>
      <c r="AH1943" s="4"/>
      <c r="EA1943" s="4"/>
      <c r="FX1943" s="4"/>
      <c r="HL1943" s="4"/>
      <c r="HZ1943" s="4"/>
      <c r="IU1943" s="4"/>
      <c r="JM1943" s="4"/>
    </row>
    <row r="1944" spans="24:273" ht="12" customHeight="1">
      <c r="X1944" s="4"/>
      <c r="AH1944" s="4"/>
      <c r="EA1944" s="4"/>
      <c r="FX1944" s="4"/>
      <c r="HL1944" s="4"/>
      <c r="HZ1944" s="4"/>
      <c r="IU1944" s="4"/>
      <c r="JM1944" s="4"/>
    </row>
    <row r="1945" spans="24:273" ht="12" customHeight="1">
      <c r="X1945" s="4"/>
      <c r="AH1945" s="4"/>
      <c r="EA1945" s="4"/>
      <c r="FX1945" s="4"/>
      <c r="HL1945" s="4"/>
      <c r="HZ1945" s="4"/>
      <c r="IU1945" s="4"/>
      <c r="JM1945" s="4"/>
    </row>
    <row r="1946" spans="24:273" ht="12" customHeight="1">
      <c r="X1946" s="4"/>
      <c r="AH1946" s="4"/>
      <c r="EA1946" s="4"/>
      <c r="FX1946" s="4"/>
      <c r="HL1946" s="4"/>
      <c r="HZ1946" s="4"/>
      <c r="IU1946" s="4"/>
      <c r="JM1946" s="4"/>
    </row>
    <row r="1947" spans="24:273" ht="12" customHeight="1">
      <c r="X1947" s="4"/>
      <c r="AH1947" s="4"/>
      <c r="EA1947" s="4"/>
      <c r="FX1947" s="4"/>
      <c r="HL1947" s="4"/>
      <c r="HZ1947" s="4"/>
      <c r="IU1947" s="4"/>
      <c r="JM1947" s="4"/>
    </row>
    <row r="1948" spans="24:273" ht="12" customHeight="1">
      <c r="X1948" s="4"/>
      <c r="AH1948" s="4"/>
      <c r="EA1948" s="4"/>
      <c r="FX1948" s="4"/>
      <c r="HL1948" s="4"/>
      <c r="HZ1948" s="4"/>
      <c r="IU1948" s="4"/>
      <c r="JM1948" s="4"/>
    </row>
    <row r="1949" spans="24:273" ht="12" customHeight="1">
      <c r="X1949" s="4"/>
      <c r="AH1949" s="4"/>
      <c r="EA1949" s="4"/>
      <c r="FX1949" s="4"/>
      <c r="HL1949" s="4"/>
      <c r="HZ1949" s="4"/>
      <c r="IU1949" s="4"/>
      <c r="JM1949" s="4"/>
    </row>
    <row r="1950" spans="24:273" ht="12" customHeight="1">
      <c r="X1950" s="4"/>
      <c r="AH1950" s="4"/>
      <c r="EA1950" s="4"/>
      <c r="FX1950" s="4"/>
      <c r="HL1950" s="4"/>
      <c r="HZ1950" s="4"/>
      <c r="IU1950" s="4"/>
      <c r="JM1950" s="4"/>
    </row>
    <row r="1951" spans="24:273" ht="12" customHeight="1">
      <c r="X1951" s="4"/>
      <c r="AH1951" s="4"/>
      <c r="EA1951" s="4"/>
      <c r="FX1951" s="4"/>
      <c r="HL1951" s="4"/>
      <c r="HZ1951" s="4"/>
      <c r="IU1951" s="4"/>
      <c r="JM1951" s="4"/>
    </row>
    <row r="1952" spans="24:273" ht="12" customHeight="1">
      <c r="X1952" s="4"/>
      <c r="AH1952" s="4"/>
      <c r="EA1952" s="4"/>
      <c r="FX1952" s="4"/>
      <c r="HL1952" s="4"/>
      <c r="HZ1952" s="4"/>
      <c r="IU1952" s="4"/>
      <c r="JM1952" s="4"/>
    </row>
    <row r="1953" spans="24:273" ht="12" customHeight="1">
      <c r="X1953" s="4"/>
      <c r="AH1953" s="4"/>
      <c r="EA1953" s="4"/>
      <c r="FX1953" s="4"/>
      <c r="HL1953" s="4"/>
      <c r="HZ1953" s="4"/>
      <c r="IU1953" s="4"/>
      <c r="JM1953" s="4"/>
    </row>
    <row r="1954" spans="24:273" ht="12" customHeight="1">
      <c r="X1954" s="4"/>
      <c r="AH1954" s="4"/>
      <c r="EA1954" s="4"/>
      <c r="FX1954" s="4"/>
      <c r="HL1954" s="4"/>
      <c r="HZ1954" s="4"/>
      <c r="IU1954" s="4"/>
      <c r="JM1954" s="4"/>
    </row>
    <row r="1955" spans="24:273" ht="12" customHeight="1">
      <c r="X1955" s="4"/>
      <c r="AH1955" s="4"/>
      <c r="EA1955" s="4"/>
      <c r="FX1955" s="4"/>
      <c r="HL1955" s="4"/>
      <c r="HZ1955" s="4"/>
      <c r="IU1955" s="4"/>
      <c r="JM1955" s="4"/>
    </row>
    <row r="1956" spans="24:273" ht="12" customHeight="1">
      <c r="X1956" s="4"/>
      <c r="AH1956" s="4"/>
      <c r="EA1956" s="4"/>
      <c r="FX1956" s="4"/>
      <c r="HL1956" s="4"/>
      <c r="HZ1956" s="4"/>
      <c r="IU1956" s="4"/>
      <c r="JM1956" s="4"/>
    </row>
    <row r="1957" spans="24:273" ht="12" customHeight="1">
      <c r="X1957" s="4"/>
      <c r="AH1957" s="4"/>
      <c r="EA1957" s="4"/>
      <c r="FX1957" s="4"/>
      <c r="HL1957" s="4"/>
      <c r="HZ1957" s="4"/>
      <c r="IU1957" s="4"/>
      <c r="JM1957" s="4"/>
    </row>
    <row r="1958" spans="24:273" ht="12" customHeight="1">
      <c r="X1958" s="4"/>
      <c r="AH1958" s="4"/>
      <c r="EA1958" s="4"/>
      <c r="FX1958" s="4"/>
      <c r="HL1958" s="4"/>
      <c r="HZ1958" s="4"/>
      <c r="IU1958" s="4"/>
      <c r="JM1958" s="4"/>
    </row>
    <row r="1959" spans="24:273" ht="12" customHeight="1">
      <c r="X1959" s="4"/>
      <c r="AH1959" s="4"/>
      <c r="EA1959" s="4"/>
      <c r="FX1959" s="4"/>
      <c r="HL1959" s="4"/>
      <c r="HZ1959" s="4"/>
      <c r="IU1959" s="4"/>
      <c r="JM1959" s="4"/>
    </row>
    <row r="1960" spans="24:273" ht="12" customHeight="1">
      <c r="X1960" s="4"/>
      <c r="AH1960" s="4"/>
      <c r="EA1960" s="4"/>
      <c r="FX1960" s="4"/>
      <c r="HL1960" s="4"/>
      <c r="HZ1960" s="4"/>
      <c r="IU1960" s="4"/>
      <c r="JM1960" s="4"/>
    </row>
    <row r="1961" spans="24:273" ht="12" customHeight="1">
      <c r="X1961" s="4"/>
      <c r="AH1961" s="4"/>
      <c r="EA1961" s="4"/>
      <c r="FX1961" s="4"/>
      <c r="HL1961" s="4"/>
      <c r="HZ1961" s="4"/>
      <c r="IU1961" s="4"/>
      <c r="JM1961" s="4"/>
    </row>
    <row r="1962" spans="24:273" ht="12" customHeight="1">
      <c r="X1962" s="4"/>
      <c r="AH1962" s="4"/>
      <c r="EA1962" s="4"/>
      <c r="FX1962" s="4"/>
      <c r="HL1962" s="4"/>
      <c r="HZ1962" s="4"/>
      <c r="IU1962" s="4"/>
      <c r="JM1962" s="4"/>
    </row>
    <row r="1963" spans="24:273" ht="12" customHeight="1">
      <c r="X1963" s="4"/>
      <c r="AH1963" s="4"/>
      <c r="EA1963" s="4"/>
      <c r="FX1963" s="4"/>
      <c r="HL1963" s="4"/>
      <c r="HZ1963" s="4"/>
      <c r="IU1963" s="4"/>
      <c r="JM1963" s="4"/>
    </row>
    <row r="1964" spans="24:273" ht="12" customHeight="1">
      <c r="X1964" s="4"/>
      <c r="AH1964" s="4"/>
      <c r="EA1964" s="4"/>
      <c r="FX1964" s="4"/>
      <c r="HL1964" s="4"/>
      <c r="HZ1964" s="4"/>
      <c r="IU1964" s="4"/>
      <c r="JM1964" s="4"/>
    </row>
    <row r="1965" spans="24:273" ht="12" customHeight="1">
      <c r="X1965" s="4"/>
      <c r="AH1965" s="4"/>
      <c r="EA1965" s="4"/>
      <c r="FX1965" s="4"/>
      <c r="HL1965" s="4"/>
      <c r="HZ1965" s="4"/>
      <c r="IU1965" s="4"/>
      <c r="JM1965" s="4"/>
    </row>
    <row r="1966" spans="24:273" ht="12" customHeight="1">
      <c r="X1966" s="4"/>
      <c r="AH1966" s="4"/>
      <c r="EA1966" s="4"/>
      <c r="FX1966" s="4"/>
      <c r="HL1966" s="4"/>
      <c r="HZ1966" s="4"/>
      <c r="IU1966" s="4"/>
      <c r="JM1966" s="4"/>
    </row>
    <row r="1967" spans="24:273" ht="12" customHeight="1">
      <c r="X1967" s="4"/>
      <c r="AH1967" s="4"/>
      <c r="EA1967" s="4"/>
      <c r="FX1967" s="4"/>
      <c r="HL1967" s="4"/>
      <c r="HZ1967" s="4"/>
      <c r="IU1967" s="4"/>
      <c r="JM1967" s="4"/>
    </row>
    <row r="1968" spans="24:273" ht="12" customHeight="1">
      <c r="X1968" s="4"/>
      <c r="AH1968" s="4"/>
      <c r="EA1968" s="4"/>
      <c r="FX1968" s="4"/>
      <c r="HL1968" s="4"/>
      <c r="HZ1968" s="4"/>
      <c r="IU1968" s="4"/>
      <c r="JM1968" s="4"/>
    </row>
    <row r="1969" spans="24:273" ht="12" customHeight="1">
      <c r="X1969" s="4"/>
      <c r="AH1969" s="4"/>
      <c r="EA1969" s="4"/>
      <c r="FX1969" s="4"/>
      <c r="HL1969" s="4"/>
      <c r="HZ1969" s="4"/>
      <c r="IU1969" s="4"/>
      <c r="JM1969" s="4"/>
    </row>
    <row r="1970" spans="24:273" ht="12" customHeight="1">
      <c r="X1970" s="4"/>
      <c r="AH1970" s="4"/>
      <c r="EA1970" s="4"/>
      <c r="FX1970" s="4"/>
      <c r="HL1970" s="4"/>
      <c r="HZ1970" s="4"/>
      <c r="IU1970" s="4"/>
      <c r="JM1970" s="4"/>
    </row>
    <row r="1971" spans="24:273" ht="12" customHeight="1">
      <c r="X1971" s="4"/>
      <c r="AH1971" s="4"/>
      <c r="EA1971" s="4"/>
      <c r="FX1971" s="4"/>
      <c r="HL1971" s="4"/>
      <c r="HZ1971" s="4"/>
      <c r="IU1971" s="4"/>
      <c r="JM1971" s="4"/>
    </row>
    <row r="1972" spans="24:273" ht="12" customHeight="1">
      <c r="X1972" s="4"/>
      <c r="AH1972" s="4"/>
      <c r="EA1972" s="4"/>
      <c r="FX1972" s="4"/>
      <c r="HL1972" s="4"/>
      <c r="HZ1972" s="4"/>
      <c r="IU1972" s="4"/>
      <c r="JM1972" s="4"/>
    </row>
    <row r="1973" spans="24:273" ht="12" customHeight="1">
      <c r="X1973" s="4"/>
      <c r="AH1973" s="4"/>
      <c r="EA1973" s="4"/>
      <c r="FX1973" s="4"/>
      <c r="HL1973" s="4"/>
      <c r="HZ1973" s="4"/>
      <c r="IU1973" s="4"/>
      <c r="JM1973" s="4"/>
    </row>
    <row r="1974" spans="24:273" ht="12" customHeight="1">
      <c r="X1974" s="4"/>
      <c r="AH1974" s="4"/>
      <c r="EA1974" s="4"/>
      <c r="FX1974" s="4"/>
      <c r="HL1974" s="4"/>
      <c r="HZ1974" s="4"/>
      <c r="IU1974" s="4"/>
      <c r="JM1974" s="4"/>
    </row>
    <row r="1975" spans="24:273" ht="12" customHeight="1">
      <c r="X1975" s="4"/>
      <c r="AH1975" s="4"/>
      <c r="EA1975" s="4"/>
      <c r="FX1975" s="4"/>
      <c r="HL1975" s="4"/>
      <c r="HZ1975" s="4"/>
      <c r="IU1975" s="4"/>
      <c r="JM1975" s="4"/>
    </row>
    <row r="1976" spans="24:273" ht="12" customHeight="1">
      <c r="X1976" s="4"/>
      <c r="AH1976" s="4"/>
      <c r="EA1976" s="4"/>
      <c r="FX1976" s="4"/>
      <c r="HL1976" s="4"/>
      <c r="HZ1976" s="4"/>
      <c r="IU1976" s="4"/>
      <c r="JM1976" s="4"/>
    </row>
    <row r="1977" spans="24:273" ht="12" customHeight="1">
      <c r="X1977" s="4"/>
      <c r="AH1977" s="4"/>
      <c r="EA1977" s="4"/>
      <c r="FX1977" s="4"/>
      <c r="HL1977" s="4"/>
      <c r="HZ1977" s="4"/>
      <c r="IU1977" s="4"/>
      <c r="JM1977" s="4"/>
    </row>
    <row r="1978" spans="24:273" ht="12" customHeight="1">
      <c r="X1978" s="4"/>
      <c r="AH1978" s="4"/>
      <c r="EA1978" s="4"/>
      <c r="FX1978" s="4"/>
      <c r="HL1978" s="4"/>
      <c r="HZ1978" s="4"/>
      <c r="IU1978" s="4"/>
      <c r="JM1978" s="4"/>
    </row>
    <row r="1979" spans="24:273" ht="12" customHeight="1">
      <c r="X1979" s="4"/>
      <c r="AH1979" s="4"/>
      <c r="EA1979" s="4"/>
      <c r="FX1979" s="4"/>
      <c r="HL1979" s="4"/>
      <c r="HZ1979" s="4"/>
      <c r="IU1979" s="4"/>
      <c r="JM1979" s="4"/>
    </row>
    <row r="1980" spans="24:273" ht="12" customHeight="1">
      <c r="X1980" s="4"/>
      <c r="AH1980" s="4"/>
      <c r="EA1980" s="4"/>
      <c r="FX1980" s="4"/>
      <c r="HL1980" s="4"/>
      <c r="HZ1980" s="4"/>
      <c r="IU1980" s="4"/>
      <c r="JM1980" s="4"/>
    </row>
    <row r="1981" spans="24:273" ht="12" customHeight="1">
      <c r="X1981" s="4"/>
      <c r="AH1981" s="4"/>
      <c r="EA1981" s="4"/>
      <c r="FX1981" s="4"/>
      <c r="HL1981" s="4"/>
      <c r="HZ1981" s="4"/>
      <c r="IU1981" s="4"/>
      <c r="JM1981" s="4"/>
    </row>
    <row r="1982" spans="24:273" ht="12" customHeight="1">
      <c r="X1982" s="4"/>
      <c r="AH1982" s="4"/>
      <c r="EA1982" s="4"/>
      <c r="FX1982" s="4"/>
      <c r="HL1982" s="4"/>
      <c r="HZ1982" s="4"/>
      <c r="IU1982" s="4"/>
      <c r="JM1982" s="4"/>
    </row>
    <row r="1983" spans="24:273" ht="12" customHeight="1">
      <c r="X1983" s="4"/>
      <c r="AH1983" s="4"/>
      <c r="EA1983" s="4"/>
      <c r="FX1983" s="4"/>
      <c r="HL1983" s="4"/>
      <c r="HZ1983" s="4"/>
      <c r="IU1983" s="4"/>
      <c r="JM1983" s="4"/>
    </row>
    <row r="1984" spans="24:273" ht="12" customHeight="1">
      <c r="X1984" s="4"/>
      <c r="AH1984" s="4"/>
      <c r="EA1984" s="4"/>
      <c r="FX1984" s="4"/>
      <c r="HL1984" s="4"/>
      <c r="HZ1984" s="4"/>
      <c r="IU1984" s="4"/>
      <c r="JM1984" s="4"/>
    </row>
    <row r="1985" spans="24:273" ht="12" customHeight="1">
      <c r="X1985" s="4"/>
      <c r="AH1985" s="4"/>
      <c r="EA1985" s="4"/>
      <c r="FX1985" s="4"/>
      <c r="HL1985" s="4"/>
      <c r="HZ1985" s="4"/>
      <c r="IU1985" s="4"/>
      <c r="JM1985" s="4"/>
    </row>
    <row r="1986" spans="24:273" ht="12" customHeight="1">
      <c r="X1986" s="4"/>
      <c r="AH1986" s="4"/>
      <c r="EA1986" s="4"/>
      <c r="FX1986" s="4"/>
      <c r="HL1986" s="4"/>
      <c r="HZ1986" s="4"/>
      <c r="IU1986" s="4"/>
      <c r="JM1986" s="4"/>
    </row>
    <row r="1987" spans="24:273" ht="12" customHeight="1">
      <c r="X1987" s="4"/>
      <c r="AH1987" s="4"/>
      <c r="EA1987" s="4"/>
      <c r="FX1987" s="4"/>
      <c r="HL1987" s="4"/>
      <c r="HZ1987" s="4"/>
      <c r="IU1987" s="4"/>
      <c r="JM1987" s="4"/>
    </row>
    <row r="1988" spans="24:273" ht="12" customHeight="1">
      <c r="X1988" s="4"/>
      <c r="AH1988" s="4"/>
      <c r="EA1988" s="4"/>
      <c r="FX1988" s="4"/>
      <c r="HL1988" s="4"/>
      <c r="HZ1988" s="4"/>
      <c r="IU1988" s="4"/>
      <c r="JM1988" s="4"/>
    </row>
    <row r="1989" spans="24:273" ht="12" customHeight="1">
      <c r="X1989" s="4"/>
      <c r="AH1989" s="4"/>
      <c r="EA1989" s="4"/>
      <c r="FX1989" s="4"/>
      <c r="HL1989" s="4"/>
      <c r="HZ1989" s="4"/>
      <c r="IU1989" s="4"/>
      <c r="JM1989" s="4"/>
    </row>
    <row r="1990" spans="24:273" ht="12" customHeight="1">
      <c r="X1990" s="4"/>
      <c r="AH1990" s="4"/>
      <c r="EA1990" s="4"/>
      <c r="FX1990" s="4"/>
      <c r="HL1990" s="4"/>
      <c r="HZ1990" s="4"/>
      <c r="IU1990" s="4"/>
      <c r="JM1990" s="4"/>
    </row>
    <row r="1991" spans="24:273" ht="12" customHeight="1">
      <c r="X1991" s="4"/>
      <c r="AH1991" s="4"/>
      <c r="EA1991" s="4"/>
      <c r="FX1991" s="4"/>
      <c r="HL1991" s="4"/>
      <c r="HZ1991" s="4"/>
      <c r="IU1991" s="4"/>
      <c r="JM1991" s="4"/>
    </row>
    <row r="1992" spans="24:273" ht="12" customHeight="1">
      <c r="X1992" s="4"/>
      <c r="AH1992" s="4"/>
      <c r="EA1992" s="4"/>
      <c r="FX1992" s="4"/>
      <c r="HL1992" s="4"/>
      <c r="HZ1992" s="4"/>
      <c r="IU1992" s="4"/>
      <c r="JM1992" s="4"/>
    </row>
    <row r="1993" spans="24:273" ht="12" customHeight="1">
      <c r="X1993" s="4"/>
      <c r="AH1993" s="4"/>
      <c r="EA1993" s="4"/>
      <c r="FX1993" s="4"/>
      <c r="HL1993" s="4"/>
      <c r="HZ1993" s="4"/>
      <c r="IU1993" s="4"/>
      <c r="JM1993" s="4"/>
    </row>
    <row r="1994" spans="24:273" ht="12" customHeight="1">
      <c r="X1994" s="4"/>
      <c r="AH1994" s="4"/>
      <c r="EA1994" s="4"/>
      <c r="FX1994" s="4"/>
      <c r="HL1994" s="4"/>
      <c r="HZ1994" s="4"/>
      <c r="IU1994" s="4"/>
      <c r="JM1994" s="4"/>
    </row>
    <row r="1995" spans="24:273" ht="12" customHeight="1">
      <c r="X1995" s="4"/>
      <c r="AH1995" s="4"/>
      <c r="EA1995" s="4"/>
      <c r="FX1995" s="4"/>
      <c r="HL1995" s="4"/>
      <c r="HZ1995" s="4"/>
      <c r="IU1995" s="4"/>
      <c r="JM1995" s="4"/>
    </row>
    <row r="1996" spans="24:273" ht="12" customHeight="1">
      <c r="X1996" s="4"/>
      <c r="AH1996" s="4"/>
      <c r="EA1996" s="4"/>
      <c r="FX1996" s="4"/>
      <c r="HL1996" s="4"/>
      <c r="HZ1996" s="4"/>
      <c r="IU1996" s="4"/>
      <c r="JM1996" s="4"/>
    </row>
    <row r="1997" spans="24:273" ht="12" customHeight="1">
      <c r="X1997" s="4"/>
      <c r="AH1997" s="4"/>
      <c r="EA1997" s="4"/>
      <c r="FX1997" s="4"/>
      <c r="HL1997" s="4"/>
      <c r="HZ1997" s="4"/>
      <c r="IU1997" s="4"/>
      <c r="JM1997" s="4"/>
    </row>
    <row r="1998" spans="24:273" ht="12" customHeight="1">
      <c r="X1998" s="4"/>
      <c r="AH1998" s="4"/>
      <c r="EA1998" s="4"/>
      <c r="FX1998" s="4"/>
      <c r="HL1998" s="4"/>
      <c r="HZ1998" s="4"/>
      <c r="IU1998" s="4"/>
      <c r="JM1998" s="4"/>
    </row>
    <row r="1999" spans="24:273" ht="12" customHeight="1">
      <c r="X1999" s="4"/>
      <c r="AH1999" s="4"/>
      <c r="EA1999" s="4"/>
      <c r="FX1999" s="4"/>
      <c r="HL1999" s="4"/>
      <c r="HZ1999" s="4"/>
      <c r="IU1999" s="4"/>
      <c r="JM1999" s="4"/>
    </row>
    <row r="2000" spans="24:273" ht="12" customHeight="1">
      <c r="X2000" s="4"/>
      <c r="AH2000" s="4"/>
      <c r="EA2000" s="4"/>
      <c r="FX2000" s="4"/>
      <c r="HL2000" s="4"/>
      <c r="HZ2000" s="4"/>
      <c r="IU2000" s="4"/>
      <c r="JM2000" s="4"/>
    </row>
    <row r="2001" spans="24:273" ht="12" customHeight="1">
      <c r="X2001" s="4"/>
      <c r="AH2001" s="4"/>
      <c r="EA2001" s="4"/>
      <c r="FX2001" s="4"/>
      <c r="HL2001" s="4"/>
      <c r="HZ2001" s="4"/>
      <c r="IU2001" s="4"/>
      <c r="JM2001" s="4"/>
    </row>
    <row r="2002" spans="24:273" ht="12" customHeight="1">
      <c r="X2002" s="4"/>
      <c r="AH2002" s="4"/>
      <c r="EA2002" s="4"/>
      <c r="FX2002" s="4"/>
      <c r="HL2002" s="4"/>
      <c r="HZ2002" s="4"/>
      <c r="IU2002" s="4"/>
      <c r="JM2002" s="4"/>
    </row>
    <row r="2003" spans="24:273" ht="12" customHeight="1">
      <c r="X2003" s="4"/>
      <c r="AH2003" s="4"/>
      <c r="EA2003" s="4"/>
      <c r="FX2003" s="4"/>
      <c r="HL2003" s="4"/>
      <c r="HZ2003" s="4"/>
      <c r="IU2003" s="4"/>
      <c r="JM2003" s="4"/>
    </row>
    <row r="2004" spans="24:273" ht="12" customHeight="1">
      <c r="X2004" s="4"/>
      <c r="AH2004" s="4"/>
      <c r="EA2004" s="4"/>
      <c r="FX2004" s="4"/>
      <c r="HL2004" s="4"/>
      <c r="HZ2004" s="4"/>
      <c r="IU2004" s="4"/>
      <c r="JM2004" s="4"/>
    </row>
    <row r="2005" spans="24:273" ht="12" customHeight="1">
      <c r="X2005" s="4"/>
      <c r="AH2005" s="4"/>
      <c r="EA2005" s="4"/>
      <c r="FX2005" s="4"/>
      <c r="HL2005" s="4"/>
      <c r="HZ2005" s="4"/>
      <c r="IU2005" s="4"/>
      <c r="JM2005" s="4"/>
    </row>
    <row r="2006" spans="24:273" ht="12" customHeight="1">
      <c r="X2006" s="4"/>
      <c r="AH2006" s="4"/>
      <c r="EA2006" s="4"/>
      <c r="FX2006" s="4"/>
      <c r="HL2006" s="4"/>
      <c r="HZ2006" s="4"/>
      <c r="IU2006" s="4"/>
      <c r="JM2006" s="4"/>
    </row>
    <row r="2007" spans="24:273" ht="12" customHeight="1">
      <c r="X2007" s="4"/>
      <c r="AH2007" s="4"/>
      <c r="EA2007" s="4"/>
      <c r="FX2007" s="4"/>
      <c r="HL2007" s="4"/>
      <c r="HZ2007" s="4"/>
      <c r="IU2007" s="4"/>
      <c r="JM2007" s="4"/>
    </row>
    <row r="2008" spans="24:273" ht="12" customHeight="1">
      <c r="X2008" s="4"/>
      <c r="AH2008" s="4"/>
      <c r="EA2008" s="4"/>
      <c r="FX2008" s="4"/>
      <c r="HL2008" s="4"/>
      <c r="HZ2008" s="4"/>
      <c r="IU2008" s="4"/>
      <c r="JM2008" s="4"/>
    </row>
    <row r="2009" spans="24:273" ht="12" customHeight="1">
      <c r="X2009" s="4"/>
      <c r="AH2009" s="4"/>
      <c r="EA2009" s="4"/>
      <c r="FX2009" s="4"/>
      <c r="HL2009" s="4"/>
      <c r="HZ2009" s="4"/>
      <c r="IU2009" s="4"/>
      <c r="JM2009" s="4"/>
    </row>
    <row r="2010" spans="24:273" ht="12" customHeight="1">
      <c r="X2010" s="4"/>
      <c r="AH2010" s="4"/>
      <c r="EA2010" s="4"/>
      <c r="FX2010" s="4"/>
      <c r="HL2010" s="4"/>
      <c r="HZ2010" s="4"/>
      <c r="IU2010" s="4"/>
      <c r="JM2010" s="4"/>
    </row>
    <row r="2011" spans="24:273" ht="12" customHeight="1">
      <c r="X2011" s="4"/>
      <c r="AH2011" s="4"/>
      <c r="EA2011" s="4"/>
      <c r="FX2011" s="4"/>
      <c r="HL2011" s="4"/>
      <c r="HZ2011" s="4"/>
      <c r="IU2011" s="4"/>
      <c r="JM2011" s="4"/>
    </row>
    <row r="2012" spans="24:273" ht="12" customHeight="1">
      <c r="X2012" s="4"/>
      <c r="AH2012" s="4"/>
      <c r="EA2012" s="4"/>
      <c r="FX2012" s="4"/>
      <c r="HL2012" s="4"/>
      <c r="HZ2012" s="4"/>
      <c r="IU2012" s="4"/>
      <c r="JM2012" s="4"/>
    </row>
    <row r="2013" spans="24:273" ht="12" customHeight="1">
      <c r="X2013" s="4"/>
      <c r="AH2013" s="4"/>
      <c r="EA2013" s="4"/>
      <c r="FX2013" s="4"/>
      <c r="HL2013" s="4"/>
      <c r="HZ2013" s="4"/>
      <c r="IU2013" s="4"/>
      <c r="JM2013" s="4"/>
    </row>
    <row r="2014" spans="24:273" ht="12" customHeight="1">
      <c r="X2014" s="4"/>
      <c r="AH2014" s="4"/>
      <c r="EA2014" s="4"/>
      <c r="FX2014" s="4"/>
      <c r="HL2014" s="4"/>
      <c r="HZ2014" s="4"/>
      <c r="IU2014" s="4"/>
      <c r="JM2014" s="4"/>
    </row>
    <row r="2015" spans="24:273" ht="12" customHeight="1">
      <c r="X2015" s="4"/>
      <c r="AH2015" s="4"/>
      <c r="EA2015" s="4"/>
      <c r="FX2015" s="4"/>
      <c r="HL2015" s="4"/>
      <c r="HZ2015" s="4"/>
      <c r="IU2015" s="4"/>
      <c r="JM2015" s="4"/>
    </row>
    <row r="2016" spans="24:273" ht="12" customHeight="1">
      <c r="X2016" s="4"/>
      <c r="AH2016" s="4"/>
      <c r="EA2016" s="4"/>
      <c r="FX2016" s="4"/>
      <c r="HL2016" s="4"/>
      <c r="HZ2016" s="4"/>
      <c r="IU2016" s="4"/>
      <c r="JM2016" s="4"/>
    </row>
    <row r="2017" spans="24:273" ht="12" customHeight="1">
      <c r="X2017" s="4"/>
      <c r="AH2017" s="4"/>
      <c r="EA2017" s="4"/>
      <c r="FX2017" s="4"/>
      <c r="HL2017" s="4"/>
      <c r="HZ2017" s="4"/>
      <c r="IU2017" s="4"/>
      <c r="JM2017" s="4"/>
    </row>
    <row r="2018" spans="24:273" ht="12" customHeight="1">
      <c r="X2018" s="4"/>
      <c r="AH2018" s="4"/>
      <c r="EA2018" s="4"/>
      <c r="FX2018" s="4"/>
      <c r="HL2018" s="4"/>
      <c r="HZ2018" s="4"/>
      <c r="IU2018" s="4"/>
      <c r="JM2018" s="4"/>
    </row>
    <row r="2019" spans="24:273" ht="12" customHeight="1">
      <c r="X2019" s="4"/>
      <c r="AH2019" s="4"/>
      <c r="EA2019" s="4"/>
      <c r="FX2019" s="4"/>
      <c r="HL2019" s="4"/>
      <c r="HZ2019" s="4"/>
      <c r="IU2019" s="4"/>
      <c r="JM2019" s="4"/>
    </row>
    <row r="2020" spans="24:273" ht="12" customHeight="1">
      <c r="X2020" s="4"/>
      <c r="AH2020" s="4"/>
      <c r="EA2020" s="4"/>
      <c r="FX2020" s="4"/>
      <c r="HL2020" s="4"/>
      <c r="HZ2020" s="4"/>
      <c r="IU2020" s="4"/>
      <c r="JM2020" s="4"/>
    </row>
    <row r="2021" spans="24:273" ht="12" customHeight="1">
      <c r="X2021" s="4"/>
      <c r="AH2021" s="4"/>
      <c r="EA2021" s="4"/>
      <c r="FX2021" s="4"/>
      <c r="HL2021" s="4"/>
      <c r="HZ2021" s="4"/>
      <c r="IU2021" s="4"/>
      <c r="JM2021" s="4"/>
    </row>
    <row r="2022" spans="24:273" ht="12" customHeight="1">
      <c r="X2022" s="4"/>
      <c r="AH2022" s="4"/>
      <c r="EA2022" s="4"/>
      <c r="FX2022" s="4"/>
      <c r="HL2022" s="4"/>
      <c r="HZ2022" s="4"/>
      <c r="IU2022" s="4"/>
      <c r="JM2022" s="4"/>
    </row>
    <row r="2023" spans="24:273" ht="12" customHeight="1">
      <c r="X2023" s="4"/>
      <c r="AH2023" s="4"/>
      <c r="EA2023" s="4"/>
      <c r="FX2023" s="4"/>
      <c r="HL2023" s="4"/>
      <c r="HZ2023" s="4"/>
      <c r="IU2023" s="4"/>
      <c r="JM2023" s="4"/>
    </row>
    <row r="2024" spans="24:273" ht="12" customHeight="1">
      <c r="X2024" s="4"/>
      <c r="AH2024" s="4"/>
      <c r="EA2024" s="4"/>
      <c r="FX2024" s="4"/>
      <c r="HL2024" s="4"/>
      <c r="HZ2024" s="4"/>
      <c r="IU2024" s="4"/>
      <c r="JM2024" s="4"/>
    </row>
    <row r="2025" spans="24:273" ht="12" customHeight="1">
      <c r="X2025" s="4"/>
      <c r="AH2025" s="4"/>
      <c r="EA2025" s="4"/>
      <c r="FX2025" s="4"/>
      <c r="HL2025" s="4"/>
      <c r="HZ2025" s="4"/>
      <c r="IU2025" s="4"/>
      <c r="JM2025" s="4"/>
    </row>
    <row r="2026" spans="24:273" ht="12" customHeight="1">
      <c r="X2026" s="4"/>
      <c r="AH2026" s="4"/>
      <c r="EA2026" s="4"/>
      <c r="FX2026" s="4"/>
      <c r="HL2026" s="4"/>
      <c r="HZ2026" s="4"/>
      <c r="IU2026" s="4"/>
      <c r="JM2026" s="4"/>
    </row>
    <row r="2027" spans="24:273" ht="12" customHeight="1">
      <c r="X2027" s="4"/>
      <c r="AH2027" s="4"/>
      <c r="EA2027" s="4"/>
      <c r="FX2027" s="4"/>
      <c r="HL2027" s="4"/>
      <c r="HZ2027" s="4"/>
      <c r="IU2027" s="4"/>
      <c r="JM2027" s="4"/>
    </row>
    <row r="2028" spans="24:273" ht="12" customHeight="1">
      <c r="X2028" s="4"/>
      <c r="AH2028" s="4"/>
      <c r="EA2028" s="4"/>
      <c r="FX2028" s="4"/>
      <c r="HL2028" s="4"/>
      <c r="HZ2028" s="4"/>
      <c r="IU2028" s="4"/>
      <c r="JM2028" s="4"/>
    </row>
    <row r="2029" spans="24:273" ht="12" customHeight="1">
      <c r="X2029" s="4"/>
      <c r="AH2029" s="4"/>
      <c r="EA2029" s="4"/>
      <c r="FX2029" s="4"/>
      <c r="HL2029" s="4"/>
      <c r="HZ2029" s="4"/>
      <c r="IU2029" s="4"/>
      <c r="JM2029" s="4"/>
    </row>
    <row r="2030" spans="24:273" ht="12" customHeight="1">
      <c r="X2030" s="4"/>
      <c r="AH2030" s="4"/>
      <c r="EA2030" s="4"/>
      <c r="FX2030" s="4"/>
      <c r="HL2030" s="4"/>
      <c r="HZ2030" s="4"/>
      <c r="IU2030" s="4"/>
      <c r="JM2030" s="4"/>
    </row>
    <row r="2031" spans="24:273" ht="12" customHeight="1">
      <c r="X2031" s="4"/>
      <c r="AH2031" s="4"/>
      <c r="EA2031" s="4"/>
      <c r="FX2031" s="4"/>
      <c r="HL2031" s="4"/>
      <c r="HZ2031" s="4"/>
      <c r="IU2031" s="4"/>
      <c r="JM2031" s="4"/>
    </row>
    <row r="2032" spans="24:273" ht="12" customHeight="1">
      <c r="X2032" s="4"/>
      <c r="AH2032" s="4"/>
      <c r="EA2032" s="4"/>
      <c r="FX2032" s="4"/>
      <c r="HL2032" s="4"/>
      <c r="HZ2032" s="4"/>
      <c r="IU2032" s="4"/>
      <c r="JM2032" s="4"/>
    </row>
    <row r="2033" spans="24:273" ht="12" customHeight="1">
      <c r="X2033" s="4"/>
      <c r="AH2033" s="4"/>
      <c r="EA2033" s="4"/>
      <c r="FX2033" s="4"/>
      <c r="HL2033" s="4"/>
      <c r="HZ2033" s="4"/>
      <c r="IU2033" s="4"/>
      <c r="JM2033" s="4"/>
    </row>
    <row r="2034" spans="24:273" ht="12" customHeight="1">
      <c r="X2034" s="4"/>
      <c r="AH2034" s="4"/>
      <c r="EA2034" s="4"/>
      <c r="FX2034" s="4"/>
      <c r="HL2034" s="4"/>
      <c r="HZ2034" s="4"/>
      <c r="IU2034" s="4"/>
      <c r="JM2034" s="4"/>
    </row>
    <row r="2035" spans="24:273" ht="12" customHeight="1">
      <c r="X2035" s="4"/>
      <c r="AH2035" s="4"/>
      <c r="EA2035" s="4"/>
      <c r="FX2035" s="4"/>
      <c r="HL2035" s="4"/>
      <c r="HZ2035" s="4"/>
      <c r="IU2035" s="4"/>
      <c r="JM2035" s="4"/>
    </row>
    <row r="2036" spans="24:273" ht="12" customHeight="1">
      <c r="X2036" s="4"/>
      <c r="AH2036" s="4"/>
      <c r="EA2036" s="4"/>
      <c r="FX2036" s="4"/>
      <c r="HL2036" s="4"/>
      <c r="HZ2036" s="4"/>
      <c r="IU2036" s="4"/>
      <c r="JM2036" s="4"/>
    </row>
    <row r="2037" spans="24:273" ht="12" customHeight="1">
      <c r="X2037" s="4"/>
      <c r="AH2037" s="4"/>
      <c r="EA2037" s="4"/>
      <c r="FX2037" s="4"/>
      <c r="HL2037" s="4"/>
      <c r="HZ2037" s="4"/>
      <c r="IU2037" s="4"/>
      <c r="JM2037" s="4"/>
    </row>
    <row r="2038" spans="24:273" ht="12" customHeight="1">
      <c r="X2038" s="4"/>
      <c r="AH2038" s="4"/>
      <c r="EA2038" s="4"/>
      <c r="FX2038" s="4"/>
      <c r="HL2038" s="4"/>
      <c r="HZ2038" s="4"/>
      <c r="IU2038" s="4"/>
      <c r="JM2038" s="4"/>
    </row>
    <row r="2039" spans="24:273" ht="12" customHeight="1">
      <c r="X2039" s="4"/>
      <c r="AH2039" s="4"/>
      <c r="EA2039" s="4"/>
      <c r="FX2039" s="4"/>
      <c r="HL2039" s="4"/>
      <c r="HZ2039" s="4"/>
      <c r="IU2039" s="4"/>
      <c r="JM2039" s="4"/>
    </row>
    <row r="2040" spans="24:273" ht="12" customHeight="1">
      <c r="X2040" s="4"/>
      <c r="AH2040" s="4"/>
      <c r="EA2040" s="4"/>
      <c r="FX2040" s="4"/>
      <c r="HL2040" s="4"/>
      <c r="HZ2040" s="4"/>
      <c r="IU2040" s="4"/>
      <c r="JM2040" s="4"/>
    </row>
    <row r="2041" spans="24:273" ht="12" customHeight="1">
      <c r="X2041" s="4"/>
      <c r="AH2041" s="4"/>
      <c r="EA2041" s="4"/>
      <c r="FX2041" s="4"/>
      <c r="HL2041" s="4"/>
      <c r="HZ2041" s="4"/>
      <c r="IU2041" s="4"/>
      <c r="JM2041" s="4"/>
    </row>
    <row r="2042" spans="24:273" ht="12" customHeight="1">
      <c r="X2042" s="4"/>
      <c r="AH2042" s="4"/>
      <c r="EA2042" s="4"/>
      <c r="FX2042" s="4"/>
      <c r="HL2042" s="4"/>
      <c r="HZ2042" s="4"/>
      <c r="IU2042" s="4"/>
      <c r="JM2042" s="4"/>
    </row>
    <row r="2043" spans="24:273" ht="12" customHeight="1">
      <c r="X2043" s="4"/>
      <c r="AH2043" s="4"/>
      <c r="EA2043" s="4"/>
      <c r="FX2043" s="4"/>
      <c r="HL2043" s="4"/>
      <c r="HZ2043" s="4"/>
      <c r="IU2043" s="4"/>
      <c r="JM2043" s="4"/>
    </row>
    <row r="2044" spans="24:273" ht="12" customHeight="1">
      <c r="X2044" s="4"/>
      <c r="AH2044" s="4"/>
      <c r="EA2044" s="4"/>
      <c r="FX2044" s="4"/>
      <c r="HL2044" s="4"/>
      <c r="HZ2044" s="4"/>
      <c r="IU2044" s="4"/>
      <c r="JM2044" s="4"/>
    </row>
    <row r="2045" spans="24:273" ht="12" customHeight="1">
      <c r="X2045" s="4"/>
      <c r="AH2045" s="4"/>
      <c r="EA2045" s="4"/>
      <c r="FX2045" s="4"/>
      <c r="HL2045" s="4"/>
      <c r="HZ2045" s="4"/>
      <c r="IU2045" s="4"/>
      <c r="JM2045" s="4"/>
    </row>
    <row r="2046" spans="24:273" ht="12" customHeight="1">
      <c r="X2046" s="4"/>
      <c r="AH2046" s="4"/>
      <c r="EA2046" s="4"/>
      <c r="FX2046" s="4"/>
      <c r="HL2046" s="4"/>
      <c r="HZ2046" s="4"/>
      <c r="IU2046" s="4"/>
      <c r="JM2046" s="4"/>
    </row>
    <row r="2047" spans="24:273" ht="12" customHeight="1">
      <c r="X2047" s="4"/>
      <c r="AH2047" s="4"/>
      <c r="EA2047" s="4"/>
      <c r="FX2047" s="4"/>
      <c r="HL2047" s="4"/>
      <c r="HZ2047" s="4"/>
      <c r="IU2047" s="4"/>
      <c r="JM2047" s="4"/>
    </row>
    <row r="2048" spans="24:273" ht="12" customHeight="1">
      <c r="X2048" s="4"/>
      <c r="AH2048" s="4"/>
      <c r="EA2048" s="4"/>
      <c r="FX2048" s="4"/>
      <c r="HL2048" s="4"/>
      <c r="HZ2048" s="4"/>
      <c r="IU2048" s="4"/>
      <c r="JM2048" s="4"/>
    </row>
    <row r="2049" spans="24:273" ht="12" customHeight="1">
      <c r="X2049" s="4"/>
      <c r="AH2049" s="4"/>
      <c r="EA2049" s="4"/>
      <c r="FX2049" s="4"/>
      <c r="HL2049" s="4"/>
      <c r="HZ2049" s="4"/>
      <c r="IU2049" s="4"/>
      <c r="JM2049" s="4"/>
    </row>
    <row r="2050" spans="24:273" ht="12" customHeight="1">
      <c r="X2050" s="4"/>
      <c r="AH2050" s="4"/>
      <c r="EA2050" s="4"/>
      <c r="FX2050" s="4"/>
      <c r="HL2050" s="4"/>
      <c r="HZ2050" s="4"/>
      <c r="IU2050" s="4"/>
      <c r="JM2050" s="4"/>
    </row>
    <row r="2051" spans="24:273" ht="12" customHeight="1">
      <c r="X2051" s="4"/>
      <c r="AH2051" s="4"/>
      <c r="EA2051" s="4"/>
      <c r="FX2051" s="4"/>
      <c r="HL2051" s="4"/>
      <c r="HZ2051" s="4"/>
      <c r="IU2051" s="4"/>
      <c r="JM2051" s="4"/>
    </row>
    <row r="2052" spans="24:273" ht="12" customHeight="1">
      <c r="X2052" s="4"/>
      <c r="AH2052" s="4"/>
      <c r="EA2052" s="4"/>
      <c r="FX2052" s="4"/>
      <c r="HL2052" s="4"/>
      <c r="HZ2052" s="4"/>
      <c r="IU2052" s="4"/>
      <c r="JM2052" s="4"/>
    </row>
    <row r="2053" spans="24:273" ht="12" customHeight="1">
      <c r="X2053" s="4"/>
      <c r="AH2053" s="4"/>
      <c r="EA2053" s="4"/>
      <c r="FX2053" s="4"/>
      <c r="HL2053" s="4"/>
      <c r="HZ2053" s="4"/>
      <c r="IU2053" s="4"/>
      <c r="JM2053" s="4"/>
    </row>
    <row r="2054" spans="24:273" ht="12" customHeight="1">
      <c r="X2054" s="4"/>
      <c r="AH2054" s="4"/>
      <c r="EA2054" s="4"/>
      <c r="FX2054" s="4"/>
      <c r="HL2054" s="4"/>
      <c r="HZ2054" s="4"/>
      <c r="IU2054" s="4"/>
      <c r="JM2054" s="4"/>
    </row>
    <row r="2055" spans="24:273" ht="12" customHeight="1">
      <c r="X2055" s="4"/>
      <c r="AH2055" s="4"/>
      <c r="EA2055" s="4"/>
      <c r="FX2055" s="4"/>
      <c r="HL2055" s="4"/>
      <c r="HZ2055" s="4"/>
      <c r="IU2055" s="4"/>
      <c r="JM2055" s="4"/>
    </row>
    <row r="2056" spans="24:273" ht="12" customHeight="1">
      <c r="X2056" s="4"/>
      <c r="AH2056" s="4"/>
      <c r="EA2056" s="4"/>
      <c r="FX2056" s="4"/>
      <c r="HL2056" s="4"/>
      <c r="HZ2056" s="4"/>
      <c r="IU2056" s="4"/>
      <c r="JM2056" s="4"/>
    </row>
    <row r="2057" spans="24:273" ht="12" customHeight="1">
      <c r="X2057" s="4"/>
      <c r="AH2057" s="4"/>
      <c r="EA2057" s="4"/>
      <c r="FX2057" s="4"/>
      <c r="HL2057" s="4"/>
      <c r="HZ2057" s="4"/>
      <c r="IU2057" s="4"/>
      <c r="JM2057" s="4"/>
    </row>
    <row r="2058" spans="24:273" ht="12" customHeight="1">
      <c r="X2058" s="4"/>
      <c r="AH2058" s="4"/>
      <c r="EA2058" s="4"/>
      <c r="FX2058" s="4"/>
      <c r="HL2058" s="4"/>
      <c r="HZ2058" s="4"/>
      <c r="IU2058" s="4"/>
      <c r="JM2058" s="4"/>
    </row>
    <row r="2059" spans="24:273" ht="12" customHeight="1">
      <c r="X2059" s="4"/>
      <c r="AH2059" s="4"/>
      <c r="EA2059" s="4"/>
      <c r="FX2059" s="4"/>
      <c r="HL2059" s="4"/>
      <c r="HZ2059" s="4"/>
      <c r="IU2059" s="4"/>
      <c r="JM2059" s="4"/>
    </row>
    <row r="2060" spans="24:273" ht="12" customHeight="1">
      <c r="X2060" s="4"/>
      <c r="AH2060" s="4"/>
      <c r="EA2060" s="4"/>
      <c r="FX2060" s="4"/>
      <c r="HL2060" s="4"/>
      <c r="HZ2060" s="4"/>
      <c r="IU2060" s="4"/>
      <c r="JM2060" s="4"/>
    </row>
    <row r="2061" spans="24:273" ht="12" customHeight="1">
      <c r="X2061" s="4"/>
      <c r="AH2061" s="4"/>
      <c r="EA2061" s="4"/>
      <c r="FX2061" s="4"/>
      <c r="HL2061" s="4"/>
      <c r="HZ2061" s="4"/>
      <c r="IU2061" s="4"/>
      <c r="JM2061" s="4"/>
    </row>
    <row r="2062" spans="24:273" ht="12" customHeight="1">
      <c r="X2062" s="4"/>
      <c r="AH2062" s="4"/>
      <c r="EA2062" s="4"/>
      <c r="FX2062" s="4"/>
      <c r="HL2062" s="4"/>
      <c r="HZ2062" s="4"/>
      <c r="IU2062" s="4"/>
      <c r="JM2062" s="4"/>
    </row>
    <row r="2063" spans="24:273" ht="12" customHeight="1">
      <c r="X2063" s="4"/>
      <c r="AH2063" s="4"/>
      <c r="EA2063" s="4"/>
      <c r="FX2063" s="4"/>
      <c r="HL2063" s="4"/>
      <c r="HZ2063" s="4"/>
      <c r="IU2063" s="4"/>
      <c r="JM2063" s="4"/>
    </row>
    <row r="2064" spans="24:273" ht="12" customHeight="1">
      <c r="X2064" s="4"/>
      <c r="AH2064" s="4"/>
      <c r="EA2064" s="4"/>
      <c r="FX2064" s="4"/>
      <c r="HL2064" s="4"/>
      <c r="HZ2064" s="4"/>
      <c r="IU2064" s="4"/>
      <c r="JM2064" s="4"/>
    </row>
    <row r="2065" spans="24:273" ht="12" customHeight="1">
      <c r="X2065" s="4"/>
      <c r="AH2065" s="4"/>
      <c r="EA2065" s="4"/>
      <c r="FX2065" s="4"/>
      <c r="HL2065" s="4"/>
      <c r="HZ2065" s="4"/>
      <c r="IU2065" s="4"/>
      <c r="JM2065" s="4"/>
    </row>
    <row r="2066" spans="24:273" ht="12" customHeight="1">
      <c r="X2066" s="4"/>
      <c r="AH2066" s="4"/>
      <c r="EA2066" s="4"/>
      <c r="FX2066" s="4"/>
      <c r="HL2066" s="4"/>
      <c r="HZ2066" s="4"/>
      <c r="IU2066" s="4"/>
      <c r="JM2066" s="4"/>
    </row>
    <row r="2067" spans="24:273" ht="12" customHeight="1">
      <c r="X2067" s="4"/>
      <c r="AH2067" s="4"/>
      <c r="EA2067" s="4"/>
      <c r="FX2067" s="4"/>
      <c r="HL2067" s="4"/>
      <c r="HZ2067" s="4"/>
      <c r="IU2067" s="4"/>
      <c r="JM2067" s="4"/>
    </row>
    <row r="2068" spans="24:273" ht="12" customHeight="1">
      <c r="X2068" s="4"/>
      <c r="AH2068" s="4"/>
      <c r="EA2068" s="4"/>
      <c r="FX2068" s="4"/>
      <c r="HL2068" s="4"/>
      <c r="HZ2068" s="4"/>
      <c r="IU2068" s="4"/>
      <c r="JM2068" s="4"/>
    </row>
    <row r="2069" spans="24:273" ht="12" customHeight="1">
      <c r="X2069" s="4"/>
      <c r="AH2069" s="4"/>
      <c r="EA2069" s="4"/>
      <c r="FX2069" s="4"/>
      <c r="HL2069" s="4"/>
      <c r="HZ2069" s="4"/>
      <c r="IU2069" s="4"/>
      <c r="JM2069" s="4"/>
    </row>
    <row r="2070" spans="24:273" ht="12" customHeight="1">
      <c r="X2070" s="4"/>
      <c r="AH2070" s="4"/>
      <c r="EA2070" s="4"/>
      <c r="FX2070" s="4"/>
      <c r="HL2070" s="4"/>
      <c r="HZ2070" s="4"/>
      <c r="IU2070" s="4"/>
      <c r="JM2070" s="4"/>
    </row>
    <row r="2071" spans="24:273" ht="12" customHeight="1">
      <c r="X2071" s="4"/>
      <c r="AH2071" s="4"/>
      <c r="EA2071" s="4"/>
      <c r="FX2071" s="4"/>
      <c r="HL2071" s="4"/>
      <c r="HZ2071" s="4"/>
      <c r="IU2071" s="4"/>
      <c r="JM2071" s="4"/>
    </row>
    <row r="2072" spans="24:273" ht="12" customHeight="1">
      <c r="X2072" s="4"/>
      <c r="AH2072" s="4"/>
      <c r="EA2072" s="4"/>
      <c r="FX2072" s="4"/>
      <c r="HL2072" s="4"/>
      <c r="HZ2072" s="4"/>
      <c r="IU2072" s="4"/>
      <c r="JM2072" s="4"/>
    </row>
    <row r="2073" spans="24:273" ht="12" customHeight="1">
      <c r="X2073" s="4"/>
      <c r="AH2073" s="4"/>
      <c r="EA2073" s="4"/>
      <c r="FX2073" s="4"/>
      <c r="HL2073" s="4"/>
      <c r="HZ2073" s="4"/>
      <c r="IU2073" s="4"/>
      <c r="JM2073" s="4"/>
    </row>
    <row r="2074" spans="24:273" ht="12" customHeight="1">
      <c r="X2074" s="4"/>
      <c r="AH2074" s="4"/>
      <c r="EA2074" s="4"/>
      <c r="FX2074" s="4"/>
      <c r="HL2074" s="4"/>
      <c r="HZ2074" s="4"/>
      <c r="IU2074" s="4"/>
      <c r="JM2074" s="4"/>
    </row>
    <row r="2075" spans="24:273" ht="12" customHeight="1">
      <c r="X2075" s="4"/>
      <c r="AH2075" s="4"/>
      <c r="EA2075" s="4"/>
      <c r="FX2075" s="4"/>
      <c r="HL2075" s="4"/>
      <c r="HZ2075" s="4"/>
      <c r="IU2075" s="4"/>
      <c r="JM2075" s="4"/>
    </row>
    <row r="2076" spans="24:273" ht="12" customHeight="1">
      <c r="X2076" s="4"/>
      <c r="AH2076" s="4"/>
      <c r="EA2076" s="4"/>
      <c r="FX2076" s="4"/>
      <c r="HL2076" s="4"/>
      <c r="HZ2076" s="4"/>
      <c r="IU2076" s="4"/>
      <c r="JM2076" s="4"/>
    </row>
    <row r="2077" spans="24:273" ht="12" customHeight="1">
      <c r="X2077" s="4"/>
      <c r="AH2077" s="4"/>
      <c r="EA2077" s="4"/>
      <c r="FX2077" s="4"/>
      <c r="HL2077" s="4"/>
      <c r="HZ2077" s="4"/>
      <c r="IU2077" s="4"/>
      <c r="JM2077" s="4"/>
    </row>
    <row r="2078" spans="24:273" ht="12" customHeight="1">
      <c r="X2078" s="4"/>
      <c r="AH2078" s="4"/>
      <c r="EA2078" s="4"/>
      <c r="FX2078" s="4"/>
      <c r="HL2078" s="4"/>
      <c r="HZ2078" s="4"/>
      <c r="IU2078" s="4"/>
      <c r="JM2078" s="4"/>
    </row>
    <row r="2079" spans="24:273" ht="12" customHeight="1">
      <c r="X2079" s="4"/>
      <c r="AH2079" s="4"/>
      <c r="EA2079" s="4"/>
      <c r="FX2079" s="4"/>
      <c r="HL2079" s="4"/>
      <c r="HZ2079" s="4"/>
      <c r="IU2079" s="4"/>
      <c r="JM2079" s="4"/>
    </row>
    <row r="2080" spans="24:273" ht="12" customHeight="1">
      <c r="X2080" s="4"/>
      <c r="AH2080" s="4"/>
      <c r="EA2080" s="4"/>
      <c r="FX2080" s="4"/>
      <c r="HL2080" s="4"/>
      <c r="HZ2080" s="4"/>
      <c r="IU2080" s="4"/>
      <c r="JM2080" s="4"/>
    </row>
    <row r="2081" spans="24:273" ht="12" customHeight="1">
      <c r="X2081" s="4"/>
      <c r="AH2081" s="4"/>
      <c r="EA2081" s="4"/>
      <c r="FX2081" s="4"/>
      <c r="HL2081" s="4"/>
      <c r="HZ2081" s="4"/>
      <c r="IU2081" s="4"/>
      <c r="JM2081" s="4"/>
    </row>
    <row r="2082" spans="24:273" ht="12" customHeight="1">
      <c r="X2082" s="4"/>
      <c r="AH2082" s="4"/>
      <c r="EA2082" s="4"/>
      <c r="FX2082" s="4"/>
      <c r="HL2082" s="4"/>
      <c r="HZ2082" s="4"/>
      <c r="IU2082" s="4"/>
      <c r="JM2082" s="4"/>
    </row>
    <row r="2083" spans="24:273" ht="12" customHeight="1">
      <c r="X2083" s="4"/>
      <c r="AH2083" s="4"/>
      <c r="EA2083" s="4"/>
      <c r="FX2083" s="4"/>
      <c r="HL2083" s="4"/>
      <c r="HZ2083" s="4"/>
      <c r="IU2083" s="4"/>
      <c r="JM2083" s="4"/>
    </row>
    <row r="2084" spans="24:273" ht="12" customHeight="1">
      <c r="X2084" s="4"/>
      <c r="AH2084" s="4"/>
      <c r="EA2084" s="4"/>
      <c r="FX2084" s="4"/>
      <c r="HL2084" s="4"/>
      <c r="HZ2084" s="4"/>
      <c r="IU2084" s="4"/>
      <c r="JM2084" s="4"/>
    </row>
    <row r="2085" spans="24:273" ht="12" customHeight="1">
      <c r="X2085" s="4"/>
      <c r="AH2085" s="4"/>
      <c r="EA2085" s="4"/>
      <c r="FX2085" s="4"/>
      <c r="HL2085" s="4"/>
      <c r="HZ2085" s="4"/>
      <c r="IU2085" s="4"/>
      <c r="JM2085" s="4"/>
    </row>
    <row r="2086" spans="24:273" ht="12" customHeight="1">
      <c r="X2086" s="4"/>
      <c r="AH2086" s="4"/>
      <c r="EA2086" s="4"/>
      <c r="FX2086" s="4"/>
      <c r="HL2086" s="4"/>
      <c r="HZ2086" s="4"/>
      <c r="IU2086" s="4"/>
      <c r="JM2086" s="4"/>
    </row>
    <row r="2087" spans="24:273" ht="12" customHeight="1">
      <c r="X2087" s="4"/>
      <c r="AH2087" s="4"/>
      <c r="EA2087" s="4"/>
      <c r="FX2087" s="4"/>
      <c r="HL2087" s="4"/>
      <c r="HZ2087" s="4"/>
      <c r="IU2087" s="4"/>
      <c r="JM2087" s="4"/>
    </row>
    <row r="2088" spans="24:273" ht="12" customHeight="1">
      <c r="X2088" s="4"/>
      <c r="AH2088" s="4"/>
      <c r="EA2088" s="4"/>
      <c r="FX2088" s="4"/>
      <c r="HL2088" s="4"/>
      <c r="HZ2088" s="4"/>
      <c r="IU2088" s="4"/>
      <c r="JM2088" s="4"/>
    </row>
    <row r="2089" spans="24:273" ht="12" customHeight="1">
      <c r="X2089" s="4"/>
      <c r="AH2089" s="4"/>
      <c r="EA2089" s="4"/>
      <c r="FX2089" s="4"/>
      <c r="HL2089" s="4"/>
      <c r="HZ2089" s="4"/>
      <c r="IU2089" s="4"/>
      <c r="JM2089" s="4"/>
    </row>
    <row r="2090" spans="24:273" ht="12" customHeight="1">
      <c r="X2090" s="4"/>
      <c r="AH2090" s="4"/>
      <c r="EA2090" s="4"/>
      <c r="FX2090" s="4"/>
      <c r="HL2090" s="4"/>
      <c r="HZ2090" s="4"/>
      <c r="IU2090" s="4"/>
      <c r="JM2090" s="4"/>
    </row>
    <row r="2091" spans="24:273" ht="12" customHeight="1">
      <c r="X2091" s="4"/>
      <c r="AH2091" s="4"/>
      <c r="EA2091" s="4"/>
      <c r="FX2091" s="4"/>
      <c r="HL2091" s="4"/>
      <c r="HZ2091" s="4"/>
      <c r="IU2091" s="4"/>
      <c r="JM2091" s="4"/>
    </row>
    <row r="2092" spans="24:273" ht="12" customHeight="1">
      <c r="X2092" s="4"/>
      <c r="AH2092" s="4"/>
      <c r="EA2092" s="4"/>
      <c r="FX2092" s="4"/>
      <c r="HL2092" s="4"/>
      <c r="HZ2092" s="4"/>
      <c r="IU2092" s="4"/>
      <c r="JM2092" s="4"/>
    </row>
    <row r="2093" spans="24:273" ht="12" customHeight="1">
      <c r="X2093" s="4"/>
      <c r="AH2093" s="4"/>
      <c r="EA2093" s="4"/>
      <c r="FX2093" s="4"/>
      <c r="HL2093" s="4"/>
      <c r="HZ2093" s="4"/>
      <c r="IU2093" s="4"/>
      <c r="JM2093" s="4"/>
    </row>
    <row r="2094" spans="24:273" ht="12" customHeight="1">
      <c r="X2094" s="4"/>
      <c r="AH2094" s="4"/>
      <c r="EA2094" s="4"/>
      <c r="FX2094" s="4"/>
      <c r="HL2094" s="4"/>
      <c r="HZ2094" s="4"/>
      <c r="IU2094" s="4"/>
      <c r="JM2094" s="4"/>
    </row>
    <row r="2095" spans="24:273" ht="12" customHeight="1">
      <c r="X2095" s="4"/>
      <c r="AH2095" s="4"/>
      <c r="EA2095" s="4"/>
      <c r="FX2095" s="4"/>
      <c r="HL2095" s="4"/>
      <c r="HZ2095" s="4"/>
      <c r="IU2095" s="4"/>
      <c r="JM2095" s="4"/>
    </row>
    <row r="2096" spans="24:273" ht="12" customHeight="1">
      <c r="X2096" s="4"/>
      <c r="AH2096" s="4"/>
      <c r="EA2096" s="4"/>
      <c r="FX2096" s="4"/>
      <c r="HL2096" s="4"/>
      <c r="HZ2096" s="4"/>
      <c r="IU2096" s="4"/>
      <c r="JM2096" s="4"/>
    </row>
    <row r="2097" spans="24:273" ht="12" customHeight="1">
      <c r="X2097" s="4"/>
      <c r="AH2097" s="4"/>
      <c r="EA2097" s="4"/>
      <c r="FX2097" s="4"/>
      <c r="HL2097" s="4"/>
      <c r="HZ2097" s="4"/>
      <c r="IU2097" s="4"/>
      <c r="JM2097" s="4"/>
    </row>
    <row r="2098" spans="24:273" ht="12" customHeight="1">
      <c r="X2098" s="4"/>
      <c r="AH2098" s="4"/>
      <c r="EA2098" s="4"/>
      <c r="FX2098" s="4"/>
      <c r="HL2098" s="4"/>
      <c r="HZ2098" s="4"/>
      <c r="IU2098" s="4"/>
      <c r="JM2098" s="4"/>
    </row>
    <row r="2099" spans="24:273" ht="12" customHeight="1">
      <c r="X2099" s="4"/>
      <c r="AH2099" s="4"/>
      <c r="EA2099" s="4"/>
      <c r="FX2099" s="4"/>
      <c r="HL2099" s="4"/>
      <c r="HZ2099" s="4"/>
      <c r="IU2099" s="4"/>
      <c r="JM2099" s="4"/>
    </row>
    <row r="2100" spans="24:273" ht="12" customHeight="1">
      <c r="X2100" s="4"/>
      <c r="AH2100" s="4"/>
      <c r="EA2100" s="4"/>
      <c r="FX2100" s="4"/>
      <c r="HL2100" s="4"/>
      <c r="HZ2100" s="4"/>
      <c r="IU2100" s="4"/>
      <c r="JM2100" s="4"/>
    </row>
    <row r="2101" spans="24:273" ht="12" customHeight="1">
      <c r="X2101" s="4"/>
      <c r="AH2101" s="4"/>
      <c r="EA2101" s="4"/>
      <c r="FX2101" s="4"/>
      <c r="HL2101" s="4"/>
      <c r="HZ2101" s="4"/>
      <c r="IU2101" s="4"/>
      <c r="JM2101" s="4"/>
    </row>
    <row r="2102" spans="24:273" ht="12" customHeight="1">
      <c r="X2102" s="4"/>
      <c r="AH2102" s="4"/>
      <c r="EA2102" s="4"/>
      <c r="FX2102" s="4"/>
      <c r="HL2102" s="4"/>
      <c r="HZ2102" s="4"/>
      <c r="IU2102" s="4"/>
      <c r="JM2102" s="4"/>
    </row>
    <row r="2103" spans="24:273" ht="12" customHeight="1">
      <c r="X2103" s="4"/>
      <c r="AH2103" s="4"/>
      <c r="EA2103" s="4"/>
      <c r="FX2103" s="4"/>
      <c r="HL2103" s="4"/>
      <c r="HZ2103" s="4"/>
      <c r="IU2103" s="4"/>
      <c r="JM2103" s="4"/>
    </row>
    <row r="2104" spans="24:273" ht="12" customHeight="1">
      <c r="X2104" s="4"/>
      <c r="AH2104" s="4"/>
      <c r="EA2104" s="4"/>
      <c r="FX2104" s="4"/>
      <c r="HL2104" s="4"/>
      <c r="HZ2104" s="4"/>
      <c r="IU2104" s="4"/>
      <c r="JM2104" s="4"/>
    </row>
    <row r="2105" spans="24:273" ht="12" customHeight="1">
      <c r="X2105" s="4"/>
      <c r="AH2105" s="4"/>
      <c r="EA2105" s="4"/>
      <c r="FX2105" s="4"/>
      <c r="HL2105" s="4"/>
      <c r="HZ2105" s="4"/>
      <c r="IU2105" s="4"/>
      <c r="JM2105" s="4"/>
    </row>
    <row r="2106" spans="24:273" ht="12" customHeight="1">
      <c r="X2106" s="4"/>
      <c r="AH2106" s="4"/>
      <c r="EA2106" s="4"/>
      <c r="FX2106" s="4"/>
      <c r="HL2106" s="4"/>
      <c r="HZ2106" s="4"/>
      <c r="IU2106" s="4"/>
      <c r="JM2106" s="4"/>
    </row>
    <row r="2107" spans="24:273" ht="12" customHeight="1">
      <c r="X2107" s="4"/>
      <c r="AH2107" s="4"/>
      <c r="EA2107" s="4"/>
      <c r="FX2107" s="4"/>
      <c r="HL2107" s="4"/>
      <c r="HZ2107" s="4"/>
      <c r="IU2107" s="4"/>
      <c r="JM2107" s="4"/>
    </row>
    <row r="2108" spans="24:273" ht="12" customHeight="1">
      <c r="X2108" s="4"/>
      <c r="AH2108" s="4"/>
      <c r="EA2108" s="4"/>
      <c r="FX2108" s="4"/>
      <c r="HL2108" s="4"/>
      <c r="HZ2108" s="4"/>
      <c r="IU2108" s="4"/>
      <c r="JM2108" s="4"/>
    </row>
    <row r="2109" spans="24:273" ht="12" customHeight="1">
      <c r="X2109" s="4"/>
      <c r="AH2109" s="4"/>
      <c r="EA2109" s="4"/>
      <c r="FX2109" s="4"/>
      <c r="HL2109" s="4"/>
      <c r="HZ2109" s="4"/>
      <c r="IU2109" s="4"/>
      <c r="JM2109" s="4"/>
    </row>
    <row r="2110" spans="24:273" ht="12" customHeight="1">
      <c r="X2110" s="4"/>
      <c r="AH2110" s="4"/>
      <c r="EA2110" s="4"/>
      <c r="FX2110" s="4"/>
      <c r="HL2110" s="4"/>
      <c r="HZ2110" s="4"/>
      <c r="IU2110" s="4"/>
      <c r="JM2110" s="4"/>
    </row>
    <row r="2111" spans="24:273" ht="12" customHeight="1">
      <c r="X2111" s="4"/>
      <c r="AH2111" s="4"/>
      <c r="EA2111" s="4"/>
      <c r="FX2111" s="4"/>
      <c r="HL2111" s="4"/>
      <c r="HZ2111" s="4"/>
      <c r="IU2111" s="4"/>
      <c r="JM2111" s="4"/>
    </row>
    <row r="2112" spans="24:273" ht="12" customHeight="1">
      <c r="X2112" s="4"/>
      <c r="AH2112" s="4"/>
      <c r="EA2112" s="4"/>
      <c r="FX2112" s="4"/>
      <c r="HL2112" s="4"/>
      <c r="HZ2112" s="4"/>
      <c r="IU2112" s="4"/>
      <c r="JM2112" s="4"/>
    </row>
    <row r="2113" spans="24:273" ht="12" customHeight="1">
      <c r="X2113" s="4"/>
      <c r="AH2113" s="4"/>
      <c r="EA2113" s="4"/>
      <c r="FX2113" s="4"/>
      <c r="HL2113" s="4"/>
      <c r="HZ2113" s="4"/>
      <c r="IU2113" s="4"/>
      <c r="JM2113" s="4"/>
    </row>
    <row r="2114" spans="24:273" ht="12" customHeight="1">
      <c r="X2114" s="4"/>
      <c r="AH2114" s="4"/>
      <c r="EA2114" s="4"/>
      <c r="FX2114" s="4"/>
      <c r="HL2114" s="4"/>
      <c r="HZ2114" s="4"/>
      <c r="IU2114" s="4"/>
      <c r="JM2114" s="4"/>
    </row>
    <row r="2115" spans="24:273" ht="12" customHeight="1">
      <c r="X2115" s="4"/>
      <c r="AH2115" s="4"/>
      <c r="EA2115" s="4"/>
      <c r="FX2115" s="4"/>
      <c r="HL2115" s="4"/>
      <c r="HZ2115" s="4"/>
      <c r="IU2115" s="4"/>
      <c r="JM2115" s="4"/>
    </row>
    <row r="2116" spans="24:273" ht="12" customHeight="1">
      <c r="X2116" s="4"/>
      <c r="AH2116" s="4"/>
      <c r="EA2116" s="4"/>
      <c r="FX2116" s="4"/>
      <c r="HL2116" s="4"/>
      <c r="HZ2116" s="4"/>
      <c r="IU2116" s="4"/>
      <c r="JM2116" s="4"/>
    </row>
    <row r="2117" spans="24:273" ht="12" customHeight="1">
      <c r="X2117" s="4"/>
      <c r="AH2117" s="4"/>
      <c r="EA2117" s="4"/>
      <c r="FX2117" s="4"/>
      <c r="HL2117" s="4"/>
      <c r="HZ2117" s="4"/>
      <c r="IU2117" s="4"/>
      <c r="JM2117" s="4"/>
    </row>
    <row r="2118" spans="24:273" ht="12" customHeight="1">
      <c r="X2118" s="4"/>
      <c r="AH2118" s="4"/>
      <c r="EA2118" s="4"/>
      <c r="FX2118" s="4"/>
      <c r="HL2118" s="4"/>
      <c r="HZ2118" s="4"/>
      <c r="IU2118" s="4"/>
      <c r="JM2118" s="4"/>
    </row>
    <row r="2119" spans="24:273" ht="12" customHeight="1">
      <c r="X2119" s="4"/>
      <c r="AH2119" s="4"/>
      <c r="EA2119" s="4"/>
      <c r="FX2119" s="4"/>
      <c r="HL2119" s="4"/>
      <c r="HZ2119" s="4"/>
      <c r="IU2119" s="4"/>
      <c r="JM2119" s="4"/>
    </row>
    <row r="2120" spans="24:273" ht="12" customHeight="1">
      <c r="X2120" s="4"/>
      <c r="AH2120" s="4"/>
      <c r="EA2120" s="4"/>
      <c r="FX2120" s="4"/>
      <c r="HL2120" s="4"/>
      <c r="HZ2120" s="4"/>
      <c r="IU2120" s="4"/>
      <c r="JM2120" s="4"/>
    </row>
    <row r="2121" spans="24:273" ht="12" customHeight="1">
      <c r="X2121" s="4"/>
      <c r="AH2121" s="4"/>
      <c r="EA2121" s="4"/>
      <c r="FX2121" s="4"/>
      <c r="HL2121" s="4"/>
      <c r="HZ2121" s="4"/>
      <c r="IU2121" s="4"/>
      <c r="JM2121" s="4"/>
    </row>
    <row r="2122" spans="24:273" ht="12" customHeight="1">
      <c r="X2122" s="4"/>
      <c r="AH2122" s="4"/>
      <c r="EA2122" s="4"/>
      <c r="FX2122" s="4"/>
      <c r="HL2122" s="4"/>
      <c r="HZ2122" s="4"/>
      <c r="IU2122" s="4"/>
      <c r="JM2122" s="4"/>
    </row>
    <row r="2123" spans="24:273" ht="12" customHeight="1">
      <c r="X2123" s="4"/>
      <c r="AH2123" s="4"/>
      <c r="EA2123" s="4"/>
      <c r="FX2123" s="4"/>
      <c r="HL2123" s="4"/>
      <c r="HZ2123" s="4"/>
      <c r="IU2123" s="4"/>
      <c r="JM2123" s="4"/>
    </row>
    <row r="2124" spans="24:273" ht="12" customHeight="1">
      <c r="X2124" s="4"/>
      <c r="AH2124" s="4"/>
      <c r="EA2124" s="4"/>
      <c r="FX2124" s="4"/>
      <c r="HL2124" s="4"/>
      <c r="HZ2124" s="4"/>
      <c r="IU2124" s="4"/>
      <c r="JM2124" s="4"/>
    </row>
    <row r="2125" spans="24:273" ht="12" customHeight="1">
      <c r="X2125" s="4"/>
      <c r="AH2125" s="4"/>
      <c r="EA2125" s="4"/>
      <c r="FX2125" s="4"/>
      <c r="HL2125" s="4"/>
      <c r="HZ2125" s="4"/>
      <c r="IU2125" s="4"/>
      <c r="JM2125" s="4"/>
    </row>
    <row r="2126" spans="24:273" ht="12" customHeight="1">
      <c r="X2126" s="4"/>
      <c r="AH2126" s="4"/>
      <c r="EA2126" s="4"/>
      <c r="FX2126" s="4"/>
      <c r="HL2126" s="4"/>
      <c r="HZ2126" s="4"/>
      <c r="IU2126" s="4"/>
      <c r="JM2126" s="4"/>
    </row>
    <row r="2127" spans="24:273" ht="12" customHeight="1">
      <c r="X2127" s="4"/>
      <c r="AH2127" s="4"/>
      <c r="EA2127" s="4"/>
      <c r="FX2127" s="4"/>
      <c r="HL2127" s="4"/>
      <c r="HZ2127" s="4"/>
      <c r="IU2127" s="4"/>
      <c r="JM2127" s="4"/>
    </row>
    <row r="2128" spans="24:273" ht="12" customHeight="1">
      <c r="X2128" s="4"/>
      <c r="AH2128" s="4"/>
      <c r="EA2128" s="4"/>
      <c r="FX2128" s="4"/>
      <c r="HL2128" s="4"/>
      <c r="HZ2128" s="4"/>
      <c r="IU2128" s="4"/>
      <c r="JM2128" s="4"/>
    </row>
    <row r="2129" spans="24:273" ht="12" customHeight="1">
      <c r="X2129" s="4"/>
      <c r="AH2129" s="4"/>
      <c r="EA2129" s="4"/>
      <c r="FX2129" s="4"/>
      <c r="HL2129" s="4"/>
      <c r="HZ2129" s="4"/>
      <c r="IU2129" s="4"/>
      <c r="JM2129" s="4"/>
    </row>
    <row r="2130" spans="24:273" ht="12" customHeight="1">
      <c r="X2130" s="4"/>
      <c r="AH2130" s="4"/>
      <c r="EA2130" s="4"/>
      <c r="FX2130" s="4"/>
      <c r="HL2130" s="4"/>
      <c r="HZ2130" s="4"/>
      <c r="IU2130" s="4"/>
      <c r="JM2130" s="4"/>
    </row>
    <row r="2131" spans="24:273" ht="12" customHeight="1">
      <c r="X2131" s="4"/>
      <c r="AH2131" s="4"/>
      <c r="EA2131" s="4"/>
      <c r="FX2131" s="4"/>
      <c r="HL2131" s="4"/>
      <c r="HZ2131" s="4"/>
      <c r="IU2131" s="4"/>
      <c r="JM2131" s="4"/>
    </row>
    <row r="2132" spans="24:273" ht="12" customHeight="1">
      <c r="X2132" s="4"/>
      <c r="AH2132" s="4"/>
      <c r="EA2132" s="4"/>
      <c r="FX2132" s="4"/>
      <c r="HL2132" s="4"/>
      <c r="HZ2132" s="4"/>
      <c r="IU2132" s="4"/>
      <c r="JM2132" s="4"/>
    </row>
    <row r="2133" spans="24:273" ht="12" customHeight="1">
      <c r="X2133" s="4"/>
      <c r="AH2133" s="4"/>
      <c r="EA2133" s="4"/>
      <c r="FX2133" s="4"/>
      <c r="HL2133" s="4"/>
      <c r="HZ2133" s="4"/>
      <c r="IU2133" s="4"/>
      <c r="JM2133" s="4"/>
    </row>
    <row r="2134" spans="24:273" ht="12" customHeight="1">
      <c r="X2134" s="4"/>
      <c r="AH2134" s="4"/>
      <c r="EA2134" s="4"/>
      <c r="FX2134" s="4"/>
      <c r="HL2134" s="4"/>
      <c r="HZ2134" s="4"/>
      <c r="IU2134" s="4"/>
      <c r="JM2134" s="4"/>
    </row>
    <row r="2135" spans="24:273" ht="12" customHeight="1">
      <c r="X2135" s="4"/>
      <c r="AH2135" s="4"/>
      <c r="EA2135" s="4"/>
      <c r="FX2135" s="4"/>
      <c r="HL2135" s="4"/>
      <c r="HZ2135" s="4"/>
      <c r="IU2135" s="4"/>
      <c r="JM2135" s="4"/>
    </row>
    <row r="2136" spans="24:273" ht="12" customHeight="1">
      <c r="X2136" s="4"/>
      <c r="AH2136" s="4"/>
      <c r="EA2136" s="4"/>
      <c r="FX2136" s="4"/>
      <c r="HL2136" s="4"/>
      <c r="HZ2136" s="4"/>
      <c r="IU2136" s="4"/>
      <c r="JM2136" s="4"/>
    </row>
    <row r="2137" spans="24:273" ht="12" customHeight="1">
      <c r="X2137" s="4"/>
      <c r="AH2137" s="4"/>
      <c r="EA2137" s="4"/>
      <c r="FX2137" s="4"/>
      <c r="HL2137" s="4"/>
      <c r="HZ2137" s="4"/>
      <c r="IU2137" s="4"/>
      <c r="JM2137" s="4"/>
    </row>
    <row r="2138" spans="24:273" ht="12" customHeight="1">
      <c r="X2138" s="4"/>
      <c r="AH2138" s="4"/>
      <c r="EA2138" s="4"/>
      <c r="FX2138" s="4"/>
      <c r="HL2138" s="4"/>
      <c r="HZ2138" s="4"/>
      <c r="IU2138" s="4"/>
      <c r="JM2138" s="4"/>
    </row>
    <row r="2139" spans="24:273" ht="12" customHeight="1">
      <c r="X2139" s="4"/>
      <c r="AH2139" s="4"/>
      <c r="EA2139" s="4"/>
      <c r="FX2139" s="4"/>
      <c r="HL2139" s="4"/>
      <c r="HZ2139" s="4"/>
      <c r="IU2139" s="4"/>
      <c r="JM2139" s="4"/>
    </row>
    <row r="2140" spans="24:273" ht="12" customHeight="1">
      <c r="X2140" s="4"/>
      <c r="AH2140" s="4"/>
      <c r="EA2140" s="4"/>
      <c r="FX2140" s="4"/>
      <c r="HL2140" s="4"/>
      <c r="HZ2140" s="4"/>
      <c r="IU2140" s="4"/>
      <c r="JM2140" s="4"/>
    </row>
    <row r="2141" spans="24:273" ht="12" customHeight="1">
      <c r="X2141" s="4"/>
      <c r="AH2141" s="4"/>
      <c r="EA2141" s="4"/>
      <c r="FX2141" s="4"/>
      <c r="HL2141" s="4"/>
      <c r="HZ2141" s="4"/>
      <c r="IU2141" s="4"/>
      <c r="JM2141" s="4"/>
    </row>
    <row r="2142" spans="24:273" ht="12" customHeight="1">
      <c r="X2142" s="4"/>
      <c r="AH2142" s="4"/>
      <c r="EA2142" s="4"/>
      <c r="FX2142" s="4"/>
      <c r="HL2142" s="4"/>
      <c r="HZ2142" s="4"/>
      <c r="IU2142" s="4"/>
      <c r="JM2142" s="4"/>
    </row>
    <row r="2143" spans="24:273" ht="12" customHeight="1">
      <c r="X2143" s="4"/>
      <c r="AH2143" s="4"/>
      <c r="EA2143" s="4"/>
      <c r="FX2143" s="4"/>
      <c r="HL2143" s="4"/>
      <c r="HZ2143" s="4"/>
      <c r="IU2143" s="4"/>
      <c r="JM2143" s="4"/>
    </row>
    <row r="2144" spans="24:273" ht="12" customHeight="1">
      <c r="X2144" s="4"/>
      <c r="AH2144" s="4"/>
      <c r="EA2144" s="4"/>
      <c r="FX2144" s="4"/>
      <c r="HL2144" s="4"/>
      <c r="HZ2144" s="4"/>
      <c r="IU2144" s="4"/>
      <c r="JM2144" s="4"/>
    </row>
    <row r="2145" spans="24:273" ht="12" customHeight="1">
      <c r="X2145" s="4"/>
      <c r="AH2145" s="4"/>
      <c r="EA2145" s="4"/>
      <c r="FX2145" s="4"/>
      <c r="HL2145" s="4"/>
      <c r="HZ2145" s="4"/>
      <c r="IU2145" s="4"/>
      <c r="JM2145" s="4"/>
    </row>
    <row r="2146" spans="24:273" ht="12" customHeight="1">
      <c r="X2146" s="4"/>
      <c r="AH2146" s="4"/>
      <c r="EA2146" s="4"/>
      <c r="FX2146" s="4"/>
      <c r="HL2146" s="4"/>
      <c r="HZ2146" s="4"/>
      <c r="IU2146" s="4"/>
      <c r="JM2146" s="4"/>
    </row>
    <row r="2147" spans="24:273" ht="12" customHeight="1">
      <c r="X2147" s="4"/>
      <c r="AH2147" s="4"/>
      <c r="EA2147" s="4"/>
      <c r="FX2147" s="4"/>
      <c r="HL2147" s="4"/>
      <c r="HZ2147" s="4"/>
      <c r="IU2147" s="4"/>
      <c r="JM2147" s="4"/>
    </row>
    <row r="2148" spans="24:273" ht="12" customHeight="1">
      <c r="X2148" s="4"/>
      <c r="AH2148" s="4"/>
      <c r="EA2148" s="4"/>
      <c r="FX2148" s="4"/>
      <c r="HL2148" s="4"/>
      <c r="HZ2148" s="4"/>
      <c r="IU2148" s="4"/>
      <c r="JM2148" s="4"/>
    </row>
    <row r="2149" spans="24:273" ht="12" customHeight="1">
      <c r="X2149" s="4"/>
      <c r="AH2149" s="4"/>
      <c r="EA2149" s="4"/>
      <c r="FX2149" s="4"/>
      <c r="HL2149" s="4"/>
      <c r="HZ2149" s="4"/>
      <c r="IU2149" s="4"/>
      <c r="JM2149" s="4"/>
    </row>
    <row r="2150" spans="24:273" ht="12" customHeight="1">
      <c r="X2150" s="4"/>
      <c r="AH2150" s="4"/>
      <c r="EA2150" s="4"/>
      <c r="FX2150" s="4"/>
      <c r="HL2150" s="4"/>
      <c r="HZ2150" s="4"/>
      <c r="IU2150" s="4"/>
      <c r="JM2150" s="4"/>
    </row>
    <row r="2151" spans="24:273" ht="12" customHeight="1">
      <c r="X2151" s="4"/>
      <c r="AH2151" s="4"/>
      <c r="EA2151" s="4"/>
      <c r="FX2151" s="4"/>
      <c r="HL2151" s="4"/>
      <c r="HZ2151" s="4"/>
      <c r="IU2151" s="4"/>
      <c r="JM2151" s="4"/>
    </row>
    <row r="2152" spans="24:273" ht="12" customHeight="1">
      <c r="X2152" s="4"/>
      <c r="AH2152" s="4"/>
      <c r="EA2152" s="4"/>
      <c r="FX2152" s="4"/>
      <c r="HL2152" s="4"/>
      <c r="HZ2152" s="4"/>
      <c r="IU2152" s="4"/>
      <c r="JM2152" s="4"/>
    </row>
    <row r="2153" spans="24:273" ht="12" customHeight="1">
      <c r="X2153" s="4"/>
      <c r="AH2153" s="4"/>
      <c r="EA2153" s="4"/>
      <c r="FX2153" s="4"/>
      <c r="HL2153" s="4"/>
      <c r="HZ2153" s="4"/>
      <c r="IU2153" s="4"/>
      <c r="JM2153" s="4"/>
    </row>
    <row r="2154" spans="24:273" ht="12" customHeight="1">
      <c r="X2154" s="4"/>
      <c r="AH2154" s="4"/>
      <c r="EA2154" s="4"/>
      <c r="FX2154" s="4"/>
      <c r="HL2154" s="4"/>
      <c r="HZ2154" s="4"/>
      <c r="IU2154" s="4"/>
      <c r="JM2154" s="4"/>
    </row>
    <row r="2155" spans="24:273" ht="12" customHeight="1">
      <c r="X2155" s="4"/>
      <c r="AH2155" s="4"/>
      <c r="EA2155" s="4"/>
      <c r="FX2155" s="4"/>
      <c r="HL2155" s="4"/>
      <c r="HZ2155" s="4"/>
      <c r="IU2155" s="4"/>
      <c r="JM2155" s="4"/>
    </row>
    <row r="2156" spans="24:273" ht="12" customHeight="1">
      <c r="X2156" s="4"/>
      <c r="AH2156" s="4"/>
      <c r="EA2156" s="4"/>
      <c r="FX2156" s="4"/>
      <c r="HL2156" s="4"/>
      <c r="HZ2156" s="4"/>
      <c r="IU2156" s="4"/>
      <c r="JM2156" s="4"/>
    </row>
    <row r="2157" spans="24:273" ht="12" customHeight="1">
      <c r="X2157" s="4"/>
      <c r="AH2157" s="4"/>
      <c r="EA2157" s="4"/>
      <c r="FX2157" s="4"/>
      <c r="HL2157" s="4"/>
      <c r="HZ2157" s="4"/>
      <c r="IU2157" s="4"/>
      <c r="JM2157" s="4"/>
    </row>
    <row r="2158" spans="24:273" ht="12" customHeight="1">
      <c r="X2158" s="4"/>
      <c r="AH2158" s="4"/>
      <c r="EA2158" s="4"/>
      <c r="FX2158" s="4"/>
      <c r="HL2158" s="4"/>
      <c r="HZ2158" s="4"/>
      <c r="IU2158" s="4"/>
      <c r="JM2158" s="4"/>
    </row>
    <row r="2159" spans="24:273" ht="12" customHeight="1">
      <c r="X2159" s="4"/>
      <c r="AH2159" s="4"/>
      <c r="EA2159" s="4"/>
      <c r="FX2159" s="4"/>
      <c r="HL2159" s="4"/>
      <c r="HZ2159" s="4"/>
      <c r="IU2159" s="4"/>
      <c r="JM2159" s="4"/>
    </row>
    <row r="2160" spans="24:273" ht="12" customHeight="1">
      <c r="X2160" s="4"/>
      <c r="AH2160" s="4"/>
      <c r="EA2160" s="4"/>
      <c r="FX2160" s="4"/>
      <c r="HL2160" s="4"/>
      <c r="HZ2160" s="4"/>
      <c r="IU2160" s="4"/>
      <c r="JM2160" s="4"/>
    </row>
    <row r="2161" spans="24:273" ht="12" customHeight="1">
      <c r="X2161" s="4"/>
      <c r="AH2161" s="4"/>
      <c r="EA2161" s="4"/>
      <c r="FX2161" s="4"/>
      <c r="HL2161" s="4"/>
      <c r="HZ2161" s="4"/>
      <c r="IU2161" s="4"/>
      <c r="JM2161" s="4"/>
    </row>
    <row r="2162" spans="24:273" ht="12" customHeight="1">
      <c r="X2162" s="4"/>
      <c r="AH2162" s="4"/>
      <c r="EA2162" s="4"/>
      <c r="FX2162" s="4"/>
      <c r="HL2162" s="4"/>
      <c r="HZ2162" s="4"/>
      <c r="IU2162" s="4"/>
      <c r="JM2162" s="4"/>
    </row>
    <row r="2163" spans="24:273" ht="12" customHeight="1">
      <c r="X2163" s="4"/>
      <c r="AH2163" s="4"/>
      <c r="EA2163" s="4"/>
      <c r="FX2163" s="4"/>
      <c r="HL2163" s="4"/>
      <c r="HZ2163" s="4"/>
      <c r="IU2163" s="4"/>
      <c r="JM2163" s="4"/>
    </row>
    <row r="2164" spans="24:273" ht="12" customHeight="1">
      <c r="X2164" s="4"/>
      <c r="AH2164" s="4"/>
      <c r="EA2164" s="4"/>
      <c r="FX2164" s="4"/>
      <c r="HL2164" s="4"/>
      <c r="HZ2164" s="4"/>
      <c r="IU2164" s="4"/>
      <c r="JM2164" s="4"/>
    </row>
    <row r="2165" spans="24:273" ht="12" customHeight="1">
      <c r="X2165" s="4"/>
      <c r="AH2165" s="4"/>
      <c r="EA2165" s="4"/>
      <c r="FX2165" s="4"/>
      <c r="HL2165" s="4"/>
      <c r="HZ2165" s="4"/>
      <c r="IU2165" s="4"/>
      <c r="JM2165" s="4"/>
    </row>
    <row r="2166" spans="24:273" ht="12" customHeight="1">
      <c r="X2166" s="4"/>
      <c r="AH2166" s="4"/>
      <c r="EA2166" s="4"/>
      <c r="FX2166" s="4"/>
      <c r="HL2166" s="4"/>
      <c r="HZ2166" s="4"/>
      <c r="IU2166" s="4"/>
      <c r="JM2166" s="4"/>
    </row>
    <row r="2167" spans="24:273" ht="12" customHeight="1">
      <c r="X2167" s="4"/>
      <c r="AH2167" s="4"/>
      <c r="EA2167" s="4"/>
      <c r="FX2167" s="4"/>
      <c r="HL2167" s="4"/>
      <c r="HZ2167" s="4"/>
      <c r="IU2167" s="4"/>
      <c r="JM2167" s="4"/>
    </row>
    <row r="2168" spans="24:273" ht="12" customHeight="1">
      <c r="X2168" s="4"/>
      <c r="AH2168" s="4"/>
      <c r="EA2168" s="4"/>
      <c r="FX2168" s="4"/>
      <c r="HL2168" s="4"/>
      <c r="HZ2168" s="4"/>
      <c r="IU2168" s="4"/>
      <c r="JM2168" s="4"/>
    </row>
    <row r="2169" spans="24:273" ht="12" customHeight="1">
      <c r="X2169" s="4"/>
      <c r="AH2169" s="4"/>
      <c r="EA2169" s="4"/>
      <c r="FX2169" s="4"/>
      <c r="HL2169" s="4"/>
      <c r="HZ2169" s="4"/>
      <c r="IU2169" s="4"/>
      <c r="JM2169" s="4"/>
    </row>
    <row r="2170" spans="24:273" ht="12" customHeight="1">
      <c r="X2170" s="4"/>
      <c r="AH2170" s="4"/>
      <c r="EA2170" s="4"/>
      <c r="FX2170" s="4"/>
      <c r="HL2170" s="4"/>
      <c r="HZ2170" s="4"/>
      <c r="IU2170" s="4"/>
      <c r="JM2170" s="4"/>
    </row>
    <row r="2171" spans="24:273" ht="12" customHeight="1">
      <c r="X2171" s="4"/>
      <c r="AH2171" s="4"/>
      <c r="EA2171" s="4"/>
      <c r="FX2171" s="4"/>
      <c r="HL2171" s="4"/>
      <c r="HZ2171" s="4"/>
      <c r="IU2171" s="4"/>
      <c r="JM2171" s="4"/>
    </row>
    <row r="2172" spans="24:273" ht="12" customHeight="1">
      <c r="X2172" s="4"/>
      <c r="AH2172" s="4"/>
      <c r="EA2172" s="4"/>
      <c r="FX2172" s="4"/>
      <c r="HL2172" s="4"/>
      <c r="HZ2172" s="4"/>
      <c r="IU2172" s="4"/>
      <c r="JM2172" s="4"/>
    </row>
    <row r="2173" spans="24:273" ht="12" customHeight="1">
      <c r="X2173" s="4"/>
      <c r="AH2173" s="4"/>
      <c r="EA2173" s="4"/>
      <c r="FX2173" s="4"/>
      <c r="HL2173" s="4"/>
      <c r="HZ2173" s="4"/>
      <c r="IU2173" s="4"/>
      <c r="JM2173" s="4"/>
    </row>
    <row r="2174" spans="24:273" ht="12" customHeight="1">
      <c r="X2174" s="4"/>
      <c r="AH2174" s="4"/>
      <c r="EA2174" s="4"/>
      <c r="FX2174" s="4"/>
      <c r="HL2174" s="4"/>
      <c r="HZ2174" s="4"/>
      <c r="IU2174" s="4"/>
      <c r="JM2174" s="4"/>
    </row>
    <row r="2175" spans="24:273" ht="12" customHeight="1">
      <c r="X2175" s="4"/>
      <c r="AH2175" s="4"/>
      <c r="EA2175" s="4"/>
      <c r="FX2175" s="4"/>
      <c r="HL2175" s="4"/>
      <c r="HZ2175" s="4"/>
      <c r="IU2175" s="4"/>
      <c r="JM2175" s="4"/>
    </row>
    <row r="2176" spans="24:273" ht="12" customHeight="1">
      <c r="X2176" s="4"/>
      <c r="AH2176" s="4"/>
      <c r="EA2176" s="4"/>
      <c r="FX2176" s="4"/>
      <c r="HL2176" s="4"/>
      <c r="HZ2176" s="4"/>
      <c r="IU2176" s="4"/>
      <c r="JM2176" s="4"/>
    </row>
    <row r="2177" spans="24:273" ht="12" customHeight="1">
      <c r="X2177" s="4"/>
      <c r="AH2177" s="4"/>
      <c r="EA2177" s="4"/>
      <c r="FX2177" s="4"/>
      <c r="HL2177" s="4"/>
      <c r="HZ2177" s="4"/>
      <c r="IU2177" s="4"/>
      <c r="JM2177" s="4"/>
    </row>
    <row r="2178" spans="24:273" ht="12" customHeight="1">
      <c r="X2178" s="4"/>
      <c r="AH2178" s="4"/>
      <c r="EA2178" s="4"/>
      <c r="FX2178" s="4"/>
      <c r="HL2178" s="4"/>
      <c r="HZ2178" s="4"/>
      <c r="IU2178" s="4"/>
      <c r="JM2178" s="4"/>
    </row>
    <row r="2179" spans="24:273" ht="12" customHeight="1">
      <c r="X2179" s="4"/>
      <c r="AH2179" s="4"/>
      <c r="EA2179" s="4"/>
      <c r="FX2179" s="4"/>
      <c r="HL2179" s="4"/>
      <c r="HZ2179" s="4"/>
      <c r="IU2179" s="4"/>
      <c r="JM2179" s="4"/>
    </row>
    <row r="2180" spans="24:273" ht="12" customHeight="1">
      <c r="X2180" s="4"/>
      <c r="AH2180" s="4"/>
      <c r="EA2180" s="4"/>
      <c r="FX2180" s="4"/>
      <c r="HL2180" s="4"/>
      <c r="HZ2180" s="4"/>
      <c r="IU2180" s="4"/>
      <c r="JM2180" s="4"/>
    </row>
    <row r="2181" spans="24:273" ht="12" customHeight="1">
      <c r="X2181" s="4"/>
      <c r="AH2181" s="4"/>
      <c r="EA2181" s="4"/>
      <c r="FX2181" s="4"/>
      <c r="HL2181" s="4"/>
      <c r="HZ2181" s="4"/>
      <c r="IU2181" s="4"/>
      <c r="JM2181" s="4"/>
    </row>
    <row r="2182" spans="24:273" ht="12" customHeight="1">
      <c r="X2182" s="4"/>
      <c r="AH2182" s="4"/>
      <c r="EA2182" s="4"/>
      <c r="FX2182" s="4"/>
      <c r="HL2182" s="4"/>
      <c r="HZ2182" s="4"/>
      <c r="IU2182" s="4"/>
      <c r="JM2182" s="4"/>
    </row>
    <row r="2183" spans="24:273" ht="12" customHeight="1">
      <c r="X2183" s="4"/>
      <c r="AH2183" s="4"/>
      <c r="EA2183" s="4"/>
      <c r="FX2183" s="4"/>
      <c r="HL2183" s="4"/>
      <c r="HZ2183" s="4"/>
      <c r="IU2183" s="4"/>
      <c r="JM2183" s="4"/>
    </row>
    <row r="2184" spans="24:273" ht="12" customHeight="1">
      <c r="X2184" s="4"/>
      <c r="AH2184" s="4"/>
      <c r="EA2184" s="4"/>
      <c r="FX2184" s="4"/>
      <c r="HL2184" s="4"/>
      <c r="HZ2184" s="4"/>
      <c r="IU2184" s="4"/>
      <c r="JM2184" s="4"/>
    </row>
    <row r="2185" spans="24:273" ht="12" customHeight="1">
      <c r="X2185" s="4"/>
      <c r="AH2185" s="4"/>
      <c r="EA2185" s="4"/>
      <c r="FX2185" s="4"/>
      <c r="HL2185" s="4"/>
      <c r="HZ2185" s="4"/>
      <c r="IU2185" s="4"/>
      <c r="JM2185" s="4"/>
    </row>
    <row r="2186" spans="24:273" ht="12" customHeight="1">
      <c r="X2186" s="4"/>
      <c r="AH2186" s="4"/>
      <c r="EA2186" s="4"/>
      <c r="FX2186" s="4"/>
      <c r="HL2186" s="4"/>
      <c r="HZ2186" s="4"/>
      <c r="IU2186" s="4"/>
      <c r="JM2186" s="4"/>
    </row>
    <row r="2187" spans="24:273" ht="12" customHeight="1">
      <c r="X2187" s="4"/>
      <c r="AH2187" s="4"/>
      <c r="EA2187" s="4"/>
      <c r="FX2187" s="4"/>
      <c r="HL2187" s="4"/>
      <c r="HZ2187" s="4"/>
      <c r="IU2187" s="4"/>
      <c r="JM2187" s="4"/>
    </row>
    <row r="2188" spans="24:273" ht="12" customHeight="1">
      <c r="X2188" s="4"/>
      <c r="AH2188" s="4"/>
      <c r="EA2188" s="4"/>
      <c r="FX2188" s="4"/>
      <c r="HL2188" s="4"/>
      <c r="HZ2188" s="4"/>
      <c r="IU2188" s="4"/>
      <c r="JM2188" s="4"/>
    </row>
    <row r="2189" spans="24:273" ht="12" customHeight="1">
      <c r="X2189" s="4"/>
      <c r="AH2189" s="4"/>
      <c r="EA2189" s="4"/>
      <c r="FX2189" s="4"/>
      <c r="HL2189" s="4"/>
      <c r="HZ2189" s="4"/>
      <c r="IU2189" s="4"/>
      <c r="JM2189" s="4"/>
    </row>
    <row r="2190" spans="24:273" ht="12" customHeight="1">
      <c r="X2190" s="4"/>
      <c r="AH2190" s="4"/>
      <c r="EA2190" s="4"/>
      <c r="FX2190" s="4"/>
      <c r="HL2190" s="4"/>
      <c r="HZ2190" s="4"/>
      <c r="IU2190" s="4"/>
      <c r="JM2190" s="4"/>
    </row>
    <row r="2191" spans="24:273" ht="12" customHeight="1">
      <c r="X2191" s="4"/>
      <c r="AH2191" s="4"/>
      <c r="EA2191" s="4"/>
      <c r="FX2191" s="4"/>
      <c r="HL2191" s="4"/>
      <c r="HZ2191" s="4"/>
      <c r="IU2191" s="4"/>
      <c r="JM2191" s="4"/>
    </row>
    <row r="2192" spans="24:273" ht="12" customHeight="1">
      <c r="X2192" s="4"/>
      <c r="AH2192" s="4"/>
      <c r="EA2192" s="4"/>
      <c r="FX2192" s="4"/>
      <c r="HL2192" s="4"/>
      <c r="HZ2192" s="4"/>
      <c r="IU2192" s="4"/>
      <c r="JM2192" s="4"/>
    </row>
    <row r="2193" spans="24:273" ht="12" customHeight="1">
      <c r="X2193" s="4"/>
      <c r="AH2193" s="4"/>
      <c r="EA2193" s="4"/>
      <c r="FX2193" s="4"/>
      <c r="HL2193" s="4"/>
      <c r="HZ2193" s="4"/>
      <c r="IU2193" s="4"/>
      <c r="JM2193" s="4"/>
    </row>
    <row r="2194" spans="24:273" ht="12" customHeight="1">
      <c r="X2194" s="4"/>
      <c r="AH2194" s="4"/>
      <c r="EA2194" s="4"/>
      <c r="FX2194" s="4"/>
      <c r="HL2194" s="4"/>
      <c r="HZ2194" s="4"/>
      <c r="IU2194" s="4"/>
      <c r="JM2194" s="4"/>
    </row>
    <row r="2195" spans="24:273" ht="12" customHeight="1">
      <c r="X2195" s="4"/>
      <c r="AH2195" s="4"/>
      <c r="EA2195" s="4"/>
      <c r="FX2195" s="4"/>
      <c r="HL2195" s="4"/>
      <c r="HZ2195" s="4"/>
      <c r="IU2195" s="4"/>
      <c r="JM2195" s="4"/>
    </row>
    <row r="2196" spans="24:273" ht="12" customHeight="1">
      <c r="X2196" s="4"/>
      <c r="AH2196" s="4"/>
      <c r="EA2196" s="4"/>
      <c r="FX2196" s="4"/>
      <c r="HL2196" s="4"/>
      <c r="HZ2196" s="4"/>
      <c r="IU2196" s="4"/>
      <c r="JM2196" s="4"/>
    </row>
    <row r="2197" spans="24:273" ht="12" customHeight="1">
      <c r="X2197" s="4"/>
      <c r="AH2197" s="4"/>
      <c r="EA2197" s="4"/>
      <c r="FX2197" s="4"/>
      <c r="HL2197" s="4"/>
      <c r="HZ2197" s="4"/>
      <c r="IU2197" s="4"/>
      <c r="JM2197" s="4"/>
    </row>
    <row r="2198" spans="24:273" ht="12" customHeight="1">
      <c r="X2198" s="4"/>
      <c r="AH2198" s="4"/>
      <c r="EA2198" s="4"/>
      <c r="FX2198" s="4"/>
      <c r="HL2198" s="4"/>
      <c r="HZ2198" s="4"/>
      <c r="IU2198" s="4"/>
      <c r="JM2198" s="4"/>
    </row>
    <row r="2199" spans="24:273" ht="12" customHeight="1">
      <c r="X2199" s="4"/>
      <c r="AH2199" s="4"/>
      <c r="EA2199" s="4"/>
      <c r="FX2199" s="4"/>
      <c r="HL2199" s="4"/>
      <c r="HZ2199" s="4"/>
      <c r="IU2199" s="4"/>
      <c r="JM2199" s="4"/>
    </row>
    <row r="2200" spans="24:273" ht="12" customHeight="1">
      <c r="X2200" s="4"/>
      <c r="AH2200" s="4"/>
      <c r="EA2200" s="4"/>
      <c r="FX2200" s="4"/>
      <c r="HL2200" s="4"/>
      <c r="HZ2200" s="4"/>
      <c r="IU2200" s="4"/>
      <c r="JM2200" s="4"/>
    </row>
    <row r="2201" spans="24:273" ht="12" customHeight="1">
      <c r="X2201" s="4"/>
      <c r="AH2201" s="4"/>
      <c r="EA2201" s="4"/>
      <c r="FX2201" s="4"/>
      <c r="HL2201" s="4"/>
      <c r="HZ2201" s="4"/>
      <c r="IU2201" s="4"/>
      <c r="JM2201" s="4"/>
    </row>
    <row r="2202" spans="24:273" ht="12" customHeight="1">
      <c r="X2202" s="4"/>
      <c r="AH2202" s="4"/>
      <c r="EA2202" s="4"/>
      <c r="FX2202" s="4"/>
      <c r="HL2202" s="4"/>
      <c r="HZ2202" s="4"/>
      <c r="IU2202" s="4"/>
      <c r="JM2202" s="4"/>
    </row>
    <row r="2203" spans="24:273" ht="12" customHeight="1">
      <c r="X2203" s="4"/>
      <c r="AH2203" s="4"/>
      <c r="EA2203" s="4"/>
      <c r="FX2203" s="4"/>
      <c r="HL2203" s="4"/>
      <c r="HZ2203" s="4"/>
      <c r="IU2203" s="4"/>
      <c r="JM2203" s="4"/>
    </row>
    <row r="2204" spans="24:273" ht="12" customHeight="1">
      <c r="X2204" s="4"/>
      <c r="AH2204" s="4"/>
      <c r="EA2204" s="4"/>
      <c r="FX2204" s="4"/>
      <c r="HL2204" s="4"/>
      <c r="HZ2204" s="4"/>
      <c r="IU2204" s="4"/>
      <c r="JM2204" s="4"/>
    </row>
    <row r="2205" spans="24:273" ht="12" customHeight="1">
      <c r="X2205" s="4"/>
      <c r="AH2205" s="4"/>
      <c r="EA2205" s="4"/>
      <c r="FX2205" s="4"/>
      <c r="HL2205" s="4"/>
      <c r="HZ2205" s="4"/>
      <c r="IU2205" s="4"/>
      <c r="JM2205" s="4"/>
    </row>
    <row r="2206" spans="24:273" ht="12" customHeight="1">
      <c r="X2206" s="4"/>
      <c r="AH2206" s="4"/>
      <c r="EA2206" s="4"/>
      <c r="FX2206" s="4"/>
      <c r="HL2206" s="4"/>
      <c r="HZ2206" s="4"/>
      <c r="IU2206" s="4"/>
      <c r="JM2206" s="4"/>
    </row>
    <row r="2207" spans="24:273" ht="12" customHeight="1">
      <c r="X2207" s="4"/>
      <c r="AH2207" s="4"/>
      <c r="EA2207" s="4"/>
      <c r="FX2207" s="4"/>
      <c r="HL2207" s="4"/>
      <c r="HZ2207" s="4"/>
      <c r="IU2207" s="4"/>
      <c r="JM2207" s="4"/>
    </row>
    <row r="2208" spans="24:273" ht="12" customHeight="1">
      <c r="X2208" s="4"/>
      <c r="AH2208" s="4"/>
      <c r="EA2208" s="4"/>
      <c r="FX2208" s="4"/>
      <c r="HL2208" s="4"/>
      <c r="HZ2208" s="4"/>
      <c r="IU2208" s="4"/>
      <c r="JM2208" s="4"/>
    </row>
    <row r="2209" spans="24:273" ht="12" customHeight="1">
      <c r="X2209" s="4"/>
      <c r="AH2209" s="4"/>
      <c r="EA2209" s="4"/>
      <c r="FX2209" s="4"/>
      <c r="HL2209" s="4"/>
      <c r="HZ2209" s="4"/>
      <c r="IU2209" s="4"/>
      <c r="JM2209" s="4"/>
    </row>
    <row r="2210" spans="24:273" ht="12" customHeight="1">
      <c r="X2210" s="4"/>
      <c r="AH2210" s="4"/>
      <c r="EA2210" s="4"/>
      <c r="FX2210" s="4"/>
      <c r="HL2210" s="4"/>
      <c r="HZ2210" s="4"/>
      <c r="IU2210" s="4"/>
      <c r="JM2210" s="4"/>
    </row>
    <row r="2211" spans="24:273" ht="12" customHeight="1">
      <c r="X2211" s="4"/>
      <c r="AH2211" s="4"/>
      <c r="EA2211" s="4"/>
      <c r="FX2211" s="4"/>
      <c r="HL2211" s="4"/>
      <c r="HZ2211" s="4"/>
      <c r="IU2211" s="4"/>
      <c r="JM2211" s="4"/>
    </row>
    <row r="2212" spans="24:273" ht="12" customHeight="1">
      <c r="X2212" s="4"/>
      <c r="AH2212" s="4"/>
      <c r="EA2212" s="4"/>
      <c r="FX2212" s="4"/>
      <c r="HL2212" s="4"/>
      <c r="HZ2212" s="4"/>
      <c r="IU2212" s="4"/>
      <c r="JM2212" s="4"/>
    </row>
    <row r="2213" spans="24:273" ht="12" customHeight="1">
      <c r="X2213" s="4"/>
      <c r="AH2213" s="4"/>
      <c r="EA2213" s="4"/>
      <c r="FX2213" s="4"/>
      <c r="HL2213" s="4"/>
      <c r="HZ2213" s="4"/>
      <c r="IU2213" s="4"/>
      <c r="JM2213" s="4"/>
    </row>
    <row r="2214" spans="24:273" ht="12" customHeight="1">
      <c r="X2214" s="4"/>
      <c r="AH2214" s="4"/>
      <c r="EA2214" s="4"/>
      <c r="FX2214" s="4"/>
      <c r="HL2214" s="4"/>
      <c r="HZ2214" s="4"/>
      <c r="IU2214" s="4"/>
      <c r="JM2214" s="4"/>
    </row>
    <row r="2215" spans="24:273" ht="12" customHeight="1">
      <c r="X2215" s="4"/>
      <c r="AH2215" s="4"/>
      <c r="EA2215" s="4"/>
      <c r="FX2215" s="4"/>
      <c r="HL2215" s="4"/>
      <c r="HZ2215" s="4"/>
      <c r="IU2215" s="4"/>
      <c r="JM2215" s="4"/>
    </row>
    <row r="2216" spans="24:273" ht="12" customHeight="1">
      <c r="X2216" s="4"/>
      <c r="AH2216" s="4"/>
      <c r="EA2216" s="4"/>
      <c r="FX2216" s="4"/>
      <c r="HL2216" s="4"/>
      <c r="HZ2216" s="4"/>
      <c r="IU2216" s="4"/>
      <c r="JM2216" s="4"/>
    </row>
    <row r="2217" spans="24:273" ht="12" customHeight="1">
      <c r="X2217" s="4"/>
      <c r="AH2217" s="4"/>
      <c r="EA2217" s="4"/>
      <c r="FX2217" s="4"/>
      <c r="HL2217" s="4"/>
      <c r="HZ2217" s="4"/>
      <c r="IU2217" s="4"/>
      <c r="JM2217" s="4"/>
    </row>
    <row r="2218" spans="24:273" ht="12" customHeight="1">
      <c r="X2218" s="4"/>
      <c r="AH2218" s="4"/>
      <c r="EA2218" s="4"/>
      <c r="FX2218" s="4"/>
      <c r="HL2218" s="4"/>
      <c r="HZ2218" s="4"/>
      <c r="IU2218" s="4"/>
      <c r="JM2218" s="4"/>
    </row>
    <row r="2219" spans="24:273" ht="12" customHeight="1">
      <c r="X2219" s="4"/>
      <c r="AH2219" s="4"/>
      <c r="EA2219" s="4"/>
      <c r="FX2219" s="4"/>
      <c r="HL2219" s="4"/>
      <c r="HZ2219" s="4"/>
      <c r="IU2219" s="4"/>
      <c r="JM2219" s="4"/>
    </row>
    <row r="2220" spans="24:273" ht="12" customHeight="1">
      <c r="X2220" s="4"/>
      <c r="AH2220" s="4"/>
      <c r="EA2220" s="4"/>
      <c r="FX2220" s="4"/>
      <c r="HL2220" s="4"/>
      <c r="HZ2220" s="4"/>
      <c r="IU2220" s="4"/>
      <c r="JM2220" s="4"/>
    </row>
    <row r="2221" spans="24:273" ht="12" customHeight="1">
      <c r="X2221" s="4"/>
      <c r="AH2221" s="4"/>
      <c r="EA2221" s="4"/>
      <c r="FX2221" s="4"/>
      <c r="HL2221" s="4"/>
      <c r="HZ2221" s="4"/>
      <c r="IU2221" s="4"/>
      <c r="JM2221" s="4"/>
    </row>
    <row r="2222" spans="24:273" ht="12" customHeight="1">
      <c r="X2222" s="4"/>
      <c r="AH2222" s="4"/>
      <c r="EA2222" s="4"/>
      <c r="FX2222" s="4"/>
      <c r="HL2222" s="4"/>
      <c r="HZ2222" s="4"/>
      <c r="IU2222" s="4"/>
      <c r="JM2222" s="4"/>
    </row>
    <row r="2223" spans="24:273" ht="12" customHeight="1">
      <c r="X2223" s="4"/>
      <c r="AH2223" s="4"/>
      <c r="EA2223" s="4"/>
      <c r="FX2223" s="4"/>
      <c r="HL2223" s="4"/>
      <c r="HZ2223" s="4"/>
      <c r="IU2223" s="4"/>
      <c r="JM2223" s="4"/>
    </row>
    <row r="2224" spans="24:273" ht="12" customHeight="1">
      <c r="X2224" s="4"/>
      <c r="AH2224" s="4"/>
      <c r="EA2224" s="4"/>
      <c r="FX2224" s="4"/>
      <c r="HL2224" s="4"/>
      <c r="HZ2224" s="4"/>
      <c r="IU2224" s="4"/>
      <c r="JM2224" s="4"/>
    </row>
    <row r="2225" spans="24:273" ht="12" customHeight="1">
      <c r="X2225" s="4"/>
      <c r="AH2225" s="4"/>
      <c r="EA2225" s="4"/>
      <c r="FX2225" s="4"/>
      <c r="HL2225" s="4"/>
      <c r="HZ2225" s="4"/>
      <c r="IU2225" s="4"/>
      <c r="JM2225" s="4"/>
    </row>
    <row r="2226" spans="24:273" ht="12" customHeight="1">
      <c r="X2226" s="4"/>
      <c r="AH2226" s="4"/>
      <c r="EA2226" s="4"/>
      <c r="FX2226" s="4"/>
      <c r="HL2226" s="4"/>
      <c r="HZ2226" s="4"/>
      <c r="IU2226" s="4"/>
      <c r="JM2226" s="4"/>
    </row>
    <row r="2227" spans="24:273" ht="12" customHeight="1">
      <c r="X2227" s="4"/>
      <c r="AH2227" s="4"/>
      <c r="EA2227" s="4"/>
      <c r="FX2227" s="4"/>
      <c r="HL2227" s="4"/>
      <c r="HZ2227" s="4"/>
      <c r="IU2227" s="4"/>
      <c r="JM2227" s="4"/>
    </row>
    <row r="2228" spans="24:273" ht="12" customHeight="1">
      <c r="X2228" s="4"/>
      <c r="AH2228" s="4"/>
      <c r="EA2228" s="4"/>
      <c r="FX2228" s="4"/>
      <c r="HL2228" s="4"/>
      <c r="HZ2228" s="4"/>
      <c r="IU2228" s="4"/>
      <c r="JM2228" s="4"/>
    </row>
    <row r="2229" spans="24:273" ht="12" customHeight="1">
      <c r="X2229" s="4"/>
      <c r="AH2229" s="4"/>
      <c r="EA2229" s="4"/>
      <c r="FX2229" s="4"/>
      <c r="HL2229" s="4"/>
      <c r="HZ2229" s="4"/>
      <c r="IU2229" s="4"/>
      <c r="JM2229" s="4"/>
    </row>
    <row r="2230" spans="24:273" ht="12" customHeight="1">
      <c r="X2230" s="4"/>
      <c r="AH2230" s="4"/>
      <c r="EA2230" s="4"/>
      <c r="FX2230" s="4"/>
      <c r="HL2230" s="4"/>
      <c r="HZ2230" s="4"/>
      <c r="IU2230" s="4"/>
      <c r="JM2230" s="4"/>
    </row>
    <row r="2231" spans="24:273" ht="12" customHeight="1">
      <c r="X2231" s="4"/>
      <c r="AH2231" s="4"/>
      <c r="EA2231" s="4"/>
      <c r="FX2231" s="4"/>
      <c r="HL2231" s="4"/>
      <c r="HZ2231" s="4"/>
      <c r="IU2231" s="4"/>
      <c r="JM2231" s="4"/>
    </row>
    <row r="2232" spans="24:273" ht="12" customHeight="1">
      <c r="X2232" s="4"/>
      <c r="AH2232" s="4"/>
      <c r="EA2232" s="4"/>
      <c r="FX2232" s="4"/>
      <c r="HL2232" s="4"/>
      <c r="HZ2232" s="4"/>
      <c r="IU2232" s="4"/>
      <c r="JM2232" s="4"/>
    </row>
    <row r="2233" spans="24:273" ht="12" customHeight="1">
      <c r="X2233" s="4"/>
      <c r="AH2233" s="4"/>
      <c r="EA2233" s="4"/>
      <c r="FX2233" s="4"/>
      <c r="HL2233" s="4"/>
      <c r="HZ2233" s="4"/>
      <c r="IU2233" s="4"/>
      <c r="JM2233" s="4"/>
    </row>
    <row r="2234" spans="24:273" ht="12" customHeight="1">
      <c r="X2234" s="4"/>
      <c r="AH2234" s="4"/>
      <c r="EA2234" s="4"/>
      <c r="FX2234" s="4"/>
      <c r="HL2234" s="4"/>
      <c r="HZ2234" s="4"/>
      <c r="IU2234" s="4"/>
      <c r="JM2234" s="4"/>
    </row>
    <row r="2235" spans="24:273" ht="12" customHeight="1">
      <c r="X2235" s="4"/>
      <c r="AH2235" s="4"/>
      <c r="EA2235" s="4"/>
      <c r="FX2235" s="4"/>
      <c r="HL2235" s="4"/>
      <c r="HZ2235" s="4"/>
      <c r="IU2235" s="4"/>
      <c r="JM2235" s="4"/>
    </row>
    <row r="2236" spans="24:273" ht="12" customHeight="1">
      <c r="X2236" s="4"/>
      <c r="AH2236" s="4"/>
      <c r="EA2236" s="4"/>
      <c r="FX2236" s="4"/>
      <c r="HL2236" s="4"/>
      <c r="HZ2236" s="4"/>
      <c r="IU2236" s="4"/>
      <c r="JM2236" s="4"/>
    </row>
    <row r="2237" spans="24:273" ht="12" customHeight="1">
      <c r="X2237" s="4"/>
      <c r="AH2237" s="4"/>
      <c r="EA2237" s="4"/>
      <c r="FX2237" s="4"/>
      <c r="HL2237" s="4"/>
      <c r="HZ2237" s="4"/>
      <c r="IU2237" s="4"/>
      <c r="JM2237" s="4"/>
    </row>
    <row r="2238" spans="24:273" ht="12" customHeight="1">
      <c r="X2238" s="4"/>
      <c r="AH2238" s="4"/>
      <c r="EA2238" s="4"/>
      <c r="FX2238" s="4"/>
      <c r="HL2238" s="4"/>
      <c r="HZ2238" s="4"/>
      <c r="IU2238" s="4"/>
      <c r="JM2238" s="4"/>
    </row>
    <row r="2239" spans="24:273" ht="12" customHeight="1">
      <c r="X2239" s="4"/>
      <c r="AH2239" s="4"/>
      <c r="EA2239" s="4"/>
      <c r="FX2239" s="4"/>
      <c r="HL2239" s="4"/>
      <c r="HZ2239" s="4"/>
      <c r="IU2239" s="4"/>
      <c r="JM2239" s="4"/>
    </row>
    <row r="2240" spans="24:273" ht="12" customHeight="1">
      <c r="X2240" s="4"/>
      <c r="AH2240" s="4"/>
      <c r="EA2240" s="4"/>
      <c r="FX2240" s="4"/>
      <c r="HL2240" s="4"/>
      <c r="HZ2240" s="4"/>
      <c r="IU2240" s="4"/>
      <c r="JM2240" s="4"/>
    </row>
    <row r="2241" spans="24:273" ht="12" customHeight="1">
      <c r="X2241" s="4"/>
      <c r="AH2241" s="4"/>
      <c r="EA2241" s="4"/>
      <c r="FX2241" s="4"/>
      <c r="HL2241" s="4"/>
      <c r="HZ2241" s="4"/>
      <c r="IU2241" s="4"/>
      <c r="JM2241" s="4"/>
    </row>
    <row r="2242" spans="24:273" ht="12" customHeight="1">
      <c r="X2242" s="4"/>
      <c r="AH2242" s="4"/>
      <c r="EA2242" s="4"/>
      <c r="FX2242" s="4"/>
      <c r="HL2242" s="4"/>
      <c r="HZ2242" s="4"/>
      <c r="IU2242" s="4"/>
      <c r="JM2242" s="4"/>
    </row>
    <row r="2243" spans="24:273" ht="12" customHeight="1">
      <c r="X2243" s="4"/>
      <c r="AH2243" s="4"/>
      <c r="EA2243" s="4"/>
      <c r="FX2243" s="4"/>
      <c r="HL2243" s="4"/>
      <c r="HZ2243" s="4"/>
      <c r="IU2243" s="4"/>
      <c r="JM2243" s="4"/>
    </row>
    <row r="2244" spans="24:273" ht="12" customHeight="1">
      <c r="X2244" s="4"/>
      <c r="AH2244" s="4"/>
      <c r="EA2244" s="4"/>
      <c r="FX2244" s="4"/>
      <c r="HL2244" s="4"/>
      <c r="HZ2244" s="4"/>
      <c r="IU2244" s="4"/>
      <c r="JM2244" s="4"/>
    </row>
    <row r="2245" spans="24:273" ht="12" customHeight="1">
      <c r="X2245" s="4"/>
      <c r="AH2245" s="4"/>
      <c r="EA2245" s="4"/>
      <c r="FX2245" s="4"/>
      <c r="HL2245" s="4"/>
      <c r="HZ2245" s="4"/>
      <c r="IU2245" s="4"/>
      <c r="JM2245" s="4"/>
    </row>
    <row r="2246" spans="24:273" ht="12" customHeight="1">
      <c r="X2246" s="4"/>
      <c r="AH2246" s="4"/>
      <c r="EA2246" s="4"/>
      <c r="FX2246" s="4"/>
      <c r="HL2246" s="4"/>
      <c r="HZ2246" s="4"/>
      <c r="IU2246" s="4"/>
      <c r="JM2246" s="4"/>
    </row>
    <row r="2247" spans="24:273" ht="12" customHeight="1">
      <c r="X2247" s="4"/>
      <c r="AH2247" s="4"/>
      <c r="EA2247" s="4"/>
      <c r="FX2247" s="4"/>
      <c r="HL2247" s="4"/>
      <c r="HZ2247" s="4"/>
      <c r="IU2247" s="4"/>
      <c r="JM2247" s="4"/>
    </row>
    <row r="2248" spans="24:273" ht="12" customHeight="1">
      <c r="X2248" s="4"/>
      <c r="AH2248" s="4"/>
      <c r="EA2248" s="4"/>
      <c r="FX2248" s="4"/>
      <c r="HL2248" s="4"/>
      <c r="HZ2248" s="4"/>
      <c r="IU2248" s="4"/>
      <c r="JM2248" s="4"/>
    </row>
    <row r="2249" spans="24:273" ht="12" customHeight="1">
      <c r="X2249" s="4"/>
      <c r="AH2249" s="4"/>
      <c r="EA2249" s="4"/>
      <c r="FX2249" s="4"/>
      <c r="HL2249" s="4"/>
      <c r="HZ2249" s="4"/>
      <c r="IU2249" s="4"/>
      <c r="JM2249" s="4"/>
    </row>
    <row r="2250" spans="24:273" ht="12" customHeight="1">
      <c r="X2250" s="4"/>
      <c r="AH2250" s="4"/>
      <c r="EA2250" s="4"/>
      <c r="FX2250" s="4"/>
      <c r="HL2250" s="4"/>
      <c r="HZ2250" s="4"/>
      <c r="IU2250" s="4"/>
      <c r="JM2250" s="4"/>
    </row>
    <row r="2251" spans="24:273" ht="12" customHeight="1">
      <c r="X2251" s="4"/>
      <c r="AH2251" s="4"/>
      <c r="EA2251" s="4"/>
      <c r="FX2251" s="4"/>
      <c r="HL2251" s="4"/>
      <c r="HZ2251" s="4"/>
      <c r="IU2251" s="4"/>
      <c r="JM2251" s="4"/>
    </row>
    <row r="2252" spans="24:273" ht="12" customHeight="1">
      <c r="X2252" s="4"/>
      <c r="AH2252" s="4"/>
      <c r="EA2252" s="4"/>
      <c r="FX2252" s="4"/>
      <c r="HL2252" s="4"/>
      <c r="HZ2252" s="4"/>
      <c r="IU2252" s="4"/>
      <c r="JM2252" s="4"/>
    </row>
    <row r="2253" spans="24:273" ht="12" customHeight="1">
      <c r="X2253" s="4"/>
      <c r="AH2253" s="4"/>
      <c r="EA2253" s="4"/>
      <c r="FX2253" s="4"/>
      <c r="HL2253" s="4"/>
      <c r="HZ2253" s="4"/>
      <c r="IU2253" s="4"/>
      <c r="JM2253" s="4"/>
    </row>
    <row r="2254" spans="24:273" ht="12" customHeight="1">
      <c r="X2254" s="4"/>
      <c r="AH2254" s="4"/>
      <c r="EA2254" s="4"/>
      <c r="FX2254" s="4"/>
      <c r="HL2254" s="4"/>
      <c r="HZ2254" s="4"/>
      <c r="IU2254" s="4"/>
      <c r="JM2254" s="4"/>
    </row>
    <row r="2255" spans="24:273" ht="12" customHeight="1">
      <c r="X2255" s="4"/>
      <c r="AH2255" s="4"/>
      <c r="EA2255" s="4"/>
      <c r="FX2255" s="4"/>
      <c r="HL2255" s="4"/>
      <c r="HZ2255" s="4"/>
      <c r="IU2255" s="4"/>
      <c r="JM2255" s="4"/>
    </row>
    <row r="2256" spans="24:273" ht="12" customHeight="1">
      <c r="X2256" s="4"/>
      <c r="AH2256" s="4"/>
      <c r="EA2256" s="4"/>
      <c r="FX2256" s="4"/>
      <c r="HL2256" s="4"/>
      <c r="HZ2256" s="4"/>
      <c r="IU2256" s="4"/>
      <c r="JM2256" s="4"/>
    </row>
    <row r="2257" spans="24:273" ht="12" customHeight="1">
      <c r="X2257" s="4"/>
      <c r="AH2257" s="4"/>
      <c r="EA2257" s="4"/>
      <c r="FX2257" s="4"/>
      <c r="HL2257" s="4"/>
      <c r="HZ2257" s="4"/>
      <c r="IU2257" s="4"/>
      <c r="JM2257" s="4"/>
    </row>
    <row r="2258" spans="24:273" ht="12" customHeight="1">
      <c r="X2258" s="4"/>
      <c r="AH2258" s="4"/>
      <c r="EA2258" s="4"/>
      <c r="FX2258" s="4"/>
      <c r="HL2258" s="4"/>
      <c r="HZ2258" s="4"/>
      <c r="IU2258" s="4"/>
      <c r="JM2258" s="4"/>
    </row>
    <row r="2259" spans="24:273" ht="12" customHeight="1">
      <c r="X2259" s="4"/>
      <c r="AH2259" s="4"/>
      <c r="EA2259" s="4"/>
      <c r="FX2259" s="4"/>
      <c r="HL2259" s="4"/>
      <c r="HZ2259" s="4"/>
      <c r="IU2259" s="4"/>
      <c r="JM2259" s="4"/>
    </row>
    <row r="2260" spans="24:273" ht="12" customHeight="1">
      <c r="X2260" s="4"/>
      <c r="AH2260" s="4"/>
      <c r="EA2260" s="4"/>
      <c r="FX2260" s="4"/>
      <c r="HL2260" s="4"/>
      <c r="HZ2260" s="4"/>
      <c r="IU2260" s="4"/>
      <c r="JM2260" s="4"/>
    </row>
    <row r="2261" spans="24:273" ht="12" customHeight="1">
      <c r="X2261" s="4"/>
      <c r="AH2261" s="4"/>
      <c r="EA2261" s="4"/>
      <c r="FX2261" s="4"/>
      <c r="HL2261" s="4"/>
      <c r="HZ2261" s="4"/>
      <c r="IU2261" s="4"/>
      <c r="JM2261" s="4"/>
    </row>
    <row r="2262" spans="24:273" ht="12" customHeight="1">
      <c r="X2262" s="4"/>
      <c r="AH2262" s="4"/>
      <c r="EA2262" s="4"/>
      <c r="FX2262" s="4"/>
      <c r="HL2262" s="4"/>
      <c r="HZ2262" s="4"/>
      <c r="IU2262" s="4"/>
      <c r="JM2262" s="4"/>
    </row>
    <row r="2263" spans="24:273" ht="12" customHeight="1">
      <c r="X2263" s="4"/>
      <c r="AH2263" s="4"/>
      <c r="EA2263" s="4"/>
      <c r="FX2263" s="4"/>
      <c r="HL2263" s="4"/>
      <c r="HZ2263" s="4"/>
      <c r="IU2263" s="4"/>
      <c r="JM2263" s="4"/>
    </row>
    <row r="2264" spans="24:273" ht="12" customHeight="1">
      <c r="X2264" s="4"/>
      <c r="AH2264" s="4"/>
      <c r="EA2264" s="4"/>
      <c r="FX2264" s="4"/>
      <c r="HL2264" s="4"/>
      <c r="HZ2264" s="4"/>
      <c r="IU2264" s="4"/>
      <c r="JM2264" s="4"/>
    </row>
    <row r="2265" spans="24:273" ht="12" customHeight="1">
      <c r="X2265" s="4"/>
      <c r="AH2265" s="4"/>
      <c r="EA2265" s="4"/>
      <c r="FX2265" s="4"/>
      <c r="HL2265" s="4"/>
      <c r="HZ2265" s="4"/>
      <c r="IU2265" s="4"/>
      <c r="JM2265" s="4"/>
    </row>
    <row r="2266" spans="24:273" ht="12" customHeight="1">
      <c r="X2266" s="4"/>
      <c r="AH2266" s="4"/>
      <c r="EA2266" s="4"/>
      <c r="FX2266" s="4"/>
      <c r="HL2266" s="4"/>
      <c r="HZ2266" s="4"/>
      <c r="IU2266" s="4"/>
      <c r="JM2266" s="4"/>
    </row>
    <row r="2267" spans="24:273" ht="12" customHeight="1">
      <c r="X2267" s="4"/>
      <c r="AH2267" s="4"/>
      <c r="EA2267" s="4"/>
      <c r="FX2267" s="4"/>
      <c r="HL2267" s="4"/>
      <c r="HZ2267" s="4"/>
      <c r="IU2267" s="4"/>
      <c r="JM2267" s="4"/>
    </row>
    <row r="2268" spans="24:273" ht="12" customHeight="1">
      <c r="X2268" s="4"/>
      <c r="AH2268" s="4"/>
      <c r="EA2268" s="4"/>
      <c r="FX2268" s="4"/>
      <c r="HL2268" s="4"/>
      <c r="HZ2268" s="4"/>
      <c r="IU2268" s="4"/>
      <c r="JM2268" s="4"/>
    </row>
    <row r="2269" spans="24:273" ht="12" customHeight="1">
      <c r="X2269" s="4"/>
      <c r="AH2269" s="4"/>
      <c r="EA2269" s="4"/>
      <c r="FX2269" s="4"/>
      <c r="HL2269" s="4"/>
      <c r="HZ2269" s="4"/>
      <c r="IU2269" s="4"/>
      <c r="JM2269" s="4"/>
    </row>
    <row r="2270" spans="24:273" ht="12" customHeight="1">
      <c r="X2270" s="4"/>
      <c r="AH2270" s="4"/>
      <c r="EA2270" s="4"/>
      <c r="FX2270" s="4"/>
      <c r="HL2270" s="4"/>
      <c r="HZ2270" s="4"/>
      <c r="IU2270" s="4"/>
      <c r="JM2270" s="4"/>
    </row>
    <row r="2271" spans="24:273" ht="12" customHeight="1">
      <c r="X2271" s="4"/>
      <c r="AH2271" s="4"/>
      <c r="EA2271" s="4"/>
      <c r="FX2271" s="4"/>
      <c r="HL2271" s="4"/>
      <c r="HZ2271" s="4"/>
      <c r="IU2271" s="4"/>
      <c r="JM2271" s="4"/>
    </row>
    <row r="2272" spans="24:273" ht="12" customHeight="1">
      <c r="X2272" s="4"/>
      <c r="AH2272" s="4"/>
      <c r="EA2272" s="4"/>
      <c r="FX2272" s="4"/>
      <c r="HL2272" s="4"/>
      <c r="HZ2272" s="4"/>
      <c r="IU2272" s="4"/>
      <c r="JM2272" s="4"/>
    </row>
    <row r="2273" spans="24:273" ht="12" customHeight="1">
      <c r="X2273" s="4"/>
      <c r="AH2273" s="4"/>
      <c r="EA2273" s="4"/>
      <c r="FX2273" s="4"/>
      <c r="HL2273" s="4"/>
      <c r="HZ2273" s="4"/>
      <c r="IU2273" s="4"/>
      <c r="JM2273" s="4"/>
    </row>
    <row r="2274" spans="24:273" ht="12" customHeight="1">
      <c r="X2274" s="4"/>
      <c r="AH2274" s="4"/>
      <c r="EA2274" s="4"/>
      <c r="FX2274" s="4"/>
      <c r="HL2274" s="4"/>
      <c r="HZ2274" s="4"/>
      <c r="IU2274" s="4"/>
      <c r="JM2274" s="4"/>
    </row>
    <row r="2275" spans="24:273" ht="12" customHeight="1">
      <c r="X2275" s="4"/>
      <c r="AH2275" s="4"/>
      <c r="EA2275" s="4"/>
      <c r="FX2275" s="4"/>
      <c r="HL2275" s="4"/>
      <c r="HZ2275" s="4"/>
      <c r="IU2275" s="4"/>
      <c r="JM2275" s="4"/>
    </row>
    <row r="2276" spans="24:273" ht="12" customHeight="1">
      <c r="X2276" s="4"/>
      <c r="AH2276" s="4"/>
      <c r="EA2276" s="4"/>
      <c r="FX2276" s="4"/>
      <c r="HL2276" s="4"/>
      <c r="HZ2276" s="4"/>
      <c r="IU2276" s="4"/>
      <c r="JM2276" s="4"/>
    </row>
    <row r="2277" spans="24:273" ht="12" customHeight="1">
      <c r="X2277" s="4"/>
      <c r="AH2277" s="4"/>
      <c r="EA2277" s="4"/>
      <c r="FX2277" s="4"/>
      <c r="HL2277" s="4"/>
      <c r="HZ2277" s="4"/>
      <c r="IU2277" s="4"/>
      <c r="JM2277" s="4"/>
    </row>
    <row r="2278" spans="24:273" ht="12" customHeight="1">
      <c r="X2278" s="4"/>
      <c r="AH2278" s="4"/>
      <c r="EA2278" s="4"/>
      <c r="FX2278" s="4"/>
      <c r="HL2278" s="4"/>
      <c r="HZ2278" s="4"/>
      <c r="IU2278" s="4"/>
      <c r="JM2278" s="4"/>
    </row>
    <row r="2279" spans="24:273" ht="12" customHeight="1">
      <c r="X2279" s="4"/>
      <c r="AH2279" s="4"/>
      <c r="EA2279" s="4"/>
      <c r="FX2279" s="4"/>
      <c r="HL2279" s="4"/>
      <c r="HZ2279" s="4"/>
      <c r="IU2279" s="4"/>
      <c r="JM2279" s="4"/>
    </row>
    <row r="2280" spans="24:273" ht="12" customHeight="1">
      <c r="X2280" s="4"/>
      <c r="AH2280" s="4"/>
      <c r="EA2280" s="4"/>
      <c r="FX2280" s="4"/>
      <c r="HL2280" s="4"/>
      <c r="HZ2280" s="4"/>
      <c r="IU2280" s="4"/>
      <c r="JM2280" s="4"/>
    </row>
    <row r="2281" spans="24:273" ht="12" customHeight="1">
      <c r="X2281" s="4"/>
      <c r="AH2281" s="4"/>
      <c r="EA2281" s="4"/>
      <c r="FX2281" s="4"/>
      <c r="HL2281" s="4"/>
      <c r="HZ2281" s="4"/>
      <c r="IU2281" s="4"/>
      <c r="JM2281" s="4"/>
    </row>
    <row r="2282" spans="24:273" ht="12" customHeight="1">
      <c r="X2282" s="4"/>
      <c r="AH2282" s="4"/>
      <c r="EA2282" s="4"/>
      <c r="FX2282" s="4"/>
      <c r="HL2282" s="4"/>
      <c r="HZ2282" s="4"/>
      <c r="IU2282" s="4"/>
      <c r="JM2282" s="4"/>
    </row>
    <row r="2283" spans="24:273" ht="12" customHeight="1">
      <c r="X2283" s="4"/>
      <c r="AH2283" s="4"/>
      <c r="EA2283" s="4"/>
      <c r="FX2283" s="4"/>
      <c r="HL2283" s="4"/>
      <c r="HZ2283" s="4"/>
      <c r="IU2283" s="4"/>
      <c r="JM2283" s="4"/>
    </row>
    <row r="2284" spans="24:273" ht="12" customHeight="1">
      <c r="X2284" s="4"/>
      <c r="AH2284" s="4"/>
      <c r="EA2284" s="4"/>
      <c r="FX2284" s="4"/>
      <c r="HL2284" s="4"/>
      <c r="HZ2284" s="4"/>
      <c r="IU2284" s="4"/>
      <c r="JM2284" s="4"/>
    </row>
    <row r="2285" spans="24:273" ht="12" customHeight="1">
      <c r="X2285" s="4"/>
      <c r="AH2285" s="4"/>
      <c r="EA2285" s="4"/>
      <c r="FX2285" s="4"/>
      <c r="HL2285" s="4"/>
      <c r="HZ2285" s="4"/>
      <c r="IU2285" s="4"/>
      <c r="JM2285" s="4"/>
    </row>
    <row r="2286" spans="24:273" ht="12" customHeight="1">
      <c r="X2286" s="4"/>
      <c r="AH2286" s="4"/>
      <c r="EA2286" s="4"/>
      <c r="FX2286" s="4"/>
      <c r="HL2286" s="4"/>
      <c r="HZ2286" s="4"/>
      <c r="IU2286" s="4"/>
      <c r="JM2286" s="4"/>
    </row>
    <row r="2287" spans="24:273" ht="12" customHeight="1">
      <c r="X2287" s="4"/>
      <c r="AH2287" s="4"/>
      <c r="EA2287" s="4"/>
      <c r="FX2287" s="4"/>
      <c r="HL2287" s="4"/>
      <c r="HZ2287" s="4"/>
      <c r="IU2287" s="4"/>
      <c r="JM2287" s="4"/>
    </row>
    <row r="2288" spans="24:273" ht="12" customHeight="1">
      <c r="X2288" s="4"/>
      <c r="AH2288" s="4"/>
      <c r="EA2288" s="4"/>
      <c r="FX2288" s="4"/>
      <c r="HL2288" s="4"/>
      <c r="HZ2288" s="4"/>
      <c r="IU2288" s="4"/>
      <c r="JM2288" s="4"/>
    </row>
    <row r="2289" spans="24:273" ht="12" customHeight="1">
      <c r="X2289" s="4"/>
      <c r="AH2289" s="4"/>
      <c r="EA2289" s="4"/>
      <c r="FX2289" s="4"/>
      <c r="HL2289" s="4"/>
      <c r="HZ2289" s="4"/>
      <c r="IU2289" s="4"/>
      <c r="JM2289" s="4"/>
    </row>
    <row r="2290" spans="24:273" ht="12" customHeight="1">
      <c r="X2290" s="4"/>
      <c r="AH2290" s="4"/>
      <c r="EA2290" s="4"/>
      <c r="FX2290" s="4"/>
      <c r="HL2290" s="4"/>
      <c r="HZ2290" s="4"/>
      <c r="IU2290" s="4"/>
      <c r="JM2290" s="4"/>
    </row>
    <row r="2291" spans="24:273" ht="12" customHeight="1">
      <c r="X2291" s="4"/>
      <c r="AH2291" s="4"/>
      <c r="EA2291" s="4"/>
      <c r="FX2291" s="4"/>
      <c r="HL2291" s="4"/>
      <c r="HZ2291" s="4"/>
      <c r="IU2291" s="4"/>
      <c r="JM2291" s="4"/>
    </row>
    <row r="2292" spans="24:273" ht="12" customHeight="1">
      <c r="X2292" s="4"/>
      <c r="AH2292" s="4"/>
      <c r="EA2292" s="4"/>
      <c r="FX2292" s="4"/>
      <c r="HL2292" s="4"/>
      <c r="HZ2292" s="4"/>
      <c r="IU2292" s="4"/>
      <c r="JM2292" s="4"/>
    </row>
    <row r="2293" spans="24:273" ht="12" customHeight="1">
      <c r="X2293" s="4"/>
      <c r="AH2293" s="4"/>
      <c r="EA2293" s="4"/>
      <c r="FX2293" s="4"/>
      <c r="HL2293" s="4"/>
      <c r="HZ2293" s="4"/>
      <c r="IU2293" s="4"/>
      <c r="JM2293" s="4"/>
    </row>
    <row r="2294" spans="24:273" ht="12" customHeight="1">
      <c r="X2294" s="4"/>
      <c r="AH2294" s="4"/>
      <c r="EA2294" s="4"/>
      <c r="FX2294" s="4"/>
      <c r="HL2294" s="4"/>
      <c r="HZ2294" s="4"/>
      <c r="IU2294" s="4"/>
      <c r="JM2294" s="4"/>
    </row>
    <row r="2295" spans="24:273" ht="12" customHeight="1">
      <c r="X2295" s="4"/>
      <c r="AH2295" s="4"/>
      <c r="EA2295" s="4"/>
      <c r="FX2295" s="4"/>
      <c r="HL2295" s="4"/>
      <c r="HZ2295" s="4"/>
      <c r="IU2295" s="4"/>
      <c r="JM2295" s="4"/>
    </row>
    <row r="2296" spans="24:273" ht="12" customHeight="1">
      <c r="X2296" s="4"/>
      <c r="AH2296" s="4"/>
      <c r="EA2296" s="4"/>
      <c r="FX2296" s="4"/>
      <c r="HL2296" s="4"/>
      <c r="HZ2296" s="4"/>
      <c r="IU2296" s="4"/>
      <c r="JM2296" s="4"/>
    </row>
    <row r="2297" spans="24:273" ht="12" customHeight="1">
      <c r="X2297" s="4"/>
      <c r="AH2297" s="4"/>
      <c r="EA2297" s="4"/>
      <c r="FX2297" s="4"/>
      <c r="HL2297" s="4"/>
      <c r="HZ2297" s="4"/>
      <c r="IU2297" s="4"/>
      <c r="JM2297" s="4"/>
    </row>
    <row r="2298" spans="24:273" ht="12" customHeight="1">
      <c r="X2298" s="4"/>
      <c r="AH2298" s="4"/>
      <c r="EA2298" s="4"/>
      <c r="FX2298" s="4"/>
      <c r="HL2298" s="4"/>
      <c r="HZ2298" s="4"/>
      <c r="IU2298" s="4"/>
      <c r="JM2298" s="4"/>
    </row>
    <row r="2299" spans="24:273" ht="12" customHeight="1">
      <c r="X2299" s="4"/>
      <c r="AH2299" s="4"/>
      <c r="EA2299" s="4"/>
      <c r="FX2299" s="4"/>
      <c r="HL2299" s="4"/>
      <c r="HZ2299" s="4"/>
      <c r="IU2299" s="4"/>
      <c r="JM2299" s="4"/>
    </row>
    <row r="2300" spans="24:273" ht="12" customHeight="1">
      <c r="X2300" s="4"/>
      <c r="AH2300" s="4"/>
      <c r="EA2300" s="4"/>
      <c r="FX2300" s="4"/>
      <c r="HL2300" s="4"/>
      <c r="HZ2300" s="4"/>
      <c r="IU2300" s="4"/>
      <c r="JM2300" s="4"/>
    </row>
    <row r="2301" spans="24:273" ht="12" customHeight="1">
      <c r="X2301" s="4"/>
      <c r="AH2301" s="4"/>
      <c r="EA2301" s="4"/>
      <c r="FX2301" s="4"/>
      <c r="HL2301" s="4"/>
      <c r="HZ2301" s="4"/>
      <c r="IU2301" s="4"/>
      <c r="JM2301" s="4"/>
    </row>
    <row r="2302" spans="24:273" ht="12" customHeight="1">
      <c r="X2302" s="4"/>
      <c r="AH2302" s="4"/>
      <c r="EA2302" s="4"/>
      <c r="FX2302" s="4"/>
      <c r="HL2302" s="4"/>
      <c r="HZ2302" s="4"/>
      <c r="IU2302" s="4"/>
      <c r="JM2302" s="4"/>
    </row>
    <row r="2303" spans="24:273" ht="12" customHeight="1">
      <c r="X2303" s="4"/>
      <c r="AH2303" s="4"/>
      <c r="EA2303" s="4"/>
      <c r="FX2303" s="4"/>
      <c r="HL2303" s="4"/>
      <c r="HZ2303" s="4"/>
      <c r="IU2303" s="4"/>
      <c r="JM2303" s="4"/>
    </row>
    <row r="2304" spans="24:273" ht="12" customHeight="1">
      <c r="X2304" s="4"/>
      <c r="AH2304" s="4"/>
      <c r="EA2304" s="4"/>
      <c r="FX2304" s="4"/>
      <c r="HL2304" s="4"/>
      <c r="HZ2304" s="4"/>
      <c r="IU2304" s="4"/>
      <c r="JM2304" s="4"/>
    </row>
    <row r="2305" spans="24:273" ht="12" customHeight="1">
      <c r="X2305" s="4"/>
      <c r="AH2305" s="4"/>
      <c r="EA2305" s="4"/>
      <c r="FX2305" s="4"/>
      <c r="HL2305" s="4"/>
      <c r="HZ2305" s="4"/>
      <c r="IU2305" s="4"/>
      <c r="JM2305" s="4"/>
    </row>
    <row r="2306" spans="24:273" ht="12" customHeight="1">
      <c r="X2306" s="4"/>
      <c r="AH2306" s="4"/>
      <c r="EA2306" s="4"/>
      <c r="FX2306" s="4"/>
      <c r="HL2306" s="4"/>
      <c r="HZ2306" s="4"/>
      <c r="IU2306" s="4"/>
      <c r="JM2306" s="4"/>
    </row>
    <row r="2307" spans="24:273" ht="12" customHeight="1">
      <c r="X2307" s="4"/>
      <c r="AH2307" s="4"/>
      <c r="EA2307" s="4"/>
      <c r="FX2307" s="4"/>
      <c r="HL2307" s="4"/>
      <c r="HZ2307" s="4"/>
      <c r="IU2307" s="4"/>
      <c r="JM2307" s="4"/>
    </row>
  </sheetData>
  <sheetProtection algorithmName="SHA-512" hashValue="Un9tMZ31aKGtXsj9Nu2liKGxL36E79y7uLJTvtFspRkTgn8NkerJUvfFRozDJckoJSeG5m0NWDGhMt3B/g5v/w==" saltValue="4v4lL84fARwuvpVYD0WSEA==" spinCount="100000" sheet="1" objects="1" scenarios="1"/>
  <mergeCells count="117">
    <mergeCell ref="HM388:HO388"/>
    <mergeCell ref="HC338:HC340"/>
    <mergeCell ref="HD338:HD340"/>
    <mergeCell ref="HE338:HE340"/>
    <mergeCell ref="HF338:HF340"/>
    <mergeCell ref="HG338:HG340"/>
    <mergeCell ref="HH338:HH340"/>
    <mergeCell ref="HI338:HI340"/>
    <mergeCell ref="HN379:HP379"/>
    <mergeCell ref="HN380:HP380"/>
    <mergeCell ref="HN382:HP382"/>
    <mergeCell ref="HN383:HP383"/>
    <mergeCell ref="HN384:HP384"/>
    <mergeCell ref="GX338:GX340"/>
    <mergeCell ref="GY338:GY340"/>
    <mergeCell ref="GZ338:GZ340"/>
    <mergeCell ref="HA338:HA340"/>
    <mergeCell ref="HB338:HB340"/>
    <mergeCell ref="HN385:HP385"/>
    <mergeCell ref="FH288:FH290"/>
    <mergeCell ref="FI288:FI290"/>
    <mergeCell ref="FJ288:FJ290"/>
    <mergeCell ref="FK288:FK290"/>
    <mergeCell ref="FY323:FY325"/>
    <mergeCell ref="FZ323:GG323"/>
    <mergeCell ref="FZ324:GC324"/>
    <mergeCell ref="GD324:GG324"/>
    <mergeCell ref="HN381:HP381"/>
    <mergeCell ref="S5:S6"/>
    <mergeCell ref="U5:U6"/>
    <mergeCell ref="B5:B6"/>
    <mergeCell ref="C5:C6"/>
    <mergeCell ref="D5:D6"/>
    <mergeCell ref="G5:G6"/>
    <mergeCell ref="H5:I6"/>
    <mergeCell ref="E5:E6"/>
    <mergeCell ref="EX288:EX290"/>
    <mergeCell ref="R16:R18"/>
    <mergeCell ref="R19:R21"/>
    <mergeCell ref="H7:I9"/>
    <mergeCell ref="H10:I12"/>
    <mergeCell ref="H13:I15"/>
    <mergeCell ref="K5:K6"/>
    <mergeCell ref="L5:L6"/>
    <mergeCell ref="J5:J6"/>
    <mergeCell ref="J7:J9"/>
    <mergeCell ref="J10:J12"/>
    <mergeCell ref="J13:J15"/>
    <mergeCell ref="M5:Q5"/>
    <mergeCell ref="H22:I24"/>
    <mergeCell ref="H25:I27"/>
    <mergeCell ref="H28:I30"/>
    <mergeCell ref="H16:I18"/>
    <mergeCell ref="H19:I21"/>
    <mergeCell ref="J16:J18"/>
    <mergeCell ref="J19:J21"/>
    <mergeCell ref="J22:J24"/>
    <mergeCell ref="J25:J27"/>
    <mergeCell ref="J28:J30"/>
    <mergeCell ref="H40:I42"/>
    <mergeCell ref="H43:I45"/>
    <mergeCell ref="H46:I48"/>
    <mergeCell ref="H31:I33"/>
    <mergeCell ref="H34:I36"/>
    <mergeCell ref="H37:I39"/>
    <mergeCell ref="J31:J33"/>
    <mergeCell ref="J34:J36"/>
    <mergeCell ref="J37:J39"/>
    <mergeCell ref="J40:J42"/>
    <mergeCell ref="J43:J45"/>
    <mergeCell ref="J46:J48"/>
    <mergeCell ref="H58:I60"/>
    <mergeCell ref="H61:I63"/>
    <mergeCell ref="H49:I51"/>
    <mergeCell ref="H52:I54"/>
    <mergeCell ref="H55:I57"/>
    <mergeCell ref="J49:J51"/>
    <mergeCell ref="J52:J54"/>
    <mergeCell ref="J55:J57"/>
    <mergeCell ref="J58:J60"/>
    <mergeCell ref="J61:J63"/>
    <mergeCell ref="Y112:Y113"/>
    <mergeCell ref="Z112:Z113"/>
    <mergeCell ref="AA112:AA113"/>
    <mergeCell ref="AC112:AC113"/>
    <mergeCell ref="CD197:CH197"/>
    <mergeCell ref="CI197:CL197"/>
    <mergeCell ref="CM197:CQ197"/>
    <mergeCell ref="DB197:DE197"/>
    <mergeCell ref="AX197:BE197"/>
    <mergeCell ref="BX197:CA197"/>
    <mergeCell ref="AL197:AW197"/>
    <mergeCell ref="BF197:BW197"/>
    <mergeCell ref="DF197:DG197"/>
    <mergeCell ref="GV338:GV340"/>
    <mergeCell ref="GW338:GW340"/>
    <mergeCell ref="CD198:CH198"/>
    <mergeCell ref="CI198:CL198"/>
    <mergeCell ref="CM198:CO198"/>
    <mergeCell ref="CP198:CQ198"/>
    <mergeCell ref="DB198:DE198"/>
    <mergeCell ref="ER288:ER290"/>
    <mergeCell ref="ES288:ES290"/>
    <mergeCell ref="ET288:ET290"/>
    <mergeCell ref="EU288:EU290"/>
    <mergeCell ref="EV288:EV290"/>
    <mergeCell ref="EY288:EY290"/>
    <mergeCell ref="EZ288:EZ290"/>
    <mergeCell ref="FA288:FA290"/>
    <mergeCell ref="CR197:CU197"/>
    <mergeCell ref="CV197:DA197"/>
    <mergeCell ref="FB288:FB290"/>
    <mergeCell ref="FC288:FC290"/>
    <mergeCell ref="FD288:FD290"/>
    <mergeCell ref="FE288:FE290"/>
    <mergeCell ref="FF288:FF290"/>
    <mergeCell ref="FG288:FG290"/>
  </mergeCells>
  <conditionalFormatting sqref="FJ278:FX279 EU289:EY290 FB280:FX290 FA275:FA290 GX325:HL340 EW277:EY289 ER283:ES289 EG283:EP289 FC275:FU276 ER286:EV287 ER274:ER276 FG274:FK274 EZ274:FF276 EY277:FU287 EX272:EX287 EZ272:FK273 GU322:HI337 ET274:EV285 EO280:EP286 ED280:EM286 S7:S63 U7:U63 M7:Q63 AL218:DG225 AL227:DG232 AL234:DG237 AL239:DG251 CM201:DB202 AL204:DG216">
    <cfRule type="expression" dxfId="14" priority="47">
      <formula>ISBLANK(M7)</formula>
    </cfRule>
  </conditionalFormatting>
  <conditionalFormatting sqref="EJ283:EL289 ER283:ES289 EG280:EI286 EO280:EP286">
    <cfRule type="expression" dxfId="13" priority="46">
      <formula>ISBLANK(EG280)</formula>
    </cfRule>
  </conditionalFormatting>
  <dataValidations count="4">
    <dataValidation type="list" allowBlank="1" showInputMessage="1" showErrorMessage="1" sqref="IB431" xr:uid="{00000000-0002-0000-1F00-000000000000}">
      <formula1>$IA$413:$IA$426</formula1>
    </dataValidation>
    <dataValidation type="list" allowBlank="1" showInputMessage="1" showErrorMessage="1" sqref="IB432" xr:uid="{00000000-0002-0000-1F00-000001000000}">
      <formula1>$IE$425:$IE$438</formula1>
    </dataValidation>
    <dataValidation type="list" allowBlank="1" showInputMessage="1" showErrorMessage="1" sqref="AC188" xr:uid="{00000000-0002-0000-1F00-000002000000}">
      <formula1>$Y$114:$Y$180</formula1>
    </dataValidation>
    <dataValidation type="list" allowBlank="1" showInputMessage="1" showErrorMessage="1" sqref="AC191" xr:uid="{00000000-0002-0000-1F00-000003000000}">
      <formula1>$FY$326:$FY$330</formula1>
    </dataValidation>
  </dataValidations>
  <hyperlinks>
    <hyperlink ref="IB421" r:id="rId1" xr:uid="{00000000-0004-0000-1F00-000000000000}"/>
    <hyperlink ref="IB422" r:id="rId2" xr:uid="{00000000-0004-0000-1F00-000001000000}"/>
    <hyperlink ref="IB416" r:id="rId3" xr:uid="{00000000-0004-0000-1F00-000002000000}"/>
    <hyperlink ref="IB424" r:id="rId4" xr:uid="{00000000-0004-0000-1F00-000003000000}"/>
    <hyperlink ref="IB423" r:id="rId5" xr:uid="{00000000-0004-0000-1F00-000004000000}"/>
    <hyperlink ref="IB426" r:id="rId6" xr:uid="{00000000-0004-0000-1F00-000005000000}"/>
    <hyperlink ref="IB415" r:id="rId7" xr:uid="{00000000-0004-0000-1F00-000006000000}"/>
    <hyperlink ref="IB414" r:id="rId8" xr:uid="{00000000-0004-0000-1F00-000007000000}"/>
    <hyperlink ref="IB419" r:id="rId9" xr:uid="{00000000-0004-0000-1F00-000008000000}"/>
    <hyperlink ref="IB420" r:id="rId10" xr:uid="{00000000-0004-0000-1F00-000009000000}"/>
    <hyperlink ref="IB418" r:id="rId11" xr:uid="{00000000-0004-0000-1F00-00000A000000}"/>
    <hyperlink ref="IB417" r:id="rId12" xr:uid="{00000000-0004-0000-1F00-00000B000000}"/>
    <hyperlink ref="IB425" r:id="rId13" xr:uid="{00000000-0004-0000-1F00-00000C000000}"/>
  </hyperlinks>
  <pageMargins left="0.70866141732283472" right="0.70866141732283472" top="0.78740157480314965" bottom="0.78740157480314965" header="0.31496062992125984" footer="0.31496062992125984"/>
  <pageSetup paperSize="9" scale="75" orientation="portrait" r:id="rId14"/>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Tabelle30"/>
  <dimension ref="A1:D12"/>
  <sheetViews>
    <sheetView showGridLines="0" zoomScale="145" zoomScaleNormal="145" workbookViewId="0">
      <selection activeCell="D1" sqref="D1:E2"/>
    </sheetView>
  </sheetViews>
  <sheetFormatPr baseColWidth="10" defaultColWidth="11.5" defaultRowHeight="70" customHeight="1"/>
  <cols>
    <col min="1" max="1" width="16.6640625" style="288" customWidth="1"/>
    <col min="2" max="2" width="29.1640625" style="288" customWidth="1"/>
    <col min="3" max="3" width="16.6640625" style="288" customWidth="1"/>
    <col min="4" max="4" width="32.1640625" style="288" customWidth="1"/>
    <col min="5" max="5" width="31.33203125" style="288" customWidth="1"/>
    <col min="6" max="6" width="28" style="288" customWidth="1"/>
    <col min="7" max="8" width="16.6640625" style="288" customWidth="1"/>
    <col min="9" max="16384" width="11.5" style="288"/>
  </cols>
  <sheetData>
    <row r="1" spans="1:4" ht="100" customHeight="1">
      <c r="A1" s="287" t="s">
        <v>1633</v>
      </c>
      <c r="B1" s="287"/>
      <c r="D1" s="287" t="s">
        <v>2314</v>
      </c>
    </row>
    <row r="2" spans="1:4" ht="100" customHeight="1">
      <c r="A2" s="287" t="s">
        <v>1634</v>
      </c>
      <c r="B2" s="287"/>
      <c r="D2" s="287" t="s">
        <v>2315</v>
      </c>
    </row>
    <row r="3" spans="1:4" ht="100" customHeight="1">
      <c r="A3" s="287" t="s">
        <v>902</v>
      </c>
      <c r="B3" s="287"/>
      <c r="D3" s="287" t="s">
        <v>2316</v>
      </c>
    </row>
    <row r="4" spans="1:4" ht="100" customHeight="1">
      <c r="A4" s="287" t="s">
        <v>903</v>
      </c>
      <c r="B4" s="287"/>
      <c r="D4" s="287" t="s">
        <v>2317</v>
      </c>
    </row>
    <row r="5" spans="1:4" ht="100" customHeight="1">
      <c r="A5" s="287" t="s">
        <v>904</v>
      </c>
      <c r="D5" s="287" t="s">
        <v>2318</v>
      </c>
    </row>
    <row r="6" spans="1:4" ht="100" customHeight="1">
      <c r="A6" s="287" t="s">
        <v>905</v>
      </c>
      <c r="B6" s="289"/>
      <c r="D6" s="287" t="s">
        <v>2319</v>
      </c>
    </row>
    <row r="7" spans="1:4" ht="70" customHeight="1">
      <c r="A7" s="287" t="s">
        <v>906</v>
      </c>
      <c r="D7" s="287"/>
    </row>
    <row r="8" spans="1:4" ht="70" customHeight="1">
      <c r="A8" s="287" t="s">
        <v>907</v>
      </c>
    </row>
    <row r="9" spans="1:4" ht="78.75" customHeight="1">
      <c r="A9" s="287" t="s">
        <v>984</v>
      </c>
    </row>
    <row r="10" spans="1:4" ht="125.25" customHeight="1">
      <c r="A10" s="287" t="s">
        <v>2308</v>
      </c>
    </row>
    <row r="11" spans="1:4" ht="125.25" customHeight="1">
      <c r="A11" s="287" t="s">
        <v>2309</v>
      </c>
    </row>
    <row r="12" spans="1:4" ht="125.25" customHeight="1">
      <c r="A12" s="287" t="s">
        <v>2310</v>
      </c>
    </row>
  </sheetData>
  <sheetProtection algorithmName="SHA-512" hashValue="1EB2XLuzltEqGf2KMUcEXXTX5sbqH4EO0IwGgySVK8IwjB4g306ndZdVr4if+xzBTYtguha2DZnvOhdtjghwtg==" saltValue="0IchAkvwwWHcq8O1uqlqHw==" spinCount="100000" sheet="1" objects="1" scenarios="1"/>
  <pageMargins left="0.7" right="0.7" top="0.78740157499999996" bottom="0.78740157499999996"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Macintosh Excel</Application>
  <DocSecurity>0</DocSecurity>
  <ScaleCrop>false</ScaleCrop>
  <HeadingPairs>
    <vt:vector size="4" baseType="variant">
      <vt:variant>
        <vt:lpstr>Worksheets</vt:lpstr>
      </vt:variant>
      <vt:variant>
        <vt:i4>33</vt:i4>
      </vt:variant>
      <vt:variant>
        <vt:lpstr>Named Ranges</vt:lpstr>
      </vt:variant>
      <vt:variant>
        <vt:i4>213</vt:i4>
      </vt:variant>
    </vt:vector>
  </HeadingPairs>
  <TitlesOfParts>
    <vt:vector size="246" baseType="lpstr">
      <vt:lpstr>Anleitung</vt:lpstr>
      <vt:lpstr>Eingabeparameter</vt:lpstr>
      <vt:lpstr>Eingabe und Ergebnis</vt:lpstr>
      <vt:lpstr>Erweiterte Eingabe</vt:lpstr>
      <vt:lpstr>Effizients Flächenausnutzung</vt:lpstr>
      <vt:lpstr>Rechenmodell</vt:lpstr>
      <vt:lpstr>Datenbank</vt:lpstr>
      <vt:lpstr>Kostenwerte</vt:lpstr>
      <vt:lpstr>Aussteifung</vt:lpstr>
      <vt:lpstr>Hilfstabelle_Aussteifung</vt:lpstr>
      <vt:lpstr>Detailnachweise</vt:lpstr>
      <vt:lpstr>Lasten für Detailnachweise</vt:lpstr>
      <vt:lpstr>Möblierungsschablone</vt:lpstr>
      <vt:lpstr>Wohnungsausnutzung</vt:lpstr>
      <vt:lpstr>Wohnungsausnutzung Vergleich</vt:lpstr>
      <vt:lpstr>Datenbank Fenster</vt:lpstr>
      <vt:lpstr>Hilfstabelle Gebäudeklasse</vt:lpstr>
      <vt:lpstr>Rasterbemessung DE UZ ST</vt:lpstr>
      <vt:lpstr>Bemessung Unterzüge</vt:lpstr>
      <vt:lpstr>Hilfstabellen_Mat&amp;Bem</vt:lpstr>
      <vt:lpstr>Bemessung Decken</vt:lpstr>
      <vt:lpstr>BS Anforderungen MBO (sdi)</vt:lpstr>
      <vt:lpstr>BS_Anforderungen_VARIABEL</vt:lpstr>
      <vt:lpstr>BS_Anforderungen_MBO (tri)</vt:lpstr>
      <vt:lpstr>BS_Anforderungen_MBO</vt:lpstr>
      <vt:lpstr>BS_Anforderungen_BW</vt:lpstr>
      <vt:lpstr>BS_Anforderungen_BY</vt:lpstr>
      <vt:lpstr>Schallschutzanforderungen Haupt</vt:lpstr>
      <vt:lpstr>kc-Wert für Stützen</vt:lpstr>
      <vt:lpstr>kc x h²-Wert für Stützen</vt:lpstr>
      <vt:lpstr>kc-Wert für Heißbem-Stützen</vt:lpstr>
      <vt:lpstr>ALPHA_DEUT</vt:lpstr>
      <vt:lpstr>Grafiken</vt:lpstr>
      <vt:lpstr>_Spänner</vt:lpstr>
      <vt:lpstr>a_k</vt:lpstr>
      <vt:lpstr>Abbrandart</vt:lpstr>
      <vt:lpstr>Anzahl_Geschosse</vt:lpstr>
      <vt:lpstr>Aufbau_DE</vt:lpstr>
      <vt:lpstr>Auswahl_Ausrichtung</vt:lpstr>
      <vt:lpstr>Auswahl_b_ST_BSH</vt:lpstr>
      <vt:lpstr>Auswahl_b_ST_VH</vt:lpstr>
      <vt:lpstr>Auswahl_b_UZ_BSH</vt:lpstr>
      <vt:lpstr>Auswahl_b_UZ_VH</vt:lpstr>
      <vt:lpstr>Auswahl_Lage</vt:lpstr>
      <vt:lpstr>b_DE</vt:lpstr>
      <vt:lpstr>b_ef_DE</vt:lpstr>
      <vt:lpstr>b_ef_UZ</vt:lpstr>
      <vt:lpstr>b_ST</vt:lpstr>
      <vt:lpstr>b_UZ</vt:lpstr>
      <vt:lpstr>b_UZ_max</vt:lpstr>
      <vt:lpstr>b_Za</vt:lpstr>
      <vt:lpstr>brand_DE</vt:lpstr>
      <vt:lpstr>brand_ST</vt:lpstr>
      <vt:lpstr>brand_UZ</vt:lpstr>
      <vt:lpstr>Branddauer</vt:lpstr>
      <vt:lpstr>Brettsperrholz</vt:lpstr>
      <vt:lpstr>BSP_Wände</vt:lpstr>
      <vt:lpstr>'Schallschutzanforderungen Haupt'!Bundesland</vt:lpstr>
      <vt:lpstr>Bundesland</vt:lpstr>
      <vt:lpstr>Bundesland_Eingabe</vt:lpstr>
      <vt:lpstr>d_char_D</vt:lpstr>
      <vt:lpstr>d_char_ST</vt:lpstr>
      <vt:lpstr>d_char_UZ</vt:lpstr>
      <vt:lpstr>Deckenaufbau</vt:lpstr>
      <vt:lpstr>DEGA_Empfehlung_103</vt:lpstr>
      <vt:lpstr>'Hilfstabellen_Mat&amp;Bem'!DSP.E.0.mean</vt:lpstr>
      <vt:lpstr>'Hilfstabellen_Mat&amp;Bem'!DSP.E.90.mean</vt:lpstr>
      <vt:lpstr>'Hilfstabellen_Mat&amp;Bem'!DSP.f.c0k</vt:lpstr>
      <vt:lpstr>'Hilfstabellen_Mat&amp;Bem'!DSP.f.m0k</vt:lpstr>
      <vt:lpstr>'Hilfstabellen_Mat&amp;Bem'!DSP.f.t0k</vt:lpstr>
      <vt:lpstr>'Hilfstabellen_Mat&amp;Bem'!DSP.f.vRk</vt:lpstr>
      <vt:lpstr>'Hilfstabellen_Mat&amp;Bem'!DSP.G.0.mean</vt:lpstr>
      <vt:lpstr>'Hilfstabellen_Mat&amp;Bem'!DSP.G.R.man</vt:lpstr>
      <vt:lpstr>'Hilfstabellen_Mat&amp;Bem'!Ed.GT.1</vt:lpstr>
      <vt:lpstr>'Hilfstabellen_Mat&amp;Bem'!Ed.GT.2</vt:lpstr>
      <vt:lpstr>'Hilfstabellen_Mat&amp;Bem'!Ed.GT.3</vt:lpstr>
      <vt:lpstr>'Hilfstabellen_Mat&amp;Bem'!Ed.TS.1</vt:lpstr>
      <vt:lpstr>'Hilfstabellen_Mat&amp;Bem'!Ed.TS.2</vt:lpstr>
      <vt:lpstr>'Hilfstabellen_Mat&amp;Bem'!Ed.TS.3</vt:lpstr>
      <vt:lpstr>'Hilfstabellen_Mat&amp;Bem'!Ed.TS.4</vt:lpstr>
      <vt:lpstr>'Hilfstabellen_Mat&amp;Bem'!Ed.TS.5</vt:lpstr>
      <vt:lpstr>EI.0</vt:lpstr>
      <vt:lpstr>EI.8</vt:lpstr>
      <vt:lpstr>f_grenz_DE</vt:lpstr>
      <vt:lpstr>f_grenz_UZ</vt:lpstr>
      <vt:lpstr>'Hilfstabellen_Mat&amp;Bem'!f.cd.1</vt:lpstr>
      <vt:lpstr>'Hilfstabellen_Mat&amp;Bem'!f.cd.2</vt:lpstr>
      <vt:lpstr>'Hilfstabellen_Mat&amp;Bem'!f.cd.3</vt:lpstr>
      <vt:lpstr>'Hilfstabellen_Mat&amp;Bem'!f.cd.4</vt:lpstr>
      <vt:lpstr>'Hilfstabellen_Mat&amp;Bem'!f.cd.5</vt:lpstr>
      <vt:lpstr>'Hilfstabellen_Mat&amp;Bem'!f.md.1</vt:lpstr>
      <vt:lpstr>'Hilfstabellen_Mat&amp;Bem'!f.md.2</vt:lpstr>
      <vt:lpstr>'Hilfstabellen_Mat&amp;Bem'!f.md.3</vt:lpstr>
      <vt:lpstr>'Hilfstabellen_Mat&amp;Bem'!f.md.4</vt:lpstr>
      <vt:lpstr>'Hilfstabellen_Mat&amp;Bem'!f.md.5</vt:lpstr>
      <vt:lpstr>'Hilfstabellen_Mat&amp;Bem'!f.Rd.1</vt:lpstr>
      <vt:lpstr>'Hilfstabellen_Mat&amp;Bem'!f.Rd.2</vt:lpstr>
      <vt:lpstr>'Hilfstabellen_Mat&amp;Bem'!f.Rd.3</vt:lpstr>
      <vt:lpstr>'Hilfstabellen_Mat&amp;Bem'!f.Rd.4</vt:lpstr>
      <vt:lpstr>'Hilfstabellen_Mat&amp;Bem'!f.Rd.5</vt:lpstr>
      <vt:lpstr>'Hilfstabellen_Mat&amp;Bem'!f.td.1</vt:lpstr>
      <vt:lpstr>'Hilfstabellen_Mat&amp;Bem'!f.td.2</vt:lpstr>
      <vt:lpstr>'Hilfstabellen_Mat&amp;Bem'!f.td.3</vt:lpstr>
      <vt:lpstr>'Hilfstabellen_Mat&amp;Bem'!f.td.4</vt:lpstr>
      <vt:lpstr>'Hilfstabellen_Mat&amp;Bem'!f.td.5</vt:lpstr>
      <vt:lpstr>'Hilfstabellen_Mat&amp;Bem'!f.vd.1</vt:lpstr>
      <vt:lpstr>'Hilfstabellen_Mat&amp;Bem'!f.vd.2</vt:lpstr>
      <vt:lpstr>'Hilfstabellen_Mat&amp;Bem'!f.vd.3</vt:lpstr>
      <vt:lpstr>'Hilfstabellen_Mat&amp;Bem'!f.vd.4</vt:lpstr>
      <vt:lpstr>'Hilfstabellen_Mat&amp;Bem'!f.vd.5</vt:lpstr>
      <vt:lpstr>g_k</vt:lpstr>
      <vt:lpstr>g_k_250</vt:lpstr>
      <vt:lpstr>g_k_265</vt:lpstr>
      <vt:lpstr>g_k_285</vt:lpstr>
      <vt:lpstr>g_k_300</vt:lpstr>
      <vt:lpstr>g_k_350</vt:lpstr>
      <vt:lpstr>g_k_400</vt:lpstr>
      <vt:lpstr>g_k_450</vt:lpstr>
      <vt:lpstr>g_k_500</vt:lpstr>
      <vt:lpstr>g_k_530</vt:lpstr>
      <vt:lpstr>g_k_570</vt:lpstr>
      <vt:lpstr>g_k_600</vt:lpstr>
      <vt:lpstr>'Hilfstabellen_Mat&amp;Bem'!g.M.1</vt:lpstr>
      <vt:lpstr>'Hilfstabellen_Mat&amp;Bem'!g.M.2</vt:lpstr>
      <vt:lpstr>'Hilfstabellen_Mat&amp;Bem'!g.M.3</vt:lpstr>
      <vt:lpstr>'Hilfstabellen_Mat&amp;Bem'!g.M.4</vt:lpstr>
      <vt:lpstr>'Hilfstabellen_Mat&amp;Bem'!g.M.5</vt:lpstr>
      <vt:lpstr>gamma_m</vt:lpstr>
      <vt:lpstr>gamma_mfi</vt:lpstr>
      <vt:lpstr>Gebäudeart</vt:lpstr>
      <vt:lpstr>'Schallschutzanforderungen Haupt'!Gebäudeklasse</vt:lpstr>
      <vt:lpstr>Gebäudeklasse</vt:lpstr>
      <vt:lpstr>Gebrauchstauglichkeit</vt:lpstr>
      <vt:lpstr>Gelände_I</vt:lpstr>
      <vt:lpstr>Gelände_II</vt:lpstr>
      <vt:lpstr>Gelände_III</vt:lpstr>
      <vt:lpstr>Gelände_IV</vt:lpstr>
      <vt:lpstr>Geländekategorie</vt:lpstr>
      <vt:lpstr>Grafiken</vt:lpstr>
      <vt:lpstr>h_auf</vt:lpstr>
      <vt:lpstr>h_raum</vt:lpstr>
      <vt:lpstr>h_Stützen</vt:lpstr>
      <vt:lpstr>k_c90_UZ</vt:lpstr>
      <vt:lpstr>k_def</vt:lpstr>
      <vt:lpstr>k_fi_DE</vt:lpstr>
      <vt:lpstr>k_fi_ST</vt:lpstr>
      <vt:lpstr>k_fi_UZ</vt:lpstr>
      <vt:lpstr>k_mod</vt:lpstr>
      <vt:lpstr>k_mod_List</vt:lpstr>
      <vt:lpstr>k_modfi</vt:lpstr>
      <vt:lpstr>'Hilfstabellen_Mat&amp;Bem'!k.cr</vt:lpstr>
      <vt:lpstr>'Hilfstabellen_Mat&amp;Bem'!k.sys</vt:lpstr>
      <vt:lpstr>Kosten_BSH_max</vt:lpstr>
      <vt:lpstr>Kosten_BSH_min</vt:lpstr>
      <vt:lpstr>Kosten_BSP_max</vt:lpstr>
      <vt:lpstr>Kosten_BSP_min</vt:lpstr>
      <vt:lpstr>Kosten_Dachaufbau_max</vt:lpstr>
      <vt:lpstr>Kosten_Dachaufbau_min</vt:lpstr>
      <vt:lpstr>Kosten_Fassade_max</vt:lpstr>
      <vt:lpstr>Kosten_Fassade_min</vt:lpstr>
      <vt:lpstr>Kosten_Fenster_max</vt:lpstr>
      <vt:lpstr>Kosten_Fenster_min</vt:lpstr>
      <vt:lpstr>Kosten_IW_max</vt:lpstr>
      <vt:lpstr>Kosten_IW_min</vt:lpstr>
      <vt:lpstr>Kosten_VH_max</vt:lpstr>
      <vt:lpstr>Kosten_VH_min</vt:lpstr>
      <vt:lpstr>l_DE</vt:lpstr>
      <vt:lpstr>l_ST</vt:lpstr>
      <vt:lpstr>l_UZ</vt:lpstr>
      <vt:lpstr>'Hilfstabellen_Mat&amp;Bem'!L.Sw</vt:lpstr>
      <vt:lpstr>'Hilfstabellen_Mat&amp;Bem'!M.Ed</vt:lpstr>
      <vt:lpstr>Mat_Auswahl_ST</vt:lpstr>
      <vt:lpstr>Mat_Auswahl_UZ</vt:lpstr>
      <vt:lpstr>Mat_DE</vt:lpstr>
      <vt:lpstr>Mat_ST</vt:lpstr>
      <vt:lpstr>Mat_UZ</vt:lpstr>
      <vt:lpstr>'Hilfstabellen_Mat&amp;Bem'!MAT.1</vt:lpstr>
      <vt:lpstr>'Hilfstabellen_Mat&amp;Bem'!MAT.2</vt:lpstr>
      <vt:lpstr>'Hilfstabellen_Mat&amp;Bem'!MAT.3</vt:lpstr>
      <vt:lpstr>'Hilfstabellen_Mat&amp;Bem'!MAT.4</vt:lpstr>
      <vt:lpstr>'Hilfstabellen_Mat&amp;Bem'!MAT.5</vt:lpstr>
      <vt:lpstr>n_GESCHOSSE</vt:lpstr>
      <vt:lpstr>'Hilfstabellen_Mat&amp;Bem'!n.mod.1</vt:lpstr>
      <vt:lpstr>'Hilfstabellen_Mat&amp;Bem'!n.mod.2</vt:lpstr>
      <vt:lpstr>'Hilfstabellen_Mat&amp;Bem'!n.mod.3</vt:lpstr>
      <vt:lpstr>'Hilfstabellen_Mat&amp;Bem'!n.mod.4</vt:lpstr>
      <vt:lpstr>'Hilfstabellen_Mat&amp;Bem'!n.mod.5</vt:lpstr>
      <vt:lpstr>'Hilfstabellen_Mat&amp;Bem'!n.t</vt:lpstr>
      <vt:lpstr>'Hilfstabellen_Mat&amp;Bem'!n.w</vt:lpstr>
      <vt:lpstr>'Hilfstabellen_Mat&amp;Bem'!phi.1</vt:lpstr>
      <vt:lpstr>'Hilfstabellen_Mat&amp;Bem'!phi.2</vt:lpstr>
      <vt:lpstr>'Hilfstabellen_Mat&amp;Bem'!phi.3</vt:lpstr>
      <vt:lpstr>'Hilfstabellen_Mat&amp;Bem'!phi.4</vt:lpstr>
      <vt:lpstr>'Hilfstabellen_Mat&amp;Bem'!phi.5</vt:lpstr>
      <vt:lpstr>Anleitung!Print_Area</vt:lpstr>
      <vt:lpstr>'BS_Anforderungen_MBO (tri)'!Print_Area</vt:lpstr>
      <vt:lpstr>'Eingabe und Ergebnis'!Print_Area</vt:lpstr>
      <vt:lpstr>'Erweiterte Eingabe'!Print_Area</vt:lpstr>
      <vt:lpstr>'Hilfstabelle Gebäudeklasse'!Print_Area</vt:lpstr>
      <vt:lpstr>Möblierungsschablone!Print_Area</vt:lpstr>
      <vt:lpstr>'Rasterbemessung DE UZ ST'!Print_Area</vt:lpstr>
      <vt:lpstr>Wohnungsausnutzung!Print_Area</vt:lpstr>
      <vt:lpstr>'Wohnungsausnutzung Vergleich'!Print_Area</vt:lpstr>
      <vt:lpstr>'Hilfstabellen_Mat&amp;Bem'!Print_Titles</vt:lpstr>
      <vt:lpstr>psi_2</vt:lpstr>
      <vt:lpstr>q_k</vt:lpstr>
      <vt:lpstr>QS_Breite_BSH</vt:lpstr>
      <vt:lpstr>QS_Breite_VH</vt:lpstr>
      <vt:lpstr>RUWE_ST</vt:lpstr>
      <vt:lpstr>RUWE_UZ</vt:lpstr>
      <vt:lpstr>Schallschutzanforderungen</vt:lpstr>
      <vt:lpstr>Schwingungsgrenzwerte</vt:lpstr>
      <vt:lpstr>Spannweite_Decken</vt:lpstr>
      <vt:lpstr>Spannweite_Unterzüge</vt:lpstr>
      <vt:lpstr>'Hilfstabellen_Mat&amp;Bem'!t.DL.1</vt:lpstr>
      <vt:lpstr>'Hilfstabellen_Mat&amp;Bem'!t.DL.2</vt:lpstr>
      <vt:lpstr>'Hilfstabellen_Mat&amp;Bem'!t.DL.3</vt:lpstr>
      <vt:lpstr>'Hilfstabellen_Mat&amp;Bem'!t.DL.4</vt:lpstr>
      <vt:lpstr>'Hilfstabellen_Mat&amp;Bem'!t.DL.5</vt:lpstr>
      <vt:lpstr>'Hilfstabellen_Mat&amp;Bem'!t.MAT.1</vt:lpstr>
      <vt:lpstr>'Hilfstabellen_Mat&amp;Bem'!t.MAT.2</vt:lpstr>
      <vt:lpstr>'Hilfstabellen_Mat&amp;Bem'!t.MAT.3</vt:lpstr>
      <vt:lpstr>'Hilfstabellen_Mat&amp;Bem'!t.MAT.4</vt:lpstr>
      <vt:lpstr>'Hilfstabellen_Mat&amp;Bem'!t.MAT.5</vt:lpstr>
      <vt:lpstr>'Hilfstabellen_Mat&amp;Bem'!V.Ed</vt:lpstr>
      <vt:lpstr>VDI_4100__2007</vt:lpstr>
      <vt:lpstr>VDI_4100__2012</vt:lpstr>
      <vt:lpstr>w_fin_DE</vt:lpstr>
      <vt:lpstr>w_fin_UZ</vt:lpstr>
      <vt:lpstr>Windlastzone</vt:lpstr>
      <vt:lpstr>WZ_BB</vt:lpstr>
      <vt:lpstr>WZ_BE</vt:lpstr>
      <vt:lpstr>WZ_BW</vt:lpstr>
      <vt:lpstr>WZ_BY</vt:lpstr>
      <vt:lpstr>WZ_HB</vt:lpstr>
      <vt:lpstr>WZ_HE</vt:lpstr>
      <vt:lpstr>WZ_HH</vt:lpstr>
      <vt:lpstr>WZ_MV</vt:lpstr>
      <vt:lpstr>WZ_NI</vt:lpstr>
      <vt:lpstr>WZ_NW</vt:lpstr>
      <vt:lpstr>WZ_RP</vt:lpstr>
      <vt:lpstr>WZ_SH</vt:lpstr>
      <vt:lpstr>WZ_SL</vt:lpstr>
      <vt:lpstr>WZ_SN</vt:lpstr>
      <vt:lpstr>WZ_ST</vt:lpstr>
      <vt:lpstr>WZ_TH</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2006-09-21T08:52:22Z</dcterms:created>
  <dcterms:modified xsi:type="dcterms:W3CDTF">2024-02-20T19:03:29Z</dcterms:modified>
</cp:coreProperties>
</file>